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5"/>
    <sheet state="visible" name="Sheet13" sheetId="2" r:id="rId6"/>
    <sheet state="visible" name="Stock" sheetId="3" r:id="rId7"/>
    <sheet state="visible" name="ManifestFile" sheetId="4" r:id="rId8"/>
    <sheet state="visible" name="Boxes" sheetId="5" r:id="rId9"/>
    <sheet state="visible" name="AFS" sheetId="6" r:id="rId10"/>
    <sheet state="visible" name="Business Report" sheetId="7" r:id="rId11"/>
    <sheet state="visible" name="DIH" sheetId="8" r:id="rId12"/>
    <sheet state="visible" name="Transit Shipment" sheetId="9" r:id="rId13"/>
    <sheet state="visible" name="Weight" sheetId="10" r:id="rId14"/>
    <sheet state="visible" name="Box Capacity" sheetId="11" r:id="rId15"/>
  </sheets>
  <definedNames>
    <definedName hidden="1" localSheetId="9" name="_xlnm._FilterDatabase">Weight!$A$1:$T$617</definedName>
  </definedNames>
  <calcPr/>
</workbook>
</file>

<file path=xl/sharedStrings.xml><?xml version="1.0" encoding="utf-8"?>
<sst xmlns="http://schemas.openxmlformats.org/spreadsheetml/2006/main" count="120200" uniqueCount="39555">
  <si>
    <t>Apron_Black</t>
  </si>
  <si>
    <t xml:space="preserve">  </t>
  </si>
  <si>
    <t>E-way Bill Amount</t>
  </si>
  <si>
    <t>Apron_Blue</t>
  </si>
  <si>
    <t>Apron_Brown</t>
  </si>
  <si>
    <t>AMD2</t>
  </si>
  <si>
    <t>Apron_Grey</t>
  </si>
  <si>
    <t>Total Actual Qty</t>
  </si>
  <si>
    <t>Apron_Red</t>
  </si>
  <si>
    <t>BLR7</t>
  </si>
  <si>
    <t>CRM_AP_TAN</t>
  </si>
  <si>
    <t>BLR8</t>
  </si>
  <si>
    <t>CRM_AP_GREEN</t>
  </si>
  <si>
    <t>DEL4</t>
  </si>
  <si>
    <t>DEL5</t>
  </si>
  <si>
    <t>CRM_AP_BLACK_PACK OF 2</t>
  </si>
  <si>
    <t>BOM5</t>
  </si>
  <si>
    <t>BOM7</t>
  </si>
  <si>
    <t>HYD3</t>
  </si>
  <si>
    <t>CRM_AP_BLUE_PACK OF 2</t>
  </si>
  <si>
    <t>HYD8</t>
  </si>
  <si>
    <t>TOTAL QTY</t>
  </si>
  <si>
    <t>CRM_AP_BROWN_PACK OF 2</t>
  </si>
  <si>
    <t>CRM_AP_GREEN_PACK OF 2</t>
  </si>
  <si>
    <t>CRM_AP_GREY_PACK OF 2</t>
  </si>
  <si>
    <t>CRM_AP_RED_PACK OF 2</t>
  </si>
  <si>
    <t>AFS Days</t>
  </si>
  <si>
    <t>CRM_AP_TEN _PACK OF 2</t>
  </si>
  <si>
    <t>Shipment Plan Days</t>
  </si>
  <si>
    <t>CRM_AP_BLACK_PACK OF 3</t>
  </si>
  <si>
    <t>CRM_AP_BLUE_PACK OF 3</t>
  </si>
  <si>
    <t>CRM_AP_BROWN_PACK OF 3</t>
  </si>
  <si>
    <t>Bunch Qty</t>
  </si>
  <si>
    <t>CRM_AP_GREEN_PACK OF 3</t>
  </si>
  <si>
    <t>CRM_AP_RED_PACK OF 3</t>
  </si>
  <si>
    <t>CRM_AP_TEN _PACK OF 3</t>
  </si>
  <si>
    <t>to ship</t>
  </si>
  <si>
    <t>Sep</t>
  </si>
  <si>
    <t>Bajaj_1</t>
  </si>
  <si>
    <t>Bajaj_2</t>
  </si>
  <si>
    <t>Bajaj_3</t>
  </si>
  <si>
    <t>Bajaj_4</t>
  </si>
  <si>
    <t>CRM-WG-NW-Ultra-Grey</t>
  </si>
  <si>
    <t>CRM-WG-NW-Ultra-Black</t>
  </si>
  <si>
    <t>CRM-WG-NW-Bajaj-Grey</t>
  </si>
  <si>
    <t>Url -----&gt;&gt;</t>
  </si>
  <si>
    <t>CRM-WG-NW-Bajaj-Black</t>
  </si>
  <si>
    <t>CRM-WG-NW-Butterfly-Grey</t>
  </si>
  <si>
    <t>1xsE5TY9L1oXdnssxXiLmdN0LEb2tXUlxQPtf5qE-9rI</t>
  </si>
  <si>
    <t>CRM-WG-NW-Butterfly-Black</t>
  </si>
  <si>
    <t>CRM-WG-NW-Ultra-Grind+-Black</t>
  </si>
  <si>
    <t>CRM-WG-NW-Ultra-Grind+-Grey</t>
  </si>
  <si>
    <t>CSM-WG-BJ-WX 1-WX 3</t>
  </si>
  <si>
    <t>Ultra_1</t>
  </si>
  <si>
    <t>CRM_NW_BLACK_DC</t>
  </si>
  <si>
    <t>CRM_NW_GREY_DC</t>
  </si>
  <si>
    <t>CRM_NW_BLACK_DC_PACK OF 5</t>
  </si>
  <si>
    <t>Model</t>
  </si>
  <si>
    <t>CRM_NW_GREY_DC_PACK OF 5</t>
  </si>
  <si>
    <t>SKU</t>
  </si>
  <si>
    <t>Required Qty</t>
  </si>
  <si>
    <t>CRM_NW_BLACK_DC_PACK OF 2</t>
  </si>
  <si>
    <t>Merchant SKU</t>
  </si>
  <si>
    <t>Group Name</t>
  </si>
  <si>
    <t>CRM_NW_GREY_DC_PACK OF 2</t>
  </si>
  <si>
    <t>Available Qty</t>
  </si>
  <si>
    <t>Diffrence</t>
  </si>
  <si>
    <t>Quantity</t>
  </si>
  <si>
    <t>CRM-DC-TS-NW-BLACK</t>
  </si>
  <si>
    <t>Title</t>
  </si>
  <si>
    <t>FC</t>
  </si>
  <si>
    <t>CRM-DC-TS-NW-GREY</t>
  </si>
  <si>
    <t>Prep owner</t>
  </si>
  <si>
    <t>Category</t>
  </si>
  <si>
    <t>Labeling owner</t>
  </si>
  <si>
    <t>CRM-DC-TS-NW-BLACK-2Q</t>
  </si>
  <si>
    <t>Int – WH</t>
  </si>
  <si>
    <t>Prep category</t>
  </si>
  <si>
    <t>CRM-DC-TS-NW-GREY-2Q</t>
  </si>
  <si>
    <t>HSN/SAC code</t>
  </si>
  <si>
    <t>Dec – WH</t>
  </si>
  <si>
    <t>Non Apron Qty</t>
  </si>
  <si>
    <t>CRM-EP-L3210-NW-GREY</t>
  </si>
  <si>
    <t>GST rate</t>
  </si>
  <si>
    <t>APR- Sky Blue</t>
  </si>
  <si>
    <t>CRM-EP-L3210-NW-BLACK</t>
  </si>
  <si>
    <t>CRM-EP-L3110-NW-BLACK</t>
  </si>
  <si>
    <t>APR- Dark Blue</t>
  </si>
  <si>
    <t>CRM-EP-L3110-NW-GREY</t>
  </si>
  <si>
    <t>APR- Brown</t>
  </si>
  <si>
    <t>CRM-Canon-G3012-NW-Grey</t>
  </si>
  <si>
    <t>APR- Green</t>
  </si>
  <si>
    <t>CRM-Canon-G3012-NW-Black</t>
  </si>
  <si>
    <t>APR- Tan</t>
  </si>
  <si>
    <t>CRM-HP-M126-M136nw-Grey</t>
  </si>
  <si>
    <t>APR- Black</t>
  </si>
  <si>
    <t>Declared value(per unit)</t>
  </si>
  <si>
    <t>APR- Red</t>
  </si>
  <si>
    <t>CRM-HP-M126-M136nw-Black</t>
  </si>
  <si>
    <t>CRM-HP-4826-Grey-1</t>
  </si>
  <si>
    <t>Total Shipment Value</t>
  </si>
  <si>
    <t>APR- Grey</t>
  </si>
  <si>
    <t>CRM-HP-4826-Black-1</t>
  </si>
  <si>
    <t>weight</t>
  </si>
  <si>
    <t>CRM-PR-G4770-NW-BLACK</t>
  </si>
  <si>
    <t>Total Weight</t>
  </si>
  <si>
    <t>CRM-PR-G4770-NW-GREY</t>
  </si>
  <si>
    <t>HSN</t>
  </si>
  <si>
    <t xml:space="preserve">GST </t>
  </si>
  <si>
    <t>COST</t>
  </si>
  <si>
    <t>CRM-HP-750-Grey</t>
  </si>
  <si>
    <t>CRM-HP-750-Black</t>
  </si>
  <si>
    <t>Tra. Qty</t>
  </si>
  <si>
    <t>CRM-HP-670-Grey</t>
  </si>
  <si>
    <t>quantity</t>
  </si>
  <si>
    <t>CRM-HP-670-Black</t>
  </si>
  <si>
    <t>Fulfilment ID</t>
  </si>
  <si>
    <t>CRM-HP-529-Grey</t>
  </si>
  <si>
    <t>Sale-Total</t>
  </si>
  <si>
    <t>Sale-WH</t>
  </si>
  <si>
    <t>CRM-HP-4826-4929-Grey</t>
  </si>
  <si>
    <t>Ship – WH</t>
  </si>
  <si>
    <t>Sum</t>
  </si>
  <si>
    <t>CRM-HP-4828-2878-GREY</t>
  </si>
  <si>
    <t>Final – WH</t>
  </si>
  <si>
    <t>CRM-BR-L2321D-L2440DW-BLUE</t>
  </si>
  <si>
    <t>CRM-HP-529-Black</t>
  </si>
  <si>
    <t>CRM-HP-580-Grey</t>
  </si>
  <si>
    <t>CRM-BR-580-T226-NW-GREY</t>
  </si>
  <si>
    <t>CRM-BR-580-T226-NW-BLACK</t>
  </si>
  <si>
    <t>CRM-HP-580-Black</t>
  </si>
  <si>
    <t>CRM-HP-525-Grey</t>
  </si>
  <si>
    <t>CRM-HP-525-Black</t>
  </si>
  <si>
    <t>CRM-EP-L3252-NW-GREY-1</t>
  </si>
  <si>
    <t>CRM-PR-4826-E477-BLACK</t>
  </si>
  <si>
    <t>CRASOME Polyester Kitchen Apron for Men Women Chef Cooking Restaurants gardening workshop barbers With Pockets and Adjustable Strap ( Black )</t>
  </si>
  <si>
    <t>CRM-PR-4826-E477-GREY</t>
  </si>
  <si>
    <t>Apron</t>
  </si>
  <si>
    <t>CRM-PR-670-G3770-BLACK</t>
  </si>
  <si>
    <t>CRM-PR-670-G3770-GREY</t>
  </si>
  <si>
    <t>CRM-Canon-TS207-Grey</t>
  </si>
  <si>
    <t>CRM-HP-136-1188w-Grey</t>
  </si>
  <si>
    <t>CRM-HP-1008w-Grey</t>
  </si>
  <si>
    <t>CRM-HP-2606sdw-Grey</t>
  </si>
  <si>
    <t>CRM-Cube1-Grey-Pack5</t>
  </si>
  <si>
    <t>CRM-Cube1-Grey-Pack12</t>
  </si>
  <si>
    <t>CP-BLACK-1</t>
  </si>
  <si>
    <t>CP-BLACK-1-PACK OF 2</t>
  </si>
  <si>
    <t>CRM-CP2-GREY-2Q</t>
  </si>
  <si>
    <t>CRM-CP3-GREY</t>
  </si>
  <si>
    <t>CRM-CTSP1-Blue-3Q</t>
  </si>
  <si>
    <t>CRM-CTSP1-Grey-3Q</t>
  </si>
  <si>
    <t>CRM-SC-BLACK-TS-4Q</t>
  </si>
  <si>
    <t>CRM-SC-TS-4Q</t>
  </si>
  <si>
    <t>CRM-Cube1-Grey-Pack3-1</t>
  </si>
  <si>
    <t>CJB1</t>
  </si>
  <si>
    <t>MAA4</t>
  </si>
  <si>
    <t>CRASOME Polyester Kitchen Apron for Men Women Chef Cooking Restaurants gardening workshop barbers With Pockets and Adjustable Strap (Blue)</t>
  </si>
  <si>
    <t>Qty</t>
  </si>
  <si>
    <t>Small</t>
  </si>
  <si>
    <t>Big</t>
  </si>
  <si>
    <t>Printer</t>
  </si>
  <si>
    <t>Printer NW</t>
  </si>
  <si>
    <t>WG</t>
  </si>
  <si>
    <t>WG NW</t>
  </si>
  <si>
    <t>Saree Cover</t>
  </si>
  <si>
    <t>LCD</t>
  </si>
  <si>
    <t>CRASOME Polyester Kitchen Apron for Men Women Chef Cooking Restaurants gardening workshop, barbers With Pockets and Adjustable Strap ( Brown )</t>
  </si>
  <si>
    <t>NW-DC</t>
  </si>
  <si>
    <t>PS5</t>
  </si>
  <si>
    <t>Cloth Organizer</t>
  </si>
  <si>
    <t>16 Inch</t>
  </si>
  <si>
    <t>TS Pouch</t>
  </si>
  <si>
    <t>Gym Bag</t>
  </si>
  <si>
    <t>CRASOME Polyester Kitchen Apron for Men Women Chef Cooking Restaurants gardening workshop, barbers With Pockets and Adjustable Strap ( Grey )</t>
  </si>
  <si>
    <t>Sling Bag</t>
  </si>
  <si>
    <t>Cubes</t>
  </si>
  <si>
    <t>Cubes-Pack-5</t>
  </si>
  <si>
    <t>Cubes-Pack-12</t>
  </si>
  <si>
    <t>Pouch</t>
  </si>
  <si>
    <t>Weight per bag</t>
  </si>
  <si>
    <t>CRASOME Polyester Kitchen Apron for Men Women Chef Cooking Restaurants gardening workshop, barbers With Pockets and Adjustable Strap ( Red )</t>
  </si>
  <si>
    <t>CRASOME Apron for Men Women Chef Cooking Restaurants Gardening Workshop, Barbers with Adjustable Strap and Two Pockets</t>
  </si>
  <si>
    <t>Big Bag</t>
  </si>
  <si>
    <t>TOTAL</t>
  </si>
  <si>
    <t>Total Boxes</t>
  </si>
  <si>
    <t>Small Bag</t>
  </si>
  <si>
    <t>CRASOME Apron for Men Women Chef Cooking Restaurants Gardening Workshop, Barbers with Adjustable Strap and Two Pockets (Black_Pack of 2)</t>
  </si>
  <si>
    <t>CRASOME Apron for Men Women Chef Cooking Restaurants Gardening Workshop, Barbers with Adjustable Strap and Two Pockets ( Blue_Pack of 2)</t>
  </si>
  <si>
    <t>(Parent) ASIN</t>
  </si>
  <si>
    <t>(Child) ASIN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</si>
  <si>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</si>
  <si>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</si>
  <si>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</si>
  <si>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</si>
  <si>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</si>
  <si>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</si>
  <si>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</si>
  <si>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</si>
  <si>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B0CQ8MGHWP</t>
  </si>
  <si>
    <t>CRASOME Non-Woven Dust &amp; Water Proof Printer Cover for HP Smart Tank All-in-One 580 / 581 / 585 (Grey)</t>
  </si>
  <si>
    <t>₹64,381.00</t>
  </si>
  <si>
    <t>₹3,915.00</t>
  </si>
  <si>
    <t>B0CV4767XP</t>
  </si>
  <si>
    <t>Crasome Dust Proof Water Resistant Kitchen Wet Grinder Cover for 2 Litre Table Top Ultra Perfect S | Ultra Perfect Plus - Grey</t>
  </si>
  <si>
    <t>₹51,322.00</t>
  </si>
  <si>
    <t>₹0.00</t>
  </si>
  <si>
    <t>B0CTMTGSL9</t>
  </si>
  <si>
    <t>CRASOME Non-Woven Water Dispenser For 20 Ltr / Litre Bottle Jar Cover With Transparent Strap - Black (DC-TS-BLK)</t>
  </si>
  <si>
    <t>₹44,660.00</t>
  </si>
  <si>
    <t>₹5,559.00</t>
  </si>
  <si>
    <t>B0DK1J5N5C</t>
  </si>
  <si>
    <t>Crasome Packing Cubes for Travel, Travel Organizer for Men &amp; Women, Travel Storage Bag, Travel Organizer, Packing Bag for Clothes Pack of 3 (Cube1-Grey-Pack3)</t>
  </si>
  <si>
    <t>₹77,398.00</t>
  </si>
  <si>
    <t>₹2,696.00</t>
  </si>
  <si>
    <t>B0CTFF6YKQ</t>
  </si>
  <si>
    <t>Crasome Dust &amp; Water Proof Printer Cover for Epson EcoTank L3252 / L3250 / L3210 / L3211 (Grey)</t>
  </si>
  <si>
    <t>₹39,671.00</t>
  </si>
  <si>
    <t>₹2,551.00</t>
  </si>
  <si>
    <t>B0F4XM78MP</t>
  </si>
  <si>
    <t>CRASOME Non Woven Dust Proof Water-Resistant Printer Cover For HP Laserjet Tank MFP 1188Fnw / 2606Sdw (Grey)</t>
  </si>
  <si>
    <t>₹37,774.00</t>
  </si>
  <si>
    <t>₹6,667.00</t>
  </si>
  <si>
    <t>B0BQMTTDQQ</t>
  </si>
  <si>
    <t>CRASOME Apron for Men Women Chef Cooking Restaurants Gardening Workshop, Barbers with Adjustable Strap and Two Pockets (Tan_Pack of 2)</t>
  </si>
  <si>
    <t>₹72,007.00</t>
  </si>
  <si>
    <t>₹7,419.00</t>
  </si>
  <si>
    <t>B0DKTNJ414</t>
  </si>
  <si>
    <t>Crasome Dust &amp; Water Proof Printer Cover for Canon Pixma G2770 / G3770 / G3730 (Black)</t>
  </si>
  <si>
    <t>₹26,689.00</t>
  </si>
  <si>
    <t>₹1,599.00</t>
  </si>
  <si>
    <t>B0F2MW77TT</t>
  </si>
  <si>
    <t>CRASOME Polyester Packing Cubes for Travel, Travel Organizer for Men &amp; Women, Travel Storage Bag, Travel Organizer, Packing Bag for Clothes (Grey-5)</t>
  </si>
  <si>
    <t>₹74,840.00</t>
  </si>
  <si>
    <t>₹1,524.00</t>
  </si>
  <si>
    <t>B0BF57ZCLY</t>
  </si>
  <si>
    <t>CRASOME Polyester Kitchen Apron for Men Women Chef Cooking Restaurants gardening workshop barbers With Pockets and Adjustable Strap (Black)</t>
  </si>
  <si>
    <t>₹32,245.00</t>
  </si>
  <si>
    <t>₹1,080.00</t>
  </si>
  <si>
    <t>B0CTMPGXXG</t>
  </si>
  <si>
    <t>Crasome Water Dispenser for 20 ltr / Litre Bottle Jar Cover with Transparent Strap - Grey (DC-TS-Grey)</t>
  </si>
  <si>
    <t>₹25,918.00</t>
  </si>
  <si>
    <t>₹9,040.00</t>
  </si>
  <si>
    <t>B0BM4JLSPK</t>
  </si>
  <si>
    <t>CRASOME Water Dispenser for 20 ltr / Litre Bottle Jar Cover (Grey)</t>
  </si>
  <si>
    <t>₹20,982.00</t>
  </si>
  <si>
    <t>₹2,350.00</t>
  </si>
  <si>
    <t>B0CTH4V3PZ</t>
  </si>
  <si>
    <t>Crasome Dust &amp; Water Proof Printer Cover for Canon Pixma G3000 / G3012 / G3010 / G2012 (Black)</t>
  </si>
  <si>
    <t>₹20,458.00</t>
  </si>
  <si>
    <t>B0CTFDQXD4</t>
  </si>
  <si>
    <t>CRASOME Non Woven Dust &amp; Water Proof Printer Cover For Epson Ecotank L3252 / L3250 / L3210 (Black)</t>
  </si>
  <si>
    <t>₹18,261.00</t>
  </si>
  <si>
    <t>₹1,046.00</t>
  </si>
  <si>
    <t>CRASOME Apron for Men Women Chef Cooking Restaurants Gardening Workshop, Barbers with Adjustable Strap and Two Pockets ( Brown_Pack of 2)</t>
  </si>
  <si>
    <t>B0DN9JXDRD</t>
  </si>
  <si>
    <t>CRASOME Non-Woven Dust &amp; Water Proof Printer Cover for Canon Pixma E470 / E477 (Grey)</t>
  </si>
  <si>
    <t>₹17,946.00</t>
  </si>
  <si>
    <t>₹1,060.00</t>
  </si>
  <si>
    <t>B0BQMSCT6Y</t>
  </si>
  <si>
    <t>₹32,012.00</t>
  </si>
  <si>
    <t>₹7,464.00</t>
  </si>
  <si>
    <t>B0DKTH64QZ</t>
  </si>
  <si>
    <t>Crasome Dust &amp; Water Proof Printer Cover for Canon Pixma G2770 / G3770 / G3730 (Grey)</t>
  </si>
  <si>
    <t>₹16,946.00</t>
  </si>
  <si>
    <t>₹523.00</t>
  </si>
  <si>
    <t>B0CQ8KNQMG</t>
  </si>
  <si>
    <t>CRASOME Non Woven Dust &amp; Water Proof Printer Cover for HP Smart Tank All-in-One 580 / 581 / 585 (Black)</t>
  </si>
  <si>
    <t>₹15,437.00</t>
  </si>
  <si>
    <t>B0CV14R7LM</t>
  </si>
  <si>
    <t>CRASOME Non-Woven Dust Proof Water Resistant Kitchen Wet Grinder Cover for 2 Litre Table Top Butterfly Smart | Butterfly Rhino | Butterfly Hippo - Grey</t>
  </si>
  <si>
    <t>₹14,618.00</t>
  </si>
  <si>
    <t>B0F916GTW7</t>
  </si>
  <si>
    <t>Crasome Dust Proof Water Resistant Kitchen Wet Grinder Cover for 2 Litre Table Top Ultra Grind+ Gold - Grey</t>
  </si>
  <si>
    <t>₹14,262.00</t>
  </si>
  <si>
    <t>B0CV47TJPR</t>
  </si>
  <si>
    <t>Crasome Dust Proof Water Resistant Kitchen Wet Grinder Cover for 2 Litre Table Top Ultra Perfect S | Ultra Perfect Plus - Black</t>
  </si>
  <si>
    <t>₹13,611.00</t>
  </si>
  <si>
    <t>B0CTH4N526</t>
  </si>
  <si>
    <t>CRASOME Non-Woven Dust &amp; Water Proof Printer Cover for Canon Pixma G3000 / G3012 / G3010 / G2012 (Grey)</t>
  </si>
  <si>
    <t>₹13,016.00</t>
  </si>
  <si>
    <t>₹269.00</t>
  </si>
  <si>
    <t>B0BQMY6L2B</t>
  </si>
  <si>
    <t>CRASOME Apron for Men Women Chef Cooking Restaurants Gardening Workshop, Barbers with Adjustable Strap and Two Pockets (Blue_Pack of 2)</t>
  </si>
  <si>
    <t>₹20,721.00</t>
  </si>
  <si>
    <t>₹1,518.00</t>
  </si>
  <si>
    <t>B0BQMV8D85</t>
  </si>
  <si>
    <t>CRASOME Apron for Men Women Chef Cooking Restaurants Gardening Workshop, Barbers with Adjustable Strap and Two Pockets (Brown_Pack of 2)</t>
  </si>
  <si>
    <t>₹32,556.00</t>
  </si>
  <si>
    <t>₹1,500.00</t>
  </si>
  <si>
    <t>B0BFB324WC</t>
  </si>
  <si>
    <t>CRASOME Dust Proof Washable Kitchen Wet Grinder Cover for 2Litre Table Top Butterfly Rhino | Butterfly Smart | Butterfly Hippo CSM-BJ (Blue), Polyester</t>
  </si>
  <si>
    <t>₹10,294.00</t>
  </si>
  <si>
    <t>B0BM4KGTYM</t>
  </si>
  <si>
    <t>CRASOME Non-Woven Water Dispenser For 20 Ltr / Litre Bottle Jar Cover (Black)</t>
  </si>
  <si>
    <t>₹9,019.00</t>
  </si>
  <si>
    <t>₹1,806.00</t>
  </si>
  <si>
    <t>B0F4XKL36F</t>
  </si>
  <si>
    <t>Crasome Dust Proof Water-resistant Printer Cover for HP Laser 1008w / 1008a (Grey)</t>
  </si>
  <si>
    <t>₹8,417.00</t>
  </si>
  <si>
    <t>₹1,035.00</t>
  </si>
  <si>
    <t>B0BQMZKF2K</t>
  </si>
  <si>
    <t>CRASOME Apron for Men Women Chef Cooking Restaurants Gardening Workshop, Barbers with Adjustable Strap and Two Pockets (Tan_Pack of 3)</t>
  </si>
  <si>
    <t>₹25,561.00</t>
  </si>
  <si>
    <t>₹1,896.00</t>
  </si>
  <si>
    <t>B0BQMX8QHL</t>
  </si>
  <si>
    <t>CRASOME Apron for Men Women Chef Cooking Restaurants Gardening Workshop, Barbers with Adjustable Strap and Two Pockets (Grey_Pack of 2)</t>
  </si>
  <si>
    <t>₹12,962.00</t>
  </si>
  <si>
    <t>₹1,149.00</t>
  </si>
  <si>
    <t>B0CH13Q5TC</t>
  </si>
  <si>
    <t>CRASOME Apron for Men Women Chef Cooking Restaurants Gardening Workshop, Barbers with Adjustable Strap and Two Pockets (Tan)</t>
  </si>
  <si>
    <t>₹16,435.00</t>
  </si>
  <si>
    <t>₹852.00</t>
  </si>
  <si>
    <t>B0DN9NPSCX</t>
  </si>
  <si>
    <t>Crasome Dust &amp; Water Proof Printer Cover for Canon Pixma E470 / E477 (Black)</t>
  </si>
  <si>
    <t>₹7,681.00</t>
  </si>
  <si>
    <t>₹821.00</t>
  </si>
  <si>
    <t>B0CTTK9CDY</t>
  </si>
  <si>
    <t>Crasome Dust &amp; Water Proof Printer Cover for HP Smart Tank All-in-One 520 / 525 (Grey)</t>
  </si>
  <si>
    <t>₹7,368.00</t>
  </si>
  <si>
    <t>B0CV16PGBY</t>
  </si>
  <si>
    <t>Crasome Dust Proof Water Resistant Kitchen Wet Grinder Cover for 2 Litre Table Top Butterfly Rhino | Butterfly Smart | Butterfly Hippo - Black</t>
  </si>
  <si>
    <t>₹6,782.00</t>
  </si>
  <si>
    <t>B0DKP64DPR</t>
  </si>
  <si>
    <t>Crasome Dust Proof Water-resistant Printer Cover for HP Deskjet Advantage Ultra 2820 / 4929 (Grey)</t>
  </si>
  <si>
    <t>₹7,114.00</t>
  </si>
  <si>
    <t>B0BFB27TWG</t>
  </si>
  <si>
    <t>CRASOME Dust Proof Washable Wet Grinder Cover for 2 Litre Table Top Lakshmi | Prestige PWG 07 | Vidiem Vision CSM-BJ (Blue)</t>
  </si>
  <si>
    <t>₹6,495.00</t>
  </si>
  <si>
    <t>B0CTMJD3KP</t>
  </si>
  <si>
    <t>CRASOME Water Dispenser for 20 ltr/Litre Bottle Jar Cover with Transparent Strap - Black Pack of 2 (DC-TS-B-2Q)</t>
  </si>
  <si>
    <t>₹10,976.00</t>
  </si>
  <si>
    <t>₹2,640.00</t>
  </si>
  <si>
    <t>B0CQC5GSY9</t>
  </si>
  <si>
    <t>CRASOME Non Woven Dust &amp; Water Proof Printer Cover for HP Smart Tank All-in-One 529 / 589 (Grey)</t>
  </si>
  <si>
    <t>₹6,262.00</t>
  </si>
  <si>
    <t>₹538.00</t>
  </si>
  <si>
    <t>B0DVPQ48NW</t>
  </si>
  <si>
    <t>Crasome Dust &amp; Water Proof Printer Cover for Canon Pixma G4770 (Grey)</t>
  </si>
  <si>
    <t>₹6,152.00</t>
  </si>
  <si>
    <t>₹807.00</t>
  </si>
  <si>
    <t>B0F4XRS6NR</t>
  </si>
  <si>
    <t>Crasome Dust Proof Water-resistant Printer Cover for HP Laser MFP 1188w / 1188a (Grey)</t>
  </si>
  <si>
    <t>₹6,292.00</t>
  </si>
  <si>
    <t>B0BF598T14</t>
  </si>
  <si>
    <t>CRASOME Apron for Men Women Chef Cooking Restaurants Gardening Workshop, Barbers with Adjustable Strap and Two Pockets (Brown)</t>
  </si>
  <si>
    <t>₹9,138.00</t>
  </si>
  <si>
    <t>₹2,508.00</t>
  </si>
  <si>
    <t>B0CH3L3PYX</t>
  </si>
  <si>
    <t>CRASOME Water Dispenser for 20 ltr / Litre Bottle Jar Cover (Grey Pack of 5)</t>
  </si>
  <si>
    <t>₹19,300.00</t>
  </si>
  <si>
    <t>₹8,027.00</t>
  </si>
  <si>
    <t>B0BQMTZ1KM</t>
  </si>
  <si>
    <t>CRASOME Apron for Men Women Chef Cooking Restaurants Gardening Workshop, Barbers with Adjustable Strap and Two Pockets (Green_Pack of 2)</t>
  </si>
  <si>
    <t>₹13,083.00</t>
  </si>
  <si>
    <t>₹369.00</t>
  </si>
  <si>
    <t>B0CQCQJZH5</t>
  </si>
  <si>
    <t>Crasome Dust &amp; Water Proof Printer Cover for HP LaserJet Pro MFP M126nw (Black)</t>
  </si>
  <si>
    <t>₹5,186.00</t>
  </si>
  <si>
    <t>B0CTMJ1GV9</t>
  </si>
  <si>
    <t>Crasome Water Dispenser for 20 ltr / Litre Bottle Jar Cover with Transparent Strap - Grey Pack of 2 (DC-TS-G-2Q)</t>
  </si>
  <si>
    <t>₹7,968.00</t>
  </si>
  <si>
    <t>₹1,146.00</t>
  </si>
  <si>
    <t>B0CQCBB5LV</t>
  </si>
  <si>
    <t>Crasome Dust &amp; Water Proof Printer Cover for HP Smart Tank All-in-One 750 / 790 (Grey)</t>
  </si>
  <si>
    <t>₹5,499.00</t>
  </si>
  <si>
    <t>B0F91CY6LW</t>
  </si>
  <si>
    <t>Crasome Dust Proof Water Resistant Kitchen Wet Grinder Cover for 2 Litre Table Top Ultra Grind+ Gold - Black</t>
  </si>
  <si>
    <t>₹4,205.00</t>
  </si>
  <si>
    <t>B0FBLZJM8D</t>
  </si>
  <si>
    <t>Crasome Packing Cubes for Travel, Travel Organizer for Men &amp; Women, Travel Storage Bag, Travel Organizer, Packing Bag for Clothes Pack of 12 (Grey-12)</t>
  </si>
  <si>
    <t>₹27,184.87</t>
  </si>
  <si>
    <t>B0CH112ZPG</t>
  </si>
  <si>
    <t>CRASOME Apron for Men Women Chef Cooking Restaurants Gardening Workshop, Barbers with Adjustable Strap and Two Pockets (Green)</t>
  </si>
  <si>
    <t>CRASOME Apron for Men Women Chef Cooking Restaurants Gardening Workshop, Barbers with Adjustable Strap and Two Pockets ( Green_Pack of 2)</t>
  </si>
  <si>
    <t>₹7,799.00</t>
  </si>
  <si>
    <t>₹295.00</t>
  </si>
  <si>
    <t>B0CH3F8952</t>
  </si>
  <si>
    <t>CRASOME Water Dispenser for 20 ltr / Litre Bottle Jar Cover (Grey Pack of 2)</t>
  </si>
  <si>
    <t>₹6,184.00</t>
  </si>
  <si>
    <t>₹379.00</t>
  </si>
  <si>
    <t>B0CH3JNFVV</t>
  </si>
  <si>
    <t>CRASOME Water Dispenser for 20 ltr / Litre Bottle Jar Cover (Black Pack of 2)</t>
  </si>
  <si>
    <t>₹6,881.00</t>
  </si>
  <si>
    <t>₹1,914.00</t>
  </si>
  <si>
    <t>B0DM1PCFD9</t>
  </si>
  <si>
    <t>Crasome Dust &amp; Water Proof Printer Cover for Brother DCP-T226 / DCP-T426W (Grey)</t>
  </si>
  <si>
    <t>₹4,154.00</t>
  </si>
  <si>
    <t>₹283.00</t>
  </si>
  <si>
    <t>B0FB3S1YZW</t>
  </si>
  <si>
    <t>Crasome Saree Bags/Covers for Storage Set of-4 Big Size With Zip Closure for Clothes Bags and Wardrobe Organizer With Transparent Window (SC-TS-4Q)</t>
  </si>
  <si>
    <t>₹11,086.00</t>
  </si>
  <si>
    <t>₹499.00</t>
  </si>
  <si>
    <t>B0BF5VTWVT</t>
  </si>
  <si>
    <t>CRASOME Apron for Men Women Chef Cooking Restaurants Gardening Workshop, Barbers with Adjustable Strap and Two Pockets (Grey)</t>
  </si>
  <si>
    <t>₹6,158.00</t>
  </si>
  <si>
    <t>₹276.00</t>
  </si>
  <si>
    <t>B0D5HPG9WQ</t>
  </si>
  <si>
    <t>CRASOME Travel Organizer Gadget Case | Travel Organiser Pouch for Electronic Accessories | Storage Pouch for Power Adapters, Cables, Dongles, Pen Drives, Laptop Charger (CP2-Grey Pack-2)</t>
  </si>
  <si>
    <t>₹3,576.00</t>
  </si>
  <si>
    <t>B0DVPHGLM3</t>
  </si>
  <si>
    <t>Crasome Dust &amp; Water Proof Printer Cover for Canon Pixma G4770 (Black)</t>
  </si>
  <si>
    <t>₹3,019.00</t>
  </si>
  <si>
    <t>CRM-HP-529-Grey-FBM-1</t>
  </si>
  <si>
    <t>₹2,607.80</t>
  </si>
  <si>
    <t>₹258.45</t>
  </si>
  <si>
    <t>B0CQC8G87Y</t>
  </si>
  <si>
    <t>Crasome Dust &amp; Water Proof Printer Cover for HP Smart Tank All-in-One 529 / 589 (Black)</t>
  </si>
  <si>
    <t>₹2,750.00</t>
  </si>
  <si>
    <t>₹2,511.00</t>
  </si>
  <si>
    <t>B0BQMV2D6H</t>
  </si>
  <si>
    <t>CRASOME Apron for Men Women Chef Cooking Restaurants Gardening Workshop, Barbers with Adjustable Strap and Two Pockets (Red_Pack of 2)</t>
  </si>
  <si>
    <t>₹4,616.00</t>
  </si>
  <si>
    <t>₹395.00</t>
  </si>
  <si>
    <t>B0CH3JHFC4</t>
  </si>
  <si>
    <t>CRASOME Water Dispenser for 20 ltr / Litre Bottle Jar Cover (Black Pack of 5)</t>
  </si>
  <si>
    <t>₹12,928.00</t>
  </si>
  <si>
    <t>₹5,345.00</t>
  </si>
  <si>
    <t>B0CTFBJR4V</t>
  </si>
  <si>
    <t>Crasome Dust &amp; Water Proof Printer Cover for Epson EcoTank L3150 / L3110 (Grey)</t>
  </si>
  <si>
    <t>₹2,436.00</t>
  </si>
  <si>
    <t>B0BQMXRGYR</t>
  </si>
  <si>
    <t>CRASOME Apron for Men Women Chef Cooking Restaurants Gardening Workshop, Barbers with Adjustable Strap and Two Pockets (Green_Pack of 3)</t>
  </si>
  <si>
    <t>₹5,788.00</t>
  </si>
  <si>
    <t>₹1,422.00</t>
  </si>
  <si>
    <t>B0CTFB2GWV</t>
  </si>
  <si>
    <t>Crasome Dust &amp; Water Proof Printer Cover for Epson EcoTank L3150 / L3110 (Black)</t>
  </si>
  <si>
    <t>₹2,182.00</t>
  </si>
  <si>
    <t>B0B36D59BP</t>
  </si>
  <si>
    <t>PS5_Black</t>
  </si>
  <si>
    <t>₹1,703.00</t>
  </si>
  <si>
    <t>B0BF59NWBQ</t>
  </si>
  <si>
    <t>CRASOME Apron for Men Women Chef Cooking Restaurants Gardening Workshop, Barbers with Adjustable Strap and Two Pockets (Red)</t>
  </si>
  <si>
    <t>₹3,366.00</t>
  </si>
  <si>
    <t>B0BQMYFYKL</t>
  </si>
  <si>
    <t>CRASOME Apron for Men Women Chef Cooking Restaurants Gardening Workshop, Barbers with Adjustable Strap and Two Pockets (Brown_Pack of 3)</t>
  </si>
  <si>
    <t>₹3,318.00</t>
  </si>
  <si>
    <t>B0C9X4MBQ3</t>
  </si>
  <si>
    <t>CRASOME Polyester Storage Organizer Gadget Pouch for USB Cable, Earphone, Power Bank, Charger, Hard Disk, Pen Drive, Travel Gadgets Organiser Bag, Laptop Charger Pouch (CP1-Black)</t>
  </si>
  <si>
    <t>₹2,003.00</t>
  </si>
  <si>
    <t>B0DK9918ZY</t>
  </si>
  <si>
    <t>Crasome Dust &amp; Water Proof Printer Cover for Epson EcoTank L3252 (Black)</t>
  </si>
  <si>
    <t>CRM-EP-L3252-NW-BLACK</t>
  </si>
  <si>
    <t>₹1,728.00</t>
  </si>
  <si>
    <t>₹246.00</t>
  </si>
  <si>
    <t>B0BF59CVGV</t>
  </si>
  <si>
    <t>CRASOME Apron for Men Women Chef Cooking Restaurants Gardening Workshop, Barbers with Adjustable Strap and Two Pockets (Blue)</t>
  </si>
  <si>
    <t>₹4,186.00</t>
  </si>
  <si>
    <t>B0BGSKKV1N</t>
  </si>
  <si>
    <t>CRM_Black_PS5</t>
  </si>
  <si>
    <t>₹1,502.00</t>
  </si>
  <si>
    <t>B0CQC5BJQ2</t>
  </si>
  <si>
    <t>Crasome Dust &amp; Water Proof Printer Cover for HP Smart Tank All-in-One 670 / 675 (Grey)</t>
  </si>
  <si>
    <t>₹1,659.00</t>
  </si>
  <si>
    <t>B0CV3M59HH</t>
  </si>
  <si>
    <t>Crasome Dust Proof Water Resistant Kitchen Wet Grinder Cover for 2 Litre Table Top Bajaj WX 1 | Bajaj WX 3 - Grey</t>
  </si>
  <si>
    <t>CRASOME Apron for Men Women Chef Cooking Restaurants Gardening Workshop, Barbers with Adjustable Strap and Two Pockets ( Grey_Pack of 2)</t>
  </si>
  <si>
    <t>₹1,381.00</t>
  </si>
  <si>
    <t>₹1,411.00</t>
  </si>
  <si>
    <t>B0C9X542SL</t>
  </si>
  <si>
    <t>CRASOME Laptop Charger Pouch, Travel Organizer Pouch, Gadget Charger Pouch for Mouse, USB, Charger, Cables, Power Bank, Dongle,Hard Disk (CP1-Black-Pack-2)</t>
  </si>
  <si>
    <t>₹2,416.00</t>
  </si>
  <si>
    <t>₹495.00</t>
  </si>
  <si>
    <t>B0CQC2FSMM</t>
  </si>
  <si>
    <t>Crasome Dust &amp; Water Proof Printer Cover for HP Smart Tank All-in-One 750 / 790 (Black)</t>
  </si>
  <si>
    <t>₹1,345.00</t>
  </si>
  <si>
    <t>B0CTTM35F1</t>
  </si>
  <si>
    <t>Crasome Dust &amp; Water Proof Printer Cover for HP Smart Tank All-in-One 520 / 525 (Black)</t>
  </si>
  <si>
    <t>₹1,076.00</t>
  </si>
  <si>
    <t>B0CY834BP1</t>
  </si>
  <si>
    <t>Crasome Dust Proof Water-resistant Printer Cover for HP Deskjet All-in-One 4826 (Grey)</t>
  </si>
  <si>
    <t>₹1,375.00</t>
  </si>
  <si>
    <t>B0F9NZ1J2K</t>
  </si>
  <si>
    <t>Crasome Saree Bags/Covers for Storage Set of-4 Big Size With Zip Closure for Clothes Bags and Wardrobe Organizer With Transparent Window (SC-BLACK-TS-4Q)</t>
  </si>
  <si>
    <t>₹3,493.00</t>
  </si>
  <si>
    <t>Date</t>
  </si>
  <si>
    <t>B0CH4PKX4P</t>
  </si>
  <si>
    <t>CRASOME Dust Proof Kitchen Wet Grinder Cover for 2 Litre Table Top Bajaj WX 1 | Bajaj WX 3 (Blue)</t>
  </si>
  <si>
    <t>₹1,082.00</t>
  </si>
  <si>
    <t>FNSKU</t>
  </si>
  <si>
    <t>ASIN</t>
  </si>
  <si>
    <t>MSKU</t>
  </si>
  <si>
    <t>Disposition</t>
  </si>
  <si>
    <t>Starting Warehouse Balance</t>
  </si>
  <si>
    <t>In Transit Between Warehouses</t>
  </si>
  <si>
    <t>Receipts</t>
  </si>
  <si>
    <t>Customer Shipments</t>
  </si>
  <si>
    <t>B0DK1H8FRY</t>
  </si>
  <si>
    <t>Customer Returns</t>
  </si>
  <si>
    <t>Vendor Returns</t>
  </si>
  <si>
    <t>CRASOME Travel Organizer Gadget Case | Travel Organiser Pouch for Electronic Accessories | Storage Pouch for Power Adapters, Cables, Dongles, Pen Drives, Laptop Charger (CP3-Grey)</t>
  </si>
  <si>
    <t>Warehouse Transfer In/Out</t>
  </si>
  <si>
    <t>Found</t>
  </si>
  <si>
    <t>Lost</t>
  </si>
  <si>
    <t>Damaged</t>
  </si>
  <si>
    <t>Disposed</t>
  </si>
  <si>
    <t>Other Events</t>
  </si>
  <si>
    <t>Ending Warehouse Balance</t>
  </si>
  <si>
    <t>Unknown Events</t>
  </si>
  <si>
    <t>Location</t>
  </si>
  <si>
    <t>X001MVG9H7</t>
  </si>
  <si>
    <t>B0DLW9J64D</t>
  </si>
  <si>
    <t>Crasome Dust &amp; Water Proof Printer Cover for HP Ink Advantage 2878 / 2876 (Grey)</t>
  </si>
  <si>
    <t>SELLABLE</t>
  </si>
  <si>
    <t>₹1,091.00</t>
  </si>
  <si>
    <t>B0BQMY39JW</t>
  </si>
  <si>
    <t>CRASOME Apron for Men Women Chef Cooking Restaurants Gardening Workshop, Barbers with Adjustable Strap and Two Pockets (Black_Pack of 3)</t>
  </si>
  <si>
    <t>X001MVHN7R</t>
  </si>
  <si>
    <t>B0CQCP88HF</t>
  </si>
  <si>
    <t>Crasome Dust &amp; Water Proof Printer Cover for HP LaserJet Pro MFP M126nw (Grey)</t>
  </si>
  <si>
    <t>X001MVIL19</t>
  </si>
  <si>
    <t>B0BFB31MWV</t>
  </si>
  <si>
    <t>Crasome Dust Proof Water Resistant Kitchen Wet Grinder Cover for 2 Litre Table Top Ultra Perfect S | Ultra Perfect Plus (Blue)</t>
  </si>
  <si>
    <t>B0DLW8V1C8</t>
  </si>
  <si>
    <t>CUSTOMER_DAMAGED</t>
  </si>
  <si>
    <t>Crasome Dust Proof Water Resistant Printer Cover for Brother HL-L2440DW / HL-L2460DW / HL-L2400D (Blue)</t>
  </si>
  <si>
    <t>₹822.00</t>
  </si>
  <si>
    <t>B0DLW9GRQK</t>
  </si>
  <si>
    <t>Crasome Dust Proof Water Resistant Printer Cover for Brother DCP-L2680DW / L2605DW (Blue)</t>
  </si>
  <si>
    <t>CRM-BR-L2520D-L2680DW-BLUE</t>
  </si>
  <si>
    <t>₹837.00</t>
  </si>
  <si>
    <t>B0DM1GM4RV</t>
  </si>
  <si>
    <t>Crasome Dust &amp; Water Proof Printer Cover for Brother DCP-T226 / DCP-T426W (Black)</t>
  </si>
  <si>
    <t>B0DSG5RVXF</t>
  </si>
  <si>
    <t>Crasome Set of 3 Multipurpose Transparent Toiletry Bag for Women &amp; Men, Travel Pouch for Makeup Cosmetic, Travel Organizer for Toiletries, Travel Storage Bag (CTSP1_Blue_3Q)</t>
  </si>
  <si>
    <t>₹1,424.00</t>
  </si>
  <si>
    <t>B0DSG6N2K4</t>
  </si>
  <si>
    <t>Crasome Set of 3 Multipurpose Transparent Toiletry Bag for Women &amp; Men, Travel Pouch for Makeup Cosmetic, Travel Organizer for Toiletries, Travel Storage Bag (CTSP1_3Q) (Grey)</t>
  </si>
  <si>
    <t>₹1,347.00</t>
  </si>
  <si>
    <t>B0F1YVR6CZ</t>
  </si>
  <si>
    <t>Crasome Dust &amp; Water Proof Printer Cover for Epson EcoTank L3252 (Grey-1)</t>
  </si>
  <si>
    <t>₹835.00</t>
  </si>
  <si>
    <t>₹566.00</t>
  </si>
  <si>
    <t>DED4</t>
  </si>
  <si>
    <t>B0CV3MCTXC</t>
  </si>
  <si>
    <t>Crasome Dust Proof Water Resistant Kitchen Wet Grinder Cover for 2 Litre Table Top Bajaj WX 1 | Bajaj WX 3 - Black</t>
  </si>
  <si>
    <t>₹544.00</t>
  </si>
  <si>
    <t>CRM-HP-4828-2878-GREY-FBM</t>
  </si>
  <si>
    <t>₹537.42</t>
  </si>
  <si>
    <t>B0FLY33H16</t>
  </si>
  <si>
    <t>Crasome Pack of 4 Transparent PVC Storage Bags for Saree Covers | Wardrobe Organizer with Zipper | Clear Storage Bags for Clothes, Lehenga, Blankets, Bedsheets, Toys &amp; Documents (CRM-TS-STB-PACK-4)</t>
  </si>
  <si>
    <t>CRM-TS-STB-PACK-4</t>
  </si>
  <si>
    <t>₹1,798.00</t>
  </si>
  <si>
    <t>B0BQMZGXJ4</t>
  </si>
  <si>
    <t>CRASOME Apron for Men Women Chef Cooking Restaurants Gardening Workshop, Barbers with Adjustable Strap and Two Pockets (Blue_Pack of 3)</t>
  </si>
  <si>
    <t>₹474.00</t>
  </si>
  <si>
    <t>PNQ3</t>
  </si>
  <si>
    <t>B0CQC8R7PD</t>
  </si>
  <si>
    <t>Crasome Dust &amp; Water Proof Printer Cover for HP Smart Tank All-in-One 670 / 675 (Black)</t>
  </si>
  <si>
    <t>X001MVIQMN</t>
  </si>
  <si>
    <t>B0CW9Y812Z</t>
  </si>
  <si>
    <t>Crasome Toiletry Pouch for Men &amp; Women, Shaving Kit Bag for Men, Travel Pouch for Toiletries (CTP1_Black)</t>
  </si>
  <si>
    <t>CRM-CTP1-BLACK</t>
  </si>
  <si>
    <t>₹315.00</t>
  </si>
  <si>
    <t>B0DKSPVH4D</t>
  </si>
  <si>
    <t>Crasome Dust Proof Water-resistant Printer Cover for HP Deskjet Advantage Ultra 2820 / 4929 (Black)</t>
  </si>
  <si>
    <t>CRM-HP-4826-4929-Black</t>
  </si>
  <si>
    <t>B0DLWR2DWQ</t>
  </si>
  <si>
    <t>Crasome Dust &amp; Water Proof Printer Cover for HP Smart Tank All-in-One 720 (Grey)</t>
  </si>
  <si>
    <t>CRM-HP-670-720-GREY</t>
  </si>
  <si>
    <t>₹284.00</t>
  </si>
  <si>
    <t>B0DLWTVV7P</t>
  </si>
  <si>
    <t>Crasome Dust &amp; Water Proof Printer Cover for HP Smart Tank All-in-One 720 (Black)</t>
  </si>
  <si>
    <t>CRM-HP-670-720-BLACK</t>
  </si>
  <si>
    <t>B0FLY9P9DR</t>
  </si>
  <si>
    <t>Crasome Pack of 2 Transparent PVC Storage Bags for Saree Covers | Wardrobe Organizer with Zipper | Clear Storage Bags for Clothes, Lehenga, Blankets, Bedsheets, Toys &amp; Documents (CRM-TS-STB-PACK-2)</t>
  </si>
  <si>
    <t>CRM-TS-STB-PACK-2</t>
  </si>
  <si>
    <t>CRASOME Apron for Men Women Chef Cooking Restaurants Gardening Workshop, Barbers with Adjustable Strap and Two Pockets ( Red_Pack of 2)</t>
  </si>
  <si>
    <t>X001O30WRB</t>
  </si>
  <si>
    <t>X001O316KN</t>
  </si>
  <si>
    <t>X001OW1P87</t>
  </si>
  <si>
    <t>CRASOME Apron for Kitchen | Unisex Cooking Apron with 2 Pockets and Adjustable Straps | Apron for Chef, Hotel, Cafe, Restaurant, Gardening, Workshop (Blue Pack of 2)</t>
  </si>
  <si>
    <t>X001OW1WJ9</t>
  </si>
  <si>
    <t>CRASOME Kitchen Apron for Men &amp; Women | Unisex Cooking Apron with 2 Front Pockets and Adjustable Straps | Apron for Chef, Hotel, Cafe, Restaurant, Gardening, Workshop (Tan Pack of 2)</t>
  </si>
  <si>
    <t>Amazon Order Id</t>
  </si>
  <si>
    <t>Merchant Order Id</t>
  </si>
  <si>
    <t>Shipment ID</t>
  </si>
  <si>
    <t>Shipment Item Id</t>
  </si>
  <si>
    <t>Amazon Order Item Id</t>
  </si>
  <si>
    <t>Merchant Order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</si>
  <si>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</si>
  <si>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</si>
  <si>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</si>
  <si>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</si>
  <si>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</si>
  <si>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</si>
  <si>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</si>
  <si>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</si>
  <si>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</si>
  <si>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</si>
  <si>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</si>
  <si>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</si>
  <si>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</si>
  <si>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</si>
  <si>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</si>
  <si>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</si>
  <si>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BLR4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</si>
  <si>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</si>
  <si>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</si>
  <si>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</si>
  <si>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</si>
  <si>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</si>
  <si>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</si>
  <si>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</si>
  <si>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</si>
  <si>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</si>
  <si>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</si>
  <si>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</si>
  <si>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</si>
  <si>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</si>
  <si>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</si>
  <si>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</si>
  <si>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</si>
  <si>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</si>
  <si>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</si>
  <si>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</si>
  <si>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</si>
  <si>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</si>
  <si>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Fulfillment Channel</t>
  </si>
  <si>
    <t>Sales Channel</t>
  </si>
  <si>
    <t>171-0575562-6471546</t>
  </si>
  <si>
    <t>TCLVJW8d9</t>
  </si>
  <si>
    <t>DVvzznrMQj0vR</t>
  </si>
  <si>
    <t>2026-07-26T22:28:50+05:30</t>
  </si>
  <si>
    <t>2026-07-26T23:59:44+05:30</t>
  </si>
  <si>
    <t>2026-07-27T02:59:56+05:30</t>
  </si>
  <si>
    <t>gkrg4wwwl17j25g@marketplace.amazon.in</t>
  </si>
  <si>
    <t>INR</t>
  </si>
  <si>
    <t>Expedited</t>
  </si>
  <si>
    <t>Noida</t>
  </si>
  <si>
    <t>UTTAR PRADESH</t>
  </si>
  <si>
    <t>IN</t>
  </si>
  <si>
    <t>ATS</t>
  </si>
  <si>
    <t>2026-07-27T08:00:00+05:30</t>
  </si>
  <si>
    <t>AFN</t>
  </si>
  <si>
    <t>amazon.in</t>
  </si>
  <si>
    <t>408-9616888-2716341</t>
  </si>
  <si>
    <t>TJPLwcg69</t>
  </si>
  <si>
    <t>DmMjzzr5QD0YR</t>
  </si>
  <si>
    <t>2026-07-26T11:47:06+05:30</t>
  </si>
  <si>
    <t>2026-07-26T23:54:51+05:30</t>
  </si>
  <si>
    <t>2026-07-27T02:55:05+05:30</t>
  </si>
  <si>
    <t>3t4n7k8ldwvrnjj@marketplace.amazon.in</t>
  </si>
  <si>
    <t>CRASOME Apron for Men Women Chef Cooking Restaurants Gardening Workshop, Barbers with Adjustable Strap and Two Pockets ( Ten_Pack of 2)</t>
  </si>
  <si>
    <t>KOLAZHY</t>
  </si>
  <si>
    <t>KERALA</t>
  </si>
  <si>
    <t>2026-07-29T20:00:00+05:30</t>
  </si>
  <si>
    <t>171-1519826-8433930</t>
  </si>
  <si>
    <t>TGfDV7M09</t>
  </si>
  <si>
    <t>DZnSzrrHQg0wR</t>
  </si>
  <si>
    <t>2026-07-25T08:53:38+05:30</t>
  </si>
  <si>
    <t>2026-07-26T23:46:55+05:30</t>
  </si>
  <si>
    <t>2026-07-27T02:47:07+05:30</t>
  </si>
  <si>
    <t>5zwxv4sslg36s93@marketplace.amazon.in</t>
  </si>
  <si>
    <t>CRASOME Apron for Kitchen | Unisex Cooking Apron with 2 Pockets and Adjustable Straps | Apron for Chef, Hotel, Cafe, Restaurant, Gardening, Workshop (Blue)</t>
  </si>
  <si>
    <t>ERANHOLI</t>
  </si>
  <si>
    <t>2026-07-28T20:00:00+05:30</t>
  </si>
  <si>
    <t>403-9810120-3377928</t>
  </si>
  <si>
    <t>T1jCDb869</t>
  </si>
  <si>
    <t>DBv6Vnr2Qh0pR</t>
  </si>
  <si>
    <t>2026-07-26T21:28:22+05:30</t>
  </si>
  <si>
    <t>2026-07-26T23:44:51+05:30</t>
  </si>
  <si>
    <t>2026-07-27T02:45:11+05:30</t>
  </si>
  <si>
    <t>xsn70pmghk4j853@marketplace.amazon.in</t>
  </si>
  <si>
    <t>Crasome Pack of 4 Transparent Storage Bag for Saree Covers,Clothes, Lehenga, Blankets, Bedsheets, Toys, Docs|Wardrobe Organizer|Clear Storage Box Bag - Plastic, 40x32x22 cm</t>
  </si>
  <si>
    <t>MELVISHARAM</t>
  </si>
  <si>
    <t>TAMIL NADU</t>
  </si>
  <si>
    <t>2026-07-27T20:00:00+05:30</t>
  </si>
  <si>
    <t>171-2209402-6520300</t>
  </si>
  <si>
    <t>TC7Mqtg69</t>
  </si>
  <si>
    <t>DTSL2LrkQ30DR</t>
  </si>
  <si>
    <t>2026-07-26T19:32:16+05:30</t>
  </si>
  <si>
    <t>2026-07-26T23:29:52+05:30</t>
  </si>
  <si>
    <t>2026-07-27T02:30:04+05:30</t>
  </si>
  <si>
    <t>nmrv78rqm0169wz@marketplace.amazon.in</t>
  </si>
  <si>
    <t>Crasome Dust &amp; Water Proof Printer Cover for Canon Pixma G2770 / G3770 / G3730 / G2730 (Black)</t>
  </si>
  <si>
    <t>X001OW210X</t>
  </si>
  <si>
    <t>CRASOME Apron for Kitchen | Unisex Cooking Apron with 2 Pockets and Adjustable Straps | Apron for Chef, Hotel, Cafe, Restaurant, Gardening, Workshop (Black Pack of 3)</t>
  </si>
  <si>
    <t>BENGALURU</t>
  </si>
  <si>
    <t>KARNATAKA</t>
  </si>
  <si>
    <t>406-5206012-0862729</t>
  </si>
  <si>
    <t>TnSNL7gc9</t>
  </si>
  <si>
    <t>DCLNV0rXQx0vR</t>
  </si>
  <si>
    <t>2026-07-26T10:46:29+05:30</t>
  </si>
  <si>
    <t>2026-07-26T23:29:01+05:30</t>
  </si>
  <si>
    <t>2026-07-27T02:29:28+05:30</t>
  </si>
  <si>
    <t>kh6h5m8pq5k9dx2@marketplace.amazon.in</t>
  </si>
  <si>
    <t>CHENNAI</t>
  </si>
  <si>
    <t>X001OW23PL</t>
  </si>
  <si>
    <t>407-0422549-9355528</t>
  </si>
  <si>
    <t>TCT5QBgv9</t>
  </si>
  <si>
    <t>D6nyVFrdQN0yR</t>
  </si>
  <si>
    <t>CRASOME Apron for Kitchen | Unisex Cooking Apron with 2 Pockets and Adjustable Straps | Apron for Chef, Hotel, Cafe, Restaurant, Gardening, Workshop (Blue Pack of 3)</t>
  </si>
  <si>
    <t>2026-07-26T11:12:06+05:30</t>
  </si>
  <si>
    <t>2026-07-26T23:28:52+05:30</t>
  </si>
  <si>
    <t>2026-07-27T02:29:04+05:30</t>
  </si>
  <si>
    <t>m56sv45vfx2kj6q@marketplace.amazon.in</t>
  </si>
  <si>
    <t>HYDERABAD</t>
  </si>
  <si>
    <t>TELANGANA</t>
  </si>
  <si>
    <t>2026-07-30T20:00:00+05:30</t>
  </si>
  <si>
    <t>171-4486073-9485937</t>
  </si>
  <si>
    <t>T1BMlkg19</t>
  </si>
  <si>
    <t>DJ3W21rBQR09R</t>
  </si>
  <si>
    <t>2026-07-26T16:47:18+05:30</t>
  </si>
  <si>
    <t>2026-07-26T23:26:51+05:30</t>
  </si>
  <si>
    <t>2026-07-27T02:27:03+05:30</t>
  </si>
  <si>
    <t>vftyh238jmvs4j8@marketplace.amazon.in</t>
  </si>
  <si>
    <t>Crasome Dust &amp; Water Proof Printer Cover for HP Smart Tank All-in-One 580 / 581 / 584 / 585 (Black)</t>
  </si>
  <si>
    <t>NAUBATPUR</t>
  </si>
  <si>
    <t>BIHAR</t>
  </si>
  <si>
    <t>408-1392614-1396306</t>
  </si>
  <si>
    <t>TVMFDH8F9</t>
  </si>
  <si>
    <t>DMrW2fryQ80sR</t>
  </si>
  <si>
    <t>2026-07-26T21:09:42+05:30</t>
  </si>
  <si>
    <t>2026-07-26T23:11:53+05:30</t>
  </si>
  <si>
    <t>2026-07-27T02:12:05+05:30</t>
  </si>
  <si>
    <t>9l28cxk05t4kq4g@marketplace.amazon.in</t>
  </si>
  <si>
    <t>CRM-Cube2-Blue-Pack4</t>
  </si>
  <si>
    <t>CRASOME Pack of 4 Packing Cubes for Travel, Travel Organizer for Men &amp; Women, Luggage Organizers with Laundry Bag, Travel Storage Bag, Travel Organizer, Packing Bag for Clothes (Blue)</t>
  </si>
  <si>
    <t>407-5018963-7101923</t>
  </si>
  <si>
    <t>Tc4j112w9</t>
  </si>
  <si>
    <t>DLZfFcr0Q90cR</t>
  </si>
  <si>
    <t>2026-07-24T19:53:51+05:30</t>
  </si>
  <si>
    <t>2026-07-26T23:07:51+05:30</t>
  </si>
  <si>
    <t>2026-07-27T02:08:04+05:30</t>
  </si>
  <si>
    <t>rvxnj3xt8fnkbd5@marketplace.amazon.in</t>
  </si>
  <si>
    <t>CRM-HP-1008w-Grey_1</t>
  </si>
  <si>
    <t>Crasome Dust Proof Water-resistant Printer Cover for HP Laser 1008w / 1008a (Grey_1)</t>
  </si>
  <si>
    <t>X001OW333H</t>
  </si>
  <si>
    <t>CRASOME Apron for Kitchen | Unisex Cooking Apron with 2 Pockets and Adjustable Straps | Apron for Chef, Hotel, Cafe, Restaurant, Gardening, Workshop (Brown Pack of 2)</t>
  </si>
  <si>
    <t>NAGAON</t>
  </si>
  <si>
    <t>ASSAM</t>
  </si>
  <si>
    <t>406-9837845-8496316</t>
  </si>
  <si>
    <t>Twpgxfgx9</t>
  </si>
  <si>
    <t>D0qZFSr8QH0dR</t>
  </si>
  <si>
    <t>2026-07-26T17:04:08+05:30</t>
  </si>
  <si>
    <t>2026-07-26T22:55:47+05:30</t>
  </si>
  <si>
    <t>2026-07-26T22:55:51+05:30</t>
  </si>
  <si>
    <t>2026-07-26T23:56:04+05:30</t>
  </si>
  <si>
    <t>2mhwx0j29gcqss2@marketplace.amazon.in</t>
  </si>
  <si>
    <t>CRASOME Apron for Kitchen | Unisex Cooking Apron with 2 Pockets and Adjustable Straps | Apron for Chef, Hotel, Cafe, Restaurant, Gardening, Workshop (Black)</t>
  </si>
  <si>
    <t>407-8176000-7525159</t>
  </si>
  <si>
    <t>T1H0yJg89</t>
  </si>
  <si>
    <t>D2qhFDrmQH0dR</t>
  </si>
  <si>
    <t>2026-07-26T12:11:32+05:30</t>
  </si>
  <si>
    <t>2026-07-26T22:53:47+05:30</t>
  </si>
  <si>
    <t>2026-07-26T22:53:50+05:30</t>
  </si>
  <si>
    <t>2026-07-26T23:54:01+05:30</t>
  </si>
  <si>
    <t>b1ns6rgmxzjmwz8@marketplace.amazon.in</t>
  </si>
  <si>
    <t>Greater Noida</t>
  </si>
  <si>
    <t>408-8762755-3393123</t>
  </si>
  <si>
    <t>TwRxkLgQ9</t>
  </si>
  <si>
    <t>D6hQDQrDQF0MR</t>
  </si>
  <si>
    <t>2026-07-26T10:18:50+05:30</t>
  </si>
  <si>
    <t>2026-07-26T22:42:49+05:30</t>
  </si>
  <si>
    <t>2026-07-27T01:43:00+05:30</t>
  </si>
  <si>
    <t>txc24nxfk2wpvxr@marketplace.amazon.in</t>
  </si>
  <si>
    <t>MADURAI</t>
  </si>
  <si>
    <t>2026-08-01T20:00:00+05:30</t>
  </si>
  <si>
    <t>402-6569719-8765930</t>
  </si>
  <si>
    <t>TCX6fsBj9</t>
  </si>
  <si>
    <t>D2WVYdrJQT07R</t>
  </si>
  <si>
    <t>2026-07-26T08:39:28+05:30</t>
  </si>
  <si>
    <t>2026-07-26T22:31:50+05:30</t>
  </si>
  <si>
    <t>2026-07-27T01:32:02+05:30</t>
  </si>
  <si>
    <t>fwqqzt72v8lm919@marketplace.amazon.in</t>
  </si>
  <si>
    <t>Crasome Packing Cubes for Travel, Travel Organizer for Men &amp; Women, Toiletries &amp; Clothes Storage Bags, Travel Organizer Packing Bags, Pack of 3 (Cube1-Grey-Pack3)</t>
  </si>
  <si>
    <t>HOSKOTE</t>
  </si>
  <si>
    <t>408-2383861-0175552</t>
  </si>
  <si>
    <t>TJWHqpgx9</t>
  </si>
  <si>
    <t>Dg6rYGr6Qw0QR</t>
  </si>
  <si>
    <t>2026-07-26T19:29:37+05:30</t>
  </si>
  <si>
    <t>2026-07-26T22:28:48+05:30</t>
  </si>
  <si>
    <t>2026-07-27T01:29:02+05:30</t>
  </si>
  <si>
    <t>xnky7mbrbxw7t17@marketplace.amazon.in</t>
  </si>
  <si>
    <t>BANGALORE</t>
  </si>
  <si>
    <t>404-0072782-3500365</t>
  </si>
  <si>
    <t>TGby9d8H9</t>
  </si>
  <si>
    <t>DzswYtrfQX0vR</t>
  </si>
  <si>
    <t>2026-07-26T21:02:26+05:30</t>
  </si>
  <si>
    <t>2026-07-26T22:23:48+05:30</t>
  </si>
  <si>
    <t>2026-07-26T22:23:51+05:30</t>
  </si>
  <si>
    <t>2026-07-26T23:24:04+05:30</t>
  </si>
  <si>
    <t>jms2spyr9h5mm09@marketplace.amazon.in</t>
  </si>
  <si>
    <t>X001OW36S9</t>
  </si>
  <si>
    <t>Ghaziabad</t>
  </si>
  <si>
    <t>CRASOME Apron for Kitchen | Unisex Cooking Apron with 2 Pockets and Adjustable Straps | Apron for Chef, Hotel, Cafe, Restaurant, Gardening, Workshop (Grey Pack of 2)</t>
  </si>
  <si>
    <t>407-2804806-5061165</t>
  </si>
  <si>
    <t>TVDr7v2z9</t>
  </si>
  <si>
    <t>DHJJYvrYQx0jR</t>
  </si>
  <si>
    <t>2026-07-24T22:16:32+05:30</t>
  </si>
  <si>
    <t>2026-07-26T22:22:52+05:30</t>
  </si>
  <si>
    <t>2026-07-27T01:23:04+05:30</t>
  </si>
  <si>
    <t>tlt929pbstyy4xy@marketplace.amazon.in</t>
  </si>
  <si>
    <t>Crasome Dust &amp; Water Proof Printer Cover for HP Smart Tank All-in-One 580 / 581 / 584 / 585 (Grey)</t>
  </si>
  <si>
    <t>NEW DELHI</t>
  </si>
  <si>
    <t>DELHI</t>
  </si>
  <si>
    <t>407-3945617-2023554</t>
  </si>
  <si>
    <t>T6cWdFMG9</t>
  </si>
  <si>
    <t>DVNyy4rhQT0lR</t>
  </si>
  <si>
    <t>2026-07-25T15:50:31+05:30</t>
  </si>
  <si>
    <t>2026-07-26T22:18:15+05:30</t>
  </si>
  <si>
    <t>2026-07-27T01:18:36+05:30</t>
  </si>
  <si>
    <t>tsc72pn7tx4g93n@marketplace.amazon.in</t>
  </si>
  <si>
    <t>CRASOME Apron for Kitchen | Unisex Cooking Apron with 2 Pockets and Adjustable Straps | Apron for Chef, Hotel, Cafe, Restaurant, Gardening, Workshop (Green)</t>
  </si>
  <si>
    <t>DJN1yyrhQT0lR</t>
  </si>
  <si>
    <t>CRASOME Apron for Kitchen | Unisex Cooking Apron with 2 Pockets and Adjustable Straps | Apron for Chef, Hotel, Cafe, Restaurant, Gardening, Workshop (Grey)</t>
  </si>
  <si>
    <t>403-4681571-5976336</t>
  </si>
  <si>
    <t>TgXqX5g29</t>
  </si>
  <si>
    <t>DWNqy2rZQT0lR</t>
  </si>
  <si>
    <t>2026-07-26T17:02:17+05:30</t>
  </si>
  <si>
    <t>2026-07-26T22:17:06+05:30</t>
  </si>
  <si>
    <t>2026-07-27T01:17:48+05:30</t>
  </si>
  <si>
    <t>xfc5tf7z8r4snzf@marketplace.amazon.in</t>
  </si>
  <si>
    <t>Hyderabad</t>
  </si>
  <si>
    <t>403-8555021-9740321</t>
  </si>
  <si>
    <t>TGtyT0BM9</t>
  </si>
  <si>
    <t>Dc1ZwrrZQd0pR</t>
  </si>
  <si>
    <t>2026-07-25T10:10:23+05:30</t>
  </si>
  <si>
    <t>2026-07-26T22:02:53+05:30</t>
  </si>
  <si>
    <t>2026-07-27T01:07:49+05:30</t>
  </si>
  <si>
    <t>sl1y3vd54k0v5sc@marketplace.amazon.in</t>
  </si>
  <si>
    <t>NOIDA</t>
  </si>
  <si>
    <t>404-4957357-5160316</t>
  </si>
  <si>
    <t>TwdXbbg99</t>
  </si>
  <si>
    <t>DxBbwZrPQZ0YR</t>
  </si>
  <si>
    <t>2026-07-26T09:14:44+05:30</t>
  </si>
  <si>
    <t>2026-07-26T21:55:53+05:30</t>
  </si>
  <si>
    <t>2026-07-27T00:56:05+05:30</t>
  </si>
  <si>
    <t>zq59lbhhzkmdgw7@marketplace.amazon.in</t>
  </si>
  <si>
    <t>X001OW3EB3</t>
  </si>
  <si>
    <t>CRASOME Apron for Kitchen | Unisex Cooking Apron with 2 Pockets and Adjustable Straps | Apron for Chef, Hotel, Cafe, Restaurant, Gardening, Workshop (Tan Pack of 3)</t>
  </si>
  <si>
    <t>VISAKHAPATNAM</t>
  </si>
  <si>
    <t>ANDHRA PRADESH</t>
  </si>
  <si>
    <t>406-8696392-1692325</t>
  </si>
  <si>
    <t>TNWZ2WgD9</t>
  </si>
  <si>
    <t>D8F2BXrwQW03R</t>
  </si>
  <si>
    <t>2026-07-26T11:26:12+05:30</t>
  </si>
  <si>
    <t>2026-07-26T21:40:52+05:30</t>
  </si>
  <si>
    <t>2026-07-26T21:40:57+05:30</t>
  </si>
  <si>
    <t>2026-07-26T22:44:24+05:30</t>
  </si>
  <si>
    <t>spz7shq0hd4lztf@marketplace.amazon.in</t>
  </si>
  <si>
    <t>CRM-PR-G4780-GREY</t>
  </si>
  <si>
    <t>CRASOME Dust &amp; Water Proof Printer Cover for Canon Pixma G4780 (Grey)</t>
  </si>
  <si>
    <t>PUNE</t>
  </si>
  <si>
    <t>MAHARASHTRA</t>
  </si>
  <si>
    <t>404-0110095-2193973</t>
  </si>
  <si>
    <t>TJQZ1dgN9</t>
  </si>
  <si>
    <t>D63lbgrSQn0gR</t>
  </si>
  <si>
    <t>2026-07-26T14:29:30+05:30</t>
  </si>
  <si>
    <t>2026-07-26T20:35:47+05:30</t>
  </si>
  <si>
    <t>2026-07-26T23:36:02+05:30</t>
  </si>
  <si>
    <t>16q7bb6vknmw9l6@marketplace.amazon.in</t>
  </si>
  <si>
    <t>NUVEM</t>
  </si>
  <si>
    <t>GOA</t>
  </si>
  <si>
    <t>X001OW3FHB</t>
  </si>
  <si>
    <t>CRASOME Apron for Kitchen | Unisex Cooking Apron with 2 Pockets and Adjustable Straps | Apron for Chef, Hotel, Cafe, Restaurant, Gardening, Workshop (Black Pack of 2)</t>
  </si>
  <si>
    <t>408-5982026-1336354</t>
  </si>
  <si>
    <t>TNR6sRgQ9</t>
  </si>
  <si>
    <t>DsBnbQrLQr0fR</t>
  </si>
  <si>
    <t>2026-07-26T15:40:17+05:30</t>
  </si>
  <si>
    <t>2026-07-26T20:30:52+05:30</t>
  </si>
  <si>
    <t>2026-07-26T23:31:07+05:30</t>
  </si>
  <si>
    <t>4004bsv7cnplt09@marketplace.amazon.in</t>
  </si>
  <si>
    <t>408-4964524-4027520</t>
  </si>
  <si>
    <t>T1lQzLgM9</t>
  </si>
  <si>
    <t>DtBRbSrvQr0fR</t>
  </si>
  <si>
    <t>2026-07-26T13:56:50+05:30</t>
  </si>
  <si>
    <t>2026-07-26T20:30:43+05:30</t>
  </si>
  <si>
    <t>2026-07-26T20:30:45+05:30</t>
  </si>
  <si>
    <t>2026-07-26T21:30:58+05:30</t>
  </si>
  <si>
    <t>m34mtkhm96k83ym@marketplace.amazon.in</t>
  </si>
  <si>
    <t>Crasome Dust &amp; Water Proof Printer Cover for Epson EcoTank L3252 / L3250 / L3211 / L3260 / L3210 (Black)</t>
  </si>
  <si>
    <t>405-3614210-5364315</t>
  </si>
  <si>
    <t>TcNB4qgd9</t>
  </si>
  <si>
    <t>DtnqbcrnQ70NR</t>
  </si>
  <si>
    <t>2026-07-26T13:29:08+05:30</t>
  </si>
  <si>
    <t>2026-07-26T20:23:59+05:30</t>
  </si>
  <si>
    <t>2026-07-26T23:28:51+05:30</t>
  </si>
  <si>
    <t>55j0hlz5wl5xzc7@marketplace.amazon.in</t>
  </si>
  <si>
    <t>Bhubaneswar</t>
  </si>
  <si>
    <t>ODISHA</t>
  </si>
  <si>
    <t>171-4645116-0444337</t>
  </si>
  <si>
    <t>TnBqYKg99</t>
  </si>
  <si>
    <t>DLfrb2r2Q30xR</t>
  </si>
  <si>
    <t>2026-07-26T10:29:34+05:30</t>
  </si>
  <si>
    <t>2026-07-26T20:23:54+05:30</t>
  </si>
  <si>
    <t>2026-07-26T23:24:11+05:30</t>
  </si>
  <si>
    <t>g6c4gtkc4py7qdj@marketplace.amazon.in</t>
  </si>
  <si>
    <t>Crasome Dust &amp; Water Proof Printer Cover for Epson EcoTank L3252 / L3250 / L3211 / L3260 / L3210 (Grey)</t>
  </si>
  <si>
    <t>KARAIKAL</t>
  </si>
  <si>
    <t>PUDUCHERRY</t>
  </si>
  <si>
    <t>408-2774997-7924364</t>
  </si>
  <si>
    <t>TXLh6hgF9</t>
  </si>
  <si>
    <t>Dyx1krrzQY0RR</t>
  </si>
  <si>
    <t>2026-07-26T17:20:38+05:30</t>
  </si>
  <si>
    <t>2026-07-26T20:05:48+05:30</t>
  </si>
  <si>
    <t>2026-07-26T23:06:00+05:30</t>
  </si>
  <si>
    <t>52c904r7hkc6xbk@marketplace.amazon.in</t>
  </si>
  <si>
    <t>TIRUPATI</t>
  </si>
  <si>
    <t>404-6648099-9821953</t>
  </si>
  <si>
    <t>TJCwxxgk9</t>
  </si>
  <si>
    <t>Dd2MNfrLQZ0XR</t>
  </si>
  <si>
    <t>2026-07-26T17:15:11+05:30</t>
  </si>
  <si>
    <t>2026-07-26T19:57:46+05:30</t>
  </si>
  <si>
    <t>2026-07-26T22:57:57+05:30</t>
  </si>
  <si>
    <t>sch01x3fkbv2b4v@marketplace.amazon.in</t>
  </si>
  <si>
    <t>DEHRADUN</t>
  </si>
  <si>
    <t>UTTARAKHAND</t>
  </si>
  <si>
    <t>402-2525144-2273152</t>
  </si>
  <si>
    <t>TXD48zg69</t>
  </si>
  <si>
    <t>DmV1N5rPQ30PR</t>
  </si>
  <si>
    <t>2026-07-26T17:56:40+05:30</t>
  </si>
  <si>
    <t>2026-07-26T19:55:44+05:30</t>
  </si>
  <si>
    <t>2026-07-26T22:55:56+05:30</t>
  </si>
  <si>
    <t>n75wxmqywvnvmbv@marketplace.amazon.in</t>
  </si>
  <si>
    <t>KOTA</t>
  </si>
  <si>
    <t>RAJASTHAN</t>
  </si>
  <si>
    <t>X001OW3X37</t>
  </si>
  <si>
    <t>CRASOME Apron for Kitchen | Unisex Cooking Apron with 2 Pockets and Adjustable Straps | Apron for Chef, Hotel, Cafe, Restaurant, Gardening, Workshop (Red Pack of 2)</t>
  </si>
  <si>
    <t>408-3579340-7837139</t>
  </si>
  <si>
    <t>T3Ld6sgD9</t>
  </si>
  <si>
    <t>DlGNNLrjQx05R</t>
  </si>
  <si>
    <t>2026-07-26T17:16:54+05:30</t>
  </si>
  <si>
    <t>2026-07-26T19:51:01+05:30</t>
  </si>
  <si>
    <t>2026-07-26T22:51:13+05:30</t>
  </si>
  <si>
    <t>csgldc06r06fwrz@marketplace.amazon.in</t>
  </si>
  <si>
    <t>ROHTAK</t>
  </si>
  <si>
    <t>HARYANA</t>
  </si>
  <si>
    <t>407-0721647-0688363</t>
  </si>
  <si>
    <t>TGhpQ1B29</t>
  </si>
  <si>
    <t>DnlmNbrVQp07R</t>
  </si>
  <si>
    <t>2026-07-25T21:17:24+05:30</t>
  </si>
  <si>
    <t>2026-07-26T19:50:51+05:30</t>
  </si>
  <si>
    <t>2026-07-26T22:51:02+05:30</t>
  </si>
  <si>
    <t>tj63723glskdnhv@marketplace.amazon.in</t>
  </si>
  <si>
    <t>CRASOME Apron for Kitchen | Unisex Cooking Apron with 2 Pockets and Adjustable Straps | Apron for Chef, Hotel, Cafe, Restaurant, Gardening, Workshop (Tan)</t>
  </si>
  <si>
    <t>PATNA</t>
  </si>
  <si>
    <t>171-9056795-2529116</t>
  </si>
  <si>
    <t>TXXgS2gV9</t>
  </si>
  <si>
    <t>DFFbR8r9QK04R</t>
  </si>
  <si>
    <t>2026-07-26T15:56:10+05:30</t>
  </si>
  <si>
    <t>2026-07-26T19:45:52+05:30</t>
  </si>
  <si>
    <t>2026-07-26T22:46:07+05:30</t>
  </si>
  <si>
    <t>1nzpss6z2947rn6@marketplace.amazon.in</t>
  </si>
  <si>
    <t>404-5813834-8674713</t>
  </si>
  <si>
    <t>TgLcMtg79</t>
  </si>
  <si>
    <t>D4yYRdrcQm0WR</t>
  </si>
  <si>
    <t>2026-07-26T14:34:43+05:30</t>
  </si>
  <si>
    <t>2026-07-26T19:45:47+05:30</t>
  </si>
  <si>
    <t>2026-07-26T22:46:00+05:30</t>
  </si>
  <si>
    <t>5ppbqt4rv09r1j0@marketplace.amazon.in</t>
  </si>
  <si>
    <t>chennai</t>
  </si>
  <si>
    <t>X001OW3ZFN</t>
  </si>
  <si>
    <t>CRASOME Apron for Kitchen | Unisex Cooking Apron with 2 Pockets and Adjustable Straps | Apron for Chef, Hotel, Cafe, Restaurant, Gardening, Workshop (Brown Pack of 3)</t>
  </si>
  <si>
    <t>408-8391541-3565948</t>
  </si>
  <si>
    <t>T1KmNkgW9</t>
  </si>
  <si>
    <t>DbwGRyrGQ506R</t>
  </si>
  <si>
    <t>2026-07-26T10:08:20+05:30</t>
  </si>
  <si>
    <t>2026-07-26T19:39:50+05:30</t>
  </si>
  <si>
    <t>2026-07-26T22:40:01+05:30</t>
  </si>
  <si>
    <t>nrshkjcps8lbqbk@marketplace.amazon.in</t>
  </si>
  <si>
    <t>CRM-BR-T535DW-Grey</t>
  </si>
  <si>
    <t>Crasome Dust &amp; Water Proof Printer Cover for Brother Ink Tank DCP-T535DW / DCP-T530DW / DCP-T436W / DCP-T430W (Grey)</t>
  </si>
  <si>
    <t>NALAGARH</t>
  </si>
  <si>
    <t>HIMACHAL PRADESH</t>
  </si>
  <si>
    <t>171-1721352-2341115</t>
  </si>
  <si>
    <t>Tcj7ycgs9</t>
  </si>
  <si>
    <t>DPQ9RyrkQd0KR</t>
  </si>
  <si>
    <t>2026-07-26T11:10:52+05:30</t>
  </si>
  <si>
    <t>2026-07-26T19:38:49+05:30</t>
  </si>
  <si>
    <t>2026-07-26T22:39:02+05:30</t>
  </si>
  <si>
    <t>v6v2y68nc2zcq64@marketplace.amazon.in</t>
  </si>
  <si>
    <t>X001OW4WB9</t>
  </si>
  <si>
    <t>CRASOME Apron for Kitchen | Unisex Cooking Apron with 2 Pockets and Adjustable Straps | Apron for Chef, Hotel, Cafe, Restaurant, Gardening, Workshop (Green Pack of 2)</t>
  </si>
  <si>
    <t>402-1671500-7361912</t>
  </si>
  <si>
    <t>TVxmTLg09</t>
  </si>
  <si>
    <t>DvtQRqr6Qw0rR</t>
  </si>
  <si>
    <t>2026-07-26T14:03:50+05:30</t>
  </si>
  <si>
    <t>2026-07-26T19:36:43+05:30</t>
  </si>
  <si>
    <t>2026-07-26T22:36:56+05:30</t>
  </si>
  <si>
    <t>k12yg2wvn10mgs1@marketplace.amazon.in</t>
  </si>
  <si>
    <t>404-4294854-7346704</t>
  </si>
  <si>
    <t>TJ6WJVMx9</t>
  </si>
  <si>
    <t>DsnSRWr8Q604R</t>
  </si>
  <si>
    <t>2026-07-25T16:29:42+05:30</t>
  </si>
  <si>
    <t>2026-07-26T19:36:31+05:30</t>
  </si>
  <si>
    <t>2026-07-26T22:37:30+05:30</t>
  </si>
  <si>
    <t>gdjw9scqrqc4ysh@marketplace.amazon.in</t>
  </si>
  <si>
    <t>CRM-BR-L2321D-GREY</t>
  </si>
  <si>
    <t>CRASOME Dust &amp; Water Proof Printer Cover for Brother HL-L2321D / HL-L2400D / HL-L2440DW / HL-B2080DW / HL-B2000D (Grey)</t>
  </si>
  <si>
    <t>KOLHAPUR</t>
  </si>
  <si>
    <t>406-4979413-3807505</t>
  </si>
  <si>
    <t>T1v03Cgw9</t>
  </si>
  <si>
    <t>DyQNRwrGQ104R</t>
  </si>
  <si>
    <t>2026-07-26T17:02:13+05:30</t>
  </si>
  <si>
    <t>2026-07-26T19:35:50+05:30</t>
  </si>
  <si>
    <t>2026-07-26T22:36:01+05:30</t>
  </si>
  <si>
    <t>yvhk81fl45k75kv@marketplace.amazon.in</t>
  </si>
  <si>
    <t>402-1245071-1072319</t>
  </si>
  <si>
    <t>TV2RSHgH9</t>
  </si>
  <si>
    <t>DxGkRtr6QK06R</t>
  </si>
  <si>
    <t>2026-07-26T15:37:56+05:30</t>
  </si>
  <si>
    <t>2026-07-26T19:33:44+05:30</t>
  </si>
  <si>
    <t>2026-07-26T22:33:56+05:30</t>
  </si>
  <si>
    <t>pjw6vrngrfy8b5w@marketplace.amazon.in</t>
  </si>
  <si>
    <t>CRASOME Travel Organizer Gadget Case | Electronic Accessories Storage Pouch for Power Adapters, Cables, Dongle, Laptop Charger Pouch (CP2-Grey-Pack2)</t>
  </si>
  <si>
    <t>ORATHANADU</t>
  </si>
  <si>
    <t>X001OW5YED</t>
  </si>
  <si>
    <t>CRASOME Apron for Kitchen | Unisex Cooking Apron with 2 Pockets and Adjustable Straps | Apron for Chef, Hotel, Cafe, Restaurant, Gardening, Workshop (Green Pack of 3)</t>
  </si>
  <si>
    <t>404-7222845-3301935</t>
  </si>
  <si>
    <t>T3dxpMgH9</t>
  </si>
  <si>
    <t>Dbd2RNrGQh07R</t>
  </si>
  <si>
    <t>2026-07-26T16:01:03+05:30</t>
  </si>
  <si>
    <t>2026-07-26T19:28:49+05:30</t>
  </si>
  <si>
    <t>2026-07-26T22:29:01+05:30</t>
  </si>
  <si>
    <t>5dp6sck7x0vz7zp@marketplace.amazon.in</t>
  </si>
  <si>
    <t>402-4530941-3055551</t>
  </si>
  <si>
    <t>Tn3grPgv9</t>
  </si>
  <si>
    <t>D81ZhxJFQ40CR</t>
  </si>
  <si>
    <t>2026-07-26T14:27:25+05:30</t>
  </si>
  <si>
    <t>2026-07-26T19:27:42+05:30</t>
  </si>
  <si>
    <t>2026-07-26T19:27:46+05:30</t>
  </si>
  <si>
    <t>2026-07-26T20:27:57+05:30</t>
  </si>
  <si>
    <t>s32jhs6sddwsth1@marketplace.amazon.in</t>
  </si>
  <si>
    <t>406-0688888-9754711</t>
  </si>
  <si>
    <t>T6hMz9gd9</t>
  </si>
  <si>
    <t>Dyjxf2JSQ20GR</t>
  </si>
  <si>
    <t>2026-07-26T14:00:46+05:30</t>
  </si>
  <si>
    <t>2026-07-26T19:08:48+05:30</t>
  </si>
  <si>
    <t>2026-07-26T22:08:59+05:30</t>
  </si>
  <si>
    <t>mq5xmfggys9blrb@marketplace.amazon.in</t>
  </si>
  <si>
    <t>BAREILLY</t>
  </si>
  <si>
    <t>171-5361450-5135504</t>
  </si>
  <si>
    <t>TC86pYgH9</t>
  </si>
  <si>
    <t>DdDXfVJ8QP0zR</t>
  </si>
  <si>
    <t>2026-07-26T16:42:51+05:30</t>
  </si>
  <si>
    <t>2026-07-26T19:06:46+05:30</t>
  </si>
  <si>
    <t>2026-07-26T22:06:57+05:30</t>
  </si>
  <si>
    <t>glpwmxqnbm0p6sj@marketplace.amazon.in</t>
  </si>
  <si>
    <t>404-2898115-8785919</t>
  </si>
  <si>
    <t>TV0ZCHBY9</t>
  </si>
  <si>
    <t>DLB5ZZJPQr0fR</t>
  </si>
  <si>
    <t>2026-07-26T04:57:52+05:30</t>
  </si>
  <si>
    <t>2026-07-26T18:34:54+05:30</t>
  </si>
  <si>
    <t>2026-07-26T21:35:09+05:30</t>
  </si>
  <si>
    <t>rwgpyygtk317907@marketplace.amazon.in</t>
  </si>
  <si>
    <t>X001OW75ZT</t>
  </si>
  <si>
    <t>B0BQMXG193</t>
  </si>
  <si>
    <t>ARAKONAM</t>
  </si>
  <si>
    <t>CRASOME Apron for Kitchen | Unisex Cooking Apron with 2 Pockets and Adjustable Straps | Apron for Chef, Hotel, Cafe, Restaurant, Gardening, Workshop (Red Pack of 3)</t>
  </si>
  <si>
    <t>405-6056616-7041111</t>
  </si>
  <si>
    <t>TcMXQ09F9</t>
  </si>
  <si>
    <t>DnBhZcJPQr0fR</t>
  </si>
  <si>
    <t>2026-07-21T12:51:09+05:30</t>
  </si>
  <si>
    <t>2026-07-26T18:34:45+05:30</t>
  </si>
  <si>
    <t>2026-07-26T21:34:58+05:30</t>
  </si>
  <si>
    <t>wcd3zjgmcpxg1gw@marketplace.amazon.in</t>
  </si>
  <si>
    <t>MUMBAI</t>
  </si>
  <si>
    <t>407-5249631-8944343</t>
  </si>
  <si>
    <t>TGTyN0g19</t>
  </si>
  <si>
    <t>DhcLZDJ0Qw08R</t>
  </si>
  <si>
    <t>2026-07-26T08:47:09+05:30</t>
  </si>
  <si>
    <t>2026-07-26T18:28:43+05:30</t>
  </si>
  <si>
    <t>2026-07-26T18:28:46+05:30</t>
  </si>
  <si>
    <t>2026-07-26T19:28:59+05:30</t>
  </si>
  <si>
    <t>yflwygsjzvptjcb@marketplace.amazon.in</t>
  </si>
  <si>
    <t>X001T7PV2X</t>
  </si>
  <si>
    <t>CRASOME Polyester Storage Organizer Gadget Pouch for USB Cable, Earphone, Power Bank, Charger, Hard Disk, Pen Drive, Travel Gadgets Organiser Bag, Laptop Charger Pouch (Black Pack of 2)</t>
  </si>
  <si>
    <t>402-3018688-6567525</t>
  </si>
  <si>
    <t>TNL8BYMY9</t>
  </si>
  <si>
    <t>D9hfZDJ4QW0KR</t>
  </si>
  <si>
    <t>2026-07-24T22:59:48+05:30</t>
  </si>
  <si>
    <t>2026-07-26T18:26:47+05:30</t>
  </si>
  <si>
    <t>2026-07-26T21:27:02+05:30</t>
  </si>
  <si>
    <t>cf1jzg5dl4spkcm@marketplace.amazon.in</t>
  </si>
  <si>
    <t>RAJKOT</t>
  </si>
  <si>
    <t>GUJARAT</t>
  </si>
  <si>
    <t>405-9385263-8437130</t>
  </si>
  <si>
    <t>TNNw0rg79</t>
  </si>
  <si>
    <t>DX05ZBJHQ60tR</t>
  </si>
  <si>
    <t>2026-07-26T17:10:11+05:30</t>
  </si>
  <si>
    <t>2026-07-26T18:26:45+05:30</t>
  </si>
  <si>
    <t>2026-07-26T21:26:56+05:30</t>
  </si>
  <si>
    <t>2nqb5lzbsgm4qzv@marketplace.amazon.in</t>
  </si>
  <si>
    <t>LUDHIANA</t>
  </si>
  <si>
    <t>PUNJAB</t>
  </si>
  <si>
    <t>CRASOME Apron for Men Women Chef Cooking Restaurants Gardening Workshop, Barbers with Adjustable Strap and Two Pockets ( Blue_Pack of 3)</t>
  </si>
  <si>
    <t>408-6659691-5801157</t>
  </si>
  <si>
    <t>TVK5ylgB9</t>
  </si>
  <si>
    <t>D2gbq3JZQ10vR</t>
  </si>
  <si>
    <t>2026-07-26T10:25:01+05:30</t>
  </si>
  <si>
    <t>2026-07-26T18:17:46+05:30</t>
  </si>
  <si>
    <t>2026-07-26T21:17:59+05:30</t>
  </si>
  <si>
    <t>v9bpt2d30dv75gp@marketplace.amazon.in</t>
  </si>
  <si>
    <t>NAVI MUMBAI</t>
  </si>
  <si>
    <t>X001T7PV5F</t>
  </si>
  <si>
    <t>408-7749504-9061146</t>
  </si>
  <si>
    <t>TnNtg6BH9</t>
  </si>
  <si>
    <t>DMt6qNJXQ006R</t>
  </si>
  <si>
    <t>2026-07-26T08:20:39+05:30</t>
  </si>
  <si>
    <t>2026-07-26T18:14:53+05:30</t>
  </si>
  <si>
    <t>2026-07-26T21:15:08+05:30</t>
  </si>
  <si>
    <t>cw0t249bn6mzrc6@marketplace.amazon.in</t>
  </si>
  <si>
    <t>405-1943608-2934736</t>
  </si>
  <si>
    <t>TJcRlwgd9</t>
  </si>
  <si>
    <t>D8bqq2JxQs0yR</t>
  </si>
  <si>
    <t>2026-07-26T15:59:56+05:30</t>
  </si>
  <si>
    <t>2026-07-26T18:14:45+05:30</t>
  </si>
  <si>
    <t>2026-07-26T21:14:55+05:30</t>
  </si>
  <si>
    <t>gj653j1fghz3vf2@marketplace.amazon.in</t>
  </si>
  <si>
    <t>X001UTMT3T</t>
  </si>
  <si>
    <t>405-7492042-4481128</t>
  </si>
  <si>
    <t>Tgp4FKgk9</t>
  </si>
  <si>
    <t>D82X5PJTQN0WR</t>
  </si>
  <si>
    <t>2026-07-26T13:06:31+05:30</t>
  </si>
  <si>
    <t>2026-07-26T17:55:52+05:30</t>
  </si>
  <si>
    <t>2026-07-26T20:56:03+05:30</t>
  </si>
  <si>
    <t>phgtcndqqjnr7v9@marketplace.amazon.in</t>
  </si>
  <si>
    <t>408-1732488-6225959</t>
  </si>
  <si>
    <t>T3v79Dgj9</t>
  </si>
  <si>
    <t>DG2q53J7QN0WR</t>
  </si>
  <si>
    <t>2026-07-26T09:51:55+05:30</t>
  </si>
  <si>
    <t>2026-07-26T17:52:55+05:30</t>
  </si>
  <si>
    <t>2026-07-26T20:53:13+05:30</t>
  </si>
  <si>
    <t>mhmdtjwbhfc2b1j@marketplace.amazon.in</t>
  </si>
  <si>
    <t>GINGEE</t>
  </si>
  <si>
    <t>405-5055534-2967552</t>
  </si>
  <si>
    <t>T1S9nSg49</t>
  </si>
  <si>
    <t>Dg8ggKJLQn0sR</t>
  </si>
  <si>
    <t>2026-07-26T14:14:09+05:30</t>
  </si>
  <si>
    <t>2026-07-26T17:47:46+05:30</t>
  </si>
  <si>
    <t>2026-07-26T20:48:00+05:30</t>
  </si>
  <si>
    <t>lmy5k5ptxzw6tpp@marketplace.amazon.in</t>
  </si>
  <si>
    <t>404-0256923-8231575</t>
  </si>
  <si>
    <t>TnR4r6gv9</t>
  </si>
  <si>
    <t>DvtSgVJ5QS0zR</t>
  </si>
  <si>
    <t>2026-07-26T14:10:33+05:30</t>
  </si>
  <si>
    <t>2026-07-26T17:35:40+05:30</t>
  </si>
  <si>
    <t>2026-07-26T17:35:43+05:30</t>
  </si>
  <si>
    <t>2026-07-26T18:35:56+05:30</t>
  </si>
  <si>
    <t>q09pmfw6tj0lr34@marketplace.amazon.in</t>
  </si>
  <si>
    <t>171-5386864-6371540</t>
  </si>
  <si>
    <t>TgfbDNgK9</t>
  </si>
  <si>
    <t>Dzf8gLJKQB0mR</t>
  </si>
  <si>
    <t>2026-07-26T11:51:20+05:30</t>
  </si>
  <si>
    <t>2026-07-26T20:35:57+05:30</t>
  </si>
  <si>
    <t>9bvlxrv0hpqgm9f@marketplace.amazon.in</t>
  </si>
  <si>
    <t>CRM-TS-STB-PACK-6</t>
  </si>
  <si>
    <t>CRASOME Pack of 6 Transparent Storage Bag for Saree Covers,Clothes, Lehenga, Blankets, Bedsheets, Toys, Docs|Wardrobe Organizer|Clear Storage Box Bag - Pack of (6), Plastic, 40x32x22 cm</t>
  </si>
  <si>
    <t>BARASAT, NORTH 24 PARGANAS</t>
  </si>
  <si>
    <t>WEST BENGAL</t>
  </si>
  <si>
    <t>X001UTR6K5</t>
  </si>
  <si>
    <t>408-2354813-2745161</t>
  </si>
  <si>
    <t>TnPgJwgJ9</t>
  </si>
  <si>
    <t>DlJRgpJWQm0hR</t>
  </si>
  <si>
    <t>2026-07-26T15:03:11+05:30</t>
  </si>
  <si>
    <t>2026-07-26T17:34:50+05:30</t>
  </si>
  <si>
    <t>2026-07-26T20:35:01+05:30</t>
  </si>
  <si>
    <t>t4py0pn5b7mrdm3@marketplace.amazon.in</t>
  </si>
  <si>
    <t>DHARMAPURI</t>
  </si>
  <si>
    <t>404-6958302-2485934</t>
  </si>
  <si>
    <t>TX42z8gY9</t>
  </si>
  <si>
    <t>DM1Q85J4QN0BR</t>
  </si>
  <si>
    <t>2026-07-26T12:06:19+05:30</t>
  </si>
  <si>
    <t>2026-07-26T17:22:51+05:30</t>
  </si>
  <si>
    <t>2026-07-26T20:23:03+05:30</t>
  </si>
  <si>
    <t>zcmm74339p1jgss@marketplace.amazon.in</t>
  </si>
  <si>
    <t>408-5575563-9893119</t>
  </si>
  <si>
    <t>TwHJSBgl9</t>
  </si>
  <si>
    <t>DZL08fJNQk0PR</t>
  </si>
  <si>
    <t>2026-07-26T15:37:34+05:30</t>
  </si>
  <si>
    <t>2026-07-26T17:16:48+05:30</t>
  </si>
  <si>
    <t>2026-07-26T17:16:50+05:30</t>
  </si>
  <si>
    <t>2026-07-26T18:17:05+05:30</t>
  </si>
  <si>
    <t>89yc2f6cjks4w61@marketplace.amazon.in</t>
  </si>
  <si>
    <t>404-0249695-5840335</t>
  </si>
  <si>
    <t>TG8lw5g39</t>
  </si>
  <si>
    <t>D8Lq8CJYQp0DR</t>
  </si>
  <si>
    <t>2026-07-26T12:44:29+05:30</t>
  </si>
  <si>
    <t>2026-07-26T20:17:01+05:30</t>
  </si>
  <si>
    <t>dc9y217fzcksmrp@marketplace.amazon.in</t>
  </si>
  <si>
    <t>MADHURAWADA</t>
  </si>
  <si>
    <t>171-4498150-1793123</t>
  </si>
  <si>
    <t>TgWqYpgc9</t>
  </si>
  <si>
    <t>DFwTX3J0QH05R</t>
  </si>
  <si>
    <t>2026-07-26T11:18:57+05:30</t>
  </si>
  <si>
    <t>2026-07-26T17:03:45+05:30</t>
  </si>
  <si>
    <t>2026-07-26T20:03:57+05:30</t>
  </si>
  <si>
    <t>t35229h1xy7lc2z@marketplace.amazon.in</t>
  </si>
  <si>
    <t>VIZIANAGARAM</t>
  </si>
  <si>
    <t>406-5702074-6529936</t>
  </si>
  <si>
    <t>TJnYQ8Bc9</t>
  </si>
  <si>
    <t>Dsc5XzJ5Qg0jR</t>
  </si>
  <si>
    <t>2026-07-25T23:57:49+05:30</t>
  </si>
  <si>
    <t>2026-07-26T17:00:45+05:30</t>
  </si>
  <si>
    <t>2026-07-26T20:01:00+05:30</t>
  </si>
  <si>
    <t>1hq0sr64tr2l8nf@marketplace.amazon.in</t>
  </si>
  <si>
    <t>Panvel</t>
  </si>
  <si>
    <t>171-6902080-8849916</t>
  </si>
  <si>
    <t>TCvYH8gL9</t>
  </si>
  <si>
    <t>DSX8CcJbQG0yR</t>
  </si>
  <si>
    <t>2026-07-26T12:23:03+05:30</t>
  </si>
  <si>
    <t>2026-07-26T16:52:53+05:30</t>
  </si>
  <si>
    <t>2026-07-26T19:53:10+05:30</t>
  </si>
  <si>
    <t>pxg0v81n67nmjq5@marketplace.amazon.in</t>
  </si>
  <si>
    <t>Bangalore</t>
  </si>
  <si>
    <t>X001UUJYRR</t>
  </si>
  <si>
    <t>403-8618824-6537917</t>
  </si>
  <si>
    <t>TJWRJ2BS9</t>
  </si>
  <si>
    <t>DmtxCwJGQr0HR</t>
  </si>
  <si>
    <t>2026-07-25T23:40:38+05:30</t>
  </si>
  <si>
    <t>2026-07-26T16:44:55+05:30</t>
  </si>
  <si>
    <t>2026-07-26T19:48:23+05:30</t>
  </si>
  <si>
    <t>8m9bbpyj4s5g2n8@marketplace.amazon.in</t>
  </si>
  <si>
    <t>405-7241663-0518762</t>
  </si>
  <si>
    <t>TNKHyFgx9</t>
  </si>
  <si>
    <t>DZ28WYJtQ90YR</t>
  </si>
  <si>
    <t>2026-07-26T11:08:24+05:30</t>
  </si>
  <si>
    <t>2026-07-26T16:19:45+05:30</t>
  </si>
  <si>
    <t>2026-07-26T19:19:57+05:30</t>
  </si>
  <si>
    <t>y7vq83bpgmvjy04@marketplace.amazon.in</t>
  </si>
  <si>
    <t>171-9891648-7774710</t>
  </si>
  <si>
    <t>TgpbNPgq9</t>
  </si>
  <si>
    <t>D9BQW0J8QQ0cR</t>
  </si>
  <si>
    <t>2026-07-26T09:01:31+05:30</t>
  </si>
  <si>
    <t>2026-07-26T16:12:52+05:30</t>
  </si>
  <si>
    <t>2026-07-26T19:13:05+05:30</t>
  </si>
  <si>
    <t>d98zypx2kqmsxzh@marketplace.amazon.in</t>
  </si>
  <si>
    <t>Koottanad</t>
  </si>
  <si>
    <t>404-0996565-4316319</t>
  </si>
  <si>
    <t>T3zlNlgd9</t>
  </si>
  <si>
    <t>D2YsWGJZQG0jR</t>
  </si>
  <si>
    <t>2026-07-26T08:55:45+05:30</t>
  </si>
  <si>
    <t>2026-07-26T16:08:47+05:30</t>
  </si>
  <si>
    <t>2026-07-26T19:08:58+05:30</t>
  </si>
  <si>
    <t>116vs5btpb98lpp@marketplace.amazon.in</t>
  </si>
  <si>
    <t>AJMER</t>
  </si>
  <si>
    <t>408-4289917-1619516</t>
  </si>
  <si>
    <t>TXqBh0BJ9</t>
  </si>
  <si>
    <t>DPG8WQJPQN0HR</t>
  </si>
  <si>
    <t>2026-07-26T08:56:57+05:30</t>
  </si>
  <si>
    <t>2026-07-26T16:04:46+05:30</t>
  </si>
  <si>
    <t>2026-07-26T19:04:57+05:30</t>
  </si>
  <si>
    <t>6x41dcdqw398w8g@marketplace.amazon.in</t>
  </si>
  <si>
    <t>CRASOME Apron for Men Women Chef Cooking Restaurants Gardening Workshop, Barbers with Adjustable Strap and Two Pockets ( Brown_Pack of 3)</t>
  </si>
  <si>
    <t>X001UULHO5</t>
  </si>
  <si>
    <t>171-7888967-2783523</t>
  </si>
  <si>
    <t>TNV8vXgz9</t>
  </si>
  <si>
    <t>D7KgKZJvQM0LR</t>
  </si>
  <si>
    <t>2026-07-26T12:53:31+05:30</t>
  </si>
  <si>
    <t>2026-07-26T16:03:42+05:30</t>
  </si>
  <si>
    <t>2026-07-26T16:03:45+05:30</t>
  </si>
  <si>
    <t>2026-07-26T17:03:57+05:30</t>
  </si>
  <si>
    <t>7bdwbmr2p9vgwx4@marketplace.amazon.in</t>
  </si>
  <si>
    <t>THANE</t>
  </si>
  <si>
    <t>403-9386522-4765109</t>
  </si>
  <si>
    <t>TwbDVLgN9</t>
  </si>
  <si>
    <t>DDv0KqJkQ90PR</t>
  </si>
  <si>
    <t>2026-07-26T12:19:44+05:30</t>
  </si>
  <si>
    <t>2026-07-26T16:02:42+05:30</t>
  </si>
  <si>
    <t>2026-07-26T16:02:46+05:30</t>
  </si>
  <si>
    <t>2026-07-26T17:02:57+05:30</t>
  </si>
  <si>
    <t>5p4pbcm0th0p4kf@marketplace.amazon.in</t>
  </si>
  <si>
    <t>404-0676753-5225943</t>
  </si>
  <si>
    <t>TNCmV0gm9</t>
  </si>
  <si>
    <t>DJK6KWJyQM0LR</t>
  </si>
  <si>
    <t>2026-07-26T12:33:04+05:30</t>
  </si>
  <si>
    <t>2026-07-26T16:01:46+05:30</t>
  </si>
  <si>
    <t>2026-07-26T16:01:49+05:30</t>
  </si>
  <si>
    <t>2026-07-26T17:02:01+05:30</t>
  </si>
  <si>
    <t>qh6pz5dd9nxxcb1@marketplace.amazon.in</t>
  </si>
  <si>
    <t>402-9366105-2712351</t>
  </si>
  <si>
    <t>T39lyQgx9</t>
  </si>
  <si>
    <t>D3ynmGJ7QB0kR</t>
  </si>
  <si>
    <t>2026-07-26T13:40:58+05:30</t>
  </si>
  <si>
    <t>2026-07-26T15:41:42+05:30</t>
  </si>
  <si>
    <t>2026-07-26T18:41:53+05:30</t>
  </si>
  <si>
    <t>dkdhdw6v104zd0j@marketplace.amazon.in</t>
  </si>
  <si>
    <t>JAIPUR</t>
  </si>
  <si>
    <t>406-7978558-9953953</t>
  </si>
  <si>
    <t>TC1Rr2Bg9</t>
  </si>
  <si>
    <t>DnFZm9JZQ60PR</t>
  </si>
  <si>
    <t>2026-07-25T22:44:50+05:30</t>
  </si>
  <si>
    <t>2026-07-26T15:38:49+05:30</t>
  </si>
  <si>
    <t>2026-07-26T18:39:04+05:30</t>
  </si>
  <si>
    <t>wld3tk5f2f1r6fg@marketplace.amazon.in</t>
  </si>
  <si>
    <t>GHAZIABAD</t>
  </si>
  <si>
    <t>Dw60mwJ5Qm0BR</t>
  </si>
  <si>
    <t>171-6643526-8623550</t>
  </si>
  <si>
    <t>TNpvbfg69</t>
  </si>
  <si>
    <t>DB6ZmHJnQm0BR</t>
  </si>
  <si>
    <t>2026-07-26T10:30:48+05:30</t>
  </si>
  <si>
    <t>2026-07-26T15:34:47+05:30</t>
  </si>
  <si>
    <t>2026-07-26T18:35:01+05:30</t>
  </si>
  <si>
    <t>7vqq2gtwk8jdkh6@marketplace.amazon.in</t>
  </si>
  <si>
    <t>X001UUN73J</t>
  </si>
  <si>
    <t>406-9406716-8257112</t>
  </si>
  <si>
    <t>T38qVKMq9</t>
  </si>
  <si>
    <t>DCDk6pJ6Qs00R</t>
  </si>
  <si>
    <t>2026-07-25T11:28:14+05:30</t>
  </si>
  <si>
    <t>2026-07-26T14:32:45+05:30</t>
  </si>
  <si>
    <t>2026-07-26T17:32:56+05:30</t>
  </si>
  <si>
    <t>sj2bgg61cm27fg1@marketplace.amazon.in</t>
  </si>
  <si>
    <t>Vijayawada</t>
  </si>
  <si>
    <t>407-4196138-8685127</t>
  </si>
  <si>
    <t>TwZN9NBn9</t>
  </si>
  <si>
    <t>DT0n6VJTQC0QR</t>
  </si>
  <si>
    <t>2026-07-25T19:21:11+05:30</t>
  </si>
  <si>
    <t>2026-07-26T14:21:54+05:30</t>
  </si>
  <si>
    <t>2026-07-26T17:22:08+05:30</t>
  </si>
  <si>
    <t>zflfd1t4bdggsr0@marketplace.amazon.in</t>
  </si>
  <si>
    <t>402-1883403-2230743</t>
  </si>
  <si>
    <t>TC1Vzxgl9</t>
  </si>
  <si>
    <t>Db4NdWJxQb07R</t>
  </si>
  <si>
    <t>2026-07-26T12:00:41+05:30</t>
  </si>
  <si>
    <t>2026-07-26T14:17:43+05:30</t>
  </si>
  <si>
    <t>2026-07-26T14:17:45+05:30</t>
  </si>
  <si>
    <t>2026-07-26T15:17:56+05:30</t>
  </si>
  <si>
    <t>bz4tzw240pqss82@marketplace.amazon.in</t>
  </si>
  <si>
    <t>Chennai</t>
  </si>
  <si>
    <t>408-5320395-3559527</t>
  </si>
  <si>
    <t>TgnBHsBk9</t>
  </si>
  <si>
    <t>DZb8tbJ2Q20gR</t>
  </si>
  <si>
    <t>2026-07-25T20:41:40+05:30</t>
  </si>
  <si>
    <t>2026-07-26T13:39:56+05:30</t>
  </si>
  <si>
    <t>2026-07-26T16:40:07+05:30</t>
  </si>
  <si>
    <t>2sgj5j7rgdlr23w@marketplace.amazon.in</t>
  </si>
  <si>
    <t>DLV</t>
  </si>
  <si>
    <t>2026-07-31T20:00:00+05:30</t>
  </si>
  <si>
    <t>408-0498691-9637146</t>
  </si>
  <si>
    <t>T3141yB09</t>
  </si>
  <si>
    <t>Dv8rPhJDQt0zR</t>
  </si>
  <si>
    <t>2026-07-25T13:44:08+05:30</t>
  </si>
  <si>
    <t>2026-07-26T13:29:54+05:30</t>
  </si>
  <si>
    <t>2026-07-26T16:30:06+05:30</t>
  </si>
  <si>
    <t>0xj1rr09gxm2w5y@marketplace.amazon.in</t>
  </si>
  <si>
    <t>X001UUNTZZ</t>
  </si>
  <si>
    <t>404-9757055-8017962</t>
  </si>
  <si>
    <t>TX6D1jBQ9</t>
  </si>
  <si>
    <t>Dft9PFJGQY0yR</t>
  </si>
  <si>
    <t>2026-07-25T21:04:01+05:30</t>
  </si>
  <si>
    <t>2026-07-26T13:17:51+05:30</t>
  </si>
  <si>
    <t>2026-07-26T13:17:54+05:30</t>
  </si>
  <si>
    <t>2026-07-26T14:18:08+05:30</t>
  </si>
  <si>
    <t>w1f64drh7ry1x6x@marketplace.amazon.in</t>
  </si>
  <si>
    <t>CRM-PR-670-G3780-GREY</t>
  </si>
  <si>
    <t>CRASOME Dust &amp; Water Proof Printer Cover for Canon Pixma G3780 (Grey)</t>
  </si>
  <si>
    <t>402-5792833-9113158</t>
  </si>
  <si>
    <t>Tn2KKwMF9</t>
  </si>
  <si>
    <t>DLr9PXJPQT0dR</t>
  </si>
  <si>
    <t>2026-07-25T16:09:55+05:30</t>
  </si>
  <si>
    <t>2026-07-26T13:11:46+05:30</t>
  </si>
  <si>
    <t>2026-07-26T16:11:57+05:30</t>
  </si>
  <si>
    <t>vg5gxl4bgwmn3jq@marketplace.amazon.in</t>
  </si>
  <si>
    <t>KURNOOL</t>
  </si>
  <si>
    <t>IPS</t>
  </si>
  <si>
    <t>AC004070143IN</t>
  </si>
  <si>
    <t>2026-08-03T20:00:00+05:30</t>
  </si>
  <si>
    <t>404-0795111-7829969</t>
  </si>
  <si>
    <t>TJPfZdBC9</t>
  </si>
  <si>
    <t>D2pgP4J3Q30FR</t>
  </si>
  <si>
    <t>2026-07-26T09:45:49+05:30</t>
  </si>
  <si>
    <t>2026-07-26T13:11:41+05:30</t>
  </si>
  <si>
    <t>2026-07-26T13:11:44+05:30</t>
  </si>
  <si>
    <t>2026-07-26T14:11:55+05:30</t>
  </si>
  <si>
    <t>jjwnhcnqyy1qrzy@marketplace.amazon.in</t>
  </si>
  <si>
    <t>2026-07-26T20:00:00+05:30</t>
  </si>
  <si>
    <t>171-9105734-8173154</t>
  </si>
  <si>
    <t>TCW9jfBw9</t>
  </si>
  <si>
    <t>DVxCTpJXQx0BR</t>
  </si>
  <si>
    <t>2026-07-26T06:37:04+05:30</t>
  </si>
  <si>
    <t>2026-07-26T12:56:54+05:30</t>
  </si>
  <si>
    <t>2026-07-26T15:57:11+05:30</t>
  </si>
  <si>
    <t>j3gnxyl1f4clnmh@marketplace.amazon.in</t>
  </si>
  <si>
    <t>408-8077434-0440311</t>
  </si>
  <si>
    <t>TV30fpBb9</t>
  </si>
  <si>
    <t>DYnDT2JqQz0cR</t>
  </si>
  <si>
    <t>2026-07-26T08:13:41+05:30</t>
  </si>
  <si>
    <t>2026-07-26T12:54:53+05:30</t>
  </si>
  <si>
    <t>2026-07-26T15:55:05+05:30</t>
  </si>
  <si>
    <t>25c87w89b2z055n@marketplace.amazon.in</t>
  </si>
  <si>
    <t>BELAGAVI</t>
  </si>
  <si>
    <t>X001XA4ADR</t>
  </si>
  <si>
    <t>405-0667671-3996323</t>
  </si>
  <si>
    <t>T3PhH6BR9</t>
  </si>
  <si>
    <t>DzQRnVJLQt0hR</t>
  </si>
  <si>
    <t>2026-07-25T20:36:02+05:30</t>
  </si>
  <si>
    <t>2026-07-26T12:45:59+05:30</t>
  </si>
  <si>
    <t>2026-07-26T15:46:12+05:30</t>
  </si>
  <si>
    <t>q8z9zbn0pffq4jh@marketplace.amazon.in</t>
  </si>
  <si>
    <t>2026-08-02T20:00:00+05:30</t>
  </si>
  <si>
    <t>406-2585139-1595535</t>
  </si>
  <si>
    <t>Tg81b1gh9</t>
  </si>
  <si>
    <t>DX0hxyJZQP0nR</t>
  </si>
  <si>
    <t>2026-07-26T10:42:15+05:30</t>
  </si>
  <si>
    <t>2026-07-26T12:23:41+05:30</t>
  </si>
  <si>
    <t>2026-07-26T15:23:52+05:30</t>
  </si>
  <si>
    <t>fxtk0j9n6qdz3bd@marketplace.amazon.in</t>
  </si>
  <si>
    <t>407-9511764-9813917</t>
  </si>
  <si>
    <t>Tw1qh4Bz9</t>
  </si>
  <si>
    <t>D0j0MSJpQ40KR</t>
  </si>
  <si>
    <t>2026-07-25T21:59:48+05:30</t>
  </si>
  <si>
    <t>2026-07-26T11:42:52+05:30</t>
  </si>
  <si>
    <t>2026-07-26T14:43:09+05:30</t>
  </si>
  <si>
    <t>5qwncqr8ktkzx9z@marketplace.amazon.in</t>
  </si>
  <si>
    <t>MARGAO</t>
  </si>
  <si>
    <t>403-5485324-3409931</t>
  </si>
  <si>
    <t>TNcmXQBT9</t>
  </si>
  <si>
    <t>DsfpMpJlQQ0MR</t>
  </si>
  <si>
    <t>2026-07-26T07:46:05+05:30</t>
  </si>
  <si>
    <t>2026-07-26T11:33:43+05:30</t>
  </si>
  <si>
    <t>2026-07-26T11:33:46+05:30</t>
  </si>
  <si>
    <t>2026-07-26T12:33:58+05:30</t>
  </si>
  <si>
    <t>lkf80flk5b1v0kd@marketplace.amazon.in</t>
  </si>
  <si>
    <t>408-4033642-1626715</t>
  </si>
  <si>
    <t>TN1Lksg89</t>
  </si>
  <si>
    <t>DTqbMFJBQZ0dR</t>
  </si>
  <si>
    <t>2026-07-26T09:19:46+05:30</t>
  </si>
  <si>
    <t>2026-07-26T11:30:43+05:30</t>
  </si>
  <si>
    <t>2026-07-26T14:30:54+05:30</t>
  </si>
  <si>
    <t>ddvm5z1tkm07gwf@marketplace.amazon.in</t>
  </si>
  <si>
    <t>ONGOLEongole</t>
  </si>
  <si>
    <t>407-8126253-0806750</t>
  </si>
  <si>
    <t>T32gbdM79</t>
  </si>
  <si>
    <t>Df5B1NJ0Qy02R</t>
  </si>
  <si>
    <t>2026-07-25T12:13:12+05:30</t>
  </si>
  <si>
    <t>2026-07-26T11:27:49+05:30</t>
  </si>
  <si>
    <t>2026-07-26T14:28:00+05:30</t>
  </si>
  <si>
    <t>wylw9xq0rtt1jl3@marketplace.amazon.in</t>
  </si>
  <si>
    <t>CRASOME Dust Proof Water-resistant Printer Cover for Canon Pixma TS207 (Grey)</t>
  </si>
  <si>
    <t>Dombivli</t>
  </si>
  <si>
    <t>407-3905396-9556300</t>
  </si>
  <si>
    <t>TG4tb1Bz9</t>
  </si>
  <si>
    <t>Dn5v18JBQV0dR</t>
  </si>
  <si>
    <t>2026-07-25T20:24:01+05:30</t>
  </si>
  <si>
    <t>2026-07-26T11:24:48+05:30</t>
  </si>
  <si>
    <t>2026-07-26T14:25:00+05:30</t>
  </si>
  <si>
    <t>b84v0b6nsxjmwdg@marketplace.amazon.in</t>
  </si>
  <si>
    <t>SARAPAKA</t>
  </si>
  <si>
    <t>403-0164881-4802727</t>
  </si>
  <si>
    <t>T1d6bRgR9</t>
  </si>
  <si>
    <t>DFRl19JSQc0qR</t>
  </si>
  <si>
    <t>2026-07-26T09:18:02+05:30</t>
  </si>
  <si>
    <t>2026-07-26T11:14:50+05:30</t>
  </si>
  <si>
    <t>2026-07-26T14:15:02+05:30</t>
  </si>
  <si>
    <t>s4r195kjh9hmybt@marketplace.amazon.in</t>
  </si>
  <si>
    <t>Gandhinagar</t>
  </si>
  <si>
    <t>407-1965809-6205968</t>
  </si>
  <si>
    <t>TV8vpmBx9</t>
  </si>
  <si>
    <t>DKHxr9JSQ40sR</t>
  </si>
  <si>
    <t>2026-07-26T03:35:44+05:30</t>
  </si>
  <si>
    <t>2026-07-26T10:57:47+05:30</t>
  </si>
  <si>
    <t>2026-07-26T10:57:51+05:30</t>
  </si>
  <si>
    <t>2026-07-26T11:58:05+05:30</t>
  </si>
  <si>
    <t>0xt3hv2ntd9ycy6@marketplace.amazon.in</t>
  </si>
  <si>
    <t>GURUGRAM</t>
  </si>
  <si>
    <t>406-6306702-6962739</t>
  </si>
  <si>
    <t>TcBKM5BY9</t>
  </si>
  <si>
    <t>DRSB7GJtQ90rR</t>
  </si>
  <si>
    <t>2026-07-25T23:04:18+05:30</t>
  </si>
  <si>
    <t>2026-07-26T10:54:49+05:30</t>
  </si>
  <si>
    <t>2026-07-26T13:55:00+05:30</t>
  </si>
  <si>
    <t>jdxtmsqmn69fn7s@marketplace.amazon.in</t>
  </si>
  <si>
    <t>X001XA4AIR</t>
  </si>
  <si>
    <t>CRASOME Apron for Men Women Chef Cooking Restaurants Gardening Workshop, Barbers with Adjustable Strap and Two Pockets ( Green_Pack of 3 )</t>
  </si>
  <si>
    <t>RAE BARELI</t>
  </si>
  <si>
    <t>405-0137506-7767515</t>
  </si>
  <si>
    <t>T33qf4B69</t>
  </si>
  <si>
    <t>DhYx7SJqQv0PR</t>
  </si>
  <si>
    <t>2026-07-26T08:37:18+05:30</t>
  </si>
  <si>
    <t>2026-07-26T10:40:44+05:30</t>
  </si>
  <si>
    <t>2026-07-26T10:40:47+05:30</t>
  </si>
  <si>
    <t>2026-07-26T11:40:58+05:30</t>
  </si>
  <si>
    <t>36k3n8g24491zjz@marketplace.amazon.in</t>
  </si>
  <si>
    <t>New Delhi</t>
  </si>
  <si>
    <t>404-9629096-3976312</t>
  </si>
  <si>
    <t>T1XYS6269</t>
  </si>
  <si>
    <t>DWC97kJvQ10BR</t>
  </si>
  <si>
    <t>2026-07-25T01:21:45+05:30</t>
  </si>
  <si>
    <t>2026-07-26T10:39:54+05:30</t>
  </si>
  <si>
    <t>2026-07-26T13:40:07+05:30</t>
  </si>
  <si>
    <t>rrnbp7gyxxn9tj0@marketplace.amazon.in</t>
  </si>
  <si>
    <t>CANACONA</t>
  </si>
  <si>
    <t>407-9828076-9657152</t>
  </si>
  <si>
    <t>TJYvg5bn9</t>
  </si>
  <si>
    <t>DlCB7KJvQ10BR</t>
  </si>
  <si>
    <t>2026-07-23T17:14:12+05:30</t>
  </si>
  <si>
    <t>2026-07-26T10:39:49+05:30</t>
  </si>
  <si>
    <t>2026-07-26T13:40:03+05:30</t>
  </si>
  <si>
    <t>jdgf0vw1xb9x1yp@marketplace.amazon.in</t>
  </si>
  <si>
    <t>402-5151843-3353912</t>
  </si>
  <si>
    <t>TNkRcJBP9</t>
  </si>
  <si>
    <t>D7pb7JJsQG02R</t>
  </si>
  <si>
    <t>2026-07-25T23:48:26+05:30</t>
  </si>
  <si>
    <t>2026-07-26T10:37:45+05:30</t>
  </si>
  <si>
    <t>2026-07-26T13:37:56+05:30</t>
  </si>
  <si>
    <t>cdq2h3b3qlzp1h5@marketplace.amazon.in</t>
  </si>
  <si>
    <t>UJJAIN</t>
  </si>
  <si>
    <t>MADHYA PRADESH</t>
  </si>
  <si>
    <t>408-9660890-8515548</t>
  </si>
  <si>
    <t>TcWcPjBM9</t>
  </si>
  <si>
    <t>Dvm4LxJgQ70zR</t>
  </si>
  <si>
    <t>2026-07-25T23:51:29+05:30</t>
  </si>
  <si>
    <t>2026-07-26T10:34:59+05:30</t>
  </si>
  <si>
    <t>2026-07-26T13:35:24+05:30</t>
  </si>
  <si>
    <t>bxl1jcmbt6nkjhd@marketplace.amazon.in</t>
  </si>
  <si>
    <t>408-0567551-0265151</t>
  </si>
  <si>
    <t>T3lycgtz9</t>
  </si>
  <si>
    <t>DqctsSJRQx0qR</t>
  </si>
  <si>
    <t>2026-07-23T20:27:52+05:30</t>
  </si>
  <si>
    <t>2026-07-26T10:17:55+05:30</t>
  </si>
  <si>
    <t>2026-07-26T13:18:08+05:30</t>
  </si>
  <si>
    <t>5bgbwhy0pc7ycdq@marketplace.amazon.in</t>
  </si>
  <si>
    <t>AHMEDABAD</t>
  </si>
  <si>
    <t>X001XAE9T7</t>
  </si>
  <si>
    <t>408-0341445-7442720</t>
  </si>
  <si>
    <t>T1Zkv7bF9</t>
  </si>
  <si>
    <t>DfTkQVJ9Qb0RR</t>
  </si>
  <si>
    <t>2026-07-23T10:56:30+05:30</t>
  </si>
  <si>
    <t>2026-07-26T09:57:46+05:30</t>
  </si>
  <si>
    <t>2026-07-26T12:57:59+05:30</t>
  </si>
  <si>
    <t>0g204dythn7p9gr@marketplace.amazon.in</t>
  </si>
  <si>
    <t>407-7973491-1443554</t>
  </si>
  <si>
    <t>T6T5JCBC9</t>
  </si>
  <si>
    <t>X001XAF347</t>
  </si>
  <si>
    <t>Dhblc6JZQR0JR</t>
  </si>
  <si>
    <t>2026-07-25T23:23:13+05:30</t>
  </si>
  <si>
    <t>2026-07-26T09:38:48+05:30</t>
  </si>
  <si>
    <t>2026-07-26T12:38:59+05:30</t>
  </si>
  <si>
    <t>927l8b3cpzbnlgg@marketplace.amazon.in</t>
  </si>
  <si>
    <t>KOLKATA</t>
  </si>
  <si>
    <t>407-3473959-1590720</t>
  </si>
  <si>
    <t>TVLYtcM19</t>
  </si>
  <si>
    <t>DCMJcWJcQ00GR</t>
  </si>
  <si>
    <t>2026-07-25T15:17:09+05:30</t>
  </si>
  <si>
    <t>2026-07-26T09:37:44+05:30</t>
  </si>
  <si>
    <t>2026-07-26T12:37:57+05:30</t>
  </si>
  <si>
    <t>9ds0wn1bx5g6ngy@marketplace.amazon.in</t>
  </si>
  <si>
    <t>403-1695126-0768369</t>
  </si>
  <si>
    <t>TgnzLYBd9</t>
  </si>
  <si>
    <t>DCRkcmJBQh0DR</t>
  </si>
  <si>
    <t>2026-07-26T00:09:37+05:30</t>
  </si>
  <si>
    <t>2026-07-26T09:31:48+05:30</t>
  </si>
  <si>
    <t>2026-07-26T12:31:59+05:30</t>
  </si>
  <si>
    <t>yt382ypm5k5gdth@marketplace.amazon.in</t>
  </si>
  <si>
    <t>171-4819300-6488353</t>
  </si>
  <si>
    <t>T63VXZM59</t>
  </si>
  <si>
    <t>DJZ8vZJ8QN02R</t>
  </si>
  <si>
    <t>2026-07-25T11:31:59+05:30</t>
  </si>
  <si>
    <t>2026-07-26T09:25:57+05:30</t>
  </si>
  <si>
    <t>2026-07-26T12:26:23+05:30</t>
  </si>
  <si>
    <t>cgp653r0chv9lwp@marketplace.amazon.in</t>
  </si>
  <si>
    <t>171-9326414-2220325</t>
  </si>
  <si>
    <t>TcDxMxVx9</t>
  </si>
  <si>
    <t>D5tvz4JBQh0BR</t>
  </si>
  <si>
    <t>2026-07-24T00:22:43+05:30</t>
  </si>
  <si>
    <t>2026-07-26T09:15:57+05:30</t>
  </si>
  <si>
    <t>2026-07-26T12:16:13+05:30</t>
  </si>
  <si>
    <t>spm2qcwr8qpyjxr@marketplace.amazon.in</t>
  </si>
  <si>
    <t>408-4021370-3457940</t>
  </si>
  <si>
    <t>TNk87SBB9</t>
  </si>
  <si>
    <t>D8Hhz3JYQx0HR</t>
  </si>
  <si>
    <t>2026-07-26T08:56:46+05:30</t>
  </si>
  <si>
    <t>2026-07-26T08:56:49+05:30</t>
  </si>
  <si>
    <t>2026-07-26T09:56:59+05:30</t>
  </si>
  <si>
    <t>8hnj25z9twyhqb9@marketplace.amazon.in</t>
  </si>
  <si>
    <t>405-4945210-8109926</t>
  </si>
  <si>
    <t>TwRzN62t9</t>
  </si>
  <si>
    <t>DhRjVZJWQC0QR</t>
  </si>
  <si>
    <t>2026-07-24T18:11:31+05:30</t>
  </si>
  <si>
    <t>2026-07-26T08:54:49+05:30</t>
  </si>
  <si>
    <t>X001XAGTV3</t>
  </si>
  <si>
    <t>2026-07-26T08:54:54+05:30</t>
  </si>
  <si>
    <t>2026-07-26T09:55:08+05:30</t>
  </si>
  <si>
    <t>8rrgncr55d06c3q@marketplace.amazon.in</t>
  </si>
  <si>
    <t>407-6759690-1485933</t>
  </si>
  <si>
    <t>TCgP2yMd9</t>
  </si>
  <si>
    <t>DmwwVbJjQL0fR</t>
  </si>
  <si>
    <t>2026-07-25T08:51:39+05:30</t>
  </si>
  <si>
    <t>2026-07-26T08:52:51+05:30</t>
  </si>
  <si>
    <t>2026-07-26T11:53:04+05:30</t>
  </si>
  <si>
    <t>8nn6p4ybtvj3n2p@marketplace.amazon.in</t>
  </si>
  <si>
    <t>403-6753903-7749944</t>
  </si>
  <si>
    <t>TnR1BdBj9</t>
  </si>
  <si>
    <t>DS78hPxgQ30vR</t>
  </si>
  <si>
    <t>2026-07-24T16:14:52+05:30</t>
  </si>
  <si>
    <t>2026-07-26T04:34:51+05:30</t>
  </si>
  <si>
    <t>2026-07-26T07:35:06+05:30</t>
  </si>
  <si>
    <t>k35wpsb8m9wp7sh@marketplace.amazon.in</t>
  </si>
  <si>
    <t>404-3898854-2677126</t>
  </si>
  <si>
    <t>TGrjXTbh9</t>
  </si>
  <si>
    <t>Dgv2hdxQQ90CR</t>
  </si>
  <si>
    <t>2026-07-23T16:12:41+05:30</t>
  </si>
  <si>
    <t>2026-07-26T04:33:46+05:30</t>
  </si>
  <si>
    <t>2026-07-26T07:33:58+05:30</t>
  </si>
  <si>
    <t>nn4xs4cs5pds0ln@marketplace.amazon.in</t>
  </si>
  <si>
    <t>404-4307059-8088338</t>
  </si>
  <si>
    <t>TGgBfcVK9</t>
  </si>
  <si>
    <t>D17vhYxmQ30vR</t>
  </si>
  <si>
    <t>2026-07-24T19:03:55+05:30</t>
  </si>
  <si>
    <t>2026-07-26T04:32:44+05:30</t>
  </si>
  <si>
    <t>2026-07-26T07:32:55+05:30</t>
  </si>
  <si>
    <t>qb6jydrmxt9tgb8@marketplace.amazon.in</t>
  </si>
  <si>
    <t>Mumbai</t>
  </si>
  <si>
    <t>X001XAGTVN</t>
  </si>
  <si>
    <t>403-0816675-9939531</t>
  </si>
  <si>
    <t>T61kznB09</t>
  </si>
  <si>
    <t>DCdxhjxTQl0MR</t>
  </si>
  <si>
    <t>2026-07-25T21:16:37+05:30</t>
  </si>
  <si>
    <t>2026-07-26T04:28:48+05:30</t>
  </si>
  <si>
    <t>2026-07-26T07:28:59+05:30</t>
  </si>
  <si>
    <t>rwqq2w4k939jzmr@marketplace.amazon.in</t>
  </si>
  <si>
    <t>LUCKNOW</t>
  </si>
  <si>
    <t>403-7184726-5457911</t>
  </si>
  <si>
    <t>TVmCft279</t>
  </si>
  <si>
    <t>DZDvfQxNQF0VR</t>
  </si>
  <si>
    <t>2026-07-25T08:10:04+05:30</t>
  </si>
  <si>
    <t>2026-07-26T04:14:52+05:30</t>
  </si>
  <si>
    <t>2026-07-26T07:15:03+05:30</t>
  </si>
  <si>
    <t>tfq19xjth58xd74@marketplace.amazon.in</t>
  </si>
  <si>
    <t>CRASOME Apron for Men Women Chef Cooking Restaurants Gardening Workshop, Barbers with Adjustable Strap and Two Pockets ( Red_Pack of 3 )</t>
  </si>
  <si>
    <t>405-8190199-2898754</t>
  </si>
  <si>
    <t>TGBdLcBQ9</t>
  </si>
  <si>
    <t>DBW2jNxwQp0xR</t>
  </si>
  <si>
    <t>2026-07-25T22:26:01+05:30</t>
  </si>
  <si>
    <t>2026-07-26T04:02:49+05:30</t>
  </si>
  <si>
    <t>2026-07-26T07:03:00+05:30</t>
  </si>
  <si>
    <t>vmywsc9bd8mkh3d@marketplace.amazon.in</t>
  </si>
  <si>
    <t>171-2606811-1762708</t>
  </si>
  <si>
    <t>TXFbVHMw9</t>
  </si>
  <si>
    <t>Dy0Djfx1Ql0DR</t>
  </si>
  <si>
    <t>2026-07-25T11:44:17+05:30</t>
  </si>
  <si>
    <t>2026-07-26T03:46:56+05:30</t>
  </si>
  <si>
    <t>2026-07-26T06:47:10+05:30</t>
  </si>
  <si>
    <t>r08wmmsrj3zgl4s@marketplace.amazon.in</t>
  </si>
  <si>
    <t>404-4878098-9297116</t>
  </si>
  <si>
    <t>T15VLjML9</t>
  </si>
  <si>
    <t>Dq76Z8x7Q409R</t>
  </si>
  <si>
    <t>X001XAKEGT</t>
  </si>
  <si>
    <t>2026-07-25T12:24:26+05:30</t>
  </si>
  <si>
    <t>2026-07-26T03:44:51+05:30</t>
  </si>
  <si>
    <t>2026-07-26T06:45:02+05:30</t>
  </si>
  <si>
    <t>2xjf7s31kcynbys@marketplace.amazon.in</t>
  </si>
  <si>
    <t>KHED</t>
  </si>
  <si>
    <t>Dk7VZ8x7Q409R</t>
  </si>
  <si>
    <t>CRM-EP-L8050-Grey</t>
  </si>
  <si>
    <t>Crasome Dust &amp; Water Proof Printer Cover for Epson Ink Tank L8050 (Grey)</t>
  </si>
  <si>
    <t>405-7898991-8685131</t>
  </si>
  <si>
    <t>TNnPJqMT9</t>
  </si>
  <si>
    <t>D3G0ZSxbQM03R</t>
  </si>
  <si>
    <t>2026-07-25T16:24:14+05:30</t>
  </si>
  <si>
    <t>2026-07-26T03:36:50+05:30</t>
  </si>
  <si>
    <t>2026-07-26T06:37:02+05:30</t>
  </si>
  <si>
    <t>kwmlkn45m9w01sp@marketplace.amazon.in</t>
  </si>
  <si>
    <t>X001XAMHWD</t>
  </si>
  <si>
    <t>404-8146438-5519558</t>
  </si>
  <si>
    <t>TNdQrbB19</t>
  </si>
  <si>
    <t>DmFd57xBQC0jR</t>
  </si>
  <si>
    <t>2026-07-25T22:57:38+05:30</t>
  </si>
  <si>
    <t>2026-07-26T03:11:50+05:30</t>
  </si>
  <si>
    <t>2026-07-26T06:12:02+05:30</t>
  </si>
  <si>
    <t>lc7d1l00fmjqlw1@marketplace.amazon.in</t>
  </si>
  <si>
    <t>Alanallur</t>
  </si>
  <si>
    <t>407-4927252-6981115</t>
  </si>
  <si>
    <t>Tg21kwMS9</t>
  </si>
  <si>
    <t>DCFM5DxnQf0jR</t>
  </si>
  <si>
    <t>2026-07-25T10:20:54+05:30</t>
  </si>
  <si>
    <t>2026-07-26T03:06:50+05:30</t>
  </si>
  <si>
    <t>2026-07-26T06:07:05+05:30</t>
  </si>
  <si>
    <t>c2m0nf0zt30t5nv@marketplace.amazon.in</t>
  </si>
  <si>
    <t>COIMBATORE</t>
  </si>
  <si>
    <t>X001XAXI8P</t>
  </si>
  <si>
    <t>402-6529348-4594745</t>
  </si>
  <si>
    <t>TgVqNPBW9</t>
  </si>
  <si>
    <t>DyV15WxfQL0kR</t>
  </si>
  <si>
    <t>2026-07-25T19:05:23+05:30</t>
  </si>
  <si>
    <t>2026-07-26T03:04:50+05:30</t>
  </si>
  <si>
    <t>2026-07-26T06:05:01+05:30</t>
  </si>
  <si>
    <t>hplymw1php8qg67@marketplace.amazon.in</t>
  </si>
  <si>
    <t>PANIPAT</t>
  </si>
  <si>
    <t>171-6316776-8944341</t>
  </si>
  <si>
    <t>TXsJ5WMh9</t>
  </si>
  <si>
    <t>DxFdgYx3Qk04R</t>
  </si>
  <si>
    <t>2026-07-25T19:04:38+05:30</t>
  </si>
  <si>
    <t>2026-07-26T02:55:49+05:30</t>
  </si>
  <si>
    <t>2026-07-26T05:56:00+05:30</t>
  </si>
  <si>
    <t>m6rp0wh7d1wf0ck@marketplace.amazon.in</t>
  </si>
  <si>
    <t>404-6018018-5280361</t>
  </si>
  <si>
    <t>TJJZ5jMt9</t>
  </si>
  <si>
    <t>DWYjgsxqQt0cR</t>
  </si>
  <si>
    <t>2026-07-25T18:53:07+05:30</t>
  </si>
  <si>
    <t>2026-07-26T02:46:43+05:30</t>
  </si>
  <si>
    <t>2026-07-26T02:46:46+05:30</t>
  </si>
  <si>
    <t>2026-07-26T03:46:58+05:30</t>
  </si>
  <si>
    <t>z39nql85gb7bbhy@marketplace.amazon.in</t>
  </si>
  <si>
    <t>408-0118261-4677111</t>
  </si>
  <si>
    <t>T65LGlM69</t>
  </si>
  <si>
    <t>D5kn8qx0Qs0nR</t>
  </si>
  <si>
    <t>2026-07-25T15:26:53+05:30</t>
  </si>
  <si>
    <t>2026-07-26T02:36:48+05:30</t>
  </si>
  <si>
    <t>2026-07-26T05:36:59+05:30</t>
  </si>
  <si>
    <t>fvdg6pm50n7w1xn@marketplace.amazon.in</t>
  </si>
  <si>
    <t>SILIGURI</t>
  </si>
  <si>
    <t>404-9855968-1129129</t>
  </si>
  <si>
    <t>T3G45hMB9</t>
  </si>
  <si>
    <t>DB3f8xxYQm0ZR</t>
  </si>
  <si>
    <t>2026-07-25T19:07:37+05:30</t>
  </si>
  <si>
    <t>2026-07-26T02:33:44+05:30</t>
  </si>
  <si>
    <t>2026-07-26T05:33:55+05:30</t>
  </si>
  <si>
    <t>t057n2375thfntt@marketplace.amazon.in</t>
  </si>
  <si>
    <t>KALABURGI</t>
  </si>
  <si>
    <t>407-4093275-7430718</t>
  </si>
  <si>
    <t>TVxWlcMp9</t>
  </si>
  <si>
    <t>D4H788xCQ602R</t>
  </si>
  <si>
    <t>2026-07-25T16:04:03+05:30</t>
  </si>
  <si>
    <t>2026-07-26T02:26:55+05:30</t>
  </si>
  <si>
    <t>2026-07-26T05:27:06+05:30</t>
  </si>
  <si>
    <t>25tcxdrd5lxmktb@marketplace.amazon.in</t>
  </si>
  <si>
    <t>X001XAXIJ9</t>
  </si>
  <si>
    <t>RAJPURA</t>
  </si>
  <si>
    <t>406-6831122-0256310</t>
  </si>
  <si>
    <t>Tg5zs1Mt9</t>
  </si>
  <si>
    <t>DQmqXkxxQR0TR</t>
  </si>
  <si>
    <t>2026-07-25T13:10:48+05:30</t>
  </si>
  <si>
    <t>2026-07-26T02:23:45+05:30</t>
  </si>
  <si>
    <t>2026-07-26T05:23:59+05:30</t>
  </si>
  <si>
    <t>gzb7dqwc8d1pq4f@marketplace.amazon.in</t>
  </si>
  <si>
    <t>VARANASI</t>
  </si>
  <si>
    <t>406-4906562-9622709</t>
  </si>
  <si>
    <t>Twbg81MJ9</t>
  </si>
  <si>
    <t>D5tdCSxdQN0GR</t>
  </si>
  <si>
    <t>2026-07-25T19:39:58+05:30</t>
  </si>
  <si>
    <t>2026-07-26T02:05:49+05:30</t>
  </si>
  <si>
    <t>2026-07-26T05:06:01+05:30</t>
  </si>
  <si>
    <t>vmvh7wv2ckdp2hj@marketplace.amazon.in</t>
  </si>
  <si>
    <t>405-7528097-5559562</t>
  </si>
  <si>
    <t>T30SFkB39</t>
  </si>
  <si>
    <t>DMtKWLxHQ30bR</t>
  </si>
  <si>
    <t>2026-07-26T01:19:33+05:30</t>
  </si>
  <si>
    <t>2026-07-26T04:19:45+05:30</t>
  </si>
  <si>
    <t>b2qjsn7r9z12bc5@marketplace.amazon.in</t>
  </si>
  <si>
    <t>403-7851058-9764305</t>
  </si>
  <si>
    <t>TNKFFBBN9</t>
  </si>
  <si>
    <t>X001Y7LY5V</t>
  </si>
  <si>
    <t>DF6qKvxfQb0LR</t>
  </si>
  <si>
    <t>2026-07-25T22:17:37+05:30</t>
  </si>
  <si>
    <t>2026-07-26T01:02:52+05:30</t>
  </si>
  <si>
    <t>CRASOME Dust &amp; Water Proof Printer Cover for Epson EcoTank L3150 / L3110 (Grey)</t>
  </si>
  <si>
    <t>2026-07-26T04:03:06+05:30</t>
  </si>
  <si>
    <t>3rnk3ck93979z2l@marketplace.amazon.in</t>
  </si>
  <si>
    <t>2026-07-26T08:00:00+05:30</t>
  </si>
  <si>
    <t>403-5210541-7138719</t>
  </si>
  <si>
    <t>TJ2WcfBH9</t>
  </si>
  <si>
    <t>D7HnKZx5Qt0XR</t>
  </si>
  <si>
    <t>2026-07-25T23:31:50+05:30</t>
  </si>
  <si>
    <t>2026-07-26T00:58:42+05:30</t>
  </si>
  <si>
    <t>2026-07-26T00:58:45+05:30</t>
  </si>
  <si>
    <t>2026-07-26T01:58:56+05:30</t>
  </si>
  <si>
    <t>xm5ty8y14s56lt3@marketplace.amazon.in</t>
  </si>
  <si>
    <t>X001Y7OEXZ</t>
  </si>
  <si>
    <t>CRASOME Apron for Men Women Chef Cooking Restaurants Gardening Workshop, Barbers with Adjustable Strap and Two Pockets ( Ten_Pack of 3)</t>
  </si>
  <si>
    <t>405-4775393-2965159</t>
  </si>
  <si>
    <t>T1B5F0tr9</t>
  </si>
  <si>
    <t>DM9vmtx7Qv00R</t>
  </si>
  <si>
    <t>2026-07-23T20:55:12+05:30</t>
  </si>
  <si>
    <t>2026-07-26T00:53:54+05:30</t>
  </si>
  <si>
    <t>2026-07-26T03:54:06+05:30</t>
  </si>
  <si>
    <t>f9ln7kgdx8wvtlb@marketplace.amazon.in</t>
  </si>
  <si>
    <t>CHANNAPATNA</t>
  </si>
  <si>
    <t>405-0723823-8205104</t>
  </si>
  <si>
    <t>T168cGBt9</t>
  </si>
  <si>
    <t>D2yGmzxZQ20RR</t>
  </si>
  <si>
    <t>2026-07-25T23:19:46+05:30</t>
  </si>
  <si>
    <t>2026-07-26T00:50:49+05:30</t>
  </si>
  <si>
    <t>2026-07-26T03:51:01+05:30</t>
  </si>
  <si>
    <t>x7x7pnbxmml559n@marketplace.amazon.in</t>
  </si>
  <si>
    <t>171-8924103-8548365</t>
  </si>
  <si>
    <t>TGqc71Br9</t>
  </si>
  <si>
    <t>D579mbx7Qf0jR</t>
  </si>
  <si>
    <t>2026-07-25T22:49:30+05:30</t>
  </si>
  <si>
    <t>2026-07-26T00:49:46+05:30</t>
  </si>
  <si>
    <t>2026-07-26T03:49:57+05:30</t>
  </si>
  <si>
    <t>ml44x3wc4d1b0fd@marketplace.amazon.in</t>
  </si>
  <si>
    <t>171-8887288-7584338</t>
  </si>
  <si>
    <t>TC08bM2W9</t>
  </si>
  <si>
    <t>D5l4myxWQF0hR</t>
  </si>
  <si>
    <t>2026-07-24T18:15:33+05:30</t>
  </si>
  <si>
    <t>2026-07-26T00:42:47+05:30</t>
  </si>
  <si>
    <t>2026-07-26T03:43:03+05:30</t>
  </si>
  <si>
    <t>w18phrfy59gvljn@marketplace.amazon.in</t>
  </si>
  <si>
    <t>CRASOME Apron for Kitchen | Unisex Cooking Apron with 2 Pockets and Adjustable Straps | Apron for Chef, Hotel, Cafe, Restaurant, Gardening, Workshop (Brown)</t>
  </si>
  <si>
    <t>VADODARA</t>
  </si>
  <si>
    <t>171-8769248-0017928</t>
  </si>
  <si>
    <t>TNrkyfVf9</t>
  </si>
  <si>
    <t>DskXlSxHQw06R</t>
  </si>
  <si>
    <t>2026-07-24T08:05:26+05:30</t>
  </si>
  <si>
    <t>2026-07-26T00:37:49+05:30</t>
  </si>
  <si>
    <t>2026-07-26T03:38:06+05:30</t>
  </si>
  <si>
    <t>cghsmb6g999jhlw@marketplace.amazon.in</t>
  </si>
  <si>
    <t>BHIWANDI</t>
  </si>
  <si>
    <t>404-4249231-4569122</t>
  </si>
  <si>
    <t>TgGp8yVM9</t>
  </si>
  <si>
    <t>DbwjlDxvQS0sR</t>
  </si>
  <si>
    <t>2026-07-24T16:20:15+05:30</t>
  </si>
  <si>
    <t>2026-07-26T00:29:55+05:30</t>
  </si>
  <si>
    <t>2026-07-26T03:30:14+05:30</t>
  </si>
  <si>
    <t>0zvlgpqnfzc7sm8@marketplace.amazon.in</t>
  </si>
  <si>
    <t>WAREHOUSE_DAMAGED</t>
  </si>
  <si>
    <t>KHAMMAM</t>
  </si>
  <si>
    <t>X001Y7P60F</t>
  </si>
  <si>
    <t>CRASOME Dust &amp; Water Proof Printer Cover for Epson EcoTank L3150 / L3110 (Black)</t>
  </si>
  <si>
    <t>408-1368969-5917104</t>
  </si>
  <si>
    <t>TXHS8HMB9</t>
  </si>
  <si>
    <t>DNwGlFxBQc0QR</t>
  </si>
  <si>
    <t>2026-07-25T19:31:31+05:30</t>
  </si>
  <si>
    <t>2026-07-26T00:28:51+05:30</t>
  </si>
  <si>
    <t>2026-07-26T03:29:02+05:30</t>
  </si>
  <si>
    <t>vtbd59ndhf6wjwk@marketplace.amazon.in</t>
  </si>
  <si>
    <t>408-7763613-0496350</t>
  </si>
  <si>
    <t>T6qFsmBS9</t>
  </si>
  <si>
    <t>DfKn0WxNQd0VR</t>
  </si>
  <si>
    <t>2026-07-25T22:10:30+05:30</t>
  </si>
  <si>
    <t>2026-07-26T00:17:50+05:30</t>
  </si>
  <si>
    <t>2026-07-26T03:18:01+05:30</t>
  </si>
  <si>
    <t>nj9lp8gqb3294wh@marketplace.amazon.in</t>
  </si>
  <si>
    <t>408-0995522-4423566</t>
  </si>
  <si>
    <t>TJqvwNBk9</t>
  </si>
  <si>
    <t>Dsh90txhQm0LR</t>
  </si>
  <si>
    <t>2026-07-25T21:16:55+05:30</t>
  </si>
  <si>
    <t>2026-07-26T00:13:45+05:30</t>
  </si>
  <si>
    <t>2026-07-26T00:13:48+05:30</t>
  </si>
  <si>
    <t>2026-07-26T01:14:00+05:30</t>
  </si>
  <si>
    <t>w3p3qp28qjkfrsb@marketplace.amazon.in</t>
  </si>
  <si>
    <t>CRASOME Transparent Clothes Storage Bags Pack of 2 | Wardrobe Organizer with Reinforced Handles &amp; Zipper | Saree Cover Storage Bag for Clothes, Blanket, Bedsheet, Toys &amp; Seasonal Garments (28L)</t>
  </si>
  <si>
    <t>X001Y7RPJP</t>
  </si>
  <si>
    <t>403-3802189-2512331</t>
  </si>
  <si>
    <t>TV3MLGMX9</t>
  </si>
  <si>
    <t>DbVwSLxCQr0DR</t>
  </si>
  <si>
    <t>2026-07-25T13:10:01+05:30</t>
  </si>
  <si>
    <t>2026-07-25T23:59:52+05:30</t>
  </si>
  <si>
    <t>2026-07-26T03:00:04+05:30</t>
  </si>
  <si>
    <t>pbhdrnhg57jt2gs@marketplace.amazon.in</t>
  </si>
  <si>
    <t>KOLLAM</t>
  </si>
  <si>
    <t>405-8405733-5370730</t>
  </si>
  <si>
    <t>TVZkkjBn9</t>
  </si>
  <si>
    <t>Db6PSNxGQG0sR</t>
  </si>
  <si>
    <t>2026-07-23T10:48:51+05:30</t>
  </si>
  <si>
    <t>2026-07-25T23:51:51+05:30</t>
  </si>
  <si>
    <t>2026-07-26T02:52:03+05:30</t>
  </si>
  <si>
    <t>cs3p2vgm4cqrsl4@marketplace.amazon.in</t>
  </si>
  <si>
    <t>Ahmedabad</t>
  </si>
  <si>
    <t>D9G4ShxfQJ0RR</t>
  </si>
  <si>
    <t>BLR5</t>
  </si>
  <si>
    <t>404-2462246-0247569</t>
  </si>
  <si>
    <t>T3tyQ6MC9</t>
  </si>
  <si>
    <t>DVKC63xXQY0fR</t>
  </si>
  <si>
    <t>2026-07-25T12:52:26+05:30</t>
  </si>
  <si>
    <t>2026-07-25T23:46:27+05:30</t>
  </si>
  <si>
    <t>2026-07-25T23:46:30+05:30</t>
  </si>
  <si>
    <t>2026-07-26T00:46:43+05:30</t>
  </si>
  <si>
    <t>2mmcn0b847jmf5y@marketplace.amazon.in</t>
  </si>
  <si>
    <t>404-2484958-8015524</t>
  </si>
  <si>
    <t>TXQ4YHtJ9</t>
  </si>
  <si>
    <t>Dh4m6rxyQ600R</t>
  </si>
  <si>
    <t>2026-07-23T20:05:44+05:30</t>
  </si>
  <si>
    <t>2026-07-25T23:43:50+05:30</t>
  </si>
  <si>
    <t>2026-07-26T02:44:05+05:30</t>
  </si>
  <si>
    <t>zxcb742hk6zssf4@marketplace.amazon.in</t>
  </si>
  <si>
    <t>PORVORIM</t>
  </si>
  <si>
    <t>403-1390339-2830728</t>
  </si>
  <si>
    <t>TXX1DZB29</t>
  </si>
  <si>
    <t>D7FT6yxdQb0DR</t>
  </si>
  <si>
    <t>2026-07-25T21:02:45+05:30</t>
  </si>
  <si>
    <t>2026-07-25T23:42:46+05:30</t>
  </si>
  <si>
    <t>2026-07-25T23:42:48+05:30</t>
  </si>
  <si>
    <t>2026-07-26T00:42:59+05:30</t>
  </si>
  <si>
    <t>l03f6136cddp6v1@marketplace.amazon.in</t>
  </si>
  <si>
    <t>THRISSUR</t>
  </si>
  <si>
    <t>404-6481418-9203521</t>
  </si>
  <si>
    <t>TCcHwRBp9</t>
  </si>
  <si>
    <t>DrjY6wxQQQ0LR</t>
  </si>
  <si>
    <t>2026-07-25T21:36:53+05:30</t>
  </si>
  <si>
    <t>2026-07-25T23:41:45+05:30</t>
  </si>
  <si>
    <t>2026-07-25T23:41:48+05:30</t>
  </si>
  <si>
    <t>2026-07-26T00:41:59+05:30</t>
  </si>
  <si>
    <t>dzz4zyq1b0ngk12@marketplace.amazon.in</t>
  </si>
  <si>
    <t>Bengaluru</t>
  </si>
  <si>
    <t>408-0685584-7628330</t>
  </si>
  <si>
    <t>TnXzBxB19</t>
  </si>
  <si>
    <t>D9Pl61xvQj0bR</t>
  </si>
  <si>
    <t>2026-07-25T20:58:02+05:30</t>
  </si>
  <si>
    <t>2026-07-25T23:31:04+05:30</t>
  </si>
  <si>
    <t>2026-07-26T02:31:33+05:30</t>
  </si>
  <si>
    <t>y9vb9f9sygd4xhq@marketplace.amazon.in</t>
  </si>
  <si>
    <t>408-3649701-6928360</t>
  </si>
  <si>
    <t>T3SbyMBv9</t>
  </si>
  <si>
    <t>Drxn6PxtQs0LR</t>
  </si>
  <si>
    <t>2026-07-25T20:50:00+05:30</t>
  </si>
  <si>
    <t>X001Y8CQT3</t>
  </si>
  <si>
    <t>2026-07-25T23:29:50+05:30</t>
  </si>
  <si>
    <t>2026-07-26T02:30:02+05:30</t>
  </si>
  <si>
    <t>7c0fkh1trgvc73c@marketplace.amazon.in</t>
  </si>
  <si>
    <t>408-4348823-9173106</t>
  </si>
  <si>
    <t>TXdg0HMC9</t>
  </si>
  <si>
    <t>DLxndzxPQt0jR</t>
  </si>
  <si>
    <t>2026-07-25T17:57:45+05:30</t>
  </si>
  <si>
    <t>2026-07-25T23:13:49+05:30</t>
  </si>
  <si>
    <t>2026-07-26T02:14:03+05:30</t>
  </si>
  <si>
    <t>f8q54fzwr953f69@marketplace.amazon.in</t>
  </si>
  <si>
    <t>Gurugram</t>
  </si>
  <si>
    <t>405-0790725-1429142</t>
  </si>
  <si>
    <t>Tcvs6HMv9</t>
  </si>
  <si>
    <t>D5bhGlxZQj0LR</t>
  </si>
  <si>
    <t>2026-07-25T16:32:27+05:30</t>
  </si>
  <si>
    <t>2026-07-25T23:08:44+05:30</t>
  </si>
  <si>
    <t>2026-07-26T02:08:56+05:30</t>
  </si>
  <si>
    <t>BAJAJ</t>
  </si>
  <si>
    <t>kfpph0jv8qn0j08@marketplace.amazon.in</t>
  </si>
  <si>
    <t>CRASOME Dust Proof Washable Kitchen Wet Grinder Cover for 2L Table Top Butterfly Rhino | Butterfly Smart | Butterfly Hippo CSM-BJ (Blue)</t>
  </si>
  <si>
    <t>GUNTUR</t>
  </si>
  <si>
    <t>402-1882349-2857148</t>
  </si>
  <si>
    <t>TgxgMhM59</t>
  </si>
  <si>
    <t>DHHQtLxpQc0LR</t>
  </si>
  <si>
    <t>2026-07-25T15:19:29+05:30</t>
  </si>
  <si>
    <t>2026-07-25T22:42:47+05:30</t>
  </si>
  <si>
    <t>2026-07-26T01:42:58+05:30</t>
  </si>
  <si>
    <t>0dnwvy3hf9vnr21@marketplace.amazon.in</t>
  </si>
  <si>
    <t>403-1472937-8109142</t>
  </si>
  <si>
    <t>TwLpJkMr9</t>
  </si>
  <si>
    <t>DP8sPjxyQC0bR</t>
  </si>
  <si>
    <t>2026-07-25T16:44:41+05:30</t>
  </si>
  <si>
    <t>2026-07-25T22:37:43+05:30</t>
  </si>
  <si>
    <t>2026-07-26T01:37:55+05:30</t>
  </si>
  <si>
    <t>d3m9sy5j4bflq34@marketplace.amazon.in</t>
  </si>
  <si>
    <t>AGRA</t>
  </si>
  <si>
    <t>407-4980844-3528344</t>
  </si>
  <si>
    <t>TXFNyBBJ9</t>
  </si>
  <si>
    <t>D9dFPNx9QP0mR</t>
  </si>
  <si>
    <t>2026-07-25T20:32:32+05:30</t>
  </si>
  <si>
    <t>2026-07-25T22:21:49+05:30</t>
  </si>
  <si>
    <t>2026-07-26T01:22:07+05:30</t>
  </si>
  <si>
    <t>5skl9cwr3jyhzt9@marketplace.amazon.in</t>
  </si>
  <si>
    <t>X001Y8E2H7</t>
  </si>
  <si>
    <t>402-5882557-8112323</t>
  </si>
  <si>
    <t>TVlvP0Mt9</t>
  </si>
  <si>
    <t>DcdgTfxrQK01R</t>
  </si>
  <si>
    <t>2026-07-25T14:24:58+05:30</t>
  </si>
  <si>
    <t>2026-07-25T22:07:45+05:30</t>
  </si>
  <si>
    <t>2026-07-25T22:07:50+05:30</t>
  </si>
  <si>
    <t>2026-07-25T23:12:16+05:30</t>
  </si>
  <si>
    <t>gmm1bjfcqkzl2ry@marketplace.amazon.in</t>
  </si>
  <si>
    <t>ANDIPALAYAM</t>
  </si>
  <si>
    <t>171-0502190-4074727</t>
  </si>
  <si>
    <t>TGRqpLMR9</t>
  </si>
  <si>
    <t>D3tjn4xmQN0qR</t>
  </si>
  <si>
    <t>2026-07-25T18:10:53+05:30</t>
  </si>
  <si>
    <t>2026-07-25T21:57:42+05:30</t>
  </si>
  <si>
    <t>2026-07-25T21:57:44+05:30</t>
  </si>
  <si>
    <t>2026-07-25T22:57:55+05:30</t>
  </si>
  <si>
    <t>l5t8s3jk4qcvmwg@marketplace.amazon.in</t>
  </si>
  <si>
    <t>PIMPRI CHINCHWAD</t>
  </si>
  <si>
    <t>408-4057346-2306703</t>
  </si>
  <si>
    <t>TwYK7cMc9</t>
  </si>
  <si>
    <t>DMjSnJx3Q90VR</t>
  </si>
  <si>
    <t>2026-07-25T15:41:44+05:30</t>
  </si>
  <si>
    <t>2026-07-25T21:56:51+05:30</t>
  </si>
  <si>
    <t>2026-07-26T00:57:04+05:30</t>
  </si>
  <si>
    <t>20qxnwbkt15fnz2@marketplace.amazon.in</t>
  </si>
  <si>
    <t>407-9552691-0813948</t>
  </si>
  <si>
    <t>T1SmKsM39</t>
  </si>
  <si>
    <t>D5QCngxnQ10ZR</t>
  </si>
  <si>
    <t>2026-07-25T16:43:55+05:30</t>
  </si>
  <si>
    <t>2026-07-25T21:50:57+05:30</t>
  </si>
  <si>
    <t>2026-07-26T00:51:16+05:30</t>
  </si>
  <si>
    <t>pw4283xvvc4t2vy@marketplace.amazon.in</t>
  </si>
  <si>
    <t>406-4840960-2345958</t>
  </si>
  <si>
    <t>TXJhrZMw9</t>
  </si>
  <si>
    <t>DM4VxrxWQj0FR</t>
  </si>
  <si>
    <t>2026-07-25T13:00:06+05:30</t>
  </si>
  <si>
    <t>2026-07-25T21:45:49+05:30</t>
  </si>
  <si>
    <t>2026-07-26T00:46:02+05:30</t>
  </si>
  <si>
    <t>h7333pxg60y0bc8@marketplace.amazon.in</t>
  </si>
  <si>
    <t>403-6255564-4884307</t>
  </si>
  <si>
    <t>T32trbM39</t>
  </si>
  <si>
    <t>D8gGJbxcQ00vR</t>
  </si>
  <si>
    <t>2026-07-25T13:26:56+05:30</t>
  </si>
  <si>
    <t>2026-07-25T21:09:53+05:30</t>
  </si>
  <si>
    <t>2026-07-26T00:10:12+05:30</t>
  </si>
  <si>
    <t>gqq2rx09mhfbkkx@marketplace.amazon.in</t>
  </si>
  <si>
    <t>X001YAB1QP</t>
  </si>
  <si>
    <t>402-8021026-1379535</t>
  </si>
  <si>
    <t>TNl9CtMR9</t>
  </si>
  <si>
    <t>D6KBMTx8Qd0NR</t>
  </si>
  <si>
    <t>2026-07-25T17:24:24+05:30</t>
  </si>
  <si>
    <t>2026-07-25T20:57:46+05:30</t>
  </si>
  <si>
    <t>2026-07-25T23:57:57+05:30</t>
  </si>
  <si>
    <t>mstlh8wppjbly0x@marketplace.amazon.in</t>
  </si>
  <si>
    <t>FARIDABAD</t>
  </si>
  <si>
    <t>404-3152797-5890705</t>
  </si>
  <si>
    <t>TX7btsM99</t>
  </si>
  <si>
    <t>DSyq10xkQg0kR</t>
  </si>
  <si>
    <t>2026-07-25T15:22:14+05:30</t>
  </si>
  <si>
    <t>2026-07-25T20:36:47+05:30</t>
  </si>
  <si>
    <t>2026-07-25T23:36:59+05:30</t>
  </si>
  <si>
    <t>bb5851ffb2vkxlp@marketplace.amazon.in</t>
  </si>
  <si>
    <t>404-8874289-2642761</t>
  </si>
  <si>
    <t>Tcp21lMH9</t>
  </si>
  <si>
    <t>Dxl91YxVQM0ZR</t>
  </si>
  <si>
    <t>2026-07-25T14:10:40+05:30</t>
  </si>
  <si>
    <t>2026-07-25T20:25:42+05:30</t>
  </si>
  <si>
    <t>2026-07-25T23:25:50+05:30</t>
  </si>
  <si>
    <t>99ks5stwn4tp692@marketplace.amazon.in</t>
  </si>
  <si>
    <t>408-2420163-0368334</t>
  </si>
  <si>
    <t>TGztsYMw9</t>
  </si>
  <si>
    <t>DxtqryxcQl0yR</t>
  </si>
  <si>
    <t>2026-07-25T12:35:32+05:30</t>
  </si>
  <si>
    <t>2026-07-25T20:13:46+05:30</t>
  </si>
  <si>
    <t>2026-07-25T23:13:58+05:30</t>
  </si>
  <si>
    <t>t2v82jsvldcqm9f@marketplace.amazon.in</t>
  </si>
  <si>
    <t>403-9917831-0222761</t>
  </si>
  <si>
    <t>TwK2XjMn9</t>
  </si>
  <si>
    <t>D7z7rLx9Q90YR</t>
  </si>
  <si>
    <t>2026-07-25T19:09:26+05:30</t>
  </si>
  <si>
    <t>2026-07-25T20:12:44+05:30</t>
  </si>
  <si>
    <t>2026-07-25T23:12:55+05:30</t>
  </si>
  <si>
    <t>bcnbc8xchcvvdpz@marketplace.amazon.in</t>
  </si>
  <si>
    <t>X001YAEPS1</t>
  </si>
  <si>
    <t>408-8109158-5687521</t>
  </si>
  <si>
    <t>T6Zn6V2W9</t>
  </si>
  <si>
    <t>DL5L7wxTQh03R</t>
  </si>
  <si>
    <t>2026-07-24T23:49:09+05:30</t>
  </si>
  <si>
    <t>2026-07-25T20:04:50+05:30</t>
  </si>
  <si>
    <t>2026-07-25T23:05:01+05:30</t>
  </si>
  <si>
    <t>fy44ymxxvx2b0l9@marketplace.amazon.in</t>
  </si>
  <si>
    <t>403-8860752-8509162</t>
  </si>
  <si>
    <t>TnM23ptT9</t>
  </si>
  <si>
    <t>DmnK73xlQ203R</t>
  </si>
  <si>
    <t>2026-07-23T22:28:59+05:30</t>
  </si>
  <si>
    <t>2026-07-25T19:47:12+05:30</t>
  </si>
  <si>
    <t>2026-07-25T22:47:36+05:30</t>
  </si>
  <si>
    <t>7qs64dzcf8p0cjr@marketplace.amazon.in</t>
  </si>
  <si>
    <t>405-0492216-4185960</t>
  </si>
  <si>
    <t>TCdQV4M59</t>
  </si>
  <si>
    <t>DbdGLyxCQv0LR</t>
  </si>
  <si>
    <t>2026-07-25T11:04:33+05:30</t>
  </si>
  <si>
    <t>2026-07-25T19:35:48+05:30</t>
  </si>
  <si>
    <t>2026-07-25T19:35:52+05:30</t>
  </si>
  <si>
    <t>2026-07-25T20:36:09+05:30</t>
  </si>
  <si>
    <t>h9xwsfl8025y62j@marketplace.amazon.in</t>
  </si>
  <si>
    <t>407-2522293-1682730</t>
  </si>
  <si>
    <t>TNG8WLMG9</t>
  </si>
  <si>
    <t>D59fL3xMQr0NR</t>
  </si>
  <si>
    <t>2026-07-25T16:50:15+05:30</t>
  </si>
  <si>
    <t>2026-07-25T19:34:44+05:30</t>
  </si>
  <si>
    <t>2026-07-25T22:34:58+05:30</t>
  </si>
  <si>
    <t>lx1l9vnj68mz6zx@marketplace.amazon.in</t>
  </si>
  <si>
    <t>SECUNDERABAD</t>
  </si>
  <si>
    <t>407-9580808-1861940</t>
  </si>
  <si>
    <t>TX71PjVt9</t>
  </si>
  <si>
    <t>DYqvsNxrQS0NR</t>
  </si>
  <si>
    <t>2026-07-24T13:42:29+05:30</t>
  </si>
  <si>
    <t>2026-07-25T19:16:51+05:30</t>
  </si>
  <si>
    <t>2026-07-25T22:17:02+05:30</t>
  </si>
  <si>
    <t>wmq9tvl9fmz3j4s@marketplace.amazon.in</t>
  </si>
  <si>
    <t>X001YAFHAV</t>
  </si>
  <si>
    <t>TOPCHANCHI</t>
  </si>
  <si>
    <t>JHARKHAND</t>
  </si>
  <si>
    <t>404-3053172-6040323</t>
  </si>
  <si>
    <t>TNh83htY9</t>
  </si>
  <si>
    <t>DqPysnxKQl09R</t>
  </si>
  <si>
    <t>2026-07-23T22:53:58+05:30</t>
  </si>
  <si>
    <t>2026-07-25T19:12:45+05:30</t>
  </si>
  <si>
    <t>2026-07-25T22:12:57+05:30</t>
  </si>
  <si>
    <t>v107q656nzyngxy@marketplace.amazon.in</t>
  </si>
  <si>
    <t>407-7120642-8229925</t>
  </si>
  <si>
    <t>TcG79qM39</t>
  </si>
  <si>
    <t>DbS9Q0xJQv0MR</t>
  </si>
  <si>
    <t>2026-07-25T09:48:52+05:30</t>
  </si>
  <si>
    <t>2026-07-25T19:10:45+05:30</t>
  </si>
  <si>
    <t>2026-07-25T22:10:58+05:30</t>
  </si>
  <si>
    <t>2fwrhyzjkzw9cb9@marketplace.amazon.in</t>
  </si>
  <si>
    <t>171-3968254-1401125</t>
  </si>
  <si>
    <t>TGgpl4Mn9</t>
  </si>
  <si>
    <t>DQZwQdxHQx08R</t>
  </si>
  <si>
    <t>CRASOME Dust Proof Washable Kitchen Wet Grinder Cover for 2L Table Top Elgi Ultra Perfect S | Elgi Ultra Perfect Plus | 1.25L Table Top Ultra Mini CSM-BJ (Blue)</t>
  </si>
  <si>
    <t>2026-07-25T16:44:37+05:30</t>
  </si>
  <si>
    <t>2026-07-25T19:00:41+05:30</t>
  </si>
  <si>
    <t>2026-07-25T19:00:43+05:30</t>
  </si>
  <si>
    <t>2026-07-25T20:00:54+05:30</t>
  </si>
  <si>
    <t>c38m9vz9389jhzn@marketplace.amazon.in</t>
  </si>
  <si>
    <t>Crasome Dust &amp; Water Proof Printer Cover for Canon Pixma G2770 / G3770 / G3730 / G2730 (Grey)</t>
  </si>
  <si>
    <t>Pune</t>
  </si>
  <si>
    <t>404-6808364-0980345</t>
  </si>
  <si>
    <t>TXwtMFMB9</t>
  </si>
  <si>
    <t>Dy8wzhxsQG0QR</t>
  </si>
  <si>
    <t>2026-07-25T15:41:32+05:30</t>
  </si>
  <si>
    <t>2026-07-25T18:17:50+05:30</t>
  </si>
  <si>
    <t>2026-07-25T21:18:03+05:30</t>
  </si>
  <si>
    <t>1py5lwk1r7l0vvg@marketplace.amazon.in</t>
  </si>
  <si>
    <t>406-8552556-3869100</t>
  </si>
  <si>
    <t>T36166MN9</t>
  </si>
  <si>
    <t>DK2jzRxPQK0sR</t>
  </si>
  <si>
    <t>2026-07-25T16:05:35+05:30</t>
  </si>
  <si>
    <t>2026-07-25T18:14:46+05:30</t>
  </si>
  <si>
    <t>2026-07-25T21:14:58+05:30</t>
  </si>
  <si>
    <t>zn11tvsrv5g9by0@marketplace.amazon.in</t>
  </si>
  <si>
    <t>X001YAGR6J</t>
  </si>
  <si>
    <t>Crasome Water Dispenser for 20 ltr / Litre Bottle Jar Cover with Transparent Strap - Black Pack of 2 (DC-TS-B-2Q)</t>
  </si>
  <si>
    <t>405-7083335-1079512</t>
  </si>
  <si>
    <t>T6M8sZMc9</t>
  </si>
  <si>
    <t>D9HKzlx4QQ0yR</t>
  </si>
  <si>
    <t>2026-07-25T12:45:39+05:30</t>
  </si>
  <si>
    <t>2026-07-25T18:12:42+05:30</t>
  </si>
  <si>
    <t>2026-07-25T18:12:45+05:30</t>
  </si>
  <si>
    <t>2026-07-25T19:12:56+05:30</t>
  </si>
  <si>
    <t>87q1x8fdc22drz8@marketplace.amazon.in</t>
  </si>
  <si>
    <t>402-4954249-3561947</t>
  </si>
  <si>
    <t>TgMXdrMh9</t>
  </si>
  <si>
    <t>D9TJVnxQQc0pR</t>
  </si>
  <si>
    <t>2026-07-25T15:45:25+05:30</t>
  </si>
  <si>
    <t>2026-07-25T17:56:46+05:30</t>
  </si>
  <si>
    <t>2026-07-25T20:56:58+05:30</t>
  </si>
  <si>
    <t>cmmvx4nkpmgvqn8@marketplace.amazon.in</t>
  </si>
  <si>
    <t>PALAMPUR</t>
  </si>
  <si>
    <t>403-1631447-1278758</t>
  </si>
  <si>
    <t>TcPNx9MX9</t>
  </si>
  <si>
    <t>DfQpV0xPQS0vR</t>
  </si>
  <si>
    <t>2026-07-25T13:54:23+05:30</t>
  </si>
  <si>
    <t>2026-07-25T17:55:46+05:30</t>
  </si>
  <si>
    <t>2026-07-25T17:55:50+05:30</t>
  </si>
  <si>
    <t>2026-07-25T18:56:01+05:30</t>
  </si>
  <si>
    <t>tj6sk7c750fh0c7@marketplace.amazon.in</t>
  </si>
  <si>
    <t>408-9049280-3244345</t>
  </si>
  <si>
    <t>TC2QGPM29</t>
  </si>
  <si>
    <t>DGQmV0x3QS0vR</t>
  </si>
  <si>
    <t>2026-07-25T16:10:59+05:30</t>
  </si>
  <si>
    <t>2026-07-25T17:54:46+05:30</t>
  </si>
  <si>
    <t>2026-07-25T20:54:59+05:30</t>
  </si>
  <si>
    <t>jctlt39hz2jgjlh@marketplace.amazon.in</t>
  </si>
  <si>
    <t>407-3085212-5241957</t>
  </si>
  <si>
    <t>TNJ5YSMv9</t>
  </si>
  <si>
    <t>D4LxVvxkQB0nR</t>
  </si>
  <si>
    <t>2026-07-25T10:21:46+05:30</t>
  </si>
  <si>
    <t>2026-07-25T17:53:50+05:30</t>
  </si>
  <si>
    <t>2026-07-25T20:54:05+05:30</t>
  </si>
  <si>
    <t>cttx558l564wwql@marketplace.amazon.in</t>
  </si>
  <si>
    <t>X001YE13FZ</t>
  </si>
  <si>
    <t>CRASOME Dust &amp; Water Proof Printer Cover for HP Smart Tank All-in-One 520 / 525 (Grey)</t>
  </si>
  <si>
    <t>407-4538223-7326739</t>
  </si>
  <si>
    <t>TN3vKCMz9</t>
  </si>
  <si>
    <t>DptBVYxhQd0dR</t>
  </si>
  <si>
    <t>2026-07-25T16:31:52+05:30</t>
  </si>
  <si>
    <t>2026-07-25T17:53:48+05:30</t>
  </si>
  <si>
    <t>2026-07-25T20:54:00+05:30</t>
  </si>
  <si>
    <t>8w9j4nz055ths7x@marketplace.amazon.in</t>
  </si>
  <si>
    <t>407-7799606-2954753</t>
  </si>
  <si>
    <t>TgyJlpMP9</t>
  </si>
  <si>
    <t>D4T9VpxHQc0pR</t>
  </si>
  <si>
    <t>2026-07-25T16:46:51+05:30</t>
  </si>
  <si>
    <t>2026-07-25T17:52:46+05:30</t>
  </si>
  <si>
    <t>2026-07-25T20:52:58+05:30</t>
  </si>
  <si>
    <t>g4zmjxydtrbg384@marketplace.amazon.in</t>
  </si>
  <si>
    <t>CRM-BR-T730DW-Grey</t>
  </si>
  <si>
    <t>Crasome Dust &amp; Water Proof Printer Cover for Brother Ink Tank DCP-T730DW (Grey)</t>
  </si>
  <si>
    <t>Faridabad</t>
  </si>
  <si>
    <t>403-9686543-0414714</t>
  </si>
  <si>
    <t>TgxDKgMm9</t>
  </si>
  <si>
    <t>DrnrVdxvQM0DR</t>
  </si>
  <si>
    <t>2026-07-25T16:14:38+05:30</t>
  </si>
  <si>
    <t>2026-07-25T17:44:43+05:30</t>
  </si>
  <si>
    <t>2026-07-25T20:44:54+05:30</t>
  </si>
  <si>
    <t>8vkm95474ynyn39@marketplace.amazon.in</t>
  </si>
  <si>
    <t>X001YG6DXP</t>
  </si>
  <si>
    <t>171-1951095-8983565</t>
  </si>
  <si>
    <t>Tg2s00MB9</t>
  </si>
  <si>
    <t>D1gd2fxvQz03R</t>
  </si>
  <si>
    <t>2026-07-25T15:29:51+05:30</t>
  </si>
  <si>
    <t>2026-07-25T17:40:46+05:30</t>
  </si>
  <si>
    <t>2026-07-25T20:41:00+05:30</t>
  </si>
  <si>
    <t>b0r6g3flbj1rbf6@marketplace.amazon.in</t>
  </si>
  <si>
    <t>406-7615360-5106742</t>
  </si>
  <si>
    <t>TVd5GHMT9</t>
  </si>
  <si>
    <t>DwFLFjx6Qj0NR</t>
  </si>
  <si>
    <t>2026-07-25T15:31:40+05:30</t>
  </si>
  <si>
    <t>2026-07-25T17:30:47+05:30</t>
  </si>
  <si>
    <t>2026-07-25T20:30:59+05:30</t>
  </si>
  <si>
    <t>0169hrrn6673jt8@marketplace.amazon.in</t>
  </si>
  <si>
    <t>TEKANPUR</t>
  </si>
  <si>
    <t>408-3184908-1777929</t>
  </si>
  <si>
    <t>Tn3zYFMv9</t>
  </si>
  <si>
    <t>DXcGFYx9Qs0xR</t>
  </si>
  <si>
    <t>2026-07-25T11:40:33+05:30</t>
  </si>
  <si>
    <t>2026-07-25T17:15:48+05:30</t>
  </si>
  <si>
    <t>2026-07-25T20:15:59+05:30</t>
  </si>
  <si>
    <t>3vxtfldyhc6dhf9@marketplace.amazon.in</t>
  </si>
  <si>
    <t>406-2846097-7760361</t>
  </si>
  <si>
    <t>Tg6SsLZC9</t>
  </si>
  <si>
    <t>DKRlF2xMQr0lR</t>
  </si>
  <si>
    <t>2026-07-22T19:02:28+05:30</t>
  </si>
  <si>
    <t>2026-07-25T17:15:02+05:30</t>
  </si>
  <si>
    <t>2026-07-25T20:19:01+05:30</t>
  </si>
  <si>
    <t>1crw783nv89hffj@marketplace.amazon.in</t>
  </si>
  <si>
    <t>X001YGBEHP</t>
  </si>
  <si>
    <t>407-5519442-4897134</t>
  </si>
  <si>
    <t>T3kjB32R9</t>
  </si>
  <si>
    <t>DHzXDfxGQF0nR</t>
  </si>
  <si>
    <t>2026-07-24T14:38:17+05:30</t>
  </si>
  <si>
    <t>2026-07-25T17:00:49+05:30</t>
  </si>
  <si>
    <t>2026-07-25T20:01:02+05:30</t>
  </si>
  <si>
    <t>2c4y4329sgxy0mk@marketplace.amazon.in</t>
  </si>
  <si>
    <t>407-5580158-2792310</t>
  </si>
  <si>
    <t>T105W3VT9</t>
  </si>
  <si>
    <t>DMPGDFxrQK04R</t>
  </si>
  <si>
    <t>2026-07-21T23:05:49+05:30</t>
  </si>
  <si>
    <t>2026-07-25T16:56:55+05:30</t>
  </si>
  <si>
    <t>2026-07-25T19:57:07+05:30</t>
  </si>
  <si>
    <t>h77wv8hsyds9pfp@marketplace.amazon.in</t>
  </si>
  <si>
    <t>X001YHIQQV</t>
  </si>
  <si>
    <t>DEFECTIVE</t>
  </si>
  <si>
    <t>DzP2DFxrQK04R</t>
  </si>
  <si>
    <t>408-6024067-7567550</t>
  </si>
  <si>
    <t>TXhzyDMq9</t>
  </si>
  <si>
    <t>DrYCYnxpQL0YR</t>
  </si>
  <si>
    <t>2026-07-25T11:11:13+05:30</t>
  </si>
  <si>
    <t>2026-07-25T16:40:44+05:30</t>
  </si>
  <si>
    <t>2026-07-25T19:40:56+05:30</t>
  </si>
  <si>
    <t>j9tsn8nh6lv00dx@marketplace.amazon.in</t>
  </si>
  <si>
    <t>NEW TOWN</t>
  </si>
  <si>
    <t>402-8531187-7121946</t>
  </si>
  <si>
    <t>TwyST9MJ9</t>
  </si>
  <si>
    <t>D11HyrxYQz05R</t>
  </si>
  <si>
    <t>2026-07-25T14:33:49+05:30</t>
  </si>
  <si>
    <t>2026-07-25T16:31:46+05:30</t>
  </si>
  <si>
    <t>2026-07-25T19:32:00+05:30</t>
  </si>
  <si>
    <t>pbsm0vgjd5n2173@marketplace.amazon.in</t>
  </si>
  <si>
    <t>Coimbatore</t>
  </si>
  <si>
    <t>171-7924882-9761118</t>
  </si>
  <si>
    <t>T6TVrlMs9</t>
  </si>
  <si>
    <t>DtWgwbxcQC0sR</t>
  </si>
  <si>
    <t>2026-07-25T13:09:51+05:30</t>
  </si>
  <si>
    <t>2026-07-25T16:15:48+05:30</t>
  </si>
  <si>
    <t>2026-07-25T19:16:04+05:30</t>
  </si>
  <si>
    <t>s7qmf7bfd4fdfng@marketplace.amazon.in</t>
  </si>
  <si>
    <t>407-0099257-8961144</t>
  </si>
  <si>
    <t>TgRTQSbB9</t>
  </si>
  <si>
    <t>DZWnwnxYQC0sR</t>
  </si>
  <si>
    <t>2026-07-23T10:38:22+05:30</t>
  </si>
  <si>
    <t>2026-07-25T16:13:46+05:30</t>
  </si>
  <si>
    <t>CRASOME Dust Proof Washable Wet Grinder Cover for 2L Table Top Lakshmi | Prestige PWG 07 | Vidiem Vision CSM-BJ (Blue)</t>
  </si>
  <si>
    <t>2026-07-25T19:14:00+05:30</t>
  </si>
  <si>
    <t>402-9235408-8590761</t>
  </si>
  <si>
    <t>TJGF8V2W9</t>
  </si>
  <si>
    <t>D3HlBBxBQd0zR</t>
  </si>
  <si>
    <t>2026-07-25T06:28:34+05:30</t>
  </si>
  <si>
    <t>2026-07-25T15:50:45+05:30</t>
  </si>
  <si>
    <t>2026-07-25T15:50:47+05:30</t>
  </si>
  <si>
    <t>2026-07-25T16:51:01+05:30</t>
  </si>
  <si>
    <t>196wl3gy0mycfnt@marketplace.amazon.in</t>
  </si>
  <si>
    <t>X001YHL41Z</t>
  </si>
  <si>
    <t>GORAKHPUR</t>
  </si>
  <si>
    <t>402-0464172-1512362</t>
  </si>
  <si>
    <t>TwqSBrMg9</t>
  </si>
  <si>
    <t>DcSL9TxfQM0zR</t>
  </si>
  <si>
    <t>2026-07-25T11:09:05+05:30</t>
  </si>
  <si>
    <t>2026-07-25T15:42:48+05:30</t>
  </si>
  <si>
    <t>2026-07-25T18:43:00+05:30</t>
  </si>
  <si>
    <t>6rs2cmgdtg251m5@marketplace.amazon.in</t>
  </si>
  <si>
    <t>Nagpur</t>
  </si>
  <si>
    <t>171-0292745-2176370</t>
  </si>
  <si>
    <t>T6yRKv279</t>
  </si>
  <si>
    <t>DtK9HLxHQ70gR</t>
  </si>
  <si>
    <t>2026-07-25T02:06:33+05:30</t>
  </si>
  <si>
    <t>2026-07-25T15:17:46+05:30</t>
  </si>
  <si>
    <t>2026-07-25T18:17:58+05:30</t>
  </si>
  <si>
    <t>3jlp7y556dl8mqf@marketplace.amazon.in</t>
  </si>
  <si>
    <t>2026-07-25T20:00:00+05:30</t>
  </si>
  <si>
    <t>405-5214823-2695543</t>
  </si>
  <si>
    <t>T3ndrMM89</t>
  </si>
  <si>
    <t>D1NPkzxGQV0XR</t>
  </si>
  <si>
    <t>X001ZIUUQD</t>
  </si>
  <si>
    <t>2026-07-25T13:12:02+05:30</t>
  </si>
  <si>
    <t>2026-07-25T14:34:47+05:30</t>
  </si>
  <si>
    <t>2026-07-25T17:34:59+05:30</t>
  </si>
  <si>
    <t>vzjt869hhkx243y@marketplace.amazon.in</t>
  </si>
  <si>
    <t>Ballari</t>
  </si>
  <si>
    <t>407-5524789-7289915</t>
  </si>
  <si>
    <t>TntTTrwv9</t>
  </si>
  <si>
    <t>Dz6yNyxhQ00mR</t>
  </si>
  <si>
    <t>2026-07-22T13:51:58+05:30</t>
  </si>
  <si>
    <t>2026-07-25T14:19:42+05:30</t>
  </si>
  <si>
    <t>2026-07-25T17:19:54+05:30</t>
  </si>
  <si>
    <t>5rhxzl1fxx1mm97@marketplace.amazon.in</t>
  </si>
  <si>
    <t>BID</t>
  </si>
  <si>
    <t>403-2243715-5848317</t>
  </si>
  <si>
    <t>TgvBcK2N9</t>
  </si>
  <si>
    <t>DMlsNqx0QR0KR</t>
  </si>
  <si>
    <t>2026-07-24T21:27:52+05:30</t>
  </si>
  <si>
    <t>2026-07-25T14:11:13+05:30</t>
  </si>
  <si>
    <t>2026-07-25T17:11:25+05:30</t>
  </si>
  <si>
    <t>qy6mvggd3ltmq9k@marketplace.amazon.in</t>
  </si>
  <si>
    <t>KAVALI</t>
  </si>
  <si>
    <t>402-4238318-4946762</t>
  </si>
  <si>
    <t>TGz1Y1Mr9</t>
  </si>
  <si>
    <t>Dk51RzxZQ90GR</t>
  </si>
  <si>
    <t>2026-07-25T11:04:11+05:30</t>
  </si>
  <si>
    <t>2026-07-25T14:08:45+05:30</t>
  </si>
  <si>
    <t>2026-07-25T17:08:56+05:30</t>
  </si>
  <si>
    <t>0k7p809dk4bh4k2@marketplace.amazon.in</t>
  </si>
  <si>
    <t>MANGAMPETA</t>
  </si>
  <si>
    <t>404-3871485-6262711</t>
  </si>
  <si>
    <t>TNQ3JW269</t>
  </si>
  <si>
    <t>Dv6yNNxQQ00mR</t>
  </si>
  <si>
    <t>2026-07-24T22:23:23+05:30</t>
  </si>
  <si>
    <t>2026-07-25T14:07:55+05:30</t>
  </si>
  <si>
    <t>2026-07-25T17:08:18+05:30</t>
  </si>
  <si>
    <t>4tsrcz1q16nkx52@marketplace.amazon.in</t>
  </si>
  <si>
    <t>X0021HOUFT</t>
  </si>
  <si>
    <t>402-9134789-8843506</t>
  </si>
  <si>
    <t>TwQSBZMv9</t>
  </si>
  <si>
    <t>DSh0R3xBQN0mR</t>
  </si>
  <si>
    <t>2026-07-25T07:25:31+05:30</t>
  </si>
  <si>
    <t>2026-07-25T13:55:00+05:30</t>
  </si>
  <si>
    <t>2026-07-25T16:55:37+05:30</t>
  </si>
  <si>
    <t>fpmv9pf1pt059jt@marketplace.amazon.in</t>
  </si>
  <si>
    <t>ERNAKULAM</t>
  </si>
  <si>
    <t>406-7961454-1781112</t>
  </si>
  <si>
    <t>Tn1SBJMF9</t>
  </si>
  <si>
    <t>DCHnR6x1QW0NR</t>
  </si>
  <si>
    <t>2026-07-25T07:41:28+05:30</t>
  </si>
  <si>
    <t>2026-07-25T13:51:49+05:30</t>
  </si>
  <si>
    <t>2026-07-25T16:52:00+05:30</t>
  </si>
  <si>
    <t>b6sv0ncbqnqtzf8@marketplace.amazon.in</t>
  </si>
  <si>
    <t>PATHANAMTHITTA</t>
  </si>
  <si>
    <t>408-8930590-4979511</t>
  </si>
  <si>
    <t>Tc5q2sM39</t>
  </si>
  <si>
    <t>Dvx3RbxjQX0bR</t>
  </si>
  <si>
    <t>2026-07-25T12:05:33+05:30</t>
  </si>
  <si>
    <t>2026-07-25T13:48:48+05:30</t>
  </si>
  <si>
    <t>2026-07-25T16:49:00+05:30</t>
  </si>
  <si>
    <t>k8n6kvhqtpqxzrd@marketplace.amazon.in</t>
  </si>
  <si>
    <t>Gurgaon</t>
  </si>
  <si>
    <t>406-7239860-7037927</t>
  </si>
  <si>
    <t>Tnyhg3VC9</t>
  </si>
  <si>
    <t>D8xVh4RrQZ07R</t>
  </si>
  <si>
    <t>2026-07-24T16:20:05+05:30</t>
  </si>
  <si>
    <t>2026-07-25T13:34:48+05:30</t>
  </si>
  <si>
    <t>2026-07-25T13:34:52+05:30</t>
  </si>
  <si>
    <t>2026-07-25T14:35:02+05:30</t>
  </si>
  <si>
    <t>ptfdsb3wn8rtf0f@marketplace.amazon.in</t>
  </si>
  <si>
    <t>JODHPUR</t>
  </si>
  <si>
    <t>406-6543643-1906756</t>
  </si>
  <si>
    <t>T3ytg3VC9</t>
  </si>
  <si>
    <t>D5xdh4RrQZ07R</t>
  </si>
  <si>
    <t>2026-07-24T16:31:41+05:30</t>
  </si>
  <si>
    <t>2026-07-25T13:34:46+05:30</t>
  </si>
  <si>
    <t>2026-07-25T16:34:55+05:30</t>
  </si>
  <si>
    <t>X0025J4BQV</t>
  </si>
  <si>
    <t>404-2285259-4891500</t>
  </si>
  <si>
    <t>Tnq7FFMN9</t>
  </si>
  <si>
    <t>DyKkfrRmQp0DR</t>
  </si>
  <si>
    <t>2026-07-25T11:17:23+05:30</t>
  </si>
  <si>
    <t>2026-07-25T13:30:45+05:30</t>
  </si>
  <si>
    <t>2026-07-25T16:30:57+05:30</t>
  </si>
  <si>
    <t>fqhrdkwdb51brv0@marketplace.amazon.in</t>
  </si>
  <si>
    <t>171-6714297-4947547</t>
  </si>
  <si>
    <t>TgMb4s2P9</t>
  </si>
  <si>
    <t>Dx3FfPRSQn0VR</t>
  </si>
  <si>
    <t>2026-07-24T20:08:14+05:30</t>
  </si>
  <si>
    <t>2026-07-25T13:26:49+05:30</t>
  </si>
  <si>
    <t>2026-07-25T16:27:07+05:30</t>
  </si>
  <si>
    <t>51jnl3lsqqpk9yr@marketplace.amazon.in</t>
  </si>
  <si>
    <t>404-3791152-1713942</t>
  </si>
  <si>
    <t>TNF82vMP9</t>
  </si>
  <si>
    <t>DDFjj6RwQk0nR</t>
  </si>
  <si>
    <t>2026-07-25T12:01:23+05:30</t>
  </si>
  <si>
    <t>2026-07-25T13:12:47+05:30</t>
  </si>
  <si>
    <t>2026-07-25T16:12:59+05:30</t>
  </si>
  <si>
    <t>ksyz22yn3258zmg@marketplace.amazon.in</t>
  </si>
  <si>
    <t>Prayagraj</t>
  </si>
  <si>
    <t>408-7777342-7278743</t>
  </si>
  <si>
    <t>TcLSDX2y9</t>
  </si>
  <si>
    <t>DPZXjxRrQg0HR</t>
  </si>
  <si>
    <t>2026-07-24T21:15:30+05:30</t>
  </si>
  <si>
    <t>2026-07-25T13:01:46+05:30</t>
  </si>
  <si>
    <t>2026-07-25T16:01:57+05:30</t>
  </si>
  <si>
    <t>9mlwsfs9t2lww7s@marketplace.amazon.in</t>
  </si>
  <si>
    <t>405-8663113-7765939</t>
  </si>
  <si>
    <t>TVbw2BMT9</t>
  </si>
  <si>
    <t>DT5nZ1RxQj01R</t>
  </si>
  <si>
    <t>2026-07-25T11:23:32+05:30</t>
  </si>
  <si>
    <t>2026-07-25T12:53:46+05:30</t>
  </si>
  <si>
    <t>2026-07-25T15:53:58+05:30</t>
  </si>
  <si>
    <t>2sw92yxsp4r61jq@marketplace.amazon.in</t>
  </si>
  <si>
    <t>PANAJI</t>
  </si>
  <si>
    <t>402-2506106-3545110</t>
  </si>
  <si>
    <t>Tg1tBbM19</t>
  </si>
  <si>
    <t>D5tkq6RzQX0fR</t>
  </si>
  <si>
    <t>2026-07-25T09:36:54+05:30</t>
  </si>
  <si>
    <t>2026-07-25T12:36:43+05:30</t>
  </si>
  <si>
    <t>2026-07-25T15:36:54+05:30</t>
  </si>
  <si>
    <t>ctf77rt4v2z3tg6@marketplace.amazon.in</t>
  </si>
  <si>
    <t>TIRWAGANJ</t>
  </si>
  <si>
    <t>407-0299281-0434726</t>
  </si>
  <si>
    <t>Tw0gMC2B9</t>
  </si>
  <si>
    <t>D8br51RKQq0SR</t>
  </si>
  <si>
    <t>2026-07-24T21:59:03+05:30</t>
  </si>
  <si>
    <t>2026-07-25T12:14:52+05:30</t>
  </si>
  <si>
    <t>2026-07-25T15:15:04+05:30</t>
  </si>
  <si>
    <t>3hq66wqb7wlgjhg@marketplace.amazon.in</t>
  </si>
  <si>
    <t>X00262A0EJ</t>
  </si>
  <si>
    <t>404-0527098-3939522</t>
  </si>
  <si>
    <t>TCQM9NM59</t>
  </si>
  <si>
    <t>Dhxr5LR9Qm0XR</t>
  </si>
  <si>
    <t>2026-07-25T10:19:05+05:30</t>
  </si>
  <si>
    <t>2026-07-25T12:06:47+05:30</t>
  </si>
  <si>
    <t>2026-07-25T15:06:59+05:30</t>
  </si>
  <si>
    <t>3n8dkt7h8ss8fh2@marketplace.amazon.in</t>
  </si>
  <si>
    <t>404-7260069-5127559</t>
  </si>
  <si>
    <t>Tcz293MJ9</t>
  </si>
  <si>
    <t>Dw5dg6RlQn0KR</t>
  </si>
  <si>
    <t>2026-07-25T09:48:27+05:30</t>
  </si>
  <si>
    <t>2026-07-25T12:00:47+05:30</t>
  </si>
  <si>
    <t>2026-07-25T12:00:56+05:30</t>
  </si>
  <si>
    <t>2026-07-25T13:01:25+05:30</t>
  </si>
  <si>
    <t>lhzmjc3z5y1g1d4@marketplace.amazon.in</t>
  </si>
  <si>
    <t>404-5799416-9261946</t>
  </si>
  <si>
    <t>TX8SNBMS9</t>
  </si>
  <si>
    <t>DC6ggzRvQp0pR</t>
  </si>
  <si>
    <t>2026-07-25T07:50:38+05:30</t>
  </si>
  <si>
    <t>2026-07-25T11:52:40+05:30</t>
  </si>
  <si>
    <t>2026-07-25T14:52:48+05:30</t>
  </si>
  <si>
    <t>h8ydlbgq4hr15fy@marketplace.amazon.in</t>
  </si>
  <si>
    <t>Standard</t>
  </si>
  <si>
    <t>Village</t>
  </si>
  <si>
    <t>407-7822428-8011561</t>
  </si>
  <si>
    <t>TXT7wVM89</t>
  </si>
  <si>
    <t>DrdD8bRjQH01R</t>
  </si>
  <si>
    <t>2026-07-25T09:14:37+05:30</t>
  </si>
  <si>
    <t>2026-07-25T11:37:41+05:30</t>
  </si>
  <si>
    <t>2026-07-25T14:37:52+05:30</t>
  </si>
  <si>
    <t>vwqphbsdzx2rvp9@marketplace.amazon.in</t>
  </si>
  <si>
    <t>CRASOME Dust Proof Washable Kitchen Wet Grinder Cover for 2L Table Top Bajaj WX 1 | Bajaj WX 3 CSM-BJ (Blue)</t>
  </si>
  <si>
    <t>403-6104715-2280337</t>
  </si>
  <si>
    <t>TJGFwbMk9</t>
  </si>
  <si>
    <t>Dwd787RlQH01R</t>
  </si>
  <si>
    <t>2026-07-25T08:50:50+05:30</t>
  </si>
  <si>
    <t>X00262A2LF</t>
  </si>
  <si>
    <t>2026-07-25T11:33:41+05:30</t>
  </si>
  <si>
    <t>2026-07-25T11:33:44+05:30</t>
  </si>
  <si>
    <t>2026-07-25T12:33:59+05:30</t>
  </si>
  <si>
    <t>ltkcyz8kp1h2nnv@marketplace.amazon.in</t>
  </si>
  <si>
    <t>BIDHAN NAGAR</t>
  </si>
  <si>
    <t>402-4672385-9333165</t>
  </si>
  <si>
    <t>T3Qs8W2H9</t>
  </si>
  <si>
    <t>DD2qX3RmQ90QR</t>
  </si>
  <si>
    <t>2026-07-25T06:30:42+05:30</t>
  </si>
  <si>
    <t>2026-07-25T11:28:53+05:30</t>
  </si>
  <si>
    <t>2026-07-25T11:28:55+05:30</t>
  </si>
  <si>
    <t>2026-07-25T12:29:09+05:30</t>
  </si>
  <si>
    <t>t22l2t2mmv002nd@marketplace.amazon.in</t>
  </si>
  <si>
    <t>PHALTAN</t>
  </si>
  <si>
    <t>404-3927959-4221140</t>
  </si>
  <si>
    <t>TXkbRM299</t>
  </si>
  <si>
    <t>DF3rCZR0Qz0cR</t>
  </si>
  <si>
    <t>2026-07-24T18:11:46+05:30</t>
  </si>
  <si>
    <t>2026-07-25T11:05:50+05:30</t>
  </si>
  <si>
    <t>2026-07-25T14:06:02+05:30</t>
  </si>
  <si>
    <t>9ys7k2p5hmz81c0@marketplace.amazon.in</t>
  </si>
  <si>
    <t>ODDANCHATRAM</t>
  </si>
  <si>
    <t>403-9069265-7791550</t>
  </si>
  <si>
    <t>TVdLH2Mn9</t>
  </si>
  <si>
    <t>DMNLpzR1Qp0NR</t>
  </si>
  <si>
    <t>2026-07-25T06:27:29+05:30</t>
  </si>
  <si>
    <t>2026-07-25T10:52:47+05:30</t>
  </si>
  <si>
    <t>2026-07-25T13:53:00+05:30</t>
  </si>
  <si>
    <t>bp86jf51vd7njnq@marketplace.amazon.in</t>
  </si>
  <si>
    <t>DEWA</t>
  </si>
  <si>
    <t>408-4681828-7415515</t>
  </si>
  <si>
    <t>TgB1r0VM9</t>
  </si>
  <si>
    <t>DjBfpJRXQg0CR</t>
  </si>
  <si>
    <t>2026-07-24T12:50:12+05:30</t>
  </si>
  <si>
    <t>2026-07-25T10:47:45+05:30</t>
  </si>
  <si>
    <t>2026-07-25T10:47:48+05:30</t>
  </si>
  <si>
    <t>2026-07-25T11:47:58+05:30</t>
  </si>
  <si>
    <t>p6rr3gcvy5zzk0q@marketplace.amazon.in</t>
  </si>
  <si>
    <t>405-7443613-6527551</t>
  </si>
  <si>
    <t>TwXDrL2j9</t>
  </si>
  <si>
    <t>D38GWgR8QV08R</t>
  </si>
  <si>
    <t>2026-07-24T22:16:08+05:30</t>
  </si>
  <si>
    <t>2026-07-25T10:34:43+05:30</t>
  </si>
  <si>
    <t>2026-07-25T13:34:56+05:30</t>
  </si>
  <si>
    <t>kx01p9b6s0ktsb7@marketplace.amazon.in</t>
  </si>
  <si>
    <t>VIJAYAWADA</t>
  </si>
  <si>
    <t>404-5428666-6053941</t>
  </si>
  <si>
    <t>TVY6j52Q9</t>
  </si>
  <si>
    <t>DHl0WyRMQS0bR</t>
  </si>
  <si>
    <t>X0027PPVX5</t>
  </si>
  <si>
    <t>2026-07-25T07:58:18+05:30</t>
  </si>
  <si>
    <t>2026-07-25T10:24:47+05:30</t>
  </si>
  <si>
    <t>2026-07-25T13:25:00+05:30</t>
  </si>
  <si>
    <t>08rkfgfszxdp7ky@marketplace.amazon.in</t>
  </si>
  <si>
    <t>404-2772031-2825966</t>
  </si>
  <si>
    <t>T3KNCQVB9</t>
  </si>
  <si>
    <t>DBpfWCR1Qz0cR</t>
  </si>
  <si>
    <t>2026-07-24T16:40:00+05:30</t>
  </si>
  <si>
    <t>2026-07-25T10:20:48+05:30</t>
  </si>
  <si>
    <t>2026-07-25T10:20:51+05:30</t>
  </si>
  <si>
    <t>2026-07-25T11:21:04+05:30</t>
  </si>
  <si>
    <t>zz67by8b02zsgp3@marketplace.amazon.in</t>
  </si>
  <si>
    <t>171-1284313-3676353</t>
  </si>
  <si>
    <t>TnqjpnVx9</t>
  </si>
  <si>
    <t>DlHNm3RlQp0wR</t>
  </si>
  <si>
    <t>2026-07-24T17:22:29+05:30</t>
  </si>
  <si>
    <t>2026-07-25T09:55:43+05:30</t>
  </si>
  <si>
    <t>2026-07-25T09:55:46+05:30</t>
  </si>
  <si>
    <t>2026-07-25T10:55:57+05:30</t>
  </si>
  <si>
    <t>5j755pqtxl44kkm@marketplace.amazon.in</t>
  </si>
  <si>
    <t>SAMASTIPUR</t>
  </si>
  <si>
    <t>403-8011275-9442716</t>
  </si>
  <si>
    <t>TCRZ3zVx9</t>
  </si>
  <si>
    <t>DjTtmjRyQV0WR</t>
  </si>
  <si>
    <t>2026-07-24T13:44:14+05:30</t>
  </si>
  <si>
    <t>2026-07-25T09:55:45+05:30</t>
  </si>
  <si>
    <t>2026-07-25T12:55:57+05:30</t>
  </si>
  <si>
    <t>1w4kvsfr2s75xm5@marketplace.amazon.in</t>
  </si>
  <si>
    <t>405-5920374-7371509</t>
  </si>
  <si>
    <t>TgkzBZ2c9</t>
  </si>
  <si>
    <t>DqHzmjRxQp0wR</t>
  </si>
  <si>
    <t>2026-07-24T20:56:18+05:30</t>
  </si>
  <si>
    <t>2026-07-25T09:50:51+05:30</t>
  </si>
  <si>
    <t>2026-07-25T12:51:03+05:30</t>
  </si>
  <si>
    <t>rhqsk77xk5t9smd@marketplace.amazon.in</t>
  </si>
  <si>
    <t>Bodwad</t>
  </si>
  <si>
    <t>406-8550148-6497911</t>
  </si>
  <si>
    <t>TGRgNZMz9</t>
  </si>
  <si>
    <t>DVHvm5R1Qp0wR</t>
  </si>
  <si>
    <t>2026-07-25T06:39:24+05:30</t>
  </si>
  <si>
    <t>2026-07-25T09:49:48+05:30</t>
  </si>
  <si>
    <t>2026-07-25T12:50:02+05:30</t>
  </si>
  <si>
    <t>wktbc2hqlczgp4d@marketplace.amazon.in</t>
  </si>
  <si>
    <t>404-7834090-7741105</t>
  </si>
  <si>
    <t>T3byrp2d9</t>
  </si>
  <si>
    <t>DgQKldRzQS0FR</t>
  </si>
  <si>
    <t>2026-07-24T21:27:08+05:30</t>
  </si>
  <si>
    <t>2026-07-25T09:35:47+05:30</t>
  </si>
  <si>
    <t>2026-07-25T12:36:01+05:30</t>
  </si>
  <si>
    <t>2ljrv3g8jky9vvc@marketplace.amazon.in</t>
  </si>
  <si>
    <t>408-8864308-2306714</t>
  </si>
  <si>
    <t>TX94K02t9</t>
  </si>
  <si>
    <t>D2nmlJRDQk0RR</t>
  </si>
  <si>
    <t>2026-07-25T01:29:19+05:30</t>
  </si>
  <si>
    <t>2026-07-25T09:32:43+05:30</t>
  </si>
  <si>
    <t>2026-07-25T09:32:47+05:30</t>
  </si>
  <si>
    <t>2026-07-25T10:32:59+05:30</t>
  </si>
  <si>
    <t>mp5zrp3flzzw2bv@marketplace.amazon.in</t>
  </si>
  <si>
    <t>X0027PSKVF</t>
  </si>
  <si>
    <t>405-4839225-6557900</t>
  </si>
  <si>
    <t>TwNytc2X9</t>
  </si>
  <si>
    <t>DB4lSJRQQD0wR</t>
  </si>
  <si>
    <t>X0027X17MV</t>
  </si>
  <si>
    <t>2026-07-25T00:50:21+05:30</t>
  </si>
  <si>
    <t>2026-07-25T09:14:49+05:30</t>
  </si>
  <si>
    <t>2026-07-25T12:15:01+05:30</t>
  </si>
  <si>
    <t>989j9jrmcp1tg47@marketplace.amazon.in</t>
  </si>
  <si>
    <t>408-4437854-5541143</t>
  </si>
  <si>
    <t>TG5yYG2t9</t>
  </si>
  <si>
    <t>DW3bLTRCQH0FR</t>
  </si>
  <si>
    <t>2026-07-24T20:52:24+05:30</t>
  </si>
  <si>
    <t>2026-07-25T04:49:47+05:30</t>
  </si>
  <si>
    <t>2026-07-25T07:50:01+05:30</t>
  </si>
  <si>
    <t>mf1j7dd1xxzmgyq@marketplace.amazon.in</t>
  </si>
  <si>
    <t>Eroor, Tripunithura</t>
  </si>
  <si>
    <t>404-2526117-3722714</t>
  </si>
  <si>
    <t>Tgvd3GVl9</t>
  </si>
  <si>
    <t>DDpps9R3QM07R</t>
  </si>
  <si>
    <t>2026-07-24T14:32:47+05:30</t>
  </si>
  <si>
    <t>2026-07-25T04:27:04+05:30</t>
  </si>
  <si>
    <t>2026-07-25T07:27:16+05:30</t>
  </si>
  <si>
    <t>dpm6vg2hcywx5fd@marketplace.amazon.in</t>
  </si>
  <si>
    <t>Surat</t>
  </si>
  <si>
    <t>SHADOWFAX</t>
  </si>
  <si>
    <t>SF000000418787AMZ</t>
  </si>
  <si>
    <t>406-9091802-7909130</t>
  </si>
  <si>
    <t>TwgjQ42w9</t>
  </si>
  <si>
    <t>DmvrQpRlQS05R</t>
  </si>
  <si>
    <t>2026-07-24T22:31:01+05:30</t>
  </si>
  <si>
    <t>2026-07-25T04:24:42+05:30</t>
  </si>
  <si>
    <t>2026-07-25T04:24:45+05:30</t>
  </si>
  <si>
    <t>2026-07-25T05:24:56+05:30</t>
  </si>
  <si>
    <t>t1qrfpv0v97vz50@marketplace.amazon.in</t>
  </si>
  <si>
    <t>171-6275308-2040336</t>
  </si>
  <si>
    <t>Tggzcf2Z9</t>
  </si>
  <si>
    <t>DFJ9s3RqQc0CR</t>
  </si>
  <si>
    <t>2026-07-24T21:08:49+05:30</t>
  </si>
  <si>
    <t>2026-07-25T04:21:46+05:30</t>
  </si>
  <si>
    <t>2026-07-25T04:21:50+05:30</t>
  </si>
  <si>
    <t>2026-07-25T05:22:01+05:30</t>
  </si>
  <si>
    <t>1lk6ywywfgshn7t@marketplace.amazon.in</t>
  </si>
  <si>
    <t>408-3343822-8812349</t>
  </si>
  <si>
    <t>TG0gqlVj9</t>
  </si>
  <si>
    <t>DX2qcWRJQk07R</t>
  </si>
  <si>
    <t>2026-07-21T14:58:20+05:30</t>
  </si>
  <si>
    <t>2026-07-25T04:04:44+05:30</t>
  </si>
  <si>
    <t>2026-07-25T07:04:54+05:30</t>
  </si>
  <si>
    <t>0909nm1hqnv4lf0@marketplace.amazon.in</t>
  </si>
  <si>
    <t>404-8916754-2495559</t>
  </si>
  <si>
    <t>TnbNs32L9</t>
  </si>
  <si>
    <t>DrwnvmRBQb0zR</t>
  </si>
  <si>
    <t>2026-07-24T21:44:44+05:30</t>
  </si>
  <si>
    <t>2026-07-25T03:35:44+05:30</t>
  </si>
  <si>
    <t>2026-07-25T06:35:55+05:30</t>
  </si>
  <si>
    <t>lw1y2mzzlmfzvbs@marketplace.amazon.in</t>
  </si>
  <si>
    <t>Bajaj (Grey)</t>
  </si>
  <si>
    <t xml:space="preserve">Crasome Dust Proof Water Resistant Kitchen Wet Grinder Cover for 2 Litre Table Top Ultra Perfect S | Ultra Perfect Plus | 1.25 Litre Ultra Mini - Grey
</t>
  </si>
  <si>
    <t>Rau</t>
  </si>
  <si>
    <t>X0027Y6GKN</t>
  </si>
  <si>
    <t>B0DT93P6GL</t>
  </si>
  <si>
    <t>CRM-SOB1-M-BL-WH-2Q</t>
  </si>
  <si>
    <t>CRASOME Set of 2 Wardrobe Organizer for Clothes with Handles, Storage Organizer for Clothes, Foldable Storage Baskets for Organizing Toys, Books, Storage Organizer with Handles (SOB1-M-BL-WH-2Q)</t>
  </si>
  <si>
    <t>403-9932889-7431526</t>
  </si>
  <si>
    <t>TCBQ4T2b9</t>
  </si>
  <si>
    <t>X00289S0WJ</t>
  </si>
  <si>
    <t>DRRfv7RvQn0mR</t>
  </si>
  <si>
    <t>B0DV8V7JWV</t>
  </si>
  <si>
    <t>CRM-SOB1-L-BL-WH</t>
  </si>
  <si>
    <t>2026-07-24T20:03:55+05:30</t>
  </si>
  <si>
    <t>2026-07-25T03:30:47+05:30</t>
  </si>
  <si>
    <t>CRASOME 2 Pcs Wardrobe Organizer for Storage | Storage Baskets for Clothing Fabric Storage Box with Handles Shelf Basket for Storage Clothes Pants Jeans Sweater (SOB1-L-BL-WH-2Q)</t>
  </si>
  <si>
    <t>2026-07-25T06:31:00+05:30</t>
  </si>
  <si>
    <t>mdnv9rgz7gqr900@marketplace.amazon.in</t>
  </si>
  <si>
    <t>408-5181592-7222755</t>
  </si>
  <si>
    <t>TNy0gYVS9</t>
  </si>
  <si>
    <t>DCM2zFR0Qc0VR</t>
  </si>
  <si>
    <t>X0028EQLQL</t>
  </si>
  <si>
    <t>2026-07-24T16:29:21+05:30</t>
  </si>
  <si>
    <t>2026-07-25T03:24:49+05:30</t>
  </si>
  <si>
    <t>2026-07-25T06:25:01+05:30</t>
  </si>
  <si>
    <t>fnqtxbtyr0lx78b@marketplace.amazon.in</t>
  </si>
  <si>
    <t>GREATER NOIDA</t>
  </si>
  <si>
    <t>407-2025335-2769905</t>
  </si>
  <si>
    <t>TgDDjXV89</t>
  </si>
  <si>
    <t>DDcnzFRLQ800R</t>
  </si>
  <si>
    <t>2026-07-24T17:22:32+05:30</t>
  </si>
  <si>
    <t>2026-07-25T03:16:52+05:30</t>
  </si>
  <si>
    <t>2026-07-25T06:17:05+05:30</t>
  </si>
  <si>
    <t>cpcq8hxkn15m1hb@marketplace.amazon.in</t>
  </si>
  <si>
    <t>Thane</t>
  </si>
  <si>
    <t>Dyc8zfRRQk0nR</t>
  </si>
  <si>
    <t>X0028ESBT1</t>
  </si>
  <si>
    <t>404-6943362-9305901</t>
  </si>
  <si>
    <t>Tc7zyS259</t>
  </si>
  <si>
    <t>D4cxzKRzQ800R</t>
  </si>
  <si>
    <t>2026-07-24T19:44:47+05:30</t>
  </si>
  <si>
    <t>2026-07-25T03:16:47+05:30</t>
  </si>
  <si>
    <t>2026-07-25T06:16:58+05:30</t>
  </si>
  <si>
    <t>1vsc8k5rddspkbl@marketplace.amazon.in</t>
  </si>
  <si>
    <t>Eluru</t>
  </si>
  <si>
    <t>171-2624236-5733151</t>
  </si>
  <si>
    <t>TcbpjGVF9</t>
  </si>
  <si>
    <t>DPtvVvR5Qw0mR</t>
  </si>
  <si>
    <t>2026-07-24T17:12:41+05:30</t>
  </si>
  <si>
    <t>2026-07-25T03:09:47+05:30</t>
  </si>
  <si>
    <t>2026-07-25T06:09:58+05:30</t>
  </si>
  <si>
    <t>hc8z1llyvp273qs@marketplace.amazon.in</t>
  </si>
  <si>
    <t>406-5423446-8081115</t>
  </si>
  <si>
    <t>TXh1Y42G9</t>
  </si>
  <si>
    <t>DBxBVcRRQF0sR</t>
  </si>
  <si>
    <t>2026-07-24T20:21:00+05:30</t>
  </si>
  <si>
    <t>2026-07-25T02:59:46+05:30</t>
  </si>
  <si>
    <t>2026-07-25T05:59:57+05:30</t>
  </si>
  <si>
    <t>j2ttmlnk7hqfm9z@marketplace.amazon.in</t>
  </si>
  <si>
    <t>Kanpur</t>
  </si>
  <si>
    <t>404-0062365-4849970</t>
  </si>
  <si>
    <t>T1FrVc2t9</t>
  </si>
  <si>
    <t>DS5d2LR1QN0JR</t>
  </si>
  <si>
    <t>2026-07-24T20:06:01+05:30</t>
  </si>
  <si>
    <t>2026-07-25T02:57:48+05:30</t>
  </si>
  <si>
    <t>2026-07-25T05:58:01+05:30</t>
  </si>
  <si>
    <t>c965zsc8zpyp1b2@marketplace.amazon.in</t>
  </si>
  <si>
    <t>404-7939560-1492368</t>
  </si>
  <si>
    <t>T64kl0939</t>
  </si>
  <si>
    <t>DPt72lRCQP0fR</t>
  </si>
  <si>
    <t>2026-07-19T17:10:18+05:30</t>
  </si>
  <si>
    <t>2026-07-25T02:51:50+05:30</t>
  </si>
  <si>
    <t>2026-07-25T05:52:06+05:30</t>
  </si>
  <si>
    <t>v52j1ljpzh9q42z@marketplace.amazon.in</t>
  </si>
  <si>
    <t>Jammu</t>
  </si>
  <si>
    <t>JAMMU &amp; KASHMIR</t>
  </si>
  <si>
    <t>408-2238072-3567514</t>
  </si>
  <si>
    <t>T6SV9w2b9</t>
  </si>
  <si>
    <t>DF5v2hR9QN0JR</t>
  </si>
  <si>
    <t>2026-07-24T19:23:48+05:30</t>
  </si>
  <si>
    <t>2026-07-25T02:51:49+05:30</t>
  </si>
  <si>
    <t>2026-07-25T05:51:59+05:30</t>
  </si>
  <si>
    <t>3mcx39yzjg20f1c@marketplace.amazon.in</t>
  </si>
  <si>
    <t>CRM-HP-2606sdw-Black</t>
  </si>
  <si>
    <t>CRASOME Dust Proof Water-Resistant Printer Cover For HP Laserjet Tank MFP 1188Fnw / 2606Sdw (Black)</t>
  </si>
  <si>
    <t>VIRUDHACHALAM</t>
  </si>
  <si>
    <t>406-5412490-3598738</t>
  </si>
  <si>
    <t>TnvBtTbK9</t>
  </si>
  <si>
    <t>DWwPDPRdQl0nR</t>
  </si>
  <si>
    <t>2026-07-23T14:51:56+05:30</t>
  </si>
  <si>
    <t>2026-07-25T02:09:48+05:30</t>
  </si>
  <si>
    <t>2026-07-25T05:10:00+05:30</t>
  </si>
  <si>
    <t>9t1q2wjxrlzhxhd@marketplace.amazon.in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</si>
  <si>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</si>
  <si>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</si>
  <si>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X0028ESFZL</t>
  </si>
  <si>
    <t>PATNA city</t>
  </si>
  <si>
    <t>CRASOME Dust &amp; Water Proof Printer Cover for Brother DCP-T226 / DCP-T426W (Grey)</t>
  </si>
  <si>
    <t>402-5274095-2167521</t>
  </si>
  <si>
    <t>TJ73zm2t9</t>
  </si>
  <si>
    <t>DknkDCR9Qb0kR</t>
  </si>
  <si>
    <t>2026-07-24T21:41:08+05:30</t>
  </si>
  <si>
    <t>2026-07-25T02:07:49+05:30</t>
  </si>
  <si>
    <t>2026-07-25T05:08:03+05:30</t>
  </si>
  <si>
    <t>2026-07-25T08:00:00+05:30</t>
  </si>
  <si>
    <t>404-5294663-5253945</t>
  </si>
  <si>
    <t>TwM2682l9</t>
  </si>
  <si>
    <t>D8T9DKRwQf0xR</t>
  </si>
  <si>
    <t>2026-07-25T00:17:27+05:30</t>
  </si>
  <si>
    <t>2026-07-25T02:07:48+05:30</t>
  </si>
  <si>
    <t>wvt6fcjgt7jx0t2@marketplace.amazon.in</t>
  </si>
  <si>
    <t>403-0218281-9479551</t>
  </si>
  <si>
    <t>T6M8LJ289</t>
  </si>
  <si>
    <t>D6TvYMRmQQ0kR</t>
  </si>
  <si>
    <t>2026-07-24T22:47:09+05:30</t>
  </si>
  <si>
    <t>2026-07-25T01:50:55+05:30</t>
  </si>
  <si>
    <t>2026-07-25T04:51:10+05:30</t>
  </si>
  <si>
    <t>hw7kkt52ksp0456@marketplace.amazon.in</t>
  </si>
  <si>
    <t>KRISHNAGIRI</t>
  </si>
  <si>
    <t>407-0053604-5986738</t>
  </si>
  <si>
    <t>TgVzyy2Y9</t>
  </si>
  <si>
    <t>DjFTyfRkQQ01R</t>
  </si>
  <si>
    <t>2026-07-24T19:21:04+05:30</t>
  </si>
  <si>
    <t>2026-07-25T01:50:46+05:30</t>
  </si>
  <si>
    <t>2026-07-25T04:50:57+05:30</t>
  </si>
  <si>
    <t>dng93zwk8tnwn1n@marketplace.amazon.in</t>
  </si>
  <si>
    <t>403-2523832-0973912</t>
  </si>
  <si>
    <t>TGSys2Vb9</t>
  </si>
  <si>
    <t>DgkyyQRQQy08R</t>
  </si>
  <si>
    <t>2026-07-24T10:14:50+05:30</t>
  </si>
  <si>
    <t>2026-07-25T01:45:51+05:30</t>
  </si>
  <si>
    <t>2026-07-25T04:46:02+05:30</t>
  </si>
  <si>
    <t>cn3jgb3z54v37gq@marketplace.amazon.in</t>
  </si>
  <si>
    <t>404-1338673-8122708</t>
  </si>
  <si>
    <t>Tc41DR2C9</t>
  </si>
  <si>
    <t>DXqnwNR4Qy06R</t>
  </si>
  <si>
    <t>2026-07-24T21:54:25+05:30</t>
  </si>
  <si>
    <t>2026-07-25T01:15:56+05:30</t>
  </si>
  <si>
    <t>2026-07-25T04:16:12+05:30</t>
  </si>
  <si>
    <t>x1mnll0hjtq9nqn@marketplace.amazon.in</t>
  </si>
  <si>
    <t>X0029UOZFD</t>
  </si>
  <si>
    <t>407-8518233-5933158</t>
  </si>
  <si>
    <t>Tnh4K7V39</t>
  </si>
  <si>
    <t>DXw2BGRBQf0FR</t>
  </si>
  <si>
    <t>2026-07-24T15:19:03+05:30</t>
  </si>
  <si>
    <t>2026-07-25T01:09:46+05:30</t>
  </si>
  <si>
    <t>2026-07-25T04:09:57+05:30</t>
  </si>
  <si>
    <t>rr9hb6s1ywx7knr@marketplace.amazon.in</t>
  </si>
  <si>
    <t>Akbarpur</t>
  </si>
  <si>
    <t>405-8523689-3760315</t>
  </si>
  <si>
    <t>TVhWT9VH9</t>
  </si>
  <si>
    <t>DVtc9wRTQb0gR</t>
  </si>
  <si>
    <t>2026-07-24T16:14:33+05:30</t>
  </si>
  <si>
    <t>2026-07-25T00:55:51+05:30</t>
  </si>
  <si>
    <t>2026-07-25T03:56:02+05:30</t>
  </si>
  <si>
    <t>nt5mx2w8wlz11d3@marketplace.amazon.in</t>
  </si>
  <si>
    <t>THIRUVARUR</t>
  </si>
  <si>
    <t>403-9802024-1229132</t>
  </si>
  <si>
    <t>TcPt8ztt9</t>
  </si>
  <si>
    <t>D0Bt9WRWQj0bR</t>
  </si>
  <si>
    <t>2026-07-24T01:15:39+05:30</t>
  </si>
  <si>
    <t>2026-07-25T00:45:54+05:30</t>
  </si>
  <si>
    <t>2026-07-25T03:46:06+05:30</t>
  </si>
  <si>
    <t>flzyk5t2tb6qj37@marketplace.amazon.in</t>
  </si>
  <si>
    <t>BILASPUR</t>
  </si>
  <si>
    <t>BLUEDART</t>
  </si>
  <si>
    <t>405-7899376-0858741</t>
  </si>
  <si>
    <t>TwDhY5V49</t>
  </si>
  <si>
    <t>D86Q95RWQV0vR</t>
  </si>
  <si>
    <t>2026-07-24T06:33:51+05:30</t>
  </si>
  <si>
    <t>2026-07-25T00:43:16+05:30</t>
  </si>
  <si>
    <t>2026-07-25T03:43:48+05:30</t>
  </si>
  <si>
    <t>nd719xpgn9z47vv@marketplace.amazon.in</t>
  </si>
  <si>
    <t>407-6670978-6138729</t>
  </si>
  <si>
    <t>TCW8N62x9</t>
  </si>
  <si>
    <t>D8F148RrQ90HR</t>
  </si>
  <si>
    <t>2026-07-24T19:06:44+05:30</t>
  </si>
  <si>
    <t>2026-07-25T00:38:50+05:30</t>
  </si>
  <si>
    <t>2026-07-25T03:39:02+05:30</t>
  </si>
  <si>
    <t>l198rr9wkwjk5qh@marketplace.amazon.in</t>
  </si>
  <si>
    <t>402-0047778-6681101</t>
  </si>
  <si>
    <t>Tw1X2L239</t>
  </si>
  <si>
    <t>Dr3X48RQQP0GR</t>
  </si>
  <si>
    <t>2026-07-24T21:03:44+05:30</t>
  </si>
  <si>
    <t>2026-07-25T00:36:51+05:30</t>
  </si>
  <si>
    <t>2026-07-25T00:36:53+05:30</t>
  </si>
  <si>
    <t>2026-07-25T01:37:03+05:30</t>
  </si>
  <si>
    <t>941kqjsslxblsgc@marketplace.amazon.in</t>
  </si>
  <si>
    <t>408-6610278-5125101</t>
  </si>
  <si>
    <t>TJQ5Yt2c9</t>
  </si>
  <si>
    <t>D8Fm4YRBQ90HR</t>
  </si>
  <si>
    <t>2026-07-24T20:20:42+05:30</t>
  </si>
  <si>
    <t>2026-07-25T00:32:54+05:30</t>
  </si>
  <si>
    <t>2026-07-25T03:33:07+05:30</t>
  </si>
  <si>
    <t>22qb74q9hrw2665@marketplace.amazon.in</t>
  </si>
  <si>
    <t>407-0820262-6699567</t>
  </si>
  <si>
    <t>TNv5tFVx9</t>
  </si>
  <si>
    <t>D2dq4TRXQp0ZR</t>
  </si>
  <si>
    <t>2026-07-24T15:45:36+05:30</t>
  </si>
  <si>
    <t>2026-07-25T00:30:51+05:30</t>
  </si>
  <si>
    <t>2026-07-25T03:31:03+05:30</t>
  </si>
  <si>
    <t>f1jx8yh4k1zk5d3@marketplace.amazon.in</t>
  </si>
  <si>
    <t>X0029XAJ6T</t>
  </si>
  <si>
    <t>KUNNATHUNAD</t>
  </si>
  <si>
    <t>407-4185290-9373160</t>
  </si>
  <si>
    <t>TGJNxbV59</t>
  </si>
  <si>
    <t>D3YbHrRDQs0vR</t>
  </si>
  <si>
    <t>2026-07-24T14:56:52+05:30</t>
  </si>
  <si>
    <t>2026-07-25T00:12:51+05:30</t>
  </si>
  <si>
    <t>2026-07-25T03:13:02+05:30</t>
  </si>
  <si>
    <t>7qwwgspj6y08gk4@marketplace.amazon.in</t>
  </si>
  <si>
    <t>Bajaj (Black)</t>
  </si>
  <si>
    <t xml:space="preserve">Crasome Dust Proof Water Resistant Kitchen Wet Grinder Cover for 2 Litre Table Top Ultra Perfect S | Ultra Perfect Plus | 1.25 Litre Ultra Mini - Black
</t>
  </si>
  <si>
    <t>171-5266897-4306764</t>
  </si>
  <si>
    <t>TXlJpFVV9</t>
  </si>
  <si>
    <t>DmvHbZR3Qt0zR</t>
  </si>
  <si>
    <t>2026-07-24T17:42:52+05:30</t>
  </si>
  <si>
    <t>2026-07-25T00:02:52+05:30</t>
  </si>
  <si>
    <t>2026-07-25T03:03:04+05:30</t>
  </si>
  <si>
    <t>95vhzl9c2jq0m4q@marketplace.amazon.in</t>
  </si>
  <si>
    <t>KHANDWA</t>
  </si>
  <si>
    <t>407-3969218-6394750</t>
  </si>
  <si>
    <t>TcfbBB2R9</t>
  </si>
  <si>
    <t>DH3QbsRTQ20vR</t>
  </si>
  <si>
    <t>2026-07-24T19:50:04+05:30</t>
  </si>
  <si>
    <t>2026-07-25T00:02:51+05:30</t>
  </si>
  <si>
    <t>3ztxlsz73nxqff6@marketplace.amazon.in</t>
  </si>
  <si>
    <t>X0029XAKVN</t>
  </si>
  <si>
    <t>407-3348457-0058744</t>
  </si>
  <si>
    <t>TXlq4s2j9</t>
  </si>
  <si>
    <t>DMvrk6RDQv08R</t>
  </si>
  <si>
    <t>2026-07-24T19:45:51+05:30</t>
  </si>
  <si>
    <t>2026-07-24T23:43:54+05:30</t>
  </si>
  <si>
    <t>2026-07-25T02:44:06+05:30</t>
  </si>
  <si>
    <t>kqmh9g4jmknmg4p@marketplace.amazon.in</t>
  </si>
  <si>
    <t>CRM-BR-T820DW-Grey</t>
  </si>
  <si>
    <t>Crasome Dust &amp; Water Proof Printer Cover for Brother Ink Tank DCP-T820DW / MFC-T910DW / MFC-T920DW (Grey)</t>
  </si>
  <si>
    <t>405-1132712-0377939</t>
  </si>
  <si>
    <t>Tg1gZ0bw9</t>
  </si>
  <si>
    <t>DRm3kMRgQt0SR</t>
  </si>
  <si>
    <t>2026-07-23T18:03:09+05:30</t>
  </si>
  <si>
    <t>2026-07-24T23:40:47+05:30</t>
  </si>
  <si>
    <t>2026-07-25T02:40:59+05:30</t>
  </si>
  <si>
    <t>c8n9q7kwpycljdg@marketplace.amazon.in</t>
  </si>
  <si>
    <t>NAGERCOIL</t>
  </si>
  <si>
    <t>406-8969393-5959538</t>
  </si>
  <si>
    <t>TGgcBT2J9</t>
  </si>
  <si>
    <t>DMfXkqR0Q60GR</t>
  </si>
  <si>
    <t>2026-07-24T20:37:31+05:30</t>
  </si>
  <si>
    <t>2026-07-24T23:32:43+05:30</t>
  </si>
  <si>
    <t>2026-07-24T23:32:47+05:30</t>
  </si>
  <si>
    <t>2026-07-25T00:32:57+05:30</t>
  </si>
  <si>
    <t>405-7570638-8006725</t>
  </si>
  <si>
    <t>Tnh2Nc2W9</t>
  </si>
  <si>
    <t>D7D9NpRpQc0QR</t>
  </si>
  <si>
    <t>2026-07-24T18:54:55+05:30</t>
  </si>
  <si>
    <t>2026-07-24T23:27:48+05:30</t>
  </si>
  <si>
    <t>2026-07-25T02:28:00+05:30</t>
  </si>
  <si>
    <t>yqr5148g2h1tvsz@marketplace.amazon.in</t>
  </si>
  <si>
    <t>X002AC6KML</t>
  </si>
  <si>
    <t>Amravati</t>
  </si>
  <si>
    <t>B0F4XQ6NSJ</t>
  </si>
  <si>
    <t>402-7666243-2742739</t>
  </si>
  <si>
    <t>TV8mC4VK9</t>
  </si>
  <si>
    <t>DmDKN9R7Qc0QR</t>
  </si>
  <si>
    <t>2026-07-24T16:39:36+05:30</t>
  </si>
  <si>
    <t>2026-07-24T23:21:57+05:30</t>
  </si>
  <si>
    <t>2026-07-25T02:22:15+05:30</t>
  </si>
  <si>
    <t>r6kj9zb48tvss82@marketplace.amazon.in</t>
  </si>
  <si>
    <t>X002ACHJ5D</t>
  </si>
  <si>
    <t>404-3486092-5811537</t>
  </si>
  <si>
    <t>TXJbNq2R9</t>
  </si>
  <si>
    <t>Dl6yN7RpQh0fR</t>
  </si>
  <si>
    <t>2026-07-24T18:38:47+05:30</t>
  </si>
  <si>
    <t>2026-07-24T23:20:54+05:30</t>
  </si>
  <si>
    <t>2026-07-24T23:20:57+05:30</t>
  </si>
  <si>
    <t>2026-07-25T00:21:15+05:30</t>
  </si>
  <si>
    <t>y9f7dwf75m841t6@marketplace.amazon.in</t>
  </si>
  <si>
    <t>171-3732401-3381133</t>
  </si>
  <si>
    <t>TwXpjbVd9</t>
  </si>
  <si>
    <t>D3PHN2R0QR05R</t>
  </si>
  <si>
    <t>2026-07-24T17:04:29+05:30</t>
  </si>
  <si>
    <t>2026-07-24T23:16:15+05:30</t>
  </si>
  <si>
    <t>2026-07-25T02:16:45+05:30</t>
  </si>
  <si>
    <t>gqlhrfssqkht3hn@marketplace.amazon.in</t>
  </si>
  <si>
    <t>406-0073772-7621108</t>
  </si>
  <si>
    <t>TGkD9StX9</t>
  </si>
  <si>
    <t>DQwqRCR6Qm0cR</t>
  </si>
  <si>
    <t>2026-07-23T18:00:40+05:30</t>
  </si>
  <si>
    <t>2026-07-24T23:08:48+05:30</t>
  </si>
  <si>
    <t>2026-07-25T02:09:01+05:30</t>
  </si>
  <si>
    <t>smqtxr19b00nqr3@marketplace.amazon.in</t>
  </si>
  <si>
    <t>HARIDWAR</t>
  </si>
  <si>
    <t>407-9925274-1240323</t>
  </si>
  <si>
    <t>TNYrfyVF9</t>
  </si>
  <si>
    <t>Dx14RGRfQk0LR</t>
  </si>
  <si>
    <t>2026-07-24T18:25:46+05:30</t>
  </si>
  <si>
    <t>2026-07-24T23:08:45+05:30</t>
  </si>
  <si>
    <t>2026-07-25T02:08:57+05:30</t>
  </si>
  <si>
    <t>8cr9397qp0p99dr@marketplace.amazon.in</t>
  </si>
  <si>
    <t>403-3615051-9943516</t>
  </si>
  <si>
    <t>TnkdTyb89</t>
  </si>
  <si>
    <t>DDBKRmRlQn02R</t>
  </si>
  <si>
    <t>2026-07-23T11:58:17+05:30</t>
  </si>
  <si>
    <t>2026-07-24T23:04:51+05:30</t>
  </si>
  <si>
    <t>2026-07-25T02:05:02+05:30</t>
  </si>
  <si>
    <t>fsy1z0j861kpdnt@marketplace.amazon.in</t>
  </si>
  <si>
    <t>405-2939876-8692324</t>
  </si>
  <si>
    <t>T1fnmpVy9</t>
  </si>
  <si>
    <t>DjY8RLRFQr09R</t>
  </si>
  <si>
    <t>2026-07-24T17:00:07+05:30</t>
  </si>
  <si>
    <t>2026-07-24T22:58:53+05:30</t>
  </si>
  <si>
    <t>2026-07-25T01:59:08+05:30</t>
  </si>
  <si>
    <t>8t7wf4h4ny38zfc@marketplace.amazon.in</t>
  </si>
  <si>
    <t>X002ACHJ6H</t>
  </si>
  <si>
    <t>407-4858718-6292363</t>
  </si>
  <si>
    <t>Tcz1hRVW9</t>
  </si>
  <si>
    <t>D4D2fJpSQ50dR</t>
  </si>
  <si>
    <t>2026-07-24T19:54:32+05:30</t>
  </si>
  <si>
    <t>2026-07-24T22:32:56+05:30</t>
  </si>
  <si>
    <t>2026-07-25T01:33:15+05:30</t>
  </si>
  <si>
    <t>8y9cvw6sbmcxx5q@marketplace.amazon.in</t>
  </si>
  <si>
    <t>405-9170837-8638741</t>
  </si>
  <si>
    <t>TcmcyK229</t>
  </si>
  <si>
    <t>D09tjnpqQB0rR</t>
  </si>
  <si>
    <t>2026-07-24T20:09:21+05:30</t>
  </si>
  <si>
    <t>2026-07-24T22:08:46+05:30</t>
  </si>
  <si>
    <t>2026-07-24T22:08:49+05:30</t>
  </si>
  <si>
    <t>2026-07-24T23:09:00+05:30</t>
  </si>
  <si>
    <t>j99drp36f86yk26@marketplace.amazon.in</t>
  </si>
  <si>
    <t>402-9335146-1982708</t>
  </si>
  <si>
    <t>Tgq16NV19</t>
  </si>
  <si>
    <t>DWpnZLp8Q100R</t>
  </si>
  <si>
    <t>2026-07-24T14:08:51+05:30</t>
  </si>
  <si>
    <t>2026-07-24T21:53:49+05:30</t>
  </si>
  <si>
    <t>2026-07-25T00:54:00+05:30</t>
  </si>
  <si>
    <t>8wqggmlzjgc4bcz@marketplace.amazon.in</t>
  </si>
  <si>
    <t>171-8688994-2031502</t>
  </si>
  <si>
    <t>TcLKffVv9</t>
  </si>
  <si>
    <t>DBCmZTpDQz01R</t>
  </si>
  <si>
    <t>2026-07-24T18:22:10+05:30</t>
  </si>
  <si>
    <t>2026-07-24T21:51:49+05:30</t>
  </si>
  <si>
    <t>2026-07-25T00:52:03+05:30</t>
  </si>
  <si>
    <t>bs5r4cy3z85ww0r@marketplace.amazon.in</t>
  </si>
  <si>
    <t>408-6691447-7523555</t>
  </si>
  <si>
    <t>TXWqy2VF9</t>
  </si>
  <si>
    <t>D0gmqlpjQp0VR</t>
  </si>
  <si>
    <t>2026-07-24T09:45:42+05:30</t>
  </si>
  <si>
    <t>2026-07-24T21:40:48+05:30</t>
  </si>
  <si>
    <t>2026-07-25T00:41:05+05:30</t>
  </si>
  <si>
    <t>4v4bbf3xvtr4qrg@marketplace.amazon.in</t>
  </si>
  <si>
    <t>CRM-PR-4826-MG3070S-Black</t>
  </si>
  <si>
    <t>Crasome Dust &amp; Water Proof Printer Cover for Canon Pixma MG3070S / MG2577s (Black)</t>
  </si>
  <si>
    <t>171-2436708-5469913</t>
  </si>
  <si>
    <t>TnxDXFVR9</t>
  </si>
  <si>
    <t>Dv7K5qpxQl05R</t>
  </si>
  <si>
    <t>2026-07-24T16:28:27+05:30</t>
  </si>
  <si>
    <t>2026-07-24T21:23:49+05:30</t>
  </si>
  <si>
    <t>2026-07-25T00:24:08+05:30</t>
  </si>
  <si>
    <t>ln368zq759ch292@marketplace.amazon.in</t>
  </si>
  <si>
    <t>404-7042937-1588315</t>
  </si>
  <si>
    <t>TJmYqwW99</t>
  </si>
  <si>
    <t>DW1BgrpzQ70wR</t>
  </si>
  <si>
    <t>2026-07-21T21:42:34+05:30</t>
  </si>
  <si>
    <t>2026-07-24T21:11:52+05:30</t>
  </si>
  <si>
    <t>2026-07-25T00:12:09+05:30</t>
  </si>
  <si>
    <t>kk551rdv9zj36z2@marketplace.amazon.in</t>
  </si>
  <si>
    <t>THIAGADURGAM</t>
  </si>
  <si>
    <t>408-0826676-4015516</t>
  </si>
  <si>
    <t>TCSfH4299</t>
  </si>
  <si>
    <t>D1Vv8rpbQ20MR</t>
  </si>
  <si>
    <t>2026-07-24T19:33:55+05:30</t>
  </si>
  <si>
    <t>2026-07-24T20:55:48+05:30</t>
  </si>
  <si>
    <t>2026-07-24T23:56:00+05:30</t>
  </si>
  <si>
    <t>gq64y8y14r3hrzb@marketplace.amazon.in</t>
  </si>
  <si>
    <t>171-5788299-9411555</t>
  </si>
  <si>
    <t>Tcc4bWVP9</t>
  </si>
  <si>
    <t>D3zJXsp6Qx0pR</t>
  </si>
  <si>
    <t>2026-07-24T04:40:11+05:30</t>
  </si>
  <si>
    <t>2026-07-24T20:30:47+05:30</t>
  </si>
  <si>
    <t>2026-07-24T23:31:01+05:30</t>
  </si>
  <si>
    <t>95nntv51cc62s40@marketplace.amazon.in</t>
  </si>
  <si>
    <t>X002BBNFU1</t>
  </si>
  <si>
    <t xml:space="preserve">Crasome Dust Proof Water Resistant Kitchen Wet Grinder Cover for 2 Litre Table Top Bajaj WX 1 | Bajaj WX 3 - Grey
</t>
  </si>
  <si>
    <t>408-6532053-8745967</t>
  </si>
  <si>
    <t>TG2NlpVt9</t>
  </si>
  <si>
    <t>DZd9X5p9QQ0PR</t>
  </si>
  <si>
    <t>2026-07-24T16:03:33+05:30</t>
  </si>
  <si>
    <t>2026-07-24T20:25:56+05:30</t>
  </si>
  <si>
    <t>2026-07-24T23:26:11+05:30</t>
  </si>
  <si>
    <t>4r3bg606z50dqm8@marketplace.amazon.in</t>
  </si>
  <si>
    <t>HASSAN</t>
  </si>
  <si>
    <t>408-0285248-0945931</t>
  </si>
  <si>
    <t>TX7sdXVk9</t>
  </si>
  <si>
    <t>DYCcXCpKQ90CR</t>
  </si>
  <si>
    <t>2026-07-24T13:40:51+05:30</t>
  </si>
  <si>
    <t>2026-07-24T20:25:49+05:30</t>
  </si>
  <si>
    <t>2026-07-24T23:26:01+05:30</t>
  </si>
  <si>
    <t>0s50xngrk73l1pr@marketplace.amazon.in</t>
  </si>
  <si>
    <t>406-8238005-4013963</t>
  </si>
  <si>
    <t>TJxPtyVD9</t>
  </si>
  <si>
    <t>DKZPCbpTQh0mR</t>
  </si>
  <si>
    <t>2026-07-24T14:12:56+05:30</t>
  </si>
  <si>
    <t>2026-07-24T20:14:45+05:30</t>
  </si>
  <si>
    <t>2026-07-24T23:14:56+05:30</t>
  </si>
  <si>
    <t>yy11g6t48kkl0jy@marketplace.amazon.in</t>
  </si>
  <si>
    <t>KHANNA</t>
  </si>
  <si>
    <t>405-6545980-1453910</t>
  </si>
  <si>
    <t>T6WkxTVC9</t>
  </si>
  <si>
    <t>DG6HCjpHQf0cR</t>
  </si>
  <si>
    <t>2026-07-24T12:17:17+05:30</t>
  </si>
  <si>
    <t>2026-07-24T20:13:50+05:30</t>
  </si>
  <si>
    <t>2026-07-24T23:14:01+05:30</t>
  </si>
  <si>
    <t>k59y8gxrwf3ssqw@marketplace.amazon.in</t>
  </si>
  <si>
    <t>VIRPUr</t>
  </si>
  <si>
    <t>405-0133545-6399502</t>
  </si>
  <si>
    <t>Tgpj05VT9</t>
  </si>
  <si>
    <t>DvtwCRpwQh0WR</t>
  </si>
  <si>
    <t>2026-07-24T13:47:43+05:30</t>
  </si>
  <si>
    <t>2026-07-24T20:12:57+05:30</t>
  </si>
  <si>
    <t>2026-07-24T23:13:08+05:30</t>
  </si>
  <si>
    <t>l6vs8z3xr8vjgsg@marketplace.amazon.in</t>
  </si>
  <si>
    <t>171-5307135-5541906</t>
  </si>
  <si>
    <t>Twtd9x2W9</t>
  </si>
  <si>
    <t>DvcBCVpSQz0hR</t>
  </si>
  <si>
    <t>2026-07-24T18:43:17+05:30</t>
  </si>
  <si>
    <t>2026-07-24T20:11:44+05:30</t>
  </si>
  <si>
    <t>2026-07-24T20:11:51+05:30</t>
  </si>
  <si>
    <t>2026-07-24T21:12:01+05:30</t>
  </si>
  <si>
    <t>51k5mpkl31g0smt@marketplace.amazon.in</t>
  </si>
  <si>
    <t>X002BBNHTZ</t>
  </si>
  <si>
    <t>CARRIER_DAMAGED</t>
  </si>
  <si>
    <t>408-4675453-3025154</t>
  </si>
  <si>
    <t>TVdw53V09</t>
  </si>
  <si>
    <t>D0cwCxpJQz0hR</t>
  </si>
  <si>
    <t>2026-07-24T16:31:21+05:30</t>
  </si>
  <si>
    <t>2026-07-24T20:09:51+05:30</t>
  </si>
  <si>
    <t>2026-07-24T23:10:04+05:30</t>
  </si>
  <si>
    <t>xgmrf78rc110jr7@marketplace.amazon.in</t>
  </si>
  <si>
    <t>408-0230753-8231526</t>
  </si>
  <si>
    <t>T3H1zrVZ9</t>
  </si>
  <si>
    <t>Dg4cpVpDQm0fR</t>
  </si>
  <si>
    <t>2026-07-24T20:00:50+05:30</t>
  </si>
  <si>
    <t>2026-07-24T23:01:07+05:30</t>
  </si>
  <si>
    <t>407-9051902-7103509</t>
  </si>
  <si>
    <t>TCQ9TCVn9</t>
  </si>
  <si>
    <t>DvWkpbpyQh0cR</t>
  </si>
  <si>
    <t>2026-07-24T16:19:05+05:30</t>
  </si>
  <si>
    <t>2026-07-24T19:57:50+05:30</t>
  </si>
  <si>
    <t>2026-07-24T22:58:01+05:30</t>
  </si>
  <si>
    <t>4gp3qz1w913lcyr@marketplace.amazon.in</t>
  </si>
  <si>
    <t>406-3835471-7578742</t>
  </si>
  <si>
    <t>TwfyrXzC9</t>
  </si>
  <si>
    <t>DDWWpWpjQz0cR</t>
  </si>
  <si>
    <t>2026-07-19T19:09:40+05:30</t>
  </si>
  <si>
    <t>2026-07-24T19:54:57+05:30</t>
  </si>
  <si>
    <t>2026-07-24T22:55:10+05:30</t>
  </si>
  <si>
    <t>7y9ydwc08ygvb9g@marketplace.amazon.in</t>
  </si>
  <si>
    <t>PALLADAM</t>
  </si>
  <si>
    <t>406-8591729-3912326</t>
  </si>
  <si>
    <t>TJNZKBV19</t>
  </si>
  <si>
    <t>DkkkW7ppQD0hR</t>
  </si>
  <si>
    <t>2026-07-24T15:50:29+05:30</t>
  </si>
  <si>
    <t>2026-07-24T19:45:54+05:30</t>
  </si>
  <si>
    <t>2026-07-24T22:46:07+05:30</t>
  </si>
  <si>
    <t>k4rcr8w85vg0kkl@marketplace.amazon.in</t>
  </si>
  <si>
    <t>NANDED</t>
  </si>
  <si>
    <t>407-3274108-0106702</t>
  </si>
  <si>
    <t>T6SZFmV69</t>
  </si>
  <si>
    <t>DjmpW6pyQs0FR</t>
  </si>
  <si>
    <t>2026-07-24T10:36:34+05:30</t>
  </si>
  <si>
    <t>2026-07-24T19:41:47+05:30</t>
  </si>
  <si>
    <t>2026-07-24T19:41:49+05:30</t>
  </si>
  <si>
    <t>2026-07-24T20:42:00+05:30</t>
  </si>
  <si>
    <t>8jkcxlfz5gltg1f@marketplace.amazon.in</t>
  </si>
  <si>
    <t>Bankura</t>
  </si>
  <si>
    <t>171-4054595-3629155</t>
  </si>
  <si>
    <t>Tcd4XNVc9</t>
  </si>
  <si>
    <t>DVWSWrp8QH0BR</t>
  </si>
  <si>
    <t>X002BPQSAL</t>
  </si>
  <si>
    <t>2026-07-24T16:10:11+05:30</t>
  </si>
  <si>
    <t>2026-07-24T19:40:54+05:30</t>
  </si>
  <si>
    <t>2026-07-24T22:41:09+05:30</t>
  </si>
  <si>
    <t>s2jj570m8xfw0fp@marketplace.amazon.in</t>
  </si>
  <si>
    <t>408-5970897-2252321</t>
  </si>
  <si>
    <t>TcbjC2VW9</t>
  </si>
  <si>
    <t>DDm5K5pbQm0SR</t>
  </si>
  <si>
    <t>2026-07-24T15:31:32+05:30</t>
  </si>
  <si>
    <t>2026-07-24T19:23:46+05:30</t>
  </si>
  <si>
    <t>2026-07-24T20:23:59+05:30</t>
  </si>
  <si>
    <t>68n6q8fqhlxdy26@marketplace.amazon.in</t>
  </si>
  <si>
    <t>407-9579450-8539522</t>
  </si>
  <si>
    <t>T6QH3btn9</t>
  </si>
  <si>
    <t>DxbnQnpsQG09R</t>
  </si>
  <si>
    <t>2026-07-23T22:21:40+05:30</t>
  </si>
  <si>
    <t>2026-07-24T18:30:07+05:30</t>
  </si>
  <si>
    <t>2026-07-24T18:30:14+05:30</t>
  </si>
  <si>
    <t>2026-07-24T19:30:29+05:30</t>
  </si>
  <si>
    <t>pz38hnnvv74bg54@marketplace.amazon.in</t>
  </si>
  <si>
    <t>NAWAGARH</t>
  </si>
  <si>
    <t>CHHATTISGARH</t>
  </si>
  <si>
    <t>DBbpQqpsQG09R</t>
  </si>
  <si>
    <t>405-0263184-9397136</t>
  </si>
  <si>
    <t>TC0nLpVD9</t>
  </si>
  <si>
    <t>DLHQ0TpNQf0mR</t>
  </si>
  <si>
    <t>2026-07-24T11:37:05+05:30</t>
  </si>
  <si>
    <t>2026-07-24T18:27:52+05:30</t>
  </si>
  <si>
    <t>2026-07-24T21:28:03+05:30</t>
  </si>
  <si>
    <t>7h09cbfx5yc9g97@marketplace.amazon.in</t>
  </si>
  <si>
    <t>405-6437196-5850756</t>
  </si>
  <si>
    <t>T1xw1YVy9</t>
  </si>
  <si>
    <t>DxH70LpTQ00mR</t>
  </si>
  <si>
    <t>2026-07-24T13:16:19+05:30</t>
  </si>
  <si>
    <t>2026-07-24T18:24:57+05:30</t>
  </si>
  <si>
    <t>2026-07-24T21:25:21+05:30</t>
  </si>
  <si>
    <t>pm4d6ns8cx91kqr@marketplace.amazon.in</t>
  </si>
  <si>
    <t>403-0674427-6790748</t>
  </si>
  <si>
    <t>T6sLzqVV9</t>
  </si>
  <si>
    <t>D9H6SWpWQT0qR</t>
  </si>
  <si>
    <t>2026-07-24T09:20:20+05:30</t>
  </si>
  <si>
    <t>2026-07-24T18:12:58+05:30</t>
  </si>
  <si>
    <t>2026-07-24T21:13:15+05:30</t>
  </si>
  <si>
    <t>d1rmm8cm08k67rd@marketplace.amazon.in</t>
  </si>
  <si>
    <t>TIRUVETHIPURAM</t>
  </si>
  <si>
    <t>404-3048310-0608335</t>
  </si>
  <si>
    <t>Tg12vFVf9</t>
  </si>
  <si>
    <t>DkHpSxptQT0qR</t>
  </si>
  <si>
    <t>2026-07-24T10:29:07+05:30</t>
  </si>
  <si>
    <t>2026-07-24T18:10:41+05:30</t>
  </si>
  <si>
    <t>2026-07-24T18:10:44+05:30</t>
  </si>
  <si>
    <t>2026-07-24T19:10:54+05:30</t>
  </si>
  <si>
    <t>9rs8c3cjcp39wth@marketplace.amazon.in</t>
  </si>
  <si>
    <t>AM008014898IN</t>
  </si>
  <si>
    <t>404-1289301-2925904</t>
  </si>
  <si>
    <t>TVBfy5V59</t>
  </si>
  <si>
    <t>DzYF6ppxQt0WR</t>
  </si>
  <si>
    <t>2026-07-24T10:28:34+05:30</t>
  </si>
  <si>
    <t>2026-07-24T17:49:53+05:30</t>
  </si>
  <si>
    <t>2026-07-24T20:50:04+05:30</t>
  </si>
  <si>
    <t>0zbvzqltymzz4xh@marketplace.amazon.in</t>
  </si>
  <si>
    <t xml:space="preserve">Crasome Dust Proof Water Resistant Kitchen Wet Grinder Cover for 2 Litre Table Top Bajaj WX 1 | Bajaj WX 3 - Black
</t>
  </si>
  <si>
    <t>X002C2AN7H</t>
  </si>
  <si>
    <t>408-2583555-5709109</t>
  </si>
  <si>
    <t>T13rV9V29</t>
  </si>
  <si>
    <t>Dn6Hd1pqQx0kR</t>
  </si>
  <si>
    <t>2026-07-24T09:16:36+05:30</t>
  </si>
  <si>
    <t>2026-07-24T17:39:02+05:30</t>
  </si>
  <si>
    <t>2026-07-24T20:39:19+05:30</t>
  </si>
  <si>
    <t>k50bgtlkj5d633z@marketplace.amazon.in</t>
  </si>
  <si>
    <t>407-9945385-7917909</t>
  </si>
  <si>
    <t>T62FSkVq9</t>
  </si>
  <si>
    <t>DnJSdlpzQ30VR</t>
  </si>
  <si>
    <t>2026-07-24T16:05:37+05:30</t>
  </si>
  <si>
    <t>2026-07-24T17:30:44+05:30</t>
  </si>
  <si>
    <t>2026-07-24T20:30:56+05:30</t>
  </si>
  <si>
    <t>r4d25crt231srd7@marketplace.amazon.in</t>
  </si>
  <si>
    <t>Nuvem</t>
  </si>
  <si>
    <t>407-0647770-0139565</t>
  </si>
  <si>
    <t>TCmCJxVX9</t>
  </si>
  <si>
    <t>D22VGLpGQY0MR</t>
  </si>
  <si>
    <t>2026-07-24T11:21:36+05:30</t>
  </si>
  <si>
    <t>2026-07-24T17:22:57+05:30</t>
  </si>
  <si>
    <t>2026-07-24T20:23:09+05:30</t>
  </si>
  <si>
    <t>wtkf75c99dllsgq@marketplace.amazon.in</t>
  </si>
  <si>
    <t>404-6764757-7911530</t>
  </si>
  <si>
    <t>TJ5my3VV9</t>
  </si>
  <si>
    <t>DVz5P8pfQL0qR</t>
  </si>
  <si>
    <t>2026-07-24T10:57:56+05:30</t>
  </si>
  <si>
    <t>2026-07-24T16:42:43+05:30</t>
  </si>
  <si>
    <t>2026-07-24T16:42:46+05:30</t>
  </si>
  <si>
    <t>2026-07-24T17:42:57+05:30</t>
  </si>
  <si>
    <t>jt65rqzr5vp8061@marketplace.amazon.in</t>
  </si>
  <si>
    <t>PATIALA</t>
  </si>
  <si>
    <t>406-5822187-5277135</t>
  </si>
  <si>
    <t>TXs1KdtF9</t>
  </si>
  <si>
    <t>X002C2AN9F</t>
  </si>
  <si>
    <t>DQqRPSpNQh0XR</t>
  </si>
  <si>
    <t>2026-07-23T23:48:40+05:30</t>
  </si>
  <si>
    <t>2026-07-24T16:40:54+05:30</t>
  </si>
  <si>
    <t>Crasome Saree Bags/Covers for Storage Big Size With Zip Closure for Clothes Bags and Wardrobe Organizer With Transparent Window (Black TS - 4)</t>
  </si>
  <si>
    <t>2026-07-24T19:41:06+05:30</t>
  </si>
  <si>
    <t>5j86yrd49lwrfs2@marketplace.amazon.in</t>
  </si>
  <si>
    <t>BHUBANESWAR</t>
  </si>
  <si>
    <t>407-2838462-7856369</t>
  </si>
  <si>
    <t>TgT2v6V09</t>
  </si>
  <si>
    <t>D18wTtptQv0fR</t>
  </si>
  <si>
    <t>2026-07-24T12:22:02+05:30</t>
  </si>
  <si>
    <t>2026-07-24T16:38:47+05:30</t>
  </si>
  <si>
    <t>2026-07-24T19:39:02+05:30</t>
  </si>
  <si>
    <t>pvjntb6bv949vj3@marketplace.amazon.in</t>
  </si>
  <si>
    <t>408-5737055-1298731</t>
  </si>
  <si>
    <t>TJBHx5V39</t>
  </si>
  <si>
    <t>DJrwTLpbQy0KR</t>
  </si>
  <si>
    <t>2026-07-24T13:27:16+05:30</t>
  </si>
  <si>
    <t>2026-07-24T16:26:46+05:30</t>
  </si>
  <si>
    <t>2026-07-24T19:26:58+05:30</t>
  </si>
  <si>
    <t>p13xprqnts69npq@marketplace.amazon.in</t>
  </si>
  <si>
    <t>X002DK29S9</t>
  </si>
  <si>
    <t>404-3934788-3438740</t>
  </si>
  <si>
    <t>T37hz6Vt9</t>
  </si>
  <si>
    <t>DzrtTGpZQF0KR</t>
  </si>
  <si>
    <t>2026-07-24T11:00:09+05:30</t>
  </si>
  <si>
    <t>2026-07-24T16:24:44+05:30</t>
  </si>
  <si>
    <t>2026-07-24T19:24:55+05:30</t>
  </si>
  <si>
    <t>d7rvfhhzqjplbzg@marketplace.amazon.in</t>
  </si>
  <si>
    <t>Uthangarai</t>
  </si>
  <si>
    <t>171-6589317-1677148</t>
  </si>
  <si>
    <t>TnXBvNVP9</t>
  </si>
  <si>
    <t>D3KRnmpPQ30YR</t>
  </si>
  <si>
    <t>2026-07-24T10:48:10+05:30</t>
  </si>
  <si>
    <t>2026-07-24T16:20:58+05:30</t>
  </si>
  <si>
    <t>2026-07-24T19:21:14+05:30</t>
  </si>
  <si>
    <t>w120w4hhjbyl4jy@marketplace.amazon.in</t>
  </si>
  <si>
    <t>FARIDABADAd</t>
  </si>
  <si>
    <t>403-7221615-2539558</t>
  </si>
  <si>
    <t>T6J90VVR9</t>
  </si>
  <si>
    <t>DW46xdpPQL0TR</t>
  </si>
  <si>
    <t>2026-07-24T14:10:50+05:30</t>
  </si>
  <si>
    <t>2026-07-24T16:04:51+05:30</t>
  </si>
  <si>
    <t>2026-07-24T19:05:03+05:30</t>
  </si>
  <si>
    <t>t31qcl2551hgv0p@marketplace.amazon.in</t>
  </si>
  <si>
    <t>Karur</t>
  </si>
  <si>
    <t>403-2275195-5057162</t>
  </si>
  <si>
    <t>T6G3BgVN9</t>
  </si>
  <si>
    <t>D14Hx1p7QL0TR</t>
  </si>
  <si>
    <t>2026-07-24T10:05:21+05:30</t>
  </si>
  <si>
    <t>2026-07-24T16:01:48+05:30</t>
  </si>
  <si>
    <t>2026-07-24T19:02:00+05:30</t>
  </si>
  <si>
    <t>b4rzx5d29b1yn39@marketplace.amazon.in</t>
  </si>
  <si>
    <t>KENDRAPARA</t>
  </si>
  <si>
    <t>403-7725163-8175544</t>
  </si>
  <si>
    <t>T18QQRVr9</t>
  </si>
  <si>
    <t>Dn4fx3pwQL0TR</t>
  </si>
  <si>
    <t>2026-07-21T06:38:23+05:30</t>
  </si>
  <si>
    <t>2026-07-24T15:59:45+05:30</t>
  </si>
  <si>
    <t>2026-07-24T15:59:51+05:30</t>
  </si>
  <si>
    <t>2026-07-24T17:00:04+05:30</t>
  </si>
  <si>
    <t>8y86cn9f4vc6nw4@marketplace.amazon.in</t>
  </si>
  <si>
    <t>NANDEJ</t>
  </si>
  <si>
    <t>404-2554263-0062705</t>
  </si>
  <si>
    <t>TgtKVsVM9</t>
  </si>
  <si>
    <t>DjVJxGpqQ80LR</t>
  </si>
  <si>
    <t>2026-07-23T21:31:55+05:30</t>
  </si>
  <si>
    <t>2026-07-24T15:55:22+05:30</t>
  </si>
  <si>
    <t>2026-07-24T18:55:55+05:30</t>
  </si>
  <si>
    <t>m52dqyy1q9f9w9c@marketplace.amazon.in</t>
  </si>
  <si>
    <t>X002E901FH</t>
  </si>
  <si>
    <t>406-3667788-3205953</t>
  </si>
  <si>
    <t>TXNpMwVK9</t>
  </si>
  <si>
    <t>Dh7V3GpwQV0MR</t>
  </si>
  <si>
    <t>2026-07-24T12:19:32+05:30</t>
  </si>
  <si>
    <t>2026-07-24T15:41:47+05:30</t>
  </si>
  <si>
    <t>2026-07-24T18:42:01+05:30</t>
  </si>
  <si>
    <t>29gtkrds9tltqz1@marketplace.amazon.in</t>
  </si>
  <si>
    <t>408-1412501-2188333</t>
  </si>
  <si>
    <t>TJDLrQVZ9</t>
  </si>
  <si>
    <t>DmJl36pTQ40zR</t>
  </si>
  <si>
    <t>2026-07-24T12:53:44+05:30</t>
  </si>
  <si>
    <t>2026-07-24T15:37:52+05:30</t>
  </si>
  <si>
    <t>2026-07-24T18:38:05+05:30</t>
  </si>
  <si>
    <t>rcbf52g5371t5sm@marketplace.amazon.in</t>
  </si>
  <si>
    <t>hyderabad</t>
  </si>
  <si>
    <t>402-5495048-3043504</t>
  </si>
  <si>
    <t>Tnwhx0VW9</t>
  </si>
  <si>
    <t>D5FSMbpNQn0ZR</t>
  </si>
  <si>
    <t>2026-07-24T12:58:00+05:30</t>
  </si>
  <si>
    <t>2026-07-24T15:07:48+05:30</t>
  </si>
  <si>
    <t>2026-07-24T18:08:01+05:30</t>
  </si>
  <si>
    <t>rpyl4tt6r2kk6yg@marketplace.amazon.in</t>
  </si>
  <si>
    <t>X002F0RE5P</t>
  </si>
  <si>
    <t>B0FS6JSFCS</t>
  </si>
  <si>
    <t>2026-07-24T20:00:00+05:30</t>
  </si>
  <si>
    <t>DLfMMfp7Qd0MR</t>
  </si>
  <si>
    <t>404-2574219-2796353</t>
  </si>
  <si>
    <t>T1kLL7VS9</t>
  </si>
  <si>
    <t>DGXQ1HpxQT04R</t>
  </si>
  <si>
    <t>2026-07-24T11:38:05+05:30</t>
  </si>
  <si>
    <t>2026-07-24T14:56:43+05:30</t>
  </si>
  <si>
    <t>2026-07-24T17:56:51+05:30</t>
  </si>
  <si>
    <t>17f3tccvqbrqtz4@marketplace.amazon.in</t>
  </si>
  <si>
    <t>406-1948358-4093909</t>
  </si>
  <si>
    <t>TnJqQyVN9</t>
  </si>
  <si>
    <t>DkN419ppQt0SR</t>
  </si>
  <si>
    <t>2026-07-24T11:08:03+05:30</t>
  </si>
  <si>
    <t>2026-07-24T14:53:46+05:30</t>
  </si>
  <si>
    <t>2026-07-24T17:53:57+05:30</t>
  </si>
  <si>
    <t>rpv81zhrpkn67rm@marketplace.amazon.in</t>
  </si>
  <si>
    <t>171-5839628-2965958</t>
  </si>
  <si>
    <t>TNmRQ2Vk9</t>
  </si>
  <si>
    <t>DjTL1MpbQy0WR</t>
  </si>
  <si>
    <t>2026-07-24T11:34:26+05:30</t>
  </si>
  <si>
    <t>2026-07-24T14:43:47+05:30</t>
  </si>
  <si>
    <t>2026-07-24T17:43:59+05:30</t>
  </si>
  <si>
    <t>ll52517nxphhdb3@marketplace.amazon.in</t>
  </si>
  <si>
    <t>Ludhiana</t>
  </si>
  <si>
    <t>405-7270892-8855500</t>
  </si>
  <si>
    <t>TGsbh5bJ9</t>
  </si>
  <si>
    <t>DQrq1JpDQl0FR</t>
  </si>
  <si>
    <t>2026-07-23T17:55:20+05:30</t>
  </si>
  <si>
    <t>yj6gs00m2k2pcb9@marketplace.amazon.in</t>
  </si>
  <si>
    <t>KOZHIKODE</t>
  </si>
  <si>
    <t>408-7559648-3269128</t>
  </si>
  <si>
    <t>TnMtMDVw9</t>
  </si>
  <si>
    <t>DgMXrJpQQP07R</t>
  </si>
  <si>
    <t>2026-07-24T12:13:31+05:30</t>
  </si>
  <si>
    <t>2026-07-24T14:34:54+05:30</t>
  </si>
  <si>
    <t>2026-07-24T17:35:06+05:30</t>
  </si>
  <si>
    <t>v2t16lmclq57zvq@marketplace.amazon.in</t>
  </si>
  <si>
    <t>JALGAON</t>
  </si>
  <si>
    <t>406-4653674-3973160</t>
  </si>
  <si>
    <t>TwRJQCVY9</t>
  </si>
  <si>
    <t>Dny2LrpFQn0xR</t>
  </si>
  <si>
    <t>2026-07-24T10:37:57+05:30</t>
  </si>
  <si>
    <t>2026-07-24T14:02:53+05:30</t>
  </si>
  <si>
    <t>2026-07-24T17:03:04+05:30</t>
  </si>
  <si>
    <t>732m73dcm32f9ld@marketplace.amazon.in</t>
  </si>
  <si>
    <t>Madurai</t>
  </si>
  <si>
    <t>X002FRK6BH</t>
  </si>
  <si>
    <t>B0FW516TLK</t>
  </si>
  <si>
    <t>407-7683671-3951502</t>
  </si>
  <si>
    <t>TVrLV6V19</t>
  </si>
  <si>
    <t>DryDL8pyQn0xR</t>
  </si>
  <si>
    <t>2026-07-24T07:41:07+05:30</t>
  </si>
  <si>
    <t>2026-07-24T14:01:47+05:30</t>
  </si>
  <si>
    <t xml:space="preserve">Crasome Dust Proof Water Resistant Kitchen Wet Grinder Cover for 2 Litre Table Top Butterfly Rhino | Butterfly Smart | Butterfly Hippo - Grey
</t>
  </si>
  <si>
    <t>2026-07-24T14:01:50+05:30</t>
  </si>
  <si>
    <t>2026-07-24T15:02:01+05:30</t>
  </si>
  <si>
    <t>1jb3sr2drw9gr5k@marketplace.amazon.in</t>
  </si>
  <si>
    <t>X002FRKYLT</t>
  </si>
  <si>
    <t>B0FW4VKZ9M</t>
  </si>
  <si>
    <t>406-6637557-9223556</t>
  </si>
  <si>
    <t>TCQrrCVx9</t>
  </si>
  <si>
    <t>Dd3gLqp5QK02R</t>
  </si>
  <si>
    <t>2026-07-24T12:26:18+05:30</t>
  </si>
  <si>
    <t>2026-07-24T13:59:43+05:30</t>
  </si>
  <si>
    <t>2026-07-24T13:59:50+05:30</t>
  </si>
  <si>
    <t>2026-07-24T15:00:03+05:30</t>
  </si>
  <si>
    <t>tfgwkg1qvtnry2y@marketplace.amazon.in</t>
  </si>
  <si>
    <t>BHOPAL</t>
  </si>
  <si>
    <t>406-0172765-8784329</t>
  </si>
  <si>
    <t>T64nzQVH9</t>
  </si>
  <si>
    <t>DBn9LWphQR0fR</t>
  </si>
  <si>
    <t>2026-07-23T09:56:08+05:30</t>
  </si>
  <si>
    <t>2026-07-24T13:47:53+05:30</t>
  </si>
  <si>
    <t>2026-07-24T16:48:13+05:30</t>
  </si>
  <si>
    <t>chwkwsh1630cgdj@marketplace.amazon.in</t>
  </si>
  <si>
    <t>ADALAJ</t>
  </si>
  <si>
    <t>402-0666054-8503529</t>
  </si>
  <si>
    <t>TwgJNMVy9</t>
  </si>
  <si>
    <t>D2nqL6p2QW0kR</t>
  </si>
  <si>
    <t>2026-07-24T07:03:50+05:30</t>
  </si>
  <si>
    <t>2026-07-24T13:44:46+05:30</t>
  </si>
  <si>
    <t>2026-07-24T16:44:57+05:30</t>
  </si>
  <si>
    <t>6npy8f9vxs2xv82@marketplace.amazon.in</t>
  </si>
  <si>
    <t>405-1692865-4607544</t>
  </si>
  <si>
    <t>T1mnF3Vk9</t>
  </si>
  <si>
    <t>DhtFsgpCQH0vR</t>
  </si>
  <si>
    <t>2026-07-24T10:12:13+05:30</t>
  </si>
  <si>
    <t>2026-07-24T13:40:52+05:30</t>
  </si>
  <si>
    <t>2026-07-24T16:41:03+05:30</t>
  </si>
  <si>
    <t>l7pp98pblhm37kn@marketplace.amazon.in</t>
  </si>
  <si>
    <t>THIRUVANANTHAPURAM</t>
  </si>
  <si>
    <t>408-1655020-4153159</t>
  </si>
  <si>
    <t>T1C64zVT9</t>
  </si>
  <si>
    <t>DDp5scpNQs0DR</t>
  </si>
  <si>
    <t>2026-07-24T09:24:41+05:30</t>
  </si>
  <si>
    <t>2026-07-24T13:30:44+05:30</t>
  </si>
  <si>
    <t>2026-07-24T16:30:55+05:30</t>
  </si>
  <si>
    <t>5f7kfc5f29d95yg@marketplace.amazon.in</t>
  </si>
  <si>
    <t>LOHIAN KHAS</t>
  </si>
  <si>
    <t>404-9655976-3610711</t>
  </si>
  <si>
    <t>TCgkbsV39</t>
  </si>
  <si>
    <t>D33NQVpnQc0jR</t>
  </si>
  <si>
    <t>2026-07-24T05:48:33+05:30</t>
  </si>
  <si>
    <t>2026-07-24T13:26:46+05:30</t>
  </si>
  <si>
    <t>2026-07-24T16:26:54+05:30</t>
  </si>
  <si>
    <t>2bglln4ctffwhdj@marketplace.amazon.in</t>
  </si>
  <si>
    <t>Visakhapatnam</t>
  </si>
  <si>
    <t>406-9011475-0177131</t>
  </si>
  <si>
    <t>TVmH2vVV9</t>
  </si>
  <si>
    <t>D6YWQrpVQT0jR</t>
  </si>
  <si>
    <t>2026-07-24T11:45:43+05:30</t>
  </si>
  <si>
    <t>2026-07-24T13:15:48+05:30</t>
  </si>
  <si>
    <t>2026-07-24T16:15:59+05:30</t>
  </si>
  <si>
    <t>7j2m432b34bdlzd@marketplace.amazon.in</t>
  </si>
  <si>
    <t>Secunderabad</t>
  </si>
  <si>
    <t>171-0648227-8415522</t>
  </si>
  <si>
    <t>TGhxV1V89</t>
  </si>
  <si>
    <t>DvXycQp8Qp0nR</t>
  </si>
  <si>
    <t>2026-07-24T08:02:43+05:30</t>
  </si>
  <si>
    <t>2026-07-24T13:14:50+05:30</t>
  </si>
  <si>
    <t>2026-07-24T16:15:01+05:30</t>
  </si>
  <si>
    <t>50drl1vmkjscj3l@marketplace.amazon.in</t>
  </si>
  <si>
    <t>MANNARGUDI</t>
  </si>
  <si>
    <t>404-5313251-7893962</t>
  </si>
  <si>
    <t>T3rjc7V39</t>
  </si>
  <si>
    <t>DPXCcLppQ105R</t>
  </si>
  <si>
    <t>2026-07-24T10:05:42+05:30</t>
  </si>
  <si>
    <t>2026-07-24T13:12:44+05:30</t>
  </si>
  <si>
    <t>2026-07-24T16:12:55+05:30</t>
  </si>
  <si>
    <t>w958vm8w4d70tdg@marketplace.amazon.in</t>
  </si>
  <si>
    <t>DACHIGAM</t>
  </si>
  <si>
    <t>X002FRNRD1</t>
  </si>
  <si>
    <t>B0FW4SM5D3</t>
  </si>
  <si>
    <t>405-9810298-2184366</t>
  </si>
  <si>
    <t>TXNp88tf9</t>
  </si>
  <si>
    <t>DwvKv4pzQM09R</t>
  </si>
  <si>
    <t>2026-07-24T00:26:36+05:30</t>
  </si>
  <si>
    <t>2026-07-24T13:00:45+05:30</t>
  </si>
  <si>
    <t>2026-07-24T13:00:53+05:30</t>
  </si>
  <si>
    <t>2026-07-24T14:01:02+05:30</t>
  </si>
  <si>
    <t>vj64dv5gymfbr07@marketplace.amazon.in</t>
  </si>
  <si>
    <t>DHANBAD</t>
  </si>
  <si>
    <t>408-3729790-0096309</t>
  </si>
  <si>
    <t>TNm39JVt9</t>
  </si>
  <si>
    <t>DlDJFMplQw0MR</t>
  </si>
  <si>
    <t>2026-07-24T08:09:57+05:30</t>
  </si>
  <si>
    <t>2026-07-24T11:41:44+05:30</t>
  </si>
  <si>
    <t>2026-07-24T11:41:47+05:30</t>
  </si>
  <si>
    <t>2026-07-24T12:41:58+05:30</t>
  </si>
  <si>
    <t>40g5rh15svvhtlr@marketplace.amazon.in</t>
  </si>
  <si>
    <t>405-5479269-5103508</t>
  </si>
  <si>
    <t>Tn0hVGtH9</t>
  </si>
  <si>
    <t>DlcnFcp8Qk07R</t>
  </si>
  <si>
    <t>2026-07-23T20:13:07+05:30</t>
  </si>
  <si>
    <t>2026-07-24T11:35:49+05:30</t>
  </si>
  <si>
    <t>2026-07-24T14:36:03+05:30</t>
  </si>
  <si>
    <t>8bd31l7znv26cld@marketplace.amazon.in</t>
  </si>
  <si>
    <t>FAIZABAD</t>
  </si>
  <si>
    <t>402-4313960-4548304</t>
  </si>
  <si>
    <t>TncDYbVN9</t>
  </si>
  <si>
    <t>Dp9hD7p6Qw0nR</t>
  </si>
  <si>
    <t>2026-07-24T06:34:05+05:30</t>
  </si>
  <si>
    <t>2026-07-24T11:22:46+05:30</t>
  </si>
  <si>
    <t>2026-07-24T14:22:58+05:30</t>
  </si>
  <si>
    <t>p0rwhf9xk7hgjrf@marketplace.amazon.in</t>
  </si>
  <si>
    <t>RAJAHMUNDRY</t>
  </si>
  <si>
    <t>403-8119159-5024307</t>
  </si>
  <si>
    <t>T6KmwkV79</t>
  </si>
  <si>
    <t>DW0ZD4pPQk0NR</t>
  </si>
  <si>
    <t>2026-07-24T07:33:56+05:30</t>
  </si>
  <si>
    <t>2026-07-24T11:13:46+05:30</t>
  </si>
  <si>
    <t>2026-07-24T14:13:59+05:30</t>
  </si>
  <si>
    <t>r8jnjcn7zn18kmz@marketplace.amazon.in</t>
  </si>
  <si>
    <t>MAHABUB NAGAR</t>
  </si>
  <si>
    <t>171-4478097-3197951</t>
  </si>
  <si>
    <t>TJK8nGtW9</t>
  </si>
  <si>
    <t>D1DWYXp6QV0bR</t>
  </si>
  <si>
    <t>2026-07-23T21:44:16+05:30</t>
  </si>
  <si>
    <t>2026-07-24T11:10:50+05:30</t>
  </si>
  <si>
    <t>2026-07-24T14:11:04+05:30</t>
  </si>
  <si>
    <t>0q8lrwblzxpsrbg@marketplace.amazon.in</t>
  </si>
  <si>
    <t>X002FRPC3T</t>
  </si>
  <si>
    <t>B0FTM43TZ6</t>
  </si>
  <si>
    <t>CRM-PR-4826-MG3070S-Grey</t>
  </si>
  <si>
    <t>Crasome Dust &amp; Water Proof Printer Cover for Canon Pixma MG3070S / MG2577s (Grey)</t>
  </si>
  <si>
    <t>MEGA INDUSTRIAL PARK KOPPARTHY</t>
  </si>
  <si>
    <t>X002FRQFCB</t>
  </si>
  <si>
    <t>B0FTM35K6D</t>
  </si>
  <si>
    <t>406-8093525-8405919</t>
  </si>
  <si>
    <t>T3ySCStw9</t>
  </si>
  <si>
    <t>D7g9yTprQQ0SR</t>
  </si>
  <si>
    <t>2026-07-24T01:30:57+05:30</t>
  </si>
  <si>
    <t>2026-07-24T10:56:45+05:30</t>
  </si>
  <si>
    <t>2026-07-24T10:56:52+05:30</t>
  </si>
  <si>
    <t>2026-07-24T11:57:03+05:30</t>
  </si>
  <si>
    <t>tn185k8c1kctgq4@marketplace.amazon.in</t>
  </si>
  <si>
    <t>X002GIZNDL</t>
  </si>
  <si>
    <t>B0G42PN4TM</t>
  </si>
  <si>
    <t>404-2961064-3096360</t>
  </si>
  <si>
    <t>TGgTDNVm9</t>
  </si>
  <si>
    <t>D9bgylp3QS0mR</t>
  </si>
  <si>
    <t>2026-07-24T08:30:19+05:30</t>
  </si>
  <si>
    <t>2026-07-24T10:56:48+05:30</t>
  </si>
  <si>
    <t>2026-07-24T13:56:59+05:30</t>
  </si>
  <si>
    <t>6d0cphcywcvgplh@marketplace.amazon.in</t>
  </si>
  <si>
    <t>402-0413796-4801968</t>
  </si>
  <si>
    <t>Tg0748t99</t>
  </si>
  <si>
    <t>DRZdytp8QJ0VR</t>
  </si>
  <si>
    <t>2026-07-23T19:31:42+05:30</t>
  </si>
  <si>
    <t>2026-07-24T10:51:46+05:30</t>
  </si>
  <si>
    <t>2026-07-24T13:51:59+05:30</t>
  </si>
  <si>
    <t>0xhc73m79550rdg@marketplace.amazon.in</t>
  </si>
  <si>
    <t>408-2119250-4255512</t>
  </si>
  <si>
    <t>T6j81cZs9</t>
  </si>
  <si>
    <t>DMl6yrpZQK0CR</t>
  </si>
  <si>
    <t>2026-07-22T22:43:47+05:30</t>
  </si>
  <si>
    <t>2026-07-24T10:48:50+05:30</t>
  </si>
  <si>
    <t>2026-07-24T13:49:01+05:30</t>
  </si>
  <si>
    <t>kj23ls56htqs1q5@marketplace.amazon.in</t>
  </si>
  <si>
    <t>RAMPUR</t>
  </si>
  <si>
    <t>406-3680219-7714713</t>
  </si>
  <si>
    <t>Tg7bpFtf9</t>
  </si>
  <si>
    <t>Dr5ww1p8Q50DR</t>
  </si>
  <si>
    <t>2026-07-24T00:34:22+05:30</t>
  </si>
  <si>
    <t>2026-07-24T10:42:52+05:30</t>
  </si>
  <si>
    <t>2026-07-24T13:43:08+05:30</t>
  </si>
  <si>
    <t>6v3g4ndh18ppcc0@marketplace.amazon.in</t>
  </si>
  <si>
    <t>408-3983332-2470709</t>
  </si>
  <si>
    <t>T3gqDxVR9</t>
  </si>
  <si>
    <t>DGX3wgpFQn0LR</t>
  </si>
  <si>
    <t>2026-07-24T08:02:44+05:30</t>
  </si>
  <si>
    <t>2026-07-24T10:40:43+05:30</t>
  </si>
  <si>
    <t>2026-07-24T10:40:49+05:30</t>
  </si>
  <si>
    <t>2026-07-24T11:41:00+05:30</t>
  </si>
  <si>
    <t>yc67442nf3gmj9t@marketplace.amazon.in</t>
  </si>
  <si>
    <t>WANAPARTHY</t>
  </si>
  <si>
    <t>404-5504746-3117135</t>
  </si>
  <si>
    <t>T3YBhYbj9</t>
  </si>
  <si>
    <t>DHXdwbp0Qq0LR</t>
  </si>
  <si>
    <t>2026-07-23T18:15:37+05:30</t>
  </si>
  <si>
    <t>2026-07-24T10:35:46+05:30</t>
  </si>
  <si>
    <t>2026-07-24T13:35:57+05:30</t>
  </si>
  <si>
    <t>1kwd143wcmgjgkj@marketplace.amazon.in</t>
  </si>
  <si>
    <t>AURANGABAD</t>
  </si>
  <si>
    <t>405-9709639-4029941</t>
  </si>
  <si>
    <t>TJXMWTtB9</t>
  </si>
  <si>
    <t>DKDvwlpcQT0rR</t>
  </si>
  <si>
    <t>2026-07-24T02:19:12+05:30</t>
  </si>
  <si>
    <t>2026-07-24T10:32:46+05:30</t>
  </si>
  <si>
    <t>2026-07-24T13:32:57+05:30</t>
  </si>
  <si>
    <t>cw001tljwrj0rwk@marketplace.amazon.in</t>
  </si>
  <si>
    <t>BANGARAPET</t>
  </si>
  <si>
    <t xml:space="preserve">Crasome Dust Proof Water Resistant Kitchen Wet Grinder Cover for 2 Litre Table Top Butterfly Rhino | Butterfly Smart | Butterfly Hippo - Black
</t>
  </si>
  <si>
    <t>X002GNDMKH</t>
  </si>
  <si>
    <t>B0G4LQ62YL</t>
  </si>
  <si>
    <t>407-4119198-6766759</t>
  </si>
  <si>
    <t>TccDD4VM9</t>
  </si>
  <si>
    <t>D9YswnptQp0FR</t>
  </si>
  <si>
    <t>2026-07-24T08:07:02+05:30</t>
  </si>
  <si>
    <t>2026-07-24T10:26:49+05:30</t>
  </si>
  <si>
    <t>2026-07-24T13:27:01+05:30</t>
  </si>
  <si>
    <t>60qx4y8lh3ny62r@marketplace.amazon.in</t>
  </si>
  <si>
    <t>Guntur</t>
  </si>
  <si>
    <t>171-1780156-3890744</t>
  </si>
  <si>
    <t>TCtkVHV29</t>
  </si>
  <si>
    <t>D2dWwTp1Q80TR</t>
  </si>
  <si>
    <t>2026-07-24T09:11:38+05:30</t>
  </si>
  <si>
    <t>2026-07-24T10:26:43+05:30</t>
  </si>
  <si>
    <t>2026-07-24T10:26:46+05:30</t>
  </si>
  <si>
    <t>2026-07-24T11:26:57+05:30</t>
  </si>
  <si>
    <t>s0t40yskqkhj6ml@marketplace.amazon.in</t>
  </si>
  <si>
    <t>404-7896973-2776333</t>
  </si>
  <si>
    <t>TV4PwcVd9</t>
  </si>
  <si>
    <t>DtsGw1pmQj0VR</t>
  </si>
  <si>
    <t>2026-07-24T07:12:48+05:30</t>
  </si>
  <si>
    <t>2026-07-24T10:25:50+05:30</t>
  </si>
  <si>
    <t>2026-07-24T13:26:03+05:30</t>
  </si>
  <si>
    <t>X002GTLRH1</t>
  </si>
  <si>
    <t>xk0g9qc7h7z68dt@marketplace.amazon.in</t>
  </si>
  <si>
    <t>B0G4CH2NLK</t>
  </si>
  <si>
    <t>CRM_CTSP1_Grey_3Q</t>
  </si>
  <si>
    <t>CRASOME Set of 3 Transparent Toiletry Pouches for Travel | Clear Toiletry Bag with Zipper | Waterproof Makeup &amp; Cosmetic Organizer | Travel Toiletries Storage Pouch for Men &amp; Women</t>
  </si>
  <si>
    <t>X002GVNRJF</t>
  </si>
  <si>
    <t>B0G64N7TZC</t>
  </si>
  <si>
    <t>CRM-WO1-Blue-2Q</t>
  </si>
  <si>
    <t>CRASOME Set of 2 Clothes Storage Bags with Handle | Saree Bags with Zip | Wardrobe Organizer for Cloth, Shirts, Salwar Suit, Lehenga | Transparent Window | Cloth Organiser (WO1-Blue-2Q)</t>
  </si>
  <si>
    <t>407-4558488-5733146</t>
  </si>
  <si>
    <t>TwShKgtC9</t>
  </si>
  <si>
    <t>DhfqwVpcQl0fR</t>
  </si>
  <si>
    <t>2026-07-23T20:18:14+05:30</t>
  </si>
  <si>
    <t>2026-07-24T10:24:50+05:30</t>
  </si>
  <si>
    <t>2026-07-24T13:25:04+05:30</t>
  </si>
  <si>
    <t>vf2nb45wlxpnt8y@marketplace.amazon.in</t>
  </si>
  <si>
    <t>NAVELIM</t>
  </si>
  <si>
    <t>X002IV94H7</t>
  </si>
  <si>
    <t>405-0718366-9474729</t>
  </si>
  <si>
    <t>B0GQ98S46L</t>
  </si>
  <si>
    <t>T3K4LpZb9</t>
  </si>
  <si>
    <t>D3kwB4pkQl0SR</t>
  </si>
  <si>
    <t>CRM-WO1-Blue-5Q</t>
  </si>
  <si>
    <t>CRASOME Clothes Storage Bags with Handle | Saree Bags with Zip | Wardrobe Organizer for Cloth, Shirts, Salwar Suit, Lehenga | Transparent Window | Cloth Organiser (Blue Pack of 5)</t>
  </si>
  <si>
    <t>2026-07-22T21:49:53+05:30</t>
  </si>
  <si>
    <t>2026-07-24T10:17:52+05:30</t>
  </si>
  <si>
    <t>2026-07-24T13:18:04+05:30</t>
  </si>
  <si>
    <t>1f88gs53wf6tx97@marketplace.amazon.in</t>
  </si>
  <si>
    <t>406-1604443-1126746</t>
  </si>
  <si>
    <t>TgW2VQVs9</t>
  </si>
  <si>
    <t>DhZVBVpMQw0HR</t>
  </si>
  <si>
    <t>2026-07-24T08:26:06+05:30</t>
  </si>
  <si>
    <t>2026-07-24T10:15:45+05:30</t>
  </si>
  <si>
    <t>2026-07-24T13:15:56+05:30</t>
  </si>
  <si>
    <t>zklfn9hg1q4gbfy@marketplace.amazon.in</t>
  </si>
  <si>
    <t>X002J3K1BH</t>
  </si>
  <si>
    <t>B0G3GQX5J7</t>
  </si>
  <si>
    <t>402-6858546-8385957</t>
  </si>
  <si>
    <t>T3HsFXVk9</t>
  </si>
  <si>
    <t>DGnVBXp1Qh0MR</t>
  </si>
  <si>
    <t>2026-07-24T09:02:24+05:30</t>
  </si>
  <si>
    <t>2026-07-24T10:11:45+05:30</t>
  </si>
  <si>
    <t>2026-07-24T13:11:56+05:30</t>
  </si>
  <si>
    <t>t15s78c9z6tm3t5@marketplace.amazon.in</t>
  </si>
  <si>
    <t>MACHILIPATNAM</t>
  </si>
  <si>
    <t>404-9899140-3802736</t>
  </si>
  <si>
    <t>TgpxVFVF9</t>
  </si>
  <si>
    <t>DdK99RpNQH0GR</t>
  </si>
  <si>
    <t>2026-07-24T07:46:50+05:30</t>
  </si>
  <si>
    <t>2026-07-24T10:04:39+05:30</t>
  </si>
  <si>
    <t>2026-07-24T13:04:46+05:30</t>
  </si>
  <si>
    <t>2dd2yhvhxl4vh35@marketplace.amazon.in</t>
  </si>
  <si>
    <t>405-9520316-5359547</t>
  </si>
  <si>
    <t>T1ZfV8VQ9</t>
  </si>
  <si>
    <t>DgxGBLpJQp0bR</t>
  </si>
  <si>
    <t>2026-07-24T08:26:34+05:30</t>
  </si>
  <si>
    <t>2026-07-24T10:03:51+05:30</t>
  </si>
  <si>
    <t>2026-07-24T13:04:03+05:30</t>
  </si>
  <si>
    <t>vn0h6n5mwy3lqdg@marketplace.amazon.in</t>
  </si>
  <si>
    <t>Payyanur</t>
  </si>
  <si>
    <t>405-1581437-1593942</t>
  </si>
  <si>
    <t>TCGGn9tc9</t>
  </si>
  <si>
    <t>DqSb9TpHQB0kR</t>
  </si>
  <si>
    <t>2026-07-23T19:13:35+05:30</t>
  </si>
  <si>
    <t>2026-07-24T10:02:03+05:30</t>
  </si>
  <si>
    <t>X002J3K1NF</t>
  </si>
  <si>
    <t>2026-07-24T13:02:19+05:30</t>
  </si>
  <si>
    <t>B0GR94RKK3</t>
  </si>
  <si>
    <t>fj0mmdv96hp63r3@marketplace.amazon.in</t>
  </si>
  <si>
    <t>403-9746192-1593939</t>
  </si>
  <si>
    <t>TVF8QDtP9</t>
  </si>
  <si>
    <t>Dxw890pNQX05R</t>
  </si>
  <si>
    <t>2026-07-23T22:24:31+05:30</t>
  </si>
  <si>
    <t>2026-07-24T09:54:49+05:30</t>
  </si>
  <si>
    <t>2026-07-24T12:55:00+05:30</t>
  </si>
  <si>
    <t>0fg378gmqgsqdfg@marketplace.amazon.in</t>
  </si>
  <si>
    <t>Mangalore</t>
  </si>
  <si>
    <t>402-1445654-9221902</t>
  </si>
  <si>
    <t>Tnqt4KVh9</t>
  </si>
  <si>
    <t>DNDW44pZQG0QR</t>
  </si>
  <si>
    <t>2026-07-24T08:36:18+05:30</t>
  </si>
  <si>
    <t>2026-07-24T09:44:47+05:30</t>
  </si>
  <si>
    <t>2026-07-24T12:44:58+05:30</t>
  </si>
  <si>
    <t>vklmgzf36lpvzl6@marketplace.amazon.in</t>
  </si>
  <si>
    <t>Bapatla</t>
  </si>
  <si>
    <t>407-6631118-4390725</t>
  </si>
  <si>
    <t>T6xRNctL9</t>
  </si>
  <si>
    <t>DhLJ4sp3Qy0cR</t>
  </si>
  <si>
    <t>2026-07-23T17:09:05+05:30</t>
  </si>
  <si>
    <t>2026-07-24T09:37:59+05:30</t>
  </si>
  <si>
    <t>2026-07-24T12:38:13+05:30</t>
  </si>
  <si>
    <t>c8pf798r75n8hxv@marketplace.amazon.in</t>
  </si>
  <si>
    <t>402-0592128-0783559</t>
  </si>
  <si>
    <t>TJBfjlbw9</t>
  </si>
  <si>
    <t>D2s5H4pjQ00WR</t>
  </si>
  <si>
    <t>2026-07-23T16:46:15+05:30</t>
  </si>
  <si>
    <t>2026-07-24T09:25:52+05:30</t>
  </si>
  <si>
    <t>2026-07-24T09:26:00+05:30</t>
  </si>
  <si>
    <t>2026-07-24T10:26:15+05:30</t>
  </si>
  <si>
    <t>m4vymy8fvrsxmxz@marketplace.amazon.in</t>
  </si>
  <si>
    <t>402-3422067-2747556</t>
  </si>
  <si>
    <t>TXy4Bltd9</t>
  </si>
  <si>
    <t>DdB1HCpqQS0mR</t>
  </si>
  <si>
    <t>2026-07-23T18:56:23+05:30</t>
  </si>
  <si>
    <t>2026-07-24T09:23:51+05:30</t>
  </si>
  <si>
    <t>2026-07-24T12:24:02+05:30</t>
  </si>
  <si>
    <t>fwsgy06j769hdgm@marketplace.amazon.in</t>
  </si>
  <si>
    <t>402-3351105-3384301</t>
  </si>
  <si>
    <t>TVw6jNbw9</t>
  </si>
  <si>
    <t>DdJLHypFQ40DR</t>
  </si>
  <si>
    <t>2026-07-23T15:44:54+05:30</t>
  </si>
  <si>
    <t>2026-07-24T09:17:57+05:30</t>
  </si>
  <si>
    <t>2026-07-24T12:18:09+05:30</t>
  </si>
  <si>
    <t>f57zx3c2jddrmpg@marketplace.amazon.in</t>
  </si>
  <si>
    <t>THIRUVALLA</t>
  </si>
  <si>
    <t>X002J3K4YL</t>
  </si>
  <si>
    <t>B0GQML2S98</t>
  </si>
  <si>
    <t>CRM-STB-FT-BLUE-PACK-5</t>
  </si>
  <si>
    <t>CRASOME Storage Bags for Clothes | Storage Bag for Saree Covers, Clothes, Lehenga, Bedsheets, Toys, Docs | Transparent Window Storage Box Bag - (STB-FT-BLU-PACK-5)</t>
  </si>
  <si>
    <t>406-4184676-2062738</t>
  </si>
  <si>
    <t>T6CQ05Zy9</t>
  </si>
  <si>
    <t>DBsGHRpLQ00WR</t>
  </si>
  <si>
    <t>2026-07-23T01:25:14+05:30</t>
  </si>
  <si>
    <t>2026-07-24T09:15:46+05:30</t>
  </si>
  <si>
    <t>2026-07-24T12:16:01+05:30</t>
  </si>
  <si>
    <t>pktgpzxrsh6d3vf@marketplace.amazon.in</t>
  </si>
  <si>
    <t>X002J3KP8L</t>
  </si>
  <si>
    <t>B0GMWCRQ2M</t>
  </si>
  <si>
    <t>CRM-CSTB1-Black-5Q</t>
  </si>
  <si>
    <t>CRASOME Large 52L Underbed Storage Bag | Storage Bags for Clothes Large | Clothing Storage Organizer | Storage Bag with Zipper and Strong Handle Set of 5 (CSTB1-Black-5Q)</t>
  </si>
  <si>
    <t>408-5461958-7401953</t>
  </si>
  <si>
    <t>TN8H6Gtn9</t>
  </si>
  <si>
    <t>DM9VbvpdQq0zR</t>
  </si>
  <si>
    <t>X002J3KZP9</t>
  </si>
  <si>
    <t>2026-07-23T22:26:57+05:30</t>
  </si>
  <si>
    <t>B0GQ34VLVM</t>
  </si>
  <si>
    <t>2026-07-24T09:10:52+05:30</t>
  </si>
  <si>
    <t>2026-07-24T12:11:05+05:30</t>
  </si>
  <si>
    <t>ymysxmn0rbn9jzq@marketplace.amazon.in</t>
  </si>
  <si>
    <t>405-3725169-9166747</t>
  </si>
  <si>
    <t>T6bVqbbx9</t>
  </si>
  <si>
    <t>DCJvbwpTQF0lR</t>
  </si>
  <si>
    <t>2026-07-23T16:47:34+05:30</t>
  </si>
  <si>
    <t>2026-07-24T09:05:48+05:30</t>
  </si>
  <si>
    <t>2026-07-24T12:06:02+05:30</t>
  </si>
  <si>
    <t>fvwvsbhm26096j3@marketplace.amazon.in</t>
  </si>
  <si>
    <t>LAKHIMPUR</t>
  </si>
  <si>
    <t>403-4544706-7322719</t>
  </si>
  <si>
    <t>TG3SFYZ99</t>
  </si>
  <si>
    <t>DJ0ybhpNQY0XR</t>
  </si>
  <si>
    <t>2026-07-22T19:09:52+05:30</t>
  </si>
  <si>
    <t>2026-07-24T08:59:49+05:30</t>
  </si>
  <si>
    <t>2026-07-24T12:00:00+05:30</t>
  </si>
  <si>
    <t>zb3pj7q7th7vmdk@marketplace.amazon.in</t>
  </si>
  <si>
    <t>406-9085677-7586726</t>
  </si>
  <si>
    <t>T1BfCbbN9</t>
  </si>
  <si>
    <t>DcY0WDnrQw0jR</t>
  </si>
  <si>
    <t>2026-07-23T15:39:49+05:30</t>
  </si>
  <si>
    <t>2026-07-24T04:48:45+05:30</t>
  </si>
  <si>
    <t>2026-07-24T07:48:57+05:30</t>
  </si>
  <si>
    <t>0xpc2ft1knrjx8z@marketplace.amazon.in</t>
  </si>
  <si>
    <t>MYLAVARAM</t>
  </si>
  <si>
    <t>408-6759701-4413953</t>
  </si>
  <si>
    <t>TCfH9KZ59</t>
  </si>
  <si>
    <t>DzYcWQnBQG0ZR</t>
  </si>
  <si>
    <t>2026-07-22T18:50:18+05:30</t>
  </si>
  <si>
    <t>2026-07-24T04:47:47+05:30</t>
  </si>
  <si>
    <t>2026-07-24T07:47:59+05:30</t>
  </si>
  <si>
    <t>hr286kt0d3hm7wx@marketplace.amazon.in</t>
  </si>
  <si>
    <t>405-5858192-2351531</t>
  </si>
  <si>
    <t>TgyJW7bw9</t>
  </si>
  <si>
    <t>DdYTWFnjQs0ZR</t>
  </si>
  <si>
    <t>2026-07-23T16:59:41+05:30</t>
  </si>
  <si>
    <t>2026-07-24T04:43:50+05:30</t>
  </si>
  <si>
    <t>2026-07-24T07:44:02+05:30</t>
  </si>
  <si>
    <t>pxp933bk1521b02@marketplace.amazon.in</t>
  </si>
  <si>
    <t>X002J3KZQ3</t>
  </si>
  <si>
    <t>B0GQMTMYK5</t>
  </si>
  <si>
    <t>CRM-STB-FT-BLUE-PACK-2</t>
  </si>
  <si>
    <t>CRASOME Pack of 2 Storage Bags for Clothes | Storage Bag for Saree Covers, Clothes, Lehenga, Bedsheets, Toys, Docs | Transparent Window Storage Box Bag - (STB-FT-BLU-PACK-2)</t>
  </si>
  <si>
    <t>402-4956335-7843506</t>
  </si>
  <si>
    <t>T3r1fJtM9</t>
  </si>
  <si>
    <t>D3l5KvngQm0sR</t>
  </si>
  <si>
    <t>2026-07-24T02:13:09+05:30</t>
  </si>
  <si>
    <t>2026-07-24T04:24:41+05:30</t>
  </si>
  <si>
    <t>2026-07-24T04:24:45+05:30</t>
  </si>
  <si>
    <t>2026-07-24T05:24:59+05:30</t>
  </si>
  <si>
    <t>n9mjypm5b6cz6dx@marketplace.amazon.in</t>
  </si>
  <si>
    <t>405-8115796-6622748</t>
  </si>
  <si>
    <t>T64CxxbW9</t>
  </si>
  <si>
    <t>DXkLmKnyQX0FR</t>
  </si>
  <si>
    <t>2026-07-23T09:39:11+05:30</t>
  </si>
  <si>
    <t>2026-07-24T04:17:00+05:30</t>
  </si>
  <si>
    <t>2026-07-24T07:17:16+05:30</t>
  </si>
  <si>
    <t>f8dpmbml3l6jhbm@marketplace.amazon.in</t>
  </si>
  <si>
    <t>X002J3LFFN</t>
  </si>
  <si>
    <t>B0GPF39X1W</t>
  </si>
  <si>
    <t>CRM-STB-MT-BLUE-PACK-2</t>
  </si>
  <si>
    <t>CRASOME Clothes Storage Bags with Handle | Saree Bags/Covers with Zip | Wardrobe Organizer for Cloth, Shirts, Salwar Suit, Lehenga, Bedsheets | Transparent Window | Cloth Organiser (STB-MT-BLU-PACK-2)</t>
  </si>
  <si>
    <t>171-4105235-0963557</t>
  </si>
  <si>
    <t>Tws2MSbb9</t>
  </si>
  <si>
    <t>DJq9mQnTQW0qR</t>
  </si>
  <si>
    <t>2026-07-23T10:45:27+05:30</t>
  </si>
  <si>
    <t>2026-07-24T04:08:50+05:30</t>
  </si>
  <si>
    <t>2026-07-24T04:08:55+05:30</t>
  </si>
  <si>
    <t>2026-07-24T05:09:12+05:30</t>
  </si>
  <si>
    <t>vh20q24spwts2cs@marketplace.amazon.in</t>
  </si>
  <si>
    <t>Miramar - PANAJI</t>
  </si>
  <si>
    <t>X002J3LHBF</t>
  </si>
  <si>
    <t>405-1343629-9363538</t>
  </si>
  <si>
    <t>TGCTtvtc9</t>
  </si>
  <si>
    <t>DflYlTnvQX04R</t>
  </si>
  <si>
    <t>2026-07-23T23:51:37+05:30</t>
  </si>
  <si>
    <t>2026-07-24T03:55:50+05:30</t>
  </si>
  <si>
    <t>2026-07-24T06:56:08+05:30</t>
  </si>
  <si>
    <t>8f6j6sl0xpj6j89@marketplace.amazon.in</t>
  </si>
  <si>
    <t>402-3831456-8348348</t>
  </si>
  <si>
    <t>TgqBJ7ZH9</t>
  </si>
  <si>
    <t>D8zTlDngQv0HR</t>
  </si>
  <si>
    <t>2026-07-22T22:21:52+05:30</t>
  </si>
  <si>
    <t>2026-07-24T03:54:46+05:30</t>
  </si>
  <si>
    <t>2026-07-24T03:54:49+05:30</t>
  </si>
  <si>
    <t>2026-07-24T04:55:01+05:30</t>
  </si>
  <si>
    <t>9673v2z8ycrm8gm@marketplace.amazon.in</t>
  </si>
  <si>
    <t>407-1635088-5809110</t>
  </si>
  <si>
    <t>TJbnkxt69</t>
  </si>
  <si>
    <t>D8w4lmntQM0yR</t>
  </si>
  <si>
    <t>2026-07-23T17:14:50+05:30</t>
  </si>
  <si>
    <t>2026-07-24T03:53:45+05:30</t>
  </si>
  <si>
    <t>2026-07-24T06:53:58+05:30</t>
  </si>
  <si>
    <t>cnmpr2mcqrxysh8@marketplace.amazon.in</t>
  </si>
  <si>
    <t>PARLAKHEMUNDI</t>
  </si>
  <si>
    <t>X002J3LHJ7</t>
  </si>
  <si>
    <t>B0GQGPMQ4V</t>
  </si>
  <si>
    <t>CRM-CSTB1-Black-2Q</t>
  </si>
  <si>
    <t>CRASOME Large 52L Underbed Storage Bag | Storage Bags for Clothes Large | Clothing Storage Organizer | Storage Bag with Zipper and Strong Handle (Black Pack of 2)</t>
  </si>
  <si>
    <t>X002J3MN5J</t>
  </si>
  <si>
    <t>B0GK9DR68D</t>
  </si>
  <si>
    <t>407-9946028-4022743</t>
  </si>
  <si>
    <t>TJGRgWw89</t>
  </si>
  <si>
    <t>DdkH0CnTQT0jR</t>
  </si>
  <si>
    <t>2026-07-22T16:14:22+05:30</t>
  </si>
  <si>
    <t>2026-07-24T03:41:50+05:30</t>
  </si>
  <si>
    <t>2026-07-24T06:42:01+05:30</t>
  </si>
  <si>
    <t>97bbnwhmn08njdk@marketplace.amazon.in</t>
  </si>
  <si>
    <t>CUTTACK</t>
  </si>
  <si>
    <t>408-3369826-4058727</t>
  </si>
  <si>
    <t>TnL1H4tZ9</t>
  </si>
  <si>
    <t>Ds1N0GnVQn0CR</t>
  </si>
  <si>
    <t>2026-07-23T18:07:33+05:30</t>
  </si>
  <si>
    <t>2026-07-24T03:40:48+05:30</t>
  </si>
  <si>
    <t>2026-07-24T06:41:05+05:30</t>
  </si>
  <si>
    <t>2wp83lnkk6vprlh@marketplace.amazon.in</t>
  </si>
  <si>
    <t>X002J3MN6D</t>
  </si>
  <si>
    <t>B0GQ35R1CV</t>
  </si>
  <si>
    <t>171-1018277-7389948</t>
  </si>
  <si>
    <t>TGgTZLb09</t>
  </si>
  <si>
    <t>DZLt0tnDQC0hR</t>
  </si>
  <si>
    <t>2026-07-23T18:02:26+05:30</t>
  </si>
  <si>
    <t>2026-07-24T03:37:43+05:30</t>
  </si>
  <si>
    <t>2026-07-24T03:37:46+05:30</t>
  </si>
  <si>
    <t>2026-07-24T04:37:57+05:30</t>
  </si>
  <si>
    <t>xmqmg21csyrlblr@marketplace.amazon.in</t>
  </si>
  <si>
    <t>Trivandrum</t>
  </si>
  <si>
    <t>Kerala</t>
  </si>
  <si>
    <t>403-2076784-2717910</t>
  </si>
  <si>
    <t>TNjPxxZS9</t>
  </si>
  <si>
    <t>D0zc0cncQb0XR</t>
  </si>
  <si>
    <t>2026-07-22T05:37:26+05:30</t>
  </si>
  <si>
    <t>2026-07-24T03:35:55+05:30</t>
  </si>
  <si>
    <t>2026-07-24T06:36:15+05:30</t>
  </si>
  <si>
    <t>669gdrkcy5qw78d@marketplace.amazon.in</t>
  </si>
  <si>
    <t>407-9583139-3398707</t>
  </si>
  <si>
    <t>TcGN42t89</t>
  </si>
  <si>
    <t>DkKBSCnJQM0zR</t>
  </si>
  <si>
    <t>2026-07-23T19:25:28+05:30</t>
  </si>
  <si>
    <t>2026-07-24T03:29:52+05:30</t>
  </si>
  <si>
    <t>2026-07-24T06:30:04+05:30</t>
  </si>
  <si>
    <t>6t8zrnpt0h6hxx8@marketplace.amazon.in</t>
  </si>
  <si>
    <t>KHACHAROD</t>
  </si>
  <si>
    <t>404-0768266-7468336</t>
  </si>
  <si>
    <t>TcntrGtg9</t>
  </si>
  <si>
    <t>DGdLS6nfQy0mR</t>
  </si>
  <si>
    <t>2026-07-23T20:10:00+05:30</t>
  </si>
  <si>
    <t>2026-07-24T03:17:44+05:30</t>
  </si>
  <si>
    <t>2026-07-24T03:17:49+05:30</t>
  </si>
  <si>
    <t>2026-07-24T04:18:02+05:30</t>
  </si>
  <si>
    <t>kl09cqmh1mrkxr3@marketplace.amazon.in</t>
  </si>
  <si>
    <t>405-2394511-7895549</t>
  </si>
  <si>
    <t>TnWjK2bN9</t>
  </si>
  <si>
    <t>DLKC6MnYQX0dR</t>
  </si>
  <si>
    <t>2026-07-23T14:48:23+05:30</t>
  </si>
  <si>
    <t>2026-07-24T03:17:45+05:30</t>
  </si>
  <si>
    <t>2026-07-24T06:18:00+05:30</t>
  </si>
  <si>
    <t>6jr5dh4t0scn62g@marketplace.amazon.in</t>
  </si>
  <si>
    <t>X002J3MSMH</t>
  </si>
  <si>
    <t>B0GK9BZV9D</t>
  </si>
  <si>
    <t>CRM-PR-G4770-4123-Grey</t>
  </si>
  <si>
    <t>CRASOME Dust &amp; Water Proof Printer Cover for HP Deskjet Ink Advantage All-in-One 4388 / 4278 / 4178 / 4123 (Grey)</t>
  </si>
  <si>
    <t>406-3712308-1866731</t>
  </si>
  <si>
    <t>TCVkfLbD9</t>
  </si>
  <si>
    <t>DsX16hnxQv0yR</t>
  </si>
  <si>
    <t>X002J3MSOF</t>
  </si>
  <si>
    <t>B0GQMQ52K3</t>
  </si>
  <si>
    <t>CRM-STB-MT-BLUE-PACK-5</t>
  </si>
  <si>
    <t>2026-07-23T17:05:57+05:30</t>
  </si>
  <si>
    <t>CRASOME Pack of 5 Storage Bag for Saree Covers, Clothes, Lehenga, Bedsheets, Toys, Docs|Wardrobe Organizer|Transparent Window Storage Box Bag - (STB-MT-BLU-PACK-5)</t>
  </si>
  <si>
    <t>2026-07-24T03:15:46+05:30</t>
  </si>
  <si>
    <t>2026-07-24T03:15:50+05:30</t>
  </si>
  <si>
    <t>2026-07-24T04:16:02+05:30</t>
  </si>
  <si>
    <t>rdwblzzl5htlm3b@marketplace.amazon.in</t>
  </si>
  <si>
    <t>PADAPPAI</t>
  </si>
  <si>
    <t>X002LD9MZV</t>
  </si>
  <si>
    <t>B0GYR3J89X</t>
  </si>
  <si>
    <t>CRM-PS5-NW-BLACK</t>
  </si>
  <si>
    <t>CRASOME Dust Cover for PS5 Console, Waterproof Protective Cover for Gaming Console Digital Edition &amp; Disc Edition PS 5 (Black)</t>
  </si>
  <si>
    <t>AM007964888IN</t>
  </si>
  <si>
    <t>408-6642552-8025919</t>
  </si>
  <si>
    <t>Twyz7rtG9</t>
  </si>
  <si>
    <t>DY4c6ln7QH0gR</t>
  </si>
  <si>
    <t>2026-07-23T18:17:04+05:30</t>
  </si>
  <si>
    <t>2026-07-24T03:15:48+05:30</t>
  </si>
  <si>
    <t>2026-07-24T06:16:01+05:30</t>
  </si>
  <si>
    <t>33nz0b3kgxk64rm@marketplace.amazon.in</t>
  </si>
  <si>
    <t>408-2895302-3304350</t>
  </si>
  <si>
    <t>TJsW77bS9</t>
  </si>
  <si>
    <t>D3KN6WnRQX0dR</t>
  </si>
  <si>
    <t>2026-07-23T11:06:12+05:30</t>
  </si>
  <si>
    <t>2026-07-24T03:14:46+05:30</t>
  </si>
  <si>
    <t>2026-07-24T06:14:58+05:30</t>
  </si>
  <si>
    <t>6t22fzygf0nc1bs@marketplace.amazon.in</t>
  </si>
  <si>
    <t>Bhimavaram</t>
  </si>
  <si>
    <t>407-9443270-6441909</t>
  </si>
  <si>
    <t>TV83H9tR9</t>
  </si>
  <si>
    <t>DZKn6fnhQv0dR</t>
  </si>
  <si>
    <t>2026-07-23T19:06:39+05:30</t>
  </si>
  <si>
    <t>2026-07-24T03:13:51+05:30</t>
  </si>
  <si>
    <t>2026-07-24T06:14:02+05:30</t>
  </si>
  <si>
    <t>3yyfnq40zx317mf@marketplace.amazon.in</t>
  </si>
  <si>
    <t>KARIMNAGAR</t>
  </si>
  <si>
    <t>X002M22JNN</t>
  </si>
  <si>
    <t>B0FZSTY43W</t>
  </si>
  <si>
    <t>CRM-TS-STB-PACK-8</t>
  </si>
  <si>
    <t>Crasome Pack of 8 Saree Covers with Zip Transparent | Cloth Storage Bags for Clothes | Saree Covers for Storage | Saree Plastic Covers for Storage | Storage Bags for Clothes Large</t>
  </si>
  <si>
    <t>404-2070732-3849949</t>
  </si>
  <si>
    <t>TX54w7bd9</t>
  </si>
  <si>
    <t>DnKk6mnWQv0dR</t>
  </si>
  <si>
    <t>2026-07-22T11:09:28+05:30</t>
  </si>
  <si>
    <t>2026-07-24T03:10:45+05:30</t>
  </si>
  <si>
    <t>2026-07-24T06:10:57+05:30</t>
  </si>
  <si>
    <t>ybk8r8xdzxyl867@marketplace.amazon.in</t>
  </si>
  <si>
    <t>DIMAPUR</t>
  </si>
  <si>
    <t>NAGALAND</t>
  </si>
  <si>
    <t>X002MAIWOF</t>
  </si>
  <si>
    <t>B0GZJNT7RC</t>
  </si>
  <si>
    <t>405-1726714-0962731</t>
  </si>
  <si>
    <t>TN1vdCt79</t>
  </si>
  <si>
    <t>Dy4d6Xn9QH0gR</t>
  </si>
  <si>
    <t>2026-07-23T22:09:15+05:30</t>
  </si>
  <si>
    <t>2026-07-24T03:09:46+05:30</t>
  </si>
  <si>
    <t>2026-07-24T03:09:49+05:30</t>
  </si>
  <si>
    <t>2026-07-24T04:10:03+05:30</t>
  </si>
  <si>
    <t>t6kf77558g3m7d7@marketplace.amazon.in</t>
  </si>
  <si>
    <t>SIDDIPET</t>
  </si>
  <si>
    <t>171-2791702-4062703</t>
  </si>
  <si>
    <t>T1c5QS6v9</t>
  </si>
  <si>
    <t>DzZXxznKQV0DR</t>
  </si>
  <si>
    <t>2026-07-20T15:42:38+05:30</t>
  </si>
  <si>
    <t>2026-07-24T02:44:33+05:30</t>
  </si>
  <si>
    <t>2026-07-24T02:44:38+05:30</t>
  </si>
  <si>
    <t>2026-07-24T03:44:51+05:30</t>
  </si>
  <si>
    <t>mxxsdrj7rqcvp16@marketplace.amazon.in</t>
  </si>
  <si>
    <t>Panipat</t>
  </si>
  <si>
    <t>404-3707792-0137148</t>
  </si>
  <si>
    <t>T1NV8Kbk9</t>
  </si>
  <si>
    <t>D1m5GFnQQj0nR</t>
  </si>
  <si>
    <t>2026-07-23T14:10:20+05:30</t>
  </si>
  <si>
    <t>2026-07-24T02:39:45+05:30</t>
  </si>
  <si>
    <t>2026-07-24T05:39:57+05:30</t>
  </si>
  <si>
    <t>z6y7tnytbt362lk@marketplace.amazon.in</t>
  </si>
  <si>
    <t>KHARGONE</t>
  </si>
  <si>
    <t>171-3483016-3564341</t>
  </si>
  <si>
    <t>TgpD3PZh9</t>
  </si>
  <si>
    <t>DnbdGwnqQq0xR</t>
  </si>
  <si>
    <t>2026-07-22T23:27:27+05:30</t>
  </si>
  <si>
    <t>2026-07-24T02:33:54+05:30</t>
  </si>
  <si>
    <t>2026-07-24T05:34:14+05:30</t>
  </si>
  <si>
    <t>0xdxvqlmvlqgwc8@marketplace.amazon.in</t>
  </si>
  <si>
    <t>X002MAIWOZ</t>
  </si>
  <si>
    <t>B0GQZS7KFP</t>
  </si>
  <si>
    <t>CRM-Trolley Cover-20-Inch</t>
  </si>
  <si>
    <t>CRASOME Waterproof Trolley Bag Cover/Zippered Clear PVC Transparent Suitcase Cover/Luggage Cover/Traveling Bags Cover/Trolly Bag Cover/Travel Cabin Bag Cover/Suit case Covers (20 Inch)</t>
  </si>
  <si>
    <t>407-5963601-3228316</t>
  </si>
  <si>
    <t>TgM4yGtT9</t>
  </si>
  <si>
    <t>D8NytQn0QX0gR</t>
  </si>
  <si>
    <t>2026-07-23T19:07:16+05:30</t>
  </si>
  <si>
    <t>2026-07-24T02:19:46+05:30</t>
  </si>
  <si>
    <t>2026-07-24T05:19:57+05:30</t>
  </si>
  <si>
    <t>8b1lnn4bn7h9dqr@marketplace.amazon.in</t>
  </si>
  <si>
    <t>X002MAJ0OB</t>
  </si>
  <si>
    <t>B0GRMPF9PF</t>
  </si>
  <si>
    <t>CRM-Trolley Cover-28-Inch</t>
  </si>
  <si>
    <t>CRASOME Suitcase Cover 28 Inch Trolley Bag Cover Transparent PVC Suitcase Bag Cover with Zipper Dustproof Waterproof &amp; Cabin Bag Anti-Scratch Luggage Cover for Travel Accessories, (28 Inch)</t>
  </si>
  <si>
    <t>2026-07-24T08:00:00+05:30</t>
  </si>
  <si>
    <t>404-5306708-0609101</t>
  </si>
  <si>
    <t>TGVdMZb99</t>
  </si>
  <si>
    <t>Dzr6txnFQ70rR</t>
  </si>
  <si>
    <t>2026-07-23T07:41:01+05:30</t>
  </si>
  <si>
    <t>2026-07-24T02:16:56+05:30</t>
  </si>
  <si>
    <t>2026-07-24T05:17:14+05:30</t>
  </si>
  <si>
    <t>9gmnvkkhlg6bd37@marketplace.amazon.in</t>
  </si>
  <si>
    <t>palakkad</t>
  </si>
  <si>
    <t>X001MUEH09</t>
  </si>
  <si>
    <t>171-0053492-0076337</t>
  </si>
  <si>
    <t>T6r3XhQm9</t>
  </si>
  <si>
    <t>Drg0t6nRQy0LR</t>
  </si>
  <si>
    <t>2026-07-21T08:25:31+05:30</t>
  </si>
  <si>
    <t>2026-07-24T02:14:51+05:30</t>
  </si>
  <si>
    <t>2026-07-24T05:15:03+05:30</t>
  </si>
  <si>
    <t>c1z4hrk432q523p@marketplace.amazon.in</t>
  </si>
  <si>
    <t>404-2710888-5996318</t>
  </si>
  <si>
    <t>T6tVvkw59</t>
  </si>
  <si>
    <t>DmXcxknSQn0rR</t>
  </si>
  <si>
    <t>2026-07-22T12:04:35+05:30</t>
  </si>
  <si>
    <t>2026-07-24T01:14:48+05:30</t>
  </si>
  <si>
    <t>2026-07-24T04:15:01+05:30</t>
  </si>
  <si>
    <t>xvgcqk5xcglgvh7@marketplace.amazon.in</t>
  </si>
  <si>
    <t>408-2127385-6081158</t>
  </si>
  <si>
    <t>TnT4ZcbG9</t>
  </si>
  <si>
    <t>DPh5xsnJQ40YR</t>
  </si>
  <si>
    <t>2026-07-23T17:40:03+05:30</t>
  </si>
  <si>
    <t>2026-07-24T01:11:44+05:30</t>
  </si>
  <si>
    <t>2026-07-24T04:11:57+05:30</t>
  </si>
  <si>
    <t>hnb53swp5vfp4bb@marketplace.amazon.in</t>
  </si>
  <si>
    <t>NALLAJERLA</t>
  </si>
  <si>
    <t>408-2583406-0638709</t>
  </si>
  <si>
    <t>T6k5Pntp9</t>
  </si>
  <si>
    <t>D2Z2x5nyQ20DR</t>
  </si>
  <si>
    <t>2026-07-23T23:21:38+05:30</t>
  </si>
  <si>
    <t>2026-07-24T01:09:42+05:30</t>
  </si>
  <si>
    <t>2026-07-24T01:09:45+05:30</t>
  </si>
  <si>
    <t>2026-07-24T02:09:57+05:30</t>
  </si>
  <si>
    <t>9pz29d08bpn2m8j@marketplace.amazon.in</t>
  </si>
  <si>
    <t>408-6057564-1721129</t>
  </si>
  <si>
    <t>TVTV2tt69</t>
  </si>
  <si>
    <t>DRBZxKn1QN0QR</t>
  </si>
  <si>
    <t>2026-07-23T19:53:45+05:30</t>
  </si>
  <si>
    <t>2026-07-24T01:06:44+05:30</t>
  </si>
  <si>
    <t>2026-07-24T01:06:46+05:30</t>
  </si>
  <si>
    <t>2026-07-24T02:06:57+05:30</t>
  </si>
  <si>
    <t>w52svmbjh1vsbpn@marketplace.amazon.in</t>
  </si>
  <si>
    <t>X001MUEH4Z</t>
  </si>
  <si>
    <t>405-3409472-3633935</t>
  </si>
  <si>
    <t>T1gYBktr9</t>
  </si>
  <si>
    <t>DyDx3wnMQm0ZR</t>
  </si>
  <si>
    <t>2026-07-23T18:43:42+05:30</t>
  </si>
  <si>
    <t>2026-07-24T00:51:51+05:30</t>
  </si>
  <si>
    <t>2026-07-24T03:52:04+05:30</t>
  </si>
  <si>
    <t>8j548f06qmpdhcq@marketplace.amazon.in</t>
  </si>
  <si>
    <t>405-1761601-9917957</t>
  </si>
  <si>
    <t>TV2FlkwL9</t>
  </si>
  <si>
    <t>D6Zj3MnvQm0tR</t>
  </si>
  <si>
    <t>2026-07-22T16:41:36+05:30</t>
  </si>
  <si>
    <t>2026-07-24T00:50:53+05:30</t>
  </si>
  <si>
    <t>2026-07-24T03:51:07+05:30</t>
  </si>
  <si>
    <t>17qy8klsjfllk8k@marketplace.amazon.in</t>
  </si>
  <si>
    <t>403-8659228-8313920</t>
  </si>
  <si>
    <t>TJB9GBbv9</t>
  </si>
  <si>
    <t>DDW8J8nRQc0BR</t>
  </si>
  <si>
    <t>2026-07-23T12:54:19+05:30</t>
  </si>
  <si>
    <t>2026-07-24T00:29:54+05:30</t>
  </si>
  <si>
    <t>2026-07-24T03:30:05+05:30</t>
  </si>
  <si>
    <t>l3wzyyfxbstpsyh@marketplace.amazon.in</t>
  </si>
  <si>
    <t>407-9614814-4094764</t>
  </si>
  <si>
    <t>TV0kL5tK9</t>
  </si>
  <si>
    <t>D3NbMCnSQg0jR</t>
  </si>
  <si>
    <t>2026-07-23T12:00:20+05:30</t>
  </si>
  <si>
    <t>2026-07-24T00:25:57+05:30</t>
  </si>
  <si>
    <t>2026-07-24T03:26:17+05:30</t>
  </si>
  <si>
    <t>xyptpl9cz7jkd22@marketplace.amazon.in</t>
  </si>
  <si>
    <t>402-9569214-0460326</t>
  </si>
  <si>
    <t>TwBS7Ktk9</t>
  </si>
  <si>
    <t>DKqnJvndQt0qR</t>
  </si>
  <si>
    <t>2026-07-23T22:17:31+05:30</t>
  </si>
  <si>
    <t>2026-07-24T00:19:53+05:30</t>
  </si>
  <si>
    <t>2026-07-24T03:23:40+05:30</t>
  </si>
  <si>
    <t>56l9mbzldx7b2v5@marketplace.amazon.in</t>
  </si>
  <si>
    <t>X001MULEHX</t>
  </si>
  <si>
    <t>405-8307847-1335553</t>
  </si>
  <si>
    <t>TcPbQgbQ9</t>
  </si>
  <si>
    <t>DTST1RnwQj06R</t>
  </si>
  <si>
    <t>2026-07-23T10:17:28+05:30</t>
  </si>
  <si>
    <t>2026-07-24T00:05:49+05:30</t>
  </si>
  <si>
    <t>2026-07-24T03:05:59+05:30</t>
  </si>
  <si>
    <t>pmswpj38833n00x@marketplace.amazon.in</t>
  </si>
  <si>
    <t>404-0108846-7885121</t>
  </si>
  <si>
    <t>TGlsGBZZ9</t>
  </si>
  <si>
    <t>DVD71gn4Qn01R</t>
  </si>
  <si>
    <t>2026-07-22T23:12:13+05:30</t>
  </si>
  <si>
    <t>2026-07-24T00:00:03+05:30</t>
  </si>
  <si>
    <t>2026-07-24T03:00:15+05:30</t>
  </si>
  <si>
    <t>jp0n8tr2vnzq8f1@marketplace.amazon.in</t>
  </si>
  <si>
    <t>Kuknoor</t>
  </si>
  <si>
    <t>404-5378777-4196357</t>
  </si>
  <si>
    <t>T6RPm7bW9</t>
  </si>
  <si>
    <t>DfDl11nbQn01R</t>
  </si>
  <si>
    <t>2026-07-23T14:55:10+05:30</t>
  </si>
  <si>
    <t>2026-07-23T23:59:49+05:30</t>
  </si>
  <si>
    <t>2026-07-24T03:00:04+05:30</t>
  </si>
  <si>
    <t>zhpjm38cvp0d4ct@marketplace.amazon.in</t>
  </si>
  <si>
    <t>GURGAON</t>
  </si>
  <si>
    <t>403-3965186-8174727</t>
  </si>
  <si>
    <t>T1LvrZtN9</t>
  </si>
  <si>
    <t>DTx21snpQH0HR</t>
  </si>
  <si>
    <t>2026-07-23T20:35:45+05:30</t>
  </si>
  <si>
    <t>2026-07-23T23:51:46+05:30</t>
  </si>
  <si>
    <t>2026-07-24T02:51:59+05:30</t>
  </si>
  <si>
    <t>cnns2lggpqm9380@marketplace.amazon.in</t>
  </si>
  <si>
    <t>X001MULP81</t>
  </si>
  <si>
    <t>404-4064566-3586713</t>
  </si>
  <si>
    <t>TVgVnZtg9</t>
  </si>
  <si>
    <t>DR8wrCnyQn0tR</t>
  </si>
  <si>
    <t>2026-07-23T22:13:16+05:30</t>
  </si>
  <si>
    <t>2026-07-23T23:41:50+05:30</t>
  </si>
  <si>
    <t>2026-07-24T02:42:01+05:30</t>
  </si>
  <si>
    <t>6p4vd68y9rwl0v2@marketplace.amazon.in</t>
  </si>
  <si>
    <t>408-1854732-8114740</t>
  </si>
  <si>
    <t>TJSw1zbb9</t>
  </si>
  <si>
    <t>DgMZrXnZQp0tR</t>
  </si>
  <si>
    <t>2026-07-23T10:50:20+05:30</t>
  </si>
  <si>
    <t>2026-07-23T23:39:53+05:30</t>
  </si>
  <si>
    <t>2026-07-24T02:40:07+05:30</t>
  </si>
  <si>
    <t>y3y87f8hy82kqg8@marketplace.amazon.in</t>
  </si>
  <si>
    <t>406-4853923-6177961</t>
  </si>
  <si>
    <t>TNyvcztg9</t>
  </si>
  <si>
    <t>DHHkr2nzQg0HR</t>
  </si>
  <si>
    <t>2026-07-23T21:09:09+05:30</t>
  </si>
  <si>
    <t>2026-07-23T23:32:52+05:30</t>
  </si>
  <si>
    <t>2026-07-24T02:33:04+05:30</t>
  </si>
  <si>
    <t>pfc701jq2rc3gpm@marketplace.amazon.in</t>
  </si>
  <si>
    <t>GREATER NOIDA WEST</t>
  </si>
  <si>
    <t>406-3755105-6789951</t>
  </si>
  <si>
    <t>TwyhNHtZ9</t>
  </si>
  <si>
    <t>D7dQrgn6QP0zR</t>
  </si>
  <si>
    <t>2026-07-23T18:21:29+05:30</t>
  </si>
  <si>
    <t>2026-07-23T23:32:48+05:30</t>
  </si>
  <si>
    <t>2026-07-24T02:33:05+05:30</t>
  </si>
  <si>
    <t>m19j7stjxgv5ns9@marketplace.amazon.in</t>
  </si>
  <si>
    <t>404-1189544-6879535</t>
  </si>
  <si>
    <t>TJnVBcb79</t>
  </si>
  <si>
    <t>DHJKrmn9Q10qR</t>
  </si>
  <si>
    <t>2026-07-23T08:57:01+05:30</t>
  </si>
  <si>
    <t>2026-07-23T23:29:53+05:30</t>
  </si>
  <si>
    <t>2026-07-24T02:30:08+05:30</t>
  </si>
  <si>
    <t>k2y2v31m3zm4lqh@marketplace.amazon.in</t>
  </si>
  <si>
    <t xml:space="preserve">	CSM-WG-BJ-WX 1-WX 3</t>
  </si>
  <si>
    <t>403-7539879-2358745</t>
  </si>
  <si>
    <t>T6lFvbtP9</t>
  </si>
  <si>
    <t>D8J9r7n9Q10qR</t>
  </si>
  <si>
    <t>2026-07-23T19:21:36+05:30</t>
  </si>
  <si>
    <t>2026-07-23T23:29:49+05:30</t>
  </si>
  <si>
    <t>2026-07-24T02:30:01+05:30</t>
  </si>
  <si>
    <t>d53pyqh9z4ffc5c@marketplace.amazon.in</t>
  </si>
  <si>
    <t>X001MVG9F9</t>
  </si>
  <si>
    <t>405-6362307-1707513</t>
  </si>
  <si>
    <t>T1PHBktT9</t>
  </si>
  <si>
    <t>DC9v7LnSQJ0zR</t>
  </si>
  <si>
    <t>2026-07-23T19:04:32+05:30</t>
  </si>
  <si>
    <t>2026-07-23T23:22:54+05:30</t>
  </si>
  <si>
    <t>2026-07-24T02:23:09+05:30</t>
  </si>
  <si>
    <t>ntc0khqd48x3b22@marketplace.amazon.in</t>
  </si>
  <si>
    <t>408-9563192-7796358</t>
  </si>
  <si>
    <t>TJvfs5Z39</t>
  </si>
  <si>
    <t>DdH07ynMQh0tR</t>
  </si>
  <si>
    <t>2026-07-22T22:20:03+05:30</t>
  </si>
  <si>
    <t>2026-07-23T23:16:48+05:30</t>
  </si>
  <si>
    <t>2026-07-24T02:17:03+05:30</t>
  </si>
  <si>
    <t>4sglx0y7p975zm2@marketplace.amazon.in</t>
  </si>
  <si>
    <t>delhi</t>
  </si>
  <si>
    <t>171-4338412-9317162</t>
  </si>
  <si>
    <t>Tg4BLZbw9</t>
  </si>
  <si>
    <t>DK3jLln7Q00FR</t>
  </si>
  <si>
    <t>2026-07-23T10:36:01+05:30</t>
  </si>
  <si>
    <t>2026-07-23T23:15:52+05:30</t>
  </si>
  <si>
    <t>2026-07-24T02:16:04+05:30</t>
  </si>
  <si>
    <t>900tx07mycs7sfx@marketplace.amazon.in</t>
  </si>
  <si>
    <t>HALKARNI MIDC</t>
  </si>
  <si>
    <t>402-9727631-7393126</t>
  </si>
  <si>
    <t>TC0nTQ6T9</t>
  </si>
  <si>
    <t>D05bL0nTQ70sR</t>
  </si>
  <si>
    <t>2026-07-20T17:39:28+05:30</t>
  </si>
  <si>
    <t>2026-07-23T23:11:48+05:30</t>
  </si>
  <si>
    <t>2026-07-24T02:12:00+05:30</t>
  </si>
  <si>
    <t>x6zddhlp9kpwrt8@marketplace.amazon.in</t>
  </si>
  <si>
    <t>403-1750144-6645138</t>
  </si>
  <si>
    <t>TCwYk0t29</t>
  </si>
  <si>
    <t>D0jfLtnpQG0vR</t>
  </si>
  <si>
    <t>2026-07-23T18:14:16+05:30</t>
  </si>
  <si>
    <t>2026-07-23T23:08:46+05:30</t>
  </si>
  <si>
    <t>2026-07-24T02:08:59+05:30</t>
  </si>
  <si>
    <t>3377rmp97cyyh83@marketplace.amazon.in</t>
  </si>
  <si>
    <t>408-3434769-4986727</t>
  </si>
  <si>
    <t>TnjXZbbz9</t>
  </si>
  <si>
    <t>DpSgLwnWQl0zR</t>
  </si>
  <si>
    <t>2026-07-23T18:08:21+05:30</t>
  </si>
  <si>
    <t>2026-07-23T23:07:51+05:30</t>
  </si>
  <si>
    <t>2026-07-24T02:08:09+05:30</t>
  </si>
  <si>
    <t>4fxz8tk1kq4fs5r@marketplace.amazon.in</t>
  </si>
  <si>
    <t>DFSJLwnWQl0zR</t>
  </si>
  <si>
    <t>D2S9LwnWQl0zR</t>
  </si>
  <si>
    <t>DZ4tLknJQw0QR</t>
  </si>
  <si>
    <t>403-5963354-2697900</t>
  </si>
  <si>
    <t>TChYQkWK9</t>
  </si>
  <si>
    <t>DYZ8Lyn9QR0NR</t>
  </si>
  <si>
    <t>2026-07-21T21:38:06+05:30</t>
  </si>
  <si>
    <t>2026-07-23T23:05:50+05:30</t>
  </si>
  <si>
    <t>2026-07-24T02:06:02+05:30</t>
  </si>
  <si>
    <t>fjqrbwszp0slmth@marketplace.amazon.in</t>
  </si>
  <si>
    <t>Karumathampatti</t>
  </si>
  <si>
    <t>402-5994110-8569121</t>
  </si>
  <si>
    <t>T65Fr7bS9</t>
  </si>
  <si>
    <t>Dbh4LxnXQC0MR</t>
  </si>
  <si>
    <t>2026-07-23T13:55:27+05:30</t>
  </si>
  <si>
    <t>2026-07-23T23:01:47+05:30</t>
  </si>
  <si>
    <t>2026-07-24T02:02:00+05:30</t>
  </si>
  <si>
    <t>gd0y1v37r980zhh@marketplace.amazon.in</t>
  </si>
  <si>
    <t>171-2564651-1577907</t>
  </si>
  <si>
    <t>T3fqfdb29</t>
  </si>
  <si>
    <t>DDK1sXnJQN0dR</t>
  </si>
  <si>
    <t>2026-07-23T16:30:08+05:30</t>
  </si>
  <si>
    <t>2026-07-23T22:55:51+05:30</t>
  </si>
  <si>
    <t>2026-07-24T01:56:02+05:30</t>
  </si>
  <si>
    <t>1j1y7kq9wjhhzcx@marketplace.amazon.in</t>
  </si>
  <si>
    <t>406-6084324-1933919</t>
  </si>
  <si>
    <t>TX5NVxtQ9</t>
  </si>
  <si>
    <t>DclpsgnqQt0wR</t>
  </si>
  <si>
    <t>2026-07-23T21:14:46+05:30</t>
  </si>
  <si>
    <t>2026-07-23T22:48:52+05:30</t>
  </si>
  <si>
    <t>2026-07-24T01:49:06+05:30</t>
  </si>
  <si>
    <t>wwzld82qbbqnggk@marketplace.amazon.in</t>
  </si>
  <si>
    <t>406-7644492-7585119</t>
  </si>
  <si>
    <t>T6wZnsbw9</t>
  </si>
  <si>
    <t>Dl0NQQncQ60ZR</t>
  </si>
  <si>
    <t>2026-07-23T12:49:35+05:30</t>
  </si>
  <si>
    <t>2026-07-23T22:27:45+05:30</t>
  </si>
  <si>
    <t>2026-07-24T01:27:57+05:30</t>
  </si>
  <si>
    <t>7hhd7y32yz98yk6@marketplace.amazon.in</t>
  </si>
  <si>
    <t>ATHIYANNUR</t>
  </si>
  <si>
    <t>402-3236984-7221148</t>
  </si>
  <si>
    <t>T1zvgpb09</t>
  </si>
  <si>
    <t>DfvycLnpQy0nR</t>
  </si>
  <si>
    <t>2026-07-23T17:30:58+05:30</t>
  </si>
  <si>
    <t>2026-07-23T22:22:50+05:30</t>
  </si>
  <si>
    <t>2026-07-24T01:23:03+05:30</t>
  </si>
  <si>
    <t>jhjh43m998q0rj3@marketplace.amazon.in</t>
  </si>
  <si>
    <t>408-9596426-8365917</t>
  </si>
  <si>
    <t>TJMHG8b49</t>
  </si>
  <si>
    <t>D1gvcjnpQ60xR</t>
  </si>
  <si>
    <t>2026-07-23T13:50:08+05:30</t>
  </si>
  <si>
    <t>2026-07-23T22:19:52+05:30</t>
  </si>
  <si>
    <t>2026-07-24T01:20:05+05:30</t>
  </si>
  <si>
    <t>25kv0y6z8312v03@marketplace.amazon.in</t>
  </si>
  <si>
    <t>D3gSchnPQ503R</t>
  </si>
  <si>
    <t>DVgvchnPQ503R</t>
  </si>
  <si>
    <t>405-5844595-8087503</t>
  </si>
  <si>
    <t>T1DRzFtR9</t>
  </si>
  <si>
    <t>DfmhchntQV0vR</t>
  </si>
  <si>
    <t>2026-07-23T20:26:36+05:30</t>
  </si>
  <si>
    <t>2026-07-23T22:17:47+05:30</t>
  </si>
  <si>
    <t>2026-07-24T01:17:58+05:30</t>
  </si>
  <si>
    <t>3yjf293b65wrs85@marketplace.amazon.in</t>
  </si>
  <si>
    <t>MANJERI</t>
  </si>
  <si>
    <t>403-1800725-6335537</t>
  </si>
  <si>
    <t>T1wrrPbv9</t>
  </si>
  <si>
    <t>D6HgcJnSQR0RR</t>
  </si>
  <si>
    <t>2026-07-23T12:10:14+05:30</t>
  </si>
  <si>
    <t>2026-07-23T22:13:47+05:30</t>
  </si>
  <si>
    <t>2026-07-24T01:14:00+05:30</t>
  </si>
  <si>
    <t>vst3x3vhx7sv3q2@marketplace.amazon.in</t>
  </si>
  <si>
    <t>MH</t>
  </si>
  <si>
    <t>407-1808014-7425965</t>
  </si>
  <si>
    <t>TGnpntbQ9</t>
  </si>
  <si>
    <t>Dy0zc8n9QL0PR</t>
  </si>
  <si>
    <t>2026-07-23T11:42:09+05:30</t>
  </si>
  <si>
    <t>2026-07-23T22:12:45+05:30</t>
  </si>
  <si>
    <t>2026-07-23T22:12:51+05:30</t>
  </si>
  <si>
    <t>2026-07-23T23:13:02+05:30</t>
  </si>
  <si>
    <t>jm9vpcsgkkl7khp@marketplace.amazon.in</t>
  </si>
  <si>
    <t>CRASOME Dust Proof Washable Kitchen Wet Grinder Cover for 2.5L Table Top Ultra Grind Plus Gold | Ultra Bigg Plus CSM-UL (Blue)</t>
  </si>
  <si>
    <t>407-9882584-9650712</t>
  </si>
  <si>
    <t>TVBR4ftF9</t>
  </si>
  <si>
    <t>DtH8cfn4QR0RR</t>
  </si>
  <si>
    <t>2026-07-23T19:55:00+05:30</t>
  </si>
  <si>
    <t>2026-07-23T22:07:45+05:30</t>
  </si>
  <si>
    <t>2026-07-24T01:07:57+05:30</t>
  </si>
  <si>
    <t>zl7021jj8bx271z@marketplace.amazon.in</t>
  </si>
  <si>
    <t>403-5041676-9565905</t>
  </si>
  <si>
    <t>TNc9dJb29</t>
  </si>
  <si>
    <t>Dm5yvtnJQv0VR</t>
  </si>
  <si>
    <t>2026-07-23T13:54:11+05:30</t>
  </si>
  <si>
    <t>2026-07-23T22:02:51+05:30</t>
  </si>
  <si>
    <t>2026-07-24T01:03:02+05:30</t>
  </si>
  <si>
    <t>ghp5qdk751sqq0z@marketplace.amazon.in</t>
  </si>
  <si>
    <t>408-0393472-3293905</t>
  </si>
  <si>
    <t>Tn2KFKbk9</t>
  </si>
  <si>
    <t>DYsBvxnzQB0MR</t>
  </si>
  <si>
    <t>2026-07-23T09:40:25+05:30</t>
  </si>
  <si>
    <t>2026-07-23T21:49:49+05:30</t>
  </si>
  <si>
    <t>2026-07-24T00:50:06+05:30</t>
  </si>
  <si>
    <t>gqwdsfhrddq6z2l@marketplace.amazon.in</t>
  </si>
  <si>
    <t>406-8264970-7525923</t>
  </si>
  <si>
    <t>Tg3pNRtY9</t>
  </si>
  <si>
    <t>DYhz2NnZQB0hR</t>
  </si>
  <si>
    <t>2026-07-23T18:22:12+05:30</t>
  </si>
  <si>
    <t>2026-07-23T21:07:43+05:30</t>
  </si>
  <si>
    <t>2026-07-23T21:07:46+05:30</t>
  </si>
  <si>
    <t>2026-07-23T22:07:57+05:30</t>
  </si>
  <si>
    <t>5k70k0n365k8clq@marketplace.amazon.in</t>
  </si>
  <si>
    <t>404-6517338-7837942</t>
  </si>
  <si>
    <t>TglgH0tL9</t>
  </si>
  <si>
    <t>Drhg20nXQB0hR</t>
  </si>
  <si>
    <t>2026-07-23T18:22:15+05:30</t>
  </si>
  <si>
    <t>2026-07-23T21:06:42+05:30</t>
  </si>
  <si>
    <t>2026-07-24T00:06:50+05:30</t>
  </si>
  <si>
    <t>4xbmjfwzgnyg6ys@marketplace.amazon.in</t>
  </si>
  <si>
    <t>408-2729962-5120358</t>
  </si>
  <si>
    <t>TCKwvQbY9</t>
  </si>
  <si>
    <t>DDxF2GnkQn0XR</t>
  </si>
  <si>
    <t>2026-07-23T11:35:58+05:30</t>
  </si>
  <si>
    <t>2026-07-23T20:54:49+05:30</t>
  </si>
  <si>
    <t>2026-07-23T20:54:52+05:30</t>
  </si>
  <si>
    <t>2026-07-23T21:55:03+05:30</t>
  </si>
  <si>
    <t>c2m3m7jmxbjft33@marketplace.amazon.in</t>
  </si>
  <si>
    <t>TIRUPPUR</t>
  </si>
  <si>
    <t>407-4520026-8727563</t>
  </si>
  <si>
    <t>Tnr13wb19</t>
  </si>
  <si>
    <t>DSY0FwnFQR04R</t>
  </si>
  <si>
    <t>2026-07-23T12:36:35+05:30</t>
  </si>
  <si>
    <t>2026-07-23T20:47:44+05:30</t>
  </si>
  <si>
    <t>2026-07-23T23:47:55+05:30</t>
  </si>
  <si>
    <t>cjrzmfp0zrgj81b@marketplace.amazon.in</t>
  </si>
  <si>
    <t>MANDVI KACHCHH DISTRICT</t>
  </si>
  <si>
    <t>405-9106370-6769160</t>
  </si>
  <si>
    <t>TG5KZhbW9</t>
  </si>
  <si>
    <t>DVs8FVnmQ40VR</t>
  </si>
  <si>
    <t>2026-07-23T18:18:35+05:30</t>
  </si>
  <si>
    <t>2026-07-23T20:44:54+05:30</t>
  </si>
  <si>
    <t>2026-07-23T23:45:06+05:30</t>
  </si>
  <si>
    <t>xgtv4qnbt30w9x0@marketplace.amazon.in</t>
  </si>
  <si>
    <t>Chikballapur</t>
  </si>
  <si>
    <t>402-4894839-0310735</t>
  </si>
  <si>
    <t>TGBJjYbw9</t>
  </si>
  <si>
    <t>DdD7Dgn6Qz0lR</t>
  </si>
  <si>
    <t>2026-07-23T20:31:46+05:30</t>
  </si>
  <si>
    <t>2026-07-23T20:31:49+05:30</t>
  </si>
  <si>
    <t>2026-07-23T21:32:00+05:30</t>
  </si>
  <si>
    <t>TgBDjlbw9</t>
  </si>
  <si>
    <t>Dcc0DGnKQ50QR</t>
  </si>
  <si>
    <t>2026-07-23T20:29:45+05:30</t>
  </si>
  <si>
    <t>2026-07-23T20:29:48+05:30</t>
  </si>
  <si>
    <t>2026-07-23T21:29:59+05:30</t>
  </si>
  <si>
    <t>408-9455037-3337920</t>
  </si>
  <si>
    <t>TcXgl1ww9</t>
  </si>
  <si>
    <t>DZYjD3n7Qh0dR</t>
  </si>
  <si>
    <t>2026-07-22T14:39:10+05:30</t>
  </si>
  <si>
    <t>2026-07-23T20:27:49+05:30</t>
  </si>
  <si>
    <t>2026-07-23T23:28:01+05:30</t>
  </si>
  <si>
    <t>wxkkl07m3j9f5tv@marketplace.amazon.in</t>
  </si>
  <si>
    <t>406-0343890-8890707</t>
  </si>
  <si>
    <t>TwT4w5tT9</t>
  </si>
  <si>
    <t>D7N3YpnkQv0TR</t>
  </si>
  <si>
    <t>2026-07-23T19:05:31+05:30</t>
  </si>
  <si>
    <t>2026-07-23T20:17:46+05:30</t>
  </si>
  <si>
    <t>2026-07-23T23:17:57+05:30</t>
  </si>
  <si>
    <t>n1rvz9jhvyr6xhk@marketplace.amazon.in</t>
  </si>
  <si>
    <t>408-7709567-9373158</t>
  </si>
  <si>
    <t>TnjgHytl9</t>
  </si>
  <si>
    <t>DTNlYhnBQk0vR</t>
  </si>
  <si>
    <t>2026-07-23T18:58:52+05:30</t>
  </si>
  <si>
    <t>2026-07-23T20:16:51+05:30</t>
  </si>
  <si>
    <t>2026-07-23T23:17:03+05:30</t>
  </si>
  <si>
    <t>npb0rtr1qf8d132@marketplace.amazon.in</t>
  </si>
  <si>
    <t>SOLAPUR</t>
  </si>
  <si>
    <t>408-8169792-7415536</t>
  </si>
  <si>
    <t>T3jK2MbM9</t>
  </si>
  <si>
    <t>D6qHY9nqQv0RR</t>
  </si>
  <si>
    <t>2026-07-23T07:19:53+05:30</t>
  </si>
  <si>
    <t>2026-07-23T20:07:50+05:30</t>
  </si>
  <si>
    <t>2026-07-23T23:08:06+05:30</t>
  </si>
  <si>
    <t>h38c5hxdq30v7bm@marketplace.amazon.in</t>
  </si>
  <si>
    <t>407-5292755-7854760</t>
  </si>
  <si>
    <t>TNBC0gb19</t>
  </si>
  <si>
    <t>DC7cy1nZQZ0pR</t>
  </si>
  <si>
    <t>2026-07-23T13:40:40+05:30</t>
  </si>
  <si>
    <t>2026-07-23T20:00:50+05:30</t>
  </si>
  <si>
    <t>2026-07-23T23:01:03+05:30</t>
  </si>
  <si>
    <t>402-8257591-3923531</t>
  </si>
  <si>
    <t>TGC2SFbp9</t>
  </si>
  <si>
    <t>D6fMyPnwQs0VR</t>
  </si>
  <si>
    <t>2026-07-23T15:37:47+05:30</t>
  </si>
  <si>
    <t>2026-07-23T19:54:45+05:30</t>
  </si>
  <si>
    <t>2026-07-23T22:54:56+05:30</t>
  </si>
  <si>
    <t>5jh3bz1vz8nm232@marketplace.amazon.in</t>
  </si>
  <si>
    <t>KARJAT RAIGARH DISTRICT</t>
  </si>
  <si>
    <t>407-6083127-4209941</t>
  </si>
  <si>
    <t>TVpkH1tm9</t>
  </si>
  <si>
    <t>DczBy9nSQs0yR</t>
  </si>
  <si>
    <t>2026-07-23T18:27:05+05:30</t>
  </si>
  <si>
    <t>2026-07-23T22:53:57+05:30</t>
  </si>
  <si>
    <t>z2xzwzxhgxqlq7w@marketplace.amazon.in</t>
  </si>
  <si>
    <t>407-9560401-4853964</t>
  </si>
  <si>
    <t>TVxkGRbq9</t>
  </si>
  <si>
    <t>Dw6sy2nPQH0yR</t>
  </si>
  <si>
    <t>2026-07-23T13:00:17+05:30</t>
  </si>
  <si>
    <t>2026-07-23T19:52:48+05:30</t>
  </si>
  <si>
    <t>2026-07-23T19:52:50+05:30</t>
  </si>
  <si>
    <t>2026-07-23T20:53:01+05:30</t>
  </si>
  <si>
    <t>j9qg4sqz13w640x@marketplace.amazon.in</t>
  </si>
  <si>
    <t>405-3922485-1777118</t>
  </si>
  <si>
    <t>T1jMxdbb9</t>
  </si>
  <si>
    <t>DdqZyvn4Qc0YR</t>
  </si>
  <si>
    <t>2026-07-23T12:23:33+05:30</t>
  </si>
  <si>
    <t>2026-07-23T19:47:44+05:30</t>
  </si>
  <si>
    <t>2026-07-23T19:47:47+05:30</t>
  </si>
  <si>
    <t>2026-07-23T20:47:58+05:30</t>
  </si>
  <si>
    <t>xrgkb5dgd43hpw7@marketplace.amazon.in</t>
  </si>
  <si>
    <t>KALYAN</t>
  </si>
  <si>
    <t>DC (NW Black)</t>
  </si>
  <si>
    <t>CRASOME Water Dispenser Bottle Dust Cover, Durable Fabric Dust Proof Cover for 20L Water Bottle (Black)</t>
  </si>
  <si>
    <t>408-1701873-7042704</t>
  </si>
  <si>
    <t>TCxwtxbN9</t>
  </si>
  <si>
    <t>Dzl8whncQl0jR</t>
  </si>
  <si>
    <t>2026-07-23T13:40:48+05:30</t>
  </si>
  <si>
    <t>2026-07-23T19:38:52+05:30</t>
  </si>
  <si>
    <t>2026-07-23T22:39:03+05:30</t>
  </si>
  <si>
    <t>9zxjvqsfl296scs@marketplace.amazon.in</t>
  </si>
  <si>
    <t>Kolkata</t>
  </si>
  <si>
    <t>402-0724700-7113965</t>
  </si>
  <si>
    <t>T6x3xDb59</t>
  </si>
  <si>
    <t>DNVjw6nYQK0vR</t>
  </si>
  <si>
    <t>2026-07-23T10:18:26+05:30</t>
  </si>
  <si>
    <t>2026-07-23T19:38:49+05:30</t>
  </si>
  <si>
    <t>2026-07-23T22:39:02+05:30</t>
  </si>
  <si>
    <t>91927m0bh39tbyx@marketplace.amazon.in</t>
  </si>
  <si>
    <t>402-4292154-6673936</t>
  </si>
  <si>
    <t>TwFzRkt39</t>
  </si>
  <si>
    <t>DR2tB1ngQG09R</t>
  </si>
  <si>
    <t>2026-07-23T17:13:50+05:30</t>
  </si>
  <si>
    <t>2026-07-23T19:25:49+05:30</t>
  </si>
  <si>
    <t>2026-07-23T22:26:02+05:30</t>
  </si>
  <si>
    <t>3nd1yry10hqxdgb@marketplace.amazon.in</t>
  </si>
  <si>
    <t>Ariyaloor(dt)</t>
  </si>
  <si>
    <t>171-5753296-2933143</t>
  </si>
  <si>
    <t>T1gRnywm9</t>
  </si>
  <si>
    <t>DThFBRn7QC0FR</t>
  </si>
  <si>
    <t>2026-07-21T22:31:53+05:30</t>
  </si>
  <si>
    <t>2026-07-23T19:20:55+05:30</t>
  </si>
  <si>
    <t>2026-07-23T22:21:08+05:30</t>
  </si>
  <si>
    <t>s68xq9nhr4wcfmn@marketplace.amazon.in</t>
  </si>
  <si>
    <t>KANPUR</t>
  </si>
  <si>
    <t>407-4867432-5445106</t>
  </si>
  <si>
    <t>TVJHfRbS9</t>
  </si>
  <si>
    <t>Dt4s9mnlQd0NR</t>
  </si>
  <si>
    <t>2026-07-23T16:09:29+05:30</t>
  </si>
  <si>
    <t>2026-07-23T19:11:45+05:30</t>
  </si>
  <si>
    <t>2026-07-23T19:11:47+05:30</t>
  </si>
  <si>
    <t>2026-07-23T20:12:00+05:30</t>
  </si>
  <si>
    <t>ymhxhpychq1lq3c@marketplace.amazon.in</t>
  </si>
  <si>
    <t>171-5526318-6974757</t>
  </si>
  <si>
    <t>TVBWkNtY9</t>
  </si>
  <si>
    <t>D8yS9NnCQs0wR</t>
  </si>
  <si>
    <t>2026-07-23T17:33:20+05:30</t>
  </si>
  <si>
    <t>2026-07-23T19:08:48+05:30</t>
  </si>
  <si>
    <t>2026-07-23T22:08:59+05:30</t>
  </si>
  <si>
    <t>29y5p1624wytxdz@marketplace.amazon.in</t>
  </si>
  <si>
    <t>404-7039967-8985966</t>
  </si>
  <si>
    <t>TJQYSxbF9</t>
  </si>
  <si>
    <t>Dbpg4QnJQw03R</t>
  </si>
  <si>
    <t>2026-07-23T15:38:25+05:30</t>
  </si>
  <si>
    <t>2026-07-23T18:38:44+05:30</t>
  </si>
  <si>
    <t>2026-07-23T18:38:47+05:30</t>
  </si>
  <si>
    <t>2026-07-23T20:38:59+05:30</t>
  </si>
  <si>
    <t>blznh81qv5qkr4y@marketplace.amazon.in</t>
  </si>
  <si>
    <t>406-7693552-2131507</t>
  </si>
  <si>
    <t>TJCnWjb39</t>
  </si>
  <si>
    <t>DKZDHqngQ206R</t>
  </si>
  <si>
    <t>2026-07-23T16:08:38+05:30</t>
  </si>
  <si>
    <t>2026-07-23T18:36:42+05:30</t>
  </si>
  <si>
    <t>2026-07-23T21:36:54+05:30</t>
  </si>
  <si>
    <t>94gw1rkbnwlftnb@marketplace.amazon.in</t>
  </si>
  <si>
    <t>407-2591430-4785115</t>
  </si>
  <si>
    <t>T6CRQnbR9</t>
  </si>
  <si>
    <t>DJgtH6nhQz0fR</t>
  </si>
  <si>
    <t>2026-07-23T11:21:45+05:30</t>
  </si>
  <si>
    <t>2026-07-23T18:34:45+05:30</t>
  </si>
  <si>
    <t>2026-07-23T21:34:56+05:30</t>
  </si>
  <si>
    <t>379jpr6k513wbhp@marketplace.amazon.in</t>
  </si>
  <si>
    <t>407-3976635-6718738</t>
  </si>
  <si>
    <t>Tg9BKnbj9</t>
  </si>
  <si>
    <t>D3gHHqnmQz0fR</t>
  </si>
  <si>
    <t>2026-07-23T14:11:36+05:30</t>
  </si>
  <si>
    <t>2026-07-23T18:30:46+05:30</t>
  </si>
  <si>
    <t>2026-07-23T21:30:59+05:30</t>
  </si>
  <si>
    <t>f0ynfxwgvtx2vdk@marketplace.amazon.in</t>
  </si>
  <si>
    <t>SAHARANPUR</t>
  </si>
  <si>
    <t>T6B8jYbw9</t>
  </si>
  <si>
    <t>DXmPbsnFQR0vR</t>
  </si>
  <si>
    <t>2026-07-23T18:25:45+05:30</t>
  </si>
  <si>
    <t>2026-07-23T18:25:48+05:30</t>
  </si>
  <si>
    <t>2026-07-23T20:25:58+05:30</t>
  </si>
  <si>
    <t>407-0965956-4864356</t>
  </si>
  <si>
    <t>T11RMmbB9</t>
  </si>
  <si>
    <t>D8Y6H1n8Qc0xR</t>
  </si>
  <si>
    <t>2026-07-23T11:14:53+05:30</t>
  </si>
  <si>
    <t>2026-07-23T18:23:50+05:30</t>
  </si>
  <si>
    <t>2026-07-23T18:23:53+05:30</t>
  </si>
  <si>
    <t>2026-07-23T20:24:04+05:30</t>
  </si>
  <si>
    <t>l8chd8k5cpx9jw6@marketplace.amazon.in</t>
  </si>
  <si>
    <t>Mysuru</t>
  </si>
  <si>
    <t>171-5201114-7625919</t>
  </si>
  <si>
    <t>T1JQJzbY9</t>
  </si>
  <si>
    <t>DBRjHgnfQm09R</t>
  </si>
  <si>
    <t>2026-07-23T11:26:09+05:30</t>
  </si>
  <si>
    <t>2026-07-23T18:20:54+05:30</t>
  </si>
  <si>
    <t>2026-07-23T21:21:07+05:30</t>
  </si>
  <si>
    <t>rn25s6wclhwhv0n@marketplace.amazon.in</t>
  </si>
  <si>
    <t>405-0743287-6426764</t>
  </si>
  <si>
    <t>T1GkPSbq9</t>
  </si>
  <si>
    <t>DqMgbWn9QG0zR</t>
  </si>
  <si>
    <t>2026-07-23T12:40:00+05:30</t>
  </si>
  <si>
    <t>2026-07-23T18:17:45+05:30</t>
  </si>
  <si>
    <t>2026-07-23T21:17:59+05:30</t>
  </si>
  <si>
    <t>m5jfyts0ghl0dg1@marketplace.amazon.in</t>
  </si>
  <si>
    <t>SHIROLI MIDC</t>
  </si>
  <si>
    <t>406-4765222-6996355</t>
  </si>
  <si>
    <t>TcnK9hZ49</t>
  </si>
  <si>
    <t>DzJSb9ncQC0fR</t>
  </si>
  <si>
    <t>2026-07-22T18:25:43+05:30</t>
  </si>
  <si>
    <t>2026-07-23T18:12:50+05:30</t>
  </si>
  <si>
    <t>2026-07-23T21:13:02+05:30</t>
  </si>
  <si>
    <t>q1k89jt73bwj7qz@marketplace.amazon.in</t>
  </si>
  <si>
    <t>402-2878082-4900345</t>
  </si>
  <si>
    <t>TXFgsjbD9</t>
  </si>
  <si>
    <t>DFSbkpnNQ70mR</t>
  </si>
  <si>
    <t>2026-07-23T10:50:03+05:30</t>
  </si>
  <si>
    <t>2026-07-23T18:03:45+05:30</t>
  </si>
  <si>
    <t>2026-07-23T21:04:04+05:30</t>
  </si>
  <si>
    <t>25840ngd8ggr2q5@marketplace.amazon.in</t>
  </si>
  <si>
    <t>D2S0knnNQ70mR</t>
  </si>
  <si>
    <t>406-7051042-4999552</t>
  </si>
  <si>
    <t>T33lPJbN9</t>
  </si>
  <si>
    <t>D71PkLnvQ90mR</t>
  </si>
  <si>
    <t>2026-07-23T13:02:54+05:30</t>
  </si>
  <si>
    <t>2026-07-23T18:01:42+05:30</t>
  </si>
  <si>
    <t>2026-07-23T21:01:54+05:30</t>
  </si>
  <si>
    <t>5ttmg673kq4gghy@marketplace.amazon.in</t>
  </si>
  <si>
    <t>403-4966004-1774700</t>
  </si>
  <si>
    <t>TXPJlWZL9</t>
  </si>
  <si>
    <t>Dh17kmnFQ90mR</t>
  </si>
  <si>
    <t>2026-07-22T23:39:39+05:30</t>
  </si>
  <si>
    <t>2026-07-23T18:00:45+05:30</t>
  </si>
  <si>
    <t>2026-07-23T18:00:48+05:30</t>
  </si>
  <si>
    <t>2026-07-23T20:00:59+05:30</t>
  </si>
  <si>
    <t>63kytxh3gnbk8hn@marketplace.amazon.in</t>
  </si>
  <si>
    <t>Kengeri satellite town, Bengaluru</t>
  </si>
  <si>
    <t>403-2281907-4540304</t>
  </si>
  <si>
    <t>TVXn2Kbn9</t>
  </si>
  <si>
    <t>DtbVkgnnQD0xR</t>
  </si>
  <si>
    <t>2026-07-23T07:50:08+05:30</t>
  </si>
  <si>
    <t>2026-07-23T17:59:48+05:30</t>
  </si>
  <si>
    <t>2026-07-23T21:00:03+05:30</t>
  </si>
  <si>
    <t>yt5bqw36q3p7qv5@marketplace.amazon.in</t>
  </si>
  <si>
    <t>Chittoor</t>
  </si>
  <si>
    <t>Please review the Example tab before you complete this sheet</t>
  </si>
  <si>
    <t>407-3559639-6612337</t>
  </si>
  <si>
    <t>TwKtzFbb9</t>
  </si>
  <si>
    <t>D4Rjk1nBQj0wR</t>
  </si>
  <si>
    <t>2026-07-23T10:08:17+05:30</t>
  </si>
  <si>
    <t>2026-07-23T17:52:44+05:30</t>
  </si>
  <si>
    <t>2026-07-23T20:52:56+05:30</t>
  </si>
  <si>
    <t>58hszz19bdyzsnt@marketplace.amazon.in</t>
  </si>
  <si>
    <t>Default prep owner</t>
  </si>
  <si>
    <t>Seller</t>
  </si>
  <si>
    <t>Default labeling owner</t>
  </si>
  <si>
    <t>403-0481354-6671569</t>
  </si>
  <si>
    <t>T36yHHby9</t>
  </si>
  <si>
    <t>DMrRNlnjQG0PR</t>
  </si>
  <si>
    <t>2026-07-23T08:19:24+05:30</t>
  </si>
  <si>
    <t>2026-07-23T17:36:51+05:30</t>
  </si>
  <si>
    <t>2026-07-23T20:37:02+05:30</t>
  </si>
  <si>
    <t>820vtmdwdx9vtzw@marketplace.amazon.in</t>
  </si>
  <si>
    <t>Default prep category</t>
  </si>
  <si>
    <t>No prep needed</t>
  </si>
  <si>
    <t>Mandatory</t>
  </si>
  <si>
    <t>408-1235202-8965917</t>
  </si>
  <si>
    <t>T6bPY1bv9</t>
  </si>
  <si>
    <t>Dm5QRcnsQq0MR</t>
  </si>
  <si>
    <t>2026-07-23T07:04:47+05:30</t>
  </si>
  <si>
    <t>2026-07-23T17:32:42+05:30</t>
  </si>
  <si>
    <t>2026-07-23T17:32:46+05:30</t>
  </si>
  <si>
    <t>2026-07-23T20:32:57+05:30</t>
  </si>
  <si>
    <t xml:space="preserve">Optional </t>
  </si>
  <si>
    <t>5yfp51hqmg0fq9m@marketplace.amazon.in</t>
  </si>
  <si>
    <t>Optional: Use only for providing tax details</t>
  </si>
  <si>
    <t>404-3276286-2305146</t>
  </si>
  <si>
    <t>T1XFypb79</t>
  </si>
  <si>
    <t>DW5LRdn5QP0MR</t>
  </si>
  <si>
    <t>2026-07-23T05:20:54+05:30</t>
  </si>
  <si>
    <t>2026-07-23T17:27:48+05:30</t>
  </si>
  <si>
    <t>2026-07-23T20:28:00+05:30</t>
  </si>
  <si>
    <t>k149bh95fz3g4wj@marketplace.amazon.in</t>
  </si>
  <si>
    <t>DC (NW Grey)</t>
  </si>
  <si>
    <t>CRASOME Water Dispenser Bottle Dust Cover, Durable Fabric Dust Proof Cover for 20L Water Bottle (Grey)</t>
  </si>
  <si>
    <t>403-9718725-6687532</t>
  </si>
  <si>
    <t>TCLQ50b19</t>
  </si>
  <si>
    <t>DZlWRJnLQx0vR</t>
  </si>
  <si>
    <t>2026-07-23T15:35:12+05:30</t>
  </si>
  <si>
    <t>2026-07-23T17:20:42+05:30</t>
  </si>
  <si>
    <t>2026-07-23T20:20:55+05:30</t>
  </si>
  <si>
    <t>dl0b2x3d4ksdjcl@marketplace.amazon.in</t>
  </si>
  <si>
    <t>404-3482696-4504356</t>
  </si>
  <si>
    <t>TN36MNZG9</t>
  </si>
  <si>
    <t>DDfKRKngQq0HR</t>
  </si>
  <si>
    <t>2026-07-22T22:03:06+05:30</t>
  </si>
  <si>
    <t>2026-07-23T17:19:40+05:30</t>
  </si>
  <si>
    <t>2026-07-23T17:19:42+05:30</t>
  </si>
  <si>
    <t>2026-07-23T20:19:55+05:30</t>
  </si>
  <si>
    <t>g2tbxf91f1gclft@marketplace.amazon.in</t>
  </si>
  <si>
    <t>404-0480953-3185101</t>
  </si>
  <si>
    <t>TJxZQFbJ9</t>
  </si>
  <si>
    <t>D15khVq9Q80XR</t>
  </si>
  <si>
    <t>2026-07-23T10:51:08+05:30</t>
  </si>
  <si>
    <t>2026-07-23T17:13:46+05:30</t>
  </si>
  <si>
    <t>2026-07-23T20:13:57+05:30</t>
  </si>
  <si>
    <t>fv3z4wgybjs0472@marketplace.amazon.in</t>
  </si>
  <si>
    <t>SRIKAKULAM</t>
  </si>
  <si>
    <t>405-1247512-9025122</t>
  </si>
  <si>
    <t>TNFLTsbj9</t>
  </si>
  <si>
    <t>Dk5mh2qBQh0ZR</t>
  </si>
  <si>
    <t>2026-07-23T12:45:56+05:30</t>
  </si>
  <si>
    <t>2026-07-23T17:12:46+05:30</t>
  </si>
  <si>
    <t>2026-07-23T20:12:58+05:30</t>
  </si>
  <si>
    <t>3gts95dlg38tkcc@marketplace.amazon.in</t>
  </si>
  <si>
    <t>404-1928550-5639556</t>
  </si>
  <si>
    <t>T3SyYQb49</t>
  </si>
  <si>
    <t>DRyNhfq2Qq0JR</t>
  </si>
  <si>
    <t>2026-07-23T08:43:40+05:30</t>
  </si>
  <si>
    <t>2026-07-23T17:08:41+05:30</t>
  </si>
  <si>
    <t>2026-07-23T20:08:49+05:30</t>
  </si>
  <si>
    <t>sl8z5fms98j19zx@marketplace.amazon.in</t>
  </si>
  <si>
    <t>402-1904730-5621104</t>
  </si>
  <si>
    <t>TGGzCfbZ9</t>
  </si>
  <si>
    <t>DVs5hjqCQk0NR</t>
  </si>
  <si>
    <t>2026-07-23T14:34:55+05:30</t>
  </si>
  <si>
    <t>2026-07-23T16:57:43+05:30</t>
  </si>
  <si>
    <t>2026-07-23T16:57:46+05:30</t>
  </si>
  <si>
    <t>2026-07-23T17:57:57+05:30</t>
  </si>
  <si>
    <t>vsq08g0qdht7s9f@marketplace.amazon.in</t>
  </si>
  <si>
    <t>402-7307160-0821144</t>
  </si>
  <si>
    <t>T6FkMrw99</t>
  </si>
  <si>
    <t>DNPGf4qpQY0NR</t>
  </si>
  <si>
    <t>2026-07-22T11:43:23+05:30</t>
  </si>
  <si>
    <t>2026-07-23T16:41:50+05:30</t>
  </si>
  <si>
    <t>2026-07-23T19:42:02+05:30</t>
  </si>
  <si>
    <t>swdvmtbrskn3yh0@marketplace.amazon.in</t>
  </si>
  <si>
    <t>BADGAM</t>
  </si>
  <si>
    <t>405-9570756-9438743</t>
  </si>
  <si>
    <t>TNGr26br9</t>
  </si>
  <si>
    <t>Dc7bZnqCQP0yR</t>
  </si>
  <si>
    <t>2026-07-23T10:38:25+05:30</t>
  </si>
  <si>
    <t>2026-07-23T16:24:47+05:30</t>
  </si>
  <si>
    <t>2026-07-23T19:25:01+05:30</t>
  </si>
  <si>
    <t>0kghwl6mml7nlnn@marketplace.amazon.in</t>
  </si>
  <si>
    <t>405-2683226-1132328</t>
  </si>
  <si>
    <t>TcJ2rkb69</t>
  </si>
  <si>
    <t>Ddp0ZjqnQd0rR</t>
  </si>
  <si>
    <t>2026-07-23T12:39:14+05:30</t>
  </si>
  <si>
    <t>2026-07-23T16:07:49+05:30</t>
  </si>
  <si>
    <t>2026-07-23T19:08:01+05:30</t>
  </si>
  <si>
    <t>d7t3brrh977x18n@marketplace.amazon.in</t>
  </si>
  <si>
    <t>406-7278983-1588329</t>
  </si>
  <si>
    <t>TgRpnhbW9</t>
  </si>
  <si>
    <t>DdSX5qqDQJ0mR</t>
  </si>
  <si>
    <t>2026-07-23T11:43:02+05:30</t>
  </si>
  <si>
    <t>2026-07-23T15:48:44+05:30</t>
  </si>
  <si>
    <t>2026-07-23T15:48:47+05:30</t>
  </si>
  <si>
    <t>2026-07-23T16:49:00+05:30</t>
  </si>
  <si>
    <t>jkrrbbn7cxqcym3@marketplace.amazon.in</t>
  </si>
  <si>
    <t>406-4374364-3380334</t>
  </si>
  <si>
    <t>TgLyFsbT9</t>
  </si>
  <si>
    <t>Dk6Ngsq8QY03R</t>
  </si>
  <si>
    <t>2026-07-23T08:45:54+05:30</t>
  </si>
  <si>
    <t>2026-07-23T15:23:04+05:30</t>
  </si>
  <si>
    <t>2026-07-23T18:27:43+05:30</t>
  </si>
  <si>
    <t>tr7tpcnj9n9ks0m@marketplace.amazon.in</t>
  </si>
  <si>
    <t>Kakinada</t>
  </si>
  <si>
    <t>402-4583511-7732353</t>
  </si>
  <si>
    <t>T1mFr9bv9</t>
  </si>
  <si>
    <t>DbZMgjqBQN0WR</t>
  </si>
  <si>
    <t>2026-07-23T13:38:19+05:30</t>
  </si>
  <si>
    <t>2026-07-23T15:20:44+05:30</t>
  </si>
  <si>
    <t>2026-07-23T18:20:56+05:30</t>
  </si>
  <si>
    <t>gg780yldgfn4l56@marketplace.amazon.in</t>
  </si>
  <si>
    <t>WARANGAL</t>
  </si>
  <si>
    <t>407-9337965-7172360</t>
  </si>
  <si>
    <t>Tc6cRfbn9</t>
  </si>
  <si>
    <t>D9PgX9qbQQ0jR</t>
  </si>
  <si>
    <t>2026-07-23T06:09:26+05:30</t>
  </si>
  <si>
    <t>2026-07-23T14:45:49+05:30</t>
  </si>
  <si>
    <t>2026-07-23T17:46:00+05:30</t>
  </si>
  <si>
    <t>9084xbhhmp9m7zt@marketplace.amazon.in</t>
  </si>
  <si>
    <t>Varanasi</t>
  </si>
  <si>
    <t>408-7273438-1158705</t>
  </si>
  <si>
    <t>TCnZ2hbD9</t>
  </si>
  <si>
    <t>DrvWC7qqQv0wR</t>
  </si>
  <si>
    <t>2026-07-23T10:22:00+05:30</t>
  </si>
  <si>
    <t>2026-07-23T14:36:49+05:30</t>
  </si>
  <si>
    <t>2026-07-23T17:37:01+05:30</t>
  </si>
  <si>
    <t>snr6bcs9dxk0gw1@marketplace.amazon.in</t>
  </si>
  <si>
    <t>405-4299640-1549942</t>
  </si>
  <si>
    <t>TXZpDlbJ9</t>
  </si>
  <si>
    <t>DzV8pcqkQx0tR</t>
  </si>
  <si>
    <t>2026-07-23T07:42:04+05:30</t>
  </si>
  <si>
    <t>2026-07-23T14:17:48+05:30</t>
  </si>
  <si>
    <t>2026-07-23T17:18:09+05:30</t>
  </si>
  <si>
    <t>s2wjxh2lxs2spgw@marketplace.amazon.in</t>
  </si>
  <si>
    <t>CHERUKAVU</t>
  </si>
  <si>
    <t>407-0446353-0114738</t>
  </si>
  <si>
    <t>TXzB7KbW9</t>
  </si>
  <si>
    <t>DfYLpQqdQY0GR</t>
  </si>
  <si>
    <t>2026-07-23T11:36:41+05:30</t>
  </si>
  <si>
    <t>2026-07-23T14:11:42+05:30</t>
  </si>
  <si>
    <t>2026-07-23T14:11:44+05:30</t>
  </si>
  <si>
    <t>2026-07-23T15:11:58+05:30</t>
  </si>
  <si>
    <t>0v9bbs8ccxqzpyq@marketplace.amazon.in</t>
  </si>
  <si>
    <t>CHENNAI - 600095</t>
  </si>
  <si>
    <t>2026-07-23T20:00:00+05:30</t>
  </si>
  <si>
    <t>402-6628515-4781145</t>
  </si>
  <si>
    <t>TcKq7Mbs9</t>
  </si>
  <si>
    <t>DfpMpgqJQP0MR</t>
  </si>
  <si>
    <t>2026-07-23T12:41:25+05:30</t>
  </si>
  <si>
    <t>2026-07-23T14:09:43+05:30</t>
  </si>
  <si>
    <t>2026-07-23T17:09:58+05:30</t>
  </si>
  <si>
    <t>stb44djpgdh9kfr@marketplace.amazon.in</t>
  </si>
  <si>
    <t>405-1777589-3817152</t>
  </si>
  <si>
    <t>TVq6xnbQ9</t>
  </si>
  <si>
    <t>DSwMWHqJQH0XR</t>
  </si>
  <si>
    <t>2026-07-23T11:14:33+05:30</t>
  </si>
  <si>
    <t>2026-07-23T13:59:43+05:30</t>
  </si>
  <si>
    <t>2026-07-23T16:59:55+05:30</t>
  </si>
  <si>
    <t>rz85hhslms2dfgg@marketplace.amazon.in</t>
  </si>
  <si>
    <t>Ujjain</t>
  </si>
  <si>
    <t>404-3516588-0444362</t>
  </si>
  <si>
    <t>TVmLKLZM9</t>
  </si>
  <si>
    <t>DTB1WNqkQN01R</t>
  </si>
  <si>
    <t>2026-07-22T23:30:23+05:30</t>
  </si>
  <si>
    <t>2026-07-23T13:58:58+05:30</t>
  </si>
  <si>
    <t>2026-07-23T16:59:25+05:30</t>
  </si>
  <si>
    <t>5g9zyvhz53dtjv6@marketplace.amazon.in</t>
  </si>
  <si>
    <t>406-6954715-7276331</t>
  </si>
  <si>
    <t>TJTfRsZ99</t>
  </si>
  <si>
    <t>D2RBWYqDQg0NR</t>
  </si>
  <si>
    <t>2026-07-22T18:10:02+05:30</t>
  </si>
  <si>
    <t>2026-07-23T13:53:46+05:30</t>
  </si>
  <si>
    <t>2026-07-23T16:53:58+05:30</t>
  </si>
  <si>
    <t>p6jv3j4mm98344b@marketplace.amazon.in</t>
  </si>
  <si>
    <t>407-0299232-2743577</t>
  </si>
  <si>
    <t>TgHX78bq9</t>
  </si>
  <si>
    <t>DssCWrq7Qc0QR</t>
  </si>
  <si>
    <t>2026-07-23T11:29:02+05:30</t>
  </si>
  <si>
    <t>2026-07-23T13:53:44+05:30</t>
  </si>
  <si>
    <t>2026-07-23T16:53:56+05:30</t>
  </si>
  <si>
    <t>4lqwxyw3fxyvjyz@marketplace.amazon.in</t>
  </si>
  <si>
    <t>CRASOME Water Dispenser 20 Liter Bottle Jar Cover (Black Pack of 5)</t>
  </si>
  <si>
    <t>403-5056553-1127561</t>
  </si>
  <si>
    <t>Tnb1lJwm9</t>
  </si>
  <si>
    <t>DMmgKBqVQK03R</t>
  </si>
  <si>
    <t>2026-07-22T17:25:42+05:30</t>
  </si>
  <si>
    <t>2026-07-23T13:49:21+05:30</t>
  </si>
  <si>
    <t>2026-07-23T13:49:27+05:30</t>
  </si>
  <si>
    <t>2026-07-23T14:49:46+05:30</t>
  </si>
  <si>
    <t>f54hmsjlqpy86vw@marketplace.amazon.in</t>
  </si>
  <si>
    <t>405-1704834-9576335</t>
  </si>
  <si>
    <t>TVpWJBw59</t>
  </si>
  <si>
    <t>D3RjWgqKQB0NR</t>
  </si>
  <si>
    <t>2026-07-22T13:16:50+05:30</t>
  </si>
  <si>
    <t>2026-07-23T13:46:48+05:30</t>
  </si>
  <si>
    <t>2026-07-23T16:47:03+05:30</t>
  </si>
  <si>
    <t>0sb794jbhk00pb6@marketplace.amazon.in</t>
  </si>
  <si>
    <t>405-0629099-6257957</t>
  </si>
  <si>
    <t>TJYR7gwm9</t>
  </si>
  <si>
    <t>Db6VKPqNQ00QR</t>
  </si>
  <si>
    <t>2026-07-22T10:16:47+05:30</t>
  </si>
  <si>
    <t>2026-07-23T13:40:46+05:30</t>
  </si>
  <si>
    <t>2026-07-23T16:40:59+05:30</t>
  </si>
  <si>
    <t>j7wbmnghv34q07v@marketplace.amazon.in</t>
  </si>
  <si>
    <t>408-5275223-6274737</t>
  </si>
  <si>
    <t>TghcPsZX9</t>
  </si>
  <si>
    <t>DMT8KHqkQ10FR</t>
  </si>
  <si>
    <t>2026-07-23T01:16:32+05:30</t>
  </si>
  <si>
    <t>2026-07-23T13:35:43+05:30</t>
  </si>
  <si>
    <t>2026-07-23T13:35:47+05:30</t>
  </si>
  <si>
    <t>2026-07-23T14:36:01+05:30</t>
  </si>
  <si>
    <t>fr2nv2jldlv1fkh@marketplace.amazon.in</t>
  </si>
  <si>
    <t>Kottayam</t>
  </si>
  <si>
    <t>405-4699122-1097126</t>
  </si>
  <si>
    <t>TclNx4bL9</t>
  </si>
  <si>
    <t>DK2mmSqcQf0CR</t>
  </si>
  <si>
    <t>2026-07-23T11:13:17+05:30</t>
  </si>
  <si>
    <t>2026-07-23T13:24:42+05:30</t>
  </si>
  <si>
    <t>2026-07-23T13:24:46+05:30</t>
  </si>
  <si>
    <t>2026-07-23T14:24:57+05:30</t>
  </si>
  <si>
    <t>9ykmj5qbw2qdjt7@marketplace.amazon.in</t>
  </si>
  <si>
    <t>404-1189739-5793167</t>
  </si>
  <si>
    <t>TGbhsdZX9</t>
  </si>
  <si>
    <t>DHv3llqVQs04R</t>
  </si>
  <si>
    <t>2026-07-22T21:53:57+05:30</t>
  </si>
  <si>
    <t>2026-07-23T13:16:45+05:30</t>
  </si>
  <si>
    <t>2026-07-23T16:16:53+05:30</t>
  </si>
  <si>
    <t>dln0gxn8lk8zjbz@marketplace.amazon.in</t>
  </si>
  <si>
    <t>CRM-Trolley Cover-24-Inch</t>
  </si>
  <si>
    <t>CRASOME Trolley Bag Cover Suitcase Waterproof Dustproof Luggage Cover Zippered Clear PVC Protector 24 Inch</t>
  </si>
  <si>
    <t>404-8291711-7741103</t>
  </si>
  <si>
    <t>TCJRFjbY9</t>
  </si>
  <si>
    <t>DgfBlfqmQN0qR</t>
  </si>
  <si>
    <t>2026-07-23T09:05:46+05:30</t>
  </si>
  <si>
    <t>2026-07-23T13:08:42+05:30</t>
  </si>
  <si>
    <t>2026-07-23T16:08:49+05:30</t>
  </si>
  <si>
    <t>mtfklbl6ytmv8mb@marketplace.amazon.in</t>
  </si>
  <si>
    <t>BATHINDA</t>
  </si>
  <si>
    <t>171-5049109-5695506</t>
  </si>
  <si>
    <t>TX8TJhbp9</t>
  </si>
  <si>
    <t>DzQXlDqrQn03R</t>
  </si>
  <si>
    <t>2026-07-23T11:58:24+05:30</t>
  </si>
  <si>
    <t>2026-07-23T13:05:38+05:30</t>
  </si>
  <si>
    <t>2026-07-23T13:05:41+05:30</t>
  </si>
  <si>
    <t>2026-07-23T14:05:52+05:30</t>
  </si>
  <si>
    <t>y7ptfq51ybqj7g0@marketplace.amazon.in</t>
  </si>
  <si>
    <t>403-8052810-5105119</t>
  </si>
  <si>
    <t>TXVb9GbK9</t>
  </si>
  <si>
    <t>DzcblHqmQ20sR</t>
  </si>
  <si>
    <t>2026-07-23T07:07:14+05:30</t>
  </si>
  <si>
    <t>2026-07-23T13:04:46+05:30</t>
  </si>
  <si>
    <t>2026-07-23T16:04:57+05:30</t>
  </si>
  <si>
    <t>6tbs6wyptf8z2px@marketplace.amazon.in</t>
  </si>
  <si>
    <t>BERHAMPORE</t>
  </si>
  <si>
    <t>402-7783236-4463533</t>
  </si>
  <si>
    <t>Tg64vWb69</t>
  </si>
  <si>
    <t>D2f8lXqkQH0tR</t>
  </si>
  <si>
    <t>2026-07-23T10:45:16+05:30</t>
  </si>
  <si>
    <t>2026-07-23T13:03:43+05:30</t>
  </si>
  <si>
    <t>2026-07-23T13:03:46+05:30</t>
  </si>
  <si>
    <t>2026-07-23T14:03:59+05:30</t>
  </si>
  <si>
    <t>kmxhw79yyjykzdd@marketplace.amazon.in</t>
  </si>
  <si>
    <t>KUMARAPURAM</t>
  </si>
  <si>
    <t>404-9024999-9289901</t>
  </si>
  <si>
    <t>TJg3YtbM9</t>
  </si>
  <si>
    <t>D0fylrqbQv0ZR</t>
  </si>
  <si>
    <t>2026-07-23T08:16:53+05:30</t>
  </si>
  <si>
    <t>2026-07-23T13:01:40+05:30</t>
  </si>
  <si>
    <t>2026-07-23T13:01:43+05:30</t>
  </si>
  <si>
    <t>2026-07-23T14:01:55+05:30</t>
  </si>
  <si>
    <t>dkfvx2xfck3mbmd@marketplace.amazon.in</t>
  </si>
  <si>
    <t>406-5517070-1291518</t>
  </si>
  <si>
    <t>T6j6sZbJ9</t>
  </si>
  <si>
    <t>DWfjlVq3Ql0tR</t>
  </si>
  <si>
    <t>2026-07-23T09:37:03+05:30</t>
  </si>
  <si>
    <t>2026-07-23T12:58:42+05:30</t>
  </si>
  <si>
    <t>2026-07-23T15:58:53+05:30</t>
  </si>
  <si>
    <t>zkyxrnxpb7zxhb4@marketplace.amazon.in</t>
  </si>
  <si>
    <t>403-0495227-0193124</t>
  </si>
  <si>
    <t>TcK21gbt9</t>
  </si>
  <si>
    <t>DX860kq0QF0gR</t>
  </si>
  <si>
    <t>2026-07-23T11:30:13+05:30</t>
  </si>
  <si>
    <t>2026-07-23T12:55:44+05:30</t>
  </si>
  <si>
    <t>2026-07-23T15:55:56+05:30</t>
  </si>
  <si>
    <t>jzbffx10yc596ty@marketplace.amazon.in</t>
  </si>
  <si>
    <t>404-6180749-8662733</t>
  </si>
  <si>
    <t>Tc3hlqZw9</t>
  </si>
  <si>
    <t>DNkG0CqmQS0mR</t>
  </si>
  <si>
    <t>2026-07-22T23:30:45+05:30</t>
  </si>
  <si>
    <t>2026-07-23T12:53:44+05:30</t>
  </si>
  <si>
    <t>2026-07-23T15:53:57+05:30</t>
  </si>
  <si>
    <t>0vbrflby3g3552t@marketplace.amazon.in</t>
  </si>
  <si>
    <t>JALANDHAR</t>
  </si>
  <si>
    <t>405-5122824-3321136</t>
  </si>
  <si>
    <t>TGZzclbf9</t>
  </si>
  <si>
    <t>DtxL0ZqHQV0sR</t>
  </si>
  <si>
    <t>2026-07-23T10:07:12+05:30</t>
  </si>
  <si>
    <t>2026-07-23T12:39:43+05:30</t>
  </si>
  <si>
    <t>2026-07-23T12:39:46+05:30</t>
  </si>
  <si>
    <t>2026-07-23T13:39:56+05:30</t>
  </si>
  <si>
    <t>b52rnpsbftqrvmc@marketplace.amazon.in</t>
  </si>
  <si>
    <t>Nagoa</t>
  </si>
  <si>
    <t>404-7647224-5244323</t>
  </si>
  <si>
    <t>TcTg1Bwp9</t>
  </si>
  <si>
    <t>D6x60BqKQh07R</t>
  </si>
  <si>
    <t>2026-07-22T11:56:20+05:30</t>
  </si>
  <si>
    <t>2026-07-23T12:38:53+05:30</t>
  </si>
  <si>
    <t>2026-07-23T15:39:07+05:30</t>
  </si>
  <si>
    <t>yyhmlk42vvhq630@marketplace.amazon.in</t>
  </si>
  <si>
    <t>405-8439511-8543523</t>
  </si>
  <si>
    <t>T3GlMrZy9</t>
  </si>
  <si>
    <t>Dv9HSrqhQJ0MR</t>
  </si>
  <si>
    <t>2026-07-22T19:21:11+05:30</t>
  </si>
  <si>
    <t>2026-07-23T12:32:47+05:30</t>
  </si>
  <si>
    <t>2026-07-23T15:33:00+05:30</t>
  </si>
  <si>
    <t>qnnm0vlnzgy7gtm@marketplace.amazon.in</t>
  </si>
  <si>
    <t>Sambalpur</t>
  </si>
  <si>
    <t>403-7473562-8953116</t>
  </si>
  <si>
    <t>TJ4WrfwF9</t>
  </si>
  <si>
    <t>D4WzS7qTQT0BR</t>
  </si>
  <si>
    <t>2026-07-22T13:27:47+05:30</t>
  </si>
  <si>
    <t>2026-07-23T12:30:48+05:30</t>
  </si>
  <si>
    <t>2026-07-23T15:31:00+05:30</t>
  </si>
  <si>
    <t>3vyqb6k0bxypq15@marketplace.amazon.in</t>
  </si>
  <si>
    <t>408-4019840-0033142</t>
  </si>
  <si>
    <t>TnStFVbQ9</t>
  </si>
  <si>
    <t>DVrRSwqgQ50TR</t>
  </si>
  <si>
    <t>2026-07-23T10:16:59+05:30</t>
  </si>
  <si>
    <t>2026-07-23T12:26:45+05:30</t>
  </si>
  <si>
    <t>2026-07-23T15:27:03+05:30</t>
  </si>
  <si>
    <t>d3xrxgyy6vwmctw@marketplace.amazon.in</t>
  </si>
  <si>
    <t>402-4963317-1634745</t>
  </si>
  <si>
    <t>TVHYVVb49</t>
  </si>
  <si>
    <t>Dwll6FqgQy03R</t>
  </si>
  <si>
    <t>2026-07-23T09:02:31+05:30</t>
  </si>
  <si>
    <t>2026-07-23T12:13:47+05:30</t>
  </si>
  <si>
    <t>2026-07-23T15:14:00+05:30</t>
  </si>
  <si>
    <t>q1xr1zsz5q3fhm5@marketplace.amazon.in</t>
  </si>
  <si>
    <t>CHIRALA</t>
  </si>
  <si>
    <t>408-1815305-2507541</t>
  </si>
  <si>
    <t>T6y3c4bp9</t>
  </si>
  <si>
    <t>D5F8d7qsQ904R</t>
  </si>
  <si>
    <t>2026-07-23T10:06:47+05:30</t>
  </si>
  <si>
    <t>2026-07-23T12:05:44+05:30</t>
  </si>
  <si>
    <t>2026-07-23T15:05:56+05:30</t>
  </si>
  <si>
    <t>68rnvxffx1xwlzw@marketplace.amazon.in</t>
  </si>
  <si>
    <t>407-6808443-4747539</t>
  </si>
  <si>
    <t>TXTxthwn9</t>
  </si>
  <si>
    <t>DQFqdvqwQ904R</t>
  </si>
  <si>
    <t>2026-07-22T15:33:01+05:30</t>
  </si>
  <si>
    <t>2026-07-23T12:02:44+05:30</t>
  </si>
  <si>
    <t>2026-07-23T15:02:56+05:30</t>
  </si>
  <si>
    <t>6zkrzs49bffg21k@marketplace.amazon.in</t>
  </si>
  <si>
    <t>CRASOME Water Dispenser 20 Liter Bottle Jar Cover (Grey Pack of 5)</t>
  </si>
  <si>
    <t>403-4101795-5791508</t>
  </si>
  <si>
    <t>TGPBHPZj9</t>
  </si>
  <si>
    <t>D8RMdfqTQj0bR</t>
  </si>
  <si>
    <t>2026-07-22T19:32:03+05:30</t>
  </si>
  <si>
    <t>2026-07-23T11:48:50+05:30</t>
  </si>
  <si>
    <t>2026-07-23T14:49:05+05:30</t>
  </si>
  <si>
    <t>nknfp9wr59l5hb1@marketplace.amazon.in</t>
  </si>
  <si>
    <t>LUNAWADA</t>
  </si>
  <si>
    <t>406-0831932-8182737</t>
  </si>
  <si>
    <t>Tgjsw8bD9</t>
  </si>
  <si>
    <t>D2llGtq9QK0NR</t>
  </si>
  <si>
    <t>2026-07-23T06:20:34+05:30</t>
  </si>
  <si>
    <t>2026-07-23T11:33:42+05:30</t>
  </si>
  <si>
    <t>2026-07-23T11:33:45+05:30</t>
  </si>
  <si>
    <t>2026-07-23T12:33:55+05:30</t>
  </si>
  <si>
    <t>4xnbs0n8p4t48q8@marketplace.amazon.in</t>
  </si>
  <si>
    <t>171-0089666-8077977</t>
  </si>
  <si>
    <t>TXdK5hWg9</t>
  </si>
  <si>
    <t>DBsNtmqyQN0vR</t>
  </si>
  <si>
    <t>2026-07-22T05:17:58+05:30</t>
  </si>
  <si>
    <t>2026-07-23T11:17:41+05:30</t>
  </si>
  <si>
    <t>2026-07-23T14:17:55+05:30</t>
  </si>
  <si>
    <t>4y6h0k51td9mry4@marketplace.amazon.in</t>
  </si>
  <si>
    <t>402-4416925-5469913</t>
  </si>
  <si>
    <t>TGFNymbT9</t>
  </si>
  <si>
    <t>D5GdP2qGQ008R</t>
  </si>
  <si>
    <t>2026-07-23T05:15:36+05:30</t>
  </si>
  <si>
    <t>2026-07-23T10:57:53+05:30</t>
  </si>
  <si>
    <t>2026-07-23T13:58:07+05:30</t>
  </si>
  <si>
    <t>r23tlscxdxklq0d@marketplace.amazon.in</t>
  </si>
  <si>
    <t>406-1079577-8846746</t>
  </si>
  <si>
    <t>Tczq5CWV9</t>
  </si>
  <si>
    <t>DMM3TBq8Qg07R</t>
  </si>
  <si>
    <t>2026-07-22T06:00:29+05:30</t>
  </si>
  <si>
    <t>2026-07-23T10:47:44+05:30</t>
  </si>
  <si>
    <t>2026-07-23T13:47:55+05:30</t>
  </si>
  <si>
    <t>q0gymzlnc2b5r58@marketplace.amazon.in</t>
  </si>
  <si>
    <t>407-7996134-8323526</t>
  </si>
  <si>
    <t>TVXRRswj9</t>
  </si>
  <si>
    <t>DKKbnsqCQB0VR</t>
  </si>
  <si>
    <t>2026-07-22T05:48:38+05:30</t>
  </si>
  <si>
    <t>2026-07-23T10:46:27+05:30</t>
  </si>
  <si>
    <t>2026-07-23T10:46:37+05:30</t>
  </si>
  <si>
    <t>2026-07-23T11:46:51+05:30</t>
  </si>
  <si>
    <t>2d7f7194kv00wcr@marketplace.amazon.in</t>
  </si>
  <si>
    <t>408-3811196-3977102</t>
  </si>
  <si>
    <t>T1tV2Cbv9</t>
  </si>
  <si>
    <t>D9r1TDqNQL06R</t>
  </si>
  <si>
    <t>2026-07-23T08:09:33+05:30</t>
  </si>
  <si>
    <t>2026-07-23T10:42:41+05:30</t>
  </si>
  <si>
    <t>2026-07-23T10:42:47+05:30</t>
  </si>
  <si>
    <t>2026-07-23T11:42:57+05:30</t>
  </si>
  <si>
    <t>96kj34b5rt732db@marketplace.amazon.in</t>
  </si>
  <si>
    <t>403-6846815-2781125</t>
  </si>
  <si>
    <t>TNLwyLbg9</t>
  </si>
  <si>
    <t>DP22nyq6Qh06R</t>
  </si>
  <si>
    <t>2026-07-23T08:44:26+05:30</t>
  </si>
  <si>
    <t>2026-07-23T10:32:43+05:30</t>
  </si>
  <si>
    <t>2026-07-23T13:32:54+05:30</t>
  </si>
  <si>
    <t>99wr2f9xk7l89t3@marketplace.amazon.in</t>
  </si>
  <si>
    <t>405-2930184-1237136</t>
  </si>
  <si>
    <t>TwzxmSZC9</t>
  </si>
  <si>
    <t>DFt7nKq4Qm0jR</t>
  </si>
  <si>
    <t>2026-07-22T23:52:54+05:30</t>
  </si>
  <si>
    <t>2026-07-23T10:29:51+05:30</t>
  </si>
  <si>
    <t>2026-07-23T13:30:13+05:30</t>
  </si>
  <si>
    <t>8cr3b9sp02jhcjp@marketplace.amazon.in</t>
  </si>
  <si>
    <t>403-0044614-0979505</t>
  </si>
  <si>
    <t>TCjr1TZR9</t>
  </si>
  <si>
    <t>DChrncq6Qp0FR</t>
  </si>
  <si>
    <t>2026-07-22T22:48:54+05:30</t>
  </si>
  <si>
    <t>2026-07-23T10:28:45+05:30</t>
  </si>
  <si>
    <t>2026-07-23T13:28:54+05:30</t>
  </si>
  <si>
    <t>sp2myw5ty50g89v@marketplace.amazon.in</t>
  </si>
  <si>
    <t>402-1150554-7306746</t>
  </si>
  <si>
    <t>T653zpZr9</t>
  </si>
  <si>
    <t>DLBzxTq4Qg0xR</t>
  </si>
  <si>
    <t>2026-07-22T20:26:17+05:30</t>
  </si>
  <si>
    <t>2026-07-23T10:19:45+05:30</t>
  </si>
  <si>
    <t>2026-07-23T13:19:56+05:30</t>
  </si>
  <si>
    <t>ht6x2pvy55bk14n@marketplace.amazon.in</t>
  </si>
  <si>
    <t>Lucknow</t>
  </si>
  <si>
    <t>405-8698877-7977139</t>
  </si>
  <si>
    <t>TnlbDSby9</t>
  </si>
  <si>
    <t>D53mx1qHQt0rR</t>
  </si>
  <si>
    <t>2026-07-23T07:47:10+05:30</t>
  </si>
  <si>
    <t>2026-07-23T10:17:43+05:30</t>
  </si>
  <si>
    <t>2026-07-23T13:18:01+05:30</t>
  </si>
  <si>
    <t>bb2ynfcz40pxjsk@marketplace.amazon.in</t>
  </si>
  <si>
    <t>405-4776605-7214755</t>
  </si>
  <si>
    <t>TJgFCthQ9</t>
  </si>
  <si>
    <t>DjjFxTq8Qk07R</t>
  </si>
  <si>
    <t>2026-07-20T11:02:24+05:30</t>
  </si>
  <si>
    <t>2026-07-23T10:16:53+05:30</t>
  </si>
  <si>
    <t>2026-07-23T13:17:05+05:30</t>
  </si>
  <si>
    <t>nxj1hkx688gh25g@marketplace.amazon.in</t>
  </si>
  <si>
    <t>Aluva</t>
  </si>
  <si>
    <t>Dpj4xCq6Qk07R</t>
  </si>
  <si>
    <t>Weight</t>
  </si>
  <si>
    <t>171-2381590-3602751</t>
  </si>
  <si>
    <t>Tgmlh8W89</t>
  </si>
  <si>
    <t>DnByxwqyQq0zR</t>
  </si>
  <si>
    <t>2026-07-22T03:49:46+05:30</t>
  </si>
  <si>
    <t>2026-07-23T10:13:43+05:30</t>
  </si>
  <si>
    <t>2026-07-23T13:13:55+05:30</t>
  </si>
  <si>
    <t>9937tpc1qf7d3n2@marketplace.amazon.in</t>
  </si>
  <si>
    <t>407-4584280-7000303</t>
  </si>
  <si>
    <t>TV1RYcbJ9</t>
  </si>
  <si>
    <t>DXs0xRqMQC04R</t>
  </si>
  <si>
    <t>2026-07-23T07:46:56+05:30</t>
  </si>
  <si>
    <t>2026-07-23T10:06:43+05:30</t>
  </si>
  <si>
    <t>2026-07-23T13:06:56+05:30</t>
  </si>
  <si>
    <t>1kyqvg0xgy0rcgp@marketplace.amazon.in</t>
  </si>
  <si>
    <t>171-3678322-7523530</t>
  </si>
  <si>
    <t>TcRpwvZp9</t>
  </si>
  <si>
    <t>DtSf34qDQC0yR</t>
  </si>
  <si>
    <t>2026-07-22T21:50:36+05:30</t>
  </si>
  <si>
    <t>2026-07-23T10:05:44+05:30</t>
  </si>
  <si>
    <t>2026-07-23T13:05:55+05:30</t>
  </si>
  <si>
    <t>m66svgn9wcrn41p@marketplace.amazon.in</t>
  </si>
  <si>
    <t>Veraval</t>
  </si>
  <si>
    <t>171-3158363-6793155</t>
  </si>
  <si>
    <t>TgP1HybF9</t>
  </si>
  <si>
    <t>DcS93CqkQC0yR</t>
  </si>
  <si>
    <t>2026-07-23T06:48:23+05:30</t>
  </si>
  <si>
    <t>2026-07-23T10:01:48+05:30</t>
  </si>
  <si>
    <t>2026-07-23T13:01:58+05:30</t>
  </si>
  <si>
    <t>khs6126sd2sm3l1@marketplace.amazon.in</t>
  </si>
  <si>
    <t>BERHAMPUR</t>
  </si>
  <si>
    <t>171-1985343-7463523</t>
  </si>
  <si>
    <t>TcmS75sh9</t>
  </si>
  <si>
    <t>DX3H3mqLQT0SR</t>
  </si>
  <si>
    <t>2026-07-14T15:45:29+05:30</t>
  </si>
  <si>
    <t>2026-07-23T10:01:00+05:30</t>
  </si>
  <si>
    <t>2026-07-23T13:01:17+05:30</t>
  </si>
  <si>
    <t>z330dh944tv69mg@marketplace.amazon.in</t>
  </si>
  <si>
    <t>407-2671970-5416309</t>
  </si>
  <si>
    <t>T1yfVmwN9</t>
  </si>
  <si>
    <t>Dx0Y39qCQ80PR</t>
  </si>
  <si>
    <t>CRM_AP_SKY_PACK OF 2</t>
  </si>
  <si>
    <t>2026-07-22T10:00:48+05:30</t>
  </si>
  <si>
    <t>2026-07-23T09:52:47+05:30</t>
  </si>
  <si>
    <t>2026-07-23T09:52:50+05:30</t>
  </si>
  <si>
    <t>2026-07-23T10:53:00+05:30</t>
  </si>
  <si>
    <t>mrx2yy1l8ncsmb8@marketplace.amazon.in</t>
  </si>
  <si>
    <t>171-3647806-6497110</t>
  </si>
  <si>
    <t>TNGL7QZZ9</t>
  </si>
  <si>
    <t>DTwXJwqlQW0rR</t>
  </si>
  <si>
    <t>2026-07-22T20:26:59+05:30</t>
  </si>
  <si>
    <t>2026-07-23T09:44:41+05:30</t>
  </si>
  <si>
    <t>2026-07-23T09:44:44+05:30</t>
  </si>
  <si>
    <t>2026-07-23T10:44:56+05:30</t>
  </si>
  <si>
    <t>9yjrfth6tpb7cyn@marketplace.amazon.in</t>
  </si>
  <si>
    <t>408-7160265-4961968</t>
  </si>
  <si>
    <t>TnnNh0Zp9</t>
  </si>
  <si>
    <t>CRM_AP_GREY_PACK OF 3</t>
  </si>
  <si>
    <t>Dzv0MsqzQj0fR</t>
  </si>
  <si>
    <t>2026-07-23T03:36:13+05:30</t>
  </si>
  <si>
    <t>2026-07-23T09:27:48+05:30</t>
  </si>
  <si>
    <t>2026-07-23T12:27:59+05:30</t>
  </si>
  <si>
    <t>2yd6ppx9rkqdq2l@marketplace.amazon.in</t>
  </si>
  <si>
    <t>CRASOME Water Dispenser 20 Liter Bottle Jar Cover (Black Pack of 2)</t>
  </si>
  <si>
    <t>CRM_AP_SKY_PACK OF 3</t>
  </si>
  <si>
    <t>404-7533114-9577928</t>
  </si>
  <si>
    <t>TVGmGLwn9</t>
  </si>
  <si>
    <t>D0hlMNqkQQ0SR</t>
  </si>
  <si>
    <t>2026-07-22T14:57:13+05:30</t>
  </si>
  <si>
    <t>2026-07-23T09:20:50+05:30</t>
  </si>
  <si>
    <t>2026-07-23T12:24:17+05:30</t>
  </si>
  <si>
    <t>pp5nfph219hhfg2@marketplace.amazon.in</t>
  </si>
  <si>
    <t>402-7892121-9504331</t>
  </si>
  <si>
    <t>TN5VzrZL9</t>
  </si>
  <si>
    <t>Dx581yq5QH09R</t>
  </si>
  <si>
    <t>2026-07-22T20:22:13+05:30</t>
  </si>
  <si>
    <t>2026-07-23T09:12:45+05:30</t>
  </si>
  <si>
    <t>2026-07-23T12:12:58+05:30</t>
  </si>
  <si>
    <t>nlt8nf91b3qfzgp@marketplace.amazon.in</t>
  </si>
  <si>
    <t>171-0938041-3225120</t>
  </si>
  <si>
    <t>TJVYSvZ69</t>
  </si>
  <si>
    <t>DGlH1Tq5Q40lR</t>
  </si>
  <si>
    <t>2026-07-23T00:12:15+05:30</t>
  </si>
  <si>
    <t>2026-07-23T09:12:42+05:30</t>
  </si>
  <si>
    <t>2026-07-23T12:12:54+05:30</t>
  </si>
  <si>
    <t>27ps5nfjpq213p0@marketplace.amazon.in</t>
  </si>
  <si>
    <t>NAGPUR</t>
  </si>
  <si>
    <t>402-1903477-5589129</t>
  </si>
  <si>
    <t>Tw0ytC9s9</t>
  </si>
  <si>
    <t>Dsl61cqXQ40lR</t>
  </si>
  <si>
    <t>2026-07-22T19:14:11+05:30</t>
  </si>
  <si>
    <t>2026-07-23T09:10:47+05:30</t>
  </si>
  <si>
    <t>2026-07-23T09:10:50+05:30</t>
  </si>
  <si>
    <t>2026-07-23T10:11:01+05:30</t>
  </si>
  <si>
    <t>l70mt6sy436f4gt@marketplace.amazon.in</t>
  </si>
  <si>
    <t>NANDIVARAM GUDUVANCHERI</t>
  </si>
  <si>
    <t>PS5_Grey</t>
  </si>
  <si>
    <t>403-9718222-4455566</t>
  </si>
  <si>
    <t>TGybHHwM9</t>
  </si>
  <si>
    <t>Dxhf1tqJQb0wR</t>
  </si>
  <si>
    <t>2026-07-22T09:42:24+05:30</t>
  </si>
  <si>
    <t>2026-07-23T09:08:46+05:30</t>
  </si>
  <si>
    <t>2026-07-23T09:08:49+05:30</t>
  </si>
  <si>
    <t>2026-07-23T10:08:59+05:30</t>
  </si>
  <si>
    <t>ggmdhqwvkmnnhjp@marketplace.amazon.in</t>
  </si>
  <si>
    <t>406-7525450-1236325</t>
  </si>
  <si>
    <t>TJQ9H5wB9</t>
  </si>
  <si>
    <t>DTl91bqLQ40lR</t>
  </si>
  <si>
    <t>2026-07-22T08:39:03+05:30</t>
  </si>
  <si>
    <t>2026-07-23T09:01:54+05:30</t>
  </si>
  <si>
    <t>2026-07-23T12:02:10+05:30</t>
  </si>
  <si>
    <t>36zlp5nyjz18k0j@marketplace.amazon.in</t>
  </si>
  <si>
    <t>OTHAKADAI</t>
  </si>
  <si>
    <t>CRM_1_METER_Black</t>
  </si>
  <si>
    <t>404-6667720-2329146</t>
  </si>
  <si>
    <t>TgNB0DZd9</t>
  </si>
  <si>
    <t>DphG10qhQZ0wR</t>
  </si>
  <si>
    <t>CRM_L3110_L3200</t>
  </si>
  <si>
    <t>2026-07-22T23:35:51+05:30</t>
  </si>
  <si>
    <t>2026-07-23T09:01:46+05:30</t>
  </si>
  <si>
    <t>2026-07-23T12:02:03+05:30</t>
  </si>
  <si>
    <t>d69z0gjqtrsdjmr@marketplace.amazon.in</t>
  </si>
  <si>
    <t>CRM_L3110_L3210</t>
  </si>
  <si>
    <t>CRM_L3110_L3211</t>
  </si>
  <si>
    <t>404-7380847-3115508</t>
  </si>
  <si>
    <t>TJ2FvnZ99</t>
  </si>
  <si>
    <t>DMwF7nqSQY0TR</t>
  </si>
  <si>
    <t>CRM_L3110_L3216</t>
  </si>
  <si>
    <t>2026-07-22T21:17:13+05:30</t>
  </si>
  <si>
    <t>2026-07-23T08:45:42+05:30</t>
  </si>
  <si>
    <t>2026-07-23T11:45:53+05:30</t>
  </si>
  <si>
    <t>7qxq6zqmrf4b3r6@marketplace.amazon.in</t>
  </si>
  <si>
    <t>CRM_L3110_L3250</t>
  </si>
  <si>
    <t>NELLORE</t>
  </si>
  <si>
    <t>CRM_L3110_L3251</t>
  </si>
  <si>
    <t>171-0457000-1321934</t>
  </si>
  <si>
    <t>TNkRDdZh9</t>
  </si>
  <si>
    <t>DjXdBRqwQD03R</t>
  </si>
  <si>
    <t>2026-07-22T21:19:04+05:30</t>
  </si>
  <si>
    <t>2026-07-23T04:46:44+05:30</t>
  </si>
  <si>
    <t>2026-07-23T07:46:55+05:30</t>
  </si>
  <si>
    <t>3rr3nkc208gghb2@marketplace.amazon.in</t>
  </si>
  <si>
    <t>CRM_L3110_L3252</t>
  </si>
  <si>
    <t>CRM_L3110_L3256</t>
  </si>
  <si>
    <t>404-6331740-5722732</t>
  </si>
  <si>
    <t>TgfXlKZp9</t>
  </si>
  <si>
    <t>D9XBBvqSQ803R</t>
  </si>
  <si>
    <t>2026-07-22T23:08:45+05:30</t>
  </si>
  <si>
    <t>2026-07-23T04:38:45+05:30</t>
  </si>
  <si>
    <t>CRM_L3110_L3260</t>
  </si>
  <si>
    <t>2026-07-23T07:38:56+05:30</t>
  </si>
  <si>
    <t>zy0xbmrwp79t03q@marketplace.amazon.in</t>
  </si>
  <si>
    <t>EP_L3110</t>
  </si>
  <si>
    <t>ANANTAPUR</t>
  </si>
  <si>
    <t>EP_L3110_L3210</t>
  </si>
  <si>
    <t>402-2046449-3958740</t>
  </si>
  <si>
    <t>TCBHS9hK9</t>
  </si>
  <si>
    <t>DRyZB1q5Ql0dR</t>
  </si>
  <si>
    <t>2026-07-20T08:10:33+05:30</t>
  </si>
  <si>
    <t>2026-07-23T04:37:47+05:30</t>
  </si>
  <si>
    <t>2026-07-23T07:37:57+05:30</t>
  </si>
  <si>
    <t>rlp7vlv5b205zqy@marketplace.amazon.in</t>
  </si>
  <si>
    <t>EP_L3110_L3250</t>
  </si>
  <si>
    <t>Adalaj</t>
  </si>
  <si>
    <t>EP_L3115</t>
  </si>
  <si>
    <t>EP_L3150</t>
  </si>
  <si>
    <t>404-3451515-8386753</t>
  </si>
  <si>
    <t>TGm7ckZX9</t>
  </si>
  <si>
    <t>DZQxBGqGQ709R</t>
  </si>
  <si>
    <t>2026-07-22T20:10:50+05:30</t>
  </si>
  <si>
    <t>2026-07-23T04:34:44+05:30</t>
  </si>
  <si>
    <t>2026-07-23T07:34:52+05:30</t>
  </si>
  <si>
    <t>EP_L6160</t>
  </si>
  <si>
    <t>v7xm29d4y9gv1wk@marketplace.amazon.in</t>
  </si>
  <si>
    <t>EP_L6160_1</t>
  </si>
  <si>
    <t>BR_DCP T820DW</t>
  </si>
  <si>
    <t>403-1798170-2529947</t>
  </si>
  <si>
    <t>TnKxFLwh9</t>
  </si>
  <si>
    <t>Dqw6BHqZQ70GR</t>
  </si>
  <si>
    <t>BR_T510W_1</t>
  </si>
  <si>
    <t>2026-07-22T12:28:06+05:30</t>
  </si>
  <si>
    <t>2026-07-23T04:34:01+05:30</t>
  </si>
  <si>
    <t>2026-07-23T07:34:17+05:30</t>
  </si>
  <si>
    <t>q2j30gs97rzwqyr@marketplace.amazon.in</t>
  </si>
  <si>
    <t>BR_T710W</t>
  </si>
  <si>
    <t>Kozhikode District</t>
  </si>
  <si>
    <t>BR-L2321D</t>
  </si>
  <si>
    <t>BR-L2321D/1</t>
  </si>
  <si>
    <t>407-4645160-7777915</t>
  </si>
  <si>
    <t>Tn8qzp9D9</t>
  </si>
  <si>
    <t>DxZ5BcqmQL0tR</t>
  </si>
  <si>
    <t>2026-07-21T11:00:56+05:30</t>
  </si>
  <si>
    <t>2026-07-23T04:32:44+05:30</t>
  </si>
  <si>
    <t>2026-07-23T04:32:48+05:30</t>
  </si>
  <si>
    <t>2026-07-23T05:32:59+05:30</t>
  </si>
  <si>
    <t>4lfdwl0xjng4zjk@marketplace.amazon.in</t>
  </si>
  <si>
    <t>BR-L2321D/2</t>
  </si>
  <si>
    <t>BR-L2520D/1</t>
  </si>
  <si>
    <t>SALEM</t>
  </si>
  <si>
    <t>Bro-L2520D</t>
  </si>
  <si>
    <t>Canon _G3000</t>
  </si>
  <si>
    <t>171-4625643-8844351</t>
  </si>
  <si>
    <t>TGZSyDZJ9</t>
  </si>
  <si>
    <t>DyZjBVqtQL0tR</t>
  </si>
  <si>
    <t>2026-07-22T19:34:26+05:30</t>
  </si>
  <si>
    <t>2026-07-23T04:31:45+05:30</t>
  </si>
  <si>
    <t>2026-07-23T07:31:56+05:30</t>
  </si>
  <si>
    <t>8tnh7qg0mmxm3kg@marketplace.amazon.in</t>
  </si>
  <si>
    <t>CANON G</t>
  </si>
  <si>
    <t>Nutakki village</t>
  </si>
  <si>
    <t>Andhra pradesh</t>
  </si>
  <si>
    <t>CANON G / 1</t>
  </si>
  <si>
    <t>Canon_G2000</t>
  </si>
  <si>
    <t>402-8168515-6359516</t>
  </si>
  <si>
    <t>TXR7xLZY9</t>
  </si>
  <si>
    <t>DBQZBwqHQ709R</t>
  </si>
  <si>
    <t>2026-07-22T22:24:27+05:30</t>
  </si>
  <si>
    <t>2026-07-23T04:28:44+05:30</t>
  </si>
  <si>
    <t>BR_L2541DW_3</t>
  </si>
  <si>
    <t>2026-07-23T07:28:55+05:30</t>
  </si>
  <si>
    <t>wjh8btv7s5nfqpp@marketplace.amazon.in</t>
  </si>
  <si>
    <t>BR-L2541DW</t>
  </si>
  <si>
    <t>BR-L2541DW/1</t>
  </si>
  <si>
    <t>402-1095225-2605131</t>
  </si>
  <si>
    <t>TwQBtFZy9</t>
  </si>
  <si>
    <t>BR-L2541DW/2</t>
  </si>
  <si>
    <t>DThq9ZqfQM06R</t>
  </si>
  <si>
    <t>2026-07-22T22:18:30+05:30</t>
  </si>
  <si>
    <t>2026-07-23T04:19:39+05:30</t>
  </si>
  <si>
    <t>2026-07-23T04:19:42+05:30</t>
  </si>
  <si>
    <t>2026-07-23T05:19:53+05:30</t>
  </si>
  <si>
    <t>x5nt9hwp5r0z2jt@marketplace.amazon.in</t>
  </si>
  <si>
    <t>Canon_2900B</t>
  </si>
  <si>
    <t>Canon_E4270</t>
  </si>
  <si>
    <t>CANON_E410</t>
  </si>
  <si>
    <t>407-6278317-8936300</t>
  </si>
  <si>
    <t>TJxG10Zg9</t>
  </si>
  <si>
    <t>DBmr4QqWQg01R</t>
  </si>
  <si>
    <t>2026-07-22T22:06:51+05:30</t>
  </si>
  <si>
    <t>2026-07-23T04:05:45+05:30</t>
  </si>
  <si>
    <t>2026-07-23T07:05:57+05:30</t>
  </si>
  <si>
    <t>Canon_E460</t>
  </si>
  <si>
    <t>t6gv85dr8lsck43@marketplace.amazon.in</t>
  </si>
  <si>
    <t>EMG_2</t>
  </si>
  <si>
    <t>EMG_3</t>
  </si>
  <si>
    <t>EMG_4</t>
  </si>
  <si>
    <t>404-3013213-8130706</t>
  </si>
  <si>
    <t>Twpss4ZX9</t>
  </si>
  <si>
    <t>DYfk4pqYQZ0LR</t>
  </si>
  <si>
    <t>2026-07-22T21:22:05+05:30</t>
  </si>
  <si>
    <t>2026-07-23T03:51:44+05:30</t>
  </si>
  <si>
    <t>2026-07-23T03:51:47+05:30</t>
  </si>
  <si>
    <t>2026-07-23T04:51:58+05:30</t>
  </si>
  <si>
    <t>lwkkgp55zw3zj6k@marketplace.amazon.in</t>
  </si>
  <si>
    <t>HP_2622</t>
  </si>
  <si>
    <t>CHANDIGARH</t>
  </si>
  <si>
    <t>HP2_1</t>
  </si>
  <si>
    <t>HP2_2</t>
  </si>
  <si>
    <t>407-3849865-9182751</t>
  </si>
  <si>
    <t>TnNXRybY9</t>
  </si>
  <si>
    <t>DB0c4ZqhQD0YR</t>
  </si>
  <si>
    <t>2026-07-22T21:55:55+05:30</t>
  </si>
  <si>
    <t>HP2_3</t>
  </si>
  <si>
    <t>2026-07-23T03:50:49+05:30</t>
  </si>
  <si>
    <t>2026-07-23T06:51:03+05:30</t>
  </si>
  <si>
    <t>tpmdcpzp76k39sc@marketplace.amazon.in</t>
  </si>
  <si>
    <t>HP_4123</t>
  </si>
  <si>
    <t>Canon_G2010</t>
  </si>
  <si>
    <t>407-9775934-3663526</t>
  </si>
  <si>
    <t>TVYrVz669</t>
  </si>
  <si>
    <t>Canon_G4010</t>
  </si>
  <si>
    <t>Dglz4dqQQB0nR</t>
  </si>
  <si>
    <t>2026-07-20T16:31:14+05:30</t>
  </si>
  <si>
    <t>2026-07-23T03:50:45+05:30</t>
  </si>
  <si>
    <t>2026-07-23T06:50:56+05:30</t>
  </si>
  <si>
    <t>zvtwsfwcnbygj2p@marketplace.amazon.in</t>
  </si>
  <si>
    <t>EP_L130</t>
  </si>
  <si>
    <t>KRISHNARAJANAGARA</t>
  </si>
  <si>
    <t>EP_L380</t>
  </si>
  <si>
    <t>171-5103121-8441105</t>
  </si>
  <si>
    <t>T1rkjFh19</t>
  </si>
  <si>
    <t>D64qHjq3Qy05R</t>
  </si>
  <si>
    <t>2026-07-20T12:48:34+05:30</t>
  </si>
  <si>
    <t>Ep_L5190</t>
  </si>
  <si>
    <t>2026-07-23T03:46:46+05:30</t>
  </si>
  <si>
    <t>2026-07-23T06:46:58+05:30</t>
  </si>
  <si>
    <t>t5wsdx5yvg76k1d@marketplace.amazon.in</t>
  </si>
  <si>
    <t>EP_L805</t>
  </si>
  <si>
    <t>HP_1020 Plus</t>
  </si>
  <si>
    <t>402-7771291-3449939</t>
  </si>
  <si>
    <t>TGNSBNWt9</t>
  </si>
  <si>
    <t>Dfr5Hhq6Q70VR</t>
  </si>
  <si>
    <t>HP_126_136</t>
  </si>
  <si>
    <t>2026-07-21T19:41:10+05:30</t>
  </si>
  <si>
    <t>2026-07-23T03:32:43+05:30</t>
  </si>
  <si>
    <t>CRASOME Water Dispenser 20 Liter Bottle Jar Cover (Grey Pack of 2)</t>
  </si>
  <si>
    <t>2026-07-23T06:32:54+05:30</t>
  </si>
  <si>
    <t>b8jvbdvjlfywvt3@marketplace.amazon.in</t>
  </si>
  <si>
    <t>HP_M126nw</t>
  </si>
  <si>
    <t>M_126nw</t>
  </si>
  <si>
    <t>402-3739153-5900329</t>
  </si>
  <si>
    <t>TNNwQ0Zy9</t>
  </si>
  <si>
    <t>DQS6bMqNQg0KR</t>
  </si>
  <si>
    <t>HP_3 4_316</t>
  </si>
  <si>
    <t>2026-07-22T21:15:59+05:30</t>
  </si>
  <si>
    <t>2026-07-23T03:30:50+05:30</t>
  </si>
  <si>
    <t>2026-07-23T06:31:02+05:30</t>
  </si>
  <si>
    <t>dwd5gr8y8p4w5h5@marketplace.amazon.in</t>
  </si>
  <si>
    <t>HP_319</t>
  </si>
  <si>
    <t>HP_4</t>
  </si>
  <si>
    <t>406-6581519-4380329</t>
  </si>
  <si>
    <t>T6dGdYwv9</t>
  </si>
  <si>
    <t>HP_419</t>
  </si>
  <si>
    <t>Dqc3bTqKQ20cR</t>
  </si>
  <si>
    <t>2026-07-22T12:41:04+05:30</t>
  </si>
  <si>
    <t>2026-07-23T03:24:39+05:30</t>
  </si>
  <si>
    <t>2026-07-23T03:24:41+05:30</t>
  </si>
  <si>
    <t>2026-07-23T04:24:52+05:30</t>
  </si>
  <si>
    <t>yvns7r5ytxrh4fr@marketplace.amazon.in</t>
  </si>
  <si>
    <t>Hp_3835</t>
  </si>
  <si>
    <t>HP_4729</t>
  </si>
  <si>
    <t>404-5650044-8349155</t>
  </si>
  <si>
    <t>TNBvSzws9</t>
  </si>
  <si>
    <t>HP_5085</t>
  </si>
  <si>
    <t>DgF7k8q4Qn0tR</t>
  </si>
  <si>
    <t>2026-07-22T11:08:17+05:30</t>
  </si>
  <si>
    <t>2026-07-23T03:17:12+05:30</t>
  </si>
  <si>
    <t>2026-07-23T06:17:24+05:30</t>
  </si>
  <si>
    <t>4h7djmq55htmsxg@marketplace.amazon.in</t>
  </si>
  <si>
    <t>HP_515</t>
  </si>
  <si>
    <t>VIJAYAWADA RURAL</t>
  </si>
  <si>
    <t>HP_530</t>
  </si>
  <si>
    <t>407-8600856-0509144</t>
  </si>
  <si>
    <t>HP_M1005</t>
  </si>
  <si>
    <t>T1vfV6Ww9</t>
  </si>
  <si>
    <t>DDrvkmqyQV0yR</t>
  </si>
  <si>
    <t>2026-07-21T22:25:14+05:30</t>
  </si>
  <si>
    <t>2026-07-23T02:59:39+05:30</t>
  </si>
  <si>
    <t>2026-07-23T05:59:51+05:30</t>
  </si>
  <si>
    <t>frlt9dtfs17l961@marketplace.amazon.in</t>
  </si>
  <si>
    <t>HP_M1136</t>
  </si>
  <si>
    <t>kannauj</t>
  </si>
  <si>
    <t>HP_P1108</t>
  </si>
  <si>
    <t>Ipad 10.2 Black</t>
  </si>
  <si>
    <t>407-2770243-1099533</t>
  </si>
  <si>
    <t>T34cNQ9x9</t>
  </si>
  <si>
    <t>D3vzNQqdQh0hR</t>
  </si>
  <si>
    <t>2026-07-21T11:16:19+05:30</t>
  </si>
  <si>
    <t>2026-07-23T02:59:24+05:30</t>
  </si>
  <si>
    <t>2026-07-23T05:59:36+05:30</t>
  </si>
  <si>
    <t>wl6yqnskbqf1c87@marketplace.amazon.in</t>
  </si>
  <si>
    <t>Ipad 10.2 Blue</t>
  </si>
  <si>
    <t>KARAMADAI</t>
  </si>
  <si>
    <t>Ipad 10.2 Brown</t>
  </si>
  <si>
    <t>Ipad 10.2 Red</t>
  </si>
  <si>
    <t>407-8203836-7860335</t>
  </si>
  <si>
    <t>TJSQCKwJ9</t>
  </si>
  <si>
    <t>DyLZN4q2QD0xR</t>
  </si>
  <si>
    <t>2026-07-22T16:31:17+05:30</t>
  </si>
  <si>
    <t>2026-07-23T02:41:44+05:30</t>
  </si>
  <si>
    <t>2026-07-23T05:41:57+05:30</t>
  </si>
  <si>
    <t>frvjm0tr92n4svb@marketplace.amazon.in</t>
  </si>
  <si>
    <t>T510</t>
  </si>
  <si>
    <t>T510 Brown</t>
  </si>
  <si>
    <t>SALIGAO</t>
  </si>
  <si>
    <t>T510 Purple</t>
  </si>
  <si>
    <t>Tab T510 Black</t>
  </si>
  <si>
    <t>DMLTN4q2QD0xR</t>
  </si>
  <si>
    <t>Tab T510 Brown</t>
  </si>
  <si>
    <t>Tab T510 Purple</t>
  </si>
  <si>
    <t>Tab T510 Red</t>
  </si>
  <si>
    <t>DzLYN4q2QD0xR</t>
  </si>
  <si>
    <t>CRM-IBC-SMALL-GREEN</t>
  </si>
  <si>
    <t>CRM-IBC-SMALL-RED</t>
  </si>
  <si>
    <t>DmLqNYqYQD0xR</t>
  </si>
  <si>
    <t>CRM-IBC-SMALL-SKYBLUE</t>
  </si>
  <si>
    <t>CRM-IBC-SMALL-TAN</t>
  </si>
  <si>
    <t>CRM-IBC- MEDIUM-TAN</t>
  </si>
  <si>
    <t>171-1845664-3601969</t>
  </si>
  <si>
    <t>Tnlzkqws9</t>
  </si>
  <si>
    <t>Dq8jRmqYQW0VR</t>
  </si>
  <si>
    <t>2026-07-21T11:29:55+05:30</t>
  </si>
  <si>
    <t>2026-07-23T02:31:47+05:30</t>
  </si>
  <si>
    <t>CRM-IBC- MEDIUM-SKYBLUE</t>
  </si>
  <si>
    <t>2026-07-23T05:31:56+05:30</t>
  </si>
  <si>
    <t>CRM-IBC- MEDIUM-RED</t>
  </si>
  <si>
    <t>CRM-IBC-MEDIUM-GREEN</t>
  </si>
  <si>
    <t>171-4987100-6391508</t>
  </si>
  <si>
    <t>TGKzjzW79</t>
  </si>
  <si>
    <t>D0x1h2PYQf0zR</t>
  </si>
  <si>
    <t>2026-07-22T06:04:46+05:30</t>
  </si>
  <si>
    <t>2026-07-23T02:13:48+05:30</t>
  </si>
  <si>
    <t>2026-07-23T05:14:00+05:30</t>
  </si>
  <si>
    <t>d9tvxq0c5sn0cvd@marketplace.amazon.in</t>
  </si>
  <si>
    <t>CRM-IBC-LARGE-TAN</t>
  </si>
  <si>
    <t>ULLAL</t>
  </si>
  <si>
    <t>CRM-IBC-LARGE-SKYBLUE</t>
  </si>
  <si>
    <t>CRM-IBC-LARGE-RED</t>
  </si>
  <si>
    <t>403-2540406-5091569</t>
  </si>
  <si>
    <t>TVyrFD6N9</t>
  </si>
  <si>
    <t>Dkd0hkP2QB0QR</t>
  </si>
  <si>
    <t>2026-07-20T15:15:07+05:30</t>
  </si>
  <si>
    <t>2026-07-23T02:11:49+05:30</t>
  </si>
  <si>
    <t>2026-07-23T05:12:00+05:30</t>
  </si>
  <si>
    <t>zx6gg6skq2xjfkm@marketplace.amazon.in</t>
  </si>
  <si>
    <t>CRM-IBC-LARGE-GREEN</t>
  </si>
  <si>
    <t>CRM-LC-1680-13.3</t>
  </si>
  <si>
    <t>RUDRAPUR</t>
  </si>
  <si>
    <t>CRM-LC-1680-14</t>
  </si>
  <si>
    <t>406-6218450-1961957</t>
  </si>
  <si>
    <t>CRM-HP-21.5-LCD-Black</t>
  </si>
  <si>
    <t>TGNTNfZB9</t>
  </si>
  <si>
    <t>D0CXfjP9QY0KR</t>
  </si>
  <si>
    <t>2026-07-22T19:33:16+05:30</t>
  </si>
  <si>
    <t>2026-07-23T01:53:46+05:30</t>
  </si>
  <si>
    <t>2026-07-23T04:53:57+05:30</t>
  </si>
  <si>
    <t>jc4zq3mkntrlwfc@marketplace.amazon.in</t>
  </si>
  <si>
    <t>CRM-HP-21.5-LCD-Grey</t>
  </si>
  <si>
    <t>CRM-DELL-21.5-LCD-Black</t>
  </si>
  <si>
    <t>171-8846698-2200353</t>
  </si>
  <si>
    <t>TgPtr3Zr9</t>
  </si>
  <si>
    <t>D68WZvP6Q00YR</t>
  </si>
  <si>
    <t>2026-07-22T21:17:59+05:30</t>
  </si>
  <si>
    <t>2026-07-23T01:28:46+05:30</t>
  </si>
  <si>
    <t>2026-07-23T04:29:01+05:30</t>
  </si>
  <si>
    <t>CRM-DELL-21.5-LCD-Grey</t>
  </si>
  <si>
    <t>9f9vxg1lw1d5625@marketplace.amazon.in</t>
  </si>
  <si>
    <t>GANDHINAGAR</t>
  </si>
  <si>
    <t>CRM-LG-21.5-LCD-Black</t>
  </si>
  <si>
    <t>CRM-LG-21.5-LCD-Grey</t>
  </si>
  <si>
    <t>406-6107655-6001943</t>
  </si>
  <si>
    <t>TwqXQ5Z89</t>
  </si>
  <si>
    <t>Dt9CZqPDQ00vR</t>
  </si>
  <si>
    <t>2026-07-22T20:01:17+05:30</t>
  </si>
  <si>
    <t>2026-07-23T01:27:48+05:30</t>
  </si>
  <si>
    <t>2026-07-23T04:31:22+05:30</t>
  </si>
  <si>
    <t>CRM-HP-22-LCD-Black</t>
  </si>
  <si>
    <t>kznp6x8wncgm4n4@marketplace.amazon.in</t>
  </si>
  <si>
    <t>CRM-HP-22-LCD-Grey</t>
  </si>
  <si>
    <t>Thrissur</t>
  </si>
  <si>
    <t>DELL-22-LCD-Black</t>
  </si>
  <si>
    <t>CRM-DELL-22-LCD-Grey</t>
  </si>
  <si>
    <t>408-0260432-0649108</t>
  </si>
  <si>
    <t>T3nDsCZ19</t>
  </si>
  <si>
    <t>DGWxZSPhQb0hR</t>
  </si>
  <si>
    <t>2026-07-22T21:15:49+05:30</t>
  </si>
  <si>
    <t>2026-07-23T01:26:50+05:30</t>
  </si>
  <si>
    <t>2026-07-23T04:27:01+05:30</t>
  </si>
  <si>
    <t>ch3ggbkdk8w0t6z@marketplace.amazon.in</t>
  </si>
  <si>
    <t>CRM-LG-22-LCD-Black</t>
  </si>
  <si>
    <t>CRM-LG-22-LCD-Grey</t>
  </si>
  <si>
    <t>CRM-HP-24-LCD-Black</t>
  </si>
  <si>
    <t>407-0861027-1482744</t>
  </si>
  <si>
    <t>TVhkqd9Y9</t>
  </si>
  <si>
    <t>DMJjqPPNQs0ZR</t>
  </si>
  <si>
    <t>2026-07-21T19:50:14+05:30</t>
  </si>
  <si>
    <t>2026-07-23T01:01:43+05:30</t>
  </si>
  <si>
    <t>2026-07-23T04:01:56+05:30</t>
  </si>
  <si>
    <t>CRM-HP-24-LCD-Grey</t>
  </si>
  <si>
    <t>qyrp09rxxc65hzj@marketplace.amazon.in</t>
  </si>
  <si>
    <t>CRM-DELL-24-LCD-Black</t>
  </si>
  <si>
    <t>Mira road</t>
  </si>
  <si>
    <t>CRM-DELL-24-LCD-Grey</t>
  </si>
  <si>
    <t>171-0563020-5745934</t>
  </si>
  <si>
    <t>CRM-LG-24-LCD-Black</t>
  </si>
  <si>
    <t>Tgtjf5wb9</t>
  </si>
  <si>
    <t>DsJmq2P3Q60ZR</t>
  </si>
  <si>
    <t>2026-07-22T18:10:26+05:30</t>
  </si>
  <si>
    <t>2026-07-23T00:58:47+05:30</t>
  </si>
  <si>
    <t>2026-07-23T03:59:01+05:30</t>
  </si>
  <si>
    <t>6gq6twbfwj2bwr3@marketplace.amazon.in</t>
  </si>
  <si>
    <t>CRM-LG-24-LCD-Grey</t>
  </si>
  <si>
    <t>CRM-HP-27-LCD-Black</t>
  </si>
  <si>
    <t>171-0857171-9157908</t>
  </si>
  <si>
    <t>TXF7y2wk9</t>
  </si>
  <si>
    <t>D7v25jPfQM0WR</t>
  </si>
  <si>
    <t>CRM-HP-27-LCD-Grey</t>
  </si>
  <si>
    <t>2026-07-22T10:44:50+05:30</t>
  </si>
  <si>
    <t>2026-07-23T00:55:46+05:30</t>
  </si>
  <si>
    <t>2026-07-23T03:56:03+05:30</t>
  </si>
  <si>
    <t>xjqldlb3z9st9j7@marketplace.amazon.in</t>
  </si>
  <si>
    <t>CRM-DELL-27-LCD-Black</t>
  </si>
  <si>
    <t>CRM-DELL-27-LCD-Grey</t>
  </si>
  <si>
    <t>DhFD5YPWQg0HR</t>
  </si>
  <si>
    <t>CRM-LG-27-LCD-Black</t>
  </si>
  <si>
    <t>CRM-LG-27-LCD-Grey</t>
  </si>
  <si>
    <t>CRM-LC-1680-15.6</t>
  </si>
  <si>
    <t>407-7621187-6887516</t>
  </si>
  <si>
    <t>TcYTmywR9</t>
  </si>
  <si>
    <t>D32D5tPWQ70nR</t>
  </si>
  <si>
    <t>2026-07-22T14:55:41+05:30</t>
  </si>
  <si>
    <t>2026-07-23T00:51:47+05:30</t>
  </si>
  <si>
    <t>2026-07-23T03:51:58+05:30</t>
  </si>
  <si>
    <t>cvpt57p14r7hv3v@marketplace.amazon.in</t>
  </si>
  <si>
    <t>PRAYAGRAJ</t>
  </si>
  <si>
    <t>CRM-21.5-LCD-GREY</t>
  </si>
  <si>
    <t>CRM-21.5-LCD-BLACK</t>
  </si>
  <si>
    <t>CRM-22-LCD-GREY</t>
  </si>
  <si>
    <t>CRM-22-LCD-BLACK</t>
  </si>
  <si>
    <t>CRM-24-LCD-GREY</t>
  </si>
  <si>
    <t>CRM-24-LCD-BLACK</t>
  </si>
  <si>
    <t>408-8378248-1821967</t>
  </si>
  <si>
    <t>CRM-27-LCD-GREY</t>
  </si>
  <si>
    <t>T13ZC1wG9</t>
  </si>
  <si>
    <t>DvlX55PRQm03R</t>
  </si>
  <si>
    <t>CRM-27-LCD-BLACK</t>
  </si>
  <si>
    <t>2026-07-22T16:27:15+05:30</t>
  </si>
  <si>
    <t>2026-07-23T00:41:43+05:30</t>
  </si>
  <si>
    <t>2026-07-23T00:41:46+05:30</t>
  </si>
  <si>
    <t>2026-07-23T01:41:57+05:30</t>
  </si>
  <si>
    <t>pw1jpz8gc5qdl9w@marketplace.amazon.in</t>
  </si>
  <si>
    <t>2026-07-23T08:00:00+05:30</t>
  </si>
  <si>
    <t>405-7252355-9195527</t>
  </si>
  <si>
    <t>T6k5DCZx9</t>
  </si>
  <si>
    <t>Dnqv5MPrQs0qR</t>
  </si>
  <si>
    <t>2026-07-22T20:58:53+05:30</t>
  </si>
  <si>
    <t>2026-07-23T00:38:48+05:30</t>
  </si>
  <si>
    <t>2026-07-23T03:39:07+05:30</t>
  </si>
  <si>
    <t>ds5dgz2mrs93k80@marketplace.amazon.in</t>
  </si>
  <si>
    <t>DC-TS-NW-Black</t>
  </si>
  <si>
    <t>CB1-15.6-Grey</t>
  </si>
  <si>
    <t>Crasome Water Dispenser for 20 ltr / Litre Bottle Jar Cover with Transparent Strap - Black (DC-TS-BLK)</t>
  </si>
  <si>
    <t>CB2-15.6-Grey</t>
  </si>
  <si>
    <t>405-0117959-5897950</t>
  </si>
  <si>
    <t>T6RfwtZC9</t>
  </si>
  <si>
    <t>D0pN5CPxQ303R</t>
  </si>
  <si>
    <t>CRM-CGB1-Black-Grey</t>
  </si>
  <si>
    <t>2026-07-22T21:49:34+05:30</t>
  </si>
  <si>
    <t>2026-07-23T00:37:46+05:30</t>
  </si>
  <si>
    <t>2026-07-23T03:37:59+05:30</t>
  </si>
  <si>
    <t>nltpb5w6jw3ngym@marketplace.amazon.in</t>
  </si>
  <si>
    <t>407-7117038-6324364</t>
  </si>
  <si>
    <t>Tgmx2xZS9</t>
  </si>
  <si>
    <t>Dw4ZgqPLQ708R</t>
  </si>
  <si>
    <t>2026-07-22T20:20:44+05:30</t>
  </si>
  <si>
    <t>2026-07-23T00:34:47+05:30</t>
  </si>
  <si>
    <t>2026-07-23T03:35:01+05:30</t>
  </si>
  <si>
    <t>tfp9b57q4bjvfd6@marketplace.amazon.in</t>
  </si>
  <si>
    <t>CRM-CTP1-GREY</t>
  </si>
  <si>
    <t>CB1-15.6-Grey-1</t>
  </si>
  <si>
    <t>CRM-CSB1-GREY-1</t>
  </si>
  <si>
    <t>CRM-CSB1-BLACK</t>
  </si>
  <si>
    <t>CGB2-BLUE</t>
  </si>
  <si>
    <t>CRM-CGB2-BLUE</t>
  </si>
  <si>
    <t>CGB2-MAROON</t>
  </si>
  <si>
    <t>CRM-CGB2-MAROON</t>
  </si>
  <si>
    <t>DN1ygTP9Q10yR</t>
  </si>
  <si>
    <t>CGB2-GREY</t>
  </si>
  <si>
    <t>CRM-CGB2-GREY</t>
  </si>
  <si>
    <t>CSB2-BLACK</t>
  </si>
  <si>
    <t>CRM-CSB2-BLK</t>
  </si>
  <si>
    <t>CRM-CSB3-BLACK</t>
  </si>
  <si>
    <t>CRM-CSB4-BLACK</t>
  </si>
  <si>
    <t>CRM-EP-L3252-NW-BLACK-1</t>
  </si>
  <si>
    <t>402-0356973-0881933</t>
  </si>
  <si>
    <t>TXJDsRZs9</t>
  </si>
  <si>
    <t>DNZBgSPfQw0NR</t>
  </si>
  <si>
    <t>2026-07-22T21:30:38+05:30</t>
  </si>
  <si>
    <t>2026-07-23T00:33:56+05:30</t>
  </si>
  <si>
    <t>2026-07-23T03:34:14+05:30</t>
  </si>
  <si>
    <t>51rj0ldjflmcqpx@marketplace.amazon.in</t>
  </si>
  <si>
    <t>CRM-CBP1-BLACK</t>
  </si>
  <si>
    <t>406-0547746-4812305</t>
  </si>
  <si>
    <t>TNgMCsw49</t>
  </si>
  <si>
    <t>Dq23g5PQQ40kR</t>
  </si>
  <si>
    <t>2026-07-22T13:31:09+05:30</t>
  </si>
  <si>
    <t>2026-07-23T00:33:05+05:30</t>
  </si>
  <si>
    <t>2026-07-23T03:33:18+05:30</t>
  </si>
  <si>
    <t>lb2mcyn0fp3gmhb@marketplace.amazon.in</t>
  </si>
  <si>
    <t>406-3879976-6026753</t>
  </si>
  <si>
    <t>TVy348Zh9</t>
  </si>
  <si>
    <t>DjRpggPMQ70sR</t>
  </si>
  <si>
    <t>2026-07-22T18:17:03+05:30</t>
  </si>
  <si>
    <t>2026-07-23T00:21:52+05:30</t>
  </si>
  <si>
    <t>2026-07-23T03:22:17+05:30</t>
  </si>
  <si>
    <t>fty215fhmmqp7sv@marketplace.amazon.in</t>
  </si>
  <si>
    <t>402-7121679-6318769</t>
  </si>
  <si>
    <t>TGqtlGwl9</t>
  </si>
  <si>
    <t>DMddX4PZQg0zR</t>
  </si>
  <si>
    <t>2026-07-22T16:54:57+05:30</t>
  </si>
  <si>
    <t>2026-07-22T23:48:46+05:30</t>
  </si>
  <si>
    <t>2026-07-23T02:48:59+05:30</t>
  </si>
  <si>
    <t>1dmjv1rpzgn8yks@marketplace.amazon.in</t>
  </si>
  <si>
    <t>panjim</t>
  </si>
  <si>
    <t>406-1292208-9133167</t>
  </si>
  <si>
    <t>T3xlH6ZT9</t>
  </si>
  <si>
    <t>D3SzpbPJQs0WR</t>
  </si>
  <si>
    <t>2026-07-22T19:37:34+05:30</t>
  </si>
  <si>
    <t>2026-07-22T23:27:54+05:30</t>
  </si>
  <si>
    <t>2026-07-23T02:28:06+05:30</t>
  </si>
  <si>
    <t>x3nv6xdr9hr8yp8@marketplace.amazon.in</t>
  </si>
  <si>
    <t>AMBARNATH</t>
  </si>
  <si>
    <t>403-3398758-6849918</t>
  </si>
  <si>
    <t>TNBC4cZ29</t>
  </si>
  <si>
    <t>DVt4pBP3Qm06R</t>
  </si>
  <si>
    <t>2026-07-22T21:27:31+05:30</t>
  </si>
  <si>
    <t>2026-07-22T23:26:44+05:30</t>
  </si>
  <si>
    <t>2026-07-23T02:26:58+05:30</t>
  </si>
  <si>
    <t>sw1mkgz0rc9px26@marketplace.amazon.in</t>
  </si>
  <si>
    <t>Mysore</t>
  </si>
  <si>
    <t>407-9392903-2921106</t>
  </si>
  <si>
    <t>T372L2ZW9</t>
  </si>
  <si>
    <t>DB3wpvPFQw0gR</t>
  </si>
  <si>
    <t>2026-07-22T20:12:46+05:30</t>
  </si>
  <si>
    <t>2026-07-22T23:25:45+05:30</t>
  </si>
  <si>
    <t>2026-07-23T02:25:56+05:30</t>
  </si>
  <si>
    <t>95339yzw4mw6bh9@marketplace.amazon.in</t>
  </si>
  <si>
    <t>171-3217373-1117936</t>
  </si>
  <si>
    <t>TVJYts9K9</t>
  </si>
  <si>
    <t>DLtvpfPbQm06R</t>
  </si>
  <si>
    <t>2026-07-21T14:52:11+05:30</t>
  </si>
  <si>
    <t>2026-07-22T23:21:48+05:30</t>
  </si>
  <si>
    <t>2026-07-23T02:22:01+05:30</t>
  </si>
  <si>
    <t>xb8wj5nvy1nnrvr@marketplace.amazon.in</t>
  </si>
  <si>
    <t>404-2531688-6474752</t>
  </si>
  <si>
    <t>T6xZfccf9</t>
  </si>
  <si>
    <t>DwhGpVPBQl0GR</t>
  </si>
  <si>
    <t>2026-07-19T01:31:01+05:30</t>
  </si>
  <si>
    <t>2026-07-22T23:19:51+05:30</t>
  </si>
  <si>
    <t>2026-07-23T02:20:07+05:30</t>
  </si>
  <si>
    <t>trvmlyc2042pjdy@marketplace.amazon.in</t>
  </si>
  <si>
    <t>CHAKAN</t>
  </si>
  <si>
    <t>406-9502303-9994723</t>
  </si>
  <si>
    <t>TGrTkSZN9</t>
  </si>
  <si>
    <t>DMrlpyPMQD0SR</t>
  </si>
  <si>
    <t>2026-07-22T18:13:19+05:30</t>
  </si>
  <si>
    <t>2026-07-22T23:16:44+05:30</t>
  </si>
  <si>
    <t>2026-07-23T02:16:56+05:30</t>
  </si>
  <si>
    <t>1gmgttt792z9njj@marketplace.amazon.in</t>
  </si>
  <si>
    <t>171-3323369-3669969</t>
  </si>
  <si>
    <t>TJnkH9Zp9</t>
  </si>
  <si>
    <t>DM79WPPMQy0YR</t>
  </si>
  <si>
    <t>2026-07-22T18:20:59+05:30</t>
  </si>
  <si>
    <t>2026-07-22T23:08:46+05:30</t>
  </si>
  <si>
    <t>2026-07-23T02:09:00+05:30</t>
  </si>
  <si>
    <t>8z9kfzg8w3w7lnz@marketplace.amazon.in</t>
  </si>
  <si>
    <t>404-4610269-0521926</t>
  </si>
  <si>
    <t>TXr1RJZV9</t>
  </si>
  <si>
    <t>DNCrWYPLQT0fR</t>
  </si>
  <si>
    <t>2026-07-22T18:18:28+05:30</t>
  </si>
  <si>
    <t>2026-07-22T23:01:54+05:30</t>
  </si>
  <si>
    <t>2026-07-23T02:02:06+05:30</t>
  </si>
  <si>
    <t>yz76csbxp3rtytr@marketplace.amazon.in</t>
  </si>
  <si>
    <t>403-2032987-1045924</t>
  </si>
  <si>
    <t>T3XdScwN9</t>
  </si>
  <si>
    <t>DcbPKQPCQ00QR</t>
  </si>
  <si>
    <t>2026-07-22T13:09:38+05:30</t>
  </si>
  <si>
    <t>2026-07-22T22:52:52+05:30</t>
  </si>
  <si>
    <t>2026-07-23T01:53:15+05:30</t>
  </si>
  <si>
    <t>smqkkkk510p7fkj@marketplace.amazon.in</t>
  </si>
  <si>
    <t>402-9683149-7577133</t>
  </si>
  <si>
    <t>TGfXRBZ39</t>
  </si>
  <si>
    <t>DtbQKqPJQ00QR</t>
  </si>
  <si>
    <t>2026-07-22T18:00:37+05:30</t>
  </si>
  <si>
    <t>2026-07-22T22:49:40+05:30</t>
  </si>
  <si>
    <t>2026-07-22T22:49:44+05:30</t>
  </si>
  <si>
    <t>2026-07-22T23:49:57+05:30</t>
  </si>
  <si>
    <t>hq3sxpj3ym2t5wl@marketplace.amazon.in</t>
  </si>
  <si>
    <t>407-0142680-9473906</t>
  </si>
  <si>
    <t>TJvQFYw09</t>
  </si>
  <si>
    <t>D9c6KtPjQK0BR</t>
  </si>
  <si>
    <t>2026-07-22T12:29:22+05:30</t>
  </si>
  <si>
    <t>2026-07-22T22:47:39+05:30</t>
  </si>
  <si>
    <t>2026-07-22T22:47:42+05:30</t>
  </si>
  <si>
    <t>2026-07-22T23:47:52+05:30</t>
  </si>
  <si>
    <t>ffztb717jw2tctp@marketplace.amazon.in</t>
  </si>
  <si>
    <t>407-7234671-4220306</t>
  </si>
  <si>
    <t>TwqckxZZ9</t>
  </si>
  <si>
    <t>DT5XmMP7Qd04R</t>
  </si>
  <si>
    <t>2026-07-22T18:22:12+05:30</t>
  </si>
  <si>
    <t>2026-07-22T22:34:42+05:30</t>
  </si>
  <si>
    <t>2026-07-22T22:34:45+05:30</t>
  </si>
  <si>
    <t>2026-07-22T23:34:56+05:30</t>
  </si>
  <si>
    <t>c4bs8cbvprq5bpd@marketplace.amazon.in</t>
  </si>
  <si>
    <t>MYSURU</t>
  </si>
  <si>
    <t>402-8761009-0737943</t>
  </si>
  <si>
    <t>TJf6xYw89</t>
  </si>
  <si>
    <t>DHfRmxPvQ80SR</t>
  </si>
  <si>
    <t>2026-07-22T11:03:22+05:30</t>
  </si>
  <si>
    <t>2026-07-22T22:28:44+05:30</t>
  </si>
  <si>
    <t>2026-07-22T22:28:47+05:30</t>
  </si>
  <si>
    <t>2026-07-22T23:29:02+05:30</t>
  </si>
  <si>
    <t>9n879fp79bwpkqs@marketplace.amazon.in</t>
  </si>
  <si>
    <t>Thiruvananthapuram</t>
  </si>
  <si>
    <t>404-4891782-8769120</t>
  </si>
  <si>
    <t>TgbtKlws9</t>
  </si>
  <si>
    <t>D2y90ZPDQc0pR</t>
  </si>
  <si>
    <t>2026-07-22T16:21:16+05:30</t>
  </si>
  <si>
    <t>2026-07-22T22:04:46+05:30</t>
  </si>
  <si>
    <t>2026-07-23T01:05:04+05:30</t>
  </si>
  <si>
    <t>4kf9sn76jb9xl8t@marketplace.amazon.in</t>
  </si>
  <si>
    <t>403-4485673-0295527</t>
  </si>
  <si>
    <t>TVMVV4wg9</t>
  </si>
  <si>
    <t>DDQH0pPCQt00R</t>
  </si>
  <si>
    <t>2026-07-22T10:26:16+05:30</t>
  </si>
  <si>
    <t>2026-07-22T21:59:45+05:30</t>
  </si>
  <si>
    <t>2026-07-23T00:59:57+05:30</t>
  </si>
  <si>
    <t>5085cdvsjrn2wcz@marketplace.amazon.in</t>
  </si>
  <si>
    <t>405-9441923-1193910</t>
  </si>
  <si>
    <t>T1drzBZy9</t>
  </si>
  <si>
    <t>Dpft01PCQF0tR</t>
  </si>
  <si>
    <t>2026-07-22T19:50:00+05:30</t>
  </si>
  <si>
    <t>2026-07-22T21:49:40+05:30</t>
  </si>
  <si>
    <t>2026-07-23T00:49:53+05:30</t>
  </si>
  <si>
    <t>h670xmsrqb72fwp@marketplace.amazon.in</t>
  </si>
  <si>
    <t>404-8260044-4498742</t>
  </si>
  <si>
    <t>T15HG7wD9</t>
  </si>
  <si>
    <t>DcndS7PcQq0dR</t>
  </si>
  <si>
    <t>2026-07-22T16:01:51+05:30</t>
  </si>
  <si>
    <t>2026-07-22T21:31:43+05:30</t>
  </si>
  <si>
    <t>2026-07-23T00:31:55+05:30</t>
  </si>
  <si>
    <t>ll9q274krxz57r7@marketplace.amazon.in</t>
  </si>
  <si>
    <t>402-3850048-1803535</t>
  </si>
  <si>
    <t>TJx03JwQ9</t>
  </si>
  <si>
    <t>D0T26nP7Q10ZR</t>
  </si>
  <si>
    <t>2026-07-22T12:56:19+05:30</t>
  </si>
  <si>
    <t>2026-07-22T21:23:44+05:30</t>
  </si>
  <si>
    <t>2026-07-23T00:24:00+05:30</t>
  </si>
  <si>
    <t>7hxbjy0fqqnbmvc@marketplace.amazon.in</t>
  </si>
  <si>
    <t>DC-TS-NW-Grey</t>
  </si>
  <si>
    <t>404-2539133-9168333</t>
  </si>
  <si>
    <t>TgqJy7Zh9</t>
  </si>
  <si>
    <t>DxmvdpPtQ403R</t>
  </si>
  <si>
    <t>2026-07-22T18:42:20+05:30</t>
  </si>
  <si>
    <t>2026-07-22T21:10:45+05:30</t>
  </si>
  <si>
    <t>2026-07-23T00:10:57+05:30</t>
  </si>
  <si>
    <t>w7sjj6ng7s3nnxg@marketplace.amazon.in</t>
  </si>
  <si>
    <t>SRINAGAR</t>
  </si>
  <si>
    <t>404-7472379-1134712</t>
  </si>
  <si>
    <t>TGMtfp9P9</t>
  </si>
  <si>
    <t>D114dQPsQK07R</t>
  </si>
  <si>
    <t>2026-07-21T20:10:19+05:30</t>
  </si>
  <si>
    <t>2026-07-22T21:09:44+05:30</t>
  </si>
  <si>
    <t>2026-07-23T00:09:58+05:30</t>
  </si>
  <si>
    <t>w7mr1qsrbfv8t27@marketplace.amazon.in</t>
  </si>
  <si>
    <t>WALCHANDNAGAR</t>
  </si>
  <si>
    <t>404-0370351-6611515</t>
  </si>
  <si>
    <t>TCz3hcw59</t>
  </si>
  <si>
    <t>DjJgdGPhQz0lR</t>
  </si>
  <si>
    <t>2026-07-22T18:13:13+05:30</t>
  </si>
  <si>
    <t>2026-07-22T21:05:41+05:30</t>
  </si>
  <si>
    <t>2026-07-23T00:05:52+05:30</t>
  </si>
  <si>
    <t>pfl25hs6wy89cqx@marketplace.amazon.in</t>
  </si>
  <si>
    <t>CRASOME Water Dispenser for 20 ltr/Litre Bottle Jar Cover with Transparent Strap - Grey (DC-TS-GRY)</t>
  </si>
  <si>
    <t>406-9522604-2020367</t>
  </si>
  <si>
    <t>TXQdkqZM9</t>
  </si>
  <si>
    <t>Product</t>
  </si>
  <si>
    <t>Dv9kdDP6QG0CR</t>
  </si>
  <si>
    <t>2026-07-22T18:29:42+05:30</t>
  </si>
  <si>
    <t>2026-07-22T21:03:44+05:30</t>
  </si>
  <si>
    <t>2026-07-22T21:03:48+05:30</t>
  </si>
  <si>
    <t>2026-07-22T22:03:59+05:30</t>
  </si>
  <si>
    <t>7pps66kqnps82wh@marketplace.amazon.in</t>
  </si>
  <si>
    <t>Small - Shipment Bag</t>
  </si>
  <si>
    <t>Confirmed</t>
  </si>
  <si>
    <t>Big - Shipment Bag</t>
  </si>
  <si>
    <t>Yes</t>
  </si>
  <si>
    <t>IBC</t>
  </si>
  <si>
    <t>171-8989150-2737911</t>
  </si>
  <si>
    <t>TS 01</t>
  </si>
  <si>
    <t>Tgjc6Q9d9</t>
  </si>
  <si>
    <t>DYNrG6P4QL0tR</t>
  </si>
  <si>
    <t>2026-07-21T15:39:54+05:30</t>
  </si>
  <si>
    <t>2026-07-22T20:58:49+05:30</t>
  </si>
  <si>
    <t>TS 02</t>
  </si>
  <si>
    <t>2026-07-22T23:59:07+05:30</t>
  </si>
  <si>
    <t>82rblglt74cxj27@marketplace.amazon.in</t>
  </si>
  <si>
    <t>LS</t>
  </si>
  <si>
    <t>LC</t>
  </si>
  <si>
    <t>LB</t>
  </si>
  <si>
    <t>QC-14 Inch</t>
  </si>
  <si>
    <t>QC-16 Inch</t>
  </si>
  <si>
    <t>407-6775796-4627554</t>
  </si>
  <si>
    <t>TVGvXcw09</t>
  </si>
  <si>
    <t>DtchGDP1Qh07R</t>
  </si>
  <si>
    <t xml:space="preserve">PS 5 </t>
  </si>
  <si>
    <t>2026-07-22T17:01:07+05:30</t>
  </si>
  <si>
    <t>2026-07-22T20:44:42+05:30</t>
  </si>
  <si>
    <t>2026-07-22T23:44:54+05:30</t>
  </si>
  <si>
    <t>jtj4lc0yw7tz2gg@marketplace.amazon.in</t>
  </si>
  <si>
    <t>sling bag</t>
  </si>
  <si>
    <t>171-7081271-8629927</t>
  </si>
  <si>
    <t>T3KKrPw79</t>
  </si>
  <si>
    <t>D8Z2tZP7QM0wR</t>
  </si>
  <si>
    <t>2026-07-22T12:07:58+05:30</t>
  </si>
  <si>
    <t>2026-07-22T20:29:45+05:30</t>
  </si>
  <si>
    <t>2026-07-22T20:29:49+05:30</t>
  </si>
  <si>
    <t>2026-07-22T21:30:04+05:30</t>
  </si>
  <si>
    <t>DQZ5twP7QM0wR</t>
  </si>
  <si>
    <t>405-8789025-1285917</t>
  </si>
  <si>
    <t>TnRpNfZV9</t>
  </si>
  <si>
    <t>Dl3JPjP4QD0jR</t>
  </si>
  <si>
    <t>2026-07-22T18:51:07+05:30</t>
  </si>
  <si>
    <t>2026-07-22T20:24:46+05:30</t>
  </si>
  <si>
    <t>2026-07-22T23:25:00+05:30</t>
  </si>
  <si>
    <t>0mqt2bz6wrsh655@marketplace.amazon.in</t>
  </si>
  <si>
    <t>408-0078121-8925904</t>
  </si>
  <si>
    <t>TVKMKwwK9</t>
  </si>
  <si>
    <t>DWWQP7PGQJ02R</t>
  </si>
  <si>
    <t>2026-07-22T16:59:02+05:30</t>
  </si>
  <si>
    <t>2026-07-22T20:12:48+05:30</t>
  </si>
  <si>
    <t>2026-07-22T23:12:59+05:30</t>
  </si>
  <si>
    <t>bxmy7x03nbt0y8l@marketplace.amazon.in</t>
  </si>
  <si>
    <t>408-9217027-3730704</t>
  </si>
  <si>
    <t>TCdMMMwy9</t>
  </si>
  <si>
    <t>DvYVPxPGQj0fR</t>
  </si>
  <si>
    <t>2026-07-22T11:54:59+05:30</t>
  </si>
  <si>
    <t>2026-07-22T20:11:45+05:30</t>
  </si>
  <si>
    <t>2026-07-22T20:11:47+05:30</t>
  </si>
  <si>
    <t>2026-07-22T21:11:59+05:30</t>
  </si>
  <si>
    <t>b8nbxl1sm31h6qx@marketplace.amazon.in</t>
  </si>
  <si>
    <t>AM007865655IN</t>
  </si>
  <si>
    <t>406-9412005-4560302</t>
  </si>
  <si>
    <t>TGsj0gWH9</t>
  </si>
  <si>
    <t>DlxlTdPrQc0wR</t>
  </si>
  <si>
    <t>2026-07-22T01:25:12+05:30</t>
  </si>
  <si>
    <t>2026-07-22T19:50:41+05:30</t>
  </si>
  <si>
    <t>2026-07-22T19:50:44+05:30</t>
  </si>
  <si>
    <t>2026-07-22T20:50:56+05:30</t>
  </si>
  <si>
    <t>z7q3ztdr19bykwt@marketplace.amazon.in</t>
  </si>
  <si>
    <t>BURLA</t>
  </si>
  <si>
    <t>408-8533954-6510722</t>
  </si>
  <si>
    <t>T67CLcw99</t>
  </si>
  <si>
    <t>DyLTnkPZQY0PR</t>
  </si>
  <si>
    <t>2026-07-22T12:44:37+05:30</t>
  </si>
  <si>
    <t>2026-07-22T19:33:45+05:30</t>
  </si>
  <si>
    <t>2026-07-22T22:33:57+05:30</t>
  </si>
  <si>
    <t>ph801y5p6v94tz0@marketplace.amazon.in</t>
  </si>
  <si>
    <t>405-6614877-8666762</t>
  </si>
  <si>
    <t>TN7QwhwX9</t>
  </si>
  <si>
    <t>DZLtxDPvQm0zR</t>
  </si>
  <si>
    <t>2026-07-21T22:04:39+05:30</t>
  </si>
  <si>
    <t>2026-07-22T19:23:43+05:30</t>
  </si>
  <si>
    <t>2026-07-22T19:23:46+05:30</t>
  </si>
  <si>
    <t>2026-07-22T20:23:58+05:30</t>
  </si>
  <si>
    <t>55l0jvd1x9wk22q@marketplace.amazon.in</t>
  </si>
  <si>
    <t>AM007866979IN</t>
  </si>
  <si>
    <t>405-2744920-7844368</t>
  </si>
  <si>
    <t>Tgtb2v9W9</t>
  </si>
  <si>
    <t>D5LPxsPWQj0zR</t>
  </si>
  <si>
    <t>2026-07-21T11:52:47+05:30</t>
  </si>
  <si>
    <t>2026-07-22T19:16:47+05:30</t>
  </si>
  <si>
    <t>2026-07-22T22:17:04+05:30</t>
  </si>
  <si>
    <t>mhskhqqxbkctlf9@marketplace.amazon.in</t>
  </si>
  <si>
    <t>407-3369658-3152301</t>
  </si>
  <si>
    <t>TJlvcbwh9</t>
  </si>
  <si>
    <t>Dj4Z3nPmQF01R</t>
  </si>
  <si>
    <t>2026-07-22T12:49:38+05:30</t>
  </si>
  <si>
    <t>2026-07-22T19:08:46+05:30</t>
  </si>
  <si>
    <t>2026-07-22T22:09:02+05:30</t>
  </si>
  <si>
    <t>hrrwvryn0lfdg8s@marketplace.amazon.in</t>
  </si>
  <si>
    <t>NAGOTHANA</t>
  </si>
  <si>
    <t>404-7599772-2022766</t>
  </si>
  <si>
    <t>TCtQ8Twg9</t>
  </si>
  <si>
    <t>DRg4JTPPQQ0QR</t>
  </si>
  <si>
    <t>2026-07-22T15:37:49+05:30</t>
  </si>
  <si>
    <t>2026-07-22T18:56:48+05:30</t>
  </si>
  <si>
    <t>2026-07-22T21:56:59+05:30</t>
  </si>
  <si>
    <t>b36tpg47w7hk0v0@marketplace.amazon.in</t>
  </si>
  <si>
    <t>407-4584886-1490762</t>
  </si>
  <si>
    <t>TNzZ9gWT9</t>
  </si>
  <si>
    <t>DnwdJDPBQG0SR</t>
  </si>
  <si>
    <t>2026-07-21T16:23:34+05:30</t>
  </si>
  <si>
    <t>2026-07-22T18:49:47+05:30</t>
  </si>
  <si>
    <t>2026-07-22T21:50:00+05:30</t>
  </si>
  <si>
    <t>127h25vh451lc4y@marketplace.amazon.in</t>
  </si>
  <si>
    <t>408-3970098-8320360</t>
  </si>
  <si>
    <t>TN6PfC969</t>
  </si>
  <si>
    <t>DRGbJzP3QH0NR</t>
  </si>
  <si>
    <t>2026-07-21T14:50:03+05:30</t>
  </si>
  <si>
    <t>2026-07-22T18:41:44+05:30</t>
  </si>
  <si>
    <t>2026-07-22T21:41:53+05:30</t>
  </si>
  <si>
    <t>38ngrdygv0wpn7p@marketplace.amazon.in</t>
  </si>
  <si>
    <t>407-3375963-3403515</t>
  </si>
  <si>
    <t>TGwhYgwn9</t>
  </si>
  <si>
    <t>Dg2wMZP4Qh01R</t>
  </si>
  <si>
    <t>2026-07-22T12:10:27+05:30</t>
  </si>
  <si>
    <t>2026-07-22T18:37:46+05:30</t>
  </si>
  <si>
    <t>2026-07-22T18:37:49+05:30</t>
  </si>
  <si>
    <t>2026-07-22T19:37:59+05:30</t>
  </si>
  <si>
    <t>lp9jfj0lm0h5z0d@marketplace.amazon.in</t>
  </si>
  <si>
    <t>171-2742188-7572364</t>
  </si>
  <si>
    <t>TJh8TQwN9</t>
  </si>
  <si>
    <t>DhRfM4P2QB0cR</t>
  </si>
  <si>
    <t>2026-07-22T14:17:51+05:30</t>
  </si>
  <si>
    <t>2026-07-22T18:27:47+05:30</t>
  </si>
  <si>
    <t>2026-07-22T21:27:57+05:30</t>
  </si>
  <si>
    <t>9cwzx03dm4lh6f5@marketplace.amazon.in</t>
  </si>
  <si>
    <t>WB</t>
  </si>
  <si>
    <t>404-8703014-4890761</t>
  </si>
  <si>
    <t>T1sHLNwX9</t>
  </si>
  <si>
    <t>DnGXMhPTQr0sR</t>
  </si>
  <si>
    <t>2026-07-22T10:34:49+05:30</t>
  </si>
  <si>
    <t>2026-07-22T18:23:50+05:30</t>
  </si>
  <si>
    <t>2026-07-22T21:24:06+05:30</t>
  </si>
  <si>
    <t>lxlbvkdfkrbxysp@marketplace.amazon.in</t>
  </si>
  <si>
    <t>403-5016267-7527539</t>
  </si>
  <si>
    <t>TVsHXSW69</t>
  </si>
  <si>
    <t>Dxgn1qPsQj0qR</t>
  </si>
  <si>
    <t>2026-07-21T16:53:32+05:30</t>
  </si>
  <si>
    <t>2026-07-22T18:16:45+05:30</t>
  </si>
  <si>
    <t>2026-07-22T21:16:56+05:30</t>
  </si>
  <si>
    <t>h8xx155knyd6hw3@marketplace.amazon.in</t>
  </si>
  <si>
    <t>NIDADAVOLE</t>
  </si>
  <si>
    <t>402-7190766-1539535</t>
  </si>
  <si>
    <t>TJ23F4979</t>
  </si>
  <si>
    <t>D82l1NP6Qx0KR</t>
  </si>
  <si>
    <t>2026-07-21T11:10:47+05:30</t>
  </si>
  <si>
    <t>2026-07-22T18:15:47+05:30</t>
  </si>
  <si>
    <t>2026-07-22T21:15:58+05:30</t>
  </si>
  <si>
    <t>qrkzt97ql7hmhjw@marketplace.amazon.in</t>
  </si>
  <si>
    <t>407-0645262-9826760</t>
  </si>
  <si>
    <t>TNwLrSwg9</t>
  </si>
  <si>
    <t>Db201sPPQx0KR</t>
  </si>
  <si>
    <t>2026-07-22T12:42:35+05:30</t>
  </si>
  <si>
    <t>2026-07-22T18:14:43+05:30</t>
  </si>
  <si>
    <t>2026-07-22T21:14:54+05:30</t>
  </si>
  <si>
    <t>tg56ft297j7wdfr@marketplace.amazon.in</t>
  </si>
  <si>
    <t>TIRUCHIRAPPALLI</t>
  </si>
  <si>
    <t>171-3287150-2210730</t>
  </si>
  <si>
    <t>Tgmslbwf9</t>
  </si>
  <si>
    <t>D45BrdPKQP0gR</t>
  </si>
  <si>
    <t>2026-07-22T14:20:53+05:30</t>
  </si>
  <si>
    <t>2026-07-22T18:08:43+05:30</t>
  </si>
  <si>
    <t>2026-07-22T21:08:54+05:30</t>
  </si>
  <si>
    <t>kbwjm4rp058fvs2@marketplace.amazon.in</t>
  </si>
  <si>
    <t>407-2477064-4573957</t>
  </si>
  <si>
    <t>TJ5FbXwY9</t>
  </si>
  <si>
    <t>DN31rsP5QR08R</t>
  </si>
  <si>
    <t>2026-07-22T07:47:04+05:30</t>
  </si>
  <si>
    <t>2026-07-22T18:00:45+05:30</t>
  </si>
  <si>
    <t>2026-07-22T18:00:48+05:30</t>
  </si>
  <si>
    <t>2026-07-22T19:00:58+05:30</t>
  </si>
  <si>
    <t>403-1182457-2399508</t>
  </si>
  <si>
    <t>TV08yBwv9</t>
  </si>
  <si>
    <t>D4RDr5PsQM0fR</t>
  </si>
  <si>
    <t>2026-07-22T08:58:09+05:30</t>
  </si>
  <si>
    <t>2026-07-22T17:47:46+05:30</t>
  </si>
  <si>
    <t>2026-07-22T20:47:59+05:30</t>
  </si>
  <si>
    <t>bngkvxhkywhg5hv@marketplace.amazon.in</t>
  </si>
  <si>
    <t>403-5473239-2645953</t>
  </si>
  <si>
    <t>T1XmPkwW9</t>
  </si>
  <si>
    <t>DRMg7MPhQQ0CR</t>
  </si>
  <si>
    <t>2026-07-22T15:10:55+05:30</t>
  </si>
  <si>
    <t>2026-07-22T17:43:47+05:30</t>
  </si>
  <si>
    <t>2026-07-22T20:43:59+05:30</t>
  </si>
  <si>
    <t>y93gz9mpsz477nx@marketplace.amazon.in</t>
  </si>
  <si>
    <t>Bandapura road</t>
  </si>
  <si>
    <t>Karnataka</t>
  </si>
  <si>
    <t>403-0333470-3665961</t>
  </si>
  <si>
    <t>TcHbLGwT9</t>
  </si>
  <si>
    <t>DmM37yPXQQ0CR</t>
  </si>
  <si>
    <t>2026-07-22T12:31:48+05:30</t>
  </si>
  <si>
    <t>2026-07-22T17:41:47+05:30</t>
  </si>
  <si>
    <t>2026-07-22T20:41:59+05:30</t>
  </si>
  <si>
    <t>20qdfdqkgl31h9t@marketplace.amazon.in</t>
  </si>
  <si>
    <t>402-6847562-1349943</t>
  </si>
  <si>
    <t>Tgcjvwwy9</t>
  </si>
  <si>
    <t>DKsX7ZPfQP0FR</t>
  </si>
  <si>
    <t>2026-07-22T11:48:48+05:30</t>
  </si>
  <si>
    <t>2026-07-22T17:38:46+05:30</t>
  </si>
  <si>
    <t>2026-07-22T20:38:58+05:30</t>
  </si>
  <si>
    <t>wvt4zcxmknrhx03@marketplace.amazon.in</t>
  </si>
  <si>
    <t>VIJAYAPURA</t>
  </si>
  <si>
    <t>171-1870163-2523541</t>
  </si>
  <si>
    <t>TG1T07Wl9</t>
  </si>
  <si>
    <t>DDCG7pPWQC0PR</t>
  </si>
  <si>
    <t>2026-07-21T23:44:36+05:30</t>
  </si>
  <si>
    <t>2026-07-22T17:37:50+05:30</t>
  </si>
  <si>
    <t>2026-07-22T20:38:09+05:30</t>
  </si>
  <si>
    <t>bvmzws94k75shn7@marketplace.amazon.in</t>
  </si>
  <si>
    <t>SEMBIANALLUR</t>
  </si>
  <si>
    <t>406-9818916-3229963</t>
  </si>
  <si>
    <t>TGqj9PwM9</t>
  </si>
  <si>
    <t>D2sr75P1QP0FR</t>
  </si>
  <si>
    <t>2026-07-22T08:05:29+05:30</t>
  </si>
  <si>
    <t>2026-07-22T17:32:48+05:30</t>
  </si>
  <si>
    <t>2026-07-22T20:33:00+05:30</t>
  </si>
  <si>
    <t>DTsb75P1QP0FR</t>
  </si>
  <si>
    <t>404-5133606-6285924</t>
  </si>
  <si>
    <t>T67Qpvwf9</t>
  </si>
  <si>
    <t>DFjzLdPDQd0FR</t>
  </si>
  <si>
    <t>2026-07-22T15:04:30+05:30</t>
  </si>
  <si>
    <t>2026-07-22T17:31:44+05:30</t>
  </si>
  <si>
    <t>2026-07-22T20:31:58+05:30</t>
  </si>
  <si>
    <t>lj441cqqdst627g@marketplace.amazon.in</t>
  </si>
  <si>
    <t>ADAMPUR</t>
  </si>
  <si>
    <t>171-9946579-3078701</t>
  </si>
  <si>
    <t>Tw9Knjw79</t>
  </si>
  <si>
    <t>DTwqsQPwQp05R</t>
  </si>
  <si>
    <t>2026-07-22T13:08:05+05:30</t>
  </si>
  <si>
    <t>2026-07-22T17:08:46+05:30</t>
  </si>
  <si>
    <t>2026-07-22T20:08:57+05:30</t>
  </si>
  <si>
    <t>hxh75bv1zwr1x3b@marketplace.amazon.in</t>
  </si>
  <si>
    <t>Jaisalmer</t>
  </si>
  <si>
    <t>407-9431073-0765149</t>
  </si>
  <si>
    <t>TgWg3Cwl9</t>
  </si>
  <si>
    <t>D4z0sXPtQ30yR</t>
  </si>
  <si>
    <t>2026-07-22T13:45:35+05:30</t>
  </si>
  <si>
    <t>2026-07-22T17:02:44+05:30</t>
  </si>
  <si>
    <t>2026-07-22T20:02:56+05:30</t>
  </si>
  <si>
    <t>zwygslz4pmqjb21@marketplace.amazon.in</t>
  </si>
  <si>
    <t>405-3628442-5129946</t>
  </si>
  <si>
    <t>T33Jthw59</t>
  </si>
  <si>
    <t>Dy9NQHPjQz0qR</t>
  </si>
  <si>
    <t>2026-07-22T14:16:39+05:30</t>
  </si>
  <si>
    <t>2026-07-22T16:47:47+05:30</t>
  </si>
  <si>
    <t>2026-07-22T19:47:58+05:30</t>
  </si>
  <si>
    <t>0grmpm52njjzr1j@marketplace.amazon.in</t>
  </si>
  <si>
    <t>403-0702474-2453963</t>
  </si>
  <si>
    <t>TJHkWxwq9</t>
  </si>
  <si>
    <t>DlVxQ5PBQz0ZR</t>
  </si>
  <si>
    <t>2026-07-22T15:10:57+05:30</t>
  </si>
  <si>
    <t>2026-07-22T16:46:46+05:30</t>
  </si>
  <si>
    <t>2026-07-22T19:46:59+05:30</t>
  </si>
  <si>
    <t>p33k9h193tcsxqk@marketplace.amazon.in</t>
  </si>
  <si>
    <t>AM007844307IN</t>
  </si>
  <si>
    <t>171-1763008-8942737</t>
  </si>
  <si>
    <t>TnFjBZwD9</t>
  </si>
  <si>
    <t>DnrlQJPyQF0fR</t>
  </si>
  <si>
    <t>2026-07-22T09:12:51+05:30</t>
  </si>
  <si>
    <t>2026-07-22T16:46:44+05:30</t>
  </si>
  <si>
    <t>2026-07-22T19:46:57+05:30</t>
  </si>
  <si>
    <t>4x3jpb2nx4mf760@marketplace.amazon.in</t>
  </si>
  <si>
    <t>408-2219015-1455531</t>
  </si>
  <si>
    <t>TgNsqkzk9</t>
  </si>
  <si>
    <t>D1qhQCP9Qg0RR</t>
  </si>
  <si>
    <t>2026-07-19T22:42:50+05:30</t>
  </si>
  <si>
    <t>2026-07-22T16:42:52+05:30</t>
  </si>
  <si>
    <t>2026-07-22T16:42:54+05:30</t>
  </si>
  <si>
    <t>2026-07-22T17:43:07+05:30</t>
  </si>
  <si>
    <t>j7vn5mnn7pr6djb@marketplace.amazon.in</t>
  </si>
  <si>
    <t>403-9827299-3989945</t>
  </si>
  <si>
    <t>TJHRrrcL9</t>
  </si>
  <si>
    <t>DYtXznPcQW0YR</t>
  </si>
  <si>
    <t>2026-07-18T09:17:42+05:30</t>
  </si>
  <si>
    <t>2026-07-22T16:01:46+05:30</t>
  </si>
  <si>
    <t>2026-07-22T19:01:58+05:30</t>
  </si>
  <si>
    <t>8h48qdw4p2r3s0d@marketplace.amazon.in</t>
  </si>
  <si>
    <t>405-8640432-7101950</t>
  </si>
  <si>
    <t>TGQTJMwQ9</t>
  </si>
  <si>
    <t>DRkHzpPrQR0zR</t>
  </si>
  <si>
    <t>2026-07-22T12:38:13+05:30</t>
  </si>
  <si>
    <t>2026-07-22T15:58:50+05:30</t>
  </si>
  <si>
    <t>2026-07-22T18:59:06+05:30</t>
  </si>
  <si>
    <t>6tn8fhc42679pkt@marketplace.amazon.in</t>
  </si>
  <si>
    <t>SIPCOT THOOTHUKUDI</t>
  </si>
  <si>
    <t>408-3250531-0367562</t>
  </si>
  <si>
    <t>Tgb45Shy9</t>
  </si>
  <si>
    <t>DwGwzfPlQ40hR</t>
  </si>
  <si>
    <t>2026-07-20T13:21:02+05:30</t>
  </si>
  <si>
    <t>2026-07-22T15:49:42+05:30</t>
  </si>
  <si>
    <t>2026-07-22T15:49:45+05:30</t>
  </si>
  <si>
    <t>2026-07-22T16:49:55+05:30</t>
  </si>
  <si>
    <t>31yy4t3cjjqqy3b@marketplace.amazon.in</t>
  </si>
  <si>
    <t>THANJAVUR</t>
  </si>
  <si>
    <t>407-3506273-3390762</t>
  </si>
  <si>
    <t>TJvLn2wh9</t>
  </si>
  <si>
    <t>Dv48VwPmQl0SR</t>
  </si>
  <si>
    <t>2026-07-22T13:49:32+05:30</t>
  </si>
  <si>
    <t>2026-07-22T15:49:43+05:30</t>
  </si>
  <si>
    <t>2026-07-22T18:49:55+05:30</t>
  </si>
  <si>
    <t>rdfq58n4c51csg5@marketplace.amazon.in</t>
  </si>
  <si>
    <t>171-8118770-9461139</t>
  </si>
  <si>
    <t>T65rp5979</t>
  </si>
  <si>
    <t>DWvzyRPtQ708R</t>
  </si>
  <si>
    <t>2026-07-21T13:17:53+05:30</t>
  </si>
  <si>
    <t>2026-07-22T14:24:53+05:30</t>
  </si>
  <si>
    <t>2026-07-22T17:25:04+05:30</t>
  </si>
  <si>
    <t>093qw7q9mvql1tp@marketplace.amazon.in</t>
  </si>
  <si>
    <t>407-3333971-9132326</t>
  </si>
  <si>
    <t>TN0QYbws9</t>
  </si>
  <si>
    <t>DWmSyQPrQq0KR</t>
  </si>
  <si>
    <t>2026-07-22T11:39:16+05:30</t>
  </si>
  <si>
    <t>2026-07-22T14:18:46+05:30</t>
  </si>
  <si>
    <t>2026-07-22T17:18:58+05:30</t>
  </si>
  <si>
    <t>rddcbx5qm3blysk@marketplace.amazon.in</t>
  </si>
  <si>
    <t>403-4785486-1087528</t>
  </si>
  <si>
    <t>TJ3WH1wz9</t>
  </si>
  <si>
    <t>DPrgwsPnQR0SR</t>
  </si>
  <si>
    <t>2026-07-22T09:27:31+05:30</t>
  </si>
  <si>
    <t>2026-07-22T13:50:46+05:30</t>
  </si>
  <si>
    <t>2026-07-22T16:50:58+05:30</t>
  </si>
  <si>
    <t>3l0k2tqtkw9hzd3@marketplace.amazon.in</t>
  </si>
  <si>
    <t>403-0767536-3114748</t>
  </si>
  <si>
    <t>T1srnnWM9</t>
  </si>
  <si>
    <t>Dk16B7PHQx07R</t>
  </si>
  <si>
    <t>2026-07-21T22:46:43+05:30</t>
  </si>
  <si>
    <t>2026-07-22T13:42:51+05:30</t>
  </si>
  <si>
    <t>2026-07-22T16:43:08+05:30</t>
  </si>
  <si>
    <t>wq3vmbcb5szzjvs@marketplace.amazon.in</t>
  </si>
  <si>
    <t>NAMCHI</t>
  </si>
  <si>
    <t>SIKKIM</t>
  </si>
  <si>
    <t>404-8571067-5188364</t>
  </si>
  <si>
    <t>TCf6rZwG9</t>
  </si>
  <si>
    <t>DMw7BSPmQl0dR</t>
  </si>
  <si>
    <t>2026-07-22T11:14:31+05:30</t>
  </si>
  <si>
    <t>2026-07-22T13:39:38+05:30</t>
  </si>
  <si>
    <t>2026-07-22T13:39:41+05:30</t>
  </si>
  <si>
    <t>2026-07-22T14:39:53+05:30</t>
  </si>
  <si>
    <t>b9drklslmc1hzkx@marketplace.amazon.in</t>
  </si>
  <si>
    <t>Gannavaram Vijayawada</t>
  </si>
  <si>
    <t>407-0371264-1832354</t>
  </si>
  <si>
    <t>TX24ClWN9</t>
  </si>
  <si>
    <t>DgC0B3PMQK0wR</t>
  </si>
  <si>
    <t>2026-07-22T03:39:29+05:30</t>
  </si>
  <si>
    <t>2026-07-22T13:37:45+05:30</t>
  </si>
  <si>
    <t>2026-07-22T16:37:58+05:30</t>
  </si>
  <si>
    <t>408-4218758-1979533</t>
  </si>
  <si>
    <t>T35l28w19</t>
  </si>
  <si>
    <t>DtzgBZP3QJ01R</t>
  </si>
  <si>
    <t>2026-07-22T09:10:16+05:30</t>
  </si>
  <si>
    <t>2026-07-22T13:36:46+05:30</t>
  </si>
  <si>
    <t>2026-07-22T16:36:57+05:30</t>
  </si>
  <si>
    <t>n031cd7zzv8634n@marketplace.amazon.in</t>
  </si>
  <si>
    <t>404-7012933-9658724</t>
  </si>
  <si>
    <t>TJ0Vrlww9</t>
  </si>
  <si>
    <t>Dlq69gPrQB0rR</t>
  </si>
  <si>
    <t>2026-07-22T11:11:05+05:30</t>
  </si>
  <si>
    <t>2026-07-22T13:18:43+05:30</t>
  </si>
  <si>
    <t>2026-07-22T16:18:56+05:30</t>
  </si>
  <si>
    <t>p6gkt9yczbmdc73@marketplace.amazon.in</t>
  </si>
  <si>
    <t>ALUVA</t>
  </si>
  <si>
    <t>408-8575694-0513967</t>
  </si>
  <si>
    <t>TVt9rzw59</t>
  </si>
  <si>
    <t>DcwQ48P7Q50qR</t>
  </si>
  <si>
    <t>2026-07-22T11:19:28+05:30</t>
  </si>
  <si>
    <t>2026-07-22T13:09:46+05:30</t>
  </si>
  <si>
    <t>2026-07-22T16:09:57+05:30</t>
  </si>
  <si>
    <t>xtkbnd29bd9rxzt@marketplace.amazon.in</t>
  </si>
  <si>
    <t>406-7166548-7129158</t>
  </si>
  <si>
    <t>TND37q9c9</t>
  </si>
  <si>
    <t>D5By4NPZQS0kR</t>
  </si>
  <si>
    <t>2026-07-21T15:09:12+05:30</t>
  </si>
  <si>
    <t>2026-07-22T13:06:46+05:30</t>
  </si>
  <si>
    <t>2026-07-22T16:07:00+05:30</t>
  </si>
  <si>
    <t>sqn5z4dwhn5t8jx@marketplace.amazon.in</t>
  </si>
  <si>
    <t>Kochi</t>
  </si>
  <si>
    <t>404-9888790-7031517</t>
  </si>
  <si>
    <t>TXP10jW79</t>
  </si>
  <si>
    <t>DLDtHSPVQt0lR</t>
  </si>
  <si>
    <t>2026-07-21T23:21:14+05:30</t>
  </si>
  <si>
    <t>2026-07-22T12:55:50+05:30</t>
  </si>
  <si>
    <t>2026-07-22T15:56:04+05:30</t>
  </si>
  <si>
    <t>rcpnt1vl9y2lhdf@marketplace.amazon.in</t>
  </si>
  <si>
    <t>408-2467162-4598734</t>
  </si>
  <si>
    <t>TCwZQwws9</t>
  </si>
  <si>
    <t>DcD1HXP9Qt0lR</t>
  </si>
  <si>
    <t>2026-07-22T10:57:56+05:30</t>
  </si>
  <si>
    <t>2026-07-22T12:53:45+05:30</t>
  </si>
  <si>
    <t>2026-07-22T15:53:57+05:30</t>
  </si>
  <si>
    <t>gj5czfsjd4wxqnv@marketplace.amazon.in</t>
  </si>
  <si>
    <t>405-0417047-8942758</t>
  </si>
  <si>
    <t>TcbDwkwR9</t>
  </si>
  <si>
    <t>DfZjHqP5Qj0MR</t>
  </si>
  <si>
    <t>2026-07-22T10:36:40+05:30</t>
  </si>
  <si>
    <t>2026-07-22T12:51:35+05:30</t>
  </si>
  <si>
    <t>2026-07-22T15:51:46+05:30</t>
  </si>
  <si>
    <t>dthmdd807kw509x@marketplace.amazon.in</t>
  </si>
  <si>
    <t>2026-07-22T20:00:00+05:30</t>
  </si>
  <si>
    <t>406-2261329-2230719</t>
  </si>
  <si>
    <t>TCX8nNWP9</t>
  </si>
  <si>
    <t>DnZ0HLP7Qj0MR</t>
  </si>
  <si>
    <t>2026-07-21T22:52:00+05:30</t>
  </si>
  <si>
    <t>2026-07-22T12:46:46+05:30</t>
  </si>
  <si>
    <t>2026-07-22T15:47:02+05:30</t>
  </si>
  <si>
    <t>71c5tfqfp6vf88n@marketplace.amazon.in</t>
  </si>
  <si>
    <t>Silvassa</t>
  </si>
  <si>
    <t>DADRA AND NAGAR HAVELI AND DAMAN AND DIU</t>
  </si>
  <si>
    <t>407-9346711-0081909</t>
  </si>
  <si>
    <t>TctsM29b9</t>
  </si>
  <si>
    <t>D9LCHpPXQ70CR</t>
  </si>
  <si>
    <t>2026-07-21T13:41:30+05:30</t>
  </si>
  <si>
    <t>2026-07-22T12:45:46+05:30</t>
  </si>
  <si>
    <t>2026-07-22T12:45:49+05:30</t>
  </si>
  <si>
    <t>2026-07-22T13:46:03+05:30</t>
  </si>
  <si>
    <t>p2s7rzsqymt899t@marketplace.amazon.in</t>
  </si>
  <si>
    <t>VASAI VIRAR</t>
  </si>
  <si>
    <t>402-1817040-2293102</t>
  </si>
  <si>
    <t>T6Z8zGwl9</t>
  </si>
  <si>
    <t>D0pQHSPSQy09R</t>
  </si>
  <si>
    <t>2026-07-22T10:16:21+05:30</t>
  </si>
  <si>
    <t>2026-07-22T12:38:42+05:30</t>
  </si>
  <si>
    <t>2026-07-22T15:38:56+05:30</t>
  </si>
  <si>
    <t>z1tthrcyqkfwg22@marketplace.amazon.in</t>
  </si>
  <si>
    <t>402-3338893-6803555</t>
  </si>
  <si>
    <t>TNRPQgwr9</t>
  </si>
  <si>
    <t>Dfmhk5P0QY0KR</t>
  </si>
  <si>
    <t>2026-07-22T09:29:17+05:30</t>
  </si>
  <si>
    <t>2026-07-22T12:26:47+05:30</t>
  </si>
  <si>
    <t>2026-07-22T15:26:59+05:30</t>
  </si>
  <si>
    <t>qrp4xw4mt5sz3mg@marketplace.amazon.in</t>
  </si>
  <si>
    <t>SARCARSAMAKULAM</t>
  </si>
  <si>
    <t>402-0928998-2150713</t>
  </si>
  <si>
    <t>TXlxW2CV9</t>
  </si>
  <si>
    <t>DLgxk0PcQk0cR</t>
  </si>
  <si>
    <t>2026-07-16T22:11:08+05:30</t>
  </si>
  <si>
    <t>2026-07-22T12:22:44+05:30</t>
  </si>
  <si>
    <t>2026-07-22T15:22:56+05:30</t>
  </si>
  <si>
    <t>dqysjx2p59lps1w@marketplace.amazon.in</t>
  </si>
  <si>
    <t>171-8406498-8091532</t>
  </si>
  <si>
    <t>TcS7279X9</t>
  </si>
  <si>
    <t>D8mVknPVQY0KR</t>
  </si>
  <si>
    <t>2026-07-21T12:45:50+05:30</t>
  </si>
  <si>
    <t>2026-07-22T12:19:49+05:30</t>
  </si>
  <si>
    <t>2026-07-22T15:20:07+05:30</t>
  </si>
  <si>
    <t>q60ykspyqhb2vtg@marketplace.amazon.in</t>
  </si>
  <si>
    <t>171-3440429-2444300</t>
  </si>
  <si>
    <t>TJXrRmwt9</t>
  </si>
  <si>
    <t>DCgDk6PpQm0cR</t>
  </si>
  <si>
    <t>2026-07-22T05:51:52+05:30</t>
  </si>
  <si>
    <t>2026-07-22T12:13:44+05:30</t>
  </si>
  <si>
    <t>2026-07-22T15:13:56+05:30</t>
  </si>
  <si>
    <t>gn7mzknghcxnhsv@marketplace.amazon.in</t>
  </si>
  <si>
    <t>406-0935441-6845900</t>
  </si>
  <si>
    <t>TNWHynwN9</t>
  </si>
  <si>
    <t>DVldkbPXQX0FR</t>
  </si>
  <si>
    <t>2026-07-22T09:34:46+05:30</t>
  </si>
  <si>
    <t>2026-07-22T12:10:46+05:30</t>
  </si>
  <si>
    <t>2026-07-22T15:11:00+05:30</t>
  </si>
  <si>
    <t>q7kfn9vhj31k226@marketplace.amazon.in</t>
  </si>
  <si>
    <t>171-1341250-2106707</t>
  </si>
  <si>
    <t>T34JC6TK9</t>
  </si>
  <si>
    <t>DXN1NxPsQ10fR</t>
  </si>
  <si>
    <t>2026-07-14T17:27:55+05:30</t>
  </si>
  <si>
    <t>2026-07-22T12:08:41+05:30</t>
  </si>
  <si>
    <t>2026-07-22T12:08:43+05:30</t>
  </si>
  <si>
    <t>2026-07-22T13:08:56+05:30</t>
  </si>
  <si>
    <t>7kxhq22m52466h0@marketplace.amazon.in</t>
  </si>
  <si>
    <t>407-3964304-6498722</t>
  </si>
  <si>
    <t>TVnRFfwL9</t>
  </si>
  <si>
    <t>DP00k9PMQQ0QR</t>
  </si>
  <si>
    <t>2026-07-22T10:10:30+05:30</t>
  </si>
  <si>
    <t>2026-07-22T12:06:44+05:30</t>
  </si>
  <si>
    <t>2026-07-22T15:06:59+05:30</t>
  </si>
  <si>
    <t>0h3pqhlb1hfb2kt@marketplace.amazon.in</t>
  </si>
  <si>
    <t>404-3709482-9206710</t>
  </si>
  <si>
    <t>TCp3WNTv9</t>
  </si>
  <si>
    <t>DlNFNnPBQ10fR</t>
  </si>
  <si>
    <t>2026-07-19T12:29:46+05:30</t>
  </si>
  <si>
    <t>2026-07-22T12:05:48+05:30</t>
  </si>
  <si>
    <t>2026-07-22T15:06:02+05:30</t>
  </si>
  <si>
    <t>05b9qy2xw9csx1p@marketplace.amazon.in</t>
  </si>
  <si>
    <t>405-3852816-4649947</t>
  </si>
  <si>
    <t>T3Hjpb9J9</t>
  </si>
  <si>
    <t>DYN0NmPmQ70fR</t>
  </si>
  <si>
    <t>2026-07-21T17:22:52+05:30</t>
  </si>
  <si>
    <t>2026-07-22T12:00:45+05:30</t>
  </si>
  <si>
    <t>2026-07-22T15:00:57+05:30</t>
  </si>
  <si>
    <t>8h0r16crwcwmjy6@marketplace.amazon.in</t>
  </si>
  <si>
    <t>171-6857509-5786726</t>
  </si>
  <si>
    <t>T6fC5wWT9</t>
  </si>
  <si>
    <t>DBHYNrPDQ70cR</t>
  </si>
  <si>
    <t>2026-07-22T05:43:54+05:30</t>
  </si>
  <si>
    <t>2026-07-22T11:54:45+05:30</t>
  </si>
  <si>
    <t>2026-07-22T14:54:57+05:30</t>
  </si>
  <si>
    <t>t6fp9q0b5v73fxc@marketplace.amazon.in</t>
  </si>
  <si>
    <t>402-8588538-5242742</t>
  </si>
  <si>
    <t>TGNc9mwr9</t>
  </si>
  <si>
    <t>DsqDRsP4Qg05R</t>
  </si>
  <si>
    <t>2026-07-22T08:34:56+05:30</t>
  </si>
  <si>
    <t>2026-07-22T11:33:44+05:30</t>
  </si>
  <si>
    <t>2026-07-22T14:33:56+05:30</t>
  </si>
  <si>
    <t>nb8wvq0tzym6zt3@marketplace.amazon.in</t>
  </si>
  <si>
    <t>406-5340489-8740303</t>
  </si>
  <si>
    <t>TX4hRmwr9</t>
  </si>
  <si>
    <t>DwfFRGPSQK0fR</t>
  </si>
  <si>
    <t>2026-07-22T07:01:10+05:30</t>
  </si>
  <si>
    <t>2026-07-22T11:32:47+05:30</t>
  </si>
  <si>
    <t>2026-07-22T14:32:58+05:30</t>
  </si>
  <si>
    <t>dq5kpn1l460klfn@marketplace.amazon.in</t>
  </si>
  <si>
    <t>ZIRAKPUR</t>
  </si>
  <si>
    <t>171-4050470-5054725</t>
  </si>
  <si>
    <t>TNj5JGWW9</t>
  </si>
  <si>
    <t>D9L5hMK3cl09R</t>
  </si>
  <si>
    <t>2026-07-21T22:43:47+05:30</t>
  </si>
  <si>
    <t>2026-07-22T11:16:47+05:30</t>
  </si>
  <si>
    <t>2026-07-22T14:17:02+05:30</t>
  </si>
  <si>
    <t>3cztkpssyvxplsx@marketplace.amazon.in</t>
  </si>
  <si>
    <t>405-9202021-3985130</t>
  </si>
  <si>
    <t>T6vvDgwT9</t>
  </si>
  <si>
    <t>DXyzfbKjc70qR</t>
  </si>
  <si>
    <t>2026-07-22T10:01:17+05:30</t>
  </si>
  <si>
    <t>2026-07-22T11:14:42+05:30</t>
  </si>
  <si>
    <t>2026-07-22T14:14:53+05:30</t>
  </si>
  <si>
    <t>9wqw035xzk05dfq@marketplace.amazon.in</t>
  </si>
  <si>
    <t>406-2471354-1562711</t>
  </si>
  <si>
    <t>TgPpRsWz9</t>
  </si>
  <si>
    <t>Dg8Df7Kjcb0qR</t>
  </si>
  <si>
    <t>2026-07-21T19:02:43+05:30</t>
  </si>
  <si>
    <t>2026-07-22T11:11:50+05:30</t>
  </si>
  <si>
    <t>2026-07-22T11:11:54+05:30</t>
  </si>
  <si>
    <t>2026-07-22T12:12:05+05:30</t>
  </si>
  <si>
    <t>yvwzl7y91rxtcyf@marketplace.amazon.in</t>
  </si>
  <si>
    <t>KHETIA</t>
  </si>
  <si>
    <t>407-4737578-2441965</t>
  </si>
  <si>
    <t>Tcs2B2Wc9</t>
  </si>
  <si>
    <t>Dtl1f2KxcN07R</t>
  </si>
  <si>
    <t>2026-07-21T21:05:10+05:30</t>
  </si>
  <si>
    <t>2026-07-22T11:04:44+05:30</t>
  </si>
  <si>
    <t>2026-07-22T14:04:56+05:30</t>
  </si>
  <si>
    <t>l9v7nhs6z38rn1p@marketplace.amazon.in</t>
  </si>
  <si>
    <t>ROURKELA</t>
  </si>
  <si>
    <t>402-4105533-1988304</t>
  </si>
  <si>
    <t>TGn2NtWB9</t>
  </si>
  <si>
    <t>DjsHfWK3cD0XR</t>
  </si>
  <si>
    <t>2026-07-21T20:50:57+05:30</t>
  </si>
  <si>
    <t>2026-07-22T10:58:44+05:30</t>
  </si>
  <si>
    <t>2026-07-22T10:58:47+05:30</t>
  </si>
  <si>
    <t>2026-07-22T11:58:58+05:30</t>
  </si>
  <si>
    <t>zmzqztnh8fmnmdg@marketplace.amazon.in</t>
  </si>
  <si>
    <t>NANDYAL</t>
  </si>
  <si>
    <t>171-7037692-6800303</t>
  </si>
  <si>
    <t>T3qtQ7wd9</t>
  </si>
  <si>
    <t>DVjhjkKqcB0sR</t>
  </si>
  <si>
    <t>2026-07-22T09:33:46+05:30</t>
  </si>
  <si>
    <t>2026-07-22T10:56:45+05:30</t>
  </si>
  <si>
    <t>2026-07-22T13:56:57+05:30</t>
  </si>
  <si>
    <t>hsflkhsc4fzw629@marketplace.amazon.in</t>
  </si>
  <si>
    <t>403-0767455-5589163</t>
  </si>
  <si>
    <t>TcZqh1lz9</t>
  </si>
  <si>
    <t>DPjBj7KScB0sR</t>
  </si>
  <si>
    <t>2026-07-18T00:58:51+05:30</t>
  </si>
  <si>
    <t>2026-07-22T10:54:01+05:30</t>
  </si>
  <si>
    <t>2026-07-22T13:54:12+05:30</t>
  </si>
  <si>
    <t>st14pfylqrgp60w@marketplace.amazon.in</t>
  </si>
  <si>
    <t>L3110 (Grey)</t>
  </si>
  <si>
    <t xml:space="preserve">Crasome Dust &amp; Water Proof Printer Cover for Epson EcoTank L3250 / L3210 (Grey)
</t>
  </si>
  <si>
    <t>402-6563270-4972307</t>
  </si>
  <si>
    <t>Tn24CgW19</t>
  </si>
  <si>
    <t>DYjRjyK7cB0sR</t>
  </si>
  <si>
    <t>2026-07-22T01:16:18+05:30</t>
  </si>
  <si>
    <t>2026-07-22T10:50:44+05:30</t>
  </si>
  <si>
    <t>2026-07-22T13:50:57+05:30</t>
  </si>
  <si>
    <t>sncqhxvfsxnq8rn@marketplace.amazon.in</t>
  </si>
  <si>
    <t>404-6147314-8312309</t>
  </si>
  <si>
    <t>TwKc9ZwH9</t>
  </si>
  <si>
    <t>DKx4jWK1cT0jR</t>
  </si>
  <si>
    <t>2026-07-22T08:34:09+05:30</t>
  </si>
  <si>
    <t>2026-07-22T10:44:44+05:30</t>
  </si>
  <si>
    <t>2026-07-22T13:44:58+05:30</t>
  </si>
  <si>
    <t>171-8724085-4557932</t>
  </si>
  <si>
    <t>TNMMqd6y9</t>
  </si>
  <si>
    <t>DpPTjlKPc10bR</t>
  </si>
  <si>
    <t>2026-07-11T00:08:38+05:30</t>
  </si>
  <si>
    <t>2026-07-22T10:39:43+05:30</t>
  </si>
  <si>
    <t>2026-07-22T13:39:56+05:30</t>
  </si>
  <si>
    <t>nldm5hymlcvqvkw@marketplace.amazon.in</t>
  </si>
  <si>
    <t>407-9907609-9425918</t>
  </si>
  <si>
    <t>TVp0HBwt9</t>
  </si>
  <si>
    <t>DnhpZhK3cC0WR</t>
  </si>
  <si>
    <t>2026-07-22T07:52:30+05:30</t>
  </si>
  <si>
    <t>2026-07-22T10:33:46+05:30</t>
  </si>
  <si>
    <t>2026-07-22T13:33:57+05:30</t>
  </si>
  <si>
    <t>9syd06dyj0lkgxk@marketplace.amazon.in</t>
  </si>
  <si>
    <t>404-2368757-7331526</t>
  </si>
  <si>
    <t>TnfhVBWS9</t>
  </si>
  <si>
    <t>DLN8q2K1c70nR</t>
  </si>
  <si>
    <t>2026-07-21T21:42:25+05:30</t>
  </si>
  <si>
    <t>2026-07-22T10:31:11+05:30</t>
  </si>
  <si>
    <t>2026-07-22T10:31:16+05:30</t>
  </si>
  <si>
    <t>2026-07-22T11:31:37+05:30</t>
  </si>
  <si>
    <t>96hgbnylwb35nk2@marketplace.amazon.in</t>
  </si>
  <si>
    <t>Neyyattinkara</t>
  </si>
  <si>
    <t>405-8438345-1171508</t>
  </si>
  <si>
    <t>TNrYlzHj9</t>
  </si>
  <si>
    <t>DtFhq4KBcH0JR</t>
  </si>
  <si>
    <t>2026-07-18T11:01:21+05:30</t>
  </si>
  <si>
    <t>2026-07-22T10:20:48+05:30</t>
  </si>
  <si>
    <t>2026-07-22T13:21:11+05:30</t>
  </si>
  <si>
    <t>gf34gxyjjch72v4@marketplace.amazon.in</t>
  </si>
  <si>
    <t>AM007827811IN</t>
  </si>
  <si>
    <t>403-4260735-1886713</t>
  </si>
  <si>
    <t>T3XjRMhg9</t>
  </si>
  <si>
    <t>D2lJgZKBcS0jR</t>
  </si>
  <si>
    <t>2026-07-10T11:00:53+05:30</t>
  </si>
  <si>
    <t>2026-07-22T09:43:47+05:30</t>
  </si>
  <si>
    <t>2026-07-22T12:44:01+05:30</t>
  </si>
  <si>
    <t>yczdrlg1bhrb8v4@marketplace.amazon.in</t>
  </si>
  <si>
    <t>171-2545856-1871547</t>
  </si>
  <si>
    <t>Twx2x2zy9</t>
  </si>
  <si>
    <t>D0Y6gZKwcj0FR</t>
  </si>
  <si>
    <t>2026-07-19T21:06:15+05:30</t>
  </si>
  <si>
    <t>2026-07-22T09:33:57+05:30</t>
  </si>
  <si>
    <t>2026-07-22T12:38:04+05:30</t>
  </si>
  <si>
    <t>lt6766wx76my91y@marketplace.amazon.in</t>
  </si>
  <si>
    <t>403-2696650-2966733</t>
  </si>
  <si>
    <t>TggB2FWM9</t>
  </si>
  <si>
    <t>D7dGgVK3cd0DR</t>
  </si>
  <si>
    <t>2026-07-21T19:52:50+05:30</t>
  </si>
  <si>
    <t>2026-07-22T09:32:42+05:30</t>
  </si>
  <si>
    <t>2026-07-22T12:32:55+05:30</t>
  </si>
  <si>
    <t>xzjqsd5t432566k@marketplace.amazon.in</t>
  </si>
  <si>
    <t>ULAVAPADU</t>
  </si>
  <si>
    <t>408-3002163-1169961</t>
  </si>
  <si>
    <t>TwBXt4Wg9</t>
  </si>
  <si>
    <t>DHHv8nKmc80VR</t>
  </si>
  <si>
    <t>2026-07-21T23:32:12+05:30</t>
  </si>
  <si>
    <t>2026-07-22T09:27:42+05:30</t>
  </si>
  <si>
    <t>2026-07-22T09:27:45+05:30</t>
  </si>
  <si>
    <t>2026-07-22T10:27:56+05:30</t>
  </si>
  <si>
    <t>mb97z5z21q9yd2r@marketplace.amazon.in</t>
  </si>
  <si>
    <t>406-6088397-0095569</t>
  </si>
  <si>
    <t>Twbpzk9C9</t>
  </si>
  <si>
    <t>DmjP8KKBcJ09R</t>
  </si>
  <si>
    <t>2026-07-21T09:12:50+05:30</t>
  </si>
  <si>
    <t>2026-07-22T09:24:52+05:30</t>
  </si>
  <si>
    <t>2026-07-22T12:25:04+05:30</t>
  </si>
  <si>
    <t>bq8dk2b26yt7p5x@marketplace.amazon.in</t>
  </si>
  <si>
    <t>PALAKKAD</t>
  </si>
  <si>
    <t>407-5601623-0871508</t>
  </si>
  <si>
    <t>TcPq42cb9</t>
  </si>
  <si>
    <t>DFXfXZKScM03R</t>
  </si>
  <si>
    <t>2026-07-18T16:35:06+05:30</t>
  </si>
  <si>
    <t>2026-07-22T09:16:48+05:30</t>
  </si>
  <si>
    <t>2026-07-22T12:17:02+05:30</t>
  </si>
  <si>
    <t>3zsf9hqw9m2yxtz@marketplace.amazon.in</t>
  </si>
  <si>
    <t>406-5846417-7760330</t>
  </si>
  <si>
    <t>TXJjQ2Wp9</t>
  </si>
  <si>
    <t>DLn38WKfcS09R</t>
  </si>
  <si>
    <t>2026-07-21T20:38:41+05:30</t>
  </si>
  <si>
    <t>2026-07-22T09:14:44+05:30</t>
  </si>
  <si>
    <t>2026-07-22T12:14:56+05:30</t>
  </si>
  <si>
    <t>67zy6gdpz53l6vv@marketplace.amazon.in</t>
  </si>
  <si>
    <t>408-3152277-6047560</t>
  </si>
  <si>
    <t>TnJDzXW69</t>
  </si>
  <si>
    <t>DwwGXwKTc205R</t>
  </si>
  <si>
    <t>2026-07-21T22:39:17+05:30</t>
  </si>
  <si>
    <t>2026-07-22T09:11:45+05:30</t>
  </si>
  <si>
    <t>2026-07-22T12:11:59+05:30</t>
  </si>
  <si>
    <t>9tjr2jz70fnh4nf@marketplace.amazon.in</t>
  </si>
  <si>
    <t>INDORE</t>
  </si>
  <si>
    <t>406-2176373-5776355</t>
  </si>
  <si>
    <t>TnYpNwQP9</t>
  </si>
  <si>
    <t>DVCfXWKVcm0CR</t>
  </si>
  <si>
    <t>2026-07-20T22:13:08+05:30</t>
  </si>
  <si>
    <t>2026-07-22T08:59:51+05:30</t>
  </si>
  <si>
    <t>2026-07-22T12:00:07+05:30</t>
  </si>
  <si>
    <t>5bcy673g7ggg8kc@marketplace.amazon.in</t>
  </si>
  <si>
    <t>406-8127769-2906753</t>
  </si>
  <si>
    <t>T6QP4Q6V9</t>
  </si>
  <si>
    <t>DXpcxPK0cv0MR</t>
  </si>
  <si>
    <t>2026-07-20T13:21:01+05:30</t>
  </si>
  <si>
    <t>2026-07-22T04:23:03+05:30</t>
  </si>
  <si>
    <t>2026-07-22T07:23:14+05:30</t>
  </si>
  <si>
    <t>8g10xtn2ssxl4hw@marketplace.amazon.in</t>
  </si>
  <si>
    <t>Maharajganj</t>
  </si>
  <si>
    <t>171-0583670-2829138</t>
  </si>
  <si>
    <t>TGMj1Hz59</t>
  </si>
  <si>
    <t>DBjj3TKhc50lR</t>
  </si>
  <si>
    <t>2026-07-19T18:57:28+05:30</t>
  </si>
  <si>
    <t>2026-07-22T04:18:47+05:30</t>
  </si>
  <si>
    <t>2026-07-22T07:18:58+05:30</t>
  </si>
  <si>
    <t>x8zxddsfqgkmn5c@marketplace.amazon.in</t>
  </si>
  <si>
    <t>Kolar</t>
  </si>
  <si>
    <t>404-3009783-5619544</t>
  </si>
  <si>
    <t>TNzPfJQJ9</t>
  </si>
  <si>
    <t>D60H3jKxcT07R</t>
  </si>
  <si>
    <t>2026-07-21T09:26:34+05:30</t>
  </si>
  <si>
    <t>2026-07-22T04:13:50+05:30</t>
  </si>
  <si>
    <t>2026-07-22T04:13:54+05:30</t>
  </si>
  <si>
    <t>2026-07-22T05:14:09+05:30</t>
  </si>
  <si>
    <t>xyz6lqpngpqbnr5@marketplace.amazon.in</t>
  </si>
  <si>
    <t>Dehradun</t>
  </si>
  <si>
    <t>406-7729519-3306742</t>
  </si>
  <si>
    <t>T6TkJ5W29</t>
  </si>
  <si>
    <t>DcY836K0cs02R</t>
  </si>
  <si>
    <t>2026-07-21T22:34:34+05:30</t>
  </si>
  <si>
    <t>2026-07-22T04:13:40+05:30</t>
  </si>
  <si>
    <t>2026-07-22T04:13:43+05:30</t>
  </si>
  <si>
    <t>2026-07-22T05:13:54+05:30</t>
  </si>
  <si>
    <t>0yd605k9g1x87cx@marketplace.amazon.in</t>
  </si>
  <si>
    <t>407-0563778-2381132</t>
  </si>
  <si>
    <t>T3KNvV9X9</t>
  </si>
  <si>
    <t>DYsB3jK2ct0sR</t>
  </si>
  <si>
    <t>2026-07-21T12:00:36+05:30</t>
  </si>
  <si>
    <t>2026-07-22T04:10:43+05:30</t>
  </si>
  <si>
    <t>2026-07-22T07:10:55+05:30</t>
  </si>
  <si>
    <t>bhc1wps72rjlm1q@marketplace.amazon.in</t>
  </si>
  <si>
    <t>Indapur</t>
  </si>
  <si>
    <t>171-8943176-7965964</t>
  </si>
  <si>
    <t>TC8LVHWM9</t>
  </si>
  <si>
    <t>DL2qJMKdcS04R</t>
  </si>
  <si>
    <t>2026-07-21T22:17:53+05:30</t>
  </si>
  <si>
    <t>2026-07-22T04:04:42+05:30</t>
  </si>
  <si>
    <t>2026-07-22T07:04:57+05:30</t>
  </si>
  <si>
    <t>w39vfj66y87zr7c@marketplace.amazon.in</t>
  </si>
  <si>
    <t>407-3436435-5935566</t>
  </si>
  <si>
    <t>T6lYGh9Y9</t>
  </si>
  <si>
    <t>DL6HMBKZcM0VR</t>
  </si>
  <si>
    <t>2026-07-21T15:19:30+05:30</t>
  </si>
  <si>
    <t>2026-07-22T03:43:47+05:30</t>
  </si>
  <si>
    <t>2026-07-22T06:44:02+05:30</t>
  </si>
  <si>
    <t>xmr386bm20jkrtq@marketplace.amazon.in</t>
  </si>
  <si>
    <t>171-6096810-1405944</t>
  </si>
  <si>
    <t>TNmwhG9V9</t>
  </si>
  <si>
    <t>DkGzMNKlcP0zR</t>
  </si>
  <si>
    <t>2026-07-21T18:37:56+05:30</t>
  </si>
  <si>
    <t>2026-07-22T03:33:48+05:30</t>
  </si>
  <si>
    <t>2026-07-22T06:34:01+05:30</t>
  </si>
  <si>
    <t>yrxk5r9psll62ks@marketplace.amazon.in</t>
  </si>
  <si>
    <t>NAWANSHAHR</t>
  </si>
  <si>
    <t>405-6075012-8475531</t>
  </si>
  <si>
    <t>TwNp9WWc9</t>
  </si>
  <si>
    <t>Dzkb1TK8cl0qR</t>
  </si>
  <si>
    <t>2026-07-21T20:36:13+05:30</t>
  </si>
  <si>
    <t>2026-07-22T03:28:45+05:30</t>
  </si>
  <si>
    <t>2026-07-22T06:28:56+05:30</t>
  </si>
  <si>
    <t>h1v889vzzlr2n5x@marketplace.amazon.in</t>
  </si>
  <si>
    <t>408-1749393-7649900</t>
  </si>
  <si>
    <t>TgxD2s9t9</t>
  </si>
  <si>
    <t>DX6W1CKdcD0CR</t>
  </si>
  <si>
    <t>2026-07-21T12:06:22+05:30</t>
  </si>
  <si>
    <t>2026-07-22T03:24:59+05:30</t>
  </si>
  <si>
    <t>2026-07-22T06:25:12+05:30</t>
  </si>
  <si>
    <t>1zjskkd2swh9l2d@marketplace.amazon.in</t>
  </si>
  <si>
    <t>SANTOSHPUR</t>
  </si>
  <si>
    <t>403-4222658-8490752</t>
  </si>
  <si>
    <t>TJJfDtWs9</t>
  </si>
  <si>
    <t>D5RR16KBc601R</t>
  </si>
  <si>
    <t>2026-07-21T19:22:32+05:30</t>
  </si>
  <si>
    <t>2026-07-22T03:24:45+05:30</t>
  </si>
  <si>
    <t>2026-07-22T06:24:59+05:30</t>
  </si>
  <si>
    <t>hd1hjfcxv2gfmsc@marketplace.amazon.in</t>
  </si>
  <si>
    <t>407-4175853-4527543</t>
  </si>
  <si>
    <t>Tnt4yVQx9</t>
  </si>
  <si>
    <t>D7cd1sKsc00MR</t>
  </si>
  <si>
    <t>2026-07-20T22:08:34+05:30</t>
  </si>
  <si>
    <t>2026-07-22T03:18:41+05:30</t>
  </si>
  <si>
    <t>2026-07-22T03:18:44+05:30</t>
  </si>
  <si>
    <t>2026-07-22T04:18:55+05:30</t>
  </si>
  <si>
    <t>4v0tddg6044pyrw@marketplace.amazon.in</t>
  </si>
  <si>
    <t>402-1723507-6157133</t>
  </si>
  <si>
    <t>TCzHR3WV9</t>
  </si>
  <si>
    <t>L3110 (Black)</t>
  </si>
  <si>
    <t>D1vsr6Kwcd0bR</t>
  </si>
  <si>
    <t xml:space="preserve">Crasome Dust &amp; Water Proof Printer Cover for Epson EcoTank L3250 / L3210 (Black)
</t>
  </si>
  <si>
    <t>2026-07-21T17:44:20+05:30</t>
  </si>
  <si>
    <t>2026-07-22T03:17:44+05:30</t>
  </si>
  <si>
    <t>2026-07-22T03:17:48+05:30</t>
  </si>
  <si>
    <t>2026-07-22T04:17:58+05:30</t>
  </si>
  <si>
    <t>m5mz10frmfhryjp@marketplace.amazon.in</t>
  </si>
  <si>
    <t>PERUMBAVOOR</t>
  </si>
  <si>
    <t>405-2041886-7567554</t>
  </si>
  <si>
    <t>TGDpty9R9</t>
  </si>
  <si>
    <t>DGQyrTKdcR0YR</t>
  </si>
  <si>
    <t>2026-07-21T15:18:32+05:30</t>
  </si>
  <si>
    <t>2026-07-22T03:06:48+05:30</t>
  </si>
  <si>
    <t>2026-07-22T06:07:03+05:30</t>
  </si>
  <si>
    <t>wpzr0jsw1h34gfj@marketplace.amazon.in</t>
  </si>
  <si>
    <t>MANGALURU</t>
  </si>
  <si>
    <t>405-7032140-5033133</t>
  </si>
  <si>
    <t>T1lfXV9F9</t>
  </si>
  <si>
    <t>DsjD7rKmcY0FR</t>
  </si>
  <si>
    <t>2026-07-21T18:01:42+05:30</t>
  </si>
  <si>
    <t>2026-07-22T02:53:46+05:30</t>
  </si>
  <si>
    <t>2026-07-22T05:53:57+05:30</t>
  </si>
  <si>
    <t>5xcz64w4wqkqwf1@marketplace.amazon.in</t>
  </si>
  <si>
    <t>KUNNAMKULAM</t>
  </si>
  <si>
    <t>403-1522246-2466761</t>
  </si>
  <si>
    <t>TV39RJWZ9</t>
  </si>
  <si>
    <t>Dzrf7kKScq0TR</t>
  </si>
  <si>
    <t>2026-07-21T20:38:37+05:30</t>
  </si>
  <si>
    <t>2026-07-22T02:45:44+05:30</t>
  </si>
  <si>
    <t>2026-07-22T05:45:55+05:30</t>
  </si>
  <si>
    <t>nvpyvrbf8mc5052@marketplace.amazon.in</t>
  </si>
  <si>
    <t>GUWAHATI</t>
  </si>
  <si>
    <t>406-3482125-0268346</t>
  </si>
  <si>
    <t>T6LrRlWx9</t>
  </si>
  <si>
    <t>DJbKQ7KScX04R</t>
  </si>
  <si>
    <t>2026-07-21T19:31:31+05:30</t>
  </si>
  <si>
    <t>2026-07-22T02:03:44+05:30</t>
  </si>
  <si>
    <t>2026-07-22T02:03:46+05:30</t>
  </si>
  <si>
    <t>2026-07-22T03:03:59+05:30</t>
  </si>
  <si>
    <t>1zkw4nkghhhkzj8@marketplace.amazon.in</t>
  </si>
  <si>
    <t>402-1584036-6723506</t>
  </si>
  <si>
    <t>TNv5JkWc9</t>
  </si>
  <si>
    <t>DdGNQPKvcQ0qR</t>
  </si>
  <si>
    <t>2026-07-21T23:00:41+05:30</t>
  </si>
  <si>
    <t>2026-07-22T01:56:46+05:30</t>
  </si>
  <si>
    <t>2026-07-22T04:56:59+05:30</t>
  </si>
  <si>
    <t>cglb46c0vkk04hx@marketplace.amazon.in</t>
  </si>
  <si>
    <t>171-1946189-8087520</t>
  </si>
  <si>
    <t>T34N5R9Z9</t>
  </si>
  <si>
    <t>DvGYQPK2cQ0qR</t>
  </si>
  <si>
    <t>2026-07-21T19:20:53+05:30</t>
  </si>
  <si>
    <t>2026-07-22T01:54:42+05:30</t>
  </si>
  <si>
    <t>2026-07-22T04:54:54+05:30</t>
  </si>
  <si>
    <t>j9h3stq63dxkgz7@marketplace.amazon.in</t>
  </si>
  <si>
    <t>405-8459747-4642737</t>
  </si>
  <si>
    <t>TJnvdy9Z9</t>
  </si>
  <si>
    <t>DJf2cvKsch02R</t>
  </si>
  <si>
    <t>2026-07-21T15:07:00+05:30</t>
  </si>
  <si>
    <t>2026-07-22T01:36:47+05:30</t>
  </si>
  <si>
    <t>2026-07-22T04:37:03+05:30</t>
  </si>
  <si>
    <t>7jdqkw31gc4brqt@marketplace.amazon.in</t>
  </si>
  <si>
    <t>405-5536283-3841154</t>
  </si>
  <si>
    <t>TN5nBhWL9</t>
  </si>
  <si>
    <t>D8YbzjKsc90TR</t>
  </si>
  <si>
    <t>2026-07-21T19:32:22+05:30</t>
  </si>
  <si>
    <t>2026-07-22T01:10:44+05:30</t>
  </si>
  <si>
    <t>2026-07-22T04:10:58+05:30</t>
  </si>
  <si>
    <t>6cy4kwkkmgdn3dp@marketplace.amazon.in</t>
  </si>
  <si>
    <t>2026-07-22T08:00:00+05:30</t>
  </si>
  <si>
    <t>171-0195786-8369170</t>
  </si>
  <si>
    <t>TXWjrYWg9</t>
  </si>
  <si>
    <t>DnddVJKJcL03R</t>
  </si>
  <si>
    <t>2026-07-21T22:22:39+05:30</t>
  </si>
  <si>
    <t>2026-07-22T00:48:42+05:30</t>
  </si>
  <si>
    <t>2026-07-22T00:48:44+05:30</t>
  </si>
  <si>
    <t>2026-07-22T01:48:55+05:30</t>
  </si>
  <si>
    <t>68z6jc8rw33lngt@marketplace.amazon.in</t>
  </si>
  <si>
    <t>408-7979751-2141167</t>
  </si>
  <si>
    <t>TwhbvcWW9</t>
  </si>
  <si>
    <t>D0dyV1KLcL03R</t>
  </si>
  <si>
    <t>2026-07-21T22:34:00+05:30</t>
  </si>
  <si>
    <t>2026-07-22T00:47:41+05:30</t>
  </si>
  <si>
    <t>2026-07-22T03:47:53+05:30</t>
  </si>
  <si>
    <t>twfkv1v30w834lz@marketplace.amazon.in</t>
  </si>
  <si>
    <t>404-3479484-5781140</t>
  </si>
  <si>
    <t>TcxKnB6g9</t>
  </si>
  <si>
    <t>DvGQV4KWcw08R</t>
  </si>
  <si>
    <t>2026-07-20T19:21:39+05:30</t>
  </si>
  <si>
    <t>2026-07-22T00:40:45+05:30</t>
  </si>
  <si>
    <t>2026-07-22T03:41:00+05:30</t>
  </si>
  <si>
    <t>9l15lm8ynjswpfx@marketplace.amazon.in</t>
  </si>
  <si>
    <t>MALPUR</t>
  </si>
  <si>
    <t>407-6378996-9199542</t>
  </si>
  <si>
    <t>TJ2CLj929</t>
  </si>
  <si>
    <t>D0M72zKWcS0hR</t>
  </si>
  <si>
    <t>2026-07-21T14:01:29+05:30</t>
  </si>
  <si>
    <t>2026-07-22T00:37:47+05:30</t>
  </si>
  <si>
    <t>2026-07-22T03:37:59+05:30</t>
  </si>
  <si>
    <t>6pd6kdm4t8rrx3n@marketplace.amazon.in</t>
  </si>
  <si>
    <t>406-5732115-4785111</t>
  </si>
  <si>
    <t>TV5MK2919</t>
  </si>
  <si>
    <t>DDMV2ZKlcS0hR</t>
  </si>
  <si>
    <t>2026-07-21T17:33:43+05:30</t>
  </si>
  <si>
    <t>2026-07-22T00:37:42+05:30</t>
  </si>
  <si>
    <t>2026-07-22T03:37:54+05:30</t>
  </si>
  <si>
    <t>shsvt2drqmkftn0@marketplace.amazon.in</t>
  </si>
  <si>
    <t>Shirpur,Tal.shirpur,Dist.dhule</t>
  </si>
  <si>
    <t>407-1669578-0925964</t>
  </si>
  <si>
    <t>TnHbgf9d9</t>
  </si>
  <si>
    <t>DsCK2gK6cW08R</t>
  </si>
  <si>
    <t>2026-07-21T17:55:56+05:30</t>
  </si>
  <si>
    <t>2026-07-22T00:30:47+05:30</t>
  </si>
  <si>
    <t>2026-07-22T03:30:59+05:30</t>
  </si>
  <si>
    <t>rqprxf6ky3wzncq@marketplace.amazon.in</t>
  </si>
  <si>
    <t>TIRUNELVELI</t>
  </si>
  <si>
    <t>402-4679240-6158746</t>
  </si>
  <si>
    <t>TXMbrW9d9</t>
  </si>
  <si>
    <t>Dslp28KmcW00R</t>
  </si>
  <si>
    <t>2026-07-21T14:20:33+05:30</t>
  </si>
  <si>
    <t>2026-07-22T00:29:50+05:30</t>
  </si>
  <si>
    <t>2026-07-22T03:30:05+05:30</t>
  </si>
  <si>
    <t>l945q6zw8y16sbf@marketplace.amazon.in</t>
  </si>
  <si>
    <t>171-2580033-0161168</t>
  </si>
  <si>
    <t>TJJkLLWH9</t>
  </si>
  <si>
    <t>DV5TFbKrcc0MR</t>
  </si>
  <si>
    <t>2026-07-21T23:15:59+05:30</t>
  </si>
  <si>
    <t>2026-07-22T00:24:44+05:30</t>
  </si>
  <si>
    <t>2026-07-22T00:24:48+05:30</t>
  </si>
  <si>
    <t>2026-07-22T01:25:00+05:30</t>
  </si>
  <si>
    <t>km1tj28pryqgn0q@marketplace.amazon.in</t>
  </si>
  <si>
    <t>408-3444814-8231566</t>
  </si>
  <si>
    <t>TGSxhMQ39</t>
  </si>
  <si>
    <t>DJ4pFtKMcq0pR</t>
  </si>
  <si>
    <t>2026-07-21T09:21:43+05:30</t>
  </si>
  <si>
    <t>2026-07-22T00:23:46+05:30</t>
  </si>
  <si>
    <t>2026-07-22T03:23:58+05:30</t>
  </si>
  <si>
    <t>dy8pc9w9tc0045q@marketplace.amazon.in</t>
  </si>
  <si>
    <t>TN</t>
  </si>
  <si>
    <t>403-3948629-3199557</t>
  </si>
  <si>
    <t>TwmybgWG9</t>
  </si>
  <si>
    <t>DNbKFmKGcX08R</t>
  </si>
  <si>
    <t>2026-07-21T19:48:05+05:30</t>
  </si>
  <si>
    <t>2026-07-22T00:18:42+05:30</t>
  </si>
  <si>
    <t>2026-07-22T03:18:53+05:30</t>
  </si>
  <si>
    <t>408-3391762-8671541</t>
  </si>
  <si>
    <t>TnPTRlWt9</t>
  </si>
  <si>
    <t>DMFDD3Klcg0kR</t>
  </si>
  <si>
    <t>2026-07-21T19:05:05+05:30</t>
  </si>
  <si>
    <t>2026-07-22T00:07:47+05:30</t>
  </si>
  <si>
    <t>2026-07-22T00:07:51+05:30</t>
  </si>
  <si>
    <t>2026-07-22T01:08:03+05:30</t>
  </si>
  <si>
    <t>403-2264837-8621956</t>
  </si>
  <si>
    <t>TJqL45WK9</t>
  </si>
  <si>
    <t>DBFqDzKrcg0kR</t>
  </si>
  <si>
    <t>2026-07-21T21:09:41+05:30</t>
  </si>
  <si>
    <t>2026-07-22T00:03:44+05:30</t>
  </si>
  <si>
    <t>2026-07-22T00:03:47+05:30</t>
  </si>
  <si>
    <t>2026-07-22T01:03:58+05:30</t>
  </si>
  <si>
    <t>wjzhvrwmbct7g4c@marketplace.amazon.in</t>
  </si>
  <si>
    <t>402-1894424-6843558</t>
  </si>
  <si>
    <t>T3Ylqs9P9</t>
  </si>
  <si>
    <t>DxvrYBKCc30XR</t>
  </si>
  <si>
    <t>2026-07-21T19:43:13+05:30</t>
  </si>
  <si>
    <t>2026-07-21T23:53:45+05:30</t>
  </si>
  <si>
    <t>2026-07-22T02:53:57+05:30</t>
  </si>
  <si>
    <t>ds6b332v30d6mr5@marketplace.amazon.in</t>
  </si>
  <si>
    <t>406-3225626-9311552</t>
  </si>
  <si>
    <t>TVCmQ2WM9</t>
  </si>
  <si>
    <t>DxT8DdKlcM0xR</t>
  </si>
  <si>
    <t>2026-07-21T21:34:49+05:30</t>
  </si>
  <si>
    <t>2026-07-21T23:53:42+05:30</t>
  </si>
  <si>
    <t>2026-07-22T02:53:53+05:30</t>
  </si>
  <si>
    <t>r8q93dgh3d7jzhl@marketplace.amazon.in</t>
  </si>
  <si>
    <t>407-0011837-1194770</t>
  </si>
  <si>
    <t>Tcq7nQW39</t>
  </si>
  <si>
    <t>DYDSYDK6cq0xR</t>
  </si>
  <si>
    <t xml:space="preserve">Crasome Dust &amp; Water Proof Printer Cover for Epson EcoTank L3150 / L3110 (Black)
</t>
  </si>
  <si>
    <t>2026-07-21T22:14:56+05:30</t>
  </si>
  <si>
    <t>2026-07-21T23:43:43+05:30</t>
  </si>
  <si>
    <t>2026-07-22T02:43:56+05:30</t>
  </si>
  <si>
    <t>w5qpf2pqtxr2rqw@marketplace.amazon.in</t>
  </si>
  <si>
    <t>171-4330562-4848328</t>
  </si>
  <si>
    <t>TX0SZB9B9</t>
  </si>
  <si>
    <t>D42FYpKYc30yR</t>
  </si>
  <si>
    <t>2026-07-21T20:48:36+05:30</t>
  </si>
  <si>
    <t>2026-07-21T23:40:46+05:30</t>
  </si>
  <si>
    <t>2026-07-22T02:40:58+05:30</t>
  </si>
  <si>
    <t>171-0325500-2605939</t>
  </si>
  <si>
    <t>TJY9Kk6Q9</t>
  </si>
  <si>
    <t>DrcYY9K7cx0fR</t>
  </si>
  <si>
    <t>2026-07-20T19:37:00+05:30</t>
  </si>
  <si>
    <t>2026-07-21T23:38:41+05:30</t>
  </si>
  <si>
    <t>2026-07-21T23:38:44+05:30</t>
  </si>
  <si>
    <t>2026-07-22T00:38:55+05:30</t>
  </si>
  <si>
    <t>y41n08k82k36sp8@marketplace.amazon.in</t>
  </si>
  <si>
    <t>406-5655942-6202768</t>
  </si>
  <si>
    <t>TXLzDCW39</t>
  </si>
  <si>
    <t>DMp1YFKqcK0KR</t>
  </si>
  <si>
    <t>2026-07-21T21:56:08+05:30</t>
  </si>
  <si>
    <t>2026-07-21T23:31:44+05:30</t>
  </si>
  <si>
    <t>2026-07-21T23:31:46+05:30</t>
  </si>
  <si>
    <t>2026-07-22T00:31:57+05:30</t>
  </si>
  <si>
    <t>mybrl85yx7kgcxz@marketplace.amazon.in</t>
  </si>
  <si>
    <t>403-4090695-3769108</t>
  </si>
  <si>
    <t>T3LJHQ9t9</t>
  </si>
  <si>
    <t>Dym4yyKnch0gR</t>
  </si>
  <si>
    <t>2026-07-21T10:32:47+05:30</t>
  </si>
  <si>
    <t>2026-07-21T23:28:45+05:30</t>
  </si>
  <si>
    <t>2026-07-21T23:28:48+05:30</t>
  </si>
  <si>
    <t>2026-07-22T00:28:59+05:30</t>
  </si>
  <si>
    <t>sz5h1nkv5q0sqzz@marketplace.amazon.in</t>
  </si>
  <si>
    <t>171-2846102-0689940</t>
  </si>
  <si>
    <t>TNZwfF9W9</t>
  </si>
  <si>
    <t>DKm9yXKpc705R</t>
  </si>
  <si>
    <t>2026-07-21T19:58:47+05:30</t>
  </si>
  <si>
    <t>2026-07-21T23:26:44+05:30</t>
  </si>
  <si>
    <t>2026-07-22T02:26:56+05:30</t>
  </si>
  <si>
    <t>4fwf5dwjnnhpmyk@marketplace.amazon.in</t>
  </si>
  <si>
    <t>406-8689319-5382761</t>
  </si>
  <si>
    <t>TckT7tW89</t>
  </si>
  <si>
    <t>DLcby2KqcY0JR</t>
  </si>
  <si>
    <t>2026-07-21T21:43:29+05:30</t>
  </si>
  <si>
    <t>2026-07-21T23:21:46+05:30</t>
  </si>
  <si>
    <t>2026-07-22T02:21:57+05:30</t>
  </si>
  <si>
    <t>hl03jlkt2md1kw2@marketplace.amazon.in</t>
  </si>
  <si>
    <t>Anantapur</t>
  </si>
  <si>
    <t>403-6795300-1842706</t>
  </si>
  <si>
    <t>TCy5zsWF9</t>
  </si>
  <si>
    <t>D2QkykK7cZ0lR</t>
  </si>
  <si>
    <t>2026-07-21T21:42:03+05:30</t>
  </si>
  <si>
    <t>2026-07-21T23:21:44+05:30</t>
  </si>
  <si>
    <t>2026-07-22T02:21:58+05:30</t>
  </si>
  <si>
    <t>tx310xwt6mh69jf@marketplace.amazon.in</t>
  </si>
  <si>
    <t>CHITTOOR</t>
  </si>
  <si>
    <t>408-6228254-0716334</t>
  </si>
  <si>
    <t>T1D8XD9d9</t>
  </si>
  <si>
    <t>DxsSwdKrcV0SR</t>
  </si>
  <si>
    <t>2026-07-21T15:22:18+05:30</t>
  </si>
  <si>
    <t>2026-07-21T23:02:45+05:30</t>
  </si>
  <si>
    <t>2026-07-22T02:02:59+05:30</t>
  </si>
  <si>
    <t>fnqz9tm4m38vnd3@marketplace.amazon.in</t>
  </si>
  <si>
    <t>402-0091358-9579546</t>
  </si>
  <si>
    <t>TCtr3L9D9</t>
  </si>
  <si>
    <t>DYgn9YKHcW0yR</t>
  </si>
  <si>
    <t>2026-07-21T15:00:54+05:30</t>
  </si>
  <si>
    <t>2026-07-21T22:34:50+05:30</t>
  </si>
  <si>
    <t>2026-07-22T01:35:13+05:30</t>
  </si>
  <si>
    <t>s53k99h7r7jy2gc@marketplace.amazon.in</t>
  </si>
  <si>
    <t>171-4013586-2037961</t>
  </si>
  <si>
    <t>TCnwkwWM9</t>
  </si>
  <si>
    <t>DnWY9qKxct0TR</t>
  </si>
  <si>
    <t>2026-07-21T19:21:16+05:30</t>
  </si>
  <si>
    <t>2026-07-21T22:31:50+05:30</t>
  </si>
  <si>
    <t>2026-07-22T01:32:01+05:30</t>
  </si>
  <si>
    <t>j7vfdhy14dthgv0@marketplace.amazon.in</t>
  </si>
  <si>
    <t>RAYADURG</t>
  </si>
  <si>
    <t>171-0360064-2196368</t>
  </si>
  <si>
    <t>TVl6X6979</t>
  </si>
  <si>
    <t>DwSqHsKNcw0CR</t>
  </si>
  <si>
    <t>2026-07-21T18:02:48+05:30</t>
  </si>
  <si>
    <t>2026-07-21T22:02:42+05:30</t>
  </si>
  <si>
    <t>2026-07-21T22:02:45+05:30</t>
  </si>
  <si>
    <t>2026-07-21T23:02:56+05:30</t>
  </si>
  <si>
    <t>j04kywvyx37q3p5@marketplace.amazon.in</t>
  </si>
  <si>
    <t>DINDIGUL</t>
  </si>
  <si>
    <t>406-6590399-3340349</t>
  </si>
  <si>
    <t>T3WB04999</t>
  </si>
  <si>
    <t>D7xfHYKJcr01R</t>
  </si>
  <si>
    <t>2026-07-21T17:03:10+05:30</t>
  </si>
  <si>
    <t>2026-07-21T21:54:44+05:30</t>
  </si>
  <si>
    <t>2026-07-22T00:54:56+05:30</t>
  </si>
  <si>
    <t>ngcsy4vkr3dl71f@marketplace.amazon.in</t>
  </si>
  <si>
    <t>DWxtHYKJcr01R</t>
  </si>
  <si>
    <t>404-3208732-2793109</t>
  </si>
  <si>
    <t>TCSfqJ9r9</t>
  </si>
  <si>
    <t>DGRNH2K0ck0rR</t>
  </si>
  <si>
    <t>2026-07-21T20:32:59+05:30</t>
  </si>
  <si>
    <t>2026-07-21T21:52:40+05:30</t>
  </si>
  <si>
    <t>2026-07-22T00:52:48+05:30</t>
  </si>
  <si>
    <t>g4xkz9k6gg2jmkj@marketplace.amazon.in</t>
  </si>
  <si>
    <t>MIRYALAGUDA</t>
  </si>
  <si>
    <t>171-1037286-5617115</t>
  </si>
  <si>
    <t>T3QXhW9N9</t>
  </si>
  <si>
    <t>D2RqHFKsck0rR</t>
  </si>
  <si>
    <t>2026-07-21T18:45:21+05:30</t>
  </si>
  <si>
    <t>2026-07-21T21:49:44+05:30</t>
  </si>
  <si>
    <t>2026-07-22T00:49:56+05:30</t>
  </si>
  <si>
    <t>xwrqh63f9wj748r@marketplace.amazon.in</t>
  </si>
  <si>
    <t>405-9360775-8567515</t>
  </si>
  <si>
    <t>T36pW39K9</t>
  </si>
  <si>
    <t>DfxsHZKjcJ01R</t>
  </si>
  <si>
    <t>2026-07-21T18:04:16+05:30</t>
  </si>
  <si>
    <t>2026-07-21T21:48:42+05:30</t>
  </si>
  <si>
    <t>2026-07-21T21:48:45+05:30</t>
  </si>
  <si>
    <t>2026-07-21T22:48:55+05:30</t>
  </si>
  <si>
    <t>y5btqtr9ywy4zz4@marketplace.amazon.in</t>
  </si>
  <si>
    <t>403-4898418-0114744</t>
  </si>
  <si>
    <t>Tcvq0F9k9</t>
  </si>
  <si>
    <t>D5WybGKRc700R</t>
  </si>
  <si>
    <t>2026-07-21T17:52:25+05:30</t>
  </si>
  <si>
    <t>2026-07-21T21:45:46+05:30</t>
  </si>
  <si>
    <t>2026-07-22T00:46:01+05:30</t>
  </si>
  <si>
    <t>cscw3lk0nxhfr2g@marketplace.amazon.in</t>
  </si>
  <si>
    <t>408-9014447-7203549</t>
  </si>
  <si>
    <t>TNrfJtz79</t>
  </si>
  <si>
    <t>DrZnk6Kvcp0rR</t>
  </si>
  <si>
    <t>2026-07-19T19:15:47+05:30</t>
  </si>
  <si>
    <t>2026-07-21T21:28:42+05:30</t>
  </si>
  <si>
    <t>2026-07-21T21:28:46+05:30</t>
  </si>
  <si>
    <t>2026-07-21T22:29:00+05:30</t>
  </si>
  <si>
    <t>4964mc5crnw914d@marketplace.amazon.in</t>
  </si>
  <si>
    <t>407-8368229-6106759</t>
  </si>
  <si>
    <t>TV9Hr79V9</t>
  </si>
  <si>
    <t>DKZ4kBKjcn0rR</t>
  </si>
  <si>
    <t>2026-07-21T13:44:40+05:30</t>
  </si>
  <si>
    <t>2026-07-21T21:22:49+05:30</t>
  </si>
  <si>
    <t>2026-07-22T00:23:05+05:30</t>
  </si>
  <si>
    <t>mv85qzckxyvfrf0@marketplace.amazon.in</t>
  </si>
  <si>
    <t>408-7702469-5358750</t>
  </si>
  <si>
    <t>TNv9GY9L9</t>
  </si>
  <si>
    <t>DV6FkKKKc40PR</t>
  </si>
  <si>
    <t>2026-07-21T16:01:56+05:30</t>
  </si>
  <si>
    <t>2026-07-21T21:21:47+05:30</t>
  </si>
  <si>
    <t>2026-07-22T00:22:00+05:30</t>
  </si>
  <si>
    <t>m1cyx9ky3krctst@marketplace.amazon.in</t>
  </si>
  <si>
    <t>407-8808559-6669912</t>
  </si>
  <si>
    <t>T6PV8w9b9</t>
  </si>
  <si>
    <t>DWNBNGKzc008R</t>
  </si>
  <si>
    <t>2026-07-21T18:39:42+05:30</t>
  </si>
  <si>
    <t>2026-07-21T21:18:47+05:30</t>
  </si>
  <si>
    <t>2026-07-22T00:19:01+05:30</t>
  </si>
  <si>
    <t>qdrttmh6x3kcc2k@marketplace.amazon.in</t>
  </si>
  <si>
    <t>406-2057700-9853161</t>
  </si>
  <si>
    <t>TNq69yWn9</t>
  </si>
  <si>
    <t>DtwcNzKYc20YR</t>
  </si>
  <si>
    <t>2026-07-21T19:24:42+05:30</t>
  </si>
  <si>
    <t>2026-07-21T21:08:42+05:30</t>
  </si>
  <si>
    <t>2026-07-21T21:08:46+05:30</t>
  </si>
  <si>
    <t>2026-07-21T22:09:01+05:30</t>
  </si>
  <si>
    <t>j53912w3g78j9kk@marketplace.amazon.in</t>
  </si>
  <si>
    <t xml:space="preserve">Crasome Dust &amp; Water Proof Printer Cover for Epson EcoTank L3150 / L3110 (Grey)
</t>
  </si>
  <si>
    <t>404-5532899-3679557</t>
  </si>
  <si>
    <t>Tgls5r6c9</t>
  </si>
  <si>
    <t>DGTZNTKfcK01R</t>
  </si>
  <si>
    <t>2026-07-20T16:43:34+05:30</t>
  </si>
  <si>
    <t>2026-07-21T21:06:47+05:30</t>
  </si>
  <si>
    <t>2026-07-22T00:07:04+05:30</t>
  </si>
  <si>
    <t>6szsvl5hmkvmp13@marketplace.amazon.in</t>
  </si>
  <si>
    <t>408-6297363-0751553</t>
  </si>
  <si>
    <t>TwWb6Z9N9</t>
  </si>
  <si>
    <t>D5GXNpKFcc06R</t>
  </si>
  <si>
    <t>2026-07-21T09:24:58+05:30</t>
  </si>
  <si>
    <t>2026-07-21T21:01:42+05:30</t>
  </si>
  <si>
    <t>2026-07-21T21:01:45+05:30</t>
  </si>
  <si>
    <t>2026-07-21T22:01:56+05:30</t>
  </si>
  <si>
    <t>57pzm48jtmmkyxw@marketplace.amazon.in</t>
  </si>
  <si>
    <t>KAKINADA</t>
  </si>
  <si>
    <t>407-8538433-9015523</t>
  </si>
  <si>
    <t>TNXQJ49n9</t>
  </si>
  <si>
    <t>DXsxNQK2cW0QR</t>
  </si>
  <si>
    <t>2026-07-21T14:32:22+05:30</t>
  </si>
  <si>
    <t>2026-07-21T20:58:43+05:30</t>
  </si>
  <si>
    <t>2026-07-21T20:58:45+05:30</t>
  </si>
  <si>
    <t>2026-07-21T21:58:57+05:30</t>
  </si>
  <si>
    <t>qwyfns54f2g6m7m@marketplace.amazon.in</t>
  </si>
  <si>
    <t>408-2186997-4932332</t>
  </si>
  <si>
    <t>TXC1RjWF9</t>
  </si>
  <si>
    <t>Dh8GRkKTcK0tR</t>
  </si>
  <si>
    <t>2026-07-21T19:33:51+05:30</t>
  </si>
  <si>
    <t>2026-07-21T20:49:40+05:30</t>
  </si>
  <si>
    <t>2026-07-21T23:49:52+05:30</t>
  </si>
  <si>
    <t>kk5yl8pzp78gyqj@marketplace.amazon.in</t>
  </si>
  <si>
    <t>Navi Mumbai</t>
  </si>
  <si>
    <t>406-4134355-2159536</t>
  </si>
  <si>
    <t>TgQBk1WP9</t>
  </si>
  <si>
    <t>D9P9RhKtcY0sR</t>
  </si>
  <si>
    <t>2026-07-21T18:54:43+05:30</t>
  </si>
  <si>
    <t>2026-07-21T20:40:42+05:30</t>
  </si>
  <si>
    <t>2026-07-21T20:40:45+05:30</t>
  </si>
  <si>
    <t>2026-07-21T21:40:56+05:30</t>
  </si>
  <si>
    <t>h9cxq5byx456230@marketplace.amazon.in</t>
  </si>
  <si>
    <t>secunderabad</t>
  </si>
  <si>
    <t>403-8611823-4038736</t>
  </si>
  <si>
    <t>TJsMkNWr9</t>
  </si>
  <si>
    <t>D1DKfhXmc00nR</t>
  </si>
  <si>
    <t>2026-07-21T18:18:46+05:30</t>
  </si>
  <si>
    <t>2026-07-21T20:17:50+05:30</t>
  </si>
  <si>
    <t>2026-07-21T23:18:03+05:30</t>
  </si>
  <si>
    <t>dz1p8l07nz7xfnv@marketplace.amazon.in</t>
  </si>
  <si>
    <t>171-1780138-1939563</t>
  </si>
  <si>
    <t>TgrjZh6f9</t>
  </si>
  <si>
    <t>DW4bjKXNcq0GR</t>
  </si>
  <si>
    <t>2026-07-20T20:30:46+05:30</t>
  </si>
  <si>
    <t>2026-07-21T20:03:48+05:30</t>
  </si>
  <si>
    <t>2026-07-21T23:04:00+05:30</t>
  </si>
  <si>
    <t>g6jfk9bglftj7nr@marketplace.amazon.in</t>
  </si>
  <si>
    <t>402-7141399-0451527</t>
  </si>
  <si>
    <t>TgXJ8DQd9</t>
  </si>
  <si>
    <t>DZ55jcXjcB07R</t>
  </si>
  <si>
    <t>2026-07-21T07:16:41+05:30</t>
  </si>
  <si>
    <t>2026-07-21T20:03:47+05:30</t>
  </si>
  <si>
    <t>2026-07-21T23:03:59+05:30</t>
  </si>
  <si>
    <t>lfctvw7z2px5swg@marketplace.amazon.in</t>
  </si>
  <si>
    <t>KARUMATHAMPATTI</t>
  </si>
  <si>
    <t>DQ4ljQXHcq0GR</t>
  </si>
  <si>
    <t>403-3290916-1897155</t>
  </si>
  <si>
    <t>TCmvGb9d9</t>
  </si>
  <si>
    <t>DRjMjyXkc706R</t>
  </si>
  <si>
    <t>2026-07-21T15:38:12+05:30</t>
  </si>
  <si>
    <t>2026-07-21T20:02:46+05:30</t>
  </si>
  <si>
    <t>2026-07-21T23:02:58+05:30</t>
  </si>
  <si>
    <t>ytzfwk53zp17ytz@marketplace.amazon.in</t>
  </si>
  <si>
    <t>406-5227991-0236364</t>
  </si>
  <si>
    <t>TVh3KBzX9</t>
  </si>
  <si>
    <t>DWSFjLXlcR0TR</t>
  </si>
  <si>
    <t>2026-07-19T22:51:17+05:30</t>
  </si>
  <si>
    <t>2026-07-21T20:01:47+05:30</t>
  </si>
  <si>
    <t>2026-07-21T23:01:58+05:30</t>
  </si>
  <si>
    <t>zc0xh2r7lcn9pw8@marketplace.amazon.in</t>
  </si>
  <si>
    <t>Harur</t>
  </si>
  <si>
    <t>AC003873767IN</t>
  </si>
  <si>
    <t>406-9664392-2904353</t>
  </si>
  <si>
    <t>T68kdJ9W9</t>
  </si>
  <si>
    <t>DM8Tj3Xjct0BR</t>
  </si>
  <si>
    <t>2026-07-21T16:38:11+05:30</t>
  </si>
  <si>
    <t>2026-07-21T19:59:43+05:30</t>
  </si>
  <si>
    <t>2026-07-21T22:59:55+05:30</t>
  </si>
  <si>
    <t>qm6mqq9ykw9x19b@marketplace.amazon.in</t>
  </si>
  <si>
    <t>Tirupathi</t>
  </si>
  <si>
    <t>404-5229669-8549958</t>
  </si>
  <si>
    <t>TNWVnq9V9</t>
  </si>
  <si>
    <t>DSryjBXzc40KR</t>
  </si>
  <si>
    <t>2026-07-21T14:04:48+05:30</t>
  </si>
  <si>
    <t>2026-07-21T19:52:47+05:30</t>
  </si>
  <si>
    <t>2026-07-21T22:52:59+05:30</t>
  </si>
  <si>
    <t>p2dhb96dg2gzmcp@marketplace.amazon.in</t>
  </si>
  <si>
    <t>407-4333610-2793130</t>
  </si>
  <si>
    <t>T1T3dp9n9</t>
  </si>
  <si>
    <t>Dn0mj8XQck0YR</t>
  </si>
  <si>
    <t>2026-07-21T16:24:27+05:30</t>
  </si>
  <si>
    <t>2026-07-21T19:52:44+05:30</t>
  </si>
  <si>
    <t>0rhpvqvytcnmt7x@marketplace.amazon.in</t>
  </si>
  <si>
    <t>404-1642962-0914763</t>
  </si>
  <si>
    <t>TcJxBF969</t>
  </si>
  <si>
    <t>DlVVZ7XBcV0tR</t>
  </si>
  <si>
    <t>2026-07-21T10:52:52+05:30</t>
  </si>
  <si>
    <t>2026-07-21T19:41:43+05:30</t>
  </si>
  <si>
    <t>2026-07-21T19:41:48+05:30</t>
  </si>
  <si>
    <t>2026-07-21T20:42:02+05:30</t>
  </si>
  <si>
    <t>z7fwk20n000g3x3@marketplace.amazon.in</t>
  </si>
  <si>
    <t>Uluberia</t>
  </si>
  <si>
    <t>404-4087727-7974731</t>
  </si>
  <si>
    <t>T1866X9T9</t>
  </si>
  <si>
    <t>DxpcZqX7cW0MR</t>
  </si>
  <si>
    <t>2026-07-21T16:32:52+05:30</t>
  </si>
  <si>
    <t>2026-07-21T19:30:44+05:30</t>
  </si>
  <si>
    <t>2026-07-21T22:30:56+05:30</t>
  </si>
  <si>
    <t>hsskx407grlly6m@marketplace.amazon.in</t>
  </si>
  <si>
    <t>406-6068976-3818733</t>
  </si>
  <si>
    <t>TnvcmR9Z9</t>
  </si>
  <si>
    <t>DMD9qRXpcB0JR</t>
  </si>
  <si>
    <t>2026-07-21T17:05:50+05:30</t>
  </si>
  <si>
    <t>2026-07-21T19:25:42+05:30</t>
  </si>
  <si>
    <t>2026-07-21T22:25:54+05:30</t>
  </si>
  <si>
    <t>fmm9cy8f8n30930@marketplace.amazon.in</t>
  </si>
  <si>
    <t>405-8463406-9658743</t>
  </si>
  <si>
    <t>TNxwpC9q9</t>
  </si>
  <si>
    <t>Dsvj5WXmcN0lR</t>
  </si>
  <si>
    <t>2026-07-21T17:30:19+05:30</t>
  </si>
  <si>
    <t>2026-07-21T19:17:47+05:30</t>
  </si>
  <si>
    <t>2026-07-21T22:18:02+05:30</t>
  </si>
  <si>
    <t>9w1bw9zywh5nb6g@marketplace.amazon.in</t>
  </si>
  <si>
    <t>407-6295658-8689147</t>
  </si>
  <si>
    <t>TgyKmL9L9</t>
  </si>
  <si>
    <t>DfvB5pX1cN0lR</t>
  </si>
  <si>
    <t>2026-07-21T16:50:07+05:30</t>
  </si>
  <si>
    <t>2026-07-21T19:14:50+05:30</t>
  </si>
  <si>
    <t>2026-07-21T22:15:04+05:30</t>
  </si>
  <si>
    <t>97m4p099dcq381j@marketplace.amazon.in</t>
  </si>
  <si>
    <t>JALANDHAR I</t>
  </si>
  <si>
    <t>408-1361409-8704358</t>
  </si>
  <si>
    <t>T3JqF1959</t>
  </si>
  <si>
    <t>D3Nq59Xlcj0KR</t>
  </si>
  <si>
    <t>2026-07-21T11:23:31+05:30</t>
  </si>
  <si>
    <t>2026-07-21T19:13:48+05:30</t>
  </si>
  <si>
    <t>2026-07-21T22:13:59+05:30</t>
  </si>
  <si>
    <t>93p6xw5066szm4t@marketplace.amazon.in</t>
  </si>
  <si>
    <t>Canon G (Grey)</t>
  </si>
  <si>
    <t xml:space="preserve">Crasome Dust &amp; Water Proof Printer Cover for Canon Pixma G3012 / G3010 / G2012 (Grey)
</t>
  </si>
  <si>
    <t>408-9200090-3904328</t>
  </si>
  <si>
    <t>TCgFL96l9</t>
  </si>
  <si>
    <t>DJ4y5HX6cv0TR</t>
  </si>
  <si>
    <t>2026-07-20T17:27:45+05:30</t>
  </si>
  <si>
    <t>2026-07-21T19:11:48+05:30</t>
  </si>
  <si>
    <t>2026-07-21T22:12:03+05:30</t>
  </si>
  <si>
    <t>ys6pwdt5glww070@marketplace.amazon.in</t>
  </si>
  <si>
    <t>404-8961299-0554704</t>
  </si>
  <si>
    <t>TNQCzGzn9</t>
  </si>
  <si>
    <t>DWmb5sXtcN04R</t>
  </si>
  <si>
    <t>2026-07-16T16:10:10+05:30</t>
  </si>
  <si>
    <t>2026-07-21T19:09:45+05:30</t>
  </si>
  <si>
    <t>2026-07-21T22:09:56+05:30</t>
  </si>
  <si>
    <t>zv2zbqyq50pnmmg@marketplace.amazon.in</t>
  </si>
  <si>
    <t>MUMBAI 49 mumbai 400049</t>
  </si>
  <si>
    <t>407-9345359-7597960</t>
  </si>
  <si>
    <t>TJ4F4jQ19</t>
  </si>
  <si>
    <t>DXWx5nXMcw0PR</t>
  </si>
  <si>
    <t>2026-07-20T21:36:25+05:30</t>
  </si>
  <si>
    <t>2026-07-21T19:02:48+05:30</t>
  </si>
  <si>
    <t>2026-07-21T22:03:00+05:30</t>
  </si>
  <si>
    <t>5glcp93dhbsz2vg@marketplace.amazon.in</t>
  </si>
  <si>
    <t>405-9790041-2862747</t>
  </si>
  <si>
    <t>TXttZCzn9</t>
  </si>
  <si>
    <t>DRRrgzXVcQ0tR</t>
  </si>
  <si>
    <t>2026-07-19T23:22:01+05:30</t>
  </si>
  <si>
    <t>2026-07-21T18:46:48+05:30</t>
  </si>
  <si>
    <t>2026-07-21T21:47:01+05:30</t>
  </si>
  <si>
    <t>30k7vh4c6lz47mx@marketplace.amazon.in</t>
  </si>
  <si>
    <t>404-8677797-7736348</t>
  </si>
  <si>
    <t>TNbWm06q9</t>
  </si>
  <si>
    <t>D9tj8HXFcn01R</t>
  </si>
  <si>
    <t>2026-07-20T18:48:07+05:30</t>
  </si>
  <si>
    <t>2026-07-21T18:30:47+05:30</t>
  </si>
  <si>
    <t>2026-07-21T21:30:59+05:30</t>
  </si>
  <si>
    <t>d4svt0t2hjsc2yt@marketplace.amazon.in</t>
  </si>
  <si>
    <t>RISHIKESH</t>
  </si>
  <si>
    <t>403-7415765-7408357</t>
  </si>
  <si>
    <t>TnZ1SB9m9</t>
  </si>
  <si>
    <t>DkT48wXlcF0XR</t>
  </si>
  <si>
    <t>2026-07-21T15:40:21+05:30</t>
  </si>
  <si>
    <t>2026-07-21T18:29:46+05:30</t>
  </si>
  <si>
    <t>2026-07-21T21:29:57+05:30</t>
  </si>
  <si>
    <t>h4j0btvxgb2s5yd@marketplace.amazon.in</t>
  </si>
  <si>
    <t>DHARMSALA</t>
  </si>
  <si>
    <t>404-0532232-8562724</t>
  </si>
  <si>
    <t>TN0VFJ9V9</t>
  </si>
  <si>
    <t>D4F9CcXVcq0gR</t>
  </si>
  <si>
    <t>2026-07-21T10:54:53+05:30</t>
  </si>
  <si>
    <t>2026-07-21T18:04:44+05:30</t>
  </si>
  <si>
    <t>2026-07-21T21:04:57+05:30</t>
  </si>
  <si>
    <t>vc77c86cc4qkbb3@marketplace.amazon.in</t>
  </si>
  <si>
    <t>403-4272763-0317115</t>
  </si>
  <si>
    <t>TJ8k6y9s9</t>
  </si>
  <si>
    <t>DLV8CdXRc809R</t>
  </si>
  <si>
    <t>2026-07-21T16:28:01+05:30</t>
  </si>
  <si>
    <t>2026-07-21T18:00:44+05:30</t>
  </si>
  <si>
    <t>2026-07-21T21:00:56+05:30</t>
  </si>
  <si>
    <t>dwp7l6wxrqv3qbs@marketplace.amazon.in</t>
  </si>
  <si>
    <t>GAUTAM BUDDHA NAGAR</t>
  </si>
  <si>
    <t>408-3888635-6053154</t>
  </si>
  <si>
    <t>TGKNYg9s9</t>
  </si>
  <si>
    <t>DJ1BplXdcK0rR</t>
  </si>
  <si>
    <t>2026-07-21T11:42:10+05:30</t>
  </si>
  <si>
    <t>2026-07-21T17:44:47+05:30</t>
  </si>
  <si>
    <t>2026-07-21T20:44:59+05:30</t>
  </si>
  <si>
    <t>v9rk36bgpbzp4vb@marketplace.amazon.in</t>
  </si>
  <si>
    <t>171-6891643-9297924</t>
  </si>
  <si>
    <t>Tw3qBC9w9</t>
  </si>
  <si>
    <t>DBhkphXtcM0PR</t>
  </si>
  <si>
    <t>2026-07-21T11:42:20+05:30</t>
  </si>
  <si>
    <t>2026-07-21T17:40:45+05:30</t>
  </si>
  <si>
    <t>2026-07-21T20:40:57+05:30</t>
  </si>
  <si>
    <t>94rxl3dfrp07jgw@marketplace.amazon.in</t>
  </si>
  <si>
    <t>CHERPU</t>
  </si>
  <si>
    <t>407-2506805-3540364</t>
  </si>
  <si>
    <t>TCTwTm9d9</t>
  </si>
  <si>
    <t>DgcZpQXKcz0LR</t>
  </si>
  <si>
    <t>2026-07-21T15:07:46+05:30</t>
  </si>
  <si>
    <t>2026-07-21T17:38:47+05:30</t>
  </si>
  <si>
    <t>2026-07-21T20:38:58+05:30</t>
  </si>
  <si>
    <t>lxsrzckb0xhcq1d@marketplace.amazon.in</t>
  </si>
  <si>
    <t>408-6321095-2532328</t>
  </si>
  <si>
    <t>TCNVyY6D9</t>
  </si>
  <si>
    <t>D3f3pjXLcB0rR</t>
  </si>
  <si>
    <t>2026-07-20T15:08:01+05:30</t>
  </si>
  <si>
    <t>2026-07-21T17:37:47+05:30</t>
  </si>
  <si>
    <t>2026-07-21T20:38:00+05:30</t>
  </si>
  <si>
    <t>q843gpwf8zgrc6t@marketplace.amazon.in</t>
  </si>
  <si>
    <t>ELURU</t>
  </si>
  <si>
    <t>171-6117210-7271561</t>
  </si>
  <si>
    <t>TC55GK9R9</t>
  </si>
  <si>
    <t>DYnmp3XTch0KR</t>
  </si>
  <si>
    <t>2026-07-21T15:58:01+05:30</t>
  </si>
  <si>
    <t>2026-07-21T17:33:45+05:30</t>
  </si>
  <si>
    <t>2026-07-21T20:33:57+05:30</t>
  </si>
  <si>
    <t>k6hcgcm213trj5c@marketplace.amazon.in</t>
  </si>
  <si>
    <t>404-4481769-8142757</t>
  </si>
  <si>
    <t>TCfvmp9m9</t>
  </si>
  <si>
    <t>DVqspxXCc600R</t>
  </si>
  <si>
    <t>2026-07-21T16:08:20+05:30</t>
  </si>
  <si>
    <t>2026-07-21T17:30:45+05:30</t>
  </si>
  <si>
    <t>2026-07-21T20:30:57+05:30</t>
  </si>
  <si>
    <t>scrlw541zl92ntg@marketplace.amazon.in</t>
  </si>
  <si>
    <t>405-3669921-2951542</t>
  </si>
  <si>
    <t>TgptN99w9</t>
  </si>
  <si>
    <t>DXnxplXHch0KR</t>
  </si>
  <si>
    <t>2026-07-21T10:18:16+05:30</t>
  </si>
  <si>
    <t>2026-07-21T17:29:44+05:30</t>
  </si>
  <si>
    <t>2026-07-21T20:29:57+05:30</t>
  </si>
  <si>
    <t>gt6g3z5g1chwbn6@marketplace.amazon.in</t>
  </si>
  <si>
    <t>AM007773804IN</t>
  </si>
  <si>
    <t>405-1591745-1364303</t>
  </si>
  <si>
    <t>T1xmvW9Y9</t>
  </si>
  <si>
    <t>DWsDWYXlc20KR</t>
  </si>
  <si>
    <t>2026-07-21T12:26:10+05:30</t>
  </si>
  <si>
    <t>2026-07-21T17:15:41+05:30</t>
  </si>
  <si>
    <t>2026-07-21T20:15:57+05:30</t>
  </si>
  <si>
    <t>b490fb94jkj44kr@marketplace.amazon.in</t>
  </si>
  <si>
    <t>Canon G (Black)</t>
  </si>
  <si>
    <t xml:space="preserve">Crasome Dust &amp; Water Proof Printer Cover for Canon Pixma G3012 / G3010 / G2012 (Black)
</t>
  </si>
  <si>
    <t>404-0783650-5179562</t>
  </si>
  <si>
    <t>T6G5tx9J9</t>
  </si>
  <si>
    <t>DSFBKLXXcp0PR</t>
  </si>
  <si>
    <t>2026-07-21T14:42:48+05:30</t>
  </si>
  <si>
    <t>2026-07-21T17:12:45+05:30</t>
  </si>
  <si>
    <t>2026-07-21T20:12:56+05:30</t>
  </si>
  <si>
    <t>k3rgdp5dj6gbj9p@marketplace.amazon.in</t>
  </si>
  <si>
    <t>407-3046714-2791555</t>
  </si>
  <si>
    <t>TNhvkx909</t>
  </si>
  <si>
    <t>Dk6pKGXvc40vR</t>
  </si>
  <si>
    <t>2026-07-21T11:51:10+05:30</t>
  </si>
  <si>
    <t>2026-07-21T17:04:49+05:30</t>
  </si>
  <si>
    <t>2026-07-21T20:05:02+05:30</t>
  </si>
  <si>
    <t>3dpzp05ybtlk0ph@marketplace.amazon.in</t>
  </si>
  <si>
    <t>thane west</t>
  </si>
  <si>
    <t>405-3190654-7317942</t>
  </si>
  <si>
    <t>TwsBGZ9W9</t>
  </si>
  <si>
    <t>DQ47mDXJc907R</t>
  </si>
  <si>
    <t>2026-07-21T15:47:27+05:30</t>
  </si>
  <si>
    <t>2026-07-21T16:55:43+05:30</t>
  </si>
  <si>
    <t>2026-07-21T16:55:45+05:30</t>
  </si>
  <si>
    <t>n8gq8xmrs9yvb4t@marketplace.amazon.in</t>
  </si>
  <si>
    <t>404-1391087-7341961</t>
  </si>
  <si>
    <t>TN4ZS2Hv9</t>
  </si>
  <si>
    <t>DjkkmRXwcD09R</t>
  </si>
  <si>
    <t>2026-07-18T14:23:19+05:30</t>
  </si>
  <si>
    <t>2026-07-21T16:54:43+05:30</t>
  </si>
  <si>
    <t>2026-07-21T19:54:55+05:30</t>
  </si>
  <si>
    <t>f4h61rzcmrcpjr2@marketplace.amazon.in</t>
  </si>
  <si>
    <t>santacruz west mumbai</t>
  </si>
  <si>
    <t>407-4891649-4277142</t>
  </si>
  <si>
    <t>TwmJY69V9</t>
  </si>
  <si>
    <t>D32bmPX7cy0KR</t>
  </si>
  <si>
    <t>2026-07-21T09:56:19+05:30</t>
  </si>
  <si>
    <t>2026-07-21T16:53:43+05:30</t>
  </si>
  <si>
    <t>2026-07-21T19:54:00+05:30</t>
  </si>
  <si>
    <t>qt7shdyt07m1kp4@marketplace.amazon.in</t>
  </si>
  <si>
    <t>405-8005635-8695519</t>
  </si>
  <si>
    <t>T1yVHlQD9</t>
  </si>
  <si>
    <t>D16kmMXhcS08R</t>
  </si>
  <si>
    <t>2026-07-20T23:04:12+05:30</t>
  </si>
  <si>
    <t>2026-07-21T16:47:47+05:30</t>
  </si>
  <si>
    <t>2026-07-21T19:47:58+05:30</t>
  </si>
  <si>
    <t>nvxjm96y07k3fn8@marketplace.amazon.in</t>
  </si>
  <si>
    <t>403-7558780-7847554</t>
  </si>
  <si>
    <t>T1MFyC979</t>
  </si>
  <si>
    <t>DGXNl9XXct0xR</t>
  </si>
  <si>
    <t>2026-07-21T09:11:33+05:30</t>
  </si>
  <si>
    <t>2026-07-21T16:42:48+05:30</t>
  </si>
  <si>
    <t>2026-07-21T19:42:59+05:30</t>
  </si>
  <si>
    <t>wmst4tdr4fhsqt4@marketplace.amazon.in</t>
  </si>
  <si>
    <t>403-5862933-4842714</t>
  </si>
  <si>
    <t>T1XwvT9X9</t>
  </si>
  <si>
    <t>D6M4l3XQcg0zR</t>
  </si>
  <si>
    <t>2026-07-21T11:56:03+05:30</t>
  </si>
  <si>
    <t>2026-07-21T16:36:51+05:30</t>
  </si>
  <si>
    <t>2026-07-21T19:37:05+05:30</t>
  </si>
  <si>
    <t>m45bv7x8fz2m6bd@marketplace.amazon.in</t>
  </si>
  <si>
    <t>408-7416937-0194722</t>
  </si>
  <si>
    <t>TX2bj0QT9</t>
  </si>
  <si>
    <t>DQ8glgXvcK0rR</t>
  </si>
  <si>
    <t>2026-07-21T08:29:02+05:30</t>
  </si>
  <si>
    <t>2026-07-21T16:34:44+05:30</t>
  </si>
  <si>
    <t>2026-07-21T19:34:56+05:30</t>
  </si>
  <si>
    <t>31tyvq1mcqrt7nq@marketplace.amazon.in</t>
  </si>
  <si>
    <t>Pratapgarh</t>
  </si>
  <si>
    <t>406-3976635-3724345</t>
  </si>
  <si>
    <t>TV3HjRQG9</t>
  </si>
  <si>
    <t>D5wn01Xmc10GR</t>
  </si>
  <si>
    <t>2026-07-21T09:34:07+05:30</t>
  </si>
  <si>
    <t>2026-07-21T16:18:41+05:30</t>
  </si>
  <si>
    <t>2026-07-21T19:18:55+05:30</t>
  </si>
  <si>
    <t>zxhl03sl9j8f6ss@marketplace.amazon.in</t>
  </si>
  <si>
    <t>Cachar</t>
  </si>
  <si>
    <t>408-1208155-8508309</t>
  </si>
  <si>
    <t>T1RrDr9g9</t>
  </si>
  <si>
    <t>DZ49STXZcW0pR</t>
  </si>
  <si>
    <t>2026-07-21T11:52:11+05:30</t>
  </si>
  <si>
    <t>2026-07-21T16:06:46+05:30</t>
  </si>
  <si>
    <t>2026-07-21T19:06:59+05:30</t>
  </si>
  <si>
    <t>7slwjrkhjy6psqs@marketplace.amazon.in</t>
  </si>
  <si>
    <t>407-9104418-3581927</t>
  </si>
  <si>
    <t>Tnsq4R9W9</t>
  </si>
  <si>
    <t>D0HfSmXBcb0mR</t>
  </si>
  <si>
    <t>2026-07-21T12:15:33+05:30</t>
  </si>
  <si>
    <t>2026-07-21T15:52:46+05:30</t>
  </si>
  <si>
    <t>2026-07-21T18:53:01+05:30</t>
  </si>
  <si>
    <t>1pf717g1yd2qlrk@marketplace.amazon.in</t>
  </si>
  <si>
    <t>405-4100534-2083504</t>
  </si>
  <si>
    <t>TXyxP29Q9</t>
  </si>
  <si>
    <t>Dn7x6fXGcQ0QR</t>
  </si>
  <si>
    <t>2026-07-21T14:31:33+05:30</t>
  </si>
  <si>
    <t>2026-07-21T15:49:45+05:30</t>
  </si>
  <si>
    <t>2026-07-21T18:49:58+05:30</t>
  </si>
  <si>
    <t>8t3z0hw1nbhwv03@marketplace.amazon.in</t>
  </si>
  <si>
    <t>402-6414478-1975551</t>
  </si>
  <si>
    <t>TGf7DYQp9</t>
  </si>
  <si>
    <t>D18H6cX2cR06R</t>
  </si>
  <si>
    <t>2026-07-21T00:42:58+05:30</t>
  </si>
  <si>
    <t>2026-07-21T15:47:45+05:30</t>
  </si>
  <si>
    <t>2026-07-21T18:47:56+05:30</t>
  </si>
  <si>
    <t>zqlsgwgv7cl9zgr@marketplace.amazon.in</t>
  </si>
  <si>
    <t>171-1326474-4101959</t>
  </si>
  <si>
    <t>T6lGLkQ29</t>
  </si>
  <si>
    <t>Dpzm6jXmcS0BR</t>
  </si>
  <si>
    <t>2026-07-21T00:37:15+05:30</t>
  </si>
  <si>
    <t>2026-07-21T15:42:44+05:30</t>
  </si>
  <si>
    <t>2026-07-21T15:42:46+05:30</t>
  </si>
  <si>
    <t>2026-07-21T16:42:57+05:30</t>
  </si>
  <si>
    <t>cg7l6mh2nnyll5l@marketplace.amazon.in</t>
  </si>
  <si>
    <t>HP 136NW (Grey)</t>
  </si>
  <si>
    <t>Crasome Dust &amp; Water Proof Printer Cover for HP LaserJet MFP 126nw / 136a / 136w / 136nw (Grey)</t>
  </si>
  <si>
    <t>403-9997034-6442746</t>
  </si>
  <si>
    <t>TccDrQ9K9</t>
  </si>
  <si>
    <t>Dy8L6WXmcp06R</t>
  </si>
  <si>
    <t>2026-07-21T13:59:32+05:30</t>
  </si>
  <si>
    <t>2026-07-21T15:40:46+05:30</t>
  </si>
  <si>
    <t>2026-07-21T18:40:58+05:30</t>
  </si>
  <si>
    <t>wf2d89gp109x6r8@marketplace.amazon.in</t>
  </si>
  <si>
    <t>404-0270722-8083576</t>
  </si>
  <si>
    <t>TcBtzs9V9</t>
  </si>
  <si>
    <t>DT0k6kXJcn0FR</t>
  </si>
  <si>
    <t>2026-07-21T10:59:25+05:30</t>
  </si>
  <si>
    <t>2026-07-21T15:38:49+05:30</t>
  </si>
  <si>
    <t>2026-07-21T18:39:06+05:30</t>
  </si>
  <si>
    <t>5jplmmpv8mhh9fp@marketplace.amazon.in</t>
  </si>
  <si>
    <t>404-2424414-9081948</t>
  </si>
  <si>
    <t>TJqny49P9</t>
  </si>
  <si>
    <t>D1VHd1XrcQ0SR</t>
  </si>
  <si>
    <t>2026-07-21T12:05:28+05:30</t>
  </si>
  <si>
    <t>2026-07-21T15:21:44+05:30</t>
  </si>
  <si>
    <t>2026-07-21T18:21:58+05:30</t>
  </si>
  <si>
    <t>0yjzjf6mg42wv45@marketplace.amazon.in</t>
  </si>
  <si>
    <t>408-5590593-8024313</t>
  </si>
  <si>
    <t>TgBD2C9Y9</t>
  </si>
  <si>
    <t>DkSLGJXHcr0jR</t>
  </si>
  <si>
    <t>2026-07-21T12:26:39+05:30</t>
  </si>
  <si>
    <t>2026-07-21T15:13:41+05:30</t>
  </si>
  <si>
    <t>2026-07-21T18:13:53+05:30</t>
  </si>
  <si>
    <t>wxzc3snn3ssshcf@marketplace.amazon.in</t>
  </si>
  <si>
    <t>403-0514004-8313967</t>
  </si>
  <si>
    <t>TX6sV89N9</t>
  </si>
  <si>
    <t>D3TqGVXjcp0YR</t>
  </si>
  <si>
    <t>2026-07-21T13:16:10+05:30</t>
  </si>
  <si>
    <t>2026-07-21T15:06:42+05:30</t>
  </si>
  <si>
    <t>2026-07-21T18:06:55+05:30</t>
  </si>
  <si>
    <t>0lpt9p1vvy0vksv@marketplace.amazon.in</t>
  </si>
  <si>
    <t>ERAVU</t>
  </si>
  <si>
    <t>402-9041729-9157931</t>
  </si>
  <si>
    <t>TczKcL9T9</t>
  </si>
  <si>
    <t>DqWBG2XjcM0cR</t>
  </si>
  <si>
    <t>2026-07-21T12:49:01+05:30</t>
  </si>
  <si>
    <t>2026-07-21T15:05:44+05:30</t>
  </si>
  <si>
    <t>2026-07-21T18:06:01+05:30</t>
  </si>
  <si>
    <t>rtm1rm3x1gyjmdg@marketplace.amazon.in</t>
  </si>
  <si>
    <t>NABAGRAM COLONY</t>
  </si>
  <si>
    <t>402-3199496-7781110</t>
  </si>
  <si>
    <t>TwLTY1929</t>
  </si>
  <si>
    <t>Dmtht1XjcX0HR</t>
  </si>
  <si>
    <t>2026-07-21T10:35:52+05:30</t>
  </si>
  <si>
    <t>2026-07-21T14:47:46+05:30</t>
  </si>
  <si>
    <t>2026-07-21T17:47:57+05:30</t>
  </si>
  <si>
    <t>xvty6ln8bh553fk@marketplace.amazon.in</t>
  </si>
  <si>
    <t>406-4041254-5565933</t>
  </si>
  <si>
    <t>T3F1nv6l9</t>
  </si>
  <si>
    <t>DDrkt2X8c10xR</t>
  </si>
  <si>
    <t>2026-07-20T14:16:15+05:30</t>
  </si>
  <si>
    <t>2026-07-21T14:45:46+05:30</t>
  </si>
  <si>
    <t>2026-07-21T17:45:58+05:30</t>
  </si>
  <si>
    <t>tzvdc3kk6c5k8k3@marketplace.amazon.in</t>
  </si>
  <si>
    <t>407-4713247-2185921</t>
  </si>
  <si>
    <t>T6PrmFQF9</t>
  </si>
  <si>
    <t>DJJ2t9Xncr0FR</t>
  </si>
  <si>
    <t>2026-07-20T18:11:29+05:30</t>
  </si>
  <si>
    <t>2026-07-21T14:40:46+05:30</t>
  </si>
  <si>
    <t>2026-07-21T17:40:58+05:30</t>
  </si>
  <si>
    <t>fgz4zh4c6c89clm@marketplace.amazon.in</t>
  </si>
  <si>
    <t>Jamnagar</t>
  </si>
  <si>
    <t>406-4224827-8960363</t>
  </si>
  <si>
    <t>TNLwvP9C9</t>
  </si>
  <si>
    <t>DqTYPfXGcp0XR</t>
  </si>
  <si>
    <t>2026-07-21T12:11:00+05:30</t>
  </si>
  <si>
    <t>2026-07-21T14:34:42+05:30</t>
  </si>
  <si>
    <t>2026-07-21T14:34:45+05:30</t>
  </si>
  <si>
    <t>2026-07-21T15:34:57+05:30</t>
  </si>
  <si>
    <t>j6wxqdp840xryrd@marketplace.amazon.in</t>
  </si>
  <si>
    <t>406-6624822-2339559</t>
  </si>
  <si>
    <t>TNc5Dw9m9</t>
  </si>
  <si>
    <t>DQ6VPsXccS0gR</t>
  </si>
  <si>
    <t>2026-07-21T12:32:13+05:30</t>
  </si>
  <si>
    <t>2026-07-21T17:34:58+05:30</t>
  </si>
  <si>
    <t>99qtf3qp86wt1tv@marketplace.amazon.in</t>
  </si>
  <si>
    <t>406-0314932-4733177</t>
  </si>
  <si>
    <t>TnLpFl9v9</t>
  </si>
  <si>
    <t>DyWwPSX7cW0rR</t>
  </si>
  <si>
    <t>2026-07-21T11:51:38+05:30</t>
  </si>
  <si>
    <t>2026-07-21T14:32:45+05:30</t>
  </si>
  <si>
    <t>2026-07-21T17:32:58+05:30</t>
  </si>
  <si>
    <t>qb1pw13mfhx4bg8@marketplace.amazon.in</t>
  </si>
  <si>
    <t>406-6973675-1037161</t>
  </si>
  <si>
    <t>TnkBj7QK9</t>
  </si>
  <si>
    <t>DGnDPWXccD0SR</t>
  </si>
  <si>
    <t>2026-07-21T09:09:44+05:30</t>
  </si>
  <si>
    <t>2026-07-21T14:24:47+05:30</t>
  </si>
  <si>
    <t>2026-07-21T17:25:00+05:30</t>
  </si>
  <si>
    <t>j1wwfcwgmwv6dgb@marketplace.amazon.in</t>
  </si>
  <si>
    <t>ARSIKERE</t>
  </si>
  <si>
    <t>407-9292622-4737942</t>
  </si>
  <si>
    <t>Twv7BW9L9</t>
  </si>
  <si>
    <t>DhSKndXPcP0cR</t>
  </si>
  <si>
    <t>2026-07-21T11:55:42+05:30</t>
  </si>
  <si>
    <t>2026-07-21T14:04:44+05:30</t>
  </si>
  <si>
    <t>2026-07-21T14:04:46+05:30</t>
  </si>
  <si>
    <t>2026-07-21T15:04:57+05:30</t>
  </si>
  <si>
    <t>f10jry34rp7fr56@marketplace.amazon.in</t>
  </si>
  <si>
    <t>2026-07-21T20:00:00+05:30</t>
  </si>
  <si>
    <t>HP 136NW (Black)</t>
  </si>
  <si>
    <t>Crasome Dust &amp; Water Proof Printer Cover for HP LaserJet MFP 126nw / 136a / 136w / 136nw (Black)</t>
  </si>
  <si>
    <t>171-3401955-6466714</t>
  </si>
  <si>
    <t>TJNMhnQW9</t>
  </si>
  <si>
    <t>DcZdnXXDcy0jR</t>
  </si>
  <si>
    <t>2026-07-21T09:19:29+05:30</t>
  </si>
  <si>
    <t>2026-07-21T14:03:48+05:30</t>
  </si>
  <si>
    <t>2026-07-21T17:04:02+05:30</t>
  </si>
  <si>
    <t>gtb5t720vdmvxjj@marketplace.amazon.in</t>
  </si>
  <si>
    <t>MEMARI</t>
  </si>
  <si>
    <t>171-2694566-1134737</t>
  </si>
  <si>
    <t>TX2BdJ6b9</t>
  </si>
  <si>
    <t>DwwfnrXjcz0lR</t>
  </si>
  <si>
    <t>2026-07-20T19:18:35+05:30</t>
  </si>
  <si>
    <t>2026-07-21T13:56:45+05:30</t>
  </si>
  <si>
    <t>2026-07-21T16:56:58+05:30</t>
  </si>
  <si>
    <t>7lxb6xv5b45rm87@marketplace.amazon.in</t>
  </si>
  <si>
    <t>404-1750145-1073950</t>
  </si>
  <si>
    <t>TJpwkS9L9</t>
  </si>
  <si>
    <t>DCw9n1Xcc405R</t>
  </si>
  <si>
    <t>2026-07-21T11:17:32+05:30</t>
  </si>
  <si>
    <t>2026-07-21T13:56:44+05:30</t>
  </si>
  <si>
    <t>2026-07-21T16:56:55+05:30</t>
  </si>
  <si>
    <t>hxg16cy9w3lf1nk@marketplace.amazon.in</t>
  </si>
  <si>
    <t>405-4122416-5844349</t>
  </si>
  <si>
    <t>TX6dZpQ19</t>
  </si>
  <si>
    <t>D7DMxfXRcs0yR</t>
  </si>
  <si>
    <t>2026-07-21T08:09:54+05:30</t>
  </si>
  <si>
    <t>2026-07-21T13:44:48+05:30</t>
  </si>
  <si>
    <t>2026-07-21T16:45:00+05:30</t>
  </si>
  <si>
    <t>20ycl459957g902@marketplace.amazon.in</t>
  </si>
  <si>
    <t>gujarat</t>
  </si>
  <si>
    <t>404-5623128-7359517</t>
  </si>
  <si>
    <t>TVF6gTQt9</t>
  </si>
  <si>
    <t>DRRBxkXvcM0gR</t>
  </si>
  <si>
    <t>2026-07-21T07:49:14+05:30</t>
  </si>
  <si>
    <t>2026-07-21T13:31:41+05:30</t>
  </si>
  <si>
    <t>2026-07-21T13:31:45+05:30</t>
  </si>
  <si>
    <t>2026-07-21T14:31:58+05:30</t>
  </si>
  <si>
    <t>62gdrfrwb9ql40j@marketplace.amazon.in</t>
  </si>
  <si>
    <t>SHIVPURI</t>
  </si>
  <si>
    <t>408-4961882-7786737</t>
  </si>
  <si>
    <t>TNz9KPQn9</t>
  </si>
  <si>
    <t>D04v34XHcn0fR</t>
  </si>
  <si>
    <t>2026-07-21T04:53:20+05:30</t>
  </si>
  <si>
    <t>2026-07-21T13:31:44+05:30</t>
  </si>
  <si>
    <t>2026-07-21T16:31:57+05:30</t>
  </si>
  <si>
    <t>b9751zsn8ctm8rl@marketplace.amazon.in</t>
  </si>
  <si>
    <t>404-8784827-8904358</t>
  </si>
  <si>
    <t>TwWhXM6T9</t>
  </si>
  <si>
    <t>DC5G36XTcv0HR</t>
  </si>
  <si>
    <t>2026-07-20T20:48:53+05:30</t>
  </si>
  <si>
    <t>2026-07-21T13:30:47+05:30</t>
  </si>
  <si>
    <t>2026-07-21T16:31:01+05:30</t>
  </si>
  <si>
    <t>90px9jxvbw4x4l8@marketplace.amazon.in</t>
  </si>
  <si>
    <t>Hubli</t>
  </si>
  <si>
    <t>402-8977985-9867515</t>
  </si>
  <si>
    <t>TXFtFQ609</t>
  </si>
  <si>
    <t>DyKp3fXsc00WR</t>
  </si>
  <si>
    <t>2026-07-20T10:43:29+05:30</t>
  </si>
  <si>
    <t>2026-07-21T13:29:56+05:30</t>
  </si>
  <si>
    <t>2026-07-21T16:30:09+05:30</t>
  </si>
  <si>
    <t>mfmmyx570j84jc5@marketplace.amazon.in</t>
  </si>
  <si>
    <t>407-5825578-2874709</t>
  </si>
  <si>
    <t>Tn2pFM9X9</t>
  </si>
  <si>
    <t>DcK83lXQc00WR</t>
  </si>
  <si>
    <t>2026-07-21T12:09:31+05:30</t>
  </si>
  <si>
    <t>2026-07-21T13:29:43+05:30</t>
  </si>
  <si>
    <t>2026-07-21T16:29:54+05:30</t>
  </si>
  <si>
    <t>svmppkqg9ynz1pv@marketplace.amazon.in</t>
  </si>
  <si>
    <t>406-9245748-6672341</t>
  </si>
  <si>
    <t>TnTgkF929</t>
  </si>
  <si>
    <t>DNtg3QXMcq02R</t>
  </si>
  <si>
    <t>2026-07-21T11:47:49+05:30</t>
  </si>
  <si>
    <t>2026-07-21T13:25:45+05:30</t>
  </si>
  <si>
    <t>2026-07-21T13:25:49+05:30</t>
  </si>
  <si>
    <t>2026-07-21T14:26:01+05:30</t>
  </si>
  <si>
    <t>2chm69snpnxrd0s@marketplace.amazon.in</t>
  </si>
  <si>
    <t>403-5968710-9451547</t>
  </si>
  <si>
    <t>TN98dvQS9</t>
  </si>
  <si>
    <t>DCvcJ0XPcX0QR</t>
  </si>
  <si>
    <t>2026-07-20T23:18:37+05:30</t>
  </si>
  <si>
    <t>2026-07-21T13:16:41+05:30</t>
  </si>
  <si>
    <t>2026-07-21T13:16:44+05:30</t>
  </si>
  <si>
    <t>2026-07-21T14:16:55+05:30</t>
  </si>
  <si>
    <t>1zf0t198hc0k3rh@marketplace.amazon.in</t>
  </si>
  <si>
    <t>402-3040477-3123557</t>
  </si>
  <si>
    <t>Tg0hWn6t9</t>
  </si>
  <si>
    <t>D6v9J5XvcX0QR</t>
  </si>
  <si>
    <t>2026-07-20T20:53:03+05:30</t>
  </si>
  <si>
    <t>2026-07-21T13:12:49+05:30</t>
  </si>
  <si>
    <t>2026-07-21T13:12:52+05:30</t>
  </si>
  <si>
    <t>2026-07-21T14:13:03+05:30</t>
  </si>
  <si>
    <t>71nhw8hw645fmp8@marketplace.amazon.in</t>
  </si>
  <si>
    <t>Pagidipally</t>
  </si>
  <si>
    <t>408-4550743-0211547</t>
  </si>
  <si>
    <t>TX3xzc939</t>
  </si>
  <si>
    <t>DsghJ3X9cr0HR</t>
  </si>
  <si>
    <t>2026-07-21T10:25:59+05:30</t>
  </si>
  <si>
    <t>2026-07-21T13:09:44+05:30</t>
  </si>
  <si>
    <t>2026-07-21T16:09:56+05:30</t>
  </si>
  <si>
    <t>3w58qn9t0drqth3@marketplace.amazon.in</t>
  </si>
  <si>
    <t>406-2890835-3694767</t>
  </si>
  <si>
    <t>T6KnVB649</t>
  </si>
  <si>
    <t>DT2kJjX2cd0yR</t>
  </si>
  <si>
    <t>2026-07-10T20:44:56+05:30</t>
  </si>
  <si>
    <t>2026-07-21T13:06:44+05:30</t>
  </si>
  <si>
    <t>2026-07-21T16:06:56+05:30</t>
  </si>
  <si>
    <t>3krcfm59y9548bw@marketplace.amazon.in</t>
  </si>
  <si>
    <t>406-1926246-8963517</t>
  </si>
  <si>
    <t>T3Tg0GQ69</t>
  </si>
  <si>
    <t>DtLYJnXDc40cR</t>
  </si>
  <si>
    <t>2026-07-21T03:38:06+05:30</t>
  </si>
  <si>
    <t>2026-07-21T12:58:49+05:30</t>
  </si>
  <si>
    <t>2026-07-21T15:59:05+05:30</t>
  </si>
  <si>
    <t>pdfr7nqypgcfkqt@marketplace.amazon.in</t>
  </si>
  <si>
    <t>HP 4826 (Grey)</t>
  </si>
  <si>
    <t>171-4957348-8345944</t>
  </si>
  <si>
    <t>TNkFFD9T9</t>
  </si>
  <si>
    <t>Crasome Dust &amp; Water Proof Printer Cover for HP Deskjet All-in-One 4826 (Grey)</t>
  </si>
  <si>
    <t>DtmhMlX2c30fR</t>
  </si>
  <si>
    <t>2026-07-21T11:32:26+05:30</t>
  </si>
  <si>
    <t>2026-07-21T12:54:44+05:30</t>
  </si>
  <si>
    <t>2026-07-21T15:54:57+05:30</t>
  </si>
  <si>
    <t>88h28x75gc6mt9z@marketplace.amazon.in</t>
  </si>
  <si>
    <t>405-8972391-9232328</t>
  </si>
  <si>
    <t>TclDF6959</t>
  </si>
  <si>
    <t>Dg661xXjcX0pR</t>
  </si>
  <si>
    <t>2026-07-21T10:52:45+05:30</t>
  </si>
  <si>
    <t>2026-07-21T12:28:39+05:30</t>
  </si>
  <si>
    <t>2026-07-21T15:28:49+05:30</t>
  </si>
  <si>
    <t>4rpkjmrh9kv88f3@marketplace.amazon.in</t>
  </si>
  <si>
    <t>407-5642437-5101152</t>
  </si>
  <si>
    <t>T6rPj5Qf9</t>
  </si>
  <si>
    <t>Dn6rrhXBcs0GR</t>
  </si>
  <si>
    <t>2026-07-21T03:10:25+05:30</t>
  </si>
  <si>
    <t>2026-07-21T12:12:52+05:30</t>
  </si>
  <si>
    <t>2026-07-21T15:13:08+05:30</t>
  </si>
  <si>
    <t>4pwwtg66m3f2rm8@marketplace.amazon.in</t>
  </si>
  <si>
    <t>RANNI</t>
  </si>
  <si>
    <t>404-6986078-5653126</t>
  </si>
  <si>
    <t>T3qdZR609</t>
  </si>
  <si>
    <t>Dry57tXCcB0PR</t>
  </si>
  <si>
    <t>2026-07-20T20:28:37+05:30</t>
  </si>
  <si>
    <t>2026-07-21T12:04:52+05:30</t>
  </si>
  <si>
    <t>2026-07-21T15:05:07+05:30</t>
  </si>
  <si>
    <t>74f7v7qrr15czvp@marketplace.amazon.in</t>
  </si>
  <si>
    <t>BELA PRATAPGARH</t>
  </si>
  <si>
    <t>171-0612462-7433126</t>
  </si>
  <si>
    <t>TGCybr9L9</t>
  </si>
  <si>
    <t>Dmxy7ZXtcJ0xR</t>
  </si>
  <si>
    <t>2026-07-21T09:24:53+05:30</t>
  </si>
  <si>
    <t>2026-07-21T11:55:44+05:30</t>
  </si>
  <si>
    <t>2026-07-21T14:56:00+05:30</t>
  </si>
  <si>
    <t>l2lgm6sv0dt8bzp@marketplace.amazon.in</t>
  </si>
  <si>
    <t>403-2857563-7986722</t>
  </si>
  <si>
    <t>TGTBPpzj9</t>
  </si>
  <si>
    <t>D3KSLPX6cL01R</t>
  </si>
  <si>
    <t>2026-07-18T23:33:41+05:30</t>
  </si>
  <si>
    <t>2026-07-21T11:48:49+05:30</t>
  </si>
  <si>
    <t>2026-07-21T14:49:03+05:30</t>
  </si>
  <si>
    <t>xsqcdnk9kydqfdv@marketplace.amazon.in</t>
  </si>
  <si>
    <t>Kharagpur</t>
  </si>
  <si>
    <t>171-1057085-8459514</t>
  </si>
  <si>
    <t>T3XB939W9</t>
  </si>
  <si>
    <t>DpxWLJXTcq0CR</t>
  </si>
  <si>
    <t>2026-07-21T10:22:22+05:30</t>
  </si>
  <si>
    <t>2026-07-21T11:37:41+05:30</t>
  </si>
  <si>
    <t>2026-07-21T14:37:53+05:30</t>
  </si>
  <si>
    <t>5nlkjwh2pvvjfdc@marketplace.amazon.in</t>
  </si>
  <si>
    <t>408-6633196-4905958</t>
  </si>
  <si>
    <t>T3zTflQk9</t>
  </si>
  <si>
    <t>DG4gshXdcn0WR</t>
  </si>
  <si>
    <t>2026-07-21T10:19:37+05:30</t>
  </si>
  <si>
    <t>2026-07-21T11:36:42+05:30</t>
  </si>
  <si>
    <t>2026-07-21T11:36:44+05:30</t>
  </si>
  <si>
    <t>2026-07-21T12:36:55+05:30</t>
  </si>
  <si>
    <t>t5wyt1271s62z6f@marketplace.amazon.in</t>
  </si>
  <si>
    <t>406-1035428-4850715</t>
  </si>
  <si>
    <t>TwLDYs9B9</t>
  </si>
  <si>
    <t>DdNCsqXzcr0RR</t>
  </si>
  <si>
    <t>2026-07-21T10:30:35+05:30</t>
  </si>
  <si>
    <t>2026-07-21T11:28:42+05:30</t>
  </si>
  <si>
    <t>2026-07-21T14:28:56+05:30</t>
  </si>
  <si>
    <t>1g70cbxnsgqbnm6@marketplace.amazon.in</t>
  </si>
  <si>
    <t>407-7662319-3785113</t>
  </si>
  <si>
    <t>T3rhfJQz9</t>
  </si>
  <si>
    <t>D1kBshX0ck0YR</t>
  </si>
  <si>
    <t>2026-07-21T09:58:17+05:30</t>
  </si>
  <si>
    <t>2026-07-21T11:28:41+05:30</t>
  </si>
  <si>
    <t>2026-07-21T14:28:55+05:30</t>
  </si>
  <si>
    <t>j7wmfh8qqn9ggcl@marketplace.amazon.in</t>
  </si>
  <si>
    <t>402-7196814-9446729</t>
  </si>
  <si>
    <t>Tnpt2cQf9</t>
  </si>
  <si>
    <t>DTcTsBXKcb0sR</t>
  </si>
  <si>
    <t>2026-07-20T23:46:16+05:30</t>
  </si>
  <si>
    <t>2026-07-21T11:22:46+05:30</t>
  </si>
  <si>
    <t>2026-07-21T14:22:58+05:30</t>
  </si>
  <si>
    <t>xpbwwzxw27rzry1@marketplace.amazon.in</t>
  </si>
  <si>
    <t>405-5766505-3657921</t>
  </si>
  <si>
    <t>T6RCYnQs9</t>
  </si>
  <si>
    <t>DR2GQDXmcP09R</t>
  </si>
  <si>
    <t>2026-07-20T22:48:41+05:30</t>
  </si>
  <si>
    <t>2026-07-21T11:09:44+05:30</t>
  </si>
  <si>
    <t>2026-07-21T11:09:49+05:30</t>
  </si>
  <si>
    <t>2026-07-21T12:10:03+05:30</t>
  </si>
  <si>
    <t>cmwcfpymqsdxfm8@marketplace.amazon.in</t>
  </si>
  <si>
    <t>PAKAUR</t>
  </si>
  <si>
    <t>171-0506417-4653933</t>
  </si>
  <si>
    <t>TJJFvRQF9</t>
  </si>
  <si>
    <t>Df2RQkXQcP09R</t>
  </si>
  <si>
    <t>2026-07-20T23:30:27+05:30</t>
  </si>
  <si>
    <t>2026-07-21T11:05:46+05:30</t>
  </si>
  <si>
    <t>2026-07-21T14:05:58+05:30</t>
  </si>
  <si>
    <t>kzyc71vksr5zwxr@marketplace.amazon.in</t>
  </si>
  <si>
    <t>408-4318268-5374726</t>
  </si>
  <si>
    <t>TGTS1wQr9</t>
  </si>
  <si>
    <t>DjpXQsXscf0GR</t>
  </si>
  <si>
    <t>2026-07-20T23:13:03+05:30</t>
  </si>
  <si>
    <t>2026-07-21T11:02:50+05:30</t>
  </si>
  <si>
    <t>2026-07-21T11:02:52+05:30</t>
  </si>
  <si>
    <t>2026-07-21T12:03:07+05:30</t>
  </si>
  <si>
    <t>v94stksm0rzj63r@marketplace.amazon.in</t>
  </si>
  <si>
    <t>171-0276658-3153134</t>
  </si>
  <si>
    <t>TJwkcMQ89</t>
  </si>
  <si>
    <t>DqYvQbXFc30SR</t>
  </si>
  <si>
    <t>2026-07-21T00:55:37+05:30</t>
  </si>
  <si>
    <t>2026-07-21T11:02:44+05:30</t>
  </si>
  <si>
    <t>2026-07-21T11:02:46+05:30</t>
  </si>
  <si>
    <t>2026-07-21T12:02:57+05:30</t>
  </si>
  <si>
    <t>4grc0g8wl5b7rfk@marketplace.amazon.in</t>
  </si>
  <si>
    <t>403-6947120-5312349</t>
  </si>
  <si>
    <t>TJyPZD6d9</t>
  </si>
  <si>
    <t>Dvb2cTX8cB0sR</t>
  </si>
  <si>
    <t>2026-07-20T13:10:19+05:30</t>
  </si>
  <si>
    <t>2026-07-21T10:52:44+05:30</t>
  </si>
  <si>
    <t>2026-07-21T13:52:56+05:30</t>
  </si>
  <si>
    <t>ylffcyzg3dkkg9d@marketplace.amazon.in</t>
  </si>
  <si>
    <t>171-2516682-3693165</t>
  </si>
  <si>
    <t>Tnsj1KQk9</t>
  </si>
  <si>
    <t>DDVJcCXqcB09R</t>
  </si>
  <si>
    <t>2026-07-21T00:40:32+05:30</t>
  </si>
  <si>
    <t>2026-07-21T10:51:45+05:30</t>
  </si>
  <si>
    <t>2026-07-21T13:51:57+05:30</t>
  </si>
  <si>
    <t>pl4xp6l9kctqxkh@marketplace.amazon.in</t>
  </si>
  <si>
    <t>MEERUT</t>
  </si>
  <si>
    <t>407-0770117-5021116</t>
  </si>
  <si>
    <t>TnGhhNQz9</t>
  </si>
  <si>
    <t>DmJDcxXgcS0GR</t>
  </si>
  <si>
    <t>2026-07-21T09:05:05+05:30</t>
  </si>
  <si>
    <t>2026-07-21T10:44:44+05:30</t>
  </si>
  <si>
    <t>2026-07-21T13:44:56+05:30</t>
  </si>
  <si>
    <t>35wg63mms7jhbzd@marketplace.amazon.in</t>
  </si>
  <si>
    <t>HP 4826 (Black)</t>
  </si>
  <si>
    <t>Crasome Dust &amp; Water Proof Printer Cover for HP Deskjet All-in-One 4826 (Black)</t>
  </si>
  <si>
    <t>171-0375329-0269944</t>
  </si>
  <si>
    <t>T6nRZBQp9</t>
  </si>
  <si>
    <t>DqYGvtXgc707R</t>
  </si>
  <si>
    <t>2026-07-21T08:00:16+05:30</t>
  </si>
  <si>
    <t>2026-07-21T10:30:47+05:30</t>
  </si>
  <si>
    <t>2026-07-21T10:30:54+05:30</t>
  </si>
  <si>
    <t>2026-07-21T11:34:25+05:30</t>
  </si>
  <si>
    <t>dp6hkxn43cpmggc@marketplace.amazon.in</t>
  </si>
  <si>
    <t>403-4466241-7585927</t>
  </si>
  <si>
    <t>T3syqNQh9</t>
  </si>
  <si>
    <t>DdhQvgXMcb06R</t>
  </si>
  <si>
    <t>2026-07-21T09:03:42+05:30</t>
  </si>
  <si>
    <t>2026-07-21T10:30:40+05:30</t>
  </si>
  <si>
    <t>2026-07-21T10:30:43+05:30</t>
  </si>
  <si>
    <t>2026-07-21T11:30:54+05:30</t>
  </si>
  <si>
    <t>xv1jhrwrfn4hfkd@marketplace.amazon.in</t>
  </si>
  <si>
    <t>407-8035479-3017129</t>
  </si>
  <si>
    <t>Tws7q96s9</t>
  </si>
  <si>
    <t>DM6WVVXXcZ0JR</t>
  </si>
  <si>
    <t>2026-07-20T22:03:39+05:30</t>
  </si>
  <si>
    <t>2026-07-21T09:59:41+05:30</t>
  </si>
  <si>
    <t>2026-07-21T12:59:53+05:30</t>
  </si>
  <si>
    <t>xhy36h85k51p9b3@marketplace.amazon.in</t>
  </si>
  <si>
    <t>407-5238479-0540324</t>
  </si>
  <si>
    <t>TXmNjrh49</t>
  </si>
  <si>
    <t>D46gV1X9cD01R</t>
  </si>
  <si>
    <t>2026-07-20T13:42:20+05:30</t>
  </si>
  <si>
    <t>2026-07-21T09:57:48+05:30</t>
  </si>
  <si>
    <t>2026-07-21T12:58:00+05:30</t>
  </si>
  <si>
    <t>yz6yz0lf7jq2cv8@marketplace.amazon.in</t>
  </si>
  <si>
    <t>404-4035053-5587506</t>
  </si>
  <si>
    <t>TVLmh3Q59</t>
  </si>
  <si>
    <t>DjCqVcX2cR0QR</t>
  </si>
  <si>
    <t>2026-07-21T08:52:56+05:30</t>
  </si>
  <si>
    <t>2026-07-21T09:57:41+05:30</t>
  </si>
  <si>
    <t>2026-07-21T12:57:52+05:30</t>
  </si>
  <si>
    <t>snk7jvz9lxf7dnx@marketplace.amazon.in</t>
  </si>
  <si>
    <t>407-7086226-2871517</t>
  </si>
  <si>
    <t>TCgZbd6H9</t>
  </si>
  <si>
    <t>DS6kV2XTcZ0JR</t>
  </si>
  <si>
    <t>2026-07-20T13:30:51+05:30</t>
  </si>
  <si>
    <t>2026-07-21T09:55:47+05:30</t>
  </si>
  <si>
    <t>2026-07-21T12:55:59+05:30</t>
  </si>
  <si>
    <t>jcmw7x64bn6dt3c@marketplace.amazon.in</t>
  </si>
  <si>
    <t>407-8612894-3302708</t>
  </si>
  <si>
    <t>TNVffLzy9</t>
  </si>
  <si>
    <t>DhC0VRXWcp0QR</t>
  </si>
  <si>
    <t>2026-07-19T22:47:52+05:30</t>
  </si>
  <si>
    <t>2026-07-21T09:51:45+05:30</t>
  </si>
  <si>
    <t>2026-07-21T12:51:57+05:30</t>
  </si>
  <si>
    <t>q0wchqndx3lsncp@marketplace.amazon.in</t>
  </si>
  <si>
    <t>406-4878673-9007559</t>
  </si>
  <si>
    <t>TnZqW6hH9</t>
  </si>
  <si>
    <t>DKrbVTXJcG0pR</t>
  </si>
  <si>
    <t>2026-07-20T11:07:09+05:30</t>
  </si>
  <si>
    <t>2026-07-21T09:48:44+05:30</t>
  </si>
  <si>
    <t>2026-07-21T12:48:55+05:30</t>
  </si>
  <si>
    <t>snc64bhpvg7z0jr@marketplace.amazon.in</t>
  </si>
  <si>
    <t>404-7559982-0825943</t>
  </si>
  <si>
    <t>TCmmGRzy9</t>
  </si>
  <si>
    <t>D6fZ2VXscD0mR</t>
  </si>
  <si>
    <t>2026-07-12T16:56:46+05:30</t>
  </si>
  <si>
    <t>2026-07-21T09:34:46+05:30</t>
  </si>
  <si>
    <t>2026-07-21T12:34:59+05:30</t>
  </si>
  <si>
    <t>hlcylb3v3zy2jks@marketplace.amazon.in</t>
  </si>
  <si>
    <t>404-0602292-0821914</t>
  </si>
  <si>
    <t>T6KCChQJ9</t>
  </si>
  <si>
    <t>DtKZFZX7ch0dR</t>
  </si>
  <si>
    <t>2026-07-21T07:52:12+05:30</t>
  </si>
  <si>
    <t>2026-07-21T09:30:43+05:30</t>
  </si>
  <si>
    <t>2026-07-21T09:30:46+05:30</t>
  </si>
  <si>
    <t>2026-07-21T10:30:57+05:30</t>
  </si>
  <si>
    <t>xcyw5p6jm9yvjys@marketplace.amazon.in</t>
  </si>
  <si>
    <t>PARATWADA</t>
  </si>
  <si>
    <t>407-5165567-7804344</t>
  </si>
  <si>
    <t>T6QZ5F6Z9</t>
  </si>
  <si>
    <t>DKYrFcXHcW0BR</t>
  </si>
  <si>
    <t>2026-07-20T21:28:30+05:30</t>
  </si>
  <si>
    <t>2026-07-21T09:18:47+05:30</t>
  </si>
  <si>
    <t>2026-07-21T12:18:58+05:30</t>
  </si>
  <si>
    <t>0f3l6l0vc8gh3w1@marketplace.amazon.in</t>
  </si>
  <si>
    <t>408-3754940-8225160</t>
  </si>
  <si>
    <t>TwvhdH6v9</t>
  </si>
  <si>
    <t>D8v8DVXFcn0RR</t>
  </si>
  <si>
    <t>2026-07-20T19:40:02+05:30</t>
  </si>
  <si>
    <t>2026-07-21T09:14:46+05:30</t>
  </si>
  <si>
    <t>2026-07-21T12:14:58+05:30</t>
  </si>
  <si>
    <t>AM007721427IN</t>
  </si>
  <si>
    <t>402-2544908-4312302</t>
  </si>
  <si>
    <t>TX8Jgc6M9</t>
  </si>
  <si>
    <t>D2vBDMXbcn0RR</t>
  </si>
  <si>
    <t>2026-07-20T20:20:06+05:30</t>
  </si>
  <si>
    <t>2026-07-21T09:12:46+05:30</t>
  </si>
  <si>
    <t>2026-07-21T12:13:02+05:30</t>
  </si>
  <si>
    <t>w8zfdlbc7mbjwf9@marketplace.amazon.in</t>
  </si>
  <si>
    <t>DTvWD2Xbcn0RR</t>
  </si>
  <si>
    <t>404-7307207-0741925</t>
  </si>
  <si>
    <t>TGQKp96J9</t>
  </si>
  <si>
    <t>Dt43DJXbcQ0jR</t>
  </si>
  <si>
    <t>2026-07-20T19:30:06+05:30</t>
  </si>
  <si>
    <t>2026-07-21T09:12:45+05:30</t>
  </si>
  <si>
    <t>2026-07-21T12:12:56+05:30</t>
  </si>
  <si>
    <t>zmp1r12mjqkv14n@marketplace.amazon.in</t>
  </si>
  <si>
    <t>403-9426330-9447509</t>
  </si>
  <si>
    <t>TXklMbQP9</t>
  </si>
  <si>
    <t>Dp3tDDXbcP0gR</t>
  </si>
  <si>
    <t>2026-07-20T21:22:08+05:30</t>
  </si>
  <si>
    <t>2026-07-21T09:11:42+05:30</t>
  </si>
  <si>
    <t>2026-07-21T12:11:53+05:30</t>
  </si>
  <si>
    <t>cwptzlk80dfcp8x@marketplace.amazon.in</t>
  </si>
  <si>
    <t>G4770 (Black)</t>
  </si>
  <si>
    <t>403-5167796-2722722</t>
  </si>
  <si>
    <t>TCNWz8Qf9</t>
  </si>
  <si>
    <t>DgbDY1XXc30kR</t>
  </si>
  <si>
    <t>2026-07-20T23:14:01+05:30</t>
  </si>
  <si>
    <t>2026-07-21T09:02:42+05:30</t>
  </si>
  <si>
    <t>2026-07-21T12:02:53+05:30</t>
  </si>
  <si>
    <t>75bd6d4mkx1m8db@marketplace.amazon.in</t>
  </si>
  <si>
    <t>402-7198351-0409129</t>
  </si>
  <si>
    <t>Tnwlv2Q69</t>
  </si>
  <si>
    <t>DnsyyXXrcM0mR</t>
  </si>
  <si>
    <t>2026-07-20T18:46:12+05:30</t>
  </si>
  <si>
    <t>2026-07-21T08:32:47+05:30</t>
  </si>
  <si>
    <t>2026-07-21T11:33:01+05:30</t>
  </si>
  <si>
    <t>vtb9rx72rxnq2yk@marketplace.amazon.in</t>
  </si>
  <si>
    <t>407-4266768-7342753</t>
  </si>
  <si>
    <t>T1PM5x6c9</t>
  </si>
  <si>
    <t>DWSK5vvDcd0nR</t>
  </si>
  <si>
    <t>2026-07-20T20:57:55+05:30</t>
  </si>
  <si>
    <t>2026-07-21T04:22:45+05:30</t>
  </si>
  <si>
    <t>2026-07-21T07:22:57+05:30</t>
  </si>
  <si>
    <t>gq87y1gy9y5yb6n@marketplace.amazon.in</t>
  </si>
  <si>
    <t>171-2685209-6109153</t>
  </si>
  <si>
    <t>TVMm896M9</t>
  </si>
  <si>
    <t>DSJTqHvRcR0CR</t>
  </si>
  <si>
    <t>2026-07-20T21:50:19+05:30</t>
  </si>
  <si>
    <t>2026-07-21T04:22:44+05:30</t>
  </si>
  <si>
    <t>2026-07-21T07:22:55+05:30</t>
  </si>
  <si>
    <t>cn64014vl4clh71@marketplace.amazon.in</t>
  </si>
  <si>
    <t>Nunna Cheruvu centre</t>
  </si>
  <si>
    <t>407-7515582-4882716</t>
  </si>
  <si>
    <t>TVmwZl6v9</t>
  </si>
  <si>
    <t>DKbr5Tv2cr0xR</t>
  </si>
  <si>
    <t>2026-07-20T21:03:42+05:30</t>
  </si>
  <si>
    <t>2026-07-21T04:19:42+05:30</t>
  </si>
  <si>
    <t>2026-07-21T04:19:44+05:30</t>
  </si>
  <si>
    <t>2026-07-21T05:19:55+05:30</t>
  </si>
  <si>
    <t>f8k1g8q9pbgyg5p@marketplace.amazon.in</t>
  </si>
  <si>
    <t>403-6428302-4289100</t>
  </si>
  <si>
    <t>TVtGgd619</t>
  </si>
  <si>
    <t>DDqh5LvWcd0BR</t>
  </si>
  <si>
    <t>2026-07-20T20:06:11+05:30</t>
  </si>
  <si>
    <t>2026-07-21T04:08:42+05:30</t>
  </si>
  <si>
    <t>2026-07-21T07:08:53+05:30</t>
  </si>
  <si>
    <t>yg11f90vbwrxpk8@marketplace.amazon.in</t>
  </si>
  <si>
    <t>406-2186364-9304350</t>
  </si>
  <si>
    <t>TXkBcm6P9</t>
  </si>
  <si>
    <t>D52ZgHvscX0fR</t>
  </si>
  <si>
    <t>2026-07-20T17:36:22+05:30</t>
  </si>
  <si>
    <t>2026-07-21T03:58:53+05:30</t>
  </si>
  <si>
    <t>2026-07-21T06:59:11+05:30</t>
  </si>
  <si>
    <t>DK6lgNvbcG0bR</t>
  </si>
  <si>
    <t>406-2966773-6474702</t>
  </si>
  <si>
    <t>TCsM6x6J9</t>
  </si>
  <si>
    <t>DfGWgFvjc00lR</t>
  </si>
  <si>
    <t>2026-07-20T20:01:05+05:30</t>
  </si>
  <si>
    <t>2026-07-21T03:55:46+05:30</t>
  </si>
  <si>
    <t>2026-07-21T06:55:59+05:30</t>
  </si>
  <si>
    <t>vgnmzfj68zmcbyq@marketplace.amazon.in</t>
  </si>
  <si>
    <t>406-1011313-9560368</t>
  </si>
  <si>
    <t>TgkJnYQ29</t>
  </si>
  <si>
    <t>DbsWgJvJcy0JR</t>
  </si>
  <si>
    <t>2026-07-21T02:05:43+05:30</t>
  </si>
  <si>
    <t>2026-07-21T03:50:43+05:30</t>
  </si>
  <si>
    <t>2026-07-21T03:50:45+05:30</t>
  </si>
  <si>
    <t>2026-07-21T04:50:56+05:30</t>
  </si>
  <si>
    <t>c2rdnl5r9y0sf3w@marketplace.amazon.in</t>
  </si>
  <si>
    <t>405-9548713-2264326</t>
  </si>
  <si>
    <t>TC9Fpxhn9</t>
  </si>
  <si>
    <t>Dr1fXCvTcx0pR</t>
  </si>
  <si>
    <t>2026-07-20T11:03:08+05:30</t>
  </si>
  <si>
    <t>2026-07-21T03:29:45+05:30</t>
  </si>
  <si>
    <t>2026-07-21T06:29:57+05:30</t>
  </si>
  <si>
    <t>jwn0mrwgfl37z35@marketplace.amazon.in</t>
  </si>
  <si>
    <t>408-9123102-9775529</t>
  </si>
  <si>
    <t>TXD1m96Y9</t>
  </si>
  <si>
    <t>DcwxXwv4c30lR</t>
  </si>
  <si>
    <t>2026-07-20T18:53:43+05:30</t>
  </si>
  <si>
    <t>2026-07-21T03:27:47+05:30</t>
  </si>
  <si>
    <t>2026-07-21T06:28:02+05:30</t>
  </si>
  <si>
    <t>qwwvd0n9dcg97yk@marketplace.amazon.in</t>
  </si>
  <si>
    <t>TANUKU</t>
  </si>
  <si>
    <t>402-5865399-7357924</t>
  </si>
  <si>
    <t>Tg5BZy689</t>
  </si>
  <si>
    <t>D2tQX2vgc00lR</t>
  </si>
  <si>
    <t>2026-07-20T21:06:24+05:30</t>
  </si>
  <si>
    <t>2026-07-21T03:23:45+05:30</t>
  </si>
  <si>
    <t>2026-07-21T06:23:56+05:30</t>
  </si>
  <si>
    <t>slglmjrbw9wbr3w@marketplace.amazon.in</t>
  </si>
  <si>
    <t>406-0340497-5295514</t>
  </si>
  <si>
    <t>T18kfx6j9</t>
  </si>
  <si>
    <t>D0YsXHv8cN0fR</t>
  </si>
  <si>
    <t>2026-07-20T22:02:19+05:30</t>
  </si>
  <si>
    <t>2026-07-21T03:21:45+05:30</t>
  </si>
  <si>
    <t>2026-07-21T06:21:59+05:30</t>
  </si>
  <si>
    <t>fxc37sw91wvv962@marketplace.amazon.in</t>
  </si>
  <si>
    <t>DydgXyvxcZ0nR</t>
  </si>
  <si>
    <t>G4770 (Grey)</t>
  </si>
  <si>
    <t>407-0434334-1105120</t>
  </si>
  <si>
    <t>TX54S46s9</t>
  </si>
  <si>
    <t>DK3VCLvTcG0wR</t>
  </si>
  <si>
    <t>2026-07-18T12:14:28+05:30</t>
  </si>
  <si>
    <t>2026-07-21T03:18:50+05:30</t>
  </si>
  <si>
    <t>2026-07-21T06:19:08+05:30</t>
  </si>
  <si>
    <t>ww6tzk3qs5zgn8r@marketplace.amazon.in</t>
  </si>
  <si>
    <t>KARAIKKUDI</t>
  </si>
  <si>
    <t>402-4401719-0356325</t>
  </si>
  <si>
    <t>TnfqZ46Q9</t>
  </si>
  <si>
    <t>DTjQCbvFcX0FR</t>
  </si>
  <si>
    <t>2026-07-20T20:52:24+05:30</t>
  </si>
  <si>
    <t>2026-07-21T03:11:41+05:30</t>
  </si>
  <si>
    <t>2026-07-21T03:11:44+05:30</t>
  </si>
  <si>
    <t>2026-07-21T04:11:55+05:30</t>
  </si>
  <si>
    <t>jfdkqfn27bbwjfg@marketplace.amazon.in</t>
  </si>
  <si>
    <t>407-8482784-7084331</t>
  </si>
  <si>
    <t>TXRB8Jh79</t>
  </si>
  <si>
    <t>D6fXCfv1c900R</t>
  </si>
  <si>
    <t>2026-07-20T13:23:53+05:30</t>
  </si>
  <si>
    <t>2026-07-21T03:08:46+05:30</t>
  </si>
  <si>
    <t>2026-07-21T06:08:57+05:30</t>
  </si>
  <si>
    <t>nkx72t9krxlszrg@marketplace.amazon.in</t>
  </si>
  <si>
    <t>MEDAK</t>
  </si>
  <si>
    <t>AC003828480IN</t>
  </si>
  <si>
    <t>402-9164310-5838736</t>
  </si>
  <si>
    <t>TncSm66R9</t>
  </si>
  <si>
    <t>DLdyC7vRcm0VR</t>
  </si>
  <si>
    <t>2026-07-20T21:12:51+05:30</t>
  </si>
  <si>
    <t>2026-07-21T02:57:48+05:30</t>
  </si>
  <si>
    <t>2026-07-21T05:58:02+05:30</t>
  </si>
  <si>
    <t>pw3pjnnfqtk3k19@marketplace.amazon.in</t>
  </si>
  <si>
    <t>PIPARIYA</t>
  </si>
  <si>
    <t>406-3938996-9585134</t>
  </si>
  <si>
    <t>T1yWgBTK9</t>
  </si>
  <si>
    <t>DmVDWNvSct0hR</t>
  </si>
  <si>
    <t>2026-07-19T07:12:42+05:30</t>
  </si>
  <si>
    <t>2026-07-21T02:35:47+05:30</t>
  </si>
  <si>
    <t>2026-07-21T05:36:05+05:30</t>
  </si>
  <si>
    <t>fj254w9vk5332m0@marketplace.amazon.in</t>
  </si>
  <si>
    <t>407-0459872-4285956</t>
  </si>
  <si>
    <t>TVgrbQzC9</t>
  </si>
  <si>
    <t>DZhcWYv3cQ0qR</t>
  </si>
  <si>
    <t>2026-07-19T17:21:08+05:30</t>
  </si>
  <si>
    <t>2026-07-21T02:29:45+05:30</t>
  </si>
  <si>
    <t>2026-07-21T05:29:57+05:30</t>
  </si>
  <si>
    <t>nf0d5x4lhf158bv@marketplace.amazon.in</t>
  </si>
  <si>
    <t>DL</t>
  </si>
  <si>
    <t>402-8307821-8174711</t>
  </si>
  <si>
    <t>TXnNGy6S9</t>
  </si>
  <si>
    <t>D6pTWrvdcL08R</t>
  </si>
  <si>
    <t>2026-07-20T18:02:12+05:30</t>
  </si>
  <si>
    <t>2026-07-21T02:27:42+05:30</t>
  </si>
  <si>
    <t>2026-07-21T05:27:53+05:30</t>
  </si>
  <si>
    <t>znh38y7b8sj834z@marketplace.amazon.in</t>
  </si>
  <si>
    <t>DASUYA</t>
  </si>
  <si>
    <t>403-3209176-1139543</t>
  </si>
  <si>
    <t>Tg0xgchc9</t>
  </si>
  <si>
    <t>DtNsKZvxcB0zR</t>
  </si>
  <si>
    <t>2026-07-20T11:42:20+05:30</t>
  </si>
  <si>
    <t>2026-07-21T02:19:48+05:30</t>
  </si>
  <si>
    <t>2026-07-21T05:20:04+05:30</t>
  </si>
  <si>
    <t>b8jly5qmgjm5v2b@marketplace.amazon.in</t>
  </si>
  <si>
    <t>Dx6sKYv0cf01R</t>
  </si>
  <si>
    <t>D46hKCv0cf01R</t>
  </si>
  <si>
    <t>DB6GKCv0cf01R</t>
  </si>
  <si>
    <t>Dh62KCv0cf01R</t>
  </si>
  <si>
    <t>Ds65Kfv0cf01R</t>
  </si>
  <si>
    <t>Dv63Kfv0cf01R</t>
  </si>
  <si>
    <t>D76BKfv0cf01R</t>
  </si>
  <si>
    <t>171-9302695-4174723</t>
  </si>
  <si>
    <t>T3LbKlzG9</t>
  </si>
  <si>
    <t>D9bFKXvmcg0rR</t>
  </si>
  <si>
    <t>2026-07-19T22:32:03+05:30</t>
  </si>
  <si>
    <t>2026-07-21T02:15:48+05:30</t>
  </si>
  <si>
    <t>2026-07-21T05:16:00+05:30</t>
  </si>
  <si>
    <t>9ccxxdhgmfc4f2k@marketplace.amazon.in</t>
  </si>
  <si>
    <t>403-1273315-4676311</t>
  </si>
  <si>
    <t>TcsyKz6B9</t>
  </si>
  <si>
    <t>DXqlK7vVcs0kR</t>
  </si>
  <si>
    <t>2026-07-20T19:20:19+05:30</t>
  </si>
  <si>
    <t>2026-07-21T02:10:46+05:30</t>
  </si>
  <si>
    <t>2026-07-21T05:11:01+05:30</t>
  </si>
  <si>
    <t>1x82qxpf3sd1fmh@marketplace.amazon.in</t>
  </si>
  <si>
    <t>2026-07-21T08:00:00+05:30</t>
  </si>
  <si>
    <t>407-8775608-6988350</t>
  </si>
  <si>
    <t>TVqGTh6M9</t>
  </si>
  <si>
    <t>D50mmQvVcw0jR</t>
  </si>
  <si>
    <t>2026-07-20T17:01:29+05:30</t>
  </si>
  <si>
    <t>2026-07-21T01:56:03+05:30</t>
  </si>
  <si>
    <t>2026-07-21T04:56:17+05:30</t>
  </si>
  <si>
    <t>blj0b0fvj1fq71b@marketplace.amazon.in</t>
  </si>
  <si>
    <t>KAIMGANJ</t>
  </si>
  <si>
    <t>404-7547383-3497953</t>
  </si>
  <si>
    <t>TNGwdw6T9</t>
  </si>
  <si>
    <t>DH86lnvscP0GR</t>
  </si>
  <si>
    <t>2026-07-20T18:57:44+05:30</t>
  </si>
  <si>
    <t>2026-07-21T01:45:46+05:30</t>
  </si>
  <si>
    <t>2026-07-21T04:45:57+05:30</t>
  </si>
  <si>
    <t>5gpfr8r69cdvmgr@marketplace.amazon.in</t>
  </si>
  <si>
    <t>171-8123418-4417950</t>
  </si>
  <si>
    <t>TCRGXD689</t>
  </si>
  <si>
    <t>DRF3SFv8ch0hR</t>
  </si>
  <si>
    <t>2026-07-20T20:24:10+05:30</t>
  </si>
  <si>
    <t>2026-07-21T01:17:47+05:30</t>
  </si>
  <si>
    <t>2026-07-21T04:18:08+05:30</t>
  </si>
  <si>
    <t>v2y3xrns1zkp8cf@marketplace.amazon.in</t>
  </si>
  <si>
    <t>HP 750 (Grey)</t>
  </si>
  <si>
    <t>405-9533598-3815503</t>
  </si>
  <si>
    <t>Tg6Kdn6C9</t>
  </si>
  <si>
    <t>DVvz6wvgcC05R</t>
  </si>
  <si>
    <t>2026-07-20T19:05:52+05:30</t>
  </si>
  <si>
    <t>2026-07-21T00:59:33+05:30</t>
  </si>
  <si>
    <t>2026-07-21T03:59:43+05:30</t>
  </si>
  <si>
    <t>6729rp9d095zq63@marketplace.amazon.in</t>
  </si>
  <si>
    <t>407-6210550-0488305</t>
  </si>
  <si>
    <t>TGWhCD6w9</t>
  </si>
  <si>
    <t>Dq07dqv0cg06R</t>
  </si>
  <si>
    <t>2026-07-20T20:04:06+05:30</t>
  </si>
  <si>
    <t>2026-07-21T00:28:49+05:30</t>
  </si>
  <si>
    <t>2026-07-21T03:29:02+05:30</t>
  </si>
  <si>
    <t>6z156pzf81yvsp0@marketplace.amazon.in</t>
  </si>
  <si>
    <t>171-2283208-0479551</t>
  </si>
  <si>
    <t>TwfSHjQV9</t>
  </si>
  <si>
    <t>DRqsdbvScS0YR</t>
  </si>
  <si>
    <t>2026-07-20T22:43:46+05:30</t>
  </si>
  <si>
    <t>2026-07-21T00:28:42+05:30</t>
  </si>
  <si>
    <t>2026-07-21T00:28:47+05:30</t>
  </si>
  <si>
    <t>2026-07-21T01:29:01+05:30</t>
  </si>
  <si>
    <t>5vf3rwrzfyrhhsm@marketplace.amazon.in</t>
  </si>
  <si>
    <t>402-5755602-0730756</t>
  </si>
  <si>
    <t>TwGxZg6s9</t>
  </si>
  <si>
    <t>DnXhGfvMcV0nR</t>
  </si>
  <si>
    <t>2026-07-20T20:31:35+05:30</t>
  </si>
  <si>
    <t>2026-07-21T00:21:47+05:30</t>
  </si>
  <si>
    <t>2026-07-21T03:22:01+05:30</t>
  </si>
  <si>
    <t>j36zg9rd2ls6wvd@marketplace.amazon.in</t>
  </si>
  <si>
    <t>405-9717105-5116334</t>
  </si>
  <si>
    <t>Tnl4P3659</t>
  </si>
  <si>
    <t>Df9mGRvscp0NR</t>
  </si>
  <si>
    <t>2026-07-20T16:48:47+05:30</t>
  </si>
  <si>
    <t>2026-07-21T00:16:48+05:30</t>
  </si>
  <si>
    <t>2026-07-21T03:17:03+05:30</t>
  </si>
  <si>
    <t>5q7r54bf9tbms4w@marketplace.amazon.in</t>
  </si>
  <si>
    <t>Jodhpur</t>
  </si>
  <si>
    <t>405-6538398-9229916</t>
  </si>
  <si>
    <t>TCrY0r6D9</t>
  </si>
  <si>
    <t>DzpBGhvsc80jR</t>
  </si>
  <si>
    <t>2026-07-20T19:19:32+05:30</t>
  </si>
  <si>
    <t>2026-07-21T00:09:45+05:30</t>
  </si>
  <si>
    <t>2026-07-21T00:09:48+05:30</t>
  </si>
  <si>
    <t>2026-07-21T01:10:01+05:30</t>
  </si>
  <si>
    <t>f4hj07gzlz1b0jz@marketplace.amazon.in</t>
  </si>
  <si>
    <t>171-4807939-0477111</t>
  </si>
  <si>
    <t>TNNQtLTs9</t>
  </si>
  <si>
    <t>DNb1tZvpcP00R</t>
  </si>
  <si>
    <t>2026-07-15T21:17:11+05:30</t>
  </si>
  <si>
    <t>2026-07-20T23:57:54+05:30</t>
  </si>
  <si>
    <t>2026-07-21T02:58:09+05:30</t>
  </si>
  <si>
    <t>2fbg38w995g0h6p@marketplace.amazon.in</t>
  </si>
  <si>
    <t>404-6162717-8867534</t>
  </si>
  <si>
    <t>TXjD8w6B9</t>
  </si>
  <si>
    <t>DRf9tWv9cQ03R</t>
  </si>
  <si>
    <t>2026-07-20T18:52:51+05:30</t>
  </si>
  <si>
    <t>2026-07-20T23:56:53+05:30</t>
  </si>
  <si>
    <t>2026-07-21T02:57:05+05:30</t>
  </si>
  <si>
    <t>mysj3rykvl8c82m@marketplace.amazon.in</t>
  </si>
  <si>
    <t>403-9065004-5709159</t>
  </si>
  <si>
    <t>Tw0qC2Tq9</t>
  </si>
  <si>
    <t>DLVhPTvNcZ06R</t>
  </si>
  <si>
    <t>2026-07-19T13:47:37+05:30</t>
  </si>
  <si>
    <t>2026-07-20T23:42:45+05:30</t>
  </si>
  <si>
    <t>2026-07-21T02:42:57+05:30</t>
  </si>
  <si>
    <t>zn1kpt5ddx4cv54@marketplace.amazon.in</t>
  </si>
  <si>
    <t>ALIGARH</t>
  </si>
  <si>
    <t>405-5958502-9046703</t>
  </si>
  <si>
    <t>TXtKz46V9</t>
  </si>
  <si>
    <t>Dc8FTVv4cP01R</t>
  </si>
  <si>
    <t>2026-07-20T15:34:30+05:30</t>
  </si>
  <si>
    <t>2026-07-20T23:31:48+05:30</t>
  </si>
  <si>
    <t>2026-07-21T02:32:02+05:30</t>
  </si>
  <si>
    <t>12y04rgw2tq7lg4@marketplace.amazon.in</t>
  </si>
  <si>
    <t>402-7117643-6755531</t>
  </si>
  <si>
    <t>TwJbg8hW9</t>
  </si>
  <si>
    <t>DgNfT7vvcx06R</t>
  </si>
  <si>
    <t>2026-07-20T11:02:35+05:30</t>
  </si>
  <si>
    <t>2026-07-20T23:28:50+05:30</t>
  </si>
  <si>
    <t>2026-07-21T02:29:04+05:30</t>
  </si>
  <si>
    <t>nrt8gnygwd17wkp@marketplace.amazon.in</t>
  </si>
  <si>
    <t>402-8031086-5870722</t>
  </si>
  <si>
    <t>TJNR8n6G9</t>
  </si>
  <si>
    <t>DJwpTmvgcw0vR</t>
  </si>
  <si>
    <t>2026-07-20T19:49:39+05:30</t>
  </si>
  <si>
    <t>2026-07-20T23:25:55+05:30</t>
  </si>
  <si>
    <t>2026-07-21T02:26:10+05:30</t>
  </si>
  <si>
    <t>hbznhnzd7j7fvm0@marketplace.amazon.in</t>
  </si>
  <si>
    <t>406-7261324-8782720</t>
  </si>
  <si>
    <t>TNZZkF6m9</t>
  </si>
  <si>
    <t>D18yTdv3cf0QR</t>
  </si>
  <si>
    <t>2026-07-19T23:11:56+05:30</t>
  </si>
  <si>
    <t>2026-07-20T23:25:49+05:30</t>
  </si>
  <si>
    <t>2026-07-21T02:26:01+05:30</t>
  </si>
  <si>
    <t>vr55vny12vyg5bs@marketplace.amazon.in</t>
  </si>
  <si>
    <t>402-6611944-4092324</t>
  </si>
  <si>
    <t>TXfX5zqK9</t>
  </si>
  <si>
    <t>DCCHTBvZcZ0VR</t>
  </si>
  <si>
    <t>2026-07-11T12:07:48+05:30</t>
  </si>
  <si>
    <t>2026-07-20T23:20:44+05:30</t>
  </si>
  <si>
    <t>2026-07-20T23:20:47+05:30</t>
  </si>
  <si>
    <t>2026-07-21T00:20:58+05:30</t>
  </si>
  <si>
    <t>py2rhf9p0fvc84d@marketplace.amazon.in</t>
  </si>
  <si>
    <t>405-6180418-1381935</t>
  </si>
  <si>
    <t>TcQSk8QP9</t>
  </si>
  <si>
    <t>DrnVTxv7cs0LR</t>
  </si>
  <si>
    <t>2026-07-20T21:38:10+05:30</t>
  </si>
  <si>
    <t>2026-07-20T23:17:40+05:30</t>
  </si>
  <si>
    <t>2026-07-20T23:17:42+05:30</t>
  </si>
  <si>
    <t>2026-07-21T00:17:53+05:30</t>
  </si>
  <si>
    <t>2n2ct3y97jdbgt6@marketplace.amazon.in</t>
  </si>
  <si>
    <t>404-2097049-9750730</t>
  </si>
  <si>
    <t>TGbcfMhh9</t>
  </si>
  <si>
    <t>DrKjxkvgcq01R</t>
  </si>
  <si>
    <t>2026-07-20T11:22:16+05:30</t>
  </si>
  <si>
    <t>2026-07-20T23:00:44+05:30</t>
  </si>
  <si>
    <t>2026-07-20T23:00:48+05:30</t>
  </si>
  <si>
    <t>2026-07-21T00:01:01+05:30</t>
  </si>
  <si>
    <t>t6922xtx5ns4d87@marketplace.amazon.in</t>
  </si>
  <si>
    <t>ERODE</t>
  </si>
  <si>
    <t>402-8428707-0775555</t>
  </si>
  <si>
    <t>Tg0dlZ6S9</t>
  </si>
  <si>
    <t>DH663FvccC0qR</t>
  </si>
  <si>
    <t>2026-07-20T20:16:31+05:30</t>
  </si>
  <si>
    <t>2026-07-20T22:28:48+05:30</t>
  </si>
  <si>
    <t>2026-07-21T01:29:02+05:30</t>
  </si>
  <si>
    <t>pv28mm54dk6x7ll@marketplace.amazon.in</t>
  </si>
  <si>
    <t>402-3713388-1653931</t>
  </si>
  <si>
    <t>TGjBqV6M9</t>
  </si>
  <si>
    <t>DMYl3wvrcy01R</t>
  </si>
  <si>
    <t>2026-07-20T20:45:46+05:30</t>
  </si>
  <si>
    <t>2026-07-20T22:27:45+05:30</t>
  </si>
  <si>
    <t>2026-07-21T01:27:56+05:30</t>
  </si>
  <si>
    <t>g9l0f40gc9bhwwj@marketplace.amazon.in</t>
  </si>
  <si>
    <t>404-4575141-9813166</t>
  </si>
  <si>
    <t>T6d96c6M9</t>
  </si>
  <si>
    <t>DpQYJ8vgcJ0TR</t>
  </si>
  <si>
    <t>2026-07-20T19:32:27+05:30</t>
  </si>
  <si>
    <t>2026-07-20T22:13:44+05:30</t>
  </si>
  <si>
    <t>2026-07-21T01:13:57+05:30</t>
  </si>
  <si>
    <t>04l754lt6c9lky3@marketplace.amazon.in</t>
  </si>
  <si>
    <t>402-0674689-2296367</t>
  </si>
  <si>
    <t>TV2P7F619</t>
  </si>
  <si>
    <t>D6yNMQvzcX04R</t>
  </si>
  <si>
    <t>2026-07-20T18:25:57+05:30</t>
  </si>
  <si>
    <t>2026-07-20T22:11:43+05:30</t>
  </si>
  <si>
    <t>2026-07-21T01:11:55+05:30</t>
  </si>
  <si>
    <t>sbmlvxtckhdbdby@marketplace.amazon.in</t>
  </si>
  <si>
    <t>HATHRAS</t>
  </si>
  <si>
    <t>406-6665350-1765914</t>
  </si>
  <si>
    <t>TNl9vm6v9</t>
  </si>
  <si>
    <t>D38TMJvFcK08R</t>
  </si>
  <si>
    <t>2026-07-20T15:47:00+05:30</t>
  </si>
  <si>
    <t>2026-07-20T22:03:45+05:30</t>
  </si>
  <si>
    <t>2026-07-21T01:03:56+05:30</t>
  </si>
  <si>
    <t>vm7p4nx004hpm5j@marketplace.amazon.in</t>
  </si>
  <si>
    <t>LALSOT</t>
  </si>
  <si>
    <t>AC003823054IN</t>
  </si>
  <si>
    <t>403-6387639-0524310</t>
  </si>
  <si>
    <t>Tg97fkh29</t>
  </si>
  <si>
    <t>DkZDMJvvcv0WR</t>
  </si>
  <si>
    <t>2026-07-20T14:21:19+05:30</t>
  </si>
  <si>
    <t>2026-07-20T21:59:47+05:30</t>
  </si>
  <si>
    <t>HP 750 (Black)</t>
  </si>
  <si>
    <t>2026-07-21T01:00:00+05:30</t>
  </si>
  <si>
    <t>52ypf2k2h5cs6xw@marketplace.amazon.in</t>
  </si>
  <si>
    <t>407-8873749-1335515</t>
  </si>
  <si>
    <t>TJXmj3hg9</t>
  </si>
  <si>
    <t>DyyC1lvncn0yR</t>
  </si>
  <si>
    <t>2026-07-20T14:01:57+05:30</t>
  </si>
  <si>
    <t>2026-07-20T21:54:48+05:30</t>
  </si>
  <si>
    <t>2026-07-21T00:55:00+05:30</t>
  </si>
  <si>
    <t>qkr8l8g2735jnjx@marketplace.amazon.in</t>
  </si>
  <si>
    <t>DHARWAD</t>
  </si>
  <si>
    <t>403-5170008-6958737</t>
  </si>
  <si>
    <t>TnVKg4619</t>
  </si>
  <si>
    <t>Dnbx1bv0cK0pR</t>
  </si>
  <si>
    <t>2026-07-20T21:40:39+05:30</t>
  </si>
  <si>
    <t>2026-07-20T21:40:42+05:30</t>
  </si>
  <si>
    <t>2026-07-20T22:40:52+05:30</t>
  </si>
  <si>
    <t>4db676dl33w1bz0@marketplace.amazon.in</t>
  </si>
  <si>
    <t>Balanagar</t>
  </si>
  <si>
    <t>407-4953104-0460300</t>
  </si>
  <si>
    <t>T3TqTT6z9</t>
  </si>
  <si>
    <t>DMZGrSvWc60nR</t>
  </si>
  <si>
    <t>2026-07-20T17:54:36+05:30</t>
  </si>
  <si>
    <t>2026-07-20T21:28:47+05:30</t>
  </si>
  <si>
    <t>2026-07-21T00:28:59+05:30</t>
  </si>
  <si>
    <t>s123rwcmxy5m62y@marketplace.amazon.in</t>
  </si>
  <si>
    <t>405-5419151-9437105</t>
  </si>
  <si>
    <t>TV2mKz6Z9</t>
  </si>
  <si>
    <t>DPzR7HvTcJ06R</t>
  </si>
  <si>
    <t>2026-07-20T19:58:11+05:30</t>
  </si>
  <si>
    <t>2026-07-20T21:05:43+05:30</t>
  </si>
  <si>
    <t>2026-07-21T00:05:59+05:30</t>
  </si>
  <si>
    <t>jffyt3f1kczq4j0@marketplace.amazon.in</t>
  </si>
  <si>
    <t>408-0836985-9329921</t>
  </si>
  <si>
    <t>TwNzzr6d9</t>
  </si>
  <si>
    <t>D43DLFv1cQ0sR</t>
  </si>
  <si>
    <t>2026-07-20T15:18:25+05:30</t>
  </si>
  <si>
    <t>2026-07-20T20:57:44+05:30</t>
  </si>
  <si>
    <t>2026-07-20T23:57:55+05:30</t>
  </si>
  <si>
    <t>mfz52mh1d9hddss@marketplace.amazon.in</t>
  </si>
  <si>
    <t>404-6151992-2554738</t>
  </si>
  <si>
    <t>T6sQNWz39</t>
  </si>
  <si>
    <t>D4mZLPvtcT0hR</t>
  </si>
  <si>
    <t>2026-07-20T16:37:38+05:30</t>
  </si>
  <si>
    <t>2026-07-20T20:52:45+05:30</t>
  </si>
  <si>
    <t>2026-07-20T23:52:58+05:30</t>
  </si>
  <si>
    <t>sw9gn4sc1hxdc1x@marketplace.amazon.in</t>
  </si>
  <si>
    <t>KANCHIPURAM</t>
  </si>
  <si>
    <t>403-7900805-4785918</t>
  </si>
  <si>
    <t>TcrjrJ639</t>
  </si>
  <si>
    <t>DzCsLnvHcH0dR</t>
  </si>
  <si>
    <t>2026-07-20T16:27:56+05:30</t>
  </si>
  <si>
    <t>2026-07-20T20:46:46+05:30</t>
  </si>
  <si>
    <t>2026-07-20T23:47:00+05:30</t>
  </si>
  <si>
    <t>n8z6skkkwkc1r4y@marketplace.amazon.in</t>
  </si>
  <si>
    <t>407-4415893-0302700</t>
  </si>
  <si>
    <t>T6ffPFhx9</t>
  </si>
  <si>
    <t>DLYtsqvhcD0LR</t>
  </si>
  <si>
    <t>2026-07-20T09:59:55+05:30</t>
  </si>
  <si>
    <t>2026-07-20T20:33:38+05:30</t>
  </si>
  <si>
    <t>2026-07-20T20:33:40+05:30</t>
  </si>
  <si>
    <t>2026-07-20T21:33:51+05:30</t>
  </si>
  <si>
    <t>1nnj21xd6ybm7jb@marketplace.amazon.in</t>
  </si>
  <si>
    <t>GARRA</t>
  </si>
  <si>
    <t>407-8824808-2718727</t>
  </si>
  <si>
    <t>Tw11446X9</t>
  </si>
  <si>
    <t>DhsCsfvXc40FR</t>
  </si>
  <si>
    <t>2026-07-20T13:10:45+05:30</t>
  </si>
  <si>
    <t>2026-07-20T20:28:52+05:30</t>
  </si>
  <si>
    <t>2026-07-20T23:29:05+05:30</t>
  </si>
  <si>
    <t>3rq9qccqkljd39p@marketplace.amazon.in</t>
  </si>
  <si>
    <t>406-3184239-4214706</t>
  </si>
  <si>
    <t>Twdx7ZhP9</t>
  </si>
  <si>
    <t>DfJCspvVcp0vR</t>
  </si>
  <si>
    <t>2026-07-20T06:12:37+05:30</t>
  </si>
  <si>
    <t>2026-07-20T20:24:49+05:30</t>
  </si>
  <si>
    <t>2026-07-20T23:25:01+05:30</t>
  </si>
  <si>
    <t>6ghkbfnb7s35tjz@marketplace.amazon.in</t>
  </si>
  <si>
    <t>403-9262693-0333967</t>
  </si>
  <si>
    <t>TG6p4W6L9</t>
  </si>
  <si>
    <t>DCJ5s0vfcZ0zR</t>
  </si>
  <si>
    <t>2026-07-20T14:15:20+05:30</t>
  </si>
  <si>
    <t>2026-07-20T20:24:48+05:30</t>
  </si>
  <si>
    <t>vp1jf78p26xr3d3@marketplace.amazon.in</t>
  </si>
  <si>
    <t>402-5596485-9853925</t>
  </si>
  <si>
    <t>Tc7D7r6T9</t>
  </si>
  <si>
    <t>DvJcsGvZcZ0zR</t>
  </si>
  <si>
    <t>2026-07-20T18:24:01+05:30</t>
  </si>
  <si>
    <t>2026-07-20T20:24:40+05:30</t>
  </si>
  <si>
    <t>2026-07-20T20:24:43+05:30</t>
  </si>
  <si>
    <t>2026-07-20T21:24:53+05:30</t>
  </si>
  <si>
    <t>h8s5f7pljvn4d5f@marketplace.amazon.in</t>
  </si>
  <si>
    <t>407-8615265-6504353</t>
  </si>
  <si>
    <t>TgsJqJh69</t>
  </si>
  <si>
    <t>D495QbvXcG08R</t>
  </si>
  <si>
    <t>2026-07-20T10:52:28+05:30</t>
  </si>
  <si>
    <t>2026-07-20T20:14:43+05:30</t>
  </si>
  <si>
    <t>2026-07-20T23:14:57+05:30</t>
  </si>
  <si>
    <t>wmc02fy7jk99wg0@marketplace.amazon.in</t>
  </si>
  <si>
    <t>GANDAI</t>
  </si>
  <si>
    <t>407-7672434-5686761</t>
  </si>
  <si>
    <t>TwddBkzZ9</t>
  </si>
  <si>
    <t>DF9QQVvmcG08R</t>
  </si>
  <si>
    <t>2026-07-19T17:47:52+05:30</t>
  </si>
  <si>
    <t>2026-07-20T20:13:54+05:30</t>
  </si>
  <si>
    <t>2026-07-20T23:14:09+05:30</t>
  </si>
  <si>
    <t>92g412y015ly4z9@marketplace.amazon.in</t>
  </si>
  <si>
    <t>407-3420775-3990727</t>
  </si>
  <si>
    <t>T1VZXkhn9</t>
  </si>
  <si>
    <t>D5y5cDvHc60fR</t>
  </si>
  <si>
    <t>2026-07-20T12:21:29+05:30</t>
  </si>
  <si>
    <t>2026-07-20T20:02:47+05:30</t>
  </si>
  <si>
    <t>2026-07-20T23:03:00+05:30</t>
  </si>
  <si>
    <t>x133kq7lqk3ghsg@marketplace.amazon.in</t>
  </si>
  <si>
    <t>KOTTAKAL</t>
  </si>
  <si>
    <t>407-4803932-0934736</t>
  </si>
  <si>
    <t>TgYTBP6N9</t>
  </si>
  <si>
    <t>DgjfcHvHcv0FR</t>
  </si>
  <si>
    <t>2026-07-20T15:11:21+05:30</t>
  </si>
  <si>
    <t>2026-07-20T20:00:48+05:30</t>
  </si>
  <si>
    <t>2026-07-20T23:00:58+05:30</t>
  </si>
  <si>
    <t>p7wxy044pzv0zbt@marketplace.amazon.in</t>
  </si>
  <si>
    <t>D6jtcHvHcv0FR</t>
  </si>
  <si>
    <t>Dg2HcZvgcZ07R</t>
  </si>
  <si>
    <t>171-5688274-1199552</t>
  </si>
  <si>
    <t>TCRn69hg9</t>
  </si>
  <si>
    <t>DVW7cnvDcH0DR</t>
  </si>
  <si>
    <t>2026-07-20T09:53:57+05:30</t>
  </si>
  <si>
    <t>2026-07-20T19:56:44+05:30</t>
  </si>
  <si>
    <t>2026-07-20T22:56:57+05:30</t>
  </si>
  <si>
    <t>0zmsv6w2369z4x9@marketplace.amazon.in</t>
  </si>
  <si>
    <t>KAWARDHA</t>
  </si>
  <si>
    <t>171-8772384-6962768</t>
  </si>
  <si>
    <t>TcMznw629</t>
  </si>
  <si>
    <t>DKdlc2vDc20NR</t>
  </si>
  <si>
    <t>2026-07-20T17:40:07+05:30</t>
  </si>
  <si>
    <t>2026-07-20T19:49:46+05:30</t>
  </si>
  <si>
    <t>2026-07-20T22:50:00+05:30</t>
  </si>
  <si>
    <t>cvpwjqxb2p2xv2q@marketplace.amazon.in</t>
  </si>
  <si>
    <t>404-9317114-1999511</t>
  </si>
  <si>
    <t>TVv0kx6Q9</t>
  </si>
  <si>
    <t>DRBPvqvlcb0WR</t>
  </si>
  <si>
    <t>2026-07-20T13:06:01+05:30</t>
  </si>
  <si>
    <t>2026-07-20T19:46:00+05:30</t>
  </si>
  <si>
    <t>2026-07-20T22:46:29+05:30</t>
  </si>
  <si>
    <t>p0301sf5r1r2pxx@marketplace.amazon.in</t>
  </si>
  <si>
    <t>406-0595849-3223556</t>
  </si>
  <si>
    <t>TcNNTs6Q9</t>
  </si>
  <si>
    <t>DRvDvMv3c70fR</t>
  </si>
  <si>
    <t>2026-07-20T18:30:05+05:30</t>
  </si>
  <si>
    <t>2026-07-20T19:45:45+05:30</t>
  </si>
  <si>
    <t>2026-07-20T22:45:57+05:30</t>
  </si>
  <si>
    <t>3tpty5q74mf8kcd@marketplace.amazon.in</t>
  </si>
  <si>
    <t>408-6676562-3814763</t>
  </si>
  <si>
    <t>Tnndyphp9</t>
  </si>
  <si>
    <t>DrWsvNvPc80VR</t>
  </si>
  <si>
    <t>2026-07-12T21:09:31+05:30</t>
  </si>
  <si>
    <t>2026-07-20T19:42:46+05:30</t>
  </si>
  <si>
    <t>2026-07-20T19:42:49+05:30</t>
  </si>
  <si>
    <t>2026-07-20T20:43:00+05:30</t>
  </si>
  <si>
    <t>407-2913201-7517107</t>
  </si>
  <si>
    <t>TVyCLm6l9</t>
  </si>
  <si>
    <t>D8WCvrvvch06R</t>
  </si>
  <si>
    <t>2026-07-20T17:43:47+05:30</t>
  </si>
  <si>
    <t>2026-07-20T22:42:57+05:30</t>
  </si>
  <si>
    <t>btv5wwtpmshh5g5@marketplace.amazon.in</t>
  </si>
  <si>
    <t>408-7556277-0569149</t>
  </si>
  <si>
    <t>TJ6fTJh59</t>
  </si>
  <si>
    <t>D5tYv0vvcw0PR</t>
  </si>
  <si>
    <t>2026-07-20T07:32:52+05:30</t>
  </si>
  <si>
    <t>2026-07-20T19:41:46+05:30</t>
  </si>
  <si>
    <t>2026-07-20T22:41:57+05:30</t>
  </si>
  <si>
    <t>sdjq2h9dwxq6j50@marketplace.amazon.in</t>
  </si>
  <si>
    <t>RAIPUR</t>
  </si>
  <si>
    <t>404-3020092-6111507</t>
  </si>
  <si>
    <t>TCW3yx649</t>
  </si>
  <si>
    <t>DTX5ztvjc90zR</t>
  </si>
  <si>
    <t>2026-07-20T14:36:18+05:30</t>
  </si>
  <si>
    <t>2026-07-20T19:28:47+05:30</t>
  </si>
  <si>
    <t>2026-07-20T22:29:03+05:30</t>
  </si>
  <si>
    <t>wn1ftjj55sjznxh@marketplace.amazon.in</t>
  </si>
  <si>
    <t>pune</t>
  </si>
  <si>
    <t>HP 670 (Grey)</t>
  </si>
  <si>
    <t>405-0257443-1804371</t>
  </si>
  <si>
    <t>T3W1nn669</t>
  </si>
  <si>
    <t>D4wCz1vWcZ0NR</t>
  </si>
  <si>
    <t>2026-07-20T17:04:35+05:30</t>
  </si>
  <si>
    <t>2026-07-20T19:27:46+05:30</t>
  </si>
  <si>
    <t>2026-07-20T19:27:49+05:30</t>
  </si>
  <si>
    <t>2026-07-20T20:28:01+05:30</t>
  </si>
  <si>
    <t>70kls8vf9dztdsb@marketplace.amazon.in</t>
  </si>
  <si>
    <t>171-7992237-5287517</t>
  </si>
  <si>
    <t>TC8m32Tf9</t>
  </si>
  <si>
    <t>DVwgzPvScZ0NR</t>
  </si>
  <si>
    <t>2026-07-19T08:50:50+05:30</t>
  </si>
  <si>
    <t>2026-07-20T19:26:50+05:30</t>
  </si>
  <si>
    <t>2026-07-20T22:27:09+05:30</t>
  </si>
  <si>
    <t>m6y26ynfglz1wzq@marketplace.amazon.in</t>
  </si>
  <si>
    <t>404-6231502-7345136</t>
  </si>
  <si>
    <t>T3Y27fhl9</t>
  </si>
  <si>
    <t>Dgtrz0vmcC0BR</t>
  </si>
  <si>
    <t>2026-07-20T06:37:29+05:30</t>
  </si>
  <si>
    <t>2026-07-20T19:23:52+05:30</t>
  </si>
  <si>
    <t>2026-07-20T22:24:15+05:30</t>
  </si>
  <si>
    <t>17n4hp450s2nb0h@marketplace.amazon.in</t>
  </si>
  <si>
    <t>404-6832926-2618740</t>
  </si>
  <si>
    <t>TC1HGghD9</t>
  </si>
  <si>
    <t>DjC8zFvCcB0NR</t>
  </si>
  <si>
    <t>2026-07-20T07:46:02+05:30</t>
  </si>
  <si>
    <t>2026-07-20T19:16:58+05:30</t>
  </si>
  <si>
    <t>2026-07-20T22:17:14+05:30</t>
  </si>
  <si>
    <t>8dmhf6lct8twmsd@marketplace.amazon.in</t>
  </si>
  <si>
    <t>405-7892095-0413128</t>
  </si>
  <si>
    <t>TNsZJf6q9</t>
  </si>
  <si>
    <t>DwVV2wv3cm0mR</t>
  </si>
  <si>
    <t>2026-07-20T16:42:10+05:30</t>
  </si>
  <si>
    <t>2026-07-20T18:52:42+05:30</t>
  </si>
  <si>
    <t>2026-07-20T18:52:45+05:30</t>
  </si>
  <si>
    <t>2026-07-20T19:52:56+05:30</t>
  </si>
  <si>
    <t>404-9364732-5663505</t>
  </si>
  <si>
    <t>T6Fk2J6g9</t>
  </si>
  <si>
    <t>DdFVD8vLcz0HR</t>
  </si>
  <si>
    <t>2026-07-20T16:09:01+05:30</t>
  </si>
  <si>
    <t>2026-07-20T18:21:46+05:30</t>
  </si>
  <si>
    <t>2026-07-20T21:21:59+05:30</t>
  </si>
  <si>
    <t>7kpby4b3bv418gd@marketplace.amazon.in</t>
  </si>
  <si>
    <t>KATHUA</t>
  </si>
  <si>
    <t>405-2063257-4952369</t>
  </si>
  <si>
    <t>TXbzdhTD9</t>
  </si>
  <si>
    <t>DSFCDVvPcT0TR</t>
  </si>
  <si>
    <t>2026-07-19T11:49:40+05:30</t>
  </si>
  <si>
    <t>2026-07-20T18:20:48+05:30</t>
  </si>
  <si>
    <t>2026-07-20T21:25:21+05:30</t>
  </si>
  <si>
    <t>592fjw36cdqlhgt@marketplace.amazon.in</t>
  </si>
  <si>
    <t>Chengalpattu</t>
  </si>
  <si>
    <t>403-7538475-4849113</t>
  </si>
  <si>
    <t>Tgpsqyhp9</t>
  </si>
  <si>
    <t>DFYlDYvfc803R</t>
  </si>
  <si>
    <t>2026-07-20T10:55:33+05:30</t>
  </si>
  <si>
    <t>2026-07-20T18:13:44+05:30</t>
  </si>
  <si>
    <t>2026-07-20T21:13:55+05:30</t>
  </si>
  <si>
    <t>5nh2cxxvx3vrprq@marketplace.amazon.in</t>
  </si>
  <si>
    <t>KAPASAN</t>
  </si>
  <si>
    <t>171-6241370-7133902</t>
  </si>
  <si>
    <t>T1mGCPhM9</t>
  </si>
  <si>
    <t>DJNfYWvvcj02R</t>
  </si>
  <si>
    <t>2026-07-20T11:03:48+05:30</t>
  </si>
  <si>
    <t>2026-07-20T18:07:49+05:30</t>
  </si>
  <si>
    <t>2026-07-20T21:08:02+05:30</t>
  </si>
  <si>
    <t>y1q5nrl7p68vkb2@marketplace.amazon.in</t>
  </si>
  <si>
    <t>403-8152015-7182754</t>
  </si>
  <si>
    <t>Tcvpw26J9</t>
  </si>
  <si>
    <t>DPgSYyvncH0dR</t>
  </si>
  <si>
    <t>2026-07-20T14:18:49+05:30</t>
  </si>
  <si>
    <t>2026-07-20T17:59:54+05:30</t>
  </si>
  <si>
    <t>2026-07-20T21:00:07+05:30</t>
  </si>
  <si>
    <t>h56p9142lfzfllj@marketplace.amazon.in</t>
  </si>
  <si>
    <t>407-4079768-1877958</t>
  </si>
  <si>
    <t>TcnsBN679</t>
  </si>
  <si>
    <t>D7gLYbvBcj0pR</t>
  </si>
  <si>
    <t>2026-07-20T14:49:35+05:30</t>
  </si>
  <si>
    <t>2026-07-20T17:59:44+05:30</t>
  </si>
  <si>
    <t>2026-07-20T20:59:57+05:30</t>
  </si>
  <si>
    <t>pz45b8hl9hp5hkr@marketplace.amazon.in</t>
  </si>
  <si>
    <t>Madanapalli</t>
  </si>
  <si>
    <t>405-9939218-9995540</t>
  </si>
  <si>
    <t>TVSrjPh59</t>
  </si>
  <si>
    <t>DPgvy9vmcp0VR</t>
  </si>
  <si>
    <t>2026-07-20T13:52:39+05:30</t>
  </si>
  <si>
    <t>2026-07-20T17:47:47+05:30</t>
  </si>
  <si>
    <t>2026-07-20T20:48:01+05:30</t>
  </si>
  <si>
    <t>xkwhm8bcqwqbtcr@marketplace.amazon.in</t>
  </si>
  <si>
    <t>VANIYANBADI</t>
  </si>
  <si>
    <t>406-6074906-7028348</t>
  </si>
  <si>
    <t>TgwD6Nzt9</t>
  </si>
  <si>
    <t>DFgwydv4cp0VR</t>
  </si>
  <si>
    <t>2026-07-19T20:50:04+05:30</t>
  </si>
  <si>
    <t>2026-07-20T17:40:46+05:30</t>
  </si>
  <si>
    <t>2026-07-20T20:40:59+05:30</t>
  </si>
  <si>
    <t>92vp9hd29gfp4k4@marketplace.amazon.in</t>
  </si>
  <si>
    <t>402-4985376-0480351</t>
  </si>
  <si>
    <t>TCLkvXh69</t>
  </si>
  <si>
    <t>DJNZwpvscp0XR</t>
  </si>
  <si>
    <t>2026-07-20T02:35:10+05:30</t>
  </si>
  <si>
    <t>2026-07-20T17:34:45+05:30</t>
  </si>
  <si>
    <t>2026-07-20T20:34:56+05:30</t>
  </si>
  <si>
    <t>m6f3hbwwwy137hj@marketplace.amazon.in</t>
  </si>
  <si>
    <t>JHALAWAR</t>
  </si>
  <si>
    <t>408-4900689-4014723</t>
  </si>
  <si>
    <t>Tgczh4hd9</t>
  </si>
  <si>
    <t>Dz1DwqvYc00ZR</t>
  </si>
  <si>
    <t>2026-07-20T11:35:15+05:30</t>
  </si>
  <si>
    <t>2026-07-20T17:33:47+05:30</t>
  </si>
  <si>
    <t>2026-07-20T20:34:05+05:30</t>
  </si>
  <si>
    <t>46rtcvq8f04fcn4@marketplace.amazon.in</t>
  </si>
  <si>
    <t>406-6074795-1110702</t>
  </si>
  <si>
    <t>TgmJ4b679</t>
  </si>
  <si>
    <t>Dd0YwvvqcJ0MR</t>
  </si>
  <si>
    <t>2026-07-20T13:54:02+05:30</t>
  </si>
  <si>
    <t>2026-07-20T17:24:46+05:30</t>
  </si>
  <si>
    <t>2026-07-20T20:24:58+05:30</t>
  </si>
  <si>
    <t>87rr2jxrhwr12f9@marketplace.amazon.in</t>
  </si>
  <si>
    <t>171-0265979-3469170</t>
  </si>
  <si>
    <t>TNcRqrhK9</t>
  </si>
  <si>
    <t>Dd6lw8vMcc0jR</t>
  </si>
  <si>
    <t>2026-07-20T10:59:14+05:30</t>
  </si>
  <si>
    <t>2026-07-20T17:20:43+05:30</t>
  </si>
  <si>
    <t>2026-07-20T17:20:45+05:30</t>
  </si>
  <si>
    <t>2026-07-20T18:20:58+05:30</t>
  </si>
  <si>
    <t>bydjhtszqhclrhb@marketplace.amazon.in</t>
  </si>
  <si>
    <t>405-3009167-6984315</t>
  </si>
  <si>
    <t>TcgKyK6H9</t>
  </si>
  <si>
    <t>DjLnB2v4cK02R</t>
  </si>
  <si>
    <t>2026-07-20T15:10:05+05:30</t>
  </si>
  <si>
    <t>2026-07-20T17:04:43+05:30</t>
  </si>
  <si>
    <t>2026-07-20T20:04:55+05:30</t>
  </si>
  <si>
    <t>z9zhsqqtcb4qjxv@marketplace.amazon.in</t>
  </si>
  <si>
    <t>404-5570720-4673132</t>
  </si>
  <si>
    <t>TGRyYL6N9</t>
  </si>
  <si>
    <t>DRlsBgvtcY0dR</t>
  </si>
  <si>
    <t>2026-07-20T14:28:05+05:30</t>
  </si>
  <si>
    <t>2026-07-20T17:01:44+05:30</t>
  </si>
  <si>
    <t>2026-07-20T20:01:58+05:30</t>
  </si>
  <si>
    <t>p7k6wcj9q70w9mn@marketplace.amazon.in</t>
  </si>
  <si>
    <t>403-3734429-5713932</t>
  </si>
  <si>
    <t>T3klgHh99</t>
  </si>
  <si>
    <t>DsBN9jvZcq0HR</t>
  </si>
  <si>
    <t>2026-07-20T12:09:22+05:30</t>
  </si>
  <si>
    <t>2026-07-20T16:56:48+05:30</t>
  </si>
  <si>
    <t>2026-07-20T19:57:00+05:30</t>
  </si>
  <si>
    <t>fv6blsrfgf2qjdc@marketplace.amazon.in</t>
  </si>
  <si>
    <t>HP 670 (Black)</t>
  </si>
  <si>
    <t>407-8762982-8170754</t>
  </si>
  <si>
    <t>TCgPf3hM9</t>
  </si>
  <si>
    <t>DbBF9Lvmcq0HR</t>
  </si>
  <si>
    <t>2026-07-20T14:41:18+05:30</t>
  </si>
  <si>
    <t>2026-07-20T16:53:38+05:30</t>
  </si>
  <si>
    <t>2026-07-20T16:53:41+05:30</t>
  </si>
  <si>
    <t>2026-07-20T17:53:52+05:30</t>
  </si>
  <si>
    <t>phcyrmpkqn8tfn1@marketplace.amazon.in</t>
  </si>
  <si>
    <t>405-2869212-8886714</t>
  </si>
  <si>
    <t>TcD7bC6r9</t>
  </si>
  <si>
    <t>D2L29lvnck03R</t>
  </si>
  <si>
    <t>2026-07-20T11:22:52+05:30</t>
  </si>
  <si>
    <t>2026-07-20T16:50:42+05:30</t>
  </si>
  <si>
    <t>2026-07-20T19:50:55+05:30</t>
  </si>
  <si>
    <t>6zf5dnryl87g360@marketplace.amazon.in</t>
  </si>
  <si>
    <t>RAGHUNATHPUR HUGLI DISTRICT</t>
  </si>
  <si>
    <t>403-8728634-8531561</t>
  </si>
  <si>
    <t>TwLsTjhm9</t>
  </si>
  <si>
    <t>DRx99zv2cj0MR</t>
  </si>
  <si>
    <t>2026-07-20T06:37:52+05:30</t>
  </si>
  <si>
    <t>2026-07-20T16:44:59+05:30</t>
  </si>
  <si>
    <t>2026-07-20T19:45:36+05:30</t>
  </si>
  <si>
    <t>q9xw2fr50l0cvs8@marketplace.amazon.in</t>
  </si>
  <si>
    <t>407-1669662-4661904</t>
  </si>
  <si>
    <t>T3ltbG659</t>
  </si>
  <si>
    <t>Dltq4TvVcl0qR</t>
  </si>
  <si>
    <t>2026-07-20T13:16:00+05:30</t>
  </si>
  <si>
    <t>2026-07-20T16:34:46+05:30</t>
  </si>
  <si>
    <t>2026-07-20T19:34:57+05:30</t>
  </si>
  <si>
    <t>xsmh9mpgbms594z@marketplace.amazon.in</t>
  </si>
  <si>
    <t>405-5837242-6385108</t>
  </si>
  <si>
    <t>TC2FWKhg9</t>
  </si>
  <si>
    <t>Dk214TvjcS00R</t>
  </si>
  <si>
    <t>2026-07-20T11:21:26+05:30</t>
  </si>
  <si>
    <t>2026-07-20T16:32:48+05:30</t>
  </si>
  <si>
    <t>2026-07-20T19:32:59+05:30</t>
  </si>
  <si>
    <t>1h0pjzw7sq8hcm5@marketplace.amazon.in</t>
  </si>
  <si>
    <t>405-4255663-5037903</t>
  </si>
  <si>
    <t>TcKNq7z29</t>
  </si>
  <si>
    <t>DHmxH6v5c80yR</t>
  </si>
  <si>
    <t>2026-07-19T23:11:58+05:30</t>
  </si>
  <si>
    <t>2026-07-20T16:21:43+05:30</t>
  </si>
  <si>
    <t>2026-07-20T19:21:55+05:30</t>
  </si>
  <si>
    <t>2rgwv497thg81r7@marketplace.amazon.in</t>
  </si>
  <si>
    <t>Rahatgaon</t>
  </si>
  <si>
    <t>407-2469291-1883507</t>
  </si>
  <si>
    <t>TngbjPhN9</t>
  </si>
  <si>
    <t>DMZrHJvHcG0TR</t>
  </si>
  <si>
    <t>2026-07-20T13:29:56+05:30</t>
  </si>
  <si>
    <t>2026-07-20T16:16:45+05:30</t>
  </si>
  <si>
    <t>2026-07-20T19:16:56+05:30</t>
  </si>
  <si>
    <t>ffwsr4ncxqnv5tf@marketplace.amazon.in</t>
  </si>
  <si>
    <t>402-1396678-7107538</t>
  </si>
  <si>
    <t>TGHgZ0hy9</t>
  </si>
  <si>
    <t>DWylbgv4c70RR</t>
  </si>
  <si>
    <t>2026-07-20T11:55:00+05:30</t>
  </si>
  <si>
    <t>2026-07-20T16:05:45+05:30</t>
  </si>
  <si>
    <t>2026-07-20T19:05:56+05:30</t>
  </si>
  <si>
    <t>kh25dv8ln6l3dkp@marketplace.amazon.in</t>
  </si>
  <si>
    <t>DsF7bXvscc0gR</t>
  </si>
  <si>
    <t>402-1443140-4221136</t>
  </si>
  <si>
    <t>TcTpbtc29</t>
  </si>
  <si>
    <t>DtF9bXvMcF0VR</t>
  </si>
  <si>
    <t>2026-07-18T18:21:00+05:30</t>
  </si>
  <si>
    <t>2026-07-20T16:01:41+05:30</t>
  </si>
  <si>
    <t>2026-07-20T19:01:53+05:30</t>
  </si>
  <si>
    <t>5cy481b8f36d9j5@marketplace.amazon.in</t>
  </si>
  <si>
    <t>404-4145177-8054759</t>
  </si>
  <si>
    <t>TGPNdQh59</t>
  </si>
  <si>
    <t>DM9dbdvscm0hR</t>
  </si>
  <si>
    <t>2026-07-20T08:23:37+05:30</t>
  </si>
  <si>
    <t>2026-07-20T15:59:45+05:30</t>
  </si>
  <si>
    <t>2026-07-20T19:00:03+05:30</t>
  </si>
  <si>
    <t>6809z5r9cyncsnk@marketplace.amazon.in</t>
  </si>
  <si>
    <t>408-4762816-5845955</t>
  </si>
  <si>
    <t>TgWcZrhl9</t>
  </si>
  <si>
    <t>D4ZBb4vXcx08R</t>
  </si>
  <si>
    <t>2026-07-20T12:07:35+05:30</t>
  </si>
  <si>
    <t>2026-07-20T15:57:47+05:30</t>
  </si>
  <si>
    <t>2026-07-20T18:57:59+05:30</t>
  </si>
  <si>
    <t>f5x8j6pbyb42254@marketplace.amazon.in</t>
  </si>
  <si>
    <t>405-8687125-1980356</t>
  </si>
  <si>
    <t>TwcK9zhw9</t>
  </si>
  <si>
    <t>DQrnbJvdcc0dR</t>
  </si>
  <si>
    <t>2026-07-19T20:32:08+05:30</t>
  </si>
  <si>
    <t>2026-07-20T15:50:53+05:30</t>
  </si>
  <si>
    <t>2026-07-20T18:55:39+05:30</t>
  </si>
  <si>
    <t>6wkhypvqpwv282w@marketplace.amazon.in</t>
  </si>
  <si>
    <t>Panchkula</t>
  </si>
  <si>
    <t>405-5506075-1493959</t>
  </si>
  <si>
    <t>TVJQgyhJ9</t>
  </si>
  <si>
    <t>DnJMbzvfcV0KR</t>
  </si>
  <si>
    <t>2026-07-20T11:23:24+05:30</t>
  </si>
  <si>
    <t>2026-07-20T15:50:52+05:30</t>
  </si>
  <si>
    <t>2026-07-20T18:51:03+05:30</t>
  </si>
  <si>
    <t>1lhqv1ndx859qnw@marketplace.amazon.in</t>
  </si>
  <si>
    <t>Penukonda</t>
  </si>
  <si>
    <t>408-0546953-3049924</t>
  </si>
  <si>
    <t>T1nkqMzC9</t>
  </si>
  <si>
    <t>DzDMkpvccW0TR</t>
  </si>
  <si>
    <t>2026-07-19T22:36:12+05:30</t>
  </si>
  <si>
    <t>2026-07-20T15:49:46+05:30</t>
  </si>
  <si>
    <t>2026-07-20T18:50:00+05:30</t>
  </si>
  <si>
    <t>c6wxzjt1vx11g2j@marketplace.amazon.in</t>
  </si>
  <si>
    <t>Nadiad</t>
  </si>
  <si>
    <t>404-0735536-7685928</t>
  </si>
  <si>
    <t>TXchSvcw9</t>
  </si>
  <si>
    <t>DpZpkFvlc30jR</t>
  </si>
  <si>
    <t>2026-07-12T11:49:59+05:30</t>
  </si>
  <si>
    <t>2026-07-20T15:39:47+05:30</t>
  </si>
  <si>
    <t>2026-07-20T18:40:00+05:30</t>
  </si>
  <si>
    <t>tkllcqg85pyghhs@marketplace.amazon.in</t>
  </si>
  <si>
    <t>407-8764278-7345154</t>
  </si>
  <si>
    <t>Tw1dZQhf9</t>
  </si>
  <si>
    <t>DmcHRWvrcd0kR</t>
  </si>
  <si>
    <t>2026-07-20T12:32:47+05:30</t>
  </si>
  <si>
    <t>2026-07-20T15:03:39+05:30</t>
  </si>
  <si>
    <t>2026-07-20T15:03:43+05:30</t>
  </si>
  <si>
    <t>2026-07-20T16:03:54+05:30</t>
  </si>
  <si>
    <t>bdxwsqpshk759kj@marketplace.amazon.in</t>
  </si>
  <si>
    <t>NARASARAOPET</t>
  </si>
  <si>
    <t>407-0286312-9381124</t>
  </si>
  <si>
    <t>Tw5zB2639</t>
  </si>
  <si>
    <t>D0fzRPvxc508R</t>
  </si>
  <si>
    <t>2026-07-20T12:44:03+05:30</t>
  </si>
  <si>
    <t>2026-07-20T15:02:41+05:30</t>
  </si>
  <si>
    <t>2026-07-20T15:02:44+05:30</t>
  </si>
  <si>
    <t>2026-07-20T16:02:54+05:30</t>
  </si>
  <si>
    <t>l47cgnycz51k6xc@marketplace.amazon.in</t>
  </si>
  <si>
    <t>405-0016973-8053134</t>
  </si>
  <si>
    <t>TXlyRyhp9</t>
  </si>
  <si>
    <t>Dnblh1SCcl0xR</t>
  </si>
  <si>
    <t>2026-07-20T00:13:10+05:30</t>
  </si>
  <si>
    <t>2026-07-20T14:49:45+05:30</t>
  </si>
  <si>
    <t>2026-07-20T17:50:07+05:30</t>
  </si>
  <si>
    <t>1sdm7dtgw5qc6gq@marketplace.amazon.in</t>
  </si>
  <si>
    <t>171-5910381-2649121</t>
  </si>
  <si>
    <t>TCQ3kN6T9</t>
  </si>
  <si>
    <t>DzrkhqS2cW00R</t>
  </si>
  <si>
    <t>2026-07-20T12:53:49+05:30</t>
  </si>
  <si>
    <t>2026-07-20T14:44:41+05:30</t>
  </si>
  <si>
    <t>2026-07-20T14:44:45+05:30</t>
  </si>
  <si>
    <t>2026-07-20T15:44:56+05:30</t>
  </si>
  <si>
    <t>3bsjz46vvxbqnmr@marketplace.amazon.in</t>
  </si>
  <si>
    <t>407-2865688-9555561</t>
  </si>
  <si>
    <t>TwjNS0hN9</t>
  </si>
  <si>
    <t>DQ44fxSlcj0CR</t>
  </si>
  <si>
    <t>2026-07-20T08:45:55+05:30</t>
  </si>
  <si>
    <t>2026-07-20T14:38:27+05:30</t>
  </si>
  <si>
    <t>2026-07-20T17:38:38+05:30</t>
  </si>
  <si>
    <t>y19s98z8xbszrkz@marketplace.amazon.in</t>
  </si>
  <si>
    <t>403-9094954-3656330</t>
  </si>
  <si>
    <t>TJrMks699</t>
  </si>
  <si>
    <t>Dmtzf1S0cp0rR</t>
  </si>
  <si>
    <t>2026-07-20T12:57:54+05:30</t>
  </si>
  <si>
    <t>2026-07-20T14:36:46+05:30</t>
  </si>
  <si>
    <t>2026-07-20T17:36:56+05:30</t>
  </si>
  <si>
    <t>wwtpvfscfr0fxft@marketplace.amazon.in</t>
  </si>
  <si>
    <t>HP 580 (Grey)</t>
  </si>
  <si>
    <t>Crasome Dust &amp; Water Proof Printer Cover for HP Smart Tank All-in-One 529 / 589 (Grey)</t>
  </si>
  <si>
    <t>404-9117274-4609959</t>
  </si>
  <si>
    <t>T13RdDTF9</t>
  </si>
  <si>
    <t>DDt5fmSxcp0rR</t>
  </si>
  <si>
    <t>2026-07-19T10:42:26+05:30</t>
  </si>
  <si>
    <t>2026-07-20T14:34:44+05:30</t>
  </si>
  <si>
    <t>2026-07-20T14:34:47+05:30</t>
  </si>
  <si>
    <t>2026-07-20T15:34:57+05:30</t>
  </si>
  <si>
    <t>7bzrw28m611jbcv@marketplace.amazon.in</t>
  </si>
  <si>
    <t>CRASOME Dust &amp; Water Proof Printer Cover for HP Smart Tank All-in-One 520 / 525 (Black)</t>
  </si>
  <si>
    <t>AGARTALA</t>
  </si>
  <si>
    <t>TRIPURA</t>
  </si>
  <si>
    <t>406-8453657-2015518</t>
  </si>
  <si>
    <t>TXDTsKHD9</t>
  </si>
  <si>
    <t>D0cXf3Spc900R</t>
  </si>
  <si>
    <t>2026-07-18T00:39:15+05:30</t>
  </si>
  <si>
    <t>2026-07-20T14:32:49+05:30</t>
  </si>
  <si>
    <t>2026-07-20T17:33:04+05:30</t>
  </si>
  <si>
    <t>r59bbfm8q9s6m79@marketplace.amazon.in</t>
  </si>
  <si>
    <t>PARANGIPETTAI</t>
  </si>
  <si>
    <t>408-9624728-1923531</t>
  </si>
  <si>
    <t>TXPdZbzp9</t>
  </si>
  <si>
    <t>Dm4PjmShcy0JR</t>
  </si>
  <si>
    <t>2026-07-19T22:53:03+05:30</t>
  </si>
  <si>
    <t>2026-07-20T14:28:47+05:30</t>
  </si>
  <si>
    <t>2026-07-20T17:32:35+05:30</t>
  </si>
  <si>
    <t>7j6sr5mg6rk22r6@marketplace.amazon.in</t>
  </si>
  <si>
    <t>404-1737942-6337907</t>
  </si>
  <si>
    <t>TNcYRRh39</t>
  </si>
  <si>
    <t>DnS7Z4SPc10fR</t>
  </si>
  <si>
    <t>2026-07-19T22:07:14+05:30</t>
  </si>
  <si>
    <t>2026-07-20T14:07:47+05:30</t>
  </si>
  <si>
    <t>2026-07-20T17:08:03+05:30</t>
  </si>
  <si>
    <t>10lpkwbsm2bfd5z@marketplace.amazon.in</t>
  </si>
  <si>
    <t>406-0917317-5930740</t>
  </si>
  <si>
    <t>T3rc9Fhq9</t>
  </si>
  <si>
    <t>DWVwZxSQct0XR</t>
  </si>
  <si>
    <t>2026-07-19T23:43:54+05:30</t>
  </si>
  <si>
    <t>2026-07-20T14:02:50+05:30</t>
  </si>
  <si>
    <t>2026-07-20T17:03:03+05:30</t>
  </si>
  <si>
    <t>lrh5x5nq4k9tk67@marketplace.amazon.in</t>
  </si>
  <si>
    <t>406-3836706-2832323</t>
  </si>
  <si>
    <t>TJm6T7h09</t>
  </si>
  <si>
    <t>Df1xZpS3cz0dR</t>
  </si>
  <si>
    <t>2026-07-20T08:49:06+05:30</t>
  </si>
  <si>
    <t>2026-07-20T14:00:44+05:30</t>
  </si>
  <si>
    <t>2026-07-20T17:00:57+05:30</t>
  </si>
  <si>
    <t>1j155kgm6wm7fq9@marketplace.amazon.in</t>
  </si>
  <si>
    <t>Chennimalai</t>
  </si>
  <si>
    <t>404-6840662-6909153</t>
  </si>
  <si>
    <t>TggTpZhy9</t>
  </si>
  <si>
    <t>D2MYZ1SzcY0gR</t>
  </si>
  <si>
    <t>2026-07-20T10:24:11+05:30</t>
  </si>
  <si>
    <t>2026-07-20T13:59:46+05:30</t>
  </si>
  <si>
    <t>2026-07-20T16:59:58+05:30</t>
  </si>
  <si>
    <t>kxxxhsfr7n52jx1@marketplace.amazon.in</t>
  </si>
  <si>
    <t>402-0063583-6551537</t>
  </si>
  <si>
    <t>T3gt84hM9</t>
  </si>
  <si>
    <t>DzhcZzS8c00PR</t>
  </si>
  <si>
    <t>2026-07-20T11:15:40+05:30</t>
  </si>
  <si>
    <t>2026-07-20T13:58:44+05:30</t>
  </si>
  <si>
    <t>2026-07-20T16:58:55+05:30</t>
  </si>
  <si>
    <t>j62398l7jmr6ply@marketplace.amazon.in</t>
  </si>
  <si>
    <t>MACHHIWARA</t>
  </si>
  <si>
    <t>403-4045800-6743531</t>
  </si>
  <si>
    <t>Twx1ZWHl9</t>
  </si>
  <si>
    <t>D1hkZhSMc00PR</t>
  </si>
  <si>
    <t>2026-07-18T14:45:34+05:30</t>
  </si>
  <si>
    <t>2026-07-20T13:55:47+05:30</t>
  </si>
  <si>
    <t>2026-07-20T13:55:50+05:30</t>
  </si>
  <si>
    <t>2026-07-20T14:56:04+05:30</t>
  </si>
  <si>
    <t>ymjlfyhxfq8r4rj@marketplace.amazon.in</t>
  </si>
  <si>
    <t>Maharashtra</t>
  </si>
  <si>
    <t>407-7029070-4164306</t>
  </si>
  <si>
    <t>TVtGh3zZ9</t>
  </si>
  <si>
    <t>DtgB5KSXcS0GR</t>
  </si>
  <si>
    <t>2026-07-19T23:39:50+05:30</t>
  </si>
  <si>
    <t>2026-07-20T13:29:42+05:30</t>
  </si>
  <si>
    <t>2026-07-20T13:29:45+05:30</t>
  </si>
  <si>
    <t>2026-07-20T14:29:57+05:30</t>
  </si>
  <si>
    <t>406-4414611-3006759</t>
  </si>
  <si>
    <t>TN1fpShz9</t>
  </si>
  <si>
    <t>DDJTgVSjcD0YR</t>
  </si>
  <si>
    <t>2026-07-20T10:18:16+05:30</t>
  </si>
  <si>
    <t>2026-07-20T13:00:41+05:30</t>
  </si>
  <si>
    <t>2026-07-20T16:00:52+05:30</t>
  </si>
  <si>
    <t>9qyh85d56vxw936@marketplace.amazon.in</t>
  </si>
  <si>
    <t>171-7094672-1394704</t>
  </si>
  <si>
    <t>Tn5j60z29</t>
  </si>
  <si>
    <t>Dmyw8GSTcr0JR</t>
  </si>
  <si>
    <t>2026-07-19T19:27:50+05:30</t>
  </si>
  <si>
    <t>2026-07-20T12:54:43+05:30</t>
  </si>
  <si>
    <t>2026-07-20T12:54:46+05:30</t>
  </si>
  <si>
    <t>2026-07-20T13:55:02+05:30</t>
  </si>
  <si>
    <t>d708d25vdlcw3j2@marketplace.amazon.in</t>
  </si>
  <si>
    <t>171-8887871-4375525</t>
  </si>
  <si>
    <t>T3s4Khhf9</t>
  </si>
  <si>
    <t>DmQt8QSWcM0LR</t>
  </si>
  <si>
    <t>2026-07-20T09:21:41+05:30</t>
  </si>
  <si>
    <t>2026-07-20T12:49:47+05:30</t>
  </si>
  <si>
    <t>2026-07-20T15:49:59+05:30</t>
  </si>
  <si>
    <t>d03tkzs5vd9xstd@marketplace.amazon.in</t>
  </si>
  <si>
    <t>402-1427392-6266733</t>
  </si>
  <si>
    <t>TwNy3hzl9</t>
  </si>
  <si>
    <t>D0M48pSVcL0sR</t>
  </si>
  <si>
    <t>2026-07-19T21:09:23+05:30</t>
  </si>
  <si>
    <t>2026-07-20T12:49:44+05:30</t>
  </si>
  <si>
    <t>2026-07-20T15:49:56+05:30</t>
  </si>
  <si>
    <t>9fjysfb9f0m07hy@marketplace.amazon.in</t>
  </si>
  <si>
    <t>408-3985621-1343524</t>
  </si>
  <si>
    <t>TCFPHchx9</t>
  </si>
  <si>
    <t>D6Q18MSPcM0LR</t>
  </si>
  <si>
    <t>2026-07-19T23:26:57+05:30</t>
  </si>
  <si>
    <t>2026-07-20T12:47:46+05:30</t>
  </si>
  <si>
    <t>2026-07-20T15:47:58+05:30</t>
  </si>
  <si>
    <t>vk6q46fpl0ygd8l@marketplace.amazon.in</t>
  </si>
  <si>
    <t>408-0003820-1596345</t>
  </si>
  <si>
    <t>T17k6ghW9</t>
  </si>
  <si>
    <t>Dy4JCDSZc20YR</t>
  </si>
  <si>
    <t>2026-07-20T06:36:59+05:30</t>
  </si>
  <si>
    <t>2026-07-20T12:25:47+05:30</t>
  </si>
  <si>
    <t>2026-07-20T15:26:01+05:30</t>
  </si>
  <si>
    <t>vctjl96ln1brdnm@marketplace.amazon.in</t>
  </si>
  <si>
    <t>402-7020469-5293107</t>
  </si>
  <si>
    <t>T6tR67hB9</t>
  </si>
  <si>
    <t>D7sKCWS0cQ0YR</t>
  </si>
  <si>
    <t>2026-07-20T06:51:49+05:30</t>
  </si>
  <si>
    <t>2026-07-20T12:12:39+05:30</t>
  </si>
  <si>
    <t>2026-07-20T15:12:51+05:30</t>
  </si>
  <si>
    <t>3ldddh4yz8jjc7v@marketplace.amazon.in</t>
  </si>
  <si>
    <t>Garhmukteshwar</t>
  </si>
  <si>
    <t>407-4585979-8762738</t>
  </si>
  <si>
    <t>Tcrpd5h69</t>
  </si>
  <si>
    <t>D4LqCPSwcD0qR</t>
  </si>
  <si>
    <t>2026-07-20T08:47:20+05:30</t>
  </si>
  <si>
    <t>2026-07-20T12:10:44+05:30</t>
  </si>
  <si>
    <t>2026-07-20T15:10:57+05:30</t>
  </si>
  <si>
    <t>0k3w1420qd3tf0f@marketplace.amazon.in</t>
  </si>
  <si>
    <t>404-9552774-4946719</t>
  </si>
  <si>
    <t>T3y76xhH9</t>
  </si>
  <si>
    <t>DXL7CgSmcZ08R</t>
  </si>
  <si>
    <t>2026-07-20T07:31:33+05:30</t>
  </si>
  <si>
    <t>2026-07-20T12:07:40+05:30</t>
  </si>
  <si>
    <t>2026-07-20T12:07:42+05:30</t>
  </si>
  <si>
    <t>2026-07-20T13:07:53+05:30</t>
  </si>
  <si>
    <t>lgg8sjrn4w093qp@marketplace.amazon.in</t>
  </si>
  <si>
    <t>VELLORE</t>
  </si>
  <si>
    <t>406-1689111-3473948</t>
  </si>
  <si>
    <t>Tgh7dyzt9</t>
  </si>
  <si>
    <t>DfStpRSccC00R</t>
  </si>
  <si>
    <t>2026-07-19T22:11:19+05:30</t>
  </si>
  <si>
    <t>2026-07-20T12:05:44+05:30</t>
  </si>
  <si>
    <t>2026-07-20T15:05:58+05:30</t>
  </si>
  <si>
    <t>4zv90gyr7139t82@marketplace.amazon.in</t>
  </si>
  <si>
    <t>Kharar</t>
  </si>
  <si>
    <t>171-9096279-1636358</t>
  </si>
  <si>
    <t>T1j6Xxzk9</t>
  </si>
  <si>
    <t>DmYDpTSGcZ0VR</t>
  </si>
  <si>
    <t>2026-07-19T23:56:57+05:30</t>
  </si>
  <si>
    <t>2026-07-20T11:58:38+05:30</t>
  </si>
  <si>
    <t>2026-07-20T11:58:41+05:30</t>
  </si>
  <si>
    <t>2026-07-20T12:58:52+05:30</t>
  </si>
  <si>
    <t>69lb0wl9ym6d7m6@marketplace.amazon.in</t>
  </si>
  <si>
    <t>405-1257337-9353107</t>
  </si>
  <si>
    <t>TwysDqhm9</t>
  </si>
  <si>
    <t>DQYJplSbcZ0sR</t>
  </si>
  <si>
    <t>2026-07-20T00:54:06+05:30</t>
  </si>
  <si>
    <t>2026-07-20T11:53:51+05:30</t>
  </si>
  <si>
    <t>2026-07-20T14:54:03+05:30</t>
  </si>
  <si>
    <t>2wjkd44v724s4jg@marketplace.amazon.in</t>
  </si>
  <si>
    <t>Bhusawal</t>
  </si>
  <si>
    <t>404-9831650-5891515</t>
  </si>
  <si>
    <t>TXdy15hh9</t>
  </si>
  <si>
    <t>DwvCKpSJcl0mR</t>
  </si>
  <si>
    <t>2026-07-20T05:10:58+05:30</t>
  </si>
  <si>
    <t>2026-07-20T11:35:44+05:30</t>
  </si>
  <si>
    <t>2026-07-20T11:35:47+05:30</t>
  </si>
  <si>
    <t>2026-07-20T12:36:00+05:30</t>
  </si>
  <si>
    <t>g1qxp9m87sb9c5d@marketplace.amazon.in</t>
  </si>
  <si>
    <t>406-7788020-7745911</t>
  </si>
  <si>
    <t>TNnnGTz39</t>
  </si>
  <si>
    <t>DjvkK3SZcY0mR</t>
  </si>
  <si>
    <t>2026-07-19T20:24:31+05:30</t>
  </si>
  <si>
    <t>2026-07-20T11:29:45+05:30</t>
  </si>
  <si>
    <t>2026-07-20T14:29:59+05:30</t>
  </si>
  <si>
    <t>mvzc41cl0wldgvs@marketplace.amazon.in</t>
  </si>
  <si>
    <t>407-0710067-2630734</t>
  </si>
  <si>
    <t>T6CmCNzM9</t>
  </si>
  <si>
    <t>DBLvKFS4cR0HR</t>
  </si>
  <si>
    <t>2026-07-19T22:38:37+05:30</t>
  </si>
  <si>
    <t>2026-07-20T11:24:46+05:30</t>
  </si>
  <si>
    <t>2026-07-20T11:24:49+05:30</t>
  </si>
  <si>
    <t>2026-07-20T12:25:00+05:30</t>
  </si>
  <si>
    <t>8bkskvft90qqdhv@marketplace.amazon.in</t>
  </si>
  <si>
    <t>403-4512774-0309143</t>
  </si>
  <si>
    <t>T3DqSqhj9</t>
  </si>
  <si>
    <t>Dl9ymGShcZ04R</t>
  </si>
  <si>
    <t>2026-07-20T08:57:16+05:30</t>
  </si>
  <si>
    <t>2026-07-20T11:13:47+05:30</t>
  </si>
  <si>
    <t>2026-07-20T14:14:01+05:30</t>
  </si>
  <si>
    <t>9qzvp67qn33pt12@marketplace.amazon.in</t>
  </si>
  <si>
    <t>402-5863909-6520310</t>
  </si>
  <si>
    <t>T1Trdhhs9</t>
  </si>
  <si>
    <t>DJ8kl4SZc60jR</t>
  </si>
  <si>
    <t>2026-07-20T09:13:47+05:30</t>
  </si>
  <si>
    <t>2026-07-20T10:51:41+05:30</t>
  </si>
  <si>
    <t>2026-07-20T13:51:53+05:30</t>
  </si>
  <si>
    <t>ncz7040j1xwwpw5@marketplace.amazon.in</t>
  </si>
  <si>
    <t>DHAMNOD DHAR DISTRICT</t>
  </si>
  <si>
    <t>402-8199132-6046747</t>
  </si>
  <si>
    <t>Tn7TtThN9</t>
  </si>
  <si>
    <t>D48vlQSXc60jR</t>
  </si>
  <si>
    <t>2026-07-20T06:45:39+05:30</t>
  </si>
  <si>
    <t>2026-07-20T10:50:48+05:30</t>
  </si>
  <si>
    <t>2026-07-20T13:51:08+05:30</t>
  </si>
  <si>
    <t>tqj8yjrl10nrj2s@marketplace.amazon.in</t>
  </si>
  <si>
    <t>2026-07-20T20:00:00+05:30</t>
  </si>
  <si>
    <t>406-8473156-9233107</t>
  </si>
  <si>
    <t>TCf0cbpY9</t>
  </si>
  <si>
    <t>DVgr0RSWcr07R</t>
  </si>
  <si>
    <t>2026-07-10T21:23:44+05:30</t>
  </si>
  <si>
    <t>2026-07-20T10:37:40+05:30</t>
  </si>
  <si>
    <t>2026-07-20T10:37:43+05:30</t>
  </si>
  <si>
    <t>2026-07-20T11:37:54+05:30</t>
  </si>
  <si>
    <t>rvwl3mqbmvll3r9@marketplace.amazon.in</t>
  </si>
  <si>
    <t>406-0149048-2214739</t>
  </si>
  <si>
    <t>Tcvdxhzr9</t>
  </si>
  <si>
    <t>Dw550hSdcz0qR</t>
  </si>
  <si>
    <t>2026-07-19T19:21:44+05:30</t>
  </si>
  <si>
    <t>2026-07-20T10:37:42+05:30</t>
  </si>
  <si>
    <t>2026-07-20T13:37:53+05:30</t>
  </si>
  <si>
    <t>79rnwd92dd0fr95@marketplace.amazon.in</t>
  </si>
  <si>
    <t>171-0276811-8294754</t>
  </si>
  <si>
    <t>Tn6dGMzz9</t>
  </si>
  <si>
    <t>Dkw40ZSZcf0JR</t>
  </si>
  <si>
    <t>2026-07-19T20:53:50+05:30</t>
  </si>
  <si>
    <t>2026-07-20T10:35:45+05:30</t>
  </si>
  <si>
    <t>2026-07-20T13:35:56+05:30</t>
  </si>
  <si>
    <t>kv236267sl9v5n4@marketplace.amazon.in</t>
  </si>
  <si>
    <t>171-6341456-4417928</t>
  </si>
  <si>
    <t>TJj0Sfz79</t>
  </si>
  <si>
    <t>DD4PS0SGcY0VR</t>
  </si>
  <si>
    <t>2026-07-19T21:35:58+05:30</t>
  </si>
  <si>
    <t>2026-07-20T10:26:45+05:30</t>
  </si>
  <si>
    <t>2026-07-20T13:26:57+05:30</t>
  </si>
  <si>
    <t>tv8drz1sf7hrsfj@marketplace.amazon.in</t>
  </si>
  <si>
    <t>406-5088386-0689114</t>
  </si>
  <si>
    <t>TNdkBrzK9</t>
  </si>
  <si>
    <t>DrKTSbShcH09R</t>
  </si>
  <si>
    <t>2026-07-19T18:01:00+05:30</t>
  </si>
  <si>
    <t>2026-07-20T10:25:43+05:30</t>
  </si>
  <si>
    <t>2026-07-20T13:25:56+05:30</t>
  </si>
  <si>
    <t>mpx8zyrbwwhfp4v@marketplace.amazon.in</t>
  </si>
  <si>
    <t>VIKASNAGAR</t>
  </si>
  <si>
    <t>402-1956322-5379505</t>
  </si>
  <si>
    <t>TnhyqSzP9</t>
  </si>
  <si>
    <t>DT4tSpSMcY0VR</t>
  </si>
  <si>
    <t>2026-07-19T22:23:40+05:30</t>
  </si>
  <si>
    <t>2026-07-20T10:23:52+05:30</t>
  </si>
  <si>
    <t>2026-07-20T13:24:04+05:30</t>
  </si>
  <si>
    <t>r3h8g3mrpz59bvl@marketplace.amazon.in</t>
  </si>
  <si>
    <t>406-3291706-3658733</t>
  </si>
  <si>
    <t>T3m2qhzF9</t>
  </si>
  <si>
    <t>DXmd6RSdc00CR</t>
  </si>
  <si>
    <t>2026-07-19T22:50:18+05:30</t>
  </si>
  <si>
    <t>2026-07-20T10:04:44+05:30</t>
  </si>
  <si>
    <t>2026-07-20T13:04:56+05:30</t>
  </si>
  <si>
    <t>4c84c84rb2w0395@marketplace.amazon.in</t>
  </si>
  <si>
    <t>403-9203032-2392344</t>
  </si>
  <si>
    <t>T1nH3zzs9</t>
  </si>
  <si>
    <t>DDBd68SjcC0nR</t>
  </si>
  <si>
    <t>2026-07-19T20:31:36+05:30</t>
  </si>
  <si>
    <t>2026-07-20T10:01:40+05:30</t>
  </si>
  <si>
    <t>2026-07-20T10:01:43+05:30</t>
  </si>
  <si>
    <t>2026-07-20T11:01:53+05:30</t>
  </si>
  <si>
    <t>p4hzjg4dk0pwg27@marketplace.amazon.in</t>
  </si>
  <si>
    <t>TIRUCHITRAMBALAM</t>
  </si>
  <si>
    <t>171-7392606-5806719</t>
  </si>
  <si>
    <t>TcfgSPhj9</t>
  </si>
  <si>
    <t>DcV36JSXc40jR</t>
  </si>
  <si>
    <t>2026-07-20T07:27:20+05:30</t>
  </si>
  <si>
    <t>2026-07-20T09:59:45+05:30</t>
  </si>
  <si>
    <t>2026-07-20T12:59:58+05:30</t>
  </si>
  <si>
    <t>kkjrlnfdc3kj42t@marketplace.amazon.in</t>
  </si>
  <si>
    <t>171-2310187-5916360</t>
  </si>
  <si>
    <t>TNyk5nCj9</t>
  </si>
  <si>
    <t>D9sQ6ZSvcJ0JR</t>
  </si>
  <si>
    <t>2026-07-16T22:59:12+05:30</t>
  </si>
  <si>
    <t>2026-07-20T09:57:47+05:30</t>
  </si>
  <si>
    <t>2026-07-20T12:58:02+05:30</t>
  </si>
  <si>
    <t>nm0q8qdl59r964t@marketplace.amazon.in</t>
  </si>
  <si>
    <t>406-4574895-7040367</t>
  </si>
  <si>
    <t>TV983zzp9</t>
  </si>
  <si>
    <t>DTYk6GSzcC0HR</t>
  </si>
  <si>
    <t>2026-07-19T20:38:27+05:30</t>
  </si>
  <si>
    <t>2026-07-20T09:57:40+05:30</t>
  </si>
  <si>
    <t>2026-07-20T09:57:42+05:30</t>
  </si>
  <si>
    <t>2026-07-20T10:57:51+05:30</t>
  </si>
  <si>
    <t>cdyg1qsgl0m9t4z@marketplace.amazon.in</t>
  </si>
  <si>
    <t>Rajeev nagar gate, kurmannapalem,visakhapatnam</t>
  </si>
  <si>
    <t>403-4469432-8141960</t>
  </si>
  <si>
    <t>Tc2jbJhF9</t>
  </si>
  <si>
    <t>DqNmdlSBc40NR</t>
  </si>
  <si>
    <t>2026-07-20T00:28:32+05:30</t>
  </si>
  <si>
    <t>2026-07-20T09:55:44+05:30</t>
  </si>
  <si>
    <t>2026-07-20T09:55:47+05:30</t>
  </si>
  <si>
    <t>2026-07-20T10:56:01+05:30</t>
  </si>
  <si>
    <t>j057n77dr55pmjl@marketplace.amazon.in</t>
  </si>
  <si>
    <t>407-9858980-4068309</t>
  </si>
  <si>
    <t>TGcJ5lz39</t>
  </si>
  <si>
    <t>DZs96wSpcx0JR</t>
  </si>
  <si>
    <t>2026-07-19T23:55:33+05:30</t>
  </si>
  <si>
    <t>2026-07-20T09:50:44+05:30</t>
  </si>
  <si>
    <t>2026-07-20T09:50:47+05:30</t>
  </si>
  <si>
    <t>2026-07-20T10:50:58+05:30</t>
  </si>
  <si>
    <t>y3ht98qpfnl410x@marketplace.amazon.in</t>
  </si>
  <si>
    <t>ULIYAZHATHURA</t>
  </si>
  <si>
    <t>405-7540932-9965900</t>
  </si>
  <si>
    <t>TX2X9CzV9</t>
  </si>
  <si>
    <t>Dl3BdsSPc90fR</t>
  </si>
  <si>
    <t>2026-07-19T17:18:14+05:30</t>
  </si>
  <si>
    <t>2026-07-20T09:47:49+05:30</t>
  </si>
  <si>
    <t>2026-07-20T09:47:52+05:30</t>
  </si>
  <si>
    <t>2026-07-20T10:48:02+05:30</t>
  </si>
  <si>
    <t>mlscwqqsny4jmjx@marketplace.amazon.in</t>
  </si>
  <si>
    <t>Pollachi</t>
  </si>
  <si>
    <t>Tamilnadu</t>
  </si>
  <si>
    <t>406-9388608-7856331</t>
  </si>
  <si>
    <t>TgXtFxTB9</t>
  </si>
  <si>
    <t>DYDCdGSlcp0pR</t>
  </si>
  <si>
    <t>2026-07-18T20:52:01+05:30</t>
  </si>
  <si>
    <t>2026-07-20T12:48:00+05:30</t>
  </si>
  <si>
    <t>sdxh82mt8c0w31z@marketplace.amazon.in</t>
  </si>
  <si>
    <t>171-4851236-1693931</t>
  </si>
  <si>
    <t>TgfKH0hT9</t>
  </si>
  <si>
    <t>DZhqdzSXc50TR</t>
  </si>
  <si>
    <t>2026-07-20T01:26:14+05:30</t>
  </si>
  <si>
    <t>2026-07-20T09:42:46+05:30</t>
  </si>
  <si>
    <t>2026-07-20T12:42:57+05:30</t>
  </si>
  <si>
    <t>343k15q991x5811@marketplace.amazon.in</t>
  </si>
  <si>
    <t>Amritsar</t>
  </si>
  <si>
    <t>406-9810856-6444328</t>
  </si>
  <si>
    <t>T1SYr8zy9</t>
  </si>
  <si>
    <t>D3hpdSSNc000R</t>
  </si>
  <si>
    <t>2026-07-19T19:49:39+05:30</t>
  </si>
  <si>
    <t>2026-07-20T12:42:59+05:30</t>
  </si>
  <si>
    <t>zv95j699slqc4tg@marketplace.amazon.in</t>
  </si>
  <si>
    <t>407-3253647-0825946</t>
  </si>
  <si>
    <t>TXszHVzW9</t>
  </si>
  <si>
    <t>D2sQd7SGcS0xR</t>
  </si>
  <si>
    <t>2026-07-19T15:20:47+05:30</t>
  </si>
  <si>
    <t>2026-07-20T09:39:47+05:30</t>
  </si>
  <si>
    <t>2026-07-20T12:40:00+05:30</t>
  </si>
  <si>
    <t>vmptqqyv4qnb31h@marketplace.amazon.in</t>
  </si>
  <si>
    <t>406-3038030-3024306</t>
  </si>
  <si>
    <t>Tgd4Hbhk9</t>
  </si>
  <si>
    <t>DkPVdgSycG0vR</t>
  </si>
  <si>
    <t>2026-07-20T01:17:35+05:30</t>
  </si>
  <si>
    <t>2026-07-20T09:37:45+05:30</t>
  </si>
  <si>
    <t>2026-07-20T12:37:57+05:30</t>
  </si>
  <si>
    <t>tb22znp7j6rhwhr@marketplace.amazon.in</t>
  </si>
  <si>
    <t>405-3335642-4993118</t>
  </si>
  <si>
    <t>T656tZhC9</t>
  </si>
  <si>
    <t>DNPld5SkcG0vR</t>
  </si>
  <si>
    <t>2026-07-20T07:53:30+05:30</t>
  </si>
  <si>
    <t>2026-07-20T09:35:42+05:30</t>
  </si>
  <si>
    <t>2026-07-20T12:35:55+05:30</t>
  </si>
  <si>
    <t>nvzjjmpjd7zjfx1@marketplace.amazon.in</t>
  </si>
  <si>
    <t>407-4021932-4822748</t>
  </si>
  <si>
    <t>TcSdvxhQ9</t>
  </si>
  <si>
    <t>D9NVGyStc401R</t>
  </si>
  <si>
    <t>2026-07-20T02:32:43+05:30</t>
  </si>
  <si>
    <t>2026-07-20T09:28:47+05:30</t>
  </si>
  <si>
    <t>2026-07-20T12:28:59+05:30</t>
  </si>
  <si>
    <t>r8s2388x409d9pv@marketplace.amazon.in</t>
  </si>
  <si>
    <t>JAGDALPUR</t>
  </si>
  <si>
    <t>404-4883657-4775559</t>
  </si>
  <si>
    <t>TggzXTzH9</t>
  </si>
  <si>
    <t>DG2ZG9S9cG0cR</t>
  </si>
  <si>
    <t>2026-07-19T23:59:09+05:30</t>
  </si>
  <si>
    <t>2026-07-20T09:25:43+05:30</t>
  </si>
  <si>
    <t>2026-07-20T12:25:54+05:30</t>
  </si>
  <si>
    <t>yrs7wvd6mxj219s@marketplace.amazon.in</t>
  </si>
  <si>
    <t>THODUPUZHA</t>
  </si>
  <si>
    <t>406-9573224-2629113</t>
  </si>
  <si>
    <t>TwPq5CzX9</t>
  </si>
  <si>
    <t>DPF0tTS3ch0WR</t>
  </si>
  <si>
    <t>2026-07-19T23:30:25+05:30</t>
  </si>
  <si>
    <t>2026-07-20T12:21:52+05:30</t>
  </si>
  <si>
    <t>jb3clbfl3x9k8hj@marketplace.amazon.in</t>
  </si>
  <si>
    <t>407-9001386-6234746</t>
  </si>
  <si>
    <t>TVLfGhzv9</t>
  </si>
  <si>
    <t>D8CPGTSPcR0LR</t>
  </si>
  <si>
    <t>2026-07-19T20:44:55+05:30</t>
  </si>
  <si>
    <t>2026-07-20T09:18:46+05:30</t>
  </si>
  <si>
    <t>2026-07-20T12:18:57+05:30</t>
  </si>
  <si>
    <t>x2nspm5h18tgwnf@marketplace.amazon.in</t>
  </si>
  <si>
    <t>SANGRUR</t>
  </si>
  <si>
    <t>406-0877996-8325117</t>
  </si>
  <si>
    <t>T6mnBZhp9</t>
  </si>
  <si>
    <t>D3X6PlSGc40PR</t>
  </si>
  <si>
    <t>2026-07-19T21:50:18+05:30</t>
  </si>
  <si>
    <t>2026-07-20T08:57:42+05:30</t>
  </si>
  <si>
    <t>2026-07-20T08:57:44+05:30</t>
  </si>
  <si>
    <t>2026-07-20T09:57:55+05:30</t>
  </si>
  <si>
    <t>g9nf0bdjl7yrn7p@marketplace.amazon.in</t>
  </si>
  <si>
    <t>MOHALI</t>
  </si>
  <si>
    <t>171-8271751-2436350</t>
  </si>
  <si>
    <t>TgnSJdc89</t>
  </si>
  <si>
    <t>DhklzkSbcg0YR</t>
  </si>
  <si>
    <t>2026-07-18T19:53:12+05:30</t>
  </si>
  <si>
    <t>2026-07-20T04:38:44+05:30</t>
  </si>
  <si>
    <t>2026-07-20T07:38:55+05:30</t>
  </si>
  <si>
    <t>km895yvdl9s87fs@marketplace.amazon.in</t>
  </si>
  <si>
    <t>171-7028103-3061908</t>
  </si>
  <si>
    <t>T6T0lVz49</t>
  </si>
  <si>
    <t>DR3TzrSXcw07R</t>
  </si>
  <si>
    <t>2026-07-19T20:57:31+05:30</t>
  </si>
  <si>
    <t>2026-07-20T04:38:41+05:30</t>
  </si>
  <si>
    <t>2026-07-20T07:38:54+05:30</t>
  </si>
  <si>
    <t>cxwplyvv2scc3cz@marketplace.amazon.in</t>
  </si>
  <si>
    <t>405-6523409-2457935</t>
  </si>
  <si>
    <t>TJMHBfc59</t>
  </si>
  <si>
    <t>DNCWz3Shcs07R</t>
  </si>
  <si>
    <t>2026-07-18T17:06:18+05:30</t>
  </si>
  <si>
    <t>2026-07-20T04:27:45+05:30</t>
  </si>
  <si>
    <t>2026-07-20T07:27:57+05:30</t>
  </si>
  <si>
    <t>hfzmhzryjtszrzg@marketplace.amazon.in</t>
  </si>
  <si>
    <t>D15ZVzSWc20qR</t>
  </si>
  <si>
    <t>408-0062449-7685914</t>
  </si>
  <si>
    <t>T6zQPNT19</t>
  </si>
  <si>
    <t>D5lbVYS2cH0FR</t>
  </si>
  <si>
    <t>2026-07-19T11:02:57+05:30</t>
  </si>
  <si>
    <t>2026-07-20T04:12:53+05:30</t>
  </si>
  <si>
    <t>2026-07-20T07:13:11+05:30</t>
  </si>
  <si>
    <t>kgf782wwmz3brxp@marketplace.amazon.in</t>
  </si>
  <si>
    <t>GANDHIDHAM</t>
  </si>
  <si>
    <t>407-3568522-6765929</t>
  </si>
  <si>
    <t>T3Bj8dz19</t>
  </si>
  <si>
    <t>Dyh3V4SycJ0pR</t>
  </si>
  <si>
    <t>2026-07-19T21:31:05+05:30</t>
  </si>
  <si>
    <t>2026-07-20T04:11:43+05:30</t>
  </si>
  <si>
    <t>2026-07-20T04:11:45+05:30</t>
  </si>
  <si>
    <t>2026-07-20T05:11:56+05:30</t>
  </si>
  <si>
    <t>9shcmlntvyk3j51@marketplace.amazon.in</t>
  </si>
  <si>
    <t>PERECHERLA</t>
  </si>
  <si>
    <t>406-8383288-7782728</t>
  </si>
  <si>
    <t>TNh0jtzm9</t>
  </si>
  <si>
    <t>Dwks2XSQcC0hR</t>
  </si>
  <si>
    <t>2026-07-19T20:27:39+05:30</t>
  </si>
  <si>
    <t>2026-07-20T04:05:46+05:30</t>
  </si>
  <si>
    <t>2026-07-20T07:06:04+05:30</t>
  </si>
  <si>
    <t>91hfr4z7cvqc393@marketplace.amazon.in</t>
  </si>
  <si>
    <t>403-5936553-1216358</t>
  </si>
  <si>
    <t>TJXnlXzF9</t>
  </si>
  <si>
    <t>DvQ92rS8ch0WR</t>
  </si>
  <si>
    <t>2026-07-19T21:29:05+05:30</t>
  </si>
  <si>
    <t>2026-07-20T04:04:42+05:30</t>
  </si>
  <si>
    <t>2026-07-20T07:04:54+05:30</t>
  </si>
  <si>
    <t>qrgzmd0lnpr36tc@marketplace.amazon.in</t>
  </si>
  <si>
    <t>408-2550565-5844322</t>
  </si>
  <si>
    <t>TXxq8MzH9</t>
  </si>
  <si>
    <t>D2xVFPSycV05R</t>
  </si>
  <si>
    <t>2026-07-19T20:52:10+05:30</t>
  </si>
  <si>
    <t>2026-07-20T03:39:46+05:30</t>
  </si>
  <si>
    <t>2026-07-20T06:39:56+05:30</t>
  </si>
  <si>
    <t>phd8p8b9mb1rsnr@marketplace.amazon.in</t>
  </si>
  <si>
    <t>Murshidabad</t>
  </si>
  <si>
    <t>404-4449092-5517934</t>
  </si>
  <si>
    <t>TXzByqzk9</t>
  </si>
  <si>
    <t>DRxNFtSRcV05R</t>
  </si>
  <si>
    <t>2026-07-19T17:10:26+05:30</t>
  </si>
  <si>
    <t>2026-07-20T03:37:44+05:30</t>
  </si>
  <si>
    <t>2026-07-20T06:37:55+05:30</t>
  </si>
  <si>
    <t>dx97k401p0xm9nk@marketplace.amazon.in</t>
  </si>
  <si>
    <t>Dahod</t>
  </si>
  <si>
    <t>403-6679005-4963540</t>
  </si>
  <si>
    <t>Twx407T49</t>
  </si>
  <si>
    <t>DPnMFvSBcG01R</t>
  </si>
  <si>
    <t>2026-07-19T13:49:23+05:30</t>
  </si>
  <si>
    <t>2026-07-20T03:30:47+05:30</t>
  </si>
  <si>
    <t>2026-07-20T06:31:01+05:30</t>
  </si>
  <si>
    <t>dbrz4n30m2m5qzy@marketplace.amazon.in</t>
  </si>
  <si>
    <t>MANALI</t>
  </si>
  <si>
    <t>404-8306137-6151504</t>
  </si>
  <si>
    <t>TGy4W4J29</t>
  </si>
  <si>
    <t>DQ37DGSmcn0mR</t>
  </si>
  <si>
    <t>2026-07-13T13:59:26+05:30</t>
  </si>
  <si>
    <t>2026-07-20T03:29:50+05:30</t>
  </si>
  <si>
    <t>2026-07-20T06:30:04+05:30</t>
  </si>
  <si>
    <t>9cpzvcnr2mbsgxl@marketplace.amazon.in</t>
  </si>
  <si>
    <t>408-4961771-9001110</t>
  </si>
  <si>
    <t>TNBMvVzD9</t>
  </si>
  <si>
    <t>D9DrDVSmcT0mR</t>
  </si>
  <si>
    <t>2026-07-19T19:31:03+05:30</t>
  </si>
  <si>
    <t>2026-07-20T03:28:46+05:30</t>
  </si>
  <si>
    <t>2026-07-20T06:28:57+05:30</t>
  </si>
  <si>
    <t>yr5phmst2m8s6pg@marketplace.amazon.in</t>
  </si>
  <si>
    <t>407-4747415-3769161</t>
  </si>
  <si>
    <t>L2321</t>
  </si>
  <si>
    <t>TcrTrbzD9</t>
  </si>
  <si>
    <t>DyY5DkSLcs0JR</t>
  </si>
  <si>
    <t>2026-07-19T12:42:21+05:30</t>
  </si>
  <si>
    <t>2026-07-20T03:19:45+05:30</t>
  </si>
  <si>
    <t>2026-07-20T06:19:57+05:30</t>
  </si>
  <si>
    <t>9bv5zm94s77xhn0@marketplace.amazon.in</t>
  </si>
  <si>
    <t>Alappuzha</t>
  </si>
  <si>
    <t>407-6509833-9753954</t>
  </si>
  <si>
    <t>TnBBGkTn9</t>
  </si>
  <si>
    <t>DnyHY3SMcg0dR</t>
  </si>
  <si>
    <t>2026-07-19T13:23:00+05:30</t>
  </si>
  <si>
    <t>2026-07-20T03:13:42+05:30</t>
  </si>
  <si>
    <t>2026-07-20T06:13:54+05:30</t>
  </si>
  <si>
    <t>9rg37230dk4lsz0@marketplace.amazon.in</t>
  </si>
  <si>
    <t>405-3461507-1774713</t>
  </si>
  <si>
    <t>TgrxxCzy9</t>
  </si>
  <si>
    <t>D3JHY0S0c90RR</t>
  </si>
  <si>
    <t>2026-07-19T21:16:34+05:30</t>
  </si>
  <si>
    <t>2026-07-20T02:59:37+05:30</t>
  </si>
  <si>
    <t>2026-07-20T05:59:48+05:30</t>
  </si>
  <si>
    <t>hjppcqg4pfl6dfx@marketplace.amazon.in</t>
  </si>
  <si>
    <t>171-7997112-9510747</t>
  </si>
  <si>
    <t>Tn3pHFzC9</t>
  </si>
  <si>
    <t>DDXcB9S0cJ0wR</t>
  </si>
  <si>
    <t>2026-07-19T07:12:06+05:30</t>
  </si>
  <si>
    <t>2026-07-20T02:26:53+05:30</t>
  </si>
  <si>
    <t>2026-07-20T05:27:21+05:30</t>
  </si>
  <si>
    <t>540fxc2jbxlsjl2@marketplace.amazon.in</t>
  </si>
  <si>
    <t>Sangli</t>
  </si>
  <si>
    <t>403-5683823-6381907</t>
  </si>
  <si>
    <t>Tgph7SzQ9</t>
  </si>
  <si>
    <t>DkKHBbS1cq0SR</t>
  </si>
  <si>
    <t>2026-07-19T17:35:51+05:30</t>
  </si>
  <si>
    <t>2026-07-20T02:23:46+05:30</t>
  </si>
  <si>
    <t>2026-07-20T05:24:00+05:30</t>
  </si>
  <si>
    <t>npslf4y5svsqg4t@marketplace.amazon.in</t>
  </si>
  <si>
    <t>Kozhikode</t>
  </si>
  <si>
    <t>DW4QBHS6cR0fR</t>
  </si>
  <si>
    <t>Df4hBlS6cR0fR</t>
  </si>
  <si>
    <t>Dq4GBlS6cR0fR</t>
  </si>
  <si>
    <t>Dk4FBlS6cR0fR</t>
  </si>
  <si>
    <t>Dt4gBYS6cR0fR</t>
  </si>
  <si>
    <t>407-1313170-4838769</t>
  </si>
  <si>
    <t>TcC20fzW9</t>
  </si>
  <si>
    <t>Dzz7B5SpcD0bR</t>
  </si>
  <si>
    <t>2026-07-19T21:00:18+05:30</t>
  </si>
  <si>
    <t>2026-07-20T02:19:45+05:30</t>
  </si>
  <si>
    <t>2026-07-20T05:19:56+05:30</t>
  </si>
  <si>
    <t>5p16wn51lvx60t4@marketplace.amazon.in</t>
  </si>
  <si>
    <t>404-6348502-1468311</t>
  </si>
  <si>
    <t>TNJL2ccf9</t>
  </si>
  <si>
    <t>DLs4BlShcK0LR</t>
  </si>
  <si>
    <t>2026-07-18T17:56:18+05:30</t>
  </si>
  <si>
    <t>2026-07-20T02:09:40+05:30</t>
  </si>
  <si>
    <t>2026-07-20T05:09:48+05:30</t>
  </si>
  <si>
    <t>q3x596fj0krtct3@marketplace.amazon.in</t>
  </si>
  <si>
    <t>408-6123257-4165146</t>
  </si>
  <si>
    <t>T1x8rrz29</t>
  </si>
  <si>
    <t>DR7C9DSFcl0BR</t>
  </si>
  <si>
    <t>2026-07-19T19:00:51+05:30</t>
  </si>
  <si>
    <t>2026-07-20T02:06:43+05:30</t>
  </si>
  <si>
    <t>2026-07-20T05:06:55+05:30</t>
  </si>
  <si>
    <t>y8cvfdkpv3kkd18@marketplace.amazon.in</t>
  </si>
  <si>
    <t>404-7906247-6796348</t>
  </si>
  <si>
    <t>TN2CBgzG9</t>
  </si>
  <si>
    <t>DW6y4zSfc10sR</t>
  </si>
  <si>
    <t>2026-07-19T18:20:24+05:30</t>
  </si>
  <si>
    <t>2026-07-20T01:38:43+05:30</t>
  </si>
  <si>
    <t>2026-07-20T04:38:54+05:30</t>
  </si>
  <si>
    <t>04qbtc9v5llfhw5@marketplace.amazon.in</t>
  </si>
  <si>
    <t>403-6115728-3788361</t>
  </si>
  <si>
    <t>TXV26FT49</t>
  </si>
  <si>
    <t>DHxX4BSzcZ0gR</t>
  </si>
  <si>
    <t>2026-07-19T11:48:35+05:30</t>
  </si>
  <si>
    <t>2026-07-20T01:33:43+05:30</t>
  </si>
  <si>
    <t>2026-07-20T04:33:55+05:30</t>
  </si>
  <si>
    <t>dpn3c1z0h3cbf19@marketplace.amazon.in</t>
  </si>
  <si>
    <t>406-1110927-9826720</t>
  </si>
  <si>
    <t>T6qrsVzH9</t>
  </si>
  <si>
    <t>DvKFHWSbc306R</t>
  </si>
  <si>
    <t>2026-07-19T18:47:12+05:30</t>
  </si>
  <si>
    <t>2026-07-20T01:32:42+05:30</t>
  </si>
  <si>
    <t>2026-07-20T01:32:45+05:30</t>
  </si>
  <si>
    <t>2026-07-20T02:32:58+05:30</t>
  </si>
  <si>
    <t>jxdgnr84zhy2xfq@marketplace.amazon.in</t>
  </si>
  <si>
    <t>402-8568470-8841110</t>
  </si>
  <si>
    <t>TJ0Fpqz29</t>
  </si>
  <si>
    <t>DCDKHYSkcX0TR</t>
  </si>
  <si>
    <t>2026-07-19T21:36:46+05:30</t>
  </si>
  <si>
    <t>2026-07-20T01:26:42+05:30</t>
  </si>
  <si>
    <t>2026-07-20T01:26:44+05:30</t>
  </si>
  <si>
    <t>2026-07-20T02:26:55+05:30</t>
  </si>
  <si>
    <t>zg87tkt7nykfplp@marketplace.amazon.in</t>
  </si>
  <si>
    <t>2026-07-20T08:00:00+05:30</t>
  </si>
  <si>
    <t>408-2954950-9458717</t>
  </si>
  <si>
    <t>T6cwHWzD9</t>
  </si>
  <si>
    <t>DqhyHMSFcs07R</t>
  </si>
  <si>
    <t>2026-07-19T15:29:31+05:30</t>
  </si>
  <si>
    <t>2026-07-20T01:23:47+05:30</t>
  </si>
  <si>
    <t>2026-07-20T04:23:59+05:30</t>
  </si>
  <si>
    <t>t5n2m4xg3zk36ng@marketplace.amazon.in</t>
  </si>
  <si>
    <t>402-8697761-9649115</t>
  </si>
  <si>
    <t>TJr8Mfzx9</t>
  </si>
  <si>
    <t>D7hJHfSkcs07R</t>
  </si>
  <si>
    <t>2026-07-19T18:54:48+05:30</t>
  </si>
  <si>
    <t>2026-07-20T01:19:45+05:30</t>
  </si>
  <si>
    <t>2026-07-20T04:19:56+05:30</t>
  </si>
  <si>
    <t>qzc223k9qb1zfvn@marketplace.amazon.in</t>
  </si>
  <si>
    <t>Khagaria</t>
  </si>
  <si>
    <t>402-7083198-6527502</t>
  </si>
  <si>
    <t>TnfxQczS9</t>
  </si>
  <si>
    <t>DpZHbdSfc40rR</t>
  </si>
  <si>
    <t>2026-07-19T17:58:57+05:30</t>
  </si>
  <si>
    <t>2026-07-20T01:10:40+05:30</t>
  </si>
  <si>
    <t>2026-07-20T01:10:43+05:30</t>
  </si>
  <si>
    <t>2026-07-20T02:10:55+05:30</t>
  </si>
  <si>
    <t>s24wlmscbpm2lh2@marketplace.amazon.in</t>
  </si>
  <si>
    <t>VAPI</t>
  </si>
  <si>
    <t>405-1723864-5222737</t>
  </si>
  <si>
    <t>TXmp5yz69</t>
  </si>
  <si>
    <t>DtlnbQSmcB08R</t>
  </si>
  <si>
    <t>2026-07-19T22:48:12+05:30</t>
  </si>
  <si>
    <t>2026-07-20T01:02:16+05:30</t>
  </si>
  <si>
    <t>2026-07-20T04:02:28+05:30</t>
  </si>
  <si>
    <t>49dhjqs5zdqwnq2@marketplace.amazon.in</t>
  </si>
  <si>
    <t>HP 580 (Black)</t>
  </si>
  <si>
    <t>406-0769374-1289120</t>
  </si>
  <si>
    <t>Tcc1M7zb9</t>
  </si>
  <si>
    <t>Djl2kXSqcW0BR</t>
  </si>
  <si>
    <t>2026-07-19T18:46:44+05:30</t>
  </si>
  <si>
    <t>2026-07-20T00:51:44+05:30</t>
  </si>
  <si>
    <t>2026-07-20T03:51:56+05:30</t>
  </si>
  <si>
    <t>9z1l26l9xlw1fwb@marketplace.amazon.in</t>
  </si>
  <si>
    <t>406-3524651-0314717</t>
  </si>
  <si>
    <t>TXQcRNzG9</t>
  </si>
  <si>
    <t>Dc7WNQS7cj0ZR</t>
  </si>
  <si>
    <t>2026-07-19T09:49:50+05:30</t>
  </si>
  <si>
    <t>2026-07-20T00:42:00+05:30</t>
  </si>
  <si>
    <t>2026-07-20T03:42:23+05:30</t>
  </si>
  <si>
    <t>h69gtk5shzzsf07@marketplace.amazon.in</t>
  </si>
  <si>
    <t>407-9516556-5941149</t>
  </si>
  <si>
    <t>T6KfxBz39</t>
  </si>
  <si>
    <t>Dl7YNjS4cj0ZR</t>
  </si>
  <si>
    <t>2026-07-19T19:29:57+05:30</t>
  </si>
  <si>
    <t>2026-07-20T00:33:46+05:30</t>
  </si>
  <si>
    <t>2026-07-20T03:33:57+05:30</t>
  </si>
  <si>
    <t>8m27x11ngwjnn53@marketplace.amazon.in</t>
  </si>
  <si>
    <t>402-3547498-5227508</t>
  </si>
  <si>
    <t>T1zvmkz69</t>
  </si>
  <si>
    <t>D3TqNxSrcV0pR</t>
  </si>
  <si>
    <t>2026-07-19T21:43:53+05:30</t>
  </si>
  <si>
    <t>2026-07-20T00:32:42+05:30</t>
  </si>
  <si>
    <t>2026-07-20T03:33:00+05:30</t>
  </si>
  <si>
    <t>lqfb05f06570fj7@marketplace.amazon.in</t>
  </si>
  <si>
    <t>404-0045719-4241175</t>
  </si>
  <si>
    <t>TnkxY6zy9</t>
  </si>
  <si>
    <t>D2yWRtS8cb0LR</t>
  </si>
  <si>
    <t>2026-07-19T15:49:48+05:30</t>
  </si>
  <si>
    <t>2026-07-20T00:22:19+05:30</t>
  </si>
  <si>
    <t>2026-07-20T03:22:35+05:30</t>
  </si>
  <si>
    <t>wcj24c74bqyyp8m@marketplace.amazon.in</t>
  </si>
  <si>
    <t>406-9942636-4563549</t>
  </si>
  <si>
    <t>TnH4xwz49</t>
  </si>
  <si>
    <t>DSvnRwSYcv04R</t>
  </si>
  <si>
    <t>2026-07-19T19:00:14+05:30</t>
  </si>
  <si>
    <t>2026-07-20T00:20:53+05:30</t>
  </si>
  <si>
    <t>2026-07-20T03:21:07+05:30</t>
  </si>
  <si>
    <t>b2qbhdtp2txm9cd@marketplace.amazon.in</t>
  </si>
  <si>
    <t>406-5081663-6311569</t>
  </si>
  <si>
    <t>T3HlxWz49</t>
  </si>
  <si>
    <t>DdvZRwSYcv04R</t>
  </si>
  <si>
    <t>2026-07-20T00:20:49+05:30</t>
  </si>
  <si>
    <t>2026-07-20T03:21:00+05:30</t>
  </si>
  <si>
    <t>405-2136068-4510757</t>
  </si>
  <si>
    <t>TJRfPvzx9</t>
  </si>
  <si>
    <t>DdzrRhSkc70wR</t>
  </si>
  <si>
    <t>2026-07-19T21:04:37+05:30</t>
  </si>
  <si>
    <t>2026-07-20T00:17:46+05:30</t>
  </si>
  <si>
    <t>2026-07-20T03:18:02+05:30</t>
  </si>
  <si>
    <t>gk4gvk45nkjp30k@marketplace.amazon.in</t>
  </si>
  <si>
    <t>405-8713397-6453161</t>
  </si>
  <si>
    <t>TGWbWWzl9</t>
  </si>
  <si>
    <t>DJQLR0S4c90yR</t>
  </si>
  <si>
    <t>2026-07-19T22:02:11+05:30</t>
  </si>
  <si>
    <t>2026-07-20T00:17:42+05:30</t>
  </si>
  <si>
    <t>2026-07-20T03:17:56+05:30</t>
  </si>
  <si>
    <t>mz05nmg7r5518r1@marketplace.amazon.in</t>
  </si>
  <si>
    <t>Vadodara</t>
  </si>
  <si>
    <t>407-4282595-9229164</t>
  </si>
  <si>
    <t>T3y16xl99</t>
  </si>
  <si>
    <t>D3GQRDSscz0CR</t>
  </si>
  <si>
    <t>2026-07-17T21:11:55+05:30</t>
  </si>
  <si>
    <t>2026-07-20T00:12:53+05:30</t>
  </si>
  <si>
    <t>2026-07-20T03:13:04+05:30</t>
  </si>
  <si>
    <t>1f0f4s688wzpwjy@marketplace.amazon.in</t>
  </si>
  <si>
    <t>402-2110068-3146767</t>
  </si>
  <si>
    <t>TwY1ddTG9</t>
  </si>
  <si>
    <t>Dvjqhm5KcF0HR</t>
  </si>
  <si>
    <t>2026-07-19T11:23:12+05:30</t>
  </si>
  <si>
    <t>2026-07-20T00:03:46+05:30</t>
  </si>
  <si>
    <t>2026-07-20T03:03:58+05:30</t>
  </si>
  <si>
    <t>96ch47r1y3qlc6k@marketplace.amazon.in</t>
  </si>
  <si>
    <t>KATTANAM</t>
  </si>
  <si>
    <t>406-3239921-9897139</t>
  </si>
  <si>
    <t>TnsjytzX9</t>
  </si>
  <si>
    <t>D4jZh45Gcj0ZR</t>
  </si>
  <si>
    <t>2026-07-19T16:47:15+05:30</t>
  </si>
  <si>
    <t>2026-07-20T00:01:45+05:30</t>
  </si>
  <si>
    <t>2026-07-20T00:01:48+05:30</t>
  </si>
  <si>
    <t>2026-07-20T01:01:59+05:30</t>
  </si>
  <si>
    <t>26tn2z25rzmcks8@marketplace.amazon.in</t>
  </si>
  <si>
    <t>HOSHIARPUR</t>
  </si>
  <si>
    <t>407-5022114-5282727</t>
  </si>
  <si>
    <t>TXMbl8Tw9</t>
  </si>
  <si>
    <t>DHj1hf5McF0HR</t>
  </si>
  <si>
    <t>2026-07-19T10:36:23+05:30</t>
  </si>
  <si>
    <t>2026-07-20T00:00:44+05:30</t>
  </si>
  <si>
    <t>2026-07-20T03:00:58+05:30</t>
  </si>
  <si>
    <t>144bsjc0rnycbkd@marketplace.amazon.in</t>
  </si>
  <si>
    <t>171-8181306-5847503</t>
  </si>
  <si>
    <t>TXCz3mzl9</t>
  </si>
  <si>
    <t>DvHNh15qcp0xR</t>
  </si>
  <si>
    <t>2026-07-19T12:35:42+05:30</t>
  </si>
  <si>
    <t>2026-07-19T23:57:41+05:30</t>
  </si>
  <si>
    <t>2026-07-19T23:57:44+05:30</t>
  </si>
  <si>
    <t>2026-07-20T00:57:58+05:30</t>
  </si>
  <si>
    <t>llsfvr6tlwyd2rt@marketplace.amazon.in</t>
  </si>
  <si>
    <t>Tarsa</t>
  </si>
  <si>
    <t>405-3184482-1325127</t>
  </si>
  <si>
    <t>TNDvGFzM9</t>
  </si>
  <si>
    <t>DtnxhZ5Sc00BR</t>
  </si>
  <si>
    <t>2026-07-19T21:17:45+05:30</t>
  </si>
  <si>
    <t>2026-07-19T23:54:46+05:30</t>
  </si>
  <si>
    <t>2026-07-20T02:54:58+05:30</t>
  </si>
  <si>
    <t>xfwptx7hj1vy4qp@marketplace.amazon.in</t>
  </si>
  <si>
    <t>Madagadipet</t>
  </si>
  <si>
    <t>407-8071846-1033936</t>
  </si>
  <si>
    <t>TVtH3Pzh9</t>
  </si>
  <si>
    <t>Dgx0hz53cK0FR</t>
  </si>
  <si>
    <t>2026-07-19T20:40:40+05:30</t>
  </si>
  <si>
    <t>2026-07-19T23:49:43+05:30</t>
  </si>
  <si>
    <t>2026-07-20T02:49:59+05:30</t>
  </si>
  <si>
    <t>500vnb8v2lkbt8g@marketplace.amazon.in</t>
  </si>
  <si>
    <t>408-0216452-5280377</t>
  </si>
  <si>
    <t>TnPDs7zK9</t>
  </si>
  <si>
    <t>DzwDf95Zch0qR</t>
  </si>
  <si>
    <t>2026-07-19T18:47:28+05:30</t>
  </si>
  <si>
    <t>2026-07-19T23:41:45+05:30</t>
  </si>
  <si>
    <t>2026-07-20T02:41:58+05:30</t>
  </si>
  <si>
    <t>m0wrqc8c902fmgj@marketplace.amazon.in</t>
  </si>
  <si>
    <t>AKHNOOR</t>
  </si>
  <si>
    <t>404-1319171-4314701</t>
  </si>
  <si>
    <t>TGbhdcT59</t>
  </si>
  <si>
    <t>D7d8f25YcK0KR</t>
  </si>
  <si>
    <t>2026-07-19T10:34:48+05:30</t>
  </si>
  <si>
    <t>2026-07-19T23:38:43+05:30</t>
  </si>
  <si>
    <t>2026-07-20T02:38:57+05:30</t>
  </si>
  <si>
    <t>cxz4gr6wvqyd9cq@marketplace.amazon.in</t>
  </si>
  <si>
    <t>402-4261067-5937955</t>
  </si>
  <si>
    <t>TnRBJ8z69</t>
  </si>
  <si>
    <t>DrXhjJ5YcW0VR</t>
  </si>
  <si>
    <t>2026-07-19T19:19:18+05:30</t>
  </si>
  <si>
    <t>2026-07-19T23:33:41+05:30</t>
  </si>
  <si>
    <t>2026-07-19T23:33:43+05:30</t>
  </si>
  <si>
    <t>2026-07-20T00:33:58+05:30</t>
  </si>
  <si>
    <t>b3wxy3cx7prkl3v@marketplace.amazon.in</t>
  </si>
  <si>
    <t>Crasome Dust &amp; Water Proof Printer Cover for HP Smart Tank All-in-One 580 / 581 / 585 (Grey)</t>
  </si>
  <si>
    <t>406-0732143-8582729</t>
  </si>
  <si>
    <t>Tg9qMXc49</t>
  </si>
  <si>
    <t>DSn7fK5cch0lR</t>
  </si>
  <si>
    <t>2026-07-15T23:12:33+05:30</t>
  </si>
  <si>
    <t>2026-07-19T23:32:49+05:30</t>
  </si>
  <si>
    <t>2026-07-20T02:33:04+05:30</t>
  </si>
  <si>
    <t>55w84t38b1mx4zs@marketplace.amazon.in</t>
  </si>
  <si>
    <t>JAMMU</t>
  </si>
  <si>
    <t>406-0604225-4690711</t>
  </si>
  <si>
    <t>TXFTdRTD9</t>
  </si>
  <si>
    <t>DNSYjx5FcV06R</t>
  </si>
  <si>
    <t>2026-07-19T12:29:56+05:30</t>
  </si>
  <si>
    <t>2026-07-19T23:32:43+05:30</t>
  </si>
  <si>
    <t>2026-07-20T02:32:57+05:30</t>
  </si>
  <si>
    <t>7lg8t4sjkqwzr62@marketplace.amazon.in</t>
  </si>
  <si>
    <t>408-5219327-9140348</t>
  </si>
  <si>
    <t>T6Y9lczV9</t>
  </si>
  <si>
    <t>D13zjw5Xc20bR</t>
  </si>
  <si>
    <t>2026-07-19T20:51:54+05:30</t>
  </si>
  <si>
    <t>2026-07-19T23:30:46+05:30</t>
  </si>
  <si>
    <t>2026-07-20T02:30:58+05:30</t>
  </si>
  <si>
    <t>0x5lk7n6g4kc9x5@marketplace.amazon.in</t>
  </si>
  <si>
    <t>MUNDUR, THRISSUR</t>
  </si>
  <si>
    <t>171-6021653-8541168</t>
  </si>
  <si>
    <t>Tc3Jx3zW9</t>
  </si>
  <si>
    <t>DGBPjB5Pcx0xR</t>
  </si>
  <si>
    <t>2026-07-19T15:33:07+05:30</t>
  </si>
  <si>
    <t>2026-07-19T23:25:44+05:30</t>
  </si>
  <si>
    <t>2026-07-20T02:25:58+05:30</t>
  </si>
  <si>
    <t>g1zmn3zz3m8y5fv@marketplace.amazon.in</t>
  </si>
  <si>
    <t>403-4929764-3105125</t>
  </si>
  <si>
    <t>T1V9mkcg9</t>
  </si>
  <si>
    <t>DJVSZH5pcZ05R</t>
  </si>
  <si>
    <t>2026-07-18T21:31:41+05:30</t>
  </si>
  <si>
    <t>2026-07-19T23:10:51+05:30</t>
  </si>
  <si>
    <t>2026-07-20T02:11:03+05:30</t>
  </si>
  <si>
    <t>z454bmh30rx4n73@marketplace.amazon.in</t>
  </si>
  <si>
    <t>SAHANPUR</t>
  </si>
  <si>
    <t>402-6191242-6777161</t>
  </si>
  <si>
    <t>TV59Lzzp9</t>
  </si>
  <si>
    <t>DQLRZn5bcX0lR</t>
  </si>
  <si>
    <t>2026-07-19T18:00:06+05:30</t>
  </si>
  <si>
    <t>2026-07-19T23:03:47+05:30</t>
  </si>
  <si>
    <t>2026-07-20T02:04:00+05:30</t>
  </si>
  <si>
    <t>q3y7scsr9wqg87n@marketplace.amazon.in</t>
  </si>
  <si>
    <t>407-8155065-2881914</t>
  </si>
  <si>
    <t>TNjMnbl69</t>
  </si>
  <si>
    <t>DTLXZn5bcX0lR</t>
  </si>
  <si>
    <t>2026-07-17T21:00:31+05:30</t>
  </si>
  <si>
    <t>2026-07-19T23:03:46+05:30</t>
  </si>
  <si>
    <t>2026-07-20T02:03:58+05:30</t>
  </si>
  <si>
    <t>mq2qg8mzp5qb2j9@marketplace.amazon.in</t>
  </si>
  <si>
    <t>DRAKSHARAMAM</t>
  </si>
  <si>
    <t>407-1614834-7208333</t>
  </si>
  <si>
    <t>TCB8gPTC9</t>
  </si>
  <si>
    <t>DBm9qB5wcM0VR</t>
  </si>
  <si>
    <t>2026-07-19T16:49:21+05:30</t>
  </si>
  <si>
    <t>2026-07-19T22:57:46+05:30</t>
  </si>
  <si>
    <t>2026-07-20T01:57:58+05:30</t>
  </si>
  <si>
    <t>zcrxrpdxl9pyt31@marketplace.amazon.in</t>
  </si>
  <si>
    <t>406-2204941-5666719</t>
  </si>
  <si>
    <t>TcHNrjzP9</t>
  </si>
  <si>
    <t>DF0tqt5gcT0hR</t>
  </si>
  <si>
    <t>2026-07-19T19:14:47+05:30</t>
  </si>
  <si>
    <t>2026-07-19T22:50:44+05:30</t>
  </si>
  <si>
    <t>2026-07-19T22:50:47+05:30</t>
  </si>
  <si>
    <t>2026-07-19T23:50:57+05:30</t>
  </si>
  <si>
    <t>3gh0hvdbkr1bsv6@marketplace.amazon.in</t>
  </si>
  <si>
    <t>171-9761455-8717946</t>
  </si>
  <si>
    <t>T37gl1Tl9</t>
  </si>
  <si>
    <t>Df0VqC5Ncs0qR</t>
  </si>
  <si>
    <t>2026-07-19T12:41:23+05:30</t>
  </si>
  <si>
    <t>2026-07-19T22:50:43+05:30</t>
  </si>
  <si>
    <t>d7p9zkrc1x2k783@marketplace.amazon.in</t>
  </si>
  <si>
    <t>Bengalore</t>
  </si>
  <si>
    <t>408-7099839-4753964</t>
  </si>
  <si>
    <t>Tc8TtMzc9</t>
  </si>
  <si>
    <t>D204qQ5KcT0hR</t>
  </si>
  <si>
    <t>2026-07-19T20:16:41+05:30</t>
  </si>
  <si>
    <t>2026-07-19T22:49:45+05:30</t>
  </si>
  <si>
    <t>2026-07-20T01:49:56+05:30</t>
  </si>
  <si>
    <t>80hcgf9966q74wg@marketplace.amazon.in</t>
  </si>
  <si>
    <t>MANDYA</t>
  </si>
  <si>
    <t>406-3268968-3739548</t>
  </si>
  <si>
    <t>TXg202zF9</t>
  </si>
  <si>
    <t>DH0Sqf5PcT0hR</t>
  </si>
  <si>
    <t>2026-07-19T20:17:14+05:30</t>
  </si>
  <si>
    <t>2026-07-19T22:47:43+05:30</t>
  </si>
  <si>
    <t>2026-07-19T22:47:46+05:30</t>
  </si>
  <si>
    <t>2026-07-19T23:47:57+05:30</t>
  </si>
  <si>
    <t>8tsvjqhz4601dfp@marketplace.amazon.in</t>
  </si>
  <si>
    <t>171-2777876-9679532</t>
  </si>
  <si>
    <t>T1dmrhzV9</t>
  </si>
  <si>
    <t>Dqw35759cF0YR</t>
  </si>
  <si>
    <t>2026-07-19T19:10:01+05:30</t>
  </si>
  <si>
    <t>2026-07-19T22:35:45+05:30</t>
  </si>
  <si>
    <t>2026-07-20T01:35:57+05:30</t>
  </si>
  <si>
    <t>405-0072468-8001935</t>
  </si>
  <si>
    <t>TnWpRWTy9</t>
  </si>
  <si>
    <t>DSTg5157cj0HR</t>
  </si>
  <si>
    <t>2026-07-19T00:45:03+05:30</t>
  </si>
  <si>
    <t>2026-07-19T22:27:48+05:30</t>
  </si>
  <si>
    <t>2026-07-20T01:28:00+05:30</t>
  </si>
  <si>
    <t>glfn2yzntkxhygj@marketplace.amazon.in</t>
  </si>
  <si>
    <t>405-6256509-2064348</t>
  </si>
  <si>
    <t>TVxRLyzk9</t>
  </si>
  <si>
    <t>DWGQ5Q5Ncn0jR</t>
  </si>
  <si>
    <t>2026-07-19T19:50:36+05:30</t>
  </si>
  <si>
    <t>2026-07-19T22:26:47+05:30</t>
  </si>
  <si>
    <t>2026-07-20T01:26:59+05:30</t>
  </si>
  <si>
    <t>0mw95mcg5fqzr5t@marketplace.amazon.in</t>
  </si>
  <si>
    <t>404-2202105-3053169</t>
  </si>
  <si>
    <t>T65RjmT29</t>
  </si>
  <si>
    <t>D3yb8K5rcL0JR</t>
  </si>
  <si>
    <t>2026-07-19T13:03:55+05:30</t>
  </si>
  <si>
    <t>2026-07-19T22:06:46+05:30</t>
  </si>
  <si>
    <t>2026-07-19T22:06:51+05:30</t>
  </si>
  <si>
    <t>2026-07-19T23:07:10+05:30</t>
  </si>
  <si>
    <t>72c26yd53m3z1bj@marketplace.amazon.in</t>
  </si>
  <si>
    <t>402-8060052-9569938</t>
  </si>
  <si>
    <t>TJ7nsBzt9</t>
  </si>
  <si>
    <t>DVgT835fcP05R</t>
  </si>
  <si>
    <t>2026-07-19T19:24:25+05:30</t>
  </si>
  <si>
    <t>2026-07-19T22:05:45+05:30</t>
  </si>
  <si>
    <t>2026-07-19T22:05:47+05:30</t>
  </si>
  <si>
    <t>2026-07-19T23:05:59+05:30</t>
  </si>
  <si>
    <t>73b1mql1zfrh0zd@marketplace.amazon.in</t>
  </si>
  <si>
    <t>403-5309812-5407528</t>
  </si>
  <si>
    <t>T1vWvrzJ9</t>
  </si>
  <si>
    <t>DYm3865hc905R</t>
  </si>
  <si>
    <t>2026-07-19T17:56:37+05:30</t>
  </si>
  <si>
    <t>2026-07-19T22:04:45+05:30</t>
  </si>
  <si>
    <t>2026-07-20T01:04:57+05:30</t>
  </si>
  <si>
    <t>dv1tdc552pffvbm@marketplace.amazon.in</t>
  </si>
  <si>
    <t>403-3554414-3193132</t>
  </si>
  <si>
    <t>Tnv4dbzv9</t>
  </si>
  <si>
    <t>D1y18P5DcL0JR</t>
  </si>
  <si>
    <t>2026-07-19T20:48:51+05:30</t>
  </si>
  <si>
    <t>2026-07-19T22:02:42+05:30</t>
  </si>
  <si>
    <t>2026-07-20T01:02:55+05:30</t>
  </si>
  <si>
    <t>fhrz50k6ym0z03b@marketplace.amazon.in</t>
  </si>
  <si>
    <t>Asansol</t>
  </si>
  <si>
    <t>402-1679071-2908305</t>
  </si>
  <si>
    <t>TCB51hzD9</t>
  </si>
  <si>
    <t>Dms88b5Ccg0SR</t>
  </si>
  <si>
    <t>2026-07-19T18:04:58+05:30</t>
  </si>
  <si>
    <t>2026-07-19T21:55:42+05:30</t>
  </si>
  <si>
    <t>2026-07-20T00:55:53+05:30</t>
  </si>
  <si>
    <t>z0jg2hj3fcngxqz@marketplace.amazon.in</t>
  </si>
  <si>
    <t>171-1922740-0597156</t>
  </si>
  <si>
    <t>TXKljyT69</t>
  </si>
  <si>
    <t>D6sG8t5ccg0gR</t>
  </si>
  <si>
    <t>2026-07-19T15:21:52+05:30</t>
  </si>
  <si>
    <t>2026-07-19T21:53:42+05:30</t>
  </si>
  <si>
    <t>2026-07-20T00:53:54+05:30</t>
  </si>
  <si>
    <t>zdz7rphr7l2l6g6@marketplace.amazon.in</t>
  </si>
  <si>
    <t>405-6326087-2661138</t>
  </si>
  <si>
    <t>TGXdm3TF9</t>
  </si>
  <si>
    <t>DvLn8C5zcm0VR</t>
  </si>
  <si>
    <t>2026-07-19T14:07:54+05:30</t>
  </si>
  <si>
    <t>2026-07-19T21:52:43+05:30</t>
  </si>
  <si>
    <t>2026-07-20T00:52:55+05:30</t>
  </si>
  <si>
    <t>b0qtrfzp1d6l2lk@marketplace.amazon.in</t>
  </si>
  <si>
    <t>SURAT</t>
  </si>
  <si>
    <t>171-9445219-2326721</t>
  </si>
  <si>
    <t>TnJjCNTT9</t>
  </si>
  <si>
    <t>DqzTXT5VcQ0tR</t>
  </si>
  <si>
    <t>2026-07-19T13:16:33+05:30</t>
  </si>
  <si>
    <t>2026-07-19T21:43:44+05:30</t>
  </si>
  <si>
    <t>2026-07-19T21:43:47+05:30</t>
  </si>
  <si>
    <t>2026-07-19T22:43:58+05:30</t>
  </si>
  <si>
    <t>ftcxc0yl49hl9xz@marketplace.amazon.in</t>
  </si>
  <si>
    <t>406-2090215-6908359</t>
  </si>
  <si>
    <t>T6H3XNTR9</t>
  </si>
  <si>
    <t>DTzMXw5Pcz0JR</t>
  </si>
  <si>
    <t>2026-07-19T12:29:48+05:30</t>
  </si>
  <si>
    <t>2026-07-19T21:39:48+05:30</t>
  </si>
  <si>
    <t>2026-07-20T00:44:00+05:30</t>
  </si>
  <si>
    <t>vfrdssj7vfhbppn@marketplace.amazon.in</t>
  </si>
  <si>
    <t>404-4741207-3280338</t>
  </si>
  <si>
    <t>TCFLR1z99</t>
  </si>
  <si>
    <t>DW3vpS5DcB0JR</t>
  </si>
  <si>
    <t>2026-07-19T14:41:55+05:30</t>
  </si>
  <si>
    <t>2026-07-19T21:16:42+05:30</t>
  </si>
  <si>
    <t>2026-07-20T00:16:51+05:30</t>
  </si>
  <si>
    <t>llbr5hdk2c0ltwm@marketplace.amazon.in</t>
  </si>
  <si>
    <t>404-6213705-4012359</t>
  </si>
  <si>
    <t>TJHP5FTb9</t>
  </si>
  <si>
    <t>DZSCpX5ycc0pR</t>
  </si>
  <si>
    <t>2026-07-19T13:25:44+05:30</t>
  </si>
  <si>
    <t>2026-07-19T21:15:44+05:30</t>
  </si>
  <si>
    <t>2026-07-20T00:15:51+05:30</t>
  </si>
  <si>
    <t>h087vkxqx5xkrvc@marketplace.amazon.in</t>
  </si>
  <si>
    <t>406-8356441-2889136</t>
  </si>
  <si>
    <t>TN0Yh4Tc9</t>
  </si>
  <si>
    <t>DbSPps5bcc0pR</t>
  </si>
  <si>
    <t>2026-07-19T15:29:03+05:30</t>
  </si>
  <si>
    <t>2026-07-19T21:13:44+05:30</t>
  </si>
  <si>
    <t>2026-07-20T00:13:55+05:30</t>
  </si>
  <si>
    <t>29sz5723y15byby@marketplace.amazon.in</t>
  </si>
  <si>
    <t>406-3717301-3518736</t>
  </si>
  <si>
    <t>T1tnr5TG9</t>
  </si>
  <si>
    <t>Djc6pf5vcK0cR</t>
  </si>
  <si>
    <t>2026-07-19T08:10:13+05:30</t>
  </si>
  <si>
    <t>2026-07-19T21:02:47+05:30</t>
  </si>
  <si>
    <t>2026-07-20T00:03:01+05:30</t>
  </si>
  <si>
    <t>kfcls1qlw22wl6g@marketplace.amazon.in</t>
  </si>
  <si>
    <t>PUDUPAKKAM</t>
  </si>
  <si>
    <t>407-6783364-0963521</t>
  </si>
  <si>
    <t>T1dHNSTN9</t>
  </si>
  <si>
    <t>D8NMWZ5Rcc0zR</t>
  </si>
  <si>
    <t>2026-07-19T02:34:51+05:30</t>
  </si>
  <si>
    <t>2026-07-19T20:57:45+05:30</t>
  </si>
  <si>
    <t>2026-07-19T23:57:58+05:30</t>
  </si>
  <si>
    <t>h2j14hg00rlv2hd@marketplace.amazon.in</t>
  </si>
  <si>
    <t>407-8781145-9962700</t>
  </si>
  <si>
    <t>TcmpFszH9</t>
  </si>
  <si>
    <t>D02hWj5kcj0gR</t>
  </si>
  <si>
    <t>2026-07-19T19:08:05+05:30</t>
  </si>
  <si>
    <t>2026-07-19T20:52:47+05:30</t>
  </si>
  <si>
    <t>2026-07-19T23:52:59+05:30</t>
  </si>
  <si>
    <t>jmfh0gk9tl0pdsn@marketplace.amazon.in</t>
  </si>
  <si>
    <t>406-0440632-3298742</t>
  </si>
  <si>
    <t>Twdlzpzy9</t>
  </si>
  <si>
    <t>DtFfKD56c20tR</t>
  </si>
  <si>
    <t>2026-07-19T18:06:57+05:30</t>
  </si>
  <si>
    <t>2026-07-19T20:37:48+05:30</t>
  </si>
  <si>
    <t>2026-07-19T23:38:00+05:30</t>
  </si>
  <si>
    <t>974q8vhmzjgpbyg@marketplace.amazon.in</t>
  </si>
  <si>
    <t>DhFCK35DcS0rR</t>
  </si>
  <si>
    <t>404-8902180-0261950</t>
  </si>
  <si>
    <t>TgsB7RzV9</t>
  </si>
  <si>
    <t>DCylms5dcm0HR</t>
  </si>
  <si>
    <t>2026-07-19T18:04:43+05:30</t>
  </si>
  <si>
    <t>2026-07-19T20:19:49+05:30</t>
  </si>
  <si>
    <t>2026-07-19T23:20:02+05:30</t>
  </si>
  <si>
    <t>dllymwzys0nqlmz@marketplace.amazon.in</t>
  </si>
  <si>
    <t>D1mBmN5jc30pR</t>
  </si>
  <si>
    <t>DwmWm45jc30pR</t>
  </si>
  <si>
    <t>DCm7m45jc30pR</t>
  </si>
  <si>
    <t>407-0950536-5275521</t>
  </si>
  <si>
    <t>Tn2XZzH19</t>
  </si>
  <si>
    <t>Db6Xml5NcD0SR</t>
  </si>
  <si>
    <t>2026-07-18T14:00:09+05:30</t>
  </si>
  <si>
    <t>2026-07-19T20:11:47+05:30</t>
  </si>
  <si>
    <t>2026-07-19T23:11:59+05:30</t>
  </si>
  <si>
    <t>407-9826630-2498724</t>
  </si>
  <si>
    <t>TVg0rnT99</t>
  </si>
  <si>
    <t>DFmRlM5Kck0qR</t>
  </si>
  <si>
    <t>2026-07-19T09:02:44+05:30</t>
  </si>
  <si>
    <t>2026-07-19T20:05:45+05:30</t>
  </si>
  <si>
    <t>ytf8739ty56w3qx@marketplace.amazon.in</t>
  </si>
  <si>
    <t>402-1153506-0789164</t>
  </si>
  <si>
    <t>Tg6qmsTn9</t>
  </si>
  <si>
    <t>DtG1l55DcD06R</t>
  </si>
  <si>
    <t>2026-07-19T13:23:45+05:30</t>
  </si>
  <si>
    <t>2026-07-19T19:53:41+05:30</t>
  </si>
  <si>
    <t>2026-07-19T19:53:44+05:30</t>
  </si>
  <si>
    <t>2026-07-19T20:53:54+05:30</t>
  </si>
  <si>
    <t>8386l7vf89wdm65@marketplace.amazon.in</t>
  </si>
  <si>
    <t>405-8445576-6310732</t>
  </si>
  <si>
    <t>TgGbyczT9</t>
  </si>
  <si>
    <t>DRnJlL5ncz0SR</t>
  </si>
  <si>
    <t>2026-07-19T16:35:00+05:30</t>
  </si>
  <si>
    <t>2026-07-19T19:50:49+05:30</t>
  </si>
  <si>
    <t>2026-07-19T19:50:55+05:30</t>
  </si>
  <si>
    <t>2026-07-19T20:51:14+05:30</t>
  </si>
  <si>
    <t>c5dpj63558l4g4j@marketplace.amazon.in</t>
  </si>
  <si>
    <t>408-5519535-9334768</t>
  </si>
  <si>
    <t>TgcsJhcq9</t>
  </si>
  <si>
    <t>DKQl085FcB0JR</t>
  </si>
  <si>
    <t>2026-07-18T20:28:10+05:30</t>
  </si>
  <si>
    <t>2026-07-19T19:45:43+05:30</t>
  </si>
  <si>
    <t>2026-07-19T22:46:01+05:30</t>
  </si>
  <si>
    <t>pq610wnftgzsj1j@marketplace.amazon.in</t>
  </si>
  <si>
    <t>Malegaon</t>
  </si>
  <si>
    <t>407-0945340-1585126</t>
  </si>
  <si>
    <t>T36DGVTF9</t>
  </si>
  <si>
    <t>DqzS0S5Jcs00R</t>
  </si>
  <si>
    <t>2026-07-19T12:53:37+05:30</t>
  </si>
  <si>
    <t>2026-07-19T19:42:57+05:30</t>
  </si>
  <si>
    <t>2026-07-19T19:43:02+05:30</t>
  </si>
  <si>
    <t>2026-07-19T20:43:23+05:30</t>
  </si>
  <si>
    <t>fssktnjy82pgg2y@marketplace.amazon.in</t>
  </si>
  <si>
    <t>171-3834165-5645109</t>
  </si>
  <si>
    <t>TgPXc1zr9</t>
  </si>
  <si>
    <t>DYzg0F50cs00R</t>
  </si>
  <si>
    <t>2026-07-19T17:22:12+05:30</t>
  </si>
  <si>
    <t>2026-07-19T19:39:44+05:30</t>
  </si>
  <si>
    <t>2026-07-19T19:39:48+05:30</t>
  </si>
  <si>
    <t>2026-07-19T20:40:00+05:30</t>
  </si>
  <si>
    <t>v9js2xsqsrk7k45@marketplace.amazon.in</t>
  </si>
  <si>
    <t>402-5547502-4280302</t>
  </si>
  <si>
    <t>TGHdC3Tl9</t>
  </si>
  <si>
    <t>DHnF0S5fcv0FR</t>
  </si>
  <si>
    <t>2026-07-19T13:04:37+05:30</t>
  </si>
  <si>
    <t>2026-07-19T19:33:44+05:30</t>
  </si>
  <si>
    <t>2026-07-19T22:33:55+05:30</t>
  </si>
  <si>
    <t>mmtqn8xs9m5qlsq@marketplace.amazon.in</t>
  </si>
  <si>
    <t>407-1941449-6883545</t>
  </si>
  <si>
    <t>TcBthQTb9</t>
  </si>
  <si>
    <t>DQNkSG5dcB0nR</t>
  </si>
  <si>
    <t>2026-07-19T15:55:19+05:30</t>
  </si>
  <si>
    <t>2026-07-19T19:28:42+05:30</t>
  </si>
  <si>
    <t>2026-07-19T22:28:55+05:30</t>
  </si>
  <si>
    <t>pjv57h6jghnh8sg@marketplace.amazon.in</t>
  </si>
  <si>
    <t>408-7527849-2231557</t>
  </si>
  <si>
    <t>T6NZW9Tq9</t>
  </si>
  <si>
    <t>DY8cSp5dch0fR</t>
  </si>
  <si>
    <t>2026-07-19T13:53:54+05:30</t>
  </si>
  <si>
    <t>2026-07-19T19:25:47+05:30</t>
  </si>
  <si>
    <t>2026-07-19T22:25:58+05:30</t>
  </si>
  <si>
    <t>swyfvxjz0nqplsg@marketplace.amazon.in</t>
  </si>
  <si>
    <t>406-9798898-4497143</t>
  </si>
  <si>
    <t>TnJccwzV9</t>
  </si>
  <si>
    <t>DmQ7Sc5HcM0DR</t>
  </si>
  <si>
    <t>2026-07-19T17:14:50+05:30</t>
  </si>
  <si>
    <t>2026-07-19T19:24:42+05:30</t>
  </si>
  <si>
    <t>2026-07-19T22:24:53+05:30</t>
  </si>
  <si>
    <t>m2r7hykgn5g0vy0@marketplace.amazon.in</t>
  </si>
  <si>
    <t>404-9562229-2576364</t>
  </si>
  <si>
    <t>Tnbxkvzv9</t>
  </si>
  <si>
    <t>Dz4f6d5Zcq0HR</t>
  </si>
  <si>
    <t>2026-07-19T16:12:09+05:30</t>
  </si>
  <si>
    <t>2026-07-19T19:14:38+05:30</t>
  </si>
  <si>
    <t>2026-07-19T19:14:40+05:30</t>
  </si>
  <si>
    <t>2026-07-19T20:14:51+05:30</t>
  </si>
  <si>
    <t>wbhwnhmkwqtv9pk@marketplace.amazon.in</t>
  </si>
  <si>
    <t>171-0437249-3181909</t>
  </si>
  <si>
    <t>TnF4Q3cr9</t>
  </si>
  <si>
    <t>DGcF6d5rck0wR</t>
  </si>
  <si>
    <t>2026-07-18T19:49:50+05:30</t>
  </si>
  <si>
    <t>2026-07-19T19:08:51+05:30</t>
  </si>
  <si>
    <t>2026-07-19T22:09:02+05:30</t>
  </si>
  <si>
    <t>rlzdpndx3yrdh2l@marketplace.amazon.in</t>
  </si>
  <si>
    <t>AKBARPUR NEAR KANPUR</t>
  </si>
  <si>
    <t>407-5626122-4485110</t>
  </si>
  <si>
    <t>T3ClZHTV9</t>
  </si>
  <si>
    <t>D8Bw6q58cw07R</t>
  </si>
  <si>
    <t>2026-07-19T14:53:14+05:30</t>
  </si>
  <si>
    <t>2026-07-19T19:06:42+05:30</t>
  </si>
  <si>
    <t>2026-07-19T19:06:45+05:30</t>
  </si>
  <si>
    <t>2026-07-19T20:07:00+05:30</t>
  </si>
  <si>
    <t>kbkr23zl17cmlrg@marketplace.amazon.in</t>
  </si>
  <si>
    <t>408-9332820-4490719</t>
  </si>
  <si>
    <t>TGQh1hTB9</t>
  </si>
  <si>
    <t>D8sj6W5dcQ0LR</t>
  </si>
  <si>
    <t>2026-07-19T08:56:03+05:30</t>
  </si>
  <si>
    <t>2026-07-19T19:01:43+05:30</t>
  </si>
  <si>
    <t>2026-07-19T22:01:55+05:30</t>
  </si>
  <si>
    <t>pxs38tsz96j22hp@marketplace.amazon.in</t>
  </si>
  <si>
    <t>405-4700721-7393907</t>
  </si>
  <si>
    <t>TVWvy4Tr9</t>
  </si>
  <si>
    <t>DHdrdS56cY0LR</t>
  </si>
  <si>
    <t>2026-07-17T15:55:23+05:30</t>
  </si>
  <si>
    <t>2026-07-19T18:45:53+05:30</t>
  </si>
  <si>
    <t>2026-07-19T21:46:10+05:30</t>
  </si>
  <si>
    <t>9hb2hcv9nkls8n5@marketplace.amazon.in</t>
  </si>
  <si>
    <t>405-6303738-7915535</t>
  </si>
  <si>
    <t>T1S3P9Tj9</t>
  </si>
  <si>
    <t>DGv0Gy5YcQ0TR</t>
  </si>
  <si>
    <t>2026-07-19T04:38:56+05:30</t>
  </si>
  <si>
    <t>2026-07-19T18:40:54+05:30</t>
  </si>
  <si>
    <t>2026-07-19T21:41:22+05:30</t>
  </si>
  <si>
    <t>0ts2nj7w6kl1235@marketplace.amazon.in</t>
  </si>
  <si>
    <t>404-4075076-8623505</t>
  </si>
  <si>
    <t>TXyz9Dzy9</t>
  </si>
  <si>
    <t>DmPCGG5tcb0mR</t>
  </si>
  <si>
    <t>2026-07-19T17:37:44+05:30</t>
  </si>
  <si>
    <t>2026-07-19T18:26:41+05:30</t>
  </si>
  <si>
    <t>2026-07-19T21:26:53+05:30</t>
  </si>
  <si>
    <t>1wcgx22qmcqr2vq@marketplace.amazon.in</t>
  </si>
  <si>
    <t>405-7470299-1211566</t>
  </si>
  <si>
    <t>Tn6z62Tg9</t>
  </si>
  <si>
    <t>DFPQtH5qcy0YR</t>
  </si>
  <si>
    <t>2026-07-19T12:05:43+05:30</t>
  </si>
  <si>
    <t>2026-07-19T18:09:47+05:30</t>
  </si>
  <si>
    <t>2026-07-19T21:10:02+05:30</t>
  </si>
  <si>
    <t>f8b2w3cpn6chfj5@marketplace.amazon.in</t>
  </si>
  <si>
    <t>D81YPg5hcQ0QR</t>
  </si>
  <si>
    <t>407-3498391-7331557</t>
  </si>
  <si>
    <t>TG8pH4zH9</t>
  </si>
  <si>
    <t>DsGgPW55cD0TR</t>
  </si>
  <si>
    <t>2026-07-19T15:34:55+05:30</t>
  </si>
  <si>
    <t>2026-07-19T17:58:47+05:30</t>
  </si>
  <si>
    <t>2026-07-19T20:59:03+05:30</t>
  </si>
  <si>
    <t>3djr7xbstk6dbz6@marketplace.amazon.in</t>
  </si>
  <si>
    <t>171-5901829-2747509</t>
  </si>
  <si>
    <t>TCDZRhzy9</t>
  </si>
  <si>
    <t>DtlsPX5dc905R</t>
  </si>
  <si>
    <t>2026-07-19T14:31:24+05:30</t>
  </si>
  <si>
    <t>2026-07-19T17:55:47+05:30</t>
  </si>
  <si>
    <t>2026-07-19T20:55:58+05:30</t>
  </si>
  <si>
    <t>s7ny340t8gqx2k1@marketplace.amazon.in</t>
  </si>
  <si>
    <t>403-2231675-8945912</t>
  </si>
  <si>
    <t>T3plZQTd9</t>
  </si>
  <si>
    <t>DvMtTC5Jcj0MR</t>
  </si>
  <si>
    <t>2026-07-19T15:08:09+05:30</t>
  </si>
  <si>
    <t>2026-07-19T17:46:43+05:30</t>
  </si>
  <si>
    <t>2026-07-19T17:46:46+05:30</t>
  </si>
  <si>
    <t>2026-07-19T18:46:57+05:30</t>
  </si>
  <si>
    <t>wqslbh1m8vr60c5@marketplace.amazon.in</t>
  </si>
  <si>
    <t>171-3413754-3712359</t>
  </si>
  <si>
    <t>TnZcZnTX9</t>
  </si>
  <si>
    <t>DsxTT55zc902R</t>
  </si>
  <si>
    <t>2026-07-19T15:11:09+05:30</t>
  </si>
  <si>
    <t>2026-07-19T17:40:46+05:30</t>
  </si>
  <si>
    <t>2026-07-19T20:40:58+05:30</t>
  </si>
  <si>
    <t>x0rxnx6t1bbnt3p@marketplace.amazon.in</t>
  </si>
  <si>
    <t>HOWRAH</t>
  </si>
  <si>
    <t>404-3746574-1737153</t>
  </si>
  <si>
    <t>TcXbWfTJ9</t>
  </si>
  <si>
    <t>DQQ0Tz5vcZ0mR</t>
  </si>
  <si>
    <t>2026-07-19T14:01:31+05:30</t>
  </si>
  <si>
    <t>2026-07-19T17:40:44+05:30</t>
  </si>
  <si>
    <t>2026-07-19T20:40:55+05:30</t>
  </si>
  <si>
    <t>6w73c3wb5mg2j41@marketplace.amazon.in</t>
  </si>
  <si>
    <t>171-9728735-9135508</t>
  </si>
  <si>
    <t>TJD5K7cf9</t>
  </si>
  <si>
    <t>DxQHns5HcG0mR</t>
  </si>
  <si>
    <t>2026-07-18T22:03:28+05:30</t>
  </si>
  <si>
    <t>2026-07-19T17:27:43+05:30</t>
  </si>
  <si>
    <t>2026-07-19T17:27:48+05:30</t>
  </si>
  <si>
    <t>2026-07-19T18:32:10+05:30</t>
  </si>
  <si>
    <t>z5tgd6q2t8prwk6@marketplace.amazon.in</t>
  </si>
  <si>
    <t>402-0381074-5442718</t>
  </si>
  <si>
    <t>TNp86KTH9</t>
  </si>
  <si>
    <t>DRwFnV5Xcr0XR</t>
  </si>
  <si>
    <t>2026-07-19T10:58:53+05:30</t>
  </si>
  <si>
    <t>2026-07-19T17:23:50+05:30</t>
  </si>
  <si>
    <t>2026-07-19T20:27:32+05:30</t>
  </si>
  <si>
    <t>42btx2kfrh4b7ly@marketplace.amazon.in</t>
  </si>
  <si>
    <t>403-7605020-2848359</t>
  </si>
  <si>
    <t>Tc7hCyTb9</t>
  </si>
  <si>
    <t>Dlxzn35ccB0dR</t>
  </si>
  <si>
    <t>2026-07-19T13:41:23+05:30</t>
  </si>
  <si>
    <t>2026-07-19T17:18:45+05:30</t>
  </si>
  <si>
    <t>2026-07-19T20:18:57+05:30</t>
  </si>
  <si>
    <t>nyv8tmysc2h6404@marketplace.amazon.in</t>
  </si>
  <si>
    <t>JAJPUR SADAR</t>
  </si>
  <si>
    <t>408-2378323-0454735</t>
  </si>
  <si>
    <t>TCSmjzLK9</t>
  </si>
  <si>
    <t>DKn7np5NcF0tR</t>
  </si>
  <si>
    <t>2026-07-15T18:31:57+05:30</t>
  </si>
  <si>
    <t>2026-07-19T17:16:45+05:30</t>
  </si>
  <si>
    <t>2026-07-19T17:16:48+05:30</t>
  </si>
  <si>
    <t>2026-07-19T18:17:00+05:30</t>
  </si>
  <si>
    <t>9gnvk4clf1tjxm4@marketplace.amazon.in</t>
  </si>
  <si>
    <t>408-7565680-4669120</t>
  </si>
  <si>
    <t>TJ0HCdTn9</t>
  </si>
  <si>
    <t>DYQ0xv59cz0nR</t>
  </si>
  <si>
    <t>2026-07-19T13:56:58+05:30</t>
  </si>
  <si>
    <t>2026-07-19T17:11:47+05:30</t>
  </si>
  <si>
    <t>2026-07-19T20:12:02+05:30</t>
  </si>
  <si>
    <t>0xs67kvdqgnmbsq@marketplace.amazon.in</t>
  </si>
  <si>
    <t>Crasome Dust &amp; Water Proof Printer Cover for HP Smart Tank All-in-One 580 / 581 / 585 (Black)</t>
  </si>
  <si>
    <t>402-9438611-5385923</t>
  </si>
  <si>
    <t>T1lW5mTR9</t>
  </si>
  <si>
    <t>D072xD59ct0pR</t>
  </si>
  <si>
    <t>2026-07-19T13:44:17+05:30</t>
  </si>
  <si>
    <t>2026-07-19T17:09:46+05:30</t>
  </si>
  <si>
    <t>2026-07-19T20:09:58+05:30</t>
  </si>
  <si>
    <t>r8gdhtttfhbrdsn@marketplace.amazon.in</t>
  </si>
  <si>
    <t>404-1730031-4673936</t>
  </si>
  <si>
    <t>TcrNXdTk9</t>
  </si>
  <si>
    <t>DpQWxQ5fcT0nR</t>
  </si>
  <si>
    <t>2026-07-19T14:04:02+05:30</t>
  </si>
  <si>
    <t>2026-07-19T17:09:45+05:30</t>
  </si>
  <si>
    <t>2026-07-19T20:09:57+05:30</t>
  </si>
  <si>
    <t>whmz7gm6sb6nbrt@marketplace.amazon.in</t>
  </si>
  <si>
    <t>KANIYUR TIRUPPUR DISTRICT</t>
  </si>
  <si>
    <t>408-3442725-7997910</t>
  </si>
  <si>
    <t>T1j8LmTG9</t>
  </si>
  <si>
    <t>DfV4xk5wcK0yR</t>
  </si>
  <si>
    <t>2026-07-19T11:09:38+05:30</t>
  </si>
  <si>
    <t>2026-07-19T17:07:49+05:30</t>
  </si>
  <si>
    <t>2026-07-19T20:08:03+05:30</t>
  </si>
  <si>
    <t>c7pdlq2hbyb4dsk@marketplace.amazon.in</t>
  </si>
  <si>
    <t>403-7102998-0588302</t>
  </si>
  <si>
    <t>Tgy7LHT79</t>
  </si>
  <si>
    <t>DxPKxV5tct04R</t>
  </si>
  <si>
    <t>2026-07-19T11:36:14+05:30</t>
  </si>
  <si>
    <t>2026-07-19T17:00:38+05:30</t>
  </si>
  <si>
    <t>2026-07-19T17:00:41+05:30</t>
  </si>
  <si>
    <t>2026-07-19T18:00:53+05:30</t>
  </si>
  <si>
    <t>kd9xcsvg8wdgtx3@marketplace.amazon.in</t>
  </si>
  <si>
    <t>402-2314209-5833118</t>
  </si>
  <si>
    <t>TcngNhzC9</t>
  </si>
  <si>
    <t>D2Kj3b53cm05R</t>
  </si>
  <si>
    <t>2026-07-19T15:18:00+05:30</t>
  </si>
  <si>
    <t>2026-07-19T16:58:46+05:30</t>
  </si>
  <si>
    <t>2026-07-19T19:58:59+05:30</t>
  </si>
  <si>
    <t>c4plqv7gb9bgj4z@marketplace.amazon.in</t>
  </si>
  <si>
    <t>404-4607781-5597163</t>
  </si>
  <si>
    <t>TNp9fcdH9</t>
  </si>
  <si>
    <t>DvNnJN5dcj0HR</t>
  </si>
  <si>
    <t>2026-07-12T09:40:04+05:30</t>
  </si>
  <si>
    <t>2026-07-19T16:39:46+05:30</t>
  </si>
  <si>
    <t>2026-07-19T19:40:00+05:30</t>
  </si>
  <si>
    <t>t61fccbhv4cn0zs@marketplace.amazon.in</t>
  </si>
  <si>
    <t>405-4004424-1614751</t>
  </si>
  <si>
    <t>TG8bmYTm9</t>
  </si>
  <si>
    <t>DlpG3c5Gcz0yR</t>
  </si>
  <si>
    <t>2026-07-19T13:41:21+05:30</t>
  </si>
  <si>
    <t>2026-07-19T16:39:45+05:30</t>
  </si>
  <si>
    <t>2026-07-19T19:39:57+05:30</t>
  </si>
  <si>
    <t>y1zgt7s56kl9lzq@marketplace.amazon.in</t>
  </si>
  <si>
    <t>Samastipur</t>
  </si>
  <si>
    <t>402-5669771-9350733</t>
  </si>
  <si>
    <t>T1hnnkTx9</t>
  </si>
  <si>
    <t>DPhWJt5rc60fR</t>
  </si>
  <si>
    <t>2026-07-19T11:12:02+05:30</t>
  </si>
  <si>
    <t>2026-07-19T16:30:45+05:30</t>
  </si>
  <si>
    <t>2026-07-19T19:30:58+05:30</t>
  </si>
  <si>
    <t>kqpt81s7g8hr7l2@marketplace.amazon.in</t>
  </si>
  <si>
    <t>404-2648402-1786759</t>
  </si>
  <si>
    <t>T1B5GhT49</t>
  </si>
  <si>
    <t>Dd0rJP5scv0XR</t>
  </si>
  <si>
    <t>2026-07-19T13:12:33+05:30</t>
  </si>
  <si>
    <t>2026-07-19T16:27:49+05:30</t>
  </si>
  <si>
    <t>2026-07-19T19:28:04+05:30</t>
  </si>
  <si>
    <t>8bzfymqp6jqt62f@marketplace.amazon.in</t>
  </si>
  <si>
    <t>VRINDAVAN</t>
  </si>
  <si>
    <t>405-3086888-0609928</t>
  </si>
  <si>
    <t>TVn51qTV9</t>
  </si>
  <si>
    <t>DdgtMT59cj01R</t>
  </si>
  <si>
    <t>2026-07-19T08:27:39+05:30</t>
  </si>
  <si>
    <t>2026-07-19T16:22:46+05:30</t>
  </si>
  <si>
    <t>2026-07-19T19:22:59+05:30</t>
  </si>
  <si>
    <t>y923yg8jrw8smz4@marketplace.amazon.in</t>
  </si>
  <si>
    <t>406-9253470-0634769</t>
  </si>
  <si>
    <t>TnkKcjc19</t>
  </si>
  <si>
    <t>DQK5MS54cb0yR</t>
  </si>
  <si>
    <t>2026-07-18T18:49:17+05:30</t>
  </si>
  <si>
    <t>2026-07-19T16:22:44+05:30</t>
  </si>
  <si>
    <t>2026-07-19T19:22:58+05:30</t>
  </si>
  <si>
    <t>njffjj8qktmjcks@marketplace.amazon.in</t>
  </si>
  <si>
    <t>171-3229064-4051537</t>
  </si>
  <si>
    <t>T3NJPsTT9</t>
  </si>
  <si>
    <t>DNGfM95ccL02R</t>
  </si>
  <si>
    <t>2026-07-19T10:52:52+05:30</t>
  </si>
  <si>
    <t>2026-07-19T16:12:42+05:30</t>
  </si>
  <si>
    <t>2026-07-19T16:12:44+05:30</t>
  </si>
  <si>
    <t>2026-07-19T17:12:55+05:30</t>
  </si>
  <si>
    <t>f3qpt79h7zl1nzx@marketplace.amazon.in</t>
  </si>
  <si>
    <t>POLLACHI</t>
  </si>
  <si>
    <t>406-6839286-2198726</t>
  </si>
  <si>
    <t>TJNGMGTj9</t>
  </si>
  <si>
    <t>DXJ51c5Qcm03R</t>
  </si>
  <si>
    <t>2026-07-19T11:19:34+05:30</t>
  </si>
  <si>
    <t>2026-07-19T15:57:43+05:30</t>
  </si>
  <si>
    <t>2026-07-19T15:57:46+05:30</t>
  </si>
  <si>
    <t>2026-07-19T16:57:56+05:30</t>
  </si>
  <si>
    <t>4ls8bfxg9nz0xvw@marketplace.amazon.in</t>
  </si>
  <si>
    <t>171-2520671-8145115</t>
  </si>
  <si>
    <t>TcqJr3Tf9</t>
  </si>
  <si>
    <t>D8xPrT55cc0DR</t>
  </si>
  <si>
    <t>2026-07-19T06:03:31+05:30</t>
  </si>
  <si>
    <t>2026-07-19T15:35:47+05:30</t>
  </si>
  <si>
    <t>2026-07-19T18:36:02+05:30</t>
  </si>
  <si>
    <t>nh19ky6hf94rty6@marketplace.amazon.in</t>
  </si>
  <si>
    <t>408-4656882-4262736</t>
  </si>
  <si>
    <t>TgkhrpTt9</t>
  </si>
  <si>
    <t>D5p2r353ch0zR</t>
  </si>
  <si>
    <t>2026-07-19T08:34:28+05:30</t>
  </si>
  <si>
    <t>2026-07-19T15:32:41+05:30</t>
  </si>
  <si>
    <t>2026-07-19T15:32:43+05:30</t>
  </si>
  <si>
    <t>2026-07-19T16:32:56+05:30</t>
  </si>
  <si>
    <t>svl08qv05xw8757@marketplace.amazon.in</t>
  </si>
  <si>
    <t>Nashik</t>
  </si>
  <si>
    <t>404-6620440-1792366</t>
  </si>
  <si>
    <t>TCxMSPTX9</t>
  </si>
  <si>
    <t>D5Hq7h5xcl0MR</t>
  </si>
  <si>
    <t>2026-07-19T12:34:37+05:30</t>
  </si>
  <si>
    <t>2026-07-19T15:22:38+05:30</t>
  </si>
  <si>
    <t>2026-07-19T15:22:41+05:30</t>
  </si>
  <si>
    <t>2026-07-19T16:22:51+05:30</t>
  </si>
  <si>
    <t>s8byvcmrxvxv8gw@marketplace.amazon.in</t>
  </si>
  <si>
    <t>407-8519542-9279504</t>
  </si>
  <si>
    <t>TwZjxvT49</t>
  </si>
  <si>
    <t>DRQYLt57cL0fR</t>
  </si>
  <si>
    <t>2026-07-19T08:55:31+05:30</t>
  </si>
  <si>
    <t>2026-07-19T15:09:48+05:30</t>
  </si>
  <si>
    <t>2026-07-19T18:10:03+05:30</t>
  </si>
  <si>
    <t>zg688r2l39qtpny@marketplace.amazon.in</t>
  </si>
  <si>
    <t>407-3095284-3898730</t>
  </si>
  <si>
    <t>TXSynxTm9</t>
  </si>
  <si>
    <t>DWVHsV56cp01R</t>
  </si>
  <si>
    <t>2026-07-19T12:07:11+05:30</t>
  </si>
  <si>
    <t>2026-07-19T14:51:49+05:30</t>
  </si>
  <si>
    <t>2026-07-19T17:52:07+05:30</t>
  </si>
  <si>
    <t>m72xxnr3sqqzdp6@marketplace.amazon.in</t>
  </si>
  <si>
    <t>404-7177962-2541906</t>
  </si>
  <si>
    <t>TXk2MZTt9</t>
  </si>
  <si>
    <t>DVv3cq5Fcj0vR</t>
  </si>
  <si>
    <t>2026-07-19T11:21:54+05:30</t>
  </si>
  <si>
    <t>2026-07-19T14:20:48+05:30</t>
  </si>
  <si>
    <t>2026-07-19T17:21:02+05:30</t>
  </si>
  <si>
    <t>2pqzlmbyl2422l1@marketplace.amazon.in</t>
  </si>
  <si>
    <t>402-9940682-8469945</t>
  </si>
  <si>
    <t>TnDh4pll9</t>
  </si>
  <si>
    <t>DSGYcD5zcH04R</t>
  </si>
  <si>
    <t>2026-07-17T17:28:40+05:30</t>
  </si>
  <si>
    <t>2026-07-19T14:13:43+05:30</t>
  </si>
  <si>
    <t>2026-07-19T17:13:56+05:30</t>
  </si>
  <si>
    <t>g2qvcwlnxhgq5fy@marketplace.amazon.in</t>
  </si>
  <si>
    <t>405-3514216-3254755</t>
  </si>
  <si>
    <t>TVskTqTF9</t>
  </si>
  <si>
    <t>D2Dtzg5ycy0WR</t>
  </si>
  <si>
    <t>2026-07-19T10:19:58+05:30</t>
  </si>
  <si>
    <t>2026-07-19T13:42:45+05:30</t>
  </si>
  <si>
    <t>2026-07-19T16:42:57+05:30</t>
  </si>
  <si>
    <t>w7cny71j5w0rxqt@marketplace.amazon.in</t>
  </si>
  <si>
    <t>KOTTAYAM</t>
  </si>
  <si>
    <t>402-4119464-4267559</t>
  </si>
  <si>
    <t>TXrhtXTf9</t>
  </si>
  <si>
    <t>D469zv5Jcw0jR</t>
  </si>
  <si>
    <t>2026-07-19T10:55:18+05:30</t>
  </si>
  <si>
    <t>2026-07-19T13:41:47+05:30</t>
  </si>
  <si>
    <t>2026-07-19T16:42:02+05:30</t>
  </si>
  <si>
    <t>sy0hbvxbn6m3x62@marketplace.amazon.in</t>
  </si>
  <si>
    <t>405-5311104-2470750</t>
  </si>
  <si>
    <t>T3vXdSTF9</t>
  </si>
  <si>
    <t>DL17VK5WcK03R</t>
  </si>
  <si>
    <t>2026-07-19T10:27:14+05:30</t>
  </si>
  <si>
    <t>2026-07-19T13:28:45+05:30</t>
  </si>
  <si>
    <t>2026-07-19T13:28:50+05:30</t>
  </si>
  <si>
    <t>2026-07-19T14:29:06+05:30</t>
  </si>
  <si>
    <t>5hglx09db4dym0p@marketplace.amazon.in</t>
  </si>
  <si>
    <t>408-5361136-3691530</t>
  </si>
  <si>
    <t>TG8DYgHC9</t>
  </si>
  <si>
    <t>Dfzv2v58cF00R</t>
  </si>
  <si>
    <t>2026-07-17T23:20:02+05:30</t>
  </si>
  <si>
    <t>2026-07-19T13:08:42+05:30</t>
  </si>
  <si>
    <t>2026-07-19T16:08:52+05:30</t>
  </si>
  <si>
    <t>6f059k02388d16j@marketplace.amazon.in</t>
  </si>
  <si>
    <t>403-6759302-1278759</t>
  </si>
  <si>
    <t>TXrqRyTb9</t>
  </si>
  <si>
    <t>DTKXFv55cP03R</t>
  </si>
  <si>
    <t>2026-07-19T00:56:46+05:30</t>
  </si>
  <si>
    <t>2026-07-19T13:05:48+05:30</t>
  </si>
  <si>
    <t>2026-07-19T16:06:06+05:30</t>
  </si>
  <si>
    <t>7y34djbpk20zh71@marketplace.amazon.in</t>
  </si>
  <si>
    <t>408-4248951-9245121</t>
  </si>
  <si>
    <t>TV0WP6cW9</t>
  </si>
  <si>
    <t>D1xb2V5RcV0nR</t>
  </si>
  <si>
    <t>2026-07-18T21:00:22+05:30</t>
  </si>
  <si>
    <t>2026-07-19T13:00:49+05:30</t>
  </si>
  <si>
    <t>2026-07-19T13:00:53+05:30</t>
  </si>
  <si>
    <t>2026-07-19T14:01:04+05:30</t>
  </si>
  <si>
    <t>v6tpc03s9ybvmp6@marketplace.amazon.in</t>
  </si>
  <si>
    <t>KOVILPATTI</t>
  </si>
  <si>
    <t>408-0192466-0755575</t>
  </si>
  <si>
    <t>TJfYdxTl9</t>
  </si>
  <si>
    <t>DjvwFX5Fcp0PR</t>
  </si>
  <si>
    <t>2026-07-19T09:59:26+05:30</t>
  </si>
  <si>
    <t>2026-07-19T12:57:47+05:30</t>
  </si>
  <si>
    <t>2026-07-19T15:58:02+05:30</t>
  </si>
  <si>
    <t>ctzrcxlrm1x01s4@marketplace.amazon.in</t>
  </si>
  <si>
    <t>2026-07-19T20:00:00+05:30</t>
  </si>
  <si>
    <t>405-4080607-3783527</t>
  </si>
  <si>
    <t>TwV7JSTx9</t>
  </si>
  <si>
    <t>DlZ2Fp5Lcd0VR</t>
  </si>
  <si>
    <t>2026-07-19T09:08:57+05:30</t>
  </si>
  <si>
    <t>2026-07-19T12:50:48+05:30</t>
  </si>
  <si>
    <t>2026-07-19T15:50:59+05:30</t>
  </si>
  <si>
    <t>404-6591658-4144318</t>
  </si>
  <si>
    <t>Tg0J73lT9</t>
  </si>
  <si>
    <t>Dn3wDt5TcK0yR</t>
  </si>
  <si>
    <t>2026-07-17T19:28:11+05:30</t>
  </si>
  <si>
    <t>2026-07-19T12:45:49+05:30</t>
  </si>
  <si>
    <t>2026-07-19T15:49:23+05:30</t>
  </si>
  <si>
    <t>6hm0gsr519tyykx@marketplace.amazon.in</t>
  </si>
  <si>
    <t>405-6066648-7733103</t>
  </si>
  <si>
    <t>TcwsGzcX9</t>
  </si>
  <si>
    <t>DzfyFR5dcX04R</t>
  </si>
  <si>
    <t>2026-07-18T20:48:35+05:30</t>
  </si>
  <si>
    <t>2026-07-19T12:44:54+05:30</t>
  </si>
  <si>
    <t>2026-07-19T15:45:10+05:30</t>
  </si>
  <si>
    <t>0zyww4phk3zp5hf@marketplace.amazon.in</t>
  </si>
  <si>
    <t>407-6886088-1513146</t>
  </si>
  <si>
    <t>Twg7PxTd9</t>
  </si>
  <si>
    <t>DPQPDq51cm0bR</t>
  </si>
  <si>
    <t>2026-07-19T10:09:15+05:30</t>
  </si>
  <si>
    <t>2026-07-19T12:29:47+05:30</t>
  </si>
  <si>
    <t>2026-07-19T15:30:00+05:30</t>
  </si>
  <si>
    <t>cf5t8f6sntd1t12@marketplace.amazon.in</t>
  </si>
  <si>
    <t>405-9350818-3283569</t>
  </si>
  <si>
    <t>TC6v1fc19</t>
  </si>
  <si>
    <t>DSr1YB5Xch09R</t>
  </si>
  <si>
    <t>2026-07-18T20:27:26+05:30</t>
  </si>
  <si>
    <t>2026-07-19T12:10:46+05:30</t>
  </si>
  <si>
    <t>2026-07-19T15:11:01+05:30</t>
  </si>
  <si>
    <t>my0d58l3p3njczf@marketplace.amazon.in</t>
  </si>
  <si>
    <t>171-2799437-2858708</t>
  </si>
  <si>
    <t>TC0vdFT49</t>
  </si>
  <si>
    <t>DWkdyp5Qcx0qR</t>
  </si>
  <si>
    <t>2026-07-19T10:22:52+05:30</t>
  </si>
  <si>
    <t>2026-07-19T12:01:43+05:30</t>
  </si>
  <si>
    <t>2026-07-19T15:01:54+05:30</t>
  </si>
  <si>
    <t>yfs3chhg5z3m9mf@marketplace.amazon.in</t>
  </si>
  <si>
    <t>171-2737646-1749135</t>
  </si>
  <si>
    <t>TGHBjScd9</t>
  </si>
  <si>
    <t>D0G0yJ5fcs06R</t>
  </si>
  <si>
    <t>2026-07-19T00:48:17+05:30</t>
  </si>
  <si>
    <t>2026-07-19T11:56:40+05:30</t>
  </si>
  <si>
    <t>2026-07-19T11:56:42+05:30</t>
  </si>
  <si>
    <t>2026-07-19T12:56:56+05:30</t>
  </si>
  <si>
    <t>37y3yhlyl3wj366@marketplace.amazon.in</t>
  </si>
  <si>
    <t>DPGcyJ5fcs06R</t>
  </si>
  <si>
    <t>404-6849266-3843509</t>
  </si>
  <si>
    <t>TV9ZTdcf9</t>
  </si>
  <si>
    <t>DKtZwk5Fcq0HR</t>
  </si>
  <si>
    <t>2026-07-18T20:07:15+05:30</t>
  </si>
  <si>
    <t>2026-07-19T11:43:46+05:30</t>
  </si>
  <si>
    <t>2026-07-19T14:43:58+05:30</t>
  </si>
  <si>
    <t>6ks174tfzc9knkk@marketplace.amazon.in</t>
  </si>
  <si>
    <t>403-1493297-0695562</t>
  </si>
  <si>
    <t>TNnrDKTp9</t>
  </si>
  <si>
    <t>DLjQBM54cR0xR</t>
  </si>
  <si>
    <t>2026-07-19T03:01:14+05:30</t>
  </si>
  <si>
    <t>2026-07-19T11:29:49+05:30</t>
  </si>
  <si>
    <t>2026-07-19T14:30:10+05:30</t>
  </si>
  <si>
    <t>48zzhlswhz9rtyl@marketplace.amazon.in</t>
  </si>
  <si>
    <t>408-7867918-2558740</t>
  </si>
  <si>
    <t>T6XZgLc79</t>
  </si>
  <si>
    <t>Dwt0Bf5Jcl0DR</t>
  </si>
  <si>
    <t>2026-07-18T22:49:31+05:30</t>
  </si>
  <si>
    <t>2026-07-19T11:28:42+05:30</t>
  </si>
  <si>
    <t>2026-07-19T14:28:53+05:30</t>
  </si>
  <si>
    <t>j6g11y98tdzmrv8@marketplace.amazon.in</t>
  </si>
  <si>
    <t>JALOR</t>
  </si>
  <si>
    <t>405-3315727-0859522</t>
  </si>
  <si>
    <t>TGDsxyTM9</t>
  </si>
  <si>
    <t>D7yC9G56cV05R</t>
  </si>
  <si>
    <t>2026-07-19T09:35:34+05:30</t>
  </si>
  <si>
    <t>2026-07-19T11:14:44+05:30</t>
  </si>
  <si>
    <t>2026-07-19T14:14:59+05:30</t>
  </si>
  <si>
    <t>z70r4gjgr6178z0@marketplace.amazon.in</t>
  </si>
  <si>
    <t>408-6847834-2904310</t>
  </si>
  <si>
    <t>Twrc2XT79</t>
  </si>
  <si>
    <t>Dzzd4m5scd0HR</t>
  </si>
  <si>
    <t>2026-07-19T07:38:50+05:30</t>
  </si>
  <si>
    <t>2026-07-19T10:53:38+05:30</t>
  </si>
  <si>
    <t>2026-07-19T10:53:40+05:30</t>
  </si>
  <si>
    <t>2026-07-19T11:53:53+05:30</t>
  </si>
  <si>
    <t>n5bnyqxqr6x5gsl@marketplace.amazon.in</t>
  </si>
  <si>
    <t>404-7697580-4630722</t>
  </si>
  <si>
    <t>T6zkQfTH9</t>
  </si>
  <si>
    <t>DK9F4w5zcZ0RR</t>
  </si>
  <si>
    <t>2026-07-19T09:30:04+05:30</t>
  </si>
  <si>
    <t>2026-07-19T10:51:48+05:30</t>
  </si>
  <si>
    <t>2026-07-19T13:52:01+05:30</t>
  </si>
  <si>
    <t>059rc4j0wj7vxrv@marketplace.amazon.in</t>
  </si>
  <si>
    <t>407-0033697-2112335</t>
  </si>
  <si>
    <t>T30Sv8XX4</t>
  </si>
  <si>
    <t>D51YHw5Fcc0ZR</t>
  </si>
  <si>
    <t>2026-07-09T17:19:27+05:30</t>
  </si>
  <si>
    <t>2026-07-19T10:44:40+05:30</t>
  </si>
  <si>
    <t>2026-07-19T10:44:44+05:30</t>
  </si>
  <si>
    <t>2026-07-19T11:44:54+05:30</t>
  </si>
  <si>
    <t>vblz98zs3c3z9my@marketplace.amazon.in</t>
  </si>
  <si>
    <t>403-3414393-7822753</t>
  </si>
  <si>
    <t>Tg7hhscb9</t>
  </si>
  <si>
    <t>DBBSHJ5Pc60GR</t>
  </si>
  <si>
    <t>2026-07-19T00:05:48+05:30</t>
  </si>
  <si>
    <t>2026-07-19T10:31:49+05:30</t>
  </si>
  <si>
    <t>2026-07-19T13:32:02+05:30</t>
  </si>
  <si>
    <t>bkntppqv87694tw@marketplace.amazon.in</t>
  </si>
  <si>
    <t>DxwHHF5fcr0CR</t>
  </si>
  <si>
    <t>171-4629549-0596305</t>
  </si>
  <si>
    <t>TXPDlbc89</t>
  </si>
  <si>
    <t>D1jmb05Bc40ZR</t>
  </si>
  <si>
    <t>2026-07-18T22:33:00+05:30</t>
  </si>
  <si>
    <t>2026-07-19T10:17:46+05:30</t>
  </si>
  <si>
    <t>2026-07-19T13:18:00+05:30</t>
  </si>
  <si>
    <t>fhjxmrjszcxk4yt@marketplace.amazon.in</t>
  </si>
  <si>
    <t>407-2695357-2438754</t>
  </si>
  <si>
    <t>TJF5qwcq9</t>
  </si>
  <si>
    <t>D5lNb55tcd02R</t>
  </si>
  <si>
    <t>2026-07-18T23:06:40+05:30</t>
  </si>
  <si>
    <t>2026-07-19T10:12:51+05:30</t>
  </si>
  <si>
    <t>2026-07-19T13:17:36+05:30</t>
  </si>
  <si>
    <t>06rhwmzj894vgjb@marketplace.amazon.in</t>
  </si>
  <si>
    <t>408-2441775-2798717</t>
  </si>
  <si>
    <t>TG6zshcC9</t>
  </si>
  <si>
    <t>Dm7Fk35Tcs0VR</t>
  </si>
  <si>
    <t>2026-07-18T19:00:45+05:30</t>
  </si>
  <si>
    <t>2026-07-19T09:59:44+05:30</t>
  </si>
  <si>
    <t>2026-07-19T09:59:47+05:30</t>
  </si>
  <si>
    <t>2026-07-19T11:00:02+05:30</t>
  </si>
  <si>
    <t>m15h4pzw88y1th4@marketplace.amazon.in</t>
  </si>
  <si>
    <t>THARAMANGALAM</t>
  </si>
  <si>
    <t>171-4070377-8824369</t>
  </si>
  <si>
    <t>TG8ys5cC9</t>
  </si>
  <si>
    <t>D5n8kk5ncf0qR</t>
  </si>
  <si>
    <t>2026-07-18T19:01:56+05:30</t>
  </si>
  <si>
    <t>2026-07-19T09:53:59+05:30</t>
  </si>
  <si>
    <t>2026-07-19T12:54:10+05:30</t>
  </si>
  <si>
    <t>t4j2ynnbrjdrpcr@marketplace.amazon.in</t>
  </si>
  <si>
    <t>KARNAWAD</t>
  </si>
  <si>
    <t>403-8380847-1425913</t>
  </si>
  <si>
    <t>Tw3qhBcd9</t>
  </si>
  <si>
    <t>Djz0NV5YcB0TR</t>
  </si>
  <si>
    <t>2026-07-18T23:38:02+05:30</t>
  </si>
  <si>
    <t>2026-07-19T09:42:48+05:30</t>
  </si>
  <si>
    <t>2026-07-19T12:42:59+05:30</t>
  </si>
  <si>
    <t>scqc8n1qjr3xzjd@marketplace.amazon.in</t>
  </si>
  <si>
    <t>404-1161006-6123544</t>
  </si>
  <si>
    <t>TJcLMbHW9</t>
  </si>
  <si>
    <t>DtVkN05RcF0nR</t>
  </si>
  <si>
    <t>2026-07-18T10:20:21+05:30</t>
  </si>
  <si>
    <t>2026-07-19T09:42:41+05:30</t>
  </si>
  <si>
    <t>2026-07-19T12:42:52+05:30</t>
  </si>
  <si>
    <t>fd686fjr4t7pg8x@marketplace.amazon.in</t>
  </si>
  <si>
    <t>UDAIPUR</t>
  </si>
  <si>
    <t>404-0208860-8109978</t>
  </si>
  <si>
    <t>TXz4Z2cS9</t>
  </si>
  <si>
    <t>DgZ6N35ncP0lR</t>
  </si>
  <si>
    <t>2026-07-18T08:43:04+05:30</t>
  </si>
  <si>
    <t>2026-07-19T09:41:47+05:30</t>
  </si>
  <si>
    <t>2026-07-19T12:42:07+05:30</t>
  </si>
  <si>
    <t>977qmlrdsd47tqt@marketplace.amazon.in</t>
  </si>
  <si>
    <t>408-2664975-0803541</t>
  </si>
  <si>
    <t>TcJpc0cH9</t>
  </si>
  <si>
    <t>DVWXNW5CcC0JR</t>
  </si>
  <si>
    <t>2026-07-18T18:09:24+05:30</t>
  </si>
  <si>
    <t>2026-07-19T09:41:46+05:30</t>
  </si>
  <si>
    <t>2026-07-19T12:41:59+05:30</t>
  </si>
  <si>
    <t>4956rjfr44c24pc@marketplace.amazon.in</t>
  </si>
  <si>
    <t>404-1649760-3015500</t>
  </si>
  <si>
    <t>TGgcJrT49</t>
  </si>
  <si>
    <t>DVVrNN5Xc30nR</t>
  </si>
  <si>
    <t>2026-07-19T07:47:25+05:30</t>
  </si>
  <si>
    <t>2026-07-19T09:40:44+05:30</t>
  </si>
  <si>
    <t>2026-07-19T12:40:56+05:30</t>
  </si>
  <si>
    <t>nytsxsm1sdqn45b@marketplace.amazon.in</t>
  </si>
  <si>
    <t>404-4611242-3246728</t>
  </si>
  <si>
    <t>T3KsTlcT9</t>
  </si>
  <si>
    <t>D92dRZ5bc70hR</t>
  </si>
  <si>
    <t>2026-07-18T21:26:17+05:30</t>
  </si>
  <si>
    <t>2026-07-19T09:27:40+05:30</t>
  </si>
  <si>
    <t>2026-07-19T12:27:52+05:30</t>
  </si>
  <si>
    <t>grl88c3m2ggbbxc@marketplace.amazon.in</t>
  </si>
  <si>
    <t>PRASADAMPADU</t>
  </si>
  <si>
    <t>408-1489343-1993114</t>
  </si>
  <si>
    <t>TwLBbvcV9</t>
  </si>
  <si>
    <t>Dk8KhqNhcv0tR</t>
  </si>
  <si>
    <t>2026-07-18T17:59:07+05:30</t>
  </si>
  <si>
    <t>2026-07-19T09:13:43+05:30</t>
  </si>
  <si>
    <t>2026-07-19T12:13:55+05:30</t>
  </si>
  <si>
    <t>f1qspfv7gl9gh5d@marketplace.amazon.in</t>
  </si>
  <si>
    <t>404-3743901-8752326</t>
  </si>
  <si>
    <t>T1tm6ScV9</t>
  </si>
  <si>
    <t>D8BChLNBcC05R</t>
  </si>
  <si>
    <t>2026-07-18T22:26:52+05:30</t>
  </si>
  <si>
    <t>2026-07-19T09:12:43+05:30</t>
  </si>
  <si>
    <t>2026-07-19T12:12:55+05:30</t>
  </si>
  <si>
    <t>ntrqzc7l14wvsnr@marketplace.amazon.in</t>
  </si>
  <si>
    <t xml:space="preserve">Crasome Dust &amp; Water Proof Printer Cover for HP Smart Tank All-in-One 520 / 525 (Black)
</t>
  </si>
  <si>
    <t>407-3639883-1607550</t>
  </si>
  <si>
    <t>TJfZSwcc9</t>
  </si>
  <si>
    <t>DPtchMNwcg0MR</t>
  </si>
  <si>
    <t>2026-07-18T20:43:11+05:30</t>
  </si>
  <si>
    <t>2026-07-19T09:08:47+05:30</t>
  </si>
  <si>
    <t>2026-07-19T12:09:01+05:30</t>
  </si>
  <si>
    <t>fhj8gl40bxkg5jm@marketplace.amazon.in</t>
  </si>
  <si>
    <t>407-1131518-1187539</t>
  </si>
  <si>
    <t>TnrtZkcQ9</t>
  </si>
  <si>
    <t>DJdvhlNTcM0yR</t>
  </si>
  <si>
    <t>2026-07-18T23:18:17+05:30</t>
  </si>
  <si>
    <t>2026-07-19T09:06:45+05:30</t>
  </si>
  <si>
    <t>2026-07-19T12:06:57+05:30</t>
  </si>
  <si>
    <t>8nqv54k0cnjs7sl@marketplace.amazon.in</t>
  </si>
  <si>
    <t>TALCHER</t>
  </si>
  <si>
    <t>406-6061616-0648360</t>
  </si>
  <si>
    <t>T1vHllL49</t>
  </si>
  <si>
    <t>DkScfSNwcH09R</t>
  </si>
  <si>
    <t>2026-07-15T17:40:16+05:30</t>
  </si>
  <si>
    <t>2026-07-19T12:02:56+05:30</t>
  </si>
  <si>
    <t>074zzhrmjh91xqb@marketplace.amazon.in</t>
  </si>
  <si>
    <t>404-1490165-8544304</t>
  </si>
  <si>
    <t>T1v6h9Hx9</t>
  </si>
  <si>
    <t>Dbj4SyNncG0bR</t>
  </si>
  <si>
    <t>2026-07-18T16:09:34+05:30</t>
  </si>
  <si>
    <t>2026-07-19T04:44:57+05:30</t>
  </si>
  <si>
    <t>2026-07-19T07:45:11+05:30</t>
  </si>
  <si>
    <t>sdqq5pkbsn814fc@marketplace.amazon.in</t>
  </si>
  <si>
    <t>MANVI</t>
  </si>
  <si>
    <t>406-5140991-0753117</t>
  </si>
  <si>
    <t>TGbbKRcj9</t>
  </si>
  <si>
    <t>DmjCSzNFcG0bR</t>
  </si>
  <si>
    <t>2026-07-18T22:06:11+05:30</t>
  </si>
  <si>
    <t>2026-07-19T04:38:44+05:30</t>
  </si>
  <si>
    <t>2026-07-19T07:38:57+05:30</t>
  </si>
  <si>
    <t>c003bh9nf8bclf0@marketplace.amazon.in</t>
  </si>
  <si>
    <t>171-2621366-3707507</t>
  </si>
  <si>
    <t>TXxyr3Hd9</t>
  </si>
  <si>
    <t>D08wSBNXck0hR</t>
  </si>
  <si>
    <t>2026-07-18T08:37:54+05:30</t>
  </si>
  <si>
    <t>2026-07-19T04:33:50+05:30</t>
  </si>
  <si>
    <t>2026-07-19T07:34:02+05:30</t>
  </si>
  <si>
    <t>dc68kctsxtrrgdl@marketplace.amazon.in</t>
  </si>
  <si>
    <t>407-1573632-8809147</t>
  </si>
  <si>
    <t>T10WJJHf9</t>
  </si>
  <si>
    <t>DVLDSKNhcN0mR</t>
  </si>
  <si>
    <t>2026-07-18T09:20:18+05:30</t>
  </si>
  <si>
    <t>2026-07-19T04:26:43+05:30</t>
  </si>
  <si>
    <t>2026-07-19T04:26:46+05:30</t>
  </si>
  <si>
    <t>2026-07-19T05:26:57+05:30</t>
  </si>
  <si>
    <t>9h0w5645k64ntjm@marketplace.amazon.in</t>
  </si>
  <si>
    <t>TIRUVALLUR</t>
  </si>
  <si>
    <t>404-6002722-3238715</t>
  </si>
  <si>
    <t>Tc0pKzcf9</t>
  </si>
  <si>
    <t>D0B5dqN3cM0mR</t>
  </si>
  <si>
    <t>2026-07-18T21:18:59+05:30</t>
  </si>
  <si>
    <t>2026-07-19T04:06:45+05:30</t>
  </si>
  <si>
    <t>2026-07-19T07:06:56+05:30</t>
  </si>
  <si>
    <t>mbm6j47m70cl3f5@marketplace.amazon.in</t>
  </si>
  <si>
    <t>KAPURTHALA</t>
  </si>
  <si>
    <t>171-0152483-0776355</t>
  </si>
  <si>
    <t>T3rlGccF9</t>
  </si>
  <si>
    <t>DRBTdKNhcs0gR</t>
  </si>
  <si>
    <t>2026-07-18T20:27:11+05:30</t>
  </si>
  <si>
    <t>2026-07-19T04:00:47+05:30</t>
  </si>
  <si>
    <t>2026-07-19T07:01:02+05:30</t>
  </si>
  <si>
    <t>q7ld4ysqln2k2tj@marketplace.amazon.in</t>
  </si>
  <si>
    <t>SHAHJAHANPUR</t>
  </si>
  <si>
    <t>407-7543782-4719502</t>
  </si>
  <si>
    <t>TV7Zg3cQ9</t>
  </si>
  <si>
    <t>DBgkGYNSc80MR</t>
  </si>
  <si>
    <t>2026-07-18T22:16:12+05:30</t>
  </si>
  <si>
    <t>2026-07-19T03:50:41+05:30</t>
  </si>
  <si>
    <t>2026-07-19T03:50:44+05:30</t>
  </si>
  <si>
    <t>2026-07-19T04:50:55+05:30</t>
  </si>
  <si>
    <t>snqt36d7h2qfd91@marketplace.amazon.in</t>
  </si>
  <si>
    <t>406-4149807-9271567</t>
  </si>
  <si>
    <t>T60G87Hf9</t>
  </si>
  <si>
    <t>DLyktkNycB0SR</t>
  </si>
  <si>
    <t>2026-07-18T13:19:25+05:30</t>
  </si>
  <si>
    <t>2026-07-19T03:30:43+05:30</t>
  </si>
  <si>
    <t>2026-07-19T06:30:55+05:30</t>
  </si>
  <si>
    <t>vbwrk8wby3s7wpx@marketplace.amazon.in</t>
  </si>
  <si>
    <t>AC003737214IN</t>
  </si>
  <si>
    <t>405-4910376-0180308</t>
  </si>
  <si>
    <t>TVVfVqlc9</t>
  </si>
  <si>
    <t>DMQJtWN4cG0kR</t>
  </si>
  <si>
    <t>2026-07-17T19:50:10+05:30</t>
  </si>
  <si>
    <t>2026-07-19T03:27:45+05:30</t>
  </si>
  <si>
    <t>2026-07-19T06:27:56+05:30</t>
  </si>
  <si>
    <t>j5gw6pscjkzvhp6@marketplace.amazon.in</t>
  </si>
  <si>
    <t>406-1849558-4401944</t>
  </si>
  <si>
    <t>TnZNkVlv9</t>
  </si>
  <si>
    <t>DZlZtMNZcl0LR</t>
  </si>
  <si>
    <t>2026-07-17T14:46:49+05:30</t>
  </si>
  <si>
    <t>2026-07-19T03:26:42+05:30</t>
  </si>
  <si>
    <t>2026-07-19T06:26:54+05:30</t>
  </si>
  <si>
    <t>qzzmrys2wnzwysh@marketplace.amazon.in</t>
  </si>
  <si>
    <t>VAGHODIA</t>
  </si>
  <si>
    <t>402-1019655-3146747</t>
  </si>
  <si>
    <t>Tc8D5TCp9</t>
  </si>
  <si>
    <t>DbrntsNycN0VR</t>
  </si>
  <si>
    <t>2026-07-16T23:09:10+05:30</t>
  </si>
  <si>
    <t>2026-07-19T03:16:55+05:30</t>
  </si>
  <si>
    <t>2026-07-19T06:17:07+05:30</t>
  </si>
  <si>
    <t>j7mv098fhf906nm@marketplace.amazon.in</t>
  </si>
  <si>
    <t>Kaliyakkavilai</t>
  </si>
  <si>
    <t>403-3522556-7560300</t>
  </si>
  <si>
    <t>T3kc69cm9</t>
  </si>
  <si>
    <t>DZgzPgNvcZ0TR</t>
  </si>
  <si>
    <t>2026-07-18T20:41:55+05:30</t>
  </si>
  <si>
    <t>2026-07-19T03:07:46+05:30</t>
  </si>
  <si>
    <t>2026-07-19T06:07:59+05:30</t>
  </si>
  <si>
    <t>tfpmprl7kt5vl47@marketplace.amazon.in</t>
  </si>
  <si>
    <t>PATHANKOT</t>
  </si>
  <si>
    <t>171-2678836-7658731</t>
  </si>
  <si>
    <t>T1B56HHz9</t>
  </si>
  <si>
    <t>Dc1ZTDN5cp0tR</t>
  </si>
  <si>
    <t>2026-07-18T10:43:18+05:30</t>
  </si>
  <si>
    <t>2026-07-19T02:52:51+05:30</t>
  </si>
  <si>
    <t>2026-07-19T05:53:04+05:30</t>
  </si>
  <si>
    <t>2f0vgz7h20nrg9c@marketplace.amazon.in</t>
  </si>
  <si>
    <t>alangudi</t>
  </si>
  <si>
    <t>408-0507455-1218734</t>
  </si>
  <si>
    <t>TVtYl0Yk9</t>
  </si>
  <si>
    <t>DDkYnTNhcC0qR</t>
  </si>
  <si>
    <t>2026-07-15T15:56:31+05:30</t>
  </si>
  <si>
    <t>2026-07-19T02:43:46+05:30</t>
  </si>
  <si>
    <t>2026-07-19T05:44:00+05:30</t>
  </si>
  <si>
    <t>4h4jxthgt2qvtyz@marketplace.amazon.in</t>
  </si>
  <si>
    <t>KARUR</t>
  </si>
  <si>
    <t>406-6479314-6009160</t>
  </si>
  <si>
    <t>TNlFqpHj9</t>
  </si>
  <si>
    <t>DxK7xtNxcr03R</t>
  </si>
  <si>
    <t>2026-07-18T15:57:35+05:30</t>
  </si>
  <si>
    <t>2026-07-19T02:23:42+05:30</t>
  </si>
  <si>
    <t>2026-07-19T05:23:54+05:30</t>
  </si>
  <si>
    <t>yt2n94yrgfmhmg0@marketplace.amazon.in</t>
  </si>
  <si>
    <t>406-9216576-9470717</t>
  </si>
  <si>
    <t>TNcRzKc89</t>
  </si>
  <si>
    <t>DKgKx2Ntct0TR</t>
  </si>
  <si>
    <t>2026-07-18T18:08:39+05:30</t>
  </si>
  <si>
    <t>2026-07-19T02:19:43+05:30</t>
  </si>
  <si>
    <t>2026-07-19T05:19:55+05:30</t>
  </si>
  <si>
    <t>rs66rh77prntc6g@marketplace.amazon.in</t>
  </si>
  <si>
    <t>KOCHI</t>
  </si>
  <si>
    <t>407-1981303-3563564</t>
  </si>
  <si>
    <t>TJ9LDjcT9</t>
  </si>
  <si>
    <t>DDgHxzNQct0TR</t>
  </si>
  <si>
    <t>2026-07-18T16:46:37+05:30</t>
  </si>
  <si>
    <t>2026-07-19T02:16:45+05:30</t>
  </si>
  <si>
    <t>2026-07-19T05:16:59+05:30</t>
  </si>
  <si>
    <t>wqkx7dkpqk125c0@marketplace.amazon.in</t>
  </si>
  <si>
    <t>402-9555860-5912327</t>
  </si>
  <si>
    <t>TXjs4VHM9</t>
  </si>
  <si>
    <t>DPhnx2Nzc10NR</t>
  </si>
  <si>
    <t>2026-07-17T17:30:09+05:30</t>
  </si>
  <si>
    <t>2026-07-19T02:16:44+05:30</t>
  </si>
  <si>
    <t>2026-07-19T05:16:55+05:30</t>
  </si>
  <si>
    <t>slgnwbq7l4lb5dh@marketplace.amazon.in</t>
  </si>
  <si>
    <t>407-6430538-8594754</t>
  </si>
  <si>
    <t>T3XthGH39</t>
  </si>
  <si>
    <t>DCC1xpNBcG0NR</t>
  </si>
  <si>
    <t>2026-07-18T16:14:22+05:30</t>
  </si>
  <si>
    <t>2026-07-19T02:11:42+05:30</t>
  </si>
  <si>
    <t>2026-07-19T02:11:46+05:30</t>
  </si>
  <si>
    <t>2026-07-19T03:12:03+05:30</t>
  </si>
  <si>
    <t>c52z1kky95jcb1g@marketplace.amazon.in</t>
  </si>
  <si>
    <t>171-6734986-5066748</t>
  </si>
  <si>
    <t>Tc2d26lw9</t>
  </si>
  <si>
    <t>DYxbxFNMcv08R</t>
  </si>
  <si>
    <t>2026-07-13T14:24:37+05:30</t>
  </si>
  <si>
    <t>2026-07-19T02:10:41+05:30</t>
  </si>
  <si>
    <t>2026-07-19T02:10:45+05:30</t>
  </si>
  <si>
    <t>2026-07-19T03:10:56+05:30</t>
  </si>
  <si>
    <t>f68hbcv44fgmmjr@marketplace.amazon.in</t>
  </si>
  <si>
    <t>Crasome Dust &amp; Water Proof Printer Cover for Epson EcoTank L3252 (Grey)</t>
  </si>
  <si>
    <t>405-2316180-4262746</t>
  </si>
  <si>
    <t>TGYjrLcn9</t>
  </si>
  <si>
    <t>DqDb3xNdcW0tR</t>
  </si>
  <si>
    <t>2026-07-18T19:01:09+05:30</t>
  </si>
  <si>
    <t>2026-07-19T02:04:47+05:30</t>
  </si>
  <si>
    <t>2026-07-19T05:05:00+05:30</t>
  </si>
  <si>
    <t>7cskm726t2wfkc5@marketplace.amazon.in</t>
  </si>
  <si>
    <t>404-9146693-4610760</t>
  </si>
  <si>
    <t>TNTYKmcM9</t>
  </si>
  <si>
    <t>D5YL3gNjc70NR</t>
  </si>
  <si>
    <t>2026-07-18T18:10:32+05:30</t>
  </si>
  <si>
    <t>2026-07-19T02:00:46+05:30</t>
  </si>
  <si>
    <t>2026-07-19T05:00:58+05:30</t>
  </si>
  <si>
    <t>fn3ywj4ntgg7twt@marketplace.amazon.in</t>
  </si>
  <si>
    <t>PANERIHAT</t>
  </si>
  <si>
    <t>402-5096257-8492347</t>
  </si>
  <si>
    <t>TNhfnbcY9</t>
  </si>
  <si>
    <t>D5903fN9ch0rR</t>
  </si>
  <si>
    <t>2026-07-18T20:06:25+05:30</t>
  </si>
  <si>
    <t>2026-07-19T01:57:44+05:30</t>
  </si>
  <si>
    <t>2026-07-19T04:57:57+05:30</t>
  </si>
  <si>
    <t>xbc736syhqw5mq5@marketplace.amazon.in</t>
  </si>
  <si>
    <t>2026-07-19T08:00:00+05:30</t>
  </si>
  <si>
    <t>404-6395737-9780353</t>
  </si>
  <si>
    <t>T1Nv3pcz9</t>
  </si>
  <si>
    <t>DlYV3ZN3c70NR</t>
  </si>
  <si>
    <t>2026-07-18T19:55:59+05:30</t>
  </si>
  <si>
    <t>2026-07-19T01:54:41+05:30</t>
  </si>
  <si>
    <t>2026-07-19T01:54:45+05:30</t>
  </si>
  <si>
    <t>2026-07-19T02:54:56+05:30</t>
  </si>
  <si>
    <t>rhmf80mwvh2zh7q@marketplace.amazon.in</t>
  </si>
  <si>
    <t>402-1108448-5115567</t>
  </si>
  <si>
    <t>T16Hl4cN9</t>
  </si>
  <si>
    <t>DP2lJfNtch0bR</t>
  </si>
  <si>
    <t>2026-07-18T23:00:28+05:30</t>
  </si>
  <si>
    <t>2026-07-19T01:50:08+05:30</t>
  </si>
  <si>
    <t>2026-07-19T04:50:23+05:30</t>
  </si>
  <si>
    <t>cz82fkz0t0h257h@marketplace.amazon.in</t>
  </si>
  <si>
    <t>405-1271042-3129150</t>
  </si>
  <si>
    <t>TNtY2DcY9</t>
  </si>
  <si>
    <t>DS7JMJNsc90xR</t>
  </si>
  <si>
    <t>2026-07-18T18:12:03+05:30</t>
  </si>
  <si>
    <t>2026-07-19T01:25:46+05:30</t>
  </si>
  <si>
    <t>2026-07-19T04:25:57+05:30</t>
  </si>
  <si>
    <t>x9k4qwkm1pcy4q3@marketplace.amazon.in</t>
  </si>
  <si>
    <t>WOKHA</t>
  </si>
  <si>
    <t>407-1000199-7580349</t>
  </si>
  <si>
    <t>TXh7cfcl9</t>
  </si>
  <si>
    <t>DhsMMbNxc30fR</t>
  </si>
  <si>
    <t>2026-07-18T18:57:15+05:30</t>
  </si>
  <si>
    <t>2026-07-19T01:17:41+05:30</t>
  </si>
  <si>
    <t>2026-07-19T04:17:51+05:30</t>
  </si>
  <si>
    <t>qnrsthmlmrs04pd@marketplace.amazon.in</t>
  </si>
  <si>
    <t>171-6468196-0016333</t>
  </si>
  <si>
    <t>TGXsPfcg9</t>
  </si>
  <si>
    <t>D3fP1dNycc09R</t>
  </si>
  <si>
    <t>2026-07-18T19:52:56+05:30</t>
  </si>
  <si>
    <t>2026-07-19T01:10:43+05:30</t>
  </si>
  <si>
    <t>2026-07-19T04:10:55+05:30</t>
  </si>
  <si>
    <t>skmw333bw7lr3kj@marketplace.amazon.in</t>
  </si>
  <si>
    <t>402-2317601-0602720</t>
  </si>
  <si>
    <t>TNykx8cV9</t>
  </si>
  <si>
    <t>DZfQ14NfcH09R</t>
  </si>
  <si>
    <t>2026-07-18T19:47:05+05:30</t>
  </si>
  <si>
    <t>2026-07-19T01:07:44+05:30</t>
  </si>
  <si>
    <t>2026-07-19T04:07:56+05:30</t>
  </si>
  <si>
    <t>phv08k1d1btsw3z@marketplace.amazon.in</t>
  </si>
  <si>
    <t>408-8005326-6255549</t>
  </si>
  <si>
    <t>TC55WscF9</t>
  </si>
  <si>
    <t>D75nrYNtcr0TR</t>
  </si>
  <si>
    <t>2026-07-18T23:07:00+05:30</t>
  </si>
  <si>
    <t>2026-07-19T00:55:40+05:30</t>
  </si>
  <si>
    <t>2026-07-19T00:55:44+05:30</t>
  </si>
  <si>
    <t>2026-07-19T01:55:57+05:30</t>
  </si>
  <si>
    <t>zfxnppzt51xbn27@marketplace.amazon.in</t>
  </si>
  <si>
    <t>406-5272120-0777155</t>
  </si>
  <si>
    <t>TcvsnTc39</t>
  </si>
  <si>
    <t>DxQvrlNycm0vR</t>
  </si>
  <si>
    <t>2026-07-18T15:48:50+05:30</t>
  </si>
  <si>
    <t>2026-07-19T00:48:43+05:30</t>
  </si>
  <si>
    <t>2026-07-19T00:48:45+05:30</t>
  </si>
  <si>
    <t>2026-07-19T01:48:56+05:30</t>
  </si>
  <si>
    <t>9pnfhk4z8vtldm3@marketplace.amazon.in</t>
  </si>
  <si>
    <t>404-4245305-9406708</t>
  </si>
  <si>
    <t>T13MQrcN9</t>
  </si>
  <si>
    <t>DbqKr8NXcd0CR</t>
  </si>
  <si>
    <t>2026-07-18T19:52:34+05:30</t>
  </si>
  <si>
    <t>2026-07-19T00:45:51+05:30</t>
  </si>
  <si>
    <t>2026-07-19T03:46:06+05:30</t>
  </si>
  <si>
    <t>xygf99j7yt9mg61@marketplace.amazon.in</t>
  </si>
  <si>
    <t>407-5923312-9907551</t>
  </si>
  <si>
    <t>TVl3srcl9</t>
  </si>
  <si>
    <t>DJCPr7NQc40NR</t>
  </si>
  <si>
    <t>2026-07-18T19:10:34+05:30</t>
  </si>
  <si>
    <t>2026-07-19T00:45:42+05:30</t>
  </si>
  <si>
    <t>2026-07-19T03:45:54+05:30</t>
  </si>
  <si>
    <t>3zrbw6txqfp468r@marketplace.amazon.in</t>
  </si>
  <si>
    <t>405-4338446-4089922</t>
  </si>
  <si>
    <t>TwKy2Fc69</t>
  </si>
  <si>
    <t>DRKzLcN1cl0sR</t>
  </si>
  <si>
    <t>2026-07-18T17:30:43+05:30</t>
  </si>
  <si>
    <t>2026-07-19T00:26:41+05:30</t>
  </si>
  <si>
    <t>2026-07-19T03:26:54+05:30</t>
  </si>
  <si>
    <t>00btj42xhr2rb4p@marketplace.amazon.in</t>
  </si>
  <si>
    <t>402-8276272-2873910</t>
  </si>
  <si>
    <t>TwdgK0cS9</t>
  </si>
  <si>
    <t>D434LXNVcv0yR</t>
  </si>
  <si>
    <t>2026-07-18T22:25:50+05:30</t>
  </si>
  <si>
    <t>2026-07-19T00:25:44+05:30</t>
  </si>
  <si>
    <t>2026-07-19T03:25:55+05:30</t>
  </si>
  <si>
    <t>yqpr7wpqwmv67q2@marketplace.amazon.in</t>
  </si>
  <si>
    <t>GWALIOR</t>
  </si>
  <si>
    <t>406-3022607-4258715</t>
  </si>
  <si>
    <t>TgMd5LHB9</t>
  </si>
  <si>
    <t>DfkgL2Nzcz0LR</t>
  </si>
  <si>
    <t>2026-07-18T14:58:15+05:30</t>
  </si>
  <si>
    <t>2026-07-19T00:24:44+05:30</t>
  </si>
  <si>
    <t>2026-07-19T03:24:58+05:30</t>
  </si>
  <si>
    <t>v27glv7zcs3g6vc@marketplace.amazon.in</t>
  </si>
  <si>
    <t>BASTI</t>
  </si>
  <si>
    <t>406-9514301-9257911</t>
  </si>
  <si>
    <t>TNYfPjc59</t>
  </si>
  <si>
    <t>DWnB71NWcB0vR</t>
  </si>
  <si>
    <t>2026-07-18T21:46:35+05:30</t>
  </si>
  <si>
    <t>2026-07-19T00:22:44+05:30</t>
  </si>
  <si>
    <t>2026-07-19T00:22:46+05:30</t>
  </si>
  <si>
    <t>2026-07-19T01:23:01+05:30</t>
  </si>
  <si>
    <t>4wcpg1nxph9mgpp@marketplace.amazon.in</t>
  </si>
  <si>
    <t>403-5353318-6505109</t>
  </si>
  <si>
    <t>TG7X55Hc9</t>
  </si>
  <si>
    <t>DFDTL8Nrcy0NR</t>
  </si>
  <si>
    <t>2026-07-18T14:50:29+05:30</t>
  </si>
  <si>
    <t>2026-07-19T00:20:49+05:30</t>
  </si>
  <si>
    <t>2026-07-19T03:21:04+05:30</t>
  </si>
  <si>
    <t>55fcfqd2f9d50kh@marketplace.amazon.in</t>
  </si>
  <si>
    <t>DrZwLYNtc90kR</t>
  </si>
  <si>
    <t>404-2688304-6725963</t>
  </si>
  <si>
    <t>Tn0ydRHJ9</t>
  </si>
  <si>
    <t>DKDmLyNQcy0NR</t>
  </si>
  <si>
    <t>2026-07-18T00:22:46+05:30</t>
  </si>
  <si>
    <t>2026-07-19T00:20:42+05:30</t>
  </si>
  <si>
    <t>2026-07-19T03:20:56+05:30</t>
  </si>
  <si>
    <t>cqm6blxv49fy181@marketplace.amazon.in</t>
  </si>
  <si>
    <t>PARAVADA INDUSTRIAL AREA</t>
  </si>
  <si>
    <t>406-3614994-9286742</t>
  </si>
  <si>
    <t>TCQ0rqc39</t>
  </si>
  <si>
    <t>DQ34LHN1ch0HR</t>
  </si>
  <si>
    <t>2026-07-18T18:55:27+05:30</t>
  </si>
  <si>
    <t>2026-07-19T00:18:53+05:30</t>
  </si>
  <si>
    <t>2026-07-19T03:19:07+05:30</t>
  </si>
  <si>
    <t>rf6ld1lfxlkrg02@marketplace.amazon.in</t>
  </si>
  <si>
    <t>171-1160427-6806721</t>
  </si>
  <si>
    <t>TNj6rMcJ9</t>
  </si>
  <si>
    <t>DjjQsTNRcx0TR</t>
  </si>
  <si>
    <t>2026-07-18T19:20:34+05:30</t>
  </si>
  <si>
    <t>2026-07-19T00:03:44+05:30</t>
  </si>
  <si>
    <t>2026-07-19T03:03:59+05:30</t>
  </si>
  <si>
    <t>m18gf2y8gwgcwy4@marketplace.amazon.in</t>
  </si>
  <si>
    <t>Maharashtra,</t>
  </si>
  <si>
    <t>408-8895295-0766730</t>
  </si>
  <si>
    <t>TcqxFMcW9</t>
  </si>
  <si>
    <t>DlrTstNPcf0VR</t>
  </si>
  <si>
    <t>2026-07-18T17:10:02+05:30</t>
  </si>
  <si>
    <t>2026-07-18T23:51:40+05:30</t>
  </si>
  <si>
    <t>2026-07-19T02:51:51+05:30</t>
  </si>
  <si>
    <t>4mqlxrqy726svrs@marketplace.amazon.in</t>
  </si>
  <si>
    <t>171-2366795-7357169</t>
  </si>
  <si>
    <t>TnWxmlc19</t>
  </si>
  <si>
    <t>D2RJsgNqcL0dR</t>
  </si>
  <si>
    <t>2026-07-18T20:48:26+05:30</t>
  </si>
  <si>
    <t>2026-07-18T23:50:45+05:30</t>
  </si>
  <si>
    <t>2026-07-19T02:50:57+05:30</t>
  </si>
  <si>
    <t>8j9bzj3gg8jv639@marketplace.amazon.in</t>
  </si>
  <si>
    <t>402-7950497-3029119</t>
  </si>
  <si>
    <t>TwMgQkc89</t>
  </si>
  <si>
    <t>DcMQQwNhcJ0NR</t>
  </si>
  <si>
    <t>2026-07-18T19:49:43+05:30</t>
  </si>
  <si>
    <t>2026-07-18T23:50:41+05:30</t>
  </si>
  <si>
    <t>2026-07-18T23:50:44+05:30</t>
  </si>
  <si>
    <t>2026-07-19T00:50:55+05:30</t>
  </si>
  <si>
    <t>v6zz66hshq1tyfg@marketplace.amazon.in</t>
  </si>
  <si>
    <t>407-7225961-6705908</t>
  </si>
  <si>
    <t>T6ZWQ5HC9</t>
  </si>
  <si>
    <t>D1vmQJN8cL0wR</t>
  </si>
  <si>
    <t>2026-07-18T07:10:11+05:30</t>
  </si>
  <si>
    <t>2026-07-18T23:49:45+05:30</t>
  </si>
  <si>
    <t>2026-07-18T23:49:48+05:30</t>
  </si>
  <si>
    <t>2026-07-19T00:50:03+05:30</t>
  </si>
  <si>
    <t>7gzbc40hv6tnsph@marketplace.amazon.in</t>
  </si>
  <si>
    <t>406-5569920-0698733</t>
  </si>
  <si>
    <t>TcMdDpcg9</t>
  </si>
  <si>
    <t>DfwLQ8NDcq0nR</t>
  </si>
  <si>
    <t>2026-07-18T17:07:54+05:30</t>
  </si>
  <si>
    <t>2026-07-18T23:43:47+05:30</t>
  </si>
  <si>
    <t>2026-07-19T02:43:59+05:30</t>
  </si>
  <si>
    <t>thzzw7jdftm0cyy@marketplace.amazon.in</t>
  </si>
  <si>
    <t>402-5256417-4422705</t>
  </si>
  <si>
    <t>T6Ffzwcr9</t>
  </si>
  <si>
    <t>Dvh9QtNVcF0pR</t>
  </si>
  <si>
    <t>2026-07-18T17:35:05+05:30</t>
  </si>
  <si>
    <t>2026-07-18T23:39:46+05:30</t>
  </si>
  <si>
    <t>2026-07-19T02:39:56+05:30</t>
  </si>
  <si>
    <t>qwwj7k20th0ypx9@marketplace.amazon.in</t>
  </si>
  <si>
    <t>404-5492052-8345955</t>
  </si>
  <si>
    <t>TgpjzGcW9</t>
  </si>
  <si>
    <t>DpJ4QVNGcZ0rR</t>
  </si>
  <si>
    <t>2026-07-18T19:49:09+05:30</t>
  </si>
  <si>
    <t>2026-07-18T23:39:43+05:30</t>
  </si>
  <si>
    <t>2026-07-18T23:39:45+05:30</t>
  </si>
  <si>
    <t>2026-07-19T00:39:59+05:30</t>
  </si>
  <si>
    <t>xr3m3c9yrgwq6m7@marketplace.amazon.in</t>
  </si>
  <si>
    <t>406-4625237-1421947</t>
  </si>
  <si>
    <t>TnjXGmcb9</t>
  </si>
  <si>
    <t>DcPrQmNlcV0cR</t>
  </si>
  <si>
    <t>2026-07-18T21:10:07+05:30</t>
  </si>
  <si>
    <t>2026-07-18T23:32:48+05:30</t>
  </si>
  <si>
    <t>2026-07-19T02:33:02+05:30</t>
  </si>
  <si>
    <t>nw6rf512whhjxh9@marketplace.amazon.in</t>
  </si>
  <si>
    <t>171-4017776-6419511</t>
  </si>
  <si>
    <t>Tcj1xJcQ9</t>
  </si>
  <si>
    <t>Dhgzc2Nqcr0LR</t>
  </si>
  <si>
    <t>2026-07-18T19:59:27+05:30</t>
  </si>
  <si>
    <t>2026-07-18T23:29:42+05:30</t>
  </si>
  <si>
    <t>2026-07-18T23:29:46+05:30</t>
  </si>
  <si>
    <t>2026-07-19T00:29:59+05:30</t>
  </si>
  <si>
    <t>hqggr0jvqpzbw5r@marketplace.amazon.in</t>
  </si>
  <si>
    <t>407-0463711-0618759</t>
  </si>
  <si>
    <t>TG4NnPcM9</t>
  </si>
  <si>
    <t>D6T4cHNmcT09R</t>
  </si>
  <si>
    <t>2026-07-18T20:18:42+05:30</t>
  </si>
  <si>
    <t>2026-07-18T23:27:50+05:30</t>
  </si>
  <si>
    <t>2026-07-18T23:27:52+05:30</t>
  </si>
  <si>
    <t>2026-07-19T00:28:04+05:30</t>
  </si>
  <si>
    <t>16pbprxk4rtn3yj@marketplace.amazon.in</t>
  </si>
  <si>
    <t>407-4632903-0127530</t>
  </si>
  <si>
    <t>TnZtQCcM9</t>
  </si>
  <si>
    <t>DShtcHNxcg0TR</t>
  </si>
  <si>
    <t>2026-07-18T19:37:42+05:30</t>
  </si>
  <si>
    <t>2026-07-18T23:24:47+05:30</t>
  </si>
  <si>
    <t>2026-07-19T02:25:04+05:30</t>
  </si>
  <si>
    <t>rs9xf09fpl4dc1f@marketplace.amazon.in</t>
  </si>
  <si>
    <t>408-0017234-4931517</t>
  </si>
  <si>
    <t>TJz69mcb9</t>
  </si>
  <si>
    <t>DXWQvqNkcP0GR</t>
  </si>
  <si>
    <t>2026-07-18T17:45:16+05:30</t>
  </si>
  <si>
    <t>2026-07-18T23:07:52+05:30</t>
  </si>
  <si>
    <t>2026-07-19T02:08:03+05:30</t>
  </si>
  <si>
    <t>580v5cccx296xph@marketplace.amazon.in</t>
  </si>
  <si>
    <t>404-2410157-9148334</t>
  </si>
  <si>
    <t>T3DcVrcj9</t>
  </si>
  <si>
    <t>DfGyvzNScP0VR</t>
  </si>
  <si>
    <t>2026-07-18T19:22:19+05:30</t>
  </si>
  <si>
    <t>2026-07-18T23:05:43+05:30</t>
  </si>
  <si>
    <t>2026-07-19T02:05:55+05:30</t>
  </si>
  <si>
    <t>956y9nykpm4xtmk@marketplace.amazon.in</t>
  </si>
  <si>
    <t>404-2621016-4296333</t>
  </si>
  <si>
    <t>TGLd2Mcb9</t>
  </si>
  <si>
    <t>DKGWvyNJcP0VR</t>
  </si>
  <si>
    <t>2026-07-18T18:05:57+05:30</t>
  </si>
  <si>
    <t>2026-07-18T23:02:41+05:30</t>
  </si>
  <si>
    <t>2026-07-19T02:02:49+05:30</t>
  </si>
  <si>
    <t>26tj8kdkcqlv60c@marketplace.amazon.in</t>
  </si>
  <si>
    <t>Bari brahamana</t>
  </si>
  <si>
    <t>171-7471465-1834758</t>
  </si>
  <si>
    <t>T1sQf5Hv9</t>
  </si>
  <si>
    <t>DkgPzMNZc802R</t>
  </si>
  <si>
    <t>2026-07-18T16:43:15+05:30</t>
  </si>
  <si>
    <t>2026-07-18T22:57:45+05:30</t>
  </si>
  <si>
    <t>2026-07-19T01:57:56+05:30</t>
  </si>
  <si>
    <t>g0x0bsr02v073j2@marketplace.amazon.in</t>
  </si>
  <si>
    <t>402-0553694-9836325</t>
  </si>
  <si>
    <t>TG2dffln9</t>
  </si>
  <si>
    <t>D070VBN6c703R</t>
  </si>
  <si>
    <t>2026-07-17T23:26:50+05:30</t>
  </si>
  <si>
    <t>2026-07-18T22:33:52+05:30</t>
  </si>
  <si>
    <t>2026-07-19T01:34:16+05:30</t>
  </si>
  <si>
    <t>l4h83fc4qkpf9x5@marketplace.amazon.in</t>
  </si>
  <si>
    <t>DyMMVnNjcJ0cR</t>
  </si>
  <si>
    <t>408-2211778-9072315</t>
  </si>
  <si>
    <t>TNnGcfcT9</t>
  </si>
  <si>
    <t>DJjg2nNYcM0kR</t>
  </si>
  <si>
    <t>2026-07-18T18:39:14+05:30</t>
  </si>
  <si>
    <t>2026-07-18T22:25:45+05:30</t>
  </si>
  <si>
    <t>2026-07-19T01:25:58+05:30</t>
  </si>
  <si>
    <t>lz9822gq0h2s0gk@marketplace.amazon.in</t>
  </si>
  <si>
    <t>404-0498119-3277941</t>
  </si>
  <si>
    <t>TnPsWgHv9</t>
  </si>
  <si>
    <t>DN402TNXc50HR</t>
  </si>
  <si>
    <t>2026-07-18T14:28:07+05:30</t>
  </si>
  <si>
    <t>2026-07-18T22:24:45+05:30</t>
  </si>
  <si>
    <t>2026-07-18T22:24:47+05:30</t>
  </si>
  <si>
    <t>2026-07-18T23:24:59+05:30</t>
  </si>
  <si>
    <t>5smnmzmydcjvjlk@marketplace.amazon.in</t>
  </si>
  <si>
    <t>405-2238740-5530712</t>
  </si>
  <si>
    <t>T6y5LNcv9</t>
  </si>
  <si>
    <t>DrcD2sNCcq0cR</t>
  </si>
  <si>
    <t>2026-07-18T19:30:22+05:30</t>
  </si>
  <si>
    <t>2026-07-18T22:16:46+05:30</t>
  </si>
  <si>
    <t>2026-07-19T01:16:59+05:30</t>
  </si>
  <si>
    <t>wwgm88yl88dfswt@marketplace.amazon.in</t>
  </si>
  <si>
    <t>405-8866513-8009130</t>
  </si>
  <si>
    <t>TGBxFKcP9</t>
  </si>
  <si>
    <t>Dsfy2vNrc60GR</t>
  </si>
  <si>
    <t>2026-07-18T15:38:47+05:30</t>
  </si>
  <si>
    <t>2026-07-18T22:15:42+05:30</t>
  </si>
  <si>
    <t>2026-07-19T01:15:54+05:30</t>
  </si>
  <si>
    <t>vwc56hsfvhjqq8w@marketplace.amazon.in</t>
  </si>
  <si>
    <t>408-3604776-2157910</t>
  </si>
  <si>
    <t>Tcmh2ZcC9</t>
  </si>
  <si>
    <t>DbSVFrNvc503R</t>
  </si>
  <si>
    <t>2026-07-18T18:42:10+05:30</t>
  </si>
  <si>
    <t>2026-07-18T22:09:42+05:30</t>
  </si>
  <si>
    <t>2026-07-18T22:09:44+05:30</t>
  </si>
  <si>
    <t>2026-07-18T23:09:55+05:30</t>
  </si>
  <si>
    <t>nxzl29b13pyf7bf@marketplace.amazon.in</t>
  </si>
  <si>
    <t>RAMAGUNDAM</t>
  </si>
  <si>
    <t>405-4093768-1181949</t>
  </si>
  <si>
    <t>T1PLdlHC9</t>
  </si>
  <si>
    <t>DqSTF7N8cN03R</t>
  </si>
  <si>
    <t>2026-07-18T10:42:59+05:30</t>
  </si>
  <si>
    <t>2026-07-18T22:04:45+05:30</t>
  </si>
  <si>
    <t>2026-07-19T01:04:56+05:30</t>
  </si>
  <si>
    <t>2sr1hhfh6mvwfjb@marketplace.amazon.in</t>
  </si>
  <si>
    <t>KANCHEEPURAM</t>
  </si>
  <si>
    <t>402-0057645-3922756</t>
  </si>
  <si>
    <t>T1hY6QHL9</t>
  </si>
  <si>
    <t>D2VhFNNTc80wR</t>
  </si>
  <si>
    <t>2026-07-18T12:29:15+05:30</t>
  </si>
  <si>
    <t>2026-07-18T22:03:45+05:30</t>
  </si>
  <si>
    <t>2026-07-19T01:03:57+05:30</t>
  </si>
  <si>
    <t>2g7fdtzsbw39w76@marketplace.amazon.in</t>
  </si>
  <si>
    <t>408-6672655-0090761</t>
  </si>
  <si>
    <t>T6KQHqcd9</t>
  </si>
  <si>
    <t>DqVxFyN4c80wR</t>
  </si>
  <si>
    <t>2026-07-18T16:25:16+05:30</t>
  </si>
  <si>
    <t>2026-07-18T21:57:44+05:30</t>
  </si>
  <si>
    <t>2026-07-19T00:57:58+05:30</t>
  </si>
  <si>
    <t>l3xhdxv131glmf4@marketplace.amazon.in</t>
  </si>
  <si>
    <t>405-3220637-6671544</t>
  </si>
  <si>
    <t>Tn02WxHd9</t>
  </si>
  <si>
    <t>DF0SFpNDcw0NR</t>
  </si>
  <si>
    <t>2026-07-18T12:37:41+05:30</t>
  </si>
  <si>
    <t>2026-07-18T21:57:43+05:30</t>
  </si>
  <si>
    <t>2026-07-19T00:57:55+05:30</t>
  </si>
  <si>
    <t>wkb9hfdj2407gcm@marketplace.amazon.in</t>
  </si>
  <si>
    <t>407-1018610-2053945</t>
  </si>
  <si>
    <t>TVNQccc89</t>
  </si>
  <si>
    <t>D9k8DYNFc20GR</t>
  </si>
  <si>
    <t>2026-07-18T18:37:58+05:30</t>
  </si>
  <si>
    <t>2026-07-18T21:46:45+05:30</t>
  </si>
  <si>
    <t>2026-07-19T00:46:59+05:30</t>
  </si>
  <si>
    <t>13r137d2xsnn19v@marketplace.amazon.in</t>
  </si>
  <si>
    <t>402-7812994-2702737</t>
  </si>
  <si>
    <t>TgzhgwHZ9</t>
  </si>
  <si>
    <t>D2BxD1NMcF0bR</t>
  </si>
  <si>
    <t>2026-07-18T14:30:08+05:30</t>
  </si>
  <si>
    <t>2026-07-18T21:41:47+05:30</t>
  </si>
  <si>
    <t>2026-07-19T00:42:00+05:30</t>
  </si>
  <si>
    <t>8hkcc8jl0btjrzn@marketplace.amazon.in</t>
  </si>
  <si>
    <t>405-4311335-0110731</t>
  </si>
  <si>
    <t>T6zCV6c39</t>
  </si>
  <si>
    <t>D6XrY8Nkc30sR</t>
  </si>
  <si>
    <t>2026-07-18T19:03:15+05:30</t>
  </si>
  <si>
    <t>2026-07-18T21:32:44+05:30</t>
  </si>
  <si>
    <t>2026-07-19T00:32:58+05:30</t>
  </si>
  <si>
    <t>wl4fx22lgzp55nz@marketplace.amazon.in</t>
  </si>
  <si>
    <t>403-6345531-7580309</t>
  </si>
  <si>
    <t>Crasome Dust &amp; Water Proof Printer Cover for Canon Pixma E470 / E477 (Grey)</t>
  </si>
  <si>
    <t>T1f8JqcH9</t>
  </si>
  <si>
    <t>D94vY7N0c90LR</t>
  </si>
  <si>
    <t>2026-07-18T20:10:13+05:30</t>
  </si>
  <si>
    <t>2026-07-18T21:31:45+05:30</t>
  </si>
  <si>
    <t>2026-07-19T00:32:02+05:30</t>
  </si>
  <si>
    <t>mswx3t4zf5bdqs8@marketplace.amazon.in</t>
  </si>
  <si>
    <t>NASHIK</t>
  </si>
  <si>
    <t>402-7546669-0642731</t>
  </si>
  <si>
    <t>TcrSRBc09</t>
  </si>
  <si>
    <t>D2cGYmNGcl0lR</t>
  </si>
  <si>
    <t>2026-07-18T15:47:40+05:30</t>
  </si>
  <si>
    <t>2026-07-18T21:19:59+05:30</t>
  </si>
  <si>
    <t>2026-07-19T00:20:13+05:30</t>
  </si>
  <si>
    <t>9yhs2lhpn0m1752@marketplace.amazon.in</t>
  </si>
  <si>
    <t>402-0472939-7891540</t>
  </si>
  <si>
    <t>TgQcLzlj9</t>
  </si>
  <si>
    <t>DsL5YGNxcZ07R</t>
  </si>
  <si>
    <t>2026-07-17T18:55:27+05:30</t>
  </si>
  <si>
    <t>2026-07-18T21:19:48+05:30</t>
  </si>
  <si>
    <t>2026-07-19T00:20:01+05:30</t>
  </si>
  <si>
    <t>df94c0wpfwzjchf@marketplace.amazon.in</t>
  </si>
  <si>
    <t>DvL3YGNxcZ07R</t>
  </si>
  <si>
    <t>406-6311995-2884347</t>
  </si>
  <si>
    <t>TXltzDcp9</t>
  </si>
  <si>
    <t>D6rtyBNFc70GR</t>
  </si>
  <si>
    <t>2026-07-18T17:41:15+05:30</t>
  </si>
  <si>
    <t>2026-07-18T20:59:44+05:30</t>
  </si>
  <si>
    <t>2026-07-18T23:59:56+05:30</t>
  </si>
  <si>
    <t>jxl930vm29mbrvv@marketplace.amazon.in</t>
  </si>
  <si>
    <t>KURSEONG</t>
  </si>
  <si>
    <t>406-4664809-9620311</t>
  </si>
  <si>
    <t>T3TqdzHN9</t>
  </si>
  <si>
    <t>Ddx2wbNzc50SR</t>
  </si>
  <si>
    <t>2026-07-18T11:13:13+05:30</t>
  </si>
  <si>
    <t>2026-07-18T20:45:45+05:30</t>
  </si>
  <si>
    <t>2026-07-18T23:46:00+05:30</t>
  </si>
  <si>
    <t>407-0205203-2097124</t>
  </si>
  <si>
    <t>T6cVV4lT9</t>
  </si>
  <si>
    <t>DLCnBdNdcH0kR</t>
  </si>
  <si>
    <t>2026-07-17T19:35:46+05:30</t>
  </si>
  <si>
    <t>2026-07-18T20:31:41+05:30</t>
  </si>
  <si>
    <t>2026-07-18T23:31:52+05:30</t>
  </si>
  <si>
    <t>d24c5rdvkmgzzzj@marketplace.amazon.in</t>
  </si>
  <si>
    <t>DUNGARPUR</t>
  </si>
  <si>
    <t>406-5746129-5369114</t>
  </si>
  <si>
    <t>TGjNm2H39</t>
  </si>
  <si>
    <t>DlLDBtNPcS0nR</t>
  </si>
  <si>
    <t>2026-07-18T13:37:10+05:30</t>
  </si>
  <si>
    <t>2026-07-18T20:28:43+05:30</t>
  </si>
  <si>
    <t>2026-07-18T20:28:45+05:30</t>
  </si>
  <si>
    <t>2026-07-18T21:28:59+05:30</t>
  </si>
  <si>
    <t>37wxmjmzrmlm9t7@marketplace.amazon.in</t>
  </si>
  <si>
    <t>407-5000118-1523528</t>
  </si>
  <si>
    <t>TXFt83H39</t>
  </si>
  <si>
    <t>Dtkl9VNzcb0ZR</t>
  </si>
  <si>
    <t>2026-07-18T14:06:43+05:30</t>
  </si>
  <si>
    <t>2026-07-18T20:25:46+05:30</t>
  </si>
  <si>
    <t>2026-07-18T23:25:59+05:30</t>
  </si>
  <si>
    <t>4dhcwwwf4s6sk1w@marketplace.amazon.in</t>
  </si>
  <si>
    <t>406-2636783-4433958</t>
  </si>
  <si>
    <t>TJ5nP5Hy9</t>
  </si>
  <si>
    <t>DCqBByNycN0lR</t>
  </si>
  <si>
    <t>2026-07-18T11:18:44+05:30</t>
  </si>
  <si>
    <t>2026-07-18T20:23:43+05:30</t>
  </si>
  <si>
    <t>2026-07-18T20:23:47+05:30</t>
  </si>
  <si>
    <t>2026-07-18T21:23:58+05:30</t>
  </si>
  <si>
    <t>171-1933042-4108359</t>
  </si>
  <si>
    <t>TGkNDccp9</t>
  </si>
  <si>
    <t>Dxd19lN3c80TR</t>
  </si>
  <si>
    <t>2026-07-18T17:22:44+05:30</t>
  </si>
  <si>
    <t>2026-07-18T20:13:48+05:30</t>
  </si>
  <si>
    <t>2026-07-18T23:14:01+05:30</t>
  </si>
  <si>
    <t>t4b792p2ywb6h0l@marketplace.amazon.in</t>
  </si>
  <si>
    <t>406-1400141-7432332</t>
  </si>
  <si>
    <t>TGZdvGcg9</t>
  </si>
  <si>
    <t>D58v4DNxcs09R</t>
  </si>
  <si>
    <t>2026-07-18T17:37:50+05:30</t>
  </si>
  <si>
    <t>2026-07-18T20:06:47+05:30</t>
  </si>
  <si>
    <t>2026-07-18T23:06:59+05:30</t>
  </si>
  <si>
    <t>hng5cwp8684519g@marketplace.amazon.in</t>
  </si>
  <si>
    <t>171-1200598-7573111</t>
  </si>
  <si>
    <t>T6T35hCM9</t>
  </si>
  <si>
    <t>DMS34ZNTcj0bR</t>
  </si>
  <si>
    <t>2026-07-16T23:23:52+05:30</t>
  </si>
  <si>
    <t>2026-07-18T20:03:44+05:30</t>
  </si>
  <si>
    <t>2026-07-18T23:03:56+05:30</t>
  </si>
  <si>
    <t>jg300w0fqwfy3tq@marketplace.amazon.in</t>
  </si>
  <si>
    <t>D98f45Nkc40HR</t>
  </si>
  <si>
    <t>408-8520753-6011569</t>
  </si>
  <si>
    <t>Tw4bSvHx9</t>
  </si>
  <si>
    <t>Dj7l46NbcJ0FR</t>
  </si>
  <si>
    <t>2026-07-18T13:06:38+05:30</t>
  </si>
  <si>
    <t>2026-07-18T20:02:58+05:30</t>
  </si>
  <si>
    <t>2026-07-18T23:03:20+05:30</t>
  </si>
  <si>
    <t>34hljdvzrthb8w0@marketplace.amazon.in</t>
  </si>
  <si>
    <t>403-2795191-3397903</t>
  </si>
  <si>
    <t>Twg4hCHk9</t>
  </si>
  <si>
    <t>Dflj4zN9c608R</t>
  </si>
  <si>
    <t>2026-07-18T15:48:35+05:30</t>
  </si>
  <si>
    <t>2026-07-18T19:56:42+05:30</t>
  </si>
  <si>
    <t>2026-07-18T19:56:45+05:30</t>
  </si>
  <si>
    <t>2026-07-18T20:56:57+05:30</t>
  </si>
  <si>
    <t>n2bl99sykgz2d1l@marketplace.amazon.in</t>
  </si>
  <si>
    <t>405-4372283-1263527</t>
  </si>
  <si>
    <t>TJMV40ck9</t>
  </si>
  <si>
    <t>DgLr4fN2cG0lR</t>
  </si>
  <si>
    <t>2026-07-18T16:58:00+05:30</t>
  </si>
  <si>
    <t>2026-07-18T19:52:45+05:30</t>
  </si>
  <si>
    <t>2026-07-18T22:52:56+05:30</t>
  </si>
  <si>
    <t>800z70kr9txb5cb@marketplace.amazon.in</t>
  </si>
  <si>
    <t>403-3832528-4991562</t>
  </si>
  <si>
    <t>T3zxpsYt9</t>
  </si>
  <si>
    <t>DR2vktNccx0gR</t>
  </si>
  <si>
    <t>2026-07-17T12:02:35+05:30</t>
  </si>
  <si>
    <t>2026-07-18T19:11:40+05:30</t>
  </si>
  <si>
    <t>2026-07-18T19:11:45+05:30</t>
  </si>
  <si>
    <t>2026-07-18T20:11:56+05:30</t>
  </si>
  <si>
    <t>rykktq4hkkdxmry@marketplace.amazon.in</t>
  </si>
  <si>
    <t>SHORANUR</t>
  </si>
  <si>
    <t>403-1842068-2062743</t>
  </si>
  <si>
    <t>TCrn5JHG9</t>
  </si>
  <si>
    <t>DKd1kdNbcW0pR</t>
  </si>
  <si>
    <t>2026-07-18T14:34:58+05:30</t>
  </si>
  <si>
    <t>2026-07-18T19:05:41+05:30</t>
  </si>
  <si>
    <t>2026-07-18T19:05:43+05:30</t>
  </si>
  <si>
    <t>2026-07-18T20:05:54+05:30</t>
  </si>
  <si>
    <t>zrz9fyxlg4f320w@marketplace.amazon.in</t>
  </si>
  <si>
    <t>406-6314177-3401112</t>
  </si>
  <si>
    <t>T67YSdHt9</t>
  </si>
  <si>
    <t>DKw9NjNXcv0gR</t>
  </si>
  <si>
    <t>2026-07-18T14:00:50+05:30</t>
  </si>
  <si>
    <t>2026-07-18T18:57:53+05:30</t>
  </si>
  <si>
    <t>2026-07-18T21:58:15+05:30</t>
  </si>
  <si>
    <t>p55v6gjmpm1hhpn@marketplace.amazon.in</t>
  </si>
  <si>
    <t>406-8496157-5691520</t>
  </si>
  <si>
    <t>TGNK7KH19</t>
  </si>
  <si>
    <t>DkWHNFNMcF0MR</t>
  </si>
  <si>
    <t>2026-07-18T08:52:02+05:30</t>
  </si>
  <si>
    <t>2026-07-18T18:53:46+05:30</t>
  </si>
  <si>
    <t>2026-07-18T21:53:58+05:30</t>
  </si>
  <si>
    <t>f35s1bm3vmyh9yv@marketplace.amazon.in</t>
  </si>
  <si>
    <t>408-2559207-6697107</t>
  </si>
  <si>
    <t>TN9MmvHX9</t>
  </si>
  <si>
    <t>DyqwRLNnc108R</t>
  </si>
  <si>
    <t>2026-07-18T12:31:37+05:30</t>
  </si>
  <si>
    <t>2026-07-18T18:29:43+05:30</t>
  </si>
  <si>
    <t>2026-07-18T21:29:54+05:30</t>
  </si>
  <si>
    <t>403-4878690-3571532</t>
  </si>
  <si>
    <t>TCj6X2lM9</t>
  </si>
  <si>
    <t>D55RhC4Wcj0wR</t>
  </si>
  <si>
    <t>2026-07-17T23:00:02+05:30</t>
  </si>
  <si>
    <t>2026-07-18T18:23:45+05:30</t>
  </si>
  <si>
    <t>2026-07-18T18:23:49+05:30</t>
  </si>
  <si>
    <t>2026-07-18T19:24:05+05:30</t>
  </si>
  <si>
    <t>t06znrq0m3m5s4b@marketplace.amazon.in</t>
  </si>
  <si>
    <t>Crasome Dust &amp; Water Proof Printer Cover for Canon Pixma G2770 / G3770 (Black)</t>
  </si>
  <si>
    <t>406-8149149-1593169</t>
  </si>
  <si>
    <t>Tchg6sHk9</t>
  </si>
  <si>
    <t>D2c0h94BcL0RR</t>
  </si>
  <si>
    <t>2026-07-18T12:17:35+05:30</t>
  </si>
  <si>
    <t>2026-07-18T18:18:46+05:30</t>
  </si>
  <si>
    <t>2026-07-18T21:19:02+05:30</t>
  </si>
  <si>
    <t>rgt2fx6sjdv7b05@marketplace.amazon.in</t>
  </si>
  <si>
    <t>403-0630248-1942700</t>
  </si>
  <si>
    <t>TJqkd9HB9</t>
  </si>
  <si>
    <t>D8hWhB4XcV02R</t>
  </si>
  <si>
    <t>2026-07-18T10:54:34+05:30</t>
  </si>
  <si>
    <t>2026-07-18T18:16:43+05:30</t>
  </si>
  <si>
    <t>2026-07-18T21:16:55+05:30</t>
  </si>
  <si>
    <t>g8qdnfzc4py9rhd@marketplace.amazon.in</t>
  </si>
  <si>
    <t>171-0842883-5995550</t>
  </si>
  <si>
    <t>TXY7MgHt9</t>
  </si>
  <si>
    <t>DqzKhg4pc20JR</t>
  </si>
  <si>
    <t>2026-07-18T10:08:48+05:30</t>
  </si>
  <si>
    <t>2026-07-18T18:13:42+05:30</t>
  </si>
  <si>
    <t>2026-07-18T21:13:53+05:30</t>
  </si>
  <si>
    <t>97r2dhn0fj4yz49@marketplace.amazon.in</t>
  </si>
  <si>
    <t>KALAMASSERY</t>
  </si>
  <si>
    <t>405-8877572-1838721</t>
  </si>
  <si>
    <t>TNGMTsHk9</t>
  </si>
  <si>
    <t>DTDWf74gcf09R</t>
  </si>
  <si>
    <t>2026-07-18T12:34:12+05:30</t>
  </si>
  <si>
    <t>2026-07-18T18:05:44+05:30</t>
  </si>
  <si>
    <t>2026-07-18T21:05:56+05:30</t>
  </si>
  <si>
    <t>0k8jf1d1q1kn5rm@marketplace.amazon.in</t>
  </si>
  <si>
    <t>406-0897278-7558732</t>
  </si>
  <si>
    <t>TcybZ0H69</t>
  </si>
  <si>
    <t>DF3fft49c707R</t>
  </si>
  <si>
    <t>2026-07-18T14:57:02+05:30</t>
  </si>
  <si>
    <t>2026-07-18T18:04:39+05:30</t>
  </si>
  <si>
    <t>2026-07-18T21:04:51+05:30</t>
  </si>
  <si>
    <t>5nwbvrnjv04f14h@marketplace.amazon.in</t>
  </si>
  <si>
    <t>404-0745522-3246755</t>
  </si>
  <si>
    <t>TgmcWWHl9</t>
  </si>
  <si>
    <t>DfLyfZ4Nc10lR</t>
  </si>
  <si>
    <t>2026-07-18T12:55:48+05:30</t>
  </si>
  <si>
    <t>2026-07-18T17:56:39+05:30</t>
  </si>
  <si>
    <t>2026-07-18T17:56:42+05:30</t>
  </si>
  <si>
    <t>2026-07-18T18:56:52+05:30</t>
  </si>
  <si>
    <t>405-0625661-7184356</t>
  </si>
  <si>
    <t>TN8HfwHk9</t>
  </si>
  <si>
    <t>DlMdjl40cR0YR</t>
  </si>
  <si>
    <t>2026-07-18T15:01:26+05:30</t>
  </si>
  <si>
    <t>2026-07-18T17:49:45+05:30</t>
  </si>
  <si>
    <t>2026-07-18T20:49:57+05:30</t>
  </si>
  <si>
    <t>wfmdh0qgmytz1r8@marketplace.amazon.in</t>
  </si>
  <si>
    <t>406-9960469-8644309</t>
  </si>
  <si>
    <t>TNWPf4H99</t>
  </si>
  <si>
    <t>D1MBj04FcR0YR</t>
  </si>
  <si>
    <t>2026-07-18T15:01:49+05:30</t>
  </si>
  <si>
    <t>2026-07-18T17:41:50+05:30</t>
  </si>
  <si>
    <t>2026-07-18T20:42:05+05:30</t>
  </si>
  <si>
    <t>frksj1tf7j67w29@marketplace.amazon.in</t>
  </si>
  <si>
    <t>UDUPI</t>
  </si>
  <si>
    <t>402-2413163-3925102</t>
  </si>
  <si>
    <t>TclBjJH29</t>
  </si>
  <si>
    <t>DzhyjG4XcJ0BR</t>
  </si>
  <si>
    <t>2026-07-18T15:34:30+05:30</t>
  </si>
  <si>
    <t>2026-07-18T17:40:52+05:30</t>
  </si>
  <si>
    <t>2026-07-18T20:41:04+05:30</t>
  </si>
  <si>
    <t>wljmrsfccqs5l0l@marketplace.amazon.in</t>
  </si>
  <si>
    <t>408-3527564-6888363</t>
  </si>
  <si>
    <t>TVJM8kHD9</t>
  </si>
  <si>
    <t>DnY9ZZ4lcF0pR</t>
  </si>
  <si>
    <t>2026-07-18T10:37:18+05:30</t>
  </si>
  <si>
    <t>2026-07-18T17:24:44+05:30</t>
  </si>
  <si>
    <t>2026-07-18T20:24:59+05:30</t>
  </si>
  <si>
    <t>qgm19fx4gl0dpq9@marketplace.amazon.in</t>
  </si>
  <si>
    <t>404-2877138-1637955</t>
  </si>
  <si>
    <t>TJLLFzH99</t>
  </si>
  <si>
    <t>D3zwZZ4zcY02R</t>
  </si>
  <si>
    <t>2026-07-18T06:54:02+05:30</t>
  </si>
  <si>
    <t>2026-07-18T17:23:44+05:30</t>
  </si>
  <si>
    <t>2026-07-18T20:23:57+05:30</t>
  </si>
  <si>
    <t>yvmv514r37lfkqd@marketplace.amazon.in</t>
  </si>
  <si>
    <t>HINDUPUR</t>
  </si>
  <si>
    <t>405-1293081-1185115</t>
  </si>
  <si>
    <t>T1jwh8HZ9</t>
  </si>
  <si>
    <t>DcTKqy4ZcY0NR</t>
  </si>
  <si>
    <t>2026-07-18T16:03:11+05:30</t>
  </si>
  <si>
    <t>2026-07-18T17:06:42+05:30</t>
  </si>
  <si>
    <t>2026-07-18T17:06:44+05:30</t>
  </si>
  <si>
    <t>2026-07-18T18:06:55+05:30</t>
  </si>
  <si>
    <t>ljtvbx9pt0rs9d7@marketplace.amazon.in</t>
  </si>
  <si>
    <t>404-8554265-9423561</t>
  </si>
  <si>
    <t>TgPq0THp9</t>
  </si>
  <si>
    <t>DKsKqc4rc60bR</t>
  </si>
  <si>
    <t>2026-07-18T14:26:28+05:30</t>
  </si>
  <si>
    <t>2026-07-18T17:04:47+05:30</t>
  </si>
  <si>
    <t>2026-07-18T20:04:59+05:30</t>
  </si>
  <si>
    <t>kr6k1wdj6dnq0fl@marketplace.amazon.in</t>
  </si>
  <si>
    <t>405-8188943-0077908</t>
  </si>
  <si>
    <t>T1prSQHM9</t>
  </si>
  <si>
    <t>DPKz5T4Wc10TR</t>
  </si>
  <si>
    <t>2026-07-18T13:25:24+05:30</t>
  </si>
  <si>
    <t>2026-07-18T16:59:45+05:30</t>
  </si>
  <si>
    <t>2026-07-18T19:59:57+05:30</t>
  </si>
  <si>
    <t>d2kx85k9xhb1psc@marketplace.amazon.in</t>
  </si>
  <si>
    <t>NTPC KANIHA TOWNSHIP</t>
  </si>
  <si>
    <t>405-1939114-4629162</t>
  </si>
  <si>
    <t>TwHJRsCj9</t>
  </si>
  <si>
    <t>DBWw544ycT0JR</t>
  </si>
  <si>
    <t>2026-07-15T20:50:43+05:30</t>
  </si>
  <si>
    <t>2026-07-18T16:50:49+05:30</t>
  </si>
  <si>
    <t>2026-07-18T19:51:02+05:30</t>
  </si>
  <si>
    <t>1zmfxvwjltfb0r8@marketplace.amazon.in</t>
  </si>
  <si>
    <t>407-6318821-9313116</t>
  </si>
  <si>
    <t>TCLFrtHf9</t>
  </si>
  <si>
    <t>DCQY5H4rct0CR</t>
  </si>
  <si>
    <t>2026-07-18T08:25:40+05:30</t>
  </si>
  <si>
    <t>2026-07-18T16:47:40+05:30</t>
  </si>
  <si>
    <t>2026-07-18T16:47:42+05:30</t>
  </si>
  <si>
    <t>2026-07-18T17:47:54+05:30</t>
  </si>
  <si>
    <t>7vtplr5zdg48ml0@marketplace.amazon.in</t>
  </si>
  <si>
    <t>403-7645451-4537147</t>
  </si>
  <si>
    <t>TGPh0pHh9</t>
  </si>
  <si>
    <t>DKGN5z4scl0DR</t>
  </si>
  <si>
    <t>2026-07-18T14:35:18+05:30</t>
  </si>
  <si>
    <t>2026-07-18T16:43:43+05:30</t>
  </si>
  <si>
    <t>2026-07-18T19:43:55+05:30</t>
  </si>
  <si>
    <t>v0vqh2yg0d616t4@marketplace.amazon.in</t>
  </si>
  <si>
    <t>Crasome Dust &amp; Water Proof Printer Cover for Canon Pixma G2770 / G3770 (Grey)</t>
  </si>
  <si>
    <t>406-5854673-8815544</t>
  </si>
  <si>
    <t>T130GJH29</t>
  </si>
  <si>
    <t>DS8JgN4bct0RR</t>
  </si>
  <si>
    <t>2026-07-18T11:08:45+05:30</t>
  </si>
  <si>
    <t>2026-07-18T16:42:45+05:30</t>
  </si>
  <si>
    <t>2026-07-18T19:43:03+05:30</t>
  </si>
  <si>
    <t>gz7w13pzc3fb6v8@marketplace.amazon.in</t>
  </si>
  <si>
    <t>406-9742839-8870705</t>
  </si>
  <si>
    <t>TwcllTHc9</t>
  </si>
  <si>
    <t>DBhXgd4jcW0WR</t>
  </si>
  <si>
    <t>2026-07-18T11:57:30+05:30</t>
  </si>
  <si>
    <t>2026-07-18T16:30:49+05:30</t>
  </si>
  <si>
    <t>2026-07-18T19:31:03+05:30</t>
  </si>
  <si>
    <t>hx9gnsd8h53k0dk@marketplace.amazon.in</t>
  </si>
  <si>
    <t>404-7669244-8467504</t>
  </si>
  <si>
    <t>TNTmTN0k9</t>
  </si>
  <si>
    <t>D68L8N4fcG04R</t>
  </si>
  <si>
    <t>2026-07-15T23:51:03+05:30</t>
  </si>
  <si>
    <t>2026-07-18T16:18:51+05:30</t>
  </si>
  <si>
    <t>2026-07-18T16:18:56+05:30</t>
  </si>
  <si>
    <t>2026-07-18T17:19:09+05:30</t>
  </si>
  <si>
    <t>cyw046bs50g9drg@marketplace.amazon.in</t>
  </si>
  <si>
    <t>Theni</t>
  </si>
  <si>
    <t>405-2810277-7193901</t>
  </si>
  <si>
    <t>TwY14XKd4</t>
  </si>
  <si>
    <t>DS1gXX4Vc40WR</t>
  </si>
  <si>
    <t>2026-07-09T22:52:47+05:30</t>
  </si>
  <si>
    <t>2026-07-18T16:00:47+05:30</t>
  </si>
  <si>
    <t>2026-07-18T19:00:59+05:30</t>
  </si>
  <si>
    <t>w7djps845yl68x2@marketplace.amazon.in</t>
  </si>
  <si>
    <t>406-6062477-5056338</t>
  </si>
  <si>
    <t>TcKJ11HK9</t>
  </si>
  <si>
    <t>DGhSXf4zcg05R</t>
  </si>
  <si>
    <t>2026-07-18T09:44:33+05:30</t>
  </si>
  <si>
    <t>2026-07-18T15:54:49+05:30</t>
  </si>
  <si>
    <t>2026-07-18T18:55:06+05:30</t>
  </si>
  <si>
    <t>t0dn9h1tm8r0gxm@marketplace.amazon.in</t>
  </si>
  <si>
    <t>D6d3XQ4lc30mR</t>
  </si>
  <si>
    <t>403-8397117-0317110</t>
  </si>
  <si>
    <t>TV0wzmHG9</t>
  </si>
  <si>
    <t>D7HdXP4tcB0DR</t>
  </si>
  <si>
    <t>2026-07-17T20:06:21+05:30</t>
  </si>
  <si>
    <t>2026-07-18T18:55:05+05:30</t>
  </si>
  <si>
    <t>xfk8djg58cthz7v@marketplace.amazon.in</t>
  </si>
  <si>
    <t>403-2750178-4281110</t>
  </si>
  <si>
    <t>TgXTrXHD9</t>
  </si>
  <si>
    <t>DtqjXF45cd0hR</t>
  </si>
  <si>
    <t>2026-07-18T09:04:54+05:30</t>
  </si>
  <si>
    <t>2026-07-18T15:52:47+05:30</t>
  </si>
  <si>
    <t>2026-07-18T18:52:59+05:30</t>
  </si>
  <si>
    <t>cq7qb7n4qn68hnc@marketplace.amazon.in</t>
  </si>
  <si>
    <t>405-7582287-1286730</t>
  </si>
  <si>
    <t>TN7wQfYS9</t>
  </si>
  <si>
    <t>D6qDXF4Lcd0hR</t>
  </si>
  <si>
    <t>2026-07-16T20:13:13+05:30</t>
  </si>
  <si>
    <t>2026-07-18T15:48:42+05:30</t>
  </si>
  <si>
    <t>2026-07-18T18:48:55+05:30</t>
  </si>
  <si>
    <t>50kqgdhbwl7y3vl@marketplace.amazon.in</t>
  </si>
  <si>
    <t>GOREGAON</t>
  </si>
  <si>
    <t>406-6851168-1577964</t>
  </si>
  <si>
    <t>TJ0ntmHp9</t>
  </si>
  <si>
    <t>DTcHCt4WcT0DR</t>
  </si>
  <si>
    <t>2026-07-18T12:05:18+05:30</t>
  </si>
  <si>
    <t>2026-07-18T15:43:41+05:30</t>
  </si>
  <si>
    <t>2026-07-18T18:43:55+05:30</t>
  </si>
  <si>
    <t>r4jdmlfkdbpn6yt@marketplace.amazon.in</t>
  </si>
  <si>
    <t>DrclCb4WcT0DR</t>
  </si>
  <si>
    <t>408-5881108-1352355</t>
  </si>
  <si>
    <t>TcCxg9lk9</t>
  </si>
  <si>
    <t>DF1SK34fcV0RR</t>
  </si>
  <si>
    <t>2026-07-17T21:54:21+05:30</t>
  </si>
  <si>
    <t>2026-07-18T14:52:45+05:30</t>
  </si>
  <si>
    <t>2026-07-18T17:52:59+05:30</t>
  </si>
  <si>
    <t>jvj8vy1k4vmtvlf@marketplace.amazon.in</t>
  </si>
  <si>
    <t>404-3420124-2515543</t>
  </si>
  <si>
    <t>TCxWpyHy9</t>
  </si>
  <si>
    <t>D4ByKN4ZcD0gR</t>
  </si>
  <si>
    <t>2026-07-18T13:38:53+05:30</t>
  </si>
  <si>
    <t>2026-07-18T14:50:42+05:30</t>
  </si>
  <si>
    <t>2026-07-18T17:50:53+05:30</t>
  </si>
  <si>
    <t>p7mb9m3hk7l8nk6@marketplace.amazon.in</t>
  </si>
  <si>
    <t>405-3214476-6814753</t>
  </si>
  <si>
    <t>Tg14PgHc9</t>
  </si>
  <si>
    <t>DtwVmZ4Qch0hR</t>
  </si>
  <si>
    <t>2026-07-18T11:22:03+05:30</t>
  </si>
  <si>
    <t>2026-07-18T14:33:44+05:30</t>
  </si>
  <si>
    <t>2026-07-18T14:33:47+05:30</t>
  </si>
  <si>
    <t>2026-07-18T15:34:02+05:30</t>
  </si>
  <si>
    <t>v7jhd1njrw3drc1@marketplace.amazon.in</t>
  </si>
  <si>
    <t>406-9429142-8791527</t>
  </si>
  <si>
    <t>TN8C3pHJ9</t>
  </si>
  <si>
    <t>DkY4l54ych0bR</t>
  </si>
  <si>
    <t>2026-07-18T11:51:51+05:30</t>
  </si>
  <si>
    <t>2026-07-18T14:12:49+05:30</t>
  </si>
  <si>
    <t>2026-07-18T17:13:08+05:30</t>
  </si>
  <si>
    <t>ngpyv0dbt1hrv9x@marketplace.amazon.in</t>
  </si>
  <si>
    <t>404-6532198-5943509</t>
  </si>
  <si>
    <t>TnV2pslj9</t>
  </si>
  <si>
    <t>DpHG0n4lcd0cR</t>
  </si>
  <si>
    <t>2026-07-17T22:14:11+05:30</t>
  </si>
  <si>
    <t>2026-07-18T13:57:48+05:30</t>
  </si>
  <si>
    <t>Canon TS207 - Grey</t>
  </si>
  <si>
    <t>2026-07-18T16:58:03+05:30</t>
  </si>
  <si>
    <t>Crasome Dust Proof Water-resistant Printer Cover for Canon Pixma TS207 (Grey)</t>
  </si>
  <si>
    <t>408-4867015-4005928</t>
  </si>
  <si>
    <t>TcJplWYT9</t>
  </si>
  <si>
    <t>DcLt094gcL0FR</t>
  </si>
  <si>
    <t>2026-07-17T11:41:44+05:30</t>
  </si>
  <si>
    <t>2026-07-18T13:53:45+05:30</t>
  </si>
  <si>
    <t>2026-07-18T13:53:48+05:30</t>
  </si>
  <si>
    <t>2026-07-18T14:53:59+05:30</t>
  </si>
  <si>
    <t>dwjpwchjjb8fpp8@marketplace.amazon.in</t>
  </si>
  <si>
    <t>402-6707122-2238764</t>
  </si>
  <si>
    <t>T39zJgHM9</t>
  </si>
  <si>
    <t>D6sG064jcF0CR</t>
  </si>
  <si>
    <t>2026-07-18T09:30:01+05:30</t>
  </si>
  <si>
    <t>2026-07-18T13:52:46+05:30</t>
  </si>
  <si>
    <t>2026-07-18T16:52:59+05:30</t>
  </si>
  <si>
    <t>b4k8r7c1trg2w9z@marketplace.amazon.in</t>
  </si>
  <si>
    <t>405-6728074-0423513</t>
  </si>
  <si>
    <t>TNCkd2HS9</t>
  </si>
  <si>
    <t>DHj56l4Bc80BR</t>
  </si>
  <si>
    <t>2026-07-18T11:31:01+05:30</t>
  </si>
  <si>
    <t>2026-07-18T13:35:46+05:30</t>
  </si>
  <si>
    <t>2026-07-18T16:36:07+05:30</t>
  </si>
  <si>
    <t>4vz93wzxcghthnq@marketplace.amazon.in</t>
  </si>
  <si>
    <t>2026-07-18T20:00:00+05:30</t>
  </si>
  <si>
    <t>403-7888302-7839551</t>
  </si>
  <si>
    <t>TJgZPYH59</t>
  </si>
  <si>
    <t>DWh96f4pcN0dR</t>
  </si>
  <si>
    <t>2026-07-18T10:39:14+05:30</t>
  </si>
  <si>
    <t>2026-07-18T13:27:55+05:30</t>
  </si>
  <si>
    <t>2026-07-18T16:28:09+05:30</t>
  </si>
  <si>
    <t>pqgn099zsf9pykx@marketplace.amazon.in</t>
  </si>
  <si>
    <t>408-7240212-9007520</t>
  </si>
  <si>
    <t>TX2dJ4lB9</t>
  </si>
  <si>
    <t>DRZq6n4gcr0LR</t>
  </si>
  <si>
    <t>2026-07-17T21:35:54+05:30</t>
  </si>
  <si>
    <t>2026-07-18T13:23:48+05:30</t>
  </si>
  <si>
    <t>2026-07-18T16:23:59+05:30</t>
  </si>
  <si>
    <t>93yfsbb7df3vbgk@marketplace.amazon.in</t>
  </si>
  <si>
    <t>ICHALKARANJI</t>
  </si>
  <si>
    <t>408-7235019-3323552</t>
  </si>
  <si>
    <t>T12VJ4lB9</t>
  </si>
  <si>
    <t>DlZV6p4gcr0LR</t>
  </si>
  <si>
    <t>2026-07-17T21:07:49+05:30</t>
  </si>
  <si>
    <t>2026-07-18T13:23:43+05:30</t>
  </si>
  <si>
    <t>2026-07-18T16:23:55+05:30</t>
  </si>
  <si>
    <t>406-6927799-8166767</t>
  </si>
  <si>
    <t>TXzXXKYr9</t>
  </si>
  <si>
    <t>DwNmdy45cq0DR</t>
  </si>
  <si>
    <t>2026-07-17T14:54:37+05:30</t>
  </si>
  <si>
    <t>2026-07-18T13:18:49+05:30</t>
  </si>
  <si>
    <t>2026-07-18T16:19:01+05:30</t>
  </si>
  <si>
    <t>2x3rhmvfx278cv5@marketplace.amazon.in</t>
  </si>
  <si>
    <t>171-2681789-0581125</t>
  </si>
  <si>
    <t>TgKNsCH59</t>
  </si>
  <si>
    <t>DhN0dn4Qcq0DR</t>
  </si>
  <si>
    <t>2026-07-18T10:02:19+05:30</t>
  </si>
  <si>
    <t>2026-07-18T13:13:42+05:30</t>
  </si>
  <si>
    <t>2026-07-18T16:13:55+05:30</t>
  </si>
  <si>
    <t>y8nvqyrwb35nqrh@marketplace.amazon.in</t>
  </si>
  <si>
    <t>407-5609874-2617156</t>
  </si>
  <si>
    <t>T1fY87lq9</t>
  </si>
  <si>
    <t>Dz0Jdy4ZcY0NR</t>
  </si>
  <si>
    <t>2026-07-17T23:01:37+05:30</t>
  </si>
  <si>
    <t>2026-07-18T13:07:46+05:30</t>
  </si>
  <si>
    <t>2026-07-18T16:08:02+05:30</t>
  </si>
  <si>
    <t>shb85x98glbw131@marketplace.amazon.in</t>
  </si>
  <si>
    <t>SATHYAMANGALAM</t>
  </si>
  <si>
    <t>402-0063280-6345965</t>
  </si>
  <si>
    <t>TJHGMVH29</t>
  </si>
  <si>
    <t>Dx9KdV4Lc80tR</t>
  </si>
  <si>
    <t>2026-07-18T10:22:45+05:30</t>
  </si>
  <si>
    <t>2026-07-18T13:05:43+05:30</t>
  </si>
  <si>
    <t>2026-07-18T16:05:56+05:30</t>
  </si>
  <si>
    <t>fkr05zk44fz3vx9@marketplace.amazon.in</t>
  </si>
  <si>
    <t>403-3036527-0131518</t>
  </si>
  <si>
    <t>TXVxykHt9</t>
  </si>
  <si>
    <t>DvYmdd4bcn0GR</t>
  </si>
  <si>
    <t>2026-07-18T02:18:44+05:30</t>
  </si>
  <si>
    <t>2026-07-18T13:03:51+05:30</t>
  </si>
  <si>
    <t>2026-07-18T13:03:53+05:30</t>
  </si>
  <si>
    <t>2026-07-18T14:04:08+05:30</t>
  </si>
  <si>
    <t>xl6gd3n9hvyj1vq@marketplace.amazon.in</t>
  </si>
  <si>
    <t>403-6178977-1498766</t>
  </si>
  <si>
    <t>Tgtt8NlF9</t>
  </si>
  <si>
    <t>DL34G54Jcf0mR</t>
  </si>
  <si>
    <t>2026-07-17T21:49:24+05:30</t>
  </si>
  <si>
    <t>2026-07-18T12:55:45+05:30</t>
  </si>
  <si>
    <t>2026-07-18T15:55:55+05:30</t>
  </si>
  <si>
    <t>0bh0v4zx5skjx53@marketplace.amazon.in</t>
  </si>
  <si>
    <t>FARIDKOT</t>
  </si>
  <si>
    <t>405-0248096-2069100</t>
  </si>
  <si>
    <t>TVcQMWHV9</t>
  </si>
  <si>
    <t>DqhCtt44cm0fR</t>
  </si>
  <si>
    <t>2026-07-18T10:13:59+05:30</t>
  </si>
  <si>
    <t>2026-07-18T12:38:40+05:30</t>
  </si>
  <si>
    <t>2026-07-18T15:38:51+05:30</t>
  </si>
  <si>
    <t>4z405x4wdv5v977@marketplace.amazon.in</t>
  </si>
  <si>
    <t>404-7464574-9527561</t>
  </si>
  <si>
    <t>T3shP5H99</t>
  </si>
  <si>
    <t>DjwyP74RcB0NR</t>
  </si>
  <si>
    <t>2026-07-18T09:56:47+05:30</t>
  </si>
  <si>
    <t>2026-07-18T12:20:40+05:30</t>
  </si>
  <si>
    <t>2026-07-18T12:20:42+05:30</t>
  </si>
  <si>
    <t>2026-07-18T13:20:54+05:30</t>
  </si>
  <si>
    <t>wxp0cq82qdb95m0@marketplace.amazon.in</t>
  </si>
  <si>
    <t>407-1331354-0025144</t>
  </si>
  <si>
    <t>TCFYJ4HH9</t>
  </si>
  <si>
    <t>DvtzTn49cl0BR</t>
  </si>
  <si>
    <t>2026-07-18T09:29:48+05:30</t>
  </si>
  <si>
    <t>2026-07-18T11:58:46+05:30</t>
  </si>
  <si>
    <t>2026-07-18T11:58:50+05:30</t>
  </si>
  <si>
    <t>2026-07-18T12:59:03+05:30</t>
  </si>
  <si>
    <t>dlr9vhmcln2r6wb@marketplace.amazon.in</t>
  </si>
  <si>
    <t>403-1117500-5401103</t>
  </si>
  <si>
    <t>TcFdMGH29</t>
  </si>
  <si>
    <t>DcjTns40cM0WR</t>
  </si>
  <si>
    <t>2026-07-18T09:14:53+05:30</t>
  </si>
  <si>
    <t>2026-07-18T11:51:40+05:30</t>
  </si>
  <si>
    <t>2026-07-18T14:51:52+05:30</t>
  </si>
  <si>
    <t>0wspmbzd7bvhw5x@marketplace.amazon.in</t>
  </si>
  <si>
    <t>404-6079292-2565951</t>
  </si>
  <si>
    <t>TwGXxpHC9</t>
  </si>
  <si>
    <t>DJtwnM4ScW0cR</t>
  </si>
  <si>
    <t>2026-07-18T09:22:30+05:30</t>
  </si>
  <si>
    <t>2026-07-18T11:41:43+05:30</t>
  </si>
  <si>
    <t>2026-07-18T14:41:55+05:30</t>
  </si>
  <si>
    <t>3kkvkdr4ldgrdyc@marketplace.amazon.in</t>
  </si>
  <si>
    <t>404-8872577-8746762</t>
  </si>
  <si>
    <t>TVrZFKly9</t>
  </si>
  <si>
    <t>DZyfxW4hcM0yR</t>
  </si>
  <si>
    <t>2026-07-17T16:55:53+05:30</t>
  </si>
  <si>
    <t>2026-07-18T11:28:43+05:30</t>
  </si>
  <si>
    <t>2026-07-18T14:28:58+05:30</t>
  </si>
  <si>
    <t>pz556hn27f88hmt@marketplace.amazon.in</t>
  </si>
  <si>
    <t>171-7846203-9919522</t>
  </si>
  <si>
    <t>TJ1HkSlz9</t>
  </si>
  <si>
    <t>DHDYxy4Gc60FR</t>
  </si>
  <si>
    <t>2026-07-17T15:47:59+05:30</t>
  </si>
  <si>
    <t>2026-07-18T11:25:48+05:30</t>
  </si>
  <si>
    <t>2026-07-18T14:26:02+05:30</t>
  </si>
  <si>
    <t>s76wwvczqrl3pfr@marketplace.amazon.in</t>
  </si>
  <si>
    <t>Sithalapakkam</t>
  </si>
  <si>
    <t>408-7906329-9827564</t>
  </si>
  <si>
    <t>TNQZXhlv9</t>
  </si>
  <si>
    <t>DlgGxs4sc50VR</t>
  </si>
  <si>
    <t>2026-07-17T22:35:25+05:30</t>
  </si>
  <si>
    <t>2026-07-18T11:25:46+05:30</t>
  </si>
  <si>
    <t>hb4w21cyfgjszcx@marketplace.amazon.in</t>
  </si>
  <si>
    <t>407-5275057-5955559</t>
  </si>
  <si>
    <t>TwVq7fHL9</t>
  </si>
  <si>
    <t>DKYHxZ4ccY04R</t>
  </si>
  <si>
    <t>2026-07-18T06:57:59+05:30</t>
  </si>
  <si>
    <t>2026-07-18T11:20:39+05:30</t>
  </si>
  <si>
    <t>2026-07-18T11:20:42+05:30</t>
  </si>
  <si>
    <t>2026-07-18T12:20:53+05:30</t>
  </si>
  <si>
    <t>m7rzc9vnl06q40z@marketplace.amazon.in</t>
  </si>
  <si>
    <t>DYnNx24QcB05R</t>
  </si>
  <si>
    <t>407-5822450-7249124</t>
  </si>
  <si>
    <t>TgG71mH89</t>
  </si>
  <si>
    <t>DmHRx74Lcv0gR</t>
  </si>
  <si>
    <t>2026-07-18T09:07:29+05:30</t>
  </si>
  <si>
    <t>2026-07-18T11:20:41+05:30</t>
  </si>
  <si>
    <t>2026-07-18T12:20:52+05:30</t>
  </si>
  <si>
    <t>g4d8vtd7jvrzmt1@marketplace.amazon.in</t>
  </si>
  <si>
    <t>407-6799806-8941947</t>
  </si>
  <si>
    <t>Tw1bMvHY9</t>
  </si>
  <si>
    <t>DmntxD4DcB05R</t>
  </si>
  <si>
    <t>2026-07-18T08:57:12+05:30</t>
  </si>
  <si>
    <t>2026-07-18T11:19:47+05:30</t>
  </si>
  <si>
    <t>2026-07-18T14:20:00+05:30</t>
  </si>
  <si>
    <t>rcg0dh38gnnl310@marketplace.amazon.in</t>
  </si>
  <si>
    <t>Delhi</t>
  </si>
  <si>
    <t>408-4590962-1841101</t>
  </si>
  <si>
    <t>T1PP9mH19</t>
  </si>
  <si>
    <t>DPnGxW4lcM05R</t>
  </si>
  <si>
    <t>2026-07-18T05:52:26+05:30</t>
  </si>
  <si>
    <t>2026-07-18T11:14:46+05:30</t>
  </si>
  <si>
    <t>2026-07-18T14:14:58+05:30</t>
  </si>
  <si>
    <t>mhf65zpj2dm1mzv@marketplace.amazon.in</t>
  </si>
  <si>
    <t>404-3966432-9398700</t>
  </si>
  <si>
    <t>TgFgrjlq9</t>
  </si>
  <si>
    <t>DtSj3g4tcd05R</t>
  </si>
  <si>
    <t>2026-07-17T18:35:16+05:30</t>
  </si>
  <si>
    <t>2026-07-18T11:13:07+05:30</t>
  </si>
  <si>
    <t>2026-07-18T14:13:18+05:30</t>
  </si>
  <si>
    <t>4m0g1fv1pff8hwt@marketplace.amazon.in</t>
  </si>
  <si>
    <t>406-9515362-8605937</t>
  </si>
  <si>
    <t>TXcqWTlg9</t>
  </si>
  <si>
    <t>DDkL3X4Ncd05R</t>
  </si>
  <si>
    <t>2026-07-17T23:44:13+05:30</t>
  </si>
  <si>
    <t>2026-07-18T11:12:47+05:30</t>
  </si>
  <si>
    <t>2026-07-18T14:13:00+05:30</t>
  </si>
  <si>
    <t>4k1hcps1tq584l9@marketplace.amazon.in</t>
  </si>
  <si>
    <t>171-6838122-0182722</t>
  </si>
  <si>
    <t>TV5m7VHZ9</t>
  </si>
  <si>
    <t>DGgn3g4Qcr00R</t>
  </si>
  <si>
    <t>2026-07-18T08:14:56+05:30</t>
  </si>
  <si>
    <t>2026-07-18T14:09:00+05:30</t>
  </si>
  <si>
    <t>n8xjy5017wn9bvd@marketplace.amazon.in</t>
  </si>
  <si>
    <t>171-5096367-1433105</t>
  </si>
  <si>
    <t>T30sJMHZ9</t>
  </si>
  <si>
    <t>DqNmJJ4tcC0BR</t>
  </si>
  <si>
    <t>2026-07-18T09:15:41+05:30</t>
  </si>
  <si>
    <t>2026-07-18T11:00:45+05:30</t>
  </si>
  <si>
    <t>2026-07-18T14:00:59+05:30</t>
  </si>
  <si>
    <t>jdfk2mgzz67zjnz@marketplace.amazon.in</t>
  </si>
  <si>
    <t>405-3400890-8689907</t>
  </si>
  <si>
    <t>TcMNv8HR9</t>
  </si>
  <si>
    <t>DWxd3T4tcZ00R</t>
  </si>
  <si>
    <t>2026-07-18T08:10:53+05:30</t>
  </si>
  <si>
    <t>2026-07-18T10:59:42+05:30</t>
  </si>
  <si>
    <t>2026-07-18T13:59:53+05:30</t>
  </si>
  <si>
    <t>cnn9m5fpkgxml39@marketplace.amazon.in</t>
  </si>
  <si>
    <t>Barasat</t>
  </si>
  <si>
    <t>West Bengal</t>
  </si>
  <si>
    <t>405-2957300-2334759</t>
  </si>
  <si>
    <t>Tn6SyDHp9</t>
  </si>
  <si>
    <t>DxbZMZ46c60QR</t>
  </si>
  <si>
    <t>2026-07-18T01:53:57+05:30</t>
  </si>
  <si>
    <t>2026-07-18T10:34:40+05:30</t>
  </si>
  <si>
    <t>2026-07-18T10:34:43+05:30</t>
  </si>
  <si>
    <t>2026-07-18T11:34:54+05:30</t>
  </si>
  <si>
    <t>f30cw2v4m20h97r@marketplace.amazon.in</t>
  </si>
  <si>
    <t>171-8784864-7414756</t>
  </si>
  <si>
    <t>T65fnxlN9</t>
  </si>
  <si>
    <t>DLhjMg4mcZ0YR</t>
  </si>
  <si>
    <t>2026-07-17T21:09:17+05:30</t>
  </si>
  <si>
    <t>2026-07-18T10:33:41+05:30</t>
  </si>
  <si>
    <t>2026-07-18T10:33:44+05:30</t>
  </si>
  <si>
    <t>2026-07-18T11:33:54+05:30</t>
  </si>
  <si>
    <t>pcs6s1dx9419pxd@marketplace.amazon.in</t>
  </si>
  <si>
    <t>Alamuru</t>
  </si>
  <si>
    <t>171-9666143-6836300</t>
  </si>
  <si>
    <t>T6XWBqHm9</t>
  </si>
  <si>
    <t>DTTrMV4Qc10cR</t>
  </si>
  <si>
    <t>2026-07-18T04:01:04+05:30</t>
  </si>
  <si>
    <t>2026-07-18T10:29:43+05:30</t>
  </si>
  <si>
    <t>2026-07-18T13:29:55+05:30</t>
  </si>
  <si>
    <t>4g9lcqmkfnlpn40@marketplace.amazon.in</t>
  </si>
  <si>
    <t>407-0989480-2268325</t>
  </si>
  <si>
    <t>T1jrj8lZ9</t>
  </si>
  <si>
    <t>DBqnMk4fcC0JR</t>
  </si>
  <si>
    <t>2026-07-17T20:54:16+05:30</t>
  </si>
  <si>
    <t>2026-07-18T10:24:40+05:30</t>
  </si>
  <si>
    <t>2026-07-18T10:24:45+05:30</t>
  </si>
  <si>
    <t>2026-07-18T11:25:00+05:30</t>
  </si>
  <si>
    <t>1ylp47jb6k8zc7h@marketplace.amazon.in</t>
  </si>
  <si>
    <t>403-2990114-4349123</t>
  </si>
  <si>
    <t>T6kkW9l49</t>
  </si>
  <si>
    <t>Dz2y1j4Wcj09R</t>
  </si>
  <si>
    <t>2026-07-18T00:29:58+05:30</t>
  </si>
  <si>
    <t>2026-07-18T10:23:43+05:30</t>
  </si>
  <si>
    <t>2026-07-18T13:23:56+05:30</t>
  </si>
  <si>
    <t>q0gsqtnrhk8y8dp@marketplace.amazon.in</t>
  </si>
  <si>
    <t>Guntur district, MACHERLA</t>
  </si>
  <si>
    <t>403-9395758-3743559</t>
  </si>
  <si>
    <t>TcrjYzlW9</t>
  </si>
  <si>
    <t>DTds114Scy0GR</t>
  </si>
  <si>
    <t>2026-07-17T17:45:42+05:30</t>
  </si>
  <si>
    <t>2026-07-18T10:11:42+05:30</t>
  </si>
  <si>
    <t>2026-07-18T13:11:55+05:30</t>
  </si>
  <si>
    <t>v2m1mr440t0s66p@marketplace.amazon.in</t>
  </si>
  <si>
    <t>406-0054385-1927571</t>
  </si>
  <si>
    <t>TnLh1zHD9</t>
  </si>
  <si>
    <t>DKwgr04McY09R</t>
  </si>
  <si>
    <t>2026-07-18T08:58:40+05:30</t>
  </si>
  <si>
    <t>2026-07-18T10:00:44+05:30</t>
  </si>
  <si>
    <t>2026-07-18T13:00:58+05:30</t>
  </si>
  <si>
    <t>wkbcjn930fxyr3n@marketplace.amazon.in</t>
  </si>
  <si>
    <t>404-4146216-2984364</t>
  </si>
  <si>
    <t>TwTdP5lm9</t>
  </si>
  <si>
    <t>DR8F7j48cN00R</t>
  </si>
  <si>
    <t>2026-07-17T17:01:36+05:30</t>
  </si>
  <si>
    <t>2026-07-18T09:45:00+05:30</t>
  </si>
  <si>
    <t>2026-07-18T12:45:31+05:30</t>
  </si>
  <si>
    <t>zhwhvgvdxm9prbd@marketplace.amazon.in</t>
  </si>
  <si>
    <t>HP 1008w - Grey</t>
  </si>
  <si>
    <t>407-7989508-0563564</t>
  </si>
  <si>
    <t>T6fwZkYx9</t>
  </si>
  <si>
    <t>DpQn7F4Qct0xR</t>
  </si>
  <si>
    <t>2026-07-17T13:17:53+05:30</t>
  </si>
  <si>
    <t>2026-07-18T09:41:44+05:30</t>
  </si>
  <si>
    <t>2026-07-18T12:41:55+05:30</t>
  </si>
  <si>
    <t>y8bl1km4s5myst1@marketplace.amazon.in</t>
  </si>
  <si>
    <t>402-8692208-3663510</t>
  </si>
  <si>
    <t>TJpkcrCl9</t>
  </si>
  <si>
    <t>DnhG7v4ncg0xR</t>
  </si>
  <si>
    <t>2026-07-16T19:33:33+05:30</t>
  </si>
  <si>
    <t>2026-07-18T09:38:50+05:30</t>
  </si>
  <si>
    <t>2026-07-18T12:39:00+05:30</t>
  </si>
  <si>
    <t>krpz75dkbqfjnqt@marketplace.amazon.in</t>
  </si>
  <si>
    <t>VIJAPURA</t>
  </si>
  <si>
    <t>407-3548105-3328337</t>
  </si>
  <si>
    <t>TCdFR8Hv9</t>
  </si>
  <si>
    <t>DPnP7m4NcZ0cR</t>
  </si>
  <si>
    <t>2026-07-17T23:10:57+05:30</t>
  </si>
  <si>
    <t>2026-07-18T09:35:45+05:30</t>
  </si>
  <si>
    <t>2026-07-18T09:35:49+05:30</t>
  </si>
  <si>
    <t>2026-07-18T10:36:01+05:30</t>
  </si>
  <si>
    <t>dtvx4rrptkq55w3@marketplace.amazon.in</t>
  </si>
  <si>
    <t>402-3877255-3732360</t>
  </si>
  <si>
    <t>TV3m6nCs9</t>
  </si>
  <si>
    <t>DyXmL24ncZ0bR</t>
  </si>
  <si>
    <t>2026-07-16T22:29:32+05:30</t>
  </si>
  <si>
    <t>2026-07-18T09:30:45+05:30</t>
  </si>
  <si>
    <t>2026-07-18T12:30:57+05:30</t>
  </si>
  <si>
    <t>c406rdl1x6yhpzn@marketplace.amazon.in</t>
  </si>
  <si>
    <t>407-0946893-7987511</t>
  </si>
  <si>
    <t>T1h6Kql29</t>
  </si>
  <si>
    <t>DjLlLJ4ccs0jR</t>
  </si>
  <si>
    <t>2026-07-17T22:38:50+05:30</t>
  </si>
  <si>
    <t>2026-07-18T09:23:46+05:30</t>
  </si>
  <si>
    <t>2026-07-18T12:23:57+05:30</t>
  </si>
  <si>
    <t>wh7wxg8v9mbd487@marketplace.amazon.in</t>
  </si>
  <si>
    <t>wadakanchery</t>
  </si>
  <si>
    <t>404-2961329-0558713</t>
  </si>
  <si>
    <t>TcHbB3Hl9</t>
  </si>
  <si>
    <t>DSp0Lb4hcg0SR</t>
  </si>
  <si>
    <t>2026-07-18T02:30:29+05:30</t>
  </si>
  <si>
    <t>2026-07-18T09:20:42+05:30</t>
  </si>
  <si>
    <t>jk59cp1k7mmh63f@marketplace.amazon.in</t>
  </si>
  <si>
    <t>403-3631663-2281141</t>
  </si>
  <si>
    <t>TJL6lGlb9</t>
  </si>
  <si>
    <t>DT1HsS47cS0gR</t>
  </si>
  <si>
    <t>2026-07-17T23:45:35+05:30</t>
  </si>
  <si>
    <t>2026-07-18T09:14:47+05:30</t>
  </si>
  <si>
    <t>2026-07-18T12:14:58+05:30</t>
  </si>
  <si>
    <t>8mzdskgy1y2wf9t@marketplace.amazon.in</t>
  </si>
  <si>
    <t>407-6285137-0798738</t>
  </si>
  <si>
    <t>TJtG6HCc9</t>
  </si>
  <si>
    <t>DYDfcv4Tcv0tR</t>
  </si>
  <si>
    <t>2026-07-16T22:11:51+05:30</t>
  </si>
  <si>
    <t>2026-07-18T08:52:43+05:30</t>
  </si>
  <si>
    <t>2026-07-18T11:52:55+05:30</t>
  </si>
  <si>
    <t>81qhcp5kk8w5wtd@marketplace.amazon.in</t>
  </si>
  <si>
    <t>403-7211482-6774736</t>
  </si>
  <si>
    <t>TgYJXxCG9</t>
  </si>
  <si>
    <t>DRFsbx4xcr0LR</t>
  </si>
  <si>
    <t>2026-07-16T23:06:23+05:30</t>
  </si>
  <si>
    <t>2026-07-18T04:48:49+05:30</t>
  </si>
  <si>
    <t>2026-07-18T07:53:25+05:30</t>
  </si>
  <si>
    <t>402-8227933-1984328</t>
  </si>
  <si>
    <t>TCGLKMlN9</t>
  </si>
  <si>
    <t>DtJVH84DcS02R</t>
  </si>
  <si>
    <t>2026-07-17T21:58:20+05:30</t>
  </si>
  <si>
    <t>2026-07-18T04:42:40+05:30</t>
  </si>
  <si>
    <t>2026-07-18T04:42:44+05:30</t>
  </si>
  <si>
    <t>2026-07-18T05:42:56+05:30</t>
  </si>
  <si>
    <t>228ds5np5z7kbm8@marketplace.amazon.in</t>
  </si>
  <si>
    <t>402-2516614-2621950</t>
  </si>
  <si>
    <t>TcyyN5l09</t>
  </si>
  <si>
    <t>DhmMbf4hcP0kR</t>
  </si>
  <si>
    <t>2026-07-17T09:48:37+05:30</t>
  </si>
  <si>
    <t>2026-07-18T04:39:41+05:30</t>
  </si>
  <si>
    <t>2026-07-18T07:39:52+05:30</t>
  </si>
  <si>
    <t>2fvdcwv9wj9wpz7@marketplace.amazon.in</t>
  </si>
  <si>
    <t>408-2121743-0832367</t>
  </si>
  <si>
    <t>TCd5CpYy9</t>
  </si>
  <si>
    <t>DB0sbC4KcK0lR</t>
  </si>
  <si>
    <t>2026-07-17T12:33:34+05:30</t>
  </si>
  <si>
    <t>2026-07-18T04:33:48+05:30</t>
  </si>
  <si>
    <t>2026-07-18T07:34:01+05:30</t>
  </si>
  <si>
    <t>r82mwsqwkn9vg2l@marketplace.amazon.in</t>
  </si>
  <si>
    <t>HARVEYPATTI</t>
  </si>
  <si>
    <t>404-4868695-4285909</t>
  </si>
  <si>
    <t>Tc9z0CfR9</t>
  </si>
  <si>
    <t>Dg6Wkr4Pcg0kR</t>
  </si>
  <si>
    <t>2026-07-16T12:00:53+05:30</t>
  </si>
  <si>
    <t>2026-07-18T04:24:44+05:30</t>
  </si>
  <si>
    <t>2026-07-18T07:24:56+05:30</t>
  </si>
  <si>
    <t>xct3943ktdcd967@marketplace.amazon.in</t>
  </si>
  <si>
    <t>171-0824910-9979549</t>
  </si>
  <si>
    <t>TwhXpvlM9</t>
  </si>
  <si>
    <t>DjlxNK4Fcv01R</t>
  </si>
  <si>
    <t>2026-07-17T21:41:49+05:30</t>
  </si>
  <si>
    <t>2026-07-18T03:54:52+05:30</t>
  </si>
  <si>
    <t>2026-07-18T06:55:03+05:30</t>
  </si>
  <si>
    <t>njjllj3ffr4dvbg@marketplace.amazon.in</t>
  </si>
  <si>
    <t>RS MANGALAM</t>
  </si>
  <si>
    <t>408-1736864-2225934</t>
  </si>
  <si>
    <t>TNyr66lv9</t>
  </si>
  <si>
    <t>D0r8NN4ycN0LR</t>
  </si>
  <si>
    <t>2026-07-17T21:18:49+05:30</t>
  </si>
  <si>
    <t>2026-07-18T03:54:48+05:30</t>
  </si>
  <si>
    <t>2026-07-18T03:54:51+05:30</t>
  </si>
  <si>
    <t>2026-07-18T04:55:01+05:30</t>
  </si>
  <si>
    <t>g3xnw53q2y8xcv0@marketplace.amazon.in</t>
  </si>
  <si>
    <t>406-2652950-3471513</t>
  </si>
  <si>
    <t>T1GrNtHX9</t>
  </si>
  <si>
    <t>DYJLRs4Ycj0RR</t>
  </si>
  <si>
    <t>2026-07-17T21:10:09+05:30</t>
  </si>
  <si>
    <t>2026-07-18T03:40:45+05:30</t>
  </si>
  <si>
    <t>2026-07-18T06:40:58+05:30</t>
  </si>
  <si>
    <t>x5fjx6brkwqp59t@marketplace.amazon.in</t>
  </si>
  <si>
    <t>HP 2606sdw - Grey</t>
  </si>
  <si>
    <t>Crasome Dust Proof Water-resistant Printer Cover for HP Laserjet Tank MFP 1188fnw / 2606sdw (Grey)</t>
  </si>
  <si>
    <t>171-2474258-8522768</t>
  </si>
  <si>
    <t>T32bJ5YY9</t>
  </si>
  <si>
    <t>DFXchWyxcB0PR</t>
  </si>
  <si>
    <t>2026-07-17T07:52:21+05:30</t>
  </si>
  <si>
    <t>2026-07-18T03:33:47+05:30</t>
  </si>
  <si>
    <t>2026-07-18T06:34:00+05:30</t>
  </si>
  <si>
    <t>64xfh3c2bzg2323@marketplace.amazon.in</t>
  </si>
  <si>
    <t>SOMANDEPALLE</t>
  </si>
  <si>
    <t>403-7690470-2140345</t>
  </si>
  <si>
    <t>TcV7T4Yd9</t>
  </si>
  <si>
    <t>DtnGhryXc002R</t>
  </si>
  <si>
    <t>2026-07-17T10:37:06+05:30</t>
  </si>
  <si>
    <t>2026-07-18T03:15:45+05:30</t>
  </si>
  <si>
    <t>2026-07-18T06:15:57+05:30</t>
  </si>
  <si>
    <t>n2wb1c7jgz08007@marketplace.amazon.in</t>
  </si>
  <si>
    <t>404-3571745-5228341</t>
  </si>
  <si>
    <t>Tc2btBlm9</t>
  </si>
  <si>
    <t>D7KyfmyCcP02R</t>
  </si>
  <si>
    <t>2026-07-17T21:28:25+05:30</t>
  </si>
  <si>
    <t>2026-07-18T03:15:38+05:30</t>
  </si>
  <si>
    <t>2026-07-18T06:15:46+05:30</t>
  </si>
  <si>
    <t>81sg64r8bkw1kzl@marketplace.amazon.in</t>
  </si>
  <si>
    <t>403-4247775-7383557</t>
  </si>
  <si>
    <t>TJYrXXYF9</t>
  </si>
  <si>
    <t>DJgJf7yRcQ05R</t>
  </si>
  <si>
    <t>2026-07-17T14:50:13+05:30</t>
  </si>
  <si>
    <t>2026-07-18T03:13:43+05:30</t>
  </si>
  <si>
    <t>2026-07-18T03:13:46+05:30</t>
  </si>
  <si>
    <t>2026-07-18T04:13:58+05:30</t>
  </si>
  <si>
    <t>18w5487d23kb5lv@marketplace.amazon.in</t>
  </si>
  <si>
    <t>407-0310646-3165958</t>
  </si>
  <si>
    <t>Tg7j9WH79</t>
  </si>
  <si>
    <t>DGQrfgytcL01R</t>
  </si>
  <si>
    <t>2026-07-17T21:33:45+05:30</t>
  </si>
  <si>
    <t>2026-07-18T03:11:50+05:30</t>
  </si>
  <si>
    <t>2026-07-18T06:12:05+05:30</t>
  </si>
  <si>
    <t>6q4gpc31r775xlw@marketplace.amazon.in</t>
  </si>
  <si>
    <t>408-7181901-3841154</t>
  </si>
  <si>
    <t>T1HW7Vlk9</t>
  </si>
  <si>
    <t>DNCqfHy4cM0KR</t>
  </si>
  <si>
    <t>2026-07-17T19:44:58+05:30</t>
  </si>
  <si>
    <t>2026-07-18T03:05:45+05:30</t>
  </si>
  <si>
    <t>2026-07-18T06:05:56+05:30</t>
  </si>
  <si>
    <t>2hbtfd8j6qjmvq3@marketplace.amazon.in</t>
  </si>
  <si>
    <t>Barabanki</t>
  </si>
  <si>
    <t>408-4150372-5682744</t>
  </si>
  <si>
    <t>TNDQMzlM9</t>
  </si>
  <si>
    <t>DRCQfnyZc20KR</t>
  </si>
  <si>
    <t>2026-07-17T20:30:06+05:30</t>
  </si>
  <si>
    <t>2026-07-18T03:02:46+05:30</t>
  </si>
  <si>
    <t>2026-07-18T06:02:59+05:30</t>
  </si>
  <si>
    <t>g92p6kq4fz0fbdd@marketplace.amazon.in</t>
  </si>
  <si>
    <t>405-8471867-0899557</t>
  </si>
  <si>
    <t>TGHKYVl99</t>
  </si>
  <si>
    <t>DWK2jmyjcS0cR</t>
  </si>
  <si>
    <t>2026-07-17T17:56:34+05:30</t>
  </si>
  <si>
    <t>2026-07-18T02:59:46+05:30</t>
  </si>
  <si>
    <t>2026-07-18T05:59:58+05:30</t>
  </si>
  <si>
    <t>lqgmwt96tm6brx1@marketplace.amazon.in</t>
  </si>
  <si>
    <t>403-4541661-3627537</t>
  </si>
  <si>
    <t>T6HG37fs9</t>
  </si>
  <si>
    <t>DYvsqQyhcZ0zR</t>
  </si>
  <si>
    <t>2026-07-16T13:08:49+05:30</t>
  </si>
  <si>
    <t>2026-07-18T02:30:44+05:30</t>
  </si>
  <si>
    <t>2026-07-18T02:30:49+05:30</t>
  </si>
  <si>
    <t>2026-07-18T03:31:03+05:30</t>
  </si>
  <si>
    <t>22195s5k28wppc9@marketplace.amazon.in</t>
  </si>
  <si>
    <t>Kasganj</t>
  </si>
  <si>
    <t>403-0736397-0873934</t>
  </si>
  <si>
    <t>TcD160l69</t>
  </si>
  <si>
    <t>D47Tq4yXcx0fR</t>
  </si>
  <si>
    <t>2026-07-17T23:12:08+05:30</t>
  </si>
  <si>
    <t>2026-07-18T02:20:43+05:30</t>
  </si>
  <si>
    <t>2026-07-18T02:20:46+05:30</t>
  </si>
  <si>
    <t>2026-07-18T03:20:57+05:30</t>
  </si>
  <si>
    <t>fn4gnf79dpm8xy9@marketplace.amazon.in</t>
  </si>
  <si>
    <t>AP</t>
  </si>
  <si>
    <t>403-0711547-1014713</t>
  </si>
  <si>
    <t>T6gv00Yw9</t>
  </si>
  <si>
    <t>D5sHqGytcV0WR</t>
  </si>
  <si>
    <t>2026-07-17T13:04:55+05:30</t>
  </si>
  <si>
    <t>2026-07-18T02:14:44+05:30</t>
  </si>
  <si>
    <t>2026-07-18T05:14:57+05:30</t>
  </si>
  <si>
    <t>61ms8jhrt72f9cf@marketplace.amazon.in</t>
  </si>
  <si>
    <t>407-2825274-4943529</t>
  </si>
  <si>
    <t>TNMGNVln9</t>
  </si>
  <si>
    <t>D8fv5VyRcd0cR</t>
  </si>
  <si>
    <t>2026-07-17T10:38:45+05:30</t>
  </si>
  <si>
    <t>2026-07-18T02:01:45+05:30</t>
  </si>
  <si>
    <t>2026-07-18T05:01:57+05:30</t>
  </si>
  <si>
    <t>n260s8b99px8tqr@marketplace.amazon.in</t>
  </si>
  <si>
    <t>402-0615747-3870712</t>
  </si>
  <si>
    <t>TcjqRplR9</t>
  </si>
  <si>
    <t>DGJ95Sy3cX0ZR</t>
  </si>
  <si>
    <t>2026-07-17T15:14:45+05:30</t>
  </si>
  <si>
    <t>2026-07-18T01:57:44+05:30</t>
  </si>
  <si>
    <t>2026-07-18T04:57:58+05:30</t>
  </si>
  <si>
    <t>279wgvz25qf1w1y@marketplace.amazon.in</t>
  </si>
  <si>
    <t>PHULABANI</t>
  </si>
  <si>
    <t>405-8624219-2852333</t>
  </si>
  <si>
    <t>Tw2y2NJt9</t>
  </si>
  <si>
    <t>D6v7gDyjc800R</t>
  </si>
  <si>
    <t>2026-07-13T08:58:49+05:30</t>
  </si>
  <si>
    <t>2026-07-18T01:54:50+05:30</t>
  </si>
  <si>
    <t>2026-07-18T04:55:05+05:30</t>
  </si>
  <si>
    <t>l6khjgbjmlrrz0l@marketplace.amazon.in</t>
  </si>
  <si>
    <t>NANJIKOTTAI</t>
  </si>
  <si>
    <t>407-2235098-2322761</t>
  </si>
  <si>
    <t>Tn7hJFlY9</t>
  </si>
  <si>
    <t>Dtvbg4y8c800R</t>
  </si>
  <si>
    <t>2026-07-17T18:41:10+05:30</t>
  </si>
  <si>
    <t>2026-07-18T01:51:43+05:30</t>
  </si>
  <si>
    <t>2026-07-18T04:51:54+05:30</t>
  </si>
  <si>
    <t>qfxjmz51c234py4@marketplace.amazon.in</t>
  </si>
  <si>
    <t>407-7448792-8130722</t>
  </si>
  <si>
    <t>TX51KYYB9</t>
  </si>
  <si>
    <t>Dq9Kg1ygc60dR</t>
  </si>
  <si>
    <t>2026-07-17T13:35:08+05:30</t>
  </si>
  <si>
    <t>2026-07-18T01:40:48+05:30</t>
  </si>
  <si>
    <t>2026-07-18T04:41:00+05:30</t>
  </si>
  <si>
    <t>8ld9nlxgctz8jfg@marketplace.amazon.in</t>
  </si>
  <si>
    <t>404-7064129-8939565</t>
  </si>
  <si>
    <t>TXNlKhlB9</t>
  </si>
  <si>
    <t>D2z88JyKc60YR</t>
  </si>
  <si>
    <t>2026-07-17T23:24:25+05:30</t>
  </si>
  <si>
    <t>2026-07-18T01:25:42+05:30</t>
  </si>
  <si>
    <t>2026-07-18T04:25:53+05:30</t>
  </si>
  <si>
    <t>bp5qc22kkxfrvgm@marketplace.amazon.in</t>
  </si>
  <si>
    <t>2026-07-18T08:00:00+05:30</t>
  </si>
  <si>
    <t>406-0590869-6039560</t>
  </si>
  <si>
    <t>TJCLDvlY9</t>
  </si>
  <si>
    <t>DfwgXBync006R</t>
  </si>
  <si>
    <t>2026-07-17T16:28:41+05:30</t>
  </si>
  <si>
    <t>2026-07-18T01:16:48+05:30</t>
  </si>
  <si>
    <t>2026-07-18T04:17:04+05:30</t>
  </si>
  <si>
    <t>psdnqz9qwcyp239@marketplace.amazon.in</t>
  </si>
  <si>
    <t>404-1210979-1170700</t>
  </si>
  <si>
    <t>TNYQ4fld9</t>
  </si>
  <si>
    <t>DQLyX1yFc40nR</t>
  </si>
  <si>
    <t>2026-07-17T16:55:41+05:30</t>
  </si>
  <si>
    <t>2026-07-18T01:06:42+05:30</t>
  </si>
  <si>
    <t>2026-07-18T04:06:56+05:30</t>
  </si>
  <si>
    <t>5y0m7c0swz0xl9v@marketplace.amazon.in</t>
  </si>
  <si>
    <t>NOLAMBUR CHENNAI</t>
  </si>
  <si>
    <t>Cubes-Grey (5Q)</t>
  </si>
  <si>
    <t>Crasome Packing Cubes for Travel, Travel Organizer for Men &amp; Women, Travel Storage Bag, Travel Organizer, Packing Bag for Clothes (Grey-5)</t>
  </si>
  <si>
    <t>408-7235043-3825963</t>
  </si>
  <si>
    <t>T3dzfTfw9</t>
  </si>
  <si>
    <t>DdKGCTyQcV0LR</t>
  </si>
  <si>
    <t>2026-07-16T17:17:35+05:30</t>
  </si>
  <si>
    <t>2026-07-18T01:03:46+05:30</t>
  </si>
  <si>
    <t>2026-07-18T04:03:58+05:30</t>
  </si>
  <si>
    <t>01zktmnsq0pmt9g@marketplace.amazon.in</t>
  </si>
  <si>
    <t>402-2314892-3845138</t>
  </si>
  <si>
    <t>TGxhDxl19</t>
  </si>
  <si>
    <t>DfqLXzy8c40dR</t>
  </si>
  <si>
    <t>2026-07-17T19:28:14+05:30</t>
  </si>
  <si>
    <t>2026-07-18T01:00:48+05:30</t>
  </si>
  <si>
    <t>2026-07-18T04:01:09+05:30</t>
  </si>
  <si>
    <t>kftm9rc58vqwyj1@marketplace.amazon.in</t>
  </si>
  <si>
    <t>402-5709146-0260365</t>
  </si>
  <si>
    <t>TJdwktl79</t>
  </si>
  <si>
    <t>DLMcCWy0cK00R</t>
  </si>
  <si>
    <t>2026-07-17T11:13:08+05:30</t>
  </si>
  <si>
    <t>2026-07-18T00:54:48+05:30</t>
  </si>
  <si>
    <t>2026-07-18T03:55:05+05:30</t>
  </si>
  <si>
    <t>jygrl2mgp4kbtqx@marketplace.amazon.in</t>
  </si>
  <si>
    <t>LIDO TOWN</t>
  </si>
  <si>
    <t>408-5517977-2282721</t>
  </si>
  <si>
    <t>TgCD6zlJ9</t>
  </si>
  <si>
    <t>DD1SCDyYct06R</t>
  </si>
  <si>
    <t>2026-07-17T23:00:52+05:30</t>
  </si>
  <si>
    <t>2026-07-18T00:54:44+05:30</t>
  </si>
  <si>
    <t>2026-07-18T03:54:59+05:30</t>
  </si>
  <si>
    <t>4w07mf2s73pbmf3@marketplace.amazon.in</t>
  </si>
  <si>
    <t>403-4023207-3265121</t>
  </si>
  <si>
    <t>T6X601Y79</t>
  </si>
  <si>
    <t>DLCRC3yjcv0qR</t>
  </si>
  <si>
    <t>2026-07-17T13:48:01+05:30</t>
  </si>
  <si>
    <t>2026-07-18T00:46:41+05:30</t>
  </si>
  <si>
    <t>2026-07-18T03:46:53+05:30</t>
  </si>
  <si>
    <t>98r2chljyf951fn@marketplace.amazon.in</t>
  </si>
  <si>
    <t>407-8336900-6495569</t>
  </si>
  <si>
    <t>TXq48clM9</t>
  </si>
  <si>
    <t>DgyCpxyvc10gR</t>
  </si>
  <si>
    <t>2026-07-17T23:11:45+05:30</t>
  </si>
  <si>
    <t>2026-07-18T00:39:42+05:30</t>
  </si>
  <si>
    <t>2026-07-18T03:39:54+05:30</t>
  </si>
  <si>
    <t>wcgtwdylsx7b9yf@marketplace.amazon.in</t>
  </si>
  <si>
    <t>404-3884004-1986739</t>
  </si>
  <si>
    <t>TGzyKVlH9</t>
  </si>
  <si>
    <t>D5TJpZyMcB0gR</t>
  </si>
  <si>
    <t>2026-07-17T22:46:29+05:30</t>
  </si>
  <si>
    <t>2026-07-18T00:30:43+05:30</t>
  </si>
  <si>
    <t>2026-07-18T03:30:54+05:30</t>
  </si>
  <si>
    <t>nn9489h0hgljfnl@marketplace.amazon.in</t>
  </si>
  <si>
    <t>DEESA</t>
  </si>
  <si>
    <t>402-2234895-4541943</t>
  </si>
  <si>
    <t>TgRdKpln9</t>
  </si>
  <si>
    <t>Dg9mWTyGcd0fR</t>
  </si>
  <si>
    <t>2026-07-17T22:16:23+05:30</t>
  </si>
  <si>
    <t>2026-07-18T00:17:43+05:30</t>
  </si>
  <si>
    <t>2026-07-18T00:17:47+05:30</t>
  </si>
  <si>
    <t>2026-07-18T01:17:58+05:30</t>
  </si>
  <si>
    <t>jd7fgf5dt56m7td@marketplace.amazon.in</t>
  </si>
  <si>
    <t>403-7103076-2801111</t>
  </si>
  <si>
    <t>TNM0c1l69</t>
  </si>
  <si>
    <t>DvqSWryMcg0mR</t>
  </si>
  <si>
    <t>2026-07-17T19:26:29+05:30</t>
  </si>
  <si>
    <t>2026-07-18T00:13:48+05:30</t>
  </si>
  <si>
    <t>2026-07-18T03:14:02+05:30</t>
  </si>
  <si>
    <t>3lsn2bs527zj2lb@marketplace.amazon.in</t>
  </si>
  <si>
    <t>408-7780971-4878730</t>
  </si>
  <si>
    <t>TN1v75ls9</t>
  </si>
  <si>
    <t>D361KxyQc502R</t>
  </si>
  <si>
    <t>2026-07-17T18:11:43+05:30</t>
  </si>
  <si>
    <t>2026-07-18T00:06:54+05:30</t>
  </si>
  <si>
    <t>2026-07-18T03:07:06+05:30</t>
  </si>
  <si>
    <t>zz3k4rscb7ln7bd@marketplace.amazon.in</t>
  </si>
  <si>
    <t>DV6HKxyQc502R</t>
  </si>
  <si>
    <t>403-0530426-4397940</t>
  </si>
  <si>
    <t>Tg3bYQln9</t>
  </si>
  <si>
    <t>DYbRKDyZcM0sR</t>
  </si>
  <si>
    <t>2026-07-17T18:55:47+05:30</t>
  </si>
  <si>
    <t>2026-07-18T00:03:44+05:30</t>
  </si>
  <si>
    <t>2026-07-18T00:03:47+05:30</t>
  </si>
  <si>
    <t>2026-07-18T01:04:03+05:30</t>
  </si>
  <si>
    <t>v2w5ybq93m4d1dd@marketplace.amazon.in</t>
  </si>
  <si>
    <t>407-1385830-1157137</t>
  </si>
  <si>
    <t>T6SvP9lW9</t>
  </si>
  <si>
    <t>DTlTKZyzcW0sR</t>
  </si>
  <si>
    <t>2026-07-17T20:24:11+05:30</t>
  </si>
  <si>
    <t>2026-07-17T23:55:46+05:30</t>
  </si>
  <si>
    <t>2026-07-18T02:55:57+05:30</t>
  </si>
  <si>
    <t>7kshys29xq1wy41@marketplace.amazon.in</t>
  </si>
  <si>
    <t>402-2510549-1090739</t>
  </si>
  <si>
    <t>T1GYtdlB9</t>
  </si>
  <si>
    <t>DjsBKByHc10MR</t>
  </si>
  <si>
    <t>2026-07-17T20:54:37+05:30</t>
  </si>
  <si>
    <t>2026-07-17T23:53:45+05:30</t>
  </si>
  <si>
    <t>2026-07-18T02:54:01+05:30</t>
  </si>
  <si>
    <t>1d31kd3v0vx47q2@marketplace.amazon.in</t>
  </si>
  <si>
    <t>404-3850756-0457132</t>
  </si>
  <si>
    <t>TnlKjkYQ9</t>
  </si>
  <si>
    <t>DysDK8ybc10MR</t>
  </si>
  <si>
    <t>2026-07-17T14:00:17+05:30</t>
  </si>
  <si>
    <t>2026-07-17T23:53:40+05:30</t>
  </si>
  <si>
    <t>2026-07-17T23:53:44+05:30</t>
  </si>
  <si>
    <t>2026-07-18T00:53:57+05:30</t>
  </si>
  <si>
    <t>bhz78x5tcwrbbvz@marketplace.amazon.in</t>
  </si>
  <si>
    <t>404-1566843-3673908</t>
  </si>
  <si>
    <t>TnNcLwlH9</t>
  </si>
  <si>
    <t>DNRLKsyjcY0bR</t>
  </si>
  <si>
    <t>2026-07-17T18:58:34+05:30</t>
  </si>
  <si>
    <t>2026-07-17T23:51:53+05:30</t>
  </si>
  <si>
    <t>2026-07-18T02:52:13+05:30</t>
  </si>
  <si>
    <t>863w05tssf91qhs@marketplace.amazon.in</t>
  </si>
  <si>
    <t>407-2647470-4340347</t>
  </si>
  <si>
    <t>TNc5pwlG9</t>
  </si>
  <si>
    <t>Dy2YmYyDcx00R</t>
  </si>
  <si>
    <t>2026-07-17T21:01:45+05:30</t>
  </si>
  <si>
    <t>2026-07-17T23:51:44+05:30</t>
  </si>
  <si>
    <t>2026-07-18T02:51:56+05:30</t>
  </si>
  <si>
    <t>7qtr943skgmv7qw@marketplace.amazon.in</t>
  </si>
  <si>
    <t>408-3068643-2664343</t>
  </si>
  <si>
    <t>TC7fZkYG9</t>
  </si>
  <si>
    <t>D9y1mSyWck0RR</t>
  </si>
  <si>
    <t>2026-07-17T14:50:15+05:30</t>
  </si>
  <si>
    <t>2026-07-17T23:50:44+05:30</t>
  </si>
  <si>
    <t>2026-07-18T02:50:58+05:30</t>
  </si>
  <si>
    <t>z9n17rz7cj10znz@marketplace.amazon.in</t>
  </si>
  <si>
    <t>404-3663632-1080357</t>
  </si>
  <si>
    <t>TVyHLzlC9</t>
  </si>
  <si>
    <t>DsKzmgyYcQ0bR</t>
  </si>
  <si>
    <t>2026-07-17T15:54:14+05:30</t>
  </si>
  <si>
    <t>2026-07-17T23:49:45+05:30</t>
  </si>
  <si>
    <t>2026-07-18T02:49:59+05:30</t>
  </si>
  <si>
    <t>01clrq9l717nmj8@marketplace.amazon.in</t>
  </si>
  <si>
    <t>DAPOLI</t>
  </si>
  <si>
    <t>408-0684557-1988348</t>
  </si>
  <si>
    <t>Tg0p90lf9</t>
  </si>
  <si>
    <t>DF2qmXylcR00R</t>
  </si>
  <si>
    <t>2026-07-17T15:03:21+05:30</t>
  </si>
  <si>
    <t>2026-07-17T23:45:44+05:30</t>
  </si>
  <si>
    <t>2026-07-17T23:45:46+05:30</t>
  </si>
  <si>
    <t>2026-07-18T00:46:00+05:30</t>
  </si>
  <si>
    <t>4r5pqhtlcn3x5hs@marketplace.amazon.in</t>
  </si>
  <si>
    <t>171-3572658-2742764</t>
  </si>
  <si>
    <t>TXs7ZGYR9</t>
  </si>
  <si>
    <t>D4fMm8y3cq09R</t>
  </si>
  <si>
    <t>2026-07-17T12:52:53+05:30</t>
  </si>
  <si>
    <t>2026-07-17T23:36:55+05:30</t>
  </si>
  <si>
    <t>2026-07-18T02:37:06+05:30</t>
  </si>
  <si>
    <t>9f2v9d1q36zf6sh@marketplace.amazon.in</t>
  </si>
  <si>
    <t>HOWRAGHAT</t>
  </si>
  <si>
    <t>408-6770870-9976348</t>
  </si>
  <si>
    <t>TnpS7PlB9</t>
  </si>
  <si>
    <t>DzXSlyyLcC0nR</t>
  </si>
  <si>
    <t>2026-07-17T19:27:44+05:30</t>
  </si>
  <si>
    <t>2026-07-17T23:31:43+05:30</t>
  </si>
  <si>
    <t>2026-07-18T02:31:55+05:30</t>
  </si>
  <si>
    <t>btzlsykj2z0zk40@marketplace.amazon.in</t>
  </si>
  <si>
    <t>402-0687772-2373964</t>
  </si>
  <si>
    <t>T1S6lyYv9</t>
  </si>
  <si>
    <t>Dc1VlwyycT0FR</t>
  </si>
  <si>
    <t>2026-07-17T12:16:17+05:30</t>
  </si>
  <si>
    <t>2026-07-17T23:30:44+05:30</t>
  </si>
  <si>
    <t>2026-07-18T02:30:56+05:30</t>
  </si>
  <si>
    <t>cmdxyzpf3xztk53@marketplace.amazon.in</t>
  </si>
  <si>
    <t>403-4489581-1309132</t>
  </si>
  <si>
    <t>TXhqBnlC9</t>
  </si>
  <si>
    <t>D0MBlFyGcx0vR</t>
  </si>
  <si>
    <t>2026-07-17T11:26:29+05:30</t>
  </si>
  <si>
    <t>2026-07-17T23:29:49+05:30</t>
  </si>
  <si>
    <t>2026-07-18T02:30:02+05:30</t>
  </si>
  <si>
    <t>qhqdx9sskyd8hc7@marketplace.amazon.in</t>
  </si>
  <si>
    <t>402-6551026-9433126</t>
  </si>
  <si>
    <t>TX4j0cYz9</t>
  </si>
  <si>
    <t>DJP704yGcS0RR</t>
  </si>
  <si>
    <t>2026-07-17T13:27:40+05:30</t>
  </si>
  <si>
    <t>2026-07-17T23:00:51+05:30</t>
  </si>
  <si>
    <t>2026-07-17T23:00:54+05:30</t>
  </si>
  <si>
    <t>2026-07-18T00:01:11+05:30</t>
  </si>
  <si>
    <t>hzlz9hsn1yt331t@marketplace.amazon.in</t>
  </si>
  <si>
    <t>BEAWAR</t>
  </si>
  <si>
    <t>406-6689178-7941954</t>
  </si>
  <si>
    <t>TXWqy6lp9</t>
  </si>
  <si>
    <t>DZWmSPyccc0jR</t>
  </si>
  <si>
    <t>2026-07-17T16:45:15+05:30</t>
  </si>
  <si>
    <t>2026-07-17T22:56:44+05:30</t>
  </si>
  <si>
    <t>2026-07-18T01:56:55+05:30</t>
  </si>
  <si>
    <t>qwstvmx30pk1nhg@marketplace.amazon.in</t>
  </si>
  <si>
    <t>NANDURBAR</t>
  </si>
  <si>
    <t>408-9286351-9203553</t>
  </si>
  <si>
    <t>TJ0Cf6YM9</t>
  </si>
  <si>
    <t>Db9FS5yyc001R</t>
  </si>
  <si>
    <t>2026-07-17T13:51:34+05:30</t>
  </si>
  <si>
    <t>2026-07-17T22:54:42+05:30</t>
  </si>
  <si>
    <t>2026-07-18T01:54:54+05:30</t>
  </si>
  <si>
    <t>sb8gg8yb6vys787@marketplace.amazon.in</t>
  </si>
  <si>
    <t>PEN</t>
  </si>
  <si>
    <t>171-8344797-5553127</t>
  </si>
  <si>
    <t>TGXs8QYw9</t>
  </si>
  <si>
    <t>D38WS3yscC0XR</t>
  </si>
  <si>
    <t>2026-07-17T13:09:23+05:30</t>
  </si>
  <si>
    <t>2026-07-17T22:53:43+05:30</t>
  </si>
  <si>
    <t>2026-07-18T01:53:56+05:30</t>
  </si>
  <si>
    <t>x9hgtvzflx1fk94@marketplace.amazon.in</t>
  </si>
  <si>
    <t>Cubes-Grey (12Q)</t>
  </si>
  <si>
    <t>Crasome Packing Cubes for Travel, Travel Organizer for Men &amp; Women, Travel Storage Bag, Travel Organizer, Packing Bag for Clothes (Grey-12)</t>
  </si>
  <si>
    <t>403-1990492-1589907</t>
  </si>
  <si>
    <t>T1w0rml39</t>
  </si>
  <si>
    <t>DFF864yWcq0mR</t>
  </si>
  <si>
    <t>2026-07-17T18:46:50+05:30</t>
  </si>
  <si>
    <t>2026-07-17T22:37:40+05:30</t>
  </si>
  <si>
    <t>2026-07-17T22:37:43+05:30</t>
  </si>
  <si>
    <t>2026-07-17T23:37:54+05:30</t>
  </si>
  <si>
    <t>stjh3k4rcfpdrgh@marketplace.amazon.in</t>
  </si>
  <si>
    <t>405-0181657-2557971</t>
  </si>
  <si>
    <t>TwQsc7lb9</t>
  </si>
  <si>
    <t>Dczg6zyDc90fR</t>
  </si>
  <si>
    <t>2026-07-17T18:59:34+05:30</t>
  </si>
  <si>
    <t>2026-07-17T22:36:45+05:30</t>
  </si>
  <si>
    <t>2026-07-18T01:36:58+05:30</t>
  </si>
  <si>
    <t>2dh0z1v0l4p3w7m@marketplace.amazon.in</t>
  </si>
  <si>
    <t>GHOTI</t>
  </si>
  <si>
    <t>408-7153749-1765164</t>
  </si>
  <si>
    <t>TGXz2Gls9</t>
  </si>
  <si>
    <t>D26d6Fy1cL0kR</t>
  </si>
  <si>
    <t>2026-07-17T19:06:56+05:30</t>
  </si>
  <si>
    <t>2026-07-17T22:30:47+05:30</t>
  </si>
  <si>
    <t>2026-07-18T01:30:58+05:30</t>
  </si>
  <si>
    <t>pv68pssr82n42bc@marketplace.amazon.in</t>
  </si>
  <si>
    <t>406-3230655-0247545</t>
  </si>
  <si>
    <t>T1ZHwHll9</t>
  </si>
  <si>
    <t>DTBhdBy1c40gR</t>
  </si>
  <si>
    <t>2026-07-17T18:05:07+05:30</t>
  </si>
  <si>
    <t>2026-07-17T22:22:46+05:30</t>
  </si>
  <si>
    <t>2026-07-18T01:22:59+05:30</t>
  </si>
  <si>
    <t>2f0dstkqxtn4pw3@marketplace.amazon.in</t>
  </si>
  <si>
    <t>407-4528167-6925142</t>
  </si>
  <si>
    <t>TVq6NSlg9</t>
  </si>
  <si>
    <t>DZ7hGcy8cF0gR</t>
  </si>
  <si>
    <t>2026-07-17T13:48:45+05:30</t>
  </si>
  <si>
    <t>2026-07-17T22:05:47+05:30</t>
  </si>
  <si>
    <t>2026-07-18T01:06:00+05:30</t>
  </si>
  <si>
    <t>m3sydfvt917h362@marketplace.amazon.in</t>
  </si>
  <si>
    <t>402-2365480-0267543</t>
  </si>
  <si>
    <t>Tn4pdMYb9</t>
  </si>
  <si>
    <t>DRGhGkyScs0cR</t>
  </si>
  <si>
    <t>2026-07-17T12:13:55+05:30</t>
  </si>
  <si>
    <t>2026-07-17T21:53:38+05:30</t>
  </si>
  <si>
    <t>2026-07-17T21:53:41+05:30</t>
  </si>
  <si>
    <t>2026-07-17T22:53:52+05:30</t>
  </si>
  <si>
    <t>404-8823513-1237159</t>
  </si>
  <si>
    <t>TV7kvGlz9</t>
  </si>
  <si>
    <t>D1SSPDyPcb0pR</t>
  </si>
  <si>
    <t>2026-07-17T17:57:11+05:30</t>
  </si>
  <si>
    <t>2026-07-17T21:36:43+05:30</t>
  </si>
  <si>
    <t>2026-07-18T00:36:58+05:30</t>
  </si>
  <si>
    <t>yqyd9bj8pm5l7f6@marketplace.amazon.in</t>
  </si>
  <si>
    <t>408-0034216-5301113</t>
  </si>
  <si>
    <t>Tgdj9rl59</t>
  </si>
  <si>
    <t>DXg2TRyTcs00R</t>
  </si>
  <si>
    <t>2026-07-17T15:45:00+05:30</t>
  </si>
  <si>
    <t>2026-07-17T21:10:46+05:30</t>
  </si>
  <si>
    <t>2026-07-18T00:10:59+05:30</t>
  </si>
  <si>
    <t>grchl538dv7vwgy@marketplace.amazon.in</t>
  </si>
  <si>
    <t>Pimpri Chinchwad</t>
  </si>
  <si>
    <t>DJgrT2yJcs00R</t>
  </si>
  <si>
    <t>407-0573425-4205917</t>
  </si>
  <si>
    <t>TNNZYmds9</t>
  </si>
  <si>
    <t>DVxjTTyccf0PR</t>
  </si>
  <si>
    <t>2026-07-13T14:07:27+05:30</t>
  </si>
  <si>
    <t>2026-07-17T21:01:48+05:30</t>
  </si>
  <si>
    <t>2026-07-18T00:02:01+05:30</t>
  </si>
  <si>
    <t>58ksb13pv3hbrhw@marketplace.amazon.in</t>
  </si>
  <si>
    <t>403-0848146-3660367</t>
  </si>
  <si>
    <t>T332L7lW9</t>
  </si>
  <si>
    <t>DhJKT0yXcv0qR</t>
  </si>
  <si>
    <t>2026-07-17T19:24:53+05:30</t>
  </si>
  <si>
    <t>2026-07-17T21:01:46+05:30</t>
  </si>
  <si>
    <t>2026-07-18T00:01:57+05:30</t>
  </si>
  <si>
    <t>rpzmddlycfss3zy@marketplace.amazon.in</t>
  </si>
  <si>
    <t>403-8015941-3074765</t>
  </si>
  <si>
    <t>TwqhbZlJ9</t>
  </si>
  <si>
    <t>DgXbnkyhcW0gR</t>
  </si>
  <si>
    <t>2026-07-17T14:45:30+05:30</t>
  </si>
  <si>
    <t>2026-07-17T20:59:48+05:30</t>
  </si>
  <si>
    <t>2026-07-18T00:00:00+05:30</t>
  </si>
  <si>
    <t>402-9422986-5142714</t>
  </si>
  <si>
    <t>TwTbrVl09</t>
  </si>
  <si>
    <t>DV5FnKymcx0qR</t>
  </si>
  <si>
    <t>2026-07-17T18:32:34+05:30</t>
  </si>
  <si>
    <t>2026-07-17T20:59:45+05:30</t>
  </si>
  <si>
    <t>2026-07-18T00:00:01+05:30</t>
  </si>
  <si>
    <t>dg5tt556g7q6nz4@marketplace.amazon.in</t>
  </si>
  <si>
    <t>405-9455464-9298755</t>
  </si>
  <si>
    <t>TgxdP9Yq9</t>
  </si>
  <si>
    <t>DNVznkyZcL0sR</t>
  </si>
  <si>
    <t>2026-07-17T11:11:36+05:30</t>
  </si>
  <si>
    <t>2026-07-17T20:54:46+05:30</t>
  </si>
  <si>
    <t>2026-07-17T23:55:00+05:30</t>
  </si>
  <si>
    <t>wd2qk8wwfty52wh@marketplace.amazon.in</t>
  </si>
  <si>
    <t>407-6174871-1313904</t>
  </si>
  <si>
    <t>TVxR1bl49</t>
  </si>
  <si>
    <t>DQ8nnyyJcD0pR</t>
  </si>
  <si>
    <t>2026-07-17T17:27:47+05:30</t>
  </si>
  <si>
    <t>2026-07-17T20:51:49+05:30</t>
  </si>
  <si>
    <t>2026-07-17T23:52:00+05:30</t>
  </si>
  <si>
    <t>m5bycxgt2zjg02k@marketplace.amazon.in</t>
  </si>
  <si>
    <t>406-2684101-0055532</t>
  </si>
  <si>
    <t>T1cHscl19</t>
  </si>
  <si>
    <t>DPHCnLy0cP0TR</t>
  </si>
  <si>
    <t>2026-07-17T18:24:05+05:30</t>
  </si>
  <si>
    <t>2026-07-17T20:51:40+05:30</t>
  </si>
  <si>
    <t>2026-07-17T20:51:43+05:30</t>
  </si>
  <si>
    <t>2026-07-17T21:51:53+05:30</t>
  </si>
  <si>
    <t>2kd77zj8gy6bdqx@marketplace.amazon.in</t>
  </si>
  <si>
    <t>405-8513640-9920316</t>
  </si>
  <si>
    <t>TGFTysl59</t>
  </si>
  <si>
    <t>DbHpn1ywcP0TR</t>
  </si>
  <si>
    <t>2026-07-17T17:14:32+05:30</t>
  </si>
  <si>
    <t>2026-07-17T20:46:47+05:30</t>
  </si>
  <si>
    <t>2026-07-17T23:47:01+05:30</t>
  </si>
  <si>
    <t>trg99p0p07rqn6g@marketplace.amazon.in</t>
  </si>
  <si>
    <t>404-2674254-9091544</t>
  </si>
  <si>
    <t>T626KsYj9</t>
  </si>
  <si>
    <t>DpSlxdyscC0JR</t>
  </si>
  <si>
    <t>2026-07-17T14:27:10+05:30</t>
  </si>
  <si>
    <t>2026-07-17T20:40:45+05:30</t>
  </si>
  <si>
    <t>2026-07-17T23:40:56+05:30</t>
  </si>
  <si>
    <t>glhvcvs0vdrpgr3@marketplace.amazon.in</t>
  </si>
  <si>
    <t>407-2360023-9719528</t>
  </si>
  <si>
    <t>TcgjWMYQ9</t>
  </si>
  <si>
    <t>DjkyxbyHcp09R</t>
  </si>
  <si>
    <t>2026-07-17T15:39:56+05:30</t>
  </si>
  <si>
    <t>2026-07-17T20:35:45+05:30</t>
  </si>
  <si>
    <t>2026-07-17T23:35:57+05:30</t>
  </si>
  <si>
    <t>rldc29zz251zrrd@marketplace.amazon.in</t>
  </si>
  <si>
    <t>DZkCxZyHcp09R</t>
  </si>
  <si>
    <t>DT8HxSycc90ZR</t>
  </si>
  <si>
    <t>402-5846462-4381920</t>
  </si>
  <si>
    <t>TJNV6zCD9</t>
  </si>
  <si>
    <t>DyHrxbyRcF00R</t>
  </si>
  <si>
    <t>2026-07-16T22:26:29+05:30</t>
  </si>
  <si>
    <t>2026-07-17T20:32:49+05:30</t>
  </si>
  <si>
    <t>2026-07-17T23:33:02+05:30</t>
  </si>
  <si>
    <t>xh539t80g30wpn9@marketplace.amazon.in</t>
  </si>
  <si>
    <t>NAHARLAGUN</t>
  </si>
  <si>
    <t>ARUNACHAL PRADESH</t>
  </si>
  <si>
    <t>171-6118822-8920307</t>
  </si>
  <si>
    <t>TnZgrDlq9</t>
  </si>
  <si>
    <t>D3hMxyycc00TR</t>
  </si>
  <si>
    <t>2026-07-17T18:36:33+05:30</t>
  </si>
  <si>
    <t>2026-07-17T20:30:46+05:30</t>
  </si>
  <si>
    <t>2026-07-17T23:30:58+05:30</t>
  </si>
  <si>
    <t>44rjdnh5zfxyfcy@marketplace.amazon.in</t>
  </si>
  <si>
    <t>DG0vxYy7cS04R</t>
  </si>
  <si>
    <t>405-9516278-3088331</t>
  </si>
  <si>
    <t>T62RN0lR9</t>
  </si>
  <si>
    <t>DQngx3yGcq0ZR</t>
  </si>
  <si>
    <t>2026-07-17T16:23:17+05:30</t>
  </si>
  <si>
    <t>2026-07-17T20:29:48+05:30</t>
  </si>
  <si>
    <t>2026-07-17T23:34:12+05:30</t>
  </si>
  <si>
    <t>8wrs36t5cdtl1m1@marketplace.amazon.in</t>
  </si>
  <si>
    <t>404-5045328-2137906</t>
  </si>
  <si>
    <t>TglzDXlr9</t>
  </si>
  <si>
    <t>DzKM3xyMcZ0CR</t>
  </si>
  <si>
    <t>2026-07-17T16:26:35+05:30</t>
  </si>
  <si>
    <t>2026-07-17T20:23:40+05:30</t>
  </si>
  <si>
    <t>2026-07-17T20:23:43+05:30</t>
  </si>
  <si>
    <t>2026-07-17T21:23:54+05:30</t>
  </si>
  <si>
    <t>nr123z1jmjkgd6j@marketplace.amazon.in</t>
  </si>
  <si>
    <t>404-5301421-4989916</t>
  </si>
  <si>
    <t>TNXvZVCM9</t>
  </si>
  <si>
    <t>D9YW3XyvcD0nR</t>
  </si>
  <si>
    <t>2026-07-17T01:43:37+05:30</t>
  </si>
  <si>
    <t>2026-07-17T20:11:43+05:30</t>
  </si>
  <si>
    <t>2026-07-17T23:11:59+05:30</t>
  </si>
  <si>
    <t>ww4lzcvm54fwr1s@marketplace.amazon.in</t>
  </si>
  <si>
    <t>407-7860936-0624330</t>
  </si>
  <si>
    <t>TVrQFll69</t>
  </si>
  <si>
    <t>DnF1JgygcC04R</t>
  </si>
  <si>
    <t>2026-07-17T17:11:27+05:30</t>
  </si>
  <si>
    <t>2026-07-17T20:08:44+05:30</t>
  </si>
  <si>
    <t>2026-07-17T23:08:57+05:30</t>
  </si>
  <si>
    <t>0trk56449b1zgr2@marketplace.amazon.in</t>
  </si>
  <si>
    <t>406-3332798-2877102</t>
  </si>
  <si>
    <t>TVgkd1Yr9</t>
  </si>
  <si>
    <t>DCcvJbyBcR0QR</t>
  </si>
  <si>
    <t>2026-07-17T11:57:11+05:30</t>
  </si>
  <si>
    <t>2026-07-17T19:58:45+05:30</t>
  </si>
  <si>
    <t>2026-07-17T22:59:01+05:30</t>
  </si>
  <si>
    <t>dd13gvs4zlb0cjf@marketplace.amazon.in</t>
  </si>
  <si>
    <t>DNrWJfyYcz0zR</t>
  </si>
  <si>
    <t>404-2879444-1481153</t>
  </si>
  <si>
    <t>TwpzvRYS9</t>
  </si>
  <si>
    <t>DR6lJJyBcy0xR</t>
  </si>
  <si>
    <t>2026-07-17T07:32:57+05:30</t>
  </si>
  <si>
    <t>2026-07-17T19:55:46+05:30</t>
  </si>
  <si>
    <t>2026-07-17T22:55:59+05:30</t>
  </si>
  <si>
    <t>5tp2t259wm5ds2g@marketplace.amazon.in</t>
  </si>
  <si>
    <t>BAGDA</t>
  </si>
  <si>
    <t>CP-1-Black</t>
  </si>
  <si>
    <t>CRASOME Laptop Charger Pouch, Travel Organizer Pouch, Gadget Charger Pouch for Mouse, USB, Charger, Cables, Hard Disk (Black)</t>
  </si>
  <si>
    <t>Dy6cJJyBcy0xR</t>
  </si>
  <si>
    <t>DM6fJxyBcy0xR</t>
  </si>
  <si>
    <t>DdcPJpypcp0QR</t>
  </si>
  <si>
    <t>405-7363194-2739565</t>
  </si>
  <si>
    <t>TCRLgXfH9</t>
  </si>
  <si>
    <t>DPvSMfyxcq0nR</t>
  </si>
  <si>
    <t>2026-07-16T15:14:52+05:30</t>
  </si>
  <si>
    <t>2026-07-17T19:51:47+05:30</t>
  </si>
  <si>
    <t>2026-07-17T22:52:00+05:30</t>
  </si>
  <si>
    <t>cxz9z0kp75x1jpc@marketplace.amazon.in</t>
  </si>
  <si>
    <t>SANGARIA</t>
  </si>
  <si>
    <t>405-0348476-9241109</t>
  </si>
  <si>
    <t>Tgngf7Yh9</t>
  </si>
  <si>
    <t>DjW9MzyHcX07R</t>
  </si>
  <si>
    <t>2026-07-17T15:10:55+05:30</t>
  </si>
  <si>
    <t>2026-07-17T19:43:43+05:30</t>
  </si>
  <si>
    <t>2026-07-17T19:43:46+05:30</t>
  </si>
  <si>
    <t>2026-07-17T20:43:57+05:30</t>
  </si>
  <si>
    <t>tmwycwt24kctqvq@marketplace.amazon.in</t>
  </si>
  <si>
    <t>406-7483170-1571523</t>
  </si>
  <si>
    <t>TNsC54Yc9</t>
  </si>
  <si>
    <t>DJlCMjy0cV0kR</t>
  </si>
  <si>
    <t>2026-07-17T14:29:22+05:30</t>
  </si>
  <si>
    <t>2026-07-17T19:38:52+05:30</t>
  </si>
  <si>
    <t>2026-07-17T22:39:03+05:30</t>
  </si>
  <si>
    <t>j105qfr5qyy9zc9@marketplace.amazon.in</t>
  </si>
  <si>
    <t>Konni</t>
  </si>
  <si>
    <t>402-5428879-6996341</t>
  </si>
  <si>
    <t>TNz3G5YH9</t>
  </si>
  <si>
    <t>DfYSM6yhc50LR</t>
  </si>
  <si>
    <t>2026-07-17T11:06:24+05:30</t>
  </si>
  <si>
    <t>2026-07-17T19:36:53+05:30</t>
  </si>
  <si>
    <t>2026-07-17T22:37:07+05:30</t>
  </si>
  <si>
    <t>mp69kksvzxj1ydd@marketplace.amazon.in</t>
  </si>
  <si>
    <t>Dkvr1Gyqcx0tR</t>
  </si>
  <si>
    <t>404-4131323-9524303</t>
  </si>
  <si>
    <t>T65Cj2YK9</t>
  </si>
  <si>
    <t>D45b1Rybcq0BR</t>
  </si>
  <si>
    <t>2026-07-17T14:57:56+05:30</t>
  </si>
  <si>
    <t>2026-07-17T19:32:44+05:30</t>
  </si>
  <si>
    <t>2026-07-17T22:32:56+05:30</t>
  </si>
  <si>
    <t>3nv9sc1p7l27lzh@marketplace.amazon.in</t>
  </si>
  <si>
    <t>404-7388967-5457135</t>
  </si>
  <si>
    <t>T1FW52Yg9</t>
  </si>
  <si>
    <t>Dlq41PyqcH03R</t>
  </si>
  <si>
    <t>2026-07-17T15:27:41+05:30</t>
  </si>
  <si>
    <t>2026-07-17T19:17:44+05:30</t>
  </si>
  <si>
    <t>2026-07-17T19:17:46+05:30</t>
  </si>
  <si>
    <t>2026-07-17T20:17:59+05:30</t>
  </si>
  <si>
    <t>l2fspjyxxwt3j63@marketplace.amazon.in</t>
  </si>
  <si>
    <t>171-0344881-4043563</t>
  </si>
  <si>
    <t>TCz01BJd9</t>
  </si>
  <si>
    <t>D4kmrXyWcM0MR</t>
  </si>
  <si>
    <t>2026-07-13T13:00:32+05:30</t>
  </si>
  <si>
    <t>2026-07-17T19:15:45+05:30</t>
  </si>
  <si>
    <t>2026-07-17T22:15:58+05:30</t>
  </si>
  <si>
    <t>407-4661221-9749920</t>
  </si>
  <si>
    <t>TVcHqfYS9</t>
  </si>
  <si>
    <t>DKjbrnyNcd0dR</t>
  </si>
  <si>
    <t>2026-07-17T15:56:57+05:30</t>
  </si>
  <si>
    <t>2026-07-17T19:14:44+05:30</t>
  </si>
  <si>
    <t>2026-07-17T19:14:47+05:30</t>
  </si>
  <si>
    <t>2026-07-17T20:14:57+05:30</t>
  </si>
  <si>
    <t>91wkw4cy3kc9nhy@marketplace.amazon.in</t>
  </si>
  <si>
    <t>DURGAPUR</t>
  </si>
  <si>
    <t>406-8376101-5852358</t>
  </si>
  <si>
    <t>TCPwgCYC9</t>
  </si>
  <si>
    <t>DpkSrnyScM0MR</t>
  </si>
  <si>
    <t>2026-07-17T12:56:35+05:30</t>
  </si>
  <si>
    <t>2026-07-17T19:13:58+05:30</t>
  </si>
  <si>
    <t>2026-07-17T22:14:26+05:30</t>
  </si>
  <si>
    <t>1v4vqm1mwqb2n95@marketplace.amazon.in</t>
  </si>
  <si>
    <t>408-5141723-7134768</t>
  </si>
  <si>
    <t>TgFcWTYJ9</t>
  </si>
  <si>
    <t>D0G6rMyJcd0hR</t>
  </si>
  <si>
    <t>2026-07-17T15:55:07+05:30</t>
  </si>
  <si>
    <t>2026-07-17T19:05:46+05:30</t>
  </si>
  <si>
    <t>2026-07-17T22:05:57+05:30</t>
  </si>
  <si>
    <t>vmjwdrly89655n1@marketplace.amazon.in</t>
  </si>
  <si>
    <t>404-9452616-7303534</t>
  </si>
  <si>
    <t>TJFFf8Y29</t>
  </si>
  <si>
    <t>DHQ87pyMc80dR</t>
  </si>
  <si>
    <t>2026-07-17T13:52:37+05:30</t>
  </si>
  <si>
    <t>2026-07-17T18:49:45+05:30</t>
  </si>
  <si>
    <t>2026-07-17T21:49:57+05:30</t>
  </si>
  <si>
    <t>254cws00sfm49l6@marketplace.amazon.in</t>
  </si>
  <si>
    <t>408-6358054-7941965</t>
  </si>
  <si>
    <t>TCVWdhYt9</t>
  </si>
  <si>
    <t>D0sHLvyTcF0mR</t>
  </si>
  <si>
    <t>2026-07-17T11:49:01+05:30</t>
  </si>
  <si>
    <t>2026-07-17T18:27:42+05:30</t>
  </si>
  <si>
    <t>2026-07-17T21:27:56+05:30</t>
  </si>
  <si>
    <t>q53d8vdkn58lc56@marketplace.amazon.in</t>
  </si>
  <si>
    <t>GOA VELHA</t>
  </si>
  <si>
    <t>DMdDLxyjcB05R</t>
  </si>
  <si>
    <t>Dzd8LRyjcB05R</t>
  </si>
  <si>
    <t>408-5828605-2611514</t>
  </si>
  <si>
    <t>T6MVgtYQ9</t>
  </si>
  <si>
    <t>DWk8sjymcz0KR</t>
  </si>
  <si>
    <t>2026-07-17T13:41:56+05:30</t>
  </si>
  <si>
    <t>2026-07-17T18:22:54+05:30</t>
  </si>
  <si>
    <t>2026-07-17T21:23:12+05:30</t>
  </si>
  <si>
    <t>n29btzbccd4v54z@marketplace.amazon.in</t>
  </si>
  <si>
    <t>403-8343647-8264319</t>
  </si>
  <si>
    <t>TGQpSTYG9</t>
  </si>
  <si>
    <t>DKY2s3yCcq0zR</t>
  </si>
  <si>
    <t>2026-07-17T11:28:30+05:30</t>
  </si>
  <si>
    <t>2026-07-17T18:17:44+05:30</t>
  </si>
  <si>
    <t>2026-07-17T21:17:56+05:30</t>
  </si>
  <si>
    <t>hpxg8n4fgw6j387@marketplace.amazon.in</t>
  </si>
  <si>
    <t>406-4633491-9129129</t>
  </si>
  <si>
    <t>TX7p8gYQ9</t>
  </si>
  <si>
    <t>DdpLsVyjc00qR</t>
  </si>
  <si>
    <t>2026-07-17T12:54:43+05:30</t>
  </si>
  <si>
    <t>2026-07-17T18:11:50+05:30</t>
  </si>
  <si>
    <t>2026-07-17T21:12:01+05:30</t>
  </si>
  <si>
    <t>y82cqhc9n48m0xg@marketplace.amazon.in</t>
  </si>
  <si>
    <t>407-8134762-6712368</t>
  </si>
  <si>
    <t>T3bgdvsd9</t>
  </si>
  <si>
    <t>Dkpms1yXc00qR</t>
  </si>
  <si>
    <t>2026-07-14T18:02:01+05:30</t>
  </si>
  <si>
    <t>2026-07-17T18:10:44+05:30</t>
  </si>
  <si>
    <t>2026-07-17T18:10:47+05:30</t>
  </si>
  <si>
    <t>2026-07-17T19:10:58+05:30</t>
  </si>
  <si>
    <t>wq9t1wsgnlvxx6w@marketplace.amazon.in</t>
  </si>
  <si>
    <t>PUNAHANA</t>
  </si>
  <si>
    <t>171-4273257-5481100</t>
  </si>
  <si>
    <t>TnqDDZYK9</t>
  </si>
  <si>
    <t>DXNjQNy2cF0DR</t>
  </si>
  <si>
    <t>2026-07-17T02:11:05+05:30</t>
  </si>
  <si>
    <t>2026-07-17T18:08:56+05:30</t>
  </si>
  <si>
    <t>2026-07-17T21:13:06+05:30</t>
  </si>
  <si>
    <t>jbhtl2w8s8x0p6l@marketplace.amazon.in</t>
  </si>
  <si>
    <t>407-8804453-3397934</t>
  </si>
  <si>
    <t>T1xLZQYr9</t>
  </si>
  <si>
    <t>DgN7cTyPck0xR</t>
  </si>
  <si>
    <t>2026-07-17T13:25:55+05:30</t>
  </si>
  <si>
    <t>2026-07-17T17:50:39+05:30</t>
  </si>
  <si>
    <t>2026-07-17T17:50:43+05:30</t>
  </si>
  <si>
    <t>2026-07-17T18:50:56+05:30</t>
  </si>
  <si>
    <t>35fzb2jb3wq5p6x@marketplace.amazon.in</t>
  </si>
  <si>
    <t>RAMPUR MANIHARAN</t>
  </si>
  <si>
    <t>408-4852651-0914751</t>
  </si>
  <si>
    <t>TVWMR4lP9</t>
  </si>
  <si>
    <t>Dkyzc3yccB0lR</t>
  </si>
  <si>
    <t>2026-07-17T15:24:53+05:30</t>
  </si>
  <si>
    <t>2026-07-17T17:49:45+05:30</t>
  </si>
  <si>
    <t>2026-07-17T20:49:56+05:30</t>
  </si>
  <si>
    <t>cj3s7k9k8jyhzsq@marketplace.amazon.in</t>
  </si>
  <si>
    <t>171-4885850-0973126</t>
  </si>
  <si>
    <t>T6YFHClv9</t>
  </si>
  <si>
    <t>DqwpcDykcl0GR</t>
  </si>
  <si>
    <t>2026-07-17T16:12:02+05:30</t>
  </si>
  <si>
    <t>2026-07-17T17:45:44+05:30</t>
  </si>
  <si>
    <t>2026-07-17T20:45:55+05:30</t>
  </si>
  <si>
    <t>r4nzdwhvlrdlt7x@marketplace.amazon.in</t>
  </si>
  <si>
    <t>BALLIA</t>
  </si>
  <si>
    <t>171-9993823-8706710</t>
  </si>
  <si>
    <t>T3gKpYYr9</t>
  </si>
  <si>
    <t>DHZjcSydcD0nR</t>
  </si>
  <si>
    <t>2026-07-17T12:38:37+05:30</t>
  </si>
  <si>
    <t>2026-07-17T17:44:44+05:30</t>
  </si>
  <si>
    <t>2026-07-17T17:44:48+05:30</t>
  </si>
  <si>
    <t>2026-07-17T18:44:59+05:30</t>
  </si>
  <si>
    <t>16cqc8vzcvm87nk@marketplace.amazon.in</t>
  </si>
  <si>
    <t>404-1393393-5661945</t>
  </si>
  <si>
    <t>T6pWW1YS9</t>
  </si>
  <si>
    <t>DJZNcTy3cD0nR</t>
  </si>
  <si>
    <t>2026-07-17T15:00:02+05:30</t>
  </si>
  <si>
    <t>2026-07-17T17:43:46+05:30</t>
  </si>
  <si>
    <t>2026-07-17T20:44:01+05:30</t>
  </si>
  <si>
    <t>x7frdk06y6qbnsw@marketplace.amazon.in</t>
  </si>
  <si>
    <t>406-5906914-9136326</t>
  </si>
  <si>
    <t>TVjn6CCy9</t>
  </si>
  <si>
    <t>DPwDcwymcY0GR</t>
  </si>
  <si>
    <t>2026-07-16T22:24:05+05:30</t>
  </si>
  <si>
    <t>2026-07-17T17:42:46+05:30</t>
  </si>
  <si>
    <t>2026-07-17T20:42:57+05:30</t>
  </si>
  <si>
    <t>8h7ytzsw8jgwtdx@marketplace.amazon.in</t>
  </si>
  <si>
    <t>171-1164105-9129110</t>
  </si>
  <si>
    <t>TcC2nGYh9</t>
  </si>
  <si>
    <t>D5GhzvylcW0lR</t>
  </si>
  <si>
    <t>2026-07-17T09:09:01+05:30</t>
  </si>
  <si>
    <t>2026-07-17T17:08:42+05:30</t>
  </si>
  <si>
    <t>2026-07-17T20:08:54+05:30</t>
  </si>
  <si>
    <t>8jf3n0jjrmthmjn@marketplace.amazon.in</t>
  </si>
  <si>
    <t>405-6670599-0444331</t>
  </si>
  <si>
    <t>TNlYPQYD9</t>
  </si>
  <si>
    <t>DPGzzGyncW0lR</t>
  </si>
  <si>
    <t>2026-07-17T11:31:29+05:30</t>
  </si>
  <si>
    <t>2026-07-17T17:05:43+05:30</t>
  </si>
  <si>
    <t>2026-07-17T20:05:56+05:30</t>
  </si>
  <si>
    <t>4zp03d198zwlbvk@marketplace.amazon.in</t>
  </si>
  <si>
    <t>KARJAN</t>
  </si>
  <si>
    <t>404-4023370-4606716</t>
  </si>
  <si>
    <t>T3wqTXYT9</t>
  </si>
  <si>
    <t>DNq3z9ytcD0MR</t>
  </si>
  <si>
    <t>2026-07-17T10:09:28+05:30</t>
  </si>
  <si>
    <t>2026-07-17T17:03:43+05:30</t>
  </si>
  <si>
    <t>2026-07-17T20:03:58+05:30</t>
  </si>
  <si>
    <t>qtpzqt2568p1fs0@marketplace.amazon.in</t>
  </si>
  <si>
    <t>CRASOME Laptop Charger Pouch, Travel Organizer Pouch, Gadget Charger Pouch for Mouse, USB, Charger, Cables, Hard Disk (Pack of 2)</t>
  </si>
  <si>
    <t>BUNGAL</t>
  </si>
  <si>
    <t>402-2169196-5006705</t>
  </si>
  <si>
    <t>TJsvPRYm9</t>
  </si>
  <si>
    <t>DcVK2fyVcl0qR</t>
  </si>
  <si>
    <t>2026-07-17T11:23:30+05:30</t>
  </si>
  <si>
    <t>2026-07-17T16:40:41+05:30</t>
  </si>
  <si>
    <t>2026-07-17T16:40:43+05:30</t>
  </si>
  <si>
    <t>2026-07-17T17:40:55+05:30</t>
  </si>
  <si>
    <t>kqk8g6mrlbcljd4@marketplace.amazon.in</t>
  </si>
  <si>
    <t>171-5447438-8990705</t>
  </si>
  <si>
    <t>TJmRM3fN9</t>
  </si>
  <si>
    <t>Dbwm2tyBcy0mR</t>
  </si>
  <si>
    <t>2026-07-16T10:47:24+05:30</t>
  </si>
  <si>
    <t>2026-07-17T16:38:49+05:30</t>
  </si>
  <si>
    <t>2026-07-17T19:43:36+05:30</t>
  </si>
  <si>
    <t>ccrlddgnxl2mhbr@marketplace.amazon.in</t>
  </si>
  <si>
    <t>405-2964575-6976363</t>
  </si>
  <si>
    <t>Tc4gv3Ym9</t>
  </si>
  <si>
    <t>DhCp2DydcH0pR</t>
  </si>
  <si>
    <t>2026-07-17T09:45:48+05:30</t>
  </si>
  <si>
    <t>2026-07-17T16:35:42+05:30</t>
  </si>
  <si>
    <t>2026-07-17T16:35:45+05:30</t>
  </si>
  <si>
    <t>2026-07-17T17:35:58+05:30</t>
  </si>
  <si>
    <t>svfbqmj0639jrwx@marketplace.amazon.in</t>
  </si>
  <si>
    <t>404-2253880-8225163</t>
  </si>
  <si>
    <t>Tg6qXjCd9</t>
  </si>
  <si>
    <t>D1C62hyxcH0pR</t>
  </si>
  <si>
    <t>2026-07-16T22:17:31+05:30</t>
  </si>
  <si>
    <t>2026-07-17T16:33:11+05:30</t>
  </si>
  <si>
    <t>2026-07-17T16:33:16+05:30</t>
  </si>
  <si>
    <t>2026-07-17T17:33:30+05:30</t>
  </si>
  <si>
    <t>r5fcpbl1v474khm@marketplace.amazon.in</t>
  </si>
  <si>
    <t>171-5521714-7575532</t>
  </si>
  <si>
    <t>TgtTbpY99</t>
  </si>
  <si>
    <t>D8CC2Sy1c00TR</t>
  </si>
  <si>
    <t>2026-07-16T23:56:27+05:30</t>
  </si>
  <si>
    <t>2026-07-17T16:31:48+05:30</t>
  </si>
  <si>
    <t>2026-07-17T19:32:00+05:30</t>
  </si>
  <si>
    <t>rprzk69lsgg7730@marketplace.amazon.in</t>
  </si>
  <si>
    <t>404-0961022-6798712</t>
  </si>
  <si>
    <t>TnYzmFY89</t>
  </si>
  <si>
    <t>DPCm20ywcq0WR</t>
  </si>
  <si>
    <t>2026-07-17T12:37:27+05:30</t>
  </si>
  <si>
    <t>2026-07-17T16:31:43+05:30</t>
  </si>
  <si>
    <t>2026-07-17T19:31:55+05:30</t>
  </si>
  <si>
    <t>gc1kk0kkxv3lqm5@marketplace.amazon.in</t>
  </si>
  <si>
    <t>171-3872453-0320338</t>
  </si>
  <si>
    <t>TghD5RYH9</t>
  </si>
  <si>
    <t>DFfb2Fyvc60yR</t>
  </si>
  <si>
    <t>2026-07-17T14:48:36+05:30</t>
  </si>
  <si>
    <t>2026-07-17T16:28:46+05:30</t>
  </si>
  <si>
    <t>2026-07-17T19:28:59+05:30</t>
  </si>
  <si>
    <t>nmsz6y8zwb4ppfc@marketplace.amazon.in</t>
  </si>
  <si>
    <t>406-5716279-6385914</t>
  </si>
  <si>
    <t>TXCsNnYL9</t>
  </si>
  <si>
    <t>DCyTFVyYcw0NR</t>
  </si>
  <si>
    <t>2026-07-16T21:31:33+05:30</t>
  </si>
  <si>
    <t>2026-07-17T16:27:49+05:30</t>
  </si>
  <si>
    <t>2026-07-17T19:28:00+05:30</t>
  </si>
  <si>
    <t>pj93c55ln9y93zs@marketplace.amazon.in</t>
  </si>
  <si>
    <t>Saharsa</t>
  </si>
  <si>
    <t>403-6308477-2747526</t>
  </si>
  <si>
    <t>TX9xC7CF9</t>
  </si>
  <si>
    <t>DFl0Fkywc90CR</t>
  </si>
  <si>
    <t>2026-07-16T22:47:38+05:30</t>
  </si>
  <si>
    <t>2026-07-17T16:13:45+05:30</t>
  </si>
  <si>
    <t>2026-07-17T16:13:50+05:30</t>
  </si>
  <si>
    <t>2026-07-17T17:14:07+05:30</t>
  </si>
  <si>
    <t>3z6494dfh37fbfs@marketplace.amazon.in</t>
  </si>
  <si>
    <t>406-5482867-0033923</t>
  </si>
  <si>
    <t>TXdKmqYc9</t>
  </si>
  <si>
    <t>DhqVFFy4cW0VR</t>
  </si>
  <si>
    <t>2026-07-17T12:28:11+05:30</t>
  </si>
  <si>
    <t>2026-07-17T16:11:40+05:30</t>
  </si>
  <si>
    <t>2026-07-17T16:11:44+05:30</t>
  </si>
  <si>
    <t>2026-07-17T17:11:55+05:30</t>
  </si>
  <si>
    <t>hct1lh6673cygkc@marketplace.amazon.in</t>
  </si>
  <si>
    <t>402-3551182-4239554</t>
  </si>
  <si>
    <t>Tw9bj3YL9</t>
  </si>
  <si>
    <t>DW72DJykcg03R</t>
  </si>
  <si>
    <t>2026-07-17T14:29:10+05:30</t>
  </si>
  <si>
    <t>2026-07-17T16:03:42+05:30</t>
  </si>
  <si>
    <t>2026-07-17T16:03:45+05:30</t>
  </si>
  <si>
    <t>2026-07-17T17:03:57+05:30</t>
  </si>
  <si>
    <t>qh1fdblqf6qpvvj@marketplace.amazon.in</t>
  </si>
  <si>
    <t>402-7352055-4971522</t>
  </si>
  <si>
    <t>T33SnhYt9</t>
  </si>
  <si>
    <t>DSMCD2yZc60yR</t>
  </si>
  <si>
    <t>2026-07-17T10:01:50+05:30</t>
  </si>
  <si>
    <t>2026-07-17T16:01:46+05:30</t>
  </si>
  <si>
    <t>2026-07-17T19:01:58+05:30</t>
  </si>
  <si>
    <t>z9dtpy2vk2759fg@marketplace.amazon.in</t>
  </si>
  <si>
    <t>408-9604684-9148303</t>
  </si>
  <si>
    <t>TCZZ8zYT9</t>
  </si>
  <si>
    <t>DzsxDDy2cR0vR</t>
  </si>
  <si>
    <t>2026-07-17T12:42:22+05:30</t>
  </si>
  <si>
    <t>2026-07-17T15:58:44+05:30</t>
  </si>
  <si>
    <t>2026-07-17T18:58:56+05:30</t>
  </si>
  <si>
    <t>s47y51xdmg2g173@marketplace.amazon.in</t>
  </si>
  <si>
    <t>405-3931016-6561149</t>
  </si>
  <si>
    <t>TGMbtNYh9</t>
  </si>
  <si>
    <t>DQhbDZyMc80JR</t>
  </si>
  <si>
    <t>2026-07-17T09:13:58+05:30</t>
  </si>
  <si>
    <t>2026-07-17T15:57:44+05:30</t>
  </si>
  <si>
    <t>2026-07-17T18:57:57+05:30</t>
  </si>
  <si>
    <t>y5w8hbz0nj6k2fk@marketplace.amazon.in</t>
  </si>
  <si>
    <t>BHAGALPUR</t>
  </si>
  <si>
    <t>403-5757093-3989155</t>
  </si>
  <si>
    <t>Tw9XCjYx9</t>
  </si>
  <si>
    <t>Dc9hYvyJct0fR</t>
  </si>
  <si>
    <t>2026-07-17T13:24:56+05:30</t>
  </si>
  <si>
    <t>2026-07-17T15:47:46+05:30</t>
  </si>
  <si>
    <t>2026-07-17T18:47:58+05:30</t>
  </si>
  <si>
    <t>q519742gl6064py@marketplace.amazon.in</t>
  </si>
  <si>
    <t>Tiruchandur</t>
  </si>
  <si>
    <t>406-7375471-2133902</t>
  </si>
  <si>
    <t>T658qHGt9</t>
  </si>
  <si>
    <t>D32XY1yScH04R</t>
  </si>
  <si>
    <t>2026-07-15T08:40:19+05:30</t>
  </si>
  <si>
    <t>2026-07-17T15:46:47+05:30</t>
  </si>
  <si>
    <t>2026-07-17T18:47:00+05:30</t>
  </si>
  <si>
    <t>ysgqfhpgl1q35ng@marketplace.amazon.in</t>
  </si>
  <si>
    <t>EZHUDESAM</t>
  </si>
  <si>
    <t>404-3748310-0773917</t>
  </si>
  <si>
    <t>T6F6FM0d9</t>
  </si>
  <si>
    <t>DBbwy0yBcc0NR</t>
  </si>
  <si>
    <t>2026-07-15T21:47:19+05:30</t>
  </si>
  <si>
    <t>2026-07-17T15:26:47+05:30</t>
  </si>
  <si>
    <t>2026-07-17T18:26:59+05:30</t>
  </si>
  <si>
    <t>qm3ydh3sgmfs5b6@marketplace.amazon.in</t>
  </si>
  <si>
    <t>406-2940980-5149120</t>
  </si>
  <si>
    <t>T1RHCHYP9</t>
  </si>
  <si>
    <t>Dhkxw7y8cF0mR</t>
  </si>
  <si>
    <t>2026-07-17T12:39:24+05:30</t>
  </si>
  <si>
    <t>2026-07-17T15:18:42+05:30</t>
  </si>
  <si>
    <t>2026-07-17T18:18:54+05:30</t>
  </si>
  <si>
    <t>qhjsx80jvqg15b2@marketplace.amazon.in</t>
  </si>
  <si>
    <t>406-7874352-8660310</t>
  </si>
  <si>
    <t>Tw0b83YK9</t>
  </si>
  <si>
    <t>D13twJyrcz0nR</t>
  </si>
  <si>
    <t>2026-07-17T12:25:26+05:30</t>
  </si>
  <si>
    <t>2026-07-17T15:15:39+05:30</t>
  </si>
  <si>
    <t>2026-07-17T18:15:56+05:30</t>
  </si>
  <si>
    <t>ntx5wrkzn06618s@marketplace.amazon.in</t>
  </si>
  <si>
    <t>Rayavaram</t>
  </si>
  <si>
    <t>403-1392771-6081965</t>
  </si>
  <si>
    <t>TcPsgxYF9</t>
  </si>
  <si>
    <t>DgXtBlylcZ0RR</t>
  </si>
  <si>
    <t>2026-07-17T13:06:20+05:30</t>
  </si>
  <si>
    <t>2026-07-17T14:57:45+05:30</t>
  </si>
  <si>
    <t>2026-07-17T17:58:01+05:30</t>
  </si>
  <si>
    <t>lc7njd8cqvm8rvs@marketplace.amazon.in</t>
  </si>
  <si>
    <t>404-2267098-9384309</t>
  </si>
  <si>
    <t>TCWY0RfD9</t>
  </si>
  <si>
    <t>Dm2DBvyCcN0zR</t>
  </si>
  <si>
    <t>2026-07-16T11:43:48+05:30</t>
  </si>
  <si>
    <t>2026-07-17T14:52:49+05:30</t>
  </si>
  <si>
    <t>2026-07-17T17:53:06+05:30</t>
  </si>
  <si>
    <t>twm2vh5w9kf1fts@marketplace.amazon.in</t>
  </si>
  <si>
    <t>Anuppur</t>
  </si>
  <si>
    <t>405-2172905-6505918</t>
  </si>
  <si>
    <t>TXhBtNYC9</t>
  </si>
  <si>
    <t>DSpgBKyfcK0bR</t>
  </si>
  <si>
    <t>2026-07-17T10:26:18+05:30</t>
  </si>
  <si>
    <t>2026-07-17T14:41:52+05:30</t>
  </si>
  <si>
    <t>2026-07-17T17:42:07+05:30</t>
  </si>
  <si>
    <t>dz4y2vklvg1jlkx@marketplace.amazon.in</t>
  </si>
  <si>
    <t>DmyD97yHck04R</t>
  </si>
  <si>
    <t>Dby89DyHck04R</t>
  </si>
  <si>
    <t>DlyJ9DyHck04R</t>
  </si>
  <si>
    <t>DRy99DyHck04R</t>
  </si>
  <si>
    <t>171-8664268-1799512</t>
  </si>
  <si>
    <t>TJyHvZ0x9</t>
  </si>
  <si>
    <t>D9yK92y1c30pR</t>
  </si>
  <si>
    <t>2026-07-15T20:00:33+05:30</t>
  </si>
  <si>
    <t>2026-07-17T14:38:48+05:30</t>
  </si>
  <si>
    <t>2026-07-17T14:38:52+05:30</t>
  </si>
  <si>
    <t>2026-07-17T15:39:05+05:30</t>
  </si>
  <si>
    <t>hlvh07zjm31sj41@marketplace.amazon.in</t>
  </si>
  <si>
    <t>DM3s9byccr0tR</t>
  </si>
  <si>
    <t>408-0886024-2324366</t>
  </si>
  <si>
    <t>Twz7G7Y89</t>
  </si>
  <si>
    <t>DyZM9GyhcC0hR</t>
  </si>
  <si>
    <t>2026-07-17T10:23:20+05:30</t>
  </si>
  <si>
    <t>2026-07-17T14:37:47+05:30</t>
  </si>
  <si>
    <t>2026-07-17T17:38:05+05:30</t>
  </si>
  <si>
    <t>ys5vtg5xrqpbxvh@marketplace.amazon.in</t>
  </si>
  <si>
    <t>BAIDYABATI</t>
  </si>
  <si>
    <t>CP-2-Grey (2Q)</t>
  </si>
  <si>
    <t>CRASOME Laptop Charger Pouch, Travel Organizer Pouch, Gadget Charger Pouch for Mouse, USB, Charger, Cables, Power Bank, Dongle,Hard Disk, (CP2-Grey Pack-2)</t>
  </si>
  <si>
    <t>405-1600650-5603524</t>
  </si>
  <si>
    <t>TcQyqMCP9</t>
  </si>
  <si>
    <t>Dtz895yKcb07R</t>
  </si>
  <si>
    <t>2026-07-16T23:50:37+05:30</t>
  </si>
  <si>
    <t>2026-07-17T14:33:47+05:30</t>
  </si>
  <si>
    <t>2026-07-17T17:34:02+05:30</t>
  </si>
  <si>
    <t>gxjy5x6fk1mww0k@marketplace.amazon.in</t>
  </si>
  <si>
    <t>Orissa</t>
  </si>
  <si>
    <t>405-5210304-5709953</t>
  </si>
  <si>
    <t>TVmHsJYs9</t>
  </si>
  <si>
    <t>DxZV9vy0cC0hR</t>
  </si>
  <si>
    <t>2026-07-17T07:58:42+05:30</t>
  </si>
  <si>
    <t>2026-07-17T14:33:44+05:30</t>
  </si>
  <si>
    <t>2026-07-17T17:33:56+05:30</t>
  </si>
  <si>
    <t>46mzgpmqp8d0cnj@marketplace.amazon.in</t>
  </si>
  <si>
    <t>404-9429329-9080314</t>
  </si>
  <si>
    <t>TJgr8JYC9</t>
  </si>
  <si>
    <t>DZkh4Dy8c104R</t>
  </si>
  <si>
    <t>2026-07-17T13:17:43+05:30</t>
  </si>
  <si>
    <t>2026-07-17T14:25:44+05:30</t>
  </si>
  <si>
    <t>2026-07-17T17:25:56+05:30</t>
  </si>
  <si>
    <t>4ldrr2y5dfqgc3v@marketplace.amazon.in</t>
  </si>
  <si>
    <t>405-2933225-5505113</t>
  </si>
  <si>
    <t>TJqfCKCG9</t>
  </si>
  <si>
    <t>DHBV4Ry4cD0DR</t>
  </si>
  <si>
    <t>2026-07-16T22:19:52+05:30</t>
  </si>
  <si>
    <t>2026-07-17T14:17:44+05:30</t>
  </si>
  <si>
    <t>2026-07-17T17:17:58+05:30</t>
  </si>
  <si>
    <t>sdch467cwypjj53@marketplace.amazon.in</t>
  </si>
  <si>
    <t>403-3794988-1102710</t>
  </si>
  <si>
    <t>T6C5L9YD9</t>
  </si>
  <si>
    <t>DxLB45ywcG08R</t>
  </si>
  <si>
    <t>2026-07-17T09:16:16+05:30</t>
  </si>
  <si>
    <t>2026-07-17T14:16:42+05:30</t>
  </si>
  <si>
    <t>2026-07-17T14:16:44+05:30</t>
  </si>
  <si>
    <t>2026-07-17T15:17:01+05:30</t>
  </si>
  <si>
    <t>xws0skvczr69snt@marketplace.amazon.in</t>
  </si>
  <si>
    <t>402-6434400-2374737</t>
  </si>
  <si>
    <t>TC1RHsYr9</t>
  </si>
  <si>
    <t>DGYF4kyPcw0VR</t>
  </si>
  <si>
    <t>2026-07-17T00:46:49+05:30</t>
  </si>
  <si>
    <t>2026-07-17T14:12:52+05:30</t>
  </si>
  <si>
    <t>2026-07-17T17:13:06+05:30</t>
  </si>
  <si>
    <t>g7gy5fbmyk9v8qf@marketplace.amazon.in</t>
  </si>
  <si>
    <t>RAMNAGAR</t>
  </si>
  <si>
    <t>408-8560383-5175510</t>
  </si>
  <si>
    <t>TCdF3GYb9</t>
  </si>
  <si>
    <t>D3SCH8yxcY0XR</t>
  </si>
  <si>
    <t>2026-07-17T09:44:47+05:30</t>
  </si>
  <si>
    <t>2026-07-17T14:12:43+05:30</t>
  </si>
  <si>
    <t>2026-07-17T17:12:55+05:30</t>
  </si>
  <si>
    <t>1l1135vbyjv6kjs@marketplace.amazon.in</t>
  </si>
  <si>
    <t>171-1965632-4918737</t>
  </si>
  <si>
    <t>TcRsSXYy9</t>
  </si>
  <si>
    <t>Dj3lHdyycx01R</t>
  </si>
  <si>
    <t>2026-07-17T12:08:33+05:30</t>
  </si>
  <si>
    <t>2026-07-17T14:04:45+05:30</t>
  </si>
  <si>
    <t>2026-07-17T17:04:58+05:30</t>
  </si>
  <si>
    <t>5sw5ng91cxlp2cr@marketplace.amazon.in</t>
  </si>
  <si>
    <t>THOOTHUKKUDI</t>
  </si>
  <si>
    <t>171-2235529-0278766</t>
  </si>
  <si>
    <t>T1FYLdYQ9</t>
  </si>
  <si>
    <t>DvMHHMylcZ03R</t>
  </si>
  <si>
    <t>2026-07-17T10:10:20+05:30</t>
  </si>
  <si>
    <t>2026-07-17T13:59:48+05:30</t>
  </si>
  <si>
    <t>2026-07-17T17:00:05+05:30</t>
  </si>
  <si>
    <t>b8c00vd0y60th1w@marketplace.amazon.in</t>
  </si>
  <si>
    <t>408-2580153-2216368</t>
  </si>
  <si>
    <t>TVFHLJY69</t>
  </si>
  <si>
    <t>DtX8b5yvc004R</t>
  </si>
  <si>
    <t>2026-07-17T10:08:08+05:30</t>
  </si>
  <si>
    <t>2026-07-17T13:50:45+05:30</t>
  </si>
  <si>
    <t>2026-07-17T13:50:48+05:30</t>
  </si>
  <si>
    <t>2026-07-17T14:51:02+05:30</t>
  </si>
  <si>
    <t>v6jnh64y2rcwddm@marketplace.amazon.in</t>
  </si>
  <si>
    <t>Pathanamthitta Dt.</t>
  </si>
  <si>
    <t>407-3971253-2101100</t>
  </si>
  <si>
    <t>T3Jg7kY99</t>
  </si>
  <si>
    <t>DRjNbyyKcS0gR</t>
  </si>
  <si>
    <t>2026-07-17T10:32:18+05:30</t>
  </si>
  <si>
    <t>2026-07-17T13:45:44+05:30</t>
  </si>
  <si>
    <t>2026-07-17T16:45:56+05:30</t>
  </si>
  <si>
    <t>884mjl1qfr91r8b@marketplace.amazon.in</t>
  </si>
  <si>
    <t>406-9548817-2133141</t>
  </si>
  <si>
    <t>Tnyyd7vC4</t>
  </si>
  <si>
    <t>D8v5kqyhcC0TR</t>
  </si>
  <si>
    <t>2026-07-09T12:25:56+05:30</t>
  </si>
  <si>
    <t>2026-07-17T13:37:47+05:30</t>
  </si>
  <si>
    <t>2026-07-17T16:37:59+05:30</t>
  </si>
  <si>
    <t>xkwflw4w6w62g6y@marketplace.amazon.in</t>
  </si>
  <si>
    <t>404-6573386-3498704</t>
  </si>
  <si>
    <t>TwHSS7LH9</t>
  </si>
  <si>
    <t>DVpxbyymcn00R</t>
  </si>
  <si>
    <t>2026-07-14T11:15:38+05:30</t>
  </si>
  <si>
    <t>2026-07-17T13:33:43+05:30</t>
  </si>
  <si>
    <t>2026-07-17T16:33:55+05:30</t>
  </si>
  <si>
    <t>f2xgkgrscbn1kst@marketplace.amazon.in</t>
  </si>
  <si>
    <t>171-1479419-1341129</t>
  </si>
  <si>
    <t>TJtnbCY19</t>
  </si>
  <si>
    <t>DPmvk4ymcp0QR</t>
  </si>
  <si>
    <t>2026-07-16T18:35:17+05:30</t>
  </si>
  <si>
    <t>2026-07-17T13:32:49+05:30</t>
  </si>
  <si>
    <t>2026-07-17T16:33:03+05:30</t>
  </si>
  <si>
    <t>8vbq813g960wkcr@marketplace.amazon.in</t>
  </si>
  <si>
    <t>Db7pkFyQcx0QR</t>
  </si>
  <si>
    <t>405-4812512-7820335</t>
  </si>
  <si>
    <t>TCy6T4Y79</t>
  </si>
  <si>
    <t>DRv5k4yxcC0TR</t>
  </si>
  <si>
    <t>2026-07-17T10:49:00+05:30</t>
  </si>
  <si>
    <t>2026-07-17T13:32:46+05:30</t>
  </si>
  <si>
    <t>2026-07-17T16:32:58+05:30</t>
  </si>
  <si>
    <t>dn8fqjb7h08jqpd@marketplace.amazon.in</t>
  </si>
  <si>
    <t>407-5738813-2701934</t>
  </si>
  <si>
    <t>TJ4vjxCS9</t>
  </si>
  <si>
    <t>DHrTkFyhcH0lR</t>
  </si>
  <si>
    <t>2026-07-16T22:59:56+05:30</t>
  </si>
  <si>
    <t>2026-07-17T13:21:44+05:30</t>
  </si>
  <si>
    <t>2026-07-17T13:21:48+05:30</t>
  </si>
  <si>
    <t>2026-07-17T14:22:00+05:30</t>
  </si>
  <si>
    <t>3jj21wzqtd35ltp@marketplace.amazon.in</t>
  </si>
  <si>
    <t>Doraha</t>
  </si>
  <si>
    <t>404-8003320-7640326</t>
  </si>
  <si>
    <t>TJ1w11YQ9</t>
  </si>
  <si>
    <t>Ddk6Nryzcj09R</t>
  </si>
  <si>
    <t>2026-07-17T09:38:22+05:30</t>
  </si>
  <si>
    <t>2026-07-17T13:11:45+05:30</t>
  </si>
  <si>
    <t>2026-07-17T13:11:48+05:30</t>
  </si>
  <si>
    <t>2026-07-17T14:11:59+05:30</t>
  </si>
  <si>
    <t>23v0qpsqqh6vx51@marketplace.amazon.in</t>
  </si>
  <si>
    <t>406-8893480-6103501</t>
  </si>
  <si>
    <t>TJK8zCYk9</t>
  </si>
  <si>
    <t>DJTGNfytcG0nR</t>
  </si>
  <si>
    <t>2026-07-17T07:06:03+05:30</t>
  </si>
  <si>
    <t>2026-07-17T13:08:48+05:30</t>
  </si>
  <si>
    <t>2026-07-17T16:09:02+05:30</t>
  </si>
  <si>
    <t>6bl9j6jjlh6963w@marketplace.amazon.in</t>
  </si>
  <si>
    <t>408-4225977-8114728</t>
  </si>
  <si>
    <t>TNR5CWCY9</t>
  </si>
  <si>
    <t>DM2mRRy0cl0KR</t>
  </si>
  <si>
    <t>2026-07-16T22:00:52+05:30</t>
  </si>
  <si>
    <t>2026-07-17T12:57:47+05:30</t>
  </si>
  <si>
    <t>2026-07-17T15:57:59+05:30</t>
  </si>
  <si>
    <t>6xn94jy0y07yw2x@marketplace.amazon.in</t>
  </si>
  <si>
    <t>BANDHBAHAL</t>
  </si>
  <si>
    <t>402-6212064-0642712</t>
  </si>
  <si>
    <t>T1pHxcYT9</t>
  </si>
  <si>
    <t>D7Z7fkFbcB0jR</t>
  </si>
  <si>
    <t>2026-07-16T15:39:50+05:30</t>
  </si>
  <si>
    <t>2026-07-17T12:16:49+05:30</t>
  </si>
  <si>
    <t>2026-07-17T15:17:07+05:30</t>
  </si>
  <si>
    <t>pywmhd55590vd0b@marketplace.amazon.in</t>
  </si>
  <si>
    <t>407-2945568-8616340</t>
  </si>
  <si>
    <t>TnDgf0Cg9</t>
  </si>
  <si>
    <t>DpBqjhFfcK02R</t>
  </si>
  <si>
    <t>2026-07-17T00:09:18+05:30</t>
  </si>
  <si>
    <t>2026-07-17T12:06:47+05:30</t>
  </si>
  <si>
    <t>2026-07-17T15:07:01+05:30</t>
  </si>
  <si>
    <t>5zrz4982pkhd0v8@marketplace.amazon.in</t>
  </si>
  <si>
    <t>RANIPETTAI</t>
  </si>
  <si>
    <t>CP3-Grey</t>
  </si>
  <si>
    <t>CRASOME Laptop Charger Pouch, Travel Organizer Pouch, Gadget Charger Pouch for Mouse, USB, Charger, Cables, Power Bank, Dongle,Hard Disk, (CP3-Grey)</t>
  </si>
  <si>
    <t>171-9076386-8053139</t>
  </si>
  <si>
    <t>TghDTGY89</t>
  </si>
  <si>
    <t>Dx9tjTFfcH0MR</t>
  </si>
  <si>
    <t>2026-07-17T10:20:41+05:30</t>
  </si>
  <si>
    <t>2026-07-17T11:59:43+05:30</t>
  </si>
  <si>
    <t>2026-07-17T14:59:55+05:30</t>
  </si>
  <si>
    <t>s2vf5gmwbypbx6w@marketplace.amazon.in</t>
  </si>
  <si>
    <t>404-9409211-3711518</t>
  </si>
  <si>
    <t>TVtC7hYv9</t>
  </si>
  <si>
    <t>D2Y9ZPFHc80WR</t>
  </si>
  <si>
    <t>2026-07-17T05:28:59+05:30</t>
  </si>
  <si>
    <t>2026-07-17T11:43:44+05:30</t>
  </si>
  <si>
    <t>2026-07-17T14:43:56+05:30</t>
  </si>
  <si>
    <t>91xl8jfk2334v7n@marketplace.amazon.in</t>
  </si>
  <si>
    <t>171-2306134-5235567</t>
  </si>
  <si>
    <t>TwhpcfYy9</t>
  </si>
  <si>
    <t>DvZlZhFfcj0sR</t>
  </si>
  <si>
    <t>2026-07-17T03:49:41+05:30</t>
  </si>
  <si>
    <t>2026-07-17T11:43:43+05:30</t>
  </si>
  <si>
    <t>2026-07-17T14:43:55+05:30</t>
  </si>
  <si>
    <t>bhnj7sthmxwtz9c@marketplace.amazon.in</t>
  </si>
  <si>
    <t>404-1663313-2172337</t>
  </si>
  <si>
    <t>T3yyR6YL9</t>
  </si>
  <si>
    <t>DMgdqRFDcb05R</t>
  </si>
  <si>
    <t>2026-07-16T23:08:32+05:30</t>
  </si>
  <si>
    <t>2026-07-17T11:33:47+05:30</t>
  </si>
  <si>
    <t>2026-07-17T14:34:04+05:30</t>
  </si>
  <si>
    <t>x6n2ggnq2856k93@marketplace.amazon.in</t>
  </si>
  <si>
    <t>408-7726873-9997927</t>
  </si>
  <si>
    <t>TGvzC6Cz9</t>
  </si>
  <si>
    <t>DrgqqRFbcb05R</t>
  </si>
  <si>
    <t>2026-07-16T21:37:12+05:30</t>
  </si>
  <si>
    <t>2026-07-17T11:30:46+05:30</t>
  </si>
  <si>
    <t>2026-07-17T14:30:59+05:30</t>
  </si>
  <si>
    <t>2q56djpxj3dvq5x@marketplace.amazon.in</t>
  </si>
  <si>
    <t>JUNAGADH</t>
  </si>
  <si>
    <t>405-1091971-6927565</t>
  </si>
  <si>
    <t>TgQjp0Cx9</t>
  </si>
  <si>
    <t>D2TSq7Fycc0VR</t>
  </si>
  <si>
    <t>2026-07-16T23:28:09+05:30</t>
  </si>
  <si>
    <t>2026-07-17T11:28:43+05:30</t>
  </si>
  <si>
    <t>2026-07-17T14:28:57+05:30</t>
  </si>
  <si>
    <t>dz1m336flh1tjf9@marketplace.amazon.in</t>
  </si>
  <si>
    <t>405-5445097-8337923</t>
  </si>
  <si>
    <t>T3N7RcYz9</t>
  </si>
  <si>
    <t>DDGJq3FFcp0rR</t>
  </si>
  <si>
    <t>2026-07-16T23:37:07+05:30</t>
  </si>
  <si>
    <t>2026-07-17T11:19:50+05:30</t>
  </si>
  <si>
    <t>2026-07-17T14:20:06+05:30</t>
  </si>
  <si>
    <t>3b7gs2wszbhwpdt@marketplace.amazon.in</t>
  </si>
  <si>
    <t>2026-07-17T20:00:00+05:30</t>
  </si>
  <si>
    <t>408-1145710-7736321</t>
  </si>
  <si>
    <t>TC60HCRX9</t>
  </si>
  <si>
    <t>DP1l5dFdct0CR</t>
  </si>
  <si>
    <t>2026-07-12T12:06:09+05:30</t>
  </si>
  <si>
    <t>2026-07-17T11:16:47+05:30</t>
  </si>
  <si>
    <t>2026-07-17T14:17:00+05:30</t>
  </si>
  <si>
    <t>hh7t86wgzysfvj4@marketplace.amazon.in</t>
  </si>
  <si>
    <t>405-1552793-6939526</t>
  </si>
  <si>
    <t>Tcb77fYY9</t>
  </si>
  <si>
    <t>Drfl5MFfcl0MR</t>
  </si>
  <si>
    <t>2026-07-17T05:25:52+05:30</t>
  </si>
  <si>
    <t>2026-07-17T11:06:45+05:30</t>
  </si>
  <si>
    <t>2026-07-17T14:07:05+05:30</t>
  </si>
  <si>
    <t>jggj8gwykrgj816@marketplace.amazon.in</t>
  </si>
  <si>
    <t>REPALLE</t>
  </si>
  <si>
    <t>404-7256661-4864331</t>
  </si>
  <si>
    <t>TnwSnxYh9</t>
  </si>
  <si>
    <t>DvlnglF4cN0qR</t>
  </si>
  <si>
    <t>2026-07-17T08:29:51+05:30</t>
  </si>
  <si>
    <t>2026-07-17T10:46:41+05:30</t>
  </si>
  <si>
    <t>2026-07-17T13:46:50+05:30</t>
  </si>
  <si>
    <t>vpjqz8c46d98gbr@marketplace.amazon.in</t>
  </si>
  <si>
    <t>405-4011184-2841129</t>
  </si>
  <si>
    <t>TCZFJvCg9</t>
  </si>
  <si>
    <t>D2X2XpF2c50WR</t>
  </si>
  <si>
    <t>2026-07-16T20:53:22+05:30</t>
  </si>
  <si>
    <t>2026-07-17T10:28:37+05:30</t>
  </si>
  <si>
    <t>2026-07-17T13:28:50+05:30</t>
  </si>
  <si>
    <t>ypydyfmft7rwmq4@marketplace.amazon.in</t>
  </si>
  <si>
    <t>402-3945192-0495523</t>
  </si>
  <si>
    <t>TwYNG9CD9</t>
  </si>
  <si>
    <t>DK87XvFscs02R</t>
  </si>
  <si>
    <t>2026-07-16T20:44:38+05:30</t>
  </si>
  <si>
    <t>2026-07-17T10:21:53+05:30</t>
  </si>
  <si>
    <t>2026-07-17T13:22:06+05:30</t>
  </si>
  <si>
    <t>x4zb0146vwzx28w@marketplace.amazon.in</t>
  </si>
  <si>
    <t>Trichy</t>
  </si>
  <si>
    <t>171-3112655-0703510</t>
  </si>
  <si>
    <t>TJbfBsYt9</t>
  </si>
  <si>
    <t>DZGCXKFwc00pR</t>
  </si>
  <si>
    <t>2026-07-16T22:06:44+05:30</t>
  </si>
  <si>
    <t>2026-07-17T10:13:49+05:30</t>
  </si>
  <si>
    <t>2026-07-17T13:14:03+05:30</t>
  </si>
  <si>
    <t>kln1r0wy1mm1fk7@marketplace.amazon.in</t>
  </si>
  <si>
    <t>AM007375317IN</t>
  </si>
  <si>
    <t>404-2070656-3533109</t>
  </si>
  <si>
    <t>TgSjQ3CT9</t>
  </si>
  <si>
    <t>Dbn2XZFrct0MR</t>
  </si>
  <si>
    <t>2026-07-16T19:07:33+05:30</t>
  </si>
  <si>
    <t>2026-07-17T10:08:44+05:30</t>
  </si>
  <si>
    <t>2026-07-17T10:08:47+05:30</t>
  </si>
  <si>
    <t>2026-07-17T11:09:00+05:30</t>
  </si>
  <si>
    <t>6yttwlh2tzklffb@marketplace.amazon.in</t>
  </si>
  <si>
    <t>PANDUA</t>
  </si>
  <si>
    <t>408-5720432-8665106</t>
  </si>
  <si>
    <t>Tnt4spYx9</t>
  </si>
  <si>
    <t>DCjhCnFzcm0JR</t>
  </si>
  <si>
    <t>2026-07-17T07:13:16+05:30</t>
  </si>
  <si>
    <t>2026-07-17T10:05:48+05:30</t>
  </si>
  <si>
    <t>2026-07-17T13:06:02+05:30</t>
  </si>
  <si>
    <t>5nln7qyznvp1xz2@marketplace.amazon.in</t>
  </si>
  <si>
    <t>171-8041217-0953928</t>
  </si>
  <si>
    <t>TCML3YYm9</t>
  </si>
  <si>
    <t>D9cWCWFnck09R</t>
  </si>
  <si>
    <t>2026-07-17T08:09:41+05:30</t>
  </si>
  <si>
    <t>2026-07-17T10:03:45+05:30</t>
  </si>
  <si>
    <t>2026-07-17T13:03:59+05:30</t>
  </si>
  <si>
    <t>n5zcmzfx8pqg6b2@marketplace.amazon.in</t>
  </si>
  <si>
    <t>404-5650528-5662749</t>
  </si>
  <si>
    <t>T6VVhLCW9</t>
  </si>
  <si>
    <t>DQDKCYFWcJ0kR</t>
  </si>
  <si>
    <t>2026-07-17T00:57:09+05:30</t>
  </si>
  <si>
    <t>2026-07-17T10:01:46+05:30</t>
  </si>
  <si>
    <t>2026-07-17T13:02:02+05:30</t>
  </si>
  <si>
    <t>y3fzjxmxwxfl1vc@marketplace.amazon.in</t>
  </si>
  <si>
    <t>404-9178898-6309959</t>
  </si>
  <si>
    <t>TV502lYv9</t>
  </si>
  <si>
    <t>DlDxpzFmcc0mR</t>
  </si>
  <si>
    <t>2026-07-17T04:58:00+05:30</t>
  </si>
  <si>
    <t>2026-07-17T09:51:48+05:30</t>
  </si>
  <si>
    <t>2026-07-17T12:52:01+05:30</t>
  </si>
  <si>
    <t>6w2rshwbmlfh0j9@marketplace.amazon.in</t>
  </si>
  <si>
    <t>402-3105632-3425945</t>
  </si>
  <si>
    <t>Tw0sLNCl9</t>
  </si>
  <si>
    <t>DbxmCZFfcz0nR</t>
  </si>
  <si>
    <t>2026-07-16T19:52:53+05:30</t>
  </si>
  <si>
    <t>2026-07-17T09:51:45+05:30</t>
  </si>
  <si>
    <t>2026-07-17T12:51:57+05:30</t>
  </si>
  <si>
    <t>jcgmx8tmms0td1f@marketplace.amazon.in</t>
  </si>
  <si>
    <t>Agra</t>
  </si>
  <si>
    <t>406-1634447-1421148</t>
  </si>
  <si>
    <t>T3whGlfM9</t>
  </si>
  <si>
    <t>Dd67pxF8cX0RR</t>
  </si>
  <si>
    <t>2026-07-16T11:14:22+05:30</t>
  </si>
  <si>
    <t>2026-07-17T09:42:48+05:30</t>
  </si>
  <si>
    <t>2026-07-17T09:42:54+05:30</t>
  </si>
  <si>
    <t>2026-07-17T10:43:13+05:30</t>
  </si>
  <si>
    <t>jr4v97dg4xxbpqv@marketplace.amazon.in</t>
  </si>
  <si>
    <t>407-0177605-7833963</t>
  </si>
  <si>
    <t>TJCHrkfZ9</t>
  </si>
  <si>
    <t>DmPqpnF4c60BR</t>
  </si>
  <si>
    <t>2026-07-16T11:28:02+05:30</t>
  </si>
  <si>
    <t>2026-07-17T09:31:46+05:30</t>
  </si>
  <si>
    <t>2026-07-17T09:31:51+05:30</t>
  </si>
  <si>
    <t>2026-07-17T10:32:04+05:30</t>
  </si>
  <si>
    <t>qdbk41hlbrm5t5y@marketplace.amazon.in</t>
  </si>
  <si>
    <t>Yaragatti</t>
  </si>
  <si>
    <t>403-3463728-0960317</t>
  </si>
  <si>
    <t>TnTczCCR9</t>
  </si>
  <si>
    <t>D111KkF0cV0cR</t>
  </si>
  <si>
    <t>2026-07-16T18:55:15+05:30</t>
  </si>
  <si>
    <t>2026-07-17T09:22:53+05:30</t>
  </si>
  <si>
    <t>2026-07-17T12:23:10+05:30</t>
  </si>
  <si>
    <t>fhmq1gsr7yn16fv@marketplace.amazon.in</t>
  </si>
  <si>
    <t>CTSP1-Blue (3Q)</t>
  </si>
  <si>
    <t>405-0102811-7365178</t>
  </si>
  <si>
    <t>TNTYPXfL9</t>
  </si>
  <si>
    <t>D1hvW7Fhc106R</t>
  </si>
  <si>
    <t>2026-07-16T11:48:42+05:30</t>
  </si>
  <si>
    <t>2026-07-17T09:21:50+05:30</t>
  </si>
  <si>
    <t>2026-07-17T12:22:03+05:30</t>
  </si>
  <si>
    <t>lz0vj6zrrlk8s0x@marketplace.amazon.in</t>
  </si>
  <si>
    <t>CHHUTMALPUR</t>
  </si>
  <si>
    <t>DwhjWDFhc106R</t>
  </si>
  <si>
    <t>171-7520806-0750721</t>
  </si>
  <si>
    <t>TcWt2hLD9</t>
  </si>
  <si>
    <t>DhNpK8FKcY0PR</t>
  </si>
  <si>
    <t>2026-07-15T12:46:11+05:30</t>
  </si>
  <si>
    <t>2026-07-17T09:18:46+05:30</t>
  </si>
  <si>
    <t>2026-07-17T12:18:58+05:30</t>
  </si>
  <si>
    <t>1g20932h81m13nh@marketplace.amazon.in</t>
  </si>
  <si>
    <t>404-4944769-4667546</t>
  </si>
  <si>
    <t>TVwrQhCr9</t>
  </si>
  <si>
    <t>DPBFK6Fmcb08R</t>
  </si>
  <si>
    <t>2026-07-16T18:49:18+05:30</t>
  </si>
  <si>
    <t>2026-07-17T09:13:48+05:30</t>
  </si>
  <si>
    <t>2026-07-17T12:14:00+05:30</t>
  </si>
  <si>
    <t>8fm5qbhbn5pxdqf@marketplace.amazon.in</t>
  </si>
  <si>
    <t>405-3959806-3880368</t>
  </si>
  <si>
    <t>T1W8kdGL9</t>
  </si>
  <si>
    <t>DXTqK6F0cB09R</t>
  </si>
  <si>
    <t>2026-07-14T20:32:47+05:30</t>
  </si>
  <si>
    <t>2026-07-17T09:11:49+05:30</t>
  </si>
  <si>
    <t>2026-07-17T12:12:05+05:30</t>
  </si>
  <si>
    <t>1mwp8bshhtw9cpf@marketplace.amazon.in</t>
  </si>
  <si>
    <t>403-3190198-5715553</t>
  </si>
  <si>
    <t>TczbmFfN9</t>
  </si>
  <si>
    <t>DzTlmsFzcm0PR</t>
  </si>
  <si>
    <t>2026-07-16T13:37:12+05:30</t>
  </si>
  <si>
    <t>2026-07-17T08:57:46+05:30</t>
  </si>
  <si>
    <t>2026-07-17T11:57:58+05:30</t>
  </si>
  <si>
    <t>g7mqdl7gwxcbjkc@marketplace.amazon.in</t>
  </si>
  <si>
    <t>T6GHmg0K9</t>
  </si>
  <si>
    <t>DC26SVF7cH0wR</t>
  </si>
  <si>
    <t>2026-07-17T08:32:46+05:30</t>
  </si>
  <si>
    <t>2026-07-17T11:32:58+05:30</t>
  </si>
  <si>
    <t>407-7594251-3583519</t>
  </si>
  <si>
    <t>TNfYwjLT9</t>
  </si>
  <si>
    <t>DqGn1rFYcB0CR</t>
  </si>
  <si>
    <t>2026-07-15T10:45:48+05:30</t>
  </si>
  <si>
    <t>2026-07-17T04:32:43+05:30</t>
  </si>
  <si>
    <t>2026-07-17T07:32:55+05:30</t>
  </si>
  <si>
    <t>p6s9l9dmvnhhv1s@marketplace.amazon.in</t>
  </si>
  <si>
    <t>407-9507071-4559525</t>
  </si>
  <si>
    <t>Tc043bfr9</t>
  </si>
  <si>
    <t>DvHl1lF2c702R</t>
  </si>
  <si>
    <t>2026-07-16T13:10:16+05:30</t>
  </si>
  <si>
    <t>2026-07-17T04:32:01+05:30</t>
  </si>
  <si>
    <t>2026-07-17T07:32:13+05:30</t>
  </si>
  <si>
    <t>x0mqlj0thymgty2@marketplace.amazon.in</t>
  </si>
  <si>
    <t>Ulhasnagar</t>
  </si>
  <si>
    <t>171-0711772-0317903</t>
  </si>
  <si>
    <t>TwnqvP049</t>
  </si>
  <si>
    <t>DyfC1zFDc305R</t>
  </si>
  <si>
    <t>2026-07-15T20:00:30+05:30</t>
  </si>
  <si>
    <t>2026-07-17T04:31:41+05:30</t>
  </si>
  <si>
    <t>2026-07-17T04:31:45+05:30</t>
  </si>
  <si>
    <t>2026-07-17T05:31:59+05:30</t>
  </si>
  <si>
    <t>l3477ss39wj44c0@marketplace.amazon.in</t>
  </si>
  <si>
    <t>404-0626835-6941144</t>
  </si>
  <si>
    <t>TC7FCfsW9</t>
  </si>
  <si>
    <t>DnyNrhFqcK0zR</t>
  </si>
  <si>
    <t>2026-07-14T20:26:08+05:30</t>
  </si>
  <si>
    <t>2026-07-17T04:30:42+05:30</t>
  </si>
  <si>
    <t>2026-07-17T04:30:44+05:30</t>
  </si>
  <si>
    <t>2026-07-17T05:30:58+05:30</t>
  </si>
  <si>
    <t>jkjvl6k92x6s52d@marketplace.amazon.in</t>
  </si>
  <si>
    <t>403-8546611-3782740</t>
  </si>
  <si>
    <t>T3r49hCc9</t>
  </si>
  <si>
    <t>D0HW16FNc702R</t>
  </si>
  <si>
    <t>2026-07-16T17:49:38+05:30</t>
  </si>
  <si>
    <t>2026-07-17T04:29:44+05:30</t>
  </si>
  <si>
    <t>2026-07-17T07:29:55+05:30</t>
  </si>
  <si>
    <t>2pkhgn5q9v30my6@marketplace.amazon.in</t>
  </si>
  <si>
    <t>BARAMATI</t>
  </si>
  <si>
    <t>402-8395344-3636313</t>
  </si>
  <si>
    <t>TVY9JCCD9</t>
  </si>
  <si>
    <t>D4Rz1fFbcg0vR</t>
  </si>
  <si>
    <t>2026-07-16T21:09:39+05:30</t>
  </si>
  <si>
    <t>2026-07-17T04:25:45+05:30</t>
  </si>
  <si>
    <t>2026-07-17T07:25:59+05:30</t>
  </si>
  <si>
    <t>kg06hvkr7tv8qhs@marketplace.amazon.in</t>
  </si>
  <si>
    <t>MANDI GOVINDGARH</t>
  </si>
  <si>
    <t>408-3093885-3113146</t>
  </si>
  <si>
    <t>T3N1NzYq9</t>
  </si>
  <si>
    <t>DFkSrXFlcJ0QR</t>
  </si>
  <si>
    <t>2026-07-16T23:20:07+05:30</t>
  </si>
  <si>
    <t>2026-07-17T04:23:48+05:30</t>
  </si>
  <si>
    <t>2026-07-17T07:24:02+05:30</t>
  </si>
  <si>
    <t>c1blv4lq1nkvmn9@marketplace.amazon.in</t>
  </si>
  <si>
    <t>405-8834935-9351550</t>
  </si>
  <si>
    <t>TcM4K9Cj9</t>
  </si>
  <si>
    <t>D5CHr8FXcq00R</t>
  </si>
  <si>
    <t>2026-07-16T21:44:59+05:30</t>
  </si>
  <si>
    <t>2026-07-17T04:20:46+05:30</t>
  </si>
  <si>
    <t>2026-07-17T07:21:01+05:30</t>
  </si>
  <si>
    <t>s663bqlr0dr80xb@marketplace.amazon.in</t>
  </si>
  <si>
    <t>404-2280529-9997127</t>
  </si>
  <si>
    <t>TNb38TCl9</t>
  </si>
  <si>
    <t>DDttrZF3cF0HR</t>
  </si>
  <si>
    <t>2026-07-17T00:39:35+05:30</t>
  </si>
  <si>
    <t>2026-07-17T04:18:46+05:30</t>
  </si>
  <si>
    <t>2026-07-17T07:19:02+05:30</t>
  </si>
  <si>
    <t>13659wfrc4c4zrf@marketplace.amazon.in</t>
  </si>
  <si>
    <t>403-4158668-6599548</t>
  </si>
  <si>
    <t>TnCdGsf09</t>
  </si>
  <si>
    <t>DzL7rgF6cz0kR</t>
  </si>
  <si>
    <t>2026-07-16T11:53:32+05:30</t>
  </si>
  <si>
    <t>2026-07-17T04:17:21+05:30</t>
  </si>
  <si>
    <t>2026-07-17T07:17:33+05:30</t>
  </si>
  <si>
    <t>dv7tf0s0dxlyf29@marketplace.amazon.in</t>
  </si>
  <si>
    <t>Mahadevpur</t>
  </si>
  <si>
    <t>171-0747402-3205153</t>
  </si>
  <si>
    <t>TwWcC8CT9</t>
  </si>
  <si>
    <t>DdYDrNF7cp0zR</t>
  </si>
  <si>
    <t>2026-07-16T23:16:02+05:30</t>
  </si>
  <si>
    <t>2026-07-17T04:15:43+05:30</t>
  </si>
  <si>
    <t>2026-07-17T04:15:45+05:30</t>
  </si>
  <si>
    <t>2026-07-17T05:15:57+05:30</t>
  </si>
  <si>
    <t>mcj8009b91dpzgr@marketplace.amazon.in</t>
  </si>
  <si>
    <t>408-5982147-1955539</t>
  </si>
  <si>
    <t>Tn1p6qCM9</t>
  </si>
  <si>
    <t>DwrVr4FBcD0jR</t>
  </si>
  <si>
    <t>2026-07-16T22:24:45+05:30</t>
  </si>
  <si>
    <t>2026-07-17T04:13:46+05:30</t>
  </si>
  <si>
    <t>2026-07-17T07:13:59+05:30</t>
  </si>
  <si>
    <t>z6t1yfl0l18bcbg@marketplace.amazon.in</t>
  </si>
  <si>
    <t>Bidar</t>
  </si>
  <si>
    <t>404-4393485-3396304</t>
  </si>
  <si>
    <t>TnpB9lCB9</t>
  </si>
  <si>
    <t>Dd857qFycW0zR</t>
  </si>
  <si>
    <t>2026-07-16T17:41:59+05:30</t>
  </si>
  <si>
    <t>2026-07-17T04:01:45+05:30</t>
  </si>
  <si>
    <t>2026-07-17T07:01:58+05:30</t>
  </si>
  <si>
    <t>c1gxqpfnxfwtsnb@marketplace.amazon.in</t>
  </si>
  <si>
    <t>403-6090442-6961902</t>
  </si>
  <si>
    <t>TXZqhtC89</t>
  </si>
  <si>
    <t>D3tT79FrcW0TR</t>
  </si>
  <si>
    <t>2026-07-17T00:52:43+05:30</t>
  </si>
  <si>
    <t>2026-07-17T04:01:44+05:30</t>
  </si>
  <si>
    <t>2026-07-17T07:02:03+05:30</t>
  </si>
  <si>
    <t>pgwmm8bjzkcnx8j@marketplace.amazon.in</t>
  </si>
  <si>
    <t>403-7894912-3789952</t>
  </si>
  <si>
    <t>Tgs1sRCv9</t>
  </si>
  <si>
    <t>DsJH7tFycm0QR</t>
  </si>
  <si>
    <t>2026-07-16T19:06:42+05:30</t>
  </si>
  <si>
    <t>2026-07-17T03:59:47+05:30</t>
  </si>
  <si>
    <t>2026-07-17T07:00:04+05:30</t>
  </si>
  <si>
    <t>r39j3jb936mgww8@marketplace.amazon.in</t>
  </si>
  <si>
    <t>402-1678616-9484325</t>
  </si>
  <si>
    <t>Twq7kHCL9</t>
  </si>
  <si>
    <t>D3Jf7CFKcj0QR</t>
  </si>
  <si>
    <t>2026-07-16T16:00:47+05:30</t>
  </si>
  <si>
    <t>2026-07-17T03:53:43+05:30</t>
  </si>
  <si>
    <t>2026-07-17T06:53:56+05:30</t>
  </si>
  <si>
    <t>44qfbq2mj18sqzd@marketplace.amazon.in</t>
  </si>
  <si>
    <t>SHIRPUR</t>
  </si>
  <si>
    <t>406-7508339-8135556</t>
  </si>
  <si>
    <t>TNVPCkCT9</t>
  </si>
  <si>
    <t>DhyxLJF1cK0mR</t>
  </si>
  <si>
    <t>2026-07-16T22:21:02+05:30</t>
  </si>
  <si>
    <t>2026-07-17T03:50:42+05:30</t>
  </si>
  <si>
    <t>2026-07-17T06:50:53+05:30</t>
  </si>
  <si>
    <t>w31hjn412v0zn8v@marketplace.amazon.in</t>
  </si>
  <si>
    <t>404-2451152-4199538</t>
  </si>
  <si>
    <t>T6F6cFfl9</t>
  </si>
  <si>
    <t>DgdXLnF4cd0WR</t>
  </si>
  <si>
    <t>2026-07-16T09:35:33+05:30</t>
  </si>
  <si>
    <t>2026-07-17T03:42:04+05:30</t>
  </si>
  <si>
    <t>2026-07-17T06:42:28+05:30</t>
  </si>
  <si>
    <t>jb674l93l8z15mn@marketplace.amazon.in</t>
  </si>
  <si>
    <t>Vizianagaram</t>
  </si>
  <si>
    <t>Andhrapradesh</t>
  </si>
  <si>
    <t>406-7595935-2679505</t>
  </si>
  <si>
    <t>TC5mfKfX9</t>
  </si>
  <si>
    <t>Dz3qs4FRcK0rR</t>
  </si>
  <si>
    <t>2026-07-16T15:14:10+05:30</t>
  </si>
  <si>
    <t>2026-07-17T03:31:47+05:30</t>
  </si>
  <si>
    <t>2026-07-17T06:32:03+05:30</t>
  </si>
  <si>
    <t>w3cbcmqjzpd048w@marketplace.amazon.in</t>
  </si>
  <si>
    <t>404-3053173-3036310</t>
  </si>
  <si>
    <t>T6h0tmfN9</t>
  </si>
  <si>
    <t>Ddj1sSFjcx0JR</t>
  </si>
  <si>
    <t>2026-07-16T13:32:16+05:30</t>
  </si>
  <si>
    <t>2026-07-17T03:30:55+05:30</t>
  </si>
  <si>
    <t>2026-07-17T06:31:18+05:30</t>
  </si>
  <si>
    <t>qhym1sf2s9y8z8n@marketplace.amazon.in</t>
  </si>
  <si>
    <t>SF000000391218AMZ</t>
  </si>
  <si>
    <t>404-1663124-3321924</t>
  </si>
  <si>
    <t>T3BxlvCy9</t>
  </si>
  <si>
    <t>DJ9hsRFgcl0vR</t>
  </si>
  <si>
    <t>2026-07-16T23:56:19+05:30</t>
  </si>
  <si>
    <t>2026-07-17T03:25:41+05:30</t>
  </si>
  <si>
    <t>2026-07-17T03:25:44+05:30</t>
  </si>
  <si>
    <t>2026-07-17T04:25:56+05:30</t>
  </si>
  <si>
    <t>jthnq24jfx38t81@marketplace.amazon.in</t>
  </si>
  <si>
    <t>CTSP1-Grey (3Q)</t>
  </si>
  <si>
    <t>Crasome Set of 3 Multipurpose Transparent Toiletry Bag for Women &amp; Men, Travel Pouch for Makeup Cosmetic, Travel Organizer for Toiletries, Travel Storage Bag (CTSP1_Grey_3Q)</t>
  </si>
  <si>
    <t>RAIGARH</t>
  </si>
  <si>
    <t>405-4743419-8345138</t>
  </si>
  <si>
    <t>Twmq24Gr9</t>
  </si>
  <si>
    <t>Dp0psGFbcM0yR</t>
  </si>
  <si>
    <t>2026-07-14T22:46:50+05:30</t>
  </si>
  <si>
    <t>2026-07-17T03:23:41+05:30</t>
  </si>
  <si>
    <t>2026-07-17T03:23:44+05:30</t>
  </si>
  <si>
    <t>2026-07-17T04:23:57+05:30</t>
  </si>
  <si>
    <t>35pzv26mslfrnsj@marketplace.amazon.in</t>
  </si>
  <si>
    <t>402-1513886-3661121</t>
  </si>
  <si>
    <t>TCvMCpfD9</t>
  </si>
  <si>
    <t>DtHTsNFvcg0ZR</t>
  </si>
  <si>
    <t>2026-07-16T13:41:44+05:30</t>
  </si>
  <si>
    <t>2026-07-17T03:21:44+05:30</t>
  </si>
  <si>
    <t>2026-07-17T06:21:58+05:30</t>
  </si>
  <si>
    <t>4bhb515hzz76vvc@marketplace.amazon.in</t>
  </si>
  <si>
    <t>171-4000834-9008335</t>
  </si>
  <si>
    <t>TXjqccLZ9</t>
  </si>
  <si>
    <t>DbBZQsFmcN0JR</t>
  </si>
  <si>
    <t>2026-07-14T15:27:04+05:30</t>
  </si>
  <si>
    <t>2026-07-17T03:15:51+05:30</t>
  </si>
  <si>
    <t>2026-07-17T03:15:57+05:30</t>
  </si>
  <si>
    <t>2026-07-17T04:20:33+05:30</t>
  </si>
  <si>
    <t>wxgyqsrj9qlgtnr@marketplace.amazon.in</t>
  </si>
  <si>
    <t>402-0060442-3736312</t>
  </si>
  <si>
    <t>TwFJkcCr9</t>
  </si>
  <si>
    <t>DtmcQ9F0cC0wR</t>
  </si>
  <si>
    <t>2026-07-16T17:23:03+05:30</t>
  </si>
  <si>
    <t>2026-07-17T03:13:44+05:30</t>
  </si>
  <si>
    <t>2026-07-17T06:13:58+05:30</t>
  </si>
  <si>
    <t>sw9mkpttpp9qg19@marketplace.amazon.in</t>
  </si>
  <si>
    <t>406-5885212-8624343</t>
  </si>
  <si>
    <t>T33swBCC9</t>
  </si>
  <si>
    <t>DPclQ5FjcQ0KR</t>
  </si>
  <si>
    <t>2026-07-16T17:11:35+05:30</t>
  </si>
  <si>
    <t>2026-07-17T03:07:45+05:30</t>
  </si>
  <si>
    <t>2026-07-17T06:07:58+05:30</t>
  </si>
  <si>
    <t>mtc8qt64wfpjlh4@marketplace.amazon.in</t>
  </si>
  <si>
    <t>Jind</t>
  </si>
  <si>
    <t>404-1977229-0880321</t>
  </si>
  <si>
    <t>T1PP2T0w9</t>
  </si>
  <si>
    <t>D7vVcPFycL0JR</t>
  </si>
  <si>
    <t>2026-07-15T22:06:33+05:30</t>
  </si>
  <si>
    <t>2026-07-17T02:59:48+05:30</t>
  </si>
  <si>
    <t>2026-07-17T06:00:01+05:30</t>
  </si>
  <si>
    <t>h1w08k3c4plfjxk@marketplace.amazon.in</t>
  </si>
  <si>
    <t>GURDASPUR</t>
  </si>
  <si>
    <t>DWvqcKFwcL0JR</t>
  </si>
  <si>
    <t>D4vfcsFBcL0JR</t>
  </si>
  <si>
    <t>407-2139839-6588317</t>
  </si>
  <si>
    <t>TNdCGZp49</t>
  </si>
  <si>
    <t>DJ6lc8FJcH0FR</t>
  </si>
  <si>
    <t>2026-07-08T00:57:53+05:30</t>
  </si>
  <si>
    <t>2026-07-17T02:47:57+05:30</t>
  </si>
  <si>
    <t>2026-07-17T05:48:19+05:30</t>
  </si>
  <si>
    <t>90j1hcw83yt692x@marketplace.amazon.in</t>
  </si>
  <si>
    <t>CRASOME Pack of 2 Transparent Storage Bags for Clothes, Saree Cover Organizer, Waterproof PVC Storage Bag, Wardrobe Clothes Organizer for Blankets, Bedsheets, Toys &amp; Documents (Pack of 2)</t>
  </si>
  <si>
    <t>KARWAR</t>
  </si>
  <si>
    <t>408-0056906-8986771</t>
  </si>
  <si>
    <t>TX9TBXCL9</t>
  </si>
  <si>
    <t>DK2zzxFpc305R</t>
  </si>
  <si>
    <t>2026-07-16T18:59:46+05:30</t>
  </si>
  <si>
    <t>2026-07-17T02:26:47+05:30</t>
  </si>
  <si>
    <t>2026-07-17T05:26:58+05:30</t>
  </si>
  <si>
    <t>gss75znpzb4ggmb@marketplace.amazon.in</t>
  </si>
  <si>
    <t>404-4843695-5761941</t>
  </si>
  <si>
    <t>T1wkqPfp9</t>
  </si>
  <si>
    <t>D9wKVvFWc80xR</t>
  </si>
  <si>
    <t>2026-07-16T15:08:22+05:30</t>
  </si>
  <si>
    <t>2026-07-17T02:05:44+05:30</t>
  </si>
  <si>
    <t>2026-07-17T05:05:54+05:30</t>
  </si>
  <si>
    <t>1jbywtn1v2hcyhp@marketplace.amazon.in</t>
  </si>
  <si>
    <t>PURUSOTTAMPUR</t>
  </si>
  <si>
    <t>407-7955004-4597921</t>
  </si>
  <si>
    <t>TCK6nXCT9</t>
  </si>
  <si>
    <t>DwVJVsFQcK0CR</t>
  </si>
  <si>
    <t>2026-07-16T19:02:34+05:30</t>
  </si>
  <si>
    <t>2026-07-17T02:04:43+05:30</t>
  </si>
  <si>
    <t>2026-07-17T02:04:46+05:30</t>
  </si>
  <si>
    <t>2026-07-17T03:04:57+05:30</t>
  </si>
  <si>
    <t>rx8qwcvmvq6fzvt@marketplace.amazon.in</t>
  </si>
  <si>
    <t>RAIA</t>
  </si>
  <si>
    <t>408-5908279-6056330</t>
  </si>
  <si>
    <t>TwxllRGs9</t>
  </si>
  <si>
    <t>DHwJVKFdcl0LR</t>
  </si>
  <si>
    <t>2026-07-13T13:26:03+05:30</t>
  </si>
  <si>
    <t>2026-07-17T02:02:48+05:30</t>
  </si>
  <si>
    <t>2026-07-17T05:03:01+05:30</t>
  </si>
  <si>
    <t>02wkkczdmylybw6@marketplace.amazon.in</t>
  </si>
  <si>
    <t>403-7420123-6757136</t>
  </si>
  <si>
    <t>T3BpCgCX9</t>
  </si>
  <si>
    <t>DzXv2MF7cn00R</t>
  </si>
  <si>
    <t>2026-07-16T22:53:14+05:30</t>
  </si>
  <si>
    <t>2026-07-17T01:58:48+05:30</t>
  </si>
  <si>
    <t>2026-07-17T04:59:03+05:30</t>
  </si>
  <si>
    <t>w4ynrlw89f36vbh@marketplace.amazon.in</t>
  </si>
  <si>
    <t>2026-07-17T08:00:00+05:30</t>
  </si>
  <si>
    <t>171-3846193-5341132</t>
  </si>
  <si>
    <t>TwfBWTfC9</t>
  </si>
  <si>
    <t>DJXp2GFwcn00R</t>
  </si>
  <si>
    <t>2026-07-16T14:06:38+05:30</t>
  </si>
  <si>
    <t>2026-07-17T01:55:45+05:30</t>
  </si>
  <si>
    <t>2026-07-17T04:56:00+05:30</t>
  </si>
  <si>
    <t>8strvxcj5zg970g@marketplace.amazon.in</t>
  </si>
  <si>
    <t>408-7568120-5693159</t>
  </si>
  <si>
    <t>TJZfZNfH9</t>
  </si>
  <si>
    <t>DjY32XFFc50KR</t>
  </si>
  <si>
    <t>2026-07-16T15:50:07+05:30</t>
  </si>
  <si>
    <t>2026-07-17T01:39:40+05:30</t>
  </si>
  <si>
    <t>2026-07-17T01:39:44+05:30</t>
  </si>
  <si>
    <t>2026-07-17T02:39:55+05:30</t>
  </si>
  <si>
    <t>xydmjdgg9548psh@marketplace.amazon.in</t>
  </si>
  <si>
    <t>171-2701153-4077142</t>
  </si>
  <si>
    <t>T6CkB0Ll9</t>
  </si>
  <si>
    <t>D5h7DZFXcH0rR</t>
  </si>
  <si>
    <t>2026-07-15T09:22:19+05:30</t>
  </si>
  <si>
    <t>2026-07-17T01:12:51+05:30</t>
  </si>
  <si>
    <t>2026-07-17T04:13:02+05:30</t>
  </si>
  <si>
    <t>lgkrc4h60rl2ggm@marketplace.amazon.in</t>
  </si>
  <si>
    <t>403-4933850-3766758</t>
  </si>
  <si>
    <t>TwbBSlC29</t>
  </si>
  <si>
    <t>DDLPDhFWc00LR</t>
  </si>
  <si>
    <t>2026-07-16T21:21:59+05:30</t>
  </si>
  <si>
    <t>2026-07-17T01:01:53+05:30</t>
  </si>
  <si>
    <t>2026-07-17T04:02:20+05:30</t>
  </si>
  <si>
    <t>xgrycwmjb0hcy7x@marketplace.amazon.in</t>
  </si>
  <si>
    <t>405-0589178-5885160</t>
  </si>
  <si>
    <t>TwkjPMCN9</t>
  </si>
  <si>
    <t>DrWXYRFyc60HR</t>
  </si>
  <si>
    <t>2026-07-16T21:05:28+05:30</t>
  </si>
  <si>
    <t>2026-07-17T00:51:44+05:30</t>
  </si>
  <si>
    <t>2026-07-17T03:51:55+05:30</t>
  </si>
  <si>
    <t>1762kzz6hkb68ml@marketplace.amazon.in</t>
  </si>
  <si>
    <t>407-0503797-5394732</t>
  </si>
  <si>
    <t>TcbtxtC79</t>
  </si>
  <si>
    <t>DpsZY5F0cB0lR</t>
  </si>
  <si>
    <t>2026-07-16T20:56:33+05:30</t>
  </si>
  <si>
    <t>2026-07-17T00:50:47+05:30</t>
  </si>
  <si>
    <t>2026-07-17T03:51:02+05:30</t>
  </si>
  <si>
    <t>mr8s0dmcnsxh4dl@marketplace.amazon.in</t>
  </si>
  <si>
    <t>406-4420523-5500340</t>
  </si>
  <si>
    <t>TVy9pZCL9</t>
  </si>
  <si>
    <t>DP01YLF7cg0XR</t>
  </si>
  <si>
    <t>2026-07-16T21:28:47+05:30</t>
  </si>
  <si>
    <t>2026-07-17T00:47:53+05:30</t>
  </si>
  <si>
    <t>2026-07-17T03:48:11+05:30</t>
  </si>
  <si>
    <t>jgjmr0f8kkn0769@marketplace.amazon.in</t>
  </si>
  <si>
    <t>404-6142180-6400345</t>
  </si>
  <si>
    <t>T176JDCZ9</t>
  </si>
  <si>
    <t>DSFKycFlcR0dR</t>
  </si>
  <si>
    <t>2026-07-16T18:39:00+05:30</t>
  </si>
  <si>
    <t>2026-07-17T00:37:49+05:30</t>
  </si>
  <si>
    <t>2026-07-17T00:37:52+05:30</t>
  </si>
  <si>
    <t>2026-07-17T01:38:02+05:30</t>
  </si>
  <si>
    <t>xwwm77sg9smb63z@marketplace.amazon.in</t>
  </si>
  <si>
    <t>402-6670948-6552303</t>
  </si>
  <si>
    <t>TNDf7qCv9</t>
  </si>
  <si>
    <t>DKlxyFFlc502R</t>
  </si>
  <si>
    <t>2026-07-16T21:15:48+05:30</t>
  </si>
  <si>
    <t>2026-07-17T00:32:47+05:30</t>
  </si>
  <si>
    <t>2026-07-17T03:32:59+05:30</t>
  </si>
  <si>
    <t>408-5050538-6501125</t>
  </si>
  <si>
    <t>TcYqV5CD9</t>
  </si>
  <si>
    <t>Dnc9yWFtcx0SR</t>
  </si>
  <si>
    <t>2026-07-16T17:15:19+05:30</t>
  </si>
  <si>
    <t>2026-07-17T00:31:43+05:30</t>
  </si>
  <si>
    <t>2026-07-17T03:31:55+05:30</t>
  </si>
  <si>
    <t>s5c1bh4tyqzrtpw@marketplace.amazon.in</t>
  </si>
  <si>
    <t>405-4982000-4793969</t>
  </si>
  <si>
    <t>TcFpm1CW9</t>
  </si>
  <si>
    <t>DWymwyFKcG0PR</t>
  </si>
  <si>
    <t>2026-07-16T22:01:00+05:30</t>
  </si>
  <si>
    <t>2026-07-17T00:24:45+05:30</t>
  </si>
  <si>
    <t>2026-07-17T03:24:57+05:30</t>
  </si>
  <si>
    <t>58jx8jlgk6q1v4b@marketplace.amazon.in</t>
  </si>
  <si>
    <t>405-3777129-5626716</t>
  </si>
  <si>
    <t>TcKpHhs79</t>
  </si>
  <si>
    <t>D86RwYFwcQ0qR</t>
  </si>
  <si>
    <t>2026-07-12T11:15:47+05:30</t>
  </si>
  <si>
    <t>2026-07-17T00:20:42+05:30</t>
  </si>
  <si>
    <t>2026-07-17T00:20:45+05:30</t>
  </si>
  <si>
    <t>2026-07-17T01:20:58+05:30</t>
  </si>
  <si>
    <t>q538sr2w287pfjl@marketplace.amazon.in</t>
  </si>
  <si>
    <t>171-2717297-0926762</t>
  </si>
  <si>
    <t>TwxpXYC89</t>
  </si>
  <si>
    <t>DlWWwgFccd0lR</t>
  </si>
  <si>
    <t>2026-07-16T22:58:46+05:30</t>
  </si>
  <si>
    <t>2026-07-17T00:20:44+05:30</t>
  </si>
  <si>
    <t>2026-07-17T03:20:58+05:30</t>
  </si>
  <si>
    <t>fyxlfrq5bqxrqn7@marketplace.amazon.in</t>
  </si>
  <si>
    <t>408-1648709-3588352</t>
  </si>
  <si>
    <t>TwYtVdC59</t>
  </si>
  <si>
    <t>D5WJwwFpcr0lR</t>
  </si>
  <si>
    <t>2026-07-16T17:30:14+05:30</t>
  </si>
  <si>
    <t>2026-07-17T00:15:43+05:30</t>
  </si>
  <si>
    <t>2026-07-17T00:15:46+05:30</t>
  </si>
  <si>
    <t>2026-07-17T01:15:59+05:30</t>
  </si>
  <si>
    <t>9bt9h2dwqllpbc2@marketplace.amazon.in</t>
  </si>
  <si>
    <t>407-7929799-5786754</t>
  </si>
  <si>
    <t>TNY3g3fQ9</t>
  </si>
  <si>
    <t>DzrgwdF7ct0NR</t>
  </si>
  <si>
    <t>2026-07-16T15:22:30+05:30</t>
  </si>
  <si>
    <t>2026-07-17T00:08:43+05:30</t>
  </si>
  <si>
    <t>2026-07-17T00:08:45+05:30</t>
  </si>
  <si>
    <t>2026-07-17T01:08:56+05:30</t>
  </si>
  <si>
    <t>61rb9nf7fhk8vn9@marketplace.amazon.in</t>
  </si>
  <si>
    <t>Myourpur</t>
  </si>
  <si>
    <t>404-0030810-2477973</t>
  </si>
  <si>
    <t>TGPzPNCj9</t>
  </si>
  <si>
    <t>D5fRBtFHcN0fR</t>
  </si>
  <si>
    <t>2026-07-16T20:14:12+05:30</t>
  </si>
  <si>
    <t>2026-07-16T23:59:48+05:30</t>
  </si>
  <si>
    <t>2026-07-17T03:00:05+05:30</t>
  </si>
  <si>
    <t>4r0n7sxcywxndc5@marketplace.amazon.in</t>
  </si>
  <si>
    <t>408-9566568-7989958</t>
  </si>
  <si>
    <t>T6FFg8CK9</t>
  </si>
  <si>
    <t>DQGfBvFVcb0ZR</t>
  </si>
  <si>
    <t>2026-07-16T22:21:57+05:30</t>
  </si>
  <si>
    <t>2026-07-16T23:55:46+05:30</t>
  </si>
  <si>
    <t>2026-07-17T02:55:59+05:30</t>
  </si>
  <si>
    <t>h93kqnxq093qj97@marketplace.amazon.in</t>
  </si>
  <si>
    <t>SC-Black (4Q)</t>
  </si>
  <si>
    <t>405-1344533-2903549</t>
  </si>
  <si>
    <t>Tg4Tqyft9</t>
  </si>
  <si>
    <t>Dvk294F7cY0KR</t>
  </si>
  <si>
    <t>2026-07-16T15:09:52+05:30</t>
  </si>
  <si>
    <t>2026-07-16T23:51:45+05:30</t>
  </si>
  <si>
    <t>2026-07-17T02:51:56+05:30</t>
  </si>
  <si>
    <t>0s87hc3wr8drbxk@marketplace.amazon.in</t>
  </si>
  <si>
    <t>Kamrup Metropolitan</t>
  </si>
  <si>
    <t>407-4729083-1437964</t>
  </si>
  <si>
    <t>T659LBC79</t>
  </si>
  <si>
    <t>DYwQ9SFQct03R</t>
  </si>
  <si>
    <t>2026-07-16T20:16:58+05:30</t>
  </si>
  <si>
    <t>2026-07-16T23:46:44+05:30</t>
  </si>
  <si>
    <t>2026-07-17T02:46:57+05:30</t>
  </si>
  <si>
    <t>wzcmgkxzgk5j60q@marketplace.amazon.in</t>
  </si>
  <si>
    <t>405-1662874-9002742</t>
  </si>
  <si>
    <t>Twmx27dr9</t>
  </si>
  <si>
    <t>Dydh9XFRcz0MR</t>
  </si>
  <si>
    <t>2026-07-11T18:40:05+05:30</t>
  </si>
  <si>
    <t>2026-07-16T23:41:44+05:30</t>
  </si>
  <si>
    <t>2026-07-16T23:41:46+05:30</t>
  </si>
  <si>
    <t>2026-07-17T00:41:59+05:30</t>
  </si>
  <si>
    <t>wvwj1r61zfz31mp@marketplace.amazon.in</t>
  </si>
  <si>
    <t>407-2585495-5179547</t>
  </si>
  <si>
    <t>TCrGtkCY9</t>
  </si>
  <si>
    <t>DCKK4bFdcx0FR</t>
  </si>
  <si>
    <t>2026-07-16T21:44:49+05:30</t>
  </si>
  <si>
    <t>2026-07-16T23:32:43+05:30</t>
  </si>
  <si>
    <t>2026-07-17T02:32:54+05:30</t>
  </si>
  <si>
    <t>408-1856078-1603569</t>
  </si>
  <si>
    <t>T3g1JBCK9</t>
  </si>
  <si>
    <t>D9Df4zFWcV0wR</t>
  </si>
  <si>
    <t>2026-07-16T21:22:59+05:30</t>
  </si>
  <si>
    <t>2026-07-16T23:31:43+05:30</t>
  </si>
  <si>
    <t>2026-07-17T02:31:55+05:30</t>
  </si>
  <si>
    <t>40vvkbpj7gg9l2g@marketplace.amazon.in</t>
  </si>
  <si>
    <t>402-8779330-4459518</t>
  </si>
  <si>
    <t>Twtqr5Lj9</t>
  </si>
  <si>
    <t>DWslHYFycP02R</t>
  </si>
  <si>
    <t>2026-07-15T13:19:47+05:30</t>
  </si>
  <si>
    <t>2026-07-16T23:05:47+05:30</t>
  </si>
  <si>
    <t>2026-07-17T02:06:01+05:30</t>
  </si>
  <si>
    <t>9w6ljd3gq7237gy@marketplace.amazon.in</t>
  </si>
  <si>
    <t>DvsqH1Ffc809R</t>
  </si>
  <si>
    <t>D7snH1Ffc809R</t>
  </si>
  <si>
    <t>408-1133773-8099556</t>
  </si>
  <si>
    <t>T6HGrjCN9</t>
  </si>
  <si>
    <t>DysMHBFkcT0LR</t>
  </si>
  <si>
    <t>2026-07-16T19:07:23+05:30</t>
  </si>
  <si>
    <t>2026-07-16T23:05:41+05:30</t>
  </si>
  <si>
    <t>2026-07-16T23:05:44+05:30</t>
  </si>
  <si>
    <t>2026-07-17T00:05:59+05:30</t>
  </si>
  <si>
    <t>7v4qcl3hr272k1x@marketplace.amazon.in</t>
  </si>
  <si>
    <t>VISNAGAR</t>
  </si>
  <si>
    <t>404-3577183-7155522</t>
  </si>
  <si>
    <t>TcTtG0Cz9</t>
  </si>
  <si>
    <t>DQsPHsFpc809R</t>
  </si>
  <si>
    <t>2026-07-16T20:27:54+05:30</t>
  </si>
  <si>
    <t>2026-07-16T23:03:46+05:30</t>
  </si>
  <si>
    <t>2026-07-17T02:04:00+05:30</t>
  </si>
  <si>
    <t>jt05d3848cpsgrb@marketplace.amazon.in</t>
  </si>
  <si>
    <t>403-3161727-6451532</t>
  </si>
  <si>
    <t>Tw9qs3Cl9</t>
  </si>
  <si>
    <t>DsdCHWFSc50xR</t>
  </si>
  <si>
    <t>2026-07-16T19:22:39+05:30</t>
  </si>
  <si>
    <t>2026-07-16T23:03:40+05:30</t>
  </si>
  <si>
    <t>2026-07-16T23:03:44+05:30</t>
  </si>
  <si>
    <t>2026-07-17T00:03:55+05:30</t>
  </si>
  <si>
    <t>823y8zk89qtb1hz@marketplace.amazon.in</t>
  </si>
  <si>
    <t>171-3905710-1013952</t>
  </si>
  <si>
    <t>TCNnTwC09</t>
  </si>
  <si>
    <t>DnsvHtFXcc0LR</t>
  </si>
  <si>
    <t>2026-07-16T20:20:26+05:30</t>
  </si>
  <si>
    <t>2026-07-16T23:02:43+05:30</t>
  </si>
  <si>
    <t>2026-07-17T02:02:55+05:30</t>
  </si>
  <si>
    <t>8z34bb2r5yv1s18@marketplace.amazon.in</t>
  </si>
  <si>
    <t>406-6037493-5788311</t>
  </si>
  <si>
    <t>TNV8b9Cz9</t>
  </si>
  <si>
    <t>DWv1bQFfc60yR</t>
  </si>
  <si>
    <t>2026-07-16T18:19:37+05:30</t>
  </si>
  <si>
    <t>2026-07-16T22:58:48+05:30</t>
  </si>
  <si>
    <t>2026-07-17T01:59:03+05:30</t>
  </si>
  <si>
    <t>msn6z21qccpdg0f@marketplace.amazon.in</t>
  </si>
  <si>
    <t>404-4977511-0659558</t>
  </si>
  <si>
    <t>TchjKNfG9</t>
  </si>
  <si>
    <t>DtVmbXFScp0SR</t>
  </si>
  <si>
    <t>2026-07-16T14:39:43+05:30</t>
  </si>
  <si>
    <t>2026-07-16T22:57:42+05:30</t>
  </si>
  <si>
    <t>2026-07-17T01:57:49+05:30</t>
  </si>
  <si>
    <t>l3588859fm1zwwr@marketplace.amazon.in</t>
  </si>
  <si>
    <t>405-8505645-0157137</t>
  </si>
  <si>
    <t>T32g4bCq9</t>
  </si>
  <si>
    <t>DJm2bMFPcT0NR</t>
  </si>
  <si>
    <t>2026-07-16T17:17:39+05:30</t>
  </si>
  <si>
    <t>2026-07-16T22:54:41+05:30</t>
  </si>
  <si>
    <t>2026-07-17T01:54:53+05:30</t>
  </si>
  <si>
    <t>b0v8mq2s54qtnl9@marketplace.amazon.in</t>
  </si>
  <si>
    <t>403-6745465-9901128</t>
  </si>
  <si>
    <t>TVYmslC39</t>
  </si>
  <si>
    <t>DR98b9F5cd05R</t>
  </si>
  <si>
    <t>2026-07-16T19:23:50+05:30</t>
  </si>
  <si>
    <t>2026-07-16T22:50:45+05:30</t>
  </si>
  <si>
    <t>2026-07-17T01:50:56+05:30</t>
  </si>
  <si>
    <t>ftvnq4rzgjcslrr@marketplace.amazon.in</t>
  </si>
  <si>
    <t>404-3370397-7593151</t>
  </si>
  <si>
    <t>TVkM2l049</t>
  </si>
  <si>
    <t>DB0qb6FTcw0SR</t>
  </si>
  <si>
    <t>2026-07-15T20:24:29+05:30</t>
  </si>
  <si>
    <t>2026-07-16T22:47:46+05:30</t>
  </si>
  <si>
    <t>2026-07-17T01:47:59+05:30</t>
  </si>
  <si>
    <t>tq5wjvp19rhfczd@marketplace.amazon.in</t>
  </si>
  <si>
    <t>KARMALA</t>
  </si>
  <si>
    <t>Dh0nb6FTcw0SR</t>
  </si>
  <si>
    <t>408-8279293-2745907</t>
  </si>
  <si>
    <t>Tgv4r6CB9</t>
  </si>
  <si>
    <t>DbqybsF0c50jR</t>
  </si>
  <si>
    <t>2026-07-16T19:08:58+05:30</t>
  </si>
  <si>
    <t>2026-07-16T22:45:47+05:30</t>
  </si>
  <si>
    <t>2026-07-17T01:46:03+05:30</t>
  </si>
  <si>
    <t>jy8tf2h0ns19pqc@marketplace.amazon.in</t>
  </si>
  <si>
    <t>T3bS0RfV9</t>
  </si>
  <si>
    <t>DVhDkqFLch0DR</t>
  </si>
  <si>
    <t>2026-07-16T22:34:44+05:30</t>
  </si>
  <si>
    <t>2026-07-17T01:34:55+05:30</t>
  </si>
  <si>
    <t>171-1891603-9009113</t>
  </si>
  <si>
    <t>T3d2TqC99</t>
  </si>
  <si>
    <t>Dw2SNHF9cd0dR</t>
  </si>
  <si>
    <t>2026-07-16T18:38:10+05:30</t>
  </si>
  <si>
    <t>2026-07-16T22:26:43+05:30</t>
  </si>
  <si>
    <t>2026-07-17T01:26:56+05:30</t>
  </si>
  <si>
    <t>tl8z7qsytcrt6xk@marketplace.amazon.in</t>
  </si>
  <si>
    <t>403-3749568-4512367</t>
  </si>
  <si>
    <t>TgBdpMf69</t>
  </si>
  <si>
    <t>D4plN1FTcK0PR</t>
  </si>
  <si>
    <t>2026-07-16T14:25:06+05:30</t>
  </si>
  <si>
    <t>2026-07-16T22:12:55+05:30</t>
  </si>
  <si>
    <t>2026-07-17T01:13:10+05:30</t>
  </si>
  <si>
    <t>jxlncf4k9lbfgbz@marketplace.amazon.in</t>
  </si>
  <si>
    <t>405-5232765-4319513</t>
  </si>
  <si>
    <t>TCnmDBCz9</t>
  </si>
  <si>
    <t>Dv54RHFVcy0VR</t>
  </si>
  <si>
    <t>2026-07-16T17:49:40+05:30</t>
  </si>
  <si>
    <t>2026-07-16T22:12:00+05:30</t>
  </si>
  <si>
    <t>2026-07-17T01:12:12+05:30</t>
  </si>
  <si>
    <t>408-5791757-3847559</t>
  </si>
  <si>
    <t>T1kk4DCn9</t>
  </si>
  <si>
    <t>DjX3RJF1c20zR</t>
  </si>
  <si>
    <t>2026-07-16T17:17:38+05:30</t>
  </si>
  <si>
    <t>2026-07-16T22:07:47+05:30</t>
  </si>
  <si>
    <t>2026-07-17T01:08:01+05:30</t>
  </si>
  <si>
    <t>pf0bhcjh71qt7lm@marketplace.amazon.in</t>
  </si>
  <si>
    <t>402-0517676-1133950</t>
  </si>
  <si>
    <t>T3ndWsf19</t>
  </si>
  <si>
    <t>Dgy6RgF8cq02R</t>
  </si>
  <si>
    <t>2026-07-16T13:12:38+05:30</t>
  </si>
  <si>
    <t>2026-07-16T22:04:46+05:30</t>
  </si>
  <si>
    <t>2026-07-17T01:04:57+05:30</t>
  </si>
  <si>
    <t>by60h1d820yg3s4@marketplace.amazon.in</t>
  </si>
  <si>
    <t>408-8818609-9540343</t>
  </si>
  <si>
    <t>TXgplFfh9</t>
  </si>
  <si>
    <t>DzwCRKFbc404R</t>
  </si>
  <si>
    <t>2026-07-16T12:37:42+05:30</t>
  </si>
  <si>
    <t>2026-07-16T22:02:44+05:30</t>
  </si>
  <si>
    <t>2026-07-17T01:02:56+05:30</t>
  </si>
  <si>
    <t>5ym0ntysrx75tgq@marketplace.amazon.in</t>
  </si>
  <si>
    <t>FIROZABAD</t>
  </si>
  <si>
    <t>407-2353248-3542769</t>
  </si>
  <si>
    <t>TgKthbfZ9</t>
  </si>
  <si>
    <t>D3b4R3FYcL0LR</t>
  </si>
  <si>
    <t>2026-07-16T17:13:15+05:30</t>
  </si>
  <si>
    <t>2026-07-16T21:58:40+05:30</t>
  </si>
  <si>
    <t>2026-07-16T21:58:42+05:30</t>
  </si>
  <si>
    <t>2026-07-16T22:58:53+05:30</t>
  </si>
  <si>
    <t>SC-TS (4Q)</t>
  </si>
  <si>
    <t>407-3400784-5629960</t>
  </si>
  <si>
    <t>T6gF1NCk9</t>
  </si>
  <si>
    <t>DV01RxF5cW06R</t>
  </si>
  <si>
    <t>2026-07-16T19:46:58+05:30</t>
  </si>
  <si>
    <t>2026-07-16T21:55:45+05:30</t>
  </si>
  <si>
    <t>2026-07-17T00:55:56+05:30</t>
  </si>
  <si>
    <t>22mctb9b779tk1h@marketplace.amazon.in</t>
  </si>
  <si>
    <t>KADUNGALLOOR</t>
  </si>
  <si>
    <t>408-2222338-5637125</t>
  </si>
  <si>
    <t>TV4RsNCZ9</t>
  </si>
  <si>
    <t>DZR9R7FGcQ0gR</t>
  </si>
  <si>
    <t>2026-07-16T19:38:32+05:30</t>
  </si>
  <si>
    <t>2026-07-16T21:53:43+05:30</t>
  </si>
  <si>
    <t>2026-07-17T00:53:54+05:30</t>
  </si>
  <si>
    <t>l79b584c1jmb42b@marketplace.amazon.in</t>
  </si>
  <si>
    <t>407-3334694-3944327</t>
  </si>
  <si>
    <t>T6K0QCCZ9</t>
  </si>
  <si>
    <t>DWM0hj3gcq0xR</t>
  </si>
  <si>
    <t>2026-07-16T19:10:14+05:30</t>
  </si>
  <si>
    <t>2026-07-16T21:49:47+05:30</t>
  </si>
  <si>
    <t>2026-07-17T00:50:00+05:30</t>
  </si>
  <si>
    <t>c0vnzt0q82hkwxx@marketplace.amazon.in</t>
  </si>
  <si>
    <t>TCskGqfJ9</t>
  </si>
  <si>
    <t>D51Jfz3gcc0hR</t>
  </si>
  <si>
    <t>2026-07-16T21:28:45+05:30</t>
  </si>
  <si>
    <t>2026-07-17T00:28:56+05:30</t>
  </si>
  <si>
    <t>405-6786672-4873105</t>
  </si>
  <si>
    <t>TX6xx4f49</t>
  </si>
  <si>
    <t>DK8kZN3pcH0ZR</t>
  </si>
  <si>
    <t>2026-07-16T11:04:07+05:30</t>
  </si>
  <si>
    <t>2026-07-16T20:55:57+05:30</t>
  </si>
  <si>
    <t>2026-07-16T23:56:13+05:30</t>
  </si>
  <si>
    <t>g890q1rwmv5ssch@marketplace.amazon.in</t>
  </si>
  <si>
    <t>171-7683311-3826706</t>
  </si>
  <si>
    <t>Tw8t87pq9</t>
  </si>
  <si>
    <t>D3Y4ZW3NcR0rR</t>
  </si>
  <si>
    <t>2026-07-10T07:54:32+05:30</t>
  </si>
  <si>
    <t>2026-07-16T20:52:53+05:30</t>
  </si>
  <si>
    <t>2026-07-16T23:53:10+05:30</t>
  </si>
  <si>
    <t>xf8wfp9lqftkfh3@marketplace.amazon.in</t>
  </si>
  <si>
    <t>KALYAN (East)</t>
  </si>
  <si>
    <t>408-7479667-8209136</t>
  </si>
  <si>
    <t>TJcLnSf79</t>
  </si>
  <si>
    <t>D9rlZ23Fcw0xR</t>
  </si>
  <si>
    <t>2026-07-16T13:10:50+05:30</t>
  </si>
  <si>
    <t>2026-07-16T20:46:47+05:30</t>
  </si>
  <si>
    <t>2026-07-16T23:46:59+05:30</t>
  </si>
  <si>
    <t>635jp7v080xb4w8@marketplace.amazon.in</t>
  </si>
  <si>
    <t>171-2126164-9258730</t>
  </si>
  <si>
    <t>TwMJgwf39</t>
  </si>
  <si>
    <t>DvmSqF3tcK0sR</t>
  </si>
  <si>
    <t>2026-07-16T15:45:15+05:30</t>
  </si>
  <si>
    <t>2026-07-16T20:43:43+05:30</t>
  </si>
  <si>
    <t>2026-07-16T20:43:47+05:30</t>
  </si>
  <si>
    <t>2026-07-16T21:43:58+05:30</t>
  </si>
  <si>
    <t>0htwh07301dkn32@marketplace.amazon.in</t>
  </si>
  <si>
    <t>407-2875375-5185912</t>
  </si>
  <si>
    <t>TN754MCh9</t>
  </si>
  <si>
    <t>D8NQqy3fcT0jR</t>
  </si>
  <si>
    <t>2026-07-16T17:16:35+05:30</t>
  </si>
  <si>
    <t>2026-07-16T20:41:47+05:30</t>
  </si>
  <si>
    <t>2026-07-16T23:42:00+05:30</t>
  </si>
  <si>
    <t>hrlvbrj5gxmplph@marketplace.amazon.in</t>
  </si>
  <si>
    <t>402-9262434-1063559</t>
  </si>
  <si>
    <t>TcvpkqCb9</t>
  </si>
  <si>
    <t>DyKVq431cQ0XR</t>
  </si>
  <si>
    <t>2026-07-16T17:29:48+05:30</t>
  </si>
  <si>
    <t>2026-07-16T20:40:42+05:30</t>
  </si>
  <si>
    <t>2026-07-16T20:40:45+05:30</t>
  </si>
  <si>
    <t>2026-07-16T21:40:58+05:30</t>
  </si>
  <si>
    <t>mjr4y955n0511tr@marketplace.amazon.in</t>
  </si>
  <si>
    <t>406-9531194-2981918</t>
  </si>
  <si>
    <t>TC7wWDdd9</t>
  </si>
  <si>
    <t>DZNgqB3Vcw0DR</t>
  </si>
  <si>
    <t>2026-07-14T11:12:13+05:30</t>
  </si>
  <si>
    <t>2026-07-16T20:39:48+05:30</t>
  </si>
  <si>
    <t>2026-07-16T23:39:59+05:30</t>
  </si>
  <si>
    <t>3xthlqckdlhb3fz@marketplace.amazon.in</t>
  </si>
  <si>
    <t>Doongla</t>
  </si>
  <si>
    <t>404-2747615-8761924</t>
  </si>
  <si>
    <t>TJTHFDCS9</t>
  </si>
  <si>
    <t>D0sNqd3Xcm05R</t>
  </si>
  <si>
    <t>2026-07-16T17:28:53+05:30</t>
  </si>
  <si>
    <t>2026-07-16T20:30:45+05:30</t>
  </si>
  <si>
    <t>2026-07-16T23:30:57+05:30</t>
  </si>
  <si>
    <t>ssbllf913sljbs8@marketplace.amazon.in</t>
  </si>
  <si>
    <t>403-1490738-7969143</t>
  </si>
  <si>
    <t>Tw9BgLs09</t>
  </si>
  <si>
    <t>Dh1c5n3ncz0rR</t>
  </si>
  <si>
    <t>2026-07-14T22:41:52+05:30</t>
  </si>
  <si>
    <t>2026-07-16T20:24:42+05:30</t>
  </si>
  <si>
    <t>2026-07-16T23:24:53+05:30</t>
  </si>
  <si>
    <t>wrxhn8z4grrhrqz@marketplace.amazon.in</t>
  </si>
  <si>
    <t>402-2040265-2030706</t>
  </si>
  <si>
    <t>Tg3XNrCb9</t>
  </si>
  <si>
    <t>Dcl85r3McB0yR</t>
  </si>
  <si>
    <t>2026-07-16T15:39:38+05:30</t>
  </si>
  <si>
    <t>2026-07-16T20:18:45+05:30</t>
  </si>
  <si>
    <t>2026-07-16T20:18:47+05:30</t>
  </si>
  <si>
    <t>2026-07-16T21:18:58+05:30</t>
  </si>
  <si>
    <t>tkdw6753z4y5t2w@marketplace.amazon.in</t>
  </si>
  <si>
    <t>171-0108472-9117976</t>
  </si>
  <si>
    <t>TnLprVLZ9</t>
  </si>
  <si>
    <t>D7rQ5H3Gc706R</t>
  </si>
  <si>
    <t>2026-07-08T17:48:05+05:30</t>
  </si>
  <si>
    <t>2026-07-16T20:14:45+05:30</t>
  </si>
  <si>
    <t>2026-07-16T20:14:49+05:30</t>
  </si>
  <si>
    <t>2026-07-16T21:15:01+05:30</t>
  </si>
  <si>
    <t>btr020wx1l58vmy@marketplace.amazon.in</t>
  </si>
  <si>
    <t>407-9662682-4845165</t>
  </si>
  <si>
    <t>TgwTXvfL9</t>
  </si>
  <si>
    <t>DBqcg93Mcq0tR</t>
  </si>
  <si>
    <t>2026-07-16T14:01:08+05:30</t>
  </si>
  <si>
    <t>2026-07-16T19:53:49+05:30</t>
  </si>
  <si>
    <t>2026-07-16T22:54:11+05:30</t>
  </si>
  <si>
    <t>2wcrvr2cyb48d8g@marketplace.amazon.in</t>
  </si>
  <si>
    <t>405-9569501-2215514</t>
  </si>
  <si>
    <t>T19n77fM9</t>
  </si>
  <si>
    <t>Dfrc8g34cy0yR</t>
  </si>
  <si>
    <t>2026-07-16T10:29:39+05:30</t>
  </si>
  <si>
    <t>2026-07-16T19:38:44+05:30</t>
  </si>
  <si>
    <t>2026-07-16T22:38:55+05:30</t>
  </si>
  <si>
    <t>ckqtyhgb5mhzz4l@marketplace.amazon.in</t>
  </si>
  <si>
    <t>407-2996287-1963506</t>
  </si>
  <si>
    <t>Tgts4BC99</t>
  </si>
  <si>
    <t>D33lXv3lcV0HR</t>
  </si>
  <si>
    <t>2026-07-16T17:12:18+05:30</t>
  </si>
  <si>
    <t>2026-07-16T19:29:40+05:30</t>
  </si>
  <si>
    <t>2026-07-16T19:29:42+05:30</t>
  </si>
  <si>
    <t>2026-07-16T20:29:55+05:30</t>
  </si>
  <si>
    <t>DV3LXV37cV0HR</t>
  </si>
  <si>
    <t>404-2430399-2437968</t>
  </si>
  <si>
    <t>Tn6y3jfS9</t>
  </si>
  <si>
    <t>DZdZXB3TcF08R</t>
  </si>
  <si>
    <t>2026-07-16T09:41:30+05:30</t>
  </si>
  <si>
    <t>2026-07-16T19:26:47+05:30</t>
  </si>
  <si>
    <t>2026-07-16T22:26:56+05:30</t>
  </si>
  <si>
    <t>fjglqknr2fyrmfg@marketplace.amazon.in</t>
  </si>
  <si>
    <t>408-5553370-0688308</t>
  </si>
  <si>
    <t>TJVwh8fx9</t>
  </si>
  <si>
    <t>DzHLXK3Sc90jR</t>
  </si>
  <si>
    <t>2026-07-16T16:28:07+05:30</t>
  </si>
  <si>
    <t>2026-07-16T19:25:47+05:30</t>
  </si>
  <si>
    <t>2026-07-16T22:26:02+05:30</t>
  </si>
  <si>
    <t>80j9vbzcz2vj40c@marketplace.amazon.in</t>
  </si>
  <si>
    <t>403-0580359-6357938</t>
  </si>
  <si>
    <t>TVFnwbC19</t>
  </si>
  <si>
    <t>DtcJXT3gcw02R</t>
  </si>
  <si>
    <t>2026-07-16T16:35:02+05:30</t>
  </si>
  <si>
    <t>2026-07-16T19:24:46+05:30</t>
  </si>
  <si>
    <t>2026-07-16T22:24:58+05:30</t>
  </si>
  <si>
    <t>f42cvmw067y02j0@marketplace.amazon.in</t>
  </si>
  <si>
    <t>403-5242474-5658749</t>
  </si>
  <si>
    <t>T159kTCZ9</t>
  </si>
  <si>
    <t>DXzZXh35cB0XR</t>
  </si>
  <si>
    <t>2026-07-16T17:29:00+05:30</t>
  </si>
  <si>
    <t>2026-07-16T19:23:44+05:30</t>
  </si>
  <si>
    <t>2026-07-16T22:23:57+05:30</t>
  </si>
  <si>
    <t>hw3dmzpcn1zxn0q@marketplace.amazon.in</t>
  </si>
  <si>
    <t>402-8907920-3565153</t>
  </si>
  <si>
    <t>TJz6rkfp9</t>
  </si>
  <si>
    <t>DGdLXR3kcF08R</t>
  </si>
  <si>
    <t>2026-07-16T11:37:26+05:30</t>
  </si>
  <si>
    <t>2026-07-16T19:18:48+05:30</t>
  </si>
  <si>
    <t>2026-07-16T22:19:00+05:30</t>
  </si>
  <si>
    <t>7n61jz00kxtqrqw@marketplace.amazon.in</t>
  </si>
  <si>
    <t>simdega</t>
  </si>
  <si>
    <t>404-3499202-3203503</t>
  </si>
  <si>
    <t>TwZbPJfM9</t>
  </si>
  <si>
    <t>Dc5qCj38cr0LR</t>
  </si>
  <si>
    <t>2026-07-16T11:53:19+05:30</t>
  </si>
  <si>
    <t>2026-07-16T19:14:51+05:30</t>
  </si>
  <si>
    <t>2026-07-16T22:15:06+05:30</t>
  </si>
  <si>
    <t>ctwnqzdy7f3yzs2@marketplace.amazon.in</t>
  </si>
  <si>
    <t>Mangaluru</t>
  </si>
  <si>
    <t>406-4596632-3831523</t>
  </si>
  <si>
    <t>TCZ6nsfQ9</t>
  </si>
  <si>
    <t>DsbSCC34c90jR</t>
  </si>
  <si>
    <t>2026-07-16T13:23:33+05:30</t>
  </si>
  <si>
    <t>2026-07-16T19:14:48+05:30</t>
  </si>
  <si>
    <t>2026-07-16T22:15:03+05:30</t>
  </si>
  <si>
    <t>3h3tczjfykzmv0q@marketplace.amazon.in</t>
  </si>
  <si>
    <t>408-7126431-2173140</t>
  </si>
  <si>
    <t>TVkPG7f69</t>
  </si>
  <si>
    <t>D5dHCV39cq0SR</t>
  </si>
  <si>
    <t>2026-07-16T07:27:17+05:30</t>
  </si>
  <si>
    <t>2026-07-16T19:01:43+05:30</t>
  </si>
  <si>
    <t>2026-07-16T19:01:47+05:30</t>
  </si>
  <si>
    <t>2026-07-16T20:01:59+05:30</t>
  </si>
  <si>
    <t>v5dq9sspqf7d447@marketplace.amazon.in</t>
  </si>
  <si>
    <t>Cubes-Grey (3Q)</t>
  </si>
  <si>
    <t>CRASOME Travel Organizer, Packing Cubes for Travel, Packing Bags for Clothes, Traveling Storage Bag for Women Men, Toiletry Pouch, Travel Essentials Pack of 3 (Cube1-Grey-Pack3)</t>
  </si>
  <si>
    <t>Barmer</t>
  </si>
  <si>
    <t>AM007329198IN</t>
  </si>
  <si>
    <t>171-6920406-5785149</t>
  </si>
  <si>
    <t>TNZ9nxfZ9</t>
  </si>
  <si>
    <t>DLB5pX34cP0MR</t>
  </si>
  <si>
    <t>2026-07-16T12:52:32+05:30</t>
  </si>
  <si>
    <t>2026-07-16T19:00:00+05:30</t>
  </si>
  <si>
    <t>2026-07-16T22:00:49+05:30</t>
  </si>
  <si>
    <t>7q83rgnd25ygsyl@marketplace.amazon.in</t>
  </si>
  <si>
    <t>406-4854901-9740354</t>
  </si>
  <si>
    <t>TJrwvK0m9</t>
  </si>
  <si>
    <t>DYptWw3lcP0PR</t>
  </si>
  <si>
    <t>2026-07-15T08:39:00+05:30</t>
  </si>
  <si>
    <t>2026-07-16T18:24:47+05:30</t>
  </si>
  <si>
    <t>2026-07-16T21:25:00+05:30</t>
  </si>
  <si>
    <t>2tcp1tnbvl8c49n@marketplace.amazon.in</t>
  </si>
  <si>
    <t>D8N3KN35cl0MR</t>
  </si>
  <si>
    <t>2026-07-16T21:24:59+05:30</t>
  </si>
  <si>
    <t>404-1714513-0821931</t>
  </si>
  <si>
    <t>Tw6Bzm069</t>
  </si>
  <si>
    <t>DSmGKc3ScD0LR</t>
  </si>
  <si>
    <t>2026-07-14T16:02:11+05:30</t>
  </si>
  <si>
    <t>2026-07-16T18:22:57+05:30</t>
  </si>
  <si>
    <t>2026-07-16T21:23:15+05:30</t>
  </si>
  <si>
    <t>chb7rlfqx9dlbdd@marketplace.amazon.in</t>
  </si>
  <si>
    <t>171-8862653-6037138</t>
  </si>
  <si>
    <t>T3TSRFf89</t>
  </si>
  <si>
    <t>D4l5Kx39c009R</t>
  </si>
  <si>
    <t>2026-07-16T02:23:39+05:30</t>
  </si>
  <si>
    <t>2026-07-16T18:19:53+05:30</t>
  </si>
  <si>
    <t>2026-07-16T21:20:14+05:30</t>
  </si>
  <si>
    <t>7j173y9ljs4mjjh@marketplace.amazon.in</t>
  </si>
  <si>
    <t>403-2618075-2373901</t>
  </si>
  <si>
    <t>TJBrtVfR9</t>
  </si>
  <si>
    <t>DkB0mV3kcg0hR</t>
  </si>
  <si>
    <t>2026-07-16T14:04:27+05:30</t>
  </si>
  <si>
    <t>2026-07-16T18:04:40+05:30</t>
  </si>
  <si>
    <t>2026-07-16T18:04:43+05:30</t>
  </si>
  <si>
    <t>2026-07-16T19:04:54+05:30</t>
  </si>
  <si>
    <t>mjvxhngzc06p9cv@marketplace.amazon.in</t>
  </si>
  <si>
    <t>406-6807498-4133915</t>
  </si>
  <si>
    <t>T6kVKPrW9</t>
  </si>
  <si>
    <t>DDFMlq3kcn05R</t>
  </si>
  <si>
    <t>2026-07-13T21:49:44+05:30</t>
  </si>
  <si>
    <t>2026-07-16T17:49:43+05:30</t>
  </si>
  <si>
    <t>2026-07-16T20:49:55+05:30</t>
  </si>
  <si>
    <t>dlylhlmzj1lxzbr@marketplace.amazon.in</t>
  </si>
  <si>
    <t>406-7924846-1944333</t>
  </si>
  <si>
    <t>TX41sxfl9</t>
  </si>
  <si>
    <t>Dp4tlj39c70hR</t>
  </si>
  <si>
    <t>2026-07-16T09:29:10+05:30</t>
  </si>
  <si>
    <t>2026-07-16T17:48:45+05:30</t>
  </si>
  <si>
    <t>2026-07-16T20:48:56+05:30</t>
  </si>
  <si>
    <t>hq29qcf0wfth3sb@marketplace.amazon.in</t>
  </si>
  <si>
    <t>TARAORI</t>
  </si>
  <si>
    <t>402-1870168-8642755</t>
  </si>
  <si>
    <t>T1gvm1f39</t>
  </si>
  <si>
    <t>DlWZlk3kc30GR</t>
  </si>
  <si>
    <t>2026-07-16T13:39:24+05:30</t>
  </si>
  <si>
    <t>2026-07-16T17:42:41+05:30</t>
  </si>
  <si>
    <t>2026-07-16T17:42:45+05:30</t>
  </si>
  <si>
    <t>2026-07-16T18:42:58+05:30</t>
  </si>
  <si>
    <t>tw38v825t57p5q4@marketplace.amazon.in</t>
  </si>
  <si>
    <t>Santipur</t>
  </si>
  <si>
    <t>403-0146813-8384330</t>
  </si>
  <si>
    <t>TgTqrdGd9</t>
  </si>
  <si>
    <t>DpMD0T3scB0gR</t>
  </si>
  <si>
    <t>2026-07-15T00:29:45+05:30</t>
  </si>
  <si>
    <t>2026-07-16T17:29:58+05:30</t>
  </si>
  <si>
    <t>2026-07-16T20:30:23+05:30</t>
  </si>
  <si>
    <t>z1cbk997b1m3m78@marketplace.amazon.in</t>
  </si>
  <si>
    <t>171-8770878-4460345</t>
  </si>
  <si>
    <t>TVyGpKfq9</t>
  </si>
  <si>
    <t>DZ8V6b3qcm0tR</t>
  </si>
  <si>
    <t>2026-07-16T15:02:38+05:30</t>
  </si>
  <si>
    <t>2026-07-16T16:57:45+05:30</t>
  </si>
  <si>
    <t>2026-07-16T19:57:56+05:30</t>
  </si>
  <si>
    <t>sw6k57y582c6qk4@marketplace.amazon.in</t>
  </si>
  <si>
    <t>408-1823917-4077909</t>
  </si>
  <si>
    <t>TJLVft0v9</t>
  </si>
  <si>
    <t>D9sl6r3Rcy0RR</t>
  </si>
  <si>
    <t>2026-07-16T04:58:40+05:30</t>
  </si>
  <si>
    <t>2026-07-16T16:49:47+05:30</t>
  </si>
  <si>
    <t>2026-07-16T19:49:59+05:30</t>
  </si>
  <si>
    <t>zxx1gnqsjs6mkh4@marketplace.amazon.in</t>
  </si>
  <si>
    <t>407-8671413-0317961</t>
  </si>
  <si>
    <t>TG72Cq0v9</t>
  </si>
  <si>
    <t>Dz0C6c3HcD02R</t>
  </si>
  <si>
    <t>2026-07-15T21:57:13+05:30</t>
  </si>
  <si>
    <t>2026-07-16T16:45:53+05:30</t>
  </si>
  <si>
    <t>2026-07-16T19:46:10+05:30</t>
  </si>
  <si>
    <t>r1z22b2m2pj9rnw@marketplace.amazon.in</t>
  </si>
  <si>
    <t>407-3868223-6572312</t>
  </si>
  <si>
    <t>T3NydnfS9</t>
  </si>
  <si>
    <t>DrNRdb3JcZ0NR</t>
  </si>
  <si>
    <t>2026-07-16T11:53:50+05:30</t>
  </si>
  <si>
    <t>2026-07-16T16:44:48+05:30</t>
  </si>
  <si>
    <t>2026-07-16T19:45:00+05:30</t>
  </si>
  <si>
    <t>yvrfpn8jnvv002l@marketplace.amazon.in</t>
  </si>
  <si>
    <t>407-7966278-6460308</t>
  </si>
  <si>
    <t>TGLBt4f79</t>
  </si>
  <si>
    <t>DwNRdt3QcZ0NR</t>
  </si>
  <si>
    <t>2026-07-16T13:21:46+05:30</t>
  </si>
  <si>
    <t>2026-07-16T16:43:43+05:30</t>
  </si>
  <si>
    <t>2026-07-16T19:43:57+05:30</t>
  </si>
  <si>
    <t>c7qm7bxvzptsxnx@marketplace.amazon.in</t>
  </si>
  <si>
    <t>ETTIMADAI, Coimbatore</t>
  </si>
  <si>
    <t>402-1802680-6243534</t>
  </si>
  <si>
    <t>TGx7WJf29</t>
  </si>
  <si>
    <t>DL0Xdf3Bcc0XR</t>
  </si>
  <si>
    <t>2026-07-16T13:25:27+05:30</t>
  </si>
  <si>
    <t>2026-07-16T16:33:54+05:30</t>
  </si>
  <si>
    <t>2026-07-16T19:34:09+05:30</t>
  </si>
  <si>
    <t>n0bp63b2d934gd4@marketplace.amazon.in</t>
  </si>
  <si>
    <t>Tirunelveli</t>
  </si>
  <si>
    <t>404-6198877-0666747</t>
  </si>
  <si>
    <t>T61nG8f49</t>
  </si>
  <si>
    <t>DV0ldY39cc0XR</t>
  </si>
  <si>
    <t>2026-07-16T10:30:19+05:30</t>
  </si>
  <si>
    <t>2026-07-16T16:33:41+05:30</t>
  </si>
  <si>
    <t>2026-07-16T16:33:44+05:30</t>
  </si>
  <si>
    <t>2026-07-16T17:33:55+05:30</t>
  </si>
  <si>
    <t>8pcy3b7whnsd0ry@marketplace.amazon.in</t>
  </si>
  <si>
    <t>402-0300521-9465910</t>
  </si>
  <si>
    <t>T3CsMmfh9</t>
  </si>
  <si>
    <t>DPhndK3gct0MR</t>
  </si>
  <si>
    <t>2026-07-16T08:45:02+05:30</t>
  </si>
  <si>
    <t>2026-07-16T16:32:43+05:30</t>
  </si>
  <si>
    <t>2026-07-16T16:32:46+05:30</t>
  </si>
  <si>
    <t>2026-07-16T17:32:57+05:30</t>
  </si>
  <si>
    <t>vmmj8vvyhw5d6qz@marketplace.amazon.in</t>
  </si>
  <si>
    <t>402-3919089-8126760</t>
  </si>
  <si>
    <t>TN8k9nfS9</t>
  </si>
  <si>
    <t>DFFgGc3Jcm0rR</t>
  </si>
  <si>
    <t>2026-07-16T01:41:54+05:30</t>
  </si>
  <si>
    <t>2026-07-16T16:20:51+05:30</t>
  </si>
  <si>
    <t>2026-07-16T19:24:47+05:30</t>
  </si>
  <si>
    <t>7wljywqck6tk2g6@marketplace.amazon.in</t>
  </si>
  <si>
    <t>407-7210593-0927505</t>
  </si>
  <si>
    <t>TwK1Tq019</t>
  </si>
  <si>
    <t>DKFNtS3kcg00R</t>
  </si>
  <si>
    <t>2026-07-15T21:36:57+05:30</t>
  </si>
  <si>
    <t>2026-07-16T16:08:47+05:30</t>
  </si>
  <si>
    <t>2026-07-16T19:09:02+05:30</t>
  </si>
  <si>
    <t>gvz059dvsmhmkkz@marketplace.amazon.in</t>
  </si>
  <si>
    <t>406-6818321-6804320</t>
  </si>
  <si>
    <t>TwCdnXLG9</t>
  </si>
  <si>
    <t>DKF4t23ZcB00R</t>
  </si>
  <si>
    <t>2026-07-15T14:12:48+05:30</t>
  </si>
  <si>
    <t>2026-07-16T16:07:45+05:30</t>
  </si>
  <si>
    <t>2026-07-16T16:07:50+05:30</t>
  </si>
  <si>
    <t>2026-07-16T17:08:01+05:30</t>
  </si>
  <si>
    <t>g79p7n14xlkcxxl@marketplace.amazon.in</t>
  </si>
  <si>
    <t>404-5175843-9093136</t>
  </si>
  <si>
    <t>TJPGkt0m9</t>
  </si>
  <si>
    <t>Db7Pt83xcg0SR</t>
  </si>
  <si>
    <t>2026-07-15T18:54:18+05:30</t>
  </si>
  <si>
    <t>2026-07-16T16:07:47+05:30</t>
  </si>
  <si>
    <t>2026-07-16T19:07:58+05:30</t>
  </si>
  <si>
    <t>qj8hqfwhdk15q6d@marketplace.amazon.in</t>
  </si>
  <si>
    <t>Udaipur</t>
  </si>
  <si>
    <t>406-6445117-0553907</t>
  </si>
  <si>
    <t>TNBnGG0g9</t>
  </si>
  <si>
    <t>DV09t432cx00R</t>
  </si>
  <si>
    <t>2026-07-16T00:09:56+05:30</t>
  </si>
  <si>
    <t>2026-07-16T15:58:44+05:30</t>
  </si>
  <si>
    <t>2026-07-16T18:58:55+05:30</t>
  </si>
  <si>
    <t>sw2q86fg1dqchxc@marketplace.amazon.in</t>
  </si>
  <si>
    <t>407-5524204-1726754</t>
  </si>
  <si>
    <t>T32g7cf79</t>
  </si>
  <si>
    <t>Dw0Zt038cR00R</t>
  </si>
  <si>
    <t>2026-07-16T10:32:05+05:30</t>
  </si>
  <si>
    <t>2026-07-16T15:55:44+05:30</t>
  </si>
  <si>
    <t>2026-07-16T18:55:59+05:30</t>
  </si>
  <si>
    <t>9rqcz25nq9j4x5y@marketplace.amazon.in</t>
  </si>
  <si>
    <t>DXJCtn38cV0VR</t>
  </si>
  <si>
    <t>408-1812479-8568336</t>
  </si>
  <si>
    <t>TGbdGFfW9</t>
  </si>
  <si>
    <t>DXR5tp3ncT0QR</t>
  </si>
  <si>
    <t>2026-07-16T11:11:41+05:30</t>
  </si>
  <si>
    <t>2026-07-16T15:51:38+05:30</t>
  </si>
  <si>
    <t>2026-07-16T15:51:41+05:30</t>
  </si>
  <si>
    <t>2026-07-16T16:51:51+05:30</t>
  </si>
  <si>
    <t>8vw6xq22fk3br0x@marketplace.amazon.in</t>
  </si>
  <si>
    <t>171-8059327-8189130</t>
  </si>
  <si>
    <t>TCwmGz0X9</t>
  </si>
  <si>
    <t>D9syTl31cm03R</t>
  </si>
  <si>
    <t>2026-07-16T00:00:37+05:30</t>
  </si>
  <si>
    <t>2026-07-16T15:24:44+05:30</t>
  </si>
  <si>
    <t>2026-07-16T18:24:56+05:30</t>
  </si>
  <si>
    <t>fz0zpgx640kgv6s@marketplace.amazon.in</t>
  </si>
  <si>
    <t>171-6244170-5331567</t>
  </si>
  <si>
    <t>TXYXPvfN9</t>
  </si>
  <si>
    <t>Dqmrnf3LcL0NR</t>
  </si>
  <si>
    <t>2026-07-16T11:36:48+05:30</t>
  </si>
  <si>
    <t>2026-07-16T15:17:42+05:30</t>
  </si>
  <si>
    <t>2026-07-16T15:17:45+05:30</t>
  </si>
  <si>
    <t>2026-07-16T16:17:57+05:30</t>
  </si>
  <si>
    <t>xcwgyn21vwzrtj0@marketplace.amazon.in</t>
  </si>
  <si>
    <t>CHILAKALURIPET</t>
  </si>
  <si>
    <t>402-5167572-3981167</t>
  </si>
  <si>
    <t>T1F06dfy9</t>
  </si>
  <si>
    <t>DRzFnz3qcB06R</t>
  </si>
  <si>
    <t>2026-07-16T13:10:06+05:30</t>
  </si>
  <si>
    <t>2026-07-16T15:09:39+05:30</t>
  </si>
  <si>
    <t>2026-07-16T15:09:41+05:30</t>
  </si>
  <si>
    <t>2026-07-16T16:09:54+05:30</t>
  </si>
  <si>
    <t>5pw8hdy60zj3k8w@marketplace.amazon.in</t>
  </si>
  <si>
    <t>403-9864419-1835556</t>
  </si>
  <si>
    <t>TX47R0fS9</t>
  </si>
  <si>
    <t>DjZJxS3hcN0gR</t>
  </si>
  <si>
    <t>2026-07-16T03:49:53+05:30</t>
  </si>
  <si>
    <t>2026-07-16T14:56:45+05:30</t>
  </si>
  <si>
    <t>2026-07-16T17:56:57+05:30</t>
  </si>
  <si>
    <t>hb28bddpvzvydm2@marketplace.amazon.in</t>
  </si>
  <si>
    <t>407-7848551-7155527</t>
  </si>
  <si>
    <t>TGCK6ffD9</t>
  </si>
  <si>
    <t>DQt1xq38cl0tR</t>
  </si>
  <si>
    <t>2026-07-16T12:29:19+05:30</t>
  </si>
  <si>
    <t>2026-07-16T14:52:46+05:30</t>
  </si>
  <si>
    <t>2026-07-16T17:52:58+05:30</t>
  </si>
  <si>
    <t>fjldk3n10zlyw4j@marketplace.amazon.in</t>
  </si>
  <si>
    <t>2026-07-16T20:00:00+05:30</t>
  </si>
  <si>
    <t>408-7066843-9089925</t>
  </si>
  <si>
    <t>TNTPGPfB9</t>
  </si>
  <si>
    <t>DnmYJY3tcr0yR</t>
  </si>
  <si>
    <t>2026-07-16T10:54:23+05:30</t>
  </si>
  <si>
    <t>2026-07-16T14:24:41+05:30</t>
  </si>
  <si>
    <t>2026-07-16T17:24:53+05:30</t>
  </si>
  <si>
    <t>3kmwsh894mm7dnd@marketplace.amazon.in</t>
  </si>
  <si>
    <t>171-6703355-8913950</t>
  </si>
  <si>
    <t>TG5Xth0S9</t>
  </si>
  <si>
    <t>DK5SJF33cw0tR</t>
  </si>
  <si>
    <t>2026-07-15T23:19:09+05:30</t>
  </si>
  <si>
    <t>2026-07-16T14:22:44+05:30</t>
  </si>
  <si>
    <t>2026-07-16T17:22:59+05:30</t>
  </si>
  <si>
    <t>ktr6sxxs2d79x93@marketplace.amazon.in</t>
  </si>
  <si>
    <t>408-7484460-5114733</t>
  </si>
  <si>
    <t>TJqPWdfl9</t>
  </si>
  <si>
    <t>D7l7JP3Dc50KR</t>
  </si>
  <si>
    <t>2026-07-16T12:47:29+05:30</t>
  </si>
  <si>
    <t>2026-07-16T14:20:39+05:30</t>
  </si>
  <si>
    <t>2026-07-16T14:20:42+05:30</t>
  </si>
  <si>
    <t>2026-07-16T15:20:51+05:30</t>
  </si>
  <si>
    <t>1j7930yb0q8b0ns@marketplace.amazon.in</t>
  </si>
  <si>
    <t>406-0244476-8967506</t>
  </si>
  <si>
    <t>TNVfTGLb9</t>
  </si>
  <si>
    <t>DW7xMR3tc703R</t>
  </si>
  <si>
    <t>2026-07-13T17:43:48+05:30</t>
  </si>
  <si>
    <t>2026-07-16T14:05:41+05:30</t>
  </si>
  <si>
    <t>2026-07-16T17:05:54+05:30</t>
  </si>
  <si>
    <t>nshwjr5m57xs112@marketplace.amazon.in</t>
  </si>
  <si>
    <t>403-3770679-2322713</t>
  </si>
  <si>
    <t>TJrVtf0d9</t>
  </si>
  <si>
    <t>DPH4MB3McL00R</t>
  </si>
  <si>
    <t>2026-07-15T22:47:35+05:30</t>
  </si>
  <si>
    <t>2026-07-16T13:56:47+05:30</t>
  </si>
  <si>
    <t>2026-07-16T13:56:57+05:30</t>
  </si>
  <si>
    <t>2026-07-16T14:57:14+05:30</t>
  </si>
  <si>
    <t>njdhqvbx589b34f@marketplace.amazon.in</t>
  </si>
  <si>
    <t>405-5442490-4120362</t>
  </si>
  <si>
    <t>T3LgJXfH9</t>
  </si>
  <si>
    <t>DlxkMq37cc07R</t>
  </si>
  <si>
    <t>2026-07-16T11:40:44+05:30</t>
  </si>
  <si>
    <t>2026-07-16T13:54:29+05:30</t>
  </si>
  <si>
    <t>2026-07-16T16:54:42+05:30</t>
  </si>
  <si>
    <t>2wd9kdgdjz2tc2v@marketplace.amazon.in</t>
  </si>
  <si>
    <t>Khusrupur</t>
  </si>
  <si>
    <t>405-6234837-4573916</t>
  </si>
  <si>
    <t>TGGX3W0x9</t>
  </si>
  <si>
    <t>DqRRMr3KcD0HR</t>
  </si>
  <si>
    <t>2026-07-15T23:55:12+05:30</t>
  </si>
  <si>
    <t>2026-07-16T13:52:54+05:30</t>
  </si>
  <si>
    <t>2026-07-16T16:57:28+05:30</t>
  </si>
  <si>
    <t>t376r720xh4n61v@marketplace.amazon.in</t>
  </si>
  <si>
    <t>patna</t>
  </si>
  <si>
    <t>408-5697432-4665167</t>
  </si>
  <si>
    <t>Tgf2xd049</t>
  </si>
  <si>
    <t>DMjb7h30cY0HR</t>
  </si>
  <si>
    <t>2026-07-15T22:29:07+05:30</t>
  </si>
  <si>
    <t>2026-07-16T13:17:44+05:30</t>
  </si>
  <si>
    <t>2026-07-16T16:17:55+05:30</t>
  </si>
  <si>
    <t>xvdm1njbx48wt63@marketplace.amazon.in</t>
  </si>
  <si>
    <t>408-5282578-6677965</t>
  </si>
  <si>
    <t>TnTqYBf09</t>
  </si>
  <si>
    <t>DTww7P3YcW0qR</t>
  </si>
  <si>
    <t>2026-07-15T22:46:02+05:30</t>
  </si>
  <si>
    <t>2026-07-16T13:16:43+05:30</t>
  </si>
  <si>
    <t>2026-07-16T16:16:57+05:30</t>
  </si>
  <si>
    <t>gk6sy3xrtysl03x@marketplace.amazon.in</t>
  </si>
  <si>
    <t>Bareilly</t>
  </si>
  <si>
    <t>405-7966260-8869942</t>
  </si>
  <si>
    <t>T6l9GQfZ9</t>
  </si>
  <si>
    <t>Dz5MLN3YcT0SR</t>
  </si>
  <si>
    <t>2026-07-16T11:41:23+05:30</t>
  </si>
  <si>
    <t>2026-07-16T13:04:40+05:30</t>
  </si>
  <si>
    <t>2026-07-16T13:04:42+05:30</t>
  </si>
  <si>
    <t>2026-07-16T14:04:53+05:30</t>
  </si>
  <si>
    <t>d0rwdx8056hkkc9@marketplace.amazon.in</t>
  </si>
  <si>
    <t>405-8942571-2810760</t>
  </si>
  <si>
    <t>TX84myql9</t>
  </si>
  <si>
    <t>D0zWLW3mcM0gR</t>
  </si>
  <si>
    <t>2026-07-10T12:20:03+05:30</t>
  </si>
  <si>
    <t>2026-07-16T12:52:44+05:30</t>
  </si>
  <si>
    <t>2026-07-16T15:52:56+05:30</t>
  </si>
  <si>
    <t>1nl1b98rq9vfrtm@marketplace.amazon.in</t>
  </si>
  <si>
    <t>407-4253903-2085166</t>
  </si>
  <si>
    <t>TVXMBH019</t>
  </si>
  <si>
    <t>Dz9QLm3tcf0rR</t>
  </si>
  <si>
    <t>2026-07-15T19:36:48+05:30</t>
  </si>
  <si>
    <t>2026-07-16T12:51:52+05:30</t>
  </si>
  <si>
    <t>2026-07-16T15:52:09+05:30</t>
  </si>
  <si>
    <t>vwqnhfbrym4sg71@marketplace.amazon.in</t>
  </si>
  <si>
    <t>408-4626714-8585916</t>
  </si>
  <si>
    <t>TG2zwl0t9</t>
  </si>
  <si>
    <t>DtzPLP3ncM0gR</t>
  </si>
  <si>
    <t>2026-07-15T20:08:54+05:30</t>
  </si>
  <si>
    <t>2026-07-16T12:50:53+05:30</t>
  </si>
  <si>
    <t>2026-07-16T15:51:04+05:30</t>
  </si>
  <si>
    <t>j5w8p4ny7rtcsk0@marketplace.amazon.in</t>
  </si>
  <si>
    <t>402-0597282-1121952</t>
  </si>
  <si>
    <t>TNW3kDLK9</t>
  </si>
  <si>
    <t>DX48sd3dc30wR</t>
  </si>
  <si>
    <t>2026-07-15T09:58:39+05:30</t>
  </si>
  <si>
    <t>2026-07-16T12:42:45+05:30</t>
  </si>
  <si>
    <t>2026-07-16T15:42:57+05:30</t>
  </si>
  <si>
    <t>d2hdbjbgc9vrkfp@marketplace.amazon.in</t>
  </si>
  <si>
    <t>402-4048887-8908303</t>
  </si>
  <si>
    <t>Tg4xJnLs9</t>
  </si>
  <si>
    <t>D8JfsG3jcM0rR</t>
  </si>
  <si>
    <t>2026-07-15T15:12:00+05:30</t>
  </si>
  <si>
    <t>2026-07-16T12:26:46+05:30</t>
  </si>
  <si>
    <t>2026-07-16T15:27:00+05:30</t>
  </si>
  <si>
    <t>2b8hfs1s8wcpv1v@marketplace.amazon.in</t>
  </si>
  <si>
    <t>SATYEWALA</t>
  </si>
  <si>
    <t>402-1386757-7860336</t>
  </si>
  <si>
    <t>TG9q3K0S9</t>
  </si>
  <si>
    <t>DvcFQG3YcB05R</t>
  </si>
  <si>
    <t>2026-07-15T22:22:27+05:30</t>
  </si>
  <si>
    <t>2026-07-16T12:19:43+05:30</t>
  </si>
  <si>
    <t>2026-07-16T15:19:54+05:30</t>
  </si>
  <si>
    <t>t74575mvbyyzcdn@marketplace.amazon.in</t>
  </si>
  <si>
    <t>408-1863277-0549968</t>
  </si>
  <si>
    <t>T3ZBQv0X9</t>
  </si>
  <si>
    <t>DhGJQm33ch0wR</t>
  </si>
  <si>
    <t>2026-07-15T21:14:59+05:30</t>
  </si>
  <si>
    <t>2026-07-16T12:17:40+05:30</t>
  </si>
  <si>
    <t>2026-07-16T15:17:51+05:30</t>
  </si>
  <si>
    <t>55fm2c1hz6n1lpn@marketplace.amazon.in</t>
  </si>
  <si>
    <t>Tirupati</t>
  </si>
  <si>
    <t>Andhra Pradesh</t>
  </si>
  <si>
    <t>171-3976529-3712307</t>
  </si>
  <si>
    <t>TVzw1k009</t>
  </si>
  <si>
    <t>DmJCcw34c50SR</t>
  </si>
  <si>
    <t>2026-07-15T21:28:20+05:30</t>
  </si>
  <si>
    <t>2026-07-16T11:59:42+05:30</t>
  </si>
  <si>
    <t>2026-07-16T11:59:45+05:30</t>
  </si>
  <si>
    <t>2026-07-16T12:59:56+05:30</t>
  </si>
  <si>
    <t>tyq7m3v84vb9pnj@marketplace.amazon.in</t>
  </si>
  <si>
    <t>171-1260645-2828322</t>
  </si>
  <si>
    <t>TVXV39059</t>
  </si>
  <si>
    <t>Dk6tcQ3GcQ0mR</t>
  </si>
  <si>
    <t>2026-07-15T22:46:42+05:30</t>
  </si>
  <si>
    <t>2026-07-16T11:59:44+05:30</t>
  </si>
  <si>
    <t>2026-07-16T14:59:55+05:30</t>
  </si>
  <si>
    <t>3rpz9hgg457y7x2@marketplace.amazon.in</t>
  </si>
  <si>
    <t>407-5410701-4468356</t>
  </si>
  <si>
    <t>TcCBbFrJ9</t>
  </si>
  <si>
    <t>DG5lzq3RcZ04R</t>
  </si>
  <si>
    <t>2026-07-13T16:01:06+05:30</t>
  </si>
  <si>
    <t>2026-07-16T11:33:48+05:30</t>
  </si>
  <si>
    <t>2026-07-16T14:34:03+05:30</t>
  </si>
  <si>
    <t>hfrszptych9gtr5@marketplace.amazon.in</t>
  </si>
  <si>
    <t>405-7910753-1610708</t>
  </si>
  <si>
    <t>T1ZPPyL89</t>
  </si>
  <si>
    <t>DgqVvC36cX0LR</t>
  </si>
  <si>
    <t>2026-07-15T13:50:07+05:30</t>
  </si>
  <si>
    <t>2026-07-16T11:33:46+05:30</t>
  </si>
  <si>
    <t>2026-07-16T14:33:59+05:30</t>
  </si>
  <si>
    <t>92dm6phvbnjr6dn@marketplace.amazon.in</t>
  </si>
  <si>
    <t>HISAR</t>
  </si>
  <si>
    <t>Dnq5vl3TcX0LR</t>
  </si>
  <si>
    <t>171-9851495-8617952</t>
  </si>
  <si>
    <t>T3SDyh0R9</t>
  </si>
  <si>
    <t>DR1Pzf3jcX0cR</t>
  </si>
  <si>
    <t>2026-07-15T21:42:57+05:30</t>
  </si>
  <si>
    <t>2026-07-16T11:31:44+05:30</t>
  </si>
  <si>
    <t>2026-07-16T14:31:58+05:30</t>
  </si>
  <si>
    <t>4clf05c7wrs3x7x@marketplace.amazon.in</t>
  </si>
  <si>
    <t>JEYPore</t>
  </si>
  <si>
    <t>407-0738214-1886726</t>
  </si>
  <si>
    <t>TXtXwV0v9</t>
  </si>
  <si>
    <t>DnggzY3xcR0tR</t>
  </si>
  <si>
    <t>2026-07-15T20:09:17+05:30</t>
  </si>
  <si>
    <t>2026-07-16T11:30:45+05:30</t>
  </si>
  <si>
    <t>2026-07-16T14:30:57+05:30</t>
  </si>
  <si>
    <t>97n5rd1g80rkfz0@marketplace.amazon.in</t>
  </si>
  <si>
    <t>408-6622945-3767569</t>
  </si>
  <si>
    <t>TNPC7zfN9</t>
  </si>
  <si>
    <t>DW1fzZ30cX0cR</t>
  </si>
  <si>
    <t>2026-07-16T09:52:19+05:30</t>
  </si>
  <si>
    <t>2026-07-16T11:29:40+05:30</t>
  </si>
  <si>
    <t>2026-07-16T11:29:42+05:30</t>
  </si>
  <si>
    <t>2026-07-16T12:29:53+05:30</t>
  </si>
  <si>
    <t>kbyymy0nqk9l7j6@marketplace.amazon.in</t>
  </si>
  <si>
    <t>403-1170168-7863553</t>
  </si>
  <si>
    <t>TNs5Fcfs9</t>
  </si>
  <si>
    <t>DSl8zx3cc30NR</t>
  </si>
  <si>
    <t>2026-07-16T07:50:15+05:30</t>
  </si>
  <si>
    <t>2026-07-16T11:26:38+05:30</t>
  </si>
  <si>
    <t>2026-07-16T11:26:40+05:30</t>
  </si>
  <si>
    <t>2026-07-16T12:26:51+05:30</t>
  </si>
  <si>
    <t>x1mzvr5r87b6j0g@marketplace.amazon.in</t>
  </si>
  <si>
    <t>403-4400985-9290734</t>
  </si>
  <si>
    <t>TJ059Ffc9</t>
  </si>
  <si>
    <t>D2bWV33zcY0RR</t>
  </si>
  <si>
    <t>2026-07-16T08:53:32+05:30</t>
  </si>
  <si>
    <t>2026-07-16T11:08:46+05:30</t>
  </si>
  <si>
    <t>2026-07-16T14:09:00+05:30</t>
  </si>
  <si>
    <t>ff3qygt8twyddjv@marketplace.amazon.in</t>
  </si>
  <si>
    <t>171-4394042-6591538</t>
  </si>
  <si>
    <t>TVW0yMfy9</t>
  </si>
  <si>
    <t>DYb2Vj3ycY0RR</t>
  </si>
  <si>
    <t>2026-07-16T05:47:26+05:30</t>
  </si>
  <si>
    <t>2026-07-16T11:07:53+05:30</t>
  </si>
  <si>
    <t>2026-07-16T14:08:17+05:30</t>
  </si>
  <si>
    <t>msy6zjbxr9vxhlm@marketplace.amazon.in</t>
  </si>
  <si>
    <t>171-4081382-0626725</t>
  </si>
  <si>
    <t>T3cznl0Z9</t>
  </si>
  <si>
    <t>DTPSVP3Dc40BR</t>
  </si>
  <si>
    <t>2026-07-15T22:54:25+05:30</t>
  </si>
  <si>
    <t>2026-07-16T11:02:40+05:30</t>
  </si>
  <si>
    <t>2026-07-16T11:02:43+05:30</t>
  </si>
  <si>
    <t>2026-07-16T12:02:56+05:30</t>
  </si>
  <si>
    <t>ct4cnkn6ktyzfrk@marketplace.amazon.in</t>
  </si>
  <si>
    <t>403-7782763-2864306</t>
  </si>
  <si>
    <t>TwhXkH0n9</t>
  </si>
  <si>
    <t>Dmn4VS3bcQ0NR</t>
  </si>
  <si>
    <t>2026-07-15T18:24:06+05:30</t>
  </si>
  <si>
    <t>2026-07-16T11:00:46+05:30</t>
  </si>
  <si>
    <t>2026-07-16T14:01:02+05:30</t>
  </si>
  <si>
    <t>jmqr65l87q8fvpb@marketplace.amazon.in</t>
  </si>
  <si>
    <t>404-5491473-3613147</t>
  </si>
  <si>
    <t>Tw67Hrfw9</t>
  </si>
  <si>
    <t>Dyns2J3Wcq0JR</t>
  </si>
  <si>
    <t>2026-07-16T05:12:20+05:30</t>
  </si>
  <si>
    <t>2026-07-16T10:41:50+05:30</t>
  </si>
  <si>
    <t>2026-07-16T13:42:07+05:30</t>
  </si>
  <si>
    <t>xck49g29bw1f0vy@marketplace.amazon.in</t>
  </si>
  <si>
    <t>402-2235405-2505167</t>
  </si>
  <si>
    <t>TNqWPQ0g9</t>
  </si>
  <si>
    <t>DKnVF03gcZ05R</t>
  </si>
  <si>
    <t>2026-07-16T00:37:36+05:30</t>
  </si>
  <si>
    <t>2026-07-16T10:28:50+05:30</t>
  </si>
  <si>
    <t>2026-07-16T13:29:03+05:30</t>
  </si>
  <si>
    <t>ljyhqzbz8243z3l@marketplace.amazon.in</t>
  </si>
  <si>
    <t>171-3740370-8256352</t>
  </si>
  <si>
    <t>TC6wHlrJ9</t>
  </si>
  <si>
    <t>DCnfFT3JcZ05R</t>
  </si>
  <si>
    <t>2026-07-13T16:56:39+05:30</t>
  </si>
  <si>
    <t>2026-07-16T10:25:51+05:30</t>
  </si>
  <si>
    <t>2026-07-16T13:26:05+05:30</t>
  </si>
  <si>
    <t>x33pnl8vdh9hdch@marketplace.amazon.in</t>
  </si>
  <si>
    <t>406-7123951-3928318</t>
  </si>
  <si>
    <t>T1Twr0LN9</t>
  </si>
  <si>
    <t>DyBRD43pcH02R</t>
  </si>
  <si>
    <t>2026-07-13T17:39:21+05:30</t>
  </si>
  <si>
    <t>2026-07-16T10:18:41+05:30</t>
  </si>
  <si>
    <t>2026-07-16T13:18:53+05:30</t>
  </si>
  <si>
    <t>03wqv0n05yscxvr@marketplace.amazon.in</t>
  </si>
  <si>
    <t>408-5767200-8944355</t>
  </si>
  <si>
    <t>TCL6vvfn9</t>
  </si>
  <si>
    <t>DT9RDY3YcW0MR</t>
  </si>
  <si>
    <t>2026-07-16T07:09:41+05:30</t>
  </si>
  <si>
    <t>2026-07-16T10:16:42+05:30</t>
  </si>
  <si>
    <t>2026-07-16T10:16:45+05:30</t>
  </si>
  <si>
    <t>2026-07-16T11:16:59+05:30</t>
  </si>
  <si>
    <t>w0ftcw3vmqf02j9@marketplace.amazon.in</t>
  </si>
  <si>
    <t>406-2382608-9785143</t>
  </si>
  <si>
    <t>TNhm14rJ9</t>
  </si>
  <si>
    <t>DX6gDQ3LcD0vR</t>
  </si>
  <si>
    <t>2026-07-13T20:29:24+05:30</t>
  </si>
  <si>
    <t>2026-07-16T10:14:45+05:30</t>
  </si>
  <si>
    <t>2026-07-16T13:14:57+05:30</t>
  </si>
  <si>
    <t>byywgb8rly2xtdy@marketplace.amazon.in</t>
  </si>
  <si>
    <t>406-6735016-8193949</t>
  </si>
  <si>
    <t>T11vMZ0J9</t>
  </si>
  <si>
    <t>DDLjDN3rcN0pR</t>
  </si>
  <si>
    <t>2026-07-15T22:32:28+05:30</t>
  </si>
  <si>
    <t>2026-07-16T10:11:44+05:30</t>
  </si>
  <si>
    <t>2026-07-16T10:11:47+05:30</t>
  </si>
  <si>
    <t>2026-07-16T11:12:02+05:30</t>
  </si>
  <si>
    <t>q080m0pb0t0z016@marketplace.amazon.in</t>
  </si>
  <si>
    <t>407-1629619-1036342</t>
  </si>
  <si>
    <t>TCSQJR0z9</t>
  </si>
  <si>
    <t>D6b2YP3tcZ0RR</t>
  </si>
  <si>
    <t>2026-07-15T23:46:01+05:30</t>
  </si>
  <si>
    <t>2026-07-16T10:03:46+05:30</t>
  </si>
  <si>
    <t>2026-07-16T13:03:59+05:30</t>
  </si>
  <si>
    <t>spwv2rdvbylx1nt@marketplace.amazon.in</t>
  </si>
  <si>
    <t>171-6224839-3534704</t>
  </si>
  <si>
    <t>TCTMF3f69</t>
  </si>
  <si>
    <t>DhbLYN3PcZ0RR</t>
  </si>
  <si>
    <t>2026-07-16T08:01:21+05:30</t>
  </si>
  <si>
    <t>2026-07-16T10:03:44+05:30</t>
  </si>
  <si>
    <t>2026-07-16T13:03:56+05:30</t>
  </si>
  <si>
    <t>q6c5zfm2xqq1rsj@marketplace.amazon.in</t>
  </si>
  <si>
    <t>Namakkal District</t>
  </si>
  <si>
    <t>171-2968643-4076319</t>
  </si>
  <si>
    <t>TC8LY2Gb9</t>
  </si>
  <si>
    <t>DLFZyq3fcL06R</t>
  </si>
  <si>
    <t>2026-07-14T22:54:35+05:30</t>
  </si>
  <si>
    <t>2026-07-16T09:51:47+05:30</t>
  </si>
  <si>
    <t>2026-07-16T12:52:01+05:30</t>
  </si>
  <si>
    <t>lf4kvg21n6gk6zt@marketplace.amazon.in</t>
  </si>
  <si>
    <t>Trichirapalli</t>
  </si>
  <si>
    <t>404-7016873-5466749</t>
  </si>
  <si>
    <t>T3hsDp0b9</t>
  </si>
  <si>
    <t>D0vfyS3YcN0ZR</t>
  </si>
  <si>
    <t>2026-07-15T19:42:48+05:30</t>
  </si>
  <si>
    <t>2026-07-16T09:50:44+05:30</t>
  </si>
  <si>
    <t>2026-07-16T12:50:55+05:30</t>
  </si>
  <si>
    <t>qtdjmw3qyqm5j76@marketplace.amazon.in</t>
  </si>
  <si>
    <t>403-0220295-3773166</t>
  </si>
  <si>
    <t>TwwdwKf69</t>
  </si>
  <si>
    <t>Dyhlyr35cP0BR</t>
  </si>
  <si>
    <t>2026-07-16T07:26:04+05:30</t>
  </si>
  <si>
    <t>2026-07-16T09:46:43+05:30</t>
  </si>
  <si>
    <t>2026-07-16T12:46:54+05:30</t>
  </si>
  <si>
    <t>rxfc3g4tnlwjygw@marketplace.amazon.in</t>
  </si>
  <si>
    <t>407-2918363-0558751</t>
  </si>
  <si>
    <t>TGVSssx99</t>
  </si>
  <si>
    <t>DXwsy93Rct0RR</t>
  </si>
  <si>
    <t>2026-07-12T21:45:53+05:30</t>
  </si>
  <si>
    <t>2026-07-16T09:45:52+05:30</t>
  </si>
  <si>
    <t>2026-07-16T12:46:04+05:30</t>
  </si>
  <si>
    <t>9hls7c26w4dfbc8@marketplace.amazon.in</t>
  </si>
  <si>
    <t>408-9291040-8175554</t>
  </si>
  <si>
    <t>T3Cl3k059</t>
  </si>
  <si>
    <t>DQTCwb39cS0TR</t>
  </si>
  <si>
    <t>2026-07-15T13:44:45+05:30</t>
  </si>
  <si>
    <t>2026-07-16T09:24:49+05:30</t>
  </si>
  <si>
    <t>2026-07-16T12:25:03+05:30</t>
  </si>
  <si>
    <t>h4zqkhtqy8kz3kv@marketplace.amazon.in</t>
  </si>
  <si>
    <t>KIZHAKKUMMURI</t>
  </si>
  <si>
    <t>405-0361975-0304376</t>
  </si>
  <si>
    <t>T6JVB8fS9</t>
  </si>
  <si>
    <t>Ds8qBg3fcr0FR</t>
  </si>
  <si>
    <t>2026-07-16T04:11:16+05:30</t>
  </si>
  <si>
    <t>2026-07-16T09:14:41+05:30</t>
  </si>
  <si>
    <t>2026-07-16T09:14:44+05:30</t>
  </si>
  <si>
    <t>2026-07-16T10:14:54+05:30</t>
  </si>
  <si>
    <t>0j5hwf0wfjx1zgl@marketplace.amazon.in</t>
  </si>
  <si>
    <t>Hospet</t>
  </si>
  <si>
    <t>402-1672921-6906743</t>
  </si>
  <si>
    <t>TcFqxpsW9</t>
  </si>
  <si>
    <t>DSRjBV3Xcn0hR</t>
  </si>
  <si>
    <t>2026-07-14T17:09:40+05:30</t>
  </si>
  <si>
    <t>2026-07-16T09:11:46+05:30</t>
  </si>
  <si>
    <t>2026-07-16T12:12:01+05:30</t>
  </si>
  <si>
    <t>sy2kh2m73skx5bs@marketplace.amazon.in</t>
  </si>
  <si>
    <t>AIZAWL</t>
  </si>
  <si>
    <t>MIZORAM</t>
  </si>
  <si>
    <t>403-8167338-7644316</t>
  </si>
  <si>
    <t>TNxZmPLY9</t>
  </si>
  <si>
    <t>DbrMBQ3Kc303R</t>
  </si>
  <si>
    <t>2026-07-15T17:56:13+05:30</t>
  </si>
  <si>
    <t>2026-07-16T09:05:46+05:30</t>
  </si>
  <si>
    <t>2026-07-16T12:05:58+05:30</t>
  </si>
  <si>
    <t>d8jzzy8xjkhpb2p@marketplace.amazon.in</t>
  </si>
  <si>
    <t>DHANERA</t>
  </si>
  <si>
    <t>407-1955499-8298731</t>
  </si>
  <si>
    <t>T1kZ50dJ9</t>
  </si>
  <si>
    <t>DJrJBj3tcb00R</t>
  </si>
  <si>
    <t>2026-07-13T14:23:45+05:30</t>
  </si>
  <si>
    <t>2026-07-16T09:03:44+05:30</t>
  </si>
  <si>
    <t>2026-07-16T12:03:58+05:30</t>
  </si>
  <si>
    <t>qjzbxnff8cfy0yy@marketplace.amazon.in</t>
  </si>
  <si>
    <t>DNr4Bj3tcb00R</t>
  </si>
  <si>
    <t>406-9898918-7918710</t>
  </si>
  <si>
    <t>T6d3P70Q9</t>
  </si>
  <si>
    <t>DMt0933wcQ0nR</t>
  </si>
  <si>
    <t>2026-07-16T00:24:18+05:30</t>
  </si>
  <si>
    <t>2026-07-16T08:54:42+05:30</t>
  </si>
  <si>
    <t>2026-07-16T08:54:45+05:30</t>
  </si>
  <si>
    <t>2026-07-16T09:54:58+05:30</t>
  </si>
  <si>
    <t>xpd0zl2rgstlpxx@marketplace.amazon.in</t>
  </si>
  <si>
    <t>171-0437679-3814737</t>
  </si>
  <si>
    <t>TnQtp0G49</t>
  </si>
  <si>
    <t>DdXsXMkjc80QR</t>
  </si>
  <si>
    <t>2026-07-15T06:09:27+05:30</t>
  </si>
  <si>
    <t>2026-07-16T04:41:43+05:30</t>
  </si>
  <si>
    <t>2026-07-16T07:41:55+05:30</t>
  </si>
  <si>
    <t>z6gz4mqkkjrzh3r@marketplace.amazon.in</t>
  </si>
  <si>
    <t>SALETEKRI</t>
  </si>
  <si>
    <t>408-2787162-1261108</t>
  </si>
  <si>
    <t>TVGn5ZLj9</t>
  </si>
  <si>
    <t>D8zsCYkhcC0hR</t>
  </si>
  <si>
    <t>2026-07-15T16:40:50+05:30</t>
  </si>
  <si>
    <t>2026-07-16T04:22:39+05:30</t>
  </si>
  <si>
    <t>2026-07-16T04:22:43+05:30</t>
  </si>
  <si>
    <t>2026-07-16T05:22:54+05:30</t>
  </si>
  <si>
    <t>225t1p4lhnj0nbp@marketplace.amazon.in</t>
  </si>
  <si>
    <t>405-8317766-5021925</t>
  </si>
  <si>
    <t>TNWWsL0r9</t>
  </si>
  <si>
    <t>D5BgCZkrc90zR</t>
  </si>
  <si>
    <t>2026-07-15T22:09:02+05:30</t>
  </si>
  <si>
    <t>2026-07-16T04:21:42+05:30</t>
  </si>
  <si>
    <t>2026-07-16T04:21:45+05:30</t>
  </si>
  <si>
    <t>2026-07-16T05:21:56+05:30</t>
  </si>
  <si>
    <t>s35ss070sqfsnv9@marketplace.amazon.in</t>
  </si>
  <si>
    <t>402-2651183-3973123</t>
  </si>
  <si>
    <t>T3W1QxLZ9</t>
  </si>
  <si>
    <t>DQRJpwkXcG0yR</t>
  </si>
  <si>
    <t>2026-07-15T12:15:39+05:30</t>
  </si>
  <si>
    <t>2026-07-16T03:59:47+05:30</t>
  </si>
  <si>
    <t>2026-07-16T06:59:59+05:30</t>
  </si>
  <si>
    <t>99gv8n86x17xc3f@marketplace.amazon.in</t>
  </si>
  <si>
    <t>408-0461438-2233903</t>
  </si>
  <si>
    <t>TXQzwW0f9</t>
  </si>
  <si>
    <t>D9YppwkdcF0LR</t>
  </si>
  <si>
    <t>2026-07-15T20:12:50+05:30</t>
  </si>
  <si>
    <t>2026-07-16T03:58:47+05:30</t>
  </si>
  <si>
    <t>2026-07-16T06:58:59+05:30</t>
  </si>
  <si>
    <t>h4wckt8p1qb42r3@marketplace.amazon.in</t>
  </si>
  <si>
    <t>405-9172301-4993920</t>
  </si>
  <si>
    <t>TVb9tYrH9</t>
  </si>
  <si>
    <t>DX9CWlkRcl01R</t>
  </si>
  <si>
    <t>2026-07-13T22:14:38+05:30</t>
  </si>
  <si>
    <t>2026-07-16T03:47:48+05:30</t>
  </si>
  <si>
    <t>2026-07-16T06:47:59+05:30</t>
  </si>
  <si>
    <t>xbtpssy06kwpz1s@marketplace.amazon.in</t>
  </si>
  <si>
    <t>405-0496775-1877119</t>
  </si>
  <si>
    <t>TcTj4q0z9</t>
  </si>
  <si>
    <t>DPGtKkkRcZ0VR</t>
  </si>
  <si>
    <t>2026-07-15T20:24:52+05:30</t>
  </si>
  <si>
    <t>2026-07-16T03:25:48+05:30</t>
  </si>
  <si>
    <t>2026-07-16T06:25:59+05:30</t>
  </si>
  <si>
    <t>171-0461132-1990736</t>
  </si>
  <si>
    <t>TXpgm1LK9</t>
  </si>
  <si>
    <t>DqFfmNk6cw0CR</t>
  </si>
  <si>
    <t>2026-07-15T13:58:16+05:30</t>
  </si>
  <si>
    <t>2026-07-16T03:24:44+05:30</t>
  </si>
  <si>
    <t>2026-07-16T06:24:58+05:30</t>
  </si>
  <si>
    <t>s5yxbskzv1mlgnn@marketplace.amazon.in</t>
  </si>
  <si>
    <t>407-4588861-5645163</t>
  </si>
  <si>
    <t>T1wV9L0C9</t>
  </si>
  <si>
    <t>D8F4mTk6cw0CR</t>
  </si>
  <si>
    <t>2026-07-15T18:55:03+05:30</t>
  </si>
  <si>
    <t>2026-07-16T03:23:46+05:30</t>
  </si>
  <si>
    <t>2026-07-16T06:23:58+05:30</t>
  </si>
  <si>
    <t>fwcvwylhph9509j@marketplace.amazon.in</t>
  </si>
  <si>
    <t>406-1573298-6729925</t>
  </si>
  <si>
    <t>Tn11qPL39</t>
  </si>
  <si>
    <t>DWRqKzk7cP0wR</t>
  </si>
  <si>
    <t>2026-07-15T15:50:57+05:30</t>
  </si>
  <si>
    <t>2026-07-16T03:21:43+05:30</t>
  </si>
  <si>
    <t>2026-07-16T03:21:47+05:30</t>
  </si>
  <si>
    <t>2026-07-16T04:22:03+05:30</t>
  </si>
  <si>
    <t>w17m0nhbqxj9c8c@marketplace.amazon.in</t>
  </si>
  <si>
    <t>SURENDRANAGAR</t>
  </si>
  <si>
    <t>408-8673699-0068349</t>
  </si>
  <si>
    <t>TG3bHV059</t>
  </si>
  <si>
    <t>DSRhKkkzcP0wR</t>
  </si>
  <si>
    <t>2026-07-15T19:47:42+05:30</t>
  </si>
  <si>
    <t>2026-07-16T03:20:43+05:30</t>
  </si>
  <si>
    <t>2026-07-16T06:20:54+05:30</t>
  </si>
  <si>
    <t>h1b356xbz94zsmx@marketplace.amazon.in</t>
  </si>
  <si>
    <t>407-9509466-0363545</t>
  </si>
  <si>
    <t>TJYLlQJq9</t>
  </si>
  <si>
    <t>DgRwK6kRcP0wR</t>
  </si>
  <si>
    <t>2026-07-12T15:49:07+05:30</t>
  </si>
  <si>
    <t>2026-07-16T03:17:50+05:30</t>
  </si>
  <si>
    <t>2026-07-16T06:18:03+05:30</t>
  </si>
  <si>
    <t>ptz5lp8gmmdlwdm@marketplace.amazon.in</t>
  </si>
  <si>
    <t>408-9729412-0458749</t>
  </si>
  <si>
    <t>Tnz2cj0B9</t>
  </si>
  <si>
    <t>DLMmmNkdcH0WR</t>
  </si>
  <si>
    <t>2026-07-15T21:05:25+05:30</t>
  </si>
  <si>
    <t>2026-07-16T03:10:45+05:30</t>
  </si>
  <si>
    <t>2026-07-16T06:10:57+05:30</t>
  </si>
  <si>
    <t>bcglpl89ssn87ry@marketplace.amazon.in</t>
  </si>
  <si>
    <t>405-9002934-9391537</t>
  </si>
  <si>
    <t>Tctt4bpw9</t>
  </si>
  <si>
    <t>DKPjlBkncT0TR</t>
  </si>
  <si>
    <t>2026-07-11T21:52:44+05:30</t>
  </si>
  <si>
    <t>2026-07-16T02:47:44+05:30</t>
  </si>
  <si>
    <t>2026-07-16T02:47:47+05:30</t>
  </si>
  <si>
    <t>2026-07-16T03:48:05+05:30</t>
  </si>
  <si>
    <t>043nmr1g0z0hnmw@marketplace.amazon.in</t>
  </si>
  <si>
    <t>403-6948581-8942751</t>
  </si>
  <si>
    <t>TCQryHGR9</t>
  </si>
  <si>
    <t>DCGTlBkQc70pR</t>
  </si>
  <si>
    <t>2026-07-14T21:54:53+05:30</t>
  </si>
  <si>
    <t>2026-07-16T02:46:50+05:30</t>
  </si>
  <si>
    <t>2026-07-16T05:47:05+05:30</t>
  </si>
  <si>
    <t>s1yvh8p420gz8hz@marketplace.amazon.in</t>
  </si>
  <si>
    <t>407-0195003-8001132</t>
  </si>
  <si>
    <t>T1k3Q0sq9</t>
  </si>
  <si>
    <t>DLkB0yktcK0GR</t>
  </si>
  <si>
    <t>2026-07-14T17:33:55+05:30</t>
  </si>
  <si>
    <t>2026-07-16T02:38:42+05:30</t>
  </si>
  <si>
    <t>2026-07-16T02:38:45+05:30</t>
  </si>
  <si>
    <t>2026-07-16T03:38:55+05:30</t>
  </si>
  <si>
    <t>xjwyt5jvfg4x5b6@marketplace.amazon.in</t>
  </si>
  <si>
    <t>JAMSHEDPUR</t>
  </si>
  <si>
    <t>402-2920737-9696366</t>
  </si>
  <si>
    <t>TwhlVRL79</t>
  </si>
  <si>
    <t>DbCV0RkwcY02R</t>
  </si>
  <si>
    <t>2026-07-15T09:55:14+05:30</t>
  </si>
  <si>
    <t>2026-07-16T02:34:47+05:30</t>
  </si>
  <si>
    <t>2026-07-16T05:34:58+05:30</t>
  </si>
  <si>
    <t>l89bdww3cxzdygh@marketplace.amazon.in</t>
  </si>
  <si>
    <t>404-8262093-6724308</t>
  </si>
  <si>
    <t>Tncq7J0b9</t>
  </si>
  <si>
    <t>DmCj0WkBcY02R</t>
  </si>
  <si>
    <t>2026-07-15T19:27:18+05:30</t>
  </si>
  <si>
    <t>2026-07-16T02:34:46+05:30</t>
  </si>
  <si>
    <t>2026-07-16T05:34:59+05:30</t>
  </si>
  <si>
    <t>p3fn8yphyspw4m4@marketplace.amazon.in</t>
  </si>
  <si>
    <t>404-9185330-3278767</t>
  </si>
  <si>
    <t>Tc57tBLT9</t>
  </si>
  <si>
    <t>DV7lSSk3cr01R</t>
  </si>
  <si>
    <t>2026-07-15T15:00:31+05:30</t>
  </si>
  <si>
    <t>2026-07-16T02:21:47+05:30</t>
  </si>
  <si>
    <t>2026-07-16T05:21:59+05:30</t>
  </si>
  <si>
    <t>s02rltg1rtmflv7@marketplace.amazon.in</t>
  </si>
  <si>
    <t>403-4239746-1308351</t>
  </si>
  <si>
    <t>TnsJWsLG9</t>
  </si>
  <si>
    <t>DSMzSJkmcV06R</t>
  </si>
  <si>
    <t>2026-07-15T16:45:35+05:30</t>
  </si>
  <si>
    <t>2026-07-16T02:18:46+05:30</t>
  </si>
  <si>
    <t>2026-07-16T05:18:58+05:30</t>
  </si>
  <si>
    <t>pr2jpqt33nnlgrw@marketplace.amazon.in</t>
  </si>
  <si>
    <t>KARNAL</t>
  </si>
  <si>
    <t>405-0839050-2796366</t>
  </si>
  <si>
    <t>T6T8kCx59</t>
  </si>
  <si>
    <t>DRRHSrk7cW0nR</t>
  </si>
  <si>
    <t>2026-07-12T21:14:56+05:30</t>
  </si>
  <si>
    <t>2026-07-16T02:14:43+05:30</t>
  </si>
  <si>
    <t>2026-07-16T05:14:54+05:30</t>
  </si>
  <si>
    <t>v7yj1bhpb1pcp2d@marketplace.amazon.in</t>
  </si>
  <si>
    <t>PALIA KALAN</t>
  </si>
  <si>
    <t>404-8532586-7774763</t>
  </si>
  <si>
    <t>Tw4g3cJ99</t>
  </si>
  <si>
    <t>DjSP6Sk0cJ0dR</t>
  </si>
  <si>
    <t>2026-07-13T13:19:49+05:30</t>
  </si>
  <si>
    <t>2026-07-16T02:10:47+05:30</t>
  </si>
  <si>
    <t>2026-07-16T05:11:01+05:30</t>
  </si>
  <si>
    <t>4c56tmg0r68rj22@marketplace.amazon.in</t>
  </si>
  <si>
    <t>171-6316156-5045127</t>
  </si>
  <si>
    <t>TwxlV0r99</t>
  </si>
  <si>
    <t>DVqqSLkdcN0RR</t>
  </si>
  <si>
    <t>2026-07-13T17:35:35+05:30</t>
  </si>
  <si>
    <t>2026-07-16T02:10:43+05:30</t>
  </si>
  <si>
    <t>2026-07-16T05:10:57+05:30</t>
  </si>
  <si>
    <t>8dwpl2f568mrwpb@marketplace.amazon.in</t>
  </si>
  <si>
    <t>DWARKA</t>
  </si>
  <si>
    <t>405-6134160-0893168</t>
  </si>
  <si>
    <t>T67wGcr99</t>
  </si>
  <si>
    <t>DVwl6Rk3cv00R</t>
  </si>
  <si>
    <t>2026-07-13T19:37:53+05:30</t>
  </si>
  <si>
    <t>2026-07-16T02:04:42+05:30</t>
  </si>
  <si>
    <t>2026-07-16T02:04:45+05:30</t>
  </si>
  <si>
    <t>2026-07-16T03:04:56+05:30</t>
  </si>
  <si>
    <t>n8nr24q768mxxk7@marketplace.amazon.in</t>
  </si>
  <si>
    <t>Rasra</t>
  </si>
  <si>
    <t>171-5267456-8951533</t>
  </si>
  <si>
    <t>TJXwb7009</t>
  </si>
  <si>
    <t>D39Kd7kSc703R</t>
  </si>
  <si>
    <t>2026-07-15T18:48:13+05:30</t>
  </si>
  <si>
    <t>2026-07-16T01:44:43+05:30</t>
  </si>
  <si>
    <t>2026-07-16T04:44:55+05:30</t>
  </si>
  <si>
    <t>vz6zhfll5k1dcn4@marketplace.amazon.in</t>
  </si>
  <si>
    <t>Undrajavaram</t>
  </si>
  <si>
    <t>403-2007815-1797951</t>
  </si>
  <si>
    <t>TJq03G009</t>
  </si>
  <si>
    <t>D1mRG9kqcF0vR</t>
  </si>
  <si>
    <t>2026-07-15T23:24:17+05:30</t>
  </si>
  <si>
    <t>2026-07-16T01:33:46+05:30</t>
  </si>
  <si>
    <t>2026-07-16T04:34:04+05:30</t>
  </si>
  <si>
    <t>nhw916fgmv19zkq@marketplace.amazon.in</t>
  </si>
  <si>
    <t>171-2491889-4588331</t>
  </si>
  <si>
    <t>T63r9T099</t>
  </si>
  <si>
    <t>DxvKGCkpc10DR</t>
  </si>
  <si>
    <t>2026-07-15T19:10:55+05:30</t>
  </si>
  <si>
    <t>2026-07-16T01:32:39+05:30</t>
  </si>
  <si>
    <t>2026-07-16T01:32:43+05:30</t>
  </si>
  <si>
    <t>2026-07-16T02:32:54+05:30</t>
  </si>
  <si>
    <t>tgtzhm817558kgj@marketplace.amazon.in</t>
  </si>
  <si>
    <t>2026-07-16T08:00:00+05:30</t>
  </si>
  <si>
    <t>407-8228054-2464359</t>
  </si>
  <si>
    <t>TG0gXmrF9</t>
  </si>
  <si>
    <t>DqLbGZkkcR0sR</t>
  </si>
  <si>
    <t>2026-07-13T22:12:04+05:30</t>
  </si>
  <si>
    <t>2026-07-16T01:28:45+05:30</t>
  </si>
  <si>
    <t>2026-07-16T04:28:56+05:30</t>
  </si>
  <si>
    <t>t5tjpvnqzqj582g@marketplace.amazon.in</t>
  </si>
  <si>
    <t>404-4895215-1333133</t>
  </si>
  <si>
    <t>T37bwv0V9</t>
  </si>
  <si>
    <t>DWmTtckCcj0tR</t>
  </si>
  <si>
    <t>2026-07-15T20:25:06+05:30</t>
  </si>
  <si>
    <t>2026-07-16T01:26:42+05:30</t>
  </si>
  <si>
    <t>2026-07-16T01:26:45+05:30</t>
  </si>
  <si>
    <t>2026-07-16T02:26:57+05:30</t>
  </si>
  <si>
    <t>4936w33z64xzjxq@marketplace.amazon.in</t>
  </si>
  <si>
    <t>406-5464869-9348355</t>
  </si>
  <si>
    <t>TGXS3r0w9</t>
  </si>
  <si>
    <t>DR54PQkxcz0zR</t>
  </si>
  <si>
    <t>2026-07-15T22:17:27+05:30</t>
  </si>
  <si>
    <t>2026-07-16T01:04:52+05:30</t>
  </si>
  <si>
    <t>2026-07-16T04:05:06+05:30</t>
  </si>
  <si>
    <t>5y6mst009423g33@marketplace.amazon.in</t>
  </si>
  <si>
    <t>404-5614967-1905145</t>
  </si>
  <si>
    <t>TGSsjQLM9</t>
  </si>
  <si>
    <t>DM55PTk6cz0zR</t>
  </si>
  <si>
    <t>2026-07-15T18:25:11+05:30</t>
  </si>
  <si>
    <t>2026-07-16T01:01:42+05:30</t>
  </si>
  <si>
    <t>2026-07-16T04:01:55+05:30</t>
  </si>
  <si>
    <t>kkc87ld9cbv5jp2@marketplace.amazon.in</t>
  </si>
  <si>
    <t>403-7079910-4248315</t>
  </si>
  <si>
    <t>T1CwBw099</t>
  </si>
  <si>
    <t>DYbsPzk0cJ0nR</t>
  </si>
  <si>
    <t>2026-07-15T19:24:46+05:30</t>
  </si>
  <si>
    <t>2026-07-16T00:54:44+05:30</t>
  </si>
  <si>
    <t>2026-07-16T03:54:55+05:30</t>
  </si>
  <si>
    <t>0gvkzrg2zdcvbkh@marketplace.amazon.in</t>
  </si>
  <si>
    <t>THEKASHU PT II</t>
  </si>
  <si>
    <t>403-1399265-9489938</t>
  </si>
  <si>
    <t>T3RXbLLc9</t>
  </si>
  <si>
    <t>DJGXPyk2cK05R</t>
  </si>
  <si>
    <t>2026-07-15T11:03:45+05:30</t>
  </si>
  <si>
    <t>2026-07-16T00:47:45+05:30</t>
  </si>
  <si>
    <t>2026-07-16T00:47:47+05:30</t>
  </si>
  <si>
    <t>2026-07-16T01:47:58+05:30</t>
  </si>
  <si>
    <t>chwxxkhqyxgd087@marketplace.amazon.in</t>
  </si>
  <si>
    <t>404-1869963-8252343</t>
  </si>
  <si>
    <t>TGPDk8059</t>
  </si>
  <si>
    <t>D5rNPNk8c50TR</t>
  </si>
  <si>
    <t>2026-07-14T13:47:56+05:30</t>
  </si>
  <si>
    <t>2026-07-16T00:45:51+05:30</t>
  </si>
  <si>
    <t>2026-07-16T03:45:59+05:30</t>
  </si>
  <si>
    <t>m8zfvw7kb62bv61@marketplace.amazon.in</t>
  </si>
  <si>
    <t>171-2682840-3375529</t>
  </si>
  <si>
    <t>TVWk9p0x9</t>
  </si>
  <si>
    <t>DMzMTRkCcD0FR</t>
  </si>
  <si>
    <t>2026-07-15T18:56:22+05:30</t>
  </si>
  <si>
    <t>2026-07-16T00:38:43+05:30</t>
  </si>
  <si>
    <t>2026-07-16T03:38:56+05:30</t>
  </si>
  <si>
    <t>8f74kqkvsyxm85j@marketplace.amazon.in</t>
  </si>
  <si>
    <t>Kudasan</t>
  </si>
  <si>
    <t>402-5464581-0685915</t>
  </si>
  <si>
    <t>TGSp7rLN9</t>
  </si>
  <si>
    <t>D18MT2k0cd0PR</t>
  </si>
  <si>
    <t>2026-07-15T12:56:03+05:30</t>
  </si>
  <si>
    <t>2026-07-16T00:36:55+05:30</t>
  </si>
  <si>
    <t>2026-07-16T03:37:07+05:30</t>
  </si>
  <si>
    <t>dgg4h883l6ysr4n@marketplace.amazon.in</t>
  </si>
  <si>
    <t>PHEK</t>
  </si>
  <si>
    <t>404-5221130-7455560</t>
  </si>
  <si>
    <t>TclS7LL39</t>
  </si>
  <si>
    <t>DxzCTRk3cB07R</t>
  </si>
  <si>
    <t>2026-07-15T13:09:02+05:30</t>
  </si>
  <si>
    <t>2026-07-16T00:32:46+05:30</t>
  </si>
  <si>
    <t>2026-07-16T03:32:58+05:30</t>
  </si>
  <si>
    <t>pcfkd5xzcq4xw3r@marketplace.amazon.in</t>
  </si>
  <si>
    <t>171-1865921-6195530</t>
  </si>
  <si>
    <t>TGnXYL0K9</t>
  </si>
  <si>
    <t>D5vjnckxc50WR</t>
  </si>
  <si>
    <t>2026-07-15T21:45:52+05:30</t>
  </si>
  <si>
    <t>2026-07-16T00:29:43+05:30</t>
  </si>
  <si>
    <t>2026-07-16T03:29:55+05:30</t>
  </si>
  <si>
    <t>cwt6fcff3r3gv1h@marketplace.amazon.in</t>
  </si>
  <si>
    <t>406-2249362-5285149</t>
  </si>
  <si>
    <t>T6qrrP079</t>
  </si>
  <si>
    <t>DwqJTPkzcT08R</t>
  </si>
  <si>
    <t>2026-07-15T19:24:33+05:30</t>
  </si>
  <si>
    <t>2026-07-16T00:24:48+05:30</t>
  </si>
  <si>
    <t>2026-07-16T03:25:02+05:30</t>
  </si>
  <si>
    <t>5fjnfmmq7w1sgp6@marketplace.amazon.in</t>
  </si>
  <si>
    <t>408-5257622-1495505</t>
  </si>
  <si>
    <t>TnJB60LW9</t>
  </si>
  <si>
    <t>D134nvkGcB0YR</t>
  </si>
  <si>
    <t>2026-07-15T17:17:02+05:30</t>
  </si>
  <si>
    <t>2026-07-16T00:24:42+05:30</t>
  </si>
  <si>
    <t>2026-07-16T03:24:55+05:30</t>
  </si>
  <si>
    <t>p8ngvy6vlcrt2p5@marketplace.amazon.in</t>
  </si>
  <si>
    <t>405-0461259-9885131</t>
  </si>
  <si>
    <t>TGP4cH0y9</t>
  </si>
  <si>
    <t>DMtxnbkGcn0ZR</t>
  </si>
  <si>
    <t>2026-07-15T20:33:55+05:30</t>
  </si>
  <si>
    <t>2026-07-16T00:21:47+05:30</t>
  </si>
  <si>
    <t>2026-07-16T03:21:59+05:30</t>
  </si>
  <si>
    <t>jl9lf4mjdfdpwvb@marketplace.amazon.in</t>
  </si>
  <si>
    <t>406-8399190-7097109</t>
  </si>
  <si>
    <t>T6vG72009</t>
  </si>
  <si>
    <t>DZxmnckxcG0tR</t>
  </si>
  <si>
    <t>2026-07-15T22:34:25+05:30</t>
  </si>
  <si>
    <t>2026-07-16T00:15:46+05:30</t>
  </si>
  <si>
    <t>2026-07-16T03:16:03+05:30</t>
  </si>
  <si>
    <t>ff1kfm1dkgn93y9@marketplace.amazon.in</t>
  </si>
  <si>
    <t>407-9332730-8361903</t>
  </si>
  <si>
    <t>TC3Gwn049</t>
  </si>
  <si>
    <t>DhBmxnkYcc0sR</t>
  </si>
  <si>
    <t>2026-07-15T20:37:58+05:30</t>
  </si>
  <si>
    <t>2026-07-16T00:06:48+05:30</t>
  </si>
  <si>
    <t>2026-07-16T03:06:59+05:30</t>
  </si>
  <si>
    <t>4r7qsdk44n4wxf3@marketplace.amazon.in</t>
  </si>
  <si>
    <t>171-8668491-2353102</t>
  </si>
  <si>
    <t>T3MBpyLV9</t>
  </si>
  <si>
    <t>D7Vkxvkwcz0HR</t>
  </si>
  <si>
    <t>2026-07-14T19:27:18+05:30</t>
  </si>
  <si>
    <t>2026-07-16T00:03:43+05:30</t>
  </si>
  <si>
    <t>2026-07-16T03:03:55+05:30</t>
  </si>
  <si>
    <t>7fbxyrttd4k32wp@marketplace.amazon.in</t>
  </si>
  <si>
    <t>402-5036153-0257114</t>
  </si>
  <si>
    <t>TwqsHM059</t>
  </si>
  <si>
    <t>DjX03lkZcl0zR</t>
  </si>
  <si>
    <t>2026-07-15T18:46:34+05:30</t>
  </si>
  <si>
    <t>2026-07-15T23:53:43+05:30</t>
  </si>
  <si>
    <t>2026-07-16T02:53:57+05:30</t>
  </si>
  <si>
    <t>8k7wt7n63bnmly4@marketplace.amazon.in</t>
  </si>
  <si>
    <t>406-6616194-3562727</t>
  </si>
  <si>
    <t>TNsWvS0S9</t>
  </si>
  <si>
    <t>D0hx3FkWcq0rR</t>
  </si>
  <si>
    <t>2026-07-15T21:23:43+05:30</t>
  </si>
  <si>
    <t>2026-07-15T23:46:41+05:30</t>
  </si>
  <si>
    <t>2026-07-16T02:46:53+05:30</t>
  </si>
  <si>
    <t>356q2tk88b54tpk@marketplace.amazon.in</t>
  </si>
  <si>
    <t>Chandrapur</t>
  </si>
  <si>
    <t>406-6861404-4809947</t>
  </si>
  <si>
    <t>T1YRrSpG9</t>
  </si>
  <si>
    <t>D8fH31kNch07R</t>
  </si>
  <si>
    <t>2026-07-07T11:44:27+05:30</t>
  </si>
  <si>
    <t>2026-07-15T23:37:50+05:30</t>
  </si>
  <si>
    <t>2026-07-16T02:38:05+05:30</t>
  </si>
  <si>
    <t>nrbzgkcn67h40sd@marketplace.amazon.in</t>
  </si>
  <si>
    <t>402-0319258-5940378</t>
  </si>
  <si>
    <t>TcxhpZLt9</t>
  </si>
  <si>
    <t>DW4sJ8kWcT0WR</t>
  </si>
  <si>
    <t>2026-07-15T15:49:36+05:30</t>
  </si>
  <si>
    <t>2026-07-15T23:37:45+05:30</t>
  </si>
  <si>
    <t>2026-07-16T02:37:57+05:30</t>
  </si>
  <si>
    <t>kzp1dkf0z7btrw2@marketplace.amazon.in</t>
  </si>
  <si>
    <t>MACHERLA</t>
  </si>
  <si>
    <t>404-7608622-3780354</t>
  </si>
  <si>
    <t>Tg6Nrr019</t>
  </si>
  <si>
    <t>D2lBJRkqcq00R</t>
  </si>
  <si>
    <t>2026-07-15T21:58:03+05:30</t>
  </si>
  <si>
    <t>2026-07-15T23:26:46+05:30</t>
  </si>
  <si>
    <t>2026-07-16T02:27:00+05:30</t>
  </si>
  <si>
    <t>tms3q24bpjhvwml@marketplace.amazon.in</t>
  </si>
  <si>
    <t>171-9010423-0104359</t>
  </si>
  <si>
    <t>T6Rr1L0X9</t>
  </si>
  <si>
    <t>DbYTJlklcJ0HR</t>
  </si>
  <si>
    <t>2026-07-15T21:21:03+05:30</t>
  </si>
  <si>
    <t>2026-07-15T23:22:44+05:30</t>
  </si>
  <si>
    <t>2026-07-16T02:22:57+05:30</t>
  </si>
  <si>
    <t>2y5ypmwzswfldzg@marketplace.amazon.in</t>
  </si>
  <si>
    <t>403-1960011-7926736</t>
  </si>
  <si>
    <t>T1yrF80Q9</t>
  </si>
  <si>
    <t>DN5PM0k4cp0BR</t>
  </si>
  <si>
    <t>2026-07-15T21:51:41+05:30</t>
  </si>
  <si>
    <t>2026-07-15T23:22:42+05:30</t>
  </si>
  <si>
    <t>2026-07-16T02:22:53+05:30</t>
  </si>
  <si>
    <t>h7v5w6l1wt7v0jr@marketplace.amazon.in</t>
  </si>
  <si>
    <t>405-1756715-0938746</t>
  </si>
  <si>
    <t>TglKgcpJ9</t>
  </si>
  <si>
    <t>DjFF1jk7cH0fR</t>
  </si>
  <si>
    <t>2026-07-12T07:22:43+05:30</t>
  </si>
  <si>
    <t>2026-07-15T23:00:45+05:30</t>
  </si>
  <si>
    <t>2026-07-16T02:00:59+05:30</t>
  </si>
  <si>
    <t>r1yd5jqbnnmm4n3@marketplace.amazon.in</t>
  </si>
  <si>
    <t>DZFg11k7cH0fR</t>
  </si>
  <si>
    <t>407-5174367-0225954</t>
  </si>
  <si>
    <t>TgYjdpLp9</t>
  </si>
  <si>
    <t>DbQfrlkxc10bR</t>
  </si>
  <si>
    <t>2026-07-15T16:28:00+05:30</t>
  </si>
  <si>
    <t>2026-07-15T22:43:44+05:30</t>
  </si>
  <si>
    <t>2026-07-16T01:43:57+05:30</t>
  </si>
  <si>
    <t>9d1rrgx6s7qlk7d@marketplace.amazon.in</t>
  </si>
  <si>
    <t>404-3164221-9658704</t>
  </si>
  <si>
    <t>TCfC63rK9</t>
  </si>
  <si>
    <t>DFQgr9k3c10bR</t>
  </si>
  <si>
    <t>2026-07-13T20:49:15+05:30</t>
  </si>
  <si>
    <t>2026-07-15T22:42:50+05:30</t>
  </si>
  <si>
    <t>2026-07-16T01:43:03+05:30</t>
  </si>
  <si>
    <t>6779r9r1dq33401@marketplace.amazon.in</t>
  </si>
  <si>
    <t>408-5150044-4876340</t>
  </si>
  <si>
    <t>T6VrZqrD9</t>
  </si>
  <si>
    <t>Dx5MrJktc80cR</t>
  </si>
  <si>
    <t>2026-07-13T23:23:35+05:30</t>
  </si>
  <si>
    <t>2026-07-15T22:39:49+05:30</t>
  </si>
  <si>
    <t>2026-07-16T01:40:00+05:30</t>
  </si>
  <si>
    <t>vyr0t1r2ngkhn71@marketplace.amazon.in</t>
  </si>
  <si>
    <t>408-2286398-0844314</t>
  </si>
  <si>
    <t>T38KR90v9</t>
  </si>
  <si>
    <t>DvQ3rbkFc10bR</t>
  </si>
  <si>
    <t>2026-07-15T18:02:55+05:30</t>
  </si>
  <si>
    <t>2026-07-15T22:37:47+05:30</t>
  </si>
  <si>
    <t>2026-07-15T22:37:50+05:30</t>
  </si>
  <si>
    <t>2026-07-15T23:38:06+05:30</t>
  </si>
  <si>
    <t>0mh4y0kg83k1jl3@marketplace.amazon.in</t>
  </si>
  <si>
    <t>408-6398400-1678715</t>
  </si>
  <si>
    <t>TNPmLnLt9</t>
  </si>
  <si>
    <t>DtczrMkHc20mR</t>
  </si>
  <si>
    <t>2026-07-15T14:01:38+05:30</t>
  </si>
  <si>
    <t>2026-07-15T22:37:43+05:30</t>
  </si>
  <si>
    <t>2026-07-15T22:37:46+05:30</t>
  </si>
  <si>
    <t>2026-07-15T23:37:59+05:30</t>
  </si>
  <si>
    <t>nybh95r356fv8px@marketplace.amazon.in</t>
  </si>
  <si>
    <t>408-9517296-4789121</t>
  </si>
  <si>
    <t>TJ0mXTGG9</t>
  </si>
  <si>
    <t>DFf1rkkJcF0fR</t>
  </si>
  <si>
    <t>2026-07-14T13:45:25+05:30</t>
  </si>
  <si>
    <t>2026-07-15T22:35:46+05:30</t>
  </si>
  <si>
    <t>2026-07-16T01:35:59+05:30</t>
  </si>
  <si>
    <t>s2qkzjntynyz6s9@marketplace.amazon.in</t>
  </si>
  <si>
    <t>MATTANNUR</t>
  </si>
  <si>
    <t>402-0747387-0967556</t>
  </si>
  <si>
    <t>TcX2CyLm9</t>
  </si>
  <si>
    <t>D9kw7VkGcK0wR</t>
  </si>
  <si>
    <t>2026-07-15T16:49:38+05:30</t>
  </si>
  <si>
    <t>2026-07-15T22:20:43+05:30</t>
  </si>
  <si>
    <t>2026-07-16T01:20:58+05:30</t>
  </si>
  <si>
    <t>fl8pw52mg1m9rzy@marketplace.amazon.in</t>
  </si>
  <si>
    <t>402-2847790-9140359</t>
  </si>
  <si>
    <t>T33dvNJK9</t>
  </si>
  <si>
    <t>D3xW7dkdct0mR</t>
  </si>
  <si>
    <t>2026-07-13T09:36:23+05:30</t>
  </si>
  <si>
    <t>2026-07-15T22:17:43+05:30</t>
  </si>
  <si>
    <t>2026-07-15T22:17:45+05:30</t>
  </si>
  <si>
    <t>2026-07-15T23:17:58+05:30</t>
  </si>
  <si>
    <t>gs8dyfb2yhbnv53@marketplace.amazon.in</t>
  </si>
  <si>
    <t>ALWAR</t>
  </si>
  <si>
    <t>406-5693412-8356343</t>
  </si>
  <si>
    <t>TNWn2bL09</t>
  </si>
  <si>
    <t>DQ0x7Dk2cj09R</t>
  </si>
  <si>
    <t>2026-07-15T12:44:47+05:30</t>
  </si>
  <si>
    <t>2026-07-15T22:13:45+05:30</t>
  </si>
  <si>
    <t>2026-07-16T01:13:57+05:30</t>
  </si>
  <si>
    <t>tq0q5y30wrs82cr@marketplace.amazon.in</t>
  </si>
  <si>
    <t>403-4804439-2031503</t>
  </si>
  <si>
    <t>Tc07kF0x9</t>
  </si>
  <si>
    <t>D3qCLjkdcM09R</t>
  </si>
  <si>
    <t>2026-07-15T11:45:29+05:30</t>
  </si>
  <si>
    <t>2026-07-15T21:59:49+05:30</t>
  </si>
  <si>
    <t>2026-07-16T01:00:04+05:30</t>
  </si>
  <si>
    <t>hjn9hcfqwb416yc@marketplace.amazon.in</t>
  </si>
  <si>
    <t>SIPCOT INDUSTRIAL PARK SRIPRUMBUDUR</t>
  </si>
  <si>
    <t>408-2991312-7265920</t>
  </si>
  <si>
    <t>TV7RBTLl9</t>
  </si>
  <si>
    <t>DDvRsLk0c90yR</t>
  </si>
  <si>
    <t>2026-07-15T01:01:50+05:30</t>
  </si>
  <si>
    <t>2026-07-15T21:58:53+05:30</t>
  </si>
  <si>
    <t>2026-07-16T00:59:20+05:30</t>
  </si>
  <si>
    <t>0r4gwwy3nmsw90r@marketplace.amazon.in</t>
  </si>
  <si>
    <t>405-6412799-5805146</t>
  </si>
  <si>
    <t>T6kffzLg9</t>
  </si>
  <si>
    <t>DJzPLGkpcT0jR</t>
  </si>
  <si>
    <t>2026-07-15T19:12:53+05:30</t>
  </si>
  <si>
    <t>2026-07-15T21:58:47+05:30</t>
  </si>
  <si>
    <t>2026-07-16T00:58:59+05:30</t>
  </si>
  <si>
    <t>vryyw2gq4tjhyxb@marketplace.amazon.in</t>
  </si>
  <si>
    <t>171-9091825-2749137</t>
  </si>
  <si>
    <t>TNCC4z0L9</t>
  </si>
  <si>
    <t>D4xYL9kHcq06R</t>
  </si>
  <si>
    <t>2026-07-15T20:12:10+05:30</t>
  </si>
  <si>
    <t>2026-07-15T21:55:43+05:30</t>
  </si>
  <si>
    <t>2026-07-15T21:55:46+05:30</t>
  </si>
  <si>
    <t>2026-07-15T22:55:59+05:30</t>
  </si>
  <si>
    <t>g121z0h4369wphd@marketplace.amazon.in</t>
  </si>
  <si>
    <t>407-9979861-9609956</t>
  </si>
  <si>
    <t>TVw8qPLY9</t>
  </si>
  <si>
    <t>D3zjsTkbcq0wR</t>
  </si>
  <si>
    <t>2026-07-15T18:32:30+05:30</t>
  </si>
  <si>
    <t>2026-07-15T21:45:46+05:30</t>
  </si>
  <si>
    <t>2026-07-16T00:45:58+05:30</t>
  </si>
  <si>
    <t>4c7v2zvxnnp9bq8@marketplace.amazon.in</t>
  </si>
  <si>
    <t>403-0871804-5313117</t>
  </si>
  <si>
    <t>T1jMRP0Q9</t>
  </si>
  <si>
    <t>DQwmc9kcck0lR</t>
  </si>
  <si>
    <t>2026-07-15T17:46:01+05:30</t>
  </si>
  <si>
    <t>2026-07-15T21:10:48+05:30</t>
  </si>
  <si>
    <t>2026-07-16T00:11:11+05:30</t>
  </si>
  <si>
    <t>44ncmmk2jgpq30f@marketplace.amazon.in</t>
  </si>
  <si>
    <t>405-4536793-1301125</t>
  </si>
  <si>
    <t>TNqR1cLt9</t>
  </si>
  <si>
    <t>DScgc3kycQ0BR</t>
  </si>
  <si>
    <t>2026-07-15T14:12:52+05:30</t>
  </si>
  <si>
    <t>2026-07-15T21:06:45+05:30</t>
  </si>
  <si>
    <t>2026-07-16T00:06:57+05:30</t>
  </si>
  <si>
    <t>nds32phn56lxyxs@marketplace.amazon.in</t>
  </si>
  <si>
    <t>405-2426398-5049152</t>
  </si>
  <si>
    <t>TVrY8qLQ9</t>
  </si>
  <si>
    <t>DXXtzJkxc407R</t>
  </si>
  <si>
    <t>2026-07-15T17:46:35+05:30</t>
  </si>
  <si>
    <t>2026-07-15T20:46:52+05:30</t>
  </si>
  <si>
    <t>2026-07-15T23:47:05+05:30</t>
  </si>
  <si>
    <t>pfrbqtgg4mf8pkj@marketplace.amazon.in</t>
  </si>
  <si>
    <t>MANDI</t>
  </si>
  <si>
    <t>403-5247752-9117935</t>
  </si>
  <si>
    <t>TcrSM9Lm9</t>
  </si>
  <si>
    <t>Dmrpvbk3cR0nR</t>
  </si>
  <si>
    <t>2026-07-15T12:38:52+05:30</t>
  </si>
  <si>
    <t>2026-07-15T20:44:46+05:30</t>
  </si>
  <si>
    <t>2026-07-15T23:44:57+05:30</t>
  </si>
  <si>
    <t>zdl1q9zt9qpsr97@marketplace.amazon.in</t>
  </si>
  <si>
    <t>171-5586559-6972329</t>
  </si>
  <si>
    <t>TXgpPJLN9</t>
  </si>
  <si>
    <t>Dq9NzrkLc600R</t>
  </si>
  <si>
    <t>2026-07-15T14:44:52+05:30</t>
  </si>
  <si>
    <t>2026-07-15T20:34:57+05:30</t>
  </si>
  <si>
    <t>2026-07-15T23:35:26+05:30</t>
  </si>
  <si>
    <t>n4qfdsvvmvsqbw1@marketplace.amazon.in</t>
  </si>
  <si>
    <t>402-8611810-0893930</t>
  </si>
  <si>
    <t>TCYv51LN9</t>
  </si>
  <si>
    <t>DRb9z8kTcM08R</t>
  </si>
  <si>
    <t>2026-07-15T17:10:13+05:30</t>
  </si>
  <si>
    <t>2026-07-15T20:33:43+05:30</t>
  </si>
  <si>
    <t>2026-07-15T23:33:56+05:30</t>
  </si>
  <si>
    <t>wzqy40cdy1lmqh4@marketplace.amazon.in</t>
  </si>
  <si>
    <t>403-5725938-9867560</t>
  </si>
  <si>
    <t>TnQ1FJLQ9</t>
  </si>
  <si>
    <t>D65NVHkHcY0pR</t>
  </si>
  <si>
    <t>2026-07-15T10:41:45+05:30</t>
  </si>
  <si>
    <t>2026-07-15T20:26:45+05:30</t>
  </si>
  <si>
    <t>2026-07-15T23:26:58+05:30</t>
  </si>
  <si>
    <t>bqd5n74jhxxzvhq@marketplace.amazon.in</t>
  </si>
  <si>
    <t>171-9132509-0893953</t>
  </si>
  <si>
    <t>TcV7m9Lk9</t>
  </si>
  <si>
    <t>Dn1MVNkZcz07R</t>
  </si>
  <si>
    <t>2026-07-15T15:14:46+05:30</t>
  </si>
  <si>
    <t>2026-07-15T20:26:41+05:30</t>
  </si>
  <si>
    <t>2026-07-15T23:26:52+05:30</t>
  </si>
  <si>
    <t>403-6735850-3089104</t>
  </si>
  <si>
    <t>TV6F6TdP9</t>
  </si>
  <si>
    <t>DXHCVsk2cm0VR</t>
  </si>
  <si>
    <t>2026-07-13T23:11:15+05:30</t>
  </si>
  <si>
    <t>2026-07-15T20:16:46+05:30</t>
  </si>
  <si>
    <t>2026-07-15T23:16:57+05:30</t>
  </si>
  <si>
    <t>ncjwwmk4fz9lc7z@marketplace.amazon.in</t>
  </si>
  <si>
    <t>AMBASAMUDRAM</t>
  </si>
  <si>
    <t>402-0295518-0043534</t>
  </si>
  <si>
    <t>TVZQHF0B9</t>
  </si>
  <si>
    <t>DwHXVqkPcq0PR</t>
  </si>
  <si>
    <t>2026-07-15T19:22:05+05:30</t>
  </si>
  <si>
    <t>2026-07-15T20:16:45+05:30</t>
  </si>
  <si>
    <t>2026-07-15T23:17:00+05:30</t>
  </si>
  <si>
    <t>4z2mzkk1cpq35wd@marketplace.amazon.in</t>
  </si>
  <si>
    <t>403-8036261-6649937</t>
  </si>
  <si>
    <t>TXhJT2rC9</t>
  </si>
  <si>
    <t>DZyC2TkNc70fR</t>
  </si>
  <si>
    <t>2026-07-13T20:29:42+05:30</t>
  </si>
  <si>
    <t>2026-07-15T20:04:55+05:30</t>
  </si>
  <si>
    <t>2026-07-15T23:05:07+05:30</t>
  </si>
  <si>
    <t>lb07h6rc532br7n@marketplace.amazon.in</t>
  </si>
  <si>
    <t>AJARA</t>
  </si>
  <si>
    <t>406-8722296-1778730</t>
  </si>
  <si>
    <t>T1k9GZLS9</t>
  </si>
  <si>
    <t>DCBC2MkBc00qR</t>
  </si>
  <si>
    <t>2026-07-15T15:59:18+05:30</t>
  </si>
  <si>
    <t>2026-07-15T20:02:42+05:30</t>
  </si>
  <si>
    <t>2026-07-15T23:02:54+05:30</t>
  </si>
  <si>
    <t>m7vyh442dg7b02n@marketplace.amazon.in</t>
  </si>
  <si>
    <t>404-1641793-2545936</t>
  </si>
  <si>
    <t>TV5WXZLy9</t>
  </si>
  <si>
    <t>Dxlg21k4cf0GR</t>
  </si>
  <si>
    <t>2026-07-15T17:41:55+05:30</t>
  </si>
  <si>
    <t>2026-07-15T20:00:41+05:30</t>
  </si>
  <si>
    <t>2026-07-15T23:00:52+05:30</t>
  </si>
  <si>
    <t>cwgy4k4vvnln3q4@marketplace.amazon.in</t>
  </si>
  <si>
    <t>171-7511164-7043544</t>
  </si>
  <si>
    <t>T6gVxPLg9</t>
  </si>
  <si>
    <t>DsHB2Dk3cZ00R</t>
  </si>
  <si>
    <t>2026-07-15T14:06:00+05:30</t>
  </si>
  <si>
    <t>2026-07-15T19:58:44+05:30</t>
  </si>
  <si>
    <t>2026-07-15T22:58:59+05:30</t>
  </si>
  <si>
    <t>4k36n6zms0chfl8@marketplace.amazon.in</t>
  </si>
  <si>
    <t>LONAVALA</t>
  </si>
  <si>
    <t>171-4347610-5124346</t>
  </si>
  <si>
    <t>T3vD9XLv9</t>
  </si>
  <si>
    <t>D4H52Tk8cM0XR</t>
  </si>
  <si>
    <t>2026-07-15T09:20:19+05:30</t>
  </si>
  <si>
    <t>2026-07-15T19:58:42+05:30</t>
  </si>
  <si>
    <t>2026-07-15T22:58:53+05:30</t>
  </si>
  <si>
    <t>cxv1kspdysjzryq@marketplace.amazon.in</t>
  </si>
  <si>
    <t>402-1095940-4345139</t>
  </si>
  <si>
    <t>TChkqsGD9</t>
  </si>
  <si>
    <t>D86G28kxcY0HR</t>
  </si>
  <si>
    <t>2026-07-13T22:06:19+05:30</t>
  </si>
  <si>
    <t>2026-07-15T19:57:44+05:30</t>
  </si>
  <si>
    <t>2026-07-15T22:57:58+05:30</t>
  </si>
  <si>
    <t>7rnmdxmcw2806nk@marketplace.amazon.in</t>
  </si>
  <si>
    <t>171-6046112-1095551</t>
  </si>
  <si>
    <t>TgWTthLJ9</t>
  </si>
  <si>
    <t>DgvbFmk6cn0DR</t>
  </si>
  <si>
    <t>2026-07-15T10:58:00+05:30</t>
  </si>
  <si>
    <t>2026-07-15T19:51:46+05:30</t>
  </si>
  <si>
    <t>2026-07-15T22:51:58+05:30</t>
  </si>
  <si>
    <t>8z9dp3qvt66nmcw@marketplace.amazon.in</t>
  </si>
  <si>
    <t>406-5856471-8992350</t>
  </si>
  <si>
    <t>Tc3Jm6Ln9</t>
  </si>
  <si>
    <t>D6vgFykMcn0DR</t>
  </si>
  <si>
    <t>2026-07-15T16:08:55+05:30</t>
  </si>
  <si>
    <t>2026-07-15T19:49:43+05:30</t>
  </si>
  <si>
    <t>2026-07-15T19:49:46+05:30</t>
  </si>
  <si>
    <t>2026-07-15T20:49:57+05:30</t>
  </si>
  <si>
    <t>npj8n4bbg0gdt6h@marketplace.amazon.in</t>
  </si>
  <si>
    <t>404-5117388-2282759</t>
  </si>
  <si>
    <t>T1rvFqL99</t>
  </si>
  <si>
    <t>DNhXFgkMcx0bR</t>
  </si>
  <si>
    <t>2026-07-15T10:22:56+05:30</t>
  </si>
  <si>
    <t>2026-07-15T19:43:45+05:30</t>
  </si>
  <si>
    <t>2026-07-15T22:43:55+05:30</t>
  </si>
  <si>
    <t>bxszp7v92nhmd84@marketplace.amazon.in</t>
  </si>
  <si>
    <t>West bengal</t>
  </si>
  <si>
    <t>408-2588965-2755508</t>
  </si>
  <si>
    <t>TnrJ12Jd9</t>
  </si>
  <si>
    <t>DZ5RDwk7c702R</t>
  </si>
  <si>
    <t>2026-07-13T12:51:26+05:30</t>
  </si>
  <si>
    <t>2026-07-15T19:37:47+05:30</t>
  </si>
  <si>
    <t>2026-07-15T22:37:57+05:30</t>
  </si>
  <si>
    <t>171-2709389-7040303</t>
  </si>
  <si>
    <t>TJyRBZLq9</t>
  </si>
  <si>
    <t>DLncFhkhcC0gR</t>
  </si>
  <si>
    <t>2026-07-15T09:22:55+05:30</t>
  </si>
  <si>
    <t>2026-07-15T19:34:59+05:30</t>
  </si>
  <si>
    <t>2026-07-15T22:35:28+05:30</t>
  </si>
  <si>
    <t>dlb1p049y1323pd@marketplace.amazon.in</t>
  </si>
  <si>
    <t>CORBETT</t>
  </si>
  <si>
    <t>406-1355528-5296309</t>
  </si>
  <si>
    <t>TJYMZXLD9</t>
  </si>
  <si>
    <t>Dr4WDxkzcX0pR</t>
  </si>
  <si>
    <t>2026-07-15T16:53:30+05:30</t>
  </si>
  <si>
    <t>2026-07-15T19:34:52+05:30</t>
  </si>
  <si>
    <t>2026-07-15T22:35:07+05:30</t>
  </si>
  <si>
    <t>0w7bn9hxqq5j8r4@marketplace.amazon.in</t>
  </si>
  <si>
    <t>407-8415962-9660363</t>
  </si>
  <si>
    <t>T6lm1Fx49</t>
  </si>
  <si>
    <t>D62ZYDk2cN0NR</t>
  </si>
  <si>
    <t>2026-07-10T12:18:24+05:30</t>
  </si>
  <si>
    <t>2026-07-15T19:14:47+05:30</t>
  </si>
  <si>
    <t>2026-07-15T22:15:04+05:30</t>
  </si>
  <si>
    <t>hcsfglnlr7j7c8w@marketplace.amazon.in</t>
  </si>
  <si>
    <t>RAJBALHAT</t>
  </si>
  <si>
    <t>171-3738740-2963500</t>
  </si>
  <si>
    <t>TnY4zvGm9</t>
  </si>
  <si>
    <t>D3gNyDkRc30GR</t>
  </si>
  <si>
    <t>2026-07-14T23:23:01+05:30</t>
  </si>
  <si>
    <t>2026-07-15T18:52:56+05:30</t>
  </si>
  <si>
    <t>2026-07-15T21:53:25+05:30</t>
  </si>
  <si>
    <t>3wpkfv1s9sp1l9r@marketplace.amazon.in</t>
  </si>
  <si>
    <t>405-3237215-1398719</t>
  </si>
  <si>
    <t>Tw7S5nsv9</t>
  </si>
  <si>
    <t>D2WmwBkgcm0DR</t>
  </si>
  <si>
    <t>2026-07-14T20:18:28+05:30</t>
  </si>
  <si>
    <t>2026-07-15T18:32:45+05:30</t>
  </si>
  <si>
    <t>2026-07-15T21:32:58+05:30</t>
  </si>
  <si>
    <t>jww10cplhrhbxqk@marketplace.amazon.in</t>
  </si>
  <si>
    <t>NIZ HAJOhajo</t>
  </si>
  <si>
    <t>404-9441834-4381102</t>
  </si>
  <si>
    <t>TJ98F3L09</t>
  </si>
  <si>
    <t>D2bFBckFc50RR</t>
  </si>
  <si>
    <t>2026-07-15T11:46:02+05:30</t>
  </si>
  <si>
    <t>2026-07-15T18:21:45+05:30</t>
  </si>
  <si>
    <t>2026-07-15T21:21:58+05:30</t>
  </si>
  <si>
    <t>xy280xm6ks6km18@marketplace.amazon.in</t>
  </si>
  <si>
    <t>407-0496519-9459551</t>
  </si>
  <si>
    <t>T6lQ7RGS9</t>
  </si>
  <si>
    <t>DXzVBVk8ct0pR</t>
  </si>
  <si>
    <t>2026-07-14T23:51:14+05:30</t>
  </si>
  <si>
    <t>2026-07-15T18:16:48+05:30</t>
  </si>
  <si>
    <t>2026-07-15T21:16:59+05:30</t>
  </si>
  <si>
    <t>v7h4zzkxbv9r27f@marketplace.amazon.in</t>
  </si>
  <si>
    <t>BOISAR</t>
  </si>
  <si>
    <t>405-6004662-9105132</t>
  </si>
  <si>
    <t>TCkWcLvq4</t>
  </si>
  <si>
    <t>D4DQ9JkYcJ0SR</t>
  </si>
  <si>
    <t>2026-07-09T07:36:58+05:30</t>
  </si>
  <si>
    <t>2026-07-15T18:11:43+05:30</t>
  </si>
  <si>
    <t>2026-07-15T21:11:56+05:30</t>
  </si>
  <si>
    <t>byfw6ly0jpz59x8@marketplace.amazon.in</t>
  </si>
  <si>
    <t>404-6054009-8811517</t>
  </si>
  <si>
    <t>TVw6NFdj9</t>
  </si>
  <si>
    <t>DytG97ktc10rR</t>
  </si>
  <si>
    <t>2026-07-13T23:42:10+05:30</t>
  </si>
  <si>
    <t>2026-07-15T18:04:44+05:30</t>
  </si>
  <si>
    <t>2026-07-15T21:04:57+05:30</t>
  </si>
  <si>
    <t>6byx7r97f1rm0r6@marketplace.amazon.in</t>
  </si>
  <si>
    <t>403-2078361-2061911</t>
  </si>
  <si>
    <t>T35cyMss9</t>
  </si>
  <si>
    <t>DMCD93k4c10TR</t>
  </si>
  <si>
    <t>2026-07-14T13:59:30+05:30</t>
  </si>
  <si>
    <t>2026-07-15T18:00:48+05:30</t>
  </si>
  <si>
    <t>2026-07-15T21:00:59+05:30</t>
  </si>
  <si>
    <t>cv69ymkrpbp2fv9@marketplace.amazon.in</t>
  </si>
  <si>
    <t>BARASAT</t>
  </si>
  <si>
    <t>408-8078397-3116321</t>
  </si>
  <si>
    <t>TnqDMrsg9</t>
  </si>
  <si>
    <t>Dpdq9rkSck0VR</t>
  </si>
  <si>
    <t>2026-07-14T18:53:22+05:30</t>
  </si>
  <si>
    <t>2026-07-15T17:57:56+05:30</t>
  </si>
  <si>
    <t>2026-07-15T20:58:07+05:30</t>
  </si>
  <si>
    <t>lblz8cqhgwkxrqw@marketplace.amazon.in</t>
  </si>
  <si>
    <t>SF000000383385AMZ</t>
  </si>
  <si>
    <t>402-6221104-5258705</t>
  </si>
  <si>
    <t>T1X34Ssm9</t>
  </si>
  <si>
    <t>DqdN9lknc90nR</t>
  </si>
  <si>
    <t>2026-07-14T13:42:24+05:30</t>
  </si>
  <si>
    <t>2026-07-15T17:53:40+05:30</t>
  </si>
  <si>
    <t>2026-07-15T20:53:53+05:30</t>
  </si>
  <si>
    <t>flvq7rwyvpznyy7@marketplace.amazon.in</t>
  </si>
  <si>
    <t>VALSAD</t>
  </si>
  <si>
    <t>408-3770633-6502761</t>
  </si>
  <si>
    <t>T17H8pnc9</t>
  </si>
  <si>
    <t>DkRB9CkgcN0xR</t>
  </si>
  <si>
    <t>2026-07-11T20:55:24+05:30</t>
  </si>
  <si>
    <t>2026-07-15T17:52:48+05:30</t>
  </si>
  <si>
    <t>2026-07-15T20:52:59+05:30</t>
  </si>
  <si>
    <t>ypp83wvy319sbnd@marketplace.amazon.in</t>
  </si>
  <si>
    <t>171-0189655-2418738</t>
  </si>
  <si>
    <t>TgPcN2LX9</t>
  </si>
  <si>
    <t>D9hS4RkVck0NR</t>
  </si>
  <si>
    <t>2026-07-15T08:11:36+05:30</t>
  </si>
  <si>
    <t>2026-07-15T17:43:47+05:30</t>
  </si>
  <si>
    <t>2026-07-15T20:43:59+05:30</t>
  </si>
  <si>
    <t>llkv5ljjdfmzd0y@marketplace.amazon.in</t>
  </si>
  <si>
    <t>NIZAMABAD</t>
  </si>
  <si>
    <t>405-4442726-9244347</t>
  </si>
  <si>
    <t>TCjwmqdC9</t>
  </si>
  <si>
    <t>Dwxt4bk3cv0mR</t>
  </si>
  <si>
    <t>2026-07-14T08:22:39+05:30</t>
  </si>
  <si>
    <t>2026-07-15T17:36:54+05:30</t>
  </si>
  <si>
    <t>2026-07-15T20:41:33+05:30</t>
  </si>
  <si>
    <t>cf7ldpbq40sqmqg@marketplace.amazon.in</t>
  </si>
  <si>
    <t>171-8728675-4785910</t>
  </si>
  <si>
    <t>T15WCSs49</t>
  </si>
  <si>
    <t>DGTXH7kwcs08R</t>
  </si>
  <si>
    <t>2026-07-14T20:32:46+05:30</t>
  </si>
  <si>
    <t>2026-07-15T17:29:43+05:30</t>
  </si>
  <si>
    <t>2026-07-15T17:29:47+05:30</t>
  </si>
  <si>
    <t>2026-07-15T18:33:55+05:30</t>
  </si>
  <si>
    <t>1m09w2qtg4hrl4f@marketplace.amazon.in</t>
  </si>
  <si>
    <t>408-3146228-1806729</t>
  </si>
  <si>
    <t>TwGTkLLx9</t>
  </si>
  <si>
    <t>DP33bkkRcr05R</t>
  </si>
  <si>
    <t>2026-07-15T09:37:55+05:30</t>
  </si>
  <si>
    <t>2026-07-15T17:14:43+05:30</t>
  </si>
  <si>
    <t>2026-07-15T17:14:46+05:30</t>
  </si>
  <si>
    <t>2026-07-15T18:14:57+05:30</t>
  </si>
  <si>
    <t>3r8k2wp5zhdl0yb@marketplace.amazon.in</t>
  </si>
  <si>
    <t>407-5481509-7988349</t>
  </si>
  <si>
    <t>T3ty24xH9</t>
  </si>
  <si>
    <t>DbZTbckrcw0gR</t>
  </si>
  <si>
    <t>2026-07-12T18:25:58+05:30</t>
  </si>
  <si>
    <t>2026-07-15T17:12:54+05:30</t>
  </si>
  <si>
    <t>2026-07-15T20:13:09+05:30</t>
  </si>
  <si>
    <t>mrfvpfn8fjslsyd@marketplace.amazon.in</t>
  </si>
  <si>
    <t>GANGTOK</t>
  </si>
  <si>
    <t>408-1274808-6932333</t>
  </si>
  <si>
    <t>T1tWGqsC9</t>
  </si>
  <si>
    <t>D0TrbtkXch0WR</t>
  </si>
  <si>
    <t>2026-07-14T18:10:26+05:30</t>
  </si>
  <si>
    <t>2026-07-15T17:10:45+05:30</t>
  </si>
  <si>
    <t>2026-07-15T17:10:48+05:30</t>
  </si>
  <si>
    <t>2026-07-15T18:10:59+05:30</t>
  </si>
  <si>
    <t>1hc2m6tqf30hhz3@marketplace.amazon.in</t>
  </si>
  <si>
    <t>407-1702780-8804335</t>
  </si>
  <si>
    <t>TGf2YpGG9</t>
  </si>
  <si>
    <t>DXJwbgkYcC0NR</t>
  </si>
  <si>
    <t>2026-07-14T22:41:51+05:30</t>
  </si>
  <si>
    <t>2026-07-15T17:09:26+05:30</t>
  </si>
  <si>
    <t>2026-07-15T20:09:38+05:30</t>
  </si>
  <si>
    <t>fvgqdnlkt52cqjd@marketplace.amazon.in</t>
  </si>
  <si>
    <t>405-9489906-0895528</t>
  </si>
  <si>
    <t>TVx8lQG39</t>
  </si>
  <si>
    <t>DMPGb9kvcy03R</t>
  </si>
  <si>
    <t>2026-07-15T06:06:01+05:30</t>
  </si>
  <si>
    <t>2026-07-15T17:04:45+05:30</t>
  </si>
  <si>
    <t>2026-07-15T20:04:57+05:30</t>
  </si>
  <si>
    <t>jvjl8n1cv0vq836@marketplace.amazon.in</t>
  </si>
  <si>
    <t>405-1036592-2115521</t>
  </si>
  <si>
    <t>T3rhqvGq9</t>
  </si>
  <si>
    <t>DkPtbCkpcF03R</t>
  </si>
  <si>
    <t>2026-07-15T07:18:25+05:30</t>
  </si>
  <si>
    <t>2026-07-15T16:59:47+05:30</t>
  </si>
  <si>
    <t>2026-07-15T20:00:01+05:30</t>
  </si>
  <si>
    <t>8hycsz24ytg5w94@marketplace.amazon.in</t>
  </si>
  <si>
    <t>403-6106044-6036319</t>
  </si>
  <si>
    <t>TgktQMGq9</t>
  </si>
  <si>
    <t>DS7HkBkKc80LR</t>
  </si>
  <si>
    <t>2026-07-14T23:42:24+05:30</t>
  </si>
  <si>
    <t>2026-07-15T16:57:45+05:30</t>
  </si>
  <si>
    <t>2026-07-15T19:58:01+05:30</t>
  </si>
  <si>
    <t>s33x6yq4k4gqjcr@marketplace.amazon.in</t>
  </si>
  <si>
    <t>407-2848748-5054731</t>
  </si>
  <si>
    <t>TCbfYrL39</t>
  </si>
  <si>
    <t>DL8Bk1kDcd0mR</t>
  </si>
  <si>
    <t>2026-07-15T10:34:43+05:30</t>
  </si>
  <si>
    <t>2026-07-15T16:56:46+05:30</t>
  </si>
  <si>
    <t>2026-07-15T19:56:59+05:30</t>
  </si>
  <si>
    <t>y9cxwvv4f5lb8bd@marketplace.amazon.in</t>
  </si>
  <si>
    <t>408-1554178-1653150</t>
  </si>
  <si>
    <t>TN33zlL29</t>
  </si>
  <si>
    <t>DkQnkSkdcs0DR</t>
  </si>
  <si>
    <t>2026-07-15T11:44:13+05:30</t>
  </si>
  <si>
    <t>2026-07-15T16:49:44+05:30</t>
  </si>
  <si>
    <t>2026-07-15T19:49:57+05:30</t>
  </si>
  <si>
    <t>drlf6fn49kvhzym@marketplace.amazon.in</t>
  </si>
  <si>
    <t>405-9003542-9800309</t>
  </si>
  <si>
    <t>TczdDrrP9</t>
  </si>
  <si>
    <t>DySzNJkwcK00R</t>
  </si>
  <si>
    <t>2026-07-13T19:00:33+05:30</t>
  </si>
  <si>
    <t>2026-07-15T16:43:47+05:30</t>
  </si>
  <si>
    <t>2026-07-15T19:44:00+05:30</t>
  </si>
  <si>
    <t>r0r4mm1vmthcnvx@marketplace.amazon.in</t>
  </si>
  <si>
    <t>Chandigarh</t>
  </si>
  <si>
    <t>403-0940290-8656302</t>
  </si>
  <si>
    <t>TGY2r1LC9</t>
  </si>
  <si>
    <t>DctKhQmxcv07R</t>
  </si>
  <si>
    <t>2026-07-15T13:03:22+05:30</t>
  </si>
  <si>
    <t>2026-07-15T16:01:46+05:30</t>
  </si>
  <si>
    <t>2026-07-15T19:01:57+05:30</t>
  </si>
  <si>
    <t>5251wpy4f0s19c6@marketplace.amazon.in</t>
  </si>
  <si>
    <t>SAILANA</t>
  </si>
  <si>
    <t>403-7353421-0907530</t>
  </si>
  <si>
    <t>TwVhcRLf9</t>
  </si>
  <si>
    <t>DGMjhJmlcB0tR</t>
  </si>
  <si>
    <t>2026-07-15T11:48:42+05:30</t>
  </si>
  <si>
    <t>2026-07-15T16:01:43+05:30</t>
  </si>
  <si>
    <t>2026-07-15T17:01:57+05:30</t>
  </si>
  <si>
    <t>zt6sswylwqs5yxd@marketplace.amazon.in</t>
  </si>
  <si>
    <t>402-8702690-6206725</t>
  </si>
  <si>
    <t>TGZBFyLs9</t>
  </si>
  <si>
    <t>DFbWhlmCcC0WR</t>
  </si>
  <si>
    <t>2026-07-15T11:16:52+05:30</t>
  </si>
  <si>
    <t>2026-07-15T16:01:44+05:30</t>
  </si>
  <si>
    <t>kvk85pjyt820rll@marketplace.amazon.in</t>
  </si>
  <si>
    <t>NAGAUR</t>
  </si>
  <si>
    <t>407-7905664-7640330</t>
  </si>
  <si>
    <t>TN6wcmLJ9</t>
  </si>
  <si>
    <t>Ddblhgmrcj0KR</t>
  </si>
  <si>
    <t>2026-07-15T11:20:01+05:30</t>
  </si>
  <si>
    <t>2026-07-15T16:00:49+05:30</t>
  </si>
  <si>
    <t>2026-07-15T19:04:26+05:30</t>
  </si>
  <si>
    <t>rc1jcr016dy6q2w@marketplace.amazon.in</t>
  </si>
  <si>
    <t>MANGALORE</t>
  </si>
  <si>
    <t>407-3178778-1080345</t>
  </si>
  <si>
    <t>TX67HYLC9</t>
  </si>
  <si>
    <t>Dn8WfTmycb0pR</t>
  </si>
  <si>
    <t>2026-07-15T08:22:28+05:30</t>
  </si>
  <si>
    <t>2026-07-15T15:47:35+05:30</t>
  </si>
  <si>
    <t>2026-07-15T15:47:38+05:30</t>
  </si>
  <si>
    <t>2026-07-15T16:47:50+05:30</t>
  </si>
  <si>
    <t>b2fvcf7mg1s3w6x@marketplace.amazon.in</t>
  </si>
  <si>
    <t>SABATHU</t>
  </si>
  <si>
    <t>404-4858071-2817903</t>
  </si>
  <si>
    <t>TX7g7jLN9</t>
  </si>
  <si>
    <t>DHr0jymHc10rR</t>
  </si>
  <si>
    <t>2026-07-15T11:47:36+05:30</t>
  </si>
  <si>
    <t>2026-07-15T15:20:45+05:30</t>
  </si>
  <si>
    <t>2026-07-15T18:20:58+05:30</t>
  </si>
  <si>
    <t>2hrnjpphk173r04@marketplace.amazon.in</t>
  </si>
  <si>
    <t>2026-07-15T20:00:00+05:30</t>
  </si>
  <si>
    <t>403-3487247-6036350</t>
  </si>
  <si>
    <t>TXqXsxL09</t>
  </si>
  <si>
    <t>DB6fZTmzcQ00R</t>
  </si>
  <si>
    <t>2026-07-15T12:59:39+05:30</t>
  </si>
  <si>
    <t>2026-07-15T15:11:45+05:30</t>
  </si>
  <si>
    <t>2026-07-15T18:11:58+05:30</t>
  </si>
  <si>
    <t>57q1wq5pdsm3mxz@marketplace.amazon.in</t>
  </si>
  <si>
    <t>171-2996478-9541109</t>
  </si>
  <si>
    <t>TNyZ2JLT9</t>
  </si>
  <si>
    <t>Dj2j53mncl01R</t>
  </si>
  <si>
    <t>2026-07-15T13:20:24+05:30</t>
  </si>
  <si>
    <t>2026-07-15T14:42:45+05:30</t>
  </si>
  <si>
    <t>2026-07-15T17:42:56+05:30</t>
  </si>
  <si>
    <t>1m9p5kcnk8fpcsq@marketplace.amazon.in</t>
  </si>
  <si>
    <t>KANNUR</t>
  </si>
  <si>
    <t>403-7682935-1821116</t>
  </si>
  <si>
    <t>TJq6bFxX9</t>
  </si>
  <si>
    <t>DHjH5fmJcz0XR</t>
  </si>
  <si>
    <t>2026-07-12T19:34:49+05:30</t>
  </si>
  <si>
    <t>2026-07-15T14:39:43+05:30</t>
  </si>
  <si>
    <t>2026-07-15T17:39:54+05:30</t>
  </si>
  <si>
    <t>19fj9s1nq4ly60k@marketplace.amazon.in</t>
  </si>
  <si>
    <t>407-1288361-1859552</t>
  </si>
  <si>
    <t>TgsdkDLk9</t>
  </si>
  <si>
    <t>D2mrg1mDcl0NR</t>
  </si>
  <si>
    <t>2026-07-15T09:48:30+05:30</t>
  </si>
  <si>
    <t>2026-07-15T14:23:41+05:30</t>
  </si>
  <si>
    <t>2026-07-15T17:23:53+05:30</t>
  </si>
  <si>
    <t>171-2276113-1445949</t>
  </si>
  <si>
    <t>TGnhHrL59</t>
  </si>
  <si>
    <t>DgGsgLmWcb0WR</t>
  </si>
  <si>
    <t>2026-07-15T08:16:23+05:30</t>
  </si>
  <si>
    <t>2026-07-15T14:16:45+05:30</t>
  </si>
  <si>
    <t>2026-07-15T17:16:57+05:30</t>
  </si>
  <si>
    <t>rsghk4v6wwthwrl@marketplace.amazon.in</t>
  </si>
  <si>
    <t>403-3276067-3641915</t>
  </si>
  <si>
    <t>TC5CjZdZ9</t>
  </si>
  <si>
    <t>DL8N8VmWcZ0VR</t>
  </si>
  <si>
    <t>2026-07-13T23:36:56+05:30</t>
  </si>
  <si>
    <t>2026-07-15T14:06:45+05:30</t>
  </si>
  <si>
    <t>2026-07-15T14:06:48+05:30</t>
  </si>
  <si>
    <t>2026-07-15T15:07:01+05:30</t>
  </si>
  <si>
    <t>815hxrg15ncdt3t@marketplace.amazon.in</t>
  </si>
  <si>
    <t>404-8023258-4537132</t>
  </si>
  <si>
    <t>TG7tN2L99</t>
  </si>
  <si>
    <t>DtQ78DmMcJ06R</t>
  </si>
  <si>
    <t>2026-07-15T08:57:42+05:30</t>
  </si>
  <si>
    <t>2026-07-15T14:06:42+05:30</t>
  </si>
  <si>
    <t>2026-07-15T15:06:56+05:30</t>
  </si>
  <si>
    <t>404-9816941-5869133</t>
  </si>
  <si>
    <t>TXWJV9x39</t>
  </si>
  <si>
    <t>DxMlXxmxcL0TR</t>
  </si>
  <si>
    <t>2026-07-12T22:33:25+05:30</t>
  </si>
  <si>
    <t>2026-07-15T13:49:46+05:30</t>
  </si>
  <si>
    <t>2026-07-15T16:49:57+05:30</t>
  </si>
  <si>
    <t>gfzlms2hj4pfl2b@marketplace.amazon.in</t>
  </si>
  <si>
    <t>402-2191027-8281926</t>
  </si>
  <si>
    <t>TJw0lYGQ9</t>
  </si>
  <si>
    <t>DZH8XTm2cL0tR</t>
  </si>
  <si>
    <t>2026-07-15T06:14:57+05:30</t>
  </si>
  <si>
    <t>2026-07-15T13:47:43+05:30</t>
  </si>
  <si>
    <t>2026-07-15T16:47:56+05:30</t>
  </si>
  <si>
    <t>1qc6f0xwl4wfqln@marketplace.amazon.in</t>
  </si>
  <si>
    <t>TENKASI</t>
  </si>
  <si>
    <t>404-3064485-0335519</t>
  </si>
  <si>
    <t>T1crL2sV9</t>
  </si>
  <si>
    <t>DfxbXsm9cQ01R</t>
  </si>
  <si>
    <t>2026-07-09T14:10:51+05:30</t>
  </si>
  <si>
    <t>2026-07-15T13:39:29+05:30</t>
  </si>
  <si>
    <t>2026-07-15T16:40:16+05:30</t>
  </si>
  <si>
    <t>73yhkrt8yw80rtj@marketplace.amazon.in</t>
  </si>
  <si>
    <t>408-0334000-3293932</t>
  </si>
  <si>
    <t>TGHbF9LR9</t>
  </si>
  <si>
    <t>Dy7gCWmQcW0QR</t>
  </si>
  <si>
    <t>2026-07-15T11:00:16+05:30</t>
  </si>
  <si>
    <t>2026-07-15T13:38:43+05:30</t>
  </si>
  <si>
    <t>2026-07-15T16:38:55+05:30</t>
  </si>
  <si>
    <t>wzttl5z7vckd6m0@marketplace.amazon.in</t>
  </si>
  <si>
    <t>404-6205083-2930761</t>
  </si>
  <si>
    <t>TnXTDFL19</t>
  </si>
  <si>
    <t>DhSfpxmTc70mR</t>
  </si>
  <si>
    <t>2026-07-15T10:19:16+05:30</t>
  </si>
  <si>
    <t>2026-07-15T13:20:42+05:30</t>
  </si>
  <si>
    <t>2026-07-15T16:20:57+05:30</t>
  </si>
  <si>
    <t>m0rpw3w7fvpnhj9@marketplace.amazon.in</t>
  </si>
  <si>
    <t>407-5770596-1221958</t>
  </si>
  <si>
    <t>TNPVSqG19</t>
  </si>
  <si>
    <t>Dn1bWDmfcn0NR</t>
  </si>
  <si>
    <t>2026-07-15T03:03:40+05:30</t>
  </si>
  <si>
    <t>2026-07-15T12:59:47+05:30</t>
  </si>
  <si>
    <t>2026-07-15T16:00:01+05:30</t>
  </si>
  <si>
    <t>m3bml3n3y06mllg@marketplace.amazon.in</t>
  </si>
  <si>
    <t>403-6458988-9777109</t>
  </si>
  <si>
    <t>TNHY71Gz9</t>
  </si>
  <si>
    <t>DvcxWFmMcR09R</t>
  </si>
  <si>
    <t>2026-07-14T21:58:28+05:30</t>
  </si>
  <si>
    <t>2026-07-15T12:53:57+05:30</t>
  </si>
  <si>
    <t>2026-07-15T15:54:09+05:30</t>
  </si>
  <si>
    <t>hpc028c9n5lxxyv@marketplace.amazon.in</t>
  </si>
  <si>
    <t>402-8626871-5977955</t>
  </si>
  <si>
    <t>TnypbxLd9</t>
  </si>
  <si>
    <t>Dl5Lm7mwcz0kR</t>
  </si>
  <si>
    <t>2026-07-15T07:38:39+05:30</t>
  </si>
  <si>
    <t>2026-07-15T12:27:46+05:30</t>
  </si>
  <si>
    <t>2026-07-15T15:27:59+05:30</t>
  </si>
  <si>
    <t>fcglz7gcm0hvvhq@marketplace.amazon.in</t>
  </si>
  <si>
    <t>171-0431323-2360354</t>
  </si>
  <si>
    <t>TnFpXBx69</t>
  </si>
  <si>
    <t>D6yklqmqcj04R</t>
  </si>
  <si>
    <t>2026-07-12T13:13:40+05:30</t>
  </si>
  <si>
    <t>2026-07-15T12:10:46+05:30</t>
  </si>
  <si>
    <t>2026-07-15T15:10:59+05:30</t>
  </si>
  <si>
    <t>jn0x184z9s4h9gs@marketplace.amazon.in</t>
  </si>
  <si>
    <t>404-1862876-3301918</t>
  </si>
  <si>
    <t>T1srZvGb9</t>
  </si>
  <si>
    <t>D7B5lqmMcn0mR</t>
  </si>
  <si>
    <t>2026-07-15T09:17:57+05:30</t>
  </si>
  <si>
    <t>2026-07-15T12:01:43+05:30</t>
  </si>
  <si>
    <t>2026-07-15T15:01:51+05:30</t>
  </si>
  <si>
    <t>qd5w21sp29kt2px@marketplace.amazon.in</t>
  </si>
  <si>
    <t>171-1082063-4364312</t>
  </si>
  <si>
    <t>T1nM9TGl9</t>
  </si>
  <si>
    <t>Djlpl3m6cl0QR</t>
  </si>
  <si>
    <t>2026-07-14T22:10:34+05:30</t>
  </si>
  <si>
    <t>2026-07-15T11:55:42+05:30</t>
  </si>
  <si>
    <t>2026-07-15T14:55:54+05:30</t>
  </si>
  <si>
    <t>bjtcqwhrkv7r3vr@marketplace.amazon.in</t>
  </si>
  <si>
    <t>Shahjahanpur</t>
  </si>
  <si>
    <t>406-3569035-8047504</t>
  </si>
  <si>
    <t>Tn272pGw9</t>
  </si>
  <si>
    <t>D1Hd0km6c50yR</t>
  </si>
  <si>
    <t>2026-07-14T22:23:11+05:30</t>
  </si>
  <si>
    <t>2026-07-15T11:41:51+05:30</t>
  </si>
  <si>
    <t>2026-07-15T14:42:09+05:30</t>
  </si>
  <si>
    <t>3mx06llw1pqjr6z@marketplace.amazon.in</t>
  </si>
  <si>
    <t>CALAPOR</t>
  </si>
  <si>
    <t>D3Ck0Ym9c80sR</t>
  </si>
  <si>
    <t>405-8878564-6761125</t>
  </si>
  <si>
    <t>TVlFLSd59</t>
  </si>
  <si>
    <t>DPV2SdmBcv0FR</t>
  </si>
  <si>
    <t>2026-07-14T06:51:31+05:30</t>
  </si>
  <si>
    <t>2026-07-15T11:27:49+05:30</t>
  </si>
  <si>
    <t>2026-07-15T14:28:06+05:30</t>
  </si>
  <si>
    <t>hjhp0ggv294p52d@marketplace.amazon.in</t>
  </si>
  <si>
    <t>403-4282667-6849933</t>
  </si>
  <si>
    <t>TVsCzwG49</t>
  </si>
  <si>
    <t>DwPF64mscH07R</t>
  </si>
  <si>
    <t>2026-07-14T23:18:19+05:30</t>
  </si>
  <si>
    <t>2026-07-15T10:59:46+05:30</t>
  </si>
  <si>
    <t>2026-07-15T14:00:02+05:30</t>
  </si>
  <si>
    <t>hb810lygf67nldz@marketplace.amazon.in</t>
  </si>
  <si>
    <t>mulanthuruthy</t>
  </si>
  <si>
    <t>171-0550370-4753969</t>
  </si>
  <si>
    <t>TN6nztGT9</t>
  </si>
  <si>
    <t>Ds45djm0cm0gR</t>
  </si>
  <si>
    <t>2026-07-14T23:39:15+05:30</t>
  </si>
  <si>
    <t>2026-07-15T10:58:46+05:30</t>
  </si>
  <si>
    <t>2026-07-15T13:59:02+05:30</t>
  </si>
  <si>
    <t>th0kvn0g8tn103p@marketplace.amazon.in</t>
  </si>
  <si>
    <t>171-2193363-6902715</t>
  </si>
  <si>
    <t>Tn6dWdGf9</t>
  </si>
  <si>
    <t>DhXMGMmKcm08R</t>
  </si>
  <si>
    <t>2026-07-15T04:38:25+05:30</t>
  </si>
  <si>
    <t>2026-07-15T10:45:54+05:30</t>
  </si>
  <si>
    <t>2026-07-15T13:46:11+05:30</t>
  </si>
  <si>
    <t>90vbyjqlx00v7t6@marketplace.amazon.in</t>
  </si>
  <si>
    <t>406-2296196-9326765</t>
  </si>
  <si>
    <t>TJmMJXxh9</t>
  </si>
  <si>
    <t>DKKdGPmBcK0NR</t>
  </si>
  <si>
    <t>2026-07-12T23:11:45+05:30</t>
  </si>
  <si>
    <t>2026-07-15T10:43:44+05:30</t>
  </si>
  <si>
    <t>2026-07-15T13:43:56+05:30</t>
  </si>
  <si>
    <t>08hjm1q5py2tnkd@marketplace.amazon.in</t>
  </si>
  <si>
    <t>406-8807910-7936360</t>
  </si>
  <si>
    <t>T1GFtKGw9</t>
  </si>
  <si>
    <t>D0XrGKmLcm08R</t>
  </si>
  <si>
    <t>2026-07-15T01:51:27+05:30</t>
  </si>
  <si>
    <t>2026-07-15T10:42:47+05:30</t>
  </si>
  <si>
    <t>2026-07-15T13:43:00+05:30</t>
  </si>
  <si>
    <t>blt0ys1lvpv2mx2@marketplace.amazon.in</t>
  </si>
  <si>
    <t>408-6656673-3779562</t>
  </si>
  <si>
    <t>TGf7wdx29</t>
  </si>
  <si>
    <t>DkmpGVm9cs0cR</t>
  </si>
  <si>
    <t>2026-07-12T19:57:37+05:30</t>
  </si>
  <si>
    <t>2026-07-15T10:38:43+05:30</t>
  </si>
  <si>
    <t>2026-07-15T10:38:46+05:30</t>
  </si>
  <si>
    <t>2026-07-15T11:39:05+05:30</t>
  </si>
  <si>
    <t>nhh6gcy7fh0bsk2@marketplace.amazon.in</t>
  </si>
  <si>
    <t>406-3866976-4349107</t>
  </si>
  <si>
    <t>TnQsZsGs9</t>
  </si>
  <si>
    <t>Dxg6G1m3cy0KR</t>
  </si>
  <si>
    <t>2026-07-15T09:25:32+05:30</t>
  </si>
  <si>
    <t>2026-07-15T10:36:43+05:30</t>
  </si>
  <si>
    <t>2026-07-15T13:36:58+05:30</t>
  </si>
  <si>
    <t>9vg0lc81442hxwc@marketplace.amazon.in</t>
  </si>
  <si>
    <t>171-3188108-3002768</t>
  </si>
  <si>
    <t>TgpD8YGL9</t>
  </si>
  <si>
    <t>DfftGSmHcd0NR</t>
  </si>
  <si>
    <t>2026-07-15T06:23:40+05:30</t>
  </si>
  <si>
    <t>2026-07-15T10:34:46+05:30</t>
  </si>
  <si>
    <t>2026-07-15T11:34:59+05:30</t>
  </si>
  <si>
    <t>wh4x6cnxnhjn3rg@marketplace.amazon.in</t>
  </si>
  <si>
    <t>403-9369297-5776369</t>
  </si>
  <si>
    <t>T1pr5Qss9</t>
  </si>
  <si>
    <t>DLJRGcmMcD0lR</t>
  </si>
  <si>
    <t>2026-07-14T23:18:56+05:30</t>
  </si>
  <si>
    <t>2026-07-15T10:31:43+05:30</t>
  </si>
  <si>
    <t>2026-07-15T13:31:57+05:30</t>
  </si>
  <si>
    <t>gxpx21d26l8dccg@marketplace.amazon.in</t>
  </si>
  <si>
    <t>CONTAI</t>
  </si>
  <si>
    <t>402-7727314-6392359</t>
  </si>
  <si>
    <t>TNhCLvGS9</t>
  </si>
  <si>
    <t>DtkMtBmqcX0kR</t>
  </si>
  <si>
    <t>2026-07-14T23:59:02+05:30</t>
  </si>
  <si>
    <t>2026-07-15T10:22:47+05:30</t>
  </si>
  <si>
    <t>2026-07-15T13:23:00+05:30</t>
  </si>
  <si>
    <t>hjns6jc4ywr3154@marketplace.amazon.in</t>
  </si>
  <si>
    <t>402-3731471-8461923</t>
  </si>
  <si>
    <t>T3WlzsGf9</t>
  </si>
  <si>
    <t>DHmStwmycx0xR</t>
  </si>
  <si>
    <t>2026-07-14T23:47:24+05:30</t>
  </si>
  <si>
    <t>2026-07-15T10:21:46+05:30</t>
  </si>
  <si>
    <t>2026-07-15T13:21:58+05:30</t>
  </si>
  <si>
    <t>l235jj3665bld7z@marketplace.amazon.in</t>
  </si>
  <si>
    <t>Tc3z53sC9</t>
  </si>
  <si>
    <t>DptPtfmVc90YR</t>
  </si>
  <si>
    <t>2026-07-15T10:18:45+05:30</t>
  </si>
  <si>
    <t>2026-07-15T13:18:56+05:30</t>
  </si>
  <si>
    <t>402-9078485-2746700</t>
  </si>
  <si>
    <t>TntgLdGm9</t>
  </si>
  <si>
    <t>DW6gtzmLcg0VR</t>
  </si>
  <si>
    <t>2026-07-15T00:22:42+05:30</t>
  </si>
  <si>
    <t>2026-07-15T10:17:51+05:30</t>
  </si>
  <si>
    <t>2026-07-15T13:18:04+05:30</t>
  </si>
  <si>
    <t>59xllsb4j4bbyyg@marketplace.amazon.in</t>
  </si>
  <si>
    <t>402-8096503-9156356</t>
  </si>
  <si>
    <t>Tg4pmzGf9</t>
  </si>
  <si>
    <t>DLqntWmRcf0FR</t>
  </si>
  <si>
    <t>2026-07-14T16:59:37+05:30</t>
  </si>
  <si>
    <t>2026-07-15T10:10:51+05:30</t>
  </si>
  <si>
    <t>2026-07-15T13:11:03+05:30</t>
  </si>
  <si>
    <t>kc1mw2r0swmhf1x@marketplace.amazon.in</t>
  </si>
  <si>
    <t>AKLERA</t>
  </si>
  <si>
    <t>408-8289396-4941914</t>
  </si>
  <si>
    <t>TNPvScdP9</t>
  </si>
  <si>
    <t>D4bKPDmZcn0zR</t>
  </si>
  <si>
    <t>2026-07-14T08:24:26+05:30</t>
  </si>
  <si>
    <t>2026-07-15T10:05:47+05:30</t>
  </si>
  <si>
    <t>2026-07-15T13:06:01+05:30</t>
  </si>
  <si>
    <t>kt5snrsrjlcgjyc@marketplace.amazon.in</t>
  </si>
  <si>
    <t>171-3404247-0905919</t>
  </si>
  <si>
    <t>T6kwlpGM9</t>
  </si>
  <si>
    <t>Db6pPnm9cT0WR</t>
  </si>
  <si>
    <t>2026-07-15T02:49:43+05:30</t>
  </si>
  <si>
    <t>2026-07-15T10:02:46+05:30</t>
  </si>
  <si>
    <t>2026-07-15T13:03:01+05:30</t>
  </si>
  <si>
    <t>9gdlymzqh8xg7s9@marketplace.amazon.in</t>
  </si>
  <si>
    <t>405-8190133-7141901</t>
  </si>
  <si>
    <t>TN6G8wRM9</t>
  </si>
  <si>
    <t>D1PFPCmXct0DR</t>
  </si>
  <si>
    <t>2026-07-11T13:15:02+05:30</t>
  </si>
  <si>
    <t>2026-07-15T09:55:29+05:30</t>
  </si>
  <si>
    <t>2026-07-15T12:55:44+05:30</t>
  </si>
  <si>
    <t>1yjn9n5dls3p0by@marketplace.amazon.in</t>
  </si>
  <si>
    <t>405-3616379-0533138</t>
  </si>
  <si>
    <t>T6555psF9</t>
  </si>
  <si>
    <t>DyqwPzmlcN0tR</t>
  </si>
  <si>
    <t>2026-07-14T20:25:10+05:30</t>
  </si>
  <si>
    <t>2026-07-15T09:53:44+05:30</t>
  </si>
  <si>
    <t>2026-07-15T12:53:58+05:30</t>
  </si>
  <si>
    <t>rj2hh6hb39bg37m@marketplace.amazon.in</t>
  </si>
  <si>
    <t>404-9031492-4941147</t>
  </si>
  <si>
    <t>TcdBqqGd9</t>
  </si>
  <si>
    <t>DMrLPNm7c801R</t>
  </si>
  <si>
    <t>2026-07-15T07:17:17+05:30</t>
  </si>
  <si>
    <t>2026-07-15T09:53:40+05:30</t>
  </si>
  <si>
    <t>2026-07-15T09:53:43+05:30</t>
  </si>
  <si>
    <t>2026-07-15T10:53:57+05:30</t>
  </si>
  <si>
    <t>1rv41lxrl6w0r49@marketplace.amazon.in</t>
  </si>
  <si>
    <t>171-9712379-3256336</t>
  </si>
  <si>
    <t>TgW4HPxY9</t>
  </si>
  <si>
    <t>DbQsTKmhcV0yR</t>
  </si>
  <si>
    <t>2026-07-12T19:21:16+05:30</t>
  </si>
  <si>
    <t>2026-07-15T09:47:43+05:30</t>
  </si>
  <si>
    <t>2026-07-15T09:47:47+05:30</t>
  </si>
  <si>
    <t>2026-07-15T10:47:59+05:30</t>
  </si>
  <si>
    <t>glwsm9rfzqyh6gc@marketplace.amazon.in</t>
  </si>
  <si>
    <t>408-2990183-6797165</t>
  </si>
  <si>
    <t>TJSnRLLX9</t>
  </si>
  <si>
    <t>D9X2nVmWcl05R</t>
  </si>
  <si>
    <t>2026-07-15T08:26:46+05:30</t>
  </si>
  <si>
    <t>2026-07-15T09:35:44+05:30</t>
  </si>
  <si>
    <t>2026-07-15T09:35:46+05:30</t>
  </si>
  <si>
    <t>2026-07-15T10:35:58+05:30</t>
  </si>
  <si>
    <t>zhx6mj8sp4y1yzb@marketplace.amazon.in</t>
  </si>
  <si>
    <t>403-2759857-3319505</t>
  </si>
  <si>
    <t>TwfpjwJJ9</t>
  </si>
  <si>
    <t>DcChnvmtcb0nR</t>
  </si>
  <si>
    <t>2026-07-13T17:02:04+05:30</t>
  </si>
  <si>
    <t>2026-07-15T09:27:46+05:30</t>
  </si>
  <si>
    <t>2026-07-15T12:28:00+05:30</t>
  </si>
  <si>
    <t>3qr3gjx02xczjyj@marketplace.amazon.in</t>
  </si>
  <si>
    <t>406-4176852-0457144</t>
  </si>
  <si>
    <t>TgKxRmL29</t>
  </si>
  <si>
    <t>D2C9nXmQcb0nR</t>
  </si>
  <si>
    <t>2026-07-15T07:44:28+05:30</t>
  </si>
  <si>
    <t>2026-07-15T09:22:48+05:30</t>
  </si>
  <si>
    <t>2026-07-15T12:23:00+05:30</t>
  </si>
  <si>
    <t>wth0qlb8lnzp5c4@marketplace.amazon.in</t>
  </si>
  <si>
    <t>403-6000280-0037104</t>
  </si>
  <si>
    <t>TgWSwlG39</t>
  </si>
  <si>
    <t>DJQXxrmfc80jR</t>
  </si>
  <si>
    <t>2026-07-14T20:43:45+05:30</t>
  </si>
  <si>
    <t>2026-07-15T09:18:46+05:30</t>
  </si>
  <si>
    <t>2026-07-15T12:18:58+05:30</t>
  </si>
  <si>
    <t>n25ml6g7yp92rv9@marketplace.amazon.in</t>
  </si>
  <si>
    <t>171-6588415-8094763</t>
  </si>
  <si>
    <t>TwtqQ2Gt9</t>
  </si>
  <si>
    <t>D7wlJ7mlcl04R</t>
  </si>
  <si>
    <t>2026-07-14T23:30:14+05:30</t>
  </si>
  <si>
    <t>2026-07-15T08:46:47+05:30</t>
  </si>
  <si>
    <t>2026-07-15T11:47:02+05:30</t>
  </si>
  <si>
    <t>mxsh8cp461tdkzm@marketplace.amazon.in</t>
  </si>
  <si>
    <t>402-1172995-0250722</t>
  </si>
  <si>
    <t>TXzqq2rH9</t>
  </si>
  <si>
    <t>DXDBMvmccV0CR</t>
  </si>
  <si>
    <t>2026-07-13T22:28:07+05:30</t>
  </si>
  <si>
    <t>2026-07-15T08:39:45+05:30</t>
  </si>
  <si>
    <t>2026-07-15T11:39:59+05:30</t>
  </si>
  <si>
    <t>pzmz2kj0syh7mq2@marketplace.amazon.in</t>
  </si>
  <si>
    <t>PUTTUR</t>
  </si>
  <si>
    <t>408-5432047-4895522</t>
  </si>
  <si>
    <t>TgylRhsf9</t>
  </si>
  <si>
    <t>DlH2Ffm1cl0lR</t>
  </si>
  <si>
    <t>2026-07-13T08:31:19+05:30</t>
  </si>
  <si>
    <t>2026-07-15T04:48:54+05:30</t>
  </si>
  <si>
    <t>2026-07-15T07:49:18+05:30</t>
  </si>
  <si>
    <t>fgzdmbqd17lb6th@marketplace.amazon.in</t>
  </si>
  <si>
    <t>405-3620522-7417137</t>
  </si>
  <si>
    <t>TgP7qKyR4</t>
  </si>
  <si>
    <t>D6l4Ddmqck0KR</t>
  </si>
  <si>
    <t>2026-07-07T16:23:48+05:30</t>
  </si>
  <si>
    <t>2026-07-15T04:45:47+05:30</t>
  </si>
  <si>
    <t>2026-07-15T07:45:59+05:30</t>
  </si>
  <si>
    <t>fc3rf2kjq6wkw51@marketplace.amazon.in</t>
  </si>
  <si>
    <t>407-4616476-9233931</t>
  </si>
  <si>
    <t>T30Njdr09</t>
  </si>
  <si>
    <t>DWlDD1mCck0KR</t>
  </si>
  <si>
    <t>2026-07-14T00:00:04+05:30</t>
  </si>
  <si>
    <t>2026-07-15T04:40:42+05:30</t>
  </si>
  <si>
    <t>2026-07-15T07:40:55+05:30</t>
  </si>
  <si>
    <t>ml8sxvhck403lyf@marketplace.amazon.in</t>
  </si>
  <si>
    <t>Dombivli ( East ) KALYAN</t>
  </si>
  <si>
    <t>D4lwDbmKck0KR</t>
  </si>
  <si>
    <t>402-3078999-4701933</t>
  </si>
  <si>
    <t>T1nmQhJT9</t>
  </si>
  <si>
    <t>Dv0sDGm4cr0rR</t>
  </si>
  <si>
    <t>2026-07-13T11:53:21+05:30</t>
  </si>
  <si>
    <t>2026-07-15T04:39:47+05:30</t>
  </si>
  <si>
    <t>2026-07-15T07:39:59+05:30</t>
  </si>
  <si>
    <t>n4cwnqb1pw86ft8@marketplace.amazon.in</t>
  </si>
  <si>
    <t>406-9910773-9909948</t>
  </si>
  <si>
    <t>TCz5YhG89</t>
  </si>
  <si>
    <t>D6l0DTmrck0KR</t>
  </si>
  <si>
    <t>2026-07-14T22:31:42+05:30</t>
  </si>
  <si>
    <t>2026-07-15T04:32:44+05:30</t>
  </si>
  <si>
    <t>2026-07-15T07:32:56+05:30</t>
  </si>
  <si>
    <t>pnjyy3cn2vx38b8@marketplace.amazon.in</t>
  </si>
  <si>
    <t>405-1889915-0194717</t>
  </si>
  <si>
    <t>TgCz0ssW9</t>
  </si>
  <si>
    <t>DMpvD1m0cP02R</t>
  </si>
  <si>
    <t>2026-07-14T19:15:17+05:30</t>
  </si>
  <si>
    <t>2026-07-15T04:25:46+05:30</t>
  </si>
  <si>
    <t>2026-07-15T07:25:59+05:30</t>
  </si>
  <si>
    <t>p6jwwyr4f1yn2f4@marketplace.amazon.in</t>
  </si>
  <si>
    <t>MAJGAON</t>
  </si>
  <si>
    <t>171-8431649-6326747</t>
  </si>
  <si>
    <t>TnMsFzGx9</t>
  </si>
  <si>
    <t>Dl1jYxmwcb01R</t>
  </si>
  <si>
    <t>2026-07-15T00:22:53+05:30</t>
  </si>
  <si>
    <t>2026-07-15T04:24:34+05:30</t>
  </si>
  <si>
    <t>2026-07-15T07:24:46+05:30</t>
  </si>
  <si>
    <t>rqb52k3sdx7jzmt@marketplace.amazon.in</t>
  </si>
  <si>
    <t>403-6567881-1823528</t>
  </si>
  <si>
    <t>Tcl14wsK9</t>
  </si>
  <si>
    <t>D7FYyNmBcD0PR</t>
  </si>
  <si>
    <t>2026-07-14T13:17:10+05:30</t>
  </si>
  <si>
    <t>2026-07-15T04:13:48+05:30</t>
  </si>
  <si>
    <t>2026-07-15T07:14:00+05:30</t>
  </si>
  <si>
    <t>wzb27rbf5mz2mqk@marketplace.amazon.in</t>
  </si>
  <si>
    <t>Perumbavoor</t>
  </si>
  <si>
    <t>408-5217837-6873962</t>
  </si>
  <si>
    <t>TCwG3Zdr9</t>
  </si>
  <si>
    <t>DBF0ysmscd0PR</t>
  </si>
  <si>
    <t>2026-07-13T16:41:40+05:30</t>
  </si>
  <si>
    <t>2026-07-15T04:06:53+05:30</t>
  </si>
  <si>
    <t>2026-07-15T07:07:07+05:30</t>
  </si>
  <si>
    <t>3czpmpp1d4lpqcf@marketplace.amazon.in</t>
  </si>
  <si>
    <t>AMRITSAR</t>
  </si>
  <si>
    <t>DhFcysmscd0PR</t>
  </si>
  <si>
    <t>404-9042821-9082724</t>
  </si>
  <si>
    <t>TJq0qhrj9</t>
  </si>
  <si>
    <t>DHnYycmtc604R</t>
  </si>
  <si>
    <t>2026-07-13T22:03:41+05:30</t>
  </si>
  <si>
    <t>2026-07-15T04:03:45+05:30</t>
  </si>
  <si>
    <t>2026-07-15T07:03:58+05:30</t>
  </si>
  <si>
    <t>82bwn49jrm4mmk8@marketplace.amazon.in</t>
  </si>
  <si>
    <t>403-7179437-4639509</t>
  </si>
  <si>
    <t>TcCsGQsf9</t>
  </si>
  <si>
    <t>D82gyGmncq0LR</t>
  </si>
  <si>
    <t>2026-07-14T18:18:18+05:30</t>
  </si>
  <si>
    <t>2026-07-15T04:02:45+05:30</t>
  </si>
  <si>
    <t>2026-07-15T07:02:59+05:30</t>
  </si>
  <si>
    <t>dp9cwntc9m1b0kw@marketplace.amazon.in</t>
  </si>
  <si>
    <t>407-5210164-8042715</t>
  </si>
  <si>
    <t>TNvrTys59</t>
  </si>
  <si>
    <t>DZzKyTm6cj0YR</t>
  </si>
  <si>
    <t>2026-07-14T16:42:54+05:30</t>
  </si>
  <si>
    <t>2026-07-15T03:58:47+05:30</t>
  </si>
  <si>
    <t>2026-07-15T06:58:59+05:30</t>
  </si>
  <si>
    <t>1j3tswmq4z4smpv@marketplace.amazon.in</t>
  </si>
  <si>
    <t>407-4443101-8048310</t>
  </si>
  <si>
    <t>TnVJ2HRf9</t>
  </si>
  <si>
    <t>DJFHwBmfcq08R</t>
  </si>
  <si>
    <t>2026-07-12T13:14:36+05:30</t>
  </si>
  <si>
    <t>2026-07-15T03:55:49+05:30</t>
  </si>
  <si>
    <t>2026-07-15T06:56:01+05:30</t>
  </si>
  <si>
    <t>plksbgf862vg53d@marketplace.amazon.in</t>
  </si>
  <si>
    <t>BALLARI</t>
  </si>
  <si>
    <t>402-2647555-9093159</t>
  </si>
  <si>
    <t>T3ppcbrF9</t>
  </si>
  <si>
    <t>Dvn4ycmRc604R</t>
  </si>
  <si>
    <t>2026-07-13T17:59:50+05:30</t>
  </si>
  <si>
    <t>2026-07-15T03:51:47+05:30</t>
  </si>
  <si>
    <t>2026-07-15T06:51:59+05:30</t>
  </si>
  <si>
    <t>93230r7wr7db226@marketplace.amazon.in</t>
  </si>
  <si>
    <t>DALTONGANJ</t>
  </si>
  <si>
    <t>405-7425910-0424303</t>
  </si>
  <si>
    <t>TCNv02d89</t>
  </si>
  <si>
    <t>DvT3wkmKcs0GR</t>
  </si>
  <si>
    <t>2026-07-14T09:24:57+05:30</t>
  </si>
  <si>
    <t>2026-07-15T03:48:46+05:30</t>
  </si>
  <si>
    <t>2026-07-15T06:48:58+05:30</t>
  </si>
  <si>
    <t>6p5xhhc7t286p56@marketplace.amazon.in</t>
  </si>
  <si>
    <t>402-5760914-9900342</t>
  </si>
  <si>
    <t>TGn4vQs49</t>
  </si>
  <si>
    <t>DF7nw2mZc30XR</t>
  </si>
  <si>
    <t>2026-07-13T15:35:34+05:30</t>
  </si>
  <si>
    <t>2026-07-15T03:47:00+05:30</t>
  </si>
  <si>
    <t>2026-07-15T06:47:17+05:30</t>
  </si>
  <si>
    <t>m5y7sv4cpmc3n2w@marketplace.amazon.in</t>
  </si>
  <si>
    <t>KHEDA</t>
  </si>
  <si>
    <t>408-7212598-4313966</t>
  </si>
  <si>
    <t>Twjc0GqH9</t>
  </si>
  <si>
    <t>Dp6Pw3mHcn0PR</t>
  </si>
  <si>
    <t>2026-07-08T13:03:36+05:30</t>
  </si>
  <si>
    <t>2026-07-15T03:40:53+05:30</t>
  </si>
  <si>
    <t>2026-07-15T06:41:12+05:30</t>
  </si>
  <si>
    <t>q464w0xsgnpgxz9@marketplace.amazon.in</t>
  </si>
  <si>
    <t>403-7272524-8425137</t>
  </si>
  <si>
    <t>T3yczwG79</t>
  </si>
  <si>
    <t>DL1TB6mhcn0QR</t>
  </si>
  <si>
    <t>2026-07-15T00:04:27+05:30</t>
  </si>
  <si>
    <t>2026-07-15T03:33:47+05:30</t>
  </si>
  <si>
    <t>2026-07-15T06:34:00+05:30</t>
  </si>
  <si>
    <t>t1x0xvfx51mlj6b@marketplace.amazon.in</t>
  </si>
  <si>
    <t>403-3975659-9614754</t>
  </si>
  <si>
    <t>TgnK9lPy9</t>
  </si>
  <si>
    <t>DmtDBDmjch02R</t>
  </si>
  <si>
    <t>2026-07-10T13:26:16+05:30</t>
  </si>
  <si>
    <t>2026-07-15T03:31:43+05:30</t>
  </si>
  <si>
    <t>2026-07-15T06:31:56+05:30</t>
  </si>
  <si>
    <t>58j91hv6lt940hy@marketplace.amazon.in</t>
  </si>
  <si>
    <t>GAJWEL</t>
  </si>
  <si>
    <t>408-4130555-9373143</t>
  </si>
  <si>
    <t>Tg8gl3r09</t>
  </si>
  <si>
    <t>DDwT9xm0c90JR</t>
  </si>
  <si>
    <t>2026-07-13T21:56:31+05:30</t>
  </si>
  <si>
    <t>2026-07-15T03:11:54+05:30</t>
  </si>
  <si>
    <t>2026-07-15T06:12:08+05:30</t>
  </si>
  <si>
    <t>3t47dbqmcgvcg9t@marketplace.amazon.in</t>
  </si>
  <si>
    <t>SONAPUR</t>
  </si>
  <si>
    <t>404-1452096-8181168</t>
  </si>
  <si>
    <t>TNP9PSxj9</t>
  </si>
  <si>
    <t>DGwM9KmccF0GR</t>
  </si>
  <si>
    <t>2026-07-12T22:41:51+05:30</t>
  </si>
  <si>
    <t>2026-07-15T03:09:51+05:30</t>
  </si>
  <si>
    <t>2026-07-15T06:10:09+05:30</t>
  </si>
  <si>
    <t>k50fp95htgxc2vr@marketplace.amazon.in</t>
  </si>
  <si>
    <t>403-2587220-9905127</t>
  </si>
  <si>
    <t>TXpB1wsQ9</t>
  </si>
  <si>
    <t>DNdz9rmvct0QR</t>
  </si>
  <si>
    <t>2026-07-14T17:17:20+05:30</t>
  </si>
  <si>
    <t>2026-07-15T03:09:46+05:30</t>
  </si>
  <si>
    <t>2026-07-15T06:09:57+05:30</t>
  </si>
  <si>
    <t>kq65w587d8vgqsl@marketplace.amazon.in</t>
  </si>
  <si>
    <t>SHAHBAD</t>
  </si>
  <si>
    <t>406-6607204-0710761</t>
  </si>
  <si>
    <t>T3VpNsrs9</t>
  </si>
  <si>
    <t>DpVz49mGcz0HR</t>
  </si>
  <si>
    <t>2026-07-13T18:18:33+05:30</t>
  </si>
  <si>
    <t>2026-07-15T02:52:42+05:30</t>
  </si>
  <si>
    <t>2026-07-15T02:52:48+05:30</t>
  </si>
  <si>
    <t>2026-07-15T03:53:01+05:30</t>
  </si>
  <si>
    <t>pb7tzb6nmlpq6x4@marketplace.amazon.in</t>
  </si>
  <si>
    <t>404-6921133-5620328</t>
  </si>
  <si>
    <t>TgJhb2dN9</t>
  </si>
  <si>
    <t>DQsybkmJcS0dR</t>
  </si>
  <si>
    <t>2026-07-13T23:33:39+05:30</t>
  </si>
  <si>
    <t>2026-07-15T02:18:47+05:30</t>
  </si>
  <si>
    <t>2026-07-15T05:19:01+05:30</t>
  </si>
  <si>
    <t>gg8vb09xwpzx8zm@marketplace.amazon.in</t>
  </si>
  <si>
    <t>403-1251529-1911526</t>
  </si>
  <si>
    <t>TG9ld6s19</t>
  </si>
  <si>
    <t>DqrZkpmSc60mR</t>
  </si>
  <si>
    <t>2026-07-14T17:22:58+05:30</t>
  </si>
  <si>
    <t>2026-07-15T02:01:44+05:30</t>
  </si>
  <si>
    <t>2026-07-15T05:01:55+05:30</t>
  </si>
  <si>
    <t>jvpgqw7dqt83qdr@marketplace.amazon.in</t>
  </si>
  <si>
    <t>AMRAVATI</t>
  </si>
  <si>
    <t>403-4191983-4491534</t>
  </si>
  <si>
    <t>T1PvHDs29</t>
  </si>
  <si>
    <t>Djp3kTm0cP05R</t>
  </si>
  <si>
    <t>2026-07-14T12:11:25+05:30</t>
  </si>
  <si>
    <t>2026-07-15T01:56:46+05:30</t>
  </si>
  <si>
    <t>2026-07-15T04:57:04+05:30</t>
  </si>
  <si>
    <t>f0fzkm2rmvwynwj@marketplace.amazon.in</t>
  </si>
  <si>
    <t>406-8089344-3623525</t>
  </si>
  <si>
    <t>TXVqw0G29</t>
  </si>
  <si>
    <t>DpTGNBm4cw0nR</t>
  </si>
  <si>
    <t>2026-07-14T22:42:04+05:30</t>
  </si>
  <si>
    <t>2026-07-15T01:42:44+05:30</t>
  </si>
  <si>
    <t>2026-07-15T04:42:57+05:30</t>
  </si>
  <si>
    <t>ss28nrbnxgwl230@marketplace.amazon.in</t>
  </si>
  <si>
    <t>2026-07-15T08:00:00+05:30</t>
  </si>
  <si>
    <t>404-1926153-7802713</t>
  </si>
  <si>
    <t>Tngt9kG59</t>
  </si>
  <si>
    <t>DTbKRfmlc80fR</t>
  </si>
  <si>
    <t>2026-07-14T21:31:18+05:30</t>
  </si>
  <si>
    <t>2026-07-15T01:25:47+05:30</t>
  </si>
  <si>
    <t>2026-07-15T04:25:59+05:30</t>
  </si>
  <si>
    <t>nrhhdzn7rhc8dnb@marketplace.amazon.in</t>
  </si>
  <si>
    <t>407-0167132-5788320</t>
  </si>
  <si>
    <t>TG0p7Bs39</t>
  </si>
  <si>
    <t>DksNRzmWcL06R</t>
  </si>
  <si>
    <t>2026-07-14T19:10:20+05:30</t>
  </si>
  <si>
    <t>2026-07-15T01:19:43+05:30</t>
  </si>
  <si>
    <t>2026-07-15T04:19:54+05:30</t>
  </si>
  <si>
    <t>jwxwm4j4m6tv4vw@marketplace.amazon.in</t>
  </si>
  <si>
    <t>404-8722687-2680301</t>
  </si>
  <si>
    <t>TnCymRsz9</t>
  </si>
  <si>
    <t>D4Dth2jscr0MR</t>
  </si>
  <si>
    <t>2026-07-14T20:23:14+05:30</t>
  </si>
  <si>
    <t>2026-07-15T01:12:43+05:30</t>
  </si>
  <si>
    <t>2026-07-15T04:12:55+05:30</t>
  </si>
  <si>
    <t>01hx2h03cmlslwd@marketplace.amazon.in</t>
  </si>
  <si>
    <t>408-1700307-1449121</t>
  </si>
  <si>
    <t>TXk1kpG29</t>
  </si>
  <si>
    <t>DJx8hNj0cs0RR</t>
  </si>
  <si>
    <t>2026-07-14T20:43:17+05:30</t>
  </si>
  <si>
    <t>2026-07-15T01:10:48+05:30</t>
  </si>
  <si>
    <t>2026-07-15T04:11:04+05:30</t>
  </si>
  <si>
    <t>408-5428539-2017103</t>
  </si>
  <si>
    <t>TGYNxNJD9</t>
  </si>
  <si>
    <t>DYLxhBjjcx0zR</t>
  </si>
  <si>
    <t>2026-07-13T14:01:57+05:30</t>
  </si>
  <si>
    <t>2026-07-15T01:09:43+05:30</t>
  </si>
  <si>
    <t>2026-07-15T04:09:55+05:30</t>
  </si>
  <si>
    <t>4ctl9lbdt310my2@marketplace.amazon.in</t>
  </si>
  <si>
    <t>404-3715467-4791540</t>
  </si>
  <si>
    <t>Tw62fBsL9</t>
  </si>
  <si>
    <t>DnnPfMjDcb0dR</t>
  </si>
  <si>
    <t>2026-07-14T19:20:21+05:30</t>
  </si>
  <si>
    <t>2026-07-15T00:47:44+05:30</t>
  </si>
  <si>
    <t>2026-07-15T00:47:47+05:30</t>
  </si>
  <si>
    <t>2026-07-15T01:48:01+05:30</t>
  </si>
  <si>
    <t>xm9stqq43jc3chz@marketplace.amazon.in</t>
  </si>
  <si>
    <t>405-7422124-4423528</t>
  </si>
  <si>
    <t>TwYcDdvY4</t>
  </si>
  <si>
    <t>DB4QjMj6ck0vR</t>
  </si>
  <si>
    <t>2026-07-09T06:25:18+05:30</t>
  </si>
  <si>
    <t>2026-07-15T00:41:44+05:30</t>
  </si>
  <si>
    <t>2026-07-15T03:41:56+05:30</t>
  </si>
  <si>
    <t>pxb00f6yrlqmp49@marketplace.amazon.in</t>
  </si>
  <si>
    <t>HOSUR</t>
  </si>
  <si>
    <t>403-6803588-6210767</t>
  </si>
  <si>
    <t>TchTn6sf9</t>
  </si>
  <si>
    <t>Djm3jRjYcN0YR</t>
  </si>
  <si>
    <t>2026-07-14T17:48:47+05:30</t>
  </si>
  <si>
    <t>2026-07-15T00:39:48+05:30</t>
  </si>
  <si>
    <t>2026-07-15T03:40:04+05:30</t>
  </si>
  <si>
    <t>gdjw7t21l1czwqm@marketplace.amazon.in</t>
  </si>
  <si>
    <t>METTUPALAYAM COIMBATORE DISTRICT</t>
  </si>
  <si>
    <t>406-4527131-8545962</t>
  </si>
  <si>
    <t>TN1Gqbdq9</t>
  </si>
  <si>
    <t>Drc6jTjBc70VR</t>
  </si>
  <si>
    <t>2026-07-14T12:44:56+05:30</t>
  </si>
  <si>
    <t>2026-07-15T00:34:45+05:30</t>
  </si>
  <si>
    <t>2026-07-15T03:34:57+05:30</t>
  </si>
  <si>
    <t>k840dttdy4s6sb1@marketplace.amazon.in</t>
  </si>
  <si>
    <t>DAVANAGERE</t>
  </si>
  <si>
    <t>171-1025780-4380328</t>
  </si>
  <si>
    <t>TJlHWHdM9</t>
  </si>
  <si>
    <t>DqL0jRjNck0hR</t>
  </si>
  <si>
    <t>2026-07-14T10:19:11+05:30</t>
  </si>
  <si>
    <t>2026-07-15T00:33:46+05:30</t>
  </si>
  <si>
    <t>2026-07-15T03:33:59+05:30</t>
  </si>
  <si>
    <t>907zjfn8xfmq66m@marketplace.amazon.in</t>
  </si>
  <si>
    <t>403-8068144-6052364</t>
  </si>
  <si>
    <t>T6pHxts09</t>
  </si>
  <si>
    <t>Dpc3j8jRcD0jR</t>
  </si>
  <si>
    <t>2026-07-14T16:48:02+05:30</t>
  </si>
  <si>
    <t>2026-07-15T00:33:42+05:30</t>
  </si>
  <si>
    <t>2026-07-15T00:33:45+05:30</t>
  </si>
  <si>
    <t>2026-07-15T01:33:55+05:30</t>
  </si>
  <si>
    <t>pncqm3hc210rs9n@marketplace.amazon.in</t>
  </si>
  <si>
    <t>171-2006504-4271504</t>
  </si>
  <si>
    <t>T6RHzVJQ9</t>
  </si>
  <si>
    <t>DYjVZYj5cc0dR</t>
  </si>
  <si>
    <t>2026-07-13T09:43:23+05:30</t>
  </si>
  <si>
    <t>2026-07-15T00:28:47+05:30</t>
  </si>
  <si>
    <t>2026-07-15T03:28:59+05:30</t>
  </si>
  <si>
    <t>scwxwwgtzfw3dy1@marketplace.amazon.in</t>
  </si>
  <si>
    <t>Kurnool</t>
  </si>
  <si>
    <t>403-1329959-6520321</t>
  </si>
  <si>
    <t>TgdsbjGY9</t>
  </si>
  <si>
    <t>DYjkZFj9cM0dR</t>
  </si>
  <si>
    <t>2026-07-14T21:34:20+05:30</t>
  </si>
  <si>
    <t>2026-07-15T00:20:44+05:30</t>
  </si>
  <si>
    <t>2026-07-15T00:20:47+05:30</t>
  </si>
  <si>
    <t>2026-07-15T01:20:58+05:30</t>
  </si>
  <si>
    <t>wlr00vwcwhb3074@marketplace.amazon.in</t>
  </si>
  <si>
    <t>405-3038363-0077920</t>
  </si>
  <si>
    <t>TgBxcCsY9</t>
  </si>
  <si>
    <t>DBjFZGjcc90LR</t>
  </si>
  <si>
    <t>2026-07-14T16:17:36+05:30</t>
  </si>
  <si>
    <t>2026-07-15T00:20:45+05:30</t>
  </si>
  <si>
    <t>2026-07-15T01:21:00+05:30</t>
  </si>
  <si>
    <t>rflc9v45z3jzwpn@marketplace.amazon.in</t>
  </si>
  <si>
    <t>MANCHERIAL</t>
  </si>
  <si>
    <t>406-6075669-3747533</t>
  </si>
  <si>
    <t>TN4ZWnsF9</t>
  </si>
  <si>
    <t>DTYLZkj6c30rR</t>
  </si>
  <si>
    <t>2026-07-14T18:41:12+05:30</t>
  </si>
  <si>
    <t>2026-07-15T00:13:44+05:30</t>
  </si>
  <si>
    <t>2026-07-15T03:13:57+05:30</t>
  </si>
  <si>
    <t>sd18lcnsx9n5rms@marketplace.amazon.in</t>
  </si>
  <si>
    <t>406-4784842-2055518</t>
  </si>
  <si>
    <t>TXwy1Zs59</t>
  </si>
  <si>
    <t>DPNLqrjfcn0bR</t>
  </si>
  <si>
    <t>2026-07-14T17:59:33+05:30</t>
  </si>
  <si>
    <t>2026-07-15T00:10:42+05:30</t>
  </si>
  <si>
    <t>2026-07-15T03:10:55+05:30</t>
  </si>
  <si>
    <t>qjg7rtq9jdjx6xs@marketplace.amazon.in</t>
  </si>
  <si>
    <t>BIDAR</t>
  </si>
  <si>
    <t>406-4958264-5362710</t>
  </si>
  <si>
    <t>TJV53PsC9</t>
  </si>
  <si>
    <t>DtN6qcjPcn0bR</t>
  </si>
  <si>
    <t>2026-07-14T16:18:09+05:30</t>
  </si>
  <si>
    <t>2026-07-15T00:06:47+05:30</t>
  </si>
  <si>
    <t>2026-07-15T03:07:00+05:30</t>
  </si>
  <si>
    <t>8mrkz96t0099r9k@marketplace.amazon.in</t>
  </si>
  <si>
    <t>THRIPPUNITHURA</t>
  </si>
  <si>
    <t>407-1659199-9745113</t>
  </si>
  <si>
    <t>T1QGhldX9</t>
  </si>
  <si>
    <t>DsVdqsjgcZ0pR</t>
  </si>
  <si>
    <t>2026-07-14T15:35:42+05:30</t>
  </si>
  <si>
    <t>2026-07-15T00:06:46+05:30</t>
  </si>
  <si>
    <t>2026-07-15T03:06:59+05:30</t>
  </si>
  <si>
    <t>hw91znt4817cpf5@marketplace.amazon.in</t>
  </si>
  <si>
    <t>407-1303307-2081948</t>
  </si>
  <si>
    <t>TgmdCNrG9</t>
  </si>
  <si>
    <t>DMs3qzj6cp0XR</t>
  </si>
  <si>
    <t>2026-07-13T21:55:02+05:30</t>
  </si>
  <si>
    <t>2026-07-15T00:03:46+05:30</t>
  </si>
  <si>
    <t>2026-07-15T03:04:01+05:30</t>
  </si>
  <si>
    <t>twc0f26p4vpjk3q@marketplace.amazon.in</t>
  </si>
  <si>
    <t>404-0166859-9928330</t>
  </si>
  <si>
    <t>Tg3T0xsL9</t>
  </si>
  <si>
    <t>DG1X54jTcs0KR</t>
  </si>
  <si>
    <t>2026-07-14T19:15:05+05:30</t>
  </si>
  <si>
    <t>2026-07-14T23:51:43+05:30</t>
  </si>
  <si>
    <t>2026-07-15T02:51:54+05:30</t>
  </si>
  <si>
    <t>st4rq46s5w5w3kw@marketplace.amazon.in</t>
  </si>
  <si>
    <t>171-2418136-3284302</t>
  </si>
  <si>
    <t>TclJbBGY9</t>
  </si>
  <si>
    <t>DKhX5YjFch01R</t>
  </si>
  <si>
    <t>2026-07-14T21:12:30+05:30</t>
  </si>
  <si>
    <t>2026-07-14T23:49:42+05:30</t>
  </si>
  <si>
    <t>2026-07-15T02:49:53+05:30</t>
  </si>
  <si>
    <t>vcczphpzmn53gcc@marketplace.amazon.in</t>
  </si>
  <si>
    <t>402-3344416-2658705</t>
  </si>
  <si>
    <t>T15FPGsT9</t>
  </si>
  <si>
    <t>DrgJ58jhcb0GR</t>
  </si>
  <si>
    <t>2026-07-14T18:00:47+05:30</t>
  </si>
  <si>
    <t>2026-07-14T23:46:44+05:30</t>
  </si>
  <si>
    <t>2026-07-15T02:46:57+05:30</t>
  </si>
  <si>
    <t>yn7j09r0j57qq9v@marketplace.amazon.in</t>
  </si>
  <si>
    <t>408-5733834-0193142</t>
  </si>
  <si>
    <t>T3zcKdsz9</t>
  </si>
  <si>
    <t>DxWy5zjbcY0JR</t>
  </si>
  <si>
    <t>2026-07-14T21:43:26+05:30</t>
  </si>
  <si>
    <t>2026-07-14T23:45:49+05:30</t>
  </si>
  <si>
    <t>2026-07-14T23:45:53+05:30</t>
  </si>
  <si>
    <t>2026-07-15T00:46:07+05:30</t>
  </si>
  <si>
    <t>g1q2q63zfq0734b@marketplace.amazon.in</t>
  </si>
  <si>
    <t>171-9814917-7865908</t>
  </si>
  <si>
    <t>TCD0y8GM9</t>
  </si>
  <si>
    <t>D1KvgHjlcV06R</t>
  </si>
  <si>
    <t>2026-07-14T22:12:08+05:30</t>
  </si>
  <si>
    <t>2026-07-14T23:38:46+05:30</t>
  </si>
  <si>
    <t>2026-07-15T02:39:00+05:30</t>
  </si>
  <si>
    <t>h9g78my3gbn4xl7@marketplace.amazon.in</t>
  </si>
  <si>
    <t>406-6144787-1381143</t>
  </si>
  <si>
    <t>Tw2NcgsM9</t>
  </si>
  <si>
    <t>DfmjgMjdcF0fR</t>
  </si>
  <si>
    <t>2026-07-14T16:17:11+05:30</t>
  </si>
  <si>
    <t>2026-07-14T23:33:44+05:30</t>
  </si>
  <si>
    <t>2026-07-14T23:33:46+05:30</t>
  </si>
  <si>
    <t>2026-07-15T00:33:57+05:30</t>
  </si>
  <si>
    <t>qyv93k85jfcnhzg@marketplace.amazon.in</t>
  </si>
  <si>
    <t>407-4753038-6604317</t>
  </si>
  <si>
    <t>TG2Nj7sy9</t>
  </si>
  <si>
    <t>Dx5h8qjXc10sR</t>
  </si>
  <si>
    <t>2026-07-11T10:27:05+05:30</t>
  </si>
  <si>
    <t>2026-07-14T23:20:42+05:30</t>
  </si>
  <si>
    <t>2026-07-14T23:20:45+05:30</t>
  </si>
  <si>
    <t>2026-07-15T00:20:58+05:30</t>
  </si>
  <si>
    <t>wf4kjjswzsj9tmg@marketplace.amazon.in</t>
  </si>
  <si>
    <t>171-8713203-9406732</t>
  </si>
  <si>
    <t>TgYgrCrf9</t>
  </si>
  <si>
    <t>DDqqg1jNcn0xR</t>
  </si>
  <si>
    <t>2026-07-13T19:22:17+05:30</t>
  </si>
  <si>
    <t>2026-07-14T23:17:45+05:30</t>
  </si>
  <si>
    <t>2026-07-15T02:17:57+05:30</t>
  </si>
  <si>
    <t>gf26c9w2rfshjr8@marketplace.amazon.in</t>
  </si>
  <si>
    <t>SURYAPET</t>
  </si>
  <si>
    <t>407-2614979-0691534</t>
  </si>
  <si>
    <t>TGLSPHsK9</t>
  </si>
  <si>
    <t>DrvV8Wjscx0VR</t>
  </si>
  <si>
    <t>2026-07-14T17:28:29+05:30</t>
  </si>
  <si>
    <t>2026-07-14T23:15:41+05:30</t>
  </si>
  <si>
    <t>2026-07-14T23:15:44+05:30</t>
  </si>
  <si>
    <t>2026-07-15T00:15:54+05:30</t>
  </si>
  <si>
    <t>rp8mt9q84jkqmpk@marketplace.amazon.in</t>
  </si>
  <si>
    <t>407-1651197-6904322</t>
  </si>
  <si>
    <t>Tc1BqtsC9</t>
  </si>
  <si>
    <t>DLWF84jxcQ05R</t>
  </si>
  <si>
    <t>2026-07-14T21:28:37+05:30</t>
  </si>
  <si>
    <t>2026-07-14T23:13:47+05:30</t>
  </si>
  <si>
    <t>2026-07-15T02:13:59+05:30</t>
  </si>
  <si>
    <t>24y1z83yh1wc8v5@marketplace.amazon.in</t>
  </si>
  <si>
    <t>403-3648355-3387561</t>
  </si>
  <si>
    <t>TwkyfHsp9</t>
  </si>
  <si>
    <t>DnmM8mjvch0wR</t>
  </si>
  <si>
    <t>2026-07-14T19:51:16+05:30</t>
  </si>
  <si>
    <t>2026-07-14T23:12:42+05:30</t>
  </si>
  <si>
    <t>2026-07-15T02:12:53+05:30</t>
  </si>
  <si>
    <t>nm8b96wktrst400@marketplace.amazon.in</t>
  </si>
  <si>
    <t>406-5516194-7177919</t>
  </si>
  <si>
    <t>Twdq7LsH9</t>
  </si>
  <si>
    <t>DwwfXCjTcf0BR</t>
  </si>
  <si>
    <t>2026-07-14T19:00:34+05:30</t>
  </si>
  <si>
    <t>2026-07-14T22:54:49+05:30</t>
  </si>
  <si>
    <t>2026-07-15T01:55:01+05:30</t>
  </si>
  <si>
    <t>2rxd69yyy6m8vk8@marketplace.amazon.in</t>
  </si>
  <si>
    <t>403-3877653-7304343</t>
  </si>
  <si>
    <t>Tw0XNYsR9</t>
  </si>
  <si>
    <t>D056CFjHcd0hR</t>
  </si>
  <si>
    <t>2026-07-12T22:31:51+05:30</t>
  </si>
  <si>
    <t>2026-07-14T22:47:50+05:30</t>
  </si>
  <si>
    <t>2026-07-15T01:48:03+05:30</t>
  </si>
  <si>
    <t>26l5v54n9sxyvqs@marketplace.amazon.in</t>
  </si>
  <si>
    <t>406-8954575-7876342</t>
  </si>
  <si>
    <t>Tg9N9ZGV9</t>
  </si>
  <si>
    <t>D7LfXzjycc07R</t>
  </si>
  <si>
    <t>2026-07-14T21:28:09+05:30</t>
  </si>
  <si>
    <t>2026-07-14T22:46:43+05:30</t>
  </si>
  <si>
    <t>2026-07-14T22:46:46+05:30</t>
  </si>
  <si>
    <t>2026-07-14T23:46:58+05:30</t>
  </si>
  <si>
    <t>ynkbpx41k9bgbg3@marketplace.amazon.in</t>
  </si>
  <si>
    <t>408-3475975-6425105</t>
  </si>
  <si>
    <t>T1zChls39</t>
  </si>
  <si>
    <t>D4nkpBj6cg0dR</t>
  </si>
  <si>
    <t>2026-07-14T20:19:00+05:30</t>
  </si>
  <si>
    <t>2026-07-14T22:14:42+05:30</t>
  </si>
  <si>
    <t>2026-07-14T22:14:46+05:30</t>
  </si>
  <si>
    <t>2026-07-14T23:14:59+05:30</t>
  </si>
  <si>
    <t>x51lbfzv0yr77vh@marketplace.amazon.in</t>
  </si>
  <si>
    <t>402-6569115-1200305</t>
  </si>
  <si>
    <t>TcqKlbsD9</t>
  </si>
  <si>
    <t>DF2wWljccv0BR</t>
  </si>
  <si>
    <t>2026-07-14T19:01:49+05:30</t>
  </si>
  <si>
    <t>2026-07-14T22:04:43+05:30</t>
  </si>
  <si>
    <t>2026-07-15T01:04:55+05:30</t>
  </si>
  <si>
    <t>3qh6vkqmg56637x@marketplace.amazon.in</t>
  </si>
  <si>
    <t>NEMILI</t>
  </si>
  <si>
    <t>171-6631550-6400303</t>
  </si>
  <si>
    <t>TwtSBDs59</t>
  </si>
  <si>
    <t>D5tpWzjNck0rR</t>
  </si>
  <si>
    <t>2026-07-14T14:10:56+05:30</t>
  </si>
  <si>
    <t>2026-07-14T22:03:45+05:30</t>
  </si>
  <si>
    <t>2026-07-15T01:03:57+05:30</t>
  </si>
  <si>
    <t>fq37hyw83f52xf9@marketplace.amazon.in</t>
  </si>
  <si>
    <t>406-2567171-3646731</t>
  </si>
  <si>
    <t>TwxsJ8sK9</t>
  </si>
  <si>
    <t>DwtCW4jKch0LR</t>
  </si>
  <si>
    <t>2026-07-14T15:19:37+05:30</t>
  </si>
  <si>
    <t>2026-07-14T22:02:45+05:30</t>
  </si>
  <si>
    <t>2026-07-15T01:03:00+05:30</t>
  </si>
  <si>
    <t>9tdpldhqxkhx25w@marketplace.amazon.in</t>
  </si>
  <si>
    <t>408-3356913-5691561</t>
  </si>
  <si>
    <t>Twkb01ns9</t>
  </si>
  <si>
    <t>DqtgW1jgcm0rR</t>
  </si>
  <si>
    <t>2026-07-11T19:35:26+05:30</t>
  </si>
  <si>
    <t>2026-07-14T22:01:43+05:30</t>
  </si>
  <si>
    <t>2026-07-15T01:01:55+05:30</t>
  </si>
  <si>
    <t>pt6j33b1d3fw45v@marketplace.amazon.in</t>
  </si>
  <si>
    <t>ARARIA</t>
  </si>
  <si>
    <t>BR</t>
  </si>
  <si>
    <t>405-4828572-0453138</t>
  </si>
  <si>
    <t>Tczz7TsY9</t>
  </si>
  <si>
    <t>D30QWsjQcF0mR</t>
  </si>
  <si>
    <t>2026-07-14T19:02:55+05:30</t>
  </si>
  <si>
    <t>2026-07-14T21:58:44+05:30</t>
  </si>
  <si>
    <t>2026-07-15T01:02:18+05:30</t>
  </si>
  <si>
    <t>p3kdxsxj9b6z0hn@marketplace.amazon.in</t>
  </si>
  <si>
    <t>404-5290376-4125161</t>
  </si>
  <si>
    <t>TCk8WdJ79</t>
  </si>
  <si>
    <t>Dz00WXj1ct0dR</t>
  </si>
  <si>
    <t>2026-07-13T14:01:54+05:30</t>
  </si>
  <si>
    <t>2026-07-14T21:56:47+05:30</t>
  </si>
  <si>
    <t>2026-07-15T00:57:02+05:30</t>
  </si>
  <si>
    <t>tl6gtk598pkntrq@marketplace.amazon.in</t>
  </si>
  <si>
    <t>403-2310374-9450752</t>
  </si>
  <si>
    <t>T1XfQ7sZ9</t>
  </si>
  <si>
    <t>DnvWKRj3cZ0sR</t>
  </si>
  <si>
    <t>2026-07-14T15:34:02+05:30</t>
  </si>
  <si>
    <t>2026-07-14T21:53:48+05:30</t>
  </si>
  <si>
    <t>2026-07-15T00:53:59+05:30</t>
  </si>
  <si>
    <t>2htdhdgn4pv3wpg@marketplace.amazon.in</t>
  </si>
  <si>
    <t>171-4530687-5480311</t>
  </si>
  <si>
    <t>TGMx1csK9</t>
  </si>
  <si>
    <t>DGgZKXjLc80VR</t>
  </si>
  <si>
    <t>2026-07-14T18:13:33+05:30</t>
  </si>
  <si>
    <t>2026-07-14T21:48:50+05:30</t>
  </si>
  <si>
    <t>2026-07-15T00:49:02+05:30</t>
  </si>
  <si>
    <t>49wd10qwzlyxk6s@marketplace.amazon.in</t>
  </si>
  <si>
    <t>SHAHADA</t>
  </si>
  <si>
    <t>171-3127221-9245900</t>
  </si>
  <si>
    <t>TXMB1csK9</t>
  </si>
  <si>
    <t>D6gzKKjLc80VR</t>
  </si>
  <si>
    <t>2026-07-14T18:12:49+05:30</t>
  </si>
  <si>
    <t>2026-07-14T21:48:45+05:30</t>
  </si>
  <si>
    <t>2026-07-15T00:48:57+05:30</t>
  </si>
  <si>
    <t>408-6663134-2533126</t>
  </si>
  <si>
    <t>TgJTBys39</t>
  </si>
  <si>
    <t>D0gzKTjyc80VR</t>
  </si>
  <si>
    <t>2026-07-14T14:30:15+05:30</t>
  </si>
  <si>
    <t>2026-07-14T21:45:44+05:30</t>
  </si>
  <si>
    <t>2026-07-15T00:45:56+05:30</t>
  </si>
  <si>
    <t>f7q8y2w3kbkz0h9@marketplace.amazon.in</t>
  </si>
  <si>
    <t>402-3035652-9108305</t>
  </si>
  <si>
    <t>TwyJg0rB9</t>
  </si>
  <si>
    <t>DypvKzjQcy0XR</t>
  </si>
  <si>
    <t>2026-07-13T23:59:47+05:30</t>
  </si>
  <si>
    <t>2026-07-14T21:43:46+05:30</t>
  </si>
  <si>
    <t>2026-07-15T00:43:57+05:30</t>
  </si>
  <si>
    <t>wx8hqh7zsfsp4kd@marketplace.amazon.in</t>
  </si>
  <si>
    <t>171-1757153-1931521</t>
  </si>
  <si>
    <t>TVbCWrsq9</t>
  </si>
  <si>
    <t>DF2fmjj5cc08R</t>
  </si>
  <si>
    <t>2026-07-14T19:08:25+05:30</t>
  </si>
  <si>
    <t>2026-07-14T21:34:43+05:30</t>
  </si>
  <si>
    <t>2026-07-15T00:34:56+05:30</t>
  </si>
  <si>
    <t>7x35h4frr9gn19f@marketplace.amazon.in</t>
  </si>
  <si>
    <t>402-0803191-0624358</t>
  </si>
  <si>
    <t>Tn4BZSdl9</t>
  </si>
  <si>
    <t>DzWYmsj0cP03R</t>
  </si>
  <si>
    <t>2026-07-14T10:42:49+05:30</t>
  </si>
  <si>
    <t>2026-07-14T21:30:55+05:30</t>
  </si>
  <si>
    <t>2026-07-15T00:31:13+05:30</t>
  </si>
  <si>
    <t>pnq0kw036tthf0j@marketplace.amazon.in</t>
  </si>
  <si>
    <t>171-2882430-1888359</t>
  </si>
  <si>
    <t>TgLxL6s29</t>
  </si>
  <si>
    <t>Dj6Fl6jTc105R</t>
  </si>
  <si>
    <t>2026-07-14T17:32:50+05:30</t>
  </si>
  <si>
    <t>2026-07-14T21:08:45+05:30</t>
  </si>
  <si>
    <t>2026-07-15T00:08:58+05:30</t>
  </si>
  <si>
    <t>qz9zp2397ns4rm8@marketplace.amazon.in</t>
  </si>
  <si>
    <t>402-7875620-6857923</t>
  </si>
  <si>
    <t>T6LH7Rs89</t>
  </si>
  <si>
    <t>D0qQlRjxcG09R</t>
  </si>
  <si>
    <t>2026-07-14T19:05:54+05:30</t>
  </si>
  <si>
    <t>2026-07-14T21:06:41+05:30</t>
  </si>
  <si>
    <t>2026-07-15T00:06:52+05:30</t>
  </si>
  <si>
    <t>m5b6423418rrr7p@marketplace.amazon.in</t>
  </si>
  <si>
    <t>407-8762014-3074703</t>
  </si>
  <si>
    <t>T683rRsj9</t>
  </si>
  <si>
    <t>DmbH0pj0c40pR</t>
  </si>
  <si>
    <t>2026-07-14T16:58:27+05:30</t>
  </si>
  <si>
    <t>2026-07-14T20:58:46+05:30</t>
  </si>
  <si>
    <t>2026-07-14T23:58:56+05:30</t>
  </si>
  <si>
    <t>s1n13qz49p7z4n3@marketplace.amazon.in</t>
  </si>
  <si>
    <t>406-9299731-1418722</t>
  </si>
  <si>
    <t>TV9fVwsY9</t>
  </si>
  <si>
    <t>DF3mSdj4cH09R</t>
  </si>
  <si>
    <t>2026-07-14T18:08:32+05:30</t>
  </si>
  <si>
    <t>2026-07-14T20:44:50+05:30</t>
  </si>
  <si>
    <t>2026-07-14T23:45:03+05:30</t>
  </si>
  <si>
    <t>zt1zrcyclqzf28r@marketplace.amazon.in</t>
  </si>
  <si>
    <t>171-3154275-8251514</t>
  </si>
  <si>
    <t>TVv3w1nW9</t>
  </si>
  <si>
    <t>DlNMSxjnc00jR</t>
  </si>
  <si>
    <t>2026-07-06T21:25:08+05:30</t>
  </si>
  <si>
    <t>2026-07-14T20:43:51+05:30</t>
  </si>
  <si>
    <t>2026-07-14T23:44:09+05:30</t>
  </si>
  <si>
    <t>f0h4xgght6l1xx2@marketplace.amazon.in</t>
  </si>
  <si>
    <t>406-0013843-2258717</t>
  </si>
  <si>
    <t>T1tQGTsh9</t>
  </si>
  <si>
    <t>DfNrSLjrc00jR</t>
  </si>
  <si>
    <t>2026-07-10T22:53:34+05:30</t>
  </si>
  <si>
    <t>2026-07-14T20:42:46+05:30</t>
  </si>
  <si>
    <t>2026-07-14T23:42:58+05:30</t>
  </si>
  <si>
    <t>hnvwmgpjjdwn27x@marketplace.amazon.in</t>
  </si>
  <si>
    <t>Vasai</t>
  </si>
  <si>
    <t>408-2235642-7129962</t>
  </si>
  <si>
    <t>TJZnrYs09</t>
  </si>
  <si>
    <t>DzbWS8jVc70yR</t>
  </si>
  <si>
    <t>2026-07-14T16:45:40+05:30</t>
  </si>
  <si>
    <t>2026-07-14T20:39:40+05:30</t>
  </si>
  <si>
    <t>2026-07-14T20:39:43+05:30</t>
  </si>
  <si>
    <t>2026-07-14T21:39:54+05:30</t>
  </si>
  <si>
    <t>qv2v6l0ywk38msb@marketplace.amazon.in</t>
  </si>
  <si>
    <t>407-9668877-0537156</t>
  </si>
  <si>
    <t>T34KJzsq9</t>
  </si>
  <si>
    <t>DFbdS7jqc50bR</t>
  </si>
  <si>
    <t>2026-07-14T16:07:17+05:30</t>
  </si>
  <si>
    <t>2026-07-14T20:35:43+05:30</t>
  </si>
  <si>
    <t>2026-07-14T23:35:55+05:30</t>
  </si>
  <si>
    <t>q5yvfljpffcdw29@marketplace.amazon.in</t>
  </si>
  <si>
    <t>405-0629863-8208368</t>
  </si>
  <si>
    <t>T36XH4sN9</t>
  </si>
  <si>
    <t>D7GCSTj5cx0yR</t>
  </si>
  <si>
    <t>2026-07-14T09:35:03+05:30</t>
  </si>
  <si>
    <t>2026-07-14T20:32:34+05:30</t>
  </si>
  <si>
    <t>2026-07-14T23:32:45+05:30</t>
  </si>
  <si>
    <t>x159kdyp62w8k0t@marketplace.amazon.in</t>
  </si>
  <si>
    <t>404-0292506-3245152</t>
  </si>
  <si>
    <t>Tg7SH6s19</t>
  </si>
  <si>
    <t>DnmF6Bj2cm0sR</t>
  </si>
  <si>
    <t>2026-07-14T12:03:15+05:30</t>
  </si>
  <si>
    <t>2026-07-14T20:28:44+05:30</t>
  </si>
  <si>
    <t>2026-07-14T23:28:56+05:30</t>
  </si>
  <si>
    <t>zw1k6wdcqz5058y@marketplace.amazon.in</t>
  </si>
  <si>
    <t>T67vH6s19</t>
  </si>
  <si>
    <t>DQjW6Cj5cm00R</t>
  </si>
  <si>
    <t>2026-07-14T20:22:44+05:30</t>
  </si>
  <si>
    <t>2026-07-14T23:22:53+05:30</t>
  </si>
  <si>
    <t>407-8829535-9659501</t>
  </si>
  <si>
    <t>TJS6c7x59</t>
  </si>
  <si>
    <t>DkbV69jwc50HR</t>
  </si>
  <si>
    <t>2026-07-12T19:09:05+05:30</t>
  </si>
  <si>
    <t>2026-07-14T20:20:47+05:30</t>
  </si>
  <si>
    <t>2026-07-14T23:21:00+05:30</t>
  </si>
  <si>
    <t>91rskfq84brr56p@marketplace.amazon.in</t>
  </si>
  <si>
    <t>VADAKKUVALLIYUR</t>
  </si>
  <si>
    <t>407-4140397-6989943</t>
  </si>
  <si>
    <t>TJBmGsr29</t>
  </si>
  <si>
    <t>DRbZ6fjgcN0HR</t>
  </si>
  <si>
    <t>2026-07-13T19:37:07+05:30</t>
  </si>
  <si>
    <t>2026-07-14T20:18:47+05:30</t>
  </si>
  <si>
    <t>2026-07-14T23:18:58+05:30</t>
  </si>
  <si>
    <t>171-8165251-5900356</t>
  </si>
  <si>
    <t>T1jYP6sk9</t>
  </si>
  <si>
    <t>D2YF69jmch0yR</t>
  </si>
  <si>
    <t>2026-07-14T17:35:07+05:30</t>
  </si>
  <si>
    <t>2026-07-14T20:14:51+05:30</t>
  </si>
  <si>
    <t>2026-07-14T20:14:53+05:30</t>
  </si>
  <si>
    <t>2026-07-14T21:15:04+05:30</t>
  </si>
  <si>
    <t>yf3snff7wggww12@marketplace.amazon.in</t>
  </si>
  <si>
    <t>406-2276746-8272366</t>
  </si>
  <si>
    <t>TVrv3msY9</t>
  </si>
  <si>
    <t>Dgsr64jjcv0bR</t>
  </si>
  <si>
    <t>2026-07-14T16:14:30+05:30</t>
  </si>
  <si>
    <t>2026-07-14T20:13:49+05:30</t>
  </si>
  <si>
    <t>2026-07-14T23:14:05+05:30</t>
  </si>
  <si>
    <t>vs3kqlv6bj4dyph@marketplace.amazon.in</t>
  </si>
  <si>
    <t>405-0271191-2222753</t>
  </si>
  <si>
    <t>TgM17RrX9</t>
  </si>
  <si>
    <t>Dg3kdHjQc90qR</t>
  </si>
  <si>
    <t>2026-07-13T19:16:29+05:30</t>
  </si>
  <si>
    <t>2026-07-14T20:08:47+05:30</t>
  </si>
  <si>
    <t>2026-07-14T23:08:58+05:30</t>
  </si>
  <si>
    <t>hf9g9wlq2khdhj7@marketplace.amazon.in</t>
  </si>
  <si>
    <t>404-6338015-1817940</t>
  </si>
  <si>
    <t>TC30MRs29</t>
  </si>
  <si>
    <t>D1ZvdhjFc10MR</t>
  </si>
  <si>
    <t>2026-07-14T16:11:12+05:30</t>
  </si>
  <si>
    <t>2026-07-14T19:59:47+05:30</t>
  </si>
  <si>
    <t>2026-07-14T22:59:59+05:30</t>
  </si>
  <si>
    <t>rvzttshdl0j5bpz@marketplace.amazon.in</t>
  </si>
  <si>
    <t>404-9414427-5592363</t>
  </si>
  <si>
    <t>TwKcxYsl9</t>
  </si>
  <si>
    <t>Dn0yGVjHcg0hR</t>
  </si>
  <si>
    <t>2026-07-14T17:32:56+05:30</t>
  </si>
  <si>
    <t>2026-07-14T19:47:42+05:30</t>
  </si>
  <si>
    <t>2026-07-14T22:47:54+05:30</t>
  </si>
  <si>
    <t>fbfxn1l3gsr3lf2@marketplace.amazon.in</t>
  </si>
  <si>
    <t>Darwha</t>
  </si>
  <si>
    <t>402-2163041-8981925</t>
  </si>
  <si>
    <t>TnscJ5sp9</t>
  </si>
  <si>
    <t>D7fjG8jbcq0kR</t>
  </si>
  <si>
    <t>2026-07-14T17:22:14+05:30</t>
  </si>
  <si>
    <t>2026-07-14T19:42:45+05:30</t>
  </si>
  <si>
    <t>2026-07-14T22:42:58+05:30</t>
  </si>
  <si>
    <t>8ywn20bj5kdt9s4@marketplace.amazon.in</t>
  </si>
  <si>
    <t>402-2236978-7689134</t>
  </si>
  <si>
    <t>T109RYsQ9</t>
  </si>
  <si>
    <t>DcG6GNjQcc0nR</t>
  </si>
  <si>
    <t>2026-07-14T12:11:32+05:30</t>
  </si>
  <si>
    <t>2026-07-14T19:41:40+05:30</t>
  </si>
  <si>
    <t>2026-07-14T19:41:43+05:30</t>
  </si>
  <si>
    <t>2026-07-14T20:41:56+05:30</t>
  </si>
  <si>
    <t>kz4tnklw57162jq@marketplace.amazon.in</t>
  </si>
  <si>
    <t>405-4360666-8454709</t>
  </si>
  <si>
    <t>T39zLgsd9</t>
  </si>
  <si>
    <t>DTCnGjjjc30NR</t>
  </si>
  <si>
    <t>2026-07-14T17:55:18+05:30</t>
  </si>
  <si>
    <t>2026-07-14T19:38:46+05:30</t>
  </si>
  <si>
    <t>2026-07-14T22:38:59+05:30</t>
  </si>
  <si>
    <t>t7m91lhnv303xd6@marketplace.amazon.in</t>
  </si>
  <si>
    <t>Khairthal</t>
  </si>
  <si>
    <t>406-5978125-0145910</t>
  </si>
  <si>
    <t>TG1y7zsN9</t>
  </si>
  <si>
    <t>D3GPGPjZcH0nR</t>
  </si>
  <si>
    <t>2026-07-14T15:51:17+05:30</t>
  </si>
  <si>
    <t>2026-07-14T19:37:44+05:30</t>
  </si>
  <si>
    <t>2026-07-14T19:37:47+05:30</t>
  </si>
  <si>
    <t>2026-07-14T20:37:57+05:30</t>
  </si>
  <si>
    <t>3xcx63tl6dx45f6@marketplace.amazon.in</t>
  </si>
  <si>
    <t>403-7199156-7203536</t>
  </si>
  <si>
    <t>TVkLQjrk9</t>
  </si>
  <si>
    <t>DvGCGdjjcH0nR</t>
  </si>
  <si>
    <t>2026-07-10T18:34:44+05:30</t>
  </si>
  <si>
    <t>2026-07-14T19:36:44+05:30</t>
  </si>
  <si>
    <t>2026-07-14T22:37:01+05:30</t>
  </si>
  <si>
    <t>fd58v8npvpr2tzf@marketplace.amazon.in</t>
  </si>
  <si>
    <t>D4FXtdj2c102R</t>
  </si>
  <si>
    <t>408-5460595-3936352</t>
  </si>
  <si>
    <t>Twcg5FdK9</t>
  </si>
  <si>
    <t>DpF6t9jyc102R</t>
  </si>
  <si>
    <t>2026-07-14T10:36:19+05:30</t>
  </si>
  <si>
    <t>2026-07-14T19:35:52+05:30</t>
  </si>
  <si>
    <t>2026-07-14T22:36:06+05:30</t>
  </si>
  <si>
    <t>fphqpj50gvy75jl@marketplace.amazon.in</t>
  </si>
  <si>
    <t>406-6794259-8604324</t>
  </si>
  <si>
    <t>TgPBPqsZ9</t>
  </si>
  <si>
    <t>DFVPP7jscy00R</t>
  </si>
  <si>
    <t>2026-07-14T17:04:58+05:30</t>
  </si>
  <si>
    <t>2026-07-14T19:16:45+05:30</t>
  </si>
  <si>
    <t>2026-07-14T22:16:56+05:30</t>
  </si>
  <si>
    <t>6l47p600hckzndf@marketplace.amazon.in</t>
  </si>
  <si>
    <t>407-0079327-0894724</t>
  </si>
  <si>
    <t>T1f9Tys19</t>
  </si>
  <si>
    <t>DNVxPKjvcy00R</t>
  </si>
  <si>
    <t>2026-07-14T17:52:58+05:30</t>
  </si>
  <si>
    <t>2026-07-14T19:15:44+05:30</t>
  </si>
  <si>
    <t>2026-07-14T22:15:56+05:30</t>
  </si>
  <si>
    <t>gk5fzztqnx8w982@marketplace.amazon.in</t>
  </si>
  <si>
    <t>407-1098108-5604351</t>
  </si>
  <si>
    <t>T3ZqbSsP9</t>
  </si>
  <si>
    <t>DpcWPHjgc40HR</t>
  </si>
  <si>
    <t>2026-07-14T14:31:44+05:30</t>
  </si>
  <si>
    <t>2026-07-14T19:07:46+05:30</t>
  </si>
  <si>
    <t>2026-07-14T22:08:01+05:30</t>
  </si>
  <si>
    <t>5n6x3gkzbctlfp6@marketplace.amazon.in</t>
  </si>
  <si>
    <t>404-5632293-6601167</t>
  </si>
  <si>
    <t>Tcz71PsY9</t>
  </si>
  <si>
    <t>D7CPP1jzcN0RR</t>
  </si>
  <si>
    <t>2026-07-14T17:51:33+05:30</t>
  </si>
  <si>
    <t>2026-07-14T19:06:46+05:30</t>
  </si>
  <si>
    <t>2026-07-14T22:07:00+05:30</t>
  </si>
  <si>
    <t>p52tv1fhy17qv9z@marketplace.amazon.in</t>
  </si>
  <si>
    <t>406-5586961-0468357</t>
  </si>
  <si>
    <t>T3hglxrs9</t>
  </si>
  <si>
    <t>DphLxSjJc90NR</t>
  </si>
  <si>
    <t>2026-07-13T22:18:07+05:30</t>
  </si>
  <si>
    <t>2026-07-14T18:16:45+05:30</t>
  </si>
  <si>
    <t>2026-07-14T18:16:48+05:30</t>
  </si>
  <si>
    <t>2026-07-14T19:16:59+05:30</t>
  </si>
  <si>
    <t>04z06wrwbyfcvyp@marketplace.amazon.in</t>
  </si>
  <si>
    <t>406-9349577-0999537</t>
  </si>
  <si>
    <t>TV26Tcdx9</t>
  </si>
  <si>
    <t>DWRVxgj8c90NR</t>
  </si>
  <si>
    <t>2026-07-14T08:00:19+05:30</t>
  </si>
  <si>
    <t>2026-07-14T18:15:48+05:30</t>
  </si>
  <si>
    <t>2026-07-14T21:16:03+05:30</t>
  </si>
  <si>
    <t>m2zy92smr28327r@marketplace.amazon.in</t>
  </si>
  <si>
    <t>404-9562823-4546724</t>
  </si>
  <si>
    <t>T39zfKRG9</t>
  </si>
  <si>
    <t>Dml6xYjlcy07R</t>
  </si>
  <si>
    <t>2026-07-12T17:53:14+05:30</t>
  </si>
  <si>
    <t>2026-07-14T18:13:44+05:30</t>
  </si>
  <si>
    <t>2026-07-14T18:13:47+05:30</t>
  </si>
  <si>
    <t>2026-07-14T19:14:00+05:30</t>
  </si>
  <si>
    <t>79m7m5kkr1f1r59@marketplace.amazon.in</t>
  </si>
  <si>
    <t>171-6924901-9558707</t>
  </si>
  <si>
    <t>TNx544s09</t>
  </si>
  <si>
    <t>DNQH3Kjgc10WR</t>
  </si>
  <si>
    <t>2026-07-14T13:05:50+05:30</t>
  </si>
  <si>
    <t>2026-07-14T18:01:42+05:30</t>
  </si>
  <si>
    <t>2026-07-14T18:01:45+05:30</t>
  </si>
  <si>
    <t>2026-07-14T19:01:56+05:30</t>
  </si>
  <si>
    <t>xr5jrq1hltb8w9m@marketplace.amazon.in</t>
  </si>
  <si>
    <t>408-4049754-0177125</t>
  </si>
  <si>
    <t>Tg7XXgdC9</t>
  </si>
  <si>
    <t>DNcn3KjLc10rR</t>
  </si>
  <si>
    <t>2026-07-14T12:54:39+05:30</t>
  </si>
  <si>
    <t>2026-07-14T18:00:39+05:30</t>
  </si>
  <si>
    <t>2026-07-14T18:00:42+05:30</t>
  </si>
  <si>
    <t>2026-07-14T19:00:52+05:30</t>
  </si>
  <si>
    <t>0p1kchmnhcvw3y6@marketplace.amazon.in</t>
  </si>
  <si>
    <t>408-6758181-9534738</t>
  </si>
  <si>
    <t>Tc91RwsQ9</t>
  </si>
  <si>
    <t>Dm943RjWcQ01R</t>
  </si>
  <si>
    <t>2026-07-14T12:28:58+05:30</t>
  </si>
  <si>
    <t>2026-07-14T17:59:52+05:30</t>
  </si>
  <si>
    <t>2026-07-14T21:04:14+05:30</t>
  </si>
  <si>
    <t>yvhsfgc6nv7yqsy@marketplace.amazon.in</t>
  </si>
  <si>
    <t>408-2680989-8818752</t>
  </si>
  <si>
    <t>TcKjW7XP4</t>
  </si>
  <si>
    <t>D2Hz3Cj8cs0wR</t>
  </si>
  <si>
    <t>2026-07-09T07:14:16+05:30</t>
  </si>
  <si>
    <t>2026-07-14T17:58:52+05:30</t>
  </si>
  <si>
    <t>2026-07-14T21:03:36+05:30</t>
  </si>
  <si>
    <t>4t7pklg4mhs8gt5@marketplace.amazon.in</t>
  </si>
  <si>
    <t>404-6054217-1238724</t>
  </si>
  <si>
    <t>T1VnjnnQ9</t>
  </si>
  <si>
    <t>DwN4JSjvc809R</t>
  </si>
  <si>
    <t>2026-07-11T21:16:06+05:30</t>
  </si>
  <si>
    <t>2026-07-14T17:51:54+05:30</t>
  </si>
  <si>
    <t>2026-07-14T20:52:07+05:30</t>
  </si>
  <si>
    <t>5ft5xfqwrg01zt4@marketplace.amazon.in</t>
  </si>
  <si>
    <t>171-7313328-4803508</t>
  </si>
  <si>
    <t>TVCWqXdy9</t>
  </si>
  <si>
    <t>DQxNJDjWcs0cR</t>
  </si>
  <si>
    <t>2026-07-14T12:12:54+05:30</t>
  </si>
  <si>
    <t>2026-07-14T17:39:47+05:30</t>
  </si>
  <si>
    <t>2026-07-14T20:39:57+05:30</t>
  </si>
  <si>
    <t>q8r24ht3p12styp@marketplace.amazon.in</t>
  </si>
  <si>
    <t>406-1918490-5328323</t>
  </si>
  <si>
    <t>T6TQ60rr9</t>
  </si>
  <si>
    <t>DXF7MVj8cY0JR</t>
  </si>
  <si>
    <t>2026-07-13T21:08:48+05:30</t>
  </si>
  <si>
    <t>2026-07-14T17:32:47+05:30</t>
  </si>
  <si>
    <t>2026-07-14T20:33:00+05:30</t>
  </si>
  <si>
    <t>vkn52s38bck3lh9@marketplace.amazon.in</t>
  </si>
  <si>
    <t>402-5202860-2189129</t>
  </si>
  <si>
    <t>TCW9xGdS9</t>
  </si>
  <si>
    <t>D2CgM8jPcD0LR</t>
  </si>
  <si>
    <t>2026-07-14T05:49:30+05:30</t>
  </si>
  <si>
    <t>2026-07-14T17:29:41+05:30</t>
  </si>
  <si>
    <t>2026-07-14T17:29:43+05:30</t>
  </si>
  <si>
    <t>2026-07-14T18:29:54+05:30</t>
  </si>
  <si>
    <t>404-9470549-4101103</t>
  </si>
  <si>
    <t>TJv0tbdX9</t>
  </si>
  <si>
    <t>Dp2PMcjNc10hR</t>
  </si>
  <si>
    <t>2026-07-14T02:30:08+05:30</t>
  </si>
  <si>
    <t>2026-07-14T17:28:51+05:30</t>
  </si>
  <si>
    <t>2026-07-14T20:29:08+05:30</t>
  </si>
  <si>
    <t>zfhkbnvyd932wyt@marketplace.amazon.in</t>
  </si>
  <si>
    <t>404-3027681-9758725</t>
  </si>
  <si>
    <t>T1SH31st9</t>
  </si>
  <si>
    <t>DwGXM4jXcX09R</t>
  </si>
  <si>
    <t>2026-07-14T16:33:18+05:30</t>
  </si>
  <si>
    <t>2026-07-14T17:24:39+05:30</t>
  </si>
  <si>
    <t>2026-07-14T20:24:49+05:30</t>
  </si>
  <si>
    <t>4gh7467v753z5k7@marketplace.amazon.in</t>
  </si>
  <si>
    <t>402-0741371-5592345</t>
  </si>
  <si>
    <t>T3thvxr19</t>
  </si>
  <si>
    <t>DvGFM3j3cX09R</t>
  </si>
  <si>
    <t>2026-07-13T19:29:17+05:30</t>
  </si>
  <si>
    <t>2026-07-14T17:20:54+05:30</t>
  </si>
  <si>
    <t>2026-07-14T20:25:03+05:30</t>
  </si>
  <si>
    <t>dw46j45sp9wtcp8@marketplace.amazon.in</t>
  </si>
  <si>
    <t>407-0978035-4280368</t>
  </si>
  <si>
    <t>TNNfwKsm9</t>
  </si>
  <si>
    <t>DWrR10jPcq0MR</t>
  </si>
  <si>
    <t>2026-07-14T14:35:02+05:30</t>
  </si>
  <si>
    <t>2026-07-14T17:08:44+05:30</t>
  </si>
  <si>
    <t>2026-07-14T17:08:48+05:30</t>
  </si>
  <si>
    <t>2026-07-14T18:09:07+05:30</t>
  </si>
  <si>
    <t>bcmv12g72jgzbj0@marketplace.amazon.in</t>
  </si>
  <si>
    <t>402-1570013-5689953</t>
  </si>
  <si>
    <t>TN8Mq0dm9</t>
  </si>
  <si>
    <t>DzyKrbjjcq0vR</t>
  </si>
  <si>
    <t>2026-07-14T12:36:46+05:30</t>
  </si>
  <si>
    <t>2026-07-14T16:56:54+05:30</t>
  </si>
  <si>
    <t>2026-07-14T19:57:22+05:30</t>
  </si>
  <si>
    <t>yhzllnqd5h78yl1@marketplace.amazon.in</t>
  </si>
  <si>
    <t>BENGALURU Rural</t>
  </si>
  <si>
    <t>408-9230507-4153957</t>
  </si>
  <si>
    <t>TwMcmSdS9</t>
  </si>
  <si>
    <t>Dk1grkjdcw0VR</t>
  </si>
  <si>
    <t>2026-07-14T11:46:58+05:30</t>
  </si>
  <si>
    <t>2026-07-14T16:56:43+05:30</t>
  </si>
  <si>
    <t>2026-07-14T16:56:46+05:30</t>
  </si>
  <si>
    <t>2026-07-14T17:56:57+05:30</t>
  </si>
  <si>
    <t>xnzztz2qt1bhbf6@marketplace.amazon.in</t>
  </si>
  <si>
    <t>405-9406332-6682747</t>
  </si>
  <si>
    <t>Tg3KtnrP9</t>
  </si>
  <si>
    <t>DlSv7SjGcY0CR</t>
  </si>
  <si>
    <t>2026-07-13T22:23:05+05:30</t>
  </si>
  <si>
    <t>2026-07-14T16:42:48+05:30</t>
  </si>
  <si>
    <t>2026-07-14T19:43:01+05:30</t>
  </si>
  <si>
    <t>1jbyktckmt4tl1x@marketplace.amazon.in</t>
  </si>
  <si>
    <t>BAHADURGARH</t>
  </si>
  <si>
    <t>402-1935326-7602715</t>
  </si>
  <si>
    <t>Tc819LsC9</t>
  </si>
  <si>
    <t>D3117Ljwc20rR</t>
  </si>
  <si>
    <t>2026-07-14T14:06:30+05:30</t>
  </si>
  <si>
    <t>2026-07-14T16:42:44+05:30</t>
  </si>
  <si>
    <t>2026-07-14T19:42:58+05:30</t>
  </si>
  <si>
    <t>02z6jxnm5qv5ts1@marketplace.amazon.in</t>
  </si>
  <si>
    <t>402-4145290-6913127</t>
  </si>
  <si>
    <t>T38d52dF9</t>
  </si>
  <si>
    <t>DP1h7Vj4c20rR</t>
  </si>
  <si>
    <t>2026-07-14T11:15:29+05:30</t>
  </si>
  <si>
    <t>2026-07-14T16:41:47+05:30</t>
  </si>
  <si>
    <t>2026-07-14T19:41:59+05:30</t>
  </si>
  <si>
    <t>c3128lsz80h39wn@marketplace.amazon.in</t>
  </si>
  <si>
    <t>171-4841257-3879533</t>
  </si>
  <si>
    <t>TNSLgmJ19</t>
  </si>
  <si>
    <t>DpCH7YjbcD0VR</t>
  </si>
  <si>
    <t>2026-07-13T16:19:09+05:30</t>
  </si>
  <si>
    <t>2026-07-14T16:34:44+05:30</t>
  </si>
  <si>
    <t>2026-07-14T19:34:55+05:30</t>
  </si>
  <si>
    <t>w01wrvkcxj2xdvm@marketplace.amazon.in</t>
  </si>
  <si>
    <t>404-8534965-2537117</t>
  </si>
  <si>
    <t>TGGtRWsw9</t>
  </si>
  <si>
    <t>DTCG7Cj6c80VR</t>
  </si>
  <si>
    <t>2026-07-14T11:56:41+05:30</t>
  </si>
  <si>
    <t>2026-07-14T16:30:39+05:30</t>
  </si>
  <si>
    <t>2026-07-14T16:30:41+05:30</t>
  </si>
  <si>
    <t>2026-07-14T17:30:52+05:30</t>
  </si>
  <si>
    <t>ks1dpwwvxjv07hm@marketplace.amazon.in</t>
  </si>
  <si>
    <t>Moga</t>
  </si>
  <si>
    <t>406-3540879-6835548</t>
  </si>
  <si>
    <t>TCSvwVsG9</t>
  </si>
  <si>
    <t>DDKpLkjJc80DR</t>
  </si>
  <si>
    <t>2026-07-14T14:17:52+05:30</t>
  </si>
  <si>
    <t>2026-07-14T16:24:50+05:30</t>
  </si>
  <si>
    <t>2026-07-14T19:25:06+05:30</t>
  </si>
  <si>
    <t>x03bgf4mv6yqzzx@marketplace.amazon.in</t>
  </si>
  <si>
    <t>THENI</t>
  </si>
  <si>
    <t>402-2633721-2434750</t>
  </si>
  <si>
    <t>T6gRCnxZ9</t>
  </si>
  <si>
    <t>D8KYLkjkcB0RR</t>
  </si>
  <si>
    <t>2026-07-13T02:39:16+05:30</t>
  </si>
  <si>
    <t>2026-07-14T16:24:41+05:30</t>
  </si>
  <si>
    <t>2026-07-14T16:24:45+05:30</t>
  </si>
  <si>
    <t>2026-07-14T17:24:56+05:30</t>
  </si>
  <si>
    <t>4fs41pnnqxtgtjq@marketplace.amazon.in</t>
  </si>
  <si>
    <t>CRASOME Apron for Kitchen | Unisex Cooking Apron with 2 Pockets and Adjustable Straps | Apron for Chef, Hotel, Cafe, Restaurant, Gardening, Workshop (Red)</t>
  </si>
  <si>
    <t>SANGLI MIRAJ KUPWAD</t>
  </si>
  <si>
    <t>406-0817299-3620315</t>
  </si>
  <si>
    <t>Tcw1GKd89</t>
  </si>
  <si>
    <t>D4MZLqj9cG0fR</t>
  </si>
  <si>
    <t>2026-07-14T07:52:09+05:30</t>
  </si>
  <si>
    <t>2026-07-14T16:19:44+05:30</t>
  </si>
  <si>
    <t>2026-07-14T19:19:57+05:30</t>
  </si>
  <si>
    <t>3tlfmzcy593chpl@marketplace.amazon.in</t>
  </si>
  <si>
    <t>405-7002989-1137105</t>
  </si>
  <si>
    <t>T362R2x39</t>
  </si>
  <si>
    <t>DtMPL1jhcs0fR</t>
  </si>
  <si>
    <t>2026-07-12T19:35:00+05:30</t>
  </si>
  <si>
    <t>2026-07-14T16:18:45+05:30</t>
  </si>
  <si>
    <t>2026-07-14T19:18:56+05:30</t>
  </si>
  <si>
    <t>gp2472h1t83zxgw@marketplace.amazon.in</t>
  </si>
  <si>
    <t>Guttal</t>
  </si>
  <si>
    <t>404-6043950-1057967</t>
  </si>
  <si>
    <t>TVgm4Fsw9</t>
  </si>
  <si>
    <t>DpGVL6jMch09R</t>
  </si>
  <si>
    <t>2026-07-14T13:45:46+05:30</t>
  </si>
  <si>
    <t>2026-07-14T16:15:45+05:30</t>
  </si>
  <si>
    <t>2026-07-14T19:15:57+05:30</t>
  </si>
  <si>
    <t>p5sf665gj6c96sb@marketplace.amazon.in</t>
  </si>
  <si>
    <t>408-0357907-4807529</t>
  </si>
  <si>
    <t>TcRzr0rL9</t>
  </si>
  <si>
    <t>DkLBLZjSc900R</t>
  </si>
  <si>
    <t>2026-07-13T19:12:22+05:30</t>
  </si>
  <si>
    <t>2026-07-14T16:14:54+05:30</t>
  </si>
  <si>
    <t>2026-07-14T19:15:12+05:30</t>
  </si>
  <si>
    <t>34yl7j3sjz1gm1h@marketplace.amazon.in</t>
  </si>
  <si>
    <t>171-3025623-8871554</t>
  </si>
  <si>
    <t>T35jZzd89</t>
  </si>
  <si>
    <t>DZdrL6jBc80VR</t>
  </si>
  <si>
    <t>2026-07-14T11:18:51+05:30</t>
  </si>
  <si>
    <t>2026-07-14T16:14:48+05:30</t>
  </si>
  <si>
    <t>2026-07-14T19:14:59+05:30</t>
  </si>
  <si>
    <t>gmpg7yc7nzxw3kn@marketplace.amazon.in</t>
  </si>
  <si>
    <t>402-8905510-4863534</t>
  </si>
  <si>
    <t>TCrMX8dW9</t>
  </si>
  <si>
    <t>DxxvLYjhcH0kR</t>
  </si>
  <si>
    <t>2026-07-14T11:40:23+05:30</t>
  </si>
  <si>
    <t>2026-07-14T16:11:46+05:30</t>
  </si>
  <si>
    <t>2026-07-14T16:11:49+05:30</t>
  </si>
  <si>
    <t>2026-07-14T17:11:59+05:30</t>
  </si>
  <si>
    <t>2mq2plw3bchn8lg@marketplace.amazon.in</t>
  </si>
  <si>
    <t>404-8029175-0528338</t>
  </si>
  <si>
    <t>Tgdh9Lrn9</t>
  </si>
  <si>
    <t>DbBrs1jpcn0GR</t>
  </si>
  <si>
    <t>2026-07-13T18:45:50+05:30</t>
  </si>
  <si>
    <t>2026-07-14T16:06:48+05:30</t>
  </si>
  <si>
    <t>2026-07-14T19:07:03+05:30</t>
  </si>
  <si>
    <t>1xjv9xjv36n4zsb@marketplace.amazon.in</t>
  </si>
  <si>
    <t>408-7130485-0633937</t>
  </si>
  <si>
    <t>TCHG2hxs9</t>
  </si>
  <si>
    <t>DpVYs1jRcQ0jR</t>
  </si>
  <si>
    <t>2026-07-09T14:09:46+05:30</t>
  </si>
  <si>
    <t>2026-07-14T16:05:43+05:30</t>
  </si>
  <si>
    <t>2026-07-14T19:05:56+05:30</t>
  </si>
  <si>
    <t>r8pq65tfybdgk9q@marketplace.amazon.in</t>
  </si>
  <si>
    <t>407-0779199-1977161</t>
  </si>
  <si>
    <t>TwHp20dx9</t>
  </si>
  <si>
    <t>DxQ9Q8jycG0hR</t>
  </si>
  <si>
    <t>2026-07-12T22:08:26+05:30</t>
  </si>
  <si>
    <t>2026-07-14T15:48:48+05:30</t>
  </si>
  <si>
    <t>2026-07-14T18:49:01+05:30</t>
  </si>
  <si>
    <t>zxjb3xpn7qg26kg@marketplace.amazon.in</t>
  </si>
  <si>
    <t>408-0617711-9105138</t>
  </si>
  <si>
    <t>Tc5K9D4c4</t>
  </si>
  <si>
    <t>DdHyQ8jDcX0VR</t>
  </si>
  <si>
    <t>2026-07-07T17:53:39+05:30</t>
  </si>
  <si>
    <t>2026-07-14T15:46:52+05:30</t>
  </si>
  <si>
    <t>2026-07-14T18:47:07+05:30</t>
  </si>
  <si>
    <t>x21lwnslbhvjtbb@marketplace.amazon.in</t>
  </si>
  <si>
    <t>402-7113459-5959512</t>
  </si>
  <si>
    <t>TGMhlBdz9</t>
  </si>
  <si>
    <t>D4YbQyjPcN0tR</t>
  </si>
  <si>
    <t>2026-07-14T10:21:42+05:30</t>
  </si>
  <si>
    <t>2026-07-14T15:38:46+05:30</t>
  </si>
  <si>
    <t>2026-07-14T18:38:59+05:30</t>
  </si>
  <si>
    <t>6yv24hxdddr9gl3@marketplace.amazon.in</t>
  </si>
  <si>
    <t>BIKANER</t>
  </si>
  <si>
    <t>DBY0QFjPcN0tR</t>
  </si>
  <si>
    <t>406-3240835-3521913</t>
  </si>
  <si>
    <t>TwKcxYrb9</t>
  </si>
  <si>
    <t>DfFPvSjZcC0pR</t>
  </si>
  <si>
    <t>2026-07-13T22:34:01+05:30</t>
  </si>
  <si>
    <t>2026-07-14T15:18:45+05:30</t>
  </si>
  <si>
    <t>2026-07-14T18:18:59+05:30</t>
  </si>
  <si>
    <t>s7zjtjg24s20nt0@marketplace.amazon.in</t>
  </si>
  <si>
    <t>403-9550184-7483501</t>
  </si>
  <si>
    <t>TNXF3frz9</t>
  </si>
  <si>
    <t>DPxsvQjscj05R</t>
  </si>
  <si>
    <t>2026-07-13T21:31:00+05:30</t>
  </si>
  <si>
    <t>2026-07-14T15:01:47+05:30</t>
  </si>
  <si>
    <t>nc31jrpslqdl5ft@marketplace.amazon.in</t>
  </si>
  <si>
    <t>404-8768753-9858754</t>
  </si>
  <si>
    <t>TgTN67d19</t>
  </si>
  <si>
    <t>DhyWzkjvcF09R</t>
  </si>
  <si>
    <t>2026-07-14T10:20:05+05:30</t>
  </si>
  <si>
    <t>2026-07-14T14:59:46+05:30</t>
  </si>
  <si>
    <t>2026-07-14T17:59:58+05:30</t>
  </si>
  <si>
    <t>yk9z316nbm9b1gq@marketplace.amazon.in</t>
  </si>
  <si>
    <t>DEVANAHALLI</t>
  </si>
  <si>
    <t>405-7525945-1931561</t>
  </si>
  <si>
    <t>TCtw5tdv9</t>
  </si>
  <si>
    <t>Dr56zbj2cf00R</t>
  </si>
  <si>
    <t>2026-07-14T11:22:18+05:30</t>
  </si>
  <si>
    <t>2026-07-14T14:59:45+05:30</t>
  </si>
  <si>
    <t>2026-07-14T17:59:56+05:30</t>
  </si>
  <si>
    <t>ktcdjzlgktgwcfv@marketplace.amazon.in</t>
  </si>
  <si>
    <t>404-1199817-3864336</t>
  </si>
  <si>
    <t>TNLFnNdZ9</t>
  </si>
  <si>
    <t>D2tfzXj5cj0xR</t>
  </si>
  <si>
    <t>2026-07-13T22:54:02+05:30</t>
  </si>
  <si>
    <t>2026-07-14T14:55:53+05:30</t>
  </si>
  <si>
    <t>2026-07-14T14:55:57+05:30</t>
  </si>
  <si>
    <t>2026-07-14T15:56:14+05:30</t>
  </si>
  <si>
    <t>k76n6wsy9793dcg@marketplace.amazon.in</t>
  </si>
  <si>
    <t>402-1375577-5661108</t>
  </si>
  <si>
    <t>Tc9Kd6rJ9</t>
  </si>
  <si>
    <t>DWQ8VwjMcW0rR</t>
  </si>
  <si>
    <t>2026-07-13T20:28:47+05:30</t>
  </si>
  <si>
    <t>2026-07-14T14:34:50+05:30</t>
  </si>
  <si>
    <t>2026-07-14T17:35:03+05:30</t>
  </si>
  <si>
    <t>strdc3w1s8hsh7c@marketplace.amazon.in</t>
  </si>
  <si>
    <t>DhhgVTj0cH0cR</t>
  </si>
  <si>
    <t>408-4931615-5521908</t>
  </si>
  <si>
    <t>Tcw7sHJC9</t>
  </si>
  <si>
    <t>Dp1f2VjBcy0QR</t>
  </si>
  <si>
    <t>2026-07-12T22:36:49+05:30</t>
  </si>
  <si>
    <t>2026-07-14T14:24:46+05:30</t>
  </si>
  <si>
    <t>2026-07-14T17:25:03+05:30</t>
  </si>
  <si>
    <t>0kgtlgzxcfb0sx4@marketplace.amazon.in</t>
  </si>
  <si>
    <t>403-5098082-4027535</t>
  </si>
  <si>
    <t>TnHp4gxJ9</t>
  </si>
  <si>
    <t>DJs629jrc409R</t>
  </si>
  <si>
    <t>2026-07-07T16:55:31+05:30</t>
  </si>
  <si>
    <t>2026-07-14T14:15:56+05:30</t>
  </si>
  <si>
    <t>2026-07-14T17:16:26+05:30</t>
  </si>
  <si>
    <t>ybgqq0qwv6dc43w@marketplace.amazon.in</t>
  </si>
  <si>
    <t>407-7184024-8673957</t>
  </si>
  <si>
    <t>T64Ympr19</t>
  </si>
  <si>
    <t>DSStFVjwcg0DR</t>
  </si>
  <si>
    <t>2026-07-13T23:16:51+05:30</t>
  </si>
  <si>
    <t>2026-07-14T14:10:46+05:30</t>
  </si>
  <si>
    <t>2026-07-14T17:10:59+05:30</t>
  </si>
  <si>
    <t>rfxyrnn9yngy04z@marketplace.amazon.in</t>
  </si>
  <si>
    <t>407-3559505-8904318</t>
  </si>
  <si>
    <t>T3kNFqdy9</t>
  </si>
  <si>
    <t>D1hjF6j8cY0HR</t>
  </si>
  <si>
    <t>2026-07-14T03:23:28+05:30</t>
  </si>
  <si>
    <t>2026-07-14T14:00:41+05:30</t>
  </si>
  <si>
    <t>2026-07-14T17:00:55+05:30</t>
  </si>
  <si>
    <t>ppx0ql0wbhj85xp@marketplace.amazon.in</t>
  </si>
  <si>
    <t>403-1499351-9937912</t>
  </si>
  <si>
    <t>T6kVlZdK9</t>
  </si>
  <si>
    <t>DKzWDPjLcg06R</t>
  </si>
  <si>
    <t>2026-07-14T10:34:01+05:30</t>
  </si>
  <si>
    <t>2026-07-14T13:41:45+05:30</t>
  </si>
  <si>
    <t>2026-07-14T16:41:57+05:30</t>
  </si>
  <si>
    <t>k1rt20trjs9p7df@marketplace.amazon.in</t>
  </si>
  <si>
    <t>407-9059803-7330766</t>
  </si>
  <si>
    <t>Tn0t0bd49</t>
  </si>
  <si>
    <t>DC0qDtjXct0VR</t>
  </si>
  <si>
    <t>2026-07-14T08:49:59+05:30</t>
  </si>
  <si>
    <t>2026-07-14T13:37:53+05:30</t>
  </si>
  <si>
    <t>2026-07-14T16:38:09+05:30</t>
  </si>
  <si>
    <t>lg4vdcl5c90d3sd@marketplace.amazon.in</t>
  </si>
  <si>
    <t>Cherthala</t>
  </si>
  <si>
    <t>408-7904343-2248365</t>
  </si>
  <si>
    <t>TX4bCrdK9</t>
  </si>
  <si>
    <t>DZy2YLjXcz0LR</t>
  </si>
  <si>
    <t>2026-07-14T11:27:45+05:30</t>
  </si>
  <si>
    <t>2026-07-14T13:36:45+05:30</t>
  </si>
  <si>
    <t>2026-07-14T16:36:56+05:30</t>
  </si>
  <si>
    <t>fxgbppbxknd8tt2@marketplace.amazon.in</t>
  </si>
  <si>
    <t>ambala cantt</t>
  </si>
  <si>
    <t>haryana</t>
  </si>
  <si>
    <t>402-9580985-3190722</t>
  </si>
  <si>
    <t>TCkklpdP9</t>
  </si>
  <si>
    <t>Dlj3Ynjtcl05R</t>
  </si>
  <si>
    <t>2026-07-14T10:29:46+05:30</t>
  </si>
  <si>
    <t>2026-07-14T13:36:44+05:30</t>
  </si>
  <si>
    <t>2026-07-14T16:36:58+05:30</t>
  </si>
  <si>
    <t>hsfvrgrg6l4vlld@marketplace.amazon.in</t>
  </si>
  <si>
    <t>402-4157005-5503538</t>
  </si>
  <si>
    <t>TGPyX7dh9</t>
  </si>
  <si>
    <t>DdjDYnjJcl05R</t>
  </si>
  <si>
    <t>2026-07-14T11:21:49+05:30</t>
  </si>
  <si>
    <t>2026-07-14T13:34:44+05:30</t>
  </si>
  <si>
    <t>2026-07-14T16:34:56+05:30</t>
  </si>
  <si>
    <t>ljj0y29zlmccgy6@marketplace.amazon.in</t>
  </si>
  <si>
    <t>404-3648118-3216313</t>
  </si>
  <si>
    <t>TNt3wBrb9</t>
  </si>
  <si>
    <t>Dv70Y3jkcB0WR</t>
  </si>
  <si>
    <t>2026-07-09T16:47:14+05:30</t>
  </si>
  <si>
    <t>2026-07-14T13:32:07+05:30</t>
  </si>
  <si>
    <t>2026-07-14T16:32:32+05:30</t>
  </si>
  <si>
    <t>z85y6vcm0c5nxvt@marketplace.amazon.in</t>
  </si>
  <si>
    <t>407-2947980-6121148</t>
  </si>
  <si>
    <t>T1XZPGJ29</t>
  </si>
  <si>
    <t>DCzTYJjjc90GR</t>
  </si>
  <si>
    <t>2026-07-13T12:02:56+05:30</t>
  </si>
  <si>
    <t>2026-07-14T13:25:46+05:30</t>
  </si>
  <si>
    <t>2026-07-14T16:26:00+05:30</t>
  </si>
  <si>
    <t>kqq35by3d1dgl3h@marketplace.amazon.in</t>
  </si>
  <si>
    <t>406-1012321-1473140</t>
  </si>
  <si>
    <t>T16Pj9dF9</t>
  </si>
  <si>
    <t>DGlQY3jrc20YR</t>
  </si>
  <si>
    <t>2026-07-14T10:51:21+05:30</t>
  </si>
  <si>
    <t>2026-07-14T13:24:44+05:30</t>
  </si>
  <si>
    <t>2026-07-14T16:24:56+05:30</t>
  </si>
  <si>
    <t>05y5y16kkmpzv20@marketplace.amazon.in</t>
  </si>
  <si>
    <t>SRIKALAHASTI</t>
  </si>
  <si>
    <t>171-8597589-8519525</t>
  </si>
  <si>
    <t>TG2bKkJw9</t>
  </si>
  <si>
    <t>DFPVYfjVcm0xR</t>
  </si>
  <si>
    <t>2026-07-13T15:50:06+05:30</t>
  </si>
  <si>
    <t>2026-07-14T13:16:45+05:30</t>
  </si>
  <si>
    <t>2026-07-14T16:16:57+05:30</t>
  </si>
  <si>
    <t>t68yyjcrsf8dpv0@marketplace.amazon.in</t>
  </si>
  <si>
    <t>406-2303593-2593924</t>
  </si>
  <si>
    <t>TJGHGRJn9</t>
  </si>
  <si>
    <t>D980yWjjc208R</t>
  </si>
  <si>
    <t>2026-07-12T11:40:46+05:30</t>
  </si>
  <si>
    <t>2026-07-14T13:15:46+05:30</t>
  </si>
  <si>
    <t>2026-07-14T16:15:59+05:30</t>
  </si>
  <si>
    <t>404-4451726-0511515</t>
  </si>
  <si>
    <t>Tc6h0KdT9</t>
  </si>
  <si>
    <t>DwQ9ydjNc00sR</t>
  </si>
  <si>
    <t>2026-07-14T08:22:42+05:30</t>
  </si>
  <si>
    <t>2026-07-14T13:10:44+05:30</t>
  </si>
  <si>
    <t>2026-07-14T16:10:56+05:30</t>
  </si>
  <si>
    <t>t9z86x91w3y258b@marketplace.amazon.in</t>
  </si>
  <si>
    <t>408-2607732-4396301</t>
  </si>
  <si>
    <t>TJYPfJdS9</t>
  </si>
  <si>
    <t>DRT1yBjMcJ02R</t>
  </si>
  <si>
    <t>2026-07-14T11:41:08+05:30</t>
  </si>
  <si>
    <t>2026-07-14T13:05:43+05:30</t>
  </si>
  <si>
    <t>2026-07-14T13:05:47+05:30</t>
  </si>
  <si>
    <t>2026-07-14T14:05:59+05:30</t>
  </si>
  <si>
    <t>pyzt39c80h612zw@marketplace.amazon.in</t>
  </si>
  <si>
    <t>405-1327203-6333918</t>
  </si>
  <si>
    <t>TNFf88dv9</t>
  </si>
  <si>
    <t>DTGMyCjQc80lR</t>
  </si>
  <si>
    <t>2026-07-14T09:54:11+05:30</t>
  </si>
  <si>
    <t>2026-07-14T13:04:44+05:30</t>
  </si>
  <si>
    <t>2026-07-14T16:04:59+05:30</t>
  </si>
  <si>
    <t>3lkwwd7vjbdsrnl@marketplace.amazon.in</t>
  </si>
  <si>
    <t>406-8508366-5445119</t>
  </si>
  <si>
    <t>T3HpLNdP9</t>
  </si>
  <si>
    <t>D2kgBCjScN0wR</t>
  </si>
  <si>
    <t>2026-07-14T07:01:19+05:30</t>
  </si>
  <si>
    <t>2026-07-14T12:41:46+05:30</t>
  </si>
  <si>
    <t>2026-07-14T15:41:58+05:30</t>
  </si>
  <si>
    <t>9vmlf3qls3mcrrn@marketplace.amazon.in</t>
  </si>
  <si>
    <t>PALANI</t>
  </si>
  <si>
    <t>404-8468541-3313146</t>
  </si>
  <si>
    <t>TGqsx5X14</t>
  </si>
  <si>
    <t>D27X9Tj7cz03R</t>
  </si>
  <si>
    <t>2026-07-09T20:42:34+05:30</t>
  </si>
  <si>
    <t>2026-07-14T12:19:56+05:30</t>
  </si>
  <si>
    <t>2026-07-14T15:20:09+05:30</t>
  </si>
  <si>
    <t>2m1ffzx8fkf433x@marketplace.amazon.in</t>
  </si>
  <si>
    <t>SHRIGONDA</t>
  </si>
  <si>
    <t>DT7M9Tj7cz03R</t>
  </si>
  <si>
    <t>DFHf9GjYcH0sR</t>
  </si>
  <si>
    <t>406-5289061-4869908</t>
  </si>
  <si>
    <t>Tgf7x3xc9</t>
  </si>
  <si>
    <t>D0zJ9mjYcR0JR</t>
  </si>
  <si>
    <t>2026-07-12T23:34:38+05:30</t>
  </si>
  <si>
    <t>2026-07-14T12:18:46+05:30</t>
  </si>
  <si>
    <t>2026-07-14T15:19:01+05:30</t>
  </si>
  <si>
    <t>t7ykjr18rb04kqy@marketplace.amazon.in</t>
  </si>
  <si>
    <t>403-9799256-6443512</t>
  </si>
  <si>
    <t>TC0CJLRH9</t>
  </si>
  <si>
    <t>DbvqHMjScs0BR</t>
  </si>
  <si>
    <t>2026-07-12T15:40:00+05:30</t>
  </si>
  <si>
    <t>2026-07-14T11:52:44+05:30</t>
  </si>
  <si>
    <t>2026-07-14T14:52:57+05:30</t>
  </si>
  <si>
    <t>vdkm46prhy688sp@marketplace.amazon.in</t>
  </si>
  <si>
    <t>403-1018952-3422769</t>
  </si>
  <si>
    <t>T3zTzcd09</t>
  </si>
  <si>
    <t>D498HyjBcf04R</t>
  </si>
  <si>
    <t>2026-07-13T18:01:00+05:30</t>
  </si>
  <si>
    <t>2026-07-14T11:46:47+05:30</t>
  </si>
  <si>
    <t>2026-07-14T14:46:56+05:30</t>
  </si>
  <si>
    <t>9pywms3mrj9nhmb@marketplace.amazon.in</t>
  </si>
  <si>
    <t>403-7110198-6521148</t>
  </si>
  <si>
    <t>T6B6gDdh9</t>
  </si>
  <si>
    <t>DtByHvjNcm0lR</t>
  </si>
  <si>
    <t>2026-07-14T10:07:57+05:30</t>
  </si>
  <si>
    <t>2026-07-14T11:45:42+05:30</t>
  </si>
  <si>
    <t>2026-07-14T11:45:45+05:30</t>
  </si>
  <si>
    <t>2026-07-14T12:45:56+05:30</t>
  </si>
  <si>
    <t>m94q16tvl24fh3b@marketplace.amazon.in</t>
  </si>
  <si>
    <t>2026-07-14T20:00:00+05:30</t>
  </si>
  <si>
    <t>404-2955609-9908322</t>
  </si>
  <si>
    <t>TVmktPJy9</t>
  </si>
  <si>
    <t>DhGzHsjlcZ0vR</t>
  </si>
  <si>
    <t>2026-07-12T23:27:37+05:30</t>
  </si>
  <si>
    <t>2026-07-14T11:39:48+05:30</t>
  </si>
  <si>
    <t>2026-07-14T11:39:52+05:30</t>
  </si>
  <si>
    <t>2026-07-14T12:40:03+05:30</t>
  </si>
  <si>
    <t>bfz0nj4xk635gf4@marketplace.amazon.in</t>
  </si>
  <si>
    <t>171-8943871-8993930</t>
  </si>
  <si>
    <t>Twpc0ydn9</t>
  </si>
  <si>
    <t>DtvLbhj7c80nR</t>
  </si>
  <si>
    <t>2026-07-14T08:56:30+05:30</t>
  </si>
  <si>
    <t>2026-07-14T11:38:39+05:30</t>
  </si>
  <si>
    <t>2026-07-14T11:38:42+05:30</t>
  </si>
  <si>
    <t>2026-07-14T12:38:53+05:30</t>
  </si>
  <si>
    <t>g77wxnwcsmlcr6k@marketplace.amazon.in</t>
  </si>
  <si>
    <t>406-3405380-4097113</t>
  </si>
  <si>
    <t>Tc8zgTrf9</t>
  </si>
  <si>
    <t>D8JKbKjWcF0TR</t>
  </si>
  <si>
    <t>2026-07-14T00:12:45+05:30</t>
  </si>
  <si>
    <t>2026-07-14T11:21:47+05:30</t>
  </si>
  <si>
    <t>2026-07-14T14:21:59+05:30</t>
  </si>
  <si>
    <t>h9sk04nc9byxp0t@marketplace.amazon.in</t>
  </si>
  <si>
    <t>404-5567003-6649940</t>
  </si>
  <si>
    <t>TGhS35r09</t>
  </si>
  <si>
    <t>DQY7k8jvcJ0jR</t>
  </si>
  <si>
    <t>2026-07-13T21:15:50+05:30</t>
  </si>
  <si>
    <t>2026-07-14T11:07:48+05:30</t>
  </si>
  <si>
    <t>2026-07-14T14:08:02+05:30</t>
  </si>
  <si>
    <t>knxhbhs5j32wy9w@marketplace.amazon.in</t>
  </si>
  <si>
    <t>403-9711665-7305962</t>
  </si>
  <si>
    <t>TgWhMBpX9</t>
  </si>
  <si>
    <t>DXvGNgjWcB0zR</t>
  </si>
  <si>
    <t>2026-07-11T20:14:58+05:30</t>
  </si>
  <si>
    <t>2026-07-14T11:05:51+05:30</t>
  </si>
  <si>
    <t>2026-07-14T14:06:08+05:30</t>
  </si>
  <si>
    <t>gtyxtv2djtxv86j@marketplace.amazon.in</t>
  </si>
  <si>
    <t>403-0158046-7682740</t>
  </si>
  <si>
    <t>TnW2QMdv9</t>
  </si>
  <si>
    <t>DTHxkKjNcJ05R</t>
  </si>
  <si>
    <t>2026-07-14T04:01:04+05:30</t>
  </si>
  <si>
    <t>2026-07-14T11:05:46+05:30</t>
  </si>
  <si>
    <t>2026-07-14T14:05:58+05:30</t>
  </si>
  <si>
    <t>5h2q8q9rbd1qlzm@marketplace.amazon.in</t>
  </si>
  <si>
    <t>407-0874026-6084357</t>
  </si>
  <si>
    <t>TV8fGsdg9</t>
  </si>
  <si>
    <t>DzW5NcjjcR0WR</t>
  </si>
  <si>
    <t>2026-07-14T08:04:05+05:30</t>
  </si>
  <si>
    <t>2026-07-14T10:57:48+05:30</t>
  </si>
  <si>
    <t>2026-07-14T13:58:02+05:30</t>
  </si>
  <si>
    <t>qm6wpgm6p3v580s@marketplace.amazon.in</t>
  </si>
  <si>
    <t>ARCOT</t>
  </si>
  <si>
    <t>406-6149634-7246730</t>
  </si>
  <si>
    <t>TcS7SxdM9</t>
  </si>
  <si>
    <t>Dp6wNmjNcS0JR</t>
  </si>
  <si>
    <t>2026-07-14T08:13:47+05:30</t>
  </si>
  <si>
    <t>2026-07-14T10:53:43+05:30</t>
  </si>
  <si>
    <t>2026-07-14T13:53:57+05:30</t>
  </si>
  <si>
    <t>d02rc3b6xpqv86f@marketplace.amazon.in</t>
  </si>
  <si>
    <t>404-0172129-8349160</t>
  </si>
  <si>
    <t>TN3Lkcdk9</t>
  </si>
  <si>
    <t>DjZRRvj8cZ0qR</t>
  </si>
  <si>
    <t>2026-07-14T00:37:08+05:30</t>
  </si>
  <si>
    <t>2026-07-14T10:37:38+05:30</t>
  </si>
  <si>
    <t>2026-07-14T13:37:46+05:30</t>
  </si>
  <si>
    <t>5jgmwm9347q6zrd@marketplace.amazon.in</t>
  </si>
  <si>
    <t>408-9553938-9279522</t>
  </si>
  <si>
    <t>T1rrFZdn9</t>
  </si>
  <si>
    <t>DP15hw1lcx0KR</t>
  </si>
  <si>
    <t>2026-07-14T02:41:09+05:30</t>
  </si>
  <si>
    <t>2026-07-14T10:27:42+05:30</t>
  </si>
  <si>
    <t>2026-07-14T13:27:54+05:30</t>
  </si>
  <si>
    <t>5fldx435h0qyy07@marketplace.amazon.in</t>
  </si>
  <si>
    <t>406-7007392-7663566</t>
  </si>
  <si>
    <t>TXGpf6rX9</t>
  </si>
  <si>
    <t>DzXghh1Fc008R</t>
  </si>
  <si>
    <t>2026-07-13T23:02:24+05:30</t>
  </si>
  <si>
    <t>2026-07-14T10:25:47+05:30</t>
  </si>
  <si>
    <t>2026-07-14T13:25:59+05:30</t>
  </si>
  <si>
    <t>jtz0lsbgvgv3cgt@marketplace.amazon.in</t>
  </si>
  <si>
    <t>171-7386438-0164301</t>
  </si>
  <si>
    <t>TJn3ZRrT9</t>
  </si>
  <si>
    <t>D21ch01jcm0lR</t>
  </si>
  <si>
    <t>2026-07-13T23:26:46+05:30</t>
  </si>
  <si>
    <t>2026-07-14T10:24:47+05:30</t>
  </si>
  <si>
    <t>2026-07-14T13:24:58+05:30</t>
  </si>
  <si>
    <t>5msbfrw3ywdzmpw@marketplace.amazon.in</t>
  </si>
  <si>
    <t>ropar</t>
  </si>
  <si>
    <t>404-8687698-8718769</t>
  </si>
  <si>
    <t>TcDsGJrX9</t>
  </si>
  <si>
    <t>D9V1h016ck0TR</t>
  </si>
  <si>
    <t>2026-07-13T19:21:42+05:30</t>
  </si>
  <si>
    <t>2026-07-14T10:18:51+05:30</t>
  </si>
  <si>
    <t>2026-07-14T13:19:02+05:30</t>
  </si>
  <si>
    <t>6sk9jdzxrqpxns7@marketplace.amazon.in</t>
  </si>
  <si>
    <t>407-8386794-0008303</t>
  </si>
  <si>
    <t>TGmpSjds9</t>
  </si>
  <si>
    <t>DzZxhZ1kcv07R</t>
  </si>
  <si>
    <t>2026-07-14T08:11:27+05:30</t>
  </si>
  <si>
    <t>2026-07-14T10:17:46+05:30</t>
  </si>
  <si>
    <t>2026-07-14T13:17:59+05:30</t>
  </si>
  <si>
    <t>8j0scr8dmp398j8@marketplace.amazon.in</t>
  </si>
  <si>
    <t>403-6147264-4977924</t>
  </si>
  <si>
    <t>Tccx5hr39</t>
  </si>
  <si>
    <t>D7sBhY10c409R</t>
  </si>
  <si>
    <t>2026-07-14T00:28:56+05:30</t>
  </si>
  <si>
    <t>2026-07-14T10:16:48+05:30</t>
  </si>
  <si>
    <t>2026-07-14T13:17:05+05:30</t>
  </si>
  <si>
    <t>f642gc43q3gf9kb@marketplace.amazon.in</t>
  </si>
  <si>
    <t>405-6065379-0863534</t>
  </si>
  <si>
    <t>TCL3lNNl4</t>
  </si>
  <si>
    <t>DPs0h31nc409R</t>
  </si>
  <si>
    <t>2026-07-08T07:43:16+05:30</t>
  </si>
  <si>
    <t>2026-07-14T10:13:46+05:30</t>
  </si>
  <si>
    <t>2026-07-14T13:13:59+05:30</t>
  </si>
  <si>
    <t>kzk2zhc9tp0j6nz@marketplace.amazon.in</t>
  </si>
  <si>
    <t>404-8664450-2001926</t>
  </si>
  <si>
    <t>T1ZWsQdg9</t>
  </si>
  <si>
    <t>Dthwjn1ccg0BR</t>
  </si>
  <si>
    <t>2026-07-14T05:29:25+05:30</t>
  </si>
  <si>
    <t>2026-07-14T09:46:44+05:30</t>
  </si>
  <si>
    <t>2026-07-14T12:46:55+05:30</t>
  </si>
  <si>
    <t>tzhz45gn0nz31b4@marketplace.amazon.in</t>
  </si>
  <si>
    <t>408-3109025-5353901</t>
  </si>
  <si>
    <t>TC5rLRy54</t>
  </si>
  <si>
    <t>Dr6njz1qcM0RR</t>
  </si>
  <si>
    <t>2026-07-07T12:13:49+05:30</t>
  </si>
  <si>
    <t>2026-07-14T09:43:44+05:30</t>
  </si>
  <si>
    <t>2026-07-14T12:43:57+05:30</t>
  </si>
  <si>
    <t>mv73xksqrtc7v07@marketplace.amazon.in</t>
  </si>
  <si>
    <t>D86Djf1gcM0RR</t>
  </si>
  <si>
    <t>403-1725924-0154752</t>
  </si>
  <si>
    <t>TC0LdYdt9</t>
  </si>
  <si>
    <t>D8GbjN1GcN0ZR</t>
  </si>
  <si>
    <t>2026-07-14T08:08:24+05:30</t>
  </si>
  <si>
    <t>2026-07-14T09:42:42+05:30</t>
  </si>
  <si>
    <t>2026-07-14T12:42:54+05:30</t>
  </si>
  <si>
    <t>pbff2vzmrf6mx0h@marketplace.amazon.in</t>
  </si>
  <si>
    <t>GADWAL</t>
  </si>
  <si>
    <t>403-8041500-4061931</t>
  </si>
  <si>
    <t>Tczd2vrN9</t>
  </si>
  <si>
    <t>DnjnZk1Dcj0KR</t>
  </si>
  <si>
    <t>2026-07-12T10:19:40+05:30</t>
  </si>
  <si>
    <t>2026-07-14T09:36:55+05:30</t>
  </si>
  <si>
    <t>2026-07-14T12:37:09+05:30</t>
  </si>
  <si>
    <t>0mz8x29ntp0j396@marketplace.amazon.in</t>
  </si>
  <si>
    <t>406-6892047-2736364</t>
  </si>
  <si>
    <t>Tc5BCrr59</t>
  </si>
  <si>
    <t>DfgNZw1PcM08R</t>
  </si>
  <si>
    <t>2026-07-13T22:00:27+05:30</t>
  </si>
  <si>
    <t>2026-07-14T09:35:50+05:30</t>
  </si>
  <si>
    <t>2026-07-14T12:36:06+05:30</t>
  </si>
  <si>
    <t>1ft3hx7jymw349s@marketplace.amazon.in</t>
  </si>
  <si>
    <t>404-6345439-6211508</t>
  </si>
  <si>
    <t>TnDp1mRg9</t>
  </si>
  <si>
    <t>D83kZB19c708R</t>
  </si>
  <si>
    <t>2026-07-07T08:22:10+05:30</t>
  </si>
  <si>
    <t>2026-07-14T09:33:43+05:30</t>
  </si>
  <si>
    <t>2026-07-14T09:33:46+05:30</t>
  </si>
  <si>
    <t>2026-07-14T10:33:58+05:30</t>
  </si>
  <si>
    <t>cjsc9j2wnb07h13@marketplace.amazon.in</t>
  </si>
  <si>
    <t>404-0474061-4145130</t>
  </si>
  <si>
    <t>TwRSngrH9</t>
  </si>
  <si>
    <t>Df3WZy19c708R</t>
  </si>
  <si>
    <t>2026-07-13T22:32:23+05:30</t>
  </si>
  <si>
    <t>2026-07-14T09:32:51+05:30</t>
  </si>
  <si>
    <t>2026-07-14T12:33:03+05:30</t>
  </si>
  <si>
    <t>fc4glh9hb9nd36z@marketplace.amazon.in</t>
  </si>
  <si>
    <t>DxjnZ913cC0SR</t>
  </si>
  <si>
    <t>404-5747857-4228368</t>
  </si>
  <si>
    <t>TCJ8HNdf9</t>
  </si>
  <si>
    <t>DVgXZK17cM08R</t>
  </si>
  <si>
    <t>2026-07-14T01:30:31+05:30</t>
  </si>
  <si>
    <t>2026-07-14T09:32:44+05:30</t>
  </si>
  <si>
    <t>2026-07-14T09:32:47+05:30</t>
  </si>
  <si>
    <t>2026-07-14T10:32:58+05:30</t>
  </si>
  <si>
    <t>ctwlhk7rtl73srg@marketplace.amazon.in</t>
  </si>
  <si>
    <t>408-2621459-4466752</t>
  </si>
  <si>
    <t>TN5FR4dN9</t>
  </si>
  <si>
    <t>D8sRZ11Lcj01R</t>
  </si>
  <si>
    <t>2026-07-13T17:55:26+05:30</t>
  </si>
  <si>
    <t>2026-07-14T09:29:46+05:30</t>
  </si>
  <si>
    <t>2026-07-14T12:30:04+05:30</t>
  </si>
  <si>
    <t>qh1yq443fqbzq69@marketplace.amazon.in</t>
  </si>
  <si>
    <t>408-2831050-2322700</t>
  </si>
  <si>
    <t>T60f13rB9</t>
  </si>
  <si>
    <t>DKYcZm1fc10sR</t>
  </si>
  <si>
    <t>2026-07-13T20:14:41+05:30</t>
  </si>
  <si>
    <t>2026-07-14T09:28:49+05:30</t>
  </si>
  <si>
    <t>2026-07-14T12:29:01+05:30</t>
  </si>
  <si>
    <t>r50pys9383t7prb@marketplace.amazon.in</t>
  </si>
  <si>
    <t>403-9250683-4246714</t>
  </si>
  <si>
    <t>T6fHNHJR9</t>
  </si>
  <si>
    <t>DJc5Z21Lcj0PR</t>
  </si>
  <si>
    <t>2026-07-12T09:41:34+05:30</t>
  </si>
  <si>
    <t>2026-07-14T09:26:52+05:30</t>
  </si>
  <si>
    <t>2026-07-14T12:27:03+05:30</t>
  </si>
  <si>
    <t>h0c3c8b16lcxkys@marketplace.amazon.in</t>
  </si>
  <si>
    <t>407-1785835-9519543</t>
  </si>
  <si>
    <t>T3n2DfKH4</t>
  </si>
  <si>
    <t>DzppZQ10c50zR</t>
  </si>
  <si>
    <t>2026-07-10T01:05:37+05:30</t>
  </si>
  <si>
    <t>2026-07-14T09:17:52+05:30</t>
  </si>
  <si>
    <t>2026-07-14T12:18:04+05:30</t>
  </si>
  <si>
    <t>5pjbmc3hvn995sk@marketplace.amazon.in</t>
  </si>
  <si>
    <t>404-1174307-6622700</t>
  </si>
  <si>
    <t>TC1FHHrH9</t>
  </si>
  <si>
    <t>DJwXqp1Jc10yR</t>
  </si>
  <si>
    <t>2026-07-13T17:20:06+05:30</t>
  </si>
  <si>
    <t>2026-07-14T09:14:43+05:30</t>
  </si>
  <si>
    <t>2026-07-14T12:14:54+05:30</t>
  </si>
  <si>
    <t>8l7dl602f93rmtv@marketplace.amazon.in</t>
  </si>
  <si>
    <t>405-7892776-9733937</t>
  </si>
  <si>
    <t>TgJBqyrR9</t>
  </si>
  <si>
    <t>D0wQqJ1rc10yR</t>
  </si>
  <si>
    <t>2026-07-13T22:06:56+05:30</t>
  </si>
  <si>
    <t>2026-07-14T09:13:45+05:30</t>
  </si>
  <si>
    <t>2026-07-14T12:13:56+05:30</t>
  </si>
  <si>
    <t>3ynh88ww5c915f4@marketplace.amazon.in</t>
  </si>
  <si>
    <t>Hindupur</t>
  </si>
  <si>
    <t>405-4476761-0145926</t>
  </si>
  <si>
    <t>T1WwsRrF9</t>
  </si>
  <si>
    <t>DQcHqh1Xc40jR</t>
  </si>
  <si>
    <t>2026-07-13T19:37:30+05:30</t>
  </si>
  <si>
    <t>2026-07-14T09:07:43+05:30</t>
  </si>
  <si>
    <t>2026-07-14T12:07:54+05:30</t>
  </si>
  <si>
    <t>kdtw809rlj7dmx6@marketplace.amazon.in</t>
  </si>
  <si>
    <t>Ulubaria</t>
  </si>
  <si>
    <t>408-6304092-8788333</t>
  </si>
  <si>
    <t>Tw9KPSr19</t>
  </si>
  <si>
    <t>DWFS5j1gc60LR</t>
  </si>
  <si>
    <t>2026-07-13T21:07:21+05:30</t>
  </si>
  <si>
    <t>2026-07-14T08:57:46+05:30</t>
  </si>
  <si>
    <t>2026-07-14T11:58:00+05:30</t>
  </si>
  <si>
    <t>nr6py6mfdpc5xrs@marketplace.amazon.in</t>
  </si>
  <si>
    <t>405-1180937-3222719</t>
  </si>
  <si>
    <t>TVQRJ3rh9</t>
  </si>
  <si>
    <t>DqGN5F1vcC04R</t>
  </si>
  <si>
    <t>2026-07-13T20:17:07+05:30</t>
  </si>
  <si>
    <t>2026-07-14T08:57:45+05:30</t>
  </si>
  <si>
    <t>2026-07-14T11:57:58+05:30</t>
  </si>
  <si>
    <t>f1nr33mb97lzcz2@marketplace.amazon.in</t>
  </si>
  <si>
    <t>Dqv7gX1Wcl0RR</t>
  </si>
  <si>
    <t>DkvNgX1Wcl0RR</t>
  </si>
  <si>
    <t>Dtv6gv1Wcl0RR</t>
  </si>
  <si>
    <t>DHvzgv1Wcl0RR</t>
  </si>
  <si>
    <t>DxvZgS1Wcl0RR</t>
  </si>
  <si>
    <t>407-2066953-9312329</t>
  </si>
  <si>
    <t>TNpZgDrf9</t>
  </si>
  <si>
    <t>DVGP5F1YcC04R</t>
  </si>
  <si>
    <t>2026-07-13T23:33:38+05:30</t>
  </si>
  <si>
    <t>2026-07-14T08:55:41+05:30</t>
  </si>
  <si>
    <t>2026-07-14T08:55:45+05:30</t>
  </si>
  <si>
    <t>2026-07-14T09:55:56+05:30</t>
  </si>
  <si>
    <t>p22fdrhp22ymw59@marketplace.amazon.in</t>
  </si>
  <si>
    <t>403-3026724-5964338</t>
  </si>
  <si>
    <t>TGLcBTxT9</t>
  </si>
  <si>
    <t>DCYPgz1ccd0cR</t>
  </si>
  <si>
    <t>2026-07-12T21:33:28+05:30</t>
  </si>
  <si>
    <t>2026-07-14T08:54:46+05:30</t>
  </si>
  <si>
    <t>2026-07-14T11:54:57+05:30</t>
  </si>
  <si>
    <t>8wnkp3tdcnz73yp@marketplace.amazon.in</t>
  </si>
  <si>
    <t>PULWAMA</t>
  </si>
  <si>
    <t>406-5709130-4140336</t>
  </si>
  <si>
    <t>TJjL0WKd4</t>
  </si>
  <si>
    <t>DmYGg71Ycd0cR</t>
  </si>
  <si>
    <t>2026-07-10T09:47:50+05:30</t>
  </si>
  <si>
    <t>2026-07-14T08:51:44+05:30</t>
  </si>
  <si>
    <t>2026-07-14T11:51:57+05:30</t>
  </si>
  <si>
    <t>402-6160879-9918725</t>
  </si>
  <si>
    <t>Tg2bx1r69</t>
  </si>
  <si>
    <t>DqvxgL1Mcl0RR</t>
  </si>
  <si>
    <t>2026-07-13T22:21:06+05:30</t>
  </si>
  <si>
    <t>2026-07-14T08:49:44+05:30</t>
  </si>
  <si>
    <t>2026-07-14T11:49:56+05:30</t>
  </si>
  <si>
    <t>bv0h97r9bp47zxf@marketplace.amazon.in</t>
  </si>
  <si>
    <t>SHILLONG</t>
  </si>
  <si>
    <t>MEGHALAYA</t>
  </si>
  <si>
    <t>403-0177883-1309126</t>
  </si>
  <si>
    <t>TGjD3hn69</t>
  </si>
  <si>
    <t>DjfDth14cD0JR</t>
  </si>
  <si>
    <t>2026-07-11T16:42:30+05:30</t>
  </si>
  <si>
    <t>2026-07-14T04:38:44+05:30</t>
  </si>
  <si>
    <t>2026-07-14T07:38:58+05:30</t>
  </si>
  <si>
    <t>5jb257x7cflhwcx@marketplace.amazon.in</t>
  </si>
  <si>
    <t>DZf8tz14cD0JR</t>
  </si>
  <si>
    <t>DYfJtK1kcD0JR</t>
  </si>
  <si>
    <t>407-9606523-3017136</t>
  </si>
  <si>
    <t>TJ9ZtPrF9</t>
  </si>
  <si>
    <t>DjfQtL12cp02R</t>
  </si>
  <si>
    <t>2026-07-13T22:05:24+05:30</t>
  </si>
  <si>
    <t>2026-07-14T04:31:43+05:30</t>
  </si>
  <si>
    <t>2026-07-14T04:31:45+05:30</t>
  </si>
  <si>
    <t>2026-07-14T05:31:56+05:30</t>
  </si>
  <si>
    <t>7yqdr0712x3kc3p@marketplace.amazon.in</t>
  </si>
  <si>
    <t>407-7280279-5393143</t>
  </si>
  <si>
    <t>TgmzMlJ89</t>
  </si>
  <si>
    <t>DRfHtm1dc80JR</t>
  </si>
  <si>
    <t>2026-07-13T11:03:56+05:30</t>
  </si>
  <si>
    <t>2026-07-14T07:31:55+05:30</t>
  </si>
  <si>
    <t>w5c1shtjrj5nbgk@marketplace.amazon.in</t>
  </si>
  <si>
    <t>403-5645158-0020314</t>
  </si>
  <si>
    <t>T1vCPJr19</t>
  </si>
  <si>
    <t>Df6MPS1Lc60wR</t>
  </si>
  <si>
    <t>2026-07-13T21:35:46+05:30</t>
  </si>
  <si>
    <t>2026-07-14T04:26:42+05:30</t>
  </si>
  <si>
    <t>2026-07-14T07:26:54+05:30</t>
  </si>
  <si>
    <t>2ydv3q1xh4spp02@marketplace.amazon.in</t>
  </si>
  <si>
    <t>403-8798749-9294708</t>
  </si>
  <si>
    <t>T1cnmxrB9</t>
  </si>
  <si>
    <t>D768Pt1vc60wR</t>
  </si>
  <si>
    <t>2026-07-13T22:35:40+05:30</t>
  </si>
  <si>
    <t>2026-07-14T04:24:44+05:30</t>
  </si>
  <si>
    <t>2026-07-14T07:24:55+05:30</t>
  </si>
  <si>
    <t>q1dxv1qh0jzvdb4@marketplace.amazon.in</t>
  </si>
  <si>
    <t>406-1006951-3517154</t>
  </si>
  <si>
    <t>TG2tzsng9</t>
  </si>
  <si>
    <t>DckpPf1Lc804R</t>
  </si>
  <si>
    <t>2026-07-11T15:27:34+05:30</t>
  </si>
  <si>
    <t>2026-07-14T04:23:40+05:30</t>
  </si>
  <si>
    <t>2026-07-14T04:23:43+05:30</t>
  </si>
  <si>
    <t>2026-07-14T05:23:53+05:30</t>
  </si>
  <si>
    <t>f9h8ylkjrcyf8nt@marketplace.amazon.in</t>
  </si>
  <si>
    <t>404-3805577-2453941</t>
  </si>
  <si>
    <t>Tcg23hx99</t>
  </si>
  <si>
    <t>Dbb6TK1scx0fR</t>
  </si>
  <si>
    <t>2026-07-12T23:06:48+05:30</t>
  </si>
  <si>
    <t>2026-07-14T04:00:50+05:30</t>
  </si>
  <si>
    <t>2026-07-14T07:01:01+05:30</t>
  </si>
  <si>
    <t>1wxxn605ghhk73b@marketplace.amazon.in</t>
  </si>
  <si>
    <t>406-7052305-9702728</t>
  </si>
  <si>
    <t>TC2mFzJD9</t>
  </si>
  <si>
    <t>Dt5Gn71qcQ0JR</t>
  </si>
  <si>
    <t>2026-07-12T22:45:50+05:30</t>
  </si>
  <si>
    <t>2026-07-14T03:50:48+05:30</t>
  </si>
  <si>
    <t>2026-07-14T06:50:59+05:30</t>
  </si>
  <si>
    <t>dyxjtzwy4fc50mm@marketplace.amazon.in</t>
  </si>
  <si>
    <t>406-4727967-7673909</t>
  </si>
  <si>
    <t>TGGqJBrp9</t>
  </si>
  <si>
    <t>Dsmvn31Fcs0PR</t>
  </si>
  <si>
    <t>2026-07-13T19:52:55+05:30</t>
  </si>
  <si>
    <t>2026-07-14T03:47:49+05:30</t>
  </si>
  <si>
    <t>2026-07-14T06:48:07+05:30</t>
  </si>
  <si>
    <t>fjsy120gvlhz0vn@marketplace.amazon.in</t>
  </si>
  <si>
    <t>404-5598586-3484326</t>
  </si>
  <si>
    <t>T6nGtxJ39</t>
  </si>
  <si>
    <t>DJ4mxP1tc60jR</t>
  </si>
  <si>
    <t>2026-07-13T12:22:14+05:30</t>
  </si>
  <si>
    <t>2026-07-14T03:37:44+05:30</t>
  </si>
  <si>
    <t>2026-07-14T06:37:56+05:30</t>
  </si>
  <si>
    <t>x86kw5955yn1w44@marketplace.amazon.in</t>
  </si>
  <si>
    <t>405-7345935-0913937</t>
  </si>
  <si>
    <t>TgzNGgxC9</t>
  </si>
  <si>
    <t>DgXhxk1fcg07R</t>
  </si>
  <si>
    <t>2026-07-12T19:20:03+05:30</t>
  </si>
  <si>
    <t>2026-07-14T03:35:40+05:30</t>
  </si>
  <si>
    <t>2026-07-14T03:35:43+05:30</t>
  </si>
  <si>
    <t>2026-07-14T04:35:54+05:30</t>
  </si>
  <si>
    <t>lsgmmrqkt1wmzcr@marketplace.amazon.in</t>
  </si>
  <si>
    <t>403-2274452-9202734</t>
  </si>
  <si>
    <t>TXBzB7J39</t>
  </si>
  <si>
    <t>DNKD3W1pc40SR</t>
  </si>
  <si>
    <t>2026-07-12T20:41:50+05:30</t>
  </si>
  <si>
    <t>2026-07-14T03:19:50+05:30</t>
  </si>
  <si>
    <t>2026-07-14T03:19:56+05:30</t>
  </si>
  <si>
    <t>2026-07-14T04:20:15+05:30</t>
  </si>
  <si>
    <t>q7hbktwgmlmx1rh@marketplace.amazon.in</t>
  </si>
  <si>
    <t>AM007046846IN</t>
  </si>
  <si>
    <t>404-6496340-0450702</t>
  </si>
  <si>
    <t>TcNK1BJ09</t>
  </si>
  <si>
    <t>D74f3K1Hcd0JR</t>
  </si>
  <si>
    <t>2026-07-13T09:47:53+05:30</t>
  </si>
  <si>
    <t>2026-07-14T03:15:48+05:30</t>
  </si>
  <si>
    <t>2026-07-14T06:16:00+05:30</t>
  </si>
  <si>
    <t>zx3dk67byp3m6ch@marketplace.amazon.in</t>
  </si>
  <si>
    <t>408-4076256-5326756</t>
  </si>
  <si>
    <t>TCcHqynm9</t>
  </si>
  <si>
    <t>DT9J3j15cP01R</t>
  </si>
  <si>
    <t>2026-07-11T19:43:33+05:30</t>
  </si>
  <si>
    <t>2026-07-14T03:13:46+05:30</t>
  </si>
  <si>
    <t>2026-07-14T06:13:58+05:30</t>
  </si>
  <si>
    <t>0fvvdvrvfmf1mmb@marketplace.amazon.in</t>
  </si>
  <si>
    <t>DIST- BANKURA</t>
  </si>
  <si>
    <t>AM007048294IN</t>
  </si>
  <si>
    <t>171-1652078-4198767</t>
  </si>
  <si>
    <t>TGrldJJK9</t>
  </si>
  <si>
    <t>DZ0f3M17cw0JR</t>
  </si>
  <si>
    <t>2026-07-13T12:21:46+05:30</t>
  </si>
  <si>
    <t>2026-07-14T03:12:47+05:30</t>
  </si>
  <si>
    <t>2026-07-14T06:13:00+05:30</t>
  </si>
  <si>
    <t>20wsp3259ymtx6s@marketplace.amazon.in</t>
  </si>
  <si>
    <t>408-3611985-5245969</t>
  </si>
  <si>
    <t>TGkXNXnL9</t>
  </si>
  <si>
    <t>D9VpJ91dcy0qR</t>
  </si>
  <si>
    <t>2026-07-11T12:01:36+05:30</t>
  </si>
  <si>
    <t>2026-07-14T02:55:46+05:30</t>
  </si>
  <si>
    <t>2026-07-14T02:55:50+05:30</t>
  </si>
  <si>
    <t>2026-07-14T03:56:00+05:30</t>
  </si>
  <si>
    <t>84swpm4wrf41c1l@marketplace.amazon.in</t>
  </si>
  <si>
    <t>402-7138914-0459559</t>
  </si>
  <si>
    <t>T6BLmXKY4</t>
  </si>
  <si>
    <t>DWrHM01ycg0wR</t>
  </si>
  <si>
    <t>2026-07-10T08:45:22+05:30</t>
  </si>
  <si>
    <t>2026-07-14T02:30:43+05:30</t>
  </si>
  <si>
    <t>2026-07-14T05:30:54+05:30</t>
  </si>
  <si>
    <t>y43sclq5pjhjz1n@marketplace.amazon.in</t>
  </si>
  <si>
    <t>408-7728240-0505934</t>
  </si>
  <si>
    <t>T6XngcJt9</t>
  </si>
  <si>
    <t>DwGJrc1kcN05R</t>
  </si>
  <si>
    <t>2026-07-13T16:21:53+05:30</t>
  </si>
  <si>
    <t>2026-07-14T02:02:45+05:30</t>
  </si>
  <si>
    <t>2026-07-14T05:02:57+05:30</t>
  </si>
  <si>
    <t>f6v8b3l794z8h7c@marketplace.amazon.in</t>
  </si>
  <si>
    <t>407-5233708-8189937</t>
  </si>
  <si>
    <t>TGhxXXr99</t>
  </si>
  <si>
    <t>DvkD711mct00R</t>
  </si>
  <si>
    <t>2026-07-13T21:54:42+05:30</t>
  </si>
  <si>
    <t>2026-07-14T01:48:43+05:30</t>
  </si>
  <si>
    <t>2026-07-14T04:48:58+05:30</t>
  </si>
  <si>
    <t>f7c6pt4ryvy63pl@marketplace.amazon.in</t>
  </si>
  <si>
    <t>402-1285217-6105967</t>
  </si>
  <si>
    <t>TJrV3cJD9</t>
  </si>
  <si>
    <t>D10Y7y1Lcr0YR</t>
  </si>
  <si>
    <t>2026-07-13T12:28:41+05:30</t>
  </si>
  <si>
    <t>2026-07-14T01:44:47+05:30</t>
  </si>
  <si>
    <t>2026-07-14T04:45:01+05:30</t>
  </si>
  <si>
    <t>q9gwwyl4554tp3y@marketplace.amazon.in</t>
  </si>
  <si>
    <t>MORADABAD</t>
  </si>
  <si>
    <t>405-4587457-2697147</t>
  </si>
  <si>
    <t>Twn4tXrw9</t>
  </si>
  <si>
    <t>DHJDLZ1QcD07R</t>
  </si>
  <si>
    <t>2026-07-13T21:27:25+05:30</t>
  </si>
  <si>
    <t>2026-07-14T01:22:47+05:30</t>
  </si>
  <si>
    <t>2026-07-14T04:23:06+05:30</t>
  </si>
  <si>
    <t>7x950vt7bylszjc@marketplace.amazon.in</t>
  </si>
  <si>
    <t>408-5071195-0613956</t>
  </si>
  <si>
    <t>TV2Q4wJK9</t>
  </si>
  <si>
    <t>DmxPLD1ncR0tR</t>
  </si>
  <si>
    <t>2026-07-12T19:33:29+05:30</t>
  </si>
  <si>
    <t>2026-07-14T01:20:43+05:30</t>
  </si>
  <si>
    <t>2026-07-14T04:20:54+05:30</t>
  </si>
  <si>
    <t>7780gct83dmfllh@marketplace.amazon.in</t>
  </si>
  <si>
    <t>PERAMBAKKAM</t>
  </si>
  <si>
    <t>AC003504617IN</t>
  </si>
  <si>
    <t>404-0114494-5887524</t>
  </si>
  <si>
    <t>TJmCvgrF9</t>
  </si>
  <si>
    <t>DypjsK1lck0KR</t>
  </si>
  <si>
    <t>2026-07-13T17:36:10+05:30</t>
  </si>
  <si>
    <t>2026-07-14T01:04:46+05:30</t>
  </si>
  <si>
    <t>2026-07-14T04:04:57+05:30</t>
  </si>
  <si>
    <t>cc1m7fvv5n9y6x3@marketplace.amazon.in</t>
  </si>
  <si>
    <t>404-3567460-0184331</t>
  </si>
  <si>
    <t>TwVjMVrT9</t>
  </si>
  <si>
    <t>DNBcQf1LcX0HR</t>
  </si>
  <si>
    <t>2026-07-13T20:01:22+05:30</t>
  </si>
  <si>
    <t>2026-07-14T01:00:49+05:30</t>
  </si>
  <si>
    <t>2026-07-14T04:01:07+05:30</t>
  </si>
  <si>
    <t>vncw7v09jb76vcs@marketplace.amazon.in</t>
  </si>
  <si>
    <t>408-4472168-9424318</t>
  </si>
  <si>
    <t>TGccf1rP9</t>
  </si>
  <si>
    <t>DnWGQz1tcS04R</t>
  </si>
  <si>
    <t>2026-07-13T23:14:39+05:30</t>
  </si>
  <si>
    <t>2026-07-14T00:54:44+05:30</t>
  </si>
  <si>
    <t>2026-07-14T00:54:47+05:30</t>
  </si>
  <si>
    <t>2026-07-14T01:54:58+05:30</t>
  </si>
  <si>
    <t>shddv31gsxfdzqz@marketplace.amazon.in</t>
  </si>
  <si>
    <t>404-6042893-0628345</t>
  </si>
  <si>
    <t>TGDlZzrt9</t>
  </si>
  <si>
    <t>Db56cm1bcS0HR</t>
  </si>
  <si>
    <t>2026-07-13T23:21:29+05:30</t>
  </si>
  <si>
    <t>2026-07-14T00:50:42+05:30</t>
  </si>
  <si>
    <t>2026-07-14T00:50:45+05:30</t>
  </si>
  <si>
    <t>2026-07-14T01:50:56+05:30</t>
  </si>
  <si>
    <t>51clb451f703c8c@marketplace.amazon.in</t>
  </si>
  <si>
    <t>171-9752378-7707566</t>
  </si>
  <si>
    <t>TJhGdvrx9</t>
  </si>
  <si>
    <t>DxNjc41Qcx0zR</t>
  </si>
  <si>
    <t>2026-07-13T20:00:19+05:30</t>
  </si>
  <si>
    <t>2026-07-14T00:46:45+05:30</t>
  </si>
  <si>
    <t>2026-07-14T00:46:49+05:30</t>
  </si>
  <si>
    <t>2026-07-14T01:47:05+05:30</t>
  </si>
  <si>
    <t>btsxm2ctggvd3sc@marketplace.amazon.in</t>
  </si>
  <si>
    <t>2026-07-14T08:00:00+05:30</t>
  </si>
  <si>
    <t>402-3593456-6268324</t>
  </si>
  <si>
    <t>TNSFyKJ39</t>
  </si>
  <si>
    <t>D3TpcB1tcT0JR</t>
  </si>
  <si>
    <t>2026-07-13T07:44:58+05:30</t>
  </si>
  <si>
    <t>2026-07-14T00:38:45+05:30</t>
  </si>
  <si>
    <t>2026-07-14T03:38:58+05:30</t>
  </si>
  <si>
    <t>d5bhhldjj067mgq@marketplace.amazon.in</t>
  </si>
  <si>
    <t>THIRUVALAM</t>
  </si>
  <si>
    <t>406-4595169-5850732</t>
  </si>
  <si>
    <t>TwD4jLnz9</t>
  </si>
  <si>
    <t>DDgCcC1ncG0gR</t>
  </si>
  <si>
    <t>2026-07-11T12:44:47+05:30</t>
  </si>
  <si>
    <t>2026-07-14T00:37:47+05:30</t>
  </si>
  <si>
    <t>2026-07-14T00:37:50+05:30</t>
  </si>
  <si>
    <t>2026-07-14T01:38:08+05:30</t>
  </si>
  <si>
    <t>fwv68mm78fbxmgy@marketplace.amazon.in</t>
  </si>
  <si>
    <t>404-3766572-2679524</t>
  </si>
  <si>
    <t>TC9MJgrj9</t>
  </si>
  <si>
    <t>Dj1hvZ1bc00pR</t>
  </si>
  <si>
    <t>2026-07-13T20:22:51+05:30</t>
  </si>
  <si>
    <t>2026-07-14T00:24:47+05:30</t>
  </si>
  <si>
    <t>2026-07-14T03:25:00+05:30</t>
  </si>
  <si>
    <t>1rhc9mq2gg319gg@marketplace.amazon.in</t>
  </si>
  <si>
    <t>405-8872940-3417162</t>
  </si>
  <si>
    <t>TGcc7yrQ9</t>
  </si>
  <si>
    <t>DP1Bvn1ZcL0pR</t>
  </si>
  <si>
    <t>2026-07-13T19:33:43+05:30</t>
  </si>
  <si>
    <t>2026-07-14T00:21:46+05:30</t>
  </si>
  <si>
    <t>2026-07-14T03:21:58+05:30</t>
  </si>
  <si>
    <t>kptr3wl4qh7q5pb@marketplace.amazon.in</t>
  </si>
  <si>
    <t>404-0071937-7216361</t>
  </si>
  <si>
    <t>TcHqhXJy9</t>
  </si>
  <si>
    <t>DGBjv81VcT05R</t>
  </si>
  <si>
    <t>2026-07-13T16:44:08+05:30</t>
  </si>
  <si>
    <t>2026-07-14T00:21:45+05:30</t>
  </si>
  <si>
    <t>2026-07-14T03:21:57+05:30</t>
  </si>
  <si>
    <t>4m9dgh0c64j0gz6@marketplace.amazon.in</t>
  </si>
  <si>
    <t>BAZPUR</t>
  </si>
  <si>
    <t>403-7134773-2644303</t>
  </si>
  <si>
    <t>T6g5P4rq9</t>
  </si>
  <si>
    <t>DQ2kvW1FcW0tR</t>
  </si>
  <si>
    <t>2026-07-13T21:29:51+05:30</t>
  </si>
  <si>
    <t>2026-07-14T00:20:49+05:30</t>
  </si>
  <si>
    <t>2026-07-14T03:21:02+05:30</t>
  </si>
  <si>
    <t>yr4cwxqhplvw43l@marketplace.amazon.in</t>
  </si>
  <si>
    <t>406-8576731-4257968</t>
  </si>
  <si>
    <t>TCtWyDr19</t>
  </si>
  <si>
    <t>DGnYvt1Vc20hR</t>
  </si>
  <si>
    <t>2026-07-13T16:39:44+05:30</t>
  </si>
  <si>
    <t>2026-07-14T00:11:43+05:30</t>
  </si>
  <si>
    <t>2026-07-14T03:11:54+05:30</t>
  </si>
  <si>
    <t>kwqzcxsms10xrlb@marketplace.amazon.in</t>
  </si>
  <si>
    <t>403-9834101-4062730</t>
  </si>
  <si>
    <t>TG4s68Jj9</t>
  </si>
  <si>
    <t>D26wzl1jc50jR</t>
  </si>
  <si>
    <t>2026-07-13T14:01:59+05:30</t>
  </si>
  <si>
    <t>2026-07-14T00:08:42+05:30</t>
  </si>
  <si>
    <t>2026-07-14T03:08:54+05:30</t>
  </si>
  <si>
    <t>p94ygkzygwjycl0@marketplace.amazon.in</t>
  </si>
  <si>
    <t>RANCHI</t>
  </si>
  <si>
    <t>405-8381031-0471548</t>
  </si>
  <si>
    <t>TngXVbns9</t>
  </si>
  <si>
    <t>DDt6zj1McP0NR</t>
  </si>
  <si>
    <t>2026-07-11T14:10:25+05:30</t>
  </si>
  <si>
    <t>2026-07-14T00:03:43+05:30</t>
  </si>
  <si>
    <t>2026-07-14T00:03:46+05:30</t>
  </si>
  <si>
    <t>2026-07-14T01:03:58+05:30</t>
  </si>
  <si>
    <t>5yrqc1t6t18xlfn@marketplace.amazon.in</t>
  </si>
  <si>
    <t>DOIWALA</t>
  </si>
  <si>
    <t>405-1283976-1389151</t>
  </si>
  <si>
    <t>T1bRrwrS9</t>
  </si>
  <si>
    <t>DGthzc1VcP0NR</t>
  </si>
  <si>
    <t>2026-07-13T19:32:48+05:30</t>
  </si>
  <si>
    <t>2026-07-14T00:00:48+05:30</t>
  </si>
  <si>
    <t>2026-07-14T03:01:02+05:30</t>
  </si>
  <si>
    <t>20snxhdq97hwy1q@marketplace.amazon.in</t>
  </si>
  <si>
    <t>408-6158875-3865115</t>
  </si>
  <si>
    <t>T3XSH3Pw9</t>
  </si>
  <si>
    <t>DsXWVj1rcC0qR</t>
  </si>
  <si>
    <t>2026-07-10T13:02:46+05:30</t>
  </si>
  <si>
    <t>2026-07-13T23:57:43+05:30</t>
  </si>
  <si>
    <t>2026-07-13T23:57:47+05:30</t>
  </si>
  <si>
    <t>2026-07-14T01:01:09+05:30</t>
  </si>
  <si>
    <t>cgfnrpptrln9nf6@marketplace.amazon.in</t>
  </si>
  <si>
    <t>402-9267085-6532326</t>
  </si>
  <si>
    <t>TC4WgKJY9</t>
  </si>
  <si>
    <t>Df5nVM1JcV0BR</t>
  </si>
  <si>
    <t>2026-07-13T16:19:03+05:30</t>
  </si>
  <si>
    <t>2026-07-13T23:50:50+05:30</t>
  </si>
  <si>
    <t>2026-07-14T02:51:02+05:30</t>
  </si>
  <si>
    <t>0sgwm26gjnk69jy@marketplace.amazon.in</t>
  </si>
  <si>
    <t>VAZHAPADI</t>
  </si>
  <si>
    <t>404-0234898-4686779</t>
  </si>
  <si>
    <t>Tn8DV7rQ9</t>
  </si>
  <si>
    <t>DvknVK1qcN0xR</t>
  </si>
  <si>
    <t>2026-07-13T18:17:04+05:30</t>
  </si>
  <si>
    <t>2026-07-13T23:49:44+05:30</t>
  </si>
  <si>
    <t>2026-07-14T02:49:56+05:30</t>
  </si>
  <si>
    <t>z8j7763dlcg6yyx@marketplace.amazon.in</t>
  </si>
  <si>
    <t>408-5902197-5615538</t>
  </si>
  <si>
    <t>TnWN1txF9</t>
  </si>
  <si>
    <t>DpMrV61Tc90cR</t>
  </si>
  <si>
    <t>2026-07-12T23:11:46+05:30</t>
  </si>
  <si>
    <t>2026-07-13T23:45:43+05:30</t>
  </si>
  <si>
    <t>2026-07-14T02:45:55+05:30</t>
  </si>
  <si>
    <t>c7bvfz772cy3sjl@marketplace.amazon.in</t>
  </si>
  <si>
    <t>MUNDRA</t>
  </si>
  <si>
    <t>DjMdVM11c90cR</t>
  </si>
  <si>
    <t>403-8669915-2991507</t>
  </si>
  <si>
    <t>TCWL9WRW9</t>
  </si>
  <si>
    <t>DqXW2m1ncG0qR</t>
  </si>
  <si>
    <t>2026-07-09T15:36:19+05:30</t>
  </si>
  <si>
    <t>2026-07-13T23:39:54+05:30</t>
  </si>
  <si>
    <t>2026-07-14T02:40:06+05:30</t>
  </si>
  <si>
    <t>0srrr5vhmxw8zv0@marketplace.amazon.in</t>
  </si>
  <si>
    <t>KATTAPPANA</t>
  </si>
  <si>
    <t>405-1372926-0321113</t>
  </si>
  <si>
    <t>TJymQjrG9</t>
  </si>
  <si>
    <t>Dn3B2X10cf0fR</t>
  </si>
  <si>
    <t>2026-07-13T19:07:48+05:30</t>
  </si>
  <si>
    <t>2026-07-13T23:35:54+05:30</t>
  </si>
  <si>
    <t>2026-07-14T02:36:16+05:30</t>
  </si>
  <si>
    <t>zc1qjbw78ryvqfl@marketplace.amazon.in</t>
  </si>
  <si>
    <t>407-4621377-7382742</t>
  </si>
  <si>
    <t>T1t9PSrN9</t>
  </si>
  <si>
    <t>D0wH2Z17cR0PR</t>
  </si>
  <si>
    <t>2026-07-13T21:07:58+05:30</t>
  </si>
  <si>
    <t>2026-07-13T23:26:47+05:30</t>
  </si>
  <si>
    <t>2026-07-14T02:27:01+05:30</t>
  </si>
  <si>
    <t>rgvcz7y6kktf7cd@marketplace.amazon.in</t>
  </si>
  <si>
    <t>402-4558183-9807549</t>
  </si>
  <si>
    <t>Tnf2F7rG9</t>
  </si>
  <si>
    <t>Dq6H2F11c70mR</t>
  </si>
  <si>
    <t>2026-07-13T20:18:26+05:30</t>
  </si>
  <si>
    <t>2026-07-13T23:26:41+05:30</t>
  </si>
  <si>
    <t>2026-07-13T23:26:43+05:30</t>
  </si>
  <si>
    <t>2026-07-14T00:26:54+05:30</t>
  </si>
  <si>
    <t>q0qkwj2xhhfkr6f@marketplace.amazon.in</t>
  </si>
  <si>
    <t>407-0618489-8525131</t>
  </si>
  <si>
    <t>T6K34zRC9</t>
  </si>
  <si>
    <t>Dnn92p18cD0rR</t>
  </si>
  <si>
    <t>2026-07-12T12:48:28+05:30</t>
  </si>
  <si>
    <t>2026-07-13T23:19:45+05:30</t>
  </si>
  <si>
    <t>2026-07-14T02:19:57+05:30</t>
  </si>
  <si>
    <t>8nbkmw35j6h6t5h@marketplace.amazon.in</t>
  </si>
  <si>
    <t>GUMMIDIPOONDI</t>
  </si>
  <si>
    <t>405-0220690-2441110</t>
  </si>
  <si>
    <t>TVxH62Jh9</t>
  </si>
  <si>
    <t>Dd3HFL1lcm0DR</t>
  </si>
  <si>
    <t>2026-07-13T13:30:35+05:30</t>
  </si>
  <si>
    <t>2026-07-13T23:14:45+05:30</t>
  </si>
  <si>
    <t>2026-07-14T02:14:59+05:30</t>
  </si>
  <si>
    <t>2m6j4pvf2vvnrk6@marketplace.amazon.in</t>
  </si>
  <si>
    <t>402-5644493-8038713</t>
  </si>
  <si>
    <t>TJdWJJJJ9</t>
  </si>
  <si>
    <t>DZXgD318cx0nR</t>
  </si>
  <si>
    <t>2026-07-13T11:07:10+05:30</t>
  </si>
  <si>
    <t>2026-07-13T23:09:17+05:30</t>
  </si>
  <si>
    <t>2026-07-14T02:09:35+05:30</t>
  </si>
  <si>
    <t>00skpgtcwy4mtgn@marketplace.amazon.in</t>
  </si>
  <si>
    <t>DTX7DN1tc60MR</t>
  </si>
  <si>
    <t>405-7268700-0397154</t>
  </si>
  <si>
    <t>TG7zMkrg9</t>
  </si>
  <si>
    <t>D4LhFc1jcK05R</t>
  </si>
  <si>
    <t>2026-07-13T19:50:05+05:30</t>
  </si>
  <si>
    <t>2026-07-13T23:06:46+05:30</t>
  </si>
  <si>
    <t>2026-07-14T02:06:59+05:30</t>
  </si>
  <si>
    <t>rk5wwhkvllrbq0x@marketplace.amazon.in</t>
  </si>
  <si>
    <t>171-3968320-9457906</t>
  </si>
  <si>
    <t>TGTdRcry9</t>
  </si>
  <si>
    <t>DDCCD715ck0TR</t>
  </si>
  <si>
    <t>2026-07-13T12:00:38+05:30</t>
  </si>
  <si>
    <t>2026-07-13T22:57:54+05:30</t>
  </si>
  <si>
    <t>2026-07-14T01:58:19+05:30</t>
  </si>
  <si>
    <t>yk8fl0s0m7m4364@marketplace.amazon.in</t>
  </si>
  <si>
    <t>402-6109970-8042709</t>
  </si>
  <si>
    <t>Tn2JzVrq9</t>
  </si>
  <si>
    <t>D89rDd1kcn0fR</t>
  </si>
  <si>
    <t>2026-07-13T18:58:57+05:30</t>
  </si>
  <si>
    <t>2026-07-13T22:56:43+05:30</t>
  </si>
  <si>
    <t>2026-07-13T22:56:46+05:30</t>
  </si>
  <si>
    <t>2026-07-13T23:56:57+05:30</t>
  </si>
  <si>
    <t>9ssfcrk79nlkmdx@marketplace.amazon.in</t>
  </si>
  <si>
    <t>406-2980297-6736366</t>
  </si>
  <si>
    <t>TcNz8lJH9</t>
  </si>
  <si>
    <t>DcFyYv1kcM0yR</t>
  </si>
  <si>
    <t>2026-07-13T15:20:54+05:30</t>
  </si>
  <si>
    <t>2026-07-13T22:47:44+05:30</t>
  </si>
  <si>
    <t>2026-07-14T01:47:54+05:30</t>
  </si>
  <si>
    <t>jlh63gnrpf94jsw@marketplace.amazon.in</t>
  </si>
  <si>
    <t>171-9254568-8746769</t>
  </si>
  <si>
    <t>TgnKF7rt9</t>
  </si>
  <si>
    <t>DYBtYw1vcT0HR</t>
  </si>
  <si>
    <t>2026-07-13T17:11:11+05:30</t>
  </si>
  <si>
    <t>2026-07-13T22:46:45+05:30</t>
  </si>
  <si>
    <t>2026-07-13T22:46:49+05:30</t>
  </si>
  <si>
    <t>2026-07-13T23:47:03+05:30</t>
  </si>
  <si>
    <t>b1zcn71tcssbbyk@marketplace.amazon.in</t>
  </si>
  <si>
    <t>404-3519869-6739532</t>
  </si>
  <si>
    <t>T11V4hrG9</t>
  </si>
  <si>
    <t>DLFwYp1Xc20yR</t>
  </si>
  <si>
    <t>2026-07-13T18:27:53+05:30</t>
  </si>
  <si>
    <t>2026-07-13T22:43:43+05:30</t>
  </si>
  <si>
    <t>2026-07-13T22:43:46+05:30</t>
  </si>
  <si>
    <t>2026-07-13T23:44:00+05:30</t>
  </si>
  <si>
    <t>rycdvpr8wz697mg@marketplace.amazon.in</t>
  </si>
  <si>
    <t>404-4664786-2939514</t>
  </si>
  <si>
    <t>TXpcY4rj9</t>
  </si>
  <si>
    <t>DrFXYW1Jc20yR</t>
  </si>
  <si>
    <t>2026-07-13T17:17:48+05:30</t>
  </si>
  <si>
    <t>2026-07-13T22:39:52+05:30</t>
  </si>
  <si>
    <t>2026-07-14T01:40:03+05:30</t>
  </si>
  <si>
    <t>79d4zxgf8fn20jt@marketplace.amazon.in</t>
  </si>
  <si>
    <t>407-5259757-0601963</t>
  </si>
  <si>
    <t>TVYW0dJm9</t>
  </si>
  <si>
    <t>DvmXyh1TcQ0GR</t>
  </si>
  <si>
    <t>2026-07-13T13:23:54+05:30</t>
  </si>
  <si>
    <t>2026-07-13T22:27:47+05:30</t>
  </si>
  <si>
    <t>2026-07-14T01:28:00+05:30</t>
  </si>
  <si>
    <t>p4j7sg2gpk2n5lt@marketplace.amazon.in</t>
  </si>
  <si>
    <t>MALUR INDUSTRIAL AREA</t>
  </si>
  <si>
    <t>408-0244354-2055550</t>
  </si>
  <si>
    <t>TVprm5p29</t>
  </si>
  <si>
    <t>Dk8hyD10cH0BR</t>
  </si>
  <si>
    <t>2026-07-08T22:02:55+05:30</t>
  </si>
  <si>
    <t>2026-07-13T22:22:49+05:30</t>
  </si>
  <si>
    <t>2026-07-14T01:23:06+05:30</t>
  </si>
  <si>
    <t>w4fw84f2b4wd5k4@marketplace.amazon.in</t>
  </si>
  <si>
    <t>402-5699039-7737908</t>
  </si>
  <si>
    <t>TNxmmWJW9</t>
  </si>
  <si>
    <t>DzVZyy1gcg05R</t>
  </si>
  <si>
    <t>2026-07-13T14:40:56+05:30</t>
  </si>
  <si>
    <t>2026-07-13T22:21:42+05:30</t>
  </si>
  <si>
    <t>2026-07-14T01:21:53+05:30</t>
  </si>
  <si>
    <t>9k2xbqw3nk16j6m@marketplace.amazon.in</t>
  </si>
  <si>
    <t>403-1751055-4484315</t>
  </si>
  <si>
    <t>TNVQqwJ59</t>
  </si>
  <si>
    <t>DHfPyP1jc90BR</t>
  </si>
  <si>
    <t>2026-07-12T22:26:16+05:30</t>
  </si>
  <si>
    <t>2026-07-13T22:16:55+05:30</t>
  </si>
  <si>
    <t>2026-07-14T01:17:13+05:30</t>
  </si>
  <si>
    <t>1s0rrr3bf1npr2c@marketplace.amazon.in</t>
  </si>
  <si>
    <t>406-1415657-9225148</t>
  </si>
  <si>
    <t>Tc0N45rw9</t>
  </si>
  <si>
    <t>DcY8yy1mcK0VR</t>
  </si>
  <si>
    <t>2026-07-13T17:55:01+05:30</t>
  </si>
  <si>
    <t>2026-07-13T22:13:49+05:30</t>
  </si>
  <si>
    <t>2026-07-14T01:14:03+05:30</t>
  </si>
  <si>
    <t>6xktttzsbyzmbyf@marketplace.amazon.in</t>
  </si>
  <si>
    <t>404-4963277-4885148</t>
  </si>
  <si>
    <t>TGsN1Xxg9</t>
  </si>
  <si>
    <t>Dv5lwF1dcc0NR</t>
  </si>
  <si>
    <t>2026-07-12T22:48:45+05:30</t>
  </si>
  <si>
    <t>2026-07-13T22:13:48+05:30</t>
  </si>
  <si>
    <t>2026-07-14T01:13:59+05:30</t>
  </si>
  <si>
    <t>l7p09fcd5mpqyh1@marketplace.amazon.in</t>
  </si>
  <si>
    <t>Karimganj</t>
  </si>
  <si>
    <t>402-0297398-9847503</t>
  </si>
  <si>
    <t>TNRnYRry9</t>
  </si>
  <si>
    <t>D5tfwZ1RcT0dR</t>
  </si>
  <si>
    <t>2026-07-13T17:11:53+05:30</t>
  </si>
  <si>
    <t>2026-07-13T22:03:44+05:30</t>
  </si>
  <si>
    <t>2026-07-14T01:03:56+05:30</t>
  </si>
  <si>
    <t>6pkdqc3nnvtsr6y@marketplace.amazon.in</t>
  </si>
  <si>
    <t>406-1169927-7981939</t>
  </si>
  <si>
    <t>TnlbDSrx9</t>
  </si>
  <si>
    <t>DjTkwk10c10SR</t>
  </si>
  <si>
    <t>2026-07-13T18:44:30+05:30</t>
  </si>
  <si>
    <t>2026-07-13T21:57:47+05:30</t>
  </si>
  <si>
    <t>2026-07-14T00:58:03+05:30</t>
  </si>
  <si>
    <t>gw2b2dqm03j78kv@marketplace.amazon.in</t>
  </si>
  <si>
    <t>406-4433664-7884338</t>
  </si>
  <si>
    <t>Tgv7n4rD9</t>
  </si>
  <si>
    <t>DcCvw71Jcm0XR</t>
  </si>
  <si>
    <t>2026-07-13T19:44:10+05:30</t>
  </si>
  <si>
    <t>2026-07-13T21:57:46+05:30</t>
  </si>
  <si>
    <t>2026-07-14T00:57:57+05:30</t>
  </si>
  <si>
    <t>mhm6xy0ck5fbcpb@marketplace.amazon.in</t>
  </si>
  <si>
    <t>407-2836063-4928336</t>
  </si>
  <si>
    <t>TwxcdYr59</t>
  </si>
  <si>
    <t>DrlFBp1Ycn0kR</t>
  </si>
  <si>
    <t>2026-07-13T19:59:46+05:30</t>
  </si>
  <si>
    <t>2026-07-13T21:42:41+05:30</t>
  </si>
  <si>
    <t>2026-07-14T00:42:53+05:30</t>
  </si>
  <si>
    <t>90m0r1vnv0kcc1n@marketplace.amazon.in</t>
  </si>
  <si>
    <t>406-9018493-2929157</t>
  </si>
  <si>
    <t>Tn1tZNJF9</t>
  </si>
  <si>
    <t>D5Gy9h1Bc704R</t>
  </si>
  <si>
    <t>2026-07-13T16:13:50+05:30</t>
  </si>
  <si>
    <t>2026-07-13T21:25:41+05:30</t>
  </si>
  <si>
    <t>2026-07-14T00:25:52+05:30</t>
  </si>
  <si>
    <t>fd5cjbbmsry5tb3@marketplace.amazon.in</t>
  </si>
  <si>
    <t>402-8778581-7754708</t>
  </si>
  <si>
    <t>TJQ6zHxV9</t>
  </si>
  <si>
    <t>DSLC9N1Qch0QR</t>
  </si>
  <si>
    <t>2026-07-12T21:49:16+05:30</t>
  </si>
  <si>
    <t>2026-07-13T21:22:44+05:30</t>
  </si>
  <si>
    <t>2026-07-14T00:22:57+05:30</t>
  </si>
  <si>
    <t>hqx0kyxvx2cmgk5@marketplace.amazon.in</t>
  </si>
  <si>
    <t>BHARUCH</t>
  </si>
  <si>
    <t>406-5367835-9439520</t>
  </si>
  <si>
    <t>TXlXFKrX9</t>
  </si>
  <si>
    <t>DB6j4y17cS0QR</t>
  </si>
  <si>
    <t>2026-07-13T18:04:43+05:30</t>
  </si>
  <si>
    <t>2026-07-13T21:15:45+05:30</t>
  </si>
  <si>
    <t>2026-07-14T00:15:56+05:30</t>
  </si>
  <si>
    <t>wtwqfsb36ts54fy@marketplace.amazon.in</t>
  </si>
  <si>
    <t>407-8812531-4953122</t>
  </si>
  <si>
    <t>T669g4n09</t>
  </si>
  <si>
    <t>DZzy4s1Vc00ZR</t>
  </si>
  <si>
    <t>2026-07-11T21:42:13+05:30</t>
  </si>
  <si>
    <t>2026-07-13T21:12:39+05:30</t>
  </si>
  <si>
    <t>2026-07-13T21:12:42+05:30</t>
  </si>
  <si>
    <t>2026-07-13T22:12:52+05:30</t>
  </si>
  <si>
    <t>lsys9bg16704s8g@marketplace.amazon.in</t>
  </si>
  <si>
    <t>171-4135327-1501128</t>
  </si>
  <si>
    <t>Tc9gnKrT9</t>
  </si>
  <si>
    <t>DZnJ4f13cv0mR</t>
  </si>
  <si>
    <t>2026-07-13T19:16:49+05:30</t>
  </si>
  <si>
    <t>2026-07-13T21:09:40+05:30</t>
  </si>
  <si>
    <t>2026-07-13T21:09:43+05:30</t>
  </si>
  <si>
    <t>2026-07-13T22:09:56+05:30</t>
  </si>
  <si>
    <t>qsn97ptysdv06fg@marketplace.amazon.in</t>
  </si>
  <si>
    <t>403-0492456-4313129</t>
  </si>
  <si>
    <t>TCpvQKrf9</t>
  </si>
  <si>
    <t>DdBTHn1Lc60MR</t>
  </si>
  <si>
    <t>2026-07-13T19:08:17+05:30</t>
  </si>
  <si>
    <t>2026-07-13T20:53:25+05:30</t>
  </si>
  <si>
    <t>2026-07-13T23:53:39+05:30</t>
  </si>
  <si>
    <t>z01lmgnw9xp07rp@marketplace.amazon.in</t>
  </si>
  <si>
    <t>DSbXH01RcM0WR</t>
  </si>
  <si>
    <t>408-5521778-4763556</t>
  </si>
  <si>
    <t>TJXZyzq09</t>
  </si>
  <si>
    <t>Db0XH71ycw0DR</t>
  </si>
  <si>
    <t>2026-07-10T23:05:13+05:30</t>
  </si>
  <si>
    <t>2026-07-13T20:49:48+05:30</t>
  </si>
  <si>
    <t>2026-07-13T23:50:00+05:30</t>
  </si>
  <si>
    <t>lrtzd909qlvlq9f@marketplace.amazon.in</t>
  </si>
  <si>
    <t>406-5640313-7004347</t>
  </si>
  <si>
    <t>TC4f2CJT9</t>
  </si>
  <si>
    <t>Dnj3b31kc70qR</t>
  </si>
  <si>
    <t>2026-07-13T08:28:21+05:30</t>
  </si>
  <si>
    <t>2026-07-13T20:46:45+05:30</t>
  </si>
  <si>
    <t>2026-07-13T23:46:59+05:30</t>
  </si>
  <si>
    <t>5cwbwmppp0t0p5r@marketplace.amazon.in</t>
  </si>
  <si>
    <t>171-4862076-8441928</t>
  </si>
  <si>
    <t>TCg3FJXT4</t>
  </si>
  <si>
    <t>DXSNbH1NcD0bR</t>
  </si>
  <si>
    <t>2026-07-09T17:17:15+05:30</t>
  </si>
  <si>
    <t>2026-07-13T20:46:43+05:30</t>
  </si>
  <si>
    <t>2026-07-13T23:46:56+05:30</t>
  </si>
  <si>
    <t>vqbjdcm7wyyyhkg@marketplace.amazon.in</t>
  </si>
  <si>
    <t>407-6590954-3308352</t>
  </si>
  <si>
    <t>TN2WJBJ19</t>
  </si>
  <si>
    <t>DMLMbj13c407R</t>
  </si>
  <si>
    <t>2026-07-13T11:54:42+05:30</t>
  </si>
  <si>
    <t>2026-07-13T20:34:48+05:30</t>
  </si>
  <si>
    <t>2026-07-13T23:34:59+05:30</t>
  </si>
  <si>
    <t>8bktcrdtptfxjnt@marketplace.amazon.in</t>
  </si>
  <si>
    <t>DHILWAN</t>
  </si>
  <si>
    <t>171-5223099-2144364</t>
  </si>
  <si>
    <t>T6f9mxJL9</t>
  </si>
  <si>
    <t>DXmYkB1Rcf0QR</t>
  </si>
  <si>
    <t>2026-07-13T14:40:25+05:30</t>
  </si>
  <si>
    <t>2026-07-13T20:24:48+05:30</t>
  </si>
  <si>
    <t>2026-07-13T23:25:05+05:30</t>
  </si>
  <si>
    <t>72xtgfswgw894d2@marketplace.amazon.in</t>
  </si>
  <si>
    <t>403-9540681-9997158</t>
  </si>
  <si>
    <t>TNqvZCnh9</t>
  </si>
  <si>
    <t>DvjMkt1nc50BR</t>
  </si>
  <si>
    <t>2026-07-12T21:14:43+05:30</t>
  </si>
  <si>
    <t>2026-07-13T20:22:46+05:30</t>
  </si>
  <si>
    <t>2026-07-13T23:22:59+05:30</t>
  </si>
  <si>
    <t>40b5ywsnc9j9nbs@marketplace.amazon.in</t>
  </si>
  <si>
    <t>404-7038547-0316369</t>
  </si>
  <si>
    <t>TV2mwyrP9</t>
  </si>
  <si>
    <t>DGgJkD15cK0vR</t>
  </si>
  <si>
    <t>2026-07-13T17:19:22+05:30</t>
  </si>
  <si>
    <t>2026-07-13T20:21:48+05:30</t>
  </si>
  <si>
    <t>2026-07-13T23:22:05+05:30</t>
  </si>
  <si>
    <t>95zfd80s55vp0zv@marketplace.amazon.in</t>
  </si>
  <si>
    <t>402-7045673-5336312</t>
  </si>
  <si>
    <t>TN5rVpvV4</t>
  </si>
  <si>
    <t>Dlrqks1xcj0NR</t>
  </si>
  <si>
    <t>2026-07-09T07:29:55+05:30</t>
  </si>
  <si>
    <t>2026-07-13T20:12:44+05:30</t>
  </si>
  <si>
    <t>2026-07-13T23:12:55+05:30</t>
  </si>
  <si>
    <t>qd0w6hxy8vj3ncn@marketplace.amazon.in</t>
  </si>
  <si>
    <t>Bachupally, hyderabad</t>
  </si>
  <si>
    <t>Telangana</t>
  </si>
  <si>
    <t>407-7779325-9796319</t>
  </si>
  <si>
    <t>TwbbBnrV9</t>
  </si>
  <si>
    <t>DCJrkM1kct0KR</t>
  </si>
  <si>
    <t>2026-07-13T17:08:35+05:30</t>
  </si>
  <si>
    <t>2026-07-13T20:11:47+05:30</t>
  </si>
  <si>
    <t>2026-07-13T23:12:03+05:30</t>
  </si>
  <si>
    <t>dgygvkxqdvcsm6n@marketplace.amazon.in</t>
  </si>
  <si>
    <t>407-2843103-8759503</t>
  </si>
  <si>
    <t>TgF23mRr9</t>
  </si>
  <si>
    <t>D1FPN71Ccg0mR</t>
  </si>
  <si>
    <t>2026-07-12T16:57:22+05:30</t>
  </si>
  <si>
    <t>2026-07-13T20:10:41+05:30</t>
  </si>
  <si>
    <t>2026-07-13T20:10:44+05:30</t>
  </si>
  <si>
    <t>2026-07-13T21:10:55+05:30</t>
  </si>
  <si>
    <t>6tcdtwb3dp77nrs@marketplace.amazon.in</t>
  </si>
  <si>
    <t>404-4153462-1156309</t>
  </si>
  <si>
    <t>TGvTDTJ39</t>
  </si>
  <si>
    <t>DRg4Nc1Ncr0tR</t>
  </si>
  <si>
    <t>2026-07-13T08:25:42+05:30</t>
  </si>
  <si>
    <t>2026-07-13T20:08:50+05:30</t>
  </si>
  <si>
    <t>2026-07-13T23:09:07+05:30</t>
  </si>
  <si>
    <t>8bxf21xpr9wtlv4@marketplace.amazon.in</t>
  </si>
  <si>
    <t>404-9151848-4431569</t>
  </si>
  <si>
    <t>TgW1GZJq9</t>
  </si>
  <si>
    <t>DWgyNf1dcJ0tR</t>
  </si>
  <si>
    <t>2026-07-13T11:37:59+05:30</t>
  </si>
  <si>
    <t>2026-07-13T20:05:45+05:30</t>
  </si>
  <si>
    <t>2026-07-13T20:05:51+05:30</t>
  </si>
  <si>
    <t>2026-07-13T21:06:12+05:30</t>
  </si>
  <si>
    <t>dw3rsxb41z49h5x@marketplace.amazon.in</t>
  </si>
  <si>
    <t>171-4738280-6880319</t>
  </si>
  <si>
    <t>TNhWrqJ79</t>
  </si>
  <si>
    <t>DmXNRH18cj0tR</t>
  </si>
  <si>
    <t>2026-07-13T11:57:32+05:30</t>
  </si>
  <si>
    <t>2026-07-13T19:55:48+05:30</t>
  </si>
  <si>
    <t>2026-07-13T22:56:01+05:30</t>
  </si>
  <si>
    <t>f439zp0slz1kr04@marketplace.amazon.in</t>
  </si>
  <si>
    <t>405-1794352-4093941</t>
  </si>
  <si>
    <t>Tw3bhQJg9</t>
  </si>
  <si>
    <t>DGvmR31KcL0BR</t>
  </si>
  <si>
    <t>2026-07-13T16:38:21+05:30</t>
  </si>
  <si>
    <t>2026-07-13T19:51:47+05:30</t>
  </si>
  <si>
    <t>2026-07-13T22:51:59+05:30</t>
  </si>
  <si>
    <t>tzql0dmkqm586sy@marketplace.amazon.in</t>
  </si>
  <si>
    <t>Torangallu</t>
  </si>
  <si>
    <t>405-6482758-8101136</t>
  </si>
  <si>
    <t>TXPKPkJc9</t>
  </si>
  <si>
    <t>D5t7RT1Lcx0HR</t>
  </si>
  <si>
    <t>2026-07-13T13:06:11+05:30</t>
  </si>
  <si>
    <t>2026-07-13T19:48:46+05:30</t>
  </si>
  <si>
    <t>2026-07-13T22:48:58+05:30</t>
  </si>
  <si>
    <t>nmq6shsvwwlfzk1@marketplace.amazon.in</t>
  </si>
  <si>
    <t>404-1707077-8325944</t>
  </si>
  <si>
    <t>TGjNqQX74</t>
  </si>
  <si>
    <t>DLyYht7ccb0xR</t>
  </si>
  <si>
    <t>2026-07-09T22:42:05+05:30</t>
  </si>
  <si>
    <t>2026-07-13T19:35:45+05:30</t>
  </si>
  <si>
    <t>2026-07-13T22:35:57+05:30</t>
  </si>
  <si>
    <t>pl4jwlflc9spz2w@marketplace.amazon.in</t>
  </si>
  <si>
    <t>407-6549097-2501151</t>
  </si>
  <si>
    <t>Tw2j1Lx89</t>
  </si>
  <si>
    <t>DD1zhN7Pc00JR</t>
  </si>
  <si>
    <t>2026-07-12T23:14:03+05:30</t>
  </si>
  <si>
    <t>2026-07-13T19:32:42+05:30</t>
  </si>
  <si>
    <t>2026-07-13T19:32:47+05:30</t>
  </si>
  <si>
    <t>2026-07-13T20:32:58+05:30</t>
  </si>
  <si>
    <t>gbr1pqt981z4c2l@marketplace.amazon.in</t>
  </si>
  <si>
    <t>405-8558480-3553964</t>
  </si>
  <si>
    <t>TJY8YJrl9</t>
  </si>
  <si>
    <t>DSmrh77Sc00FR</t>
  </si>
  <si>
    <t>2026-07-13T17:39:26+05:30</t>
  </si>
  <si>
    <t>2026-07-13T22:32:54+05:30</t>
  </si>
  <si>
    <t>nysx0q05c1tt7s0@marketplace.amazon.in</t>
  </si>
  <si>
    <t>Sirhind</t>
  </si>
  <si>
    <t>171-2500991-9338763</t>
  </si>
  <si>
    <t>T1BMpyJc9</t>
  </si>
  <si>
    <t>Dgw3h87Dcw0ZR</t>
  </si>
  <si>
    <t>2026-07-13T04:02:28+05:30</t>
  </si>
  <si>
    <t>2026-07-13T19:26:48+05:30</t>
  </si>
  <si>
    <t>2026-07-13T19:26:53+05:30</t>
  </si>
  <si>
    <t>2026-07-13T20:27:08+05:30</t>
  </si>
  <si>
    <t>1glsdrnm7clztvm@marketplace.amazon.in</t>
  </si>
  <si>
    <t>405-3892247-6885143</t>
  </si>
  <si>
    <t>Tc5bt3Js9</t>
  </si>
  <si>
    <t>DT2HfB74cG00R</t>
  </si>
  <si>
    <t>2026-07-13T10:08:43+05:30</t>
  </si>
  <si>
    <t>2026-07-13T19:11:46+05:30</t>
  </si>
  <si>
    <t>2026-07-13T22:11:58+05:30</t>
  </si>
  <si>
    <t>m0kq154ndd0s5kz@marketplace.amazon.in</t>
  </si>
  <si>
    <t>KHANAKUL</t>
  </si>
  <si>
    <t>406-9114555-9479517</t>
  </si>
  <si>
    <t>TVwWr4Jv9</t>
  </si>
  <si>
    <t>DGPbft7kc709R</t>
  </si>
  <si>
    <t>2026-07-13T12:14:36+05:30</t>
  </si>
  <si>
    <t>2026-07-13T19:06:43+05:30</t>
  </si>
  <si>
    <t>2026-07-13T22:06:54+05:30</t>
  </si>
  <si>
    <t>6j6gsq6ygpkxb66@marketplace.amazon.in</t>
  </si>
  <si>
    <t>407-2130745-2317933</t>
  </si>
  <si>
    <t>TwqDXzKk4</t>
  </si>
  <si>
    <t>D3n0fb7pcx0lR</t>
  </si>
  <si>
    <t>2026-07-10T11:08:13+05:30</t>
  </si>
  <si>
    <t>2026-07-13T19:05:45+05:30</t>
  </si>
  <si>
    <t>2026-07-13T22:05:57+05:30</t>
  </si>
  <si>
    <t>655vzzk0vyymd4q@marketplace.amazon.in</t>
  </si>
  <si>
    <t>404-4447231-3843513</t>
  </si>
  <si>
    <t>TXPDh2JL9</t>
  </si>
  <si>
    <t>DDynjV7hcV00R</t>
  </si>
  <si>
    <t>2026-07-13T15:39:25+05:30</t>
  </si>
  <si>
    <t>2026-07-13T18:57:53+05:30</t>
  </si>
  <si>
    <t>2026-07-13T21:58:12+05:30</t>
  </si>
  <si>
    <t>hs23z0vsy29xmvr@marketplace.amazon.in</t>
  </si>
  <si>
    <t>405-3375860-7889904</t>
  </si>
  <si>
    <t>TwvTdrJC9</t>
  </si>
  <si>
    <t>DPCJjf7fc00bR</t>
  </si>
  <si>
    <t>2026-07-13T13:14:05+05:30</t>
  </si>
  <si>
    <t>2026-07-13T18:51:44+05:30</t>
  </si>
  <si>
    <t>2026-07-13T21:51:55+05:30</t>
  </si>
  <si>
    <t>nsxstzcf2fp3cv1@marketplace.amazon.in</t>
  </si>
  <si>
    <t>408-4439404-3851566</t>
  </si>
  <si>
    <t>TCPGCqJV9</t>
  </si>
  <si>
    <t>DFZFZB7ycy0lR</t>
  </si>
  <si>
    <t>2026-07-13T15:27:26+05:30</t>
  </si>
  <si>
    <t>2026-07-13T18:47:47+05:30</t>
  </si>
  <si>
    <t>2026-07-13T21:48:00+05:30</t>
  </si>
  <si>
    <t>x1njjh7gkynh53j@marketplace.amazon.in</t>
  </si>
  <si>
    <t>D2ZgZM7ycy0lR</t>
  </si>
  <si>
    <t>171-3856419-9408321</t>
  </si>
  <si>
    <t>TgkjXtJN9</t>
  </si>
  <si>
    <t>DGZYZf70cp0FR</t>
  </si>
  <si>
    <t>2026-07-13T14:46:36+05:30</t>
  </si>
  <si>
    <t>2026-07-13T18:42:45+05:30</t>
  </si>
  <si>
    <t>2026-07-13T21:42:56+05:30</t>
  </si>
  <si>
    <t>cj6n2r43j65290v@marketplace.amazon.in</t>
  </si>
  <si>
    <t>BHUVANAGIRI</t>
  </si>
  <si>
    <t>407-3020047-4602727</t>
  </si>
  <si>
    <t>TwHcwKpD9</t>
  </si>
  <si>
    <t>DkBXqK7Rcl0HR</t>
  </si>
  <si>
    <t>2026-07-11T22:26:26+05:30</t>
  </si>
  <si>
    <t>2026-07-13T18:25:45+05:30</t>
  </si>
  <si>
    <t>2026-07-13T21:25:56+05:30</t>
  </si>
  <si>
    <t>cgxg63rsgnp7sb4@marketplace.amazon.in</t>
  </si>
  <si>
    <t>LATUR</t>
  </si>
  <si>
    <t>402-8093914-0881931</t>
  </si>
  <si>
    <t>T3PSXVPw9</t>
  </si>
  <si>
    <t>DS9Fq17LcP0qR</t>
  </si>
  <si>
    <t>2026-07-10T19:49:00+05:30</t>
  </si>
  <si>
    <t>2026-07-13T18:20:46+05:30</t>
  </si>
  <si>
    <t>2026-07-13T21:20:58+05:30</t>
  </si>
  <si>
    <t>4lh8v1lqpdzg0bz@marketplace.amazon.in</t>
  </si>
  <si>
    <t>DEOLI</t>
  </si>
  <si>
    <t>DPdwqV75cr0nR</t>
  </si>
  <si>
    <t>DmdWqt75cr0nR</t>
  </si>
  <si>
    <t>405-8364333-8612312</t>
  </si>
  <si>
    <t>Tgzpv6xx9</t>
  </si>
  <si>
    <t>DrG6qB76cs00R</t>
  </si>
  <si>
    <t>2026-07-12T22:08:57+05:30</t>
  </si>
  <si>
    <t>2026-07-13T18:12:45+05:30</t>
  </si>
  <si>
    <t>2026-07-13T21:12:57+05:30</t>
  </si>
  <si>
    <t>4xwltz486b7g9y7@marketplace.amazon.in</t>
  </si>
  <si>
    <t>171-8259026-5330733</t>
  </si>
  <si>
    <t>T1tLgWJB9</t>
  </si>
  <si>
    <t>D8N45T7kcs0TR</t>
  </si>
  <si>
    <t>2026-07-13T16:05:55+05:30</t>
  </si>
  <si>
    <t>2026-07-13T18:11:39+05:30</t>
  </si>
  <si>
    <t>2026-07-13T18:11:43+05:30</t>
  </si>
  <si>
    <t>2026-07-13T19:11:54+05:30</t>
  </si>
  <si>
    <t>v0b6s12q7vwhg7v@marketplace.amazon.in</t>
  </si>
  <si>
    <t>403-7188929-2422748</t>
  </si>
  <si>
    <t>T39xtxJl9</t>
  </si>
  <si>
    <t>DsZk5k7KcP0KR</t>
  </si>
  <si>
    <t>2026-07-13T12:42:24+05:30</t>
  </si>
  <si>
    <t>2026-07-13T18:07:43+05:30</t>
  </si>
  <si>
    <t>2026-07-13T21:07:55+05:30</t>
  </si>
  <si>
    <t>bz1ygcd4lzbcrr6@marketplace.amazon.in</t>
  </si>
  <si>
    <t>GIDC PANOLI</t>
  </si>
  <si>
    <t>407-3509953-4925100</t>
  </si>
  <si>
    <t>T65WZRRL9</t>
  </si>
  <si>
    <t>DV7j5T7Zcr0xR</t>
  </si>
  <si>
    <t>2026-07-12T19:24:56+05:30</t>
  </si>
  <si>
    <t>2026-07-13T18:04:45+05:30</t>
  </si>
  <si>
    <t>2026-07-13T21:04:58+05:30</t>
  </si>
  <si>
    <t>bbfl3djx524xf4s@marketplace.amazon.in</t>
  </si>
  <si>
    <t>408-6571145-6498743</t>
  </si>
  <si>
    <t>TnZbtkJM9</t>
  </si>
  <si>
    <t>DwDF5s78cJ0QR</t>
  </si>
  <si>
    <t>2026-07-13T11:01:25+05:30</t>
  </si>
  <si>
    <t>2026-07-13T18:03:47+05:30</t>
  </si>
  <si>
    <t>2026-07-13T21:04:00+05:30</t>
  </si>
  <si>
    <t>nkscp85977ff966@marketplace.amazon.in</t>
  </si>
  <si>
    <t>403-7236509-1044316</t>
  </si>
  <si>
    <t>TXJXbsrL9</t>
  </si>
  <si>
    <t>DrxJ5H7wcp0BR</t>
  </si>
  <si>
    <t>2026-07-13T16:36:26+05:30</t>
  </si>
  <si>
    <t>2026-07-13T17:56:38+05:30</t>
  </si>
  <si>
    <t>2026-07-13T17:56:42+05:30</t>
  </si>
  <si>
    <t>2026-07-13T18:56:53+05:30</t>
  </si>
  <si>
    <t>2l50nfct0s8z2gd@marketplace.amazon.in</t>
  </si>
  <si>
    <t>402-9001011-7255534</t>
  </si>
  <si>
    <t>TXZ429x99</t>
  </si>
  <si>
    <t>DyNggX7vcc0jR</t>
  </si>
  <si>
    <t>2026-07-12T21:30:56+05:30</t>
  </si>
  <si>
    <t>2026-07-13T17:54:45+05:30</t>
  </si>
  <si>
    <t>2026-07-13T20:54:57+05:30</t>
  </si>
  <si>
    <t>8twct994r3sdl76@marketplace.amazon.in</t>
  </si>
  <si>
    <t>408-2278798-3512327</t>
  </si>
  <si>
    <t>T17vqxJs9</t>
  </si>
  <si>
    <t>DGNRgT7ScH0jR</t>
  </si>
  <si>
    <t>2026-07-13T15:05:22+05:30</t>
  </si>
  <si>
    <t>2026-07-13T17:49:44+05:30</t>
  </si>
  <si>
    <t>2026-07-13T20:49:55+05:30</t>
  </si>
  <si>
    <t>w4z6yr48h9vgqr2@marketplace.amazon.in</t>
  </si>
  <si>
    <t>405-2159177-9004321</t>
  </si>
  <si>
    <t>TCY3gLq79</t>
  </si>
  <si>
    <t>DlTkg27Tck0GR</t>
  </si>
  <si>
    <t>2026-07-11T10:32:16+05:30</t>
  </si>
  <si>
    <t>2026-07-13T17:47:46+05:30</t>
  </si>
  <si>
    <t>2026-07-13T20:47:58+05:30</t>
  </si>
  <si>
    <t>h17xqckwq17nh9p@marketplace.amazon.in</t>
  </si>
  <si>
    <t>Mundra</t>
  </si>
  <si>
    <t>402-8928773-3392315</t>
  </si>
  <si>
    <t>TGfylyKP4</t>
  </si>
  <si>
    <t>Dfh2gT79cD0FR</t>
  </si>
  <si>
    <t>2026-07-10T10:15:47+05:30</t>
  </si>
  <si>
    <t>2026-07-13T17:44:52+05:30</t>
  </si>
  <si>
    <t>2026-07-13T20:45:11+05:30</t>
  </si>
  <si>
    <t>vqfnvnhpqr8mwdj@marketplace.amazon.in</t>
  </si>
  <si>
    <t>ZAHIRABAD</t>
  </si>
  <si>
    <t>404-0531857-2408303</t>
  </si>
  <si>
    <t>T6XnBbrg9</t>
  </si>
  <si>
    <t>DfGrgZ7jcc0xR</t>
  </si>
  <si>
    <t>2026-07-13T16:41:20+05:30</t>
  </si>
  <si>
    <t>2026-07-13T17:40:45+05:30</t>
  </si>
  <si>
    <t>2026-07-13T20:40:59+05:30</t>
  </si>
  <si>
    <t>f7fqrqcp6c1w75c@marketplace.amazon.in</t>
  </si>
  <si>
    <t>171-3860811-4589914</t>
  </si>
  <si>
    <t>TwSK3fJT9</t>
  </si>
  <si>
    <t>DhGWgS7Tcc0xR</t>
  </si>
  <si>
    <t>2026-07-13T13:29:46+05:30</t>
  </si>
  <si>
    <t>2026-07-13T17:37:46+05:30</t>
  </si>
  <si>
    <t>2026-07-13T20:37:58+05:30</t>
  </si>
  <si>
    <t>n1zdhy0sv8cdt89@marketplace.amazon.in</t>
  </si>
  <si>
    <t>405-0369454-2599554</t>
  </si>
  <si>
    <t>TC70SJJk9</t>
  </si>
  <si>
    <t>DtRsgL7Qcd0rR</t>
  </si>
  <si>
    <t>2026-07-13T13:53:24+05:30</t>
  </si>
  <si>
    <t>2026-07-13T17:36:43+05:30</t>
  </si>
  <si>
    <t>2026-07-13T17:36:46+05:30</t>
  </si>
  <si>
    <t>2026-07-13T18:36:57+05:30</t>
  </si>
  <si>
    <t>88lcfspqsf7cqkh@marketplace.amazon.in</t>
  </si>
  <si>
    <t>171-4250413-3143544</t>
  </si>
  <si>
    <t>T3NSgcJp9</t>
  </si>
  <si>
    <t>DP1T8R7GcR0rR</t>
  </si>
  <si>
    <t>2026-07-13T16:15:20+05:30</t>
  </si>
  <si>
    <t>2026-07-13T17:32:43+05:30</t>
  </si>
  <si>
    <t>2026-07-13T20:32:55+05:30</t>
  </si>
  <si>
    <t>k3rm21mh79hk63m@marketplace.amazon.in</t>
  </si>
  <si>
    <t>402-4420873-6973956</t>
  </si>
  <si>
    <t>Tn8d1GJZ9</t>
  </si>
  <si>
    <t>DwzJ8V7cc30BR</t>
  </si>
  <si>
    <t>2026-07-13T11:04:11+05:30</t>
  </si>
  <si>
    <t>2026-07-13T17:29:47+05:30</t>
  </si>
  <si>
    <t>2026-07-13T20:29:58+05:30</t>
  </si>
  <si>
    <t>9w23qr55r100dcc@marketplace.amazon.in</t>
  </si>
  <si>
    <t>408-3217818-3749960</t>
  </si>
  <si>
    <t>TcTdd5xW9</t>
  </si>
  <si>
    <t>DhsK857Hck0dR</t>
  </si>
  <si>
    <t>2026-07-13T00:52:55+05:30</t>
  </si>
  <si>
    <t>2026-07-13T17:27:45+05:30</t>
  </si>
  <si>
    <t>2026-07-13T17:27:50+05:30</t>
  </si>
  <si>
    <t>2026-07-13T18:28:01+05:30</t>
  </si>
  <si>
    <t>88htc41hlfsmqcp@marketplace.amazon.in</t>
  </si>
  <si>
    <t>404-5298203-5924318</t>
  </si>
  <si>
    <t>TVg50wxY9</t>
  </si>
  <si>
    <t>DXMCXq7kcX0KR</t>
  </si>
  <si>
    <t>2026-07-13T01:32:32+05:30</t>
  </si>
  <si>
    <t>2026-07-13T17:14:42+05:30</t>
  </si>
  <si>
    <t>2026-07-13T20:14:54+05:30</t>
  </si>
  <si>
    <t>z6q4z61kx25v4jt@marketplace.amazon.in</t>
  </si>
  <si>
    <t>CHANDANNAGAR</t>
  </si>
  <si>
    <t>406-8343954-1317115</t>
  </si>
  <si>
    <t>TwxbbjnY9</t>
  </si>
  <si>
    <t>D1WgCf7GcQ0tR</t>
  </si>
  <si>
    <t>2026-07-08T03:13:18+05:30</t>
  </si>
  <si>
    <t>2026-07-13T16:53:46+05:30</t>
  </si>
  <si>
    <t>2026-07-13T19:54:03+05:30</t>
  </si>
  <si>
    <t>8s8pf8r3c4cwyd0@marketplace.amazon.in</t>
  </si>
  <si>
    <t>406-9492388-6094741</t>
  </si>
  <si>
    <t>TwdTHpxJ9</t>
  </si>
  <si>
    <t>DgL4CT7KcF08R</t>
  </si>
  <si>
    <t>2026-07-12T19:47:38+05:30</t>
  </si>
  <si>
    <t>2026-07-13T16:52:45+05:30</t>
  </si>
  <si>
    <t>2026-07-13T19:52:58+05:30</t>
  </si>
  <si>
    <t>rpxrb3vd0f3r3j8@marketplace.amazon.in</t>
  </si>
  <si>
    <t>171-1483654-2844365</t>
  </si>
  <si>
    <t>T6fwJdJg9</t>
  </si>
  <si>
    <t>DJL8C37wcP0mR</t>
  </si>
  <si>
    <t>2026-07-13T11:29:22+05:30</t>
  </si>
  <si>
    <t>2026-07-13T16:50:41+05:30</t>
  </si>
  <si>
    <t>2026-07-13T16:50:44+05:30</t>
  </si>
  <si>
    <t>2026-07-13T17:50:55+05:30</t>
  </si>
  <si>
    <t>79g6rzkr240ff60@marketplace.amazon.in</t>
  </si>
  <si>
    <t>404-5287907-7411539</t>
  </si>
  <si>
    <t>T3vxTcx69</t>
  </si>
  <si>
    <t>DP36pD7bc40YR</t>
  </si>
  <si>
    <t>2026-07-12T23:23:30+05:30</t>
  </si>
  <si>
    <t>2026-07-13T16:43:44+05:30</t>
  </si>
  <si>
    <t>2026-07-13T19:43:56+05:30</t>
  </si>
  <si>
    <t>l9tz3zqvnqnbfkv@marketplace.amazon.in</t>
  </si>
  <si>
    <t>405-4840923-8882731</t>
  </si>
  <si>
    <t>T1g3PqJP9</t>
  </si>
  <si>
    <t>DDYcpM7Sc00QR</t>
  </si>
  <si>
    <t>2026-07-13T14:12:42+05:30</t>
  </si>
  <si>
    <t>2026-07-13T16:32:45+05:30</t>
  </si>
  <si>
    <t>2026-07-13T19:32:57+05:30</t>
  </si>
  <si>
    <t>k3y25pxv8t2cghp@marketplace.amazon.in</t>
  </si>
  <si>
    <t>171-5438887-3537940</t>
  </si>
  <si>
    <t>TNwwcgJS9</t>
  </si>
  <si>
    <t>DQNlWl7DcR05R</t>
  </si>
  <si>
    <t>2026-07-13T10:33:36+05:30</t>
  </si>
  <si>
    <t>2026-07-13T16:29:45+05:30</t>
  </si>
  <si>
    <t>2026-07-13T19:30:02+05:30</t>
  </si>
  <si>
    <t>4cfmzp8qh5fvtgs@marketplace.amazon.in</t>
  </si>
  <si>
    <t>405-5902168-2471567</t>
  </si>
  <si>
    <t>TJkZ1gJ39</t>
  </si>
  <si>
    <t>D7XlWQ7TcQ0xR</t>
  </si>
  <si>
    <t>2026-07-13T11:27:38+05:30</t>
  </si>
  <si>
    <t>2026-07-13T16:28:45+05:30</t>
  </si>
  <si>
    <t>2026-07-13T16:28:48+05:30</t>
  </si>
  <si>
    <t>2026-07-13T17:29:01+05:30</t>
  </si>
  <si>
    <t>bgfjz6x1qtcnb8c@marketplace.amazon.in</t>
  </si>
  <si>
    <t>CHATRAPATTI</t>
  </si>
  <si>
    <t>404-8355747-7808359</t>
  </si>
  <si>
    <t>TGMjLVSt4</t>
  </si>
  <si>
    <t>DqgKK57zc90cR</t>
  </si>
  <si>
    <t>2026-07-08T21:57:20+05:30</t>
  </si>
  <si>
    <t>2026-07-13T16:09:42+05:30</t>
  </si>
  <si>
    <t>2026-07-13T16:09:45+05:30</t>
  </si>
  <si>
    <t>2026-07-13T17:09:55+05:30</t>
  </si>
  <si>
    <t>7py153m5623hv9f@marketplace.amazon.in</t>
  </si>
  <si>
    <t>SATARA</t>
  </si>
  <si>
    <t>406-5395463-5590704</t>
  </si>
  <si>
    <t>TXP4qzR69</t>
  </si>
  <si>
    <t>Dt5PmD7mcP00R</t>
  </si>
  <si>
    <t>2026-07-12T20:17:19+05:30</t>
  </si>
  <si>
    <t>2026-07-13T15:53:48+05:30</t>
  </si>
  <si>
    <t>2026-07-13T18:54:01+05:30</t>
  </si>
  <si>
    <t>f4jthm2cbkkhs9g@marketplace.amazon.in</t>
  </si>
  <si>
    <t>406-5957471-3214719</t>
  </si>
  <si>
    <t>T650yQSs4</t>
  </si>
  <si>
    <t>DPBhmn7dc30lR</t>
  </si>
  <si>
    <t>2026-07-08T20:38:24+05:30</t>
  </si>
  <si>
    <t>2026-07-13T15:45:48+05:30</t>
  </si>
  <si>
    <t>2026-07-13T18:46:00+05:30</t>
  </si>
  <si>
    <t>jtkl3qt994sbkj2@marketplace.amazon.in</t>
  </si>
  <si>
    <t>AM006987511IN</t>
  </si>
  <si>
    <t>406-3839795-7067507</t>
  </si>
  <si>
    <t>TNwQMPJy9</t>
  </si>
  <si>
    <t>D0Ftl37Wcv03R</t>
  </si>
  <si>
    <t>2026-07-13T10:54:04+05:30</t>
  </si>
  <si>
    <t>2026-07-13T15:43:49+05:30</t>
  </si>
  <si>
    <t>2026-07-13T18:44:01+05:30</t>
  </si>
  <si>
    <t>tjjhg735lgdg05d@marketplace.amazon.in</t>
  </si>
  <si>
    <t>KOSI KALAN</t>
  </si>
  <si>
    <t>403-0239291-8273945</t>
  </si>
  <si>
    <t>T3kyjzyz4</t>
  </si>
  <si>
    <t>DLX3lh72cj0xR</t>
  </si>
  <si>
    <t>2026-07-06T23:20:13+05:30</t>
  </si>
  <si>
    <t>2026-07-13T15:37:49+05:30</t>
  </si>
  <si>
    <t>2026-07-13T18:38:05+05:30</t>
  </si>
  <si>
    <t>7krhdjrycdlzsgy@marketplace.amazon.in</t>
  </si>
  <si>
    <t>406-8743389-5482752</t>
  </si>
  <si>
    <t>T6w8Djx79</t>
  </si>
  <si>
    <t>DPF7lt7Ycv03R</t>
  </si>
  <si>
    <t>2026-07-07T21:48:27+05:30</t>
  </si>
  <si>
    <t>2026-07-13T15:32:46+05:30</t>
  </si>
  <si>
    <t>2026-07-13T15:32:49+05:30</t>
  </si>
  <si>
    <t>2026-07-13T16:33:01+05:30</t>
  </si>
  <si>
    <t>vkr217zv5bqtmj8@marketplace.amazon.in</t>
  </si>
  <si>
    <t>407-9222032-7727566</t>
  </si>
  <si>
    <t>TX5dM1JR9</t>
  </si>
  <si>
    <t>DpSBSs7jcm0bR</t>
  </si>
  <si>
    <t>2026-07-13T11:27:39+05:30</t>
  </si>
  <si>
    <t>2026-07-13T15:05:48+05:30</t>
  </si>
  <si>
    <t>2026-07-13T18:06:02+05:30</t>
  </si>
  <si>
    <t>33f4lw4xfkcbwwg@marketplace.amazon.in</t>
  </si>
  <si>
    <t>404-1841700-5535504</t>
  </si>
  <si>
    <t>T1HfJlJd9</t>
  </si>
  <si>
    <t>DhW3SJ7Jcc06R</t>
  </si>
  <si>
    <t>2026-07-13T11:46:27+05:30</t>
  </si>
  <si>
    <t>2026-07-13T14:55:45+05:30</t>
  </si>
  <si>
    <t>2026-07-13T17:55:57+05:30</t>
  </si>
  <si>
    <t>v25csml75hqqfv3@marketplace.amazon.in</t>
  </si>
  <si>
    <t>407-7685569-2025132</t>
  </si>
  <si>
    <t>TnGymbp69</t>
  </si>
  <si>
    <t>Dy3v667fcL01R</t>
  </si>
  <si>
    <t>2026-07-12T00:34:00+05:30</t>
  </si>
  <si>
    <t>2026-07-13T14:41:46+05:30</t>
  </si>
  <si>
    <t>2026-07-13T17:41:58+05:30</t>
  </si>
  <si>
    <t>1bkg352v58pv0m6@marketplace.amazon.in</t>
  </si>
  <si>
    <t>402-1752339-5054704</t>
  </si>
  <si>
    <t>T3g2LwJT9</t>
  </si>
  <si>
    <t>DdYhdN7Fc50GR</t>
  </si>
  <si>
    <t>2026-07-13T10:20:06+05:30</t>
  </si>
  <si>
    <t>2026-07-13T14:19:43+05:30</t>
  </si>
  <si>
    <t>2026-07-13T14:19:46+05:30</t>
  </si>
  <si>
    <t>2026-07-13T15:20:00+05:30</t>
  </si>
  <si>
    <t>pbjm2nfmlk2hv0p@marketplace.amazon.in</t>
  </si>
  <si>
    <t>403-5583247-4475555</t>
  </si>
  <si>
    <t>TwV70Sv64</t>
  </si>
  <si>
    <t>DFx9d978cR0vR</t>
  </si>
  <si>
    <t>2026-07-06T23:40:31+05:30</t>
  </si>
  <si>
    <t>2026-07-13T14:18:53+05:30</t>
  </si>
  <si>
    <t>2026-07-13T17:19:12+05:30</t>
  </si>
  <si>
    <t>jnvlc8nnfrskg9y@marketplace.amazon.in</t>
  </si>
  <si>
    <t>406-2814196-1968315</t>
  </si>
  <si>
    <t>TNVPYT3Y4</t>
  </si>
  <si>
    <t>Dxwydd7Sc30HR</t>
  </si>
  <si>
    <t>2026-07-04T18:05:57+05:30</t>
  </si>
  <si>
    <t>2026-07-13T14:18:49+05:30</t>
  </si>
  <si>
    <t>2026-07-13T17:19:05+05:30</t>
  </si>
  <si>
    <t>yp23lcdlpwhmcnz@marketplace.amazon.in</t>
  </si>
  <si>
    <t>407-9463827-3129168</t>
  </si>
  <si>
    <t>TVcFDcJy9</t>
  </si>
  <si>
    <t>DGQCGR70cb0WR</t>
  </si>
  <si>
    <t>2026-07-13T10:08:46+05:30</t>
  </si>
  <si>
    <t>2026-07-13T14:05:45+05:30</t>
  </si>
  <si>
    <t>2026-07-13T14:05:47+05:30</t>
  </si>
  <si>
    <t>2026-07-13T15:05:59+05:30</t>
  </si>
  <si>
    <t>lfzrc0csv3nk0f5@marketplace.amazon.in</t>
  </si>
  <si>
    <t>CHIPLUN</t>
  </si>
  <si>
    <t>406-0092867-5879505</t>
  </si>
  <si>
    <t>T3HyfwKR4</t>
  </si>
  <si>
    <t>DVR9PY7vc906R</t>
  </si>
  <si>
    <t>2026-07-10T12:28:17+05:30</t>
  </si>
  <si>
    <t>2026-07-13T13:23:53+05:30</t>
  </si>
  <si>
    <t>2026-07-13T16:24:08+05:30</t>
  </si>
  <si>
    <t>52scpmz986fcqt4@marketplace.amazon.in</t>
  </si>
  <si>
    <t>407-8593261-9958744</t>
  </si>
  <si>
    <t>TXKptPJ99</t>
  </si>
  <si>
    <t>DQtbTb7McV00R</t>
  </si>
  <si>
    <t>2026-07-13T11:41:58+05:30</t>
  </si>
  <si>
    <t>2026-07-13T13:15:45+05:30</t>
  </si>
  <si>
    <t>2026-07-13T16:15:57+05:30</t>
  </si>
  <si>
    <t>1pf133fqylyhkyb@marketplace.amazon.in</t>
  </si>
  <si>
    <t>COLVALE</t>
  </si>
  <si>
    <t>402-9761636-3308355</t>
  </si>
  <si>
    <t>TnR1YYRn9</t>
  </si>
  <si>
    <t>DQdyTr7bc40kR</t>
  </si>
  <si>
    <t>2026-07-11T21:36:55+05:30</t>
  </si>
  <si>
    <t>2026-07-13T13:03:44+05:30</t>
  </si>
  <si>
    <t>2026-07-13T16:04:01+05:30</t>
  </si>
  <si>
    <t>prh1hk8vpd4dl7v@marketplace.amazon.in</t>
  </si>
  <si>
    <t>402-7375754-3764328</t>
  </si>
  <si>
    <t>T34DYcp29</t>
  </si>
  <si>
    <t>DH5sxC78cz06R</t>
  </si>
  <si>
    <t>2026-07-11T22:50:38+05:30</t>
  </si>
  <si>
    <t>2026-07-13T12:41:46+05:30</t>
  </si>
  <si>
    <t>2026-07-13T15:41:58+05:30</t>
  </si>
  <si>
    <t>0wz1z63gv3wpn2k@marketplace.amazon.in</t>
  </si>
  <si>
    <t>402-7768555-2005950</t>
  </si>
  <si>
    <t>TXRyJ2JT9</t>
  </si>
  <si>
    <t>DFBdxG74cX0YR</t>
  </si>
  <si>
    <t>2026-07-13T11:27:03+05:30</t>
  </si>
  <si>
    <t>2026-07-13T12:37:42+05:30</t>
  </si>
  <si>
    <t>2026-07-13T12:37:47+05:30</t>
  </si>
  <si>
    <t>2026-07-13T13:37:59+05:30</t>
  </si>
  <si>
    <t>2w48pr14qfhmqz8@marketplace.amazon.in</t>
  </si>
  <si>
    <t>407-0832824-1369131</t>
  </si>
  <si>
    <t>TXCxBGns9</t>
  </si>
  <si>
    <t>D0dMx17nc505R</t>
  </si>
  <si>
    <t>2026-07-10T17:24:24+05:30</t>
  </si>
  <si>
    <t>2026-07-13T12:37:02+05:30</t>
  </si>
  <si>
    <t>2026-07-13T15:37:15+05:30</t>
  </si>
  <si>
    <t>9rgdlfjb46m9vzq@marketplace.amazon.in</t>
  </si>
  <si>
    <t>406-5914502-5158750</t>
  </si>
  <si>
    <t>Tn8BG2nz9</t>
  </si>
  <si>
    <t>DP0DxQ7scS0RR</t>
  </si>
  <si>
    <t>2026-07-11T18:40:50+05:30</t>
  </si>
  <si>
    <t>2026-07-13T12:33:45+05:30</t>
  </si>
  <si>
    <t>2026-07-13T15:33:57+05:30</t>
  </si>
  <si>
    <t>d6ndxm491v29pjl@marketplace.amazon.in</t>
  </si>
  <si>
    <t>402-3320587-0561949</t>
  </si>
  <si>
    <t>T3Kz3Sx49</t>
  </si>
  <si>
    <t>DFK6367Gc80gR</t>
  </si>
  <si>
    <t>2026-07-12T23:14:45+05:30</t>
  </si>
  <si>
    <t>2026-07-13T12:27:46+05:30</t>
  </si>
  <si>
    <t>2026-07-13T15:28:02+05:30</t>
  </si>
  <si>
    <t>73n922bnnycdfl7@marketplace.amazon.in</t>
  </si>
  <si>
    <t>2026-07-13T20:00:00+05:30</t>
  </si>
  <si>
    <t>408-9656712-6444346</t>
  </si>
  <si>
    <t>TC5r2KJ39</t>
  </si>
  <si>
    <t>DbFWJv7QcL0sR</t>
  </si>
  <si>
    <t>2026-07-13T09:19:00+05:30</t>
  </si>
  <si>
    <t>2026-07-13T12:08:46+05:30</t>
  </si>
  <si>
    <t>2026-07-13T15:08:59+05:30</t>
  </si>
  <si>
    <t>11hp8slvvgjh47d@marketplace.amazon.in</t>
  </si>
  <si>
    <t>402-7293678-2383510</t>
  </si>
  <si>
    <t>TJbwFfpn9</t>
  </si>
  <si>
    <t>D5gSMQ7ycr0rR</t>
  </si>
  <si>
    <t>2026-07-11T13:21:44+05:30</t>
  </si>
  <si>
    <t>2026-07-13T11:55:51+05:30</t>
  </si>
  <si>
    <t>2026-07-13T14:56:02+05:30</t>
  </si>
  <si>
    <t>17pnblwlj3twxtc@marketplace.amazon.in</t>
  </si>
  <si>
    <t>CHARIDUAR</t>
  </si>
  <si>
    <t>405-8813657-2924338</t>
  </si>
  <si>
    <t>Tw1lfwp59</t>
  </si>
  <si>
    <t>DcfxMr7YcK0HR</t>
  </si>
  <si>
    <t>2026-07-12T11:21:45+05:30</t>
  </si>
  <si>
    <t>2026-07-13T11:38:46+05:30</t>
  </si>
  <si>
    <t>2026-07-13T14:38:58+05:30</t>
  </si>
  <si>
    <t>xkpms4mytpblppp@marketplace.amazon.in</t>
  </si>
  <si>
    <t>407-8515582-2220355</t>
  </si>
  <si>
    <t>T15Vl03V4</t>
  </si>
  <si>
    <t>D9Nh1376cK0kR</t>
  </si>
  <si>
    <t>2026-07-06T22:20:54+05:30</t>
  </si>
  <si>
    <t>2026-07-13T11:34:45+05:30</t>
  </si>
  <si>
    <t>2026-07-13T14:34:58+05:30</t>
  </si>
  <si>
    <t>dwgfppl3cvj9w3l@marketplace.amazon.in</t>
  </si>
  <si>
    <t>405-0386837-4715558</t>
  </si>
  <si>
    <t>TC59L2Jl9</t>
  </si>
  <si>
    <t>D1Gk1171cK0JR</t>
  </si>
  <si>
    <t>2026-07-13T09:51:04+05:30</t>
  </si>
  <si>
    <t>2026-07-13T11:26:38+05:30</t>
  </si>
  <si>
    <t>2026-07-13T11:26:41+05:30</t>
  </si>
  <si>
    <t>2026-07-13T12:26:52+05:30</t>
  </si>
  <si>
    <t>3gdsqh1r0n33v5l@marketplace.amazon.in</t>
  </si>
  <si>
    <t>408-0594109-2209948</t>
  </si>
  <si>
    <t>TVzr2CJy9</t>
  </si>
  <si>
    <t>DsrP147Mcg0wR</t>
  </si>
  <si>
    <t>2026-07-13T08:24:54+05:30</t>
  </si>
  <si>
    <t>2026-07-13T11:24:41+05:30</t>
  </si>
  <si>
    <t>2026-07-13T14:24:52+05:30</t>
  </si>
  <si>
    <t>ffgs298thw605tg@marketplace.amazon.in</t>
  </si>
  <si>
    <t>THIRUVALLUR</t>
  </si>
  <si>
    <t>403-6381619-8134757</t>
  </si>
  <si>
    <t>TJgWGkx19</t>
  </si>
  <si>
    <t>Dx2YrT7bcD0SR</t>
  </si>
  <si>
    <t>2026-07-13T00:15:46+05:30</t>
  </si>
  <si>
    <t>2026-07-13T11:12:45+05:30</t>
  </si>
  <si>
    <t>2026-07-13T14:12:59+05:30</t>
  </si>
  <si>
    <t>32tchdjfgsxcfwk@marketplace.amazon.in</t>
  </si>
  <si>
    <t>404-2114448-9485160</t>
  </si>
  <si>
    <t>T30lVcqY9</t>
  </si>
  <si>
    <t>DMMdrs7Qcz0XR</t>
  </si>
  <si>
    <t>2026-07-10T18:22:33+05:30</t>
  </si>
  <si>
    <t>2026-07-13T11:11:44+05:30</t>
  </si>
  <si>
    <t>2026-07-13T14:12:00+05:30</t>
  </si>
  <si>
    <t>28hj5qrsgstwb95@marketplace.amazon.in</t>
  </si>
  <si>
    <t>402-4612726-3281955</t>
  </si>
  <si>
    <t>T3VDqcSN4</t>
  </si>
  <si>
    <t>DXqcrg7RcL0gR</t>
  </si>
  <si>
    <t>2026-07-07T09:22:12+05:30</t>
  </si>
  <si>
    <t>2026-07-13T11:06:48+05:30</t>
  </si>
  <si>
    <t>2026-07-13T14:07:03+05:30</t>
  </si>
  <si>
    <t>k6863xvr5b0bmp8@marketplace.amazon.in</t>
  </si>
  <si>
    <t>406-9208655-4237112</t>
  </si>
  <si>
    <t>TXgtvFJt9</t>
  </si>
  <si>
    <t>D8Ft7D7fc309R</t>
  </si>
  <si>
    <t>2026-07-13T09:43:18+05:30</t>
  </si>
  <si>
    <t>2026-07-13T10:59:39+05:30</t>
  </si>
  <si>
    <t>2026-07-13T13:59:50+05:30</t>
  </si>
  <si>
    <t>kly4stzfsl8wy4n@marketplace.amazon.in</t>
  </si>
  <si>
    <t>405-6579624-0645951</t>
  </si>
  <si>
    <t>TgBh5fpM9</t>
  </si>
  <si>
    <t>DYQy7P71cd0dR</t>
  </si>
  <si>
    <t>2026-07-12T09:30:20+05:30</t>
  </si>
  <si>
    <t>2026-07-13T10:59:01+05:30</t>
  </si>
  <si>
    <t>2026-07-13T14:03:14+05:30</t>
  </si>
  <si>
    <t>1q2176j6xr52ktn@marketplace.amazon.in</t>
  </si>
  <si>
    <t>SAMBHAL</t>
  </si>
  <si>
    <t>405-6050763-6155534</t>
  </si>
  <si>
    <t>TgC2YgJ99</t>
  </si>
  <si>
    <t>D11p7g7jcG0GR</t>
  </si>
  <si>
    <t>2026-07-13T07:14:37+05:30</t>
  </si>
  <si>
    <t>2026-07-13T10:57:45+05:30</t>
  </si>
  <si>
    <t>2026-07-13T13:57:57+05:30</t>
  </si>
  <si>
    <t>2b8ycj1bt7zg9mc@marketplace.amazon.in</t>
  </si>
  <si>
    <t>404-4743667-8855535</t>
  </si>
  <si>
    <t>TgtKzmxc9</t>
  </si>
  <si>
    <t>DyFM7X7nc309R</t>
  </si>
  <si>
    <t>2026-07-12T22:09:43+05:30</t>
  </si>
  <si>
    <t>2026-07-13T10:57:44+05:30</t>
  </si>
  <si>
    <t>2026-07-13T13:57:55+05:30</t>
  </si>
  <si>
    <t>2730f2bvkc7yppb@marketplace.amazon.in</t>
  </si>
  <si>
    <t>406-8761608-2305162</t>
  </si>
  <si>
    <t>TVqYsTpY9</t>
  </si>
  <si>
    <t>DcTW7v7jc806R</t>
  </si>
  <si>
    <t>2026-07-12T00:03:40+05:30</t>
  </si>
  <si>
    <t>2026-07-13T10:55:42+05:30</t>
  </si>
  <si>
    <t>2026-07-13T10:55:46+05:30</t>
  </si>
  <si>
    <t>2026-07-13T11:55:58+05:30</t>
  </si>
  <si>
    <t>hk2d19hvq4g8kxm@marketplace.amazon.in</t>
  </si>
  <si>
    <t>404-8734903-6323533</t>
  </si>
  <si>
    <t>TgJzZXRW9</t>
  </si>
  <si>
    <t>DLTcsd74c20zR</t>
  </si>
  <si>
    <t>2026-07-12T18:25:28+05:30</t>
  </si>
  <si>
    <t>2026-07-13T10:15:46+05:30</t>
  </si>
  <si>
    <t>2026-07-13T13:16:01+05:30</t>
  </si>
  <si>
    <t>ymt2x5m70pr3684@marketplace.amazon.in</t>
  </si>
  <si>
    <t>402-5171604-5969906</t>
  </si>
  <si>
    <t>TVm9R4xP9</t>
  </si>
  <si>
    <t>DjLTs07sc40cR</t>
  </si>
  <si>
    <t>2026-07-12T19:50:12+05:30</t>
  </si>
  <si>
    <t>2026-07-13T10:12:44+05:30</t>
  </si>
  <si>
    <t>2026-07-13T10:12:48+05:30</t>
  </si>
  <si>
    <t>2026-07-13T11:12:59+05:30</t>
  </si>
  <si>
    <t>r6dsd8yz0hp5smy@marketplace.amazon.in</t>
  </si>
  <si>
    <t>404-8568803-9835526</t>
  </si>
  <si>
    <t>Tw0SqfR69</t>
  </si>
  <si>
    <t>DB3KQs70c40mR</t>
  </si>
  <si>
    <t>2026-07-12T21:05:24+05:30</t>
  </si>
  <si>
    <t>2026-07-13T10:12:38+05:30</t>
  </si>
  <si>
    <t>2026-07-13T13:12:46+05:30</t>
  </si>
  <si>
    <t>qwcnpl6ycbxt3zs@marketplace.amazon.in</t>
  </si>
  <si>
    <t>403-0004216-9901925</t>
  </si>
  <si>
    <t>TVq6ckxY9</t>
  </si>
  <si>
    <t>DwDQQ37Ycn05R</t>
  </si>
  <si>
    <t>2026-07-12T22:56:57+05:30</t>
  </si>
  <si>
    <t>2026-07-13T10:08:44+05:30</t>
  </si>
  <si>
    <t>2026-07-13T13:08:58+05:30</t>
  </si>
  <si>
    <t>n7g21br10gv2sv2@marketplace.amazon.in</t>
  </si>
  <si>
    <t>405-1187200-7208335</t>
  </si>
  <si>
    <t>TGlT2RJT9</t>
  </si>
  <si>
    <t>D19WQq7tcs0tR</t>
  </si>
  <si>
    <t>2026-07-13T08:19:34+05:30</t>
  </si>
  <si>
    <t>2026-07-13T10:03:24+05:30</t>
  </si>
  <si>
    <t>2026-07-13T13:03:35+05:30</t>
  </si>
  <si>
    <t>vch50fz2d7n3k65@marketplace.amazon.in</t>
  </si>
  <si>
    <t>407-1447089-4714750</t>
  </si>
  <si>
    <t>TVTRzQxl9</t>
  </si>
  <si>
    <t>DjhVQq7Zc700R</t>
  </si>
  <si>
    <t>2026-07-12T21:02:52+05:30</t>
  </si>
  <si>
    <t>2026-07-13T10:02:44+05:30</t>
  </si>
  <si>
    <t>2026-07-13T13:02:56+05:30</t>
  </si>
  <si>
    <t>vnyxr12hmx0jl5c@marketplace.amazon.in</t>
  </si>
  <si>
    <t>Ranipet</t>
  </si>
  <si>
    <t>403-7314684-2268326</t>
  </si>
  <si>
    <t>T3Py5dnS9</t>
  </si>
  <si>
    <t>DxpmQP7FcR0LR</t>
  </si>
  <si>
    <t>2026-07-11T22:20:15+05:30</t>
  </si>
  <si>
    <t>2026-07-13T09:57:48+05:30</t>
  </si>
  <si>
    <t>2026-07-13T12:57:59+05:30</t>
  </si>
  <si>
    <t>bh92n80xjpry0py@marketplace.amazon.in</t>
  </si>
  <si>
    <t>408-7562702-7078731</t>
  </si>
  <si>
    <t>Tg7sN8xx9</t>
  </si>
  <si>
    <t>DWKccQ7Mcr0FR</t>
  </si>
  <si>
    <t>2026-07-12T20:35:32+05:30</t>
  </si>
  <si>
    <t>2026-07-13T09:56:45+05:30</t>
  </si>
  <si>
    <t>2026-07-13T12:56:57+05:30</t>
  </si>
  <si>
    <t>kjr9k26qrw1ns6r@marketplace.amazon.in</t>
  </si>
  <si>
    <t>406-1375089-1165101</t>
  </si>
  <si>
    <t>TGbTsDxZ9</t>
  </si>
  <si>
    <t>D60qc97scl0ZR</t>
  </si>
  <si>
    <t>2026-07-12T21:29:55+05:30</t>
  </si>
  <si>
    <t>2026-07-13T09:41:43+05:30</t>
  </si>
  <si>
    <t>2026-07-13T09:41:47+05:30</t>
  </si>
  <si>
    <t>2026-07-13T10:42:03+05:30</t>
  </si>
  <si>
    <t>sn93vbjc8tc51qc@marketplace.amazon.in</t>
  </si>
  <si>
    <t>403-6477028-5289105</t>
  </si>
  <si>
    <t>TVGMwWJQ9</t>
  </si>
  <si>
    <t>DT0Wcm7wcx0jR</t>
  </si>
  <si>
    <t>2026-07-13T07:11:07+05:30</t>
  </si>
  <si>
    <t>2026-07-13T09:38:46+05:30</t>
  </si>
  <si>
    <t>2026-07-13T12:38:57+05:30</t>
  </si>
  <si>
    <t>78c149qkmdrq8xw@marketplace.amazon.in</t>
  </si>
  <si>
    <t>402-4073613-2673928</t>
  </si>
  <si>
    <t>TCgLYpJ39</t>
  </si>
  <si>
    <t>Drkpvx7vcw0RR</t>
  </si>
  <si>
    <t>2026-07-13T08:08:05+05:30</t>
  </si>
  <si>
    <t>2026-07-13T09:31:40+05:30</t>
  </si>
  <si>
    <t>2026-07-13T09:31:43+05:30</t>
  </si>
  <si>
    <t>2026-07-13T10:32:02+05:30</t>
  </si>
  <si>
    <t>x24dgm926fd4bx7@marketplace.amazon.in</t>
  </si>
  <si>
    <t>408-2842017-2321950</t>
  </si>
  <si>
    <t>TGM41GxX9</t>
  </si>
  <si>
    <t>Dqg5v27bcd0KR</t>
  </si>
  <si>
    <t>2026-07-12T23:27:38+05:30</t>
  </si>
  <si>
    <t>2026-07-13T09:30:43+05:30</t>
  </si>
  <si>
    <t>2026-07-13T09:30:46+05:30</t>
  </si>
  <si>
    <t>2026-07-13T10:31:03+05:30</t>
  </si>
  <si>
    <t>405-4732989-6848367</t>
  </si>
  <si>
    <t>TcJpckP59</t>
  </si>
  <si>
    <t>Dpq9vR7ycM0DR</t>
  </si>
  <si>
    <t>2026-07-10T16:41:22+05:30</t>
  </si>
  <si>
    <t>2026-07-13T09:19:49+05:30</t>
  </si>
  <si>
    <t>2026-07-13T12:20:00+05:30</t>
  </si>
  <si>
    <t>8m5qf8cfsdkt1nh@marketplace.amazon.in</t>
  </si>
  <si>
    <t>403-9399288-1701916</t>
  </si>
  <si>
    <t>TnwbqgnS9</t>
  </si>
  <si>
    <t>D3Rkvr7jc90yR</t>
  </si>
  <si>
    <t>2026-07-11T19:23:48+05:30</t>
  </si>
  <si>
    <t>2026-07-13T09:18:45+05:30</t>
  </si>
  <si>
    <t>2026-07-13T12:18:56+05:30</t>
  </si>
  <si>
    <t>tsp5mlgl96q2g06@marketplace.amazon.in</t>
  </si>
  <si>
    <t>405-3388895-0770763</t>
  </si>
  <si>
    <t>TG5gG3xh9</t>
  </si>
  <si>
    <t>Dzs0Vh7qc50dR</t>
  </si>
  <si>
    <t>2026-07-13T00:25:14+05:30</t>
  </si>
  <si>
    <t>2026-07-13T08:51:44+05:30</t>
  </si>
  <si>
    <t>2026-07-13T08:51:48+05:30</t>
  </si>
  <si>
    <t>2026-07-13T09:52:03+05:30</t>
  </si>
  <si>
    <t>mq69yq0zp1wtw5k@marketplace.amazon.in</t>
  </si>
  <si>
    <t>DOMBIVLI</t>
  </si>
  <si>
    <t>403-5963570-3360301</t>
  </si>
  <si>
    <t>TnJK6sx89</t>
  </si>
  <si>
    <t>DkLGhhDkcQ0BR</t>
  </si>
  <si>
    <t>2026-07-13T01:40:54+05:30</t>
  </si>
  <si>
    <t>2026-07-13T04:30:49+05:30</t>
  </si>
  <si>
    <t>2026-07-13T07:31:02+05:30</t>
  </si>
  <si>
    <t>r03cl4h4hjdr3tz@marketplace.amazon.in</t>
  </si>
  <si>
    <t>403-6711642-3209904</t>
  </si>
  <si>
    <t>TwPhBCxX9</t>
  </si>
  <si>
    <t>DxxQhkD7cY0wR</t>
  </si>
  <si>
    <t>2026-07-12T21:48:59+05:30</t>
  </si>
  <si>
    <t>2026-07-13T04:30:43+05:30</t>
  </si>
  <si>
    <t>2026-07-13T07:30:55+05:30</t>
  </si>
  <si>
    <t>ccfd1xx62k33hwj@marketplace.amazon.in</t>
  </si>
  <si>
    <t>408-5629228-4562762</t>
  </si>
  <si>
    <t>Tnc4fHK54</t>
  </si>
  <si>
    <t>D21yfBDDc305R</t>
  </si>
  <si>
    <t>2026-07-10T12:36:02+05:30</t>
  </si>
  <si>
    <t>2026-07-13T04:28:42+05:30</t>
  </si>
  <si>
    <t>2026-07-13T04:28:45+05:30</t>
  </si>
  <si>
    <t>2026-07-13T05:29:02+05:30</t>
  </si>
  <si>
    <t>kzpmsq1r1gkyjg9@marketplace.amazon.in</t>
  </si>
  <si>
    <t>406-9878338-2514724</t>
  </si>
  <si>
    <t>T6sVBVnB9</t>
  </si>
  <si>
    <t>DDQWfMDfcD0tR</t>
  </si>
  <si>
    <t>2026-07-10T15:29:35+05:30</t>
  </si>
  <si>
    <t>2026-07-13T04:25:34+05:30</t>
  </si>
  <si>
    <t>2026-07-13T07:25:45+05:30</t>
  </si>
  <si>
    <t>w5qr204sybqv3md@marketplace.amazon.in</t>
  </si>
  <si>
    <t>Siwan</t>
  </si>
  <si>
    <t>405-9431868-3562736</t>
  </si>
  <si>
    <t>TgDz81x89</t>
  </si>
  <si>
    <t>DMzsf0DCcd0LR</t>
  </si>
  <si>
    <t>2026-07-13T01:36:26+05:30</t>
  </si>
  <si>
    <t>2026-07-13T04:20:42+05:30</t>
  </si>
  <si>
    <t>2026-07-13T04:20:45+05:30</t>
  </si>
  <si>
    <t>2026-07-13T05:20:57+05:30</t>
  </si>
  <si>
    <t>8y6y1yx7wdhd7xm@marketplace.amazon.in</t>
  </si>
  <si>
    <t>408-3719165-2945158</t>
  </si>
  <si>
    <t>TVQ5M1xj9</t>
  </si>
  <si>
    <t>DYPFflDxc30CR</t>
  </si>
  <si>
    <t>2026-07-12T22:46:36+05:30</t>
  </si>
  <si>
    <t>2026-07-13T04:12:45+05:30</t>
  </si>
  <si>
    <t>2026-07-13T07:12:57+05:30</t>
  </si>
  <si>
    <t>qcr5qfz1k2v66z3@marketplace.amazon.in</t>
  </si>
  <si>
    <t>406-1544674-8265142</t>
  </si>
  <si>
    <t>Tc6Dwbxj9</t>
  </si>
  <si>
    <t>DMNJjPDFcT0rR</t>
  </si>
  <si>
    <t>2026-07-12T21:21:17+05:30</t>
  </si>
  <si>
    <t>2026-07-13T04:11:45+05:30</t>
  </si>
  <si>
    <t>2026-07-13T07:11:57+05:30</t>
  </si>
  <si>
    <t>cvbd1czj5qm8pwy@marketplace.amazon.in</t>
  </si>
  <si>
    <t>SAMBALPUR</t>
  </si>
  <si>
    <t>404-7843999-4307539</t>
  </si>
  <si>
    <t>T1lYlVRt9</t>
  </si>
  <si>
    <t>DchCjBDjc604R</t>
  </si>
  <si>
    <t>2026-07-12T15:33:44+05:30</t>
  </si>
  <si>
    <t>2026-07-13T04:02:45+05:30</t>
  </si>
  <si>
    <t>2026-07-13T07:02:56+05:30</t>
  </si>
  <si>
    <t>3pzsn707d6py2nv@marketplace.amazon.in</t>
  </si>
  <si>
    <t>403-1565777-7398719</t>
  </si>
  <si>
    <t>TnvJFjxq9</t>
  </si>
  <si>
    <t>DJKkZJDkc80lR</t>
  </si>
  <si>
    <t>2026-07-12T19:42:24+05:30</t>
  </si>
  <si>
    <t>2026-07-13T04:01:45+05:30</t>
  </si>
  <si>
    <t>2026-07-13T07:02:01+05:30</t>
  </si>
  <si>
    <t>np9scrhxpn0sxtf@marketplace.amazon.in</t>
  </si>
  <si>
    <t>404-6072362-7010754</t>
  </si>
  <si>
    <t>Twmp0Kn49</t>
  </si>
  <si>
    <t>DJjxZ2D1c60PR</t>
  </si>
  <si>
    <t>2026-07-11T19:39:43+05:30</t>
  </si>
  <si>
    <t>2026-07-13T03:55:44+05:30</t>
  </si>
  <si>
    <t>2026-07-13T06:55:56+05:30</t>
  </si>
  <si>
    <t>s8gqblfzmlg3fgh@marketplace.amazon.in</t>
  </si>
  <si>
    <t>403-1302491-4257925</t>
  </si>
  <si>
    <t>TCcRgPRn9</t>
  </si>
  <si>
    <t>DrKXZvDncg0lR</t>
  </si>
  <si>
    <t>2026-07-12T18:18:53+05:30</t>
  </si>
  <si>
    <t>2026-07-13T03:53:44+05:30</t>
  </si>
  <si>
    <t>2026-07-13T06:53:56+05:30</t>
  </si>
  <si>
    <t>glt5rgmjck2q9lg@marketplace.amazon.in</t>
  </si>
  <si>
    <t>Garapally</t>
  </si>
  <si>
    <t>402-4550365-9693920</t>
  </si>
  <si>
    <t>Tg1sR8Rl9</t>
  </si>
  <si>
    <t>DCDqZrDbc90SR</t>
  </si>
  <si>
    <t>2026-07-11T19:55:52+05:30</t>
  </si>
  <si>
    <t>2026-07-13T03:52:53+05:30</t>
  </si>
  <si>
    <t>2026-07-13T06:53:18+05:30</t>
  </si>
  <si>
    <t>z0j9tcgz7ycbc9s@marketplace.amazon.in</t>
  </si>
  <si>
    <t>171-5195766-0520346</t>
  </si>
  <si>
    <t>TGlp1Xx59</t>
  </si>
  <si>
    <t>DphMZwDycn0MR</t>
  </si>
  <si>
    <t>2026-07-12T21:29:27+05:30</t>
  </si>
  <si>
    <t>2026-07-13T03:47:45+05:30</t>
  </si>
  <si>
    <t>2026-07-13T06:47:57+05:30</t>
  </si>
  <si>
    <t>9fcjdrnwg1bhglp@marketplace.amazon.in</t>
  </si>
  <si>
    <t>408-3239657-9081917</t>
  </si>
  <si>
    <t>TXdBWyR59</t>
  </si>
  <si>
    <t>DwBGqxDccV02R</t>
  </si>
  <si>
    <t>2026-07-12T17:40:31+05:30</t>
  </si>
  <si>
    <t>2026-07-13T03:33:44+05:30</t>
  </si>
  <si>
    <t>2026-07-13T06:33:56+05:30</t>
  </si>
  <si>
    <t>nm44kg4jj6t264f@marketplace.amazon.in</t>
  </si>
  <si>
    <t>406-8685884-2064326</t>
  </si>
  <si>
    <t>TGbpKKpD9</t>
  </si>
  <si>
    <t>D9drqqDhcM05R</t>
  </si>
  <si>
    <t>2026-07-06T11:37:41+05:30</t>
  </si>
  <si>
    <t>2026-07-13T03:25:47+05:30</t>
  </si>
  <si>
    <t>2026-07-13T06:26:10+05:30</t>
  </si>
  <si>
    <t>wlbqcv7tm9ct22y@marketplace.amazon.in</t>
  </si>
  <si>
    <t>AM006914942IN</t>
  </si>
  <si>
    <t>407-4112445-9143516</t>
  </si>
  <si>
    <t>TwDd4nxx9</t>
  </si>
  <si>
    <t>DVrqqxDdcR0lR</t>
  </si>
  <si>
    <t>2026-07-12T20:28:46+05:30</t>
  </si>
  <si>
    <t>2026-07-13T03:24:47+05:30</t>
  </si>
  <si>
    <t>2026-07-13T06:24:58+05:30</t>
  </si>
  <si>
    <t>tymgvdz4sxqtlyp@marketplace.amazon.in</t>
  </si>
  <si>
    <t>Kattathurai</t>
  </si>
  <si>
    <t>405-1015914-0188339</t>
  </si>
  <si>
    <t>TGq471xM9</t>
  </si>
  <si>
    <t>DwlG50DvcY0MR</t>
  </si>
  <si>
    <t>2026-07-12T19:04:19+05:30</t>
  </si>
  <si>
    <t>2026-07-13T03:10:43+05:30</t>
  </si>
  <si>
    <t>2026-07-13T06:10:55+05:30</t>
  </si>
  <si>
    <t>7z9v7fxhf0kwryh@marketplace.amazon.in</t>
  </si>
  <si>
    <t>Margao</t>
  </si>
  <si>
    <t>Goa</t>
  </si>
  <si>
    <t>404-5919178-9790763</t>
  </si>
  <si>
    <t>T6t0mRnm9</t>
  </si>
  <si>
    <t>DMT15cDhch0cR</t>
  </si>
  <si>
    <t>2026-07-11T18:16:05+05:30</t>
  </si>
  <si>
    <t>2026-07-13T03:09:46+05:30</t>
  </si>
  <si>
    <t>2026-07-13T06:09:58+05:30</t>
  </si>
  <si>
    <t>zjz1xyn29h5fj8t@marketplace.amazon.in</t>
  </si>
  <si>
    <t>Khatima</t>
  </si>
  <si>
    <t>407-7437023-2104302</t>
  </si>
  <si>
    <t>T34scLxw9</t>
  </si>
  <si>
    <t>DSwRg1Dkc10yR</t>
  </si>
  <si>
    <t>2026-07-12T23:42:37+05:30</t>
  </si>
  <si>
    <t>2026-07-13T02:52:43+05:30</t>
  </si>
  <si>
    <t>2026-07-13T05:52:55+05:30</t>
  </si>
  <si>
    <t>07vzz3tm052n8s2@marketplace.amazon.in</t>
  </si>
  <si>
    <t>171-0791907-5555500</t>
  </si>
  <si>
    <t>Tgb75NRc9</t>
  </si>
  <si>
    <t>D6kc87DYct0YR</t>
  </si>
  <si>
    <t>2026-07-12T19:52:51+05:30</t>
  </si>
  <si>
    <t>2026-07-13T02:42:48+05:30</t>
  </si>
  <si>
    <t>2026-07-13T05:42:58+05:30</t>
  </si>
  <si>
    <t>kvdzh8rjqz1bfy3@marketplace.amazon.in</t>
  </si>
  <si>
    <t>DEVAKOTTAI</t>
  </si>
  <si>
    <t>408-3922233-7644326</t>
  </si>
  <si>
    <t>TGLDrBxN9</t>
  </si>
  <si>
    <t>Dm5s8gD4cj0zR</t>
  </si>
  <si>
    <t>2026-07-13T00:39:18+05:30</t>
  </si>
  <si>
    <t>2026-07-13T02:41:42+05:30</t>
  </si>
  <si>
    <t>2026-07-13T02:41:46+05:30</t>
  </si>
  <si>
    <t>2026-07-13T03:41:56+05:30</t>
  </si>
  <si>
    <t>vjj76gb0r8bw8sn@marketplace.amazon.in</t>
  </si>
  <si>
    <t>SHIVAMOGGA</t>
  </si>
  <si>
    <t>402-9521879-3537100</t>
  </si>
  <si>
    <t>T61Rd3RV9</t>
  </si>
  <si>
    <t>D5l88DDYct0CR</t>
  </si>
  <si>
    <t>2026-07-12T16:34:26+05:30</t>
  </si>
  <si>
    <t>2026-07-13T02:38:47+05:30</t>
  </si>
  <si>
    <t>2026-07-13T05:39:06+05:30</t>
  </si>
  <si>
    <t>407-8856926-9524315</t>
  </si>
  <si>
    <t>TG0plkR19</t>
  </si>
  <si>
    <t>DstB8KD3cl0bR</t>
  </si>
  <si>
    <t>2026-07-12T17:24:43+05:30</t>
  </si>
  <si>
    <t>2026-07-13T02:37:46+05:30</t>
  </si>
  <si>
    <t>2026-07-13T05:38:00+05:30</t>
  </si>
  <si>
    <t>sxpx9d2qxqyn93f@marketplace.amazon.in</t>
  </si>
  <si>
    <t>408-4526001-5815504</t>
  </si>
  <si>
    <t>T1gCY3RV9</t>
  </si>
  <si>
    <t>DJGn8DDZc00fR</t>
  </si>
  <si>
    <t>2026-07-07T07:23:52+05:30</t>
  </si>
  <si>
    <t>2026-07-13T02:34:45+05:30</t>
  </si>
  <si>
    <t>2026-07-13T05:34:59+05:30</t>
  </si>
  <si>
    <t>wn434xj5tjtmthk@marketplace.amazon.in</t>
  </si>
  <si>
    <t>404-6859519-2397910</t>
  </si>
  <si>
    <t>TGMgq0Rs9</t>
  </si>
  <si>
    <t>Dfwj8zDccQ04R</t>
  </si>
  <si>
    <t>2026-07-12T17:47:41+05:30</t>
  </si>
  <si>
    <t>2026-07-13T02:34:44+05:30</t>
  </si>
  <si>
    <t>2026-07-13T05:34:56+05:30</t>
  </si>
  <si>
    <t>8sq1gd859lx4tyq@marketplace.amazon.in</t>
  </si>
  <si>
    <t>407-1561455-9322731</t>
  </si>
  <si>
    <t>TJsZ5kpt9</t>
  </si>
  <si>
    <t>DD33CLDccj0YR</t>
  </si>
  <si>
    <t>2026-07-12T03:11:58+05:30</t>
  </si>
  <si>
    <t>2026-07-13T02:13:46+05:30</t>
  </si>
  <si>
    <t>2026-07-13T05:13:59+05:30</t>
  </si>
  <si>
    <t>l5xjm9h1w2z7jfv@marketplace.amazon.in</t>
  </si>
  <si>
    <t>404-0633942-6209132</t>
  </si>
  <si>
    <t>TnMSlGR39</t>
  </si>
  <si>
    <t>DnvHCtDdcy0GR</t>
  </si>
  <si>
    <t>2026-07-12T15:41:30+05:30</t>
  </si>
  <si>
    <t>2026-07-13T02:12:46+05:30</t>
  </si>
  <si>
    <t>2026-07-13T05:13:05+05:30</t>
  </si>
  <si>
    <t>hwwfx0vcd31l3pq@marketplace.amazon.in</t>
  </si>
  <si>
    <t>402-0356017-1096356</t>
  </si>
  <si>
    <t>TNd3Hxxp9</t>
  </si>
  <si>
    <t>DK34C8DrcP0DR</t>
  </si>
  <si>
    <t>2026-07-12T19:22:05+05:30</t>
  </si>
  <si>
    <t>2026-07-13T02:06:40+05:30</t>
  </si>
  <si>
    <t>2026-07-13T02:06:43+05:30</t>
  </si>
  <si>
    <t>2026-07-13T03:06:53+05:30</t>
  </si>
  <si>
    <t>zvstr4bkz4zt9sf@marketplace.amazon.in</t>
  </si>
  <si>
    <t>407-6897154-1561155</t>
  </si>
  <si>
    <t>Tnmy3RxX9</t>
  </si>
  <si>
    <t>DGCyCZDfcS0gR</t>
  </si>
  <si>
    <t>2026-07-12T20:57:29+05:30</t>
  </si>
  <si>
    <t>2026-07-13T02:05:44+05:30</t>
  </si>
  <si>
    <t>2026-07-13T05:05:57+05:30</t>
  </si>
  <si>
    <t>g3lr133sxylh8f5@marketplace.amazon.in</t>
  </si>
  <si>
    <t>402-8506242-4842766</t>
  </si>
  <si>
    <t>TNCmJXX24</t>
  </si>
  <si>
    <t>DHY7C5Dxcc0kR</t>
  </si>
  <si>
    <t>2026-07-09T19:27:32+05:30</t>
  </si>
  <si>
    <t>2026-07-13T02:02:49+05:30</t>
  </si>
  <si>
    <t>2026-07-13T05:03:00+05:30</t>
  </si>
  <si>
    <t>58kdcqzpht6l6th@marketplace.amazon.in</t>
  </si>
  <si>
    <t>408-1995523-9989939</t>
  </si>
  <si>
    <t>TNyQPrRM9</t>
  </si>
  <si>
    <t>DMYGCLDJcc0kR</t>
  </si>
  <si>
    <t>2026-07-12T17:15:46+05:30</t>
  </si>
  <si>
    <t>2026-07-13T02:01:45+05:30</t>
  </si>
  <si>
    <t>2026-07-13T05:01:59+05:30</t>
  </si>
  <si>
    <t>s57zx4v205vwglw@marketplace.amazon.in</t>
  </si>
  <si>
    <t>407-7201960-7701101</t>
  </si>
  <si>
    <t>TVP6glpv9</t>
  </si>
  <si>
    <t>D5CfCRDVcM08R</t>
  </si>
  <si>
    <t>2026-07-12T06:37:42+05:30</t>
  </si>
  <si>
    <t>2026-07-13T02:00:44+05:30</t>
  </si>
  <si>
    <t>2026-07-13T05:00:58+05:30</t>
  </si>
  <si>
    <t>gdmsydtcnvktn1q@marketplace.amazon.in</t>
  </si>
  <si>
    <t>veraval</t>
  </si>
  <si>
    <t>403-4321362-7487544</t>
  </si>
  <si>
    <t>TnWb4zxm9</t>
  </si>
  <si>
    <t>DQCbCqDYcM08R</t>
  </si>
  <si>
    <t>2026-07-12T20:28:57+05:30</t>
  </si>
  <si>
    <t>2026-07-13T01:59:44+05:30</t>
  </si>
  <si>
    <t>2026-07-13T04:59:57+05:30</t>
  </si>
  <si>
    <t>qmfjb02xsrzx4xn@marketplace.amazon.in</t>
  </si>
  <si>
    <t>407-7849154-1086725</t>
  </si>
  <si>
    <t>Tww45TRx9</t>
  </si>
  <si>
    <t>D3dCprDVcz0fR</t>
  </si>
  <si>
    <t>2026-07-12T19:40:02+05:30</t>
  </si>
  <si>
    <t>2026-07-13T01:38:43+05:30</t>
  </si>
  <si>
    <t>2026-07-13T04:38:54+05:30</t>
  </si>
  <si>
    <t>406-3932527-4126726</t>
  </si>
  <si>
    <t>TGdyF9xk9</t>
  </si>
  <si>
    <t>DL2rWwDwcW0MR</t>
  </si>
  <si>
    <t>2026-07-12T20:48:09+05:30</t>
  </si>
  <si>
    <t>2026-07-13T01:36:39+05:30</t>
  </si>
  <si>
    <t>2026-07-13T01:36:42+05:30</t>
  </si>
  <si>
    <t>2026-07-13T02:36:52+05:30</t>
  </si>
  <si>
    <t>rvyl5fsnb4nzg5d@marketplace.amazon.in</t>
  </si>
  <si>
    <t>2026-07-13T08:00:00+05:30</t>
  </si>
  <si>
    <t>404-7637433-4734706</t>
  </si>
  <si>
    <t>Twq4kJp49</t>
  </si>
  <si>
    <t>Dt8sW5D8cq0fR</t>
  </si>
  <si>
    <t>2026-07-11T19:16:05+05:30</t>
  </si>
  <si>
    <t>2026-07-13T01:30:21+05:30</t>
  </si>
  <si>
    <t>2026-07-13T04:30:32+05:30</t>
  </si>
  <si>
    <t>pb7lcqmqmlw59xs@marketplace.amazon.in</t>
  </si>
  <si>
    <t>402-3463811-0467509</t>
  </si>
  <si>
    <t>TGKds5xd9</t>
  </si>
  <si>
    <t>DZJtWCDScW0tR</t>
  </si>
  <si>
    <t>2026-07-12T22:16:28+05:30</t>
  </si>
  <si>
    <t>2026-07-13T01:26:21+05:30</t>
  </si>
  <si>
    <t>2026-07-13T04:26:32+05:30</t>
  </si>
  <si>
    <t>89xvx990dms6d5n@marketplace.amazon.in</t>
  </si>
  <si>
    <t>406-9680143-5941132</t>
  </si>
  <si>
    <t>TJk6bTxf9</t>
  </si>
  <si>
    <t>Dy1bKgDLcH0kR</t>
  </si>
  <si>
    <t>2026-07-12T20:36:18+05:30</t>
  </si>
  <si>
    <t>2026-07-13T01:20:48+05:30</t>
  </si>
  <si>
    <t>2026-07-13T04:21:01+05:30</t>
  </si>
  <si>
    <t>76wxg113cpys85n@marketplace.amazon.in</t>
  </si>
  <si>
    <t>404-0053330-8917164</t>
  </si>
  <si>
    <t>TgnlnzRf9</t>
  </si>
  <si>
    <t>DS6hmMDVck0tR</t>
  </si>
  <si>
    <t>2026-07-10T16:32:16+05:30</t>
  </si>
  <si>
    <t>2026-07-13T00:58:44+05:30</t>
  </si>
  <si>
    <t>2026-07-13T03:58:52+05:30</t>
  </si>
  <si>
    <t>vnvh5jq23m11jz8@marketplace.amazon.in</t>
  </si>
  <si>
    <t>405-5707235-0043543</t>
  </si>
  <si>
    <t>TglzxDRD9</t>
  </si>
  <si>
    <t>DlTHm5DKcS0QR</t>
  </si>
  <si>
    <t>2026-07-12T17:15:03+05:30</t>
  </si>
  <si>
    <t>2026-07-13T00:54:51+05:30</t>
  </si>
  <si>
    <t>2026-07-13T03:55:04+05:30</t>
  </si>
  <si>
    <t>bsk3kjtlsll1dgp@marketplace.amazon.in</t>
  </si>
  <si>
    <t>ITANAGAR</t>
  </si>
  <si>
    <t>402-6247305-5512321</t>
  </si>
  <si>
    <t>TG6dWGR59</t>
  </si>
  <si>
    <t>DhWrm8D3cC0GR</t>
  </si>
  <si>
    <t>2026-07-12T17:46:54+05:30</t>
  </si>
  <si>
    <t>2026-07-13T00:51:47+05:30</t>
  </si>
  <si>
    <t>2026-07-13T03:51:59+05:30</t>
  </si>
  <si>
    <t>k8l57hr88dp7v4k@marketplace.amazon.in</t>
  </si>
  <si>
    <t>PALLIPPURAM THIRUVANANTHAPURAM DISTRICT</t>
  </si>
  <si>
    <t>403-0323070-9811540</t>
  </si>
  <si>
    <t>T1L6VKx59</t>
  </si>
  <si>
    <t>DhrnmwDpcF0sR</t>
  </si>
  <si>
    <t>2026-07-12T21:48:10+05:30</t>
  </si>
  <si>
    <t>2026-07-13T00:46:57+05:30</t>
  </si>
  <si>
    <t>2026-07-13T03:47:27+05:30</t>
  </si>
  <si>
    <t>jkxktfy7m3hm32v@marketplace.amazon.in</t>
  </si>
  <si>
    <t>407-3025562-2441109</t>
  </si>
  <si>
    <t>Tww1DWRr9</t>
  </si>
  <si>
    <t>DQXv08Dzc50SR</t>
  </si>
  <si>
    <t>2026-07-09T23:54:15+05:30</t>
  </si>
  <si>
    <t>2026-07-13T00:28:44+05:30</t>
  </si>
  <si>
    <t>2026-07-13T00:28:46+05:30</t>
  </si>
  <si>
    <t>2026-07-13T01:28:58+05:30</t>
  </si>
  <si>
    <t>pn72f530qzk095h@marketplace.amazon.in</t>
  </si>
  <si>
    <t>171-3915864-0254730</t>
  </si>
  <si>
    <t>T34bm2RN9</t>
  </si>
  <si>
    <t>D3Dh06D9cM0SR</t>
  </si>
  <si>
    <t>2026-07-12T17:41:36+05:30</t>
  </si>
  <si>
    <t>2026-07-13T00:25:51+05:30</t>
  </si>
  <si>
    <t>2026-07-13T03:26:04+05:30</t>
  </si>
  <si>
    <t>2l50ft0bq16fg21@marketplace.amazon.in</t>
  </si>
  <si>
    <t>Chengaloor</t>
  </si>
  <si>
    <t>407-8209352-8417110</t>
  </si>
  <si>
    <t>TCXHVFxL9</t>
  </si>
  <si>
    <t>DFVq0KDQcf0qR</t>
  </si>
  <si>
    <t>2026-07-12T22:21:04+05:30</t>
  </si>
  <si>
    <t>2026-07-13T00:23:43+05:30</t>
  </si>
  <si>
    <t>2026-07-13T00:23:47+05:30</t>
  </si>
  <si>
    <t>2026-07-13T01:24:02+05:30</t>
  </si>
  <si>
    <t>h30tlg2g8dp81gx@marketplace.amazon.in</t>
  </si>
  <si>
    <t>405-1658289-9297943</t>
  </si>
  <si>
    <t>TG5gPdR69</t>
  </si>
  <si>
    <t>Dlv1ShDBct09R</t>
  </si>
  <si>
    <t>2026-07-12T16:30:59+05:30</t>
  </si>
  <si>
    <t>2026-07-13T00:09:46+05:30</t>
  </si>
  <si>
    <t>2026-07-13T03:09:58+05:30</t>
  </si>
  <si>
    <t>58s8nr4m3zlycjw@marketplace.amazon.in</t>
  </si>
  <si>
    <t>404-7054716-1411509</t>
  </si>
  <si>
    <t>TGy4kwxL9</t>
  </si>
  <si>
    <t>DjkKSTDkcw0qR</t>
  </si>
  <si>
    <t>2026-07-12T21:43:24+05:30</t>
  </si>
  <si>
    <t>2026-07-13T00:08:46+05:30</t>
  </si>
  <si>
    <t>2026-07-13T03:08:58+05:30</t>
  </si>
  <si>
    <t>pf0m92ryts5855t@marketplace.amazon.in</t>
  </si>
  <si>
    <t>407-8229885-8074703</t>
  </si>
  <si>
    <t>TC49KFRR9</t>
  </si>
  <si>
    <t>Dh1mStDWc905R</t>
  </si>
  <si>
    <t>2026-07-12T19:02:28+05:30</t>
  </si>
  <si>
    <t>2026-07-13T00:06:44+05:30</t>
  </si>
  <si>
    <t>2026-07-13T03:06:59+05:30</t>
  </si>
  <si>
    <t>dx7ww7s2snzhg9f@marketplace.amazon.in</t>
  </si>
  <si>
    <t>406-3745104-6243531</t>
  </si>
  <si>
    <t>TNsnFQxS9</t>
  </si>
  <si>
    <t>DVWfSRDdcG0fR</t>
  </si>
  <si>
    <t>2026-07-12T21:27:47+05:30</t>
  </si>
  <si>
    <t>2026-07-13T00:00:45+05:30</t>
  </si>
  <si>
    <t>2026-07-13T03:00:58+05:30</t>
  </si>
  <si>
    <t>hgl8mg0fr0kp9jy@marketplace.amazon.in</t>
  </si>
  <si>
    <t>403-1481527-5698707</t>
  </si>
  <si>
    <t>TgBpqcKk4</t>
  </si>
  <si>
    <t>Ds4f6CDTcW0cR</t>
  </si>
  <si>
    <t>2026-07-10T11:42:02+05:30</t>
  </si>
  <si>
    <t>2026-07-12T23:56:47+05:30</t>
  </si>
  <si>
    <t>2026-07-13T02:56:58+05:30</t>
  </si>
  <si>
    <t>wmycjbw22rppd83@marketplace.amazon.in</t>
  </si>
  <si>
    <t>405-4875510-7089154</t>
  </si>
  <si>
    <t>TXCl2Mxg9</t>
  </si>
  <si>
    <t>Db3F6lDycn0QR</t>
  </si>
  <si>
    <t>2026-07-12T21:25:32+05:30</t>
  </si>
  <si>
    <t>2026-07-12T23:49:48+05:30</t>
  </si>
  <si>
    <t>2026-07-13T02:50:00+05:30</t>
  </si>
  <si>
    <t>q3gl5x5tthg4tt7@marketplace.amazon.in</t>
  </si>
  <si>
    <t>403-0061274-1866739</t>
  </si>
  <si>
    <t>TJlmDQRZ9</t>
  </si>
  <si>
    <t>DNY36QDbcj0NR</t>
  </si>
  <si>
    <t>2026-07-12T13:13:12+05:30</t>
  </si>
  <si>
    <t>2026-07-12T23:40:48+05:30</t>
  </si>
  <si>
    <t>2026-07-13T02:41:07+05:30</t>
  </si>
  <si>
    <t>399729bkl640975@marketplace.amazon.in</t>
  </si>
  <si>
    <t>402-7133496-2047560</t>
  </si>
  <si>
    <t>T3Vq2sxZ9</t>
  </si>
  <si>
    <t>DDV8dXDGcQ0gR</t>
  </si>
  <si>
    <t>2026-07-12T21:59:26+05:30</t>
  </si>
  <si>
    <t>2026-07-12T23:34:46+05:30</t>
  </si>
  <si>
    <t>2026-07-13T02:34:58+05:30</t>
  </si>
  <si>
    <t>gzvxm41q45bb0x6@marketplace.amazon.in</t>
  </si>
  <si>
    <t>407-9718655-8972357</t>
  </si>
  <si>
    <t>TCvZbGnd9</t>
  </si>
  <si>
    <t>Dq1tdVDBc702R</t>
  </si>
  <si>
    <t>2026-07-11T12:52:13+05:30</t>
  </si>
  <si>
    <t>2026-07-12T23:31:45+05:30</t>
  </si>
  <si>
    <t>2026-07-13T02:32:01+05:30</t>
  </si>
  <si>
    <t>vd27s5g4xfpwmn0@marketplace.amazon.in</t>
  </si>
  <si>
    <t>408-7010205-8613909</t>
  </si>
  <si>
    <t>TwHqbMxc9</t>
  </si>
  <si>
    <t>DjJBd1D8cp01R</t>
  </si>
  <si>
    <t>2026-07-12T19:23:08+05:30</t>
  </si>
  <si>
    <t>2026-07-12T23:20:42+05:30</t>
  </si>
  <si>
    <t>2026-07-13T02:20:57+05:30</t>
  </si>
  <si>
    <t>6228bljg6bxyn7r@marketplace.amazon.in</t>
  </si>
  <si>
    <t>406-4300258-4370718</t>
  </si>
  <si>
    <t>TJk68Tpx9</t>
  </si>
  <si>
    <t>DvblGFDHcm04R</t>
  </si>
  <si>
    <t>2026-07-12T11:30:31+05:30</t>
  </si>
  <si>
    <t>2026-07-12T23:17:38+05:30</t>
  </si>
  <si>
    <t>2026-07-12T23:17:42+05:30</t>
  </si>
  <si>
    <t>2026-07-13T00:17:52+05:30</t>
  </si>
  <si>
    <t>yt604pry036mzbp@marketplace.amazon.in</t>
  </si>
  <si>
    <t>PALGHAR</t>
  </si>
  <si>
    <t>403-3561306-0055555</t>
  </si>
  <si>
    <t>TJL8qcRW9</t>
  </si>
  <si>
    <t>Dj75GpDzcG0DR</t>
  </si>
  <si>
    <t>2026-07-12T20:43:45+05:30</t>
  </si>
  <si>
    <t>2026-07-12T23:16:48+05:30</t>
  </si>
  <si>
    <t>2026-07-13T02:17:03+05:30</t>
  </si>
  <si>
    <t>fvkywlh6d2ldhh3@marketplace.amazon.in</t>
  </si>
  <si>
    <t>407-0512272-1561904</t>
  </si>
  <si>
    <t>T1T59Bp69</t>
  </si>
  <si>
    <t>D39PGKDlcb0cR</t>
  </si>
  <si>
    <t>2026-07-11T22:50:04+05:30</t>
  </si>
  <si>
    <t>2026-07-12T23:08:48+05:30</t>
  </si>
  <si>
    <t>2026-07-13T02:09:00+05:30</t>
  </si>
  <si>
    <t>8p15g35q1sfmjlq@marketplace.amazon.in</t>
  </si>
  <si>
    <t>407-3849875-9249929</t>
  </si>
  <si>
    <t>T6tLQ0pS9</t>
  </si>
  <si>
    <t>D3y7tPD2cK0BR</t>
  </si>
  <si>
    <t>2026-07-11T09:42:12+05:30</t>
  </si>
  <si>
    <t>2026-07-12T23:04:44+05:30</t>
  </si>
  <si>
    <t>2026-07-12T23:04:48+05:30</t>
  </si>
  <si>
    <t>2026-07-13T00:05:00+05:30</t>
  </si>
  <si>
    <t>028hzt5f7dqzmx2@marketplace.amazon.in</t>
  </si>
  <si>
    <t>403-7297985-9207554</t>
  </si>
  <si>
    <t>T3LNRsRg9</t>
  </si>
  <si>
    <t>D7WGtbDYc70JR</t>
  </si>
  <si>
    <t>2026-07-12T13:32:36+05:30</t>
  </si>
  <si>
    <t>2026-07-12T22:57:45+05:30</t>
  </si>
  <si>
    <t>2026-07-13T01:57:58+05:30</t>
  </si>
  <si>
    <t>2r3ss6y9zrph5pm@marketplace.amazon.in</t>
  </si>
  <si>
    <t>408-3545007-9827519</t>
  </si>
  <si>
    <t>T1HHhBp99</t>
  </si>
  <si>
    <t>DnhltdDpcr0YR</t>
  </si>
  <si>
    <t>2026-07-12T11:20:14+05:30</t>
  </si>
  <si>
    <t>2026-07-12T22:56:22+05:30</t>
  </si>
  <si>
    <t>2026-07-13T02:01:27+05:30</t>
  </si>
  <si>
    <t>zl7cvltr1sw9bvf@marketplace.amazon.in</t>
  </si>
  <si>
    <t>406-5093089-9199515</t>
  </si>
  <si>
    <t>TnVzP5RB9</t>
  </si>
  <si>
    <t>DB0Rt7DPc20rR</t>
  </si>
  <si>
    <t>2026-07-12T16:16:32+05:30</t>
  </si>
  <si>
    <t>2026-07-12T22:53:47+05:30</t>
  </si>
  <si>
    <t>2026-07-13T01:53:59+05:30</t>
  </si>
  <si>
    <t>9n3drz0whcfz66g@marketplace.amazon.in</t>
  </si>
  <si>
    <t>404-7692660-2780307</t>
  </si>
  <si>
    <t>TCfP97Kd4</t>
  </si>
  <si>
    <t>DZqKtZDcck0CR</t>
  </si>
  <si>
    <t>2026-07-09T23:44:38+05:30</t>
  </si>
  <si>
    <t>2026-07-12T22:47:46+05:30</t>
  </si>
  <si>
    <t>2026-07-13T01:47:58+05:30</t>
  </si>
  <si>
    <t>yjynb97zw78n762@marketplace.amazon.in</t>
  </si>
  <si>
    <t>Erode</t>
  </si>
  <si>
    <t>407-9579644-6430711</t>
  </si>
  <si>
    <t>TwWKYHxL9</t>
  </si>
  <si>
    <t>Df5WP7DmcH0rR</t>
  </si>
  <si>
    <t>2026-07-12T21:53:19+05:30</t>
  </si>
  <si>
    <t>2026-07-12T22:45:46+05:30</t>
  </si>
  <si>
    <t>2026-07-13T01:45:59+05:30</t>
  </si>
  <si>
    <t>jlnpqyvhqq5p27k@marketplace.amazon.in</t>
  </si>
  <si>
    <t>403-2079982-2299520</t>
  </si>
  <si>
    <t>TCmWpvRn9</t>
  </si>
  <si>
    <t>DTqJtsDPc50yR</t>
  </si>
  <si>
    <t>2026-07-12T18:53:52+05:30</t>
  </si>
  <si>
    <t>2026-07-13T01:46:02+05:30</t>
  </si>
  <si>
    <t>clv7xplsl28qng6@marketplace.amazon.in</t>
  </si>
  <si>
    <t>403-5420653-7722727</t>
  </si>
  <si>
    <t>TJNfR8xW9</t>
  </si>
  <si>
    <t>DjGpPQDPcV0tR</t>
  </si>
  <si>
    <t>2026-07-12T19:43:29+05:30</t>
  </si>
  <si>
    <t>2026-07-12T22:36:43+05:30</t>
  </si>
  <si>
    <t>2026-07-13T01:36:57+05:30</t>
  </si>
  <si>
    <t>f2kqhk46rdxkp6h@marketplace.amazon.in</t>
  </si>
  <si>
    <t>406-9982415-7240323</t>
  </si>
  <si>
    <t>TCmmPwpc9</t>
  </si>
  <si>
    <t>DJG8PqD9cV0tR</t>
  </si>
  <si>
    <t>2026-07-09T17:43:22+05:30</t>
  </si>
  <si>
    <t>2026-07-12T22:30:45+05:30</t>
  </si>
  <si>
    <t>2026-07-12T22:30:51+05:30</t>
  </si>
  <si>
    <t>2026-07-12T23:35:29+05:30</t>
  </si>
  <si>
    <t>s1w4ts69n9dr3yf@marketplace.amazon.in</t>
  </si>
  <si>
    <t>403-7293381-9293924</t>
  </si>
  <si>
    <t>TVyGTlRq9</t>
  </si>
  <si>
    <t>DDLMThDbcq04R</t>
  </si>
  <si>
    <t>2026-07-12T15:49:25+05:30</t>
  </si>
  <si>
    <t>2026-07-12T22:17:47+05:30</t>
  </si>
  <si>
    <t>2026-07-13T01:18:03+05:30</t>
  </si>
  <si>
    <t>9bjdvhyygfcld5s@marketplace.amazon.in</t>
  </si>
  <si>
    <t>405-0322501-0383549</t>
  </si>
  <si>
    <t>T3dJvrnZ9</t>
  </si>
  <si>
    <t>DNyvnPDkcv05R</t>
  </si>
  <si>
    <t>2026-07-11T15:58:30+05:30</t>
  </si>
  <si>
    <t>2026-07-12T22:06:53+05:30</t>
  </si>
  <si>
    <t>2026-07-13T01:07:05+05:30</t>
  </si>
  <si>
    <t>9lbyy5rvmpg7mln@marketplace.amazon.in</t>
  </si>
  <si>
    <t>171-9107753-7810711</t>
  </si>
  <si>
    <t>TV40NYxD9</t>
  </si>
  <si>
    <t>DS97nQDpcr0JR</t>
  </si>
  <si>
    <t>2026-07-12T21:00:47+05:30</t>
  </si>
  <si>
    <t>2026-07-12T22:01:44+05:30</t>
  </si>
  <si>
    <t>2026-07-13T01:01:56+05:30</t>
  </si>
  <si>
    <t>zpzgjrcngzjj1hp@marketplace.amazon.in</t>
  </si>
  <si>
    <t>405-1220550-2270740</t>
  </si>
  <si>
    <t>TwCzdRnM9</t>
  </si>
  <si>
    <t>DQF7xFDvcH0xR</t>
  </si>
  <si>
    <t>2026-07-11T19:17:57+05:30</t>
  </si>
  <si>
    <t>2026-07-12T21:52:44+05:30</t>
  </si>
  <si>
    <t>z2mt7gqqyr632y3@marketplace.amazon.in</t>
  </si>
  <si>
    <t>PUSHKAR</t>
  </si>
  <si>
    <t>408-0241177-5628303</t>
  </si>
  <si>
    <t>TnssV4R29</t>
  </si>
  <si>
    <t>DdFLx1DVcH0xR</t>
  </si>
  <si>
    <t>2026-07-12T13:52:53+05:30</t>
  </si>
  <si>
    <t>2026-07-12T21:51:43+05:30</t>
  </si>
  <si>
    <t>2026-07-12T21:51:46+05:30</t>
  </si>
  <si>
    <t>2026-07-12T22:51:57+05:30</t>
  </si>
  <si>
    <t>n3v413y1qdgnd4t@marketplace.amazon.in</t>
  </si>
  <si>
    <t>408-4331768-2074710</t>
  </si>
  <si>
    <t>TV68NJqH9</t>
  </si>
  <si>
    <t>Ddc6x3Dpc40MR</t>
  </si>
  <si>
    <t>2026-07-10T17:18:30+05:30</t>
  </si>
  <si>
    <t>2026-07-12T21:47:39+05:30</t>
  </si>
  <si>
    <t>2026-07-13T00:47:48+05:30</t>
  </si>
  <si>
    <t>nglgr0b74vt8zzz@marketplace.amazon.in</t>
  </si>
  <si>
    <t>171-7075048-2072304</t>
  </si>
  <si>
    <t>TJ1r9FqC9</t>
  </si>
  <si>
    <t>DsVWx8DYc60dR</t>
  </si>
  <si>
    <t>2026-07-09T15:08:55+05:30</t>
  </si>
  <si>
    <t>2026-07-12T21:46:43+05:30</t>
  </si>
  <si>
    <t>2026-07-12T21:46:47+05:30</t>
  </si>
  <si>
    <t>2026-07-12T22:46:59+05:30</t>
  </si>
  <si>
    <t>m05tp5fh344l9qx@marketplace.amazon.in</t>
  </si>
  <si>
    <t>403-4303951-9073957</t>
  </si>
  <si>
    <t>TcbKdlnS9</t>
  </si>
  <si>
    <t>DDVYx9DDc60dR</t>
  </si>
  <si>
    <t>2026-07-11T12:50:57+05:30</t>
  </si>
  <si>
    <t>2026-07-12T21:45:55+05:30</t>
  </si>
  <si>
    <t>2026-07-13T00:46:27+05:30</t>
  </si>
  <si>
    <t>0nqj8gncstpt531@marketplace.amazon.in</t>
  </si>
  <si>
    <t>DRbPxKDlc504R</t>
  </si>
  <si>
    <t>403-9313053-2859505</t>
  </si>
  <si>
    <t>T30cmdnv9</t>
  </si>
  <si>
    <t>D6sGxqDJcR0FR</t>
  </si>
  <si>
    <t>2026-07-10T18:52:59+05:30</t>
  </si>
  <si>
    <t>2026-07-12T21:43:46+05:30</t>
  </si>
  <si>
    <t>2026-07-13T00:44:00+05:30</t>
  </si>
  <si>
    <t>8zn10hvjfcc02hg@marketplace.amazon.in</t>
  </si>
  <si>
    <t>Rajim</t>
  </si>
  <si>
    <t>405-3445766-0373118</t>
  </si>
  <si>
    <t>TNMGcqyw4</t>
  </si>
  <si>
    <t>DNcNxjDVc40MR</t>
  </si>
  <si>
    <t>2026-07-07T11:41:32+05:30</t>
  </si>
  <si>
    <t>2026-07-12T21:41:50+05:30</t>
  </si>
  <si>
    <t>2026-07-13T00:42:01+05:30</t>
  </si>
  <si>
    <t>kfx3yphznkt7dz2@marketplace.amazon.in</t>
  </si>
  <si>
    <t>402-4234034-3764344</t>
  </si>
  <si>
    <t>TnTxhLRY9</t>
  </si>
  <si>
    <t>DZPtJLD8cB0sR</t>
  </si>
  <si>
    <t>2026-07-12T18:47:42+05:30</t>
  </si>
  <si>
    <t>2026-07-12T21:01:59+05:30</t>
  </si>
  <si>
    <t>2026-07-13T00:02:32+05:30</t>
  </si>
  <si>
    <t>0z8ts2nfr056tb6@marketplace.amazon.in</t>
  </si>
  <si>
    <t>404-5937053-3136326</t>
  </si>
  <si>
    <t>TnVcLvRd9</t>
  </si>
  <si>
    <t>Db7BMvDFcj01R</t>
  </si>
  <si>
    <t>2026-07-12T14:03:57+05:30</t>
  </si>
  <si>
    <t>2026-07-12T21:00:43+05:30</t>
  </si>
  <si>
    <t>2026-07-12T22:00:58+05:30</t>
  </si>
  <si>
    <t>5ys5fbyzr2ylj7f@marketplace.amazon.in</t>
  </si>
  <si>
    <t>408-0571270-5321149</t>
  </si>
  <si>
    <t>T3Y7hHRM9</t>
  </si>
  <si>
    <t>D4VrMXDBcV0zR</t>
  </si>
  <si>
    <t>2026-07-12T18:58:47+05:30</t>
  </si>
  <si>
    <t>2026-07-12T20:53:44+05:30</t>
  </si>
  <si>
    <t>2026-07-12T23:53:58+05:30</t>
  </si>
  <si>
    <t>k3gr5y1sf59xt6x@marketplace.amazon.in</t>
  </si>
  <si>
    <t>171-7263190-6789102</t>
  </si>
  <si>
    <t>TXp1GWRt9</t>
  </si>
  <si>
    <t>DYC11xDqc80lR</t>
  </si>
  <si>
    <t>2026-07-12T16:48:32+05:30</t>
  </si>
  <si>
    <t>2026-07-12T20:31:56+05:30</t>
  </si>
  <si>
    <t>2026-07-12T23:32:29+05:30</t>
  </si>
  <si>
    <t>grrh3n85h95z4wn@marketplace.amazon.in</t>
  </si>
  <si>
    <t>403-8928848-9517131</t>
  </si>
  <si>
    <t>TnMjYgnr9</t>
  </si>
  <si>
    <t>Dd1Mr8D2cV0vR</t>
  </si>
  <si>
    <t>2026-07-09T20:09:39+05:30</t>
  </si>
  <si>
    <t>2026-07-12T20:28:56+05:30</t>
  </si>
  <si>
    <t>2026-07-12T20:28:59+05:30</t>
  </si>
  <si>
    <t>2026-07-12T21:29:10+05:30</t>
  </si>
  <si>
    <t>cjfk9xt2fc23516@marketplace.amazon.in</t>
  </si>
  <si>
    <t>171-1703262-1131560</t>
  </si>
  <si>
    <t>TNfZT7R49</t>
  </si>
  <si>
    <t>DQVHrwDncd0WR</t>
  </si>
  <si>
    <t>2026-07-12T15:13:00+05:30</t>
  </si>
  <si>
    <t>2026-07-12T20:25:49+05:30</t>
  </si>
  <si>
    <t>2026-07-12T23:26:13+05:30</t>
  </si>
  <si>
    <t>nrltrw5bq77c5d0@marketplace.amazon.in</t>
  </si>
  <si>
    <t>Dindigul</t>
  </si>
  <si>
    <t>171-1086532-6413114</t>
  </si>
  <si>
    <t>Tw97sRp29</t>
  </si>
  <si>
    <t>DFf8rrDgcc0jR</t>
  </si>
  <si>
    <t>2026-07-12T00:32:44+05:30</t>
  </si>
  <si>
    <t>2026-07-12T20:16:49+05:30</t>
  </si>
  <si>
    <t>2026-07-12T23:17:01+05:30</t>
  </si>
  <si>
    <t>9p0j0xqf4jqb7m4@marketplace.amazon.in</t>
  </si>
  <si>
    <t>402-6957792-6157955</t>
  </si>
  <si>
    <t>TJdvdQRs9</t>
  </si>
  <si>
    <t>DKtF7tDrcH0tR</t>
  </si>
  <si>
    <t>2026-07-12T16:21:46+05:30</t>
  </si>
  <si>
    <t>2026-07-12T20:09:43+05:30</t>
  </si>
  <si>
    <t>2026-07-12T23:09:56+05:30</t>
  </si>
  <si>
    <t>ls8lym0rphmqhzn@marketplace.amazon.in</t>
  </si>
  <si>
    <t>171-9519545-2582713</t>
  </si>
  <si>
    <t>T3n2fDnR9</t>
  </si>
  <si>
    <t>Dp6q7FDpcr0XR</t>
  </si>
  <si>
    <t>2026-07-11T21:52:51+05:30</t>
  </si>
  <si>
    <t>2026-07-12T20:02:45+05:30</t>
  </si>
  <si>
    <t>2026-07-12T23:02:57+05:30</t>
  </si>
  <si>
    <t>hr5yxn1432q7vj5@marketplace.amazon.in</t>
  </si>
  <si>
    <t>PEDDAPURAM</t>
  </si>
  <si>
    <t>407-8057458-2697901</t>
  </si>
  <si>
    <t>TcphhPRx9</t>
  </si>
  <si>
    <t>Dtw97xDncS0GR</t>
  </si>
  <si>
    <t>2026-07-12T18:41:31+05:30</t>
  </si>
  <si>
    <t>2026-07-12T20:01:43+05:30</t>
  </si>
  <si>
    <t>2026-07-12T23:01:55+05:30</t>
  </si>
  <si>
    <t>kpbh72l3kjmqclz@marketplace.amazon.in</t>
  </si>
  <si>
    <t>Kapurthala</t>
  </si>
  <si>
    <t>407-6093488-9149963</t>
  </si>
  <si>
    <t>TgRxDNRp9</t>
  </si>
  <si>
    <t>DRBqL2DGcf0RR</t>
  </si>
  <si>
    <t>2026-07-12T13:16:25+05:30</t>
  </si>
  <si>
    <t>2026-07-12T19:47:46+05:30</t>
  </si>
  <si>
    <t>2026-07-12T22:47:57+05:30</t>
  </si>
  <si>
    <t>v92pk3zr8trz9x9@marketplace.amazon.in</t>
  </si>
  <si>
    <t>407-5902501-0353145</t>
  </si>
  <si>
    <t>Tn974gRM9</t>
  </si>
  <si>
    <t>D50mLJD5c20ZR</t>
  </si>
  <si>
    <t>2026-07-11T09:24:48+05:30</t>
  </si>
  <si>
    <t>2026-07-12T19:45:10+05:30</t>
  </si>
  <si>
    <t>2026-07-12T22:45:22+05:30</t>
  </si>
  <si>
    <t>lhl3ykdknn0t0qq@marketplace.amazon.in</t>
  </si>
  <si>
    <t>402-8697315-1128319</t>
  </si>
  <si>
    <t>TJ8QNYvz4</t>
  </si>
  <si>
    <t>DsdqLvDdcK0tR</t>
  </si>
  <si>
    <t>2026-07-08T23:13:15+05:30</t>
  </si>
  <si>
    <t>2026-07-12T19:38:41+05:30</t>
  </si>
  <si>
    <t>2026-07-12T22:38:53+05:30</t>
  </si>
  <si>
    <t>pxmrp6qvjv9rb3y@marketplace.amazon.in</t>
  </si>
  <si>
    <t>CHIKHLI</t>
  </si>
  <si>
    <t>403-4539510-8281104</t>
  </si>
  <si>
    <t>TwN4JPRX9</t>
  </si>
  <si>
    <t>DlcMssDmc509R</t>
  </si>
  <si>
    <t>2026-07-12T16:07:35+05:30</t>
  </si>
  <si>
    <t>2026-07-12T19:25:43+05:30</t>
  </si>
  <si>
    <t>2026-07-12T22:25:54+05:30</t>
  </si>
  <si>
    <t>vw3mnn85ls3qd38@marketplace.amazon.in</t>
  </si>
  <si>
    <t>403-0622868-8279516</t>
  </si>
  <si>
    <t>TGlyY1RL9</t>
  </si>
  <si>
    <t>DppTspDtcs0yR</t>
  </si>
  <si>
    <t>2026-07-12T13:06:03+05:30</t>
  </si>
  <si>
    <t>2026-07-12T19:21:47+05:30</t>
  </si>
  <si>
    <t>2026-07-12T22:22:00+05:30</t>
  </si>
  <si>
    <t>scbjlcxdzy3gfxd@marketplace.amazon.in</t>
  </si>
  <si>
    <t>407-2755579-9142705</t>
  </si>
  <si>
    <t>TcfdTJR69</t>
  </si>
  <si>
    <t>DWy0cpDhcX0rR</t>
  </si>
  <si>
    <t>2026-07-12T15:29:24+05:30</t>
  </si>
  <si>
    <t>2026-07-12T18:58:46+05:30</t>
  </si>
  <si>
    <t>2026-07-12T21:58:58+05:30</t>
  </si>
  <si>
    <t>rzn3qqnssn8hr54@marketplace.amazon.in</t>
  </si>
  <si>
    <t>402-7107346-2753954</t>
  </si>
  <si>
    <t>TCD9QQRF9</t>
  </si>
  <si>
    <t>Dz44vTDzc10FR</t>
  </si>
  <si>
    <t>2026-07-12T14:38:07+05:30</t>
  </si>
  <si>
    <t>2026-07-12T18:56:42+05:30</t>
  </si>
  <si>
    <t>2026-07-12T18:56:45+05:30</t>
  </si>
  <si>
    <t>2026-07-12T19:56:58+05:30</t>
  </si>
  <si>
    <t>y1kpjy8bjlp65vc@marketplace.amazon.in</t>
  </si>
  <si>
    <t>LEATHER COMPLEX INDUSTRIAL AREA</t>
  </si>
  <si>
    <t>406-6210322-7361966</t>
  </si>
  <si>
    <t>TVBMwkKL4</t>
  </si>
  <si>
    <t>DKGQvsDRcQ0QR</t>
  </si>
  <si>
    <t>2026-07-10T01:24:56+05:30</t>
  </si>
  <si>
    <t>2026-07-12T18:32:44+05:30</t>
  </si>
  <si>
    <t>2026-07-12T18:32:48+05:30</t>
  </si>
  <si>
    <t>2026-07-12T19:33:01+05:30</t>
  </si>
  <si>
    <t>4wn53q9b6m89940@marketplace.amazon.in</t>
  </si>
  <si>
    <t>404-8386987-6793100</t>
  </si>
  <si>
    <t>TXGqJDR79</t>
  </si>
  <si>
    <t>DfRLvsDkcK0BR</t>
  </si>
  <si>
    <t>2026-07-12T15:29:34+05:30</t>
  </si>
  <si>
    <t>2026-07-12T18:30:42+05:30</t>
  </si>
  <si>
    <t>628w4sbwkwyzt1g@marketplace.amazon.in</t>
  </si>
  <si>
    <t>171-6804029-2216323</t>
  </si>
  <si>
    <t>TG1BYVqc9</t>
  </si>
  <si>
    <t>Dm77z6DFcX0SR</t>
  </si>
  <si>
    <t>2026-07-10T22:08:44+05:30</t>
  </si>
  <si>
    <t>2026-07-12T18:21:45+05:30</t>
  </si>
  <si>
    <t>2026-07-12T21:21:57+05:30</t>
  </si>
  <si>
    <t>ln2qtmc4by3r5wy@marketplace.amazon.in</t>
  </si>
  <si>
    <t>171-7498966-2317926</t>
  </si>
  <si>
    <t>TgDDB5Ry9</t>
  </si>
  <si>
    <t>DY6wzPD9cs0CR</t>
  </si>
  <si>
    <t>2026-07-12T11:53:11+05:30</t>
  </si>
  <si>
    <t>2026-07-12T18:18:43+05:30</t>
  </si>
  <si>
    <t>2026-07-12T18:18:46+05:30</t>
  </si>
  <si>
    <t>2026-07-12T19:18:58+05:30</t>
  </si>
  <si>
    <t>0qc70bg67w2hhwh@marketplace.amazon.in</t>
  </si>
  <si>
    <t>406-8897767-2241105</t>
  </si>
  <si>
    <t>TXgdVlRX9</t>
  </si>
  <si>
    <t>Dp1bVfDnc70LR</t>
  </si>
  <si>
    <t>2026-07-12T14:22:01+05:30</t>
  </si>
  <si>
    <t>2026-07-12T18:08:44+05:30</t>
  </si>
  <si>
    <t>2026-07-12T21:08:55+05:30</t>
  </si>
  <si>
    <t>7321gtvkkk5s9l5@marketplace.amazon.in</t>
  </si>
  <si>
    <t>407-7689591-0131517</t>
  </si>
  <si>
    <t>TVTPyBR89</t>
  </si>
  <si>
    <t>DTz6VdDncH0yR</t>
  </si>
  <si>
    <t>2026-07-12T11:32:00+05:30</t>
  </si>
  <si>
    <t>2026-07-12T18:04:48+05:30</t>
  </si>
  <si>
    <t>2026-07-12T21:05:03+05:30</t>
  </si>
  <si>
    <t>1tqgt7v5dwc80bk@marketplace.amazon.in</t>
  </si>
  <si>
    <t>171-3404279-6093167</t>
  </si>
  <si>
    <t>TnjyvrRT9</t>
  </si>
  <si>
    <t>Drtb2xDnc70WR</t>
  </si>
  <si>
    <t>2026-07-12T16:21:31+05:30</t>
  </si>
  <si>
    <t>2026-07-12T17:44:43+05:30</t>
  </si>
  <si>
    <t>2026-07-12T17:44:45+05:30</t>
  </si>
  <si>
    <t>2026-07-12T18:44:56+05:30</t>
  </si>
  <si>
    <t>520syc95w266c4z@marketplace.amazon.in</t>
  </si>
  <si>
    <t>406-6698062-8618754</t>
  </si>
  <si>
    <t>TNpVrtRb9</t>
  </si>
  <si>
    <t>DBCz2zDwc90GR</t>
  </si>
  <si>
    <t>2026-07-12T15:38:54+05:30</t>
  </si>
  <si>
    <t>2026-07-12T17:41:44+05:30</t>
  </si>
  <si>
    <t>2026-07-12T20:41:55+05:30</t>
  </si>
  <si>
    <t>zyx8lkhdfvm36kq@marketplace.amazon.in</t>
  </si>
  <si>
    <t>Salem</t>
  </si>
  <si>
    <t>406-3522908-7172310</t>
  </si>
  <si>
    <t>T3M7LgRX9</t>
  </si>
  <si>
    <t>DTjbFsDccb01R</t>
  </si>
  <si>
    <t>2026-07-12T14:41:37+05:30</t>
  </si>
  <si>
    <t>2026-07-12T17:37:46+05:30</t>
  </si>
  <si>
    <t>2026-07-12T20:37:58+05:30</t>
  </si>
  <si>
    <t>08fthjmx6q9dh6d@marketplace.amazon.in</t>
  </si>
  <si>
    <t>408-4136223-0769132</t>
  </si>
  <si>
    <t>TcbJj6pN9</t>
  </si>
  <si>
    <t>DZSvFnD0cs02R</t>
  </si>
  <si>
    <t>2026-07-12T08:48:43+05:30</t>
  </si>
  <si>
    <t>2026-07-12T17:34:51+05:30</t>
  </si>
  <si>
    <t>2026-07-12T20:35:03+05:30</t>
  </si>
  <si>
    <t>ghjtfnvkyf9g4bb@marketplace.amazon.in</t>
  </si>
  <si>
    <t>Chandori</t>
  </si>
  <si>
    <t>SF000000370266AMZ</t>
  </si>
  <si>
    <t>402-8791773-7669958</t>
  </si>
  <si>
    <t>T16PhBpk9</t>
  </si>
  <si>
    <t>DS0xFBDVcx0HR</t>
  </si>
  <si>
    <t>2026-07-12T12:35:39+05:30</t>
  </si>
  <si>
    <t>2026-07-12T17:30:46+05:30</t>
  </si>
  <si>
    <t>2026-07-12T20:30:57+05:30</t>
  </si>
  <si>
    <t>38rypwq0lxsy5bg@marketplace.amazon.in</t>
  </si>
  <si>
    <t>403-1156700-9021911</t>
  </si>
  <si>
    <t>TGVggQp79</t>
  </si>
  <si>
    <t>Dx0SF9DlcR0HR</t>
  </si>
  <si>
    <t>2026-07-12T07:35:21+05:30</t>
  </si>
  <si>
    <t>2026-07-12T17:23:41+05:30</t>
  </si>
  <si>
    <t>2026-07-12T17:23:43+05:30</t>
  </si>
  <si>
    <t>2026-07-12T18:23:54+05:30</t>
  </si>
  <si>
    <t>9jbx3v55bxsr56r@marketplace.amazon.in</t>
  </si>
  <si>
    <t>408-6887019-1760323</t>
  </si>
  <si>
    <t>TGbbdSnT9</t>
  </si>
  <si>
    <t>Dw2tD9D9c30NR</t>
  </si>
  <si>
    <t>2026-07-11T19:42:28+05:30</t>
  </si>
  <si>
    <t>2026-07-12T17:16:45+05:30</t>
  </si>
  <si>
    <t>2026-07-12T20:16:56+05:30</t>
  </si>
  <si>
    <t>vs9d4cd3dtbbhqw@marketplace.amazon.in</t>
  </si>
  <si>
    <t>DARSI</t>
  </si>
  <si>
    <t>404-4342605-3693140</t>
  </si>
  <si>
    <t>TwFDYsRb9</t>
  </si>
  <si>
    <t>DRhSDDDLc00LR</t>
  </si>
  <si>
    <t>2026-07-12T14:01:46+05:30</t>
  </si>
  <si>
    <t>2026-07-12T17:12:45+05:30</t>
  </si>
  <si>
    <t>2026-07-12T20:12:56+05:30</t>
  </si>
  <si>
    <t>pd392mmrlvnq21j@marketplace.amazon.in</t>
  </si>
  <si>
    <t>NARSAPUR</t>
  </si>
  <si>
    <t>TG</t>
  </si>
  <si>
    <t>407-3348098-4192307</t>
  </si>
  <si>
    <t>TGp1M8nH9</t>
  </si>
  <si>
    <t>Dgy5YxDTcN04R</t>
  </si>
  <si>
    <t>2026-07-11T16:33:42+05:30</t>
  </si>
  <si>
    <t>2026-07-12T17:01:47+05:30</t>
  </si>
  <si>
    <t>2026-07-12T20:01:59+05:30</t>
  </si>
  <si>
    <t>q571qbkjfgm6jkx@marketplace.amazon.in</t>
  </si>
  <si>
    <t>404-7353036-3466768</t>
  </si>
  <si>
    <t>Tn8p5rKj4</t>
  </si>
  <si>
    <t>DkHXYGD2cl08R</t>
  </si>
  <si>
    <t>2026-07-09T22:44:21+05:30</t>
  </si>
  <si>
    <t>2026-07-12T16:53:55+05:30</t>
  </si>
  <si>
    <t>2026-07-12T19:54:08+05:30</t>
  </si>
  <si>
    <t>7jr9sptpfj3560l@marketplace.amazon.in</t>
  </si>
  <si>
    <t>403-3548450-3790722</t>
  </si>
  <si>
    <t>TGVt2ZR49</t>
  </si>
  <si>
    <t>DKhPY1DVcc08R</t>
  </si>
  <si>
    <t>2026-07-12T13:00:16+05:30</t>
  </si>
  <si>
    <t>2026-07-12T16:50:44+05:30</t>
  </si>
  <si>
    <t>2026-07-12T16:50:46+05:30</t>
  </si>
  <si>
    <t>2026-07-12T17:51:00+05:30</t>
  </si>
  <si>
    <t>nm2rnyg3z9mrwz9@marketplace.amazon.in</t>
  </si>
  <si>
    <t>404-0721214-8505115</t>
  </si>
  <si>
    <t>TCvHD2R19</t>
  </si>
  <si>
    <t>DfPyYLD8cl0MR</t>
  </si>
  <si>
    <t>2026-07-12T14:23:51+05:30</t>
  </si>
  <si>
    <t>2026-07-12T16:47:46+05:30</t>
  </si>
  <si>
    <t>2026-07-12T19:47:58+05:30</t>
  </si>
  <si>
    <t>frl9j5l1kdv771z@marketplace.amazon.in</t>
  </si>
  <si>
    <t>404-9314140-3185105</t>
  </si>
  <si>
    <t>TXGsM7pk9</t>
  </si>
  <si>
    <t>DcZryrDtc10jR</t>
  </si>
  <si>
    <t>2026-07-12T01:35:36+05:30</t>
  </si>
  <si>
    <t>2026-07-12T16:37:48+05:30</t>
  </si>
  <si>
    <t>2026-07-12T19:38:03+05:30</t>
  </si>
  <si>
    <t>mzmmmkrfl9lzkgz@marketplace.amazon.in</t>
  </si>
  <si>
    <t>403-9845413-4454745</t>
  </si>
  <si>
    <t>TVFkZSpS9</t>
  </si>
  <si>
    <t>DGnqyNDDc20XR</t>
  </si>
  <si>
    <t>2026-07-12T08:29:43+05:30</t>
  </si>
  <si>
    <t>2026-07-12T16:29:39+05:30</t>
  </si>
  <si>
    <t>2026-07-12T19:29:57+05:30</t>
  </si>
  <si>
    <t>4prqm9xt5qmlmqv@marketplace.amazon.in</t>
  </si>
  <si>
    <t>402-8236642-9526731</t>
  </si>
  <si>
    <t>Tw8xjjpk9</t>
  </si>
  <si>
    <t>DV2CwVDHcZ0PR</t>
  </si>
  <si>
    <t>2026-07-12T09:01:08+05:30</t>
  </si>
  <si>
    <t>2026-07-12T16:26:46+05:30</t>
  </si>
  <si>
    <t>2026-07-12T19:27:01+05:30</t>
  </si>
  <si>
    <t>rttpd9fbvjxpkdf@marketplace.amazon.in</t>
  </si>
  <si>
    <t>403-0286673-1729902</t>
  </si>
  <si>
    <t>TwvsVln19</t>
  </si>
  <si>
    <t>DF2BwRDRcZ0PR</t>
  </si>
  <si>
    <t>2026-07-06T15:35:27+05:30</t>
  </si>
  <si>
    <t>2026-07-12T16:25:49+05:30</t>
  </si>
  <si>
    <t>2026-07-12T16:25:55+05:30</t>
  </si>
  <si>
    <t>2026-07-12T17:26:17+05:30</t>
  </si>
  <si>
    <t>0y4g4js37g998cw@marketplace.amazon.in</t>
  </si>
  <si>
    <t>171-3301120-3389929</t>
  </si>
  <si>
    <t>TJ13Wdps9</t>
  </si>
  <si>
    <t>DYf3wrDlcJ0TR</t>
  </si>
  <si>
    <t>2026-07-12T09:49:03+05:30</t>
  </si>
  <si>
    <t>2026-07-12T16:20:46+05:30</t>
  </si>
  <si>
    <t>2026-07-12T19:20:57+05:30</t>
  </si>
  <si>
    <t>mmq9q5sqqpqcg8w@marketplace.amazon.in</t>
  </si>
  <si>
    <t>171-8711893-4156303</t>
  </si>
  <si>
    <t>TVlW3BpJ9</t>
  </si>
  <si>
    <t>DrksBHDjcP0FR</t>
  </si>
  <si>
    <t>2026-07-12T00:41:41+05:30</t>
  </si>
  <si>
    <t>2026-07-12T16:11:45+05:30</t>
  </si>
  <si>
    <t>2026-07-12T19:12:01+05:30</t>
  </si>
  <si>
    <t>p30qlbmzrwj0v24@marketplace.amazon.in</t>
  </si>
  <si>
    <t>Sohna</t>
  </si>
  <si>
    <t>402-7021497-2697968</t>
  </si>
  <si>
    <t>TgTgLKRQ9</t>
  </si>
  <si>
    <t>D6kGBfD8cP0FR</t>
  </si>
  <si>
    <t>2026-07-12T13:35:28+05:30</t>
  </si>
  <si>
    <t>2026-07-12T16:10:50+05:30</t>
  </si>
  <si>
    <t>2026-07-12T19:11:17+05:30</t>
  </si>
  <si>
    <t>dspvc35jq3l8y1d@marketplace.amazon.in</t>
  </si>
  <si>
    <t>MUZHAPPILANGAD</t>
  </si>
  <si>
    <t>406-1625193-6974724</t>
  </si>
  <si>
    <t>T6nv2zR19</t>
  </si>
  <si>
    <t>DHJ8BBDlcK0FR</t>
  </si>
  <si>
    <t>2026-07-12T13:05:20+05:30</t>
  </si>
  <si>
    <t>2026-07-12T16:00:44+05:30</t>
  </si>
  <si>
    <t>2026-07-12T16:00:46+05:30</t>
  </si>
  <si>
    <t>2026-07-12T17:00:59+05:30</t>
  </si>
  <si>
    <t>fjg9yzrzkw5r4mz@marketplace.amazon.in</t>
  </si>
  <si>
    <t>VASCO DA GAMA</t>
  </si>
  <si>
    <t>405-9682276-8027511</t>
  </si>
  <si>
    <t>TX7thVnD9</t>
  </si>
  <si>
    <t>DKqPBbDbcC05R</t>
  </si>
  <si>
    <t>2026-07-11T19:33:47+05:30</t>
  </si>
  <si>
    <t>2026-07-12T15:55:36+05:30</t>
  </si>
  <si>
    <t>2026-07-12T18:55:48+05:30</t>
  </si>
  <si>
    <t>bkwhfc8dfdgx29y@marketplace.amazon.in</t>
  </si>
  <si>
    <t>171-2096312-2941924</t>
  </si>
  <si>
    <t>Tn0qYDRd9</t>
  </si>
  <si>
    <t>DGkc9MDncw0mR</t>
  </si>
  <si>
    <t>2026-07-12T12:45:15+05:30</t>
  </si>
  <si>
    <t>2026-07-12T15:53:47+05:30</t>
  </si>
  <si>
    <t>2026-07-12T18:53:59+05:30</t>
  </si>
  <si>
    <t>r73btymsghhlb7p@marketplace.amazon.in</t>
  </si>
  <si>
    <t>171-8028212-3765920</t>
  </si>
  <si>
    <t>TGfThcnd9</t>
  </si>
  <si>
    <t>D5Lq9lDscw0cR</t>
  </si>
  <si>
    <t>2026-07-11T20:12:03+05:30</t>
  </si>
  <si>
    <t>2026-07-12T15:39:42+05:30</t>
  </si>
  <si>
    <t>2026-07-12T18:39:53+05:30</t>
  </si>
  <si>
    <t>cnpnwc3f8yhddpy@marketplace.amazon.in</t>
  </si>
  <si>
    <t>171-1588033-5153120</t>
  </si>
  <si>
    <t>TNnm86pY9</t>
  </si>
  <si>
    <t>DR3t4PDbcS05R</t>
  </si>
  <si>
    <t>2026-07-12T09:57:10+05:30</t>
  </si>
  <si>
    <t>2026-07-12T15:35:44+05:30</t>
  </si>
  <si>
    <t>2026-07-12T18:35:56+05:30</t>
  </si>
  <si>
    <t>j2qm06gdbkrf147@marketplace.amazon.in</t>
  </si>
  <si>
    <t>404-9821957-4329943</t>
  </si>
  <si>
    <t>TCcG8H1r4</t>
  </si>
  <si>
    <t>D7Qt4qDncm00R</t>
  </si>
  <si>
    <t>2026-07-05T18:17:36+05:30</t>
  </si>
  <si>
    <t>2026-07-12T15:30:43+05:30</t>
  </si>
  <si>
    <t>2026-07-12T18:30:54+05:30</t>
  </si>
  <si>
    <t>ylkyq2k0y9d98lx@marketplace.amazon.in</t>
  </si>
  <si>
    <t>AC003412867IN</t>
  </si>
  <si>
    <t>171-5986046-9319541</t>
  </si>
  <si>
    <t>TVbZB6RY9</t>
  </si>
  <si>
    <t>DL7XHMD4ck0cR</t>
  </si>
  <si>
    <t>2026-07-12T12:47:01+05:30</t>
  </si>
  <si>
    <t>2026-07-12T15:14:45+05:30</t>
  </si>
  <si>
    <t>2026-07-12T18:14:56+05:30</t>
  </si>
  <si>
    <t>qw7zpdy0hp7jhy3@marketplace.amazon.in</t>
  </si>
  <si>
    <t>JABALPUR</t>
  </si>
  <si>
    <t>406-9187543-1884364</t>
  </si>
  <si>
    <t>T3WSl4pm9</t>
  </si>
  <si>
    <t>DTcjHjDqcd0wR</t>
  </si>
  <si>
    <t>2026-07-12T03:34:47+05:30</t>
  </si>
  <si>
    <t>2026-07-12T15:10:44+05:30</t>
  </si>
  <si>
    <t>2026-07-12T18:10:57+05:30</t>
  </si>
  <si>
    <t>v3m9q3w8p60vc7k@marketplace.amazon.in</t>
  </si>
  <si>
    <t>171-3562547-4475505</t>
  </si>
  <si>
    <t>Tnm7MGpD9</t>
  </si>
  <si>
    <t>DKJZHpDJcq0wR</t>
  </si>
  <si>
    <t>2026-07-12T02:45:17+05:30</t>
  </si>
  <si>
    <t>2026-07-12T15:03:55+05:30</t>
  </si>
  <si>
    <t>2026-07-12T18:04:13+05:30</t>
  </si>
  <si>
    <t>sq03lxdhlmkgr93@marketplace.amazon.in</t>
  </si>
  <si>
    <t>IBRAHIMPATNAM</t>
  </si>
  <si>
    <t>403-9361181-7344320</t>
  </si>
  <si>
    <t>T1tmqTpy9</t>
  </si>
  <si>
    <t>D6DvbLDQcx0CR</t>
  </si>
  <si>
    <t>2026-07-12T11:57:31+05:30</t>
  </si>
  <si>
    <t>2026-07-12T14:58:43+05:30</t>
  </si>
  <si>
    <t>2026-07-12T17:58:56+05:30</t>
  </si>
  <si>
    <t>mgb1phxqxtj98vf@marketplace.amazon.in</t>
  </si>
  <si>
    <t>407-8178084-7149138</t>
  </si>
  <si>
    <t>TwPtBDRg9</t>
  </si>
  <si>
    <t>DRbKbcDrcW0tR</t>
  </si>
  <si>
    <t>2026-07-12T11:55:06+05:30</t>
  </si>
  <si>
    <t>2026-07-12T14:55:44+05:30</t>
  </si>
  <si>
    <t>2026-07-12T17:55:58+05:30</t>
  </si>
  <si>
    <t>56m3knh04q65y68@marketplace.amazon.in</t>
  </si>
  <si>
    <t>P.O. BARASAT, North 24Parganas</t>
  </si>
  <si>
    <t>403-2257932-1389965</t>
  </si>
  <si>
    <t>TVd55Qpk9</t>
  </si>
  <si>
    <t>DhZwbvD2cT0zR</t>
  </si>
  <si>
    <t>2026-07-12T08:03:43+05:30</t>
  </si>
  <si>
    <t>2026-07-12T14:55:42+05:30</t>
  </si>
  <si>
    <t>2026-07-12T15:55:57+05:30</t>
  </si>
  <si>
    <t>b9qz0kxpkrhmj35@marketplace.amazon.in</t>
  </si>
  <si>
    <t>Bhopal</t>
  </si>
  <si>
    <t>404-5026712-3790708</t>
  </si>
  <si>
    <t>TNTHxgpy9</t>
  </si>
  <si>
    <t>DVczb5DMcg06R</t>
  </si>
  <si>
    <t>2026-07-12T01:43:59+05:30</t>
  </si>
  <si>
    <t>2026-07-12T14:52:49+05:30</t>
  </si>
  <si>
    <t>2026-07-12T17:53:02+05:30</t>
  </si>
  <si>
    <t>nrc03ddykgfvx7x@marketplace.amazon.in</t>
  </si>
  <si>
    <t>403-0759892-7173131</t>
  </si>
  <si>
    <t>TJKmywRq9</t>
  </si>
  <si>
    <t>DX3ZklDfcN0fR</t>
  </si>
  <si>
    <t>2026-07-12T11:37:29+05:30</t>
  </si>
  <si>
    <t>2026-07-12T14:40:45+05:30</t>
  </si>
  <si>
    <t>2026-07-12T17:40:57+05:30</t>
  </si>
  <si>
    <t>97fb4hx07tzg75m@marketplace.amazon.in</t>
  </si>
  <si>
    <t>402-3537107-2064348</t>
  </si>
  <si>
    <t>TNDQ98Rq9</t>
  </si>
  <si>
    <t>DwbQkvD7cP0wR</t>
  </si>
  <si>
    <t>2026-07-12T12:41:34+05:30</t>
  </si>
  <si>
    <t>2026-07-12T14:39:46+05:30</t>
  </si>
  <si>
    <t>2026-07-12T17:39:59+05:30</t>
  </si>
  <si>
    <t>1swt4skptvf0bpm@marketplace.amazon.in</t>
  </si>
  <si>
    <t>171-5787770-4521122</t>
  </si>
  <si>
    <t>TgrB9QRy9</t>
  </si>
  <si>
    <t>DgWZkzD7cS0RR</t>
  </si>
  <si>
    <t>2026-07-12T11:52:44+05:30</t>
  </si>
  <si>
    <t>2026-07-12T14:34:46+05:30</t>
  </si>
  <si>
    <t>2026-07-12T17:34:58+05:30</t>
  </si>
  <si>
    <t>39673d8tb1h5g1y@marketplace.amazon.in</t>
  </si>
  <si>
    <t>404-3381272-7917122</t>
  </si>
  <si>
    <t>Tnk28mpv9</t>
  </si>
  <si>
    <t>DTSYNJDZcw0PR</t>
  </si>
  <si>
    <t>2026-07-12T11:24:23+05:30</t>
  </si>
  <si>
    <t>2026-07-12T14:26:39+05:30</t>
  </si>
  <si>
    <t>2026-07-12T14:26:42+05:30</t>
  </si>
  <si>
    <t>2026-07-12T15:26:53+05:30</t>
  </si>
  <si>
    <t>tj0h6zjgyv1jq28@marketplace.amazon.in</t>
  </si>
  <si>
    <t>406-5186303-4998761</t>
  </si>
  <si>
    <t>TJSCkDRf9</t>
  </si>
  <si>
    <t>DrlBNHDZc90vR</t>
  </si>
  <si>
    <t>2026-07-12T11:21:21+05:30</t>
  </si>
  <si>
    <t>2026-07-12T14:22:42+05:30</t>
  </si>
  <si>
    <t>2026-07-12T17:22:57+05:30</t>
  </si>
  <si>
    <t>41m6dmzbhp9zdxq@marketplace.amazon.in</t>
  </si>
  <si>
    <t>Mayiladuthurai</t>
  </si>
  <si>
    <t>403-4240360-8401114</t>
  </si>
  <si>
    <t>TVhPfVn99</t>
  </si>
  <si>
    <t>DNx2NVDkcV0HR</t>
  </si>
  <si>
    <t>2026-07-11T18:03:48+05:30</t>
  </si>
  <si>
    <t>2026-07-12T14:15:47+05:30</t>
  </si>
  <si>
    <t>2026-07-12T17:16:01+05:30</t>
  </si>
  <si>
    <t>pd96ryy6ydsbtfp@marketplace.amazon.in</t>
  </si>
  <si>
    <t>Arki</t>
  </si>
  <si>
    <t>SF000000370828AMZ</t>
  </si>
  <si>
    <t>407-3391636-9509148</t>
  </si>
  <si>
    <t>TGHNY8nf9</t>
  </si>
  <si>
    <t>DsYsNrDScv0qR</t>
  </si>
  <si>
    <t>2026-07-11T13:09:43+05:30</t>
  </si>
  <si>
    <t>2026-07-12T14:15:37+05:30</t>
  </si>
  <si>
    <t>2026-07-12T14:15:40+05:30</t>
  </si>
  <si>
    <t>2026-07-12T15:15:51+05:30</t>
  </si>
  <si>
    <t>zhfmxr2lst0wndf@marketplace.amazon.in</t>
  </si>
  <si>
    <t>DWrqN1Dych0QR</t>
  </si>
  <si>
    <t>404-2166160-4801118</t>
  </si>
  <si>
    <t>TCCPqQpc9</t>
  </si>
  <si>
    <t>DLGNRhDKcs0pR</t>
  </si>
  <si>
    <t>2026-07-12T11:05:57+05:30</t>
  </si>
  <si>
    <t>2026-07-12T14:02:36+05:30</t>
  </si>
  <si>
    <t>2026-07-12T17:02:49+05:30</t>
  </si>
  <si>
    <t>4rt74vdzq2hsxxw@marketplace.amazon.in</t>
  </si>
  <si>
    <t>408-1859355-0319515</t>
  </si>
  <si>
    <t>T1XFlV184</t>
  </si>
  <si>
    <t>DhwxRwDJc10nR</t>
  </si>
  <si>
    <t>2026-07-05T17:21:29+05:30</t>
  </si>
  <si>
    <t>2026-07-12T14:01:52+05:30</t>
  </si>
  <si>
    <t>2026-07-12T17:02:11+05:30</t>
  </si>
  <si>
    <t>phdx0j5c56nq1rp@marketplace.amazon.in</t>
  </si>
  <si>
    <t>403-8390690-7935555</t>
  </si>
  <si>
    <t>Tcxz8MnY9</t>
  </si>
  <si>
    <t>DnSZhF8xcl0TR</t>
  </si>
  <si>
    <t>2026-07-11T20:21:58+05:30</t>
  </si>
  <si>
    <t>2026-07-12T13:53:47+05:30</t>
  </si>
  <si>
    <t>2026-07-12T16:53:59+05:30</t>
  </si>
  <si>
    <t>qgqdzty5fj3yhq7@marketplace.amazon.in</t>
  </si>
  <si>
    <t>403-4175002-1773925</t>
  </si>
  <si>
    <t>TNh55xpw9</t>
  </si>
  <si>
    <t>DZn8RfD6cR00R</t>
  </si>
  <si>
    <t>2026-07-12T07:17:23+05:30</t>
  </si>
  <si>
    <t>2026-07-12T13:53:38+05:30</t>
  </si>
  <si>
    <t>2026-07-12T13:53:41+05:30</t>
  </si>
  <si>
    <t>2026-07-12T14:53:54+05:30</t>
  </si>
  <si>
    <t>fpz9rjmftpv0ft6@marketplace.amazon.in</t>
  </si>
  <si>
    <t>407-8161235-6024348</t>
  </si>
  <si>
    <t>T3NTb5Rl9</t>
  </si>
  <si>
    <t>D6kchb8Pcm0nR</t>
  </si>
  <si>
    <t>2026-07-12T12:03:15+05:30</t>
  </si>
  <si>
    <t>2026-07-12T13:52:44+05:30</t>
  </si>
  <si>
    <t>2026-07-12T16:52:57+05:30</t>
  </si>
  <si>
    <t>2cs3flt0bhlxjrw@marketplace.amazon.in</t>
  </si>
  <si>
    <t>407-4403359-2637965</t>
  </si>
  <si>
    <t>TN3vdwpz9</t>
  </si>
  <si>
    <t>D4rLhl8Lcg0hR</t>
  </si>
  <si>
    <t>2026-07-12T05:38:20+05:30</t>
  </si>
  <si>
    <t>2026-07-12T13:40:46+05:30</t>
  </si>
  <si>
    <t>2026-07-12T16:41:00+05:30</t>
  </si>
  <si>
    <t>0pdhq33m17qd47r@marketplace.amazon.in</t>
  </si>
  <si>
    <t>403-9415092-0569949</t>
  </si>
  <si>
    <t>TVFHXtpK9</t>
  </si>
  <si>
    <t>DGHZh08kcr0DR</t>
  </si>
  <si>
    <t>2026-07-12T09:27:24+05:30</t>
  </si>
  <si>
    <t>2026-07-12T13:40:44+05:30</t>
  </si>
  <si>
    <t>2026-07-12T16:40:58+05:30</t>
  </si>
  <si>
    <t>hcyt7mhxnvwpgjx@marketplace.amazon.in</t>
  </si>
  <si>
    <t>402-7872770-9024305</t>
  </si>
  <si>
    <t>TCkPk3Rm9</t>
  </si>
  <si>
    <t>D9WXfR8Wcg05R</t>
  </si>
  <si>
    <t>2026-07-12T10:22:12+05:30</t>
  </si>
  <si>
    <t>2026-07-12T13:31:41+05:30</t>
  </si>
  <si>
    <t>2026-07-12T13:31:45+05:30</t>
  </si>
  <si>
    <t>2026-07-12T14:31:57+05:30</t>
  </si>
  <si>
    <t>q85q19bxb3jr8xy@marketplace.amazon.in</t>
  </si>
  <si>
    <t>404-5014801-6845945</t>
  </si>
  <si>
    <t>TJcmbdR79</t>
  </si>
  <si>
    <t>D5rNfJ8dcz0rR</t>
  </si>
  <si>
    <t>2026-07-12T10:52:46+05:30</t>
  </si>
  <si>
    <t>2026-07-12T13:27:45+05:30</t>
  </si>
  <si>
    <t>2026-07-12T16:27:57+05:30</t>
  </si>
  <si>
    <t>dtg2v6rltd155ly@marketplace.amazon.in</t>
  </si>
  <si>
    <t>405-8608460-5937108</t>
  </si>
  <si>
    <t>TX7SR6Rx9</t>
  </si>
  <si>
    <t>D9HTfr8zcN0CR</t>
  </si>
  <si>
    <t>2026-07-12T09:12:09+05:30</t>
  </si>
  <si>
    <t>2026-07-12T13:26:48+05:30</t>
  </si>
  <si>
    <t>2026-07-12T16:27:03+05:30</t>
  </si>
  <si>
    <t>f9httxlzdnm4jgk@marketplace.amazon.in</t>
  </si>
  <si>
    <t>403-4269336-2117132</t>
  </si>
  <si>
    <t>Tn5jrHKK4</t>
  </si>
  <si>
    <t>DTJsf18ZcX0fR</t>
  </si>
  <si>
    <t>2026-07-08T11:53:18+05:30</t>
  </si>
  <si>
    <t>2026-07-12T13:20:56+05:30</t>
  </si>
  <si>
    <t>2026-07-12T16:21:20+05:30</t>
  </si>
  <si>
    <t>d4yqk7p1b34l8yz@marketplace.amazon.in</t>
  </si>
  <si>
    <t>171-4820939-6239504</t>
  </si>
  <si>
    <t>TGYlb6R39</t>
  </si>
  <si>
    <t>DZKHjX8tcK0YR</t>
  </si>
  <si>
    <t>2026-07-12T10:52:52+05:30</t>
  </si>
  <si>
    <t>2026-07-12T13:20:47+05:30</t>
  </si>
  <si>
    <t>2026-07-12T16:20:58+05:30</t>
  </si>
  <si>
    <t>sp1b594xpc40m2b@marketplace.amazon.in</t>
  </si>
  <si>
    <t>407-2221214-1093950</t>
  </si>
  <si>
    <t>TJrRNFRQ9</t>
  </si>
  <si>
    <t>DL3hjn85c50cR</t>
  </si>
  <si>
    <t>2026-07-12T09:54:25+05:30</t>
  </si>
  <si>
    <t>2026-07-12T13:16:43+05:30</t>
  </si>
  <si>
    <t>2026-07-12T13:16:46+05:30</t>
  </si>
  <si>
    <t>2026-07-12T14:17:00+05:30</t>
  </si>
  <si>
    <t>2jsnzdscn2q4wg6@marketplace.amazon.in</t>
  </si>
  <si>
    <t>408-5568981-0116340</t>
  </si>
  <si>
    <t>TXz23dX44</t>
  </si>
  <si>
    <t>DqywZP8hc10BR</t>
  </si>
  <si>
    <t>2026-07-09T19:52:44+05:30</t>
  </si>
  <si>
    <t>2026-07-12T13:02:43+05:30</t>
  </si>
  <si>
    <t>2026-07-12T16:02:58+05:30</t>
  </si>
  <si>
    <t>d3drc48mptl0zk0@marketplace.amazon.in</t>
  </si>
  <si>
    <t>408-5187846-9385152</t>
  </si>
  <si>
    <t>T1Znf5px9</t>
  </si>
  <si>
    <t>Dd9mZ985cj0xR</t>
  </si>
  <si>
    <t>2026-07-12T10:36:55+05:30</t>
  </si>
  <si>
    <t>2026-07-12T12:54:43+05:30</t>
  </si>
  <si>
    <t>2026-07-12T12:54:47+05:30</t>
  </si>
  <si>
    <t>2026-07-12T13:54:57+05:30</t>
  </si>
  <si>
    <t>5vnwdsf59bmb0hq@marketplace.amazon.in</t>
  </si>
  <si>
    <t>407-5507572-1228329</t>
  </si>
  <si>
    <t>TGJSldp09</t>
  </si>
  <si>
    <t>DbfPZR8Qc404R</t>
  </si>
  <si>
    <t>2026-07-12T08:51:34+05:30</t>
  </si>
  <si>
    <t>2026-07-12T12:50:38+05:30</t>
  </si>
  <si>
    <t>2026-07-12T12:50:41+05:30</t>
  </si>
  <si>
    <t>2026-07-12T13:50:52+05:30</t>
  </si>
  <si>
    <t>6rgz71mhth05gmh@marketplace.amazon.in</t>
  </si>
  <si>
    <t>403-6173872-4061110</t>
  </si>
  <si>
    <t>T3sBflpx9</t>
  </si>
  <si>
    <t>DpPdZY8scR0yR</t>
  </si>
  <si>
    <t>2026-07-12T10:05:38+05:30</t>
  </si>
  <si>
    <t>2026-07-12T12:49:51+05:30</t>
  </si>
  <si>
    <t>2026-07-12T15:50:02+05:30</t>
  </si>
  <si>
    <t>bw8sw703scn61dk@marketplace.amazon.in</t>
  </si>
  <si>
    <t>407-2134200-9331546</t>
  </si>
  <si>
    <t>TNm5FNPr9</t>
  </si>
  <si>
    <t>DhjFqT88cX0RR</t>
  </si>
  <si>
    <t>2026-07-10T15:33:55+05:30</t>
  </si>
  <si>
    <t>2026-07-12T12:45:45+05:30</t>
  </si>
  <si>
    <t>2026-07-12T15:45:55+05:30</t>
  </si>
  <si>
    <t>ktkktc5w5k4l9d5@marketplace.amazon.in</t>
  </si>
  <si>
    <t>405-6887591-7963520</t>
  </si>
  <si>
    <t>TV2Gplpw9</t>
  </si>
  <si>
    <t>DR8rqv8ycJ0WR</t>
  </si>
  <si>
    <t>2026-07-12T11:13:34+05:30</t>
  </si>
  <si>
    <t>2026-07-12T12:45:42+05:30</t>
  </si>
  <si>
    <t>g3vzl38yttvt1hx@marketplace.amazon.in</t>
  </si>
  <si>
    <t>171-3627907-4257105</t>
  </si>
  <si>
    <t>T1gPVXSD4</t>
  </si>
  <si>
    <t>Dw8wq580cx0WR</t>
  </si>
  <si>
    <t>2026-07-08T22:28:55+05:30</t>
  </si>
  <si>
    <t>2026-07-12T12:38:48+05:30</t>
  </si>
  <si>
    <t>2026-07-12T15:39:00+05:30</t>
  </si>
  <si>
    <t>4ztqz4p9kqgv9rm@marketplace.amazon.in</t>
  </si>
  <si>
    <t>408-5537876-3784332</t>
  </si>
  <si>
    <t>TJRwNCRj9</t>
  </si>
  <si>
    <t>DLd9q58ccM0VR</t>
  </si>
  <si>
    <t>2026-07-12T09:32:31+05:30</t>
  </si>
  <si>
    <t>2026-07-12T12:34:51+05:30</t>
  </si>
  <si>
    <t>2026-07-12T15:35:02+05:30</t>
  </si>
  <si>
    <t>w56999rw92nrg65@marketplace.amazon.in</t>
  </si>
  <si>
    <t>2026-07-12T20:00:00+05:30</t>
  </si>
  <si>
    <t>404-9602650-1088301</t>
  </si>
  <si>
    <t>TNGVlJp09</t>
  </si>
  <si>
    <t>DZl15c8XcZ0FR</t>
  </si>
  <si>
    <t>2026-07-12T09:16:53+05:30</t>
  </si>
  <si>
    <t>2026-07-12T12:19:45+05:30</t>
  </si>
  <si>
    <t>2026-07-12T15:19:56+05:30</t>
  </si>
  <si>
    <t>5795y4ff31qqbwz@marketplace.amazon.in</t>
  </si>
  <si>
    <t>407-2871002-8725159</t>
  </si>
  <si>
    <t>TJmLXrpP9</t>
  </si>
  <si>
    <t>DJ9Hgt8CcD0JR</t>
  </si>
  <si>
    <t>2026-07-12T09:19:27+05:30</t>
  </si>
  <si>
    <t>2026-07-12T12:08:41+05:30</t>
  </si>
  <si>
    <t>2026-07-12T15:08:53+05:30</t>
  </si>
  <si>
    <t>dkl1ck9t55pdr1n@marketplace.amazon.in</t>
  </si>
  <si>
    <t>kaliakavilai</t>
  </si>
  <si>
    <t>404-3561429-8181125</t>
  </si>
  <si>
    <t>Tcxpzvpn9</t>
  </si>
  <si>
    <t>D8NZ8m8PcN0ZR</t>
  </si>
  <si>
    <t>2026-07-11T23:21:23+05:30</t>
  </si>
  <si>
    <t>2026-07-12T11:55:45+05:30</t>
  </si>
  <si>
    <t>2026-07-12T14:55:58+05:30</t>
  </si>
  <si>
    <t>hhwhc1gmh33dz7y@marketplace.amazon.in</t>
  </si>
  <si>
    <t>408-1906274-7161911</t>
  </si>
  <si>
    <t>T1mFxQnC9</t>
  </si>
  <si>
    <t>DBk38k8DcN0zR</t>
  </si>
  <si>
    <t>2026-07-10T18:37:51+05:30</t>
  </si>
  <si>
    <t>2026-07-12T11:48:50+05:30</t>
  </si>
  <si>
    <t>2026-07-12T14:49:01+05:30</t>
  </si>
  <si>
    <t>jtnny74wrj351h7@marketplace.amazon.in</t>
  </si>
  <si>
    <t>Unnao</t>
  </si>
  <si>
    <t>171-2691724-3875564</t>
  </si>
  <si>
    <t>T1sfWspH9</t>
  </si>
  <si>
    <t>D0g4XG8scy03R</t>
  </si>
  <si>
    <t>2026-07-12T08:26:06+05:30</t>
  </si>
  <si>
    <t>2026-07-12T11:31:42+05:30</t>
  </si>
  <si>
    <t>mrydwt53jjn0hgq@marketplace.amazon.in</t>
  </si>
  <si>
    <t>402-4418139-9838732</t>
  </si>
  <si>
    <t>T6vG3Jn59</t>
  </si>
  <si>
    <t>DSCZXP8Bcd0FR</t>
  </si>
  <si>
    <t>2026-07-09T22:28:18+05:30</t>
  </si>
  <si>
    <t>2026-07-12T11:26:45+05:30</t>
  </si>
  <si>
    <t>2026-07-12T14:26:56+05:30</t>
  </si>
  <si>
    <t>67cd6nmx5vpn3gk@marketplace.amazon.in</t>
  </si>
  <si>
    <t>408-7148844-1444354</t>
  </si>
  <si>
    <t>TNCwfYp19</t>
  </si>
  <si>
    <t>DKrGX48TcC0gR</t>
  </si>
  <si>
    <t>2026-07-12T10:10:15+05:30</t>
  </si>
  <si>
    <t>2026-07-12T11:24:44+05:30</t>
  </si>
  <si>
    <t>2026-07-12T14:24:58+05:30</t>
  </si>
  <si>
    <t>hvt4gspml1n6rk4@marketplace.amazon.in</t>
  </si>
  <si>
    <t>408-9362373-5504361</t>
  </si>
  <si>
    <t>TVj0jJpV9</t>
  </si>
  <si>
    <t>DTxqXv8KcQ09R</t>
  </si>
  <si>
    <t>2026-07-12T09:24:12+05:30</t>
  </si>
  <si>
    <t>2026-07-12T11:19:45+05:30</t>
  </si>
  <si>
    <t>2026-07-12T14:19:58+05:30</t>
  </si>
  <si>
    <t>wj1mg9x6y1mtpws@marketplace.amazon.in</t>
  </si>
  <si>
    <t>407-7350453-0242701</t>
  </si>
  <si>
    <t>TGLK11pp9</t>
  </si>
  <si>
    <t>DgM6Cr89cf08R</t>
  </si>
  <si>
    <t>2026-07-11T22:16:09+05:30</t>
  </si>
  <si>
    <t>2026-07-12T11:17:49+05:30</t>
  </si>
  <si>
    <t>2026-07-12T14:18:05+05:30</t>
  </si>
  <si>
    <t>9sxdt8ymp520lp9@marketplace.amazon.in</t>
  </si>
  <si>
    <t>404-9638288-9273157</t>
  </si>
  <si>
    <t>TNd8HSnK9</t>
  </si>
  <si>
    <t>Dz2DCL8cc70yR</t>
  </si>
  <si>
    <t>2026-07-11T13:29:35+05:30</t>
  </si>
  <si>
    <t>2026-07-12T11:16:44+05:30</t>
  </si>
  <si>
    <t>2026-07-12T11:16:48+05:30</t>
  </si>
  <si>
    <t>2026-07-12T12:17:00+05:30</t>
  </si>
  <si>
    <t>xrkx65h5d4fx91l@marketplace.amazon.in</t>
  </si>
  <si>
    <t>407-4945472-0741960</t>
  </si>
  <si>
    <t>TXGs8Wpn9</t>
  </si>
  <si>
    <t>DckdCV8lcx02R</t>
  </si>
  <si>
    <t>2026-07-12T10:07:22+05:30</t>
  </si>
  <si>
    <t>2026-07-12T11:14:37+05:30</t>
  </si>
  <si>
    <t>2026-07-12T11:14:40+05:30</t>
  </si>
  <si>
    <t>2026-07-12T12:14:50+05:30</t>
  </si>
  <si>
    <t>907rygd9yndhn8g@marketplace.amazon.in</t>
  </si>
  <si>
    <t>407-3891830-7241158</t>
  </si>
  <si>
    <t>TN89KQPw9</t>
  </si>
  <si>
    <t>DV2rCG8pcD0yR</t>
  </si>
  <si>
    <t>2026-07-10T19:31:09+05:30</t>
  </si>
  <si>
    <t>2026-07-12T11:11:36+05:30</t>
  </si>
  <si>
    <t>2026-07-12T11:11:39+05:30</t>
  </si>
  <si>
    <t>2026-07-12T12:11:50+05:30</t>
  </si>
  <si>
    <t>24y4ccw3hsn0rt6@marketplace.amazon.in</t>
  </si>
  <si>
    <t>404-7935231-0845932</t>
  </si>
  <si>
    <t>TJnkhDqP9</t>
  </si>
  <si>
    <t>DjRhCd8dcM0kR</t>
  </si>
  <si>
    <t>2026-07-11T11:41:16+05:30</t>
  </si>
  <si>
    <t>2026-07-12T11:05:46+05:30</t>
  </si>
  <si>
    <t>2026-07-12T14:06:05+05:30</t>
  </si>
  <si>
    <t>wwq9n1y5b2039c7@marketplace.amazon.in</t>
  </si>
  <si>
    <t>Thiruvanchery, Chennai</t>
  </si>
  <si>
    <t>403-1719848-7355556</t>
  </si>
  <si>
    <t>TwJDk1RG9</t>
  </si>
  <si>
    <t>DzBCp28Tcl0LR</t>
  </si>
  <si>
    <t>2026-07-12T09:46:30+05:30</t>
  </si>
  <si>
    <t>2026-07-12T10:59:40+05:30</t>
  </si>
  <si>
    <t>2026-07-12T13:59:52+05:30</t>
  </si>
  <si>
    <t>4f2mwgm0n6m06cq@marketplace.amazon.in</t>
  </si>
  <si>
    <t>408-2402272-6307524</t>
  </si>
  <si>
    <t>TgVxMwS04</t>
  </si>
  <si>
    <t>DjJDWV8Fc80nR</t>
  </si>
  <si>
    <t>2026-07-08T19:57:32+05:30</t>
  </si>
  <si>
    <t>2026-07-12T10:31:41+05:30</t>
  </si>
  <si>
    <t>2026-07-12T13:31:50+05:30</t>
  </si>
  <si>
    <t>qb51t3slgxlzx7g@marketplace.amazon.in</t>
  </si>
  <si>
    <t>171-9056374-8029915</t>
  </si>
  <si>
    <t>TJ3ZVxp09</t>
  </si>
  <si>
    <t>DqdwWq8WcX0pR</t>
  </si>
  <si>
    <t>2026-07-11T22:34:56+05:30</t>
  </si>
  <si>
    <t>2026-07-12T10:30:38+05:30</t>
  </si>
  <si>
    <t>2026-07-12T10:30:40+05:30</t>
  </si>
  <si>
    <t>2026-07-12T11:30:50+05:30</t>
  </si>
  <si>
    <t>mlgzpnjf16xg4vd@marketplace.amazon.in</t>
  </si>
  <si>
    <t>402-7511700-0579549</t>
  </si>
  <si>
    <t>TJSPSRpL9</t>
  </si>
  <si>
    <t>D46JK18Tc40gR</t>
  </si>
  <si>
    <t>2026-07-12T04:47:48+05:30</t>
  </si>
  <si>
    <t>2026-07-12T13:19:51+05:30</t>
  </si>
  <si>
    <t>pyb62n9pn5vs0j6@marketplace.amazon.in</t>
  </si>
  <si>
    <t>404-3165894-1633140</t>
  </si>
  <si>
    <t>TwqhQrpH9</t>
  </si>
  <si>
    <t>DmT0mM8mc80rR</t>
  </si>
  <si>
    <t>2026-07-11T23:27:05+05:30</t>
  </si>
  <si>
    <t>2026-07-12T10:00:41+05:30</t>
  </si>
  <si>
    <t>2026-07-12T13:00:52+05:30</t>
  </si>
  <si>
    <t>m324hvznzw5mzqc@marketplace.amazon.in</t>
  </si>
  <si>
    <t>BALODA BAZAR</t>
  </si>
  <si>
    <t>402-6706026-6837910</t>
  </si>
  <si>
    <t>T3m2b1pn9</t>
  </si>
  <si>
    <t>DvGxmF8Dcf0cR</t>
  </si>
  <si>
    <t>2026-07-11T20:37:37+05:30</t>
  </si>
  <si>
    <t>2026-07-12T09:55:45+05:30</t>
  </si>
  <si>
    <t>2026-07-12T12:55:54+05:30</t>
  </si>
  <si>
    <t>tl3b8vxt66wpt8c@marketplace.amazon.in</t>
  </si>
  <si>
    <t>ARUPPUKKOTTAI</t>
  </si>
  <si>
    <t>404-7546154-5235528</t>
  </si>
  <si>
    <t>T6JZDypD9</t>
  </si>
  <si>
    <t>Dwr6lC85c00ZR</t>
  </si>
  <si>
    <t>2026-07-11T17:11:50+05:30</t>
  </si>
  <si>
    <t>2026-07-12T09:38:47+05:30</t>
  </si>
  <si>
    <t>2026-07-12T09:38:50+05:30</t>
  </si>
  <si>
    <t>2026-07-12T10:39:00+05:30</t>
  </si>
  <si>
    <t>nr8ndkmv5c7r3gr@marketplace.amazon.in</t>
  </si>
  <si>
    <t>408-3514236-4790712</t>
  </si>
  <si>
    <t>T3QS6bnd9</t>
  </si>
  <si>
    <t>DVsplw8Tc70KR</t>
  </si>
  <si>
    <t>2026-07-11T18:01:27+05:30</t>
  </si>
  <si>
    <t>2026-07-12T09:38:44+05:30</t>
  </si>
  <si>
    <t>2026-07-12T12:38:56+05:30</t>
  </si>
  <si>
    <t>r3f1v33lwqkgvzl@marketplace.amazon.in</t>
  </si>
  <si>
    <t>402-4523919-1695559</t>
  </si>
  <si>
    <t>TwFqj9vj4</t>
  </si>
  <si>
    <t>D9BJS785cs09R</t>
  </si>
  <si>
    <t>2026-07-07T22:59:14+05:30</t>
  </si>
  <si>
    <t>2026-07-12T09:17:44+05:30</t>
  </si>
  <si>
    <t>2026-07-12T12:17:55+05:30</t>
  </si>
  <si>
    <t>pbgm4wjv5hnyzqp@marketplace.amazon.in</t>
  </si>
  <si>
    <t>402-2855152-4643524</t>
  </si>
  <si>
    <t>Tn6s2Hn59</t>
  </si>
  <si>
    <t>DdNQSH82cB0hR</t>
  </si>
  <si>
    <t>2026-07-11T12:43:42+05:30</t>
  </si>
  <si>
    <t>2026-07-12T09:16:42+05:30</t>
  </si>
  <si>
    <t>2026-07-12T09:16:45+05:30</t>
  </si>
  <si>
    <t>2026-07-12T10:16:56+05:30</t>
  </si>
  <si>
    <t>y0b6b4d97pf9fqn@marketplace.amazon.in</t>
  </si>
  <si>
    <t>Dy1cS48NcY0hR</t>
  </si>
  <si>
    <t>171-7767070-9065955</t>
  </si>
  <si>
    <t>TGKqbMnf9</t>
  </si>
  <si>
    <t>DqWnSp82cY0WR</t>
  </si>
  <si>
    <t>2026-07-10T21:53:45+05:30</t>
  </si>
  <si>
    <t>2026-07-12T09:14:39+05:30</t>
  </si>
  <si>
    <t>2026-07-12T09:14:42+05:30</t>
  </si>
  <si>
    <t>2026-07-12T10:14:52+05:30</t>
  </si>
  <si>
    <t>sp66wzyjn0p38cj@marketplace.amazon.in</t>
  </si>
  <si>
    <t>403-7376776-3000332</t>
  </si>
  <si>
    <t>TX2gVFpn9</t>
  </si>
  <si>
    <t>DvXb6k8NcC0MR</t>
  </si>
  <si>
    <t>2026-07-11T23:05:14+05:30</t>
  </si>
  <si>
    <t>2026-07-12T09:08:46+05:30</t>
  </si>
  <si>
    <t>2026-07-12T12:08:57+05:30</t>
  </si>
  <si>
    <t>ggzwjd9qlhb7mzb@marketplace.amazon.in</t>
  </si>
  <si>
    <t>407-2961805-4023528</t>
  </si>
  <si>
    <t>T6P0Dzp29</t>
  </si>
  <si>
    <t>D2Kc6d8TcY02R</t>
  </si>
  <si>
    <t>2026-07-11T22:31:27+05:30</t>
  </si>
  <si>
    <t>2026-07-12T09:08:43+05:30</t>
  </si>
  <si>
    <t>2026-07-12T12:08:56+05:30</t>
  </si>
  <si>
    <t>r3k777kpkg47n17@marketplace.amazon.in</t>
  </si>
  <si>
    <t>URMAR TANDA</t>
  </si>
  <si>
    <t>403-7983336-4267528</t>
  </si>
  <si>
    <t>TcKdJB4D4</t>
  </si>
  <si>
    <t>DnKy6r85cb01R</t>
  </si>
  <si>
    <t>2026-07-07T21:00:41+05:30</t>
  </si>
  <si>
    <t>2026-07-12T09:07:46+05:30</t>
  </si>
  <si>
    <t>2026-07-12T12:07:58+05:30</t>
  </si>
  <si>
    <t>8scl78hvk6svmjr@marketplace.amazon.in</t>
  </si>
  <si>
    <t>406-8677998-6197112</t>
  </si>
  <si>
    <t>TNTZjnqc9</t>
  </si>
  <si>
    <t>Dkxn6S8vcY0hR</t>
  </si>
  <si>
    <t>2026-07-11T10:53:24+05:30</t>
  </si>
  <si>
    <t>2026-07-12T08:54:48+05:30</t>
  </si>
  <si>
    <t>2026-07-12T11:55:01+05:30</t>
  </si>
  <si>
    <t>1zvy0hcn8h5m3qs@marketplace.amazon.in</t>
  </si>
  <si>
    <t>406-4004569-2277949</t>
  </si>
  <si>
    <t>TcVg1sn19</t>
  </si>
  <si>
    <t>DVGbdt8Gcn0LR</t>
  </si>
  <si>
    <t>2026-07-11T14:36:23+05:30</t>
  </si>
  <si>
    <t>2026-07-12T08:51:46+05:30</t>
  </si>
  <si>
    <t>2026-07-12T11:51:58+05:30</t>
  </si>
  <si>
    <t>pdvc9201z3lcwh7@marketplace.amazon.in</t>
  </si>
  <si>
    <t>402-8352595-0136310</t>
  </si>
  <si>
    <t>T1dZFvp09</t>
  </si>
  <si>
    <t>DK1hsg86cL0cR</t>
  </si>
  <si>
    <t>2026-07-11T23:27:53+05:30</t>
  </si>
  <si>
    <t>2026-07-12T04:50:42+05:30</t>
  </si>
  <si>
    <t>2026-07-12T04:50:45+05:30</t>
  </si>
  <si>
    <t>2026-07-12T05:50:56+05:30</t>
  </si>
  <si>
    <t>976sn67l20g7dbl@marketplace.amazon.in</t>
  </si>
  <si>
    <t>402-5891442-9378705</t>
  </si>
  <si>
    <t>TJQw9Yp09</t>
  </si>
  <si>
    <t>DTMvsm8tcv0fR</t>
  </si>
  <si>
    <t>2026-07-11T22:55:54+05:30</t>
  </si>
  <si>
    <t>2026-07-12T04:44:39+05:30</t>
  </si>
  <si>
    <t>2026-07-12T04:44:43+05:30</t>
  </si>
  <si>
    <t>2026-07-12T05:44:56+05:30</t>
  </si>
  <si>
    <t>2pvzm1cj6dt1q6x@marketplace.amazon.in</t>
  </si>
  <si>
    <t>Thane east</t>
  </si>
  <si>
    <t>406-1537234-3401125</t>
  </si>
  <si>
    <t>TXkDbWP99</t>
  </si>
  <si>
    <t>DsPssS83cz0NR</t>
  </si>
  <si>
    <t>2026-07-10T11:35:48+05:30</t>
  </si>
  <si>
    <t>2026-07-12T04:30:41+05:30</t>
  </si>
  <si>
    <t>2026-07-12T07:30:53+05:30</t>
  </si>
  <si>
    <t>ypm05kmd39y1f7k@marketplace.amazon.in</t>
  </si>
  <si>
    <t>408-9672007-0700349</t>
  </si>
  <si>
    <t>TXQd9kpP9</t>
  </si>
  <si>
    <t>Dd7DcY8Sc909R</t>
  </si>
  <si>
    <t>2026-07-11T22:52:40+05:30</t>
  </si>
  <si>
    <t>2026-07-12T04:07:46+05:30</t>
  </si>
  <si>
    <t>2026-07-12T07:07:59+05:30</t>
  </si>
  <si>
    <t>51830mntv4t5wqn@marketplace.amazon.in</t>
  </si>
  <si>
    <t>406-9595604-3018705</t>
  </si>
  <si>
    <t>TnNcVlpF9</t>
  </si>
  <si>
    <t>DR2Gcs82c60HR</t>
  </si>
  <si>
    <t>2026-07-11T22:44:30+05:30</t>
  </si>
  <si>
    <t>2026-07-12T04:03:45+05:30</t>
  </si>
  <si>
    <t>2026-07-12T07:03:57+05:30</t>
  </si>
  <si>
    <t>48kn8273633zzg8@marketplace.amazon.in</t>
  </si>
  <si>
    <t>171-2039976-4721132</t>
  </si>
  <si>
    <t>T6jQjmnZ9</t>
  </si>
  <si>
    <t>Dx4Pvw8wc60SR</t>
  </si>
  <si>
    <t>2026-07-11T21:25:10+05:30</t>
  </si>
  <si>
    <t>2026-07-12T03:54:42+05:30</t>
  </si>
  <si>
    <t>2026-07-12T03:54:44+05:30</t>
  </si>
  <si>
    <t>2026-07-12T04:54:55+05:30</t>
  </si>
  <si>
    <t>9343tvp9y42ykt0@marketplace.amazon.in</t>
  </si>
  <si>
    <t>404-3626398-6362710</t>
  </si>
  <si>
    <t>TJJPgJqT9</t>
  </si>
  <si>
    <t>Dy9nvJ84cp0jR</t>
  </si>
  <si>
    <t>2026-07-11T10:32:08+05:30</t>
  </si>
  <si>
    <t>2026-07-12T03:50:48+05:30</t>
  </si>
  <si>
    <t>2026-07-12T06:50:59+05:30</t>
  </si>
  <si>
    <t>w6s2cgf2ls2sd8j@marketplace.amazon.in</t>
  </si>
  <si>
    <t>407-2876071-5490707</t>
  </si>
  <si>
    <t>TwgDjCnp9</t>
  </si>
  <si>
    <t>DG5Nz08zcv0bR</t>
  </si>
  <si>
    <t>2026-07-11T21:34:54+05:30</t>
  </si>
  <si>
    <t>2026-07-12T03:42:41+05:30</t>
  </si>
  <si>
    <t>2026-07-12T03:42:44+05:30</t>
  </si>
  <si>
    <t>2026-07-12T04:42:55+05:30</t>
  </si>
  <si>
    <t>f75lwmzbl18c57y@marketplace.amazon.in</t>
  </si>
  <si>
    <t>CHANGANACHERRY, 9497846507</t>
  </si>
  <si>
    <t>404-6636454-9766727</t>
  </si>
  <si>
    <t>TCXFxTnk9</t>
  </si>
  <si>
    <t>D08ZzG86cC0bR</t>
  </si>
  <si>
    <t>2026-07-11T16:43:38+05:30</t>
  </si>
  <si>
    <t>2026-07-12T03:35:45+05:30</t>
  </si>
  <si>
    <t>2026-07-12T06:36:00+05:30</t>
  </si>
  <si>
    <t>prd2gpj3lhp5kbk@marketplace.amazon.in</t>
  </si>
  <si>
    <t>403-6144843-6197954</t>
  </si>
  <si>
    <t>TXsyVmq09</t>
  </si>
  <si>
    <t>Dcg2z88Kcs0nR</t>
  </si>
  <si>
    <t>2026-07-10T23:33:49+05:30</t>
  </si>
  <si>
    <t>2026-07-12T03:31:51+05:30</t>
  </si>
  <si>
    <t>2026-07-12T06:32:08+05:30</t>
  </si>
  <si>
    <t>3b1c8vx4kn9n19v@marketplace.amazon.in</t>
  </si>
  <si>
    <t>BHILAI</t>
  </si>
  <si>
    <t>407-8163755-6362763</t>
  </si>
  <si>
    <t>T1jQvWpz9</t>
  </si>
  <si>
    <t>DMYLzm8Rcm0xR</t>
  </si>
  <si>
    <t>2026-07-12T01:32:06+05:30</t>
  </si>
  <si>
    <t>2026-07-12T03:27:38+05:30</t>
  </si>
  <si>
    <t>2026-07-12T03:27:41+05:30</t>
  </si>
  <si>
    <t>2026-07-12T04:27:51+05:30</t>
  </si>
  <si>
    <t>ykbwvz6xvjqlzy6@marketplace.amazon.in</t>
  </si>
  <si>
    <t>408-6882667-0415551</t>
  </si>
  <si>
    <t>T3tDFWp79</t>
  </si>
  <si>
    <t>Dp5S288Dc60DR</t>
  </si>
  <si>
    <t>2026-07-11T23:18:12+05:30</t>
  </si>
  <si>
    <t>2026-07-12T03:06:45+05:30</t>
  </si>
  <si>
    <t>2026-07-12T06:06:58+05:30</t>
  </si>
  <si>
    <t>d85nxcjnhtz97z8@marketplace.amazon.in</t>
  </si>
  <si>
    <t>403-4041317-8541905</t>
  </si>
  <si>
    <t>TGBb3p5m4</t>
  </si>
  <si>
    <t>DvMV2Y8XcR0CR</t>
  </si>
  <si>
    <t>2026-07-05T21:56:18+05:30</t>
  </si>
  <si>
    <t>2026-07-12T03:02:48+05:30</t>
  </si>
  <si>
    <t>2026-07-12T06:03:07+05:30</t>
  </si>
  <si>
    <t>45ldpn7ypt6rp81@marketplace.amazon.in</t>
  </si>
  <si>
    <t>407-5180411-9834719</t>
  </si>
  <si>
    <t>TCvnXxXR4</t>
  </si>
  <si>
    <t>DgmT2M8Wcr0DR</t>
  </si>
  <si>
    <t>2026-07-09T23:13:08+05:30</t>
  </si>
  <si>
    <t>2026-07-12T03:01:45+05:30</t>
  </si>
  <si>
    <t>2026-07-12T06:01:58+05:30</t>
  </si>
  <si>
    <t>xksltsvwn5l7z3d@marketplace.amazon.in</t>
  </si>
  <si>
    <t>NEW DELHInew delhi</t>
  </si>
  <si>
    <t>403-4290446-6681118</t>
  </si>
  <si>
    <t>TVcw4rpN9</t>
  </si>
  <si>
    <t>D0M82c8lcR0CR</t>
  </si>
  <si>
    <t>2026-07-11T18:19:53+05:30</t>
  </si>
  <si>
    <t>2026-07-12T03:00:47+05:30</t>
  </si>
  <si>
    <t>2026-07-12T06:00:59+05:30</t>
  </si>
  <si>
    <t>tg5k517ywx520br@marketplace.amazon.in</t>
  </si>
  <si>
    <t>171-8000591-3462768</t>
  </si>
  <si>
    <t>T6dHRHpm9</t>
  </si>
  <si>
    <t>DdQJ2J8Vcz0pR</t>
  </si>
  <si>
    <t>2026-07-11T19:56:22+05:30</t>
  </si>
  <si>
    <t>2026-07-12T02:55:44+05:30</t>
  </si>
  <si>
    <t>2026-07-12T02:55:46+05:30</t>
  </si>
  <si>
    <t>2026-07-12T03:55:58+05:30</t>
  </si>
  <si>
    <t>jw4t9pv5g84b3n3@marketplace.amazon.in</t>
  </si>
  <si>
    <t>404-0802818-9815567</t>
  </si>
  <si>
    <t>TNP0RNpp9</t>
  </si>
  <si>
    <t>DFdv2h89cS0nR</t>
  </si>
  <si>
    <t>2026-07-11T19:15:53+05:30</t>
  </si>
  <si>
    <t>2026-07-12T02:51:48+05:30</t>
  </si>
  <si>
    <t>2026-07-12T05:52:00+05:30</t>
  </si>
  <si>
    <t>clhmr60lq97ys6z@marketplace.amazon.in</t>
  </si>
  <si>
    <t>TIVIM</t>
  </si>
  <si>
    <t>407-6922412-5769908</t>
  </si>
  <si>
    <t>TnbSsJX94</t>
  </si>
  <si>
    <t>Dz7MF88Qc40hR</t>
  </si>
  <si>
    <t>2026-07-09T19:11:41+05:30</t>
  </si>
  <si>
    <t>2026-07-12T02:48:38+05:30</t>
  </si>
  <si>
    <t>2026-07-12T05:48:50+05:30</t>
  </si>
  <si>
    <t>xvv6nqhy2gw843f@marketplace.amazon.in</t>
  </si>
  <si>
    <t>VILLUPURAM</t>
  </si>
  <si>
    <t>406-6217260-6842705</t>
  </si>
  <si>
    <t>T6KFMWym4</t>
  </si>
  <si>
    <t>DdVwDZ8VcW0zR</t>
  </si>
  <si>
    <t>2026-07-07T13:48:31+05:30</t>
  </si>
  <si>
    <t>2026-07-12T02:26:43+05:30</t>
  </si>
  <si>
    <t>2026-07-12T05:26:54+05:30</t>
  </si>
  <si>
    <t>myyqh181485zdxt@marketplace.amazon.in</t>
  </si>
  <si>
    <t>405-2702503-2993145</t>
  </si>
  <si>
    <t>Tn1SVnn39</t>
  </si>
  <si>
    <t>DVRQDs8Lc10wR</t>
  </si>
  <si>
    <t>2026-07-11T14:58:36+05:30</t>
  </si>
  <si>
    <t>2026-07-12T02:16:49+05:30</t>
  </si>
  <si>
    <t>2026-07-12T05:17:03+05:30</t>
  </si>
  <si>
    <t>4qs51ykqfr5x12s@marketplace.amazon.in</t>
  </si>
  <si>
    <t>404-4684973-1311534</t>
  </si>
  <si>
    <t>TNkMdHnW9</t>
  </si>
  <si>
    <t>D1RmD28Hc10wR</t>
  </si>
  <si>
    <t>2026-07-11T17:22:07+05:30</t>
  </si>
  <si>
    <t>2026-07-12T02:11:46+05:30</t>
  </si>
  <si>
    <t>2026-07-12T05:12:00+05:30</t>
  </si>
  <si>
    <t>6s314hzvmtyyvrl@marketplace.amazon.in</t>
  </si>
  <si>
    <t>Ambala cantt</t>
  </si>
  <si>
    <t>404-3762035-8066732</t>
  </si>
  <si>
    <t>TGJp9T3G4</t>
  </si>
  <si>
    <t>DH9PYJ8Scn0cR</t>
  </si>
  <si>
    <t>2026-07-06T19:15:17+05:30</t>
  </si>
  <si>
    <t>2026-07-12T02:10:45+05:30</t>
  </si>
  <si>
    <t>2026-07-12T05:10:59+05:30</t>
  </si>
  <si>
    <t>4hfd6tfgzyh70bn@marketplace.amazon.in</t>
  </si>
  <si>
    <t>405-3987927-0961907</t>
  </si>
  <si>
    <t>TXjsstn39</t>
  </si>
  <si>
    <t>DF2LYd8tcv0sR</t>
  </si>
  <si>
    <t>2026-07-11T14:43:14+05:30</t>
  </si>
  <si>
    <t>2026-07-12T02:06:42+05:30</t>
  </si>
  <si>
    <t>2026-07-12T05:06:53+05:30</t>
  </si>
  <si>
    <t>m53vcgtwcl0v76n@marketplace.amazon.in</t>
  </si>
  <si>
    <t>405-4149506-1653923</t>
  </si>
  <si>
    <t>TJ10YMyf4</t>
  </si>
  <si>
    <t>Dwv6yb8RcC0tR</t>
  </si>
  <si>
    <t>2026-07-06T21:49:34+05:30</t>
  </si>
  <si>
    <t>2026-07-12T01:59:37+05:30</t>
  </si>
  <si>
    <t>2026-07-12T01:59:40+05:30</t>
  </si>
  <si>
    <t>2026-07-12T02:59:53+05:30</t>
  </si>
  <si>
    <t>js16tls2vv1fcpc@marketplace.amazon.in</t>
  </si>
  <si>
    <t>403-4445202-9939537</t>
  </si>
  <si>
    <t>Tgm1Z8nt9</t>
  </si>
  <si>
    <t>D2nbyC8ccp0vR</t>
  </si>
  <si>
    <t>2026-07-11T20:34:07+05:30</t>
  </si>
  <si>
    <t>2026-07-12T01:47:41+05:30</t>
  </si>
  <si>
    <t>2026-07-12T04:47:52+05:30</t>
  </si>
  <si>
    <t>3zx0rt7l365kj56@marketplace.amazon.in</t>
  </si>
  <si>
    <t>405-9537539-2504316</t>
  </si>
  <si>
    <t>TJZ9WxnX9</t>
  </si>
  <si>
    <t>DhWqy48Yc104R</t>
  </si>
  <si>
    <t>2026-07-11T20:20:28+05:30</t>
  </si>
  <si>
    <t>2026-07-12T01:43:44+05:30</t>
  </si>
  <si>
    <t>2026-07-12T04:43:56+05:30</t>
  </si>
  <si>
    <t>qrt81z7h2px1kps@marketplace.amazon.in</t>
  </si>
  <si>
    <t>BAPATLA</t>
  </si>
  <si>
    <t>405-1434918-3417155</t>
  </si>
  <si>
    <t>TC0wYcpx9</t>
  </si>
  <si>
    <t>DNHyy18jcG0xR</t>
  </si>
  <si>
    <t>2026-07-11T22:52:05+05:30</t>
  </si>
  <si>
    <t>2026-07-12T01:42:39+05:30</t>
  </si>
  <si>
    <t>2026-07-12T01:42:41+05:30</t>
  </si>
  <si>
    <t>2026-07-12T02:42:52+05:30</t>
  </si>
  <si>
    <t>jlcpj705pxt07tf@marketplace.amazon.in</t>
  </si>
  <si>
    <t>403-5177282-8059539</t>
  </si>
  <si>
    <t>TGclHBpt9</t>
  </si>
  <si>
    <t>D2MJw389cM06R</t>
  </si>
  <si>
    <t>2026-07-11T21:53:44+05:30</t>
  </si>
  <si>
    <t>2026-07-12T01:40:44+05:30</t>
  </si>
  <si>
    <t>2026-07-12T01:40:47+05:30</t>
  </si>
  <si>
    <t>2026-07-12T02:40:57+05:30</t>
  </si>
  <si>
    <t>mdqw6n0lqnt6l0v@marketplace.amazon.in</t>
  </si>
  <si>
    <t>171-6973711-5769132</t>
  </si>
  <si>
    <t>TcNz0ynT9</t>
  </si>
  <si>
    <t>D7MQBS83cH0YR</t>
  </si>
  <si>
    <t>2026-07-11T19:48:00+05:30</t>
  </si>
  <si>
    <t>2026-07-12T01:13:45+05:30</t>
  </si>
  <si>
    <t>2026-07-12T04:13:58+05:30</t>
  </si>
  <si>
    <t>jqmb8vfc50yrvcv@marketplace.amazon.in</t>
  </si>
  <si>
    <t>408-6740154-8127520</t>
  </si>
  <si>
    <t>Tn0yJNnt9</t>
  </si>
  <si>
    <t>DNlZBJ8wcG05R</t>
  </si>
  <si>
    <t>2026-07-11T16:46:18+05:30</t>
  </si>
  <si>
    <t>2026-07-12T01:13:41+05:30</t>
  </si>
  <si>
    <t>2026-07-12T04:13:53+05:30</t>
  </si>
  <si>
    <t>h712zby1c7pvhbg@marketplace.amazon.in</t>
  </si>
  <si>
    <t>DAMANJODI</t>
  </si>
  <si>
    <t>403-3691506-2253134</t>
  </si>
  <si>
    <t>TGYcbfpt9</t>
  </si>
  <si>
    <t>DZNp9P8Qcr0kR</t>
  </si>
  <si>
    <t>2026-07-11T21:02:23+05:30</t>
  </si>
  <si>
    <t>2026-07-12T01:00:51+05:30</t>
  </si>
  <si>
    <t>2026-07-12T01:00:57+05:30</t>
  </si>
  <si>
    <t>2026-07-12T02:01:26+05:30</t>
  </si>
  <si>
    <t>yt6lblr88xh34gb@marketplace.amazon.in</t>
  </si>
  <si>
    <t>2026-07-12T08:00:00+05:30</t>
  </si>
  <si>
    <t>171-0133751-7355506</t>
  </si>
  <si>
    <t>TcM7TZvG4</t>
  </si>
  <si>
    <t>DPDG418Qct0NR</t>
  </si>
  <si>
    <t>2026-07-09T11:06:54+05:30</t>
  </si>
  <si>
    <t>2026-07-12T00:42:57+05:30</t>
  </si>
  <si>
    <t>2026-07-12T03:43:08+05:30</t>
  </si>
  <si>
    <t>rzwnd750kr438y2@marketplace.amazon.in</t>
  </si>
  <si>
    <t>402-1497284-6923517</t>
  </si>
  <si>
    <t>TJ5C4dpF9</t>
  </si>
  <si>
    <t>DCDKHl8Pcm0GR</t>
  </si>
  <si>
    <t>2026-07-11T22:17:08+05:30</t>
  </si>
  <si>
    <t>2026-07-12T00:23:44+05:30</t>
  </si>
  <si>
    <t>2026-07-12T03:23:56+05:30</t>
  </si>
  <si>
    <t>fv47jd2m8g6nshl@marketplace.amazon.in</t>
  </si>
  <si>
    <t>402-5630702-6709112</t>
  </si>
  <si>
    <t>TgjhPbnV9</t>
  </si>
  <si>
    <t>DWxbH18mcv0hR</t>
  </si>
  <si>
    <t>2026-07-11T16:59:11+05:30</t>
  </si>
  <si>
    <t>2026-07-12T00:16:48+05:30</t>
  </si>
  <si>
    <t>2026-07-12T03:17:00+05:30</t>
  </si>
  <si>
    <t>rpr12d6frnbx44q@marketplace.amazon.in</t>
  </si>
  <si>
    <t>408-9861770-4861924</t>
  </si>
  <si>
    <t>T3SlHqpw9</t>
  </si>
  <si>
    <t>D3SVbS8tc90fR</t>
  </si>
  <si>
    <t>2026-07-11T21:49:19+05:30</t>
  </si>
  <si>
    <t>2026-07-12T00:13:40+05:30</t>
  </si>
  <si>
    <t>2026-07-12T00:13:43+05:30</t>
  </si>
  <si>
    <t>2026-07-12T01:13:59+05:30</t>
  </si>
  <si>
    <t>sg9whc30s38rhvj@marketplace.amazon.in</t>
  </si>
  <si>
    <t>408-3834107-8360322</t>
  </si>
  <si>
    <t>TCHW051K4</t>
  </si>
  <si>
    <t>D9Yvbc8Dct0SR</t>
  </si>
  <si>
    <t>2026-07-05T17:07:04+05:30</t>
  </si>
  <si>
    <t>2026-07-12T00:06:47+05:30</t>
  </si>
  <si>
    <t>2026-07-12T03:07:03+05:30</t>
  </si>
  <si>
    <t>plfl27mzwtscm5t@marketplace.amazon.in</t>
  </si>
  <si>
    <t>405-6414912-1898746</t>
  </si>
  <si>
    <t>Tw0pX2nX9</t>
  </si>
  <si>
    <t>DnDVbW8wcb0KR</t>
  </si>
  <si>
    <t>2026-07-11T19:33:29+05:30</t>
  </si>
  <si>
    <t>2026-07-12T00:04:41+05:30</t>
  </si>
  <si>
    <t>2026-07-12T00:04:43+05:30</t>
  </si>
  <si>
    <t>2026-07-12T01:04:55+05:30</t>
  </si>
  <si>
    <t>n8qyt0h6t2v4fp4@marketplace.amazon.in</t>
  </si>
  <si>
    <t>D1WXbs8XcJ0cR</t>
  </si>
  <si>
    <t>DwWMbs8XcJ0cR</t>
  </si>
  <si>
    <t>407-8510403-0621956</t>
  </si>
  <si>
    <t>TnfBDWp29</t>
  </si>
  <si>
    <t>DqvpkS8KcW0LR</t>
  </si>
  <si>
    <t>2026-07-11T22:43:36+05:30</t>
  </si>
  <si>
    <t>2026-07-11T23:59:45+05:30</t>
  </si>
  <si>
    <t>2026-07-12T02:59:57+05:30</t>
  </si>
  <si>
    <t>4dqrm4cvfqy07nz@marketplace.amazon.in</t>
  </si>
  <si>
    <t>171-5051708-1580308</t>
  </si>
  <si>
    <t>TcFJ5Snb9</t>
  </si>
  <si>
    <t>D5vtkq8Hcs0sR</t>
  </si>
  <si>
    <t>2026-07-11T18:47:29+05:30</t>
  </si>
  <si>
    <t>2026-07-11T23:56:44+05:30</t>
  </si>
  <si>
    <t>2026-07-12T02:56:56+05:30</t>
  </si>
  <si>
    <t>kgd748l4z8y00b5@marketplace.amazon.in</t>
  </si>
  <si>
    <t>402-7270478-6536366</t>
  </si>
  <si>
    <t>T3CSw9pM9</t>
  </si>
  <si>
    <t>D92Qkf8XcG09R</t>
  </si>
  <si>
    <t>2026-07-11T22:16:45+05:30</t>
  </si>
  <si>
    <t>2026-07-11T23:48:41+05:30</t>
  </si>
  <si>
    <t>2026-07-12T02:48:52+05:30</t>
  </si>
  <si>
    <t>br29vszj9tv9j0q@marketplace.amazon.in</t>
  </si>
  <si>
    <t>404-8257780-6612360</t>
  </si>
  <si>
    <t>TCzGBLnp9</t>
  </si>
  <si>
    <t>DhyZRf8ccb09R</t>
  </si>
  <si>
    <t>2026-07-11T13:36:21+05:30</t>
  </si>
  <si>
    <t>2026-07-11T23:23:50+05:30</t>
  </si>
  <si>
    <t>2026-07-12T02:24:04+05:30</t>
  </si>
  <si>
    <t>r491qhndm2fs4sx@marketplace.amazon.in</t>
  </si>
  <si>
    <t>405-5236055-0211560</t>
  </si>
  <si>
    <t>TcWStly44</t>
  </si>
  <si>
    <t>Dxy4Rb8Fcb09R</t>
  </si>
  <si>
    <t>2026-07-07T14:42:31+05:30</t>
  </si>
  <si>
    <t>2026-07-11T23:21:47+05:30</t>
  </si>
  <si>
    <t>2026-07-12T02:22:02+05:30</t>
  </si>
  <si>
    <t>68936zfts6503rn@marketplace.amazon.in</t>
  </si>
  <si>
    <t>407-1974364-8904333</t>
  </si>
  <si>
    <t>TCwWpknN9</t>
  </si>
  <si>
    <t>DbWkRs8mcf0jR</t>
  </si>
  <si>
    <t>2026-07-11T18:06:13+05:30</t>
  </si>
  <si>
    <t>2026-07-11T23:19:59+05:30</t>
  </si>
  <si>
    <t>2026-07-12T02:20:17+05:30</t>
  </si>
  <si>
    <t>0vfqbs2lzzjr92r@marketplace.amazon.in</t>
  </si>
  <si>
    <t>171-7010419-5361966</t>
  </si>
  <si>
    <t>TCrYWPn79</t>
  </si>
  <si>
    <t>DpXqhMgzc00nR</t>
  </si>
  <si>
    <t>2026-07-11T19:38:24+05:30</t>
  </si>
  <si>
    <t>2026-07-11T23:07:49+05:30</t>
  </si>
  <si>
    <t>2026-07-12T02:08:03+05:30</t>
  </si>
  <si>
    <t>9whspr3ndt5fzft@marketplace.amazon.in</t>
  </si>
  <si>
    <t>402-5737021-9168321</t>
  </si>
  <si>
    <t>T3jKF0n59</t>
  </si>
  <si>
    <t>Ds4xhsg0cZ0tR</t>
  </si>
  <si>
    <t>2026-07-11T16:26:01+05:30</t>
  </si>
  <si>
    <t>2026-07-11T23:05:47+05:30</t>
  </si>
  <si>
    <t>2026-07-12T02:05:59+05:30</t>
  </si>
  <si>
    <t>kp71wkz8d4t1kdk@marketplace.amazon.in</t>
  </si>
  <si>
    <t>404-8174007-0537154</t>
  </si>
  <si>
    <t>T6NF9Hn89</t>
  </si>
  <si>
    <t>Dr4whQgvcZ0tR</t>
  </si>
  <si>
    <t>2026-07-11T13:18:05+05:30</t>
  </si>
  <si>
    <t>2026-07-11T22:59:46+05:30</t>
  </si>
  <si>
    <t>2026-07-12T01:59:57+05:30</t>
  </si>
  <si>
    <t>hh78076bl4f6fvk@marketplace.amazon.in</t>
  </si>
  <si>
    <t>BULANDSHAHR</t>
  </si>
  <si>
    <t>402-8482005-3429900</t>
  </si>
  <si>
    <t>TN9vDgnQ9</t>
  </si>
  <si>
    <t>DpHlhYgLcL09R</t>
  </si>
  <si>
    <t>2026-07-11T13:57:54+05:30</t>
  </si>
  <si>
    <t>2026-07-11T22:53:48+05:30</t>
  </si>
  <si>
    <t>2026-07-11T22:53:51+05:30</t>
  </si>
  <si>
    <t>2026-07-11T23:54:07+05:30</t>
  </si>
  <si>
    <t>18kt1943km4j13k@marketplace.amazon.in</t>
  </si>
  <si>
    <t>171-8030504-3567545</t>
  </si>
  <si>
    <t>TNWGq3qr9</t>
  </si>
  <si>
    <t>DlW5fYgKcz0yR</t>
  </si>
  <si>
    <t>2026-07-11T10:00:57+05:30</t>
  </si>
  <si>
    <t>2026-07-11T22:42:46+05:30</t>
  </si>
  <si>
    <t>2026-07-12T01:42:59+05:30</t>
  </si>
  <si>
    <t>lfcf83nfvvxywpg@marketplace.amazon.in</t>
  </si>
  <si>
    <t>406-8697836-4824335</t>
  </si>
  <si>
    <t>TXHNqJnM9</t>
  </si>
  <si>
    <t>DbMSfSgYcb0CR</t>
  </si>
  <si>
    <t>2026-07-11T19:04:03+05:30</t>
  </si>
  <si>
    <t>2026-07-11T22:37:45+05:30</t>
  </si>
  <si>
    <t>2026-07-12T01:37:57+05:30</t>
  </si>
  <si>
    <t>hsb4dglvs1vy6b7@marketplace.amazon.in</t>
  </si>
  <si>
    <t>402-9046012-2250734</t>
  </si>
  <si>
    <t>TV6Q9vnD9</t>
  </si>
  <si>
    <t>Dm4Xjpg2cq0VR</t>
  </si>
  <si>
    <t>2026-07-11T13:20:48+05:30</t>
  </si>
  <si>
    <t>2026-07-11T22:31:45+05:30</t>
  </si>
  <si>
    <t>2026-07-12T01:31:56+05:30</t>
  </si>
  <si>
    <t>405-7296181-1693900</t>
  </si>
  <si>
    <t>T1R3g9SD4</t>
  </si>
  <si>
    <t>DqL3fbgTcc0VR</t>
  </si>
  <si>
    <t>2026-07-09T01:47:02+05:30</t>
  </si>
  <si>
    <t>jjbk4qyxhjl5d9h@marketplace.amazon.in</t>
  </si>
  <si>
    <t>MAL</t>
  </si>
  <si>
    <t>404-2606352-4824318</t>
  </si>
  <si>
    <t>TgJywVnW9</t>
  </si>
  <si>
    <t>DxVZjvgycw0RR</t>
  </si>
  <si>
    <t>2026-07-11T14:32:27+05:30</t>
  </si>
  <si>
    <t>2026-07-11T22:25:52+05:30</t>
  </si>
  <si>
    <t>2026-07-12T01:26:03+05:30</t>
  </si>
  <si>
    <t>81rr3dqfjqgs6w3@marketplace.amazon.in</t>
  </si>
  <si>
    <t>403-3355534-7861109</t>
  </si>
  <si>
    <t>TG1Xs0nZ9</t>
  </si>
  <si>
    <t>DPcGj3g3cm0wR</t>
  </si>
  <si>
    <t>2026-07-11T14:53:38+05:30</t>
  </si>
  <si>
    <t>2026-07-11T22:19:46+05:30</t>
  </si>
  <si>
    <t>2026-07-12T01:20:00+05:30</t>
  </si>
  <si>
    <t>5rl800s5cqljhgd@marketplace.amazon.in</t>
  </si>
  <si>
    <t>DARJEELING</t>
  </si>
  <si>
    <t>408-2373748-3845963</t>
  </si>
  <si>
    <t>Tnjzzqn29</t>
  </si>
  <si>
    <t>DlRTjVgvcM05R</t>
  </si>
  <si>
    <t>2026-07-11T15:23:43+05:30</t>
  </si>
  <si>
    <t>2026-07-11T22:15:40+05:30</t>
  </si>
  <si>
    <t>2026-07-11T22:15:44+05:30</t>
  </si>
  <si>
    <t>2026-07-11T23:15:53+05:30</t>
  </si>
  <si>
    <t>qvlflj0tf5drg55@marketplace.amazon.in</t>
  </si>
  <si>
    <t>403-8965998-8893105</t>
  </si>
  <si>
    <t>TXlsXCn79</t>
  </si>
  <si>
    <t>D9NVqvgCch01R</t>
  </si>
  <si>
    <t>2026-07-11T19:41:21+05:30</t>
  </si>
  <si>
    <t>2026-07-11T21:55:47+05:30</t>
  </si>
  <si>
    <t>2026-07-12T00:55:58+05:30</t>
  </si>
  <si>
    <t>dgb3d6945vxm4fx@marketplace.amazon.in</t>
  </si>
  <si>
    <t>24 pargana (south),usthi</t>
  </si>
  <si>
    <t>403-1922266-5078722</t>
  </si>
  <si>
    <t>TGycpJng9</t>
  </si>
  <si>
    <t>Ds7kqLghcY0yR</t>
  </si>
  <si>
    <t>2026-07-08T15:33:20+05:30</t>
  </si>
  <si>
    <t>2026-07-11T21:50:51+05:30</t>
  </si>
  <si>
    <t>2026-07-12T00:51:03+05:30</t>
  </si>
  <si>
    <t>lmndvc9zslkfjfg@marketplace.amazon.in</t>
  </si>
  <si>
    <t>Vairag</t>
  </si>
  <si>
    <t>403-2318577-3285901</t>
  </si>
  <si>
    <t>TclpJMKs4</t>
  </si>
  <si>
    <t>D4bwq4gDcG0RR</t>
  </si>
  <si>
    <t>2026-07-07T16:58:54+05:30</t>
  </si>
  <si>
    <t>2026-07-11T21:48:58+05:30</t>
  </si>
  <si>
    <t>2026-07-11T21:49:01+05:30</t>
  </si>
  <si>
    <t>2026-07-11T22:49:15+05:30</t>
  </si>
  <si>
    <t>tdsvfjnljww5dfb@marketplace.amazon.in</t>
  </si>
  <si>
    <t>171-1168510-6673908</t>
  </si>
  <si>
    <t>T6Mnw0nR9</t>
  </si>
  <si>
    <t>DGbrqYgDcm0NR</t>
  </si>
  <si>
    <t>2026-07-11T15:02:38+05:30</t>
  </si>
  <si>
    <t>2026-07-11T21:47:42+05:30</t>
  </si>
  <si>
    <t>2026-07-12T00:47:53+05:30</t>
  </si>
  <si>
    <t>3kkhy4z71gd04ym@marketplace.amazon.in</t>
  </si>
  <si>
    <t>TCB94R4P4</t>
  </si>
  <si>
    <t>D18s5PgGcP0XR</t>
  </si>
  <si>
    <t>2026-07-11T21:37:45+05:30</t>
  </si>
  <si>
    <t>2026-07-12T00:37:55+05:30</t>
  </si>
  <si>
    <t>407-5976672-1431513</t>
  </si>
  <si>
    <t>T6KGpXnS9</t>
  </si>
  <si>
    <t>D9N555g8c50MR</t>
  </si>
  <si>
    <t>2026-07-11T19:12:26+05:30</t>
  </si>
  <si>
    <t>2026-07-11T21:36:46+05:30</t>
  </si>
  <si>
    <t>2026-07-12T00:36:57+05:30</t>
  </si>
  <si>
    <t>yr1rzr4hznflmkb@marketplace.amazon.in</t>
  </si>
  <si>
    <t>408-0555290-3748318</t>
  </si>
  <si>
    <t>TCN63hnL9</t>
  </si>
  <si>
    <t>D8n75cgQc80yR</t>
  </si>
  <si>
    <t>2026-07-11T15:29:49+05:30</t>
  </si>
  <si>
    <t>2026-07-11T21:19:39+05:30</t>
  </si>
  <si>
    <t>2026-07-11T21:19:42+05:30</t>
  </si>
  <si>
    <t>2026-07-11T22:19:54+05:30</t>
  </si>
  <si>
    <t>44n66p0wz671v0d@marketplace.amazon.in</t>
  </si>
  <si>
    <t>404-9374229-2433909</t>
  </si>
  <si>
    <t>TJqnm55L4</t>
  </si>
  <si>
    <t>DZbcg3gZcj06R</t>
  </si>
  <si>
    <t>2026-07-08T17:45:24+05:30</t>
  </si>
  <si>
    <t>2026-07-11T21:16:45+05:30</t>
  </si>
  <si>
    <t>2026-07-12T00:16:59+05:30</t>
  </si>
  <si>
    <t>pyr9p14x5rnslkm@marketplace.amazon.in</t>
  </si>
  <si>
    <t>TIRUCHENGODE</t>
  </si>
  <si>
    <t>171-9077040-5411546</t>
  </si>
  <si>
    <t>TcLj38nY9</t>
  </si>
  <si>
    <t>D0K58Bg7cD0RR</t>
  </si>
  <si>
    <t>2026-07-11T15:05:25+05:30</t>
  </si>
  <si>
    <t>2026-07-11T21:05:44+05:30</t>
  </si>
  <si>
    <t>2026-07-12T00:05:58+05:30</t>
  </si>
  <si>
    <t>443h70zrt05y86j@marketplace.amazon.in</t>
  </si>
  <si>
    <t>NATHAMPANNAI</t>
  </si>
  <si>
    <t>171-9168101-6788321</t>
  </si>
  <si>
    <t>TnNB30404</t>
  </si>
  <si>
    <t>DJywXvgjc80CR</t>
  </si>
  <si>
    <t>2026-07-07T20:46:10+05:30</t>
  </si>
  <si>
    <t>2026-07-11T20:45:46+05:30</t>
  </si>
  <si>
    <t>2026-07-11T23:45:59+05:30</t>
  </si>
  <si>
    <t>sd0snhkxtv1l3g8@marketplace.amazon.in</t>
  </si>
  <si>
    <t>Maruti Seva Nagar,Bangalore</t>
  </si>
  <si>
    <t>402-4476719-2780300</t>
  </si>
  <si>
    <t>TXgTWVK14</t>
  </si>
  <si>
    <t>D73TX8gzc30FR</t>
  </si>
  <si>
    <t>2026-07-10T10:45:06+05:30</t>
  </si>
  <si>
    <t>2026-07-11T20:42:45+05:30</t>
  </si>
  <si>
    <t>2026-07-11T20:42:47+05:30</t>
  </si>
  <si>
    <t>2026-07-11T21:42:58+05:30</t>
  </si>
  <si>
    <t>x0x8xbf8jnv3l3k@marketplace.amazon.in</t>
  </si>
  <si>
    <t>TOSHAM</t>
  </si>
  <si>
    <t>404-0697883-4000305</t>
  </si>
  <si>
    <t>TNQLBmnB9</t>
  </si>
  <si>
    <t>Ds1sXGgPcC0dR</t>
  </si>
  <si>
    <t>2026-07-11T13:47:56+05:30</t>
  </si>
  <si>
    <t>2026-07-11T20:39:45+05:30</t>
  </si>
  <si>
    <t>2026-07-11T23:39:56+05:30</t>
  </si>
  <si>
    <t>mq5cmpxnxgg726b@marketplace.amazon.in</t>
  </si>
  <si>
    <t>Ladwa</t>
  </si>
  <si>
    <t>406-8966502-0058744</t>
  </si>
  <si>
    <t>T1HwKCnw9</t>
  </si>
  <si>
    <t>D1tbX3gxcd06R</t>
  </si>
  <si>
    <t>2026-07-11T18:36:00+05:30</t>
  </si>
  <si>
    <t>2026-07-11T20:37:43+05:30</t>
  </si>
  <si>
    <t>2026-07-11T23:37:55+05:30</t>
  </si>
  <si>
    <t>b20lhrm6kb95d9s@marketplace.amazon.in</t>
  </si>
  <si>
    <t>403-1115202-0786753</t>
  </si>
  <si>
    <t>TV4v0QqT9</t>
  </si>
  <si>
    <t>DzJQXRgvcy0hR</t>
  </si>
  <si>
    <t>2026-07-11T10:52:12+05:30</t>
  </si>
  <si>
    <t>2026-07-11T20:31:41+05:30</t>
  </si>
  <si>
    <t>2026-07-11T20:31:44+05:30</t>
  </si>
  <si>
    <t>2026-07-11T21:31:55+05:30</t>
  </si>
  <si>
    <t>v7pztc8fln9ygb9@marketplace.amazon.in</t>
  </si>
  <si>
    <t>PHIRANGIPURAM</t>
  </si>
  <si>
    <t>171-1452865-9433945</t>
  </si>
  <si>
    <t>TNMf42ns9</t>
  </si>
  <si>
    <t>DQ4VCDg9cY0HR</t>
  </si>
  <si>
    <t>2026-07-11T13:09:28+05:30</t>
  </si>
  <si>
    <t>2026-07-11T20:26:39+05:30</t>
  </si>
  <si>
    <t>2026-07-11T23:26:51+05:30</t>
  </si>
  <si>
    <t>hgl91vcv3tdhwc2@marketplace.amazon.in</t>
  </si>
  <si>
    <t>404-0789837-8536368</t>
  </si>
  <si>
    <t>TNrY1VnL9</t>
  </si>
  <si>
    <t>D34QCTgHcY0HR</t>
  </si>
  <si>
    <t>2026-07-11T15:06:22+05:30</t>
  </si>
  <si>
    <t>2026-07-11T20:25:44+05:30</t>
  </si>
  <si>
    <t>2026-07-11T20:25:48+05:30</t>
  </si>
  <si>
    <t>2026-07-11T21:26:05+05:30</t>
  </si>
  <si>
    <t>4tkm9nhkw11ckt7@marketplace.amazon.in</t>
  </si>
  <si>
    <t>171-6278997-3165129</t>
  </si>
  <si>
    <t>TnKdPCnQ9</t>
  </si>
  <si>
    <t>DJQlCBgrcG0gR</t>
  </si>
  <si>
    <t>2026-07-11T17:08:42+05:30</t>
  </si>
  <si>
    <t>2026-07-11T20:19:43+05:30</t>
  </si>
  <si>
    <t>2026-07-11T23:19:56+05:30</t>
  </si>
  <si>
    <t>y0shmxmfwbx9hvc@marketplace.amazon.in</t>
  </si>
  <si>
    <t>408-0753513-5338700</t>
  </si>
  <si>
    <t>TChPDNn99</t>
  </si>
  <si>
    <t>DvzVCbgkc00fR</t>
  </si>
  <si>
    <t>2026-07-11T14:02:07+05:30</t>
  </si>
  <si>
    <t>2026-07-11T20:19:40+05:30</t>
  </si>
  <si>
    <t>2026-07-11T21:19:55+05:30</t>
  </si>
  <si>
    <t>k6jsm8hncfmw0t1@marketplace.amazon.in</t>
  </si>
  <si>
    <t>406-7622071-3293910</t>
  </si>
  <si>
    <t>TN5vQynV9</t>
  </si>
  <si>
    <t>DfptC4gLcY0pR</t>
  </si>
  <si>
    <t>2026-07-11T15:08:08+05:30</t>
  </si>
  <si>
    <t>2026-07-11T20:17:42+05:30</t>
  </si>
  <si>
    <t>2026-07-11T23:17:56+05:30</t>
  </si>
  <si>
    <t>200k908mnsdybc0@marketplace.amazon.in</t>
  </si>
  <si>
    <t>171-6465980-0766755</t>
  </si>
  <si>
    <t>TXH7nDSn4</t>
  </si>
  <si>
    <t>DpnQCng6cl0XR</t>
  </si>
  <si>
    <t>2026-07-08T22:49:36+05:30</t>
  </si>
  <si>
    <t>2026-07-11T20:14:47+05:30</t>
  </si>
  <si>
    <t>2026-07-11T23:14:58+05:30</t>
  </si>
  <si>
    <t>r1g9kdt8h4sqw14@marketplace.amazon.in</t>
  </si>
  <si>
    <t>171-7856929-5817167</t>
  </si>
  <si>
    <t>TJ6Rttnp9</t>
  </si>
  <si>
    <t>Dx4ppzgpch0mR</t>
  </si>
  <si>
    <t>2026-07-11T12:53:11+05:30</t>
  </si>
  <si>
    <t>2026-07-11T20:12:42+05:30</t>
  </si>
  <si>
    <t>2026-07-11T20:12:45+05:30</t>
  </si>
  <si>
    <t>2026-07-11T21:12:55+05:30</t>
  </si>
  <si>
    <t>1nsb1wynkzgk1bg@marketplace.amazon.in</t>
  </si>
  <si>
    <t>VILLUKURI</t>
  </si>
  <si>
    <t>402-4194213-2508369</t>
  </si>
  <si>
    <t>TwXzQbnR9</t>
  </si>
  <si>
    <t>DZslp2gYcz04R</t>
  </si>
  <si>
    <t>2026-07-11T13:58:15+05:30</t>
  </si>
  <si>
    <t>2026-07-11T19:59:47+05:30</t>
  </si>
  <si>
    <t>2026-07-11T23:00:02+05:30</t>
  </si>
  <si>
    <t>1fm2ngh4ln3pjv6@marketplace.amazon.in</t>
  </si>
  <si>
    <t>402-3755257-2301110</t>
  </si>
  <si>
    <t>TV7mpdKX4</t>
  </si>
  <si>
    <t>D2s7pXgtcT04R</t>
  </si>
  <si>
    <t>2026-07-10T12:25:14+05:30</t>
  </si>
  <si>
    <t>2026-07-11T19:55:49+05:30</t>
  </si>
  <si>
    <t>2026-07-11T19:55:51+05:30</t>
  </si>
  <si>
    <t>2026-07-11T20:56:02+05:30</t>
  </si>
  <si>
    <t>tl58tlvt2q9fsfy@marketplace.amazon.in</t>
  </si>
  <si>
    <t>404-0338512-9068317</t>
  </si>
  <si>
    <t>T3fscdK64</t>
  </si>
  <si>
    <t>D7XJWPgScQ0ZR</t>
  </si>
  <si>
    <t>2026-07-08T13:54:39+05:30</t>
  </si>
  <si>
    <t>2026-07-11T19:55:47+05:30</t>
  </si>
  <si>
    <t>2026-07-11T22:56:01+05:30</t>
  </si>
  <si>
    <t>4psz93k2098w4b4@marketplace.amazon.in</t>
  </si>
  <si>
    <t>Kokapet</t>
  </si>
  <si>
    <t>406-7269582-8147525</t>
  </si>
  <si>
    <t>TVTPcJPL9</t>
  </si>
  <si>
    <t>D8DRWSgGcZ0gR</t>
  </si>
  <si>
    <t>2026-07-10T16:15:20+05:30</t>
  </si>
  <si>
    <t>2026-07-11T19:50:42+05:30</t>
  </si>
  <si>
    <t>2026-07-11T19:50:45+05:30</t>
  </si>
  <si>
    <t>2026-07-11T20:50:56+05:30</t>
  </si>
  <si>
    <t>jr3x6ggh4skffy8@marketplace.amazon.in</t>
  </si>
  <si>
    <t>407-1950864-9533930</t>
  </si>
  <si>
    <t>T39XcVPl9</t>
  </si>
  <si>
    <t>D13rW8gCcm00R</t>
  </si>
  <si>
    <t>2026-07-06T10:27:57+05:30</t>
  </si>
  <si>
    <t>2026-07-11T19:49:48+05:30</t>
  </si>
  <si>
    <t>2026-07-11T22:50:00+05:30</t>
  </si>
  <si>
    <t>1j6s0jgn7tr5f0l@marketplace.amazon.in</t>
  </si>
  <si>
    <t>405-6076470-5834736</t>
  </si>
  <si>
    <t>TC2VMCnH9</t>
  </si>
  <si>
    <t>DwGJWWgqcc0gR</t>
  </si>
  <si>
    <t>2026-07-11T15:52:52+05:30</t>
  </si>
  <si>
    <t>2026-07-11T19:41:43+05:30</t>
  </si>
  <si>
    <t>2026-07-11T22:41:54+05:30</t>
  </si>
  <si>
    <t>ysqgjdx1gkw8kwg@marketplace.amazon.in</t>
  </si>
  <si>
    <t>405-3767101-0345105</t>
  </si>
  <si>
    <t>T1c3zm484</t>
  </si>
  <si>
    <t>DtblmTg2cY0fR</t>
  </si>
  <si>
    <t>2026-07-07T19:59:26+05:30</t>
  </si>
  <si>
    <t>2026-07-11T19:18:47+05:30</t>
  </si>
  <si>
    <t>2026-07-11T22:19:00+05:30</t>
  </si>
  <si>
    <t>8b3rxhqf8xcbj9l@marketplace.amazon.in</t>
  </si>
  <si>
    <t>407-5798958-0277143</t>
  </si>
  <si>
    <t>TVZ3RTXL4</t>
  </si>
  <si>
    <t>DNbdmfgwcY0fR</t>
  </si>
  <si>
    <t>2026-07-07T12:53:20+05:30</t>
  </si>
  <si>
    <t>2026-07-11T19:17:43+05:30</t>
  </si>
  <si>
    <t>2026-07-11T22:17:55+05:30</t>
  </si>
  <si>
    <t>b19sz55j5xntw9y@marketplace.amazon.in</t>
  </si>
  <si>
    <t>404-9537881-3934727</t>
  </si>
  <si>
    <t>Tc9TXnKj4</t>
  </si>
  <si>
    <t>DNmVmggMcy0dR</t>
  </si>
  <si>
    <t>2026-07-10T11:11:58+05:30</t>
  </si>
  <si>
    <t>2026-07-11T19:16:46+05:30</t>
  </si>
  <si>
    <t>2026-07-11T22:16:58+05:30</t>
  </si>
  <si>
    <t>m7wpw20nccsn28g@marketplace.amazon.in</t>
  </si>
  <si>
    <t>403-7673543-1109104</t>
  </si>
  <si>
    <t>TCNY9Hnw9</t>
  </si>
  <si>
    <t>DdtBmFg5cG0CR</t>
  </si>
  <si>
    <t>2026-07-11T13:19:41+05:30</t>
  </si>
  <si>
    <t>2026-07-11T19:13:46+05:30</t>
  </si>
  <si>
    <t>2026-07-11T19:13:48+05:30</t>
  </si>
  <si>
    <t>2026-07-11T20:14:03+05:30</t>
  </si>
  <si>
    <t>53l56r67gtjr8xh@marketplace.amazon.in</t>
  </si>
  <si>
    <t>404-0800679-3861911</t>
  </si>
  <si>
    <t>TJkkBZnF9</t>
  </si>
  <si>
    <t>D0lRmFgCc907R</t>
  </si>
  <si>
    <t>2026-07-11T14:10:02+05:30</t>
  </si>
  <si>
    <t>2026-07-11T19:07:42+05:30</t>
  </si>
  <si>
    <t>2026-07-11T22:07:53+05:30</t>
  </si>
  <si>
    <t>hbmm99kh6v99t9q@marketplace.amazon.in</t>
  </si>
  <si>
    <t>408-5690637-5336355</t>
  </si>
  <si>
    <t>TNkC2vnl9</t>
  </si>
  <si>
    <t>DvnJ0Qgsc706R</t>
  </si>
  <si>
    <t>2026-07-11T13:54:08+05:30</t>
  </si>
  <si>
    <t>2026-07-11T18:34:44+05:30</t>
  </si>
  <si>
    <t>2026-07-11T21:35:00+05:30</t>
  </si>
  <si>
    <t>pdr03yxmyk5zfv2@marketplace.amazon.in</t>
  </si>
  <si>
    <t>405-1969437-9721961</t>
  </si>
  <si>
    <t>TnBTQlnk9</t>
  </si>
  <si>
    <t>DBRSSDgXcl0SR</t>
  </si>
  <si>
    <t>2026-07-11T14:02:49+05:30</t>
  </si>
  <si>
    <t>2026-07-11T18:15:46+05:30</t>
  </si>
  <si>
    <t>2026-07-11T21:15:58+05:30</t>
  </si>
  <si>
    <t>9jcg95qt90bjxc4@marketplace.amazon.in</t>
  </si>
  <si>
    <t>171-2422455-9891549</t>
  </si>
  <si>
    <t>TcmbVtnk9</t>
  </si>
  <si>
    <t>DTqtSLg8cz0hR</t>
  </si>
  <si>
    <t>2026-07-11T14:43:17+05:30</t>
  </si>
  <si>
    <t>2026-07-11T18:15:45+05:30</t>
  </si>
  <si>
    <t>n53h3dj9tnpwqw3@marketplace.amazon.in</t>
  </si>
  <si>
    <t>HALISAHAR</t>
  </si>
  <si>
    <t>171-8014638-0037949</t>
  </si>
  <si>
    <t>T6d6ntnw9</t>
  </si>
  <si>
    <t>DmqJS9gWcz0hR</t>
  </si>
  <si>
    <t>2026-07-11T17:02:26+05:30</t>
  </si>
  <si>
    <t>2026-07-11T18:14:45+05:30</t>
  </si>
  <si>
    <t>2026-07-11T21:15:00+05:30</t>
  </si>
  <si>
    <t>vqhj7xxhhjl2bzv@marketplace.amazon.in</t>
  </si>
  <si>
    <t>404-4564889-9755563</t>
  </si>
  <si>
    <t>T307yyq79</t>
  </si>
  <si>
    <t>D7jH60gRcj0QR</t>
  </si>
  <si>
    <t>2026-07-09T22:20:23+05:30</t>
  </si>
  <si>
    <t>2026-07-11T18:07:41+05:30</t>
  </si>
  <si>
    <t>2026-07-11T21:07:52+05:30</t>
  </si>
  <si>
    <t>6nqszchwvwvk2mb@marketplace.amazon.in</t>
  </si>
  <si>
    <t>403-8046865-7125151</t>
  </si>
  <si>
    <t>TCVwr3qr9</t>
  </si>
  <si>
    <t>Dwhk6Jgncf0YR</t>
  </si>
  <si>
    <t>2026-07-11T00:49:48+05:30</t>
  </si>
  <si>
    <t>2026-07-11T18:01:44+05:30</t>
  </si>
  <si>
    <t>2026-07-11T21:01:56+05:30</t>
  </si>
  <si>
    <t>sxb6f60fwbr19bd@marketplace.amazon.in</t>
  </si>
  <si>
    <t>405-1957996-4393135</t>
  </si>
  <si>
    <t>Tn5JCNys4</t>
  </si>
  <si>
    <t>DcYD6qgZc90wR</t>
  </si>
  <si>
    <t>2026-07-07T15:39:56+05:30</t>
  </si>
  <si>
    <t>2026-07-11T17:59:44+05:30</t>
  </si>
  <si>
    <t>2026-07-11T20:59:57+05:30</t>
  </si>
  <si>
    <t>ywv1hz9x7hxhxjh@marketplace.amazon.in</t>
  </si>
  <si>
    <t>171-6922740-7697947</t>
  </si>
  <si>
    <t>Tg4y49KN4</t>
  </si>
  <si>
    <t>DhpV60gKcs0RR</t>
  </si>
  <si>
    <t>2026-07-09T20:29:14+05:30</t>
  </si>
  <si>
    <t>2026-07-11T17:56:43+05:30</t>
  </si>
  <si>
    <t>2026-07-11T20:56:55+05:30</t>
  </si>
  <si>
    <t>w42420tw3s5vg6x@marketplace.amazon.in</t>
  </si>
  <si>
    <t>405-7719909-2066708</t>
  </si>
  <si>
    <t>TwJNntn39</t>
  </si>
  <si>
    <t>D6cjd3gzcZ07R</t>
  </si>
  <si>
    <t>2026-07-11T16:19:38+05:30</t>
  </si>
  <si>
    <t>2026-07-11T17:44:45+05:30</t>
  </si>
  <si>
    <t>2026-07-11T20:45:00+05:30</t>
  </si>
  <si>
    <t>q8rbrqgmqm1tbj0@marketplace.amazon.in</t>
  </si>
  <si>
    <t>403-7715516-6684338</t>
  </si>
  <si>
    <t>TN15kqnS9</t>
  </si>
  <si>
    <t>DymDGMgvcP04R</t>
  </si>
  <si>
    <t>2026-07-11T11:59:18+05:30</t>
  </si>
  <si>
    <t>2026-07-11T17:35:45+05:30</t>
  </si>
  <si>
    <t>2026-07-11T20:35:59+05:30</t>
  </si>
  <si>
    <t>8sv60tr0gjlx8jy@marketplace.amazon.in</t>
  </si>
  <si>
    <t>404-8477361-1547563</t>
  </si>
  <si>
    <t>TVkvRrqV9</t>
  </si>
  <si>
    <t>DkWpG1glcF0bR</t>
  </si>
  <si>
    <t>2026-07-10T21:06:50+05:30</t>
  </si>
  <si>
    <t>2026-07-11T17:27:48+05:30</t>
  </si>
  <si>
    <t>2026-07-11T20:28:04+05:30</t>
  </si>
  <si>
    <t>jtx4gmmkkjzffbx@marketplace.amazon.in</t>
  </si>
  <si>
    <t>171-4785684-7420337</t>
  </si>
  <si>
    <t>Tw4TH0nd9</t>
  </si>
  <si>
    <t>DkpKG7g1cB0CR</t>
  </si>
  <si>
    <t>2026-07-11T14:20:52+05:30</t>
  </si>
  <si>
    <t>2026-07-11T17:19:47+05:30</t>
  </si>
  <si>
    <t>2026-07-11T20:19:59+05:30</t>
  </si>
  <si>
    <t>gxkc6mmrgwv1kr5@marketplace.amazon.in</t>
  </si>
  <si>
    <t>171-5841284-9856341</t>
  </si>
  <si>
    <t>TJjZ8pqV9</t>
  </si>
  <si>
    <t>Dq2htkgWcV07R</t>
  </si>
  <si>
    <t>2026-07-11T09:38:17+05:30</t>
  </si>
  <si>
    <t>2026-07-11T17:14:47+05:30</t>
  </si>
  <si>
    <t>2026-07-11T20:15:03+05:30</t>
  </si>
  <si>
    <t>jpfbj7bstjcy5bd@marketplace.amazon.in</t>
  </si>
  <si>
    <t>404-1307539-7829157</t>
  </si>
  <si>
    <t>TngshNqN9</t>
  </si>
  <si>
    <t>DDFXPGgscy0fR</t>
  </si>
  <si>
    <t>2026-07-11T10:42:40+05:30</t>
  </si>
  <si>
    <t>2026-07-11T17:01:51+05:30</t>
  </si>
  <si>
    <t>2026-07-11T20:02:09+05:30</t>
  </si>
  <si>
    <t>45nyhpgpn6510b2@marketplace.amazon.in</t>
  </si>
  <si>
    <t>408-8689419-1586730</t>
  </si>
  <si>
    <t>TCqWbJnw9</t>
  </si>
  <si>
    <t>Dsw4P6gkcj0ZR</t>
  </si>
  <si>
    <t>2026-07-11T12:15:51+05:30</t>
  </si>
  <si>
    <t>2026-07-11T16:58:47+05:30</t>
  </si>
  <si>
    <t>2026-07-11T19:59:00+05:30</t>
  </si>
  <si>
    <t>zf98z46s2n6jcw6@marketplace.amazon.in</t>
  </si>
  <si>
    <t>405-7770710-6531539</t>
  </si>
  <si>
    <t>TnngjMNC4</t>
  </si>
  <si>
    <t>Dx1lPngpc90JR</t>
  </si>
  <si>
    <t>2026-07-08T12:22:06+05:30</t>
  </si>
  <si>
    <t>2026-07-11T20:02:38+05:30</t>
  </si>
  <si>
    <t>62rs9s27221h52d@marketplace.amazon.in</t>
  </si>
  <si>
    <t>DEHU</t>
  </si>
  <si>
    <t>405-1834477-1982705</t>
  </si>
  <si>
    <t>TGQsQ1nf9</t>
  </si>
  <si>
    <t>DlWGP7gTch0mR</t>
  </si>
  <si>
    <t>2026-07-11T13:57:53+05:30</t>
  </si>
  <si>
    <t>2026-07-11T16:55:46+05:30</t>
  </si>
  <si>
    <t>2026-07-11T19:55:57+05:30</t>
  </si>
  <si>
    <t>0jy6cqbghl6tzn1@marketplace.amazon.in</t>
  </si>
  <si>
    <t>403-0768213-8697951</t>
  </si>
  <si>
    <t>TVpVb4nV9</t>
  </si>
  <si>
    <t>DF5hTLgRcv0xR</t>
  </si>
  <si>
    <t>2026-07-11T12:09:29+05:30</t>
  </si>
  <si>
    <t>2026-07-11T16:46:48+05:30</t>
  </si>
  <si>
    <t>2026-07-11T16:46:51+05:30</t>
  </si>
  <si>
    <t>2026-07-11T17:47:06+05:30</t>
  </si>
  <si>
    <t>r9n6hp1bmnbmglz@marketplace.amazon.in</t>
  </si>
  <si>
    <t>Madhurawada</t>
  </si>
  <si>
    <t>406-2886031-5490759</t>
  </si>
  <si>
    <t>TgmswYnx9</t>
  </si>
  <si>
    <t>D4wBTqgNcJ0BR</t>
  </si>
  <si>
    <t>2026-07-11T15:07:32+05:30</t>
  </si>
  <si>
    <t>2026-07-11T16:37:42+05:30</t>
  </si>
  <si>
    <t>2026-07-11T19:37:53+05:30</t>
  </si>
  <si>
    <t>405-5928784-1825958</t>
  </si>
  <si>
    <t>T3RSpjKj4</t>
  </si>
  <si>
    <t>DFLcTwgxcC0cR</t>
  </si>
  <si>
    <t>2026-07-10T11:24:30+05:30</t>
  </si>
  <si>
    <t>2026-07-11T16:32:52+05:30</t>
  </si>
  <si>
    <t>2026-07-11T19:33:08+05:30</t>
  </si>
  <si>
    <t>fnbpngy8stvwszm@marketplace.amazon.in</t>
  </si>
  <si>
    <t>171-6286575-5734769</t>
  </si>
  <si>
    <t>TVH095q29</t>
  </si>
  <si>
    <t>DdGVTBg7cS0NR</t>
  </si>
  <si>
    <t>2026-07-10T22:43:27+05:30</t>
  </si>
  <si>
    <t>2026-07-11T16:30:51+05:30</t>
  </si>
  <si>
    <t>2026-07-11T19:31:03+05:30</t>
  </si>
  <si>
    <t>17j64glhcckkbrd@marketplace.amazon.in</t>
  </si>
  <si>
    <t>405-2952937-0886743</t>
  </si>
  <si>
    <t>TVTQQQnG9</t>
  </si>
  <si>
    <t>DBrkTLgxc10rR</t>
  </si>
  <si>
    <t>2026-07-11T13:42:11+05:30</t>
  </si>
  <si>
    <t>2026-07-11T16:29:53+05:30</t>
  </si>
  <si>
    <t>2026-07-11T19:30:09+05:30</t>
  </si>
  <si>
    <t>fx31fgbfp11htrw@marketplace.amazon.in</t>
  </si>
  <si>
    <t>171-4353412-9214704</t>
  </si>
  <si>
    <t>T1Qv8dPX9</t>
  </si>
  <si>
    <t>DZzmnvgWcg0dR</t>
  </si>
  <si>
    <t>2026-07-10T20:31:53+05:30</t>
  </si>
  <si>
    <t>2026-07-11T16:18:44+05:30</t>
  </si>
  <si>
    <t>2026-07-11T19:18:55+05:30</t>
  </si>
  <si>
    <t>4qwqvwvld5fyzly@marketplace.amazon.in</t>
  </si>
  <si>
    <t>HIMMATNAGAR</t>
  </si>
  <si>
    <t>171-2470280-8551552</t>
  </si>
  <si>
    <t>T6drBPnq9</t>
  </si>
  <si>
    <t>DvLRnygkcn0VR</t>
  </si>
  <si>
    <t>2026-07-11T13:30:47+05:30</t>
  </si>
  <si>
    <t>2026-07-11T16:18:43+05:30</t>
  </si>
  <si>
    <t>r10g55bjvtkd0d0@marketplace.amazon.in</t>
  </si>
  <si>
    <t>408-4034632-7176349</t>
  </si>
  <si>
    <t>TGv7XwPB9</t>
  </si>
  <si>
    <t>DHK1x2gkcW0YR</t>
  </si>
  <si>
    <t>2026-07-08T16:22:42+05:30</t>
  </si>
  <si>
    <t>2026-07-11T16:12:53+05:30</t>
  </si>
  <si>
    <t>2026-07-11T19:13:04+05:30</t>
  </si>
  <si>
    <t>f130cpwrccdcqhw@marketplace.amazon.in</t>
  </si>
  <si>
    <t>RAYACHOTI</t>
  </si>
  <si>
    <t>404-3331549-9414752</t>
  </si>
  <si>
    <t>TG6q50qT9</t>
  </si>
  <si>
    <t>Dnzjx4g0cX0YR</t>
  </si>
  <si>
    <t>2026-07-11T12:11:50+05:30</t>
  </si>
  <si>
    <t>2026-07-11T16:00:49+05:30</t>
  </si>
  <si>
    <t>2026-07-11T19:01:01+05:30</t>
  </si>
  <si>
    <t>595yqrw8tc3tfzg@marketplace.amazon.in</t>
  </si>
  <si>
    <t>403-7490449-0302711</t>
  </si>
  <si>
    <t>T1cV93qQ9</t>
  </si>
  <si>
    <t>D85Y3YgRcF0TR</t>
  </si>
  <si>
    <t>2026-07-10T22:38:14+05:30</t>
  </si>
  <si>
    <t>2026-07-11T15:57:56+05:30</t>
  </si>
  <si>
    <t>2026-07-11T18:58:15+05:30</t>
  </si>
  <si>
    <t>zvf3772qldrf606@marketplace.amazon.in</t>
  </si>
  <si>
    <t>Banavara</t>
  </si>
  <si>
    <t>407-7225525-7788313</t>
  </si>
  <si>
    <t>TVLC5nqD9</t>
  </si>
  <si>
    <t>DnRPxkgDct0pR</t>
  </si>
  <si>
    <t>2026-07-11T12:11:04+05:30</t>
  </si>
  <si>
    <t>2026-07-11T15:55:45+05:30</t>
  </si>
  <si>
    <t>2026-07-11T18:55:57+05:30</t>
  </si>
  <si>
    <t>406-7203397-8807502</t>
  </si>
  <si>
    <t>TwtJjYqP9</t>
  </si>
  <si>
    <t>DQct37gHcN0XR</t>
  </si>
  <si>
    <t>2026-07-11T03:41:23+05:30</t>
  </si>
  <si>
    <t>2026-07-11T15:44:48+05:30</t>
  </si>
  <si>
    <t>2026-07-11T18:45:01+05:30</t>
  </si>
  <si>
    <t>k1yws2ptmnrjhfl@marketplace.amazon.in</t>
  </si>
  <si>
    <t>402-0132256-4082730</t>
  </si>
  <si>
    <t>T1YMN7KS4</t>
  </si>
  <si>
    <t>DFZcJ1gDcy0RR</t>
  </si>
  <si>
    <t>2026-07-09T23:08:33+05:30</t>
  </si>
  <si>
    <t>2026-07-11T15:29:44+05:30</t>
  </si>
  <si>
    <t>2026-07-11T18:29:56+05:30</t>
  </si>
  <si>
    <t>b1xklqqqpg8175v@marketplace.amazon.in</t>
  </si>
  <si>
    <t>ACHABAL</t>
  </si>
  <si>
    <t>403-8510807-7299506</t>
  </si>
  <si>
    <t>TXwT8mqx9</t>
  </si>
  <si>
    <t>D89WJSgfcT0tR</t>
  </si>
  <si>
    <t>2026-07-11T09:55:43+05:30</t>
  </si>
  <si>
    <t>2026-07-11T15:26:44+05:30</t>
  </si>
  <si>
    <t>2026-07-11T18:26:56+05:30</t>
  </si>
  <si>
    <t>k939b6fflwzw780@marketplace.amazon.in</t>
  </si>
  <si>
    <t>404-9001781-1178702</t>
  </si>
  <si>
    <t>TVfMhbNq4</t>
  </si>
  <si>
    <t>D7ppJTgRcw0TR</t>
  </si>
  <si>
    <t>2026-07-06T17:52:40+05:30</t>
  </si>
  <si>
    <t>2026-07-11T15:21:10+05:30</t>
  </si>
  <si>
    <t>2026-07-11T18:21:52+05:30</t>
  </si>
  <si>
    <t>p9n5rqf99mb997j@marketplace.amazon.in</t>
  </si>
  <si>
    <t>406-1295100-4141139</t>
  </si>
  <si>
    <t>TnY2xHq39</t>
  </si>
  <si>
    <t>DF431Hg9cM0BR</t>
  </si>
  <si>
    <t>2026-07-11T00:43:28+05:30</t>
  </si>
  <si>
    <t>2026-07-11T15:03:43+05:30</t>
  </si>
  <si>
    <t>2026-07-11T15:03:46+05:30</t>
  </si>
  <si>
    <t>2026-07-11T16:03:58+05:30</t>
  </si>
  <si>
    <t>ftd327b17lfwx12@marketplace.amazon.in</t>
  </si>
  <si>
    <t>402-9322868-4836316</t>
  </si>
  <si>
    <t>TNbQ9nnd9</t>
  </si>
  <si>
    <t>DM1SrVgrcf0FR</t>
  </si>
  <si>
    <t>2026-07-11T13:01:04+05:30</t>
  </si>
  <si>
    <t>2026-07-11T14:41:45+05:30</t>
  </si>
  <si>
    <t>2026-07-11T17:41:56+05:30</t>
  </si>
  <si>
    <t>s0c7yz7781wyznl@marketplace.amazon.in</t>
  </si>
  <si>
    <t>Anakapalli</t>
  </si>
  <si>
    <t>404-4363581-0678723</t>
  </si>
  <si>
    <t>T1tMNPnK9</t>
  </si>
  <si>
    <t>DpwKrFgMcH09R</t>
  </si>
  <si>
    <t>2026-07-11T12:25:33+05:30</t>
  </si>
  <si>
    <t>2026-07-11T14:39:42+05:30</t>
  </si>
  <si>
    <t>2026-07-11T14:39:44+05:30</t>
  </si>
  <si>
    <t>2026-07-11T15:39:56+05:30</t>
  </si>
  <si>
    <t>wrxgzgcc80q2c6c@marketplace.amazon.in</t>
  </si>
  <si>
    <t>405-5154225-0954724</t>
  </si>
  <si>
    <t>Twb7TfSH4</t>
  </si>
  <si>
    <t>DSd8r2gcc104R</t>
  </si>
  <si>
    <t>2026-07-08T23:11:05+05:30</t>
  </si>
  <si>
    <t>2026-07-11T14:34:44+05:30</t>
  </si>
  <si>
    <t>2026-07-11T17:34:55+05:30</t>
  </si>
  <si>
    <t>b6xwbc545gld57q@marketplace.amazon.in</t>
  </si>
  <si>
    <t>TIRURANGADI</t>
  </si>
  <si>
    <t>402-8799826-5293161</t>
  </si>
  <si>
    <t>TXQb7RXD4</t>
  </si>
  <si>
    <t>DJlVrhgKcd0XR</t>
  </si>
  <si>
    <t>2026-07-09T19:08:19+05:30</t>
  </si>
  <si>
    <t>2026-07-11T14:33:47+05:30</t>
  </si>
  <si>
    <t>2026-07-11T17:34:00+05:30</t>
  </si>
  <si>
    <t>wt8x7q5ttks9hx4@marketplace.amazon.in</t>
  </si>
  <si>
    <t>ANUPSHAHR</t>
  </si>
  <si>
    <t>407-3693399-0369930</t>
  </si>
  <si>
    <t>TgsBMk554</t>
  </si>
  <si>
    <t>DpSg7pgSc60kR</t>
  </si>
  <si>
    <t>2026-07-08T16:07:46+05:30</t>
  </si>
  <si>
    <t>2026-07-11T14:29:55+05:30</t>
  </si>
  <si>
    <t>2026-07-11T17:30:06+05:30</t>
  </si>
  <si>
    <t>116f54r481lhbvn@marketplace.amazon.in</t>
  </si>
  <si>
    <t>405-7773011-1791516</t>
  </si>
  <si>
    <t>TCVLNlnd9</t>
  </si>
  <si>
    <t>DTtv7hgXcv0JR</t>
  </si>
  <si>
    <t>2026-07-11T11:51:43+05:30</t>
  </si>
  <si>
    <t>2026-07-11T14:24:41+05:30</t>
  </si>
  <si>
    <t>2026-07-11T17:24:53+05:30</t>
  </si>
  <si>
    <t>7f34xpf1cl0kdkc@marketplace.amazon.in</t>
  </si>
  <si>
    <t>2026-07-11T20:00:00+05:30</t>
  </si>
  <si>
    <t>402-6153019-6177901</t>
  </si>
  <si>
    <t>TXcgtS5S4</t>
  </si>
  <si>
    <t>DDkJLPgGck05R</t>
  </si>
  <si>
    <t>2026-07-08T10:20:28+05:30</t>
  </si>
  <si>
    <t>2026-07-11T14:12:48+05:30</t>
  </si>
  <si>
    <t>2026-07-11T17:12:59+05:30</t>
  </si>
  <si>
    <t>vpb5k661hmh393p@marketplace.amazon.in</t>
  </si>
  <si>
    <t>403-2775282-1824312</t>
  </si>
  <si>
    <t>TwDjXMq29</t>
  </si>
  <si>
    <t>DMdwLcgbc90dR</t>
  </si>
  <si>
    <t>2026-07-11T09:31:51+05:30</t>
  </si>
  <si>
    <t>2026-07-11T13:59:44+05:30</t>
  </si>
  <si>
    <t>2026-07-11T16:59:57+05:30</t>
  </si>
  <si>
    <t>dgj2tl5h5517b33@marketplace.amazon.in</t>
  </si>
  <si>
    <t>BHUNTAR</t>
  </si>
  <si>
    <t>406-0745122-5162718</t>
  </si>
  <si>
    <t>Tnl7R3nr9</t>
  </si>
  <si>
    <t>DQ42sygpcz08R</t>
  </si>
  <si>
    <t>2026-07-11T11:19:15+05:30</t>
  </si>
  <si>
    <t>2026-07-11T13:52:47+05:30</t>
  </si>
  <si>
    <t>2026-07-11T16:52:58+05:30</t>
  </si>
  <si>
    <t>1g50zyvc55fxx9j@marketplace.amazon.in</t>
  </si>
  <si>
    <t>PARTAPUR INDUSTRIAL AREA</t>
  </si>
  <si>
    <t>408-9624667-7121121</t>
  </si>
  <si>
    <t>TJhrtmqW9</t>
  </si>
  <si>
    <t>DfZTswg7cQ0vR</t>
  </si>
  <si>
    <t>2026-07-11T05:44:16+05:30</t>
  </si>
  <si>
    <t>2026-07-11T13:49:46+05:30</t>
  </si>
  <si>
    <t>2026-07-11T16:50:00+05:30</t>
  </si>
  <si>
    <t>8s6zfrvg09g1133@marketplace.amazon.in</t>
  </si>
  <si>
    <t>KHARAGPUR</t>
  </si>
  <si>
    <t>406-7739548-4813927</t>
  </si>
  <si>
    <t>TcqXRznQ9</t>
  </si>
  <si>
    <t>DLZgswgpc60tR</t>
  </si>
  <si>
    <t>2026-07-11T10:56:46+05:30</t>
  </si>
  <si>
    <t>2026-07-11T13:48:28+05:30</t>
  </si>
  <si>
    <t>2026-07-11T13:48:31+05:30</t>
  </si>
  <si>
    <t>2026-07-11T14:48:41+05:30</t>
  </si>
  <si>
    <t>mr97yc8mqw84njq@marketplace.amazon.in</t>
  </si>
  <si>
    <t>171-3305697-3836314</t>
  </si>
  <si>
    <t>TwgpXpPT9</t>
  </si>
  <si>
    <t>DzxTs0g7cm0fR</t>
  </si>
  <si>
    <t>2026-07-10T20:00:55+05:30</t>
  </si>
  <si>
    <t>2026-07-11T13:39:49+05:30</t>
  </si>
  <si>
    <t>2026-07-11T13:39:52+05:30</t>
  </si>
  <si>
    <t>2026-07-11T14:40:03+05:30</t>
  </si>
  <si>
    <t>756hx0962fkzbz0@marketplace.amazon.in</t>
  </si>
  <si>
    <t>408-7220658-2242768</t>
  </si>
  <si>
    <t>TgDcpwqt9</t>
  </si>
  <si>
    <t>DrDPQkgzcT0ZR</t>
  </si>
  <si>
    <t>2026-07-11T12:18:46+05:30</t>
  </si>
  <si>
    <t>2026-07-11T13:36:46+05:30</t>
  </si>
  <si>
    <t>2026-07-11T16:36:58+05:30</t>
  </si>
  <si>
    <t>8c2fjym0rjrb41k@marketplace.amazon.in</t>
  </si>
  <si>
    <t>BELLARY</t>
  </si>
  <si>
    <t>408-3727282-4092356</t>
  </si>
  <si>
    <t>TXKK97qb9</t>
  </si>
  <si>
    <t>D4RNQFgzcB0SR</t>
  </si>
  <si>
    <t>2026-07-10T22:55:12+05:30</t>
  </si>
  <si>
    <t>2026-07-11T13:26:44+05:30</t>
  </si>
  <si>
    <t>2026-07-11T13:26:47+05:30</t>
  </si>
  <si>
    <t>2026-07-11T14:27:03+05:30</t>
  </si>
  <si>
    <t>r2jctynsx4jz79c@marketplace.amazon.in</t>
  </si>
  <si>
    <t>BARABANKI</t>
  </si>
  <si>
    <t>404-7747448-9993961</t>
  </si>
  <si>
    <t>T6j6LyXz4</t>
  </si>
  <si>
    <t>DvB5c0g9cD0fR</t>
  </si>
  <si>
    <t>2026-07-09T18:00:03+05:30</t>
  </si>
  <si>
    <t>2026-07-11T13:18:45+05:30</t>
  </si>
  <si>
    <t>2026-07-11T16:18:57+05:30</t>
  </si>
  <si>
    <t>slh50lv9k8wv0fs@marketplace.amazon.in</t>
  </si>
  <si>
    <t>404-3756959-5401129</t>
  </si>
  <si>
    <t>T6hrByqB9</t>
  </si>
  <si>
    <t>DKFKvLgNc70CR</t>
  </si>
  <si>
    <t>2026-07-10T23:44:58+05:30</t>
  </si>
  <si>
    <t>2026-07-11T13:02:44+05:30</t>
  </si>
  <si>
    <t>2026-07-11T16:03:00+05:30</t>
  </si>
  <si>
    <t>gsk21b276xgncrf@marketplace.amazon.in</t>
  </si>
  <si>
    <t>Makrana</t>
  </si>
  <si>
    <t>Rajasthan</t>
  </si>
  <si>
    <t>404-6032084-1698746</t>
  </si>
  <si>
    <t>TJJrXyqg9</t>
  </si>
  <si>
    <t>DJTHvDgGcX0cR</t>
  </si>
  <si>
    <t>2026-07-11T08:43:28+05:30</t>
  </si>
  <si>
    <t>2026-07-11T12:56:53+05:30</t>
  </si>
  <si>
    <t>2026-07-11T15:57:13+05:30</t>
  </si>
  <si>
    <t>1kmvw2bdsj2v2x4@marketplace.amazon.in</t>
  </si>
  <si>
    <t>408-3715873-4607554</t>
  </si>
  <si>
    <t>T6SZvSKl4</t>
  </si>
  <si>
    <t>DqMsz0gFcV0lR</t>
  </si>
  <si>
    <t>2026-07-06T23:37:40+05:30</t>
  </si>
  <si>
    <t>2026-07-11T12:43:49+05:30</t>
  </si>
  <si>
    <t>2026-07-11T15:44:04+05:30</t>
  </si>
  <si>
    <t>p9zyq33zzb8qstb@marketplace.amazon.in</t>
  </si>
  <si>
    <t>MUZAFFARNAGAR</t>
  </si>
  <si>
    <t>171-5298327-4454701</t>
  </si>
  <si>
    <t>Tn8qsDFP4</t>
  </si>
  <si>
    <t>D3RBzyghc10NR</t>
  </si>
  <si>
    <t>2026-07-05T17:20:04+05:30</t>
  </si>
  <si>
    <t>2026-07-11T12:36:42+05:30</t>
  </si>
  <si>
    <t>2026-07-11T15:36:53+05:30</t>
  </si>
  <si>
    <t>h964ln9hd19m9x2@marketplace.amazon.in</t>
  </si>
  <si>
    <t>408-2281309-5386754</t>
  </si>
  <si>
    <t>TXRTB8q69</t>
  </si>
  <si>
    <t>DRYyzwglcd0VR</t>
  </si>
  <si>
    <t>2026-07-10T23:02:06+05:30</t>
  </si>
  <si>
    <t>2026-07-11T12:35:46+05:30</t>
  </si>
  <si>
    <t>2026-07-11T12:35:51+05:30</t>
  </si>
  <si>
    <t>2026-07-11T13:36:06+05:30</t>
  </si>
  <si>
    <t>8pq0vy498yxn4c9@marketplace.amazon.in</t>
  </si>
  <si>
    <t>UNCHAHAR</t>
  </si>
  <si>
    <t>405-3388089-5189146</t>
  </si>
  <si>
    <t>TC3PKgqp9</t>
  </si>
  <si>
    <t>D5RJzfgRcf0GR</t>
  </si>
  <si>
    <t>2026-07-11T09:16:15+05:30</t>
  </si>
  <si>
    <t>2026-07-11T12:28:45+05:30</t>
  </si>
  <si>
    <t>2026-07-11T12:28:48+05:30</t>
  </si>
  <si>
    <t>2026-07-11T13:29:04+05:30</t>
  </si>
  <si>
    <t>402-1237010-3569153</t>
  </si>
  <si>
    <t>T33T3fSy4</t>
  </si>
  <si>
    <t>DcdR2wgkcd0GR</t>
  </si>
  <si>
    <t>2026-07-08T23:39:57+05:30</t>
  </si>
  <si>
    <t>2026-07-11T11:59:45+05:30</t>
  </si>
  <si>
    <t>2026-07-11T14:59:57+05:30</t>
  </si>
  <si>
    <t>j1w2v3v4mbpy19y@marketplace.amazon.in</t>
  </si>
  <si>
    <t>402-3724281-1394726</t>
  </si>
  <si>
    <t>T6b0Z0qH9</t>
  </si>
  <si>
    <t>DFSQFJgycX0PR</t>
  </si>
  <si>
    <t>2026-07-11T10:49:01+05:30</t>
  </si>
  <si>
    <t>2026-07-11T11:57:42+05:30</t>
  </si>
  <si>
    <t>2026-07-11T14:57:53+05:30</t>
  </si>
  <si>
    <t>89sc7hzmkd3qpqn@marketplace.amazon.in</t>
  </si>
  <si>
    <t>403-9896014-4733116</t>
  </si>
  <si>
    <t>TgRpCmvY4</t>
  </si>
  <si>
    <t>DXj4FSg7ck0zR</t>
  </si>
  <si>
    <t>2026-07-07T14:54:34+05:30</t>
  </si>
  <si>
    <t>2026-07-11T11:49:44+05:30</t>
  </si>
  <si>
    <t>2026-07-11T14:49:56+05:30</t>
  </si>
  <si>
    <t>sgsjx8stcdrc5ww@marketplace.amazon.in</t>
  </si>
  <si>
    <t>KATIHAR</t>
  </si>
  <si>
    <t>402-5659084-5085903</t>
  </si>
  <si>
    <t>T1sRmgqb9</t>
  </si>
  <si>
    <t>DXyNDhgzcD0FR</t>
  </si>
  <si>
    <t>2026-07-11T06:26:31+05:30</t>
  </si>
  <si>
    <t>2026-07-11T11:37:45+05:30</t>
  </si>
  <si>
    <t>2026-07-11T14:38:00+05:30</t>
  </si>
  <si>
    <t>24198tw25skckck@marketplace.amazon.in</t>
  </si>
  <si>
    <t>402-0279434-3843543</t>
  </si>
  <si>
    <t>TVbWwBNg4</t>
  </si>
  <si>
    <t>D5cBDqgGcM0MR</t>
  </si>
  <si>
    <t>2026-07-07T11:47:36+05:30</t>
  </si>
  <si>
    <t>2026-07-11T11:28:47+05:30</t>
  </si>
  <si>
    <t>2026-07-11T14:29:01+05:30</t>
  </si>
  <si>
    <t>sj98snkb699f8d9@marketplace.amazon.in</t>
  </si>
  <si>
    <t>ALAPPUZHA</t>
  </si>
  <si>
    <t>402-0398534-6852314</t>
  </si>
  <si>
    <t>TnldTVXp4</t>
  </si>
  <si>
    <t>DHh0DYgDcH0VR</t>
  </si>
  <si>
    <t>2026-07-09T19:06:22+05:30</t>
  </si>
  <si>
    <t>2026-07-11T11:26:45+05:30</t>
  </si>
  <si>
    <t>2026-07-11T14:26:56+05:30</t>
  </si>
  <si>
    <t>trk0583f7btp0f8@marketplace.amazon.in</t>
  </si>
  <si>
    <t>406-3320474-4564306</t>
  </si>
  <si>
    <t>TVhFR6PX9</t>
  </si>
  <si>
    <t>DthKYRgYcG0XR</t>
  </si>
  <si>
    <t>2026-07-09T22:45:08+05:30</t>
  </si>
  <si>
    <t>2026-07-11T11:15:48+05:30</t>
  </si>
  <si>
    <t>2026-07-11T11:15:51+05:30</t>
  </si>
  <si>
    <t>2026-07-11T12:16:05+05:30</t>
  </si>
  <si>
    <t>jhgs28zh7h2d5js@marketplace.amazon.in</t>
  </si>
  <si>
    <t>404-2040297-2449144</t>
  </si>
  <si>
    <t>TNskSBqV9</t>
  </si>
  <si>
    <t>DWNDypgjcL0wR</t>
  </si>
  <si>
    <t>2026-07-11T05:20:48+05:30</t>
  </si>
  <si>
    <t>2026-07-11T11:02:43+05:30</t>
  </si>
  <si>
    <t>2026-07-11T14:02:55+05:30</t>
  </si>
  <si>
    <t>hnlj00bd0hkr6bz@marketplace.amazon.in</t>
  </si>
  <si>
    <t>SAMANA</t>
  </si>
  <si>
    <t>407-1379880-0105139</t>
  </si>
  <si>
    <t>TwflrwPB9</t>
  </si>
  <si>
    <t>DHNkyRggcL0wR</t>
  </si>
  <si>
    <t>2026-07-10T14:25:52+05:30</t>
  </si>
  <si>
    <t>2026-07-11T11:02:04+05:30</t>
  </si>
  <si>
    <t>2026-07-11T14:02:34+05:30</t>
  </si>
  <si>
    <t>hhktx0bhjbsv9rj@marketplace.amazon.in</t>
  </si>
  <si>
    <t>408-7779300-3513964</t>
  </si>
  <si>
    <t>TnGNgCPK9</t>
  </si>
  <si>
    <t>DNN8y5gLcL01R</t>
  </si>
  <si>
    <t>2026-07-10T21:09:13+05:30</t>
  </si>
  <si>
    <t>2026-07-11T11:01:46+05:30</t>
  </si>
  <si>
    <t>2026-07-11T14:01:57+05:30</t>
  </si>
  <si>
    <t>8hkd69c2r94dzzj@marketplace.amazon.in</t>
  </si>
  <si>
    <t>405-7365480-9045160</t>
  </si>
  <si>
    <t>TgKcGhqx9</t>
  </si>
  <si>
    <t>DcfSymgqcY02R</t>
  </si>
  <si>
    <t>2026-07-11T09:32:28+05:30</t>
  </si>
  <si>
    <t>2026-07-11T10:51:40+05:30</t>
  </si>
  <si>
    <t>2026-07-11T13:51:53+05:30</t>
  </si>
  <si>
    <t>jsss8w19dnlxnf5@marketplace.amazon.in</t>
  </si>
  <si>
    <t>404-8753381-5773156</t>
  </si>
  <si>
    <t>TnyzwXmt4</t>
  </si>
  <si>
    <t>DDrKyJg8ch0HR</t>
  </si>
  <si>
    <t>2026-07-05T13:28:19+05:30</t>
  </si>
  <si>
    <t>2026-07-11T10:47:48+05:30</t>
  </si>
  <si>
    <t>2026-07-11T10:47:53+05:30</t>
  </si>
  <si>
    <t>2026-07-11T11:48:11+05:30</t>
  </si>
  <si>
    <t>rmy49wj2438v9v1@marketplace.amazon.in</t>
  </si>
  <si>
    <t>405-7158921-0851567</t>
  </si>
  <si>
    <t>TNwV4vv74</t>
  </si>
  <si>
    <t>DCqxywgGcN0cR</t>
  </si>
  <si>
    <t>2026-07-08T18:20:02+05:30</t>
  </si>
  <si>
    <t>2026-07-11T10:46:58+05:30</t>
  </si>
  <si>
    <t>2026-07-11T13:47:12+05:30</t>
  </si>
  <si>
    <t>8s8qyf1z407hn69@marketplace.amazon.in</t>
  </si>
  <si>
    <t>404-3614157-4681105</t>
  </si>
  <si>
    <t>TCcZXlP19</t>
  </si>
  <si>
    <t>DJTsw6gvc106R</t>
  </si>
  <si>
    <t>2026-07-10T20:14:11+05:30</t>
  </si>
  <si>
    <t>2026-07-11T10:37:44+05:30</t>
  </si>
  <si>
    <t>2026-07-11T10:37:47+05:30</t>
  </si>
  <si>
    <t>2026-07-11T11:37:58+05:30</t>
  </si>
  <si>
    <t>4s2sw4jmv4zv5js@marketplace.amazon.in</t>
  </si>
  <si>
    <t>404-6804236-2280320</t>
  </si>
  <si>
    <t>TCFFS8q69</t>
  </si>
  <si>
    <t>D0w8BCglck09R</t>
  </si>
  <si>
    <t>2026-07-11T08:17:45+05:30</t>
  </si>
  <si>
    <t>2026-07-11T10:23:44+05:30</t>
  </si>
  <si>
    <t>2026-07-11T13:24:00+05:30</t>
  </si>
  <si>
    <t>wrg36zjh6jrz64d@marketplace.amazon.in</t>
  </si>
  <si>
    <t>406-7456426-8353112</t>
  </si>
  <si>
    <t>TJKCrhXG4</t>
  </si>
  <si>
    <t>DqqfB4gzck0mR</t>
  </si>
  <si>
    <t>2026-07-09T18:24:09+05:30</t>
  </si>
  <si>
    <t>2026-07-11T10:15:47+05:30</t>
  </si>
  <si>
    <t>2026-07-11T13:15:58+05:30</t>
  </si>
  <si>
    <t>915qnkp5m8mswhc@marketplace.amazon.in</t>
  </si>
  <si>
    <t>402-3685591-2489129</t>
  </si>
  <si>
    <t>TgZSScqS9</t>
  </si>
  <si>
    <t>Dyts9TgGcG0GR</t>
  </si>
  <si>
    <t>2026-07-11T07:14:18+05:30</t>
  </si>
  <si>
    <t>2026-07-11T10:06:46+05:30</t>
  </si>
  <si>
    <t>2026-07-11T13:07:00+05:30</t>
  </si>
  <si>
    <t>6mwlclh5mw6ngwg@marketplace.amazon.in</t>
  </si>
  <si>
    <t>403-7153736-0972310</t>
  </si>
  <si>
    <t>TC9PmFqK9</t>
  </si>
  <si>
    <t>DtSn4HgZcC0xR</t>
  </si>
  <si>
    <t>2026-07-11T07:05:25+05:30</t>
  </si>
  <si>
    <t>2026-07-11T09:56:43+05:30</t>
  </si>
  <si>
    <t>2026-07-11T09:56:45+05:30</t>
  </si>
  <si>
    <t>2026-07-11T10:56:58+05:30</t>
  </si>
  <si>
    <t>3pdhztb6rd1b360@marketplace.amazon.in</t>
  </si>
  <si>
    <t>403-6993283-1226746</t>
  </si>
  <si>
    <t>TXTxDLP59</t>
  </si>
  <si>
    <t>DhY54Ng5cf0LR</t>
  </si>
  <si>
    <t>2026-07-10T15:05:57+05:30</t>
  </si>
  <si>
    <t>2026-07-11T09:44:47+05:30</t>
  </si>
  <si>
    <t>2026-07-11T12:44:59+05:30</t>
  </si>
  <si>
    <t>5syw0c0t3zs8vk4@marketplace.amazon.in</t>
  </si>
  <si>
    <t>404-7849750-0768346</t>
  </si>
  <si>
    <t>TG6JljvK4</t>
  </si>
  <si>
    <t>DsVPHvg8cQ0QR</t>
  </si>
  <si>
    <t>2026-07-09T12:13:21+05:30</t>
  </si>
  <si>
    <t>2026-07-11T09:34:47+05:30</t>
  </si>
  <si>
    <t>2026-07-11T12:35:01+05:30</t>
  </si>
  <si>
    <t>tj3xqw6gz166kn1@marketplace.amazon.in</t>
  </si>
  <si>
    <t>403-1384737-1746760</t>
  </si>
  <si>
    <t>TcmThcP89</t>
  </si>
  <si>
    <t>DN7BHSgncS0lR</t>
  </si>
  <si>
    <t>2026-07-10T22:26:32+05:30</t>
  </si>
  <si>
    <t>2026-07-11T09:33:49+05:30</t>
  </si>
  <si>
    <t>2026-07-11T09:33:52+05:30</t>
  </si>
  <si>
    <t>2026-07-11T10:34:02+05:30</t>
  </si>
  <si>
    <t>cty68xfpbllt3z9@marketplace.amazon.in</t>
  </si>
  <si>
    <t>171-7541100-1831533</t>
  </si>
  <si>
    <t>T3wXf5PP9</t>
  </si>
  <si>
    <t>DShnHJglcq0wR</t>
  </si>
  <si>
    <t>2026-07-10T21:12:13+05:30</t>
  </si>
  <si>
    <t>2026-07-11T09:30:50+05:30</t>
  </si>
  <si>
    <t>2026-07-11T12:31:03+05:30</t>
  </si>
  <si>
    <t>35nlcddysm71x42@marketplace.amazon.in</t>
  </si>
  <si>
    <t>402-2184594-7041958</t>
  </si>
  <si>
    <t>T1SMs9Pw9</t>
  </si>
  <si>
    <t>DqhyHggwcq0wR</t>
  </si>
  <si>
    <t>2026-07-10T15:40:59+05:30</t>
  </si>
  <si>
    <t>2026-07-11T09:25:45+05:30</t>
  </si>
  <si>
    <t>2026-07-11T12:25:58+05:30</t>
  </si>
  <si>
    <t>67cgtbg9r4pqfxf@marketplace.amazon.in</t>
  </si>
  <si>
    <t>171-2631333-6252324</t>
  </si>
  <si>
    <t>TG2DMCSq4</t>
  </si>
  <si>
    <t>D1VnbhgqcF0lR</t>
  </si>
  <si>
    <t>2026-07-09T00:07:46+05:30</t>
  </si>
  <si>
    <t>2026-07-11T09:18:40+05:30</t>
  </si>
  <si>
    <t>2026-07-11T09:18:43+05:30</t>
  </si>
  <si>
    <t>2026-07-11T10:18:54+05:30</t>
  </si>
  <si>
    <t>4s098y91k5vd5vm@marketplace.amazon.in</t>
  </si>
  <si>
    <t>404-4510040-2347559</t>
  </si>
  <si>
    <t>T6ZFblSP4</t>
  </si>
  <si>
    <t>DPzdbBgDcj0PR</t>
  </si>
  <si>
    <t>2026-07-08T19:47:09+05:30</t>
  </si>
  <si>
    <t>2026-07-11T09:09:42+05:30</t>
  </si>
  <si>
    <t>2026-07-11T12:09:49+05:30</t>
  </si>
  <si>
    <t>4xrsm5ss129y43k@marketplace.amazon.in</t>
  </si>
  <si>
    <t>PANCHKULA</t>
  </si>
  <si>
    <t>407-2953047-8949929</t>
  </si>
  <si>
    <t>T3hd46qk9</t>
  </si>
  <si>
    <t>Dyzxb9gwcj0PR</t>
  </si>
  <si>
    <t>2026-07-10T22:10:46+05:30</t>
  </si>
  <si>
    <t>2026-07-11T09:08:48+05:30</t>
  </si>
  <si>
    <t>2026-07-11T12:09:00+05:30</t>
  </si>
  <si>
    <t>z9pdsfwkbs3xr7b@marketplace.amazon.in</t>
  </si>
  <si>
    <t>404-1879532-6929161</t>
  </si>
  <si>
    <t>Tn374yPz9</t>
  </si>
  <si>
    <t>DlgRkKgLcF0BR</t>
  </si>
  <si>
    <t>2026-07-10T13:28:21+05:30</t>
  </si>
  <si>
    <t>2026-07-11T09:01:41+05:30</t>
  </si>
  <si>
    <t>2026-07-11T12:01:48+05:30</t>
  </si>
  <si>
    <t>1b1549hf61nhx26@marketplace.amazon.in</t>
  </si>
  <si>
    <t>402-2546956-2579563</t>
  </si>
  <si>
    <t>TJGVVnq39</t>
  </si>
  <si>
    <t>DgpRkTg9ck0lR</t>
  </si>
  <si>
    <t>2026-07-10T22:52:54+05:30</t>
  </si>
  <si>
    <t>2026-07-11T08:58:45+05:30</t>
  </si>
  <si>
    <t>2026-07-11T11:58:57+05:30</t>
  </si>
  <si>
    <t>mfh0kl7w46mqnk0@marketplace.amazon.in</t>
  </si>
  <si>
    <t>TIRUR</t>
  </si>
  <si>
    <t>404-8719935-6483540</t>
  </si>
  <si>
    <t>TJcWS2K74</t>
  </si>
  <si>
    <t>D5F5NVgvc40DR</t>
  </si>
  <si>
    <t>2026-07-10T07:58:58+05:30</t>
  </si>
  <si>
    <t>2026-07-11T08:48:46+05:30</t>
  </si>
  <si>
    <t>2026-07-11T11:48:57+05:30</t>
  </si>
  <si>
    <t>dc79d6zc2hq4fzh@marketplace.amazon.in</t>
  </si>
  <si>
    <t>405-5787948-7528361</t>
  </si>
  <si>
    <t>T3GNRdq69</t>
  </si>
  <si>
    <t>DyP8WrBjcY0xR</t>
  </si>
  <si>
    <t>2026-07-10T23:16:24+05:30</t>
  </si>
  <si>
    <t>2026-07-11T04:50:44+05:30</t>
  </si>
  <si>
    <t>2026-07-11T07:51:00+05:30</t>
  </si>
  <si>
    <t>wkxjnnzvp4f68z3@marketplace.amazon.in</t>
  </si>
  <si>
    <t>TENALI</t>
  </si>
  <si>
    <t>405-3590319-9582721</t>
  </si>
  <si>
    <t>TnLhG3Kw4</t>
  </si>
  <si>
    <t>DLHXmwBZcZ0VR</t>
  </si>
  <si>
    <t>2026-07-08T22:37:10+05:30</t>
  </si>
  <si>
    <t>2026-07-11T04:23:46+05:30</t>
  </si>
  <si>
    <t>2026-07-11T04:23:48+05:30</t>
  </si>
  <si>
    <t>2026-07-11T05:23:59+05:30</t>
  </si>
  <si>
    <t>jgnwvqq557kvh0f@marketplace.amazon.in</t>
  </si>
  <si>
    <t>407-1914370-2687505</t>
  </si>
  <si>
    <t>TwjbBHqL9</t>
  </si>
  <si>
    <t>DlHtm8BWcZ0VR</t>
  </si>
  <si>
    <t>2026-07-11T00:09:45+05:30</t>
  </si>
  <si>
    <t>2026-07-11T04:21:45+05:30</t>
  </si>
  <si>
    <t>2026-07-11T07:22:04+05:30</t>
  </si>
  <si>
    <t>dhxgbvvccld3qtw@marketplace.amazon.in</t>
  </si>
  <si>
    <t>406-0880963-2587523</t>
  </si>
  <si>
    <t>T3x7DmPl9</t>
  </si>
  <si>
    <t>DwrVmpBYc40YR</t>
  </si>
  <si>
    <t>2026-07-10T14:17:12+05:30</t>
  </si>
  <si>
    <t>2026-07-11T04:16:45+05:30</t>
  </si>
  <si>
    <t>2026-07-11T04:16:49+05:30</t>
  </si>
  <si>
    <t>2026-07-11T05:17:01+05:30</t>
  </si>
  <si>
    <t>26v6fng7qp0zsqq@marketplace.amazon.in</t>
  </si>
  <si>
    <t>402-6939815-9192369</t>
  </si>
  <si>
    <t>TwN7X1vT4</t>
  </si>
  <si>
    <t>D08XllBlcZ0yR</t>
  </si>
  <si>
    <t>2026-07-09T15:11:58+05:30</t>
  </si>
  <si>
    <t>2026-07-11T04:06:44+05:30</t>
  </si>
  <si>
    <t>2026-07-11T07:06:55+05:30</t>
  </si>
  <si>
    <t>12zxkybkhykqvq2@marketplace.amazon.in</t>
  </si>
  <si>
    <t>171-4021188-7457104</t>
  </si>
  <si>
    <t>T3Qytm444</t>
  </si>
  <si>
    <t>D36slJBtcG0GR</t>
  </si>
  <si>
    <t>2026-07-07T21:54:25+05:30</t>
  </si>
  <si>
    <t>2026-07-11T04:04:45+05:30</t>
  </si>
  <si>
    <t>2026-07-11T07:04:56+05:30</t>
  </si>
  <si>
    <t>q2k6vx35n5zl1j5@marketplace.amazon.in</t>
  </si>
  <si>
    <t>404-6264507-4295510</t>
  </si>
  <si>
    <t>TG6zN2464</t>
  </si>
  <si>
    <t>Dw66lNBTct06R</t>
  </si>
  <si>
    <t>2026-07-07T16:39:20+05:30</t>
  </si>
  <si>
    <t>2026-07-11T04:02:22+05:30</t>
  </si>
  <si>
    <t>2026-07-11T07:02:35+05:30</t>
  </si>
  <si>
    <t>pngtq8d19tm8ly2@marketplace.amazon.in</t>
  </si>
  <si>
    <t>405-4889161-1770735</t>
  </si>
  <si>
    <t>TCfZfvPN9</t>
  </si>
  <si>
    <t>DC06l5B2cz0zR</t>
  </si>
  <si>
    <t>2026-07-09T18:00:20+05:30</t>
  </si>
  <si>
    <t>2026-07-11T04:02:18+05:30</t>
  </si>
  <si>
    <t>2026-07-11T07:02:32+05:30</t>
  </si>
  <si>
    <t>c2z1kqk8kzmkby8@marketplace.amazon.in</t>
  </si>
  <si>
    <t>403-9385414-8758733</t>
  </si>
  <si>
    <t>TJ4QgMy24</t>
  </si>
  <si>
    <t>D8rtl1Bxcw0WR</t>
  </si>
  <si>
    <t>2026-07-06T09:20:37+05:30</t>
  </si>
  <si>
    <t>2026-07-11T03:57:59+05:30</t>
  </si>
  <si>
    <t>2026-07-11T06:58:22+05:30</t>
  </si>
  <si>
    <t>2f748vhzmd50gtk@marketplace.amazon.in</t>
  </si>
  <si>
    <t>CUDDALORE</t>
  </si>
  <si>
    <t>171-6452318-9127523</t>
  </si>
  <si>
    <t>TJR5nR7N4</t>
  </si>
  <si>
    <t>Dj0L0FBxc80cR</t>
  </si>
  <si>
    <t>2026-07-05T08:18:56+05:30</t>
  </si>
  <si>
    <t>2026-07-11T03:49:46+05:30</t>
  </si>
  <si>
    <t>2026-07-11T06:50:01+05:30</t>
  </si>
  <si>
    <t>x2r3kz0jpvdt4mr@marketplace.amazon.in</t>
  </si>
  <si>
    <t>404-0483728-2141103</t>
  </si>
  <si>
    <t>TJbZdgyj4</t>
  </si>
  <si>
    <t>DLCK0BBRcd0sR</t>
  </si>
  <si>
    <t>2026-07-07T13:44:58+05:30</t>
  </si>
  <si>
    <t>2026-07-11T03:47:44+05:30</t>
  </si>
  <si>
    <t>2026-07-11T06:47:57+05:30</t>
  </si>
  <si>
    <t>nh2w61yqmxm37qx@marketplace.amazon.in</t>
  </si>
  <si>
    <t>408-7013486-3389917</t>
  </si>
  <si>
    <t>TJVncvK24</t>
  </si>
  <si>
    <t>Dn87SFBfcf0CR</t>
  </si>
  <si>
    <t>2026-07-10T02:38:48+05:30</t>
  </si>
  <si>
    <t>2026-07-11T03:37:42+05:30</t>
  </si>
  <si>
    <t>2026-07-11T03:37:46+05:30</t>
  </si>
  <si>
    <t>2026-07-11T04:37:58+05:30</t>
  </si>
  <si>
    <t>z6gng2pffjxmnv0@marketplace.amazon.in</t>
  </si>
  <si>
    <t>BINDKI</t>
  </si>
  <si>
    <t>407-8555197-7760367</t>
  </si>
  <si>
    <t>Tcq1SWP69</t>
  </si>
  <si>
    <t>DZthSbBQcg0bR</t>
  </si>
  <si>
    <t>2026-07-10T15:11:48+05:30</t>
  </si>
  <si>
    <t>2026-07-11T03:29:42+05:30</t>
  </si>
  <si>
    <t>2026-07-11T06:29:53+05:30</t>
  </si>
  <si>
    <t>t346fh7j3l2hvtm@marketplace.amazon.in</t>
  </si>
  <si>
    <t>BINOLA INDUSTRIAL AREA</t>
  </si>
  <si>
    <t>404-2030913-8716303</t>
  </si>
  <si>
    <t>T69VSCPK9</t>
  </si>
  <si>
    <t>DbHhSHB3cg0pR</t>
  </si>
  <si>
    <t>2026-07-10T15:40:29+05:30</t>
  </si>
  <si>
    <t>2026-07-11T03:28:47+05:30</t>
  </si>
  <si>
    <t>2026-07-11T06:29:00+05:30</t>
  </si>
  <si>
    <t>j93slgmw1xlsffp@marketplace.amazon.in</t>
  </si>
  <si>
    <t>P GANNAVARAM</t>
  </si>
  <si>
    <t>406-7475937-7488352</t>
  </si>
  <si>
    <t>Tg2zkxPv9</t>
  </si>
  <si>
    <t>DPgz6RBfcN0lR</t>
  </si>
  <si>
    <t>2026-07-10T12:53:40+05:30</t>
  </si>
  <si>
    <t>2026-07-11T03:15:46+05:30</t>
  </si>
  <si>
    <t>2026-07-11T06:15:58+05:30</t>
  </si>
  <si>
    <t>mtrtzslzx4lr7ck@marketplace.amazon.in</t>
  </si>
  <si>
    <t>404-5313024-7041955</t>
  </si>
  <si>
    <t>Tnry3HX54</t>
  </si>
  <si>
    <t>DMgS6hBZcN0lR</t>
  </si>
  <si>
    <t>2026-07-06T07:39:59+05:30</t>
  </si>
  <si>
    <t>2026-07-11T03:15:43+05:30</t>
  </si>
  <si>
    <t>2026-07-11T06:15:55+05:30</t>
  </si>
  <si>
    <t>3v2cg20xcsy76qy@marketplace.amazon.in</t>
  </si>
  <si>
    <t>Dzgv6hBZcN0lR</t>
  </si>
  <si>
    <t>407-9580444-1436319</t>
  </si>
  <si>
    <t>T3l2ZQ5P4</t>
  </si>
  <si>
    <t>DvjHdmB9cC0MR</t>
  </si>
  <si>
    <t>2026-07-07T21:17:41+05:30</t>
  </si>
  <si>
    <t>2026-07-11T02:57:52+05:30</t>
  </si>
  <si>
    <t>2026-07-11T02:57:57+05:30</t>
  </si>
  <si>
    <t>2026-07-11T03:58:13+05:30</t>
  </si>
  <si>
    <t>6mpw777gr1421gt@marketplace.amazon.in</t>
  </si>
  <si>
    <t>NORTH GUWAHATI</t>
  </si>
  <si>
    <t>405-4746236-9001949</t>
  </si>
  <si>
    <t>TcMdHBq89</t>
  </si>
  <si>
    <t>D4TFdDBFcr0hR</t>
  </si>
  <si>
    <t>2026-07-10T22:15:06+05:30</t>
  </si>
  <si>
    <t>2026-07-11T02:57:45+05:30</t>
  </si>
  <si>
    <t>2026-07-11T05:57:57+05:30</t>
  </si>
  <si>
    <t>wtbqp0jqsp7d1px@marketplace.amazon.in</t>
  </si>
  <si>
    <t>402-3200166-4877162</t>
  </si>
  <si>
    <t>TJkGRWKg4</t>
  </si>
  <si>
    <t>DyZMG3BJcy0sR</t>
  </si>
  <si>
    <t>2026-07-09T23:06:36+05:30</t>
  </si>
  <si>
    <t>2026-07-11T02:40:44+05:30</t>
  </si>
  <si>
    <t>2026-07-11T05:40:55+05:30</t>
  </si>
  <si>
    <t>rkcl0r2h79wnfbn@marketplace.amazon.in</t>
  </si>
  <si>
    <t>406-2899920-8197917</t>
  </si>
  <si>
    <t>T1bL64Kj4</t>
  </si>
  <si>
    <t>DXBPtQBycn09R</t>
  </si>
  <si>
    <t>2026-07-10T07:19:33+05:30</t>
  </si>
  <si>
    <t>2026-07-11T02:24:48+05:30</t>
  </si>
  <si>
    <t>2026-07-11T05:25:00+05:30</t>
  </si>
  <si>
    <t>bfg7pdmpfmblspy@marketplace.amazon.in</t>
  </si>
  <si>
    <t>PANAGUDI</t>
  </si>
  <si>
    <t>403-4252783-9133955</t>
  </si>
  <si>
    <t>TNV6HFqw9</t>
  </si>
  <si>
    <t>D5lvt2BScq07R</t>
  </si>
  <si>
    <t>2026-07-10T21:49:13+05:30</t>
  </si>
  <si>
    <t>2026-07-11T02:17:43+05:30</t>
  </si>
  <si>
    <t>2026-07-11T05:17:56+05:30</t>
  </si>
  <si>
    <t>5cc5l9mj4kqls36@marketplace.amazon.in</t>
  </si>
  <si>
    <t>Chakung</t>
  </si>
  <si>
    <t>406-7449973-8157164</t>
  </si>
  <si>
    <t>TJBVJc4c4</t>
  </si>
  <si>
    <t>DwrltjBnc30HR</t>
  </si>
  <si>
    <t>2026-07-07T20:22:46+05:30</t>
  </si>
  <si>
    <t>2026-07-11T02:15:48+05:30</t>
  </si>
  <si>
    <t>2026-07-11T05:16:01+05:30</t>
  </si>
  <si>
    <t>48b0x56mpplgffv@marketplace.amazon.in</t>
  </si>
  <si>
    <t>NANDIGAMA</t>
  </si>
  <si>
    <t>402-8482104-7310733</t>
  </si>
  <si>
    <t>TGCbMrvv4</t>
  </si>
  <si>
    <t>DjN5PLB8cZ0XR</t>
  </si>
  <si>
    <t>2026-07-06T21:45:12+05:30</t>
  </si>
  <si>
    <t>2026-07-11T02:12:47+05:30</t>
  </si>
  <si>
    <t>2026-07-11T05:13:01+05:30</t>
  </si>
  <si>
    <t>4qnyqg7wtw6hffn@marketplace.amazon.in</t>
  </si>
  <si>
    <t>Allagadda</t>
  </si>
  <si>
    <t>403-3093648-8384308</t>
  </si>
  <si>
    <t>TG4D2NyH4</t>
  </si>
  <si>
    <t>DcgZPHB5cD0KR</t>
  </si>
  <si>
    <t>2026-07-07T08:59:34+05:30</t>
  </si>
  <si>
    <t>2026-07-11T02:06:56+05:30</t>
  </si>
  <si>
    <t>2026-07-11T05:07:16+05:30</t>
  </si>
  <si>
    <t>kkxd11fwwn3mt40@marketplace.amazon.in</t>
  </si>
  <si>
    <t>KUMARKHAND</t>
  </si>
  <si>
    <t>404-1388780-8995509</t>
  </si>
  <si>
    <t>TG1pBjv14</t>
  </si>
  <si>
    <t>DrbpPXBMcR0pR</t>
  </si>
  <si>
    <t>2026-07-09T21:24:26+05:30</t>
  </si>
  <si>
    <t>2026-07-11T02:05:50+05:30</t>
  </si>
  <si>
    <t>2026-07-11T05:06:04+05:30</t>
  </si>
  <si>
    <t>pscff2kp3p1mt7v@marketplace.amazon.in</t>
  </si>
  <si>
    <t>BHUJ</t>
  </si>
  <si>
    <t>403-2312212-4436328</t>
  </si>
  <si>
    <t>TctxyYbn4</t>
  </si>
  <si>
    <t>DdBpPDBvcl0mR</t>
  </si>
  <si>
    <t>2026-06-30T09:34:08+05:30</t>
  </si>
  <si>
    <t>2026-07-11T02:04:49+05:30</t>
  </si>
  <si>
    <t>2026-07-11T05:05:07+05:30</t>
  </si>
  <si>
    <t>kjsb64x3ykkg5kb@marketplace.amazon.in</t>
  </si>
  <si>
    <t>406-4954113-6029132</t>
  </si>
  <si>
    <t>TVdRxBSb4</t>
  </si>
  <si>
    <t>DFfyPPBvcr06R</t>
  </si>
  <si>
    <t>2026-07-08T18:33:12+05:30</t>
  </si>
  <si>
    <t>2026-07-11T01:59:46+05:30</t>
  </si>
  <si>
    <t>2026-07-11T05:00:01+05:30</t>
  </si>
  <si>
    <t>8rs4yp5xpqtls45@marketplace.amazon.in</t>
  </si>
  <si>
    <t>KAITHAL</t>
  </si>
  <si>
    <t>402-5299154-2683527</t>
  </si>
  <si>
    <t>T3njq9PR9</t>
  </si>
  <si>
    <t>DsXbT7B5cR0LR</t>
  </si>
  <si>
    <t>2026-07-10T20:05:53+05:30</t>
  </si>
  <si>
    <t>2026-07-11T01:56:42+05:30</t>
  </si>
  <si>
    <t>2026-07-11T01:56:45+05:30</t>
  </si>
  <si>
    <t>2026-07-11T02:56:59+05:30</t>
  </si>
  <si>
    <t>w6zv3yky5xg92q8@marketplace.amazon.in</t>
  </si>
  <si>
    <t>406-7803213-4304307</t>
  </si>
  <si>
    <t>TX7pG0SH4</t>
  </si>
  <si>
    <t>DsppTSBxc30dR</t>
  </si>
  <si>
    <t>2026-07-08T22:59:21+05:30</t>
  </si>
  <si>
    <t>2026-07-11T01:39:42+05:30</t>
  </si>
  <si>
    <t>2026-07-11T04:39:56+05:30</t>
  </si>
  <si>
    <t>l1ndyst52zb03rq@marketplace.amazon.in</t>
  </si>
  <si>
    <t>402-6690012-2873139</t>
  </si>
  <si>
    <t>T37NCw5h4</t>
  </si>
  <si>
    <t>DHKD3hBdck0DR</t>
  </si>
  <si>
    <t>2026-07-06T23:16:29+05:30</t>
  </si>
  <si>
    <t>2026-07-11T01:10:46+05:30</t>
  </si>
  <si>
    <t>2026-07-11T04:11:01+05:30</t>
  </si>
  <si>
    <t>96dt54fmbbg9rnk@marketplace.amazon.in</t>
  </si>
  <si>
    <t>403-9234605-3459506</t>
  </si>
  <si>
    <t>TN5nyDqy9</t>
  </si>
  <si>
    <t>DY3MJvB6cb07R</t>
  </si>
  <si>
    <t>2026-07-10T08:31:28+05:30</t>
  </si>
  <si>
    <t>2026-07-11T00:49:44+05:30</t>
  </si>
  <si>
    <t>2026-07-11T03:49:55+05:30</t>
  </si>
  <si>
    <t>nfh5p47gm2smf53@marketplace.amazon.in</t>
  </si>
  <si>
    <t>402-1610002-8448368</t>
  </si>
  <si>
    <t>T3Bq1kP39</t>
  </si>
  <si>
    <t>Dkv2JNB7ch0wR</t>
  </si>
  <si>
    <t>2026-07-10T18:05:28+05:30</t>
  </si>
  <si>
    <t>2026-07-11T00:47:41+05:30</t>
  </si>
  <si>
    <t>2026-07-11T00:47:43+05:30</t>
  </si>
  <si>
    <t>2026-07-11T01:47:54+05:30</t>
  </si>
  <si>
    <t>6tkndy0yy3z67fm@marketplace.amazon.in</t>
  </si>
  <si>
    <t>404-9453760-0306703</t>
  </si>
  <si>
    <t>TckSz1v04</t>
  </si>
  <si>
    <t>D5QSJKBTc70kR</t>
  </si>
  <si>
    <t>2026-07-09T09:24:06+05:30</t>
  </si>
  <si>
    <t>2026-07-11T00:39:54+05:30</t>
  </si>
  <si>
    <t>2026-07-11T03:40:05+05:30</t>
  </si>
  <si>
    <t>5t3hrv8tq2r9rgl@marketplace.amazon.in</t>
  </si>
  <si>
    <t>406-8736323-0665117</t>
  </si>
  <si>
    <t>TV5W5fPC9</t>
  </si>
  <si>
    <t>D5JqJtBmcD0GR</t>
  </si>
  <si>
    <t>2026-07-10T20:41:47+05:30</t>
  </si>
  <si>
    <t>2026-07-11T00:32:50+05:30</t>
  </si>
  <si>
    <t>2026-07-11T03:33:05+05:30</t>
  </si>
  <si>
    <t>9j7h85kjpk65f7d@marketplace.amazon.in</t>
  </si>
  <si>
    <t>2026-07-11T08:00:00+05:30</t>
  </si>
  <si>
    <t>408-9732219-6847505</t>
  </si>
  <si>
    <t>TN0WQJP29</t>
  </si>
  <si>
    <t>Dh7pM5BYcw06R</t>
  </si>
  <si>
    <t>2026-07-10T17:55:38+05:30</t>
  </si>
  <si>
    <t>2026-07-11T00:30:44+05:30</t>
  </si>
  <si>
    <t>2026-07-11T03:30:55+05:30</t>
  </si>
  <si>
    <t>ljff27lgf18hfvs@marketplace.amazon.in</t>
  </si>
  <si>
    <t>404-8901217-6647500</t>
  </si>
  <si>
    <t>TXmh3K4j4</t>
  </si>
  <si>
    <t>DC7bMPBgcW06R</t>
  </si>
  <si>
    <t>2026-07-07T21:01:21+05:30</t>
  </si>
  <si>
    <t>2026-07-11T00:26:47+05:30</t>
  </si>
  <si>
    <t>2026-07-11T03:26:58+05:30</t>
  </si>
  <si>
    <t>v3m5c009cj7qj27@marketplace.amazon.in</t>
  </si>
  <si>
    <t>Pasupathikoil THANJAVUR DISTRICT</t>
  </si>
  <si>
    <t>402-6620064-7042730</t>
  </si>
  <si>
    <t>Tn94h1KG4</t>
  </si>
  <si>
    <t>DmfhMwBXcH0NR</t>
  </si>
  <si>
    <t>2026-07-10T14:02:10+05:30</t>
  </si>
  <si>
    <t>2026-07-11T00:16:49+05:30</t>
  </si>
  <si>
    <t>2026-07-11T03:17:03+05:30</t>
  </si>
  <si>
    <t>9g0zf9n83k3kl9m@marketplace.amazon.in</t>
  </si>
  <si>
    <t>405-0748628-3517904</t>
  </si>
  <si>
    <t>TcHhfGKm4</t>
  </si>
  <si>
    <t>D7F01bBccl0dR</t>
  </si>
  <si>
    <t>2026-07-10T12:32:48+05:30</t>
  </si>
  <si>
    <t>2026-07-11T00:11:45+05:30</t>
  </si>
  <si>
    <t>2026-07-11T00:11:48+05:30</t>
  </si>
  <si>
    <t>2026-07-11T01:11:58+05:30</t>
  </si>
  <si>
    <t>sbfxldk1l7rvfpz@marketplace.amazon.in</t>
  </si>
  <si>
    <t>SIDHPUR</t>
  </si>
  <si>
    <t>406-4191078-8628313</t>
  </si>
  <si>
    <t>TClw7JP49</t>
  </si>
  <si>
    <t>DTkJ1YBGcN0GR</t>
  </si>
  <si>
    <t>2026-07-10T17:38:12+05:30</t>
  </si>
  <si>
    <t>2026-07-11T03:11:56+05:30</t>
  </si>
  <si>
    <t>jw3nvlm8qxq9qtr@marketplace.amazon.in</t>
  </si>
  <si>
    <t>403-1991855-6788347</t>
  </si>
  <si>
    <t>T6hkLf5D4</t>
  </si>
  <si>
    <t>D9WM11BTcj0mR</t>
  </si>
  <si>
    <t>2026-07-07T22:46:43+05:30</t>
  </si>
  <si>
    <t>2026-07-11T00:09:49+05:30</t>
  </si>
  <si>
    <t>2026-07-11T03:10:01+05:30</t>
  </si>
  <si>
    <t>8yhf9w6qmdsppc1@marketplace.amazon.in</t>
  </si>
  <si>
    <t>405-8393490-4651536</t>
  </si>
  <si>
    <t>T1LL4b1j4</t>
  </si>
  <si>
    <t>D7WV1PBgcy0SR</t>
  </si>
  <si>
    <t>2026-07-05T13:28:47+05:30</t>
  </si>
  <si>
    <t>2026-07-11T00:04:46+05:30</t>
  </si>
  <si>
    <t>2026-07-11T03:04:59+05:30</t>
  </si>
  <si>
    <t>kg05sxhf9zhsqsy@marketplace.amazon.in</t>
  </si>
  <si>
    <t>405-9070294-3358757</t>
  </si>
  <si>
    <t>TXgjCfKt4</t>
  </si>
  <si>
    <t>D57rrVB3cc0TR</t>
  </si>
  <si>
    <t>2026-07-06T20:13:28+05:30</t>
  </si>
  <si>
    <t>2026-07-10T23:54:25+05:30</t>
  </si>
  <si>
    <t>2026-07-10T23:54:31+05:30</t>
  </si>
  <si>
    <t>2026-07-11T00:54:57+05:30</t>
  </si>
  <si>
    <t>ds1b45627906yxv@marketplace.amazon.in</t>
  </si>
  <si>
    <t>405-7150685-6867523</t>
  </si>
  <si>
    <t>TwSS1CPk9</t>
  </si>
  <si>
    <t>D5QWrgBPcC0wR</t>
  </si>
  <si>
    <t>2026-07-10T18:26:50+05:30</t>
  </si>
  <si>
    <t>2026-07-10T23:46:46+05:30</t>
  </si>
  <si>
    <t>2026-07-11T02:46:58+05:30</t>
  </si>
  <si>
    <t>8vvmk8jxm1160ts@marketplace.amazon.in</t>
  </si>
  <si>
    <t>402-2914694-0899568</t>
  </si>
  <si>
    <t>TcmhVRP99</t>
  </si>
  <si>
    <t>DV8V74Bxcp0ZR</t>
  </si>
  <si>
    <t>2026-07-10T15:39:29+05:30</t>
  </si>
  <si>
    <t>2026-07-10T23:36:43+05:30</t>
  </si>
  <si>
    <t>2026-07-10T23:36:45+05:30</t>
  </si>
  <si>
    <t>2026-07-11T00:36:56+05:30</t>
  </si>
  <si>
    <t>l0v1bpp4b7t6999@marketplace.amazon.in</t>
  </si>
  <si>
    <t>ANCHAL</t>
  </si>
  <si>
    <t>408-9560787-2559541</t>
  </si>
  <si>
    <t>T3wh7qNz4</t>
  </si>
  <si>
    <t>DggC7QBzcn06R</t>
  </si>
  <si>
    <t>2026-07-07T12:52:28+05:30</t>
  </si>
  <si>
    <t>2026-07-10T23:31:43+05:30</t>
  </si>
  <si>
    <t>2026-07-11T02:31:58+05:30</t>
  </si>
  <si>
    <t>mq48gc8l92qsq3z@marketplace.amazon.in</t>
  </si>
  <si>
    <t>405-8888673-4505961</t>
  </si>
  <si>
    <t>T17WNVql9</t>
  </si>
  <si>
    <t>D18H78BTcL0tR</t>
  </si>
  <si>
    <t>2026-07-10T21:56:06+05:30</t>
  </si>
  <si>
    <t>2026-07-10T23:30:43+05:30</t>
  </si>
  <si>
    <t>2026-07-10T23:30:45+05:30</t>
  </si>
  <si>
    <t>2026-07-11T00:30:56+05:30</t>
  </si>
  <si>
    <t>f7cj7kfrrm84371@marketplace.amazon.in</t>
  </si>
  <si>
    <t>402-0445980-3478715</t>
  </si>
  <si>
    <t>Tnm1XY574</t>
  </si>
  <si>
    <t>DtMJ7QBvch06R</t>
  </si>
  <si>
    <t>2026-07-08T20:08:14+05:30</t>
  </si>
  <si>
    <t>2026-07-10T23:29:49+05:30</t>
  </si>
  <si>
    <t>2026-07-11T02:30:01+05:30</t>
  </si>
  <si>
    <t>mwg317739xchsk0@marketplace.amazon.in</t>
  </si>
  <si>
    <t>402-8824234-6238764</t>
  </si>
  <si>
    <t>TwjxNTy64</t>
  </si>
  <si>
    <t>DJd67VBMcK0YR</t>
  </si>
  <si>
    <t>2026-07-07T08:57:13+05:30</t>
  </si>
  <si>
    <t>2026-07-10T23:23:52+05:30</t>
  </si>
  <si>
    <t>2026-07-11T02:24:11+05:30</t>
  </si>
  <si>
    <t>gl37dr2xtyhr59y@marketplace.amazon.in</t>
  </si>
  <si>
    <t>404-2374279-1670708</t>
  </si>
  <si>
    <t>TCtf0nPZ9</t>
  </si>
  <si>
    <t>D4dML4BQc600R</t>
  </si>
  <si>
    <t>2026-07-10T20:42:49+05:30</t>
  </si>
  <si>
    <t>2026-07-10T23:07:49+05:30</t>
  </si>
  <si>
    <t>2026-07-11T02:08:05+05:30</t>
  </si>
  <si>
    <t>95d0mhrjpvlcwsn@marketplace.amazon.in</t>
  </si>
  <si>
    <t>171-3256965-6021109</t>
  </si>
  <si>
    <t>TV5kSRPJ9</t>
  </si>
  <si>
    <t>DRS6sxBxcc0BR</t>
  </si>
  <si>
    <t>2026-07-10T20:10:25+05:30</t>
  </si>
  <si>
    <t>2026-07-10T23:00:47+05:30</t>
  </si>
  <si>
    <t>2026-07-11T02:01:00+05:30</t>
  </si>
  <si>
    <t>p828skyk0l0btvn@marketplace.amazon.in</t>
  </si>
  <si>
    <t>405-5902606-3390743</t>
  </si>
  <si>
    <t>TV8wQWP49</t>
  </si>
  <si>
    <t>D4YcsRBBcP0jR</t>
  </si>
  <si>
    <t>2026-07-10T15:19:48+05:30</t>
  </si>
  <si>
    <t>2026-07-10T22:56:47+05:30</t>
  </si>
  <si>
    <t>2026-07-11T01:57:00+05:30</t>
  </si>
  <si>
    <t>cwn48bnql68dr9b@marketplace.amazon.in</t>
  </si>
  <si>
    <t>ANAND</t>
  </si>
  <si>
    <t>408-6111506-7792339</t>
  </si>
  <si>
    <t>TXcqVSPf9</t>
  </si>
  <si>
    <t>Dmpms1Bhcz0HR</t>
  </si>
  <si>
    <t>2026-07-10T15:39:24+05:30</t>
  </si>
  <si>
    <t>2026-07-10T22:45:47+05:30</t>
  </si>
  <si>
    <t>2026-07-11T01:46:00+05:30</t>
  </si>
  <si>
    <t>D9jHQzBgct0pR</t>
  </si>
  <si>
    <t>403-0929640-0981955</t>
  </si>
  <si>
    <t>T3fhstKL4</t>
  </si>
  <si>
    <t>D0j6QtBrct0pR</t>
  </si>
  <si>
    <t>2026-07-10T03:17:41+05:30</t>
  </si>
  <si>
    <t>2026-07-10T22:40:45+05:30</t>
  </si>
  <si>
    <t>2026-07-11T01:40:56+05:30</t>
  </si>
  <si>
    <t>w865qnrfz4n7rvd@marketplace.amazon.in</t>
  </si>
  <si>
    <t>Mullana BARARA</t>
  </si>
  <si>
    <t>408-6012881-4091533</t>
  </si>
  <si>
    <t>TcMjqsK74</t>
  </si>
  <si>
    <t>DnsXQhBpcK0nR</t>
  </si>
  <si>
    <t>2026-07-10T11:55:23+05:30</t>
  </si>
  <si>
    <t>2026-07-10T22:35:47+05:30</t>
  </si>
  <si>
    <t>2026-07-11T01:35:59+05:30</t>
  </si>
  <si>
    <t>mrlvtsg09jrss1q@marketplace.amazon.in</t>
  </si>
  <si>
    <t>SRI GANGANAGAR</t>
  </si>
  <si>
    <t>DcscQDBHcy0zR</t>
  </si>
  <si>
    <t>DJsfQ8BHcy0zR</t>
  </si>
  <si>
    <t>171-0034919-9098742</t>
  </si>
  <si>
    <t>TnzzyBSB4</t>
  </si>
  <si>
    <t>D8s0Q6BmcK0nR</t>
  </si>
  <si>
    <t>2026-07-08T20:25:47+05:30</t>
  </si>
  <si>
    <t>2026-07-10T22:34:46+05:30</t>
  </si>
  <si>
    <t>2026-07-11T01:34:56+05:30</t>
  </si>
  <si>
    <t>cgp9b74p2mxfl6x@marketplace.amazon.in</t>
  </si>
  <si>
    <t>403-2674948-5579555</t>
  </si>
  <si>
    <t>T1xWyxPk9</t>
  </si>
  <si>
    <t>DKF0c7BZc30DR</t>
  </si>
  <si>
    <t>2026-07-10T16:39:21+05:30</t>
  </si>
  <si>
    <t>2026-07-10T22:28:52+05:30</t>
  </si>
  <si>
    <t>2026-07-11T01:29:02+05:30</t>
  </si>
  <si>
    <t>5js79vdh1zn782f@marketplace.amazon.in</t>
  </si>
  <si>
    <t>407-0495111-6257123</t>
  </si>
  <si>
    <t>TG4TbTyb4</t>
  </si>
  <si>
    <t>D4FBcLBZcq0DR</t>
  </si>
  <si>
    <t>2026-07-07T10:17:45+05:30</t>
  </si>
  <si>
    <t>2026-07-10T22:28:46+05:30</t>
  </si>
  <si>
    <t>2026-07-11T01:28:57+05:30</t>
  </si>
  <si>
    <t>tw0jjnh75llwqfd@marketplace.amazon.in</t>
  </si>
  <si>
    <t>403-4680914-7631520</t>
  </si>
  <si>
    <t>TJp8WfP99</t>
  </si>
  <si>
    <t>DNFvc2BVc40FR</t>
  </si>
  <si>
    <t>2026-07-10T19:45:49+05:30</t>
  </si>
  <si>
    <t>2026-07-10T22:26:45+05:30</t>
  </si>
  <si>
    <t>2026-07-11T01:26:56+05:30</t>
  </si>
  <si>
    <t>404-8513361-9305945</t>
  </si>
  <si>
    <t>TGwyBcKl4</t>
  </si>
  <si>
    <t>DZFdc6BMcq0DR</t>
  </si>
  <si>
    <t>2026-07-10T00:19:39+05:30</t>
  </si>
  <si>
    <t>2026-07-10T22:25:04+05:30</t>
  </si>
  <si>
    <t>2026-07-11T01:25:29+05:30</t>
  </si>
  <si>
    <t>2mlvhxghztpz220@marketplace.amazon.in</t>
  </si>
  <si>
    <t>Araria</t>
  </si>
  <si>
    <t>405-3408547-3208339</t>
  </si>
  <si>
    <t>TgQNLSPC9</t>
  </si>
  <si>
    <t>Ds9VcrB5cs0rR</t>
  </si>
  <si>
    <t>2026-07-10T16:36:42+05:30</t>
  </si>
  <si>
    <t>2026-07-10T22:20:47+05:30</t>
  </si>
  <si>
    <t>2026-07-11T01:21:00+05:30</t>
  </si>
  <si>
    <t>hlb93s368w8s44n@marketplace.amazon.in</t>
  </si>
  <si>
    <t>171-0400166-2574730</t>
  </si>
  <si>
    <t>TNG0fHPq9</t>
  </si>
  <si>
    <t>D8mMv9B0c201R</t>
  </si>
  <si>
    <t>2026-07-10T20:39:11+05:30</t>
  </si>
  <si>
    <t>2026-07-10T22:06:42+05:30</t>
  </si>
  <si>
    <t>2026-07-11T01:06:54+05:30</t>
  </si>
  <si>
    <t>5dm8f7ptv6n6xbq@marketplace.amazon.in</t>
  </si>
  <si>
    <t>406-5524146-2638723</t>
  </si>
  <si>
    <t>TgbKjLXp4</t>
  </si>
  <si>
    <t>DHLjv6BZcl0LR</t>
  </si>
  <si>
    <t>2026-07-09T22:38:45+05:30</t>
  </si>
  <si>
    <t>2026-07-10T22:02:44+05:30</t>
  </si>
  <si>
    <t>2026-07-11T01:02:55+05:30</t>
  </si>
  <si>
    <t>tyjl57db2wlwhnh@marketplace.amazon.in</t>
  </si>
  <si>
    <t>405-1094850-6792346</t>
  </si>
  <si>
    <t>TVhYtlX34</t>
  </si>
  <si>
    <t>DcGDvhBYcw0LR</t>
  </si>
  <si>
    <t>2026-07-09T20:04:39+05:30</t>
  </si>
  <si>
    <t>2026-07-10T21:58:42+05:30</t>
  </si>
  <si>
    <t>2026-07-11T00:58:54+05:30</t>
  </si>
  <si>
    <t>53t1v6f0kpvhyvf@marketplace.amazon.in</t>
  </si>
  <si>
    <t>Edappally</t>
  </si>
  <si>
    <t>408-9249528-9666727</t>
  </si>
  <si>
    <t>TNPmtzvz4</t>
  </si>
  <si>
    <t>Dq5PzZBkc80RR</t>
  </si>
  <si>
    <t>2026-07-07T17:48:48+05:30</t>
  </si>
  <si>
    <t>2026-07-10T21:55:54+05:30</t>
  </si>
  <si>
    <t>2026-07-11T00:56:05+05:30</t>
  </si>
  <si>
    <t>z2dbw2y3b70qsr5@marketplace.amazon.in</t>
  </si>
  <si>
    <t>171-0316027-6436349</t>
  </si>
  <si>
    <t>Tcv1NGP89</t>
  </si>
  <si>
    <t>D6gfzbBPc50KR</t>
  </si>
  <si>
    <t>2026-07-10T12:13:57+05:30</t>
  </si>
  <si>
    <t>2026-07-10T21:52:46+05:30</t>
  </si>
  <si>
    <t>2026-07-11T00:52:57+05:30</t>
  </si>
  <si>
    <t>t1xyg1g2g6z8fb4@marketplace.amazon.in</t>
  </si>
  <si>
    <t>KURUKSHETRA</t>
  </si>
  <si>
    <t>405-1643864-6787555</t>
  </si>
  <si>
    <t>T1kw0XPL9</t>
  </si>
  <si>
    <t>DbgGzcB7c50KR</t>
  </si>
  <si>
    <t>2026-07-10T20:59:57+05:30</t>
  </si>
  <si>
    <t>2026-07-10T21:50:45+05:30</t>
  </si>
  <si>
    <t>2026-07-11T00:50:57+05:30</t>
  </si>
  <si>
    <t>clgx04w3w3zwz30@marketplace.amazon.in</t>
  </si>
  <si>
    <t>402-2756671-5405138</t>
  </si>
  <si>
    <t>TcJlQ8vg4</t>
  </si>
  <si>
    <t>DGGLzWBxcd0WR</t>
  </si>
  <si>
    <t>2026-07-08T22:14:54+05:30</t>
  </si>
  <si>
    <t>2026-07-10T21:45:54+05:30</t>
  </si>
  <si>
    <t>2026-07-11T00:46:09+05:30</t>
  </si>
  <si>
    <t>mvwzt2xfvmz1yrm@marketplace.amazon.in</t>
  </si>
  <si>
    <t>404-6795315-5053964</t>
  </si>
  <si>
    <t>TJZkVPkc4</t>
  </si>
  <si>
    <t>DkRZzzBfcP0tR</t>
  </si>
  <si>
    <t>2026-07-06T14:36:47+05:30</t>
  </si>
  <si>
    <t>2026-07-10T21:43:44+05:30</t>
  </si>
  <si>
    <t>2026-07-11T00:43:56+05:30</t>
  </si>
  <si>
    <t>bk08q6d2lsj8j97@marketplace.amazon.in</t>
  </si>
  <si>
    <t>403-8909598-8489900</t>
  </si>
  <si>
    <t>TJPZ2lP49</t>
  </si>
  <si>
    <t>DDGLzjB4cd0WR</t>
  </si>
  <si>
    <t>2026-07-10T16:14:04+05:30</t>
  </si>
  <si>
    <t>2026-07-10T21:40:48+05:30</t>
  </si>
  <si>
    <t>2026-07-11T00:41:02+05:30</t>
  </si>
  <si>
    <t>79nj16sllxr1578@marketplace.amazon.in</t>
  </si>
  <si>
    <t>408-4051637-6737925</t>
  </si>
  <si>
    <t>TwtpnSPV9</t>
  </si>
  <si>
    <t>DjfjzRB4c30dR</t>
  </si>
  <si>
    <t>2026-07-10T19:10:18+05:30</t>
  </si>
  <si>
    <t>2026-07-10T21:40:46+05:30</t>
  </si>
  <si>
    <t>2026-07-11T00:40:57+05:30</t>
  </si>
  <si>
    <t>b3q4b9j69kqz58s@marketplace.amazon.in</t>
  </si>
  <si>
    <t>405-0812162-9184329</t>
  </si>
  <si>
    <t>TCVLJG4l4</t>
  </si>
  <si>
    <t>DByHVWBYch03R</t>
  </si>
  <si>
    <t>2026-07-07T20:59:31+05:30</t>
  </si>
  <si>
    <t>2026-07-10T21:38:46+05:30</t>
  </si>
  <si>
    <t>2026-07-11T00:38:57+05:30</t>
  </si>
  <si>
    <t>0jlq6fqg9ffnxr6@marketplace.amazon.in</t>
  </si>
  <si>
    <t>DHING</t>
  </si>
  <si>
    <t>407-6709481-1104327</t>
  </si>
  <si>
    <t>T3fKfYK94</t>
  </si>
  <si>
    <t>DQwQVsB7cs0QR</t>
  </si>
  <si>
    <t>2026-07-10T12:32:03+05:30</t>
  </si>
  <si>
    <t>2026-07-10T21:31:46+05:30</t>
  </si>
  <si>
    <t>2026-07-11T00:31:58+05:30</t>
  </si>
  <si>
    <t>syts7zt5nq7l3l0@marketplace.amazon.in</t>
  </si>
  <si>
    <t>DOHAD</t>
  </si>
  <si>
    <t>406-1773286-9475514</t>
  </si>
  <si>
    <t>TVTMDMPg9</t>
  </si>
  <si>
    <t>DK36FgBTcP0yR</t>
  </si>
  <si>
    <t>2026-07-10T15:07:04+05:30</t>
  </si>
  <si>
    <t>2026-07-10T21:03:45+05:30</t>
  </si>
  <si>
    <t>2026-07-11T00:03:57+05:30</t>
  </si>
  <si>
    <t>09x2dcvdg3mpz5h@marketplace.amazon.in</t>
  </si>
  <si>
    <t>407-8597024-3981151</t>
  </si>
  <si>
    <t>Tg3bxJkr4</t>
  </si>
  <si>
    <t>DyctFxB7c205R</t>
  </si>
  <si>
    <t>2026-07-06T14:56:01+05:30</t>
  </si>
  <si>
    <t>2026-07-10T20:54:45+05:30</t>
  </si>
  <si>
    <t>2026-07-10T23:54:57+05:30</t>
  </si>
  <si>
    <t>v5j8zsfw85lq0kx@marketplace.amazon.in</t>
  </si>
  <si>
    <t>DPC9FPBzcM0GR</t>
  </si>
  <si>
    <t>DmCmFKBVcM0GR</t>
  </si>
  <si>
    <t>405-7202885-5046722</t>
  </si>
  <si>
    <t>Tc04VGPd9</t>
  </si>
  <si>
    <t>DXdWFhBNc10mR</t>
  </si>
  <si>
    <t>2026-07-10T15:57:12+05:30</t>
  </si>
  <si>
    <t>2026-07-10T20:50:48+05:30</t>
  </si>
  <si>
    <t>2026-07-10T23:51:08+05:30</t>
  </si>
  <si>
    <t>fswmrg7zcxpmxzh@marketplace.amazon.in</t>
  </si>
  <si>
    <t>407-1122071-8613133</t>
  </si>
  <si>
    <t>TcPpkTPT9</t>
  </si>
  <si>
    <t>DLjSDSBbcV00R</t>
  </si>
  <si>
    <t>2026-07-10T12:14:49+05:30</t>
  </si>
  <si>
    <t>2026-07-10T20:42:46+05:30</t>
  </si>
  <si>
    <t>2026-07-10T23:42:57+05:30</t>
  </si>
  <si>
    <t>80n0lj21r1jfmq4@marketplace.amazon.in</t>
  </si>
  <si>
    <t>407-6895098-7951534</t>
  </si>
  <si>
    <t>Tnd75YvL4</t>
  </si>
  <si>
    <t>D2GvDXBbcb0ZR</t>
  </si>
  <si>
    <t>2026-07-07T21:28:29+05:30</t>
  </si>
  <si>
    <t>2026-07-10T20:33:40+05:30</t>
  </si>
  <si>
    <t>2026-07-10T20:33:43+05:30</t>
  </si>
  <si>
    <t>2026-07-10T21:33:56+05:30</t>
  </si>
  <si>
    <t>gw5x012x3rx22ms@marketplace.amazon.in</t>
  </si>
  <si>
    <t>408-6353163-8064345</t>
  </si>
  <si>
    <t>TJ2W6HP19</t>
  </si>
  <si>
    <t>DrYRDtBYcn07R</t>
  </si>
  <si>
    <t>2026-07-10T18:43:37+05:30</t>
  </si>
  <si>
    <t>2026-07-10T20:33:38+05:30</t>
  </si>
  <si>
    <t>2026-07-10T20:33:41+05:30</t>
  </si>
  <si>
    <t>2026-07-10T21:33:51+05:30</t>
  </si>
  <si>
    <t>xcxqmddtnzncztz@marketplace.amazon.in</t>
  </si>
  <si>
    <t>404-0932995-7861945</t>
  </si>
  <si>
    <t>TcWDb9PP9</t>
  </si>
  <si>
    <t>DvLMDNBHc90SR</t>
  </si>
  <si>
    <t>2026-07-10T14:19:19+05:30</t>
  </si>
  <si>
    <t>2026-07-10T20:32:45+05:30</t>
  </si>
  <si>
    <t>2026-07-10T23:32:56+05:30</t>
  </si>
  <si>
    <t>mf7z8smz32kf7yr@marketplace.amazon.in</t>
  </si>
  <si>
    <t>407-0285853-3571573</t>
  </si>
  <si>
    <t>TgHgQSPh9</t>
  </si>
  <si>
    <t>DNLYDCBNc90SR</t>
  </si>
  <si>
    <t>2026-07-10T15:51:42+05:30</t>
  </si>
  <si>
    <t>2026-07-10T20:31:46+05:30</t>
  </si>
  <si>
    <t>2026-07-10T23:31:59+05:30</t>
  </si>
  <si>
    <t>x9h2c34354fjksv@marketplace.amazon.in</t>
  </si>
  <si>
    <t>408-0349628-9553167</t>
  </si>
  <si>
    <t>TcSXh4K84</t>
  </si>
  <si>
    <t>DGgWYxBHcw0wR</t>
  </si>
  <si>
    <t>2026-07-10T14:20:58+05:30</t>
  </si>
  <si>
    <t>2026-07-10T20:25:47+05:30</t>
  </si>
  <si>
    <t>2026-07-10T23:25:58+05:30</t>
  </si>
  <si>
    <t>m4lhss60xg38xq4@marketplace.amazon.in</t>
  </si>
  <si>
    <t>405-4669122-2970704</t>
  </si>
  <si>
    <t>T10CCrKR4</t>
  </si>
  <si>
    <t>DHMjYhBPcJ0TR</t>
  </si>
  <si>
    <t>2026-07-10T12:51:06+05:30</t>
  </si>
  <si>
    <t>2026-07-10T20:23:47+05:30</t>
  </si>
  <si>
    <t>2026-07-10T23:24:00+05:30</t>
  </si>
  <si>
    <t>bhlyl6yw8sw1c2c@marketplace.amazon.in</t>
  </si>
  <si>
    <t>HR</t>
  </si>
  <si>
    <t>403-0356841-7882770</t>
  </si>
  <si>
    <t>TwszZQXy4</t>
  </si>
  <si>
    <t>DWs0YqBPcs0jR</t>
  </si>
  <si>
    <t>2026-07-09T16:17:54+05:30</t>
  </si>
  <si>
    <t>2026-07-10T20:18:44+05:30</t>
  </si>
  <si>
    <t>2026-07-10T23:18:55+05:30</t>
  </si>
  <si>
    <t>qsdpl5q0gvqtb13@marketplace.amazon.in</t>
  </si>
  <si>
    <t>171-0114562-9564351</t>
  </si>
  <si>
    <t>TJX51vPj9</t>
  </si>
  <si>
    <t>DtPFYSBfcy0JR</t>
  </si>
  <si>
    <t>2026-07-10T18:35:10+05:30</t>
  </si>
  <si>
    <t>2026-07-10T20:11:42+05:30</t>
  </si>
  <si>
    <t>2026-07-10T23:11:55+05:30</t>
  </si>
  <si>
    <t>p2crmr6fznfhfz0@marketplace.amazon.in</t>
  </si>
  <si>
    <t>Nellore</t>
  </si>
  <si>
    <t>405-8073914-2733921</t>
  </si>
  <si>
    <t>TcWx9vKr4</t>
  </si>
  <si>
    <t>Dt6MyPByc302R</t>
  </si>
  <si>
    <t>2026-07-09T23:59:11+05:30</t>
  </si>
  <si>
    <t>2026-07-10T20:01:55+05:30</t>
  </si>
  <si>
    <t>2026-07-10T23:02:12+05:30</t>
  </si>
  <si>
    <t>v67mm1jhvyx3w00@marketplace.amazon.in</t>
  </si>
  <si>
    <t>402-3172425-2797952</t>
  </si>
  <si>
    <t>TgJNQSXf4</t>
  </si>
  <si>
    <t>DZvQwbBVc30WR</t>
  </si>
  <si>
    <t>2026-07-08T19:19:55+05:30</t>
  </si>
  <si>
    <t>2026-07-10T19:55:55+05:30</t>
  </si>
  <si>
    <t>2026-07-10T22:56:27+05:30</t>
  </si>
  <si>
    <t>kybgqk9cfj8w4z7@marketplace.amazon.in</t>
  </si>
  <si>
    <t>405-3031021-8040357</t>
  </si>
  <si>
    <t>TgHXbH4d4</t>
  </si>
  <si>
    <t>DnT6w2BBcS07R</t>
  </si>
  <si>
    <t>2026-07-07T14:06:07+05:30</t>
  </si>
  <si>
    <t>2026-07-10T19:49:42+05:30</t>
  </si>
  <si>
    <t>2026-07-10T22:49:55+05:30</t>
  </si>
  <si>
    <t>clt9f227lhwh6f5@marketplace.amazon.in</t>
  </si>
  <si>
    <t>JEYPUR</t>
  </si>
  <si>
    <t>408-7968173-2089136</t>
  </si>
  <si>
    <t>TVGYJCXZ4</t>
  </si>
  <si>
    <t>D7lwwyBQc504R</t>
  </si>
  <si>
    <t>2026-07-09T19:32:35+05:30</t>
  </si>
  <si>
    <t>2026-07-10T19:47:46+05:30</t>
  </si>
  <si>
    <t>2026-07-10T22:48:02+05:30</t>
  </si>
  <si>
    <t>1p8b094spg5kb6m@marketplace.amazon.in</t>
  </si>
  <si>
    <t>BHADRACHALAM</t>
  </si>
  <si>
    <t>407-6843563-8186743</t>
  </si>
  <si>
    <t>TnJJj45F4</t>
  </si>
  <si>
    <t>DtGQwKBDcR0wR</t>
  </si>
  <si>
    <t>2026-07-05T12:52:24+05:30</t>
  </si>
  <si>
    <t>2026-07-10T19:43:46+05:30</t>
  </si>
  <si>
    <t>2026-07-10T19:43:51+05:30</t>
  </si>
  <si>
    <t>2026-07-10T20:44:13+05:30</t>
  </si>
  <si>
    <t>pfg316m8ksxy8sp@marketplace.amazon.in</t>
  </si>
  <si>
    <t>403-9740133-1577908</t>
  </si>
  <si>
    <t>T17kHC3Q4</t>
  </si>
  <si>
    <t>DgXNB4B1cf0yR</t>
  </si>
  <si>
    <t>2026-07-06T19:12:43+05:30</t>
  </si>
  <si>
    <t>2026-07-10T19:41:42+05:30</t>
  </si>
  <si>
    <t>2026-07-10T19:41:45+05:30</t>
  </si>
  <si>
    <t>2026-07-10T20:41:59+05:30</t>
  </si>
  <si>
    <t>qj4f3kfqq89f252@marketplace.amazon.in</t>
  </si>
  <si>
    <t>TALODA</t>
  </si>
  <si>
    <t>404-4501688-9084311</t>
  </si>
  <si>
    <t>TJ9FknPc9</t>
  </si>
  <si>
    <t>DNr4wJBvcr08R</t>
  </si>
  <si>
    <t>2026-07-10T12:42:40+05:30</t>
  </si>
  <si>
    <t>2026-07-10T19:40:44+05:30</t>
  </si>
  <si>
    <t>2026-07-10T19:40:48+05:30</t>
  </si>
  <si>
    <t>2026-07-10T20:41:04+05:30</t>
  </si>
  <si>
    <t>lhlh8nh6ryx32p4@marketplace.amazon.in</t>
  </si>
  <si>
    <t>405-6188539-2494737</t>
  </si>
  <si>
    <t>T3sdHXNq4</t>
  </si>
  <si>
    <t>DdrSwwBVcr08R</t>
  </si>
  <si>
    <t>2026-07-07T14:21:29+05:30</t>
  </si>
  <si>
    <t>2026-07-10T19:40:42+05:30</t>
  </si>
  <si>
    <t>2026-07-10T22:40:55+05:30</t>
  </si>
  <si>
    <t>dsxxdv6yvdtqtnm@marketplace.amazon.in</t>
  </si>
  <si>
    <t>406-8926799-6018766</t>
  </si>
  <si>
    <t>Tcdz1lPl9</t>
  </si>
  <si>
    <t>DdXlBnBbcf0yR</t>
  </si>
  <si>
    <t>2026-07-10T17:18:21+05:30</t>
  </si>
  <si>
    <t>2026-07-10T19:38:46+05:30</t>
  </si>
  <si>
    <t>2026-07-10T22:38:58+05:30</t>
  </si>
  <si>
    <t>wmh8f1v3s445ws9@marketplace.amazon.in</t>
  </si>
  <si>
    <t>406-6736693-2984347</t>
  </si>
  <si>
    <t>Tc8tnHXl4</t>
  </si>
  <si>
    <t>D12hBPBbcG07R</t>
  </si>
  <si>
    <t>2026-07-09T19:08:11+05:30</t>
  </si>
  <si>
    <t>2026-07-10T19:29:44+05:30</t>
  </si>
  <si>
    <t>2026-07-10T19:29:48+05:30</t>
  </si>
  <si>
    <t>2026-07-10T20:29:58+05:30</t>
  </si>
  <si>
    <t>dld8wx0qknzc3ny@marketplace.amazon.in</t>
  </si>
  <si>
    <t>AMBEJOGAI</t>
  </si>
  <si>
    <t>408-0089375-1825107</t>
  </si>
  <si>
    <t>T6SwNdPs9</t>
  </si>
  <si>
    <t>DFxXBMBBc20lR</t>
  </si>
  <si>
    <t>2026-07-10T12:54:44+05:30</t>
  </si>
  <si>
    <t>2026-07-10T19:24:53+05:30</t>
  </si>
  <si>
    <t>2026-07-10T22:25:05+05:30</t>
  </si>
  <si>
    <t>byqhrc30zm7d1b1@marketplace.amazon.in</t>
  </si>
  <si>
    <t>gonda</t>
  </si>
  <si>
    <t>405-9368999-1882708</t>
  </si>
  <si>
    <t>TXf4zJPJ9</t>
  </si>
  <si>
    <t>DXGzBBB8ch09R</t>
  </si>
  <si>
    <t>2026-07-10T10:27:43+05:30</t>
  </si>
  <si>
    <t>2026-07-10T19:24:42+05:30</t>
  </si>
  <si>
    <t>2026-07-10T22:24:54+05:30</t>
  </si>
  <si>
    <t>5xpnddh9kgk2zhv@marketplace.amazon.in</t>
  </si>
  <si>
    <t>408-5771952-2598702</t>
  </si>
  <si>
    <t>TX6bdwPm9</t>
  </si>
  <si>
    <t>DtRlBPBKct0XR</t>
  </si>
  <si>
    <t>2026-07-10T13:01:03+05:30</t>
  </si>
  <si>
    <t>2026-07-10T19:22:39+05:30</t>
  </si>
  <si>
    <t>2026-07-10T22:22:48+05:30</t>
  </si>
  <si>
    <t>1zwmr57vwcy654r@marketplace.amazon.in</t>
  </si>
  <si>
    <t>402-7541188-7521919</t>
  </si>
  <si>
    <t>TwpjbZXn4</t>
  </si>
  <si>
    <t>DtM39JBYct0dR</t>
  </si>
  <si>
    <t>2026-07-09T09:45:36+05:30</t>
  </si>
  <si>
    <t>2026-07-10T19:17:42+05:30</t>
  </si>
  <si>
    <t>2026-07-10T22:17:53+05:30</t>
  </si>
  <si>
    <t>55pwqsrmf8j4xls@marketplace.amazon.in</t>
  </si>
  <si>
    <t>403-6402416-8951542</t>
  </si>
  <si>
    <t>TCdR6Tv34</t>
  </si>
  <si>
    <t>DjbV9hBYc90xR</t>
  </si>
  <si>
    <t>2026-07-09T12:55:39+05:30</t>
  </si>
  <si>
    <t>2026-07-10T19:13:45+05:30</t>
  </si>
  <si>
    <t>2026-07-10T22:13:56+05:30</t>
  </si>
  <si>
    <t>j36t61wpgtfll4x@marketplace.amazon.in</t>
  </si>
  <si>
    <t>404-6459053-4330754</t>
  </si>
  <si>
    <t>TCdPr5yP4</t>
  </si>
  <si>
    <t>DnQm93B4cY07R</t>
  </si>
  <si>
    <t>2026-07-07T12:15:49+05:30</t>
  </si>
  <si>
    <t>2026-07-10T19:10:46+05:30</t>
  </si>
  <si>
    <t>2026-07-10T22:10:58+05:30</t>
  </si>
  <si>
    <t>2dr0hcsr2x50v79@marketplace.amazon.in</t>
  </si>
  <si>
    <t>varanasi</t>
  </si>
  <si>
    <t>405-3426764-9849952</t>
  </si>
  <si>
    <t>TnbjWty44</t>
  </si>
  <si>
    <t>DVq59hBfcd0DR</t>
  </si>
  <si>
    <t>2026-07-07T15:26:15+05:30</t>
  </si>
  <si>
    <t>2026-07-10T19:03:42+05:30</t>
  </si>
  <si>
    <t>2026-07-10T22:03:53+05:30</t>
  </si>
  <si>
    <t>vprhzzhbn27p49m@marketplace.amazon.in</t>
  </si>
  <si>
    <t>ARMUR</t>
  </si>
  <si>
    <t>406-6268799-0473125</t>
  </si>
  <si>
    <t>TVr99mPk9</t>
  </si>
  <si>
    <t>Dswj4lBrcg0zR</t>
  </si>
  <si>
    <t>2026-07-10T13:41:59+05:30</t>
  </si>
  <si>
    <t>2026-07-10T18:55:55+05:30</t>
  </si>
  <si>
    <t>2026-07-10T21:56:20+05:30</t>
  </si>
  <si>
    <t>tm7gwy1s56r8s8b@marketplace.amazon.in</t>
  </si>
  <si>
    <t>171-1649806-5561931</t>
  </si>
  <si>
    <t>TNCVllK44</t>
  </si>
  <si>
    <t>Dj2MbtBFcd0tR</t>
  </si>
  <si>
    <t>2026-07-10T10:25:02+05:30</t>
  </si>
  <si>
    <t>2026-07-10T18:24:42+05:30</t>
  </si>
  <si>
    <t>2026-07-10T21:24:53+05:30</t>
  </si>
  <si>
    <t>xn9145n9zgl07qm@marketplace.amazon.in</t>
  </si>
  <si>
    <t>406-9575164-8217153</t>
  </si>
  <si>
    <t>TJKHBlXH4</t>
  </si>
  <si>
    <t>DxnxbfBNcg0nR</t>
  </si>
  <si>
    <t>2026-07-09T18:49:28+05:30</t>
  </si>
  <si>
    <t>2026-07-10T18:17:45+05:30</t>
  </si>
  <si>
    <t>2026-07-10T21:17:57+05:30</t>
  </si>
  <si>
    <t>l8ww3xtyg5v7ft1@marketplace.amazon.in</t>
  </si>
  <si>
    <t>404-0575302-0961105</t>
  </si>
  <si>
    <t>TgSc69XY4</t>
  </si>
  <si>
    <t>DqN6kHBncF02R</t>
  </si>
  <si>
    <t>2026-07-09T16:54:38+05:30</t>
  </si>
  <si>
    <t>2026-07-10T18:17:44+05:30</t>
  </si>
  <si>
    <t>2026-07-10T21:17:56+05:30</t>
  </si>
  <si>
    <t>jg59wnsp89hvqrh@marketplace.amazon.in</t>
  </si>
  <si>
    <t>402-9140913-2762714</t>
  </si>
  <si>
    <t>TGzd1dyz4</t>
  </si>
  <si>
    <t>DYWrkwBHcv09R</t>
  </si>
  <si>
    <t>2026-07-07T13:07:42+05:30</t>
  </si>
  <si>
    <t>2026-07-10T18:03:46+05:30</t>
  </si>
  <si>
    <t>2026-07-10T21:03:58+05:30</t>
  </si>
  <si>
    <t>wc9dfn2f0wlbsp7@marketplace.amazon.in</t>
  </si>
  <si>
    <t>406-0053242-1137915</t>
  </si>
  <si>
    <t>TX9cRry04</t>
  </si>
  <si>
    <t>DrfpkKBqcy0FR</t>
  </si>
  <si>
    <t>2026-07-07T09:56:25+05:30</t>
  </si>
  <si>
    <t>2026-07-10T18:01:41+05:30</t>
  </si>
  <si>
    <t>2026-07-10T21:01:54+05:30</t>
  </si>
  <si>
    <t>9j5xvsktjtxvltg@marketplace.amazon.in</t>
  </si>
  <si>
    <t>408-9350014-4313900</t>
  </si>
  <si>
    <t>TGBqVcPW9</t>
  </si>
  <si>
    <t>Dsf6k6BMcy0FR</t>
  </si>
  <si>
    <t>2026-07-10T12:58:50+05:30</t>
  </si>
  <si>
    <t>2026-07-10T17:58:54+05:30</t>
  </si>
  <si>
    <t>2026-07-10T21:03:41+05:30</t>
  </si>
  <si>
    <t>2s4lv75qprkbv6j@marketplace.amazon.in</t>
  </si>
  <si>
    <t>406-9801897-3503516</t>
  </si>
  <si>
    <t>Tg4cy4KS4</t>
  </si>
  <si>
    <t>DcXDN2B4cP0nR</t>
  </si>
  <si>
    <t>2026-07-09T11:46:50+05:30</t>
  </si>
  <si>
    <t>2026-07-10T17:54:47+05:30</t>
  </si>
  <si>
    <t>2026-07-10T20:55:02+05:30</t>
  </si>
  <si>
    <t>qwbfk2rc58gwl95@marketplace.amazon.in</t>
  </si>
  <si>
    <t>407-9608208-8801150</t>
  </si>
  <si>
    <t>Tg3Kz2P19</t>
  </si>
  <si>
    <t>Dm4GNwBTc305R</t>
  </si>
  <si>
    <t>2026-07-10T15:33:04+05:30</t>
  </si>
  <si>
    <t>2026-07-10T17:53:46+05:30</t>
  </si>
  <si>
    <t>2026-07-10T20:53:58+05:30</t>
  </si>
  <si>
    <t>z9psdll862cxyxs@marketplace.amazon.in</t>
  </si>
  <si>
    <t>171-1335763-5094751</t>
  </si>
  <si>
    <t>Tgm1SlKT4</t>
  </si>
  <si>
    <t>DV4ZNmBnc305R</t>
  </si>
  <si>
    <t>2026-07-10T08:43:58+05:30</t>
  </si>
  <si>
    <t>2026-07-10T17:53:44+05:30</t>
  </si>
  <si>
    <t>2026-07-10T20:53:56+05:30</t>
  </si>
  <si>
    <t>k36ztvshggt3g1l@marketplace.amazon.in</t>
  </si>
  <si>
    <t>408-9448841-6010727</t>
  </si>
  <si>
    <t>Tnp2qxKc4</t>
  </si>
  <si>
    <t>DYTxNPBtct0VR</t>
  </si>
  <si>
    <t>2026-07-10T10:49:41+05:30</t>
  </si>
  <si>
    <t>2026-07-10T17:51:40+05:30</t>
  </si>
  <si>
    <t>2026-07-10T17:51:44+05:30</t>
  </si>
  <si>
    <t>2026-07-10T18:51:55+05:30</t>
  </si>
  <si>
    <t>9fjyh4nzqk1dfsn@marketplace.amazon.in</t>
  </si>
  <si>
    <t>404-2482222-8604348</t>
  </si>
  <si>
    <t>TC3HyfPD9</t>
  </si>
  <si>
    <t>Dq9mNbBhcY0lR</t>
  </si>
  <si>
    <t>2026-07-10T14:35:45+05:30</t>
  </si>
  <si>
    <t>2026-07-10T17:49:40+05:30</t>
  </si>
  <si>
    <t>2026-07-10T17:49:42+05:30</t>
  </si>
  <si>
    <t>2026-07-10T18:49:53+05:30</t>
  </si>
  <si>
    <t>09ln10rb7xcgswm@marketplace.amazon.in</t>
  </si>
  <si>
    <t>AMBIKAPUR</t>
  </si>
  <si>
    <t>171-8215496-4193156</t>
  </si>
  <si>
    <t>TcxqVgPF9</t>
  </si>
  <si>
    <t>Dx9KN0BqcY0lR</t>
  </si>
  <si>
    <t>2026-07-10T15:36:11+05:30</t>
  </si>
  <si>
    <t>2026-07-10T17:48:41+05:30</t>
  </si>
  <si>
    <t>2026-07-10T20:48:52+05:30</t>
  </si>
  <si>
    <t>hqs6n6wy1ywfl7t@marketplace.amazon.in</t>
  </si>
  <si>
    <t>Tiruttani</t>
  </si>
  <si>
    <t>404-9978360-7295564</t>
  </si>
  <si>
    <t>TXRzNvPf9</t>
  </si>
  <si>
    <t>DcfnNLBlch0YR</t>
  </si>
  <si>
    <t>2026-07-10T15:25:24+05:30</t>
  </si>
  <si>
    <t>2026-07-10T17:43:46+05:30</t>
  </si>
  <si>
    <t>2026-07-10T20:43:58+05:30</t>
  </si>
  <si>
    <t>kmbm3nml4v592ky@marketplace.amazon.in</t>
  </si>
  <si>
    <t>405-0975607-2617134</t>
  </si>
  <si>
    <t>TcL4l8X64</t>
  </si>
  <si>
    <t>DC13R2B2cs0RR</t>
  </si>
  <si>
    <t>2026-07-07T18:12:39+05:30</t>
  </si>
  <si>
    <t>2026-07-10T17:35:47+05:30</t>
  </si>
  <si>
    <t>2026-07-10T20:35:59+05:30</t>
  </si>
  <si>
    <t>6s0x78cvmt2hbs9@marketplace.amazon.in</t>
  </si>
  <si>
    <t>403-5424430-8521160</t>
  </si>
  <si>
    <t>TnvbX5KY4</t>
  </si>
  <si>
    <t>Dqq0RlBYcf07R</t>
  </si>
  <si>
    <t>2026-07-10T11:55:13+05:30</t>
  </si>
  <si>
    <t>2026-07-10T17:24:46+05:30</t>
  </si>
  <si>
    <t>2026-07-10T20:28:39+05:30</t>
  </si>
  <si>
    <t>3drghnkb1sdnnmn@marketplace.amazon.in</t>
  </si>
  <si>
    <t>BHAVNAGAR</t>
  </si>
  <si>
    <t>407-0856180-7497921</t>
  </si>
  <si>
    <t>Twk76l4X4</t>
  </si>
  <si>
    <t>DJp2RSBNc80vR</t>
  </si>
  <si>
    <t>2026-07-07T20:38:40+05:30</t>
  </si>
  <si>
    <t>2026-07-10T17:23:45+05:30</t>
  </si>
  <si>
    <t>2026-07-10T17:23:48+05:30</t>
  </si>
  <si>
    <t>2026-07-10T18:24:00+05:30</t>
  </si>
  <si>
    <t>1cpd7scfft4yh23@marketplace.amazon.in</t>
  </si>
  <si>
    <t>RAJSAMAND</t>
  </si>
  <si>
    <t>408-5437086-5368358</t>
  </si>
  <si>
    <t>TwCxfskC4</t>
  </si>
  <si>
    <t>DdpxRgBjcg0vR</t>
  </si>
  <si>
    <t>2026-07-06T18:09:11+05:30</t>
  </si>
  <si>
    <t>2026-07-10T17:22:47+05:30</t>
  </si>
  <si>
    <t>2026-07-10T20:22:58+05:30</t>
  </si>
  <si>
    <t>65z3b1hfmpxfpwb@marketplace.amazon.in</t>
  </si>
  <si>
    <t>406-3416753-2505938</t>
  </si>
  <si>
    <t>Tgt2t8S64</t>
  </si>
  <si>
    <t>DLFnfsMZcS0YR</t>
  </si>
  <si>
    <t>2026-07-06T23:15:20+05:30</t>
  </si>
  <si>
    <t>2026-07-10T17:02:52+05:30</t>
  </si>
  <si>
    <t>2026-07-10T20:03:09+05:30</t>
  </si>
  <si>
    <t>8p9zd9hr6vp4j94@marketplace.amazon.in</t>
  </si>
  <si>
    <t>403-4602188-4728335</t>
  </si>
  <si>
    <t>Tcr4KcX44</t>
  </si>
  <si>
    <t>DwM8fmMdcL0dR</t>
  </si>
  <si>
    <t>2026-07-09T21:21:40+05:30</t>
  </si>
  <si>
    <t>2026-07-10T16:55:42+05:30</t>
  </si>
  <si>
    <t>2026-07-10T19:55:53+05:30</t>
  </si>
  <si>
    <t>406-4813747-9633934</t>
  </si>
  <si>
    <t>T3Wj8pKr4</t>
  </si>
  <si>
    <t>DrD6jvMtcd0FR</t>
  </si>
  <si>
    <t>2026-07-10T12:56:38+05:30</t>
  </si>
  <si>
    <t>2026-07-10T16:46:49+05:30</t>
  </si>
  <si>
    <t>2026-07-10T19:47:06+05:30</t>
  </si>
  <si>
    <t>x2f5cw89gxdd93z@marketplace.amazon.in</t>
  </si>
  <si>
    <t>KALLA</t>
  </si>
  <si>
    <t>403-6087236-1967540</t>
  </si>
  <si>
    <t>TcMKGsK74</t>
  </si>
  <si>
    <t>DbqmfTM1c10bR</t>
  </si>
  <si>
    <t>2026-07-10T10:29:05+05:30</t>
  </si>
  <si>
    <t>2026-07-10T16:46:46+05:30</t>
  </si>
  <si>
    <t>2026-07-10T19:46:57+05:30</t>
  </si>
  <si>
    <t>ktnmtvr6p60q7yx@marketplace.amazon.in</t>
  </si>
  <si>
    <t>407-3142388-5732317</t>
  </si>
  <si>
    <t>Tcxh55Kq4</t>
  </si>
  <si>
    <t>Dd3njTMkcl0vR</t>
  </si>
  <si>
    <t>2026-07-10T10:41:17+05:30</t>
  </si>
  <si>
    <t>2026-07-10T16:45:48+05:30</t>
  </si>
  <si>
    <t>2026-07-10T19:46:02+05:30</t>
  </si>
  <si>
    <t>8p95jg255ysmq13@marketplace.amazon.in</t>
  </si>
  <si>
    <t>DbjJjdM4cq0JR</t>
  </si>
  <si>
    <t>Dlj9jdM4cq0JR</t>
  </si>
  <si>
    <t>DRjKjrM4cq0JR</t>
  </si>
  <si>
    <t>DyjsjrM4cq0JR</t>
  </si>
  <si>
    <t>DMjRjrM4cq0JR</t>
  </si>
  <si>
    <t>DzjdjJM4cq0JR</t>
  </si>
  <si>
    <t>DdjVjJM4cq0JR</t>
  </si>
  <si>
    <t>DSj5jxM4cq0JR</t>
  </si>
  <si>
    <t>407-4515276-1709128</t>
  </si>
  <si>
    <t>T1q0VwPQ9</t>
  </si>
  <si>
    <t>DrD7jtM2c60BR</t>
  </si>
  <si>
    <t>2026-07-10T14:26:34+05:30</t>
  </si>
  <si>
    <t>2026-07-10T16:42:45+05:30</t>
  </si>
  <si>
    <t>2026-07-10T19:42:57+05:30</t>
  </si>
  <si>
    <t>8qtqf5dtkdksfgh@marketplace.amazon.in</t>
  </si>
  <si>
    <t>403-0212305-4829146</t>
  </si>
  <si>
    <t>TwJJvj5s4</t>
  </si>
  <si>
    <t>DgjljdM0cP0JR</t>
  </si>
  <si>
    <t>2026-07-08T15:51:19+05:30</t>
  </si>
  <si>
    <t>2026-07-10T16:41:47+05:30</t>
  </si>
  <si>
    <t>2026-07-10T19:41:58+05:30</t>
  </si>
  <si>
    <t>d74zbbfd7c0hz9m@marketplace.amazon.in</t>
  </si>
  <si>
    <t>171-4635776-1801903</t>
  </si>
  <si>
    <t>TNqr7h4N4</t>
  </si>
  <si>
    <t>D9bNjBM9cL0JR</t>
  </si>
  <si>
    <t>2026-07-07T19:18:49+05:30</t>
  </si>
  <si>
    <t>2026-07-10T16:37:46+05:30</t>
  </si>
  <si>
    <t>2026-07-10T19:37:58+05:30</t>
  </si>
  <si>
    <t>dgwq6lxd2dfpcs3@marketplace.amazon.in</t>
  </si>
  <si>
    <t>406-7183682-5113964</t>
  </si>
  <si>
    <t>TCnQlXX14</t>
  </si>
  <si>
    <t>DfxSjtMWcV05R</t>
  </si>
  <si>
    <t>2026-07-09T20:52:56+05:30</t>
  </si>
  <si>
    <t>2026-07-10T16:35:47+05:30</t>
  </si>
  <si>
    <t>2026-07-10T19:35:58+05:30</t>
  </si>
  <si>
    <t>gbqqy1m19h5zk7h@marketplace.amazon.in</t>
  </si>
  <si>
    <t>406-6686826-3122730</t>
  </si>
  <si>
    <t>TwTXtmK74</t>
  </si>
  <si>
    <t>DdY4jnMVcK0jR</t>
  </si>
  <si>
    <t>2026-07-10T07:36:34+05:30</t>
  </si>
  <si>
    <t>2026-07-10T16:34:51+05:30</t>
  </si>
  <si>
    <t>2026-07-10T19:38:36+05:30</t>
  </si>
  <si>
    <t>n2z34hzn1bmp3sq@marketplace.amazon.in</t>
  </si>
  <si>
    <t>dindigul</t>
  </si>
  <si>
    <t>404-9133615-5467509</t>
  </si>
  <si>
    <t>T1NmHpKF4</t>
  </si>
  <si>
    <t>DQRDjvMHcV0cR</t>
  </si>
  <si>
    <t>2026-07-09T22:31:34+05:30</t>
  </si>
  <si>
    <t>2026-07-10T16:31:39+05:30</t>
  </si>
  <si>
    <t>2026-07-10T19:31:47+05:30</t>
  </si>
  <si>
    <t>4vc4hcfp1mdlyk3@marketplace.amazon.in</t>
  </si>
  <si>
    <t>408-1400244-5605919</t>
  </si>
  <si>
    <t>Twyg5hKL4</t>
  </si>
  <si>
    <t>DGZHZjMvcC0MR</t>
  </si>
  <si>
    <t>2026-07-10T09:20:19+05:30</t>
  </si>
  <si>
    <t>2026-07-10T16:20:45+05:30</t>
  </si>
  <si>
    <t>2026-07-10T19:20:56+05:30</t>
  </si>
  <si>
    <t>9s84f3hth6v1l9n@marketplace.amazon.in</t>
  </si>
  <si>
    <t>KOVURPALLE</t>
  </si>
  <si>
    <t>171-1915813-6959569</t>
  </si>
  <si>
    <t>TJ5LXZNb4</t>
  </si>
  <si>
    <t>Dv2BqrMscV0RR</t>
  </si>
  <si>
    <t>2026-07-07T16:38:16+05:30</t>
  </si>
  <si>
    <t>2026-07-10T16:10:44+05:30</t>
  </si>
  <si>
    <t>2026-07-10T19:10:58+05:30</t>
  </si>
  <si>
    <t>m2w999ky62k3hjs@marketplace.amazon.in</t>
  </si>
  <si>
    <t>D42PqNM2cV0RR</t>
  </si>
  <si>
    <t>DB2DqNM2cV0RR</t>
  </si>
  <si>
    <t>404-1326487-2042718</t>
  </si>
  <si>
    <t>TVCQ43P29</t>
  </si>
  <si>
    <t>D9hGq0MXct0fR</t>
  </si>
  <si>
    <t>2026-07-10T13:20:38+05:30</t>
  </si>
  <si>
    <t>2026-07-10T16:09:42+05:30</t>
  </si>
  <si>
    <t>2026-07-10T19:09:57+05:30</t>
  </si>
  <si>
    <t>4nx47ftp1v3q2j3@marketplace.amazon.in</t>
  </si>
  <si>
    <t>405-0506663-3468305</t>
  </si>
  <si>
    <t>T3VlcLNy4</t>
  </si>
  <si>
    <t>DWh1q9MWct0fR</t>
  </si>
  <si>
    <t>2026-07-07T12:52:34+05:30</t>
  </si>
  <si>
    <t>2026-07-10T16:08:49+05:30</t>
  </si>
  <si>
    <t>2026-07-10T19:09:06+05:30</t>
  </si>
  <si>
    <t>9g746zrfhbvpcyz@marketplace.amazon.in</t>
  </si>
  <si>
    <t>TADPATRI</t>
  </si>
  <si>
    <t>171-0394454-2872338</t>
  </si>
  <si>
    <t>T3j16Mvc4</t>
  </si>
  <si>
    <t>DYzsq3MHcm0JR</t>
  </si>
  <si>
    <t>2026-07-09T13:58:15+05:30</t>
  </si>
  <si>
    <t>2026-07-10T16:05:48+05:30</t>
  </si>
  <si>
    <t>2026-07-10T16:05:50+05:30</t>
  </si>
  <si>
    <t>2026-07-10T17:06:01+05:30</t>
  </si>
  <si>
    <t>s0jjjmxpr5v4h18@marketplace.amazon.in</t>
  </si>
  <si>
    <t>408-2596105-3720349</t>
  </si>
  <si>
    <t>TGq1XnKS4</t>
  </si>
  <si>
    <t>DYNq52Mvcy0PR</t>
  </si>
  <si>
    <t>2026-07-10T10:25:12+05:30</t>
  </si>
  <si>
    <t>2026-07-10T15:51:45+05:30</t>
  </si>
  <si>
    <t>2026-07-10T18:51:57+05:30</t>
  </si>
  <si>
    <t>n43l1stg52hm2bp@marketplace.amazon.in</t>
  </si>
  <si>
    <t>402-4526316-4873161</t>
  </si>
  <si>
    <t>TwvTWGKt4</t>
  </si>
  <si>
    <t>DDMB5QMmcH0hR</t>
  </si>
  <si>
    <t>2026-07-08T12:32:38+05:30</t>
  </si>
  <si>
    <t>2026-07-10T15:48:58+05:30</t>
  </si>
  <si>
    <t>2026-07-10T18:49:15+05:30</t>
  </si>
  <si>
    <t>kq5gbpshddl3t4l@marketplace.amazon.in</t>
  </si>
  <si>
    <t>CHALAKUDY</t>
  </si>
  <si>
    <t>403-8132458-5921960</t>
  </si>
  <si>
    <t>TV0Q4nPF9</t>
  </si>
  <si>
    <t>DhbN5zMdcN0FR</t>
  </si>
  <si>
    <t>2026-07-10T13:25:44+05:30</t>
  </si>
  <si>
    <t>2026-07-10T15:48:46+05:30</t>
  </si>
  <si>
    <t>2026-07-10T18:48:57+05:30</t>
  </si>
  <si>
    <t>bz2ztw03lg4k28p@marketplace.amazon.in</t>
  </si>
  <si>
    <t>408-2135708-3347531</t>
  </si>
  <si>
    <t>TwWD91PS9</t>
  </si>
  <si>
    <t>DZdc5wM3cs0dR</t>
  </si>
  <si>
    <t>2026-07-10T13:49:12+05:30</t>
  </si>
  <si>
    <t>2026-07-10T15:45:41+05:30</t>
  </si>
  <si>
    <t>2026-07-10T18:45:53+05:30</t>
  </si>
  <si>
    <t>4vdsnzh6393cdrh@marketplace.amazon.in</t>
  </si>
  <si>
    <t>AMBUR</t>
  </si>
  <si>
    <t>406-0640525-4726754</t>
  </si>
  <si>
    <t>T6CRmsNh4</t>
  </si>
  <si>
    <t>DJnBgdMjcB0rR</t>
  </si>
  <si>
    <t>2026-07-08T08:40:28+05:30</t>
  </si>
  <si>
    <t>2026-07-10T15:27:40+05:30</t>
  </si>
  <si>
    <t>2026-07-10T15:27:43+05:30</t>
  </si>
  <si>
    <t>2026-07-10T16:27:57+05:30</t>
  </si>
  <si>
    <t>z6tsyqd05g5qm66@marketplace.amazon.in</t>
  </si>
  <si>
    <t>405-1549597-0801137</t>
  </si>
  <si>
    <t>TgRS45X14</t>
  </si>
  <si>
    <t>DWpjgJM8cw0nR</t>
  </si>
  <si>
    <t>2026-07-06T20:45:00+05:30</t>
  </si>
  <si>
    <t>2026-07-10T15:23:42+05:30</t>
  </si>
  <si>
    <t>2026-07-10T15:23:45+05:30</t>
  </si>
  <si>
    <t>2026-07-10T16:24:00+05:30</t>
  </si>
  <si>
    <t>wb9g94zfs9z93dl@marketplace.amazon.in</t>
  </si>
  <si>
    <t>BARMER</t>
  </si>
  <si>
    <t>408-4903347-7294763</t>
  </si>
  <si>
    <t>TXJ7KNKx4</t>
  </si>
  <si>
    <t>DzR0gsMRcP0CR</t>
  </si>
  <si>
    <t>2026-07-10T09:34:19+05:30</t>
  </si>
  <si>
    <t>2026-07-10T15:21:42+05:30</t>
  </si>
  <si>
    <t>2026-07-10T18:21:54+05:30</t>
  </si>
  <si>
    <t>cvswzbds66rqtrf@marketplace.amazon.in</t>
  </si>
  <si>
    <t>408-8468405-9757901</t>
  </si>
  <si>
    <t>Tc7NKkvP4</t>
  </si>
  <si>
    <t>DjdR8XMDcx0HR</t>
  </si>
  <si>
    <t>2026-07-09T14:05:55+05:30</t>
  </si>
  <si>
    <t>2026-07-10T15:07:42+05:30</t>
  </si>
  <si>
    <t>2026-07-10T18:07:53+05:30</t>
  </si>
  <si>
    <t>j1sxstxg6cgr30g@marketplace.amazon.in</t>
  </si>
  <si>
    <t>403-4027375-6223524</t>
  </si>
  <si>
    <t>T6qMmrvZ4</t>
  </si>
  <si>
    <t>D8GxXxM2cp0GR</t>
  </si>
  <si>
    <t>2026-07-09T12:39:46+05:30</t>
  </si>
  <si>
    <t>2026-07-10T14:50:44+05:30</t>
  </si>
  <si>
    <t>2026-07-10T17:51:00+05:30</t>
  </si>
  <si>
    <t>ppvqp92308xc7lb@marketplace.amazon.in</t>
  </si>
  <si>
    <t>LOHARDAGA</t>
  </si>
  <si>
    <t>403-0481425-7086714</t>
  </si>
  <si>
    <t>T33zT1KV4</t>
  </si>
  <si>
    <t>DK4GC2MPc50bR</t>
  </si>
  <si>
    <t>2026-07-10T04:42:09+05:30</t>
  </si>
  <si>
    <t>2026-07-10T14:43:49+05:30</t>
  </si>
  <si>
    <t>2026-07-10T17:44:02+05:30</t>
  </si>
  <si>
    <t>nzk647jd94n3vkd@marketplace.amazon.in</t>
  </si>
  <si>
    <t>408-8691100-3954743</t>
  </si>
  <si>
    <t>TcD2S9KR4</t>
  </si>
  <si>
    <t>DJtrCnMRcv0BR</t>
  </si>
  <si>
    <t>2026-07-10T07:41:04+05:30</t>
  </si>
  <si>
    <t>2026-07-10T14:39:46+05:30</t>
  </si>
  <si>
    <t>2026-07-10T17:39:59+05:30</t>
  </si>
  <si>
    <t>rj17w4f097mnwl9@marketplace.amazon.in</t>
  </si>
  <si>
    <t>405-4174011-0109152</t>
  </si>
  <si>
    <t>TwyKR83d4</t>
  </si>
  <si>
    <t>DBjCpnMdcG0PR</t>
  </si>
  <si>
    <t>2026-07-06T18:06:57+05:30</t>
  </si>
  <si>
    <t>2026-07-10T14:25:46+05:30</t>
  </si>
  <si>
    <t>2026-07-10T17:26:02+05:30</t>
  </si>
  <si>
    <t>yxwhzdtl892gnrj@marketplace.amazon.in</t>
  </si>
  <si>
    <t>404-1098142-8033128</t>
  </si>
  <si>
    <t>T6gVZ1K24</t>
  </si>
  <si>
    <t>Dh6zppMPcn0lR</t>
  </si>
  <si>
    <t>2026-07-10T12:04:26+05:30</t>
  </si>
  <si>
    <t>2026-07-10T14:23:44+05:30</t>
  </si>
  <si>
    <t>2026-07-10T17:23:55+05:30</t>
  </si>
  <si>
    <t>p8crqh283rbnb32@marketplace.amazon.in</t>
  </si>
  <si>
    <t>TIRUVANNAMALAI</t>
  </si>
  <si>
    <t>407-2181621-8650716</t>
  </si>
  <si>
    <t>Tw3cg5XP4</t>
  </si>
  <si>
    <t>DBhypqMCcj0rR</t>
  </si>
  <si>
    <t>2026-07-09T22:28:21+05:30</t>
  </si>
  <si>
    <t>2026-07-10T14:19:49+05:30</t>
  </si>
  <si>
    <t>2026-07-10T17:20:04+05:30</t>
  </si>
  <si>
    <t>4mc2v311z4xmtq3@marketplace.amazon.in</t>
  </si>
  <si>
    <t>407-2458745-5385960</t>
  </si>
  <si>
    <t>T16ZQKy54</t>
  </si>
  <si>
    <t>D1qCpQMVcJ0MR</t>
  </si>
  <si>
    <t>2026-07-07T11:59:56+05:30</t>
  </si>
  <si>
    <t>2026-07-10T14:17:46+05:30</t>
  </si>
  <si>
    <t>2026-07-10T17:17:57+05:30</t>
  </si>
  <si>
    <t>t8tsbljkhhddh9y@marketplace.amazon.in</t>
  </si>
  <si>
    <t>TIRUKALUKUNDRAM</t>
  </si>
  <si>
    <t>408-2468024-4523520</t>
  </si>
  <si>
    <t>TVJrLxSt4</t>
  </si>
  <si>
    <t>Dxcgp5MrcL0DR</t>
  </si>
  <si>
    <t>2026-07-08T21:01:20+05:30</t>
  </si>
  <si>
    <t>2026-07-10T14:16:45+05:30</t>
  </si>
  <si>
    <t>2026-07-10T14:16:48+05:30</t>
  </si>
  <si>
    <t>2026-07-10T15:17:04+05:30</t>
  </si>
  <si>
    <t>kmw6fpq7mj1334y@marketplace.amazon.in</t>
  </si>
  <si>
    <t>407-1771821-3212311</t>
  </si>
  <si>
    <t>T6K9nPKP4</t>
  </si>
  <si>
    <t>DwFrKrMmcv07R</t>
  </si>
  <si>
    <t>2026-07-10T04:38:09+05:30</t>
  </si>
  <si>
    <t>2026-07-10T13:55:43+05:30</t>
  </si>
  <si>
    <t>2026-07-10T13:55:48+05:30</t>
  </si>
  <si>
    <t>2026-07-10T14:56:08+05:30</t>
  </si>
  <si>
    <t>KANNAPURAM</t>
  </si>
  <si>
    <t>404-6985554-6826705</t>
  </si>
  <si>
    <t>TXjtm9vx4</t>
  </si>
  <si>
    <t>D3NWK8M9c001R</t>
  </si>
  <si>
    <t>2026-07-09T13:16:00+05:30</t>
  </si>
  <si>
    <t>2026-07-10T13:53:44+05:30</t>
  </si>
  <si>
    <t>2026-07-10T16:53:57+05:30</t>
  </si>
  <si>
    <t>qg4gvstqsssn040@marketplace.amazon.in</t>
  </si>
  <si>
    <t>408-6564397-5305137</t>
  </si>
  <si>
    <t>T65vxFXN4</t>
  </si>
  <si>
    <t>D4vDKvMQcn0zR</t>
  </si>
  <si>
    <t>2026-07-09T18:21:30+05:30</t>
  </si>
  <si>
    <t>2026-07-10T13:52:43+05:30</t>
  </si>
  <si>
    <t>2026-07-10T16:52:55+05:30</t>
  </si>
  <si>
    <t>f4tnczrf5mbpymv@marketplace.amazon.in</t>
  </si>
  <si>
    <t>RAIGANJ</t>
  </si>
  <si>
    <t>171-6399700-4060339</t>
  </si>
  <si>
    <t>TnhztQK14</t>
  </si>
  <si>
    <t>DT1BmDMgcf0CR</t>
  </si>
  <si>
    <t>2026-07-10T08:22:58+05:30</t>
  </si>
  <si>
    <t>2026-07-10T13:33:47+05:30</t>
  </si>
  <si>
    <t>2026-07-10T16:33:59+05:30</t>
  </si>
  <si>
    <t>b8pz5zwgz7r3gxg@marketplace.amazon.in</t>
  </si>
  <si>
    <t>404-0144071-9919512</t>
  </si>
  <si>
    <t>TGjgGgKs4</t>
  </si>
  <si>
    <t>DRfgmgMbct0sR</t>
  </si>
  <si>
    <t>2026-07-10T10:44:48+05:30</t>
  </si>
  <si>
    <t>2026-07-10T13:28:43+05:30</t>
  </si>
  <si>
    <t>2026-07-10T13:28:47+05:30</t>
  </si>
  <si>
    <t>2026-07-10T14:28:57+05:30</t>
  </si>
  <si>
    <t>c3t18ml7y6fnp73@marketplace.amazon.in</t>
  </si>
  <si>
    <t>408-6189040-5071536</t>
  </si>
  <si>
    <t>T1bWMKKt4</t>
  </si>
  <si>
    <t>DCZDlkMscS0xR</t>
  </si>
  <si>
    <t>2026-07-10T09:09:58+05:30</t>
  </si>
  <si>
    <t>2026-07-10T13:14:43+05:30</t>
  </si>
  <si>
    <t>2026-07-10T13:14:46+05:30</t>
  </si>
  <si>
    <t>2026-07-10T14:14:57+05:30</t>
  </si>
  <si>
    <t>bsqw7940jyzb4h8@marketplace.amazon.in</t>
  </si>
  <si>
    <t>171-9854107-7152318</t>
  </si>
  <si>
    <t>TN0R4bKq4</t>
  </si>
  <si>
    <t>DrQmlLMxcn0vR</t>
  </si>
  <si>
    <t>2026-07-09T23:53:30+05:30</t>
  </si>
  <si>
    <t>2026-07-10T13:12:43+05:30</t>
  </si>
  <si>
    <t>2026-07-10T16:12:54+05:30</t>
  </si>
  <si>
    <t>3fhq3h9zb3p909m@marketplace.amazon.in</t>
  </si>
  <si>
    <t>403-4685010-2865134</t>
  </si>
  <si>
    <t>TJMMltKW4</t>
  </si>
  <si>
    <t>DgxBlWMYc506R</t>
  </si>
  <si>
    <t>2026-07-10T07:58:11+05:30</t>
  </si>
  <si>
    <t>2026-07-10T13:07:48+05:30</t>
  </si>
  <si>
    <t>2026-07-10T16:07:59+05:30</t>
  </si>
  <si>
    <t>9m5hygkrjy4bzpp@marketplace.amazon.in</t>
  </si>
  <si>
    <t>KONGANAPURAM</t>
  </si>
  <si>
    <t>408-5439115-3757904</t>
  </si>
  <si>
    <t>Tcf43pXW4</t>
  </si>
  <si>
    <t>DY5c0TMwcn0xR</t>
  </si>
  <si>
    <t>2026-07-09T17:30:17+05:30</t>
  </si>
  <si>
    <t>2026-07-10T13:07:47+05:30</t>
  </si>
  <si>
    <t>9xscdvjp8487lg0@marketplace.amazon.in</t>
  </si>
  <si>
    <t>KGF</t>
  </si>
  <si>
    <t>405-0569553-0633139</t>
  </si>
  <si>
    <t>Tnxj0zKn4</t>
  </si>
  <si>
    <t>DMwg0yMJcN0sR</t>
  </si>
  <si>
    <t>2026-07-10T08:42:29+05:30</t>
  </si>
  <si>
    <t>2026-07-10T12:57:44+05:30</t>
  </si>
  <si>
    <t>2026-07-10T15:57:57+05:30</t>
  </si>
  <si>
    <t>m6mtxnrtrrfdf90@marketplace.amazon.in</t>
  </si>
  <si>
    <t>Shirpur</t>
  </si>
  <si>
    <t>407-8741535-7725156</t>
  </si>
  <si>
    <t>TN6Wg9vJ4</t>
  </si>
  <si>
    <t>DpVk0HMFcR0dR</t>
  </si>
  <si>
    <t>2026-07-09T13:47:44+05:30</t>
  </si>
  <si>
    <t>2026-07-10T12:55:43+05:30</t>
  </si>
  <si>
    <t>2026-07-10T15:55:54+05:30</t>
  </si>
  <si>
    <t>kh98x4yjm36w540@marketplace.amazon.in</t>
  </si>
  <si>
    <t>408-4813225-5511512</t>
  </si>
  <si>
    <t>T3sb0tv24</t>
  </si>
  <si>
    <t>DzTh0lMTcH0KR</t>
  </si>
  <si>
    <t>2026-07-09T10:05:50+05:30</t>
  </si>
  <si>
    <t>2026-07-10T12:54:56+05:30</t>
  </si>
  <si>
    <t>2026-07-10T15:55:28+05:30</t>
  </si>
  <si>
    <t>4dh3kvdncwtpt6w@marketplace.amazon.in</t>
  </si>
  <si>
    <t>404-9237182-9058753</t>
  </si>
  <si>
    <t>TwFX0gXK4</t>
  </si>
  <si>
    <t>DgdRS2M9cd0dR</t>
  </si>
  <si>
    <t>2026-07-09T19:56:07+05:30</t>
  </si>
  <si>
    <t>2026-07-10T12:38:51+05:30</t>
  </si>
  <si>
    <t>2026-07-10T15:39:04+05:30</t>
  </si>
  <si>
    <t>dppln8b9dy7z13z@marketplace.amazon.in</t>
  </si>
  <si>
    <t>408-7849617-7261900</t>
  </si>
  <si>
    <t>TNKG2MvX4</t>
  </si>
  <si>
    <t>D8nzSWMDcL01R</t>
  </si>
  <si>
    <t>2026-07-09T07:09:22+05:30</t>
  </si>
  <si>
    <t>2026-07-10T12:30:43+05:30</t>
  </si>
  <si>
    <t>2026-07-10T15:30:55+05:30</t>
  </si>
  <si>
    <t>98dy8cnbpz8rqfv@marketplace.amazon.in</t>
  </si>
  <si>
    <t>403-9996275-0895517</t>
  </si>
  <si>
    <t>TGCz4gFD4</t>
  </si>
  <si>
    <t>DDBh6fMhcD02R</t>
  </si>
  <si>
    <t>2026-07-07T00:05:18+05:30</t>
  </si>
  <si>
    <t>2026-07-10T12:29:46+05:30</t>
  </si>
  <si>
    <t>2026-07-10T15:29:57+05:30</t>
  </si>
  <si>
    <t>62systmlhm45ghj@marketplace.amazon.in</t>
  </si>
  <si>
    <t>408-0676962-1571533</t>
  </si>
  <si>
    <t>TXXTg5KR4</t>
  </si>
  <si>
    <t>DwM96hMycx01R</t>
  </si>
  <si>
    <t>2026-07-10T10:24:11+05:30</t>
  </si>
  <si>
    <t>2026-07-10T12:27:42+05:30</t>
  </si>
  <si>
    <t>2026-07-10T15:27:54+05:30</t>
  </si>
  <si>
    <t>ckpqnsf8x9989bd@marketplace.amazon.in</t>
  </si>
  <si>
    <t>402-4009909-5037967</t>
  </si>
  <si>
    <t>T1CGXzKm4</t>
  </si>
  <si>
    <t>DJHJ6pM7c40gR</t>
  </si>
  <si>
    <t>2026-07-10T10:31:34+05:30</t>
  </si>
  <si>
    <t>2026-07-10T12:22:43+05:30</t>
  </si>
  <si>
    <t>2026-07-10T12:22:45+05:30</t>
  </si>
  <si>
    <t>2026-07-10T13:22:58+05:30</t>
  </si>
  <si>
    <t>24kzv2345tphr8j@marketplace.amazon.in</t>
  </si>
  <si>
    <t>404-9849215-6637955</t>
  </si>
  <si>
    <t>TGKxCsKr4</t>
  </si>
  <si>
    <t>DSLp6rMgcc0TR</t>
  </si>
  <si>
    <t>2026-07-10T10:10:50+05:30</t>
  </si>
  <si>
    <t>2026-07-10T12:17:43+05:30</t>
  </si>
  <si>
    <t>2026-07-10T15:17:55+05:30</t>
  </si>
  <si>
    <t>ysf1m9phx64cp92@marketplace.amazon.in</t>
  </si>
  <si>
    <t>402-8142812-9844347</t>
  </si>
  <si>
    <t>Tgfj3lXw4</t>
  </si>
  <si>
    <t>D34HdjMhcC06R</t>
  </si>
  <si>
    <t>2026-07-09T19:46:16+05:30</t>
  </si>
  <si>
    <t>2026-07-10T12:16:48+05:30</t>
  </si>
  <si>
    <t>h5xzh9cbpjvb6nf@marketplace.amazon.in</t>
  </si>
  <si>
    <t>JAGGAYYAPETA</t>
  </si>
  <si>
    <t>402-9349487-7548344</t>
  </si>
  <si>
    <t>TV7PdpKc4</t>
  </si>
  <si>
    <t>D8B9drMNcx0mR</t>
  </si>
  <si>
    <t>2026-07-10T07:08:34+05:30</t>
  </si>
  <si>
    <t>2026-07-10T12:13:45+05:30</t>
  </si>
  <si>
    <t>2026-07-10T15:13:57+05:30</t>
  </si>
  <si>
    <t>pn4z525cwbqxxjj@marketplace.amazon.in</t>
  </si>
  <si>
    <t>402-5406931-5579511</t>
  </si>
  <si>
    <t>TwDgyxKC4</t>
  </si>
  <si>
    <t>DwsjdjMXc003R</t>
  </si>
  <si>
    <t>2026-07-09T20:44:38+05:30</t>
  </si>
  <si>
    <t>2026-07-10T12:03:47+05:30</t>
  </si>
  <si>
    <t>2026-07-10T12:03:50+05:30</t>
  </si>
  <si>
    <t>2026-07-10T13:04:00+05:30</t>
  </si>
  <si>
    <t>crm18g0r86mb5y1@marketplace.amazon.in</t>
  </si>
  <si>
    <t>408-1519324-5437959</t>
  </si>
  <si>
    <t>TV7wC5Kk4</t>
  </si>
  <si>
    <t>DpmXGGMZcc0VR</t>
  </si>
  <si>
    <t>2026-07-10T10:09:07+05:30</t>
  </si>
  <si>
    <t>2026-07-10T11:52:42+05:30</t>
  </si>
  <si>
    <t>2026-07-10T14:52:56+05:30</t>
  </si>
  <si>
    <t>jqkp301cjc7l05y@marketplace.amazon.in</t>
  </si>
  <si>
    <t>Padur</t>
  </si>
  <si>
    <t>171-6652478-2461102</t>
  </si>
  <si>
    <t>TCPnJjKL4</t>
  </si>
  <si>
    <t>DK6FGgMpcP0TR</t>
  </si>
  <si>
    <t>2026-07-10T09:59:36+05:30</t>
  </si>
  <si>
    <t>2026-07-10T11:47:44+05:30</t>
  </si>
  <si>
    <t>2026-07-10T14:47:54+05:30</t>
  </si>
  <si>
    <t>s79n5fq2v7br35q@marketplace.amazon.in</t>
  </si>
  <si>
    <t>402-3130704-8477908</t>
  </si>
  <si>
    <t>TXj188jC4</t>
  </si>
  <si>
    <t>DlmftGMjcN05R</t>
  </si>
  <si>
    <t>2026-07-06T00:19:55+05:30</t>
  </si>
  <si>
    <t>2026-07-10T11:37:43+05:30</t>
  </si>
  <si>
    <t>2026-07-10T14:37:54+05:30</t>
  </si>
  <si>
    <t>5dh3l2ybmfhfrmz@marketplace.amazon.in</t>
  </si>
  <si>
    <t>404-9106562-9175517</t>
  </si>
  <si>
    <t>TX62qhX14</t>
  </si>
  <si>
    <t>DtTGtCMCc20DR</t>
  </si>
  <si>
    <t>2026-07-09T23:59:37+05:30</t>
  </si>
  <si>
    <t>2026-07-10T11:29:41+05:30</t>
  </si>
  <si>
    <t>2026-07-10T14:29:52+05:30</t>
  </si>
  <si>
    <t>94d6txksxlxg510@marketplace.amazon.in</t>
  </si>
  <si>
    <t>Nellikuppam</t>
  </si>
  <si>
    <t>405-6602221-1753136</t>
  </si>
  <si>
    <t>TNtZt9KM4</t>
  </si>
  <si>
    <t>D5hCPlMNcf0mR</t>
  </si>
  <si>
    <t>2026-07-10T09:03:06+05:30</t>
  </si>
  <si>
    <t>2026-07-10T11:09:42+05:30</t>
  </si>
  <si>
    <t>2026-07-10T11:09:45+05:30</t>
  </si>
  <si>
    <t>2026-07-10T12:09:55+05:30</t>
  </si>
  <si>
    <t>wbnsg3f3sgzmcjr@marketplace.amazon.in</t>
  </si>
  <si>
    <t>403-8671795-5267512</t>
  </si>
  <si>
    <t>TX9p0LD14</t>
  </si>
  <si>
    <t>Dnp9PTMgcb0SR</t>
  </si>
  <si>
    <t>2026-07-04T21:42:57+05:30</t>
  </si>
  <si>
    <t>2026-07-10T11:07:50+05:30</t>
  </si>
  <si>
    <t>2026-07-10T14:11:52+05:30</t>
  </si>
  <si>
    <t>n1lwx11z22kpbys@marketplace.amazon.in</t>
  </si>
  <si>
    <t>171-0334576-0599533</t>
  </si>
  <si>
    <t>TVTHgtX84</t>
  </si>
  <si>
    <t>DBsbTVMlcF0QR</t>
  </si>
  <si>
    <t>2026-07-09T22:00:34+05:30</t>
  </si>
  <si>
    <t>2026-07-10T10:49:50+05:30</t>
  </si>
  <si>
    <t>2026-07-10T10:49:52+05:30</t>
  </si>
  <si>
    <t>2026-07-10T11:50:05+05:30</t>
  </si>
  <si>
    <t>71w12cg56vsg1t1@marketplace.amazon.in</t>
  </si>
  <si>
    <t>171-0015482-0185118</t>
  </si>
  <si>
    <t>TcZDFsKQ4</t>
  </si>
  <si>
    <t>DSkQnhMwc20mR</t>
  </si>
  <si>
    <t>2026-07-09T21:01:36+05:30</t>
  </si>
  <si>
    <t>2026-07-10T10:44:45+05:30</t>
  </si>
  <si>
    <t>2026-07-10T10:44:47+05:30</t>
  </si>
  <si>
    <t>2026-07-10T11:44:59+05:30</t>
  </si>
  <si>
    <t>hkw7h59ykhvtdvg@marketplace.amazon.in</t>
  </si>
  <si>
    <t>Barrackpore</t>
  </si>
  <si>
    <t>171-0725535-6878741</t>
  </si>
  <si>
    <t>TNRWMqKb4</t>
  </si>
  <si>
    <t>DRGtnZMBc900R</t>
  </si>
  <si>
    <t>2026-07-10T08:02:14+05:30</t>
  </si>
  <si>
    <t>2026-07-10T10:32:46+05:30</t>
  </si>
  <si>
    <t>2026-07-10T13:32:57+05:30</t>
  </si>
  <si>
    <t>nt449tl0ydfhwpd@marketplace.amazon.in</t>
  </si>
  <si>
    <t>404-3033633-4594764</t>
  </si>
  <si>
    <t>T3jK131z4</t>
  </si>
  <si>
    <t>DBKgx2Mxcm0dR</t>
  </si>
  <si>
    <t>2026-07-05T15:46:01+05:30</t>
  </si>
  <si>
    <t>2026-07-10T10:31:49+05:30</t>
  </si>
  <si>
    <t>2026-07-10T13:32:04+05:30</t>
  </si>
  <si>
    <t>n1fzfkb7kxksx7m@marketplace.amazon.in</t>
  </si>
  <si>
    <t>406-0290115-9492334</t>
  </si>
  <si>
    <t>TcybP3KY4</t>
  </si>
  <si>
    <t>DhKN30M4c30SR</t>
  </si>
  <si>
    <t>2026-07-10T07:16:10+05:30</t>
  </si>
  <si>
    <t>2026-07-10T10:16:41+05:30</t>
  </si>
  <si>
    <t>2026-07-10T13:16:52+05:30</t>
  </si>
  <si>
    <t>p9tsqsncjrjfscg@marketplace.amazon.in</t>
  </si>
  <si>
    <t>404-4418415-4965938</t>
  </si>
  <si>
    <t>TJzWMMKZ4</t>
  </si>
  <si>
    <t>DY6C3cMxcr0SR</t>
  </si>
  <si>
    <t>2026-07-10T08:51:30+05:30</t>
  </si>
  <si>
    <t>2026-07-10T10:04:39+05:30</t>
  </si>
  <si>
    <t>2026-07-10T10:04:41+05:30</t>
  </si>
  <si>
    <t>2026-07-10T11:04:52+05:30</t>
  </si>
  <si>
    <t>tzx77zmwshb45xc@marketplace.amazon.in</t>
  </si>
  <si>
    <t>406-1829555-1774728</t>
  </si>
  <si>
    <t>TnhpdWKL4</t>
  </si>
  <si>
    <t>DzP33nMhc20NR</t>
  </si>
  <si>
    <t>2026-07-10T07:29:21+05:30</t>
  </si>
  <si>
    <t>2026-07-10T09:57:44+05:30</t>
  </si>
  <si>
    <t>2026-07-10T12:57:56+05:30</t>
  </si>
  <si>
    <t>zy1w8byhfv70yh9@marketplace.amazon.in</t>
  </si>
  <si>
    <t>408-7455413-9796364</t>
  </si>
  <si>
    <t>TGRBqcFZ4</t>
  </si>
  <si>
    <t>DPhgJ9Mhc00WR</t>
  </si>
  <si>
    <t>2026-07-06T23:00:23+05:30</t>
  </si>
  <si>
    <t>2026-07-10T09:46:47+05:30</t>
  </si>
  <si>
    <t>2026-07-10T12:47:04+05:30</t>
  </si>
  <si>
    <t>s4zgnk3rl92m6pw@marketplace.amazon.in</t>
  </si>
  <si>
    <t>403-1651313-1149169</t>
  </si>
  <si>
    <t>TC10x6KP4</t>
  </si>
  <si>
    <t>DHtPMQMgcW0VR</t>
  </si>
  <si>
    <t>2026-07-10T08:26:47+05:30</t>
  </si>
  <si>
    <t>2026-07-10T09:33:41+05:30</t>
  </si>
  <si>
    <t>2026-07-10T12:33:53+05:30</t>
  </si>
  <si>
    <t>npjl8r6hqn5bdqk@marketplace.amazon.in</t>
  </si>
  <si>
    <t>2026-07-10T20:00:00+05:30</t>
  </si>
  <si>
    <t>404-6914773-4453145</t>
  </si>
  <si>
    <t>TGyd1VKJ4</t>
  </si>
  <si>
    <t>DjWyMMMqcy0FR</t>
  </si>
  <si>
    <t>2026-07-10T07:36:12+05:30</t>
  </si>
  <si>
    <t>2026-07-10T09:28:41+05:30</t>
  </si>
  <si>
    <t>2026-07-10T12:28:52+05:30</t>
  </si>
  <si>
    <t>4xjshn552lxq6my@marketplace.amazon.in</t>
  </si>
  <si>
    <t>405-9030609-1426764</t>
  </si>
  <si>
    <t>TgxSq7Xd4</t>
  </si>
  <si>
    <t>D8Z919M7cl0LR</t>
  </si>
  <si>
    <t>2026-07-09T23:34:49+05:30</t>
  </si>
  <si>
    <t>2026-07-10T09:18:42+05:30</t>
  </si>
  <si>
    <t>2026-07-10T09:18:44+05:30</t>
  </si>
  <si>
    <t>2026-07-10T10:18:56+05:30</t>
  </si>
  <si>
    <t>62sd6c7js03h1xk@marketplace.amazon.in</t>
  </si>
  <si>
    <t>408-6156895-0858740</t>
  </si>
  <si>
    <t>TVxm57XQ4</t>
  </si>
  <si>
    <t>DfT31mMRcH0xR</t>
  </si>
  <si>
    <t>2026-07-09T22:48:40+05:30</t>
  </si>
  <si>
    <t>2026-07-10T09:14:42+05:30</t>
  </si>
  <si>
    <t>2026-07-10T09:14:44+05:30</t>
  </si>
  <si>
    <t>2026-07-10T10:14:55+05:30</t>
  </si>
  <si>
    <t>9gnhn3y15bfc8v2@marketplace.amazon.in</t>
  </si>
  <si>
    <t>403-0440510-2608364</t>
  </si>
  <si>
    <t>TJYkRtKz4</t>
  </si>
  <si>
    <t>Dhrc14MVcQ0rR</t>
  </si>
  <si>
    <t>2026-07-09T23:12:15+05:30</t>
  </si>
  <si>
    <t>2026-07-10T09:07:43+05:30</t>
  </si>
  <si>
    <t>2026-07-10T12:07:54+05:30</t>
  </si>
  <si>
    <t>4krw4r8g7b66qpp@marketplace.amazon.in</t>
  </si>
  <si>
    <t>408-5758908-0113905</t>
  </si>
  <si>
    <t>Tc5qS7X54</t>
  </si>
  <si>
    <t>Dc6vrrMqcc0fR</t>
  </si>
  <si>
    <t>2026-07-09T23:16:29+05:30</t>
  </si>
  <si>
    <t>2026-07-10T08:57:44+05:30</t>
  </si>
  <si>
    <t>2026-07-10T11:57:57+05:30</t>
  </si>
  <si>
    <t>sxwrl1g81l4kds7@marketplace.amazon.in</t>
  </si>
  <si>
    <t>404-8035900-2249938</t>
  </si>
  <si>
    <t>T1XfKhXY4</t>
  </si>
  <si>
    <t>DT897QM8cN0BR</t>
  </si>
  <si>
    <t>2026-07-09T18:14:00+05:30</t>
  </si>
  <si>
    <t>2026-07-10T08:49:44+05:30</t>
  </si>
  <si>
    <t>2026-07-10T11:49:55+05:30</t>
  </si>
  <si>
    <t>kbfhqspwqwpxl3y@marketplace.amazon.in</t>
  </si>
  <si>
    <t>RAHATA</t>
  </si>
  <si>
    <t>403-4771109-4782722</t>
  </si>
  <si>
    <t>TVL6nBXt4</t>
  </si>
  <si>
    <t>DFgZ72MlcX04R</t>
  </si>
  <si>
    <t>2026-07-09T21:38:48+05:30</t>
  </si>
  <si>
    <t>2026-07-10T08:43:45+05:30</t>
  </si>
  <si>
    <t>2026-07-10T11:43:57+05:30</t>
  </si>
  <si>
    <t>r0qjm8z4h3xd77n@marketplace.amazon.in</t>
  </si>
  <si>
    <t>Kankavli</t>
  </si>
  <si>
    <t>171-4630181-6370728</t>
  </si>
  <si>
    <t>TCKflnXp4</t>
  </si>
  <si>
    <t>Df87BFMFcl0pR</t>
  </si>
  <si>
    <t>2026-07-09T20:36:54+05:30</t>
  </si>
  <si>
    <t>2026-07-10T04:50:40+05:30</t>
  </si>
  <si>
    <t>2026-07-10T04:50:44+05:30</t>
  </si>
  <si>
    <t>2026-07-10T05:50:55+05:30</t>
  </si>
  <si>
    <t>g84qkst4jv22k8k@marketplace.amazon.in</t>
  </si>
  <si>
    <t>CUDDALORE DISTRICT</t>
  </si>
  <si>
    <t>408-7363617-7169169</t>
  </si>
  <si>
    <t>T6nZ9VKb4</t>
  </si>
  <si>
    <t>DcBtBwM4ck0mR</t>
  </si>
  <si>
    <t>2026-07-09T23:39:15+05:30</t>
  </si>
  <si>
    <t>2026-07-10T04:43:45+05:30</t>
  </si>
  <si>
    <t>2026-07-10T07:43:57+05:30</t>
  </si>
  <si>
    <t>x2kz8ltq6ksrpnn@marketplace.amazon.in</t>
  </si>
  <si>
    <t>405-5967845-3670749</t>
  </si>
  <si>
    <t>Tn7sDmXB4</t>
  </si>
  <si>
    <t>DfxLB3MBcL0QR</t>
  </si>
  <si>
    <t>2026-07-09T15:17:25+05:30</t>
  </si>
  <si>
    <t>2026-07-10T04:37:45+05:30</t>
  </si>
  <si>
    <t>2026-07-10T07:37:58+05:30</t>
  </si>
  <si>
    <t>v9t3jdxv2l8k8h1@marketplace.amazon.in</t>
  </si>
  <si>
    <t>404-5035168-5526714</t>
  </si>
  <si>
    <t>Tgqq28Sv4</t>
  </si>
  <si>
    <t>D5t79HM8cY0tR</t>
  </si>
  <si>
    <t>2026-07-04T13:42:47+05:30</t>
  </si>
  <si>
    <t>2026-07-10T04:29:51+05:30</t>
  </si>
  <si>
    <t>2026-07-10T07:30:05+05:30</t>
  </si>
  <si>
    <t>v7fmy1dny19b23g@marketplace.amazon.in</t>
  </si>
  <si>
    <t>171-7647659-8437144</t>
  </si>
  <si>
    <t>TJjv69DR4</t>
  </si>
  <si>
    <t>Dshm9DMJcL0DR</t>
  </si>
  <si>
    <t>2026-07-04T22:28:58+05:30</t>
  </si>
  <si>
    <t>2026-07-10T04:24:43+05:30</t>
  </si>
  <si>
    <t>2026-07-10T07:24:56+05:30</t>
  </si>
  <si>
    <t>78wd761kygvpqnq@marketplace.amazon.in</t>
  </si>
  <si>
    <t>402-3690298-9708314</t>
  </si>
  <si>
    <t>TCgnr0X14</t>
  </si>
  <si>
    <t>DLdc9sM1cV0cR</t>
  </si>
  <si>
    <t>2026-07-09T19:25:41+05:30</t>
  </si>
  <si>
    <t>2026-07-10T04:20:48+05:30</t>
  </si>
  <si>
    <t>2026-07-10T07:21:07+05:30</t>
  </si>
  <si>
    <t>k7lk56ptx86403b@marketplace.amazon.in</t>
  </si>
  <si>
    <t>HUBBALLI</t>
  </si>
  <si>
    <t>402-4352542-0241146</t>
  </si>
  <si>
    <t>TJYrlcv54</t>
  </si>
  <si>
    <t>DlZY9hMqcw0QR</t>
  </si>
  <si>
    <t>2026-07-09T12:28:46+05:30</t>
  </si>
  <si>
    <t>2026-07-10T07:21:01+05:30</t>
  </si>
  <si>
    <t>cnszb82c8rr751f@marketplace.amazon.in</t>
  </si>
  <si>
    <t>171-6433186-3269906</t>
  </si>
  <si>
    <t>T6N8m0XP4</t>
  </si>
  <si>
    <t>DdSV4ZMXcb0yR</t>
  </si>
  <si>
    <t>2026-07-09T21:27:47+05:30</t>
  </si>
  <si>
    <t>2026-07-10T04:17:45+05:30</t>
  </si>
  <si>
    <t>2026-07-10T07:17:57+05:30</t>
  </si>
  <si>
    <t>f2jspw5xh74c61s@marketplace.amazon.in</t>
  </si>
  <si>
    <t>BHIWADI</t>
  </si>
  <si>
    <t>403-5850386-4776349</t>
  </si>
  <si>
    <t>TwYbbvXC4</t>
  </si>
  <si>
    <t>DDtK48MjcN0KR</t>
  </si>
  <si>
    <t>2026-07-09T15:34:08+05:30</t>
  </si>
  <si>
    <t>2026-07-10T04:04:48+05:30</t>
  </si>
  <si>
    <t>2026-07-10T07:05:03+05:30</t>
  </si>
  <si>
    <t>vlsxzszzycc3hw1@marketplace.amazon.in</t>
  </si>
  <si>
    <t>KODAGU</t>
  </si>
  <si>
    <t>403-1171878-4339544</t>
  </si>
  <si>
    <t>TwdzNpX64</t>
  </si>
  <si>
    <t>DXhS4RMlcW0ZR</t>
  </si>
  <si>
    <t>2026-07-09T14:38:19+05:30</t>
  </si>
  <si>
    <t>2026-07-10T04:04:46+05:30</t>
  </si>
  <si>
    <t>2026-07-10T07:04:57+05:30</t>
  </si>
  <si>
    <t>k45kwlzp9fv7blr@marketplace.amazon.in</t>
  </si>
  <si>
    <t>CHERUTHAZHAM</t>
  </si>
  <si>
    <t>408-0602348-4213963</t>
  </si>
  <si>
    <t>TCL0m8kh4</t>
  </si>
  <si>
    <t>DqtL44M5cN0KR</t>
  </si>
  <si>
    <t>2026-07-06T16:51:41+05:30</t>
  </si>
  <si>
    <t>2026-07-10T04:04:40+05:30</t>
  </si>
  <si>
    <t>2026-07-10T04:04:43+05:30</t>
  </si>
  <si>
    <t>2026-07-10T05:04:56+05:30</t>
  </si>
  <si>
    <t>836ljhnvgnzyjf2@marketplace.amazon.in</t>
  </si>
  <si>
    <t>403-8140645-3803550</t>
  </si>
  <si>
    <t>TXRyMyXb4</t>
  </si>
  <si>
    <t>DtSyHJMvcm0PR</t>
  </si>
  <si>
    <t>2026-07-09T18:10:42+05:30</t>
  </si>
  <si>
    <t>2026-07-10T03:53:45+05:30</t>
  </si>
  <si>
    <t>2026-07-10T06:53:56+05:30</t>
  </si>
  <si>
    <t>lw6tzz04txqw474@marketplace.amazon.in</t>
  </si>
  <si>
    <t>406-0335380-3470775</t>
  </si>
  <si>
    <t>TNNGQVvy4</t>
  </si>
  <si>
    <t>DQBPHYM8ch0LR</t>
  </si>
  <si>
    <t>2026-07-09T10:27:07+05:30</t>
  </si>
  <si>
    <t>2026-07-10T03:52:44+05:30</t>
  </si>
  <si>
    <t>2026-07-10T06:52:55+05:30</t>
  </si>
  <si>
    <t>f87yd3192xz6hfg@marketplace.amazon.in</t>
  </si>
  <si>
    <t>404-4499214-7273919</t>
  </si>
  <si>
    <t>TwB7PvX94</t>
  </si>
  <si>
    <t>Drc9H5MRc80GR</t>
  </si>
  <si>
    <t>2026-07-09T19:38:17+05:30</t>
  </si>
  <si>
    <t>2026-07-10T03:49:43+05:30</t>
  </si>
  <si>
    <t>2026-07-10T06:49:55+05:30</t>
  </si>
  <si>
    <t>mmfs9z354tqym8v@marketplace.amazon.in</t>
  </si>
  <si>
    <t>402-5712246-9425134</t>
  </si>
  <si>
    <t>TXyjzbvW4</t>
  </si>
  <si>
    <t>DM04HVMfcG0cR</t>
  </si>
  <si>
    <t>2026-07-09T09:38:28+05:30</t>
  </si>
  <si>
    <t>2026-07-10T03:42:47+05:30</t>
  </si>
  <si>
    <t>2026-07-10T06:42:59+05:30</t>
  </si>
  <si>
    <t>xz1qm2y17k1nm9j@marketplace.amazon.in</t>
  </si>
  <si>
    <t>405-7222157-9237164</t>
  </si>
  <si>
    <t>TCP54Z4F4</t>
  </si>
  <si>
    <t>DbqmH8Mrc400R</t>
  </si>
  <si>
    <t>2026-07-07T18:12:56+05:30</t>
  </si>
  <si>
    <t>2026-07-10T03:37:38+05:30</t>
  </si>
  <si>
    <t>2026-07-10T06:37:50+05:30</t>
  </si>
  <si>
    <t>2jlxq328n20pfsc@marketplace.amazon.in</t>
  </si>
  <si>
    <t>403-8585669-1296355</t>
  </si>
  <si>
    <t>TVKPW7Xk4</t>
  </si>
  <si>
    <t>D84HbCMkcx0XR</t>
  </si>
  <si>
    <t>2026-07-09T21:08:04+05:30</t>
  </si>
  <si>
    <t>2026-07-10T03:37:33+05:30</t>
  </si>
  <si>
    <t>2026-07-10T06:37:45+05:30</t>
  </si>
  <si>
    <t>yl0jz7prtgd6m48@marketplace.amazon.in</t>
  </si>
  <si>
    <t>408-5018321-1137133</t>
  </si>
  <si>
    <t>T1kf0q4z4</t>
  </si>
  <si>
    <t>D585bkMZcv0TR</t>
  </si>
  <si>
    <t>2026-07-07T21:36:14+05:30</t>
  </si>
  <si>
    <t>2026-07-10T03:32:50+05:30</t>
  </si>
  <si>
    <t>2026-07-10T06:36:22+05:30</t>
  </si>
  <si>
    <t>p6lz3bsybc75h7f@marketplace.amazon.in</t>
  </si>
  <si>
    <t>ERUVADI</t>
  </si>
  <si>
    <t>403-9174483-5581168</t>
  </si>
  <si>
    <t>T1sGJYXQ4</t>
  </si>
  <si>
    <t>DR84bwMqcv0TR</t>
  </si>
  <si>
    <t>2026-07-09T18:41:20+05:30</t>
  </si>
  <si>
    <t>2026-07-10T03:32:43+05:30</t>
  </si>
  <si>
    <t>2026-07-10T06:32:54+05:30</t>
  </si>
  <si>
    <t>4kwt3s8mz659zm9@marketplace.amazon.in</t>
  </si>
  <si>
    <t>408-8712358-4578707</t>
  </si>
  <si>
    <t>Tgf17dSc4</t>
  </si>
  <si>
    <t>DhhTkfMjc10qR</t>
  </si>
  <si>
    <t>2026-07-08T22:15:03+05:30</t>
  </si>
  <si>
    <t>2026-07-10T03:18:46+05:30</t>
  </si>
  <si>
    <t>2026-07-10T06:18:56+05:30</t>
  </si>
  <si>
    <t>wh3wdw7k37rq3tg@marketplace.amazon.in</t>
  </si>
  <si>
    <t>407-7344841-4368356</t>
  </si>
  <si>
    <t>TGJlN2Kf4</t>
  </si>
  <si>
    <t>DHvWNMM4cV0KR</t>
  </si>
  <si>
    <t>2026-07-09T20:13:45+05:30</t>
  </si>
  <si>
    <t>2026-07-10T03:05:43+05:30</t>
  </si>
  <si>
    <t>2026-07-10T03:05:46+05:30</t>
  </si>
  <si>
    <t>2026-07-10T04:06:00+05:30</t>
  </si>
  <si>
    <t>4dxz6qm2b5jhdjw@marketplace.amazon.in</t>
  </si>
  <si>
    <t>406-5296158-8903561</t>
  </si>
  <si>
    <t>TgD4g3Nv4</t>
  </si>
  <si>
    <t>Dw8qh52Kcr0sR</t>
  </si>
  <si>
    <t>2026-07-08T10:52:07+05:30</t>
  </si>
  <si>
    <t>2026-07-10T02:32:49+05:30</t>
  </si>
  <si>
    <t>2026-07-10T05:33:00+05:30</t>
  </si>
  <si>
    <t>87gytfm7t18kh2s@marketplace.amazon.in</t>
  </si>
  <si>
    <t>morbi</t>
  </si>
  <si>
    <t>402-4251008-9355501</t>
  </si>
  <si>
    <t>TC9Yz3SV4</t>
  </si>
  <si>
    <t>D0ynhz28c70xR</t>
  </si>
  <si>
    <t>2026-07-07T00:11:06+05:30</t>
  </si>
  <si>
    <t>2026-07-10T02:27:46+05:30</t>
  </si>
  <si>
    <t>2026-07-10T05:28:03+05:30</t>
  </si>
  <si>
    <t>9xx95k4gfc9ccth@marketplace.amazon.in</t>
  </si>
  <si>
    <t>ANJAD</t>
  </si>
  <si>
    <t>404-3729576-1721128</t>
  </si>
  <si>
    <t>TVl9ZYyP4</t>
  </si>
  <si>
    <t>Dv1xfj2QcY06R</t>
  </si>
  <si>
    <t>2026-07-07T11:11:33+05:30</t>
  </si>
  <si>
    <t>2026-07-10T02:10:47+05:30</t>
  </si>
  <si>
    <t>2026-07-10T05:10:58+05:30</t>
  </si>
  <si>
    <t>jnrp15y69h67gzh@marketplace.amazon.in</t>
  </si>
  <si>
    <t>404-8889054-2645916</t>
  </si>
  <si>
    <t>Tc1tTJXg4</t>
  </si>
  <si>
    <t>DHd3fJ2cc707R</t>
  </si>
  <si>
    <t>2026-07-09T19:29:18+05:30</t>
  </si>
  <si>
    <t>2026-07-10T02:00:42+05:30</t>
  </si>
  <si>
    <t>2026-07-10T02:00:44+05:30</t>
  </si>
  <si>
    <t>2026-07-10T03:00:55+05:30</t>
  </si>
  <si>
    <t>zrbr1r1m4g6klrn@marketplace.amazon.in</t>
  </si>
  <si>
    <t>403-0730862-9744334</t>
  </si>
  <si>
    <t>TwTKcRyx4</t>
  </si>
  <si>
    <t>DJjcjK2Bc10FR</t>
  </si>
  <si>
    <t>2026-07-07T11:08:09+05:30</t>
  </si>
  <si>
    <t>2026-07-10T01:56:45+05:30</t>
  </si>
  <si>
    <t>2026-07-10T01:56:48+05:30</t>
  </si>
  <si>
    <t>2026-07-10T02:57:01+05:30</t>
  </si>
  <si>
    <t>f45ck90ybxx4ny4@marketplace.amazon.in</t>
  </si>
  <si>
    <t>VELLORE 1</t>
  </si>
  <si>
    <t>408-9184034-2637116</t>
  </si>
  <si>
    <t>TnqcQyvL4</t>
  </si>
  <si>
    <t>DnjGjq2Zc70FR</t>
  </si>
  <si>
    <t>2026-07-09T08:17:21+05:30</t>
  </si>
  <si>
    <t>2026-07-10T01:52:44+05:30</t>
  </si>
  <si>
    <t>2026-07-10T04:52:55+05:30</t>
  </si>
  <si>
    <t>hdjtvlsrpqqqtzd@marketplace.amazon.in</t>
  </si>
  <si>
    <t>DONDAICHA WARWADE</t>
  </si>
  <si>
    <t>404-5105218-6596305</t>
  </si>
  <si>
    <t>TCZf4mKW4</t>
  </si>
  <si>
    <t>DSD1jH2tcH0yR</t>
  </si>
  <si>
    <t>2026-07-09T23:51:33+05:30</t>
  </si>
  <si>
    <t>2026-07-10T01:50:39+05:30</t>
  </si>
  <si>
    <t>2026-07-10T01:50:42+05:30</t>
  </si>
  <si>
    <t>2026-07-10T02:50:53+05:30</t>
  </si>
  <si>
    <t>1wwjmvrzc1ym8fb@marketplace.amazon.in</t>
  </si>
  <si>
    <t>406-9609813-9533908</t>
  </si>
  <si>
    <t>TJR891Xt4</t>
  </si>
  <si>
    <t>DvKCZz20cM06R</t>
  </si>
  <si>
    <t>2026-07-09T12:20:03+05:30</t>
  </si>
  <si>
    <t>2026-07-10T01:45:47+05:30</t>
  </si>
  <si>
    <t>2026-07-10T04:45:59+05:30</t>
  </si>
  <si>
    <t>hgypq361110hdqc@marketplace.amazon.in</t>
  </si>
  <si>
    <t>406-6702911-6572354</t>
  </si>
  <si>
    <t>T61rpCX34</t>
  </si>
  <si>
    <t>D6KdZz2McM06R</t>
  </si>
  <si>
    <t>2026-07-09T21:42:36+05:30</t>
  </si>
  <si>
    <t>2026-07-10T01:40:09+05:30</t>
  </si>
  <si>
    <t>2026-07-10T04:40:21+05:30</t>
  </si>
  <si>
    <t>cwb55g5glf2j4c5@marketplace.amazon.in</t>
  </si>
  <si>
    <t>2026-07-10T08:00:00+05:30</t>
  </si>
  <si>
    <t>405-9829393-0665148</t>
  </si>
  <si>
    <t>TwMxJgX64</t>
  </si>
  <si>
    <t>D4dJjH21c80lR</t>
  </si>
  <si>
    <t>2026-07-09T19:31:35+05:30</t>
  </si>
  <si>
    <t>2026-07-10T01:39:38+05:30</t>
  </si>
  <si>
    <t>2026-07-10T01:39:42+05:30</t>
  </si>
  <si>
    <t>2026-07-10T02:39:53+05:30</t>
  </si>
  <si>
    <t>k11bsn9d2y242qq@marketplace.amazon.in</t>
  </si>
  <si>
    <t>404-1603947-1201124</t>
  </si>
  <si>
    <t>TCbmTj3P4</t>
  </si>
  <si>
    <t>DcJNZV2Mcx04R</t>
  </si>
  <si>
    <t>2026-07-06T22:00:11+05:30</t>
  </si>
  <si>
    <t>2026-07-10T01:25:48+05:30</t>
  </si>
  <si>
    <t>2026-07-10T04:26:06+05:30</t>
  </si>
  <si>
    <t>723ybkx9kkpds4b@marketplace.amazon.in</t>
  </si>
  <si>
    <t>jamnagar</t>
  </si>
  <si>
    <t>405-8949395-5513956</t>
  </si>
  <si>
    <t>T3jSb4vs4</t>
  </si>
  <si>
    <t>DYFJ5c2QcH0dR</t>
  </si>
  <si>
    <t>2026-07-07T22:49:35+05:30</t>
  </si>
  <si>
    <t>2026-07-10T01:06:43+05:30</t>
  </si>
  <si>
    <t>2026-07-10T04:06:55+05:30</t>
  </si>
  <si>
    <t>xm706l1cbdg4f2p@marketplace.amazon.in</t>
  </si>
  <si>
    <t>SANKARANKOIL</t>
  </si>
  <si>
    <t>406-3749145-0828307</t>
  </si>
  <si>
    <t>TwCTsFD34</t>
  </si>
  <si>
    <t>Djv6502jcN0JR</t>
  </si>
  <si>
    <t>2026-07-04T20:35:49+05:30</t>
  </si>
  <si>
    <t>2026-07-10T01:04:47+05:30</t>
  </si>
  <si>
    <t>2026-07-10T04:04:58+05:30</t>
  </si>
  <si>
    <t>r44dwm3c8np53cm@marketplace.amazon.in</t>
  </si>
  <si>
    <t>405-8957715-5419531</t>
  </si>
  <si>
    <t>TgV1JhXB4</t>
  </si>
  <si>
    <t>DQCj5W2RcK0mR</t>
  </si>
  <si>
    <t>2026-07-09T19:40:01+05:30</t>
  </si>
  <si>
    <t>2026-07-10T00:52:43+05:30</t>
  </si>
  <si>
    <t>2026-07-10T03:52:55+05:30</t>
  </si>
  <si>
    <t>dn2yv8jdslg78yn@marketplace.amazon.in</t>
  </si>
  <si>
    <t>407-9225462-4526746</t>
  </si>
  <si>
    <t>TCXY7cSJ4</t>
  </si>
  <si>
    <t>DXP95c2Cch0mR</t>
  </si>
  <si>
    <t>2026-07-07T15:31:29+05:30</t>
  </si>
  <si>
    <t>2026-07-10T00:46:42+05:30</t>
  </si>
  <si>
    <t>2026-07-10T00:46:45+05:30</t>
  </si>
  <si>
    <t>2026-07-10T01:46:56+05:30</t>
  </si>
  <si>
    <t>1ydkskk8ftc3wcp@marketplace.amazon.in</t>
  </si>
  <si>
    <t>407-8352215-1777943</t>
  </si>
  <si>
    <t>TVP69DyJ4</t>
  </si>
  <si>
    <t>D984g525cT0xR</t>
  </si>
  <si>
    <t>2026-07-07T08:37:40+05:30</t>
  </si>
  <si>
    <t>2026-07-10T00:44:45+05:30</t>
  </si>
  <si>
    <t>2026-07-10T03:44:58+05:30</t>
  </si>
  <si>
    <t>408-8999526-6141157</t>
  </si>
  <si>
    <t>TX5SCk5V4</t>
  </si>
  <si>
    <t>DX59g62wcM0MR</t>
  </si>
  <si>
    <t>2026-07-08T19:24:31+05:30</t>
  </si>
  <si>
    <t>2026-07-10T00:44:44+05:30</t>
  </si>
  <si>
    <t>2026-07-10T03:44:55+05:30</t>
  </si>
  <si>
    <t>98hnvn36fwmcqxz@marketplace.amazon.in</t>
  </si>
  <si>
    <t>PUNNAPARA</t>
  </si>
  <si>
    <t>407-1917237-3051556</t>
  </si>
  <si>
    <t>TV0FQbXk4</t>
  </si>
  <si>
    <t>DF7zgQ2lcG05R</t>
  </si>
  <si>
    <t>2026-07-09T18:28:33+05:30</t>
  </si>
  <si>
    <t>2026-07-10T00:42:47+05:30</t>
  </si>
  <si>
    <t>2026-07-10T03:42:58+05:30</t>
  </si>
  <si>
    <t>g1zc71fvpn7779w@marketplace.amazon.in</t>
  </si>
  <si>
    <t>403-6436279-8466752</t>
  </si>
  <si>
    <t>TwWxCQ3l4</t>
  </si>
  <si>
    <t>DMQP8T26cj0bR</t>
  </si>
  <si>
    <t>2026-07-06T23:02:44+05:30</t>
  </si>
  <si>
    <t>2026-07-10T00:27:41+05:30</t>
  </si>
  <si>
    <t>2026-07-10T03:27:52+05:30</t>
  </si>
  <si>
    <t>pbv50stmglbksv3@marketplace.amazon.in</t>
  </si>
  <si>
    <t>KAYALPATTINAM</t>
  </si>
  <si>
    <t>407-3853094-0968358</t>
  </si>
  <si>
    <t>Tn9xLc544</t>
  </si>
  <si>
    <t>DF6M8x2rcX0jR</t>
  </si>
  <si>
    <t>2026-07-08T15:40:50+05:30</t>
  </si>
  <si>
    <t>2026-07-10T00:21:50+05:30</t>
  </si>
  <si>
    <t>2026-07-10T03:22:02+05:30</t>
  </si>
  <si>
    <t>2w0b8cfj4wzhql1@marketplace.amazon.in</t>
  </si>
  <si>
    <t>AM006489043IN</t>
  </si>
  <si>
    <t>405-2163859-1783545</t>
  </si>
  <si>
    <t>T3fyYmXs4</t>
  </si>
  <si>
    <t>DmcH8H2Hcx02R</t>
  </si>
  <si>
    <t>2026-07-09T17:59:27+05:30</t>
  </si>
  <si>
    <t>2026-07-10T00:17:48+05:30</t>
  </si>
  <si>
    <t>2026-07-10T03:17:59+05:30</t>
  </si>
  <si>
    <t>5zx9zn53sjnv58m@marketplace.amazon.in</t>
  </si>
  <si>
    <t>408-3344528-3671533</t>
  </si>
  <si>
    <t>Tg1SCgXh4</t>
  </si>
  <si>
    <t>D7P8822Fcs0tR</t>
  </si>
  <si>
    <t>2026-07-09T22:25:11+05:30</t>
  </si>
  <si>
    <t>2026-07-10T00:16:44+05:30</t>
  </si>
  <si>
    <t>2026-07-10T03:16:57+05:30</t>
  </si>
  <si>
    <t>cg27vlk6s343tmw@marketplace.amazon.in</t>
  </si>
  <si>
    <t>404-5048216-6642733</t>
  </si>
  <si>
    <t>TJVf4lX44</t>
  </si>
  <si>
    <t>DQy9Xc2hck0gR</t>
  </si>
  <si>
    <t>2026-07-09T15:23:55+05:30</t>
  </si>
  <si>
    <t>2026-07-10T00:10:48+05:30</t>
  </si>
  <si>
    <t>2026-07-10T03:11:00+05:30</t>
  </si>
  <si>
    <t>408-8888596-7341139</t>
  </si>
  <si>
    <t>T6Zk6QXV4</t>
  </si>
  <si>
    <t>DhmbX92ccM0FR</t>
  </si>
  <si>
    <t>2026-07-09T21:09:39+05:30</t>
  </si>
  <si>
    <t>2026-07-10T00:09:44+05:30</t>
  </si>
  <si>
    <t>2026-07-10T00:09:47+05:30</t>
  </si>
  <si>
    <t>2026-07-10T01:09:57+05:30</t>
  </si>
  <si>
    <t>r9xrqg8ynrw60qj@marketplace.amazon.in</t>
  </si>
  <si>
    <t>403-9419821-4605964</t>
  </si>
  <si>
    <t>T6y9FMXJ4</t>
  </si>
  <si>
    <t>DpMvXC2mcm0xR</t>
  </si>
  <si>
    <t>2026-07-09T16:34:46+05:30</t>
  </si>
  <si>
    <t>2026-07-10T00:05:45+05:30</t>
  </si>
  <si>
    <t>2026-07-10T03:05:56+05:30</t>
  </si>
  <si>
    <t>8g6y3df6mfx0w6b@marketplace.amazon.in</t>
  </si>
  <si>
    <t>RAJAPALAYAM VIRUDHUNAGAR DISTRICT</t>
  </si>
  <si>
    <t>171-3305684-2322703</t>
  </si>
  <si>
    <t>TXLd8XXf4</t>
  </si>
  <si>
    <t>DFhkXY2ccF0sR</t>
  </si>
  <si>
    <t>2026-07-09T21:54:18+05:30</t>
  </si>
  <si>
    <t>2026-07-10T00:02:42+05:30</t>
  </si>
  <si>
    <t>2026-07-10T03:02:53+05:30</t>
  </si>
  <si>
    <t>s8jp0h09q72r7vq@marketplace.amazon.in</t>
  </si>
  <si>
    <t>408-5902629-3339548</t>
  </si>
  <si>
    <t>TwqlSPXw4</t>
  </si>
  <si>
    <t>DQHCXh20cF0JR</t>
  </si>
  <si>
    <t>2026-07-09T21:50:04+05:30</t>
  </si>
  <si>
    <t>2026-07-10T00:01:54+05:30</t>
  </si>
  <si>
    <t>2026-07-10T00:02:00+05:30</t>
  </si>
  <si>
    <t>2026-07-10T01:02:31+05:30</t>
  </si>
  <si>
    <t>m1kgl6kjkcpjlpc@marketplace.amazon.in</t>
  </si>
  <si>
    <t>408-9873847-7455542</t>
  </si>
  <si>
    <t>TJCP6xX84</t>
  </si>
  <si>
    <t>D23QCf2cck0jR</t>
  </si>
  <si>
    <t>2026-07-09T20:51:44+05:30</t>
  </si>
  <si>
    <t>2026-07-09T23:58:43+05:30</t>
  </si>
  <si>
    <t>2026-07-09T23:58:46+05:30</t>
  </si>
  <si>
    <t>2026-07-10T00:58:57+05:30</t>
  </si>
  <si>
    <t>t9c7glr5vpj998h@marketplace.amazon.in</t>
  </si>
  <si>
    <t>Namakkal</t>
  </si>
  <si>
    <t>407-2468602-2977930</t>
  </si>
  <si>
    <t>Tcy4jq4k4</t>
  </si>
  <si>
    <t>DT3SCK2gcm0jR</t>
  </si>
  <si>
    <t>2026-07-07T01:12:57+05:30</t>
  </si>
  <si>
    <t>2026-07-09T23:52:44+05:30</t>
  </si>
  <si>
    <t>2026-07-10T02:53:00+05:30</t>
  </si>
  <si>
    <t>hblszm1whkj2fnv@marketplace.amazon.in</t>
  </si>
  <si>
    <t>Dr3vCK2gcm0jR</t>
  </si>
  <si>
    <t>402-5328116-4553909</t>
  </si>
  <si>
    <t>TJWrGWyg4</t>
  </si>
  <si>
    <t>D0CfCV27cn0hR</t>
  </si>
  <si>
    <t>2026-07-07T13:17:45+05:30</t>
  </si>
  <si>
    <t>2026-07-09T23:48:48+05:30</t>
  </si>
  <si>
    <t>2026-07-10T02:49:00+05:30</t>
  </si>
  <si>
    <t>jx9dh0dp0njxjzv@marketplace.amazon.in</t>
  </si>
  <si>
    <t>YAMUNANAGAR</t>
  </si>
  <si>
    <t>408-8489851-2969942</t>
  </si>
  <si>
    <t>TXdJg25R4</t>
  </si>
  <si>
    <t>DqC6Cw2qck0zR</t>
  </si>
  <si>
    <t>2026-07-06T19:02:47+05:30</t>
  </si>
  <si>
    <t>2026-07-09T23:47:50+05:30</t>
  </si>
  <si>
    <t>2026-07-10T02:48:01+05:30</t>
  </si>
  <si>
    <t>53bdjbc8y0jw4yr@marketplace.amazon.in</t>
  </si>
  <si>
    <t>403-7812078-1617953</t>
  </si>
  <si>
    <t>TXGxm1X54</t>
  </si>
  <si>
    <t>DQfFC82Mcz0KR</t>
  </si>
  <si>
    <t>2026-07-09T21:06:18+05:30</t>
  </si>
  <si>
    <t>2026-07-09T23:43:43+05:30</t>
  </si>
  <si>
    <t>2026-07-10T02:43:55+05:30</t>
  </si>
  <si>
    <t>4vbn6xcrkwp9614@marketplace.amazon.in</t>
  </si>
  <si>
    <t>402-0403067-3621949</t>
  </si>
  <si>
    <t>T6FRGSkJ4</t>
  </si>
  <si>
    <t>DtCqCd2ycl00R</t>
  </si>
  <si>
    <t>2026-07-06T16:08:01+05:30</t>
  </si>
  <si>
    <t>2026-07-09T23:42:48+05:30</t>
  </si>
  <si>
    <t>2026-07-10T02:43:03+05:30</t>
  </si>
  <si>
    <t>z2df0ls984jfp0y@marketplace.amazon.in</t>
  </si>
  <si>
    <t>Gangtok, EAST SIKKIM</t>
  </si>
  <si>
    <t>408-8375454-2133106</t>
  </si>
  <si>
    <t>T6vwrHXB4</t>
  </si>
  <si>
    <t>D6BBpY26cg0tR</t>
  </si>
  <si>
    <t>2026-07-09T20:00:46+05:30</t>
  </si>
  <si>
    <t>2026-07-09T23:35:40+05:30</t>
  </si>
  <si>
    <t>2026-07-09T23:35:43+05:30</t>
  </si>
  <si>
    <t>2026-07-10T00:35:53+05:30</t>
  </si>
  <si>
    <t>kzz6gyvth2nhh6h@marketplace.amazon.in</t>
  </si>
  <si>
    <t>171-5195219-3437952</t>
  </si>
  <si>
    <t>TwljDPX74</t>
  </si>
  <si>
    <t>D3VWpn29cs0tR</t>
  </si>
  <si>
    <t>2026-07-09T15:38:04+05:30</t>
  </si>
  <si>
    <t>2026-07-09T23:30:44+05:30</t>
  </si>
  <si>
    <t>2026-07-09T23:30:47+05:30</t>
  </si>
  <si>
    <t>2026-07-10T00:30:58+05:30</t>
  </si>
  <si>
    <t>72pzb41h828tl9q@marketplace.amazon.in</t>
  </si>
  <si>
    <t>408-0126425-2333919</t>
  </si>
  <si>
    <t>TwCgWlyR4</t>
  </si>
  <si>
    <t>DhJcpF2rcN0YR</t>
  </si>
  <si>
    <t>2026-07-07T15:11:52+05:30</t>
  </si>
  <si>
    <t>2026-07-09T23:21:48+05:30</t>
  </si>
  <si>
    <t>2026-07-10T02:21:59+05:30</t>
  </si>
  <si>
    <t>zrx4vsvnfq1kdnb@marketplace.amazon.in</t>
  </si>
  <si>
    <t>MOGA</t>
  </si>
  <si>
    <t>406-3115856-7802759</t>
  </si>
  <si>
    <t>TXwl0NXn4</t>
  </si>
  <si>
    <t>DLZNWV2Tcp0WR</t>
  </si>
  <si>
    <t>2026-07-09T20:56:55+05:30</t>
  </si>
  <si>
    <t>2026-07-09T23:18:46+05:30</t>
  </si>
  <si>
    <t>2026-07-09T23:18:51+05:30</t>
  </si>
  <si>
    <t>2026-07-10T00:19:04+05:30</t>
  </si>
  <si>
    <t>kjvgljpd4m42xbl@marketplace.amazon.in</t>
  </si>
  <si>
    <t>404-3602208-8580366</t>
  </si>
  <si>
    <t>TGFjq2Fb4</t>
  </si>
  <si>
    <t>DX4jK62tc30sR</t>
  </si>
  <si>
    <t>2026-07-07T09:24:51+05:30</t>
  </si>
  <si>
    <t>2026-07-09T23:05:47+05:30</t>
  </si>
  <si>
    <t>2026-07-10T02:05:59+05:30</t>
  </si>
  <si>
    <t>xyk9dbnk3098nw0@marketplace.amazon.in</t>
  </si>
  <si>
    <t>SIKANDARABAD INDUSTRIAL AREA</t>
  </si>
  <si>
    <t>407-6184493-3596354</t>
  </si>
  <si>
    <t>TVRrWFSD4</t>
  </si>
  <si>
    <t>DMG7m52DcY0cR</t>
  </si>
  <si>
    <t>2026-07-09T02:05:38+05:30</t>
  </si>
  <si>
    <t>2026-07-09T22:33:48+05:30</t>
  </si>
  <si>
    <t>2026-07-10T01:34:00+05:30</t>
  </si>
  <si>
    <t>rs99rw9kq8wzc39@marketplace.amazon.in</t>
  </si>
  <si>
    <t>404-0927188-6818767</t>
  </si>
  <si>
    <t>TcHj1H3z4</t>
  </si>
  <si>
    <t>DtvQlV2ccL0fR</t>
  </si>
  <si>
    <t>2026-07-06T21:11:32+05:30</t>
  </si>
  <si>
    <t>2026-07-09T22:28:47+05:30</t>
  </si>
  <si>
    <t>2026-07-10T01:29:01+05:30</t>
  </si>
  <si>
    <t>2t4pgzsgq6lflhv@marketplace.amazon.in</t>
  </si>
  <si>
    <t>403-5221786-6854706</t>
  </si>
  <si>
    <t>TwHpQrXx4</t>
  </si>
  <si>
    <t>Dxyt0k24c90QR</t>
  </si>
  <si>
    <t>2026-07-09T18:32:18+05:30</t>
  </si>
  <si>
    <t>2026-07-09T22:14:42+05:30</t>
  </si>
  <si>
    <t>2026-07-10T01:14:58+05:30</t>
  </si>
  <si>
    <t>fcc26j35vm9jtvw@marketplace.amazon.in</t>
  </si>
  <si>
    <t>404-4521745-6564332</t>
  </si>
  <si>
    <t>TgwBQdXp4</t>
  </si>
  <si>
    <t>DvXJ6826c80NR</t>
  </si>
  <si>
    <t>2026-07-09T19:02:45+05:30</t>
  </si>
  <si>
    <t>2026-07-09T21:45:42+05:30</t>
  </si>
  <si>
    <t>2026-07-10T00:45:50+05:30</t>
  </si>
  <si>
    <t>4zfwb8w13hs2bp1@marketplace.amazon.in</t>
  </si>
  <si>
    <t>403-0907355-2681119</t>
  </si>
  <si>
    <t>T1QQq4v04</t>
  </si>
  <si>
    <t>D1zjSz25cS0TR</t>
  </si>
  <si>
    <t>2026-07-09T16:20:51+05:30</t>
  </si>
  <si>
    <t>2026-07-09T21:43:44+05:30</t>
  </si>
  <si>
    <t>2026-07-10T00:43:58+05:30</t>
  </si>
  <si>
    <t>m3d49w5zk9csx57@marketplace.amazon.in</t>
  </si>
  <si>
    <t>Supaul</t>
  </si>
  <si>
    <t>408-9396533-1757948</t>
  </si>
  <si>
    <t>TcnS7XXN4</t>
  </si>
  <si>
    <t>DcmC6z29cJ04R</t>
  </si>
  <si>
    <t>2026-07-09T18:40:17+05:30</t>
  </si>
  <si>
    <t>2026-07-09T21:38:41+05:30</t>
  </si>
  <si>
    <t>2026-07-10T00:38:52+05:30</t>
  </si>
  <si>
    <t>td4clw80zv85d7n@marketplace.amazon.in</t>
  </si>
  <si>
    <t>Panihati</t>
  </si>
  <si>
    <t>406-9122956-7496313</t>
  </si>
  <si>
    <t>T69GYpX94</t>
  </si>
  <si>
    <t>DpZz6Q2ycW09R</t>
  </si>
  <si>
    <t>2026-07-09T18:13:34+05:30</t>
  </si>
  <si>
    <t>2026-07-09T21:34:43+05:30</t>
  </si>
  <si>
    <t>2026-07-10T00:34:55+05:30</t>
  </si>
  <si>
    <t>dpdp85v1535zwk0@marketplace.amazon.in</t>
  </si>
  <si>
    <t>407-3925404-4146705</t>
  </si>
  <si>
    <t>TXJ1s8vn4</t>
  </si>
  <si>
    <t>Ddpwds2FcQ0BR</t>
  </si>
  <si>
    <t>2026-07-09T10:34:21+05:30</t>
  </si>
  <si>
    <t>2026-07-09T21:11:42+05:30</t>
  </si>
  <si>
    <t>2026-07-10T00:11:54+05:30</t>
  </si>
  <si>
    <t>7lxc9w7vpvw06h8@marketplace.amazon.in</t>
  </si>
  <si>
    <t>KAGAZNAGAR</t>
  </si>
  <si>
    <t>405-8049030-6326747</t>
  </si>
  <si>
    <t>TnZsLlvD4</t>
  </si>
  <si>
    <t>DhSbGk2FcP0sR</t>
  </si>
  <si>
    <t>2026-07-09T07:51:52+05:30</t>
  </si>
  <si>
    <t>2026-07-09T21:08:40+05:30</t>
  </si>
  <si>
    <t>2026-07-10T00:08:51+05:30</t>
  </si>
  <si>
    <t>gy20906xg2q0mqz@marketplace.amazon.in</t>
  </si>
  <si>
    <t>407-2867023-3498710</t>
  </si>
  <si>
    <t>TC3k7mXv4</t>
  </si>
  <si>
    <t>DymKGz2ScW0YR</t>
  </si>
  <si>
    <t>2026-07-09T19:06:27+05:30</t>
  </si>
  <si>
    <t>2026-07-09T21:03:41+05:30</t>
  </si>
  <si>
    <t>2026-07-09T21:03:45+05:30</t>
  </si>
  <si>
    <t>2026-07-09T22:03:57+05:30</t>
  </si>
  <si>
    <t>nq1mhy1fz7q11qm@marketplace.amazon.in</t>
  </si>
  <si>
    <t>402-1419650-3097901</t>
  </si>
  <si>
    <t>TXHXQyXP4</t>
  </si>
  <si>
    <t>DfvgGQ2XcD0DR</t>
  </si>
  <si>
    <t>2026-07-09T18:36:37+05:30</t>
  </si>
  <si>
    <t>2026-07-10T00:03:57+05:30</t>
  </si>
  <si>
    <t>mf0dvx5rgnqmtg6@marketplace.amazon.in</t>
  </si>
  <si>
    <t>NEYVELI</t>
  </si>
  <si>
    <t>171-0184362-2738770</t>
  </si>
  <si>
    <t>TVTH8J4F4</t>
  </si>
  <si>
    <t>DyYjGH2rc50gR</t>
  </si>
  <si>
    <t>2026-07-07T18:52:05+05:30</t>
  </si>
  <si>
    <t>2026-07-09T20:55:45+05:30</t>
  </si>
  <si>
    <t>2026-07-09T20:55:48+05:30</t>
  </si>
  <si>
    <t>2026-07-09T21:55:57+05:30</t>
  </si>
  <si>
    <t>b86zww0qpkfj2c1@marketplace.amazon.in</t>
  </si>
  <si>
    <t>NIMBAHERA</t>
  </si>
  <si>
    <t>402-6116035-9183521</t>
  </si>
  <si>
    <t>T13HH5Xk4</t>
  </si>
  <si>
    <t>DbFtts2Zcf0mR</t>
  </si>
  <si>
    <t>2026-07-09T16:59:07+05:30</t>
  </si>
  <si>
    <t>2026-07-09T20:47:48+05:30</t>
  </si>
  <si>
    <t>2026-07-09T23:47:59+05:30</t>
  </si>
  <si>
    <t>402-1453348-4476313</t>
  </si>
  <si>
    <t>TwdxSK5L4</t>
  </si>
  <si>
    <t>DWTttJ2rcx0YR</t>
  </si>
  <si>
    <t>2026-07-08T17:22:30+05:30</t>
  </si>
  <si>
    <t>2026-07-09T20:35:49+05:30</t>
  </si>
  <si>
    <t>2026-07-09T23:36:00+05:30</t>
  </si>
  <si>
    <t>8xclz88254l5bxs@marketplace.amazon.in</t>
  </si>
  <si>
    <t>D7fVtj2pcG0pR</t>
  </si>
  <si>
    <t>402-0295716-6257169</t>
  </si>
  <si>
    <t>Tn5TxXvD4</t>
  </si>
  <si>
    <t>DTGQtl2NcT0bR</t>
  </si>
  <si>
    <t>2026-07-07T23:25:17+05:30</t>
  </si>
  <si>
    <t>2026-07-09T20:35:48+05:30</t>
  </si>
  <si>
    <t>2026-07-09T23:36:01+05:30</t>
  </si>
  <si>
    <t>vxwmd1bbwvlvzxn@marketplace.amazon.in</t>
  </si>
  <si>
    <t>PURI</t>
  </si>
  <si>
    <t>407-4639762-7521152</t>
  </si>
  <si>
    <t>TcR2lyN04</t>
  </si>
  <si>
    <t>DxRvtD2lcd0bR</t>
  </si>
  <si>
    <t>2026-07-08T08:12:28+05:30</t>
  </si>
  <si>
    <t>2026-07-09T20:34:41+05:30</t>
  </si>
  <si>
    <t>2026-07-09T20:34:44+05:30</t>
  </si>
  <si>
    <t>2026-07-09T21:34:57+05:30</t>
  </si>
  <si>
    <t>5rm6qchcnlvnbvf@marketplace.amazon.in</t>
  </si>
  <si>
    <t>BAKAVAND</t>
  </si>
  <si>
    <t>402-9202884-3933110</t>
  </si>
  <si>
    <t>T3GXddS84</t>
  </si>
  <si>
    <t>DdfftB2ncT0yR</t>
  </si>
  <si>
    <t>2026-07-08T22:43:42+05:30</t>
  </si>
  <si>
    <t>2026-07-09T20:33:55+05:30</t>
  </si>
  <si>
    <t>2026-07-09T23:34:08+05:30</t>
  </si>
  <si>
    <t>lx7h4xkdw1fqr80@marketplace.amazon.in</t>
  </si>
  <si>
    <t>SAONER MIDC</t>
  </si>
  <si>
    <t>408-8400824-1248339</t>
  </si>
  <si>
    <t>T1Z8GBvR4</t>
  </si>
  <si>
    <t>DlRBtV2Dcd0bR</t>
  </si>
  <si>
    <t>2026-07-09T11:42:44+05:30</t>
  </si>
  <si>
    <t>2026-07-09T20:30:44+05:30</t>
  </si>
  <si>
    <t>2026-07-09T23:30:56+05:30</t>
  </si>
  <si>
    <t>fv7sdcmfqggvjzf@marketplace.amazon.in</t>
  </si>
  <si>
    <t>403-3970102-5602710</t>
  </si>
  <si>
    <t>Tw0xNbX14</t>
  </si>
  <si>
    <t>Dyg4P62GcC0mR</t>
  </si>
  <si>
    <t>2026-07-09T15:20:22+05:30</t>
  </si>
  <si>
    <t>2026-07-09T20:24:45+05:30</t>
  </si>
  <si>
    <t>2026-07-09T23:24:56+05:30</t>
  </si>
  <si>
    <t>6l0fk84xsy3pdd2@marketplace.amazon.in</t>
  </si>
  <si>
    <t>KALAMBUR</t>
  </si>
  <si>
    <t>402-5158203-8637128</t>
  </si>
  <si>
    <t>TVh6f4vJ4</t>
  </si>
  <si>
    <t>DW2WP828cg0fR</t>
  </si>
  <si>
    <t>2026-07-06T22:51:53+05:30</t>
  </si>
  <si>
    <t>2026-07-09T20:21:59+05:30</t>
  </si>
  <si>
    <t>2026-07-09T23:22:12+05:30</t>
  </si>
  <si>
    <t>r19pf0wrxp6bwkg@marketplace.amazon.in</t>
  </si>
  <si>
    <t>403-6739757-7545154</t>
  </si>
  <si>
    <t>T37KZWvk4</t>
  </si>
  <si>
    <t>D5fvPC2Ycf0bR</t>
  </si>
  <si>
    <t>2026-07-09T10:34:14+05:30</t>
  </si>
  <si>
    <t>2026-07-09T20:16:49+05:30</t>
  </si>
  <si>
    <t>2026-07-09T23:17:03+05:30</t>
  </si>
  <si>
    <t>gdgcvv5wps1vvc7@marketplace.amazon.in</t>
  </si>
  <si>
    <t>407-5313562-6164347</t>
  </si>
  <si>
    <t>TnfKZrvK4</t>
  </si>
  <si>
    <t>DLqVP622cp0BR</t>
  </si>
  <si>
    <t>2026-07-08T21:22:41+05:30</t>
  </si>
  <si>
    <t>2026-07-09T20:14:52+05:30</t>
  </si>
  <si>
    <t>2026-07-09T23:15:04+05:30</t>
  </si>
  <si>
    <t>p1vkylf2bhsf56g@marketplace.amazon.in</t>
  </si>
  <si>
    <t>403-4576831-0017917</t>
  </si>
  <si>
    <t>TwPgBYXf4</t>
  </si>
  <si>
    <t>Dz1wT92jcn0MR</t>
  </si>
  <si>
    <t>2026-07-09T17:34:32+05:30</t>
  </si>
  <si>
    <t>2026-07-09T20:11:46+05:30</t>
  </si>
  <si>
    <t>2026-07-09T23:11:58+05:30</t>
  </si>
  <si>
    <t>vxm5k0l3v3v8kxf@marketplace.amazon.in</t>
  </si>
  <si>
    <t>LOSAL</t>
  </si>
  <si>
    <t>404-6411699-3234739</t>
  </si>
  <si>
    <t>TNz3y8X24</t>
  </si>
  <si>
    <t>DKMCTg2Qc10tR</t>
  </si>
  <si>
    <t>2026-07-09T16:48:25+05:30</t>
  </si>
  <si>
    <t>2026-07-09T20:05:43+05:30</t>
  </si>
  <si>
    <t>2026-07-09T23:05:54+05:30</t>
  </si>
  <si>
    <t>bv2dly5pb6ztwks@marketplace.amazon.in</t>
  </si>
  <si>
    <t>406-2294545-1196343</t>
  </si>
  <si>
    <t>TnqNRK554</t>
  </si>
  <si>
    <t>D891T82LcQ0kR</t>
  </si>
  <si>
    <t>2026-07-06T21:30:59+05:30</t>
  </si>
  <si>
    <t>2026-07-09T20:02:55+05:30</t>
  </si>
  <si>
    <t>2026-07-09T23:03:07+05:30</t>
  </si>
  <si>
    <t>6v79l0r6p0r935n@marketplace.amazon.in</t>
  </si>
  <si>
    <t>GIDDALURU</t>
  </si>
  <si>
    <t>171-3788939-8200332</t>
  </si>
  <si>
    <t>Tntjp8SV4</t>
  </si>
  <si>
    <t>DMTpT42pcG0WR</t>
  </si>
  <si>
    <t>2026-07-06T22:30:25+05:30</t>
  </si>
  <si>
    <t>2026-07-09T20:02:47+05:30</t>
  </si>
  <si>
    <t>2026-07-09T20:02:52+05:30</t>
  </si>
  <si>
    <t>2026-07-09T21:03:12+05:30</t>
  </si>
  <si>
    <t>5gzsrwlswdgqyh3@marketplace.amazon.in</t>
  </si>
  <si>
    <t>BHADOHI</t>
  </si>
  <si>
    <t>402-2272253-0337103</t>
  </si>
  <si>
    <t>TCWQywXN4</t>
  </si>
  <si>
    <t>DvCMTP2Rcx04R</t>
  </si>
  <si>
    <t>2026-07-09T16:53:22+05:30</t>
  </si>
  <si>
    <t>2026-07-09T19:59:45+05:30</t>
  </si>
  <si>
    <t>2026-07-09T22:59:59+05:30</t>
  </si>
  <si>
    <t>vq29mvs5gmtxlhf@marketplace.amazon.in</t>
  </si>
  <si>
    <t>406-1860381-5867536</t>
  </si>
  <si>
    <t>T3NhpHv24</t>
  </si>
  <si>
    <t>DjnTn92FcG0vR</t>
  </si>
  <si>
    <t>2026-07-07T10:18:49+05:30</t>
  </si>
  <si>
    <t>2026-07-09T19:39:49+05:30</t>
  </si>
  <si>
    <t>2026-07-09T22:40:01+05:30</t>
  </si>
  <si>
    <t>p72wmdj8hzx65nq@marketplace.amazon.in</t>
  </si>
  <si>
    <t>406-6936112-4665152</t>
  </si>
  <si>
    <t>Tn9SlSvT4</t>
  </si>
  <si>
    <t>DFzlxx24cR08R</t>
  </si>
  <si>
    <t>2026-07-09T12:29:06+05:30</t>
  </si>
  <si>
    <t>2026-07-09T19:28:44+05:30</t>
  </si>
  <si>
    <t>2026-07-09T19:28:46+05:30</t>
  </si>
  <si>
    <t>2026-07-09T20:28:57+05:30</t>
  </si>
  <si>
    <t>zdbs48xp2q7tfr7@marketplace.amazon.in</t>
  </si>
  <si>
    <t>406-1754501-7007559</t>
  </si>
  <si>
    <t>TVdHwXXp4</t>
  </si>
  <si>
    <t>DhntxV2Vcs0cR</t>
  </si>
  <si>
    <t>2026-07-09T15:53:25+05:30</t>
  </si>
  <si>
    <t>2026-07-09T19:23:49+05:30</t>
  </si>
  <si>
    <t>2026-07-09T22:24:07+05:30</t>
  </si>
  <si>
    <t>wg8snhx3jgjr5z9@marketplace.amazon.in</t>
  </si>
  <si>
    <t>171-2266508-9525944</t>
  </si>
  <si>
    <t>Tc5gfrvr4</t>
  </si>
  <si>
    <t>DTVJ3c2Wc901R</t>
  </si>
  <si>
    <t>2026-07-09T15:54:58+05:30</t>
  </si>
  <si>
    <t>2026-07-09T19:18:43+05:30</t>
  </si>
  <si>
    <t>2026-07-09T22:18:55+05:30</t>
  </si>
  <si>
    <t>ng6gd2ckds8ps8v@marketplace.amazon.in</t>
  </si>
  <si>
    <t>Sowripalayam PO</t>
  </si>
  <si>
    <t>Coimbatore TamilNadu</t>
  </si>
  <si>
    <t>402-6407684-2380329</t>
  </si>
  <si>
    <t>TVZYqy3J4</t>
  </si>
  <si>
    <t>DzCM3W2ycG0NR</t>
  </si>
  <si>
    <t>2026-07-06T23:03:32+05:30</t>
  </si>
  <si>
    <t>2026-07-09T19:10:48+05:30</t>
  </si>
  <si>
    <t>2026-07-09T22:11:01+05:30</t>
  </si>
  <si>
    <t>nbbp0y9kgvhxp1q@marketplace.amazon.in</t>
  </si>
  <si>
    <t>MARGHERITA</t>
  </si>
  <si>
    <t>403-2920905-6973925</t>
  </si>
  <si>
    <t>TcDpbmX54</t>
  </si>
  <si>
    <t>DzPh3N2DcW0kR</t>
  </si>
  <si>
    <t>2026-07-09T16:05:20+05:30</t>
  </si>
  <si>
    <t>2026-07-09T19:09:44+05:30</t>
  </si>
  <si>
    <t>2026-07-09T22:09:58+05:30</t>
  </si>
  <si>
    <t>6fq9fgly5jc6qsv@marketplace.amazon.in</t>
  </si>
  <si>
    <t>402-4534671-4830746</t>
  </si>
  <si>
    <t>T145XBvG4</t>
  </si>
  <si>
    <t>D5rpJp2jcK02R</t>
  </si>
  <si>
    <t>2026-07-09T15:05:34+05:30</t>
  </si>
  <si>
    <t>2026-07-09T18:52:41+05:30</t>
  </si>
  <si>
    <t>2026-07-09T21:52:55+05:30</t>
  </si>
  <si>
    <t>pfy9mnh1npq02qp@marketplace.amazon.in</t>
  </si>
  <si>
    <t>407-8889001-2995564</t>
  </si>
  <si>
    <t>T1lvVyvd4</t>
  </si>
  <si>
    <t>D0Tn1Z24cR03R</t>
  </si>
  <si>
    <t>2026-07-09T06:32:55+05:30</t>
  </si>
  <si>
    <t>2026-07-09T18:19:45+05:30</t>
  </si>
  <si>
    <t>2026-07-09T18:19:49+05:30</t>
  </si>
  <si>
    <t>2026-07-09T19:20:06+05:30</t>
  </si>
  <si>
    <t>62t6hsy2n6z6lbv@marketplace.amazon.in</t>
  </si>
  <si>
    <t>408-2046185-7754737</t>
  </si>
  <si>
    <t>TJ631NSt4</t>
  </si>
  <si>
    <t>DJl41p23c10dR</t>
  </si>
  <si>
    <t>2026-07-08T23:02:10+05:30</t>
  </si>
  <si>
    <t>2026-07-09T18:19:46+05:30</t>
  </si>
  <si>
    <t>2026-07-09T21:19:57+05:30</t>
  </si>
  <si>
    <t>bgd7khhjbj5kwxl@marketplace.amazon.in</t>
  </si>
  <si>
    <t>171-9987118-5497910</t>
  </si>
  <si>
    <t>T6L53Rvr4</t>
  </si>
  <si>
    <t>D3mqrg28cS0ZR</t>
  </si>
  <si>
    <t>2026-07-09T10:31:20+05:30</t>
  </si>
  <si>
    <t>2026-07-09T18:14:43+05:30</t>
  </si>
  <si>
    <t>2026-07-09T21:14:55+05:30</t>
  </si>
  <si>
    <t>wck4p0r8fmjsxp2@marketplace.amazon.in</t>
  </si>
  <si>
    <t>408-7679539-5634742</t>
  </si>
  <si>
    <t>TnjTQJFw4</t>
  </si>
  <si>
    <t>Dq5prH2KcW0VR</t>
  </si>
  <si>
    <t>2026-07-06T16:27:30+05:30</t>
  </si>
  <si>
    <t>2026-07-09T18:13:51+05:30</t>
  </si>
  <si>
    <t>2026-07-09T21:14:07+05:30</t>
  </si>
  <si>
    <t>2dd59fpn88ggs32@marketplace.amazon.in</t>
  </si>
  <si>
    <t>DALSINGHSARAI</t>
  </si>
  <si>
    <t>403-7534940-3207532</t>
  </si>
  <si>
    <t>TCK96wvY4</t>
  </si>
  <si>
    <t>DwXbrX2Qct07R</t>
  </si>
  <si>
    <t>2026-07-09T11:35:17+05:30</t>
  </si>
  <si>
    <t>2026-07-09T18:13:43+05:30</t>
  </si>
  <si>
    <t>2026-07-09T21:13:54+05:30</t>
  </si>
  <si>
    <t>bh7pyb4zqk913vx@marketplace.amazon.in</t>
  </si>
  <si>
    <t>404-7582768-8647503</t>
  </si>
  <si>
    <t>TCCLyDXP4</t>
  </si>
  <si>
    <t>D5mBrH2rcS0ZR</t>
  </si>
  <si>
    <t>2026-07-09T16:42:35+05:30</t>
  </si>
  <si>
    <t>2026-07-09T18:08:47+05:30</t>
  </si>
  <si>
    <t>2026-07-09T21:09:02+05:30</t>
  </si>
  <si>
    <t>qbq129dyjyyx3pl@marketplace.amazon.in</t>
  </si>
  <si>
    <t>404-2659674-0533912</t>
  </si>
  <si>
    <t>T1f5nNvl4</t>
  </si>
  <si>
    <t>DlwWrZ2Ccz02R</t>
  </si>
  <si>
    <t>2026-07-09T11:30:16+05:30</t>
  </si>
  <si>
    <t>2026-07-09T18:07:46+05:30</t>
  </si>
  <si>
    <t>2026-07-09T21:07:58+05:30</t>
  </si>
  <si>
    <t>2r821npr0y1tjzw@marketplace.amazon.in</t>
  </si>
  <si>
    <t>Ernakulam</t>
  </si>
  <si>
    <t>171-6617377-7937948</t>
  </si>
  <si>
    <t>TCnv5nvB4</t>
  </si>
  <si>
    <t>DdWWrP2ncS0fR</t>
  </si>
  <si>
    <t>2026-07-09T14:05:02+05:30</t>
  </si>
  <si>
    <t>2026-07-09T18:06:46+05:30</t>
  </si>
  <si>
    <t>2026-07-09T21:06:58+05:30</t>
  </si>
  <si>
    <t>n4wmsphrqpmgyz2@marketplace.amazon.in</t>
  </si>
  <si>
    <t>404-4150376-7640359</t>
  </si>
  <si>
    <t>TJ18WQv44</t>
  </si>
  <si>
    <t>DBFW7R2Kc903R</t>
  </si>
  <si>
    <t>2026-07-09T13:24:56+05:30</t>
  </si>
  <si>
    <t>2026-07-09T17:55:47+05:30</t>
  </si>
  <si>
    <t>2026-07-09T20:55:58+05:30</t>
  </si>
  <si>
    <t>svcmgszqrp0rbpg@marketplace.amazon.in</t>
  </si>
  <si>
    <t>CHAMBA</t>
  </si>
  <si>
    <t>406-1175549-3534703</t>
  </si>
  <si>
    <t>Tg3pTHvS4</t>
  </si>
  <si>
    <t>Dfk67F28cM0lR</t>
  </si>
  <si>
    <t>2026-07-07T14:01:15+05:30</t>
  </si>
  <si>
    <t>2026-07-09T17:55:45+05:30</t>
  </si>
  <si>
    <t>2026-07-09T20:55:56+05:30</t>
  </si>
  <si>
    <t>s9kp228vnhr268s@marketplace.amazon.in</t>
  </si>
  <si>
    <t>PIRANGUT</t>
  </si>
  <si>
    <t>406-3340929-9213958</t>
  </si>
  <si>
    <t>Tw2lYgSq4</t>
  </si>
  <si>
    <t>DG8y7V2dc10nR</t>
  </si>
  <si>
    <t>2026-07-08T17:34:54+05:30</t>
  </si>
  <si>
    <t>2026-07-09T17:49:44+05:30</t>
  </si>
  <si>
    <t>2026-07-09T20:49:55+05:30</t>
  </si>
  <si>
    <t>cv2dg1g15w59kk4@marketplace.amazon.in</t>
  </si>
  <si>
    <t>GAYA</t>
  </si>
  <si>
    <t>171-2953928-1855512</t>
  </si>
  <si>
    <t>TC3YrXv24</t>
  </si>
  <si>
    <t>DNzj7N29cD0sR</t>
  </si>
  <si>
    <t>2026-07-09T10:26:40+05:30</t>
  </si>
  <si>
    <t>2026-07-09T17:45:43+05:30</t>
  </si>
  <si>
    <t>2026-07-09T20:45:55+05:30</t>
  </si>
  <si>
    <t>xd4c6lf73glgp38@marketplace.amazon.in</t>
  </si>
  <si>
    <t>403-8509835-0995555</t>
  </si>
  <si>
    <t>T3W2m7Sl4</t>
  </si>
  <si>
    <t>DwHV7X2gc70VR</t>
  </si>
  <si>
    <t>2026-07-09T01:01:18+05:30</t>
  </si>
  <si>
    <t>2026-07-09T17:44:45+05:30</t>
  </si>
  <si>
    <t>2026-07-09T20:44:56+05:30</t>
  </si>
  <si>
    <t>81dgm21svtdh784@marketplace.amazon.in</t>
  </si>
  <si>
    <t>Panigaon KANTAPHOD</t>
  </si>
  <si>
    <t>407-2917352-4965108</t>
  </si>
  <si>
    <t>Tc4z1Qv74</t>
  </si>
  <si>
    <t>D1VhLc2Yc406R</t>
  </si>
  <si>
    <t>2026-07-09T11:23:17+05:30</t>
  </si>
  <si>
    <t>2026-07-09T17:38:46+05:30</t>
  </si>
  <si>
    <t>2026-07-09T20:39:02+05:30</t>
  </si>
  <si>
    <t>cz8rbyvx5jj6vn0@marketplace.amazon.in</t>
  </si>
  <si>
    <t>407-0421208-2193929</t>
  </si>
  <si>
    <t>TVW6wFXb4</t>
  </si>
  <si>
    <t>DRVPLg2Zcy06R</t>
  </si>
  <si>
    <t>2026-07-09T15:42:01+05:30</t>
  </si>
  <si>
    <t>2026-07-09T17:34:43+05:30</t>
  </si>
  <si>
    <t>2026-07-09T20:34:54+05:30</t>
  </si>
  <si>
    <t>2hydfd4jvhz8ssr@marketplace.amazon.in</t>
  </si>
  <si>
    <t>405-0675089-4345916</t>
  </si>
  <si>
    <t>TGQcdyvz4</t>
  </si>
  <si>
    <t>Dp8gL02Hcm0WR</t>
  </si>
  <si>
    <t>2026-07-09T11:26:41+05:30</t>
  </si>
  <si>
    <t>2026-07-09T17:33:49+05:30</t>
  </si>
  <si>
    <t>2026-07-09T20:34:07+05:30</t>
  </si>
  <si>
    <t>hpdj399hdx71ryg@marketplace.amazon.in</t>
  </si>
  <si>
    <t>402-2265263-7064360</t>
  </si>
  <si>
    <t>TVLrZqvn4</t>
  </si>
  <si>
    <t>DpKds827c10xR</t>
  </si>
  <si>
    <t>2026-07-09T14:27:49+05:30</t>
  </si>
  <si>
    <t>2026-07-09T17:29:50+05:30</t>
  </si>
  <si>
    <t>2026-07-09T20:30:04+05:30</t>
  </si>
  <si>
    <t>cjdj9j11m8yfd8g@marketplace.amazon.in</t>
  </si>
  <si>
    <t>404-1169826-4813958</t>
  </si>
  <si>
    <t>T66HKhvf4</t>
  </si>
  <si>
    <t>D7l3LW2WcM0zR</t>
  </si>
  <si>
    <t>2026-07-09T13:56:27+05:30</t>
  </si>
  <si>
    <t>2026-07-09T17:28:42+05:30</t>
  </si>
  <si>
    <t>2026-07-09T20:28:53+05:30</t>
  </si>
  <si>
    <t>g1kw9rdg0d5132r@marketplace.amazon.in</t>
  </si>
  <si>
    <t>403-7415626-2682766</t>
  </si>
  <si>
    <t>TCRMWY8Q4</t>
  </si>
  <si>
    <t>Dl0FsW2Hcx0kR</t>
  </si>
  <si>
    <t>2026-07-04T09:12:43+05:30</t>
  </si>
  <si>
    <t>2026-07-09T17:09:55+05:30</t>
  </si>
  <si>
    <t>2026-07-09T20:10:09+05:30</t>
  </si>
  <si>
    <t>37k6j9xy2z4y9d5@marketplace.amazon.in</t>
  </si>
  <si>
    <t>DSnLsL28cY0hR</t>
  </si>
  <si>
    <t>404-2988768-5324324</t>
  </si>
  <si>
    <t>TGJXdRvf4</t>
  </si>
  <si>
    <t>D4nmsJ2pcY0hR</t>
  </si>
  <si>
    <t>2026-07-09T11:05:07+05:30</t>
  </si>
  <si>
    <t>2026-07-09T17:09:42+05:30</t>
  </si>
  <si>
    <t>2026-07-09T17:09:45+05:30</t>
  </si>
  <si>
    <t>2026-07-09T18:09:56+05:30</t>
  </si>
  <si>
    <t>p8cr93z7qpdm4cm@marketplace.amazon.in</t>
  </si>
  <si>
    <t>402-2752244-5336342</t>
  </si>
  <si>
    <t>TXjXWyv94</t>
  </si>
  <si>
    <t>DWZBQD25c10MR</t>
  </si>
  <si>
    <t>2026-07-09T12:27:51+05:30</t>
  </si>
  <si>
    <t>2026-07-09T16:55:33+05:30</t>
  </si>
  <si>
    <t>2026-07-09T19:55:50+05:30</t>
  </si>
  <si>
    <t>k20m023qlr0855q@marketplace.amazon.in</t>
  </si>
  <si>
    <t>D7h8Qs2ScV0gR</t>
  </si>
  <si>
    <t>403-1501483-1772332</t>
  </si>
  <si>
    <t>TwM1Tx5L4</t>
  </si>
  <si>
    <t>D20SQt2hc60YR</t>
  </si>
  <si>
    <t>2026-07-08T00:50:06+05:30</t>
  </si>
  <si>
    <t>2026-07-09T16:52:44+05:30</t>
  </si>
  <si>
    <t>2026-07-09T19:52:58+05:30</t>
  </si>
  <si>
    <t>kbjkp3yt4nqwr4w@marketplace.amazon.in</t>
  </si>
  <si>
    <t>406-7045197-5802753</t>
  </si>
  <si>
    <t>T1kvzPvN4</t>
  </si>
  <si>
    <t>DyZwc025cb0qR</t>
  </si>
  <si>
    <t>2026-07-09T09:25:03+05:30</t>
  </si>
  <si>
    <t>2026-07-09T16:38:45+05:30</t>
  </si>
  <si>
    <t>2026-07-09T19:38:56+05:30</t>
  </si>
  <si>
    <t>nlhcjfnzbhgkh6s@marketplace.amazon.in</t>
  </si>
  <si>
    <t>Chandausi</t>
  </si>
  <si>
    <t>404-3705419-3304327</t>
  </si>
  <si>
    <t>TJqZWJvM4</t>
  </si>
  <si>
    <t>Dh72vQ2wcW0xR</t>
  </si>
  <si>
    <t>2026-07-09T11:36:27+05:30</t>
  </si>
  <si>
    <t>2026-07-09T16:29:48+05:30</t>
  </si>
  <si>
    <t>2026-07-09T19:30:02+05:30</t>
  </si>
  <si>
    <t>qyspt5m2r4b0hv1@marketplace.amazon.in</t>
  </si>
  <si>
    <t>407-6723216-2333100</t>
  </si>
  <si>
    <t>T6FktWvh4</t>
  </si>
  <si>
    <t>DhWMvj26c40cR</t>
  </si>
  <si>
    <t>2026-07-09T14:11:08+05:30</t>
  </si>
  <si>
    <t>2026-07-09T16:27:47+05:30</t>
  </si>
  <si>
    <t>2026-07-09T19:27:59+05:30</t>
  </si>
  <si>
    <t>z9mlkgjy5t9fjwv@marketplace.amazon.in</t>
  </si>
  <si>
    <t>404-8639100-6205150</t>
  </si>
  <si>
    <t>T629Dsyx4</t>
  </si>
  <si>
    <t>DNQSvQ21cg0vR</t>
  </si>
  <si>
    <t>2026-07-07T11:25:07+05:30</t>
  </si>
  <si>
    <t>2026-07-09T16:20:41+05:30</t>
  </si>
  <si>
    <t>2026-07-09T19:20:52+05:30</t>
  </si>
  <si>
    <t>8hbf1zk7phtg3sx@marketplace.amazon.in</t>
  </si>
  <si>
    <t>407-6358414-3008336</t>
  </si>
  <si>
    <t>Tc5yrWvy4</t>
  </si>
  <si>
    <t>DNq3v42KcH0BR</t>
  </si>
  <si>
    <t>2026-07-09T10:22:57+05:30</t>
  </si>
  <si>
    <t>2026-07-09T16:18:47+05:30</t>
  </si>
  <si>
    <t>2026-07-09T19:19:00+05:30</t>
  </si>
  <si>
    <t>3psr7111hqp086g@marketplace.amazon.in</t>
  </si>
  <si>
    <t>402-4988222-1205139</t>
  </si>
  <si>
    <t>TC8vxnvC4</t>
  </si>
  <si>
    <t>DFmYzQ2qcn07R</t>
  </si>
  <si>
    <t>2026-07-09T10:36:38+05:30</t>
  </si>
  <si>
    <t>2026-07-09T16:07:43+05:30</t>
  </si>
  <si>
    <t>2026-07-09T19:07:53+05:30</t>
  </si>
  <si>
    <t>1wmx16tt4gclvx5@marketplace.amazon.in</t>
  </si>
  <si>
    <t>405-3995896-7821143</t>
  </si>
  <si>
    <t>T3MhncvP4</t>
  </si>
  <si>
    <t>DT6Bz42Kcs0SR</t>
  </si>
  <si>
    <t>2026-07-09T11:44:46+05:30</t>
  </si>
  <si>
    <t>2026-07-09T16:06:49+05:30</t>
  </si>
  <si>
    <t>2026-07-09T19:07:05+05:30</t>
  </si>
  <si>
    <t>dbw44ryq5vhbqw4@marketplace.amazon.in</t>
  </si>
  <si>
    <t>403-5493188-4962710</t>
  </si>
  <si>
    <t>TVYmdmv84</t>
  </si>
  <si>
    <t>DsdVzw22cX04R</t>
  </si>
  <si>
    <t>2026-07-09T11:27:28+05:30</t>
  </si>
  <si>
    <t>2026-07-09T16:00:46+05:30</t>
  </si>
  <si>
    <t>2026-07-09T19:00:58+05:30</t>
  </si>
  <si>
    <t>mgb8rbwhwbwbd0h@marketplace.amazon.in</t>
  </si>
  <si>
    <t>bangalore</t>
  </si>
  <si>
    <t>405-7207961-7527513</t>
  </si>
  <si>
    <t>TJpFF33H4</t>
  </si>
  <si>
    <t>DT54Vz2KcS0jR</t>
  </si>
  <si>
    <t>2026-07-06T20:00:59+05:30</t>
  </si>
  <si>
    <t>2026-07-09T15:57:46+05:30</t>
  </si>
  <si>
    <t>2026-07-09T18:57:57+05:30</t>
  </si>
  <si>
    <t>w1x50865jz5fhr2@marketplace.amazon.in</t>
  </si>
  <si>
    <t>JAMALPUR</t>
  </si>
  <si>
    <t>403-1917797-7936334</t>
  </si>
  <si>
    <t>T6K07xvK4</t>
  </si>
  <si>
    <t>DfgfVw2Zcx0BR</t>
  </si>
  <si>
    <t>2026-07-09T07:43:03+05:30</t>
  </si>
  <si>
    <t>2026-07-09T15:51:50+05:30</t>
  </si>
  <si>
    <t>2026-07-09T18:52:01+05:30</t>
  </si>
  <si>
    <t>z38gbpknylhcs52@marketplace.amazon.in</t>
  </si>
  <si>
    <t>403-6867974-0570765</t>
  </si>
  <si>
    <t>TGKc7xvK4</t>
  </si>
  <si>
    <t>DqgtVw2Zcx0BR</t>
  </si>
  <si>
    <t>2026-07-09T09:43:54+05:30</t>
  </si>
  <si>
    <t>2026-07-09T15:51:45+05:30</t>
  </si>
  <si>
    <t>2026-07-09T18:51:57+05:30</t>
  </si>
  <si>
    <t>171-7558527-3614759</t>
  </si>
  <si>
    <t>T1CkP0v44</t>
  </si>
  <si>
    <t>DN4X2h2CcX0MR</t>
  </si>
  <si>
    <t>2026-07-09T11:36:46+05:30</t>
  </si>
  <si>
    <t>2026-07-09T15:34:44+05:30</t>
  </si>
  <si>
    <t>2026-07-09T18:34:55+05:30</t>
  </si>
  <si>
    <t>h3qjj537tz5zx53@marketplace.amazon.in</t>
  </si>
  <si>
    <t>Dwww2T2FcM0PR</t>
  </si>
  <si>
    <t>2026-07-09T18:34:56+05:30</t>
  </si>
  <si>
    <t>405-9471004-6779504</t>
  </si>
  <si>
    <t>TcQTwtvt4</t>
  </si>
  <si>
    <t>DKScFs23ch0YR</t>
  </si>
  <si>
    <t>2026-07-09T08:25:59+05:30</t>
  </si>
  <si>
    <t>2026-07-09T15:27:45+05:30</t>
  </si>
  <si>
    <t>2026-07-09T18:27:56+05:30</t>
  </si>
  <si>
    <t>81x32trc4773yyc@marketplace.amazon.in</t>
  </si>
  <si>
    <t>404-8109341-2310744</t>
  </si>
  <si>
    <t>TCs9tSNs4</t>
  </si>
  <si>
    <t>DLcvDh2PcB0zR</t>
  </si>
  <si>
    <t>2026-07-07T07:49:44+05:30</t>
  </si>
  <si>
    <t>2026-07-09T14:57:44+05:30</t>
  </si>
  <si>
    <t>2026-07-09T17:57:54+05:30</t>
  </si>
  <si>
    <t>9vnrvkww79wk3fj@marketplace.amazon.in</t>
  </si>
  <si>
    <t>South 24 parganas</t>
  </si>
  <si>
    <t>407-8558119-3069923</t>
  </si>
  <si>
    <t>TGL2Smvy4</t>
  </si>
  <si>
    <t>D2fPDZ2mcm0JR</t>
  </si>
  <si>
    <t>2026-07-09T11:22:08+05:30</t>
  </si>
  <si>
    <t>2026-07-09T14:56:44+05:30</t>
  </si>
  <si>
    <t>2026-07-09T17:56:57+05:30</t>
  </si>
  <si>
    <t>84xjvzjs8vh76b0@marketplace.amazon.in</t>
  </si>
  <si>
    <t>402-2495546-1880321</t>
  </si>
  <si>
    <t>T1pm0fSK4</t>
  </si>
  <si>
    <t>DnMyYG26c60rR</t>
  </si>
  <si>
    <t>2026-07-09T00:29:51+05:30</t>
  </si>
  <si>
    <t>2026-07-09T14:40:45+05:30</t>
  </si>
  <si>
    <t>2026-07-09T17:40:57+05:30</t>
  </si>
  <si>
    <t>gd52wn900rl8c0v@marketplace.amazon.in</t>
  </si>
  <si>
    <t>405-0931175-9787520</t>
  </si>
  <si>
    <t>Tg2tRLvv4</t>
  </si>
  <si>
    <t>DWMPYP21c60rR</t>
  </si>
  <si>
    <t>2026-07-07T10:08:11+05:30</t>
  </si>
  <si>
    <t>2026-07-09T14:38:45+05:30</t>
  </si>
  <si>
    <t>2026-07-09T17:38:57+05:30</t>
  </si>
  <si>
    <t>3pptsj1b0llk6p4@marketplace.amazon.in</t>
  </si>
  <si>
    <t>Korba</t>
  </si>
  <si>
    <t>Dkh8YM2cc80XR</t>
  </si>
  <si>
    <t>171-0863817-1701906</t>
  </si>
  <si>
    <t>T39N1rv64</t>
  </si>
  <si>
    <t>DhprYX2Xcs0WR</t>
  </si>
  <si>
    <t>2026-07-09T11:05:33+05:30</t>
  </si>
  <si>
    <t>2026-07-09T14:34:43+05:30</t>
  </si>
  <si>
    <t>2026-07-09T17:34:56+05:30</t>
  </si>
  <si>
    <t>12bfk24pdr3bh9y@marketplace.amazon.in</t>
  </si>
  <si>
    <t>JHAJJAR</t>
  </si>
  <si>
    <t>405-9603448-5497159</t>
  </si>
  <si>
    <t>TcHtBqSt4</t>
  </si>
  <si>
    <t>DTPXYL2bcQ0sR</t>
  </si>
  <si>
    <t>2026-07-08T21:42:27+05:30</t>
  </si>
  <si>
    <t>2026-07-09T14:33:42+05:30</t>
  </si>
  <si>
    <t>2026-07-09T17:33:53+05:30</t>
  </si>
  <si>
    <t>mkyjfx8y02x8qnm@marketplace.amazon.in</t>
  </si>
  <si>
    <t>402-2310823-6201903</t>
  </si>
  <si>
    <t>TN0Q3ZvR4</t>
  </si>
  <si>
    <t>Dl70yH25cv00R</t>
  </si>
  <si>
    <t>2026-07-09T10:08:39+05:30</t>
  </si>
  <si>
    <t>2026-07-09T14:29:48+05:30</t>
  </si>
  <si>
    <t>2026-07-09T17:29:58+05:30</t>
  </si>
  <si>
    <t>hlzb2vlmphp1dst@marketplace.amazon.in</t>
  </si>
  <si>
    <t>HAZARIBAGH</t>
  </si>
  <si>
    <t>402-4326825-4003533</t>
  </si>
  <si>
    <t>TJZHdnv24</t>
  </si>
  <si>
    <t>DszGy127cC01R</t>
  </si>
  <si>
    <t>2026-07-09T11:54:36+05:30</t>
  </si>
  <si>
    <t>2026-07-09T14:21:45+05:30</t>
  </si>
  <si>
    <t>2026-07-09T17:21:57+05:30</t>
  </si>
  <si>
    <t>kr3g0g4rfxlk49n@marketplace.amazon.in</t>
  </si>
  <si>
    <t>408-3281126-5834740</t>
  </si>
  <si>
    <t>TgDT7gv04</t>
  </si>
  <si>
    <t>DNHsyZ2Bcm0CR</t>
  </si>
  <si>
    <t>2026-07-09T08:55:28+05:30</t>
  </si>
  <si>
    <t>2026-07-09T14:20:54+05:30</t>
  </si>
  <si>
    <t>2026-07-09T17:21:07+05:30</t>
  </si>
  <si>
    <t>735xygtwp5kgd6d@marketplace.amazon.in</t>
  </si>
  <si>
    <t>408-9268925-8163525</t>
  </si>
  <si>
    <t>TVTYnlNj4</t>
  </si>
  <si>
    <t>DxsCyf2fc40hR</t>
  </si>
  <si>
    <t>2026-07-06T23:06:57+05:30</t>
  </si>
  <si>
    <t>2026-07-09T14:16:49+05:30</t>
  </si>
  <si>
    <t>2026-07-09T17:17:07+05:30</t>
  </si>
  <si>
    <t>bdz8l6z7zb7y4s7@marketplace.amazon.in</t>
  </si>
  <si>
    <t>402-6254186-9568336</t>
  </si>
  <si>
    <t>T3B76X4z4</t>
  </si>
  <si>
    <t>DWKpwd2qcC0sR</t>
  </si>
  <si>
    <t>2026-07-06T23:14:55+05:30</t>
  </si>
  <si>
    <t>2026-07-09T14:14:54+05:30</t>
  </si>
  <si>
    <t>2026-07-09T14:15:01+05:30</t>
  </si>
  <si>
    <t>2026-07-09T15:15:41+05:30</t>
  </si>
  <si>
    <t>xcg4gmrc7669k0y@marketplace.amazon.in</t>
  </si>
  <si>
    <t>402-4136932-4837136</t>
  </si>
  <si>
    <t>TV1RDp454</t>
  </si>
  <si>
    <t>DDKYwZ20cC0sR</t>
  </si>
  <si>
    <t>2026-07-06T01:02:51+05:30</t>
  </si>
  <si>
    <t>2026-07-09T14:12:49+05:30</t>
  </si>
  <si>
    <t>2026-07-09T17:13:04+05:30</t>
  </si>
  <si>
    <t>g8wwl6b772bp2zh@marketplace.amazon.in</t>
  </si>
  <si>
    <t>171-5174608-9645104</t>
  </si>
  <si>
    <t>TXVyd2vc4</t>
  </si>
  <si>
    <t>Dpkyw52ncz0pR</t>
  </si>
  <si>
    <t>2026-07-09T12:02:56+05:30</t>
  </si>
  <si>
    <t>2026-07-09T14:09:47+05:30</t>
  </si>
  <si>
    <t>2026-07-09T17:09:59+05:30</t>
  </si>
  <si>
    <t>19dkg2tb68hbwz8@marketplace.amazon.in</t>
  </si>
  <si>
    <t>HAJIPUR</t>
  </si>
  <si>
    <t>404-5352057-8717904</t>
  </si>
  <si>
    <t>Tg0SKBy34</t>
  </si>
  <si>
    <t>DXQgwB2vcb0LR</t>
  </si>
  <si>
    <t>2026-07-04T16:01:19+05:30</t>
  </si>
  <si>
    <t>2026-07-09T14:08:41+05:30</t>
  </si>
  <si>
    <t>2026-07-09T17:08:54+05:30</t>
  </si>
  <si>
    <t>3b7zfysn8ct6ky3@marketplace.amazon.in</t>
  </si>
  <si>
    <t>171-5654016-2680349</t>
  </si>
  <si>
    <t>TNRMJsvW4</t>
  </si>
  <si>
    <t>Djhrwx2yc301R</t>
  </si>
  <si>
    <t>2026-07-09T09:58:08+05:30</t>
  </si>
  <si>
    <t>2026-07-09T14:06:40+05:30</t>
  </si>
  <si>
    <t>2026-07-09T17:06:53+05:30</t>
  </si>
  <si>
    <t>37j1dcfbrdt44rj@marketplace.amazon.in</t>
  </si>
  <si>
    <t>171-9308587-3652356</t>
  </si>
  <si>
    <t>Tccd04mC4</t>
  </si>
  <si>
    <t>DSbyw722cX00R</t>
  </si>
  <si>
    <t>2026-07-06T09:15:45+05:30</t>
  </si>
  <si>
    <t>2026-07-09T14:04:46+05:30</t>
  </si>
  <si>
    <t>2026-07-09T17:05:00+05:30</t>
  </si>
  <si>
    <t>0pznb79l3ndqr2w@marketplace.amazon.in</t>
  </si>
  <si>
    <t>405-5540425-4807527</t>
  </si>
  <si>
    <t>T6533Hkf4</t>
  </si>
  <si>
    <t>DxxYwH2Rct0GR</t>
  </si>
  <si>
    <t>2026-07-06T15:18:08+05:30</t>
  </si>
  <si>
    <t>2026-07-09T13:56:41+05:30</t>
  </si>
  <si>
    <t>2026-07-09T13:56:44+05:30</t>
  </si>
  <si>
    <t>2026-07-09T14:56:55+05:30</t>
  </si>
  <si>
    <t>1crcx3bgm9nfrsw@marketplace.amazon.in</t>
  </si>
  <si>
    <t>402-9589588-6435508</t>
  </si>
  <si>
    <t>TVrFHw5X4</t>
  </si>
  <si>
    <t>Dj3gBj2mcw0nR</t>
  </si>
  <si>
    <t>2026-07-08T12:02:39+05:30</t>
  </si>
  <si>
    <t>2026-07-09T13:54:45+05:30</t>
  </si>
  <si>
    <t>2026-07-09T16:54:57+05:30</t>
  </si>
  <si>
    <t>n628kcj94jrkqf3@marketplace.amazon.in</t>
  </si>
  <si>
    <t>406-5752021-3737904</t>
  </si>
  <si>
    <t>T61Rx6vH4</t>
  </si>
  <si>
    <t>DW3mBJ2vcw0nR</t>
  </si>
  <si>
    <t>2026-07-09T11:14:44+05:30</t>
  </si>
  <si>
    <t>2026-07-09T13:51:33+05:30</t>
  </si>
  <si>
    <t>2026-07-09T16:51:45+05:30</t>
  </si>
  <si>
    <t>kgd2f188w8kb09n@marketplace.amazon.in</t>
  </si>
  <si>
    <t>404-1139248-8769112</t>
  </si>
  <si>
    <t>TVK6nvvN4</t>
  </si>
  <si>
    <t>DTj0B82Kcl06R</t>
  </si>
  <si>
    <t>2026-07-09T10:16:52+05:30</t>
  </si>
  <si>
    <t>2026-07-09T13:50:43+05:30</t>
  </si>
  <si>
    <t>2026-07-09T16:50:55+05:30</t>
  </si>
  <si>
    <t>jzlmmf60q6txtcj@marketplace.amazon.in</t>
  </si>
  <si>
    <t>406-9362639-4353926</t>
  </si>
  <si>
    <t>T6tRB44Y4</t>
  </si>
  <si>
    <t>Dvr2Bj2JcP0WR</t>
  </si>
  <si>
    <t>2026-07-07T18:28:05+05:30</t>
  </si>
  <si>
    <t>2026-07-09T13:42:43+05:30</t>
  </si>
  <si>
    <t>2026-07-09T16:42:54+05:30</t>
  </si>
  <si>
    <t>ffc78b9xdztws3z@marketplace.amazon.in</t>
  </si>
  <si>
    <t>406-5165720-1612361</t>
  </si>
  <si>
    <t>TJVCcWvf4</t>
  </si>
  <si>
    <t>DVXZ9W2bck0mR</t>
  </si>
  <si>
    <t>2026-07-09T07:29:04+05:30</t>
  </si>
  <si>
    <t>2026-07-09T13:40:46+05:30</t>
  </si>
  <si>
    <t>2026-07-09T16:41:00+05:30</t>
  </si>
  <si>
    <t>sflwsrsdx3v54f9@marketplace.amazon.in</t>
  </si>
  <si>
    <t>404-9215679-5850727</t>
  </si>
  <si>
    <t>TXMprzvC4</t>
  </si>
  <si>
    <t>DtXD9c2Scm0mR</t>
  </si>
  <si>
    <t>2026-07-09T10:11:22+05:30</t>
  </si>
  <si>
    <t>2026-07-09T13:37:49+05:30</t>
  </si>
  <si>
    <t>2026-07-09T16:38:10+05:30</t>
  </si>
  <si>
    <t>vl4n5h7d2szlhl4@marketplace.amazon.in</t>
  </si>
  <si>
    <t>408-7773107-6022707</t>
  </si>
  <si>
    <t>TG8gQFSz4</t>
  </si>
  <si>
    <t>D7WJ9m2Gc50cR</t>
  </si>
  <si>
    <t>2026-07-08T22:48:03+05:30</t>
  </si>
  <si>
    <t>2026-07-09T13:30:44+05:30</t>
  </si>
  <si>
    <t>2026-07-09T16:30:57+05:30</t>
  </si>
  <si>
    <t>5w9lct4dhm50pyd@marketplace.amazon.in</t>
  </si>
  <si>
    <t>DHHF9s2Scc02R</t>
  </si>
  <si>
    <t>404-0472028-6692331</t>
  </si>
  <si>
    <t>TX6B6p5r4</t>
  </si>
  <si>
    <t>DhSN4X2fcK09R</t>
  </si>
  <si>
    <t>2026-07-08T16:59:38+05:30</t>
  </si>
  <si>
    <t>2026-07-09T13:26:44+05:30</t>
  </si>
  <si>
    <t>2026-07-09T16:26:56+05:30</t>
  </si>
  <si>
    <t>7xr60md42781k1f@marketplace.amazon.in</t>
  </si>
  <si>
    <t>171-9525230-0693942</t>
  </si>
  <si>
    <t>TN89rmvH4</t>
  </si>
  <si>
    <t>D6H59H29cc02R</t>
  </si>
  <si>
    <t>2026-07-09T10:16:14+05:30</t>
  </si>
  <si>
    <t>2026-07-09T13:26:43+05:30</t>
  </si>
  <si>
    <t>2026-07-09T16:26:55+05:30</t>
  </si>
  <si>
    <t>1h0lvlb1d5kmqhv@marketplace.amazon.in</t>
  </si>
  <si>
    <t>408-4086931-9075534</t>
  </si>
  <si>
    <t>TX3J7VvJ4</t>
  </si>
  <si>
    <t>DKzW4L2Pc20WR</t>
  </si>
  <si>
    <t>2026-07-09T09:17:22+05:30</t>
  </si>
  <si>
    <t>2026-07-09T13:15:45+05:30</t>
  </si>
  <si>
    <t>2026-07-09T16:15:57+05:30</t>
  </si>
  <si>
    <t>hctybjqklcrmp34@marketplace.amazon.in</t>
  </si>
  <si>
    <t>403-7322325-8586733</t>
  </si>
  <si>
    <t>TNd9zJS04</t>
  </si>
  <si>
    <t>D5HX4w2Fc60pR</t>
  </si>
  <si>
    <t>2026-07-08T23:14:06+05:30</t>
  </si>
  <si>
    <t>2026-07-09T13:14:46+05:30</t>
  </si>
  <si>
    <t>2026-07-09T16:14:58+05:30</t>
  </si>
  <si>
    <t>vn8lh0bmf6wwj7j@marketplace.amazon.in</t>
  </si>
  <si>
    <t>405-5137425-3234709</t>
  </si>
  <si>
    <t>TnD7HZv34</t>
  </si>
  <si>
    <t>DVStHb2qcC0sR</t>
  </si>
  <si>
    <t>2026-07-09T03:10:09+05:30</t>
  </si>
  <si>
    <t>2026-07-09T13:09:56+05:30</t>
  </si>
  <si>
    <t>2026-07-09T16:10:17+05:30</t>
  </si>
  <si>
    <t>7pdvqt5jgtqhxry@marketplace.amazon.in</t>
  </si>
  <si>
    <t>405-8051170-0992360</t>
  </si>
  <si>
    <t>TcPNZp5b4</t>
  </si>
  <si>
    <t>D8rj452McJ0SR</t>
  </si>
  <si>
    <t>2026-07-08T15:55:07+05:30</t>
  </si>
  <si>
    <t>2026-07-09T13:09:51+05:30</t>
  </si>
  <si>
    <t>2026-07-09T16:10:07+05:30</t>
  </si>
  <si>
    <t>n55sjpgl07qds07@marketplace.amazon.in</t>
  </si>
  <si>
    <t>402-1019043-4024326</t>
  </si>
  <si>
    <t>TGnKx9vZ4</t>
  </si>
  <si>
    <t>DlHH4b2lch0pR</t>
  </si>
  <si>
    <t>2026-07-09T10:24:21+05:30</t>
  </si>
  <si>
    <t>2026-07-09T13:09:45+05:30</t>
  </si>
  <si>
    <t>2026-07-09T13:09:48+05:30</t>
  </si>
  <si>
    <t>2026-07-09T14:09:59+05:30</t>
  </si>
  <si>
    <t>f665sb9f2rdsr8r@marketplace.amazon.in</t>
  </si>
  <si>
    <t>402-6213093-1936356</t>
  </si>
  <si>
    <t>TcvgTLvR4</t>
  </si>
  <si>
    <t>D8SkHq2Qck06R</t>
  </si>
  <si>
    <t>2026-07-07T18:45:42+05:30</t>
  </si>
  <si>
    <t>2026-07-09T13:02:43+05:30</t>
  </si>
  <si>
    <t>2026-07-09T16:02:54+05:30</t>
  </si>
  <si>
    <t>yyybn6tqzrf6j85@marketplace.amazon.in</t>
  </si>
  <si>
    <t>408-3065976-6250703</t>
  </si>
  <si>
    <t>T302ZDS04</t>
  </si>
  <si>
    <t>DY4DHV2McF0sR</t>
  </si>
  <si>
    <t>2026-07-08T22:07:22+05:30</t>
  </si>
  <si>
    <t>2026-07-09T13:01:43+05:30</t>
  </si>
  <si>
    <t>2026-07-09T16:01:54+05:30</t>
  </si>
  <si>
    <t>87s8q0z70jp6knm@marketplace.amazon.in</t>
  </si>
  <si>
    <t>405-7947212-0021121</t>
  </si>
  <si>
    <t>TcWb2tv34</t>
  </si>
  <si>
    <t>D1WnHb2Lc70NR</t>
  </si>
  <si>
    <t>2026-07-09T06:45:14+05:30</t>
  </si>
  <si>
    <t>2026-07-09T12:54:42+05:30</t>
  </si>
  <si>
    <t>2026-07-09T12:54:44+05:30</t>
  </si>
  <si>
    <t>2026-07-09T13:54:55+05:30</t>
  </si>
  <si>
    <t>y5ktzd81plc0678@marketplace.amazon.in</t>
  </si>
  <si>
    <t>408-1344378-3649124</t>
  </si>
  <si>
    <t>TN9v35vT4</t>
  </si>
  <si>
    <t>DgpSHp2vcT0GR</t>
  </si>
  <si>
    <t>2026-07-09T10:40:20+05:30</t>
  </si>
  <si>
    <t>2026-07-09T12:47:47+05:30</t>
  </si>
  <si>
    <t>2026-07-09T15:47:58+05:30</t>
  </si>
  <si>
    <t>ftxdlr75z4mbsp0@marketplace.amazon.in</t>
  </si>
  <si>
    <t>2026-07-09T20:00:00+05:30</t>
  </si>
  <si>
    <t>407-9977526-4399502</t>
  </si>
  <si>
    <t>TcRhLcv74</t>
  </si>
  <si>
    <t>D7kvbk2kcY03R</t>
  </si>
  <si>
    <t>2026-07-09T08:25:37+05:30</t>
  </si>
  <si>
    <t>2026-07-09T12:42:46+05:30</t>
  </si>
  <si>
    <t>2026-07-09T15:42:58+05:30</t>
  </si>
  <si>
    <t>9jx3g872xs5k4rd@marketplace.amazon.in</t>
  </si>
  <si>
    <t>403-0066905-2324336</t>
  </si>
  <si>
    <t>T304QPvQ4</t>
  </si>
  <si>
    <t>Dkk2bn2kcY03R</t>
  </si>
  <si>
    <t>2026-07-09T08:51:51+05:30</t>
  </si>
  <si>
    <t>2026-07-09T15:43:01+05:30</t>
  </si>
  <si>
    <t>v6zs41tpdj3vr0v@marketplace.amazon.in</t>
  </si>
  <si>
    <t>402-3644273-4776337</t>
  </si>
  <si>
    <t>TJsvQnvt4</t>
  </si>
  <si>
    <t>Dmrbb12ScR0xR</t>
  </si>
  <si>
    <t>2026-07-09T08:42:58+05:30</t>
  </si>
  <si>
    <t>2026-07-09T12:38:47+05:30</t>
  </si>
  <si>
    <t>2026-07-09T15:38:59+05:30</t>
  </si>
  <si>
    <t>w24kkfzq8nkbtg2@marketplace.amazon.in</t>
  </si>
  <si>
    <t>404-8420218-6241969</t>
  </si>
  <si>
    <t>TVnLxkSt4</t>
  </si>
  <si>
    <t>Dvg6kW2ccV0QR</t>
  </si>
  <si>
    <t>2026-07-08T23:54:48+05:30</t>
  </si>
  <si>
    <t>2026-07-09T12:30:44+05:30</t>
  </si>
  <si>
    <t>2026-07-09T15:30:56+05:30</t>
  </si>
  <si>
    <t>bg6c52d5sxh2dnt@marketplace.amazon.in</t>
  </si>
  <si>
    <t>404-3189045-3457930</t>
  </si>
  <si>
    <t>TgGj3lvr4</t>
  </si>
  <si>
    <t>DZSNk72tcs0JR</t>
  </si>
  <si>
    <t>2026-07-09T09:47:48+05:30</t>
  </si>
  <si>
    <t>2026-07-09T12:29:43+05:30</t>
  </si>
  <si>
    <t>2026-07-09T12:29:46+05:30</t>
  </si>
  <si>
    <t>2026-07-09T13:29:57+05:30</t>
  </si>
  <si>
    <t>n0xpb2h7wgwlxmf@marketplace.amazon.in</t>
  </si>
  <si>
    <t>405-7805712-7342760</t>
  </si>
  <si>
    <t>TCS0sGyH4</t>
  </si>
  <si>
    <t>DkyVNp2YcV0gR</t>
  </si>
  <si>
    <t>2026-07-07T10:22:31+05:30</t>
  </si>
  <si>
    <t>2026-07-09T12:11:44+05:30</t>
  </si>
  <si>
    <t>2026-07-09T15:11:56+05:30</t>
  </si>
  <si>
    <t>gysqjf0g3lp2p0s@marketplace.amazon.in</t>
  </si>
  <si>
    <t>404-6806099-1913936</t>
  </si>
  <si>
    <t>TGXXnxv84</t>
  </si>
  <si>
    <t>DmbvRy27cL0XR</t>
  </si>
  <si>
    <t>2026-07-09T10:22:09+05:30</t>
  </si>
  <si>
    <t>2026-07-09T11:49:44+05:30</t>
  </si>
  <si>
    <t>2026-07-09T14:49:56+05:30</t>
  </si>
  <si>
    <t>z0y571pnv1m1yy3@marketplace.amazon.in</t>
  </si>
  <si>
    <t>406-9976053-3013963</t>
  </si>
  <si>
    <t>TNm0VXS64</t>
  </si>
  <si>
    <t>D6nLhRVZcb0KR</t>
  </si>
  <si>
    <t>2026-07-08T22:46:46+05:30</t>
  </si>
  <si>
    <t>2026-07-09T11:25:43+05:30</t>
  </si>
  <si>
    <t>2026-07-09T14:26:00+05:30</t>
  </si>
  <si>
    <t>dxndm71nxtk7d30@marketplace.amazon.in</t>
  </si>
  <si>
    <t>406-9198566-6739526</t>
  </si>
  <si>
    <t>Twkh2Q3W4</t>
  </si>
  <si>
    <t>DCnNhtVrcF0yR</t>
  </si>
  <si>
    <t>2026-07-06T19:49:15+05:30</t>
  </si>
  <si>
    <t>2026-07-09T11:24:51+05:30</t>
  </si>
  <si>
    <t>2026-07-09T14:25:05+05:30</t>
  </si>
  <si>
    <t>lrflppw0vjgggny@marketplace.amazon.in</t>
  </si>
  <si>
    <t>407-4848866-4525169</t>
  </si>
  <si>
    <t>TGFgRMSV4</t>
  </si>
  <si>
    <t>DzdwhpV4c00sR</t>
  </si>
  <si>
    <t>2026-07-07T14:26:10+05:30</t>
  </si>
  <si>
    <t>2026-07-09T11:23:45+05:30</t>
  </si>
  <si>
    <t>2026-07-09T14:23:56+05:30</t>
  </si>
  <si>
    <t>7lwgg46d92l3688@marketplace.amazon.in</t>
  </si>
  <si>
    <t>403-5289013-1873949</t>
  </si>
  <si>
    <t>T6Fm7lSG4</t>
  </si>
  <si>
    <t>D6CMfpVpcR06R</t>
  </si>
  <si>
    <t>2026-07-08T20:32:13+05:30</t>
  </si>
  <si>
    <t>2026-07-09T11:09:49+05:30</t>
  </si>
  <si>
    <t>2026-07-09T14:10:02+05:30</t>
  </si>
  <si>
    <t>140421c3kj1xwcp@marketplace.amazon.in</t>
  </si>
  <si>
    <t>403-8528600-1944342</t>
  </si>
  <si>
    <t>TJQZLKvR4</t>
  </si>
  <si>
    <t>DL47jBVQcS0hR</t>
  </si>
  <si>
    <t>2026-07-09T08:46:07+05:30</t>
  </si>
  <si>
    <t>2026-07-09T11:01:44+05:30</t>
  </si>
  <si>
    <t>2026-07-09T14:01:56+05:30</t>
  </si>
  <si>
    <t>1kfgcqng8985ppp@marketplace.amazon.in</t>
  </si>
  <si>
    <t>403-9542749-5088306</t>
  </si>
  <si>
    <t>T3vSXK5k4</t>
  </si>
  <si>
    <t>D19wjVVpck0HR</t>
  </si>
  <si>
    <t>2026-07-08T20:11:13+05:30</t>
  </si>
  <si>
    <t>2026-07-09T10:53:48+05:30</t>
  </si>
  <si>
    <t>2026-07-09T13:54:05+05:30</t>
  </si>
  <si>
    <t>wbh8pl1hwl6hfyz@marketplace.amazon.in</t>
  </si>
  <si>
    <t>Dw9pjtVpck0HR</t>
  </si>
  <si>
    <t>DC9rjtVpck0HR</t>
  </si>
  <si>
    <t>Dn9bjtVpck0HR</t>
  </si>
  <si>
    <t>D39SjbVpck0HR</t>
  </si>
  <si>
    <t>DV9vjbVpck0HR</t>
  </si>
  <si>
    <t>Dc9jjZVpck0HR</t>
  </si>
  <si>
    <t>DJ9PjZVpck0HR</t>
  </si>
  <si>
    <t>DN9YjZVpck0HR</t>
  </si>
  <si>
    <t>Dg9XjwVpck0HR</t>
  </si>
  <si>
    <t>D69MjwVpck0HR</t>
  </si>
  <si>
    <t>DG94jwVpck0HR</t>
  </si>
  <si>
    <t>DV9Wj9Vlck0HR</t>
  </si>
  <si>
    <t>DX91jyVSck0HR</t>
  </si>
  <si>
    <t>D19HjyVSck0HR</t>
  </si>
  <si>
    <t>404-1783335-6726736</t>
  </si>
  <si>
    <t>T1KFXd5G4</t>
  </si>
  <si>
    <t>DH1SZsVXcL0MR</t>
  </si>
  <si>
    <t>2026-07-08T16:06:12+05:30</t>
  </si>
  <si>
    <t>2026-07-09T10:45:52+05:30</t>
  </si>
  <si>
    <t>2026-07-09T13:46:04+05:30</t>
  </si>
  <si>
    <t>c6t5b4v0bzqgjkv@marketplace.amazon.in</t>
  </si>
  <si>
    <t>404-9760315-0079538</t>
  </si>
  <si>
    <t>TJZVw0vX4</t>
  </si>
  <si>
    <t>DdkSZVVCcq07R</t>
  </si>
  <si>
    <t>2026-07-09T08:26:26+05:30</t>
  </si>
  <si>
    <t>2026-07-09T10:43:42+05:30</t>
  </si>
  <si>
    <t>2026-07-09T13:43:55+05:30</t>
  </si>
  <si>
    <t>0q2d1t8zsng1k0s@marketplace.amazon.in</t>
  </si>
  <si>
    <t>402-1991176-6737910</t>
  </si>
  <si>
    <t>TG0jv5154</t>
  </si>
  <si>
    <t>DDjfZ9Vbct0TR</t>
  </si>
  <si>
    <t>2026-07-05T15:21:10+05:30</t>
  </si>
  <si>
    <t>2026-07-09T10:41:46+05:30</t>
  </si>
  <si>
    <t>2026-07-09T10:41:49+05:30</t>
  </si>
  <si>
    <t>2026-07-09T11:42:02+05:30</t>
  </si>
  <si>
    <t>0fp6xjqpgxzj6by@marketplace.amazon.in</t>
  </si>
  <si>
    <t>Gangavathi</t>
  </si>
  <si>
    <t>407-5262007-0755551</t>
  </si>
  <si>
    <t>TwvdTTS94</t>
  </si>
  <si>
    <t>DCPPZxV7cc0BR</t>
  </si>
  <si>
    <t>2026-07-08T18:37:14+05:30</t>
  </si>
  <si>
    <t>2026-07-09T10:31:49+05:30</t>
  </si>
  <si>
    <t>2026-07-09T13:32:15+05:30</t>
  </si>
  <si>
    <t>h6bj7fkvbhvlmh9@marketplace.amazon.in</t>
  </si>
  <si>
    <t>404-5717232-7524367</t>
  </si>
  <si>
    <t>TGJtxz5S4</t>
  </si>
  <si>
    <t>DQBkqDV6cp0fR</t>
  </si>
  <si>
    <t>2026-07-08T16:01:09+05:30</t>
  </si>
  <si>
    <t>2026-07-09T10:27:52+05:30</t>
  </si>
  <si>
    <t>2026-07-09T13:28:07+05:30</t>
  </si>
  <si>
    <t>0z7t4lt0h9143ms@marketplace.amazon.in</t>
  </si>
  <si>
    <t>405-2242740-1077121</t>
  </si>
  <si>
    <t>T3MgDhv14</t>
  </si>
  <si>
    <t>D39TqfVDcy0ZR</t>
  </si>
  <si>
    <t>2026-07-09T07:38:32+05:30</t>
  </si>
  <si>
    <t>2026-07-09T10:23:42+05:30</t>
  </si>
  <si>
    <t>2026-07-09T13:23:53+05:30</t>
  </si>
  <si>
    <t>x9gqtyn56fgbvk6@marketplace.amazon.in</t>
  </si>
  <si>
    <t>406-1599438-7861162</t>
  </si>
  <si>
    <t>TVBFnb7M4</t>
  </si>
  <si>
    <t>DYY9qlVzc80mR</t>
  </si>
  <si>
    <t>2026-07-05T07:56:53+05:30</t>
  </si>
  <si>
    <t>2026-07-09T10:18:43+05:30</t>
  </si>
  <si>
    <t>2026-07-09T13:18:54+05:30</t>
  </si>
  <si>
    <t>cb2lk28bxy3830v@marketplace.amazon.in</t>
  </si>
  <si>
    <t>BHINGA</t>
  </si>
  <si>
    <t>406-5182284-3112363</t>
  </si>
  <si>
    <t>TGtScHvh4</t>
  </si>
  <si>
    <t>Dbs3qtVBc60lR</t>
  </si>
  <si>
    <t>2026-07-09T08:02:11+05:30</t>
  </si>
  <si>
    <t>2026-07-09T10:16:43+05:30</t>
  </si>
  <si>
    <t>2026-07-09T10:16:45+05:30</t>
  </si>
  <si>
    <t>2026-07-09T11:16:58+05:30</t>
  </si>
  <si>
    <t>rnr2l0cmz00jwrb@marketplace.amazon.in</t>
  </si>
  <si>
    <t>171-3337434-9583529</t>
  </si>
  <si>
    <t>TcYgzWvC4</t>
  </si>
  <si>
    <t>DQNC5pVTcP00R</t>
  </si>
  <si>
    <t>2026-07-09T08:30:58+05:30</t>
  </si>
  <si>
    <t>2026-07-09T10:14:44+05:30</t>
  </si>
  <si>
    <t>2026-07-09T13:14:57+05:30</t>
  </si>
  <si>
    <t>jclcl4dqdwpf7fz@marketplace.amazon.in</t>
  </si>
  <si>
    <t>403-8794091-3022750</t>
  </si>
  <si>
    <t>TgQjM2SC4</t>
  </si>
  <si>
    <t>Dyfl5kV5cY0YR</t>
  </si>
  <si>
    <t>2026-07-08T23:52:05+05:30</t>
  </si>
  <si>
    <t>2026-07-09T09:59:48+05:30</t>
  </si>
  <si>
    <t>2026-07-09T13:00:02+05:30</t>
  </si>
  <si>
    <t>0mlczhcqgj6bctx@marketplace.amazon.in</t>
  </si>
  <si>
    <t>402-6624458-0477957</t>
  </si>
  <si>
    <t>TNzmtJ514</t>
  </si>
  <si>
    <t>Dsy8g6VscT0kR</t>
  </si>
  <si>
    <t>2026-07-08T11:59:26+05:30</t>
  </si>
  <si>
    <t>2026-07-09T09:54:44+05:30</t>
  </si>
  <si>
    <t>2026-07-09T12:55:00+05:30</t>
  </si>
  <si>
    <t>97g9xyf7c1h4btn@marketplace.amazon.in</t>
  </si>
  <si>
    <t>408-8770807-4610703</t>
  </si>
  <si>
    <t>TX7Jdd5K4</t>
  </si>
  <si>
    <t>DPtB80V2c70BR</t>
  </si>
  <si>
    <t>2026-07-08T16:21:56+05:30</t>
  </si>
  <si>
    <t>2026-07-09T09:31:47+05:30</t>
  </si>
  <si>
    <t>2026-07-09T12:31:59+05:30</t>
  </si>
  <si>
    <t>07s5vy6vygkdr0q@marketplace.amazon.in</t>
  </si>
  <si>
    <t>402-0139792-0699534</t>
  </si>
  <si>
    <t>Tw3lhtNc4</t>
  </si>
  <si>
    <t>DQLW8KVtcC0RR</t>
  </si>
  <si>
    <t>2026-07-08T11:20:57+05:30</t>
  </si>
  <si>
    <t>2026-07-09T09:29:43+05:30</t>
  </si>
  <si>
    <t>2026-07-09T09:29:48+05:30</t>
  </si>
  <si>
    <t>2026-07-09T10:29:59+05:30</t>
  </si>
  <si>
    <t>v5hgnqfvmgncrfl@marketplace.amazon.in</t>
  </si>
  <si>
    <t>405-0034022-3521953</t>
  </si>
  <si>
    <t>TN6PbCS74</t>
  </si>
  <si>
    <t>Dtpc82Vyc20QR</t>
  </si>
  <si>
    <t>2026-07-08T19:37:14+05:30</t>
  </si>
  <si>
    <t>2026-07-09T09:29:46+05:30</t>
  </si>
  <si>
    <t>2026-07-09T10:29:57+05:30</t>
  </si>
  <si>
    <t>45brscpc0mdx0x0@marketplace.amazon.in</t>
  </si>
  <si>
    <t>405-2622616-1197960</t>
  </si>
  <si>
    <t>T3QDRFSb4</t>
  </si>
  <si>
    <t>DzhLXMVBcD0PR</t>
  </si>
  <si>
    <t>2026-07-08T20:52:50+05:30</t>
  </si>
  <si>
    <t>2026-07-09T09:15:41+05:30</t>
  </si>
  <si>
    <t>2026-07-09T09:15:44+05:30</t>
  </si>
  <si>
    <t>2026-07-09T10:15:54+05:30</t>
  </si>
  <si>
    <t>2pqyqtnsxwfxqdr@marketplace.amazon.in</t>
  </si>
  <si>
    <t>404-5674284-0399568</t>
  </si>
  <si>
    <t>TgcyNY5g4</t>
  </si>
  <si>
    <t>DVQSX9VNcs0BR</t>
  </si>
  <si>
    <t>2026-07-07T19:45:04+05:30</t>
  </si>
  <si>
    <t>2026-07-09T09:12:06+05:30</t>
  </si>
  <si>
    <t>2026-07-09T09:12:18+05:30</t>
  </si>
  <si>
    <t>2026-07-09T10:12:58+05:30</t>
  </si>
  <si>
    <t>b4hgs1c5h5fsx99@marketplace.amazon.in</t>
  </si>
  <si>
    <t>Bhilwara</t>
  </si>
  <si>
    <t>407-7629603-6689943</t>
  </si>
  <si>
    <t>TCgMzzDY4</t>
  </si>
  <si>
    <t>DYQRXlVNcC0MR</t>
  </si>
  <si>
    <t>2026-07-04T19:46:11+05:30</t>
  </si>
  <si>
    <t>2026-07-09T09:11:44+05:30</t>
  </si>
  <si>
    <t>2026-07-09T09:11:47+05:30</t>
  </si>
  <si>
    <t>2026-07-09T10:11:59+05:30</t>
  </si>
  <si>
    <t>z80yhsrjw9krxj7@marketplace.amazon.in</t>
  </si>
  <si>
    <t>KODURU</t>
  </si>
  <si>
    <t>405-3478261-4327554</t>
  </si>
  <si>
    <t>TCjkG9NX4</t>
  </si>
  <si>
    <t>DCwtpvVwc10vR</t>
  </si>
  <si>
    <t>2026-07-08T06:54:18+05:30</t>
  </si>
  <si>
    <t>2026-07-09T08:47:46+05:30</t>
  </si>
  <si>
    <t>2026-07-09T11:47:58+05:30</t>
  </si>
  <si>
    <t>npnhj413pfvy0nr@marketplace.amazon.in</t>
  </si>
  <si>
    <t>403-2278018-0528329</t>
  </si>
  <si>
    <t>TCBPNyS54</t>
  </si>
  <si>
    <t>DQx5pMVfc40gR</t>
  </si>
  <si>
    <t>2026-07-07T13:48:52+05:30</t>
  </si>
  <si>
    <t>2026-07-09T08:44:47+05:30</t>
  </si>
  <si>
    <t>2026-07-09T11:45:02+05:30</t>
  </si>
  <si>
    <t>fv7p8d9vzs12q0z@marketplace.amazon.in</t>
  </si>
  <si>
    <t>406-3419520-6841908</t>
  </si>
  <si>
    <t>T665zhS94</t>
  </si>
  <si>
    <t>DJZCWyVxcK0tR</t>
  </si>
  <si>
    <t>2026-07-08T23:35:29+05:30</t>
  </si>
  <si>
    <t>2026-07-09T08:41:45+05:30</t>
  </si>
  <si>
    <t>2026-07-09T08:41:47+05:30</t>
  </si>
  <si>
    <t>2026-07-09T09:42:01+05:30</t>
  </si>
  <si>
    <t>406-4181411-5313136</t>
  </si>
  <si>
    <t>TN0rkv5f4</t>
  </si>
  <si>
    <t>D4YbpnVbc90kR</t>
  </si>
  <si>
    <t>2026-07-08T12:06:10+05:30</t>
  </si>
  <si>
    <t>2026-07-09T08:41:44+05:30</t>
  </si>
  <si>
    <t>2026-07-09T09:41:57+05:30</t>
  </si>
  <si>
    <t>xq56lmmzy9svw91@marketplace.amazon.in</t>
  </si>
  <si>
    <t>404-5541497-1981965</t>
  </si>
  <si>
    <t>TgflRVSj4</t>
  </si>
  <si>
    <t>Dq4RWxVDcV0qR</t>
  </si>
  <si>
    <t>2026-07-08T20:40:43+05:30</t>
  </si>
  <si>
    <t>2026-07-09T08:36:44+05:30</t>
  </si>
  <si>
    <t>2026-07-09T08:36:46+05:30</t>
  </si>
  <si>
    <t>2026-07-09T09:36:58+05:30</t>
  </si>
  <si>
    <t>y9d7107cghf2rcr@marketplace.amazon.in</t>
  </si>
  <si>
    <t>402-6715467-1660300</t>
  </si>
  <si>
    <t>TN7LWdmf4</t>
  </si>
  <si>
    <t>DQDLxqV8cH08R</t>
  </si>
  <si>
    <t>2026-07-06T09:33:52+05:30</t>
  </si>
  <si>
    <t>2026-07-09T04:48:46+05:30</t>
  </si>
  <si>
    <t>2026-07-09T07:48:59+05:30</t>
  </si>
  <si>
    <t>jrpvrwg470pt7hr@marketplace.amazon.in</t>
  </si>
  <si>
    <t>406-1730602-8766727</t>
  </si>
  <si>
    <t>TJ8MjpNK4</t>
  </si>
  <si>
    <t>DRDdxMVJcJ0fR</t>
  </si>
  <si>
    <t>2026-07-08T11:21:24+05:30</t>
  </si>
  <si>
    <t>2026-07-09T04:47:47+05:30</t>
  </si>
  <si>
    <t>2026-07-09T07:47:58+05:30</t>
  </si>
  <si>
    <t>brtq67ld4rw7yk6@marketplace.amazon.in</t>
  </si>
  <si>
    <t>Karimpur</t>
  </si>
  <si>
    <t>404-2377728-1056369</t>
  </si>
  <si>
    <t>T11VgqN04</t>
  </si>
  <si>
    <t>D1LXx9VJcN07R</t>
  </si>
  <si>
    <t>2026-07-08T10:44:00+05:30</t>
  </si>
  <si>
    <t>2026-07-09T04:36:44+05:30</t>
  </si>
  <si>
    <t>2026-07-09T04:36:47+05:30</t>
  </si>
  <si>
    <t>2026-07-09T05:37:00+05:30</t>
  </si>
  <si>
    <t>zjg203rq3np5dh2@marketplace.amazon.in</t>
  </si>
  <si>
    <t>404-6062312-7473917</t>
  </si>
  <si>
    <t>TNYY9FkB4</t>
  </si>
  <si>
    <t>DCLCxHV9cN07R</t>
  </si>
  <si>
    <t>2026-07-06T12:42:10+05:30</t>
  </si>
  <si>
    <t>2026-07-09T04:32:59+05:30</t>
  </si>
  <si>
    <t>2026-07-09T07:33:10+05:30</t>
  </si>
  <si>
    <t>17hp547ycvm7bj9@marketplace.amazon.in</t>
  </si>
  <si>
    <t>407-7079867-9785103</t>
  </si>
  <si>
    <t>T3sctMS04</t>
  </si>
  <si>
    <t>DHKV31Vjcn0dR</t>
  </si>
  <si>
    <t>2026-07-08T20:59:36+05:30</t>
  </si>
  <si>
    <t>2026-07-09T04:28:47+05:30</t>
  </si>
  <si>
    <t>2026-07-09T07:29:00+05:30</t>
  </si>
  <si>
    <t>j0pkcz2k55xvhvh@marketplace.amazon.in</t>
  </si>
  <si>
    <t>402-4720667-6227529</t>
  </si>
  <si>
    <t>TClw8d5k4</t>
  </si>
  <si>
    <t>DnTh3CV8cW0QR</t>
  </si>
  <si>
    <t>2026-07-08T18:20:53+05:30</t>
  </si>
  <si>
    <t>2026-07-09T04:23:51+05:30</t>
  </si>
  <si>
    <t>2026-07-09T07:24:06+05:30</t>
  </si>
  <si>
    <t>3tqzy0hchlj8476@marketplace.amazon.in</t>
  </si>
  <si>
    <t>404-7669557-2653914</t>
  </si>
  <si>
    <t>T65rjh7K4</t>
  </si>
  <si>
    <t>Dgd83RVscP0zR</t>
  </si>
  <si>
    <t>2026-07-05T12:28:32+05:30</t>
  </si>
  <si>
    <t>2026-07-09T04:16:53+05:30</t>
  </si>
  <si>
    <t>2026-07-09T04:16:58+05:30</t>
  </si>
  <si>
    <t>2026-07-09T05:17:08+05:30</t>
  </si>
  <si>
    <t>ynp592rcx7dym4z@marketplace.amazon.in</t>
  </si>
  <si>
    <t>SF000000346751AMZ</t>
  </si>
  <si>
    <t>406-5361711-7334762</t>
  </si>
  <si>
    <t>TwsT6Q5Z4</t>
  </si>
  <si>
    <t>DpZLJPVncC0jR</t>
  </si>
  <si>
    <t>2026-07-07T18:43:46+05:30</t>
  </si>
  <si>
    <t>2026-07-09T04:07:43+05:30</t>
  </si>
  <si>
    <t>2026-07-09T07:07:55+05:30</t>
  </si>
  <si>
    <t>81lz5s07jfnm7vp@marketplace.amazon.in</t>
  </si>
  <si>
    <t>408-4067676-7114729</t>
  </si>
  <si>
    <t>TCFZh1Nb4</t>
  </si>
  <si>
    <t>DPdJJQVFcf0DR</t>
  </si>
  <si>
    <t>2026-07-06T13:20:32+05:30</t>
  </si>
  <si>
    <t>2026-07-09T04:00:44+05:30</t>
  </si>
  <si>
    <t>2026-07-09T07:00:56+05:30</t>
  </si>
  <si>
    <t>cjywjdy1f1zc2xm@marketplace.amazon.in</t>
  </si>
  <si>
    <t>405-0387705-1653949</t>
  </si>
  <si>
    <t>TnncGMNC4</t>
  </si>
  <si>
    <t>DgqhJVVHcz06R</t>
  </si>
  <si>
    <t>2026-07-08T08:20:53+05:30</t>
  </si>
  <si>
    <t>2026-07-09T03:58:44+05:30</t>
  </si>
  <si>
    <t>2026-07-09T06:58:56+05:30</t>
  </si>
  <si>
    <t>dnkgrrz0jrrbjk1@marketplace.amazon.in</t>
  </si>
  <si>
    <t>404-3096973-9347511</t>
  </si>
  <si>
    <t>T37hWr5t4</t>
  </si>
  <si>
    <t>DhqMJrVlcT06R</t>
  </si>
  <si>
    <t>2026-07-03T13:42:03+05:30</t>
  </si>
  <si>
    <t>2026-07-09T03:56:44+05:30</t>
  </si>
  <si>
    <t>2026-07-09T06:56:57+05:30</t>
  </si>
  <si>
    <t>4sknbn3ygv960t8@marketplace.amazon.in</t>
  </si>
  <si>
    <t>407-9859080-8477927</t>
  </si>
  <si>
    <t>TwXS7SS74</t>
  </si>
  <si>
    <t>D572MDVncr0mR</t>
  </si>
  <si>
    <t>2026-07-08T22:41:32+05:30</t>
  </si>
  <si>
    <t>2026-07-09T03:53:32+05:30</t>
  </si>
  <si>
    <t>2026-07-09T06:53:43+05:30</t>
  </si>
  <si>
    <t>z92rfv27xrjv5m6@marketplace.amazon.in</t>
  </si>
  <si>
    <t>402-3010908-4889943</t>
  </si>
  <si>
    <t>TGhdb2SF4</t>
  </si>
  <si>
    <t>DyLxMVVjc00nR</t>
  </si>
  <si>
    <t>2026-07-08T20:11:47+05:30</t>
  </si>
  <si>
    <t>2026-07-09T03:49:26+05:30</t>
  </si>
  <si>
    <t>2026-07-09T06:49:37+05:30</t>
  </si>
  <si>
    <t>w75hm1rzs1ls5cl@marketplace.amazon.in</t>
  </si>
  <si>
    <t>408-1423938-8877950</t>
  </si>
  <si>
    <t>TXGzTcyQ4</t>
  </si>
  <si>
    <t>Dcd5MFVGc10CR</t>
  </si>
  <si>
    <t>2026-07-06T19:46:33+05:30</t>
  </si>
  <si>
    <t>2026-07-09T03:42:48+05:30</t>
  </si>
  <si>
    <t>2026-07-09T06:43:06+05:30</t>
  </si>
  <si>
    <t>32thmcrq173wmyr@marketplace.amazon.in</t>
  </si>
  <si>
    <t>MURSHIDABAD</t>
  </si>
  <si>
    <t>407-2224171-1946737</t>
  </si>
  <si>
    <t>TVRfd35b4</t>
  </si>
  <si>
    <t>DQPLMRVJcC0SR</t>
  </si>
  <si>
    <t>2026-07-08T16:25:48+05:30</t>
  </si>
  <si>
    <t>2026-07-09T03:37:49+05:30</t>
  </si>
  <si>
    <t>2026-07-09T06:38:05+05:30</t>
  </si>
  <si>
    <t>wfxxsz2hpmjzn9l@marketplace.amazon.in</t>
  </si>
  <si>
    <t>BODINAYAKANUR</t>
  </si>
  <si>
    <t>404-7702382-9392323</t>
  </si>
  <si>
    <t>TgTjJN4f4</t>
  </si>
  <si>
    <t>DBCb1MVpc50XR</t>
  </si>
  <si>
    <t>2026-07-07T20:28:46+05:30</t>
  </si>
  <si>
    <t>2026-07-09T03:29:54+05:30</t>
  </si>
  <si>
    <t>2026-07-09T06:30:11+05:30</t>
  </si>
  <si>
    <t>6f2zj38tv587prj@marketplace.amazon.in</t>
  </si>
  <si>
    <t>403-0418035-1562740</t>
  </si>
  <si>
    <t>TnqlVq5t4</t>
  </si>
  <si>
    <t>D7CW1GVWc50XR</t>
  </si>
  <si>
    <t>2026-07-08T13:50:16+05:30</t>
  </si>
  <si>
    <t>2026-07-09T03:29:42+05:30</t>
  </si>
  <si>
    <t>2026-07-09T06:29:53+05:30</t>
  </si>
  <si>
    <t>rg7chdh5fm2k262@marketplace.amazon.in</t>
  </si>
  <si>
    <t>GAMPALAGUDEM</t>
  </si>
  <si>
    <t>408-2077068-9534767</t>
  </si>
  <si>
    <t>TgXtCNyg4</t>
  </si>
  <si>
    <t>D4lp1FVCcW0GR</t>
  </si>
  <si>
    <t>2026-07-06T19:42:41+05:30</t>
  </si>
  <si>
    <t>2026-07-09T03:27:50+05:30</t>
  </si>
  <si>
    <t>2026-07-09T06:28:04+05:30</t>
  </si>
  <si>
    <t>f0mxy9mpdwzww4h@marketplace.amazon.in</t>
  </si>
  <si>
    <t>KANNAUJ</t>
  </si>
  <si>
    <t>405-1365202-2102723</t>
  </si>
  <si>
    <t>Tg5dHKSX4</t>
  </si>
  <si>
    <t>DtlS18V8cW0GR</t>
  </si>
  <si>
    <t>2026-07-08T19:51:14+05:30</t>
  </si>
  <si>
    <t>2026-07-09T03:27:47+05:30</t>
  </si>
  <si>
    <t>2026-07-09T06:28:01+05:30</t>
  </si>
  <si>
    <t>m6yfmr28m2gc653@marketplace.amazon.in</t>
  </si>
  <si>
    <t>408-9171146-2791552</t>
  </si>
  <si>
    <t>TwVdJhNf4</t>
  </si>
  <si>
    <t>DbRG18VTcv02R</t>
  </si>
  <si>
    <t>2026-07-07T22:50:03+05:30</t>
  </si>
  <si>
    <t>2026-07-09T03:26:44+05:30</t>
  </si>
  <si>
    <t>2026-07-09T06:26:55+05:30</t>
  </si>
  <si>
    <t>0l0qpxq2v9cqvp0@marketplace.amazon.in</t>
  </si>
  <si>
    <t>406-4320280-3674731</t>
  </si>
  <si>
    <t>TG3hfW534</t>
  </si>
  <si>
    <t>Dt5jrfVNcd0NR</t>
  </si>
  <si>
    <t>2026-07-08T17:30:35+05:30</t>
  </si>
  <si>
    <t>2026-07-09T03:20:46+05:30</t>
  </si>
  <si>
    <t>2026-07-09T06:21:00+05:30</t>
  </si>
  <si>
    <t>kckbm3mlg585xsm@marketplace.amazon.in</t>
  </si>
  <si>
    <t>404-2745097-4207531</t>
  </si>
  <si>
    <t>TVC3wd594</t>
  </si>
  <si>
    <t>D494r5VFck0cR</t>
  </si>
  <si>
    <t>2026-07-08T14:17:16+05:30</t>
  </si>
  <si>
    <t>2026-07-09T03:16:49+05:30</t>
  </si>
  <si>
    <t>2026-07-09T06:21:22+05:30</t>
  </si>
  <si>
    <t>t2x1l563gkmc0jx@marketplace.amazon.in</t>
  </si>
  <si>
    <t>404-3467324-2993163</t>
  </si>
  <si>
    <t>TVz82RSh4</t>
  </si>
  <si>
    <t>DqTwrzVYc008R</t>
  </si>
  <si>
    <t>2026-07-08T20:47:54+05:30</t>
  </si>
  <si>
    <t>2026-07-09T03:15:45+05:30</t>
  </si>
  <si>
    <t>2026-07-09T03:15:47+05:30</t>
  </si>
  <si>
    <t>2026-07-09T04:16:00+05:30</t>
  </si>
  <si>
    <t>zhk112ltl50g6k4@marketplace.amazon.in</t>
  </si>
  <si>
    <t>Thiruvarur</t>
  </si>
  <si>
    <t>402-7867521-5621127</t>
  </si>
  <si>
    <t>TX8y0F544</t>
  </si>
  <si>
    <t>D85k7YVKc60nR</t>
  </si>
  <si>
    <t>2026-07-08T17:00:20+05:30</t>
  </si>
  <si>
    <t>2026-07-09T03:05:47+05:30</t>
  </si>
  <si>
    <t>2026-07-09T06:05:59+05:30</t>
  </si>
  <si>
    <t>6378c2c3q2n38zq@marketplace.amazon.in</t>
  </si>
  <si>
    <t>new delhi</t>
  </si>
  <si>
    <t>405-7010906-4656324</t>
  </si>
  <si>
    <t>T6j587MN4</t>
  </si>
  <si>
    <t>DdQ97WVTcv02R</t>
  </si>
  <si>
    <t>2026-07-03T11:47:52+05:30</t>
  </si>
  <si>
    <t>2026-07-09T02:55:35+05:30</t>
  </si>
  <si>
    <t>2026-07-09T05:55:48+05:30</t>
  </si>
  <si>
    <t>5h01vx6xvw8qfxt@marketplace.amazon.in</t>
  </si>
  <si>
    <t>Thuravoor</t>
  </si>
  <si>
    <t>406-3886214-5805959</t>
  </si>
  <si>
    <t>TNbm925B4</t>
  </si>
  <si>
    <t>DVLM7VVvcr04R</t>
  </si>
  <si>
    <t>2026-07-08T13:05:11+05:30</t>
  </si>
  <si>
    <t>2026-07-09T02:53:49+05:30</t>
  </si>
  <si>
    <t>2026-07-09T05:54:06+05:30</t>
  </si>
  <si>
    <t>nx8bxc5j0tfdf13@marketplace.amazon.in</t>
  </si>
  <si>
    <t>404-0184912-3420333</t>
  </si>
  <si>
    <t>TgBsPJ5h4</t>
  </si>
  <si>
    <t>DHQZ7nV7cv02R</t>
  </si>
  <si>
    <t>2026-07-08T16:38:10+05:30</t>
  </si>
  <si>
    <t>2026-07-09T02:53:44+05:30</t>
  </si>
  <si>
    <t>2026-07-09T05:53:55+05:30</t>
  </si>
  <si>
    <t>8930jwdjvxzt0wx@marketplace.amazon.in</t>
  </si>
  <si>
    <t>406-4917920-4783547</t>
  </si>
  <si>
    <t>Tcgq8q5n4</t>
  </si>
  <si>
    <t>D04JLmVHcb0HR</t>
  </si>
  <si>
    <t>2026-07-08T17:33:26+05:30</t>
  </si>
  <si>
    <t>2026-07-09T02:51:00+05:30</t>
  </si>
  <si>
    <t>2026-07-09T05:51:17+05:30</t>
  </si>
  <si>
    <t>2w8mg8kthyrfbd8@marketplace.amazon.in</t>
  </si>
  <si>
    <t>406-6453782-3648310</t>
  </si>
  <si>
    <t>TNsFtS8V4</t>
  </si>
  <si>
    <t>Dh1fLVV2c40hR</t>
  </si>
  <si>
    <t>2026-07-04T14:31:00+05:30</t>
  </si>
  <si>
    <t>2026-07-09T02:49:43+05:30</t>
  </si>
  <si>
    <t>2026-07-09T05:49:55+05:30</t>
  </si>
  <si>
    <t>rjzj97rqzx567h2@marketplace.amazon.in</t>
  </si>
  <si>
    <t>405-8936980-5712356</t>
  </si>
  <si>
    <t>TJxY9GS44</t>
  </si>
  <si>
    <t>DtMJLkVDch05R</t>
  </si>
  <si>
    <t>2026-07-08T20:07:41+05:30</t>
  </si>
  <si>
    <t>2026-07-09T02:46:47+05:30</t>
  </si>
  <si>
    <t>2026-07-09T05:47:01+05:30</t>
  </si>
  <si>
    <t>z93p8skzzwts18g@marketplace.amazon.in</t>
  </si>
  <si>
    <t>406-0158548-9858713</t>
  </si>
  <si>
    <t>TG7Xgkmt4</t>
  </si>
  <si>
    <t>D9Vjs4VfcJ0zR</t>
  </si>
  <si>
    <t>2026-07-06T10:41:34+05:30</t>
  </si>
  <si>
    <t>2026-07-09T02:25:44+05:30</t>
  </si>
  <si>
    <t>2026-07-09T05:25:57+05:30</t>
  </si>
  <si>
    <t>gzw5q2dh3mxfbpw@marketplace.amazon.in</t>
  </si>
  <si>
    <t>404-2344391-6036352</t>
  </si>
  <si>
    <t>TCfvfQ3k4</t>
  </si>
  <si>
    <t>DbjMQGV2cC0pR</t>
  </si>
  <si>
    <t>2026-07-06T22:57:02+05:30</t>
  </si>
  <si>
    <t>2026-07-09T02:12:48+05:30</t>
  </si>
  <si>
    <t>2026-07-09T02:12:56+05:30</t>
  </si>
  <si>
    <t>2026-07-09T03:13:13+05:30</t>
  </si>
  <si>
    <t>8grpz1dgjzjrwhy@marketplace.amazon.in</t>
  </si>
  <si>
    <t>403-8087991-8579512</t>
  </si>
  <si>
    <t>TNrQx75c4</t>
  </si>
  <si>
    <t>DLYmQ3Vtcl0xR</t>
  </si>
  <si>
    <t>2026-07-08T15:56:33+05:30</t>
  </si>
  <si>
    <t>2026-07-09T02:04:47+05:30</t>
  </si>
  <si>
    <t>2026-07-09T02:04:49+05:30</t>
  </si>
  <si>
    <t>2026-07-09T03:05:01+05:30</t>
  </si>
  <si>
    <t>6kf8ntv02z94kzm@marketplace.amazon.in</t>
  </si>
  <si>
    <t>CHARAMA</t>
  </si>
  <si>
    <t>404-0448780-1577943</t>
  </si>
  <si>
    <t>TgRz9r5X4</t>
  </si>
  <si>
    <t>DMnBcJVCcH0mR</t>
  </si>
  <si>
    <t>2026-07-08T08:16:20+05:30</t>
  </si>
  <si>
    <t>2026-07-09T01:50:45+05:30</t>
  </si>
  <si>
    <t>2026-07-09T04:50:56+05:30</t>
  </si>
  <si>
    <t>3rjjfrns75lcfq0@marketplace.amazon.in</t>
  </si>
  <si>
    <t>407-3522143-4241929</t>
  </si>
  <si>
    <t>T3myR0SS4</t>
  </si>
  <si>
    <t>DVcPv2Vfcj06R</t>
  </si>
  <si>
    <t>2026-07-08T21:05:23+05:30</t>
  </si>
  <si>
    <t>2026-07-09T01:32:41+05:30</t>
  </si>
  <si>
    <t>2026-07-09T01:32:44+05:30</t>
  </si>
  <si>
    <t>2026-07-09T02:32:56+05:30</t>
  </si>
  <si>
    <t>fmfkt6g5s49frq4@marketplace.amazon.in</t>
  </si>
  <si>
    <t>402-3362408-4639533</t>
  </si>
  <si>
    <t>T3DsYg5Y4</t>
  </si>
  <si>
    <t>DHjfzBVZc30hR</t>
  </si>
  <si>
    <t>2026-07-08T14:10:20+05:30</t>
  </si>
  <si>
    <t>2026-07-09T01:16:50+05:30</t>
  </si>
  <si>
    <t>2026-07-09T04:17:06+05:30</t>
  </si>
  <si>
    <t>2cdftqq9tg5vb9v@marketplace.amazon.in</t>
  </si>
  <si>
    <t>406-2124190-2696319</t>
  </si>
  <si>
    <t>TC9WXMy84</t>
  </si>
  <si>
    <t>DzNYVcVBc50wR</t>
  </si>
  <si>
    <t>2026-07-07T15:36:07+05:30</t>
  </si>
  <si>
    <t>2026-07-09T01:07:44+05:30</t>
  </si>
  <si>
    <t>2026-07-09T04:07:59+05:30</t>
  </si>
  <si>
    <t>3jl6bbxk99dl64c@marketplace.amazon.in</t>
  </si>
  <si>
    <t>406-8719611-6937905</t>
  </si>
  <si>
    <t>TJwLQkSr4</t>
  </si>
  <si>
    <t>DlNnVQVHc50wR</t>
  </si>
  <si>
    <t>2026-07-08T22:36:02+05:30</t>
  </si>
  <si>
    <t>2026-07-09T01:06:48+05:30</t>
  </si>
  <si>
    <t>2026-07-09T04:07:07+05:30</t>
  </si>
  <si>
    <t>fhwtsd1b80tc38t@marketplace.amazon.in</t>
  </si>
  <si>
    <t>2026-07-09T08:00:00+05:30</t>
  </si>
  <si>
    <t>407-0011104-5934776</t>
  </si>
  <si>
    <t>T3gzZlgN4</t>
  </si>
  <si>
    <t>DDfzVMV1cR0vR</t>
  </si>
  <si>
    <t>2026-07-04T09:08:14+05:30</t>
  </si>
  <si>
    <t>2026-07-09T00:56:47+05:30</t>
  </si>
  <si>
    <t>2026-07-09T00:56:50+05:30</t>
  </si>
  <si>
    <t>2026-07-09T01:57:05+05:30</t>
  </si>
  <si>
    <t>nlfqhczr2z2rc54@marketplace.amazon.in</t>
  </si>
  <si>
    <t>402-0332170-3951522</t>
  </si>
  <si>
    <t>T3LTbkSM4</t>
  </si>
  <si>
    <t>DfbvV3VKc50LR</t>
  </si>
  <si>
    <t>2026-07-08T19:42:55+05:30</t>
  </si>
  <si>
    <t>2026-07-09T00:55:46+05:30</t>
  </si>
  <si>
    <t>2026-07-09T03:56:00+05:30</t>
  </si>
  <si>
    <t>ckl11ysmn6b3x3x@marketplace.amazon.in</t>
  </si>
  <si>
    <t>171-2093966-9680313</t>
  </si>
  <si>
    <t>TVhYlK554</t>
  </si>
  <si>
    <t>Dps3VsVhc501R</t>
  </si>
  <si>
    <t>2026-07-08T16:53:00+05:30</t>
  </si>
  <si>
    <t>2026-07-09T00:50:43+05:30</t>
  </si>
  <si>
    <t>2026-07-09T03:50:57+05:30</t>
  </si>
  <si>
    <t>z4svw5st9m6jlsb@marketplace.amazon.in</t>
  </si>
  <si>
    <t>171-2297210-1009958</t>
  </si>
  <si>
    <t>T6V8M3jv4</t>
  </si>
  <si>
    <t>DM8t2QVMc500R</t>
  </si>
  <si>
    <t>2026-07-05T22:41:56+05:30</t>
  </si>
  <si>
    <t>2026-07-09T00:44:48+05:30</t>
  </si>
  <si>
    <t>2026-07-09T03:45:01+05:30</t>
  </si>
  <si>
    <t>f176pphx7nn354b@marketplace.amazon.in</t>
  </si>
  <si>
    <t>Tarn taran</t>
  </si>
  <si>
    <t>402-1631302-9029968</t>
  </si>
  <si>
    <t>TJh3VfkT4</t>
  </si>
  <si>
    <t>DQdq2nV4cS0tR</t>
  </si>
  <si>
    <t>2026-07-06T14:39:42+05:30</t>
  </si>
  <si>
    <t>2026-07-09T00:33:52+05:30</t>
  </si>
  <si>
    <t>2026-07-09T00:33:54+05:30</t>
  </si>
  <si>
    <t>2026-07-09T01:34:06+05:30</t>
  </si>
  <si>
    <t>d7n4b462648jkl4@marketplace.amazon.in</t>
  </si>
  <si>
    <t>171-3424144-8104308</t>
  </si>
  <si>
    <t>T1FnYm5Y4</t>
  </si>
  <si>
    <t>D7qr26VXcg0NR</t>
  </si>
  <si>
    <t>2026-07-07T15:57:04+05:30</t>
  </si>
  <si>
    <t>2026-07-09T00:32:48+05:30</t>
  </si>
  <si>
    <t>2026-07-09T00:32:53+05:30</t>
  </si>
  <si>
    <t>2026-07-09T01:33:10+05:30</t>
  </si>
  <si>
    <t>d9j680mrykjv4vp@marketplace.amazon.in</t>
  </si>
  <si>
    <t>171-2736697-1123569</t>
  </si>
  <si>
    <t>TNPL4TSB4</t>
  </si>
  <si>
    <t>D7wMFPVkcc0fR</t>
  </si>
  <si>
    <t>2026-07-08T20:03:38+05:30</t>
  </si>
  <si>
    <t>2026-07-09T00:28:52+05:30</t>
  </si>
  <si>
    <t>2026-07-09T03:29:04+05:30</t>
  </si>
  <si>
    <t>llqxl5k8s0cf8yq@marketplace.amazon.in</t>
  </si>
  <si>
    <t>PARAPPUKKARA</t>
  </si>
  <si>
    <t>405-4452883-7715514</t>
  </si>
  <si>
    <t>TNZnBxSR4</t>
  </si>
  <si>
    <t>D8jDFZV7c10wR</t>
  </si>
  <si>
    <t>2026-07-08T21:45:39+05:30</t>
  </si>
  <si>
    <t>2026-07-09T00:27:46+05:30</t>
  </si>
  <si>
    <t>2026-07-09T00:27:50+05:30</t>
  </si>
  <si>
    <t>2026-07-09T01:28:02+05:30</t>
  </si>
  <si>
    <t>402-0712234-6231551</t>
  </si>
  <si>
    <t>TCHC9B374</t>
  </si>
  <si>
    <t>D9KTD8Vqch0tR</t>
  </si>
  <si>
    <t>2026-07-06T00:37:05+05:30</t>
  </si>
  <si>
    <t>2026-07-09T00:16:43+05:30</t>
  </si>
  <si>
    <t>2026-07-09T03:16:57+05:30</t>
  </si>
  <si>
    <t>vqj4q9830kqq7cq@marketplace.amazon.in</t>
  </si>
  <si>
    <t>405-3007938-7193956</t>
  </si>
  <si>
    <t>TVmQ15ym4</t>
  </si>
  <si>
    <t>D6KKDtVZcK0lR</t>
  </si>
  <si>
    <t>2026-07-06T13:58:33+05:30</t>
  </si>
  <si>
    <t>2026-07-09T00:15:48+05:30</t>
  </si>
  <si>
    <t>2026-07-09T00:15:51+05:30</t>
  </si>
  <si>
    <t>2026-07-09T01:16:02+05:30</t>
  </si>
  <si>
    <t>019vrqd5g7fywp8@marketplace.amazon.in</t>
  </si>
  <si>
    <t>404-2902853-3439547</t>
  </si>
  <si>
    <t>Tnd4jQ5M4</t>
  </si>
  <si>
    <t>DnX9DDVtcp0hR</t>
  </si>
  <si>
    <t>2026-07-08T18:36:30+05:30</t>
  </si>
  <si>
    <t>2026-07-09T00:13:43+05:30</t>
  </si>
  <si>
    <t>2026-07-09T03:13:55+05:30</t>
  </si>
  <si>
    <t>5crlpggjtclxt17@marketplace.amazon.in</t>
  </si>
  <si>
    <t>405-8446881-8250746</t>
  </si>
  <si>
    <t>TnFd925W4</t>
  </si>
  <si>
    <t>DpKfDmVZcZ0wR</t>
  </si>
  <si>
    <t>2026-07-08T13:25:12+05:30</t>
  </si>
  <si>
    <t>2026-07-09T00:12:48+05:30</t>
  </si>
  <si>
    <t>2026-07-09T03:13:00+05:30</t>
  </si>
  <si>
    <t>ch5hfmt374r2mpy@marketplace.amazon.in</t>
  </si>
  <si>
    <t>Meerut</t>
  </si>
  <si>
    <t>404-4935190-9860320</t>
  </si>
  <si>
    <t>Tg8T4HS94</t>
  </si>
  <si>
    <t>DBS0DjVlcj0GR</t>
  </si>
  <si>
    <t>2026-07-08T20:04:41+05:30</t>
  </si>
  <si>
    <t>2026-07-09T00:11:45+05:30</t>
  </si>
  <si>
    <t>2026-07-09T03:11:59+05:30</t>
  </si>
  <si>
    <t>xnswg3pgzzh10n4@marketplace.amazon.in</t>
  </si>
  <si>
    <t>171-5306780-3130708</t>
  </si>
  <si>
    <t>TXd4MX5c4</t>
  </si>
  <si>
    <t>DxTlDPV7cF05R</t>
  </si>
  <si>
    <t>2026-07-08T16:18:43+05:30</t>
  </si>
  <si>
    <t>2026-07-09T00:07:48+05:30</t>
  </si>
  <si>
    <t>2026-07-09T03:08:00+05:30</t>
  </si>
  <si>
    <t>jp64vbbm4xgg7pr@marketplace.amazon.in</t>
  </si>
  <si>
    <t>402-4371077-7734722</t>
  </si>
  <si>
    <t>T6h5HsSd4</t>
  </si>
  <si>
    <t>Dp9TD1VccH0MR</t>
  </si>
  <si>
    <t>2026-07-08T20:57:17+05:30</t>
  </si>
  <si>
    <t>2026-07-09T00:04:49+05:30</t>
  </si>
  <si>
    <t>2026-07-09T03:05:04+05:30</t>
  </si>
  <si>
    <t>ynmmvdqgz2f85gl@marketplace.amazon.in</t>
  </si>
  <si>
    <t>405-0272463-4254757</t>
  </si>
  <si>
    <t>TGv1tq5G4</t>
  </si>
  <si>
    <t>D2pKDQVScX0GR</t>
  </si>
  <si>
    <t>2026-07-08T15:57:02+05:30</t>
  </si>
  <si>
    <t>2026-07-09T00:00:47+05:30</t>
  </si>
  <si>
    <t>2026-07-09T03:01:00+05:30</t>
  </si>
  <si>
    <t>2z4yrz48skqy0bm@marketplace.amazon.in</t>
  </si>
  <si>
    <t>171-0050598-9095526</t>
  </si>
  <si>
    <t>TXfzBRSR4</t>
  </si>
  <si>
    <t>D9pLD1V6cX0GR</t>
  </si>
  <si>
    <t>2026-07-08T21:26:03+05:30</t>
  </si>
  <si>
    <t>2026-07-09T00:00:46+05:30</t>
  </si>
  <si>
    <t>2026-07-09T03:01:01+05:30</t>
  </si>
  <si>
    <t>nx8s263klzxf5fv@marketplace.amazon.in</t>
  </si>
  <si>
    <t>402-9426505-5922724</t>
  </si>
  <si>
    <t>T30g3Pyp4</t>
  </si>
  <si>
    <t>DkJSDhVCcf0yR</t>
  </si>
  <si>
    <t>2026-07-04T19:37:52+05:30</t>
  </si>
  <si>
    <t>2026-07-08T23:59:49+05:30</t>
  </si>
  <si>
    <t>2026-07-08T23:59:55+05:30</t>
  </si>
  <si>
    <t>2026-07-09T01:00:20+05:30</t>
  </si>
  <si>
    <t>5t78nxp8s4b0p6p@marketplace.amazon.in</t>
  </si>
  <si>
    <t>406-4537563-2837159</t>
  </si>
  <si>
    <t>TCV9qx5K4</t>
  </si>
  <si>
    <t>Dwv3YmV0cc0HR</t>
  </si>
  <si>
    <t>2026-07-08T18:59:35+05:30</t>
  </si>
  <si>
    <t>2026-07-08T23:55:40+05:30</t>
  </si>
  <si>
    <t>2026-07-08T23:55:42+05:30</t>
  </si>
  <si>
    <t>2026-07-09T00:55:54+05:30</t>
  </si>
  <si>
    <t>twf8vpkn0vjym9q@marketplace.amazon.in</t>
  </si>
  <si>
    <t>402-3324873-2286712</t>
  </si>
  <si>
    <t>Tcx73S5v4</t>
  </si>
  <si>
    <t>DzdjYsVgcX0NR</t>
  </si>
  <si>
    <t>2026-07-08T15:48:09+05:30</t>
  </si>
  <si>
    <t>2026-07-08T23:40:38+05:30</t>
  </si>
  <si>
    <t>2026-07-09T02:40:52+05:30</t>
  </si>
  <si>
    <t>dl3spm8yvhpvw9r@marketplace.amazon.in</t>
  </si>
  <si>
    <t>Gandhidham</t>
  </si>
  <si>
    <t>406-9302199-7177158</t>
  </si>
  <si>
    <t>TnVB2mSG4</t>
  </si>
  <si>
    <t>D478ySVmcQ0zR</t>
  </si>
  <si>
    <t>2026-07-08T21:30:57+05:30</t>
  </si>
  <si>
    <t>2026-07-08T23:34:45+05:30</t>
  </si>
  <si>
    <t>2026-07-09T02:34:58+05:30</t>
  </si>
  <si>
    <t>26mwzj4w4lf0pc0@marketplace.amazon.in</t>
  </si>
  <si>
    <t>403-8460098-8025112</t>
  </si>
  <si>
    <t>T6W6Rf5J4</t>
  </si>
  <si>
    <t>DtGlwcVRcG03R</t>
  </si>
  <si>
    <t>2026-07-08T12:15:10+05:30</t>
  </si>
  <si>
    <t>2026-07-08T23:12:48+05:30</t>
  </si>
  <si>
    <t>2026-07-09T02:13:02+05:30</t>
  </si>
  <si>
    <t>3fmgfvqcx59zqkt@marketplace.amazon.in</t>
  </si>
  <si>
    <t>406-8196122-1574764</t>
  </si>
  <si>
    <t>TCbwJsmr4</t>
  </si>
  <si>
    <t>D1TGwsVhc701R</t>
  </si>
  <si>
    <t>2026-07-05T15:30:17+05:30</t>
  </si>
  <si>
    <t>2026-07-09T02:13:01+05:30</t>
  </si>
  <si>
    <t>d8qsv8dz0m2jysq@marketplace.amazon.in</t>
  </si>
  <si>
    <t>407-7849800-6432337</t>
  </si>
  <si>
    <t>TJNGRzSj4</t>
  </si>
  <si>
    <t>D0q5wpVWcp0rR</t>
  </si>
  <si>
    <t>2026-07-08T21:08:18+05:30</t>
  </si>
  <si>
    <t>2026-07-08T23:07:40+05:30</t>
  </si>
  <si>
    <t>2026-07-08T23:07:43+05:30</t>
  </si>
  <si>
    <t>2026-07-09T00:07:54+05:30</t>
  </si>
  <si>
    <t>5750w25cfw17p8n@marketplace.amazon.in</t>
  </si>
  <si>
    <t>407-5792215-3266704</t>
  </si>
  <si>
    <t>TnJx2vSw4</t>
  </si>
  <si>
    <t>DQtWBrVKcv0HR</t>
  </si>
  <si>
    <t>2026-07-08T20:32:56+05:30</t>
  </si>
  <si>
    <t>2026-07-08T22:56:45+05:30</t>
  </si>
  <si>
    <t>2026-07-08T22:56:48+05:30</t>
  </si>
  <si>
    <t>2026-07-08T23:56:59+05:30</t>
  </si>
  <si>
    <t>1szdwj2d8ywb8z2@marketplace.amazon.in</t>
  </si>
  <si>
    <t>403-5001456-9157930</t>
  </si>
  <si>
    <t>Tg8N57kg4</t>
  </si>
  <si>
    <t>DhNQ9tVycH0jR</t>
  </si>
  <si>
    <t>2026-07-06T17:23:08+05:30</t>
  </si>
  <si>
    <t>2026-07-08T22:44:48+05:30</t>
  </si>
  <si>
    <t>2026-07-09T01:45:00+05:30</t>
  </si>
  <si>
    <t>0np1qbx3kjzlv71@marketplace.amazon.in</t>
  </si>
  <si>
    <t>408-4035891-7349943</t>
  </si>
  <si>
    <t>Tgq2W15Z4</t>
  </si>
  <si>
    <t>D3169XVrc70dR</t>
  </si>
  <si>
    <t>2026-07-08T17:30:39+05:30</t>
  </si>
  <si>
    <t>2026-07-08T22:42:44+05:30</t>
  </si>
  <si>
    <t>2026-07-09T01:42:57+05:30</t>
  </si>
  <si>
    <t>0gp5bfn724hb44x@marketplace.amazon.in</t>
  </si>
  <si>
    <t>405-8151655-9402766</t>
  </si>
  <si>
    <t>TwWjkRSn4</t>
  </si>
  <si>
    <t>DlwR9lVNc50MR</t>
  </si>
  <si>
    <t>2026-07-08T18:56:35+05:30</t>
  </si>
  <si>
    <t>2026-07-08T22:39:47+05:30</t>
  </si>
  <si>
    <t>2026-07-09T01:40:03+05:30</t>
  </si>
  <si>
    <t>dlstknqx5ggnsbm@marketplace.amazon.in</t>
  </si>
  <si>
    <t>407-3434852-7644320</t>
  </si>
  <si>
    <t>Twdlhw5v4</t>
  </si>
  <si>
    <t>DvDk4pV4ch0NR</t>
  </si>
  <si>
    <t>2026-07-08T19:40:31+05:30</t>
  </si>
  <si>
    <t>2026-07-08T22:26:48+05:30</t>
  </si>
  <si>
    <t>2026-07-09T01:27:01+05:30</t>
  </si>
  <si>
    <t>vm8hf068mtxv88t@marketplace.amazon.in</t>
  </si>
  <si>
    <t>407-1151387-6193935</t>
  </si>
  <si>
    <t>TnNlWf5t4</t>
  </si>
  <si>
    <t>Dwnb4GVNcS00R</t>
  </si>
  <si>
    <t>2026-07-08T17:37:19+05:30</t>
  </si>
  <si>
    <t>2026-07-08T22:19:46+05:30</t>
  </si>
  <si>
    <t>2026-07-09T01:19:57+05:30</t>
  </si>
  <si>
    <t>557kkvcnkpmznms@marketplace.amazon.in</t>
  </si>
  <si>
    <t>407-5950314-5785140</t>
  </si>
  <si>
    <t>T30XXG5G4</t>
  </si>
  <si>
    <t>DBGc4rVFc50MR</t>
  </si>
  <si>
    <t>2026-07-08T19:32:27+05:30</t>
  </si>
  <si>
    <t>2026-07-08T22:17:46+05:30</t>
  </si>
  <si>
    <t>2026-07-08T22:17:50+05:30</t>
  </si>
  <si>
    <t>2026-07-08T23:18:09+05:30</t>
  </si>
  <si>
    <t>qgtmw7y591jncx1@marketplace.amazon.in</t>
  </si>
  <si>
    <t>408-8775993-9713122</t>
  </si>
  <si>
    <t>T30p5Y5Q4</t>
  </si>
  <si>
    <t>Dgn64jVCc500R</t>
  </si>
  <si>
    <t>2026-07-08T18:04:31+05:30</t>
  </si>
  <si>
    <t>2026-07-08T22:17:45+05:30</t>
  </si>
  <si>
    <t>2026-07-09T01:17:57+05:30</t>
  </si>
  <si>
    <t>cwysr5cjl5mc0z8@marketplace.amazon.in</t>
  </si>
  <si>
    <t>407-4913899-6329127</t>
  </si>
  <si>
    <t>TG9gkm5Z4</t>
  </si>
  <si>
    <t>D2nZ4CVrc500R</t>
  </si>
  <si>
    <t>2026-07-08T11:08:39+05:30</t>
  </si>
  <si>
    <t>2026-07-08T22:11:46+05:30</t>
  </si>
  <si>
    <t>2026-07-09T01:11:59+05:30</t>
  </si>
  <si>
    <t>k18zfnknj6r43yd@marketplace.amazon.in</t>
  </si>
  <si>
    <t>Tamil Nadu</t>
  </si>
  <si>
    <t>Dp37HtVhcm07R</t>
  </si>
  <si>
    <t>171-5937929-2782748</t>
  </si>
  <si>
    <t>Tw3d405W4</t>
  </si>
  <si>
    <t>DVMnHkVXcp0rR</t>
  </si>
  <si>
    <t>2026-07-08T07:29:49+05:30</t>
  </si>
  <si>
    <t>2026-07-08T22:05:49+05:30</t>
  </si>
  <si>
    <t>2026-07-09T01:06:02+05:30</t>
  </si>
  <si>
    <t>171-8361974-7452350</t>
  </si>
  <si>
    <t>TwCcYWyY4</t>
  </si>
  <si>
    <t>DfMpHsVXcp0rR</t>
  </si>
  <si>
    <t>2026-07-06T17:14:24+05:30</t>
  </si>
  <si>
    <t>2026-07-08T22:05:43+05:30</t>
  </si>
  <si>
    <t>2026-07-08T22:05:46+05:30</t>
  </si>
  <si>
    <t>2026-07-08T23:06:02+05:30</t>
  </si>
  <si>
    <t>j6nphnrc0wkqzkd@marketplace.amazon.in</t>
  </si>
  <si>
    <t>Siddipet</t>
  </si>
  <si>
    <t>406-5557377-4011567</t>
  </si>
  <si>
    <t>T6PfCbkt4</t>
  </si>
  <si>
    <t>D7MnHlVCcp0rR</t>
  </si>
  <si>
    <t>2026-07-06T18:23:42+05:30</t>
  </si>
  <si>
    <t>xllv3jdxgd1xyjh@marketplace.amazon.in</t>
  </si>
  <si>
    <t>BAGBAHRA</t>
  </si>
  <si>
    <t>407-3573413-6293911</t>
  </si>
  <si>
    <t>T32zjpkp4</t>
  </si>
  <si>
    <t>DL92HTV2c40VR</t>
  </si>
  <si>
    <t>2026-07-06T18:41:17+05:30</t>
  </si>
  <si>
    <t>2026-07-08T22:04:46+05:30</t>
  </si>
  <si>
    <t>2026-07-08T22:04:51+05:30</t>
  </si>
  <si>
    <t>2026-07-08T23:05:02+05:30</t>
  </si>
  <si>
    <t>7b20gjsm9l3lb7r@marketplace.amazon.in</t>
  </si>
  <si>
    <t>402-7503544-3244302</t>
  </si>
  <si>
    <t>TnQhNB5G4</t>
  </si>
  <si>
    <t>DWL4HzVzcy0dR</t>
  </si>
  <si>
    <t>2026-07-08T11:11:01+05:30</t>
  </si>
  <si>
    <t>2026-07-08T21:58:48+05:30</t>
  </si>
  <si>
    <t>2026-07-09T00:59:05+05:30</t>
  </si>
  <si>
    <t>407-6065775-2193152</t>
  </si>
  <si>
    <t>Twwgpkk54</t>
  </si>
  <si>
    <t>DtS2bHVNcC08R</t>
  </si>
  <si>
    <t>2026-07-06T17:58:05+05:30</t>
  </si>
  <si>
    <t>2026-07-08T21:56:46+05:30</t>
  </si>
  <si>
    <t>2026-07-09T00:56:58+05:30</t>
  </si>
  <si>
    <t>vmrfd4s5xpnz489@marketplace.amazon.in</t>
  </si>
  <si>
    <t>408-3912278-1795513</t>
  </si>
  <si>
    <t>TwMXvZNK4</t>
  </si>
  <si>
    <t>DZSGbGVCcf08R</t>
  </si>
  <si>
    <t>2026-07-07T22:09:04+05:30</t>
  </si>
  <si>
    <t>2026-07-08T21:54:45+05:30</t>
  </si>
  <si>
    <t>2026-07-09T00:54:58+05:30</t>
  </si>
  <si>
    <t>r9yzg17hkxvykdw@marketplace.amazon.in</t>
  </si>
  <si>
    <t>171-7137281-6080359</t>
  </si>
  <si>
    <t>Tgn16Z514</t>
  </si>
  <si>
    <t>DWZKb9V0cs01R</t>
  </si>
  <si>
    <t>2026-07-07T15:07:20+05:30</t>
  </si>
  <si>
    <t>2026-07-08T21:53:52+05:30</t>
  </si>
  <si>
    <t>2026-07-09T01:03:56+05:30</t>
  </si>
  <si>
    <t>3gdb980jtn6gh5b@marketplace.amazon.in</t>
  </si>
  <si>
    <t>402-8986322-4068341</t>
  </si>
  <si>
    <t>TVnL7l1S4</t>
  </si>
  <si>
    <t>DCVFbfVLcK06R</t>
  </si>
  <si>
    <t>2026-07-05T15:07:24+05:30</t>
  </si>
  <si>
    <t>2026-07-08T21:50:44+05:30</t>
  </si>
  <si>
    <t>2026-07-09T00:50:56+05:30</t>
  </si>
  <si>
    <t>2vr4fqqb1k2wtss@marketplace.amazon.in</t>
  </si>
  <si>
    <t>SANJELI</t>
  </si>
  <si>
    <t>407-4115913-6972327</t>
  </si>
  <si>
    <t>T6FkK15p4</t>
  </si>
  <si>
    <t>DZHGbhVpcX0mR</t>
  </si>
  <si>
    <t>2026-07-08T17:24:22+05:30</t>
  </si>
  <si>
    <t>2026-07-08T21:44:42+05:30</t>
  </si>
  <si>
    <t>2026-07-08T21:44:45+05:30</t>
  </si>
  <si>
    <t>2026-07-08T22:44:57+05:30</t>
  </si>
  <si>
    <t>c3xprbyvs9mhqf9@marketplace.amazon.in</t>
  </si>
  <si>
    <t>406-7600346-4095563</t>
  </si>
  <si>
    <t>TnTKK1Ny4</t>
  </si>
  <si>
    <t>DtJnbMVbcm0JR</t>
  </si>
  <si>
    <t>2026-07-08T10:32:57+05:30</t>
  </si>
  <si>
    <t>2026-07-08T21:43:43+05:30</t>
  </si>
  <si>
    <t>2026-07-08T21:43:45+05:30</t>
  </si>
  <si>
    <t>2026-07-08T22:43:57+05:30</t>
  </si>
  <si>
    <t>dpc5h7ssl88xkj4@marketplace.amazon.in</t>
  </si>
  <si>
    <t>171-7433421-4399501</t>
  </si>
  <si>
    <t>TX8gh5NC4</t>
  </si>
  <si>
    <t>DLJxbpVpcj0JR</t>
  </si>
  <si>
    <t>2026-07-08T10:42:16+05:30</t>
  </si>
  <si>
    <t>2026-07-08T21:40:49+05:30</t>
  </si>
  <si>
    <t>2026-07-09T00:41:07+05:30</t>
  </si>
  <si>
    <t>x6j7c7x58gt60tf@marketplace.amazon.in</t>
  </si>
  <si>
    <t>403-2052607-3301923</t>
  </si>
  <si>
    <t>TVHrgfN54</t>
  </si>
  <si>
    <t>DT6LkdVFcn0HR</t>
  </si>
  <si>
    <t>2026-07-08T10:30:04+05:30</t>
  </si>
  <si>
    <t>2026-07-08T21:28:45+05:30</t>
  </si>
  <si>
    <t>2026-07-09T00:29:06+05:30</t>
  </si>
  <si>
    <t>8spgw61crbm46q1@marketplace.amazon.in</t>
  </si>
  <si>
    <t>403-8511163-7961940</t>
  </si>
  <si>
    <t>TwwX8m4n4</t>
  </si>
  <si>
    <t>D16lNhVwcJ0xR</t>
  </si>
  <si>
    <t>2026-07-07T23:24:32+05:30</t>
  </si>
  <si>
    <t>2026-07-08T21:12:48+05:30</t>
  </si>
  <si>
    <t>2026-07-08T21:12:51+05:30</t>
  </si>
  <si>
    <t>2026-07-08T22:13:12+05:30</t>
  </si>
  <si>
    <t>xbhjpg9qvw133nv@marketplace.amazon.in</t>
  </si>
  <si>
    <t>407-3054222-2492338</t>
  </si>
  <si>
    <t>TGVq1Q4h4</t>
  </si>
  <si>
    <t>DVRNNyVLcf0DR</t>
  </si>
  <si>
    <t>2026-07-07T19:29:32+05:30</t>
  </si>
  <si>
    <t>2026-07-08T21:06:01+05:30</t>
  </si>
  <si>
    <t>2026-07-09T00:06:17+05:30</t>
  </si>
  <si>
    <t>lp0gvb845xxzdrj@marketplace.amazon.in</t>
  </si>
  <si>
    <t>Vita</t>
  </si>
  <si>
    <t>406-5426875-4663559</t>
  </si>
  <si>
    <t>TgPd9KyD4</t>
  </si>
  <si>
    <t>DpF0RQVfcX08R</t>
  </si>
  <si>
    <t>2026-07-07T08:09:32+05:30</t>
  </si>
  <si>
    <t>2026-07-08T21:05:45+05:30</t>
  </si>
  <si>
    <t>2026-07-09T00:05:56+05:30</t>
  </si>
  <si>
    <t>knhsyygp4n3lmw6@marketplace.amazon.in</t>
  </si>
  <si>
    <t>BAYTU</t>
  </si>
  <si>
    <t>AM006294413IN</t>
  </si>
  <si>
    <t>171-4327519-7109920</t>
  </si>
  <si>
    <t>TXndGXN14</t>
  </si>
  <si>
    <t>DP8pRVVNcD0zR</t>
  </si>
  <si>
    <t>2026-07-08T08:17:56+05:30</t>
  </si>
  <si>
    <t>2026-07-08T21:01:44+05:30</t>
  </si>
  <si>
    <t>2026-07-09T00:01:56+05:30</t>
  </si>
  <si>
    <t>y2mp0fmx6h8rwpq@marketplace.amazon.in</t>
  </si>
  <si>
    <t>171-6705405-2241133</t>
  </si>
  <si>
    <t>T67wL65Z4</t>
  </si>
  <si>
    <t>DMfSR7V7cw06R</t>
  </si>
  <si>
    <t>2026-07-08T16:08:26+05:30</t>
  </si>
  <si>
    <t>2026-07-08T20:57:51+05:30</t>
  </si>
  <si>
    <t>2026-07-08T23:58:05+05:30</t>
  </si>
  <si>
    <t>1dxxq13mdwb5s9c@marketplace.amazon.in</t>
  </si>
  <si>
    <t>402-6275672-2811511</t>
  </si>
  <si>
    <t>Tchz1Q3J4</t>
  </si>
  <si>
    <t>Dl1Wh3t5cG02R</t>
  </si>
  <si>
    <t>2026-07-06T20:53:19+05:30</t>
  </si>
  <si>
    <t>2026-07-08T20:41:45+05:30</t>
  </si>
  <si>
    <t>2026-07-08T23:41:57+05:30</t>
  </si>
  <si>
    <t>17444gdmv775l78@marketplace.amazon.in</t>
  </si>
  <si>
    <t>Allahabad</t>
  </si>
  <si>
    <t>408-3593564-8809136</t>
  </si>
  <si>
    <t>Tnq4JFkq4</t>
  </si>
  <si>
    <t>DCHhfrtycM0QR</t>
  </si>
  <si>
    <t>2026-07-06T15:29:36+05:30</t>
  </si>
  <si>
    <t>2026-07-08T20:20:51+05:30</t>
  </si>
  <si>
    <t>2026-07-08T23:21:03+05:30</t>
  </si>
  <si>
    <t>x7wv76f2bvjyczr@marketplace.amazon.in</t>
  </si>
  <si>
    <t>403-0476603-9007548</t>
  </si>
  <si>
    <t>TXFyYl4S4</t>
  </si>
  <si>
    <t>DySgjztBcB0yR</t>
  </si>
  <si>
    <t>2026-07-07T13:17:47+05:30</t>
  </si>
  <si>
    <t>2026-07-08T20:17:46+05:30</t>
  </si>
  <si>
    <t>2026-07-08T20:17:49+05:30</t>
  </si>
  <si>
    <t>2026-07-08T21:18:03+05:30</t>
  </si>
  <si>
    <t>lr48qzygw0t6qv6@marketplace.amazon.in</t>
  </si>
  <si>
    <t>403-7226517-0873917</t>
  </si>
  <si>
    <t>TJWkzk5D4</t>
  </si>
  <si>
    <t>Dp4xjCtPcQ0YR</t>
  </si>
  <si>
    <t>2026-07-08T15:18:52+05:30</t>
  </si>
  <si>
    <t>2026-07-08T20:11:48+05:30</t>
  </si>
  <si>
    <t>2026-07-08T23:12:00+05:30</t>
  </si>
  <si>
    <t>zwvkk9w3ljgkv2c@marketplace.amazon.in</t>
  </si>
  <si>
    <t>403-7021849-8878767</t>
  </si>
  <si>
    <t>TCWvsB5G4</t>
  </si>
  <si>
    <t>DmZfjqt9c609R</t>
  </si>
  <si>
    <t>2026-07-08T14:53:37+05:30</t>
  </si>
  <si>
    <t>2026-07-08T20:04:46+05:30</t>
  </si>
  <si>
    <t>2026-07-08T20:04:49+05:30</t>
  </si>
  <si>
    <t>2026-07-08T21:05:01+05:30</t>
  </si>
  <si>
    <t>fjgtv92wzrzd3h8@marketplace.amazon.in</t>
  </si>
  <si>
    <t>404-1036113-4456361</t>
  </si>
  <si>
    <t>T3LKPB7X4</t>
  </si>
  <si>
    <t>DSxSjXt0c20CR</t>
  </si>
  <si>
    <t>2026-07-04T07:01:29+05:30</t>
  </si>
  <si>
    <t>2026-07-08T20:01:54+05:30</t>
  </si>
  <si>
    <t>2026-07-08T20:01:59+05:30</t>
  </si>
  <si>
    <t>2026-07-08T21:02:19+05:30</t>
  </si>
  <si>
    <t>28mgvf6xq2hq7rq@marketplace.amazon.in</t>
  </si>
  <si>
    <t>402-5891340-8416324</t>
  </si>
  <si>
    <t>TGqb1Pkh4</t>
  </si>
  <si>
    <t>DDGxjfthcG0FR</t>
  </si>
  <si>
    <t>2026-07-06T14:07:48+05:30</t>
  </si>
  <si>
    <t>2026-07-08T19:58:43+05:30</t>
  </si>
  <si>
    <t>2026-07-08T22:58:55+05:30</t>
  </si>
  <si>
    <t>bpsw29tynkwpmyh@marketplace.amazon.in</t>
  </si>
  <si>
    <t>406-7459370-1932330</t>
  </si>
  <si>
    <t>T65RT24X4</t>
  </si>
  <si>
    <t>D2nFjptQcd0XR</t>
  </si>
  <si>
    <t>2026-07-06T15:54:08+05:30</t>
  </si>
  <si>
    <t>2026-07-08T19:57:54+05:30</t>
  </si>
  <si>
    <t>2026-07-08T22:58:09+05:30</t>
  </si>
  <si>
    <t>j2s95hx80qxb1g8@marketplace.amazon.in</t>
  </si>
  <si>
    <t>Raipur</t>
  </si>
  <si>
    <t>405-9672711-2387521</t>
  </si>
  <si>
    <t>T60RRw5b4</t>
  </si>
  <si>
    <t>DYn6jjtWc80mR</t>
  </si>
  <si>
    <t>2026-07-08T12:00:01+05:30</t>
  </si>
  <si>
    <t>2026-07-08T19:57:45+05:30</t>
  </si>
  <si>
    <t>2026-07-08T22:58:00+05:30</t>
  </si>
  <si>
    <t>g7rx9wrsdchs6mp@marketplace.amazon.in</t>
  </si>
  <si>
    <t>171-7063887-0145938</t>
  </si>
  <si>
    <t>T32sh9Ns4</t>
  </si>
  <si>
    <t>DPjvZ7tHcW00R</t>
  </si>
  <si>
    <t>2026-07-08T10:25:46+05:30</t>
  </si>
  <si>
    <t>2026-07-08T19:54:42+05:30</t>
  </si>
  <si>
    <t>2026-07-08T19:54:45+05:30</t>
  </si>
  <si>
    <t>2026-07-08T20:54:58+05:30</t>
  </si>
  <si>
    <t>6b51205vxxzrg67@marketplace.amazon.in</t>
  </si>
  <si>
    <t>408-9178653-6857106</t>
  </si>
  <si>
    <t>TclNVj444</t>
  </si>
  <si>
    <t>Db3YZmtRc40TR</t>
  </si>
  <si>
    <t>2026-07-07T13:39:49+05:30</t>
  </si>
  <si>
    <t>2026-07-08T19:51:46+05:30</t>
  </si>
  <si>
    <t>2026-07-08T22:51:59+05:30</t>
  </si>
  <si>
    <t>zvqxbmfglgss51h@marketplace.amazon.in</t>
  </si>
  <si>
    <t>403-6750657-8048300</t>
  </si>
  <si>
    <t>T3CysW5J4</t>
  </si>
  <si>
    <t>DphDZ3tZc20JR</t>
  </si>
  <si>
    <t>2026-07-08T14:44:00+05:30</t>
  </si>
  <si>
    <t>2026-07-08T19:46:44+05:30</t>
  </si>
  <si>
    <t>2026-07-08T19:46:48+05:30</t>
  </si>
  <si>
    <t>2026-07-08T20:47:00+05:30</t>
  </si>
  <si>
    <t>cb3h9pfytspj3s1@marketplace.amazon.in</t>
  </si>
  <si>
    <t>405-2128923-2073159</t>
  </si>
  <si>
    <t>TJcHC7NV4</t>
  </si>
  <si>
    <t>D30XZYthc00DR</t>
  </si>
  <si>
    <t>2026-07-08T10:01:55+05:30</t>
  </si>
  <si>
    <t>2026-07-08T22:46:56+05:30</t>
  </si>
  <si>
    <t>jmxwms9gs2xd0lf@marketplace.amazon.in</t>
  </si>
  <si>
    <t>408-5865689-6610743</t>
  </si>
  <si>
    <t>T3d4mp514</t>
  </si>
  <si>
    <t>Db9QZDtXcl0zR</t>
  </si>
  <si>
    <t>2026-07-08T17:47:00+05:30</t>
  </si>
  <si>
    <t>2026-07-08T19:45:48+05:30</t>
  </si>
  <si>
    <t>2026-07-08T22:46:00+05:30</t>
  </si>
  <si>
    <t>fbyq8d92rpdc19k@marketplace.amazon.in</t>
  </si>
  <si>
    <t>NAHAN</t>
  </si>
  <si>
    <t>402-7087658-4656363</t>
  </si>
  <si>
    <t>Tc1KS3Nd4</t>
  </si>
  <si>
    <t>DlrKZVtDcB0tR</t>
  </si>
  <si>
    <t>2026-07-08T08:42:36+05:30</t>
  </si>
  <si>
    <t>2026-07-08T19:42:52+05:30</t>
  </si>
  <si>
    <t>2026-07-08T22:43:05+05:30</t>
  </si>
  <si>
    <t>pxp8j1trxpwkd6l@marketplace.amazon.in</t>
  </si>
  <si>
    <t>405-9834894-4449953</t>
  </si>
  <si>
    <t>Tw2jB44F4</t>
  </si>
  <si>
    <t>D4Y4Zkt5cm0FR</t>
  </si>
  <si>
    <t>2026-07-07T18:30:47+05:30</t>
  </si>
  <si>
    <t>2026-07-08T19:42:49+05:30</t>
  </si>
  <si>
    <t>2026-07-08T22:43:03+05:30</t>
  </si>
  <si>
    <t>83lhhsq16mmpl2h@marketplace.amazon.in</t>
  </si>
  <si>
    <t>403-5780494-2573924</t>
  </si>
  <si>
    <t>TJPLgSyB4</t>
  </si>
  <si>
    <t>DWFGqPtgct0wR</t>
  </si>
  <si>
    <t>2026-07-07T15:43:39+05:30</t>
  </si>
  <si>
    <t>2026-07-08T19:39:43+05:30</t>
  </si>
  <si>
    <t>2026-07-08T22:39:55+05:30</t>
  </si>
  <si>
    <t>ql0v5lhbnt7sbz5@marketplace.amazon.in</t>
  </si>
  <si>
    <t>UTTRAKHAND</t>
  </si>
  <si>
    <t>406-0518910-4129948</t>
  </si>
  <si>
    <t>TNwFST4D4</t>
  </si>
  <si>
    <t>Dd0gqHtyck0mR</t>
  </si>
  <si>
    <t>2026-07-07T22:04:02+05:30</t>
  </si>
  <si>
    <t>2026-07-08T19:30:47+05:30</t>
  </si>
  <si>
    <t>2026-07-08T22:31:00+05:30</t>
  </si>
  <si>
    <t>ydhpkx21cd306x1@marketplace.amazon.in</t>
  </si>
  <si>
    <t>403-5007213-1799549</t>
  </si>
  <si>
    <t>TcVDYW5s4</t>
  </si>
  <si>
    <t>DqZQqqtrcW0RR</t>
  </si>
  <si>
    <t>2026-07-08T14:11:20+05:30</t>
  </si>
  <si>
    <t>2026-07-08T19:29:44+05:30</t>
  </si>
  <si>
    <t>2026-07-08T22:29:59+05:30</t>
  </si>
  <si>
    <t>gtp6hxfw4wgc8mv@marketplace.amazon.in</t>
  </si>
  <si>
    <t>407-2619369-2749942</t>
  </si>
  <si>
    <t>T3rlpbN24</t>
  </si>
  <si>
    <t>D6hrqKtvcT0qR</t>
  </si>
  <si>
    <t>2026-07-08T09:27:58+05:30</t>
  </si>
  <si>
    <t>2026-07-08T22:29:56+05:30</t>
  </si>
  <si>
    <t>t560p5d57mrznx7@marketplace.amazon.in</t>
  </si>
  <si>
    <t>402-1188094-9491510</t>
  </si>
  <si>
    <t>TGQX1M3Z4</t>
  </si>
  <si>
    <t>DFLFqztScb0WR</t>
  </si>
  <si>
    <t>2026-07-06T21:02:35+05:30</t>
  </si>
  <si>
    <t>2026-07-08T19:27:42+05:30</t>
  </si>
  <si>
    <t>2026-07-08T19:27:45+05:30</t>
  </si>
  <si>
    <t>2026-07-08T20:27:59+05:30</t>
  </si>
  <si>
    <t>n72k6629nv1krm0@marketplace.amazon.in</t>
  </si>
  <si>
    <t>bareilly</t>
  </si>
  <si>
    <t>UP</t>
  </si>
  <si>
    <t>408-1952161-5961132</t>
  </si>
  <si>
    <t>TJqr3B5K4</t>
  </si>
  <si>
    <t>DD245btLc70YR</t>
  </si>
  <si>
    <t>2026-07-08T14:25:30+05:30</t>
  </si>
  <si>
    <t>2026-07-08T19:14:43+05:30</t>
  </si>
  <si>
    <t>2026-07-08T22:14:55+05:30</t>
  </si>
  <si>
    <t>2z7gf6k683qryjj@marketplace.amazon.in</t>
  </si>
  <si>
    <t>404-9174576-6943552</t>
  </si>
  <si>
    <t>TJyRqy4S4</t>
  </si>
  <si>
    <t>DJ3CgDtycs0LR</t>
  </si>
  <si>
    <t>2026-07-07T23:42:19+05:30</t>
  </si>
  <si>
    <t>2026-07-08T19:02:43+05:30</t>
  </si>
  <si>
    <t>2026-07-08T19:02:47+05:30</t>
  </si>
  <si>
    <t>2026-07-08T20:02:58+05:30</t>
  </si>
  <si>
    <t>xrtv1j81tsny78l@marketplace.amazon.in</t>
  </si>
  <si>
    <t>406-3435865-9270747</t>
  </si>
  <si>
    <t>TVZCqrNp4</t>
  </si>
  <si>
    <t>DRvTXht9cB0NR</t>
  </si>
  <si>
    <t>2026-07-08T11:06:57+05:30</t>
  </si>
  <si>
    <t>2026-07-08T18:35:49+05:30</t>
  </si>
  <si>
    <t>2026-07-08T21:36:07+05:30</t>
  </si>
  <si>
    <t>wvclzchbz0szq11@marketplace.amazon.in</t>
  </si>
  <si>
    <t>406-7143745-4903565</t>
  </si>
  <si>
    <t>TcL7ClNK4</t>
  </si>
  <si>
    <t>Dx8gXvt8cF00R</t>
  </si>
  <si>
    <t>2026-07-08T09:45:56+05:30</t>
  </si>
  <si>
    <t>2026-07-08T18:24:59+05:30</t>
  </si>
  <si>
    <t>2026-07-08T21:25:34+05:30</t>
  </si>
  <si>
    <t>sqvrkh0m9d8kbpt@marketplace.amazon.in</t>
  </si>
  <si>
    <t>402-1519187-1273943</t>
  </si>
  <si>
    <t>TGFS425P4</t>
  </si>
  <si>
    <t>DBd4Xjt2cF0YR</t>
  </si>
  <si>
    <t>2026-07-08T12:54:37+05:30</t>
  </si>
  <si>
    <t>2026-07-08T18:19:44+05:30</t>
  </si>
  <si>
    <t>2026-07-08T18:19:46+05:30</t>
  </si>
  <si>
    <t>2026-07-08T19:19:59+05:30</t>
  </si>
  <si>
    <t>cdlls6pyjscdk1n@marketplace.amazon.in</t>
  </si>
  <si>
    <t>SADASIVPET</t>
  </si>
  <si>
    <t>407-0082997-6027540</t>
  </si>
  <si>
    <t>TVK3yfyF4</t>
  </si>
  <si>
    <t>DynMXrtjcR0LR</t>
  </si>
  <si>
    <t>2026-07-07T09:14:48+05:30</t>
  </si>
  <si>
    <t>2026-07-08T18:18:41+05:30</t>
  </si>
  <si>
    <t>2026-07-08T21:18:53+05:30</t>
  </si>
  <si>
    <t>rrjgpxqqtm3kbk9@marketplace.amazon.in</t>
  </si>
  <si>
    <t>NAMPUR</t>
  </si>
  <si>
    <t>407-6014589-4988351</t>
  </si>
  <si>
    <t>T15ry35s4</t>
  </si>
  <si>
    <t>DjnvXktKc80NR</t>
  </si>
  <si>
    <t>2026-07-08T12:57:33+05:30</t>
  </si>
  <si>
    <t>2026-07-08T18:17:53+05:30</t>
  </si>
  <si>
    <t>2026-07-08T21:18:14+05:30</t>
  </si>
  <si>
    <t>6xvk1q5dzzt7vys@marketplace.amazon.in</t>
  </si>
  <si>
    <t>PURNIA</t>
  </si>
  <si>
    <t>407-0675303-0389103</t>
  </si>
  <si>
    <t>TNNnkW544</t>
  </si>
  <si>
    <t>DTd2XjtBcS0FR</t>
  </si>
  <si>
    <t>2026-07-08T12:21:39+05:30</t>
  </si>
  <si>
    <t>2026-07-08T18:15:46+05:30</t>
  </si>
  <si>
    <t>2026-07-08T21:16:03+05:30</t>
  </si>
  <si>
    <t>37jss5hlrdftct6@marketplace.amazon.in</t>
  </si>
  <si>
    <t>403-6803137-0419566</t>
  </si>
  <si>
    <t>T6dmzx7B4</t>
  </si>
  <si>
    <t>D0brCZtFcK0zR</t>
  </si>
  <si>
    <t>2026-07-04T16:25:44+05:30</t>
  </si>
  <si>
    <t>2026-07-08T18:08:41+05:30</t>
  </si>
  <si>
    <t>2026-07-08T18:08:44+05:30</t>
  </si>
  <si>
    <t>2026-07-08T19:08:56+05:30</t>
  </si>
  <si>
    <t>ynw7rxzccnrz7g6@marketplace.amazon.in</t>
  </si>
  <si>
    <t>407-7055832-3077943</t>
  </si>
  <si>
    <t>TNWQWZNC4</t>
  </si>
  <si>
    <t>DfbJC3tbcK0zR</t>
  </si>
  <si>
    <t>2026-07-08T07:51:31+05:30</t>
  </si>
  <si>
    <t>2026-07-08T18:07:41+05:30</t>
  </si>
  <si>
    <t>2026-07-08T18:07:44+05:30</t>
  </si>
  <si>
    <t>2026-07-08T19:07:56+05:30</t>
  </si>
  <si>
    <t>2ypthx72x720d0h@marketplace.amazon.in</t>
  </si>
  <si>
    <t>405-8884894-3214723</t>
  </si>
  <si>
    <t>TVFLSdkk4</t>
  </si>
  <si>
    <t>D7CXCFtWcY0mR</t>
  </si>
  <si>
    <t>2026-07-06T16:23:13+05:30</t>
  </si>
  <si>
    <t>2026-07-08T18:00:44+05:30</t>
  </si>
  <si>
    <t>2026-07-08T18:00:47+05:30</t>
  </si>
  <si>
    <t>2026-07-08T19:00:57+05:30</t>
  </si>
  <si>
    <t>jt0jdkk3nz5fj6k@marketplace.amazon.in</t>
  </si>
  <si>
    <t>171-1891928-6170707</t>
  </si>
  <si>
    <t>TCjVvvNH4</t>
  </si>
  <si>
    <t>DkgWWQtvcn0NR</t>
  </si>
  <si>
    <t>2026-07-07T22:54:51+05:30</t>
  </si>
  <si>
    <t>2026-07-08T17:37:47+05:30</t>
  </si>
  <si>
    <t>2026-07-08T17:37:50+05:30</t>
  </si>
  <si>
    <t>2026-07-08T18:38:03+05:30</t>
  </si>
  <si>
    <t>tsd5bvbbg6h5s6h@marketplace.amazon.in</t>
  </si>
  <si>
    <t>402-5303890-4860311</t>
  </si>
  <si>
    <t>TGWlrY5Q4</t>
  </si>
  <si>
    <t>DTYcWJtCcj0nR</t>
  </si>
  <si>
    <t>2026-07-08T15:03:03+05:30</t>
  </si>
  <si>
    <t>2026-07-08T17:28:49+05:30</t>
  </si>
  <si>
    <t>2026-07-08T20:29:02+05:30</t>
  </si>
  <si>
    <t>gwx1x3vtxqn2ywh@marketplace.amazon.in</t>
  </si>
  <si>
    <t>Puducherry</t>
  </si>
  <si>
    <t>407-5786608-5376308</t>
  </si>
  <si>
    <t>Tnys6FN84</t>
  </si>
  <si>
    <t>DxNwK9t9cg0CR</t>
  </si>
  <si>
    <t>2026-07-08T08:47:02+05:30</t>
  </si>
  <si>
    <t>2026-07-08T17:19:44+05:30</t>
  </si>
  <si>
    <t>2026-07-08T17:19:48+05:30</t>
  </si>
  <si>
    <t>8qbj5g5nn53d629@marketplace.amazon.in</t>
  </si>
  <si>
    <t>403-6328179-0890748</t>
  </si>
  <si>
    <t>TndxL7Db4</t>
  </si>
  <si>
    <t>DB4mKYtWcm0hR</t>
  </si>
  <si>
    <t>2026-07-04T20:16:30+05:30</t>
  </si>
  <si>
    <t>2026-07-08T17:18:47+05:30</t>
  </si>
  <si>
    <t>2026-07-08T20:18:57+05:30</t>
  </si>
  <si>
    <t>ylhp1mjd17cl532@marketplace.amazon.in</t>
  </si>
  <si>
    <t>AM006253095IN</t>
  </si>
  <si>
    <t>402-0512799-0424335</t>
  </si>
  <si>
    <t>TGdJ3dkb4</t>
  </si>
  <si>
    <t>D5gWKQtCcd0YR</t>
  </si>
  <si>
    <t>2026-07-06T15:38:12+05:30</t>
  </si>
  <si>
    <t>2026-07-08T17:16:47+05:30</t>
  </si>
  <si>
    <t>2026-07-08T20:17:00+05:30</t>
  </si>
  <si>
    <t>x678yyg7m6rbc1n@marketplace.amazon.in</t>
  </si>
  <si>
    <t>405-4826229-0238751</t>
  </si>
  <si>
    <t>TnbKRm5m4</t>
  </si>
  <si>
    <t>DXJYK4tLc40fR</t>
  </si>
  <si>
    <t>2026-07-08T12:31:44+05:30</t>
  </si>
  <si>
    <t>2026-07-08T17:05:48+05:30</t>
  </si>
  <si>
    <t>2026-07-08T17:05:53+05:30</t>
  </si>
  <si>
    <t>2026-07-08T18:06:17+05:30</t>
  </si>
  <si>
    <t>9w22jfw1p5mg9dk@marketplace.amazon.in</t>
  </si>
  <si>
    <t>405-1665158-9743559</t>
  </si>
  <si>
    <t>TVPMhhNV4</t>
  </si>
  <si>
    <t>D7qYKxtlc40BR</t>
  </si>
  <si>
    <t>2026-07-06T22:56:03+05:30</t>
  </si>
  <si>
    <t>2026-07-08T17:04:55+05:30</t>
  </si>
  <si>
    <t>2026-07-08T20:05:06+05:30</t>
  </si>
  <si>
    <t>qd7d25r6tz3sdrv@marketplace.amazon.in</t>
  </si>
  <si>
    <t>171-9601064-3221918</t>
  </si>
  <si>
    <t>T3Rs6tyC4</t>
  </si>
  <si>
    <t>Dkycm0tvcr0NR</t>
  </si>
  <si>
    <t>2026-07-07T10:17:49+05:30</t>
  </si>
  <si>
    <t>2026-07-08T17:02:45+05:30</t>
  </si>
  <si>
    <t>2026-07-08T20:02:59+05:30</t>
  </si>
  <si>
    <t>bgfsds9plg2v7nv@marketplace.amazon.in</t>
  </si>
  <si>
    <t>406-1004937-1807530</t>
  </si>
  <si>
    <t>Tg2xRX534</t>
  </si>
  <si>
    <t>DJgvmjtwcF0TR</t>
  </si>
  <si>
    <t>2026-07-08T11:17:06+05:30</t>
  </si>
  <si>
    <t>2026-07-08T17:00:52+05:30</t>
  </si>
  <si>
    <t>2026-07-08T17:00:56+05:30</t>
  </si>
  <si>
    <t>2026-07-08T18:01:08+05:30</t>
  </si>
  <si>
    <t>83cbqk511hyk6wl@marketplace.amazon.in</t>
  </si>
  <si>
    <t>VELLODE</t>
  </si>
  <si>
    <t>402-6777584-4216336</t>
  </si>
  <si>
    <t>TN68XlDW4</t>
  </si>
  <si>
    <t>D9Tgmmtlc70sR</t>
  </si>
  <si>
    <t>2026-07-04T23:41:28+05:30</t>
  </si>
  <si>
    <t>2026-07-08T16:57:56+05:30</t>
  </si>
  <si>
    <t>2026-07-08T19:58:18+05:30</t>
  </si>
  <si>
    <t>fmq490398vscyt0@marketplace.amazon.in</t>
  </si>
  <si>
    <t>407-7623204-9189904</t>
  </si>
  <si>
    <t>TnNlYL5k4</t>
  </si>
  <si>
    <t>DwWSmYt4cY0rR</t>
  </si>
  <si>
    <t>2026-07-08T14:29:20+05:30</t>
  </si>
  <si>
    <t>2026-07-08T16:56:45+05:30</t>
  </si>
  <si>
    <t>2026-07-08T16:56:48+05:30</t>
  </si>
  <si>
    <t>2026-07-08T17:56:59+05:30</t>
  </si>
  <si>
    <t>rmrsv0px5c11c2y@marketplace.amazon.in</t>
  </si>
  <si>
    <t>403-8887751-6481104</t>
  </si>
  <si>
    <t>TN3CN8574</t>
  </si>
  <si>
    <t>Dkp7m8tjch0xR</t>
  </si>
  <si>
    <t>2026-07-08T12:01:46+05:30</t>
  </si>
  <si>
    <t>2026-07-08T16:47:45+05:30</t>
  </si>
  <si>
    <t>2026-07-08T19:47:57+05:30</t>
  </si>
  <si>
    <t>f6882d7cz5gbxr3@marketplace.amazon.in</t>
  </si>
  <si>
    <t>406-6194015-0401925</t>
  </si>
  <si>
    <t>TgzdwB514</t>
  </si>
  <si>
    <t>DW7flctwc708R</t>
  </si>
  <si>
    <t>2026-07-08T12:36:48+05:30</t>
  </si>
  <si>
    <t>2026-07-08T16:45:43+05:30</t>
  </si>
  <si>
    <t>2026-07-08T19:45:55+05:30</t>
  </si>
  <si>
    <t>c6pgr3976881wy4@marketplace.amazon.in</t>
  </si>
  <si>
    <t>408-1940732-2896368</t>
  </si>
  <si>
    <t>T3PXqFDj4</t>
  </si>
  <si>
    <t>DHmRl5tbcl0CR</t>
  </si>
  <si>
    <t>2026-07-04T22:49:45+05:30</t>
  </si>
  <si>
    <t>2026-07-08T16:43:49+05:30</t>
  </si>
  <si>
    <t>2026-07-08T19:44:01+05:30</t>
  </si>
  <si>
    <t>7r1ygm84s4zhgmj@marketplace.amazon.in</t>
  </si>
  <si>
    <t>AC003160179IN</t>
  </si>
  <si>
    <t>407-8634748-9462708</t>
  </si>
  <si>
    <t>Tc32lqN84</t>
  </si>
  <si>
    <t>Dm0GlTtrcM0TR</t>
  </si>
  <si>
    <t>2026-07-08T08:52:40+05:30</t>
  </si>
  <si>
    <t>2026-07-08T16:34:47+05:30</t>
  </si>
  <si>
    <t>2026-07-08T19:35:00+05:30</t>
  </si>
  <si>
    <t>stct7mjw37j9zz6@marketplace.amazon.in</t>
  </si>
  <si>
    <t>palani</t>
  </si>
  <si>
    <t>403-1516239-9037144</t>
  </si>
  <si>
    <t>TcRDXZ4H4</t>
  </si>
  <si>
    <t>DNcm0Dt3cq04R</t>
  </si>
  <si>
    <t>2026-07-07T22:29:29+05:30</t>
  </si>
  <si>
    <t>2026-07-08T16:21:54+05:30</t>
  </si>
  <si>
    <t>2026-07-08T19:22:06+05:30</t>
  </si>
  <si>
    <t>vwv9t7944syzb5c@marketplace.amazon.in</t>
  </si>
  <si>
    <t>405-6121708-6186713</t>
  </si>
  <si>
    <t>TGFgBT5m4</t>
  </si>
  <si>
    <t>DKcp08t3cq04R</t>
  </si>
  <si>
    <t>2026-07-08T13:54:47+05:30</t>
  </si>
  <si>
    <t>2026-07-08T16:21:47+05:30</t>
  </si>
  <si>
    <t>2026-07-08T19:21:59+05:30</t>
  </si>
  <si>
    <t>7wdmdy82ynyf5fz@marketplace.amazon.in</t>
  </si>
  <si>
    <t>405-3117283-3685969</t>
  </si>
  <si>
    <t>Tgjsnv5m4</t>
  </si>
  <si>
    <t>DvLD08tsc50kR</t>
  </si>
  <si>
    <t>2026-07-08T15:01:57+05:30</t>
  </si>
  <si>
    <t>2026-07-08T16:19:43+05:30</t>
  </si>
  <si>
    <t>2026-07-08T19:19:53+05:30</t>
  </si>
  <si>
    <t>ddlg6mm7rghfyjn@marketplace.amazon.in</t>
  </si>
  <si>
    <t>407-0483875-8521923</t>
  </si>
  <si>
    <t>T3JKSMNj4</t>
  </si>
  <si>
    <t>DC1BS0tQc30FR</t>
  </si>
  <si>
    <t>2026-07-08T07:45:14+05:30</t>
  </si>
  <si>
    <t>2026-07-08T16:10:46+05:30</t>
  </si>
  <si>
    <t>2026-07-08T19:10:58+05:30</t>
  </si>
  <si>
    <t>402-5565104-1075535</t>
  </si>
  <si>
    <t>TCyvKsN64</t>
  </si>
  <si>
    <t>DGzKSctvcc0SR</t>
  </si>
  <si>
    <t>2026-07-08T11:03:13+05:30</t>
  </si>
  <si>
    <t>2026-07-08T16:02:47+05:30</t>
  </si>
  <si>
    <t>2026-07-08T19:03:02+05:30</t>
  </si>
  <si>
    <t>tspqstpd1vd1jbd@marketplace.amazon.in</t>
  </si>
  <si>
    <t>403-9999512-5070707</t>
  </si>
  <si>
    <t>TXbNpSN84</t>
  </si>
  <si>
    <t>Dfx1SptxcG0VR</t>
  </si>
  <si>
    <t>2026-07-08T10:16:30+05:30</t>
  </si>
  <si>
    <t>2026-07-08T15:56:46+05:30</t>
  </si>
  <si>
    <t>2026-07-08T18:57:00+05:30</t>
  </si>
  <si>
    <t>hq9k4rf9kysnp7n@marketplace.amazon.in</t>
  </si>
  <si>
    <t>403-4128620-3772338</t>
  </si>
  <si>
    <t>TCmfXbNw4</t>
  </si>
  <si>
    <t>DJB96MtZcj0zR</t>
  </si>
  <si>
    <t>2026-07-08T08:24:58+05:30</t>
  </si>
  <si>
    <t>2026-07-08T15:50:43+05:30</t>
  </si>
  <si>
    <t>2026-07-08T18:50:55+05:30</t>
  </si>
  <si>
    <t>mssg0bbtrtb5q1c@marketplace.amazon.in</t>
  </si>
  <si>
    <t>407-2054506-6200342</t>
  </si>
  <si>
    <t>TGgSVn4P4</t>
  </si>
  <si>
    <t>DJzZ60t6cV05R</t>
  </si>
  <si>
    <t>2026-07-07T19:07:42+05:30</t>
  </si>
  <si>
    <t>2026-07-08T15:46:46+05:30</t>
  </si>
  <si>
    <t>2026-07-08T18:47:02+05:30</t>
  </si>
  <si>
    <t>4wr2snl4t8hn3f7@marketplace.amazon.in</t>
  </si>
  <si>
    <t>406-2842614-0837114</t>
  </si>
  <si>
    <t>TGZt5r4k4</t>
  </si>
  <si>
    <t>DwwL60tBcp0xR</t>
  </si>
  <si>
    <t>2026-07-07T23:47:41+05:30</t>
  </si>
  <si>
    <t>2026-07-08T15:46:41+05:30</t>
  </si>
  <si>
    <t>2026-07-08T18:46:53+05:30</t>
  </si>
  <si>
    <t>7vklf694kz4ds6h@marketplace.amazon.in</t>
  </si>
  <si>
    <t>407-6881383-4502717</t>
  </si>
  <si>
    <t>TnR1X63c4</t>
  </si>
  <si>
    <t>DPDQdHtdcW0GR</t>
  </si>
  <si>
    <t>2026-07-06T22:59:53+05:30</t>
  </si>
  <si>
    <t>2026-07-08T15:32:44+05:30</t>
  </si>
  <si>
    <t>2026-07-08T15:32:49+05:30</t>
  </si>
  <si>
    <t>2026-07-08T16:33:06+05:30</t>
  </si>
  <si>
    <t>rm7dvxq072cgfmm@marketplace.amazon.in</t>
  </si>
  <si>
    <t>404-0133938-9885953</t>
  </si>
  <si>
    <t>TcJKXnkR4</t>
  </si>
  <si>
    <t>DHtGdDt1cy0sR</t>
  </si>
  <si>
    <t>2026-07-06T17:06:06+05:30</t>
  </si>
  <si>
    <t>2026-07-08T15:30:54+05:30</t>
  </si>
  <si>
    <t>2026-07-08T18:31:07+05:30</t>
  </si>
  <si>
    <t>53vgtw2wphxqhn1@marketplace.amazon.in</t>
  </si>
  <si>
    <t>403-8240764-3894702</t>
  </si>
  <si>
    <t>TghcFW3n4</t>
  </si>
  <si>
    <t>Dxt5G7t4c80cR</t>
  </si>
  <si>
    <t>2026-07-04T19:32:01+05:30</t>
  </si>
  <si>
    <t>2026-07-08T15:13:48+05:30</t>
  </si>
  <si>
    <t>2026-07-08T18:14:03+05:30</t>
  </si>
  <si>
    <t>wnmj3vzvtw27klr@marketplace.amazon.in</t>
  </si>
  <si>
    <t>RAMKOLA</t>
  </si>
  <si>
    <t>403-5814227-6309107</t>
  </si>
  <si>
    <t>TCH3p41D4</t>
  </si>
  <si>
    <t>DCyNtptKcH0JR</t>
  </si>
  <si>
    <t>2026-07-05T18:38:14+05:30</t>
  </si>
  <si>
    <t>2026-07-08T15:03:48+05:30</t>
  </si>
  <si>
    <t>2026-07-08T18:04:02+05:30</t>
  </si>
  <si>
    <t>qw3cqr6yhk5ywfm@marketplace.amazon.in</t>
  </si>
  <si>
    <t>404-9271949-3907561</t>
  </si>
  <si>
    <t>T3LBYg1Y4</t>
  </si>
  <si>
    <t>DphNt2tFcw0CR</t>
  </si>
  <si>
    <t>2026-07-04T09:55:14+05:30</t>
  </si>
  <si>
    <t>2026-07-08T14:59:41+05:30</t>
  </si>
  <si>
    <t>2026-07-08T14:59:45+05:30</t>
  </si>
  <si>
    <t>2026-07-08T16:00:01+05:30</t>
  </si>
  <si>
    <t>jmpdsb0l89z91lr@marketplace.amazon.in</t>
  </si>
  <si>
    <t>402-4716599-6516367</t>
  </si>
  <si>
    <t>TNLM3c1Q4</t>
  </si>
  <si>
    <t>DnTrtCtncR0CR</t>
  </si>
  <si>
    <t>2026-07-05T16:28:47+05:30</t>
  </si>
  <si>
    <t>2026-07-08T14:58:41+05:30</t>
  </si>
  <si>
    <t>2026-07-08T14:58:44+05:30</t>
  </si>
  <si>
    <t>2026-07-08T15:58:58+05:30</t>
  </si>
  <si>
    <t>5l93k6gvn51n6fq@marketplace.amazon.in</t>
  </si>
  <si>
    <t>407-3027373-2009140</t>
  </si>
  <si>
    <t>TGgDH7834</t>
  </si>
  <si>
    <t>Dh7GPJtmcs08R</t>
  </si>
  <si>
    <t>2026-07-04T10:13:12+05:30</t>
  </si>
  <si>
    <t>2026-07-08T14:43:46+05:30</t>
  </si>
  <si>
    <t>2026-07-08T14:43:49+05:30</t>
  </si>
  <si>
    <t>2026-07-08T15:44:03+05:30</t>
  </si>
  <si>
    <t>z4plvnmbfdq0qnr@marketplace.amazon.in</t>
  </si>
  <si>
    <t>402-9161038-5883543</t>
  </si>
  <si>
    <t>Tct7VHyX4</t>
  </si>
  <si>
    <t>DDXmTptkcw0GR</t>
  </si>
  <si>
    <t>2026-07-07T10:52:19+05:30</t>
  </si>
  <si>
    <t>2026-07-08T14:35:44+05:30</t>
  </si>
  <si>
    <t>2026-07-08T17:35:56+05:30</t>
  </si>
  <si>
    <t>j6mcss8smt2hcpb@marketplace.amazon.in</t>
  </si>
  <si>
    <t>406-9277716-9303531</t>
  </si>
  <si>
    <t>T663CW4R4</t>
  </si>
  <si>
    <t>DjRnPFtGcT03R</t>
  </si>
  <si>
    <t>2026-07-07T19:38:38+05:30</t>
  </si>
  <si>
    <t>2026-07-08T14:30:46+05:30</t>
  </si>
  <si>
    <t>2026-07-08T14:30:49+05:30</t>
  </si>
  <si>
    <t>2026-07-08T15:31:05+05:30</t>
  </si>
  <si>
    <t>hpc5yxccsjfstd2@marketplace.amazon.in</t>
  </si>
  <si>
    <t>404-0472128-4425950</t>
  </si>
  <si>
    <t>TCXfgw4K4</t>
  </si>
  <si>
    <t>D2MSTKtnc60BR</t>
  </si>
  <si>
    <t>2026-07-07T23:02:35+05:30</t>
  </si>
  <si>
    <t>2026-07-08T14:27:44+05:30</t>
  </si>
  <si>
    <t>2026-07-08T17:27:52+05:30</t>
  </si>
  <si>
    <t>qlmhwlrz2y0hptj@marketplace.amazon.in</t>
  </si>
  <si>
    <t>408-1628596-7616318</t>
  </si>
  <si>
    <t>TV6P4BN64</t>
  </si>
  <si>
    <t>Dyc3TLtScL06R</t>
  </si>
  <si>
    <t>2026-07-08T01:00:50+05:30</t>
  </si>
  <si>
    <t>2026-07-08T14:22:04+05:30</t>
  </si>
  <si>
    <t>2026-07-08T17:22:25+05:30</t>
  </si>
  <si>
    <t>fb91v49m8qf1npy@marketplace.amazon.in</t>
  </si>
  <si>
    <t>RASIPURAM</t>
  </si>
  <si>
    <t>404-8277138-3932358</t>
  </si>
  <si>
    <t>TgjdQy8Z4</t>
  </si>
  <si>
    <t>DnqGTDt6cd0ZR</t>
  </si>
  <si>
    <t>2026-07-04T13:00:39+05:30</t>
  </si>
  <si>
    <t>2026-07-08T14:13:57+05:30</t>
  </si>
  <si>
    <t>2026-07-08T17:14:10+05:30</t>
  </si>
  <si>
    <t>x4hmjt3vtvnzy70@marketplace.amazon.in</t>
  </si>
  <si>
    <t>171-3692325-3091510</t>
  </si>
  <si>
    <t>TXHqGl3N4</t>
  </si>
  <si>
    <t>D7M2n8t8cJ0nR</t>
  </si>
  <si>
    <t>2026-07-06T22:19:48+05:30</t>
  </si>
  <si>
    <t>2026-07-08T14:06:43+05:30</t>
  </si>
  <si>
    <t>2026-07-08T17:06:55+05:30</t>
  </si>
  <si>
    <t>405-1400580-1165127</t>
  </si>
  <si>
    <t>TNn66DNv4</t>
  </si>
  <si>
    <t>DkHGnSt2cm0rR</t>
  </si>
  <si>
    <t>2026-07-08T08:50:56+05:30</t>
  </si>
  <si>
    <t>2026-07-08T14:05:44+05:30</t>
  </si>
  <si>
    <t>2026-07-08T14:05:47+05:30</t>
  </si>
  <si>
    <t>2026-07-08T15:05:59+05:30</t>
  </si>
  <si>
    <t>nzz3hky3v26tby8@marketplace.amazon.in</t>
  </si>
  <si>
    <t>THONDAMUTHUR, COIMBATORE</t>
  </si>
  <si>
    <t>405-3662843-4363549</t>
  </si>
  <si>
    <t>TgCycn4j4</t>
  </si>
  <si>
    <t>DXHzn5t2cm0rR</t>
  </si>
  <si>
    <t>2026-07-06T22:14:27+05:30</t>
  </si>
  <si>
    <t>2026-07-08T14:05:39+05:30</t>
  </si>
  <si>
    <t>2026-07-08T14:05:42+05:30</t>
  </si>
  <si>
    <t>2026-07-08T15:05:56+05:30</t>
  </si>
  <si>
    <t>dr456jnwm1zdgll@marketplace.amazon.in</t>
  </si>
  <si>
    <t>403-5809818-3935529</t>
  </si>
  <si>
    <t>T3Fq89Np4</t>
  </si>
  <si>
    <t>D8H7nJtXcj0rR</t>
  </si>
  <si>
    <t>2026-07-08T09:59:09+05:30</t>
  </si>
  <si>
    <t>2026-07-08T14:01:47+05:30</t>
  </si>
  <si>
    <t>2026-07-08T17:02:01+05:30</t>
  </si>
  <si>
    <t>z03mj2prwyd92c7@marketplace.amazon.in</t>
  </si>
  <si>
    <t>403-6255246-0873907</t>
  </si>
  <si>
    <t>TXMhk5FT4</t>
  </si>
  <si>
    <t>D0jbxFtzcQ0zR</t>
  </si>
  <si>
    <t>2026-07-06T22:20:03+05:30</t>
  </si>
  <si>
    <t>2026-07-08T13:51:53+05:30</t>
  </si>
  <si>
    <t>2026-07-08T16:52:12+05:30</t>
  </si>
  <si>
    <t>btfqwgm3dgmd6c9@marketplace.amazon.in</t>
  </si>
  <si>
    <t>407-9192752-3594744</t>
  </si>
  <si>
    <t>TGDBqhkD4</t>
  </si>
  <si>
    <t>DBQMxYtYcF0pR</t>
  </si>
  <si>
    <t>2026-07-06T17:51:57+05:30</t>
  </si>
  <si>
    <t>2026-07-08T13:48:42+05:30</t>
  </si>
  <si>
    <t>2026-07-08T16:48:54+05:30</t>
  </si>
  <si>
    <t>7wz3yx0bwbmyx8h@marketplace.amazon.in</t>
  </si>
  <si>
    <t>404-5825956-8502725</t>
  </si>
  <si>
    <t>TGvBtvNL4</t>
  </si>
  <si>
    <t>DmZQxftHcx0vR</t>
  </si>
  <si>
    <t>2026-07-08T08:07:54+05:30</t>
  </si>
  <si>
    <t>2026-07-08T13:47:44+05:30</t>
  </si>
  <si>
    <t>2026-07-08T16:47:52+05:30</t>
  </si>
  <si>
    <t>m96xpcb3d100rht@marketplace.amazon.in</t>
  </si>
  <si>
    <t>171-2279820-8603537</t>
  </si>
  <si>
    <t>T6l8s8Nj4</t>
  </si>
  <si>
    <t>DkZ2xZtNcx0vR</t>
  </si>
  <si>
    <t>2026-07-07T21:49:34+05:30</t>
  </si>
  <si>
    <t>2026-07-08T13:47:41+05:30</t>
  </si>
  <si>
    <t>2026-07-08T16:47:53+05:30</t>
  </si>
  <si>
    <t>rfj78gcnrxtxyw8@marketplace.amazon.in</t>
  </si>
  <si>
    <t>408-5823747-4361129</t>
  </si>
  <si>
    <t>TgdDnh754</t>
  </si>
  <si>
    <t>DbLfxGt1cy0KR</t>
  </si>
  <si>
    <t>2026-07-03T19:55:35+05:30</t>
  </si>
  <si>
    <t>2026-07-08T13:45:44+05:30</t>
  </si>
  <si>
    <t>2026-07-08T16:46:01+05:30</t>
  </si>
  <si>
    <t>09x0ykp21wp3lc1@marketplace.amazon.in</t>
  </si>
  <si>
    <t>405-7719942-6837107</t>
  </si>
  <si>
    <t>TVH3YRNk4</t>
  </si>
  <si>
    <t>Dtn9xztXcN0dR</t>
  </si>
  <si>
    <t>2026-07-07T12:39:10+05:30</t>
  </si>
  <si>
    <t>2026-07-08T13:42:49+05:30</t>
  </si>
  <si>
    <t>2026-07-08T16:43:01+05:30</t>
  </si>
  <si>
    <t>57641m8g5mb5lqn@marketplace.amazon.in</t>
  </si>
  <si>
    <t>Thirupoondi ,Nagapattinam</t>
  </si>
  <si>
    <t>407-5506766-7906769</t>
  </si>
  <si>
    <t>T6vYlg4n4</t>
  </si>
  <si>
    <t>DsxPxDtSc506R</t>
  </si>
  <si>
    <t>2026-07-07T16:34:04+05:30</t>
  </si>
  <si>
    <t>2026-07-08T13:41:53+05:30</t>
  </si>
  <si>
    <t>2026-07-08T16:42:07+05:30</t>
  </si>
  <si>
    <t>7tn9q84lhjt114n@marketplace.amazon.in</t>
  </si>
  <si>
    <t>KAMAND</t>
  </si>
  <si>
    <t>171-5856171-6280343</t>
  </si>
  <si>
    <t>T6FwXFNT4</t>
  </si>
  <si>
    <t>DNXq3RtKcf0CR</t>
  </si>
  <si>
    <t>2026-07-08T09:48:08+05:30</t>
  </si>
  <si>
    <t>2026-07-08T13:38:53+05:30</t>
  </si>
  <si>
    <t>2026-07-08T16:39:04+05:30</t>
  </si>
  <si>
    <t>1z3rcftg22qgsfy@marketplace.amazon.in</t>
  </si>
  <si>
    <t>404-8106910-5168331</t>
  </si>
  <si>
    <t>TwVTpxNg4</t>
  </si>
  <si>
    <t>DSXG31tNc105R</t>
  </si>
  <si>
    <t>2026-07-08T09:19:24+05:30</t>
  </si>
  <si>
    <t>2026-07-08T13:37:39+05:30</t>
  </si>
  <si>
    <t>2026-07-08T16:37:48+05:30</t>
  </si>
  <si>
    <t>1004r80rymmtrr7@marketplace.amazon.in</t>
  </si>
  <si>
    <t>171-0726740-9697169</t>
  </si>
  <si>
    <t>TcYtJZ3Z4</t>
  </si>
  <si>
    <t>DM993VtncP0LR</t>
  </si>
  <si>
    <t>2026-07-06T20:34:37+05:30</t>
  </si>
  <si>
    <t>2026-07-08T13:31:48+05:30</t>
  </si>
  <si>
    <t>2026-07-08T16:32:01+05:30</t>
  </si>
  <si>
    <t>8pc6gz41kzrzcj8@marketplace.amazon.in</t>
  </si>
  <si>
    <t>408-5747127-5035554</t>
  </si>
  <si>
    <t>TGrtLYyf4</t>
  </si>
  <si>
    <t>DB9kJhtzcY0lR</t>
  </si>
  <si>
    <t>2026-07-07T12:10:37+05:30</t>
  </si>
  <si>
    <t>2026-07-08T13:17:48+05:30</t>
  </si>
  <si>
    <t>2026-07-08T16:18:01+05:30</t>
  </si>
  <si>
    <t>406-1210706-8137142</t>
  </si>
  <si>
    <t>TN266jN84</t>
  </si>
  <si>
    <t>D8YqJktJcC0PR</t>
  </si>
  <si>
    <t>2026-07-08T08:42:47+05:30</t>
  </si>
  <si>
    <t>2026-07-08T13:10:48+05:30</t>
  </si>
  <si>
    <t>2026-07-08T16:11:01+05:30</t>
  </si>
  <si>
    <t>hj91blpv87zbf3g@marketplace.amazon.in</t>
  </si>
  <si>
    <t>2026-07-08T20:00:00+05:30</t>
  </si>
  <si>
    <t>406-7789698-4727500</t>
  </si>
  <si>
    <t>T68PL5194</t>
  </si>
  <si>
    <t>DRYYMRtkcl0qR</t>
  </si>
  <si>
    <t>2026-07-05T15:00:44+05:30</t>
  </si>
  <si>
    <t>2026-07-08T12:59:49+05:30</t>
  </si>
  <si>
    <t>2026-07-08T16:00:02+05:30</t>
  </si>
  <si>
    <t>xcd5vk11m59n3gl@marketplace.amazon.in</t>
  </si>
  <si>
    <t>405-8515989-0205118</t>
  </si>
  <si>
    <t>T11G1XNL4</t>
  </si>
  <si>
    <t>DhWtM9tPcm0NR</t>
  </si>
  <si>
    <t>2026-07-07T20:40:02+05:30</t>
  </si>
  <si>
    <t>2026-07-08T12:55:45+05:30</t>
  </si>
  <si>
    <t>2026-07-08T12:55:48+05:30</t>
  </si>
  <si>
    <t>2026-07-08T13:56:00+05:30</t>
  </si>
  <si>
    <t>0x3n3grndkvjv2d@marketplace.amazon.in</t>
  </si>
  <si>
    <t>407-0645861-2419549</t>
  </si>
  <si>
    <t>T1z0yZ814</t>
  </si>
  <si>
    <t>DqFm1ftVcc0mR</t>
  </si>
  <si>
    <t>2026-07-04T11:07:44+05:30</t>
  </si>
  <si>
    <t>2026-07-08T12:48:55+05:30</t>
  </si>
  <si>
    <t>2026-07-08T15:49:07+05:30</t>
  </si>
  <si>
    <t>27k71dh8brkfb10@marketplace.amazon.in</t>
  </si>
  <si>
    <t>405-1331124-9789963</t>
  </si>
  <si>
    <t>T6wQG8ms4</t>
  </si>
  <si>
    <t>D3JWMhtbc30fR</t>
  </si>
  <si>
    <t>2026-07-06T08:46:46+05:30</t>
  </si>
  <si>
    <t>2026-07-08T12:48:51+05:30</t>
  </si>
  <si>
    <t>2026-07-08T15:49:05+05:30</t>
  </si>
  <si>
    <t>7t9ng0p1dhrkbc2@marketplace.amazon.in</t>
  </si>
  <si>
    <t>NAGAPATTINAM</t>
  </si>
  <si>
    <t>171-9012099-4577942</t>
  </si>
  <si>
    <t>TXKJ5q4p4</t>
  </si>
  <si>
    <t>DrgX1wtMcJ0qR</t>
  </si>
  <si>
    <t>2026-07-07T22:56:57+05:30</t>
  </si>
  <si>
    <t>2026-07-08T12:48:48+05:30</t>
  </si>
  <si>
    <t>2026-07-08T15:49:00+05:30</t>
  </si>
  <si>
    <t>kn8xmtnh25q2ff8@marketplace.amazon.in</t>
  </si>
  <si>
    <t>MANESAR</t>
  </si>
  <si>
    <t>407-4142348-9349932</t>
  </si>
  <si>
    <t>T6pCcZ824</t>
  </si>
  <si>
    <t>DxgJ1YtzcJ0qR</t>
  </si>
  <si>
    <t>2026-07-04T10:48:37+05:30</t>
  </si>
  <si>
    <t>2026-07-08T12:46:54+05:30</t>
  </si>
  <si>
    <t>2026-07-08T15:47:08+05:30</t>
  </si>
  <si>
    <t>ldy2k4gymwjcqwg@marketplace.amazon.in</t>
  </si>
  <si>
    <t>402-8220390-1557957</t>
  </si>
  <si>
    <t>Tc7zf6kt4</t>
  </si>
  <si>
    <t>DH721Jthc30tR</t>
  </si>
  <si>
    <t>2026-07-06T17:53:55+05:30</t>
  </si>
  <si>
    <t>2026-07-08T12:41:50+05:30</t>
  </si>
  <si>
    <t>2026-07-08T15:42:02+05:30</t>
  </si>
  <si>
    <t>vjbqqjzbhbsdzc5@marketplace.amazon.in</t>
  </si>
  <si>
    <t>Duttapukur</t>
  </si>
  <si>
    <t>406-4001567-9553155</t>
  </si>
  <si>
    <t>TN95r24z4</t>
  </si>
  <si>
    <t>DNM3r8t7cV0SR</t>
  </si>
  <si>
    <t>2026-07-07T15:26:22+05:30</t>
  </si>
  <si>
    <t>2026-07-08T12:28:50+05:30</t>
  </si>
  <si>
    <t>2026-07-08T15:29:06+05:30</t>
  </si>
  <si>
    <t>7k6k7jc6n0c6wwp@marketplace.amazon.in</t>
  </si>
  <si>
    <t>402-3040618-4042746</t>
  </si>
  <si>
    <t>TnChXq4V4</t>
  </si>
  <si>
    <t>D2fMrGt6cZ0CR</t>
  </si>
  <si>
    <t>2026-07-07T22:46:15+05:30</t>
  </si>
  <si>
    <t>2026-07-08T12:21:47+05:30</t>
  </si>
  <si>
    <t>2026-07-08T15:22:00+05:30</t>
  </si>
  <si>
    <t>q14s7yz6c029j4k@marketplace.amazon.in</t>
  </si>
  <si>
    <t>402-1905814-7161158</t>
  </si>
  <si>
    <t>TCCG0sNx4</t>
  </si>
  <si>
    <t>Dsf5rxtvcZ0CR</t>
  </si>
  <si>
    <t>2026-07-08T08:38:46+05:30</t>
  </si>
  <si>
    <t>2026-07-08T12:18:46+05:30</t>
  </si>
  <si>
    <t>2026-07-08T15:19:00+05:30</t>
  </si>
  <si>
    <t>cjh7r48mp1y5vvb@marketplace.amazon.in</t>
  </si>
  <si>
    <t>408-5681341-0859520</t>
  </si>
  <si>
    <t>TncgZfyx4</t>
  </si>
  <si>
    <t>DBlD76t0cZ0TR</t>
  </si>
  <si>
    <t>2026-07-06T19:24:07+05:30</t>
  </si>
  <si>
    <t>2026-07-08T12:02:51+05:30</t>
  </si>
  <si>
    <t>2026-07-08T15:03:14+05:30</t>
  </si>
  <si>
    <t>thty9x6zcxyzlrx@marketplace.amazon.in</t>
  </si>
  <si>
    <t>MELUR</t>
  </si>
  <si>
    <t>405-9406415-5146747</t>
  </si>
  <si>
    <t>TVK5SvN84</t>
  </si>
  <si>
    <t>DrB4sHtFcg0sR</t>
  </si>
  <si>
    <t>2026-07-08T06:59:07+05:30</t>
  </si>
  <si>
    <t>2026-07-08T11:39:51+05:30</t>
  </si>
  <si>
    <t>2026-07-08T14:40:08+05:30</t>
  </si>
  <si>
    <t>0rsqqjsthrpw74b@marketplace.amazon.in</t>
  </si>
  <si>
    <t>406-8056021-5890754</t>
  </si>
  <si>
    <t>TX1sDwNm4</t>
  </si>
  <si>
    <t>DNhtsKt0cK0wR</t>
  </si>
  <si>
    <t>2026-07-08T03:12:04+05:30</t>
  </si>
  <si>
    <t>2026-07-08T11:29:41+05:30</t>
  </si>
  <si>
    <t>2026-07-08T14:29:52+05:30</t>
  </si>
  <si>
    <t>5g1yj16cwp2ps9t@marketplace.amazon.in</t>
  </si>
  <si>
    <t>171-9259226-8816334</t>
  </si>
  <si>
    <t>TcN4pPNS4</t>
  </si>
  <si>
    <t>DPh0s6t3cK0wR</t>
  </si>
  <si>
    <t>2026-07-08T09:38:39+05:30</t>
  </si>
  <si>
    <t>2026-07-08T11:28:43+05:30</t>
  </si>
  <si>
    <t>2026-07-08T14:28:59+05:30</t>
  </si>
  <si>
    <t>x84kfm7km50v535@marketplace.amazon.in</t>
  </si>
  <si>
    <t>404-7587587-5058712</t>
  </si>
  <si>
    <t>Tgmb5KkW4</t>
  </si>
  <si>
    <t>DdVVQ2tMcD00R</t>
  </si>
  <si>
    <t>2026-07-06T17:44:04+05:30</t>
  </si>
  <si>
    <t>2026-07-08T11:15:44+05:30</t>
  </si>
  <si>
    <t>2026-07-08T14:15:56+05:30</t>
  </si>
  <si>
    <t>ymj8rzpjjpqkvxx@marketplace.amazon.in</t>
  </si>
  <si>
    <t>404-6368616-0850763</t>
  </si>
  <si>
    <t>TVlVl9NV4</t>
  </si>
  <si>
    <t>DM6zcttTcg0bR</t>
  </si>
  <si>
    <t>2026-07-08T08:00:42+05:30</t>
  </si>
  <si>
    <t>2026-07-08T10:57:47+05:30</t>
  </si>
  <si>
    <t>2026-07-08T13:58:01+05:30</t>
  </si>
  <si>
    <t>g4kch2jx2yl0k3b@marketplace.amazon.in</t>
  </si>
  <si>
    <t>408-5899643-9989934</t>
  </si>
  <si>
    <t>TXNxDkjt4</t>
  </si>
  <si>
    <t>DrFqvHtxch0TR</t>
  </si>
  <si>
    <t>2026-07-05T20:34:32+05:30</t>
  </si>
  <si>
    <t>2026-07-08T10:46:48+05:30</t>
  </si>
  <si>
    <t>2026-07-08T13:50:26+05:30</t>
  </si>
  <si>
    <t>408-8893849-5523502</t>
  </si>
  <si>
    <t>TG2htPNG4</t>
  </si>
  <si>
    <t>DT2nvKtKcN00R</t>
  </si>
  <si>
    <t>2026-07-08T07:26:54+05:30</t>
  </si>
  <si>
    <t>2026-07-08T10:42:44+05:30</t>
  </si>
  <si>
    <t>2026-07-08T13:42:58+05:30</t>
  </si>
  <si>
    <t>zd5c7mslws69n9z@marketplace.amazon.in</t>
  </si>
  <si>
    <t>402-1980461-0466762</t>
  </si>
  <si>
    <t>TX9Ng9494</t>
  </si>
  <si>
    <t>DK2gv5tdcN00R</t>
  </si>
  <si>
    <t>2026-07-07T22:53:03+05:30</t>
  </si>
  <si>
    <t>2026-07-08T10:41:43+05:30</t>
  </si>
  <si>
    <t>2026-07-08T10:41:46+05:30</t>
  </si>
  <si>
    <t>2026-07-08T11:42:01+05:30</t>
  </si>
  <si>
    <t>zz530rt3gyvc12p@marketplace.amazon.in</t>
  </si>
  <si>
    <t>402-8873273-5030733</t>
  </si>
  <si>
    <t>Twcbsj4C4</t>
  </si>
  <si>
    <t>D86gv8tccN0VR</t>
  </si>
  <si>
    <t>2026-07-07T20:00:08+05:30</t>
  </si>
  <si>
    <t>2026-07-08T10:36:47+05:30</t>
  </si>
  <si>
    <t>2026-07-08T10:36:50+05:30</t>
  </si>
  <si>
    <t>2026-07-08T11:37:04+05:30</t>
  </si>
  <si>
    <t>31kw7dplxbkmgyz@marketplace.amazon.in</t>
  </si>
  <si>
    <t>402-7822172-9181965</t>
  </si>
  <si>
    <t>TnypX44q4</t>
  </si>
  <si>
    <t>DgljvYtScV0FR</t>
  </si>
  <si>
    <t>2026-07-07T09:56:41+05:30</t>
  </si>
  <si>
    <t>2026-07-08T10:36:42+05:30</t>
  </si>
  <si>
    <t>2026-07-08T10:36:46+05:30</t>
  </si>
  <si>
    <t>2026-07-08T11:36:59+05:30</t>
  </si>
  <si>
    <t>382pynw9jpv3pn2@marketplace.amazon.in</t>
  </si>
  <si>
    <t>171-6380139-5225157</t>
  </si>
  <si>
    <t>TcKjJ4kd4</t>
  </si>
  <si>
    <t>DBqQvLtyc30bR</t>
  </si>
  <si>
    <t>2026-07-06T15:29:07+05:30</t>
  </si>
  <si>
    <t>2026-07-08T10:35:48+05:30</t>
  </si>
  <si>
    <t>2026-07-08T13:36:00+05:30</t>
  </si>
  <si>
    <t>5412g2t15wt2dsz@marketplace.amazon.in</t>
  </si>
  <si>
    <t>407-5389820-4833144</t>
  </si>
  <si>
    <t>TgR2TL4n4</t>
  </si>
  <si>
    <t>DKqKvqtCcT04R</t>
  </si>
  <si>
    <t>2026-07-06T02:40:52+05:30</t>
  </si>
  <si>
    <t>2026-07-08T10:31:14+05:30</t>
  </si>
  <si>
    <t>2026-07-08T13:32:15+05:30</t>
  </si>
  <si>
    <t>7l4425yfg4c4r67@marketplace.amazon.in</t>
  </si>
  <si>
    <t>406-6757903-5177950</t>
  </si>
  <si>
    <t>T625ZR4h4</t>
  </si>
  <si>
    <t>DQwyzQt6cg0RR</t>
  </si>
  <si>
    <t>2026-07-07T14:19:37+05:30</t>
  </si>
  <si>
    <t>2026-07-08T10:23:47+05:30</t>
  </si>
  <si>
    <t>2026-07-08T13:24:00+05:30</t>
  </si>
  <si>
    <t>0xlmfmfyt8gdp1w@marketplace.amazon.in</t>
  </si>
  <si>
    <t>406-0785501-7762700</t>
  </si>
  <si>
    <t>T6R0Rq434</t>
  </si>
  <si>
    <t>D09mz4tFcS0wR</t>
  </si>
  <si>
    <t>2026-07-07T15:40:40+05:30</t>
  </si>
  <si>
    <t>2026-07-08T10:21:44+05:30</t>
  </si>
  <si>
    <t>2026-07-08T13:21:56+05:30</t>
  </si>
  <si>
    <t>cmpxkfsyvbj5jrc@marketplace.amazon.in</t>
  </si>
  <si>
    <t>404-9730920-7981942</t>
  </si>
  <si>
    <t>TcH7pCNG4</t>
  </si>
  <si>
    <t>Dh0WzStnc00mR</t>
  </si>
  <si>
    <t>2026-07-08T08:02:43+05:30</t>
  </si>
  <si>
    <t>2026-07-08T10:16:43+05:30</t>
  </si>
  <si>
    <t>2026-07-08T13:16:57+05:30</t>
  </si>
  <si>
    <t>m7gywjvwvmf8zy5@marketplace.amazon.in</t>
  </si>
  <si>
    <t>402-3201576-7285916</t>
  </si>
  <si>
    <t>Tg7p6M4F4</t>
  </si>
  <si>
    <t>D41sVZt5c20QR</t>
  </si>
  <si>
    <t>2026-07-07T21:38:13+05:30</t>
  </si>
  <si>
    <t>2026-07-08T10:09:42+05:30</t>
  </si>
  <si>
    <t>2026-07-08T13:09:56+05:30</t>
  </si>
  <si>
    <t>wb5xct8wqy17f10@marketplace.amazon.in</t>
  </si>
  <si>
    <t>DHULE</t>
  </si>
  <si>
    <t>405-3477099-0646735</t>
  </si>
  <si>
    <t>TNqM90DF4</t>
  </si>
  <si>
    <t>DYMmVSt9cx0BR</t>
  </si>
  <si>
    <t>2026-07-04T18:18:14+05:30</t>
  </si>
  <si>
    <t>2026-07-08T10:05:48+05:30</t>
  </si>
  <si>
    <t>2026-07-08T13:06:00+05:30</t>
  </si>
  <si>
    <t>7v6yxp18flh6yh0@marketplace.amazon.in</t>
  </si>
  <si>
    <t>404-5699914-4849962</t>
  </si>
  <si>
    <t>TJjrStyb4</t>
  </si>
  <si>
    <t>DghcVHt4cQ0WR</t>
  </si>
  <si>
    <t>2026-07-07T14:44:31+05:30</t>
  </si>
  <si>
    <t>2026-07-08T10:03:48+05:30</t>
  </si>
  <si>
    <t>2026-07-08T13:04:01+05:30</t>
  </si>
  <si>
    <t>rs8tmtl65npqpc8@marketplace.amazon.in</t>
  </si>
  <si>
    <t>402-8792757-8494737</t>
  </si>
  <si>
    <t>Tc3lCv4k4</t>
  </si>
  <si>
    <t>DPndVHtYcc00R</t>
  </si>
  <si>
    <t>2026-07-07T22:50:25+05:30</t>
  </si>
  <si>
    <t>2026-07-08T09:59:44+05:30</t>
  </si>
  <si>
    <t>2026-07-08T12:59:58+05:30</t>
  </si>
  <si>
    <t>r3vxbt681vqpcbb@marketplace.amazon.in</t>
  </si>
  <si>
    <t>404-2570794-2015541</t>
  </si>
  <si>
    <t>TGHz01N44</t>
  </si>
  <si>
    <t>DHXv21tzc40CR</t>
  </si>
  <si>
    <t>2026-07-08T07:24:19+05:30</t>
  </si>
  <si>
    <t>2026-07-08T09:54:45+05:30</t>
  </si>
  <si>
    <t>2026-07-08T09:54:49+05:30</t>
  </si>
  <si>
    <t>2026-07-08T10:55:01+05:30</t>
  </si>
  <si>
    <t>pgfv4bqg2fs7fyr@marketplace.amazon.in</t>
  </si>
  <si>
    <t>403-3784297-3297166</t>
  </si>
  <si>
    <t>TCpGt0NP4</t>
  </si>
  <si>
    <t>DKm12FtNcy07R</t>
  </si>
  <si>
    <t>2026-07-08T06:45:59+05:30</t>
  </si>
  <si>
    <t>2026-07-08T09:51:46+05:30</t>
  </si>
  <si>
    <t>2026-07-08T12:52:00+05:30</t>
  </si>
  <si>
    <t>p7w4qmnl4bz5bww@marketplace.amazon.in</t>
  </si>
  <si>
    <t>403-7948591-3984354</t>
  </si>
  <si>
    <t>TXmdcN1Z4</t>
  </si>
  <si>
    <t>DHG72rt2cJ09R</t>
  </si>
  <si>
    <t>2026-07-05T14:25:28+05:30</t>
  </si>
  <si>
    <t>2026-07-08T09:44:44+05:30</t>
  </si>
  <si>
    <t>2026-07-08T12:44:56+05:30</t>
  </si>
  <si>
    <t>yj8w3f7z6kfhswz@marketplace.amazon.in</t>
  </si>
  <si>
    <t>402-5856058-9244358</t>
  </si>
  <si>
    <t>T1d956DN4</t>
  </si>
  <si>
    <t>Dn7NFftlcV0CR</t>
  </si>
  <si>
    <t>2026-07-05T00:00:48+05:30</t>
  </si>
  <si>
    <t>2026-07-08T09:39:53+05:30</t>
  </si>
  <si>
    <t>2026-07-08T12:40:18+05:30</t>
  </si>
  <si>
    <t>12cqdq88ktv00dp@marketplace.amazon.in</t>
  </si>
  <si>
    <t>408-6755955-1421116</t>
  </si>
  <si>
    <t>TNG0j0gY4</t>
  </si>
  <si>
    <t>DgtJFzt1c50fR</t>
  </si>
  <si>
    <t>2026-07-04T09:40:42+05:30</t>
  </si>
  <si>
    <t>2026-07-08T09:33:51+05:30</t>
  </si>
  <si>
    <t>2026-07-08T12:34:06+05:30</t>
  </si>
  <si>
    <t>8w508dptt9ws8w3@marketplace.amazon.in</t>
  </si>
  <si>
    <t>VIRAJPETE</t>
  </si>
  <si>
    <t>405-3771699-1897954</t>
  </si>
  <si>
    <t>TcsK5l3C4</t>
  </si>
  <si>
    <t>Dk9vYrtBcz0WR</t>
  </si>
  <si>
    <t>2026-07-05T19:03:38+05:30</t>
  </si>
  <si>
    <t>2026-07-08T09:05:49+05:30</t>
  </si>
  <si>
    <t>2026-07-08T09:05:53+05:30</t>
  </si>
  <si>
    <t>2026-07-08T10:06:05+05:30</t>
  </si>
  <si>
    <t>2zrlgw1k6m4hwxr@marketplace.amazon.in</t>
  </si>
  <si>
    <t>Doomdooma</t>
  </si>
  <si>
    <t>407-9473660-3017940</t>
  </si>
  <si>
    <t>TGtxVsyy4</t>
  </si>
  <si>
    <t>D6BGY1t7cR03R</t>
  </si>
  <si>
    <t>2026-07-06T18:49:14+05:30</t>
  </si>
  <si>
    <t>2026-07-08T09:02:45+05:30</t>
  </si>
  <si>
    <t>2026-07-08T09:02:48+05:30</t>
  </si>
  <si>
    <t>2026-07-08T10:02:59+05:30</t>
  </si>
  <si>
    <t>skpv66d7lsmqb04@marketplace.amazon.in</t>
  </si>
  <si>
    <t>405-9488662-3458767</t>
  </si>
  <si>
    <t>T6hWPm4K4</t>
  </si>
  <si>
    <t>Dd6lyCt9c60JR</t>
  </si>
  <si>
    <t>2026-07-07T21:09:03+05:30</t>
  </si>
  <si>
    <t>2026-07-08T08:50:45+05:30</t>
  </si>
  <si>
    <t>2026-07-08T11:50:57+05:30</t>
  </si>
  <si>
    <t>157zrp88bb7zpd4@marketplace.amazon.in</t>
  </si>
  <si>
    <t>405-6078928-9939549</t>
  </si>
  <si>
    <t>TnChCD424</t>
  </si>
  <si>
    <t>D3B4B9tjcW0QR</t>
  </si>
  <si>
    <t>2026-07-07T23:12:37+05:30</t>
  </si>
  <si>
    <t>2026-07-08T08:28:45+05:30</t>
  </si>
  <si>
    <t>2026-07-08T11:28:56+05:30</t>
  </si>
  <si>
    <t>8vndp6t5xzz61rt@marketplace.amazon.in</t>
  </si>
  <si>
    <t>407-7673755-7949928</t>
  </si>
  <si>
    <t>TNrrZykV4</t>
  </si>
  <si>
    <t>DjPwZkbvc00kR</t>
  </si>
  <si>
    <t>2026-07-06T17:29:51+05:30</t>
  </si>
  <si>
    <t>2026-07-08T04:49:53+05:30</t>
  </si>
  <si>
    <t>2026-07-08T07:50:03+05:30</t>
  </si>
  <si>
    <t>tl8rv8bh0hywxxd@marketplace.amazon.in</t>
  </si>
  <si>
    <t>DELWARA</t>
  </si>
  <si>
    <t>408-8053574-6193169</t>
  </si>
  <si>
    <t>TnxSVM8T4</t>
  </si>
  <si>
    <t>DkBX5db2c80WR</t>
  </si>
  <si>
    <t>2026-07-04T11:55:30+05:30</t>
  </si>
  <si>
    <t>2026-07-08T04:28:47+05:30</t>
  </si>
  <si>
    <t>2026-07-08T07:28:59+05:30</t>
  </si>
  <si>
    <t>OLD GOA NORTH GOA</t>
  </si>
  <si>
    <t>408-9941149-9494733</t>
  </si>
  <si>
    <t>T1q9nzyM4</t>
  </si>
  <si>
    <t>DMVM5RbNcK04R</t>
  </si>
  <si>
    <t>2026-07-06T18:58:56+05:30</t>
  </si>
  <si>
    <t>2026-07-08T04:22:25+05:30</t>
  </si>
  <si>
    <t>2026-07-08T04:22:31+05:30</t>
  </si>
  <si>
    <t>2026-07-08T05:22:44+05:30</t>
  </si>
  <si>
    <t>1w2897psxyfzgty@marketplace.amazon.in</t>
  </si>
  <si>
    <t>OZAR</t>
  </si>
  <si>
    <t>SF000000341523AMZ</t>
  </si>
  <si>
    <t>406-4912739-9045115</t>
  </si>
  <si>
    <t>TnnsJP4t4</t>
  </si>
  <si>
    <t>D4vbgTbbck0WR</t>
  </si>
  <si>
    <t>2026-07-07T19:35:43+05:30</t>
  </si>
  <si>
    <t>2026-07-08T04:17:47+05:30</t>
  </si>
  <si>
    <t>2026-07-08T07:17:59+05:30</t>
  </si>
  <si>
    <t>30fmsslc3brshdr@marketplace.amazon.in</t>
  </si>
  <si>
    <t>CHENNAI 600116</t>
  </si>
  <si>
    <t>171-7537113-6786704</t>
  </si>
  <si>
    <t>TCxVS1ml4</t>
  </si>
  <si>
    <t>D8NXgjbGcy0hR</t>
  </si>
  <si>
    <t>2026-07-05T16:51:24+05:30</t>
  </si>
  <si>
    <t>2026-07-08T04:11:44+05:30</t>
  </si>
  <si>
    <t>2026-07-08T07:11:57+05:30</t>
  </si>
  <si>
    <t>4wc29nd345tvfd5@marketplace.amazon.in</t>
  </si>
  <si>
    <t>171-2926516-2992330</t>
  </si>
  <si>
    <t>TcnsLJ474</t>
  </si>
  <si>
    <t>DG7F8lbJcd0BR</t>
  </si>
  <si>
    <t>2026-07-07T19:42:04+05:30</t>
  </si>
  <si>
    <t>2026-07-08T03:50:39+05:30</t>
  </si>
  <si>
    <t>2026-07-08T03:50:42+05:30</t>
  </si>
  <si>
    <t>2026-07-08T04:50:52+05:30</t>
  </si>
  <si>
    <t>0vpxhg9dp3qjrtp@marketplace.amazon.in</t>
  </si>
  <si>
    <t>171-0698691-4281908</t>
  </si>
  <si>
    <t>TNh5553p4</t>
  </si>
  <si>
    <t>DK798wbJcd0BR</t>
  </si>
  <si>
    <t>2026-07-06T23:06:16+05:30</t>
  </si>
  <si>
    <t>2026-07-08T06:50:54+05:30</t>
  </si>
  <si>
    <t>fk4kkpm7khs8j3b@marketplace.amazon.in</t>
  </si>
  <si>
    <t>VADDESWARAM</t>
  </si>
  <si>
    <t>406-4762546-4190755</t>
  </si>
  <si>
    <t>Tg3Bv71D4</t>
  </si>
  <si>
    <t>DTP08bbzcg03R</t>
  </si>
  <si>
    <t>2026-07-05T15:50:14+05:30</t>
  </si>
  <si>
    <t>2026-07-08T03:38:46+05:30</t>
  </si>
  <si>
    <t>2026-07-08T03:38:50+05:30</t>
  </si>
  <si>
    <t>2026-07-08T04:39:02+05:30</t>
  </si>
  <si>
    <t>zn1nbskn730bmj7@marketplace.amazon.in</t>
  </si>
  <si>
    <t>Kalyan East-421306</t>
  </si>
  <si>
    <t>407-5747704-4001901</t>
  </si>
  <si>
    <t>TgJBdSFB4</t>
  </si>
  <si>
    <t>DR8gXKbCcb06R</t>
  </si>
  <si>
    <t>2026-07-07T04:57:48+05:30</t>
  </si>
  <si>
    <t>2026-07-08T03:34:48+05:30</t>
  </si>
  <si>
    <t>2026-07-08T03:34:52+05:30</t>
  </si>
  <si>
    <t>2026-07-08T04:35:11+05:30</t>
  </si>
  <si>
    <t>bdzsqzyntqq2nqj@marketplace.amazon.in</t>
  </si>
  <si>
    <t>403-2699590-6286733</t>
  </si>
  <si>
    <t>TCV0vvyL4</t>
  </si>
  <si>
    <t>D2MyX2b4cT0gR</t>
  </si>
  <si>
    <t>2026-07-07T11:26:52+05:30</t>
  </si>
  <si>
    <t>2026-07-08T03:33:42+05:30</t>
  </si>
  <si>
    <t>2026-07-08T06:33:54+05:30</t>
  </si>
  <si>
    <t>1fp01w18d6jfj0y@marketplace.amazon.in</t>
  </si>
  <si>
    <t>408-1436135-9391550</t>
  </si>
  <si>
    <t>TJMH0RkT4</t>
  </si>
  <si>
    <t>DwCyXjbmcG0QR</t>
  </si>
  <si>
    <t>2026-07-06T16:24:07+05:30</t>
  </si>
  <si>
    <t>2026-07-08T03:29:47+05:30</t>
  </si>
  <si>
    <t>2026-07-08T06:30:02+05:30</t>
  </si>
  <si>
    <t>wrfl07f0w6g1fxb@marketplace.amazon.in</t>
  </si>
  <si>
    <t>404-2718637-5901117</t>
  </si>
  <si>
    <t>TNlvtJj24</t>
  </si>
  <si>
    <t>DPxGXybxc70DR</t>
  </si>
  <si>
    <t>2026-07-05T22:58:50+05:30</t>
  </si>
  <si>
    <t>2026-07-08T03:27:42+05:30</t>
  </si>
  <si>
    <t>2026-07-08T06:27:54+05:30</t>
  </si>
  <si>
    <t>x6880db637t01jr@marketplace.amazon.in</t>
  </si>
  <si>
    <t>405-0362425-3433944</t>
  </si>
  <si>
    <t>TGF7VRk64</t>
  </si>
  <si>
    <t>DQKPCgbPch0VR</t>
  </si>
  <si>
    <t>2026-07-06T13:37:37+05:30</t>
  </si>
  <si>
    <t>2026-07-08T03:23:46+05:30</t>
  </si>
  <si>
    <t>2026-07-08T03:23:51+05:30</t>
  </si>
  <si>
    <t>2026-07-08T04:24:03+05:30</t>
  </si>
  <si>
    <t>vq9lmy1sfvvd2p5@marketplace.amazon.in</t>
  </si>
  <si>
    <t>MALAPPURAM</t>
  </si>
  <si>
    <t>406-1975944-9576362</t>
  </si>
  <si>
    <t>Twj4PwjS4</t>
  </si>
  <si>
    <t>D5tpC1bqcv0qR</t>
  </si>
  <si>
    <t>2026-07-05T23:17:15+05:30</t>
  </si>
  <si>
    <t>2026-07-08T03:17:48+05:30</t>
  </si>
  <si>
    <t>2026-07-08T06:18:01+05:30</t>
  </si>
  <si>
    <t>zwlhvyk6pvtqsq5@marketplace.amazon.in</t>
  </si>
  <si>
    <t>AMMADAM</t>
  </si>
  <si>
    <t>404-4750464-8393108</t>
  </si>
  <si>
    <t>Tg6sGx484</t>
  </si>
  <si>
    <t>DYM6C7bNcR0hR</t>
  </si>
  <si>
    <t>2026-07-07T20:22:35+05:30</t>
  </si>
  <si>
    <t>2026-07-08T03:15:45+05:30</t>
  </si>
  <si>
    <t>2026-07-08T06:15:56+05:30</t>
  </si>
  <si>
    <t>28fl6k5mdg1w2n7@marketplace.amazon.in</t>
  </si>
  <si>
    <t>407-4150739-3481957</t>
  </si>
  <si>
    <t>TNgG7Cj64</t>
  </si>
  <si>
    <t>DZGhC8b0c20nR</t>
  </si>
  <si>
    <t>2026-07-05T22:44:35+05:30</t>
  </si>
  <si>
    <t>2026-07-08T03:13:45+05:30</t>
  </si>
  <si>
    <t>2026-07-08T06:13:59+05:30</t>
  </si>
  <si>
    <t>wffqmzyyy7bg4f6@marketplace.amazon.in</t>
  </si>
  <si>
    <t>402-3351241-4998736</t>
  </si>
  <si>
    <t>Tn0KgZmW4</t>
  </si>
  <si>
    <t>DHMKp4b7cW0gR</t>
  </si>
  <si>
    <t>2026-07-06T10:50:00+05:30</t>
  </si>
  <si>
    <t>2026-07-08T03:02:46+05:30</t>
  </si>
  <si>
    <t>2026-07-08T06:02:58+05:30</t>
  </si>
  <si>
    <t>qtkpwbwh31fq27j@marketplace.amazon.in</t>
  </si>
  <si>
    <t>UDUMBANCHOLA</t>
  </si>
  <si>
    <t>403-5910202-9244354</t>
  </si>
  <si>
    <t>T6H8P08W4</t>
  </si>
  <si>
    <t>DmJ5pxb3c50DR</t>
  </si>
  <si>
    <t>2026-07-04T11:47:46+05:30</t>
  </si>
  <si>
    <t>2026-07-08T02:51:56+05:30</t>
  </si>
  <si>
    <t>2026-07-08T05:52:15+05:30</t>
  </si>
  <si>
    <t>kdjd61n9p6dzlpf@marketplace.amazon.in</t>
  </si>
  <si>
    <t>406-9440637-5233158</t>
  </si>
  <si>
    <t>TGrNWn434</t>
  </si>
  <si>
    <t>D99qWNbHcq0VR</t>
  </si>
  <si>
    <t>2026-07-07T21:12:09+05:30</t>
  </si>
  <si>
    <t>2026-07-08T02:43:43+05:30</t>
  </si>
  <si>
    <t>2026-07-08T05:43:57+05:30</t>
  </si>
  <si>
    <t>bv5lr4509frt994@marketplace.amazon.in</t>
  </si>
  <si>
    <t>406-5584483-8426739</t>
  </si>
  <si>
    <t>TJmkT0jv4</t>
  </si>
  <si>
    <t>DHVfWjbscn00R</t>
  </si>
  <si>
    <t>2026-07-05T22:50:04+05:30</t>
  </si>
  <si>
    <t>2026-07-08T02:40:44+05:30</t>
  </si>
  <si>
    <t>2026-07-08T05:40:56+05:30</t>
  </si>
  <si>
    <t>vtjy5cghrwrbgtg@marketplace.amazon.in</t>
  </si>
  <si>
    <t>MUGHALSARAI</t>
  </si>
  <si>
    <t>171-8647485-0794715</t>
  </si>
  <si>
    <t>Tc5ylZ104</t>
  </si>
  <si>
    <t>DSRLWsbPch03R</t>
  </si>
  <si>
    <t>2026-07-05T17:50:33+05:30</t>
  </si>
  <si>
    <t>2026-07-08T02:36:45+05:30</t>
  </si>
  <si>
    <t>2026-07-08T05:36:59+05:30</t>
  </si>
  <si>
    <t>tkd6fksvg4zz02x@marketplace.amazon.in</t>
  </si>
  <si>
    <t>407-5355038-6629159</t>
  </si>
  <si>
    <t>TJP8Sk4M4</t>
  </si>
  <si>
    <t>DKh6KsbgcV0hR</t>
  </si>
  <si>
    <t>2026-07-07T21:32:07+05:30</t>
  </si>
  <si>
    <t>2026-07-08T02:27:46+05:30</t>
  </si>
  <si>
    <t>2026-07-08T05:27:58+05:30</t>
  </si>
  <si>
    <t>pgsy8szs2wnc5tx@marketplace.amazon.in</t>
  </si>
  <si>
    <t>405-0724063-5331520</t>
  </si>
  <si>
    <t>Tgs10yyT4</t>
  </si>
  <si>
    <t>DzY0Kdb5cH0gR</t>
  </si>
  <si>
    <t>2026-07-07T15:07:06+05:30</t>
  </si>
  <si>
    <t>2026-07-08T02:25:52+05:30</t>
  </si>
  <si>
    <t>2026-07-08T05:26:05+05:30</t>
  </si>
  <si>
    <t>3p26r5qpgjrxbjd@marketplace.amazon.in</t>
  </si>
  <si>
    <t>407-9225062-7126763</t>
  </si>
  <si>
    <t>T6PCzH1w4</t>
  </si>
  <si>
    <t>DRY0Kjb5cH0gR</t>
  </si>
  <si>
    <t>2026-07-05T15:18:05+05:30</t>
  </si>
  <si>
    <t>2026-07-08T02:25:49+05:30</t>
  </si>
  <si>
    <t>2026-07-08T05:26:07+05:30</t>
  </si>
  <si>
    <t>g9xr6xmmffsqg63@marketplace.amazon.in</t>
  </si>
  <si>
    <t>404-9357617-4529160</t>
  </si>
  <si>
    <t>T6h34sD44</t>
  </si>
  <si>
    <t>DQhPKjbncV0hR</t>
  </si>
  <si>
    <t>2026-07-04T18:25:08+05:30</t>
  </si>
  <si>
    <t>2026-07-08T02:23:49+05:30</t>
  </si>
  <si>
    <t>2026-07-08T05:24:00+05:30</t>
  </si>
  <si>
    <t>8gfh03zz6wzsc79@marketplace.amazon.in</t>
  </si>
  <si>
    <t>171-8687305-0819519</t>
  </si>
  <si>
    <t>TwlgfgmH4</t>
  </si>
  <si>
    <t>Dt2Ympb4cf07R</t>
  </si>
  <si>
    <t>2026-07-06T11:36:18+05:30</t>
  </si>
  <si>
    <t>2026-07-08T02:10:46+05:30</t>
  </si>
  <si>
    <t>2026-07-08T05:10:58+05:30</t>
  </si>
  <si>
    <t>9d3r1lg18qmqzh7@marketplace.amazon.in</t>
  </si>
  <si>
    <t>SIKKA</t>
  </si>
  <si>
    <t>406-2057023-5215547</t>
  </si>
  <si>
    <t>TwC7RSjW4</t>
  </si>
  <si>
    <t>DgmNmDbbcm0XR</t>
  </si>
  <si>
    <t>2026-07-05T19:27:08+05:30</t>
  </si>
  <si>
    <t>2026-07-08T02:09:42+05:30</t>
  </si>
  <si>
    <t>2026-07-08T02:09:47+05:30</t>
  </si>
  <si>
    <t>2026-07-08T03:10:00+05:30</t>
  </si>
  <si>
    <t>gznmqc689r2kg3l@marketplace.amazon.in</t>
  </si>
  <si>
    <t>171-1921018-9893129</t>
  </si>
  <si>
    <t>TwCJbGj74</t>
  </si>
  <si>
    <t>D2qBm2bXcS0wR</t>
  </si>
  <si>
    <t>2026-07-05T19:27:18+05:30</t>
  </si>
  <si>
    <t>2026-07-08T02:00:44+05:30</t>
  </si>
  <si>
    <t>2026-07-08T02:00:49+05:30</t>
  </si>
  <si>
    <t>2026-07-08T03:01:03+05:30</t>
  </si>
  <si>
    <t>3j4gb67dwx6sfb1@marketplace.amazon.in</t>
  </si>
  <si>
    <t>171-0406623-6165166</t>
  </si>
  <si>
    <t>TgrXmCjJ4</t>
  </si>
  <si>
    <t>DhtJlGbXcT0mR</t>
  </si>
  <si>
    <t>2026-07-05T23:57:10+05:30</t>
  </si>
  <si>
    <t>2026-07-08T01:51:45+05:30</t>
  </si>
  <si>
    <t>2026-07-08T04:51:58+05:30</t>
  </si>
  <si>
    <t>j5dkyrr950p3j7s@marketplace.amazon.in</t>
  </si>
  <si>
    <t>402-1372647-9740329</t>
  </si>
  <si>
    <t>TwBlyq3M4</t>
  </si>
  <si>
    <t>DG5r09b7cW0PR</t>
  </si>
  <si>
    <t>2026-07-06T19:41:30+05:30</t>
  </si>
  <si>
    <t>2026-07-08T01:39:44+05:30</t>
  </si>
  <si>
    <t>2026-07-08T04:39:56+05:30</t>
  </si>
  <si>
    <t>rkvflqczqf5npyr@marketplace.amazon.in</t>
  </si>
  <si>
    <t>GARBADA</t>
  </si>
  <si>
    <t>AM006166856IN</t>
  </si>
  <si>
    <t>406-7979056-5137906</t>
  </si>
  <si>
    <t>Tg3yrwkX4</t>
  </si>
  <si>
    <t>DNXVSYb6ck0XR</t>
  </si>
  <si>
    <t>2026-07-06T14:13:59+05:30</t>
  </si>
  <si>
    <t>2026-07-08T01:25:47+05:30</t>
  </si>
  <si>
    <t>2026-07-08T04:26:02+05:30</t>
  </si>
  <si>
    <t>2x40dl3rpfz0s7r@marketplace.amazon.in</t>
  </si>
  <si>
    <t>BURDWAN</t>
  </si>
  <si>
    <t>406-4482039-0631536</t>
  </si>
  <si>
    <t>TCJVSW1g4</t>
  </si>
  <si>
    <t>DYX3SQbTck0XR</t>
  </si>
  <si>
    <t>2026-07-05T16:50:08+05:30</t>
  </si>
  <si>
    <t>2026-07-08T01:24:44+05:30</t>
  </si>
  <si>
    <t>2026-07-08T04:24:54+05:30</t>
  </si>
  <si>
    <t>r274hfvszxwz2jx@marketplace.amazon.in</t>
  </si>
  <si>
    <t>Raigarh</t>
  </si>
  <si>
    <t>403-5290962-3282739</t>
  </si>
  <si>
    <t>T6CVWfyv4</t>
  </si>
  <si>
    <t>DCcTSVbxc00VR</t>
  </si>
  <si>
    <t>2026-07-07T14:59:11+05:30</t>
  </si>
  <si>
    <t>2026-07-08T01:16:55+05:30</t>
  </si>
  <si>
    <t>2026-07-08T04:17:13+05:30</t>
  </si>
  <si>
    <t>d7gy03m5sf2mzyl@marketplace.amazon.in</t>
  </si>
  <si>
    <t>Kallakurichi</t>
  </si>
  <si>
    <t>404-9398021-6270746</t>
  </si>
  <si>
    <t>T1YFKLkT4</t>
  </si>
  <si>
    <t>DRQbSVbTcG09R</t>
  </si>
  <si>
    <t>2026-07-06T16:53:32+05:30</t>
  </si>
  <si>
    <t>2026-07-08T01:14:50+05:30</t>
  </si>
  <si>
    <t>2026-07-08T04:15:01+05:30</t>
  </si>
  <si>
    <t>chzjg3ckm3m8mdz@marketplace.amazon.in</t>
  </si>
  <si>
    <t>408-9550808-2601962</t>
  </si>
  <si>
    <t>TnpJHB764</t>
  </si>
  <si>
    <t>DRBq6xb4cz0NR</t>
  </si>
  <si>
    <t>2026-07-05T00:57:57+05:30</t>
  </si>
  <si>
    <t>2026-07-08T01:01:48+05:30</t>
  </si>
  <si>
    <t>2026-07-08T04:02:02+05:30</t>
  </si>
  <si>
    <t>j97tz8y8p90vtt5@marketplace.amazon.in</t>
  </si>
  <si>
    <t>403-5611774-4189909</t>
  </si>
  <si>
    <t>TN1fLn1x4</t>
  </si>
  <si>
    <t>DFkr6hb7cq0XR</t>
  </si>
  <si>
    <t>2026-07-05T15:11:57+05:30</t>
  </si>
  <si>
    <t>2026-07-08T01:01:47+05:30</t>
  </si>
  <si>
    <t>2026-07-08T04:02:01+05:30</t>
  </si>
  <si>
    <t>n5976pl3t081qy3@marketplace.amazon.in</t>
  </si>
  <si>
    <t>Sibsagar</t>
  </si>
  <si>
    <t>405-0677351-8781966</t>
  </si>
  <si>
    <t>TCWrTW1H4</t>
  </si>
  <si>
    <t>DhVY69bvch09R</t>
  </si>
  <si>
    <t>2026-07-05T16:31:42+05:30</t>
  </si>
  <si>
    <t>2026-07-08T01:01:01+05:30</t>
  </si>
  <si>
    <t>2026-07-08T04:01:14+05:30</t>
  </si>
  <si>
    <t>58kj960hwqjjj9x@marketplace.amazon.in</t>
  </si>
  <si>
    <t>404-4258161-6781168</t>
  </si>
  <si>
    <t>TVzv9v194</t>
  </si>
  <si>
    <t>DVZG65bDcX0DR</t>
  </si>
  <si>
    <t>2026-07-04T18:42:50+05:30</t>
  </si>
  <si>
    <t>2026-07-08T00:59:50+05:30</t>
  </si>
  <si>
    <t>2026-07-08T04:00:03+05:30</t>
  </si>
  <si>
    <t>2mfbxc2srwv81zf@marketplace.amazon.in</t>
  </si>
  <si>
    <t>BETUL</t>
  </si>
  <si>
    <t>405-2137940-8965969</t>
  </si>
  <si>
    <t>Tcwspr4N4</t>
  </si>
  <si>
    <t>D8bFdvblcB0JR</t>
  </si>
  <si>
    <t>2026-07-07T22:41:45+05:30</t>
  </si>
  <si>
    <t>2026-07-08T00:43:10+05:30</t>
  </si>
  <si>
    <t>2026-07-08T00:43:12+05:30</t>
  </si>
  <si>
    <t>2026-07-08T01:43:24+05:30</t>
  </si>
  <si>
    <t>vyh0v72grln61z7@marketplace.amazon.in</t>
  </si>
  <si>
    <t>403-1993738-5464341</t>
  </si>
  <si>
    <t>TcTzt04p4</t>
  </si>
  <si>
    <t>DWhcdHblct0MR</t>
  </si>
  <si>
    <t>2026-07-07T21:11:34+05:30</t>
  </si>
  <si>
    <t>2026-07-08T00:37:26+05:30</t>
  </si>
  <si>
    <t>2026-07-08T00:37:29+05:30</t>
  </si>
  <si>
    <t>2026-07-08T01:37:42+05:30</t>
  </si>
  <si>
    <t>g2zn4y6ptzkghfc@marketplace.amazon.in</t>
  </si>
  <si>
    <t>Vikarabad</t>
  </si>
  <si>
    <t>407-6823970-4505163</t>
  </si>
  <si>
    <t>TGbJCP454</t>
  </si>
  <si>
    <t>DdJLdkbScn07R</t>
  </si>
  <si>
    <t>2026-07-07T22:56:27+05:30</t>
  </si>
  <si>
    <t>2026-07-08T00:37:27+05:30</t>
  </si>
  <si>
    <t>2026-07-08T03:37:42+05:30</t>
  </si>
  <si>
    <t>3zy5swtf4zfgm9n@marketplace.amazon.in</t>
  </si>
  <si>
    <t>408-4092766-4305928</t>
  </si>
  <si>
    <t>T1DV7xFd4</t>
  </si>
  <si>
    <t>DPv7GcbWcr0vR</t>
  </si>
  <si>
    <t>2026-07-06T20:45:36+05:30</t>
  </si>
  <si>
    <t>2026-07-08T00:34:46+05:30</t>
  </si>
  <si>
    <t>2026-07-08T03:35:01+05:30</t>
  </si>
  <si>
    <t>0mpx5p2s78h323b@marketplace.amazon.in</t>
  </si>
  <si>
    <t>408-5593259-6625106</t>
  </si>
  <si>
    <t>TNV8mZyl4</t>
  </si>
  <si>
    <t>D4XrG9b0cv0PR</t>
  </si>
  <si>
    <t>2026-07-07T14:58:11+05:30</t>
  </si>
  <si>
    <t>2026-07-08T00:32:53+05:30</t>
  </si>
  <si>
    <t>2026-07-08T03:33:07+05:30</t>
  </si>
  <si>
    <t>yd8cwfp1qrsl8h6@marketplace.amazon.in</t>
  </si>
  <si>
    <t>2026-07-08T08:00:00+05:30</t>
  </si>
  <si>
    <t>406-5809244-2247518</t>
  </si>
  <si>
    <t>T1TRXByZ4</t>
  </si>
  <si>
    <t>DXB0GVb3c105R</t>
  </si>
  <si>
    <t>2026-07-07T15:22:01+05:30</t>
  </si>
  <si>
    <t>2026-07-08T00:31:44+05:30</t>
  </si>
  <si>
    <t>2026-07-08T00:31:47+05:30</t>
  </si>
  <si>
    <t>2026-07-08T01:31:59+05:30</t>
  </si>
  <si>
    <t>0gc3222vmm7qvz0@marketplace.amazon.in</t>
  </si>
  <si>
    <t>404-6746003-3374746</t>
  </si>
  <si>
    <t>TwZqyMkN4</t>
  </si>
  <si>
    <t>DGWrG4bDcp0gR</t>
  </si>
  <si>
    <t>2026-07-06T13:36:59+05:30</t>
  </si>
  <si>
    <t>2026-07-08T00:23:47+05:30</t>
  </si>
  <si>
    <t>2026-07-08T03:24:00+05:30</t>
  </si>
  <si>
    <t>n1wnlkt7v4z0564@marketplace.amazon.in</t>
  </si>
  <si>
    <t>405-1480801-4816359</t>
  </si>
  <si>
    <t>TJ9G1K374</t>
  </si>
  <si>
    <t>DcvstkbccC0PR</t>
  </si>
  <si>
    <t>2026-07-06T02:54:10+05:30</t>
  </si>
  <si>
    <t>2026-07-08T00:17:48+05:30</t>
  </si>
  <si>
    <t>2026-07-08T00:17:53+05:30</t>
  </si>
  <si>
    <t>2026-07-08T01:18:11+05:30</t>
  </si>
  <si>
    <t>zkgf61960v9ptfq@marketplace.amazon.in</t>
  </si>
  <si>
    <t>MUZAFFARPUR</t>
  </si>
  <si>
    <t>407-9250999-7528310</t>
  </si>
  <si>
    <t>TnclNR894</t>
  </si>
  <si>
    <t>DFVktSbccX0pR</t>
  </si>
  <si>
    <t>2026-07-04T11:08:45+05:30</t>
  </si>
  <si>
    <t>2026-07-08T00:08:45+05:30</t>
  </si>
  <si>
    <t>2026-07-08T03:08:57+05:30</t>
  </si>
  <si>
    <t>phwldzy647fykhf@marketplace.amazon.in</t>
  </si>
  <si>
    <t>SHIKOHABAD</t>
  </si>
  <si>
    <t>408-9502715-0600342</t>
  </si>
  <si>
    <t>Twpgxv4F4</t>
  </si>
  <si>
    <t>Dtb6tsbFcs0sR</t>
  </si>
  <si>
    <t>2026-07-07T20:49:16+05:30</t>
  </si>
  <si>
    <t>2026-07-08T00:05:33+05:30</t>
  </si>
  <si>
    <t>2026-07-08T03:05:45+05:30</t>
  </si>
  <si>
    <t>ph3ff2j0r31lrqc@marketplace.amazon.in</t>
  </si>
  <si>
    <t>404-8158015-2204314</t>
  </si>
  <si>
    <t>TgkpFG4n4</t>
  </si>
  <si>
    <t>DdfZtZbTcz0zR</t>
  </si>
  <si>
    <t>2026-07-07T18:18:25+05:30</t>
  </si>
  <si>
    <t>2026-07-08T00:04:51+05:30</t>
  </si>
  <si>
    <t>2026-07-08T03:05:04+05:30</t>
  </si>
  <si>
    <t>yyqkgqcxr08f4h6@marketplace.amazon.in</t>
  </si>
  <si>
    <t>Edavanakad</t>
  </si>
  <si>
    <t>407-9801648-7817102</t>
  </si>
  <si>
    <t>TXw2991D4</t>
  </si>
  <si>
    <t>DhlJtZbDcl0HR</t>
  </si>
  <si>
    <t>2026-07-05T13:58:41+05:30</t>
  </si>
  <si>
    <t>2026-07-08T00:02:50+05:30</t>
  </si>
  <si>
    <t>2026-07-08T03:03:03+05:30</t>
  </si>
  <si>
    <t>sq2g296x6yvw66b@marketplace.amazon.in</t>
  </si>
  <si>
    <t>403-5408677-9929930</t>
  </si>
  <si>
    <t>T61Yxw484</t>
  </si>
  <si>
    <t>DNrNtQbNcS0TR</t>
  </si>
  <si>
    <t>2026-07-07T21:30:00+05:30</t>
  </si>
  <si>
    <t>2026-07-08T00:01:47+05:30</t>
  </si>
  <si>
    <t>2026-07-08T03:02:00+05:30</t>
  </si>
  <si>
    <t>b4nflxc923wm0zf@marketplace.amazon.in</t>
  </si>
  <si>
    <t>404-1231921-0581965</t>
  </si>
  <si>
    <t>TNZG5tgQ4</t>
  </si>
  <si>
    <t>DVrLPHbvcV06R</t>
  </si>
  <si>
    <t>2026-07-04T08:49:48+05:30</t>
  </si>
  <si>
    <t>2026-07-07T23:46:45+05:30</t>
  </si>
  <si>
    <t>2026-07-07T23:46:48+05:30</t>
  </si>
  <si>
    <t>2026-07-08T00:47:00+05:30</t>
  </si>
  <si>
    <t>fh693c1fhw42rr5@marketplace.amazon.in</t>
  </si>
  <si>
    <t>403-0511840-4633100</t>
  </si>
  <si>
    <t>TJs9jq3v4</t>
  </si>
  <si>
    <t>Drj9THb4ct0XR</t>
  </si>
  <si>
    <t>2026-07-06T23:40:30+05:30</t>
  </si>
  <si>
    <t>2026-07-07T23:39:56+05:30</t>
  </si>
  <si>
    <t>2026-07-08T02:40:10+05:30</t>
  </si>
  <si>
    <t>5w78616p8bh9ddv@marketplace.amazon.in</t>
  </si>
  <si>
    <t>Sathupally</t>
  </si>
  <si>
    <t>403-9493930-4379557</t>
  </si>
  <si>
    <t>TwN46rjk4</t>
  </si>
  <si>
    <t>DH1YTfbKcy0YR</t>
  </si>
  <si>
    <t>2026-07-05T23:50:17+05:30</t>
  </si>
  <si>
    <t>2026-07-07T23:34:50+05:30</t>
  </si>
  <si>
    <t>2026-07-08T02:35:03+05:30</t>
  </si>
  <si>
    <t>fb25yx5rdbxs1bj@marketplace.amazon.in</t>
  </si>
  <si>
    <t>405-4815937-2159528</t>
  </si>
  <si>
    <t>TcvTJmyw4</t>
  </si>
  <si>
    <t>DRwJTmblcH0mR</t>
  </si>
  <si>
    <t>2026-07-07T12:32:15+05:30</t>
  </si>
  <si>
    <t>2026-07-07T23:32:45+05:30</t>
  </si>
  <si>
    <t>2026-07-08T02:32:57+05:30</t>
  </si>
  <si>
    <t>wyj1l22k66sw451@marketplace.amazon.in</t>
  </si>
  <si>
    <t>404-5486621-2521900</t>
  </si>
  <si>
    <t>TXQNQfyC4</t>
  </si>
  <si>
    <t>DscFTPbMc809R</t>
  </si>
  <si>
    <t>2026-07-07T11:26:29+05:30</t>
  </si>
  <si>
    <t>2026-07-07T23:27:51+05:30</t>
  </si>
  <si>
    <t>2026-07-08T02:28:21+05:30</t>
  </si>
  <si>
    <t>6l0cdd3390l7gts@marketplace.amazon.in</t>
  </si>
  <si>
    <t>406-0862629-9083557</t>
  </si>
  <si>
    <t>TcPy39yW4</t>
  </si>
  <si>
    <t>DKrzTyb8cJ0CR</t>
  </si>
  <si>
    <t>2026-07-07T12:49:49+05:30</t>
  </si>
  <si>
    <t>2026-07-07T23:25:48+05:30</t>
  </si>
  <si>
    <t>2026-07-08T02:26:03+05:30</t>
  </si>
  <si>
    <t>408-2310211-6177944</t>
  </si>
  <si>
    <t>TcYc7D4K4</t>
  </si>
  <si>
    <t>D6kynrbccP05R</t>
  </si>
  <si>
    <t>2026-07-07T19:40:15+05:30</t>
  </si>
  <si>
    <t>2026-07-07T23:23:46+05:30</t>
  </si>
  <si>
    <t>2026-07-08T02:23:58+05:30</t>
  </si>
  <si>
    <t>qv4046vgl8tlw8m@marketplace.amazon.in</t>
  </si>
  <si>
    <t>408-2974140-2789148</t>
  </si>
  <si>
    <t>TGYhkJFh4</t>
  </si>
  <si>
    <t>Dd8wnWbWcy00R</t>
  </si>
  <si>
    <t>2026-07-06T23:39:56+05:30</t>
  </si>
  <si>
    <t>2026-07-07T23:20:51+05:30</t>
  </si>
  <si>
    <t>2026-07-08T02:21:04+05:30</t>
  </si>
  <si>
    <t>k6dcqc4p5znzcf5@marketplace.amazon.in</t>
  </si>
  <si>
    <t>402-5503436-8969135</t>
  </si>
  <si>
    <t>T1L583mh4</t>
  </si>
  <si>
    <t>DZM7nvbGcN03R</t>
  </si>
  <si>
    <t>2026-07-06T10:54:21+05:30</t>
  </si>
  <si>
    <t>2026-07-07T23:18:47+05:30</t>
  </si>
  <si>
    <t>2026-07-08T02:19:00+05:30</t>
  </si>
  <si>
    <t>7gsgqhv8sxfprqk@marketplace.amazon.in</t>
  </si>
  <si>
    <t>408-4082210-8590728</t>
  </si>
  <si>
    <t>TcMXrq4l4</t>
  </si>
  <si>
    <t>DhtFnTb5cW0mR</t>
  </si>
  <si>
    <t>2026-07-07T19:55:38+05:30</t>
  </si>
  <si>
    <t>2026-07-07T23:16:43+05:30</t>
  </si>
  <si>
    <t>2026-07-07T23:16:47+05:30</t>
  </si>
  <si>
    <t>2026-07-08T00:16:59+05:30</t>
  </si>
  <si>
    <t>m9szdnqdr4329kj@marketplace.amazon.in</t>
  </si>
  <si>
    <t>404-4292116-6346703</t>
  </si>
  <si>
    <t>TGQSL01H4</t>
  </si>
  <si>
    <t>DPMDnwbKcM03R</t>
  </si>
  <si>
    <t>2026-07-05T14:33:18+05:30</t>
  </si>
  <si>
    <t>2026-07-08T02:17:02+05:30</t>
  </si>
  <si>
    <t>8frwh6bwy7h32zb@marketplace.amazon.in</t>
  </si>
  <si>
    <t>ARRAH</t>
  </si>
  <si>
    <t>408-3737167-0335546</t>
  </si>
  <si>
    <t>TVT9cXjd4</t>
  </si>
  <si>
    <t>DJwFnKbHcy0TR</t>
  </si>
  <si>
    <t>2026-07-05T22:27:55+05:30</t>
  </si>
  <si>
    <t>2026-07-07T23:15:44+05:30</t>
  </si>
  <si>
    <t>2026-07-08T02:15:56+05:30</t>
  </si>
  <si>
    <t>3sbt0pwt3k8xzq0@marketplace.amazon.in</t>
  </si>
  <si>
    <t>171-7738991-3009956</t>
  </si>
  <si>
    <t>TCNY42jR4</t>
  </si>
  <si>
    <t>DfdwnXbScn0zR</t>
  </si>
  <si>
    <t>2026-07-05T20:16:34+05:30</t>
  </si>
  <si>
    <t>2026-07-07T23:14:48+05:30</t>
  </si>
  <si>
    <t>2026-07-08T02:15:01+05:30</t>
  </si>
  <si>
    <t>dmjtjvdp7tm7mj9@marketplace.amazon.in</t>
  </si>
  <si>
    <t>408-0274458-6753120</t>
  </si>
  <si>
    <t>T6MQzykf4</t>
  </si>
  <si>
    <t>DD6mnWbbcX0xR</t>
  </si>
  <si>
    <t>2026-07-06T13:39:14+05:30</t>
  </si>
  <si>
    <t>2026-07-07T23:13:47+05:30</t>
  </si>
  <si>
    <t>2026-07-07T23:13:50+05:30</t>
  </si>
  <si>
    <t>2026-07-08T00:14:01+05:30</t>
  </si>
  <si>
    <t>406-3327786-3574709</t>
  </si>
  <si>
    <t>TX6zQs4q4</t>
  </si>
  <si>
    <t>DKnnnnbGcd0vR</t>
  </si>
  <si>
    <t>2026-07-07T19:42:06+05:30</t>
  </si>
  <si>
    <t>2026-07-07T23:10:51+05:30</t>
  </si>
  <si>
    <t>2026-07-07T23:10:54+05:30</t>
  </si>
  <si>
    <t>2026-07-08T00:11:08+05:30</t>
  </si>
  <si>
    <t>nc0zkmq30ffy9pd@marketplace.amazon.in</t>
  </si>
  <si>
    <t>404-9148617-3074707</t>
  </si>
  <si>
    <t>TgRXzT4S4</t>
  </si>
  <si>
    <t>D6y9xWbQcH0TR</t>
  </si>
  <si>
    <t>2026-07-06T15:23:30+05:30</t>
  </si>
  <si>
    <t>2026-07-07T23:07:47+05:30</t>
  </si>
  <si>
    <t>2026-07-08T02:08:03+05:30</t>
  </si>
  <si>
    <t>m0hdl6qp4hsp142@marketplace.amazon.in</t>
  </si>
  <si>
    <t>408-6624318-7277121</t>
  </si>
  <si>
    <t>T3sl8lmh4</t>
  </si>
  <si>
    <t>Dfyhxybvcg04R</t>
  </si>
  <si>
    <t>2026-07-06T00:11:43+05:30</t>
  </si>
  <si>
    <t>2026-07-07T23:06:50+05:30</t>
  </si>
  <si>
    <t>2026-07-07T23:06:56+05:30</t>
  </si>
  <si>
    <t>2026-07-08T00:07:12+05:30</t>
  </si>
  <si>
    <t>m6013jj3xsdrd35@marketplace.amazon.in</t>
  </si>
  <si>
    <t>407-3351235-8846703</t>
  </si>
  <si>
    <t>TGY1LC4p4</t>
  </si>
  <si>
    <t>DTyLxxb9cv0hR</t>
  </si>
  <si>
    <t>2026-07-07T19:50:12+05:30</t>
  </si>
  <si>
    <t>2026-07-07T23:03:41+05:30</t>
  </si>
  <si>
    <t>2026-07-07T23:03:43+05:30</t>
  </si>
  <si>
    <t>2026-07-08T00:03:55+05:30</t>
  </si>
  <si>
    <t>lng3wtcwz0h6gdh@marketplace.amazon.in</t>
  </si>
  <si>
    <t>407-0229804-6671557</t>
  </si>
  <si>
    <t>T1X0hY7S4</t>
  </si>
  <si>
    <t>D5KQ3cbwc60GR</t>
  </si>
  <si>
    <t>2026-07-05T12:31:53+05:30</t>
  </si>
  <si>
    <t>2026-07-07T22:53:47+05:30</t>
  </si>
  <si>
    <t>2026-07-08T01:54:00+05:30</t>
  </si>
  <si>
    <t>c487f4g3rj731df@marketplace.amazon.in</t>
  </si>
  <si>
    <t>Buxar</t>
  </si>
  <si>
    <t>406-5545913-7758746</t>
  </si>
  <si>
    <t>TJR6VT434</t>
  </si>
  <si>
    <t>DVsR3fbWcY0NR</t>
  </si>
  <si>
    <t>2026-07-07T18:35:59+05:30</t>
  </si>
  <si>
    <t>2026-07-07T22:46:53+05:30</t>
  </si>
  <si>
    <t>2026-07-08T01:51:04+05:30</t>
  </si>
  <si>
    <t>gf4ym1r4zkmb6pr@marketplace.amazon.in</t>
  </si>
  <si>
    <t>403-1195162-6946765</t>
  </si>
  <si>
    <t>T6wZwRyp4</t>
  </si>
  <si>
    <t>Dh0y30bRcC09R</t>
  </si>
  <si>
    <t>2026-07-07T10:58:43+05:30</t>
  </si>
  <si>
    <t>2026-07-07T22:45:43+05:30</t>
  </si>
  <si>
    <t>2026-07-08T01:45:56+05:30</t>
  </si>
  <si>
    <t>nj5hzrh5kmvzss3@marketplace.amazon.in</t>
  </si>
  <si>
    <t>404-9704293-6969122</t>
  </si>
  <si>
    <t>TcVhDbF14</t>
  </si>
  <si>
    <t>DSsV3kbsc40kR</t>
  </si>
  <si>
    <t>2026-07-06T23:54:22+05:30</t>
  </si>
  <si>
    <t>2026-07-07T22:35:58+05:30</t>
  </si>
  <si>
    <t>2026-07-08T01:39:59+05:30</t>
  </si>
  <si>
    <t>lvtz452nthryq8s@marketplace.amazon.in</t>
  </si>
  <si>
    <t>406-8605312-7358748</t>
  </si>
  <si>
    <t>TX0y744N4</t>
  </si>
  <si>
    <t>D7YsJBbQc90xR</t>
  </si>
  <si>
    <t>2026-07-07T19:30:36+05:30</t>
  </si>
  <si>
    <t>2026-07-07T22:26:45+05:30</t>
  </si>
  <si>
    <t>2026-07-07T22:26:48+05:30</t>
  </si>
  <si>
    <t>2026-07-07T23:26:59+05:30</t>
  </si>
  <si>
    <t>fz115pk5lj8nxn0@marketplace.amazon.in</t>
  </si>
  <si>
    <t>403-6032188-5633134</t>
  </si>
  <si>
    <t>T1FPxm384</t>
  </si>
  <si>
    <t>Dt6hJhbLcf0ZR</t>
  </si>
  <si>
    <t>2026-07-06T21:01:32+05:30</t>
  </si>
  <si>
    <t>2026-07-07T22:26:47+05:30</t>
  </si>
  <si>
    <t>2026-07-08T01:26:59+05:30</t>
  </si>
  <si>
    <t>55n0jdpltmggzpk@marketplace.amazon.in</t>
  </si>
  <si>
    <t>171-5200282-3446702</t>
  </si>
  <si>
    <t>TCY3yNyB4</t>
  </si>
  <si>
    <t>D1cyJDbncZ06R</t>
  </si>
  <si>
    <t>2026-07-07T07:27:48+05:30</t>
  </si>
  <si>
    <t>2026-07-07T22:21:47+05:30</t>
  </si>
  <si>
    <t>2026-07-08T01:22:01+05:30</t>
  </si>
  <si>
    <t>zm737t9k3wsj9lj@marketplace.amazon.in</t>
  </si>
  <si>
    <t>171-8903230-4886713</t>
  </si>
  <si>
    <t>TJFngL8r4</t>
  </si>
  <si>
    <t>Dv8xMtbncl09R</t>
  </si>
  <si>
    <t>2026-07-04T16:36:29+05:30</t>
  </si>
  <si>
    <t>2026-07-07T22:16:49+05:30</t>
  </si>
  <si>
    <t>2026-07-08T01:17:05+05:30</t>
  </si>
  <si>
    <t>sn4jzfs7cx02hh5@marketplace.amazon.in</t>
  </si>
  <si>
    <t>408-0296035-3078753</t>
  </si>
  <si>
    <t>T3nS7K4J4</t>
  </si>
  <si>
    <t>D686Mkbncl09R</t>
  </si>
  <si>
    <t>2026-07-07T20:00:51+05:30</t>
  </si>
  <si>
    <t>2026-07-07T22:16:44+05:30</t>
  </si>
  <si>
    <t>2026-07-07T22:16:47+05:30</t>
  </si>
  <si>
    <t>2026-07-07T23:16:58+05:30</t>
  </si>
  <si>
    <t>ngxc4b930gf3brm@marketplace.amazon.in</t>
  </si>
  <si>
    <t>402-0212831-4559504</t>
  </si>
  <si>
    <t>TXvymdy14</t>
  </si>
  <si>
    <t>DPP4Jkbfcs0TR</t>
  </si>
  <si>
    <t>2026-07-07T15:02:36+05:30</t>
  </si>
  <si>
    <t>2026-07-07T22:14:41+05:30</t>
  </si>
  <si>
    <t>2026-07-07T22:14:44+05:30</t>
  </si>
  <si>
    <t>2026-07-07T23:14:55+05:30</t>
  </si>
  <si>
    <t>7bvdgsfplc5gj4j@marketplace.amazon.in</t>
  </si>
  <si>
    <t>405-3334644-3910719</t>
  </si>
  <si>
    <t>TN7GlPDL4</t>
  </si>
  <si>
    <t>Ds5VMDb0c10qR</t>
  </si>
  <si>
    <t>2026-07-04T22:32:56+05:30</t>
  </si>
  <si>
    <t>2026-07-07T22:13:49+05:30</t>
  </si>
  <si>
    <t>2026-07-08T01:14:02+05:30</t>
  </si>
  <si>
    <t>d29gswp55kckwhj@marketplace.amazon.in</t>
  </si>
  <si>
    <t>407-2669873-1196339</t>
  </si>
  <si>
    <t>Tc9dTmyp4</t>
  </si>
  <si>
    <t>DjWVMFb2cW0sR</t>
  </si>
  <si>
    <t>2026-07-07T13:22:57+05:30</t>
  </si>
  <si>
    <t>2026-07-07T22:09:52+05:30</t>
  </si>
  <si>
    <t>2026-07-08T01:13:34+05:30</t>
  </si>
  <si>
    <t>zmfkbskg1kr4sjl@marketplace.amazon.in</t>
  </si>
  <si>
    <t>408-7792517-0157104</t>
  </si>
  <si>
    <t>TCx3VvyX4</t>
  </si>
  <si>
    <t>DmckMhbjcQ06R</t>
  </si>
  <si>
    <t>2026-07-07T07:15:54+05:30</t>
  </si>
  <si>
    <t>2026-07-07T22:08:49+05:30</t>
  </si>
  <si>
    <t>2026-07-08T01:09:07+05:30</t>
  </si>
  <si>
    <t>nq8cx57s3427kgn@marketplace.amazon.in</t>
  </si>
  <si>
    <t>DbcSMzbjcQ06R</t>
  </si>
  <si>
    <t>405-1643472-0273150</t>
  </si>
  <si>
    <t>TgLt2MkL4</t>
  </si>
  <si>
    <t>DMccMDbncT0kR</t>
  </si>
  <si>
    <t>2026-07-06T13:40:52+05:30</t>
  </si>
  <si>
    <t>2026-07-07T22:07:44+05:30</t>
  </si>
  <si>
    <t>2026-07-08T01:07:56+05:30</t>
  </si>
  <si>
    <t>49g7zf9vnx011vy@marketplace.amazon.in</t>
  </si>
  <si>
    <t>402-5827866-4449166</t>
  </si>
  <si>
    <t>T38K8KyM4</t>
  </si>
  <si>
    <t>DW0gM2bCcR05R</t>
  </si>
  <si>
    <t>2026-07-07T15:15:34+05:30</t>
  </si>
  <si>
    <t>2026-07-07T22:01:49+05:30</t>
  </si>
  <si>
    <t>2026-07-08T01:02:05+05:30</t>
  </si>
  <si>
    <t>2910nt8gcbn1fsv@marketplace.amazon.in</t>
  </si>
  <si>
    <t>408-2275747-8579527</t>
  </si>
  <si>
    <t>Tc6bbFkH4</t>
  </si>
  <si>
    <t>D1JrMJblcF08R</t>
  </si>
  <si>
    <t>2026-07-04T12:25:31+05:30</t>
  </si>
  <si>
    <t>2026-07-07T22:00:46+05:30</t>
  </si>
  <si>
    <t>2026-07-08T01:01:06+05:30</t>
  </si>
  <si>
    <t>q7vm7jqtzh024ms@marketplace.amazon.in</t>
  </si>
  <si>
    <t>404-3736235-4317936</t>
  </si>
  <si>
    <t>Tg1S6b1G4</t>
  </si>
  <si>
    <t>Dcr1MZbRcZ0NR</t>
  </si>
  <si>
    <t>2026-07-05T18:22:50+05:30</t>
  </si>
  <si>
    <t>2026-07-07T22:00:45+05:30</t>
  </si>
  <si>
    <t>2026-07-08T01:01:00+05:30</t>
  </si>
  <si>
    <t>3d4v714knts02w8@marketplace.amazon.in</t>
  </si>
  <si>
    <t>407-9007774-5736349</t>
  </si>
  <si>
    <t>TghtcD4f4</t>
  </si>
  <si>
    <t>Drv21dblct0CR</t>
  </si>
  <si>
    <t>2026-07-07T19:25:28+05:30</t>
  </si>
  <si>
    <t>2026-07-07T22:00:43+05:30</t>
  </si>
  <si>
    <t>2026-07-08T01:00:55+05:30</t>
  </si>
  <si>
    <t>x0h12zygvzkcyn8@marketplace.amazon.in</t>
  </si>
  <si>
    <t>Thane,Mumbai</t>
  </si>
  <si>
    <t>maharashtra</t>
  </si>
  <si>
    <t>402-5921256-6170762</t>
  </si>
  <si>
    <t>T6dZ6gyd4</t>
  </si>
  <si>
    <t>Dskr11b0cd00R</t>
  </si>
  <si>
    <t>2026-07-07T13:27:15+05:30</t>
  </si>
  <si>
    <t>2026-07-07T21:58:45+05:30</t>
  </si>
  <si>
    <t>2026-07-07T21:58:48+05:30</t>
  </si>
  <si>
    <t>2026-07-07T22:59:03+05:30</t>
  </si>
  <si>
    <t>3kq8csmv581fj8p@marketplace.amazon.in</t>
  </si>
  <si>
    <t>408-1410173-9437101</t>
  </si>
  <si>
    <t>T6zYLxyV4</t>
  </si>
  <si>
    <t>D0kr16btcd00R</t>
  </si>
  <si>
    <t>2026-07-07T12:11:56+05:30</t>
  </si>
  <si>
    <t>2026-07-07T21:57:47+05:30</t>
  </si>
  <si>
    <t>2026-07-08T00:58:02+05:30</t>
  </si>
  <si>
    <t>v7l0x57txq28m5p@marketplace.amazon.in</t>
  </si>
  <si>
    <t>403-2429519-3536365</t>
  </si>
  <si>
    <t>TCY5qV3M4</t>
  </si>
  <si>
    <t>DNqJMBb6cf0RR</t>
  </si>
  <si>
    <t>2026-07-06T23:32:12+05:30</t>
  </si>
  <si>
    <t>2026-07-07T21:57:45+05:30</t>
  </si>
  <si>
    <t>bx731tvxwh5rjc2@marketplace.amazon.in</t>
  </si>
  <si>
    <t>171-7120519-8557103</t>
  </si>
  <si>
    <t>TJ0GV14N4</t>
  </si>
  <si>
    <t>DXTC17bGcS01R</t>
  </si>
  <si>
    <t>2026-07-07T18:37:24+05:30</t>
  </si>
  <si>
    <t>2026-07-07T21:45:43+05:30</t>
  </si>
  <si>
    <t>2026-07-08T00:45:55+05:30</t>
  </si>
  <si>
    <t>k8zxfzq6fwqpnyx@marketplace.amazon.in</t>
  </si>
  <si>
    <t>407-2451024-3325155</t>
  </si>
  <si>
    <t>TGm1Zrkk4</t>
  </si>
  <si>
    <t>D4RB1yb8ct0QR</t>
  </si>
  <si>
    <t>2026-07-06T14:28:57+05:30</t>
  </si>
  <si>
    <t>2026-07-07T21:44:45+05:30</t>
  </si>
  <si>
    <t>2026-07-08T00:44:58+05:30</t>
  </si>
  <si>
    <t>l1n8bq18v6scslr@marketplace.amazon.in</t>
  </si>
  <si>
    <t>406-1654987-3556318</t>
  </si>
  <si>
    <t>TCMYBXjZ4</t>
  </si>
  <si>
    <t>DHrZ1bbtcL0cR</t>
  </si>
  <si>
    <t>2026-07-05T20:10:52+05:30</t>
  </si>
  <si>
    <t>2026-07-07T21:43:44+05:30</t>
  </si>
  <si>
    <t>2026-07-07T21:43:49+05:30</t>
  </si>
  <si>
    <t>2026-07-07T22:44:02+05:30</t>
  </si>
  <si>
    <t>6nrm917yfj2c388@marketplace.amazon.in</t>
  </si>
  <si>
    <t>406-8990068-6163532</t>
  </si>
  <si>
    <t>TCfrB3yq4</t>
  </si>
  <si>
    <t>DVm0r8bCcD0yR</t>
  </si>
  <si>
    <t>2026-07-07T10:10:49+05:30</t>
  </si>
  <si>
    <t>2026-07-07T21:39:44+05:30</t>
  </si>
  <si>
    <t>2026-07-08T00:39:58+05:30</t>
  </si>
  <si>
    <t>b170sxhd4xgbswc@marketplace.amazon.in</t>
  </si>
  <si>
    <t>TamilNadu</t>
  </si>
  <si>
    <t>406-0558432-7495505</t>
  </si>
  <si>
    <t>TwjN8bm54</t>
  </si>
  <si>
    <t>D9ywr6bVcJ0FR</t>
  </si>
  <si>
    <t>2026-07-06T10:31:34+05:30</t>
  </si>
  <si>
    <t>2026-07-07T21:38:46+05:30</t>
  </si>
  <si>
    <t>2026-07-08T00:38:58+05:30</t>
  </si>
  <si>
    <t>dn70xf7fj739vwr@marketplace.amazon.in</t>
  </si>
  <si>
    <t>408-8682218-3504331</t>
  </si>
  <si>
    <t>TGL1Fs3L4</t>
  </si>
  <si>
    <t>Dyxx7dbNcK0BR</t>
  </si>
  <si>
    <t>2026-07-06T20:00:29+05:30</t>
  </si>
  <si>
    <t>2026-07-07T21:09:49+05:30</t>
  </si>
  <si>
    <t>2026-07-08T00:10:04+05:30</t>
  </si>
  <si>
    <t>404-9989123-6018736</t>
  </si>
  <si>
    <t>T3dbFkyL4</t>
  </si>
  <si>
    <t>DXwWL6b1ch0CR</t>
  </si>
  <si>
    <t>2026-07-07T11:00:25+05:30</t>
  </si>
  <si>
    <t>2026-07-07T21:05:43+05:30</t>
  </si>
  <si>
    <t>2026-07-07T21:05:46+05:30</t>
  </si>
  <si>
    <t>2026-07-07T22:05:58+05:30</t>
  </si>
  <si>
    <t>k6mnjs2l5r27c5d@marketplace.amazon.in</t>
  </si>
  <si>
    <t>402-4606093-6353163</t>
  </si>
  <si>
    <t>TVV6gkkQ4</t>
  </si>
  <si>
    <t>DvvPs7bvcH0nR</t>
  </si>
  <si>
    <t>2026-07-06T17:48:29+05:30</t>
  </si>
  <si>
    <t>2026-07-07T20:51:44+05:30</t>
  </si>
  <si>
    <t>2026-07-07T23:51:56+05:30</t>
  </si>
  <si>
    <t>510mddllk1fy835@marketplace.amazon.in</t>
  </si>
  <si>
    <t>406-9323388-1909923</t>
  </si>
  <si>
    <t>TJtfDJ4b4</t>
  </si>
  <si>
    <t>DR9zsPbncr0DR</t>
  </si>
  <si>
    <t>2026-07-07T18:40:54+05:30</t>
  </si>
  <si>
    <t>2026-07-07T20:40:42+05:30</t>
  </si>
  <si>
    <t>2026-07-07T20:40:45+05:30</t>
  </si>
  <si>
    <t>2026-07-07T21:40:57+05:30</t>
  </si>
  <si>
    <t>42nwymp4nc3yl8n@marketplace.amazon.in</t>
  </si>
  <si>
    <t>402-0085475-2233152</t>
  </si>
  <si>
    <t>T1pLXVg84</t>
  </si>
  <si>
    <t>DYwWQ3bwcZ0qR</t>
  </si>
  <si>
    <t>2026-07-03T12:01:15+05:30</t>
  </si>
  <si>
    <t>2026-07-07T20:28:48+05:30</t>
  </si>
  <si>
    <t>2026-07-07T23:29:09+05:30</t>
  </si>
  <si>
    <t>dbxpgpyx41rvg53@marketplace.amazon.in</t>
  </si>
  <si>
    <t>171-2830159-4434720</t>
  </si>
  <si>
    <t>T6rvR4DR4</t>
  </si>
  <si>
    <t>DL1cQ8b3ct0LR</t>
  </si>
  <si>
    <t>2026-07-04T17:54:57+05:30</t>
  </si>
  <si>
    <t>2026-07-07T20:28:40+05:30</t>
  </si>
  <si>
    <t>2026-07-07T20:28:43+05:30</t>
  </si>
  <si>
    <t>2026-07-07T21:28:53+05:30</t>
  </si>
  <si>
    <t>rkrwrplr4q9vf8z@marketplace.amazon.in</t>
  </si>
  <si>
    <t>402-7262513-7296344</t>
  </si>
  <si>
    <t>TJgPlfjh4</t>
  </si>
  <si>
    <t>DHwjQqbHcZ0qR</t>
  </si>
  <si>
    <t>2026-07-05T23:29:44+05:30</t>
  </si>
  <si>
    <t>2026-07-07T20:27:46+05:30</t>
  </si>
  <si>
    <t>2026-07-07T23:27:58+05:30</t>
  </si>
  <si>
    <t>dsdfj49xfqnyc2t@marketplace.amazon.in</t>
  </si>
  <si>
    <t>404-0100639-7053158</t>
  </si>
  <si>
    <t>TcbsvPy74</t>
  </si>
  <si>
    <t>Dc9FQjbtcN0xR</t>
  </si>
  <si>
    <t>2026-07-07T07:44:29+05:30</t>
  </si>
  <si>
    <t>2026-07-07T20:21:41+05:30</t>
  </si>
  <si>
    <t>2026-07-07T23:21:53+05:30</t>
  </si>
  <si>
    <t>nk9bfl93hw5lj7l@marketplace.amazon.in</t>
  </si>
  <si>
    <t>402-0813384-0180325</t>
  </si>
  <si>
    <t>TCQP3K144</t>
  </si>
  <si>
    <t>DPm5cLbDc20HR</t>
  </si>
  <si>
    <t>2026-07-05T16:40:02+05:30</t>
  </si>
  <si>
    <t>2026-07-07T20:10:44+05:30</t>
  </si>
  <si>
    <t>2026-07-07T20:10:46+05:30</t>
  </si>
  <si>
    <t>2026-07-07T21:10:59+05:30</t>
  </si>
  <si>
    <t>408-9193337-8747503</t>
  </si>
  <si>
    <t>TCx60v764</t>
  </si>
  <si>
    <t>DCcDcQbMcw0fR</t>
  </si>
  <si>
    <t>2026-07-05T09:52:13+05:30</t>
  </si>
  <si>
    <t>2026-07-07T20:05:43+05:30</t>
  </si>
  <si>
    <t>2026-07-07T23:05:56+05:30</t>
  </si>
  <si>
    <t>79x8k1qplcflrmq@marketplace.amazon.in</t>
  </si>
  <si>
    <t>407-2705505-3860349</t>
  </si>
  <si>
    <t>TNsWbj494</t>
  </si>
  <si>
    <t>D0cjcJbwcw0fR</t>
  </si>
  <si>
    <t>2026-07-07T17:52:25+05:30</t>
  </si>
  <si>
    <t>2026-07-07T20:02:46+05:30</t>
  </si>
  <si>
    <t>2026-07-07T23:02:57+05:30</t>
  </si>
  <si>
    <t>bs20990vjrr7y82@marketplace.amazon.in</t>
  </si>
  <si>
    <t>406-1725271-8693117</t>
  </si>
  <si>
    <t>TcWgYh3R4</t>
  </si>
  <si>
    <t>D0cCcHbmc20qR</t>
  </si>
  <si>
    <t>2026-07-06T19:45:01+05:30</t>
  </si>
  <si>
    <t>2026-07-07T20:02:45+05:30</t>
  </si>
  <si>
    <t>7cmzdqrs7yb5l4t@marketplace.amazon.in</t>
  </si>
  <si>
    <t>KOTPUTLI</t>
  </si>
  <si>
    <t>406-8091897-9804301</t>
  </si>
  <si>
    <t>T6ZGD0yx4</t>
  </si>
  <si>
    <t>DQJqcDbDcp0KR</t>
  </si>
  <si>
    <t>2026-07-07T10:44:14+05:30</t>
  </si>
  <si>
    <t>2026-07-07T20:01:43+05:30</t>
  </si>
  <si>
    <t>2026-07-07T23:01:54+05:30</t>
  </si>
  <si>
    <t>07d17xyltd9x0j5@marketplace.amazon.in</t>
  </si>
  <si>
    <t>404-7015658-6118728</t>
  </si>
  <si>
    <t>T6YZkm404</t>
  </si>
  <si>
    <t>DtrnvYbyc00BR</t>
  </si>
  <si>
    <t>2026-07-07T16:57:23+05:30</t>
  </si>
  <si>
    <t>2026-07-07T19:41:44+05:30</t>
  </si>
  <si>
    <t>2026-07-07T19:41:48+05:30</t>
  </si>
  <si>
    <t>2026-07-07T20:42:00+05:30</t>
  </si>
  <si>
    <t>sdkzzx25rr06lzl@marketplace.amazon.in</t>
  </si>
  <si>
    <t>404-1314836-2297904</t>
  </si>
  <si>
    <t>T3CNr8yy4</t>
  </si>
  <si>
    <t>D7qTvlbmcH0QR</t>
  </si>
  <si>
    <t>2026-07-07T12:32:00+05:30</t>
  </si>
  <si>
    <t>2026-07-07T19:39:48+05:30</t>
  </si>
  <si>
    <t>2026-07-07T22:39:59+05:30</t>
  </si>
  <si>
    <t>lgy9f726s0zvmrp@marketplace.amazon.in</t>
  </si>
  <si>
    <t>406-9024855-9605903</t>
  </si>
  <si>
    <t>TVYQ6myY4</t>
  </si>
  <si>
    <t>DT8rzsbkcH0HR</t>
  </si>
  <si>
    <t>2026-07-06T23:41:04+05:30</t>
  </si>
  <si>
    <t>2026-07-07T19:35:48+05:30</t>
  </si>
  <si>
    <t>2026-07-07T22:36:05+05:30</t>
  </si>
  <si>
    <t>vqdmky54mh2dj36@marketplace.amazon.in</t>
  </si>
  <si>
    <t>402-4352577-5733904</t>
  </si>
  <si>
    <t>Tg6ynTmw4</t>
  </si>
  <si>
    <t>Dt8RzNbjcl0HR</t>
  </si>
  <si>
    <t>2026-07-06T07:04:25+05:30</t>
  </si>
  <si>
    <t>2026-07-07T19:34:52+05:30</t>
  </si>
  <si>
    <t>2026-07-07T22:38:16+05:30</t>
  </si>
  <si>
    <t>405-5963702-6171544</t>
  </si>
  <si>
    <t>TGsDbY3Y4</t>
  </si>
  <si>
    <t>DpfbzKbXcH0CR</t>
  </si>
  <si>
    <t>2026-07-06T18:38:47+05:30</t>
  </si>
  <si>
    <t>2026-07-07T19:28:40+05:30</t>
  </si>
  <si>
    <t>2026-07-07T19:28:43+05:30</t>
  </si>
  <si>
    <t>2026-07-07T20:28:54+05:30</t>
  </si>
  <si>
    <t>sxm4k1b0xdcc588@marketplace.amazon.in</t>
  </si>
  <si>
    <t>AM006140054IN</t>
  </si>
  <si>
    <t>406-1854340-8900362</t>
  </si>
  <si>
    <t>TcmcK5314</t>
  </si>
  <si>
    <t>D2fwzJbbcg0XR</t>
  </si>
  <si>
    <t>2026-07-06T19:30:17+05:30</t>
  </si>
  <si>
    <t>2026-07-07T19:26:53+05:30</t>
  </si>
  <si>
    <t>2026-07-07T19:27:01+05:30</t>
  </si>
  <si>
    <t>2026-07-07T20:31:39+05:30</t>
  </si>
  <si>
    <t>11dxyf1303c78m2@marketplace.amazon.in</t>
  </si>
  <si>
    <t>403-4319206-2549929</t>
  </si>
  <si>
    <t>T3Hs4TFL4</t>
  </si>
  <si>
    <t>DsXgVkbHcx0sR</t>
  </si>
  <si>
    <t>2026-07-06T23:21:44+05:30</t>
  </si>
  <si>
    <t>2026-07-07T19:26:00+05:30</t>
  </si>
  <si>
    <t>2026-07-07T19:26:08+05:30</t>
  </si>
  <si>
    <t>2026-07-07T20:26:37+05:30</t>
  </si>
  <si>
    <t>dxrxzkdhcxy0hl2@marketplace.amazon.in</t>
  </si>
  <si>
    <t>407-2960950-4975538</t>
  </si>
  <si>
    <t>T3Bgf7jl4</t>
  </si>
  <si>
    <t>DysHVCbjc60tR</t>
  </si>
  <si>
    <t>2026-07-05T22:46:35+05:30</t>
  </si>
  <si>
    <t>2026-07-07T19:11:51+05:30</t>
  </si>
  <si>
    <t>2026-07-07T22:12:08+05:30</t>
  </si>
  <si>
    <t>1msxfl9f95bs54s@marketplace.amazon.in</t>
  </si>
  <si>
    <t>New delhi</t>
  </si>
  <si>
    <t>171-4929268-6609147</t>
  </si>
  <si>
    <t>TXkKpmyv4</t>
  </si>
  <si>
    <t>DFshVSbgc60tR</t>
  </si>
  <si>
    <t>2026-07-07T15:10:23+05:30</t>
  </si>
  <si>
    <t>2026-07-07T19:10:44+05:30</t>
  </si>
  <si>
    <t>2026-07-07T19:10:47+05:30</t>
  </si>
  <si>
    <t>2026-07-07T20:10:58+05:30</t>
  </si>
  <si>
    <t>7pvl3q032t791rt@marketplace.amazon.in</t>
  </si>
  <si>
    <t>407-0303041-1752317</t>
  </si>
  <si>
    <t>TXTdvY854</t>
  </si>
  <si>
    <t>Dtr3VQbTck0hR</t>
  </si>
  <si>
    <t>2026-07-04T12:00:24+05:30</t>
  </si>
  <si>
    <t>2026-07-07T19:09:48+05:30</t>
  </si>
  <si>
    <t>2026-07-07T22:09:59+05:30</t>
  </si>
  <si>
    <t>r8bc81cgq35sswd@marketplace.amazon.in</t>
  </si>
  <si>
    <t>403-3537401-7223566</t>
  </si>
  <si>
    <t>TGMt0jyM4</t>
  </si>
  <si>
    <t>D2nw2Xb0cM0DR</t>
  </si>
  <si>
    <t>2026-07-07T13:42:32+05:30</t>
  </si>
  <si>
    <t>2026-07-07T19:00:46+05:30</t>
  </si>
  <si>
    <t>2026-07-07T22:00:58+05:30</t>
  </si>
  <si>
    <t>n0v12f5dklh2fpc@marketplace.amazon.in</t>
  </si>
  <si>
    <t>408-2495003-5697967</t>
  </si>
  <si>
    <t>TC66Kq3q4</t>
  </si>
  <si>
    <t>Dv5dFNbbcS0rR</t>
  </si>
  <si>
    <t>2026-07-06T22:58:11+05:30</t>
  </si>
  <si>
    <t>2026-07-07T18:55:49+05:30</t>
  </si>
  <si>
    <t>2026-07-07T21:56:01+05:30</t>
  </si>
  <si>
    <t>15zt7dl8qrm7rw8@marketplace.amazon.in</t>
  </si>
  <si>
    <t>406-7920124-1785922</t>
  </si>
  <si>
    <t>TXsb6lyH4</t>
  </si>
  <si>
    <t>D1ns2NbDcz0qR</t>
  </si>
  <si>
    <t>2026-07-07T07:22:25+05:30</t>
  </si>
  <si>
    <t>2026-07-07T18:48:42+05:30</t>
  </si>
  <si>
    <t>2026-07-07T18:48:45+05:30</t>
  </si>
  <si>
    <t>2026-07-07T19:48:59+05:30</t>
  </si>
  <si>
    <t>94j2fv9jtzlb9jv@marketplace.amazon.in</t>
  </si>
  <si>
    <t>405-4236882-2701145</t>
  </si>
  <si>
    <t>T1ffq1FF4</t>
  </si>
  <si>
    <t>DH5GFmbPc50rR</t>
  </si>
  <si>
    <t>2026-07-07T08:41:45+05:30</t>
  </si>
  <si>
    <t>2026-07-07T18:47:43+05:30</t>
  </si>
  <si>
    <t>2026-07-07T21:47:54+05:30</t>
  </si>
  <si>
    <t>4bz3nlfvnhrybb4@marketplace.amazon.in</t>
  </si>
  <si>
    <t>171-2827685-5624330</t>
  </si>
  <si>
    <t>TcXDQ0yz4</t>
  </si>
  <si>
    <t>Dlw6Dkblck0xR</t>
  </si>
  <si>
    <t>2026-07-07T10:42:03+05:30</t>
  </si>
  <si>
    <t>2026-07-07T18:28:46+05:30</t>
  </si>
  <si>
    <t>2026-07-07T21:28:57+05:30</t>
  </si>
  <si>
    <t>j543vjd2w29th63@marketplace.amazon.in</t>
  </si>
  <si>
    <t>403-9765470-3054747</t>
  </si>
  <si>
    <t>Tg4g8m3J4</t>
  </si>
  <si>
    <t>DfcQDBbrc40zR</t>
  </si>
  <si>
    <t>2026-07-06T22:42:17+05:30</t>
  </si>
  <si>
    <t>2026-07-07T18:27:44+05:30</t>
  </si>
  <si>
    <t>2026-07-07T18:27:48+05:30</t>
  </si>
  <si>
    <t>2026-07-07T19:27:59+05:30</t>
  </si>
  <si>
    <t>n2hrdyxkd986cw8@marketplace.amazon.in</t>
  </si>
  <si>
    <t>404-6228019-3123561</t>
  </si>
  <si>
    <t>TnKBVmyX4</t>
  </si>
  <si>
    <t>DbfBDjb7cd0MR</t>
  </si>
  <si>
    <t>2026-07-07T11:27:08+05:30</t>
  </si>
  <si>
    <t>2026-07-07T18:19:49+05:30</t>
  </si>
  <si>
    <t>2026-07-07T21:20:06+05:30</t>
  </si>
  <si>
    <t>xf0m0gdmyc5dsnw@marketplace.amazon.in</t>
  </si>
  <si>
    <t>171-1852052-2188349</t>
  </si>
  <si>
    <t>TJ45SRky4</t>
  </si>
  <si>
    <t>Dnf5DmbDcd0MR</t>
  </si>
  <si>
    <t>2026-07-06T16:10:26+05:30</t>
  </si>
  <si>
    <t>2026-07-07T18:18:47+05:30</t>
  </si>
  <si>
    <t>2026-07-07T21:22:41+05:30</t>
  </si>
  <si>
    <t>zsblb1y7hfqhc51@marketplace.amazon.in</t>
  </si>
  <si>
    <t>171-2035208-7320315</t>
  </si>
  <si>
    <t>TXrX5MmM4</t>
  </si>
  <si>
    <t>DgjrYPbBcY0fR</t>
  </si>
  <si>
    <t>2026-07-06T11:32:25+05:30</t>
  </si>
  <si>
    <t>2026-07-07T18:10:55+05:30</t>
  </si>
  <si>
    <t>2026-07-07T21:11:10+05:30</t>
  </si>
  <si>
    <t>90vrr48ktm9lq88@marketplace.amazon.in</t>
  </si>
  <si>
    <t>171-3449363-3784325</t>
  </si>
  <si>
    <t>TCWVzvyx4</t>
  </si>
  <si>
    <t>DFjnYvb4cY0fR</t>
  </si>
  <si>
    <t>2026-07-07T11:06:06+05:30</t>
  </si>
  <si>
    <t>2026-07-07T18:10:45+05:30</t>
  </si>
  <si>
    <t>g159wzkn2w6tbdf@marketplace.amazon.in</t>
  </si>
  <si>
    <t>D2jyYvb4cY0fR</t>
  </si>
  <si>
    <t>171-0707441-5954742</t>
  </si>
  <si>
    <t>TJqmFzyy4</t>
  </si>
  <si>
    <t>D1ZhYFbycL0pR</t>
  </si>
  <si>
    <t>2026-07-07T10:39:44+05:30</t>
  </si>
  <si>
    <t>2026-07-07T18:08:42+05:30</t>
  </si>
  <si>
    <t>2026-07-07T21:08:54+05:30</t>
  </si>
  <si>
    <t>4fmy6df52fnbpt0@marketplace.amazon.in</t>
  </si>
  <si>
    <t>404-8703047-1751540</t>
  </si>
  <si>
    <t>T3lJw4Fd4</t>
  </si>
  <si>
    <t>D4HyYRbPcS0HR</t>
  </si>
  <si>
    <t>2026-07-07T00:37:38+05:30</t>
  </si>
  <si>
    <t>2026-07-07T18:06:47+05:30</t>
  </si>
  <si>
    <t>2026-07-07T21:06:58+05:30</t>
  </si>
  <si>
    <t>x3j5548f387pfgk@marketplace.amazon.in</t>
  </si>
  <si>
    <t>404-1080343-4693958</t>
  </si>
  <si>
    <t>T32qqJF04</t>
  </si>
  <si>
    <t>DsZPYvbWcG0pR</t>
  </si>
  <si>
    <t>2026-07-07T09:31:59+05:30</t>
  </si>
  <si>
    <t>2026-07-07T18:04:46+05:30</t>
  </si>
  <si>
    <t>2026-07-07T21:04:58+05:30</t>
  </si>
  <si>
    <t>95bl62d9q63ndsb@marketplace.amazon.in</t>
  </si>
  <si>
    <t>404-8684792-1853963</t>
  </si>
  <si>
    <t>T3RsTbyf4</t>
  </si>
  <si>
    <t>DMJNYSbPcy0MR</t>
  </si>
  <si>
    <t>2026-07-07T13:02:02+05:30</t>
  </si>
  <si>
    <t>2026-07-07T17:58:44+05:30</t>
  </si>
  <si>
    <t>2026-07-07T20:58:52+05:30</t>
  </si>
  <si>
    <t>819kbys0tmhpw22@marketplace.amazon.in</t>
  </si>
  <si>
    <t>402-9090240-3229158</t>
  </si>
  <si>
    <t>Tg1Nw3yk4</t>
  </si>
  <si>
    <t>D3mrypbSc80rR</t>
  </si>
  <si>
    <t>2026-07-07T08:31:41+05:30</t>
  </si>
  <si>
    <t>2026-07-07T17:57:41+05:30</t>
  </si>
  <si>
    <t>2026-07-07T20:57:53+05:30</t>
  </si>
  <si>
    <t>wqp1ntd65xwwhpv@marketplace.amazon.in</t>
  </si>
  <si>
    <t>406-4061176-8140357</t>
  </si>
  <si>
    <t>T35ysK304</t>
  </si>
  <si>
    <t>DL1qy0bScd0zR</t>
  </si>
  <si>
    <t>2026-07-06T20:54:40+05:30</t>
  </si>
  <si>
    <t>2026-07-07T17:56:47+05:30</t>
  </si>
  <si>
    <t>2026-07-07T20:57:01+05:30</t>
  </si>
  <si>
    <t>tnrght8dvhjg2xc@marketplace.amazon.in</t>
  </si>
  <si>
    <t>405-1323063-5108308</t>
  </si>
  <si>
    <t>T1wGTqyZ4</t>
  </si>
  <si>
    <t>DbmLyjb7c80rR</t>
  </si>
  <si>
    <t>2026-07-07T12:27:30+05:30</t>
  </si>
  <si>
    <t>2026-07-07T17:54:52+05:30</t>
  </si>
  <si>
    <t>2026-07-07T20:55:03+05:30</t>
  </si>
  <si>
    <t>y06q48fqxjvcmz7@marketplace.amazon.in</t>
  </si>
  <si>
    <t>405-5910589-2628330</t>
  </si>
  <si>
    <t>TVJwm4yl4</t>
  </si>
  <si>
    <t>DJlNybbXcg0FR</t>
  </si>
  <si>
    <t>2026-07-07T13:26:04+05:30</t>
  </si>
  <si>
    <t>2026-07-07T17:46:51+05:30</t>
  </si>
  <si>
    <t>2026-07-07T20:47:23+05:30</t>
  </si>
  <si>
    <t>c3k46qm5ytvlj22@marketplace.amazon.in</t>
  </si>
  <si>
    <t>403-0322936-2300374</t>
  </si>
  <si>
    <t>T1t5vp8M4</t>
  </si>
  <si>
    <t>DJ8LwxbJcL0xR</t>
  </si>
  <si>
    <t>2026-07-04T12:17:28+05:30</t>
  </si>
  <si>
    <t>2026-07-07T17:40:47+05:30</t>
  </si>
  <si>
    <t>2026-07-07T20:40:58+05:30</t>
  </si>
  <si>
    <t>47bgq28x5xx718h@marketplace.amazon.in</t>
  </si>
  <si>
    <t>Danapur</t>
  </si>
  <si>
    <t>402-8330897-4221909</t>
  </si>
  <si>
    <t>TCBY4yyC4</t>
  </si>
  <si>
    <t>D78wwnb2cL0xR</t>
  </si>
  <si>
    <t>2026-07-07T06:54:09+05:30</t>
  </si>
  <si>
    <t>2026-07-07T17:37:49+05:30</t>
  </si>
  <si>
    <t>2026-07-07T20:38:03+05:30</t>
  </si>
  <si>
    <t>9hfb0kjv873hnfm@marketplace.amazon.in</t>
  </si>
  <si>
    <t>405-5909335-3074765</t>
  </si>
  <si>
    <t>T1g6xRym4</t>
  </si>
  <si>
    <t>Dx8rwXbRcL0xR</t>
  </si>
  <si>
    <t>2026-07-07T14:00:51+05:30</t>
  </si>
  <si>
    <t>2026-07-07T17:34:32+05:30</t>
  </si>
  <si>
    <t>2026-07-07T20:34:48+05:30</t>
  </si>
  <si>
    <t>405-5179644-1338744</t>
  </si>
  <si>
    <t>TVKMlRml4</t>
  </si>
  <si>
    <t>D9blw0brct0TR</t>
  </si>
  <si>
    <t>2026-07-05T23:22:16+05:30</t>
  </si>
  <si>
    <t>2026-07-07T17:31:48+05:30</t>
  </si>
  <si>
    <t>2026-07-07T20:32:01+05:30</t>
  </si>
  <si>
    <t>96crt9pg6447p50@marketplace.amazon.in</t>
  </si>
  <si>
    <t>408-2738210-9708326</t>
  </si>
  <si>
    <t>Tc1x7xyV4</t>
  </si>
  <si>
    <t>DKlFwmbnc20BR</t>
  </si>
  <si>
    <t>2026-07-07T12:38:02+05:30</t>
  </si>
  <si>
    <t>2026-07-07T17:31:42+05:30</t>
  </si>
  <si>
    <t>2026-07-07T20:31:54+05:30</t>
  </si>
  <si>
    <t>g89g6c8whd322dk@marketplace.amazon.in</t>
  </si>
  <si>
    <t>Haryana</t>
  </si>
  <si>
    <t>407-9499179-1252314</t>
  </si>
  <si>
    <t>TGlKxV314</t>
  </si>
  <si>
    <t>DHltwMbyc20BR</t>
  </si>
  <si>
    <t>2026-07-06T21:13:27+05:30</t>
  </si>
  <si>
    <t>2026-07-07T17:28:45+05:30</t>
  </si>
  <si>
    <t>2026-07-07T20:28:56+05:30</t>
  </si>
  <si>
    <t>h04y9jp00mx5qyv@marketplace.amazon.in</t>
  </si>
  <si>
    <t>406-8155053-7344356</t>
  </si>
  <si>
    <t>TcZgVPjx4</t>
  </si>
  <si>
    <t>Dn5FBdbQcs0PR</t>
  </si>
  <si>
    <t>2026-07-05T20:53:01+05:30</t>
  </si>
  <si>
    <t>2026-07-07T17:24:49+05:30</t>
  </si>
  <si>
    <t>2026-07-07T20:25:03+05:30</t>
  </si>
  <si>
    <t>cdknf3r8sjmsjrv@marketplace.amazon.in</t>
  </si>
  <si>
    <t>403-0812932-3348360</t>
  </si>
  <si>
    <t>TgP2rqyx4</t>
  </si>
  <si>
    <t>DqDdBcbjcx0WR</t>
  </si>
  <si>
    <t>2026-07-07T12:54:30+05:30</t>
  </si>
  <si>
    <t>2026-07-07T17:24:47+05:30</t>
  </si>
  <si>
    <t>2026-07-07T20:25:00+05:30</t>
  </si>
  <si>
    <t>90z7msg33r6fcxr@marketplace.amazon.in</t>
  </si>
  <si>
    <t>404-1987009-6037944</t>
  </si>
  <si>
    <t>TngyjLFy4</t>
  </si>
  <si>
    <t>DP56BnbJc20QR</t>
  </si>
  <si>
    <t>2026-07-07T09:10:48+05:30</t>
  </si>
  <si>
    <t>g0dj4w147qxnfzj@marketplace.amazon.in</t>
  </si>
  <si>
    <t>403-6782412-7403534</t>
  </si>
  <si>
    <t>TnnyDw1L4</t>
  </si>
  <si>
    <t>DT5wBlbwc20QR</t>
  </si>
  <si>
    <t>2026-07-03T13:29:36+05:30</t>
  </si>
  <si>
    <t>2026-07-07T17:21:56+05:30</t>
  </si>
  <si>
    <t>2026-07-07T17:21:59+05:30</t>
  </si>
  <si>
    <t>2026-07-07T18:22:09+05:30</t>
  </si>
  <si>
    <t>pzkrbj1ft1jpzlj@marketplace.amazon.in</t>
  </si>
  <si>
    <t>408-0395292-4989139</t>
  </si>
  <si>
    <t>T3SKkry24</t>
  </si>
  <si>
    <t>D8gL9WbTcx0sR</t>
  </si>
  <si>
    <t>2026-07-07T09:00:45+05:30</t>
  </si>
  <si>
    <t>2026-07-07T17:06:16+05:30</t>
  </si>
  <si>
    <t>2026-07-07T20:07:33+05:30</t>
  </si>
  <si>
    <t>llsqhsdh19q02wy@marketplace.amazon.in</t>
  </si>
  <si>
    <t>KOTTAKUPPAM</t>
  </si>
  <si>
    <t>404-2372642-8171568</t>
  </si>
  <si>
    <t>TGBjsqyc4</t>
  </si>
  <si>
    <t>D1wz96bKcT0DR</t>
  </si>
  <si>
    <t>2026-07-07T12:01:18+05:30</t>
  </si>
  <si>
    <t>2026-07-07T16:57:44+05:30</t>
  </si>
  <si>
    <t>2026-07-07T19:57:52+05:30</t>
  </si>
  <si>
    <t>m0x0wthp3p4jt7m@marketplace.amazon.in</t>
  </si>
  <si>
    <t>405-0782337-3657141</t>
  </si>
  <si>
    <t>TJKLsm3T4</t>
  </si>
  <si>
    <t>DLd89mbdcr0QR</t>
  </si>
  <si>
    <t>2026-07-06T10:48:29+05:30</t>
  </si>
  <si>
    <t>2026-07-07T16:56:41+05:30</t>
  </si>
  <si>
    <t>2026-07-07T19:56:53+05:30</t>
  </si>
  <si>
    <t>hjjbqjtf24nxdkz@marketplace.amazon.in</t>
  </si>
  <si>
    <t>404-5189997-5142755</t>
  </si>
  <si>
    <t>Tnv45k8v4</t>
  </si>
  <si>
    <t>DzC79pbxcy0mR</t>
  </si>
  <si>
    <t>2026-07-04T16:47:51+05:30</t>
  </si>
  <si>
    <t>2026-07-07T16:53:48+05:30</t>
  </si>
  <si>
    <t>2026-07-07T19:54:05+05:30</t>
  </si>
  <si>
    <t>rs4gvr03xb00rmc@marketplace.amazon.in</t>
  </si>
  <si>
    <t>404-0150086-4017969</t>
  </si>
  <si>
    <t>T3hq2cyn4</t>
  </si>
  <si>
    <t>D2j54mbKcN0bR</t>
  </si>
  <si>
    <t>2026-07-07T08:44:21+05:30</t>
  </si>
  <si>
    <t>2026-07-07T16:46:45+05:30</t>
  </si>
  <si>
    <t>2026-07-07T19:46:56+05:30</t>
  </si>
  <si>
    <t>3mkj387h657gg6b@marketplace.amazon.in</t>
  </si>
  <si>
    <t>403-2355916-8768329</t>
  </si>
  <si>
    <t>T1smf7m14</t>
  </si>
  <si>
    <t>D8ZZ4wbScf06R</t>
  </si>
  <si>
    <t>2026-07-06T12:18:22+05:30</t>
  </si>
  <si>
    <t>2026-07-07T16:39:54+05:30</t>
  </si>
  <si>
    <t>2026-07-07T19:40:05+05:30</t>
  </si>
  <si>
    <t>x7spqvt8sd5hsq5@marketplace.amazon.in</t>
  </si>
  <si>
    <t>171-3149167-4015564</t>
  </si>
  <si>
    <t>Tg1p8w3q4</t>
  </si>
  <si>
    <t>DJv4HzbZcS05R</t>
  </si>
  <si>
    <t>2026-07-06T23:59:53+05:30</t>
  </si>
  <si>
    <t>2026-07-07T16:34:57+05:30</t>
  </si>
  <si>
    <t>2026-07-07T19:35:18+05:30</t>
  </si>
  <si>
    <t>6f5k9sj7y5qdb7d@marketplace.amazon.in</t>
  </si>
  <si>
    <t>403-4816169-0088338</t>
  </si>
  <si>
    <t>T3jplqmm4</t>
  </si>
  <si>
    <t>DxxtHbb0c80hR</t>
  </si>
  <si>
    <t>2026-07-06T09:43:43+05:30</t>
  </si>
  <si>
    <t>2026-07-07T16:15:43+05:30</t>
  </si>
  <si>
    <t>2026-07-07T16:15:46+05:30</t>
  </si>
  <si>
    <t>2026-07-07T17:15:56+05:30</t>
  </si>
  <si>
    <t>7ts7bjkk3x02h6l@marketplace.amazon.in</t>
  </si>
  <si>
    <t>402-8362845-2468361</t>
  </si>
  <si>
    <t>Tnqyspyv4</t>
  </si>
  <si>
    <t>D23BbybPcv0XR</t>
  </si>
  <si>
    <t>2026-07-07T11:57:56+05:30</t>
  </si>
  <si>
    <t>2026-07-07T16:12:47+05:30</t>
  </si>
  <si>
    <t>2026-07-07T19:12:59+05:30</t>
  </si>
  <si>
    <t>h48c9tj94wshyn9@marketplace.amazon.in</t>
  </si>
  <si>
    <t>408-0285681-6915539</t>
  </si>
  <si>
    <t>TnSNVg1V4</t>
  </si>
  <si>
    <t>DDbzbpbFcT0kR</t>
  </si>
  <si>
    <t>2026-07-05T14:34:04+05:30</t>
  </si>
  <si>
    <t>2026-07-07T16:08:47+05:30</t>
  </si>
  <si>
    <t>2026-07-07T19:09:00+05:30</t>
  </si>
  <si>
    <t>x0fqfhfkbf4rc4c@marketplace.amazon.in</t>
  </si>
  <si>
    <t>D9bZbnbFcT0kR</t>
  </si>
  <si>
    <t>403-3972122-1645153</t>
  </si>
  <si>
    <t>Twkq75FK4</t>
  </si>
  <si>
    <t>Djx5bmbccF0fR</t>
  </si>
  <si>
    <t>2026-07-03T08:47:22+05:30</t>
  </si>
  <si>
    <t>2026-07-07T16:05:52+05:30</t>
  </si>
  <si>
    <t>2026-07-07T19:06:12+05:30</t>
  </si>
  <si>
    <t>0rx7l84tgn10mmm@marketplace.amazon.in</t>
  </si>
  <si>
    <t>407-9723588-9912321</t>
  </si>
  <si>
    <t>Tckq32yL4</t>
  </si>
  <si>
    <t>DS08bNbQc60GR</t>
  </si>
  <si>
    <t>2026-07-07T13:09:11+05:30</t>
  </si>
  <si>
    <t>2026-07-07T16:02:43+05:30</t>
  </si>
  <si>
    <t>2026-07-07T16:02:46+05:30</t>
  </si>
  <si>
    <t>2026-07-07T17:02:57+05:30</t>
  </si>
  <si>
    <t>npdlbtjm9d7v1zb@marketplace.amazon.in</t>
  </si>
  <si>
    <t>404-9877293-2565947</t>
  </si>
  <si>
    <t>TnjpGS304</t>
  </si>
  <si>
    <t>D7FWkwbLcH0tR</t>
  </si>
  <si>
    <t>2026-07-06T22:21:32+05:30</t>
  </si>
  <si>
    <t>2026-07-07T15:55:50+05:30</t>
  </si>
  <si>
    <t>2026-07-07T15:55:55+05:30</t>
  </si>
  <si>
    <t>2026-07-07T16:56:07+05:30</t>
  </si>
  <si>
    <t>2p109vjl8cbkxkh@marketplace.amazon.in</t>
  </si>
  <si>
    <t>405-2973017-2235543</t>
  </si>
  <si>
    <t>Tc8NzJyJ4</t>
  </si>
  <si>
    <t>DT7lknbfc00wR</t>
  </si>
  <si>
    <t>2026-07-07T11:30:54+05:30</t>
  </si>
  <si>
    <t>2026-07-07T15:54:43+05:30</t>
  </si>
  <si>
    <t>2026-07-07T15:54:47+05:30</t>
  </si>
  <si>
    <t>2026-07-07T16:54:58+05:30</t>
  </si>
  <si>
    <t>kl4fwx22k3xwdh3@marketplace.amazon.in</t>
  </si>
  <si>
    <t>Kelampakkam</t>
  </si>
  <si>
    <t>404-1504346-1368341</t>
  </si>
  <si>
    <t>TGn2cwy74</t>
  </si>
  <si>
    <t>DS6dkxbJcm04R</t>
  </si>
  <si>
    <t>2026-07-07T11:12:11+05:30</t>
  </si>
  <si>
    <t>2026-07-07T15:50:44+05:30</t>
  </si>
  <si>
    <t>2026-07-07T18:50:55+05:30</t>
  </si>
  <si>
    <t>7r5msr8kxn6w0xk@marketplace.amazon.in</t>
  </si>
  <si>
    <t>407-2606662-8108349</t>
  </si>
  <si>
    <t>TVZZSJ3g4</t>
  </si>
  <si>
    <t>DqNhNlblcP0lR</t>
  </si>
  <si>
    <t>2026-07-06T21:45:46+05:30</t>
  </si>
  <si>
    <t>2026-07-07T15:41:46+05:30</t>
  </si>
  <si>
    <t>2026-07-07T18:42:05+05:30</t>
  </si>
  <si>
    <t>k97xy6nf3sm2mbn@marketplace.amazon.in</t>
  </si>
  <si>
    <t>PALAMANER</t>
  </si>
  <si>
    <t>404-9405368-5765164</t>
  </si>
  <si>
    <t>Tw6NP1jV4</t>
  </si>
  <si>
    <t>D5l2NJbpcy0cR</t>
  </si>
  <si>
    <t>2026-07-05T23:03:58+05:30</t>
  </si>
  <si>
    <t>2026-07-07T15:28:41+05:30</t>
  </si>
  <si>
    <t>2026-07-07T15:28:43+05:30</t>
  </si>
  <si>
    <t>2026-07-07T16:28:54+05:30</t>
  </si>
  <si>
    <t>h1l7kcvn3sj686v@marketplace.amazon.in</t>
  </si>
  <si>
    <t>408-6224476-6833149</t>
  </si>
  <si>
    <t>TXc2L3yV4</t>
  </si>
  <si>
    <t>DGRYNSbYcx0YR</t>
  </si>
  <si>
    <t>2026-07-07T12:04:10+05:30</t>
  </si>
  <si>
    <t>2026-07-07T15:27:45+05:30</t>
  </si>
  <si>
    <t>2026-07-07T18:27:56+05:30</t>
  </si>
  <si>
    <t>v1m0dvnqqwhlvlb@marketplace.amazon.in</t>
  </si>
  <si>
    <t>406-6880930-6370744</t>
  </si>
  <si>
    <t>T6DHnHg24</t>
  </si>
  <si>
    <t>D340RDbScy05R</t>
  </si>
  <si>
    <t>2026-07-03T16:23:26+05:30</t>
  </si>
  <si>
    <t>2026-07-07T15:22:42+05:30</t>
  </si>
  <si>
    <t>2026-07-07T15:22:46+05:30</t>
  </si>
  <si>
    <t>2026-07-07T16:22:59+05:30</t>
  </si>
  <si>
    <t>n7rkg0tbqrmb375@marketplace.amazon.in</t>
  </si>
  <si>
    <t>402-6538649-5229909</t>
  </si>
  <si>
    <t>T6mQL0yt4</t>
  </si>
  <si>
    <t>DKQtR2bNck0qR</t>
  </si>
  <si>
    <t>2026-07-07T11:53:37+05:30</t>
  </si>
  <si>
    <t>2026-07-07T15:16:45+05:30</t>
  </si>
  <si>
    <t>2026-07-07T18:16:56+05:30</t>
  </si>
  <si>
    <t>1k9qkm4f7zzskjj@marketplace.amazon.in</t>
  </si>
  <si>
    <t>171-2761298-4343528</t>
  </si>
  <si>
    <t>T3ZbP8ym4</t>
  </si>
  <si>
    <t>D7GxR3bScl0xR</t>
  </si>
  <si>
    <t>2026-07-07T14:00:09+05:30</t>
  </si>
  <si>
    <t>2026-07-07T15:12:42+05:30</t>
  </si>
  <si>
    <t>2026-07-07T18:12:55+05:30</t>
  </si>
  <si>
    <t>v4p50xmdfch7p9r@marketplace.amazon.in</t>
  </si>
  <si>
    <t>408-2835488-8333134</t>
  </si>
  <si>
    <t>T6kFHZFL4</t>
  </si>
  <si>
    <t>DmHrhRZJc60YR</t>
  </si>
  <si>
    <t>2026-07-06T12:47:21+05:30</t>
  </si>
  <si>
    <t>2026-07-07T14:56:38+05:30</t>
  </si>
  <si>
    <t>2026-07-07T14:56:42+05:30</t>
  </si>
  <si>
    <t>2026-07-07T15:56:55+05:30</t>
  </si>
  <si>
    <t>nknymy600zhmzvn@marketplace.amazon.in</t>
  </si>
  <si>
    <t>407-9442230-5741122</t>
  </si>
  <si>
    <t>Tcm4S23R4</t>
  </si>
  <si>
    <t>DfvbfpZXc201R</t>
  </si>
  <si>
    <t>2026-07-06T20:02:24+05:30</t>
  </si>
  <si>
    <t>2026-07-07T14:50:38+05:30</t>
  </si>
  <si>
    <t>2026-07-07T14:50:41+05:30</t>
  </si>
  <si>
    <t>2026-07-07T15:50:59+05:30</t>
  </si>
  <si>
    <t>rr7h8v3hj6clsdn@marketplace.amazon.in</t>
  </si>
  <si>
    <t>404-5775318-8494708</t>
  </si>
  <si>
    <t>TNHrhhFz4</t>
  </si>
  <si>
    <t>DfvjfLZNct0rR</t>
  </si>
  <si>
    <t>2026-07-07T09:21:08+05:30</t>
  </si>
  <si>
    <t>2026-07-07T14:48:58+05:30</t>
  </si>
  <si>
    <t>2026-07-07T14:49:04+05:30</t>
  </si>
  <si>
    <t>2026-07-07T15:54:01+05:30</t>
  </si>
  <si>
    <t>ky1brrwt757b0p6@marketplace.amazon.in</t>
  </si>
  <si>
    <t>Bangalore Rural</t>
  </si>
  <si>
    <t>KA</t>
  </si>
  <si>
    <t>406-0038244-9844300</t>
  </si>
  <si>
    <t>T1kGs2yX4</t>
  </si>
  <si>
    <t>DMv6fYZnc201R</t>
  </si>
  <si>
    <t>2026-07-07T12:11:24+05:30</t>
  </si>
  <si>
    <t>2026-07-07T14:47:44+05:30</t>
  </si>
  <si>
    <t>2026-07-07T14:47:47+05:30</t>
  </si>
  <si>
    <t>2026-07-07T15:47:58+05:30</t>
  </si>
  <si>
    <t>d32c9hsdw1qk7g6@marketplace.amazon.in</t>
  </si>
  <si>
    <t>404-7259659-2934721</t>
  </si>
  <si>
    <t>TCTvvf394</t>
  </si>
  <si>
    <t>Dh58fbZzct0zR</t>
  </si>
  <si>
    <t>2026-07-06T20:40:53+05:30</t>
  </si>
  <si>
    <t>2026-07-07T14:47:45+05:30</t>
  </si>
  <si>
    <t>2026-07-07T17:47:56+05:30</t>
  </si>
  <si>
    <t>78ggvff7gj42rb8@marketplace.amazon.in</t>
  </si>
  <si>
    <t>407-3420611-8741158</t>
  </si>
  <si>
    <t>TwhTwV7c4</t>
  </si>
  <si>
    <t>DBgbfZZ5cB0hR</t>
  </si>
  <si>
    <t>2026-07-05T01:06:24+05:30</t>
  </si>
  <si>
    <t>2026-07-07T14:46:43+05:30</t>
  </si>
  <si>
    <t>2026-07-07T17:46:55+05:30</t>
  </si>
  <si>
    <t>r6sjn8hs9tkt6y1@marketplace.amazon.in</t>
  </si>
  <si>
    <t>171-9286380-6549962</t>
  </si>
  <si>
    <t>Tnmb3jj74</t>
  </si>
  <si>
    <t>Dhs5fgZHc80QR</t>
  </si>
  <si>
    <t>2026-07-05T19:57:50+05:30</t>
  </si>
  <si>
    <t>2026-07-07T14:34:51+05:30</t>
  </si>
  <si>
    <t>2026-07-07T14:34:55+05:30</t>
  </si>
  <si>
    <t>2026-07-07T15:35:12+05:30</t>
  </si>
  <si>
    <t>0clqm452gyjm4n2@marketplace.amazon.in</t>
  </si>
  <si>
    <t>Ramagundam</t>
  </si>
  <si>
    <t>408-8657427-2090740</t>
  </si>
  <si>
    <t>T66w1Vjh4</t>
  </si>
  <si>
    <t>DBXsjQZgcX0LR</t>
  </si>
  <si>
    <t>2026-07-05T21:31:58+05:30</t>
  </si>
  <si>
    <t>2026-07-07T14:29:48+05:30</t>
  </si>
  <si>
    <t>2026-07-07T17:30:04+05:30</t>
  </si>
  <si>
    <t>hgz3wsv5x89sw3n@marketplace.amazon.in</t>
  </si>
  <si>
    <t>408-8801626-9601923</t>
  </si>
  <si>
    <t>TCnm2HFM4</t>
  </si>
  <si>
    <t>DND8jdZbcz0HR</t>
  </si>
  <si>
    <t>2026-07-06T23:31:29+05:30</t>
  </si>
  <si>
    <t>2026-07-07T14:28:41+05:30</t>
  </si>
  <si>
    <t>2026-07-07T17:28:55+05:30</t>
  </si>
  <si>
    <t>0j4knbcgpv5jg2t@marketplace.amazon.in</t>
  </si>
  <si>
    <t>407-7059530-0517967</t>
  </si>
  <si>
    <t>TVqRvsy44</t>
  </si>
  <si>
    <t>D3BbjfZ5c402R</t>
  </si>
  <si>
    <t>2026-07-07T12:04:03+05:30</t>
  </si>
  <si>
    <t>2026-07-07T14:27:44+05:30</t>
  </si>
  <si>
    <t>2026-07-07T14:27:47+05:30</t>
  </si>
  <si>
    <t>2026-07-07T15:27:59+05:30</t>
  </si>
  <si>
    <t>qdwlhzt45k3rj9k@marketplace.amazon.in</t>
  </si>
  <si>
    <t>408-2910117-6725925</t>
  </si>
  <si>
    <t>TJ5Qp73N4</t>
  </si>
  <si>
    <t>DfHqjlZ0cF0hR</t>
  </si>
  <si>
    <t>2026-07-06T22:33:11+05:30</t>
  </si>
  <si>
    <t>2026-07-07T14:23:48+05:30</t>
  </si>
  <si>
    <t>2026-07-07T17:24:00+05:30</t>
  </si>
  <si>
    <t>lcb8wnh1b55y06t@marketplace.amazon.in</t>
  </si>
  <si>
    <t>171-3261055-4705921</t>
  </si>
  <si>
    <t>TCVCRWyB4</t>
  </si>
  <si>
    <t>D1XvZCZ8cW0FR</t>
  </si>
  <si>
    <t>2026-07-06T09:47:21+05:30</t>
  </si>
  <si>
    <t>2026-07-07T14:17:46+05:30</t>
  </si>
  <si>
    <t>2026-07-07T17:17:59+05:30</t>
  </si>
  <si>
    <t>bdb64j5rtrj1sw5@marketplace.amazon.in</t>
  </si>
  <si>
    <t>406-8067643-7761166</t>
  </si>
  <si>
    <t>TXRp243z4</t>
  </si>
  <si>
    <t>DVCPZZZHc40cR</t>
  </si>
  <si>
    <t>2026-07-06T19:17:16+05:30</t>
  </si>
  <si>
    <t>2026-07-07T14:05:40+05:30</t>
  </si>
  <si>
    <t>2026-07-07T17:05:51+05:30</t>
  </si>
  <si>
    <t>338j85lbqytfhbj@marketplace.amazon.in</t>
  </si>
  <si>
    <t>SANIVARAPUPETA</t>
  </si>
  <si>
    <t>407-4810246-1801960</t>
  </si>
  <si>
    <t>TG0XY5j34</t>
  </si>
  <si>
    <t>DxP0Z4ZNcv0VR</t>
  </si>
  <si>
    <t>2026-07-05T19:44:22+05:30</t>
  </si>
  <si>
    <t>2026-07-07T13:58:49+05:30</t>
  </si>
  <si>
    <t>2026-07-07T16:59:05+05:30</t>
  </si>
  <si>
    <t>406-5816897-3209928</t>
  </si>
  <si>
    <t>T3PDQ3BY4</t>
  </si>
  <si>
    <t>DzPhZqZmcj0hR</t>
  </si>
  <si>
    <t>2026-07-03T02:05:15+05:30</t>
  </si>
  <si>
    <t>2026-07-07T13:58:46+05:30</t>
  </si>
  <si>
    <t>2026-07-07T16:59:00+05:30</t>
  </si>
  <si>
    <t>6vkmh9fg18zy7ny@marketplace.amazon.in</t>
  </si>
  <si>
    <t>408-3674423-5506758</t>
  </si>
  <si>
    <t>TCdHYKFb4</t>
  </si>
  <si>
    <t>DtTzqQZ8cF00R</t>
  </si>
  <si>
    <t>2026-07-07T01:24:01+05:30</t>
  </si>
  <si>
    <t>2026-07-07T13:45:44+05:30</t>
  </si>
  <si>
    <t>2026-07-07T16:45:57+05:30</t>
  </si>
  <si>
    <t>wmznd0j6p9qnkdc@marketplace.amazon.in</t>
  </si>
  <si>
    <t>402-0060384-9907555</t>
  </si>
  <si>
    <t>TNNG1L3c4</t>
  </si>
  <si>
    <t>DRvB5hZJcK0tR</t>
  </si>
  <si>
    <t>2026-07-06T21:01:19+05:30</t>
  </si>
  <si>
    <t>2026-07-07T13:39:45+05:30</t>
  </si>
  <si>
    <t>2026-07-07T16:39:57+05:30</t>
  </si>
  <si>
    <t>406-7443551-0364360</t>
  </si>
  <si>
    <t>TJ0QfX3v4</t>
  </si>
  <si>
    <t>DX8N5xZGcW0rR</t>
  </si>
  <si>
    <t>2026-07-06T21:43:12+05:30</t>
  </si>
  <si>
    <t>2026-07-07T13:36:04+05:30</t>
  </si>
  <si>
    <t>2026-07-07T16:36:23+05:30</t>
  </si>
  <si>
    <t>rfvz8x8fppfmffw@marketplace.amazon.in</t>
  </si>
  <si>
    <t>Indore</t>
  </si>
  <si>
    <t>408-3259457-7240339</t>
  </si>
  <si>
    <t>TcSdSv3Q4</t>
  </si>
  <si>
    <t>D0vGgSZgcb0TR</t>
  </si>
  <si>
    <t>2026-07-06T22:19:10+05:30</t>
  </si>
  <si>
    <t>2026-07-07T13:27:41+05:30</t>
  </si>
  <si>
    <t>2026-07-07T13:27:45+05:30</t>
  </si>
  <si>
    <t>2026-07-07T14:28:00+05:30</t>
  </si>
  <si>
    <t>ty4knyfyf7g89n4@marketplace.amazon.in</t>
  </si>
  <si>
    <t>GORIMEDU</t>
  </si>
  <si>
    <t>404-4121175-7654736</t>
  </si>
  <si>
    <t>T1154hFx4</t>
  </si>
  <si>
    <t>D0v7gSZ3cb0TR</t>
  </si>
  <si>
    <t>2026-07-06T20:19:10+05:30</t>
  </si>
  <si>
    <t>2026-07-07T13:22:50+05:30</t>
  </si>
  <si>
    <t>2026-07-07T16:27:31+05:30</t>
  </si>
  <si>
    <t>f800l3w588dtjxq@marketplace.amazon.in</t>
  </si>
  <si>
    <t>404-0804985-6714762</t>
  </si>
  <si>
    <t>TCrVDq384</t>
  </si>
  <si>
    <t>Dl5Fg9ZVcY0xR</t>
  </si>
  <si>
    <t>2026-07-06T17:26:30+05:30</t>
  </si>
  <si>
    <t>2026-07-07T16:23:01+05:30</t>
  </si>
  <si>
    <t>q2s867lv44dgcv0@marketplace.amazon.in</t>
  </si>
  <si>
    <t>402-1304710-7355523</t>
  </si>
  <si>
    <t>T6gFlWFb4</t>
  </si>
  <si>
    <t>D9RMgrZ8c50cR</t>
  </si>
  <si>
    <t>2026-07-06T20:36:18+05:30</t>
  </si>
  <si>
    <t>2026-07-07T13:08:50+05:30</t>
  </si>
  <si>
    <t>2026-07-07T16:09:04+05:30</t>
  </si>
  <si>
    <t>5037yysz9fxgrfh@marketplace.amazon.in</t>
  </si>
  <si>
    <t>408-8042278-0779564</t>
  </si>
  <si>
    <t>TgKjhYg14</t>
  </si>
  <si>
    <t>DJ2BXyZPcJ0zR</t>
  </si>
  <si>
    <t>2026-07-03T23:56:40+05:30</t>
  </si>
  <si>
    <t>2026-07-07T12:46:39+05:30</t>
  </si>
  <si>
    <t>2026-07-07T15:46:50+05:30</t>
  </si>
  <si>
    <t>m4c94tg8ft9b47q@marketplace.amazon.in</t>
  </si>
  <si>
    <t>403-3440511-4565103</t>
  </si>
  <si>
    <t>Tgc7Gf3y4</t>
  </si>
  <si>
    <t>DjKSCdZ7cC0YR</t>
  </si>
  <si>
    <t>2026-07-06T22:13:21+05:30</t>
  </si>
  <si>
    <t>2026-07-07T12:30:48+05:30</t>
  </si>
  <si>
    <t>2026-07-07T15:31:02+05:30</t>
  </si>
  <si>
    <t>9qqpk6trcwd5wht@marketplace.amazon.in</t>
  </si>
  <si>
    <t>404-2024392-4154753</t>
  </si>
  <si>
    <t>Twsqmt3k4</t>
  </si>
  <si>
    <t>DKBrCPZ8cq0lR</t>
  </si>
  <si>
    <t>2026-07-06T22:44:25+05:30</t>
  </si>
  <si>
    <t>2026-07-07T12:27:46+05:30</t>
  </si>
  <si>
    <t>2026-07-07T15:27:57+05:30</t>
  </si>
  <si>
    <t>ssj78qnd1b9rk47@marketplace.amazon.in</t>
  </si>
  <si>
    <t>Amberpet Hyderabad</t>
  </si>
  <si>
    <t>404-6886555-4290763</t>
  </si>
  <si>
    <t>TnyyD7mk4</t>
  </si>
  <si>
    <t>DcFPCMZNcr0HR</t>
  </si>
  <si>
    <t>2026-07-06T04:16:14+05:30</t>
  </si>
  <si>
    <t>2026-07-07T12:27:42+05:30</t>
  </si>
  <si>
    <t>2026-07-07T12:27:45+05:30</t>
  </si>
  <si>
    <t>2026-07-07T13:27:56+05:30</t>
  </si>
  <si>
    <t>xzz1fl2xxc2psqm@marketplace.amazon.in</t>
  </si>
  <si>
    <t>Manora</t>
  </si>
  <si>
    <t>408-7616432-1189957</t>
  </si>
  <si>
    <t>TnpTg33l4</t>
  </si>
  <si>
    <t>DzSppSZ0c004R</t>
  </si>
  <si>
    <t>2026-07-06T23:07:41+05:30</t>
  </si>
  <si>
    <t>2026-07-07T12:15:41+05:30</t>
  </si>
  <si>
    <t>2026-07-07T12:15:44+05:30</t>
  </si>
  <si>
    <t>2026-07-07T13:15:55+05:30</t>
  </si>
  <si>
    <t>qjp5k7w05f01dj1@marketplace.amazon.in</t>
  </si>
  <si>
    <t>171-2492733-9689964</t>
  </si>
  <si>
    <t>TnxSjy3x4</t>
  </si>
  <si>
    <t>DSLQp9ZQcn05R</t>
  </si>
  <si>
    <t>2026-07-06T23:28:14+05:30</t>
  </si>
  <si>
    <t>2026-07-07T12:05:57+05:30</t>
  </si>
  <si>
    <t>2026-07-07T15:10:22+05:30</t>
  </si>
  <si>
    <t>g9ksvwskfpqf36l@marketplace.amazon.in</t>
  </si>
  <si>
    <t>408-8002188-7450703</t>
  </si>
  <si>
    <t>T3Ybt63Q4</t>
  </si>
  <si>
    <t>DWbjKCZ5cl06R</t>
  </si>
  <si>
    <t>2026-07-06T22:05:05+05:30</t>
  </si>
  <si>
    <t>2026-07-07T11:38:40+05:30</t>
  </si>
  <si>
    <t>2026-07-07T11:38:42+05:30</t>
  </si>
  <si>
    <t>2026-07-07T12:38:53+05:30</t>
  </si>
  <si>
    <t>7l42sfybz7qxdqd@marketplace.amazon.in</t>
  </si>
  <si>
    <t>SULEESWARANPATTI</t>
  </si>
  <si>
    <t>405-9164553-3769149</t>
  </si>
  <si>
    <t>Tgr25vkC4</t>
  </si>
  <si>
    <t>DzzgKwZqcj0VR</t>
  </si>
  <si>
    <t>2026-07-06T17:53:34+05:30</t>
  </si>
  <si>
    <t>2026-07-07T11:34:44+05:30</t>
  </si>
  <si>
    <t>8y0d5rxg881thn3@marketplace.amazon.in</t>
  </si>
  <si>
    <t>CHIRAKKAL</t>
  </si>
  <si>
    <t>408-7170182-5180301</t>
  </si>
  <si>
    <t>TgPDZRFP4</t>
  </si>
  <si>
    <t>DnWPKgZWcn0wR</t>
  </si>
  <si>
    <t>2026-07-07T09:29:58+05:30</t>
  </si>
  <si>
    <t>2026-07-07T11:34:39+05:30</t>
  </si>
  <si>
    <t>2026-07-07T11:34:41+05:30</t>
  </si>
  <si>
    <t>2026-07-07T12:34:52+05:30</t>
  </si>
  <si>
    <t>9qqb635wyyjt9mw@marketplace.amazon.in</t>
  </si>
  <si>
    <t>402-5081486-1041123</t>
  </si>
  <si>
    <t>TCkk77Fm4</t>
  </si>
  <si>
    <t>DpzBK3ZScj0VR</t>
  </si>
  <si>
    <t>2026-07-06T20:10:39+05:30</t>
  </si>
  <si>
    <t>2026-07-07T11:31:47+05:30</t>
  </si>
  <si>
    <t>2026-07-07T14:32:03+05:30</t>
  </si>
  <si>
    <t>rf085dnb6022pdg@marketplace.amazon.in</t>
  </si>
  <si>
    <t>408-7015423-6777933</t>
  </si>
  <si>
    <t>TCNG95yP4</t>
  </si>
  <si>
    <t>D8QnKQZ3cM0FR</t>
  </si>
  <si>
    <t>2026-07-07T09:57:55+05:30</t>
  </si>
  <si>
    <t>2026-07-07T11:30:40+05:30</t>
  </si>
  <si>
    <t>2026-07-07T11:30:43+05:30</t>
  </si>
  <si>
    <t>2026-07-07T12:30:54+05:30</t>
  </si>
  <si>
    <t>nh4w3xdf7w9vjd5@marketplace.amazon.in</t>
  </si>
  <si>
    <t>GARSHYAMNAGAR</t>
  </si>
  <si>
    <t>403-1883275-0550741</t>
  </si>
  <si>
    <t>T31qLg7K4</t>
  </si>
  <si>
    <t>DRvnmmZmcp0fR</t>
  </si>
  <si>
    <t>2026-07-05T06:23:37+05:30</t>
  </si>
  <si>
    <t>2026-07-07T11:24:48+05:30</t>
  </si>
  <si>
    <t>2026-07-07T14:25:04+05:30</t>
  </si>
  <si>
    <t>w9kg1xyl44zjj3j@marketplace.amazon.in</t>
  </si>
  <si>
    <t>407-6416075-3425960</t>
  </si>
  <si>
    <t>T1FFfpFc4</t>
  </si>
  <si>
    <t>D5ssKFZrcn0qR</t>
  </si>
  <si>
    <t>2026-07-07T09:33:27+05:30</t>
  </si>
  <si>
    <t>2026-07-07T11:24:44+05:30</t>
  </si>
  <si>
    <t>2026-07-07T14:24:56+05:30</t>
  </si>
  <si>
    <t>7zm2cv96tc4pkgs@marketplace.amazon.in</t>
  </si>
  <si>
    <t>404-4488874-4266750</t>
  </si>
  <si>
    <t>TXRls53v4</t>
  </si>
  <si>
    <t>Dd89mjZ4cp0LR</t>
  </si>
  <si>
    <t>2026-07-06T20:17:46+05:30</t>
  </si>
  <si>
    <t>2026-07-07T11:20:47+05:30</t>
  </si>
  <si>
    <t>2026-07-07T14:20:58+05:30</t>
  </si>
  <si>
    <t>zjlm7pkrsk96kct@marketplace.amazon.in</t>
  </si>
  <si>
    <t>2026-07-07T20:00:00+05:30</t>
  </si>
  <si>
    <t>408-2655366-0583517</t>
  </si>
  <si>
    <t>TNbPvq3j4</t>
  </si>
  <si>
    <t>DT8XmgZfcx0NR</t>
  </si>
  <si>
    <t>2026-07-06T21:02:41+05:30</t>
  </si>
  <si>
    <t>2026-07-07T11:16:48+05:30</t>
  </si>
  <si>
    <t>2026-07-07T14:17:03+05:30</t>
  </si>
  <si>
    <t>p04tfdsv4w3yhh4@marketplace.amazon.in</t>
  </si>
  <si>
    <t>Ramanagara</t>
  </si>
  <si>
    <t>407-6151407-0197906</t>
  </si>
  <si>
    <t>T6PQLX3d4</t>
  </si>
  <si>
    <t>D7qQmNZbcD0FR</t>
  </si>
  <si>
    <t>2026-07-06T20:36:41+05:30</t>
  </si>
  <si>
    <t>2026-07-07T11:06:38+05:30</t>
  </si>
  <si>
    <t>2026-07-07T11:06:40+05:30</t>
  </si>
  <si>
    <t>2026-07-07T12:06:52+05:30</t>
  </si>
  <si>
    <t>rlxlrqwlh692xlx@marketplace.amazon.in</t>
  </si>
  <si>
    <t>407-5112008-7736318</t>
  </si>
  <si>
    <t>T66FrX1x4</t>
  </si>
  <si>
    <t>DrFsldZPcX0cR</t>
  </si>
  <si>
    <t>2026-07-05T16:03:33+05:30</t>
  </si>
  <si>
    <t>2026-07-07T11:04:45+05:30</t>
  </si>
  <si>
    <t>2026-07-07T11:04:48+05:30</t>
  </si>
  <si>
    <t>2026-07-07T12:05:00+05:30</t>
  </si>
  <si>
    <t>40kf7z22ldsnqzg@marketplace.amazon.in</t>
  </si>
  <si>
    <t>406-6063445-8677951</t>
  </si>
  <si>
    <t>Tw3bZy3F4</t>
  </si>
  <si>
    <t>DBXy0xZ0cT0rR</t>
  </si>
  <si>
    <t>2026-07-06T22:37:05+05:30</t>
  </si>
  <si>
    <t>2026-07-07T10:47:51+05:30</t>
  </si>
  <si>
    <t>2026-07-07T10:47:56+05:30</t>
  </si>
  <si>
    <t>2026-07-07T11:48:24+05:30</t>
  </si>
  <si>
    <t>gdgt90cjww8fp66@marketplace.amazon.in</t>
  </si>
  <si>
    <t>Dfym09ZXcH0JR</t>
  </si>
  <si>
    <t>407-5317670-9867553</t>
  </si>
  <si>
    <t>TVww8x3y4</t>
  </si>
  <si>
    <t>DRbT00ZfcR06R</t>
  </si>
  <si>
    <t>2026-07-06T17:31:27+05:30</t>
  </si>
  <si>
    <t>2026-07-07T10:41:44+05:30</t>
  </si>
  <si>
    <t>2026-07-07T13:41:55+05:30</t>
  </si>
  <si>
    <t>fxyb5fp2q60b51d@marketplace.amazon.in</t>
  </si>
  <si>
    <t>404-5816795-7889126</t>
  </si>
  <si>
    <t>Tw2sZy3P4</t>
  </si>
  <si>
    <t>DqCr0PZtcQ0NR</t>
  </si>
  <si>
    <t>2026-07-06T21:19:53+05:30</t>
  </si>
  <si>
    <t>2026-07-07T10:37:47+05:30</t>
  </si>
  <si>
    <t>2026-07-07T13:38:00+05:30</t>
  </si>
  <si>
    <t>1c4yls5khgbxnr8@marketplace.amazon.in</t>
  </si>
  <si>
    <t>408-1994630-9902735</t>
  </si>
  <si>
    <t>T6RvfQ384</t>
  </si>
  <si>
    <t>Drqd0rZ2cT0jR</t>
  </si>
  <si>
    <t>2026-07-06T17:00:31+05:30</t>
  </si>
  <si>
    <t>2026-07-07T10:34:43+05:30</t>
  </si>
  <si>
    <t>2026-07-07T10:34:46+05:30</t>
  </si>
  <si>
    <t>2026-07-07T11:35:00+05:30</t>
  </si>
  <si>
    <t>0zly60z0k6xjq55@marketplace.amazon.in</t>
  </si>
  <si>
    <t>404-3625750-6073130</t>
  </si>
  <si>
    <t>TwFqPn3C4</t>
  </si>
  <si>
    <t>DJS3SDZvc60kR</t>
  </si>
  <si>
    <t>2026-07-06T21:39:57+05:30</t>
  </si>
  <si>
    <t>2026-07-07T10:31:52+05:30</t>
  </si>
  <si>
    <t>2026-07-07T13:32:04+05:30</t>
  </si>
  <si>
    <t>p52pxlx2q0f9rtv@marketplace.amazon.in</t>
  </si>
  <si>
    <t>404-8288892-1105925</t>
  </si>
  <si>
    <t>TX9lKC3R4</t>
  </si>
  <si>
    <t>D9vnSVZzc60pR</t>
  </si>
  <si>
    <t>2026-07-06T22:56:47+05:30</t>
  </si>
  <si>
    <t>2026-07-07T10:31:44+05:30</t>
  </si>
  <si>
    <t>2026-07-07T13:31:55+05:30</t>
  </si>
  <si>
    <t>721dbzpsw725b5b@marketplace.amazon.in</t>
  </si>
  <si>
    <t>405-1896113-7932357</t>
  </si>
  <si>
    <t>Tw5jpzkN4</t>
  </si>
  <si>
    <t>Dbv2SWZDc60pR</t>
  </si>
  <si>
    <t>2026-07-06T18:08:37+05:30</t>
  </si>
  <si>
    <t>2026-07-07T10:30:56+05:30</t>
  </si>
  <si>
    <t>2026-07-07T13:31:08+05:30</t>
  </si>
  <si>
    <t>sm1xrjj8cgltr8w@marketplace.amazon.in</t>
  </si>
  <si>
    <t>171-9145449-8942757</t>
  </si>
  <si>
    <t>T3NKkyF84</t>
  </si>
  <si>
    <t>DShYSBZQc204R</t>
  </si>
  <si>
    <t>2026-07-06T23:49:29+05:30</t>
  </si>
  <si>
    <t>2026-07-07T10:24:46+05:30</t>
  </si>
  <si>
    <t>2026-07-07T13:25:01+05:30</t>
  </si>
  <si>
    <t>lfv2jvjq95nnvpj@marketplace.amazon.in</t>
  </si>
  <si>
    <t>171-5123996-9801113</t>
  </si>
  <si>
    <t>TJnYkPyK4</t>
  </si>
  <si>
    <t>DMHWSVZWcL0TR</t>
  </si>
  <si>
    <t>2026-07-07T09:11:57+05:30</t>
  </si>
  <si>
    <t>2026-07-07T10:21:41+05:30</t>
  </si>
  <si>
    <t>2026-07-07T13:21:54+05:30</t>
  </si>
  <si>
    <t>9m9lqg6zk034nqf@marketplace.amazon.in</t>
  </si>
  <si>
    <t>407-5051014-9861156</t>
  </si>
  <si>
    <t>TgvXH2Fj4</t>
  </si>
  <si>
    <t>DgHzSFZBcg0BR</t>
  </si>
  <si>
    <t>2026-07-06T20:54:16+05:30</t>
  </si>
  <si>
    <t>2026-07-07T10:20:44+05:30</t>
  </si>
  <si>
    <t>2026-07-07T10:20:48+05:30</t>
  </si>
  <si>
    <t>2026-07-07T11:21:08+05:30</t>
  </si>
  <si>
    <t>12px01ztpwmrr8b@marketplace.amazon.in</t>
  </si>
  <si>
    <t>406-1879927-1429909</t>
  </si>
  <si>
    <t>Tgsl4Ky54</t>
  </si>
  <si>
    <t>DfH6SDZ5cB0BR</t>
  </si>
  <si>
    <t>2026-07-07T06:57:26+05:30</t>
  </si>
  <si>
    <t>2026-07-07T10:18:36+05:30</t>
  </si>
  <si>
    <t>2026-07-07T13:18:49+05:30</t>
  </si>
  <si>
    <t>f6w2r6hcxprqh50@marketplace.amazon.in</t>
  </si>
  <si>
    <t>406-1536436-1883568</t>
  </si>
  <si>
    <t>T3T4Xt8K4</t>
  </si>
  <si>
    <t>DDw86JZzcX09R</t>
  </si>
  <si>
    <t>2026-07-04T16:32:46+05:30</t>
  </si>
  <si>
    <t>2026-07-07T10:07:50+05:30</t>
  </si>
  <si>
    <t>2026-07-07T13:08:02+05:30</t>
  </si>
  <si>
    <t>wm43y0x45g8b5bs@marketplace.amazon.in</t>
  </si>
  <si>
    <t>402-5699732-2060357</t>
  </si>
  <si>
    <t>T3psmk324</t>
  </si>
  <si>
    <t>DsZr67ZSc704R</t>
  </si>
  <si>
    <t>2026-07-06T22:40:47+05:30</t>
  </si>
  <si>
    <t>2026-07-07T10:06:53+05:30</t>
  </si>
  <si>
    <t>2026-07-07T13:07:12+05:30</t>
  </si>
  <si>
    <t>j3gjw5z162x46yj@marketplace.amazon.in</t>
  </si>
  <si>
    <t>402-3342537-2396324</t>
  </si>
  <si>
    <t>T39gT03W4</t>
  </si>
  <si>
    <t>DYZC6NZNcG0YR</t>
  </si>
  <si>
    <t>2026-07-06T21:38:13+05:30</t>
  </si>
  <si>
    <t>2026-07-07T10:05:50+05:30</t>
  </si>
  <si>
    <t>2026-07-07T13:06:04+05:30</t>
  </si>
  <si>
    <t>lt0nbbvmxtd96yv@marketplace.amazon.in</t>
  </si>
  <si>
    <t>Thirumangalakudi</t>
  </si>
  <si>
    <t>403-7748898-7250751</t>
  </si>
  <si>
    <t>TnwtTKmv4</t>
  </si>
  <si>
    <t>DxCl6HZHcX0jR</t>
  </si>
  <si>
    <t>2026-07-06T07:34:56+05:30</t>
  </si>
  <si>
    <t>2026-07-07T10:03:45+05:30</t>
  </si>
  <si>
    <t>2026-07-07T13:04:00+05:30</t>
  </si>
  <si>
    <t>2nv79q1kk4fvc6q@marketplace.amazon.in</t>
  </si>
  <si>
    <t>408-1116027-5777944</t>
  </si>
  <si>
    <t>TGDdmhDQ4</t>
  </si>
  <si>
    <t>DrXTd2Zfcx0NR</t>
  </si>
  <si>
    <t>2026-07-04T23:37:18+05:30</t>
  </si>
  <si>
    <t>2026-07-07T09:56:43+05:30</t>
  </si>
  <si>
    <t>2026-07-07T09:56:46+05:30</t>
  </si>
  <si>
    <t>2026-07-07T10:56:59+05:30</t>
  </si>
  <si>
    <t>ww6swh8k7sh75xk@marketplace.amazon.in</t>
  </si>
  <si>
    <t>KANNOD</t>
  </si>
  <si>
    <t>171-5449668-3526721</t>
  </si>
  <si>
    <t>TGb26n3H4</t>
  </si>
  <si>
    <t>DcD3dWZdcW06R</t>
  </si>
  <si>
    <t>2026-07-06T22:04:59+05:30</t>
  </si>
  <si>
    <t>2026-07-07T09:53:44+05:30</t>
  </si>
  <si>
    <t>2026-07-07T12:53:55+05:30</t>
  </si>
  <si>
    <t>9dl4rl313690203@marketplace.amazon.in</t>
  </si>
  <si>
    <t>406-3459765-4400316</t>
  </si>
  <si>
    <t>TGg48k3r4</t>
  </si>
  <si>
    <t>Dz39d3ZjcT0wR</t>
  </si>
  <si>
    <t>2026-07-06T23:56:31+05:30</t>
  </si>
  <si>
    <t>2026-07-07T09:52:51+05:30</t>
  </si>
  <si>
    <t>2026-07-07T12:56:58+05:30</t>
  </si>
  <si>
    <t>jb87nrrgf3ttfcm@marketplace.amazon.in</t>
  </si>
  <si>
    <t>403-0241930-7951567</t>
  </si>
  <si>
    <t>T1fvmL3n4</t>
  </si>
  <si>
    <t>Dq9ZdCZ1cr0LR</t>
  </si>
  <si>
    <t>2026-07-06T22:19:08+05:30</t>
  </si>
  <si>
    <t>2026-07-07T09:46:47+05:30</t>
  </si>
  <si>
    <t>2026-07-07T12:47:01+05:30</t>
  </si>
  <si>
    <t>cqtwys19f0pdrd6@marketplace.amazon.in</t>
  </si>
  <si>
    <t>406-8973567-8347554</t>
  </si>
  <si>
    <t>TVkMkWFR4</t>
  </si>
  <si>
    <t>DScMdyZ3c70WR</t>
  </si>
  <si>
    <t>2026-07-06T23:43:53+05:30</t>
  </si>
  <si>
    <t>2026-07-07T09:45:41+05:30</t>
  </si>
  <si>
    <t>2026-07-07T09:45:45+05:30</t>
  </si>
  <si>
    <t>2026-07-07T10:45:55+05:30</t>
  </si>
  <si>
    <t>84t7mn91kb73k42@marketplace.amazon.in</t>
  </si>
  <si>
    <t>405-7673845-8397134</t>
  </si>
  <si>
    <t>T3747N3K4</t>
  </si>
  <si>
    <t>Dyv0GMZccT06R</t>
  </si>
  <si>
    <t>2026-07-06T20:40:13+05:30</t>
  </si>
  <si>
    <t>2026-07-07T09:43:43+05:30</t>
  </si>
  <si>
    <t>2026-07-07T12:43:56+05:30</t>
  </si>
  <si>
    <t>hgtjrq55lr0by0m@marketplace.amazon.in</t>
  </si>
  <si>
    <t>404-7565238-3221956</t>
  </si>
  <si>
    <t>Twqt6dks4</t>
  </si>
  <si>
    <t>DBZxG3ZPc405R</t>
  </si>
  <si>
    <t>2026-07-06T16:40:59+05:30</t>
  </si>
  <si>
    <t>2026-07-07T09:37:44+05:30</t>
  </si>
  <si>
    <t>2026-07-07T12:37:57+05:30</t>
  </si>
  <si>
    <t>dsljgylxktyvlr5@marketplace.amazon.in</t>
  </si>
  <si>
    <t>402-8301015-6823566</t>
  </si>
  <si>
    <t>TgMbtQj74</t>
  </si>
  <si>
    <t>DGskGlZYcs0TR</t>
  </si>
  <si>
    <t>2026-07-05T23:02:49+05:30</t>
  </si>
  <si>
    <t>2026-07-07T09:29:46+05:30</t>
  </si>
  <si>
    <t>2026-07-07T12:29:58+05:30</t>
  </si>
  <si>
    <t>rx8c38jgw4b71gr@marketplace.amazon.in</t>
  </si>
  <si>
    <t>KHARAR</t>
  </si>
  <si>
    <t>405-9455037-4751550</t>
  </si>
  <si>
    <t>TCxrNFm94</t>
  </si>
  <si>
    <t>DFsFGYZgcl0CR</t>
  </si>
  <si>
    <t>2026-07-06T01:46:56+05:30</t>
  </si>
  <si>
    <t>2026-07-07T09:27:44+05:30</t>
  </si>
  <si>
    <t>2026-07-07T09:27:49+05:30</t>
  </si>
  <si>
    <t>2026-07-07T10:28:00+05:30</t>
  </si>
  <si>
    <t>6hsx3vc85wtknkd@marketplace.amazon.in</t>
  </si>
  <si>
    <t>JAJAPUR</t>
  </si>
  <si>
    <t>404-5040819-1894736</t>
  </si>
  <si>
    <t>TGqSkzFN4</t>
  </si>
  <si>
    <t>DLs3GBZGcl0CR</t>
  </si>
  <si>
    <t>2026-07-06T20:06:39+05:30</t>
  </si>
  <si>
    <t>2026-07-07T09:26:03+05:30</t>
  </si>
  <si>
    <t>2026-07-07T12:26:21+05:30</t>
  </si>
  <si>
    <t>404-6753170-8930747</t>
  </si>
  <si>
    <t>TnLtdBmV4</t>
  </si>
  <si>
    <t>DB2LtMZHcj0sR</t>
  </si>
  <si>
    <t>2026-07-06T08:58:11+05:30</t>
  </si>
  <si>
    <t>2026-07-07T09:18:45+05:30</t>
  </si>
  <si>
    <t>2026-07-07T12:18:56+05:30</t>
  </si>
  <si>
    <t>k1fk7h7rr6ktjgz@marketplace.amazon.in</t>
  </si>
  <si>
    <t>SABANG</t>
  </si>
  <si>
    <t>408-5329803-2457928</t>
  </si>
  <si>
    <t>TCk92y8C4</t>
  </si>
  <si>
    <t>DQ9Qt6Zjcw0gR</t>
  </si>
  <si>
    <t>2026-07-04T11:48:01+05:30</t>
  </si>
  <si>
    <t>2026-07-07T09:18:43+05:30</t>
  </si>
  <si>
    <t>2026-07-07T12:18:54+05:30</t>
  </si>
  <si>
    <t>r811d4dz0kqfgdr@marketplace.amazon.in</t>
  </si>
  <si>
    <t>HALVAD</t>
  </si>
  <si>
    <t>403-1005537-2061141</t>
  </si>
  <si>
    <t>TGS2Nz3l4</t>
  </si>
  <si>
    <t>DGf1tCZ5cS0TR</t>
  </si>
  <si>
    <t>2026-07-06T19:04:14+05:30</t>
  </si>
  <si>
    <t>2026-07-07T09:14:54+05:30</t>
  </si>
  <si>
    <t>2026-07-07T12:24:02+05:30</t>
  </si>
  <si>
    <t>zp1143pgtrltypn@marketplace.amazon.in</t>
  </si>
  <si>
    <t>171-4615543-9196311</t>
  </si>
  <si>
    <t>TwzJWQDv4</t>
  </si>
  <si>
    <t>DZHRtkZGcX06R</t>
  </si>
  <si>
    <t>2026-07-04T22:50:48+05:30</t>
  </si>
  <si>
    <t>2026-07-07T09:11:44+05:30</t>
  </si>
  <si>
    <t>2026-07-07T12:11:58+05:30</t>
  </si>
  <si>
    <t>97j9wk728ylgr8t@marketplace.amazon.in</t>
  </si>
  <si>
    <t>403-1537670-3567510</t>
  </si>
  <si>
    <t>TJt6RdFp4</t>
  </si>
  <si>
    <t>DCGYt4ZhcC09R</t>
  </si>
  <si>
    <t>2026-07-06T21:45:33+05:30</t>
  </si>
  <si>
    <t>2026-07-07T09:08:43+05:30</t>
  </si>
  <si>
    <t>2026-07-07T09:08:45+05:30</t>
  </si>
  <si>
    <t>2026-07-07T10:08:56+05:30</t>
  </si>
  <si>
    <t>fn1934hj3s4yrk5@marketplace.amazon.in</t>
  </si>
  <si>
    <t>402-2682913-6460364</t>
  </si>
  <si>
    <t>TnCBhqkJ4</t>
  </si>
  <si>
    <t>DPKsPtZ3c10tR</t>
  </si>
  <si>
    <t>2026-07-06T17:49:20+05:30</t>
  </si>
  <si>
    <t>2026-07-07T09:05:55+05:30</t>
  </si>
  <si>
    <t>2026-07-07T12:06:12+05:30</t>
  </si>
  <si>
    <t>405-7882868-2640323</t>
  </si>
  <si>
    <t>TG7gdB8Y4</t>
  </si>
  <si>
    <t>DrYVT1Ztc90YR</t>
  </si>
  <si>
    <t>2026-07-04T15:26:03+05:30</t>
  </si>
  <si>
    <t>2026-07-07T08:39:46+05:30</t>
  </si>
  <si>
    <t>2026-07-07T11:40:03+05:30</t>
  </si>
  <si>
    <t>4p1f8328j14np1t@marketplace.amazon.in</t>
  </si>
  <si>
    <t>AM006062754IN</t>
  </si>
  <si>
    <t>407-3654594-6676308</t>
  </si>
  <si>
    <t>TwQKSrDq4</t>
  </si>
  <si>
    <t>D2MlvZZ4cc0NR</t>
  </si>
  <si>
    <t>2026-07-04T22:53:30+05:30</t>
  </si>
  <si>
    <t>2026-07-07T04:58:46+05:30</t>
  </si>
  <si>
    <t>2026-07-07T07:58:59+05:30</t>
  </si>
  <si>
    <t>DTMQvZZ4cc0NR</t>
  </si>
  <si>
    <t>D2GtvcZQcb0BR</t>
  </si>
  <si>
    <t>403-3096187-6722757</t>
  </si>
  <si>
    <t>T32bKL3q4</t>
  </si>
  <si>
    <t>DM5Wz6Zpcv0BR</t>
  </si>
  <si>
    <t>2026-07-06T22:55:43+05:30</t>
  </si>
  <si>
    <t>2026-07-07T04:46:56+05:30</t>
  </si>
  <si>
    <t>2026-07-07T07:47:21+05:30</t>
  </si>
  <si>
    <t>5mxxjrxnqbp2rfs@marketplace.amazon.in</t>
  </si>
  <si>
    <t>405-4664262-3310757</t>
  </si>
  <si>
    <t>T3d442394</t>
  </si>
  <si>
    <t>Dm27zQZlcC0XR</t>
  </si>
  <si>
    <t>2026-07-06T19:14:05+05:30</t>
  </si>
  <si>
    <t>2026-07-07T04:43:42+05:30</t>
  </si>
  <si>
    <t>2026-07-07T04:43:44+05:30</t>
  </si>
  <si>
    <t>2026-07-07T05:43:55+05:30</t>
  </si>
  <si>
    <t>wxc56yxlx4frw92@marketplace.amazon.in</t>
  </si>
  <si>
    <t>403-4710327-1864359</t>
  </si>
  <si>
    <t>Tg8s1RFd4</t>
  </si>
  <si>
    <t>D0FxVWZjcn0FR</t>
  </si>
  <si>
    <t>2026-07-07T02:44:30+05:30</t>
  </si>
  <si>
    <t>2026-07-07T04:35:42+05:30</t>
  </si>
  <si>
    <t>2026-07-07T04:35:44+05:30</t>
  </si>
  <si>
    <t>2026-07-07T05:35:57+05:30</t>
  </si>
  <si>
    <t>m88h8hc54gy2r86@marketplace.amazon.in</t>
  </si>
  <si>
    <t>403-6781560-2523526</t>
  </si>
  <si>
    <t>TC5GvH384</t>
  </si>
  <si>
    <t>DXt7VVZycY0BR</t>
  </si>
  <si>
    <t>2026-07-06T20:42:04+05:30</t>
  </si>
  <si>
    <t>2026-07-07T04:30:46+05:30</t>
  </si>
  <si>
    <t>2026-07-07T04:30:49+05:30</t>
  </si>
  <si>
    <t>2026-07-07T05:30:59+05:30</t>
  </si>
  <si>
    <t>wy6h7dgc3wtl28n@marketplace.amazon.in</t>
  </si>
  <si>
    <t>405-2536910-7300328</t>
  </si>
  <si>
    <t>TXdgKn304</t>
  </si>
  <si>
    <t>Dq1JV3ZdcS09R</t>
  </si>
  <si>
    <t>2026-07-06T22:29:44+05:30</t>
  </si>
  <si>
    <t>2026-07-07T04:30:40+05:30</t>
  </si>
  <si>
    <t>2026-07-07T04:30:43+05:30</t>
  </si>
  <si>
    <t>2026-07-07T05:30:54+05:30</t>
  </si>
  <si>
    <t>v9822knwgjby4x4@marketplace.amazon.in</t>
  </si>
  <si>
    <t>408-1076009-8665101</t>
  </si>
  <si>
    <t>TXjBg3kY4</t>
  </si>
  <si>
    <t>D7w1VBZGcN02R</t>
  </si>
  <si>
    <t>2026-07-06T17:39:22+05:30</t>
  </si>
  <si>
    <t>2026-07-07T04:26:44+05:30</t>
  </si>
  <si>
    <t>2026-07-07T07:26:55+05:30</t>
  </si>
  <si>
    <t>2h26g3k9l3wvpn8@marketplace.amazon.in</t>
  </si>
  <si>
    <t>403-1818799-6509159</t>
  </si>
  <si>
    <t>TnwT29Fg4</t>
  </si>
  <si>
    <t>D91ZV3Z4cS09R</t>
  </si>
  <si>
    <t>2026-07-07T01:19:44+05:30</t>
  </si>
  <si>
    <t>2026-07-07T04:26:41+05:30</t>
  </si>
  <si>
    <t>2026-07-07T07:26:54+05:30</t>
  </si>
  <si>
    <t>l1hy21npymtjrkd@marketplace.amazon.in</t>
  </si>
  <si>
    <t>sangareddy</t>
  </si>
  <si>
    <t>405-1725809-4986743</t>
  </si>
  <si>
    <t>TNkkH5k24</t>
  </si>
  <si>
    <t>D8fBVyZbct05R</t>
  </si>
  <si>
    <t>2026-07-06T11:52:19+05:30</t>
  </si>
  <si>
    <t>2026-07-07T04:21:41+05:30</t>
  </si>
  <si>
    <t>2026-07-07T07:21:52+05:30</t>
  </si>
  <si>
    <t>n20kjnhbm1wl9f8@marketplace.amazon.in</t>
  </si>
  <si>
    <t>171-8600448-7604329</t>
  </si>
  <si>
    <t>TVpCF2Fp4</t>
  </si>
  <si>
    <t>DNX923ZFcw0qR</t>
  </si>
  <si>
    <t>2026-07-06T11:23:02+05:30</t>
  </si>
  <si>
    <t>2026-07-07T04:17:45+05:30</t>
  </si>
  <si>
    <t>2026-07-07T04:17:48+05:30</t>
  </si>
  <si>
    <t>2026-07-07T05:18:03+05:30</t>
  </si>
  <si>
    <t>b5fyz7563lr2syy@marketplace.amazon.in</t>
  </si>
  <si>
    <t>403-4925383-8944354</t>
  </si>
  <si>
    <t>TgWzzH3J4</t>
  </si>
  <si>
    <t>Dh3n2VZYcf0KR</t>
  </si>
  <si>
    <t>2026-07-06T20:43:29+05:30</t>
  </si>
  <si>
    <t>2026-07-07T04:12:44+05:30</t>
  </si>
  <si>
    <t>2026-07-07T07:12:56+05:30</t>
  </si>
  <si>
    <t>9qw0529tzdp3x7s@marketplace.amazon.in</t>
  </si>
  <si>
    <t>ONGOLE</t>
  </si>
  <si>
    <t>402-8437728-2463532</t>
  </si>
  <si>
    <t>TCsW6rjJ4</t>
  </si>
  <si>
    <t>DHLV2VZwcw0sR</t>
  </si>
  <si>
    <t>2026-07-05T23:21:36+05:30</t>
  </si>
  <si>
    <t>2026-07-07T04:04:47+05:30</t>
  </si>
  <si>
    <t>2026-07-07T07:04:58+05:30</t>
  </si>
  <si>
    <t>xg3fnfpwp2hrpls@marketplace.amazon.in</t>
  </si>
  <si>
    <t>406-3765338-0093945</t>
  </si>
  <si>
    <t>TgvTWc3Z4</t>
  </si>
  <si>
    <t>DGsJFBZtc60kR</t>
  </si>
  <si>
    <t>2026-07-06T22:19:05+05:30</t>
  </si>
  <si>
    <t>2026-07-07T03:45:42+05:30</t>
  </si>
  <si>
    <t>2026-07-07T06:45:56+05:30</t>
  </si>
  <si>
    <t>3rz7c8nc32hpfr2@marketplace.amazon.in</t>
  </si>
  <si>
    <t>403-2878851-1772356</t>
  </si>
  <si>
    <t>TwcyKvkJ4</t>
  </si>
  <si>
    <t>DKSgDrZvcP0QR</t>
  </si>
  <si>
    <t>2026-07-06T16:32:55+05:30</t>
  </si>
  <si>
    <t>2026-07-07T03:41:47+05:30</t>
  </si>
  <si>
    <t>2026-07-07T03:41:51+05:30</t>
  </si>
  <si>
    <t>2026-07-07T04:42:07+05:30</t>
  </si>
  <si>
    <t>3xq29rp63p7cmdx@marketplace.amazon.in</t>
  </si>
  <si>
    <t>406-0046647-2150772</t>
  </si>
  <si>
    <t>TNZG0C3V4</t>
  </si>
  <si>
    <t>DhDVDZZHc70yR</t>
  </si>
  <si>
    <t>2026-07-06T22:27:02+05:30</t>
  </si>
  <si>
    <t>2026-07-07T03:40:48+05:30</t>
  </si>
  <si>
    <t>2026-07-07T06:41:06+05:30</t>
  </si>
  <si>
    <t>wg2g1ycc784njws@marketplace.amazon.in</t>
  </si>
  <si>
    <t>403-6019530-7093130</t>
  </si>
  <si>
    <t>TXr4Xy304</t>
  </si>
  <si>
    <t>D3ntFFZHcc0tR</t>
  </si>
  <si>
    <t>2026-07-05T20:17:22+05:30</t>
  </si>
  <si>
    <t>2026-07-07T03:40:42+05:30</t>
  </si>
  <si>
    <t>2026-07-07T06:40:53+05:30</t>
  </si>
  <si>
    <t>ym3ph3tfmrzl2dl@marketplace.amazon.in</t>
  </si>
  <si>
    <t>403-0205401-3357107</t>
  </si>
  <si>
    <t>TcnKJ63F4</t>
  </si>
  <si>
    <t>DBNTDLZGcl0BR</t>
  </si>
  <si>
    <t>2026-07-06T22:03:37+05:30</t>
  </si>
  <si>
    <t>2026-07-07T03:37:47+05:30</t>
  </si>
  <si>
    <t>2026-07-07T06:37:59+05:30</t>
  </si>
  <si>
    <t>1rwyxtg240t8pf9@marketplace.amazon.in</t>
  </si>
  <si>
    <t>403-3976520-2296333</t>
  </si>
  <si>
    <t>TNknC43Y4</t>
  </si>
  <si>
    <t>DCDmDsZlcD0yR</t>
  </si>
  <si>
    <t>2026-07-06T23:09:23+05:30</t>
  </si>
  <si>
    <t>2026-07-07T03:36:45+05:30</t>
  </si>
  <si>
    <t>2026-07-07T06:36:56+05:30</t>
  </si>
  <si>
    <t>nh7qgwjkgm8yy1k@marketplace.amazon.in</t>
  </si>
  <si>
    <t>402-7804650-5473953</t>
  </si>
  <si>
    <t>TnFzlsjd4</t>
  </si>
  <si>
    <t>D0DVDnZZcZ03R</t>
  </si>
  <si>
    <t>2026-07-05T23:29:08+05:30</t>
  </si>
  <si>
    <t>2026-07-07T03:34:46+05:30</t>
  </si>
  <si>
    <t>2026-07-07T06:34:57+05:30</t>
  </si>
  <si>
    <t>g034gbkjpv27q33@marketplace.amazon.in</t>
  </si>
  <si>
    <t>405-6981891-8852319</t>
  </si>
  <si>
    <t>T6ZVTK394</t>
  </si>
  <si>
    <t>DV9WD1ZMcF0yR</t>
  </si>
  <si>
    <t>2026-07-06T22:05:38+05:30</t>
  </si>
  <si>
    <t>2026-07-07T03:33:46+05:30</t>
  </si>
  <si>
    <t>2026-07-07T06:33:57+05:30</t>
  </si>
  <si>
    <t>q3z2632sf2w8wd0@marketplace.amazon.in</t>
  </si>
  <si>
    <t>403-9149068-0596303</t>
  </si>
  <si>
    <t>T1v0RmFQ4</t>
  </si>
  <si>
    <t>DBDHYfZKcq0XR</t>
  </si>
  <si>
    <t>2026-07-06T19:38:17+05:30</t>
  </si>
  <si>
    <t>2026-07-07T03:18:52+05:30</t>
  </si>
  <si>
    <t>2026-07-07T06:22:27+05:30</t>
  </si>
  <si>
    <t>18z8ysw5lbvxhgq@marketplace.amazon.in</t>
  </si>
  <si>
    <t>406-2738964-2868332</t>
  </si>
  <si>
    <t>TX37jG3P4</t>
  </si>
  <si>
    <t>DB6PYfZHcY02R</t>
  </si>
  <si>
    <t>2026-07-06T21:15:06+05:30</t>
  </si>
  <si>
    <t>2026-07-07T03:17:43+05:30</t>
  </si>
  <si>
    <t>2026-07-07T06:17:55+05:30</t>
  </si>
  <si>
    <t>2pvw9j9phvlbcjq@marketplace.amazon.in</t>
  </si>
  <si>
    <t>HAZIRA</t>
  </si>
  <si>
    <t>404-8672059-9212316</t>
  </si>
  <si>
    <t>T3clfjkx4</t>
  </si>
  <si>
    <t>D6Khy0Zwc90RR</t>
  </si>
  <si>
    <t>2026-07-06T18:28:16+05:30</t>
  </si>
  <si>
    <t>2026-07-07T03:09:41+05:30</t>
  </si>
  <si>
    <t>2026-07-07T03:09:43+05:30</t>
  </si>
  <si>
    <t>2026-07-07T04:09:54+05:30</t>
  </si>
  <si>
    <t>ndynb7x5k0c57ww@marketplace.amazon.in</t>
  </si>
  <si>
    <t>407-4263640-1181938</t>
  </si>
  <si>
    <t>Tnlthjk54</t>
  </si>
  <si>
    <t>DP8PyxZkcx0lR</t>
  </si>
  <si>
    <t>2026-07-06T18:03:06+05:30</t>
  </si>
  <si>
    <t>2026-07-07T03:00:42+05:30</t>
  </si>
  <si>
    <t>2026-07-07T06:04:19+05:30</t>
  </si>
  <si>
    <t>jg0g1fyhdyyfbqm@marketplace.amazon.in</t>
  </si>
  <si>
    <t>404-6872204-4776359</t>
  </si>
  <si>
    <t>T3wxpm3p4</t>
  </si>
  <si>
    <t>DxSZwTZTct02R</t>
  </si>
  <si>
    <t>2026-07-06T22:53:12+05:30</t>
  </si>
  <si>
    <t>2026-07-07T02:48:46+05:30</t>
  </si>
  <si>
    <t>2026-07-07T05:48:58+05:30</t>
  </si>
  <si>
    <t>bptz8czvjn1mfp1@marketplace.amazon.in</t>
  </si>
  <si>
    <t>Thanjavur</t>
  </si>
  <si>
    <t>407-9070728-0291529</t>
  </si>
  <si>
    <t>TXyjH7k94</t>
  </si>
  <si>
    <t>DWkpBYZ7cJ0NR</t>
  </si>
  <si>
    <t>2026-07-06T11:50:59+05:30</t>
  </si>
  <si>
    <t>2026-07-07T02:33:44+05:30</t>
  </si>
  <si>
    <t>2026-07-07T05:33:58+05:30</t>
  </si>
  <si>
    <t>smwn6286l9t13nh@marketplace.amazon.in</t>
  </si>
  <si>
    <t>BENAULIM</t>
  </si>
  <si>
    <t>407-2281001-9863528</t>
  </si>
  <si>
    <t>TJmmphk34</t>
  </si>
  <si>
    <t>DlzGBmZvcp03R</t>
  </si>
  <si>
    <t>2026-07-06T18:18:15+05:30</t>
  </si>
  <si>
    <t>2026-07-07T02:25:42+05:30</t>
  </si>
  <si>
    <t>2026-07-07T02:25:44+05:30</t>
  </si>
  <si>
    <t>2026-07-07T03:25:55+05:30</t>
  </si>
  <si>
    <t>hr7v1smv3bpmk64@marketplace.amazon.in</t>
  </si>
  <si>
    <t>ADIRAMAPATTINAM</t>
  </si>
  <si>
    <t>406-0334455-7833937</t>
  </si>
  <si>
    <t>TVKVZq774</t>
  </si>
  <si>
    <t>DpRYBHZwc00dR</t>
  </si>
  <si>
    <t>2026-07-05T12:18:44+05:30</t>
  </si>
  <si>
    <t>2026-07-07T02:15:48+05:30</t>
  </si>
  <si>
    <t>2026-07-07T05:16:01+05:30</t>
  </si>
  <si>
    <t>55h125y87swwlgz@marketplace.amazon.in</t>
  </si>
  <si>
    <t>408-3818149-5478752</t>
  </si>
  <si>
    <t>TNZmVC324</t>
  </si>
  <si>
    <t>DY7V9qZCcb0qR</t>
  </si>
  <si>
    <t>2026-07-06T19:58:17+05:30</t>
  </si>
  <si>
    <t>2026-07-07T02:12:41+05:30</t>
  </si>
  <si>
    <t>2026-07-07T02:12:44+05:30</t>
  </si>
  <si>
    <t>2026-07-07T03:12:54+05:30</t>
  </si>
  <si>
    <t>9hldt9hskmlgfsh@marketplace.amazon.in</t>
  </si>
  <si>
    <t>HANAMKONDA</t>
  </si>
  <si>
    <t>408-0419907-6462748</t>
  </si>
  <si>
    <t>TN4LKbDY4</t>
  </si>
  <si>
    <t>DNHV9YZdcz0wR</t>
  </si>
  <si>
    <t>2026-07-04T22:51:00+05:30</t>
  </si>
  <si>
    <t>2026-07-07T02:05:53+05:30</t>
  </si>
  <si>
    <t>2026-07-07T05:06:05+05:30</t>
  </si>
  <si>
    <t>p9hml2w12glcb5v@marketplace.amazon.in</t>
  </si>
  <si>
    <t>404-0542553-4388316</t>
  </si>
  <si>
    <t>T1Rm1xjz4</t>
  </si>
  <si>
    <t>D7dK94ZDcb0yR</t>
  </si>
  <si>
    <t>2026-07-06T14:16:30+05:30</t>
  </si>
  <si>
    <t>2026-07-07T02:02:45+05:30</t>
  </si>
  <si>
    <t>2026-07-07T05:03:00+05:30</t>
  </si>
  <si>
    <t>jzrf2gr67k53sjx@marketplace.amazon.in</t>
  </si>
  <si>
    <t>408-5357890-9514750</t>
  </si>
  <si>
    <t>TgZXHT3G4</t>
  </si>
  <si>
    <t>DtRX9CZvcV03R</t>
  </si>
  <si>
    <t>2026-07-06T18:40:02+05:30</t>
  </si>
  <si>
    <t>2026-07-07T01:57:44+05:30</t>
  </si>
  <si>
    <t>2026-07-07T01:57:47+05:30</t>
  </si>
  <si>
    <t>2026-07-07T02:57:58+05:30</t>
  </si>
  <si>
    <t>ywml233100hzcq0@marketplace.amazon.in</t>
  </si>
  <si>
    <t>404-8623752-5001131</t>
  </si>
  <si>
    <t>TwtqHPmv4</t>
  </si>
  <si>
    <t>D2nQHpZccB0ZR</t>
  </si>
  <si>
    <t>2026-07-05T21:48:58+05:30</t>
  </si>
  <si>
    <t>2026-07-07T01:27:47+05:30</t>
  </si>
  <si>
    <t>2026-07-07T04:28:10+05:30</t>
  </si>
  <si>
    <t>jmk329pn59772jr@marketplace.amazon.in</t>
  </si>
  <si>
    <t>MADHURAWADA, vishakapatnam</t>
  </si>
  <si>
    <t>403-0133973-2262765</t>
  </si>
  <si>
    <t>TNBvvqkm4</t>
  </si>
  <si>
    <t>DXRHklZvcs0jR</t>
  </si>
  <si>
    <t>2026-07-05T21:36:17+05:30</t>
  </si>
  <si>
    <t>2026-07-07T00:53:46+05:30</t>
  </si>
  <si>
    <t>2026-07-07T00:53:49+05:30</t>
  </si>
  <si>
    <t>2026-07-07T01:54:07+05:30</t>
  </si>
  <si>
    <t>6bx09g8hdlx0ms6@marketplace.amazon.in</t>
  </si>
  <si>
    <t>403-3804036-7713913</t>
  </si>
  <si>
    <t>TnhSCrjb4</t>
  </si>
  <si>
    <t>DhkFNWZYcX0hR</t>
  </si>
  <si>
    <t>2026-07-05T22:33:25+05:30</t>
  </si>
  <si>
    <t>2026-07-07T00:49:09+05:30</t>
  </si>
  <si>
    <t>2026-07-07T03:49:21+05:30</t>
  </si>
  <si>
    <t>h3xt2xy3rmf9gsw@marketplace.amazon.in</t>
  </si>
  <si>
    <t>ALIBAG</t>
  </si>
  <si>
    <t>406-7536913-7334756</t>
  </si>
  <si>
    <t>T32Sv6324</t>
  </si>
  <si>
    <t>DCS1NnZFcF01R</t>
  </si>
  <si>
    <t>2026-07-06T20:22:08+05:30</t>
  </si>
  <si>
    <t>2026-07-07T00:47:48+05:30</t>
  </si>
  <si>
    <t>2026-07-07T00:47:50+05:30</t>
  </si>
  <si>
    <t>2026-07-07T01:48:01+05:30</t>
  </si>
  <si>
    <t>xb3m2lfsyl4sddr@marketplace.amazon.in</t>
  </si>
  <si>
    <t>2026-07-07T08:00:00+05:30</t>
  </si>
  <si>
    <t>406-5675600-7857932</t>
  </si>
  <si>
    <t>TgqzZ7kV4</t>
  </si>
  <si>
    <t>DhVnNgZ0cb0VR</t>
  </si>
  <si>
    <t>2026-07-06T17:19:35+05:30</t>
  </si>
  <si>
    <t>2026-07-07T00:43:43+05:30</t>
  </si>
  <si>
    <t>2026-07-07T00:43:45+05:30</t>
  </si>
  <si>
    <t>2026-07-07T01:43:56+05:30</t>
  </si>
  <si>
    <t>2wtmhsq01mpmksm@marketplace.amazon.in</t>
  </si>
  <si>
    <t>403-8690432-5221100</t>
  </si>
  <si>
    <t>T1XQyx8p4</t>
  </si>
  <si>
    <t>DFZ3NJZ7cx0LR</t>
  </si>
  <si>
    <t>2026-07-04T11:28:05+05:30</t>
  </si>
  <si>
    <t>2026-07-07T00:41:44+05:30</t>
  </si>
  <si>
    <t>2026-07-07T00:41:46+05:30</t>
  </si>
  <si>
    <t>2026-07-07T01:41:58+05:30</t>
  </si>
  <si>
    <t>ny9plh5j0rm5nv1@marketplace.amazon.in</t>
  </si>
  <si>
    <t>406-5514105-3270752</t>
  </si>
  <si>
    <t>TVJ0GWjT4</t>
  </si>
  <si>
    <t>DzJzNGZgcS0lR</t>
  </si>
  <si>
    <t>2026-07-05T23:17:53+05:30</t>
  </si>
  <si>
    <t>2026-07-07T00:34:00+05:30</t>
  </si>
  <si>
    <t>2026-07-07T00:34:04+05:30</t>
  </si>
  <si>
    <t>2026-07-07T01:38:09+05:30</t>
  </si>
  <si>
    <t>h8xmdbwlt68wl64@marketplace.amazon.in</t>
  </si>
  <si>
    <t>408-2934996-9872307</t>
  </si>
  <si>
    <t>TXdtfx134</t>
  </si>
  <si>
    <t>DGKcRvZQch0cR</t>
  </si>
  <si>
    <t>2026-07-05T18:41:15+05:30</t>
  </si>
  <si>
    <t>2026-07-07T00:31:24+05:30</t>
  </si>
  <si>
    <t>2026-07-07T03:31:35+05:30</t>
  </si>
  <si>
    <t>tpz71c30jx75s5m@marketplace.amazon.in</t>
  </si>
  <si>
    <t>171-6614892-7021136</t>
  </si>
  <si>
    <t>TVgWSRkC4</t>
  </si>
  <si>
    <t>DV4YRrZfcw0nR</t>
  </si>
  <si>
    <t>2026-07-06T16:18:38+05:30</t>
  </si>
  <si>
    <t>2026-07-07T00:30:01+05:30</t>
  </si>
  <si>
    <t>2026-07-07T03:30:12+05:30</t>
  </si>
  <si>
    <t>q0zlktdh3j1dg3h@marketplace.amazon.in</t>
  </si>
  <si>
    <t>407-9053306-8551506</t>
  </si>
  <si>
    <t>TGwDmLjF4</t>
  </si>
  <si>
    <t>DbBrRgZNcR0rR</t>
  </si>
  <si>
    <t>2026-07-05T23:47:32+05:30</t>
  </si>
  <si>
    <t>2026-07-07T00:29:01+05:30</t>
  </si>
  <si>
    <t>2026-07-07T03:29:12+05:30</t>
  </si>
  <si>
    <t>y8rdg4kwx3pl7gj@marketplace.amazon.in</t>
  </si>
  <si>
    <t>403-0710475-3897110</t>
  </si>
  <si>
    <t>T6RnXvj44</t>
  </si>
  <si>
    <t>D1BKR7ZScp0rR</t>
  </si>
  <si>
    <t>2026-07-05T23:39:28+05:30</t>
  </si>
  <si>
    <t>2026-07-07T00:26:54+05:30</t>
  </si>
  <si>
    <t>2026-07-07T03:27:22+05:30</t>
  </si>
  <si>
    <t>4tv3y62820l2rpk@marketplace.amazon.in</t>
  </si>
  <si>
    <t>408-7065887-6507564</t>
  </si>
  <si>
    <t>Tg4qMJkc4</t>
  </si>
  <si>
    <t>DvTDRhZyc80yR</t>
  </si>
  <si>
    <t>2026-07-06T15:01:12+05:30</t>
  </si>
  <si>
    <t>2026-07-07T00:21:02+05:30</t>
  </si>
  <si>
    <t>2026-07-07T03:21:16+05:30</t>
  </si>
  <si>
    <t>3xpcvkq11yl921w@marketplace.amazon.in</t>
  </si>
  <si>
    <t>403-6849404-4195506</t>
  </si>
  <si>
    <t>TXtl9bDm4</t>
  </si>
  <si>
    <t>DmMGhRwgcH0YR</t>
  </si>
  <si>
    <t>2026-07-04T18:20:09+05:30</t>
  </si>
  <si>
    <t>2026-07-07T00:07:47+05:30</t>
  </si>
  <si>
    <t>2026-07-07T03:08:00+05:30</t>
  </si>
  <si>
    <t>171-7546653-0681966</t>
  </si>
  <si>
    <t>TG0jBn3S4</t>
  </si>
  <si>
    <t>D4CQhNwRcX0bR</t>
  </si>
  <si>
    <t>2026-07-06T18:46:47+05:30</t>
  </si>
  <si>
    <t>2026-07-07T00:05:38+05:30</t>
  </si>
  <si>
    <t>2026-07-07T00:05:42+05:30</t>
  </si>
  <si>
    <t>2026-07-07T01:05:53+05:30</t>
  </si>
  <si>
    <t>5sb8zg1blv9qhlx@marketplace.amazon.in</t>
  </si>
  <si>
    <t>BHUSAWAL</t>
  </si>
  <si>
    <t>405-5014176-7441947</t>
  </si>
  <si>
    <t>Tcx49f3L4</t>
  </si>
  <si>
    <t>D1Cphtwqcv0bR</t>
  </si>
  <si>
    <t>2026-07-06T19:16:43+05:30</t>
  </si>
  <si>
    <t>2026-07-07T00:04:41+05:30</t>
  </si>
  <si>
    <t>2026-07-07T03:04:53+05:30</t>
  </si>
  <si>
    <t>gp44lk3yjff9bqx@marketplace.amazon.in</t>
  </si>
  <si>
    <t>407-6532878-6030706</t>
  </si>
  <si>
    <t>T6zC06kg4</t>
  </si>
  <si>
    <t>DfCQh4wVcZ0JR</t>
  </si>
  <si>
    <t>2026-07-06T16:31:30+05:30</t>
  </si>
  <si>
    <t>2026-07-07T00:03:47+05:30</t>
  </si>
  <si>
    <t>2026-07-07T03:04:00+05:30</t>
  </si>
  <si>
    <t>ym7tg7v277x7ttk@marketplace.amazon.in</t>
  </si>
  <si>
    <t>404-4415081-6001102</t>
  </si>
  <si>
    <t>TJsCkG3n4</t>
  </si>
  <si>
    <t>DjRzhYwBcy0hR</t>
  </si>
  <si>
    <t>2026-07-06T19:18:14+05:30</t>
  </si>
  <si>
    <t>2026-07-07T00:03:46+05:30</t>
  </si>
  <si>
    <t>2026-07-07T03:04:05+05:30</t>
  </si>
  <si>
    <t>405-5512326-5458716</t>
  </si>
  <si>
    <t>T1r9fZkB4</t>
  </si>
  <si>
    <t>DnxGhkwVcT04R</t>
  </si>
  <si>
    <t>2026-07-06T17:55:34+05:30</t>
  </si>
  <si>
    <t>2026-07-07T00:02:48+05:30</t>
  </si>
  <si>
    <t>2026-07-07T03:03:04+05:30</t>
  </si>
  <si>
    <t>kp194dw76fvldkw@marketplace.amazon.in</t>
  </si>
  <si>
    <t>403-1446274-4459566</t>
  </si>
  <si>
    <t>TnJb3Dkl4</t>
  </si>
  <si>
    <t>DVRFhdwScF0hR</t>
  </si>
  <si>
    <t>2026-07-06T14:53:03+05:30</t>
  </si>
  <si>
    <t>2026-07-06T23:59:44+05:30</t>
  </si>
  <si>
    <t>2026-07-07T02:59:55+05:30</t>
  </si>
  <si>
    <t>1mvzrt8smy2ts44@marketplace.amazon.in</t>
  </si>
  <si>
    <t>405-3410498-6504352</t>
  </si>
  <si>
    <t>Tw3cLgjl4</t>
  </si>
  <si>
    <t>Dr53fnwXct08R</t>
  </si>
  <si>
    <t>2026-07-05T21:47:57+05:30</t>
  </si>
  <si>
    <t>2026-07-06T23:58:57+05:30</t>
  </si>
  <si>
    <t>2026-07-06T23:59:04+05:30</t>
  </si>
  <si>
    <t>2026-07-07T00:59:34+05:30</t>
  </si>
  <si>
    <t>d51sqxppp9rp824@marketplace.amazon.in</t>
  </si>
  <si>
    <t>405-0617370-5369923</t>
  </si>
  <si>
    <t>T3ZKT8kB4</t>
  </si>
  <si>
    <t>DD5lffwGcG0CR</t>
  </si>
  <si>
    <t>2026-07-06T16:01:02+05:30</t>
  </si>
  <si>
    <t>2026-07-06T23:57:45+05:30</t>
  </si>
  <si>
    <t>092tqlbjcsvf4d7@marketplace.amazon.in</t>
  </si>
  <si>
    <t>402-7856077-9331550</t>
  </si>
  <si>
    <t>TwGl3p334</t>
  </si>
  <si>
    <t>DVMzfvw6cm0WR</t>
  </si>
  <si>
    <t>2026-07-06T21:28:02+05:30</t>
  </si>
  <si>
    <t>2026-07-06T23:54:42+05:30</t>
  </si>
  <si>
    <t>2026-07-06T23:54:46+05:30</t>
  </si>
  <si>
    <t>2026-07-07T00:54:56+05:30</t>
  </si>
  <si>
    <t>0gs6hrw1sllkn6f@marketplace.amazon.in</t>
  </si>
  <si>
    <t>402-9719910-8308325</t>
  </si>
  <si>
    <t>T6ZHdH2S4</t>
  </si>
  <si>
    <t>DXwHf1wPcN0pR</t>
  </si>
  <si>
    <t>2026-07-02T21:36:22+05:30</t>
  </si>
  <si>
    <t>2026-07-06T23:51:44+05:30</t>
  </si>
  <si>
    <t>2026-07-07T02:51:57+05:30</t>
  </si>
  <si>
    <t>n1fzq3dyfmz10ng@marketplace.amazon.in</t>
  </si>
  <si>
    <t>406-4493069-3392339</t>
  </si>
  <si>
    <t>T6d8Z2jB4</t>
  </si>
  <si>
    <t>DzzjfBwZcB0PR</t>
  </si>
  <si>
    <t>2026-07-06T00:56:02+05:30</t>
  </si>
  <si>
    <t>2026-07-06T23:49:54+05:30</t>
  </si>
  <si>
    <t>2026-07-06T23:50:00+05:30</t>
  </si>
  <si>
    <t>2026-07-07T00:50:28+05:30</t>
  </si>
  <si>
    <t>rlm7r12dms6fyh8@marketplace.amazon.in</t>
  </si>
  <si>
    <t>402-2275664-5764340</t>
  </si>
  <si>
    <t>Tw0Bw5kf4</t>
  </si>
  <si>
    <t>DFQFfJw5cX0GR</t>
  </si>
  <si>
    <t>2026-07-06T13:04:30+05:30</t>
  </si>
  <si>
    <t>2026-07-06T23:47:05+05:30</t>
  </si>
  <si>
    <t>2026-07-07T02:47:56+05:30</t>
  </si>
  <si>
    <t>spqkq8y80zs94hb@marketplace.amazon.in</t>
  </si>
  <si>
    <t>404-8843093-2399566</t>
  </si>
  <si>
    <t>T1tGPFkv4</t>
  </si>
  <si>
    <t>D5Hzf5w3cm0lR</t>
  </si>
  <si>
    <t>2026-07-06T15:09:03+05:30</t>
  </si>
  <si>
    <t>2026-07-06T23:46:50+05:30</t>
  </si>
  <si>
    <t>2026-07-07T02:47:08+05:30</t>
  </si>
  <si>
    <t>171-0120044-0726755</t>
  </si>
  <si>
    <t>TXxzf1mp4</t>
  </si>
  <si>
    <t>Dqnrfnwgcf0MR</t>
  </si>
  <si>
    <t>2026-07-06T11:46:13+05:30</t>
  </si>
  <si>
    <t>2026-07-06T23:45:52+05:30</t>
  </si>
  <si>
    <t>2026-07-07T02:46:09+05:30</t>
  </si>
  <si>
    <t>30q7ynrwmbrsl84@marketplace.amazon.in</t>
  </si>
  <si>
    <t>404-3674136-6454765</t>
  </si>
  <si>
    <t>TcD2gDjJ4</t>
  </si>
  <si>
    <t>DdLQf9wKc80MR</t>
  </si>
  <si>
    <t>2026-07-06T00:24:25+05:30</t>
  </si>
  <si>
    <t>2026-07-06T23:43:44+05:30</t>
  </si>
  <si>
    <t>2026-07-06T23:43:50+05:30</t>
  </si>
  <si>
    <t>2026-07-07T00:44:06+05:30</t>
  </si>
  <si>
    <t>5srzf98wm5nv291@marketplace.amazon.in</t>
  </si>
  <si>
    <t>408-0774486-5147554</t>
  </si>
  <si>
    <t>Tc2gZckw4</t>
  </si>
  <si>
    <t>DHnbfrw8cd0kR</t>
  </si>
  <si>
    <t>2026-07-06T17:59:00+05:30</t>
  </si>
  <si>
    <t>2026-07-06T23:43:42+05:30</t>
  </si>
  <si>
    <t>2026-07-07T00:43:55+05:30</t>
  </si>
  <si>
    <t>xrg8jvltfb2bsbg@marketplace.amazon.in</t>
  </si>
  <si>
    <t>407-5231996-9853117</t>
  </si>
  <si>
    <t>T6kfJ3kS4</t>
  </si>
  <si>
    <t>DgKpj0wyc40zR</t>
  </si>
  <si>
    <t>2026-07-06T15:41:09+05:30</t>
  </si>
  <si>
    <t>2026-07-06T23:37:56+05:30</t>
  </si>
  <si>
    <t>2026-07-07T02:38:24+05:30</t>
  </si>
  <si>
    <t>x7cz9whfwn9bv6d@marketplace.amazon.in</t>
  </si>
  <si>
    <t>DC4Gj2wycY0dR</t>
  </si>
  <si>
    <t>407-1383023-7573905</t>
  </si>
  <si>
    <t>TX54GPkP4</t>
  </si>
  <si>
    <t>D4Zyjhw5cP0TR</t>
  </si>
  <si>
    <t>2026-07-06T15:33:23+05:30</t>
  </si>
  <si>
    <t>2026-07-06T23:36:47+05:30</t>
  </si>
  <si>
    <t>2026-07-07T02:37:02+05:30</t>
  </si>
  <si>
    <t>hjhf2pc8ywtw97t@marketplace.amazon.in</t>
  </si>
  <si>
    <t>403-0752971-0945962</t>
  </si>
  <si>
    <t>T1r9H1k14</t>
  </si>
  <si>
    <t>DQDYj4w8cj0YR</t>
  </si>
  <si>
    <t>2026-07-06T11:56:46+05:30</t>
  </si>
  <si>
    <t>2026-07-06T23:35:44+05:30</t>
  </si>
  <si>
    <t>2026-07-07T02:35:55+05:30</t>
  </si>
  <si>
    <t>ct1l02y9v548syp@marketplace.amazon.in</t>
  </si>
  <si>
    <t>171-8705673-6633912</t>
  </si>
  <si>
    <t>TCZQftkp4</t>
  </si>
  <si>
    <t>DqV4jWw6c70wR</t>
  </si>
  <si>
    <t>2026-07-06T17:55:30+05:30</t>
  </si>
  <si>
    <t>2026-07-06T23:32:47+05:30</t>
  </si>
  <si>
    <t>2026-07-07T02:32:59+05:30</t>
  </si>
  <si>
    <t>8kfvtfxlqhdfhvw@marketplace.amazon.in</t>
  </si>
  <si>
    <t>403-1614221-6258754</t>
  </si>
  <si>
    <t>TCdkV5kQ4</t>
  </si>
  <si>
    <t>D7nLjxwRcg0dR</t>
  </si>
  <si>
    <t>2026-07-06T14:33:22+05:30</t>
  </si>
  <si>
    <t>2026-07-06T23:26:43+05:30</t>
  </si>
  <si>
    <t>2026-07-06T23:26:45+05:30</t>
  </si>
  <si>
    <t>2026-07-07T00:26:56+05:30</t>
  </si>
  <si>
    <t>fqrqdx3897pjkfj@marketplace.amazon.in</t>
  </si>
  <si>
    <t>408-4544200-9693139</t>
  </si>
  <si>
    <t>T6rwZsk24</t>
  </si>
  <si>
    <t>DjBdZpwGcc01R</t>
  </si>
  <si>
    <t>2026-07-06T17:39:20+05:30</t>
  </si>
  <si>
    <t>2026-07-06T23:23:44+05:30</t>
  </si>
  <si>
    <t>2026-07-06T23:23:47+05:30</t>
  </si>
  <si>
    <t>2026-07-07T00:23:58+05:30</t>
  </si>
  <si>
    <t>ngk0g2h0p6drrzd@marketplace.amazon.in</t>
  </si>
  <si>
    <t>171-4071662-8867555</t>
  </si>
  <si>
    <t>TgPKBv3Y4</t>
  </si>
  <si>
    <t>DrDWZBwPcM06R</t>
  </si>
  <si>
    <t>2026-07-06T19:48:55+05:30</t>
  </si>
  <si>
    <t>2026-07-06T23:18:47+05:30</t>
  </si>
  <si>
    <t>2026-07-07T02:18:58+05:30</t>
  </si>
  <si>
    <t>x00vrvxhwgh7dwp@marketplace.amazon.in</t>
  </si>
  <si>
    <t>408-7635765-4204319</t>
  </si>
  <si>
    <t>TNN93G3F4</t>
  </si>
  <si>
    <t>DjZGZHwfc40cR</t>
  </si>
  <si>
    <t>2026-07-06T21:40:11+05:30</t>
  </si>
  <si>
    <t>2026-07-06T23:13:42+05:30</t>
  </si>
  <si>
    <t>2026-07-07T02:13:53+05:30</t>
  </si>
  <si>
    <t>96804f6f0lm4ptt@marketplace.amazon.in</t>
  </si>
  <si>
    <t>405-5424762-1476356</t>
  </si>
  <si>
    <t>TCwZw33V4</t>
  </si>
  <si>
    <t>DSHwZGwXcf0JR</t>
  </si>
  <si>
    <t>2026-07-06T19:10:44+05:30</t>
  </si>
  <si>
    <t>2026-07-06T23:10:48+05:30</t>
  </si>
  <si>
    <t>2026-07-07T02:11:00+05:30</t>
  </si>
  <si>
    <t>l62by4231t7d1py@marketplace.amazon.in</t>
  </si>
  <si>
    <t>407-6353277-2631537</t>
  </si>
  <si>
    <t>T665Xmkn4</t>
  </si>
  <si>
    <t>DmdMqXwwcQ01R</t>
  </si>
  <si>
    <t>2026-07-06T16:44:56+05:30</t>
  </si>
  <si>
    <t>2026-07-06T22:51:17+05:30</t>
  </si>
  <si>
    <t>2026-07-07T01:51:41+05:30</t>
  </si>
  <si>
    <t>7ws7vrd25vs26gv@marketplace.amazon.in</t>
  </si>
  <si>
    <t>171-2844069-1368324</t>
  </si>
  <si>
    <t>T32J4c3M4</t>
  </si>
  <si>
    <t>D0vCg1wycG0hR</t>
  </si>
  <si>
    <t>2026-07-06T18:49:07+05:30</t>
  </si>
  <si>
    <t>2026-07-06T22:33:59+05:30</t>
  </si>
  <si>
    <t>2026-07-07T01:38:49+05:30</t>
  </si>
  <si>
    <t>q54bx6h7syqyj7b@marketplace.amazon.in</t>
  </si>
  <si>
    <t>East</t>
  </si>
  <si>
    <t>405-8185296-3898721</t>
  </si>
  <si>
    <t>T185B8jR4</t>
  </si>
  <si>
    <t>DjfBgFwCcc0qR</t>
  </si>
  <si>
    <t>2026-07-05T20:18:47+05:30</t>
  </si>
  <si>
    <t>2026-07-06T22:27:45+05:30</t>
  </si>
  <si>
    <t>2026-07-07T01:27:58+05:30</t>
  </si>
  <si>
    <t>402-2292229-0777948</t>
  </si>
  <si>
    <t>TwPgwMkr4</t>
  </si>
  <si>
    <t>DxfJgXw3cc0qR</t>
  </si>
  <si>
    <t>2026-07-06T09:41:10+05:30</t>
  </si>
  <si>
    <t>2026-07-06T22:21:48+05:30</t>
  </si>
  <si>
    <t>2026-07-07T01:22:07+05:30</t>
  </si>
  <si>
    <t>ccg66r0rpy2j1sb@marketplace.amazon.in</t>
  </si>
  <si>
    <t>407-5820497-7380334</t>
  </si>
  <si>
    <t>Tw6NYm384</t>
  </si>
  <si>
    <t>DcrQg5wZcl0JR</t>
  </si>
  <si>
    <t>2026-07-06T19:08:29+05:30</t>
  </si>
  <si>
    <t>2026-07-06T22:20:53+05:30</t>
  </si>
  <si>
    <t>2026-07-07T01:25:43+05:30</t>
  </si>
  <si>
    <t>4d3hd6blhlx2rd2@marketplace.amazon.in</t>
  </si>
  <si>
    <t>405-7847111-1505956</t>
  </si>
  <si>
    <t>T6pmtnkS4</t>
  </si>
  <si>
    <t>DJFY8lwrcS0PR</t>
  </si>
  <si>
    <t>2026-07-04T09:05:33+05:30</t>
  </si>
  <si>
    <t>2026-07-06T22:15:56+05:30</t>
  </si>
  <si>
    <t>2026-07-06T22:15:59+05:30</t>
  </si>
  <si>
    <t>2026-07-06T23:16:12+05:30</t>
  </si>
  <si>
    <t>fzfp4f3tjtv5n4w@marketplace.amazon.in</t>
  </si>
  <si>
    <t>404-7401067-8184363</t>
  </si>
  <si>
    <t>T3z7nBkQ4</t>
  </si>
  <si>
    <t>DbMg86wdcR04R</t>
  </si>
  <si>
    <t>2026-07-06T15:00:10+05:30</t>
  </si>
  <si>
    <t>2026-07-06T22:07:41+05:30</t>
  </si>
  <si>
    <t>2026-07-06T22:07:45+05:30</t>
  </si>
  <si>
    <t>2026-07-06T23:07:56+05:30</t>
  </si>
  <si>
    <t>6ml3n1gsljvg88q@marketplace.amazon.in</t>
  </si>
  <si>
    <t>Chirala</t>
  </si>
  <si>
    <t>D0Mt86w3cR04R</t>
  </si>
  <si>
    <t>406-0044322-2719532</t>
  </si>
  <si>
    <t>TwLKxdmw4</t>
  </si>
  <si>
    <t>DsQv8Bwxc00NR</t>
  </si>
  <si>
    <t>2026-07-06T08:11:03+05:30</t>
  </si>
  <si>
    <t>2026-07-07T01:07:56+05:30</t>
  </si>
  <si>
    <t>407-0888049-3128342</t>
  </si>
  <si>
    <t>T1GRKX7C4</t>
  </si>
  <si>
    <t>DdVfXZwqcF0KR</t>
  </si>
  <si>
    <t>2026-07-05T10:04:45+05:30</t>
  </si>
  <si>
    <t>2026-07-06T21:52:40+05:30</t>
  </si>
  <si>
    <t>2026-07-07T00:52:51+05:30</t>
  </si>
  <si>
    <t>q6s9bq77c1w4f9m@marketplace.amazon.in</t>
  </si>
  <si>
    <t>403-5024178-9597907</t>
  </si>
  <si>
    <t>TXwSqqkH4</t>
  </si>
  <si>
    <t>DJKvp5w0cT0GR</t>
  </si>
  <si>
    <t>2026-07-06T17:13:58+05:30</t>
  </si>
  <si>
    <t>2026-07-06T21:27:45+05:30</t>
  </si>
  <si>
    <t>2026-07-06T21:27:49+05:30</t>
  </si>
  <si>
    <t>2026-07-06T22:28:05+05:30</t>
  </si>
  <si>
    <t>csp3hz6jfyd4tgg@marketplace.amazon.in</t>
  </si>
  <si>
    <t>171-9321718-9931503</t>
  </si>
  <si>
    <t>TNb6xNkk4</t>
  </si>
  <si>
    <t>DBc0pFwPc20fR</t>
  </si>
  <si>
    <t>2026-07-06T15:28:09+05:30</t>
  </si>
  <si>
    <t>2026-07-06T21:19:44+05:30</t>
  </si>
  <si>
    <t>2026-07-06T21:19:46+05:30</t>
  </si>
  <si>
    <t>2026-07-06T22:19:57+05:30</t>
  </si>
  <si>
    <t>j7zfbh9870mnq3k@marketplace.amazon.in</t>
  </si>
  <si>
    <t>402-7689405-3097928</t>
  </si>
  <si>
    <t>TnHBB5kr4</t>
  </si>
  <si>
    <t>DSlcpBwkcL0RR</t>
  </si>
  <si>
    <t>2026-07-06T13:03:24+05:30</t>
  </si>
  <si>
    <t>2026-07-06T21:15:52+05:30</t>
  </si>
  <si>
    <t>2026-07-07T00:16:05+05:30</t>
  </si>
  <si>
    <t>748ctrstpgjky39@marketplace.amazon.in</t>
  </si>
  <si>
    <t>402-4036290-4959561</t>
  </si>
  <si>
    <t>T3kjnfkT4</t>
  </si>
  <si>
    <t>Ds32WKw4cG0bR</t>
  </si>
  <si>
    <t>2026-07-06T15:57:53+05:30</t>
  </si>
  <si>
    <t>2026-07-06T21:01:47+05:30</t>
  </si>
  <si>
    <t>2026-07-07T00:01:58+05:30</t>
  </si>
  <si>
    <t>4gzr8nntrtqrkjz@marketplace.amazon.in</t>
  </si>
  <si>
    <t>402-3284652-9501952</t>
  </si>
  <si>
    <t>T1dM6g1S4</t>
  </si>
  <si>
    <t>D7YsWdwgcc0vR</t>
  </si>
  <si>
    <t>2026-07-05T17:49:48+05:30</t>
  </si>
  <si>
    <t>2026-07-06T20:53:46+05:30</t>
  </si>
  <si>
    <t>2026-07-06T23:54:01+05:30</t>
  </si>
  <si>
    <t>zzd8qjfmr63795d@marketplace.amazon.in</t>
  </si>
  <si>
    <t>403-2054048-4351501</t>
  </si>
  <si>
    <t>T3sJ2zjy4</t>
  </si>
  <si>
    <t>D7pgW1wycb0xR</t>
  </si>
  <si>
    <t>2026-07-05T20:59:20+05:30</t>
  </si>
  <si>
    <t>2026-07-06T20:52:50+05:30</t>
  </si>
  <si>
    <t>2026-07-06T23:53:01+05:30</t>
  </si>
  <si>
    <t>qlmc8h9xltrpkqq@marketplace.amazon.in</t>
  </si>
  <si>
    <t>407-3276222-9954736</t>
  </si>
  <si>
    <t>TwLSFckt4</t>
  </si>
  <si>
    <t>D9m0KlwCcp0zR</t>
  </si>
  <si>
    <t>2026-07-06T13:41:17+05:30</t>
  </si>
  <si>
    <t>2026-07-06T20:48:43+05:30</t>
  </si>
  <si>
    <t>2026-07-06T23:48:54+05:30</t>
  </si>
  <si>
    <t>2cpx6dbbgvy44qv@marketplace.amazon.in</t>
  </si>
  <si>
    <t>403-1869023-3112319</t>
  </si>
  <si>
    <t>T3LgTJDC4</t>
  </si>
  <si>
    <t>DhmJKVwscp0zR</t>
  </si>
  <si>
    <t>2026-07-04T21:22:12+05:30</t>
  </si>
  <si>
    <t>2026-07-06T20:44:48+05:30</t>
  </si>
  <si>
    <t>2026-07-06T23:44:59+05:30</t>
  </si>
  <si>
    <t>k1nqhy36plzz8w4@marketplace.amazon.in</t>
  </si>
  <si>
    <t>408-7159799-8745927</t>
  </si>
  <si>
    <t>Tg2bnwDg4</t>
  </si>
  <si>
    <t>DP2FKQwCc80YR</t>
  </si>
  <si>
    <t>2026-07-04T21:20:08+05:30</t>
  </si>
  <si>
    <t>2026-07-06T20:42:48+05:30</t>
  </si>
  <si>
    <t>2026-07-06T23:42:59+05:30</t>
  </si>
  <si>
    <t>ck7xjfqf8s7d8c0@marketplace.amazon.in</t>
  </si>
  <si>
    <t>405-0680040-6500351</t>
  </si>
  <si>
    <t>TgbgWCk74</t>
  </si>
  <si>
    <t>DbgGm3wmcK01R</t>
  </si>
  <si>
    <t>2026-07-06T17:32:35+05:30</t>
  </si>
  <si>
    <t>2026-07-06T20:25:42+05:30</t>
  </si>
  <si>
    <t>2026-07-06T23:25:53+05:30</t>
  </si>
  <si>
    <t>gc0slbyjrgndjxr@marketplace.amazon.in</t>
  </si>
  <si>
    <t>405-6475352-3607537</t>
  </si>
  <si>
    <t>T6nRLFkg4</t>
  </si>
  <si>
    <t>DjTLmJwkcD0VR</t>
  </si>
  <si>
    <t>2026-07-06T13:42:34+05:30</t>
  </si>
  <si>
    <t>2026-07-06T20:24:43+05:30</t>
  </si>
  <si>
    <t>2026-07-06T23:24:55+05:30</t>
  </si>
  <si>
    <t>0qwykqs9c178dcd@marketplace.amazon.in</t>
  </si>
  <si>
    <t>402-6170566-4601931</t>
  </si>
  <si>
    <t>TJDmjG7x4</t>
  </si>
  <si>
    <t>DKTmmLwHcv0VR</t>
  </si>
  <si>
    <t>2026-07-05T11:44:15+05:30</t>
  </si>
  <si>
    <t>2026-07-06T20:19:53+05:30</t>
  </si>
  <si>
    <t>2026-07-06T23:20:16+05:30</t>
  </si>
  <si>
    <t>rdsrc7n3wbll8qk@marketplace.amazon.in</t>
  </si>
  <si>
    <t>403-0454593-7035533</t>
  </si>
  <si>
    <t>TCFWB9kb4</t>
  </si>
  <si>
    <t>D4X1lWwVcP0cR</t>
  </si>
  <si>
    <t>2026-07-06T12:52:12+05:30</t>
  </si>
  <si>
    <t>2026-07-06T20:14:42+05:30</t>
  </si>
  <si>
    <t>2026-07-06T20:14:45+05:30</t>
  </si>
  <si>
    <t>2026-07-06T21:14:57+05:30</t>
  </si>
  <si>
    <t>vx8rkhd100fq0yp@marketplace.amazon.in</t>
  </si>
  <si>
    <t>Boisar</t>
  </si>
  <si>
    <t>171-7574069-2637951</t>
  </si>
  <si>
    <t>TGFg7xjb4</t>
  </si>
  <si>
    <t>Dq7WlRwwcJ0wR</t>
  </si>
  <si>
    <t>2026-07-05T22:27:20+05:30</t>
  </si>
  <si>
    <t>2026-07-06T20:12:46+05:30</t>
  </si>
  <si>
    <t>2026-07-06T23:13:05+05:30</t>
  </si>
  <si>
    <t>408-7508582-2717925</t>
  </si>
  <si>
    <t>Tw3cWcmG4</t>
  </si>
  <si>
    <t>DVkrlkwScK0VR</t>
  </si>
  <si>
    <t>2026-07-06T09:32:09+05:30</t>
  </si>
  <si>
    <t>2026-07-06T20:11:45+05:30</t>
  </si>
  <si>
    <t>2026-07-06T23:12:04+05:30</t>
  </si>
  <si>
    <t>7wwdm1wl549vcm9@marketplace.amazon.in</t>
  </si>
  <si>
    <t>403-2640967-8971518</t>
  </si>
  <si>
    <t>TXGXWXjp4</t>
  </si>
  <si>
    <t>DnbGlKwHcR05R</t>
  </si>
  <si>
    <t>2026-07-05T23:37:02+05:30</t>
  </si>
  <si>
    <t>2026-07-06T20:08:07+05:30</t>
  </si>
  <si>
    <t>2026-07-06T23:13:08+05:30</t>
  </si>
  <si>
    <t>nb4rjp17ljlv30g@marketplace.amazon.in</t>
  </si>
  <si>
    <t>408-4415079-0047548</t>
  </si>
  <si>
    <t>Tc9hjZmL4</t>
  </si>
  <si>
    <t>DSDC0fw7cp0YR</t>
  </si>
  <si>
    <t>2026-07-06T10:39:53+05:30</t>
  </si>
  <si>
    <t>2026-07-06T19:54:07+05:30</t>
  </si>
  <si>
    <t>2026-07-06T22:58:37+05:30</t>
  </si>
  <si>
    <t>r3rfgb730khqq2n@marketplace.amazon.in</t>
  </si>
  <si>
    <t>MANACHANALLUR</t>
  </si>
  <si>
    <t>403-6645115-9769133</t>
  </si>
  <si>
    <t>TCRYM4kY4</t>
  </si>
  <si>
    <t>DL2F0xw0cr0yR</t>
  </si>
  <si>
    <t>2026-07-06T15:02:49+05:30</t>
  </si>
  <si>
    <t>2026-07-06T19:49:48+05:30</t>
  </si>
  <si>
    <t>2026-07-06T22:50:00+05:30</t>
  </si>
  <si>
    <t>pbgqnk711rg53qf@marketplace.amazon.in</t>
  </si>
  <si>
    <t>406-4471345-9717111</t>
  </si>
  <si>
    <t>TnvXCHmG4</t>
  </si>
  <si>
    <t>DCkkSgwncn0KR</t>
  </si>
  <si>
    <t>2026-07-06T10:23:02+05:30</t>
  </si>
  <si>
    <t>2026-07-06T19:39:50+05:30</t>
  </si>
  <si>
    <t>2026-07-06T22:40:05+05:30</t>
  </si>
  <si>
    <t>mj2gf5nr9cv379x@marketplace.amazon.in</t>
  </si>
  <si>
    <t>403-6047825-7026703</t>
  </si>
  <si>
    <t>TJcrlGkd4</t>
  </si>
  <si>
    <t>DhMJSnw2c70WR</t>
  </si>
  <si>
    <t>2026-07-06T17:13:04+05:30</t>
  </si>
  <si>
    <t>2026-07-06T19:34:46+05:30</t>
  </si>
  <si>
    <t>2026-07-06T22:35:00+05:30</t>
  </si>
  <si>
    <t>jq8r3mtrcy66tyv@marketplace.amazon.in</t>
  </si>
  <si>
    <t>407-1501405-6929109</t>
  </si>
  <si>
    <t>TwLpG8mM4</t>
  </si>
  <si>
    <t>D7gqSnwlcW0ZR</t>
  </si>
  <si>
    <t>2026-07-06T07:24:08+05:30</t>
  </si>
  <si>
    <t>2026-07-06T19:33:54+05:30</t>
  </si>
  <si>
    <t>2026-07-06T22:38:24+05:30</t>
  </si>
  <si>
    <t>0gw8zf83w16c60v@marketplace.amazon.in</t>
  </si>
  <si>
    <t>171-1108890-2797138</t>
  </si>
  <si>
    <t>Tc04KCmx4</t>
  </si>
  <si>
    <t>DqHtS1wscg00R</t>
  </si>
  <si>
    <t>2026-07-06T10:53:11+05:30</t>
  </si>
  <si>
    <t>2026-07-06T19:28:47+05:30</t>
  </si>
  <si>
    <t>2026-07-06T22:28:58+05:30</t>
  </si>
  <si>
    <t>68h6c219q6q6ns4@marketplace.amazon.in</t>
  </si>
  <si>
    <t>171-3434411-3518733</t>
  </si>
  <si>
    <t>TGvtvhj84</t>
  </si>
  <si>
    <t>DYDs63wpcT0MR</t>
  </si>
  <si>
    <t>2026-07-05T22:02:32+05:30</t>
  </si>
  <si>
    <t>2026-07-06T19:18:53+05:30</t>
  </si>
  <si>
    <t>2026-07-06T22:22:42+05:30</t>
  </si>
  <si>
    <t>0wmvt0jylfxd56x@marketplace.amazon.in</t>
  </si>
  <si>
    <t>402-2762760-4585909</t>
  </si>
  <si>
    <t>Tgf2YBkB4</t>
  </si>
  <si>
    <t>DjTn6kwRcD0PR</t>
  </si>
  <si>
    <t>2026-07-06T13:05:10+05:30</t>
  </si>
  <si>
    <t>2026-07-06T19:12:41+05:30</t>
  </si>
  <si>
    <t>2026-07-06T22:12:54+05:30</t>
  </si>
  <si>
    <t>c8gmq13mq94wx6r@marketplace.amazon.in</t>
  </si>
  <si>
    <t>408-6590346-8077925</t>
  </si>
  <si>
    <t>TVHWnkmt4</t>
  </si>
  <si>
    <t>DXGq6nwMcn0pR</t>
  </si>
  <si>
    <t>2026-07-04T20:37:40+05:30</t>
  </si>
  <si>
    <t>hvl7ht1x5yd64d7@marketplace.amazon.in</t>
  </si>
  <si>
    <t>404-0816261-0659558</t>
  </si>
  <si>
    <t>TnzSXXk34</t>
  </si>
  <si>
    <t>DyDTdZwYcr0hR</t>
  </si>
  <si>
    <t>2026-07-06T17:13:41+05:30</t>
  </si>
  <si>
    <t>2026-07-06T19:04:44+05:30</t>
  </si>
  <si>
    <t>2026-07-06T22:04:57+05:30</t>
  </si>
  <si>
    <t>77rv7pthxpqyfv6@marketplace.amazon.in</t>
  </si>
  <si>
    <t>407-8985419-3131540</t>
  </si>
  <si>
    <t>T1KP2Qk24</t>
  </si>
  <si>
    <t>DQBRdbwKcJ0PR</t>
  </si>
  <si>
    <t>2026-07-06T14:14:17+05:30</t>
  </si>
  <si>
    <t>2026-07-06T19:03:51+05:30</t>
  </si>
  <si>
    <t>2026-07-06T22:04:11+05:30</t>
  </si>
  <si>
    <t>gzjgn555z46kr3l@marketplace.amazon.in</t>
  </si>
  <si>
    <t>404-8396063-8368355</t>
  </si>
  <si>
    <t>TVZmVZkH4</t>
  </si>
  <si>
    <t>DR0Pd8wdcX0CR</t>
  </si>
  <si>
    <t>2026-07-06T14:41:07+05:30</t>
  </si>
  <si>
    <t>2026-07-06T18:59:47+05:30</t>
  </si>
  <si>
    <t>2026-07-06T22:00:08+05:30</t>
  </si>
  <si>
    <t>y01l99h267npsvs@marketplace.amazon.in</t>
  </si>
  <si>
    <t>407-0647389-1022715</t>
  </si>
  <si>
    <t>TVZmQDk54</t>
  </si>
  <si>
    <t>DZY1GhwLc70sR</t>
  </si>
  <si>
    <t>2026-07-06T14:31:36+05:30</t>
  </si>
  <si>
    <t>2026-07-06T18:47:45+05:30</t>
  </si>
  <si>
    <t>2026-07-06T21:47:56+05:30</t>
  </si>
  <si>
    <t>50wszd91gz212yc@marketplace.amazon.in</t>
  </si>
  <si>
    <t>408-0989803-2488335</t>
  </si>
  <si>
    <t>TXnjDHkr4</t>
  </si>
  <si>
    <t>DnWDGpwjcV0FR</t>
  </si>
  <si>
    <t>2026-07-06T13:11:04+05:30</t>
  </si>
  <si>
    <t>2026-07-06T18:40:41+05:30</t>
  </si>
  <si>
    <t>2026-07-06T18:40:44+05:30</t>
  </si>
  <si>
    <t>2026-07-06T19:40:54+05:30</t>
  </si>
  <si>
    <t>kzrtmwndj8tv2r9@marketplace.amazon.in</t>
  </si>
  <si>
    <t>408-5631676-6116367</t>
  </si>
  <si>
    <t>T3ls7zk04</t>
  </si>
  <si>
    <t>DXqpGwwrcN0dR</t>
  </si>
  <si>
    <t>2026-07-06T14:37:55+05:30</t>
  </si>
  <si>
    <t>2026-07-06T18:36:42+05:30</t>
  </si>
  <si>
    <t>2026-07-06T18:36:44+05:30</t>
  </si>
  <si>
    <t>2026-07-06T19:36:55+05:30</t>
  </si>
  <si>
    <t>fl50j5n6sqqj0hj@marketplace.amazon.in</t>
  </si>
  <si>
    <t>SIRKALI</t>
  </si>
  <si>
    <t>407-9518248-8374743</t>
  </si>
  <si>
    <t>TncNYhkS4</t>
  </si>
  <si>
    <t>DSpyGbwgct0MR</t>
  </si>
  <si>
    <t>2026-07-05T22:28:25+05:30</t>
  </si>
  <si>
    <t>2026-07-06T18:35:45+05:30</t>
  </si>
  <si>
    <t>2026-07-06T21:35:59+05:30</t>
  </si>
  <si>
    <t>78q5jzxf5b7b3lb@marketplace.amazon.in</t>
  </si>
  <si>
    <t>402-2203541-3140348</t>
  </si>
  <si>
    <t>TcHbjJm84</t>
  </si>
  <si>
    <t>D3mktKwDcP0YR</t>
  </si>
  <si>
    <t>2026-07-06T11:09:55+05:30</t>
  </si>
  <si>
    <t>2026-07-06T18:32:50+05:30</t>
  </si>
  <si>
    <t>2026-07-06T21:33:01+05:30</t>
  </si>
  <si>
    <t>qx35j1mr7sw44nc@marketplace.amazon.in</t>
  </si>
  <si>
    <t>403-5001463-4640347</t>
  </si>
  <si>
    <t>TCb5ptm34</t>
  </si>
  <si>
    <t>D06HtDwccX0PR</t>
  </si>
  <si>
    <t>2026-07-06T09:43:05+05:30</t>
  </si>
  <si>
    <t>2026-07-06T18:23:52+05:30</t>
  </si>
  <si>
    <t>2026-07-06T21:24:14+05:30</t>
  </si>
  <si>
    <t>sl876n724qnwnsb@marketplace.amazon.in</t>
  </si>
  <si>
    <t>404-6562355-8624321</t>
  </si>
  <si>
    <t>TgjXwSkZ4</t>
  </si>
  <si>
    <t>DDFbPnwzcS0fR</t>
  </si>
  <si>
    <t>2026-07-06T13:04:36+05:30</t>
  </si>
  <si>
    <t>2026-07-06T18:13:46+05:30</t>
  </si>
  <si>
    <t>2026-07-06T21:14:00+05:30</t>
  </si>
  <si>
    <t>fpg68w44bswtr2r@marketplace.amazon.in</t>
  </si>
  <si>
    <t>403-0954619-9844365</t>
  </si>
  <si>
    <t>T3hKKwmT4</t>
  </si>
  <si>
    <t>DKN3PJw6cM0fR</t>
  </si>
  <si>
    <t>2026-07-05T20:34:59+05:30</t>
  </si>
  <si>
    <t>2026-07-06T18:12:30+05:30</t>
  </si>
  <si>
    <t>2026-07-06T18:12:32+05:30</t>
  </si>
  <si>
    <t>2026-07-06T19:12:42+05:30</t>
  </si>
  <si>
    <t>l4k2jl7ywpkbw1r@marketplace.amazon.in</t>
  </si>
  <si>
    <t>408-2069473-9749935</t>
  </si>
  <si>
    <t>T148LCk14</t>
  </si>
  <si>
    <t>DwmHP3w4cb0qR</t>
  </si>
  <si>
    <t>2026-07-06T14:27:17+05:30</t>
  </si>
  <si>
    <t>2026-07-06T18:11:44+05:30</t>
  </si>
  <si>
    <t>2026-07-06T21:11:57+05:30</t>
  </si>
  <si>
    <t>5wt41t8fmjfqvnn@marketplace.amazon.in</t>
  </si>
  <si>
    <t>405-3555511-8591556</t>
  </si>
  <si>
    <t>TVGG2wjS4</t>
  </si>
  <si>
    <t>DffWPlwScm0tR</t>
  </si>
  <si>
    <t>2026-07-05T20:27:48+05:30</t>
  </si>
  <si>
    <t>2026-07-06T18:00:54+05:30</t>
  </si>
  <si>
    <t>2026-07-06T21:01:10+05:30</t>
  </si>
  <si>
    <t>x72flgvvjs6515c@marketplace.amazon.in</t>
  </si>
  <si>
    <t>404-9239907-5173155</t>
  </si>
  <si>
    <t>TCYHsKks4</t>
  </si>
  <si>
    <t>Dsy2TYw4cJ0yR</t>
  </si>
  <si>
    <t>2026-07-06T15:04:34+05:30</t>
  </si>
  <si>
    <t>2026-07-06T17:59:47+05:30</t>
  </si>
  <si>
    <t>2026-07-06T17:59:51+05:30</t>
  </si>
  <si>
    <t>2026-07-06T19:00:04+05:30</t>
  </si>
  <si>
    <t>gmpzm983p1gyr2x@marketplace.amazon.in</t>
  </si>
  <si>
    <t>406-7364995-4604361</t>
  </si>
  <si>
    <t>TN0wHgkN4</t>
  </si>
  <si>
    <t>DqpQPMwBcq09R</t>
  </si>
  <si>
    <t>2026-07-06T12:36:44+05:30</t>
  </si>
  <si>
    <t>2026-07-06T17:59:44+05:30</t>
  </si>
  <si>
    <t>2026-07-06T17:59:48+05:30</t>
  </si>
  <si>
    <t>2026-07-06T19:00:02+05:30</t>
  </si>
  <si>
    <t>0vhlply6sdr5n9h@marketplace.amazon.in</t>
  </si>
  <si>
    <t>BANTVAL</t>
  </si>
  <si>
    <t>404-5999333-5552314</t>
  </si>
  <si>
    <t>Tc72hvjP4</t>
  </si>
  <si>
    <t>DPNkT2wfcw06R</t>
  </si>
  <si>
    <t>2026-07-06T01:35:22+05:30</t>
  </si>
  <si>
    <t>2026-07-06T17:59:38+05:30</t>
  </si>
  <si>
    <t>2026-07-06T17:59:41+05:30</t>
  </si>
  <si>
    <t>2026-07-06T18:59:52+05:30</t>
  </si>
  <si>
    <t>zc6ycbd2f9jyr1h@marketplace.amazon.in</t>
  </si>
  <si>
    <t>404-7474911-9790763</t>
  </si>
  <si>
    <t>T3s7p01Y4</t>
  </si>
  <si>
    <t>D05CnvwVc90XR</t>
  </si>
  <si>
    <t>2026-07-05T18:43:56+05:30</t>
  </si>
  <si>
    <t>2026-07-06T17:41:46+05:30</t>
  </si>
  <si>
    <t>2026-07-06T20:41:57+05:30</t>
  </si>
  <si>
    <t>fsyhm4lftznxqym@marketplace.amazon.in</t>
  </si>
  <si>
    <t>KURUVATTUR</t>
  </si>
  <si>
    <t>405-4733099-0901144</t>
  </si>
  <si>
    <t>TnCb1Vk04</t>
  </si>
  <si>
    <t>DySZnJwqcP0mR</t>
  </si>
  <si>
    <t>2026-07-06T14:50:56+05:30</t>
  </si>
  <si>
    <t>2026-07-06T17:40:49+05:30</t>
  </si>
  <si>
    <t>2026-07-06T20:41:01+05:30</t>
  </si>
  <si>
    <t>x4xzx66w10ksdd1@marketplace.amazon.in</t>
  </si>
  <si>
    <t>TRICHY</t>
  </si>
  <si>
    <t>405-5052717-7252310</t>
  </si>
  <si>
    <t>TVrFMXkM4</t>
  </si>
  <si>
    <t>DNMLn1wYcN01R</t>
  </si>
  <si>
    <t>2026-07-06T17:34:48+05:30</t>
  </si>
  <si>
    <t>2026-07-06T20:35:00+05:30</t>
  </si>
  <si>
    <t>sc4bv0hhxmnlr2z@marketplace.amazon.in</t>
  </si>
  <si>
    <t>405-5490709-6774760</t>
  </si>
  <si>
    <t>Tcwh89mJ4</t>
  </si>
  <si>
    <t>DP8FnfwtcV0nR</t>
  </si>
  <si>
    <t>2026-07-06T10:20:12+05:30</t>
  </si>
  <si>
    <t>2026-07-06T17:34:46+05:30</t>
  </si>
  <si>
    <t>2026-07-06T20:34:58+05:30</t>
  </si>
  <si>
    <t>1x333rj127ykmfm@marketplace.amazon.in</t>
  </si>
  <si>
    <t>402-9925432-3683544</t>
  </si>
  <si>
    <t>TXlxWZjB4</t>
  </si>
  <si>
    <t>DZw4nRwmcK06R</t>
  </si>
  <si>
    <t>2026-07-05T23:52:40+05:30</t>
  </si>
  <si>
    <t>2026-07-06T17:31:49+05:30</t>
  </si>
  <si>
    <t>2026-07-06T20:32:02+05:30</t>
  </si>
  <si>
    <t>41pr3m60t6m7tjb@marketplace.amazon.in</t>
  </si>
  <si>
    <t>PARCHUR</t>
  </si>
  <si>
    <t>DrHQnCwTcF0MR</t>
  </si>
  <si>
    <t>402-3774085-8588321</t>
  </si>
  <si>
    <t>TNb5XvmT4</t>
  </si>
  <si>
    <t>DFHrnRwLcF0sR</t>
  </si>
  <si>
    <t>2026-07-06T10:45:14+05:30</t>
  </si>
  <si>
    <t>2026-07-06T17:29:48+05:30</t>
  </si>
  <si>
    <t>2026-07-06T20:29:59+05:30</t>
  </si>
  <si>
    <t>g1mqlp6bk63y254@marketplace.amazon.in</t>
  </si>
  <si>
    <t>405-9167968-1929153</t>
  </si>
  <si>
    <t>TNvwCmm44</t>
  </si>
  <si>
    <t>DnDYxvwScX04R</t>
  </si>
  <si>
    <t>2026-07-05T20:47:25+05:30</t>
  </si>
  <si>
    <t>2026-07-06T17:18:50+05:30</t>
  </si>
  <si>
    <t>2026-07-06T17:18:57+05:30</t>
  </si>
  <si>
    <t>2026-07-06T18:22:52+05:30</t>
  </si>
  <si>
    <t>bgkhq7hv4k2lz1d@marketplace.amazon.in</t>
  </si>
  <si>
    <t>407-9811729-2046740</t>
  </si>
  <si>
    <t>TC03LXjB4</t>
  </si>
  <si>
    <t>DgzDxfwvcr0XR</t>
  </si>
  <si>
    <t>2026-07-05T21:25:00+05:30</t>
  </si>
  <si>
    <t>2026-07-06T17:15:57+05:30</t>
  </si>
  <si>
    <t>2026-07-06T20:16:15+05:30</t>
  </si>
  <si>
    <t>9jrzd70jzpvw4k3@marketplace.amazon.in</t>
  </si>
  <si>
    <t>406-5560669-7657134</t>
  </si>
  <si>
    <t>TcyBJ3mc4</t>
  </si>
  <si>
    <t>DtGr3MwZcY0BR</t>
  </si>
  <si>
    <t>2026-07-06T06:43:08+05:30</t>
  </si>
  <si>
    <t>2026-07-06T16:51:46+05:30</t>
  </si>
  <si>
    <t>2026-07-06T16:51:49+05:30</t>
  </si>
  <si>
    <t>2026-07-06T17:52:05+05:30</t>
  </si>
  <si>
    <t>405-5399289-0086724</t>
  </si>
  <si>
    <t>T3hhSTmd4</t>
  </si>
  <si>
    <t>DxF1Jcwtc80cR</t>
  </si>
  <si>
    <t>2026-07-06T08:26:57+05:30</t>
  </si>
  <si>
    <t>2026-07-06T16:49:49+05:30</t>
  </si>
  <si>
    <t>2026-07-06T19:50:10+05:30</t>
  </si>
  <si>
    <t>nb910zmfhp7sq80@marketplace.amazon.in</t>
  </si>
  <si>
    <t>405-0798154-0079509</t>
  </si>
  <si>
    <t>T6nvd7mR4</t>
  </si>
  <si>
    <t>D636JQwqc90WR</t>
  </si>
  <si>
    <t>2026-07-06T08:50:09+05:30</t>
  </si>
  <si>
    <t>2026-07-06T16:45:46+05:30</t>
  </si>
  <si>
    <t>2026-07-06T19:45:57+05:30</t>
  </si>
  <si>
    <t>wd20tpngr9xfjwh@marketplace.amazon.in</t>
  </si>
  <si>
    <t>405-5404653-6114736</t>
  </si>
  <si>
    <t>TGmplZmk4</t>
  </si>
  <si>
    <t>DYVDJmwlc308R</t>
  </si>
  <si>
    <t>2026-07-06T09:19:15+05:30</t>
  </si>
  <si>
    <t>2026-07-06T16:44:50+05:30</t>
  </si>
  <si>
    <t>2026-07-06T19:45:07+05:30</t>
  </si>
  <si>
    <t>hdk7r33xxmh5gfr@marketplace.amazon.in</t>
  </si>
  <si>
    <t>407-1997597-0220320</t>
  </si>
  <si>
    <t>TCWQSYmL4</t>
  </si>
  <si>
    <t>D6PbJ1wFcc0TR</t>
  </si>
  <si>
    <t>2026-07-06T08:39:59+05:30</t>
  </si>
  <si>
    <t>2026-07-06T16:35:45+05:30</t>
  </si>
  <si>
    <t>2026-07-06T16:35:48+05:30</t>
  </si>
  <si>
    <t>2026-07-06T17:36:01+05:30</t>
  </si>
  <si>
    <t>khng1xbcwdchjys@marketplace.amazon.in</t>
  </si>
  <si>
    <t>407-1083014-9880311</t>
  </si>
  <si>
    <t>Tgtjmnmz4</t>
  </si>
  <si>
    <t>DmBDMkw6ct07R</t>
  </si>
  <si>
    <t>2026-07-06T10:02:55+05:30</t>
  </si>
  <si>
    <t>2026-07-06T16:31:44+05:30</t>
  </si>
  <si>
    <t>2026-07-06T19:31:56+05:30</t>
  </si>
  <si>
    <t>6wty6sf35qv1618@marketplace.amazon.in</t>
  </si>
  <si>
    <t>TRONICA CITY</t>
  </si>
  <si>
    <t>406-3469700-0541937</t>
  </si>
  <si>
    <t>TN494bj24</t>
  </si>
  <si>
    <t>D1JjMWw6cG08R</t>
  </si>
  <si>
    <t>2026-07-05T19:28:30+05:30</t>
  </si>
  <si>
    <t>2026-07-06T16:21:52+05:30</t>
  </si>
  <si>
    <t>2026-07-06T19:22:04+05:30</t>
  </si>
  <si>
    <t>sw87tzzs83h3z79@marketplace.amazon.in</t>
  </si>
  <si>
    <t>403-8571255-2248346</t>
  </si>
  <si>
    <t>TGLsk2kw4</t>
  </si>
  <si>
    <t>DwlTMVwfcP0hR</t>
  </si>
  <si>
    <t>2026-07-06T12:47:41+05:30</t>
  </si>
  <si>
    <t>2026-07-06T16:19:44+05:30</t>
  </si>
  <si>
    <t>2026-07-06T19:19:55+05:30</t>
  </si>
  <si>
    <t>zkdl7zy6175w95f@marketplace.amazon.in</t>
  </si>
  <si>
    <t>404-7726047-0979560</t>
  </si>
  <si>
    <t>TcsTb1kN4</t>
  </si>
  <si>
    <t>DzqHMJwRcd0RR</t>
  </si>
  <si>
    <t>2026-07-06T12:17:37+05:30</t>
  </si>
  <si>
    <t>2026-07-06T16:15:43+05:30</t>
  </si>
  <si>
    <t>2026-07-06T16:15:45+05:30</t>
  </si>
  <si>
    <t>2026-07-06T17:15:55+05:30</t>
  </si>
  <si>
    <t>pg7m8mmtwyxv0zn@marketplace.amazon.in</t>
  </si>
  <si>
    <t>403-1464836-5392303</t>
  </si>
  <si>
    <t>TcrtCqmJ4</t>
  </si>
  <si>
    <t>Df2d1JwWcp0tR</t>
  </si>
  <si>
    <t>2026-07-06T07:23:51+05:30</t>
  </si>
  <si>
    <t>2026-07-06T16:11:50+05:30</t>
  </si>
  <si>
    <t>2026-07-06T19:12:02+05:30</t>
  </si>
  <si>
    <t>xkbknndtfb9tjfn@marketplace.amazon.in</t>
  </si>
  <si>
    <t>402-7598775-7356348</t>
  </si>
  <si>
    <t>TwbTZTml4</t>
  </si>
  <si>
    <t>Dgrm1rwVcT0rR</t>
  </si>
  <si>
    <t>2026-07-06T10:21:33+05:30</t>
  </si>
  <si>
    <t>2026-07-06T16:00:42+05:30</t>
  </si>
  <si>
    <t>2026-07-06T19:00:54+05:30</t>
  </si>
  <si>
    <t>ktd7nj5s2sxvzsg@marketplace.amazon.in</t>
  </si>
  <si>
    <t>mumbai</t>
  </si>
  <si>
    <t>408-4531330-7274764</t>
  </si>
  <si>
    <t>TwGpRqDb4</t>
  </si>
  <si>
    <t>D0qsr6wJcF0tR</t>
  </si>
  <si>
    <t>2026-07-04T17:01:33+05:30</t>
  </si>
  <si>
    <t>2026-07-06T15:47:50+05:30</t>
  </si>
  <si>
    <t>2026-07-06T15:47:56+05:30</t>
  </si>
  <si>
    <t>2026-07-06T16:48:18+05:30</t>
  </si>
  <si>
    <t>qd86cqzqc8l44tt@marketplace.amazon.in</t>
  </si>
  <si>
    <t>405-2694376-6491530</t>
  </si>
  <si>
    <t>Tg5l0djL4</t>
  </si>
  <si>
    <t>D3dTrPwBcp00R</t>
  </si>
  <si>
    <t>2026-07-06T00:29:41+05:30</t>
  </si>
  <si>
    <t>2026-07-06T15:47:45+05:30</t>
  </si>
  <si>
    <t>2026-07-06T15:47:48+05:30</t>
  </si>
  <si>
    <t>2026-07-06T16:48:02+05:30</t>
  </si>
  <si>
    <t>gssr6hvgzsmg5kf@marketplace.amazon.in</t>
  </si>
  <si>
    <t>406-7574045-1671547</t>
  </si>
  <si>
    <t>TwndFGjG4</t>
  </si>
  <si>
    <t>DRTH7NwrcV0DR</t>
  </si>
  <si>
    <t>2026-07-05T20:49:23+05:30</t>
  </si>
  <si>
    <t>2026-07-06T15:33:49+05:30</t>
  </si>
  <si>
    <t>2026-07-06T15:33:58+05:30</t>
  </si>
  <si>
    <t>2026-07-06T16:38:34+05:30</t>
  </si>
  <si>
    <t>mj52679wkkkxlyq@marketplace.amazon.in</t>
  </si>
  <si>
    <t>171-9850463-2265912</t>
  </si>
  <si>
    <t>TJsL4bkd4</t>
  </si>
  <si>
    <t>DMGw7LwycS0pR</t>
  </si>
  <si>
    <t>2026-07-06T12:02:48+05:30</t>
  </si>
  <si>
    <t>2026-07-06T15:33:41+05:30</t>
  </si>
  <si>
    <t>2026-07-06T18:33:53+05:30</t>
  </si>
  <si>
    <t>jc1z0bjq999ftcq@marketplace.amazon.in</t>
  </si>
  <si>
    <t>404-7225589-0013906</t>
  </si>
  <si>
    <t>TGLTPRmz4</t>
  </si>
  <si>
    <t>DWwk7Rw4cb0YR</t>
  </si>
  <si>
    <t>2026-07-06T07:54:05+05:30</t>
  </si>
  <si>
    <t>2026-07-06T15:32:45+05:30</t>
  </si>
  <si>
    <t>2026-07-06T18:32:56+05:30</t>
  </si>
  <si>
    <t>pxf8g608ccmdb6k@marketplace.amazon.in</t>
  </si>
  <si>
    <t>404-8396559-6518752</t>
  </si>
  <si>
    <t>T163yBkd4</t>
  </si>
  <si>
    <t>DSz77xwKc50vR</t>
  </si>
  <si>
    <t>2026-07-06T13:31:23+05:30</t>
  </si>
  <si>
    <t>2026-07-06T15:31:43+05:30</t>
  </si>
  <si>
    <t>2026-07-06T18:31:56+05:30</t>
  </si>
  <si>
    <t>fmk32zfzmj02n03@marketplace.amazon.in</t>
  </si>
  <si>
    <t>KADAPA</t>
  </si>
  <si>
    <t>405-0814108-8417927</t>
  </si>
  <si>
    <t>T3ds6KmP4</t>
  </si>
  <si>
    <t>DTsxLbwvcl0BR</t>
  </si>
  <si>
    <t>2026-07-06T08:53:32+05:30</t>
  </si>
  <si>
    <t>2026-07-06T15:12:47+05:30</t>
  </si>
  <si>
    <t>2026-07-06T15:12:52+05:30</t>
  </si>
  <si>
    <t>2026-07-06T16:13:19+05:30</t>
  </si>
  <si>
    <t>09lm3slntx1fztd@marketplace.amazon.in</t>
  </si>
  <si>
    <t>402-1245027-3181160</t>
  </si>
  <si>
    <t>TNvYYnjr4</t>
  </si>
  <si>
    <t>DzR4LdwMcb0KR</t>
  </si>
  <si>
    <t>2026-07-04T22:03:27+05:30</t>
  </si>
  <si>
    <t>2026-07-06T15:12:40+05:30</t>
  </si>
  <si>
    <t>2026-07-06T18:12:52+05:30</t>
  </si>
  <si>
    <t>2g9phlht7359hd2@marketplace.amazon.in</t>
  </si>
  <si>
    <t>171-4830189-4661126</t>
  </si>
  <si>
    <t>TcCb8mmb4</t>
  </si>
  <si>
    <t>D8SVsPwbct00R</t>
  </si>
  <si>
    <t>2026-07-06T10:37:24+05:30</t>
  </si>
  <si>
    <t>2026-07-06T15:08:46+05:30</t>
  </si>
  <si>
    <t>2026-07-06T18:08:59+05:30</t>
  </si>
  <si>
    <t>6y3168cxk4xfwk0@marketplace.amazon.in</t>
  </si>
  <si>
    <t>171-3428646-3954761</t>
  </si>
  <si>
    <t>TXcgtYmL4</t>
  </si>
  <si>
    <t>DnVCs8wWcD0zR</t>
  </si>
  <si>
    <t>2026-07-06T07:01:28+05:30</t>
  </si>
  <si>
    <t>2026-07-06T15:03:47+05:30</t>
  </si>
  <si>
    <t>2026-07-06T18:03:59+05:30</t>
  </si>
  <si>
    <t>p0nl1wy6whw7vqp@marketplace.amazon.in</t>
  </si>
  <si>
    <t>RUSHIKONDA APIIC</t>
  </si>
  <si>
    <t>171-1084405-6959526</t>
  </si>
  <si>
    <t>T6hrXXmV4</t>
  </si>
  <si>
    <t>D9VFs0wScD0zR</t>
  </si>
  <si>
    <t>2026-07-06T10:27:07+05:30</t>
  </si>
  <si>
    <t>2026-07-06T15:02:50+05:30</t>
  </si>
  <si>
    <t>2026-07-06T18:03:03+05:30</t>
  </si>
  <si>
    <t>y4ssjz3pjwkl8r3@marketplace.amazon.in</t>
  </si>
  <si>
    <t>407-5978766-3835516</t>
  </si>
  <si>
    <t>TnWznbmf4</t>
  </si>
  <si>
    <t>DKMpQ5wscF03R</t>
  </si>
  <si>
    <t>2026-07-06T06:32:22+05:30</t>
  </si>
  <si>
    <t>2026-07-06T14:45:58+05:30</t>
  </si>
  <si>
    <t>2026-07-06T17:46:21+05:30</t>
  </si>
  <si>
    <t>xzmgt65gn8b7ggh@marketplace.amazon.in</t>
  </si>
  <si>
    <t>404-5204453-2958724</t>
  </si>
  <si>
    <t>TVbLDrjB4</t>
  </si>
  <si>
    <t>Dnb0cfwfcj0FR</t>
  </si>
  <si>
    <t>2026-07-05T20:57:16+05:30</t>
  </si>
  <si>
    <t>2026-07-06T14:25:44+05:30</t>
  </si>
  <si>
    <t>2026-07-06T17:25:59+05:30</t>
  </si>
  <si>
    <t>vnxqqgr8zwqx60b@marketplace.amazon.in</t>
  </si>
  <si>
    <t>171-4719071-9293958</t>
  </si>
  <si>
    <t>TNx5gYm64</t>
  </si>
  <si>
    <t>DPrkcrwncs0CR</t>
  </si>
  <si>
    <t>2026-07-06T10:51:44+05:30</t>
  </si>
  <si>
    <t>2026-07-06T14:18:51+05:30</t>
  </si>
  <si>
    <t>2026-07-06T17:19:05+05:30</t>
  </si>
  <si>
    <t>jht1wj6n09v08xy@marketplace.amazon.in</t>
  </si>
  <si>
    <t>407-4945133-7795519</t>
  </si>
  <si>
    <t>TcghPvmz4</t>
  </si>
  <si>
    <t>DT33vMw9cM0LR</t>
  </si>
  <si>
    <t>2026-07-06T08:33:09+05:30</t>
  </si>
  <si>
    <t>2026-07-06T14:13:49+05:30</t>
  </si>
  <si>
    <t>2026-07-06T17:14:13+05:30</t>
  </si>
  <si>
    <t>b5jly8nt65w6jf9@marketplace.amazon.in</t>
  </si>
  <si>
    <t>402-9445474-9757164</t>
  </si>
  <si>
    <t>TX12X4mR4</t>
  </si>
  <si>
    <t>DFgxvLwzcP0YR</t>
  </si>
  <si>
    <t>2026-07-05T20:57:02+05:30</t>
  </si>
  <si>
    <t>2026-07-06T14:10:45+05:30</t>
  </si>
  <si>
    <t>2026-07-06T17:11:01+05:30</t>
  </si>
  <si>
    <t>k0f3qlnnp7tpxd1@marketplace.amazon.in</t>
  </si>
  <si>
    <t>407-8805632-8018732</t>
  </si>
  <si>
    <t>T6kHMNms4</t>
  </si>
  <si>
    <t>D7Y1vzw4cB0zR</t>
  </si>
  <si>
    <t>2026-07-06T06:46:52+05:30</t>
  </si>
  <si>
    <t>2026-07-06T14:04:40+05:30</t>
  </si>
  <si>
    <t>2026-07-06T14:04:43+05:30</t>
  </si>
  <si>
    <t>2026-07-06T15:04:53+05:30</t>
  </si>
  <si>
    <t>qtpspf38dmzcyd8@marketplace.amazon.in</t>
  </si>
  <si>
    <t>402-1278593-4095507</t>
  </si>
  <si>
    <t>TNkQtCj74</t>
  </si>
  <si>
    <t>DR06v3wQcX05R</t>
  </si>
  <si>
    <t>2026-07-05T23:02:11+05:30</t>
  </si>
  <si>
    <t>2026-07-06T14:03:46+05:30</t>
  </si>
  <si>
    <t>2026-07-06T14:03:51+05:30</t>
  </si>
  <si>
    <t>2026-07-06T15:04:21+05:30</t>
  </si>
  <si>
    <t>j9dc315lg46xdwg@marketplace.amazon.in</t>
  </si>
  <si>
    <t>406-0303408-4400349</t>
  </si>
  <si>
    <t>T3nDnDj74</t>
  </si>
  <si>
    <t>DmYqvgwpcM0zR</t>
  </si>
  <si>
    <t>2026-07-05T22:36:57+05:30</t>
  </si>
  <si>
    <t>2026-07-06T14:02:47+05:30</t>
  </si>
  <si>
    <t>2026-07-06T14:02:49+05:30</t>
  </si>
  <si>
    <t>2026-07-06T15:03:00+05:30</t>
  </si>
  <si>
    <t>ndff34xvl335hdk@marketplace.amazon.in</t>
  </si>
  <si>
    <t>403-8926313-9294749</t>
  </si>
  <si>
    <t>TCw8Cwj04</t>
  </si>
  <si>
    <t>DnqFvJwzc30yR</t>
  </si>
  <si>
    <t>2026-07-05T23:54:37+05:30</t>
  </si>
  <si>
    <t>2026-07-06T13:57:48+05:30</t>
  </si>
  <si>
    <t>2026-07-06T16:58:01+05:30</t>
  </si>
  <si>
    <t>nh2m5qft6zzyhyr@marketplace.amazon.in</t>
  </si>
  <si>
    <t>404-1066942-7745948</t>
  </si>
  <si>
    <t>Tw7DgmmJ4</t>
  </si>
  <si>
    <t>DKpfzvwScZ0kR</t>
  </si>
  <si>
    <t>2026-07-06T10:35:30+05:30</t>
  </si>
  <si>
    <t>2026-07-06T13:41:48+05:30</t>
  </si>
  <si>
    <t>2026-07-06T16:42:02+05:30</t>
  </si>
  <si>
    <t>zrkphrzw441c2nt@marketplace.amazon.in</t>
  </si>
  <si>
    <t>402-6719136-7965929</t>
  </si>
  <si>
    <t>TVXYK0j34</t>
  </si>
  <si>
    <t>DfXr2dwvcX0HR</t>
  </si>
  <si>
    <t>2026-07-06T00:15:41+05:30</t>
  </si>
  <si>
    <t>2026-07-06T13:24:51+05:30</t>
  </si>
  <si>
    <t>2026-07-06T16:25:07+05:30</t>
  </si>
  <si>
    <t>5bn2s5wdm9kgkh7@marketplace.amazon.in</t>
  </si>
  <si>
    <t>171-5450490-9001931</t>
  </si>
  <si>
    <t>TVY5Pc704</t>
  </si>
  <si>
    <t>DkdFVJwGcM0bR</t>
  </si>
  <si>
    <t>2026-07-05T00:10:28+05:30</t>
  </si>
  <si>
    <t>2026-07-06T13:24:50+05:30</t>
  </si>
  <si>
    <t>2026-07-06T16:25:01+05:30</t>
  </si>
  <si>
    <t>md362l6x57qhn4w@marketplace.amazon.in</t>
  </si>
  <si>
    <t>406-7681739-0361126</t>
  </si>
  <si>
    <t>T39KWpmQ4</t>
  </si>
  <si>
    <t>DSXj2Twjcr08R</t>
  </si>
  <si>
    <t>2026-07-06T10:02:20+05:30</t>
  </si>
  <si>
    <t>2026-07-06T13:23:45+05:30</t>
  </si>
  <si>
    <t>2026-07-06T16:23:56+05:30</t>
  </si>
  <si>
    <t>7dh18m4g7b1rgdg@marketplace.amazon.in</t>
  </si>
  <si>
    <t>405-6936513-2646732</t>
  </si>
  <si>
    <t>TJQFTrjJ4</t>
  </si>
  <si>
    <t>DhQr2VwCcW0SR</t>
  </si>
  <si>
    <t>2026-07-05T19:39:42+05:30</t>
  </si>
  <si>
    <t>2026-07-06T13:17:51+05:30</t>
  </si>
  <si>
    <t>2026-07-06T16:18:20+05:30</t>
  </si>
  <si>
    <t>g9cmw1wpgtjmtkd@marketplace.amazon.in</t>
  </si>
  <si>
    <t>408-6149477-2612352</t>
  </si>
  <si>
    <t>TNZGqbmT4</t>
  </si>
  <si>
    <t>DBtL2XwVcL0tR</t>
  </si>
  <si>
    <t>2026-07-06T10:25:39+05:30</t>
  </si>
  <si>
    <t>2026-07-06T13:15:44+05:30</t>
  </si>
  <si>
    <t>2026-07-06T16:15:57+05:30</t>
  </si>
  <si>
    <t>7bszh6m8d2n50hs@marketplace.amazon.in</t>
  </si>
  <si>
    <t>406-7359418-8461149</t>
  </si>
  <si>
    <t>TgVqH3jJ4</t>
  </si>
  <si>
    <t>DVdq2Gwdcb01R</t>
  </si>
  <si>
    <t>2026-07-05T19:57:56+05:30</t>
  </si>
  <si>
    <t>2026-07-06T13:10:46+05:30</t>
  </si>
  <si>
    <t>2026-07-06T16:11:03+05:30</t>
  </si>
  <si>
    <t>mcqffty8g5q70xf@marketplace.amazon.in</t>
  </si>
  <si>
    <t>407-1478507-0262767</t>
  </si>
  <si>
    <t>Tn1chrmc4</t>
  </si>
  <si>
    <t>DQR22pwxcr0NR</t>
  </si>
  <si>
    <t>2026-07-06T11:23:35+05:30</t>
  </si>
  <si>
    <t>2026-07-06T13:08:43+05:30</t>
  </si>
  <si>
    <t>2026-07-06T13:08:45+05:30</t>
  </si>
  <si>
    <t>2026-07-06T14:08:56+05:30</t>
  </si>
  <si>
    <t>s3vvqwmnzccqm93@marketplace.amazon.in</t>
  </si>
  <si>
    <t>171-9822721-5516335</t>
  </si>
  <si>
    <t>T1FHKjjx4</t>
  </si>
  <si>
    <t>DSlgFkwKcf0kR</t>
  </si>
  <si>
    <t>2026-07-05T23:31:11+05:30</t>
  </si>
  <si>
    <t>2026-07-06T12:56:52+05:30</t>
  </si>
  <si>
    <t>2026-07-06T15:57:11+05:30</t>
  </si>
  <si>
    <t>bfs2t0lkb8q7vnz@marketplace.amazon.in</t>
  </si>
  <si>
    <t>407-4271476-1758762</t>
  </si>
  <si>
    <t>TcN7TYmB4</t>
  </si>
  <si>
    <t>D1ljFwwGcf0kR</t>
  </si>
  <si>
    <t>2026-07-06T07:13:25+05:30</t>
  </si>
  <si>
    <t>2026-07-06T12:55:47+05:30</t>
  </si>
  <si>
    <t>2026-07-06T15:56:02+05:30</t>
  </si>
  <si>
    <t>kvgt62xg24g1bfg@marketplace.amazon.in</t>
  </si>
  <si>
    <t>404-2811298-4755528</t>
  </si>
  <si>
    <t>TgHDrJ1V4</t>
  </si>
  <si>
    <t>DymbDgwcch0NR</t>
  </si>
  <si>
    <t>2026-07-03T17:30:40+05:30</t>
  </si>
  <si>
    <t>2026-07-06T12:45:45+05:30</t>
  </si>
  <si>
    <t>2026-07-06T15:45:56+05:30</t>
  </si>
  <si>
    <t>rlc35xxdv04v8rl@marketplace.amazon.in</t>
  </si>
  <si>
    <t>THISAYANVILAI</t>
  </si>
  <si>
    <t>403-6717920-0933918</t>
  </si>
  <si>
    <t>Tgb1KHml4</t>
  </si>
  <si>
    <t>DTDnD9wNch0rR</t>
  </si>
  <si>
    <t>2026-07-06T09:14:51+05:30</t>
  </si>
  <si>
    <t>2026-07-06T12:43:44+05:30</t>
  </si>
  <si>
    <t>2026-07-06T15:43:55+05:30</t>
  </si>
  <si>
    <t>rk3m3vycklr2bbd@marketplace.amazon.in</t>
  </si>
  <si>
    <t>403-3017179-3645113</t>
  </si>
  <si>
    <t>TXzJmVjt4</t>
  </si>
  <si>
    <t>DV9FD4wNcy0nR</t>
  </si>
  <si>
    <t>2026-07-05T21:23:52+05:30</t>
  </si>
  <si>
    <t>tkk4gq7mm11qhw7@marketplace.amazon.in</t>
  </si>
  <si>
    <t>404-4340406-9315530</t>
  </si>
  <si>
    <t>Twzcf41h4</t>
  </si>
  <si>
    <t>DVZXD2wccH0KR</t>
  </si>
  <si>
    <t>2026-07-05T18:44:33+05:30</t>
  </si>
  <si>
    <t>2026-07-06T12:41:51+05:30</t>
  </si>
  <si>
    <t>2026-07-06T12:41:56+05:30</t>
  </si>
  <si>
    <t>2026-07-06T13:42:17+05:30</t>
  </si>
  <si>
    <t>2gct6z6k2rjnhxg@marketplace.amazon.in</t>
  </si>
  <si>
    <t>402-0034310-2129923</t>
  </si>
  <si>
    <t>TV8mChjL4</t>
  </si>
  <si>
    <t>DyGFD1wCcX03R</t>
  </si>
  <si>
    <t>2026-07-05T23:23:17+05:30</t>
  </si>
  <si>
    <t>2026-07-06T12:39:43+05:30</t>
  </si>
  <si>
    <t>2026-07-06T12:39:47+05:30</t>
  </si>
  <si>
    <t>2026-07-06T13:43:37+05:30</t>
  </si>
  <si>
    <t>ktp35ndbrvzx5kf@marketplace.amazon.in</t>
  </si>
  <si>
    <t>404-3749647-9001959</t>
  </si>
  <si>
    <t>Tg9pT51s4</t>
  </si>
  <si>
    <t>D593Dqw6cF0nR</t>
  </si>
  <si>
    <t>2026-07-05T16:28:15+05:30</t>
  </si>
  <si>
    <t>2026-07-06T12:39:42+05:30</t>
  </si>
  <si>
    <t>2026-07-06T12:39:45+05:30</t>
  </si>
  <si>
    <t>2026-07-06T13:39:56+05:30</t>
  </si>
  <si>
    <t>1stztgbgfwyg903@marketplace.amazon.in</t>
  </si>
  <si>
    <t>403-3365635-3138714</t>
  </si>
  <si>
    <t>TnDs02jK4</t>
  </si>
  <si>
    <t>DZJGY1wrcC0PR</t>
  </si>
  <si>
    <t>2026-07-05T20:38:06+05:30</t>
  </si>
  <si>
    <t>2026-07-06T12:22:51+05:30</t>
  </si>
  <si>
    <t>2026-07-06T12:22:57+05:30</t>
  </si>
  <si>
    <t>2026-07-06T13:23:23+05:30</t>
  </si>
  <si>
    <t>pfqjggn22kd7qzt@marketplace.amazon.in</t>
  </si>
  <si>
    <t>JANGAREDDIGUDEM</t>
  </si>
  <si>
    <t>405-2700209-7673927</t>
  </si>
  <si>
    <t>T6qmTxjj4</t>
  </si>
  <si>
    <t>Dk1Vy0wKc902R</t>
  </si>
  <si>
    <t>2026-07-05T21:22:04+05:30</t>
  </si>
  <si>
    <t>2026-07-06T12:14:47+05:30</t>
  </si>
  <si>
    <t>2026-07-06T15:15:01+05:30</t>
  </si>
  <si>
    <t>7n1w85qzfzknvvb@marketplace.amazon.in</t>
  </si>
  <si>
    <t>ARUMBANUR</t>
  </si>
  <si>
    <t>404-8297634-4597944</t>
  </si>
  <si>
    <t>Tc7pYFjW4</t>
  </si>
  <si>
    <t>Dq2GyNwRcM0vR</t>
  </si>
  <si>
    <t>2026-07-05T19:51:21+05:30</t>
  </si>
  <si>
    <t>2026-07-06T12:09:49+05:30</t>
  </si>
  <si>
    <t>2026-07-06T15:10:02+05:30</t>
  </si>
  <si>
    <t>qw4z4hc8vf9d67x@marketplace.amazon.in</t>
  </si>
  <si>
    <t>408-7487208-2933119</t>
  </si>
  <si>
    <t>T679Kvj14</t>
  </si>
  <si>
    <t>DCvDwMwgc20vR</t>
  </si>
  <si>
    <t>2026-07-05T22:59:03+05:30</t>
  </si>
  <si>
    <t>2026-07-06T11:56:44+05:30</t>
  </si>
  <si>
    <t>2026-07-06T14:56:56+05:30</t>
  </si>
  <si>
    <t>rdz0wdtp4d7j6nw@marketplace.amazon.in</t>
  </si>
  <si>
    <t>BHIMAVARAM</t>
  </si>
  <si>
    <t>DCNBwfwCcp04R</t>
  </si>
  <si>
    <t>407-5504426-9860356</t>
  </si>
  <si>
    <t>TwwDS3m04</t>
  </si>
  <si>
    <t>DS8wwswPcp0NR</t>
  </si>
  <si>
    <t>2026-07-06T09:13:22+05:30</t>
  </si>
  <si>
    <t>2026-07-06T11:54:41+05:30</t>
  </si>
  <si>
    <t>2026-07-06T14:54:53+05:30</t>
  </si>
  <si>
    <t>nlcnvk1hfzr55wv@marketplace.amazon.in</t>
  </si>
  <si>
    <t>2026-07-06T20:00:00+05:30</t>
  </si>
  <si>
    <t>408-1139673-3090765</t>
  </si>
  <si>
    <t>TwZcWxmt4</t>
  </si>
  <si>
    <t>DBBCwkwncx0PR</t>
  </si>
  <si>
    <t>2026-07-06T09:08:47+05:30</t>
  </si>
  <si>
    <t>2026-07-06T11:53:45+05:30</t>
  </si>
  <si>
    <t>2026-07-06T11:53:50+05:30</t>
  </si>
  <si>
    <t>2026-07-06T12:54:01+05:30</t>
  </si>
  <si>
    <t>gcdl8w78r5d88pt@marketplace.amazon.in</t>
  </si>
  <si>
    <t>405-7631033-2872366</t>
  </si>
  <si>
    <t>TcbTrmjk4</t>
  </si>
  <si>
    <t>DMjxB5wZcs0sR</t>
  </si>
  <si>
    <t>2026-07-05T21:24:43+05:30</t>
  </si>
  <si>
    <t>2026-07-06T11:39:46+05:30</t>
  </si>
  <si>
    <t>2026-07-06T14:40:05+05:30</t>
  </si>
  <si>
    <t>21w7bmmwzb5plrb@marketplace.amazon.in</t>
  </si>
  <si>
    <t>402-8347721-7313164</t>
  </si>
  <si>
    <t>TccgWs7z4</t>
  </si>
  <si>
    <t>Dx9VB3wXc10qR</t>
  </si>
  <si>
    <t>2026-07-05T11:36:54+05:30</t>
  </si>
  <si>
    <t>2026-07-06T11:31:45+05:30</t>
  </si>
  <si>
    <t>2026-07-06T14:31:54+05:30</t>
  </si>
  <si>
    <t>m4hvq3r40hf57s0@marketplace.amazon.in</t>
  </si>
  <si>
    <t>406-9677430-4517960</t>
  </si>
  <si>
    <t>TJsRyCml4</t>
  </si>
  <si>
    <t>DQK69Gwvc80BR</t>
  </si>
  <si>
    <t>2026-07-06T02:32:41+05:30</t>
  </si>
  <si>
    <t>2026-07-06T11:25:43+05:30</t>
  </si>
  <si>
    <t>2026-07-06T11:25:48+05:30</t>
  </si>
  <si>
    <t>2026-07-06T12:26:04+05:30</t>
  </si>
  <si>
    <t>blntyz2z7sysd0w@marketplace.amazon.in</t>
  </si>
  <si>
    <t>171-0202594-0669119</t>
  </si>
  <si>
    <t>T6HRFb1p4</t>
  </si>
  <si>
    <t>DYjzHcwqcd02R</t>
  </si>
  <si>
    <t>2026-07-05T14:54:54+05:30</t>
  </si>
  <si>
    <t>2026-07-06T10:44:43+05:30</t>
  </si>
  <si>
    <t>2026-07-06T10:44:47+05:30</t>
  </si>
  <si>
    <t>2026-07-06T11:45:02+05:30</t>
  </si>
  <si>
    <t>fg7b4hbmm7k45f9@marketplace.amazon.in</t>
  </si>
  <si>
    <t>HASTINAPUR</t>
  </si>
  <si>
    <t>405-8272275-4124338</t>
  </si>
  <si>
    <t>TC5wn5mb4</t>
  </si>
  <si>
    <t>DfwpbYwzcZ04R</t>
  </si>
  <si>
    <t>2026-07-06T07:14:47+05:30</t>
  </si>
  <si>
    <t>2026-07-06T10:26:41+05:30</t>
  </si>
  <si>
    <t>2026-07-06T13:26:54+05:30</t>
  </si>
  <si>
    <t>4rv15mc4jgdm9t7@marketplace.amazon.in</t>
  </si>
  <si>
    <t>404-4355872-3720355</t>
  </si>
  <si>
    <t>Tn5703184</t>
  </si>
  <si>
    <t>D7vvkjwscN0gR</t>
  </si>
  <si>
    <t>2026-07-05T17:49:31+05:30</t>
  </si>
  <si>
    <t>2026-07-06T10:16:43+05:30</t>
  </si>
  <si>
    <t>2026-07-06T13:16:56+05:30</t>
  </si>
  <si>
    <t>xpctks8rcs9g43x@marketplace.amazon.in</t>
  </si>
  <si>
    <t>Bathinda</t>
  </si>
  <si>
    <t>404-1858115-5296308</t>
  </si>
  <si>
    <t>TVZMM9jS4</t>
  </si>
  <si>
    <t>DWvtkQw2cN0gR</t>
  </si>
  <si>
    <t>2026-07-05T18:27:31+05:30</t>
  </si>
  <si>
    <t>2026-07-06T10:16:05+05:30</t>
  </si>
  <si>
    <t>2026-07-06T13:20:05+05:30</t>
  </si>
  <si>
    <t>57f99pxz61ktymj@marketplace.amazon.in</t>
  </si>
  <si>
    <t>171-7001153-9443542</t>
  </si>
  <si>
    <t>T68RTHjr4</t>
  </si>
  <si>
    <t>D7mxkmwncQ0fR</t>
  </si>
  <si>
    <t>2026-07-05T22:14:20+05:30</t>
  </si>
  <si>
    <t>2026-07-06T10:11:48+05:30</t>
  </si>
  <si>
    <t>2026-07-06T10:11:53+05:30</t>
  </si>
  <si>
    <t>2026-07-06T11:12:09+05:30</t>
  </si>
  <si>
    <t>tjn0yp4hzhzlbvg@marketplace.amazon.in</t>
  </si>
  <si>
    <t>407-7388957-1040363</t>
  </si>
  <si>
    <t>T1LYT0134</t>
  </si>
  <si>
    <t>DMkMkBwLcH07R</t>
  </si>
  <si>
    <t>2026-07-05T16:44:31+05:30</t>
  </si>
  <si>
    <t>2026-07-06T10:10:49+05:30</t>
  </si>
  <si>
    <t>2026-07-06T13:11:01+05:30</t>
  </si>
  <si>
    <t>5qd14lh0pvf1wf3@marketplace.amazon.in</t>
  </si>
  <si>
    <t>DPMGkMwPcx0WR</t>
  </si>
  <si>
    <t>404-9683773-8045957</t>
  </si>
  <si>
    <t>TCSVd4mX4</t>
  </si>
  <si>
    <t>DH7WkRw4cR0cR</t>
  </si>
  <si>
    <t>2026-07-06T08:20:42+05:30</t>
  </si>
  <si>
    <t>2026-07-06T10:10:43+05:30</t>
  </si>
  <si>
    <t>2026-07-06T10:10:48+05:30</t>
  </si>
  <si>
    <t>2026-07-06T11:11:05+05:30</t>
  </si>
  <si>
    <t>vpp2kdmf6n9rjtt@marketplace.amazon.in</t>
  </si>
  <si>
    <t>403-8051065-3097150</t>
  </si>
  <si>
    <t>TwM78L1C4</t>
  </si>
  <si>
    <t>DqT6Nzwncw01R</t>
  </si>
  <si>
    <t>2026-07-05T18:15:35+05:30</t>
  </si>
  <si>
    <t>2026-07-06T09:50:44+05:30</t>
  </si>
  <si>
    <t>2026-07-06T09:50:46+05:30</t>
  </si>
  <si>
    <t>2026-07-06T10:51:01+05:30</t>
  </si>
  <si>
    <t>380m40hft5v19yj@marketplace.amazon.in</t>
  </si>
  <si>
    <t>405-9328904-6828330</t>
  </si>
  <si>
    <t>TJCGFFj24</t>
  </si>
  <si>
    <t>DmxWNDwScl0LR</t>
  </si>
  <si>
    <t>2026-07-05T20:51:30+05:30</t>
  </si>
  <si>
    <t>2026-07-06T09:44:51+05:30</t>
  </si>
  <si>
    <t>2026-07-06T12:45:02+05:30</t>
  </si>
  <si>
    <t>js5mtp7lpg6csxx@marketplace.amazon.in</t>
  </si>
  <si>
    <t>KAMBAM</t>
  </si>
  <si>
    <t>406-9813930-9613152</t>
  </si>
  <si>
    <t>TgsDQFDt4</t>
  </si>
  <si>
    <t>DMRrNVwpcj0JR</t>
  </si>
  <si>
    <t>2026-07-04T20:20:13+05:30</t>
  </si>
  <si>
    <t>2026-07-06T09:43:47+05:30</t>
  </si>
  <si>
    <t>2026-07-06T12:43:58+05:30</t>
  </si>
  <si>
    <t>0w3nlzfcmh3sztw@marketplace.amazon.in</t>
  </si>
  <si>
    <t>405-0949581-4502746</t>
  </si>
  <si>
    <t>T1Y84tjK4</t>
  </si>
  <si>
    <t>DKX4R2wncs0XR</t>
  </si>
  <si>
    <t>2026-07-05T20:38:22+05:30</t>
  </si>
  <si>
    <t>2026-07-06T09:40:43+05:30</t>
  </si>
  <si>
    <t>2026-07-06T12:40:55+05:30</t>
  </si>
  <si>
    <t>91f6f88543tc33h@marketplace.amazon.in</t>
  </si>
  <si>
    <t>403-6042994-8669916</t>
  </si>
  <si>
    <t>Tc5NHpjM4</t>
  </si>
  <si>
    <t>DR7jRHwwcc0zR</t>
  </si>
  <si>
    <t>2026-07-05T19:50:12+05:30</t>
  </si>
  <si>
    <t>2026-07-06T09:35:47+05:30</t>
  </si>
  <si>
    <t>2026-07-06T12:36:00+05:30</t>
  </si>
  <si>
    <t>86vlv1t9sts13jd@marketplace.amazon.in</t>
  </si>
  <si>
    <t>406-9212197-5903554</t>
  </si>
  <si>
    <t>TcNlrV1x4</t>
  </si>
  <si>
    <t>DzclRCwxch0VR</t>
  </si>
  <si>
    <t>2026-07-05T15:57:48+05:30</t>
  </si>
  <si>
    <t>2026-07-06T09:32:44+05:30</t>
  </si>
  <si>
    <t>2026-07-06T09:32:48+05:30</t>
  </si>
  <si>
    <t>2026-07-06T10:33:04+05:30</t>
  </si>
  <si>
    <t>ltccsyrlgvd1rhj@marketplace.amazon.in</t>
  </si>
  <si>
    <t>408-0834644-4198738</t>
  </si>
  <si>
    <t>T35sskjf4</t>
  </si>
  <si>
    <t>D1l1RhwDcm0KR</t>
  </si>
  <si>
    <t>2026-07-05T18:31:41+05:30</t>
  </si>
  <si>
    <t>2026-07-06T09:32:47+05:30</t>
  </si>
  <si>
    <t>2026-07-06T12:32:58+05:30</t>
  </si>
  <si>
    <t>mxtzgq7xtvknbbt@marketplace.amazon.in</t>
  </si>
  <si>
    <t>404-6357396-1199538</t>
  </si>
  <si>
    <t>TVbHkmjX4</t>
  </si>
  <si>
    <t>Dyc0RHwnch0VR</t>
  </si>
  <si>
    <t>2026-07-05T17:45:15+05:30</t>
  </si>
  <si>
    <t>2026-07-06T09:32:46+05:30</t>
  </si>
  <si>
    <t>2026-07-06T12:32:57+05:30</t>
  </si>
  <si>
    <t>wnkxkdzdgyl44yv@marketplace.amazon.in</t>
  </si>
  <si>
    <t>BAWANI KHERA</t>
  </si>
  <si>
    <t>404-8371214-2499560</t>
  </si>
  <si>
    <t>TCW3fRj64</t>
  </si>
  <si>
    <t>DCT3RRw0ch0mR</t>
  </si>
  <si>
    <t>2026-07-06T00:42:51+05:30</t>
  </si>
  <si>
    <t>2026-07-06T09:28:49+05:30</t>
  </si>
  <si>
    <t>2026-07-06T12:29:04+05:30</t>
  </si>
  <si>
    <t>gpzzbltf12b78w7@marketplace.amazon.in</t>
  </si>
  <si>
    <t>408-2505648-9327516</t>
  </si>
  <si>
    <t>TN4Z2x1W4</t>
  </si>
  <si>
    <t>DG5ShvWDcV0NR</t>
  </si>
  <si>
    <t>2026-07-05T15:29:08+05:30</t>
  </si>
  <si>
    <t>2026-07-06T09:20:48+05:30</t>
  </si>
  <si>
    <t>2026-07-06T12:21:00+05:30</t>
  </si>
  <si>
    <t>mmlns2p5b48bpys@marketplace.amazon.in</t>
  </si>
  <si>
    <t>Dwmgh3WycG0sR</t>
  </si>
  <si>
    <t>406-2016776-0341167</t>
  </si>
  <si>
    <t>TNGwP5jZ4</t>
  </si>
  <si>
    <t>DX2ghhWrcp0PR</t>
  </si>
  <si>
    <t>2026-07-05T23:14:04+05:30</t>
  </si>
  <si>
    <t>2026-07-06T09:16:45+05:30</t>
  </si>
  <si>
    <t>2026-07-06T12:16:56+05:30</t>
  </si>
  <si>
    <t>44ntbyj1ffrhf16@marketplace.amazon.in</t>
  </si>
  <si>
    <t>406-5416451-2289168</t>
  </si>
  <si>
    <t>TNR9NQj34</t>
  </si>
  <si>
    <t>D6CdhrWycS0DR</t>
  </si>
  <si>
    <t>2026-07-05T19:20:56+05:30</t>
  </si>
  <si>
    <t>2026-07-06T09:14:40+05:30</t>
  </si>
  <si>
    <t>2026-07-06T09:14:43+05:30</t>
  </si>
  <si>
    <t>2026-07-06T10:14:54+05:30</t>
  </si>
  <si>
    <t>qtsf1ly3hyvrd5f@marketplace.amazon.in</t>
  </si>
  <si>
    <t>404-3534735-4336302</t>
  </si>
  <si>
    <t>TCj9pW1B4</t>
  </si>
  <si>
    <t>Dq8DfyWGc70XR</t>
  </si>
  <si>
    <t>2026-07-05T18:23:55+05:30</t>
  </si>
  <si>
    <t>2026-07-06T09:04:39+05:30</t>
  </si>
  <si>
    <t>2026-07-06T09:04:43+05:30</t>
  </si>
  <si>
    <t>2026-07-06T10:04:54+05:30</t>
  </si>
  <si>
    <t>nm25fdpdlvjkzrg@marketplace.amazon.in</t>
  </si>
  <si>
    <t>404-5567097-1517115</t>
  </si>
  <si>
    <t>T1cZtBjh4</t>
  </si>
  <si>
    <t>DN5bfRWdcQ0RR</t>
  </si>
  <si>
    <t>2026-07-05T13:20:34+05:30</t>
  </si>
  <si>
    <t>2026-07-06T09:03:46+05:30</t>
  </si>
  <si>
    <t>2026-07-06T12:03:58+05:30</t>
  </si>
  <si>
    <t>knhn1y20d546xnl@marketplace.amazon.in</t>
  </si>
  <si>
    <t>THARIAL</t>
  </si>
  <si>
    <t>404-9121273-4237159</t>
  </si>
  <si>
    <t>TwsyjRjH4</t>
  </si>
  <si>
    <t>DCwCfvWQc703R</t>
  </si>
  <si>
    <t>2026-07-05T23:14:00+05:30</t>
  </si>
  <si>
    <t>2026-07-06T09:02:42+05:30</t>
  </si>
  <si>
    <t>2026-07-06T09:02:45+05:30</t>
  </si>
  <si>
    <t>2026-07-06T10:03:01+05:30</t>
  </si>
  <si>
    <t>664lx95lktqz8fv@marketplace.amazon.in</t>
  </si>
  <si>
    <t>Medchal- Malkajgiri</t>
  </si>
  <si>
    <t>402-6201557-9703532</t>
  </si>
  <si>
    <t>TJ5W9gB64</t>
  </si>
  <si>
    <t>Dw8jfYWzc70XR</t>
  </si>
  <si>
    <t>2026-07-03T14:45:39+05:30</t>
  </si>
  <si>
    <t>2026-07-06T09:01:45+05:30</t>
  </si>
  <si>
    <t>2026-07-06T12:01:56+05:30</t>
  </si>
  <si>
    <t>8j9qz9gtq9snfff@marketplace.amazon.in</t>
  </si>
  <si>
    <t>AM005949185IN</t>
  </si>
  <si>
    <t>406-3051312-6273941</t>
  </si>
  <si>
    <t>T1Sk5vMb4</t>
  </si>
  <si>
    <t>DSx8mPWnch0QR</t>
  </si>
  <si>
    <t>2026-07-03T12:20:43+05:30</t>
  </si>
  <si>
    <t>2026-07-06T05:33:43+05:30</t>
  </si>
  <si>
    <t>2026-07-06T08:33:55+05:30</t>
  </si>
  <si>
    <t>twyy8c8jn35bgwj@marketplace.amazon.in</t>
  </si>
  <si>
    <t>403-9034396-7656349</t>
  </si>
  <si>
    <t>T1Kr8k194</t>
  </si>
  <si>
    <t>DrtJSYWTcG0nR</t>
  </si>
  <si>
    <t>2026-07-05T18:20:45+05:30</t>
  </si>
  <si>
    <t>2026-07-06T04:48:47+05:30</t>
  </si>
  <si>
    <t>2026-07-06T07:48:59+05:30</t>
  </si>
  <si>
    <t>bpc9n2q7c6rqmqq@marketplace.amazon.in</t>
  </si>
  <si>
    <t>403-5270306-3037152</t>
  </si>
  <si>
    <t>T61Mh11G4</t>
  </si>
  <si>
    <t>DhM3SKWZcd0nR</t>
  </si>
  <si>
    <t>2026-07-05T19:32:54+05:30</t>
  </si>
  <si>
    <t>2026-07-06T04:48:41+05:30</t>
  </si>
  <si>
    <t>2026-07-06T04:48:44+05:30</t>
  </si>
  <si>
    <t>2026-07-06T05:48:57+05:30</t>
  </si>
  <si>
    <t>wv0jb114m46jqlv@marketplace.amazon.in</t>
  </si>
  <si>
    <t>405-8536539-5661933</t>
  </si>
  <si>
    <t>TN1C1ljk4</t>
  </si>
  <si>
    <t>DKqMS5WHc90VR</t>
  </si>
  <si>
    <t>2026-07-04T22:56:22+05:30</t>
  </si>
  <si>
    <t>2026-07-06T04:36:52+05:30</t>
  </si>
  <si>
    <t>2026-07-06T04:36:58+05:30</t>
  </si>
  <si>
    <t>2026-07-06T05:37:27+05:30</t>
  </si>
  <si>
    <t>1vq89935ntnz5jq@marketplace.amazon.in</t>
  </si>
  <si>
    <t>171-1642661-4192355</t>
  </si>
  <si>
    <t>TCCvznjl4</t>
  </si>
  <si>
    <t>D0nsSpWTcB09R</t>
  </si>
  <si>
    <t>2026-07-05T21:13:56+05:30</t>
  </si>
  <si>
    <t>2026-07-06T04:32:42+05:30</t>
  </si>
  <si>
    <t>2026-07-06T04:32:44+05:30</t>
  </si>
  <si>
    <t>2026-07-06T05:32:55+05:30</t>
  </si>
  <si>
    <t>065lvxmpnn0w466@marketplace.amazon.in</t>
  </si>
  <si>
    <t>403-2258718-5410763</t>
  </si>
  <si>
    <t>Tnp1nrj14</t>
  </si>
  <si>
    <t>D9qHSJWtcc0BR</t>
  </si>
  <si>
    <t>2026-07-05T22:43:05+05:30</t>
  </si>
  <si>
    <t>2026-07-06T04:32:39+05:30</t>
  </si>
  <si>
    <t>2026-07-06T05:32:53+05:30</t>
  </si>
  <si>
    <t>cjt233f49xdhgmy@marketplace.amazon.in</t>
  </si>
  <si>
    <t>402-2675829-0260339</t>
  </si>
  <si>
    <t>Tnkg48jG4</t>
  </si>
  <si>
    <t>DHsW6kWkcs0bR</t>
  </si>
  <si>
    <t>2026-07-05T19:10:02+05:30</t>
  </si>
  <si>
    <t>2026-07-06T04:20:46+05:30</t>
  </si>
  <si>
    <t>2026-07-06T07:20:57+05:30</t>
  </si>
  <si>
    <t>s9f8kxxyysk244y@marketplace.amazon.in</t>
  </si>
  <si>
    <t>404-2936706-5733124</t>
  </si>
  <si>
    <t>TVs3YMjY4</t>
  </si>
  <si>
    <t>D74kdfWWcw0bR</t>
  </si>
  <si>
    <t>2026-07-05T20:33:23+05:30</t>
  </si>
  <si>
    <t>2026-07-06T04:15:41+05:30</t>
  </si>
  <si>
    <t>2026-07-06T04:15:45+05:30</t>
  </si>
  <si>
    <t>2026-07-06T05:15:55+05:30</t>
  </si>
  <si>
    <t>3vwmfctrs13vkbs@marketplace.amazon.in</t>
  </si>
  <si>
    <t>171-6941974-9857114</t>
  </si>
  <si>
    <t>TwFptFjQ4</t>
  </si>
  <si>
    <t>D85bGLWQcL07R</t>
  </si>
  <si>
    <t>2026-07-05T18:48:47+05:30</t>
  </si>
  <si>
    <t>2026-07-06T04:00:38+05:30</t>
  </si>
  <si>
    <t>2026-07-06T04:00:43+05:30</t>
  </si>
  <si>
    <t>2026-07-06T05:01:03+05:30</t>
  </si>
  <si>
    <t>r5mrmz3n9xy4d81@marketplace.amazon.in</t>
  </si>
  <si>
    <t>405-5917766-0207530</t>
  </si>
  <si>
    <t>Tnxb6yjs4</t>
  </si>
  <si>
    <t>DpgRGCWlcf03R</t>
  </si>
  <si>
    <t>2026-07-05T23:23:31+05:30</t>
  </si>
  <si>
    <t>2026-07-06T03:57:33+05:30</t>
  </si>
  <si>
    <t>2026-07-06T03:57:35+05:30</t>
  </si>
  <si>
    <t>2026-07-06T04:57:47+05:30</t>
  </si>
  <si>
    <t>kbl345t6njgyr2v@marketplace.amazon.in</t>
  </si>
  <si>
    <t>171-8368292-6251542</t>
  </si>
  <si>
    <t>T37hwHjX4</t>
  </si>
  <si>
    <t>DMBvGpW3c70DR</t>
  </si>
  <si>
    <t>2026-07-05T19:58:38+05:30</t>
  </si>
  <si>
    <t>2026-07-06T03:57:31+05:30</t>
  </si>
  <si>
    <t>2026-07-06T06:57:41+05:30</t>
  </si>
  <si>
    <t>5cdxxmmbrydpsbn@marketplace.amazon.in</t>
  </si>
  <si>
    <t>Kunchanapalli</t>
  </si>
  <si>
    <t>402-3910140-7867534</t>
  </si>
  <si>
    <t>TGFly7884</t>
  </si>
  <si>
    <t>DhBbGxWQc70DR</t>
  </si>
  <si>
    <t>2026-07-04T10:47:19+05:30</t>
  </si>
  <si>
    <t>2026-07-06T03:55:53+05:30</t>
  </si>
  <si>
    <t>2026-07-06T07:00:00+05:30</t>
  </si>
  <si>
    <t>ks2r8yfldpq1699@marketplace.amazon.in</t>
  </si>
  <si>
    <t>403-6589880-2522768</t>
  </si>
  <si>
    <t>T1l6Hf1q4</t>
  </si>
  <si>
    <t>DBF1tLWvcM0DR</t>
  </si>
  <si>
    <t>2026-07-05T11:58:03+05:30</t>
  </si>
  <si>
    <t>2026-07-06T03:37:41+05:30</t>
  </si>
  <si>
    <t>2026-07-06T03:37:44+05:30</t>
  </si>
  <si>
    <t>2026-07-06T04:37:56+05:30</t>
  </si>
  <si>
    <t>qll4gnw9rjn5d3m@marketplace.amazon.in</t>
  </si>
  <si>
    <t>Chikhli</t>
  </si>
  <si>
    <t>402-1878735-5122760</t>
  </si>
  <si>
    <t>Tc778v7r4</t>
  </si>
  <si>
    <t>DL6ttfWrcc0CR</t>
  </si>
  <si>
    <t>2026-07-05T11:33:18+05:30</t>
  </si>
  <si>
    <t>2026-07-06T03:34:44+05:30</t>
  </si>
  <si>
    <t>2026-07-06T06:34:57+05:30</t>
  </si>
  <si>
    <t>fv3h8cskyng7cft@marketplace.amazon.in</t>
  </si>
  <si>
    <t>403-0012119-6051526</t>
  </si>
  <si>
    <t>TgBhsl1T4</t>
  </si>
  <si>
    <t>DMvQP8W7cG0hR</t>
  </si>
  <si>
    <t>2026-07-05T14:46:21+05:30</t>
  </si>
  <si>
    <t>2026-07-06T03:23:43+05:30</t>
  </si>
  <si>
    <t>2026-07-06T06:23:54+05:30</t>
  </si>
  <si>
    <t>qwjjwp5zgccbl6s@marketplace.amazon.in</t>
  </si>
  <si>
    <t>171-5841338-6401153</t>
  </si>
  <si>
    <t>TgqxC67F4</t>
  </si>
  <si>
    <t>D7lfP1Wlcm0YR</t>
  </si>
  <si>
    <t>2026-07-05T11:51:09+05:30</t>
  </si>
  <si>
    <t>2026-07-06T03:16:52+05:30</t>
  </si>
  <si>
    <t>2026-07-06T06:17:14+05:30</t>
  </si>
  <si>
    <t>wg2w77btlkrf7jr@marketplace.amazon.in</t>
  </si>
  <si>
    <t>Kannur</t>
  </si>
  <si>
    <t>407-5359368-4631519</t>
  </si>
  <si>
    <t>TCXk687C4</t>
  </si>
  <si>
    <t>Dd5VT9WScc02R</t>
  </si>
  <si>
    <t>2026-07-04T13:37:10+05:30</t>
  </si>
  <si>
    <t>2026-07-06T03:04:45+05:30</t>
  </si>
  <si>
    <t>2026-07-06T03:04:49+05:30</t>
  </si>
  <si>
    <t>2026-07-06T04:05:04+05:30</t>
  </si>
  <si>
    <t>nsm04txsrlnn383@marketplace.amazon.in</t>
  </si>
  <si>
    <t>404-8327112-3987537</t>
  </si>
  <si>
    <t>TCPQPL1w4</t>
  </si>
  <si>
    <t>DbZCTgWYcR0cR</t>
  </si>
  <si>
    <t>2026-07-05T16:42:25+05:30</t>
  </si>
  <si>
    <t>2026-07-06T02:59:52+05:30</t>
  </si>
  <si>
    <t>2026-07-06T06:00:11+05:30</t>
  </si>
  <si>
    <t>6zstfh3z28dnrjf@marketplace.amazon.in</t>
  </si>
  <si>
    <t>407-3751222-9557940</t>
  </si>
  <si>
    <t>TwNdT3jS4</t>
  </si>
  <si>
    <t>DXbqTdWPcn0YR</t>
  </si>
  <si>
    <t>2026-07-05T22:44:03+05:30</t>
  </si>
  <si>
    <t>2026-07-06T02:58:48+05:30</t>
  </si>
  <si>
    <t>2026-07-06T05:59:06+05:30</t>
  </si>
  <si>
    <t>kwbshcryppnwf5x@marketplace.amazon.in</t>
  </si>
  <si>
    <t>T3TjWYDK4</t>
  </si>
  <si>
    <t>DlwrTHWhcX0hR</t>
  </si>
  <si>
    <t>2026-07-06T05:59:03+05:30</t>
  </si>
  <si>
    <t>402-1527951-0448302</t>
  </si>
  <si>
    <t>TNw6dL104</t>
  </si>
  <si>
    <t>DsLBTKWkcV0JR</t>
  </si>
  <si>
    <t>2026-07-05T17:39:14+05:30</t>
  </si>
  <si>
    <t>2026-07-06T02:56:47+05:30</t>
  </si>
  <si>
    <t>2026-07-06T05:56:59+05:30</t>
  </si>
  <si>
    <t>ct0rktxl5jxrn6h@marketplace.amazon.in</t>
  </si>
  <si>
    <t>403-1555457-9757944</t>
  </si>
  <si>
    <t>TJdVK3144</t>
  </si>
  <si>
    <t>D4vynQWkc407R</t>
  </si>
  <si>
    <t>2026-07-05T18:26:48+05:30</t>
  </si>
  <si>
    <t>2026-07-06T02:51:45+05:30</t>
  </si>
  <si>
    <t>2026-07-06T05:51:58+05:30</t>
  </si>
  <si>
    <t>f0kx7zjl6rzvcwz@marketplace.amazon.in</t>
  </si>
  <si>
    <t>403-5375100-0375531</t>
  </si>
  <si>
    <t>TNbWNQjB4</t>
  </si>
  <si>
    <t>DC1mnCWQcV0GR</t>
  </si>
  <si>
    <t>2026-07-05T19:56:56+05:30</t>
  </si>
  <si>
    <t>2026-07-06T02:48:41+05:30</t>
  </si>
  <si>
    <t>2026-07-06T05:48:53+05:30</t>
  </si>
  <si>
    <t>14d01fmb2mh9y6t@marketplace.amazon.in</t>
  </si>
  <si>
    <t>404-1593115-3345141</t>
  </si>
  <si>
    <t>TngqJ3BY4</t>
  </si>
  <si>
    <t>Dk9gxXWJcL0cR</t>
  </si>
  <si>
    <t>2026-07-03T19:12:49+05:30</t>
  </si>
  <si>
    <t>2026-07-06T02:24:42+05:30</t>
  </si>
  <si>
    <t>2026-07-06T02:24:45+05:30</t>
  </si>
  <si>
    <t>2026-07-06T03:24:56+05:30</t>
  </si>
  <si>
    <t>ptnhfjx53mq0sm9@marketplace.amazon.in</t>
  </si>
  <si>
    <t>Krishnai</t>
  </si>
  <si>
    <t>406-3022880-1969967</t>
  </si>
  <si>
    <t>TXjbdBBW4</t>
  </si>
  <si>
    <t>DVLY3zWnc40SR</t>
  </si>
  <si>
    <t>2026-07-03T20:21:04+05:30</t>
  </si>
  <si>
    <t>2026-07-06T02:04:49+05:30</t>
  </si>
  <si>
    <t>2026-07-06T05:05:00+05:30</t>
  </si>
  <si>
    <t>ln5664312gdncc2@marketplace.amazon.in</t>
  </si>
  <si>
    <t>402-1482004-2651515</t>
  </si>
  <si>
    <t>T1Cfhp1V4</t>
  </si>
  <si>
    <t>DcpNJgWcc40QR</t>
  </si>
  <si>
    <t>2026-07-04T22:54:27+05:30</t>
  </si>
  <si>
    <t>2026-07-06T01:44:45+05:30</t>
  </si>
  <si>
    <t>2026-07-06T01:44:53+05:30</t>
  </si>
  <si>
    <t>2026-07-06T02:45:14+05:30</t>
  </si>
  <si>
    <t>8fgr9krk33rphps@marketplace.amazon.in</t>
  </si>
  <si>
    <t>404-9305839-7188362</t>
  </si>
  <si>
    <t>TVCMmr1y4</t>
  </si>
  <si>
    <t>DDpKJSWQc40QR</t>
  </si>
  <si>
    <t>2026-07-05T17:59:59+05:30</t>
  </si>
  <si>
    <t>2026-07-06T04:44:56+05:30</t>
  </si>
  <si>
    <t>db7vx8my1tnhy6x@marketplace.amazon.in</t>
  </si>
  <si>
    <t>404-2131735-2183524</t>
  </si>
  <si>
    <t>TwPcYYjd4</t>
  </si>
  <si>
    <t>DTFH1WWYcJ0nR</t>
  </si>
  <si>
    <t>2026-07-05T21:48:49+05:30</t>
  </si>
  <si>
    <t>2026-07-06T01:19:51+05:30</t>
  </si>
  <si>
    <t>2026-07-06T04:20:06+05:30</t>
  </si>
  <si>
    <t>27l300yg0lynqq4@marketplace.amazon.in</t>
  </si>
  <si>
    <t>405-2551177-5089928</t>
  </si>
  <si>
    <t>TGt7nL824</t>
  </si>
  <si>
    <t>D61xrMWxcd0FR</t>
  </si>
  <si>
    <t>2026-07-04T15:05:37+05:30</t>
  </si>
  <si>
    <t>2026-07-06T01:04:46+05:30</t>
  </si>
  <si>
    <t>2026-07-06T01:04:51+05:30</t>
  </si>
  <si>
    <t>2026-07-06T02:08:40+05:30</t>
  </si>
  <si>
    <t>qf4b6zngjk87vxz@marketplace.amazon.in</t>
  </si>
  <si>
    <t>403-3173400-1830745</t>
  </si>
  <si>
    <t>T3pxmf8t4</t>
  </si>
  <si>
    <t>DF7JrpW7cV0rR</t>
  </si>
  <si>
    <t>2026-07-04T16:14:26+05:30</t>
  </si>
  <si>
    <t>2026-07-06T01:00:51+05:30</t>
  </si>
  <si>
    <t>2026-07-06T04:01:11+05:30</t>
  </si>
  <si>
    <t>qd6lf5jmqyrj33x@marketplace.amazon.in</t>
  </si>
  <si>
    <t>405-1201134-1353969</t>
  </si>
  <si>
    <t>TG1cFSjr4</t>
  </si>
  <si>
    <t>DydjrBW6cp0gR</t>
  </si>
  <si>
    <t>2026-07-05T20:38:23+05:30</t>
  </si>
  <si>
    <t>2026-07-06T00:52:47+05:30</t>
  </si>
  <si>
    <t>2026-07-06T03:53:03+05:30</t>
  </si>
  <si>
    <t>8fqxqnf0d2ngzmt@marketplace.amazon.in</t>
  </si>
  <si>
    <t>406-8691996-2871566</t>
  </si>
  <si>
    <t>TJgGrfDr4</t>
  </si>
  <si>
    <t>DCgt7yWfcN0KR</t>
  </si>
  <si>
    <t>2026-07-04T19:45:25+05:30</t>
  </si>
  <si>
    <t>2026-07-06T00:43:47+05:30</t>
  </si>
  <si>
    <t>2026-07-06T03:44:03+05:30</t>
  </si>
  <si>
    <t>k2fl59mt26nf5cf@marketplace.amazon.in</t>
  </si>
  <si>
    <t>402-0615876-3244312</t>
  </si>
  <si>
    <t>Tg77ln8R4</t>
  </si>
  <si>
    <t>DVwy7HW1cS0vR</t>
  </si>
  <si>
    <t>2026-07-04T15:53:05+05:30</t>
  </si>
  <si>
    <t>2026-07-06T00:41:44+05:30</t>
  </si>
  <si>
    <t>2026-07-06T00:41:48+05:30</t>
  </si>
  <si>
    <t>2026-07-06T01:42:00+05:30</t>
  </si>
  <si>
    <t>brf2vq9btxc5v7s@marketplace.amazon.in</t>
  </si>
  <si>
    <t>408-0011483-8357934</t>
  </si>
  <si>
    <t>TVr0XP1p4</t>
  </si>
  <si>
    <t>D2wj7YW4ch07R</t>
  </si>
  <si>
    <t>2026-07-05T18:12:11+05:30</t>
  </si>
  <si>
    <t>2026-07-06T00:41:42+05:30</t>
  </si>
  <si>
    <t>2026-07-06T00:41:45+05:30</t>
  </si>
  <si>
    <t>2026-07-06T01:41:57+05:30</t>
  </si>
  <si>
    <t>yrx95w0d1kb3llt@marketplace.amazon.in</t>
  </si>
  <si>
    <t>405-3874381-2789157</t>
  </si>
  <si>
    <t>TJ2Mg37b4</t>
  </si>
  <si>
    <t>D9wC7VW2ch0vR</t>
  </si>
  <si>
    <t>2026-07-05T11:36:36+05:30</t>
  </si>
  <si>
    <t>2026-07-06T03:41:58+05:30</t>
  </si>
  <si>
    <t>tk03dq9fn7hrwt3@marketplace.amazon.in</t>
  </si>
  <si>
    <t>2026-07-06T08:00:00+05:30</t>
  </si>
  <si>
    <t>171-0888623-5573933</t>
  </si>
  <si>
    <t>T36Dj4DH4</t>
  </si>
  <si>
    <t>DwH77GWxc40bR</t>
  </si>
  <si>
    <t>2026-07-05T00:38:56+05:30</t>
  </si>
  <si>
    <t>2026-07-06T00:38:44+05:30</t>
  </si>
  <si>
    <t>2026-07-06T00:38:49+05:30</t>
  </si>
  <si>
    <t>2026-07-06T01:39:06+05:30</t>
  </si>
  <si>
    <t>f5lgpjm2cb8wpv3@marketplace.amazon.in</t>
  </si>
  <si>
    <t>407-9580271-8518720</t>
  </si>
  <si>
    <t>TntTS67J4</t>
  </si>
  <si>
    <t>DkLZLlWXcv0JR</t>
  </si>
  <si>
    <t>2026-07-05T09:55:34+05:30</t>
  </si>
  <si>
    <t>2026-07-06T00:20:43+05:30</t>
  </si>
  <si>
    <t>2026-07-06T03:20:55+05:30</t>
  </si>
  <si>
    <t>h2bsgzqll610fpq@marketplace.amazon.in</t>
  </si>
  <si>
    <t>171-1844580-7152339</t>
  </si>
  <si>
    <t>TGsgKm1k4</t>
  </si>
  <si>
    <t>DTDGsYWycj0pR</t>
  </si>
  <si>
    <t>2026-07-05T18:10:15+05:30</t>
  </si>
  <si>
    <t>2026-07-06T00:10:52+05:30</t>
  </si>
  <si>
    <t>2026-07-06T03:11:14+05:30</t>
  </si>
  <si>
    <t>y9vl5fsnm8bry0f@marketplace.amazon.in</t>
  </si>
  <si>
    <t>171-1452176-5824364</t>
  </si>
  <si>
    <t>Tc7NpZ1c4</t>
  </si>
  <si>
    <t>DTHssXWLc30LR</t>
  </si>
  <si>
    <t>2026-07-05T18:06:18+05:30</t>
  </si>
  <si>
    <t>2026-07-06T00:03:53+05:30</t>
  </si>
  <si>
    <t>2026-07-06T00:03:58+05:30</t>
  </si>
  <si>
    <t>2026-07-06T01:04:21+05:30</t>
  </si>
  <si>
    <t>ktkhzk6481wrd83@marketplace.amazon.in</t>
  </si>
  <si>
    <t>405-2807486-4713909</t>
  </si>
  <si>
    <t>TXdgmP794</t>
  </si>
  <si>
    <t>D6HwsdW1c30LR</t>
  </si>
  <si>
    <t>2026-07-05T10:40:44+05:30</t>
  </si>
  <si>
    <t>2026-07-06T00:03:45+05:30</t>
  </si>
  <si>
    <t>2026-07-06T00:03:48+05:30</t>
  </si>
  <si>
    <t>2026-07-06T01:03:59+05:30</t>
  </si>
  <si>
    <t>lx4b1ygdkw24sz1@marketplace.amazon.in</t>
  </si>
  <si>
    <t>407-6340848-2251566</t>
  </si>
  <si>
    <t>TJl3ql1C4</t>
  </si>
  <si>
    <t>D73NQdWbcG0mR</t>
  </si>
  <si>
    <t>2026-07-05T12:23:50+05:30</t>
  </si>
  <si>
    <t>2026-07-05T23:55:58+05:30</t>
  </si>
  <si>
    <t>2026-07-05T23:56:07+05:30</t>
  </si>
  <si>
    <t>2026-07-06T00:56:40+05:30</t>
  </si>
  <si>
    <t>sqsl63mkbbgjz5c@marketplace.amazon.in</t>
  </si>
  <si>
    <t>403-9439569-4322731</t>
  </si>
  <si>
    <t>Tn6lDPjn4</t>
  </si>
  <si>
    <t>D2SDQvWFcq00R</t>
  </si>
  <si>
    <t>2026-07-05T19:54:03+05:30</t>
  </si>
  <si>
    <t>2026-07-05T23:55:47+05:30</t>
  </si>
  <si>
    <t>2026-07-06T02:56:04+05:30</t>
  </si>
  <si>
    <t>lvr8h8g6fbdfj24@marketplace.amazon.in</t>
  </si>
  <si>
    <t>408-4652482-6965965</t>
  </si>
  <si>
    <t>TXcXzC134</t>
  </si>
  <si>
    <t>DXZZQKWbcN0dR</t>
  </si>
  <si>
    <t>2026-07-05T15:08:19+05:30</t>
  </si>
  <si>
    <t>2026-07-05T23:52:52+05:30</t>
  </si>
  <si>
    <t>2026-07-06T02:53:16+05:30</t>
  </si>
  <si>
    <t>p7vmcbv4gtw0d00@marketplace.amazon.in</t>
  </si>
  <si>
    <t>405-9173538-1128314</t>
  </si>
  <si>
    <t>TJtQfJ7s4</t>
  </si>
  <si>
    <t>DrgkQ1WzcC09R</t>
  </si>
  <si>
    <t>2026-07-05T12:28:30+05:30</t>
  </si>
  <si>
    <t>2026-07-05T23:51:48+05:30</t>
  </si>
  <si>
    <t>2026-07-06T02:52:00+05:30</t>
  </si>
  <si>
    <t>tztq5v0tp93jbsv@marketplace.amazon.in</t>
  </si>
  <si>
    <t>DFZhQFWQcK0SR</t>
  </si>
  <si>
    <t>171-2997695-5867532</t>
  </si>
  <si>
    <t>T17ZPR1x4</t>
  </si>
  <si>
    <t>DK97QZW1cj0LR</t>
  </si>
  <si>
    <t>2026-07-05T17:03:31+05:30</t>
  </si>
  <si>
    <t>2026-07-05T23:48:45+05:30</t>
  </si>
  <si>
    <t>2026-07-05T23:48:49+05:30</t>
  </si>
  <si>
    <t>2026-07-06T00:49:02+05:30</t>
  </si>
  <si>
    <t>vzfhd2hj3yljkmn@marketplace.amazon.in</t>
  </si>
  <si>
    <t>KATTUR</t>
  </si>
  <si>
    <t>407-8382083-1265911</t>
  </si>
  <si>
    <t>TcDg86784</t>
  </si>
  <si>
    <t>DMJzQsWFcp0wR</t>
  </si>
  <si>
    <t>2026-07-05T11:53:50+05:30</t>
  </si>
  <si>
    <t>2026-07-05T23:46:46+05:30</t>
  </si>
  <si>
    <t>2026-07-06T02:46:58+05:30</t>
  </si>
  <si>
    <t>gjjmbr8zjp512qf@marketplace.amazon.in</t>
  </si>
  <si>
    <t>403-3692707-4222764</t>
  </si>
  <si>
    <t>Tgsq42jt4</t>
  </si>
  <si>
    <t>DgJ5QnWWcx0VR</t>
  </si>
  <si>
    <t>2026-07-05T20:20:17+05:30</t>
  </si>
  <si>
    <t>2026-07-05T23:43:45+05:30</t>
  </si>
  <si>
    <t>2026-07-06T02:44:02+05:30</t>
  </si>
  <si>
    <t>kj0fhsqtx79p80p@marketplace.amazon.in</t>
  </si>
  <si>
    <t>DgJ9Q2W0cN0yR</t>
  </si>
  <si>
    <t>407-0598494-9886701</t>
  </si>
  <si>
    <t>TJD8bd1W4</t>
  </si>
  <si>
    <t>D9DwcXW5cy05R</t>
  </si>
  <si>
    <t>2026-07-05T13:33:36+05:30</t>
  </si>
  <si>
    <t>2026-07-05T23:36:48+05:30</t>
  </si>
  <si>
    <t>2026-07-06T02:37:01+05:30</t>
  </si>
  <si>
    <t>db1dvqvyw14p10s@marketplace.amazon.in</t>
  </si>
  <si>
    <t>405-8058131-7530709</t>
  </si>
  <si>
    <t>T34bj11S4</t>
  </si>
  <si>
    <t>DBBgcnW9cW0QR</t>
  </si>
  <si>
    <t>2026-07-05T19:03:16+05:30</t>
  </si>
  <si>
    <t>2026-07-05T23:33:36+05:30</t>
  </si>
  <si>
    <t>2026-07-05T23:33:40+05:30</t>
  </si>
  <si>
    <t>2026-07-06T00:33:55+05:30</t>
  </si>
  <si>
    <t>f6hdgm9hlb7m6p3@marketplace.amazon.in</t>
  </si>
  <si>
    <t>408-9851926-9417121</t>
  </si>
  <si>
    <t>T6ZV1rBj4</t>
  </si>
  <si>
    <t>DLnkcgWpcH0hR</t>
  </si>
  <si>
    <t>2026-07-01T09:10:14+05:30</t>
  </si>
  <si>
    <t>2026-07-05T23:30:00+05:30</t>
  </si>
  <si>
    <t>2026-07-06T02:30:13+05:30</t>
  </si>
  <si>
    <t>395lz1fpyty7zqw@marketplace.amazon.in</t>
  </si>
  <si>
    <t>171-8086321-2330758</t>
  </si>
  <si>
    <t>TwD47bDR4</t>
  </si>
  <si>
    <t>DXhVcvW4ch0HR</t>
  </si>
  <si>
    <t>2026-07-04T20:44:09+05:30</t>
  </si>
  <si>
    <t>2026-07-05T23:29:59+05:30</t>
  </si>
  <si>
    <t>836swhwxcymc1z6@marketplace.amazon.in</t>
  </si>
  <si>
    <t>402-7387152-4307561</t>
  </si>
  <si>
    <t>T6G5ZJDV4</t>
  </si>
  <si>
    <t>DpKPvJW2c20zR</t>
  </si>
  <si>
    <t>2026-07-04T23:43:09+05:30</t>
  </si>
  <si>
    <t>2026-07-05T23:27:51+05:30</t>
  </si>
  <si>
    <t>2026-07-06T02:28:04+05:30</t>
  </si>
  <si>
    <t>fh3fgp1kbjh3g8f@marketplace.amazon.in</t>
  </si>
  <si>
    <t>404-5854857-3801146</t>
  </si>
  <si>
    <t>Tc1bVVBD4</t>
  </si>
  <si>
    <t>DzghvpWXcd0xR</t>
  </si>
  <si>
    <t>2026-07-02T09:29:19+05:30</t>
  </si>
  <si>
    <t>2026-07-05T23:19:42+05:30</t>
  </si>
  <si>
    <t>2026-07-06T02:19:53+05:30</t>
  </si>
  <si>
    <t>4lhzwsfmfmv8jj2@marketplace.amazon.in</t>
  </si>
  <si>
    <t>408-6661141-4301932</t>
  </si>
  <si>
    <t>TgwyCj7w4</t>
  </si>
  <si>
    <t>Dr2cvNWHcx0LR</t>
  </si>
  <si>
    <t>2026-07-05T11:10:42+05:30</t>
  </si>
  <si>
    <t>2026-07-05T23:17:40+05:30</t>
  </si>
  <si>
    <t>2026-07-05T23:17:42+05:30</t>
  </si>
  <si>
    <t>2026-07-06T00:17:53+05:30</t>
  </si>
  <si>
    <t>qqwv39g6z4cmw1x@marketplace.amazon.in</t>
  </si>
  <si>
    <t>403-9521104-4945110</t>
  </si>
  <si>
    <t>TChkTP7J4</t>
  </si>
  <si>
    <t>D7f1vTWVc70bR</t>
  </si>
  <si>
    <t>2026-07-05T08:17:36+05:30</t>
  </si>
  <si>
    <t>2026-07-05T23:16:17+05:30</t>
  </si>
  <si>
    <t>2026-07-06T02:16:42+05:30</t>
  </si>
  <si>
    <t>j3z5pr3v69nbnv9@marketplace.amazon.in</t>
  </si>
  <si>
    <t>402-3504821-6897160</t>
  </si>
  <si>
    <t>T1M3Ly8j4</t>
  </si>
  <si>
    <t>DjbTzCW6cn0PR</t>
  </si>
  <si>
    <t>2026-07-04T11:43:34+05:30</t>
  </si>
  <si>
    <t>2026-07-05T22:59:49+05:30</t>
  </si>
  <si>
    <t>2026-07-05T22:59:52+05:30</t>
  </si>
  <si>
    <t>2026-07-06T00:00:04+05:30</t>
  </si>
  <si>
    <t>fzyhbn608s0ymsx@marketplace.amazon.in</t>
  </si>
  <si>
    <t>406-2948887-5451548</t>
  </si>
  <si>
    <t>TJ6ZhkDF4</t>
  </si>
  <si>
    <t>DwGXzfW0cb00R</t>
  </si>
  <si>
    <t>2026-07-04T21:24:23+05:30</t>
  </si>
  <si>
    <t>2026-07-05T22:56:00+05:30</t>
  </si>
  <si>
    <t>2026-07-06T01:56:29+05:30</t>
  </si>
  <si>
    <t>btmnzbhdp7xrfkp@marketplace.amazon.in</t>
  </si>
  <si>
    <t>405-5934235-2620351</t>
  </si>
  <si>
    <t>TNtnQHjQ4</t>
  </si>
  <si>
    <t>D0GkzRW8cz01R</t>
  </si>
  <si>
    <t>2026-07-05T21:13:58+05:30</t>
  </si>
  <si>
    <t>2026-07-05T22:54:46+05:30</t>
  </si>
  <si>
    <t>2026-07-06T01:54:58+05:30</t>
  </si>
  <si>
    <t>qvk57tkls5bzkb0@marketplace.amazon.in</t>
  </si>
  <si>
    <t>402-7183524-1597908</t>
  </si>
  <si>
    <t>T6gCnf714</t>
  </si>
  <si>
    <t>DGScVLW4cV0rR</t>
  </si>
  <si>
    <t>2026-07-05T08:32:57+05:30</t>
  </si>
  <si>
    <t>2026-07-05T22:48:45+05:30</t>
  </si>
  <si>
    <t>2026-07-06T01:48:59+05:30</t>
  </si>
  <si>
    <t>5zyh242s23bsp1t@marketplace.amazon.in</t>
  </si>
  <si>
    <t>405-7337507-9103530</t>
  </si>
  <si>
    <t>TGF4Gm7P4</t>
  </si>
  <si>
    <t>DKqxVTW3cy09R</t>
  </si>
  <si>
    <t>2026-07-05T10:57:52+05:30</t>
  </si>
  <si>
    <t>2026-07-05T22:38:46+05:30</t>
  </si>
  <si>
    <t>2026-07-06T01:39:01+05:30</t>
  </si>
  <si>
    <t>sdgg26m2sl37ml2@marketplace.amazon.in</t>
  </si>
  <si>
    <t>402-6496488-3476349</t>
  </si>
  <si>
    <t>TgMdqh7H4</t>
  </si>
  <si>
    <t>D6qCVsWWcR0qR</t>
  </si>
  <si>
    <t>2026-07-05T11:52:09+05:30</t>
  </si>
  <si>
    <t>2026-07-05T22:36:53+05:30</t>
  </si>
  <si>
    <t>2026-07-05T22:36:59+05:30</t>
  </si>
  <si>
    <t>2026-07-05T23:37:23+05:30</t>
  </si>
  <si>
    <t>x1x3fq0cgrltf65@marketplace.amazon.in</t>
  </si>
  <si>
    <t>408-6618301-8121943</t>
  </si>
  <si>
    <t>TcBx8v1w4</t>
  </si>
  <si>
    <t>DXMj2xW8c70WR</t>
  </si>
  <si>
    <t>2026-07-05T18:10:16+05:30</t>
  </si>
  <si>
    <t>2026-07-05T22:25:45+05:30</t>
  </si>
  <si>
    <t>2026-07-06T01:26:01+05:30</t>
  </si>
  <si>
    <t>rrlhq22vp55n8yt@marketplace.amazon.in</t>
  </si>
  <si>
    <t>408-9094469-0052344</t>
  </si>
  <si>
    <t>TXtlRY1z4</t>
  </si>
  <si>
    <t>DDdh2qWGcc0nR</t>
  </si>
  <si>
    <t>2026-07-05T12:07:47+05:30</t>
  </si>
  <si>
    <t>2026-07-05T22:20:44+05:30</t>
  </si>
  <si>
    <t>2026-07-05T22:20:46+05:30</t>
  </si>
  <si>
    <t>2026-07-05T23:20:59+05:30</t>
  </si>
  <si>
    <t>xbsncbhjg0ccvk1@marketplace.amazon.in</t>
  </si>
  <si>
    <t>403-8168148-8977942</t>
  </si>
  <si>
    <t>TGnx8D1z4</t>
  </si>
  <si>
    <t>DKKpF0Wgcs0QR</t>
  </si>
  <si>
    <t>2026-07-05T18:22:03+05:30</t>
  </si>
  <si>
    <t>2026-07-05T22:15:45+05:30</t>
  </si>
  <si>
    <t>2026-07-06T01:15:59+05:30</t>
  </si>
  <si>
    <t>f876f7y3bdd396p@marketplace.amazon.in</t>
  </si>
  <si>
    <t>Taluka-Maval, District Pune</t>
  </si>
  <si>
    <t>171-2869441-2317166</t>
  </si>
  <si>
    <t>TcMlfs7M4</t>
  </si>
  <si>
    <t>D2BCFgWgcp0kR</t>
  </si>
  <si>
    <t>2026-07-05T12:53:32+05:30</t>
  </si>
  <si>
    <t>2026-07-05T22:12:43+05:30</t>
  </si>
  <si>
    <t>2026-07-05T22:12:46+05:30</t>
  </si>
  <si>
    <t>2026-07-05T23:12:57+05:30</t>
  </si>
  <si>
    <t>g3rpqq7nqdmmy3q@marketplace.amazon.in</t>
  </si>
  <si>
    <t>171-3552387-1083556</t>
  </si>
  <si>
    <t>Tw2JdD7g4</t>
  </si>
  <si>
    <t>D6tlFbWmcx0KR</t>
  </si>
  <si>
    <t>2026-07-05T08:51:21+05:30</t>
  </si>
  <si>
    <t>2026-07-05T22:08:37+05:30</t>
  </si>
  <si>
    <t>2026-07-05T22:08:40+05:30</t>
  </si>
  <si>
    <t>2026-07-05T23:08:51+05:30</t>
  </si>
  <si>
    <t>mhy4l309czfhx8l@marketplace.amazon.in</t>
  </si>
  <si>
    <t>406-7131860-1760325</t>
  </si>
  <si>
    <t>TnWxTN1f4</t>
  </si>
  <si>
    <t>D7YDFWWfcS0RR</t>
  </si>
  <si>
    <t>2026-07-05T16:32:27+05:30</t>
  </si>
  <si>
    <t>2026-07-05T22:04:45+05:30</t>
  </si>
  <si>
    <t>2026-07-06T01:04:56+05:30</t>
  </si>
  <si>
    <t>n823sbwn9s1h5bh@marketplace.amazon.in</t>
  </si>
  <si>
    <t>403-3599732-8357915</t>
  </si>
  <si>
    <t>TXCBrd1X4</t>
  </si>
  <si>
    <t>DZgKDwWScn0lR</t>
  </si>
  <si>
    <t>2026-07-05T15:28:35+05:30</t>
  </si>
  <si>
    <t>2026-07-05T21:51:40+05:30</t>
  </si>
  <si>
    <t>2026-07-05T21:51:43+05:30</t>
  </si>
  <si>
    <t>2026-07-05T22:51:54+05:30</t>
  </si>
  <si>
    <t>TX6KKj1Z4</t>
  </si>
  <si>
    <t>DBy4YzWMcq02R</t>
  </si>
  <si>
    <t>2026-07-05T21:38:55+05:30</t>
  </si>
  <si>
    <t>2026-07-06T00:39:15+05:30</t>
  </si>
  <si>
    <t>171-2236714-3565143</t>
  </si>
  <si>
    <t>TcpDC6Dq4</t>
  </si>
  <si>
    <t>DpbTycWyct0bR</t>
  </si>
  <si>
    <t>2026-07-04T16:55:11+05:30</t>
  </si>
  <si>
    <t>2026-07-05T21:15:00+05:30</t>
  </si>
  <si>
    <t>2026-07-05T21:15:06+05:30</t>
  </si>
  <si>
    <t>2026-07-05T22:15:19+05:30</t>
  </si>
  <si>
    <t>7whj4h72svcjbn3@marketplace.amazon.in</t>
  </si>
  <si>
    <t>404-9326970-6889951</t>
  </si>
  <si>
    <t>TJdn3y1W4</t>
  </si>
  <si>
    <t>Dj5twBW1ck09R</t>
  </si>
  <si>
    <t>2026-07-05T16:17:15+05:30</t>
  </si>
  <si>
    <t>2026-07-05T21:04:42+05:30</t>
  </si>
  <si>
    <t>2026-07-05T21:04:46+05:30</t>
  </si>
  <si>
    <t>2026-07-05T22:05:04+05:30</t>
  </si>
  <si>
    <t>8nk018nzfkh0ljs@marketplace.amazon.in</t>
  </si>
  <si>
    <t>407-9407798-7965124</t>
  </si>
  <si>
    <t>TXhDXy1N4</t>
  </si>
  <si>
    <t>DtF5wXWfct0mR</t>
  </si>
  <si>
    <t>2026-07-05T17:59:17+05:30</t>
  </si>
  <si>
    <t>2026-07-05T21:03:50+05:30</t>
  </si>
  <si>
    <t>2026-07-06T00:04:05+05:30</t>
  </si>
  <si>
    <t>4y5c56ld3s8216y@marketplace.amazon.in</t>
  </si>
  <si>
    <t>407-0093496-5661965</t>
  </si>
  <si>
    <t>T1L5D81W4</t>
  </si>
  <si>
    <t>Dd7hw3WzcW0PR</t>
  </si>
  <si>
    <t>2026-07-05T11:31:47+05:30</t>
  </si>
  <si>
    <t>2026-07-05T21:01:45+05:30</t>
  </si>
  <si>
    <t>2026-07-06T00:02:03+05:30</t>
  </si>
  <si>
    <t>d2v9gwq9t8hsmll@marketplace.amazon.in</t>
  </si>
  <si>
    <t>403-0425438-9732329</t>
  </si>
  <si>
    <t>TXXsBq184</t>
  </si>
  <si>
    <t>Dp6twNWYcJ0PR</t>
  </si>
  <si>
    <t>2026-07-05T15:04:02+05:30</t>
  </si>
  <si>
    <t>2026-07-05T20:58:48+05:30</t>
  </si>
  <si>
    <t>2026-07-05T23:59:00+05:30</t>
  </si>
  <si>
    <t>fgdqbt6hgr7sc5k@marketplace.amazon.in</t>
  </si>
  <si>
    <t>404-3726373-5809154</t>
  </si>
  <si>
    <t>TwzhSP1f4</t>
  </si>
  <si>
    <t>DmlKwyWtcp0XR</t>
  </si>
  <si>
    <t>2026-07-05T17:19:51+05:30</t>
  </si>
  <si>
    <t>2026-07-05T20:56:46+05:30</t>
  </si>
  <si>
    <t>2026-07-05T23:56:57+05:30</t>
  </si>
  <si>
    <t>x5lhctpbjnbn75y@marketplace.amazon.in</t>
  </si>
  <si>
    <t>406-9460489-2536317</t>
  </si>
  <si>
    <t>Tn8XyYDJ4</t>
  </si>
  <si>
    <t>DVYKw7WRcD0vR</t>
  </si>
  <si>
    <t>2026-07-04T18:14:53+05:30</t>
  </si>
  <si>
    <t>2026-07-05T20:56:43+05:30</t>
  </si>
  <si>
    <t>2026-07-05T20:56:45+05:30</t>
  </si>
  <si>
    <t>2026-07-05T21:56:56+05:30</t>
  </si>
  <si>
    <t>7jxnkpycyr8jx69@marketplace.amazon.in</t>
  </si>
  <si>
    <t>404-3418800-1001948</t>
  </si>
  <si>
    <t>TG6X161l4</t>
  </si>
  <si>
    <t>D5TjwZWjcg0PR</t>
  </si>
  <si>
    <t>2026-07-05T15:10:35+05:30</t>
  </si>
  <si>
    <t>2026-07-05T20:55:53+05:30</t>
  </si>
  <si>
    <t>2026-07-05T23:56:15+05:30</t>
  </si>
  <si>
    <t>404-1881568-5041929</t>
  </si>
  <si>
    <t>TCG00G1S4</t>
  </si>
  <si>
    <t>D0nwwtWpc90DR</t>
  </si>
  <si>
    <t>2026-07-05T16:32:20+05:30</t>
  </si>
  <si>
    <t>2026-07-05T20:50:47+05:30</t>
  </si>
  <si>
    <t>2026-07-05T23:51:06+05:30</t>
  </si>
  <si>
    <t>pzt2ywmj39zds20@marketplace.amazon.in</t>
  </si>
  <si>
    <t>408-4866453-9746768</t>
  </si>
  <si>
    <t>T6d0N8jg4</t>
  </si>
  <si>
    <t>DRbbB1WScj0fR</t>
  </si>
  <si>
    <t>2026-07-05T19:22:19+05:30</t>
  </si>
  <si>
    <t>2026-07-05T20:45:43+05:30</t>
  </si>
  <si>
    <t>2026-07-05T23:45:54+05:30</t>
  </si>
  <si>
    <t>xnrfjmg6ccj2n1f@marketplace.amazon.in</t>
  </si>
  <si>
    <t>171-8175031-2653138</t>
  </si>
  <si>
    <t>T3218X7P4</t>
  </si>
  <si>
    <t>D5XL9rWTcQ0mR</t>
  </si>
  <si>
    <t>2026-07-05T11:11:53+05:30</t>
  </si>
  <si>
    <t>2026-07-05T20:35:42+05:30</t>
  </si>
  <si>
    <t>2026-07-05T23:35:54+05:30</t>
  </si>
  <si>
    <t>x2qsrj9nc7nskn9@marketplace.amazon.in</t>
  </si>
  <si>
    <t>405-0978571-5544322</t>
  </si>
  <si>
    <t>Tc7lZY1D4</t>
  </si>
  <si>
    <t>DG149SWScN0sR</t>
  </si>
  <si>
    <t>2026-07-05T18:33:29+05:30</t>
  </si>
  <si>
    <t>2026-07-05T20:28:47+05:30</t>
  </si>
  <si>
    <t>2026-07-05T23:29:00+05:30</t>
  </si>
  <si>
    <t>4j33l8ps9phpzvy@marketplace.amazon.in</t>
  </si>
  <si>
    <t>407-6582999-1424364</t>
  </si>
  <si>
    <t>TX1pW67b4</t>
  </si>
  <si>
    <t>DXh19tWLcf0lR</t>
  </si>
  <si>
    <t>2026-07-05T11:34:18+05:30</t>
  </si>
  <si>
    <t>2026-07-05T20:23:42+05:30</t>
  </si>
  <si>
    <t>2026-07-05T20:23:45+05:30</t>
  </si>
  <si>
    <t>2026-07-05T21:24:00+05:30</t>
  </si>
  <si>
    <t>407-1514408-4697914</t>
  </si>
  <si>
    <t>TNM8nt7b4</t>
  </si>
  <si>
    <t>DKHR9WWdcB0YR</t>
  </si>
  <si>
    <t>2026-07-05T08:27:25+05:30</t>
  </si>
  <si>
    <t>2026-07-05T20:21:46+05:30</t>
  </si>
  <si>
    <t>2026-07-05T23:21:59+05:30</t>
  </si>
  <si>
    <t>1pdpdtppjjggkbp@marketplace.amazon.in</t>
  </si>
  <si>
    <t>171-1194320-3026760</t>
  </si>
  <si>
    <t>T6zWXw7Y4</t>
  </si>
  <si>
    <t>DszS9MWBc80DR</t>
  </si>
  <si>
    <t>2026-07-05T10:17:42+05:30</t>
  </si>
  <si>
    <t>2026-07-05T20:20:47+05:30</t>
  </si>
  <si>
    <t>2026-07-05T20:20:53+05:30</t>
  </si>
  <si>
    <t>2026-07-05T21:25:02+05:30</t>
  </si>
  <si>
    <t>j6hjkvmgzc15sw9@marketplace.amazon.in</t>
  </si>
  <si>
    <t>403-5809743-2289958</t>
  </si>
  <si>
    <t>TCffmW1Y4</t>
  </si>
  <si>
    <t>D53R4ZWpc40yR</t>
  </si>
  <si>
    <t>2026-07-05T17:46:49+05:30</t>
  </si>
  <si>
    <t>2026-07-05T20:16:41+05:30</t>
  </si>
  <si>
    <t>2026-07-05T20:16:44+05:30</t>
  </si>
  <si>
    <t>2026-07-05T21:16:54+05:30</t>
  </si>
  <si>
    <t>l81zfrczh0db9mg@marketplace.amazon.in</t>
  </si>
  <si>
    <t>404-0865909-8824356</t>
  </si>
  <si>
    <t>Tn2DS6724</t>
  </si>
  <si>
    <t>Dj8N44Wpcn0KR</t>
  </si>
  <si>
    <t>2026-07-05T09:37:53+05:30</t>
  </si>
  <si>
    <t>2026-07-05T20:09:44+05:30</t>
  </si>
  <si>
    <t>2026-07-05T23:09:56+05:30</t>
  </si>
  <si>
    <t>38nh76pzd57xj4z@marketplace.amazon.in</t>
  </si>
  <si>
    <t>404-5227907-9837919</t>
  </si>
  <si>
    <t>T6gC847Q4</t>
  </si>
  <si>
    <t>D4wTHXWRcY0nR</t>
  </si>
  <si>
    <t>2026-07-05T10:37:40+05:30</t>
  </si>
  <si>
    <t>2026-07-05T19:49:48+05:30</t>
  </si>
  <si>
    <t>2026-07-05T19:49:51+05:30</t>
  </si>
  <si>
    <t>2026-07-05T20:50:14+05:30</t>
  </si>
  <si>
    <t>h2rm5234b70qwbg@marketplace.amazon.in</t>
  </si>
  <si>
    <t>402-6674537-6217130</t>
  </si>
  <si>
    <t>T1LGBJ1M4</t>
  </si>
  <si>
    <t>DYwtHhWRcY0nR</t>
  </si>
  <si>
    <t>2026-07-05T14:33:13+05:30</t>
  </si>
  <si>
    <t>2026-07-05T19:49:46+05:30</t>
  </si>
  <si>
    <t>2026-07-05T19:49:49+05:30</t>
  </si>
  <si>
    <t>2026-07-05T20:50:05+05:30</t>
  </si>
  <si>
    <t>t48p025s8l6vrvy@marketplace.amazon.in</t>
  </si>
  <si>
    <t>403-2736770-9757967</t>
  </si>
  <si>
    <t>T6dVW17y4</t>
  </si>
  <si>
    <t>DT60HfW4cG0xR</t>
  </si>
  <si>
    <t>2026-07-05T11:21:57+05:30</t>
  </si>
  <si>
    <t>2026-07-05T19:49:47+05:30</t>
  </si>
  <si>
    <t>2026-07-05T22:50:02+05:30</t>
  </si>
  <si>
    <t>171-9790057-9759548</t>
  </si>
  <si>
    <t>TCkWvj1J4</t>
  </si>
  <si>
    <t>D5JRHdWmcB0HR</t>
  </si>
  <si>
    <t>2026-07-05T15:55:01+05:30</t>
  </si>
  <si>
    <t>2026-07-05T19:44:11+05:30</t>
  </si>
  <si>
    <t>2026-07-05T22:44:22+05:30</t>
  </si>
  <si>
    <t>k4svq2ghtw7n0s4@marketplace.amazon.in</t>
  </si>
  <si>
    <t>402-3081211-4681925</t>
  </si>
  <si>
    <t>Tc3tmKgs4</t>
  </si>
  <si>
    <t>DfyFbtWKcH0KR</t>
  </si>
  <si>
    <t>2026-07-03T15:54:26+05:30</t>
  </si>
  <si>
    <t>2026-07-05T19:40:42+05:30</t>
  </si>
  <si>
    <t>2026-07-05T22:40:56+05:30</t>
  </si>
  <si>
    <t>f35dyykqcz0kwm8@marketplace.amazon.in</t>
  </si>
  <si>
    <t>171-1789428-4738706</t>
  </si>
  <si>
    <t>T3vXSS1X4</t>
  </si>
  <si>
    <t>D79VbMWZch0PR</t>
  </si>
  <si>
    <t>2026-07-05T16:58:13+05:30</t>
  </si>
  <si>
    <t>2026-07-05T19:30:47+05:30</t>
  </si>
  <si>
    <t>2026-07-05T22:30:59+05:30</t>
  </si>
  <si>
    <t>wflgq27wsvq6fgf@marketplace.amazon.in</t>
  </si>
  <si>
    <t>404-6540680-4142756</t>
  </si>
  <si>
    <t>T3W7w61P4</t>
  </si>
  <si>
    <t>DcLbbHWDc90fR</t>
  </si>
  <si>
    <t>2026-07-05T12:39:41+05:30</t>
  </si>
  <si>
    <t>2026-07-05T19:29:48+05:30</t>
  </si>
  <si>
    <t>2026-07-05T22:30:12+05:30</t>
  </si>
  <si>
    <t>cppmcwv24ytwgs8@marketplace.amazon.in</t>
  </si>
  <si>
    <t>407-9395096-5316356</t>
  </si>
  <si>
    <t>TJJFld1r4</t>
  </si>
  <si>
    <t>DWJNb0WscS00R</t>
  </si>
  <si>
    <t>2026-07-05T17:32:48+05:30</t>
  </si>
  <si>
    <t>2026-07-05T19:29:44+05:30</t>
  </si>
  <si>
    <t>2026-07-05T22:29:59+05:30</t>
  </si>
  <si>
    <t>406-8836127-7414704</t>
  </si>
  <si>
    <t>TV36QN104</t>
  </si>
  <si>
    <t>DYNQkbWgcd0yR</t>
  </si>
  <si>
    <t>2026-07-05T14:15:42+05:30</t>
  </si>
  <si>
    <t>2026-07-05T19:22:46+05:30</t>
  </si>
  <si>
    <t>2026-07-05T22:23:00+05:30</t>
  </si>
  <si>
    <t>fp43q0trkygdlgv@marketplace.amazon.in</t>
  </si>
  <si>
    <t>171-0257814-5809903</t>
  </si>
  <si>
    <t>TVbW0P1h4</t>
  </si>
  <si>
    <t>DTYjkVWhc60gR</t>
  </si>
  <si>
    <t>2026-07-05T17:00:25+05:30</t>
  </si>
  <si>
    <t>2026-07-05T19:16:44+05:30</t>
  </si>
  <si>
    <t>2026-07-05T22:16:59+05:30</t>
  </si>
  <si>
    <t>0tqf0cl82r3l6vn@marketplace.amazon.in</t>
  </si>
  <si>
    <t>405-9313645-6621966</t>
  </si>
  <si>
    <t>T32KlT7G4</t>
  </si>
  <si>
    <t>DWYkk5Wmc60gR</t>
  </si>
  <si>
    <t>2026-07-05T11:11:54+05:30</t>
  </si>
  <si>
    <t>2026-07-05T19:13:43+05:30</t>
  </si>
  <si>
    <t>2026-07-05T19:13:47+05:30</t>
  </si>
  <si>
    <t>2026-07-05T20:14:06+05:30</t>
  </si>
  <si>
    <t>z5dwg6hyqy8mqlr@marketplace.amazon.in</t>
  </si>
  <si>
    <t>407-7474510-9373115</t>
  </si>
  <si>
    <t>TnjXHw1b4</t>
  </si>
  <si>
    <t>D63NNBW6cF0yR</t>
  </si>
  <si>
    <t>2026-07-05T13:29:42+05:30</t>
  </si>
  <si>
    <t>2026-07-05T19:04:44+05:30</t>
  </si>
  <si>
    <t>2026-07-05T19:04:47+05:30</t>
  </si>
  <si>
    <t>2026-07-05T20:04:59+05:30</t>
  </si>
  <si>
    <t>32l9b9ws24lb9rq@marketplace.amazon.in</t>
  </si>
  <si>
    <t>408-2693774-8848356</t>
  </si>
  <si>
    <t>TJ6mSL1z4</t>
  </si>
  <si>
    <t>DK6BNNWXcy06R</t>
  </si>
  <si>
    <t>2026-07-05T16:54:40+05:30</t>
  </si>
  <si>
    <t>2026-07-05T19:01:35+05:30</t>
  </si>
  <si>
    <t>2026-07-05T19:01:38+05:30</t>
  </si>
  <si>
    <t>2026-07-05T20:01:48+05:30</t>
  </si>
  <si>
    <t>n837fjrfc5kp8bd@marketplace.amazon.in</t>
  </si>
  <si>
    <t>171-0401977-2686752</t>
  </si>
  <si>
    <t>TG8x2q8x4</t>
  </si>
  <si>
    <t>D5bMNTWhcW0bR</t>
  </si>
  <si>
    <t>2026-07-04T12:05:15+05:30</t>
  </si>
  <si>
    <t>2026-07-05T18:59:51+05:30</t>
  </si>
  <si>
    <t>2026-07-05T22:00:03+05:30</t>
  </si>
  <si>
    <t>sddhdwgs6n7j651@marketplace.amazon.in</t>
  </si>
  <si>
    <t>407-6831407-5929924</t>
  </si>
  <si>
    <t>TX5h6q8d4</t>
  </si>
  <si>
    <t>D6RwNZWlck0yR</t>
  </si>
  <si>
    <t>2026-07-04T14:34:41+05:30</t>
  </si>
  <si>
    <t>2026-07-05T18:56:48+05:30</t>
  </si>
  <si>
    <t>2026-07-05T21:57:01+05:30</t>
  </si>
  <si>
    <t>6vfd18sxyy13bw0@marketplace.amazon.in</t>
  </si>
  <si>
    <t>407-2595235-0778705</t>
  </si>
  <si>
    <t>T1lPMf1X4</t>
  </si>
  <si>
    <t>D35whn9xcp0LR</t>
  </si>
  <si>
    <t>2026-07-05T15:37:08+05:30</t>
  </si>
  <si>
    <t>2026-07-05T18:29:48+05:30</t>
  </si>
  <si>
    <t>2026-07-05T21:30:11+05:30</t>
  </si>
  <si>
    <t>kchwwkyrlyhwryc@marketplace.amazon.in</t>
  </si>
  <si>
    <t>DcBGhC96cl0RR</t>
  </si>
  <si>
    <t>403-5927315-7256365</t>
  </si>
  <si>
    <t>TV6H781x4</t>
  </si>
  <si>
    <t>DGY8h29Fcz01R</t>
  </si>
  <si>
    <t>2026-07-05T15:18:26+05:30</t>
  </si>
  <si>
    <t>2026-07-05T18:22:45+05:30</t>
  </si>
  <si>
    <t>2026-07-05T19:23:18+05:30</t>
  </si>
  <si>
    <t>vb28rt55x39ydpq@marketplace.amazon.in</t>
  </si>
  <si>
    <t>405-2833497-3677136</t>
  </si>
  <si>
    <t>TnrJD9894</t>
  </si>
  <si>
    <t>DmYhhF9jcT01R</t>
  </si>
  <si>
    <t>2026-07-04T12:40:57+05:30</t>
  </si>
  <si>
    <t>2026-07-05T18:20:47+05:30</t>
  </si>
  <si>
    <t>2026-07-05T18:20:50+05:30</t>
  </si>
  <si>
    <t>2026-07-05T19:21:01+05:30</t>
  </si>
  <si>
    <t>2cqhbyzzjfdnzfv@marketplace.amazon.in</t>
  </si>
  <si>
    <t>SF000000331705AMZ</t>
  </si>
  <si>
    <t>404-5627139-0789140</t>
  </si>
  <si>
    <t>TNSCzF154</t>
  </si>
  <si>
    <t>DjnShL94c30YR</t>
  </si>
  <si>
    <t>2026-07-05T15:09:07+05:30</t>
  </si>
  <si>
    <t>2026-07-05T18:18:42+05:30</t>
  </si>
  <si>
    <t>2026-07-05T21:18:53+05:30</t>
  </si>
  <si>
    <t>g4r0q2301l26d9b@marketplace.amazon.in</t>
  </si>
  <si>
    <t>407-4463549-4524317</t>
  </si>
  <si>
    <t>TVnv9Y164</t>
  </si>
  <si>
    <t>DJRbhk9jcL0NR</t>
  </si>
  <si>
    <t>2026-07-05T14:18:01+05:30</t>
  </si>
  <si>
    <t>2026-07-05T18:17:43+05:30</t>
  </si>
  <si>
    <t>2026-07-05T21:17:54+05:30</t>
  </si>
  <si>
    <t>dd5wx2p14lryfjh@marketplace.amazon.in</t>
  </si>
  <si>
    <t>405-4638167-6548307</t>
  </si>
  <si>
    <t>TNzvTf1P4</t>
  </si>
  <si>
    <t>DYk0fn9fcY0gR</t>
  </si>
  <si>
    <t>2026-07-05T15:35:45+05:30</t>
  </si>
  <si>
    <t>2026-07-05T18:12:46+05:30</t>
  </si>
  <si>
    <t>2026-07-05T21:13:01+05:30</t>
  </si>
  <si>
    <t>h8wwb3400rbq1bd@marketplace.amazon.in</t>
  </si>
  <si>
    <t>402-5306801-6126745</t>
  </si>
  <si>
    <t>TcFBv01D4</t>
  </si>
  <si>
    <t>DFhxfV9XcY0sR</t>
  </si>
  <si>
    <t>2026-07-05T15:53:45+05:30</t>
  </si>
  <si>
    <t>2026-07-05T18:06:43+05:30</t>
  </si>
  <si>
    <t>2026-07-05T18:06:47+05:30</t>
  </si>
  <si>
    <t>2026-07-05T19:07:02+05:30</t>
  </si>
  <si>
    <t>wjlbjcrh82j0c1n@marketplace.amazon.in</t>
  </si>
  <si>
    <t>Hamirpur</t>
  </si>
  <si>
    <t>407-5674223-9319519</t>
  </si>
  <si>
    <t>T6bWsH1M4</t>
  </si>
  <si>
    <t>D8s3jc9Lc40KR</t>
  </si>
  <si>
    <t>2026-07-05T15:00:11+05:30</t>
  </si>
  <si>
    <t>2026-07-05T17:48:43+05:30</t>
  </si>
  <si>
    <t>2026-07-05T17:48:46+05:30</t>
  </si>
  <si>
    <t>2026-07-05T18:49:00+05:30</t>
  </si>
  <si>
    <t>0vryy6g5g8tn3tq@marketplace.amazon.in</t>
  </si>
  <si>
    <t>404-0812822-0685111</t>
  </si>
  <si>
    <t>TNqRP1734</t>
  </si>
  <si>
    <t>DhCDjx9Rcn05R</t>
  </si>
  <si>
    <t>2026-07-05T08:46:58+05:30</t>
  </si>
  <si>
    <t>2026-07-05T17:45:50+05:30</t>
  </si>
  <si>
    <t>2026-07-05T20:46:09+05:30</t>
  </si>
  <si>
    <t>yjk6qs1nf6p3vf7@marketplace.amazon.in</t>
  </si>
  <si>
    <t>402-0877489-8884354</t>
  </si>
  <si>
    <t>TJt5pFDR4</t>
  </si>
  <si>
    <t>DtprjB9fcF0FR</t>
  </si>
  <si>
    <t>2026-07-04T21:57:19+05:30</t>
  </si>
  <si>
    <t>2026-07-05T20:46:08+05:30</t>
  </si>
  <si>
    <t>252k5qq0gz3q5pd@marketplace.amazon.in</t>
  </si>
  <si>
    <t>408-3159642-5677921</t>
  </si>
  <si>
    <t>TJZZTK7k4</t>
  </si>
  <si>
    <t>DQKfZh9RcF0mR</t>
  </si>
  <si>
    <t>2026-07-05T08:36:53+05:30</t>
  </si>
  <si>
    <t>2026-07-05T17:38:46+05:30</t>
  </si>
  <si>
    <t>2026-07-05T20:38:58+05:30</t>
  </si>
  <si>
    <t>dtwt6nrqx8fmh3q@marketplace.amazon.in</t>
  </si>
  <si>
    <t>Kattampatti jalakandapuram</t>
  </si>
  <si>
    <t>D233ZS9Ccz0dR</t>
  </si>
  <si>
    <t>403-2431503-8792363</t>
  </si>
  <si>
    <t>T1VRkN7k4</t>
  </si>
  <si>
    <t>DS6CZF96cJ0BR</t>
  </si>
  <si>
    <t>2026-07-05T00:57:08+05:30</t>
  </si>
  <si>
    <t>2026-07-05T17:30:40+05:30</t>
  </si>
  <si>
    <t>2026-07-05T17:30:43+05:30</t>
  </si>
  <si>
    <t>2026-07-05T18:30:54+05:30</t>
  </si>
  <si>
    <t>w39f9wrvbj4ms9q@marketplace.amazon.in</t>
  </si>
  <si>
    <t>404-0620497-3125162</t>
  </si>
  <si>
    <t>T3xcQ9144</t>
  </si>
  <si>
    <t>DGPmZk9Vc604R</t>
  </si>
  <si>
    <t>2026-07-05T14:47:53+05:30</t>
  </si>
  <si>
    <t>2026-07-05T17:23:47+05:30</t>
  </si>
  <si>
    <t>2026-07-05T20:24:01+05:30</t>
  </si>
  <si>
    <t>cz2mrz1tf9gc587@marketplace.amazon.in</t>
  </si>
  <si>
    <t>407-5933331-0448349</t>
  </si>
  <si>
    <t>Tn1jg67F4</t>
  </si>
  <si>
    <t>DcZWqZ94cD0CR</t>
  </si>
  <si>
    <t>2026-07-05T12:21:11+05:30</t>
  </si>
  <si>
    <t>2026-07-05T17:20:51+05:30</t>
  </si>
  <si>
    <t>2026-07-05T20:21:06+05:30</t>
  </si>
  <si>
    <t>xx8m0ky8npl1zb4@marketplace.amazon.in</t>
  </si>
  <si>
    <t>171-9971129-0229900</t>
  </si>
  <si>
    <t>T3gBhT7b4</t>
  </si>
  <si>
    <t>D1hVqf9Bcr04R</t>
  </si>
  <si>
    <t>2026-07-05T11:43:38+05:30</t>
  </si>
  <si>
    <t>2026-07-05T17:13:47+05:30</t>
  </si>
  <si>
    <t>2026-07-05T17:13:51+05:30</t>
  </si>
  <si>
    <t>2026-07-05T18:14:06+05:30</t>
  </si>
  <si>
    <t>585fhxs8pqb9tnj@marketplace.amazon.in</t>
  </si>
  <si>
    <t>406-6543746-4103549</t>
  </si>
  <si>
    <t>T1w6LC7w4</t>
  </si>
  <si>
    <t>D0vn5Q9WcV0MR</t>
  </si>
  <si>
    <t>2026-07-05T01:06:07+05:30</t>
  </si>
  <si>
    <t>2026-07-05T17:08:47+05:30</t>
  </si>
  <si>
    <t>2026-07-05T20:08:58+05:30</t>
  </si>
  <si>
    <t>n55hlqh401x9f01@marketplace.amazon.in</t>
  </si>
  <si>
    <t>403-4877979-1575511</t>
  </si>
  <si>
    <t>TNvQ7VD04</t>
  </si>
  <si>
    <t>DYgTgy92cG0LR</t>
  </si>
  <si>
    <t>2026-07-04T20:22:03+05:30</t>
  </si>
  <si>
    <t>2026-07-05T16:44:51+05:30</t>
  </si>
  <si>
    <t>2026-07-05T16:44:58+05:30</t>
  </si>
  <si>
    <t>2026-07-05T17:45:27+05:30</t>
  </si>
  <si>
    <t>6pcp2z5j4m7zgb8@marketplace.amazon.in</t>
  </si>
  <si>
    <t>406-4625719-2324310</t>
  </si>
  <si>
    <t>TV19p9D04</t>
  </si>
  <si>
    <t>DlhJgQ9Qcg0mR</t>
  </si>
  <si>
    <t>2026-07-04T22:28:48+05:30</t>
  </si>
  <si>
    <t>2026-07-05T16:41:40+05:30</t>
  </si>
  <si>
    <t>2026-07-05T16:41:44+05:30</t>
  </si>
  <si>
    <t>2026-07-05T17:41:55+05:30</t>
  </si>
  <si>
    <t>2543shtvmfbdg3r@marketplace.amazon.in</t>
  </si>
  <si>
    <t>404-4719899-4360325</t>
  </si>
  <si>
    <t>T1F3HdgC4</t>
  </si>
  <si>
    <t>Dn4Z8v9VcD0fR</t>
  </si>
  <si>
    <t>2026-07-04T00:03:30+05:30</t>
  </si>
  <si>
    <t>2026-07-05T16:33:43+05:30</t>
  </si>
  <si>
    <t>2026-07-05T16:33:48+05:30</t>
  </si>
  <si>
    <t>2026-07-05T17:34:01+05:30</t>
  </si>
  <si>
    <t>000cw9zpbn987jv@marketplace.amazon.in</t>
  </si>
  <si>
    <t>402-9173619-1253957</t>
  </si>
  <si>
    <t>TwsD6b7P4</t>
  </si>
  <si>
    <t>DThb8H9YcB0MR</t>
  </si>
  <si>
    <t>2026-07-05T09:38:27+05:30</t>
  </si>
  <si>
    <t>2026-07-05T16:21:46+05:30</t>
  </si>
  <si>
    <t>2026-07-05T19:21:59+05:30</t>
  </si>
  <si>
    <t>DQfW8b9sc50pR</t>
  </si>
  <si>
    <t>171-5788994-8731523</t>
  </si>
  <si>
    <t>TNQWM6DF4</t>
  </si>
  <si>
    <t>Dhf98q9Rc50pR</t>
  </si>
  <si>
    <t>2026-07-04T08:41:09+05:30</t>
  </si>
  <si>
    <t>2026-07-05T16:18:50+05:30</t>
  </si>
  <si>
    <t>2026-07-05T19:19:02+05:30</t>
  </si>
  <si>
    <t>c9pqn6vxl6gllbq@marketplace.amazon.in</t>
  </si>
  <si>
    <t>408-6636713-7058750</t>
  </si>
  <si>
    <t>Tg8NXV744</t>
  </si>
  <si>
    <t>DB8JX29ScC01R</t>
  </si>
  <si>
    <t>2026-07-05T10:45:48+05:30</t>
  </si>
  <si>
    <t>2026-07-05T16:10:56+05:30</t>
  </si>
  <si>
    <t>2026-07-05T19:11:11+05:30</t>
  </si>
  <si>
    <t>h63hb4mhs22j34c@marketplace.amazon.in</t>
  </si>
  <si>
    <t>Panaji - Old Goa</t>
  </si>
  <si>
    <t>408-6036607-0364342</t>
  </si>
  <si>
    <t>TGrKXs7z4</t>
  </si>
  <si>
    <t>D9KGC99fcz0wR</t>
  </si>
  <si>
    <t>2026-07-05T10:58:34+05:30</t>
  </si>
  <si>
    <t>2026-07-05T15:58:47+05:30</t>
  </si>
  <si>
    <t>2026-07-05T18:59:03+05:30</t>
  </si>
  <si>
    <t>nfdhbsj8cdzxq0l@marketplace.amazon.in</t>
  </si>
  <si>
    <t>402-3938494-2500367</t>
  </si>
  <si>
    <t>T6bffM7Z4</t>
  </si>
  <si>
    <t>DQK6Cz91cQ0HR</t>
  </si>
  <si>
    <t>2026-07-05T12:57:02+05:30</t>
  </si>
  <si>
    <t>2026-07-05T15:56:45+05:30</t>
  </si>
  <si>
    <t>2026-07-05T18:56:56+05:30</t>
  </si>
  <si>
    <t>kvsxs1vkq72vxjp@marketplace.amazon.in</t>
  </si>
  <si>
    <t>MANDLESHWAR</t>
  </si>
  <si>
    <t>408-5845240-1849122</t>
  </si>
  <si>
    <t>TNnMpw744</t>
  </si>
  <si>
    <t>DnhDCk9Vcp05R</t>
  </si>
  <si>
    <t>2026-07-05T11:01:36+05:30</t>
  </si>
  <si>
    <t>2026-07-05T15:49:47+05:30</t>
  </si>
  <si>
    <t>2026-07-05T18:49:58+05:30</t>
  </si>
  <si>
    <t>r3btvv3sql3m5bz@marketplace.amazon.in</t>
  </si>
  <si>
    <t>408-9586232-8793128</t>
  </si>
  <si>
    <t>Tnt1kq1D4</t>
  </si>
  <si>
    <t>Dgg1pP9qcK05R</t>
  </si>
  <si>
    <t>2026-07-05T13:00:56+05:30</t>
  </si>
  <si>
    <t>2026-07-05T15:40:43+05:30</t>
  </si>
  <si>
    <t>2026-07-05T15:40:47+05:30</t>
  </si>
  <si>
    <t>2026-07-05T16:40:59+05:30</t>
  </si>
  <si>
    <t>xjq9vtfvy1rv6x5@marketplace.amazon.in</t>
  </si>
  <si>
    <t>406-5473122-1311506</t>
  </si>
  <si>
    <t>Tg7j1x7s4</t>
  </si>
  <si>
    <t>D89QpY9scQ04R</t>
  </si>
  <si>
    <t>2026-07-05T05:54:52+05:30</t>
  </si>
  <si>
    <t>2026-07-05T15:32:41+05:30</t>
  </si>
  <si>
    <t>2026-07-05T18:32:54+05:30</t>
  </si>
  <si>
    <t>1wv85myjbdkglgl@marketplace.amazon.in</t>
  </si>
  <si>
    <t>Krishnagiri</t>
  </si>
  <si>
    <t>404-1260519-9205137</t>
  </si>
  <si>
    <t>T1mZKcD84</t>
  </si>
  <si>
    <t>D6Yrp39zcz0kR</t>
  </si>
  <si>
    <t>2026-07-04T22:37:50+05:30</t>
  </si>
  <si>
    <t>2026-07-05T15:30:40+05:30</t>
  </si>
  <si>
    <t>2026-07-05T15:30:44+05:30</t>
  </si>
  <si>
    <t>2026-07-05T16:30:59+05:30</t>
  </si>
  <si>
    <t>26d89mb1qc04lkb@marketplace.amazon.in</t>
  </si>
  <si>
    <t>405-2158742-0304322</t>
  </si>
  <si>
    <t>TJh5NH7t4</t>
  </si>
  <si>
    <t>DdlZpD99cz05R</t>
  </si>
  <si>
    <t>2026-07-04T20:03:26+05:30</t>
  </si>
  <si>
    <t>2026-07-05T15:29:46+05:30</t>
  </si>
  <si>
    <t>2026-07-05T15:29:51+05:30</t>
  </si>
  <si>
    <t>2026-07-05T16:30:09+05:30</t>
  </si>
  <si>
    <t>p3mwn0dzlr0xhcg@marketplace.amazon.in</t>
  </si>
  <si>
    <t>406-7207047-9884336</t>
  </si>
  <si>
    <t>TX4xfbDg4</t>
  </si>
  <si>
    <t>DTlfp39hcT05R</t>
  </si>
  <si>
    <t>2026-07-04T23:46:41+05:30</t>
  </si>
  <si>
    <t>2026-07-05T15:28:48+05:30</t>
  </si>
  <si>
    <t>2026-07-05T18:29:05+05:30</t>
  </si>
  <si>
    <t>gqybf8nq4zs9xx4@marketplace.amazon.in</t>
  </si>
  <si>
    <t>408-8429381-6502769</t>
  </si>
  <si>
    <t>TcYqmMDf4</t>
  </si>
  <si>
    <t>DJm2KK9Ncj0RR</t>
  </si>
  <si>
    <t>2026-07-04T21:38:08+05:30</t>
  </si>
  <si>
    <t>2026-07-05T15:02:53+05:30</t>
  </si>
  <si>
    <t>2026-07-05T15:02:59+05:30</t>
  </si>
  <si>
    <t>2026-07-05T16:03:11+05:30</t>
  </si>
  <si>
    <t>gmxg0qn5nbscd1d@marketplace.amazon.in</t>
  </si>
  <si>
    <t>406-2641832-3002765</t>
  </si>
  <si>
    <t>TVlQ82Dj4</t>
  </si>
  <si>
    <t>D5xrKl9Cch0RR</t>
  </si>
  <si>
    <t>2026-07-04T23:51:40+05:30</t>
  </si>
  <si>
    <t>2026-07-05T14:52:46+05:30</t>
  </si>
  <si>
    <t>2026-07-05T17:52:58+05:30</t>
  </si>
  <si>
    <t>rb9plhdpb75jxx7@marketplace.amazon.in</t>
  </si>
  <si>
    <t>404-5203557-7897947</t>
  </si>
  <si>
    <t>TGqzpr7C4</t>
  </si>
  <si>
    <t>DGMBmm90c40hR</t>
  </si>
  <si>
    <t>2026-07-05T10:51:58+05:30</t>
  </si>
  <si>
    <t>2026-07-05T14:45:42+05:30</t>
  </si>
  <si>
    <t>2026-07-05T17:45:56+05:30</t>
  </si>
  <si>
    <t>cxmj5025mm70glp@marketplace.amazon.in</t>
  </si>
  <si>
    <t>405-3949104-7361130</t>
  </si>
  <si>
    <t>T1Wfb71c4</t>
  </si>
  <si>
    <t>DJxZmg9Jc60GR</t>
  </si>
  <si>
    <t>2026-07-05T13:17:14+05:30</t>
  </si>
  <si>
    <t>2026-07-05T14:37:39+05:30</t>
  </si>
  <si>
    <t>2026-07-05T17:37:51+05:30</t>
  </si>
  <si>
    <t>wq8sm94gmyq0qnz@marketplace.amazon.in</t>
  </si>
  <si>
    <t>MHOW</t>
  </si>
  <si>
    <t>404-4490072-3237906</t>
  </si>
  <si>
    <t>T1Y6GHD34</t>
  </si>
  <si>
    <t>DBJ6m59tc406R</t>
  </si>
  <si>
    <t>2026-07-04T21:43:42+05:30</t>
  </si>
  <si>
    <t>2026-07-05T14:36:48+05:30</t>
  </si>
  <si>
    <t>2026-07-05T17:37:00+05:30</t>
  </si>
  <si>
    <t>q2sc336mlw0zcvk@marketplace.amazon.in</t>
  </si>
  <si>
    <t>402-3530767-2080310</t>
  </si>
  <si>
    <t>TGmtvb8n4</t>
  </si>
  <si>
    <t>Dqbql29hcS0HR</t>
  </si>
  <si>
    <t>2026-07-04T12:48:45+05:30</t>
  </si>
  <si>
    <t>2026-07-05T14:27:57+05:30</t>
  </si>
  <si>
    <t>2026-07-05T17:31:35+05:30</t>
  </si>
  <si>
    <t>vp7mmjhswzt35bn@marketplace.amazon.in</t>
  </si>
  <si>
    <t>407-1725998-7179547</t>
  </si>
  <si>
    <t>TchjmsDj4</t>
  </si>
  <si>
    <t>DkW0l09Ncy0qR</t>
  </si>
  <si>
    <t>2026-07-04T23:21:35+05:30</t>
  </si>
  <si>
    <t>2026-07-05T14:26:51+05:30</t>
  </si>
  <si>
    <t>2026-07-05T17:27:02+05:30</t>
  </si>
  <si>
    <t>c9479n7v4zzzw45@marketplace.amazon.in</t>
  </si>
  <si>
    <t>405-3421163-6032366</t>
  </si>
  <si>
    <t>T3KD0Y874</t>
  </si>
  <si>
    <t>DvB8lQ9xc70mR</t>
  </si>
  <si>
    <t>2026-07-04T15:18:03+05:30</t>
  </si>
  <si>
    <t>2026-07-05T14:25:46+05:30</t>
  </si>
  <si>
    <t>2026-07-05T17:25:58+05:30</t>
  </si>
  <si>
    <t>yw1v2h4235w17p9@marketplace.amazon.in</t>
  </si>
  <si>
    <t>402-8400160-4130765</t>
  </si>
  <si>
    <t>TJfLgCDl4</t>
  </si>
  <si>
    <t>D9rdlN9lcg0WR</t>
  </si>
  <si>
    <t>2026-07-04T19:46:00+05:30</t>
  </si>
  <si>
    <t>2026-07-05T14:19:42+05:30</t>
  </si>
  <si>
    <t>2026-07-05T14:19:47+05:30</t>
  </si>
  <si>
    <t>2026-07-05T15:20:01+05:30</t>
  </si>
  <si>
    <t>tvckw315656fnk6@marketplace.amazon.in</t>
  </si>
  <si>
    <t>404-2228014-5185922</t>
  </si>
  <si>
    <t>TgthRH1R4</t>
  </si>
  <si>
    <t>DjrHly9Fcg0WR</t>
  </si>
  <si>
    <t>2026-07-05T11:57:43+05:30</t>
  </si>
  <si>
    <t>2026-07-05T14:17:41+05:30</t>
  </si>
  <si>
    <t>2026-07-05T17:17:52+05:30</t>
  </si>
  <si>
    <t>kdfrryjww4xqr97@marketplace.amazon.in</t>
  </si>
  <si>
    <t>406-3454010-9715557</t>
  </si>
  <si>
    <t>TXFTVG794</t>
  </si>
  <si>
    <t>DgXn0H92cQ0TR</t>
  </si>
  <si>
    <t>2026-07-05T01:42:03+05:30</t>
  </si>
  <si>
    <t>2026-07-05T14:15:45+05:30</t>
  </si>
  <si>
    <t>2026-07-05T14:15:49+05:30</t>
  </si>
  <si>
    <t>2026-07-05T15:16:04+05:30</t>
  </si>
  <si>
    <t>76q30gxx3ywp19f@marketplace.amazon.in</t>
  </si>
  <si>
    <t>407-9650605-5856301</t>
  </si>
  <si>
    <t>Tg1JC7DK4</t>
  </si>
  <si>
    <t>Dlmj0T91cY0tR</t>
  </si>
  <si>
    <t>2026-07-04T23:30:53+05:30</t>
  </si>
  <si>
    <t>2026-07-05T14:10:40+05:30</t>
  </si>
  <si>
    <t>2026-07-05T17:10:51+05:30</t>
  </si>
  <si>
    <t>rf0mv9hp1bjxh00@marketplace.amazon.in</t>
  </si>
  <si>
    <t>406-3974809-6448328</t>
  </si>
  <si>
    <t>T1cwscDn4</t>
  </si>
  <si>
    <t>DZ1qS29bcz0CR</t>
  </si>
  <si>
    <t>2026-07-04T20:27:45+05:30</t>
  </si>
  <si>
    <t>2026-07-05T13:55:44+05:30</t>
  </si>
  <si>
    <t>2026-07-05T16:55:59+05:30</t>
  </si>
  <si>
    <t>404-2238695-3868328</t>
  </si>
  <si>
    <t>TGCJkl1B4</t>
  </si>
  <si>
    <t>DJmLSf9zcz0VR</t>
  </si>
  <si>
    <t>2026-07-05T12:45:57+05:30</t>
  </si>
  <si>
    <t>2026-07-05T13:53:42+05:30</t>
  </si>
  <si>
    <t>2026-07-05T13:53:44+05:30</t>
  </si>
  <si>
    <t>2026-07-05T14:53:57+05:30</t>
  </si>
  <si>
    <t>3485gvfm65lmnzw@marketplace.amazon.in</t>
  </si>
  <si>
    <t>404-6150236-2785965</t>
  </si>
  <si>
    <t>T6Hmtr7j4</t>
  </si>
  <si>
    <t>D9WbSb9fcH0zR</t>
  </si>
  <si>
    <t>2026-07-05T09:21:56+05:30</t>
  </si>
  <si>
    <t>2026-07-05T13:51:44+05:30</t>
  </si>
  <si>
    <t>2026-07-05T16:51:57+05:30</t>
  </si>
  <si>
    <t>4f9dgxwgst2psr1@marketplace.amazon.in</t>
  </si>
  <si>
    <t>DPQhSq9Jcj0tR</t>
  </si>
  <si>
    <t>406-9169169-2217910</t>
  </si>
  <si>
    <t>TJQnTf7y4</t>
  </si>
  <si>
    <t>D3wn659RcJ05R</t>
  </si>
  <si>
    <t>2026-07-05T08:56:55+05:30</t>
  </si>
  <si>
    <t>2026-07-05T13:34:45+05:30</t>
  </si>
  <si>
    <t>2026-07-05T16:34:57+05:30</t>
  </si>
  <si>
    <t>f4p6t9dw6jv9frj@marketplace.amazon.in</t>
  </si>
  <si>
    <t>408-5914553-3091554</t>
  </si>
  <si>
    <t>TwsXph7S4</t>
  </si>
  <si>
    <t>D9Bm6m9KcS09R</t>
  </si>
  <si>
    <t>2026-07-05T11:09:10+05:30</t>
  </si>
  <si>
    <t>2026-07-05T13:34:41+05:30</t>
  </si>
  <si>
    <t>2026-07-05T13:34:44+05:30</t>
  </si>
  <si>
    <t>2026-07-05T14:34:54+05:30</t>
  </si>
  <si>
    <t>yjtstnnxx6w0fmj@marketplace.amazon.in</t>
  </si>
  <si>
    <t>405-8404863-8164317</t>
  </si>
  <si>
    <t>TJp8SW7W4</t>
  </si>
  <si>
    <t>Dt6p6V9McL0jR</t>
  </si>
  <si>
    <t>2026-07-05T08:52:05+05:30</t>
  </si>
  <si>
    <t>2026-07-05T13:30:46+05:30</t>
  </si>
  <si>
    <t>2026-07-05T13:30:50+05:30</t>
  </si>
  <si>
    <t>2026-07-05T14:31:07+05:30</t>
  </si>
  <si>
    <t>ylvvn0yx2jkrsnt@marketplace.amazon.in</t>
  </si>
  <si>
    <t>TNPL PUGALUR</t>
  </si>
  <si>
    <t>405-6808035-4001906</t>
  </si>
  <si>
    <t>T62LDVDk4</t>
  </si>
  <si>
    <t>DyXvdp9bcq04R</t>
  </si>
  <si>
    <t>2026-07-04T20:05:35+05:30</t>
  </si>
  <si>
    <t>2026-07-05T13:22:45+05:30</t>
  </si>
  <si>
    <t>2026-07-05T16:22:56+05:30</t>
  </si>
  <si>
    <t>w9689tv82yx409m@marketplace.amazon.in</t>
  </si>
  <si>
    <t>404-1359829-3675512</t>
  </si>
  <si>
    <t>TNYQlw7y4</t>
  </si>
  <si>
    <t>DY1GdV9Mc00lR</t>
  </si>
  <si>
    <t>2026-07-05T10:59:31+05:30</t>
  </si>
  <si>
    <t>2026-07-05T13:22:43+05:30</t>
  </si>
  <si>
    <t>2026-07-05T16:22:57+05:30</t>
  </si>
  <si>
    <t>616clvkvhbjcg5c@marketplace.amazon.in</t>
  </si>
  <si>
    <t>407-0990550-6629106</t>
  </si>
  <si>
    <t>T19Ypn7z4</t>
  </si>
  <si>
    <t>DrWPdW9cc508R</t>
  </si>
  <si>
    <t>2026-07-05T11:36:13+05:30</t>
  </si>
  <si>
    <t>2026-07-05T13:16:45+05:30</t>
  </si>
  <si>
    <t>2026-07-05T16:16:57+05:30</t>
  </si>
  <si>
    <t>d9sdj2vyqrxphqc@marketplace.amazon.in</t>
  </si>
  <si>
    <t>408-2629278-2038711</t>
  </si>
  <si>
    <t>TCsVnh7k4</t>
  </si>
  <si>
    <t>DvhFdy9Nch0LR</t>
  </si>
  <si>
    <t>2026-07-05T08:09:01+05:30</t>
  </si>
  <si>
    <t>2026-07-05T13:14:46+05:30</t>
  </si>
  <si>
    <t>2026-07-05T16:14:58+05:30</t>
  </si>
  <si>
    <t>ppx0kjknvbrw6pb@marketplace.amazon.in</t>
  </si>
  <si>
    <t>405-6090894-1856306</t>
  </si>
  <si>
    <t>TGDzdM7T4</t>
  </si>
  <si>
    <t>DBYcGP9VcR0HR</t>
  </si>
  <si>
    <t>2026-07-05T09:29:34+05:30</t>
  </si>
  <si>
    <t>2026-07-05T12:54:46+05:30</t>
  </si>
  <si>
    <t>2026-07-05T15:54:57+05:30</t>
  </si>
  <si>
    <t>rzktv19jvpsfz3y@marketplace.amazon.in</t>
  </si>
  <si>
    <t>402-9842727-9421165</t>
  </si>
  <si>
    <t>T145XT7S4</t>
  </si>
  <si>
    <t>DTP5GK9gc304R</t>
  </si>
  <si>
    <t>2026-07-05T11:26:01+05:30</t>
  </si>
  <si>
    <t>2026-07-05T12:53:44+05:30</t>
  </si>
  <si>
    <t>2026-07-05T15:53:57+05:30</t>
  </si>
  <si>
    <t>rm4g03cfz8cjkvb@marketplace.amazon.in</t>
  </si>
  <si>
    <t>TUMAKURU</t>
  </si>
  <si>
    <t>406-3065870-8741126</t>
  </si>
  <si>
    <t>TgDswK7b4</t>
  </si>
  <si>
    <t>D1dPGm96ct0jR</t>
  </si>
  <si>
    <t>2026-07-05T02:10:30+05:30</t>
  </si>
  <si>
    <t>2026-07-05T12:52:42+05:30</t>
  </si>
  <si>
    <t>2026-07-05T15:52:56+05:30</t>
  </si>
  <si>
    <t>lg9p0fm6kwsjrlf@marketplace.amazon.in</t>
  </si>
  <si>
    <t>404-4667972-8231549</t>
  </si>
  <si>
    <t>TV6MWH7m4</t>
  </si>
  <si>
    <t>DXNnt09NcS07R</t>
  </si>
  <si>
    <t>2026-07-05T10:56:30+05:30</t>
  </si>
  <si>
    <t>2026-07-05T12:47:43+05:30</t>
  </si>
  <si>
    <t>2026-07-05T15:47:56+05:30</t>
  </si>
  <si>
    <t>6k7jfbdxqcmz7h3@marketplace.amazon.in</t>
  </si>
  <si>
    <t>408-7357750-9109956</t>
  </si>
  <si>
    <t>TGNp3hD84</t>
  </si>
  <si>
    <t>D6Rjtc9VcF00R</t>
  </si>
  <si>
    <t>2026-07-04T21:12:46+05:30</t>
  </si>
  <si>
    <t>2026-07-05T12:38:47+05:30</t>
  </si>
  <si>
    <t>2026-07-05T15:38:58+05:30</t>
  </si>
  <si>
    <t>jf6t3ldgj786bhl@marketplace.amazon.in</t>
  </si>
  <si>
    <t>171-6109391-3039514</t>
  </si>
  <si>
    <t>T1Kf2p8p4</t>
  </si>
  <si>
    <t>D4qCtM9vcq0JR</t>
  </si>
  <si>
    <t>2026-07-03T23:57:35+05:30</t>
  </si>
  <si>
    <t>2026-07-05T12:35:56+05:30</t>
  </si>
  <si>
    <t>2026-07-05T15:40:29+05:30</t>
  </si>
  <si>
    <t>8c4dg18yd64m83x@marketplace.amazon.in</t>
  </si>
  <si>
    <t>408-2779148-2202724</t>
  </si>
  <si>
    <t>TVkkHy7D4</t>
  </si>
  <si>
    <t>DqRjtS9Xc300R</t>
  </si>
  <si>
    <t>2026-07-04T22:42:00+05:30</t>
  </si>
  <si>
    <t>2026-07-05T12:34:52+05:30</t>
  </si>
  <si>
    <t>2026-07-05T15:35:12+05:30</t>
  </si>
  <si>
    <t>bslltgxkt8ptct7@marketplace.amazon.in</t>
  </si>
  <si>
    <t>405-3511273-4348347</t>
  </si>
  <si>
    <t>TcpcgZD94</t>
  </si>
  <si>
    <t>Dn2CPh9KcG0pR</t>
  </si>
  <si>
    <t>2026-07-04T23:41:31+05:30</t>
  </si>
  <si>
    <t>2026-07-05T12:28:51+05:30</t>
  </si>
  <si>
    <t>2026-07-05T15:29:02+05:30</t>
  </si>
  <si>
    <t>h6v9jpgb2stzlzd@marketplace.amazon.in</t>
  </si>
  <si>
    <t>407-6151327-1255557</t>
  </si>
  <si>
    <t>T3pql4714</t>
  </si>
  <si>
    <t>DFD2PX9Lcj0sR</t>
  </si>
  <si>
    <t>2026-07-05T10:27:37+05:30</t>
  </si>
  <si>
    <t>2026-07-05T12:26:43+05:30</t>
  </si>
  <si>
    <t>2026-07-05T15:26:55+05:30</t>
  </si>
  <si>
    <t>sp3gvn6yd3x6p0t@marketplace.amazon.in</t>
  </si>
  <si>
    <t>2026-07-05T20:00:00+05:30</t>
  </si>
  <si>
    <t>403-0003539-4942740</t>
  </si>
  <si>
    <t>TnLySvD14</t>
  </si>
  <si>
    <t>DzmWTY9ncM0lR</t>
  </si>
  <si>
    <t>2026-07-04T22:57:20+05:30</t>
  </si>
  <si>
    <t>2026-07-05T12:16:46+05:30</t>
  </si>
  <si>
    <t>2026-07-05T15:16:57+05:30</t>
  </si>
  <si>
    <t>blvhhnzf9rt4nhn@marketplace.amazon.in</t>
  </si>
  <si>
    <t>Hanmakonda.</t>
  </si>
  <si>
    <t>406-0645635-7617956</t>
  </si>
  <si>
    <t>TGyKSn7V4</t>
  </si>
  <si>
    <t>DJT7TY9mcm0pR</t>
  </si>
  <si>
    <t>2026-07-05T09:52:17+05:30</t>
  </si>
  <si>
    <t>2026-07-05T12:05:45+05:30</t>
  </si>
  <si>
    <t>2026-07-05T12:05:49+05:30</t>
  </si>
  <si>
    <t>2026-07-05T13:06:01+05:30</t>
  </si>
  <si>
    <t>kdmfkc06fw742x8@marketplace.amazon.in</t>
  </si>
  <si>
    <t>402-1419602-1810732</t>
  </si>
  <si>
    <t>TwWytWDg4</t>
  </si>
  <si>
    <t>DLgJn79tcn0DR</t>
  </si>
  <si>
    <t>2026-07-04T23:03:54+05:30</t>
  </si>
  <si>
    <t>2026-07-05T11:56:43+05:30</t>
  </si>
  <si>
    <t>2026-07-05T14:56:54+05:30</t>
  </si>
  <si>
    <t>gc3v2xs91js4s07@marketplace.amazon.in</t>
  </si>
  <si>
    <t>407-3640759-0261118</t>
  </si>
  <si>
    <t>T3pjD07Q4</t>
  </si>
  <si>
    <t>DTSyxV94cy0kR</t>
  </si>
  <si>
    <t>2026-07-05T02:30:07+05:30</t>
  </si>
  <si>
    <t>2026-07-05T11:43:46+05:30</t>
  </si>
  <si>
    <t>2026-07-05T11:43:50+05:30</t>
  </si>
  <si>
    <t>2026-07-05T12:44:07+05:30</t>
  </si>
  <si>
    <t>1041krxlxq2mscf@marketplace.amazon.in</t>
  </si>
  <si>
    <t>406-6621583-1947528</t>
  </si>
  <si>
    <t>TctcMH8h4</t>
  </si>
  <si>
    <t>DDSTx094cy0kR</t>
  </si>
  <si>
    <t>2026-07-04T14:07:10+05:30</t>
  </si>
  <si>
    <t>2026-07-05T11:43:43+05:30</t>
  </si>
  <si>
    <t>2026-07-05T11:43:47+05:30</t>
  </si>
  <si>
    <t>2026-07-05T12:43:58+05:30</t>
  </si>
  <si>
    <t>sms8yyxpwwp2d7m@marketplace.amazon.in</t>
  </si>
  <si>
    <t>CRASOME Dust Proof Water Resistant Printer Cover for Brother HL-L2440DW / HL-L2460DW / HL-L2400D (Blue)</t>
  </si>
  <si>
    <t>171-3000107-5682732</t>
  </si>
  <si>
    <t>Tcfhmw714</t>
  </si>
  <si>
    <t>DVSKxn9fcF0kR</t>
  </si>
  <si>
    <t>2026-07-05T09:36:43+05:30</t>
  </si>
  <si>
    <t>2026-07-05T11:41:46+05:30</t>
  </si>
  <si>
    <t>2026-07-05T14:42:01+05:30</t>
  </si>
  <si>
    <t>05tfs3k20fl659b@marketplace.amazon.in</t>
  </si>
  <si>
    <t>403-0296753-2049928</t>
  </si>
  <si>
    <t>TGDlB37S4</t>
  </si>
  <si>
    <t>DXkmx79Scj00R</t>
  </si>
  <si>
    <t>2026-07-05T01:27:28+05:30</t>
  </si>
  <si>
    <t>2026-07-05T11:39:47+05:30</t>
  </si>
  <si>
    <t>2026-07-05T11:39:52+05:30</t>
  </si>
  <si>
    <t>2026-07-05T12:40:15+05:30</t>
  </si>
  <si>
    <t>qqlwh9s6202lsb6@marketplace.amazon.in</t>
  </si>
  <si>
    <t>404-3595419-4599542</t>
  </si>
  <si>
    <t>TG1ym67M4</t>
  </si>
  <si>
    <t>DT10xY9Lc808R</t>
  </si>
  <si>
    <t>2026-07-05T10:23:49+05:30</t>
  </si>
  <si>
    <t>2026-07-05T11:37:43+05:30</t>
  </si>
  <si>
    <t>2026-07-05T14:37:54+05:30</t>
  </si>
  <si>
    <t>prrdvv6tcdtq2f0@marketplace.amazon.in</t>
  </si>
  <si>
    <t>Kolhapur</t>
  </si>
  <si>
    <t>402-2854640-8069914</t>
  </si>
  <si>
    <t>TNxCjzD04</t>
  </si>
  <si>
    <t>DLWkx19VcC0zR</t>
  </si>
  <si>
    <t>2026-07-04T23:18:02+05:30</t>
  </si>
  <si>
    <t>2026-07-05T11:35:48+05:30</t>
  </si>
  <si>
    <t>2026-07-05T14:35:59+05:30</t>
  </si>
  <si>
    <t>4vyrcvdk1054txd@marketplace.amazon.in</t>
  </si>
  <si>
    <t>407-5225653-4304350</t>
  </si>
  <si>
    <t>T6Qk8VDn4</t>
  </si>
  <si>
    <t>D9JDx19wcB0LR</t>
  </si>
  <si>
    <t>2026-07-04T22:32:55+05:30</t>
  </si>
  <si>
    <t>2026-07-05T11:30:23+05:30</t>
  </si>
  <si>
    <t>2026-07-05T14:30:40+05:30</t>
  </si>
  <si>
    <t>pc62jt8nyjtpdby@marketplace.amazon.in</t>
  </si>
  <si>
    <t>405-4390435-5372331</t>
  </si>
  <si>
    <t>TcbDZpDg4</t>
  </si>
  <si>
    <t>DDPH3Z9lch03R</t>
  </si>
  <si>
    <t>2026-07-04T23:51:55+05:30</t>
  </si>
  <si>
    <t>2026-07-05T11:09:43+05:30</t>
  </si>
  <si>
    <t>2026-07-05T11:09:46+05:30</t>
  </si>
  <si>
    <t>2026-07-05T12:09:59+05:30</t>
  </si>
  <si>
    <t>4lbwlj53k4gvcs4@marketplace.amazon.in</t>
  </si>
  <si>
    <t>402-9321825-8443564</t>
  </si>
  <si>
    <t>Tgjjg9D24</t>
  </si>
  <si>
    <t>DD34JY9gcS05R</t>
  </si>
  <si>
    <t>2026-07-04T23:43:53+05:30</t>
  </si>
  <si>
    <t>2026-07-05T11:02:53+05:30</t>
  </si>
  <si>
    <t>2026-07-05T14:03:08+05:30</t>
  </si>
  <si>
    <t>cznz73mynw3qmph@marketplace.amazon.in</t>
  </si>
  <si>
    <t>403-9295140-6084328</t>
  </si>
  <si>
    <t>TVG8fvVB4</t>
  </si>
  <si>
    <t>DGtMJ090ck0cR</t>
  </si>
  <si>
    <t>2026-06-30T16:48:51+05:30</t>
  </si>
  <si>
    <t>2026-07-05T11:00:47+05:30</t>
  </si>
  <si>
    <t>2026-07-05T11:00:49+05:30</t>
  </si>
  <si>
    <t>2026-07-05T12:01:01+05:30</t>
  </si>
  <si>
    <t>y6rm6hfjph5hgd9@marketplace.amazon.in</t>
  </si>
  <si>
    <t>402-5467911-8340348</t>
  </si>
  <si>
    <t>TXpcFf7w4</t>
  </si>
  <si>
    <t>Dw4PMR93cX0wR</t>
  </si>
  <si>
    <t>2026-07-05T02:17:50+05:30</t>
  </si>
  <si>
    <t>2026-07-05T10:49:45+05:30</t>
  </si>
  <si>
    <t>2026-07-05T13:50:01+05:30</t>
  </si>
  <si>
    <t>5ms89b4kxylhn0r@marketplace.amazon.in</t>
  </si>
  <si>
    <t>171-9822100-6851552</t>
  </si>
  <si>
    <t>TJ45zs8q4</t>
  </si>
  <si>
    <t>D9JcMC9ycR0jR</t>
  </si>
  <si>
    <t>2026-07-04T12:35:50+05:30</t>
  </si>
  <si>
    <t>2026-07-05T10:32:54+05:30</t>
  </si>
  <si>
    <t>2026-07-05T13:33:22+05:30</t>
  </si>
  <si>
    <t>r7sny1ddfb9w6w0@marketplace.amazon.in</t>
  </si>
  <si>
    <t>DRvk1v9lcj0SR</t>
  </si>
  <si>
    <t>404-6010979-5726746</t>
  </si>
  <si>
    <t>Twbsk87k4</t>
  </si>
  <si>
    <t>DJ3H1b9Hcy0qR</t>
  </si>
  <si>
    <t>2026-07-05T00:54:17+05:30</t>
  </si>
  <si>
    <t>2026-07-05T10:30:45+05:30</t>
  </si>
  <si>
    <t>2026-07-05T13:31:03+05:30</t>
  </si>
  <si>
    <t>q2bymv81q2vkzl5@marketplace.amazon.in</t>
  </si>
  <si>
    <t>404-4326670-9157926</t>
  </si>
  <si>
    <t>T1qmPqDs4</t>
  </si>
  <si>
    <t>D2W0rw9PcS0fR</t>
  </si>
  <si>
    <t>2026-07-04T21:46:17+05:30</t>
  </si>
  <si>
    <t>2026-07-05T10:08:42+05:30</t>
  </si>
  <si>
    <t>2026-07-05T10:08:45+05:30</t>
  </si>
  <si>
    <t>2026-07-05T11:08:56+05:30</t>
  </si>
  <si>
    <t>402-8668664-1093163</t>
  </si>
  <si>
    <t>TJSGr27x4</t>
  </si>
  <si>
    <t>DX3j7w9xcr09R</t>
  </si>
  <si>
    <t>2026-07-05T05:59:20+05:30</t>
  </si>
  <si>
    <t>2026-07-05T09:56:50+05:30</t>
  </si>
  <si>
    <t>2026-07-05T12:57:04+05:30</t>
  </si>
  <si>
    <t>ykxlb0mwp4087xr@marketplace.amazon.in</t>
  </si>
  <si>
    <t>407-6664087-8257155</t>
  </si>
  <si>
    <t>T143pZDx4</t>
  </si>
  <si>
    <t>DWk3739yc80dR</t>
  </si>
  <si>
    <t>2026-07-04T18:42:36+05:30</t>
  </si>
  <si>
    <t>2026-07-05T09:53:56+05:30</t>
  </si>
  <si>
    <t>2026-07-05T12:54:09+05:30</t>
  </si>
  <si>
    <t>yscztgvld6kmfj5@marketplace.amazon.in</t>
  </si>
  <si>
    <t>402-6066350-3752338</t>
  </si>
  <si>
    <t>TgrhS6824</t>
  </si>
  <si>
    <t>D5CC7M9hcB0FR</t>
  </si>
  <si>
    <t>2026-07-04T15:09:47+05:30</t>
  </si>
  <si>
    <t>2026-07-05T09:45:46+05:30</t>
  </si>
  <si>
    <t>2026-07-05T12:49:14+05:30</t>
  </si>
  <si>
    <t>6g2788qlvjgz83h@marketplace.amazon.in</t>
  </si>
  <si>
    <t>404-1469522-5141142</t>
  </si>
  <si>
    <t>TV0MWbDZ4</t>
  </si>
  <si>
    <t>DhXZL79zct0jR</t>
  </si>
  <si>
    <t>2026-07-04T23:01:19+05:30</t>
  </si>
  <si>
    <t>2026-07-05T09:45:39+05:30</t>
  </si>
  <si>
    <t>2026-07-05T09:45:42+05:30</t>
  </si>
  <si>
    <t>2026-07-05T10:45:55+05:30</t>
  </si>
  <si>
    <t>syv3jfh0gmd4dsz@marketplace.amazon.in</t>
  </si>
  <si>
    <t>402-7571847-3434741</t>
  </si>
  <si>
    <t>TGK73Z7b4</t>
  </si>
  <si>
    <t>D9KLLH9xcz0HR</t>
  </si>
  <si>
    <t>2026-07-05T07:37:11+05:30</t>
  </si>
  <si>
    <t>2026-07-05T09:41:44+05:30</t>
  </si>
  <si>
    <t>2026-07-05T12:41:57+05:30</t>
  </si>
  <si>
    <t>s81ddf3jg472vwb@marketplace.amazon.in</t>
  </si>
  <si>
    <t>407-7699438-7946723</t>
  </si>
  <si>
    <t>TNtrHM7y4</t>
  </si>
  <si>
    <t>DvKkLF97cz0HR</t>
  </si>
  <si>
    <t>2026-07-05T01:09:47+05:30</t>
  </si>
  <si>
    <t>2026-07-05T09:39:45+05:30</t>
  </si>
  <si>
    <t>2026-07-05T09:39:50+05:30</t>
  </si>
  <si>
    <t>2026-07-05T10:40:11+05:30</t>
  </si>
  <si>
    <t>8rgq4z53w0ltnlx@marketplace.amazon.in</t>
  </si>
  <si>
    <t>D43SL498cP0YR</t>
  </si>
  <si>
    <t>406-2054696-8560350</t>
  </si>
  <si>
    <t>TJlF3QDc4</t>
  </si>
  <si>
    <t>DCCYL09fcM0QR</t>
  </si>
  <si>
    <t>2026-07-04T20:17:19+05:30</t>
  </si>
  <si>
    <t>2026-07-05T09:30:44+05:30</t>
  </si>
  <si>
    <t>2026-07-05T09:34:55+05:30</t>
  </si>
  <si>
    <t>2026-07-05T10:35:07+05:30</t>
  </si>
  <si>
    <t>4r7kfx3qbbm49j9@marketplace.amazon.in</t>
  </si>
  <si>
    <t>PALLIPPURAM ALAPPUZHA DISTRICT</t>
  </si>
  <si>
    <t>403-7296556-1965947</t>
  </si>
  <si>
    <t>Tw5bN58B4</t>
  </si>
  <si>
    <t>DgCkLs9BcB0QR</t>
  </si>
  <si>
    <t>2026-07-04T11:39:07+05:30</t>
  </si>
  <si>
    <t>2026-07-05T09:31:50+05:30</t>
  </si>
  <si>
    <t>2026-07-05T12:31:59+05:30</t>
  </si>
  <si>
    <t>6f52zvq01pc8rn6@marketplace.amazon.in</t>
  </si>
  <si>
    <t>SF000000327353AMZ</t>
  </si>
  <si>
    <t>402-7270641-2418751</t>
  </si>
  <si>
    <t>TnZy1KDm4</t>
  </si>
  <si>
    <t>D8HlLJ95cJ0VR</t>
  </si>
  <si>
    <t>2026-07-04T20:50:18+05:30</t>
  </si>
  <si>
    <t>2026-07-05T09:30:53+05:30</t>
  </si>
  <si>
    <t>2026-07-05T12:31:12+05:30</t>
  </si>
  <si>
    <t>wgtwpcgp5j1707n@marketplace.amazon.in</t>
  </si>
  <si>
    <t>403-4203300-7484315</t>
  </si>
  <si>
    <t>TGPpNPD64</t>
  </si>
  <si>
    <t>DBFdsx9Nc209R</t>
  </si>
  <si>
    <t>2026-07-04T17:32:48+05:30</t>
  </si>
  <si>
    <t>2026-07-05T09:22:45+05:30</t>
  </si>
  <si>
    <t>2026-07-05T09:22:48+05:30</t>
  </si>
  <si>
    <t>2026-07-05T10:22:58+05:30</t>
  </si>
  <si>
    <t>w07cg1kw3p4crhp@marketplace.amazon.in</t>
  </si>
  <si>
    <t>JHARSUGUDA</t>
  </si>
  <si>
    <t>404-8799201-7424362</t>
  </si>
  <si>
    <t>TnG1ZjDl4</t>
  </si>
  <si>
    <t>DQtFsM9Tcw0JR</t>
  </si>
  <si>
    <t>2026-07-04T23:25:58+05:30</t>
  </si>
  <si>
    <t>2026-07-05T09:19:46+05:30</t>
  </si>
  <si>
    <t>2026-07-05T12:20:06+05:30</t>
  </si>
  <si>
    <t>w3sc62mt8w6gc8q@marketplace.amazon.in</t>
  </si>
  <si>
    <t>404-5636803-8186712</t>
  </si>
  <si>
    <t>TVFLwC7V4</t>
  </si>
  <si>
    <t>DldCst9ccq0CR</t>
  </si>
  <si>
    <t>2026-07-05T01:44:36+05:30</t>
  </si>
  <si>
    <t>2026-07-05T09:09:42+05:30</t>
  </si>
  <si>
    <t>2026-07-05T12:09:53+05:30</t>
  </si>
  <si>
    <t>hn862gpj074ttzm@marketplace.amazon.in</t>
  </si>
  <si>
    <t>404-6500391-8712306</t>
  </si>
  <si>
    <t>TJ0F9qDp4</t>
  </si>
  <si>
    <t>D9V6Qg9Mcq0tR</t>
  </si>
  <si>
    <t>2026-07-04T18:00:10+05:30</t>
  </si>
  <si>
    <t>2026-07-05T09:00:41+05:30</t>
  </si>
  <si>
    <t>2026-07-05T12:00:52+05:30</t>
  </si>
  <si>
    <t>g0czqrx1bsk2n0p@marketplace.amazon.in</t>
  </si>
  <si>
    <t>BALOTRA</t>
  </si>
  <si>
    <t>171-8536081-9230731</t>
  </si>
  <si>
    <t>TJHPQWDT4</t>
  </si>
  <si>
    <t>DPd5Hq9Sc50WR</t>
  </si>
  <si>
    <t>2026-07-04T20:15:18+05:30</t>
  </si>
  <si>
    <t>2026-07-05T04:59:45+05:30</t>
  </si>
  <si>
    <t>2026-07-05T07:59:57+05:30</t>
  </si>
  <si>
    <t>fp9fqth3lycmw8q@marketplace.amazon.in</t>
  </si>
  <si>
    <t>404-2614502-8542746</t>
  </si>
  <si>
    <t>Tn5cbw7Q4</t>
  </si>
  <si>
    <t>Dwmzbz9BcV0dR</t>
  </si>
  <si>
    <t>2026-07-04T23:58:14+05:30</t>
  </si>
  <si>
    <t>2026-07-05T04:47:44+05:30</t>
  </si>
  <si>
    <t>2026-07-05T07:47:55+05:30</t>
  </si>
  <si>
    <t>bk3ctqgpp1v352h@marketplace.amazon.in</t>
  </si>
  <si>
    <t>ADIMALI</t>
  </si>
  <si>
    <t>171-9136192-0210763</t>
  </si>
  <si>
    <t>TwrgqxDX4</t>
  </si>
  <si>
    <t>D9Phbj9kcs0sR</t>
  </si>
  <si>
    <t>2026-07-05T00:01:58+05:30</t>
  </si>
  <si>
    <t>2026-07-05T04:32:41+05:30</t>
  </si>
  <si>
    <t>2026-07-05T07:32:52+05:30</t>
  </si>
  <si>
    <t>m2v5jv8rr8pxwhd@marketplace.amazon.in</t>
  </si>
  <si>
    <t>Morbi</t>
  </si>
  <si>
    <t>171-6138004-1383525</t>
  </si>
  <si>
    <t>TJW67PDR4</t>
  </si>
  <si>
    <t>Dr7NNd9Jck0HR</t>
  </si>
  <si>
    <t>2026-07-04T19:52:42+05:30</t>
  </si>
  <si>
    <t>2026-07-05T04:13:51+05:30</t>
  </si>
  <si>
    <t>2026-07-05T07:14:15+05:30</t>
  </si>
  <si>
    <t>k5swmngw39gych3@marketplace.amazon.in</t>
  </si>
  <si>
    <t>171-5535616-7031518</t>
  </si>
  <si>
    <t>TNJ03jDQ4</t>
  </si>
  <si>
    <t>D525Nj9ncZ01R</t>
  </si>
  <si>
    <t>2026-07-04T20:46:19+05:30</t>
  </si>
  <si>
    <t>2026-07-05T04:09:48+05:30</t>
  </si>
  <si>
    <t>2026-07-05T07:10:00+05:30</t>
  </si>
  <si>
    <t>628pxsybmp7qsm7@marketplace.amazon.in</t>
  </si>
  <si>
    <t>404-4454623-9493921</t>
  </si>
  <si>
    <t>T6wwfKD04</t>
  </si>
  <si>
    <t>DdrhNb9mch0NR</t>
  </si>
  <si>
    <t>2026-07-04T23:40:48+05:30</t>
  </si>
  <si>
    <t>2026-07-05T03:59:48+05:30</t>
  </si>
  <si>
    <t>2026-07-05T07:00:05+05:30</t>
  </si>
  <si>
    <t>f35q217vk9t9y5q@marketplace.amazon.in</t>
  </si>
  <si>
    <t>406-3354135-3818762</t>
  </si>
  <si>
    <t>TcZ7CHgz4</t>
  </si>
  <si>
    <t>DlyNhPQZc50sR</t>
  </si>
  <si>
    <t>2026-07-04T08:07:53+05:30</t>
  </si>
  <si>
    <t>2026-07-05T03:41:44+05:30</t>
  </si>
  <si>
    <t>2026-07-05T06:41:56+05:30</t>
  </si>
  <si>
    <t>yjs80dy89zzsyx9@marketplace.amazon.in</t>
  </si>
  <si>
    <t>402-1538409-8471534</t>
  </si>
  <si>
    <t>TcKbhpDV4</t>
  </si>
  <si>
    <t>Dh5lh2Q3c707R</t>
  </si>
  <si>
    <t>2026-07-05T00:33:36+05:30</t>
  </si>
  <si>
    <t>2026-07-05T03:39:43+05:30</t>
  </si>
  <si>
    <t>2026-07-05T06:39:54+05:30</t>
  </si>
  <si>
    <t>404-5300904-2822741</t>
  </si>
  <si>
    <t>TJBkHMD84</t>
  </si>
  <si>
    <t>DK3bj4Qycf0FR</t>
  </si>
  <si>
    <t>2026-07-04T19:43:25+05:30</t>
  </si>
  <si>
    <t>2026-07-05T03:07:41+05:30</t>
  </si>
  <si>
    <t>2026-07-05T03:07:44+05:30</t>
  </si>
  <si>
    <t>2026-07-05T04:07:55+05:30</t>
  </si>
  <si>
    <t>lhchq29c7vtxdyx@marketplace.amazon.in</t>
  </si>
  <si>
    <t>Sreemoolanagaram</t>
  </si>
  <si>
    <t>402-8599133-4965940</t>
  </si>
  <si>
    <t>TJhr7vDM4</t>
  </si>
  <si>
    <t>D4VzjCQzcy09R</t>
  </si>
  <si>
    <t>2026-07-04T20:29:35+05:30</t>
  </si>
  <si>
    <t>2026-07-05T03:01:49+05:30</t>
  </si>
  <si>
    <t>2026-07-05T06:02:01+05:30</t>
  </si>
  <si>
    <t>3m1603frszz79k8@marketplace.amazon.in</t>
  </si>
  <si>
    <t>404-3907163-1005140</t>
  </si>
  <si>
    <t>TwVJv58m4</t>
  </si>
  <si>
    <t>DpCWjcQTcv0qR</t>
  </si>
  <si>
    <t>2026-07-04T12:22:42+05:30</t>
  </si>
  <si>
    <t>2026-07-05T02:54:44+05:30</t>
  </si>
  <si>
    <t>2026-07-05T05:54:55+05:30</t>
  </si>
  <si>
    <t>4cpklx3s6fjpdqm@marketplace.amazon.in</t>
  </si>
  <si>
    <t>404-5329159-9899501</t>
  </si>
  <si>
    <t>Tg4lnR8z4</t>
  </si>
  <si>
    <t>Dt4fZ5QtcJ0qR</t>
  </si>
  <si>
    <t>2026-07-04T15:21:37+05:30</t>
  </si>
  <si>
    <t>2026-07-05T02:52:42+05:30</t>
  </si>
  <si>
    <t>2026-07-05T05:53:01+05:30</t>
  </si>
  <si>
    <t>yx4wx62srvg2k0m@marketplace.amazon.in</t>
  </si>
  <si>
    <t>402-5665158-9173166</t>
  </si>
  <si>
    <t>TC3LZSDM4</t>
  </si>
  <si>
    <t>DQjsZ4QHcK0CR</t>
  </si>
  <si>
    <t>2026-07-05T00:27:52+05:30</t>
  </si>
  <si>
    <t>2026-07-05T02:49:29+05:30</t>
  </si>
  <si>
    <t>2026-07-05T02:49:32+05:30</t>
  </si>
  <si>
    <t>2026-07-05T03:49:48+05:30</t>
  </si>
  <si>
    <t>mmzyrkk724m3zkr@marketplace.amazon.in</t>
  </si>
  <si>
    <t>SASVAD</t>
  </si>
  <si>
    <t>406-0985378-6401916</t>
  </si>
  <si>
    <t>T1S564DY4</t>
  </si>
  <si>
    <t>DRqfjdQncJ0YR</t>
  </si>
  <si>
    <t>2026-07-04T22:37:41+05:30</t>
  </si>
  <si>
    <t>2026-07-05T02:49:31+05:30</t>
  </si>
  <si>
    <t>2026-07-05T05:49:44+05:30</t>
  </si>
  <si>
    <t>tp84lhgrfb2lc98@marketplace.amazon.in</t>
  </si>
  <si>
    <t>407-0546199-8230768</t>
  </si>
  <si>
    <t>TCtL1r8p4</t>
  </si>
  <si>
    <t>DnfhqNQLcX0NR</t>
  </si>
  <si>
    <t>2026-07-03T20:16:00+05:30</t>
  </si>
  <si>
    <t>2026-07-05T02:22:58+05:30</t>
  </si>
  <si>
    <t>2026-07-05T05:23:41+05:30</t>
  </si>
  <si>
    <t>pnndd7s5tlb1dg3@marketplace.amazon.in</t>
  </si>
  <si>
    <t>406-2370354-9037153</t>
  </si>
  <si>
    <t>Twddy6Df4</t>
  </si>
  <si>
    <t>D67b5XQ9cy0YR</t>
  </si>
  <si>
    <t>2026-07-04T18:43:49+05:30</t>
  </si>
  <si>
    <t>2026-07-05T02:11:42+05:30</t>
  </si>
  <si>
    <t>2026-07-05T02:11:45+05:30</t>
  </si>
  <si>
    <t>2026-07-05T03:11:55+05:30</t>
  </si>
  <si>
    <t>3bybmp7lfn34bsb@marketplace.amazon.in</t>
  </si>
  <si>
    <t>408-8813727-7884321</t>
  </si>
  <si>
    <t>TC2L8RDy4</t>
  </si>
  <si>
    <t>Dy2P8sQ8cN0XR</t>
  </si>
  <si>
    <t>2026-07-04T22:04:20+05:30</t>
  </si>
  <si>
    <t>2026-07-05T01:36:42+05:30</t>
  </si>
  <si>
    <t>2026-07-05T01:36:46+05:30</t>
  </si>
  <si>
    <t>2026-07-05T02:36:58+05:30</t>
  </si>
  <si>
    <t>78pfzdlc9232ymv@marketplace.amazon.in</t>
  </si>
  <si>
    <t>405-6583777-5413908</t>
  </si>
  <si>
    <t>TN8FXB864</t>
  </si>
  <si>
    <t>D5268bQGcN0XR</t>
  </si>
  <si>
    <t>2026-07-04T16:21:16+05:30</t>
  </si>
  <si>
    <t>2026-07-05T01:33:54+05:30</t>
  </si>
  <si>
    <t>2026-07-05T04:34:11+05:30</t>
  </si>
  <si>
    <t>032zhvpbkmmy7b4@marketplace.amazon.in</t>
  </si>
  <si>
    <t>THOZHUR</t>
  </si>
  <si>
    <t>171-1695583-4401128</t>
  </si>
  <si>
    <t>T3Nst9DM4</t>
  </si>
  <si>
    <t>DVfQXxQwcr07R</t>
  </si>
  <si>
    <t>2026-07-04T21:29:46+05:30</t>
  </si>
  <si>
    <t>2026-07-05T01:14:41+05:30</t>
  </si>
  <si>
    <t>2026-07-05T01:14:44+05:30</t>
  </si>
  <si>
    <t>2026-07-05T02:14:58+05:30</t>
  </si>
  <si>
    <t>9p5gkq13tyx1jj9@marketplace.amazon.in</t>
  </si>
  <si>
    <t>407-1759124-5687545</t>
  </si>
  <si>
    <t>TVXw2s8V4</t>
  </si>
  <si>
    <t>DlXFCbQDcj0JR</t>
  </si>
  <si>
    <t>2026-07-04T12:03:24+05:30</t>
  </si>
  <si>
    <t>2026-07-05T01:05:54+05:30</t>
  </si>
  <si>
    <t>2026-07-05T04:10:35+05:30</t>
  </si>
  <si>
    <t>zblmddsj4dj5njc@marketplace.amazon.in</t>
  </si>
  <si>
    <t>coimbatore</t>
  </si>
  <si>
    <t>2026-07-05T08:00:00+05:30</t>
  </si>
  <si>
    <t>407-9693815-4938718</t>
  </si>
  <si>
    <t>TJGkdtDm4</t>
  </si>
  <si>
    <t>DQyVCyQpcL0jR</t>
  </si>
  <si>
    <t>2026-07-04T21:50:07+05:30</t>
  </si>
  <si>
    <t>2026-07-05T01:04:50+05:30</t>
  </si>
  <si>
    <t>2026-07-05T04:09:37+05:30</t>
  </si>
  <si>
    <t>nmykpc9m3mbvp9l@marketplace.amazon.in</t>
  </si>
  <si>
    <t>402-8065806-3426724</t>
  </si>
  <si>
    <t>TCPQpyDN4</t>
  </si>
  <si>
    <t>DNHrCYQ4cn0SR</t>
  </si>
  <si>
    <t>2026-07-04T22:55:43+05:30</t>
  </si>
  <si>
    <t>2026-07-05T00:55:52+05:30</t>
  </si>
  <si>
    <t>2026-07-05T03:56:05+05:30</t>
  </si>
  <si>
    <t>hrb1n8xjbhhh50n@marketplace.amazon.in</t>
  </si>
  <si>
    <t>171-8736321-6809939</t>
  </si>
  <si>
    <t>TV8CMH8R4</t>
  </si>
  <si>
    <t>D6J5C6Qncw0JR</t>
  </si>
  <si>
    <t>2026-07-04T13:45:12+05:30</t>
  </si>
  <si>
    <t>2026-07-05T00:51:51+05:30</t>
  </si>
  <si>
    <t>2026-07-05T00:51:56+05:30</t>
  </si>
  <si>
    <t>2026-07-05T01:52:24+05:30</t>
  </si>
  <si>
    <t>m4c59d0zv4p1887@marketplace.amazon.in</t>
  </si>
  <si>
    <t>406-7680235-0901945</t>
  </si>
  <si>
    <t>Tnb1s1D44</t>
  </si>
  <si>
    <t>DTwypNQVcZ0FR</t>
  </si>
  <si>
    <t>2026-07-04T20:45:10+05:30</t>
  </si>
  <si>
    <t>2026-07-05T00:43:48+05:30</t>
  </si>
  <si>
    <t>2026-07-05T03:44:05+05:30</t>
  </si>
  <si>
    <t>dtf5wy2twtk66f7@marketplace.amazon.in</t>
  </si>
  <si>
    <t>406-7282742-4983538</t>
  </si>
  <si>
    <t>T1p53G8g4</t>
  </si>
  <si>
    <t>DgYzpyQ2cq06R</t>
  </si>
  <si>
    <t>2026-07-04T14:18:43+05:30</t>
  </si>
  <si>
    <t>2026-07-05T00:38:46+05:30</t>
  </si>
  <si>
    <t>2026-07-05T00:38:49+05:30</t>
  </si>
  <si>
    <t>2026-07-05T01:39:04+05:30</t>
  </si>
  <si>
    <t>fsy2jmqk1dbdlzz@marketplace.amazon.in</t>
  </si>
  <si>
    <t>171-3387522-6218732</t>
  </si>
  <si>
    <t>TXz1Kl8H4</t>
  </si>
  <si>
    <t>DRYZWhQ8cZ0PR</t>
  </si>
  <si>
    <t>2026-07-04T15:57:08+05:30</t>
  </si>
  <si>
    <t>2026-07-05T00:21:59+05:30</t>
  </si>
  <si>
    <t>2026-07-05T03:22:19+05:30</t>
  </si>
  <si>
    <t>171-5241578-7226768</t>
  </si>
  <si>
    <t>TNyMYm8T4</t>
  </si>
  <si>
    <t>D3cyWYQ1cq07R</t>
  </si>
  <si>
    <t>2026-07-04T12:32:06+05:30</t>
  </si>
  <si>
    <t>2026-07-05T00:20:50+05:30</t>
  </si>
  <si>
    <t>2026-07-05T03:21:03+05:30</t>
  </si>
  <si>
    <t>xhllb9y04hl7wq0@marketplace.amazon.in</t>
  </si>
  <si>
    <t>405-6006634-4310706</t>
  </si>
  <si>
    <t>TC4wVK8h4</t>
  </si>
  <si>
    <t>D1kcKzQgcN0LR</t>
  </si>
  <si>
    <t>2026-07-04T09:12:54+05:30</t>
  </si>
  <si>
    <t>2026-07-05T00:17:47+05:30</t>
  </si>
  <si>
    <t>2026-07-05T03:18:00+05:30</t>
  </si>
  <si>
    <t>r7t2nslvgqjsztw@marketplace.amazon.in</t>
  </si>
  <si>
    <t>405-8242177-5522730</t>
  </si>
  <si>
    <t>TVtCl8DQ4</t>
  </si>
  <si>
    <t>DFm9KMQ5cC0JR</t>
  </si>
  <si>
    <t>2026-07-04T22:46:06+05:30</t>
  </si>
  <si>
    <t>2026-07-05T00:11:38+05:30</t>
  </si>
  <si>
    <t>2026-07-05T00:11:41+05:30</t>
  </si>
  <si>
    <t>2026-07-05T01:11:51+05:30</t>
  </si>
  <si>
    <t>1b17x557htl7z7d@marketplace.amazon.in</t>
  </si>
  <si>
    <t>402-4807453-7729120</t>
  </si>
  <si>
    <t>TwgbMDDN4</t>
  </si>
  <si>
    <t>DWD8KBQgcz01R</t>
  </si>
  <si>
    <t>2026-07-04T20:26:16+05:30</t>
  </si>
  <si>
    <t>2026-07-05T00:10:46+05:30</t>
  </si>
  <si>
    <t>2026-07-05T03:11:03+05:30</t>
  </si>
  <si>
    <t>n9kpjv2zsm8mvc6@marketplace.amazon.in</t>
  </si>
  <si>
    <t>406-6511466-7857129</t>
  </si>
  <si>
    <t>TN2r3KDb4</t>
  </si>
  <si>
    <t>DCDyKbQtcz01R</t>
  </si>
  <si>
    <t>2026-07-04T21:03:53+05:30</t>
  </si>
  <si>
    <t>2026-07-05T00:09:42+05:30</t>
  </si>
  <si>
    <t>2026-07-05T03:09:53+05:30</t>
  </si>
  <si>
    <t>x8s1b5f99t4pzmq@marketplace.amazon.in</t>
  </si>
  <si>
    <t>404-7291140-7523562</t>
  </si>
  <si>
    <t>T6RfKPDV4</t>
  </si>
  <si>
    <t>DyQZKLQ5cZ0fR</t>
  </si>
  <si>
    <t>2026-07-04T21:47:05+05:30</t>
  </si>
  <si>
    <t>2026-07-05T00:06:45+05:30</t>
  </si>
  <si>
    <t>2026-07-05T03:06:56+05:30</t>
  </si>
  <si>
    <t>wnd7zwd4t2c2q2b@marketplace.amazon.in</t>
  </si>
  <si>
    <t>408-0893111-4925937</t>
  </si>
  <si>
    <t>Tn1BxHDP4</t>
  </si>
  <si>
    <t>DDp5K9QkcZ0KR</t>
  </si>
  <si>
    <t>2026-07-04T20:56:24+05:30</t>
  </si>
  <si>
    <t>2026-07-04T23:59:46+05:30</t>
  </si>
  <si>
    <t>2026-07-05T03:00:05+05:30</t>
  </si>
  <si>
    <t>8q01btdkq5sq7yp@marketplace.amazon.in</t>
  </si>
  <si>
    <t>171-2294307-9228350</t>
  </si>
  <si>
    <t>TwtyMT8h4</t>
  </si>
  <si>
    <t>D3lgmhQ2cM0QR</t>
  </si>
  <si>
    <t>2026-07-04T14:00:45+05:30</t>
  </si>
  <si>
    <t>2026-07-04T23:50:06+05:30</t>
  </si>
  <si>
    <t>2026-07-05T02:50:29+05:30</t>
  </si>
  <si>
    <t>6ff08f2g321r21k@marketplace.amazon.in</t>
  </si>
  <si>
    <t>403-6057653-1321928</t>
  </si>
  <si>
    <t>TNC3LKDS4</t>
  </si>
  <si>
    <t>DG9JmrQRcS0rR</t>
  </si>
  <si>
    <t>2026-07-04T20:41:31+05:30</t>
  </si>
  <si>
    <t>2026-07-04T23:49:45+05:30</t>
  </si>
  <si>
    <t>2026-07-05T02:49:59+05:30</t>
  </si>
  <si>
    <t>pr19xrc76zc6m1z@marketplace.amazon.in</t>
  </si>
  <si>
    <t>DClLmXQScM0QR</t>
  </si>
  <si>
    <t>404-6817377-4849102</t>
  </si>
  <si>
    <t>T1rn03814</t>
  </si>
  <si>
    <t>DTlPmdQZct0cR</t>
  </si>
  <si>
    <t>2026-07-04T14:44:19+05:30</t>
  </si>
  <si>
    <t>2026-07-04T23:48:51+05:30</t>
  </si>
  <si>
    <t>2026-07-05T02:49:07+05:30</t>
  </si>
  <si>
    <t>p69grtzjrfr10lb@marketplace.amazon.in</t>
  </si>
  <si>
    <t>406-8493111-2222731</t>
  </si>
  <si>
    <t>TClYcSDz4</t>
  </si>
  <si>
    <t>Dsqgm8Q5cb08R</t>
  </si>
  <si>
    <t>2026-07-04T19:26:53+05:30</t>
  </si>
  <si>
    <t>2026-07-04T23:44:47+05:30</t>
  </si>
  <si>
    <t>2026-07-05T02:44:59+05:30</t>
  </si>
  <si>
    <t>z0cdnsslf8tb162@marketplace.amazon.in</t>
  </si>
  <si>
    <t>406-0816844-1426703</t>
  </si>
  <si>
    <t>TJXY16DF4</t>
  </si>
  <si>
    <t>D1X3lPQhcj0BR</t>
  </si>
  <si>
    <t>2026-07-04T20:22:00+05:30</t>
  </si>
  <si>
    <t>2026-07-04T23:42:46+05:30</t>
  </si>
  <si>
    <t>2026-07-04T23:42:49+05:30</t>
  </si>
  <si>
    <t>2026-07-05T00:42:59+05:30</t>
  </si>
  <si>
    <t>403-0070566-9906751</t>
  </si>
  <si>
    <t>TGfb9V8n4</t>
  </si>
  <si>
    <t>D87klmQwcz0VR</t>
  </si>
  <si>
    <t>2026-07-04T11:23:31+05:30</t>
  </si>
  <si>
    <t>2026-07-04T23:37:42+05:30</t>
  </si>
  <si>
    <t>2026-07-05T02:37:56+05:30</t>
  </si>
  <si>
    <t>405-4755069-4393933</t>
  </si>
  <si>
    <t>TXkhVKDC4</t>
  </si>
  <si>
    <t>DgWQlyQfcB0qR</t>
  </si>
  <si>
    <t>2026-07-04T19:15:46+05:30</t>
  </si>
  <si>
    <t>2026-07-04T23:36:47+05:30</t>
  </si>
  <si>
    <t>2026-07-05T02:37:03+05:30</t>
  </si>
  <si>
    <t>fyflbgmpmlzdztb@marketplace.amazon.in</t>
  </si>
  <si>
    <t>171-4342271-5156334</t>
  </si>
  <si>
    <t>TgfBldMS4</t>
  </si>
  <si>
    <t>DhgnlbQwcg0jR</t>
  </si>
  <si>
    <t>2026-07-03T10:07:05+05:30</t>
  </si>
  <si>
    <t>2026-07-04T23:34:51+05:30</t>
  </si>
  <si>
    <t>2026-07-05T02:35:04+05:30</t>
  </si>
  <si>
    <t>1l6j6w05bsvc9gk@marketplace.amazon.in</t>
  </si>
  <si>
    <t>DHORIMANNA</t>
  </si>
  <si>
    <t>406-9859278-2656353</t>
  </si>
  <si>
    <t>TXWlL68h4</t>
  </si>
  <si>
    <t>D2fllhQPcf0lR</t>
  </si>
  <si>
    <t>2026-07-04T13:53:18+05:30</t>
  </si>
  <si>
    <t>2026-07-04T23:31:46+05:30</t>
  </si>
  <si>
    <t>2026-07-04T23:31:53+05:30</t>
  </si>
  <si>
    <t>2026-07-05T00:36:37+05:30</t>
  </si>
  <si>
    <t>sw082b1gfxscb2z@marketplace.amazon.in</t>
  </si>
  <si>
    <t>408-4299909-6792307</t>
  </si>
  <si>
    <t>TgqXLPDW4</t>
  </si>
  <si>
    <t>Dffdl1Qmcm0lR</t>
  </si>
  <si>
    <t>2026-07-04T20:55:50+05:30</t>
  </si>
  <si>
    <t>2026-07-04T23:31:44+05:30</t>
  </si>
  <si>
    <t>2026-07-05T02:31:55+05:30</t>
  </si>
  <si>
    <t>61ytbzr11ctmyxn@marketplace.amazon.in</t>
  </si>
  <si>
    <t>404-4758498-6434758</t>
  </si>
  <si>
    <t>TnBzn48b4</t>
  </si>
  <si>
    <t>D5rglNQbcy0GR</t>
  </si>
  <si>
    <t>2026-07-04T15:20:10+05:30</t>
  </si>
  <si>
    <t>2026-07-04T23:29:44+05:30</t>
  </si>
  <si>
    <t>2026-07-05T02:29:55+05:30</t>
  </si>
  <si>
    <t>9cxlln35k049jnx@marketplace.amazon.in</t>
  </si>
  <si>
    <t>404-2063806-9693165</t>
  </si>
  <si>
    <t>T3MBGpDM4</t>
  </si>
  <si>
    <t>DLjB0CQPch02R</t>
  </si>
  <si>
    <t>2026-07-04T21:31:10+05:30</t>
  </si>
  <si>
    <t>2026-07-04T23:20:42+05:30</t>
  </si>
  <si>
    <t>2026-07-04T23:20:45+05:30</t>
  </si>
  <si>
    <t>2026-07-05T00:20:56+05:30</t>
  </si>
  <si>
    <t>dsgyyrzzrgn00l6@marketplace.amazon.in</t>
  </si>
  <si>
    <t>408-4698562-5171546</t>
  </si>
  <si>
    <t>TGCbJf874</t>
  </si>
  <si>
    <t>DP1Z08QScP0rR</t>
  </si>
  <si>
    <t>2026-07-04T13:53:43+05:30</t>
  </si>
  <si>
    <t>2026-07-04T23:19:47+05:30</t>
  </si>
  <si>
    <t>2026-07-04T23:19:51+05:30</t>
  </si>
  <si>
    <t>2026-07-05T00:24:35+05:30</t>
  </si>
  <si>
    <t>ts0jmhysvz1dv4f@marketplace.amazon.in</t>
  </si>
  <si>
    <t>404-5508771-1093135</t>
  </si>
  <si>
    <t>TwpdG7DZ4</t>
  </si>
  <si>
    <t>DJ8q04QvcF0rR</t>
  </si>
  <si>
    <t>2026-07-04T21:32:27+05:30</t>
  </si>
  <si>
    <t>2026-07-04T23:18:42+05:30</t>
  </si>
  <si>
    <t>2026-07-05T02:18:53+05:30</t>
  </si>
  <si>
    <t>bjjxbw4wntz7yvh@marketplace.amazon.in</t>
  </si>
  <si>
    <t>406-7606988-4676332</t>
  </si>
  <si>
    <t>T1lR3p864</t>
  </si>
  <si>
    <t>Dw59SwQgcS0ZR</t>
  </si>
  <si>
    <t>2026-07-04T13:28:37+05:30</t>
  </si>
  <si>
    <t>2026-07-04T23:07:19+05:30</t>
  </si>
  <si>
    <t>2026-07-05T02:07:34+05:30</t>
  </si>
  <si>
    <t>sjm51p71mkdlgyl@marketplace.amazon.in</t>
  </si>
  <si>
    <t>404-8358657-3173155</t>
  </si>
  <si>
    <t>TNSLZqgS4</t>
  </si>
  <si>
    <t>DqQsSJQRcF03R</t>
  </si>
  <si>
    <t>2026-07-04T09:17:39+05:30</t>
  </si>
  <si>
    <t>2026-07-04T22:56:46+05:30</t>
  </si>
  <si>
    <t>2026-07-05T01:56:59+05:30</t>
  </si>
  <si>
    <t>bs3qvxprd1ffc36@marketplace.amazon.in</t>
  </si>
  <si>
    <t>171-4579896-5224308</t>
  </si>
  <si>
    <t>TGDcQLDG4</t>
  </si>
  <si>
    <t>DdKm6BQbct0vR</t>
  </si>
  <si>
    <t>2026-07-04T20:04:55+05:30</t>
  </si>
  <si>
    <t>2026-07-04T22:50:44+05:30</t>
  </si>
  <si>
    <t>2026-07-04T23:51:01+05:30</t>
  </si>
  <si>
    <t>kxqjnw5f3nvzply@marketplace.amazon.in</t>
  </si>
  <si>
    <t>406-7155897-7802726</t>
  </si>
  <si>
    <t>TXptcdDL4</t>
  </si>
  <si>
    <t>DF9R6KQfcF09R</t>
  </si>
  <si>
    <t>2026-07-04T19:07:16+05:30</t>
  </si>
  <si>
    <t>2026-07-04T22:42:45+05:30</t>
  </si>
  <si>
    <t>2026-07-05T01:42:58+05:30</t>
  </si>
  <si>
    <t>jp68b7gv1qf9qsq@marketplace.amazon.in</t>
  </si>
  <si>
    <t>171-8894756-3333104</t>
  </si>
  <si>
    <t>T1fLTt8Y4</t>
  </si>
  <si>
    <t>DMXVdsQxcR0LR</t>
  </si>
  <si>
    <t>2026-07-04T15:52:40+05:30</t>
  </si>
  <si>
    <t>2026-07-04T22:31:48+05:30</t>
  </si>
  <si>
    <t>2026-07-05T01:31:59+05:30</t>
  </si>
  <si>
    <t>2kn7jwl2c3dwtg9@marketplace.amazon.in</t>
  </si>
  <si>
    <t>Himachal Pradesh</t>
  </si>
  <si>
    <t>404-0307761-0821144</t>
  </si>
  <si>
    <t>TJpMml8p4</t>
  </si>
  <si>
    <t>DqgKdmQLcD04R</t>
  </si>
  <si>
    <t>2026-07-04T16:16:49+05:30</t>
  </si>
  <si>
    <t>2026-07-04T22:27:45+05:30</t>
  </si>
  <si>
    <t>2026-07-05T01:27:58+05:30</t>
  </si>
  <si>
    <t>b495csggf3n43d0@marketplace.amazon.in</t>
  </si>
  <si>
    <t>406-6487170-4774757</t>
  </si>
  <si>
    <t>TJxPry8Z4</t>
  </si>
  <si>
    <t>DxsMd6QCcz0vR</t>
  </si>
  <si>
    <t>2026-07-04T13:26:33+05:30</t>
  </si>
  <si>
    <t>2026-07-04T22:24:40+05:30</t>
  </si>
  <si>
    <t>2026-07-04T22:24:43+05:30</t>
  </si>
  <si>
    <t>2026-07-04T23:24:53+05:30</t>
  </si>
  <si>
    <t>j6rkxrc343nxqfh@marketplace.amazon.in</t>
  </si>
  <si>
    <t>Kukatpally, Hyderabad</t>
  </si>
  <si>
    <t>406-4224037-7268308</t>
  </si>
  <si>
    <t>T1kCBs8y4</t>
  </si>
  <si>
    <t>DJ0VdDQVcv0BR</t>
  </si>
  <si>
    <t>2026-07-04T11:19:11+05:30</t>
  </si>
  <si>
    <t>2026-07-04T22:20:52+05:30</t>
  </si>
  <si>
    <t>2026-07-05T01:21:10+05:30</t>
  </si>
  <si>
    <t>xy7d7jtg1w78rwj@marketplace.amazon.in</t>
  </si>
  <si>
    <t>171-9221685-5507501</t>
  </si>
  <si>
    <t>T3vgh48T4</t>
  </si>
  <si>
    <t>DfRFd3QJcT0QR</t>
  </si>
  <si>
    <t>2026-07-04T18:00:34+05:30</t>
  </si>
  <si>
    <t>2026-07-04T22:18:44+05:30</t>
  </si>
  <si>
    <t>2026-07-05T01:18:56+05:30</t>
  </si>
  <si>
    <t>0fslrv3gd2kjthc@marketplace.amazon.in</t>
  </si>
  <si>
    <t>405-9524595-0403555</t>
  </si>
  <si>
    <t>TnkSQWDM4</t>
  </si>
  <si>
    <t>D7vjGQQqcf0NR</t>
  </si>
  <si>
    <t>2026-07-04T20:06:44+05:30</t>
  </si>
  <si>
    <t>2026-07-04T22:17:46+05:30</t>
  </si>
  <si>
    <t>2026-07-04T22:17:50+05:30</t>
  </si>
  <si>
    <t>2026-07-04T23:18:03+05:30</t>
  </si>
  <si>
    <t>s8y0lctllz14rj3@marketplace.amazon.in</t>
  </si>
  <si>
    <t>405-5554624-5755518</t>
  </si>
  <si>
    <t>TcjbZl8V4</t>
  </si>
  <si>
    <t>DtBNGzQfcp0vR</t>
  </si>
  <si>
    <t>2026-07-04T17:27:40+05:30</t>
  </si>
  <si>
    <t>2026-07-04T22:11:45+05:30</t>
  </si>
  <si>
    <t>2026-07-05T01:11:58+05:30</t>
  </si>
  <si>
    <t>yq5t0v7ds2d7b2j@marketplace.amazon.in</t>
  </si>
  <si>
    <t>408-7007404-8183509</t>
  </si>
  <si>
    <t>T19MjTBb4</t>
  </si>
  <si>
    <t>DLQGGsQdcJ0lR</t>
  </si>
  <si>
    <t>2026-07-03T23:55:26+05:30</t>
  </si>
  <si>
    <t>2026-07-04T22:06:45+05:30</t>
  </si>
  <si>
    <t>2026-07-04T22:06:48+05:30</t>
  </si>
  <si>
    <t>2026-07-04T23:07:00+05:30</t>
  </si>
  <si>
    <t>c9n88zc0hmpfz41@marketplace.amazon.in</t>
  </si>
  <si>
    <t>403-4192296-8793935</t>
  </si>
  <si>
    <t>TwRd948H4</t>
  </si>
  <si>
    <t>D2nRGTQ2cK06R</t>
  </si>
  <si>
    <t>2026-07-04T11:17:28+05:30</t>
  </si>
  <si>
    <t>2026-07-04T22:01:40+05:30</t>
  </si>
  <si>
    <t>2026-07-04T22:01:43+05:30</t>
  </si>
  <si>
    <t>2026-07-04T23:01:55+05:30</t>
  </si>
  <si>
    <t>92j5284dgk8rx6t@marketplace.amazon.in</t>
  </si>
  <si>
    <t>403-3868081-5148357</t>
  </si>
  <si>
    <t>TJh8z9DP4</t>
  </si>
  <si>
    <t>DskPtzQKcR0DR</t>
  </si>
  <si>
    <t>2026-07-04T19:36:10+05:30</t>
  </si>
  <si>
    <t>2026-07-04T21:56:44+05:30</t>
  </si>
  <si>
    <t>2026-07-05T00:56:57+05:30</t>
  </si>
  <si>
    <t>zcxnvl6j84gk6pd@marketplace.amazon.in</t>
  </si>
  <si>
    <t>404-0077064-9364377</t>
  </si>
  <si>
    <t>TVnLn68b4</t>
  </si>
  <si>
    <t>DmTDt0QfcJ0VR</t>
  </si>
  <si>
    <t>2026-07-04T14:26:23+05:30</t>
  </si>
  <si>
    <t>2026-07-04T21:53:46+05:30</t>
  </si>
  <si>
    <t>2026-07-05T00:53:59+05:30</t>
  </si>
  <si>
    <t>x03zhdz3w8rx9bd@marketplace.amazon.in</t>
  </si>
  <si>
    <t>402-0896160-7156349</t>
  </si>
  <si>
    <t>TVxkcdDG4</t>
  </si>
  <si>
    <t>DNsMtdQVcg0KR</t>
  </si>
  <si>
    <t>2026-07-04T19:21:04+05:30</t>
  </si>
  <si>
    <t>2026-07-04T21:47:41+05:30</t>
  </si>
  <si>
    <t>2026-07-05T00:47:52+05:30</t>
  </si>
  <si>
    <t>95p8lnfzd4s30w9@marketplace.amazon.in</t>
  </si>
  <si>
    <t>402-6821267-2575550</t>
  </si>
  <si>
    <t>TX32RYDD4</t>
  </si>
  <si>
    <t>DK4FP4QXcf0LR</t>
  </si>
  <si>
    <t>2026-07-04T17:52:26+05:30</t>
  </si>
  <si>
    <t>2026-07-04T21:38:48+05:30</t>
  </si>
  <si>
    <t>2026-07-05T00:39:13+05:30</t>
  </si>
  <si>
    <t>klh4wyp00pmxjxd@marketplace.amazon.in</t>
  </si>
  <si>
    <t>171-2929289-0681124</t>
  </si>
  <si>
    <t>TcDSHY834</t>
  </si>
  <si>
    <t>D2DJPsQycV0yR</t>
  </si>
  <si>
    <t>2026-07-04T11:04:31+05:30</t>
  </si>
  <si>
    <t>2026-07-04T21:37:55+05:30</t>
  </si>
  <si>
    <t>2026-07-05T00:38:14+05:30</t>
  </si>
  <si>
    <t>79283r14jdmttt6@marketplace.amazon.in</t>
  </si>
  <si>
    <t>404-6089302-1823533</t>
  </si>
  <si>
    <t>TCD5xd8H4</t>
  </si>
  <si>
    <t>D0rDPFQCcW0LR</t>
  </si>
  <si>
    <t>2026-07-04T14:14:13+05:30</t>
  </si>
  <si>
    <t>2026-07-04T21:29:44+05:30</t>
  </si>
  <si>
    <t>2026-07-04T21:29:47+05:30</t>
  </si>
  <si>
    <t>2026-07-04T22:30:00+05:30</t>
  </si>
  <si>
    <t>6s0p5bwy4gfbqbl@marketplace.amazon.in</t>
  </si>
  <si>
    <t>403-8265108-0551563</t>
  </si>
  <si>
    <t>T1qWqp8L4</t>
  </si>
  <si>
    <t>DGs3TLQDcN03R</t>
  </si>
  <si>
    <t>2026-07-04T17:08:54+05:30</t>
  </si>
  <si>
    <t>2026-07-04T21:16:51+05:30</t>
  </si>
  <si>
    <t>2026-07-05T00:17:04+05:30</t>
  </si>
  <si>
    <t>k83y0bd26c197yl@marketplace.amazon.in</t>
  </si>
  <si>
    <t>DVsgTNQ4cN03R</t>
  </si>
  <si>
    <t>405-2990421-8126729</t>
  </si>
  <si>
    <t>Tc1gQT8j4</t>
  </si>
  <si>
    <t>Dwq2TbQxcF0CR</t>
  </si>
  <si>
    <t>2026-07-04T12:49:07+05:30</t>
  </si>
  <si>
    <t>2026-07-04T21:10:51+05:30</t>
  </si>
  <si>
    <t>2026-07-05T00:11:17+05:30</t>
  </si>
  <si>
    <t>403-2483577-0499523</t>
  </si>
  <si>
    <t>TXThZC8K4</t>
  </si>
  <si>
    <t>DV87nGQtcz0PR</t>
  </si>
  <si>
    <t>2026-07-04T16:19:38+05:30</t>
  </si>
  <si>
    <t>2026-07-04T21:03:54+05:30</t>
  </si>
  <si>
    <t>2026-07-05T00:04:16+05:30</t>
  </si>
  <si>
    <t>fb8tpqdj438r1hg@marketplace.amazon.in</t>
  </si>
  <si>
    <t>406-3332893-0095542</t>
  </si>
  <si>
    <t>T6cmB2DK4</t>
  </si>
  <si>
    <t>D2zbnCQ0cq0zR</t>
  </si>
  <si>
    <t>2026-07-04T18:39:22+05:30</t>
  </si>
  <si>
    <t>2026-07-04T20:57:47+05:30</t>
  </si>
  <si>
    <t>2026-07-04T23:57:57+05:30</t>
  </si>
  <si>
    <t>y8tdjmvq4hq09xy@marketplace.amazon.in</t>
  </si>
  <si>
    <t>405-0353369-5815519</t>
  </si>
  <si>
    <t>TVRFgd8W4</t>
  </si>
  <si>
    <t>DHxmn3QVcR0wR</t>
  </si>
  <si>
    <t>2026-07-04T16:41:01+05:30</t>
  </si>
  <si>
    <t>2026-07-04T20:50:48+05:30</t>
  </si>
  <si>
    <t>2026-07-04T23:51:00+05:30</t>
  </si>
  <si>
    <t>5gdc29ylxg8bxnd@marketplace.amazon.in</t>
  </si>
  <si>
    <t>403-2125776-1669930</t>
  </si>
  <si>
    <t>T6qMWT854</t>
  </si>
  <si>
    <t>D23JxdQcc70kR</t>
  </si>
  <si>
    <t>2026-07-04T16:10:03+05:30</t>
  </si>
  <si>
    <t>2026-07-04T20:47:33+05:30</t>
  </si>
  <si>
    <t>2026-07-04T23:51:49+05:30</t>
  </si>
  <si>
    <t>34zm64jc8vjglcv@marketplace.amazon.in</t>
  </si>
  <si>
    <t>403-3200166-4141931</t>
  </si>
  <si>
    <t>TcBjR7D24</t>
  </si>
  <si>
    <t>DgLGxhQpc902R</t>
  </si>
  <si>
    <t>2026-07-04T16:59:14+05:30</t>
  </si>
  <si>
    <t>2026-07-04T20:38:41+05:30</t>
  </si>
  <si>
    <t>2026-07-04T20:38:45+05:30</t>
  </si>
  <si>
    <t>2026-07-04T21:39:00+05:30</t>
  </si>
  <si>
    <t>kll58z7839qc06m@marketplace.amazon.in</t>
  </si>
  <si>
    <t>408-3174034-0620318</t>
  </si>
  <si>
    <t>TCKnzX8Q4</t>
  </si>
  <si>
    <t>DPjn3nQjcq0JR</t>
  </si>
  <si>
    <t>2026-07-04T11:59:52+05:30</t>
  </si>
  <si>
    <t>2026-07-04T20:31:51+05:30</t>
  </si>
  <si>
    <t>2026-07-04T23:32:04+05:30</t>
  </si>
  <si>
    <t>sqff2nyr154tfcv@marketplace.amazon.in</t>
  </si>
  <si>
    <t>403-1038531-7947552</t>
  </si>
  <si>
    <t>TczpdK8Y4</t>
  </si>
  <si>
    <t>DHN23zQDc70ZR</t>
  </si>
  <si>
    <t>2026-07-04T15:19:04+05:30</t>
  </si>
  <si>
    <t>2026-07-04T20:30:52+05:30</t>
  </si>
  <si>
    <t>2026-07-04T20:30:55+05:30</t>
  </si>
  <si>
    <t>2026-07-04T21:31:08+05:30</t>
  </si>
  <si>
    <t>tp7bv699bspg3hq@marketplace.amazon.in</t>
  </si>
  <si>
    <t>402-1045337-2748314</t>
  </si>
  <si>
    <t>TGDqts8s4</t>
  </si>
  <si>
    <t>Dxj13JQWcq0JR</t>
  </si>
  <si>
    <t>2026-07-04T14:44:59+05:30</t>
  </si>
  <si>
    <t>2026-07-04T20:30:36+05:30</t>
  </si>
  <si>
    <t>2026-07-04T20:30:39+05:30</t>
  </si>
  <si>
    <t>2026-07-04T21:30:49+05:30</t>
  </si>
  <si>
    <t>7fs5pr63ly2q7xw@marketplace.amazon.in</t>
  </si>
  <si>
    <t>VINUKONDA</t>
  </si>
  <si>
    <t>402-5852328-9996347</t>
  </si>
  <si>
    <t>Tc9jF78v4</t>
  </si>
  <si>
    <t>DWDh3yQpcZ0sR</t>
  </si>
  <si>
    <t>2026-07-04T11:02:48+05:30</t>
  </si>
  <si>
    <t>2026-07-04T20:29:52+05:30</t>
  </si>
  <si>
    <t>2026-07-04T23:30:07+05:30</t>
  </si>
  <si>
    <t>mf614vmv8f11nrk@marketplace.amazon.in</t>
  </si>
  <si>
    <t>404-7240911-0786740</t>
  </si>
  <si>
    <t>TXpSmc824</t>
  </si>
  <si>
    <t>DFjf35Q0cq0JR</t>
  </si>
  <si>
    <t>2026-07-04T16:13:42+05:30</t>
  </si>
  <si>
    <t>2026-07-04T20:29:51+05:30</t>
  </si>
  <si>
    <t>2026-07-04T23:30:06+05:30</t>
  </si>
  <si>
    <t>9ww3wdg1jqvyss9@marketplace.amazon.in</t>
  </si>
  <si>
    <t>403-7369869-3253136</t>
  </si>
  <si>
    <t>TNYCMx884</t>
  </si>
  <si>
    <t>D9rP3QQNcM0QR</t>
  </si>
  <si>
    <t>2026-07-04T13:39:57+05:30</t>
  </si>
  <si>
    <t>2026-07-04T20:19:42+05:30</t>
  </si>
  <si>
    <t>2026-07-04T23:19:53+05:30</t>
  </si>
  <si>
    <t>q8wxzxkb3lqgwm3@marketplace.amazon.in</t>
  </si>
  <si>
    <t>408-9783373-1149950</t>
  </si>
  <si>
    <t>TnwdK98T4</t>
  </si>
  <si>
    <t>DNyRJRQpc20PR</t>
  </si>
  <si>
    <t>2026-07-04T00:10:12+05:30</t>
  </si>
  <si>
    <t>2026-07-04T20:17:02+05:30</t>
  </si>
  <si>
    <t>2026-07-04T20:17:18+05:30</t>
  </si>
  <si>
    <t>2026-07-04T21:22:49+05:30</t>
  </si>
  <si>
    <t>1gn3wqv1gxcvsrh@marketplace.amazon.in</t>
  </si>
  <si>
    <t>403-0249969-4985919</t>
  </si>
  <si>
    <t>T6JmCB8P4</t>
  </si>
  <si>
    <t>DdnV34Qjcc05R</t>
  </si>
  <si>
    <t>2026-07-04T15:31:15+05:30</t>
  </si>
  <si>
    <t>2026-07-04T20:15:47+05:30</t>
  </si>
  <si>
    <t>2026-07-04T23:15:59+05:30</t>
  </si>
  <si>
    <t>2vgb7jqn85dbrg9@marketplace.amazon.in</t>
  </si>
  <si>
    <t>402-8247771-1759547</t>
  </si>
  <si>
    <t>Tcqy2WDv4</t>
  </si>
  <si>
    <t>DtM5J9Q6cn0cR</t>
  </si>
  <si>
    <t>2026-07-04T18:44:23+05:30</t>
  </si>
  <si>
    <t>2026-07-04T20:09:47+05:30</t>
  </si>
  <si>
    <t>2026-07-04T23:10:06+05:30</t>
  </si>
  <si>
    <t>0g026f81rwkxbpj@marketplace.amazon.in</t>
  </si>
  <si>
    <t>404-5236708-8522762</t>
  </si>
  <si>
    <t>TGHdP98G4</t>
  </si>
  <si>
    <t>DqcdJpQfcj0DR</t>
  </si>
  <si>
    <t>2026-07-04T14:43:01+05:30</t>
  </si>
  <si>
    <t>2026-07-04T20:07:44+05:30</t>
  </si>
  <si>
    <t>2026-07-04T20:07:46+05:30</t>
  </si>
  <si>
    <t>2026-07-04T21:07:58+05:30</t>
  </si>
  <si>
    <t>f0p40nzykv4jbnh@marketplace.amazon.in</t>
  </si>
  <si>
    <t>403-0628755-9875524</t>
  </si>
  <si>
    <t>TgwKNj8Q4</t>
  </si>
  <si>
    <t>D9qLJ8QccH0QR</t>
  </si>
  <si>
    <t>2026-07-04T11:12:48+05:30</t>
  </si>
  <si>
    <t>2026-07-04T19:58:41+05:30</t>
  </si>
  <si>
    <t>2026-07-04T22:58:53+05:30</t>
  </si>
  <si>
    <t>rjpvcc2w3r33dqk@marketplace.amazon.in</t>
  </si>
  <si>
    <t>405-5652733-4883510</t>
  </si>
  <si>
    <t>TV4FMZgn4</t>
  </si>
  <si>
    <t>DhVLMhQ1cY03R</t>
  </si>
  <si>
    <t>2026-07-04T00:30:52+05:30</t>
  </si>
  <si>
    <t>2026-07-04T19:53:54+05:30</t>
  </si>
  <si>
    <t>2026-07-04T22:54:09+05:30</t>
  </si>
  <si>
    <t>cn77ltfpfwnf4g0@marketplace.amazon.in</t>
  </si>
  <si>
    <t>403-8473799-1771526</t>
  </si>
  <si>
    <t>TV1WgB8W4</t>
  </si>
  <si>
    <t>DylhMRQBcF0lR</t>
  </si>
  <si>
    <t>2026-07-04T16:24:03+05:30</t>
  </si>
  <si>
    <t>2026-07-04T19:46:41+05:30</t>
  </si>
  <si>
    <t>2026-07-04T19:46:43+05:30</t>
  </si>
  <si>
    <t>2026-07-04T20:46:53+05:30</t>
  </si>
  <si>
    <t>d4gwdlpv54qj2sp@marketplace.amazon.in</t>
  </si>
  <si>
    <t>408-3528935-7670712</t>
  </si>
  <si>
    <t>TwJy918r4</t>
  </si>
  <si>
    <t>DsZQ1HQnc00tR</t>
  </si>
  <si>
    <t>2026-07-04T11:18:29+05:30</t>
  </si>
  <si>
    <t>2026-07-04T19:41:34+05:30</t>
  </si>
  <si>
    <t>2026-07-04T19:41:37+05:30</t>
  </si>
  <si>
    <t>2026-07-04T20:42:02+05:30</t>
  </si>
  <si>
    <t>kl0llcvdmgv71ph@marketplace.amazon.in</t>
  </si>
  <si>
    <t>408-0739348-0358703</t>
  </si>
  <si>
    <t>T3XN6x8h4</t>
  </si>
  <si>
    <t>DNZY1HQ9cf0tR</t>
  </si>
  <si>
    <t>2026-07-04T14:53:40+05:30</t>
  </si>
  <si>
    <t>2026-07-04T19:38:45+05:30</t>
  </si>
  <si>
    <t>2026-07-04T22:38:57+05:30</t>
  </si>
  <si>
    <t>k06czs3h7h0nbqw@marketplace.amazon.in</t>
  </si>
  <si>
    <t>171-9826814-4365133</t>
  </si>
  <si>
    <t>T3JN9M8R4</t>
  </si>
  <si>
    <t>DdZd1zQWcb0CR</t>
  </si>
  <si>
    <t>2026-07-04T11:13:58+05:30</t>
  </si>
  <si>
    <t>2026-07-04T19:33:43+05:30</t>
  </si>
  <si>
    <t>2026-07-04T19:33:47+05:30</t>
  </si>
  <si>
    <t>2026-07-04T20:34:01+05:30</t>
  </si>
  <si>
    <t>p6c86rr91prg70r@marketplace.amazon.in</t>
  </si>
  <si>
    <t>GHAZIABADGhaziabad</t>
  </si>
  <si>
    <t>406-5704041-3725914</t>
  </si>
  <si>
    <t>Tg3bG1864</t>
  </si>
  <si>
    <t>DkGt1YQTcG0zR</t>
  </si>
  <si>
    <t>2026-07-04T14:54:44+05:30</t>
  </si>
  <si>
    <t>2026-07-04T19:28:42+05:30</t>
  </si>
  <si>
    <t>2026-07-04T19:28:45+05:30</t>
  </si>
  <si>
    <t>2026-07-04T20:28:56+05:30</t>
  </si>
  <si>
    <t>xd44npbrgbxj07n@marketplace.amazon.in</t>
  </si>
  <si>
    <t>405-8002729-1029139</t>
  </si>
  <si>
    <t>TJqvJL8V4</t>
  </si>
  <si>
    <t>DVXqrkQFcH04R</t>
  </si>
  <si>
    <t>2026-07-04T14:25:27+05:30</t>
  </si>
  <si>
    <t>2026-07-04T19:24:45+05:30</t>
  </si>
  <si>
    <t>2026-07-04T22:24:56+05:30</t>
  </si>
  <si>
    <t>vp2rj3v8dmrt5hj@marketplace.amazon.in</t>
  </si>
  <si>
    <t>404-9413077-5973143</t>
  </si>
  <si>
    <t>TJkkxX8Y4</t>
  </si>
  <si>
    <t>DYD8rBQPc207R</t>
  </si>
  <si>
    <t>2026-07-04T14:45:30+05:30</t>
  </si>
  <si>
    <t>2026-07-04T19:19:56+05:30</t>
  </si>
  <si>
    <t>2026-07-04T22:23:37+05:30</t>
  </si>
  <si>
    <t>wh97k17hq1xxq84@marketplace.amazon.in</t>
  </si>
  <si>
    <t>403-7877028-7854737</t>
  </si>
  <si>
    <t>TJJM8J8p4</t>
  </si>
  <si>
    <t>DrDjr6QRcs0XR</t>
  </si>
  <si>
    <t>2026-07-04T16:23:15+05:30</t>
  </si>
  <si>
    <t>2026-07-04T19:18:49+05:30</t>
  </si>
  <si>
    <t>2026-07-04T22:19:08+05:30</t>
  </si>
  <si>
    <t>bdsvm353192gnr3@marketplace.amazon.in</t>
  </si>
  <si>
    <t>407-0106297-0105961</t>
  </si>
  <si>
    <t>TghtbV8K4</t>
  </si>
  <si>
    <t>DKTnrSQ5cT0qR</t>
  </si>
  <si>
    <t>2026-07-04T09:42:16+05:30</t>
  </si>
  <si>
    <t>2026-07-04T19:14:46+05:30</t>
  </si>
  <si>
    <t>2026-07-04T22:15:05+05:30</t>
  </si>
  <si>
    <t>zdzrvb6q3bgv5kn@marketplace.amazon.in</t>
  </si>
  <si>
    <t>402-7711808-3703538</t>
  </si>
  <si>
    <t>Tc7Jf9824</t>
  </si>
  <si>
    <t>D6PGrnQZct0wR</t>
  </si>
  <si>
    <t>2026-07-04T17:01:36+05:30</t>
  </si>
  <si>
    <t>2026-07-04T19:10:44+05:30</t>
  </si>
  <si>
    <t>2026-07-04T22:10:55+05:30</t>
  </si>
  <si>
    <t>l2c4g1gfvcfwtbq@marketplace.amazon.in</t>
  </si>
  <si>
    <t>403-0980591-7041143</t>
  </si>
  <si>
    <t>TNPvqx8N4</t>
  </si>
  <si>
    <t>DTqbrpQfcK0PR</t>
  </si>
  <si>
    <t>2026-07-04T16:57:27+05:30</t>
  </si>
  <si>
    <t>2026-07-04T19:07:43+05:30</t>
  </si>
  <si>
    <t>2026-07-04T22:07:55+05:30</t>
  </si>
  <si>
    <t>9ck7fk01d92hwn0@marketplace.amazon.in</t>
  </si>
  <si>
    <t>407-1477554-9352325</t>
  </si>
  <si>
    <t>Tcng6K8p4</t>
  </si>
  <si>
    <t>DPc9sLQcch0XR</t>
  </si>
  <si>
    <t>2026-07-04T15:54:56+05:30</t>
  </si>
  <si>
    <t>2026-07-04T18:26:43+05:30</t>
  </si>
  <si>
    <t>2026-07-04T21:26:54+05:30</t>
  </si>
  <si>
    <t>3wl1r0s4w0lbxc5@marketplace.amazon.in</t>
  </si>
  <si>
    <t>404-4015604-4490726</t>
  </si>
  <si>
    <t>TGKbxF8j4</t>
  </si>
  <si>
    <t>DpBfQ5Qcc00TR</t>
  </si>
  <si>
    <t>2026-07-04T14:36:48+05:30</t>
  </si>
  <si>
    <t>2026-07-04T18:16:33+05:30</t>
  </si>
  <si>
    <t>2026-07-04T21:16:48+05:30</t>
  </si>
  <si>
    <t>7jn0j6vgqcgmvw1@marketplace.amazon.in</t>
  </si>
  <si>
    <t>403-5395944-8637919</t>
  </si>
  <si>
    <t>T670FG8f4</t>
  </si>
  <si>
    <t>Dpy1QbQMc50hR</t>
  </si>
  <si>
    <t>2026-07-04T11:09:58+05:30</t>
  </si>
  <si>
    <t>2026-07-04T18:14:39+05:30</t>
  </si>
  <si>
    <t>2026-07-04T21:14:50+05:30</t>
  </si>
  <si>
    <t>wnw0382sk8xf4dp@marketplace.amazon.in</t>
  </si>
  <si>
    <t>171-8180285-9470729</t>
  </si>
  <si>
    <t>TgKdvJ8N4</t>
  </si>
  <si>
    <t>DgB7QRQFc00TR</t>
  </si>
  <si>
    <t>2026-07-04T12:23:20+05:30</t>
  </si>
  <si>
    <t>2026-07-04T18:11:46+05:30</t>
  </si>
  <si>
    <t>2026-07-04T18:11:50+05:30</t>
  </si>
  <si>
    <t>2026-07-04T19:12:16+05:30</t>
  </si>
  <si>
    <t>18dyn9b43fb8ynk@marketplace.amazon.in</t>
  </si>
  <si>
    <t>407-2551146-2960331</t>
  </si>
  <si>
    <t>TNkYfDVd4</t>
  </si>
  <si>
    <t>D5kMctQzcq0fR</t>
  </si>
  <si>
    <t>2026-06-29T00:05:42+05:30</t>
  </si>
  <si>
    <t>2026-07-04T17:54:50+05:30</t>
  </si>
  <si>
    <t>2026-07-04T20:55:10+05:30</t>
  </si>
  <si>
    <t>cn9bn69l58slzt7@marketplace.amazon.in</t>
  </si>
  <si>
    <t>Crasome Large 28L Set of 4 Transparent Clothes Storage Bags | Saree Bags/Covers with Handle | Wardrobe Organizer with Zipper | Clear Storage Bags for Clothes, Lehenga, Blankets, Bedsheets (STB-PACK-4)</t>
  </si>
  <si>
    <t>405-1772848-0150728</t>
  </si>
  <si>
    <t>TVqFPL8C4</t>
  </si>
  <si>
    <t>DTQNctQycJ0XR</t>
  </si>
  <si>
    <t>2026-07-04T13:56:01+05:30</t>
  </si>
  <si>
    <t>2026-07-04T17:52:48+05:30</t>
  </si>
  <si>
    <t>2026-07-04T20:53:08+05:30</t>
  </si>
  <si>
    <t>mphnrbpx2mbgldh@marketplace.amazon.in</t>
  </si>
  <si>
    <t>404-8164078-7287556</t>
  </si>
  <si>
    <t>TwJNQ6gc4</t>
  </si>
  <si>
    <t>DF9GcjQ7cY0fR</t>
  </si>
  <si>
    <t>2026-07-04T01:14:09+05:30</t>
  </si>
  <si>
    <t>2026-07-04T17:51:39+05:30</t>
  </si>
  <si>
    <t>2026-07-04T17:51:42+05:30</t>
  </si>
  <si>
    <t>2026-07-04T18:51:53+05:30</t>
  </si>
  <si>
    <t>j952qxfhwb67x4z@marketplace.amazon.in</t>
  </si>
  <si>
    <t>RAJAKILPAKKAM, EAST TAMBARAM</t>
  </si>
  <si>
    <t>406-3187385-5680306</t>
  </si>
  <si>
    <t>TNHM788H4</t>
  </si>
  <si>
    <t>D6Ndv0QDcK0xR</t>
  </si>
  <si>
    <t>2026-07-04T13:36:35+05:30</t>
  </si>
  <si>
    <t>2026-07-04T17:40:40+05:30</t>
  </si>
  <si>
    <t>2026-07-04T17:40:44+05:30</t>
  </si>
  <si>
    <t>2026-07-04T18:40:59+05:30</t>
  </si>
  <si>
    <t>lcjtk35dr9chhb0@marketplace.amazon.in</t>
  </si>
  <si>
    <t>407-3003741-3152319</t>
  </si>
  <si>
    <t>TNqW1d8f4</t>
  </si>
  <si>
    <t>DH8tvKQYcM09R</t>
  </si>
  <si>
    <t>2026-07-04T13:47:58+05:30</t>
  </si>
  <si>
    <t>2026-07-04T17:37:57+05:30</t>
  </si>
  <si>
    <t>2026-07-04T20:38:08+05:30</t>
  </si>
  <si>
    <t>403-5180504-6772320</t>
  </si>
  <si>
    <t>TnNtpD824</t>
  </si>
  <si>
    <t>Dw70v1QLcq0cR</t>
  </si>
  <si>
    <t>2026-07-04T16:00:32+05:30</t>
  </si>
  <si>
    <t>2026-07-04T17:35:49+05:30</t>
  </si>
  <si>
    <t>2026-07-04T20:36:12+05:30</t>
  </si>
  <si>
    <t>mqcrrhy8dw6gc9s@marketplace.amazon.in</t>
  </si>
  <si>
    <t>407-8386877-9197905</t>
  </si>
  <si>
    <t>T1mPmB8b4</t>
  </si>
  <si>
    <t>DWGWvPQqc10RR</t>
  </si>
  <si>
    <t>2026-07-04T15:59:35+05:30</t>
  </si>
  <si>
    <t>2026-07-04T17:30:44+05:30</t>
  </si>
  <si>
    <t>2026-07-04T20:30:57+05:30</t>
  </si>
  <si>
    <t>699llwq2q9x0hgx@marketplace.amazon.in</t>
  </si>
  <si>
    <t>402-5336829-7000313</t>
  </si>
  <si>
    <t>TJ3r3c814</t>
  </si>
  <si>
    <t>DtTZvzQCcx0YR</t>
  </si>
  <si>
    <t>2026-07-04T14:00:55+05:30</t>
  </si>
  <si>
    <t>2026-07-04T17:29:46+05:30</t>
  </si>
  <si>
    <t>2026-07-04T20:30:02+05:30</t>
  </si>
  <si>
    <t>p3zxmrqp07vct7m@marketplace.amazon.in</t>
  </si>
  <si>
    <t>404-6809791-1182758</t>
  </si>
  <si>
    <t>TN4ncq844</t>
  </si>
  <si>
    <t>DgfCvwQfcy0bR</t>
  </si>
  <si>
    <t>2026-07-04T12:09:41+05:30</t>
  </si>
  <si>
    <t>2026-07-04T17:29:40+05:30</t>
  </si>
  <si>
    <t>2026-07-04T17:29:42+05:30</t>
  </si>
  <si>
    <t>2026-07-04T18:29:56+05:30</t>
  </si>
  <si>
    <t>0g1r34rcrqqldhm@marketplace.amazon.in</t>
  </si>
  <si>
    <t>407-9579050-0191526</t>
  </si>
  <si>
    <t>T6v3YT8B4</t>
  </si>
  <si>
    <t>Dv4vz1Q7cZ09R</t>
  </si>
  <si>
    <t>2026-07-04T12:31:06+05:30</t>
  </si>
  <si>
    <t>2026-07-04T17:22:43+05:30</t>
  </si>
  <si>
    <t>2026-07-04T20:22:55+05:30</t>
  </si>
  <si>
    <t>pfpmlg1lndjzq6x@marketplace.amazon.in</t>
  </si>
  <si>
    <t>407-7322990-2302756</t>
  </si>
  <si>
    <t>TJ48dsg74</t>
  </si>
  <si>
    <t>DYftz1Q0cw01R</t>
  </si>
  <si>
    <t>2026-07-04T07:25:54+05:30</t>
  </si>
  <si>
    <t>2026-07-04T17:14:53+05:30</t>
  </si>
  <si>
    <t>2026-07-04T20:15:06+05:30</t>
  </si>
  <si>
    <t>ctskffgqyj2cxxf@marketplace.amazon.in</t>
  </si>
  <si>
    <t>KARORAN</t>
  </si>
  <si>
    <t>408-9462967-0724300</t>
  </si>
  <si>
    <t>TgYy9T8J4</t>
  </si>
  <si>
    <t>DCcpzYQvc502R</t>
  </si>
  <si>
    <t>2026-07-04T11:20:25+05:30</t>
  </si>
  <si>
    <t>2026-07-04T17:13:46+05:30</t>
  </si>
  <si>
    <t>2026-07-04T20:13:59+05:30</t>
  </si>
  <si>
    <t>4gfn86x1wbj02cj@marketplace.amazon.in</t>
  </si>
  <si>
    <t>404-8636344-4814736</t>
  </si>
  <si>
    <t>T138Dg8n4</t>
  </si>
  <si>
    <t>DrWXVzQWcQ0hR</t>
  </si>
  <si>
    <t>2026-07-04T10:41:07+05:30</t>
  </si>
  <si>
    <t>2026-07-04T16:57:48+05:30</t>
  </si>
  <si>
    <t>2026-07-04T19:57:59+05:30</t>
  </si>
  <si>
    <t>5y59c95yf3xkshd@marketplace.amazon.in</t>
  </si>
  <si>
    <t>407-2947785-8663515</t>
  </si>
  <si>
    <t>Twtjpjg54</t>
  </si>
  <si>
    <t>Dyd6VVQqcY0XR</t>
  </si>
  <si>
    <t>2026-07-04T08:45:29+05:30</t>
  </si>
  <si>
    <t>2026-07-04T16:52:44+05:30</t>
  </si>
  <si>
    <t>2026-07-04T16:52:47+05:30</t>
  </si>
  <si>
    <t>2026-07-04T17:52:59+05:30</t>
  </si>
  <si>
    <t>m2n9489g9pgp5fd@marketplace.amazon.in</t>
  </si>
  <si>
    <t>405-6326825-2205948</t>
  </si>
  <si>
    <t>TgzzPT844</t>
  </si>
  <si>
    <t>DGkx2LQgcG0KR</t>
  </si>
  <si>
    <t>2026-07-04T13:24:32+05:30</t>
  </si>
  <si>
    <t>2026-07-04T16:46:46+05:30</t>
  </si>
  <si>
    <t>2026-07-04T16:46:49+05:30</t>
  </si>
  <si>
    <t>2026-07-04T17:47:01+05:30</t>
  </si>
  <si>
    <t>wlymbm72hf7606f@marketplace.amazon.in</t>
  </si>
  <si>
    <t>402-6390741-6079502</t>
  </si>
  <si>
    <t>Twdx478Q4</t>
  </si>
  <si>
    <t>D2GL2pQKcW0gR</t>
  </si>
  <si>
    <t>2026-07-04T11:05:19+05:30</t>
  </si>
  <si>
    <t>2026-07-04T16:37:46+05:30</t>
  </si>
  <si>
    <t>2026-07-04T19:38:05+05:30</t>
  </si>
  <si>
    <t>hm27f4sszmls3y7@marketplace.amazon.in</t>
  </si>
  <si>
    <t>171-4257159-0429903</t>
  </si>
  <si>
    <t>TwFjkH8x4</t>
  </si>
  <si>
    <t>DWDLFfQGcz0NR</t>
  </si>
  <si>
    <t>2026-07-04T10:12:02+05:30</t>
  </si>
  <si>
    <t>2026-07-04T16:26:44+05:30</t>
  </si>
  <si>
    <t>2026-07-04T19:26:56+05:30</t>
  </si>
  <si>
    <t>s13kt37n4wb2py4@marketplace.amazon.in</t>
  </si>
  <si>
    <t>408-9715337-4291556</t>
  </si>
  <si>
    <t>TV03Jl864</t>
  </si>
  <si>
    <t>DsTWFLQMcJ0tR</t>
  </si>
  <si>
    <t>2026-07-04T13:33:46+05:30</t>
  </si>
  <si>
    <t>2026-07-04T16:23:47+05:30</t>
  </si>
  <si>
    <t>2026-07-04T19:23:58+05:30</t>
  </si>
  <si>
    <t>2d7w7qb7f20c39v@marketplace.amazon.in</t>
  </si>
  <si>
    <t>406-6633515-5915501</t>
  </si>
  <si>
    <t>TCWZL88W4</t>
  </si>
  <si>
    <t>DRHZFbQtcB08R</t>
  </si>
  <si>
    <t>2026-07-04T13:59:14+05:30</t>
  </si>
  <si>
    <t>2026-07-04T16:22:48+05:30</t>
  </si>
  <si>
    <t>2026-07-04T19:22:59+05:30</t>
  </si>
  <si>
    <t>sxsffrvspzfk7wy@marketplace.amazon.in</t>
  </si>
  <si>
    <t>402-1426363-8673131</t>
  </si>
  <si>
    <t>TNcrZ2gC4</t>
  </si>
  <si>
    <t>DRnDF2QjcC06R</t>
  </si>
  <si>
    <t>2026-07-04T09:20:28+05:30</t>
  </si>
  <si>
    <t>2026-07-04T16:19:47+05:30</t>
  </si>
  <si>
    <t>2026-07-04T16:19:50+05:30</t>
  </si>
  <si>
    <t>2026-07-04T17:20:06+05:30</t>
  </si>
  <si>
    <t>lgy0gq9xhn6hq2t@marketplace.amazon.in</t>
  </si>
  <si>
    <t>DSnFFmQgcC06R</t>
  </si>
  <si>
    <t>403-0932864-4533939</t>
  </si>
  <si>
    <t>Tgj44R8k4</t>
  </si>
  <si>
    <t>D1fkFzQhcJ0LR</t>
  </si>
  <si>
    <t>2026-07-04T10:52:36+05:30</t>
  </si>
  <si>
    <t>2026-07-04T16:19:44+05:30</t>
  </si>
  <si>
    <t>2026-07-04T19:19:59+05:30</t>
  </si>
  <si>
    <t>pcy0kpw7d8lmvmt@marketplace.amazon.in</t>
  </si>
  <si>
    <t>AM005769546IN</t>
  </si>
  <si>
    <t>402-7973629-0103515</t>
  </si>
  <si>
    <t>TCxMHy8d4</t>
  </si>
  <si>
    <t>DsjcDlQ3cH0rR</t>
  </si>
  <si>
    <t>2026-07-04T10:20:40+05:30</t>
  </si>
  <si>
    <t>2026-07-04T16:13:45+05:30</t>
  </si>
  <si>
    <t>2026-07-04T19:13:58+05:30</t>
  </si>
  <si>
    <t>dfqw1x5l8wtrfdv@marketplace.amazon.in</t>
  </si>
  <si>
    <t>PANIHATI</t>
  </si>
  <si>
    <t>405-7167144-6876301</t>
  </si>
  <si>
    <t>T1751G8V4</t>
  </si>
  <si>
    <t>Dq04DzQycZ0YR</t>
  </si>
  <si>
    <t>2026-07-04T13:39:03+05:30</t>
  </si>
  <si>
    <t>2026-07-04T16:06:39+05:30</t>
  </si>
  <si>
    <t>2026-07-04T16:06:43+05:30</t>
  </si>
  <si>
    <t>2026-07-04T17:06:55+05:30</t>
  </si>
  <si>
    <t>cy902zkc84n7vwf@marketplace.amazon.in</t>
  </si>
  <si>
    <t>408-3259460-9770763</t>
  </si>
  <si>
    <t>TNSGs8814</t>
  </si>
  <si>
    <t>DDC4DVQGcG0NR</t>
  </si>
  <si>
    <t>2026-07-04T13:04:46+05:30</t>
  </si>
  <si>
    <t>2026-07-04T16:05:45+05:30</t>
  </si>
  <si>
    <t>2026-07-04T19:05:57+05:30</t>
  </si>
  <si>
    <t>pp3wrp0739fb5tf@marketplace.amazon.in</t>
  </si>
  <si>
    <t>406-7317509-5553117</t>
  </si>
  <si>
    <t>T30Xs58X4</t>
  </si>
  <si>
    <t>Dkx6DTQXcP0hR</t>
  </si>
  <si>
    <t>2026-07-04T12:49:47+05:30</t>
  </si>
  <si>
    <t>2026-07-04T16:04:48+05:30</t>
  </si>
  <si>
    <t>2026-07-04T19:04:59+05:30</t>
  </si>
  <si>
    <t>spzkqr9y7qkgzmd@marketplace.amazon.in</t>
  </si>
  <si>
    <t>408-4954288-2532343</t>
  </si>
  <si>
    <t>T6dYcygZ4</t>
  </si>
  <si>
    <t>DpmXwKQDcg0tR</t>
  </si>
  <si>
    <t>2026-07-04T00:53:39+05:30</t>
  </si>
  <si>
    <t>2026-07-04T15:21:42+05:30</t>
  </si>
  <si>
    <t>2026-07-04T18:21:53+05:30</t>
  </si>
  <si>
    <t>k0960sm0nsjj61r@marketplace.amazon.in</t>
  </si>
  <si>
    <t>407-7778898-6126731</t>
  </si>
  <si>
    <t>T3ChyBgc4</t>
  </si>
  <si>
    <t>Dwl3B0QHcV0DR</t>
  </si>
  <si>
    <t>2026-07-03T23:05:21+05:30</t>
  </si>
  <si>
    <t>2026-07-04T14:54:52+05:30</t>
  </si>
  <si>
    <t>2026-07-04T17:55:04+05:30</t>
  </si>
  <si>
    <t>w7lfcf92g082gsj@marketplace.amazon.in</t>
  </si>
  <si>
    <t>402-9567272-1610704</t>
  </si>
  <si>
    <t>TXLByY8y4</t>
  </si>
  <si>
    <t>Dk2n9yQDcz0lR</t>
  </si>
  <si>
    <t>2026-07-04T11:22:13+05:30</t>
  </si>
  <si>
    <t>2026-07-04T14:43:46+05:30</t>
  </si>
  <si>
    <t>2026-07-04T17:44:11+05:30</t>
  </si>
  <si>
    <t>8tsjtxq1qzbnvvv@marketplace.amazon.in</t>
  </si>
  <si>
    <t>171-5195794-1751505</t>
  </si>
  <si>
    <t>TV2vQbgp4</t>
  </si>
  <si>
    <t>DDd59YQhcR0YR</t>
  </si>
  <si>
    <t>2026-07-04T00:36:32+05:30</t>
  </si>
  <si>
    <t>2026-07-04T14:34:54+05:30</t>
  </si>
  <si>
    <t>2026-07-04T17:35:05+05:30</t>
  </si>
  <si>
    <t>l7nn6cktw8tw921@marketplace.amazon.in</t>
  </si>
  <si>
    <t>403-5774982-0937169</t>
  </si>
  <si>
    <t>T6V5ND8P4</t>
  </si>
  <si>
    <t>DqjP4SQ4cN0pR</t>
  </si>
  <si>
    <t>2026-07-04T11:16:50+05:30</t>
  </si>
  <si>
    <t>2026-07-04T14:31:46+05:30</t>
  </si>
  <si>
    <t>2026-07-04T17:31:58+05:30</t>
  </si>
  <si>
    <t>402-7361801-7263551</t>
  </si>
  <si>
    <t>Tg84yW874</t>
  </si>
  <si>
    <t>Dsbc4SQMcg0nR</t>
  </si>
  <si>
    <t>2026-07-04T10:58:37+05:30</t>
  </si>
  <si>
    <t>2026-07-04T14:23:44+05:30</t>
  </si>
  <si>
    <t>2026-07-04T14:23:48+05:30</t>
  </si>
  <si>
    <t>2026-07-04T15:24:19+05:30</t>
  </si>
  <si>
    <t>jf3xv3d1c2wbsns@marketplace.amazon.in</t>
  </si>
  <si>
    <t>DkHB44QVcc01R</t>
  </si>
  <si>
    <t>405-1983054-6001964</t>
  </si>
  <si>
    <t>TCjCyp804</t>
  </si>
  <si>
    <t>D9HL4WQKcH01R</t>
  </si>
  <si>
    <t>2026-07-04T11:08:52+05:30</t>
  </si>
  <si>
    <t>2026-07-04T14:20:47+05:30</t>
  </si>
  <si>
    <t>2026-07-04T17:21:12+05:30</t>
  </si>
  <si>
    <t>0lggqh5cb8dk68j@marketplace.amazon.in</t>
  </si>
  <si>
    <t>407-2980243-4315543</t>
  </si>
  <si>
    <t>TNt0rh8P4</t>
  </si>
  <si>
    <t>Dvx344Qmcc0pR</t>
  </si>
  <si>
    <t>2026-07-04T13:02:13+05:30</t>
  </si>
  <si>
    <t>2026-07-04T14:19:42+05:30</t>
  </si>
  <si>
    <t>2026-07-04T17:19:54+05:30</t>
  </si>
  <si>
    <t>171-3637072-8538727</t>
  </si>
  <si>
    <t>TwSJCWgc4</t>
  </si>
  <si>
    <t>DXF8HVQJcS0rR</t>
  </si>
  <si>
    <t>2026-07-04T08:21:15+05:30</t>
  </si>
  <si>
    <t>2026-07-04T14:16:47+05:30</t>
  </si>
  <si>
    <t>2026-07-04T17:17:01+05:30</t>
  </si>
  <si>
    <t>jcsp5vlc9y2wp4n@marketplace.amazon.in</t>
  </si>
  <si>
    <t>407-9027895-7511538</t>
  </si>
  <si>
    <t>TVYCH38g4</t>
  </si>
  <si>
    <t>DXS8HhQYc80YR</t>
  </si>
  <si>
    <t>2026-07-04T10:17:54+05:30</t>
  </si>
  <si>
    <t>2026-07-04T14:14:44+05:30</t>
  </si>
  <si>
    <t>2026-07-04T17:15:00+05:30</t>
  </si>
  <si>
    <t>mqv775wxxhrn2tl@marketplace.amazon.in</t>
  </si>
  <si>
    <t>D6SjHXQHc80YR</t>
  </si>
  <si>
    <t>403-2805416-6193118</t>
  </si>
  <si>
    <t>TnFqF48V4</t>
  </si>
  <si>
    <t>DvPwHyQjc60DR</t>
  </si>
  <si>
    <t>2026-07-04T11:12:12+05:30</t>
  </si>
  <si>
    <t>2026-07-04T14:00:41+05:30</t>
  </si>
  <si>
    <t>2026-07-04T17:00:53+05:30</t>
  </si>
  <si>
    <t>sb9h9g4qk6x0hq3@marketplace.amazon.in</t>
  </si>
  <si>
    <t>402-6657919-3773918</t>
  </si>
  <si>
    <t>T6p8fzgc4</t>
  </si>
  <si>
    <t>D7jLbHQrcx0MR</t>
  </si>
  <si>
    <t>2026-07-04T09:45:57+05:30</t>
  </si>
  <si>
    <t>2026-07-04T13:53:39+05:30</t>
  </si>
  <si>
    <t>2026-07-04T13:53:41+05:30</t>
  </si>
  <si>
    <t>2026-07-04T14:53:52+05:30</t>
  </si>
  <si>
    <t>2cb28j0xyjmbmy4@marketplace.amazon.in</t>
  </si>
  <si>
    <t>LONI KALBHOR</t>
  </si>
  <si>
    <t>406-8215032-4397945</t>
  </si>
  <si>
    <t>TCFrZ5g24</t>
  </si>
  <si>
    <t>DzhfbLQPc30MR</t>
  </si>
  <si>
    <t>2026-07-04T09:08:47+05:30</t>
  </si>
  <si>
    <t>2026-07-04T13:48:10+05:30</t>
  </si>
  <si>
    <t>2026-07-04T16:48:21+05:30</t>
  </si>
  <si>
    <t>n7tnwmcclm37pv8@marketplace.amazon.in</t>
  </si>
  <si>
    <t>402-4738099-3705168</t>
  </si>
  <si>
    <t>TXTtX8gj4</t>
  </si>
  <si>
    <t>DBlSbjQwcZ0hR</t>
  </si>
  <si>
    <t>2026-07-04T07:48:16+05:30</t>
  </si>
  <si>
    <t>2026-07-04T13:46:44+05:30</t>
  </si>
  <si>
    <t>2026-07-04T16:46:55+05:30</t>
  </si>
  <si>
    <t>htdd3tm11kqyxhb@marketplace.amazon.in</t>
  </si>
  <si>
    <t>406-2254186-9581168</t>
  </si>
  <si>
    <t>TNJm68gv4</t>
  </si>
  <si>
    <t>D6DJkQQJcy0MR</t>
  </si>
  <si>
    <t>2026-07-04T01:27:06+05:30</t>
  </si>
  <si>
    <t>2026-07-04T13:37:40+05:30</t>
  </si>
  <si>
    <t>2026-07-04T13:37:47+05:30</t>
  </si>
  <si>
    <t>2026-07-04T14:41:32+05:30</t>
  </si>
  <si>
    <t>p9f60kbbhkpxsdc@marketplace.amazon.in</t>
  </si>
  <si>
    <t>402-4520171-1393133</t>
  </si>
  <si>
    <t>T3yT4VgP4</t>
  </si>
  <si>
    <t>D8DKkSQYcy0MR</t>
  </si>
  <si>
    <t>2026-07-03T23:21:09+05:30</t>
  </si>
  <si>
    <t>2026-07-04T13:35:44+05:30</t>
  </si>
  <si>
    <t>2026-07-04T16:35:55+05:30</t>
  </si>
  <si>
    <t>l54zncd6r5mnkwl@marketplace.amazon.in</t>
  </si>
  <si>
    <t>BARAN</t>
  </si>
  <si>
    <t>404-2796357-2489943</t>
  </si>
  <si>
    <t>T1zVPjBc4</t>
  </si>
  <si>
    <t>DzcskzQzcF0JR</t>
  </si>
  <si>
    <t>2026-07-03T19:28:22+05:30</t>
  </si>
  <si>
    <t>2026-07-04T13:32:44+05:30</t>
  </si>
  <si>
    <t>2026-07-04T13:32:47+05:30</t>
  </si>
  <si>
    <t>2026-07-04T14:33:00+05:30</t>
  </si>
  <si>
    <t>qlyv3l2f6k0m99j@marketplace.amazon.in</t>
  </si>
  <si>
    <t>171-1260553-5109967</t>
  </si>
  <si>
    <t>T1NPbTg74</t>
  </si>
  <si>
    <t>Dp6WkwQYcf0wR</t>
  </si>
  <si>
    <t>2026-07-03T22:59:22+05:30</t>
  </si>
  <si>
    <t>2026-07-04T13:32:45+05:30</t>
  </si>
  <si>
    <t>2026-07-04T16:32:56+05:30</t>
  </si>
  <si>
    <t>8jyyrkg6kmvcwn8@marketplace.amazon.in</t>
  </si>
  <si>
    <t>402-7936017-7001933</t>
  </si>
  <si>
    <t>Tn04HK8b4</t>
  </si>
  <si>
    <t>Dm02kdQ3cc0WR</t>
  </si>
  <si>
    <t>2026-07-04T10:16:55+05:30</t>
  </si>
  <si>
    <t>2026-07-04T13:28:46+05:30</t>
  </si>
  <si>
    <t>2026-07-04T16:28:59+05:30</t>
  </si>
  <si>
    <t>b4bytzrlpny5cgg@marketplace.amazon.in</t>
  </si>
  <si>
    <t>405-6606773-5269930</t>
  </si>
  <si>
    <t>TwHNfgB84</t>
  </si>
  <si>
    <t>Dlp6kMQQcg0KR</t>
  </si>
  <si>
    <t>2026-07-03T21:15:41+05:30</t>
  </si>
  <si>
    <t>2026-07-04T13:25:44+05:30</t>
  </si>
  <si>
    <t>2026-07-04T13:25:47+05:30</t>
  </si>
  <si>
    <t>2026-07-04T14:26:04+05:30</t>
  </si>
  <si>
    <t>mv55pfd507hrctz@marketplace.amazon.in</t>
  </si>
  <si>
    <t>RAMGARH</t>
  </si>
  <si>
    <t>171-0863536-1792309</t>
  </si>
  <si>
    <t>TJtZDMBM4</t>
  </si>
  <si>
    <t>D5SNNHQvcs0WR</t>
  </si>
  <si>
    <t>2026-07-03T15:50:50+05:30</t>
  </si>
  <si>
    <t>2026-07-04T16:25:57+05:30</t>
  </si>
  <si>
    <t>xnsrf3ps6j486nc@marketplace.amazon.in</t>
  </si>
  <si>
    <t>406-0114494-3271561</t>
  </si>
  <si>
    <t>TNG9kr8R4</t>
  </si>
  <si>
    <t>DRMQN5QLcf0PR</t>
  </si>
  <si>
    <t>2026-07-04T09:41:06+05:30</t>
  </si>
  <si>
    <t>2026-07-04T13:19:44+05:30</t>
  </si>
  <si>
    <t>2026-07-04T16:19:56+05:30</t>
  </si>
  <si>
    <t>406-1711729-3384325</t>
  </si>
  <si>
    <t>TJjZKKgl4</t>
  </si>
  <si>
    <t>DM6mNTQYcg0FR</t>
  </si>
  <si>
    <t>2026-07-04T07:14:35+05:30</t>
  </si>
  <si>
    <t>2026-07-04T13:17:44+05:30</t>
  </si>
  <si>
    <t>2026-07-04T13:17:48+05:30</t>
  </si>
  <si>
    <t>2026-07-04T14:18:00+05:30</t>
  </si>
  <si>
    <t>spfy67sdqv2qkxq@marketplace.amazon.in</t>
  </si>
  <si>
    <t>408-0857692-7998761</t>
  </si>
  <si>
    <t>TNLRg5gb4</t>
  </si>
  <si>
    <t>DtC0NcQrc30xR</t>
  </si>
  <si>
    <t>2026-07-04T09:23:36+05:30</t>
  </si>
  <si>
    <t>2026-07-04T13:13:47+05:30</t>
  </si>
  <si>
    <t>2026-07-04T16:13:59+05:30</t>
  </si>
  <si>
    <t>4p187p7zbjwgw8p@marketplace.amazon.in</t>
  </si>
  <si>
    <t>402-4583889-4301906</t>
  </si>
  <si>
    <t>T3qKjYgg4</t>
  </si>
  <si>
    <t>Dh1khK6Xcm0sR</t>
  </si>
  <si>
    <t>2026-07-04T09:19:40+05:30</t>
  </si>
  <si>
    <t>2026-07-04T12:45:43+05:30</t>
  </si>
  <si>
    <t>2026-07-04T15:45:57+05:30</t>
  </si>
  <si>
    <t>p9z8ry1my3vtvsc@marketplace.amazon.in</t>
  </si>
  <si>
    <t>402-0400815-4621107</t>
  </si>
  <si>
    <t>TGFdyhg04</t>
  </si>
  <si>
    <t>DbtyhV66cw0cR</t>
  </si>
  <si>
    <t>2026-07-04T00:26:47+05:30</t>
  </si>
  <si>
    <t>2026-07-04T12:42:47+05:30</t>
  </si>
  <si>
    <t>2026-07-04T12:42:52+05:30</t>
  </si>
  <si>
    <t>2026-07-04T13:43:09+05:30</t>
  </si>
  <si>
    <t>404-7131366-7903566</t>
  </si>
  <si>
    <t>TJ3MPzgh4</t>
  </si>
  <si>
    <t>D8WNhW6Ycc0SR</t>
  </si>
  <si>
    <t>2026-07-04T02:42:54+05:30</t>
  </si>
  <si>
    <t>2026-07-04T12:40:46+05:30</t>
  </si>
  <si>
    <t>2026-07-04T15:41:03+05:30</t>
  </si>
  <si>
    <t>66drqznw3j66xh9@marketplace.amazon.in</t>
  </si>
  <si>
    <t>2026-07-04T20:00:00+05:30</t>
  </si>
  <si>
    <t>406-9938546-6232316</t>
  </si>
  <si>
    <t>TVHPyP8L4</t>
  </si>
  <si>
    <t>DbGQh76CcS01R</t>
  </si>
  <si>
    <t>2026-07-04T11:18:28+05:30</t>
  </si>
  <si>
    <t>2026-07-04T12:38:44+05:30</t>
  </si>
  <si>
    <t>2026-07-04T15:38:55+05:30</t>
  </si>
  <si>
    <t>qpwl2956kt1djv1@marketplace.amazon.in</t>
  </si>
  <si>
    <t>MALEGAON</t>
  </si>
  <si>
    <t>403-2943352-9681156</t>
  </si>
  <si>
    <t>TNsMjVg94</t>
  </si>
  <si>
    <t>DZCCfn6fcD0VR</t>
  </si>
  <si>
    <t>2026-07-04T09:26:22+05:30</t>
  </si>
  <si>
    <t>2026-07-04T12:24:44+05:30</t>
  </si>
  <si>
    <t>2026-07-04T15:24:54+05:30</t>
  </si>
  <si>
    <t>06g6q0lpdnth2mp@marketplace.amazon.in</t>
  </si>
  <si>
    <t>Barpeta</t>
  </si>
  <si>
    <t>AC002995588IN</t>
  </si>
  <si>
    <t>406-9992646-5091501</t>
  </si>
  <si>
    <t>T1Rf4Z8P4</t>
  </si>
  <si>
    <t>Dwxbf86Ncy0JR</t>
  </si>
  <si>
    <t>2026-07-04T10:55:02+05:30</t>
  </si>
  <si>
    <t>2026-07-04T12:20:41+05:30</t>
  </si>
  <si>
    <t>2026-07-04T15:20:53+05:30</t>
  </si>
  <si>
    <t>0ckxnqcl3nb3n3c@marketplace.amazon.in</t>
  </si>
  <si>
    <t>171-4554502-5713107</t>
  </si>
  <si>
    <t>TcTXkC8T4</t>
  </si>
  <si>
    <t>DrKTjV69cH0VR</t>
  </si>
  <si>
    <t>2026-07-04T09:56:52+05:30</t>
  </si>
  <si>
    <t>2026-07-04T12:15:45+05:30</t>
  </si>
  <si>
    <t>2026-07-04T15:16:00+05:30</t>
  </si>
  <si>
    <t>rp807gf9ztrjvng@marketplace.amazon.in</t>
  </si>
  <si>
    <t>402-5717986-6445905</t>
  </si>
  <si>
    <t>T3cNqFgk4</t>
  </si>
  <si>
    <t>DYsHjD6lcs0dR</t>
  </si>
  <si>
    <t>2026-07-04T08:55:04+05:30</t>
  </si>
  <si>
    <t>2026-07-04T12:05:44+05:30</t>
  </si>
  <si>
    <t>2026-07-04T15:05:55+05:30</t>
  </si>
  <si>
    <t>vdbqyv2rkzknth1@marketplace.amazon.in</t>
  </si>
  <si>
    <t>Nuzvid</t>
  </si>
  <si>
    <t>406-9120874-0532354</t>
  </si>
  <si>
    <t>TXTz0WBs4</t>
  </si>
  <si>
    <t>DlnzjL6ccy00R</t>
  </si>
  <si>
    <t>2026-07-03T20:29:57+05:30</t>
  </si>
  <si>
    <t>2026-07-04T12:02:03+05:30</t>
  </si>
  <si>
    <t>2026-07-04T15:02:20+05:30</t>
  </si>
  <si>
    <t>jnjb7p6ctp1m6vt@marketplace.amazon.in</t>
  </si>
  <si>
    <t>KAHALGAON</t>
  </si>
  <si>
    <t>171-5311666-6024338</t>
  </si>
  <si>
    <t>T3GdhwgW4</t>
  </si>
  <si>
    <t>D9N4qW6Ycg0RR</t>
  </si>
  <si>
    <t>2026-07-04T08:55:47+05:30</t>
  </si>
  <si>
    <t>2026-07-04T11:39:55+05:30</t>
  </si>
  <si>
    <t>2026-07-04T11:40:04+05:30</t>
  </si>
  <si>
    <t>s3fkptnjplnltrj@marketplace.amazon.in</t>
  </si>
  <si>
    <t>406-4341154-2090709</t>
  </si>
  <si>
    <t>TG8sXKgc4</t>
  </si>
  <si>
    <t>Dq7xqG6Cch0HR</t>
  </si>
  <si>
    <t>2026-07-04T07:58:21+05:30</t>
  </si>
  <si>
    <t>2026-07-04T11:36:47+05:30</t>
  </si>
  <si>
    <t>2026-07-04T11:36:51+05:30</t>
  </si>
  <si>
    <t>2026-07-04T12:37:06+05:30</t>
  </si>
  <si>
    <t>j5b0hcsbl9qrphf@marketplace.amazon.in</t>
  </si>
  <si>
    <t>Deoria</t>
  </si>
  <si>
    <t>407-7432413-0673918</t>
  </si>
  <si>
    <t>T3Lq8JgS4</t>
  </si>
  <si>
    <t>DL6JqW6CcM0zR</t>
  </si>
  <si>
    <t>2026-07-04T07:56:01+05:30</t>
  </si>
  <si>
    <t>2026-07-04T11:34:46+05:30</t>
  </si>
  <si>
    <t>2026-07-04T11:34:51+05:30</t>
  </si>
  <si>
    <t>2026-07-04T12:35:05+05:30</t>
  </si>
  <si>
    <t>m70cyqf99ylv9f0@marketplace.amazon.in</t>
  </si>
  <si>
    <t>405-9844966-9331520</t>
  </si>
  <si>
    <t>TGkj91884</t>
  </si>
  <si>
    <t>DfLTqz6Fc00jR</t>
  </si>
  <si>
    <t>2026-07-04T10:00:56+05:30</t>
  </si>
  <si>
    <t>2026-07-04T11:30:44+05:30</t>
  </si>
  <si>
    <t>2026-07-04T14:30:57+05:30</t>
  </si>
  <si>
    <t>rd4c6xpxpsk3rl6@marketplace.amazon.in</t>
  </si>
  <si>
    <t>403-6288320-7375524</t>
  </si>
  <si>
    <t>TXSTgLgw4</t>
  </si>
  <si>
    <t>DjHBqD62cs0MR</t>
  </si>
  <si>
    <t>2026-07-04T08:37:37+05:30</t>
  </si>
  <si>
    <t>2026-07-04T11:30:40+05:30</t>
  </si>
  <si>
    <t>2026-07-04T12:30:55+05:30</t>
  </si>
  <si>
    <t>k6hybqg2vvwjpnf@marketplace.amazon.in</t>
  </si>
  <si>
    <t>403-8566193-1547509</t>
  </si>
  <si>
    <t>TgPsb98l4</t>
  </si>
  <si>
    <t>DkJNqJ6JcP0lR</t>
  </si>
  <si>
    <t>2026-07-04T10:03:44+05:30</t>
  </si>
  <si>
    <t>2026-07-04T11:29:41+05:30</t>
  </si>
  <si>
    <t>2026-07-04T14:29:52+05:30</t>
  </si>
  <si>
    <t>0jfn1fqs37ph7k4@marketplace.amazon.in</t>
  </si>
  <si>
    <t>407-8550221-4052326</t>
  </si>
  <si>
    <t>TGbcwXgq4</t>
  </si>
  <si>
    <t>D87Z5z6Ycp08R</t>
  </si>
  <si>
    <t>2026-07-04T00:03:52+05:30</t>
  </si>
  <si>
    <t>2026-07-04T11:20:46+05:30</t>
  </si>
  <si>
    <t>2026-07-04T11:20:50+05:30</t>
  </si>
  <si>
    <t>2026-07-04T12:21:04+05:30</t>
  </si>
  <si>
    <t>mvjgwykm0y0y9g9@marketplace.amazon.in</t>
  </si>
  <si>
    <t>171-7002461-8547555</t>
  </si>
  <si>
    <t>TcT7mVgn4</t>
  </si>
  <si>
    <t>D2cN5p6TcP05R</t>
  </si>
  <si>
    <t>2026-07-04T06:58:19+05:30</t>
  </si>
  <si>
    <t>2026-07-04T11:13:41+05:30</t>
  </si>
  <si>
    <t>2026-07-04T11:13:44+05:30</t>
  </si>
  <si>
    <t>2026-07-04T12:13:57+05:30</t>
  </si>
  <si>
    <t>zwnxpzg60c03rhy@marketplace.amazon.in</t>
  </si>
  <si>
    <t>CHERTHALA</t>
  </si>
  <si>
    <t>402-5795833-5514749</t>
  </si>
  <si>
    <t>T1XQ5Gg04</t>
  </si>
  <si>
    <t>DrG25W6Fcl0bR</t>
  </si>
  <si>
    <t>2026-07-04T08:33:37+05:30</t>
  </si>
  <si>
    <t>2026-07-04T11:11:50+05:30</t>
  </si>
  <si>
    <t>2026-07-04T14:12:09+05:30</t>
  </si>
  <si>
    <t>pb15w9v96zqkt8x@marketplace.amazon.in</t>
  </si>
  <si>
    <t>405-2598670-1519549</t>
  </si>
  <si>
    <t>TJVZBrg44</t>
  </si>
  <si>
    <t>DLr95z6Tcy0dR</t>
  </si>
  <si>
    <t>2026-07-03T23:42:08+05:30</t>
  </si>
  <si>
    <t>2026-07-04T11:11:44+05:30</t>
  </si>
  <si>
    <t>2026-07-04T14:11:56+05:30</t>
  </si>
  <si>
    <t>znzlvjpqdf20hzc@marketplace.amazon.in</t>
  </si>
  <si>
    <t>408-7297424-0349154</t>
  </si>
  <si>
    <t>T1kvwrgw4</t>
  </si>
  <si>
    <t>D6rq5B6FcV0XR</t>
  </si>
  <si>
    <t>2026-07-03T20:45:24+05:30</t>
  </si>
  <si>
    <t>2026-07-04T11:09:54+05:30</t>
  </si>
  <si>
    <t>2026-07-04T14:10:24+05:30</t>
  </si>
  <si>
    <t>9rvhrc8w5bqfh8p@marketplace.amazon.in</t>
  </si>
  <si>
    <t>Thiruvalla</t>
  </si>
  <si>
    <t>407-8159454-0846729</t>
  </si>
  <si>
    <t>TNJ55Bgc4</t>
  </si>
  <si>
    <t>Dr2xgQ64cV0KR</t>
  </si>
  <si>
    <t>2026-07-04T08:02:34+05:30</t>
  </si>
  <si>
    <t>2026-07-04T11:00:43+05:30</t>
  </si>
  <si>
    <t>7zpklx9wmkbwg2y@marketplace.amazon.in</t>
  </si>
  <si>
    <t>407-2418028-7265921</t>
  </si>
  <si>
    <t>TNp3j3gj4</t>
  </si>
  <si>
    <t>DCSf8r6qcF04R</t>
  </si>
  <si>
    <t>2026-07-04T09:14:13+05:30</t>
  </si>
  <si>
    <t>2026-07-04T10:51:40+05:30</t>
  </si>
  <si>
    <t>2026-07-04T13:51:51+05:30</t>
  </si>
  <si>
    <t>2md7tc1zfdh3zdk@marketplace.amazon.in</t>
  </si>
  <si>
    <t>FARRUKHABAD</t>
  </si>
  <si>
    <t>403-1627474-1529147</t>
  </si>
  <si>
    <t>TCdPcKB04</t>
  </si>
  <si>
    <t>D6Ss8n61cF04R</t>
  </si>
  <si>
    <t>2026-07-03T16:27:31+05:30</t>
  </si>
  <si>
    <t>2026-07-04T10:48:50+05:30</t>
  </si>
  <si>
    <t>2026-07-04T13:49:05+05:30</t>
  </si>
  <si>
    <t>w6k78bs26mp9ndt@marketplace.amazon.in</t>
  </si>
  <si>
    <t>District - khagaria gram+post mahaddipur</t>
  </si>
  <si>
    <t>405-0017678-1575500</t>
  </si>
  <si>
    <t>Tw7cWygk4</t>
  </si>
  <si>
    <t>DbMp8S6FcC0mR</t>
  </si>
  <si>
    <t>2026-07-04T07:25:51+05:30</t>
  </si>
  <si>
    <t>2026-07-04T10:47:41+05:30</t>
  </si>
  <si>
    <t>2026-07-04T10:47:45+05:30</t>
  </si>
  <si>
    <t>2026-07-04T11:47:57+05:30</t>
  </si>
  <si>
    <t>dhwsp5kgy468367@marketplace.amazon.in</t>
  </si>
  <si>
    <t>403-8746361-6425962</t>
  </si>
  <si>
    <t>TNlRgkg54</t>
  </si>
  <si>
    <t>DQRX8s6vcT00R</t>
  </si>
  <si>
    <t>2026-07-04T08:46:57+05:30</t>
  </si>
  <si>
    <t>2026-07-04T10:37:42+05:30</t>
  </si>
  <si>
    <t>2026-07-04T10:37:45+05:30</t>
  </si>
  <si>
    <t>2026-07-04T11:37:58+05:30</t>
  </si>
  <si>
    <t>78fn69mtdklbypp@marketplace.amazon.in</t>
  </si>
  <si>
    <t>406-9352342-7375562</t>
  </si>
  <si>
    <t>TNz0kTgl4</t>
  </si>
  <si>
    <t>D8x88p6Fc70DR</t>
  </si>
  <si>
    <t>2026-07-04T00:18:22+05:30</t>
  </si>
  <si>
    <t>2026-07-04T10:34:46+05:30</t>
  </si>
  <si>
    <t>2026-07-04T13:34:58+05:30</t>
  </si>
  <si>
    <t>wllgxmqzynkq2c1@marketplace.amazon.in</t>
  </si>
  <si>
    <t>405-2005102-9935556</t>
  </si>
  <si>
    <t>TXFDJdgT4</t>
  </si>
  <si>
    <t>Dl4WXv6BcF00R</t>
  </si>
  <si>
    <t>2026-07-04T04:59:14+05:30</t>
  </si>
  <si>
    <t>2026-07-04T10:31:48+05:30</t>
  </si>
  <si>
    <t>2026-07-04T13:35:47+05:30</t>
  </si>
  <si>
    <t>1vxvnzhzhcr3nhv@marketplace.amazon.in</t>
  </si>
  <si>
    <t>405-3868252-2433920</t>
  </si>
  <si>
    <t>TGbNFVgg4</t>
  </si>
  <si>
    <t>D5yBXR6rcj0tR</t>
  </si>
  <si>
    <t>2026-07-04T00:40:36+05:30</t>
  </si>
  <si>
    <t>2026-07-04T10:31:47+05:30</t>
  </si>
  <si>
    <t>2026-07-04T13:32:02+05:30</t>
  </si>
  <si>
    <t>zptww76ns1k35b7@marketplace.amazon.in</t>
  </si>
  <si>
    <t>RIICO INDUSTRIAL AREA PALSANA</t>
  </si>
  <si>
    <t>404-6119312-6933116</t>
  </si>
  <si>
    <t>TXjcbBg04</t>
  </si>
  <si>
    <t>DfmbXR6Kc00BR</t>
  </si>
  <si>
    <t>2026-07-03T21:38:37+05:30</t>
  </si>
  <si>
    <t>2026-07-04T10:28:43+05:30</t>
  </si>
  <si>
    <t>2026-07-04T10:28:47+05:30</t>
  </si>
  <si>
    <t>2026-07-04T11:28:59+05:30</t>
  </si>
  <si>
    <t>072k1cpfmv315k0@marketplace.amazon.in</t>
  </si>
  <si>
    <t>171-0220619-3798706</t>
  </si>
  <si>
    <t>T65mXMgW4</t>
  </si>
  <si>
    <t>DFH8XV6dcx0wR</t>
  </si>
  <si>
    <t>2026-07-04T07:48:56+05:30</t>
  </si>
  <si>
    <t>2026-07-04T10:25:42+05:30</t>
  </si>
  <si>
    <t>2026-07-04T13:25:57+05:30</t>
  </si>
  <si>
    <t>8575zl03mqchpj2@marketplace.amazon.in</t>
  </si>
  <si>
    <t>407-0970781-5759553</t>
  </si>
  <si>
    <t>TVt089gm4</t>
  </si>
  <si>
    <t>DTYvXl6ncZ0VR</t>
  </si>
  <si>
    <t>2026-07-04T08:51:03+05:30</t>
  </si>
  <si>
    <t>2026-07-04T10:24:47+05:30</t>
  </si>
  <si>
    <t>2026-07-04T13:24:58+05:30</t>
  </si>
  <si>
    <t>w3z7qz2zrpq6wrq@marketplace.amazon.in</t>
  </si>
  <si>
    <t>405-5588212-3065142</t>
  </si>
  <si>
    <t>T6hLgXgC4</t>
  </si>
  <si>
    <t>DRY7Cf6JcR0kR</t>
  </si>
  <si>
    <t>2026-07-04T08:09:35+05:30</t>
  </si>
  <si>
    <t>2026-07-04T10:05:44+05:30</t>
  </si>
  <si>
    <t>2026-07-04T13:05:56+05:30</t>
  </si>
  <si>
    <t>51fx2snw331sppj@marketplace.amazon.in</t>
  </si>
  <si>
    <t>402-8499733-5823518</t>
  </si>
  <si>
    <t>TwKs59gr4</t>
  </si>
  <si>
    <t>DSj5pT6scb0rR</t>
  </si>
  <si>
    <t>2026-07-04T08:39:41+05:30</t>
  </si>
  <si>
    <t>2026-07-04T09:57:40+05:30</t>
  </si>
  <si>
    <t>2026-07-04T09:57:43+05:30</t>
  </si>
  <si>
    <t>2026-07-04T10:57:57+05:30</t>
  </si>
  <si>
    <t>trc748pxpk4hjhs@marketplace.amazon.in</t>
  </si>
  <si>
    <t>405-7072540-1620361</t>
  </si>
  <si>
    <t>T6lZXDgY4</t>
  </si>
  <si>
    <t>DpJ3pY6Zcm0zR</t>
  </si>
  <si>
    <t>2026-07-04T07:48:33+05:30</t>
  </si>
  <si>
    <t>2026-07-04T09:48:47+05:30</t>
  </si>
  <si>
    <t>2026-07-04T12:49:02+05:30</t>
  </si>
  <si>
    <t>2rk08hn1hfpwpgr@marketplace.amazon.in</t>
  </si>
  <si>
    <t>407-2950540-4773938</t>
  </si>
  <si>
    <t>T3xhVDgN4</t>
  </si>
  <si>
    <t>DGV1WF6wcz0KR</t>
  </si>
  <si>
    <t>2026-07-04T00:41:04+05:30</t>
  </si>
  <si>
    <t>2026-07-04T09:33:46+05:30</t>
  </si>
  <si>
    <t>2026-07-04T12:33:57+05:30</t>
  </si>
  <si>
    <t>tdzvnfzlfvl3nj9@marketplace.amazon.in</t>
  </si>
  <si>
    <t>406-5624089-9363537</t>
  </si>
  <si>
    <t>TXCTNfg34</t>
  </si>
  <si>
    <t>D1YBWk6Lcz0pR</t>
  </si>
  <si>
    <t>2026-07-03T21:47:21+05:30</t>
  </si>
  <si>
    <t>2026-07-04T09:31:47+05:30</t>
  </si>
  <si>
    <t>2026-07-04T12:32:01+05:30</t>
  </si>
  <si>
    <t>631zktlzvgnqcs3@marketplace.amazon.in</t>
  </si>
  <si>
    <t>405-4772009-3046726</t>
  </si>
  <si>
    <t>TwV1GPVm4</t>
  </si>
  <si>
    <t>DFsZW66vcc0TR</t>
  </si>
  <si>
    <t>2026-07-02T14:30:09+05:30</t>
  </si>
  <si>
    <t>2026-07-04T09:28:45+05:30</t>
  </si>
  <si>
    <t>2026-07-04T12:29:00+05:30</t>
  </si>
  <si>
    <t>gzwb96506f6fpvl@marketplace.amazon.in</t>
  </si>
  <si>
    <t>Kotkasim</t>
  </si>
  <si>
    <t>D2sTW66vcc0TR</t>
  </si>
  <si>
    <t>403-7608743-0331549</t>
  </si>
  <si>
    <t>Tg5dvCgm4</t>
  </si>
  <si>
    <t>D4NlKw6Wct04R</t>
  </si>
  <si>
    <t>2026-07-04T01:10:51+05:30</t>
  </si>
  <si>
    <t>2026-07-04T09:23:50+05:30</t>
  </si>
  <si>
    <t>2026-07-04T09:23:55+05:30</t>
  </si>
  <si>
    <t>2026-07-04T10:28:29+05:30</t>
  </si>
  <si>
    <t>5pq8kdc82vg51lr@marketplace.amazon.in</t>
  </si>
  <si>
    <t>402-2810413-6895500</t>
  </si>
  <si>
    <t>TXvyDqgx4</t>
  </si>
  <si>
    <t>DNqMKF69cM0BR</t>
  </si>
  <si>
    <t>2026-07-04T00:50:27+05:30</t>
  </si>
  <si>
    <t>2026-07-04T09:09:44+05:30</t>
  </si>
  <si>
    <t>2026-07-04T12:09:55+05:30</t>
  </si>
  <si>
    <t>mykfv74knxmswnh@marketplace.amazon.in</t>
  </si>
  <si>
    <t>406-8200965-8871556</t>
  </si>
  <si>
    <t>TGzzwFgC4</t>
  </si>
  <si>
    <t>DS42ml68cK07R</t>
  </si>
  <si>
    <t>2026-07-03T23:43:58+05:30</t>
  </si>
  <si>
    <t>2026-07-04T09:08:41+05:30</t>
  </si>
  <si>
    <t>2026-07-04T12:08:52+05:30</t>
  </si>
  <si>
    <t>x31hqt8w3xx9f26@marketplace.amazon.in</t>
  </si>
  <si>
    <t>406-9053302-0976329</t>
  </si>
  <si>
    <t>Tw7SNxg14</t>
  </si>
  <si>
    <t>D8bFmC6hcz0SR</t>
  </si>
  <si>
    <t>2026-07-03T22:29:57+05:30</t>
  </si>
  <si>
    <t>2026-07-04T08:59:46+05:30</t>
  </si>
  <si>
    <t>2026-07-04T12:00:02+05:30</t>
  </si>
  <si>
    <t>yjgvssmhs594ztw@marketplace.amazon.in</t>
  </si>
  <si>
    <t>405-8883950-4923555</t>
  </si>
  <si>
    <t>Tn1xF8BR4</t>
  </si>
  <si>
    <t>DggV1G60cy0tR</t>
  </si>
  <si>
    <t>2026-07-01T12:00:37+05:30</t>
  </si>
  <si>
    <t>2026-07-04T04:46:42+05:30</t>
  </si>
  <si>
    <t>2026-07-04T07:46:58+05:30</t>
  </si>
  <si>
    <t>d2p3f5vvqht1qx9@marketplace.amazon.in</t>
  </si>
  <si>
    <t>402-6535222-2281919</t>
  </si>
  <si>
    <t>TJNYp72Q4</t>
  </si>
  <si>
    <t>Db2P1T67c90nR</t>
  </si>
  <si>
    <t>2026-07-02T21:42:42+05:30</t>
  </si>
  <si>
    <t>2026-07-04T04:44:47+05:30</t>
  </si>
  <si>
    <t>2026-07-04T07:45:03+05:30</t>
  </si>
  <si>
    <t>1jp324v5462pfcg@marketplace.amazon.in</t>
  </si>
  <si>
    <t>Dl2D1T67c90nR</t>
  </si>
  <si>
    <t>D9WJ1h6dc607R</t>
  </si>
  <si>
    <t>D0W91h6dc607R</t>
  </si>
  <si>
    <t>406-1717736-9221139</t>
  </si>
  <si>
    <t>Tgmd3HB94</t>
  </si>
  <si>
    <t>DhqVrx6JcY0JR</t>
  </si>
  <si>
    <t>2026-07-03T17:03:01+05:30</t>
  </si>
  <si>
    <t>2026-07-04T04:20:57+05:30</t>
  </si>
  <si>
    <t>2026-07-04T07:21:10+05:30</t>
  </si>
  <si>
    <t>ccqcshk8qqt0w4z@marketplace.amazon.in</t>
  </si>
  <si>
    <t>Sindhanur</t>
  </si>
  <si>
    <t>171-7427911-9805960</t>
  </si>
  <si>
    <t>TGXTyfgx4</t>
  </si>
  <si>
    <t>D7gK7M64cM0sR</t>
  </si>
  <si>
    <t>2026-07-04T00:27:42+05:30</t>
  </si>
  <si>
    <t>2026-07-04T04:13:48+05:30</t>
  </si>
  <si>
    <t>2026-07-04T04:13:53+05:30</t>
  </si>
  <si>
    <t>2026-07-04T05:14:16+05:30</t>
  </si>
  <si>
    <t>2zmxwvhvrztb1b4@marketplace.amazon.in</t>
  </si>
  <si>
    <t>408-2315118-3981108</t>
  </si>
  <si>
    <t>TJSG4bgd4</t>
  </si>
  <si>
    <t>Dczx756Vc60DR</t>
  </si>
  <si>
    <t>2026-07-03T23:28:49+05:30</t>
  </si>
  <si>
    <t>2026-07-04T04:06:46+05:30</t>
  </si>
  <si>
    <t>2026-07-04T07:06:58+05:30</t>
  </si>
  <si>
    <t>vp3tnxs64n37g2x@marketplace.amazon.in</t>
  </si>
  <si>
    <t>402-7103312-4323510</t>
  </si>
  <si>
    <t>TNZLvggh4</t>
  </si>
  <si>
    <t>DFz37662c60DR</t>
  </si>
  <si>
    <t>2026-07-04T01:09:16+05:30</t>
  </si>
  <si>
    <t>2026-07-04T04:06:41+05:30</t>
  </si>
  <si>
    <t>2026-07-04T04:06:44+05:30</t>
  </si>
  <si>
    <t>2026-07-04T05:06:59+05:30</t>
  </si>
  <si>
    <t>3vvyr56969d0qjp@marketplace.amazon.in</t>
  </si>
  <si>
    <t>408-5289760-2879525</t>
  </si>
  <si>
    <t>T3vBLyg54</t>
  </si>
  <si>
    <t>DlXmLd6Tcb05R</t>
  </si>
  <si>
    <t>2026-07-04T01:50:34+05:30</t>
  </si>
  <si>
    <t>2026-07-04T03:58:42+05:30</t>
  </si>
  <si>
    <t>2026-07-04T03:58:44+05:30</t>
  </si>
  <si>
    <t>2026-07-04T04:58:57+05:30</t>
  </si>
  <si>
    <t>hx64q8pfh5l4zs9@marketplace.amazon.in</t>
  </si>
  <si>
    <t>406-0655367-5832301</t>
  </si>
  <si>
    <t>TNv9qhVR4</t>
  </si>
  <si>
    <t>DHMmLX61cW07R</t>
  </si>
  <si>
    <t>2026-07-02T12:25:05+05:30</t>
  </si>
  <si>
    <t>2026-07-04T03:56:44+05:30</t>
  </si>
  <si>
    <t>2026-07-04T06:56:57+05:30</t>
  </si>
  <si>
    <t>t9p53xm1p21bgxf@marketplace.amazon.in</t>
  </si>
  <si>
    <t>402-7211312-7981936</t>
  </si>
  <si>
    <t>T3r711B24</t>
  </si>
  <si>
    <t>DDztL66ncG0dR</t>
  </si>
  <si>
    <t>2026-07-03T17:32:26+05:30</t>
  </si>
  <si>
    <t>2026-07-04T03:50:54+05:30</t>
  </si>
  <si>
    <t>2026-07-04T06:51:05+05:30</t>
  </si>
  <si>
    <t>9zpsrpfh531f1xl@marketplace.amazon.in</t>
  </si>
  <si>
    <t>Perambalur</t>
  </si>
  <si>
    <t>408-2447549-1573123</t>
  </si>
  <si>
    <t>TVkmzpB14</t>
  </si>
  <si>
    <t>D4t2sC6Dc20sR</t>
  </si>
  <si>
    <t>2026-07-03T16:45:10+05:30</t>
  </si>
  <si>
    <t>2026-07-04T03:33:45+05:30</t>
  </si>
  <si>
    <t>2026-07-04T06:33:58+05:30</t>
  </si>
  <si>
    <t>v9gqzkw2l0gvmmg@marketplace.amazon.in</t>
  </si>
  <si>
    <t>DqLwsP6KcK0XR</t>
  </si>
  <si>
    <t>DkLWsK6mcK0XR</t>
  </si>
  <si>
    <t>171-8241459-7725948</t>
  </si>
  <si>
    <t>TX8pG1M14</t>
  </si>
  <si>
    <t>DF3DQh69cT0CR</t>
  </si>
  <si>
    <t>2026-07-03T08:25:51+05:30</t>
  </si>
  <si>
    <t>2026-07-04T03:24:49+05:30</t>
  </si>
  <si>
    <t>2026-07-04T06:25:00+05:30</t>
  </si>
  <si>
    <t>kxq42pcx8mx70dc@marketplace.amazon.in</t>
  </si>
  <si>
    <t>171-3193814-0034763</t>
  </si>
  <si>
    <t>T18rG1M14</t>
  </si>
  <si>
    <t>Dp3tQh69cT0CR</t>
  </si>
  <si>
    <t>2026-07-03T08:23:29+05:30</t>
  </si>
  <si>
    <t>2026-07-04T03:24:45+05:30</t>
  </si>
  <si>
    <t>2026-07-04T06:24:55+05:30</t>
  </si>
  <si>
    <t>DpmjQb6bcY0bR</t>
  </si>
  <si>
    <t>408-1005039-2962709</t>
  </si>
  <si>
    <t>Tcfb7QBj4</t>
  </si>
  <si>
    <t>DJmzQd6KcC0bR</t>
  </si>
  <si>
    <t>2026-07-03T18:12:15+05:30</t>
  </si>
  <si>
    <t>2026-07-04T03:21:42+05:30</t>
  </si>
  <si>
    <t>2026-07-04T06:21:54+05:30</t>
  </si>
  <si>
    <t>bm135wzdrfr40vj@marketplace.amazon.in</t>
  </si>
  <si>
    <t>DNmqQr6KcC0bR</t>
  </si>
  <si>
    <t>171-4771535-3209105</t>
  </si>
  <si>
    <t>TVV55WBw4</t>
  </si>
  <si>
    <t>DVZnQz6XcF01R</t>
  </si>
  <si>
    <t>2026-07-03T21:32:08+05:30</t>
  </si>
  <si>
    <t>2026-07-04T03:16:42+05:30</t>
  </si>
  <si>
    <t>2026-07-04T06:16:52+05:30</t>
  </si>
  <si>
    <t>msb7swg5txm0590@marketplace.amazon.in</t>
  </si>
  <si>
    <t>407-5175130-4543522</t>
  </si>
  <si>
    <t>T6FQzRgH4</t>
  </si>
  <si>
    <t>DL0bQ06LcV0LR</t>
  </si>
  <si>
    <t>2026-07-04T00:49:12+05:30</t>
  </si>
  <si>
    <t>2026-07-04T03:14:40+05:30</t>
  </si>
  <si>
    <t>2026-07-04T03:14:44+05:30</t>
  </si>
  <si>
    <t>2026-07-04T04:14:56+05:30</t>
  </si>
  <si>
    <t>kh29r160nsjpcc1@marketplace.amazon.in</t>
  </si>
  <si>
    <t>403-8760476-1775518</t>
  </si>
  <si>
    <t>TCV6v3Bl4</t>
  </si>
  <si>
    <t>D7PmQz6fcN08R</t>
  </si>
  <si>
    <t>2026-07-03T16:58:52+05:30</t>
  </si>
  <si>
    <t>2026-07-04T03:08:44+05:30</t>
  </si>
  <si>
    <t>2026-07-04T03:08:48+05:30</t>
  </si>
  <si>
    <t>2026-07-04T04:09:05+05:30</t>
  </si>
  <si>
    <t>1cqxv9gf4p9m29x@marketplace.amazon.in</t>
  </si>
  <si>
    <t>406-5366388-2655510</t>
  </si>
  <si>
    <t>TwCbgy2Q4</t>
  </si>
  <si>
    <t>DpDmc26Xcq0hR</t>
  </si>
  <si>
    <t>2026-07-02T23:28:19+05:30</t>
  </si>
  <si>
    <t>2026-07-04T03:05:52+05:30</t>
  </si>
  <si>
    <t>2026-07-04T06:06:07+05:30</t>
  </si>
  <si>
    <t>c7s85tmqvj8v057@marketplace.amazon.in</t>
  </si>
  <si>
    <t>406-9007496-2284343</t>
  </si>
  <si>
    <t>TGkKBSgw4</t>
  </si>
  <si>
    <t>DlpTcs6fc60GR</t>
  </si>
  <si>
    <t>2026-07-04T00:05:23+05:30</t>
  </si>
  <si>
    <t>2026-07-04T02:55:41+05:30</t>
  </si>
  <si>
    <t>2026-07-04T02:55:45+05:30</t>
  </si>
  <si>
    <t>2026-07-04T03:55:57+05:30</t>
  </si>
  <si>
    <t>l5cbthvkmgprk1x@marketplace.amazon.in</t>
  </si>
  <si>
    <t>404-4544278-7601122</t>
  </si>
  <si>
    <t>TN2FbFg44</t>
  </si>
  <si>
    <t>Dpq8cp6ncH01R</t>
  </si>
  <si>
    <t>2026-07-03T22:47:46+05:30</t>
  </si>
  <si>
    <t>2026-07-04T02:50:43+05:30</t>
  </si>
  <si>
    <t>2026-07-04T02:50:46+05:30</t>
  </si>
  <si>
    <t>2026-07-04T03:51:05+05:30</t>
  </si>
  <si>
    <t>lbwd0lrpnzldz6g@marketplace.amazon.in</t>
  </si>
  <si>
    <t>405-0617014-0901942</t>
  </si>
  <si>
    <t>Tg7JJwBN4</t>
  </si>
  <si>
    <t>DD0Wvr67c50VR</t>
  </si>
  <si>
    <t>2026-07-03T19:22:09+05:30</t>
  </si>
  <si>
    <t>2026-07-04T02:38:44+05:30</t>
  </si>
  <si>
    <t>2026-07-04T05:38:55+05:30</t>
  </si>
  <si>
    <t>76vylxf5jb7jjgp@marketplace.amazon.in</t>
  </si>
  <si>
    <t>407-2275187-5872315</t>
  </si>
  <si>
    <t>T1pv9dBF4</t>
  </si>
  <si>
    <t>Dz5Rzl6NcD0PR</t>
  </si>
  <si>
    <t>2026-07-03T15:04:38+05:30</t>
  </si>
  <si>
    <t>2026-07-04T02:32:47+05:30</t>
  </si>
  <si>
    <t>2026-07-04T05:32:58+05:30</t>
  </si>
  <si>
    <t>94nqgtfyywcrgf3@marketplace.amazon.in</t>
  </si>
  <si>
    <t>Dhone</t>
  </si>
  <si>
    <t>403-6897720-4382730</t>
  </si>
  <si>
    <t>Tny1tX264</t>
  </si>
  <si>
    <t>DvR7z268cV00R</t>
  </si>
  <si>
    <t>2026-07-02T17:26:18+05:30</t>
  </si>
  <si>
    <t>2026-07-04T02:20:40+05:30</t>
  </si>
  <si>
    <t>2026-07-04T02:20:44+05:30</t>
  </si>
  <si>
    <t>2026-07-04T03:20:58+05:30</t>
  </si>
  <si>
    <t>30rl8916p6kbllm@marketplace.amazon.in</t>
  </si>
  <si>
    <t>405-7503476-8802710</t>
  </si>
  <si>
    <t>TCbHGDBR4</t>
  </si>
  <si>
    <t>D9m3VK6WcB00R</t>
  </si>
  <si>
    <t>2026-07-03T19:00:39+05:30</t>
  </si>
  <si>
    <t>2026-07-04T02:12:42+05:30</t>
  </si>
  <si>
    <t>2026-07-04T05:12:54+05:30</t>
  </si>
  <si>
    <t>nm2wf0yzy839nrk@marketplace.amazon.in</t>
  </si>
  <si>
    <t>407-2800978-4346707</t>
  </si>
  <si>
    <t>TnzB5rB84</t>
  </si>
  <si>
    <t>DRJDVB6Zc002R</t>
  </si>
  <si>
    <t>2026-07-03T12:06:51+05:30</t>
  </si>
  <si>
    <t>2026-07-04T02:03:44+05:30</t>
  </si>
  <si>
    <t>2026-07-04T05:03:56+05:30</t>
  </si>
  <si>
    <t>9pf3lthg5l3p8nt@marketplace.amazon.in</t>
  </si>
  <si>
    <t>404-6382200-9611537</t>
  </si>
  <si>
    <t>TgmT95Br4</t>
  </si>
  <si>
    <t>DLsKV56qcc03R</t>
  </si>
  <si>
    <t>2026-07-03T14:34:56+05:30</t>
  </si>
  <si>
    <t>2026-07-04T05:03:55+05:30</t>
  </si>
  <si>
    <t>31cng0v96332swy@marketplace.amazon.in</t>
  </si>
  <si>
    <t>403-0677587-9541949</t>
  </si>
  <si>
    <t>T126yCMG4</t>
  </si>
  <si>
    <t>Dz4C2K6wc40sR</t>
  </si>
  <si>
    <t>2026-07-03T01:54:38+05:30</t>
  </si>
  <si>
    <t>2026-07-04T01:58:44+05:30</t>
  </si>
  <si>
    <t>ykl61cslbmmk56p@marketplace.amazon.in</t>
  </si>
  <si>
    <t>408-8138353-7292332</t>
  </si>
  <si>
    <t>TJ4r0NBH4</t>
  </si>
  <si>
    <t>DdSLFj60cw0yR</t>
  </si>
  <si>
    <t>2026-07-03T20:40:53+05:30</t>
  </si>
  <si>
    <t>2026-07-04T01:47:43+05:30</t>
  </si>
  <si>
    <t>2026-07-04T04:47:55+05:30</t>
  </si>
  <si>
    <t>lpdrf8tk8y47bw2@marketplace.amazon.in</t>
  </si>
  <si>
    <t>AM005653494IN</t>
  </si>
  <si>
    <t>403-2293194-7264362</t>
  </si>
  <si>
    <t>TwRcksBd4</t>
  </si>
  <si>
    <t>Dy4LFn6Qcf0KR</t>
  </si>
  <si>
    <t>2026-07-03T13:31:44+05:30</t>
  </si>
  <si>
    <t>2026-07-04T01:42:49+05:30</t>
  </si>
  <si>
    <t>2026-07-04T04:43:02+05:30</t>
  </si>
  <si>
    <t>860k57211sktwb9@marketplace.amazon.in</t>
  </si>
  <si>
    <t>DM4NFn6Qcf0KR</t>
  </si>
  <si>
    <t>405-9929362-6642742</t>
  </si>
  <si>
    <t>TcBjltMh4</t>
  </si>
  <si>
    <t>DFv1Fr62c10FR</t>
  </si>
  <si>
    <t>2026-07-03T10:46:41+05:30</t>
  </si>
  <si>
    <t>2026-07-04T01:40:44+05:30</t>
  </si>
  <si>
    <t>2026-07-04T04:40:57+05:30</t>
  </si>
  <si>
    <t>hn4n95kl8sjspc0@marketplace.amazon.in</t>
  </si>
  <si>
    <t>403-2648018-2250718</t>
  </si>
  <si>
    <t>Tndg1P2L4</t>
  </si>
  <si>
    <t>DrRRYR6PcT0sR</t>
  </si>
  <si>
    <t>2026-07-02T18:44:10+05:30</t>
  </si>
  <si>
    <t>2026-07-04T00:58:51+05:30</t>
  </si>
  <si>
    <t>2026-07-04T03:59:06+05:30</t>
  </si>
  <si>
    <t>hy7jddmdc923jjz@marketplace.amazon.in</t>
  </si>
  <si>
    <t>404-6779018-6009934</t>
  </si>
  <si>
    <t>Tgw1XfBd4</t>
  </si>
  <si>
    <t>DxpFYm6sc40JR</t>
  </si>
  <si>
    <t>2026-07-03T17:39:45+05:30</t>
  </si>
  <si>
    <t>2026-07-04T00:57:45+05:30</t>
  </si>
  <si>
    <t>2026-07-04T03:57:57+05:30</t>
  </si>
  <si>
    <t>pbzxw7jcg2cfd3z@marketplace.amazon.in</t>
  </si>
  <si>
    <t>406-8114017-9529936</t>
  </si>
  <si>
    <t>T1xkdtM34</t>
  </si>
  <si>
    <t>DBp3Y36Ncr07R</t>
  </si>
  <si>
    <t>2026-07-03T09:08:44+05:30</t>
  </si>
  <si>
    <t>2026-07-04T00:53:44+05:30</t>
  </si>
  <si>
    <t>2026-07-04T00:53:48+05:30</t>
  </si>
  <si>
    <t>2026-07-04T01:53:57+05:30</t>
  </si>
  <si>
    <t>dzcjjlwfywnqyl3@marketplace.amazon.in</t>
  </si>
  <si>
    <t>408-5441667-7639513</t>
  </si>
  <si>
    <t>TJ7W9MM24</t>
  </si>
  <si>
    <t>DJpcYJ6Rc40JR</t>
  </si>
  <si>
    <t>2026-07-02T11:47:48+05:30</t>
  </si>
  <si>
    <t>2026-07-04T00:52:54+05:30</t>
  </si>
  <si>
    <t>2026-07-04T03:53:08+05:30</t>
  </si>
  <si>
    <t>sd0hy8wq02y6tv3@marketplace.amazon.in</t>
  </si>
  <si>
    <t>402-1672347-2196352</t>
  </si>
  <si>
    <t>TV8FtKBv4</t>
  </si>
  <si>
    <t>Dwmhym6DcH0GR</t>
  </si>
  <si>
    <t>2026-07-03T18:22:55+05:30</t>
  </si>
  <si>
    <t>2026-07-04T00:46:47+05:30</t>
  </si>
  <si>
    <t>2026-07-04T03:46:59+05:30</t>
  </si>
  <si>
    <t>f9cyfh2rcldkl8n@marketplace.amazon.in</t>
  </si>
  <si>
    <t>Madhapur,Hyderabad</t>
  </si>
  <si>
    <t>407-2032147-1100309</t>
  </si>
  <si>
    <t>TNPvZXM04</t>
  </si>
  <si>
    <t>D5wvy46qc10RR</t>
  </si>
  <si>
    <t>2026-07-03T13:40:56+05:30</t>
  </si>
  <si>
    <t>2026-07-04T00:45:43+05:30</t>
  </si>
  <si>
    <t>2026-07-04T03:45:55+05:30</t>
  </si>
  <si>
    <t>z7zzvt6zwk44mmv@marketplace.amazon.in</t>
  </si>
  <si>
    <t>408-7739518-8741161</t>
  </si>
  <si>
    <t>Tn3KsSBC4</t>
  </si>
  <si>
    <t>DR0Fyy6JcZ0CR</t>
  </si>
  <si>
    <t>2026-07-03T17:59:16+05:30</t>
  </si>
  <si>
    <t>2026-07-04T00:36:45+05:30</t>
  </si>
  <si>
    <t>2026-07-04T03:36:56+05:30</t>
  </si>
  <si>
    <t>7ch4wdwv2r5cp0q@marketplace.amazon.in</t>
  </si>
  <si>
    <t>407-4554127-8085137</t>
  </si>
  <si>
    <t>TnrcpWBv4</t>
  </si>
  <si>
    <t>DpXVwQ65c40sR</t>
  </si>
  <si>
    <t>2026-07-03T20:38:00+05:30</t>
  </si>
  <si>
    <t>2026-07-04T00:33:48+05:30</t>
  </si>
  <si>
    <t>2026-07-04T03:34:00+05:30</t>
  </si>
  <si>
    <t>bm041d6nrhrdytg@marketplace.amazon.in</t>
  </si>
  <si>
    <t>2026-07-04T08:00:00+05:30</t>
  </si>
  <si>
    <t>405-8251321-2320319</t>
  </si>
  <si>
    <t>T1nLDCBW4</t>
  </si>
  <si>
    <t>D08DwT6Bcn0PR</t>
  </si>
  <si>
    <t>2026-07-03T16:32:59+05:30</t>
  </si>
  <si>
    <t>2026-07-04T00:31:46+05:30</t>
  </si>
  <si>
    <t>2026-07-04T00:31:49+05:30</t>
  </si>
  <si>
    <t>2026-07-04T01:32:00+05:30</t>
  </si>
  <si>
    <t>sf0xhzqk7z9hqv3@marketplace.amazon.in</t>
  </si>
  <si>
    <t>408-8389591-9864356</t>
  </si>
  <si>
    <t>TVnFGpV34</t>
  </si>
  <si>
    <t>Dz1qBQ6Ncx0bR</t>
  </si>
  <si>
    <t>2026-07-02T13:58:28+05:30</t>
  </si>
  <si>
    <t>2026-07-04T00:11:45+05:30</t>
  </si>
  <si>
    <t>2026-07-04T03:11:56+05:30</t>
  </si>
  <si>
    <t>r15dftrzlth3hmv@marketplace.amazon.in</t>
  </si>
  <si>
    <t>LEHRAGAGA</t>
  </si>
  <si>
    <t>408-0145183-7419511</t>
  </si>
  <si>
    <t>T67GrcB14</t>
  </si>
  <si>
    <t>D82q9P6Vcl0TR</t>
  </si>
  <si>
    <t>2026-07-03T17:19:56+05:30</t>
  </si>
  <si>
    <t>2026-07-03T23:54:44+05:30</t>
  </si>
  <si>
    <t>2026-07-04T02:54:55+05:30</t>
  </si>
  <si>
    <t>b4sbd3kf855vwbz@marketplace.amazon.in</t>
  </si>
  <si>
    <t>404-5446732-3517115</t>
  </si>
  <si>
    <t>T3r7SbVs4</t>
  </si>
  <si>
    <t>D5z2926jc702R</t>
  </si>
  <si>
    <t>2026-07-02T12:47:11+05:30</t>
  </si>
  <si>
    <t>2026-07-03T23:48:38+05:30</t>
  </si>
  <si>
    <t>2026-07-04T02:48:46+05:30</t>
  </si>
  <si>
    <t>c05ympys5937hb7@marketplace.amazon.in</t>
  </si>
  <si>
    <t>407-8824892-3339535</t>
  </si>
  <si>
    <t>Tnv7MHBb4</t>
  </si>
  <si>
    <t>DrXC4Y68cB06R</t>
  </si>
  <si>
    <t>2026-07-03T18:52:52+05:30</t>
  </si>
  <si>
    <t>2026-07-03T23:47:14+05:30</t>
  </si>
  <si>
    <t>2026-07-04T02:47:27+05:30</t>
  </si>
  <si>
    <t>m7zslmy1gyt22p5@marketplace.amazon.in</t>
  </si>
  <si>
    <t>402-5232672-7379529</t>
  </si>
  <si>
    <t>TnYgW8Bc4</t>
  </si>
  <si>
    <t>DpX04k6Dcg06R</t>
  </si>
  <si>
    <t>2026-07-03T20:23:25+05:30</t>
  </si>
  <si>
    <t>2026-07-03T23:46:45+05:30</t>
  </si>
  <si>
    <t>2026-07-03T23:46:49+05:30</t>
  </si>
  <si>
    <t>2026-07-04T00:47:04+05:30</t>
  </si>
  <si>
    <t>405-8775490-1902769</t>
  </si>
  <si>
    <t>TVgLLzBm4</t>
  </si>
  <si>
    <t>DJLG446gcv0rR</t>
  </si>
  <si>
    <t>2026-07-03T19:07:05+05:30</t>
  </si>
  <si>
    <t>2026-07-03T23:32:42+05:30</t>
  </si>
  <si>
    <t>2026-07-04T02:32:55+05:30</t>
  </si>
  <si>
    <t>f5fzpx08516w83h@marketplace.amazon.in</t>
  </si>
  <si>
    <t>DNLF446gcv0rR</t>
  </si>
  <si>
    <t>403-4163803-1391535</t>
  </si>
  <si>
    <t>TVwvX1Ml4</t>
  </si>
  <si>
    <t>D1CX4c6gcH0tR</t>
  </si>
  <si>
    <t>2026-07-03T13:50:37+05:30</t>
  </si>
  <si>
    <t>2026-07-03T23:31:43+05:30</t>
  </si>
  <si>
    <t>2026-07-04T02:31:58+05:30</t>
  </si>
  <si>
    <t>406-9262221-0653933</t>
  </si>
  <si>
    <t>TcmbnZBz4</t>
  </si>
  <si>
    <t>Dm4CHD6fc70sR</t>
  </si>
  <si>
    <t>2026-07-03T19:55:41+05:30</t>
  </si>
  <si>
    <t>2026-07-03T23:27:41+05:30</t>
  </si>
  <si>
    <t>2026-07-04T02:27:53+05:30</t>
  </si>
  <si>
    <t>jp97n1s5wm9n17j@marketplace.amazon.in</t>
  </si>
  <si>
    <t>403-4951161-5491528</t>
  </si>
  <si>
    <t>TgSBgCBq4</t>
  </si>
  <si>
    <t>D7pCHM6lcx0yR</t>
  </si>
  <si>
    <t>2026-07-03T21:54:19+05:30</t>
  </si>
  <si>
    <t>2026-07-03T23:08:50+05:30</t>
  </si>
  <si>
    <t>2026-07-04T02:09:04+05:30</t>
  </si>
  <si>
    <t>8cm0p0r8ggxr95b@marketplace.amazon.in</t>
  </si>
  <si>
    <t>171-8929765-4013923</t>
  </si>
  <si>
    <t>TXvDzKB94</t>
  </si>
  <si>
    <t>DzMgb06lc90fR</t>
  </si>
  <si>
    <t>2026-07-03T17:15:02+05:30</t>
  </si>
  <si>
    <t>2026-07-03T23:05:43+05:30</t>
  </si>
  <si>
    <t>2026-07-04T02:05:55+05:30</t>
  </si>
  <si>
    <t>5l7mzn2ttlj9w18@marketplace.amazon.in</t>
  </si>
  <si>
    <t>Hajipur</t>
  </si>
  <si>
    <t>405-6825731-7764329</t>
  </si>
  <si>
    <t>TchT2rQ64</t>
  </si>
  <si>
    <t>DHVsbn6RcX0xR</t>
  </si>
  <si>
    <t>2026-06-19T08:36:36+05:30</t>
  </si>
  <si>
    <t>2026-07-03T23:02:46+05:30</t>
  </si>
  <si>
    <t>2026-07-04T02:02:57+05:30</t>
  </si>
  <si>
    <t>dfx5jrwnr2vwt60@marketplace.amazon.in</t>
  </si>
  <si>
    <t>408-9482629-7229110</t>
  </si>
  <si>
    <t>TGw1PsBW4</t>
  </si>
  <si>
    <t>DbVXbs6Ccv0xR</t>
  </si>
  <si>
    <t>2026-07-03T19:39:19+05:30</t>
  </si>
  <si>
    <t>2026-07-03T23:00:48+05:30</t>
  </si>
  <si>
    <t>2026-07-04T02:01:04+05:30</t>
  </si>
  <si>
    <t>405-6202507-0343550</t>
  </si>
  <si>
    <t>TJHn0bB44</t>
  </si>
  <si>
    <t>DVhmbL6wcT06R</t>
  </si>
  <si>
    <t>2026-07-03T20:00:19+05:30</t>
  </si>
  <si>
    <t>2026-07-03T23:00:42+05:30</t>
  </si>
  <si>
    <t>2026-07-03T23:00:46+05:30</t>
  </si>
  <si>
    <t>2026-07-04T00:00:58+05:30</t>
  </si>
  <si>
    <t>cxmkfvc1m1g2706@marketplace.amazon.in</t>
  </si>
  <si>
    <t>403-3526394-4552347</t>
  </si>
  <si>
    <t>TnSxFVBg4</t>
  </si>
  <si>
    <t>DK9nb06Yc301R</t>
  </si>
  <si>
    <t>2026-07-03T16:15:43+05:30</t>
  </si>
  <si>
    <t>2026-07-03T22:59:44+05:30</t>
  </si>
  <si>
    <t>2026-07-03T22:59:48+05:30</t>
  </si>
  <si>
    <t>2026-07-04T00:00:02+05:30</t>
  </si>
  <si>
    <t>h7z80yh697vm5rb@marketplace.amazon.in</t>
  </si>
  <si>
    <t>403-9356112-3388352</t>
  </si>
  <si>
    <t>Tc7T89Bk4</t>
  </si>
  <si>
    <t>D4N6kT6ycK0RR</t>
  </si>
  <si>
    <t>2026-07-03T21:42:36+05:30</t>
  </si>
  <si>
    <t>2026-07-03T22:50:45+05:30</t>
  </si>
  <si>
    <t>2026-07-04T01:50:57+05:30</t>
  </si>
  <si>
    <t>jyg7rj1z8g6xt3z@marketplace.amazon.in</t>
  </si>
  <si>
    <t>402-2605292-2068342</t>
  </si>
  <si>
    <t>TXf17dBS4</t>
  </si>
  <si>
    <t>DqgNNX6fcT0mR</t>
  </si>
  <si>
    <t>2026-07-03T17:03:27+05:30</t>
  </si>
  <si>
    <t>2026-07-03T22:30:43+05:30</t>
  </si>
  <si>
    <t>2026-07-03T22:30:46+05:30</t>
  </si>
  <si>
    <t>2026-07-03T23:30:58+05:30</t>
  </si>
  <si>
    <t>6x3lvvn43h3t5xs@marketplace.amazon.in</t>
  </si>
  <si>
    <t>402-0247162-2071513</t>
  </si>
  <si>
    <t>T6ln2vBM4</t>
  </si>
  <si>
    <t>DPWKNB6sc60FR</t>
  </si>
  <si>
    <t>2026-07-03T16:20:02+05:30</t>
  </si>
  <si>
    <t>2026-07-03T22:25:46+05:30</t>
  </si>
  <si>
    <t>2026-07-04T01:26:02+05:30</t>
  </si>
  <si>
    <t>pjpzzchvn8324k7@marketplace.amazon.in</t>
  </si>
  <si>
    <t>404-8152487-0851569</t>
  </si>
  <si>
    <t>T1jmr9BJ4</t>
  </si>
  <si>
    <t>DnWQN76Fc60FR</t>
  </si>
  <si>
    <t>2026-07-03T17:21:41+05:30</t>
  </si>
  <si>
    <t>2026-07-03T22:23:46+05:30</t>
  </si>
  <si>
    <t>2026-07-04T01:23:59+05:30</t>
  </si>
  <si>
    <t>pk3z4vmhvh1hhxj@marketplace.amazon.in</t>
  </si>
  <si>
    <t>405-9636836-3773904</t>
  </si>
  <si>
    <t>TgLlkLBF4</t>
  </si>
  <si>
    <t>DbfmNv6bcG04R</t>
  </si>
  <si>
    <t>2026-07-03T14:14:14+05:30</t>
  </si>
  <si>
    <t>2026-07-03T22:21:43+05:30</t>
  </si>
  <si>
    <t>2026-07-04T01:21:54+05:30</t>
  </si>
  <si>
    <t>403-8992792-7918713</t>
  </si>
  <si>
    <t>TXkbt7Bc4</t>
  </si>
  <si>
    <t>DVkrR36jcL0NR</t>
  </si>
  <si>
    <t>2026-07-03T19:34:54+05:30</t>
  </si>
  <si>
    <t>2026-07-03T22:12:44+05:30</t>
  </si>
  <si>
    <t>2026-07-03T22:12:49+05:30</t>
  </si>
  <si>
    <t>2026-07-03T23:13:01+05:30</t>
  </si>
  <si>
    <t>plylmj394cr3c05@marketplace.amazon.in</t>
  </si>
  <si>
    <t>408-0731184-5922754</t>
  </si>
  <si>
    <t>T6rR1Wtb4</t>
  </si>
  <si>
    <t>DrYjRZ6dcV0vR</t>
  </si>
  <si>
    <t>2026-07-01T21:51:35+05:30</t>
  </si>
  <si>
    <t>2026-07-03T22:09:42+05:30</t>
  </si>
  <si>
    <t>2026-07-04T01:09:55+05:30</t>
  </si>
  <si>
    <t>b5wxczhvf584gls@marketplace.amazon.in</t>
  </si>
  <si>
    <t>404-4256355-0681134</t>
  </si>
  <si>
    <t>T3FSKTBw4</t>
  </si>
  <si>
    <t>DwlGRP6ccz03R</t>
  </si>
  <si>
    <t>2026-07-03T20:48:42+05:30</t>
  </si>
  <si>
    <t>2026-07-03T22:06:37+05:30</t>
  </si>
  <si>
    <t>2026-07-03T22:06:40+05:30</t>
  </si>
  <si>
    <t>2026-07-03T23:06:50+05:30</t>
  </si>
  <si>
    <t>5nnn4b9mqf99m76@marketplace.amazon.in</t>
  </si>
  <si>
    <t>408-8012282-4624319</t>
  </si>
  <si>
    <t>TVrQPYB44</t>
  </si>
  <si>
    <t>DfRNRs6pcr0MR</t>
  </si>
  <si>
    <t>2026-07-03T19:16:34+05:30</t>
  </si>
  <si>
    <t>2026-07-03T22:02:48+05:30</t>
  </si>
  <si>
    <t>2026-07-04T01:03:00+05:30</t>
  </si>
  <si>
    <t>bl0l166bhy7tymp@marketplace.amazon.in</t>
  </si>
  <si>
    <t>408-9584404-4597117</t>
  </si>
  <si>
    <t>TcrhPCB44</t>
  </si>
  <si>
    <t>DqR6Rd6pcr0MR</t>
  </si>
  <si>
    <t>2026-07-03T19:18:15+05:30</t>
  </si>
  <si>
    <t>2026-07-03T22:02:43+05:30</t>
  </si>
  <si>
    <t>2026-07-04T01:02:55+05:30</t>
  </si>
  <si>
    <t>171-0189889-0605924</t>
  </si>
  <si>
    <t>TJTRksBv4</t>
  </si>
  <si>
    <t>DFRLRl6mcr0MR</t>
  </si>
  <si>
    <t>2026-07-02T09:33:39+05:30</t>
  </si>
  <si>
    <t>2026-07-03T22:01:47+05:30</t>
  </si>
  <si>
    <t>2026-07-04T01:02:08+05:30</t>
  </si>
  <si>
    <t>ndrlq28c9jcy1pt@marketplace.amazon.in</t>
  </si>
  <si>
    <t>407-0969399-6049950</t>
  </si>
  <si>
    <t>T1K5wZBv4</t>
  </si>
  <si>
    <t>DRrdhfhccc0fR</t>
  </si>
  <si>
    <t>2026-07-03T14:56:15+05:30</t>
  </si>
  <si>
    <t>2026-07-03T21:48:49+05:30</t>
  </si>
  <si>
    <t>2026-07-04T00:49:08+05:30</t>
  </si>
  <si>
    <t>h94h1gzy7yggzbx@marketplace.amazon.in</t>
  </si>
  <si>
    <t>171-4188671-4129127</t>
  </si>
  <si>
    <t>Tw2pGJBc4</t>
  </si>
  <si>
    <t>Dvj4fXh0cg0YR</t>
  </si>
  <si>
    <t>2026-07-03T19:26:43+05:30</t>
  </si>
  <si>
    <t>2026-07-03T21:42:44+05:30</t>
  </si>
  <si>
    <t>2026-07-04T00:42:57+05:30</t>
  </si>
  <si>
    <t>vmhsnpvvy5lggxs@marketplace.amazon.in</t>
  </si>
  <si>
    <t>171-0470218-9125141</t>
  </si>
  <si>
    <t>T1WCS9Mw4</t>
  </si>
  <si>
    <t>DwjDf9hVcg0YR</t>
  </si>
  <si>
    <t>2026-07-03T09:34:28+05:30</t>
  </si>
  <si>
    <t>2026-07-03T21:38:47+05:30</t>
  </si>
  <si>
    <t>2026-07-04T00:39:01+05:30</t>
  </si>
  <si>
    <t>28zm5hfsfnn96cq@marketplace.amazon.in</t>
  </si>
  <si>
    <t>402-7781912-3177116</t>
  </si>
  <si>
    <t>TCDYpKMq4</t>
  </si>
  <si>
    <t>DFpQjBhxcK05R</t>
  </si>
  <si>
    <t>2026-07-03T00:41:12+05:30</t>
  </si>
  <si>
    <t>2026-07-03T21:09:49+05:30</t>
  </si>
  <si>
    <t>2026-07-04T00:10:04+05:30</t>
  </si>
  <si>
    <t>lrqncvjpk0gkbpf@marketplace.amazon.in</t>
  </si>
  <si>
    <t>PALI</t>
  </si>
  <si>
    <t>407-9054432-4672353</t>
  </si>
  <si>
    <t>TgZdH7BS4</t>
  </si>
  <si>
    <t>DPRwjhhxcp0qR</t>
  </si>
  <si>
    <t>2026-07-03T14:41:54+05:30</t>
  </si>
  <si>
    <t>2026-07-03T21:09:43+05:30</t>
  </si>
  <si>
    <t>2026-07-04T00:09:57+05:30</t>
  </si>
  <si>
    <t>0y7x5c08fntsj6q@marketplace.amazon.in</t>
  </si>
  <si>
    <t>408-9190473-0536312</t>
  </si>
  <si>
    <t>T3ZyQhBc4</t>
  </si>
  <si>
    <t>DspxjFhrcK05R</t>
  </si>
  <si>
    <t>2026-07-03T16:52:37+05:30</t>
  </si>
  <si>
    <t>2026-07-03T21:08:45+05:30</t>
  </si>
  <si>
    <t>2026-07-04T00:08:58+05:30</t>
  </si>
  <si>
    <t>00d808w1z2pv53f@marketplace.amazon.in</t>
  </si>
  <si>
    <t>171-3358903-8221112</t>
  </si>
  <si>
    <t>Tgb1kZtQ4</t>
  </si>
  <si>
    <t>D6h3ZfhlcD0YR</t>
  </si>
  <si>
    <t>2026-07-01T19:14:20+05:30</t>
  </si>
  <si>
    <t>2026-07-03T21:04:39+05:30</t>
  </si>
  <si>
    <t>2026-07-03T21:04:42+05:30</t>
  </si>
  <si>
    <t>2026-07-03T22:04:53+05:30</t>
  </si>
  <si>
    <t>m50vfllby8c0jt5@marketplace.amazon.in</t>
  </si>
  <si>
    <t>405-7987248-5370710</t>
  </si>
  <si>
    <t>T3ZJMBBw4</t>
  </si>
  <si>
    <t>DmcpZKhLcl0BR</t>
  </si>
  <si>
    <t>2026-07-03T18:18:00+05:30</t>
  </si>
  <si>
    <t>2026-07-03T21:01:43+05:30</t>
  </si>
  <si>
    <t>2026-07-04T00:01:55+05:30</t>
  </si>
  <si>
    <t>5pbxwp79qgbqvby@marketplace.amazon.in</t>
  </si>
  <si>
    <t>408-4592335-7674751</t>
  </si>
  <si>
    <t>TV9P7jBc4</t>
  </si>
  <si>
    <t>DrYpZdhwct09R</t>
  </si>
  <si>
    <t>2026-07-03T17:30:27+05:30</t>
  </si>
  <si>
    <t>2026-07-03T20:59:41+05:30</t>
  </si>
  <si>
    <t>2026-07-03T23:59:51+05:30</t>
  </si>
  <si>
    <t>wdpsmqmtcbcjbgh@marketplace.amazon.in</t>
  </si>
  <si>
    <t>402-2285348-7246738</t>
  </si>
  <si>
    <t>Tn0jZ02P4</t>
  </si>
  <si>
    <t>DwV2q8hlcQ0jR</t>
  </si>
  <si>
    <t>2026-07-02T23:12:01+05:30</t>
  </si>
  <si>
    <t>2026-07-03T20:44:59+05:30</t>
  </si>
  <si>
    <t>2026-07-03T23:45:11+05:30</t>
  </si>
  <si>
    <t>Peeh,nagaur</t>
  </si>
  <si>
    <t>404-0236960-6095542</t>
  </si>
  <si>
    <t>T1fnBNBv4</t>
  </si>
  <si>
    <t>DPyn5nhmcZ0vR</t>
  </si>
  <si>
    <t>2026-07-03T14:35:51+05:30</t>
  </si>
  <si>
    <t>2026-07-03T20:31:52+05:30</t>
  </si>
  <si>
    <t>2026-07-03T23:32:03+05:30</t>
  </si>
  <si>
    <t>c7xm7rkz0f85p22@marketplace.amazon.in</t>
  </si>
  <si>
    <t>408-0883249-4134722</t>
  </si>
  <si>
    <t>TJ7rZmMw4</t>
  </si>
  <si>
    <t>D1DN5dhbch0RR</t>
  </si>
  <si>
    <t>2026-07-03T12:52:31+05:30</t>
  </si>
  <si>
    <t>2026-07-03T20:29:45+05:30</t>
  </si>
  <si>
    <t>2026-07-03T23:29:59+05:30</t>
  </si>
  <si>
    <t>9vkjxdn3705b5s8@marketplace.amazon.in</t>
  </si>
  <si>
    <t>DNBB5ch8cM0TR</t>
  </si>
  <si>
    <t>171-0756639-1835511</t>
  </si>
  <si>
    <t>T1qGBPBF4</t>
  </si>
  <si>
    <t>DBls5chBcD0RR</t>
  </si>
  <si>
    <t>2026-07-03T14:59:56+05:30</t>
  </si>
  <si>
    <t>2026-07-03T20:22:53+05:30</t>
  </si>
  <si>
    <t>2026-07-03T23:23:05+05:30</t>
  </si>
  <si>
    <t>408-8851486-4478763</t>
  </si>
  <si>
    <t>TNTf0WMf4</t>
  </si>
  <si>
    <t>DHPX5WhJcB0ZR</t>
  </si>
  <si>
    <t>2026-07-03T08:36:25+05:30</t>
  </si>
  <si>
    <t>2026-07-03T20:19:47+05:30</t>
  </si>
  <si>
    <t>2026-07-03T23:19:59+05:30</t>
  </si>
  <si>
    <t>bwwd5qslcsxy43r@marketplace.amazon.in</t>
  </si>
  <si>
    <t>402-0723118-6732342</t>
  </si>
  <si>
    <t>TJLVryB94</t>
  </si>
  <si>
    <t>DLpV5vhncc0dR</t>
  </si>
  <si>
    <t>2026-07-03T17:09:06+05:30</t>
  </si>
  <si>
    <t>2026-07-03T20:18:47+05:30</t>
  </si>
  <si>
    <t>2026-07-03T23:19:01+05:30</t>
  </si>
  <si>
    <t>r0ykwb0m60zfbv8@marketplace.amazon.in</t>
  </si>
  <si>
    <t>403-5698846-5029115</t>
  </si>
  <si>
    <t>TC86jmMH4</t>
  </si>
  <si>
    <t>DMWvgyhKcz0mR</t>
  </si>
  <si>
    <t>2026-07-03T12:27:41+05:30</t>
  </si>
  <si>
    <t>2026-07-03T20:08:50+05:30</t>
  </si>
  <si>
    <t>2026-07-03T23:09:02+05:30</t>
  </si>
  <si>
    <t>hjwm7p9gxng6ltn@marketplace.amazon.in</t>
  </si>
  <si>
    <t>Guwahati</t>
  </si>
  <si>
    <t>406-9164015-2801939</t>
  </si>
  <si>
    <t>TClLxTBD4</t>
  </si>
  <si>
    <t>DRlTgrhPcz07R</t>
  </si>
  <si>
    <t>2026-07-03T18:47:14+05:30</t>
  </si>
  <si>
    <t>2026-07-03T20:04:44+05:30</t>
  </si>
  <si>
    <t>2026-07-03T23:04:56+05:30</t>
  </si>
  <si>
    <t>g5llks0pcn43mc6@marketplace.amazon.in</t>
  </si>
  <si>
    <t>408-2087819-7654725</t>
  </si>
  <si>
    <t>TwscRdB84</t>
  </si>
  <si>
    <t>DNkkX4hrcb0gR</t>
  </si>
  <si>
    <t>2026-07-03T14:08:36+05:30</t>
  </si>
  <si>
    <t>2026-07-03T19:44:52+05:30</t>
  </si>
  <si>
    <t>2026-07-03T22:45:05+05:30</t>
  </si>
  <si>
    <t>67724xcx68mqp7t@marketplace.amazon.in</t>
  </si>
  <si>
    <t>171-3380527-7561937</t>
  </si>
  <si>
    <t>TCr0zMMF4</t>
  </si>
  <si>
    <t>DR7NXWhhcD0KR</t>
  </si>
  <si>
    <t>2026-07-02T11:22:08+05:30</t>
  </si>
  <si>
    <t>2026-07-03T19:43:48+05:30</t>
  </si>
  <si>
    <t>2026-07-03T22:44:02+05:30</t>
  </si>
  <si>
    <t>k77zb4f3ycnk28p@marketplace.amazon.in</t>
  </si>
  <si>
    <t>402-7584799-2273137</t>
  </si>
  <si>
    <t>TwsJpTMQ4</t>
  </si>
  <si>
    <t>D1kqXNhVcH0tR</t>
  </si>
  <si>
    <t>2026-07-03T07:36:28+05:30</t>
  </si>
  <si>
    <t>2026-07-03T19:39:01+05:30</t>
  </si>
  <si>
    <t>2026-07-03T22:43:36+05:30</t>
  </si>
  <si>
    <t>9dn5x7dh2wtqgn3@marketplace.amazon.in</t>
  </si>
  <si>
    <t>404-6254199-6141112</t>
  </si>
  <si>
    <t>T1swVWBj4</t>
  </si>
  <si>
    <t>D9ZxXbhScY0pR</t>
  </si>
  <si>
    <t>2026-07-03T12:26:11+05:30</t>
  </si>
  <si>
    <t>2026-07-03T19:38:43+05:30</t>
  </si>
  <si>
    <t>2026-07-03T22:38:54+05:30</t>
  </si>
  <si>
    <t>k2yq5965fshl4jj@marketplace.amazon.in</t>
  </si>
  <si>
    <t>OMR Chennai</t>
  </si>
  <si>
    <t>405-2846287-7456314</t>
  </si>
  <si>
    <t>T3lThV2h4</t>
  </si>
  <si>
    <t>DBxTXVhPcQ0DR</t>
  </si>
  <si>
    <t>2026-07-03T00:00:54+05:30</t>
  </si>
  <si>
    <t>2026-07-03T19:26:47+05:30</t>
  </si>
  <si>
    <t>2026-07-03T22:27:03+05:30</t>
  </si>
  <si>
    <t>f8gsk6bmb0wfp0v@marketplace.amazon.in</t>
  </si>
  <si>
    <t>403-2100318-6790768</t>
  </si>
  <si>
    <t>TNCFsxBx4</t>
  </si>
  <si>
    <t>Dg15CdhDc40qR</t>
  </si>
  <si>
    <t>2026-07-03T17:33:36+05:30</t>
  </si>
  <si>
    <t>2026-07-03T19:25:43+05:30</t>
  </si>
  <si>
    <t>2026-07-03T19:25:45+05:30</t>
  </si>
  <si>
    <t>2026-07-03T20:25:55+05:30</t>
  </si>
  <si>
    <t>8zk4slmqp5bb3q1@marketplace.amazon.in</t>
  </si>
  <si>
    <t>403-9515774-1013939</t>
  </si>
  <si>
    <t>TGly3sBc4</t>
  </si>
  <si>
    <t>DqC6C6h7cB0mR</t>
  </si>
  <si>
    <t>2026-07-03T17:09:44+05:30</t>
  </si>
  <si>
    <t>2026-07-03T19:14:47+05:30</t>
  </si>
  <si>
    <t>2026-07-03T22:14:58+05:30</t>
  </si>
  <si>
    <t>6mk138nnxvvwwqg@marketplace.amazon.in</t>
  </si>
  <si>
    <t>District LUDHIANA</t>
  </si>
  <si>
    <t>408-0734230-7058717</t>
  </si>
  <si>
    <t>TgpXy72K4</t>
  </si>
  <si>
    <t>DMCrCwhVcB0mR</t>
  </si>
  <si>
    <t>2026-06-29T21:39:33+05:30</t>
  </si>
  <si>
    <t>2026-07-03T19:13:46+05:30</t>
  </si>
  <si>
    <t>2026-07-03T22:14:05+05:30</t>
  </si>
  <si>
    <t>pzw1gn2gprskmls@marketplace.amazon.in</t>
  </si>
  <si>
    <t>406-8103902-1221137</t>
  </si>
  <si>
    <t>T3HsLz2Q4</t>
  </si>
  <si>
    <t>DQ3zp8hLcB0QR</t>
  </si>
  <si>
    <t>2026-07-01T23:01:54+05:30</t>
  </si>
  <si>
    <t>2026-07-03T19:08:42+05:30</t>
  </si>
  <si>
    <t>2026-07-03T19:08:45+05:30</t>
  </si>
  <si>
    <t>2026-07-03T20:08:56+05:30</t>
  </si>
  <si>
    <t>5whfm4k05q8m3cm@marketplace.amazon.in</t>
  </si>
  <si>
    <t>407-3990246-0375563</t>
  </si>
  <si>
    <t>TNWFV3B84</t>
  </si>
  <si>
    <t>Dk8BK0hzc90dR</t>
  </si>
  <si>
    <t>2026-07-03T15:49:45+05:30</t>
  </si>
  <si>
    <t>2026-07-03T18:29:43+05:30</t>
  </si>
  <si>
    <t>2026-07-03T21:29:56+05:30</t>
  </si>
  <si>
    <t>pv3d1dfgwyl8cvd@marketplace.amazon.in</t>
  </si>
  <si>
    <t>406-6009717-0791517</t>
  </si>
  <si>
    <t>TG02b5MP4</t>
  </si>
  <si>
    <t>DlYgK6h0cH0PR</t>
  </si>
  <si>
    <t>2026-07-02T21:29:48+05:30</t>
  </si>
  <si>
    <t>2026-07-03T18:21:54+05:30</t>
  </si>
  <si>
    <t>2026-07-03T21:22:16+05:30</t>
  </si>
  <si>
    <t>mfsnk0kk2gn8m50@marketplace.amazon.in</t>
  </si>
  <si>
    <t>407-0522541-8885953</t>
  </si>
  <si>
    <t>TXpl4jBf4</t>
  </si>
  <si>
    <t>D9Tqm1hDcJ0vR</t>
  </si>
  <si>
    <t>2026-07-03T13:43:49+05:30</t>
  </si>
  <si>
    <t>2026-07-03T18:13:43+05:30</t>
  </si>
  <si>
    <t>2026-07-03T21:13:55+05:30</t>
  </si>
  <si>
    <t>t94b7rxgd2xmfn8@marketplace.amazon.in</t>
  </si>
  <si>
    <t>406-4334197-8189118</t>
  </si>
  <si>
    <t>T3L7pz2w4</t>
  </si>
  <si>
    <t>DPGwmyhNcK0hR</t>
  </si>
  <si>
    <t>2026-07-02T23:43:11+05:30</t>
  </si>
  <si>
    <t>2026-07-03T18:09:45+05:30</t>
  </si>
  <si>
    <t>2026-07-03T21:10:03+05:30</t>
  </si>
  <si>
    <t>nhf38n3yxwwf0vc@marketplace.amazon.in</t>
  </si>
  <si>
    <t>KOTTAIYUR</t>
  </si>
  <si>
    <t>407-1132876-4760307</t>
  </si>
  <si>
    <t>TnJbghV84</t>
  </si>
  <si>
    <t>DpnYmphncL0wR</t>
  </si>
  <si>
    <t>2026-07-02T14:17:33+05:30</t>
  </si>
  <si>
    <t>2026-07-03T18:00:46+05:30</t>
  </si>
  <si>
    <t>2026-07-03T21:00:57+05:30</t>
  </si>
  <si>
    <t>qdtd9xkkqb564y0@marketplace.amazon.in</t>
  </si>
  <si>
    <t>404-3528770-9454742</t>
  </si>
  <si>
    <t>TG1JVKB74</t>
  </si>
  <si>
    <t>DRnjm5h3cL0wR</t>
  </si>
  <si>
    <t>2026-07-03T16:05:20+05:30</t>
  </si>
  <si>
    <t>2026-07-03T18:00:40+05:30</t>
  </si>
  <si>
    <t>2026-07-03T21:00:53+05:30</t>
  </si>
  <si>
    <t>7krg7s0jyswzd4r@marketplace.amazon.in</t>
  </si>
  <si>
    <t>PAONTA SAHIB</t>
  </si>
  <si>
    <t>405-5857117-0612321</t>
  </si>
  <si>
    <t>TNy9wyBX4</t>
  </si>
  <si>
    <t>DyF0l1hscm0WR</t>
  </si>
  <si>
    <t>2026-07-03T11:07:40+05:30</t>
  </si>
  <si>
    <t>2026-07-03T17:59:43+05:30</t>
  </si>
  <si>
    <t>2026-07-03T20:59:55+05:30</t>
  </si>
  <si>
    <t>t70vksycx8f6kk6@marketplace.amazon.in</t>
  </si>
  <si>
    <t>405-7051943-0081942</t>
  </si>
  <si>
    <t>TwT10YMw4</t>
  </si>
  <si>
    <t>DLwl0lhWcQ04R</t>
  </si>
  <si>
    <t>2026-07-03T09:51:21+05:30</t>
  </si>
  <si>
    <t>2026-07-03T17:35:46+05:30</t>
  </si>
  <si>
    <t>2026-07-03T20:36:00+05:30</t>
  </si>
  <si>
    <t>c6bnhj2r7d6tt3l@marketplace.amazon.in</t>
  </si>
  <si>
    <t>404-9639791-9390752</t>
  </si>
  <si>
    <t>Twr1RsMT4</t>
  </si>
  <si>
    <t>DmXMSBh8cV0KR</t>
  </si>
  <si>
    <t>2026-07-02T23:10:21+05:30</t>
  </si>
  <si>
    <t>2026-07-03T17:29:46+05:30</t>
  </si>
  <si>
    <t>lkyf8zzdl3h5pmq@marketplace.amazon.in</t>
  </si>
  <si>
    <t>BATALA</t>
  </si>
  <si>
    <t>171-3029170-2753120</t>
  </si>
  <si>
    <t>Tgj4y7BZ4</t>
  </si>
  <si>
    <t>DRxz0rhnch0RR</t>
  </si>
  <si>
    <t>2026-07-03T15:59:05+05:30</t>
  </si>
  <si>
    <t>2026-07-03T17:28:42+05:30</t>
  </si>
  <si>
    <t>2026-07-03T20:28:54+05:30</t>
  </si>
  <si>
    <t>8m68w9gzh08t6b4@marketplace.amazon.in</t>
  </si>
  <si>
    <t>403-1937658-7980358</t>
  </si>
  <si>
    <t>TNTwB4B74</t>
  </si>
  <si>
    <t>Dh8BSph5cB0GR</t>
  </si>
  <si>
    <t>2026-07-03T15:13:33+05:30</t>
  </si>
  <si>
    <t>2026-07-03T17:27:43+05:30</t>
  </si>
  <si>
    <t>2026-07-03T20:27:53+05:30</t>
  </si>
  <si>
    <t>tw17pc9d5c3h6jn@marketplace.amazon.in</t>
  </si>
  <si>
    <t>403-9946843-6877917</t>
  </si>
  <si>
    <t>Tnbb9q2w4</t>
  </si>
  <si>
    <t>DKyhS4hnc50KR</t>
  </si>
  <si>
    <t>2026-07-02T09:33:25+05:30</t>
  </si>
  <si>
    <t>2026-07-03T17:24:42+05:30</t>
  </si>
  <si>
    <t>2026-07-03T17:24:45+05:30</t>
  </si>
  <si>
    <t>2026-07-03T18:24:56+05:30</t>
  </si>
  <si>
    <t>34bh20qzq72b81x@marketplace.amazon.in</t>
  </si>
  <si>
    <t>402-8896642-8951546</t>
  </si>
  <si>
    <t>T3FsK7MD4</t>
  </si>
  <si>
    <t>DHKT68hwcQ0DR</t>
  </si>
  <si>
    <t>2026-07-03T11:12:57+05:30</t>
  </si>
  <si>
    <t>2026-07-03T17:06:50+05:30</t>
  </si>
  <si>
    <t>2026-07-03T20:07:05+05:30</t>
  </si>
  <si>
    <t>15h5yljvwkd2jrd@marketplace.amazon.in</t>
  </si>
  <si>
    <t>407-5098117-1601139</t>
  </si>
  <si>
    <t>Tg4NZLMx4</t>
  </si>
  <si>
    <t>DBlgd2h3c30pR</t>
  </si>
  <si>
    <t>2026-07-03T13:00:20+05:30</t>
  </si>
  <si>
    <t>2026-07-03T16:47:45+05:30</t>
  </si>
  <si>
    <t>2026-07-03T19:47:59+05:30</t>
  </si>
  <si>
    <t>qm39qn6s0z7yxz8@marketplace.amazon.in</t>
  </si>
  <si>
    <t>406-9164240-2395516</t>
  </si>
  <si>
    <t>TndBBBM84</t>
  </si>
  <si>
    <t>DRjTdNhscD0JR</t>
  </si>
  <si>
    <t>2026-07-02T23:30:41+05:30</t>
  </si>
  <si>
    <t>2026-07-03T16:46:47+05:30</t>
  </si>
  <si>
    <t>2026-07-03T16:46:51+05:30</t>
  </si>
  <si>
    <t>2026-07-03T17:47:07+05:30</t>
  </si>
  <si>
    <t>7150d9q7rzsjqpn@marketplace.amazon.in</t>
  </si>
  <si>
    <t>171-9975863-7729939</t>
  </si>
  <si>
    <t>T13wGd2Z4</t>
  </si>
  <si>
    <t>Dh9qd6hXcp0zR</t>
  </si>
  <si>
    <t>2026-07-02T13:53:53+05:30</t>
  </si>
  <si>
    <t>2026-07-03T16:42:45+05:30</t>
  </si>
  <si>
    <t>2026-07-03T19:43:02+05:30</t>
  </si>
  <si>
    <t>r57ytywrkvlcfwq@marketplace.amazon.in</t>
  </si>
  <si>
    <t>404-0047564-4965169</t>
  </si>
  <si>
    <t>TgyNSSMf4</t>
  </si>
  <si>
    <t>DT1tG0hjc50GR</t>
  </si>
  <si>
    <t>2026-07-03T10:05:24+05:30</t>
  </si>
  <si>
    <t>2026-07-03T16:33:40+05:30</t>
  </si>
  <si>
    <t>2026-07-03T16:33:43+05:30</t>
  </si>
  <si>
    <t>2026-07-03T17:33:53+05:30</t>
  </si>
  <si>
    <t>zl0m363str25pvy@marketplace.amazon.in</t>
  </si>
  <si>
    <t>402-0072282-5989153</t>
  </si>
  <si>
    <t>Tn6p7P234</t>
  </si>
  <si>
    <t>DwK8GZhPcB0ZR</t>
  </si>
  <si>
    <t>2026-07-02T19:28:13+05:30</t>
  </si>
  <si>
    <t>2026-07-03T19:33:54+05:30</t>
  </si>
  <si>
    <t>2nj2f1g0cshts5f@marketplace.amazon.in</t>
  </si>
  <si>
    <t>LINGAPALEM</t>
  </si>
  <si>
    <t>171-4453904-4361909</t>
  </si>
  <si>
    <t>TCT0dSMd4</t>
  </si>
  <si>
    <t>DQtlGZhLc50PR</t>
  </si>
  <si>
    <t>2026-07-03T09:53:29+05:30</t>
  </si>
  <si>
    <t>2026-07-03T16:32:45+05:30</t>
  </si>
  <si>
    <t>2026-07-03T19:32:57+05:30</t>
  </si>
  <si>
    <t>kghz2r0vk03bwlr@marketplace.amazon.in</t>
  </si>
  <si>
    <t>URAN ISLAMPUR</t>
  </si>
  <si>
    <t>406-8580401-3999501</t>
  </si>
  <si>
    <t>Tc8ppjMn4</t>
  </si>
  <si>
    <t>DlBpGRhKc70hR</t>
  </si>
  <si>
    <t>2026-07-03T12:00:24+05:30</t>
  </si>
  <si>
    <t>2026-07-03T16:27:45+05:30</t>
  </si>
  <si>
    <t>2026-07-03T19:28:00+05:30</t>
  </si>
  <si>
    <t>s1yq434tj3qltb1@marketplace.amazon.in</t>
  </si>
  <si>
    <t>407-7382809-6329914</t>
  </si>
  <si>
    <t>TN1v0qVD4</t>
  </si>
  <si>
    <t>DbllG4hgc107R</t>
  </si>
  <si>
    <t>2026-07-02T13:08:32+05:30</t>
  </si>
  <si>
    <t>2026-07-03T16:24:46+05:30</t>
  </si>
  <si>
    <t>2026-07-03T19:24:57+05:30</t>
  </si>
  <si>
    <t>5j7626f2n9tpjvn@marketplace.amazon.in</t>
  </si>
  <si>
    <t>406-0043117-0940306</t>
  </si>
  <si>
    <t>TNBMCKMT4</t>
  </si>
  <si>
    <t>DmdCGChhcN05R</t>
  </si>
  <si>
    <t>2026-07-03T12:56:39+05:30</t>
  </si>
  <si>
    <t>2026-07-03T16:21:43+05:30</t>
  </si>
  <si>
    <t>2026-07-03T16:21:46+05:30</t>
  </si>
  <si>
    <t>2026-07-03T17:22:01+05:30</t>
  </si>
  <si>
    <t>fdf1hb42rkd7qw4@marketplace.amazon.in</t>
  </si>
  <si>
    <t>405-5108699-1683532</t>
  </si>
  <si>
    <t>T3y210Ml4</t>
  </si>
  <si>
    <t>DmFFtth5cP0MR</t>
  </si>
  <si>
    <t>2026-07-03T07:43:04+05:30</t>
  </si>
  <si>
    <t>2026-07-03T16:12:46+05:30</t>
  </si>
  <si>
    <t>2026-07-03T19:12:59+05:30</t>
  </si>
  <si>
    <t>40t33g3ldwjmdlv@marketplace.amazon.in</t>
  </si>
  <si>
    <t>Almel</t>
  </si>
  <si>
    <t>407-7441562-1762726</t>
  </si>
  <si>
    <t>TNHFWW2X4</t>
  </si>
  <si>
    <t>DPsztZhxcT0hR</t>
  </si>
  <si>
    <t>2026-07-02T22:53:45+05:30</t>
  </si>
  <si>
    <t>2026-07-03T16:04:47+05:30</t>
  </si>
  <si>
    <t>2026-07-03T19:05:03+05:30</t>
  </si>
  <si>
    <t>9m072nd7gyytzsw@marketplace.amazon.in</t>
  </si>
  <si>
    <t>BILHAUR</t>
  </si>
  <si>
    <t>407-7799281-5033105</t>
  </si>
  <si>
    <t>TVqP9fbN4</t>
  </si>
  <si>
    <t>DLtbnqhYc70xR</t>
  </si>
  <si>
    <t>2026-07-01T12:46:44+05:30</t>
  </si>
  <si>
    <t>2026-07-03T15:19:46+05:30</t>
  </si>
  <si>
    <t>2026-07-03T18:20:00+05:30</t>
  </si>
  <si>
    <t>6bllz44c7h18jr5@marketplace.amazon.in</t>
  </si>
  <si>
    <t>407-3178286-2015502</t>
  </si>
  <si>
    <t>TGj7qdMP4</t>
  </si>
  <si>
    <t>DHJ8xjh1cp0SR</t>
  </si>
  <si>
    <t>2026-07-03T13:21:29+05:30</t>
  </si>
  <si>
    <t>2026-07-03T14:55:44+05:30</t>
  </si>
  <si>
    <t>2026-07-03T17:55:55+05:30</t>
  </si>
  <si>
    <t>w7ht41jrdxdby49@marketplace.amazon.in</t>
  </si>
  <si>
    <t>403-4742192-2646735</t>
  </si>
  <si>
    <t>Tw4lF72d4</t>
  </si>
  <si>
    <t>DhB23Qhjcz0QR</t>
  </si>
  <si>
    <t>2026-07-02T17:38:07+05:30</t>
  </si>
  <si>
    <t>2026-07-03T14:45:46+05:30</t>
  </si>
  <si>
    <t>2026-07-03T17:45:57+05:30</t>
  </si>
  <si>
    <t>tkm3fbvmyt4xv43@marketplace.amazon.in</t>
  </si>
  <si>
    <t>171-2382611-8558705</t>
  </si>
  <si>
    <t>TG5JfYMY4</t>
  </si>
  <si>
    <t>DtYM3lhzc50VR</t>
  </si>
  <si>
    <t>2026-07-03T12:53:40+05:30</t>
  </si>
  <si>
    <t>2026-07-03T14:40:43+05:30</t>
  </si>
  <si>
    <t>2026-07-03T17:40:54+05:30</t>
  </si>
  <si>
    <t>kq4spb6fkvt7dq9@marketplace.amazon.in</t>
  </si>
  <si>
    <t>408-7089184-6710764</t>
  </si>
  <si>
    <t>TgP2G22N4</t>
  </si>
  <si>
    <t>D23wJ1hPcD0lR</t>
  </si>
  <si>
    <t>2026-07-02T21:27:34+05:30</t>
  </si>
  <si>
    <t>2026-07-03T14:32:41+05:30</t>
  </si>
  <si>
    <t>2026-07-03T14:32:45+05:30</t>
  </si>
  <si>
    <t>2026-07-03T15:32:58+05:30</t>
  </si>
  <si>
    <t>dkl9ccxwxbws331@marketplace.amazon.in</t>
  </si>
  <si>
    <t>G. Konduru</t>
  </si>
  <si>
    <t>403-2490521-2497910</t>
  </si>
  <si>
    <t>T67600MW4</t>
  </si>
  <si>
    <t>D28yMWh8cM0kR</t>
  </si>
  <si>
    <t>2026-07-03T10:22:31+05:30</t>
  </si>
  <si>
    <t>2026-07-03T14:14:42+05:30</t>
  </si>
  <si>
    <t>2026-07-03T17:14:53+05:30</t>
  </si>
  <si>
    <t>spxfk7l8230sxzv@marketplace.amazon.in</t>
  </si>
  <si>
    <t>404-2445512-7448325</t>
  </si>
  <si>
    <t>TJWm8PMK4</t>
  </si>
  <si>
    <t>D7N5Msh6cn0YR</t>
  </si>
  <si>
    <t>2026-07-03T11:56:12+05:30</t>
  </si>
  <si>
    <t>2026-07-03T14:13:42+05:30</t>
  </si>
  <si>
    <t>2026-07-03T17:13:54+05:30</t>
  </si>
  <si>
    <t>f9dxfjcnvwsl12y@marketplace.amazon.in</t>
  </si>
  <si>
    <t>406-3826992-5497915</t>
  </si>
  <si>
    <t>T6MVLKMl4</t>
  </si>
  <si>
    <t>D8cXMkhfcQ0MR</t>
  </si>
  <si>
    <t>2026-07-03T01:26:25+05:30</t>
  </si>
  <si>
    <t>2026-07-03T14:06:48+05:30</t>
  </si>
  <si>
    <t>2026-07-03T17:07:05+05:30</t>
  </si>
  <si>
    <t>yzb6hyhqb5rxj1g@marketplace.amazon.in</t>
  </si>
  <si>
    <t>406-4895688-0755522</t>
  </si>
  <si>
    <t>TXxXhlMP4</t>
  </si>
  <si>
    <t>DNqBMthycY05R</t>
  </si>
  <si>
    <t>2026-07-03T12:46:36+05:30</t>
  </si>
  <si>
    <t>2026-07-03T14:01:47+05:30</t>
  </si>
  <si>
    <t>2026-07-03T17:02:00+05:30</t>
  </si>
  <si>
    <t>6sc746swv6gd1mv@marketplace.amazon.in</t>
  </si>
  <si>
    <t>171-7880177-1299516</t>
  </si>
  <si>
    <t>TwQqT1MZ4</t>
  </si>
  <si>
    <t>D5cZ1chkcX0JR</t>
  </si>
  <si>
    <t>2026-07-03T07:34:21+05:30</t>
  </si>
  <si>
    <t>2026-07-03T13:48:52+05:30</t>
  </si>
  <si>
    <t>2026-07-03T16:49:04+05:30</t>
  </si>
  <si>
    <t>171-5009229-6207529</t>
  </si>
  <si>
    <t>T3KtGlMX4</t>
  </si>
  <si>
    <t>DW76ryhVct0hR</t>
  </si>
  <si>
    <t>2026-07-03T09:12:55+05:30</t>
  </si>
  <si>
    <t>2026-07-03T13:45:44+05:30</t>
  </si>
  <si>
    <t>2026-07-03T16:45:55+05:30</t>
  </si>
  <si>
    <t>n43dmrynfyn8cbg@marketplace.amazon.in</t>
  </si>
  <si>
    <t>406-7529499-3517140</t>
  </si>
  <si>
    <t>TwLXmRMH4</t>
  </si>
  <si>
    <t>DTXY7dh6c00rR</t>
  </si>
  <si>
    <t>2026-07-03T10:49:37+05:30</t>
  </si>
  <si>
    <t>2026-07-03T13:29:42+05:30</t>
  </si>
  <si>
    <t>2026-07-03T13:29:45+05:30</t>
  </si>
  <si>
    <t>2026-07-03T14:30:01+05:30</t>
  </si>
  <si>
    <t>x2n8fgzws5x7bwk@marketplace.amazon.in</t>
  </si>
  <si>
    <t>403-3911638-4249164</t>
  </si>
  <si>
    <t>TX2tmWMp4</t>
  </si>
  <si>
    <t>D3kk7RhscY0NR</t>
  </si>
  <si>
    <t>2026-07-01T09:28:21+05:30</t>
  </si>
  <si>
    <t>2026-07-03T13:24:39+05:30</t>
  </si>
  <si>
    <t>2026-07-03T13:24:42+05:30</t>
  </si>
  <si>
    <t>2026-07-03T14:24:54+05:30</t>
  </si>
  <si>
    <t>yh7h44j3hc3hdqw@marketplace.amazon.in</t>
  </si>
  <si>
    <t>Vasai west</t>
  </si>
  <si>
    <t>404-8389976-7423514</t>
  </si>
  <si>
    <t>T1Z83kMt4</t>
  </si>
  <si>
    <t>DVs97QhFcC0ZR</t>
  </si>
  <si>
    <t>2026-07-03T06:36:42+05:30</t>
  </si>
  <si>
    <t>2026-07-03T13:18:44+05:30</t>
  </si>
  <si>
    <t>2026-07-03T13:18:49+05:30</t>
  </si>
  <si>
    <t>2026-07-03T14:19:01+05:30</t>
  </si>
  <si>
    <t>rtst86qqjpkzxsl@marketplace.amazon.in</t>
  </si>
  <si>
    <t>2026-07-03T20:00:00+05:30</t>
  </si>
  <si>
    <t>404-7316687-5215504</t>
  </si>
  <si>
    <t>TnTXK9Mx4</t>
  </si>
  <si>
    <t>DfRT75hCc708R</t>
  </si>
  <si>
    <t>2026-07-03T11:11:59+05:30</t>
  </si>
  <si>
    <t>2026-07-03T13:15:45+05:30</t>
  </si>
  <si>
    <t>2026-07-03T16:15:56+05:30</t>
  </si>
  <si>
    <t>p43mvbs0x4c16ht@marketplace.amazon.in</t>
  </si>
  <si>
    <t>403-4124083-3885912</t>
  </si>
  <si>
    <t>TJZRX52d4</t>
  </si>
  <si>
    <t>DyTy79hDcr0hR</t>
  </si>
  <si>
    <t>2026-06-30T17:52:52+05:30</t>
  </si>
  <si>
    <t>2026-07-03T13:13:55+05:30</t>
  </si>
  <si>
    <t>2026-07-03T16:14:32+05:30</t>
  </si>
  <si>
    <t>2mg1q45dnyh7bfx@marketplace.amazon.in</t>
  </si>
  <si>
    <t>403-7614382-6244345</t>
  </si>
  <si>
    <t>TN8RlTMc4</t>
  </si>
  <si>
    <t>DPLMLJhrcd0VR</t>
  </si>
  <si>
    <t>2026-07-03T10:44:58+05:30</t>
  </si>
  <si>
    <t>2026-07-03T12:59:47+05:30</t>
  </si>
  <si>
    <t>2026-07-03T15:59:58+05:30</t>
  </si>
  <si>
    <t>zlbfd42b4sljnnv@marketplace.amazon.in</t>
  </si>
  <si>
    <t>402-6108270-0731533</t>
  </si>
  <si>
    <t>TVHYt52d4</t>
  </si>
  <si>
    <t>D1ygsHhQcT0DR</t>
  </si>
  <si>
    <t>2026-07-02T20:45:57+05:30</t>
  </si>
  <si>
    <t>2026-07-03T12:51:47+05:30</t>
  </si>
  <si>
    <t>2026-07-03T15:52:01+05:30</t>
  </si>
  <si>
    <t>cwx5kvnffv4knpq@marketplace.amazon.in</t>
  </si>
  <si>
    <t>407-9197208-0353149</t>
  </si>
  <si>
    <t>T6RrlFMx4</t>
  </si>
  <si>
    <t>D0L9sChMcH06R</t>
  </si>
  <si>
    <t>2026-07-03T10:47:36+05:30</t>
  </si>
  <si>
    <t>2026-07-03T12:39:45+05:30</t>
  </si>
  <si>
    <t>2026-07-03T15:39:57+05:30</t>
  </si>
  <si>
    <t>kth7lq6w322c5xr@marketplace.amazon.in</t>
  </si>
  <si>
    <t>405-8267373-0530767</t>
  </si>
  <si>
    <t>TGY1J82S4</t>
  </si>
  <si>
    <t>D9JGc3hJc10lR</t>
  </si>
  <si>
    <t>2026-07-02T20:18:30+05:30</t>
  </si>
  <si>
    <t>2026-07-03T12:02:56+05:30</t>
  </si>
  <si>
    <t>2026-07-03T12:02:59+05:30</t>
  </si>
  <si>
    <t>2026-07-03T13:03:10+05:30</t>
  </si>
  <si>
    <t>wycwzyh4h4pr4p9@marketplace.amazon.in</t>
  </si>
  <si>
    <t>Dausa</t>
  </si>
  <si>
    <t>406-1918297-6125929</t>
  </si>
  <si>
    <t>TgtgfrVd4</t>
  </si>
  <si>
    <t>DlRscShqcM0XR</t>
  </si>
  <si>
    <t>2026-07-02T15:23:18+05:30</t>
  </si>
  <si>
    <t>2026-07-03T12:00:46+05:30</t>
  </si>
  <si>
    <t>2026-07-03T15:00:57+05:30</t>
  </si>
  <si>
    <t>yltn39vd6v8pf9w@marketplace.amazon.in</t>
  </si>
  <si>
    <t>Hojai</t>
  </si>
  <si>
    <t>404-0397716-0929137</t>
  </si>
  <si>
    <t>T3fpPzMS4</t>
  </si>
  <si>
    <t>DgfQzjh0cR0rR</t>
  </si>
  <si>
    <t>2026-07-03T07:40:53+05:30</t>
  </si>
  <si>
    <t>2026-07-03T11:31:46+05:30</t>
  </si>
  <si>
    <t>2026-07-03T14:32:00+05:30</t>
  </si>
  <si>
    <t>bdgx81ydj4ysl11@marketplace.amazon.in</t>
  </si>
  <si>
    <t>406-2381701-3884349</t>
  </si>
  <si>
    <t>TcryVJzR4</t>
  </si>
  <si>
    <t>Dn1SV8h5c80QR</t>
  </si>
  <si>
    <t>2026-06-28T15:45:18+05:30</t>
  </si>
  <si>
    <t>2026-07-03T11:23:48+05:30</t>
  </si>
  <si>
    <t>2026-07-03T14:24:07+05:30</t>
  </si>
  <si>
    <t>2hvpmknt7s8r812@marketplace.amazon.in</t>
  </si>
  <si>
    <t>OMALUR</t>
  </si>
  <si>
    <t>402-8184716-1957109</t>
  </si>
  <si>
    <t>T1996VML4</t>
  </si>
  <si>
    <t>DgLJV9h5cC0JR</t>
  </si>
  <si>
    <t>2026-07-03T09:08:47+05:30</t>
  </si>
  <si>
    <t>2026-07-03T11:18:48+05:30</t>
  </si>
  <si>
    <t>xmhpfp7561n0w0v@marketplace.amazon.in</t>
  </si>
  <si>
    <t>171-9722539-8471507</t>
  </si>
  <si>
    <t>TGNTtvML4</t>
  </si>
  <si>
    <t>DTw0VdhpcH0yR</t>
  </si>
  <si>
    <t>2026-07-03T08:25:47+05:30</t>
  </si>
  <si>
    <t>2026-07-03T11:17:43+05:30</t>
  </si>
  <si>
    <t>2026-07-03T11:17:46+05:30</t>
  </si>
  <si>
    <t>2026-07-03T12:17:57+05:30</t>
  </si>
  <si>
    <t>br0w1vw24jjqf7m@marketplace.amazon.in</t>
  </si>
  <si>
    <t>171-0867092-8961165</t>
  </si>
  <si>
    <t>TJHMlPMM4</t>
  </si>
  <si>
    <t>D16PVjhxcB0hR</t>
  </si>
  <si>
    <t>2026-07-03T10:03:52+05:30</t>
  </si>
  <si>
    <t>2026-07-03T11:17:45+05:30</t>
  </si>
  <si>
    <t>2026-07-03T14:17:59+05:30</t>
  </si>
  <si>
    <t>ck2n15x4fczr3rn@marketplace.amazon.in</t>
  </si>
  <si>
    <t>402-3857665-5645102</t>
  </si>
  <si>
    <t>TVsVNSMr4</t>
  </si>
  <si>
    <t>DxKG2xh8c80RR</t>
  </si>
  <si>
    <t>2026-07-02T22:28:36+05:30</t>
  </si>
  <si>
    <t>2026-07-03T11:15:43+05:30</t>
  </si>
  <si>
    <t>2026-07-03T11:15:45+05:30</t>
  </si>
  <si>
    <t>2026-07-03T12:15:57+05:30</t>
  </si>
  <si>
    <t>7ff81sgqp4fkq46@marketplace.amazon.in</t>
  </si>
  <si>
    <t>404-9884977-0049935</t>
  </si>
  <si>
    <t>TnCJ18MJ4</t>
  </si>
  <si>
    <t>DpP9V2h8cp0FR</t>
  </si>
  <si>
    <t>2026-07-03T06:23:25+05:30</t>
  </si>
  <si>
    <t>2026-07-03T11:12:46+05:30</t>
  </si>
  <si>
    <t>2026-07-03T14:12:58+05:30</t>
  </si>
  <si>
    <t>zps5dxqhx21gk9c@marketplace.amazon.in</t>
  </si>
  <si>
    <t>403-7353397-0525135</t>
  </si>
  <si>
    <t>TGFj6fMk4</t>
  </si>
  <si>
    <t>Dck923hqcS0WR</t>
  </si>
  <si>
    <t>2026-07-03T09:28:25+05:30</t>
  </si>
  <si>
    <t>2026-07-03T11:08:41+05:30</t>
  </si>
  <si>
    <t>2026-07-03T14:08:52+05:30</t>
  </si>
  <si>
    <t>p39t7nm72dbrwkb@marketplace.amazon.in</t>
  </si>
  <si>
    <t>408-6403878-3755526</t>
  </si>
  <si>
    <t>T3dBn8MT4</t>
  </si>
  <si>
    <t>D51L21hPcX0PR</t>
  </si>
  <si>
    <t>2026-07-03T06:54:23+05:30</t>
  </si>
  <si>
    <t>2026-07-03T11:04:36+05:30</t>
  </si>
  <si>
    <t>2026-07-03T11:04:39+05:30</t>
  </si>
  <si>
    <t>2026-07-03T12:04:50+05:30</t>
  </si>
  <si>
    <t>8b1k8krc08m085r@marketplace.amazon.in</t>
  </si>
  <si>
    <t>408-8092510-2863549</t>
  </si>
  <si>
    <t>Tc4tqW2K4</t>
  </si>
  <si>
    <t>Dghs2hhBcx0wR</t>
  </si>
  <si>
    <t>2026-07-02T23:24:38+05:30</t>
  </si>
  <si>
    <t>2026-07-03T11:00:47+05:30</t>
  </si>
  <si>
    <t>2026-07-03T11:00:53+05:30</t>
  </si>
  <si>
    <t>2026-07-03T12:05:21+05:30</t>
  </si>
  <si>
    <t>7rnyv0mlw4l1y29@marketplace.amazon.in</t>
  </si>
  <si>
    <t>Attingal</t>
  </si>
  <si>
    <t>404-5703914-3490707</t>
  </si>
  <si>
    <t>TXmJtXMW4</t>
  </si>
  <si>
    <t>DKQWFkhFcT0xR</t>
  </si>
  <si>
    <t>2026-07-03T08:03:30+05:30</t>
  </si>
  <si>
    <t>2026-07-03T10:40:46+05:30</t>
  </si>
  <si>
    <t>2026-07-03T13:40:58+05:30</t>
  </si>
  <si>
    <t>dr354vkjsbm7yjs@marketplace.amazon.in</t>
  </si>
  <si>
    <t>406-6000011-3857102</t>
  </si>
  <si>
    <t>T3VKlq2v4</t>
  </si>
  <si>
    <t>DP1rDVhQcG01R</t>
  </si>
  <si>
    <t>2026-07-02T20:55:20+05:30</t>
  </si>
  <si>
    <t>2026-07-03T10:30:51+05:30</t>
  </si>
  <si>
    <t>2026-07-03T13:31:06+05:30</t>
  </si>
  <si>
    <t>01v29wytbr2mwhp@marketplace.amazon.in</t>
  </si>
  <si>
    <t>404-1248533-3652322</t>
  </si>
  <si>
    <t>TV2MqS2l4</t>
  </si>
  <si>
    <t>DVDsDYhdch0YR</t>
  </si>
  <si>
    <t>2026-07-02T23:48:27+05:30</t>
  </si>
  <si>
    <t>2026-07-03T10:28:46+05:30</t>
  </si>
  <si>
    <t>2026-07-03T13:29:03+05:30</t>
  </si>
  <si>
    <t>scwpw908npg7xy6@marketplace.amazon.in</t>
  </si>
  <si>
    <t>408-8208281-1735551</t>
  </si>
  <si>
    <t>TCRnl72R4</t>
  </si>
  <si>
    <t>DD9nDxh7cy07R</t>
  </si>
  <si>
    <t>2026-07-02T21:36:43+05:30</t>
  </si>
  <si>
    <t>2026-07-03T10:27:43+05:30</t>
  </si>
  <si>
    <t>2026-07-03T13:27:54+05:30</t>
  </si>
  <si>
    <t>3z4x0yc2dmkhqkp@marketplace.amazon.in</t>
  </si>
  <si>
    <t>407-1183521-1052346</t>
  </si>
  <si>
    <t>TVW0PtMb4</t>
  </si>
  <si>
    <t>DdnrDJhzcF0XR</t>
  </si>
  <si>
    <t>2026-07-03T08:51:45+05:30</t>
  </si>
  <si>
    <t>2026-07-03T10:23:45+05:30</t>
  </si>
  <si>
    <t>2026-07-03T13:23:59+05:30</t>
  </si>
  <si>
    <t>ttv07t2901t9516@marketplace.amazon.in</t>
  </si>
  <si>
    <t>408-0470461-5635545</t>
  </si>
  <si>
    <t>TCGr7hMv4</t>
  </si>
  <si>
    <t>Dz9nYlhWch0VR</t>
  </si>
  <si>
    <t>2026-07-03T03:55:56+05:30</t>
  </si>
  <si>
    <t>2026-07-03T10:12:44+05:30</t>
  </si>
  <si>
    <t>2026-07-03T13:12:59+05:30</t>
  </si>
  <si>
    <t>p5683f50283f3xj@marketplace.amazon.in</t>
  </si>
  <si>
    <t>402-9212440-9683539</t>
  </si>
  <si>
    <t>TcSbTsMl4</t>
  </si>
  <si>
    <t>DcjNY4hPc30WR</t>
  </si>
  <si>
    <t>2026-07-03T07:34:12+05:30</t>
  </si>
  <si>
    <t>2026-07-03T10:11:44+05:30</t>
  </si>
  <si>
    <t>2026-07-03T13:11:55+05:30</t>
  </si>
  <si>
    <t>bypcb93hcn19g64@marketplace.amazon.in</t>
  </si>
  <si>
    <t>171-9263480-3537163</t>
  </si>
  <si>
    <t>TgHht92z4</t>
  </si>
  <si>
    <t>Dr0JYkhScl0PR</t>
  </si>
  <si>
    <t>2026-07-02T20:32:59+05:30</t>
  </si>
  <si>
    <t>2026-07-03T10:05:44+05:30</t>
  </si>
  <si>
    <t>2026-07-03T13:05:56+05:30</t>
  </si>
  <si>
    <t>mwhmhf0zp785h0n@marketplace.amazon.in</t>
  </si>
  <si>
    <t>403-5943506-8260336</t>
  </si>
  <si>
    <t>TX8dnFMh4</t>
  </si>
  <si>
    <t>DngYyrhfcN0zR</t>
  </si>
  <si>
    <t>2026-07-03T08:21:16+05:30</t>
  </si>
  <si>
    <t>2026-07-03T09:56:41+05:30</t>
  </si>
  <si>
    <t>2026-07-03T12:56:57+05:30</t>
  </si>
  <si>
    <t>404-3145013-0447547</t>
  </si>
  <si>
    <t>T1pV0v224</t>
  </si>
  <si>
    <t>D8hQyfh8cg0gR</t>
  </si>
  <si>
    <t>2026-07-02T23:04:53+05:30</t>
  </si>
  <si>
    <t>2026-07-03T09:50:46+05:30</t>
  </si>
  <si>
    <t>2026-07-03T09:50:50+05:30</t>
  </si>
  <si>
    <t>2026-07-03T10:51:02+05:30</t>
  </si>
  <si>
    <t>d2z84sn84hjzkxp@marketplace.amazon.in</t>
  </si>
  <si>
    <t>Maliya hatina</t>
  </si>
  <si>
    <t>408-7476838-6362724</t>
  </si>
  <si>
    <t>TgWqpKtf4</t>
  </si>
  <si>
    <t>DRF1w8hWcZ09R</t>
  </si>
  <si>
    <t>2026-07-02T00:45:38+05:30</t>
  </si>
  <si>
    <t>2026-07-03T09:46:54+05:30</t>
  </si>
  <si>
    <t>2026-07-03T12:47:09+05:30</t>
  </si>
  <si>
    <t>dc55qsbpblxq4jl@marketplace.amazon.in</t>
  </si>
  <si>
    <t>403-3259573-8381161</t>
  </si>
  <si>
    <t>TGDlT1MK4</t>
  </si>
  <si>
    <t>Ds2fwkhVcT0pR</t>
  </si>
  <si>
    <t>2026-07-03T07:44:31+05:30</t>
  </si>
  <si>
    <t>2026-07-03T09:37:48+05:30</t>
  </si>
  <si>
    <t>2026-07-03T12:38:05+05:30</t>
  </si>
  <si>
    <t>r13thdn9km34xnt@marketplace.amazon.in</t>
  </si>
  <si>
    <t>171-9492736-0198760</t>
  </si>
  <si>
    <t>TVQZnc224</t>
  </si>
  <si>
    <t>DvGwwMhScX0wR</t>
  </si>
  <si>
    <t>2026-07-02T20:35:45+05:30</t>
  </si>
  <si>
    <t>2026-07-03T09:30:47+05:30</t>
  </si>
  <si>
    <t>2026-07-03T12:31:02+05:30</t>
  </si>
  <si>
    <t>z8ztr87pjfbbh6b@marketplace.amazon.in</t>
  </si>
  <si>
    <t>402-1965421-9470758</t>
  </si>
  <si>
    <t>Tw6zPwbC4</t>
  </si>
  <si>
    <t>DVX7BZhhcY0wR</t>
  </si>
  <si>
    <t>2026-07-01T15:18:10+05:30</t>
  </si>
  <si>
    <t>2026-07-03T09:24:44+05:30</t>
  </si>
  <si>
    <t>2026-07-03T09:24:48+05:30</t>
  </si>
  <si>
    <t>2026-07-03T10:25:05+05:30</t>
  </si>
  <si>
    <t>k3057ys8dngrzgj@marketplace.amazon.in</t>
  </si>
  <si>
    <t>171-2149501-7977909</t>
  </si>
  <si>
    <t>TckSnL2H4</t>
  </si>
  <si>
    <t>DDqMB9h3cd0kR</t>
  </si>
  <si>
    <t>2026-07-02T20:32:17+05:30</t>
  </si>
  <si>
    <t>2026-07-03T09:15:42+05:30</t>
  </si>
  <si>
    <t>2026-07-03T12:15:55+05:30</t>
  </si>
  <si>
    <t>1grjbpsvvlhz6hg@marketplace.amazon.in</t>
  </si>
  <si>
    <t>MIRZAPUR CUM VINDHYACHAL</t>
  </si>
  <si>
    <t>408-6154300-1801948</t>
  </si>
  <si>
    <t>Tn8ggB2M4</t>
  </si>
  <si>
    <t>Dz3346hDc10pR</t>
  </si>
  <si>
    <t>2026-07-02T23:53:14+05:30</t>
  </si>
  <si>
    <t>2026-07-03T08:53:41+05:30</t>
  </si>
  <si>
    <t>2026-07-03T11:53:52+05:30</t>
  </si>
  <si>
    <t>z41trgjk0zyx7dz@marketplace.amazon.in</t>
  </si>
  <si>
    <t>406-1407611-3384365</t>
  </si>
  <si>
    <t>T16LKC2H4</t>
  </si>
  <si>
    <t>DFc3X7zzcL0tR</t>
  </si>
  <si>
    <t>2026-07-02T22:04:17+05:30</t>
  </si>
  <si>
    <t>2026-07-03T04:49:45+05:30</t>
  </si>
  <si>
    <t>2026-07-03T07:49:57+05:30</t>
  </si>
  <si>
    <t>w7d2x1wdt6zqkrr@marketplace.amazon.in</t>
  </si>
  <si>
    <t>406-8649873-4350742</t>
  </si>
  <si>
    <t>TGlKK32G4</t>
  </si>
  <si>
    <t>DVcyCZzhc30sR</t>
  </si>
  <si>
    <t>2026-07-02T22:09:39+05:30</t>
  </si>
  <si>
    <t>2026-07-03T04:27:40+05:30</t>
  </si>
  <si>
    <t>2026-07-03T04:27:43+05:30</t>
  </si>
  <si>
    <t>2026-07-03T05:27:54+05:30</t>
  </si>
  <si>
    <t>v7399wv6hp29xdy@marketplace.amazon.in</t>
  </si>
  <si>
    <t>171-6122183-4873917</t>
  </si>
  <si>
    <t>TnC7gTVF4</t>
  </si>
  <si>
    <t>DxV8pDzGcN0VR</t>
  </si>
  <si>
    <t>2026-07-02T14:43:04+05:30</t>
  </si>
  <si>
    <t>2026-07-03T04:17:44+05:30</t>
  </si>
  <si>
    <t>2026-07-03T07:17:56+05:30</t>
  </si>
  <si>
    <t>s63jsjv6ln12j93@marketplace.amazon.in</t>
  </si>
  <si>
    <t>403-9231170-8164363</t>
  </si>
  <si>
    <t>TVZQ2w2t4</t>
  </si>
  <si>
    <t>DBVDpHzPcN0VR</t>
  </si>
  <si>
    <t>2026-07-02T17:55:24+05:30</t>
  </si>
  <si>
    <t>2026-07-03T04:16:55+05:30</t>
  </si>
  <si>
    <t>2026-07-03T07:17:10+05:30</t>
  </si>
  <si>
    <t>3p4p9d413843f0j@marketplace.amazon.in</t>
  </si>
  <si>
    <t>406-1855143-3016363</t>
  </si>
  <si>
    <t>TGn4gd2M4</t>
  </si>
  <si>
    <t>D1V3pxz1cN0VR</t>
  </si>
  <si>
    <t>2026-07-02T23:29:51+05:30</t>
  </si>
  <si>
    <t>2026-07-03T04:12:41+05:30</t>
  </si>
  <si>
    <t>2026-07-03T04:12:44+05:30</t>
  </si>
  <si>
    <t>2026-07-03T05:12:57+05:30</t>
  </si>
  <si>
    <t>r6ljq1w2gm2bqws@marketplace.amazon.in</t>
  </si>
  <si>
    <t>GAJRAULA</t>
  </si>
  <si>
    <t>407-4523591-8903554</t>
  </si>
  <si>
    <t>T1PPtT2J4</t>
  </si>
  <si>
    <t>DNsPpwzCc60NR</t>
  </si>
  <si>
    <t>2026-07-02T21:19:15+05:30</t>
  </si>
  <si>
    <t>2026-07-03T04:10:44+05:30</t>
  </si>
  <si>
    <t>2026-07-03T07:10:55+05:30</t>
  </si>
  <si>
    <t>1hpkl6bc4gcnlg7@marketplace.amazon.in</t>
  </si>
  <si>
    <t>Howrah</t>
  </si>
  <si>
    <t>406-3929873-0230743</t>
  </si>
  <si>
    <t>T1j9P2V64</t>
  </si>
  <si>
    <t>DMLXpXzDcc0qR</t>
  </si>
  <si>
    <t>2026-07-02T12:31:37+05:30</t>
  </si>
  <si>
    <t>2026-07-03T04:03:43+05:30</t>
  </si>
  <si>
    <t>2026-07-03T07:04:00+05:30</t>
  </si>
  <si>
    <t>xfc0w4pr7pmcsrk@marketplace.amazon.in</t>
  </si>
  <si>
    <t>Bilaspur</t>
  </si>
  <si>
    <t>408-4461158-6466745</t>
  </si>
  <si>
    <t>TCWrTjV04</t>
  </si>
  <si>
    <t>DMZzWwzlcv03R</t>
  </si>
  <si>
    <t>2026-07-02T11:19:38+05:30</t>
  </si>
  <si>
    <t>2026-07-03T04:00:51+05:30</t>
  </si>
  <si>
    <t>2026-07-03T07:01:07+05:30</t>
  </si>
  <si>
    <t>yp119bqny7z862v@marketplace.amazon.in</t>
  </si>
  <si>
    <t>HUBLI</t>
  </si>
  <si>
    <t>171-9804484-9778754</t>
  </si>
  <si>
    <t>TJlWhnVt4</t>
  </si>
  <si>
    <t>D6l1WfzZc20hR</t>
  </si>
  <si>
    <t>2026-07-02T15:30:34+05:30</t>
  </si>
  <si>
    <t>2026-07-03T03:52:42+05:30</t>
  </si>
  <si>
    <t>2026-07-03T06:52:54+05:30</t>
  </si>
  <si>
    <t>93j0746yj3x84hg@marketplace.amazon.in</t>
  </si>
  <si>
    <t>404-9057321-4308308</t>
  </si>
  <si>
    <t>TNlGRd254</t>
  </si>
  <si>
    <t>DN6bKPzSc20wR</t>
  </si>
  <si>
    <t>2026-07-02T16:33:19+05:30</t>
  </si>
  <si>
    <t>2026-07-03T03:39:42+05:30</t>
  </si>
  <si>
    <t>2026-07-03T06:39:54+05:30</t>
  </si>
  <si>
    <t>cz4vc35k4yrb0q2@marketplace.amazon.in</t>
  </si>
  <si>
    <t>Barwala</t>
  </si>
  <si>
    <t>406-2707388-4097920</t>
  </si>
  <si>
    <t>TnNsn4Vp4</t>
  </si>
  <si>
    <t>DgT0KkzVcy0BR</t>
  </si>
  <si>
    <t>2026-07-02T11:37:45+05:30</t>
  </si>
  <si>
    <t>2026-07-03T03:38:48+05:30</t>
  </si>
  <si>
    <t>2026-07-03T06:39:02+05:30</t>
  </si>
  <si>
    <t>07dzr4bt22plls8@marketplace.amazon.in</t>
  </si>
  <si>
    <t>402-0451939-0393101</t>
  </si>
  <si>
    <t>TCj0nX2L4</t>
  </si>
  <si>
    <t>DVJBKjzjcQ0KR</t>
  </si>
  <si>
    <t>2026-07-02T20:31:11+05:30</t>
  </si>
  <si>
    <t>2026-07-03T03:35:41+05:30</t>
  </si>
  <si>
    <t>2026-07-03T03:35:43+05:30</t>
  </si>
  <si>
    <t>2026-07-03T04:35:54+05:30</t>
  </si>
  <si>
    <t>b3tt73ghj36sk80@marketplace.amazon.in</t>
  </si>
  <si>
    <t>403-3100705-9346761</t>
  </si>
  <si>
    <t>TNl5KN2P4</t>
  </si>
  <si>
    <t>DL7JlRzlcy0jR</t>
  </si>
  <si>
    <t>2026-07-02T19:44:37+05:30</t>
  </si>
  <si>
    <t>2026-07-03T03:08:50+05:30</t>
  </si>
  <si>
    <t>2026-07-03T06:09:01+05:30</t>
  </si>
  <si>
    <t>z6tnqmmpfqyk4nf@marketplace.amazon.in</t>
  </si>
  <si>
    <t>408-0329528-1195530</t>
  </si>
  <si>
    <t>T6VL32254</t>
  </si>
  <si>
    <t>Dpqtl1zKcX0MR</t>
  </si>
  <si>
    <t>2026-07-02T20:22:52+05:30</t>
  </si>
  <si>
    <t>2026-07-03T02:52:44+05:30</t>
  </si>
  <si>
    <t>2026-07-03T05:52:57+05:30</t>
  </si>
  <si>
    <t>yjk06p36x7wmbmw@marketplace.amazon.in</t>
  </si>
  <si>
    <t>Haridwar</t>
  </si>
  <si>
    <t>403-0644553-2893134</t>
  </si>
  <si>
    <t>Tcds87b74</t>
  </si>
  <si>
    <t>DXcb04znc50VR</t>
  </si>
  <si>
    <t>2026-07-01T16:25:21+05:30</t>
  </si>
  <si>
    <t>2026-07-03T02:48:52+05:30</t>
  </si>
  <si>
    <t>2026-07-03T05:49:09+05:30</t>
  </si>
  <si>
    <t>f665kjvx0sz81m0@marketplace.amazon.in</t>
  </si>
  <si>
    <t>402-9070224-1263567</t>
  </si>
  <si>
    <t>TNK589V64</t>
  </si>
  <si>
    <t>DTFW0TzMcw0WR</t>
  </si>
  <si>
    <t>2026-07-01T19:54:47+05:30</t>
  </si>
  <si>
    <t>2026-07-03T02:47:48+05:30</t>
  </si>
  <si>
    <t>2026-07-03T05:48:09+05:30</t>
  </si>
  <si>
    <t>49jz6zh91f3b2bz@marketplace.amazon.in</t>
  </si>
  <si>
    <t>408-3479239-2260335</t>
  </si>
  <si>
    <t>T3WgPS2T4</t>
  </si>
  <si>
    <t>DrS060zscw0zR</t>
  </si>
  <si>
    <t>2026-07-02T21:07:54+05:30</t>
  </si>
  <si>
    <t>2026-07-03T02:26:45+05:30</t>
  </si>
  <si>
    <t>2026-07-03T05:26:58+05:30</t>
  </si>
  <si>
    <t>6jlvy8sctz42vgg@marketplace.amazon.in</t>
  </si>
  <si>
    <t>406-9158558-4736333</t>
  </si>
  <si>
    <t>TVhCFs2F4</t>
  </si>
  <si>
    <t>DwtV6MzTcy0fR</t>
  </si>
  <si>
    <t>2026-07-02T17:25:11+05:30</t>
  </si>
  <si>
    <t>2026-07-03T02:12:44+05:30</t>
  </si>
  <si>
    <t>5txk2mcrk4vhcfk@marketplace.amazon.in</t>
  </si>
  <si>
    <t>RATIA</t>
  </si>
  <si>
    <t>171-0819872-4290737</t>
  </si>
  <si>
    <t>TcBhxw2R4</t>
  </si>
  <si>
    <t>DBFmGSz3cs0HR</t>
  </si>
  <si>
    <t>2026-07-02T20:17:17+05:30</t>
  </si>
  <si>
    <t>2026-07-03T01:43:46+05:30</t>
  </si>
  <si>
    <t>2026-07-03T04:43:58+05:30</t>
  </si>
  <si>
    <t>rd8cphgdjhcrns5@marketplace.amazon.in</t>
  </si>
  <si>
    <t>2026-07-03T08:00:00+05:30</t>
  </si>
  <si>
    <t>407-4269375-6749965</t>
  </si>
  <si>
    <t>TNYMCJ2d4</t>
  </si>
  <si>
    <t>DCG1tnzrc40FR</t>
  </si>
  <si>
    <t>2026-07-02T22:16:07+05:30</t>
  </si>
  <si>
    <t>2026-07-03T01:23:45+05:30</t>
  </si>
  <si>
    <t>2026-07-03T04:23:57+05:30</t>
  </si>
  <si>
    <t>c7n41fz1hmm8vff@marketplace.amazon.in</t>
  </si>
  <si>
    <t>408-8217098-8269105</t>
  </si>
  <si>
    <t>TJMCz4V74</t>
  </si>
  <si>
    <t>DJ2Ctyzsc50FR</t>
  </si>
  <si>
    <t>2026-07-02T07:58:45+05:30</t>
  </si>
  <si>
    <t>2026-07-03T01:20:21+05:30</t>
  </si>
  <si>
    <t>2026-07-03T04:20:33+05:30</t>
  </si>
  <si>
    <t>hjtxbsjfsy2jqm5@marketplace.amazon.in</t>
  </si>
  <si>
    <t>GADAG BETIGERI</t>
  </si>
  <si>
    <t>405-1081315-9805902</t>
  </si>
  <si>
    <t>TcKzhFVK4</t>
  </si>
  <si>
    <t>D9mGPJz0ct06R</t>
  </si>
  <si>
    <t>2026-07-02T16:00:33+05:30</t>
  </si>
  <si>
    <t>2026-07-03T01:03:56+05:30</t>
  </si>
  <si>
    <t>2026-07-03T04:04:09+05:30</t>
  </si>
  <si>
    <t>hd0p41y5fc1r6s3@marketplace.amazon.in</t>
  </si>
  <si>
    <t>KALADHUNGI</t>
  </si>
  <si>
    <t>408-5747544-2417900</t>
  </si>
  <si>
    <t>Tclssm2C4</t>
  </si>
  <si>
    <t>DPtlP8zvcK0dR</t>
  </si>
  <si>
    <t>2026-07-02T19:45:54+05:30</t>
  </si>
  <si>
    <t>2026-07-03T01:00:38+05:30</t>
  </si>
  <si>
    <t>2026-07-03T01:00:41+05:30</t>
  </si>
  <si>
    <t>2026-07-03T02:00:52+05:30</t>
  </si>
  <si>
    <t>z637y1l0jzltbbk@marketplace.amazon.in</t>
  </si>
  <si>
    <t>404-0367587-0461163</t>
  </si>
  <si>
    <t>TJHLSQ2c4</t>
  </si>
  <si>
    <t>D8wrnRz4cm07R</t>
  </si>
  <si>
    <t>2026-07-02T22:18:37+05:30</t>
  </si>
  <si>
    <t>2026-07-03T00:28:39+05:30</t>
  </si>
  <si>
    <t>2026-07-03T00:28:43+05:30</t>
  </si>
  <si>
    <t>2026-07-03T01:28:53+05:30</t>
  </si>
  <si>
    <t>pwg8k422s3j7qzm@marketplace.amazon.in</t>
  </si>
  <si>
    <t>406-7968244-8445933</t>
  </si>
  <si>
    <t>T1L5VB2S4</t>
  </si>
  <si>
    <t>DldcnLzkcJ0LR</t>
  </si>
  <si>
    <t>2026-07-02T17:54:19+05:30</t>
  </si>
  <si>
    <t>2026-07-03T00:20:45+05:30</t>
  </si>
  <si>
    <t>2026-07-03T03:20:57+05:30</t>
  </si>
  <si>
    <t>0qt9x4vb6bd4tlq@marketplace.amazon.in</t>
  </si>
  <si>
    <t>406-2581706-7177132</t>
  </si>
  <si>
    <t>T1TklwVl4</t>
  </si>
  <si>
    <t>DG42xYzBc00HR</t>
  </si>
  <si>
    <t>2026-07-02T13:19:32+05:30</t>
  </si>
  <si>
    <t>2026-07-03T00:19:44+05:30</t>
  </si>
  <si>
    <t>2026-07-03T00:19:46+05:30</t>
  </si>
  <si>
    <t>2026-07-03T01:19:57+05:30</t>
  </si>
  <si>
    <t>nx3y2z9d3m6m9pr@marketplace.amazon.in</t>
  </si>
  <si>
    <t>171-5840188-4525962</t>
  </si>
  <si>
    <t>TCTvmj2Q4</t>
  </si>
  <si>
    <t>DTdCngzccL0cR</t>
  </si>
  <si>
    <t>2026-07-02T21:28:19+05:30</t>
  </si>
  <si>
    <t>2026-07-03T00:18:45+05:30</t>
  </si>
  <si>
    <t>2026-07-03T00:18:48+05:30</t>
  </si>
  <si>
    <t>2026-07-03T01:18:59+05:30</t>
  </si>
  <si>
    <t>kgn65wq9lygp43t@marketplace.amazon.in</t>
  </si>
  <si>
    <t>408-0118891-6692379</t>
  </si>
  <si>
    <t>TnvjTl2P4</t>
  </si>
  <si>
    <t>DR8lx8zjc60mR</t>
  </si>
  <si>
    <t>2026-07-02T21:15:04+05:30</t>
  </si>
  <si>
    <t>2026-07-03T00:17:46+05:30</t>
  </si>
  <si>
    <t>2026-07-03T03:17:57+05:30</t>
  </si>
  <si>
    <t>cfpp5r9b5bm3jd4@marketplace.amazon.in</t>
  </si>
  <si>
    <t>JUNNAR</t>
  </si>
  <si>
    <t>406-0351379-8201125</t>
  </si>
  <si>
    <t>T1V6S12h4</t>
  </si>
  <si>
    <t>Db80xBzmc60mR</t>
  </si>
  <si>
    <t>2026-07-02T22:52:08+05:30</t>
  </si>
  <si>
    <t>2026-07-03T00:15:44+05:30</t>
  </si>
  <si>
    <t>2026-07-03T03:15:58+05:30</t>
  </si>
  <si>
    <t>kny869lt8p616db@marketplace.amazon.in</t>
  </si>
  <si>
    <t>404-0185582-8939504</t>
  </si>
  <si>
    <t>TNg8LR2H4</t>
  </si>
  <si>
    <t>DDwCxgzMcd0pR</t>
  </si>
  <si>
    <t>2026-07-02T19:13:21+05:30</t>
  </si>
  <si>
    <t>2026-07-03T00:13:54+05:30</t>
  </si>
  <si>
    <t>2026-07-03T03:14:09+05:30</t>
  </si>
  <si>
    <t>ltq4pv6g7fgzt8f@marketplace.amazon.in</t>
  </si>
  <si>
    <t>408-7822872-7569919</t>
  </si>
  <si>
    <t>TClv0q2N4</t>
  </si>
  <si>
    <t>DHQPxgzbc907R</t>
  </si>
  <si>
    <t>2026-07-02T21:10:49+05:30</t>
  </si>
  <si>
    <t>2026-07-03T00:08:48+05:30</t>
  </si>
  <si>
    <t>2026-07-03T03:09:01+05:30</t>
  </si>
  <si>
    <t>j7007wfz4bfkyvr@marketplace.amazon.in</t>
  </si>
  <si>
    <t>DxQDxgzbc907R</t>
  </si>
  <si>
    <t>171-1589430-5433969</t>
  </si>
  <si>
    <t>TG3jBG2y4</t>
  </si>
  <si>
    <t>D1c73GzgcP09R</t>
  </si>
  <si>
    <t>2026-07-02T16:26:51+05:30</t>
  </si>
  <si>
    <t>2026-07-02T23:50:46+05:30</t>
  </si>
  <si>
    <t>2026-07-03T02:50:59+05:30</t>
  </si>
  <si>
    <t>rl9nymb6bv0q9rd@marketplace.amazon.in</t>
  </si>
  <si>
    <t>405-6050779-0630762</t>
  </si>
  <si>
    <t>TcDNFk264</t>
  </si>
  <si>
    <t>Dhx43czrcw0gR</t>
  </si>
  <si>
    <t>2026-07-02T18:01:56+05:30</t>
  </si>
  <si>
    <t>2026-07-02T23:45:42+05:30</t>
  </si>
  <si>
    <t>2026-07-02T23:45:44+05:30</t>
  </si>
  <si>
    <t>2026-07-03T00:45:55+05:30</t>
  </si>
  <si>
    <t>5z37gn96fqt4423@marketplace.amazon.in</t>
  </si>
  <si>
    <t>407-0214115-2125933</t>
  </si>
  <si>
    <t>Tc4SBr2G4</t>
  </si>
  <si>
    <t>DY47Jyz6c90qR</t>
  </si>
  <si>
    <t>2026-07-02T17:18:34+05:30</t>
  </si>
  <si>
    <t>2026-07-02T23:41:45+05:30</t>
  </si>
  <si>
    <t>2026-07-03T02:41:58+05:30</t>
  </si>
  <si>
    <t>2py9m31mq89kbx3@marketplace.amazon.in</t>
  </si>
  <si>
    <t>404-3044610-7366747</t>
  </si>
  <si>
    <t>T673tt2M4</t>
  </si>
  <si>
    <t>Dd4VJkzdc90qR</t>
  </si>
  <si>
    <t>2026-07-02T20:58:19+05:30</t>
  </si>
  <si>
    <t>2026-07-02T23:41:42+05:30</t>
  </si>
  <si>
    <t>2026-07-03T02:41:56+05:30</t>
  </si>
  <si>
    <t>408-5496308-2615520</t>
  </si>
  <si>
    <t>TVnwN6254</t>
  </si>
  <si>
    <t>D3hfJ7zzc603R</t>
  </si>
  <si>
    <t>2026-07-02T15:50:01+05:30</t>
  </si>
  <si>
    <t>2026-07-02T23:39:44+05:30</t>
  </si>
  <si>
    <t>2026-07-03T02:39:55+05:30</t>
  </si>
  <si>
    <t>c5zwlkxncsr6350@marketplace.amazon.in</t>
  </si>
  <si>
    <t>Bambawade</t>
  </si>
  <si>
    <t>404-7949631-7622713</t>
  </si>
  <si>
    <t>TgjsxF214</t>
  </si>
  <si>
    <t>D77TrqzScV0gR</t>
  </si>
  <si>
    <t>2026-07-02T20:15:48+05:30</t>
  </si>
  <si>
    <t>2026-07-02T22:56:46+05:30</t>
  </si>
  <si>
    <t>2026-07-03T01:56:57+05:30</t>
  </si>
  <si>
    <t>px46mrq61r8dcpm@marketplace.amazon.in</t>
  </si>
  <si>
    <t>BAGALKOT</t>
  </si>
  <si>
    <t>407-7262091-2342752</t>
  </si>
  <si>
    <t>TnNg7Y2B4</t>
  </si>
  <si>
    <t>Dz5fr4zGcV04R</t>
  </si>
  <si>
    <t>2026-07-02T19:25:05+05:30</t>
  </si>
  <si>
    <t>2026-07-02T22:53:42+05:30</t>
  </si>
  <si>
    <t>2026-07-03T01:53:55+05:30</t>
  </si>
  <si>
    <t>dk74g9t3p56x7v4@marketplace.amazon.in</t>
  </si>
  <si>
    <t>408-8567787-5233935</t>
  </si>
  <si>
    <t>T3j2s7274</t>
  </si>
  <si>
    <t>DzgXr7zlc00XR</t>
  </si>
  <si>
    <t>2026-07-02T19:06:13+05:30</t>
  </si>
  <si>
    <t>2026-07-02T22:46:46+05:30</t>
  </si>
  <si>
    <t>2026-07-03T01:46:59+05:30</t>
  </si>
  <si>
    <t>408-9119747-7152349</t>
  </si>
  <si>
    <t>TgCXX2bd4</t>
  </si>
  <si>
    <t>DRWTrczncs0WR</t>
  </si>
  <si>
    <t>2026-07-01T18:17:55+05:30</t>
  </si>
  <si>
    <t>2026-07-02T22:45:42+05:30</t>
  </si>
  <si>
    <t>2026-07-02T22:45:47+05:30</t>
  </si>
  <si>
    <t>2026-07-02T23:50:23+05:30</t>
  </si>
  <si>
    <t>jcytzbxwwwbq91c@marketplace.amazon.in</t>
  </si>
  <si>
    <t>406-1238288-5286717</t>
  </si>
  <si>
    <t>Tw4gpLVD4</t>
  </si>
  <si>
    <t>DJ1r7CzHcQ0cR</t>
  </si>
  <si>
    <t>2026-07-02T13:45:46+05:30</t>
  </si>
  <si>
    <t>2026-07-02T22:33:52+05:30</t>
  </si>
  <si>
    <t>2026-07-03T01:34:07+05:30</t>
  </si>
  <si>
    <t>7s5j8wgl3nlhqd2@marketplace.amazon.in</t>
  </si>
  <si>
    <t>406-0448935-7938767</t>
  </si>
  <si>
    <t>TwDNPHV94</t>
  </si>
  <si>
    <t>DjwCLpzGc60tR</t>
  </si>
  <si>
    <t>2026-07-02T12:14:55+05:30</t>
  </si>
  <si>
    <t>2026-07-02T22:12:51+05:30</t>
  </si>
  <si>
    <t>2026-07-02T22:12:56+05:30</t>
  </si>
  <si>
    <t>2026-07-02T23:13:16+05:30</t>
  </si>
  <si>
    <t>vbg67p6phpptbsx@marketplace.amazon.in</t>
  </si>
  <si>
    <t>408-2034989-9981151</t>
  </si>
  <si>
    <t>Tn5snbVS4</t>
  </si>
  <si>
    <t>DCS5syz1cP0rR</t>
  </si>
  <si>
    <t>2026-07-02T11:30:24+05:30</t>
  </si>
  <si>
    <t>2026-07-02T21:58:43+05:30</t>
  </si>
  <si>
    <t>2026-07-02T21:58:45+05:30</t>
  </si>
  <si>
    <t>2026-07-02T22:58:56+05:30</t>
  </si>
  <si>
    <t>h84c148pv1qtl9r@marketplace.amazon.in</t>
  </si>
  <si>
    <t>404-7141518-1893116</t>
  </si>
  <si>
    <t>TJ3V3k2w4</t>
  </si>
  <si>
    <t>DBc1QzzTcb0ZR</t>
  </si>
  <si>
    <t>2026-07-02T20:14:10+05:30</t>
  </si>
  <si>
    <t>2026-07-02T21:34:39+05:30</t>
  </si>
  <si>
    <t>2026-07-02T21:34:41+05:30</t>
  </si>
  <si>
    <t>2026-07-02T22:34:52+05:30</t>
  </si>
  <si>
    <t>543fp4xvwfbdj3n@marketplace.amazon.in</t>
  </si>
  <si>
    <t>406-3965193-5725151</t>
  </si>
  <si>
    <t>Tg5tzs284</t>
  </si>
  <si>
    <t>D8zrc4zrcT0XR</t>
  </si>
  <si>
    <t>2026-07-02T19:36:38+05:30</t>
  </si>
  <si>
    <t>2026-07-02T21:20:41+05:30</t>
  </si>
  <si>
    <t>2026-07-03T00:20:52+05:30</t>
  </si>
  <si>
    <t>0krtn3nzyb3v1r4@marketplace.amazon.in</t>
  </si>
  <si>
    <t>Tiruvallur</t>
  </si>
  <si>
    <t>408-6025714-2898702</t>
  </si>
  <si>
    <t>TVrwFT294</t>
  </si>
  <si>
    <t>DSZHv5zHc00NR</t>
  </si>
  <si>
    <t>2026-07-02T17:21:08+05:30</t>
  </si>
  <si>
    <t>2026-07-02T21:05:43+05:30</t>
  </si>
  <si>
    <t>2026-07-02T21:05:46+05:30</t>
  </si>
  <si>
    <t>2026-07-02T22:05:56+05:30</t>
  </si>
  <si>
    <t>v10zchv1t1zkm0r@marketplace.amazon.in</t>
  </si>
  <si>
    <t>402-0461165-9881158</t>
  </si>
  <si>
    <t>TXXttFVm4</t>
  </si>
  <si>
    <t>DDwpvhzqcj0dR</t>
  </si>
  <si>
    <t>2026-07-02T13:42:31+05:30</t>
  </si>
  <si>
    <t>2026-07-02T21:03:55+05:30</t>
  </si>
  <si>
    <t>2026-07-03T00:04:15+05:30</t>
  </si>
  <si>
    <t>2s5yyswjhvcjx4n@marketplace.amazon.in</t>
  </si>
  <si>
    <t>405-3202908-6727537</t>
  </si>
  <si>
    <t>TgtTm3b54</t>
  </si>
  <si>
    <t>DWwZvgzWcj0dR</t>
  </si>
  <si>
    <t>2026-07-01T16:07:08+05:30</t>
  </si>
  <si>
    <t>2026-07-02T21:01:42+05:30</t>
  </si>
  <si>
    <t>2026-07-03T00:01:55+05:30</t>
  </si>
  <si>
    <t>yrqkyj9r3jp15zd@marketplace.amazon.in</t>
  </si>
  <si>
    <t>403-2921969-0373166</t>
  </si>
  <si>
    <t>TGS4q6VR4</t>
  </si>
  <si>
    <t>Ddb2vlzQcY0vR</t>
  </si>
  <si>
    <t>2026-07-02T14:17:58+05:30</t>
  </si>
  <si>
    <t>2026-07-02T21:00:46+05:30</t>
  </si>
  <si>
    <t>2026-07-03T00:00:58+05:30</t>
  </si>
  <si>
    <t>j4ms1rnzjdpsx8m@marketplace.amazon.in</t>
  </si>
  <si>
    <t>406-7453193-9730741</t>
  </si>
  <si>
    <t>T3RdldVj4</t>
  </si>
  <si>
    <t>D8w7vBztcj0dR</t>
  </si>
  <si>
    <t>2026-07-02T13:26:23+05:30</t>
  </si>
  <si>
    <t>2026-07-02T20:59:43+05:30</t>
  </si>
  <si>
    <t>2026-07-02T20:59:46+05:30</t>
  </si>
  <si>
    <t>2026-07-02T21:59:57+05:30</t>
  </si>
  <si>
    <t>w77f5n8n88h1tny@marketplace.amazon.in</t>
  </si>
  <si>
    <t>KHATIMA</t>
  </si>
  <si>
    <t>402-0449145-1101946</t>
  </si>
  <si>
    <t>TcXgFR234</t>
  </si>
  <si>
    <t>DSgWzvzVcM0gR</t>
  </si>
  <si>
    <t>2026-07-02T15:33:28+05:30</t>
  </si>
  <si>
    <t>2026-07-02T20:48:41+05:30</t>
  </si>
  <si>
    <t>2026-07-02T23:48:52+05:30</t>
  </si>
  <si>
    <t>34sx4gl98m3cvz6@marketplace.amazon.in</t>
  </si>
  <si>
    <t>407-1944328-3494718</t>
  </si>
  <si>
    <t>T3lsyH2n4</t>
  </si>
  <si>
    <t>DJCYzyzkcY0XR</t>
  </si>
  <si>
    <t>2026-07-02T17:15:23+05:30</t>
  </si>
  <si>
    <t>2026-07-02T20:43:42+05:30</t>
  </si>
  <si>
    <t>2026-07-02T23:43:55+05:30</t>
  </si>
  <si>
    <t>bnvgtvqxs9bgm7r@marketplace.amazon.in</t>
  </si>
  <si>
    <t>402-4660746-1370722</t>
  </si>
  <si>
    <t>TVp307Vf4</t>
  </si>
  <si>
    <t>Dy4yVJzTc70cR</t>
  </si>
  <si>
    <t>2026-07-02T12:02:08+05:30</t>
  </si>
  <si>
    <t>2026-07-02T20:31:41+05:30</t>
  </si>
  <si>
    <t>2026-07-02T23:31:54+05:30</t>
  </si>
  <si>
    <t>82y33r8gyccl7gm@marketplace.amazon.in</t>
  </si>
  <si>
    <t>171-0921965-4473953</t>
  </si>
  <si>
    <t>TgLJrnVN4</t>
  </si>
  <si>
    <t>DrMhVVzNcr0PR</t>
  </si>
  <si>
    <t>2026-07-02T11:13:41+05:30</t>
  </si>
  <si>
    <t>2026-07-02T20:29:46+05:30</t>
  </si>
  <si>
    <t>2026-07-02T20:29:49+05:30</t>
  </si>
  <si>
    <t>2026-07-02T21:30:02+05:30</t>
  </si>
  <si>
    <t>6n18pczb5mxhncx@marketplace.amazon.in</t>
  </si>
  <si>
    <t>BHANDARA</t>
  </si>
  <si>
    <t>171-2707892-4868326</t>
  </si>
  <si>
    <t>TCzrgrV14</t>
  </si>
  <si>
    <t>DQsvVczvcx01R</t>
  </si>
  <si>
    <t>2026-07-02T14:54:18+05:30</t>
  </si>
  <si>
    <t>2026-07-02T20:23:40+05:30</t>
  </si>
  <si>
    <t>2026-07-02T20:23:44+05:30</t>
  </si>
  <si>
    <t>2026-07-02T21:23:55+05:30</t>
  </si>
  <si>
    <t>rswzw9pykf782yv@marketplace.amazon.in</t>
  </si>
  <si>
    <t>405-6791049-0533956</t>
  </si>
  <si>
    <t>TNF6xnVB4</t>
  </si>
  <si>
    <t>D8Ly27zYcb0JR</t>
  </si>
  <si>
    <t>2026-07-02T11:09:17+05:30</t>
  </si>
  <si>
    <t>2026-07-02T20:05:52+05:30</t>
  </si>
  <si>
    <t>2026-07-02T23:06:05+05:30</t>
  </si>
  <si>
    <t>w0y4rnygd9wkfwj@marketplace.amazon.in</t>
  </si>
  <si>
    <t>171-4072845-3171505</t>
  </si>
  <si>
    <t>TVlm6BV94</t>
  </si>
  <si>
    <t>DXLr2Mzkcb0JR</t>
  </si>
  <si>
    <t>2026-07-02T12:47:39+05:30</t>
  </si>
  <si>
    <t>2026-07-02T20:03:43+05:30</t>
  </si>
  <si>
    <t>2026-07-02T23:03:54+05:30</t>
  </si>
  <si>
    <t>px8jqwym2045vq7@marketplace.amazon.in</t>
  </si>
  <si>
    <t>404-0342285-2638774</t>
  </si>
  <si>
    <t>TNk6MJV74</t>
  </si>
  <si>
    <t>Dd99F5z5c70hR</t>
  </si>
  <si>
    <t>2026-07-02T10:28:47+05:30</t>
  </si>
  <si>
    <t>2026-07-02T19:54:48+05:30</t>
  </si>
  <si>
    <t>2026-07-02T22:55:01+05:30</t>
  </si>
  <si>
    <t>grh88zzh7y2y5z7@marketplace.amazon.in</t>
  </si>
  <si>
    <t>405-4662886-7936309</t>
  </si>
  <si>
    <t>TXt1mwVJ4</t>
  </si>
  <si>
    <t>D2lMF5zBcy0gR</t>
  </si>
  <si>
    <t>2026-07-02T13:12:24+05:30</t>
  </si>
  <si>
    <t>2026-07-02T19:50:43+05:30</t>
  </si>
  <si>
    <t>2026-07-02T19:50:46+05:30</t>
  </si>
  <si>
    <t>2026-07-02T20:50:57+05:30</t>
  </si>
  <si>
    <t>3hbnf708d48p465@marketplace.amazon.in</t>
  </si>
  <si>
    <t>408-4528988-1490731</t>
  </si>
  <si>
    <t>TXGl51Vy4</t>
  </si>
  <si>
    <t>D1xdFTzJcf0SR</t>
  </si>
  <si>
    <t>2026-07-02T14:33:09+05:30</t>
  </si>
  <si>
    <t>2026-07-02T19:44:50+05:30</t>
  </si>
  <si>
    <t>2026-07-02T22:45:13+05:30</t>
  </si>
  <si>
    <t>9ysgl4g50nr86ys@marketplace.amazon.in</t>
  </si>
  <si>
    <t>402-5634782-3019516</t>
  </si>
  <si>
    <t>TwDpnwVF4</t>
  </si>
  <si>
    <t>D09HDyzPct0VR</t>
  </si>
  <si>
    <t>2026-07-02T11:01:34+05:30</t>
  </si>
  <si>
    <t>2026-07-02T19:40:46+05:30</t>
  </si>
  <si>
    <t>2026-07-02T22:41:01+05:30</t>
  </si>
  <si>
    <t>6fbr00yv61pfb76@marketplace.amazon.in</t>
  </si>
  <si>
    <t>402-7170590-5561105</t>
  </si>
  <si>
    <t>T6D07lVb4</t>
  </si>
  <si>
    <t>DFSTYczvcp0hR</t>
  </si>
  <si>
    <t>2026-07-02T10:27:54+05:30</t>
  </si>
  <si>
    <t>2026-07-02T19:26:52+05:30</t>
  </si>
  <si>
    <t>2026-07-02T22:27:03+05:30</t>
  </si>
  <si>
    <t>v4gbblqmrfpt1kh@marketplace.amazon.in</t>
  </si>
  <si>
    <t>BANDHAWAGARH</t>
  </si>
  <si>
    <t>403-9527220-8826700</t>
  </si>
  <si>
    <t>TVq0r4Vp4</t>
  </si>
  <si>
    <t>DCR1YNzpc205R</t>
  </si>
  <si>
    <t>2026-07-02T10:44:49+05:30</t>
  </si>
  <si>
    <t>2026-07-02T19:14:46+05:30</t>
  </si>
  <si>
    <t>2026-07-02T22:14:59+05:30</t>
  </si>
  <si>
    <t>6f603zg89tmtdp6@marketplace.amazon.in</t>
  </si>
  <si>
    <t>171-3575314-1931568</t>
  </si>
  <si>
    <t>TNsQ6FVQ4</t>
  </si>
  <si>
    <t>DydJYHzmcG0kR</t>
  </si>
  <si>
    <t>2026-06-27T19:57:52+05:30</t>
  </si>
  <si>
    <t>2026-07-02T19:13:45+05:30</t>
  </si>
  <si>
    <t>2026-07-02T22:14:05+05:30</t>
  </si>
  <si>
    <t>jxn4vj5qqqjg9qt@marketplace.amazon.in</t>
  </si>
  <si>
    <t>404-3260567-5928324</t>
  </si>
  <si>
    <t>T3vN0kVC4</t>
  </si>
  <si>
    <t>DHWHyHz1cY0RR</t>
  </si>
  <si>
    <t>2026-07-02T13:03:15+05:30</t>
  </si>
  <si>
    <t>2026-07-02T19:10:43+05:30</t>
  </si>
  <si>
    <t>2026-07-02T22:10:54+05:30</t>
  </si>
  <si>
    <t>k18xwhd2d6v4y9z@marketplace.amazon.in</t>
  </si>
  <si>
    <t>408-4093975-1394761</t>
  </si>
  <si>
    <t>TwLJ0yZM4</t>
  </si>
  <si>
    <t>Df2xw9zScX0pR</t>
  </si>
  <si>
    <t>2026-07-01T05:13:17+05:30</t>
  </si>
  <si>
    <t>2026-07-02T18:52:56+05:30</t>
  </si>
  <si>
    <t>2026-07-02T21:57:32+05:30</t>
  </si>
  <si>
    <t>h7j21xtcgx1wf8j@marketplace.amazon.in</t>
  </si>
  <si>
    <t>Vasai Virar</t>
  </si>
  <si>
    <t>403-1778938-6778700</t>
  </si>
  <si>
    <t>Tn1KzXVK4</t>
  </si>
  <si>
    <t>Dk3t9czlcd0cR</t>
  </si>
  <si>
    <t>2026-07-02T07:39:36+05:30</t>
  </si>
  <si>
    <t>2026-07-02T18:21:45+05:30</t>
  </si>
  <si>
    <t>2026-07-02T21:22:00+05:30</t>
  </si>
  <si>
    <t>tlkmr4f1q80kwbn@marketplace.amazon.in</t>
  </si>
  <si>
    <t>Thanjavur-613007</t>
  </si>
  <si>
    <t>171-3882639-1931525</t>
  </si>
  <si>
    <t>Twz7tTVn4</t>
  </si>
  <si>
    <t>DcpN43zzck0ZR</t>
  </si>
  <si>
    <t>2026-07-02T13:18:30+05:30</t>
  </si>
  <si>
    <t>2026-07-02T17:48:42+05:30</t>
  </si>
  <si>
    <t>2026-07-02T20:48:52+05:30</t>
  </si>
  <si>
    <t>5vby0tw9rwkwdb7@marketplace.amazon.in</t>
  </si>
  <si>
    <t>407-3518954-6468365</t>
  </si>
  <si>
    <t>T646nbVK4</t>
  </si>
  <si>
    <t>DPkWHvzQcr03R</t>
  </si>
  <si>
    <t>2026-07-02T11:44:58+05:30</t>
  </si>
  <si>
    <t>2026-07-02T17:40:43+05:30</t>
  </si>
  <si>
    <t>2026-07-02T20:40:58+05:30</t>
  </si>
  <si>
    <t>x5mv9rn0jpc0ggg@marketplace.amazon.in</t>
  </si>
  <si>
    <t>407-5720724-2092361</t>
  </si>
  <si>
    <t>TncsrzV54</t>
  </si>
  <si>
    <t>DBZMHQzCcv0FR</t>
  </si>
  <si>
    <t>2026-07-02T09:42:11+05:30</t>
  </si>
  <si>
    <t>2026-07-02T17:35:47+05:30</t>
  </si>
  <si>
    <t>2026-07-02T20:35:59+05:30</t>
  </si>
  <si>
    <t>7mm5yvspjlh59ns@marketplace.amazon.in</t>
  </si>
  <si>
    <t>PANDHARKAODA</t>
  </si>
  <si>
    <t>171-7990898-3571518</t>
  </si>
  <si>
    <t>T3sbMGVS4</t>
  </si>
  <si>
    <t>DGdsHczSc80gR</t>
  </si>
  <si>
    <t>2026-07-02T11:10:24+05:30</t>
  </si>
  <si>
    <t>2026-07-02T17:32:44+05:30</t>
  </si>
  <si>
    <t>2026-07-02T20:32:57+05:30</t>
  </si>
  <si>
    <t>tm9x7v880zzmj0h@marketplace.amazon.in</t>
  </si>
  <si>
    <t>Kelambakkam</t>
  </si>
  <si>
    <t>407-0443721-7416318</t>
  </si>
  <si>
    <t>Tn6zpvVD4</t>
  </si>
  <si>
    <t>DZDSbRzDcl0dR</t>
  </si>
  <si>
    <t>2026-07-02T14:20:54+05:30</t>
  </si>
  <si>
    <t>2026-07-02T17:23:45+05:30</t>
  </si>
  <si>
    <t>2026-07-02T17:23:48+05:30</t>
  </si>
  <si>
    <t>2026-07-02T18:23:59+05:30</t>
  </si>
  <si>
    <t>9wjxqrjr8n6z2kz@marketplace.amazon.in</t>
  </si>
  <si>
    <t>404-0547800-9459518</t>
  </si>
  <si>
    <t>TgWjZYV84</t>
  </si>
  <si>
    <t>Dg8jkyzBc209R</t>
  </si>
  <si>
    <t>2026-07-02T15:28:02+05:30</t>
  </si>
  <si>
    <t>2026-07-02T17:10:38+05:30</t>
  </si>
  <si>
    <t>2026-07-02T17:10:41+05:30</t>
  </si>
  <si>
    <t>2026-07-02T18:10:52+05:30</t>
  </si>
  <si>
    <t>8dnm4p6x4xm63fs@marketplace.amazon.in</t>
  </si>
  <si>
    <t>402-3812159-1208308</t>
  </si>
  <si>
    <t>T1mRJ0V24</t>
  </si>
  <si>
    <t>DBb8kQz7ck0RR</t>
  </si>
  <si>
    <t>2026-07-02T10:55:09+05:30</t>
  </si>
  <si>
    <t>2026-07-02T17:07:58+05:30</t>
  </si>
  <si>
    <t>2026-07-02T20:08:21+05:30</t>
  </si>
  <si>
    <t>lx668mcg0hg6nrm@marketplace.amazon.in</t>
  </si>
  <si>
    <t>403-2882960-8067544</t>
  </si>
  <si>
    <t>TNxMnHVM4</t>
  </si>
  <si>
    <t>DfV3kczWcw0rR</t>
  </si>
  <si>
    <t>2026-07-02T11:22:25+05:30</t>
  </si>
  <si>
    <t>2026-07-02T17:03:42+05:30</t>
  </si>
  <si>
    <t>2026-07-02T20:03:54+05:30</t>
  </si>
  <si>
    <t>jtl1pmktlghtdx7@marketplace.amazon.in</t>
  </si>
  <si>
    <t>Df98kKzJcx0QR</t>
  </si>
  <si>
    <t>405-0219357-8558775</t>
  </si>
  <si>
    <t>Tc11XVVK4</t>
  </si>
  <si>
    <t>D8HKN3zpcZ0dR</t>
  </si>
  <si>
    <t>2026-07-02T14:33:29+05:30</t>
  </si>
  <si>
    <t>2026-07-02T16:42:47+05:30</t>
  </si>
  <si>
    <t>2026-07-02T19:43:02+05:30</t>
  </si>
  <si>
    <t>hf2twy3wts8z4xr@marketplace.amazon.in</t>
  </si>
  <si>
    <t>MAPUSA</t>
  </si>
  <si>
    <t>407-2173468-6742716</t>
  </si>
  <si>
    <t>TcBcMqtj4</t>
  </si>
  <si>
    <t>Dl96NQzncJ0JR</t>
  </si>
  <si>
    <t>2026-07-01T22:07:44+05:30</t>
  </si>
  <si>
    <t>2026-07-02T16:41:47+05:30</t>
  </si>
  <si>
    <t>2026-07-02T19:42:09+05:30</t>
  </si>
  <si>
    <t>6ls50wh6d02dp9w@marketplace.amazon.in</t>
  </si>
  <si>
    <t>DR9zNQzncJ0JR</t>
  </si>
  <si>
    <t>Dy9qN6zncJ0JR</t>
  </si>
  <si>
    <t>DM9nN6zncJ0JR</t>
  </si>
  <si>
    <t>DzpcNdzWc50hR</t>
  </si>
  <si>
    <t>171-5451352-7129126</t>
  </si>
  <si>
    <t>T3xSgBVk4</t>
  </si>
  <si>
    <t>Dk1MRSz4cN0YR</t>
  </si>
  <si>
    <t>2026-07-02T14:21:57+05:30</t>
  </si>
  <si>
    <t>2026-07-02T16:35:45+05:30</t>
  </si>
  <si>
    <t>2026-07-02T19:35:56+05:30</t>
  </si>
  <si>
    <t>jtgqnwzdrjngjzt@marketplace.amazon.in</t>
  </si>
  <si>
    <t>406-4953898-6139535</t>
  </si>
  <si>
    <t>T6c6XmVx4</t>
  </si>
  <si>
    <t>DFWWRxzvcm0BR</t>
  </si>
  <si>
    <t>2026-07-02T14:09:19+05:30</t>
  </si>
  <si>
    <t>2026-07-02T16:29:43+05:30</t>
  </si>
  <si>
    <t>2026-07-02T19:29:54+05:30</t>
  </si>
  <si>
    <t>n3pczl099s49hx6@marketplace.amazon.in</t>
  </si>
  <si>
    <t>408-7127076-9208344</t>
  </si>
  <si>
    <t>TwSh8pVd4</t>
  </si>
  <si>
    <t>D9cTRfzjcd07R</t>
  </si>
  <si>
    <t>2026-07-02T14:00:49+05:30</t>
  </si>
  <si>
    <t>2026-07-02T16:26:46+05:30</t>
  </si>
  <si>
    <t>2026-07-02T19:26:57+05:30</t>
  </si>
  <si>
    <t>djvk45p6n77cx60@marketplace.amazon.in</t>
  </si>
  <si>
    <t>408-2580989-4589945</t>
  </si>
  <si>
    <t>TczKMrV74</t>
  </si>
  <si>
    <t>DVHMRSzwcw08R</t>
  </si>
  <si>
    <t>2026-07-02T10:14:26+05:30</t>
  </si>
  <si>
    <t>2026-07-02T16:26:42+05:30</t>
  </si>
  <si>
    <t>2026-07-02T19:26:54+05:30</t>
  </si>
  <si>
    <t>l4w700z7bs9sddg@marketplace.amazon.in</t>
  </si>
  <si>
    <t>407-5613461-8557944</t>
  </si>
  <si>
    <t>TC7wrGVw4</t>
  </si>
  <si>
    <t>D9GMRvzjcC0PR</t>
  </si>
  <si>
    <t>2026-07-02T10:05:51+05:30</t>
  </si>
  <si>
    <t>2026-07-02T16:22:47+05:30</t>
  </si>
  <si>
    <t>2026-07-02T19:23:04+05:30</t>
  </si>
  <si>
    <t>61x6wdc9fgy5cbc@marketplace.amazon.in</t>
  </si>
  <si>
    <t>JALAKANDAPURAM</t>
  </si>
  <si>
    <t>403-7633037-5451536</t>
  </si>
  <si>
    <t>TgBzFSVV4</t>
  </si>
  <si>
    <t>DKSCh9T8cv0bR</t>
  </si>
  <si>
    <t>2026-07-02T07:19:10+05:30</t>
  </si>
  <si>
    <t>2026-07-02T16:21:43+05:30</t>
  </si>
  <si>
    <t>2026-07-02T16:21:46+05:30</t>
  </si>
  <si>
    <t>2026-07-02T17:21:57+05:30</t>
  </si>
  <si>
    <t>4cw8p90pc791cs7@marketplace.amazon.in</t>
  </si>
  <si>
    <t>402-3053039-7270768</t>
  </si>
  <si>
    <t>TG7gmBVP4</t>
  </si>
  <si>
    <t>DzGvhXTlch08R</t>
  </si>
  <si>
    <t>2026-07-02T13:34:41+05:30</t>
  </si>
  <si>
    <t>2026-07-02T16:09:44+05:30</t>
  </si>
  <si>
    <t>2026-07-02T19:09:56+05:30</t>
  </si>
  <si>
    <t>76nhvzqdnfbqvsg@marketplace.amazon.in</t>
  </si>
  <si>
    <t>405-3238533-4372319</t>
  </si>
  <si>
    <t>T13MRVVs4</t>
  </si>
  <si>
    <t>Dkf7hjTmcV0XR</t>
  </si>
  <si>
    <t>2026-07-02T03:43:51+05:30</t>
  </si>
  <si>
    <t>2026-07-02T16:05:47+05:30</t>
  </si>
  <si>
    <t>2026-07-02T19:05:59+05:30</t>
  </si>
  <si>
    <t>2ydww5yxrpywk97@marketplace.amazon.in</t>
  </si>
  <si>
    <t>Kaikamba</t>
  </si>
  <si>
    <t>402-4758291-2784340</t>
  </si>
  <si>
    <t>TNlCdkVb4</t>
  </si>
  <si>
    <t>DLnMhzT0cX09R</t>
  </si>
  <si>
    <t>2026-07-02T11:38:06+05:30</t>
  </si>
  <si>
    <t>2026-07-02T16:04:44+05:30</t>
  </si>
  <si>
    <t>2026-07-02T16:04:46+05:30</t>
  </si>
  <si>
    <t>2026-07-02T17:04:57+05:30</t>
  </si>
  <si>
    <t>zct5sjljwmn8tw3@marketplace.amazon.in</t>
  </si>
  <si>
    <t>Tenkasi</t>
  </si>
  <si>
    <t>403-2755391-5429903</t>
  </si>
  <si>
    <t>TgMb6RVn4</t>
  </si>
  <si>
    <t>DxM4fJT6cF03R</t>
  </si>
  <si>
    <t>2026-07-02T11:50:09+05:30</t>
  </si>
  <si>
    <t>2026-07-02T15:56:44+05:30</t>
  </si>
  <si>
    <t>2026-07-02T18:56:55+05:30</t>
  </si>
  <si>
    <t>93mqgxyzy2r7x3b@marketplace.amazon.in</t>
  </si>
  <si>
    <t>406-3639405-7595522</t>
  </si>
  <si>
    <t>T13fLSV04</t>
  </si>
  <si>
    <t>D2xlfST5cB0cR</t>
  </si>
  <si>
    <t>2026-07-02T10:34:19+05:30</t>
  </si>
  <si>
    <t>2026-07-02T15:48:46+05:30</t>
  </si>
  <si>
    <t>2026-07-02T15:48:50+05:30</t>
  </si>
  <si>
    <t>2026-07-02T16:53:17+05:30</t>
  </si>
  <si>
    <t>gwg1rknfp0r7r43@marketplace.amazon.in</t>
  </si>
  <si>
    <t>408-1266002-8215561</t>
  </si>
  <si>
    <t>T6mVDjtF4</t>
  </si>
  <si>
    <t>DggWjrTqcb0TR</t>
  </si>
  <si>
    <t>2026-07-01T20:54:33+05:30</t>
  </si>
  <si>
    <t>2026-07-02T15:42:44+05:30</t>
  </si>
  <si>
    <t>2026-07-02T18:42:57+05:30</t>
  </si>
  <si>
    <t>t3nq1t4tl35zvsc@marketplace.amazon.in</t>
  </si>
  <si>
    <t>404-0369970-3776303</t>
  </si>
  <si>
    <t>T65nLWVL4</t>
  </si>
  <si>
    <t>DJxyjdT4cF0lR</t>
  </si>
  <si>
    <t>2026-07-02T09:32:31+05:30</t>
  </si>
  <si>
    <t>2026-07-02T15:29:43+05:30</t>
  </si>
  <si>
    <t>2026-07-02T18:29:55+05:30</t>
  </si>
  <si>
    <t>jn19prwpwmqwf5v@marketplace.amazon.in</t>
  </si>
  <si>
    <t>171-0934892-6837147</t>
  </si>
  <si>
    <t>TGDdPTVM4</t>
  </si>
  <si>
    <t>D6445XTBcb0GR</t>
  </si>
  <si>
    <t>2026-07-02T12:31:09+05:30</t>
  </si>
  <si>
    <t>2026-07-02T14:49:39+05:30</t>
  </si>
  <si>
    <t>2026-07-02T14:49:42+05:30</t>
  </si>
  <si>
    <t>2026-07-02T15:49:52+05:30</t>
  </si>
  <si>
    <t>w52rsy8bdv98qxr@marketplace.amazon.in</t>
  </si>
  <si>
    <t>404-2780975-5689968</t>
  </si>
  <si>
    <t>TNG8VkVn4</t>
  </si>
  <si>
    <t>Dd7G58TMc70cR</t>
  </si>
  <si>
    <t>2026-07-02T08:00:47+05:30</t>
  </si>
  <si>
    <t>2026-07-02T14:47:43+05:30</t>
  </si>
  <si>
    <t>2026-07-02T17:47:54+05:30</t>
  </si>
  <si>
    <t>7w9jj8pv498t3fg@marketplace.amazon.in</t>
  </si>
  <si>
    <t>403-3178438-1854718</t>
  </si>
  <si>
    <t>TcQTs9VT4</t>
  </si>
  <si>
    <t>D19y5sT0cJ0WR</t>
  </si>
  <si>
    <t>2026-07-02T09:37:38+05:30</t>
  </si>
  <si>
    <t>2026-07-02T14:45:45+05:30</t>
  </si>
  <si>
    <t>2026-07-02T17:45:56+05:30</t>
  </si>
  <si>
    <t>60sn47y9p9q3gc7@marketplace.amazon.in</t>
  </si>
  <si>
    <t>402-7174319-3326750</t>
  </si>
  <si>
    <t>TCmGLjtY4</t>
  </si>
  <si>
    <t>DGYMg6TScM0MR</t>
  </si>
  <si>
    <t>2026-07-01T21:58:37+05:30</t>
  </si>
  <si>
    <t>2026-07-02T14:24:54+05:30</t>
  </si>
  <si>
    <t>2026-07-02T17:25:08+05:30</t>
  </si>
  <si>
    <t>gxkb9dfgqb8nksg@marketplace.amazon.in</t>
  </si>
  <si>
    <t>MULKI</t>
  </si>
  <si>
    <t>406-3572996-5951522</t>
  </si>
  <si>
    <t>TGtj3bVw4</t>
  </si>
  <si>
    <t>DGff82TQcb0lR</t>
  </si>
  <si>
    <t>2026-07-02T12:17:10+05:30</t>
  </si>
  <si>
    <t>2026-07-02T14:04:42+05:30</t>
  </si>
  <si>
    <t>2026-07-02T17:04:58+05:30</t>
  </si>
  <si>
    <t>k7ssy83ctqz3lvf@marketplace.amazon.in</t>
  </si>
  <si>
    <t>408-8816572-5509164</t>
  </si>
  <si>
    <t>TXtbz0tl4</t>
  </si>
  <si>
    <t>DHxQ8LTycc0WR</t>
  </si>
  <si>
    <t>2026-07-01T21:20:01+05:30</t>
  </si>
  <si>
    <t>2026-07-02T14:03:44+05:30</t>
  </si>
  <si>
    <t>2026-07-02T17:03:58+05:30</t>
  </si>
  <si>
    <t>t1n2dlky5wc569p@marketplace.amazon.in</t>
  </si>
  <si>
    <t>171-7331320-0589144</t>
  </si>
  <si>
    <t>TXvc2qVM4</t>
  </si>
  <si>
    <t>DqD7XvTJcc0hR</t>
  </si>
  <si>
    <t>2026-07-02T07:56:57+05:30</t>
  </si>
  <si>
    <t>2026-07-02T13:58:34+05:30</t>
  </si>
  <si>
    <t>2026-07-02T13:58:37+05:30</t>
  </si>
  <si>
    <t>2026-07-02T14:58:47+05:30</t>
  </si>
  <si>
    <t>4ytbfdlqzt0v68l@marketplace.amazon.in</t>
  </si>
  <si>
    <t>405-6672624-5885157</t>
  </si>
  <si>
    <t>T6vCTBVS4</t>
  </si>
  <si>
    <t>DdbnX9TXcG0gR</t>
  </si>
  <si>
    <t>2026-07-02T11:50:01+05:30</t>
  </si>
  <si>
    <t>2026-07-02T13:53:44+05:30</t>
  </si>
  <si>
    <t>2026-07-02T16:53:56+05:30</t>
  </si>
  <si>
    <t>ymgxv546pvtlqx2@marketplace.amazon.in</t>
  </si>
  <si>
    <t>405-8606843-5755519</t>
  </si>
  <si>
    <t>TV2HRGVG4</t>
  </si>
  <si>
    <t>DvQQXkTrcZ0wR</t>
  </si>
  <si>
    <t>2026-07-02T00:13:48+05:30</t>
  </si>
  <si>
    <t>2026-07-02T13:51:48+05:30</t>
  </si>
  <si>
    <t>2026-07-02T16:52:00+05:30</t>
  </si>
  <si>
    <t>0r7rbfny5qltprj@marketplace.amazon.in</t>
  </si>
  <si>
    <t>Aurangabad</t>
  </si>
  <si>
    <t>403-2057398-3618723</t>
  </si>
  <si>
    <t>TXYg35VS4</t>
  </si>
  <si>
    <t>DDFzCTTCcm0zR</t>
  </si>
  <si>
    <t>2026-07-02T11:48:39+05:30</t>
  </si>
  <si>
    <t>2026-07-02T13:42:44+05:30</t>
  </si>
  <si>
    <t>2026-07-02T16:42:57+05:30</t>
  </si>
  <si>
    <t>c4x34qnb34bvxyx@marketplace.amazon.in</t>
  </si>
  <si>
    <t>408-6487205-0635568</t>
  </si>
  <si>
    <t>TwJNt6tP4</t>
  </si>
  <si>
    <t>DDsDpNT0c00NR</t>
  </si>
  <si>
    <t>2026-07-01T20:49:20+05:30</t>
  </si>
  <si>
    <t>2026-07-02T13:11:49+05:30</t>
  </si>
  <si>
    <t>2026-07-02T16:12:05+05:30</t>
  </si>
  <si>
    <t>f49w2mb9w531v8m@marketplace.amazon.in</t>
  </si>
  <si>
    <t>171-6114365-0869102</t>
  </si>
  <si>
    <t>TnwsMQVw4</t>
  </si>
  <si>
    <t>D1mxWyTPcz0WR</t>
  </si>
  <si>
    <t>2026-07-02T10:56:16+05:30</t>
  </si>
  <si>
    <t>2026-07-02T13:11:46+05:30</t>
  </si>
  <si>
    <t>2026-07-02T16:11:58+05:30</t>
  </si>
  <si>
    <t>k24bqbfbc89ttlm@marketplace.amazon.in</t>
  </si>
  <si>
    <t>2026-07-02T20:00:00+05:30</t>
  </si>
  <si>
    <t>402-5387799-3408353</t>
  </si>
  <si>
    <t>Twxt4cVS4</t>
  </si>
  <si>
    <t>D04GWtTjcg0mR</t>
  </si>
  <si>
    <t>2026-07-02T03:09:43+05:30</t>
  </si>
  <si>
    <t>2026-07-02T13:08:44+05:30</t>
  </si>
  <si>
    <t>2026-07-02T16:08:55+05:30</t>
  </si>
  <si>
    <t>403-3521018-3254750</t>
  </si>
  <si>
    <t>TwSpcXVg4</t>
  </si>
  <si>
    <t>DVfBW5T3cP0FR</t>
  </si>
  <si>
    <t>2026-07-02T08:41:38+05:30</t>
  </si>
  <si>
    <t>2026-07-02T13:05:44+05:30</t>
  </si>
  <si>
    <t>2026-07-02T16:05:57+05:30</t>
  </si>
  <si>
    <t>2znhtnk1h92nxyn@marketplace.amazon.in</t>
  </si>
  <si>
    <t>408-0051926-1555512</t>
  </si>
  <si>
    <t>TwHDJ9Vd4</t>
  </si>
  <si>
    <t>D0YbKlTycy0qR</t>
  </si>
  <si>
    <t>2026-07-02T10:47:17+05:30</t>
  </si>
  <si>
    <t>2026-07-02T12:39:43+05:30</t>
  </si>
  <si>
    <t>2026-07-02T15:39:56+05:30</t>
  </si>
  <si>
    <t>t3ypz875tp95kpk@marketplace.amazon.in</t>
  </si>
  <si>
    <t>404-9836197-8213140</t>
  </si>
  <si>
    <t>T3B7SHtQ4</t>
  </si>
  <si>
    <t>DNkjlHTcck0RR</t>
  </si>
  <si>
    <t>2026-07-01T23:35:17+05:30</t>
  </si>
  <si>
    <t>2026-07-02T12:17:45+05:30</t>
  </si>
  <si>
    <t>2026-07-02T12:17:47+05:30</t>
  </si>
  <si>
    <t>2026-07-02T13:18:00+05:30</t>
  </si>
  <si>
    <t>7v2fccvbf253dkw@marketplace.amazon.in</t>
  </si>
  <si>
    <t>406-9120434-9172326</t>
  </si>
  <si>
    <t>Tnztc6Vw4</t>
  </si>
  <si>
    <t>D9fyl0T2ch0TR</t>
  </si>
  <si>
    <t>2026-07-02T08:40:43+05:30</t>
  </si>
  <si>
    <t>2026-07-02T12:13:50+05:30</t>
  </si>
  <si>
    <t>2026-07-02T15:14:01+05:30</t>
  </si>
  <si>
    <t>2x77j0q6g35m6gx@marketplace.amazon.in</t>
  </si>
  <si>
    <t>RAJPIPLA</t>
  </si>
  <si>
    <t>SF000000316902AMZ</t>
  </si>
  <si>
    <t>403-9239338-9464326</t>
  </si>
  <si>
    <t>Tc1TzFVX4</t>
  </si>
  <si>
    <t>Dl32SMTBc40dR</t>
  </si>
  <si>
    <t>2026-07-02T07:54:04+05:30</t>
  </si>
  <si>
    <t>2026-07-02T11:45:42+05:30</t>
  </si>
  <si>
    <t>2026-07-02T14:45:54+05:30</t>
  </si>
  <si>
    <t>406-7467825-7065900</t>
  </si>
  <si>
    <t>TJ29Ldt34</t>
  </si>
  <si>
    <t>DwWWSwTsc60gR</t>
  </si>
  <si>
    <t>2026-07-01T21:33:50+05:30</t>
  </si>
  <si>
    <t>2026-07-02T11:33:44+05:30</t>
  </si>
  <si>
    <t>2026-07-02T14:33:55+05:30</t>
  </si>
  <si>
    <t>406-3748667-7493112</t>
  </si>
  <si>
    <t>TCZ3skVg4</t>
  </si>
  <si>
    <t>DRQk6vTrc10gR</t>
  </si>
  <si>
    <t>2026-07-02T09:02:47+05:30</t>
  </si>
  <si>
    <t>2026-07-02T11:23:40+05:30</t>
  </si>
  <si>
    <t>2026-07-02T14:23:55+05:30</t>
  </si>
  <si>
    <t>2xfxkwkpxjlzbyl@marketplace.amazon.in</t>
  </si>
  <si>
    <t>402-2621625-8641939</t>
  </si>
  <si>
    <t>TV7v4xVl4</t>
  </si>
  <si>
    <t>D7Jc65T2cp0cR</t>
  </si>
  <si>
    <t>2026-07-02T04:41:54+05:30</t>
  </si>
  <si>
    <t>2026-07-02T11:11:42+05:30</t>
  </si>
  <si>
    <t>2026-07-02T14:11:53+05:30</t>
  </si>
  <si>
    <t>fw678y4ym4c8cbr@marketplace.amazon.in</t>
  </si>
  <si>
    <t>402-9683678-3336319</t>
  </si>
  <si>
    <t>TnxJZG6Z4</t>
  </si>
  <si>
    <t>DWZgGVT6cn0KR</t>
  </si>
  <si>
    <t>2026-06-28T12:39:17+05:30</t>
  </si>
  <si>
    <t>2026-07-02T10:45:01+05:30</t>
  </si>
  <si>
    <t>2026-07-02T13:49:01+05:30</t>
  </si>
  <si>
    <t>bw921lgddgt6jnz@marketplace.amazon.in</t>
  </si>
  <si>
    <t>403-2828606-0023547</t>
  </si>
  <si>
    <t>TNX8sbVr4</t>
  </si>
  <si>
    <t>D29sGpTWcX00R</t>
  </si>
  <si>
    <t>2026-07-02T08:56:43+05:30</t>
  </si>
  <si>
    <t>2026-07-02T10:41:46+05:30</t>
  </si>
  <si>
    <t>2026-07-02T13:41:58+05:30</t>
  </si>
  <si>
    <t>6y83bp25hsv4zcb@marketplace.amazon.in</t>
  </si>
  <si>
    <t>403-6148223-8468349</t>
  </si>
  <si>
    <t>TGX246tg4</t>
  </si>
  <si>
    <t>Ds3wtcTzcY0XR</t>
  </si>
  <si>
    <t>2026-07-01T20:00:31+05:30</t>
  </si>
  <si>
    <t>2026-07-02T10:33:45+05:30</t>
  </si>
  <si>
    <t>2026-07-02T13:34:00+05:30</t>
  </si>
  <si>
    <t>mt8h787tdwck15f@marketplace.amazon.in</t>
  </si>
  <si>
    <t>406-5694722-5428308</t>
  </si>
  <si>
    <t>TwmD6HtJ4</t>
  </si>
  <si>
    <t>D9b0t9TpcC02R</t>
  </si>
  <si>
    <t>2026-07-02T00:59:19+05:30</t>
  </si>
  <si>
    <t>2026-07-02T10:30:44+05:30</t>
  </si>
  <si>
    <t>2026-07-02T10:30:46+05:30</t>
  </si>
  <si>
    <t>2026-07-02T11:30:58+05:30</t>
  </si>
  <si>
    <t>63vh3r3b9f41x5j@marketplace.amazon.in</t>
  </si>
  <si>
    <t>408-9713566-2662769</t>
  </si>
  <si>
    <t>TGwz9tVx4</t>
  </si>
  <si>
    <t>Dgf3tzTTcj0HR</t>
  </si>
  <si>
    <t>2026-07-02T05:14:06+05:30</t>
  </si>
  <si>
    <t>2026-07-02T10:27:44+05:30</t>
  </si>
  <si>
    <t>2026-07-02T13:27:58+05:30</t>
  </si>
  <si>
    <t>pm4nm7gkhj4f32x@marketplace.amazon.in</t>
  </si>
  <si>
    <t>Kollam</t>
  </si>
  <si>
    <t>171-8804055-0689946</t>
  </si>
  <si>
    <t>TgJtqWbK4</t>
  </si>
  <si>
    <t>DGN0PrTBcp0KR</t>
  </si>
  <si>
    <t>2026-07-01T18:26:27+05:30</t>
  </si>
  <si>
    <t>2026-07-02T10:18:46+05:30</t>
  </si>
  <si>
    <t>2026-07-02T13:19:01+05:30</t>
  </si>
  <si>
    <t>h1w4bs80789nrx4@marketplace.amazon.in</t>
  </si>
  <si>
    <t>407-2002077-9960312</t>
  </si>
  <si>
    <t>T6YRf6b34</t>
  </si>
  <si>
    <t>DNT3PSTdcH0KR</t>
  </si>
  <si>
    <t>2026-07-01T14:16:46+05:30</t>
  </si>
  <si>
    <t>2026-07-02T10:09:48+05:30</t>
  </si>
  <si>
    <t>2026-07-02T10:09:51+05:30</t>
  </si>
  <si>
    <t>2026-07-02T11:10:01+05:30</t>
  </si>
  <si>
    <t>8sy9f4hbkj85vk3@marketplace.amazon.in</t>
  </si>
  <si>
    <t>DnTtPHTqcJ0SR</t>
  </si>
  <si>
    <t>402-2107667-6116339</t>
  </si>
  <si>
    <t>T6F8z6Vd4</t>
  </si>
  <si>
    <t>DBJ1PNTvcY0BR</t>
  </si>
  <si>
    <t>2026-07-02T08:39:58+05:30</t>
  </si>
  <si>
    <t>2026-07-02T10:02:43+05:30</t>
  </si>
  <si>
    <t>2026-07-02T10:02:46+05:30</t>
  </si>
  <si>
    <t>2026-07-02T11:02:57+05:30</t>
  </si>
  <si>
    <t>rndgs5mkbzd7779@marketplace.amazon.in</t>
  </si>
  <si>
    <t>406-6127996-9379554</t>
  </si>
  <si>
    <t>TgQgvlVV4</t>
  </si>
  <si>
    <t>D3JjPDT2cY0BR</t>
  </si>
  <si>
    <t>2026-07-02T08:28:04+05:30</t>
  </si>
  <si>
    <t>2026-07-02T10:01:46+05:30</t>
  </si>
  <si>
    <t>2026-07-02T13:01:59+05:30</t>
  </si>
  <si>
    <t>f10tnylzmjhpyc0@marketplace.amazon.in</t>
  </si>
  <si>
    <t>402-1211777-3124335</t>
  </si>
  <si>
    <t>TgBXGltN4</t>
  </si>
  <si>
    <t>DhQdTzTwcb0bR</t>
  </si>
  <si>
    <t>2026-07-01T23:24:33+05:30</t>
  </si>
  <si>
    <t>2026-07-02T09:55:43+05:30</t>
  </si>
  <si>
    <t>2026-07-02T09:55:45+05:30</t>
  </si>
  <si>
    <t>2026-07-02T10:55:56+05:30</t>
  </si>
  <si>
    <t>jyg7606wph4vc6v@marketplace.amazon.in</t>
  </si>
  <si>
    <t>171-5966030-9672319</t>
  </si>
  <si>
    <t>TXf1Qltf4</t>
  </si>
  <si>
    <t>DpyWn0TWcX0GR</t>
  </si>
  <si>
    <t>2026-07-01T20:54:13+05:30</t>
  </si>
  <si>
    <t>2026-07-02T09:50:41+05:30</t>
  </si>
  <si>
    <t>2026-07-02T09:50:44+05:30</t>
  </si>
  <si>
    <t>2026-07-02T10:50:55+05:30</t>
  </si>
  <si>
    <t>nkkmp85pmcr300m@marketplace.amazon.in</t>
  </si>
  <si>
    <t>403-5506138-4912311</t>
  </si>
  <si>
    <t>TncNd2ty4</t>
  </si>
  <si>
    <t>DYmZnfTLcz0CR</t>
  </si>
  <si>
    <t>2026-07-01T23:22:33+05:30</t>
  </si>
  <si>
    <t>2026-07-02T09:43:43+05:30</t>
  </si>
  <si>
    <t>2026-07-02T12:43:54+05:30</t>
  </si>
  <si>
    <t>5tf8yx2hz7mrvp0@marketplace.amazon.in</t>
  </si>
  <si>
    <t>MALAUT</t>
  </si>
  <si>
    <t>407-3292509-5168307</t>
  </si>
  <si>
    <t>TJ29RzVc4</t>
  </si>
  <si>
    <t>D2DJnNThcs0MR</t>
  </si>
  <si>
    <t>2026-07-02T03:26:42+05:30</t>
  </si>
  <si>
    <t>2026-07-02T09:37:39+05:30</t>
  </si>
  <si>
    <t>2026-07-02T12:37:51+05:30</t>
  </si>
  <si>
    <t>b5ry5jjb3nsmcln@marketplace.amazon.in</t>
  </si>
  <si>
    <t>403-9110519-7366747</t>
  </si>
  <si>
    <t>TVZfcLbN4</t>
  </si>
  <si>
    <t>DRCHn0Tdc20VR</t>
  </si>
  <si>
    <t>2026-07-01T14:02:29+05:30</t>
  </si>
  <si>
    <t>2026-07-02T09:33:45+05:30</t>
  </si>
  <si>
    <t>2026-07-02T12:33:56+05:30</t>
  </si>
  <si>
    <t>z8ysw0p8n9wdr19@marketplace.amazon.in</t>
  </si>
  <si>
    <t>408-3428932-6496329</t>
  </si>
  <si>
    <t>TwM2gct54</t>
  </si>
  <si>
    <t>Dc7KxmTMc30hR</t>
  </si>
  <si>
    <t>2026-07-01T23:13:12+05:30</t>
  </si>
  <si>
    <t>2026-07-02T09:25:45+05:30</t>
  </si>
  <si>
    <t>2026-07-02T12:25:57+05:30</t>
  </si>
  <si>
    <t>r9ytzb6w0jpnlz6@marketplace.amazon.in</t>
  </si>
  <si>
    <t>406-1087493-2667568</t>
  </si>
  <si>
    <t>TC1flbZ24</t>
  </si>
  <si>
    <t>D27wxYTMc30hR</t>
  </si>
  <si>
    <t>2026-07-01T06:37:18+05:30</t>
  </si>
  <si>
    <t>2026-07-02T12:25:56+05:30</t>
  </si>
  <si>
    <t>943s67kkh6qch5t@marketplace.amazon.in</t>
  </si>
  <si>
    <t>407-4955214-5572331</t>
  </si>
  <si>
    <t>TXpSPDty4</t>
  </si>
  <si>
    <t>DqkMxBTGcC0fR</t>
  </si>
  <si>
    <t>2026-07-01T23:09:45+05:30</t>
  </si>
  <si>
    <t>2026-07-02T09:23:42+05:30</t>
  </si>
  <si>
    <t>2026-07-02T12:23:53+05:30</t>
  </si>
  <si>
    <t>jnl7z1p53ty3vyx@marketplace.amazon.in</t>
  </si>
  <si>
    <t>BHAVANI</t>
  </si>
  <si>
    <t>402-7208875-8782759</t>
  </si>
  <si>
    <t>TGtsJstl4</t>
  </si>
  <si>
    <t>DJ1TxQTKcT03R</t>
  </si>
  <si>
    <t>2026-07-01T22:18:35+05:30</t>
  </si>
  <si>
    <t>2026-07-02T09:22:43+05:30</t>
  </si>
  <si>
    <t>2026-07-02T12:22:55+05:30</t>
  </si>
  <si>
    <t>218rvc2z0q3g9rc@marketplace.amazon.in</t>
  </si>
  <si>
    <t>PORBANDAR</t>
  </si>
  <si>
    <t>408-1594880-6721950</t>
  </si>
  <si>
    <t>TGTl68bj4</t>
  </si>
  <si>
    <t>DFtbx2TCc40jR</t>
  </si>
  <si>
    <t>2026-07-01T16:40:33+05:30</t>
  </si>
  <si>
    <t>2026-07-02T09:20:46+05:30</t>
  </si>
  <si>
    <t>2026-07-02T12:20:59+05:30</t>
  </si>
  <si>
    <t>m4k9hwcr1hdhrtw@marketplace.amazon.in</t>
  </si>
  <si>
    <t>406-9412805-5746723</t>
  </si>
  <si>
    <t>TwFb9GbB4</t>
  </si>
  <si>
    <t>DPLBxJTgcb06R</t>
  </si>
  <si>
    <t>2026-07-01T13:48:08+05:30</t>
  </si>
  <si>
    <t>2026-07-02T09:17:44+05:30</t>
  </si>
  <si>
    <t>2026-07-02T12:17:55+05:30</t>
  </si>
  <si>
    <t>b89flxlwb10qznv@marketplace.amazon.in</t>
  </si>
  <si>
    <t>171-0542062-2224313</t>
  </si>
  <si>
    <t>TGvKL2t34</t>
  </si>
  <si>
    <t>D7d4DFTwcj0fR</t>
  </si>
  <si>
    <t>2026-07-01T22:05:46+05:30</t>
  </si>
  <si>
    <t>2026-07-02T04:45:42+05:30</t>
  </si>
  <si>
    <t>2026-07-02T07:45:53+05:30</t>
  </si>
  <si>
    <t>wrnyr47xy406dnj@marketplace.amazon.in</t>
  </si>
  <si>
    <t>405-4894063-9416328</t>
  </si>
  <si>
    <t>Tn2htPt84</t>
  </si>
  <si>
    <t>D2CtDtTYcg0VR</t>
  </si>
  <si>
    <t>2026-07-01T23:13:20+05:30</t>
  </si>
  <si>
    <t>2026-07-02T04:44:42+05:30</t>
  </si>
  <si>
    <t>2026-07-02T07:44:53+05:30</t>
  </si>
  <si>
    <t>vrqd0qhr0t0h9rh@marketplace.amazon.in</t>
  </si>
  <si>
    <t>408-8249900-6955525</t>
  </si>
  <si>
    <t>T15rGFtd4</t>
  </si>
  <si>
    <t>Dpd0DRTBcj0fR</t>
  </si>
  <si>
    <t>2026-07-01T23:17:55+05:30</t>
  </si>
  <si>
    <t>2026-07-02T04:43:45+05:30</t>
  </si>
  <si>
    <t>2026-07-02T07:43:57+05:30</t>
  </si>
  <si>
    <t>bt65v05xjd7vt89@marketplace.amazon.in</t>
  </si>
  <si>
    <t>403-8217620-5047514</t>
  </si>
  <si>
    <t>TVgCPhtM4</t>
  </si>
  <si>
    <t>DWsjDpTTcL0bR</t>
  </si>
  <si>
    <t>2026-07-01T23:13:43+05:30</t>
  </si>
  <si>
    <t>2026-07-02T04:41:45+05:30</t>
  </si>
  <si>
    <t>2026-07-02T07:41:56+05:30</t>
  </si>
  <si>
    <t>ky28yggv0262ysh@marketplace.amazon.in</t>
  </si>
  <si>
    <t>171-0144350-3582749</t>
  </si>
  <si>
    <t>TJBGVKtX4</t>
  </si>
  <si>
    <t>DlD7YwT7cV0qR</t>
  </si>
  <si>
    <t>2026-07-01T21:17:48+05:30</t>
  </si>
  <si>
    <t>2026-07-02T04:35:43+05:30</t>
  </si>
  <si>
    <t>2026-07-02T07:35:57+05:30</t>
  </si>
  <si>
    <t>lf3lk22zdswbjy2@marketplace.amazon.in</t>
  </si>
  <si>
    <t>406-5212974-8852324</t>
  </si>
  <si>
    <t>T3DDxgt24</t>
  </si>
  <si>
    <t>DBs7YpTgc00JR</t>
  </si>
  <si>
    <t>2026-07-01T19:23:54+05:30</t>
  </si>
  <si>
    <t>2026-07-02T04:27:44+05:30</t>
  </si>
  <si>
    <t>2026-07-02T04:27:47+05:30</t>
  </si>
  <si>
    <t>2026-07-02T05:28:00+05:30</t>
  </si>
  <si>
    <t>ypw1fp34hxr58d6@marketplace.amazon.in</t>
  </si>
  <si>
    <t>K MADAPUR</t>
  </si>
  <si>
    <t>404-2865479-3891523</t>
  </si>
  <si>
    <t>TJRY9qtN4</t>
  </si>
  <si>
    <t>D2pBYrT1cF0LR</t>
  </si>
  <si>
    <t>2026-07-01T19:53:32+05:30</t>
  </si>
  <si>
    <t>2026-07-02T04:26:51+05:30</t>
  </si>
  <si>
    <t>2026-07-02T07:27:04+05:30</t>
  </si>
  <si>
    <t>9lp6508r1fbrkl5@marketplace.amazon.in</t>
  </si>
  <si>
    <t>NASRULLAGANJ</t>
  </si>
  <si>
    <t>404-2023210-0464300</t>
  </si>
  <si>
    <t>Tngtq4ZY4</t>
  </si>
  <si>
    <t>DGpqY0T2cF0LR</t>
  </si>
  <si>
    <t>2026-07-01T09:45:49+05:30</t>
  </si>
  <si>
    <t>2026-07-02T04:21:41+05:30</t>
  </si>
  <si>
    <t>2026-07-02T07:21:49+05:30</t>
  </si>
  <si>
    <t>47wj7l22z5wqmy1@marketplace.amazon.in</t>
  </si>
  <si>
    <t>404-5337876-8800325</t>
  </si>
  <si>
    <t>T14FMbbF4</t>
  </si>
  <si>
    <t>DRF6wBTTcS00R</t>
  </si>
  <si>
    <t>2026-07-01T10:06:16+05:30</t>
  </si>
  <si>
    <t>2026-07-02T04:08:43+05:30</t>
  </si>
  <si>
    <t>2026-07-02T07:08:54+05:30</t>
  </si>
  <si>
    <t>t79r3vx3h4wgc27@marketplace.amazon.in</t>
  </si>
  <si>
    <t>407-5032778-9298761</t>
  </si>
  <si>
    <t>T3N4l2bV4</t>
  </si>
  <si>
    <t>DLFlwNT1cS00R</t>
  </si>
  <si>
    <t>2026-07-01T17:59:14+05:30</t>
  </si>
  <si>
    <t>2026-07-02T04:06:46+05:30</t>
  </si>
  <si>
    <t>2026-07-02T07:06:57+05:30</t>
  </si>
  <si>
    <t>93dyhv8v0vwm2xq@marketplace.amazon.in</t>
  </si>
  <si>
    <t>405-7816647-0315523</t>
  </si>
  <si>
    <t>TJ7VShtd4</t>
  </si>
  <si>
    <t>D6fWwgT1cY01R</t>
  </si>
  <si>
    <t>2026-07-01T23:25:24+05:30</t>
  </si>
  <si>
    <t>2026-07-02T03:50:40+05:30</t>
  </si>
  <si>
    <t>2026-07-02T03:50:43+05:30</t>
  </si>
  <si>
    <t>2026-07-02T04:50:58+05:30</t>
  </si>
  <si>
    <t>w5yl9xr6z6mr6ss@marketplace.amazon.in</t>
  </si>
  <si>
    <t>406-7451069-3412336</t>
  </si>
  <si>
    <t>TGndyvt84</t>
  </si>
  <si>
    <t>DsqJw6TRcp09R</t>
  </si>
  <si>
    <t>2026-07-01T19:43:13+05:30</t>
  </si>
  <si>
    <t>2026-07-02T03:42:43+05:30</t>
  </si>
  <si>
    <t>2026-07-02T06:42:55+05:30</t>
  </si>
  <si>
    <t>kg3q8drdy0zv9gl@marketplace.amazon.in</t>
  </si>
  <si>
    <t>406-5036277-3293938</t>
  </si>
  <si>
    <t>TN2FlwtP4</t>
  </si>
  <si>
    <t>DhkZ9pTycZ0MR</t>
  </si>
  <si>
    <t>2026-07-01T19:53:01+05:30</t>
  </si>
  <si>
    <t>2026-07-02T03:26:49+05:30</t>
  </si>
  <si>
    <t>2026-07-02T06:27:04+05:30</t>
  </si>
  <si>
    <t>v0kkcdlhcpxpmcx@marketplace.amazon.in</t>
  </si>
  <si>
    <t>171-4661063-9994744</t>
  </si>
  <si>
    <t>TCy567tt4</t>
  </si>
  <si>
    <t>DCzc9JTYcq04R</t>
  </si>
  <si>
    <t>2026-07-01T22:05:45+05:30</t>
  </si>
  <si>
    <t>2026-07-02T03:25:44+05:30</t>
  </si>
  <si>
    <t>2026-07-02T06:26:00+05:30</t>
  </si>
  <si>
    <t>1xd31l7yy7525ln@marketplace.amazon.in</t>
  </si>
  <si>
    <t>406-0045679-9579541</t>
  </si>
  <si>
    <t>TJ6RqNbK4</t>
  </si>
  <si>
    <t>DSZ44CTWcM0dR</t>
  </si>
  <si>
    <t>2026-07-01T17:36:07+05:30</t>
  </si>
  <si>
    <t>2026-07-02T03:08:39+05:30</t>
  </si>
  <si>
    <t>2026-07-02T03:08:41+05:30</t>
  </si>
  <si>
    <t>2026-07-02T04:08:54+05:30</t>
  </si>
  <si>
    <t>l21vr844tbynyzw@marketplace.amazon.in</t>
  </si>
  <si>
    <t>VANDAVASI</t>
  </si>
  <si>
    <t>408-0292349-3086756</t>
  </si>
  <si>
    <t>TChmPLtw4</t>
  </si>
  <si>
    <t>Dxr74VTrcQ0KR</t>
  </si>
  <si>
    <t>2026-07-01T23:07:20+05:30</t>
  </si>
  <si>
    <t>2026-07-02T03:02:50+05:30</t>
  </si>
  <si>
    <t>2026-07-02T06:03:02+05:30</t>
  </si>
  <si>
    <t>2y8pr7pcqqbq97f@marketplace.amazon.in</t>
  </si>
  <si>
    <t>REDHAKHOL</t>
  </si>
  <si>
    <t>402-7447345-8428350</t>
  </si>
  <si>
    <t>Tndd6Zt84</t>
  </si>
  <si>
    <t>DS2VH1TPcs0YR</t>
  </si>
  <si>
    <t>2026-07-02T00:20:17+05:30</t>
  </si>
  <si>
    <t>2026-07-02T02:45:44+05:30</t>
  </si>
  <si>
    <t>2026-07-02T05:45:56+05:30</t>
  </si>
  <si>
    <t>kyttrv8p03rjhjl@marketplace.amazon.in</t>
  </si>
  <si>
    <t>406-0454800-7557957</t>
  </si>
  <si>
    <t>TG8N38tf4</t>
  </si>
  <si>
    <t>D3L6HmTMcn0qR</t>
  </si>
  <si>
    <t>2026-07-01T22:19:51+05:30</t>
  </si>
  <si>
    <t>2026-07-02T02:43:46+05:30</t>
  </si>
  <si>
    <t>2026-07-02T05:44:00+05:30</t>
  </si>
  <si>
    <t>k5zj9ktw8xn4m2f@marketplace.amazon.in</t>
  </si>
  <si>
    <t>406-7628006-1285913</t>
  </si>
  <si>
    <t>TC39xn664</t>
  </si>
  <si>
    <t>D6skbHTXct0DR</t>
  </si>
  <si>
    <t>2026-06-28T20:27:54+05:30</t>
  </si>
  <si>
    <t>2026-07-02T02:25:55+05:30</t>
  </si>
  <si>
    <t>2026-07-02T05:26:08+05:30</t>
  </si>
  <si>
    <t>8l8qgm7qk8y1b8j@marketplace.amazon.in</t>
  </si>
  <si>
    <t>Pathanapuram</t>
  </si>
  <si>
    <t>DJs5bwTCct0DR</t>
  </si>
  <si>
    <t>404-5154803-0780363</t>
  </si>
  <si>
    <t>T69v5vbs4</t>
  </si>
  <si>
    <t>DlrGbcTccY0KR</t>
  </si>
  <si>
    <t>2026-07-01T16:37:44+05:30</t>
  </si>
  <si>
    <t>2026-07-02T02:22:50+05:30</t>
  </si>
  <si>
    <t>2026-07-02T05:23:01+05:30</t>
  </si>
  <si>
    <t>s6dqdv5ktjtw990@marketplace.amazon.in</t>
  </si>
  <si>
    <t>KOSAMBA</t>
  </si>
  <si>
    <t>T68L38tf4</t>
  </si>
  <si>
    <t>DyFck1Tsc00NR</t>
  </si>
  <si>
    <t>2026-07-02T02:18:44+05:30</t>
  </si>
  <si>
    <t>2026-07-02T05:18:54+05:30</t>
  </si>
  <si>
    <t>408-0772248-0380369</t>
  </si>
  <si>
    <t>Tgh72YtG4</t>
  </si>
  <si>
    <t>DMN1kkTsch0RR</t>
  </si>
  <si>
    <t>2026-07-01T21:06:29+05:30</t>
  </si>
  <si>
    <t>2026-07-02T02:15:44+05:30</t>
  </si>
  <si>
    <t>2026-07-02T05:15:55+05:30</t>
  </si>
  <si>
    <t>j121jvhcdvfw1c2@marketplace.amazon.in</t>
  </si>
  <si>
    <t>DAHANU</t>
  </si>
  <si>
    <t>408-1368132-9086757</t>
  </si>
  <si>
    <t>TwgsGptf4</t>
  </si>
  <si>
    <t>Db2TNRTscb0vR</t>
  </si>
  <si>
    <t>2026-07-01T23:38:38+05:30</t>
  </si>
  <si>
    <t>2026-07-02T02:04:44+05:30</t>
  </si>
  <si>
    <t>2026-07-02T05:05:01+05:30</t>
  </si>
  <si>
    <t>m2sh60h5rvq6fpn@marketplace.amazon.in</t>
  </si>
  <si>
    <t>406-6023140-3545116</t>
  </si>
  <si>
    <t>TwlXxGty4</t>
  </si>
  <si>
    <t>DWRNRjTvcp01R</t>
  </si>
  <si>
    <t>2026-07-01T23:06:29+05:30</t>
  </si>
  <si>
    <t>2026-07-02T01:31:42+05:30</t>
  </si>
  <si>
    <t>2026-07-02T04:31:54+05:30</t>
  </si>
  <si>
    <t>7qykqjn0xm4jwdd@marketplace.amazon.in</t>
  </si>
  <si>
    <t>402-3483322-2793908</t>
  </si>
  <si>
    <t>TnrTrHtR4</t>
  </si>
  <si>
    <t>DGytfYcccv06R</t>
  </si>
  <si>
    <t>2026-07-01T22:59:35+05:30</t>
  </si>
  <si>
    <t>2026-07-02T01:13:54+05:30</t>
  </si>
  <si>
    <t>2026-07-02T04:14:08+05:30</t>
  </si>
  <si>
    <t>k8bqg5yqmzznxh9@marketplace.amazon.in</t>
  </si>
  <si>
    <t>404-5635221-7092369</t>
  </si>
  <si>
    <t>T3Fgq3bk4</t>
  </si>
  <si>
    <t>D1wLjnc9cL0ZR</t>
  </si>
  <si>
    <t>2026-07-01T18:16:36+05:30</t>
  </si>
  <si>
    <t>2026-07-02T00:50:45+05:30</t>
  </si>
  <si>
    <t>2026-07-02T03:50:58+05:30</t>
  </si>
  <si>
    <t>7qcflkwz2558d0n@marketplace.amazon.in</t>
  </si>
  <si>
    <t>2026-07-02T08:00:00+05:30</t>
  </si>
  <si>
    <t>403-2514835-5136319</t>
  </si>
  <si>
    <t>TCt5wtts4</t>
  </si>
  <si>
    <t>DNtFjdcvc30gR</t>
  </si>
  <si>
    <t>2026-07-01T20:15:58+05:30</t>
  </si>
  <si>
    <t>2026-07-02T00:48:42+05:30</t>
  </si>
  <si>
    <t>2026-07-02T03:48:54+05:30</t>
  </si>
  <si>
    <t>zp2xlj35ysj46h7@marketplace.amazon.in</t>
  </si>
  <si>
    <t>BIJURI</t>
  </si>
  <si>
    <t>402-6623316-2013141</t>
  </si>
  <si>
    <t>TGcdfJZZ4</t>
  </si>
  <si>
    <t>DDjvjDcqcW0HR</t>
  </si>
  <si>
    <t>2026-07-01T10:09:54+05:30</t>
  </si>
  <si>
    <t>2026-07-02T00:47:50+05:30</t>
  </si>
  <si>
    <t>2026-07-02T03:48:05+05:30</t>
  </si>
  <si>
    <t>mnm3x1scp5bjhkk@marketplace.amazon.in</t>
  </si>
  <si>
    <t>D9jjj8cqcW0HR</t>
  </si>
  <si>
    <t>D0jPj8cqcW0HR</t>
  </si>
  <si>
    <t>DywMjGc2cx0hR</t>
  </si>
  <si>
    <t>403-0803742-9401920</t>
  </si>
  <si>
    <t>T623qHbk4</t>
  </si>
  <si>
    <t>DG9zZLcrcZ0QR</t>
  </si>
  <si>
    <t>2026-07-01T11:25:36+05:30</t>
  </si>
  <si>
    <t>2026-07-02T00:34:55+05:30</t>
  </si>
  <si>
    <t>2026-07-02T00:34:57+05:30</t>
  </si>
  <si>
    <t>2026-07-02T01:35:09+05:30</t>
  </si>
  <si>
    <t>g6by2s67gvrz8nc@marketplace.amazon.in</t>
  </si>
  <si>
    <t>404-1701142-3652352</t>
  </si>
  <si>
    <t>TCZvp5bS4</t>
  </si>
  <si>
    <t>D9MlZYcxc30lR</t>
  </si>
  <si>
    <t>2026-07-01T17:10:21+05:30</t>
  </si>
  <si>
    <t>2026-07-02T00:34:43+05:30</t>
  </si>
  <si>
    <t>2026-07-02T00:34:46+05:30</t>
  </si>
  <si>
    <t>2026-07-02T01:34:57+05:30</t>
  </si>
  <si>
    <t>l5bymbx12lqjwj0@marketplace.amazon.in</t>
  </si>
  <si>
    <t>407-1303359-8293141</t>
  </si>
  <si>
    <t>T1mCLXtj4</t>
  </si>
  <si>
    <t>DNPCZPcWct0HR</t>
  </si>
  <si>
    <t>2026-07-01T22:30:45+05:30</t>
  </si>
  <si>
    <t>2026-07-02T00:25:45+05:30</t>
  </si>
  <si>
    <t>2026-07-02T03:25:58+05:30</t>
  </si>
  <si>
    <t>f48clmdpzj70qxd@marketplace.amazon.in</t>
  </si>
  <si>
    <t>404-1353917-5417102</t>
  </si>
  <si>
    <t>TNV8Q2tS4</t>
  </si>
  <si>
    <t>D1jxqsc1c50WR</t>
  </si>
  <si>
    <t>2026-07-01T21:54:13+05:30</t>
  </si>
  <si>
    <t>2026-07-02T00:19:50+05:30</t>
  </si>
  <si>
    <t>2026-07-02T03:20:07+05:30</t>
  </si>
  <si>
    <t>9ffcnqwv50mtzd7@marketplace.amazon.in</t>
  </si>
  <si>
    <t>Dwjwqsc1c50WR</t>
  </si>
  <si>
    <t>408-5974940-6180359</t>
  </si>
  <si>
    <t>TCq3LTbL4</t>
  </si>
  <si>
    <t>DYhRqfctcZ0MR</t>
  </si>
  <si>
    <t>2026-07-01T14:08:44+05:30</t>
  </si>
  <si>
    <t>2026-07-02T00:12:41+05:30</t>
  </si>
  <si>
    <t>2026-07-02T03:12:53+05:30</t>
  </si>
  <si>
    <t>404-9234010-2524318</t>
  </si>
  <si>
    <t>TXTD4MbX4</t>
  </si>
  <si>
    <t>DT0b5wc8cV0gR</t>
  </si>
  <si>
    <t>2026-07-01T12:00:01+05:30</t>
  </si>
  <si>
    <t>2026-07-01T23:54:45+05:30</t>
  </si>
  <si>
    <t>2026-07-02T02:54:58+05:30</t>
  </si>
  <si>
    <t>ptp3jb5rlcfg97v@marketplace.amazon.in</t>
  </si>
  <si>
    <t>TEMBHURNI</t>
  </si>
  <si>
    <t>406-7697299-5997952</t>
  </si>
  <si>
    <t>TNZvtkbj4</t>
  </si>
  <si>
    <t>DdbS5bctch02R</t>
  </si>
  <si>
    <t>2026-07-01T15:55:26+05:30</t>
  </si>
  <si>
    <t>2026-07-01T23:51:47+05:30</t>
  </si>
  <si>
    <t>2026-07-02T02:51:59+05:30</t>
  </si>
  <si>
    <t>1v2f6777b1tvynz@marketplace.amazon.in</t>
  </si>
  <si>
    <t>DSbz5bctch02R</t>
  </si>
  <si>
    <t>DD0651c0cV0gR</t>
  </si>
  <si>
    <t>408-7899216-0413144</t>
  </si>
  <si>
    <t>TGbj3wts4</t>
  </si>
  <si>
    <t>D5cr5CcPcf0fR</t>
  </si>
  <si>
    <t>2026-07-01T22:24:03+05:30</t>
  </si>
  <si>
    <t>2026-07-01T23:51:28+05:30</t>
  </si>
  <si>
    <t>2026-07-02T02:51:45+05:30</t>
  </si>
  <si>
    <t>0dsnv1y6zf72879@marketplace.amazon.in</t>
  </si>
  <si>
    <t>408-8734754-0463533</t>
  </si>
  <si>
    <t>T36sXqbl4</t>
  </si>
  <si>
    <t>DfNGgqc7cM0CR</t>
  </si>
  <si>
    <t>2026-07-01T18:46:13+05:30</t>
  </si>
  <si>
    <t>2026-07-01T23:49:41+05:30</t>
  </si>
  <si>
    <t>2026-07-01T23:49:44+05:30</t>
  </si>
  <si>
    <t>2026-07-02T00:49:57+05:30</t>
  </si>
  <si>
    <t>cszrs52vqfgtl4v@marketplace.amazon.in</t>
  </si>
  <si>
    <t>402-0856736-6839532</t>
  </si>
  <si>
    <t>Tw9pvqtc4</t>
  </si>
  <si>
    <t>Dq4vg5c1cp0XR</t>
  </si>
  <si>
    <t>2026-07-01T22:06:36+05:30</t>
  </si>
  <si>
    <t>2026-07-01T23:44:44+05:30</t>
  </si>
  <si>
    <t>2026-07-02T02:44:54+05:30</t>
  </si>
  <si>
    <t>km5c9v30wvfr2rz@marketplace.amazon.in</t>
  </si>
  <si>
    <t>403-7491973-0658739</t>
  </si>
  <si>
    <t>T1n8H9bq4</t>
  </si>
  <si>
    <t>DGDYgzcvcX0QR</t>
  </si>
  <si>
    <t>2026-07-01T09:35:22+05:30</t>
  </si>
  <si>
    <t>2026-07-01T23:44:41+05:30</t>
  </si>
  <si>
    <t>2026-07-02T00:44:57+05:30</t>
  </si>
  <si>
    <t>wcmcvrdzb0xwhjs@marketplace.amazon.in</t>
  </si>
  <si>
    <t>A/P Upparwahi</t>
  </si>
  <si>
    <t>407-4830885-4124308</t>
  </si>
  <si>
    <t>TNlFBRZB4</t>
  </si>
  <si>
    <t>DQlZgbcNcN00R</t>
  </si>
  <si>
    <t>2026-06-30T23:50:46+05:30</t>
  </si>
  <si>
    <t>2026-07-01T23:39:58+05:30</t>
  </si>
  <si>
    <t>2026-07-02T02:40:09+05:30</t>
  </si>
  <si>
    <t>404-9586095-9668344</t>
  </si>
  <si>
    <t>TCJfrrbk4</t>
  </si>
  <si>
    <t>D3DpgRcpcv0QR</t>
  </si>
  <si>
    <t>2026-07-01T00:35:09+05:30</t>
  </si>
  <si>
    <t>2026-07-01T23:37:44+05:30</t>
  </si>
  <si>
    <t>2026-07-02T02:37:55+05:30</t>
  </si>
  <si>
    <t>4ktyvvtlkbfbkw2@marketplace.amazon.in</t>
  </si>
  <si>
    <t>402-3764996-1105156</t>
  </si>
  <si>
    <t>TJnGLKbK4</t>
  </si>
  <si>
    <t>DXkH83cYc00wR</t>
  </si>
  <si>
    <t>2026-07-01T14:11:01+05:30</t>
  </si>
  <si>
    <t>2026-07-01T23:30:45+05:30</t>
  </si>
  <si>
    <t>2026-07-02T02:30:58+05:30</t>
  </si>
  <si>
    <t>jbh93d3m7gb44cc@marketplace.amazon.in</t>
  </si>
  <si>
    <t>EDAVILANGU</t>
  </si>
  <si>
    <t>408-0032096-5790721</t>
  </si>
  <si>
    <t>T64MSvbs4</t>
  </si>
  <si>
    <t>Dn2x8sckcF0HR</t>
  </si>
  <si>
    <t>2026-07-01T16:18:18+05:30</t>
  </si>
  <si>
    <t>2026-07-01T23:21:44+05:30</t>
  </si>
  <si>
    <t>2026-07-02T02:21:57+05:30</t>
  </si>
  <si>
    <t>k20jsm7srtd8wxg@marketplace.amazon.in</t>
  </si>
  <si>
    <t>408-0671894-9122758</t>
  </si>
  <si>
    <t>TJRY25tR4</t>
  </si>
  <si>
    <t>DDLT8jc9cz0YR</t>
  </si>
  <si>
    <t>2026-07-01T20:19:33+05:30</t>
  </si>
  <si>
    <t>2026-07-01T23:21:42+05:30</t>
  </si>
  <si>
    <t>2026-07-02T02:21:56+05:30</t>
  </si>
  <si>
    <t>404-5499997-9081954</t>
  </si>
  <si>
    <t>TNHMtvb24</t>
  </si>
  <si>
    <t>DTG78fcYcg0lR</t>
  </si>
  <si>
    <t>2026-07-01T16:02:38+05:30</t>
  </si>
  <si>
    <t>2026-07-01T23:17:48+05:30</t>
  </si>
  <si>
    <t>2026-07-02T02:18:02+05:30</t>
  </si>
  <si>
    <t>4md42vl9xb74pwh@marketplace.amazon.in</t>
  </si>
  <si>
    <t>405-5352567-0555550</t>
  </si>
  <si>
    <t>Tc1s24t14</t>
  </si>
  <si>
    <t>D5dd8hcWc40sR</t>
  </si>
  <si>
    <t>2026-07-01T21:02:07+05:30</t>
  </si>
  <si>
    <t>2026-07-01T23:14:46+05:30</t>
  </si>
  <si>
    <t>2026-07-02T02:14:57+05:30</t>
  </si>
  <si>
    <t>kygt7rl40tkkjh6@marketplace.amazon.in</t>
  </si>
  <si>
    <t>406-8830206-8900355</t>
  </si>
  <si>
    <t>TgS74wtc4</t>
  </si>
  <si>
    <t>DzMQXlcpck0KR</t>
  </si>
  <si>
    <t>2026-07-01T20:08:09+05:30</t>
  </si>
  <si>
    <t>2026-07-01T23:02:44+05:30</t>
  </si>
  <si>
    <t>2026-07-02T02:02:58+05:30</t>
  </si>
  <si>
    <t>nm75ftgt1d7nb5z@marketplace.amazon.in</t>
  </si>
  <si>
    <t>171-1604752-1986718</t>
  </si>
  <si>
    <t>TGN7pfbB4</t>
  </si>
  <si>
    <t>DNWgX9cDcp0JR</t>
  </si>
  <si>
    <t>2026-07-01T17:35:55+05:30</t>
  </si>
  <si>
    <t>2026-07-01T23:00:48+05:30</t>
  </si>
  <si>
    <t>2026-07-01T23:00:52+05:30</t>
  </si>
  <si>
    <t>2026-07-02T00:01:10+05:30</t>
  </si>
  <si>
    <t>cnmjfp4zdp7m5br@marketplace.amazon.in</t>
  </si>
  <si>
    <t>PONDICHERRY</t>
  </si>
  <si>
    <t>406-1682695-1033128</t>
  </si>
  <si>
    <t>T1P62YtK4</t>
  </si>
  <si>
    <t>DBxPX0cfcn0yR</t>
  </si>
  <si>
    <t>2026-07-01T19:48:09+05:30</t>
  </si>
  <si>
    <t>2026-07-01T23:00:42+05:30</t>
  </si>
  <si>
    <t>2026-07-02T02:00:54+05:30</t>
  </si>
  <si>
    <t>lft8gzwkdzs3d1c@marketplace.amazon.in</t>
  </si>
  <si>
    <t>404-6810193-4600333</t>
  </si>
  <si>
    <t>T3dclRZ54</t>
  </si>
  <si>
    <t>D1zsCzcQcz0PR</t>
  </si>
  <si>
    <t>2026-06-30T23:50:14+05:30</t>
  </si>
  <si>
    <t>2026-07-01T22:47:49+05:30</t>
  </si>
  <si>
    <t>2026-07-02T01:48:07+05:30</t>
  </si>
  <si>
    <t>00hxphdwqcpdlpq@marketplace.amazon.in</t>
  </si>
  <si>
    <t>ONDA</t>
  </si>
  <si>
    <t>405-1214525-8707517</t>
  </si>
  <si>
    <t>Tgwd7ZbK4</t>
  </si>
  <si>
    <t>DjztCDcjcV0KR</t>
  </si>
  <si>
    <t>2026-07-01T14:43:06+05:30</t>
  </si>
  <si>
    <t>2026-07-01T22:46:47+05:30</t>
  </si>
  <si>
    <t>2026-07-02T01:46:58+05:30</t>
  </si>
  <si>
    <t>sqzg7ywpfksn02p@marketplace.amazon.in</t>
  </si>
  <si>
    <t>408-4020092-1227521</t>
  </si>
  <si>
    <t>T11CPMb44</t>
  </si>
  <si>
    <t>DGzXCLc8cV0KR</t>
  </si>
  <si>
    <t>2026-07-01T15:49:59+05:30</t>
  </si>
  <si>
    <t>2026-07-01T22:43:42+05:30</t>
  </si>
  <si>
    <t>2026-07-02T01:43:54+05:30</t>
  </si>
  <si>
    <t>3ck0qn23gw85std@marketplace.amazon.in</t>
  </si>
  <si>
    <t>DXz1CLc8cV0KR</t>
  </si>
  <si>
    <t>DCzYCccCcV0KR</t>
  </si>
  <si>
    <t>408-3693511-1440361</t>
  </si>
  <si>
    <t>TCgmq1b54</t>
  </si>
  <si>
    <t>DKjWptc7cP07R</t>
  </si>
  <si>
    <t>2026-07-01T17:45:23+05:30</t>
  </si>
  <si>
    <t>2026-07-01T22:40:44+05:30</t>
  </si>
  <si>
    <t>2026-07-02T01:40:57+05:30</t>
  </si>
  <si>
    <t>r02xt6lmswwj6nr@marketplace.amazon.in</t>
  </si>
  <si>
    <t>402-8478138-1916356</t>
  </si>
  <si>
    <t>TXzg3vbz4</t>
  </si>
  <si>
    <t>DCGgCscnch0YR</t>
  </si>
  <si>
    <t>2026-07-01T14:32:24+05:30</t>
  </si>
  <si>
    <t>2026-07-01T22:39:46+05:30</t>
  </si>
  <si>
    <t>2026-07-02T01:39:58+05:30</t>
  </si>
  <si>
    <t>dy21xwh5s7wsgf8@marketplace.amazon.in</t>
  </si>
  <si>
    <t>405-9132392-4529135</t>
  </si>
  <si>
    <t>Tnfd3LwZ4</t>
  </si>
  <si>
    <t>D9Lcppcjcm0BR</t>
  </si>
  <si>
    <t>2026-06-30T19:57:27+05:30</t>
  </si>
  <si>
    <t>2026-07-01T22:22:08+05:30</t>
  </si>
  <si>
    <t>2026-07-02T01:22:19+05:30</t>
  </si>
  <si>
    <t>fx1b8w72s7xvf9q@marketplace.amazon.in</t>
  </si>
  <si>
    <t>GUDARI</t>
  </si>
  <si>
    <t>408-4958124-6769944</t>
  </si>
  <si>
    <t>TchygqbM4</t>
  </si>
  <si>
    <t>DkNkmRcScK06R</t>
  </si>
  <si>
    <t>2026-07-01T18:26:14+05:30</t>
  </si>
  <si>
    <t>2026-07-01T21:44:54+05:30</t>
  </si>
  <si>
    <t>2026-07-02T00:45:08+05:30</t>
  </si>
  <si>
    <t>dhxy1vh9878wjv6@marketplace.amazon.in</t>
  </si>
  <si>
    <t>SHEVGAON</t>
  </si>
  <si>
    <t>404-7353626-0323566</t>
  </si>
  <si>
    <t>TgR2bdtM4</t>
  </si>
  <si>
    <t>DLl8m0cbcp04R</t>
  </si>
  <si>
    <t>2026-07-01T20:06:18+05:30</t>
  </si>
  <si>
    <t>2026-07-01T21:33:41+05:30</t>
  </si>
  <si>
    <t>2026-07-02T00:33:53+05:30</t>
  </si>
  <si>
    <t>g4n2skc0z4bd6t1@marketplace.amazon.in</t>
  </si>
  <si>
    <t>402-6177796-2897935</t>
  </si>
  <si>
    <t>TN7YTgcq4</t>
  </si>
  <si>
    <t>DBnHlvcdcP0NR</t>
  </si>
  <si>
    <t>2026-06-27T16:44:07+05:30</t>
  </si>
  <si>
    <t>2026-07-01T21:13:46+05:30</t>
  </si>
  <si>
    <t>2026-07-02T00:14:00+05:30</t>
  </si>
  <si>
    <t>mwdxzq8lr7lhwz1@marketplace.amazon.in</t>
  </si>
  <si>
    <t>402-7184608-1090717</t>
  </si>
  <si>
    <t>TVRrMtbc4</t>
  </si>
  <si>
    <t>D0SLSZcfcW05R</t>
  </si>
  <si>
    <t>2026-07-01T15:42:10+05:30</t>
  </si>
  <si>
    <t>2026-07-01T20:54:44+05:30</t>
  </si>
  <si>
    <t>2026-07-01T23:54:57+05:30</t>
  </si>
  <si>
    <t>shrpj7p42359cqc@marketplace.amazon.in</t>
  </si>
  <si>
    <t>Bhagalpur</t>
  </si>
  <si>
    <t>406-4124414-5878749</t>
  </si>
  <si>
    <t>TnTcYlb14</t>
  </si>
  <si>
    <t>D7QzSjcxch03R</t>
  </si>
  <si>
    <t>2026-07-01T11:53:37+05:30</t>
  </si>
  <si>
    <t>2026-07-01T20:42:42+05:30</t>
  </si>
  <si>
    <t>2026-07-01T23:42:53+05:30</t>
  </si>
  <si>
    <t>gvvbb9qns13ctyp@marketplace.amazon.in</t>
  </si>
  <si>
    <t>171-0912800-0386757</t>
  </si>
  <si>
    <t>TJFwSlbw4</t>
  </si>
  <si>
    <t>Dbc566cJcQ0RR</t>
  </si>
  <si>
    <t>2026-07-01T15:19:22+05:30</t>
  </si>
  <si>
    <t>2026-07-01T20:30:46+05:30</t>
  </si>
  <si>
    <t>2026-07-01T20:30:48+05:30</t>
  </si>
  <si>
    <t>2026-07-01T21:31:01+05:30</t>
  </si>
  <si>
    <t>g07vwmb27rkq5gz@marketplace.amazon.in</t>
  </si>
  <si>
    <t>402-8399924-7201163</t>
  </si>
  <si>
    <t>TN3YfBb04</t>
  </si>
  <si>
    <t>Djc66NcScx0jR</t>
  </si>
  <si>
    <t>2026-07-01T18:13:53+05:30</t>
  </si>
  <si>
    <t>2026-07-01T20:28:45+05:30</t>
  </si>
  <si>
    <t>2026-07-01T23:28:56+05:30</t>
  </si>
  <si>
    <t>7l03z6y0t10gmgf@marketplace.amazon.in</t>
  </si>
  <si>
    <t>PERUMANNA</t>
  </si>
  <si>
    <t>402-6855441-3944358</t>
  </si>
  <si>
    <t>TXCgfSb84</t>
  </si>
  <si>
    <t>D04cGpckcl0hR</t>
  </si>
  <si>
    <t>2026-07-01T18:24:46+05:30</t>
  </si>
  <si>
    <t>2026-07-01T20:01:45+05:30</t>
  </si>
  <si>
    <t>2026-07-01T23:02:01+05:30</t>
  </si>
  <si>
    <t>7dg3dwhkwz9gtpn@marketplace.amazon.in</t>
  </si>
  <si>
    <t>405-0994247-2797912</t>
  </si>
  <si>
    <t>T3Y2JQWJ4</t>
  </si>
  <si>
    <t>DV9wGDcpcZ00R</t>
  </si>
  <si>
    <t>2026-06-30T12:00:20+05:30</t>
  </si>
  <si>
    <t>2026-07-01T19:58:45+05:30</t>
  </si>
  <si>
    <t>2026-07-01T22:59:04+05:30</t>
  </si>
  <si>
    <t>w2ztbcs5412s2v1@marketplace.amazon.in</t>
  </si>
  <si>
    <t>405-7610923-6687514</t>
  </si>
  <si>
    <t>TGJhJPbR4</t>
  </si>
  <si>
    <t>DQ9TG4cfcf00R</t>
  </si>
  <si>
    <t>2026-07-01T14:06:28+05:30</t>
  </si>
  <si>
    <t>2026-07-01T19:56:40+05:30</t>
  </si>
  <si>
    <t>2026-07-01T19:56:42+05:30</t>
  </si>
  <si>
    <t>2026-07-01T20:56:53+05:30</t>
  </si>
  <si>
    <t>ms9w5h51bds5dls@marketplace.amazon.in</t>
  </si>
  <si>
    <t>408-4538216-0144345</t>
  </si>
  <si>
    <t>TNBYhzbs4</t>
  </si>
  <si>
    <t>DG9YGqcxc90gR</t>
  </si>
  <si>
    <t>2026-07-01T18:44:15+05:30</t>
  </si>
  <si>
    <t>2026-07-01T19:54:40+05:30</t>
  </si>
  <si>
    <t>2026-07-01T19:54:43+05:30</t>
  </si>
  <si>
    <t>2026-07-01T20:54:53+05:30</t>
  </si>
  <si>
    <t>w8y3f1k9z9l4gt1@marketplace.amazon.in</t>
  </si>
  <si>
    <t>404-1606694-5227515</t>
  </si>
  <si>
    <t>TcqJXBZS4</t>
  </si>
  <si>
    <t>DC9GGpcQc90gR</t>
  </si>
  <si>
    <t>2026-07-01T07:58:22+05:30</t>
  </si>
  <si>
    <t>2026-07-01T19:51:45+05:30</t>
  </si>
  <si>
    <t>2026-07-01T22:51:56+05:30</t>
  </si>
  <si>
    <t>jvgvycb085fny42@marketplace.amazon.in</t>
  </si>
  <si>
    <t>ARIMALAM</t>
  </si>
  <si>
    <t>408-8389181-0697162</t>
  </si>
  <si>
    <t>TGVcjwZq4</t>
  </si>
  <si>
    <t>DzpHGHcwcz0MR</t>
  </si>
  <si>
    <t>2026-07-01T09:03:29+05:30</t>
  </si>
  <si>
    <t>2026-07-01T19:48:46+05:30</t>
  </si>
  <si>
    <t>2026-07-01T22:48:59+05:30</t>
  </si>
  <si>
    <t>zwb20kprg12xz4y@marketplace.amazon.in</t>
  </si>
  <si>
    <t>171-9222522-7821105</t>
  </si>
  <si>
    <t>TGvgmwbm4</t>
  </si>
  <si>
    <t>DYlNtxc0cd0BR</t>
  </si>
  <si>
    <t>2026-07-01T17:25:35+05:30</t>
  </si>
  <si>
    <t>2026-07-01T19:34:45+05:30</t>
  </si>
  <si>
    <t>2026-07-01T22:34:58+05:30</t>
  </si>
  <si>
    <t>58kqmpdwb9zl3wp@marketplace.amazon.in</t>
  </si>
  <si>
    <t>Kakkanad, Kochi</t>
  </si>
  <si>
    <t>407-4036331-6305903</t>
  </si>
  <si>
    <t>TcdDGsbS4</t>
  </si>
  <si>
    <t>DNgjPfcTcK0mR</t>
  </si>
  <si>
    <t>2026-07-01T16:17:13+05:30</t>
  </si>
  <si>
    <t>2026-07-01T19:20:45+05:30</t>
  </si>
  <si>
    <t>2026-07-01T22:20:56+05:30</t>
  </si>
  <si>
    <t>1zcyrf8ky43zc08@marketplace.amazon.in</t>
  </si>
  <si>
    <t>408-7450298-6069908</t>
  </si>
  <si>
    <t>Twszb2b04</t>
  </si>
  <si>
    <t>DCfgnlcGcJ0zR</t>
  </si>
  <si>
    <t>2026-07-01T10:54:15+05:30</t>
  </si>
  <si>
    <t>2026-07-01T18:42:42+05:30</t>
  </si>
  <si>
    <t>2026-07-01T21:42:53+05:30</t>
  </si>
  <si>
    <t>s047jpwf5qhbszn@marketplace.amazon.in</t>
  </si>
  <si>
    <t>404-0423391-6813166</t>
  </si>
  <si>
    <t>TVN3TFbP4</t>
  </si>
  <si>
    <t>Dpt5xGc0cp0lR</t>
  </si>
  <si>
    <t>2026-07-01T15:21:19+05:30</t>
  </si>
  <si>
    <t>2026-07-01T18:30:44+05:30</t>
  </si>
  <si>
    <t>2026-07-01T18:30:47+05:30</t>
  </si>
  <si>
    <t>2026-07-01T19:30:58+05:30</t>
  </si>
  <si>
    <t>kqqtgz03nbn1c9k@marketplace.amazon.in</t>
  </si>
  <si>
    <t>404-5907648-9873118</t>
  </si>
  <si>
    <t>TcydMgZS4</t>
  </si>
  <si>
    <t>DXpyxdcDcp0gR</t>
  </si>
  <si>
    <t>2026-07-01T00:31:23+05:30</t>
  </si>
  <si>
    <t>2026-07-01T18:27:51+05:30</t>
  </si>
  <si>
    <t>2026-07-01T21:28:06+05:30</t>
  </si>
  <si>
    <t>b6dpbph9ddwzvf5@marketplace.amazon.in</t>
  </si>
  <si>
    <t>403-3221313-7016369</t>
  </si>
  <si>
    <t>TNxRSJbD4</t>
  </si>
  <si>
    <t>DwP4xqcQc80tR</t>
  </si>
  <si>
    <t>2026-07-01T14:45:07+05:30</t>
  </si>
  <si>
    <t>2026-07-01T18:26:44+05:30</t>
  </si>
  <si>
    <t>2026-07-01T18:26:48+05:30</t>
  </si>
  <si>
    <t>2026-07-01T19:27:02+05:30</t>
  </si>
  <si>
    <t>9f4xxs13p1xkrzx@marketplace.amazon.in</t>
  </si>
  <si>
    <t>402-8795908-9598700</t>
  </si>
  <si>
    <t>T1PWrLbM4</t>
  </si>
  <si>
    <t>DVPGxdc5cg0tR</t>
  </si>
  <si>
    <t>2026-07-01T12:00:24+05:30</t>
  </si>
  <si>
    <t>2026-07-01T18:19:50+05:30</t>
  </si>
  <si>
    <t>2026-07-01T21:20:02+05:30</t>
  </si>
  <si>
    <t>th70xdqswh2y416@marketplace.amazon.in</t>
  </si>
  <si>
    <t>UDHAMPUR</t>
  </si>
  <si>
    <t>408-3063635-1537907</t>
  </si>
  <si>
    <t>TgWNptZN4</t>
  </si>
  <si>
    <t>DpfCJ3cycC0cR</t>
  </si>
  <si>
    <t>2026-07-01T08:14:33+05:30</t>
  </si>
  <si>
    <t>2026-07-01T17:49:47+05:30</t>
  </si>
  <si>
    <t>2026-07-01T20:50:00+05:30</t>
  </si>
  <si>
    <t>3b5753y875nd88v@marketplace.amazon.in</t>
  </si>
  <si>
    <t>405-7837181-3985914</t>
  </si>
  <si>
    <t>TVB6XKZx4</t>
  </si>
  <si>
    <t>D1frJMcpcm0lR</t>
  </si>
  <si>
    <t>2026-07-01T08:13:37+05:30</t>
  </si>
  <si>
    <t>2026-07-01T17:47:46+05:30</t>
  </si>
  <si>
    <t>2026-07-01T20:47:58+05:30</t>
  </si>
  <si>
    <t>x864p4pyx9621xb@marketplace.amazon.in</t>
  </si>
  <si>
    <t>THIRUVIDAIMARUDUR</t>
  </si>
  <si>
    <t>406-1918606-6095551</t>
  </si>
  <si>
    <t>TgV4z0bG4</t>
  </si>
  <si>
    <t>DfYPJFcfct0JR</t>
  </si>
  <si>
    <t>2026-07-01T13:06:15+05:30</t>
  </si>
  <si>
    <t>2026-07-01T17:47:45+05:30</t>
  </si>
  <si>
    <t>2026-07-01T20:47:56+05:30</t>
  </si>
  <si>
    <t>80x1cbbkgbr1fp9@marketplace.amazon.in</t>
  </si>
  <si>
    <t>KANGEYAM</t>
  </si>
  <si>
    <t>171-1043424-7176364</t>
  </si>
  <si>
    <t>TGTK4lwW4</t>
  </si>
  <si>
    <t>DDx9JMc1cb0VR</t>
  </si>
  <si>
    <t>2026-06-30T18:15:10+05:30</t>
  </si>
  <si>
    <t>2026-07-01T17:45:45+05:30</t>
  </si>
  <si>
    <t>2026-07-01T20:45:56+05:30</t>
  </si>
  <si>
    <t>04c3xlrwm1r43kw@marketplace.amazon.in</t>
  </si>
  <si>
    <t>171-3017904-0061908</t>
  </si>
  <si>
    <t>T65r1Hbc4</t>
  </si>
  <si>
    <t>DdPhJlcCc90YR</t>
  </si>
  <si>
    <t>2026-07-01T11:04:00+05:30</t>
  </si>
  <si>
    <t>2026-07-01T17:42:56+05:30</t>
  </si>
  <si>
    <t>2026-07-01T20:43:12+05:30</t>
  </si>
  <si>
    <t>dy1km5c2pddqfth@marketplace.amazon.in</t>
  </si>
  <si>
    <t>406-6332012-1833924</t>
  </si>
  <si>
    <t>T6TCPNb24</t>
  </si>
  <si>
    <t>Dq95MGc7cS0gR</t>
  </si>
  <si>
    <t>2026-07-01T15:40:38+05:30</t>
  </si>
  <si>
    <t>2026-07-01T17:39:43+05:30</t>
  </si>
  <si>
    <t>2026-07-01T17:39:47+05:30</t>
  </si>
  <si>
    <t>2026-07-01T18:39:56+05:30</t>
  </si>
  <si>
    <t>cvm49g639ynnv7z@marketplace.amazon.in</t>
  </si>
  <si>
    <t>MAKRANA</t>
  </si>
  <si>
    <t>404-5443901-0318730</t>
  </si>
  <si>
    <t>T3ZhHybv4</t>
  </si>
  <si>
    <t>DvY2M9cJc50XR</t>
  </si>
  <si>
    <t>2026-07-01T11:20:35+05:30</t>
  </si>
  <si>
    <t>2026-07-01T17:30:41+05:30</t>
  </si>
  <si>
    <t>2026-07-01T20:30:49+05:30</t>
  </si>
  <si>
    <t>32068tbvn6m4hzk@marketplace.amazon.in</t>
  </si>
  <si>
    <t>405-6907572-5926752</t>
  </si>
  <si>
    <t>TCFR1gb14</t>
  </si>
  <si>
    <t>DjFV1tcVcC00R</t>
  </si>
  <si>
    <t>2026-07-01T15:14:53+05:30</t>
  </si>
  <si>
    <t>2026-07-01T17:25:41+05:30</t>
  </si>
  <si>
    <t>2026-07-01T17:25:45+05:30</t>
  </si>
  <si>
    <t>2026-07-01T18:25:58+05:30</t>
  </si>
  <si>
    <t>9w8kfldm8km8gw0@marketplace.amazon.in</t>
  </si>
  <si>
    <t>MANDIDEEP</t>
  </si>
  <si>
    <t>404-4374195-1788353</t>
  </si>
  <si>
    <t>TG7pzpZF4</t>
  </si>
  <si>
    <t>Dx3T14cfcX05R</t>
  </si>
  <si>
    <t>2026-07-01T00:31:45+05:30</t>
  </si>
  <si>
    <t>2026-07-01T17:24:45+05:30</t>
  </si>
  <si>
    <t>2026-07-01T20:24:58+05:30</t>
  </si>
  <si>
    <t>pgj4lbx8rbsyn45@marketplace.amazon.in</t>
  </si>
  <si>
    <t>Kangra</t>
  </si>
  <si>
    <t>407-5582105-0529118</t>
  </si>
  <si>
    <t>TXl1D4bn4</t>
  </si>
  <si>
    <t>D9CN1Mc4c609R</t>
  </si>
  <si>
    <t>2026-07-01T12:38:52+05:30</t>
  </si>
  <si>
    <t>2026-07-01T17:21:46+05:30</t>
  </si>
  <si>
    <t>2026-07-01T20:22:00+05:30</t>
  </si>
  <si>
    <t>97r94mhns6flc9z@marketplace.amazon.in</t>
  </si>
  <si>
    <t>406-6841910-7836316</t>
  </si>
  <si>
    <t>T6XrfYwg4</t>
  </si>
  <si>
    <t>DDC61PcNc609R</t>
  </si>
  <si>
    <t>2026-06-30T22:37:51+05:30</t>
  </si>
  <si>
    <t>2026-07-01T17:20:49+05:30</t>
  </si>
  <si>
    <t>2026-07-01T20:21:04+05:30</t>
  </si>
  <si>
    <t>6xjwwnw4c2vm2fj@marketplace.amazon.in</t>
  </si>
  <si>
    <t>D9Cz1PcNc609R</t>
  </si>
  <si>
    <t>404-8470692-6150728</t>
  </si>
  <si>
    <t>TJHvfJZD4</t>
  </si>
  <si>
    <t>DLgs7JcCcn0ZR</t>
  </si>
  <si>
    <t>2026-07-01T09:49:59+05:30</t>
  </si>
  <si>
    <t>2026-07-01T16:46:44+05:30</t>
  </si>
  <si>
    <t>2026-07-01T19:46:55+05:30</t>
  </si>
  <si>
    <t>nnt5967v4gcdqzl@marketplace.amazon.in</t>
  </si>
  <si>
    <t>407-5531597-1768342</t>
  </si>
  <si>
    <t>TGThJbbS4</t>
  </si>
  <si>
    <t>DFgGL1cDc90CR</t>
  </si>
  <si>
    <t>2026-07-01T14:32:31+05:30</t>
  </si>
  <si>
    <t>2026-07-01T16:37:45+05:30</t>
  </si>
  <si>
    <t>2026-07-01T19:37:57+05:30</t>
  </si>
  <si>
    <t>9w5zt3w38grll1m@marketplace.amazon.in</t>
  </si>
  <si>
    <t>407-0218505-6243577</t>
  </si>
  <si>
    <t>TCgGPXbr4</t>
  </si>
  <si>
    <t>D8jXLMcncP0tR</t>
  </si>
  <si>
    <t>2026-07-01T15:11:17+05:30</t>
  </si>
  <si>
    <t>2026-07-01T16:34:46+05:30</t>
  </si>
  <si>
    <t>2026-07-01T19:34:59+05:30</t>
  </si>
  <si>
    <t>f7qwwqllvm5m7m3@marketplace.amazon.in</t>
  </si>
  <si>
    <t>404-6791127-2038710</t>
  </si>
  <si>
    <t>TXzNvkZn4</t>
  </si>
  <si>
    <t>DnrYLMcsck0ZR</t>
  </si>
  <si>
    <t>2026-07-01T02:03:04+05:30</t>
  </si>
  <si>
    <t>2026-07-01T16:29:40+05:30</t>
  </si>
  <si>
    <t>2026-07-01T16:29:43+05:30</t>
  </si>
  <si>
    <t>2026-07-01T17:29:59+05:30</t>
  </si>
  <si>
    <t>wq34trrg4m3cccs@marketplace.amazon.in</t>
  </si>
  <si>
    <t>405-4814916-0903501</t>
  </si>
  <si>
    <t>TgjXVkZk4</t>
  </si>
  <si>
    <t>DkrvL8cXcm0ZR</t>
  </si>
  <si>
    <t>2026-06-30T19:25:57+05:30</t>
  </si>
  <si>
    <t>2026-07-01T16:20:58+05:30</t>
  </si>
  <si>
    <t>2026-07-01T19:21:28+05:30</t>
  </si>
  <si>
    <t>dyvmt4m9nrhb3zq@marketplace.amazon.in</t>
  </si>
  <si>
    <t>408-0062180-8602716</t>
  </si>
  <si>
    <t>T1LmQcbz4</t>
  </si>
  <si>
    <t>D5qhLScmcX04R</t>
  </si>
  <si>
    <t>2026-06-30T23:46:19+05:30</t>
  </si>
  <si>
    <t>2026-07-01T16:18:47+05:30</t>
  </si>
  <si>
    <t>2026-07-01T19:18:58+05:30</t>
  </si>
  <si>
    <t>81jvv4qwrh2lrws@marketplace.amazon.in</t>
  </si>
  <si>
    <t>171-9913520-8730751</t>
  </si>
  <si>
    <t>T3SszWZX4</t>
  </si>
  <si>
    <t>DbWwsMcmcl0jR</t>
  </si>
  <si>
    <t>2026-07-01T01:18:00+05:30</t>
  </si>
  <si>
    <t>2026-07-01T16:14:51+05:30</t>
  </si>
  <si>
    <t>2026-07-01T19:15:12+05:30</t>
  </si>
  <si>
    <t>hc6kmjlxd3p1s5v@marketplace.amazon.in</t>
  </si>
  <si>
    <t>406-8356615-6845113</t>
  </si>
  <si>
    <t>TVhFFKbS4</t>
  </si>
  <si>
    <t>DjZjsPcHcy00R</t>
  </si>
  <si>
    <t>2026-07-01T13:56:36+05:30</t>
  </si>
  <si>
    <t>2026-07-01T16:13:42+05:30</t>
  </si>
  <si>
    <t>2026-07-01T16:13:45+05:30</t>
  </si>
  <si>
    <t>2026-07-01T17:13:55+05:30</t>
  </si>
  <si>
    <t>xz0kxmdfk60cw1g@marketplace.amazon.in</t>
  </si>
  <si>
    <t>403-4993189-4591503</t>
  </si>
  <si>
    <t>TGLb5DZd4</t>
  </si>
  <si>
    <t>DFnwsTc9cz08R</t>
  </si>
  <si>
    <t>2026-07-01T08:43:47+05:30</t>
  </si>
  <si>
    <t>2026-07-01T16:08:46+05:30</t>
  </si>
  <si>
    <t>2026-07-01T19:08:57+05:30</t>
  </si>
  <si>
    <t>ynpzg8b9hlbl5kc@marketplace.amazon.in</t>
  </si>
  <si>
    <t>406-4193075-5162762</t>
  </si>
  <si>
    <t>T1Tv9wZ84</t>
  </si>
  <si>
    <t>DPyycmc7cp08R</t>
  </si>
  <si>
    <t>2026-06-30T21:24:50+05:30</t>
  </si>
  <si>
    <t>2026-07-01T15:46:48+05:30</t>
  </si>
  <si>
    <t>2026-07-01T18:47:05+05:30</t>
  </si>
  <si>
    <t>7p8lh9fvh64z18v@marketplace.amazon.in</t>
  </si>
  <si>
    <t>403-0047339-3733109</t>
  </si>
  <si>
    <t>TnfzqgZM4</t>
  </si>
  <si>
    <t>DNVsc5cmcz00R</t>
  </si>
  <si>
    <t>2026-07-01T09:02:53+05:30</t>
  </si>
  <si>
    <t>2026-07-01T15:39:04+05:30</t>
  </si>
  <si>
    <t>2026-07-01T15:39:08+05:30</t>
  </si>
  <si>
    <t>2026-07-01T16:39:20+05:30</t>
  </si>
  <si>
    <t>6k1w267t6tsjk29@marketplace.amazon.in</t>
  </si>
  <si>
    <t>402-8779819-2446729</t>
  </si>
  <si>
    <t>T6LGhgWz4</t>
  </si>
  <si>
    <t>DbW4vlcGcl0nR</t>
  </si>
  <si>
    <t>2026-06-30T15:40:09+05:30</t>
  </si>
  <si>
    <t>2026-07-01T15:25:44+05:30</t>
  </si>
  <si>
    <t>2026-07-01T18:25:55+05:30</t>
  </si>
  <si>
    <t>402-1568897-8870764</t>
  </si>
  <si>
    <t>TV5FGJZ54</t>
  </si>
  <si>
    <t>D1blvNcpcs07R</t>
  </si>
  <si>
    <t>2026-06-29T09:23:39+05:30</t>
  </si>
  <si>
    <t>2026-07-01T15:24:43+05:30</t>
  </si>
  <si>
    <t>2026-07-01T18:24:57+05:30</t>
  </si>
  <si>
    <t>f66dl3n3ybm79tw@marketplace.amazon.in</t>
  </si>
  <si>
    <t>406-2345200-3504309</t>
  </si>
  <si>
    <t>TVVMYMbs4</t>
  </si>
  <si>
    <t>Dnq5VxcqcK06R</t>
  </si>
  <si>
    <t>2026-07-01T12:09:19+05:30</t>
  </si>
  <si>
    <t>2026-07-01T14:44:44+05:30</t>
  </si>
  <si>
    <t>2026-07-01T17:44:59+05:30</t>
  </si>
  <si>
    <t>nss1czpw080sjp5@marketplace.amazon.in</t>
  </si>
  <si>
    <t>171-3771853-3822706</t>
  </si>
  <si>
    <t>TwjpZsZ74</t>
  </si>
  <si>
    <t>DstF2Qc3cw0JR</t>
  </si>
  <si>
    <t>2026-07-01T09:10:28+05:30</t>
  </si>
  <si>
    <t>2026-07-01T14:30:45+05:30</t>
  </si>
  <si>
    <t>2026-07-01T17:30:57+05:30</t>
  </si>
  <si>
    <t>zcpkqxy5jtm6hn9@marketplace.amazon.in</t>
  </si>
  <si>
    <t>DERA BASSI INDUSTRIAL AREA</t>
  </si>
  <si>
    <t>171-1910953-7661100</t>
  </si>
  <si>
    <t>TclsWWZY4</t>
  </si>
  <si>
    <t>DgdqFZcLc20MR</t>
  </si>
  <si>
    <t>2026-07-01T06:27:52+05:30</t>
  </si>
  <si>
    <t>2026-07-01T14:10:43+05:30</t>
  </si>
  <si>
    <t>2026-07-01T17:10:54+05:30</t>
  </si>
  <si>
    <t>AC002830884IN</t>
  </si>
  <si>
    <t>171-2467647-9385957</t>
  </si>
  <si>
    <t>TcdtNlwT4</t>
  </si>
  <si>
    <t>DTCNYYcwcQ0JR</t>
  </si>
  <si>
    <t>2026-06-30T16:24:34+05:30</t>
  </si>
  <si>
    <t>2026-07-01T13:38:47+05:30</t>
  </si>
  <si>
    <t>2026-07-01T16:39:01+05:30</t>
  </si>
  <si>
    <t>km3hxg14rww7m5j@marketplace.amazon.in</t>
  </si>
  <si>
    <t>408-1742084-5900337</t>
  </si>
  <si>
    <t>TwxKqhZf4</t>
  </si>
  <si>
    <t>D7m4y4c6cy0DR</t>
  </si>
  <si>
    <t>2026-07-01T08:01:05+05:30</t>
  </si>
  <si>
    <t>2026-07-01T13:26:45+05:30</t>
  </si>
  <si>
    <t>2026-07-01T16:27:02+05:30</t>
  </si>
  <si>
    <t>403-6226002-7145938</t>
  </si>
  <si>
    <t>T6zZj3Zt4</t>
  </si>
  <si>
    <t>DssqyQcDcZ04R</t>
  </si>
  <si>
    <t>2026-07-01T08:37:28+05:30</t>
  </si>
  <si>
    <t>2026-07-01T13:21:45+05:30</t>
  </si>
  <si>
    <t>2026-07-01T16:21:57+05:30</t>
  </si>
  <si>
    <t>xmmj68017rfwp61@marketplace.amazon.in</t>
  </si>
  <si>
    <t>408-2871202-5089935</t>
  </si>
  <si>
    <t>TNjFZGZs4</t>
  </si>
  <si>
    <t>Drvcwqcjcw0ZR</t>
  </si>
  <si>
    <t>2026-07-01T09:02:43+05:30</t>
  </si>
  <si>
    <t>2026-07-01T13:14:42+05:30</t>
  </si>
  <si>
    <t>2026-07-01T13:14:46+05:30</t>
  </si>
  <si>
    <t>2026-07-01T14:15:02+05:30</t>
  </si>
  <si>
    <t>42bpscxpc9ptlc1@marketplace.amazon.in</t>
  </si>
  <si>
    <t>402-5971309-9605113</t>
  </si>
  <si>
    <t>TnQlbLZ04</t>
  </si>
  <si>
    <t>D37XwSc0ck00R</t>
  </si>
  <si>
    <t>2026-06-30T23:00:23+05:30</t>
  </si>
  <si>
    <t>2026-07-01T13:08:42+05:30</t>
  </si>
  <si>
    <t>2026-07-01T16:08:53+05:30</t>
  </si>
  <si>
    <t>yp5x63mp773gyfw@marketplace.amazon.in</t>
  </si>
  <si>
    <t>408-6131485-5907527</t>
  </si>
  <si>
    <t>TCQMzVZj4</t>
  </si>
  <si>
    <t>D7bvwhcscZ0jR</t>
  </si>
  <si>
    <t>2026-06-30T23:32:21+05:30</t>
  </si>
  <si>
    <t>2026-07-01T13:07:45+05:30</t>
  </si>
  <si>
    <t>2026-07-01T16:08:01+05:30</t>
  </si>
  <si>
    <t>m5gql6lyzqz36cv@marketplace.amazon.in</t>
  </si>
  <si>
    <t>406-2308674-4116341</t>
  </si>
  <si>
    <t>TCdCFgZr4</t>
  </si>
  <si>
    <t>D0bGwGcpcw0jR</t>
  </si>
  <si>
    <t>2026-06-30T23:09:12+05:30</t>
  </si>
  <si>
    <t>2026-07-01T13:01:47+05:30</t>
  </si>
  <si>
    <t>2026-07-01T16:02:00+05:30</t>
  </si>
  <si>
    <t>j08xd9phdftzxc0@marketplace.amazon.in</t>
  </si>
  <si>
    <t>407-0327336-6452346</t>
  </si>
  <si>
    <t>Tndc8WZR4</t>
  </si>
  <si>
    <t>DpnMwkcCcF01R</t>
  </si>
  <si>
    <t>2026-07-01T08:41:24+05:30</t>
  </si>
  <si>
    <t>2026-07-01T12:59:49+05:30</t>
  </si>
  <si>
    <t>2026-07-01T16:00:04+05:30</t>
  </si>
  <si>
    <t>crk29dq8c5shlsb@marketplace.amazon.in</t>
  </si>
  <si>
    <t>405-2274849-8541903</t>
  </si>
  <si>
    <t>T3NSLTZN4</t>
  </si>
  <si>
    <t>DGym9kc3cG0cR</t>
  </si>
  <si>
    <t>2026-06-30T22:15:44+05:30</t>
  </si>
  <si>
    <t>2026-07-01T12:35:51+05:30</t>
  </si>
  <si>
    <t>2026-07-01T15:36:06+05:30</t>
  </si>
  <si>
    <t>w3crxz5pvz21t9s@marketplace.amazon.in</t>
  </si>
  <si>
    <t>405-3717495-6437955</t>
  </si>
  <si>
    <t>T6x6kkbg4</t>
  </si>
  <si>
    <t>DkFF9kcVcd0ZR</t>
  </si>
  <si>
    <t>2026-07-01T10:40:43+05:30</t>
  </si>
  <si>
    <t>2026-07-01T12:32:45+05:30</t>
  </si>
  <si>
    <t>2026-07-01T15:32:56+05:30</t>
  </si>
  <si>
    <t>wbff0m2rvrpnddt@marketplace.amazon.in</t>
  </si>
  <si>
    <t>2026-07-01T20:00:00+05:30</t>
  </si>
  <si>
    <t>406-9304787-3065124</t>
  </si>
  <si>
    <t>TVqwl3w64</t>
  </si>
  <si>
    <t>D3cn9wcpcz0MR</t>
  </si>
  <si>
    <t>2026-06-30T22:44:46+05:30</t>
  </si>
  <si>
    <t>2026-07-01T12:27:46+05:30</t>
  </si>
  <si>
    <t>2026-07-01T15:27:58+05:30</t>
  </si>
  <si>
    <t>29dtnxfnycy9m01@marketplace.amazon.in</t>
  </si>
  <si>
    <t>408-8899790-0781927</t>
  </si>
  <si>
    <t>TX8DqCZS4</t>
  </si>
  <si>
    <t>DnBnbbcscb0KR</t>
  </si>
  <si>
    <t>2026-07-01T09:32:19+05:30</t>
  </si>
  <si>
    <t>2026-07-01T11:46:50+05:30</t>
  </si>
  <si>
    <t>2026-07-01T14:47:08+05:30</t>
  </si>
  <si>
    <t>ggm64th26cvs5z2@marketplace.amazon.in</t>
  </si>
  <si>
    <t>406-1941746-8461101</t>
  </si>
  <si>
    <t>TVYHKnZD4</t>
  </si>
  <si>
    <t>DVB5bBcscb0KR</t>
  </si>
  <si>
    <t>2026-07-01T07:03:29+05:30</t>
  </si>
  <si>
    <t>2026-07-01T11:46:39+05:30</t>
  </si>
  <si>
    <t>2026-07-01T14:46:51+05:30</t>
  </si>
  <si>
    <t>z9pkblmyry64r32@marketplace.amazon.in</t>
  </si>
  <si>
    <t>404-7216392-7416368</t>
  </si>
  <si>
    <t>Tcc1hPZ04</t>
  </si>
  <si>
    <t>D0nvHjcxc10lR</t>
  </si>
  <si>
    <t>2026-07-01T09:56:57+05:30</t>
  </si>
  <si>
    <t>2026-07-01T11:45:48+05:30</t>
  </si>
  <si>
    <t>2026-07-01T11:45:51+05:30</t>
  </si>
  <si>
    <t>2026-07-01T12:46:02+05:30</t>
  </si>
  <si>
    <t>1z2xntrn3mfh87t@marketplace.amazon.in</t>
  </si>
  <si>
    <t>407-0515648-7405126</t>
  </si>
  <si>
    <t>TCBFpgZN4</t>
  </si>
  <si>
    <t>D0YgbKcLcv0QR</t>
  </si>
  <si>
    <t>2026-07-01T07:54:21+05:30</t>
  </si>
  <si>
    <t>2026-07-01T11:35:44+05:30</t>
  </si>
  <si>
    <t>2026-07-01T14:35:57+05:30</t>
  </si>
  <si>
    <t>5c2ssszpw5mkbms@marketplace.amazon.in</t>
  </si>
  <si>
    <t>403-3625531-9305958</t>
  </si>
  <si>
    <t>T3FbhJZS4</t>
  </si>
  <si>
    <t>DjYJbVchcS0QR</t>
  </si>
  <si>
    <t>2026-07-01T10:21:11+05:30</t>
  </si>
  <si>
    <t>2026-07-01T11:30:45+05:30</t>
  </si>
  <si>
    <t>2026-07-01T14:30:57+05:30</t>
  </si>
  <si>
    <t>2w26wsbfft2l182@marketplace.amazon.in</t>
  </si>
  <si>
    <t>405-8133238-7310741</t>
  </si>
  <si>
    <t>TJnwjwZF4</t>
  </si>
  <si>
    <t>DfR3N8cvcB09R</t>
  </si>
  <si>
    <t>2026-07-01T09:10:09+05:30</t>
  </si>
  <si>
    <t>2026-07-01T10:57:38+05:30</t>
  </si>
  <si>
    <t>2026-07-01T10:57:41+05:30</t>
  </si>
  <si>
    <t>2026-07-01T11:57:54+05:30</t>
  </si>
  <si>
    <t>405-7547399-0733133</t>
  </si>
  <si>
    <t>Tgz4C3ZF4</t>
  </si>
  <si>
    <t>DxmwRxckc703R</t>
  </si>
  <si>
    <t>2026-07-01T08:12:45+05:30</t>
  </si>
  <si>
    <t>2026-07-01T10:57:22+05:30</t>
  </si>
  <si>
    <t>2026-07-01T13:57:43+05:30</t>
  </si>
  <si>
    <t>8rjwp0mclsnj0yx@marketplace.amazon.in</t>
  </si>
  <si>
    <t>407-6121604-5438744</t>
  </si>
  <si>
    <t>TgNTj4wg4</t>
  </si>
  <si>
    <t>DSRbNrcBcT0DR</t>
  </si>
  <si>
    <t>2026-06-30T21:43:43+05:30</t>
  </si>
  <si>
    <t>2026-07-01T10:53:53+05:30</t>
  </si>
  <si>
    <t>2026-07-01T13:54:06+05:30</t>
  </si>
  <si>
    <t>8xg9kqbx0qjx2c2@marketplace.amazon.in</t>
  </si>
  <si>
    <t>171-1017389-8770766</t>
  </si>
  <si>
    <t>TGKd0hQf4</t>
  </si>
  <si>
    <t>DY6fRCcdcy04R</t>
  </si>
  <si>
    <t>2026-06-29T13:03:32+05:30</t>
  </si>
  <si>
    <t>2026-07-01T10:47:36+05:30</t>
  </si>
  <si>
    <t>2026-07-01T13:47:49+05:30</t>
  </si>
  <si>
    <t>pkfhpz697yn8pwd@marketplace.amazon.in</t>
  </si>
  <si>
    <t>BHONGIR</t>
  </si>
  <si>
    <t>408-7601831-2793955</t>
  </si>
  <si>
    <t>TcqNfpW84</t>
  </si>
  <si>
    <t>DDTxRGcZcb0TR</t>
  </si>
  <si>
    <t>2026-06-30T15:38:04+05:30</t>
  </si>
  <si>
    <t>2026-07-01T10:46:46+05:30</t>
  </si>
  <si>
    <t>2026-07-01T13:46:58+05:30</t>
  </si>
  <si>
    <t>tkgp0ql7wj3t0tm@marketplace.amazon.in</t>
  </si>
  <si>
    <t>404-4977985-2566743</t>
  </si>
  <si>
    <t>Tw9NBTwn4</t>
  </si>
  <si>
    <t>DN0zRlcXcX0kR</t>
  </si>
  <si>
    <t>2026-06-30T17:01:03+05:30</t>
  </si>
  <si>
    <t>2026-07-01T10:44:44+05:30</t>
  </si>
  <si>
    <t>2026-07-01T13:44:56+05:30</t>
  </si>
  <si>
    <t>yt65m4wv4v7p3jb@marketplace.amazon.in</t>
  </si>
  <si>
    <t>408-3418537-0689155</t>
  </si>
  <si>
    <t>TNjGFqZR4</t>
  </si>
  <si>
    <t>DqBJh9HlcR07R</t>
  </si>
  <si>
    <t>2026-07-01T01:21:35+05:30</t>
  </si>
  <si>
    <t>2026-07-01T10:29:43+05:30</t>
  </si>
  <si>
    <t>2026-07-01T13:29:55+05:30</t>
  </si>
  <si>
    <t>lrx64gpy89x26rx@marketplace.amazon.in</t>
  </si>
  <si>
    <t>171-1435529-3904357</t>
  </si>
  <si>
    <t>Tn9Sn3wx4</t>
  </si>
  <si>
    <t>D81NfzH3cq0KR</t>
  </si>
  <si>
    <t>2026-06-30T19:49:37+05:30</t>
  </si>
  <si>
    <t>2026-07-01T10:17:49+05:30</t>
  </si>
  <si>
    <t>2026-07-01T13:18:00+05:30</t>
  </si>
  <si>
    <t>vpyc06fpztdg49v@marketplace.amazon.in</t>
  </si>
  <si>
    <t>407-0697681-6197157</t>
  </si>
  <si>
    <t>TGCD5sZ34</t>
  </si>
  <si>
    <t>DC1QfBHFcq0KR</t>
  </si>
  <si>
    <t>2026-07-01T08:41:37+05:30</t>
  </si>
  <si>
    <t>2026-07-01T10:14:38+05:30</t>
  </si>
  <si>
    <t>2026-07-01T13:14:49+05:30</t>
  </si>
  <si>
    <t>1wm8kq7468knqjd@marketplace.amazon.in</t>
  </si>
  <si>
    <t>405-1068516-1821908</t>
  </si>
  <si>
    <t>T3hTgNZV4</t>
  </si>
  <si>
    <t>Dft2fkHJcJ0MR</t>
  </si>
  <si>
    <t>2026-07-01T08:19:37+05:30</t>
  </si>
  <si>
    <t>2026-07-01T10:10:42+05:30</t>
  </si>
  <si>
    <t>2026-07-01T10:10:45+05:30</t>
  </si>
  <si>
    <t>2026-07-01T11:10:57+05:30</t>
  </si>
  <si>
    <t>wqdk0msfyjglc4v@marketplace.amazon.in</t>
  </si>
  <si>
    <t>407-2569471-7129946</t>
  </si>
  <si>
    <t>Tczj0qZY4</t>
  </si>
  <si>
    <t>DMCNfpHZcL0QR</t>
  </si>
  <si>
    <t>2026-07-01T04:20:56+05:30</t>
  </si>
  <si>
    <t>2026-07-01T10:04:44+05:30</t>
  </si>
  <si>
    <t>2026-07-01T13:04:56+05:30</t>
  </si>
  <si>
    <t>0myrnfw7xzwwm34@marketplace.amazon.in</t>
  </si>
  <si>
    <t>171-6948034-4238715</t>
  </si>
  <si>
    <t>TNNRC5w64</t>
  </si>
  <si>
    <t>Dr5ZjfHDcS0yR</t>
  </si>
  <si>
    <t>2026-06-30T21:05:20+05:30</t>
  </si>
  <si>
    <t>2026-07-01T10:02:40+05:30</t>
  </si>
  <si>
    <t>2026-07-01T13:02:51+05:30</t>
  </si>
  <si>
    <t>drsx1bdchllkxz6@marketplace.amazon.in</t>
  </si>
  <si>
    <t>408-5668925-0562732</t>
  </si>
  <si>
    <t>TXCDbHZV4</t>
  </si>
  <si>
    <t>DNy5j7H8cg0jR</t>
  </si>
  <si>
    <t>2026-06-30T23:34:56+05:30</t>
  </si>
  <si>
    <t>2026-07-01T09:58:46+05:30</t>
  </si>
  <si>
    <t>2026-07-01T12:59:03+05:30</t>
  </si>
  <si>
    <t>79ztcpgfnvjknyn@marketplace.amazon.in</t>
  </si>
  <si>
    <t>402-6590605-2380355</t>
  </si>
  <si>
    <t>TGFd59w24</t>
  </si>
  <si>
    <t>D1KfZTHhch0JR</t>
  </si>
  <si>
    <t>2026-06-30T23:22:23+05:30</t>
  </si>
  <si>
    <t>2026-07-01T09:48:45+05:30</t>
  </si>
  <si>
    <t>2026-07-01T09:48:49+05:30</t>
  </si>
  <si>
    <t>2026-07-01T10:49:01+05:30</t>
  </si>
  <si>
    <t>2bw2wlw8zwm6b7w@marketplace.amazon.in</t>
  </si>
  <si>
    <t>407-8475666-9128359</t>
  </si>
  <si>
    <t>TGhJQK6x4</t>
  </si>
  <si>
    <t>DMxkj4HFc70GR</t>
  </si>
  <si>
    <t>2026-06-28T19:09:29+05:30</t>
  </si>
  <si>
    <t>2026-07-01T09:45:50+05:30</t>
  </si>
  <si>
    <t>2026-07-01T12:46:09+05:30</t>
  </si>
  <si>
    <t>gm5w8ttbdcjz78k@marketplace.amazon.in</t>
  </si>
  <si>
    <t>405-8705205-6478746</t>
  </si>
  <si>
    <t>TgNg6LZS4</t>
  </si>
  <si>
    <t>DYBTZfHYcb0jR</t>
  </si>
  <si>
    <t>2026-07-01T06:24:12+05:30</t>
  </si>
  <si>
    <t>2026-07-01T09:44:41+05:30</t>
  </si>
  <si>
    <t>2026-07-01T12:44:52+05:30</t>
  </si>
  <si>
    <t>j9bd9k6sh02jc9c@marketplace.amazon.in</t>
  </si>
  <si>
    <t>171-0176764-5125933</t>
  </si>
  <si>
    <t>TCHM5fl74</t>
  </si>
  <si>
    <t>Dqg4ZDHvc604R</t>
  </si>
  <si>
    <t>2026-06-27T09:56:17+05:30</t>
  </si>
  <si>
    <t>2026-07-01T09:39:48+05:30</t>
  </si>
  <si>
    <t>2026-07-01T12:40:04+05:30</t>
  </si>
  <si>
    <t>2cvyjn85wvsn19d@marketplace.amazon.in</t>
  </si>
  <si>
    <t>DkglZ8Hvc604R</t>
  </si>
  <si>
    <t>DfBRZnH2cq0MR</t>
  </si>
  <si>
    <t>406-0817719-6324318</t>
  </si>
  <si>
    <t>TJtr56wV4</t>
  </si>
  <si>
    <t>DfRXZ8HCcc0dR</t>
  </si>
  <si>
    <t>2026-06-30T23:27:05+05:30</t>
  </si>
  <si>
    <t>2026-07-01T09:34:43+05:30</t>
  </si>
  <si>
    <t>2026-07-01T09:34:47+05:30</t>
  </si>
  <si>
    <t>2026-07-01T10:34:57+05:30</t>
  </si>
  <si>
    <t>kxvtq9jjt91xnyf@marketplace.amazon.in</t>
  </si>
  <si>
    <t>408-1778296-3314730</t>
  </si>
  <si>
    <t>TnBDCKZ64</t>
  </si>
  <si>
    <t>DVRPZZHpcc0dR</t>
  </si>
  <si>
    <t>2026-07-01T07:18:08+05:30</t>
  </si>
  <si>
    <t>2026-07-01T12:34:56+05:30</t>
  </si>
  <si>
    <t>prgbxwpp6c1fqdq@marketplace.amazon.in</t>
  </si>
  <si>
    <t>408-0319144-9316341</t>
  </si>
  <si>
    <t>TXrl8swG4</t>
  </si>
  <si>
    <t>D5JL58HZcw05R</t>
  </si>
  <si>
    <t>2026-06-30T22:03:07+05:30</t>
  </si>
  <si>
    <t>2026-07-01T09:06:40+05:30</t>
  </si>
  <si>
    <t>2026-07-01T12:06:52+05:30</t>
  </si>
  <si>
    <t>mcp2q32n37gbld7@marketplace.amazon.in</t>
  </si>
  <si>
    <t>Himatnagar</t>
  </si>
  <si>
    <t>Gujarat</t>
  </si>
  <si>
    <t>406-5587209-0721116</t>
  </si>
  <si>
    <t>TnwpnK9w4</t>
  </si>
  <si>
    <t>DHT4g1H7cw0QR</t>
  </si>
  <si>
    <t>2026-06-29T21:47:20+05:30</t>
  </si>
  <si>
    <t>2026-07-01T08:44:51+05:30</t>
  </si>
  <si>
    <t>2026-07-01T11:45:02+05:30</t>
  </si>
  <si>
    <t>ktrwyxfhb4b8jch@marketplace.amazon.in</t>
  </si>
  <si>
    <t>403-4801513-5797127</t>
  </si>
  <si>
    <t>Tgp7FxZQ4</t>
  </si>
  <si>
    <t>D4F2PPHGcq0fR</t>
  </si>
  <si>
    <t>2026-06-30T21:57:45+05:30</t>
  </si>
  <si>
    <t>2026-07-01T04:47:44+05:30</t>
  </si>
  <si>
    <t>2026-07-01T07:47:58+05:30</t>
  </si>
  <si>
    <t>5bxfmjwfbt7t2wv@marketplace.amazon.in</t>
  </si>
  <si>
    <t>SONIPAT</t>
  </si>
  <si>
    <t>404-0220206-5005939</t>
  </si>
  <si>
    <t>TwhDpSwt4</t>
  </si>
  <si>
    <t>DRpgtgHlc50MR</t>
  </si>
  <si>
    <t>2026-06-30T22:36:27+05:30</t>
  </si>
  <si>
    <t>2026-07-01T04:42:44+05:30</t>
  </si>
  <si>
    <t>2026-07-01T07:42:55+05:30</t>
  </si>
  <si>
    <t>xcbzzdz4lg27cm9@marketplace.amazon.in</t>
  </si>
  <si>
    <t>404-8942577-9300312</t>
  </si>
  <si>
    <t>TnZ2Y5Zm4</t>
  </si>
  <si>
    <t>DBpStrHPc50MR</t>
  </si>
  <si>
    <t>2026-06-30T23:11:40+05:30</t>
  </si>
  <si>
    <t>2026-07-01T04:40:43+05:30</t>
  </si>
  <si>
    <t>2026-07-01T07:40:55+05:30</t>
  </si>
  <si>
    <t>tg6nygsg56bm53w@marketplace.amazon.in</t>
  </si>
  <si>
    <t>406-2232466-2811562</t>
  </si>
  <si>
    <t>TJc5p0wP4</t>
  </si>
  <si>
    <t>Ds5qTPHvc50rR</t>
  </si>
  <si>
    <t>2026-06-30T22:27:44+05:30</t>
  </si>
  <si>
    <t>2026-07-01T04:25:43+05:30</t>
  </si>
  <si>
    <t>2026-07-01T07:25:56+05:30</t>
  </si>
  <si>
    <t>dq1572lwyng7fsf@marketplace.amazon.in</t>
  </si>
  <si>
    <t>171-2675166-3784345</t>
  </si>
  <si>
    <t>T3Cy236n4</t>
  </si>
  <si>
    <t>DP5fT1Hyc50rR</t>
  </si>
  <si>
    <t>2026-06-29T08:32:28+05:30</t>
  </si>
  <si>
    <t>2026-07-01T04:21:55+05:30</t>
  </si>
  <si>
    <t>2026-07-01T07:22:10+05:30</t>
  </si>
  <si>
    <t>t065wps6st1277s@marketplace.amazon.in</t>
  </si>
  <si>
    <t>THURAIYUR</t>
  </si>
  <si>
    <t>406-8545728-3593905</t>
  </si>
  <si>
    <t>TCq57Hwb4</t>
  </si>
  <si>
    <t>D4Z5T6HWcm0HR</t>
  </si>
  <si>
    <t>2026-06-30T19:11:50+05:30</t>
  </si>
  <si>
    <t>2026-07-01T04:09:48+05:30</t>
  </si>
  <si>
    <t>2026-07-01T07:10:01+05:30</t>
  </si>
  <si>
    <t>k9g2y9dz0m554fx@marketplace.amazon.in</t>
  </si>
  <si>
    <t>405-6155847-3337919</t>
  </si>
  <si>
    <t>TXhdqcwN4</t>
  </si>
  <si>
    <t>DC1XncHCck0gR</t>
  </si>
  <si>
    <t>2026-06-30T11:47:25+05:30</t>
  </si>
  <si>
    <t>2026-07-01T03:57:47+05:30</t>
  </si>
  <si>
    <t>2026-07-01T06:58:05+05:30</t>
  </si>
  <si>
    <t>n04tywwysxr5jrw@marketplace.amazon.in</t>
  </si>
  <si>
    <t>406-8604973-6565103</t>
  </si>
  <si>
    <t>TnnDGkwj4</t>
  </si>
  <si>
    <t>DVwLnCHscv0zR</t>
  </si>
  <si>
    <t>2026-06-30T20:33:09+05:30</t>
  </si>
  <si>
    <t>2026-07-01T03:57:42+05:30</t>
  </si>
  <si>
    <t>2026-07-01T06:57:55+05:30</t>
  </si>
  <si>
    <t>srzs40psnd5wznh@marketplace.amazon.in</t>
  </si>
  <si>
    <t>403-2362608-4485113</t>
  </si>
  <si>
    <t>T6n9XSWx4</t>
  </si>
  <si>
    <t>DmwtnWHycv0zR</t>
  </si>
  <si>
    <t>2026-06-30T15:07:30+05:30</t>
  </si>
  <si>
    <t>2026-07-01T03:55:39+05:30</t>
  </si>
  <si>
    <t>2026-07-01T06:55:51+05:30</t>
  </si>
  <si>
    <t>9b8lg6rfwd4m4j5@marketplace.amazon.in</t>
  </si>
  <si>
    <t>404-9058077-4976336</t>
  </si>
  <si>
    <t>TJdW839b4</t>
  </si>
  <si>
    <t>Ds5TxdHHcD0hR</t>
  </si>
  <si>
    <t>2026-06-30T04:17:28+05:30</t>
  </si>
  <si>
    <t>2026-07-01T03:51:44+05:30</t>
  </si>
  <si>
    <t>2026-07-01T06:51:55+05:30</t>
  </si>
  <si>
    <t>7c3ly6h3yg3qxtf@marketplace.amazon.in</t>
  </si>
  <si>
    <t>407-7843226-9916347</t>
  </si>
  <si>
    <t>T1yfBrZp4</t>
  </si>
  <si>
    <t>D0YwntH2cQ0CR</t>
  </si>
  <si>
    <t>2026-06-30T23:41:56+05:30</t>
  </si>
  <si>
    <t>2026-07-01T03:49:40+05:30</t>
  </si>
  <si>
    <t>2026-07-01T03:49:43+05:30</t>
  </si>
  <si>
    <t>2026-07-01T04:49:57+05:30</t>
  </si>
  <si>
    <t>dr5w4w8kpbkf7g8@marketplace.amazon.in</t>
  </si>
  <si>
    <t>408-9604766-4789117</t>
  </si>
  <si>
    <t>Tn24Smwt4</t>
  </si>
  <si>
    <t>DXnHnqH3cG09R</t>
  </si>
  <si>
    <t>2026-06-30T21:00:12+05:30</t>
  </si>
  <si>
    <t>2026-07-01T03:49:39+05:30</t>
  </si>
  <si>
    <t>2026-07-01T03:49:42+05:30</t>
  </si>
  <si>
    <t>2026-07-01T04:49:53+05:30</t>
  </si>
  <si>
    <t>6qngxgn6zfhq77r@marketplace.amazon.in</t>
  </si>
  <si>
    <t>404-5072864-8975566</t>
  </si>
  <si>
    <t>TJZkldwp4</t>
  </si>
  <si>
    <t>D8yJx8HJcg0fR</t>
  </si>
  <si>
    <t>2026-06-30T21:13:10+05:30</t>
  </si>
  <si>
    <t>2026-07-01T03:42:45+05:30</t>
  </si>
  <si>
    <t>2026-07-01T06:42:57+05:30</t>
  </si>
  <si>
    <t>j8mjhcnk8py5c0n@marketplace.amazon.in</t>
  </si>
  <si>
    <t>MADHUPUR</t>
  </si>
  <si>
    <t>171-4903800-4373966</t>
  </si>
  <si>
    <t>TgKxVmZg4</t>
  </si>
  <si>
    <t>DwB7xmHrc10kR</t>
  </si>
  <si>
    <t>2026-07-01T00:04:32+05:30</t>
  </si>
  <si>
    <t>2026-07-01T03:41:44+05:30</t>
  </si>
  <si>
    <t>2026-07-01T06:41:55+05:30</t>
  </si>
  <si>
    <t>xtnt9tph8nnt77n@marketplace.amazon.in</t>
  </si>
  <si>
    <t>403-4715510-1259506</t>
  </si>
  <si>
    <t>T3ftMDwK4</t>
  </si>
  <si>
    <t>D4BS39Hsc20vR</t>
  </si>
  <si>
    <t>2026-06-30T19:36:22+05:30</t>
  </si>
  <si>
    <t>2026-07-01T03:26:43+05:30</t>
  </si>
  <si>
    <t>2026-07-01T06:26:56+05:30</t>
  </si>
  <si>
    <t>159lbpyd0m1zjyq@marketplace.amazon.in</t>
  </si>
  <si>
    <t>MANAPPARAI</t>
  </si>
  <si>
    <t>404-4089605-7259506</t>
  </si>
  <si>
    <t>T1LmPmWP4</t>
  </si>
  <si>
    <t>DPDm3kHLch02R</t>
  </si>
  <si>
    <t>2026-06-30T12:36:14+05:30</t>
  </si>
  <si>
    <t>2026-07-01T03:22:46+05:30</t>
  </si>
  <si>
    <t>2026-07-01T06:22:57+05:30</t>
  </si>
  <si>
    <t>6yq29bjjmdbtksk@marketplace.amazon.in</t>
  </si>
  <si>
    <t>403-2636052-6417110</t>
  </si>
  <si>
    <t>TG4zg0W84</t>
  </si>
  <si>
    <t>Dk0p3sHzcz0nR</t>
  </si>
  <si>
    <t>2026-06-30T01:45:01+05:30</t>
  </si>
  <si>
    <t>2026-07-01T03:16:50+05:30</t>
  </si>
  <si>
    <t>2026-07-01T06:17:03+05:30</t>
  </si>
  <si>
    <t>403-8647063-2789154</t>
  </si>
  <si>
    <t>T66Y5DWP4</t>
  </si>
  <si>
    <t>D7Q3JsHwcb0tR</t>
  </si>
  <si>
    <t>2026-06-30T15:05:45+05:30</t>
  </si>
  <si>
    <t>2026-07-01T03:07:51+05:30</t>
  </si>
  <si>
    <t>2026-07-01T06:08:02+05:30</t>
  </si>
  <si>
    <t>q8104g8c33sv624@marketplace.amazon.in</t>
  </si>
  <si>
    <t>CHERANMADEVI</t>
  </si>
  <si>
    <t>408-5699617-1553109</t>
  </si>
  <si>
    <t>T3LSRdZs4</t>
  </si>
  <si>
    <t>DC111VH8cb0rR</t>
  </si>
  <si>
    <t>2026-06-30T19:54:19+05:30</t>
  </si>
  <si>
    <t>2026-07-01T02:36:46+05:30</t>
  </si>
  <si>
    <t>2026-07-01T05:37:00+05:30</t>
  </si>
  <si>
    <t>404-2023685-6834727</t>
  </si>
  <si>
    <t>TNhYbMwg4</t>
  </si>
  <si>
    <t>D01Z12H3cb0rR</t>
  </si>
  <si>
    <t>2026-06-30T15:58:32+05:30</t>
  </si>
  <si>
    <t>2026-07-01T02:30:43+05:30</t>
  </si>
  <si>
    <t>2026-07-01T05:30:57+05:30</t>
  </si>
  <si>
    <t>bsqbhp92gz39vbr@marketplace.amazon.in</t>
  </si>
  <si>
    <t>PORUMAMILLA</t>
  </si>
  <si>
    <t>404-0609112-4693120</t>
  </si>
  <si>
    <t>TnbJH3W24</t>
  </si>
  <si>
    <t>DPgp1vHZc50LR</t>
  </si>
  <si>
    <t>2026-06-30T09:41:08+05:30</t>
  </si>
  <si>
    <t>2026-07-01T02:28:52+05:30</t>
  </si>
  <si>
    <t>2026-07-01T05:29:06+05:30</t>
  </si>
  <si>
    <t>y2yz596bmqq51nk@marketplace.amazon.in</t>
  </si>
  <si>
    <t>404-3537782-5467543</t>
  </si>
  <si>
    <t>TwjTcDw44</t>
  </si>
  <si>
    <t>Dv3LrpHWcT0HR</t>
  </si>
  <si>
    <t>2026-06-30T17:23:18+05:30</t>
  </si>
  <si>
    <t>2026-07-01T02:22:08+05:30</t>
  </si>
  <si>
    <t>2026-07-01T05:22:48+05:30</t>
  </si>
  <si>
    <t>3hwqltcfc9v3t71@marketplace.amazon.in</t>
  </si>
  <si>
    <t>402-3644656-1309931</t>
  </si>
  <si>
    <t>TJkCZ3lq4</t>
  </si>
  <si>
    <t>DPXh78HFcg0yR</t>
  </si>
  <si>
    <t>2026-06-27T09:11:59+05:30</t>
  </si>
  <si>
    <t>2026-07-01T02:09:43+05:30</t>
  </si>
  <si>
    <t>2026-07-01T02:09:46+05:30</t>
  </si>
  <si>
    <t>2026-07-01T03:09:59+05:30</t>
  </si>
  <si>
    <t>2cyl2bxd3tj359v@marketplace.amazon.in</t>
  </si>
  <si>
    <t>404-4808831-5177152</t>
  </si>
  <si>
    <t>TXRNdGwb4</t>
  </si>
  <si>
    <t>D6Kl7gH7cM0FR</t>
  </si>
  <si>
    <t>2026-06-30T21:21:18+05:30</t>
  </si>
  <si>
    <t>2026-07-01T02:05:44+05:30</t>
  </si>
  <si>
    <t>2026-07-01T05:05:56+05:30</t>
  </si>
  <si>
    <t>3m6qg6fw236l6mh@marketplace.amazon.in</t>
  </si>
  <si>
    <t>408-1112030-4855547</t>
  </si>
  <si>
    <t>TNk3qbWS4</t>
  </si>
  <si>
    <t>DCwZ7gHXc90DR</t>
  </si>
  <si>
    <t>2026-06-30T12:17:27+05:30</t>
  </si>
  <si>
    <t>2026-07-01T01:56:46+05:30</t>
  </si>
  <si>
    <t>2026-07-01T04:56:57+05:30</t>
  </si>
  <si>
    <t>jvg1dt8ydsc0d7p@marketplace.amazon.in</t>
  </si>
  <si>
    <t>406-3784312-5754749</t>
  </si>
  <si>
    <t>Tn2yvpwF4</t>
  </si>
  <si>
    <t>D16F7rH9cT0SR</t>
  </si>
  <si>
    <t>2026-06-30T17:41:52+05:30</t>
  </si>
  <si>
    <t>2026-07-01T01:54:41+05:30</t>
  </si>
  <si>
    <t>2026-07-01T01:54:44+05:30</t>
  </si>
  <si>
    <t>2026-07-01T02:54:58+05:30</t>
  </si>
  <si>
    <t>s4y28vz237std1w@marketplace.amazon.in</t>
  </si>
  <si>
    <t>171-0250140-7625942</t>
  </si>
  <si>
    <t>TwtbH3ZY4</t>
  </si>
  <si>
    <t>DmmfLsHSc10GR</t>
  </si>
  <si>
    <t>2026-06-30T23:34:59+05:30</t>
  </si>
  <si>
    <t>2026-07-01T01:47:43+05:30</t>
  </si>
  <si>
    <t>2026-07-01T04:47:54+05:30</t>
  </si>
  <si>
    <t>5f25ppppf814b16@marketplace.amazon.in</t>
  </si>
  <si>
    <t>ambattur</t>
  </si>
  <si>
    <t>403-7163105-1062714</t>
  </si>
  <si>
    <t>T3qTFgwR4</t>
  </si>
  <si>
    <t>DYwxLDHKcc0YR</t>
  </si>
  <si>
    <t>2026-06-30T16:41:01+05:30</t>
  </si>
  <si>
    <t>2026-07-01T01:46:47+05:30</t>
  </si>
  <si>
    <t>2026-07-01T04:47:02+05:30</t>
  </si>
  <si>
    <t>28pbbs603z2l4vn@marketplace.amazon.in</t>
  </si>
  <si>
    <t>2026-07-01T08:00:00+05:30</t>
  </si>
  <si>
    <t>407-5538319-1225909</t>
  </si>
  <si>
    <t>TXHxcQwb4</t>
  </si>
  <si>
    <t>DsDCsdHgcM0xR</t>
  </si>
  <si>
    <t>2026-06-30T17:59:59+05:30</t>
  </si>
  <si>
    <t>2026-07-01T01:23:42+05:30</t>
  </si>
  <si>
    <t>2026-07-01T01:23:47+05:30</t>
  </si>
  <si>
    <t>2026-07-01T02:23:59+05:30</t>
  </si>
  <si>
    <t>93rmbs9vnkr90cn@marketplace.amazon.in</t>
  </si>
  <si>
    <t>408-3280856-0470750</t>
  </si>
  <si>
    <t>TG2lH3Q84</t>
  </si>
  <si>
    <t>Dj4xQQHDcg05R</t>
  </si>
  <si>
    <t>2026-06-29T16:06:30+05:30</t>
  </si>
  <si>
    <t>2026-07-01T01:14:47+05:30</t>
  </si>
  <si>
    <t>2026-07-01T04:14:58+05:30</t>
  </si>
  <si>
    <t>9xx0pxhd596t0h9@marketplace.amazon.in</t>
  </si>
  <si>
    <t>KOLAR</t>
  </si>
  <si>
    <t>405-6091221-4586733</t>
  </si>
  <si>
    <t>T6FvgYwX4</t>
  </si>
  <si>
    <t>DzHQQQHVc00KR</t>
  </si>
  <si>
    <t>2026-06-30T22:43:09+05:30</t>
  </si>
  <si>
    <t>2026-07-01T01:06:38+05:30</t>
  </si>
  <si>
    <t>2026-07-01T01:06:42+05:30</t>
  </si>
  <si>
    <t>2026-07-01T02:06:53+05:30</t>
  </si>
  <si>
    <t>djfhg8nmbhhhmqm@marketplace.amazon.in</t>
  </si>
  <si>
    <t>405-0964359-7929959</t>
  </si>
  <si>
    <t>TGgjjhwT4</t>
  </si>
  <si>
    <t>DcYQQdHdc40yR</t>
  </si>
  <si>
    <t>2026-06-30T22:57:43+05:30</t>
  </si>
  <si>
    <t>2026-07-01T00:57:40+05:30</t>
  </si>
  <si>
    <t>2026-07-01T03:57:51+05:30</t>
  </si>
  <si>
    <t>ysldmc2vvyrbxgs@marketplace.amazon.in</t>
  </si>
  <si>
    <t>402-2224928-0379547</t>
  </si>
  <si>
    <t>T12MwmwD4</t>
  </si>
  <si>
    <t>DcXfcpH1c40VR</t>
  </si>
  <si>
    <t>2026-06-30T17:01:39+05:30</t>
  </si>
  <si>
    <t>2026-07-01T00:51:42+05:30</t>
  </si>
  <si>
    <t>2026-07-01T03:51:54+05:30</t>
  </si>
  <si>
    <t>yb3nmmfvb9np2lf@marketplace.amazon.in</t>
  </si>
  <si>
    <t>171-4418395-6824337</t>
  </si>
  <si>
    <t>TnCzxnw34</t>
  </si>
  <si>
    <t>DxmWvqH9cw0nR</t>
  </si>
  <si>
    <t>2026-06-30T19:55:20+05:30</t>
  </si>
  <si>
    <t>2026-07-01T00:38:49+05:30</t>
  </si>
  <si>
    <t>2026-07-01T03:39:03+05:30</t>
  </si>
  <si>
    <t>0hdbnh6h5jftx12@marketplace.amazon.in</t>
  </si>
  <si>
    <t>404-7905467-1930745</t>
  </si>
  <si>
    <t>TGZBDSwc4</t>
  </si>
  <si>
    <t>DtJScNHXcY0mR</t>
  </si>
  <si>
    <t>2026-06-30T17:32:51+05:30</t>
  </si>
  <si>
    <t>2026-07-01T00:38:44+05:30</t>
  </si>
  <si>
    <t>2026-07-01T03:38:55+05:30</t>
  </si>
  <si>
    <t>70l8yls59nrnd3h@marketplace.amazon.in</t>
  </si>
  <si>
    <t>408-6573168-1989906</t>
  </si>
  <si>
    <t>T6p8PGQW4</t>
  </si>
  <si>
    <t>Dp7TvxHNcB0JR</t>
  </si>
  <si>
    <t>2026-06-29T19:18:06+05:30</t>
  </si>
  <si>
    <t>2026-07-01T00:33:49+05:30</t>
  </si>
  <si>
    <t>2026-07-01T03:34:04+05:30</t>
  </si>
  <si>
    <t>2q1q8wmz727g812@marketplace.amazon.in</t>
  </si>
  <si>
    <t>405-1169201-3753109</t>
  </si>
  <si>
    <t>TGgdWKwT4</t>
  </si>
  <si>
    <t>DNM1vhHMcf0zR</t>
  </si>
  <si>
    <t>2026-06-30T21:58:44+05:30</t>
  </si>
  <si>
    <t>2026-07-01T00:32:47+05:30</t>
  </si>
  <si>
    <t>2026-07-01T03:33:01+05:30</t>
  </si>
  <si>
    <t>vp7143k66mjw7zl@marketplace.amazon.in</t>
  </si>
  <si>
    <t>Electronic city, Bangalore</t>
  </si>
  <si>
    <t>405-9111419-5101111</t>
  </si>
  <si>
    <t>T6CFXNWz4</t>
  </si>
  <si>
    <t>DjMbv7HMcf0zR</t>
  </si>
  <si>
    <t>2026-06-30T14:03:56+05:30</t>
  </si>
  <si>
    <t>2026-07-01T03:32:58+05:30</t>
  </si>
  <si>
    <t>pwmg3s8jmmxjcrp@marketplace.amazon.in</t>
  </si>
  <si>
    <t>406-9700749-6935524</t>
  </si>
  <si>
    <t>T39bsNwV4</t>
  </si>
  <si>
    <t>DQ7mv9HycC02R</t>
  </si>
  <si>
    <t>2026-06-30T18:15:03+05:30</t>
  </si>
  <si>
    <t>2026-07-01T00:32:43+05:30</t>
  </si>
  <si>
    <t>2026-07-01T03:32:55+05:30</t>
  </si>
  <si>
    <t>5fc3yrk4cr3rphk@marketplace.amazon.in</t>
  </si>
  <si>
    <t>407-6210317-1735563</t>
  </si>
  <si>
    <t>TnWz2Mwg4</t>
  </si>
  <si>
    <t>DLcRvVHTcm0hR</t>
  </si>
  <si>
    <t>2026-06-30T17:35:43+05:30</t>
  </si>
  <si>
    <t>2026-07-01T00:28:07+05:30</t>
  </si>
  <si>
    <t>2026-07-01T03:28:22+05:30</t>
  </si>
  <si>
    <t>bd99khn8k4705y6@marketplace.amazon.in</t>
  </si>
  <si>
    <t>403-5069538-0235513</t>
  </si>
  <si>
    <t>TC9PdDwv4</t>
  </si>
  <si>
    <t>DmTBzWHCcZ0pR</t>
  </si>
  <si>
    <t>2026-06-30T21:48:01+05:30</t>
  </si>
  <si>
    <t>2026-07-01T00:14:47+05:30</t>
  </si>
  <si>
    <t>2026-07-01T03:15:00+05:30</t>
  </si>
  <si>
    <t>gstrrjzs4bwqmrh@marketplace.amazon.in</t>
  </si>
  <si>
    <t>404-3419283-3595504</t>
  </si>
  <si>
    <t>TJnHjywl4</t>
  </si>
  <si>
    <t>DYrFz2H3cz03R</t>
  </si>
  <si>
    <t>2026-06-30T22:25:58+05:30</t>
  </si>
  <si>
    <t>2026-07-01T00:03:47+05:30</t>
  </si>
  <si>
    <t>2026-07-01T03:03:55+05:30</t>
  </si>
  <si>
    <t>wbcln0nymljjxcz@marketplace.amazon.in</t>
  </si>
  <si>
    <t>402-9086113-2213951</t>
  </si>
  <si>
    <t>T3V2mJwt4</t>
  </si>
  <si>
    <t>DxL1VGHWcB09R</t>
  </si>
  <si>
    <t>2026-06-30T21:09:55+05:30</t>
  </si>
  <si>
    <t>2026-06-30T23:51:44+05:30</t>
  </si>
  <si>
    <t>2026-07-01T02:51:56+05:30</t>
  </si>
  <si>
    <t>ych613jkqjg35qw@marketplace.amazon.in</t>
  </si>
  <si>
    <t>KURINJIPADI</t>
  </si>
  <si>
    <t>407-1732520-2554721</t>
  </si>
  <si>
    <t>T1YP3wwV4</t>
  </si>
  <si>
    <t>DfP8V8HYcl0tR</t>
  </si>
  <si>
    <t>2026-06-30T19:49:54+05:30</t>
  </si>
  <si>
    <t>2026-07-01T02:51:57+05:30</t>
  </si>
  <si>
    <t>39nz1n431fkhfk2@marketplace.amazon.in</t>
  </si>
  <si>
    <t>407-6591653-3625953</t>
  </si>
  <si>
    <t>TCvHtKwZ4</t>
  </si>
  <si>
    <t>DblXVDHRcy0ZR</t>
  </si>
  <si>
    <t>2026-06-30T20:36:15+05:30</t>
  </si>
  <si>
    <t>2026-06-30T23:49:44+05:30</t>
  </si>
  <si>
    <t>2026-06-30T23:49:47+05:30</t>
  </si>
  <si>
    <t>2026-07-01T00:49:58+05:30</t>
  </si>
  <si>
    <t>pg3txp3rhdhs6cs@marketplace.amazon.in</t>
  </si>
  <si>
    <t>407-7939004-8939540</t>
  </si>
  <si>
    <t>TNkQsrwK4</t>
  </si>
  <si>
    <t>D8mc2bHncs0DR</t>
  </si>
  <si>
    <t>2026-06-30T18:32:19+05:30</t>
  </si>
  <si>
    <t>2026-06-30T23:47:44+05:30</t>
  </si>
  <si>
    <t>2026-07-01T02:47:57+05:30</t>
  </si>
  <si>
    <t>qxt0hml8slqtpz7@marketplace.amazon.in</t>
  </si>
  <si>
    <t>406-9129770-0857946</t>
  </si>
  <si>
    <t>TVpYsmwW4</t>
  </si>
  <si>
    <t>DGPxV4HdcY0tR</t>
  </si>
  <si>
    <t>2026-06-30T18:42:37+05:30</t>
  </si>
  <si>
    <t>2026-06-30T23:43:34+05:30</t>
  </si>
  <si>
    <t>2026-07-01T02:43:50+05:30</t>
  </si>
  <si>
    <t>k438wl79jxv26k1@marketplace.amazon.in</t>
  </si>
  <si>
    <t>404-9119345-4161964</t>
  </si>
  <si>
    <t>TCCYqDWX4</t>
  </si>
  <si>
    <t>DC5F2PHvcw0FR</t>
  </si>
  <si>
    <t>2026-06-30T11:51:36+05:30</t>
  </si>
  <si>
    <t>2026-06-30T23:43:32+05:30</t>
  </si>
  <si>
    <t>2026-07-01T02:43:43+05:30</t>
  </si>
  <si>
    <t>408-2766140-6057104</t>
  </si>
  <si>
    <t>T1BRnKwW4</t>
  </si>
  <si>
    <t>DGb82zH7cK0sR</t>
  </si>
  <si>
    <t>2026-06-30T20:17:36+05:30</t>
  </si>
  <si>
    <t>2026-06-30T23:43:22+05:30</t>
  </si>
  <si>
    <t>2026-07-01T02:43:33+05:30</t>
  </si>
  <si>
    <t>f6ksjn9dmfc8mhl@marketplace.amazon.in</t>
  </si>
  <si>
    <t>Chomu</t>
  </si>
  <si>
    <t>171-5978934-6288367</t>
  </si>
  <si>
    <t>TcCsJ0wN4</t>
  </si>
  <si>
    <t>DHtr2JHvcV0JR</t>
  </si>
  <si>
    <t>2026-06-30T19:28:10+05:30</t>
  </si>
  <si>
    <t>2026-06-30T23:38:40+05:30</t>
  </si>
  <si>
    <t>2026-06-30T23:38:43+05:30</t>
  </si>
  <si>
    <t>2026-07-01T00:38:53+05:30</t>
  </si>
  <si>
    <t>zvkbmp3z6t5ncpg@marketplace.amazon.in</t>
  </si>
  <si>
    <t>404-4094943-3964338</t>
  </si>
  <si>
    <t>Tctytvw94</t>
  </si>
  <si>
    <t>DvtHFVHFcQ0KR</t>
  </si>
  <si>
    <t>2026-06-30T20:25:43+05:30</t>
  </si>
  <si>
    <t>2026-06-30T23:20:43+05:30</t>
  </si>
  <si>
    <t>2026-07-01T02:20:50+05:30</t>
  </si>
  <si>
    <t>t88rxzgsxlmclwm@marketplace.amazon.in</t>
  </si>
  <si>
    <t>Mandya</t>
  </si>
  <si>
    <t>404-2472324-6011502</t>
  </si>
  <si>
    <t>Tg52TJWc4</t>
  </si>
  <si>
    <t>D1LSFkHScF0ZR</t>
  </si>
  <si>
    <t>2026-06-30T12:09:03+05:30</t>
  </si>
  <si>
    <t>2026-06-30T23:16:49+05:30</t>
  </si>
  <si>
    <t>2026-07-01T02:17:01+05:30</t>
  </si>
  <si>
    <t>ky2k74sm8lgh88n@marketplace.amazon.in</t>
  </si>
  <si>
    <t>408-3925216-1258746</t>
  </si>
  <si>
    <t>TctqkWwl4</t>
  </si>
  <si>
    <t>DycHD1HNcD0DR</t>
  </si>
  <si>
    <t>2026-06-30T16:32:02+05:30</t>
  </si>
  <si>
    <t>2026-06-30T22:59:48+05:30</t>
  </si>
  <si>
    <t>2026-07-01T02:00:00+05:30</t>
  </si>
  <si>
    <t>vl6qzg2xjykp712@marketplace.amazon.in</t>
  </si>
  <si>
    <t>408-8990334-6868345</t>
  </si>
  <si>
    <t>Twg1C7wp4</t>
  </si>
  <si>
    <t>DwZxYHHzch06R</t>
  </si>
  <si>
    <t>2026-06-30T13:55:21+05:30</t>
  </si>
  <si>
    <t>2026-06-30T22:48:42+05:30</t>
  </si>
  <si>
    <t>2026-07-01T01:48:53+05:30</t>
  </si>
  <si>
    <t>m9kcy9h76h8x1d7@marketplace.amazon.in</t>
  </si>
  <si>
    <t>404-7421679-6229139</t>
  </si>
  <si>
    <t>TJvvSGW54</t>
  </si>
  <si>
    <t>DG3Qy2H9cW0fR</t>
  </si>
  <si>
    <t>2026-06-30T14:38:40+05:30</t>
  </si>
  <si>
    <t>2026-06-30T22:32:45+05:30</t>
  </si>
  <si>
    <t>2026-07-01T01:32:56+05:30</t>
  </si>
  <si>
    <t>92bswcfs8flwjvb@marketplace.amazon.in</t>
  </si>
  <si>
    <t>407-7923216-1682739</t>
  </si>
  <si>
    <t>Tgsxt6wn4</t>
  </si>
  <si>
    <t>D3phy1Hccp06R</t>
  </si>
  <si>
    <t>2026-06-30T20:39:12+05:30</t>
  </si>
  <si>
    <t>2026-06-30T22:25:46+05:30</t>
  </si>
  <si>
    <t>2026-07-01T01:25:58+05:30</t>
  </si>
  <si>
    <t>tznc85wgv4zwdxl@marketplace.amazon.in</t>
  </si>
  <si>
    <t>405-6098185-9084327</t>
  </si>
  <si>
    <t>T6MvpBW44</t>
  </si>
  <si>
    <t>D5TRw3H1cb0vR</t>
  </si>
  <si>
    <t>2026-06-30T14:39:28+05:30</t>
  </si>
  <si>
    <t>2026-06-30T22:09:55+05:30</t>
  </si>
  <si>
    <t>2026-07-01T01:10:21+05:30</t>
  </si>
  <si>
    <t>d9sqbgzchxp4wf8@marketplace.amazon.in</t>
  </si>
  <si>
    <t>402-9354047-5725104</t>
  </si>
  <si>
    <t>T6GmD8wc4</t>
  </si>
  <si>
    <t>DPRjwlHwcr04R</t>
  </si>
  <si>
    <t>2026-06-30T17:19:48+05:30</t>
  </si>
  <si>
    <t>2026-06-30T22:09:46+05:30</t>
  </si>
  <si>
    <t>2026-07-01T01:10:02+05:30</t>
  </si>
  <si>
    <t>gqc9w0t8rvw9d49@marketplace.amazon.in</t>
  </si>
  <si>
    <t>402-6907837-1695501</t>
  </si>
  <si>
    <t>TNxwZYWV4</t>
  </si>
  <si>
    <t>DT7vBPH2cB0ZR</t>
  </si>
  <si>
    <t>2026-06-30T15:33:34+05:30</t>
  </si>
  <si>
    <t>2026-06-30T22:00:45+05:30</t>
  </si>
  <si>
    <t>2026-07-01T01:00:58+05:30</t>
  </si>
  <si>
    <t>8wn8cmqgxvp6hgy@marketplace.amazon.in</t>
  </si>
  <si>
    <t>408-4041319-4006718</t>
  </si>
  <si>
    <t>TVs36ywl4</t>
  </si>
  <si>
    <t>D83mBfHzct0MR</t>
  </si>
  <si>
    <t>2026-06-30T16:55:51+05:30</t>
  </si>
  <si>
    <t>2026-06-30T22:00:43+05:30</t>
  </si>
  <si>
    <t>2026-07-01T01:00:53+05:30</t>
  </si>
  <si>
    <t>jlg1nx5v6q9w3xm@marketplace.amazon.in</t>
  </si>
  <si>
    <t>408-6400895-3581115</t>
  </si>
  <si>
    <t>TC8Q3jwD4</t>
  </si>
  <si>
    <t>DzWcBgHJcS00R</t>
  </si>
  <si>
    <t>2026-06-30T20:12:25+05:30</t>
  </si>
  <si>
    <t>2026-07-01T00:58:58+05:30</t>
  </si>
  <si>
    <t>xnn942hprc80r2c@marketplace.amazon.in</t>
  </si>
  <si>
    <t>408-9649317-5227530</t>
  </si>
  <si>
    <t>TcZTNhwV4</t>
  </si>
  <si>
    <t>Dg7MBjHbcB0ZR</t>
  </si>
  <si>
    <t>2026-06-30T16:56:52+05:30</t>
  </si>
  <si>
    <t>2026-07-01T00:58:55+05:30</t>
  </si>
  <si>
    <t>2hgm8v6gy00ypc0@marketplace.amazon.in</t>
  </si>
  <si>
    <t>402-0591700-8093932</t>
  </si>
  <si>
    <t>T3VgnKwb4</t>
  </si>
  <si>
    <t>DV7lBhHHcP0hR</t>
  </si>
  <si>
    <t>2026-06-30T20:20:58+05:30</t>
  </si>
  <si>
    <t>2026-07-01T00:57:56+05:30</t>
  </si>
  <si>
    <t>95tlr2nb9fxk45v@marketplace.amazon.in</t>
  </si>
  <si>
    <t>402-0318007-8394755</t>
  </si>
  <si>
    <t>T1Mk9k924</t>
  </si>
  <si>
    <t>DMRbBCHHch0GR</t>
  </si>
  <si>
    <t>2026-06-29T22:52:15+05:30</t>
  </si>
  <si>
    <t>2026-06-30T21:45:51+05:30</t>
  </si>
  <si>
    <t>2026-07-01T00:46:20+05:30</t>
  </si>
  <si>
    <t>63v5tmyrc8hgvqr@marketplace.amazon.in</t>
  </si>
  <si>
    <t>DmMt95Hgcj0KR</t>
  </si>
  <si>
    <t>DbMF95Hgcj0KR</t>
  </si>
  <si>
    <t>407-6186596-5322740</t>
  </si>
  <si>
    <t>TCBkxlWq4</t>
  </si>
  <si>
    <t>D6yN9NHmcK05R</t>
  </si>
  <si>
    <t>2026-06-30T11:00:45+05:30</t>
  </si>
  <si>
    <t>2026-06-30T21:41:42+05:30</t>
  </si>
  <si>
    <t>2026-07-01T00:41:56+05:30</t>
  </si>
  <si>
    <t>x3h86kpm0mhw3bp@marketplace.amazon.in</t>
  </si>
  <si>
    <t>402-7216112-8502729</t>
  </si>
  <si>
    <t>TwfDYtwX4</t>
  </si>
  <si>
    <t>DyHf9ZH6cc0bR</t>
  </si>
  <si>
    <t>2026-06-30T18:21:48+05:30</t>
  </si>
  <si>
    <t>2026-06-30T21:37:40+05:30</t>
  </si>
  <si>
    <t>2026-06-30T21:37:45+05:30</t>
  </si>
  <si>
    <t>2026-06-30T22:37:57+05:30</t>
  </si>
  <si>
    <t>tnxn4zvcz0m0580@marketplace.amazon.in</t>
  </si>
  <si>
    <t>404-9314164-5808323</t>
  </si>
  <si>
    <t>T6MRy7wx4</t>
  </si>
  <si>
    <t>DkLN9CH2cm0SR</t>
  </si>
  <si>
    <t>2026-06-30T18:07:23+05:30</t>
  </si>
  <si>
    <t>2026-06-30T21:36:44+05:30</t>
  </si>
  <si>
    <t>2026-07-01T00:36:55+05:30</t>
  </si>
  <si>
    <t>jssyjgc7lcsnm5r@marketplace.amazon.in</t>
  </si>
  <si>
    <t>407-9993411-5685966</t>
  </si>
  <si>
    <t>TcdgcHwD4</t>
  </si>
  <si>
    <t>D14KHjHlcl0VR</t>
  </si>
  <si>
    <t>2026-06-30T18:03:36+05:30</t>
  </si>
  <si>
    <t>2026-06-30T21:16:46+05:30</t>
  </si>
  <si>
    <t>2026-07-01T00:17:00+05:30</t>
  </si>
  <si>
    <t>znh6mpylbrppm08@marketplace.amazon.in</t>
  </si>
  <si>
    <t>406-8282265-8013946</t>
  </si>
  <si>
    <t>TnnggWWC4</t>
  </si>
  <si>
    <t>DsChHsHvcZ0jR</t>
  </si>
  <si>
    <t>2026-06-30T15:03:50+05:30</t>
  </si>
  <si>
    <t>2026-06-30T20:57:45+05:30</t>
  </si>
  <si>
    <t>2026-06-30T23:58:02+05:30</t>
  </si>
  <si>
    <t>3hqn2c1cx35njdz@marketplace.amazon.in</t>
  </si>
  <si>
    <t>407-8107244-0139546</t>
  </si>
  <si>
    <t>TGJd6lWr4</t>
  </si>
  <si>
    <t>DVgqkSHncx0HR</t>
  </si>
  <si>
    <t>2026-06-30T13:10:48+05:30</t>
  </si>
  <si>
    <t>2026-06-30T20:30:50+05:30</t>
  </si>
  <si>
    <t>2026-06-30T23:31:01+05:30</t>
  </si>
  <si>
    <t>zkvnmp16vjfggzm@marketplace.amazon.in</t>
  </si>
  <si>
    <t>UNA</t>
  </si>
  <si>
    <t>171-6321860-7736336</t>
  </si>
  <si>
    <t>TC9L9Mwp4</t>
  </si>
  <si>
    <t>D50lkCHlcH0tR</t>
  </si>
  <si>
    <t>2026-06-30T16:51:19+05:30</t>
  </si>
  <si>
    <t>2026-06-30T20:24:42+05:30</t>
  </si>
  <si>
    <t>2026-06-30T23:24:53+05:30</t>
  </si>
  <si>
    <t>j0f7qfx08vm3730@marketplace.amazon.in</t>
  </si>
  <si>
    <t>Patna</t>
  </si>
  <si>
    <t>405-7829769-3415569</t>
  </si>
  <si>
    <t>Tn1sDXwC4</t>
  </si>
  <si>
    <t>DBPMkLHTc903R</t>
  </si>
  <si>
    <t>2026-06-30T17:16:53+05:30</t>
  </si>
  <si>
    <t>2026-06-30T20:21:46+05:30</t>
  </si>
  <si>
    <t>2026-06-30T23:21:57+05:30</t>
  </si>
  <si>
    <t>bmp0p94c0xd7s1g@marketplace.amazon.in</t>
  </si>
  <si>
    <t>408-7991096-2181967</t>
  </si>
  <si>
    <t>TgvyFKwV4</t>
  </si>
  <si>
    <t>DLvQNqHkcR01R</t>
  </si>
  <si>
    <t>2026-06-30T17:14:51+05:30</t>
  </si>
  <si>
    <t>2026-06-30T20:18:44+05:30</t>
  </si>
  <si>
    <t>2026-06-30T23:18:56+05:30</t>
  </si>
  <si>
    <t>k14ggqr6tykbxwl@marketplace.amazon.in</t>
  </si>
  <si>
    <t>407-7699970-9780300</t>
  </si>
  <si>
    <t>TCNC8HWP4</t>
  </si>
  <si>
    <t>DtsFNfH8c70HR</t>
  </si>
  <si>
    <t>2026-06-30T14:51:36+05:30</t>
  </si>
  <si>
    <t>2026-06-30T20:03:45+05:30</t>
  </si>
  <si>
    <t>2026-06-30T23:03:56+05:30</t>
  </si>
  <si>
    <t>1t3sdkq36xmb9qr@marketplace.amazon.in</t>
  </si>
  <si>
    <t>405-7195353-1364330</t>
  </si>
  <si>
    <t>TVywBswr4</t>
  </si>
  <si>
    <t>D8vghblZcF0RR</t>
  </si>
  <si>
    <t>2026-06-30T16:45:34+05:30</t>
  </si>
  <si>
    <t>2026-06-30T19:52:42+05:30</t>
  </si>
  <si>
    <t>2026-06-30T19:52:45+05:30</t>
  </si>
  <si>
    <t>2026-06-30T20:52:56+05:30</t>
  </si>
  <si>
    <t>r02f6v3076l17v7@marketplace.amazon.in</t>
  </si>
  <si>
    <t>403-5055271-9987522</t>
  </si>
  <si>
    <t>TwKgNCQ34</t>
  </si>
  <si>
    <t>D40nR5HScw0xR</t>
  </si>
  <si>
    <t>2026-06-29T16:04:07+05:30</t>
  </si>
  <si>
    <t>2026-06-30T19:51:45+05:30</t>
  </si>
  <si>
    <t>2026-06-30T22:51:56+05:30</t>
  </si>
  <si>
    <t>swhvmzq29q9cvxr@marketplace.amazon.in</t>
  </si>
  <si>
    <t>407-9209846-6808341</t>
  </si>
  <si>
    <t>TXk4SrWC4</t>
  </si>
  <si>
    <t>DX04RsHGcw0xR</t>
  </si>
  <si>
    <t>2026-06-30T14:12:10+05:30</t>
  </si>
  <si>
    <t>2026-06-30T19:50:48+05:30</t>
  </si>
  <si>
    <t>2026-06-30T22:51:03+05:30</t>
  </si>
  <si>
    <t>6hl33hqmdnz6yd6@marketplace.amazon.in</t>
  </si>
  <si>
    <t>171-1153189-6556360</t>
  </si>
  <si>
    <t>TGQdwfwZ4</t>
  </si>
  <si>
    <t>D5GSRNHMcX0jR</t>
  </si>
  <si>
    <t>2026-06-30T17:14:14+05:30</t>
  </si>
  <si>
    <t>2026-06-30T19:47:46+05:30</t>
  </si>
  <si>
    <t>2026-06-30T22:47:58+05:30</t>
  </si>
  <si>
    <t>65nvxhwt7dkz8x6@marketplace.amazon.in</t>
  </si>
  <si>
    <t>406-6493106-0212305</t>
  </si>
  <si>
    <t>TX6dbHwm4</t>
  </si>
  <si>
    <t>D3MmhPlfcG0bR</t>
  </si>
  <si>
    <t>2026-06-30T16:20:45+05:30</t>
  </si>
  <si>
    <t>2026-06-30T19:40:42+05:30</t>
  </si>
  <si>
    <t>2026-06-30T19:40:45+05:30</t>
  </si>
  <si>
    <t>2026-06-30T20:40:56+05:30</t>
  </si>
  <si>
    <t>80gg6hgq3dchsxn@marketplace.amazon.in</t>
  </si>
  <si>
    <t>PHAGWARA</t>
  </si>
  <si>
    <t>171-1152887-0276361</t>
  </si>
  <si>
    <t>TVJHdQW54</t>
  </si>
  <si>
    <t>DMMwhwlzcN0DR</t>
  </si>
  <si>
    <t>2026-06-30T11:54:00+05:30</t>
  </si>
  <si>
    <t>2026-06-30T19:39:46+05:30</t>
  </si>
  <si>
    <t>2026-06-30T22:39:58+05:30</t>
  </si>
  <si>
    <t>pzgf0h51xy1z6q1@marketplace.amazon.in</t>
  </si>
  <si>
    <t>DlM9h4lwcN0DR</t>
  </si>
  <si>
    <t>404-1381843-3902733</t>
  </si>
  <si>
    <t>TXYBBCw84</t>
  </si>
  <si>
    <t>DcQdhplLcS0RR</t>
  </si>
  <si>
    <t>2026-06-30T16:38:18+05:30</t>
  </si>
  <si>
    <t>2026-06-30T19:36:43+05:30</t>
  </si>
  <si>
    <t>2026-06-30T22:36:55+05:30</t>
  </si>
  <si>
    <t>51g8ddy1h352c6w@marketplace.amazon.in</t>
  </si>
  <si>
    <t>402-9547063-3576301</t>
  </si>
  <si>
    <t>TVf0rtWz4</t>
  </si>
  <si>
    <t>DMQMh7lwcS0RR</t>
  </si>
  <si>
    <t>2026-06-30T12:44:35+05:30</t>
  </si>
  <si>
    <t>2026-06-30T19:33:47+05:30</t>
  </si>
  <si>
    <t>2026-06-30T22:34:02+05:30</t>
  </si>
  <si>
    <t>6bpz04139w98djg@marketplace.amazon.in</t>
  </si>
  <si>
    <t>171-5580478-1982749</t>
  </si>
  <si>
    <t>TVhrwgWt4</t>
  </si>
  <si>
    <t>DkDwfplhcL0VR</t>
  </si>
  <si>
    <t>2026-06-30T07:36:36+05:30</t>
  </si>
  <si>
    <t>2026-06-30T19:28:51+05:30</t>
  </si>
  <si>
    <t>2026-06-30T19:28:58+05:30</t>
  </si>
  <si>
    <t>2026-06-30T20:29:19+05:30</t>
  </si>
  <si>
    <t>ffygn4qyxr07cq6@marketplace.amazon.in</t>
  </si>
  <si>
    <t>Kanathur</t>
  </si>
  <si>
    <t>402-3302429-5441936</t>
  </si>
  <si>
    <t>Tc67MYWL4</t>
  </si>
  <si>
    <t>D4qsfwlScX0fR</t>
  </si>
  <si>
    <t>2026-06-30T11:54:49+05:30</t>
  </si>
  <si>
    <t>2026-06-30T19:18:52+05:30</t>
  </si>
  <si>
    <t>2026-06-30T22:19:12+05:30</t>
  </si>
  <si>
    <t>yh0rpw2x5cz4468@marketplace.amazon.in</t>
  </si>
  <si>
    <t>407-0330189-0802746</t>
  </si>
  <si>
    <t>TcSbjgW24</t>
  </si>
  <si>
    <t>DD9GqtlJcd0WR</t>
  </si>
  <si>
    <t>2026-06-30T15:57:49+05:30</t>
  </si>
  <si>
    <t>2026-06-30T18:28:45+05:30</t>
  </si>
  <si>
    <t>2026-06-30T21:28:57+05:30</t>
  </si>
  <si>
    <t>md0k6rbl445851r@marketplace.amazon.in</t>
  </si>
  <si>
    <t>404-0003735-9021151</t>
  </si>
  <si>
    <t>TXPxhzW14</t>
  </si>
  <si>
    <t>DWHdg6l2ck0PR</t>
  </si>
  <si>
    <t>2026-06-30T15:51:40+05:30</t>
  </si>
  <si>
    <t>2026-06-30T17:50:47+05:30</t>
  </si>
  <si>
    <t>2026-06-30T20:51:01+05:30</t>
  </si>
  <si>
    <t>mq31kpzx8k10qp6@marketplace.amazon.in</t>
  </si>
  <si>
    <t>DslBgDlYcK0JR</t>
  </si>
  <si>
    <t>402-4581493-6928358</t>
  </si>
  <si>
    <t>TXysDXWG4</t>
  </si>
  <si>
    <t>DDw78DlGcc0fR</t>
  </si>
  <si>
    <t>2026-06-30T10:07:03+05:30</t>
  </si>
  <si>
    <t>2026-06-30T17:40:43+05:30</t>
  </si>
  <si>
    <t>2026-06-30T20:40:54+05:30</t>
  </si>
  <si>
    <t>qwz9825bx32ns3x@marketplace.amazon.in</t>
  </si>
  <si>
    <t>Dombivli (East)</t>
  </si>
  <si>
    <t>408-8054441-1485907</t>
  </si>
  <si>
    <t>T14H5jWB4</t>
  </si>
  <si>
    <t>DNnZXrlgcs0bR</t>
  </si>
  <si>
    <t>2026-06-30T15:52:52+05:30</t>
  </si>
  <si>
    <t>2026-06-30T17:18:45+05:30</t>
  </si>
  <si>
    <t>2026-06-30T20:18:57+05:30</t>
  </si>
  <si>
    <t>jtr9f8rlvlqmcn2@marketplace.amazon.in</t>
  </si>
  <si>
    <t>405-6781339-6273949</t>
  </si>
  <si>
    <t>T6805tW34</t>
  </si>
  <si>
    <t>D4XJCql2cY07R</t>
  </si>
  <si>
    <t>2026-06-30T15:35:48+05:30</t>
  </si>
  <si>
    <t>2026-06-30T17:18:42+05:30</t>
  </si>
  <si>
    <t>2026-06-30T20:18:55+05:30</t>
  </si>
  <si>
    <t>q9mlq6tg5kpwhn6@marketplace.amazon.in</t>
  </si>
  <si>
    <t>KAVINDAPADI</t>
  </si>
  <si>
    <t>404-0311917-5880374</t>
  </si>
  <si>
    <t>TwwKTZWX4</t>
  </si>
  <si>
    <t>DQXFCHlScC07R</t>
  </si>
  <si>
    <t>2026-06-30T12:43:31+05:30</t>
  </si>
  <si>
    <t>2026-06-30T17:09:42+05:30</t>
  </si>
  <si>
    <t>2026-06-30T20:09:55+05:30</t>
  </si>
  <si>
    <t>v5s547n4v0yg0wq@marketplace.amazon.in</t>
  </si>
  <si>
    <t>SURANDAI</t>
  </si>
  <si>
    <t>405-3914899-9229950</t>
  </si>
  <si>
    <t>TJtG5LWf4</t>
  </si>
  <si>
    <t>DcQnC5lNcF03R</t>
  </si>
  <si>
    <t>2026-06-30T15:11:36+05:30</t>
  </si>
  <si>
    <t>2026-06-30T17:02:40+05:30</t>
  </si>
  <si>
    <t>2026-06-30T20:02:52+05:30</t>
  </si>
  <si>
    <t>408-5023935-2457102</t>
  </si>
  <si>
    <t>T3RbKsW24</t>
  </si>
  <si>
    <t>DDRTC0l8cx04R</t>
  </si>
  <si>
    <t>2026-06-30T13:28:02+05:30</t>
  </si>
  <si>
    <t>2026-06-30T17:01:42+05:30</t>
  </si>
  <si>
    <t>2026-06-30T20:01:57+05:30</t>
  </si>
  <si>
    <t>twfs8k6sdvf11n5@marketplace.amazon.in</t>
  </si>
  <si>
    <t>403-9114059-2460312</t>
  </si>
  <si>
    <t>T6QwrYWS4</t>
  </si>
  <si>
    <t>DPnsCwl6cF0rR</t>
  </si>
  <si>
    <t>2026-06-30T12:54:12+05:30</t>
  </si>
  <si>
    <t>2026-06-30T16:57:47+05:30</t>
  </si>
  <si>
    <t>2026-06-30T19:57:59+05:30</t>
  </si>
  <si>
    <t>n9g15ym5t1x4b1r@marketplace.amazon.in</t>
  </si>
  <si>
    <t>407-0687519-2971548</t>
  </si>
  <si>
    <t>T6Dkx2WL4</t>
  </si>
  <si>
    <t>D83BpWlQcj0QR</t>
  </si>
  <si>
    <t>2026-06-30T14:16:49+05:30</t>
  </si>
  <si>
    <t>2026-06-30T16:56:48+05:30</t>
  </si>
  <si>
    <t>2026-06-30T19:57:04+05:30</t>
  </si>
  <si>
    <t>pwd72m48vlmb6z4@marketplace.amazon.in</t>
  </si>
  <si>
    <t>Clement Town</t>
  </si>
  <si>
    <t>Uttarakhand</t>
  </si>
  <si>
    <t>407-1064246-5113906</t>
  </si>
  <si>
    <t>Tn62P8WW4</t>
  </si>
  <si>
    <t>DR3dpLlJcH0zR</t>
  </si>
  <si>
    <t>2026-06-30T13:01:15+05:30</t>
  </si>
  <si>
    <t>2026-06-30T16:55:44+05:30</t>
  </si>
  <si>
    <t>2026-06-30T16:55:47+05:30</t>
  </si>
  <si>
    <t>2026-06-30T17:55:58+05:30</t>
  </si>
  <si>
    <t>sy3ngvbkn8twj42@marketplace.amazon.in</t>
  </si>
  <si>
    <t>Barotiwala</t>
  </si>
  <si>
    <t>171-7389073-9501933</t>
  </si>
  <si>
    <t>TJvRW5WM4</t>
  </si>
  <si>
    <t>DpBLpXlqc80JR</t>
  </si>
  <si>
    <t>2026-06-30T14:42:15+05:30</t>
  </si>
  <si>
    <t>2026-06-30T16:51:44+05:30</t>
  </si>
  <si>
    <t>2026-06-30T16:51:46+05:30</t>
  </si>
  <si>
    <t>2026-06-30T17:51:57+05:30</t>
  </si>
  <si>
    <t>rnvr2zg9wsnwxtb@marketplace.amazon.in</t>
  </si>
  <si>
    <t>407-1507588-5869942</t>
  </si>
  <si>
    <t>TgTyKHWv4</t>
  </si>
  <si>
    <t>DKdcppl5cZ08R</t>
  </si>
  <si>
    <t>2026-06-30T13:46:06+05:30</t>
  </si>
  <si>
    <t>2026-06-30T16:47:43+05:30</t>
  </si>
  <si>
    <t>2026-06-30T16:47:46+05:30</t>
  </si>
  <si>
    <t>2026-06-30T17:47:58+05:30</t>
  </si>
  <si>
    <t>2lk8spkttypsmpj@marketplace.amazon.in</t>
  </si>
  <si>
    <t>408-0581457-9048352</t>
  </si>
  <si>
    <t>T6M3r2WC4</t>
  </si>
  <si>
    <t>DZdVpglVc204R</t>
  </si>
  <si>
    <t>2026-06-30T13:16:46+05:30</t>
  </si>
  <si>
    <t>2026-06-30T16:39:43+05:30</t>
  </si>
  <si>
    <t>2026-06-30T16:39:46+05:30</t>
  </si>
  <si>
    <t>2026-06-30T17:39:57+05:30</t>
  </si>
  <si>
    <t>y48ty7r5ybjjgdh@marketplace.amazon.in</t>
  </si>
  <si>
    <t>402-5921085-3718728</t>
  </si>
  <si>
    <t>T1bYkzWJ4</t>
  </si>
  <si>
    <t>DS10WYlZcg06R</t>
  </si>
  <si>
    <t>2026-06-29T16:19:51+05:30</t>
  </si>
  <si>
    <t>2026-06-30T16:30:52+05:30</t>
  </si>
  <si>
    <t>2026-06-30T19:31:11+05:30</t>
  </si>
  <si>
    <t>njxpsspmb0ymm1h@marketplace.amazon.in</t>
  </si>
  <si>
    <t>404-1389559-3273965</t>
  </si>
  <si>
    <t>T1c9ThWR4</t>
  </si>
  <si>
    <t>DCnyW4lmcT0DR</t>
  </si>
  <si>
    <t>2026-06-30T11:15:24+05:30</t>
  </si>
  <si>
    <t>2026-06-30T16:22:44+05:30</t>
  </si>
  <si>
    <t>2026-06-30T19:22:57+05:30</t>
  </si>
  <si>
    <t>62rvq2j91w0ws7z@marketplace.amazon.in</t>
  </si>
  <si>
    <t>Mahasamund</t>
  </si>
  <si>
    <t>403-1070000-5512339</t>
  </si>
  <si>
    <t>TNg3279h4</t>
  </si>
  <si>
    <t>D322mJl9c80cR</t>
  </si>
  <si>
    <t>2026-06-29T23:55:50+05:30</t>
  </si>
  <si>
    <t>2026-06-30T15:55:48+05:30</t>
  </si>
  <si>
    <t>2026-06-30T18:56:01+05:30</t>
  </si>
  <si>
    <t>kydhk9b6f1hq6ff@marketplace.amazon.in</t>
  </si>
  <si>
    <t>408-6357570-8265926</t>
  </si>
  <si>
    <t>TCP6T1WD4</t>
  </si>
  <si>
    <t>DSpCmklLcX08R</t>
  </si>
  <si>
    <t>2026-06-30T11:16:14+05:30</t>
  </si>
  <si>
    <t>2026-06-30T15:46:42+05:30</t>
  </si>
  <si>
    <t>2026-06-30T18:46:53+05:30</t>
  </si>
  <si>
    <t>kd89zqr3b9zt97v@marketplace.amazon.in</t>
  </si>
  <si>
    <t>407-4157099-6745106</t>
  </si>
  <si>
    <t>TXpJvXWP4</t>
  </si>
  <si>
    <t>DpT9lwllc90FR</t>
  </si>
  <si>
    <t>2026-06-30T10:50:44+05:30</t>
  </si>
  <si>
    <t>2026-06-30T15:42:40+05:30</t>
  </si>
  <si>
    <t>2026-06-30T15:42:43+05:30</t>
  </si>
  <si>
    <t>2026-06-30T16:42:53+05:30</t>
  </si>
  <si>
    <t>8r4tzysmpdl3sk7@marketplace.amazon.in</t>
  </si>
  <si>
    <t>GIDDARBAHA</t>
  </si>
  <si>
    <t>402-5342472-1089902</t>
  </si>
  <si>
    <t>TXCs8fWp4</t>
  </si>
  <si>
    <t>DYDq05lKcn0hR</t>
  </si>
  <si>
    <t>2026-06-30T13:08:31+05:30</t>
  </si>
  <si>
    <t>2026-06-30T15:23:45+05:30</t>
  </si>
  <si>
    <t>2026-06-30T18:23:57+05:30</t>
  </si>
  <si>
    <t>kxtcrmfwn2zpxs3@marketplace.amazon.in</t>
  </si>
  <si>
    <t>408-5296607-6105138</t>
  </si>
  <si>
    <t>TcBcghQn4</t>
  </si>
  <si>
    <t>D3Lx0PlDcg0MR</t>
  </si>
  <si>
    <t>2026-06-29T21:42:34+05:30</t>
  </si>
  <si>
    <t>2026-06-30T15:11:43+05:30</t>
  </si>
  <si>
    <t>2026-06-30T15:11:45+05:30</t>
  </si>
  <si>
    <t>2026-06-30T16:11:58+05:30</t>
  </si>
  <si>
    <t>t0537r1wr6m2thb@marketplace.amazon.in</t>
  </si>
  <si>
    <t>DVLw0PlDcg0MR</t>
  </si>
  <si>
    <t>DXXBSjl6cC0pR</t>
  </si>
  <si>
    <t>171-8510339-4917946</t>
  </si>
  <si>
    <t>T3mS6DWk4</t>
  </si>
  <si>
    <t>D2wkSxlncv0TR</t>
  </si>
  <si>
    <t>2026-06-30T13:14:17+05:30</t>
  </si>
  <si>
    <t>2026-06-30T15:01:46+05:30</t>
  </si>
  <si>
    <t>2026-06-30T18:01:56+05:30</t>
  </si>
  <si>
    <t>9lsl8g0jfz0dzcm@marketplace.amazon.in</t>
  </si>
  <si>
    <t>403-5574263-3554722</t>
  </si>
  <si>
    <t>T1T348WB4</t>
  </si>
  <si>
    <t>DT2C6FlxcH0DR</t>
  </si>
  <si>
    <t>2026-06-30T08:40:24+05:30</t>
  </si>
  <si>
    <t>2026-06-30T14:53:48+05:30</t>
  </si>
  <si>
    <t>2026-06-30T17:54:14+05:30</t>
  </si>
  <si>
    <t>wy9wbdz0hcmrjkb@marketplace.amazon.in</t>
  </si>
  <si>
    <t>404-9943851-4906735</t>
  </si>
  <si>
    <t>TwHsFFWh4</t>
  </si>
  <si>
    <t>D6lv6MlScB0VR</t>
  </si>
  <si>
    <t>2026-06-30T10:13:07+05:30</t>
  </si>
  <si>
    <t>2026-06-30T14:48:46+05:30</t>
  </si>
  <si>
    <t>2026-06-30T17:48:58+05:30</t>
  </si>
  <si>
    <t>472m97jqy2bdqgt@marketplace.amazon.in</t>
  </si>
  <si>
    <t>NISSING</t>
  </si>
  <si>
    <t>402-2305277-8113908</t>
  </si>
  <si>
    <t>TJL6J7W84</t>
  </si>
  <si>
    <t>DSL363l0c30WR</t>
  </si>
  <si>
    <t>2026-06-30T12:10:33+05:30</t>
  </si>
  <si>
    <t>2026-06-30T14:42:48+05:30</t>
  </si>
  <si>
    <t>2026-06-30T14:42:52+05:30</t>
  </si>
  <si>
    <t>2026-06-30T15:43:08+05:30</t>
  </si>
  <si>
    <t>qhmt8k7hnh2szl5@marketplace.amazon.in</t>
  </si>
  <si>
    <t>404-0768457-7605101</t>
  </si>
  <si>
    <t>T1f96CWt4</t>
  </si>
  <si>
    <t>DmY5dHlCcB0FR</t>
  </si>
  <si>
    <t>2026-06-30T12:50:43+05:30</t>
  </si>
  <si>
    <t>2026-06-30T14:27:42+05:30</t>
  </si>
  <si>
    <t>2026-06-30T17:27:53+05:30</t>
  </si>
  <si>
    <t>rd6q798hy4j3qm2@marketplace.amazon.in</t>
  </si>
  <si>
    <t>2026-06-30T20:00:00+05:30</t>
  </si>
  <si>
    <t>402-8899577-2323508</t>
  </si>
  <si>
    <t>TcctY7Wd4</t>
  </si>
  <si>
    <t>D1WkGKl7cD0fR</t>
  </si>
  <si>
    <t>2026-06-30T11:17:28+05:30</t>
  </si>
  <si>
    <t>2026-06-30T14:14:47+05:30</t>
  </si>
  <si>
    <t>2026-06-30T17:15:03+05:30</t>
  </si>
  <si>
    <t>yr9m9j3d81lk1ym@marketplace.amazon.in</t>
  </si>
  <si>
    <t>402-8229532-1130758</t>
  </si>
  <si>
    <t>TX7K3vQS4</t>
  </si>
  <si>
    <t>Dls4tWlCcj07R</t>
  </si>
  <si>
    <t>2026-06-29T17:24:41+05:30</t>
  </si>
  <si>
    <t>2026-06-30T13:46:55+05:30</t>
  </si>
  <si>
    <t>2026-06-30T16:51:18+05:30</t>
  </si>
  <si>
    <t>spf3wtx0zl22kqx@marketplace.amazon.in</t>
  </si>
  <si>
    <t>DRsmt9lCcj07R</t>
  </si>
  <si>
    <t>DysQt9lCcj07R</t>
  </si>
  <si>
    <t>Dyv0PKl2cn0SR</t>
  </si>
  <si>
    <t>402-5903868-2727528</t>
  </si>
  <si>
    <t>TgDsylWf4</t>
  </si>
  <si>
    <t>DgJsP8lPcZ0kR</t>
  </si>
  <si>
    <t>2026-06-30T10:00:28+05:30</t>
  </si>
  <si>
    <t>2026-06-30T13:34:51+05:30</t>
  </si>
  <si>
    <t>2026-06-30T16:35:03+05:30</t>
  </si>
  <si>
    <t>cstlv9pbm0ftlhb@marketplace.amazon.in</t>
  </si>
  <si>
    <t>407-9614220-5718717</t>
  </si>
  <si>
    <t>TNYMF9Wc4</t>
  </si>
  <si>
    <t>DkfvPZlYcv0PR</t>
  </si>
  <si>
    <t>2026-06-30T09:36:00+05:30</t>
  </si>
  <si>
    <t>2026-06-30T13:33:39+05:30</t>
  </si>
  <si>
    <t>2026-06-30T13:33:42+05:30</t>
  </si>
  <si>
    <t>2026-06-30T14:33:53+05:30</t>
  </si>
  <si>
    <t>k5wvr16j0fprrgb@marketplace.amazon.in</t>
  </si>
  <si>
    <t>402-5488230-7637935</t>
  </si>
  <si>
    <t>TNkP7GWq4</t>
  </si>
  <si>
    <t>DvlHPklTcW0xR</t>
  </si>
  <si>
    <t>2026-06-30T12:23:48+05:30</t>
  </si>
  <si>
    <t>2026-06-30T13:32:43+05:30</t>
  </si>
  <si>
    <t>2026-06-30T16:32:57+05:30</t>
  </si>
  <si>
    <t>fg0y367k3g5370j@marketplace.amazon.in</t>
  </si>
  <si>
    <t>408-8100322-3897932</t>
  </si>
  <si>
    <t>TcdyyY9s4</t>
  </si>
  <si>
    <t>DMrLTZlJcR06R</t>
  </si>
  <si>
    <t>2026-06-29T23:38:45+05:30</t>
  </si>
  <si>
    <t>2026-06-30T13:12:43+05:30</t>
  </si>
  <si>
    <t>2026-06-30T16:12:54+05:30</t>
  </si>
  <si>
    <t>2x3mzg5860fj0h5@marketplace.amazon.in</t>
  </si>
  <si>
    <t>405-9122579-8147525</t>
  </si>
  <si>
    <t>TwDgQwWv4</t>
  </si>
  <si>
    <t>DQ3hxFllc60xR</t>
  </si>
  <si>
    <t>2026-06-30T10:42:18+05:30</t>
  </si>
  <si>
    <t>2026-06-30T12:49:42+05:30</t>
  </si>
  <si>
    <t>2026-06-30T15:49:53+05:30</t>
  </si>
  <si>
    <t>fh2xq8zxxt1ssw6@marketplace.amazon.in</t>
  </si>
  <si>
    <t>402-0926191-5333951</t>
  </si>
  <si>
    <t>TJdLxH9h4</t>
  </si>
  <si>
    <t>Dg0gxFlwc60pR</t>
  </si>
  <si>
    <t>2026-06-30T02:17:49+05:30</t>
  </si>
  <si>
    <t>2026-06-30T12:40:23+05:30</t>
  </si>
  <si>
    <t>2026-06-30T15:40:37+05:30</t>
  </si>
  <si>
    <t>2nd3n9gpd7d7kk9@marketplace.amazon.in</t>
  </si>
  <si>
    <t>403-2921631-7133951</t>
  </si>
  <si>
    <t>TcjD91WM4</t>
  </si>
  <si>
    <t>DMBLJhl7cH00R</t>
  </si>
  <si>
    <t>2026-06-30T09:39:07+05:30</t>
  </si>
  <si>
    <t>2026-06-30T12:22:46+05:30</t>
  </si>
  <si>
    <t>2026-06-30T15:23:01+05:30</t>
  </si>
  <si>
    <t>bqm6ggdt9hrr4hc@marketplace.amazon.in</t>
  </si>
  <si>
    <t>404-1943353-4089120</t>
  </si>
  <si>
    <t>Tnmxk2Wk4</t>
  </si>
  <si>
    <t>D6KHM3lfcv0ZR</t>
  </si>
  <si>
    <t>2026-06-30T06:44:21+05:30</t>
  </si>
  <si>
    <t>2026-06-30T12:10:43+05:30</t>
  </si>
  <si>
    <t>2026-06-30T12:10:46+05:30</t>
  </si>
  <si>
    <t>2026-06-30T13:10:56+05:30</t>
  </si>
  <si>
    <t>ccm8dw60jy8w6r2@marketplace.amazon.in</t>
  </si>
  <si>
    <t>406-2733854-7718767</t>
  </si>
  <si>
    <t>TNDf2wWN4</t>
  </si>
  <si>
    <t>DVcZMllScG0lR</t>
  </si>
  <si>
    <t>2026-06-30T09:50:33+05:30</t>
  </si>
  <si>
    <t>2026-06-30T11:55:43+05:30</t>
  </si>
  <si>
    <t>2026-06-30T14:55:55+05:30</t>
  </si>
  <si>
    <t>408-2038544-5973919</t>
  </si>
  <si>
    <t>TcWBYfYC4</t>
  </si>
  <si>
    <t>Dd2F12lScy0CR</t>
  </si>
  <si>
    <t>2026-06-26T20:49:52+05:30</t>
  </si>
  <si>
    <t>2026-06-30T11:37:49+05:30</t>
  </si>
  <si>
    <t>2026-06-30T14:38:07+05:30</t>
  </si>
  <si>
    <t>jww9h76f1r3tggn@marketplace.amazon.in</t>
  </si>
  <si>
    <t>403-0415699-1085129</t>
  </si>
  <si>
    <t>TnnTy9904</t>
  </si>
  <si>
    <t>DQvhrRlMcs0jR</t>
  </si>
  <si>
    <t>2026-06-29T23:34:40+05:30</t>
  </si>
  <si>
    <t>2026-06-30T11:31:46+05:30</t>
  </si>
  <si>
    <t>2026-06-30T14:31:57+05:30</t>
  </si>
  <si>
    <t>x8pjkk4tbq855nt@marketplace.amazon.in</t>
  </si>
  <si>
    <t>402-9148939-8619517</t>
  </si>
  <si>
    <t>TwwdDfW04</t>
  </si>
  <si>
    <t>DKH5rGl0cS0zR</t>
  </si>
  <si>
    <t>2026-06-30T09:48:16+05:30</t>
  </si>
  <si>
    <t>2026-06-30T11:19:40+05:30</t>
  </si>
  <si>
    <t>2026-06-30T11:19:42+05:30</t>
  </si>
  <si>
    <t>2026-06-30T12:19:53+05:30</t>
  </si>
  <si>
    <t>gbdyp2cxmrsbq99@marketplace.amazon.in</t>
  </si>
  <si>
    <t>171-3527763-5328332</t>
  </si>
  <si>
    <t>TV1R5y9p4</t>
  </si>
  <si>
    <t>DPyz75lHcd0cR</t>
  </si>
  <si>
    <t>2026-06-30T08:52:17+05:30</t>
  </si>
  <si>
    <t>2026-06-30T11:10:42+05:30</t>
  </si>
  <si>
    <t>2026-06-30T14:10:53+05:30</t>
  </si>
  <si>
    <t>2s4zzlvnl1ly26r@marketplace.amazon.in</t>
  </si>
  <si>
    <t>408-2115427-0437132</t>
  </si>
  <si>
    <t>TXKxBWWG4</t>
  </si>
  <si>
    <t>DTyD7Vlpcr0cR</t>
  </si>
  <si>
    <t>2026-06-30T09:03:12+05:30</t>
  </si>
  <si>
    <t>2026-06-30T11:06:44+05:30</t>
  </si>
  <si>
    <t>2026-06-30T14:06:55+05:30</t>
  </si>
  <si>
    <t>kwsznxdmlcfkhyt@marketplace.amazon.in</t>
  </si>
  <si>
    <t>UTTARPARA KOTRUNG</t>
  </si>
  <si>
    <t>403-0710149-3048359</t>
  </si>
  <si>
    <t>TgNgvLQV4</t>
  </si>
  <si>
    <t>DfMzs7llcV0hR</t>
  </si>
  <si>
    <t>2026-06-29T17:23:49+05:30</t>
  </si>
  <si>
    <t>2026-06-30T10:36:43+05:30</t>
  </si>
  <si>
    <t>2026-06-30T13:36:55+05:30</t>
  </si>
  <si>
    <t>ts1p8brqclpchfg@marketplace.amazon.in</t>
  </si>
  <si>
    <t>403-3249172-3953930</t>
  </si>
  <si>
    <t>TXRNcC9t4</t>
  </si>
  <si>
    <t>DbB6QGlsc30LR</t>
  </si>
  <si>
    <t>2026-06-29T23:57:11+05:30</t>
  </si>
  <si>
    <t>2026-06-30T10:15:43+05:30</t>
  </si>
  <si>
    <t>2026-06-30T13:15:55+05:30</t>
  </si>
  <si>
    <t>jlfdffzpf7kdfb3@marketplace.amazon.in</t>
  </si>
  <si>
    <t>408-8000880-7581964</t>
  </si>
  <si>
    <t>TgQ4jh9R4</t>
  </si>
  <si>
    <t>DHbWQVlGcM08R</t>
  </si>
  <si>
    <t>2026-06-30T05:49:05+05:30</t>
  </si>
  <si>
    <t>2026-06-30T10:13:40+05:30</t>
  </si>
  <si>
    <t>2026-06-30T13:13:51+05:30</t>
  </si>
  <si>
    <t>kjlcq34kl9cd6cp@marketplace.amazon.in</t>
  </si>
  <si>
    <t>Kakkanad</t>
  </si>
  <si>
    <t>408-3783802-5735542</t>
  </si>
  <si>
    <t>TwHXtGQK4</t>
  </si>
  <si>
    <t>DF9RQMl1cC0QR</t>
  </si>
  <si>
    <t>2026-06-29T16:38:35+05:30</t>
  </si>
  <si>
    <t>2026-06-30T10:11:49+05:30</t>
  </si>
  <si>
    <t>2026-06-30T13:15:13+05:30</t>
  </si>
  <si>
    <t>1nk1940tzfg4qjy@marketplace.amazon.in</t>
  </si>
  <si>
    <t>404-2878958-0201105</t>
  </si>
  <si>
    <t>Tw21tHQJ4</t>
  </si>
  <si>
    <t>DnYfQNlyc50wR</t>
  </si>
  <si>
    <t>2026-06-29T19:41:49+05:30</t>
  </si>
  <si>
    <t>2026-06-30T10:11:48+05:30</t>
  </si>
  <si>
    <t>2026-06-30T13:12:02+05:30</t>
  </si>
  <si>
    <t>cbpmgyxyygb72ws@marketplace.amazon.in</t>
  </si>
  <si>
    <t>PUDUKKOTTAI</t>
  </si>
  <si>
    <t>404-4993190-0600342</t>
  </si>
  <si>
    <t>T1bQ0dQy4</t>
  </si>
  <si>
    <t>DpB0cCl5cK0WR</t>
  </si>
  <si>
    <t>2026-06-29T21:45:56+05:30</t>
  </si>
  <si>
    <t>2026-06-30T10:01:44+05:30</t>
  </si>
  <si>
    <t>2026-06-30T13:01:57+05:30</t>
  </si>
  <si>
    <t>q100khsdx1hrf9z@marketplace.amazon.in</t>
  </si>
  <si>
    <t>404-2493698-6370758</t>
  </si>
  <si>
    <t>T38XmbQK4</t>
  </si>
  <si>
    <t>D07QcSl4cW0HR</t>
  </si>
  <si>
    <t>2026-06-29T20:11:04+05:30</t>
  </si>
  <si>
    <t>2026-06-30T09:59:48+05:30</t>
  </si>
  <si>
    <t>2026-06-30T13:00:04+05:30</t>
  </si>
  <si>
    <t>jd0kk91wz45247k@marketplace.amazon.in</t>
  </si>
  <si>
    <t>DP7hc5l4cW0HR</t>
  </si>
  <si>
    <t>402-4093524-5850730</t>
  </si>
  <si>
    <t>TXJxLlh84</t>
  </si>
  <si>
    <t>DzCdcYlwcJ0DR</t>
  </si>
  <si>
    <t>2026-06-28T23:49:07+05:30</t>
  </si>
  <si>
    <t>2026-06-30T09:50:46+05:30</t>
  </si>
  <si>
    <t>2026-06-30T12:50:58+05:30</t>
  </si>
  <si>
    <t>6yymfgxm056x1fm@marketplace.amazon.in</t>
  </si>
  <si>
    <t>405-5098705-7033961</t>
  </si>
  <si>
    <t>TwRDyN9Y4</t>
  </si>
  <si>
    <t>DymtvCl0c80LR</t>
  </si>
  <si>
    <t>2026-06-29T22:51:05+05:30</t>
  </si>
  <si>
    <t>2026-06-30T09:45:43+05:30</t>
  </si>
  <si>
    <t>2026-06-30T12:45:54+05:30</t>
  </si>
  <si>
    <t>p25yxkpt2bznp3t@marketplace.amazon.in</t>
  </si>
  <si>
    <t>404-7710608-4857119</t>
  </si>
  <si>
    <t>Twz2DT9d4</t>
  </si>
  <si>
    <t>Drg6vQlWcN0nR</t>
  </si>
  <si>
    <t>2026-06-30T00:13:07+05:30</t>
  </si>
  <si>
    <t>2026-06-30T09:43:46+05:30</t>
  </si>
  <si>
    <t>2026-06-30T12:43:59+05:30</t>
  </si>
  <si>
    <t>6s62ghttr7xz5lh@marketplace.amazon.in</t>
  </si>
  <si>
    <t>403-4423107-1784305</t>
  </si>
  <si>
    <t>T6BZYF9r4</t>
  </si>
  <si>
    <t>DRT0vjllc10BR</t>
  </si>
  <si>
    <t>2026-06-29T23:23:33+05:30</t>
  </si>
  <si>
    <t>2026-06-30T09:33:48+05:30</t>
  </si>
  <si>
    <t>2026-06-30T12:34:01+05:30</t>
  </si>
  <si>
    <t>lf7ydbq84skgclh@marketplace.amazon.in</t>
  </si>
  <si>
    <t>171-1270555-3203517</t>
  </si>
  <si>
    <t>T1NnXlQh4</t>
  </si>
  <si>
    <t>DKKgzPl7cq0ZR</t>
  </si>
  <si>
    <t>2026-06-29T21:20:45+05:30</t>
  </si>
  <si>
    <t>2026-06-30T09:30:44+05:30</t>
  </si>
  <si>
    <t>2026-06-30T12:30:55+05:30</t>
  </si>
  <si>
    <t>2fjkyj0ffhyh83b@marketplace.amazon.in</t>
  </si>
  <si>
    <t>405-7678830-8560334</t>
  </si>
  <si>
    <t>T3MNNRQb4</t>
  </si>
  <si>
    <t>DcC1zMlRcX0JR</t>
  </si>
  <si>
    <t>2026-06-29T15:42:19+05:30</t>
  </si>
  <si>
    <t>2026-06-30T09:18:46+05:30</t>
  </si>
  <si>
    <t>2026-06-30T12:18:57+05:30</t>
  </si>
  <si>
    <t>6dsb6877s1n5zgg@marketplace.amazon.in</t>
  </si>
  <si>
    <t>406-5031840-9632323</t>
  </si>
  <si>
    <t>TXqjPdQ64</t>
  </si>
  <si>
    <t>DhybVwlFcd0rR</t>
  </si>
  <si>
    <t>2026-06-29T19:05:36+05:30</t>
  </si>
  <si>
    <t>2026-06-30T09:13:39+05:30</t>
  </si>
  <si>
    <t>2026-06-30T09:13:42+05:30</t>
  </si>
  <si>
    <t>2026-06-30T10:13:53+05:30</t>
  </si>
  <si>
    <t>k7x9r46mvfbh1nx@marketplace.amazon.in</t>
  </si>
  <si>
    <t>407-2914699-0870729</t>
  </si>
  <si>
    <t>TcvBPJQv4</t>
  </si>
  <si>
    <t>DFYjVzl2cQ0LR</t>
  </si>
  <si>
    <t>2026-06-29T19:23:05+05:30</t>
  </si>
  <si>
    <t>2026-06-30T09:08:49+05:30</t>
  </si>
  <si>
    <t>2026-06-30T12:09:07+05:30</t>
  </si>
  <si>
    <t>zlp0bvpyk7sg26g@marketplace.amazon.in</t>
  </si>
  <si>
    <t>404-1965578-6339505</t>
  </si>
  <si>
    <t>Tn6jW6QN4</t>
  </si>
  <si>
    <t>DlY7V0ljc60LR</t>
  </si>
  <si>
    <t>2026-06-29T20:51:49+05:30</t>
  </si>
  <si>
    <t>2026-06-30T09:02:41+05:30</t>
  </si>
  <si>
    <t>2026-06-30T09:02:43+05:30</t>
  </si>
  <si>
    <t>2026-06-30T10:02:54+05:30</t>
  </si>
  <si>
    <t>47vv5mvgyyndm09@marketplace.amazon.in</t>
  </si>
  <si>
    <t>406-6187687-0966706</t>
  </si>
  <si>
    <t>TVpYd8zr4</t>
  </si>
  <si>
    <t>DbQ8V6lycH0NR</t>
  </si>
  <si>
    <t>2026-06-28T18:37:42+05:30</t>
  </si>
  <si>
    <t>2026-06-30T09:00:46+05:30</t>
  </si>
  <si>
    <t>2026-06-30T12:00:57+05:30</t>
  </si>
  <si>
    <t>360tlpq5t0b0rh5@marketplace.amazon.in</t>
  </si>
  <si>
    <t>407-3791278-7311537</t>
  </si>
  <si>
    <t>TJnVLZQw4</t>
  </si>
  <si>
    <t>DXllVtlZc300R</t>
  </si>
  <si>
    <t>2026-06-29T18:03:35+05:30</t>
  </si>
  <si>
    <t>2026-06-30T09:00:42+05:30</t>
  </si>
  <si>
    <t>2026-06-30T09:00:45+05:30</t>
  </si>
  <si>
    <t>2026-06-30T10:00:55+05:30</t>
  </si>
  <si>
    <t>wp0qr50m3l0whd6@marketplace.amazon.in</t>
  </si>
  <si>
    <t>403-7470963-7009912</t>
  </si>
  <si>
    <t>TnFxCF6T4</t>
  </si>
  <si>
    <t>DDlV2qlZc105R</t>
  </si>
  <si>
    <t>2026-06-29T15:00:41+05:30</t>
  </si>
  <si>
    <t>2026-06-30T08:55:44+05:30</t>
  </si>
  <si>
    <t>2026-06-30T11:55:55+05:30</t>
  </si>
  <si>
    <t>x864gghjpnntk8g@marketplace.amazon.in</t>
  </si>
  <si>
    <t>171-8201356-3697969</t>
  </si>
  <si>
    <t>TNnnhwQ34</t>
  </si>
  <si>
    <t>DWGBFZlCcx0KR</t>
  </si>
  <si>
    <t>2026-06-29T22:09:13+05:30</t>
  </si>
  <si>
    <t>2026-06-30T08:46:41+05:30</t>
  </si>
  <si>
    <t>2026-06-30T08:46:43+05:30</t>
  </si>
  <si>
    <t>2026-06-30T09:46:54+05:30</t>
  </si>
  <si>
    <t>ww9jp3zpqtjxnpt@marketplace.amazon.in</t>
  </si>
  <si>
    <t>407-4632758-2893959</t>
  </si>
  <si>
    <t>TVYRl3QG4</t>
  </si>
  <si>
    <t>Dpz4fHYdck0cR</t>
  </si>
  <si>
    <t>2026-06-29T20:15:46+05:30</t>
  </si>
  <si>
    <t>2026-06-30T04:34:46+05:30</t>
  </si>
  <si>
    <t>2026-06-30T07:35:04+05:30</t>
  </si>
  <si>
    <t>0m4jbmqnk1g8470@marketplace.amazon.in</t>
  </si>
  <si>
    <t>Raigad</t>
  </si>
  <si>
    <t>404-5490831-3321150</t>
  </si>
  <si>
    <t>T3sl399q4</t>
  </si>
  <si>
    <t>D4xtf3YFcG0XR</t>
  </si>
  <si>
    <t>2026-06-30T01:41:24+05:30</t>
  </si>
  <si>
    <t>2026-06-30T04:20:42+05:30</t>
  </si>
  <si>
    <t>2026-06-30T04:20:46+05:30</t>
  </si>
  <si>
    <t>2026-06-30T05:21:00+05:30</t>
  </si>
  <si>
    <t>d70ttjth7y3p5tq@marketplace.amazon.in</t>
  </si>
  <si>
    <t>SOUTH WEST DELHI</t>
  </si>
  <si>
    <t>407-8922866-9000338</t>
  </si>
  <si>
    <t>Tc5SNH9n4</t>
  </si>
  <si>
    <t>D9cgjwY8ch0HR</t>
  </si>
  <si>
    <t>2026-06-29T22:24:31+05:30</t>
  </si>
  <si>
    <t>2026-06-30T04:15:45+05:30</t>
  </si>
  <si>
    <t>2026-06-30T07:15:56+05:30</t>
  </si>
  <si>
    <t>d8pb9q2g52bv1z1@marketplace.amazon.in</t>
  </si>
  <si>
    <t>UDANGUDI</t>
  </si>
  <si>
    <t>407-0329555-9385163</t>
  </si>
  <si>
    <t>TNxLMRQv4</t>
  </si>
  <si>
    <t>DtQPjkYMcy04R</t>
  </si>
  <si>
    <t>2026-06-29T19:05:47+05:30</t>
  </si>
  <si>
    <t>2026-06-30T04:11:45+05:30</t>
  </si>
  <si>
    <t>2026-06-30T04:11:48+05:30</t>
  </si>
  <si>
    <t>2026-06-30T05:12:02+05:30</t>
  </si>
  <si>
    <t>7x9md46bg7802jm@marketplace.amazon.in</t>
  </si>
  <si>
    <t>402-2305939-3738766</t>
  </si>
  <si>
    <t>Tgrgg1TB4</t>
  </si>
  <si>
    <t>DzmDZNYWc300R</t>
  </si>
  <si>
    <t>2026-06-27T15:01:26+05:30</t>
  </si>
  <si>
    <t>2026-06-30T04:05:45+05:30</t>
  </si>
  <si>
    <t>2026-06-30T07:05:57+05:30</t>
  </si>
  <si>
    <t>k6db8z91l1f5mr2@marketplace.amazon.in</t>
  </si>
  <si>
    <t>KHARIAR</t>
  </si>
  <si>
    <t>407-0628479-6515535</t>
  </si>
  <si>
    <t>TwzcQLQp4</t>
  </si>
  <si>
    <t>DPllZJY7cp0GR</t>
  </si>
  <si>
    <t>2026-06-29T17:52:56+05:30</t>
  </si>
  <si>
    <t>2026-06-30T03:50:42+05:30</t>
  </si>
  <si>
    <t>2026-06-30T06:50:55+05:30</t>
  </si>
  <si>
    <t>f2d9sg1q7tz04h5@marketplace.amazon.in</t>
  </si>
  <si>
    <t>Navi mumbai</t>
  </si>
  <si>
    <t>404-7910684-2157926</t>
  </si>
  <si>
    <t>T3BDZJz74</t>
  </si>
  <si>
    <t>DclTZdYvcp0GR</t>
  </si>
  <si>
    <t>2026-06-28T21:18:27+05:30</t>
  </si>
  <si>
    <t>2026-06-30T03:49:51+05:30</t>
  </si>
  <si>
    <t>2026-06-30T06:50:09+05:30</t>
  </si>
  <si>
    <t>2dfzg9sl5cb1h9n@marketplace.amazon.in</t>
  </si>
  <si>
    <t>406-7996058-0962718</t>
  </si>
  <si>
    <t>T6kZ7YQy4</t>
  </si>
  <si>
    <t>DTF05gYlc509R</t>
  </si>
  <si>
    <t>2026-06-29T18:09:43+05:30</t>
  </si>
  <si>
    <t>2026-06-30T03:28:43+05:30</t>
  </si>
  <si>
    <t>2026-06-30T06:28:55+05:30</t>
  </si>
  <si>
    <t>s75kcdytkkk3yw0@marketplace.amazon.in</t>
  </si>
  <si>
    <t>SHIRUR PUNE</t>
  </si>
  <si>
    <t>404-0286642-8977974</t>
  </si>
  <si>
    <t>TXJjwGQ04</t>
  </si>
  <si>
    <t>D26t5LYkc80kR</t>
  </si>
  <si>
    <t>2026-06-29T16:07:31+05:30</t>
  </si>
  <si>
    <t>2026-06-30T03:18:47+05:30</t>
  </si>
  <si>
    <t>2026-06-30T06:19:00+05:30</t>
  </si>
  <si>
    <t>9031xh1q601hjdf@marketplace.amazon.in</t>
  </si>
  <si>
    <t>Vizag</t>
  </si>
  <si>
    <t>406-8976199-9213144</t>
  </si>
  <si>
    <t>TnQtRD9D4</t>
  </si>
  <si>
    <t>Dk8S81YdcY0MR</t>
  </si>
  <si>
    <t>2026-06-29T17:43:45+05:30</t>
  </si>
  <si>
    <t>2026-06-30T02:51:52+05:30</t>
  </si>
  <si>
    <t>2026-06-30T05:52:07+05:30</t>
  </si>
  <si>
    <t>11d5dbltd6g1r0x@marketplace.amazon.in</t>
  </si>
  <si>
    <t>171-9315416-5602764</t>
  </si>
  <si>
    <t>TJ49krc74</t>
  </si>
  <si>
    <t>DTwY8SYhc60zR</t>
  </si>
  <si>
    <t>2026-06-27T18:23:29+05:30</t>
  </si>
  <si>
    <t>2026-06-30T02:46:01+05:30</t>
  </si>
  <si>
    <t>2026-06-30T05:49:24+05:30</t>
  </si>
  <si>
    <t>y7sryt8qnbq6v5c@marketplace.amazon.in</t>
  </si>
  <si>
    <t>NEYYOOR</t>
  </si>
  <si>
    <t>405-7809858-0117907</t>
  </si>
  <si>
    <t>TgCD5r6V4</t>
  </si>
  <si>
    <t>D9rrXzYNcT0dR</t>
  </si>
  <si>
    <t>2026-06-29T15:24:30+05:30</t>
  </si>
  <si>
    <t>2026-06-30T02:23:44+05:30</t>
  </si>
  <si>
    <t>2026-06-30T05:23:56+05:30</t>
  </si>
  <si>
    <t>36ck9d2p2nkfp9f@marketplace.amazon.in</t>
  </si>
  <si>
    <t>407-0626912-9249910</t>
  </si>
  <si>
    <t>TwkxSsQc4</t>
  </si>
  <si>
    <t>DC5dCJYlc60CR</t>
  </si>
  <si>
    <t>2026-06-29T20:50:29+05:30</t>
  </si>
  <si>
    <t>2026-06-30T02:22:45+05:30</t>
  </si>
  <si>
    <t>2026-06-30T05:22:58+05:30</t>
  </si>
  <si>
    <t>fwsfgb6zgsjc0vv@marketplace.amazon.in</t>
  </si>
  <si>
    <t>DXg6CVY8cB0PR</t>
  </si>
  <si>
    <t>406-9506550-4472311</t>
  </si>
  <si>
    <t>T6LmgZQB4</t>
  </si>
  <si>
    <t>DSx5CKYGc00gR</t>
  </si>
  <si>
    <t>2026-06-29T21:20:41+05:30</t>
  </si>
  <si>
    <t>2026-06-30T02:16:52+05:30</t>
  </si>
  <si>
    <t>2026-06-30T05:17:13+05:30</t>
  </si>
  <si>
    <t>nnhbs10jnw7llb1@marketplace.amazon.in</t>
  </si>
  <si>
    <t>2026-06-30T08:00:00+05:30</t>
  </si>
  <si>
    <t>402-4715502-4058728</t>
  </si>
  <si>
    <t>TnMbQvQC4</t>
  </si>
  <si>
    <t>DSKNp3YFcT07R</t>
  </si>
  <si>
    <t>2026-06-29T17:21:34+05:30</t>
  </si>
  <si>
    <t>2026-06-30T02:13:42+05:30</t>
  </si>
  <si>
    <t>2026-06-30T02:13:45+05:30</t>
  </si>
  <si>
    <t>2026-06-30T03:13:56+05:30</t>
  </si>
  <si>
    <t>tls0j0gczmtb517@marketplace.amazon.in</t>
  </si>
  <si>
    <t>AM005213719IN</t>
  </si>
  <si>
    <t>402-9843205-5097956</t>
  </si>
  <si>
    <t>TJ6nsDQV4</t>
  </si>
  <si>
    <t>DRDFpDYXcM02R</t>
  </si>
  <si>
    <t>2026-06-29T17:29:44+05:30</t>
  </si>
  <si>
    <t>2026-06-30T02:02:39+05:30</t>
  </si>
  <si>
    <t>2026-06-30T02:02:42+05:30</t>
  </si>
  <si>
    <t>2026-06-30T03:02:53+05:30</t>
  </si>
  <si>
    <t>5s70xtwc8bk3bpx@marketplace.amazon.in</t>
  </si>
  <si>
    <t>407-2537320-0038765</t>
  </si>
  <si>
    <t>TVfkH49w4</t>
  </si>
  <si>
    <t>Dp2hWtYfcV00R</t>
  </si>
  <si>
    <t>2026-06-29T22:29:10+05:30</t>
  </si>
  <si>
    <t>2026-06-30T01:48:50+05:30</t>
  </si>
  <si>
    <t>2026-06-30T04:49:08+05:30</t>
  </si>
  <si>
    <t>59jh3fpkzy3pz41@marketplace.amazon.in</t>
  </si>
  <si>
    <t>407-0392352-4490729</t>
  </si>
  <si>
    <t>T1gYt3Qx4</t>
  </si>
  <si>
    <t>DpYjWvYrcg07R</t>
  </si>
  <si>
    <t>2026-06-29T19:35:24+05:30</t>
  </si>
  <si>
    <t>2026-06-30T01:37:45+05:30</t>
  </si>
  <si>
    <t>2026-06-30T04:37:56+05:30</t>
  </si>
  <si>
    <t>3cdxflh1pd9b6rc@marketplace.amazon.in</t>
  </si>
  <si>
    <t>406-5834404-1756354</t>
  </si>
  <si>
    <t>TnNbYg9d4</t>
  </si>
  <si>
    <t>DHnjKmY8ct0fR</t>
  </si>
  <si>
    <t>2026-06-29T23:32:53+05:30</t>
  </si>
  <si>
    <t>2026-06-30T01:24:42+05:30</t>
  </si>
  <si>
    <t>2026-06-30T04:24:55+05:30</t>
  </si>
  <si>
    <t>v7xzmtwz5n10s8y@marketplace.amazon.in</t>
  </si>
  <si>
    <t>405-7149068-1821931</t>
  </si>
  <si>
    <t>T1bwrCQk4</t>
  </si>
  <si>
    <t>DdZ8KWY5cb0ZR</t>
  </si>
  <si>
    <t>2026-06-29T17:06:36+05:30</t>
  </si>
  <si>
    <t>2026-06-30T01:21:47+05:30</t>
  </si>
  <si>
    <t>2026-06-30T04:22:02+05:30</t>
  </si>
  <si>
    <t>5fx587f6gcgf4gd@marketplace.amazon.in</t>
  </si>
  <si>
    <t>171-1601691-8308338</t>
  </si>
  <si>
    <t>TVk3jyQF4</t>
  </si>
  <si>
    <t>DScFKYYwcq00R</t>
  </si>
  <si>
    <t>2026-06-29T21:46:38+05:30</t>
  </si>
  <si>
    <t>2026-06-30T01:18:45+05:30</t>
  </si>
  <si>
    <t>2026-06-30T04:18:58+05:30</t>
  </si>
  <si>
    <t>f4hl5x1h0hzntjv@marketplace.amazon.in</t>
  </si>
  <si>
    <t>403-6718752-1747536</t>
  </si>
  <si>
    <t>TCkMWlQx4</t>
  </si>
  <si>
    <t>DDldm2YJcs0wR</t>
  </si>
  <si>
    <t>2026-06-29T20:59:43+05:30</t>
  </si>
  <si>
    <t>2026-06-30T01:03:45+05:30</t>
  </si>
  <si>
    <t>2026-06-30T04:03:59+05:30</t>
  </si>
  <si>
    <t>lby1mf5r9d1v3g6@marketplace.amazon.in</t>
  </si>
  <si>
    <t>406-7890871-9549922</t>
  </si>
  <si>
    <t>TJRrt1Qz4</t>
  </si>
  <si>
    <t>DwC6mtYncJ0YR</t>
  </si>
  <si>
    <t>2026-06-29T19:12:32+05:30</t>
  </si>
  <si>
    <t>2026-06-30T00:59:42+05:30</t>
  </si>
  <si>
    <t>2026-06-30T03:59:53+05:30</t>
  </si>
  <si>
    <t>375h79pybx782ql@marketplace.amazon.in</t>
  </si>
  <si>
    <t>WALUJ MIDC</t>
  </si>
  <si>
    <t>408-4473331-8973117</t>
  </si>
  <si>
    <t>T69QGL6T4</t>
  </si>
  <si>
    <t>DXTplLY4cT0KR</t>
  </si>
  <si>
    <t>2026-06-29T13:28:01+05:30</t>
  </si>
  <si>
    <t>2026-06-30T00:43:44+05:30</t>
  </si>
  <si>
    <t>2026-06-30T03:43:56+05:30</t>
  </si>
  <si>
    <t>yx0tnxn9wb96y9m@marketplace.amazon.in</t>
  </si>
  <si>
    <t>171-3917850-6102736</t>
  </si>
  <si>
    <t>T6s6C56r4</t>
  </si>
  <si>
    <t>DJkn0QYxc50wR</t>
  </si>
  <si>
    <t>2026-06-29T14:18:08+05:30</t>
  </si>
  <si>
    <t>2026-06-30T00:39:48+05:30</t>
  </si>
  <si>
    <t>2026-06-30T03:40:02+05:30</t>
  </si>
  <si>
    <t>ppr9zwczdp0yr0z@marketplace.amazon.in</t>
  </si>
  <si>
    <t>405-1919642-5731512</t>
  </si>
  <si>
    <t>TwbJbL9f4</t>
  </si>
  <si>
    <t>DjkF0hYSck0DR</t>
  </si>
  <si>
    <t>2026-06-29T23:03:53+05:30</t>
  </si>
  <si>
    <t>2026-06-30T00:35:45+05:30</t>
  </si>
  <si>
    <t>2026-06-30T03:35:59+05:30</t>
  </si>
  <si>
    <t>1931k4z3vfd33v6@marketplace.amazon.in</t>
  </si>
  <si>
    <t>406-6949669-7733910</t>
  </si>
  <si>
    <t>TCMGNQ9J4</t>
  </si>
  <si>
    <t>DDCc01Y1ct0NR</t>
  </si>
  <si>
    <t>2026-06-29T22:15:49+05:30</t>
  </si>
  <si>
    <t>2026-06-30T00:28:49+05:30</t>
  </si>
  <si>
    <t>2026-06-30T03:29:05+05:30</t>
  </si>
  <si>
    <t>whjc12361d140tl@marketplace.amazon.in</t>
  </si>
  <si>
    <t>405-8742509-2818719</t>
  </si>
  <si>
    <t>T38z5WQn4</t>
  </si>
  <si>
    <t>DjrV05YKcc0ZR</t>
  </si>
  <si>
    <t>2026-06-29T22:44:05+05:30</t>
  </si>
  <si>
    <t>2026-06-30T00:23:42+05:30</t>
  </si>
  <si>
    <t>2026-06-30T03:23:54+05:30</t>
  </si>
  <si>
    <t>m0drhs4w0xsz4t5@marketplace.amazon.in</t>
  </si>
  <si>
    <t>405-0098674-0066713</t>
  </si>
  <si>
    <t>Tn5hwt9C4</t>
  </si>
  <si>
    <t>DrGD0yYJcp0XR</t>
  </si>
  <si>
    <t>2026-06-29T23:01:17+05:30</t>
  </si>
  <si>
    <t>2026-06-30T00:21:45+05:30</t>
  </si>
  <si>
    <t>2026-06-30T03:21:58+05:30</t>
  </si>
  <si>
    <t>sc06107pc3c3dw6@marketplace.amazon.in</t>
  </si>
  <si>
    <t>406-6698364-9361904</t>
  </si>
  <si>
    <t>TghKwx944</t>
  </si>
  <si>
    <t>DRbwSXYNcS0KR</t>
  </si>
  <si>
    <t>2026-06-29T23:03:19+05:30</t>
  </si>
  <si>
    <t>2026-06-30T00:19:44+05:30</t>
  </si>
  <si>
    <t>2026-06-30T00:19:47+05:30</t>
  </si>
  <si>
    <t>2026-06-30T01:20:00+05:30</t>
  </si>
  <si>
    <t>j2pm2x7shl6wywl@marketplace.amazon.in</t>
  </si>
  <si>
    <t>405-0120234-7384302</t>
  </si>
  <si>
    <t>TcTyZTQr4</t>
  </si>
  <si>
    <t>DJQLSsYkcs0GR</t>
  </si>
  <si>
    <t>2026-06-29T20:42:43+05:30</t>
  </si>
  <si>
    <t>2026-06-30T00:15:47+05:30</t>
  </si>
  <si>
    <t>2026-06-30T03:16:03+05:30</t>
  </si>
  <si>
    <t>9hyy550brgp9j3j@marketplace.amazon.in</t>
  </si>
  <si>
    <t>408-5977732-4783562</t>
  </si>
  <si>
    <t>TJ200LQN4</t>
  </si>
  <si>
    <t>DjH3S8Ytcb01R</t>
  </si>
  <si>
    <t>2026-06-29T21:37:19+05:30</t>
  </si>
  <si>
    <t>2026-06-30T00:14:15+05:30</t>
  </si>
  <si>
    <t>2026-06-30T03:14:31+05:30</t>
  </si>
  <si>
    <t>lgs5xl6p5y65wz8@marketplace.amazon.in</t>
  </si>
  <si>
    <t>406-6507214-7548316</t>
  </si>
  <si>
    <t>TCGVDSQH4</t>
  </si>
  <si>
    <t>DYQsSSYgcd0GR</t>
  </si>
  <si>
    <t>2026-06-29T17:50:25+05:30</t>
  </si>
  <si>
    <t>2026-06-30T00:13:44+05:30</t>
  </si>
  <si>
    <t>2026-06-30T03:14:00+05:30</t>
  </si>
  <si>
    <t>r0zbwcs2xw3q35b@marketplace.amazon.in</t>
  </si>
  <si>
    <t>402-9344612-3497159</t>
  </si>
  <si>
    <t>TwNxp2Qq4</t>
  </si>
  <si>
    <t>DZX96nYjcp0CR</t>
  </si>
  <si>
    <t>2026-06-29T22:08:53+05:30</t>
  </si>
  <si>
    <t>2026-06-30T00:09:45+05:30</t>
  </si>
  <si>
    <t>2026-06-30T03:09:56+05:30</t>
  </si>
  <si>
    <t>k80tv2fkxm2cqkh@marketplace.amazon.in</t>
  </si>
  <si>
    <t>405-0217004-8367517</t>
  </si>
  <si>
    <t>TC8RVhQ64</t>
  </si>
  <si>
    <t>D0HPSfYLcb01R</t>
  </si>
  <si>
    <t>2026-06-29T17:27:29+05:30</t>
  </si>
  <si>
    <t>2026-06-30T00:07:45+05:30</t>
  </si>
  <si>
    <t>2026-06-30T03:07:57+05:30</t>
  </si>
  <si>
    <t>3rddw9p57fr6d8y@marketplace.amazon.in</t>
  </si>
  <si>
    <t>SUNAM</t>
  </si>
  <si>
    <t>407-1357460-9269904</t>
  </si>
  <si>
    <t>T1YQfHzD4</t>
  </si>
  <si>
    <t>DP1D61YZcn0sR</t>
  </si>
  <si>
    <t>2026-06-28T20:40:09+05:30</t>
  </si>
  <si>
    <t>2026-06-30T00:06:50+05:30</t>
  </si>
  <si>
    <t>2026-06-30T03:07:06+05:30</t>
  </si>
  <si>
    <t>l052zd0qd0mt8z8@marketplace.amazon.in</t>
  </si>
  <si>
    <t>CHENGALPATTU.</t>
  </si>
  <si>
    <t>403-4513332-3413920</t>
  </si>
  <si>
    <t>TX0qRX9v4</t>
  </si>
  <si>
    <t>DZPlSbYQcw0kR</t>
  </si>
  <si>
    <t>2026-06-29T22:55:18+05:30</t>
  </si>
  <si>
    <t>2026-06-30T00:02:43+05:30</t>
  </si>
  <si>
    <t>2026-06-30T03:02:57+05:30</t>
  </si>
  <si>
    <t>9fz52vjzlx0d16r@marketplace.amazon.in</t>
  </si>
  <si>
    <t>403-4802353-4554742</t>
  </si>
  <si>
    <t>T36KYtQz4</t>
  </si>
  <si>
    <t>D7KbdGY1cQ06R</t>
  </si>
  <si>
    <t>2026-06-29T17:14:01+05:30</t>
  </si>
  <si>
    <t>2026-06-29T23:51:10+05:30</t>
  </si>
  <si>
    <t>2026-06-29T23:51:13+05:30</t>
  </si>
  <si>
    <t>2026-06-30T00:51:23+05:30</t>
  </si>
  <si>
    <t>c6k38nsgw9z3dh3@marketplace.amazon.in</t>
  </si>
  <si>
    <t>408-7196714-1088364</t>
  </si>
  <si>
    <t>TXkpqK6F4</t>
  </si>
  <si>
    <t>DbBpdcY4cJ0MR</t>
  </si>
  <si>
    <t>2026-06-29T13:51:39+05:30</t>
  </si>
  <si>
    <t>2026-06-29T23:42:46+05:30</t>
  </si>
  <si>
    <t>2026-06-30T02:43:05+05:30</t>
  </si>
  <si>
    <t>137ygy4k1hz20c6@marketplace.amazon.in</t>
  </si>
  <si>
    <t>405-2215760-2333121</t>
  </si>
  <si>
    <t>TCj9RlQw4</t>
  </si>
  <si>
    <t>DmQkd8Yrc40QR</t>
  </si>
  <si>
    <t>2026-06-29T15:13:05+05:30</t>
  </si>
  <si>
    <t>2026-06-29T23:42:44+05:30</t>
  </si>
  <si>
    <t>2026-06-30T02:42:56+05:30</t>
  </si>
  <si>
    <t>d4d3lmytjgp2fqc@marketplace.amazon.in</t>
  </si>
  <si>
    <t>404-3559866-5041902</t>
  </si>
  <si>
    <t>TwBgWxQ14</t>
  </si>
  <si>
    <t>DSYRdQYncM0YR</t>
  </si>
  <si>
    <t>2026-06-29T21:01:54+05:30</t>
  </si>
  <si>
    <t>2026-06-29T23:39:46+05:30</t>
  </si>
  <si>
    <t>2026-06-30T02:40:03+05:30</t>
  </si>
  <si>
    <t>6znjcr3zss6jpld@marketplace.amazon.in</t>
  </si>
  <si>
    <t>406-7132468-8253926</t>
  </si>
  <si>
    <t>TctpVRQJ4</t>
  </si>
  <si>
    <t>DNt0GnYvct0WR</t>
  </si>
  <si>
    <t>2026-06-29T17:27:37+05:30</t>
  </si>
  <si>
    <t>2026-06-29T23:25:49+05:30</t>
  </si>
  <si>
    <t>2026-06-30T02:26:04+05:30</t>
  </si>
  <si>
    <t>sc6fsz04sm86rhv@marketplace.amazon.in</t>
  </si>
  <si>
    <t>404-7126516-8508358</t>
  </si>
  <si>
    <t>TXZ2SRQZ4</t>
  </si>
  <si>
    <t>D9B3GBYMct0sR</t>
  </si>
  <si>
    <t>2026-06-29T20:34:20+05:30</t>
  </si>
  <si>
    <t>2026-06-29T23:25:46+05:30</t>
  </si>
  <si>
    <t>2026-06-30T02:26:00+05:30</t>
  </si>
  <si>
    <t>xlv74pg4fbt25lq@marketplace.amazon.in</t>
  </si>
  <si>
    <t>407-6366317-1253111</t>
  </si>
  <si>
    <t>TwX1kK9b4</t>
  </si>
  <si>
    <t>DqGGGlYvcG05R</t>
  </si>
  <si>
    <t>2026-06-29T22:27:42+05:30</t>
  </si>
  <si>
    <t>2026-06-29T23:21:41+05:30</t>
  </si>
  <si>
    <t>2026-06-29T23:21:45+05:30</t>
  </si>
  <si>
    <t>2026-06-30T00:21:58+05:30</t>
  </si>
  <si>
    <t>bw5w8jc7l3fkfzc@marketplace.amazon.in</t>
  </si>
  <si>
    <t>405-2308065-2581119</t>
  </si>
  <si>
    <t>TVXCQqQZ4</t>
  </si>
  <si>
    <t>D7GnGqYFcG05R</t>
  </si>
  <si>
    <t>2026-06-29T17:42:54+05:30</t>
  </si>
  <si>
    <t>2026-06-29T23:20:41+05:30</t>
  </si>
  <si>
    <t>2026-06-29T23:20:44+05:30</t>
  </si>
  <si>
    <t>2026-06-30T00:20:59+05:30</t>
  </si>
  <si>
    <t>kqwyvqfbw3rmyr1@marketplace.amazon.in</t>
  </si>
  <si>
    <t>408-6587918-6743505</t>
  </si>
  <si>
    <t>Tw3NKVQL4</t>
  </si>
  <si>
    <t>DbWBtKYdct0BR</t>
  </si>
  <si>
    <t>2026-06-29T20:21:34+05:30</t>
  </si>
  <si>
    <t>2026-06-29T23:11:49+05:30</t>
  </si>
  <si>
    <t>2026-06-30T02:12:07+05:30</t>
  </si>
  <si>
    <t>34ftct68rh02khx@marketplace.amazon.in</t>
  </si>
  <si>
    <t>171-0168019-5629124</t>
  </si>
  <si>
    <t>TC8wRrh04</t>
  </si>
  <si>
    <t>D215PlYYcv0qR</t>
  </si>
  <si>
    <t>2026-06-28T20:52:17+05:30</t>
  </si>
  <si>
    <t>2026-06-29T22:51:45+05:30</t>
  </si>
  <si>
    <t>2026-06-29T22:51:49+05:30</t>
  </si>
  <si>
    <t>2026-06-29T23:52:00+05:30</t>
  </si>
  <si>
    <t>2wd6xm80xltvbdh@marketplace.amazon.in</t>
  </si>
  <si>
    <t>404-9942035-0344337</t>
  </si>
  <si>
    <t>TckdWcQC4</t>
  </si>
  <si>
    <t>Dd7BPmYkcm0JR</t>
  </si>
  <si>
    <t>2026-06-29T21:01:47+05:30</t>
  </si>
  <si>
    <t>2026-06-29T22:47:42+05:30</t>
  </si>
  <si>
    <t>2026-06-30T01:47:53+05:30</t>
  </si>
  <si>
    <t>kfnk6dd0tnf1712@marketplace.amazon.in</t>
  </si>
  <si>
    <t>RAJPUR SONARPUR</t>
  </si>
  <si>
    <t>408-7942367-3165927</t>
  </si>
  <si>
    <t>T3qBsPQt4</t>
  </si>
  <si>
    <t>DkbBP3Ybc30TR</t>
  </si>
  <si>
    <t>2026-06-29T17:58:59+05:30</t>
  </si>
  <si>
    <t>2026-06-29T22:45:43+05:30</t>
  </si>
  <si>
    <t>2026-06-30T01:45:54+05:30</t>
  </si>
  <si>
    <t>n6qsn40zv1zz02q@marketplace.amazon.in</t>
  </si>
  <si>
    <t>171-9841673-0757956</t>
  </si>
  <si>
    <t>T33hLC6Y4</t>
  </si>
  <si>
    <t>Dy9xP4Yncq0JR</t>
  </si>
  <si>
    <t>2026-06-29T09:57:38+05:30</t>
  </si>
  <si>
    <t>2026-06-29T22:44:45+05:30</t>
  </si>
  <si>
    <t>2026-06-30T01:44:58+05:30</t>
  </si>
  <si>
    <t>twks23shxdzhfw5@marketplace.amazon.in</t>
  </si>
  <si>
    <t>405-0902202-3629953</t>
  </si>
  <si>
    <t>TVSH0TQX4</t>
  </si>
  <si>
    <t>DWXSTpYWcW0cR</t>
  </si>
  <si>
    <t>2026-06-29T19:26:41+05:30</t>
  </si>
  <si>
    <t>2026-06-29T22:39:59+05:30</t>
  </si>
  <si>
    <t>2026-06-30T01:40:32+05:30</t>
  </si>
  <si>
    <t>408-3444476-5253949</t>
  </si>
  <si>
    <t>Tn2T8wQL4</t>
  </si>
  <si>
    <t>D2MxT6YCcY0fR</t>
  </si>
  <si>
    <t>2026-06-29T20:53:52+05:30</t>
  </si>
  <si>
    <t>2026-06-29T22:37:42+05:30</t>
  </si>
  <si>
    <t>2026-06-30T01:37:52+05:30</t>
  </si>
  <si>
    <t>h6mbmykq3ddjwrt@marketplace.amazon.in</t>
  </si>
  <si>
    <t>406-0305511-4208313</t>
  </si>
  <si>
    <t>TVFLPBQv4</t>
  </si>
  <si>
    <t>DtG0TmYvc40mR</t>
  </si>
  <si>
    <t>2026-06-29T19:29:30+05:30</t>
  </si>
  <si>
    <t>2026-06-29T22:27:43+05:30</t>
  </si>
  <si>
    <t>2026-06-30T01:27:53+05:30</t>
  </si>
  <si>
    <t>pf3ryrkv2cn6txz@marketplace.amazon.in</t>
  </si>
  <si>
    <t>KORBA</t>
  </si>
  <si>
    <t>402-0562588-0476353</t>
  </si>
  <si>
    <t>TVnGld6f4</t>
  </si>
  <si>
    <t>DJcBTrYXc90jR</t>
  </si>
  <si>
    <t>2026-06-29T14:19:06+05:30</t>
  </si>
  <si>
    <t>2026-06-29T22:25:42+05:30</t>
  </si>
  <si>
    <t>2026-06-29T22:25:45+05:30</t>
  </si>
  <si>
    <t>2026-06-29T23:25:59+05:30</t>
  </si>
  <si>
    <t>5xl5mrwdk4dtsdt@marketplace.amazon.in</t>
  </si>
  <si>
    <t>406-9570090-5150700</t>
  </si>
  <si>
    <t>TgDxsnQt4</t>
  </si>
  <si>
    <t>DytBnCYqcl07R</t>
  </si>
  <si>
    <t>2026-06-29T17:33:29+05:30</t>
  </si>
  <si>
    <t>2026-06-29T22:16:42+05:30</t>
  </si>
  <si>
    <t>2026-06-30T01:16:53+05:30</t>
  </si>
  <si>
    <t>pp97mgspnx7c41m@marketplace.amazon.in</t>
  </si>
  <si>
    <t>407-2294596-6545131</t>
  </si>
  <si>
    <t>TJkntqQd4</t>
  </si>
  <si>
    <t>DDHFnYYFcr0LR</t>
  </si>
  <si>
    <t>2026-06-29T19:25:08+05:30</t>
  </si>
  <si>
    <t>2026-06-29T22:15:41+05:30</t>
  </si>
  <si>
    <t>2026-06-29T22:15:45+05:30</t>
  </si>
  <si>
    <t>2026-06-29T23:15:57+05:30</t>
  </si>
  <si>
    <t>xtmnmffbr2517mz@marketplace.amazon.in</t>
  </si>
  <si>
    <t>404-5973944-7851505</t>
  </si>
  <si>
    <t>TCnLj46N4</t>
  </si>
  <si>
    <t>D0nPnQYWcj0yR</t>
  </si>
  <si>
    <t>2026-06-29T14:18:30+05:30</t>
  </si>
  <si>
    <t>2026-06-29T22:01:44+05:30</t>
  </si>
  <si>
    <t>2026-06-29T22:01:47+05:30</t>
  </si>
  <si>
    <t>2026-06-29T23:01:58+05:30</t>
  </si>
  <si>
    <t>2sg0mbdyc090pym@marketplace.amazon.in</t>
  </si>
  <si>
    <t>404-6214507-7501947</t>
  </si>
  <si>
    <t>TnFtQyQb4</t>
  </si>
  <si>
    <t>Dk4NxDYpcJ0RR</t>
  </si>
  <si>
    <t>2026-06-29T16:41:34+05:30</t>
  </si>
  <si>
    <t>2026-06-29T22:01:42+05:30</t>
  </si>
  <si>
    <t>2026-06-30T01:01:53+05:30</t>
  </si>
  <si>
    <t>vt9fym80f6m6z8s@marketplace.amazon.in</t>
  </si>
  <si>
    <t>WARDHA</t>
  </si>
  <si>
    <t>406-0030602-9193961</t>
  </si>
  <si>
    <t>TwvqsgYM4</t>
  </si>
  <si>
    <t>DdDhx4YscC0NR</t>
  </si>
  <si>
    <t>2026-06-26T23:05:44+05:30</t>
  </si>
  <si>
    <t>2026-06-29T21:59:44+05:30</t>
  </si>
  <si>
    <t>2026-06-30T00:59:55+05:30</t>
  </si>
  <si>
    <t>240lmzywdktj2nb@marketplace.amazon.in</t>
  </si>
  <si>
    <t>402-0569640-5398762</t>
  </si>
  <si>
    <t>TgWgHrQ94</t>
  </si>
  <si>
    <t>D0kgxxYxcZ0jR</t>
  </si>
  <si>
    <t>2026-06-29T15:42:11+05:30</t>
  </si>
  <si>
    <t>2026-06-29T21:58:48+05:30</t>
  </si>
  <si>
    <t>2026-06-30T00:59:02+05:30</t>
  </si>
  <si>
    <t>z202mm8b0rbwx9x@marketplace.amazon.in</t>
  </si>
  <si>
    <t>404-8493161-3681918</t>
  </si>
  <si>
    <t>Tg54mN6F4</t>
  </si>
  <si>
    <t>DyL5x1YvcJ0SR</t>
  </si>
  <si>
    <t>2026-06-29T13:32:30+05:30</t>
  </si>
  <si>
    <t>2026-06-29T21:53:45+05:30</t>
  </si>
  <si>
    <t>2026-06-30T00:53:57+05:30</t>
  </si>
  <si>
    <t>57w721531d5plzw@marketplace.amazon.in</t>
  </si>
  <si>
    <t>405-0741956-7391557</t>
  </si>
  <si>
    <t>TJ3559Tl4</t>
  </si>
  <si>
    <t>DCPYxgYJcW0wR</t>
  </si>
  <si>
    <t>2026-06-28T14:09:28+05:30</t>
  </si>
  <si>
    <t>2026-06-29T21:47:48+05:30</t>
  </si>
  <si>
    <t>2026-06-30T00:47:59+05:30</t>
  </si>
  <si>
    <t>ppt155qkq385y7b@marketplace.amazon.in</t>
  </si>
  <si>
    <t>Mananthavady</t>
  </si>
  <si>
    <t>404-7472262-7125146</t>
  </si>
  <si>
    <t>T6SMpv6l4</t>
  </si>
  <si>
    <t>DmkD3KY0ct00R</t>
  </si>
  <si>
    <t>2026-06-29T14:05:33+05:30</t>
  </si>
  <si>
    <t>2026-06-29T21:43:46+05:30</t>
  </si>
  <si>
    <t>2026-06-30T00:43:58+05:30</t>
  </si>
  <si>
    <t>s4qn7sqwr8kw7fx@marketplace.amazon.in</t>
  </si>
  <si>
    <t>KARWI</t>
  </si>
  <si>
    <t>402-2195852-0441904</t>
  </si>
  <si>
    <t>TnSTZY654</t>
  </si>
  <si>
    <t>DKKJJnYdcZ0qR</t>
  </si>
  <si>
    <t>2026-06-29T14:17:51+05:30</t>
  </si>
  <si>
    <t>2026-06-29T21:35:45+05:30</t>
  </si>
  <si>
    <t>2026-06-30T00:35:57+05:30</t>
  </si>
  <si>
    <t>b9m763snp5d34mj@marketplace.amazon.in</t>
  </si>
  <si>
    <t>404-7065714-2553908</t>
  </si>
  <si>
    <t>TGj2866C4</t>
  </si>
  <si>
    <t>DbSTJLY4cF0CR</t>
  </si>
  <si>
    <t>2026-06-29T14:20:29+05:30</t>
  </si>
  <si>
    <t>2026-06-29T21:30:46+05:30</t>
  </si>
  <si>
    <t>2026-06-30T00:30:58+05:30</t>
  </si>
  <si>
    <t>6srchfmyh40xc1k@marketplace.amazon.in</t>
  </si>
  <si>
    <t>404-2214605-1737158</t>
  </si>
  <si>
    <t>T6xmDVQp4</t>
  </si>
  <si>
    <t>DFKHJ2Y2cZ0qR</t>
  </si>
  <si>
    <t>2026-06-29T18:00:01+05:30</t>
  </si>
  <si>
    <t>2026-06-29T21:28:45+05:30</t>
  </si>
  <si>
    <t>2026-06-30T00:28:53+05:30</t>
  </si>
  <si>
    <t>q43g1f25ms89w8b@marketplace.amazon.in</t>
  </si>
  <si>
    <t>402-8946924-3951549</t>
  </si>
  <si>
    <t>T1fFRqQm4</t>
  </si>
  <si>
    <t>D7MYJQYVc60ZR</t>
  </si>
  <si>
    <t>2026-06-29T15:29:28+05:30</t>
  </si>
  <si>
    <t>2026-06-29T21:27:46+05:30</t>
  </si>
  <si>
    <t>2026-06-30T00:28:00+05:30</t>
  </si>
  <si>
    <t>jg1r0p6mgxcfb9c@marketplace.amazon.in</t>
  </si>
  <si>
    <t>404-5318237-5874726</t>
  </si>
  <si>
    <t>TJDHbtQq4</t>
  </si>
  <si>
    <t>DqLrJ5Ysc40FR</t>
  </si>
  <si>
    <t>2026-06-29T15:47:18+05:30</t>
  </si>
  <si>
    <t>2026-06-29T21:18:45+05:30</t>
  </si>
  <si>
    <t>2026-06-29T21:18:50+05:30</t>
  </si>
  <si>
    <t>2026-06-29T22:19:10+05:30</t>
  </si>
  <si>
    <t>ckw8d3khzx9qg1j@marketplace.amazon.in</t>
  </si>
  <si>
    <t>406-5661071-3233900</t>
  </si>
  <si>
    <t>TJXfdN6F4</t>
  </si>
  <si>
    <t>DWT5J5Yvcj0wR</t>
  </si>
  <si>
    <t>2026-06-29T11:43:05+05:30</t>
  </si>
  <si>
    <t>2026-06-29T21:18:42+05:30</t>
  </si>
  <si>
    <t>2026-06-29T22:18:57+05:30</t>
  </si>
  <si>
    <t>ltpmy0pqqdpy8rj@marketplace.amazon.in</t>
  </si>
  <si>
    <t>404-7639248-6214735</t>
  </si>
  <si>
    <t>TNSZf0h94</t>
  </si>
  <si>
    <t>D2PwJ3Y5cH02R</t>
  </si>
  <si>
    <t>2026-06-29T04:10:32+05:30</t>
  </si>
  <si>
    <t>2026-06-29T21:17:42+05:30</t>
  </si>
  <si>
    <t>2026-06-29T21:17:46+05:30</t>
  </si>
  <si>
    <t>2026-06-29T22:17:57+05:30</t>
  </si>
  <si>
    <t>408-2739300-2780363</t>
  </si>
  <si>
    <t>TgdJ7wQP4</t>
  </si>
  <si>
    <t>DM50MDYgcc07R</t>
  </si>
  <si>
    <t>2026-06-29T18:46:18+05:30</t>
  </si>
  <si>
    <t>2026-06-29T21:08:42+05:30</t>
  </si>
  <si>
    <t>2026-06-30T00:08:56+05:30</t>
  </si>
  <si>
    <t>c4hjrzw367fq5j3@marketplace.amazon.in</t>
  </si>
  <si>
    <t>408-1687486-6220350</t>
  </si>
  <si>
    <t>TJyCgn6R4</t>
  </si>
  <si>
    <t>D4VVM6YmcZ0HR</t>
  </si>
  <si>
    <t>2026-06-29T14:43:21+05:30</t>
  </si>
  <si>
    <t>2026-06-29T21:05:42+05:30</t>
  </si>
  <si>
    <t>2026-06-30T00:05:54+05:30</t>
  </si>
  <si>
    <t>g6f1qns9wt7zb32@marketplace.amazon.in</t>
  </si>
  <si>
    <t>404-7519864-8638732</t>
  </si>
  <si>
    <t>T1kfdmTn4</t>
  </si>
  <si>
    <t>DY0hMCYLcH0lR</t>
  </si>
  <si>
    <t>2026-06-28T11:00:45+05:30</t>
  </si>
  <si>
    <t>2026-06-29T20:57:49+05:30</t>
  </si>
  <si>
    <t>2026-06-29T23:58:03+05:30</t>
  </si>
  <si>
    <t>7mgpc9zbb58s6kw@marketplace.amazon.in</t>
  </si>
  <si>
    <t>JINTUR</t>
  </si>
  <si>
    <t>403-7544388-7651535</t>
  </si>
  <si>
    <t>Tgs12NQ24</t>
  </si>
  <si>
    <t>Dqmf1MYXcP0tR</t>
  </si>
  <si>
    <t>2026-06-29T14:15:18+05:30</t>
  </si>
  <si>
    <t>2026-06-29T20:55:43+05:30</t>
  </si>
  <si>
    <t>2026-06-29T23:55:57+05:30</t>
  </si>
  <si>
    <t>qtf4xnv6sxmk6hr@marketplace.amazon.in</t>
  </si>
  <si>
    <t>403-2009371-7040357</t>
  </si>
  <si>
    <t>TJc5LpQP4</t>
  </si>
  <si>
    <t>DY6v15Ygcc0MR</t>
  </si>
  <si>
    <t>2026-06-29T18:02:28+05:30</t>
  </si>
  <si>
    <t>2026-06-29T20:50:44+05:30</t>
  </si>
  <si>
    <t>2026-06-29T20:50:47+05:30</t>
  </si>
  <si>
    <t>2026-06-29T21:50:59+05:30</t>
  </si>
  <si>
    <t>408-6919023-0717955</t>
  </si>
  <si>
    <t>TnJpzdhw4</t>
  </si>
  <si>
    <t>DCFT17Yvcg0TR</t>
  </si>
  <si>
    <t>2026-06-28T23:45:16+05:30</t>
  </si>
  <si>
    <t>2026-06-29T23:50:56+05:30</t>
  </si>
  <si>
    <t>nqxyv3hjkgzv00k@marketplace.amazon.in</t>
  </si>
  <si>
    <t>404-1002693-1557130</t>
  </si>
  <si>
    <t>TJSM3pQK4</t>
  </si>
  <si>
    <t>DXLq1gYlc20WR</t>
  </si>
  <si>
    <t>2026-06-29T18:09:21+05:30</t>
  </si>
  <si>
    <t>2026-06-29T20:48:44+05:30</t>
  </si>
  <si>
    <t>2026-06-29T23:48:56+05:30</t>
  </si>
  <si>
    <t>gpjfjpp4z7k13jr@marketplace.amazon.in</t>
  </si>
  <si>
    <t>405-9159625-5434741</t>
  </si>
  <si>
    <t>TCV9gl6T4</t>
  </si>
  <si>
    <t>D46j11YLcc0MR</t>
  </si>
  <si>
    <t>2026-06-29T14:24:13+05:30</t>
  </si>
  <si>
    <t>2026-06-29T20:43:54+05:30</t>
  </si>
  <si>
    <t>2026-06-29T23:44:08+05:30</t>
  </si>
  <si>
    <t>c5pbpw58n9bmq3n@marketplace.amazon.in</t>
  </si>
  <si>
    <t>171-0089532-8137931</t>
  </si>
  <si>
    <t>TVvCtr6b4</t>
  </si>
  <si>
    <t>DLxTrHYQcz0vR</t>
  </si>
  <si>
    <t>2026-06-29T13:00:17+05:30</t>
  </si>
  <si>
    <t>2026-06-29T20:21:46+05:30</t>
  </si>
  <si>
    <t>2026-06-29T23:21:58+05:30</t>
  </si>
  <si>
    <t>cn1k0v1k56q0dgv@marketplace.amazon.in</t>
  </si>
  <si>
    <t>403-3189065-1942762</t>
  </si>
  <si>
    <t>TngDMwhk4</t>
  </si>
  <si>
    <t>DdkK7cYxcp0QR</t>
  </si>
  <si>
    <t>2026-06-29T00:31:14+05:30</t>
  </si>
  <si>
    <t>2026-06-29T20:19:42+05:30</t>
  </si>
  <si>
    <t>2026-06-29T23:19:54+05:30</t>
  </si>
  <si>
    <t>hq1sllb6p03tvdh@marketplace.amazon.in</t>
  </si>
  <si>
    <t>171-7365083-5757967</t>
  </si>
  <si>
    <t>T1VH43Qn4</t>
  </si>
  <si>
    <t>D7ml7jYTcs0cR</t>
  </si>
  <si>
    <t>2026-06-29T16:54:36+05:30</t>
  </si>
  <si>
    <t>2026-06-29T20:17:46+05:30</t>
  </si>
  <si>
    <t>2026-06-29T20:17:50+05:30</t>
  </si>
  <si>
    <t>2026-06-29T21:18:03+05:30</t>
  </si>
  <si>
    <t>mq1yylm3gkkvj8q@marketplace.amazon.in</t>
  </si>
  <si>
    <t>404-7678881-5166729</t>
  </si>
  <si>
    <t>TnzDnDh64</t>
  </si>
  <si>
    <t>DfLM79YLcT0bR</t>
  </si>
  <si>
    <t>2026-06-29T17:38:43+05:30</t>
  </si>
  <si>
    <t>2026-06-29T20:10:42+05:30</t>
  </si>
  <si>
    <t>2026-06-29T20:10:45+05:30</t>
  </si>
  <si>
    <t>2026-06-29T21:10:56+05:30</t>
  </si>
  <si>
    <t>zzhl363jbxvvkm9@marketplace.amazon.in</t>
  </si>
  <si>
    <t>408-0346507-9274775</t>
  </si>
  <si>
    <t>T1LZ7hQK4</t>
  </si>
  <si>
    <t>DcL37jYqcf0NR</t>
  </si>
  <si>
    <t>2026-06-29T18:51:40+05:30</t>
  </si>
  <si>
    <t>2026-06-29T20:09:44+05:30</t>
  </si>
  <si>
    <t>2026-06-29T23:09:56+05:30</t>
  </si>
  <si>
    <t>dd3h975l2l66zg2@marketplace.amazon.in</t>
  </si>
  <si>
    <t>403-9402041-2113139</t>
  </si>
  <si>
    <t>Tnz7zZQq4</t>
  </si>
  <si>
    <t>Dqqy7xYycv0KR</t>
  </si>
  <si>
    <t>2026-06-29T18:05:26+05:30</t>
  </si>
  <si>
    <t>2026-06-29T20:04:46+05:30</t>
  </si>
  <si>
    <t>2026-06-29T23:04:58+05:30</t>
  </si>
  <si>
    <t>k17vmkmyvx49b2j@marketplace.amazon.in</t>
  </si>
  <si>
    <t>406-3843560-0485967</t>
  </si>
  <si>
    <t>T6l9ZpTF4</t>
  </si>
  <si>
    <t>DWzKLHY2cm0MR</t>
  </si>
  <si>
    <t>2026-06-28T13:11:58+05:30</t>
  </si>
  <si>
    <t>2026-06-29T19:58:50+05:30</t>
  </si>
  <si>
    <t>2026-06-29T22:59:02+05:30</t>
  </si>
  <si>
    <t>kswp7mbm25z4ngx@marketplace.amazon.in</t>
  </si>
  <si>
    <t>Nelamangala</t>
  </si>
  <si>
    <t>406-3335942-5579549</t>
  </si>
  <si>
    <t>Tnhb1phw4</t>
  </si>
  <si>
    <t>DB48s4YRcD0kR</t>
  </si>
  <si>
    <t>2026-06-29T01:11:54+05:30</t>
  </si>
  <si>
    <t>2026-06-29T19:44:43+05:30</t>
  </si>
  <si>
    <t>2026-06-29T19:44:47+05:30</t>
  </si>
  <si>
    <t>2026-06-29T20:44:57+05:30</t>
  </si>
  <si>
    <t>51hnw0mx0wrnjg7@marketplace.amazon.in</t>
  </si>
  <si>
    <t>alappuzha</t>
  </si>
  <si>
    <t>406-5455796-2574769</t>
  </si>
  <si>
    <t>T3hxMw6D4</t>
  </si>
  <si>
    <t>DB4PsfYgc80kR</t>
  </si>
  <si>
    <t>2026-06-29T12:20:56+05:30</t>
  </si>
  <si>
    <t>2026-06-29T19:42:48+05:30</t>
  </si>
  <si>
    <t>2026-06-29T22:43:02+05:30</t>
  </si>
  <si>
    <t>t71q8wzbxwq1m84@marketplace.amazon.in</t>
  </si>
  <si>
    <t>403-7319326-6533132</t>
  </si>
  <si>
    <t>Tw1SKD6F4</t>
  </si>
  <si>
    <t>DkdJsqYcc30KR</t>
  </si>
  <si>
    <t>2026-06-29T12:43:50+05:30</t>
  </si>
  <si>
    <t>2026-06-29T19:36:54+05:30</t>
  </si>
  <si>
    <t>2026-06-29T22:37:14+05:30</t>
  </si>
  <si>
    <t>67dd6bmjsrsfl05@marketplace.amazon.in</t>
  </si>
  <si>
    <t>Karimnagar</t>
  </si>
  <si>
    <t>406-2192374-9859550</t>
  </si>
  <si>
    <t>Tw6hV5QK4</t>
  </si>
  <si>
    <t>DBQXsxY6cB0jR</t>
  </si>
  <si>
    <t>2026-06-29T17:13:47+05:30</t>
  </si>
  <si>
    <t>2026-06-29T19:36:43+05:30</t>
  </si>
  <si>
    <t>2026-06-29T22:36:54+05:30</t>
  </si>
  <si>
    <t>1x3h2v5j909txk5@marketplace.amazon.in</t>
  </si>
  <si>
    <t>171-3832081-8432362</t>
  </si>
  <si>
    <t>TCc5TH684</t>
  </si>
  <si>
    <t>DZZQQWYlc80JR</t>
  </si>
  <si>
    <t>2026-06-29T11:14:27+05:30</t>
  </si>
  <si>
    <t>2026-06-29T19:22:44+05:30</t>
  </si>
  <si>
    <t>2026-06-29T22:22:57+05:30</t>
  </si>
  <si>
    <t>pys0qs8x06ypl85@marketplace.amazon.in</t>
  </si>
  <si>
    <t>407-9740785-1255539</t>
  </si>
  <si>
    <t>TcybrQ654</t>
  </si>
  <si>
    <t>DxNnvzYrcB0MR</t>
  </si>
  <si>
    <t>2026-06-29T10:29:20+05:30</t>
  </si>
  <si>
    <t>2026-06-29T19:00:46+05:30</t>
  </si>
  <si>
    <t>2026-06-29T22:00:58+05:30</t>
  </si>
  <si>
    <t>s7600wpj2sw6jr2@marketplace.amazon.in</t>
  </si>
  <si>
    <t>KOKRAJHAR</t>
  </si>
  <si>
    <t>171-3327302-8670745</t>
  </si>
  <si>
    <t>TJq3px6c4</t>
  </si>
  <si>
    <t>DHvSv3YVcR0TR</t>
  </si>
  <si>
    <t>2026-06-29T13:55:35+05:30</t>
  </si>
  <si>
    <t>2026-06-29T18:58:44+05:30</t>
  </si>
  <si>
    <t>2026-06-29T18:58:47+05:30</t>
  </si>
  <si>
    <t>2026-06-29T19:58:59+05:30</t>
  </si>
  <si>
    <t>tcbngvspk3h4vhj@marketplace.amazon.in</t>
  </si>
  <si>
    <t>171-0937067-0282766</t>
  </si>
  <si>
    <t>TwchBW6s4</t>
  </si>
  <si>
    <t>DGFnztYYcL0CR</t>
  </si>
  <si>
    <t>2026-06-29T09:21:05+05:30</t>
  </si>
  <si>
    <t>2026-06-29T18:34:46+05:30</t>
  </si>
  <si>
    <t>2026-06-29T21:34:59+05:30</t>
  </si>
  <si>
    <t>wnv2s703qmhdbfz@marketplace.amazon.in</t>
  </si>
  <si>
    <t>402-3016226-8685959</t>
  </si>
  <si>
    <t>TVBCJchj4</t>
  </si>
  <si>
    <t>Dm6BzdYfcp0LR</t>
  </si>
  <si>
    <t>2026-06-29T00:23:59+05:30</t>
  </si>
  <si>
    <t>2026-06-29T18:26:46+05:30</t>
  </si>
  <si>
    <t>2026-06-29T21:26:57+05:30</t>
  </si>
  <si>
    <t>44x315rmbsqwfbs@marketplace.amazon.in</t>
  </si>
  <si>
    <t>406-1282972-5031540</t>
  </si>
  <si>
    <t>TGGXn46L4</t>
  </si>
  <si>
    <t>DM7kVYYMcc0fR</t>
  </si>
  <si>
    <t>2026-06-29T07:35:02+05:30</t>
  </si>
  <si>
    <t>2026-06-29T18:13:44+05:30</t>
  </si>
  <si>
    <t>2026-06-29T21:13:55+05:30</t>
  </si>
  <si>
    <t>mz2smd6prk9wcrm@marketplace.amazon.in</t>
  </si>
  <si>
    <t>405-4313439-5256315</t>
  </si>
  <si>
    <t>TNTQHyQD4</t>
  </si>
  <si>
    <t>DRxyVBYLcJ0FR</t>
  </si>
  <si>
    <t>2026-06-29T16:17:08+05:30</t>
  </si>
  <si>
    <t>2026-06-29T18:12:40+05:30</t>
  </si>
  <si>
    <t>2026-06-29T21:12:58+05:30</t>
  </si>
  <si>
    <t>p27lmnj76fbqf0n@marketplace.amazon.in</t>
  </si>
  <si>
    <t>404-6883511-6987538</t>
  </si>
  <si>
    <t>T6gvqg624</t>
  </si>
  <si>
    <t>DnfDV0Ytcf0XR</t>
  </si>
  <si>
    <t>2026-06-29T14:29:15+05:30</t>
  </si>
  <si>
    <t>2026-06-29T18:11:47+05:30</t>
  </si>
  <si>
    <t>2026-06-29T21:12:02+05:30</t>
  </si>
  <si>
    <t>zyh4mwn63td71z7@marketplace.amazon.in</t>
  </si>
  <si>
    <t>Candolim</t>
  </si>
  <si>
    <t>402-5950683-7569142</t>
  </si>
  <si>
    <t>TgzzmH6b4</t>
  </si>
  <si>
    <t>Dn5s2tYpc60mR</t>
  </si>
  <si>
    <t>2026-06-29T11:47:45+05:30</t>
  </si>
  <si>
    <t>2026-06-29T18:07:46+05:30</t>
  </si>
  <si>
    <t>2026-06-29T18:07:50+05:30</t>
  </si>
  <si>
    <t>2026-06-29T19:08:07+05:30</t>
  </si>
  <si>
    <t>q6ng9rm9bttcfqf@marketplace.amazon.in</t>
  </si>
  <si>
    <t>407-6329780-6938726</t>
  </si>
  <si>
    <t>TwFJG76B4</t>
  </si>
  <si>
    <t>DkfvVTYBcf0XR</t>
  </si>
  <si>
    <t>2026-06-29T12:30:29+05:30</t>
  </si>
  <si>
    <t>2026-06-29T18:05:46+05:30</t>
  </si>
  <si>
    <t>2026-06-29T21:05:57+05:30</t>
  </si>
  <si>
    <t>83669vk3j2yqbnn@marketplace.amazon.in</t>
  </si>
  <si>
    <t>171-5653300-7819525</t>
  </si>
  <si>
    <t>TCjmpc6X4</t>
  </si>
  <si>
    <t>DK5P23YTc60mR</t>
  </si>
  <si>
    <t>2026-06-29T13:45:36+05:30</t>
  </si>
  <si>
    <t>2026-06-29T18:04:47+05:30</t>
  </si>
  <si>
    <t>2026-06-29T21:05:05+05:30</t>
  </si>
  <si>
    <t>wtsjs3wl6xzkwxx@marketplace.amazon.in</t>
  </si>
  <si>
    <t>408-2890716-8797942</t>
  </si>
  <si>
    <t>T1hmZr6v4</t>
  </si>
  <si>
    <t>DhTY2gYdcZ0pR</t>
  </si>
  <si>
    <t>2026-06-29T14:30:40+05:30</t>
  </si>
  <si>
    <t>2026-06-29T17:54:42+05:30</t>
  </si>
  <si>
    <t>2026-06-29T17:54:44+05:30</t>
  </si>
  <si>
    <t>2026-06-29T18:54:55+05:30</t>
  </si>
  <si>
    <t>vyc70f0v8xgnjtr@marketplace.amazon.in</t>
  </si>
  <si>
    <t>Kottakal</t>
  </si>
  <si>
    <t>408-5188341-6966715</t>
  </si>
  <si>
    <t>TV56wqQ74</t>
  </si>
  <si>
    <t>Dp8lFYYDcB0hR</t>
  </si>
  <si>
    <t>2026-06-29T16:12:07+05:30</t>
  </si>
  <si>
    <t>2026-06-29T17:46:42+05:30</t>
  </si>
  <si>
    <t>2026-06-29T20:46:54+05:30</t>
  </si>
  <si>
    <t>408-1885878-7098730</t>
  </si>
  <si>
    <t>TVwHB0Qs4</t>
  </si>
  <si>
    <t>DJLJFjYbcX0kR</t>
  </si>
  <si>
    <t>2026-06-29T15:57:29+05:30</t>
  </si>
  <si>
    <t>2026-06-29T17:33:42+05:30</t>
  </si>
  <si>
    <t>2026-06-29T20:33:56+05:30</t>
  </si>
  <si>
    <t>547qx83tvvdk9pd@marketplace.amazon.in</t>
  </si>
  <si>
    <t>405-8264108-7406706</t>
  </si>
  <si>
    <t>TJV8sJ6C4</t>
  </si>
  <si>
    <t>DwShDSYscV0xR</t>
  </si>
  <si>
    <t>2026-06-29T09:46:19+05:30</t>
  </si>
  <si>
    <t>2026-06-29T17:30:44+05:30</t>
  </si>
  <si>
    <t>2026-06-29T20:30:56+05:30</t>
  </si>
  <si>
    <t>rfx84zxjnn3snf1@marketplace.amazon.in</t>
  </si>
  <si>
    <t>171-1935283-1429959</t>
  </si>
  <si>
    <t>TwrNxz634</t>
  </si>
  <si>
    <t>DchvD9Y1cQ0HR</t>
  </si>
  <si>
    <t>2026-06-29T11:59:57+05:30</t>
  </si>
  <si>
    <t>2026-06-29T17:19:54+05:30</t>
  </si>
  <si>
    <t>2026-06-29T20:20:06+05:30</t>
  </si>
  <si>
    <t>4j8xhx1yhmr1jtt@marketplace.amazon.in</t>
  </si>
  <si>
    <t>SIVAGANGA</t>
  </si>
  <si>
    <t>402-6294829-0357156</t>
  </si>
  <si>
    <t>T125cthW4</t>
  </si>
  <si>
    <t>DKV5Y6YycP0TR</t>
  </si>
  <si>
    <t>2026-06-28T23:37:37+05:30</t>
  </si>
  <si>
    <t>2026-06-29T17:03:52+05:30</t>
  </si>
  <si>
    <t>2026-06-29T20:04:10+05:30</t>
  </si>
  <si>
    <t>r6xglxjzwypzjy0@marketplace.amazon.in</t>
  </si>
  <si>
    <t>407-7799842-3944334</t>
  </si>
  <si>
    <t>T1t3Js684</t>
  </si>
  <si>
    <t>DJppyRYDcl05R</t>
  </si>
  <si>
    <t>2026-06-29T10:39:46+05:30</t>
  </si>
  <si>
    <t>2026-06-29T16:43:43+05:30</t>
  </si>
  <si>
    <t>2026-06-29T16:43:46+05:30</t>
  </si>
  <si>
    <t>2026-06-29T17:44:01+05:30</t>
  </si>
  <si>
    <t>8572fbtbhrr29br@marketplace.amazon.in</t>
  </si>
  <si>
    <t>406-8241699-5589942</t>
  </si>
  <si>
    <t>TNrfxPz94</t>
  </si>
  <si>
    <t>DcMswrYkc002R</t>
  </si>
  <si>
    <t>2026-06-28T17:11:06+05:30</t>
  </si>
  <si>
    <t>2026-06-29T16:31:45+05:30</t>
  </si>
  <si>
    <t>2026-06-29T16:31:50+05:30</t>
  </si>
  <si>
    <t>2026-06-29T17:32:01+05:30</t>
  </si>
  <si>
    <t>d3krc7zhw3jvljk@marketplace.amazon.in</t>
  </si>
  <si>
    <t>sarwar</t>
  </si>
  <si>
    <t>AM005165179IN</t>
  </si>
  <si>
    <t>404-7221374-6681926</t>
  </si>
  <si>
    <t>TVcLGR6X4</t>
  </si>
  <si>
    <t>DZgNBXYZcn0bR</t>
  </si>
  <si>
    <t>2026-06-29T13:22:00+05:30</t>
  </si>
  <si>
    <t>2026-06-29T16:17:45+05:30</t>
  </si>
  <si>
    <t>2026-06-29T19:17:57+05:30</t>
  </si>
  <si>
    <t>48yglx16q8rslwg@marketplace.amazon.in</t>
  </si>
  <si>
    <t>408-3570183-2158737</t>
  </si>
  <si>
    <t>T3K7Kw644</t>
  </si>
  <si>
    <t>DPcJBQYRcV0qR</t>
  </si>
  <si>
    <t>2026-06-29T13:03:55+05:30</t>
  </si>
  <si>
    <t>2026-06-29T16:07:56+05:30</t>
  </si>
  <si>
    <t>2026-06-29T19:08:16+05:30</t>
  </si>
  <si>
    <t>dnfnqg83tqxjydp@marketplace.amazon.in</t>
  </si>
  <si>
    <t>ATHUR THOOTHUKKUDI DISTRICT</t>
  </si>
  <si>
    <t>403-8167330-9821122</t>
  </si>
  <si>
    <t>TgJgzn6Z4</t>
  </si>
  <si>
    <t>DGf5BhYWcc0PR</t>
  </si>
  <si>
    <t>2026-06-29T09:12:34+05:30</t>
  </si>
  <si>
    <t>2026-06-29T16:07:55+05:30</t>
  </si>
  <si>
    <t>hpvj5fx2pxtfgdq@marketplace.amazon.in</t>
  </si>
  <si>
    <t>402-1684891-5320331</t>
  </si>
  <si>
    <t>T6QrVz6S4</t>
  </si>
  <si>
    <t>DmRvBcYfcH0mR</t>
  </si>
  <si>
    <t>2026-06-29T07:41:46+05:30</t>
  </si>
  <si>
    <t>2026-06-29T16:07:47+05:30</t>
  </si>
  <si>
    <t>2026-06-29T19:07:58+05:30</t>
  </si>
  <si>
    <t>v8t0m25d1plhsdl@marketplace.amazon.in</t>
  </si>
  <si>
    <t>403-5901682-4298726</t>
  </si>
  <si>
    <t>Tc3bGJ6t4</t>
  </si>
  <si>
    <t>DKfHBDYncc0PR</t>
  </si>
  <si>
    <t>2026-06-29T11:49:46+05:30</t>
  </si>
  <si>
    <t>2026-06-29T16:05:44+05:30</t>
  </si>
  <si>
    <t>2026-06-29T19:05:55+05:30</t>
  </si>
  <si>
    <t>5hdl2j4hk69dtnq@marketplace.amazon.in</t>
  </si>
  <si>
    <t>BHANJANAGAR</t>
  </si>
  <si>
    <t>403-5846550-7179501</t>
  </si>
  <si>
    <t>T6PWjyhL4</t>
  </si>
  <si>
    <t>DMQQ4cYPcm0tR</t>
  </si>
  <si>
    <t>2026-06-29T05:59:45+05:30</t>
  </si>
  <si>
    <t>2026-06-29T15:44:47+05:30</t>
  </si>
  <si>
    <t>2026-06-29T18:44:58+05:30</t>
  </si>
  <si>
    <t>ncq5n1nb5359rs0@marketplace.amazon.in</t>
  </si>
  <si>
    <t>402-0788465-0557155</t>
  </si>
  <si>
    <t>TCqGVc6v4</t>
  </si>
  <si>
    <t>D9FG4cYZcF0nR</t>
  </si>
  <si>
    <t>2026-06-29T09:04:00+05:30</t>
  </si>
  <si>
    <t>2026-06-29T15:41:44+05:30</t>
  </si>
  <si>
    <t>2026-06-29T18:41:56+05:30</t>
  </si>
  <si>
    <t>0dycclw6tv8n3yj@marketplace.amazon.in</t>
  </si>
  <si>
    <t>405-1492835-3055565</t>
  </si>
  <si>
    <t>TwxtPbzY4</t>
  </si>
  <si>
    <t>D4rF4TY2c50GR</t>
  </si>
  <si>
    <t>2026-06-28T17:41:10+05:30</t>
  </si>
  <si>
    <t>2026-06-29T15:34:55+05:30</t>
  </si>
  <si>
    <t>2026-06-29T18:38:40+05:30</t>
  </si>
  <si>
    <t>y7kmzhmzjdpy234@marketplace.amazon.in</t>
  </si>
  <si>
    <t>403-3499366-9913908</t>
  </si>
  <si>
    <t>TV70LkhN4</t>
  </si>
  <si>
    <t>DtjYHFYMcd0FR</t>
  </si>
  <si>
    <t>2026-06-28T23:33:14+05:30</t>
  </si>
  <si>
    <t>2026-06-29T15:30:49+05:30</t>
  </si>
  <si>
    <t>2026-06-29T18:31:00+05:30</t>
  </si>
  <si>
    <t>fby6947y413bs3r@marketplace.amazon.in</t>
  </si>
  <si>
    <t>403-1672564-2311521</t>
  </si>
  <si>
    <t>TgNydj6j4</t>
  </si>
  <si>
    <t>DJ49bsYKcL0tR</t>
  </si>
  <si>
    <t>2026-06-29T12:55:16+05:30</t>
  </si>
  <si>
    <t>2026-06-29T15:11:46+05:30</t>
  </si>
  <si>
    <t>2026-06-29T18:11:59+05:30</t>
  </si>
  <si>
    <t>d683gjsjd7y5q9y@marketplace.amazon.in</t>
  </si>
  <si>
    <t>405-6104027-4781144</t>
  </si>
  <si>
    <t>TJ9Fmk694</t>
  </si>
  <si>
    <t>DH6qb1Yncq03R</t>
  </si>
  <si>
    <t>2026-06-29T13:19:19+05:30</t>
  </si>
  <si>
    <t>2026-06-29T15:09:44+05:30</t>
  </si>
  <si>
    <t>2026-06-29T18:10:01+05:30</t>
  </si>
  <si>
    <t>fjqbyp4pc8kygtk@marketplace.amazon.in</t>
  </si>
  <si>
    <t>2026-06-29T20:00:00+05:30</t>
  </si>
  <si>
    <t>405-8348534-9177115</t>
  </si>
  <si>
    <t>TwHcqxhf4</t>
  </si>
  <si>
    <t>Dnh4byYscZ0rR</t>
  </si>
  <si>
    <t>2026-06-29T03:29:11+05:30</t>
  </si>
  <si>
    <t>2026-06-29T15:00:51+05:30</t>
  </si>
  <si>
    <t>2026-06-29T18:01:03+05:30</t>
  </si>
  <si>
    <t>0ll3p269ffpkx7b@marketplace.amazon.in</t>
  </si>
  <si>
    <t>KASARAGOD</t>
  </si>
  <si>
    <t>405-6995540-6571563</t>
  </si>
  <si>
    <t>TX2Bd16b4</t>
  </si>
  <si>
    <t>D065b3Y4cq03R</t>
  </si>
  <si>
    <t>2026-06-29T12:05:41+05:30</t>
  </si>
  <si>
    <t>2026-06-29T15:00:42+05:30</t>
  </si>
  <si>
    <t>2026-06-29T15:00:45+05:30</t>
  </si>
  <si>
    <t>2026-06-29T16:00:57+05:30</t>
  </si>
  <si>
    <t>rxq86p8f0nbvvg4@marketplace.amazon.in</t>
  </si>
  <si>
    <t>406-1784382-5365904</t>
  </si>
  <si>
    <t>T3qNSW6K4</t>
  </si>
  <si>
    <t>DTxKbZYjcd0KR</t>
  </si>
  <si>
    <t>2026-06-28T22:48:49+05:30</t>
  </si>
  <si>
    <t>2026-06-29T14:54:46+05:30</t>
  </si>
  <si>
    <t>2026-06-29T17:55:02+05:30</t>
  </si>
  <si>
    <t>9tfwwkj5kvb6z3t@marketplace.amazon.in</t>
  </si>
  <si>
    <t>402-4439932-1787555</t>
  </si>
  <si>
    <t>TG1Dsg6N4</t>
  </si>
  <si>
    <t>DSCMkGY2cj01R</t>
  </si>
  <si>
    <t>2026-06-29T10:19:48+05:30</t>
  </si>
  <si>
    <t>2026-06-29T14:45:46+05:30</t>
  </si>
  <si>
    <t>2026-06-29T17:45:59+05:30</t>
  </si>
  <si>
    <t>7mzhw5v9css13d7@marketplace.amazon.in</t>
  </si>
  <si>
    <t>KODAIKANAL</t>
  </si>
  <si>
    <t>DlCLk2Y0cQ0kR</t>
  </si>
  <si>
    <t>DRCNk2Y0cQ0kR</t>
  </si>
  <si>
    <t>DyCdkVY0cQ0kR</t>
  </si>
  <si>
    <t>2026-06-29T17:45:58+05:30</t>
  </si>
  <si>
    <t>DMCVkVY0cQ0kR</t>
  </si>
  <si>
    <t>404-9694025-2587546</t>
  </si>
  <si>
    <t>TXlc6Mhf4</t>
  </si>
  <si>
    <t>Dqg4NxYrck0pR</t>
  </si>
  <si>
    <t>2026-06-29T00:45:31+05:30</t>
  </si>
  <si>
    <t>2026-06-29T14:34:42+05:30</t>
  </si>
  <si>
    <t>2026-06-29T17:34:53+05:30</t>
  </si>
  <si>
    <t>0k77w6nsgzs7503@marketplace.amazon.in</t>
  </si>
  <si>
    <t>403-8442793-9333931</t>
  </si>
  <si>
    <t>Tcb2Q96v4</t>
  </si>
  <si>
    <t>D1TKNmYqcv0vR</t>
  </si>
  <si>
    <t>2026-06-29T09:08:54+05:30</t>
  </si>
  <si>
    <t>2026-06-29T14:24:48+05:30</t>
  </si>
  <si>
    <t>2026-06-29T17:24:59+05:30</t>
  </si>
  <si>
    <t>jpx7jbhr0gj2k46@marketplace.amazon.in</t>
  </si>
  <si>
    <t>171-5566330-5093160</t>
  </si>
  <si>
    <t>TcxzW66l4</t>
  </si>
  <si>
    <t>DtnzNKY7cD07R</t>
  </si>
  <si>
    <t>2026-06-29T08:10:20+05:30</t>
  </si>
  <si>
    <t>2026-06-29T14:22:46+05:30</t>
  </si>
  <si>
    <t>2026-06-29T17:22:58+05:30</t>
  </si>
  <si>
    <t>4ss215ss2z0yyq6@marketplace.amazon.in</t>
  </si>
  <si>
    <t>405-0251557-1264344</t>
  </si>
  <si>
    <t>TNW92h6Z4</t>
  </si>
  <si>
    <t>DjKTf0C3cl0vR</t>
  </si>
  <si>
    <t>2026-06-29T07:18:00+05:30</t>
  </si>
  <si>
    <t>2026-06-29T13:44:43+05:30</t>
  </si>
  <si>
    <t>2026-06-29T16:44:55+05:30</t>
  </si>
  <si>
    <t>x3bw3hwcgpwpp55@marketplace.amazon.in</t>
  </si>
  <si>
    <t>171-4213884-7710747</t>
  </si>
  <si>
    <t>TNdLTq6l4</t>
  </si>
  <si>
    <t>DDB4jwCScp0yR</t>
  </si>
  <si>
    <t>2026-06-29T11:15:39+05:30</t>
  </si>
  <si>
    <t>2026-06-29T13:26:44+05:30</t>
  </si>
  <si>
    <t>2026-06-29T16:26:56+05:30</t>
  </si>
  <si>
    <t>9bhcgcqv3txrppl@marketplace.amazon.in</t>
  </si>
  <si>
    <t>171-6581859-5880307</t>
  </si>
  <si>
    <t>T3nKLkhR4</t>
  </si>
  <si>
    <t>Dvwmj4CFcS05R</t>
  </si>
  <si>
    <t>2026-06-28T23:29:09+05:30</t>
  </si>
  <si>
    <t>2026-06-29T13:20:48+05:30</t>
  </si>
  <si>
    <t>2026-06-29T16:21:01+05:30</t>
  </si>
  <si>
    <t>5fr6bq8r7p6kb06@marketplace.amazon.in</t>
  </si>
  <si>
    <t>MEGHNAGAR</t>
  </si>
  <si>
    <t>D7wsj4CFcS05R</t>
  </si>
  <si>
    <t>408-8309248-9661129</t>
  </si>
  <si>
    <t>TgQg9Z6f4</t>
  </si>
  <si>
    <t>DjPVqSC6c10wR</t>
  </si>
  <si>
    <t>2026-06-29T07:55:14+05:30</t>
  </si>
  <si>
    <t>2026-06-29T12:44:46+05:30</t>
  </si>
  <si>
    <t>2026-06-29T15:44:57+05:30</t>
  </si>
  <si>
    <t>lfd1qvkkbrmtlzn@marketplace.amazon.in</t>
  </si>
  <si>
    <t>405-8543210-8181158</t>
  </si>
  <si>
    <t>TCRH3mzj4</t>
  </si>
  <si>
    <t>DDpwqCC6c90jR</t>
  </si>
  <si>
    <t>2026-06-28T16:46:32+05:30</t>
  </si>
  <si>
    <t>2026-06-29T12:40:46+05:30</t>
  </si>
  <si>
    <t>2026-06-29T15:40:59+05:30</t>
  </si>
  <si>
    <t>jcdgd3scgk1mvst@marketplace.amazon.in</t>
  </si>
  <si>
    <t>405-2844965-9404335</t>
  </si>
  <si>
    <t>TCX3Yt6P4</t>
  </si>
  <si>
    <t>DJNn55CkcL0cR</t>
  </si>
  <si>
    <t>2026-06-29T10:14:51+05:30</t>
  </si>
  <si>
    <t>2026-06-29T12:34:43+05:30</t>
  </si>
  <si>
    <t>2026-06-29T12:34:47+05:30</t>
  </si>
  <si>
    <t>2026-06-29T13:35:00+05:30</t>
  </si>
  <si>
    <t>dvsvwv18jzqdx5r@marketplace.amazon.in</t>
  </si>
  <si>
    <t>171-7774613-4997962</t>
  </si>
  <si>
    <t>TwTlr06c4</t>
  </si>
  <si>
    <t>DpKm81CNcQ0qR</t>
  </si>
  <si>
    <t>2026-06-29T10:20:54+05:30</t>
  </si>
  <si>
    <t>2026-06-29T12:08:42+05:30</t>
  </si>
  <si>
    <t>2026-06-29T15:08:53+05:30</t>
  </si>
  <si>
    <t>6520jwl8kzhpmd3@marketplace.amazon.in</t>
  </si>
  <si>
    <t>TALLADA</t>
  </si>
  <si>
    <t>406-4678487-2478749</t>
  </si>
  <si>
    <t>TN2vQL6t4</t>
  </si>
  <si>
    <t>DqVB8KC2cr0rR</t>
  </si>
  <si>
    <t>2026-06-29T09:17:28+05:30</t>
  </si>
  <si>
    <t>2026-06-29T11:56:41+05:30</t>
  </si>
  <si>
    <t>2026-06-29T11:56:45+05:30</t>
  </si>
  <si>
    <t>2026-06-29T12:56:56+05:30</t>
  </si>
  <si>
    <t>402-3270129-0929155</t>
  </si>
  <si>
    <t>TctcjQhS4</t>
  </si>
  <si>
    <t>DS8dX9C5cQ0cR</t>
  </si>
  <si>
    <t>2026-06-29T03:53:44+05:30</t>
  </si>
  <si>
    <t>2026-06-29T11:45:44+05:30</t>
  </si>
  <si>
    <t>2026-06-29T14:45:57+05:30</t>
  </si>
  <si>
    <t>nr393q28lfjbmp3@marketplace.amazon.in</t>
  </si>
  <si>
    <t>JANJGIR</t>
  </si>
  <si>
    <t>171-4420565-5704317</t>
  </si>
  <si>
    <t>TXfzcD6x4</t>
  </si>
  <si>
    <t>D7WqXxCncn06R</t>
  </si>
  <si>
    <t>2026-06-29T08:48:52+05:30</t>
  </si>
  <si>
    <t>2026-06-29T11:43:55+05:30</t>
  </si>
  <si>
    <t>2026-06-29T14:44:09+05:30</t>
  </si>
  <si>
    <t>m79k9dx55bdbgsg@marketplace.amazon.in</t>
  </si>
  <si>
    <t>402-1692889-9459568</t>
  </si>
  <si>
    <t>TGWJkH6f4</t>
  </si>
  <si>
    <t>Dq1NCrCzcg0mR</t>
  </si>
  <si>
    <t>2026-06-29T07:28:18+05:30</t>
  </si>
  <si>
    <t>2026-06-29T11:29:43+05:30</t>
  </si>
  <si>
    <t>2026-06-29T14:29:54+05:30</t>
  </si>
  <si>
    <t>bk18cfbbygbnczj@marketplace.amazon.in</t>
  </si>
  <si>
    <t>Berhampore</t>
  </si>
  <si>
    <t>403-0025626-9390753</t>
  </si>
  <si>
    <t>TnK1s96n4</t>
  </si>
  <si>
    <t>DvQ4CRCMcQ00R</t>
  </si>
  <si>
    <t>2026-06-29T10:00:17+05:30</t>
  </si>
  <si>
    <t>2026-06-29T11:26:40+05:30</t>
  </si>
  <si>
    <t>2026-06-29T11:26:43+05:30</t>
  </si>
  <si>
    <t>2026-06-29T12:26:53+05:30</t>
  </si>
  <si>
    <t>nb34tp78qqrsf54@marketplace.amazon.in</t>
  </si>
  <si>
    <t>403-9176859-5737959</t>
  </si>
  <si>
    <t>TGHzYjh74</t>
  </si>
  <si>
    <t>DWl4CXCHc00cR</t>
  </si>
  <si>
    <t>2026-06-28T23:22:37+05:30</t>
  </si>
  <si>
    <t>2026-06-29T11:18:44+05:30</t>
  </si>
  <si>
    <t>2026-06-29T11:18:47+05:30</t>
  </si>
  <si>
    <t>2026-06-29T12:18:58+05:30</t>
  </si>
  <si>
    <t>408-3683493-0437145</t>
  </si>
  <si>
    <t>T6tMVKhW4</t>
  </si>
  <si>
    <t>D6LRCzCQcm0SR</t>
  </si>
  <si>
    <t>2026-06-28T23:11:47+05:30</t>
  </si>
  <si>
    <t>2026-06-29T11:14:45+05:30</t>
  </si>
  <si>
    <t>2026-06-29T14:14:56+05:30</t>
  </si>
  <si>
    <t>d962fgg2h51jlx4@marketplace.amazon.in</t>
  </si>
  <si>
    <t>171-6188541-7665158</t>
  </si>
  <si>
    <t>TwLdSXh54</t>
  </si>
  <si>
    <t>D45RptCHcb0KR</t>
  </si>
  <si>
    <t>2026-06-28T23:07:53+05:30</t>
  </si>
  <si>
    <t>2026-06-29T11:11:49+05:30</t>
  </si>
  <si>
    <t>2026-06-29T14:12:08+05:30</t>
  </si>
  <si>
    <t>d9r19x563yb66kt@marketplace.amazon.in</t>
  </si>
  <si>
    <t>Kothamangalam</t>
  </si>
  <si>
    <t>171-0874668-4254734</t>
  </si>
  <si>
    <t>TNWfFQhZ4</t>
  </si>
  <si>
    <t>DTSppsCfct02R</t>
  </si>
  <si>
    <t>2026-06-28T23:07:38+05:30</t>
  </si>
  <si>
    <t>2026-06-29T11:09:43+05:30</t>
  </si>
  <si>
    <t>2026-06-29T14:09:54+05:30</t>
  </si>
  <si>
    <t>vz8mg2zf9fkkj94@marketplace.amazon.in</t>
  </si>
  <si>
    <t>403-1052317-6365126</t>
  </si>
  <si>
    <t>TgKyj2zL4</t>
  </si>
  <si>
    <t>D5Blp4Cmcw0MR</t>
  </si>
  <si>
    <t>2026-06-28T20:27:46+05:30</t>
  </si>
  <si>
    <t>2026-06-29T11:04:47+05:30</t>
  </si>
  <si>
    <t>2026-06-29T14:05:00+05:30</t>
  </si>
  <si>
    <t>c1mvp8cnc5fly6y@marketplace.amazon.in</t>
  </si>
  <si>
    <t>403-7514203-5169137</t>
  </si>
  <si>
    <t>TCy6y6hX4</t>
  </si>
  <si>
    <t>DJGBpzCtcv07R</t>
  </si>
  <si>
    <t>2026-06-28T21:55:20+05:30</t>
  </si>
  <si>
    <t>2026-06-29T11:00:51+05:30</t>
  </si>
  <si>
    <t>2026-06-29T14:01:21+05:30</t>
  </si>
  <si>
    <t>26ywvpjfpplw8cv@marketplace.amazon.in</t>
  </si>
  <si>
    <t>406-2503866-3822754</t>
  </si>
  <si>
    <t>TGXpj4TQ4</t>
  </si>
  <si>
    <t>DvDdWjC7cG0SR</t>
  </si>
  <si>
    <t>2026-06-28T12:41:43+05:30</t>
  </si>
  <si>
    <t>2026-06-29T10:51:57+05:30</t>
  </si>
  <si>
    <t>2026-06-29T13:52:16+05:30</t>
  </si>
  <si>
    <t>z7crdll2lcv057v@marketplace.amazon.in</t>
  </si>
  <si>
    <t>PARUTHUMPARA</t>
  </si>
  <si>
    <t>406-2658057-2351548</t>
  </si>
  <si>
    <t>T1cVvSh94</t>
  </si>
  <si>
    <t>DPB1WjCxcy0GR</t>
  </si>
  <si>
    <t>2026-06-28T23:19:10+05:30</t>
  </si>
  <si>
    <t>2026-06-29T10:46:46+05:30</t>
  </si>
  <si>
    <t>2026-06-29T13:46:59+05:30</t>
  </si>
  <si>
    <t>25bdqnn6d4p3df9@marketplace.amazon.in</t>
  </si>
  <si>
    <t>DzBHW8CJcy0GR</t>
  </si>
  <si>
    <t>405-7297433-7661959</t>
  </si>
  <si>
    <t>T66wzt6B4</t>
  </si>
  <si>
    <t>DJPnW2CmcN0vR</t>
  </si>
  <si>
    <t>2026-06-29T09:08:19+05:30</t>
  </si>
  <si>
    <t>2026-06-29T10:41:43+05:30</t>
  </si>
  <si>
    <t>2026-06-29T13:41:55+05:30</t>
  </si>
  <si>
    <t>ydd71152zp242qp@marketplace.amazon.in</t>
  </si>
  <si>
    <t>VARCA, SOUTH GOA.</t>
  </si>
  <si>
    <t>408-2636810-3289142</t>
  </si>
  <si>
    <t>TVYwHYhH4</t>
  </si>
  <si>
    <t>Dr9mKQC9cm0WR</t>
  </si>
  <si>
    <t>2026-06-28T22:15:07+05:30</t>
  </si>
  <si>
    <t>2026-06-29T10:30:40+05:30</t>
  </si>
  <si>
    <t>2026-06-29T10:30:43+05:30</t>
  </si>
  <si>
    <t>2026-06-29T11:30:56+05:30</t>
  </si>
  <si>
    <t>v0m9r34f5f01qbp@marketplace.amazon.in</t>
  </si>
  <si>
    <t>Serampore</t>
  </si>
  <si>
    <t>403-8384076-5501923</t>
  </si>
  <si>
    <t>TXbJ9M6b4</t>
  </si>
  <si>
    <t>DhYQKgC5cD0GR</t>
  </si>
  <si>
    <t>2026-06-29T08:02:10+05:30</t>
  </si>
  <si>
    <t>2026-06-29T10:27:44+05:30</t>
  </si>
  <si>
    <t>2026-06-29T13:27:59+05:30</t>
  </si>
  <si>
    <t>t3cn69l1sbczx13@marketplace.amazon.in</t>
  </si>
  <si>
    <t>404-0157591-2321136</t>
  </si>
  <si>
    <t>TgjyVj6K4</t>
  </si>
  <si>
    <t>DGFRm5CrcH0JR</t>
  </si>
  <si>
    <t>2026-06-29T08:31:56+05:30</t>
  </si>
  <si>
    <t>2026-06-29T10:22:46+05:30</t>
  </si>
  <si>
    <t>2026-06-29T13:23:01+05:30</t>
  </si>
  <si>
    <t>408-2636531-7769949</t>
  </si>
  <si>
    <t>T1TmTQzT4</t>
  </si>
  <si>
    <t>DcFtmfCwcH0JR</t>
  </si>
  <si>
    <t>2026-06-28T13:29:27+05:30</t>
  </si>
  <si>
    <t>2026-06-29T10:18:48+05:30</t>
  </si>
  <si>
    <t>2026-06-29T13:19:03+05:30</t>
  </si>
  <si>
    <t>bvhkzwcw7g9k1fh@marketplace.amazon.in</t>
  </si>
  <si>
    <t>404-7297632-6038722</t>
  </si>
  <si>
    <t>T1pHBg604</t>
  </si>
  <si>
    <t>D7C4m9CCcn0kR</t>
  </si>
  <si>
    <t>2026-06-29T08:50:15+05:30</t>
  </si>
  <si>
    <t>2026-06-29T10:15:38+05:30</t>
  </si>
  <si>
    <t>2026-06-29T10:15:42+05:30</t>
  </si>
  <si>
    <t>2026-06-29T11:15:54+05:30</t>
  </si>
  <si>
    <t>dtx6hkcqrlvhlc0@marketplace.amazon.in</t>
  </si>
  <si>
    <t>405-6323312-1250717</t>
  </si>
  <si>
    <t>T301MzcW4</t>
  </si>
  <si>
    <t>DR2MmqCFcc01R</t>
  </si>
  <si>
    <t>2026-06-27T20:04:12+05:30</t>
  </si>
  <si>
    <t>2026-06-29T13:15:03+05:30</t>
  </si>
  <si>
    <t>qg2ltpvt30ftdx0@marketplace.amazon.in</t>
  </si>
  <si>
    <t>404-2090221-1940349</t>
  </si>
  <si>
    <t>TCdGBw6h4</t>
  </si>
  <si>
    <t>DGXHlHCxcP0SR</t>
  </si>
  <si>
    <t>2026-06-29T08:59:38+05:30</t>
  </si>
  <si>
    <t>2026-06-29T10:10:44+05:30</t>
  </si>
  <si>
    <t>2026-06-29T13:10:56+05:30</t>
  </si>
  <si>
    <t>b75h057y0qx18g2@marketplace.amazon.in</t>
  </si>
  <si>
    <t>CRASOME Pack of 2 Transparent Clothes Storage Bags | Saree Covers with zip | Wardrobe Organizer with Zipper | Clear Storage for Clothes, Blankets, Bedsheets, Lehenga, Toys &amp; Documents (TS-STB-PACK-2)</t>
  </si>
  <si>
    <t>404-7288969-9061133</t>
  </si>
  <si>
    <t>T6v59R6C4</t>
  </si>
  <si>
    <t>DCc4lCCHcq0kR</t>
  </si>
  <si>
    <t>2026-06-29T08:39:01+05:30</t>
  </si>
  <si>
    <t>2026-06-29T09:55:41+05:30</t>
  </si>
  <si>
    <t>2026-06-29T09:55:44+05:30</t>
  </si>
  <si>
    <t>2026-06-29T10:55:56+05:30</t>
  </si>
  <si>
    <t>rvzgb5x3j23dll4@marketplace.amazon.in</t>
  </si>
  <si>
    <t>171-9243009-2891561</t>
  </si>
  <si>
    <t>TJhfj0H24</t>
  </si>
  <si>
    <t>DySt0tClcM07R</t>
  </si>
  <si>
    <t>2026-06-22T17:24:10+05:30</t>
  </si>
  <si>
    <t>2026-06-29T09:52:54+05:30</t>
  </si>
  <si>
    <t>2026-06-29T12:53:08+05:30</t>
  </si>
  <si>
    <t>396hcnjz6xqcpbx@marketplace.amazon.in</t>
  </si>
  <si>
    <t>171-3158586-8354710</t>
  </si>
  <si>
    <t>TnmJhNzV4</t>
  </si>
  <si>
    <t>DQX00LChc007R</t>
  </si>
  <si>
    <t>2026-06-28T21:08:02+05:30</t>
  </si>
  <si>
    <t>2026-06-29T09:46:39+05:30</t>
  </si>
  <si>
    <t>2026-06-29T12:46:51+05:30</t>
  </si>
  <si>
    <t>zrrhh8vl2g07xlh@marketplace.amazon.in</t>
  </si>
  <si>
    <t>407-2173515-0251567</t>
  </si>
  <si>
    <t>TGp7YV684</t>
  </si>
  <si>
    <t>DgSv0KCycM07R</t>
  </si>
  <si>
    <t>2026-06-29T07:44:34+05:30</t>
  </si>
  <si>
    <t>2026-06-29T09:43:45+05:30</t>
  </si>
  <si>
    <t>2026-06-29T12:44:03+05:30</t>
  </si>
  <si>
    <t>v87y8rwqy292z2y@marketplace.amazon.in</t>
  </si>
  <si>
    <t>406-2756770-3722752</t>
  </si>
  <si>
    <t>TgHthTTh4</t>
  </si>
  <si>
    <t>Dvqj0hCCcX0qR</t>
  </si>
  <si>
    <t>2026-06-28T13:53:10+05:30</t>
  </si>
  <si>
    <t>2026-06-29T09:33:42+05:30</t>
  </si>
  <si>
    <t>2026-06-29T09:33:45+05:30</t>
  </si>
  <si>
    <t>2026-06-29T10:33:56+05:30</t>
  </si>
  <si>
    <t>yl90ym56gj1g6qc@marketplace.amazon.in</t>
  </si>
  <si>
    <t>402-2631794-2687540</t>
  </si>
  <si>
    <t>TVKWWBh74</t>
  </si>
  <si>
    <t>DDGZ0kCfcr01R</t>
  </si>
  <si>
    <t>2026-06-29T02:29:42+05:30</t>
  </si>
  <si>
    <t>2026-06-29T09:30:45+05:30</t>
  </si>
  <si>
    <t>2026-06-29T12:30:56+05:30</t>
  </si>
  <si>
    <t>chlsrxr8q8458f9@marketplace.amazon.in</t>
  </si>
  <si>
    <t>407-7604754-4085133</t>
  </si>
  <si>
    <t>TnJgP0hg4</t>
  </si>
  <si>
    <t>Dz436BCGcM0bR</t>
  </si>
  <si>
    <t>2026-06-29T00:40:30+05:30</t>
  </si>
  <si>
    <t>2026-06-29T09:19:43+05:30</t>
  </si>
  <si>
    <t>2026-06-29T12:19:56+05:30</t>
  </si>
  <si>
    <t>mx7s4fgltpd25kd@marketplace.amazon.in</t>
  </si>
  <si>
    <t>408-9441479-2175547</t>
  </si>
  <si>
    <t>TnkhVVl94</t>
  </si>
  <si>
    <t>D43l6fCXcB02R</t>
  </si>
  <si>
    <t>2026-06-26T15:51:40+05:30</t>
  </si>
  <si>
    <t>2026-06-29T09:17:11+05:30</t>
  </si>
  <si>
    <t>2026-06-29T12:17:36+05:30</t>
  </si>
  <si>
    <t>l2111fqmqnn3nkx@marketplace.amazon.in</t>
  </si>
  <si>
    <t>408-6216768-0486723</t>
  </si>
  <si>
    <t>TNlR4qh44</t>
  </si>
  <si>
    <t>DF3G62Czcb0DR</t>
  </si>
  <si>
    <t>2026-06-28T22:23:42+05:30</t>
  </si>
  <si>
    <t>2026-06-29T09:13:40+05:30</t>
  </si>
  <si>
    <t>2026-06-29T09:13:44+05:30</t>
  </si>
  <si>
    <t>2026-06-29T10:13:55+05:30</t>
  </si>
  <si>
    <t>t832g9ssnp1pwn9@marketplace.amazon.in</t>
  </si>
  <si>
    <t>407-7781797-7553124</t>
  </si>
  <si>
    <t>TNG3kchV4</t>
  </si>
  <si>
    <t>DnPZSSC8cS0sR</t>
  </si>
  <si>
    <t>2026-06-28T22:10:46+05:30</t>
  </si>
  <si>
    <t>2026-06-29T09:11:44+05:30</t>
  </si>
  <si>
    <t>2026-06-29T12:11:56+05:30</t>
  </si>
  <si>
    <t>171-8727098-9860369</t>
  </si>
  <si>
    <t>TcSgY1h34</t>
  </si>
  <si>
    <t>DZ3J63CNcb0DR</t>
  </si>
  <si>
    <t>2026-06-28T23:03:33+05:30</t>
  </si>
  <si>
    <t>2026-06-29T09:08:45+05:30</t>
  </si>
  <si>
    <t>2026-06-29T12:09:02+05:30</t>
  </si>
  <si>
    <t>0b0xwhbf1tb400r@marketplace.amazon.in</t>
  </si>
  <si>
    <t>serilingampaly hyderabad</t>
  </si>
  <si>
    <t>telangana</t>
  </si>
  <si>
    <t>402-9138784-1165129</t>
  </si>
  <si>
    <t>TgtSsXhS4</t>
  </si>
  <si>
    <t>DnRR6PCtc30FR</t>
  </si>
  <si>
    <t>2026-06-28T23:31:21+05:30</t>
  </si>
  <si>
    <t>2026-06-29T09:03:39+05:30</t>
  </si>
  <si>
    <t>2026-06-29T09:03:42+05:30</t>
  </si>
  <si>
    <t>2026-06-29T10:03:53+05:30</t>
  </si>
  <si>
    <t>tdt9sd0hn0lq8xl@marketplace.amazon.in</t>
  </si>
  <si>
    <t>405-5049420-0655527</t>
  </si>
  <si>
    <t>T3CsvTzp4</t>
  </si>
  <si>
    <t>DpFldJC8c90SR</t>
  </si>
  <si>
    <t>2026-06-28T17:08:13+05:30</t>
  </si>
  <si>
    <t>2026-06-29T08:53:49+05:30</t>
  </si>
  <si>
    <t>2026-06-29T11:54:04+05:30</t>
  </si>
  <si>
    <t>yz1mj7cywbbqyk8@marketplace.amazon.in</t>
  </si>
  <si>
    <t>403-3546797-9961955</t>
  </si>
  <si>
    <t>TCh6hzz44</t>
  </si>
  <si>
    <t>DmY5QSCdc40gR</t>
  </si>
  <si>
    <t>2026-06-28T20:57:51+05:30</t>
  </si>
  <si>
    <t>2026-06-29T04:30:45+05:30</t>
  </si>
  <si>
    <t>2026-06-29T07:30:57+05:30</t>
  </si>
  <si>
    <t>22rtn73jqp632qv@marketplace.amazon.in</t>
  </si>
  <si>
    <t>Villupuram</t>
  </si>
  <si>
    <t>404-7144054-4119530</t>
  </si>
  <si>
    <t>TGxg29hd4</t>
  </si>
  <si>
    <t>DtK7cwCyc60fR</t>
  </si>
  <si>
    <t>2026-06-28T22:44:44+05:30</t>
  </si>
  <si>
    <t>2026-06-29T04:24:46+05:30</t>
  </si>
  <si>
    <t>2026-06-29T07:24:58+05:30</t>
  </si>
  <si>
    <t>tfh6fsk6j34qm54@marketplace.amazon.in</t>
  </si>
  <si>
    <t>405-6383934-6901140</t>
  </si>
  <si>
    <t>TN6wRkzM4</t>
  </si>
  <si>
    <t>D3JnQdCwc904R</t>
  </si>
  <si>
    <t>2026-06-28T13:46:18+05:30</t>
  </si>
  <si>
    <t>2026-06-29T04:24:44+05:30</t>
  </si>
  <si>
    <t>2026-06-29T07:24:56+05:30</t>
  </si>
  <si>
    <t>k9rm77rxn29l8c3@marketplace.amazon.in</t>
  </si>
  <si>
    <t>KHOPOLI</t>
  </si>
  <si>
    <t>406-1443811-4784330</t>
  </si>
  <si>
    <t>TCTvCbzw4</t>
  </si>
  <si>
    <t>DLJyQgCbc904R</t>
  </si>
  <si>
    <t>2026-06-28T19:40:57+05:30</t>
  </si>
  <si>
    <t>2026-06-29T04:22:45+05:30</t>
  </si>
  <si>
    <t>2026-06-29T07:22:55+05:30</t>
  </si>
  <si>
    <t>406-4549882-3936361</t>
  </si>
  <si>
    <t>TnW7RBhY4</t>
  </si>
  <si>
    <t>DlJ5QQC1cG0RR</t>
  </si>
  <si>
    <t>2026-06-28T20:55:06+05:30</t>
  </si>
  <si>
    <t>2026-06-29T04:21:41+05:30</t>
  </si>
  <si>
    <t>2026-06-29T04:21:44+05:30</t>
  </si>
  <si>
    <t>2026-06-29T05:21:54+05:30</t>
  </si>
  <si>
    <t>8b94ks9f5l6vvrv@marketplace.amazon.in</t>
  </si>
  <si>
    <t>AM005092940IN</t>
  </si>
  <si>
    <t>403-4688684-1821928</t>
  </si>
  <si>
    <t>TC692yhC4</t>
  </si>
  <si>
    <t>DjYpc6CJcH00R</t>
  </si>
  <si>
    <t>2026-06-28T23:08:46+05:30</t>
  </si>
  <si>
    <t>2026-06-29T04:13:45+05:30</t>
  </si>
  <si>
    <t>2026-06-29T07:13:56+05:30</t>
  </si>
  <si>
    <t>fz1pflg5rb84xh8@marketplace.amazon.in</t>
  </si>
  <si>
    <t>171-8091465-3429137</t>
  </si>
  <si>
    <t>T3CpxFzC4</t>
  </si>
  <si>
    <t>D1VpccC8cd0pR</t>
  </si>
  <si>
    <t>2026-06-28T14:19:01+05:30</t>
  </si>
  <si>
    <t>2026-06-29T04:12:47+05:30</t>
  </si>
  <si>
    <t>2026-06-29T07:12:59+05:30</t>
  </si>
  <si>
    <t>g75qlrh5236wcp8@marketplace.amazon.in</t>
  </si>
  <si>
    <t>BUTIBORI</t>
  </si>
  <si>
    <t>408-2674180-2249968</t>
  </si>
  <si>
    <t>TwBNH8hT4</t>
  </si>
  <si>
    <t>DlNWvPCqc60jR</t>
  </si>
  <si>
    <t>2026-06-28T20:56:05+05:30</t>
  </si>
  <si>
    <t>2026-06-29T04:04:43+05:30</t>
  </si>
  <si>
    <t>2026-06-29T07:04:54+05:30</t>
  </si>
  <si>
    <t>18rhgd5hn5qq0fl@marketplace.amazon.in</t>
  </si>
  <si>
    <t>408-9829138-5268365</t>
  </si>
  <si>
    <t>T35zrJTH4</t>
  </si>
  <si>
    <t>DmFcvwCCcV0vR</t>
  </si>
  <si>
    <t>2026-06-28T07:54:39+05:30</t>
  </si>
  <si>
    <t>2026-06-29T04:02:44+05:30</t>
  </si>
  <si>
    <t>2026-06-29T04:02:47+05:30</t>
  </si>
  <si>
    <t>2026-06-29T05:02:58+05:30</t>
  </si>
  <si>
    <t>8qg20p4jsf2ywcb@marketplace.amazon.in</t>
  </si>
  <si>
    <t>171-8384383-3369154</t>
  </si>
  <si>
    <t>T1HWBHhn4</t>
  </si>
  <si>
    <t>DVcpv0CVcc02R</t>
  </si>
  <si>
    <t>2026-06-28T22:30:51+05:30</t>
  </si>
  <si>
    <t>2026-06-29T04:00:41+05:30</t>
  </si>
  <si>
    <t>2026-06-29T07:00:53+05:30</t>
  </si>
  <si>
    <t>nxkj77cqt01gmby@marketplace.amazon.in</t>
  </si>
  <si>
    <t>404-3022265-5898709</t>
  </si>
  <si>
    <t>TXvl06fW4</t>
  </si>
  <si>
    <t>DYjQvWCHcD06R</t>
  </si>
  <si>
    <t>2026-06-25T23:29:13+05:30</t>
  </si>
  <si>
    <t>2026-06-29T03:59:44+05:30</t>
  </si>
  <si>
    <t>2026-06-29T06:59:56+05:30</t>
  </si>
  <si>
    <t>m6f612frfc6spls@marketplace.amazon.in</t>
  </si>
  <si>
    <t>FIROZPUR</t>
  </si>
  <si>
    <t>402-1218792-6558735</t>
  </si>
  <si>
    <t>TcnycNzb4</t>
  </si>
  <si>
    <t>DJYyvLCJcx0dR</t>
  </si>
  <si>
    <t>2026-06-28T15:46:57+05:30</t>
  </si>
  <si>
    <t>2026-06-29T03:54:42+05:30</t>
  </si>
  <si>
    <t>2026-06-29T06:54:55+05:30</t>
  </si>
  <si>
    <t>fqty08tmsr7504y@marketplace.amazon.in</t>
  </si>
  <si>
    <t>402-2118843-8881100</t>
  </si>
  <si>
    <t>TXKpZQzX4</t>
  </si>
  <si>
    <t>DfYZvVCHcW0YR</t>
  </si>
  <si>
    <t>2026-06-28T21:38:57+05:30</t>
  </si>
  <si>
    <t>2026-06-29T03:52:46+05:30</t>
  </si>
  <si>
    <t>2026-06-29T06:52:59+05:30</t>
  </si>
  <si>
    <t>w82527243vvhx3l@marketplace.amazon.in</t>
  </si>
  <si>
    <t>171-7377522-5225123</t>
  </si>
  <si>
    <t>TGDt46hg4</t>
  </si>
  <si>
    <t>DdQBv1C1cs0ZR</t>
  </si>
  <si>
    <t>2026-06-28T21:47:27+05:30</t>
  </si>
  <si>
    <t>2026-06-29T03:52:43+05:30</t>
  </si>
  <si>
    <t>2026-06-29T06:52:54+05:30</t>
  </si>
  <si>
    <t>lctshq5hdkj1f7l@marketplace.amazon.in</t>
  </si>
  <si>
    <t>404-2870136-7929117</t>
  </si>
  <si>
    <t>TgyqPtht4</t>
  </si>
  <si>
    <t>DVqbvDCmc402R</t>
  </si>
  <si>
    <t>2026-06-28T21:01:27+05:30</t>
  </si>
  <si>
    <t>2026-06-29T03:51:43+05:30</t>
  </si>
  <si>
    <t>2026-06-29T03:51:46+05:30</t>
  </si>
  <si>
    <t>2026-06-29T04:51:57+05:30</t>
  </si>
  <si>
    <t>j5n5brsq17lm069@marketplace.amazon.in</t>
  </si>
  <si>
    <t>405-1191880-6441928</t>
  </si>
  <si>
    <t>T3rpp6zZ4</t>
  </si>
  <si>
    <t>DgFXzLCfcD0gR</t>
  </si>
  <si>
    <t>2026-06-28T20:33:50+05:30</t>
  </si>
  <si>
    <t>2026-06-29T03:45:40+05:30</t>
  </si>
  <si>
    <t>2026-06-29T03:45:43+05:30</t>
  </si>
  <si>
    <t>2026-06-29T04:45:54+05:30</t>
  </si>
  <si>
    <t>bbvc4fmlwjk17nx@marketplace.amazon.in</t>
  </si>
  <si>
    <t>406-2666570-2193918</t>
  </si>
  <si>
    <t>T3h1zYzB4</t>
  </si>
  <si>
    <t>D0mfz8CycC0pR</t>
  </si>
  <si>
    <t>2026-06-28T16:19:34+05:30</t>
  </si>
  <si>
    <t>2026-06-29T03:44:43+05:30</t>
  </si>
  <si>
    <t>2026-06-29T06:44:55+05:30</t>
  </si>
  <si>
    <t>y21445xz1k40c2k@marketplace.amazon.in</t>
  </si>
  <si>
    <t>404-4813747-2213919</t>
  </si>
  <si>
    <t>TJBGtrzs4</t>
  </si>
  <si>
    <t>DnKRV5C7cb0DR</t>
  </si>
  <si>
    <t>2026-06-28T19:00:23+05:30</t>
  </si>
  <si>
    <t>2026-06-29T03:38:43+05:30</t>
  </si>
  <si>
    <t>2026-06-29T06:38:54+05:30</t>
  </si>
  <si>
    <t>403-0437156-0238740</t>
  </si>
  <si>
    <t>TnNXWszS4</t>
  </si>
  <si>
    <t>DmGwzsCHck0gR</t>
  </si>
  <si>
    <t>2026-06-28T20:16:26+05:30</t>
  </si>
  <si>
    <t>2026-06-29T03:34:44+05:30</t>
  </si>
  <si>
    <t>2026-06-29T06:34:57+05:30</t>
  </si>
  <si>
    <t>g3cn86msssq8pqh@marketplace.amazon.in</t>
  </si>
  <si>
    <t>402-4287397-4549153</t>
  </si>
  <si>
    <t>TnQcwLzx4</t>
  </si>
  <si>
    <t>DpBGVxCbcZ0FR</t>
  </si>
  <si>
    <t>2026-06-28T16:44:47+05:30</t>
  </si>
  <si>
    <t>2026-06-29T03:30:46+05:30</t>
  </si>
  <si>
    <t>2026-06-29T06:30:58+05:30</t>
  </si>
  <si>
    <t>r22xt6tgjc7xqwd@marketplace.amazon.in</t>
  </si>
  <si>
    <t>405-0912534-1949945</t>
  </si>
  <si>
    <t>TnYcvtzx4</t>
  </si>
  <si>
    <t>DQQKVNCRcZ0qR</t>
  </si>
  <si>
    <t>2026-06-28T17:25:16+05:30</t>
  </si>
  <si>
    <t>2026-06-29T03:25:53+05:30</t>
  </si>
  <si>
    <t>2026-06-29T06:26:04+05:30</t>
  </si>
  <si>
    <t>zk7p7g30k81qfvp@marketplace.amazon.in</t>
  </si>
  <si>
    <t>KISHTWAR</t>
  </si>
  <si>
    <t>404-7847407-0893912</t>
  </si>
  <si>
    <t>Tn3xt3zT4</t>
  </si>
  <si>
    <t>DHVG2wC3cT0RR</t>
  </si>
  <si>
    <t>2026-06-28T18:09:57+05:30</t>
  </si>
  <si>
    <t>2026-06-29T03:09:45+05:30</t>
  </si>
  <si>
    <t>2026-06-29T06:10:00+05:30</t>
  </si>
  <si>
    <t>4w882tt764pkc26@marketplace.amazon.in</t>
  </si>
  <si>
    <t>407-6644901-3619558</t>
  </si>
  <si>
    <t>Tcg1wfhP4</t>
  </si>
  <si>
    <t>DdVM2hCDcT0RR</t>
  </si>
  <si>
    <t>2026-06-28T21:43:55+05:30</t>
  </si>
  <si>
    <t>2026-06-29T03:05:42+05:30</t>
  </si>
  <si>
    <t>2026-06-29T06:05:53+05:30</t>
  </si>
  <si>
    <t>x07yhr06pkv83lp@marketplace.amazon.in</t>
  </si>
  <si>
    <t>Fursungi</t>
  </si>
  <si>
    <t>405-7594606-3833123</t>
  </si>
  <si>
    <t>TNKQ6sz94</t>
  </si>
  <si>
    <t>Dgt7FQCHcN0XR</t>
  </si>
  <si>
    <t>2026-06-28T18:40:20+05:30</t>
  </si>
  <si>
    <t>2026-06-29T02:50:44+05:30</t>
  </si>
  <si>
    <t>2026-06-29T05:50:59+05:30</t>
  </si>
  <si>
    <t>ndw0g3g9rynk78q@marketplace.amazon.in</t>
  </si>
  <si>
    <t>MUMBAI- 400103</t>
  </si>
  <si>
    <t>402-0968080-8681123</t>
  </si>
  <si>
    <t>T6H5grzk4</t>
  </si>
  <si>
    <t>DJLKF5CccJ0WR</t>
  </si>
  <si>
    <t>2026-06-28T19:07:40+05:30</t>
  </si>
  <si>
    <t>2026-06-29T02:41:39+05:30</t>
  </si>
  <si>
    <t>2026-06-29T02:41:42+05:30</t>
  </si>
  <si>
    <t>2026-06-29T03:41:52+05:30</t>
  </si>
  <si>
    <t>bzbb53q1t3llkk8@marketplace.amazon.in</t>
  </si>
  <si>
    <t>Belagavi</t>
  </si>
  <si>
    <t>404-5618387-2852336</t>
  </si>
  <si>
    <t>T1fZFlcN4</t>
  </si>
  <si>
    <t>DmJjDrCHcY0CR</t>
  </si>
  <si>
    <t>2026-06-27T18:42:23+05:30</t>
  </si>
  <si>
    <t>2026-06-29T02:25:52+05:30</t>
  </si>
  <si>
    <t>2026-06-29T05:26:03+05:30</t>
  </si>
  <si>
    <t>bf6bz2cfvyd137x@marketplace.amazon.in</t>
  </si>
  <si>
    <t>404-2496701-7860355</t>
  </si>
  <si>
    <t>TwfTFlcN4</t>
  </si>
  <si>
    <t>DbJPDrCHcY0CR</t>
  </si>
  <si>
    <t>2026-06-27T18:38:32+05:30</t>
  </si>
  <si>
    <t>2026-06-29T02:25:47+05:30</t>
  </si>
  <si>
    <t>2026-06-29T05:25:58+05:30</t>
  </si>
  <si>
    <t>406-7564152-4194709</t>
  </si>
  <si>
    <t>TnTd9Zzt4</t>
  </si>
  <si>
    <t>D7prYMCpcK0vR</t>
  </si>
  <si>
    <t>2026-06-28T14:48:33+05:30</t>
  </si>
  <si>
    <t>2026-06-29T02:04:44+05:30</t>
  </si>
  <si>
    <t>2026-06-29T05:04:56+05:30</t>
  </si>
  <si>
    <t>4g6xzb8hb9vwv9w@marketplace.amazon.in</t>
  </si>
  <si>
    <t>171-4958990-6678704</t>
  </si>
  <si>
    <t>T3H4tWzm4</t>
  </si>
  <si>
    <t>DKJ9ycCtcS0qR</t>
  </si>
  <si>
    <t>2026-06-28T19:01:10+05:30</t>
  </si>
  <si>
    <t>2026-06-29T01:57:43+05:30</t>
  </si>
  <si>
    <t>2026-06-29T04:57:54+05:30</t>
  </si>
  <si>
    <t>8x8nm98b8hjwtp9@marketplace.amazon.in</t>
  </si>
  <si>
    <t>171-9147273-1637152</t>
  </si>
  <si>
    <t>TX7hvphD4</t>
  </si>
  <si>
    <t>D6Lgy0CDc10hR</t>
  </si>
  <si>
    <t>2026-06-28T23:17:22+05:30</t>
  </si>
  <si>
    <t>2026-06-29T01:51:44+05:30</t>
  </si>
  <si>
    <t>2026-06-29T04:52:00+05:30</t>
  </si>
  <si>
    <t>8p38ns12kvnj3h5@marketplace.amazon.in</t>
  </si>
  <si>
    <t>408-9406246-3245116</t>
  </si>
  <si>
    <t>Tw7TNghV4</t>
  </si>
  <si>
    <t>DyrLw1Cwcd0GR</t>
  </si>
  <si>
    <t>2026-06-28T22:13:26+05:30</t>
  </si>
  <si>
    <t>2026-06-29T01:40:45+05:30</t>
  </si>
  <si>
    <t>2026-06-29T04:40:57+05:30</t>
  </si>
  <si>
    <t>m4vhgtlxt682ywb@marketplace.amazon.in</t>
  </si>
  <si>
    <t>407-8201737-8061135</t>
  </si>
  <si>
    <t>TJWHpHTP4</t>
  </si>
  <si>
    <t>DkMDw1CVcR0TR</t>
  </si>
  <si>
    <t>2026-06-28T12:48:20+05:30</t>
  </si>
  <si>
    <t>2026-06-29T01:38:39+05:30</t>
  </si>
  <si>
    <t>2026-06-29T01:38:42+05:30</t>
  </si>
  <si>
    <t>2026-06-29T02:38:53+05:30</t>
  </si>
  <si>
    <t>7zhh2m2yj5zsqjm@marketplace.amazon.in</t>
  </si>
  <si>
    <t>HAPUR</t>
  </si>
  <si>
    <t>402-1414908-8921936</t>
  </si>
  <si>
    <t>TwjNn9zq4</t>
  </si>
  <si>
    <t>DKyH9pCmcz0LR</t>
  </si>
  <si>
    <t>2026-06-28T17:57:52+05:30</t>
  </si>
  <si>
    <t>2026-06-29T01:12:48+05:30</t>
  </si>
  <si>
    <t>2026-06-29T04:13:01+05:30</t>
  </si>
  <si>
    <t>q5w1j7nljx6256q@marketplace.amazon.in</t>
  </si>
  <si>
    <t>405-8309854-5981965</t>
  </si>
  <si>
    <t>T6LQm1z74</t>
  </si>
  <si>
    <t>DjQ09fCYcx04R</t>
  </si>
  <si>
    <t>2026-06-28T20:48:30+05:30</t>
  </si>
  <si>
    <t>2026-06-29T01:07:43+05:30</t>
  </si>
  <si>
    <t>2026-06-29T04:07:54+05:30</t>
  </si>
  <si>
    <t>ym18mfrkg2vp3lq@marketplace.amazon.in</t>
  </si>
  <si>
    <t>407-2287626-6901149</t>
  </si>
  <si>
    <t>Tc84P6zZ4</t>
  </si>
  <si>
    <t>DcQw90C9cx04R</t>
  </si>
  <si>
    <t>2026-06-28T17:16:44+05:30</t>
  </si>
  <si>
    <t>2026-06-29T01:06:47+05:30</t>
  </si>
  <si>
    <t>2026-06-29T04:07:00+05:30</t>
  </si>
  <si>
    <t>zh36q769c62w9j3@marketplace.amazon.in</t>
  </si>
  <si>
    <t>2026-06-29T08:00:00+05:30</t>
  </si>
  <si>
    <t>171-2594393-8833921</t>
  </si>
  <si>
    <t>Tw7cVshW4</t>
  </si>
  <si>
    <t>DXRC97Cncz0jR</t>
  </si>
  <si>
    <t>2026-06-28T15:42:26+05:30</t>
  </si>
  <si>
    <t>2026-06-29T00:57:45+05:30</t>
  </si>
  <si>
    <t>2026-06-29T00:57:48+05:30</t>
  </si>
  <si>
    <t>2026-06-29T01:58:01+05:30</t>
  </si>
  <si>
    <t>2kjdjpwdtxl2rck@marketplace.amazon.in</t>
  </si>
  <si>
    <t>407-6093521-9057167</t>
  </si>
  <si>
    <t>T1nFDJzR4</t>
  </si>
  <si>
    <t>DGLf4kCbc30ZR</t>
  </si>
  <si>
    <t>2026-06-27T18:57:45+05:30</t>
  </si>
  <si>
    <t>2026-06-29T00:46:46+05:30</t>
  </si>
  <si>
    <t>2026-06-29T03:46:57+05:30</t>
  </si>
  <si>
    <t>l8bhl0vpm3xmsq6@marketplace.amazon.in</t>
  </si>
  <si>
    <t>Leh</t>
  </si>
  <si>
    <t>LADAKH</t>
  </si>
  <si>
    <t>406-3735084-7917141</t>
  </si>
  <si>
    <t>TgqqJ3T64</t>
  </si>
  <si>
    <t>Df3kHcC1ch0DR</t>
  </si>
  <si>
    <t>2026-06-28T07:48:40+05:30</t>
  </si>
  <si>
    <t>2026-06-29T00:35:52+05:30</t>
  </si>
  <si>
    <t>2026-06-29T00:35:55+05:30</t>
  </si>
  <si>
    <t>2026-06-29T01:36:06+05:30</t>
  </si>
  <si>
    <t>171-4539464-7949904</t>
  </si>
  <si>
    <t>Tg9NsXzj4</t>
  </si>
  <si>
    <t>Dm8mHCCccb0TR</t>
  </si>
  <si>
    <t>2026-06-28T18:05:33+05:30</t>
  </si>
  <si>
    <t>2026-06-29T00:31:45+05:30</t>
  </si>
  <si>
    <t>2026-06-29T03:31:59+05:30</t>
  </si>
  <si>
    <t>8lknd00ft6kdv8m@marketplace.amazon.in</t>
  </si>
  <si>
    <t>402-1601643-2893119</t>
  </si>
  <si>
    <t>T3QsRqh24</t>
  </si>
  <si>
    <t>D3xfHNCFcC0XR</t>
  </si>
  <si>
    <t>2026-06-28T21:16:31+05:30</t>
  </si>
  <si>
    <t>2026-06-29T00:27:43+05:30</t>
  </si>
  <si>
    <t>2026-06-29T03:27:55+05:30</t>
  </si>
  <si>
    <t>xl66z6zyyvx2hwl@marketplace.amazon.in</t>
  </si>
  <si>
    <t>406-4270181-2297142</t>
  </si>
  <si>
    <t>TgZjkCTR4</t>
  </si>
  <si>
    <t>DPpMHCCpcX0VR</t>
  </si>
  <si>
    <t>2026-06-27T16:08:53+05:30</t>
  </si>
  <si>
    <t>2026-06-29T00:26:58+05:30</t>
  </si>
  <si>
    <t>2026-06-29T03:27:10+05:30</t>
  </si>
  <si>
    <t>qc9jbyljy0lzpkf@marketplace.amazon.in</t>
  </si>
  <si>
    <t>408-7068974-3068362</t>
  </si>
  <si>
    <t>T3ThmzGx4</t>
  </si>
  <si>
    <t>Dd5DbqCPcr0JR</t>
  </si>
  <si>
    <t>2026-06-24T21:58:42+05:30</t>
  </si>
  <si>
    <t>2026-06-29T00:26:49+05:30</t>
  </si>
  <si>
    <t>2026-06-29T03:27:05+05:30</t>
  </si>
  <si>
    <t>406-5482281-1861134</t>
  </si>
  <si>
    <t>T1lrckzn4</t>
  </si>
  <si>
    <t>DwZBb6CKc60JR</t>
  </si>
  <si>
    <t>2026-06-28T16:40:59+05:30</t>
  </si>
  <si>
    <t>2026-06-29T00:15:34+05:30</t>
  </si>
  <si>
    <t>2026-06-29T03:15:45+05:30</t>
  </si>
  <si>
    <t>fhvpw3rtv5fn303@marketplace.amazon.in</t>
  </si>
  <si>
    <t>407-5410547-3557963</t>
  </si>
  <si>
    <t>T35y5czw4</t>
  </si>
  <si>
    <t>DBnybjC9c20fR</t>
  </si>
  <si>
    <t>2026-06-28T20:29:30+05:30</t>
  </si>
  <si>
    <t>2026-06-29T00:10:38+05:30</t>
  </si>
  <si>
    <t>2026-06-29T00:10:40+05:30</t>
  </si>
  <si>
    <t>2026-06-29T01:10:51+05:30</t>
  </si>
  <si>
    <t>pg7ww42rlhnknc1@marketplace.amazon.in</t>
  </si>
  <si>
    <t>406-3375255-7188336</t>
  </si>
  <si>
    <t>TwtJnTzh4</t>
  </si>
  <si>
    <t>DmcWb1CycL0sR</t>
  </si>
  <si>
    <t>2026-06-28T17:52:02+05:30</t>
  </si>
  <si>
    <t>2026-06-29T00:09:48+05:30</t>
  </si>
  <si>
    <t>2026-06-29T03:10:11+05:30</t>
  </si>
  <si>
    <t>5gk1hmkb3gr9fjw@marketplace.amazon.in</t>
  </si>
  <si>
    <t>405-7631231-6601956</t>
  </si>
  <si>
    <t>T6bfrgrM4</t>
  </si>
  <si>
    <t>Df5lkJCqcp0YR</t>
  </si>
  <si>
    <t>2026-06-24T13:39:30+05:30</t>
  </si>
  <si>
    <t>2026-06-29T00:03:47+05:30</t>
  </si>
  <si>
    <t>2026-06-29T03:04:01+05:30</t>
  </si>
  <si>
    <t>qw3nfvkp9z8nwsk@marketplace.amazon.in</t>
  </si>
  <si>
    <t>407-0764035-4308339</t>
  </si>
  <si>
    <t>TCxw4Szh4</t>
  </si>
  <si>
    <t>DJcxkcC0cs0gR</t>
  </si>
  <si>
    <t>2026-06-28T14:55:44+05:30</t>
  </si>
  <si>
    <t>2026-06-29T00:00:48+05:30</t>
  </si>
  <si>
    <t>2026-06-29T03:01:03+05:30</t>
  </si>
  <si>
    <t>7sqqzw39ns4z1zt@marketplace.amazon.in</t>
  </si>
  <si>
    <t>408-7413156-0589169</t>
  </si>
  <si>
    <t>TgHNK4z14</t>
  </si>
  <si>
    <t>DWY5kCCqcd06R</t>
  </si>
  <si>
    <t>2026-06-28T19:09:26+05:30</t>
  </si>
  <si>
    <t>2026-06-28T23:59:43+05:30</t>
  </si>
  <si>
    <t>2026-06-29T02:59:57+05:30</t>
  </si>
  <si>
    <t>smm2p9171nc4smx@marketplace.amazon.in</t>
  </si>
  <si>
    <t>403-1867296-9105108</t>
  </si>
  <si>
    <t>TgwKW0C94</t>
  </si>
  <si>
    <t>Dh2fNjCGcj02R</t>
  </si>
  <si>
    <t>2026-06-26T19:03:48+05:30</t>
  </si>
  <si>
    <t>2026-06-28T23:41:47+05:30</t>
  </si>
  <si>
    <t>2026-06-29T02:42:00+05:30</t>
  </si>
  <si>
    <t>pdqz348f0q758kp@marketplace.amazon.in</t>
  </si>
  <si>
    <t>403-8948588-6875513</t>
  </si>
  <si>
    <t>T3L2mlzl4</t>
  </si>
  <si>
    <t>DvM1N7CKc00GR</t>
  </si>
  <si>
    <t>2026-06-28T20:48:06+05:30</t>
  </si>
  <si>
    <t>2026-06-28T23:39:46+05:30</t>
  </si>
  <si>
    <t>2026-06-29T02:39:59+05:30</t>
  </si>
  <si>
    <t>vc45w2fq122nh5q@marketplace.amazon.in</t>
  </si>
  <si>
    <t>403-6038864-4112367</t>
  </si>
  <si>
    <t>T1mvxCzP4</t>
  </si>
  <si>
    <t>DgYFN0CWcD0hR</t>
  </si>
  <si>
    <t>2026-06-28T18:09:28+05:30</t>
  </si>
  <si>
    <t>2026-06-28T23:32:46+05:30</t>
  </si>
  <si>
    <t>2026-06-29T02:32:58+05:30</t>
  </si>
  <si>
    <t>vx9fdjpnj80cf40@marketplace.amazon.in</t>
  </si>
  <si>
    <t>402-9455329-4751538</t>
  </si>
  <si>
    <t>TcM4ZhTb4</t>
  </si>
  <si>
    <t>DNWlR0Cycd0GR</t>
  </si>
  <si>
    <t>2026-06-28T12:58:17+05:30</t>
  </si>
  <si>
    <t>2026-06-28T23:20:47+05:30</t>
  </si>
  <si>
    <t>2026-06-29T02:21:01+05:30</t>
  </si>
  <si>
    <t>9cxwd0d9xtfwyd2@marketplace.amazon.in</t>
  </si>
  <si>
    <t>408-1871690-8348341</t>
  </si>
  <si>
    <t>TcW7xWzl4</t>
  </si>
  <si>
    <t>DQ16hQf6c90zR</t>
  </si>
  <si>
    <t>2026-06-28T17:13:06+05:30</t>
  </si>
  <si>
    <t>2026-06-28T23:16:46+05:30</t>
  </si>
  <si>
    <t>2026-06-29T02:16:58+05:30</t>
  </si>
  <si>
    <t>t9m29vrg97vdjds@marketplace.amazon.in</t>
  </si>
  <si>
    <t>VUYYURU</t>
  </si>
  <si>
    <t>408-0564504-5319516</t>
  </si>
  <si>
    <t>TcXbf9zR4</t>
  </si>
  <si>
    <t>D7fbRpCwcz0MR</t>
  </si>
  <si>
    <t>2026-06-28T20:28:06+05:30</t>
  </si>
  <si>
    <t>2026-06-28T23:14:46+05:30</t>
  </si>
  <si>
    <t>2026-06-29T02:14:57+05:30</t>
  </si>
  <si>
    <t>9zhjxj3rc5rfypl@marketplace.amazon.in</t>
  </si>
  <si>
    <t>404-9127337-2477109</t>
  </si>
  <si>
    <t>TXkjt4TN4</t>
  </si>
  <si>
    <t>DQkyhRfScD0YR</t>
  </si>
  <si>
    <t>2026-06-28T09:45:21+05:30</t>
  </si>
  <si>
    <t>2026-06-28T23:13:45+05:30</t>
  </si>
  <si>
    <t>2026-06-29T02:13:57+05:30</t>
  </si>
  <si>
    <t>zgzyz8f0qc21q68@marketplace.amazon.in</t>
  </si>
  <si>
    <t>Alwar</t>
  </si>
  <si>
    <t>171-7301229-5688309</t>
  </si>
  <si>
    <t>T126B1zM4</t>
  </si>
  <si>
    <t>D312hvf7c90zR</t>
  </si>
  <si>
    <t>2026-06-28T15:50:07+05:30</t>
  </si>
  <si>
    <t>2026-06-28T23:11:45+05:30</t>
  </si>
  <si>
    <t>2026-06-29T02:11:58+05:30</t>
  </si>
  <si>
    <t>g6dhg9wd2f2l8yk@marketplace.amazon.in</t>
  </si>
  <si>
    <t>403-7543814-1784323</t>
  </si>
  <si>
    <t>TG9gDyzh4</t>
  </si>
  <si>
    <t>Dv14h6fFc90zR</t>
  </si>
  <si>
    <t>2026-06-28T16:37:31+05:30</t>
  </si>
  <si>
    <t>2026-06-28T23:09:50+05:30</t>
  </si>
  <si>
    <t>2026-06-29T02:10:11+05:30</t>
  </si>
  <si>
    <t>p2rv9848blgtwzk@marketplace.amazon.in</t>
  </si>
  <si>
    <t>171-3640711-1167533</t>
  </si>
  <si>
    <t>TCsRrjz84</t>
  </si>
  <si>
    <t>DhczhrfXc30NR</t>
  </si>
  <si>
    <t>2026-06-28T17:18:54+05:30</t>
  </si>
  <si>
    <t>2026-06-28T23:02:44+05:30</t>
  </si>
  <si>
    <t>2026-06-29T02:02:56+05:30</t>
  </si>
  <si>
    <t>9bzq132zrk0wsw8@marketplace.amazon.in</t>
  </si>
  <si>
    <t>402-7389352-7774712</t>
  </si>
  <si>
    <t>T6xGSYzn4</t>
  </si>
  <si>
    <t>D3cgfSfJct0XR</t>
  </si>
  <si>
    <t>2026-06-28T22:48:44+05:30</t>
  </si>
  <si>
    <t>2026-06-29T01:48:58+05:30</t>
  </si>
  <si>
    <t>pnzr6p21fhlmf5j@marketplace.amazon.in</t>
  </si>
  <si>
    <t>405-7590570-8141119</t>
  </si>
  <si>
    <t>TwNlhpTm4</t>
  </si>
  <si>
    <t>Dm23jdf9c70dR</t>
  </si>
  <si>
    <t>2026-06-28T14:22:14+05:30</t>
  </si>
  <si>
    <t>2026-06-28T22:34:45+05:30</t>
  </si>
  <si>
    <t>2026-06-29T01:34:59+05:30</t>
  </si>
  <si>
    <t>jvgys7ndkj7bn7l@marketplace.amazon.in</t>
  </si>
  <si>
    <t>406-0993019-2246718</t>
  </si>
  <si>
    <t>TcDlZsTX4</t>
  </si>
  <si>
    <t>Dzj4ZGfTcl0YR</t>
  </si>
  <si>
    <t>2026-06-28T13:42:17+05:30</t>
  </si>
  <si>
    <t>2026-06-28T22:14:44+05:30</t>
  </si>
  <si>
    <t>2026-06-29T01:14:55+05:30</t>
  </si>
  <si>
    <t>7z8v1qc99bwxjq9@marketplace.amazon.in</t>
  </si>
  <si>
    <t>407-7555924-2261932</t>
  </si>
  <si>
    <t>TVy9S4T04</t>
  </si>
  <si>
    <t>DG4WqzfYcb0CR</t>
  </si>
  <si>
    <t>2026-06-28T08:53:33+05:30</t>
  </si>
  <si>
    <t>2026-06-28T22:04:42+05:30</t>
  </si>
  <si>
    <t>2026-06-29T01:04:59+05:30</t>
  </si>
  <si>
    <t>t1zvglgw2qg0f4g@marketplace.amazon.in</t>
  </si>
  <si>
    <t>407-0578935-2480325</t>
  </si>
  <si>
    <t>TVs8Dqzs4</t>
  </si>
  <si>
    <t>DW5FqYfZcp0zR</t>
  </si>
  <si>
    <t>2026-06-28T16:13:53+05:30</t>
  </si>
  <si>
    <t>2026-06-28T22:03:48+05:30</t>
  </si>
  <si>
    <t>2026-06-29T01:04:04+05:30</t>
  </si>
  <si>
    <t>70m86xz8vwxj1my@marketplace.amazon.in</t>
  </si>
  <si>
    <t>407-6217480-3361958</t>
  </si>
  <si>
    <t>T3cTLRzr4</t>
  </si>
  <si>
    <t>D74hqcf9cb0CR</t>
  </si>
  <si>
    <t>2026-06-28T17:22:33+05:30</t>
  </si>
  <si>
    <t>2026-06-28T22:03:44+05:30</t>
  </si>
  <si>
    <t>2026-06-29T01:03:56+05:30</t>
  </si>
  <si>
    <t>45qq45mhy7lhps5@marketplace.amazon.in</t>
  </si>
  <si>
    <t>171-1800359-8334702</t>
  </si>
  <si>
    <t>TCJrhgTK4</t>
  </si>
  <si>
    <t>D7vy5gfdcx0sR</t>
  </si>
  <si>
    <t>2026-06-28T13:41:24+05:30</t>
  </si>
  <si>
    <t>2026-06-28T21:53:48+05:30</t>
  </si>
  <si>
    <t>2026-06-29T00:54:07+05:30</t>
  </si>
  <si>
    <t>nzng110nxj0xsxy@marketplace.amazon.in</t>
  </si>
  <si>
    <t>406-8515577-6989909</t>
  </si>
  <si>
    <t>Tw3jCcT64</t>
  </si>
  <si>
    <t>DQMd5pf0cd0RR</t>
  </si>
  <si>
    <t>2026-06-28T11:24:24+05:30</t>
  </si>
  <si>
    <t>2026-06-28T21:44:44+05:30</t>
  </si>
  <si>
    <t>2026-06-29T00:44:57+05:30</t>
  </si>
  <si>
    <t>9zv2zr2w4m2gd0n@marketplace.amazon.in</t>
  </si>
  <si>
    <t>KANNIYAKUMARI</t>
  </si>
  <si>
    <t>406-8153357-3755513</t>
  </si>
  <si>
    <t>TgTb6STg4</t>
  </si>
  <si>
    <t>DcMq5sfQcd0RR</t>
  </si>
  <si>
    <t>2026-06-28T10:43:16+05:30</t>
  </si>
  <si>
    <t>2026-06-28T21:38:52+05:30</t>
  </si>
  <si>
    <t>2026-06-29T00:39:08+05:30</t>
  </si>
  <si>
    <t>99ckdnxr31tcs8z@marketplace.amazon.in</t>
  </si>
  <si>
    <t>402-7508090-9164338</t>
  </si>
  <si>
    <t>Tgcs1bRC4</t>
  </si>
  <si>
    <t>DTdF5Pfbcn0QR</t>
  </si>
  <si>
    <t>2026-06-22T23:51:59+05:30</t>
  </si>
  <si>
    <t>2026-06-28T21:35:50+05:30</t>
  </si>
  <si>
    <t>2026-06-29T00:36:07+05:30</t>
  </si>
  <si>
    <t>hw45xqgr928m875@marketplace.amazon.in</t>
  </si>
  <si>
    <t>403-8569356-8941921</t>
  </si>
  <si>
    <t>TN0VlLzr4</t>
  </si>
  <si>
    <t>DJsJ5kfDcD0HR</t>
  </si>
  <si>
    <t>2026-06-28T19:44:31+05:30</t>
  </si>
  <si>
    <t>2026-06-28T21:31:39+05:30</t>
  </si>
  <si>
    <t>2026-06-29T00:31:50+05:30</t>
  </si>
  <si>
    <t>xnlq665l5xl7zrk@marketplace.amazon.in</t>
  </si>
  <si>
    <t>404-5977485-5295524</t>
  </si>
  <si>
    <t>TgGpTSc84</t>
  </si>
  <si>
    <t>DghFgDfLcB0qR</t>
  </si>
  <si>
    <t>2026-06-27T23:07:19+05:30</t>
  </si>
  <si>
    <t>2026-06-28T21:28:44+05:30</t>
  </si>
  <si>
    <t>2026-06-29T00:28:55+05:30</t>
  </si>
  <si>
    <t>yybqhhzr2pnyj7m@marketplace.amazon.in</t>
  </si>
  <si>
    <t>Digras</t>
  </si>
  <si>
    <t>404-1414840-6613944</t>
  </si>
  <si>
    <t>TJkWXFTX4</t>
  </si>
  <si>
    <t>D3zlgmfWcf0vR</t>
  </si>
  <si>
    <t>2026-06-28T12:11:59+05:30</t>
  </si>
  <si>
    <t>2026-06-28T21:27:44+05:30</t>
  </si>
  <si>
    <t>2026-06-29T00:27:55+05:30</t>
  </si>
  <si>
    <t>lp2qh4v0bw0c5ck@marketplace.amazon.in</t>
  </si>
  <si>
    <t>407-8174321-0701932</t>
  </si>
  <si>
    <t>TNP0rszV4</t>
  </si>
  <si>
    <t>DbhXgmfqcM0qR</t>
  </si>
  <si>
    <t>2026-06-28T17:13:58+05:30</t>
  </si>
  <si>
    <t>2026-06-28T21:19:45+05:30</t>
  </si>
  <si>
    <t>2026-06-29T00:19:56+05:30</t>
  </si>
  <si>
    <t>cw6kjk44qk27ksm@marketplace.amazon.in</t>
  </si>
  <si>
    <t>403-1915922-6414702</t>
  </si>
  <si>
    <t>T1PwCMzX4</t>
  </si>
  <si>
    <t>DczwgZfFcf0vR</t>
  </si>
  <si>
    <t>2026-06-28T19:41:54+05:30</t>
  </si>
  <si>
    <t>2026-06-28T21:17:41+05:30</t>
  </si>
  <si>
    <t>2026-06-29T00:17:53+05:30</t>
  </si>
  <si>
    <t>s8n87h6mybf1f10@marketplace.amazon.in</t>
  </si>
  <si>
    <t>406-4956269-4633100</t>
  </si>
  <si>
    <t>TJg6bKz84</t>
  </si>
  <si>
    <t>DJ5v8TfTcW0kR</t>
  </si>
  <si>
    <t>2026-06-28T14:15:57+05:30</t>
  </si>
  <si>
    <t>2026-06-28T21:13:43+05:30</t>
  </si>
  <si>
    <t>2026-06-29T00:13:54+05:30</t>
  </si>
  <si>
    <t>4l9tv8lzqdnrw8p@marketplace.amazon.in</t>
  </si>
  <si>
    <t>TwngDxzR4</t>
  </si>
  <si>
    <t>DgfR8mfhcK0CR</t>
  </si>
  <si>
    <t>2026-06-28T21:01:44+05:30</t>
  </si>
  <si>
    <t>2026-06-29T00:01:54+05:30</t>
  </si>
  <si>
    <t>407-8886467-1908367</t>
  </si>
  <si>
    <t>TXQNbMzq4</t>
  </si>
  <si>
    <t>DX1DXwfwc40MR</t>
  </si>
  <si>
    <t>2026-06-28T14:22:01+05:30</t>
  </si>
  <si>
    <t>2026-06-28T20:51:45+05:30</t>
  </si>
  <si>
    <t>2026-06-28T23:51:57+05:30</t>
  </si>
  <si>
    <t>t28dp1wthgxqnrh@marketplace.amazon.in</t>
  </si>
  <si>
    <t>408-5084573-6363503</t>
  </si>
  <si>
    <t>T1jv66zR4</t>
  </si>
  <si>
    <t>Dk87X1fXcN0VR</t>
  </si>
  <si>
    <t>2026-06-28T18:50:18+05:30</t>
  </si>
  <si>
    <t>2026-06-28T20:49:41+05:30</t>
  </si>
  <si>
    <t>2026-06-28T20:49:44+05:30</t>
  </si>
  <si>
    <t>2026-06-28T21:49:55+05:30</t>
  </si>
  <si>
    <t>w8t8pnds6v8sxtp@marketplace.amazon.in</t>
  </si>
  <si>
    <t>408-5846089-9473140</t>
  </si>
  <si>
    <t>T1FCC6TM4</t>
  </si>
  <si>
    <t>DTW6CRfdc60NR</t>
  </si>
  <si>
    <t>2026-06-28T11:55:17+05:30</t>
  </si>
  <si>
    <t>2026-06-28T20:34:49+05:30</t>
  </si>
  <si>
    <t>2026-06-28T23:35:01+05:30</t>
  </si>
  <si>
    <t>xxpb0kqlgq0g42t@marketplace.amazon.in</t>
  </si>
  <si>
    <t>171-0580519-4403549</t>
  </si>
  <si>
    <t>TwStGBzh4</t>
  </si>
  <si>
    <t>DhMlCNfjcl0KR</t>
  </si>
  <si>
    <t>2026-06-28T19:04:03+05:30</t>
  </si>
  <si>
    <t>2026-06-28T20:34:43+05:30</t>
  </si>
  <si>
    <t>2026-06-28T23:34:56+05:30</t>
  </si>
  <si>
    <t>vqr7dw1x6ndgbb2@marketplace.amazon.in</t>
  </si>
  <si>
    <t>407-8103745-9236319</t>
  </si>
  <si>
    <t>Tcx2BPzy4</t>
  </si>
  <si>
    <t>D5ZTCWf6cf0LR</t>
  </si>
  <si>
    <t>2026-06-28T15:08:05+05:30</t>
  </si>
  <si>
    <t>2026-06-28T20:33:46+05:30</t>
  </si>
  <si>
    <t>2026-06-28T23:34:01+05:30</t>
  </si>
  <si>
    <t>x3vnf8hmgd1bngy@marketplace.amazon.in</t>
  </si>
  <si>
    <t>402-0998515-6226763</t>
  </si>
  <si>
    <t>Tn5TJJT94</t>
  </si>
  <si>
    <t>DLxDCFfBcM0sR</t>
  </si>
  <si>
    <t>2026-06-28T07:42:08+05:30</t>
  </si>
  <si>
    <t>2026-06-28T23:27:57+05:30</t>
  </si>
  <si>
    <t>98wsds613bhvms3@marketplace.amazon.in</t>
  </si>
  <si>
    <t>Ramnagar</t>
  </si>
  <si>
    <t>404-9889207-8311513</t>
  </si>
  <si>
    <t>T67mn4zm4</t>
  </si>
  <si>
    <t>DSx8C2f6cQ07R</t>
  </si>
  <si>
    <t>2026-06-28T18:26:23+05:30</t>
  </si>
  <si>
    <t>2026-06-28T20:27:40+05:30</t>
  </si>
  <si>
    <t>2026-06-28T20:27:43+05:30</t>
  </si>
  <si>
    <t>2026-06-28T21:27:54+05:30</t>
  </si>
  <si>
    <t>hsrgzp2pzvx54mw@marketplace.amazon.in</t>
  </si>
  <si>
    <t>402-9642918-8186733</t>
  </si>
  <si>
    <t>Twzx60Tt4</t>
  </si>
  <si>
    <t>DxxvC5f5c20sR</t>
  </si>
  <si>
    <t>2026-06-28T12:15:39+05:30</t>
  </si>
  <si>
    <t>2026-06-28T20:25:42+05:30</t>
  </si>
  <si>
    <t>2026-06-28T23:25:54+05:30</t>
  </si>
  <si>
    <t>8yjr6sy1g9ndx5w@marketplace.amazon.in</t>
  </si>
  <si>
    <t>405-5065235-4578705</t>
  </si>
  <si>
    <t>TVkv88T54</t>
  </si>
  <si>
    <t>DGLNC8fHcp0WR</t>
  </si>
  <si>
    <t>2026-06-28T12:54:01+05:30</t>
  </si>
  <si>
    <t>2026-06-28T20:23:44+05:30</t>
  </si>
  <si>
    <t>2026-06-28T23:23:56+05:30</t>
  </si>
  <si>
    <t>z8nxffddyppn5jm@marketplace.amazon.in</t>
  </si>
  <si>
    <t>404-4405186-1525108</t>
  </si>
  <si>
    <t>TVDQK4Td4</t>
  </si>
  <si>
    <t>D4hFpmfwcd0bR</t>
  </si>
  <si>
    <t>2026-06-28T12:26:34+05:30</t>
  </si>
  <si>
    <t>2026-06-28T20:16:43+05:30</t>
  </si>
  <si>
    <t>2026-06-28T20:16:46+05:30</t>
  </si>
  <si>
    <t>2026-06-28T21:16:56+05:30</t>
  </si>
  <si>
    <t>btccdc4kfc3b54c@marketplace.amazon.in</t>
  </si>
  <si>
    <t>404-8511003-3373166</t>
  </si>
  <si>
    <t>TnsqmMTf4</t>
  </si>
  <si>
    <t>DRhKpWf3c00SR</t>
  </si>
  <si>
    <t>2026-06-28T11:46:01+05:30</t>
  </si>
  <si>
    <t>2026-06-28T20:11:44+05:30</t>
  </si>
  <si>
    <t>2026-06-28T23:11:56+05:30</t>
  </si>
  <si>
    <t>1jhsls94sc21km8@marketplace.amazon.in</t>
  </si>
  <si>
    <t>404-7572212-6578769</t>
  </si>
  <si>
    <t>TwFhTVzB4</t>
  </si>
  <si>
    <t>Dm5dWBf8cH0zR</t>
  </si>
  <si>
    <t>2026-06-28T18:23:25+05:30</t>
  </si>
  <si>
    <t>2026-06-28T20:01:58+05:30</t>
  </si>
  <si>
    <t>2026-06-28T23:02:18+05:30</t>
  </si>
  <si>
    <t>fgp0wb856rdkl8k@marketplace.amazon.in</t>
  </si>
  <si>
    <t>405-8161144-8180318</t>
  </si>
  <si>
    <t>TXPjtNzl4</t>
  </si>
  <si>
    <t>DnNcWtfGcg0ZR</t>
  </si>
  <si>
    <t>2026-06-28T17:59:39+05:30</t>
  </si>
  <si>
    <t>2026-06-28T20:00:41+05:30</t>
  </si>
  <si>
    <t>2026-06-28T23:00:52+05:30</t>
  </si>
  <si>
    <t>t37cpdl87k8rd32@marketplace.amazon.in</t>
  </si>
  <si>
    <t>403-0318387-6593107</t>
  </si>
  <si>
    <t>TXbS4Czc4</t>
  </si>
  <si>
    <t>DVHlW8f6c302R</t>
  </si>
  <si>
    <t>2026-06-28T14:59:23+05:30</t>
  </si>
  <si>
    <t>2026-06-28T19:58:45+05:30</t>
  </si>
  <si>
    <t>2026-06-28T22:58:57+05:30</t>
  </si>
  <si>
    <t>lzysq57nvq1n4t7@marketplace.amazon.in</t>
  </si>
  <si>
    <t>171-4430991-9541941</t>
  </si>
  <si>
    <t>TgRN7RzH4</t>
  </si>
  <si>
    <t>DZprWVfYcT0YR</t>
  </si>
  <si>
    <t>2026-06-28T16:43:42+05:30</t>
  </si>
  <si>
    <t>2026-06-28T19:52:46+05:30</t>
  </si>
  <si>
    <t>2026-06-28T22:52:58+05:30</t>
  </si>
  <si>
    <t>p969phvcn9syp0y@marketplace.amazon.in</t>
  </si>
  <si>
    <t>171-4968325-8929909</t>
  </si>
  <si>
    <t>T13RslzD4</t>
  </si>
  <si>
    <t>DCzgWvfHcw0mR</t>
  </si>
  <si>
    <t>2026-06-28T18:20:49+05:30</t>
  </si>
  <si>
    <t>2026-06-28T19:51:46+05:30</t>
  </si>
  <si>
    <t>2026-06-28T22:51:58+05:30</t>
  </si>
  <si>
    <t>88wj246d1csxdqg@marketplace.amazon.in</t>
  </si>
  <si>
    <t>171-9380498-8660343</t>
  </si>
  <si>
    <t>Tw5ThWTx4</t>
  </si>
  <si>
    <t>DnhzKwfPc70lR</t>
  </si>
  <si>
    <t>2026-06-28T14:17:44+05:30</t>
  </si>
  <si>
    <t>2026-06-28T19:38:48+05:30</t>
  </si>
  <si>
    <t>2026-06-28T22:39:02+05:30</t>
  </si>
  <si>
    <t>y21gmhgc6j8v7jt@marketplace.amazon.in</t>
  </si>
  <si>
    <t>404-9485840-1653968</t>
  </si>
  <si>
    <t>T1xGRGz94</t>
  </si>
  <si>
    <t>DqsZKbfMcz0wR</t>
  </si>
  <si>
    <t>2026-06-28T14:41:32+05:30</t>
  </si>
  <si>
    <t>2026-06-28T19:36:52+05:30</t>
  </si>
  <si>
    <t>2026-06-28T22:37:04+05:30</t>
  </si>
  <si>
    <t>s53wy6b2nz0l0fm@marketplace.amazon.in</t>
  </si>
  <si>
    <t>407-0126896-8288372</t>
  </si>
  <si>
    <t>TnXqCMfR4</t>
  </si>
  <si>
    <t>DksZKpfxcn0CR</t>
  </si>
  <si>
    <t>2026-06-26T13:22:48+05:30</t>
  </si>
  <si>
    <t>2026-06-28T19:30:48+05:30</t>
  </si>
  <si>
    <t>2026-06-28T22:31:01+05:30</t>
  </si>
  <si>
    <t>ym450lyghb4p4vr@marketplace.amazon.in</t>
  </si>
  <si>
    <t>DtsTKpfxcn0CR</t>
  </si>
  <si>
    <t>DHsYKpfxcn0CR</t>
  </si>
  <si>
    <t>DxsXKnfxcn0CR</t>
  </si>
  <si>
    <t>DBJ3KPf9cm0PR</t>
  </si>
  <si>
    <t>DhJBKPf9cm0PR</t>
  </si>
  <si>
    <t>404-6208292-0277920</t>
  </si>
  <si>
    <t>TVSZ8zTs4</t>
  </si>
  <si>
    <t>DymvmdfMcb0FR</t>
  </si>
  <si>
    <t>2026-06-28T12:43:54+05:30</t>
  </si>
  <si>
    <t>2026-06-28T19:24:47+05:30</t>
  </si>
  <si>
    <t>2026-06-28T22:25:01+05:30</t>
  </si>
  <si>
    <t>8q0s3vmg1tj40k5@marketplace.amazon.in</t>
  </si>
  <si>
    <t>406-3933230-4160353</t>
  </si>
  <si>
    <t>TJjwClTY4</t>
  </si>
  <si>
    <t>DGb9mkfhcw0yR</t>
  </si>
  <si>
    <t>2026-06-28T12:13:00+05:30</t>
  </si>
  <si>
    <t>2026-06-28T19:23:47+05:30</t>
  </si>
  <si>
    <t>2026-06-28T22:23:58+05:30</t>
  </si>
  <si>
    <t>78c7rpszpv43lj7@marketplace.amazon.in</t>
  </si>
  <si>
    <t>PENNAGARAM</t>
  </si>
  <si>
    <t>AC002653169IN</t>
  </si>
  <si>
    <t>407-2759269-4156355</t>
  </si>
  <si>
    <t>TwwyFGzC4</t>
  </si>
  <si>
    <t>DLSllRfgc70LR</t>
  </si>
  <si>
    <t>2026-06-28T15:23:32+05:30</t>
  </si>
  <si>
    <t>2026-06-28T19:19:52+05:30</t>
  </si>
  <si>
    <t>2026-06-28T22:20:13+05:30</t>
  </si>
  <si>
    <t>fsh8ynbpj6jq8xt@marketplace.amazon.in</t>
  </si>
  <si>
    <t>407-9885233-2942764</t>
  </si>
  <si>
    <t>TnQJxgzJ4</t>
  </si>
  <si>
    <t>DzFslkfPcT05R</t>
  </si>
  <si>
    <t>2026-06-28T17:06:26+05:30</t>
  </si>
  <si>
    <t>2026-06-28T19:12:42+05:30</t>
  </si>
  <si>
    <t>2026-06-28T22:12:54+05:30</t>
  </si>
  <si>
    <t>9zvpj5jxyc56r80@marketplace.amazon.in</t>
  </si>
  <si>
    <t>408-4566360-5364356</t>
  </si>
  <si>
    <t>TcdJzWzX4</t>
  </si>
  <si>
    <t>DJG7llfkcd0JR</t>
  </si>
  <si>
    <t>2026-06-28T16:19:11+05:30</t>
  </si>
  <si>
    <t>2026-06-28T19:07:39+05:30</t>
  </si>
  <si>
    <t>2026-06-28T19:07:42+05:30</t>
  </si>
  <si>
    <t>2026-06-28T20:07:52+05:30</t>
  </si>
  <si>
    <t>jkfmtvclwcbb8p0@marketplace.amazon.in</t>
  </si>
  <si>
    <t>407-6725747-9464302</t>
  </si>
  <si>
    <t>TGRgj2Tp4</t>
  </si>
  <si>
    <t>DxYp6xf2cL02R</t>
  </si>
  <si>
    <t>2026-06-28T12:49:28+05:30</t>
  </si>
  <si>
    <t>2026-06-28T18:13:43+05:30</t>
  </si>
  <si>
    <t>2026-06-28T21:13:56+05:30</t>
  </si>
  <si>
    <t>l22pbpq9nqlkrlw@marketplace.amazon.in</t>
  </si>
  <si>
    <t>402-4114693-7346768</t>
  </si>
  <si>
    <t>TcLxk5zz4</t>
  </si>
  <si>
    <t>DYJ1dHfxcQ0BR</t>
  </si>
  <si>
    <t>2026-06-28T13:58:24+05:30</t>
  </si>
  <si>
    <t>2026-06-28T17:56:44+05:30</t>
  </si>
  <si>
    <t>2026-06-28T20:56:59+05:30</t>
  </si>
  <si>
    <t>d56s6qthng2zxxc@marketplace.amazon.in</t>
  </si>
  <si>
    <t>407-1528364-5269167</t>
  </si>
  <si>
    <t>TVv902TT4</t>
  </si>
  <si>
    <t>Dpd4dffjc10LR</t>
  </si>
  <si>
    <t>2026-06-28T11:00:20+05:30</t>
  </si>
  <si>
    <t>2026-06-28T17:49:48+05:30</t>
  </si>
  <si>
    <t>2026-06-28T20:50:02+05:30</t>
  </si>
  <si>
    <t>yfq73m7qhnyt98c@marketplace.amazon.in</t>
  </si>
  <si>
    <t>407-7611164-1986765</t>
  </si>
  <si>
    <t>TwNSHMzT4</t>
  </si>
  <si>
    <t>DLdrdlfpc10LR</t>
  </si>
  <si>
    <t>2026-06-28T14:47:17+05:30</t>
  </si>
  <si>
    <t>2026-06-28T17:47:44+05:30</t>
  </si>
  <si>
    <t>2026-06-28T20:47:56+05:30</t>
  </si>
  <si>
    <t>7pc369srrnnlvv2@marketplace.amazon.in</t>
  </si>
  <si>
    <t>404-5267252-4827505</t>
  </si>
  <si>
    <t>TJ4QbLz54</t>
  </si>
  <si>
    <t>DRB5GCflcJ0XR</t>
  </si>
  <si>
    <t>2026-06-28T12:23:37+05:30</t>
  </si>
  <si>
    <t>2026-06-28T17:45:41+05:30</t>
  </si>
  <si>
    <t>2026-06-28T17:45:44+05:30</t>
  </si>
  <si>
    <t>2026-06-28T18:45:55+05:30</t>
  </si>
  <si>
    <t>7j45fsqyh4bzyjb@marketplace.amazon.in</t>
  </si>
  <si>
    <t>404-1680211-9207543</t>
  </si>
  <si>
    <t>TXcX0pTl4</t>
  </si>
  <si>
    <t>D9VlGGfrcT0lR</t>
  </si>
  <si>
    <t>2026-06-28T10:32:17+05:30</t>
  </si>
  <si>
    <t>2026-06-28T17:44:46+05:30</t>
  </si>
  <si>
    <t>2026-06-28T20:44:59+05:30</t>
  </si>
  <si>
    <t>pqsp8vqn10l1qjl@marketplace.amazon.in</t>
  </si>
  <si>
    <t>407-7940974-0089121</t>
  </si>
  <si>
    <t>T1f8SWTY4</t>
  </si>
  <si>
    <t>D5WJt9fJcr0NR</t>
  </si>
  <si>
    <t>2026-06-28T09:39:36+05:30</t>
  </si>
  <si>
    <t>2026-06-28T17:27:46+05:30</t>
  </si>
  <si>
    <t>2026-06-28T17:27:56+05:30</t>
  </si>
  <si>
    <t>2026-06-28T18:28:13+05:30</t>
  </si>
  <si>
    <t>14swntjhcnrk9jh@marketplace.amazon.in</t>
  </si>
  <si>
    <t>404-8227694-6443522</t>
  </si>
  <si>
    <t>TJTCmXTb4</t>
  </si>
  <si>
    <t>DXWvtJfQc40zR</t>
  </si>
  <si>
    <t>2026-06-28T12:01:58+05:30</t>
  </si>
  <si>
    <t>2026-06-28T17:27:42+05:30</t>
  </si>
  <si>
    <t>2026-06-28T20:27:52+05:30</t>
  </si>
  <si>
    <t>m30fpfny0pdny2y@marketplace.amazon.in</t>
  </si>
  <si>
    <t>403-9193993-1299543</t>
  </si>
  <si>
    <t>TGBh0JT74</t>
  </si>
  <si>
    <t>DV9jtHfsct0hR</t>
  </si>
  <si>
    <t>2026-06-28T10:15:21+05:30</t>
  </si>
  <si>
    <t>2026-06-28T17:23:47+05:30</t>
  </si>
  <si>
    <t>2026-06-28T20:24:00+05:30</t>
  </si>
  <si>
    <t>wb3tcnq8y8jcp05@marketplace.amazon.in</t>
  </si>
  <si>
    <t>171-9893713-5965926</t>
  </si>
  <si>
    <t>T3JSnHH44</t>
  </si>
  <si>
    <t>D49StJfyct0hR</t>
  </si>
  <si>
    <t>2026-06-27T15:28:43+05:30</t>
  </si>
  <si>
    <t>2026-06-28T17:21:46+05:30</t>
  </si>
  <si>
    <t>2026-06-28T20:21:57+05:30</t>
  </si>
  <si>
    <t>6n8spzd0skmb9wx@marketplace.amazon.in</t>
  </si>
  <si>
    <t>404-0049232-0969132</t>
  </si>
  <si>
    <t>TXhtHfzM4</t>
  </si>
  <si>
    <t>Dh9yt5fBct0hR</t>
  </si>
  <si>
    <t>2026-06-28T14:20:43+05:30</t>
  </si>
  <si>
    <t>2026-06-28T17:21:42+05:30</t>
  </si>
  <si>
    <t>2026-06-28T20:21:59+05:30</t>
  </si>
  <si>
    <t>m3ppmqym1rvdz15@marketplace.amazon.in</t>
  </si>
  <si>
    <t>402-3952337-0808312</t>
  </si>
  <si>
    <t>Tc9c6PTg4</t>
  </si>
  <si>
    <t>DqSyP0fScn0FR</t>
  </si>
  <si>
    <t>2026-06-28T09:55:29+05:30</t>
  </si>
  <si>
    <t>2026-06-28T17:16:37+05:30</t>
  </si>
  <si>
    <t>2026-06-28T17:16:40+05:30</t>
  </si>
  <si>
    <t>2026-06-28T18:16:51+05:30</t>
  </si>
  <si>
    <t>0cz3bx64nfc7mmt@marketplace.amazon.in</t>
  </si>
  <si>
    <t>DkSpPLfScn0FR</t>
  </si>
  <si>
    <t>404-3879549-3993953</t>
  </si>
  <si>
    <t>TgKBq7T74</t>
  </si>
  <si>
    <t>DMNWPZfrch0lR</t>
  </si>
  <si>
    <t>2026-06-28T13:07:19+05:30</t>
  </si>
  <si>
    <t>2026-06-28T17:14:45+05:30</t>
  </si>
  <si>
    <t>2026-06-28T20:14:58+05:30</t>
  </si>
  <si>
    <t>s1k128vk86w16fn@marketplace.amazon.in</t>
  </si>
  <si>
    <t>402-6112301-4879513</t>
  </si>
  <si>
    <t>TG3SfXTT4</t>
  </si>
  <si>
    <t>Dt1STXfFc909R</t>
  </si>
  <si>
    <t>2026-06-28T14:31:45+05:30</t>
  </si>
  <si>
    <t>2026-06-28T16:53:38+05:30</t>
  </si>
  <si>
    <t>2026-06-28T16:53:41+05:30</t>
  </si>
  <si>
    <t>2026-06-28T17:53:52+05:30</t>
  </si>
  <si>
    <t>3gtm3lrw9gbc2rq@marketplace.amazon.in</t>
  </si>
  <si>
    <t>405-8092082-4687566</t>
  </si>
  <si>
    <t>TJ36tqTj4</t>
  </si>
  <si>
    <t>D3FNTLf5ch0QR</t>
  </si>
  <si>
    <t>2026-06-28T09:57:09+05:30</t>
  </si>
  <si>
    <t>2026-06-28T16:51:43+05:30</t>
  </si>
  <si>
    <t>2026-06-28T19:52:00+05:30</t>
  </si>
  <si>
    <t>2mknzcg60t9f6m6@marketplace.amazon.in</t>
  </si>
  <si>
    <t>403-9757757-1537160</t>
  </si>
  <si>
    <t>TCkVGSc14</t>
  </si>
  <si>
    <t>Dq8cTCfhcn0XR</t>
  </si>
  <si>
    <t>2026-06-27T17:22:33+05:30</t>
  </si>
  <si>
    <t>2026-06-28T16:50:49+05:30</t>
  </si>
  <si>
    <t>2026-06-28T19:51:04+05:30</t>
  </si>
  <si>
    <t>z5y3z3qdn24vdpq@marketplace.amazon.in</t>
  </si>
  <si>
    <t>BENGALURU-560037</t>
  </si>
  <si>
    <t>171-8191069-8375500</t>
  </si>
  <si>
    <t>TCMv0jT54</t>
  </si>
  <si>
    <t>Dj0MTQfwcG0HR</t>
  </si>
  <si>
    <t>2026-06-28T09:58:22+05:30</t>
  </si>
  <si>
    <t>2026-06-28T16:45:58+05:30</t>
  </si>
  <si>
    <t>2026-06-28T19:46:24+05:30</t>
  </si>
  <si>
    <t>4f8pn8p2j67hmh3@marketplace.amazon.in</t>
  </si>
  <si>
    <t>402-3496048-6633140</t>
  </si>
  <si>
    <t>TV906PTg4</t>
  </si>
  <si>
    <t>D5wsTkf5cZ0RR</t>
  </si>
  <si>
    <t>2026-06-28T09:53:42+05:30</t>
  </si>
  <si>
    <t>2026-06-28T16:45:39+05:30</t>
  </si>
  <si>
    <t>2026-06-28T16:45:42+05:30</t>
  </si>
  <si>
    <t>2026-06-28T17:45:53+05:30</t>
  </si>
  <si>
    <t>407-3883620-7599508</t>
  </si>
  <si>
    <t>TchSStTb4</t>
  </si>
  <si>
    <t>DTt5x9fqc500R</t>
  </si>
  <si>
    <t>2026-06-28T10:29:12+05:30</t>
  </si>
  <si>
    <t>2026-06-28T16:18:44+05:30</t>
  </si>
  <si>
    <t>2026-06-28T19:18:56+05:30</t>
  </si>
  <si>
    <t>v7kv7vpy75gxz9t@marketplace.amazon.in</t>
  </si>
  <si>
    <t>gurgaon</t>
  </si>
  <si>
    <t>408-9246478-4197911</t>
  </si>
  <si>
    <t>T1MwgQL94</t>
  </si>
  <si>
    <t>DM4s3zfxcG0zR</t>
  </si>
  <si>
    <t>2026-06-25T20:59:54+05:30</t>
  </si>
  <si>
    <t>2026-06-28T16:05:46+05:30</t>
  </si>
  <si>
    <t>2026-06-28T19:05:58+05:30</t>
  </si>
  <si>
    <t>6hlywx4n75d5gwq@marketplace.amazon.in</t>
  </si>
  <si>
    <t>406-6576620-9049929</t>
  </si>
  <si>
    <t>T3pl5KTQ4</t>
  </si>
  <si>
    <t>DxbbJWfWcb0wR</t>
  </si>
  <si>
    <t>2026-06-28T13:14:39+05:30</t>
  </si>
  <si>
    <t>2026-06-28T15:42:41+05:30</t>
  </si>
  <si>
    <t>2026-06-28T15:42:44+05:30</t>
  </si>
  <si>
    <t>2026-06-28T16:42:54+05:30</t>
  </si>
  <si>
    <t>2r2x5jl069h80f4@marketplace.amazon.in</t>
  </si>
  <si>
    <t>402-3443743-2202719</t>
  </si>
  <si>
    <t>TGhcPVc04</t>
  </si>
  <si>
    <t>Dm6XM9f6cm0mR</t>
  </si>
  <si>
    <t>2026-06-27T22:16:08+05:30</t>
  </si>
  <si>
    <t>2026-06-28T15:19:41+05:30</t>
  </si>
  <si>
    <t>2026-06-28T15:19:47+05:30</t>
  </si>
  <si>
    <t>2026-06-28T16:20:00+05:30</t>
  </si>
  <si>
    <t>dydfffqr9tgyzt8@marketplace.amazon.in</t>
  </si>
  <si>
    <t>405-4576933-5269105</t>
  </si>
  <si>
    <t>TGKB0STf4</t>
  </si>
  <si>
    <t>D4fDrMfqch0rR</t>
  </si>
  <si>
    <t>2026-06-28T10:54:11+05:30</t>
  </si>
  <si>
    <t>2026-06-28T14:42:46+05:30</t>
  </si>
  <si>
    <t>2026-06-28T17:42:58+05:30</t>
  </si>
  <si>
    <t>xn13m41vhvlktld@marketplace.amazon.in</t>
  </si>
  <si>
    <t>BICHOLIM</t>
  </si>
  <si>
    <t>404-2333903-4942747</t>
  </si>
  <si>
    <t>T6C06YT54</t>
  </si>
  <si>
    <t>D2FsL8fhcf0dR</t>
  </si>
  <si>
    <t>2026-06-28T12:04:48+05:30</t>
  </si>
  <si>
    <t>2026-06-28T14:17:42+05:30</t>
  </si>
  <si>
    <t>2026-06-28T17:17:53+05:30</t>
  </si>
  <si>
    <t>5n8qn5llb5ry18p@marketplace.amazon.in</t>
  </si>
  <si>
    <t>407-6742662-3798744</t>
  </si>
  <si>
    <t>TG6XS0T74</t>
  </si>
  <si>
    <t>DjLzLkfBcq0LR</t>
  </si>
  <si>
    <t>2026-06-28T10:17:52+05:30</t>
  </si>
  <si>
    <t>2026-06-28T14:15:46+05:30</t>
  </si>
  <si>
    <t>2026-06-28T17:15:56+05:30</t>
  </si>
  <si>
    <t>fl498wpzwnb3h46@marketplace.amazon.in</t>
  </si>
  <si>
    <t>KONDAMALLAPALLE</t>
  </si>
  <si>
    <t>407-8528461-4705964</t>
  </si>
  <si>
    <t>Tc4J60Yk4</t>
  </si>
  <si>
    <t>DPlwsHfhcd0FR</t>
  </si>
  <si>
    <t>2026-06-26T23:43:39+05:30</t>
  </si>
  <si>
    <t>2026-06-28T13:53:45+05:30</t>
  </si>
  <si>
    <t>2026-06-28T13:53:49+05:30</t>
  </si>
  <si>
    <t>2026-06-28T14:54:08+05:30</t>
  </si>
  <si>
    <t>z9l4zs0xrlyqh8m@marketplace.amazon.in</t>
  </si>
  <si>
    <t>Samana</t>
  </si>
  <si>
    <t>406-3024990-9979528</t>
  </si>
  <si>
    <t>TX6lMHcC4</t>
  </si>
  <si>
    <t>D9DqQ1fkcp0CR</t>
  </si>
  <si>
    <t>2026-06-27T22:15:11+05:30</t>
  </si>
  <si>
    <t>2026-06-28T13:49:46+05:30</t>
  </si>
  <si>
    <t>2026-06-28T16:49:58+05:30</t>
  </si>
  <si>
    <t>hzrn3qs1lnfdb3z@marketplace.amazon.in</t>
  </si>
  <si>
    <t>New DELHI</t>
  </si>
  <si>
    <t>171-8102122-9057969</t>
  </si>
  <si>
    <t>TCC9h8cq4</t>
  </si>
  <si>
    <t>DQTXvzfScH0LR</t>
  </si>
  <si>
    <t>2026-06-27T22:59:11+05:30</t>
  </si>
  <si>
    <t>2026-06-28T13:04:41+05:30</t>
  </si>
  <si>
    <t>2026-06-28T13:04:45+05:30</t>
  </si>
  <si>
    <t>2026-06-28T14:04:58+05:30</t>
  </si>
  <si>
    <t>lkmgc5yd46d6x8h@marketplace.amazon.in</t>
  </si>
  <si>
    <t>404-4388885-0655556</t>
  </si>
  <si>
    <t>TnhcpRct4</t>
  </si>
  <si>
    <t>DgF5zMffc906R</t>
  </si>
  <si>
    <t>2026-06-27T22:05:15+05:30</t>
  </si>
  <si>
    <t>2026-06-28T12:55:47+05:30</t>
  </si>
  <si>
    <t>2026-06-28T15:56:02+05:30</t>
  </si>
  <si>
    <t>zn3w1kpmzpfm8p7@marketplace.amazon.in</t>
  </si>
  <si>
    <t>171-3690073-8393144</t>
  </si>
  <si>
    <t>Tczb6Rcf4</t>
  </si>
  <si>
    <t>DzPLvdfgcx08R</t>
  </si>
  <si>
    <t>2026-06-27T23:10:35+05:30</t>
  </si>
  <si>
    <t>2026-06-28T12:54:51+05:30</t>
  </si>
  <si>
    <t>2026-06-28T15:55:05+05:30</t>
  </si>
  <si>
    <t>qnw1w2r922b20s3@marketplace.amazon.in</t>
  </si>
  <si>
    <t>171-5123514-7679518</t>
  </si>
  <si>
    <t>T6HfSyTQ4</t>
  </si>
  <si>
    <t>D6nyvHfpcV0JR</t>
  </si>
  <si>
    <t>2026-06-28T10:09:09+05:30</t>
  </si>
  <si>
    <t>2026-06-28T12:54:43+05:30</t>
  </si>
  <si>
    <t>2026-06-28T15:54:54+05:30</t>
  </si>
  <si>
    <t>k5l3jvqp4xycndj@marketplace.amazon.in</t>
  </si>
  <si>
    <t>2026-06-28T20:00:00+05:30</t>
  </si>
  <si>
    <t>403-3235177-6222746</t>
  </si>
  <si>
    <t>TCxQlgc94</t>
  </si>
  <si>
    <t>D6WwVpfQcC0XR</t>
  </si>
  <si>
    <t>2026-06-27T21:02:28+05:30</t>
  </si>
  <si>
    <t>2026-06-28T12:32:47+05:30</t>
  </si>
  <si>
    <t>2026-06-28T15:32:58+05:30</t>
  </si>
  <si>
    <t>4pk7nsmbbf0z5yc@marketplace.amazon.in</t>
  </si>
  <si>
    <t>404-2482167-3393154</t>
  </si>
  <si>
    <t>Tg5TlKck4</t>
  </si>
  <si>
    <t>DFQM2PfFcV02R</t>
  </si>
  <si>
    <t>2026-06-27T22:33:48+05:30</t>
  </si>
  <si>
    <t>2026-06-28T12:11:46+05:30</t>
  </si>
  <si>
    <t>2026-06-28T15:11:57+05:30</t>
  </si>
  <si>
    <t>lw9lpxx86f9z8jr@marketplace.amazon.in</t>
  </si>
  <si>
    <t>AMBEDKAR NAGAR</t>
  </si>
  <si>
    <t>171-0918951-6872329</t>
  </si>
  <si>
    <t>TcxKGyTh4</t>
  </si>
  <si>
    <t>DjFfFqfzc10nR</t>
  </si>
  <si>
    <t>2026-06-28T09:50:37+05:30</t>
  </si>
  <si>
    <t>2026-06-28T12:08:42+05:30</t>
  </si>
  <si>
    <t>2026-06-28T15:08:54+05:30</t>
  </si>
  <si>
    <t>76tn2kl21lcxf9w@marketplace.amazon.in</t>
  </si>
  <si>
    <t>406-7025138-0793135</t>
  </si>
  <si>
    <t>TcgD66Tn4</t>
  </si>
  <si>
    <t>DwC7FLfTcP0GR</t>
  </si>
  <si>
    <t>2026-06-28T10:06:56+05:30</t>
  </si>
  <si>
    <t>2026-06-28T11:51:39+05:30</t>
  </si>
  <si>
    <t>2026-06-28T14:51:53+05:30</t>
  </si>
  <si>
    <t>2h3j7vr8kph5dbp@marketplace.amazon.in</t>
  </si>
  <si>
    <t>Sanawad</t>
  </si>
  <si>
    <t>406-0569857-3187541</t>
  </si>
  <si>
    <t>TJ1mZyCs4</t>
  </si>
  <si>
    <t>DHgxDlfWcX0FR</t>
  </si>
  <si>
    <t>2026-06-26T20:38:55+05:30</t>
  </si>
  <si>
    <t>2026-06-28T11:48:43+05:30</t>
  </si>
  <si>
    <t>2026-06-28T14:48:55+05:30</t>
  </si>
  <si>
    <t>hcdrw3lmj3c9hcq@marketplace.amazon.in</t>
  </si>
  <si>
    <t>Jalandhar</t>
  </si>
  <si>
    <t>406-2013020-9433952</t>
  </si>
  <si>
    <t>T1DQ0scL4</t>
  </si>
  <si>
    <t>D61vDCfxcs09R</t>
  </si>
  <si>
    <t>2026-06-27T23:14:52+05:30</t>
  </si>
  <si>
    <t>2026-06-28T11:46:46+05:30</t>
  </si>
  <si>
    <t>2026-06-28T14:46:58+05:30</t>
  </si>
  <si>
    <t>vz1xxdgmz2ck8ln@marketplace.amazon.in</t>
  </si>
  <si>
    <t>407-8149152-0918726</t>
  </si>
  <si>
    <t>T6Y3SmTP4</t>
  </si>
  <si>
    <t>DSbcDSf1cR0sR</t>
  </si>
  <si>
    <t>2026-06-28T10:23:03+05:30</t>
  </si>
  <si>
    <t>2026-06-28T11:44:44+05:30</t>
  </si>
  <si>
    <t>2026-06-28T14:44:56+05:30</t>
  </si>
  <si>
    <t>p37mvgfj49x0q1v@marketplace.amazon.in</t>
  </si>
  <si>
    <t>403-6415506-9132318</t>
  </si>
  <si>
    <t>TwKhxLTH4</t>
  </si>
  <si>
    <t>Dn3fY0fCc50pR</t>
  </si>
  <si>
    <t>2026-06-28T08:51:43+05:30</t>
  </si>
  <si>
    <t>2026-06-28T11:28:44+05:30</t>
  </si>
  <si>
    <t>2026-06-28T14:28:57+05:30</t>
  </si>
  <si>
    <t>ln805qpfd5b25cg@marketplace.amazon.in</t>
  </si>
  <si>
    <t>Rajahmundry</t>
  </si>
  <si>
    <t>402-6503463-8161160</t>
  </si>
  <si>
    <t>T1qCdPTP4</t>
  </si>
  <si>
    <t>D7hvY0fPcc0tR</t>
  </si>
  <si>
    <t>2026-06-28T10:05:33+05:30</t>
  </si>
  <si>
    <t>2026-06-28T11:25:39+05:30</t>
  </si>
  <si>
    <t>2026-06-28T14:25:51+05:30</t>
  </si>
  <si>
    <t>rtj2pl6jbqvl7lj@marketplace.amazon.in</t>
  </si>
  <si>
    <t>402-3486032-3364305</t>
  </si>
  <si>
    <t>TgVD8Hcc4</t>
  </si>
  <si>
    <t>D306ycf3cl0gR</t>
  </si>
  <si>
    <t>2026-06-27T23:01:56+05:30</t>
  </si>
  <si>
    <t>2026-06-28T11:05:46+05:30</t>
  </si>
  <si>
    <t>2026-06-28T14:06:05+05:30</t>
  </si>
  <si>
    <t>zk2js3zfmrr9qq7@marketplace.amazon.in</t>
  </si>
  <si>
    <t>407-8274939-3293943</t>
  </si>
  <si>
    <t>TgF44bH34</t>
  </si>
  <si>
    <t>DNvrwrfGcd06R</t>
  </si>
  <si>
    <t>2026-06-27T11:24:15+05:30</t>
  </si>
  <si>
    <t>2026-06-28T11:01:48+05:30</t>
  </si>
  <si>
    <t>2026-06-28T14:02:01+05:30</t>
  </si>
  <si>
    <t>0k8zqtz57f9wwpb@marketplace.amazon.in</t>
  </si>
  <si>
    <t>406-2411026-3060324</t>
  </si>
  <si>
    <t>T6t03pTH4</t>
  </si>
  <si>
    <t>DnvkwDfVcd06R</t>
  </si>
  <si>
    <t>2026-06-28T08:50:41+05:30</t>
  </si>
  <si>
    <t>2026-06-28T10:57:40+05:30</t>
  </si>
  <si>
    <t>2026-06-28T10:57:44+05:30</t>
  </si>
  <si>
    <t>2026-06-28T11:57:59+05:30</t>
  </si>
  <si>
    <t>sf6s18mplc42782@marketplace.amazon.in</t>
  </si>
  <si>
    <t>404-6938109-0872306</t>
  </si>
  <si>
    <t>T11PJcH14</t>
  </si>
  <si>
    <t>DcwGw3fFcH07R</t>
  </si>
  <si>
    <t>2026-06-27T15:42:03+05:30</t>
  </si>
  <si>
    <t>2026-06-28T10:47:39+05:30</t>
  </si>
  <si>
    <t>2026-06-28T13:47:47+05:30</t>
  </si>
  <si>
    <t>bjxhzlq9r0bg98v@marketplace.amazon.in</t>
  </si>
  <si>
    <t>406-0172054-5593926</t>
  </si>
  <si>
    <t>T6H6j2cX4</t>
  </si>
  <si>
    <t>Dy5cBlfWcn09R</t>
  </si>
  <si>
    <t>2026-06-27T21:09:49+05:30</t>
  </si>
  <si>
    <t>2026-06-28T10:41:46+05:30</t>
  </si>
  <si>
    <t>2026-06-28T13:41:57+05:30</t>
  </si>
  <si>
    <t>6z2l6p2dfgrz9nr@marketplace.amazon.in</t>
  </si>
  <si>
    <t>KHORDHA</t>
  </si>
  <si>
    <t>406-0795382-6937100</t>
  </si>
  <si>
    <t>TJnFJyTl4</t>
  </si>
  <si>
    <t>Dly7BvfCcj0HR</t>
  </si>
  <si>
    <t>2026-06-28T08:22:56+05:30</t>
  </si>
  <si>
    <t>2026-06-28T10:38:46+05:30</t>
  </si>
  <si>
    <t>2026-06-28T13:38:59+05:30</t>
  </si>
  <si>
    <t>gl5w85gqssx6s1b@marketplace.amazon.in</t>
  </si>
  <si>
    <t>408-7883270-1437150</t>
  </si>
  <si>
    <t>TVMkSdHw4</t>
  </si>
  <si>
    <t>DVmC91fycV0mR</t>
  </si>
  <si>
    <t>2026-06-27T16:34:38+05:30</t>
  </si>
  <si>
    <t>2026-06-28T10:23:45+05:30</t>
  </si>
  <si>
    <t>2026-06-28T13:23:57+05:30</t>
  </si>
  <si>
    <t>fk79hjs683qnybc@marketplace.amazon.in</t>
  </si>
  <si>
    <t>402-5263335-4553922</t>
  </si>
  <si>
    <t>T3S1H0T84</t>
  </si>
  <si>
    <t>D9kh9Tftcr0bR</t>
  </si>
  <si>
    <t>2026-06-28T03:46:49+05:30</t>
  </si>
  <si>
    <t>2026-06-28T10:20:42+05:30</t>
  </si>
  <si>
    <t>2026-06-28T13:20:53+05:30</t>
  </si>
  <si>
    <t>1y6zg0bjxnlvk0s@marketplace.amazon.in</t>
  </si>
  <si>
    <t>171-5779707-4428355</t>
  </si>
  <si>
    <t>T3W2VJH64</t>
  </si>
  <si>
    <t>DZ8Z9lfycn0zR</t>
  </si>
  <si>
    <t>2026-06-27T12:58:52+05:30</t>
  </si>
  <si>
    <t>2026-06-28T10:17:48+05:30</t>
  </si>
  <si>
    <t>2026-06-28T13:18:07+05:30</t>
  </si>
  <si>
    <t>jctsp2hncn71gjq@marketplace.amazon.in</t>
  </si>
  <si>
    <t>407-8254427-2484357</t>
  </si>
  <si>
    <t>T31zRgHF4</t>
  </si>
  <si>
    <t>Dqxf9zfWcM0RR</t>
  </si>
  <si>
    <t>2026-06-26T23:51:15+05:30</t>
  </si>
  <si>
    <t>2026-06-28T10:11:48+05:30</t>
  </si>
  <si>
    <t>2026-06-28T13:12:05+05:30</t>
  </si>
  <si>
    <t>402-2108777-2057936</t>
  </si>
  <si>
    <t>T1smFbcX4</t>
  </si>
  <si>
    <t>Dtjy4Gfnc50cR</t>
  </si>
  <si>
    <t>2026-06-27T19:42:47+05:30</t>
  </si>
  <si>
    <t>2026-06-28T10:05:42+05:30</t>
  </si>
  <si>
    <t>2026-06-28T10:05:46+05:30</t>
  </si>
  <si>
    <t>2026-06-28T11:09:59+05:30</t>
  </si>
  <si>
    <t>gfy30l96wrmlc49@marketplace.amazon.in</t>
  </si>
  <si>
    <t>406-6174768-5245113</t>
  </si>
  <si>
    <t>T6V9h9cG4</t>
  </si>
  <si>
    <t>DNGB9ZfScQ0gR</t>
  </si>
  <si>
    <t>2026-06-28T00:03:11+05:30</t>
  </si>
  <si>
    <t>2026-06-28T10:05:40+05:30</t>
  </si>
  <si>
    <t>2026-06-28T10:05:43+05:30</t>
  </si>
  <si>
    <t>2026-06-28T11:05:54+05:30</t>
  </si>
  <si>
    <t>05nsfk7r8wbnmzr@marketplace.amazon.in</t>
  </si>
  <si>
    <t>171-4802296-0979567</t>
  </si>
  <si>
    <t>TC4n3wT34</t>
  </si>
  <si>
    <t>DWBB4SfdcL0XR</t>
  </si>
  <si>
    <t>2026-06-28T08:18:04+05:30</t>
  </si>
  <si>
    <t>2026-06-28T09:59:45+05:30</t>
  </si>
  <si>
    <t>2026-06-28T12:59:59+05:30</t>
  </si>
  <si>
    <t>y13m7r5q3l0t400@marketplace.amazon.in</t>
  </si>
  <si>
    <t>PANMANA</t>
  </si>
  <si>
    <t>405-7594735-5326752</t>
  </si>
  <si>
    <t>TJz0BQcZ4</t>
  </si>
  <si>
    <t>DkVVHGf7cQ0QR</t>
  </si>
  <si>
    <t>2026-06-27T18:42:03+05:30</t>
  </si>
  <si>
    <t>2026-06-28T09:41:04+05:30</t>
  </si>
  <si>
    <t>2026-06-28T12:41:26+05:30</t>
  </si>
  <si>
    <t>c4qypgml85hm1q6@marketplace.amazon.in</t>
  </si>
  <si>
    <t>BHIMADOLE</t>
  </si>
  <si>
    <t>402-4114380-8859510</t>
  </si>
  <si>
    <t>TXTjLJcT4</t>
  </si>
  <si>
    <t>DYhpH5fccz0zR</t>
  </si>
  <si>
    <t>2026-06-27T19:41:03+05:30</t>
  </si>
  <si>
    <t>2026-06-28T09:40:42+05:30</t>
  </si>
  <si>
    <t>2026-06-28T09:40:45+05:30</t>
  </si>
  <si>
    <t>2026-06-28T10:41:00+05:30</t>
  </si>
  <si>
    <t>mv32gsld9bpd0zd@marketplace.amazon.in</t>
  </si>
  <si>
    <t>402-2416826-4094718</t>
  </si>
  <si>
    <t>T6p96xH64</t>
  </si>
  <si>
    <t>DvHTHQfRcW0XR</t>
  </si>
  <si>
    <t>2026-06-27T17:04:07+05:30</t>
  </si>
  <si>
    <t>2026-06-28T09:33:46+05:30</t>
  </si>
  <si>
    <t>2026-06-28T12:33:58+05:30</t>
  </si>
  <si>
    <t>ycn9nrjhcxn215s@marketplace.amazon.in</t>
  </si>
  <si>
    <t>171-8142425-6037100</t>
  </si>
  <si>
    <t>TwSynZHl4</t>
  </si>
  <si>
    <t>Dd3Ybsf9c70GR</t>
  </si>
  <si>
    <t>2026-06-27T16:27:32+05:30</t>
  </si>
  <si>
    <t>2026-06-28T09:24:46+05:30</t>
  </si>
  <si>
    <t>2026-06-28T12:24:58+05:30</t>
  </si>
  <si>
    <t>6ghckm363st5c3n@marketplace.amazon.in</t>
  </si>
  <si>
    <t>406-9413680-2294746</t>
  </si>
  <si>
    <t>T1WQ1Kfm4</t>
  </si>
  <si>
    <t>D4h3bQfzcl0LR</t>
  </si>
  <si>
    <t>2026-06-24T12:11:59+05:30</t>
  </si>
  <si>
    <t>2026-06-28T09:21:46+05:30</t>
  </si>
  <si>
    <t>2026-06-28T09:21:50+05:30</t>
  </si>
  <si>
    <t>2026-06-28T10:22:05+05:30</t>
  </si>
  <si>
    <t>DBhBbQfzcl0LR</t>
  </si>
  <si>
    <t>DhhWb6fzcl0LR</t>
  </si>
  <si>
    <t>Dsh7b6fzcl0LR</t>
  </si>
  <si>
    <t>DvhNb6fzcl0LR</t>
  </si>
  <si>
    <t>407-9681672-1146728</t>
  </si>
  <si>
    <t>TG9JMrch4</t>
  </si>
  <si>
    <t>DVhmbmf4cl0LR</t>
  </si>
  <si>
    <t>2026-06-27T21:47:25+05:30</t>
  </si>
  <si>
    <t>2026-06-28T09:19:45+05:30</t>
  </si>
  <si>
    <t>2026-06-28T12:19:58+05:30</t>
  </si>
  <si>
    <t>29bg4hhpkw5930r@marketplace.amazon.in</t>
  </si>
  <si>
    <t>407-3284822-7194705</t>
  </si>
  <si>
    <t>TCb3KRcz4</t>
  </si>
  <si>
    <t>D1hZbDfhcY0LR</t>
  </si>
  <si>
    <t>2026-06-28T00:22:46+05:30</t>
  </si>
  <si>
    <t>2026-06-28T09:18:43+05:30</t>
  </si>
  <si>
    <t>2026-06-28T12:18:54+05:30</t>
  </si>
  <si>
    <t>ryc46nm3t8hl022@marketplace.amazon.in</t>
  </si>
  <si>
    <t>406-9002115-6950725</t>
  </si>
  <si>
    <t>T33KVxc04</t>
  </si>
  <si>
    <t>Dz3zkMfMcH03R</t>
  </si>
  <si>
    <t>2026-06-27T19:50:47+05:30</t>
  </si>
  <si>
    <t>2026-06-28T09:17:46+05:30</t>
  </si>
  <si>
    <t>2026-06-28T12:18:00+05:30</t>
  </si>
  <si>
    <t>404-1311274-5212307</t>
  </si>
  <si>
    <t>TgCKgnHp4</t>
  </si>
  <si>
    <t>D54Qklffcs08R</t>
  </si>
  <si>
    <t>2026-06-27T17:12:26+05:30</t>
  </si>
  <si>
    <t>2026-06-28T09:16:38+05:30</t>
  </si>
  <si>
    <t>2026-06-28T12:16:46+05:30</t>
  </si>
  <si>
    <t>791m3zqbrjss4j9@marketplace.amazon.in</t>
  </si>
  <si>
    <t>407-3523342-6321161</t>
  </si>
  <si>
    <t>TC75NJHh4</t>
  </si>
  <si>
    <t>D14Bk9fqcs08R</t>
  </si>
  <si>
    <t>2026-06-27T11:19:21+05:30</t>
  </si>
  <si>
    <t>2026-06-28T09:15:45+05:30</t>
  </si>
  <si>
    <t>2026-06-28T12:15:58+05:30</t>
  </si>
  <si>
    <t>mg922v5kfkcv21f@marketplace.amazon.in</t>
  </si>
  <si>
    <t>AM005008641IN</t>
  </si>
  <si>
    <t>406-1528668-8379543</t>
  </si>
  <si>
    <t>TVBLLZc84</t>
  </si>
  <si>
    <t>DvRKNffYcx08R</t>
  </si>
  <si>
    <t>2026-06-27T21:09:55+05:30</t>
  </si>
  <si>
    <t>2026-06-28T08:48:47+05:30</t>
  </si>
  <si>
    <t>2026-06-28T11:48:58+05:30</t>
  </si>
  <si>
    <t>xdqfv1m7kb586dd@marketplace.amazon.in</t>
  </si>
  <si>
    <t>CRASOME PVC Set of 3 Multipurpose Transparent Toiletry Bag for Unisex, Wash Bag Pouch for Travel Kit | Travel Pouch for Makeup Cosmetic, Travel Organizer for Toiletries (CTSP1-3Q-Grey)</t>
  </si>
  <si>
    <t>407-2150735-4666728</t>
  </si>
  <si>
    <t>TNpnzfCy4</t>
  </si>
  <si>
    <t>D0P2Kl0fcB0PR</t>
  </si>
  <si>
    <t>2026-06-25T21:44:28+05:30</t>
  </si>
  <si>
    <t>2026-06-28T04:49:47+05:30</t>
  </si>
  <si>
    <t>2026-06-28T07:50:02+05:30</t>
  </si>
  <si>
    <t>dd4blkzgxyxz89g@marketplace.amazon.in</t>
  </si>
  <si>
    <t>407-4073721-1157905</t>
  </si>
  <si>
    <t>TJXrSVcN4</t>
  </si>
  <si>
    <t>D9y3mb0Lcm0sR</t>
  </si>
  <si>
    <t>2026-06-28T00:29:21+05:30</t>
  </si>
  <si>
    <t>2026-06-28T04:46:44+05:30</t>
  </si>
  <si>
    <t>2026-06-28T07:46:55+05:30</t>
  </si>
  <si>
    <t>tsrt0l718vw71cj@marketplace.amazon.in</t>
  </si>
  <si>
    <t>402-6392225-4477940</t>
  </si>
  <si>
    <t>T3MxkPHP4</t>
  </si>
  <si>
    <t>Dn8BmX0PcX0vR</t>
  </si>
  <si>
    <t>2026-06-27T10:51:48+05:30</t>
  </si>
  <si>
    <t>2026-06-28T04:35:42+05:30</t>
  </si>
  <si>
    <t>2026-06-28T07:35:53+05:30</t>
  </si>
  <si>
    <t>51y7wqj5dv1zv6j@marketplace.amazon.in</t>
  </si>
  <si>
    <t>404-4140326-1341962</t>
  </si>
  <si>
    <t>TccslKHS4</t>
  </si>
  <si>
    <t>DQ7YlX0dcM0dR</t>
  </si>
  <si>
    <t>2026-06-27T15:49:40+05:30</t>
  </si>
  <si>
    <t>2026-06-28T04:24:49+05:30</t>
  </si>
  <si>
    <t>2026-06-28T07:25:04+05:30</t>
  </si>
  <si>
    <t>lvwhrxyhc470726@marketplace.amazon.in</t>
  </si>
  <si>
    <t>VITTAL</t>
  </si>
  <si>
    <t>171-6982802-1966717</t>
  </si>
  <si>
    <t>TgGKmTGF4</t>
  </si>
  <si>
    <t>DBJBmT05cC0hR</t>
  </si>
  <si>
    <t>2026-06-25T13:20:17+05:30</t>
  </si>
  <si>
    <t>2026-06-28T04:23:47+05:30</t>
  </si>
  <si>
    <t>2026-06-28T07:23:59+05:30</t>
  </si>
  <si>
    <t>35sqplnwc53h1bt@marketplace.amazon.in</t>
  </si>
  <si>
    <t>404-3045776-6995526</t>
  </si>
  <si>
    <t>TXxJPYct4</t>
  </si>
  <si>
    <t>DxgNl206cp0lR</t>
  </si>
  <si>
    <t>2026-06-27T21:41:58+05:30</t>
  </si>
  <si>
    <t>2026-06-28T04:15:46+05:30</t>
  </si>
  <si>
    <t>2026-06-28T07:15:59+05:30</t>
  </si>
  <si>
    <t>hqj8s2zhq9jrp2b@marketplace.amazon.in</t>
  </si>
  <si>
    <t>405-0907638-1761102</t>
  </si>
  <si>
    <t>T3JSrhc84</t>
  </si>
  <si>
    <t>DpTTl10wcR08R</t>
  </si>
  <si>
    <t>2026-06-27T20:49:53+05:30</t>
  </si>
  <si>
    <t>2026-06-28T04:13:43+05:30</t>
  </si>
  <si>
    <t>2026-06-28T07:13:57+05:30</t>
  </si>
  <si>
    <t>0kxdm2l7fy8z5wz@marketplace.amazon.in</t>
  </si>
  <si>
    <t>405-4430859-1513932</t>
  </si>
  <si>
    <t>TNxr3zHS4</t>
  </si>
  <si>
    <t>D3Q1l30xcd0WR</t>
  </si>
  <si>
    <t>2026-06-27T14:28:51+05:30</t>
  </si>
  <si>
    <t>2026-06-28T04:10:48+05:30</t>
  </si>
  <si>
    <t>2026-06-28T07:10:59+05:30</t>
  </si>
  <si>
    <t>z0tw6km3b5h3zr3@marketplace.amazon.in</t>
  </si>
  <si>
    <t>405-4083959-1443524</t>
  </si>
  <si>
    <t>T3X2PLcq4</t>
  </si>
  <si>
    <t>Dd1sGZ0DcR0wR</t>
  </si>
  <si>
    <t>2026-06-27T20:41:59+05:30</t>
  </si>
  <si>
    <t>2026-06-28T02:57:10+05:30</t>
  </si>
  <si>
    <t>2026-06-28T02:57:21+05:30</t>
  </si>
  <si>
    <t>2026-06-28T03:58:06+05:30</t>
  </si>
  <si>
    <t>pgcyvtqcpkl39ls@marketplace.amazon.in</t>
  </si>
  <si>
    <t>405-7906614-8864322</t>
  </si>
  <si>
    <t>T1mm0bHQ4</t>
  </si>
  <si>
    <t>Dq1FGV0RcR0wR</t>
  </si>
  <si>
    <t>2026-06-27T10:59:47+05:30</t>
  </si>
  <si>
    <t>2026-06-28T02:51:52+05:30</t>
  </si>
  <si>
    <t>2026-06-28T05:52:07+05:30</t>
  </si>
  <si>
    <t>kyy93793xrd2375@marketplace.amazon.in</t>
  </si>
  <si>
    <t>407-3631270-1447513</t>
  </si>
  <si>
    <t>TnHgHxHR4</t>
  </si>
  <si>
    <t>D59ht70TcB0pR</t>
  </si>
  <si>
    <t>2026-06-27T10:07:40+05:30</t>
  </si>
  <si>
    <t>2026-06-28T02:34:45+05:30</t>
  </si>
  <si>
    <t>2026-06-28T05:34:56+05:30</t>
  </si>
  <si>
    <t>cbb216kl34nrcmr@marketplace.amazon.in</t>
  </si>
  <si>
    <t>HATKANANGLE</t>
  </si>
  <si>
    <t>408-4146158-5001920</t>
  </si>
  <si>
    <t>TGNKhmHF4</t>
  </si>
  <si>
    <t>DDXzP50ycH0QR</t>
  </si>
  <si>
    <t>2026-06-27T18:59:24+05:30</t>
  </si>
  <si>
    <t>2026-06-28T02:25:45+05:30</t>
  </si>
  <si>
    <t>2026-06-28T05:25:57+05:30</t>
  </si>
  <si>
    <t>mtkfzwnvygvntgh@marketplace.amazon.in</t>
  </si>
  <si>
    <t>404-7427956-9458718</t>
  </si>
  <si>
    <t>TcRsTTHD4</t>
  </si>
  <si>
    <t>DczrPn0BcZ0hR</t>
  </si>
  <si>
    <t>2026-06-27T16:25:19+05:30</t>
  </si>
  <si>
    <t>2026-06-28T02:18:50+05:30</t>
  </si>
  <si>
    <t>2026-06-28T05:23:29+05:30</t>
  </si>
  <si>
    <t>l0s0p429l9gk0mv@marketplace.amazon.in</t>
  </si>
  <si>
    <t>403-8761483-6681956</t>
  </si>
  <si>
    <t>T3b4hklY4</t>
  </si>
  <si>
    <t>Dp8VPy0BcL0QR</t>
  </si>
  <si>
    <t>2026-06-27T11:47:35+05:30</t>
  </si>
  <si>
    <t>2026-06-28T02:15:45+05:30</t>
  </si>
  <si>
    <t>2026-06-28T05:15:56+05:30</t>
  </si>
  <si>
    <t>31k3dfk93pztlwy@marketplace.amazon.in</t>
  </si>
  <si>
    <t>408-7671349-4409114</t>
  </si>
  <si>
    <t>T1GMkPdp4</t>
  </si>
  <si>
    <t>D163Tw0vcR00R</t>
  </si>
  <si>
    <t>2026-06-24T17:26:56+05:30</t>
  </si>
  <si>
    <t>2026-06-28T02:08:43+05:30</t>
  </si>
  <si>
    <t>2026-06-28T05:08:54+05:30</t>
  </si>
  <si>
    <t>vsx1rjcl4bx15l2@marketplace.amazon.in</t>
  </si>
  <si>
    <t>Chakan -kuruli</t>
  </si>
  <si>
    <t>171-9406225-7604330</t>
  </si>
  <si>
    <t>Tntp8Gf64</t>
  </si>
  <si>
    <t>DdnWTn0vcp0zR</t>
  </si>
  <si>
    <t>2026-06-26T13:15:15+05:30</t>
  </si>
  <si>
    <t>2026-06-28T01:47:42+05:30</t>
  </si>
  <si>
    <t>2026-06-28T04:47:53+05:30</t>
  </si>
  <si>
    <t>408-5535082-2184350</t>
  </si>
  <si>
    <t>T1gCpglK4</t>
  </si>
  <si>
    <t>Df9q3s0ycR0FR</t>
  </si>
  <si>
    <t>2026-06-27T08:07:08+05:30</t>
  </si>
  <si>
    <t>2026-06-28T01:15:44+05:30</t>
  </si>
  <si>
    <t>2026-06-28T04:15:58+05:30</t>
  </si>
  <si>
    <t>qyc3g9kfsb3xr49@marketplace.amazon.in</t>
  </si>
  <si>
    <t>403-3414162-8078709</t>
  </si>
  <si>
    <t>TgNxkmCG4</t>
  </si>
  <si>
    <t>DlLS3Z0Fck0SR</t>
  </si>
  <si>
    <t>2026-06-26T12:32:24+05:30</t>
  </si>
  <si>
    <t>2026-06-28T01:02:48+05:30</t>
  </si>
  <si>
    <t>2026-06-28T04:03:02+05:30</t>
  </si>
  <si>
    <t>94wk5df99lqhzyr@marketplace.amazon.in</t>
  </si>
  <si>
    <t>Fatehgarh</t>
  </si>
  <si>
    <t>171-1734439-2205169</t>
  </si>
  <si>
    <t>T31X08cW4</t>
  </si>
  <si>
    <t>DmLC3y06cK08R</t>
  </si>
  <si>
    <t>2026-06-27T22:53:05+05:30</t>
  </si>
  <si>
    <t>2026-06-28T00:58:46+05:30</t>
  </si>
  <si>
    <t>2026-06-28T03:58:58+05:30</t>
  </si>
  <si>
    <t>mctkfj832w317zk@marketplace.amazon.in</t>
  </si>
  <si>
    <t>171-6394428-7513160</t>
  </si>
  <si>
    <t>TX3cGXc74</t>
  </si>
  <si>
    <t>DyLV3J0hcm0SR</t>
  </si>
  <si>
    <t>2026-06-27T23:05:51+05:30</t>
  </si>
  <si>
    <t>2026-06-28T00:58:44+05:30</t>
  </si>
  <si>
    <t>2026-06-28T03:59:01+05:30</t>
  </si>
  <si>
    <t>nc9nd1940gkkgqv@marketplace.amazon.in</t>
  </si>
  <si>
    <t>2026-06-28T08:00:00+05:30</t>
  </si>
  <si>
    <t>408-5185231-0821967</t>
  </si>
  <si>
    <t>TNCmTrcF4</t>
  </si>
  <si>
    <t>D9F7Jl03cG0QR</t>
  </si>
  <si>
    <t>2026-06-27T23:09:22+05:30</t>
  </si>
  <si>
    <t>2026-06-28T00:55:44+05:30</t>
  </si>
  <si>
    <t>2026-06-28T03:56:01+05:30</t>
  </si>
  <si>
    <t>71qfgtz86ksxt9x@marketplace.amazon.in</t>
  </si>
  <si>
    <t>403-0255601-1427544</t>
  </si>
  <si>
    <t>TgnhWjH34</t>
  </si>
  <si>
    <t>DfVDJF0Dct0MR</t>
  </si>
  <si>
    <t>2026-06-27T16:17:43+05:30</t>
  </si>
  <si>
    <t>2026-06-28T00:50:38+05:30</t>
  </si>
  <si>
    <t>2026-06-28T00:50:41+05:30</t>
  </si>
  <si>
    <t>2026-06-28T01:50:52+05:30</t>
  </si>
  <si>
    <t>5kmbc3mjjf0nm3h@marketplace.amazon.in</t>
  </si>
  <si>
    <t>171-6739816-7417157</t>
  </si>
  <si>
    <t>Tc8ls9Gm4</t>
  </si>
  <si>
    <t>DvvqMr04cR0bR</t>
  </si>
  <si>
    <t>2026-06-25T07:00:25+05:30</t>
  </si>
  <si>
    <t>2026-06-28T00:44:45+05:30</t>
  </si>
  <si>
    <t>2026-06-28T03:44:58+05:30</t>
  </si>
  <si>
    <t>nw0dgjb297nfrvy@marketplace.amazon.in</t>
  </si>
  <si>
    <t>405-5514690-0294732</t>
  </si>
  <si>
    <t>T3NNKrCt4</t>
  </si>
  <si>
    <t>D0y8Mc0lcR0tR</t>
  </si>
  <si>
    <t>2026-06-26T18:46:36+05:30</t>
  </si>
  <si>
    <t>2026-06-28T00:37:46+05:30</t>
  </si>
  <si>
    <t>2026-06-28T03:37:57+05:30</t>
  </si>
  <si>
    <t>77flb8c6skgjxw9@marketplace.amazon.in</t>
  </si>
  <si>
    <t>171-6837747-6196360</t>
  </si>
  <si>
    <t>T3DpswcC4</t>
  </si>
  <si>
    <t>D89lMy0Hch09R</t>
  </si>
  <si>
    <t>2026-06-27T21:04:08+05:30</t>
  </si>
  <si>
    <t>2026-06-28T00:36:46+05:30</t>
  </si>
  <si>
    <t>2026-06-28T03:36:59+05:30</t>
  </si>
  <si>
    <t>x747v52n965ndqz@marketplace.amazon.in</t>
  </si>
  <si>
    <t>408-3487447-5368363</t>
  </si>
  <si>
    <t>TNHZJTcN4</t>
  </si>
  <si>
    <t>DmNC1S0BcC0dR</t>
  </si>
  <si>
    <t>2026-06-27T21:06:29+05:30</t>
  </si>
  <si>
    <t>2026-06-28T00:18:38+05:30</t>
  </si>
  <si>
    <t>2026-06-28T00:18:43+05:30</t>
  </si>
  <si>
    <t>2026-06-28T01:18:54+05:30</t>
  </si>
  <si>
    <t>sl5tqqlz9rnjnrz@marketplace.amazon.in</t>
  </si>
  <si>
    <t>402-0317143-9057100</t>
  </si>
  <si>
    <t>TJmZnJHJ4</t>
  </si>
  <si>
    <t>DQfH1s0tcK0SR</t>
  </si>
  <si>
    <t>2026-06-27T16:11:18+05:30</t>
  </si>
  <si>
    <t>2026-06-28T00:16:44+05:30</t>
  </si>
  <si>
    <t>2026-06-28T03:16:57+05:30</t>
  </si>
  <si>
    <t>h9c7g9z73fld036@marketplace.amazon.in</t>
  </si>
  <si>
    <t>JORHAT</t>
  </si>
  <si>
    <t>407-8700374-6997928</t>
  </si>
  <si>
    <t>TVyYJdcK4</t>
  </si>
  <si>
    <t>DclX1z0Lcj09R</t>
  </si>
  <si>
    <t>2026-06-27T21:03:03+05:30</t>
  </si>
  <si>
    <t>2026-06-28T00:08:44+05:30</t>
  </si>
  <si>
    <t>2026-06-28T00:08:47+05:30</t>
  </si>
  <si>
    <t>2026-06-28T01:08:59+05:30</t>
  </si>
  <si>
    <t>fwhgtrymryn2bc7@marketplace.amazon.in</t>
  </si>
  <si>
    <t>Gwalior</t>
  </si>
  <si>
    <t>402-7957454-5021158</t>
  </si>
  <si>
    <t>TnfDT1cC4</t>
  </si>
  <si>
    <t>D52FrK01cF0lR</t>
  </si>
  <si>
    <t>2026-06-27T23:13:46+05:30</t>
  </si>
  <si>
    <t>2026-06-28T00:05:14+05:30</t>
  </si>
  <si>
    <t>2026-06-28T03:05:25+05:30</t>
  </si>
  <si>
    <t>hvr250r1hfclntf@marketplace.amazon.in</t>
  </si>
  <si>
    <t>407-9128814-1895543</t>
  </si>
  <si>
    <t>TVz83DH94</t>
  </si>
  <si>
    <t>DG3GrM0vcL0MR</t>
  </si>
  <si>
    <t>2026-06-27T14:14:30+05:30</t>
  </si>
  <si>
    <t>2026-06-28T00:05:13+05:30</t>
  </si>
  <si>
    <t>2026-06-28T03:05:24+05:30</t>
  </si>
  <si>
    <t>dzyylc6zygj4hnq@marketplace.amazon.in</t>
  </si>
  <si>
    <t>SEONI</t>
  </si>
  <si>
    <t>407-3314783-3545908</t>
  </si>
  <si>
    <t>TC3CVscQ4</t>
  </si>
  <si>
    <t>D53prc0gcG0MR</t>
  </si>
  <si>
    <t>2026-06-27T19:47:27+05:30</t>
  </si>
  <si>
    <t>2026-06-27T23:59:46+05:30</t>
  </si>
  <si>
    <t>2026-06-28T03:00:02+05:30</t>
  </si>
  <si>
    <t>lf81x9wxmjs27ln@marketplace.amazon.in</t>
  </si>
  <si>
    <t>403-2723516-5790754</t>
  </si>
  <si>
    <t>TCRwJqcf4</t>
  </si>
  <si>
    <t>DwfGrM0sc30nR</t>
  </si>
  <si>
    <t>2026-06-27T21:15:06+05:30</t>
  </si>
  <si>
    <t>2026-06-27T23:57:43+05:30</t>
  </si>
  <si>
    <t>2026-06-28T02:57:55+05:30</t>
  </si>
  <si>
    <t>4y0pngnx1zzr4t2@marketplace.amazon.in</t>
  </si>
  <si>
    <t>171-8283477-3105967</t>
  </si>
  <si>
    <t>TVYY1rHh4</t>
  </si>
  <si>
    <t>DscBrG0ccm0JR</t>
  </si>
  <si>
    <t>2026-06-27T12:03:19+05:30</t>
  </si>
  <si>
    <t>2026-06-27T23:53:53+05:30</t>
  </si>
  <si>
    <t>2026-06-28T02:54:17+05:30</t>
  </si>
  <si>
    <t>jphjyr12h5kc791@marketplace.amazon.in</t>
  </si>
  <si>
    <t>406-7389110-1677117</t>
  </si>
  <si>
    <t>TN7V98cf4</t>
  </si>
  <si>
    <t>DXNr7X09cw0zR</t>
  </si>
  <si>
    <t>2026-06-27T19:51:41+05:30</t>
  </si>
  <si>
    <t>2026-06-27T23:44:52+05:30</t>
  </si>
  <si>
    <t>2026-06-28T02:45:07+05:30</t>
  </si>
  <si>
    <t>s4n6tmqvn74xh3y@marketplace.amazon.in</t>
  </si>
  <si>
    <t>403-2207865-2711562</t>
  </si>
  <si>
    <t>T1JWyTcW4</t>
  </si>
  <si>
    <t>DZ7H7r0ycz0vR</t>
  </si>
  <si>
    <t>2026-06-27T19:26:36+05:30</t>
  </si>
  <si>
    <t>2026-06-27T23:44:42+05:30</t>
  </si>
  <si>
    <t>2026-06-27T23:44:46+05:30</t>
  </si>
  <si>
    <t>2026-06-28T00:44:58+05:30</t>
  </si>
  <si>
    <t>hfvtkz7s4zht97m@marketplace.amazon.in</t>
  </si>
  <si>
    <t>406-4847807-1301964</t>
  </si>
  <si>
    <t>TJKC3zcS4</t>
  </si>
  <si>
    <t>DfW7Lr06cH0HR</t>
  </si>
  <si>
    <t>2026-06-27T21:21:39+05:30</t>
  </si>
  <si>
    <t>2026-06-27T23:22:46+05:30</t>
  </si>
  <si>
    <t>2026-06-28T02:23:00+05:30</t>
  </si>
  <si>
    <t>h577fw6k4wr9sfz@marketplace.amazon.in</t>
  </si>
  <si>
    <t>402-7652782-5554746</t>
  </si>
  <si>
    <t>T16vMCc84</t>
  </si>
  <si>
    <t>DKx7Lb0vcP0FR</t>
  </si>
  <si>
    <t>2026-06-27T22:05:51+05:30</t>
  </si>
  <si>
    <t>2026-06-27T23:22:42+05:30</t>
  </si>
  <si>
    <t>2026-06-28T02:22:55+05:30</t>
  </si>
  <si>
    <t>j058hrdcwv514yd@marketplace.amazon.in</t>
  </si>
  <si>
    <t>405-2044851-1743565</t>
  </si>
  <si>
    <t>TJGCVfHV4</t>
  </si>
  <si>
    <t>DFx8Lb0VcP0FR</t>
  </si>
  <si>
    <t>2026-06-27T13:36:17+05:30</t>
  </si>
  <si>
    <t>2026-06-27T23:21:45+05:30</t>
  </si>
  <si>
    <t>2026-06-28T02:21:56+05:30</t>
  </si>
  <si>
    <t>3blk2q35szf9btc@marketplace.amazon.in</t>
  </si>
  <si>
    <t>171-5226074-1013941</t>
  </si>
  <si>
    <t>TVGPTLH44</t>
  </si>
  <si>
    <t>DvzCLF0bc10sR</t>
  </si>
  <si>
    <t>2026-06-27T14:39:55+05:30</t>
  </si>
  <si>
    <t>2026-06-27T23:19:44+05:30</t>
  </si>
  <si>
    <t>2026-06-28T02:20:00+05:30</t>
  </si>
  <si>
    <t>qpx5nq8784v1s6c@marketplace.amazon.in</t>
  </si>
  <si>
    <t>171-9654432-1709115</t>
  </si>
  <si>
    <t>TVjrt0Hb4</t>
  </si>
  <si>
    <t>D3SFss0Vcn0vR</t>
  </si>
  <si>
    <t>2026-06-26T11:47:41+05:30</t>
  </si>
  <si>
    <t>2026-06-27T23:16:44+05:30</t>
  </si>
  <si>
    <t>2026-06-27T23:16:47+05:30</t>
  </si>
  <si>
    <t>2026-06-28T00:17:00+05:30</t>
  </si>
  <si>
    <t>mvmyn9blbsshfcb@marketplace.amazon.in</t>
  </si>
  <si>
    <t>Hosur</t>
  </si>
  <si>
    <t>407-3553711-7688369</t>
  </si>
  <si>
    <t>TnJg33Hn4</t>
  </si>
  <si>
    <t>DQTDsD0kcH0HR</t>
  </si>
  <si>
    <t>2026-06-27T14:18:23+05:30</t>
  </si>
  <si>
    <t>2026-06-27T23:04:53+05:30</t>
  </si>
  <si>
    <t>2026-06-28T02:05:09+05:30</t>
  </si>
  <si>
    <t>7zlfpt2vs1f8zlx@marketplace.amazon.in</t>
  </si>
  <si>
    <t>407-6489838-8337900</t>
  </si>
  <si>
    <t>TGHcs4cX4</t>
  </si>
  <si>
    <t>DdVRQN04c50YR</t>
  </si>
  <si>
    <t>2026-06-27T21:07:29+05:30</t>
  </si>
  <si>
    <t>2026-06-27T22:54:45+05:30</t>
  </si>
  <si>
    <t>2026-06-28T01:54:56+05:30</t>
  </si>
  <si>
    <t>3h77p2kqth4bwvn@marketplace.amazon.in</t>
  </si>
  <si>
    <t>407-5201908-8420302</t>
  </si>
  <si>
    <t>TGytsNcY4</t>
  </si>
  <si>
    <t>DSL7Qk09c10YR</t>
  </si>
  <si>
    <t>2026-06-27T20:50:50+05:30</t>
  </si>
  <si>
    <t>2026-06-27T22:42:44+05:30</t>
  </si>
  <si>
    <t>2026-06-28T01:42:56+05:30</t>
  </si>
  <si>
    <t>2hc81zqk1tscwmp@marketplace.amazon.in</t>
  </si>
  <si>
    <t>407-0180434-1268330</t>
  </si>
  <si>
    <t>TNR0LZc74</t>
  </si>
  <si>
    <t>D13Ncb0wcf0CR</t>
  </si>
  <si>
    <t>2026-06-27T20:52:27+05:30</t>
  </si>
  <si>
    <t>2026-06-27T22:39:45+05:30</t>
  </si>
  <si>
    <t>2026-06-28T01:39:58+05:30</t>
  </si>
  <si>
    <t>xybj4q1vvtk31zw@marketplace.amazon.in</t>
  </si>
  <si>
    <t>408-0524149-5564326</t>
  </si>
  <si>
    <t>TCp5Vycz4</t>
  </si>
  <si>
    <t>Dcnjc40ncP0tR</t>
  </si>
  <si>
    <t>2026-06-27T19:34:09+05:30</t>
  </si>
  <si>
    <t>2026-06-27T22:29:48+05:30</t>
  </si>
  <si>
    <t>2026-06-27T22:29:53+05:30</t>
  </si>
  <si>
    <t>2026-06-27T23:30:19+05:30</t>
  </si>
  <si>
    <t>764stf9nfl3g3gq@marketplace.amazon.in</t>
  </si>
  <si>
    <t>404-9919853-8168321</t>
  </si>
  <si>
    <t>TctSHHL94</t>
  </si>
  <si>
    <t>DQ7Jzm0Ycr0WR</t>
  </si>
  <si>
    <t>2026-06-25T15:30:05+05:30</t>
  </si>
  <si>
    <t>2026-06-27T22:00:43+05:30</t>
  </si>
  <si>
    <t>2026-06-27T22:00:48+05:30</t>
  </si>
  <si>
    <t>2026-06-27T23:00:59+05:30</t>
  </si>
  <si>
    <t>r9mg9v30772ksc8@marketplace.amazon.in</t>
  </si>
  <si>
    <t>406-1650023-7011516</t>
  </si>
  <si>
    <t>TcMhfTl74</t>
  </si>
  <si>
    <t>Dwgpzj0bcX0SR</t>
  </si>
  <si>
    <t>2026-06-27T10:39:06+05:30</t>
  </si>
  <si>
    <t>2026-06-27T22:00:45+05:30</t>
  </si>
  <si>
    <t>2026-06-28T01:00:58+05:30</t>
  </si>
  <si>
    <t>hssccwwqzq6c8j2@marketplace.amazon.in</t>
  </si>
  <si>
    <t>404-5035760-0434764</t>
  </si>
  <si>
    <t>TXksqnG24</t>
  </si>
  <si>
    <t>D4rpzG0vcZ09R</t>
  </si>
  <si>
    <t>2026-06-25T14:58:31+05:30</t>
  </si>
  <si>
    <t>2026-06-27T21:55:45+05:30</t>
  </si>
  <si>
    <t>2026-06-28T00:55:57+05:30</t>
  </si>
  <si>
    <t>8phhymh00tnh0qt@marketplace.amazon.in</t>
  </si>
  <si>
    <t>403-9366890-0526759</t>
  </si>
  <si>
    <t>T6J9v6c74</t>
  </si>
  <si>
    <t>Dbdlz206ck0JR</t>
  </si>
  <si>
    <t>2026-06-27T20:11:43+05:30</t>
  </si>
  <si>
    <t>2026-06-27T21:51:44+05:30</t>
  </si>
  <si>
    <t>2026-06-28T00:51:56+05:30</t>
  </si>
  <si>
    <t>8s3xsynd0tk5p5v@marketplace.amazon.in</t>
  </si>
  <si>
    <t>404-3719180-1335566</t>
  </si>
  <si>
    <t>TNtrHBYr4</t>
  </si>
  <si>
    <t>DmXP2W0wcW0zR</t>
  </si>
  <si>
    <t>2026-06-26T21:17:20+05:30</t>
  </si>
  <si>
    <t>2026-06-27T21:33:42+05:30</t>
  </si>
  <si>
    <t>2026-06-28T00:33:53+05:30</t>
  </si>
  <si>
    <t>7x7dmtz920f86l7@marketplace.amazon.in</t>
  </si>
  <si>
    <t>408-4712285-5399525</t>
  </si>
  <si>
    <t>TXQqK2Hv4</t>
  </si>
  <si>
    <t>DYD92v08cW00R</t>
  </si>
  <si>
    <t>2026-06-27T16:54:32+05:30</t>
  </si>
  <si>
    <t>2026-06-27T21:30:43+05:30</t>
  </si>
  <si>
    <t>2026-06-28T00:30:55+05:30</t>
  </si>
  <si>
    <t>4q7l4knxp7dzw4f@marketplace.amazon.in</t>
  </si>
  <si>
    <t>171-5624287-7773942</t>
  </si>
  <si>
    <t>TVRQ8mYj4</t>
  </si>
  <si>
    <t>DMXQFk0Lcz0fR</t>
  </si>
  <si>
    <t>2026-06-26T20:15:57+05:30</t>
  </si>
  <si>
    <t>2026-06-27T21:18:44+05:30</t>
  </si>
  <si>
    <t>2026-06-27T21:18:49+05:30</t>
  </si>
  <si>
    <t>2026-06-27T22:19:05+05:30</t>
  </si>
  <si>
    <t>3v7d30ry826dq1h@marketplace.amazon.in</t>
  </si>
  <si>
    <t>408-2243721-9377933</t>
  </si>
  <si>
    <t>TcLdcRHM4</t>
  </si>
  <si>
    <t>DMHnF40Bcz0XR</t>
  </si>
  <si>
    <t>2026-06-27T14:20:25+05:30</t>
  </si>
  <si>
    <t>2026-06-27T21:07:42+05:30</t>
  </si>
  <si>
    <t>2026-06-28T00:07:56+05:30</t>
  </si>
  <si>
    <t>01x8ym7bwfssd5m@marketplace.amazon.in</t>
  </si>
  <si>
    <t>407-3555807-1128364</t>
  </si>
  <si>
    <t>T3pTC1lT4</t>
  </si>
  <si>
    <t>Ds0bDY01cp0hR</t>
  </si>
  <si>
    <t>2026-06-27T09:12:36+05:30</t>
  </si>
  <si>
    <t>2026-06-27T20:50:45+05:30</t>
  </si>
  <si>
    <t>2026-06-27T23:50:59+05:30</t>
  </si>
  <si>
    <t>8jzd8gfmdhcfh2f@marketplace.amazon.in</t>
  </si>
  <si>
    <t>NANDED WAGHALA</t>
  </si>
  <si>
    <t>Dv0SDC01cp0hR</t>
  </si>
  <si>
    <t>406-8804085-2496341</t>
  </si>
  <si>
    <t>TnND5QH04</t>
  </si>
  <si>
    <t>DMBMDl04cz0DR</t>
  </si>
  <si>
    <t>2026-06-27T17:58:47+05:30</t>
  </si>
  <si>
    <t>2026-06-27T20:48:42+05:30</t>
  </si>
  <si>
    <t>2026-06-27T20:48:45+05:30</t>
  </si>
  <si>
    <t>2026-06-27T21:48:57+05:30</t>
  </si>
  <si>
    <t>lzdnc9dmxsjgcrq@marketplace.amazon.in</t>
  </si>
  <si>
    <t>403-5642354-8761963</t>
  </si>
  <si>
    <t>Tgg2qKld4</t>
  </si>
  <si>
    <t>DbL9DN0FcB02R</t>
  </si>
  <si>
    <t>2026-06-27T10:17:26+05:30</t>
  </si>
  <si>
    <t>2026-06-27T20:46:41+05:30</t>
  </si>
  <si>
    <t>2026-06-27T20:46:43+05:30</t>
  </si>
  <si>
    <t>2026-06-27T21:46:54+05:30</t>
  </si>
  <si>
    <t>01qs3wh88xhx6fm@marketplace.amazon.in</t>
  </si>
  <si>
    <t>402-5499345-8747526</t>
  </si>
  <si>
    <t>TnN2Fscd4</t>
  </si>
  <si>
    <t>Dy0gDd08cn0hR</t>
  </si>
  <si>
    <t>2026-06-27T18:23:19+05:30</t>
  </si>
  <si>
    <t>2026-06-27T20:41:41+05:30</t>
  </si>
  <si>
    <t>2026-06-27T20:41:45+05:30</t>
  </si>
  <si>
    <t>2026-06-27T21:41:57+05:30</t>
  </si>
  <si>
    <t>2d99bhnxkr2dtbx@marketplace.amazon.in</t>
  </si>
  <si>
    <t>DmxnDF03cn05R</t>
  </si>
  <si>
    <t>DbxyDF03cn05R</t>
  </si>
  <si>
    <t>407-8177074-7833926</t>
  </si>
  <si>
    <t>TJ6HBMHQ4</t>
  </si>
  <si>
    <t>DK3fYw0mcd0LR</t>
  </si>
  <si>
    <t>2026-06-27T12:01:06+05:30</t>
  </si>
  <si>
    <t>2026-06-27T20:37:44+05:30</t>
  </si>
  <si>
    <t>2026-06-27T20:37:47+05:30</t>
  </si>
  <si>
    <t>2026-06-27T21:37:57+05:30</t>
  </si>
  <si>
    <t>cjcf701t7tf14m1@marketplace.amazon.in</t>
  </si>
  <si>
    <t>171-8372470-7438729</t>
  </si>
  <si>
    <t>T1nmYJH64</t>
  </si>
  <si>
    <t>DPbNYs0zcz0WR</t>
  </si>
  <si>
    <t>2026-06-27T12:05:16+05:30</t>
  </si>
  <si>
    <t>2026-06-27T20:36:43+05:30</t>
  </si>
  <si>
    <t>2026-06-27T23:36:54+05:30</t>
  </si>
  <si>
    <t>v4n02kpw0w3r4qd@marketplace.amazon.in</t>
  </si>
  <si>
    <t>404-3854797-1507520</t>
  </si>
  <si>
    <t>Tw1N5JHS4</t>
  </si>
  <si>
    <t>DwD2YG0dcd0TR</t>
  </si>
  <si>
    <t>2026-06-27T17:49:24+05:30</t>
  </si>
  <si>
    <t>2026-06-27T20:33:46+05:30</t>
  </si>
  <si>
    <t>2026-06-27T23:33:58+05:30</t>
  </si>
  <si>
    <t>hhqhx883hfp9spr@marketplace.amazon.in</t>
  </si>
  <si>
    <t>404-6351103-6715530</t>
  </si>
  <si>
    <t>TJF6rdHw4</t>
  </si>
  <si>
    <t>DQYHyj0gcr05R</t>
  </si>
  <si>
    <t>2026-06-27T13:48:48+05:30</t>
  </si>
  <si>
    <t>2026-06-27T20:16:39+05:30</t>
  </si>
  <si>
    <t>zlf9171tkcvw1vl@marketplace.amazon.in</t>
  </si>
  <si>
    <t>407-7593401-0645103</t>
  </si>
  <si>
    <t>TVMwTGHc4</t>
  </si>
  <si>
    <t>DvpfyH0Hc20lR</t>
  </si>
  <si>
    <t>2026-06-27T14:47:29+05:30</t>
  </si>
  <si>
    <t>2026-06-27T20:12:44+05:30</t>
  </si>
  <si>
    <t>2026-06-27T23:12:55+05:30</t>
  </si>
  <si>
    <t>9kcwk9x4qnwr013@marketplace.amazon.in</t>
  </si>
  <si>
    <t>SOMPETA</t>
  </si>
  <si>
    <t>408-3011707-3969954</t>
  </si>
  <si>
    <t>TCgmsWHW4</t>
  </si>
  <si>
    <t>D45Nw20tcr0YR</t>
  </si>
  <si>
    <t>2026-06-27T13:50:57+05:30</t>
  </si>
  <si>
    <t>2026-06-27T20:05:48+05:30</t>
  </si>
  <si>
    <t>2026-06-27T23:06:02+05:30</t>
  </si>
  <si>
    <t>rklbb5kx8tx8025@marketplace.amazon.in</t>
  </si>
  <si>
    <t>171-7869605-1696343</t>
  </si>
  <si>
    <t>TJKWc5f14</t>
  </si>
  <si>
    <t>D17BwM07c903R</t>
  </si>
  <si>
    <t>2026-06-26T07:58:11+05:30</t>
  </si>
  <si>
    <t>2026-06-27T20:02:44+05:30</t>
  </si>
  <si>
    <t>2026-06-27T23:02:54+05:30</t>
  </si>
  <si>
    <t>0xfscdwlsnr7yjn@marketplace.amazon.in</t>
  </si>
  <si>
    <t>404-3881967-3884325</t>
  </si>
  <si>
    <t>TGS4bQc64</t>
  </si>
  <si>
    <t>DH3lwd0pcT0cR</t>
  </si>
  <si>
    <t>2026-06-27T19:05:32+05:30</t>
  </si>
  <si>
    <t>2026-06-27T19:59:45+05:30</t>
  </si>
  <si>
    <t>2026-06-27T22:59:56+05:30</t>
  </si>
  <si>
    <t>lrdg01y66nzwt0h@marketplace.amazon.in</t>
  </si>
  <si>
    <t>404-2600189-3537964</t>
  </si>
  <si>
    <t>TGt7FCcM4</t>
  </si>
  <si>
    <t>DrfFwV0Rcl0wR</t>
  </si>
  <si>
    <t>2026-06-27T18:52:00+05:30</t>
  </si>
  <si>
    <t>2026-06-27T19:55:43+05:30</t>
  </si>
  <si>
    <t>2026-06-27T19:55:46+05:30</t>
  </si>
  <si>
    <t>2026-06-27T20:55:57+05:30</t>
  </si>
  <si>
    <t>rhlz3rc5n0szj0p@marketplace.amazon.in</t>
  </si>
  <si>
    <t>402-1243866-4207529</t>
  </si>
  <si>
    <t>TwK4N9YL4</t>
  </si>
  <si>
    <t>DByTB80mcM0RR</t>
  </si>
  <si>
    <t>2026-06-26T20:03:37+05:30</t>
  </si>
  <si>
    <t>2026-06-27T19:45:45+05:30</t>
  </si>
  <si>
    <t>2026-06-27T22:45:57+05:30</t>
  </si>
  <si>
    <t>84lxpx4f0rnwq7y@marketplace.amazon.in</t>
  </si>
  <si>
    <t>Dombivili East</t>
  </si>
  <si>
    <t>171-0204603-3315566</t>
  </si>
  <si>
    <t>T1tmtFHW4</t>
  </si>
  <si>
    <t>D3y7BX0ScM0RR</t>
  </si>
  <si>
    <t>2026-06-27T15:19:29+05:30</t>
  </si>
  <si>
    <t>2026-06-27T19:44:46+05:30</t>
  </si>
  <si>
    <t>2026-06-27T22:45:01+05:30</t>
  </si>
  <si>
    <t>2x195kvtqbmnchs@marketplace.amazon.in</t>
  </si>
  <si>
    <t>404-7758660-0651508</t>
  </si>
  <si>
    <t>TgBK5dYF4</t>
  </si>
  <si>
    <t>DHWyBZ0Yct0qR</t>
  </si>
  <si>
    <t>2026-06-27T01:06:07+05:30</t>
  </si>
  <si>
    <t>2026-06-27T19:42:49+05:30</t>
  </si>
  <si>
    <t>2026-06-27T22:43:03+05:30</t>
  </si>
  <si>
    <t>j17zygl5hl2q8jj@marketplace.amazon.in</t>
  </si>
  <si>
    <t>408-6217604-8535508</t>
  </si>
  <si>
    <t>TgLhhclg4</t>
  </si>
  <si>
    <t>DWpJBR0Lcw0QR</t>
  </si>
  <si>
    <t>2026-06-27T11:17:47+05:30</t>
  </si>
  <si>
    <t>2026-06-27T19:31:45+05:30</t>
  </si>
  <si>
    <t>2026-06-27T22:32:01+05:30</t>
  </si>
  <si>
    <t>56hk63c32wdjvzc@marketplace.amazon.in</t>
  </si>
  <si>
    <t>Dfp9BR0Lcw0QR</t>
  </si>
  <si>
    <t>404-0633312-7994722</t>
  </si>
  <si>
    <t>TcP7gtHl4</t>
  </si>
  <si>
    <t>D4H69r0fcc09R</t>
  </si>
  <si>
    <t>2026-06-27T17:27:46+05:30</t>
  </si>
  <si>
    <t>2026-06-27T19:22:44+05:30</t>
  </si>
  <si>
    <t>2026-06-27T22:22:56+05:30</t>
  </si>
  <si>
    <t>drk14k2c3hgv5fh@marketplace.amazon.in</t>
  </si>
  <si>
    <t>407-7211591-4181967</t>
  </si>
  <si>
    <t>TcmlCcHw4</t>
  </si>
  <si>
    <t>Dc144j0dcW0VR</t>
  </si>
  <si>
    <t>2026-06-27T17:02:50+05:30</t>
  </si>
  <si>
    <t>2026-06-27T19:16:47+05:30</t>
  </si>
  <si>
    <t>2026-06-27T22:17:00+05:30</t>
  </si>
  <si>
    <t>38h8lvc1lwz9svp@marketplace.amazon.in</t>
  </si>
  <si>
    <t>404-0986251-2185114</t>
  </si>
  <si>
    <t>TVWCP6Hf4</t>
  </si>
  <si>
    <t>DSfv4y0Dcg0sR</t>
  </si>
  <si>
    <t>2026-06-27T15:05:27+05:30</t>
  </si>
  <si>
    <t>2026-06-27T19:03:44+05:30</t>
  </si>
  <si>
    <t>2026-06-27T22:03:56+05:30</t>
  </si>
  <si>
    <t>4pvh1vrfy0kv5pf@marketplace.amazon.in</t>
  </si>
  <si>
    <t>171-7082914-5844304</t>
  </si>
  <si>
    <t>TcgSb9HD4</t>
  </si>
  <si>
    <t>D0dj4q0ccy04R</t>
  </si>
  <si>
    <t>2026-06-27T11:58:03+05:30</t>
  </si>
  <si>
    <t>2026-06-27T18:58:47+05:30</t>
  </si>
  <si>
    <t>2026-06-27T21:58:58+05:30</t>
  </si>
  <si>
    <t>gsc0s655zlcd57m@marketplace.amazon.in</t>
  </si>
  <si>
    <t>ERANDOL</t>
  </si>
  <si>
    <t>403-5125223-4860357</t>
  </si>
  <si>
    <t>TN7Y65Hp4</t>
  </si>
  <si>
    <t>DTYwbk0XcX0zR</t>
  </si>
  <si>
    <t>2026-06-27T15:51:06+05:30</t>
  </si>
  <si>
    <t>2026-06-27T18:29:43+05:30</t>
  </si>
  <si>
    <t>2026-06-27T21:29:54+05:30</t>
  </si>
  <si>
    <t>2h5kksjs208l21j@marketplace.amazon.in</t>
  </si>
  <si>
    <t>402-3339567-5407533</t>
  </si>
  <si>
    <t>TG2BgFHS4</t>
  </si>
  <si>
    <t>Dv3Bkx08cz0hR</t>
  </si>
  <si>
    <t>2026-06-27T17:27:22+05:30</t>
  </si>
  <si>
    <t>2026-06-27T18:22:45+05:30</t>
  </si>
  <si>
    <t>2026-06-27T21:22:56+05:30</t>
  </si>
  <si>
    <t>nxlwz1b1bphx5dp@marketplace.amazon.in</t>
  </si>
  <si>
    <t>171-6770883-4693943</t>
  </si>
  <si>
    <t>TnJB7KHb4</t>
  </si>
  <si>
    <t>Db9dkB0TcV0hR</t>
  </si>
  <si>
    <t>2026-06-27T14:37:18+05:30</t>
  </si>
  <si>
    <t>2026-06-27T18:20:46+05:30</t>
  </si>
  <si>
    <t>2026-06-27T21:20:57+05:30</t>
  </si>
  <si>
    <t>g1jpdzrq4jvbjvq@marketplace.amazon.in</t>
  </si>
  <si>
    <t>402-6833601-7315563</t>
  </si>
  <si>
    <t>T3YBJYHG4</t>
  </si>
  <si>
    <t>DVcsk90kc40WR</t>
  </si>
  <si>
    <t>2026-06-27T15:07:07+05:30</t>
  </si>
  <si>
    <t>2026-06-27T18:15:41+05:30</t>
  </si>
  <si>
    <t>2026-06-27T21:15:54+05:30</t>
  </si>
  <si>
    <t>d6z661mv043n05n@marketplace.amazon.in</t>
  </si>
  <si>
    <t>D6sgkl0dcB06R</t>
  </si>
  <si>
    <t>408-3467620-7122710</t>
  </si>
  <si>
    <t>T1W3HYH14</t>
  </si>
  <si>
    <t>Dfcgks0tcy0WR</t>
  </si>
  <si>
    <t>2026-06-27T10:52:45+05:30</t>
  </si>
  <si>
    <t>2026-06-27T18:10:42+05:30</t>
  </si>
  <si>
    <t>2026-06-27T21:10:53+05:30</t>
  </si>
  <si>
    <t>1vh33jm3sqj1z70@marketplace.amazon.in</t>
  </si>
  <si>
    <t>405-9957287-3061907</t>
  </si>
  <si>
    <t>TNxWjYlj4</t>
  </si>
  <si>
    <t>Djf9NY0ncf0BR</t>
  </si>
  <si>
    <t>2026-06-27T09:13:32+05:30</t>
  </si>
  <si>
    <t>2026-06-27T18:00:02+05:30</t>
  </si>
  <si>
    <t>2026-06-27T21:00:20+05:30</t>
  </si>
  <si>
    <t>2ty216bj6lsp22h@marketplace.amazon.in</t>
  </si>
  <si>
    <t>406-5796122-7808347</t>
  </si>
  <si>
    <t>TgB2L8HX4</t>
  </si>
  <si>
    <t>D5JxNd01cH08R</t>
  </si>
  <si>
    <t>2026-06-27T14:08:18+05:30</t>
  </si>
  <si>
    <t>2026-06-27T17:52:41+05:30</t>
  </si>
  <si>
    <t>2026-06-27T20:52:54+05:30</t>
  </si>
  <si>
    <t>wbqhd191gmtswwk@marketplace.amazon.in</t>
  </si>
  <si>
    <t>Srinagar</t>
  </si>
  <si>
    <t>402-4898451-4746761</t>
  </si>
  <si>
    <t>TG3XzQH64</t>
  </si>
  <si>
    <t>DWYgNf0RcN09R</t>
  </si>
  <si>
    <t>2026-06-27T13:24:13+05:30</t>
  </si>
  <si>
    <t>2026-06-27T17:51:43+05:30</t>
  </si>
  <si>
    <t>2026-06-27T20:51:54+05:30</t>
  </si>
  <si>
    <t>ptm73lzqkdcjsp6@marketplace.amazon.in</t>
  </si>
  <si>
    <t>407-8675071-0996356</t>
  </si>
  <si>
    <t>TCj6VLxH4</t>
  </si>
  <si>
    <t>D0J4NV04cH08R</t>
  </si>
  <si>
    <t>2026-06-23T20:03:31+05:30</t>
  </si>
  <si>
    <t>2026-06-27T17:49:42+05:30</t>
  </si>
  <si>
    <t>2026-06-27T20:49:55+05:30</t>
  </si>
  <si>
    <t>dcjyl662g7m5r0d@marketplace.amazon.in</t>
  </si>
  <si>
    <t>406-1517131-2115526</t>
  </si>
  <si>
    <t>TG6bWjHh4</t>
  </si>
  <si>
    <t>DswlRt0Zcs0wR</t>
  </si>
  <si>
    <t>2026-06-27T16:06:04+05:30</t>
  </si>
  <si>
    <t>2026-06-27T17:42:43+05:30</t>
  </si>
  <si>
    <t>2026-06-27T20:42:55+05:30</t>
  </si>
  <si>
    <t>t67mjzg641cnhk7@marketplace.amazon.in</t>
  </si>
  <si>
    <t>402-2720857-4537156</t>
  </si>
  <si>
    <t>TgFqtbHj4</t>
  </si>
  <si>
    <t>DGwDhdLdcy0BR</t>
  </si>
  <si>
    <t>2026-06-27T15:34:23+05:30</t>
  </si>
  <si>
    <t>2026-06-27T17:29:41+05:30</t>
  </si>
  <si>
    <t>2026-06-27T17:29:44+05:30</t>
  </si>
  <si>
    <t>2026-06-27T18:30:03+05:30</t>
  </si>
  <si>
    <t>02l0tdhsf7n0sl2@marketplace.amazon.in</t>
  </si>
  <si>
    <t>407-3754921-0007522</t>
  </si>
  <si>
    <t>TGzJZTL24</t>
  </si>
  <si>
    <t>DX1VhBLXcg0DR</t>
  </si>
  <si>
    <t>2026-06-25T21:21:52+05:30</t>
  </si>
  <si>
    <t>2026-06-27T17:25:45+05:30</t>
  </si>
  <si>
    <t>2026-06-27T17:25:47+05:30</t>
  </si>
  <si>
    <t>2026-06-27T18:25:58+05:30</t>
  </si>
  <si>
    <t>402-1698825-2494724</t>
  </si>
  <si>
    <t>TnfdNBHy4</t>
  </si>
  <si>
    <t>DFtCfXLXcM0LR</t>
  </si>
  <si>
    <t>2026-06-27T10:30:46+05:30</t>
  </si>
  <si>
    <t>2026-06-27T17:05:45+05:30</t>
  </si>
  <si>
    <t>2026-06-27T20:05:59+05:30</t>
  </si>
  <si>
    <t>0s20qh21kq6n7jk@marketplace.amazon.in</t>
  </si>
  <si>
    <t>UTHUKKOTTAI</t>
  </si>
  <si>
    <t>171-3872814-0676325</t>
  </si>
  <si>
    <t>T6r0CXY44</t>
  </si>
  <si>
    <t>DZnvfjLxcH0MR</t>
  </si>
  <si>
    <t>2026-06-27T00:46:13+05:30</t>
  </si>
  <si>
    <t>2026-06-27T17:02:47+05:30</t>
  </si>
  <si>
    <t>2026-06-27T17:02:51+05:30</t>
  </si>
  <si>
    <t>2026-06-27T18:06:32+05:30</t>
  </si>
  <si>
    <t>h1q8g16ks6mnghp@marketplace.amazon.in</t>
  </si>
  <si>
    <t>406-7299040-1410714</t>
  </si>
  <si>
    <t>TN60YdH44</t>
  </si>
  <si>
    <t>DnnGf1LHcH0MR</t>
  </si>
  <si>
    <t>2026-06-27T09:36:28+05:30</t>
  </si>
  <si>
    <t>2026-06-27T16:55:49+05:30</t>
  </si>
  <si>
    <t>2026-06-27T19:56:03+05:30</t>
  </si>
  <si>
    <t>57vvprry71qt0zk@marketplace.amazon.in</t>
  </si>
  <si>
    <t>DcM8j4L1cG0jR</t>
  </si>
  <si>
    <t>404-0188448-3156357</t>
  </si>
  <si>
    <t>Twt7ZylT4</t>
  </si>
  <si>
    <t>D7nbjJLqcG0nR</t>
  </si>
  <si>
    <t>2026-06-27T09:49:06+05:30</t>
  </si>
  <si>
    <t>2026-06-27T16:46:46+05:30</t>
  </si>
  <si>
    <t>2026-06-27T19:46:54+05:30</t>
  </si>
  <si>
    <t>c1m3m3g4nsyz16r@marketplace.amazon.in</t>
  </si>
  <si>
    <t>406-8882779-2543549</t>
  </si>
  <si>
    <t>Tc0tNwHm4</t>
  </si>
  <si>
    <t>D1RPZsLFcj0qR</t>
  </si>
  <si>
    <t>2026-06-27T10:02:11+05:30</t>
  </si>
  <si>
    <t>2026-06-27T16:31:43+05:30</t>
  </si>
  <si>
    <t>2026-06-27T19:31:54+05:30</t>
  </si>
  <si>
    <t>7qm70zllchmbkcb@marketplace.amazon.in</t>
  </si>
  <si>
    <t>WANI</t>
  </si>
  <si>
    <t>406-3399976-5013124</t>
  </si>
  <si>
    <t>TVTwbBH14</t>
  </si>
  <si>
    <t>DXFY5XLlcl0VR</t>
  </si>
  <si>
    <t>2026-06-27T11:10:44+05:30</t>
  </si>
  <si>
    <t>2026-06-27T16:08:39+05:30</t>
  </si>
  <si>
    <t>2026-06-27T16:08:41+05:30</t>
  </si>
  <si>
    <t>2026-06-27T17:08:52+05:30</t>
  </si>
  <si>
    <t>njddm1x7ts20mqj@marketplace.amazon.in</t>
  </si>
  <si>
    <t>406-5991170-8232324</t>
  </si>
  <si>
    <t>TJTmdSYB4</t>
  </si>
  <si>
    <t>D0Gdq5LZcg0nR</t>
  </si>
  <si>
    <t>2026-06-26T23:48:32+05:30</t>
  </si>
  <si>
    <t>2026-06-27T16:07:52+05:30</t>
  </si>
  <si>
    <t>2026-06-27T19:08:02+05:30</t>
  </si>
  <si>
    <t>sm96hgbbq9hlldj@marketplace.amazon.in</t>
  </si>
  <si>
    <t>MUDBIDRI</t>
  </si>
  <si>
    <t>171-5756811-8805965</t>
  </si>
  <si>
    <t>TnSpRZH84</t>
  </si>
  <si>
    <t>DH4r56LJct00R</t>
  </si>
  <si>
    <t>2026-06-27T09:59:57+05:30</t>
  </si>
  <si>
    <t>2026-06-27T16:04:44+05:30</t>
  </si>
  <si>
    <t>2026-06-27T19:04:56+05:30</t>
  </si>
  <si>
    <t>gcbfh8b17nsss4c@marketplace.amazon.in</t>
  </si>
  <si>
    <t>RUP NAGAR</t>
  </si>
  <si>
    <t>171-8637388-7025105</t>
  </si>
  <si>
    <t>TnftXbYY4</t>
  </si>
  <si>
    <t>DWrrgrLDcq0ZR</t>
  </si>
  <si>
    <t>2026-06-26T23:29:12+05:30</t>
  </si>
  <si>
    <t>2026-06-27T15:38:47+05:30</t>
  </si>
  <si>
    <t>2026-06-27T18:39:02+05:30</t>
  </si>
  <si>
    <t>l2fwt1fqh7j8xjb@marketplace.amazon.in</t>
  </si>
  <si>
    <t>407-8208190-1605960</t>
  </si>
  <si>
    <t>TJb9zmG24</t>
  </si>
  <si>
    <t>DCBT8GL9cR0BR</t>
  </si>
  <si>
    <t>2026-06-25T11:31:08+05:30</t>
  </si>
  <si>
    <t>2026-06-27T15:24:52+05:30</t>
  </si>
  <si>
    <t>2026-06-27T18:28:54+05:30</t>
  </si>
  <si>
    <t>2lrqy1hyw3m3vxg@marketplace.amazon.in</t>
  </si>
  <si>
    <t>403-3144755-1211568</t>
  </si>
  <si>
    <t>TVQ91JYW4</t>
  </si>
  <si>
    <t>D9vtXfL7cD0CR</t>
  </si>
  <si>
    <t>2026-06-26T23:32:11+05:30</t>
  </si>
  <si>
    <t>2026-06-27T15:16:46+05:30</t>
  </si>
  <si>
    <t>2026-06-27T18:17:02+05:30</t>
  </si>
  <si>
    <t>6xqvjv1mgbz6qn1@marketplace.amazon.in</t>
  </si>
  <si>
    <t>407-8064770-4818706</t>
  </si>
  <si>
    <t>Tn0s2fHV4</t>
  </si>
  <si>
    <t>DlRP8ZL6c306R</t>
  </si>
  <si>
    <t>2026-06-27T12:18:45+05:30</t>
  </si>
  <si>
    <t>2026-06-27T15:14:48+05:30</t>
  </si>
  <si>
    <t>2026-06-27T18:15:01+05:30</t>
  </si>
  <si>
    <t>z4ff2grp13zm0r3@marketplace.amazon.in</t>
  </si>
  <si>
    <t>ONGALLUR II</t>
  </si>
  <si>
    <t>407-4874249-4685153</t>
  </si>
  <si>
    <t>TJWP9JHY4</t>
  </si>
  <si>
    <t>D4k1XSLmcw0YR</t>
  </si>
  <si>
    <t>2026-06-27T11:29:12+05:30</t>
  </si>
  <si>
    <t>2026-06-27T15:07:42+05:30</t>
  </si>
  <si>
    <t>2026-06-27T15:07:46+05:30</t>
  </si>
  <si>
    <t>2026-06-27T16:07:57+05:30</t>
  </si>
  <si>
    <t>6t1pwjjmglxftmn@marketplace.amazon.in</t>
  </si>
  <si>
    <t>MANGALDOI</t>
  </si>
  <si>
    <t>T1WMkmHs4</t>
  </si>
  <si>
    <t>Dq40CQLTcB0nR</t>
  </si>
  <si>
    <t>2026-06-27T14:58:43+05:30</t>
  </si>
  <si>
    <t>2026-06-27T17:58:53+05:30</t>
  </si>
  <si>
    <t>DxFbCBL7cs0cR</t>
  </si>
  <si>
    <t>D4FSCML7cs0cR</t>
  </si>
  <si>
    <t>DBFvCML7cs0cR</t>
  </si>
  <si>
    <t>402-6406490-6371558</t>
  </si>
  <si>
    <t>TGCclwlz4</t>
  </si>
  <si>
    <t>DDkQC0Lpcl0XR</t>
  </si>
  <si>
    <t>2026-06-27T07:42:35+05:30</t>
  </si>
  <si>
    <t>2026-06-27T14:53:45+05:30</t>
  </si>
  <si>
    <t>2026-06-27T17:53:56+05:30</t>
  </si>
  <si>
    <t>j5z6wxppjhpwdhq@marketplace.amazon.in</t>
  </si>
  <si>
    <t>Kadiri</t>
  </si>
  <si>
    <t>402-7984680-2682753</t>
  </si>
  <si>
    <t>TNM9Ccl44</t>
  </si>
  <si>
    <t>DNsSC7L7c20YR</t>
  </si>
  <si>
    <t>2026-06-27T10:21:20+05:30</t>
  </si>
  <si>
    <t>2026-06-27T14:44:46+05:30</t>
  </si>
  <si>
    <t>2026-06-27T17:44:58+05:30</t>
  </si>
  <si>
    <t>z8lw2ycpbxl8nq0@marketplace.amazon.in</t>
  </si>
  <si>
    <t>Yellandu, Bhadradri kottagudem (D)</t>
  </si>
  <si>
    <t>403-2795429-7783536</t>
  </si>
  <si>
    <t>TNd3RnHv4</t>
  </si>
  <si>
    <t>DJZ5pJLdc30HR</t>
  </si>
  <si>
    <t>2026-06-27T12:29:39+05:30</t>
  </si>
  <si>
    <t>2026-06-27T14:35:42+05:30</t>
  </si>
  <si>
    <t>2026-06-27T17:35:53+05:30</t>
  </si>
  <si>
    <t>mqv9p6k5zt1l81j@marketplace.amazon.in</t>
  </si>
  <si>
    <t>408-1268087-8743549</t>
  </si>
  <si>
    <t>TnXjwmCD4</t>
  </si>
  <si>
    <t>D0Q4pXLxcq0JR</t>
  </si>
  <si>
    <t>2026-06-25T22:39:03+05:30</t>
  </si>
  <si>
    <t>2026-06-27T14:32:51+05:30</t>
  </si>
  <si>
    <t>2026-06-27T17:33:22+05:30</t>
  </si>
  <si>
    <t>5kwq87v2ys9bcz6@marketplace.amazon.in</t>
  </si>
  <si>
    <t>404-0943709-9765953</t>
  </si>
  <si>
    <t>TC2Yj3d64</t>
  </si>
  <si>
    <t>DK07WbLQcZ0cR</t>
  </si>
  <si>
    <t>2026-06-24T22:39:14+05:30</t>
  </si>
  <si>
    <t>2026-06-27T14:13:47+05:30</t>
  </si>
  <si>
    <t>2026-06-27T17:14:00+05:30</t>
  </si>
  <si>
    <t>q9wv205brs99mhp@marketplace.amazon.in</t>
  </si>
  <si>
    <t>402-7293867-1890726</t>
  </si>
  <si>
    <t>TJ2Z35lN4</t>
  </si>
  <si>
    <t>DWlBKqLSc50YR</t>
  </si>
  <si>
    <t>2026-06-27T04:32:01+05:30</t>
  </si>
  <si>
    <t>2026-06-27T13:52:49+05:30</t>
  </si>
  <si>
    <t>2026-06-27T16:57:36+05:30</t>
  </si>
  <si>
    <t>58ldfdgfrglylmd@marketplace.amazon.in</t>
  </si>
  <si>
    <t>171-9436607-5409110</t>
  </si>
  <si>
    <t>TX2DhzfD4</t>
  </si>
  <si>
    <t>D9pXKdLScd0PR</t>
  </si>
  <si>
    <t>2026-06-26T11:44:35+05:30</t>
  </si>
  <si>
    <t>2026-06-27T13:50:55+05:30</t>
  </si>
  <si>
    <t>2026-06-27T16:51:13+05:30</t>
  </si>
  <si>
    <t>mbffzzhbw9vkb35@marketplace.amazon.in</t>
  </si>
  <si>
    <t>407-2345636-7119502</t>
  </si>
  <si>
    <t>TXQyHBHx4</t>
  </si>
  <si>
    <t>DqvHmsL7ck05R</t>
  </si>
  <si>
    <t>2026-06-27T11:17:17+05:30</t>
  </si>
  <si>
    <t>2026-06-27T13:46:46+05:30</t>
  </si>
  <si>
    <t>2026-06-27T16:46:59+05:30</t>
  </si>
  <si>
    <t>0s8rc321j0blnkq@marketplace.amazon.in</t>
  </si>
  <si>
    <t>SULTANPUR</t>
  </si>
  <si>
    <t>405-9459795-2548350</t>
  </si>
  <si>
    <t>TJZYbJH14</t>
  </si>
  <si>
    <t>DqTQmXLDcr0BR</t>
  </si>
  <si>
    <t>2026-06-27T11:36:22+05:30</t>
  </si>
  <si>
    <t>2026-06-27T13:44:51+05:30</t>
  </si>
  <si>
    <t>2026-06-27T16:45:02+05:30</t>
  </si>
  <si>
    <t>3ykwfxvpxhhwxb2@marketplace.amazon.in</t>
  </si>
  <si>
    <t>407-8561597-1749923</t>
  </si>
  <si>
    <t>T15wV1YZ4</t>
  </si>
  <si>
    <t>DbhTmzLpcj09R</t>
  </si>
  <si>
    <t>2026-06-26T22:37:20+05:30</t>
  </si>
  <si>
    <t>2026-06-27T13:43:46+05:30</t>
  </si>
  <si>
    <t>2026-06-27T16:43:57+05:30</t>
  </si>
  <si>
    <t>373bc2mtw3w0m25@marketplace.amazon.in</t>
  </si>
  <si>
    <t>CRASOME Dust &amp; Water Proof Printer Cover for HP Deskjet Ink Advantage All-in-One 4278 / 4178 / 4123 (Grey)</t>
  </si>
  <si>
    <t>Athagarh</t>
  </si>
  <si>
    <t>402-8468585-1849961</t>
  </si>
  <si>
    <t>Tgm2k2Ys4</t>
  </si>
  <si>
    <t>DwhRmCLtcj09R</t>
  </si>
  <si>
    <t>2026-06-26T20:39:12+05:30</t>
  </si>
  <si>
    <t>2026-06-27T13:40:51+05:30</t>
  </si>
  <si>
    <t>2026-06-27T16:45:13+05:30</t>
  </si>
  <si>
    <t>z5cb5z70h5xk350@marketplace.amazon.in</t>
  </si>
  <si>
    <t>403-7821272-7589147</t>
  </si>
  <si>
    <t>TcdxKRlK4</t>
  </si>
  <si>
    <t>DZ19lhLbcp0yR</t>
  </si>
  <si>
    <t>2026-06-27T08:00:54+05:30</t>
  </si>
  <si>
    <t>2026-06-27T13:34:44+05:30</t>
  </si>
  <si>
    <t>2026-06-27T16:34:55+05:30</t>
  </si>
  <si>
    <t>w3f1bk7d815gc7k@marketplace.amazon.in</t>
  </si>
  <si>
    <t>LANJI</t>
  </si>
  <si>
    <t>408-9830387-8265960</t>
  </si>
  <si>
    <t>TcYyfDYz4</t>
  </si>
  <si>
    <t>Dm1ylKLmcn0yR</t>
  </si>
  <si>
    <t>2026-06-27T00:52:07+05:30</t>
  </si>
  <si>
    <t>2026-06-27T13:29:46+05:30</t>
  </si>
  <si>
    <t>2026-06-27T16:29:58+05:30</t>
  </si>
  <si>
    <t>8jdj99gwtvqqvsy@marketplace.amazon.in</t>
  </si>
  <si>
    <t>403-2650229-3726711</t>
  </si>
  <si>
    <t>T3Bt56lZ4</t>
  </si>
  <si>
    <t>D826lvL6cy0WR</t>
  </si>
  <si>
    <t>2026-06-27T09:22:44+05:30</t>
  </si>
  <si>
    <t>2026-06-27T13:24:44+05:30</t>
  </si>
  <si>
    <t>2026-06-27T13:24:47+05:30</t>
  </si>
  <si>
    <t>2026-06-27T14:25:01+05:30</t>
  </si>
  <si>
    <t>402-5884847-1314737</t>
  </si>
  <si>
    <t>TGkyH2C74</t>
  </si>
  <si>
    <t>Dt6p0pLhcN0YR</t>
  </si>
  <si>
    <t>2026-06-26T13:13:40+05:30</t>
  </si>
  <si>
    <t>2026-06-27T13:11:50+05:30</t>
  </si>
  <si>
    <t>2026-06-27T16:12:20+05:30</t>
  </si>
  <si>
    <t>c1h5wpg96dfnjp0@marketplace.amazon.in</t>
  </si>
  <si>
    <t>CHEPPAD</t>
  </si>
  <si>
    <t>406-6077398-7158708</t>
  </si>
  <si>
    <t>T3r26hY04</t>
  </si>
  <si>
    <t>D8tf0LLmcD0NR</t>
  </si>
  <si>
    <t>2026-06-26T23:34:13+05:30</t>
  </si>
  <si>
    <t>2026-06-27T13:08:45+05:30</t>
  </si>
  <si>
    <t>2026-06-27T16:08:56+05:30</t>
  </si>
  <si>
    <t>404-7372262-3007516</t>
  </si>
  <si>
    <t>TnXX2YvvH</t>
  </si>
  <si>
    <t>DzDbSqL1cx00R</t>
  </si>
  <si>
    <t>2026-06-19T20:08:07+05:30</t>
  </si>
  <si>
    <t>2026-06-27T12:56:39+05:30</t>
  </si>
  <si>
    <t>2026-06-27T12:56:43+05:30</t>
  </si>
  <si>
    <t>2026-06-27T13:56:52+05:30</t>
  </si>
  <si>
    <t>ll8v8l4bb0km3lj@marketplace.amazon.in</t>
  </si>
  <si>
    <t>171-0077935-2020345</t>
  </si>
  <si>
    <t>Tw81f8lm4</t>
  </si>
  <si>
    <t>DPw0SbLMcH0PR</t>
  </si>
  <si>
    <t>2026-06-27T10:40:30+05:30</t>
  </si>
  <si>
    <t>2026-06-27T12:52:41+05:30</t>
  </si>
  <si>
    <t>2026-06-27T12:52:45+05:30</t>
  </si>
  <si>
    <t>2026-06-27T13:52:55+05:30</t>
  </si>
  <si>
    <t>0glw7jmsjjv1n38@marketplace.amazon.in</t>
  </si>
  <si>
    <t>171-2455738-8273936</t>
  </si>
  <si>
    <t>Tcllb9H64</t>
  </si>
  <si>
    <t>DFnY6bLgcq00R</t>
  </si>
  <si>
    <t>2026-06-27T11:02:36+05:30</t>
  </si>
  <si>
    <t>2026-06-27T12:28:45+05:30</t>
  </si>
  <si>
    <t>2026-06-27T15:29:00+05:30</t>
  </si>
  <si>
    <t>kfw7sl96dkrlzgz@marketplace.amazon.in</t>
  </si>
  <si>
    <t>406-7012440-1047556</t>
  </si>
  <si>
    <t>T6285KC64</t>
  </si>
  <si>
    <t>DJZqdYL4cL0VR</t>
  </si>
  <si>
    <t>2026-06-26T19:04:55+05:30</t>
  </si>
  <si>
    <t>2026-06-27T12:12:48+05:30</t>
  </si>
  <si>
    <t>2026-06-27T15:13:00+05:30</t>
  </si>
  <si>
    <t>8th984f9x3jrhfn@marketplace.amazon.in</t>
  </si>
  <si>
    <t>DwxrdfL8cD0hR</t>
  </si>
  <si>
    <t>406-0640427-7041912</t>
  </si>
  <si>
    <t>TcGKNVHm4</t>
  </si>
  <si>
    <t>Dl4vGxLFcf0gR</t>
  </si>
  <si>
    <t>2026-06-27T09:34:25+05:30</t>
  </si>
  <si>
    <t>2026-06-27T12:04:45+05:30</t>
  </si>
  <si>
    <t>2026-06-27T15:04:58+05:30</t>
  </si>
  <si>
    <t>DR4jGRLFcf0gR</t>
  </si>
  <si>
    <t>Dy4TGRLFcf0gR</t>
  </si>
  <si>
    <t>DM4YGRLFcf0gR</t>
  </si>
  <si>
    <t>Dz4XGpLFcf0gR</t>
  </si>
  <si>
    <t>DzBlG7LRc30mR</t>
  </si>
  <si>
    <t>404-8483744-8095567</t>
  </si>
  <si>
    <t>TJ6kj4lk4</t>
  </si>
  <si>
    <t>DmscG9Lmc60vR</t>
  </si>
  <si>
    <t>2026-06-27T10:03:29+05:30</t>
  </si>
  <si>
    <t>2026-06-27T11:58:39+05:30</t>
  </si>
  <si>
    <t>2026-06-27T11:58:42+05:30</t>
  </si>
  <si>
    <t>2026-06-27T12:58:54+05:30</t>
  </si>
  <si>
    <t>c1w504nqw7rdq4w@marketplace.amazon.in</t>
  </si>
  <si>
    <t>403-1168283-9290718</t>
  </si>
  <si>
    <t>T14kRSGG4</t>
  </si>
  <si>
    <t>DZJ0G4LFcK03R</t>
  </si>
  <si>
    <t>2026-06-25T07:23:43+05:30</t>
  </si>
  <si>
    <t>2026-06-27T11:53:48+05:30</t>
  </si>
  <si>
    <t>2026-06-27T14:54:00+05:30</t>
  </si>
  <si>
    <t>5nfwgt95pg0q2vq@marketplace.amazon.in</t>
  </si>
  <si>
    <t>Ramgarh Tehsil Nohar Dist Hanumangarh</t>
  </si>
  <si>
    <t>405-0844818-2090740</t>
  </si>
  <si>
    <t>TVh8CWlp4</t>
  </si>
  <si>
    <t>D0DttlLFcz0GR</t>
  </si>
  <si>
    <t>2026-06-27T10:03:43+05:30</t>
  </si>
  <si>
    <t>2026-06-27T11:46:43+05:30</t>
  </si>
  <si>
    <t>2026-06-27T14:46:54+05:30</t>
  </si>
  <si>
    <t>xyn9d7vjb31wbvq@marketplace.amazon.in</t>
  </si>
  <si>
    <t>404-7923857-8335563</t>
  </si>
  <si>
    <t>T6cYknHg4</t>
  </si>
  <si>
    <t>D1k3PvL2cz0DR</t>
  </si>
  <si>
    <t>2026-06-27T09:58:53+05:30</t>
  </si>
  <si>
    <t>2026-06-27T11:26:42+05:30</t>
  </si>
  <si>
    <t>2026-06-27T14:26:53+05:30</t>
  </si>
  <si>
    <t>ty91th8nwtwymtt@marketplace.amazon.in</t>
  </si>
  <si>
    <t>408-5164958-8901904</t>
  </si>
  <si>
    <t>T3hztqCR4</t>
  </si>
  <si>
    <t>DvwkPrLfcM0ZR</t>
  </si>
  <si>
    <t>2026-06-26T18:07:44+05:30</t>
  </si>
  <si>
    <t>2026-06-27T11:23:42+05:30</t>
  </si>
  <si>
    <t>2026-06-27T14:23:54+05:30</t>
  </si>
  <si>
    <t>lh8ff4sr998spbf@marketplace.amazon.in</t>
  </si>
  <si>
    <t>407-5817669-8032355</t>
  </si>
  <si>
    <t>T3HJQmlq4</t>
  </si>
  <si>
    <t>DFfnPcLxck0LR</t>
  </si>
  <si>
    <t>2026-06-27T04:06:32+05:30</t>
  </si>
  <si>
    <t>2026-06-27T11:16:52+05:30</t>
  </si>
  <si>
    <t>2026-06-27T14:17:03+05:30</t>
  </si>
  <si>
    <t>wzwdy2d2xqyzmt3@marketplace.amazon.in</t>
  </si>
  <si>
    <t>407-3633094-3642713</t>
  </si>
  <si>
    <t>T64r81lY4</t>
  </si>
  <si>
    <t>Dxk8TXLLc10HR</t>
  </si>
  <si>
    <t>2026-06-27T08:07:29+05:30</t>
  </si>
  <si>
    <t>2026-06-27T11:08:37+05:30</t>
  </si>
  <si>
    <t>2026-06-27T11:08:40+05:30</t>
  </si>
  <si>
    <t>2026-06-27T12:08:52+05:30</t>
  </si>
  <si>
    <t>4hkx5v9v09npxsk@marketplace.amazon.in</t>
  </si>
  <si>
    <t>407-7604387-7563542</t>
  </si>
  <si>
    <t>TJWFklYH4</t>
  </si>
  <si>
    <t>DlfMT8LKcG0LR</t>
  </si>
  <si>
    <t>2026-06-26T20:46:35+05:30</t>
  </si>
  <si>
    <t>2026-06-27T11:06:43+05:30</t>
  </si>
  <si>
    <t>2026-06-27T14:06:54+05:30</t>
  </si>
  <si>
    <t>64ycbsng0t7mssz@marketplace.amazon.in</t>
  </si>
  <si>
    <t>HUZUR NAGAR</t>
  </si>
  <si>
    <t>408-6510962-8888322</t>
  </si>
  <si>
    <t>Tnm7qBrT4</t>
  </si>
  <si>
    <t>DY6HTGL3cm0XR</t>
  </si>
  <si>
    <t>2026-06-24T13:34:23+05:30</t>
  </si>
  <si>
    <t>2026-06-27T11:04:46+05:30</t>
  </si>
  <si>
    <t>2026-06-27T14:04:57+05:30</t>
  </si>
  <si>
    <t>5k1xqb1fq64w8vy@marketplace.amazon.in</t>
  </si>
  <si>
    <t>405-3030694-1435503</t>
  </si>
  <si>
    <t>TGWBwZY84</t>
  </si>
  <si>
    <t>DpQLT2Lgc30kR</t>
  </si>
  <si>
    <t>2026-06-26T21:16:57+05:30</t>
  </si>
  <si>
    <t>2026-06-27T11:04:42+05:30</t>
  </si>
  <si>
    <t>2026-06-27T14:04:53+05:30</t>
  </si>
  <si>
    <t>njwfhpqbjxblg9z@marketplace.amazon.in</t>
  </si>
  <si>
    <t>407-8199543-7437936</t>
  </si>
  <si>
    <t>TGn2x0Lk4</t>
  </si>
  <si>
    <t>DvfrTLLPcG0LR</t>
  </si>
  <si>
    <t>2026-06-25T19:08:25+05:30</t>
  </si>
  <si>
    <t>2026-06-27T11:03:45+05:30</t>
  </si>
  <si>
    <t>2026-06-27T14:04:00+05:30</t>
  </si>
  <si>
    <t>sznzr1mjcr2y18z@marketplace.amazon.in</t>
  </si>
  <si>
    <t>408-0469976-1133109</t>
  </si>
  <si>
    <t>TXBpW9fH4</t>
  </si>
  <si>
    <t>Dk60TZLwct0jR</t>
  </si>
  <si>
    <t>2026-06-26T11:54:45+05:30</t>
  </si>
  <si>
    <t>2026-06-27T11:02:50+05:30</t>
  </si>
  <si>
    <t>2026-06-27T11:02:55+05:30</t>
  </si>
  <si>
    <t>2026-06-27T12:03:27+05:30</t>
  </si>
  <si>
    <t>jtywnq8q5vnckpr@marketplace.amazon.in</t>
  </si>
  <si>
    <t>407-5934689-2796338</t>
  </si>
  <si>
    <t>TnzqpKlX4</t>
  </si>
  <si>
    <t>DLRYT3LFcw0TR</t>
  </si>
  <si>
    <t>2026-06-27T08:45:08+05:30</t>
  </si>
  <si>
    <t>2026-06-27T11:01:46+05:30</t>
  </si>
  <si>
    <t>2026-06-27T14:02:00+05:30</t>
  </si>
  <si>
    <t>w2prg8mfv0shdvk@marketplace.amazon.in</t>
  </si>
  <si>
    <t>402-5145351-9790716</t>
  </si>
  <si>
    <t>TCXf7qlc4</t>
  </si>
  <si>
    <t>DgmBnhLQcT0PR</t>
  </si>
  <si>
    <t>2026-06-26T23:57:00+05:30</t>
  </si>
  <si>
    <t>2026-06-27T10:57:48+05:30</t>
  </si>
  <si>
    <t>2026-06-27T13:58:00+05:30</t>
  </si>
  <si>
    <t>cytmygxw95ylw27@marketplace.amazon.in</t>
  </si>
  <si>
    <t>402-6977099-2772353</t>
  </si>
  <si>
    <t>TXngSvl04</t>
  </si>
  <si>
    <t>D8CYnBLsck09R</t>
  </si>
  <si>
    <t>2026-06-27T06:44:21+05:30</t>
  </si>
  <si>
    <t>2026-06-27T10:50:46+05:30</t>
  </si>
  <si>
    <t>2026-06-27T13:50:58+05:30</t>
  </si>
  <si>
    <t>73bhgv4lcd7ky3h@marketplace.amazon.in</t>
  </si>
  <si>
    <t>171-1792486-1234702</t>
  </si>
  <si>
    <t>T6WnTVlJ4</t>
  </si>
  <si>
    <t>D2z4nkLccm0cR</t>
  </si>
  <si>
    <t>2026-06-27T06:25:02+05:30</t>
  </si>
  <si>
    <t>2026-06-27T10:49:48+05:30</t>
  </si>
  <si>
    <t>2026-06-27T10:49:51+05:30</t>
  </si>
  <si>
    <t>2026-06-27T11:50:05+05:30</t>
  </si>
  <si>
    <t>6t3k175xfx7wlqj@marketplace.amazon.in</t>
  </si>
  <si>
    <t>2026-06-27T20:00:00+05:30</t>
  </si>
  <si>
    <t>408-4268179-0165102</t>
  </si>
  <si>
    <t>TGlJbhlY4</t>
  </si>
  <si>
    <t>DZM2xYL9cN0dR</t>
  </si>
  <si>
    <t>2026-06-27T01:09:24+05:30</t>
  </si>
  <si>
    <t>2026-06-27T10:38:43+05:30</t>
  </si>
  <si>
    <t>2026-06-27T13:38:55+05:30</t>
  </si>
  <si>
    <t>402-2059641-4464353</t>
  </si>
  <si>
    <t>TwvT5vC74</t>
  </si>
  <si>
    <t>DcwRxQLrcM0CR</t>
  </si>
  <si>
    <t>2026-06-26T19:25:59+05:30</t>
  </si>
  <si>
    <t>2026-06-27T10:32:40+05:30</t>
  </si>
  <si>
    <t>2026-06-27T13:32:51+05:30</t>
  </si>
  <si>
    <t>gd6cyh05gmp9n83@marketplace.amazon.in</t>
  </si>
  <si>
    <t>407-0008697-4847545</t>
  </si>
  <si>
    <t>TGHTx4YB4</t>
  </si>
  <si>
    <t>DSqcxCLFcz0sR</t>
  </si>
  <si>
    <t>2026-06-26T22:37:15+05:30</t>
  </si>
  <si>
    <t>2026-06-27T10:24:48+05:30</t>
  </si>
  <si>
    <t>2026-06-27T13:25:02+05:30</t>
  </si>
  <si>
    <t>5sk548131ff79zt@marketplace.amazon.in</t>
  </si>
  <si>
    <t>Kalpetta</t>
  </si>
  <si>
    <t>408-5246426-4817908</t>
  </si>
  <si>
    <t>TV10CFYw4</t>
  </si>
  <si>
    <t>D8x3x7L3ck07R</t>
  </si>
  <si>
    <t>2026-06-27T00:41:44+05:30</t>
  </si>
  <si>
    <t>2026-06-27T10:24:43+05:30</t>
  </si>
  <si>
    <t>2026-06-27T13:24:57+05:30</t>
  </si>
  <si>
    <t>8ygccdkk0h7mvmk@marketplace.amazon.in</t>
  </si>
  <si>
    <t>406-4753185-8556340</t>
  </si>
  <si>
    <t>TgdD57fd4</t>
  </si>
  <si>
    <t>DpqrxfLwcz0sR</t>
  </si>
  <si>
    <t>2026-06-26T10:37:19+05:30</t>
  </si>
  <si>
    <t>2026-06-27T10:23:57+05:30</t>
  </si>
  <si>
    <t>2026-06-27T13:24:10+05:30</t>
  </si>
  <si>
    <t>dzkq14pm2yhsp1y@marketplace.amazon.in</t>
  </si>
  <si>
    <t>404-4264696-6812324</t>
  </si>
  <si>
    <t>Tc2g7cfW4</t>
  </si>
  <si>
    <t>D2903rLScS0xR</t>
  </si>
  <si>
    <t>2026-06-26T00:18:48+05:30</t>
  </si>
  <si>
    <t>2026-06-27T10:20:47+05:30</t>
  </si>
  <si>
    <t>2026-06-27T13:20:59+05:30</t>
  </si>
  <si>
    <t>0s5v24t45s7zkz2@marketplace.amazon.in</t>
  </si>
  <si>
    <t>407-5523744-5253119</t>
  </si>
  <si>
    <t>TXYsLcCw4</t>
  </si>
  <si>
    <t>Dwz43NLccq05R</t>
  </si>
  <si>
    <t>2026-06-26T13:18:51+05:30</t>
  </si>
  <si>
    <t>2026-06-27T10:09:43+05:30</t>
  </si>
  <si>
    <t>2026-06-27T13:09:57+05:30</t>
  </si>
  <si>
    <t>pmt2p88722tx7zt@marketplace.amazon.in</t>
  </si>
  <si>
    <t>402-9259360-1239560</t>
  </si>
  <si>
    <t>Twcs7DCc4</t>
  </si>
  <si>
    <t>D1sJJ1LYcD07R</t>
  </si>
  <si>
    <t>2026-06-26T15:37:52+05:30</t>
  </si>
  <si>
    <t>2026-06-27T09:51:48+05:30</t>
  </si>
  <si>
    <t>2026-06-27T09:51:51+05:30</t>
  </si>
  <si>
    <t>2026-06-27T10:52:02+05:30</t>
  </si>
  <si>
    <t>t4b10c28zm4sgkl@marketplace.amazon.in</t>
  </si>
  <si>
    <t>407-8158297-1773909</t>
  </si>
  <si>
    <t>T3GzX9CJ4</t>
  </si>
  <si>
    <t>DsmqM2Lhc50NR</t>
  </si>
  <si>
    <t>2026-06-26T12:52:27+05:30</t>
  </si>
  <si>
    <t>2026-06-27T09:42:49+05:30</t>
  </si>
  <si>
    <t>2026-06-27T09:42:52+05:30</t>
  </si>
  <si>
    <t>2026-06-27T10:43:03+05:30</t>
  </si>
  <si>
    <t>5mnj0gzl5qtprlh@marketplace.amazon.in</t>
  </si>
  <si>
    <t>404-9182075-6741150</t>
  </si>
  <si>
    <t>T6MkxvCB4</t>
  </si>
  <si>
    <t>DzrcMPLdck0kR</t>
  </si>
  <si>
    <t>2026-06-26T12:40:00+05:30</t>
  </si>
  <si>
    <t>2026-06-27T09:37:46+05:30</t>
  </si>
  <si>
    <t>2026-06-27T12:37:59+05:30</t>
  </si>
  <si>
    <t>ym2ykb44d3gfs9j@marketplace.amazon.in</t>
  </si>
  <si>
    <t>402-1338495-9520342</t>
  </si>
  <si>
    <t>TXWXz1CC4</t>
  </si>
  <si>
    <t>DlFj13L6cW0JR</t>
  </si>
  <si>
    <t>2026-06-26T16:57:51+05:30</t>
  </si>
  <si>
    <t>2026-06-27T09:30:46+05:30</t>
  </si>
  <si>
    <t>2026-06-27T12:31:04+05:30</t>
  </si>
  <si>
    <t>63h8zkkxt692npn@marketplace.amazon.in</t>
  </si>
  <si>
    <t>PATAUDI</t>
  </si>
  <si>
    <t>403-2663059-0066748</t>
  </si>
  <si>
    <t>T6PnrpYl4</t>
  </si>
  <si>
    <t>Dl2t14LScm0wR</t>
  </si>
  <si>
    <t>2026-06-26T22:24:38+05:30</t>
  </si>
  <si>
    <t>2026-06-27T09:25:41+05:30</t>
  </si>
  <si>
    <t>2026-06-27T09:25:44+05:30</t>
  </si>
  <si>
    <t>2026-06-27T10:25:54+05:30</t>
  </si>
  <si>
    <t>gcfwlpslrm2nb1l@marketplace.amazon.in</t>
  </si>
  <si>
    <t>ROBERTSGANJ</t>
  </si>
  <si>
    <t>407-4460705-2749123</t>
  </si>
  <si>
    <t>T1r99NYs4</t>
  </si>
  <si>
    <t>DH4lrHLzcl0JR</t>
  </si>
  <si>
    <t>2026-06-26T20:54:21+05:30</t>
  </si>
  <si>
    <t>2026-06-27T09:18:41+05:30</t>
  </si>
  <si>
    <t>2026-06-27T12:18:52+05:30</t>
  </si>
  <si>
    <t>90g8nwrsv3ffl2v@marketplace.amazon.in</t>
  </si>
  <si>
    <t>JETPUR NAVAGADH</t>
  </si>
  <si>
    <t>403-0479820-9402725</t>
  </si>
  <si>
    <t>T1C372fN4</t>
  </si>
  <si>
    <t>DGWkrSLVcs0GR</t>
  </si>
  <si>
    <t>2026-06-26T09:51:21+05:30</t>
  </si>
  <si>
    <t>2026-06-27T09:07:45+05:30</t>
  </si>
  <si>
    <t>2026-06-27T12:07:56+05:30</t>
  </si>
  <si>
    <t>gj5lpxdr5cf3s57@marketplace.amazon.in</t>
  </si>
  <si>
    <t>Bantwala</t>
  </si>
  <si>
    <t>402-6472883-0443568</t>
  </si>
  <si>
    <t>T38cB2YB4</t>
  </si>
  <si>
    <t>D5XV9VL0cj06R</t>
  </si>
  <si>
    <t>2026-06-26T20:58:22+05:30</t>
  </si>
  <si>
    <t>2026-06-27T04:44:49+05:30</t>
  </si>
  <si>
    <t>2026-06-27T07:45:00+05:30</t>
  </si>
  <si>
    <t>6dtj86qf200xvcy@marketplace.amazon.in</t>
  </si>
  <si>
    <t>407-2501556-4629968</t>
  </si>
  <si>
    <t>TX2KZYft4</t>
  </si>
  <si>
    <t>D2FV9XLNcq0YR</t>
  </si>
  <si>
    <t>2026-06-26T13:48:22+05:30</t>
  </si>
  <si>
    <t>2026-06-27T04:35:43+05:30</t>
  </si>
  <si>
    <t>2026-06-27T04:35:46+05:30</t>
  </si>
  <si>
    <t>2026-06-27T05:36:00+05:30</t>
  </si>
  <si>
    <t>h6wpkvcsnv26kb3@marketplace.amazon.in</t>
  </si>
  <si>
    <t>404-7905891-3587564</t>
  </si>
  <si>
    <t>TnCy8TfP4</t>
  </si>
  <si>
    <t>DWYK9HLgc90gR</t>
  </si>
  <si>
    <t>2026-06-26T13:48:43+05:30</t>
  </si>
  <si>
    <t>2026-06-27T04:33:49+05:30</t>
  </si>
  <si>
    <t>2026-06-27T07:34:02+05:30</t>
  </si>
  <si>
    <t>f1t1dcbpgz21s9g@marketplace.amazon.in</t>
  </si>
  <si>
    <t>Kanjikuzhi</t>
  </si>
  <si>
    <t>404-4406099-6977122</t>
  </si>
  <si>
    <t>T1TPkZYx4</t>
  </si>
  <si>
    <t>D4Tp92LBcF0hR</t>
  </si>
  <si>
    <t>2026-06-26T19:50:10+05:30</t>
  </si>
  <si>
    <t>2026-06-27T04:30:52+05:30</t>
  </si>
  <si>
    <t>2026-06-27T07:31:08+05:30</t>
  </si>
  <si>
    <t>3gb3dwj8ry933qz@marketplace.amazon.in</t>
  </si>
  <si>
    <t>BALESHWAR</t>
  </si>
  <si>
    <t>408-4022481-4642731</t>
  </si>
  <si>
    <t>TXNddFCn4</t>
  </si>
  <si>
    <t>D3YQ9WLPc90gR</t>
  </si>
  <si>
    <t>2026-06-26T18:12:49+05:30</t>
  </si>
  <si>
    <t>2026-06-27T04:29:45+05:30</t>
  </si>
  <si>
    <t>2026-06-27T07:29:57+05:30</t>
  </si>
  <si>
    <t>f5y34zsp36d6248@marketplace.amazon.in</t>
  </si>
  <si>
    <t>403-3037938-1372326</t>
  </si>
  <si>
    <t>TcCKDmYN4</t>
  </si>
  <si>
    <t>DxK24lLHcf0VR</t>
  </si>
  <si>
    <t>2026-06-26T21:35:34+05:30</t>
  </si>
  <si>
    <t>2026-06-27T04:27:39+05:30</t>
  </si>
  <si>
    <t>2026-06-27T04:27:42+05:30</t>
  </si>
  <si>
    <t>2026-06-27T05:27:53+05:30</t>
  </si>
  <si>
    <t>9rthkh2c9407fyb@marketplace.amazon.in</t>
  </si>
  <si>
    <t>403-7397456-1305942</t>
  </si>
  <si>
    <t>Tw1lQNYy4</t>
  </si>
  <si>
    <t>DWLP48LDcV0VR</t>
  </si>
  <si>
    <t>2026-06-26T21:25:47+05:30</t>
  </si>
  <si>
    <t>2026-06-27T04:13:43+05:30</t>
  </si>
  <si>
    <t>2026-06-27T04:13:46+05:30</t>
  </si>
  <si>
    <t>2026-06-27T05:14:02+05:30</t>
  </si>
  <si>
    <t>cv5n9fy4082y8cl@marketplace.amazon.in</t>
  </si>
  <si>
    <t>OLD GOA</t>
  </si>
  <si>
    <t>403-9329028-2026720</t>
  </si>
  <si>
    <t>TGnKLNYl4</t>
  </si>
  <si>
    <t>DnZ8HdLncC0NR</t>
  </si>
  <si>
    <t>2026-06-26T21:09:11+05:30</t>
  </si>
  <si>
    <t>2026-06-27T04:04:44+05:30</t>
  </si>
  <si>
    <t>2026-06-27T04:04:48+05:30</t>
  </si>
  <si>
    <t>2026-06-27T05:05:04+05:30</t>
  </si>
  <si>
    <t>hpzh2wjpyq89pqf@marketplace.amazon.in</t>
  </si>
  <si>
    <t>406-1939407-3845936</t>
  </si>
  <si>
    <t>T15FCPCl4</t>
  </si>
  <si>
    <t>Dd1kHCLDcv0dR</t>
  </si>
  <si>
    <t>2026-06-26T19:39:55+05:30</t>
  </si>
  <si>
    <t>2026-06-27T03:59:46+05:30</t>
  </si>
  <si>
    <t>2026-06-27T06:59:57+05:30</t>
  </si>
  <si>
    <t>57ky8zzg9bx29l0@marketplace.amazon.in</t>
  </si>
  <si>
    <t>ADONI</t>
  </si>
  <si>
    <t>404-5608059-6029148</t>
  </si>
  <si>
    <t>TJB8LyYs4</t>
  </si>
  <si>
    <t>DN7rb1Lzcz0RR</t>
  </si>
  <si>
    <t>2026-06-26T21:30:25+05:30</t>
  </si>
  <si>
    <t>2026-06-27T03:41:41+05:30</t>
  </si>
  <si>
    <t>2026-06-27T06:41:53+05:30</t>
  </si>
  <si>
    <t>yx12tn4fjhynz6l@marketplace.amazon.in</t>
  </si>
  <si>
    <t>BARNALA</t>
  </si>
  <si>
    <t>405-4670096-0308316</t>
  </si>
  <si>
    <t>TJY0RtYB4</t>
  </si>
  <si>
    <t>DGZxkxL2cL0dR</t>
  </si>
  <si>
    <t>2026-06-26T20:34:24+05:30</t>
  </si>
  <si>
    <t>2026-06-27T03:27:45+05:30</t>
  </si>
  <si>
    <t>2026-06-27T06:28:00+05:30</t>
  </si>
  <si>
    <t>y5yy739hrhkmxxx@marketplace.amazon.in</t>
  </si>
  <si>
    <t>407-9160014-9284327</t>
  </si>
  <si>
    <t>TG0z7Jf44</t>
  </si>
  <si>
    <t>DsNVNhLzcr0JR</t>
  </si>
  <si>
    <t>2026-06-26T09:55:20+05:30</t>
  </si>
  <si>
    <t>2026-06-27T03:16:53+05:30</t>
  </si>
  <si>
    <t>2026-06-27T06:17:04+05:30</t>
  </si>
  <si>
    <t>y1chstlh4xcq0z2@marketplace.amazon.in</t>
  </si>
  <si>
    <t>171-8647943-3333138</t>
  </si>
  <si>
    <t>TCF5gGCY4</t>
  </si>
  <si>
    <t>DdCJNnLHcG02R</t>
  </si>
  <si>
    <t>2026-06-26T19:09:21+05:30</t>
  </si>
  <si>
    <t>2026-06-27T03:00:43+05:30</t>
  </si>
  <si>
    <t>2026-06-27T03:00:47+05:30</t>
  </si>
  <si>
    <t>2026-06-27T04:00:57+05:30</t>
  </si>
  <si>
    <t>y9l1fy9xhr0b8bl@marketplace.amazon.in</t>
  </si>
  <si>
    <t>407-3806065-6476309</t>
  </si>
  <si>
    <t>TClMnzfn4</t>
  </si>
  <si>
    <t>DB5rR5LQcw0rR</t>
  </si>
  <si>
    <t>2026-06-26T10:41:16+05:30</t>
  </si>
  <si>
    <t>2026-06-27T02:53:48+05:30</t>
  </si>
  <si>
    <t>2026-06-27T05:54:00+05:30</t>
  </si>
  <si>
    <t>hxj24l2tzkxl0q6@marketplace.amazon.in</t>
  </si>
  <si>
    <t>Df74RgLCcm0lR</t>
  </si>
  <si>
    <t>403-4642519-6828328</t>
  </si>
  <si>
    <t>T62fyBrw4</t>
  </si>
  <si>
    <t>DJCNhZGQcc0KR</t>
  </si>
  <si>
    <t>2026-06-24T11:24:34+05:30</t>
  </si>
  <si>
    <t>2026-06-27T02:30:47+05:30</t>
  </si>
  <si>
    <t>2026-06-27T05:31:01+05:30</t>
  </si>
  <si>
    <t>nlj4x0qc9wsnt7q@marketplace.amazon.in</t>
  </si>
  <si>
    <t>VELLAKOIL</t>
  </si>
  <si>
    <t>171-0904615-3601923</t>
  </si>
  <si>
    <t>TV6CtxdL4</t>
  </si>
  <si>
    <t>DnjKfDGWcT0sR</t>
  </si>
  <si>
    <t>2026-06-23T22:48:24+05:30</t>
  </si>
  <si>
    <t>2026-06-27T02:19:47+05:30</t>
  </si>
  <si>
    <t>2026-06-27T05:20:03+05:30</t>
  </si>
  <si>
    <t>dqfgs96ny985wkw@marketplace.amazon.in</t>
  </si>
  <si>
    <t>VISAKHAPATAM</t>
  </si>
  <si>
    <t>402-8643946-4227549</t>
  </si>
  <si>
    <t>TVp3J7Cr4</t>
  </si>
  <si>
    <t>DKCdjlG1cx0cR</t>
  </si>
  <si>
    <t>2026-06-26T14:43:04+05:30</t>
  </si>
  <si>
    <t>2026-06-27T01:55:44+05:30</t>
  </si>
  <si>
    <t>2026-06-27T04:55:56+05:30</t>
  </si>
  <si>
    <t>g31d8myg0zf51ty@marketplace.amazon.in</t>
  </si>
  <si>
    <t>DpjxZWGwcX0nR</t>
  </si>
  <si>
    <t>404-4574227-4833957</t>
  </si>
  <si>
    <t>T1rmhPfL4</t>
  </si>
  <si>
    <t>DxK6qLGmck0jR</t>
  </si>
  <si>
    <t>2026-06-26T14:13:21+05:30</t>
  </si>
  <si>
    <t>2026-06-27T01:32:44+05:30</t>
  </si>
  <si>
    <t>2026-06-27T04:32:55+05:30</t>
  </si>
  <si>
    <t>bh14vmzd7ywxnjh@marketplace.amazon.in</t>
  </si>
  <si>
    <t>407-2159724-4749160</t>
  </si>
  <si>
    <t>TcLcn4YC4</t>
  </si>
  <si>
    <t>D5hbqfGkcS0LR</t>
  </si>
  <si>
    <t>2026-06-26T23:35:16+05:30</t>
  </si>
  <si>
    <t>2026-06-27T01:27:41+05:30</t>
  </si>
  <si>
    <t>2026-06-27T04:27:54+05:30</t>
  </si>
  <si>
    <t>x8xcznj9cn8c8tq@marketplace.amazon.in</t>
  </si>
  <si>
    <t>403-0243729-4431575</t>
  </si>
  <si>
    <t>T3FJmzG14</t>
  </si>
  <si>
    <t>DM1B5QGgcd0kR</t>
  </si>
  <si>
    <t>2026-06-25T13:48:56+05:30</t>
  </si>
  <si>
    <t>2026-06-27T01:10:45+05:30</t>
  </si>
  <si>
    <t>2026-06-27T04:11:00+05:30</t>
  </si>
  <si>
    <t>xv3btkr4rbc726x@marketplace.amazon.in</t>
  </si>
  <si>
    <t>403-3131614-7721103</t>
  </si>
  <si>
    <t>TG8y1s064</t>
  </si>
  <si>
    <t>Dv0G5rGmcD0hR</t>
  </si>
  <si>
    <t>2026-06-25T12:32:23+05:30</t>
  </si>
  <si>
    <t>2026-06-27T00:59:45+05:30</t>
  </si>
  <si>
    <t>2026-06-27T03:59:59+05:30</t>
  </si>
  <si>
    <t>5syyh1f5x64ywq2@marketplace.amazon.in</t>
  </si>
  <si>
    <t>404-2027542-4713912</t>
  </si>
  <si>
    <t>TwM4XqCr4</t>
  </si>
  <si>
    <t>Dxjcg8GNc90ZR</t>
  </si>
  <si>
    <t>2026-06-26T20:05:55+05:30</t>
  </si>
  <si>
    <t>2026-06-27T00:53:46+05:30</t>
  </si>
  <si>
    <t>2026-06-27T03:53:59+05:30</t>
  </si>
  <si>
    <t>2mqwzqdy51cbw1y@marketplace.amazon.in</t>
  </si>
  <si>
    <t>403-5522759-7598744</t>
  </si>
  <si>
    <t>TCGF3hYr4</t>
  </si>
  <si>
    <t>Dvk1gyG0cm03R</t>
  </si>
  <si>
    <t>2026-06-26T22:50:39+05:30</t>
  </si>
  <si>
    <t>2026-06-27T00:51:43+05:30</t>
  </si>
  <si>
    <t>2026-06-27T00:51:46+05:30</t>
  </si>
  <si>
    <t>2026-06-27T01:51:59+05:30</t>
  </si>
  <si>
    <t>z5t2rwkgn3vx22d@marketplace.amazon.in</t>
  </si>
  <si>
    <t>2026-06-27T08:00:00+05:30</t>
  </si>
  <si>
    <t>405-9183071-7245135</t>
  </si>
  <si>
    <t>TwQSbvYZ4</t>
  </si>
  <si>
    <t>D1ZQgMGWc20bR</t>
  </si>
  <si>
    <t>2026-06-26T20:48:50+05:30</t>
  </si>
  <si>
    <t>2026-06-27T00:49:44+05:30</t>
  </si>
  <si>
    <t>2026-06-27T00:49:47+05:30</t>
  </si>
  <si>
    <t>2026-06-27T01:49:57+05:30</t>
  </si>
  <si>
    <t>3psgtlg99wkrh1s@marketplace.amazon.in</t>
  </si>
  <si>
    <t>171-9103425-5265954</t>
  </si>
  <si>
    <t>TwkBQ4fk4</t>
  </si>
  <si>
    <t>D2F78hGccb0fR</t>
  </si>
  <si>
    <t>2026-06-26T09:00:22+05:30</t>
  </si>
  <si>
    <t>2026-06-27T00:43:46+05:30</t>
  </si>
  <si>
    <t>2026-06-27T03:43:59+05:30</t>
  </si>
  <si>
    <t>j05kcpb61w51zrh@marketplace.amazon.in</t>
  </si>
  <si>
    <t>408-6287812-8561944</t>
  </si>
  <si>
    <t>TXyDs3Y04</t>
  </si>
  <si>
    <t>DprP8QG7cw0xR</t>
  </si>
  <si>
    <t>2026-06-26T22:53:44+05:30</t>
  </si>
  <si>
    <t>2026-06-27T00:30:48+05:30</t>
  </si>
  <si>
    <t>2026-06-27T03:31:01+05:30</t>
  </si>
  <si>
    <t>bpv8qn0msvjlkz8@marketplace.amazon.in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</si>
</sst>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&quot;$&quot;#,##0"/>
    <numFmt numFmtId="166" formatCode="m/d/yyyy"/>
    <numFmt numFmtId="167" formatCode="mm-dd-yyyy"/>
    <numFmt numFmtId="168" formatCode="mm/dd/yyyy"/>
  </numFmts>
  <fonts count="70">
    <font>
      <sz val="10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0.0"/>
      <color rgb="FF000000"/>
      <name val="Calibri"/>
    </font>
    <font>
      <b/>
      <color theme="1"/>
      <name val="Arial"/>
    </font>
    <font>
      <b/>
      <color rgb="FFFFFFFF"/>
      <name val="Calibri"/>
      <scheme val="minor"/>
    </font>
    <font>
      <sz val="11.0"/>
      <color rgb="FF000000"/>
      <name val="Calibri"/>
    </font>
    <font>
      <sz val="11.0"/>
      <color rgb="FF808080"/>
      <name val="Calibri"/>
    </font>
    <font>
      <sz val="12.0"/>
      <color rgb="FF000000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b/>
      <color theme="1"/>
      <name val="&quot;Amazon Ember&quot;"/>
    </font>
    <font>
      <b/>
      <color theme="1"/>
      <name val="Calibri"/>
    </font>
    <font>
      <color theme="1"/>
      <name val="Calibri"/>
    </font>
    <font>
      <sz val="10.0"/>
      <color rgb="FF000000"/>
      <name val="Arial"/>
    </font>
    <font>
      <b/>
      <sz val="11.0"/>
      <color theme="1"/>
      <name val="Calibri"/>
    </font>
    <font>
      <b/>
      <color theme="1"/>
      <name val="Amazon Ember"/>
    </font>
    <font/>
    <font>
      <b/>
      <sz val="12.0"/>
      <color rgb="FFFFFFFF"/>
      <name val="&quot;Times New Roman&quot;"/>
    </font>
    <font>
      <b/>
      <sz val="11.0"/>
      <color theme="1"/>
      <name val="Amazon Ember"/>
    </font>
    <font>
      <b/>
      <sz val="12.0"/>
      <color rgb="FF000000"/>
      <name val="Calibri"/>
    </font>
    <font>
      <b/>
      <sz val="12.0"/>
      <color theme="1"/>
      <name val="Calibri"/>
      <scheme val="minor"/>
    </font>
    <font>
      <b/>
      <sz val="12.0"/>
      <color rgb="FF808080"/>
      <name val="Calibri"/>
    </font>
    <font>
      <b/>
      <sz val="12.0"/>
      <color rgb="FF999999"/>
      <name val="Calibri"/>
    </font>
    <font>
      <b/>
      <sz val="12.0"/>
      <color rgb="FFC9211E"/>
      <name val="Calibri"/>
    </font>
    <font>
      <sz val="12.0"/>
      <color theme="1"/>
      <name val="Calibri"/>
      <scheme val="minor"/>
    </font>
    <font>
      <b/>
      <sz val="12.0"/>
      <color rgb="FF000000"/>
      <name val="Arial"/>
    </font>
    <font>
      <color theme="1"/>
      <name val="Arial"/>
    </font>
    <font>
      <color rgb="FF000000"/>
      <name val="Calibri"/>
    </font>
    <font>
      <sz val="9.0"/>
      <color rgb="FF000000"/>
      <name val="Arial"/>
    </font>
    <font>
      <sz val="11.0"/>
      <color rgb="FF999999"/>
      <name val="Calibri"/>
    </font>
    <font>
      <sz val="11.0"/>
      <color rgb="FFC9211E"/>
      <name val="Calibri"/>
    </font>
    <font>
      <sz val="10.0"/>
      <color theme="1"/>
      <name val="Times New Roman"/>
    </font>
    <font>
      <sz val="11.0"/>
      <color rgb="FFB2B2B2"/>
      <name val="Calibri"/>
    </font>
    <font>
      <sz val="9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Calibri"/>
    </font>
    <font>
      <b/>
      <sz val="10.0"/>
      <color theme="1"/>
      <name val="Arial"/>
    </font>
    <font>
      <b/>
      <color rgb="FF000000"/>
      <name val="Calibri"/>
    </font>
    <font>
      <b/>
      <color rgb="FF000000"/>
      <name val="Docs-Calibri"/>
    </font>
    <font>
      <b/>
      <sz val="10.0"/>
      <color theme="1"/>
      <name val="Calibri"/>
      <scheme val="minor"/>
    </font>
    <font>
      <b/>
      <sz val="10.0"/>
      <color rgb="FFFFFFFF"/>
      <name val="Arial"/>
    </font>
    <font>
      <b/>
      <sz val="12.0"/>
      <color rgb="FFFFFFFF"/>
      <name val="Arial"/>
    </font>
    <font>
      <b/>
      <sz val="13.0"/>
      <color rgb="FF000000"/>
      <name val="Docs-Calibri"/>
    </font>
    <font>
      <sz val="10.0"/>
      <color rgb="FF000000"/>
      <name val="Courier New"/>
    </font>
    <font>
      <b/>
      <sz val="13.0"/>
      <color rgb="FF000000"/>
      <name val="Calibri"/>
      <scheme val="minor"/>
    </font>
    <font>
      <sz val="8.0"/>
      <color theme="1"/>
      <name val="&quot;Liberation Sans&quot;"/>
    </font>
    <font>
      <u/>
      <sz val="11.0"/>
      <color rgb="FF000000"/>
      <name val="Calibri"/>
    </font>
    <font>
      <sz val="8.0"/>
      <color theme="1"/>
      <name val="Liberation Sans"/>
    </font>
    <font>
      <color rgb="FFCC0000"/>
      <name val="Calibri"/>
      <scheme val="minor"/>
    </font>
    <font>
      <sz val="20.0"/>
      <color rgb="FF333333"/>
      <name val="Amazon ember"/>
    </font>
    <font>
      <sz val="13.0"/>
      <color rgb="FF333333"/>
      <name val="Amazon ember"/>
    </font>
    <font>
      <b/>
      <sz val="13.0"/>
      <color theme="1"/>
      <name val="Amazon ember"/>
    </font>
    <font>
      <sz val="13.0"/>
      <color theme="1"/>
      <name val="Amazon ember"/>
    </font>
    <font>
      <b/>
      <sz val="13.0"/>
      <color rgb="FF333333"/>
      <name val="Amazon ember"/>
    </font>
    <font>
      <i/>
      <sz val="13.0"/>
      <color theme="1"/>
      <name val="Amazon ember"/>
    </font>
    <font>
      <color rgb="FF000000"/>
      <name val="Calibri"/>
      <scheme val="minor"/>
    </font>
    <font>
      <sz val="11.0"/>
      <color theme="1"/>
      <name val="Calibri"/>
      <scheme val="minor"/>
    </font>
    <font>
      <name val="Calibri"/>
    </font>
    <font>
      <sz val="9.0"/>
      <color rgb="FFC7511F"/>
      <name val="Arial"/>
    </font>
    <font>
      <sz val="9.0"/>
      <color rgb="FF007185"/>
      <name val="Arial"/>
    </font>
    <font>
      <sz val="11.0"/>
      <color rgb="FF0F1111"/>
      <name val="Calibri"/>
    </font>
    <font>
      <sz val="10.0"/>
      <color theme="1"/>
      <name val="Calibri"/>
    </font>
    <font>
      <sz val="10.0"/>
      <color theme="1"/>
      <name val="Calibri"/>
      <scheme val="minor"/>
    </font>
    <font>
      <sz val="1.0"/>
      <color rgb="FF000000"/>
      <name val="Arial"/>
    </font>
    <font>
      <b/>
      <sz val="12.0"/>
      <color rgb="FF000000"/>
      <name val="Times New Roman"/>
    </font>
    <font>
      <b/>
      <sz val="1.0"/>
      <color rgb="FF000000"/>
      <name val="Times New Roman"/>
    </font>
    <font>
      <sz val="1.0"/>
      <color rgb="FF000000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0A933"/>
        <bgColor rgb="FF00A933"/>
      </patternFill>
    </fill>
    <fill>
      <patternFill patternType="solid">
        <fgColor rgb="FFCFE2F3"/>
        <bgColor rgb="FFCFE2F3"/>
      </patternFill>
    </fill>
    <fill>
      <patternFill patternType="solid">
        <fgColor rgb="FFC2FFFF"/>
        <bgColor rgb="FFC2FFFF"/>
      </patternFill>
    </fill>
    <fill>
      <patternFill patternType="solid">
        <fgColor rgb="FFA4C2F4"/>
        <bgColor rgb="FFA4C2F4"/>
      </patternFill>
    </fill>
    <fill>
      <patternFill patternType="solid">
        <fgColor rgb="FF8B6930"/>
        <bgColor rgb="FF8B6930"/>
      </patternFill>
    </fill>
    <fill>
      <patternFill patternType="solid">
        <fgColor rgb="FFB6D7A8"/>
        <bgColor rgb="FFB6D7A8"/>
      </patternFill>
    </fill>
    <fill>
      <patternFill patternType="solid">
        <fgColor rgb="FFF6F9D4"/>
        <bgColor rgb="FFF6F9D4"/>
      </patternFill>
    </fill>
    <fill>
      <patternFill patternType="solid">
        <fgColor rgb="FFDDE8CB"/>
        <bgColor rgb="FFDDE8CB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E0C2CD"/>
        <bgColor rgb="FFE0C2CD"/>
      </patternFill>
    </fill>
    <fill>
      <patternFill patternType="solid">
        <fgColor rgb="FFEFEFEF"/>
        <bgColor rgb="FFEFEFEF"/>
      </patternFill>
    </fill>
    <fill>
      <patternFill patternType="solid">
        <fgColor rgb="FFDEE6EF"/>
        <bgColor rgb="FFDEE6EF"/>
      </patternFill>
    </fill>
    <fill>
      <patternFill patternType="solid">
        <fgColor rgb="FFEEEEEE"/>
        <bgColor rgb="FFEEEEEE"/>
      </patternFill>
    </fill>
    <fill>
      <patternFill patternType="solid">
        <fgColor rgb="FFE8F2A1"/>
        <bgColor rgb="FFE8F2A1"/>
      </patternFill>
    </fill>
    <fill>
      <patternFill patternType="solid">
        <fgColor rgb="FFFFFFFF"/>
        <bgColor rgb="FFFFFFFF"/>
      </patternFill>
    </fill>
    <fill>
      <patternFill patternType="solid">
        <fgColor rgb="FFFFD8CE"/>
        <bgColor rgb="FFFFD8CE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B4C7DC"/>
        <bgColor rgb="FFB4C7DC"/>
      </patternFill>
    </fill>
    <fill>
      <patternFill patternType="solid">
        <fgColor rgb="FFFFBDBD"/>
        <bgColor rgb="FFFFBDBD"/>
      </patternFill>
    </fill>
    <fill>
      <patternFill patternType="solid">
        <fgColor rgb="FFFFD7D7"/>
        <bgColor rgb="FFFFD7D7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EDF5FF"/>
        <bgColor rgb="FFEDF5FF"/>
      </patternFill>
    </fill>
    <fill>
      <patternFill patternType="solid">
        <fgColor rgb="FFCCCCCC"/>
        <bgColor rgb="FFCCCCCC"/>
      </patternFill>
    </fill>
  </fills>
  <borders count="36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 style="thin">
        <color rgb="FF000000"/>
      </right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/>
      <right/>
      <top style="hair">
        <color rgb="FFDDDDDD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999999"/>
      </top>
      <bottom style="thin">
        <color rgb="FFD9D9D9"/>
      </bottom>
    </border>
    <border>
      <left/>
      <right/>
    </border>
    <border>
      <left/>
      <right/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/>
      <right/>
      <top style="thin">
        <color rgb="FF000000"/>
      </top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shrinkToFit="0" vertical="bottom" wrapText="1"/>
    </xf>
    <xf borderId="0" fillId="2" fontId="6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wrapText="1"/>
    </xf>
    <xf borderId="2" fillId="0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/>
    </xf>
    <xf borderId="2" fillId="0" fontId="13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7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5" numFmtId="0" xfId="0" applyAlignment="1" applyFont="1">
      <alignment vertical="bottom"/>
    </xf>
    <xf borderId="3" fillId="0" fontId="17" numFmtId="0" xfId="0" applyAlignment="1" applyBorder="1" applyFont="1">
      <alignment readingOrder="0" vertical="bottom"/>
    </xf>
    <xf borderId="0" fillId="0" fontId="18" numFmtId="0" xfId="0" applyAlignment="1" applyFont="1">
      <alignment horizontal="center" shrinkToFit="0" vertical="bottom" wrapText="1"/>
    </xf>
    <xf borderId="4" fillId="0" fontId="14" numFmtId="0" xfId="0" applyAlignment="1" applyBorder="1" applyFont="1">
      <alignment readingOrder="0" vertical="bottom"/>
    </xf>
    <xf borderId="4" fillId="0" fontId="19" numFmtId="0" xfId="0" applyBorder="1" applyFont="1"/>
    <xf borderId="5" fillId="0" fontId="19" numFmtId="0" xfId="0" applyBorder="1" applyFont="1"/>
    <xf borderId="0" fillId="3" fontId="20" numFmtId="0" xfId="0" applyAlignment="1" applyFill="1" applyFont="1">
      <alignment horizontal="center" vertical="bottom"/>
    </xf>
    <xf borderId="0" fillId="0" fontId="21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readingOrder="0" vertical="center"/>
    </xf>
    <xf borderId="3" fillId="4" fontId="13" numFmtId="0" xfId="0" applyAlignment="1" applyBorder="1" applyFill="1" applyFont="1">
      <alignment horizontal="center" shrinkToFit="0" wrapText="1"/>
    </xf>
    <xf borderId="0" fillId="0" fontId="22" numFmtId="0" xfId="0" applyAlignment="1" applyFont="1">
      <alignment horizontal="center" readingOrder="0"/>
    </xf>
    <xf borderId="5" fillId="4" fontId="13" numFmtId="0" xfId="0" applyAlignment="1" applyBorder="1" applyFont="1">
      <alignment horizontal="center" shrinkToFit="0" wrapText="1"/>
    </xf>
    <xf borderId="0" fillId="0" fontId="22" numFmtId="0" xfId="0" applyAlignment="1" applyFont="1">
      <alignment horizontal="center" readingOrder="0" shrinkToFit="0" vertical="bottom" wrapText="0"/>
    </xf>
    <xf borderId="0" fillId="0" fontId="23" numFmtId="0" xfId="0" applyAlignment="1" applyFont="1">
      <alignment horizontal="center"/>
    </xf>
    <xf borderId="5" fillId="4" fontId="13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readingOrder="0" shrinkToFit="0" vertical="bottom" wrapText="1"/>
    </xf>
    <xf borderId="6" fillId="5" fontId="9" numFmtId="0" xfId="0" applyAlignment="1" applyBorder="1" applyFill="1" applyFont="1">
      <alignment horizontal="center" shrinkToFit="0" vertical="bottom" wrapText="0"/>
    </xf>
    <xf borderId="6" fillId="6" fontId="9" numFmtId="0" xfId="0" applyAlignment="1" applyBorder="1" applyFill="1" applyFont="1">
      <alignment horizontal="center" shrinkToFit="0" vertical="bottom" wrapText="0"/>
    </xf>
    <xf borderId="6" fillId="7" fontId="9" numFmtId="0" xfId="0" applyAlignment="1" applyBorder="1" applyFill="1" applyFont="1">
      <alignment horizontal="center" shrinkToFit="0" vertical="bottom" wrapText="0"/>
    </xf>
    <xf borderId="6" fillId="8" fontId="9" numFmtId="0" xfId="0" applyAlignment="1" applyBorder="1" applyFill="1" applyFont="1">
      <alignment horizontal="center" shrinkToFit="0" vertical="bottom" wrapText="0"/>
    </xf>
    <xf borderId="0" fillId="0" fontId="2" numFmtId="0" xfId="0" applyFont="1"/>
    <xf borderId="6" fillId="9" fontId="9" numFmtId="0" xfId="0" applyAlignment="1" applyBorder="1" applyFill="1" applyFont="1">
      <alignment horizontal="center" shrinkToFit="0" vertical="bottom" wrapText="0"/>
    </xf>
    <xf borderId="6" fillId="10" fontId="9" numFmtId="0" xfId="0" applyAlignment="1" applyBorder="1" applyFill="1" applyFont="1">
      <alignment horizontal="center" shrinkToFit="0" vertical="bottom" wrapText="0"/>
    </xf>
    <xf borderId="5" fillId="4" fontId="5" numFmtId="0" xfId="0" applyAlignment="1" applyBorder="1" applyFont="1">
      <alignment horizontal="center" shrinkToFit="0" wrapText="1"/>
    </xf>
    <xf borderId="6" fillId="11" fontId="9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horizontal="center" readingOrder="0" shrinkToFit="0" vertical="center" wrapText="1"/>
    </xf>
    <xf borderId="6" fillId="12" fontId="9" numFmtId="0" xfId="0" applyAlignment="1" applyBorder="1" applyFill="1" applyFon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horizontal="center" readingOrder="0" vertical="center"/>
    </xf>
    <xf borderId="0" fillId="0" fontId="25" numFmtId="0" xfId="0" applyAlignment="1" applyFont="1">
      <alignment horizontal="center" shrinkToFit="0" vertical="bottom" wrapText="0"/>
    </xf>
    <xf borderId="0" fillId="0" fontId="23" numFmtId="0" xfId="0" applyAlignment="1" applyFont="1">
      <alignment horizontal="center" readingOrder="0"/>
    </xf>
    <xf borderId="7" fillId="0" fontId="26" numFmtId="0" xfId="0" applyAlignment="1" applyBorder="1" applyFont="1">
      <alignment horizontal="center" shrinkToFit="0" vertical="bottom" wrapText="0"/>
    </xf>
    <xf borderId="0" fillId="0" fontId="27" numFmtId="0" xfId="0" applyAlignment="1" applyFont="1">
      <alignment horizontal="center"/>
    </xf>
    <xf borderId="0" fillId="0" fontId="28" numFmtId="0" xfId="0" applyAlignment="1" applyFont="1">
      <alignment horizontal="center" shrinkToFit="0" vertical="bottom" wrapText="0"/>
    </xf>
    <xf borderId="1" fillId="0" fontId="29" numFmtId="0" xfId="0" applyAlignment="1" applyBorder="1" applyFont="1">
      <alignment vertical="bottom"/>
    </xf>
    <xf borderId="1" fillId="0" fontId="30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8" fillId="9" fontId="7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horizontal="center" shrinkToFit="0" vertical="bottom" wrapText="0"/>
    </xf>
    <xf borderId="8" fillId="5" fontId="7" numFmtId="0" xfId="0" applyAlignment="1" applyBorder="1" applyFont="1">
      <alignment readingOrder="0" shrinkToFit="0" vertical="bottom" wrapText="0"/>
    </xf>
    <xf borderId="8" fillId="6" fontId="7" numFmtId="0" xfId="0" applyAlignment="1" applyBorder="1" applyFont="1">
      <alignment readingOrder="0" shrinkToFit="0" vertical="bottom" wrapText="0"/>
    </xf>
    <xf borderId="8" fillId="7" fontId="7" numFmtId="0" xfId="0" applyAlignment="1" applyBorder="1" applyFont="1">
      <alignment readingOrder="0" shrinkToFit="0" vertical="bottom" wrapText="0"/>
    </xf>
    <xf borderId="8" fillId="8" fontId="7" numFmtId="0" xfId="0" applyAlignment="1" applyBorder="1" applyFont="1">
      <alignment readingOrder="0" shrinkToFit="0" vertical="bottom" wrapText="0"/>
    </xf>
    <xf borderId="8" fillId="9" fontId="7" numFmtId="0" xfId="0" applyAlignment="1" applyBorder="1" applyFont="1">
      <alignment readingOrder="0" shrinkToFit="0" vertical="bottom" wrapText="0"/>
    </xf>
    <xf borderId="8" fillId="10" fontId="7" numFmtId="0" xfId="0" applyAlignment="1" applyBorder="1" applyFont="1">
      <alignment horizontal="center" readingOrder="0" shrinkToFit="0" vertical="bottom" wrapText="0"/>
    </xf>
    <xf borderId="8" fillId="11" fontId="7" numFmtId="0" xfId="0" applyAlignment="1" applyBorder="1" applyFont="1">
      <alignment readingOrder="0" shrinkToFit="0" vertical="bottom" wrapText="0"/>
    </xf>
    <xf borderId="8" fillId="12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9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8" fillId="13" fontId="32" numFmtId="0" xfId="0" applyAlignment="1" applyBorder="1" applyFill="1" applyFont="1">
      <alignment shrinkToFit="0" vertical="bottom" wrapText="0"/>
    </xf>
    <xf borderId="8" fillId="14" fontId="7" numFmtId="0" xfId="0" applyAlignment="1" applyBorder="1" applyFill="1" applyFont="1">
      <alignment horizontal="center" readingOrder="0" shrinkToFit="0" vertical="bottom" wrapText="0"/>
    </xf>
    <xf borderId="8" fillId="13" fontId="7" numFmtId="0" xfId="0" applyAlignment="1" applyBorder="1" applyFont="1">
      <alignment readingOrder="0" shrinkToFit="0" vertical="bottom" wrapText="0"/>
    </xf>
    <xf borderId="8" fillId="15" fontId="33" numFmtId="0" xfId="0" applyAlignment="1" applyBorder="1" applyFill="1" applyFont="1">
      <alignment horizontal="center" shrinkToFit="0" vertical="bottom" wrapText="0"/>
    </xf>
    <xf borderId="8" fillId="16" fontId="34" numFmtId="0" xfId="0" applyAlignment="1" applyBorder="1" applyFill="1" applyFont="1">
      <alignment horizontal="center" shrinkToFit="0" vertical="bottom" wrapText="1"/>
    </xf>
    <xf borderId="8" fillId="17" fontId="11" numFmtId="0" xfId="0" applyAlignment="1" applyBorder="1" applyFill="1" applyFont="1">
      <alignment horizontal="center" shrinkToFit="0" vertical="bottom" wrapText="0"/>
    </xf>
    <xf borderId="8" fillId="9" fontId="35" numFmtId="0" xfId="0" applyAlignment="1" applyBorder="1" applyFont="1">
      <alignment shrinkToFit="0" vertical="bottom" wrapText="0"/>
    </xf>
    <xf borderId="10" fillId="9" fontId="33" numFmtId="0" xfId="0" applyAlignment="1" applyBorder="1" applyFont="1">
      <alignment horizontal="center" readingOrder="0" shrinkToFit="0" vertical="bottom" wrapText="0"/>
    </xf>
    <xf borderId="0" fillId="0" fontId="29" numFmtId="0" xfId="0" applyAlignment="1" applyFont="1">
      <alignment vertical="bottom"/>
    </xf>
    <xf borderId="0" fillId="0" fontId="3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1" fillId="9" fontId="7" numFmtId="0" xfId="0" applyAlignment="1" applyBorder="1" applyFont="1">
      <alignment shrinkToFit="0" vertical="bottom" wrapText="0"/>
    </xf>
    <xf borderId="0" fillId="18" fontId="36" numFmtId="0" xfId="0" applyAlignment="1" applyFill="1" applyFont="1">
      <alignment horizontal="left"/>
    </xf>
    <xf borderId="11" fillId="0" fontId="7" numFmtId="0" xfId="0" applyAlignment="1" applyBorder="1" applyFont="1">
      <alignment horizontal="center" shrinkToFit="0" vertical="bottom" wrapText="0"/>
    </xf>
    <xf borderId="11" fillId="5" fontId="7" numFmtId="0" xfId="0" applyAlignment="1" applyBorder="1" applyFont="1">
      <alignment shrinkToFit="0" vertical="bottom" wrapText="0"/>
    </xf>
    <xf borderId="11" fillId="6" fontId="7" numFmtId="0" xfId="0" applyAlignment="1" applyBorder="1" applyFont="1">
      <alignment readingOrder="0" shrinkToFit="0" vertical="bottom" wrapText="0"/>
    </xf>
    <xf borderId="11" fillId="7" fontId="7" numFmtId="0" xfId="0" applyAlignment="1" applyBorder="1" applyFont="1">
      <alignment readingOrder="0" shrinkToFit="0" vertical="bottom" wrapText="0"/>
    </xf>
    <xf borderId="11" fillId="8" fontId="7" numFmtId="0" xfId="0" applyAlignment="1" applyBorder="1" applyFont="1">
      <alignment shrinkToFit="0" vertical="bottom" wrapText="0"/>
    </xf>
    <xf borderId="11" fillId="10" fontId="7" numFmtId="0" xfId="0" applyAlignment="1" applyBorder="1" applyFont="1">
      <alignment horizontal="center" readingOrder="0" shrinkToFit="0" vertical="bottom" wrapText="0"/>
    </xf>
    <xf borderId="11" fillId="11" fontId="7" numFmtId="0" xfId="0" applyAlignment="1" applyBorder="1" applyFont="1">
      <alignment shrinkToFit="0" vertical="bottom" wrapText="0"/>
    </xf>
    <xf borderId="11" fillId="12" fontId="7" numFmtId="0" xfId="0" applyAlignment="1" applyBorder="1" applyFont="1">
      <alignment shrinkToFit="0" vertical="bottom" wrapText="0"/>
    </xf>
    <xf borderId="0" fillId="0" fontId="31" numFmtId="0" xfId="0" applyAlignment="1" applyFont="1">
      <alignment shrinkToFit="0" vertical="bottom" wrapText="1"/>
    </xf>
    <xf borderId="0" fillId="0" fontId="16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wrapText="1"/>
    </xf>
    <xf borderId="12" fillId="0" fontId="19" numFmtId="0" xfId="0" applyBorder="1" applyFont="1"/>
    <xf borderId="11" fillId="15" fontId="32" numFmtId="0" xfId="0" applyAlignment="1" applyBorder="1" applyFont="1">
      <alignment shrinkToFit="0" vertical="bottom" wrapText="0"/>
    </xf>
    <xf borderId="11" fillId="14" fontId="7" numFmtId="0" xfId="0" applyAlignment="1" applyBorder="1" applyFont="1">
      <alignment horizontal="center" readingOrder="0" shrinkToFit="0" vertical="bottom" wrapText="0"/>
    </xf>
    <xf borderId="11" fillId="19" fontId="7" numFmtId="0" xfId="0" applyAlignment="1" applyBorder="1" applyFill="1" applyFont="1">
      <alignment shrinkToFit="0" vertical="bottom" wrapText="0"/>
    </xf>
    <xf borderId="11" fillId="15" fontId="33" numFmtId="0" xfId="0" applyAlignment="1" applyBorder="1" applyFont="1">
      <alignment horizontal="center" shrinkToFit="0" vertical="bottom" wrapText="0"/>
    </xf>
    <xf borderId="11" fillId="16" fontId="34" numFmtId="0" xfId="0" applyAlignment="1" applyBorder="1" applyFont="1">
      <alignment horizontal="center" shrinkToFit="0" vertical="bottom" wrapText="1"/>
    </xf>
    <xf borderId="11" fillId="17" fontId="11" numFmtId="0" xfId="0" applyAlignment="1" applyBorder="1" applyFont="1">
      <alignment horizontal="center" shrinkToFit="0" vertical="bottom" wrapText="0"/>
    </xf>
    <xf borderId="11" fillId="9" fontId="35" numFmtId="0" xfId="0" applyAlignment="1" applyBorder="1" applyFont="1">
      <alignment shrinkToFit="0" vertical="bottom" wrapText="0"/>
    </xf>
    <xf borderId="13" fillId="9" fontId="33" numFmtId="0" xfId="0" applyAlignment="1" applyBorder="1" applyFont="1">
      <alignment horizontal="center" readingOrder="0" shrinkToFit="0" vertical="bottom" wrapText="0"/>
    </xf>
    <xf borderId="11" fillId="9" fontId="7" numFmtId="0" xfId="0" applyAlignment="1" applyBorder="1" applyFont="1">
      <alignment readingOrder="0" shrinkToFit="0" vertical="bottom" wrapText="0"/>
    </xf>
    <xf borderId="0" fillId="0" fontId="29" numFmtId="0" xfId="0" applyAlignment="1" applyFont="1">
      <alignment readingOrder="0" vertical="bottom"/>
    </xf>
    <xf borderId="6" fillId="5" fontId="7" numFmtId="0" xfId="0" applyAlignment="1" applyBorder="1" applyFont="1">
      <alignment shrinkToFit="0" vertical="bottom" wrapText="0"/>
    </xf>
    <xf borderId="6" fillId="6" fontId="7" numFmtId="0" xfId="0" applyAlignment="1" applyBorder="1" applyFont="1">
      <alignment readingOrder="0" shrinkToFit="0" vertical="bottom" wrapText="0"/>
    </xf>
    <xf borderId="6" fillId="7" fontId="7" numFmtId="0" xfId="0" applyAlignment="1" applyBorder="1" applyFont="1">
      <alignment readingOrder="0" shrinkToFit="0" vertical="bottom" wrapText="0"/>
    </xf>
    <xf borderId="6" fillId="8" fontId="7" numFmtId="0" xfId="0" applyAlignment="1" applyBorder="1" applyFont="1">
      <alignment shrinkToFit="0" vertical="bottom" wrapText="0"/>
    </xf>
    <xf borderId="6" fillId="9" fontId="7" numFmtId="0" xfId="0" applyAlignment="1" applyBorder="1" applyFont="1">
      <alignment shrinkToFit="0" vertical="bottom" wrapText="0"/>
    </xf>
    <xf borderId="6" fillId="11" fontId="7" numFmtId="0" xfId="0" applyAlignment="1" applyBorder="1" applyFont="1">
      <alignment shrinkToFit="0" vertical="bottom" wrapText="0"/>
    </xf>
    <xf borderId="6" fillId="12" fontId="7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1" fillId="20" fontId="7" numFmtId="0" xfId="0" applyAlignment="1" applyBorder="1" applyFill="1" applyFont="1">
      <alignment readingOrder="0" shrinkToFit="0" vertical="bottom" wrapText="0"/>
    </xf>
    <xf borderId="11" fillId="21" fontId="7" numFmtId="0" xfId="0" applyAlignment="1" applyBorder="1" applyFill="1" applyFont="1">
      <alignment readingOrder="0" shrinkToFit="0" vertical="bottom" wrapText="0"/>
    </xf>
    <xf borderId="2" fillId="0" fontId="29" numFmtId="0" xfId="0" applyAlignment="1" applyBorder="1" applyFont="1">
      <alignment vertical="bottom"/>
    </xf>
    <xf borderId="2" fillId="0" fontId="30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center" shrinkToFit="0" wrapText="1"/>
    </xf>
    <xf borderId="14" fillId="9" fontId="7" numFmtId="0" xfId="0" applyAlignment="1" applyBorder="1" applyFont="1">
      <alignment shrinkToFit="0" vertical="bottom" wrapText="0"/>
    </xf>
    <xf borderId="14" fillId="0" fontId="7" numFmtId="0" xfId="0" applyAlignment="1" applyBorder="1" applyFont="1">
      <alignment horizontal="center" shrinkToFit="0" vertical="bottom" wrapText="0"/>
    </xf>
    <xf borderId="14" fillId="5" fontId="7" numFmtId="0" xfId="0" applyAlignment="1" applyBorder="1" applyFont="1">
      <alignment shrinkToFit="0" vertical="bottom" wrapText="0"/>
    </xf>
    <xf borderId="14" fillId="6" fontId="7" numFmtId="0" xfId="0" applyAlignment="1" applyBorder="1" applyFont="1">
      <alignment readingOrder="0" shrinkToFit="0" vertical="bottom" wrapText="0"/>
    </xf>
    <xf borderId="14" fillId="7" fontId="7" numFmtId="0" xfId="0" applyAlignment="1" applyBorder="1" applyFont="1">
      <alignment readingOrder="0" shrinkToFit="0" vertical="bottom" wrapText="0"/>
    </xf>
    <xf borderId="14" fillId="8" fontId="7" numFmtId="0" xfId="0" applyAlignment="1" applyBorder="1" applyFont="1">
      <alignment shrinkToFit="0" vertical="bottom" wrapText="0"/>
    </xf>
    <xf borderId="14" fillId="10" fontId="7" numFmtId="0" xfId="0" applyAlignment="1" applyBorder="1" applyFont="1">
      <alignment horizontal="center" readingOrder="0" shrinkToFit="0" vertical="bottom" wrapText="0"/>
    </xf>
    <xf borderId="14" fillId="11" fontId="7" numFmtId="0" xfId="0" applyAlignment="1" applyBorder="1" applyFont="1">
      <alignment shrinkToFit="0" vertical="bottom" wrapText="0"/>
    </xf>
    <xf borderId="14" fillId="12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31" numFmtId="0" xfId="0" applyAlignment="1" applyBorder="1" applyFont="1">
      <alignment shrinkToFit="0" vertical="bottom" wrapText="1"/>
    </xf>
    <xf borderId="2" fillId="0" fontId="16" numFmtId="0" xfId="0" applyAlignment="1" applyBorder="1" applyFont="1">
      <alignment readingOrder="0" shrinkToFit="0" vertical="bottom" wrapText="1"/>
    </xf>
    <xf borderId="15" fillId="0" fontId="19" numFmtId="0" xfId="0" applyBorder="1" applyFont="1"/>
    <xf borderId="2" fillId="0" fontId="19" numFmtId="0" xfId="0" applyBorder="1" applyFont="1"/>
    <xf borderId="14" fillId="15" fontId="32" numFmtId="0" xfId="0" applyAlignment="1" applyBorder="1" applyFont="1">
      <alignment shrinkToFit="0" vertical="bottom" wrapText="0"/>
    </xf>
    <xf borderId="14" fillId="14" fontId="7" numFmtId="0" xfId="0" applyAlignment="1" applyBorder="1" applyFont="1">
      <alignment horizontal="center" readingOrder="0" shrinkToFit="0" vertical="bottom" wrapText="0"/>
    </xf>
    <xf borderId="14" fillId="10" fontId="7" numFmtId="0" xfId="0" applyAlignment="1" applyBorder="1" applyFont="1">
      <alignment readingOrder="0" shrinkToFit="0" vertical="bottom" wrapText="0"/>
    </xf>
    <xf borderId="0" fillId="0" fontId="37" numFmtId="0" xfId="0" applyAlignment="1" applyFont="1">
      <alignment horizontal="center" readingOrder="0" shrinkToFit="0" vertical="bottom" wrapText="0"/>
    </xf>
    <xf borderId="14" fillId="15" fontId="33" numFmtId="0" xfId="0" applyAlignment="1" applyBorder="1" applyFont="1">
      <alignment horizontal="center" shrinkToFit="0" vertical="bottom" wrapText="0"/>
    </xf>
    <xf borderId="14" fillId="16" fontId="34" numFmtId="0" xfId="0" applyAlignment="1" applyBorder="1" applyFont="1">
      <alignment horizontal="center" shrinkToFit="0" vertical="bottom" wrapText="1"/>
    </xf>
    <xf borderId="14" fillId="17" fontId="11" numFmtId="0" xfId="0" applyAlignment="1" applyBorder="1" applyFont="1">
      <alignment horizontal="center" shrinkToFit="0" vertical="bottom" wrapText="0"/>
    </xf>
    <xf borderId="16" fillId="22" fontId="37" numFmtId="0" xfId="0" applyAlignment="1" applyBorder="1" applyFill="1" applyFont="1">
      <alignment horizontal="center" readingOrder="0" shrinkToFit="0" vertical="bottom" wrapText="0"/>
    </xf>
    <xf borderId="17" fillId="0" fontId="19" numFmtId="0" xfId="0" applyBorder="1" applyFont="1"/>
    <xf borderId="18" fillId="9" fontId="35" numFmtId="0" xfId="0" applyAlignment="1" applyBorder="1" applyFont="1">
      <alignment shrinkToFit="0" vertical="bottom" wrapText="0"/>
    </xf>
    <xf borderId="19" fillId="0" fontId="19" numFmtId="0" xfId="0" applyBorder="1" applyFont="1"/>
    <xf borderId="16" fillId="10" fontId="37" numFmtId="0" xfId="0" applyAlignment="1" applyBorder="1" applyFont="1">
      <alignment horizontal="center" readingOrder="0" shrinkToFit="0" vertical="bottom" wrapText="0"/>
    </xf>
    <xf borderId="16" fillId="23" fontId="37" numFmtId="0" xfId="0" applyAlignment="1" applyBorder="1" applyFill="1" applyFont="1">
      <alignment horizontal="center" readingOrder="0" shrinkToFit="0" vertical="bottom" wrapText="0"/>
    </xf>
    <xf borderId="11" fillId="5" fontId="7" numFmtId="0" xfId="0" applyAlignment="1" applyBorder="1" applyFont="1">
      <alignment readingOrder="0" shrinkToFit="0" vertical="bottom" wrapText="0"/>
    </xf>
    <xf borderId="11" fillId="24" fontId="7" numFmtId="0" xfId="0" applyAlignment="1" applyBorder="1" applyFill="1" applyFont="1">
      <alignment shrinkToFit="0" vertical="bottom" wrapText="0"/>
    </xf>
    <xf borderId="11" fillId="24" fontId="7" numFmtId="0" xfId="0" applyAlignment="1" applyBorder="1" applyFont="1">
      <alignment horizontal="center" readingOrder="0" shrinkToFit="0" vertical="bottom" wrapText="0"/>
    </xf>
    <xf borderId="11" fillId="24" fontId="11" numFmtId="0" xfId="0" applyAlignment="1" applyBorder="1" applyFont="1">
      <alignment horizontal="center" readingOrder="0" shrinkToFit="0" vertical="bottom" wrapText="0"/>
    </xf>
    <xf borderId="11" fillId="8" fontId="7" numFmtId="0" xfId="0" applyAlignment="1" applyBorder="1" applyFont="1">
      <alignment readingOrder="0" shrinkToFit="0" vertical="bottom" wrapText="0"/>
    </xf>
    <xf borderId="11" fillId="9" fontId="7" numFmtId="0" xfId="0" applyAlignment="1" applyBorder="1" applyFont="1">
      <alignment horizontal="left" shrinkToFit="0" vertical="bottom" wrapText="0"/>
    </xf>
    <xf borderId="11" fillId="10" fontId="7" numFmtId="0" xfId="0" applyAlignment="1" applyBorder="1" applyFont="1">
      <alignment readingOrder="0" shrinkToFit="0" vertical="bottom" wrapText="0"/>
    </xf>
    <xf borderId="11" fillId="9" fontId="7" numFmtId="0" xfId="0" applyAlignment="1" applyBorder="1" applyFont="1">
      <alignment horizontal="center" readingOrder="0" shrinkToFit="0" vertical="bottom" wrapText="0"/>
    </xf>
    <xf borderId="11" fillId="11" fontId="7" numFmtId="0" xfId="0" applyAlignment="1" applyBorder="1" applyFont="1">
      <alignment readingOrder="0" shrinkToFit="0" vertical="bottom" wrapText="0"/>
    </xf>
    <xf borderId="11" fillId="15" fontId="7" numFmtId="0" xfId="0" applyAlignment="1" applyBorder="1" applyFont="1">
      <alignment shrinkToFit="0" vertical="bottom" wrapText="0"/>
    </xf>
    <xf borderId="11" fillId="15" fontId="7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11" fillId="25" fontId="7" numFmtId="0" xfId="0" applyAlignment="1" applyBorder="1" applyFill="1" applyFont="1">
      <alignment shrinkToFit="0" vertical="bottom" wrapText="0"/>
    </xf>
    <xf borderId="11" fillId="25" fontId="7" numFmtId="0" xfId="0" applyAlignment="1" applyBorder="1" applyFont="1">
      <alignment horizontal="center" shrinkToFit="0" vertical="bottom" wrapText="0"/>
    </xf>
    <xf borderId="11" fillId="9" fontId="7" numFmtId="0" xfId="0" applyAlignment="1" applyBorder="1" applyFont="1">
      <alignment horizontal="center" shrinkToFit="0" vertical="bottom" wrapText="0"/>
    </xf>
    <xf borderId="11" fillId="15" fontId="7" numFmtId="0" xfId="0" applyAlignment="1" applyBorder="1" applyFont="1">
      <alignment horizontal="center" shrinkToFit="0" vertical="bottom" wrapText="0"/>
    </xf>
    <xf borderId="11" fillId="25" fontId="7" numFmtId="0" xfId="0" applyAlignment="1" applyBorder="1" applyFont="1">
      <alignment readingOrder="0" shrinkToFit="0" vertical="bottom" wrapText="0"/>
    </xf>
    <xf borderId="11" fillId="15" fontId="7" numFmtId="0" xfId="0" applyAlignment="1" applyBorder="1" applyFont="1">
      <alignment readingOrder="0" shrinkToFit="0" vertical="bottom" wrapText="0"/>
    </xf>
    <xf borderId="6" fillId="10" fontId="7" numFmtId="0" xfId="0" applyAlignment="1" applyBorder="1" applyFont="1">
      <alignment readingOrder="0" shrinkToFit="0" vertical="bottom" wrapText="0"/>
    </xf>
    <xf borderId="11" fillId="9" fontId="7" numFmtId="49" xfId="0" applyAlignment="1" applyBorder="1" applyFont="1" applyNumberFormat="1">
      <alignment readingOrder="0" shrinkToFit="0" vertical="bottom" wrapText="0"/>
    </xf>
    <xf borderId="11" fillId="15" fontId="7" numFmtId="0" xfId="0" applyAlignment="1" applyBorder="1" applyFont="1">
      <alignment horizontal="left" shrinkToFit="0" vertical="bottom" wrapText="0"/>
    </xf>
    <xf borderId="11" fillId="25" fontId="37" numFmtId="0" xfId="0" applyAlignment="1" applyBorder="1" applyFont="1">
      <alignment horizontal="center" shrinkToFit="0" vertical="bottom" wrapText="0"/>
    </xf>
    <xf borderId="11" fillId="25" fontId="38" numFmtId="0" xfId="0" applyAlignment="1" applyBorder="1" applyFont="1">
      <alignment horizontal="center" shrinkToFit="0" vertical="bottom" wrapText="0"/>
    </xf>
    <xf borderId="11" fillId="9" fontId="37" numFmtId="0" xfId="0" applyAlignment="1" applyBorder="1" applyFont="1">
      <alignment horizontal="center" shrinkToFit="0" vertical="bottom" wrapText="0"/>
    </xf>
    <xf borderId="11" fillId="9" fontId="39" numFmtId="164" xfId="0" applyAlignment="1" applyBorder="1" applyFont="1" applyNumberFormat="1">
      <alignment horizontal="center" shrinkToFit="0" vertical="bottom" wrapText="0"/>
    </xf>
    <xf borderId="11" fillId="9" fontId="11" numFmtId="0" xfId="0" applyAlignment="1" applyBorder="1" applyFont="1">
      <alignment horizontal="center" shrinkToFit="0" vertical="bottom" wrapText="0"/>
    </xf>
    <xf borderId="11" fillId="15" fontId="37" numFmtId="0" xfId="0" applyAlignment="1" applyBorder="1" applyFont="1">
      <alignment horizontal="center" shrinkToFit="0" vertical="bottom" wrapText="0"/>
    </xf>
    <xf borderId="11" fillId="15" fontId="39" numFmtId="164" xfId="0" applyAlignment="1" applyBorder="1" applyFont="1" applyNumberFormat="1">
      <alignment horizontal="center" shrinkToFit="0" vertical="bottom" wrapText="0"/>
    </xf>
    <xf borderId="11" fillId="15" fontId="11" numFmtId="0" xfId="0" applyAlignment="1" applyBorder="1" applyFont="1">
      <alignment horizontal="center" shrinkToFit="0" vertical="bottom" wrapText="0"/>
    </xf>
    <xf borderId="11" fillId="25" fontId="7" numFmtId="0" xfId="0" applyAlignment="1" applyBorder="1" applyFont="1">
      <alignment horizontal="left" shrinkToFit="0" vertical="bottom" wrapText="0"/>
    </xf>
    <xf borderId="11" fillId="25" fontId="11" numFmtId="1" xfId="0" applyAlignment="1" applyBorder="1" applyFont="1" applyNumberFormat="1">
      <alignment horizontal="center" readingOrder="0" shrinkToFit="0" vertical="bottom" wrapText="0"/>
    </xf>
    <xf borderId="11" fillId="9" fontId="7" numFmtId="1" xfId="0" applyAlignment="1" applyBorder="1" applyFont="1" applyNumberFormat="1">
      <alignment horizontal="center" shrinkToFit="0" vertical="bottom" wrapText="0"/>
    </xf>
    <xf borderId="11" fillId="9" fontId="11" numFmtId="1" xfId="0" applyAlignment="1" applyBorder="1" applyFont="1" applyNumberFormat="1">
      <alignment horizontal="center" readingOrder="0" shrinkToFit="0" vertical="bottom" wrapText="0"/>
    </xf>
    <xf borderId="11" fillId="15" fontId="11" numFmtId="1" xfId="0" applyAlignment="1" applyBorder="1" applyFont="1" applyNumberFormat="1">
      <alignment horizontal="center" readingOrder="0" shrinkToFit="0" vertical="bottom" wrapText="0"/>
    </xf>
    <xf borderId="11" fillId="15" fontId="11" numFmtId="0" xfId="0" applyAlignment="1" applyBorder="1" applyFont="1">
      <alignment horizontal="center" readingOrder="0" shrinkToFit="0" vertical="bottom" wrapText="0"/>
    </xf>
    <xf borderId="11" fillId="25" fontId="11" numFmtId="0" xfId="0" applyAlignment="1" applyBorder="1" applyFont="1">
      <alignment shrinkToFit="0" vertical="bottom" wrapText="0"/>
    </xf>
    <xf borderId="0" fillId="25" fontId="7" numFmtId="0" xfId="0" applyAlignment="1" applyFont="1">
      <alignment horizontal="center" shrinkToFit="0" vertical="bottom" wrapText="0"/>
    </xf>
    <xf borderId="11" fillId="25" fontId="11" numFmtId="0" xfId="0" applyAlignment="1" applyBorder="1" applyFont="1">
      <alignment horizontal="center" shrinkToFit="0" vertical="bottom" wrapText="0"/>
    </xf>
    <xf borderId="0" fillId="25" fontId="11" numFmtId="0" xfId="0" applyAlignment="1" applyFont="1">
      <alignment horizontal="center" shrinkToFit="0" vertical="bottom" wrapText="0"/>
    </xf>
    <xf borderId="0" fillId="9" fontId="40" numFmtId="0" xfId="0" applyAlignment="1" applyFont="1">
      <alignment horizontal="left" readingOrder="0"/>
    </xf>
    <xf borderId="0" fillId="9" fontId="7" numFmtId="0" xfId="0" applyAlignment="1" applyFont="1">
      <alignment horizontal="center" shrinkToFit="0" vertical="bottom" wrapText="0"/>
    </xf>
    <xf borderId="0" fillId="9" fontId="11" numFmtId="0" xfId="0" applyAlignment="1" applyFont="1">
      <alignment horizontal="center" shrinkToFit="0" vertical="bottom" wrapText="0"/>
    </xf>
    <xf borderId="0" fillId="15" fontId="41" numFmtId="0" xfId="0" applyAlignment="1" applyFont="1">
      <alignment horizontal="left" readingOrder="0"/>
    </xf>
    <xf borderId="16" fillId="8" fontId="37" numFmtId="0" xfId="0" applyAlignment="1" applyBorder="1" applyFont="1">
      <alignment horizontal="center" readingOrder="0" shrinkToFit="0" vertical="bottom" wrapText="0"/>
    </xf>
    <xf borderId="11" fillId="10" fontId="7" numFmtId="0" xfId="0" applyAlignment="1" applyBorder="1" applyFont="1">
      <alignment shrinkToFit="0" vertical="bottom" wrapText="0"/>
    </xf>
    <xf borderId="11" fillId="10" fontId="7" numFmtId="0" xfId="0" applyAlignment="1" applyBorder="1" applyFont="1">
      <alignment horizontal="center" shrinkToFit="0" vertical="bottom" wrapText="0"/>
    </xf>
    <xf borderId="11" fillId="10" fontId="7" numFmtId="0" xfId="0" applyAlignment="1" applyBorder="1" applyFont="1">
      <alignment horizontal="left" shrinkToFit="0" vertical="bottom" wrapText="0"/>
    </xf>
    <xf borderId="11" fillId="10" fontId="37" numFmtId="0" xfId="0" applyAlignment="1" applyBorder="1" applyFont="1">
      <alignment horizontal="center" shrinkToFit="0" vertical="bottom" wrapText="0"/>
    </xf>
    <xf borderId="11" fillId="10" fontId="39" numFmtId="164" xfId="0" applyAlignment="1" applyBorder="1" applyFont="1" applyNumberFormat="1">
      <alignment horizontal="center" shrinkToFit="0" vertical="bottom" wrapText="0"/>
    </xf>
    <xf borderId="11" fillId="10" fontId="11" numFmtId="0" xfId="0" applyAlignment="1" applyBorder="1" applyFont="1">
      <alignment horizontal="center" shrinkToFit="0" vertical="bottom" wrapText="0"/>
    </xf>
    <xf borderId="11" fillId="10" fontId="11" numFmtId="1" xfId="0" applyAlignment="1" applyBorder="1" applyFont="1" applyNumberFormat="1">
      <alignment horizontal="center" readingOrder="0" shrinkToFit="0" vertical="bottom" wrapText="0"/>
    </xf>
    <xf borderId="11" fillId="10" fontId="11" numFmtId="0" xfId="0" applyAlignment="1" applyBorder="1" applyFont="1">
      <alignment horizontal="center" readingOrder="0" shrinkToFit="0" vertical="bottom" wrapText="0"/>
    </xf>
    <xf borderId="0" fillId="10" fontId="7" numFmtId="0" xfId="0" applyAlignment="1" applyFont="1">
      <alignment horizontal="left" readingOrder="0"/>
    </xf>
    <xf borderId="0" fillId="0" fontId="7" numFmtId="0" xfId="0" applyAlignment="1" applyFont="1">
      <alignment horizontal="left" shrinkToFit="0" vertical="bottom" wrapText="0"/>
    </xf>
    <xf borderId="0" fillId="0" fontId="42" numFmtId="0" xfId="0" applyAlignment="1" applyFont="1">
      <alignment readingOrder="0"/>
    </xf>
    <xf borderId="11" fillId="26" fontId="43" numFmtId="0" xfId="0" applyAlignment="1" applyBorder="1" applyFill="1" applyFont="1">
      <alignment horizontal="center" shrinkToFit="0" vertical="center" wrapText="0"/>
    </xf>
    <xf borderId="11" fillId="3" fontId="44" numFmtId="0" xfId="0" applyAlignment="1" applyBorder="1" applyFont="1">
      <alignment horizontal="center" shrinkToFit="0" vertical="center" wrapText="0"/>
    </xf>
    <xf borderId="0" fillId="27" fontId="45" numFmtId="0" xfId="0" applyAlignment="1" applyFill="1" applyFont="1">
      <alignment horizontal="center" readingOrder="0"/>
    </xf>
    <xf borderId="0" fillId="0" fontId="46" numFmtId="0" xfId="0" applyAlignment="1" applyFont="1">
      <alignment shrinkToFit="0" vertical="bottom" wrapText="0"/>
    </xf>
    <xf borderId="0" fillId="27" fontId="47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28" fontId="47" numFmtId="0" xfId="0" applyAlignment="1" applyFill="1" applyFont="1">
      <alignment readingOrder="0"/>
    </xf>
    <xf borderId="0" fillId="28" fontId="47" numFmtId="1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48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10" xfId="0" applyAlignment="1" applyFont="1" applyNumberFormat="1">
      <alignment horizontal="left" readingOrder="0"/>
    </xf>
    <xf borderId="0" fillId="0" fontId="48" numFmtId="10" xfId="0" applyAlignment="1" applyFont="1" applyNumberFormat="1">
      <alignment horizontal="left"/>
    </xf>
    <xf borderId="0" fillId="0" fontId="48" numFmtId="0" xfId="0" applyAlignment="1" applyFont="1">
      <alignment horizontal="right" readingOrder="0"/>
    </xf>
    <xf borderId="0" fillId="0" fontId="48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7" numFmtId="165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9" numFmtId="0" xfId="0" applyAlignment="1" applyFont="1">
      <alignment vertical="bottom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8" numFmtId="10" xfId="0" applyAlignment="1" applyFont="1" applyNumberFormat="1">
      <alignment horizontal="left" readingOrder="0"/>
    </xf>
    <xf borderId="0" fillId="0" fontId="48" numFmtId="0" xfId="0" applyAlignment="1" applyFont="1">
      <alignment horizontal="left"/>
    </xf>
    <xf borderId="0" fillId="0" fontId="7" numFmtId="11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49" numFmtId="0" xfId="0" applyAlignment="1" applyFont="1">
      <alignment readingOrder="0" shrinkToFit="0" vertical="bottom" wrapText="0"/>
    </xf>
    <xf borderId="0" fillId="0" fontId="7" numFmtId="11" xfId="0" applyAlignment="1" applyFont="1" applyNumberFormat="1">
      <alignment readingOrder="0" shrinkToFit="0" vertical="bottom" wrapText="0"/>
    </xf>
    <xf borderId="0" fillId="0" fontId="50" numFmtId="0" xfId="0" applyAlignment="1" applyFont="1">
      <alignment horizontal="right" readingOrder="0"/>
    </xf>
    <xf borderId="0" fillId="0" fontId="7" numFmtId="167" xfId="0" applyAlignment="1" applyFont="1" applyNumberFormat="1">
      <alignment horizontal="right" readingOrder="0" shrinkToFit="0" vertical="bottom" wrapText="0"/>
    </xf>
    <xf borderId="0" fillId="0" fontId="7" numFmtId="168" xfId="0" applyAlignment="1" applyFont="1" applyNumberFormat="1">
      <alignment horizontal="right" readingOrder="0" shrinkToFit="0" vertical="bottom" wrapText="0"/>
    </xf>
    <xf borderId="0" fillId="29" fontId="2" numFmtId="0" xfId="0" applyAlignment="1" applyFill="1" applyFont="1">
      <alignment horizontal="center"/>
    </xf>
    <xf borderId="0" fillId="0" fontId="2" numFmtId="165" xfId="0" applyFont="1" applyNumberFormat="1"/>
    <xf borderId="0" fillId="0" fontId="51" numFmtId="0" xfId="0" applyFont="1"/>
    <xf borderId="11" fillId="30" fontId="52" numFmtId="0" xfId="0" applyAlignment="1" applyBorder="1" applyFill="1" applyFont="1">
      <alignment horizontal="center" shrinkToFit="0" vertical="bottom" wrapText="0"/>
    </xf>
    <xf borderId="11" fillId="30" fontId="52" numFmtId="0" xfId="0" applyAlignment="1" applyBorder="1" applyFont="1">
      <alignment shrinkToFit="0" vertical="bottom" wrapText="0"/>
    </xf>
    <xf borderId="0" fillId="0" fontId="53" numFmtId="0" xfId="0" applyAlignment="1" applyFont="1">
      <alignment horizontal="center" shrinkToFit="0" vertical="bottom" wrapText="0"/>
    </xf>
    <xf borderId="0" fillId="0" fontId="53" numFmtId="0" xfId="0" applyAlignment="1" applyFont="1">
      <alignment shrinkToFit="0" vertical="bottom" wrapText="0"/>
    </xf>
    <xf borderId="3" fillId="30" fontId="54" numFmtId="0" xfId="0" applyAlignment="1" applyBorder="1" applyFont="1">
      <alignment horizontal="center" shrinkToFit="0" vertical="bottom" wrapText="0"/>
    </xf>
    <xf borderId="20" fillId="0" fontId="53" numFmtId="0" xfId="0" applyAlignment="1" applyBorder="1" applyFont="1">
      <alignment horizontal="center" shrinkToFit="0" vertical="bottom" wrapText="0"/>
    </xf>
    <xf borderId="20" fillId="0" fontId="55" numFmtId="0" xfId="0" applyAlignment="1" applyBorder="1" applyFont="1">
      <alignment horizontal="center" shrinkToFit="0" vertical="bottom" wrapText="0"/>
    </xf>
    <xf borderId="21" fillId="0" fontId="56" numFmtId="0" xfId="0" applyAlignment="1" applyBorder="1" applyFont="1">
      <alignment horizontal="center" shrinkToFit="0" vertical="bottom" wrapText="0"/>
    </xf>
    <xf borderId="22" fillId="0" fontId="19" numFmtId="0" xfId="0" applyBorder="1" applyFont="1"/>
    <xf borderId="23" fillId="0" fontId="19" numFmtId="0" xfId="0" applyBorder="1" applyFont="1"/>
    <xf borderId="24" fillId="30" fontId="53" numFmtId="0" xfId="0" applyAlignment="1" applyBorder="1" applyFont="1">
      <alignment shrinkToFit="0" vertical="bottom" wrapText="0"/>
    </xf>
    <xf borderId="25" fillId="30" fontId="53" numFmtId="0" xfId="0" applyAlignment="1" applyBorder="1" applyFont="1">
      <alignment shrinkToFit="0" vertical="bottom" wrapText="0"/>
    </xf>
    <xf borderId="26" fillId="0" fontId="54" numFmtId="0" xfId="0" applyAlignment="1" applyBorder="1" applyFont="1">
      <alignment horizontal="center" shrinkToFit="0" vertical="center" wrapText="1"/>
    </xf>
    <xf borderId="27" fillId="0" fontId="54" numFmtId="0" xfId="0" applyAlignment="1" applyBorder="1" applyFont="1">
      <alignment horizontal="center" shrinkToFit="0" vertical="center" wrapText="1"/>
    </xf>
    <xf borderId="27" fillId="0" fontId="57" numFmtId="0" xfId="0" applyAlignment="1" applyBorder="1" applyFont="1">
      <alignment shrinkToFit="0" vertical="center" wrapText="1"/>
    </xf>
    <xf borderId="28" fillId="0" fontId="57" numFmtId="0" xfId="0" applyAlignment="1" applyBorder="1" applyFont="1">
      <alignment shrinkToFit="0" vertical="center" wrapText="1"/>
    </xf>
    <xf borderId="0" fillId="0" fontId="58" numFmtId="0" xfId="0" applyAlignment="1" applyFont="1">
      <alignment horizontal="left" readingOrder="0" vertical="bottom"/>
    </xf>
    <xf borderId="0" fillId="0" fontId="58" numFmtId="0" xfId="0" applyAlignment="1" applyFont="1">
      <alignment horizontal="right" readingOrder="0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horizontal="center" readingOrder="0" vertical="bottom"/>
    </xf>
    <xf borderId="0" fillId="0" fontId="59" numFmtId="0" xfId="0" applyAlignment="1" applyFont="1">
      <alignment horizontal="center" readingOrder="0"/>
    </xf>
    <xf borderId="0" fillId="0" fontId="11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readingOrder="0"/>
    </xf>
    <xf borderId="3" fillId="0" fontId="13" numFmtId="0" xfId="0" applyAlignment="1" applyBorder="1" applyFont="1">
      <alignment horizontal="center" shrinkToFit="0" wrapText="1"/>
    </xf>
    <xf borderId="0" fillId="0" fontId="29" numFmtId="0" xfId="0" applyAlignment="1" applyFont="1">
      <alignment horizontal="center" shrinkToFit="0" wrapText="1"/>
    </xf>
    <xf borderId="0" fillId="0" fontId="15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0" fillId="0" fontId="60" numFmtId="0" xfId="0" applyAlignment="1" applyFont="1">
      <alignment horizontal="center" readingOrder="0" vertical="bottom"/>
    </xf>
    <xf borderId="0" fillId="31" fontId="61" numFmtId="0" xfId="0" applyAlignment="1" applyFill="1" applyFont="1">
      <alignment horizontal="left" readingOrder="0"/>
    </xf>
    <xf borderId="0" fillId="0" fontId="29" numFmtId="0" xfId="0" applyAlignment="1" applyFont="1">
      <alignment horizontal="center" readingOrder="0" shrinkToFit="0" wrapText="1"/>
    </xf>
    <xf borderId="0" fillId="31" fontId="62" numFmtId="0" xfId="0" applyAlignment="1" applyFont="1">
      <alignment horizontal="left" readingOrder="0"/>
    </xf>
    <xf borderId="0" fillId="0" fontId="59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29" numFmtId="0" xfId="0" applyAlignment="1" applyFont="1">
      <alignment horizontal="center" vertical="bottom"/>
    </xf>
    <xf borderId="29" fillId="18" fontId="1" numFmtId="0" xfId="0" applyAlignment="1" applyBorder="1" applyFont="1">
      <alignment horizontal="center" vertical="bottom"/>
    </xf>
    <xf borderId="29" fillId="18" fontId="63" numFmtId="0" xfId="0" applyAlignment="1" applyBorder="1" applyFont="1">
      <alignment horizontal="center" vertical="bottom"/>
    </xf>
    <xf borderId="30" fillId="18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shrinkToFit="0" wrapText="1"/>
    </xf>
    <xf borderId="1" fillId="0" fontId="29" numFmtId="0" xfId="0" applyAlignment="1" applyBorder="1" applyFont="1">
      <alignment readingOrder="0" vertical="bottom"/>
    </xf>
    <xf borderId="0" fillId="32" fontId="1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2" fillId="0" fontId="29" numFmtId="0" xfId="0" applyAlignment="1" applyBorder="1" applyFont="1">
      <alignment readingOrder="0" vertical="bottom"/>
    </xf>
    <xf borderId="31" fillId="5" fontId="7" numFmtId="0" xfId="0" applyAlignment="1" applyBorder="1" applyFont="1">
      <alignment shrinkToFit="0" vertical="bottom" wrapText="0"/>
    </xf>
    <xf borderId="31" fillId="6" fontId="7" numFmtId="0" xfId="0" applyAlignment="1" applyBorder="1" applyFont="1">
      <alignment readingOrder="0" shrinkToFit="0" vertical="bottom" wrapText="0"/>
    </xf>
    <xf borderId="31" fillId="7" fontId="7" numFmtId="0" xfId="0" applyAlignment="1" applyBorder="1" applyFont="1">
      <alignment readingOrder="0" shrinkToFit="0" vertical="bottom" wrapText="0"/>
    </xf>
    <xf borderId="31" fillId="8" fontId="7" numFmtId="0" xfId="0" applyAlignment="1" applyBorder="1" applyFont="1">
      <alignment shrinkToFit="0" vertical="bottom" wrapText="0"/>
    </xf>
    <xf borderId="31" fillId="9" fontId="7" numFmtId="0" xfId="0" applyAlignment="1" applyBorder="1" applyFont="1">
      <alignment shrinkToFit="0" vertical="bottom" wrapText="0"/>
    </xf>
    <xf borderId="31" fillId="10" fontId="7" numFmtId="0" xfId="0" applyAlignment="1" applyBorder="1" applyFont="1">
      <alignment readingOrder="0" shrinkToFit="0" vertical="bottom" wrapText="0"/>
    </xf>
    <xf borderId="31" fillId="11" fontId="7" numFmtId="0" xfId="0" applyAlignment="1" applyBorder="1" applyFont="1">
      <alignment shrinkToFit="0" vertical="bottom" wrapText="0"/>
    </xf>
    <xf borderId="31" fillId="12" fontId="7" numFmtId="0" xfId="0" applyAlignment="1" applyBorder="1" applyFont="1">
      <alignment shrinkToFit="0" vertical="bottom" wrapText="0"/>
    </xf>
    <xf borderId="32" fillId="5" fontId="7" numFmtId="0" xfId="0" applyAlignment="1" applyBorder="1" applyFont="1">
      <alignment shrinkToFit="0" vertical="bottom" wrapText="0"/>
    </xf>
    <xf borderId="32" fillId="6" fontId="7" numFmtId="0" xfId="0" applyAlignment="1" applyBorder="1" applyFont="1">
      <alignment readingOrder="0" shrinkToFit="0" vertical="bottom" wrapText="0"/>
    </xf>
    <xf borderId="32" fillId="7" fontId="7" numFmtId="0" xfId="0" applyAlignment="1" applyBorder="1" applyFont="1">
      <alignment readingOrder="0" shrinkToFit="0" vertical="bottom" wrapText="0"/>
    </xf>
    <xf borderId="32" fillId="8" fontId="7" numFmtId="0" xfId="0" applyAlignment="1" applyBorder="1" applyFont="1">
      <alignment shrinkToFit="0" vertical="bottom" wrapText="0"/>
    </xf>
    <xf borderId="32" fillId="9" fontId="7" numFmtId="0" xfId="0" applyAlignment="1" applyBorder="1" applyFont="1">
      <alignment shrinkToFit="0" vertical="bottom" wrapText="0"/>
    </xf>
    <xf borderId="32" fillId="10" fontId="7" numFmtId="0" xfId="0" applyAlignment="1" applyBorder="1" applyFont="1">
      <alignment readingOrder="0" shrinkToFit="0" vertical="bottom" wrapText="0"/>
    </xf>
    <xf borderId="32" fillId="11" fontId="7" numFmtId="0" xfId="0" applyAlignment="1" applyBorder="1" applyFont="1">
      <alignment shrinkToFit="0" vertical="bottom" wrapText="0"/>
    </xf>
    <xf borderId="32" fillId="12" fontId="7" numFmtId="0" xfId="0" applyAlignment="1" applyBorder="1" applyFont="1">
      <alignment shrinkToFit="0" vertical="bottom" wrapText="0"/>
    </xf>
    <xf borderId="33" fillId="5" fontId="7" numFmtId="0" xfId="0" applyAlignment="1" applyBorder="1" applyFont="1">
      <alignment readingOrder="0" shrinkToFit="0" vertical="bottom" wrapText="0"/>
    </xf>
    <xf borderId="33" fillId="6" fontId="7" numFmtId="0" xfId="0" applyAlignment="1" applyBorder="1" applyFont="1">
      <alignment readingOrder="0" shrinkToFit="0" vertical="bottom" wrapText="0"/>
    </xf>
    <xf borderId="33" fillId="7" fontId="7" numFmtId="0" xfId="0" applyAlignment="1" applyBorder="1" applyFont="1">
      <alignment readingOrder="0" shrinkToFit="0" vertical="bottom" wrapText="0"/>
    </xf>
    <xf borderId="33" fillId="8" fontId="7" numFmtId="0" xfId="0" applyAlignment="1" applyBorder="1" applyFont="1">
      <alignment readingOrder="0" shrinkToFit="0" vertical="bottom" wrapText="0"/>
    </xf>
    <xf borderId="33" fillId="9" fontId="7" numFmtId="0" xfId="0" applyAlignment="1" applyBorder="1" applyFont="1">
      <alignment readingOrder="0" shrinkToFit="0" vertical="bottom" wrapText="0"/>
    </xf>
    <xf borderId="33" fillId="10" fontId="7" numFmtId="0" xfId="0" applyAlignment="1" applyBorder="1" applyFont="1">
      <alignment readingOrder="0" shrinkToFit="0" vertical="bottom" wrapText="0"/>
    </xf>
    <xf borderId="33" fillId="11" fontId="7" numFmtId="0" xfId="0" applyAlignment="1" applyBorder="1" applyFont="1">
      <alignment readingOrder="0" shrinkToFit="0" vertical="bottom" wrapText="0"/>
    </xf>
    <xf borderId="33" fillId="12" fontId="7" numFmtId="0" xfId="0" applyAlignment="1" applyBorder="1" applyFont="1">
      <alignment shrinkToFit="0" vertical="bottom" wrapText="0"/>
    </xf>
    <xf borderId="34" fillId="0" fontId="2" numFmtId="0" xfId="0" applyAlignment="1" applyBorder="1" applyFont="1">
      <alignment horizontal="center"/>
    </xf>
    <xf borderId="0" fillId="18" fontId="2" numFmtId="0" xfId="0" applyAlignment="1" applyFont="1">
      <alignment horizontal="center"/>
    </xf>
    <xf borderId="0" fillId="0" fontId="58" numFmtId="0" xfId="0" applyAlignment="1" applyFont="1">
      <alignment horizontal="center"/>
    </xf>
    <xf borderId="35" fillId="5" fontId="7" numFmtId="0" xfId="0" applyAlignment="1" applyBorder="1" applyFont="1">
      <alignment shrinkToFit="0" vertical="bottom" wrapText="0"/>
    </xf>
    <xf borderId="35" fillId="6" fontId="7" numFmtId="0" xfId="0" applyAlignment="1" applyBorder="1" applyFont="1">
      <alignment readingOrder="0" shrinkToFit="0" vertical="bottom" wrapText="0"/>
    </xf>
    <xf borderId="35" fillId="7" fontId="7" numFmtId="0" xfId="0" applyAlignment="1" applyBorder="1" applyFont="1">
      <alignment readingOrder="0" shrinkToFit="0" vertical="bottom" wrapText="0"/>
    </xf>
    <xf borderId="35" fillId="8" fontId="7" numFmtId="0" xfId="0" applyAlignment="1" applyBorder="1" applyFont="1">
      <alignment shrinkToFit="0" vertical="bottom" wrapText="0"/>
    </xf>
    <xf borderId="35" fillId="9" fontId="7" numFmtId="0" xfId="0" applyAlignment="1" applyBorder="1" applyFont="1">
      <alignment shrinkToFit="0" vertical="bottom" wrapText="0"/>
    </xf>
    <xf borderId="35" fillId="10" fontId="7" numFmtId="0" xfId="0" applyAlignment="1" applyBorder="1" applyFont="1">
      <alignment readingOrder="0" shrinkToFit="0" vertical="bottom" wrapText="0"/>
    </xf>
    <xf borderId="35" fillId="11" fontId="7" numFmtId="0" xfId="0" applyAlignment="1" applyBorder="1" applyFont="1">
      <alignment shrinkToFit="0" vertical="bottom" wrapText="0"/>
    </xf>
    <xf borderId="35" fillId="12" fontId="7" numFmtId="0" xfId="0" applyAlignment="1" applyBorder="1" applyFont="1">
      <alignment shrinkToFit="0" vertical="bottom" wrapText="0"/>
    </xf>
    <xf borderId="0" fillId="0" fontId="64" numFmtId="0" xfId="0" applyAlignment="1" applyFont="1">
      <alignment horizontal="center"/>
    </xf>
    <xf borderId="0" fillId="0" fontId="65" numFmtId="0" xfId="0" applyAlignment="1" applyFont="1">
      <alignment horizontal="center"/>
    </xf>
    <xf borderId="0" fillId="0" fontId="66" numFmtId="0" xfId="0" applyAlignment="1" applyFont="1">
      <alignment shrinkToFit="0" vertical="bottom" wrapText="1"/>
    </xf>
    <xf borderId="0" fillId="0" fontId="65" numFmtId="0" xfId="0" applyAlignment="1" applyFont="1">
      <alignment horizontal="center" vertical="center"/>
    </xf>
    <xf borderId="0" fillId="0" fontId="32" numFmtId="0" xfId="0" applyAlignment="1" applyFont="1">
      <alignment shrinkToFit="0" vertical="bottom" wrapText="0"/>
    </xf>
    <xf borderId="0" fillId="0" fontId="34" numFmtId="0" xfId="0" applyAlignment="1" applyFont="1">
      <alignment shrinkToFit="0" vertical="bottom" wrapText="1"/>
    </xf>
    <xf borderId="0" fillId="0" fontId="33" numFmtId="0" xfId="0" applyAlignment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center" shrinkToFit="0" vertical="bottom" wrapText="0"/>
    </xf>
    <xf borderId="0" fillId="0" fontId="67" numFmtId="0" xfId="0" applyAlignment="1" applyFont="1">
      <alignment shrinkToFit="0" vertical="bottom" wrapText="0"/>
    </xf>
    <xf borderId="0" fillId="0" fontId="68" numFmtId="0" xfId="0" applyAlignment="1" applyFont="1">
      <alignment shrinkToFit="0" vertical="bottom" wrapText="0"/>
    </xf>
    <xf borderId="0" fillId="0" fontId="11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69" numFmtId="0" xfId="0" applyAlignment="1" applyFont="1">
      <alignment horizontal="right" shrinkToFit="0" vertical="bottom" wrapText="0"/>
    </xf>
    <xf borderId="0" fillId="0" fontId="65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48" numFmtId="0" xfId="0" applyAlignment="1" applyFont="1">
      <alignment horizontal="left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CC0000"/>
        <name val="Calibri"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D7D7"/>
          <bgColor rgb="FFFFD7D7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5251" Type="http://schemas.openxmlformats.org/officeDocument/2006/relationships/hyperlink" Target="http://amazon.in" TargetMode="External"/><Relationship Id="rId5252" Type="http://schemas.openxmlformats.org/officeDocument/2006/relationships/hyperlink" Target="http://amazon.in" TargetMode="External"/><Relationship Id="rId5250" Type="http://schemas.openxmlformats.org/officeDocument/2006/relationships/hyperlink" Target="http://amazon.in" TargetMode="External"/><Relationship Id="rId5255" Type="http://schemas.openxmlformats.org/officeDocument/2006/relationships/hyperlink" Target="http://amazon.in" TargetMode="External"/><Relationship Id="rId5256" Type="http://schemas.openxmlformats.org/officeDocument/2006/relationships/hyperlink" Target="http://amazon.in" TargetMode="External"/><Relationship Id="rId5253" Type="http://schemas.openxmlformats.org/officeDocument/2006/relationships/hyperlink" Target="http://amazon.in" TargetMode="External"/><Relationship Id="rId5254" Type="http://schemas.openxmlformats.org/officeDocument/2006/relationships/hyperlink" Target="http://amazon.in" TargetMode="External"/><Relationship Id="rId5259" Type="http://schemas.openxmlformats.org/officeDocument/2006/relationships/hyperlink" Target="http://amazon.in" TargetMode="External"/><Relationship Id="rId5257" Type="http://schemas.openxmlformats.org/officeDocument/2006/relationships/hyperlink" Target="http://amazon.in" TargetMode="External"/><Relationship Id="rId5258" Type="http://schemas.openxmlformats.org/officeDocument/2006/relationships/hyperlink" Target="http://amazon.in" TargetMode="External"/><Relationship Id="rId5240" Type="http://schemas.openxmlformats.org/officeDocument/2006/relationships/hyperlink" Target="http://amazon.in" TargetMode="External"/><Relationship Id="rId5241" Type="http://schemas.openxmlformats.org/officeDocument/2006/relationships/hyperlink" Target="http://amazon.in" TargetMode="External"/><Relationship Id="rId5244" Type="http://schemas.openxmlformats.org/officeDocument/2006/relationships/hyperlink" Target="http://amazon.in" TargetMode="External"/><Relationship Id="rId5245" Type="http://schemas.openxmlformats.org/officeDocument/2006/relationships/hyperlink" Target="http://amazon.in" TargetMode="External"/><Relationship Id="rId5242" Type="http://schemas.openxmlformats.org/officeDocument/2006/relationships/hyperlink" Target="http://amazon.in" TargetMode="External"/><Relationship Id="rId5243" Type="http://schemas.openxmlformats.org/officeDocument/2006/relationships/hyperlink" Target="http://amazon.in" TargetMode="External"/><Relationship Id="rId5248" Type="http://schemas.openxmlformats.org/officeDocument/2006/relationships/hyperlink" Target="http://amazon.in" TargetMode="External"/><Relationship Id="rId5249" Type="http://schemas.openxmlformats.org/officeDocument/2006/relationships/hyperlink" Target="http://amazon.in" TargetMode="External"/><Relationship Id="rId5246" Type="http://schemas.openxmlformats.org/officeDocument/2006/relationships/hyperlink" Target="http://amazon.in" TargetMode="External"/><Relationship Id="rId5247" Type="http://schemas.openxmlformats.org/officeDocument/2006/relationships/hyperlink" Target="http://amazon.in" TargetMode="External"/><Relationship Id="rId5270" Type="http://schemas.openxmlformats.org/officeDocument/2006/relationships/hyperlink" Target="http://amazon.in" TargetMode="External"/><Relationship Id="rId5273" Type="http://schemas.openxmlformats.org/officeDocument/2006/relationships/hyperlink" Target="http://amazon.in" TargetMode="External"/><Relationship Id="rId5274" Type="http://schemas.openxmlformats.org/officeDocument/2006/relationships/hyperlink" Target="http://amazon.in" TargetMode="External"/><Relationship Id="rId5271" Type="http://schemas.openxmlformats.org/officeDocument/2006/relationships/hyperlink" Target="http://amazon.in" TargetMode="External"/><Relationship Id="rId5272" Type="http://schemas.openxmlformats.org/officeDocument/2006/relationships/hyperlink" Target="http://amazon.in" TargetMode="External"/><Relationship Id="rId5277" Type="http://schemas.openxmlformats.org/officeDocument/2006/relationships/hyperlink" Target="http://amazon.in" TargetMode="External"/><Relationship Id="rId5278" Type="http://schemas.openxmlformats.org/officeDocument/2006/relationships/hyperlink" Target="http://amazon.in" TargetMode="External"/><Relationship Id="rId5275" Type="http://schemas.openxmlformats.org/officeDocument/2006/relationships/hyperlink" Target="http://amazon.in" TargetMode="External"/><Relationship Id="rId5276" Type="http://schemas.openxmlformats.org/officeDocument/2006/relationships/hyperlink" Target="http://amazon.in" TargetMode="External"/><Relationship Id="rId5279" Type="http://schemas.openxmlformats.org/officeDocument/2006/relationships/hyperlink" Target="http://amazon.in" TargetMode="External"/><Relationship Id="rId5262" Type="http://schemas.openxmlformats.org/officeDocument/2006/relationships/hyperlink" Target="http://amazon.in" TargetMode="External"/><Relationship Id="rId5263" Type="http://schemas.openxmlformats.org/officeDocument/2006/relationships/hyperlink" Target="http://amazon.in" TargetMode="External"/><Relationship Id="rId5260" Type="http://schemas.openxmlformats.org/officeDocument/2006/relationships/hyperlink" Target="http://amazon.in" TargetMode="External"/><Relationship Id="rId5261" Type="http://schemas.openxmlformats.org/officeDocument/2006/relationships/hyperlink" Target="http://amazon.in" TargetMode="External"/><Relationship Id="rId5266" Type="http://schemas.openxmlformats.org/officeDocument/2006/relationships/hyperlink" Target="http://amazon.in" TargetMode="External"/><Relationship Id="rId5267" Type="http://schemas.openxmlformats.org/officeDocument/2006/relationships/hyperlink" Target="http://amazon.in" TargetMode="External"/><Relationship Id="rId5264" Type="http://schemas.openxmlformats.org/officeDocument/2006/relationships/hyperlink" Target="http://amazon.in" TargetMode="External"/><Relationship Id="rId5265" Type="http://schemas.openxmlformats.org/officeDocument/2006/relationships/hyperlink" Target="http://amazon.in" TargetMode="External"/><Relationship Id="rId5268" Type="http://schemas.openxmlformats.org/officeDocument/2006/relationships/hyperlink" Target="http://amazon.in" TargetMode="External"/><Relationship Id="rId5269" Type="http://schemas.openxmlformats.org/officeDocument/2006/relationships/hyperlink" Target="http://amazon.in" TargetMode="External"/><Relationship Id="rId5219" Type="http://schemas.openxmlformats.org/officeDocument/2006/relationships/hyperlink" Target="http://amazon.in" TargetMode="External"/><Relationship Id="rId5217" Type="http://schemas.openxmlformats.org/officeDocument/2006/relationships/hyperlink" Target="http://amazon.in" TargetMode="External"/><Relationship Id="rId5218" Type="http://schemas.openxmlformats.org/officeDocument/2006/relationships/hyperlink" Target="http://amazon.in" TargetMode="External"/><Relationship Id="rId392" Type="http://schemas.openxmlformats.org/officeDocument/2006/relationships/hyperlink" Target="http://amazon.in" TargetMode="External"/><Relationship Id="rId391" Type="http://schemas.openxmlformats.org/officeDocument/2006/relationships/hyperlink" Target="http://amazon.in" TargetMode="External"/><Relationship Id="rId390" Type="http://schemas.openxmlformats.org/officeDocument/2006/relationships/hyperlink" Target="http://amazon.in" TargetMode="External"/><Relationship Id="rId2180" Type="http://schemas.openxmlformats.org/officeDocument/2006/relationships/hyperlink" Target="http://amazon.in" TargetMode="External"/><Relationship Id="rId2181" Type="http://schemas.openxmlformats.org/officeDocument/2006/relationships/hyperlink" Target="http://amazon.in" TargetMode="External"/><Relationship Id="rId2182" Type="http://schemas.openxmlformats.org/officeDocument/2006/relationships/hyperlink" Target="http://amazon.in" TargetMode="External"/><Relationship Id="rId2183" Type="http://schemas.openxmlformats.org/officeDocument/2006/relationships/hyperlink" Target="http://amazon.in" TargetMode="External"/><Relationship Id="rId385" Type="http://schemas.openxmlformats.org/officeDocument/2006/relationships/hyperlink" Target="http://amazon.in" TargetMode="External"/><Relationship Id="rId2184" Type="http://schemas.openxmlformats.org/officeDocument/2006/relationships/hyperlink" Target="http://amazon.in" TargetMode="External"/><Relationship Id="rId5211" Type="http://schemas.openxmlformats.org/officeDocument/2006/relationships/hyperlink" Target="http://amazon.in" TargetMode="External"/><Relationship Id="rId384" Type="http://schemas.openxmlformats.org/officeDocument/2006/relationships/hyperlink" Target="http://amazon.in" TargetMode="External"/><Relationship Id="rId2185" Type="http://schemas.openxmlformats.org/officeDocument/2006/relationships/hyperlink" Target="http://amazon.in" TargetMode="External"/><Relationship Id="rId5212" Type="http://schemas.openxmlformats.org/officeDocument/2006/relationships/hyperlink" Target="http://amazon.in" TargetMode="External"/><Relationship Id="rId383" Type="http://schemas.openxmlformats.org/officeDocument/2006/relationships/hyperlink" Target="http://amazon.in" TargetMode="External"/><Relationship Id="rId2186" Type="http://schemas.openxmlformats.org/officeDocument/2006/relationships/hyperlink" Target="http://amazon.in" TargetMode="External"/><Relationship Id="rId382" Type="http://schemas.openxmlformats.org/officeDocument/2006/relationships/hyperlink" Target="http://amazon.in" TargetMode="External"/><Relationship Id="rId2187" Type="http://schemas.openxmlformats.org/officeDocument/2006/relationships/hyperlink" Target="http://amazon.in" TargetMode="External"/><Relationship Id="rId5210" Type="http://schemas.openxmlformats.org/officeDocument/2006/relationships/hyperlink" Target="http://amazon.in" TargetMode="External"/><Relationship Id="rId389" Type="http://schemas.openxmlformats.org/officeDocument/2006/relationships/hyperlink" Target="http://amazon.in" TargetMode="External"/><Relationship Id="rId2188" Type="http://schemas.openxmlformats.org/officeDocument/2006/relationships/hyperlink" Target="http://amazon.in" TargetMode="External"/><Relationship Id="rId5215" Type="http://schemas.openxmlformats.org/officeDocument/2006/relationships/hyperlink" Target="http://amazon.in" TargetMode="External"/><Relationship Id="rId388" Type="http://schemas.openxmlformats.org/officeDocument/2006/relationships/hyperlink" Target="http://amazon.in" TargetMode="External"/><Relationship Id="rId2189" Type="http://schemas.openxmlformats.org/officeDocument/2006/relationships/hyperlink" Target="http://amazon.in" TargetMode="External"/><Relationship Id="rId5216" Type="http://schemas.openxmlformats.org/officeDocument/2006/relationships/hyperlink" Target="http://amazon.in" TargetMode="External"/><Relationship Id="rId387" Type="http://schemas.openxmlformats.org/officeDocument/2006/relationships/hyperlink" Target="http://amazon.in" TargetMode="External"/><Relationship Id="rId5213" Type="http://schemas.openxmlformats.org/officeDocument/2006/relationships/hyperlink" Target="http://amazon.in" TargetMode="External"/><Relationship Id="rId386" Type="http://schemas.openxmlformats.org/officeDocument/2006/relationships/hyperlink" Target="http://amazon.in" TargetMode="External"/><Relationship Id="rId5214" Type="http://schemas.openxmlformats.org/officeDocument/2006/relationships/hyperlink" Target="http://amazon.in" TargetMode="External"/><Relationship Id="rId5208" Type="http://schemas.openxmlformats.org/officeDocument/2006/relationships/hyperlink" Target="http://amazon.in" TargetMode="External"/><Relationship Id="rId5209" Type="http://schemas.openxmlformats.org/officeDocument/2006/relationships/hyperlink" Target="http://amazon.in" TargetMode="External"/><Relationship Id="rId5206" Type="http://schemas.openxmlformats.org/officeDocument/2006/relationships/hyperlink" Target="http://amazon.in" TargetMode="External"/><Relationship Id="rId5207" Type="http://schemas.openxmlformats.org/officeDocument/2006/relationships/hyperlink" Target="http://amazon.in" TargetMode="External"/><Relationship Id="rId381" Type="http://schemas.openxmlformats.org/officeDocument/2006/relationships/hyperlink" Target="http://amazon.in" TargetMode="External"/><Relationship Id="rId380" Type="http://schemas.openxmlformats.org/officeDocument/2006/relationships/hyperlink" Target="http://amazon.in" TargetMode="External"/><Relationship Id="rId379" Type="http://schemas.openxmlformats.org/officeDocument/2006/relationships/hyperlink" Target="http://amazon.in" TargetMode="External"/><Relationship Id="rId2170" Type="http://schemas.openxmlformats.org/officeDocument/2006/relationships/hyperlink" Target="http://amazon.in" TargetMode="External"/><Relationship Id="rId2171" Type="http://schemas.openxmlformats.org/officeDocument/2006/relationships/hyperlink" Target="http://amazon.in" TargetMode="External"/><Relationship Id="rId2172" Type="http://schemas.openxmlformats.org/officeDocument/2006/relationships/hyperlink" Target="http://amazon.in" TargetMode="External"/><Relationship Id="rId374" Type="http://schemas.openxmlformats.org/officeDocument/2006/relationships/hyperlink" Target="http://amazon.in" TargetMode="External"/><Relationship Id="rId2173" Type="http://schemas.openxmlformats.org/officeDocument/2006/relationships/hyperlink" Target="http://amazon.in" TargetMode="External"/><Relationship Id="rId5200" Type="http://schemas.openxmlformats.org/officeDocument/2006/relationships/hyperlink" Target="http://amazon.in" TargetMode="External"/><Relationship Id="rId373" Type="http://schemas.openxmlformats.org/officeDocument/2006/relationships/hyperlink" Target="http://amazon.in" TargetMode="External"/><Relationship Id="rId2174" Type="http://schemas.openxmlformats.org/officeDocument/2006/relationships/hyperlink" Target="http://amazon.in" TargetMode="External"/><Relationship Id="rId5201" Type="http://schemas.openxmlformats.org/officeDocument/2006/relationships/hyperlink" Target="http://amazon.in" TargetMode="External"/><Relationship Id="rId372" Type="http://schemas.openxmlformats.org/officeDocument/2006/relationships/hyperlink" Target="http://amazon.in" TargetMode="External"/><Relationship Id="rId2175" Type="http://schemas.openxmlformats.org/officeDocument/2006/relationships/hyperlink" Target="http://amazon.in" TargetMode="External"/><Relationship Id="rId371" Type="http://schemas.openxmlformats.org/officeDocument/2006/relationships/hyperlink" Target="http://amazon.in" TargetMode="External"/><Relationship Id="rId2176" Type="http://schemas.openxmlformats.org/officeDocument/2006/relationships/hyperlink" Target="http://amazon.in" TargetMode="External"/><Relationship Id="rId378" Type="http://schemas.openxmlformats.org/officeDocument/2006/relationships/hyperlink" Target="http://amazon.in" TargetMode="External"/><Relationship Id="rId2177" Type="http://schemas.openxmlformats.org/officeDocument/2006/relationships/hyperlink" Target="http://amazon.in" TargetMode="External"/><Relationship Id="rId5204" Type="http://schemas.openxmlformats.org/officeDocument/2006/relationships/hyperlink" Target="http://amazon.in" TargetMode="External"/><Relationship Id="rId377" Type="http://schemas.openxmlformats.org/officeDocument/2006/relationships/hyperlink" Target="http://amazon.in" TargetMode="External"/><Relationship Id="rId2178" Type="http://schemas.openxmlformats.org/officeDocument/2006/relationships/hyperlink" Target="http://amazon.in" TargetMode="External"/><Relationship Id="rId5205" Type="http://schemas.openxmlformats.org/officeDocument/2006/relationships/hyperlink" Target="http://amazon.in" TargetMode="External"/><Relationship Id="rId376" Type="http://schemas.openxmlformats.org/officeDocument/2006/relationships/hyperlink" Target="http://amazon.in" TargetMode="External"/><Relationship Id="rId2179" Type="http://schemas.openxmlformats.org/officeDocument/2006/relationships/hyperlink" Target="http://amazon.in" TargetMode="External"/><Relationship Id="rId5202" Type="http://schemas.openxmlformats.org/officeDocument/2006/relationships/hyperlink" Target="http://amazon.in" TargetMode="External"/><Relationship Id="rId375" Type="http://schemas.openxmlformats.org/officeDocument/2006/relationships/hyperlink" Target="http://amazon.in" TargetMode="External"/><Relationship Id="rId5203" Type="http://schemas.openxmlformats.org/officeDocument/2006/relationships/hyperlink" Target="http://amazon.in" TargetMode="External"/><Relationship Id="rId5239" Type="http://schemas.openxmlformats.org/officeDocument/2006/relationships/hyperlink" Target="http://amazon.in" TargetMode="External"/><Relationship Id="rId5230" Type="http://schemas.openxmlformats.org/officeDocument/2006/relationships/hyperlink" Target="http://amazon.in" TargetMode="External"/><Relationship Id="rId5233" Type="http://schemas.openxmlformats.org/officeDocument/2006/relationships/hyperlink" Target="http://amazon.in" TargetMode="External"/><Relationship Id="rId5234" Type="http://schemas.openxmlformats.org/officeDocument/2006/relationships/hyperlink" Target="http://amazon.in" TargetMode="External"/><Relationship Id="rId5231" Type="http://schemas.openxmlformats.org/officeDocument/2006/relationships/hyperlink" Target="http://amazon.in" TargetMode="External"/><Relationship Id="rId5232" Type="http://schemas.openxmlformats.org/officeDocument/2006/relationships/hyperlink" Target="http://amazon.in" TargetMode="External"/><Relationship Id="rId5237" Type="http://schemas.openxmlformats.org/officeDocument/2006/relationships/hyperlink" Target="http://amazon.in" TargetMode="External"/><Relationship Id="rId5238" Type="http://schemas.openxmlformats.org/officeDocument/2006/relationships/hyperlink" Target="http://amazon.in" TargetMode="External"/><Relationship Id="rId5235" Type="http://schemas.openxmlformats.org/officeDocument/2006/relationships/hyperlink" Target="http://amazon.in" TargetMode="External"/><Relationship Id="rId5236" Type="http://schemas.openxmlformats.org/officeDocument/2006/relationships/hyperlink" Target="http://amazon.in" TargetMode="External"/><Relationship Id="rId5228" Type="http://schemas.openxmlformats.org/officeDocument/2006/relationships/hyperlink" Target="http://amazon.in" TargetMode="External"/><Relationship Id="rId5229" Type="http://schemas.openxmlformats.org/officeDocument/2006/relationships/hyperlink" Target="http://amazon.in" TargetMode="External"/><Relationship Id="rId2190" Type="http://schemas.openxmlformats.org/officeDocument/2006/relationships/hyperlink" Target="http://amazon.in" TargetMode="External"/><Relationship Id="rId2191" Type="http://schemas.openxmlformats.org/officeDocument/2006/relationships/hyperlink" Target="http://amazon.in" TargetMode="External"/><Relationship Id="rId2192" Type="http://schemas.openxmlformats.org/officeDocument/2006/relationships/hyperlink" Target="http://amazon.in" TargetMode="External"/><Relationship Id="rId2193" Type="http://schemas.openxmlformats.org/officeDocument/2006/relationships/hyperlink" Target="http://amazon.in" TargetMode="External"/><Relationship Id="rId2194" Type="http://schemas.openxmlformats.org/officeDocument/2006/relationships/hyperlink" Target="http://amazon.in" TargetMode="External"/><Relationship Id="rId396" Type="http://schemas.openxmlformats.org/officeDocument/2006/relationships/hyperlink" Target="http://amazon.in" TargetMode="External"/><Relationship Id="rId2195" Type="http://schemas.openxmlformats.org/officeDocument/2006/relationships/hyperlink" Target="http://amazon.in" TargetMode="External"/><Relationship Id="rId5222" Type="http://schemas.openxmlformats.org/officeDocument/2006/relationships/hyperlink" Target="http://amazon.in" TargetMode="External"/><Relationship Id="rId395" Type="http://schemas.openxmlformats.org/officeDocument/2006/relationships/hyperlink" Target="http://amazon.in" TargetMode="External"/><Relationship Id="rId2196" Type="http://schemas.openxmlformats.org/officeDocument/2006/relationships/hyperlink" Target="http://amazon.in" TargetMode="External"/><Relationship Id="rId5223" Type="http://schemas.openxmlformats.org/officeDocument/2006/relationships/hyperlink" Target="http://amazon.in" TargetMode="External"/><Relationship Id="rId394" Type="http://schemas.openxmlformats.org/officeDocument/2006/relationships/hyperlink" Target="http://amazon.in" TargetMode="External"/><Relationship Id="rId2197" Type="http://schemas.openxmlformats.org/officeDocument/2006/relationships/hyperlink" Target="http://amazon.in" TargetMode="External"/><Relationship Id="rId5220" Type="http://schemas.openxmlformats.org/officeDocument/2006/relationships/hyperlink" Target="http://amazon.in" TargetMode="External"/><Relationship Id="rId393" Type="http://schemas.openxmlformats.org/officeDocument/2006/relationships/hyperlink" Target="http://amazon.in" TargetMode="External"/><Relationship Id="rId2198" Type="http://schemas.openxmlformats.org/officeDocument/2006/relationships/hyperlink" Target="http://amazon.in" TargetMode="External"/><Relationship Id="rId5221" Type="http://schemas.openxmlformats.org/officeDocument/2006/relationships/hyperlink" Target="http://amazon.in" TargetMode="External"/><Relationship Id="rId2199" Type="http://schemas.openxmlformats.org/officeDocument/2006/relationships/hyperlink" Target="http://amazon.in" TargetMode="External"/><Relationship Id="rId5226" Type="http://schemas.openxmlformats.org/officeDocument/2006/relationships/hyperlink" Target="http://amazon.in" TargetMode="External"/><Relationship Id="rId399" Type="http://schemas.openxmlformats.org/officeDocument/2006/relationships/hyperlink" Target="http://amazon.in" TargetMode="External"/><Relationship Id="rId5227" Type="http://schemas.openxmlformats.org/officeDocument/2006/relationships/hyperlink" Target="http://amazon.in" TargetMode="External"/><Relationship Id="rId398" Type="http://schemas.openxmlformats.org/officeDocument/2006/relationships/hyperlink" Target="http://amazon.in" TargetMode="External"/><Relationship Id="rId5224" Type="http://schemas.openxmlformats.org/officeDocument/2006/relationships/hyperlink" Target="http://amazon.in" TargetMode="External"/><Relationship Id="rId397" Type="http://schemas.openxmlformats.org/officeDocument/2006/relationships/hyperlink" Target="http://amazon.in" TargetMode="External"/><Relationship Id="rId5225" Type="http://schemas.openxmlformats.org/officeDocument/2006/relationships/hyperlink" Target="http://amazon.in" TargetMode="External"/><Relationship Id="rId1730" Type="http://schemas.openxmlformats.org/officeDocument/2006/relationships/hyperlink" Target="http://amazon.in" TargetMode="External"/><Relationship Id="rId1731" Type="http://schemas.openxmlformats.org/officeDocument/2006/relationships/hyperlink" Target="http://amazon.in" TargetMode="External"/><Relationship Id="rId1732" Type="http://schemas.openxmlformats.org/officeDocument/2006/relationships/hyperlink" Target="http://amazon.in" TargetMode="External"/><Relationship Id="rId1733" Type="http://schemas.openxmlformats.org/officeDocument/2006/relationships/hyperlink" Target="http://amazon.in" TargetMode="External"/><Relationship Id="rId1734" Type="http://schemas.openxmlformats.org/officeDocument/2006/relationships/hyperlink" Target="http://amazon.in" TargetMode="External"/><Relationship Id="rId1735" Type="http://schemas.openxmlformats.org/officeDocument/2006/relationships/hyperlink" Target="http://amazon.in" TargetMode="External"/><Relationship Id="rId1736" Type="http://schemas.openxmlformats.org/officeDocument/2006/relationships/hyperlink" Target="http://amazon.in" TargetMode="External"/><Relationship Id="rId1737" Type="http://schemas.openxmlformats.org/officeDocument/2006/relationships/hyperlink" Target="http://amazon.in" TargetMode="External"/><Relationship Id="rId1738" Type="http://schemas.openxmlformats.org/officeDocument/2006/relationships/hyperlink" Target="http://amazon.in" TargetMode="External"/><Relationship Id="rId1739" Type="http://schemas.openxmlformats.org/officeDocument/2006/relationships/hyperlink" Target="http://amazon.in" TargetMode="External"/><Relationship Id="rId1720" Type="http://schemas.openxmlformats.org/officeDocument/2006/relationships/hyperlink" Target="http://amazon.in" TargetMode="External"/><Relationship Id="rId1721" Type="http://schemas.openxmlformats.org/officeDocument/2006/relationships/hyperlink" Target="http://amazon.in" TargetMode="External"/><Relationship Id="rId1722" Type="http://schemas.openxmlformats.org/officeDocument/2006/relationships/hyperlink" Target="http://amazon.in" TargetMode="External"/><Relationship Id="rId1723" Type="http://schemas.openxmlformats.org/officeDocument/2006/relationships/hyperlink" Target="http://amazon.in" TargetMode="External"/><Relationship Id="rId1724" Type="http://schemas.openxmlformats.org/officeDocument/2006/relationships/hyperlink" Target="http://amazon.in" TargetMode="External"/><Relationship Id="rId1725" Type="http://schemas.openxmlformats.org/officeDocument/2006/relationships/hyperlink" Target="http://amazon.in" TargetMode="External"/><Relationship Id="rId1726" Type="http://schemas.openxmlformats.org/officeDocument/2006/relationships/hyperlink" Target="http://amazon.in" TargetMode="External"/><Relationship Id="rId1727" Type="http://schemas.openxmlformats.org/officeDocument/2006/relationships/hyperlink" Target="http://amazon.in" TargetMode="External"/><Relationship Id="rId1728" Type="http://schemas.openxmlformats.org/officeDocument/2006/relationships/hyperlink" Target="http://amazon.in" TargetMode="External"/><Relationship Id="rId1729" Type="http://schemas.openxmlformats.org/officeDocument/2006/relationships/hyperlink" Target="http://amazon.in" TargetMode="External"/><Relationship Id="rId1752" Type="http://schemas.openxmlformats.org/officeDocument/2006/relationships/hyperlink" Target="http://amazon.in" TargetMode="External"/><Relationship Id="rId1753" Type="http://schemas.openxmlformats.org/officeDocument/2006/relationships/hyperlink" Target="http://amazon.in" TargetMode="External"/><Relationship Id="rId1754" Type="http://schemas.openxmlformats.org/officeDocument/2006/relationships/hyperlink" Target="http://amazon.in" TargetMode="External"/><Relationship Id="rId1755" Type="http://schemas.openxmlformats.org/officeDocument/2006/relationships/hyperlink" Target="http://amazon.in" TargetMode="External"/><Relationship Id="rId1756" Type="http://schemas.openxmlformats.org/officeDocument/2006/relationships/hyperlink" Target="http://amazon.in" TargetMode="External"/><Relationship Id="rId1757" Type="http://schemas.openxmlformats.org/officeDocument/2006/relationships/hyperlink" Target="http://amazon.in" TargetMode="External"/><Relationship Id="rId1758" Type="http://schemas.openxmlformats.org/officeDocument/2006/relationships/hyperlink" Target="http://amazon.in" TargetMode="External"/><Relationship Id="rId1759" Type="http://schemas.openxmlformats.org/officeDocument/2006/relationships/hyperlink" Target="http://amazon.in" TargetMode="External"/><Relationship Id="rId1750" Type="http://schemas.openxmlformats.org/officeDocument/2006/relationships/hyperlink" Target="http://amazon.in" TargetMode="External"/><Relationship Id="rId1751" Type="http://schemas.openxmlformats.org/officeDocument/2006/relationships/hyperlink" Target="http://amazon.in" TargetMode="External"/><Relationship Id="rId1741" Type="http://schemas.openxmlformats.org/officeDocument/2006/relationships/hyperlink" Target="http://amazon.in" TargetMode="External"/><Relationship Id="rId1742" Type="http://schemas.openxmlformats.org/officeDocument/2006/relationships/hyperlink" Target="http://amazon.in" TargetMode="External"/><Relationship Id="rId1743" Type="http://schemas.openxmlformats.org/officeDocument/2006/relationships/hyperlink" Target="http://amazon.in" TargetMode="External"/><Relationship Id="rId1744" Type="http://schemas.openxmlformats.org/officeDocument/2006/relationships/hyperlink" Target="http://amazon.in" TargetMode="External"/><Relationship Id="rId1745" Type="http://schemas.openxmlformats.org/officeDocument/2006/relationships/hyperlink" Target="http://amazon.in" TargetMode="External"/><Relationship Id="rId1746" Type="http://schemas.openxmlformats.org/officeDocument/2006/relationships/hyperlink" Target="http://amazon.in" TargetMode="External"/><Relationship Id="rId1747" Type="http://schemas.openxmlformats.org/officeDocument/2006/relationships/hyperlink" Target="http://amazon.in" TargetMode="External"/><Relationship Id="rId1748" Type="http://schemas.openxmlformats.org/officeDocument/2006/relationships/hyperlink" Target="http://amazon.in" TargetMode="External"/><Relationship Id="rId1749" Type="http://schemas.openxmlformats.org/officeDocument/2006/relationships/hyperlink" Target="http://amazon.in" TargetMode="External"/><Relationship Id="rId1740" Type="http://schemas.openxmlformats.org/officeDocument/2006/relationships/hyperlink" Target="http://amazon.in" TargetMode="External"/><Relationship Id="rId5291" Type="http://schemas.openxmlformats.org/officeDocument/2006/relationships/hyperlink" Target="http://amazon.in" TargetMode="External"/><Relationship Id="rId5292" Type="http://schemas.openxmlformats.org/officeDocument/2006/relationships/hyperlink" Target="http://amazon.in" TargetMode="External"/><Relationship Id="rId5290" Type="http://schemas.openxmlformats.org/officeDocument/2006/relationships/hyperlink" Target="http://amazon.in" TargetMode="External"/><Relationship Id="rId5295" Type="http://schemas.openxmlformats.org/officeDocument/2006/relationships/hyperlink" Target="http://amazon.in" TargetMode="External"/><Relationship Id="rId5296" Type="http://schemas.openxmlformats.org/officeDocument/2006/relationships/hyperlink" Target="http://amazon.in" TargetMode="External"/><Relationship Id="rId5293" Type="http://schemas.openxmlformats.org/officeDocument/2006/relationships/hyperlink" Target="http://amazon.in" TargetMode="External"/><Relationship Id="rId5294" Type="http://schemas.openxmlformats.org/officeDocument/2006/relationships/hyperlink" Target="http://amazon.in" TargetMode="External"/><Relationship Id="rId5299" Type="http://schemas.openxmlformats.org/officeDocument/2006/relationships/hyperlink" Target="http://amazon.in" TargetMode="External"/><Relationship Id="rId5297" Type="http://schemas.openxmlformats.org/officeDocument/2006/relationships/hyperlink" Target="http://amazon.in" TargetMode="External"/><Relationship Id="rId5298" Type="http://schemas.openxmlformats.org/officeDocument/2006/relationships/hyperlink" Target="http://amazon.in" TargetMode="External"/><Relationship Id="rId5280" Type="http://schemas.openxmlformats.org/officeDocument/2006/relationships/hyperlink" Target="http://amazon.in" TargetMode="External"/><Relationship Id="rId5281" Type="http://schemas.openxmlformats.org/officeDocument/2006/relationships/hyperlink" Target="http://amazon.in" TargetMode="External"/><Relationship Id="rId5284" Type="http://schemas.openxmlformats.org/officeDocument/2006/relationships/hyperlink" Target="http://amazon.in" TargetMode="External"/><Relationship Id="rId5285" Type="http://schemas.openxmlformats.org/officeDocument/2006/relationships/hyperlink" Target="http://amazon.in" TargetMode="External"/><Relationship Id="rId5282" Type="http://schemas.openxmlformats.org/officeDocument/2006/relationships/hyperlink" Target="http://amazon.in" TargetMode="External"/><Relationship Id="rId5283" Type="http://schemas.openxmlformats.org/officeDocument/2006/relationships/hyperlink" Target="http://amazon.in" TargetMode="External"/><Relationship Id="rId5288" Type="http://schemas.openxmlformats.org/officeDocument/2006/relationships/hyperlink" Target="http://amazon.in" TargetMode="External"/><Relationship Id="rId5289" Type="http://schemas.openxmlformats.org/officeDocument/2006/relationships/hyperlink" Target="http://amazon.in" TargetMode="External"/><Relationship Id="rId5286" Type="http://schemas.openxmlformats.org/officeDocument/2006/relationships/hyperlink" Target="http://amazon.in" TargetMode="External"/><Relationship Id="rId5287" Type="http://schemas.openxmlformats.org/officeDocument/2006/relationships/hyperlink" Target="http://amazon.in" TargetMode="External"/><Relationship Id="rId1710" Type="http://schemas.openxmlformats.org/officeDocument/2006/relationships/hyperlink" Target="http://amazon.in" TargetMode="External"/><Relationship Id="rId1711" Type="http://schemas.openxmlformats.org/officeDocument/2006/relationships/hyperlink" Target="http://amazon.in" TargetMode="External"/><Relationship Id="rId1712" Type="http://schemas.openxmlformats.org/officeDocument/2006/relationships/hyperlink" Target="http://amazon.in" TargetMode="External"/><Relationship Id="rId1713" Type="http://schemas.openxmlformats.org/officeDocument/2006/relationships/hyperlink" Target="http://amazon.in" TargetMode="External"/><Relationship Id="rId1714" Type="http://schemas.openxmlformats.org/officeDocument/2006/relationships/hyperlink" Target="http://amazon.in" TargetMode="External"/><Relationship Id="rId1715" Type="http://schemas.openxmlformats.org/officeDocument/2006/relationships/hyperlink" Target="http://amazon.in" TargetMode="External"/><Relationship Id="rId1716" Type="http://schemas.openxmlformats.org/officeDocument/2006/relationships/hyperlink" Target="http://amazon.in" TargetMode="External"/><Relationship Id="rId1717" Type="http://schemas.openxmlformats.org/officeDocument/2006/relationships/hyperlink" Target="http://amazon.in" TargetMode="External"/><Relationship Id="rId1718" Type="http://schemas.openxmlformats.org/officeDocument/2006/relationships/hyperlink" Target="http://amazon.in" TargetMode="External"/><Relationship Id="rId1719" Type="http://schemas.openxmlformats.org/officeDocument/2006/relationships/hyperlink" Target="http://amazon.in" TargetMode="External"/><Relationship Id="rId1700" Type="http://schemas.openxmlformats.org/officeDocument/2006/relationships/hyperlink" Target="http://amazon.in" TargetMode="External"/><Relationship Id="rId1701" Type="http://schemas.openxmlformats.org/officeDocument/2006/relationships/hyperlink" Target="http://amazon.in" TargetMode="External"/><Relationship Id="rId1702" Type="http://schemas.openxmlformats.org/officeDocument/2006/relationships/hyperlink" Target="http://amazon.in" TargetMode="External"/><Relationship Id="rId1703" Type="http://schemas.openxmlformats.org/officeDocument/2006/relationships/hyperlink" Target="http://amazon.in" TargetMode="External"/><Relationship Id="rId1704" Type="http://schemas.openxmlformats.org/officeDocument/2006/relationships/hyperlink" Target="http://amazon.in" TargetMode="External"/><Relationship Id="rId1705" Type="http://schemas.openxmlformats.org/officeDocument/2006/relationships/hyperlink" Target="http://amazon.in" TargetMode="External"/><Relationship Id="rId1706" Type="http://schemas.openxmlformats.org/officeDocument/2006/relationships/hyperlink" Target="http://amazon.in" TargetMode="External"/><Relationship Id="rId1707" Type="http://schemas.openxmlformats.org/officeDocument/2006/relationships/hyperlink" Target="http://amazon.in" TargetMode="External"/><Relationship Id="rId1708" Type="http://schemas.openxmlformats.org/officeDocument/2006/relationships/hyperlink" Target="http://amazon.in" TargetMode="External"/><Relationship Id="rId1709" Type="http://schemas.openxmlformats.org/officeDocument/2006/relationships/hyperlink" Target="http://amazon.in" TargetMode="External"/><Relationship Id="rId40" Type="http://schemas.openxmlformats.org/officeDocument/2006/relationships/hyperlink" Target="http://amazon.in" TargetMode="External"/><Relationship Id="rId3513" Type="http://schemas.openxmlformats.org/officeDocument/2006/relationships/hyperlink" Target="http://amazon.in" TargetMode="External"/><Relationship Id="rId4844" Type="http://schemas.openxmlformats.org/officeDocument/2006/relationships/hyperlink" Target="http://amazon.in" TargetMode="External"/><Relationship Id="rId3512" Type="http://schemas.openxmlformats.org/officeDocument/2006/relationships/hyperlink" Target="http://amazon.in" TargetMode="External"/><Relationship Id="rId4843" Type="http://schemas.openxmlformats.org/officeDocument/2006/relationships/hyperlink" Target="http://amazon.in" TargetMode="External"/><Relationship Id="rId42" Type="http://schemas.openxmlformats.org/officeDocument/2006/relationships/hyperlink" Target="http://amazon.in" TargetMode="External"/><Relationship Id="rId3515" Type="http://schemas.openxmlformats.org/officeDocument/2006/relationships/hyperlink" Target="http://amazon.in" TargetMode="External"/><Relationship Id="rId4846" Type="http://schemas.openxmlformats.org/officeDocument/2006/relationships/hyperlink" Target="http://amazon.in" TargetMode="External"/><Relationship Id="rId41" Type="http://schemas.openxmlformats.org/officeDocument/2006/relationships/hyperlink" Target="http://amazon.in" TargetMode="External"/><Relationship Id="rId3514" Type="http://schemas.openxmlformats.org/officeDocument/2006/relationships/hyperlink" Target="http://amazon.in" TargetMode="External"/><Relationship Id="rId4845" Type="http://schemas.openxmlformats.org/officeDocument/2006/relationships/hyperlink" Target="http://amazon.in" TargetMode="External"/><Relationship Id="rId44" Type="http://schemas.openxmlformats.org/officeDocument/2006/relationships/hyperlink" Target="http://amazon.in" TargetMode="External"/><Relationship Id="rId3517" Type="http://schemas.openxmlformats.org/officeDocument/2006/relationships/hyperlink" Target="http://amazon.in" TargetMode="External"/><Relationship Id="rId4848" Type="http://schemas.openxmlformats.org/officeDocument/2006/relationships/hyperlink" Target="http://amazon.in" TargetMode="External"/><Relationship Id="rId43" Type="http://schemas.openxmlformats.org/officeDocument/2006/relationships/hyperlink" Target="http://amazon.in" TargetMode="External"/><Relationship Id="rId3516" Type="http://schemas.openxmlformats.org/officeDocument/2006/relationships/hyperlink" Target="http://amazon.in" TargetMode="External"/><Relationship Id="rId4847" Type="http://schemas.openxmlformats.org/officeDocument/2006/relationships/hyperlink" Target="http://amazon.in" TargetMode="External"/><Relationship Id="rId46" Type="http://schemas.openxmlformats.org/officeDocument/2006/relationships/hyperlink" Target="http://amazon.in" TargetMode="External"/><Relationship Id="rId3519" Type="http://schemas.openxmlformats.org/officeDocument/2006/relationships/hyperlink" Target="http://amazon.in" TargetMode="External"/><Relationship Id="rId45" Type="http://schemas.openxmlformats.org/officeDocument/2006/relationships/hyperlink" Target="http://amazon.in" TargetMode="External"/><Relationship Id="rId3518" Type="http://schemas.openxmlformats.org/officeDocument/2006/relationships/hyperlink" Target="http://amazon.in" TargetMode="External"/><Relationship Id="rId4849" Type="http://schemas.openxmlformats.org/officeDocument/2006/relationships/hyperlink" Target="http://amazon.in" TargetMode="External"/><Relationship Id="rId48" Type="http://schemas.openxmlformats.org/officeDocument/2006/relationships/hyperlink" Target="http://amazon.in" TargetMode="External"/><Relationship Id="rId47" Type="http://schemas.openxmlformats.org/officeDocument/2006/relationships/hyperlink" Target="http://amazon.in" TargetMode="External"/><Relationship Id="rId49" Type="http://schemas.openxmlformats.org/officeDocument/2006/relationships/hyperlink" Target="http://amazon.in" TargetMode="External"/><Relationship Id="rId4840" Type="http://schemas.openxmlformats.org/officeDocument/2006/relationships/hyperlink" Target="http://amazon.in" TargetMode="External"/><Relationship Id="rId3511" Type="http://schemas.openxmlformats.org/officeDocument/2006/relationships/hyperlink" Target="http://amazon.in" TargetMode="External"/><Relationship Id="rId4842" Type="http://schemas.openxmlformats.org/officeDocument/2006/relationships/hyperlink" Target="http://amazon.in" TargetMode="External"/><Relationship Id="rId3510" Type="http://schemas.openxmlformats.org/officeDocument/2006/relationships/hyperlink" Target="http://amazon.in" TargetMode="External"/><Relationship Id="rId4841" Type="http://schemas.openxmlformats.org/officeDocument/2006/relationships/hyperlink" Target="http://amazon.in" TargetMode="External"/><Relationship Id="rId3502" Type="http://schemas.openxmlformats.org/officeDocument/2006/relationships/hyperlink" Target="http://amazon.in" TargetMode="External"/><Relationship Id="rId4833" Type="http://schemas.openxmlformats.org/officeDocument/2006/relationships/hyperlink" Target="http://amazon.in" TargetMode="External"/><Relationship Id="rId3501" Type="http://schemas.openxmlformats.org/officeDocument/2006/relationships/hyperlink" Target="http://amazon.in" TargetMode="External"/><Relationship Id="rId4832" Type="http://schemas.openxmlformats.org/officeDocument/2006/relationships/hyperlink" Target="http://amazon.in" TargetMode="External"/><Relationship Id="rId31" Type="http://schemas.openxmlformats.org/officeDocument/2006/relationships/hyperlink" Target="http://amazon.in" TargetMode="External"/><Relationship Id="rId3504" Type="http://schemas.openxmlformats.org/officeDocument/2006/relationships/hyperlink" Target="http://amazon.in" TargetMode="External"/><Relationship Id="rId4835" Type="http://schemas.openxmlformats.org/officeDocument/2006/relationships/hyperlink" Target="http://amazon.in" TargetMode="External"/><Relationship Id="rId30" Type="http://schemas.openxmlformats.org/officeDocument/2006/relationships/hyperlink" Target="http://amazon.in" TargetMode="External"/><Relationship Id="rId3503" Type="http://schemas.openxmlformats.org/officeDocument/2006/relationships/hyperlink" Target="http://amazon.in" TargetMode="External"/><Relationship Id="rId4834" Type="http://schemas.openxmlformats.org/officeDocument/2006/relationships/hyperlink" Target="http://amazon.in" TargetMode="External"/><Relationship Id="rId33" Type="http://schemas.openxmlformats.org/officeDocument/2006/relationships/hyperlink" Target="http://amazon.in" TargetMode="External"/><Relationship Id="rId3506" Type="http://schemas.openxmlformats.org/officeDocument/2006/relationships/hyperlink" Target="http://amazon.in" TargetMode="External"/><Relationship Id="rId4837" Type="http://schemas.openxmlformats.org/officeDocument/2006/relationships/hyperlink" Target="http://amazon.in" TargetMode="External"/><Relationship Id="rId32" Type="http://schemas.openxmlformats.org/officeDocument/2006/relationships/hyperlink" Target="http://amazon.in" TargetMode="External"/><Relationship Id="rId3505" Type="http://schemas.openxmlformats.org/officeDocument/2006/relationships/hyperlink" Target="http://amazon.in" TargetMode="External"/><Relationship Id="rId4836" Type="http://schemas.openxmlformats.org/officeDocument/2006/relationships/hyperlink" Target="http://amazon.in" TargetMode="External"/><Relationship Id="rId35" Type="http://schemas.openxmlformats.org/officeDocument/2006/relationships/hyperlink" Target="http://amazon.in" TargetMode="External"/><Relationship Id="rId3508" Type="http://schemas.openxmlformats.org/officeDocument/2006/relationships/hyperlink" Target="http://amazon.in" TargetMode="External"/><Relationship Id="rId4839" Type="http://schemas.openxmlformats.org/officeDocument/2006/relationships/hyperlink" Target="http://amazon.in" TargetMode="External"/><Relationship Id="rId34" Type="http://schemas.openxmlformats.org/officeDocument/2006/relationships/hyperlink" Target="http://amazon.in" TargetMode="External"/><Relationship Id="rId3507" Type="http://schemas.openxmlformats.org/officeDocument/2006/relationships/hyperlink" Target="http://amazon.in" TargetMode="External"/><Relationship Id="rId4838" Type="http://schemas.openxmlformats.org/officeDocument/2006/relationships/hyperlink" Target="http://amazon.in" TargetMode="External"/><Relationship Id="rId3509" Type="http://schemas.openxmlformats.org/officeDocument/2006/relationships/hyperlink" Target="http://amazon.in" TargetMode="External"/><Relationship Id="rId37" Type="http://schemas.openxmlformats.org/officeDocument/2006/relationships/hyperlink" Target="http://amazon.in" TargetMode="External"/><Relationship Id="rId36" Type="http://schemas.openxmlformats.org/officeDocument/2006/relationships/hyperlink" Target="http://amazon.in" TargetMode="External"/><Relationship Id="rId39" Type="http://schemas.openxmlformats.org/officeDocument/2006/relationships/hyperlink" Target="http://amazon.in" TargetMode="External"/><Relationship Id="rId38" Type="http://schemas.openxmlformats.org/officeDocument/2006/relationships/hyperlink" Target="http://amazon.in" TargetMode="External"/><Relationship Id="rId3500" Type="http://schemas.openxmlformats.org/officeDocument/2006/relationships/hyperlink" Target="http://amazon.in" TargetMode="External"/><Relationship Id="rId4831" Type="http://schemas.openxmlformats.org/officeDocument/2006/relationships/hyperlink" Target="http://amazon.in" TargetMode="External"/><Relationship Id="rId4830" Type="http://schemas.openxmlformats.org/officeDocument/2006/relationships/hyperlink" Target="http://amazon.in" TargetMode="External"/><Relationship Id="rId2203" Type="http://schemas.openxmlformats.org/officeDocument/2006/relationships/hyperlink" Target="http://amazon.in" TargetMode="External"/><Relationship Id="rId3535" Type="http://schemas.openxmlformats.org/officeDocument/2006/relationships/hyperlink" Target="http://amazon.in" TargetMode="External"/><Relationship Id="rId4866" Type="http://schemas.openxmlformats.org/officeDocument/2006/relationships/hyperlink" Target="http://amazon.in" TargetMode="External"/><Relationship Id="rId2204" Type="http://schemas.openxmlformats.org/officeDocument/2006/relationships/hyperlink" Target="http://amazon.in" TargetMode="External"/><Relationship Id="rId3534" Type="http://schemas.openxmlformats.org/officeDocument/2006/relationships/hyperlink" Target="http://amazon.in" TargetMode="External"/><Relationship Id="rId4865" Type="http://schemas.openxmlformats.org/officeDocument/2006/relationships/hyperlink" Target="http://amazon.in" TargetMode="External"/><Relationship Id="rId20" Type="http://schemas.openxmlformats.org/officeDocument/2006/relationships/hyperlink" Target="http://amazon.in" TargetMode="External"/><Relationship Id="rId2205" Type="http://schemas.openxmlformats.org/officeDocument/2006/relationships/hyperlink" Target="http://amazon.in" TargetMode="External"/><Relationship Id="rId3537" Type="http://schemas.openxmlformats.org/officeDocument/2006/relationships/hyperlink" Target="http://amazon.in" TargetMode="External"/><Relationship Id="rId4868" Type="http://schemas.openxmlformats.org/officeDocument/2006/relationships/hyperlink" Target="http://amazon.in" TargetMode="External"/><Relationship Id="rId2206" Type="http://schemas.openxmlformats.org/officeDocument/2006/relationships/hyperlink" Target="http://amazon.in" TargetMode="External"/><Relationship Id="rId3536" Type="http://schemas.openxmlformats.org/officeDocument/2006/relationships/hyperlink" Target="http://amazon.in" TargetMode="External"/><Relationship Id="rId4867" Type="http://schemas.openxmlformats.org/officeDocument/2006/relationships/hyperlink" Target="http://amazon.in" TargetMode="External"/><Relationship Id="rId22" Type="http://schemas.openxmlformats.org/officeDocument/2006/relationships/hyperlink" Target="http://amazon.in" TargetMode="External"/><Relationship Id="rId2207" Type="http://schemas.openxmlformats.org/officeDocument/2006/relationships/hyperlink" Target="http://amazon.in" TargetMode="External"/><Relationship Id="rId3539" Type="http://schemas.openxmlformats.org/officeDocument/2006/relationships/hyperlink" Target="http://amazon.in" TargetMode="External"/><Relationship Id="rId21" Type="http://schemas.openxmlformats.org/officeDocument/2006/relationships/hyperlink" Target="http://amazon.in" TargetMode="External"/><Relationship Id="rId2208" Type="http://schemas.openxmlformats.org/officeDocument/2006/relationships/hyperlink" Target="http://amazon.in" TargetMode="External"/><Relationship Id="rId3538" Type="http://schemas.openxmlformats.org/officeDocument/2006/relationships/hyperlink" Target="http://amazon.in" TargetMode="External"/><Relationship Id="rId4869" Type="http://schemas.openxmlformats.org/officeDocument/2006/relationships/hyperlink" Target="http://amazon.in" TargetMode="External"/><Relationship Id="rId24" Type="http://schemas.openxmlformats.org/officeDocument/2006/relationships/hyperlink" Target="http://amazon.in" TargetMode="External"/><Relationship Id="rId2209" Type="http://schemas.openxmlformats.org/officeDocument/2006/relationships/hyperlink" Target="http://amazon.in" TargetMode="External"/><Relationship Id="rId23" Type="http://schemas.openxmlformats.org/officeDocument/2006/relationships/hyperlink" Target="http://amazon.in" TargetMode="External"/><Relationship Id="rId26" Type="http://schemas.openxmlformats.org/officeDocument/2006/relationships/hyperlink" Target="http://amazon.in" TargetMode="External"/><Relationship Id="rId25" Type="http://schemas.openxmlformats.org/officeDocument/2006/relationships/hyperlink" Target="http://amazon.in" TargetMode="External"/><Relationship Id="rId28" Type="http://schemas.openxmlformats.org/officeDocument/2006/relationships/hyperlink" Target="http://amazon.in" TargetMode="External"/><Relationship Id="rId4860" Type="http://schemas.openxmlformats.org/officeDocument/2006/relationships/hyperlink" Target="http://amazon.in" TargetMode="External"/><Relationship Id="rId27" Type="http://schemas.openxmlformats.org/officeDocument/2006/relationships/hyperlink" Target="http://amazon.in" TargetMode="External"/><Relationship Id="rId3531" Type="http://schemas.openxmlformats.org/officeDocument/2006/relationships/hyperlink" Target="http://amazon.in" TargetMode="External"/><Relationship Id="rId4862" Type="http://schemas.openxmlformats.org/officeDocument/2006/relationships/hyperlink" Target="http://amazon.in" TargetMode="External"/><Relationship Id="rId29" Type="http://schemas.openxmlformats.org/officeDocument/2006/relationships/hyperlink" Target="http://amazon.in" TargetMode="External"/><Relationship Id="rId2200" Type="http://schemas.openxmlformats.org/officeDocument/2006/relationships/hyperlink" Target="http://amazon.in" TargetMode="External"/><Relationship Id="rId3530" Type="http://schemas.openxmlformats.org/officeDocument/2006/relationships/hyperlink" Target="http://amazon.in" TargetMode="External"/><Relationship Id="rId4861" Type="http://schemas.openxmlformats.org/officeDocument/2006/relationships/hyperlink" Target="http://amazon.in" TargetMode="External"/><Relationship Id="rId2201" Type="http://schemas.openxmlformats.org/officeDocument/2006/relationships/hyperlink" Target="http://amazon.in" TargetMode="External"/><Relationship Id="rId3533" Type="http://schemas.openxmlformats.org/officeDocument/2006/relationships/hyperlink" Target="http://amazon.in" TargetMode="External"/><Relationship Id="rId4864" Type="http://schemas.openxmlformats.org/officeDocument/2006/relationships/hyperlink" Target="http://amazon.in" TargetMode="External"/><Relationship Id="rId2202" Type="http://schemas.openxmlformats.org/officeDocument/2006/relationships/hyperlink" Target="http://amazon.in" TargetMode="External"/><Relationship Id="rId3532" Type="http://schemas.openxmlformats.org/officeDocument/2006/relationships/hyperlink" Target="http://amazon.in" TargetMode="External"/><Relationship Id="rId4863" Type="http://schemas.openxmlformats.org/officeDocument/2006/relationships/hyperlink" Target="http://amazon.in" TargetMode="External"/><Relationship Id="rId3524" Type="http://schemas.openxmlformats.org/officeDocument/2006/relationships/hyperlink" Target="http://amazon.in" TargetMode="External"/><Relationship Id="rId4855" Type="http://schemas.openxmlformats.org/officeDocument/2006/relationships/hyperlink" Target="http://amazon.in" TargetMode="External"/><Relationship Id="rId3523" Type="http://schemas.openxmlformats.org/officeDocument/2006/relationships/hyperlink" Target="http://amazon.in" TargetMode="External"/><Relationship Id="rId4854" Type="http://schemas.openxmlformats.org/officeDocument/2006/relationships/hyperlink" Target="http://amazon.in" TargetMode="External"/><Relationship Id="rId3526" Type="http://schemas.openxmlformats.org/officeDocument/2006/relationships/hyperlink" Target="http://amazon.in" TargetMode="External"/><Relationship Id="rId4857" Type="http://schemas.openxmlformats.org/officeDocument/2006/relationships/hyperlink" Target="http://amazon.in" TargetMode="External"/><Relationship Id="rId3525" Type="http://schemas.openxmlformats.org/officeDocument/2006/relationships/hyperlink" Target="http://amazon.in" TargetMode="External"/><Relationship Id="rId4856" Type="http://schemas.openxmlformats.org/officeDocument/2006/relationships/hyperlink" Target="http://amazon.in" TargetMode="External"/><Relationship Id="rId11" Type="http://schemas.openxmlformats.org/officeDocument/2006/relationships/hyperlink" Target="http://amazon.in" TargetMode="External"/><Relationship Id="rId3528" Type="http://schemas.openxmlformats.org/officeDocument/2006/relationships/hyperlink" Target="http://amazon.in" TargetMode="External"/><Relationship Id="rId4859" Type="http://schemas.openxmlformats.org/officeDocument/2006/relationships/hyperlink" Target="http://amazon.in" TargetMode="External"/><Relationship Id="rId10" Type="http://schemas.openxmlformats.org/officeDocument/2006/relationships/hyperlink" Target="http://amazon.in" TargetMode="External"/><Relationship Id="rId3527" Type="http://schemas.openxmlformats.org/officeDocument/2006/relationships/hyperlink" Target="http://amazon.in" TargetMode="External"/><Relationship Id="rId4858" Type="http://schemas.openxmlformats.org/officeDocument/2006/relationships/hyperlink" Target="http://amazon.in" TargetMode="External"/><Relationship Id="rId13" Type="http://schemas.openxmlformats.org/officeDocument/2006/relationships/hyperlink" Target="http://amazon.in" TargetMode="External"/><Relationship Id="rId12" Type="http://schemas.openxmlformats.org/officeDocument/2006/relationships/hyperlink" Target="http://amazon.in" TargetMode="External"/><Relationship Id="rId3529" Type="http://schemas.openxmlformats.org/officeDocument/2006/relationships/hyperlink" Target="http://amazon.in" TargetMode="External"/><Relationship Id="rId15" Type="http://schemas.openxmlformats.org/officeDocument/2006/relationships/hyperlink" Target="http://amazon.in" TargetMode="External"/><Relationship Id="rId14" Type="http://schemas.openxmlformats.org/officeDocument/2006/relationships/hyperlink" Target="http://amazon.in" TargetMode="External"/><Relationship Id="rId17" Type="http://schemas.openxmlformats.org/officeDocument/2006/relationships/hyperlink" Target="http://amazon.in" TargetMode="External"/><Relationship Id="rId16" Type="http://schemas.openxmlformats.org/officeDocument/2006/relationships/hyperlink" Target="http://amazon.in" TargetMode="External"/><Relationship Id="rId19" Type="http://schemas.openxmlformats.org/officeDocument/2006/relationships/hyperlink" Target="http://amazon.in" TargetMode="External"/><Relationship Id="rId3520" Type="http://schemas.openxmlformats.org/officeDocument/2006/relationships/hyperlink" Target="http://amazon.in" TargetMode="External"/><Relationship Id="rId4851" Type="http://schemas.openxmlformats.org/officeDocument/2006/relationships/hyperlink" Target="http://amazon.in" TargetMode="External"/><Relationship Id="rId18" Type="http://schemas.openxmlformats.org/officeDocument/2006/relationships/hyperlink" Target="http://amazon.in" TargetMode="External"/><Relationship Id="rId4850" Type="http://schemas.openxmlformats.org/officeDocument/2006/relationships/hyperlink" Target="http://amazon.in" TargetMode="External"/><Relationship Id="rId3522" Type="http://schemas.openxmlformats.org/officeDocument/2006/relationships/hyperlink" Target="http://amazon.in" TargetMode="External"/><Relationship Id="rId4853" Type="http://schemas.openxmlformats.org/officeDocument/2006/relationships/hyperlink" Target="http://amazon.in" TargetMode="External"/><Relationship Id="rId3521" Type="http://schemas.openxmlformats.org/officeDocument/2006/relationships/hyperlink" Target="http://amazon.in" TargetMode="External"/><Relationship Id="rId4852" Type="http://schemas.openxmlformats.org/officeDocument/2006/relationships/hyperlink" Target="http://amazon.in" TargetMode="External"/><Relationship Id="rId84" Type="http://schemas.openxmlformats.org/officeDocument/2006/relationships/hyperlink" Target="http://amazon.in" TargetMode="External"/><Relationship Id="rId1774" Type="http://schemas.openxmlformats.org/officeDocument/2006/relationships/hyperlink" Target="http://amazon.in" TargetMode="External"/><Relationship Id="rId4800" Type="http://schemas.openxmlformats.org/officeDocument/2006/relationships/hyperlink" Target="http://amazon.in" TargetMode="External"/><Relationship Id="rId83" Type="http://schemas.openxmlformats.org/officeDocument/2006/relationships/hyperlink" Target="http://amazon.in" TargetMode="External"/><Relationship Id="rId1775" Type="http://schemas.openxmlformats.org/officeDocument/2006/relationships/hyperlink" Target="http://amazon.in" TargetMode="External"/><Relationship Id="rId86" Type="http://schemas.openxmlformats.org/officeDocument/2006/relationships/hyperlink" Target="http://amazon.in" TargetMode="External"/><Relationship Id="rId1776" Type="http://schemas.openxmlformats.org/officeDocument/2006/relationships/hyperlink" Target="http://amazon.in" TargetMode="External"/><Relationship Id="rId4802" Type="http://schemas.openxmlformats.org/officeDocument/2006/relationships/hyperlink" Target="http://amazon.in" TargetMode="External"/><Relationship Id="rId85" Type="http://schemas.openxmlformats.org/officeDocument/2006/relationships/hyperlink" Target="http://amazon.in" TargetMode="External"/><Relationship Id="rId1777" Type="http://schemas.openxmlformats.org/officeDocument/2006/relationships/hyperlink" Target="http://amazon.in" TargetMode="External"/><Relationship Id="rId4801" Type="http://schemas.openxmlformats.org/officeDocument/2006/relationships/hyperlink" Target="http://amazon.in" TargetMode="External"/><Relationship Id="rId88" Type="http://schemas.openxmlformats.org/officeDocument/2006/relationships/hyperlink" Target="http://amazon.in" TargetMode="External"/><Relationship Id="rId1778" Type="http://schemas.openxmlformats.org/officeDocument/2006/relationships/hyperlink" Target="http://amazon.in" TargetMode="External"/><Relationship Id="rId4804" Type="http://schemas.openxmlformats.org/officeDocument/2006/relationships/hyperlink" Target="http://amazon.in" TargetMode="External"/><Relationship Id="rId87" Type="http://schemas.openxmlformats.org/officeDocument/2006/relationships/hyperlink" Target="http://amazon.in" TargetMode="External"/><Relationship Id="rId1779" Type="http://schemas.openxmlformats.org/officeDocument/2006/relationships/hyperlink" Target="http://amazon.in" TargetMode="External"/><Relationship Id="rId4803" Type="http://schemas.openxmlformats.org/officeDocument/2006/relationships/hyperlink" Target="http://amazon.in" TargetMode="External"/><Relationship Id="rId4806" Type="http://schemas.openxmlformats.org/officeDocument/2006/relationships/hyperlink" Target="http://amazon.in" TargetMode="External"/><Relationship Id="rId89" Type="http://schemas.openxmlformats.org/officeDocument/2006/relationships/hyperlink" Target="http://amazon.in" TargetMode="External"/><Relationship Id="rId4805" Type="http://schemas.openxmlformats.org/officeDocument/2006/relationships/hyperlink" Target="http://amazon.in" TargetMode="External"/><Relationship Id="rId4808" Type="http://schemas.openxmlformats.org/officeDocument/2006/relationships/hyperlink" Target="http://amazon.in" TargetMode="External"/><Relationship Id="rId4807" Type="http://schemas.openxmlformats.org/officeDocument/2006/relationships/hyperlink" Target="http://amazon.in" TargetMode="External"/><Relationship Id="rId4809" Type="http://schemas.openxmlformats.org/officeDocument/2006/relationships/hyperlink" Target="http://amazon.in" TargetMode="External"/><Relationship Id="rId80" Type="http://schemas.openxmlformats.org/officeDocument/2006/relationships/hyperlink" Target="http://amazon.in" TargetMode="External"/><Relationship Id="rId82" Type="http://schemas.openxmlformats.org/officeDocument/2006/relationships/hyperlink" Target="http://amazon.in" TargetMode="External"/><Relationship Id="rId81" Type="http://schemas.openxmlformats.org/officeDocument/2006/relationships/hyperlink" Target="http://amazon.in" TargetMode="External"/><Relationship Id="rId1770" Type="http://schemas.openxmlformats.org/officeDocument/2006/relationships/hyperlink" Target="http://amazon.in" TargetMode="External"/><Relationship Id="rId1771" Type="http://schemas.openxmlformats.org/officeDocument/2006/relationships/hyperlink" Target="http://amazon.in" TargetMode="External"/><Relationship Id="rId1772" Type="http://schemas.openxmlformats.org/officeDocument/2006/relationships/hyperlink" Target="http://amazon.in" TargetMode="External"/><Relationship Id="rId1773" Type="http://schemas.openxmlformats.org/officeDocument/2006/relationships/hyperlink" Target="http://amazon.in" TargetMode="External"/><Relationship Id="rId73" Type="http://schemas.openxmlformats.org/officeDocument/2006/relationships/hyperlink" Target="http://amazon.in" TargetMode="External"/><Relationship Id="rId1763" Type="http://schemas.openxmlformats.org/officeDocument/2006/relationships/hyperlink" Target="http://amazon.in" TargetMode="External"/><Relationship Id="rId72" Type="http://schemas.openxmlformats.org/officeDocument/2006/relationships/hyperlink" Target="http://amazon.in" TargetMode="External"/><Relationship Id="rId1764" Type="http://schemas.openxmlformats.org/officeDocument/2006/relationships/hyperlink" Target="http://amazon.in" TargetMode="External"/><Relationship Id="rId75" Type="http://schemas.openxmlformats.org/officeDocument/2006/relationships/hyperlink" Target="http://amazon.in" TargetMode="External"/><Relationship Id="rId1765" Type="http://schemas.openxmlformats.org/officeDocument/2006/relationships/hyperlink" Target="http://amazon.in" TargetMode="External"/><Relationship Id="rId74" Type="http://schemas.openxmlformats.org/officeDocument/2006/relationships/hyperlink" Target="http://amazon.in" TargetMode="External"/><Relationship Id="rId1766" Type="http://schemas.openxmlformats.org/officeDocument/2006/relationships/hyperlink" Target="http://amazon.in" TargetMode="External"/><Relationship Id="rId77" Type="http://schemas.openxmlformats.org/officeDocument/2006/relationships/hyperlink" Target="http://amazon.in" TargetMode="External"/><Relationship Id="rId1767" Type="http://schemas.openxmlformats.org/officeDocument/2006/relationships/hyperlink" Target="http://amazon.in" TargetMode="External"/><Relationship Id="rId76" Type="http://schemas.openxmlformats.org/officeDocument/2006/relationships/hyperlink" Target="http://amazon.in" TargetMode="External"/><Relationship Id="rId1768" Type="http://schemas.openxmlformats.org/officeDocument/2006/relationships/hyperlink" Target="http://amazon.in" TargetMode="External"/><Relationship Id="rId79" Type="http://schemas.openxmlformats.org/officeDocument/2006/relationships/hyperlink" Target="http://amazon.in" TargetMode="External"/><Relationship Id="rId1769" Type="http://schemas.openxmlformats.org/officeDocument/2006/relationships/hyperlink" Target="http://amazon.in" TargetMode="External"/><Relationship Id="rId78" Type="http://schemas.openxmlformats.org/officeDocument/2006/relationships/hyperlink" Target="http://amazon.in" TargetMode="External"/><Relationship Id="rId71" Type="http://schemas.openxmlformats.org/officeDocument/2006/relationships/hyperlink" Target="http://amazon.in" TargetMode="External"/><Relationship Id="rId70" Type="http://schemas.openxmlformats.org/officeDocument/2006/relationships/hyperlink" Target="http://amazon.in" TargetMode="External"/><Relationship Id="rId1760" Type="http://schemas.openxmlformats.org/officeDocument/2006/relationships/hyperlink" Target="http://amazon.in" TargetMode="External"/><Relationship Id="rId1761" Type="http://schemas.openxmlformats.org/officeDocument/2006/relationships/hyperlink" Target="http://amazon.in" TargetMode="External"/><Relationship Id="rId1762" Type="http://schemas.openxmlformats.org/officeDocument/2006/relationships/hyperlink" Target="http://amazon.in" TargetMode="External"/><Relationship Id="rId62" Type="http://schemas.openxmlformats.org/officeDocument/2006/relationships/hyperlink" Target="http://amazon.in" TargetMode="External"/><Relationship Id="rId1796" Type="http://schemas.openxmlformats.org/officeDocument/2006/relationships/hyperlink" Target="http://amazon.in" TargetMode="External"/><Relationship Id="rId4822" Type="http://schemas.openxmlformats.org/officeDocument/2006/relationships/hyperlink" Target="http://amazon.in" TargetMode="External"/><Relationship Id="rId61" Type="http://schemas.openxmlformats.org/officeDocument/2006/relationships/hyperlink" Target="http://amazon.in" TargetMode="External"/><Relationship Id="rId1797" Type="http://schemas.openxmlformats.org/officeDocument/2006/relationships/hyperlink" Target="http://amazon.in" TargetMode="External"/><Relationship Id="rId4821" Type="http://schemas.openxmlformats.org/officeDocument/2006/relationships/hyperlink" Target="http://amazon.in" TargetMode="External"/><Relationship Id="rId64" Type="http://schemas.openxmlformats.org/officeDocument/2006/relationships/hyperlink" Target="http://amazon.in" TargetMode="External"/><Relationship Id="rId1798" Type="http://schemas.openxmlformats.org/officeDocument/2006/relationships/hyperlink" Target="http://amazon.in" TargetMode="External"/><Relationship Id="rId4824" Type="http://schemas.openxmlformats.org/officeDocument/2006/relationships/hyperlink" Target="http://amazon.in" TargetMode="External"/><Relationship Id="rId63" Type="http://schemas.openxmlformats.org/officeDocument/2006/relationships/hyperlink" Target="http://amazon.in" TargetMode="External"/><Relationship Id="rId1799" Type="http://schemas.openxmlformats.org/officeDocument/2006/relationships/hyperlink" Target="http://amazon.in" TargetMode="External"/><Relationship Id="rId4823" Type="http://schemas.openxmlformats.org/officeDocument/2006/relationships/hyperlink" Target="http://amazon.in" TargetMode="External"/><Relationship Id="rId66" Type="http://schemas.openxmlformats.org/officeDocument/2006/relationships/hyperlink" Target="http://amazon.in" TargetMode="External"/><Relationship Id="rId4826" Type="http://schemas.openxmlformats.org/officeDocument/2006/relationships/hyperlink" Target="http://amazon.in" TargetMode="External"/><Relationship Id="rId65" Type="http://schemas.openxmlformats.org/officeDocument/2006/relationships/hyperlink" Target="http://amazon.in" TargetMode="External"/><Relationship Id="rId4825" Type="http://schemas.openxmlformats.org/officeDocument/2006/relationships/hyperlink" Target="http://amazon.in" TargetMode="External"/><Relationship Id="rId68" Type="http://schemas.openxmlformats.org/officeDocument/2006/relationships/hyperlink" Target="http://amazon.in" TargetMode="External"/><Relationship Id="rId4828" Type="http://schemas.openxmlformats.org/officeDocument/2006/relationships/hyperlink" Target="http://amazon.in" TargetMode="External"/><Relationship Id="rId67" Type="http://schemas.openxmlformats.org/officeDocument/2006/relationships/hyperlink" Target="http://amazon.in" TargetMode="External"/><Relationship Id="rId4827" Type="http://schemas.openxmlformats.org/officeDocument/2006/relationships/hyperlink" Target="http://amazon.in" TargetMode="External"/><Relationship Id="rId4829" Type="http://schemas.openxmlformats.org/officeDocument/2006/relationships/hyperlink" Target="http://amazon.in" TargetMode="External"/><Relationship Id="rId60" Type="http://schemas.openxmlformats.org/officeDocument/2006/relationships/hyperlink" Target="http://amazon.in" TargetMode="External"/><Relationship Id="rId69" Type="http://schemas.openxmlformats.org/officeDocument/2006/relationships/hyperlink" Target="http://amazon.in" TargetMode="External"/><Relationship Id="rId1790" Type="http://schemas.openxmlformats.org/officeDocument/2006/relationships/hyperlink" Target="http://amazon.in" TargetMode="External"/><Relationship Id="rId1791" Type="http://schemas.openxmlformats.org/officeDocument/2006/relationships/hyperlink" Target="http://amazon.in" TargetMode="External"/><Relationship Id="rId1792" Type="http://schemas.openxmlformats.org/officeDocument/2006/relationships/hyperlink" Target="http://amazon.in" TargetMode="External"/><Relationship Id="rId1793" Type="http://schemas.openxmlformats.org/officeDocument/2006/relationships/hyperlink" Target="http://amazon.in" TargetMode="External"/><Relationship Id="rId1794" Type="http://schemas.openxmlformats.org/officeDocument/2006/relationships/hyperlink" Target="http://amazon.in" TargetMode="External"/><Relationship Id="rId4820" Type="http://schemas.openxmlformats.org/officeDocument/2006/relationships/hyperlink" Target="http://amazon.in" TargetMode="External"/><Relationship Id="rId1795" Type="http://schemas.openxmlformats.org/officeDocument/2006/relationships/hyperlink" Target="http://amazon.in" TargetMode="External"/><Relationship Id="rId51" Type="http://schemas.openxmlformats.org/officeDocument/2006/relationships/hyperlink" Target="http://amazon.in" TargetMode="External"/><Relationship Id="rId1785" Type="http://schemas.openxmlformats.org/officeDocument/2006/relationships/hyperlink" Target="http://amazon.in" TargetMode="External"/><Relationship Id="rId4811" Type="http://schemas.openxmlformats.org/officeDocument/2006/relationships/hyperlink" Target="http://amazon.in" TargetMode="External"/><Relationship Id="rId50" Type="http://schemas.openxmlformats.org/officeDocument/2006/relationships/hyperlink" Target="http://amazon.in" TargetMode="External"/><Relationship Id="rId1786" Type="http://schemas.openxmlformats.org/officeDocument/2006/relationships/hyperlink" Target="http://amazon.in" TargetMode="External"/><Relationship Id="rId4810" Type="http://schemas.openxmlformats.org/officeDocument/2006/relationships/hyperlink" Target="http://amazon.in" TargetMode="External"/><Relationship Id="rId53" Type="http://schemas.openxmlformats.org/officeDocument/2006/relationships/hyperlink" Target="http://amazon.in" TargetMode="External"/><Relationship Id="rId1787" Type="http://schemas.openxmlformats.org/officeDocument/2006/relationships/hyperlink" Target="http://amazon.in" TargetMode="External"/><Relationship Id="rId4813" Type="http://schemas.openxmlformats.org/officeDocument/2006/relationships/hyperlink" Target="http://amazon.in" TargetMode="External"/><Relationship Id="rId52" Type="http://schemas.openxmlformats.org/officeDocument/2006/relationships/hyperlink" Target="http://amazon.in" TargetMode="External"/><Relationship Id="rId1788" Type="http://schemas.openxmlformats.org/officeDocument/2006/relationships/hyperlink" Target="http://amazon.in" TargetMode="External"/><Relationship Id="rId4812" Type="http://schemas.openxmlformats.org/officeDocument/2006/relationships/hyperlink" Target="http://amazon.in" TargetMode="External"/><Relationship Id="rId55" Type="http://schemas.openxmlformats.org/officeDocument/2006/relationships/hyperlink" Target="http://amazon.in" TargetMode="External"/><Relationship Id="rId1789" Type="http://schemas.openxmlformats.org/officeDocument/2006/relationships/hyperlink" Target="http://amazon.in" TargetMode="External"/><Relationship Id="rId4815" Type="http://schemas.openxmlformats.org/officeDocument/2006/relationships/hyperlink" Target="http://amazon.in" TargetMode="External"/><Relationship Id="rId54" Type="http://schemas.openxmlformats.org/officeDocument/2006/relationships/hyperlink" Target="http://amazon.in" TargetMode="External"/><Relationship Id="rId4814" Type="http://schemas.openxmlformats.org/officeDocument/2006/relationships/hyperlink" Target="http://amazon.in" TargetMode="External"/><Relationship Id="rId57" Type="http://schemas.openxmlformats.org/officeDocument/2006/relationships/hyperlink" Target="http://amazon.in" TargetMode="External"/><Relationship Id="rId4817" Type="http://schemas.openxmlformats.org/officeDocument/2006/relationships/hyperlink" Target="http://amazon.in" TargetMode="External"/><Relationship Id="rId56" Type="http://schemas.openxmlformats.org/officeDocument/2006/relationships/hyperlink" Target="http://amazon.in" TargetMode="External"/><Relationship Id="rId4816" Type="http://schemas.openxmlformats.org/officeDocument/2006/relationships/hyperlink" Target="http://amazon.in" TargetMode="External"/><Relationship Id="rId4819" Type="http://schemas.openxmlformats.org/officeDocument/2006/relationships/hyperlink" Target="http://amazon.in" TargetMode="External"/><Relationship Id="rId4818" Type="http://schemas.openxmlformats.org/officeDocument/2006/relationships/hyperlink" Target="http://amazon.in" TargetMode="External"/><Relationship Id="rId59" Type="http://schemas.openxmlformats.org/officeDocument/2006/relationships/hyperlink" Target="http://amazon.in" TargetMode="External"/><Relationship Id="rId58" Type="http://schemas.openxmlformats.org/officeDocument/2006/relationships/hyperlink" Target="http://amazon.in" TargetMode="External"/><Relationship Id="rId1780" Type="http://schemas.openxmlformats.org/officeDocument/2006/relationships/hyperlink" Target="http://amazon.in" TargetMode="External"/><Relationship Id="rId1781" Type="http://schemas.openxmlformats.org/officeDocument/2006/relationships/hyperlink" Target="http://amazon.in" TargetMode="External"/><Relationship Id="rId1782" Type="http://schemas.openxmlformats.org/officeDocument/2006/relationships/hyperlink" Target="http://amazon.in" TargetMode="External"/><Relationship Id="rId1783" Type="http://schemas.openxmlformats.org/officeDocument/2006/relationships/hyperlink" Target="http://amazon.in" TargetMode="External"/><Relationship Id="rId1784" Type="http://schemas.openxmlformats.org/officeDocument/2006/relationships/hyperlink" Target="http://amazon.in" TargetMode="External"/><Relationship Id="rId2269" Type="http://schemas.openxmlformats.org/officeDocument/2006/relationships/hyperlink" Target="http://amazon.in" TargetMode="External"/><Relationship Id="rId349" Type="http://schemas.openxmlformats.org/officeDocument/2006/relationships/hyperlink" Target="http://amazon.in" TargetMode="External"/><Relationship Id="rId348" Type="http://schemas.openxmlformats.org/officeDocument/2006/relationships/hyperlink" Target="http://amazon.in" TargetMode="External"/><Relationship Id="rId347" Type="http://schemas.openxmlformats.org/officeDocument/2006/relationships/hyperlink" Target="http://amazon.in" TargetMode="External"/><Relationship Id="rId346" Type="http://schemas.openxmlformats.org/officeDocument/2006/relationships/hyperlink" Target="http://amazon.in" TargetMode="External"/><Relationship Id="rId3591" Type="http://schemas.openxmlformats.org/officeDocument/2006/relationships/hyperlink" Target="http://amazon.in" TargetMode="External"/><Relationship Id="rId2260" Type="http://schemas.openxmlformats.org/officeDocument/2006/relationships/hyperlink" Target="http://amazon.in" TargetMode="External"/><Relationship Id="rId3590" Type="http://schemas.openxmlformats.org/officeDocument/2006/relationships/hyperlink" Target="http://amazon.in" TargetMode="External"/><Relationship Id="rId341" Type="http://schemas.openxmlformats.org/officeDocument/2006/relationships/hyperlink" Target="http://amazon.in" TargetMode="External"/><Relationship Id="rId2261" Type="http://schemas.openxmlformats.org/officeDocument/2006/relationships/hyperlink" Target="http://amazon.in" TargetMode="External"/><Relationship Id="rId3593" Type="http://schemas.openxmlformats.org/officeDocument/2006/relationships/hyperlink" Target="http://amazon.in" TargetMode="External"/><Relationship Id="rId340" Type="http://schemas.openxmlformats.org/officeDocument/2006/relationships/hyperlink" Target="http://amazon.in" TargetMode="External"/><Relationship Id="rId2262" Type="http://schemas.openxmlformats.org/officeDocument/2006/relationships/hyperlink" Target="http://amazon.in" TargetMode="External"/><Relationship Id="rId3592" Type="http://schemas.openxmlformats.org/officeDocument/2006/relationships/hyperlink" Target="http://amazon.in" TargetMode="External"/><Relationship Id="rId2263" Type="http://schemas.openxmlformats.org/officeDocument/2006/relationships/hyperlink" Target="http://amazon.in" TargetMode="External"/><Relationship Id="rId3595" Type="http://schemas.openxmlformats.org/officeDocument/2006/relationships/hyperlink" Target="http://amazon.in" TargetMode="External"/><Relationship Id="rId2264" Type="http://schemas.openxmlformats.org/officeDocument/2006/relationships/hyperlink" Target="http://amazon.in" TargetMode="External"/><Relationship Id="rId3594" Type="http://schemas.openxmlformats.org/officeDocument/2006/relationships/hyperlink" Target="http://amazon.in" TargetMode="External"/><Relationship Id="rId345" Type="http://schemas.openxmlformats.org/officeDocument/2006/relationships/hyperlink" Target="http://amazon.in" TargetMode="External"/><Relationship Id="rId2265" Type="http://schemas.openxmlformats.org/officeDocument/2006/relationships/hyperlink" Target="http://amazon.in" TargetMode="External"/><Relationship Id="rId3597" Type="http://schemas.openxmlformats.org/officeDocument/2006/relationships/hyperlink" Target="http://amazon.in" TargetMode="External"/><Relationship Id="rId344" Type="http://schemas.openxmlformats.org/officeDocument/2006/relationships/hyperlink" Target="http://amazon.in" TargetMode="External"/><Relationship Id="rId2266" Type="http://schemas.openxmlformats.org/officeDocument/2006/relationships/hyperlink" Target="http://amazon.in" TargetMode="External"/><Relationship Id="rId3596" Type="http://schemas.openxmlformats.org/officeDocument/2006/relationships/hyperlink" Target="http://amazon.in" TargetMode="External"/><Relationship Id="rId343" Type="http://schemas.openxmlformats.org/officeDocument/2006/relationships/hyperlink" Target="http://amazon.in" TargetMode="External"/><Relationship Id="rId2267" Type="http://schemas.openxmlformats.org/officeDocument/2006/relationships/hyperlink" Target="http://amazon.in" TargetMode="External"/><Relationship Id="rId3599" Type="http://schemas.openxmlformats.org/officeDocument/2006/relationships/hyperlink" Target="http://amazon.in" TargetMode="External"/><Relationship Id="rId342" Type="http://schemas.openxmlformats.org/officeDocument/2006/relationships/hyperlink" Target="http://amazon.in" TargetMode="External"/><Relationship Id="rId2268" Type="http://schemas.openxmlformats.org/officeDocument/2006/relationships/hyperlink" Target="http://amazon.in" TargetMode="External"/><Relationship Id="rId3598" Type="http://schemas.openxmlformats.org/officeDocument/2006/relationships/hyperlink" Target="http://amazon.in" TargetMode="External"/><Relationship Id="rId2258" Type="http://schemas.openxmlformats.org/officeDocument/2006/relationships/hyperlink" Target="http://amazon.in" TargetMode="External"/><Relationship Id="rId2259" Type="http://schemas.openxmlformats.org/officeDocument/2006/relationships/hyperlink" Target="http://amazon.in" TargetMode="External"/><Relationship Id="rId3589" Type="http://schemas.openxmlformats.org/officeDocument/2006/relationships/hyperlink" Target="http://amazon.in" TargetMode="External"/><Relationship Id="rId338" Type="http://schemas.openxmlformats.org/officeDocument/2006/relationships/hyperlink" Target="http://amazon.in" TargetMode="External"/><Relationship Id="rId337" Type="http://schemas.openxmlformats.org/officeDocument/2006/relationships/hyperlink" Target="http://amazon.in" TargetMode="External"/><Relationship Id="rId336" Type="http://schemas.openxmlformats.org/officeDocument/2006/relationships/hyperlink" Target="http://amazon.in" TargetMode="External"/><Relationship Id="rId335" Type="http://schemas.openxmlformats.org/officeDocument/2006/relationships/hyperlink" Target="http://amazon.in" TargetMode="External"/><Relationship Id="rId3580" Type="http://schemas.openxmlformats.org/officeDocument/2006/relationships/hyperlink" Target="http://amazon.in" TargetMode="External"/><Relationship Id="rId339" Type="http://schemas.openxmlformats.org/officeDocument/2006/relationships/hyperlink" Target="http://amazon.in" TargetMode="External"/><Relationship Id="rId330" Type="http://schemas.openxmlformats.org/officeDocument/2006/relationships/hyperlink" Target="http://amazon.in" TargetMode="External"/><Relationship Id="rId2250" Type="http://schemas.openxmlformats.org/officeDocument/2006/relationships/hyperlink" Target="http://amazon.in" TargetMode="External"/><Relationship Id="rId3582" Type="http://schemas.openxmlformats.org/officeDocument/2006/relationships/hyperlink" Target="http://amazon.in" TargetMode="External"/><Relationship Id="rId2251" Type="http://schemas.openxmlformats.org/officeDocument/2006/relationships/hyperlink" Target="http://amazon.in" TargetMode="External"/><Relationship Id="rId3581" Type="http://schemas.openxmlformats.org/officeDocument/2006/relationships/hyperlink" Target="http://amazon.in" TargetMode="External"/><Relationship Id="rId2252" Type="http://schemas.openxmlformats.org/officeDocument/2006/relationships/hyperlink" Target="http://amazon.in" TargetMode="External"/><Relationship Id="rId3584" Type="http://schemas.openxmlformats.org/officeDocument/2006/relationships/hyperlink" Target="http://amazon.in" TargetMode="External"/><Relationship Id="rId2253" Type="http://schemas.openxmlformats.org/officeDocument/2006/relationships/hyperlink" Target="http://amazon.in" TargetMode="External"/><Relationship Id="rId3583" Type="http://schemas.openxmlformats.org/officeDocument/2006/relationships/hyperlink" Target="http://amazon.in" TargetMode="External"/><Relationship Id="rId334" Type="http://schemas.openxmlformats.org/officeDocument/2006/relationships/hyperlink" Target="http://amazon.in" TargetMode="External"/><Relationship Id="rId2254" Type="http://schemas.openxmlformats.org/officeDocument/2006/relationships/hyperlink" Target="http://amazon.in" TargetMode="External"/><Relationship Id="rId3586" Type="http://schemas.openxmlformats.org/officeDocument/2006/relationships/hyperlink" Target="http://amazon.in" TargetMode="External"/><Relationship Id="rId333" Type="http://schemas.openxmlformats.org/officeDocument/2006/relationships/hyperlink" Target="http://amazon.in" TargetMode="External"/><Relationship Id="rId2255" Type="http://schemas.openxmlformats.org/officeDocument/2006/relationships/hyperlink" Target="http://amazon.in" TargetMode="External"/><Relationship Id="rId3585" Type="http://schemas.openxmlformats.org/officeDocument/2006/relationships/hyperlink" Target="http://amazon.in" TargetMode="External"/><Relationship Id="rId332" Type="http://schemas.openxmlformats.org/officeDocument/2006/relationships/hyperlink" Target="http://amazon.in" TargetMode="External"/><Relationship Id="rId2256" Type="http://schemas.openxmlformats.org/officeDocument/2006/relationships/hyperlink" Target="http://amazon.in" TargetMode="External"/><Relationship Id="rId3588" Type="http://schemas.openxmlformats.org/officeDocument/2006/relationships/hyperlink" Target="http://amazon.in" TargetMode="External"/><Relationship Id="rId331" Type="http://schemas.openxmlformats.org/officeDocument/2006/relationships/hyperlink" Target="http://amazon.in" TargetMode="External"/><Relationship Id="rId2257" Type="http://schemas.openxmlformats.org/officeDocument/2006/relationships/hyperlink" Target="http://amazon.in" TargetMode="External"/><Relationship Id="rId3587" Type="http://schemas.openxmlformats.org/officeDocument/2006/relationships/hyperlink" Target="http://amazon.in" TargetMode="External"/><Relationship Id="rId5318" Type="http://schemas.openxmlformats.org/officeDocument/2006/relationships/hyperlink" Target="http://amazon.in" TargetMode="External"/><Relationship Id="rId5319" Type="http://schemas.openxmlformats.org/officeDocument/2006/relationships/hyperlink" Target="http://amazon.in" TargetMode="External"/><Relationship Id="rId5316" Type="http://schemas.openxmlformats.org/officeDocument/2006/relationships/hyperlink" Target="http://amazon.in" TargetMode="External"/><Relationship Id="rId5317" Type="http://schemas.openxmlformats.org/officeDocument/2006/relationships/hyperlink" Target="http://amazon.in" TargetMode="External"/><Relationship Id="rId370" Type="http://schemas.openxmlformats.org/officeDocument/2006/relationships/hyperlink" Target="http://amazon.in" TargetMode="External"/><Relationship Id="rId369" Type="http://schemas.openxmlformats.org/officeDocument/2006/relationships/hyperlink" Target="http://amazon.in" TargetMode="External"/><Relationship Id="rId368" Type="http://schemas.openxmlformats.org/officeDocument/2006/relationships/hyperlink" Target="http://amazon.in" TargetMode="External"/><Relationship Id="rId2280" Type="http://schemas.openxmlformats.org/officeDocument/2006/relationships/hyperlink" Target="http://amazon.in" TargetMode="External"/><Relationship Id="rId2281" Type="http://schemas.openxmlformats.org/officeDocument/2006/relationships/hyperlink" Target="http://amazon.in" TargetMode="External"/><Relationship Id="rId2282" Type="http://schemas.openxmlformats.org/officeDocument/2006/relationships/hyperlink" Target="http://amazon.in" TargetMode="External"/><Relationship Id="rId363" Type="http://schemas.openxmlformats.org/officeDocument/2006/relationships/hyperlink" Target="http://amazon.in" TargetMode="External"/><Relationship Id="rId2283" Type="http://schemas.openxmlformats.org/officeDocument/2006/relationships/hyperlink" Target="http://amazon.in" TargetMode="External"/><Relationship Id="rId5310" Type="http://schemas.openxmlformats.org/officeDocument/2006/relationships/hyperlink" Target="http://amazon.in" TargetMode="External"/><Relationship Id="rId362" Type="http://schemas.openxmlformats.org/officeDocument/2006/relationships/hyperlink" Target="http://amazon.in" TargetMode="External"/><Relationship Id="rId2284" Type="http://schemas.openxmlformats.org/officeDocument/2006/relationships/hyperlink" Target="http://amazon.in" TargetMode="External"/><Relationship Id="rId5311" Type="http://schemas.openxmlformats.org/officeDocument/2006/relationships/hyperlink" Target="http://amazon.in" TargetMode="External"/><Relationship Id="rId361" Type="http://schemas.openxmlformats.org/officeDocument/2006/relationships/hyperlink" Target="http://amazon.in" TargetMode="External"/><Relationship Id="rId2285" Type="http://schemas.openxmlformats.org/officeDocument/2006/relationships/hyperlink" Target="http://amazon.in" TargetMode="External"/><Relationship Id="rId360" Type="http://schemas.openxmlformats.org/officeDocument/2006/relationships/hyperlink" Target="http://amazon.in" TargetMode="External"/><Relationship Id="rId2286" Type="http://schemas.openxmlformats.org/officeDocument/2006/relationships/hyperlink" Target="http://amazon.in" TargetMode="External"/><Relationship Id="rId367" Type="http://schemas.openxmlformats.org/officeDocument/2006/relationships/hyperlink" Target="http://amazon.in" TargetMode="External"/><Relationship Id="rId2287" Type="http://schemas.openxmlformats.org/officeDocument/2006/relationships/hyperlink" Target="http://amazon.in" TargetMode="External"/><Relationship Id="rId5314" Type="http://schemas.openxmlformats.org/officeDocument/2006/relationships/hyperlink" Target="http://amazon.in" TargetMode="External"/><Relationship Id="rId366" Type="http://schemas.openxmlformats.org/officeDocument/2006/relationships/hyperlink" Target="http://amazon.in" TargetMode="External"/><Relationship Id="rId2288" Type="http://schemas.openxmlformats.org/officeDocument/2006/relationships/hyperlink" Target="http://amazon.in" TargetMode="External"/><Relationship Id="rId5315" Type="http://schemas.openxmlformats.org/officeDocument/2006/relationships/hyperlink" Target="http://amazon.in" TargetMode="External"/><Relationship Id="rId365" Type="http://schemas.openxmlformats.org/officeDocument/2006/relationships/hyperlink" Target="http://amazon.in" TargetMode="External"/><Relationship Id="rId2289" Type="http://schemas.openxmlformats.org/officeDocument/2006/relationships/hyperlink" Target="http://amazon.in" TargetMode="External"/><Relationship Id="rId5312" Type="http://schemas.openxmlformats.org/officeDocument/2006/relationships/hyperlink" Target="http://amazon.in" TargetMode="External"/><Relationship Id="rId364" Type="http://schemas.openxmlformats.org/officeDocument/2006/relationships/hyperlink" Target="http://amazon.in" TargetMode="External"/><Relationship Id="rId5313" Type="http://schemas.openxmlformats.org/officeDocument/2006/relationships/hyperlink" Target="http://amazon.in" TargetMode="External"/><Relationship Id="rId95" Type="http://schemas.openxmlformats.org/officeDocument/2006/relationships/hyperlink" Target="http://amazon.in" TargetMode="External"/><Relationship Id="rId5307" Type="http://schemas.openxmlformats.org/officeDocument/2006/relationships/hyperlink" Target="http://amazon.in" TargetMode="External"/><Relationship Id="rId94" Type="http://schemas.openxmlformats.org/officeDocument/2006/relationships/hyperlink" Target="http://amazon.in" TargetMode="External"/><Relationship Id="rId5308" Type="http://schemas.openxmlformats.org/officeDocument/2006/relationships/hyperlink" Target="http://amazon.in" TargetMode="External"/><Relationship Id="rId97" Type="http://schemas.openxmlformats.org/officeDocument/2006/relationships/hyperlink" Target="http://amazon.in" TargetMode="External"/><Relationship Id="rId5305" Type="http://schemas.openxmlformats.org/officeDocument/2006/relationships/hyperlink" Target="http://amazon.in" TargetMode="External"/><Relationship Id="rId96" Type="http://schemas.openxmlformats.org/officeDocument/2006/relationships/hyperlink" Target="http://amazon.in" TargetMode="External"/><Relationship Id="rId5306" Type="http://schemas.openxmlformats.org/officeDocument/2006/relationships/hyperlink" Target="http://amazon.in" TargetMode="External"/><Relationship Id="rId99" Type="http://schemas.openxmlformats.org/officeDocument/2006/relationships/hyperlink" Target="http://amazon.in" TargetMode="External"/><Relationship Id="rId98" Type="http://schemas.openxmlformats.org/officeDocument/2006/relationships/hyperlink" Target="http://amazon.in" TargetMode="External"/><Relationship Id="rId5309" Type="http://schemas.openxmlformats.org/officeDocument/2006/relationships/hyperlink" Target="http://amazon.in" TargetMode="External"/><Relationship Id="rId91" Type="http://schemas.openxmlformats.org/officeDocument/2006/relationships/hyperlink" Target="http://amazon.in" TargetMode="External"/><Relationship Id="rId90" Type="http://schemas.openxmlformats.org/officeDocument/2006/relationships/hyperlink" Target="http://amazon.in" TargetMode="External"/><Relationship Id="rId93" Type="http://schemas.openxmlformats.org/officeDocument/2006/relationships/hyperlink" Target="http://amazon.in" TargetMode="External"/><Relationship Id="rId92" Type="http://schemas.openxmlformats.org/officeDocument/2006/relationships/hyperlink" Target="http://amazon.in" TargetMode="External"/><Relationship Id="rId359" Type="http://schemas.openxmlformats.org/officeDocument/2006/relationships/hyperlink" Target="http://amazon.in" TargetMode="External"/><Relationship Id="rId358" Type="http://schemas.openxmlformats.org/officeDocument/2006/relationships/hyperlink" Target="http://amazon.in" TargetMode="External"/><Relationship Id="rId357" Type="http://schemas.openxmlformats.org/officeDocument/2006/relationships/hyperlink" Target="http://amazon.in" TargetMode="External"/><Relationship Id="rId2270" Type="http://schemas.openxmlformats.org/officeDocument/2006/relationships/hyperlink" Target="http://amazon.in" TargetMode="External"/><Relationship Id="rId2271" Type="http://schemas.openxmlformats.org/officeDocument/2006/relationships/hyperlink" Target="http://amazon.in" TargetMode="External"/><Relationship Id="rId352" Type="http://schemas.openxmlformats.org/officeDocument/2006/relationships/hyperlink" Target="http://amazon.in" TargetMode="External"/><Relationship Id="rId2272" Type="http://schemas.openxmlformats.org/officeDocument/2006/relationships/hyperlink" Target="http://amazon.in" TargetMode="External"/><Relationship Id="rId351" Type="http://schemas.openxmlformats.org/officeDocument/2006/relationships/hyperlink" Target="http://amazon.in" TargetMode="External"/><Relationship Id="rId2273" Type="http://schemas.openxmlformats.org/officeDocument/2006/relationships/hyperlink" Target="http://amazon.in" TargetMode="External"/><Relationship Id="rId5300" Type="http://schemas.openxmlformats.org/officeDocument/2006/relationships/hyperlink" Target="http://amazon.in" TargetMode="External"/><Relationship Id="rId350" Type="http://schemas.openxmlformats.org/officeDocument/2006/relationships/hyperlink" Target="http://amazon.in" TargetMode="External"/><Relationship Id="rId2274" Type="http://schemas.openxmlformats.org/officeDocument/2006/relationships/hyperlink" Target="http://amazon.in" TargetMode="External"/><Relationship Id="rId2275" Type="http://schemas.openxmlformats.org/officeDocument/2006/relationships/hyperlink" Target="http://amazon.in" TargetMode="External"/><Relationship Id="rId356" Type="http://schemas.openxmlformats.org/officeDocument/2006/relationships/hyperlink" Target="http://amazon.in" TargetMode="External"/><Relationship Id="rId2276" Type="http://schemas.openxmlformats.org/officeDocument/2006/relationships/hyperlink" Target="http://amazon.in" TargetMode="External"/><Relationship Id="rId5303" Type="http://schemas.openxmlformats.org/officeDocument/2006/relationships/hyperlink" Target="http://amazon.in" TargetMode="External"/><Relationship Id="rId355" Type="http://schemas.openxmlformats.org/officeDocument/2006/relationships/hyperlink" Target="http://amazon.in" TargetMode="External"/><Relationship Id="rId2277" Type="http://schemas.openxmlformats.org/officeDocument/2006/relationships/hyperlink" Target="http://amazon.in" TargetMode="External"/><Relationship Id="rId5304" Type="http://schemas.openxmlformats.org/officeDocument/2006/relationships/hyperlink" Target="http://amazon.in" TargetMode="External"/><Relationship Id="rId354" Type="http://schemas.openxmlformats.org/officeDocument/2006/relationships/hyperlink" Target="http://amazon.in" TargetMode="External"/><Relationship Id="rId2278" Type="http://schemas.openxmlformats.org/officeDocument/2006/relationships/hyperlink" Target="http://amazon.in" TargetMode="External"/><Relationship Id="rId5301" Type="http://schemas.openxmlformats.org/officeDocument/2006/relationships/hyperlink" Target="http://amazon.in" TargetMode="External"/><Relationship Id="rId353" Type="http://schemas.openxmlformats.org/officeDocument/2006/relationships/hyperlink" Target="http://amazon.in" TargetMode="External"/><Relationship Id="rId2279" Type="http://schemas.openxmlformats.org/officeDocument/2006/relationships/hyperlink" Target="http://amazon.in" TargetMode="External"/><Relationship Id="rId5302" Type="http://schemas.openxmlformats.org/officeDocument/2006/relationships/hyperlink" Target="http://amazon.in" TargetMode="External"/><Relationship Id="rId2225" Type="http://schemas.openxmlformats.org/officeDocument/2006/relationships/hyperlink" Target="http://amazon.in" TargetMode="External"/><Relationship Id="rId3557" Type="http://schemas.openxmlformats.org/officeDocument/2006/relationships/hyperlink" Target="http://amazon.in" TargetMode="External"/><Relationship Id="rId4888" Type="http://schemas.openxmlformats.org/officeDocument/2006/relationships/hyperlink" Target="http://amazon.in" TargetMode="External"/><Relationship Id="rId2226" Type="http://schemas.openxmlformats.org/officeDocument/2006/relationships/hyperlink" Target="http://amazon.in" TargetMode="External"/><Relationship Id="rId3556" Type="http://schemas.openxmlformats.org/officeDocument/2006/relationships/hyperlink" Target="http://amazon.in" TargetMode="External"/><Relationship Id="rId4887" Type="http://schemas.openxmlformats.org/officeDocument/2006/relationships/hyperlink" Target="http://amazon.in" TargetMode="External"/><Relationship Id="rId2227" Type="http://schemas.openxmlformats.org/officeDocument/2006/relationships/hyperlink" Target="http://amazon.in" TargetMode="External"/><Relationship Id="rId3559" Type="http://schemas.openxmlformats.org/officeDocument/2006/relationships/hyperlink" Target="http://amazon.in" TargetMode="External"/><Relationship Id="rId2228" Type="http://schemas.openxmlformats.org/officeDocument/2006/relationships/hyperlink" Target="http://amazon.in" TargetMode="External"/><Relationship Id="rId3558" Type="http://schemas.openxmlformats.org/officeDocument/2006/relationships/hyperlink" Target="http://amazon.in" TargetMode="External"/><Relationship Id="rId4889" Type="http://schemas.openxmlformats.org/officeDocument/2006/relationships/hyperlink" Target="http://amazon.in" TargetMode="External"/><Relationship Id="rId2229" Type="http://schemas.openxmlformats.org/officeDocument/2006/relationships/hyperlink" Target="http://amazon.in" TargetMode="External"/><Relationship Id="rId305" Type="http://schemas.openxmlformats.org/officeDocument/2006/relationships/hyperlink" Target="http://amazon.in" TargetMode="External"/><Relationship Id="rId304" Type="http://schemas.openxmlformats.org/officeDocument/2006/relationships/hyperlink" Target="http://amazon.in" TargetMode="External"/><Relationship Id="rId303" Type="http://schemas.openxmlformats.org/officeDocument/2006/relationships/hyperlink" Target="http://amazon.in" TargetMode="External"/><Relationship Id="rId302" Type="http://schemas.openxmlformats.org/officeDocument/2006/relationships/hyperlink" Target="http://amazon.in" TargetMode="External"/><Relationship Id="rId309" Type="http://schemas.openxmlformats.org/officeDocument/2006/relationships/hyperlink" Target="http://amazon.in" TargetMode="External"/><Relationship Id="rId308" Type="http://schemas.openxmlformats.org/officeDocument/2006/relationships/hyperlink" Target="http://amazon.in" TargetMode="External"/><Relationship Id="rId307" Type="http://schemas.openxmlformats.org/officeDocument/2006/relationships/hyperlink" Target="http://amazon.in" TargetMode="External"/><Relationship Id="rId306" Type="http://schemas.openxmlformats.org/officeDocument/2006/relationships/hyperlink" Target="http://amazon.in" TargetMode="External"/><Relationship Id="rId4880" Type="http://schemas.openxmlformats.org/officeDocument/2006/relationships/hyperlink" Target="http://amazon.in" TargetMode="External"/><Relationship Id="rId3551" Type="http://schemas.openxmlformats.org/officeDocument/2006/relationships/hyperlink" Target="http://amazon.in" TargetMode="External"/><Relationship Id="rId4882" Type="http://schemas.openxmlformats.org/officeDocument/2006/relationships/hyperlink" Target="http://amazon.in" TargetMode="External"/><Relationship Id="rId2220" Type="http://schemas.openxmlformats.org/officeDocument/2006/relationships/hyperlink" Target="http://amazon.in" TargetMode="External"/><Relationship Id="rId3550" Type="http://schemas.openxmlformats.org/officeDocument/2006/relationships/hyperlink" Target="http://amazon.in" TargetMode="External"/><Relationship Id="rId4881" Type="http://schemas.openxmlformats.org/officeDocument/2006/relationships/hyperlink" Target="http://amazon.in" TargetMode="External"/><Relationship Id="rId301" Type="http://schemas.openxmlformats.org/officeDocument/2006/relationships/hyperlink" Target="http://amazon.in" TargetMode="External"/><Relationship Id="rId2221" Type="http://schemas.openxmlformats.org/officeDocument/2006/relationships/hyperlink" Target="http://amazon.in" TargetMode="External"/><Relationship Id="rId3553" Type="http://schemas.openxmlformats.org/officeDocument/2006/relationships/hyperlink" Target="http://amazon.in" TargetMode="External"/><Relationship Id="rId4884" Type="http://schemas.openxmlformats.org/officeDocument/2006/relationships/hyperlink" Target="http://amazon.in" TargetMode="External"/><Relationship Id="rId300" Type="http://schemas.openxmlformats.org/officeDocument/2006/relationships/hyperlink" Target="http://amazon.in" TargetMode="External"/><Relationship Id="rId2222" Type="http://schemas.openxmlformats.org/officeDocument/2006/relationships/hyperlink" Target="http://amazon.in" TargetMode="External"/><Relationship Id="rId3552" Type="http://schemas.openxmlformats.org/officeDocument/2006/relationships/hyperlink" Target="http://amazon.in" TargetMode="External"/><Relationship Id="rId4883" Type="http://schemas.openxmlformats.org/officeDocument/2006/relationships/hyperlink" Target="http://amazon.in" TargetMode="External"/><Relationship Id="rId2223" Type="http://schemas.openxmlformats.org/officeDocument/2006/relationships/hyperlink" Target="http://amazon.in" TargetMode="External"/><Relationship Id="rId3555" Type="http://schemas.openxmlformats.org/officeDocument/2006/relationships/hyperlink" Target="http://amazon.in" TargetMode="External"/><Relationship Id="rId4886" Type="http://schemas.openxmlformats.org/officeDocument/2006/relationships/hyperlink" Target="http://amazon.in" TargetMode="External"/><Relationship Id="rId2224" Type="http://schemas.openxmlformats.org/officeDocument/2006/relationships/hyperlink" Target="http://amazon.in" TargetMode="External"/><Relationship Id="rId3554" Type="http://schemas.openxmlformats.org/officeDocument/2006/relationships/hyperlink" Target="http://amazon.in" TargetMode="External"/><Relationship Id="rId4885" Type="http://schemas.openxmlformats.org/officeDocument/2006/relationships/hyperlink" Target="http://amazon.in" TargetMode="External"/><Relationship Id="rId2214" Type="http://schemas.openxmlformats.org/officeDocument/2006/relationships/hyperlink" Target="http://amazon.in" TargetMode="External"/><Relationship Id="rId3546" Type="http://schemas.openxmlformats.org/officeDocument/2006/relationships/hyperlink" Target="http://amazon.in" TargetMode="External"/><Relationship Id="rId4877" Type="http://schemas.openxmlformats.org/officeDocument/2006/relationships/hyperlink" Target="http://amazon.in" TargetMode="External"/><Relationship Id="rId2215" Type="http://schemas.openxmlformats.org/officeDocument/2006/relationships/hyperlink" Target="http://amazon.in" TargetMode="External"/><Relationship Id="rId3545" Type="http://schemas.openxmlformats.org/officeDocument/2006/relationships/hyperlink" Target="http://amazon.in" TargetMode="External"/><Relationship Id="rId4876" Type="http://schemas.openxmlformats.org/officeDocument/2006/relationships/hyperlink" Target="http://amazon.in" TargetMode="External"/><Relationship Id="rId2216" Type="http://schemas.openxmlformats.org/officeDocument/2006/relationships/hyperlink" Target="http://amazon.in" TargetMode="External"/><Relationship Id="rId3548" Type="http://schemas.openxmlformats.org/officeDocument/2006/relationships/hyperlink" Target="http://amazon.in" TargetMode="External"/><Relationship Id="rId4879" Type="http://schemas.openxmlformats.org/officeDocument/2006/relationships/hyperlink" Target="http://amazon.in" TargetMode="External"/><Relationship Id="rId2217" Type="http://schemas.openxmlformats.org/officeDocument/2006/relationships/hyperlink" Target="http://amazon.in" TargetMode="External"/><Relationship Id="rId3547" Type="http://schemas.openxmlformats.org/officeDocument/2006/relationships/hyperlink" Target="http://amazon.in" TargetMode="External"/><Relationship Id="rId4878" Type="http://schemas.openxmlformats.org/officeDocument/2006/relationships/hyperlink" Target="http://amazon.in" TargetMode="External"/><Relationship Id="rId2218" Type="http://schemas.openxmlformats.org/officeDocument/2006/relationships/hyperlink" Target="http://amazon.in" TargetMode="External"/><Relationship Id="rId2219" Type="http://schemas.openxmlformats.org/officeDocument/2006/relationships/hyperlink" Target="http://amazon.in" TargetMode="External"/><Relationship Id="rId3549" Type="http://schemas.openxmlformats.org/officeDocument/2006/relationships/hyperlink" Target="http://amazon.in" TargetMode="External"/><Relationship Id="rId3540" Type="http://schemas.openxmlformats.org/officeDocument/2006/relationships/hyperlink" Target="http://amazon.in" TargetMode="External"/><Relationship Id="rId4871" Type="http://schemas.openxmlformats.org/officeDocument/2006/relationships/hyperlink" Target="http://amazon.in" TargetMode="External"/><Relationship Id="rId4870" Type="http://schemas.openxmlformats.org/officeDocument/2006/relationships/hyperlink" Target="http://amazon.in" TargetMode="External"/><Relationship Id="rId2210" Type="http://schemas.openxmlformats.org/officeDocument/2006/relationships/hyperlink" Target="http://amazon.in" TargetMode="External"/><Relationship Id="rId3542" Type="http://schemas.openxmlformats.org/officeDocument/2006/relationships/hyperlink" Target="http://amazon.in" TargetMode="External"/><Relationship Id="rId4873" Type="http://schemas.openxmlformats.org/officeDocument/2006/relationships/hyperlink" Target="http://amazon.in" TargetMode="External"/><Relationship Id="rId2211" Type="http://schemas.openxmlformats.org/officeDocument/2006/relationships/hyperlink" Target="http://amazon.in" TargetMode="External"/><Relationship Id="rId3541" Type="http://schemas.openxmlformats.org/officeDocument/2006/relationships/hyperlink" Target="http://amazon.in" TargetMode="External"/><Relationship Id="rId4872" Type="http://schemas.openxmlformats.org/officeDocument/2006/relationships/hyperlink" Target="http://amazon.in" TargetMode="External"/><Relationship Id="rId2212" Type="http://schemas.openxmlformats.org/officeDocument/2006/relationships/hyperlink" Target="http://amazon.in" TargetMode="External"/><Relationship Id="rId3544" Type="http://schemas.openxmlformats.org/officeDocument/2006/relationships/hyperlink" Target="http://amazon.in" TargetMode="External"/><Relationship Id="rId4875" Type="http://schemas.openxmlformats.org/officeDocument/2006/relationships/hyperlink" Target="http://amazon.in" TargetMode="External"/><Relationship Id="rId2213" Type="http://schemas.openxmlformats.org/officeDocument/2006/relationships/hyperlink" Target="http://amazon.in" TargetMode="External"/><Relationship Id="rId3543" Type="http://schemas.openxmlformats.org/officeDocument/2006/relationships/hyperlink" Target="http://amazon.in" TargetMode="External"/><Relationship Id="rId4874" Type="http://schemas.openxmlformats.org/officeDocument/2006/relationships/hyperlink" Target="http://amazon.in" TargetMode="External"/><Relationship Id="rId2247" Type="http://schemas.openxmlformats.org/officeDocument/2006/relationships/hyperlink" Target="http://amazon.in" TargetMode="External"/><Relationship Id="rId3579" Type="http://schemas.openxmlformats.org/officeDocument/2006/relationships/hyperlink" Target="http://amazon.in" TargetMode="External"/><Relationship Id="rId2248" Type="http://schemas.openxmlformats.org/officeDocument/2006/relationships/hyperlink" Target="http://amazon.in" TargetMode="External"/><Relationship Id="rId3578" Type="http://schemas.openxmlformats.org/officeDocument/2006/relationships/hyperlink" Target="http://amazon.in" TargetMode="External"/><Relationship Id="rId2249" Type="http://schemas.openxmlformats.org/officeDocument/2006/relationships/hyperlink" Target="http://amazon.in" TargetMode="External"/><Relationship Id="rId327" Type="http://schemas.openxmlformats.org/officeDocument/2006/relationships/hyperlink" Target="http://amazon.in" TargetMode="External"/><Relationship Id="rId326" Type="http://schemas.openxmlformats.org/officeDocument/2006/relationships/hyperlink" Target="http://amazon.in" TargetMode="External"/><Relationship Id="rId325" Type="http://schemas.openxmlformats.org/officeDocument/2006/relationships/hyperlink" Target="http://amazon.in" TargetMode="External"/><Relationship Id="rId324" Type="http://schemas.openxmlformats.org/officeDocument/2006/relationships/hyperlink" Target="http://amazon.in" TargetMode="External"/><Relationship Id="rId329" Type="http://schemas.openxmlformats.org/officeDocument/2006/relationships/hyperlink" Target="http://amazon.in" TargetMode="External"/><Relationship Id="rId328" Type="http://schemas.openxmlformats.org/officeDocument/2006/relationships/hyperlink" Target="http://amazon.in" TargetMode="External"/><Relationship Id="rId3571" Type="http://schemas.openxmlformats.org/officeDocument/2006/relationships/hyperlink" Target="http://amazon.in" TargetMode="External"/><Relationship Id="rId2240" Type="http://schemas.openxmlformats.org/officeDocument/2006/relationships/hyperlink" Target="http://amazon.in" TargetMode="External"/><Relationship Id="rId3570" Type="http://schemas.openxmlformats.org/officeDocument/2006/relationships/hyperlink" Target="http://amazon.in" TargetMode="External"/><Relationship Id="rId2241" Type="http://schemas.openxmlformats.org/officeDocument/2006/relationships/hyperlink" Target="http://amazon.in" TargetMode="External"/><Relationship Id="rId3573" Type="http://schemas.openxmlformats.org/officeDocument/2006/relationships/hyperlink" Target="http://amazon.in" TargetMode="External"/><Relationship Id="rId2242" Type="http://schemas.openxmlformats.org/officeDocument/2006/relationships/hyperlink" Target="http://amazon.in" TargetMode="External"/><Relationship Id="rId3572" Type="http://schemas.openxmlformats.org/officeDocument/2006/relationships/hyperlink" Target="http://amazon.in" TargetMode="External"/><Relationship Id="rId323" Type="http://schemas.openxmlformats.org/officeDocument/2006/relationships/hyperlink" Target="http://amazon.in" TargetMode="External"/><Relationship Id="rId2243" Type="http://schemas.openxmlformats.org/officeDocument/2006/relationships/hyperlink" Target="http://amazon.in" TargetMode="External"/><Relationship Id="rId3575" Type="http://schemas.openxmlformats.org/officeDocument/2006/relationships/hyperlink" Target="http://amazon.in" TargetMode="External"/><Relationship Id="rId322" Type="http://schemas.openxmlformats.org/officeDocument/2006/relationships/hyperlink" Target="http://amazon.in" TargetMode="External"/><Relationship Id="rId2244" Type="http://schemas.openxmlformats.org/officeDocument/2006/relationships/hyperlink" Target="http://amazon.in" TargetMode="External"/><Relationship Id="rId3574" Type="http://schemas.openxmlformats.org/officeDocument/2006/relationships/hyperlink" Target="http://amazon.in" TargetMode="External"/><Relationship Id="rId321" Type="http://schemas.openxmlformats.org/officeDocument/2006/relationships/hyperlink" Target="http://amazon.in" TargetMode="External"/><Relationship Id="rId2245" Type="http://schemas.openxmlformats.org/officeDocument/2006/relationships/hyperlink" Target="http://amazon.in" TargetMode="External"/><Relationship Id="rId3577" Type="http://schemas.openxmlformats.org/officeDocument/2006/relationships/hyperlink" Target="http://amazon.in" TargetMode="External"/><Relationship Id="rId320" Type="http://schemas.openxmlformats.org/officeDocument/2006/relationships/hyperlink" Target="http://amazon.in" TargetMode="External"/><Relationship Id="rId2246" Type="http://schemas.openxmlformats.org/officeDocument/2006/relationships/hyperlink" Target="http://amazon.in" TargetMode="External"/><Relationship Id="rId3576" Type="http://schemas.openxmlformats.org/officeDocument/2006/relationships/hyperlink" Target="http://amazon.in" TargetMode="External"/><Relationship Id="rId2236" Type="http://schemas.openxmlformats.org/officeDocument/2006/relationships/hyperlink" Target="http://amazon.in" TargetMode="External"/><Relationship Id="rId3568" Type="http://schemas.openxmlformats.org/officeDocument/2006/relationships/hyperlink" Target="http://amazon.in" TargetMode="External"/><Relationship Id="rId4899" Type="http://schemas.openxmlformats.org/officeDocument/2006/relationships/hyperlink" Target="http://amazon.in" TargetMode="External"/><Relationship Id="rId2237" Type="http://schemas.openxmlformats.org/officeDocument/2006/relationships/hyperlink" Target="http://amazon.in" TargetMode="External"/><Relationship Id="rId3567" Type="http://schemas.openxmlformats.org/officeDocument/2006/relationships/hyperlink" Target="http://amazon.in" TargetMode="External"/><Relationship Id="rId4898" Type="http://schemas.openxmlformats.org/officeDocument/2006/relationships/hyperlink" Target="http://amazon.in" TargetMode="External"/><Relationship Id="rId2238" Type="http://schemas.openxmlformats.org/officeDocument/2006/relationships/hyperlink" Target="http://amazon.in" TargetMode="External"/><Relationship Id="rId2239" Type="http://schemas.openxmlformats.org/officeDocument/2006/relationships/hyperlink" Target="http://amazon.in" TargetMode="External"/><Relationship Id="rId3569" Type="http://schemas.openxmlformats.org/officeDocument/2006/relationships/hyperlink" Target="http://amazon.in" TargetMode="External"/><Relationship Id="rId316" Type="http://schemas.openxmlformats.org/officeDocument/2006/relationships/hyperlink" Target="http://amazon.in" TargetMode="External"/><Relationship Id="rId315" Type="http://schemas.openxmlformats.org/officeDocument/2006/relationships/hyperlink" Target="http://amazon.in" TargetMode="External"/><Relationship Id="rId314" Type="http://schemas.openxmlformats.org/officeDocument/2006/relationships/hyperlink" Target="http://amazon.in" TargetMode="External"/><Relationship Id="rId313" Type="http://schemas.openxmlformats.org/officeDocument/2006/relationships/hyperlink" Target="http://amazon.in" TargetMode="External"/><Relationship Id="rId319" Type="http://schemas.openxmlformats.org/officeDocument/2006/relationships/hyperlink" Target="http://amazon.in" TargetMode="External"/><Relationship Id="rId318" Type="http://schemas.openxmlformats.org/officeDocument/2006/relationships/hyperlink" Target="http://amazon.in" TargetMode="External"/><Relationship Id="rId317" Type="http://schemas.openxmlformats.org/officeDocument/2006/relationships/hyperlink" Target="http://amazon.in" TargetMode="External"/><Relationship Id="rId3560" Type="http://schemas.openxmlformats.org/officeDocument/2006/relationships/hyperlink" Target="http://amazon.in" TargetMode="External"/><Relationship Id="rId4891" Type="http://schemas.openxmlformats.org/officeDocument/2006/relationships/hyperlink" Target="http://amazon.in" TargetMode="External"/><Relationship Id="rId4890" Type="http://schemas.openxmlformats.org/officeDocument/2006/relationships/hyperlink" Target="http://amazon.in" TargetMode="External"/><Relationship Id="rId2230" Type="http://schemas.openxmlformats.org/officeDocument/2006/relationships/hyperlink" Target="http://amazon.in" TargetMode="External"/><Relationship Id="rId3562" Type="http://schemas.openxmlformats.org/officeDocument/2006/relationships/hyperlink" Target="http://amazon.in" TargetMode="External"/><Relationship Id="rId4893" Type="http://schemas.openxmlformats.org/officeDocument/2006/relationships/hyperlink" Target="http://amazon.in" TargetMode="External"/><Relationship Id="rId2231" Type="http://schemas.openxmlformats.org/officeDocument/2006/relationships/hyperlink" Target="http://amazon.in" TargetMode="External"/><Relationship Id="rId3561" Type="http://schemas.openxmlformats.org/officeDocument/2006/relationships/hyperlink" Target="http://amazon.in" TargetMode="External"/><Relationship Id="rId4892" Type="http://schemas.openxmlformats.org/officeDocument/2006/relationships/hyperlink" Target="http://amazon.in" TargetMode="External"/><Relationship Id="rId312" Type="http://schemas.openxmlformats.org/officeDocument/2006/relationships/hyperlink" Target="http://amazon.in" TargetMode="External"/><Relationship Id="rId2232" Type="http://schemas.openxmlformats.org/officeDocument/2006/relationships/hyperlink" Target="http://amazon.in" TargetMode="External"/><Relationship Id="rId3564" Type="http://schemas.openxmlformats.org/officeDocument/2006/relationships/hyperlink" Target="http://amazon.in" TargetMode="External"/><Relationship Id="rId4895" Type="http://schemas.openxmlformats.org/officeDocument/2006/relationships/hyperlink" Target="http://amazon.in" TargetMode="External"/><Relationship Id="rId311" Type="http://schemas.openxmlformats.org/officeDocument/2006/relationships/hyperlink" Target="http://amazon.in" TargetMode="External"/><Relationship Id="rId2233" Type="http://schemas.openxmlformats.org/officeDocument/2006/relationships/hyperlink" Target="http://amazon.in" TargetMode="External"/><Relationship Id="rId3563" Type="http://schemas.openxmlformats.org/officeDocument/2006/relationships/hyperlink" Target="http://amazon.in" TargetMode="External"/><Relationship Id="rId4894" Type="http://schemas.openxmlformats.org/officeDocument/2006/relationships/hyperlink" Target="http://amazon.in" TargetMode="External"/><Relationship Id="rId310" Type="http://schemas.openxmlformats.org/officeDocument/2006/relationships/hyperlink" Target="http://amazon.in" TargetMode="External"/><Relationship Id="rId2234" Type="http://schemas.openxmlformats.org/officeDocument/2006/relationships/hyperlink" Target="http://amazon.in" TargetMode="External"/><Relationship Id="rId3566" Type="http://schemas.openxmlformats.org/officeDocument/2006/relationships/hyperlink" Target="http://amazon.in" TargetMode="External"/><Relationship Id="rId4897" Type="http://schemas.openxmlformats.org/officeDocument/2006/relationships/hyperlink" Target="http://amazon.in" TargetMode="External"/><Relationship Id="rId2235" Type="http://schemas.openxmlformats.org/officeDocument/2006/relationships/hyperlink" Target="http://amazon.in" TargetMode="External"/><Relationship Id="rId3565" Type="http://schemas.openxmlformats.org/officeDocument/2006/relationships/hyperlink" Target="http://amazon.in" TargetMode="External"/><Relationship Id="rId4896" Type="http://schemas.openxmlformats.org/officeDocument/2006/relationships/hyperlink" Target="http://amazon.in" TargetMode="External"/><Relationship Id="rId4040" Type="http://schemas.openxmlformats.org/officeDocument/2006/relationships/hyperlink" Target="http://amazon.in" TargetMode="External"/><Relationship Id="rId5372" Type="http://schemas.openxmlformats.org/officeDocument/2006/relationships/hyperlink" Target="http://amazon.in" TargetMode="External"/><Relationship Id="rId5373" Type="http://schemas.openxmlformats.org/officeDocument/2006/relationships/hyperlink" Target="http://amazon.in" TargetMode="External"/><Relationship Id="rId4042" Type="http://schemas.openxmlformats.org/officeDocument/2006/relationships/hyperlink" Target="http://amazon.in" TargetMode="External"/><Relationship Id="rId5370" Type="http://schemas.openxmlformats.org/officeDocument/2006/relationships/hyperlink" Target="http://amazon.in" TargetMode="External"/><Relationship Id="rId4041" Type="http://schemas.openxmlformats.org/officeDocument/2006/relationships/hyperlink" Target="http://amazon.in" TargetMode="External"/><Relationship Id="rId5371" Type="http://schemas.openxmlformats.org/officeDocument/2006/relationships/hyperlink" Target="http://amazon.in" TargetMode="External"/><Relationship Id="rId4044" Type="http://schemas.openxmlformats.org/officeDocument/2006/relationships/hyperlink" Target="http://amazon.in" TargetMode="External"/><Relationship Id="rId5376" Type="http://schemas.openxmlformats.org/officeDocument/2006/relationships/hyperlink" Target="http://amazon.in" TargetMode="External"/><Relationship Id="rId4043" Type="http://schemas.openxmlformats.org/officeDocument/2006/relationships/hyperlink" Target="http://amazon.in" TargetMode="External"/><Relationship Id="rId5377" Type="http://schemas.openxmlformats.org/officeDocument/2006/relationships/hyperlink" Target="http://amazon.in" TargetMode="External"/><Relationship Id="rId4046" Type="http://schemas.openxmlformats.org/officeDocument/2006/relationships/hyperlink" Target="http://amazon.in" TargetMode="External"/><Relationship Id="rId5374" Type="http://schemas.openxmlformats.org/officeDocument/2006/relationships/hyperlink" Target="http://amazon.in" TargetMode="External"/><Relationship Id="rId4045" Type="http://schemas.openxmlformats.org/officeDocument/2006/relationships/hyperlink" Target="http://amazon.in" TargetMode="External"/><Relationship Id="rId5375" Type="http://schemas.openxmlformats.org/officeDocument/2006/relationships/hyperlink" Target="http://amazon.in" TargetMode="External"/><Relationship Id="rId4048" Type="http://schemas.openxmlformats.org/officeDocument/2006/relationships/hyperlink" Target="http://amazon.in" TargetMode="External"/><Relationship Id="rId4047" Type="http://schemas.openxmlformats.org/officeDocument/2006/relationships/hyperlink" Target="http://amazon.in" TargetMode="External"/><Relationship Id="rId5378" Type="http://schemas.openxmlformats.org/officeDocument/2006/relationships/hyperlink" Target="http://amazon.in" TargetMode="External"/><Relationship Id="rId4049" Type="http://schemas.openxmlformats.org/officeDocument/2006/relationships/hyperlink" Target="http://amazon.in" TargetMode="External"/><Relationship Id="rId5379" Type="http://schemas.openxmlformats.org/officeDocument/2006/relationships/hyperlink" Target="http://amazon.in" TargetMode="External"/><Relationship Id="rId5361" Type="http://schemas.openxmlformats.org/officeDocument/2006/relationships/hyperlink" Target="http://amazon.in" TargetMode="External"/><Relationship Id="rId5362" Type="http://schemas.openxmlformats.org/officeDocument/2006/relationships/hyperlink" Target="http://amazon.in" TargetMode="External"/><Relationship Id="rId4031" Type="http://schemas.openxmlformats.org/officeDocument/2006/relationships/hyperlink" Target="http://amazon.in" TargetMode="External"/><Relationship Id="rId4030" Type="http://schemas.openxmlformats.org/officeDocument/2006/relationships/hyperlink" Target="http://amazon.in" TargetMode="External"/><Relationship Id="rId5360" Type="http://schemas.openxmlformats.org/officeDocument/2006/relationships/hyperlink" Target="http://amazon.in" TargetMode="External"/><Relationship Id="rId297" Type="http://schemas.openxmlformats.org/officeDocument/2006/relationships/hyperlink" Target="http://amazon.in" TargetMode="External"/><Relationship Id="rId4033" Type="http://schemas.openxmlformats.org/officeDocument/2006/relationships/hyperlink" Target="http://amazon.in" TargetMode="External"/><Relationship Id="rId5365" Type="http://schemas.openxmlformats.org/officeDocument/2006/relationships/hyperlink" Target="http://amazon.in" TargetMode="External"/><Relationship Id="rId296" Type="http://schemas.openxmlformats.org/officeDocument/2006/relationships/hyperlink" Target="http://amazon.in" TargetMode="External"/><Relationship Id="rId4032" Type="http://schemas.openxmlformats.org/officeDocument/2006/relationships/hyperlink" Target="http://amazon.in" TargetMode="External"/><Relationship Id="rId5366" Type="http://schemas.openxmlformats.org/officeDocument/2006/relationships/hyperlink" Target="http://amazon.in" TargetMode="External"/><Relationship Id="rId295" Type="http://schemas.openxmlformats.org/officeDocument/2006/relationships/hyperlink" Target="http://amazon.in" TargetMode="External"/><Relationship Id="rId4035" Type="http://schemas.openxmlformats.org/officeDocument/2006/relationships/hyperlink" Target="http://amazon.in" TargetMode="External"/><Relationship Id="rId5363" Type="http://schemas.openxmlformats.org/officeDocument/2006/relationships/hyperlink" Target="http://amazon.in" TargetMode="External"/><Relationship Id="rId294" Type="http://schemas.openxmlformats.org/officeDocument/2006/relationships/hyperlink" Target="http://amazon.in" TargetMode="External"/><Relationship Id="rId4034" Type="http://schemas.openxmlformats.org/officeDocument/2006/relationships/hyperlink" Target="http://amazon.in" TargetMode="External"/><Relationship Id="rId5364" Type="http://schemas.openxmlformats.org/officeDocument/2006/relationships/hyperlink" Target="http://amazon.in" TargetMode="External"/><Relationship Id="rId4037" Type="http://schemas.openxmlformats.org/officeDocument/2006/relationships/hyperlink" Target="http://amazon.in" TargetMode="External"/><Relationship Id="rId5369" Type="http://schemas.openxmlformats.org/officeDocument/2006/relationships/hyperlink" Target="http://amazon.in" TargetMode="External"/><Relationship Id="rId4036" Type="http://schemas.openxmlformats.org/officeDocument/2006/relationships/hyperlink" Target="http://amazon.in" TargetMode="External"/><Relationship Id="rId299" Type="http://schemas.openxmlformats.org/officeDocument/2006/relationships/hyperlink" Target="http://amazon.in" TargetMode="External"/><Relationship Id="rId4039" Type="http://schemas.openxmlformats.org/officeDocument/2006/relationships/hyperlink" Target="http://amazon.in" TargetMode="External"/><Relationship Id="rId5367" Type="http://schemas.openxmlformats.org/officeDocument/2006/relationships/hyperlink" Target="http://amazon.in" TargetMode="External"/><Relationship Id="rId298" Type="http://schemas.openxmlformats.org/officeDocument/2006/relationships/hyperlink" Target="http://amazon.in" TargetMode="External"/><Relationship Id="rId4038" Type="http://schemas.openxmlformats.org/officeDocument/2006/relationships/hyperlink" Target="http://amazon.in" TargetMode="External"/><Relationship Id="rId5368" Type="http://schemas.openxmlformats.org/officeDocument/2006/relationships/hyperlink" Target="http://amazon.in" TargetMode="External"/><Relationship Id="rId4060" Type="http://schemas.openxmlformats.org/officeDocument/2006/relationships/hyperlink" Target="http://amazon.in" TargetMode="External"/><Relationship Id="rId4062" Type="http://schemas.openxmlformats.org/officeDocument/2006/relationships/hyperlink" Target="http://amazon.in" TargetMode="External"/><Relationship Id="rId4061" Type="http://schemas.openxmlformats.org/officeDocument/2006/relationships/hyperlink" Target="http://amazon.in" TargetMode="External"/><Relationship Id="rId4064" Type="http://schemas.openxmlformats.org/officeDocument/2006/relationships/hyperlink" Target="http://amazon.in" TargetMode="External"/><Relationship Id="rId4063" Type="http://schemas.openxmlformats.org/officeDocument/2006/relationships/hyperlink" Target="http://amazon.in" TargetMode="External"/><Relationship Id="rId4066" Type="http://schemas.openxmlformats.org/officeDocument/2006/relationships/hyperlink" Target="http://amazon.in" TargetMode="External"/><Relationship Id="rId4065" Type="http://schemas.openxmlformats.org/officeDocument/2006/relationships/hyperlink" Target="http://amazon.in" TargetMode="External"/><Relationship Id="rId4068" Type="http://schemas.openxmlformats.org/officeDocument/2006/relationships/hyperlink" Target="http://amazon.in" TargetMode="External"/><Relationship Id="rId4067" Type="http://schemas.openxmlformats.org/officeDocument/2006/relationships/hyperlink" Target="http://amazon.in" TargetMode="External"/><Relationship Id="rId4069" Type="http://schemas.openxmlformats.org/officeDocument/2006/relationships/hyperlink" Target="http://amazon.in" TargetMode="External"/><Relationship Id="rId5380" Type="http://schemas.openxmlformats.org/officeDocument/2006/relationships/hyperlink" Target="http://amazon.in" TargetMode="External"/><Relationship Id="rId4051" Type="http://schemas.openxmlformats.org/officeDocument/2006/relationships/hyperlink" Target="http://amazon.in" TargetMode="External"/><Relationship Id="rId5383" Type="http://schemas.openxmlformats.org/officeDocument/2006/relationships/hyperlink" Target="http://amazon.in" TargetMode="External"/><Relationship Id="rId4050" Type="http://schemas.openxmlformats.org/officeDocument/2006/relationships/hyperlink" Target="http://amazon.in" TargetMode="External"/><Relationship Id="rId5384" Type="http://schemas.openxmlformats.org/officeDocument/2006/relationships/hyperlink" Target="http://amazon.in" TargetMode="External"/><Relationship Id="rId4053" Type="http://schemas.openxmlformats.org/officeDocument/2006/relationships/hyperlink" Target="http://amazon.in" TargetMode="External"/><Relationship Id="rId5381" Type="http://schemas.openxmlformats.org/officeDocument/2006/relationships/hyperlink" Target="http://amazon.in" TargetMode="External"/><Relationship Id="rId4052" Type="http://schemas.openxmlformats.org/officeDocument/2006/relationships/hyperlink" Target="http://amazon.in" TargetMode="External"/><Relationship Id="rId5382" Type="http://schemas.openxmlformats.org/officeDocument/2006/relationships/hyperlink" Target="http://amazon.in" TargetMode="External"/><Relationship Id="rId4055" Type="http://schemas.openxmlformats.org/officeDocument/2006/relationships/hyperlink" Target="http://amazon.in" TargetMode="External"/><Relationship Id="rId4054" Type="http://schemas.openxmlformats.org/officeDocument/2006/relationships/hyperlink" Target="http://amazon.in" TargetMode="External"/><Relationship Id="rId4057" Type="http://schemas.openxmlformats.org/officeDocument/2006/relationships/hyperlink" Target="http://amazon.in" TargetMode="External"/><Relationship Id="rId5385" Type="http://schemas.openxmlformats.org/officeDocument/2006/relationships/hyperlink" Target="http://amazon.in" TargetMode="External"/><Relationship Id="rId4056" Type="http://schemas.openxmlformats.org/officeDocument/2006/relationships/hyperlink" Target="http://amazon.in" TargetMode="External"/><Relationship Id="rId5386" Type="http://schemas.openxmlformats.org/officeDocument/2006/relationships/drawing" Target="../drawings/drawing6.xml"/><Relationship Id="rId4059" Type="http://schemas.openxmlformats.org/officeDocument/2006/relationships/hyperlink" Target="http://amazon.in" TargetMode="External"/><Relationship Id="rId4058" Type="http://schemas.openxmlformats.org/officeDocument/2006/relationships/hyperlink" Target="http://amazon.in" TargetMode="External"/><Relationship Id="rId4008" Type="http://schemas.openxmlformats.org/officeDocument/2006/relationships/hyperlink" Target="http://amazon.in" TargetMode="External"/><Relationship Id="rId4007" Type="http://schemas.openxmlformats.org/officeDocument/2006/relationships/hyperlink" Target="http://amazon.in" TargetMode="External"/><Relationship Id="rId5338" Type="http://schemas.openxmlformats.org/officeDocument/2006/relationships/hyperlink" Target="http://amazon.in" TargetMode="External"/><Relationship Id="rId4009" Type="http://schemas.openxmlformats.org/officeDocument/2006/relationships/hyperlink" Target="http://amazon.in" TargetMode="External"/><Relationship Id="rId5339" Type="http://schemas.openxmlformats.org/officeDocument/2006/relationships/hyperlink" Target="http://amazon.in" TargetMode="External"/><Relationship Id="rId271" Type="http://schemas.openxmlformats.org/officeDocument/2006/relationships/hyperlink" Target="http://amazon.in" TargetMode="External"/><Relationship Id="rId270" Type="http://schemas.openxmlformats.org/officeDocument/2006/relationships/hyperlink" Target="http://amazon.in" TargetMode="External"/><Relationship Id="rId269" Type="http://schemas.openxmlformats.org/officeDocument/2006/relationships/hyperlink" Target="http://amazon.in" TargetMode="External"/><Relationship Id="rId264" Type="http://schemas.openxmlformats.org/officeDocument/2006/relationships/hyperlink" Target="http://amazon.in" TargetMode="External"/><Relationship Id="rId4000" Type="http://schemas.openxmlformats.org/officeDocument/2006/relationships/hyperlink" Target="http://amazon.in" TargetMode="External"/><Relationship Id="rId5332" Type="http://schemas.openxmlformats.org/officeDocument/2006/relationships/hyperlink" Target="http://amazon.in" TargetMode="External"/><Relationship Id="rId263" Type="http://schemas.openxmlformats.org/officeDocument/2006/relationships/hyperlink" Target="http://amazon.in" TargetMode="External"/><Relationship Id="rId5333" Type="http://schemas.openxmlformats.org/officeDocument/2006/relationships/hyperlink" Target="http://amazon.in" TargetMode="External"/><Relationship Id="rId262" Type="http://schemas.openxmlformats.org/officeDocument/2006/relationships/hyperlink" Target="http://amazon.in" TargetMode="External"/><Relationship Id="rId4002" Type="http://schemas.openxmlformats.org/officeDocument/2006/relationships/hyperlink" Target="http://amazon.in" TargetMode="External"/><Relationship Id="rId5330" Type="http://schemas.openxmlformats.org/officeDocument/2006/relationships/hyperlink" Target="http://amazon.in" TargetMode="External"/><Relationship Id="rId261" Type="http://schemas.openxmlformats.org/officeDocument/2006/relationships/hyperlink" Target="http://amazon.in" TargetMode="External"/><Relationship Id="rId4001" Type="http://schemas.openxmlformats.org/officeDocument/2006/relationships/hyperlink" Target="http://amazon.in" TargetMode="External"/><Relationship Id="rId5331" Type="http://schemas.openxmlformats.org/officeDocument/2006/relationships/hyperlink" Target="http://amazon.in" TargetMode="External"/><Relationship Id="rId268" Type="http://schemas.openxmlformats.org/officeDocument/2006/relationships/hyperlink" Target="http://amazon.in" TargetMode="External"/><Relationship Id="rId4004" Type="http://schemas.openxmlformats.org/officeDocument/2006/relationships/hyperlink" Target="http://amazon.in" TargetMode="External"/><Relationship Id="rId5336" Type="http://schemas.openxmlformats.org/officeDocument/2006/relationships/hyperlink" Target="http://amazon.in" TargetMode="External"/><Relationship Id="rId267" Type="http://schemas.openxmlformats.org/officeDocument/2006/relationships/hyperlink" Target="http://amazon.in" TargetMode="External"/><Relationship Id="rId4003" Type="http://schemas.openxmlformats.org/officeDocument/2006/relationships/hyperlink" Target="http://amazon.in" TargetMode="External"/><Relationship Id="rId5337" Type="http://schemas.openxmlformats.org/officeDocument/2006/relationships/hyperlink" Target="http://amazon.in" TargetMode="External"/><Relationship Id="rId266" Type="http://schemas.openxmlformats.org/officeDocument/2006/relationships/hyperlink" Target="http://amazon.in" TargetMode="External"/><Relationship Id="rId4006" Type="http://schemas.openxmlformats.org/officeDocument/2006/relationships/hyperlink" Target="http://amazon.in" TargetMode="External"/><Relationship Id="rId5334" Type="http://schemas.openxmlformats.org/officeDocument/2006/relationships/hyperlink" Target="http://amazon.in" TargetMode="External"/><Relationship Id="rId265" Type="http://schemas.openxmlformats.org/officeDocument/2006/relationships/hyperlink" Target="http://amazon.in" TargetMode="External"/><Relationship Id="rId4005" Type="http://schemas.openxmlformats.org/officeDocument/2006/relationships/hyperlink" Target="http://amazon.in" TargetMode="External"/><Relationship Id="rId5335" Type="http://schemas.openxmlformats.org/officeDocument/2006/relationships/hyperlink" Target="http://amazon.in" TargetMode="External"/><Relationship Id="rId5329" Type="http://schemas.openxmlformats.org/officeDocument/2006/relationships/hyperlink" Target="http://amazon.in" TargetMode="External"/><Relationship Id="rId5327" Type="http://schemas.openxmlformats.org/officeDocument/2006/relationships/hyperlink" Target="http://amazon.in" TargetMode="External"/><Relationship Id="rId5328" Type="http://schemas.openxmlformats.org/officeDocument/2006/relationships/hyperlink" Target="http://amazon.in" TargetMode="External"/><Relationship Id="rId260" Type="http://schemas.openxmlformats.org/officeDocument/2006/relationships/hyperlink" Target="http://amazon.in" TargetMode="External"/><Relationship Id="rId259" Type="http://schemas.openxmlformats.org/officeDocument/2006/relationships/hyperlink" Target="http://amazon.in" TargetMode="External"/><Relationship Id="rId258" Type="http://schemas.openxmlformats.org/officeDocument/2006/relationships/hyperlink" Target="http://amazon.in" TargetMode="External"/><Relationship Id="rId2290" Type="http://schemas.openxmlformats.org/officeDocument/2006/relationships/hyperlink" Target="http://amazon.in" TargetMode="External"/><Relationship Id="rId2291" Type="http://schemas.openxmlformats.org/officeDocument/2006/relationships/hyperlink" Target="http://amazon.in" TargetMode="External"/><Relationship Id="rId2292" Type="http://schemas.openxmlformats.org/officeDocument/2006/relationships/hyperlink" Target="http://amazon.in" TargetMode="External"/><Relationship Id="rId2293" Type="http://schemas.openxmlformats.org/officeDocument/2006/relationships/hyperlink" Target="http://amazon.in" TargetMode="External"/><Relationship Id="rId253" Type="http://schemas.openxmlformats.org/officeDocument/2006/relationships/hyperlink" Target="http://amazon.in" TargetMode="External"/><Relationship Id="rId2294" Type="http://schemas.openxmlformats.org/officeDocument/2006/relationships/hyperlink" Target="http://amazon.in" TargetMode="External"/><Relationship Id="rId5321" Type="http://schemas.openxmlformats.org/officeDocument/2006/relationships/hyperlink" Target="http://amazon.in" TargetMode="External"/><Relationship Id="rId252" Type="http://schemas.openxmlformats.org/officeDocument/2006/relationships/hyperlink" Target="http://amazon.in" TargetMode="External"/><Relationship Id="rId2295" Type="http://schemas.openxmlformats.org/officeDocument/2006/relationships/hyperlink" Target="http://amazon.in" TargetMode="External"/><Relationship Id="rId5322" Type="http://schemas.openxmlformats.org/officeDocument/2006/relationships/hyperlink" Target="http://amazon.in" TargetMode="External"/><Relationship Id="rId251" Type="http://schemas.openxmlformats.org/officeDocument/2006/relationships/hyperlink" Target="http://amazon.in" TargetMode="External"/><Relationship Id="rId2296" Type="http://schemas.openxmlformats.org/officeDocument/2006/relationships/hyperlink" Target="http://amazon.in" TargetMode="External"/><Relationship Id="rId250" Type="http://schemas.openxmlformats.org/officeDocument/2006/relationships/hyperlink" Target="http://amazon.in" TargetMode="External"/><Relationship Id="rId2297" Type="http://schemas.openxmlformats.org/officeDocument/2006/relationships/hyperlink" Target="http://amazon.in" TargetMode="External"/><Relationship Id="rId5320" Type="http://schemas.openxmlformats.org/officeDocument/2006/relationships/hyperlink" Target="http://amazon.in" TargetMode="External"/><Relationship Id="rId257" Type="http://schemas.openxmlformats.org/officeDocument/2006/relationships/hyperlink" Target="http://amazon.in" TargetMode="External"/><Relationship Id="rId2298" Type="http://schemas.openxmlformats.org/officeDocument/2006/relationships/hyperlink" Target="http://amazon.in" TargetMode="External"/><Relationship Id="rId5325" Type="http://schemas.openxmlformats.org/officeDocument/2006/relationships/hyperlink" Target="http://amazon.in" TargetMode="External"/><Relationship Id="rId256" Type="http://schemas.openxmlformats.org/officeDocument/2006/relationships/hyperlink" Target="http://amazon.in" TargetMode="External"/><Relationship Id="rId2299" Type="http://schemas.openxmlformats.org/officeDocument/2006/relationships/hyperlink" Target="http://amazon.in" TargetMode="External"/><Relationship Id="rId5326" Type="http://schemas.openxmlformats.org/officeDocument/2006/relationships/hyperlink" Target="http://amazon.in" TargetMode="External"/><Relationship Id="rId255" Type="http://schemas.openxmlformats.org/officeDocument/2006/relationships/hyperlink" Target="http://amazon.in" TargetMode="External"/><Relationship Id="rId5323" Type="http://schemas.openxmlformats.org/officeDocument/2006/relationships/hyperlink" Target="http://amazon.in" TargetMode="External"/><Relationship Id="rId254" Type="http://schemas.openxmlformats.org/officeDocument/2006/relationships/hyperlink" Target="http://amazon.in" TargetMode="External"/><Relationship Id="rId5324" Type="http://schemas.openxmlformats.org/officeDocument/2006/relationships/hyperlink" Target="http://amazon.in" TargetMode="External"/><Relationship Id="rId4029" Type="http://schemas.openxmlformats.org/officeDocument/2006/relationships/hyperlink" Target="http://amazon.in" TargetMode="External"/><Relationship Id="rId293" Type="http://schemas.openxmlformats.org/officeDocument/2006/relationships/hyperlink" Target="http://amazon.in" TargetMode="External"/><Relationship Id="rId292" Type="http://schemas.openxmlformats.org/officeDocument/2006/relationships/hyperlink" Target="http://amazon.in" TargetMode="External"/><Relationship Id="rId291" Type="http://schemas.openxmlformats.org/officeDocument/2006/relationships/hyperlink" Target="http://amazon.in" TargetMode="External"/><Relationship Id="rId290" Type="http://schemas.openxmlformats.org/officeDocument/2006/relationships/hyperlink" Target="http://amazon.in" TargetMode="External"/><Relationship Id="rId5350" Type="http://schemas.openxmlformats.org/officeDocument/2006/relationships/hyperlink" Target="http://amazon.in" TargetMode="External"/><Relationship Id="rId5351" Type="http://schemas.openxmlformats.org/officeDocument/2006/relationships/hyperlink" Target="http://amazon.in" TargetMode="External"/><Relationship Id="rId4020" Type="http://schemas.openxmlformats.org/officeDocument/2006/relationships/hyperlink" Target="http://amazon.in" TargetMode="External"/><Relationship Id="rId286" Type="http://schemas.openxmlformats.org/officeDocument/2006/relationships/hyperlink" Target="http://amazon.in" TargetMode="External"/><Relationship Id="rId4022" Type="http://schemas.openxmlformats.org/officeDocument/2006/relationships/hyperlink" Target="http://amazon.in" TargetMode="External"/><Relationship Id="rId5354" Type="http://schemas.openxmlformats.org/officeDocument/2006/relationships/hyperlink" Target="http://amazon.in" TargetMode="External"/><Relationship Id="rId285" Type="http://schemas.openxmlformats.org/officeDocument/2006/relationships/hyperlink" Target="http://amazon.in" TargetMode="External"/><Relationship Id="rId4021" Type="http://schemas.openxmlformats.org/officeDocument/2006/relationships/hyperlink" Target="http://amazon.in" TargetMode="External"/><Relationship Id="rId5355" Type="http://schemas.openxmlformats.org/officeDocument/2006/relationships/hyperlink" Target="http://amazon.in" TargetMode="External"/><Relationship Id="rId284" Type="http://schemas.openxmlformats.org/officeDocument/2006/relationships/hyperlink" Target="http://amazon.in" TargetMode="External"/><Relationship Id="rId4024" Type="http://schemas.openxmlformats.org/officeDocument/2006/relationships/hyperlink" Target="http://amazon.in" TargetMode="External"/><Relationship Id="rId5352" Type="http://schemas.openxmlformats.org/officeDocument/2006/relationships/hyperlink" Target="http://amazon.in" TargetMode="External"/><Relationship Id="rId283" Type="http://schemas.openxmlformats.org/officeDocument/2006/relationships/hyperlink" Target="http://amazon.in" TargetMode="External"/><Relationship Id="rId4023" Type="http://schemas.openxmlformats.org/officeDocument/2006/relationships/hyperlink" Target="http://amazon.in" TargetMode="External"/><Relationship Id="rId5353" Type="http://schemas.openxmlformats.org/officeDocument/2006/relationships/hyperlink" Target="http://amazon.in" TargetMode="External"/><Relationship Id="rId4026" Type="http://schemas.openxmlformats.org/officeDocument/2006/relationships/hyperlink" Target="http://amazon.in" TargetMode="External"/><Relationship Id="rId5358" Type="http://schemas.openxmlformats.org/officeDocument/2006/relationships/hyperlink" Target="http://amazon.in" TargetMode="External"/><Relationship Id="rId289" Type="http://schemas.openxmlformats.org/officeDocument/2006/relationships/hyperlink" Target="http://amazon.in" TargetMode="External"/><Relationship Id="rId4025" Type="http://schemas.openxmlformats.org/officeDocument/2006/relationships/hyperlink" Target="http://amazon.in" TargetMode="External"/><Relationship Id="rId5359" Type="http://schemas.openxmlformats.org/officeDocument/2006/relationships/hyperlink" Target="http://amazon.in" TargetMode="External"/><Relationship Id="rId288" Type="http://schemas.openxmlformats.org/officeDocument/2006/relationships/hyperlink" Target="http://amazon.in" TargetMode="External"/><Relationship Id="rId4028" Type="http://schemas.openxmlformats.org/officeDocument/2006/relationships/hyperlink" Target="http://amazon.in" TargetMode="External"/><Relationship Id="rId5356" Type="http://schemas.openxmlformats.org/officeDocument/2006/relationships/hyperlink" Target="http://amazon.in" TargetMode="External"/><Relationship Id="rId287" Type="http://schemas.openxmlformats.org/officeDocument/2006/relationships/hyperlink" Target="http://amazon.in" TargetMode="External"/><Relationship Id="rId4027" Type="http://schemas.openxmlformats.org/officeDocument/2006/relationships/hyperlink" Target="http://amazon.in" TargetMode="External"/><Relationship Id="rId5357" Type="http://schemas.openxmlformats.org/officeDocument/2006/relationships/hyperlink" Target="http://amazon.in" TargetMode="External"/><Relationship Id="rId4019" Type="http://schemas.openxmlformats.org/officeDocument/2006/relationships/hyperlink" Target="http://amazon.in" TargetMode="External"/><Relationship Id="rId4018" Type="http://schemas.openxmlformats.org/officeDocument/2006/relationships/hyperlink" Target="http://amazon.in" TargetMode="External"/><Relationship Id="rId5349" Type="http://schemas.openxmlformats.org/officeDocument/2006/relationships/hyperlink" Target="http://amazon.in" TargetMode="External"/><Relationship Id="rId282" Type="http://schemas.openxmlformats.org/officeDocument/2006/relationships/hyperlink" Target="http://amazon.in" TargetMode="External"/><Relationship Id="rId281" Type="http://schemas.openxmlformats.org/officeDocument/2006/relationships/hyperlink" Target="http://amazon.in" TargetMode="External"/><Relationship Id="rId280" Type="http://schemas.openxmlformats.org/officeDocument/2006/relationships/hyperlink" Target="http://amazon.in" TargetMode="External"/><Relationship Id="rId5340" Type="http://schemas.openxmlformats.org/officeDocument/2006/relationships/hyperlink" Target="http://amazon.in" TargetMode="External"/><Relationship Id="rId275" Type="http://schemas.openxmlformats.org/officeDocument/2006/relationships/hyperlink" Target="http://amazon.in" TargetMode="External"/><Relationship Id="rId4011" Type="http://schemas.openxmlformats.org/officeDocument/2006/relationships/hyperlink" Target="http://amazon.in" TargetMode="External"/><Relationship Id="rId5343" Type="http://schemas.openxmlformats.org/officeDocument/2006/relationships/hyperlink" Target="http://amazon.in" TargetMode="External"/><Relationship Id="rId274" Type="http://schemas.openxmlformats.org/officeDocument/2006/relationships/hyperlink" Target="http://amazon.in" TargetMode="External"/><Relationship Id="rId4010" Type="http://schemas.openxmlformats.org/officeDocument/2006/relationships/hyperlink" Target="http://amazon.in" TargetMode="External"/><Relationship Id="rId5344" Type="http://schemas.openxmlformats.org/officeDocument/2006/relationships/hyperlink" Target="http://amazon.in" TargetMode="External"/><Relationship Id="rId273" Type="http://schemas.openxmlformats.org/officeDocument/2006/relationships/hyperlink" Target="http://amazon.in" TargetMode="External"/><Relationship Id="rId4013" Type="http://schemas.openxmlformats.org/officeDocument/2006/relationships/hyperlink" Target="http://amazon.in" TargetMode="External"/><Relationship Id="rId5341" Type="http://schemas.openxmlformats.org/officeDocument/2006/relationships/hyperlink" Target="http://amazon.in" TargetMode="External"/><Relationship Id="rId272" Type="http://schemas.openxmlformats.org/officeDocument/2006/relationships/hyperlink" Target="http://amazon.in" TargetMode="External"/><Relationship Id="rId4012" Type="http://schemas.openxmlformats.org/officeDocument/2006/relationships/hyperlink" Target="http://amazon.in" TargetMode="External"/><Relationship Id="rId5342" Type="http://schemas.openxmlformats.org/officeDocument/2006/relationships/hyperlink" Target="http://amazon.in" TargetMode="External"/><Relationship Id="rId279" Type="http://schemas.openxmlformats.org/officeDocument/2006/relationships/hyperlink" Target="http://amazon.in" TargetMode="External"/><Relationship Id="rId4015" Type="http://schemas.openxmlformats.org/officeDocument/2006/relationships/hyperlink" Target="http://amazon.in" TargetMode="External"/><Relationship Id="rId5347" Type="http://schemas.openxmlformats.org/officeDocument/2006/relationships/hyperlink" Target="http://amazon.in" TargetMode="External"/><Relationship Id="rId278" Type="http://schemas.openxmlformats.org/officeDocument/2006/relationships/hyperlink" Target="http://amazon.in" TargetMode="External"/><Relationship Id="rId4014" Type="http://schemas.openxmlformats.org/officeDocument/2006/relationships/hyperlink" Target="http://amazon.in" TargetMode="External"/><Relationship Id="rId5348" Type="http://schemas.openxmlformats.org/officeDocument/2006/relationships/hyperlink" Target="http://amazon.in" TargetMode="External"/><Relationship Id="rId277" Type="http://schemas.openxmlformats.org/officeDocument/2006/relationships/hyperlink" Target="http://amazon.in" TargetMode="External"/><Relationship Id="rId4017" Type="http://schemas.openxmlformats.org/officeDocument/2006/relationships/hyperlink" Target="http://amazon.in" TargetMode="External"/><Relationship Id="rId5345" Type="http://schemas.openxmlformats.org/officeDocument/2006/relationships/hyperlink" Target="http://amazon.in" TargetMode="External"/><Relationship Id="rId276" Type="http://schemas.openxmlformats.org/officeDocument/2006/relationships/hyperlink" Target="http://amazon.in" TargetMode="External"/><Relationship Id="rId4016" Type="http://schemas.openxmlformats.org/officeDocument/2006/relationships/hyperlink" Target="http://amazon.in" TargetMode="External"/><Relationship Id="rId5346" Type="http://schemas.openxmlformats.org/officeDocument/2006/relationships/hyperlink" Target="http://amazon.in" TargetMode="External"/><Relationship Id="rId1851" Type="http://schemas.openxmlformats.org/officeDocument/2006/relationships/hyperlink" Target="http://amazon.in" TargetMode="External"/><Relationship Id="rId1852" Type="http://schemas.openxmlformats.org/officeDocument/2006/relationships/hyperlink" Target="http://amazon.in" TargetMode="External"/><Relationship Id="rId1853" Type="http://schemas.openxmlformats.org/officeDocument/2006/relationships/hyperlink" Target="http://amazon.in" TargetMode="External"/><Relationship Id="rId1854" Type="http://schemas.openxmlformats.org/officeDocument/2006/relationships/hyperlink" Target="http://amazon.in" TargetMode="External"/><Relationship Id="rId1855" Type="http://schemas.openxmlformats.org/officeDocument/2006/relationships/hyperlink" Target="http://amazon.in" TargetMode="External"/><Relationship Id="rId1856" Type="http://schemas.openxmlformats.org/officeDocument/2006/relationships/hyperlink" Target="http://amazon.in" TargetMode="External"/><Relationship Id="rId1857" Type="http://schemas.openxmlformats.org/officeDocument/2006/relationships/hyperlink" Target="http://amazon.in" TargetMode="External"/><Relationship Id="rId1858" Type="http://schemas.openxmlformats.org/officeDocument/2006/relationships/hyperlink" Target="http://amazon.in" TargetMode="External"/><Relationship Id="rId1859" Type="http://schemas.openxmlformats.org/officeDocument/2006/relationships/hyperlink" Target="http://amazon.in" TargetMode="External"/><Relationship Id="rId1850" Type="http://schemas.openxmlformats.org/officeDocument/2006/relationships/hyperlink" Target="http://amazon.in" TargetMode="External"/><Relationship Id="rId1840" Type="http://schemas.openxmlformats.org/officeDocument/2006/relationships/hyperlink" Target="http://amazon.in" TargetMode="External"/><Relationship Id="rId1841" Type="http://schemas.openxmlformats.org/officeDocument/2006/relationships/hyperlink" Target="http://amazon.in" TargetMode="External"/><Relationship Id="rId1842" Type="http://schemas.openxmlformats.org/officeDocument/2006/relationships/hyperlink" Target="http://amazon.in" TargetMode="External"/><Relationship Id="rId1843" Type="http://schemas.openxmlformats.org/officeDocument/2006/relationships/hyperlink" Target="http://amazon.in" TargetMode="External"/><Relationship Id="rId1844" Type="http://schemas.openxmlformats.org/officeDocument/2006/relationships/hyperlink" Target="http://amazon.in" TargetMode="External"/><Relationship Id="rId1845" Type="http://schemas.openxmlformats.org/officeDocument/2006/relationships/hyperlink" Target="http://amazon.in" TargetMode="External"/><Relationship Id="rId1846" Type="http://schemas.openxmlformats.org/officeDocument/2006/relationships/hyperlink" Target="http://amazon.in" TargetMode="External"/><Relationship Id="rId1847" Type="http://schemas.openxmlformats.org/officeDocument/2006/relationships/hyperlink" Target="http://amazon.in" TargetMode="External"/><Relationship Id="rId1848" Type="http://schemas.openxmlformats.org/officeDocument/2006/relationships/hyperlink" Target="http://amazon.in" TargetMode="External"/><Relationship Id="rId1849" Type="http://schemas.openxmlformats.org/officeDocument/2006/relationships/hyperlink" Target="http://amazon.in" TargetMode="External"/><Relationship Id="rId1873" Type="http://schemas.openxmlformats.org/officeDocument/2006/relationships/hyperlink" Target="http://amazon.in" TargetMode="External"/><Relationship Id="rId1874" Type="http://schemas.openxmlformats.org/officeDocument/2006/relationships/hyperlink" Target="http://amazon.in" TargetMode="External"/><Relationship Id="rId1875" Type="http://schemas.openxmlformats.org/officeDocument/2006/relationships/hyperlink" Target="http://amazon.in" TargetMode="External"/><Relationship Id="rId4901" Type="http://schemas.openxmlformats.org/officeDocument/2006/relationships/hyperlink" Target="http://amazon.in" TargetMode="External"/><Relationship Id="rId1876" Type="http://schemas.openxmlformats.org/officeDocument/2006/relationships/hyperlink" Target="http://amazon.in" TargetMode="External"/><Relationship Id="rId4900" Type="http://schemas.openxmlformats.org/officeDocument/2006/relationships/hyperlink" Target="http://amazon.in" TargetMode="External"/><Relationship Id="rId1877" Type="http://schemas.openxmlformats.org/officeDocument/2006/relationships/hyperlink" Target="http://amazon.in" TargetMode="External"/><Relationship Id="rId4903" Type="http://schemas.openxmlformats.org/officeDocument/2006/relationships/hyperlink" Target="http://amazon.in" TargetMode="External"/><Relationship Id="rId1878" Type="http://schemas.openxmlformats.org/officeDocument/2006/relationships/hyperlink" Target="http://amazon.in" TargetMode="External"/><Relationship Id="rId4902" Type="http://schemas.openxmlformats.org/officeDocument/2006/relationships/hyperlink" Target="http://amazon.in" TargetMode="External"/><Relationship Id="rId1879" Type="http://schemas.openxmlformats.org/officeDocument/2006/relationships/hyperlink" Target="http://amazon.in" TargetMode="External"/><Relationship Id="rId4905" Type="http://schemas.openxmlformats.org/officeDocument/2006/relationships/hyperlink" Target="http://amazon.in" TargetMode="External"/><Relationship Id="rId4904" Type="http://schemas.openxmlformats.org/officeDocument/2006/relationships/hyperlink" Target="http://amazon.in" TargetMode="External"/><Relationship Id="rId4907" Type="http://schemas.openxmlformats.org/officeDocument/2006/relationships/hyperlink" Target="http://amazon.in" TargetMode="External"/><Relationship Id="rId4906" Type="http://schemas.openxmlformats.org/officeDocument/2006/relationships/hyperlink" Target="http://amazon.in" TargetMode="External"/><Relationship Id="rId4909" Type="http://schemas.openxmlformats.org/officeDocument/2006/relationships/hyperlink" Target="http://amazon.in" TargetMode="External"/><Relationship Id="rId4908" Type="http://schemas.openxmlformats.org/officeDocument/2006/relationships/hyperlink" Target="http://amazon.in" TargetMode="External"/><Relationship Id="rId1870" Type="http://schemas.openxmlformats.org/officeDocument/2006/relationships/hyperlink" Target="http://amazon.in" TargetMode="External"/><Relationship Id="rId1871" Type="http://schemas.openxmlformats.org/officeDocument/2006/relationships/hyperlink" Target="http://amazon.in" TargetMode="External"/><Relationship Id="rId1872" Type="http://schemas.openxmlformats.org/officeDocument/2006/relationships/hyperlink" Target="http://amazon.in" TargetMode="External"/><Relationship Id="rId1862" Type="http://schemas.openxmlformats.org/officeDocument/2006/relationships/hyperlink" Target="http://amazon.in" TargetMode="External"/><Relationship Id="rId1863" Type="http://schemas.openxmlformats.org/officeDocument/2006/relationships/hyperlink" Target="http://amazon.in" TargetMode="External"/><Relationship Id="rId1864" Type="http://schemas.openxmlformats.org/officeDocument/2006/relationships/hyperlink" Target="http://amazon.in" TargetMode="External"/><Relationship Id="rId1865" Type="http://schemas.openxmlformats.org/officeDocument/2006/relationships/hyperlink" Target="http://amazon.in" TargetMode="External"/><Relationship Id="rId1866" Type="http://schemas.openxmlformats.org/officeDocument/2006/relationships/hyperlink" Target="http://amazon.in" TargetMode="External"/><Relationship Id="rId1867" Type="http://schemas.openxmlformats.org/officeDocument/2006/relationships/hyperlink" Target="http://amazon.in" TargetMode="External"/><Relationship Id="rId1868" Type="http://schemas.openxmlformats.org/officeDocument/2006/relationships/hyperlink" Target="http://amazon.in" TargetMode="External"/><Relationship Id="rId1869" Type="http://schemas.openxmlformats.org/officeDocument/2006/relationships/hyperlink" Target="http://amazon.in" TargetMode="External"/><Relationship Id="rId1860" Type="http://schemas.openxmlformats.org/officeDocument/2006/relationships/hyperlink" Target="http://amazon.in" TargetMode="External"/><Relationship Id="rId1861" Type="http://schemas.openxmlformats.org/officeDocument/2006/relationships/hyperlink" Target="http://amazon.in" TargetMode="External"/><Relationship Id="rId1810" Type="http://schemas.openxmlformats.org/officeDocument/2006/relationships/hyperlink" Target="http://amazon.in" TargetMode="External"/><Relationship Id="rId1811" Type="http://schemas.openxmlformats.org/officeDocument/2006/relationships/hyperlink" Target="http://amazon.in" TargetMode="External"/><Relationship Id="rId1812" Type="http://schemas.openxmlformats.org/officeDocument/2006/relationships/hyperlink" Target="http://amazon.in" TargetMode="External"/><Relationship Id="rId1813" Type="http://schemas.openxmlformats.org/officeDocument/2006/relationships/hyperlink" Target="http://amazon.in" TargetMode="External"/><Relationship Id="rId1814" Type="http://schemas.openxmlformats.org/officeDocument/2006/relationships/hyperlink" Target="http://amazon.in" TargetMode="External"/><Relationship Id="rId1815" Type="http://schemas.openxmlformats.org/officeDocument/2006/relationships/hyperlink" Target="http://amazon.in" TargetMode="External"/><Relationship Id="rId1816" Type="http://schemas.openxmlformats.org/officeDocument/2006/relationships/hyperlink" Target="http://amazon.in" TargetMode="External"/><Relationship Id="rId1817" Type="http://schemas.openxmlformats.org/officeDocument/2006/relationships/hyperlink" Target="http://amazon.in" TargetMode="External"/><Relationship Id="rId1818" Type="http://schemas.openxmlformats.org/officeDocument/2006/relationships/hyperlink" Target="http://amazon.in" TargetMode="External"/><Relationship Id="rId1819" Type="http://schemas.openxmlformats.org/officeDocument/2006/relationships/hyperlink" Target="http://amazon.in" TargetMode="External"/><Relationship Id="rId4080" Type="http://schemas.openxmlformats.org/officeDocument/2006/relationships/hyperlink" Target="http://amazon.in" TargetMode="External"/><Relationship Id="rId4082" Type="http://schemas.openxmlformats.org/officeDocument/2006/relationships/hyperlink" Target="http://amazon.in" TargetMode="External"/><Relationship Id="rId4081" Type="http://schemas.openxmlformats.org/officeDocument/2006/relationships/hyperlink" Target="http://amazon.in" TargetMode="External"/><Relationship Id="rId4084" Type="http://schemas.openxmlformats.org/officeDocument/2006/relationships/hyperlink" Target="http://amazon.in" TargetMode="External"/><Relationship Id="rId4083" Type="http://schemas.openxmlformats.org/officeDocument/2006/relationships/hyperlink" Target="http://amazon.in" TargetMode="External"/><Relationship Id="rId4086" Type="http://schemas.openxmlformats.org/officeDocument/2006/relationships/hyperlink" Target="http://amazon.in" TargetMode="External"/><Relationship Id="rId4085" Type="http://schemas.openxmlformats.org/officeDocument/2006/relationships/hyperlink" Target="http://amazon.in" TargetMode="External"/><Relationship Id="rId4088" Type="http://schemas.openxmlformats.org/officeDocument/2006/relationships/hyperlink" Target="http://amazon.in" TargetMode="External"/><Relationship Id="rId4087" Type="http://schemas.openxmlformats.org/officeDocument/2006/relationships/hyperlink" Target="http://amazon.in" TargetMode="External"/><Relationship Id="rId4089" Type="http://schemas.openxmlformats.org/officeDocument/2006/relationships/hyperlink" Target="http://amazon.in" TargetMode="External"/><Relationship Id="rId1800" Type="http://schemas.openxmlformats.org/officeDocument/2006/relationships/hyperlink" Target="http://amazon.in" TargetMode="External"/><Relationship Id="rId1801" Type="http://schemas.openxmlformats.org/officeDocument/2006/relationships/hyperlink" Target="http://amazon.in" TargetMode="External"/><Relationship Id="rId1802" Type="http://schemas.openxmlformats.org/officeDocument/2006/relationships/hyperlink" Target="http://amazon.in" TargetMode="External"/><Relationship Id="rId1803" Type="http://schemas.openxmlformats.org/officeDocument/2006/relationships/hyperlink" Target="http://amazon.in" TargetMode="External"/><Relationship Id="rId1804" Type="http://schemas.openxmlformats.org/officeDocument/2006/relationships/hyperlink" Target="http://amazon.in" TargetMode="External"/><Relationship Id="rId1805" Type="http://schemas.openxmlformats.org/officeDocument/2006/relationships/hyperlink" Target="http://amazon.in" TargetMode="External"/><Relationship Id="rId1806" Type="http://schemas.openxmlformats.org/officeDocument/2006/relationships/hyperlink" Target="http://amazon.in" TargetMode="External"/><Relationship Id="rId1807" Type="http://schemas.openxmlformats.org/officeDocument/2006/relationships/hyperlink" Target="http://amazon.in" TargetMode="External"/><Relationship Id="rId1808" Type="http://schemas.openxmlformats.org/officeDocument/2006/relationships/hyperlink" Target="http://amazon.in" TargetMode="External"/><Relationship Id="rId1809" Type="http://schemas.openxmlformats.org/officeDocument/2006/relationships/hyperlink" Target="http://amazon.in" TargetMode="External"/><Relationship Id="rId4071" Type="http://schemas.openxmlformats.org/officeDocument/2006/relationships/hyperlink" Target="http://amazon.in" TargetMode="External"/><Relationship Id="rId4070" Type="http://schemas.openxmlformats.org/officeDocument/2006/relationships/hyperlink" Target="http://amazon.in" TargetMode="External"/><Relationship Id="rId4073" Type="http://schemas.openxmlformats.org/officeDocument/2006/relationships/hyperlink" Target="http://amazon.in" TargetMode="External"/><Relationship Id="rId4072" Type="http://schemas.openxmlformats.org/officeDocument/2006/relationships/hyperlink" Target="http://amazon.in" TargetMode="External"/><Relationship Id="rId4075" Type="http://schemas.openxmlformats.org/officeDocument/2006/relationships/hyperlink" Target="http://amazon.in" TargetMode="External"/><Relationship Id="rId4074" Type="http://schemas.openxmlformats.org/officeDocument/2006/relationships/hyperlink" Target="http://amazon.in" TargetMode="External"/><Relationship Id="rId4077" Type="http://schemas.openxmlformats.org/officeDocument/2006/relationships/hyperlink" Target="http://amazon.in" TargetMode="External"/><Relationship Id="rId4076" Type="http://schemas.openxmlformats.org/officeDocument/2006/relationships/hyperlink" Target="http://amazon.in" TargetMode="External"/><Relationship Id="rId4079" Type="http://schemas.openxmlformats.org/officeDocument/2006/relationships/hyperlink" Target="http://amazon.in" TargetMode="External"/><Relationship Id="rId4078" Type="http://schemas.openxmlformats.org/officeDocument/2006/relationships/hyperlink" Target="http://amazon.in" TargetMode="External"/><Relationship Id="rId1830" Type="http://schemas.openxmlformats.org/officeDocument/2006/relationships/hyperlink" Target="http://amazon.in" TargetMode="External"/><Relationship Id="rId1831" Type="http://schemas.openxmlformats.org/officeDocument/2006/relationships/hyperlink" Target="http://amazon.in" TargetMode="External"/><Relationship Id="rId1832" Type="http://schemas.openxmlformats.org/officeDocument/2006/relationships/hyperlink" Target="http://amazon.in" TargetMode="External"/><Relationship Id="rId1833" Type="http://schemas.openxmlformats.org/officeDocument/2006/relationships/hyperlink" Target="http://amazon.in" TargetMode="External"/><Relationship Id="rId1834" Type="http://schemas.openxmlformats.org/officeDocument/2006/relationships/hyperlink" Target="http://amazon.in" TargetMode="External"/><Relationship Id="rId1835" Type="http://schemas.openxmlformats.org/officeDocument/2006/relationships/hyperlink" Target="http://amazon.in" TargetMode="External"/><Relationship Id="rId1836" Type="http://schemas.openxmlformats.org/officeDocument/2006/relationships/hyperlink" Target="http://amazon.in" TargetMode="External"/><Relationship Id="rId1837" Type="http://schemas.openxmlformats.org/officeDocument/2006/relationships/hyperlink" Target="http://amazon.in" TargetMode="External"/><Relationship Id="rId1838" Type="http://schemas.openxmlformats.org/officeDocument/2006/relationships/hyperlink" Target="http://amazon.in" TargetMode="External"/><Relationship Id="rId1839" Type="http://schemas.openxmlformats.org/officeDocument/2006/relationships/hyperlink" Target="http://amazon.in" TargetMode="External"/><Relationship Id="rId1820" Type="http://schemas.openxmlformats.org/officeDocument/2006/relationships/hyperlink" Target="http://amazon.in" TargetMode="External"/><Relationship Id="rId1821" Type="http://schemas.openxmlformats.org/officeDocument/2006/relationships/hyperlink" Target="http://amazon.in" TargetMode="External"/><Relationship Id="rId1822" Type="http://schemas.openxmlformats.org/officeDocument/2006/relationships/hyperlink" Target="http://amazon.in" TargetMode="External"/><Relationship Id="rId1823" Type="http://schemas.openxmlformats.org/officeDocument/2006/relationships/hyperlink" Target="http://amazon.in" TargetMode="External"/><Relationship Id="rId1824" Type="http://schemas.openxmlformats.org/officeDocument/2006/relationships/hyperlink" Target="http://amazon.in" TargetMode="External"/><Relationship Id="rId1825" Type="http://schemas.openxmlformats.org/officeDocument/2006/relationships/hyperlink" Target="http://amazon.in" TargetMode="External"/><Relationship Id="rId1826" Type="http://schemas.openxmlformats.org/officeDocument/2006/relationships/hyperlink" Target="http://amazon.in" TargetMode="External"/><Relationship Id="rId1827" Type="http://schemas.openxmlformats.org/officeDocument/2006/relationships/hyperlink" Target="http://amazon.in" TargetMode="External"/><Relationship Id="rId1828" Type="http://schemas.openxmlformats.org/officeDocument/2006/relationships/hyperlink" Target="http://amazon.in" TargetMode="External"/><Relationship Id="rId1829" Type="http://schemas.openxmlformats.org/officeDocument/2006/relationships/hyperlink" Target="http://amazon.in" TargetMode="External"/><Relationship Id="rId4091" Type="http://schemas.openxmlformats.org/officeDocument/2006/relationships/hyperlink" Target="http://amazon.in" TargetMode="External"/><Relationship Id="rId4090" Type="http://schemas.openxmlformats.org/officeDocument/2006/relationships/hyperlink" Target="http://amazon.in" TargetMode="External"/><Relationship Id="rId4093" Type="http://schemas.openxmlformats.org/officeDocument/2006/relationships/hyperlink" Target="http://amazon.in" TargetMode="External"/><Relationship Id="rId4092" Type="http://schemas.openxmlformats.org/officeDocument/2006/relationships/hyperlink" Target="http://amazon.in" TargetMode="External"/><Relationship Id="rId4095" Type="http://schemas.openxmlformats.org/officeDocument/2006/relationships/hyperlink" Target="http://amazon.in" TargetMode="External"/><Relationship Id="rId4094" Type="http://schemas.openxmlformats.org/officeDocument/2006/relationships/hyperlink" Target="http://amazon.in" TargetMode="External"/><Relationship Id="rId4097" Type="http://schemas.openxmlformats.org/officeDocument/2006/relationships/hyperlink" Target="http://amazon.in" TargetMode="External"/><Relationship Id="rId4096" Type="http://schemas.openxmlformats.org/officeDocument/2006/relationships/hyperlink" Target="http://amazon.in" TargetMode="External"/><Relationship Id="rId4099" Type="http://schemas.openxmlformats.org/officeDocument/2006/relationships/hyperlink" Target="http://amazon.in" TargetMode="External"/><Relationship Id="rId4098" Type="http://schemas.openxmlformats.org/officeDocument/2006/relationships/hyperlink" Target="http://amazon.in" TargetMode="External"/><Relationship Id="rId2302" Type="http://schemas.openxmlformats.org/officeDocument/2006/relationships/hyperlink" Target="http://amazon.in" TargetMode="External"/><Relationship Id="rId3634" Type="http://schemas.openxmlformats.org/officeDocument/2006/relationships/hyperlink" Target="http://amazon.in" TargetMode="External"/><Relationship Id="rId4965" Type="http://schemas.openxmlformats.org/officeDocument/2006/relationships/hyperlink" Target="http://amazon.in" TargetMode="External"/><Relationship Id="rId2303" Type="http://schemas.openxmlformats.org/officeDocument/2006/relationships/hyperlink" Target="http://amazon.in" TargetMode="External"/><Relationship Id="rId3633" Type="http://schemas.openxmlformats.org/officeDocument/2006/relationships/hyperlink" Target="http://amazon.in" TargetMode="External"/><Relationship Id="rId4964" Type="http://schemas.openxmlformats.org/officeDocument/2006/relationships/hyperlink" Target="http://amazon.in" TargetMode="External"/><Relationship Id="rId2304" Type="http://schemas.openxmlformats.org/officeDocument/2006/relationships/hyperlink" Target="http://amazon.in" TargetMode="External"/><Relationship Id="rId3636" Type="http://schemas.openxmlformats.org/officeDocument/2006/relationships/hyperlink" Target="http://amazon.in" TargetMode="External"/><Relationship Id="rId4967" Type="http://schemas.openxmlformats.org/officeDocument/2006/relationships/hyperlink" Target="http://amazon.in" TargetMode="External"/><Relationship Id="rId2305" Type="http://schemas.openxmlformats.org/officeDocument/2006/relationships/hyperlink" Target="http://amazon.in" TargetMode="External"/><Relationship Id="rId3635" Type="http://schemas.openxmlformats.org/officeDocument/2006/relationships/hyperlink" Target="http://amazon.in" TargetMode="External"/><Relationship Id="rId4966" Type="http://schemas.openxmlformats.org/officeDocument/2006/relationships/hyperlink" Target="http://amazon.in" TargetMode="External"/><Relationship Id="rId2306" Type="http://schemas.openxmlformats.org/officeDocument/2006/relationships/hyperlink" Target="http://amazon.in" TargetMode="External"/><Relationship Id="rId3638" Type="http://schemas.openxmlformats.org/officeDocument/2006/relationships/hyperlink" Target="http://amazon.in" TargetMode="External"/><Relationship Id="rId4969" Type="http://schemas.openxmlformats.org/officeDocument/2006/relationships/hyperlink" Target="http://amazon.in" TargetMode="External"/><Relationship Id="rId2307" Type="http://schemas.openxmlformats.org/officeDocument/2006/relationships/hyperlink" Target="http://amazon.in" TargetMode="External"/><Relationship Id="rId3637" Type="http://schemas.openxmlformats.org/officeDocument/2006/relationships/hyperlink" Target="http://amazon.in" TargetMode="External"/><Relationship Id="rId4968" Type="http://schemas.openxmlformats.org/officeDocument/2006/relationships/hyperlink" Target="http://amazon.in" TargetMode="External"/><Relationship Id="rId2308" Type="http://schemas.openxmlformats.org/officeDocument/2006/relationships/hyperlink" Target="http://amazon.in" TargetMode="External"/><Relationship Id="rId2309" Type="http://schemas.openxmlformats.org/officeDocument/2006/relationships/hyperlink" Target="http://amazon.in" TargetMode="External"/><Relationship Id="rId3639" Type="http://schemas.openxmlformats.org/officeDocument/2006/relationships/hyperlink" Target="http://amazon.in" TargetMode="External"/><Relationship Id="rId3630" Type="http://schemas.openxmlformats.org/officeDocument/2006/relationships/hyperlink" Target="http://amazon.in" TargetMode="External"/><Relationship Id="rId4961" Type="http://schemas.openxmlformats.org/officeDocument/2006/relationships/hyperlink" Target="http://amazon.in" TargetMode="External"/><Relationship Id="rId4960" Type="http://schemas.openxmlformats.org/officeDocument/2006/relationships/hyperlink" Target="http://amazon.in" TargetMode="External"/><Relationship Id="rId2300" Type="http://schemas.openxmlformats.org/officeDocument/2006/relationships/hyperlink" Target="http://amazon.in" TargetMode="External"/><Relationship Id="rId3632" Type="http://schemas.openxmlformats.org/officeDocument/2006/relationships/hyperlink" Target="http://amazon.in" TargetMode="External"/><Relationship Id="rId4963" Type="http://schemas.openxmlformats.org/officeDocument/2006/relationships/hyperlink" Target="http://amazon.in" TargetMode="External"/><Relationship Id="rId2301" Type="http://schemas.openxmlformats.org/officeDocument/2006/relationships/hyperlink" Target="http://amazon.in" TargetMode="External"/><Relationship Id="rId3631" Type="http://schemas.openxmlformats.org/officeDocument/2006/relationships/hyperlink" Target="http://amazon.in" TargetMode="External"/><Relationship Id="rId4962" Type="http://schemas.openxmlformats.org/officeDocument/2006/relationships/hyperlink" Target="http://amazon.in" TargetMode="External"/><Relationship Id="rId3623" Type="http://schemas.openxmlformats.org/officeDocument/2006/relationships/hyperlink" Target="http://amazon.in" TargetMode="External"/><Relationship Id="rId4954" Type="http://schemas.openxmlformats.org/officeDocument/2006/relationships/hyperlink" Target="http://amazon.in" TargetMode="External"/><Relationship Id="rId3622" Type="http://schemas.openxmlformats.org/officeDocument/2006/relationships/hyperlink" Target="http://amazon.in" TargetMode="External"/><Relationship Id="rId4953" Type="http://schemas.openxmlformats.org/officeDocument/2006/relationships/hyperlink" Target="http://amazon.in" TargetMode="External"/><Relationship Id="rId3625" Type="http://schemas.openxmlformats.org/officeDocument/2006/relationships/hyperlink" Target="http://amazon.in" TargetMode="External"/><Relationship Id="rId4956" Type="http://schemas.openxmlformats.org/officeDocument/2006/relationships/hyperlink" Target="http://amazon.in" TargetMode="External"/><Relationship Id="rId3624" Type="http://schemas.openxmlformats.org/officeDocument/2006/relationships/hyperlink" Target="http://amazon.in" TargetMode="External"/><Relationship Id="rId4955" Type="http://schemas.openxmlformats.org/officeDocument/2006/relationships/hyperlink" Target="http://amazon.in" TargetMode="External"/><Relationship Id="rId3627" Type="http://schemas.openxmlformats.org/officeDocument/2006/relationships/hyperlink" Target="http://amazon.in" TargetMode="External"/><Relationship Id="rId4958" Type="http://schemas.openxmlformats.org/officeDocument/2006/relationships/hyperlink" Target="http://amazon.in" TargetMode="External"/><Relationship Id="rId3626" Type="http://schemas.openxmlformats.org/officeDocument/2006/relationships/hyperlink" Target="http://amazon.in" TargetMode="External"/><Relationship Id="rId4957" Type="http://schemas.openxmlformats.org/officeDocument/2006/relationships/hyperlink" Target="http://amazon.in" TargetMode="External"/><Relationship Id="rId3629" Type="http://schemas.openxmlformats.org/officeDocument/2006/relationships/hyperlink" Target="http://amazon.in" TargetMode="External"/><Relationship Id="rId3628" Type="http://schemas.openxmlformats.org/officeDocument/2006/relationships/hyperlink" Target="http://amazon.in" TargetMode="External"/><Relationship Id="rId4959" Type="http://schemas.openxmlformats.org/officeDocument/2006/relationships/hyperlink" Target="http://amazon.in" TargetMode="External"/><Relationship Id="rId4950" Type="http://schemas.openxmlformats.org/officeDocument/2006/relationships/hyperlink" Target="http://amazon.in" TargetMode="External"/><Relationship Id="rId3621" Type="http://schemas.openxmlformats.org/officeDocument/2006/relationships/hyperlink" Target="http://amazon.in" TargetMode="External"/><Relationship Id="rId4952" Type="http://schemas.openxmlformats.org/officeDocument/2006/relationships/hyperlink" Target="http://amazon.in" TargetMode="External"/><Relationship Id="rId3620" Type="http://schemas.openxmlformats.org/officeDocument/2006/relationships/hyperlink" Target="http://amazon.in" TargetMode="External"/><Relationship Id="rId4951" Type="http://schemas.openxmlformats.org/officeDocument/2006/relationships/hyperlink" Target="http://amazon.in" TargetMode="External"/><Relationship Id="rId2324" Type="http://schemas.openxmlformats.org/officeDocument/2006/relationships/hyperlink" Target="http://amazon.in" TargetMode="External"/><Relationship Id="rId3656" Type="http://schemas.openxmlformats.org/officeDocument/2006/relationships/hyperlink" Target="http://amazon.in" TargetMode="External"/><Relationship Id="rId4987" Type="http://schemas.openxmlformats.org/officeDocument/2006/relationships/hyperlink" Target="http://amazon.in" TargetMode="External"/><Relationship Id="rId2325" Type="http://schemas.openxmlformats.org/officeDocument/2006/relationships/hyperlink" Target="http://amazon.in" TargetMode="External"/><Relationship Id="rId3655" Type="http://schemas.openxmlformats.org/officeDocument/2006/relationships/hyperlink" Target="http://amazon.in" TargetMode="External"/><Relationship Id="rId4986" Type="http://schemas.openxmlformats.org/officeDocument/2006/relationships/hyperlink" Target="http://amazon.in" TargetMode="External"/><Relationship Id="rId2326" Type="http://schemas.openxmlformats.org/officeDocument/2006/relationships/hyperlink" Target="http://amazon.in" TargetMode="External"/><Relationship Id="rId3658" Type="http://schemas.openxmlformats.org/officeDocument/2006/relationships/hyperlink" Target="http://amazon.in" TargetMode="External"/><Relationship Id="rId4989" Type="http://schemas.openxmlformats.org/officeDocument/2006/relationships/hyperlink" Target="http://amazon.in" TargetMode="External"/><Relationship Id="rId2327" Type="http://schemas.openxmlformats.org/officeDocument/2006/relationships/hyperlink" Target="http://amazon.in" TargetMode="External"/><Relationship Id="rId3657" Type="http://schemas.openxmlformats.org/officeDocument/2006/relationships/hyperlink" Target="http://amazon.in" TargetMode="External"/><Relationship Id="rId4988" Type="http://schemas.openxmlformats.org/officeDocument/2006/relationships/hyperlink" Target="http://amazon.in" TargetMode="External"/><Relationship Id="rId2328" Type="http://schemas.openxmlformats.org/officeDocument/2006/relationships/hyperlink" Target="http://amazon.in" TargetMode="External"/><Relationship Id="rId2329" Type="http://schemas.openxmlformats.org/officeDocument/2006/relationships/hyperlink" Target="http://amazon.in" TargetMode="External"/><Relationship Id="rId3659" Type="http://schemas.openxmlformats.org/officeDocument/2006/relationships/hyperlink" Target="http://amazon.in" TargetMode="External"/><Relationship Id="rId3650" Type="http://schemas.openxmlformats.org/officeDocument/2006/relationships/hyperlink" Target="http://amazon.in" TargetMode="External"/><Relationship Id="rId4981" Type="http://schemas.openxmlformats.org/officeDocument/2006/relationships/hyperlink" Target="http://amazon.in" TargetMode="External"/><Relationship Id="rId4980" Type="http://schemas.openxmlformats.org/officeDocument/2006/relationships/hyperlink" Target="http://amazon.in" TargetMode="External"/><Relationship Id="rId2320" Type="http://schemas.openxmlformats.org/officeDocument/2006/relationships/hyperlink" Target="http://amazon.in" TargetMode="External"/><Relationship Id="rId3652" Type="http://schemas.openxmlformats.org/officeDocument/2006/relationships/hyperlink" Target="http://amazon.in" TargetMode="External"/><Relationship Id="rId4983" Type="http://schemas.openxmlformats.org/officeDocument/2006/relationships/hyperlink" Target="http://amazon.in" TargetMode="External"/><Relationship Id="rId2321" Type="http://schemas.openxmlformats.org/officeDocument/2006/relationships/hyperlink" Target="http://amazon.in" TargetMode="External"/><Relationship Id="rId3651" Type="http://schemas.openxmlformats.org/officeDocument/2006/relationships/hyperlink" Target="http://amazon.in" TargetMode="External"/><Relationship Id="rId4982" Type="http://schemas.openxmlformats.org/officeDocument/2006/relationships/hyperlink" Target="http://amazon.in" TargetMode="External"/><Relationship Id="rId2322" Type="http://schemas.openxmlformats.org/officeDocument/2006/relationships/hyperlink" Target="http://amazon.in" TargetMode="External"/><Relationship Id="rId3654" Type="http://schemas.openxmlformats.org/officeDocument/2006/relationships/hyperlink" Target="http://amazon.in" TargetMode="External"/><Relationship Id="rId4985" Type="http://schemas.openxmlformats.org/officeDocument/2006/relationships/hyperlink" Target="http://amazon.in" TargetMode="External"/><Relationship Id="rId2323" Type="http://schemas.openxmlformats.org/officeDocument/2006/relationships/hyperlink" Target="http://amazon.in" TargetMode="External"/><Relationship Id="rId3653" Type="http://schemas.openxmlformats.org/officeDocument/2006/relationships/hyperlink" Target="http://amazon.in" TargetMode="External"/><Relationship Id="rId4984" Type="http://schemas.openxmlformats.org/officeDocument/2006/relationships/hyperlink" Target="http://amazon.in" TargetMode="External"/><Relationship Id="rId2313" Type="http://schemas.openxmlformats.org/officeDocument/2006/relationships/hyperlink" Target="http://amazon.in" TargetMode="External"/><Relationship Id="rId3645" Type="http://schemas.openxmlformats.org/officeDocument/2006/relationships/hyperlink" Target="http://amazon.in" TargetMode="External"/><Relationship Id="rId4976" Type="http://schemas.openxmlformats.org/officeDocument/2006/relationships/hyperlink" Target="http://amazon.in" TargetMode="External"/><Relationship Id="rId2314" Type="http://schemas.openxmlformats.org/officeDocument/2006/relationships/hyperlink" Target="http://amazon.in" TargetMode="External"/><Relationship Id="rId3644" Type="http://schemas.openxmlformats.org/officeDocument/2006/relationships/hyperlink" Target="http://amazon.in" TargetMode="External"/><Relationship Id="rId4975" Type="http://schemas.openxmlformats.org/officeDocument/2006/relationships/hyperlink" Target="http://amazon.in" TargetMode="External"/><Relationship Id="rId2315" Type="http://schemas.openxmlformats.org/officeDocument/2006/relationships/hyperlink" Target="http://amazon.in" TargetMode="External"/><Relationship Id="rId3647" Type="http://schemas.openxmlformats.org/officeDocument/2006/relationships/hyperlink" Target="http://amazon.in" TargetMode="External"/><Relationship Id="rId4978" Type="http://schemas.openxmlformats.org/officeDocument/2006/relationships/hyperlink" Target="http://amazon.in" TargetMode="External"/><Relationship Id="rId2316" Type="http://schemas.openxmlformats.org/officeDocument/2006/relationships/hyperlink" Target="http://amazon.in" TargetMode="External"/><Relationship Id="rId3646" Type="http://schemas.openxmlformats.org/officeDocument/2006/relationships/hyperlink" Target="http://amazon.in" TargetMode="External"/><Relationship Id="rId4977" Type="http://schemas.openxmlformats.org/officeDocument/2006/relationships/hyperlink" Target="http://amazon.in" TargetMode="External"/><Relationship Id="rId2317" Type="http://schemas.openxmlformats.org/officeDocument/2006/relationships/hyperlink" Target="http://amazon.in" TargetMode="External"/><Relationship Id="rId3649" Type="http://schemas.openxmlformats.org/officeDocument/2006/relationships/hyperlink" Target="http://amazon.in" TargetMode="External"/><Relationship Id="rId2318" Type="http://schemas.openxmlformats.org/officeDocument/2006/relationships/hyperlink" Target="http://amazon.in" TargetMode="External"/><Relationship Id="rId3648" Type="http://schemas.openxmlformats.org/officeDocument/2006/relationships/hyperlink" Target="http://amazon.in" TargetMode="External"/><Relationship Id="rId4979" Type="http://schemas.openxmlformats.org/officeDocument/2006/relationships/hyperlink" Target="http://amazon.in" TargetMode="External"/><Relationship Id="rId2319" Type="http://schemas.openxmlformats.org/officeDocument/2006/relationships/hyperlink" Target="http://amazon.in" TargetMode="External"/><Relationship Id="rId4970" Type="http://schemas.openxmlformats.org/officeDocument/2006/relationships/hyperlink" Target="http://amazon.in" TargetMode="External"/><Relationship Id="rId3641" Type="http://schemas.openxmlformats.org/officeDocument/2006/relationships/hyperlink" Target="http://amazon.in" TargetMode="External"/><Relationship Id="rId4972" Type="http://schemas.openxmlformats.org/officeDocument/2006/relationships/hyperlink" Target="http://amazon.in" TargetMode="External"/><Relationship Id="rId2310" Type="http://schemas.openxmlformats.org/officeDocument/2006/relationships/hyperlink" Target="http://amazon.in" TargetMode="External"/><Relationship Id="rId3640" Type="http://schemas.openxmlformats.org/officeDocument/2006/relationships/hyperlink" Target="http://amazon.in" TargetMode="External"/><Relationship Id="rId4971" Type="http://schemas.openxmlformats.org/officeDocument/2006/relationships/hyperlink" Target="http://amazon.in" TargetMode="External"/><Relationship Id="rId2311" Type="http://schemas.openxmlformats.org/officeDocument/2006/relationships/hyperlink" Target="http://amazon.in" TargetMode="External"/><Relationship Id="rId3643" Type="http://schemas.openxmlformats.org/officeDocument/2006/relationships/hyperlink" Target="http://amazon.in" TargetMode="External"/><Relationship Id="rId4974" Type="http://schemas.openxmlformats.org/officeDocument/2006/relationships/hyperlink" Target="http://amazon.in" TargetMode="External"/><Relationship Id="rId2312" Type="http://schemas.openxmlformats.org/officeDocument/2006/relationships/hyperlink" Target="http://amazon.in" TargetMode="External"/><Relationship Id="rId3642" Type="http://schemas.openxmlformats.org/officeDocument/2006/relationships/hyperlink" Target="http://amazon.in" TargetMode="External"/><Relationship Id="rId4973" Type="http://schemas.openxmlformats.org/officeDocument/2006/relationships/hyperlink" Target="http://amazon.in" TargetMode="External"/><Relationship Id="rId1895" Type="http://schemas.openxmlformats.org/officeDocument/2006/relationships/hyperlink" Target="http://amazon.in" TargetMode="External"/><Relationship Id="rId4921" Type="http://schemas.openxmlformats.org/officeDocument/2006/relationships/hyperlink" Target="http://amazon.in" TargetMode="External"/><Relationship Id="rId1896" Type="http://schemas.openxmlformats.org/officeDocument/2006/relationships/hyperlink" Target="http://amazon.in" TargetMode="External"/><Relationship Id="rId4920" Type="http://schemas.openxmlformats.org/officeDocument/2006/relationships/hyperlink" Target="http://amazon.in" TargetMode="External"/><Relationship Id="rId1897" Type="http://schemas.openxmlformats.org/officeDocument/2006/relationships/hyperlink" Target="http://amazon.in" TargetMode="External"/><Relationship Id="rId4923" Type="http://schemas.openxmlformats.org/officeDocument/2006/relationships/hyperlink" Target="http://amazon.in" TargetMode="External"/><Relationship Id="rId1898" Type="http://schemas.openxmlformats.org/officeDocument/2006/relationships/hyperlink" Target="http://amazon.in" TargetMode="External"/><Relationship Id="rId4922" Type="http://schemas.openxmlformats.org/officeDocument/2006/relationships/hyperlink" Target="http://amazon.in" TargetMode="External"/><Relationship Id="rId1899" Type="http://schemas.openxmlformats.org/officeDocument/2006/relationships/hyperlink" Target="http://amazon.in" TargetMode="External"/><Relationship Id="rId4925" Type="http://schemas.openxmlformats.org/officeDocument/2006/relationships/hyperlink" Target="http://amazon.in" TargetMode="External"/><Relationship Id="rId4924" Type="http://schemas.openxmlformats.org/officeDocument/2006/relationships/hyperlink" Target="http://amazon.in" TargetMode="External"/><Relationship Id="rId4927" Type="http://schemas.openxmlformats.org/officeDocument/2006/relationships/hyperlink" Target="http://amazon.in" TargetMode="External"/><Relationship Id="rId4926" Type="http://schemas.openxmlformats.org/officeDocument/2006/relationships/hyperlink" Target="http://amazon.in" TargetMode="External"/><Relationship Id="rId4929" Type="http://schemas.openxmlformats.org/officeDocument/2006/relationships/hyperlink" Target="http://amazon.in" TargetMode="External"/><Relationship Id="rId4928" Type="http://schemas.openxmlformats.org/officeDocument/2006/relationships/hyperlink" Target="http://amazon.in" TargetMode="External"/><Relationship Id="rId1890" Type="http://schemas.openxmlformats.org/officeDocument/2006/relationships/hyperlink" Target="http://amazon.in" TargetMode="External"/><Relationship Id="rId1891" Type="http://schemas.openxmlformats.org/officeDocument/2006/relationships/hyperlink" Target="http://amazon.in" TargetMode="External"/><Relationship Id="rId1892" Type="http://schemas.openxmlformats.org/officeDocument/2006/relationships/hyperlink" Target="http://amazon.in" TargetMode="External"/><Relationship Id="rId1893" Type="http://schemas.openxmlformats.org/officeDocument/2006/relationships/hyperlink" Target="http://amazon.in" TargetMode="External"/><Relationship Id="rId1894" Type="http://schemas.openxmlformats.org/officeDocument/2006/relationships/hyperlink" Target="http://amazon.in" TargetMode="External"/><Relationship Id="rId1884" Type="http://schemas.openxmlformats.org/officeDocument/2006/relationships/hyperlink" Target="http://amazon.in" TargetMode="External"/><Relationship Id="rId4910" Type="http://schemas.openxmlformats.org/officeDocument/2006/relationships/hyperlink" Target="http://amazon.in" TargetMode="External"/><Relationship Id="rId1885" Type="http://schemas.openxmlformats.org/officeDocument/2006/relationships/hyperlink" Target="http://amazon.in" TargetMode="External"/><Relationship Id="rId1886" Type="http://schemas.openxmlformats.org/officeDocument/2006/relationships/hyperlink" Target="http://amazon.in" TargetMode="External"/><Relationship Id="rId4912" Type="http://schemas.openxmlformats.org/officeDocument/2006/relationships/hyperlink" Target="http://amazon.in" TargetMode="External"/><Relationship Id="rId1887" Type="http://schemas.openxmlformats.org/officeDocument/2006/relationships/hyperlink" Target="http://amazon.in" TargetMode="External"/><Relationship Id="rId4911" Type="http://schemas.openxmlformats.org/officeDocument/2006/relationships/hyperlink" Target="http://amazon.in" TargetMode="External"/><Relationship Id="rId1888" Type="http://schemas.openxmlformats.org/officeDocument/2006/relationships/hyperlink" Target="http://amazon.in" TargetMode="External"/><Relationship Id="rId4914" Type="http://schemas.openxmlformats.org/officeDocument/2006/relationships/hyperlink" Target="http://amazon.in" TargetMode="External"/><Relationship Id="rId1889" Type="http://schemas.openxmlformats.org/officeDocument/2006/relationships/hyperlink" Target="http://amazon.in" TargetMode="External"/><Relationship Id="rId4913" Type="http://schemas.openxmlformats.org/officeDocument/2006/relationships/hyperlink" Target="http://amazon.in" TargetMode="External"/><Relationship Id="rId4916" Type="http://schemas.openxmlformats.org/officeDocument/2006/relationships/hyperlink" Target="http://amazon.in" TargetMode="External"/><Relationship Id="rId4915" Type="http://schemas.openxmlformats.org/officeDocument/2006/relationships/hyperlink" Target="http://amazon.in" TargetMode="External"/><Relationship Id="rId4918" Type="http://schemas.openxmlformats.org/officeDocument/2006/relationships/hyperlink" Target="http://amazon.in" TargetMode="External"/><Relationship Id="rId4917" Type="http://schemas.openxmlformats.org/officeDocument/2006/relationships/hyperlink" Target="http://amazon.in" TargetMode="External"/><Relationship Id="rId4919" Type="http://schemas.openxmlformats.org/officeDocument/2006/relationships/hyperlink" Target="http://amazon.in" TargetMode="External"/><Relationship Id="rId1880" Type="http://schemas.openxmlformats.org/officeDocument/2006/relationships/hyperlink" Target="http://amazon.in" TargetMode="External"/><Relationship Id="rId1881" Type="http://schemas.openxmlformats.org/officeDocument/2006/relationships/hyperlink" Target="http://amazon.in" TargetMode="External"/><Relationship Id="rId1882" Type="http://schemas.openxmlformats.org/officeDocument/2006/relationships/hyperlink" Target="http://amazon.in" TargetMode="External"/><Relationship Id="rId1883" Type="http://schemas.openxmlformats.org/officeDocument/2006/relationships/hyperlink" Target="http://amazon.in" TargetMode="External"/><Relationship Id="rId3612" Type="http://schemas.openxmlformats.org/officeDocument/2006/relationships/hyperlink" Target="http://amazon.in" TargetMode="External"/><Relationship Id="rId4943" Type="http://schemas.openxmlformats.org/officeDocument/2006/relationships/hyperlink" Target="http://amazon.in" TargetMode="External"/><Relationship Id="rId3611" Type="http://schemas.openxmlformats.org/officeDocument/2006/relationships/hyperlink" Target="http://amazon.in" TargetMode="External"/><Relationship Id="rId4942" Type="http://schemas.openxmlformats.org/officeDocument/2006/relationships/hyperlink" Target="http://amazon.in" TargetMode="External"/><Relationship Id="rId3614" Type="http://schemas.openxmlformats.org/officeDocument/2006/relationships/hyperlink" Target="http://amazon.in" TargetMode="External"/><Relationship Id="rId4945" Type="http://schemas.openxmlformats.org/officeDocument/2006/relationships/hyperlink" Target="http://amazon.in" TargetMode="External"/><Relationship Id="rId3613" Type="http://schemas.openxmlformats.org/officeDocument/2006/relationships/hyperlink" Target="http://amazon.in" TargetMode="External"/><Relationship Id="rId4944" Type="http://schemas.openxmlformats.org/officeDocument/2006/relationships/hyperlink" Target="http://amazon.in" TargetMode="External"/><Relationship Id="rId3616" Type="http://schemas.openxmlformats.org/officeDocument/2006/relationships/hyperlink" Target="http://amazon.in" TargetMode="External"/><Relationship Id="rId4947" Type="http://schemas.openxmlformats.org/officeDocument/2006/relationships/hyperlink" Target="http://amazon.in" TargetMode="External"/><Relationship Id="rId3615" Type="http://schemas.openxmlformats.org/officeDocument/2006/relationships/hyperlink" Target="http://amazon.in" TargetMode="External"/><Relationship Id="rId4946" Type="http://schemas.openxmlformats.org/officeDocument/2006/relationships/hyperlink" Target="http://amazon.in" TargetMode="External"/><Relationship Id="rId3618" Type="http://schemas.openxmlformats.org/officeDocument/2006/relationships/hyperlink" Target="http://amazon.in" TargetMode="External"/><Relationship Id="rId4949" Type="http://schemas.openxmlformats.org/officeDocument/2006/relationships/hyperlink" Target="http://amazon.in" TargetMode="External"/><Relationship Id="rId3617" Type="http://schemas.openxmlformats.org/officeDocument/2006/relationships/hyperlink" Target="http://amazon.in" TargetMode="External"/><Relationship Id="rId4948" Type="http://schemas.openxmlformats.org/officeDocument/2006/relationships/hyperlink" Target="http://amazon.in" TargetMode="External"/><Relationship Id="rId3619" Type="http://schemas.openxmlformats.org/officeDocument/2006/relationships/hyperlink" Target="http://amazon.in" TargetMode="External"/><Relationship Id="rId3610" Type="http://schemas.openxmlformats.org/officeDocument/2006/relationships/hyperlink" Target="http://amazon.in" TargetMode="External"/><Relationship Id="rId4941" Type="http://schemas.openxmlformats.org/officeDocument/2006/relationships/hyperlink" Target="http://amazon.in" TargetMode="External"/><Relationship Id="rId4940" Type="http://schemas.openxmlformats.org/officeDocument/2006/relationships/hyperlink" Target="http://amazon.in" TargetMode="External"/><Relationship Id="rId3601" Type="http://schemas.openxmlformats.org/officeDocument/2006/relationships/hyperlink" Target="http://amazon.in" TargetMode="External"/><Relationship Id="rId4932" Type="http://schemas.openxmlformats.org/officeDocument/2006/relationships/hyperlink" Target="http://amazon.in" TargetMode="External"/><Relationship Id="rId3600" Type="http://schemas.openxmlformats.org/officeDocument/2006/relationships/hyperlink" Target="http://amazon.in" TargetMode="External"/><Relationship Id="rId4931" Type="http://schemas.openxmlformats.org/officeDocument/2006/relationships/hyperlink" Target="http://amazon.in" TargetMode="External"/><Relationship Id="rId3603" Type="http://schemas.openxmlformats.org/officeDocument/2006/relationships/hyperlink" Target="http://amazon.in" TargetMode="External"/><Relationship Id="rId4934" Type="http://schemas.openxmlformats.org/officeDocument/2006/relationships/hyperlink" Target="http://amazon.in" TargetMode="External"/><Relationship Id="rId3602" Type="http://schemas.openxmlformats.org/officeDocument/2006/relationships/hyperlink" Target="http://amazon.in" TargetMode="External"/><Relationship Id="rId4933" Type="http://schemas.openxmlformats.org/officeDocument/2006/relationships/hyperlink" Target="http://amazon.in" TargetMode="External"/><Relationship Id="rId3605" Type="http://schemas.openxmlformats.org/officeDocument/2006/relationships/hyperlink" Target="http://amazon.in" TargetMode="External"/><Relationship Id="rId4936" Type="http://schemas.openxmlformats.org/officeDocument/2006/relationships/hyperlink" Target="http://amazon.in" TargetMode="External"/><Relationship Id="rId3604" Type="http://schemas.openxmlformats.org/officeDocument/2006/relationships/hyperlink" Target="http://amazon.in" TargetMode="External"/><Relationship Id="rId4935" Type="http://schemas.openxmlformats.org/officeDocument/2006/relationships/hyperlink" Target="http://amazon.in" TargetMode="External"/><Relationship Id="rId3607" Type="http://schemas.openxmlformats.org/officeDocument/2006/relationships/hyperlink" Target="http://amazon.in" TargetMode="External"/><Relationship Id="rId4938" Type="http://schemas.openxmlformats.org/officeDocument/2006/relationships/hyperlink" Target="http://amazon.in" TargetMode="External"/><Relationship Id="rId3606" Type="http://schemas.openxmlformats.org/officeDocument/2006/relationships/hyperlink" Target="http://amazon.in" TargetMode="External"/><Relationship Id="rId4937" Type="http://schemas.openxmlformats.org/officeDocument/2006/relationships/hyperlink" Target="http://amazon.in" TargetMode="External"/><Relationship Id="rId3609" Type="http://schemas.openxmlformats.org/officeDocument/2006/relationships/hyperlink" Target="http://amazon.in" TargetMode="External"/><Relationship Id="rId3608" Type="http://schemas.openxmlformats.org/officeDocument/2006/relationships/hyperlink" Target="http://amazon.in" TargetMode="External"/><Relationship Id="rId4939" Type="http://schemas.openxmlformats.org/officeDocument/2006/relationships/hyperlink" Target="http://amazon.in" TargetMode="External"/><Relationship Id="rId4930" Type="http://schemas.openxmlformats.org/officeDocument/2006/relationships/hyperlink" Target="http://amazon.in" TargetMode="External"/><Relationship Id="rId1059" Type="http://schemas.openxmlformats.org/officeDocument/2006/relationships/hyperlink" Target="http://amazon.in" TargetMode="External"/><Relationship Id="rId228" Type="http://schemas.openxmlformats.org/officeDocument/2006/relationships/hyperlink" Target="http://amazon.in" TargetMode="External"/><Relationship Id="rId227" Type="http://schemas.openxmlformats.org/officeDocument/2006/relationships/hyperlink" Target="http://amazon.in" TargetMode="External"/><Relationship Id="rId226" Type="http://schemas.openxmlformats.org/officeDocument/2006/relationships/hyperlink" Target="http://amazon.in" TargetMode="External"/><Relationship Id="rId225" Type="http://schemas.openxmlformats.org/officeDocument/2006/relationships/hyperlink" Target="http://amazon.in" TargetMode="External"/><Relationship Id="rId2380" Type="http://schemas.openxmlformats.org/officeDocument/2006/relationships/hyperlink" Target="http://amazon.in" TargetMode="External"/><Relationship Id="rId229" Type="http://schemas.openxmlformats.org/officeDocument/2006/relationships/hyperlink" Target="http://amazon.in" TargetMode="External"/><Relationship Id="rId1050" Type="http://schemas.openxmlformats.org/officeDocument/2006/relationships/hyperlink" Target="http://amazon.in" TargetMode="External"/><Relationship Id="rId2381" Type="http://schemas.openxmlformats.org/officeDocument/2006/relationships/hyperlink" Target="http://amazon.in" TargetMode="External"/><Relationship Id="rId220" Type="http://schemas.openxmlformats.org/officeDocument/2006/relationships/hyperlink" Target="http://amazon.in" TargetMode="External"/><Relationship Id="rId1051" Type="http://schemas.openxmlformats.org/officeDocument/2006/relationships/hyperlink" Target="http://amazon.in" TargetMode="External"/><Relationship Id="rId2382" Type="http://schemas.openxmlformats.org/officeDocument/2006/relationships/hyperlink" Target="http://amazon.in" TargetMode="External"/><Relationship Id="rId1052" Type="http://schemas.openxmlformats.org/officeDocument/2006/relationships/hyperlink" Target="http://amazon.in" TargetMode="External"/><Relationship Id="rId2383" Type="http://schemas.openxmlformats.org/officeDocument/2006/relationships/hyperlink" Target="http://amazon.in" TargetMode="External"/><Relationship Id="rId1053" Type="http://schemas.openxmlformats.org/officeDocument/2006/relationships/hyperlink" Target="http://amazon.in" TargetMode="External"/><Relationship Id="rId2384" Type="http://schemas.openxmlformats.org/officeDocument/2006/relationships/hyperlink" Target="http://amazon.in" TargetMode="External"/><Relationship Id="rId1054" Type="http://schemas.openxmlformats.org/officeDocument/2006/relationships/hyperlink" Target="http://amazon.in" TargetMode="External"/><Relationship Id="rId2385" Type="http://schemas.openxmlformats.org/officeDocument/2006/relationships/hyperlink" Target="http://amazon.in" TargetMode="External"/><Relationship Id="rId224" Type="http://schemas.openxmlformats.org/officeDocument/2006/relationships/hyperlink" Target="http://amazon.in" TargetMode="External"/><Relationship Id="rId1055" Type="http://schemas.openxmlformats.org/officeDocument/2006/relationships/hyperlink" Target="http://amazon.in" TargetMode="External"/><Relationship Id="rId2386" Type="http://schemas.openxmlformats.org/officeDocument/2006/relationships/hyperlink" Target="http://amazon.in" TargetMode="External"/><Relationship Id="rId223" Type="http://schemas.openxmlformats.org/officeDocument/2006/relationships/hyperlink" Target="http://amazon.in" TargetMode="External"/><Relationship Id="rId1056" Type="http://schemas.openxmlformats.org/officeDocument/2006/relationships/hyperlink" Target="http://amazon.in" TargetMode="External"/><Relationship Id="rId2387" Type="http://schemas.openxmlformats.org/officeDocument/2006/relationships/hyperlink" Target="http://amazon.in" TargetMode="External"/><Relationship Id="rId222" Type="http://schemas.openxmlformats.org/officeDocument/2006/relationships/hyperlink" Target="http://amazon.in" TargetMode="External"/><Relationship Id="rId1057" Type="http://schemas.openxmlformats.org/officeDocument/2006/relationships/hyperlink" Target="http://amazon.in" TargetMode="External"/><Relationship Id="rId2388" Type="http://schemas.openxmlformats.org/officeDocument/2006/relationships/hyperlink" Target="http://amazon.in" TargetMode="External"/><Relationship Id="rId221" Type="http://schemas.openxmlformats.org/officeDocument/2006/relationships/hyperlink" Target="http://amazon.in" TargetMode="External"/><Relationship Id="rId1058" Type="http://schemas.openxmlformats.org/officeDocument/2006/relationships/hyperlink" Target="http://amazon.in" TargetMode="External"/><Relationship Id="rId2389" Type="http://schemas.openxmlformats.org/officeDocument/2006/relationships/hyperlink" Target="http://amazon.in" TargetMode="External"/><Relationship Id="rId1048" Type="http://schemas.openxmlformats.org/officeDocument/2006/relationships/hyperlink" Target="http://amazon.in" TargetMode="External"/><Relationship Id="rId2379" Type="http://schemas.openxmlformats.org/officeDocument/2006/relationships/hyperlink" Target="http://amazon.in" TargetMode="External"/><Relationship Id="rId1049" Type="http://schemas.openxmlformats.org/officeDocument/2006/relationships/hyperlink" Target="http://amazon.in" TargetMode="External"/><Relationship Id="rId217" Type="http://schemas.openxmlformats.org/officeDocument/2006/relationships/hyperlink" Target="http://amazon.in" TargetMode="External"/><Relationship Id="rId216" Type="http://schemas.openxmlformats.org/officeDocument/2006/relationships/hyperlink" Target="http://amazon.in" TargetMode="External"/><Relationship Id="rId215" Type="http://schemas.openxmlformats.org/officeDocument/2006/relationships/hyperlink" Target="http://amazon.in" TargetMode="External"/><Relationship Id="rId214" Type="http://schemas.openxmlformats.org/officeDocument/2006/relationships/hyperlink" Target="http://amazon.in" TargetMode="External"/><Relationship Id="rId219" Type="http://schemas.openxmlformats.org/officeDocument/2006/relationships/hyperlink" Target="http://amazon.in" TargetMode="External"/><Relationship Id="rId218" Type="http://schemas.openxmlformats.org/officeDocument/2006/relationships/hyperlink" Target="http://amazon.in" TargetMode="External"/><Relationship Id="rId2370" Type="http://schemas.openxmlformats.org/officeDocument/2006/relationships/hyperlink" Target="http://amazon.in" TargetMode="External"/><Relationship Id="rId1040" Type="http://schemas.openxmlformats.org/officeDocument/2006/relationships/hyperlink" Target="http://amazon.in" TargetMode="External"/><Relationship Id="rId2371" Type="http://schemas.openxmlformats.org/officeDocument/2006/relationships/hyperlink" Target="http://amazon.in" TargetMode="External"/><Relationship Id="rId1041" Type="http://schemas.openxmlformats.org/officeDocument/2006/relationships/hyperlink" Target="http://amazon.in" TargetMode="External"/><Relationship Id="rId2372" Type="http://schemas.openxmlformats.org/officeDocument/2006/relationships/hyperlink" Target="http://amazon.in" TargetMode="External"/><Relationship Id="rId1042" Type="http://schemas.openxmlformats.org/officeDocument/2006/relationships/hyperlink" Target="http://amazon.in" TargetMode="External"/><Relationship Id="rId2373" Type="http://schemas.openxmlformats.org/officeDocument/2006/relationships/hyperlink" Target="http://amazon.in" TargetMode="External"/><Relationship Id="rId1043" Type="http://schemas.openxmlformats.org/officeDocument/2006/relationships/hyperlink" Target="http://amazon.in" TargetMode="External"/><Relationship Id="rId2374" Type="http://schemas.openxmlformats.org/officeDocument/2006/relationships/hyperlink" Target="http://amazon.in" TargetMode="External"/><Relationship Id="rId213" Type="http://schemas.openxmlformats.org/officeDocument/2006/relationships/hyperlink" Target="http://amazon.in" TargetMode="External"/><Relationship Id="rId1044" Type="http://schemas.openxmlformats.org/officeDocument/2006/relationships/hyperlink" Target="http://amazon.in" TargetMode="External"/><Relationship Id="rId2375" Type="http://schemas.openxmlformats.org/officeDocument/2006/relationships/hyperlink" Target="http://amazon.in" TargetMode="External"/><Relationship Id="rId212" Type="http://schemas.openxmlformats.org/officeDocument/2006/relationships/hyperlink" Target="http://amazon.in" TargetMode="External"/><Relationship Id="rId1045" Type="http://schemas.openxmlformats.org/officeDocument/2006/relationships/hyperlink" Target="http://amazon.in" TargetMode="External"/><Relationship Id="rId2376" Type="http://schemas.openxmlformats.org/officeDocument/2006/relationships/hyperlink" Target="http://amazon.in" TargetMode="External"/><Relationship Id="rId211" Type="http://schemas.openxmlformats.org/officeDocument/2006/relationships/hyperlink" Target="http://amazon.in" TargetMode="External"/><Relationship Id="rId1046" Type="http://schemas.openxmlformats.org/officeDocument/2006/relationships/hyperlink" Target="http://amazon.in" TargetMode="External"/><Relationship Id="rId2377" Type="http://schemas.openxmlformats.org/officeDocument/2006/relationships/hyperlink" Target="http://amazon.in" TargetMode="External"/><Relationship Id="rId210" Type="http://schemas.openxmlformats.org/officeDocument/2006/relationships/hyperlink" Target="http://amazon.in" TargetMode="External"/><Relationship Id="rId1047" Type="http://schemas.openxmlformats.org/officeDocument/2006/relationships/hyperlink" Target="http://amazon.in" TargetMode="External"/><Relationship Id="rId2378" Type="http://schemas.openxmlformats.org/officeDocument/2006/relationships/hyperlink" Target="http://amazon.in" TargetMode="External"/><Relationship Id="rId4107" Type="http://schemas.openxmlformats.org/officeDocument/2006/relationships/hyperlink" Target="http://amazon.in" TargetMode="External"/><Relationship Id="rId4106" Type="http://schemas.openxmlformats.org/officeDocument/2006/relationships/hyperlink" Target="http://amazon.in" TargetMode="External"/><Relationship Id="rId4109" Type="http://schemas.openxmlformats.org/officeDocument/2006/relationships/hyperlink" Target="http://amazon.in" TargetMode="External"/><Relationship Id="rId4108" Type="http://schemas.openxmlformats.org/officeDocument/2006/relationships/hyperlink" Target="http://amazon.in" TargetMode="External"/><Relationship Id="rId249" Type="http://schemas.openxmlformats.org/officeDocument/2006/relationships/hyperlink" Target="http://amazon.in" TargetMode="External"/><Relationship Id="rId248" Type="http://schemas.openxmlformats.org/officeDocument/2006/relationships/hyperlink" Target="http://amazon.in" TargetMode="External"/><Relationship Id="rId247" Type="http://schemas.openxmlformats.org/officeDocument/2006/relationships/hyperlink" Target="http://amazon.in" TargetMode="External"/><Relationship Id="rId1070" Type="http://schemas.openxmlformats.org/officeDocument/2006/relationships/hyperlink" Target="http://amazon.in" TargetMode="External"/><Relationship Id="rId1071" Type="http://schemas.openxmlformats.org/officeDocument/2006/relationships/hyperlink" Target="http://amazon.in" TargetMode="External"/><Relationship Id="rId1072" Type="http://schemas.openxmlformats.org/officeDocument/2006/relationships/hyperlink" Target="http://amazon.in" TargetMode="External"/><Relationship Id="rId242" Type="http://schemas.openxmlformats.org/officeDocument/2006/relationships/hyperlink" Target="http://amazon.in" TargetMode="External"/><Relationship Id="rId1073" Type="http://schemas.openxmlformats.org/officeDocument/2006/relationships/hyperlink" Target="http://amazon.in" TargetMode="External"/><Relationship Id="rId241" Type="http://schemas.openxmlformats.org/officeDocument/2006/relationships/hyperlink" Target="http://amazon.in" TargetMode="External"/><Relationship Id="rId1074" Type="http://schemas.openxmlformats.org/officeDocument/2006/relationships/hyperlink" Target="http://amazon.in" TargetMode="External"/><Relationship Id="rId240" Type="http://schemas.openxmlformats.org/officeDocument/2006/relationships/hyperlink" Target="http://amazon.in" TargetMode="External"/><Relationship Id="rId1075" Type="http://schemas.openxmlformats.org/officeDocument/2006/relationships/hyperlink" Target="http://amazon.in" TargetMode="External"/><Relationship Id="rId4101" Type="http://schemas.openxmlformats.org/officeDocument/2006/relationships/hyperlink" Target="http://amazon.in" TargetMode="External"/><Relationship Id="rId1076" Type="http://schemas.openxmlformats.org/officeDocument/2006/relationships/hyperlink" Target="http://amazon.in" TargetMode="External"/><Relationship Id="rId4100" Type="http://schemas.openxmlformats.org/officeDocument/2006/relationships/hyperlink" Target="http://amazon.in" TargetMode="External"/><Relationship Id="rId246" Type="http://schemas.openxmlformats.org/officeDocument/2006/relationships/hyperlink" Target="http://amazon.in" TargetMode="External"/><Relationship Id="rId1077" Type="http://schemas.openxmlformats.org/officeDocument/2006/relationships/hyperlink" Target="http://amazon.in" TargetMode="External"/><Relationship Id="rId4103" Type="http://schemas.openxmlformats.org/officeDocument/2006/relationships/hyperlink" Target="http://amazon.in" TargetMode="External"/><Relationship Id="rId245" Type="http://schemas.openxmlformats.org/officeDocument/2006/relationships/hyperlink" Target="http://amazon.in" TargetMode="External"/><Relationship Id="rId1078" Type="http://schemas.openxmlformats.org/officeDocument/2006/relationships/hyperlink" Target="http://amazon.in" TargetMode="External"/><Relationship Id="rId4102" Type="http://schemas.openxmlformats.org/officeDocument/2006/relationships/hyperlink" Target="http://amazon.in" TargetMode="External"/><Relationship Id="rId244" Type="http://schemas.openxmlformats.org/officeDocument/2006/relationships/hyperlink" Target="http://amazon.in" TargetMode="External"/><Relationship Id="rId1079" Type="http://schemas.openxmlformats.org/officeDocument/2006/relationships/hyperlink" Target="http://amazon.in" TargetMode="External"/><Relationship Id="rId4105" Type="http://schemas.openxmlformats.org/officeDocument/2006/relationships/hyperlink" Target="http://amazon.in" TargetMode="External"/><Relationship Id="rId243" Type="http://schemas.openxmlformats.org/officeDocument/2006/relationships/hyperlink" Target="http://amazon.in" TargetMode="External"/><Relationship Id="rId4104" Type="http://schemas.openxmlformats.org/officeDocument/2006/relationships/hyperlink" Target="http://amazon.in" TargetMode="External"/><Relationship Id="rId239" Type="http://schemas.openxmlformats.org/officeDocument/2006/relationships/hyperlink" Target="http://amazon.in" TargetMode="External"/><Relationship Id="rId238" Type="http://schemas.openxmlformats.org/officeDocument/2006/relationships/hyperlink" Target="http://amazon.in" TargetMode="External"/><Relationship Id="rId237" Type="http://schemas.openxmlformats.org/officeDocument/2006/relationships/hyperlink" Target="http://amazon.in" TargetMode="External"/><Relationship Id="rId236" Type="http://schemas.openxmlformats.org/officeDocument/2006/relationships/hyperlink" Target="http://amazon.in" TargetMode="External"/><Relationship Id="rId2390" Type="http://schemas.openxmlformats.org/officeDocument/2006/relationships/hyperlink" Target="http://amazon.in" TargetMode="External"/><Relationship Id="rId1060" Type="http://schemas.openxmlformats.org/officeDocument/2006/relationships/hyperlink" Target="http://amazon.in" TargetMode="External"/><Relationship Id="rId2391" Type="http://schemas.openxmlformats.org/officeDocument/2006/relationships/hyperlink" Target="http://amazon.in" TargetMode="External"/><Relationship Id="rId1061" Type="http://schemas.openxmlformats.org/officeDocument/2006/relationships/hyperlink" Target="http://amazon.in" TargetMode="External"/><Relationship Id="rId2392" Type="http://schemas.openxmlformats.org/officeDocument/2006/relationships/hyperlink" Target="http://amazon.in" TargetMode="External"/><Relationship Id="rId231" Type="http://schemas.openxmlformats.org/officeDocument/2006/relationships/hyperlink" Target="http://amazon.in" TargetMode="External"/><Relationship Id="rId1062" Type="http://schemas.openxmlformats.org/officeDocument/2006/relationships/hyperlink" Target="http://amazon.in" TargetMode="External"/><Relationship Id="rId2393" Type="http://schemas.openxmlformats.org/officeDocument/2006/relationships/hyperlink" Target="http://amazon.in" TargetMode="External"/><Relationship Id="rId230" Type="http://schemas.openxmlformats.org/officeDocument/2006/relationships/hyperlink" Target="http://amazon.in" TargetMode="External"/><Relationship Id="rId1063" Type="http://schemas.openxmlformats.org/officeDocument/2006/relationships/hyperlink" Target="http://amazon.in" TargetMode="External"/><Relationship Id="rId2394" Type="http://schemas.openxmlformats.org/officeDocument/2006/relationships/hyperlink" Target="http://amazon.in" TargetMode="External"/><Relationship Id="rId1064" Type="http://schemas.openxmlformats.org/officeDocument/2006/relationships/hyperlink" Target="http://amazon.in" TargetMode="External"/><Relationship Id="rId2395" Type="http://schemas.openxmlformats.org/officeDocument/2006/relationships/hyperlink" Target="http://amazon.in" TargetMode="External"/><Relationship Id="rId1065" Type="http://schemas.openxmlformats.org/officeDocument/2006/relationships/hyperlink" Target="http://amazon.in" TargetMode="External"/><Relationship Id="rId2396" Type="http://schemas.openxmlformats.org/officeDocument/2006/relationships/hyperlink" Target="http://amazon.in" TargetMode="External"/><Relationship Id="rId235" Type="http://schemas.openxmlformats.org/officeDocument/2006/relationships/hyperlink" Target="http://amazon.in" TargetMode="External"/><Relationship Id="rId1066" Type="http://schemas.openxmlformats.org/officeDocument/2006/relationships/hyperlink" Target="http://amazon.in" TargetMode="External"/><Relationship Id="rId2397" Type="http://schemas.openxmlformats.org/officeDocument/2006/relationships/hyperlink" Target="http://amazon.in" TargetMode="External"/><Relationship Id="rId234" Type="http://schemas.openxmlformats.org/officeDocument/2006/relationships/hyperlink" Target="http://amazon.in" TargetMode="External"/><Relationship Id="rId1067" Type="http://schemas.openxmlformats.org/officeDocument/2006/relationships/hyperlink" Target="http://amazon.in" TargetMode="External"/><Relationship Id="rId2398" Type="http://schemas.openxmlformats.org/officeDocument/2006/relationships/hyperlink" Target="http://amazon.in" TargetMode="External"/><Relationship Id="rId233" Type="http://schemas.openxmlformats.org/officeDocument/2006/relationships/hyperlink" Target="http://amazon.in" TargetMode="External"/><Relationship Id="rId1068" Type="http://schemas.openxmlformats.org/officeDocument/2006/relationships/hyperlink" Target="http://amazon.in" TargetMode="External"/><Relationship Id="rId2399" Type="http://schemas.openxmlformats.org/officeDocument/2006/relationships/hyperlink" Target="http://amazon.in" TargetMode="External"/><Relationship Id="rId232" Type="http://schemas.openxmlformats.org/officeDocument/2006/relationships/hyperlink" Target="http://amazon.in" TargetMode="External"/><Relationship Id="rId1069" Type="http://schemas.openxmlformats.org/officeDocument/2006/relationships/hyperlink" Target="http://amazon.in" TargetMode="External"/><Relationship Id="rId1015" Type="http://schemas.openxmlformats.org/officeDocument/2006/relationships/hyperlink" Target="http://amazon.in" TargetMode="External"/><Relationship Id="rId2346" Type="http://schemas.openxmlformats.org/officeDocument/2006/relationships/hyperlink" Target="http://amazon.in" TargetMode="External"/><Relationship Id="rId3678" Type="http://schemas.openxmlformats.org/officeDocument/2006/relationships/hyperlink" Target="http://amazon.in" TargetMode="External"/><Relationship Id="rId1016" Type="http://schemas.openxmlformats.org/officeDocument/2006/relationships/hyperlink" Target="http://amazon.in" TargetMode="External"/><Relationship Id="rId2347" Type="http://schemas.openxmlformats.org/officeDocument/2006/relationships/hyperlink" Target="http://amazon.in" TargetMode="External"/><Relationship Id="rId3677" Type="http://schemas.openxmlformats.org/officeDocument/2006/relationships/hyperlink" Target="http://amazon.in" TargetMode="External"/><Relationship Id="rId1017" Type="http://schemas.openxmlformats.org/officeDocument/2006/relationships/hyperlink" Target="http://amazon.in" TargetMode="External"/><Relationship Id="rId2348" Type="http://schemas.openxmlformats.org/officeDocument/2006/relationships/hyperlink" Target="http://amazon.in" TargetMode="External"/><Relationship Id="rId1018" Type="http://schemas.openxmlformats.org/officeDocument/2006/relationships/hyperlink" Target="http://amazon.in" TargetMode="External"/><Relationship Id="rId2349" Type="http://schemas.openxmlformats.org/officeDocument/2006/relationships/hyperlink" Target="http://amazon.in" TargetMode="External"/><Relationship Id="rId3679" Type="http://schemas.openxmlformats.org/officeDocument/2006/relationships/hyperlink" Target="http://amazon.in" TargetMode="External"/><Relationship Id="rId1019" Type="http://schemas.openxmlformats.org/officeDocument/2006/relationships/hyperlink" Target="http://amazon.in" TargetMode="External"/><Relationship Id="rId3670" Type="http://schemas.openxmlformats.org/officeDocument/2006/relationships/hyperlink" Target="http://amazon.in" TargetMode="External"/><Relationship Id="rId2340" Type="http://schemas.openxmlformats.org/officeDocument/2006/relationships/hyperlink" Target="http://amazon.in" TargetMode="External"/><Relationship Id="rId3672" Type="http://schemas.openxmlformats.org/officeDocument/2006/relationships/hyperlink" Target="http://amazon.in" TargetMode="External"/><Relationship Id="rId1010" Type="http://schemas.openxmlformats.org/officeDocument/2006/relationships/hyperlink" Target="http://amazon.in" TargetMode="External"/><Relationship Id="rId2341" Type="http://schemas.openxmlformats.org/officeDocument/2006/relationships/hyperlink" Target="http://amazon.in" TargetMode="External"/><Relationship Id="rId3671" Type="http://schemas.openxmlformats.org/officeDocument/2006/relationships/hyperlink" Target="http://amazon.in" TargetMode="External"/><Relationship Id="rId1011" Type="http://schemas.openxmlformats.org/officeDocument/2006/relationships/hyperlink" Target="http://amazon.in" TargetMode="External"/><Relationship Id="rId2342" Type="http://schemas.openxmlformats.org/officeDocument/2006/relationships/hyperlink" Target="http://amazon.in" TargetMode="External"/><Relationship Id="rId3674" Type="http://schemas.openxmlformats.org/officeDocument/2006/relationships/hyperlink" Target="http://amazon.in" TargetMode="External"/><Relationship Id="rId1012" Type="http://schemas.openxmlformats.org/officeDocument/2006/relationships/hyperlink" Target="http://amazon.in" TargetMode="External"/><Relationship Id="rId2343" Type="http://schemas.openxmlformats.org/officeDocument/2006/relationships/hyperlink" Target="http://amazon.in" TargetMode="External"/><Relationship Id="rId3673" Type="http://schemas.openxmlformats.org/officeDocument/2006/relationships/hyperlink" Target="http://amazon.in" TargetMode="External"/><Relationship Id="rId1013" Type="http://schemas.openxmlformats.org/officeDocument/2006/relationships/hyperlink" Target="http://amazon.in" TargetMode="External"/><Relationship Id="rId2344" Type="http://schemas.openxmlformats.org/officeDocument/2006/relationships/hyperlink" Target="http://amazon.in" TargetMode="External"/><Relationship Id="rId3676" Type="http://schemas.openxmlformats.org/officeDocument/2006/relationships/hyperlink" Target="http://amazon.in" TargetMode="External"/><Relationship Id="rId1014" Type="http://schemas.openxmlformats.org/officeDocument/2006/relationships/hyperlink" Target="http://amazon.in" TargetMode="External"/><Relationship Id="rId2345" Type="http://schemas.openxmlformats.org/officeDocument/2006/relationships/hyperlink" Target="http://amazon.in" TargetMode="External"/><Relationship Id="rId3675" Type="http://schemas.openxmlformats.org/officeDocument/2006/relationships/hyperlink" Target="http://amazon.in" TargetMode="External"/><Relationship Id="rId1004" Type="http://schemas.openxmlformats.org/officeDocument/2006/relationships/hyperlink" Target="http://amazon.in" TargetMode="External"/><Relationship Id="rId2335" Type="http://schemas.openxmlformats.org/officeDocument/2006/relationships/hyperlink" Target="http://amazon.in" TargetMode="External"/><Relationship Id="rId3667" Type="http://schemas.openxmlformats.org/officeDocument/2006/relationships/hyperlink" Target="http://amazon.in" TargetMode="External"/><Relationship Id="rId4998" Type="http://schemas.openxmlformats.org/officeDocument/2006/relationships/hyperlink" Target="http://amazon.in" TargetMode="External"/><Relationship Id="rId1005" Type="http://schemas.openxmlformats.org/officeDocument/2006/relationships/hyperlink" Target="http://amazon.in" TargetMode="External"/><Relationship Id="rId2336" Type="http://schemas.openxmlformats.org/officeDocument/2006/relationships/hyperlink" Target="http://amazon.in" TargetMode="External"/><Relationship Id="rId3666" Type="http://schemas.openxmlformats.org/officeDocument/2006/relationships/hyperlink" Target="http://amazon.in" TargetMode="External"/><Relationship Id="rId4997" Type="http://schemas.openxmlformats.org/officeDocument/2006/relationships/hyperlink" Target="http://amazon.in" TargetMode="External"/><Relationship Id="rId1006" Type="http://schemas.openxmlformats.org/officeDocument/2006/relationships/hyperlink" Target="http://amazon.in" TargetMode="External"/><Relationship Id="rId2337" Type="http://schemas.openxmlformats.org/officeDocument/2006/relationships/hyperlink" Target="http://amazon.in" TargetMode="External"/><Relationship Id="rId3669" Type="http://schemas.openxmlformats.org/officeDocument/2006/relationships/hyperlink" Target="http://amazon.in" TargetMode="External"/><Relationship Id="rId1007" Type="http://schemas.openxmlformats.org/officeDocument/2006/relationships/hyperlink" Target="http://amazon.in" TargetMode="External"/><Relationship Id="rId2338" Type="http://schemas.openxmlformats.org/officeDocument/2006/relationships/hyperlink" Target="http://amazon.in" TargetMode="External"/><Relationship Id="rId3668" Type="http://schemas.openxmlformats.org/officeDocument/2006/relationships/hyperlink" Target="http://amazon.in" TargetMode="External"/><Relationship Id="rId4999" Type="http://schemas.openxmlformats.org/officeDocument/2006/relationships/hyperlink" Target="http://amazon.in" TargetMode="External"/><Relationship Id="rId1008" Type="http://schemas.openxmlformats.org/officeDocument/2006/relationships/hyperlink" Target="http://amazon.in" TargetMode="External"/><Relationship Id="rId2339" Type="http://schemas.openxmlformats.org/officeDocument/2006/relationships/hyperlink" Target="http://amazon.in" TargetMode="External"/><Relationship Id="rId1009" Type="http://schemas.openxmlformats.org/officeDocument/2006/relationships/hyperlink" Target="http://amazon.in" TargetMode="External"/><Relationship Id="rId4990" Type="http://schemas.openxmlformats.org/officeDocument/2006/relationships/hyperlink" Target="http://amazon.in" TargetMode="External"/><Relationship Id="rId3661" Type="http://schemas.openxmlformats.org/officeDocument/2006/relationships/hyperlink" Target="http://amazon.in" TargetMode="External"/><Relationship Id="rId4992" Type="http://schemas.openxmlformats.org/officeDocument/2006/relationships/hyperlink" Target="http://amazon.in" TargetMode="External"/><Relationship Id="rId2330" Type="http://schemas.openxmlformats.org/officeDocument/2006/relationships/hyperlink" Target="http://amazon.in" TargetMode="External"/><Relationship Id="rId3660" Type="http://schemas.openxmlformats.org/officeDocument/2006/relationships/hyperlink" Target="http://amazon.in" TargetMode="External"/><Relationship Id="rId4991" Type="http://schemas.openxmlformats.org/officeDocument/2006/relationships/hyperlink" Target="http://amazon.in" TargetMode="External"/><Relationship Id="rId1000" Type="http://schemas.openxmlformats.org/officeDocument/2006/relationships/hyperlink" Target="http://amazon.in" TargetMode="External"/><Relationship Id="rId2331" Type="http://schemas.openxmlformats.org/officeDocument/2006/relationships/hyperlink" Target="http://amazon.in" TargetMode="External"/><Relationship Id="rId3663" Type="http://schemas.openxmlformats.org/officeDocument/2006/relationships/hyperlink" Target="http://amazon.in" TargetMode="External"/><Relationship Id="rId4994" Type="http://schemas.openxmlformats.org/officeDocument/2006/relationships/hyperlink" Target="http://amazon.in" TargetMode="External"/><Relationship Id="rId1001" Type="http://schemas.openxmlformats.org/officeDocument/2006/relationships/hyperlink" Target="http://amazon.in" TargetMode="External"/><Relationship Id="rId2332" Type="http://schemas.openxmlformats.org/officeDocument/2006/relationships/hyperlink" Target="http://amazon.in" TargetMode="External"/><Relationship Id="rId3662" Type="http://schemas.openxmlformats.org/officeDocument/2006/relationships/hyperlink" Target="http://amazon.in" TargetMode="External"/><Relationship Id="rId4993" Type="http://schemas.openxmlformats.org/officeDocument/2006/relationships/hyperlink" Target="http://amazon.in" TargetMode="External"/><Relationship Id="rId1002" Type="http://schemas.openxmlformats.org/officeDocument/2006/relationships/hyperlink" Target="http://amazon.in" TargetMode="External"/><Relationship Id="rId2333" Type="http://schemas.openxmlformats.org/officeDocument/2006/relationships/hyperlink" Target="http://amazon.in" TargetMode="External"/><Relationship Id="rId3665" Type="http://schemas.openxmlformats.org/officeDocument/2006/relationships/hyperlink" Target="http://amazon.in" TargetMode="External"/><Relationship Id="rId4996" Type="http://schemas.openxmlformats.org/officeDocument/2006/relationships/hyperlink" Target="http://amazon.in" TargetMode="External"/><Relationship Id="rId1003" Type="http://schemas.openxmlformats.org/officeDocument/2006/relationships/hyperlink" Target="http://amazon.in" TargetMode="External"/><Relationship Id="rId2334" Type="http://schemas.openxmlformats.org/officeDocument/2006/relationships/hyperlink" Target="http://amazon.in" TargetMode="External"/><Relationship Id="rId3664" Type="http://schemas.openxmlformats.org/officeDocument/2006/relationships/hyperlink" Target="http://amazon.in" TargetMode="External"/><Relationship Id="rId4995" Type="http://schemas.openxmlformats.org/officeDocument/2006/relationships/hyperlink" Target="http://amazon.in" TargetMode="External"/><Relationship Id="rId1037" Type="http://schemas.openxmlformats.org/officeDocument/2006/relationships/hyperlink" Target="http://amazon.in" TargetMode="External"/><Relationship Id="rId2368" Type="http://schemas.openxmlformats.org/officeDocument/2006/relationships/hyperlink" Target="http://amazon.in" TargetMode="External"/><Relationship Id="rId1038" Type="http://schemas.openxmlformats.org/officeDocument/2006/relationships/hyperlink" Target="http://amazon.in" TargetMode="External"/><Relationship Id="rId2369" Type="http://schemas.openxmlformats.org/officeDocument/2006/relationships/hyperlink" Target="http://amazon.in" TargetMode="External"/><Relationship Id="rId3699" Type="http://schemas.openxmlformats.org/officeDocument/2006/relationships/hyperlink" Target="http://amazon.in" TargetMode="External"/><Relationship Id="rId1039" Type="http://schemas.openxmlformats.org/officeDocument/2006/relationships/hyperlink" Target="http://amazon.in" TargetMode="External"/><Relationship Id="rId206" Type="http://schemas.openxmlformats.org/officeDocument/2006/relationships/hyperlink" Target="http://amazon.in" TargetMode="External"/><Relationship Id="rId205" Type="http://schemas.openxmlformats.org/officeDocument/2006/relationships/hyperlink" Target="http://amazon.in" TargetMode="External"/><Relationship Id="rId204" Type="http://schemas.openxmlformats.org/officeDocument/2006/relationships/hyperlink" Target="http://amazon.in" TargetMode="External"/><Relationship Id="rId203" Type="http://schemas.openxmlformats.org/officeDocument/2006/relationships/hyperlink" Target="http://amazon.in" TargetMode="External"/><Relationship Id="rId209" Type="http://schemas.openxmlformats.org/officeDocument/2006/relationships/hyperlink" Target="http://amazon.in" TargetMode="External"/><Relationship Id="rId208" Type="http://schemas.openxmlformats.org/officeDocument/2006/relationships/hyperlink" Target="http://amazon.in" TargetMode="External"/><Relationship Id="rId3690" Type="http://schemas.openxmlformats.org/officeDocument/2006/relationships/hyperlink" Target="http://amazon.in" TargetMode="External"/><Relationship Id="rId207" Type="http://schemas.openxmlformats.org/officeDocument/2006/relationships/hyperlink" Target="http://amazon.in" TargetMode="External"/><Relationship Id="rId2360" Type="http://schemas.openxmlformats.org/officeDocument/2006/relationships/hyperlink" Target="http://amazon.in" TargetMode="External"/><Relationship Id="rId3692" Type="http://schemas.openxmlformats.org/officeDocument/2006/relationships/hyperlink" Target="http://amazon.in" TargetMode="External"/><Relationship Id="rId1030" Type="http://schemas.openxmlformats.org/officeDocument/2006/relationships/hyperlink" Target="http://amazon.in" TargetMode="External"/><Relationship Id="rId2361" Type="http://schemas.openxmlformats.org/officeDocument/2006/relationships/hyperlink" Target="http://amazon.in" TargetMode="External"/><Relationship Id="rId3691" Type="http://schemas.openxmlformats.org/officeDocument/2006/relationships/hyperlink" Target="http://amazon.in" TargetMode="External"/><Relationship Id="rId1031" Type="http://schemas.openxmlformats.org/officeDocument/2006/relationships/hyperlink" Target="http://amazon.in" TargetMode="External"/><Relationship Id="rId2362" Type="http://schemas.openxmlformats.org/officeDocument/2006/relationships/hyperlink" Target="http://amazon.in" TargetMode="External"/><Relationship Id="rId3694" Type="http://schemas.openxmlformats.org/officeDocument/2006/relationships/hyperlink" Target="http://amazon.in" TargetMode="External"/><Relationship Id="rId1032" Type="http://schemas.openxmlformats.org/officeDocument/2006/relationships/hyperlink" Target="http://amazon.in" TargetMode="External"/><Relationship Id="rId2363" Type="http://schemas.openxmlformats.org/officeDocument/2006/relationships/hyperlink" Target="http://amazon.in" TargetMode="External"/><Relationship Id="rId3693" Type="http://schemas.openxmlformats.org/officeDocument/2006/relationships/hyperlink" Target="http://amazon.in" TargetMode="External"/><Relationship Id="rId202" Type="http://schemas.openxmlformats.org/officeDocument/2006/relationships/hyperlink" Target="http://amazon.in" TargetMode="External"/><Relationship Id="rId1033" Type="http://schemas.openxmlformats.org/officeDocument/2006/relationships/hyperlink" Target="http://amazon.in" TargetMode="External"/><Relationship Id="rId2364" Type="http://schemas.openxmlformats.org/officeDocument/2006/relationships/hyperlink" Target="http://amazon.in" TargetMode="External"/><Relationship Id="rId3696" Type="http://schemas.openxmlformats.org/officeDocument/2006/relationships/hyperlink" Target="http://amazon.in" TargetMode="External"/><Relationship Id="rId201" Type="http://schemas.openxmlformats.org/officeDocument/2006/relationships/hyperlink" Target="http://amazon.in" TargetMode="External"/><Relationship Id="rId1034" Type="http://schemas.openxmlformats.org/officeDocument/2006/relationships/hyperlink" Target="http://amazon.in" TargetMode="External"/><Relationship Id="rId2365" Type="http://schemas.openxmlformats.org/officeDocument/2006/relationships/hyperlink" Target="http://amazon.in" TargetMode="External"/><Relationship Id="rId3695" Type="http://schemas.openxmlformats.org/officeDocument/2006/relationships/hyperlink" Target="http://amazon.in" TargetMode="External"/><Relationship Id="rId200" Type="http://schemas.openxmlformats.org/officeDocument/2006/relationships/hyperlink" Target="http://amazon.in" TargetMode="External"/><Relationship Id="rId1035" Type="http://schemas.openxmlformats.org/officeDocument/2006/relationships/hyperlink" Target="http://amazon.in" TargetMode="External"/><Relationship Id="rId2366" Type="http://schemas.openxmlformats.org/officeDocument/2006/relationships/hyperlink" Target="http://amazon.in" TargetMode="External"/><Relationship Id="rId3698" Type="http://schemas.openxmlformats.org/officeDocument/2006/relationships/hyperlink" Target="http://amazon.in" TargetMode="External"/><Relationship Id="rId1036" Type="http://schemas.openxmlformats.org/officeDocument/2006/relationships/hyperlink" Target="http://amazon.in" TargetMode="External"/><Relationship Id="rId2367" Type="http://schemas.openxmlformats.org/officeDocument/2006/relationships/hyperlink" Target="http://amazon.in" TargetMode="External"/><Relationship Id="rId3697" Type="http://schemas.openxmlformats.org/officeDocument/2006/relationships/hyperlink" Target="http://amazon.in" TargetMode="External"/><Relationship Id="rId1026" Type="http://schemas.openxmlformats.org/officeDocument/2006/relationships/hyperlink" Target="http://amazon.in" TargetMode="External"/><Relationship Id="rId2357" Type="http://schemas.openxmlformats.org/officeDocument/2006/relationships/hyperlink" Target="http://amazon.in" TargetMode="External"/><Relationship Id="rId3689" Type="http://schemas.openxmlformats.org/officeDocument/2006/relationships/hyperlink" Target="http://amazon.in" TargetMode="External"/><Relationship Id="rId1027" Type="http://schemas.openxmlformats.org/officeDocument/2006/relationships/hyperlink" Target="http://amazon.in" TargetMode="External"/><Relationship Id="rId2358" Type="http://schemas.openxmlformats.org/officeDocument/2006/relationships/hyperlink" Target="http://amazon.in" TargetMode="External"/><Relationship Id="rId3688" Type="http://schemas.openxmlformats.org/officeDocument/2006/relationships/hyperlink" Target="http://amazon.in" TargetMode="External"/><Relationship Id="rId1028" Type="http://schemas.openxmlformats.org/officeDocument/2006/relationships/hyperlink" Target="http://amazon.in" TargetMode="External"/><Relationship Id="rId2359" Type="http://schemas.openxmlformats.org/officeDocument/2006/relationships/hyperlink" Target="http://amazon.in" TargetMode="External"/><Relationship Id="rId1029" Type="http://schemas.openxmlformats.org/officeDocument/2006/relationships/hyperlink" Target="http://amazon.in" TargetMode="External"/><Relationship Id="rId3681" Type="http://schemas.openxmlformats.org/officeDocument/2006/relationships/hyperlink" Target="http://amazon.in" TargetMode="External"/><Relationship Id="rId2350" Type="http://schemas.openxmlformats.org/officeDocument/2006/relationships/hyperlink" Target="http://amazon.in" TargetMode="External"/><Relationship Id="rId3680" Type="http://schemas.openxmlformats.org/officeDocument/2006/relationships/hyperlink" Target="http://amazon.in" TargetMode="External"/><Relationship Id="rId1020" Type="http://schemas.openxmlformats.org/officeDocument/2006/relationships/hyperlink" Target="http://amazon.in" TargetMode="External"/><Relationship Id="rId2351" Type="http://schemas.openxmlformats.org/officeDocument/2006/relationships/hyperlink" Target="http://amazon.in" TargetMode="External"/><Relationship Id="rId3683" Type="http://schemas.openxmlformats.org/officeDocument/2006/relationships/hyperlink" Target="http://amazon.in" TargetMode="External"/><Relationship Id="rId1021" Type="http://schemas.openxmlformats.org/officeDocument/2006/relationships/hyperlink" Target="http://amazon.in" TargetMode="External"/><Relationship Id="rId2352" Type="http://schemas.openxmlformats.org/officeDocument/2006/relationships/hyperlink" Target="http://amazon.in" TargetMode="External"/><Relationship Id="rId3682" Type="http://schemas.openxmlformats.org/officeDocument/2006/relationships/hyperlink" Target="http://amazon.in" TargetMode="External"/><Relationship Id="rId1022" Type="http://schemas.openxmlformats.org/officeDocument/2006/relationships/hyperlink" Target="http://amazon.in" TargetMode="External"/><Relationship Id="rId2353" Type="http://schemas.openxmlformats.org/officeDocument/2006/relationships/hyperlink" Target="http://amazon.in" TargetMode="External"/><Relationship Id="rId3685" Type="http://schemas.openxmlformats.org/officeDocument/2006/relationships/hyperlink" Target="http://amazon.in" TargetMode="External"/><Relationship Id="rId1023" Type="http://schemas.openxmlformats.org/officeDocument/2006/relationships/hyperlink" Target="http://amazon.in" TargetMode="External"/><Relationship Id="rId2354" Type="http://schemas.openxmlformats.org/officeDocument/2006/relationships/hyperlink" Target="http://amazon.in" TargetMode="External"/><Relationship Id="rId3684" Type="http://schemas.openxmlformats.org/officeDocument/2006/relationships/hyperlink" Target="http://amazon.in" TargetMode="External"/><Relationship Id="rId1024" Type="http://schemas.openxmlformats.org/officeDocument/2006/relationships/hyperlink" Target="http://amazon.in" TargetMode="External"/><Relationship Id="rId2355" Type="http://schemas.openxmlformats.org/officeDocument/2006/relationships/hyperlink" Target="http://amazon.in" TargetMode="External"/><Relationship Id="rId3687" Type="http://schemas.openxmlformats.org/officeDocument/2006/relationships/hyperlink" Target="http://amazon.in" TargetMode="External"/><Relationship Id="rId1025" Type="http://schemas.openxmlformats.org/officeDocument/2006/relationships/hyperlink" Target="http://amazon.in" TargetMode="External"/><Relationship Id="rId2356" Type="http://schemas.openxmlformats.org/officeDocument/2006/relationships/hyperlink" Target="http://amazon.in" TargetMode="External"/><Relationship Id="rId3686" Type="http://schemas.openxmlformats.org/officeDocument/2006/relationships/hyperlink" Target="http://amazon.in" TargetMode="External"/><Relationship Id="rId4161" Type="http://schemas.openxmlformats.org/officeDocument/2006/relationships/hyperlink" Target="http://amazon.in" TargetMode="External"/><Relationship Id="rId4160" Type="http://schemas.openxmlformats.org/officeDocument/2006/relationships/hyperlink" Target="http://amazon.in" TargetMode="External"/><Relationship Id="rId4163" Type="http://schemas.openxmlformats.org/officeDocument/2006/relationships/hyperlink" Target="http://amazon.in" TargetMode="External"/><Relationship Id="rId4162" Type="http://schemas.openxmlformats.org/officeDocument/2006/relationships/hyperlink" Target="http://amazon.in" TargetMode="External"/><Relationship Id="rId4165" Type="http://schemas.openxmlformats.org/officeDocument/2006/relationships/hyperlink" Target="http://amazon.in" TargetMode="External"/><Relationship Id="rId4164" Type="http://schemas.openxmlformats.org/officeDocument/2006/relationships/hyperlink" Target="http://amazon.in" TargetMode="External"/><Relationship Id="rId4167" Type="http://schemas.openxmlformats.org/officeDocument/2006/relationships/hyperlink" Target="http://amazon.in" TargetMode="External"/><Relationship Id="rId4166" Type="http://schemas.openxmlformats.org/officeDocument/2006/relationships/hyperlink" Target="http://amazon.in" TargetMode="External"/><Relationship Id="rId4169" Type="http://schemas.openxmlformats.org/officeDocument/2006/relationships/hyperlink" Target="http://amazon.in" TargetMode="External"/><Relationship Id="rId4168" Type="http://schemas.openxmlformats.org/officeDocument/2006/relationships/hyperlink" Target="http://amazon.in" TargetMode="External"/><Relationship Id="rId4150" Type="http://schemas.openxmlformats.org/officeDocument/2006/relationships/hyperlink" Target="http://amazon.in" TargetMode="External"/><Relationship Id="rId4152" Type="http://schemas.openxmlformats.org/officeDocument/2006/relationships/hyperlink" Target="http://amazon.in" TargetMode="External"/><Relationship Id="rId4151" Type="http://schemas.openxmlformats.org/officeDocument/2006/relationships/hyperlink" Target="http://amazon.in" TargetMode="External"/><Relationship Id="rId4154" Type="http://schemas.openxmlformats.org/officeDocument/2006/relationships/hyperlink" Target="http://amazon.in" TargetMode="External"/><Relationship Id="rId4153" Type="http://schemas.openxmlformats.org/officeDocument/2006/relationships/hyperlink" Target="http://amazon.in" TargetMode="External"/><Relationship Id="rId4156" Type="http://schemas.openxmlformats.org/officeDocument/2006/relationships/hyperlink" Target="http://amazon.in" TargetMode="External"/><Relationship Id="rId4155" Type="http://schemas.openxmlformats.org/officeDocument/2006/relationships/hyperlink" Target="http://amazon.in" TargetMode="External"/><Relationship Id="rId4158" Type="http://schemas.openxmlformats.org/officeDocument/2006/relationships/hyperlink" Target="http://amazon.in" TargetMode="External"/><Relationship Id="rId4157" Type="http://schemas.openxmlformats.org/officeDocument/2006/relationships/hyperlink" Target="http://amazon.in" TargetMode="External"/><Relationship Id="rId4159" Type="http://schemas.openxmlformats.org/officeDocument/2006/relationships/hyperlink" Target="http://amazon.in" TargetMode="External"/><Relationship Id="rId1910" Type="http://schemas.openxmlformats.org/officeDocument/2006/relationships/hyperlink" Target="http://amazon.in" TargetMode="External"/><Relationship Id="rId1911" Type="http://schemas.openxmlformats.org/officeDocument/2006/relationships/hyperlink" Target="http://amazon.in" TargetMode="External"/><Relationship Id="rId1912" Type="http://schemas.openxmlformats.org/officeDocument/2006/relationships/hyperlink" Target="http://amazon.in" TargetMode="External"/><Relationship Id="rId1913" Type="http://schemas.openxmlformats.org/officeDocument/2006/relationships/hyperlink" Target="http://amazon.in" TargetMode="External"/><Relationship Id="rId1914" Type="http://schemas.openxmlformats.org/officeDocument/2006/relationships/hyperlink" Target="http://amazon.in" TargetMode="External"/><Relationship Id="rId1915" Type="http://schemas.openxmlformats.org/officeDocument/2006/relationships/hyperlink" Target="http://amazon.in" TargetMode="External"/><Relationship Id="rId1916" Type="http://schemas.openxmlformats.org/officeDocument/2006/relationships/hyperlink" Target="http://amazon.in" TargetMode="External"/><Relationship Id="rId1917" Type="http://schemas.openxmlformats.org/officeDocument/2006/relationships/hyperlink" Target="http://amazon.in" TargetMode="External"/><Relationship Id="rId1918" Type="http://schemas.openxmlformats.org/officeDocument/2006/relationships/hyperlink" Target="http://amazon.in" TargetMode="External"/><Relationship Id="rId1919" Type="http://schemas.openxmlformats.org/officeDocument/2006/relationships/hyperlink" Target="http://amazon.in" TargetMode="External"/><Relationship Id="rId4181" Type="http://schemas.openxmlformats.org/officeDocument/2006/relationships/hyperlink" Target="http://amazon.in" TargetMode="External"/><Relationship Id="rId4180" Type="http://schemas.openxmlformats.org/officeDocument/2006/relationships/hyperlink" Target="http://amazon.in" TargetMode="External"/><Relationship Id="rId4183" Type="http://schemas.openxmlformats.org/officeDocument/2006/relationships/hyperlink" Target="http://amazon.in" TargetMode="External"/><Relationship Id="rId4182" Type="http://schemas.openxmlformats.org/officeDocument/2006/relationships/hyperlink" Target="http://amazon.in" TargetMode="External"/><Relationship Id="rId4185" Type="http://schemas.openxmlformats.org/officeDocument/2006/relationships/hyperlink" Target="http://amazon.in" TargetMode="External"/><Relationship Id="rId4184" Type="http://schemas.openxmlformats.org/officeDocument/2006/relationships/hyperlink" Target="http://amazon.in" TargetMode="External"/><Relationship Id="rId4187" Type="http://schemas.openxmlformats.org/officeDocument/2006/relationships/hyperlink" Target="http://amazon.in" TargetMode="External"/><Relationship Id="rId4186" Type="http://schemas.openxmlformats.org/officeDocument/2006/relationships/hyperlink" Target="http://amazon.in" TargetMode="External"/><Relationship Id="rId4189" Type="http://schemas.openxmlformats.org/officeDocument/2006/relationships/hyperlink" Target="http://amazon.in" TargetMode="External"/><Relationship Id="rId4188" Type="http://schemas.openxmlformats.org/officeDocument/2006/relationships/hyperlink" Target="http://amazon.in" TargetMode="External"/><Relationship Id="rId1900" Type="http://schemas.openxmlformats.org/officeDocument/2006/relationships/hyperlink" Target="http://amazon.in" TargetMode="External"/><Relationship Id="rId1901" Type="http://schemas.openxmlformats.org/officeDocument/2006/relationships/hyperlink" Target="http://amazon.in" TargetMode="External"/><Relationship Id="rId1902" Type="http://schemas.openxmlformats.org/officeDocument/2006/relationships/hyperlink" Target="http://amazon.in" TargetMode="External"/><Relationship Id="rId1903" Type="http://schemas.openxmlformats.org/officeDocument/2006/relationships/hyperlink" Target="http://amazon.in" TargetMode="External"/><Relationship Id="rId1904" Type="http://schemas.openxmlformats.org/officeDocument/2006/relationships/hyperlink" Target="http://amazon.in" TargetMode="External"/><Relationship Id="rId1905" Type="http://schemas.openxmlformats.org/officeDocument/2006/relationships/hyperlink" Target="http://amazon.in" TargetMode="External"/><Relationship Id="rId1906" Type="http://schemas.openxmlformats.org/officeDocument/2006/relationships/hyperlink" Target="http://amazon.in" TargetMode="External"/><Relationship Id="rId1907" Type="http://schemas.openxmlformats.org/officeDocument/2006/relationships/hyperlink" Target="http://amazon.in" TargetMode="External"/><Relationship Id="rId1908" Type="http://schemas.openxmlformats.org/officeDocument/2006/relationships/hyperlink" Target="http://amazon.in" TargetMode="External"/><Relationship Id="rId1909" Type="http://schemas.openxmlformats.org/officeDocument/2006/relationships/hyperlink" Target="http://amazon.in" TargetMode="External"/><Relationship Id="rId4170" Type="http://schemas.openxmlformats.org/officeDocument/2006/relationships/hyperlink" Target="http://amazon.in" TargetMode="External"/><Relationship Id="rId4172" Type="http://schemas.openxmlformats.org/officeDocument/2006/relationships/hyperlink" Target="http://amazon.in" TargetMode="External"/><Relationship Id="rId4171" Type="http://schemas.openxmlformats.org/officeDocument/2006/relationships/hyperlink" Target="http://amazon.in" TargetMode="External"/><Relationship Id="rId4174" Type="http://schemas.openxmlformats.org/officeDocument/2006/relationships/hyperlink" Target="http://amazon.in" TargetMode="External"/><Relationship Id="rId4173" Type="http://schemas.openxmlformats.org/officeDocument/2006/relationships/hyperlink" Target="http://amazon.in" TargetMode="External"/><Relationship Id="rId4176" Type="http://schemas.openxmlformats.org/officeDocument/2006/relationships/hyperlink" Target="http://amazon.in" TargetMode="External"/><Relationship Id="rId4175" Type="http://schemas.openxmlformats.org/officeDocument/2006/relationships/hyperlink" Target="http://amazon.in" TargetMode="External"/><Relationship Id="rId4178" Type="http://schemas.openxmlformats.org/officeDocument/2006/relationships/hyperlink" Target="http://amazon.in" TargetMode="External"/><Relationship Id="rId4177" Type="http://schemas.openxmlformats.org/officeDocument/2006/relationships/hyperlink" Target="http://amazon.in" TargetMode="External"/><Relationship Id="rId4179" Type="http://schemas.openxmlformats.org/officeDocument/2006/relationships/hyperlink" Target="http://amazon.in" TargetMode="External"/><Relationship Id="rId4129" Type="http://schemas.openxmlformats.org/officeDocument/2006/relationships/hyperlink" Target="http://amazon.in" TargetMode="External"/><Relationship Id="rId4128" Type="http://schemas.openxmlformats.org/officeDocument/2006/relationships/hyperlink" Target="http://amazon.in" TargetMode="External"/><Relationship Id="rId1090" Type="http://schemas.openxmlformats.org/officeDocument/2006/relationships/hyperlink" Target="http://amazon.in" TargetMode="External"/><Relationship Id="rId1091" Type="http://schemas.openxmlformats.org/officeDocument/2006/relationships/hyperlink" Target="http://amazon.in" TargetMode="External"/><Relationship Id="rId1092" Type="http://schemas.openxmlformats.org/officeDocument/2006/relationships/hyperlink" Target="http://amazon.in" TargetMode="External"/><Relationship Id="rId1093" Type="http://schemas.openxmlformats.org/officeDocument/2006/relationships/hyperlink" Target="http://amazon.in" TargetMode="External"/><Relationship Id="rId1094" Type="http://schemas.openxmlformats.org/officeDocument/2006/relationships/hyperlink" Target="http://amazon.in" TargetMode="External"/><Relationship Id="rId1095" Type="http://schemas.openxmlformats.org/officeDocument/2006/relationships/hyperlink" Target="http://amazon.in" TargetMode="External"/><Relationship Id="rId4121" Type="http://schemas.openxmlformats.org/officeDocument/2006/relationships/hyperlink" Target="http://amazon.in" TargetMode="External"/><Relationship Id="rId1096" Type="http://schemas.openxmlformats.org/officeDocument/2006/relationships/hyperlink" Target="http://amazon.in" TargetMode="External"/><Relationship Id="rId4120" Type="http://schemas.openxmlformats.org/officeDocument/2006/relationships/hyperlink" Target="http://amazon.in" TargetMode="External"/><Relationship Id="rId1097" Type="http://schemas.openxmlformats.org/officeDocument/2006/relationships/hyperlink" Target="http://amazon.in" TargetMode="External"/><Relationship Id="rId4123" Type="http://schemas.openxmlformats.org/officeDocument/2006/relationships/hyperlink" Target="http://amazon.in" TargetMode="External"/><Relationship Id="rId1098" Type="http://schemas.openxmlformats.org/officeDocument/2006/relationships/hyperlink" Target="http://amazon.in" TargetMode="External"/><Relationship Id="rId4122" Type="http://schemas.openxmlformats.org/officeDocument/2006/relationships/hyperlink" Target="http://amazon.in" TargetMode="External"/><Relationship Id="rId1099" Type="http://schemas.openxmlformats.org/officeDocument/2006/relationships/hyperlink" Target="http://amazon.in" TargetMode="External"/><Relationship Id="rId4125" Type="http://schemas.openxmlformats.org/officeDocument/2006/relationships/hyperlink" Target="http://amazon.in" TargetMode="External"/><Relationship Id="rId4124" Type="http://schemas.openxmlformats.org/officeDocument/2006/relationships/hyperlink" Target="http://amazon.in" TargetMode="External"/><Relationship Id="rId4127" Type="http://schemas.openxmlformats.org/officeDocument/2006/relationships/hyperlink" Target="http://amazon.in" TargetMode="External"/><Relationship Id="rId4126" Type="http://schemas.openxmlformats.org/officeDocument/2006/relationships/hyperlink" Target="http://amazon.in" TargetMode="External"/><Relationship Id="rId4118" Type="http://schemas.openxmlformats.org/officeDocument/2006/relationships/hyperlink" Target="http://amazon.in" TargetMode="External"/><Relationship Id="rId4117" Type="http://schemas.openxmlformats.org/officeDocument/2006/relationships/hyperlink" Target="http://amazon.in" TargetMode="External"/><Relationship Id="rId4119" Type="http://schemas.openxmlformats.org/officeDocument/2006/relationships/hyperlink" Target="http://amazon.in" TargetMode="External"/><Relationship Id="rId1080" Type="http://schemas.openxmlformats.org/officeDocument/2006/relationships/hyperlink" Target="http://amazon.in" TargetMode="External"/><Relationship Id="rId1081" Type="http://schemas.openxmlformats.org/officeDocument/2006/relationships/hyperlink" Target="http://amazon.in" TargetMode="External"/><Relationship Id="rId1082" Type="http://schemas.openxmlformats.org/officeDocument/2006/relationships/hyperlink" Target="http://amazon.in" TargetMode="External"/><Relationship Id="rId1083" Type="http://schemas.openxmlformats.org/officeDocument/2006/relationships/hyperlink" Target="http://amazon.in" TargetMode="External"/><Relationship Id="rId1084" Type="http://schemas.openxmlformats.org/officeDocument/2006/relationships/hyperlink" Target="http://amazon.in" TargetMode="External"/><Relationship Id="rId4110" Type="http://schemas.openxmlformats.org/officeDocument/2006/relationships/hyperlink" Target="http://amazon.in" TargetMode="External"/><Relationship Id="rId1085" Type="http://schemas.openxmlformats.org/officeDocument/2006/relationships/hyperlink" Target="http://amazon.in" TargetMode="External"/><Relationship Id="rId1086" Type="http://schemas.openxmlformats.org/officeDocument/2006/relationships/hyperlink" Target="http://amazon.in" TargetMode="External"/><Relationship Id="rId4112" Type="http://schemas.openxmlformats.org/officeDocument/2006/relationships/hyperlink" Target="http://amazon.in" TargetMode="External"/><Relationship Id="rId1087" Type="http://schemas.openxmlformats.org/officeDocument/2006/relationships/hyperlink" Target="http://amazon.in" TargetMode="External"/><Relationship Id="rId4111" Type="http://schemas.openxmlformats.org/officeDocument/2006/relationships/hyperlink" Target="http://amazon.in" TargetMode="External"/><Relationship Id="rId1088" Type="http://schemas.openxmlformats.org/officeDocument/2006/relationships/hyperlink" Target="http://amazon.in" TargetMode="External"/><Relationship Id="rId4114" Type="http://schemas.openxmlformats.org/officeDocument/2006/relationships/hyperlink" Target="http://amazon.in" TargetMode="External"/><Relationship Id="rId1089" Type="http://schemas.openxmlformats.org/officeDocument/2006/relationships/hyperlink" Target="http://amazon.in" TargetMode="External"/><Relationship Id="rId4113" Type="http://schemas.openxmlformats.org/officeDocument/2006/relationships/hyperlink" Target="http://amazon.in" TargetMode="External"/><Relationship Id="rId4116" Type="http://schemas.openxmlformats.org/officeDocument/2006/relationships/hyperlink" Target="http://amazon.in" TargetMode="External"/><Relationship Id="rId4115" Type="http://schemas.openxmlformats.org/officeDocument/2006/relationships/hyperlink" Target="http://amazon.in" TargetMode="External"/><Relationship Id="rId4141" Type="http://schemas.openxmlformats.org/officeDocument/2006/relationships/hyperlink" Target="http://amazon.in" TargetMode="External"/><Relationship Id="rId4140" Type="http://schemas.openxmlformats.org/officeDocument/2006/relationships/hyperlink" Target="http://amazon.in" TargetMode="External"/><Relationship Id="rId4143" Type="http://schemas.openxmlformats.org/officeDocument/2006/relationships/hyperlink" Target="http://amazon.in" TargetMode="External"/><Relationship Id="rId4142" Type="http://schemas.openxmlformats.org/officeDocument/2006/relationships/hyperlink" Target="http://amazon.in" TargetMode="External"/><Relationship Id="rId4145" Type="http://schemas.openxmlformats.org/officeDocument/2006/relationships/hyperlink" Target="http://amazon.in" TargetMode="External"/><Relationship Id="rId4144" Type="http://schemas.openxmlformats.org/officeDocument/2006/relationships/hyperlink" Target="http://amazon.in" TargetMode="External"/><Relationship Id="rId4147" Type="http://schemas.openxmlformats.org/officeDocument/2006/relationships/hyperlink" Target="http://amazon.in" TargetMode="External"/><Relationship Id="rId4146" Type="http://schemas.openxmlformats.org/officeDocument/2006/relationships/hyperlink" Target="http://amazon.in" TargetMode="External"/><Relationship Id="rId4149" Type="http://schemas.openxmlformats.org/officeDocument/2006/relationships/hyperlink" Target="http://amazon.in" TargetMode="External"/><Relationship Id="rId4148" Type="http://schemas.openxmlformats.org/officeDocument/2006/relationships/hyperlink" Target="http://amazon.in" TargetMode="External"/><Relationship Id="rId4139" Type="http://schemas.openxmlformats.org/officeDocument/2006/relationships/hyperlink" Target="http://amazon.in" TargetMode="External"/><Relationship Id="rId4130" Type="http://schemas.openxmlformats.org/officeDocument/2006/relationships/hyperlink" Target="http://amazon.in" TargetMode="External"/><Relationship Id="rId4132" Type="http://schemas.openxmlformats.org/officeDocument/2006/relationships/hyperlink" Target="http://amazon.in" TargetMode="External"/><Relationship Id="rId4131" Type="http://schemas.openxmlformats.org/officeDocument/2006/relationships/hyperlink" Target="http://amazon.in" TargetMode="External"/><Relationship Id="rId4134" Type="http://schemas.openxmlformats.org/officeDocument/2006/relationships/hyperlink" Target="http://amazon.in" TargetMode="External"/><Relationship Id="rId4133" Type="http://schemas.openxmlformats.org/officeDocument/2006/relationships/hyperlink" Target="http://amazon.in" TargetMode="External"/><Relationship Id="rId4136" Type="http://schemas.openxmlformats.org/officeDocument/2006/relationships/hyperlink" Target="http://amazon.in" TargetMode="External"/><Relationship Id="rId4135" Type="http://schemas.openxmlformats.org/officeDocument/2006/relationships/hyperlink" Target="http://amazon.in" TargetMode="External"/><Relationship Id="rId4138" Type="http://schemas.openxmlformats.org/officeDocument/2006/relationships/hyperlink" Target="http://amazon.in" TargetMode="External"/><Relationship Id="rId4137" Type="http://schemas.openxmlformats.org/officeDocument/2006/relationships/hyperlink" Target="http://amazon.in" TargetMode="External"/><Relationship Id="rId1972" Type="http://schemas.openxmlformats.org/officeDocument/2006/relationships/hyperlink" Target="http://amazon.in" TargetMode="External"/><Relationship Id="rId1973" Type="http://schemas.openxmlformats.org/officeDocument/2006/relationships/hyperlink" Target="http://amazon.in" TargetMode="External"/><Relationship Id="rId1974" Type="http://schemas.openxmlformats.org/officeDocument/2006/relationships/hyperlink" Target="http://amazon.in" TargetMode="External"/><Relationship Id="rId1975" Type="http://schemas.openxmlformats.org/officeDocument/2006/relationships/hyperlink" Target="http://amazon.in" TargetMode="External"/><Relationship Id="rId1976" Type="http://schemas.openxmlformats.org/officeDocument/2006/relationships/hyperlink" Target="http://amazon.in" TargetMode="External"/><Relationship Id="rId1977" Type="http://schemas.openxmlformats.org/officeDocument/2006/relationships/hyperlink" Target="http://amazon.in" TargetMode="External"/><Relationship Id="rId1978" Type="http://schemas.openxmlformats.org/officeDocument/2006/relationships/hyperlink" Target="http://amazon.in" TargetMode="External"/><Relationship Id="rId1979" Type="http://schemas.openxmlformats.org/officeDocument/2006/relationships/hyperlink" Target="http://amazon.in" TargetMode="External"/><Relationship Id="rId1970" Type="http://schemas.openxmlformats.org/officeDocument/2006/relationships/hyperlink" Target="http://amazon.in" TargetMode="External"/><Relationship Id="rId1971" Type="http://schemas.openxmlformats.org/officeDocument/2006/relationships/hyperlink" Target="http://amazon.in" TargetMode="External"/><Relationship Id="rId1961" Type="http://schemas.openxmlformats.org/officeDocument/2006/relationships/hyperlink" Target="http://amazon.in" TargetMode="External"/><Relationship Id="rId1962" Type="http://schemas.openxmlformats.org/officeDocument/2006/relationships/hyperlink" Target="http://amazon.in" TargetMode="External"/><Relationship Id="rId1963" Type="http://schemas.openxmlformats.org/officeDocument/2006/relationships/hyperlink" Target="http://amazon.in" TargetMode="External"/><Relationship Id="rId1964" Type="http://schemas.openxmlformats.org/officeDocument/2006/relationships/hyperlink" Target="http://amazon.in" TargetMode="External"/><Relationship Id="rId1965" Type="http://schemas.openxmlformats.org/officeDocument/2006/relationships/hyperlink" Target="http://amazon.in" TargetMode="External"/><Relationship Id="rId1966" Type="http://schemas.openxmlformats.org/officeDocument/2006/relationships/hyperlink" Target="http://amazon.in" TargetMode="External"/><Relationship Id="rId1967" Type="http://schemas.openxmlformats.org/officeDocument/2006/relationships/hyperlink" Target="http://amazon.in" TargetMode="External"/><Relationship Id="rId1968" Type="http://schemas.openxmlformats.org/officeDocument/2006/relationships/hyperlink" Target="http://amazon.in" TargetMode="External"/><Relationship Id="rId1969" Type="http://schemas.openxmlformats.org/officeDocument/2006/relationships/hyperlink" Target="http://amazon.in" TargetMode="External"/><Relationship Id="rId1960" Type="http://schemas.openxmlformats.org/officeDocument/2006/relationships/hyperlink" Target="http://amazon.in" TargetMode="External"/><Relationship Id="rId1994" Type="http://schemas.openxmlformats.org/officeDocument/2006/relationships/hyperlink" Target="http://amazon.in" TargetMode="External"/><Relationship Id="rId1995" Type="http://schemas.openxmlformats.org/officeDocument/2006/relationships/hyperlink" Target="http://amazon.in" TargetMode="External"/><Relationship Id="rId1996" Type="http://schemas.openxmlformats.org/officeDocument/2006/relationships/hyperlink" Target="http://amazon.in" TargetMode="External"/><Relationship Id="rId1997" Type="http://schemas.openxmlformats.org/officeDocument/2006/relationships/hyperlink" Target="http://amazon.in" TargetMode="External"/><Relationship Id="rId1998" Type="http://schemas.openxmlformats.org/officeDocument/2006/relationships/hyperlink" Target="http://amazon.in" TargetMode="External"/><Relationship Id="rId1999" Type="http://schemas.openxmlformats.org/officeDocument/2006/relationships/hyperlink" Target="http://amazon.in" TargetMode="External"/><Relationship Id="rId1990" Type="http://schemas.openxmlformats.org/officeDocument/2006/relationships/hyperlink" Target="http://amazon.in" TargetMode="External"/><Relationship Id="rId1991" Type="http://schemas.openxmlformats.org/officeDocument/2006/relationships/hyperlink" Target="http://amazon.in" TargetMode="External"/><Relationship Id="rId1992" Type="http://schemas.openxmlformats.org/officeDocument/2006/relationships/hyperlink" Target="http://amazon.in" TargetMode="External"/><Relationship Id="rId1993" Type="http://schemas.openxmlformats.org/officeDocument/2006/relationships/hyperlink" Target="http://amazon.in" TargetMode="External"/><Relationship Id="rId1983" Type="http://schemas.openxmlformats.org/officeDocument/2006/relationships/hyperlink" Target="http://amazon.in" TargetMode="External"/><Relationship Id="rId1984" Type="http://schemas.openxmlformats.org/officeDocument/2006/relationships/hyperlink" Target="http://amazon.in" TargetMode="External"/><Relationship Id="rId1985" Type="http://schemas.openxmlformats.org/officeDocument/2006/relationships/hyperlink" Target="http://amazon.in" TargetMode="External"/><Relationship Id="rId1986" Type="http://schemas.openxmlformats.org/officeDocument/2006/relationships/hyperlink" Target="http://amazon.in" TargetMode="External"/><Relationship Id="rId1987" Type="http://schemas.openxmlformats.org/officeDocument/2006/relationships/hyperlink" Target="http://amazon.in" TargetMode="External"/><Relationship Id="rId1988" Type="http://schemas.openxmlformats.org/officeDocument/2006/relationships/hyperlink" Target="http://amazon.in" TargetMode="External"/><Relationship Id="rId1989" Type="http://schemas.openxmlformats.org/officeDocument/2006/relationships/hyperlink" Target="http://amazon.in" TargetMode="External"/><Relationship Id="rId1980" Type="http://schemas.openxmlformats.org/officeDocument/2006/relationships/hyperlink" Target="http://amazon.in" TargetMode="External"/><Relationship Id="rId1981" Type="http://schemas.openxmlformats.org/officeDocument/2006/relationships/hyperlink" Target="http://amazon.in" TargetMode="External"/><Relationship Id="rId1982" Type="http://schemas.openxmlformats.org/officeDocument/2006/relationships/hyperlink" Target="http://amazon.in" TargetMode="External"/><Relationship Id="rId1930" Type="http://schemas.openxmlformats.org/officeDocument/2006/relationships/hyperlink" Target="http://amazon.in" TargetMode="External"/><Relationship Id="rId1931" Type="http://schemas.openxmlformats.org/officeDocument/2006/relationships/hyperlink" Target="http://amazon.in" TargetMode="External"/><Relationship Id="rId1932" Type="http://schemas.openxmlformats.org/officeDocument/2006/relationships/hyperlink" Target="http://amazon.in" TargetMode="External"/><Relationship Id="rId1933" Type="http://schemas.openxmlformats.org/officeDocument/2006/relationships/hyperlink" Target="http://amazon.in" TargetMode="External"/><Relationship Id="rId1934" Type="http://schemas.openxmlformats.org/officeDocument/2006/relationships/hyperlink" Target="http://amazon.in" TargetMode="External"/><Relationship Id="rId1935" Type="http://schemas.openxmlformats.org/officeDocument/2006/relationships/hyperlink" Target="http://amazon.in" TargetMode="External"/><Relationship Id="rId1936" Type="http://schemas.openxmlformats.org/officeDocument/2006/relationships/hyperlink" Target="http://amazon.in" TargetMode="External"/><Relationship Id="rId1937" Type="http://schemas.openxmlformats.org/officeDocument/2006/relationships/hyperlink" Target="http://amazon.in" TargetMode="External"/><Relationship Id="rId1938" Type="http://schemas.openxmlformats.org/officeDocument/2006/relationships/hyperlink" Target="http://amazon.in" TargetMode="External"/><Relationship Id="rId1939" Type="http://schemas.openxmlformats.org/officeDocument/2006/relationships/hyperlink" Target="http://amazon.in" TargetMode="External"/><Relationship Id="rId1920" Type="http://schemas.openxmlformats.org/officeDocument/2006/relationships/hyperlink" Target="http://amazon.in" TargetMode="External"/><Relationship Id="rId1921" Type="http://schemas.openxmlformats.org/officeDocument/2006/relationships/hyperlink" Target="http://amazon.in" TargetMode="External"/><Relationship Id="rId1922" Type="http://schemas.openxmlformats.org/officeDocument/2006/relationships/hyperlink" Target="http://amazon.in" TargetMode="External"/><Relationship Id="rId1923" Type="http://schemas.openxmlformats.org/officeDocument/2006/relationships/hyperlink" Target="http://amazon.in" TargetMode="External"/><Relationship Id="rId1924" Type="http://schemas.openxmlformats.org/officeDocument/2006/relationships/hyperlink" Target="http://amazon.in" TargetMode="External"/><Relationship Id="rId1925" Type="http://schemas.openxmlformats.org/officeDocument/2006/relationships/hyperlink" Target="http://amazon.in" TargetMode="External"/><Relationship Id="rId1926" Type="http://schemas.openxmlformats.org/officeDocument/2006/relationships/hyperlink" Target="http://amazon.in" TargetMode="External"/><Relationship Id="rId1927" Type="http://schemas.openxmlformats.org/officeDocument/2006/relationships/hyperlink" Target="http://amazon.in" TargetMode="External"/><Relationship Id="rId1928" Type="http://schemas.openxmlformats.org/officeDocument/2006/relationships/hyperlink" Target="http://amazon.in" TargetMode="External"/><Relationship Id="rId1929" Type="http://schemas.openxmlformats.org/officeDocument/2006/relationships/hyperlink" Target="http://amazon.in" TargetMode="External"/><Relationship Id="rId4190" Type="http://schemas.openxmlformats.org/officeDocument/2006/relationships/hyperlink" Target="http://amazon.in" TargetMode="External"/><Relationship Id="rId4192" Type="http://schemas.openxmlformats.org/officeDocument/2006/relationships/hyperlink" Target="http://amazon.in" TargetMode="External"/><Relationship Id="rId4191" Type="http://schemas.openxmlformats.org/officeDocument/2006/relationships/hyperlink" Target="http://amazon.in" TargetMode="External"/><Relationship Id="rId4194" Type="http://schemas.openxmlformats.org/officeDocument/2006/relationships/hyperlink" Target="http://amazon.in" TargetMode="External"/><Relationship Id="rId4193" Type="http://schemas.openxmlformats.org/officeDocument/2006/relationships/hyperlink" Target="http://amazon.in" TargetMode="External"/><Relationship Id="rId4196" Type="http://schemas.openxmlformats.org/officeDocument/2006/relationships/hyperlink" Target="http://amazon.in" TargetMode="External"/><Relationship Id="rId4195" Type="http://schemas.openxmlformats.org/officeDocument/2006/relationships/hyperlink" Target="http://amazon.in" TargetMode="External"/><Relationship Id="rId4198" Type="http://schemas.openxmlformats.org/officeDocument/2006/relationships/hyperlink" Target="http://amazon.in" TargetMode="External"/><Relationship Id="rId4197" Type="http://schemas.openxmlformats.org/officeDocument/2006/relationships/hyperlink" Target="http://amazon.in" TargetMode="External"/><Relationship Id="rId4199" Type="http://schemas.openxmlformats.org/officeDocument/2006/relationships/hyperlink" Target="http://amazon.in" TargetMode="External"/><Relationship Id="rId1950" Type="http://schemas.openxmlformats.org/officeDocument/2006/relationships/hyperlink" Target="http://amazon.in" TargetMode="External"/><Relationship Id="rId1951" Type="http://schemas.openxmlformats.org/officeDocument/2006/relationships/hyperlink" Target="http://amazon.in" TargetMode="External"/><Relationship Id="rId1952" Type="http://schemas.openxmlformats.org/officeDocument/2006/relationships/hyperlink" Target="http://amazon.in" TargetMode="External"/><Relationship Id="rId1953" Type="http://schemas.openxmlformats.org/officeDocument/2006/relationships/hyperlink" Target="http://amazon.in" TargetMode="External"/><Relationship Id="rId1954" Type="http://schemas.openxmlformats.org/officeDocument/2006/relationships/hyperlink" Target="http://amazon.in" TargetMode="External"/><Relationship Id="rId1955" Type="http://schemas.openxmlformats.org/officeDocument/2006/relationships/hyperlink" Target="http://amazon.in" TargetMode="External"/><Relationship Id="rId1956" Type="http://schemas.openxmlformats.org/officeDocument/2006/relationships/hyperlink" Target="http://amazon.in" TargetMode="External"/><Relationship Id="rId1957" Type="http://schemas.openxmlformats.org/officeDocument/2006/relationships/hyperlink" Target="http://amazon.in" TargetMode="External"/><Relationship Id="rId1958" Type="http://schemas.openxmlformats.org/officeDocument/2006/relationships/hyperlink" Target="http://amazon.in" TargetMode="External"/><Relationship Id="rId1959" Type="http://schemas.openxmlformats.org/officeDocument/2006/relationships/hyperlink" Target="http://amazon.in" TargetMode="External"/><Relationship Id="rId1940" Type="http://schemas.openxmlformats.org/officeDocument/2006/relationships/hyperlink" Target="http://amazon.in" TargetMode="External"/><Relationship Id="rId1941" Type="http://schemas.openxmlformats.org/officeDocument/2006/relationships/hyperlink" Target="http://amazon.in" TargetMode="External"/><Relationship Id="rId1942" Type="http://schemas.openxmlformats.org/officeDocument/2006/relationships/hyperlink" Target="http://amazon.in" TargetMode="External"/><Relationship Id="rId1943" Type="http://schemas.openxmlformats.org/officeDocument/2006/relationships/hyperlink" Target="http://amazon.in" TargetMode="External"/><Relationship Id="rId1944" Type="http://schemas.openxmlformats.org/officeDocument/2006/relationships/hyperlink" Target="http://amazon.in" TargetMode="External"/><Relationship Id="rId1945" Type="http://schemas.openxmlformats.org/officeDocument/2006/relationships/hyperlink" Target="http://amazon.in" TargetMode="External"/><Relationship Id="rId1946" Type="http://schemas.openxmlformats.org/officeDocument/2006/relationships/hyperlink" Target="http://amazon.in" TargetMode="External"/><Relationship Id="rId1947" Type="http://schemas.openxmlformats.org/officeDocument/2006/relationships/hyperlink" Target="http://amazon.in" TargetMode="External"/><Relationship Id="rId1948" Type="http://schemas.openxmlformats.org/officeDocument/2006/relationships/hyperlink" Target="http://amazon.in" TargetMode="External"/><Relationship Id="rId1949" Type="http://schemas.openxmlformats.org/officeDocument/2006/relationships/hyperlink" Target="http://amazon.in" TargetMode="External"/><Relationship Id="rId2423" Type="http://schemas.openxmlformats.org/officeDocument/2006/relationships/hyperlink" Target="http://amazon.in" TargetMode="External"/><Relationship Id="rId3755" Type="http://schemas.openxmlformats.org/officeDocument/2006/relationships/hyperlink" Target="http://amazon.in" TargetMode="External"/><Relationship Id="rId2424" Type="http://schemas.openxmlformats.org/officeDocument/2006/relationships/hyperlink" Target="http://amazon.in" TargetMode="External"/><Relationship Id="rId3754" Type="http://schemas.openxmlformats.org/officeDocument/2006/relationships/hyperlink" Target="http://amazon.in" TargetMode="External"/><Relationship Id="rId2425" Type="http://schemas.openxmlformats.org/officeDocument/2006/relationships/hyperlink" Target="http://amazon.in" TargetMode="External"/><Relationship Id="rId3757" Type="http://schemas.openxmlformats.org/officeDocument/2006/relationships/hyperlink" Target="http://amazon.in" TargetMode="External"/><Relationship Id="rId2426" Type="http://schemas.openxmlformats.org/officeDocument/2006/relationships/hyperlink" Target="http://amazon.in" TargetMode="External"/><Relationship Id="rId3756" Type="http://schemas.openxmlformats.org/officeDocument/2006/relationships/hyperlink" Target="http://amazon.in" TargetMode="External"/><Relationship Id="rId2427" Type="http://schemas.openxmlformats.org/officeDocument/2006/relationships/hyperlink" Target="http://amazon.in" TargetMode="External"/><Relationship Id="rId3759" Type="http://schemas.openxmlformats.org/officeDocument/2006/relationships/hyperlink" Target="http://amazon.in" TargetMode="External"/><Relationship Id="rId2428" Type="http://schemas.openxmlformats.org/officeDocument/2006/relationships/hyperlink" Target="http://amazon.in" TargetMode="External"/><Relationship Id="rId3758" Type="http://schemas.openxmlformats.org/officeDocument/2006/relationships/hyperlink" Target="http://amazon.in" TargetMode="External"/><Relationship Id="rId2429" Type="http://schemas.openxmlformats.org/officeDocument/2006/relationships/hyperlink" Target="http://amazon.in" TargetMode="External"/><Relationship Id="rId509" Type="http://schemas.openxmlformats.org/officeDocument/2006/relationships/hyperlink" Target="http://amazon.in" TargetMode="External"/><Relationship Id="rId508" Type="http://schemas.openxmlformats.org/officeDocument/2006/relationships/hyperlink" Target="http://amazon.in" TargetMode="External"/><Relationship Id="rId503" Type="http://schemas.openxmlformats.org/officeDocument/2006/relationships/hyperlink" Target="http://amazon.in" TargetMode="External"/><Relationship Id="rId502" Type="http://schemas.openxmlformats.org/officeDocument/2006/relationships/hyperlink" Target="http://amazon.in" TargetMode="External"/><Relationship Id="rId501" Type="http://schemas.openxmlformats.org/officeDocument/2006/relationships/hyperlink" Target="http://amazon.in" TargetMode="External"/><Relationship Id="rId500" Type="http://schemas.openxmlformats.org/officeDocument/2006/relationships/hyperlink" Target="http://amazon.in" TargetMode="External"/><Relationship Id="rId507" Type="http://schemas.openxmlformats.org/officeDocument/2006/relationships/hyperlink" Target="http://amazon.in" TargetMode="External"/><Relationship Id="rId506" Type="http://schemas.openxmlformats.org/officeDocument/2006/relationships/hyperlink" Target="http://amazon.in" TargetMode="External"/><Relationship Id="rId505" Type="http://schemas.openxmlformats.org/officeDocument/2006/relationships/hyperlink" Target="http://amazon.in" TargetMode="External"/><Relationship Id="rId504" Type="http://schemas.openxmlformats.org/officeDocument/2006/relationships/hyperlink" Target="http://amazon.in" TargetMode="External"/><Relationship Id="rId3751" Type="http://schemas.openxmlformats.org/officeDocument/2006/relationships/hyperlink" Target="http://amazon.in" TargetMode="External"/><Relationship Id="rId2420" Type="http://schemas.openxmlformats.org/officeDocument/2006/relationships/hyperlink" Target="http://amazon.in" TargetMode="External"/><Relationship Id="rId3750" Type="http://schemas.openxmlformats.org/officeDocument/2006/relationships/hyperlink" Target="http://amazon.in" TargetMode="External"/><Relationship Id="rId2421" Type="http://schemas.openxmlformats.org/officeDocument/2006/relationships/hyperlink" Target="http://amazon.in" TargetMode="External"/><Relationship Id="rId3753" Type="http://schemas.openxmlformats.org/officeDocument/2006/relationships/hyperlink" Target="http://amazon.in" TargetMode="External"/><Relationship Id="rId2422" Type="http://schemas.openxmlformats.org/officeDocument/2006/relationships/hyperlink" Target="http://amazon.in" TargetMode="External"/><Relationship Id="rId3752" Type="http://schemas.openxmlformats.org/officeDocument/2006/relationships/hyperlink" Target="http://amazon.in" TargetMode="External"/><Relationship Id="rId2412" Type="http://schemas.openxmlformats.org/officeDocument/2006/relationships/hyperlink" Target="http://amazon.in" TargetMode="External"/><Relationship Id="rId3744" Type="http://schemas.openxmlformats.org/officeDocument/2006/relationships/hyperlink" Target="http://amazon.in" TargetMode="External"/><Relationship Id="rId2413" Type="http://schemas.openxmlformats.org/officeDocument/2006/relationships/hyperlink" Target="http://amazon.in" TargetMode="External"/><Relationship Id="rId3743" Type="http://schemas.openxmlformats.org/officeDocument/2006/relationships/hyperlink" Target="http://amazon.in" TargetMode="External"/><Relationship Id="rId2414" Type="http://schemas.openxmlformats.org/officeDocument/2006/relationships/hyperlink" Target="http://amazon.in" TargetMode="External"/><Relationship Id="rId3746" Type="http://schemas.openxmlformats.org/officeDocument/2006/relationships/hyperlink" Target="http://amazon.in" TargetMode="External"/><Relationship Id="rId2415" Type="http://schemas.openxmlformats.org/officeDocument/2006/relationships/hyperlink" Target="http://amazon.in" TargetMode="External"/><Relationship Id="rId3745" Type="http://schemas.openxmlformats.org/officeDocument/2006/relationships/hyperlink" Target="http://amazon.in" TargetMode="External"/><Relationship Id="rId2416" Type="http://schemas.openxmlformats.org/officeDocument/2006/relationships/hyperlink" Target="http://amazon.in" TargetMode="External"/><Relationship Id="rId3748" Type="http://schemas.openxmlformats.org/officeDocument/2006/relationships/hyperlink" Target="http://amazon.in" TargetMode="External"/><Relationship Id="rId2417" Type="http://schemas.openxmlformats.org/officeDocument/2006/relationships/hyperlink" Target="http://amazon.in" TargetMode="External"/><Relationship Id="rId3747" Type="http://schemas.openxmlformats.org/officeDocument/2006/relationships/hyperlink" Target="http://amazon.in" TargetMode="External"/><Relationship Id="rId2418" Type="http://schemas.openxmlformats.org/officeDocument/2006/relationships/hyperlink" Target="http://amazon.in" TargetMode="External"/><Relationship Id="rId2419" Type="http://schemas.openxmlformats.org/officeDocument/2006/relationships/hyperlink" Target="http://amazon.in" TargetMode="External"/><Relationship Id="rId3749" Type="http://schemas.openxmlformats.org/officeDocument/2006/relationships/hyperlink" Target="http://amazon.in" TargetMode="External"/><Relationship Id="rId3740" Type="http://schemas.openxmlformats.org/officeDocument/2006/relationships/hyperlink" Target="http://amazon.in" TargetMode="External"/><Relationship Id="rId2410" Type="http://schemas.openxmlformats.org/officeDocument/2006/relationships/hyperlink" Target="http://amazon.in" TargetMode="External"/><Relationship Id="rId3742" Type="http://schemas.openxmlformats.org/officeDocument/2006/relationships/hyperlink" Target="http://amazon.in" TargetMode="External"/><Relationship Id="rId2411" Type="http://schemas.openxmlformats.org/officeDocument/2006/relationships/hyperlink" Target="http://amazon.in" TargetMode="External"/><Relationship Id="rId3741" Type="http://schemas.openxmlformats.org/officeDocument/2006/relationships/hyperlink" Target="http://amazon.in" TargetMode="External"/><Relationship Id="rId1114" Type="http://schemas.openxmlformats.org/officeDocument/2006/relationships/hyperlink" Target="http://amazon.in" TargetMode="External"/><Relationship Id="rId2445" Type="http://schemas.openxmlformats.org/officeDocument/2006/relationships/hyperlink" Target="http://amazon.in" TargetMode="External"/><Relationship Id="rId3777" Type="http://schemas.openxmlformats.org/officeDocument/2006/relationships/hyperlink" Target="http://amazon.in" TargetMode="External"/><Relationship Id="rId1115" Type="http://schemas.openxmlformats.org/officeDocument/2006/relationships/hyperlink" Target="http://amazon.in" TargetMode="External"/><Relationship Id="rId2446" Type="http://schemas.openxmlformats.org/officeDocument/2006/relationships/hyperlink" Target="http://amazon.in" TargetMode="External"/><Relationship Id="rId3776" Type="http://schemas.openxmlformats.org/officeDocument/2006/relationships/hyperlink" Target="http://amazon.in" TargetMode="External"/><Relationship Id="rId1116" Type="http://schemas.openxmlformats.org/officeDocument/2006/relationships/hyperlink" Target="http://amazon.in" TargetMode="External"/><Relationship Id="rId2447" Type="http://schemas.openxmlformats.org/officeDocument/2006/relationships/hyperlink" Target="http://amazon.in" TargetMode="External"/><Relationship Id="rId3779" Type="http://schemas.openxmlformats.org/officeDocument/2006/relationships/hyperlink" Target="http://amazon.in" TargetMode="External"/><Relationship Id="rId1117" Type="http://schemas.openxmlformats.org/officeDocument/2006/relationships/hyperlink" Target="http://amazon.in" TargetMode="External"/><Relationship Id="rId2448" Type="http://schemas.openxmlformats.org/officeDocument/2006/relationships/hyperlink" Target="http://amazon.in" TargetMode="External"/><Relationship Id="rId3778" Type="http://schemas.openxmlformats.org/officeDocument/2006/relationships/hyperlink" Target="http://amazon.in" TargetMode="External"/><Relationship Id="rId1118" Type="http://schemas.openxmlformats.org/officeDocument/2006/relationships/hyperlink" Target="http://amazon.in" TargetMode="External"/><Relationship Id="rId2449" Type="http://schemas.openxmlformats.org/officeDocument/2006/relationships/hyperlink" Target="http://amazon.in" TargetMode="External"/><Relationship Id="rId1119" Type="http://schemas.openxmlformats.org/officeDocument/2006/relationships/hyperlink" Target="http://amazon.in" TargetMode="External"/><Relationship Id="rId525" Type="http://schemas.openxmlformats.org/officeDocument/2006/relationships/hyperlink" Target="http://amazon.in" TargetMode="External"/><Relationship Id="rId524" Type="http://schemas.openxmlformats.org/officeDocument/2006/relationships/hyperlink" Target="http://amazon.in" TargetMode="External"/><Relationship Id="rId523" Type="http://schemas.openxmlformats.org/officeDocument/2006/relationships/hyperlink" Target="http://amazon.in" TargetMode="External"/><Relationship Id="rId522" Type="http://schemas.openxmlformats.org/officeDocument/2006/relationships/hyperlink" Target="http://amazon.in" TargetMode="External"/><Relationship Id="rId529" Type="http://schemas.openxmlformats.org/officeDocument/2006/relationships/hyperlink" Target="http://amazon.in" TargetMode="External"/><Relationship Id="rId528" Type="http://schemas.openxmlformats.org/officeDocument/2006/relationships/hyperlink" Target="http://amazon.in" TargetMode="External"/><Relationship Id="rId527" Type="http://schemas.openxmlformats.org/officeDocument/2006/relationships/hyperlink" Target="http://amazon.in" TargetMode="External"/><Relationship Id="rId526" Type="http://schemas.openxmlformats.org/officeDocument/2006/relationships/hyperlink" Target="http://amazon.in" TargetMode="External"/><Relationship Id="rId3771" Type="http://schemas.openxmlformats.org/officeDocument/2006/relationships/hyperlink" Target="http://amazon.in" TargetMode="External"/><Relationship Id="rId2440" Type="http://schemas.openxmlformats.org/officeDocument/2006/relationships/hyperlink" Target="http://amazon.in" TargetMode="External"/><Relationship Id="rId3770" Type="http://schemas.openxmlformats.org/officeDocument/2006/relationships/hyperlink" Target="http://amazon.in" TargetMode="External"/><Relationship Id="rId521" Type="http://schemas.openxmlformats.org/officeDocument/2006/relationships/hyperlink" Target="http://amazon.in" TargetMode="External"/><Relationship Id="rId1110" Type="http://schemas.openxmlformats.org/officeDocument/2006/relationships/hyperlink" Target="http://amazon.in" TargetMode="External"/><Relationship Id="rId2441" Type="http://schemas.openxmlformats.org/officeDocument/2006/relationships/hyperlink" Target="http://amazon.in" TargetMode="External"/><Relationship Id="rId3773" Type="http://schemas.openxmlformats.org/officeDocument/2006/relationships/hyperlink" Target="http://amazon.in" TargetMode="External"/><Relationship Id="rId520" Type="http://schemas.openxmlformats.org/officeDocument/2006/relationships/hyperlink" Target="http://amazon.in" TargetMode="External"/><Relationship Id="rId1111" Type="http://schemas.openxmlformats.org/officeDocument/2006/relationships/hyperlink" Target="http://amazon.in" TargetMode="External"/><Relationship Id="rId2442" Type="http://schemas.openxmlformats.org/officeDocument/2006/relationships/hyperlink" Target="http://amazon.in" TargetMode="External"/><Relationship Id="rId3772" Type="http://schemas.openxmlformats.org/officeDocument/2006/relationships/hyperlink" Target="http://amazon.in" TargetMode="External"/><Relationship Id="rId1112" Type="http://schemas.openxmlformats.org/officeDocument/2006/relationships/hyperlink" Target="http://amazon.in" TargetMode="External"/><Relationship Id="rId2443" Type="http://schemas.openxmlformats.org/officeDocument/2006/relationships/hyperlink" Target="http://amazon.in" TargetMode="External"/><Relationship Id="rId3775" Type="http://schemas.openxmlformats.org/officeDocument/2006/relationships/hyperlink" Target="http://amazon.in" TargetMode="External"/><Relationship Id="rId1113" Type="http://schemas.openxmlformats.org/officeDocument/2006/relationships/hyperlink" Target="http://amazon.in" TargetMode="External"/><Relationship Id="rId2444" Type="http://schemas.openxmlformats.org/officeDocument/2006/relationships/hyperlink" Target="http://amazon.in" TargetMode="External"/><Relationship Id="rId3774" Type="http://schemas.openxmlformats.org/officeDocument/2006/relationships/hyperlink" Target="http://amazon.in" TargetMode="External"/><Relationship Id="rId1103" Type="http://schemas.openxmlformats.org/officeDocument/2006/relationships/hyperlink" Target="http://amazon.in" TargetMode="External"/><Relationship Id="rId2434" Type="http://schemas.openxmlformats.org/officeDocument/2006/relationships/hyperlink" Target="http://amazon.in" TargetMode="External"/><Relationship Id="rId3766" Type="http://schemas.openxmlformats.org/officeDocument/2006/relationships/hyperlink" Target="http://amazon.in" TargetMode="External"/><Relationship Id="rId1104" Type="http://schemas.openxmlformats.org/officeDocument/2006/relationships/hyperlink" Target="http://amazon.in" TargetMode="External"/><Relationship Id="rId2435" Type="http://schemas.openxmlformats.org/officeDocument/2006/relationships/hyperlink" Target="http://amazon.in" TargetMode="External"/><Relationship Id="rId3765" Type="http://schemas.openxmlformats.org/officeDocument/2006/relationships/hyperlink" Target="http://amazon.in" TargetMode="External"/><Relationship Id="rId1105" Type="http://schemas.openxmlformats.org/officeDocument/2006/relationships/hyperlink" Target="http://amazon.in" TargetMode="External"/><Relationship Id="rId2436" Type="http://schemas.openxmlformats.org/officeDocument/2006/relationships/hyperlink" Target="http://amazon.in" TargetMode="External"/><Relationship Id="rId3768" Type="http://schemas.openxmlformats.org/officeDocument/2006/relationships/hyperlink" Target="http://amazon.in" TargetMode="External"/><Relationship Id="rId1106" Type="http://schemas.openxmlformats.org/officeDocument/2006/relationships/hyperlink" Target="http://amazon.in" TargetMode="External"/><Relationship Id="rId2437" Type="http://schemas.openxmlformats.org/officeDocument/2006/relationships/hyperlink" Target="http://amazon.in" TargetMode="External"/><Relationship Id="rId3767" Type="http://schemas.openxmlformats.org/officeDocument/2006/relationships/hyperlink" Target="http://amazon.in" TargetMode="External"/><Relationship Id="rId1107" Type="http://schemas.openxmlformats.org/officeDocument/2006/relationships/hyperlink" Target="http://amazon.in" TargetMode="External"/><Relationship Id="rId2438" Type="http://schemas.openxmlformats.org/officeDocument/2006/relationships/hyperlink" Target="http://amazon.in" TargetMode="External"/><Relationship Id="rId1108" Type="http://schemas.openxmlformats.org/officeDocument/2006/relationships/hyperlink" Target="http://amazon.in" TargetMode="External"/><Relationship Id="rId2439" Type="http://schemas.openxmlformats.org/officeDocument/2006/relationships/hyperlink" Target="http://amazon.in" TargetMode="External"/><Relationship Id="rId3769" Type="http://schemas.openxmlformats.org/officeDocument/2006/relationships/hyperlink" Target="http://amazon.in" TargetMode="External"/><Relationship Id="rId1109" Type="http://schemas.openxmlformats.org/officeDocument/2006/relationships/hyperlink" Target="http://amazon.in" TargetMode="External"/><Relationship Id="rId519" Type="http://schemas.openxmlformats.org/officeDocument/2006/relationships/hyperlink" Target="http://amazon.in" TargetMode="External"/><Relationship Id="rId514" Type="http://schemas.openxmlformats.org/officeDocument/2006/relationships/hyperlink" Target="http://amazon.in" TargetMode="External"/><Relationship Id="rId513" Type="http://schemas.openxmlformats.org/officeDocument/2006/relationships/hyperlink" Target="http://amazon.in" TargetMode="External"/><Relationship Id="rId512" Type="http://schemas.openxmlformats.org/officeDocument/2006/relationships/hyperlink" Target="http://amazon.in" TargetMode="External"/><Relationship Id="rId511" Type="http://schemas.openxmlformats.org/officeDocument/2006/relationships/hyperlink" Target="http://amazon.in" TargetMode="External"/><Relationship Id="rId518" Type="http://schemas.openxmlformats.org/officeDocument/2006/relationships/hyperlink" Target="http://amazon.in" TargetMode="External"/><Relationship Id="rId517" Type="http://schemas.openxmlformats.org/officeDocument/2006/relationships/hyperlink" Target="http://amazon.in" TargetMode="External"/><Relationship Id="rId516" Type="http://schemas.openxmlformats.org/officeDocument/2006/relationships/hyperlink" Target="http://amazon.in" TargetMode="External"/><Relationship Id="rId515" Type="http://schemas.openxmlformats.org/officeDocument/2006/relationships/hyperlink" Target="http://amazon.in" TargetMode="External"/><Relationship Id="rId3760" Type="http://schemas.openxmlformats.org/officeDocument/2006/relationships/hyperlink" Target="http://amazon.in" TargetMode="External"/><Relationship Id="rId510" Type="http://schemas.openxmlformats.org/officeDocument/2006/relationships/hyperlink" Target="http://amazon.in" TargetMode="External"/><Relationship Id="rId2430" Type="http://schemas.openxmlformats.org/officeDocument/2006/relationships/hyperlink" Target="http://amazon.in" TargetMode="External"/><Relationship Id="rId3762" Type="http://schemas.openxmlformats.org/officeDocument/2006/relationships/hyperlink" Target="http://amazon.in" TargetMode="External"/><Relationship Id="rId1100" Type="http://schemas.openxmlformats.org/officeDocument/2006/relationships/hyperlink" Target="http://amazon.in" TargetMode="External"/><Relationship Id="rId2431" Type="http://schemas.openxmlformats.org/officeDocument/2006/relationships/hyperlink" Target="http://amazon.in" TargetMode="External"/><Relationship Id="rId3761" Type="http://schemas.openxmlformats.org/officeDocument/2006/relationships/hyperlink" Target="http://amazon.in" TargetMode="External"/><Relationship Id="rId1101" Type="http://schemas.openxmlformats.org/officeDocument/2006/relationships/hyperlink" Target="http://amazon.in" TargetMode="External"/><Relationship Id="rId2432" Type="http://schemas.openxmlformats.org/officeDocument/2006/relationships/hyperlink" Target="http://amazon.in" TargetMode="External"/><Relationship Id="rId3764" Type="http://schemas.openxmlformats.org/officeDocument/2006/relationships/hyperlink" Target="http://amazon.in" TargetMode="External"/><Relationship Id="rId1102" Type="http://schemas.openxmlformats.org/officeDocument/2006/relationships/hyperlink" Target="http://amazon.in" TargetMode="External"/><Relationship Id="rId2433" Type="http://schemas.openxmlformats.org/officeDocument/2006/relationships/hyperlink" Target="http://amazon.in" TargetMode="External"/><Relationship Id="rId3763" Type="http://schemas.openxmlformats.org/officeDocument/2006/relationships/hyperlink" Target="http://amazon.in" TargetMode="External"/><Relationship Id="rId3711" Type="http://schemas.openxmlformats.org/officeDocument/2006/relationships/hyperlink" Target="http://amazon.in" TargetMode="External"/><Relationship Id="rId3710" Type="http://schemas.openxmlformats.org/officeDocument/2006/relationships/hyperlink" Target="http://amazon.in" TargetMode="External"/><Relationship Id="rId3713" Type="http://schemas.openxmlformats.org/officeDocument/2006/relationships/hyperlink" Target="http://amazon.in" TargetMode="External"/><Relationship Id="rId3712" Type="http://schemas.openxmlformats.org/officeDocument/2006/relationships/hyperlink" Target="http://amazon.in" TargetMode="External"/><Relationship Id="rId3715" Type="http://schemas.openxmlformats.org/officeDocument/2006/relationships/hyperlink" Target="http://amazon.in" TargetMode="External"/><Relationship Id="rId3714" Type="http://schemas.openxmlformats.org/officeDocument/2006/relationships/hyperlink" Target="http://amazon.in" TargetMode="External"/><Relationship Id="rId3717" Type="http://schemas.openxmlformats.org/officeDocument/2006/relationships/hyperlink" Target="http://amazon.in" TargetMode="External"/><Relationship Id="rId3716" Type="http://schemas.openxmlformats.org/officeDocument/2006/relationships/hyperlink" Target="http://amazon.in" TargetMode="External"/><Relationship Id="rId3719" Type="http://schemas.openxmlformats.org/officeDocument/2006/relationships/hyperlink" Target="http://amazon.in" TargetMode="External"/><Relationship Id="rId3718" Type="http://schemas.openxmlformats.org/officeDocument/2006/relationships/hyperlink" Target="http://amazon.in" TargetMode="External"/><Relationship Id="rId3700" Type="http://schemas.openxmlformats.org/officeDocument/2006/relationships/hyperlink" Target="http://amazon.in" TargetMode="External"/><Relationship Id="rId3702" Type="http://schemas.openxmlformats.org/officeDocument/2006/relationships/hyperlink" Target="http://amazon.in" TargetMode="External"/><Relationship Id="rId3701" Type="http://schemas.openxmlformats.org/officeDocument/2006/relationships/hyperlink" Target="http://amazon.in" TargetMode="External"/><Relationship Id="rId3704" Type="http://schemas.openxmlformats.org/officeDocument/2006/relationships/hyperlink" Target="http://amazon.in" TargetMode="External"/><Relationship Id="rId3703" Type="http://schemas.openxmlformats.org/officeDocument/2006/relationships/hyperlink" Target="http://amazon.in" TargetMode="External"/><Relationship Id="rId3706" Type="http://schemas.openxmlformats.org/officeDocument/2006/relationships/hyperlink" Target="http://amazon.in" TargetMode="External"/><Relationship Id="rId3705" Type="http://schemas.openxmlformats.org/officeDocument/2006/relationships/hyperlink" Target="http://amazon.in" TargetMode="External"/><Relationship Id="rId3708" Type="http://schemas.openxmlformats.org/officeDocument/2006/relationships/hyperlink" Target="http://amazon.in" TargetMode="External"/><Relationship Id="rId3707" Type="http://schemas.openxmlformats.org/officeDocument/2006/relationships/hyperlink" Target="http://amazon.in" TargetMode="External"/><Relationship Id="rId3709" Type="http://schemas.openxmlformats.org/officeDocument/2006/relationships/hyperlink" Target="http://amazon.in" TargetMode="External"/><Relationship Id="rId2401" Type="http://schemas.openxmlformats.org/officeDocument/2006/relationships/hyperlink" Target="http://amazon.in" TargetMode="External"/><Relationship Id="rId3733" Type="http://schemas.openxmlformats.org/officeDocument/2006/relationships/hyperlink" Target="http://amazon.in" TargetMode="External"/><Relationship Id="rId2402" Type="http://schemas.openxmlformats.org/officeDocument/2006/relationships/hyperlink" Target="http://amazon.in" TargetMode="External"/><Relationship Id="rId3732" Type="http://schemas.openxmlformats.org/officeDocument/2006/relationships/hyperlink" Target="http://amazon.in" TargetMode="External"/><Relationship Id="rId2403" Type="http://schemas.openxmlformats.org/officeDocument/2006/relationships/hyperlink" Target="http://amazon.in" TargetMode="External"/><Relationship Id="rId3735" Type="http://schemas.openxmlformats.org/officeDocument/2006/relationships/hyperlink" Target="http://amazon.in" TargetMode="External"/><Relationship Id="rId2404" Type="http://schemas.openxmlformats.org/officeDocument/2006/relationships/hyperlink" Target="http://amazon.in" TargetMode="External"/><Relationship Id="rId3734" Type="http://schemas.openxmlformats.org/officeDocument/2006/relationships/hyperlink" Target="http://amazon.in" TargetMode="External"/><Relationship Id="rId2405" Type="http://schemas.openxmlformats.org/officeDocument/2006/relationships/hyperlink" Target="http://amazon.in" TargetMode="External"/><Relationship Id="rId3737" Type="http://schemas.openxmlformats.org/officeDocument/2006/relationships/hyperlink" Target="http://amazon.in" TargetMode="External"/><Relationship Id="rId2406" Type="http://schemas.openxmlformats.org/officeDocument/2006/relationships/hyperlink" Target="http://amazon.in" TargetMode="External"/><Relationship Id="rId3736" Type="http://schemas.openxmlformats.org/officeDocument/2006/relationships/hyperlink" Target="http://amazon.in" TargetMode="External"/><Relationship Id="rId2407" Type="http://schemas.openxmlformats.org/officeDocument/2006/relationships/hyperlink" Target="http://amazon.in" TargetMode="External"/><Relationship Id="rId3739" Type="http://schemas.openxmlformats.org/officeDocument/2006/relationships/hyperlink" Target="http://amazon.in" TargetMode="External"/><Relationship Id="rId2408" Type="http://schemas.openxmlformats.org/officeDocument/2006/relationships/hyperlink" Target="http://amazon.in" TargetMode="External"/><Relationship Id="rId3738" Type="http://schemas.openxmlformats.org/officeDocument/2006/relationships/hyperlink" Target="http://amazon.in" TargetMode="External"/><Relationship Id="rId2409" Type="http://schemas.openxmlformats.org/officeDocument/2006/relationships/hyperlink" Target="http://amazon.in" TargetMode="External"/><Relationship Id="rId3731" Type="http://schemas.openxmlformats.org/officeDocument/2006/relationships/hyperlink" Target="http://amazon.in" TargetMode="External"/><Relationship Id="rId2400" Type="http://schemas.openxmlformats.org/officeDocument/2006/relationships/hyperlink" Target="http://amazon.in" TargetMode="External"/><Relationship Id="rId3730" Type="http://schemas.openxmlformats.org/officeDocument/2006/relationships/hyperlink" Target="http://amazon.in" TargetMode="External"/><Relationship Id="rId3722" Type="http://schemas.openxmlformats.org/officeDocument/2006/relationships/hyperlink" Target="http://amazon.in" TargetMode="External"/><Relationship Id="rId3721" Type="http://schemas.openxmlformats.org/officeDocument/2006/relationships/hyperlink" Target="http://amazon.in" TargetMode="External"/><Relationship Id="rId3724" Type="http://schemas.openxmlformats.org/officeDocument/2006/relationships/hyperlink" Target="http://amazon.in" TargetMode="External"/><Relationship Id="rId3723" Type="http://schemas.openxmlformats.org/officeDocument/2006/relationships/hyperlink" Target="http://amazon.in" TargetMode="External"/><Relationship Id="rId3726" Type="http://schemas.openxmlformats.org/officeDocument/2006/relationships/hyperlink" Target="http://amazon.in" TargetMode="External"/><Relationship Id="rId3725" Type="http://schemas.openxmlformats.org/officeDocument/2006/relationships/hyperlink" Target="http://amazon.in" TargetMode="External"/><Relationship Id="rId3728" Type="http://schemas.openxmlformats.org/officeDocument/2006/relationships/hyperlink" Target="http://amazon.in" TargetMode="External"/><Relationship Id="rId3727" Type="http://schemas.openxmlformats.org/officeDocument/2006/relationships/hyperlink" Target="http://amazon.in" TargetMode="External"/><Relationship Id="rId3729" Type="http://schemas.openxmlformats.org/officeDocument/2006/relationships/hyperlink" Target="http://amazon.in" TargetMode="External"/><Relationship Id="rId3720" Type="http://schemas.openxmlformats.org/officeDocument/2006/relationships/hyperlink" Target="http://amazon.in" TargetMode="External"/><Relationship Id="rId4206" Type="http://schemas.openxmlformats.org/officeDocument/2006/relationships/hyperlink" Target="http://amazon.in" TargetMode="External"/><Relationship Id="rId4205" Type="http://schemas.openxmlformats.org/officeDocument/2006/relationships/hyperlink" Target="http://amazon.in" TargetMode="External"/><Relationship Id="rId4208" Type="http://schemas.openxmlformats.org/officeDocument/2006/relationships/hyperlink" Target="http://amazon.in" TargetMode="External"/><Relationship Id="rId4207" Type="http://schemas.openxmlformats.org/officeDocument/2006/relationships/hyperlink" Target="http://amazon.in" TargetMode="External"/><Relationship Id="rId590" Type="http://schemas.openxmlformats.org/officeDocument/2006/relationships/hyperlink" Target="http://amazon.in" TargetMode="External"/><Relationship Id="rId4209" Type="http://schemas.openxmlformats.org/officeDocument/2006/relationships/hyperlink" Target="http://amazon.in" TargetMode="External"/><Relationship Id="rId589" Type="http://schemas.openxmlformats.org/officeDocument/2006/relationships/hyperlink" Target="http://amazon.in" TargetMode="External"/><Relationship Id="rId588" Type="http://schemas.openxmlformats.org/officeDocument/2006/relationships/hyperlink" Target="http://amazon.in" TargetMode="External"/><Relationship Id="rId1170" Type="http://schemas.openxmlformats.org/officeDocument/2006/relationships/hyperlink" Target="http://amazon.in" TargetMode="External"/><Relationship Id="rId1171" Type="http://schemas.openxmlformats.org/officeDocument/2006/relationships/hyperlink" Target="http://amazon.in" TargetMode="External"/><Relationship Id="rId583" Type="http://schemas.openxmlformats.org/officeDocument/2006/relationships/hyperlink" Target="http://amazon.in" TargetMode="External"/><Relationship Id="rId1172" Type="http://schemas.openxmlformats.org/officeDocument/2006/relationships/hyperlink" Target="http://amazon.in" TargetMode="External"/><Relationship Id="rId582" Type="http://schemas.openxmlformats.org/officeDocument/2006/relationships/hyperlink" Target="http://amazon.in" TargetMode="External"/><Relationship Id="rId1173" Type="http://schemas.openxmlformats.org/officeDocument/2006/relationships/hyperlink" Target="http://amazon.in" TargetMode="External"/><Relationship Id="rId581" Type="http://schemas.openxmlformats.org/officeDocument/2006/relationships/hyperlink" Target="http://amazon.in" TargetMode="External"/><Relationship Id="rId1174" Type="http://schemas.openxmlformats.org/officeDocument/2006/relationships/hyperlink" Target="http://amazon.in" TargetMode="External"/><Relationship Id="rId4200" Type="http://schemas.openxmlformats.org/officeDocument/2006/relationships/hyperlink" Target="http://amazon.in" TargetMode="External"/><Relationship Id="rId580" Type="http://schemas.openxmlformats.org/officeDocument/2006/relationships/hyperlink" Target="http://amazon.in" TargetMode="External"/><Relationship Id="rId1175" Type="http://schemas.openxmlformats.org/officeDocument/2006/relationships/hyperlink" Target="http://amazon.in" TargetMode="External"/><Relationship Id="rId587" Type="http://schemas.openxmlformats.org/officeDocument/2006/relationships/hyperlink" Target="http://amazon.in" TargetMode="External"/><Relationship Id="rId1176" Type="http://schemas.openxmlformats.org/officeDocument/2006/relationships/hyperlink" Target="http://amazon.in" TargetMode="External"/><Relationship Id="rId4202" Type="http://schemas.openxmlformats.org/officeDocument/2006/relationships/hyperlink" Target="http://amazon.in" TargetMode="External"/><Relationship Id="rId586" Type="http://schemas.openxmlformats.org/officeDocument/2006/relationships/hyperlink" Target="http://amazon.in" TargetMode="External"/><Relationship Id="rId1177" Type="http://schemas.openxmlformats.org/officeDocument/2006/relationships/hyperlink" Target="http://amazon.in" TargetMode="External"/><Relationship Id="rId4201" Type="http://schemas.openxmlformats.org/officeDocument/2006/relationships/hyperlink" Target="http://amazon.in" TargetMode="External"/><Relationship Id="rId585" Type="http://schemas.openxmlformats.org/officeDocument/2006/relationships/hyperlink" Target="http://amazon.in" TargetMode="External"/><Relationship Id="rId1178" Type="http://schemas.openxmlformats.org/officeDocument/2006/relationships/hyperlink" Target="http://amazon.in" TargetMode="External"/><Relationship Id="rId4204" Type="http://schemas.openxmlformats.org/officeDocument/2006/relationships/hyperlink" Target="http://amazon.in" TargetMode="External"/><Relationship Id="rId584" Type="http://schemas.openxmlformats.org/officeDocument/2006/relationships/hyperlink" Target="http://amazon.in" TargetMode="External"/><Relationship Id="rId1179" Type="http://schemas.openxmlformats.org/officeDocument/2006/relationships/hyperlink" Target="http://amazon.in" TargetMode="External"/><Relationship Id="rId4203" Type="http://schemas.openxmlformats.org/officeDocument/2006/relationships/hyperlink" Target="http://amazon.in" TargetMode="External"/><Relationship Id="rId1169" Type="http://schemas.openxmlformats.org/officeDocument/2006/relationships/hyperlink" Target="http://amazon.in" TargetMode="External"/><Relationship Id="rId579" Type="http://schemas.openxmlformats.org/officeDocument/2006/relationships/hyperlink" Target="http://amazon.in" TargetMode="External"/><Relationship Id="rId578" Type="http://schemas.openxmlformats.org/officeDocument/2006/relationships/hyperlink" Target="http://amazon.in" TargetMode="External"/><Relationship Id="rId577" Type="http://schemas.openxmlformats.org/officeDocument/2006/relationships/hyperlink" Target="http://amazon.in" TargetMode="External"/><Relationship Id="rId2490" Type="http://schemas.openxmlformats.org/officeDocument/2006/relationships/hyperlink" Target="http://amazon.in" TargetMode="External"/><Relationship Id="rId1160" Type="http://schemas.openxmlformats.org/officeDocument/2006/relationships/hyperlink" Target="http://amazon.in" TargetMode="External"/><Relationship Id="rId2491" Type="http://schemas.openxmlformats.org/officeDocument/2006/relationships/hyperlink" Target="http://amazon.in" TargetMode="External"/><Relationship Id="rId572" Type="http://schemas.openxmlformats.org/officeDocument/2006/relationships/hyperlink" Target="http://amazon.in" TargetMode="External"/><Relationship Id="rId1161" Type="http://schemas.openxmlformats.org/officeDocument/2006/relationships/hyperlink" Target="http://amazon.in" TargetMode="External"/><Relationship Id="rId2492" Type="http://schemas.openxmlformats.org/officeDocument/2006/relationships/hyperlink" Target="http://amazon.in" TargetMode="External"/><Relationship Id="rId571" Type="http://schemas.openxmlformats.org/officeDocument/2006/relationships/hyperlink" Target="http://amazon.in" TargetMode="External"/><Relationship Id="rId1162" Type="http://schemas.openxmlformats.org/officeDocument/2006/relationships/hyperlink" Target="http://amazon.in" TargetMode="External"/><Relationship Id="rId2493" Type="http://schemas.openxmlformats.org/officeDocument/2006/relationships/hyperlink" Target="http://amazon.in" TargetMode="External"/><Relationship Id="rId570" Type="http://schemas.openxmlformats.org/officeDocument/2006/relationships/hyperlink" Target="http://amazon.in" TargetMode="External"/><Relationship Id="rId1163" Type="http://schemas.openxmlformats.org/officeDocument/2006/relationships/hyperlink" Target="http://amazon.in" TargetMode="External"/><Relationship Id="rId2494" Type="http://schemas.openxmlformats.org/officeDocument/2006/relationships/hyperlink" Target="http://amazon.in" TargetMode="External"/><Relationship Id="rId1164" Type="http://schemas.openxmlformats.org/officeDocument/2006/relationships/hyperlink" Target="http://amazon.in" TargetMode="External"/><Relationship Id="rId2495" Type="http://schemas.openxmlformats.org/officeDocument/2006/relationships/hyperlink" Target="http://amazon.in" TargetMode="External"/><Relationship Id="rId576" Type="http://schemas.openxmlformats.org/officeDocument/2006/relationships/hyperlink" Target="http://amazon.in" TargetMode="External"/><Relationship Id="rId1165" Type="http://schemas.openxmlformats.org/officeDocument/2006/relationships/hyperlink" Target="http://amazon.in" TargetMode="External"/><Relationship Id="rId2496" Type="http://schemas.openxmlformats.org/officeDocument/2006/relationships/hyperlink" Target="http://amazon.in" TargetMode="External"/><Relationship Id="rId575" Type="http://schemas.openxmlformats.org/officeDocument/2006/relationships/hyperlink" Target="http://amazon.in" TargetMode="External"/><Relationship Id="rId1166" Type="http://schemas.openxmlformats.org/officeDocument/2006/relationships/hyperlink" Target="http://amazon.in" TargetMode="External"/><Relationship Id="rId2497" Type="http://schemas.openxmlformats.org/officeDocument/2006/relationships/hyperlink" Target="http://amazon.in" TargetMode="External"/><Relationship Id="rId574" Type="http://schemas.openxmlformats.org/officeDocument/2006/relationships/hyperlink" Target="http://amazon.in" TargetMode="External"/><Relationship Id="rId1167" Type="http://schemas.openxmlformats.org/officeDocument/2006/relationships/hyperlink" Target="http://amazon.in" TargetMode="External"/><Relationship Id="rId2498" Type="http://schemas.openxmlformats.org/officeDocument/2006/relationships/hyperlink" Target="http://amazon.in" TargetMode="External"/><Relationship Id="rId573" Type="http://schemas.openxmlformats.org/officeDocument/2006/relationships/hyperlink" Target="http://amazon.in" TargetMode="External"/><Relationship Id="rId1168" Type="http://schemas.openxmlformats.org/officeDocument/2006/relationships/hyperlink" Target="http://amazon.in" TargetMode="External"/><Relationship Id="rId2499" Type="http://schemas.openxmlformats.org/officeDocument/2006/relationships/hyperlink" Target="http://amazon.in" TargetMode="External"/><Relationship Id="rId4228" Type="http://schemas.openxmlformats.org/officeDocument/2006/relationships/hyperlink" Target="http://amazon.in" TargetMode="External"/><Relationship Id="rId4227" Type="http://schemas.openxmlformats.org/officeDocument/2006/relationships/hyperlink" Target="http://amazon.in" TargetMode="External"/><Relationship Id="rId4229" Type="http://schemas.openxmlformats.org/officeDocument/2006/relationships/hyperlink" Target="http://amazon.in" TargetMode="External"/><Relationship Id="rId1190" Type="http://schemas.openxmlformats.org/officeDocument/2006/relationships/hyperlink" Target="http://amazon.in" TargetMode="External"/><Relationship Id="rId1191" Type="http://schemas.openxmlformats.org/officeDocument/2006/relationships/hyperlink" Target="http://amazon.in" TargetMode="External"/><Relationship Id="rId1192" Type="http://schemas.openxmlformats.org/officeDocument/2006/relationships/hyperlink" Target="http://amazon.in" TargetMode="External"/><Relationship Id="rId1193" Type="http://schemas.openxmlformats.org/officeDocument/2006/relationships/hyperlink" Target="http://amazon.in" TargetMode="External"/><Relationship Id="rId1194" Type="http://schemas.openxmlformats.org/officeDocument/2006/relationships/hyperlink" Target="http://amazon.in" TargetMode="External"/><Relationship Id="rId4220" Type="http://schemas.openxmlformats.org/officeDocument/2006/relationships/hyperlink" Target="http://amazon.in" TargetMode="External"/><Relationship Id="rId1195" Type="http://schemas.openxmlformats.org/officeDocument/2006/relationships/hyperlink" Target="http://amazon.in" TargetMode="External"/><Relationship Id="rId1196" Type="http://schemas.openxmlformats.org/officeDocument/2006/relationships/hyperlink" Target="http://amazon.in" TargetMode="External"/><Relationship Id="rId4222" Type="http://schemas.openxmlformats.org/officeDocument/2006/relationships/hyperlink" Target="http://amazon.in" TargetMode="External"/><Relationship Id="rId1197" Type="http://schemas.openxmlformats.org/officeDocument/2006/relationships/hyperlink" Target="http://amazon.in" TargetMode="External"/><Relationship Id="rId4221" Type="http://schemas.openxmlformats.org/officeDocument/2006/relationships/hyperlink" Target="http://amazon.in" TargetMode="External"/><Relationship Id="rId1198" Type="http://schemas.openxmlformats.org/officeDocument/2006/relationships/hyperlink" Target="http://amazon.in" TargetMode="External"/><Relationship Id="rId4224" Type="http://schemas.openxmlformats.org/officeDocument/2006/relationships/hyperlink" Target="http://amazon.in" TargetMode="External"/><Relationship Id="rId1199" Type="http://schemas.openxmlformats.org/officeDocument/2006/relationships/hyperlink" Target="http://amazon.in" TargetMode="External"/><Relationship Id="rId4223" Type="http://schemas.openxmlformats.org/officeDocument/2006/relationships/hyperlink" Target="http://amazon.in" TargetMode="External"/><Relationship Id="rId4226" Type="http://schemas.openxmlformats.org/officeDocument/2006/relationships/hyperlink" Target="http://amazon.in" TargetMode="External"/><Relationship Id="rId4225" Type="http://schemas.openxmlformats.org/officeDocument/2006/relationships/hyperlink" Target="http://amazon.in" TargetMode="External"/><Relationship Id="rId4217" Type="http://schemas.openxmlformats.org/officeDocument/2006/relationships/hyperlink" Target="http://amazon.in" TargetMode="External"/><Relationship Id="rId4216" Type="http://schemas.openxmlformats.org/officeDocument/2006/relationships/hyperlink" Target="http://amazon.in" TargetMode="External"/><Relationship Id="rId4219" Type="http://schemas.openxmlformats.org/officeDocument/2006/relationships/hyperlink" Target="http://amazon.in" TargetMode="External"/><Relationship Id="rId4218" Type="http://schemas.openxmlformats.org/officeDocument/2006/relationships/hyperlink" Target="http://amazon.in" TargetMode="External"/><Relationship Id="rId599" Type="http://schemas.openxmlformats.org/officeDocument/2006/relationships/hyperlink" Target="http://amazon.in" TargetMode="External"/><Relationship Id="rId1180" Type="http://schemas.openxmlformats.org/officeDocument/2006/relationships/hyperlink" Target="http://amazon.in" TargetMode="External"/><Relationship Id="rId1181" Type="http://schemas.openxmlformats.org/officeDocument/2006/relationships/hyperlink" Target="http://amazon.in" TargetMode="External"/><Relationship Id="rId1182" Type="http://schemas.openxmlformats.org/officeDocument/2006/relationships/hyperlink" Target="http://amazon.in" TargetMode="External"/><Relationship Id="rId594" Type="http://schemas.openxmlformats.org/officeDocument/2006/relationships/hyperlink" Target="http://amazon.in" TargetMode="External"/><Relationship Id="rId1183" Type="http://schemas.openxmlformats.org/officeDocument/2006/relationships/hyperlink" Target="http://amazon.in" TargetMode="External"/><Relationship Id="rId593" Type="http://schemas.openxmlformats.org/officeDocument/2006/relationships/hyperlink" Target="http://amazon.in" TargetMode="External"/><Relationship Id="rId1184" Type="http://schemas.openxmlformats.org/officeDocument/2006/relationships/hyperlink" Target="http://amazon.in" TargetMode="External"/><Relationship Id="rId592" Type="http://schemas.openxmlformats.org/officeDocument/2006/relationships/hyperlink" Target="http://amazon.in" TargetMode="External"/><Relationship Id="rId1185" Type="http://schemas.openxmlformats.org/officeDocument/2006/relationships/hyperlink" Target="http://amazon.in" TargetMode="External"/><Relationship Id="rId4211" Type="http://schemas.openxmlformats.org/officeDocument/2006/relationships/hyperlink" Target="http://amazon.in" TargetMode="External"/><Relationship Id="rId591" Type="http://schemas.openxmlformats.org/officeDocument/2006/relationships/hyperlink" Target="http://amazon.in" TargetMode="External"/><Relationship Id="rId1186" Type="http://schemas.openxmlformats.org/officeDocument/2006/relationships/hyperlink" Target="http://amazon.in" TargetMode="External"/><Relationship Id="rId4210" Type="http://schemas.openxmlformats.org/officeDocument/2006/relationships/hyperlink" Target="http://amazon.in" TargetMode="External"/><Relationship Id="rId598" Type="http://schemas.openxmlformats.org/officeDocument/2006/relationships/hyperlink" Target="http://amazon.in" TargetMode="External"/><Relationship Id="rId1187" Type="http://schemas.openxmlformats.org/officeDocument/2006/relationships/hyperlink" Target="http://amazon.in" TargetMode="External"/><Relationship Id="rId4213" Type="http://schemas.openxmlformats.org/officeDocument/2006/relationships/hyperlink" Target="http://amazon.in" TargetMode="External"/><Relationship Id="rId597" Type="http://schemas.openxmlformats.org/officeDocument/2006/relationships/hyperlink" Target="http://amazon.in" TargetMode="External"/><Relationship Id="rId1188" Type="http://schemas.openxmlformats.org/officeDocument/2006/relationships/hyperlink" Target="http://amazon.in" TargetMode="External"/><Relationship Id="rId4212" Type="http://schemas.openxmlformats.org/officeDocument/2006/relationships/hyperlink" Target="http://amazon.in" TargetMode="External"/><Relationship Id="rId596" Type="http://schemas.openxmlformats.org/officeDocument/2006/relationships/hyperlink" Target="http://amazon.in" TargetMode="External"/><Relationship Id="rId1189" Type="http://schemas.openxmlformats.org/officeDocument/2006/relationships/hyperlink" Target="http://amazon.in" TargetMode="External"/><Relationship Id="rId4215" Type="http://schemas.openxmlformats.org/officeDocument/2006/relationships/hyperlink" Target="http://amazon.in" TargetMode="External"/><Relationship Id="rId595" Type="http://schemas.openxmlformats.org/officeDocument/2006/relationships/hyperlink" Target="http://amazon.in" TargetMode="External"/><Relationship Id="rId4214" Type="http://schemas.openxmlformats.org/officeDocument/2006/relationships/hyperlink" Target="http://amazon.in" TargetMode="External"/><Relationship Id="rId1136" Type="http://schemas.openxmlformats.org/officeDocument/2006/relationships/hyperlink" Target="http://amazon.in" TargetMode="External"/><Relationship Id="rId2467" Type="http://schemas.openxmlformats.org/officeDocument/2006/relationships/hyperlink" Target="http://amazon.in" TargetMode="External"/><Relationship Id="rId3799" Type="http://schemas.openxmlformats.org/officeDocument/2006/relationships/hyperlink" Target="http://amazon.in" TargetMode="External"/><Relationship Id="rId1137" Type="http://schemas.openxmlformats.org/officeDocument/2006/relationships/hyperlink" Target="http://amazon.in" TargetMode="External"/><Relationship Id="rId2468" Type="http://schemas.openxmlformats.org/officeDocument/2006/relationships/hyperlink" Target="http://amazon.in" TargetMode="External"/><Relationship Id="rId3798" Type="http://schemas.openxmlformats.org/officeDocument/2006/relationships/hyperlink" Target="http://amazon.in" TargetMode="External"/><Relationship Id="rId1138" Type="http://schemas.openxmlformats.org/officeDocument/2006/relationships/hyperlink" Target="http://amazon.in" TargetMode="External"/><Relationship Id="rId2469" Type="http://schemas.openxmlformats.org/officeDocument/2006/relationships/hyperlink" Target="http://amazon.in" TargetMode="External"/><Relationship Id="rId1139" Type="http://schemas.openxmlformats.org/officeDocument/2006/relationships/hyperlink" Target="http://amazon.in" TargetMode="External"/><Relationship Id="rId547" Type="http://schemas.openxmlformats.org/officeDocument/2006/relationships/hyperlink" Target="http://amazon.in" TargetMode="External"/><Relationship Id="rId546" Type="http://schemas.openxmlformats.org/officeDocument/2006/relationships/hyperlink" Target="http://amazon.in" TargetMode="External"/><Relationship Id="rId545" Type="http://schemas.openxmlformats.org/officeDocument/2006/relationships/hyperlink" Target="http://amazon.in" TargetMode="External"/><Relationship Id="rId544" Type="http://schemas.openxmlformats.org/officeDocument/2006/relationships/hyperlink" Target="http://amazon.in" TargetMode="External"/><Relationship Id="rId549" Type="http://schemas.openxmlformats.org/officeDocument/2006/relationships/hyperlink" Target="http://amazon.in" TargetMode="External"/><Relationship Id="rId548" Type="http://schemas.openxmlformats.org/officeDocument/2006/relationships/hyperlink" Target="http://amazon.in" TargetMode="External"/><Relationship Id="rId3791" Type="http://schemas.openxmlformats.org/officeDocument/2006/relationships/hyperlink" Target="http://amazon.in" TargetMode="External"/><Relationship Id="rId2460" Type="http://schemas.openxmlformats.org/officeDocument/2006/relationships/hyperlink" Target="http://amazon.in" TargetMode="External"/><Relationship Id="rId3790" Type="http://schemas.openxmlformats.org/officeDocument/2006/relationships/hyperlink" Target="http://amazon.in" TargetMode="External"/><Relationship Id="rId1130" Type="http://schemas.openxmlformats.org/officeDocument/2006/relationships/hyperlink" Target="http://amazon.in" TargetMode="External"/><Relationship Id="rId2461" Type="http://schemas.openxmlformats.org/officeDocument/2006/relationships/hyperlink" Target="http://amazon.in" TargetMode="External"/><Relationship Id="rId3793" Type="http://schemas.openxmlformats.org/officeDocument/2006/relationships/hyperlink" Target="http://amazon.in" TargetMode="External"/><Relationship Id="rId1131" Type="http://schemas.openxmlformats.org/officeDocument/2006/relationships/hyperlink" Target="http://amazon.in" TargetMode="External"/><Relationship Id="rId2462" Type="http://schemas.openxmlformats.org/officeDocument/2006/relationships/hyperlink" Target="http://amazon.in" TargetMode="External"/><Relationship Id="rId3792" Type="http://schemas.openxmlformats.org/officeDocument/2006/relationships/hyperlink" Target="http://amazon.in" TargetMode="External"/><Relationship Id="rId543" Type="http://schemas.openxmlformats.org/officeDocument/2006/relationships/hyperlink" Target="http://amazon.in" TargetMode="External"/><Relationship Id="rId1132" Type="http://schemas.openxmlformats.org/officeDocument/2006/relationships/hyperlink" Target="http://amazon.in" TargetMode="External"/><Relationship Id="rId2463" Type="http://schemas.openxmlformats.org/officeDocument/2006/relationships/hyperlink" Target="http://amazon.in" TargetMode="External"/><Relationship Id="rId3795" Type="http://schemas.openxmlformats.org/officeDocument/2006/relationships/hyperlink" Target="http://amazon.in" TargetMode="External"/><Relationship Id="rId542" Type="http://schemas.openxmlformats.org/officeDocument/2006/relationships/hyperlink" Target="http://amazon.in" TargetMode="External"/><Relationship Id="rId1133" Type="http://schemas.openxmlformats.org/officeDocument/2006/relationships/hyperlink" Target="http://amazon.in" TargetMode="External"/><Relationship Id="rId2464" Type="http://schemas.openxmlformats.org/officeDocument/2006/relationships/hyperlink" Target="http://amazon.in" TargetMode="External"/><Relationship Id="rId3794" Type="http://schemas.openxmlformats.org/officeDocument/2006/relationships/hyperlink" Target="http://amazon.in" TargetMode="External"/><Relationship Id="rId541" Type="http://schemas.openxmlformats.org/officeDocument/2006/relationships/hyperlink" Target="http://amazon.in" TargetMode="External"/><Relationship Id="rId1134" Type="http://schemas.openxmlformats.org/officeDocument/2006/relationships/hyperlink" Target="http://amazon.in" TargetMode="External"/><Relationship Id="rId2465" Type="http://schemas.openxmlformats.org/officeDocument/2006/relationships/hyperlink" Target="http://amazon.in" TargetMode="External"/><Relationship Id="rId3797" Type="http://schemas.openxmlformats.org/officeDocument/2006/relationships/hyperlink" Target="http://amazon.in" TargetMode="External"/><Relationship Id="rId540" Type="http://schemas.openxmlformats.org/officeDocument/2006/relationships/hyperlink" Target="http://amazon.in" TargetMode="External"/><Relationship Id="rId1135" Type="http://schemas.openxmlformats.org/officeDocument/2006/relationships/hyperlink" Target="http://amazon.in" TargetMode="External"/><Relationship Id="rId2466" Type="http://schemas.openxmlformats.org/officeDocument/2006/relationships/hyperlink" Target="http://amazon.in" TargetMode="External"/><Relationship Id="rId3796" Type="http://schemas.openxmlformats.org/officeDocument/2006/relationships/hyperlink" Target="http://amazon.in" TargetMode="External"/><Relationship Id="rId1125" Type="http://schemas.openxmlformats.org/officeDocument/2006/relationships/hyperlink" Target="http://amazon.in" TargetMode="External"/><Relationship Id="rId2456" Type="http://schemas.openxmlformats.org/officeDocument/2006/relationships/hyperlink" Target="http://amazon.in" TargetMode="External"/><Relationship Id="rId3788" Type="http://schemas.openxmlformats.org/officeDocument/2006/relationships/hyperlink" Target="http://amazon.in" TargetMode="External"/><Relationship Id="rId1126" Type="http://schemas.openxmlformats.org/officeDocument/2006/relationships/hyperlink" Target="http://amazon.in" TargetMode="External"/><Relationship Id="rId2457" Type="http://schemas.openxmlformats.org/officeDocument/2006/relationships/hyperlink" Target="http://amazon.in" TargetMode="External"/><Relationship Id="rId3787" Type="http://schemas.openxmlformats.org/officeDocument/2006/relationships/hyperlink" Target="http://amazon.in" TargetMode="External"/><Relationship Id="rId1127" Type="http://schemas.openxmlformats.org/officeDocument/2006/relationships/hyperlink" Target="http://amazon.in" TargetMode="External"/><Relationship Id="rId2458" Type="http://schemas.openxmlformats.org/officeDocument/2006/relationships/hyperlink" Target="http://amazon.in" TargetMode="External"/><Relationship Id="rId1128" Type="http://schemas.openxmlformats.org/officeDocument/2006/relationships/hyperlink" Target="http://amazon.in" TargetMode="External"/><Relationship Id="rId2459" Type="http://schemas.openxmlformats.org/officeDocument/2006/relationships/hyperlink" Target="http://amazon.in" TargetMode="External"/><Relationship Id="rId3789" Type="http://schemas.openxmlformats.org/officeDocument/2006/relationships/hyperlink" Target="http://amazon.in" TargetMode="External"/><Relationship Id="rId1129" Type="http://schemas.openxmlformats.org/officeDocument/2006/relationships/hyperlink" Target="http://amazon.in" TargetMode="External"/><Relationship Id="rId536" Type="http://schemas.openxmlformats.org/officeDocument/2006/relationships/hyperlink" Target="http://amazon.in" TargetMode="External"/><Relationship Id="rId535" Type="http://schemas.openxmlformats.org/officeDocument/2006/relationships/hyperlink" Target="http://amazon.in" TargetMode="External"/><Relationship Id="rId534" Type="http://schemas.openxmlformats.org/officeDocument/2006/relationships/hyperlink" Target="http://amazon.in" TargetMode="External"/><Relationship Id="rId533" Type="http://schemas.openxmlformats.org/officeDocument/2006/relationships/hyperlink" Target="http://amazon.in" TargetMode="External"/><Relationship Id="rId539" Type="http://schemas.openxmlformats.org/officeDocument/2006/relationships/hyperlink" Target="http://amazon.in" TargetMode="External"/><Relationship Id="rId538" Type="http://schemas.openxmlformats.org/officeDocument/2006/relationships/hyperlink" Target="http://amazon.in" TargetMode="External"/><Relationship Id="rId537" Type="http://schemas.openxmlformats.org/officeDocument/2006/relationships/hyperlink" Target="http://amazon.in" TargetMode="External"/><Relationship Id="rId3780" Type="http://schemas.openxmlformats.org/officeDocument/2006/relationships/hyperlink" Target="http://amazon.in" TargetMode="External"/><Relationship Id="rId2450" Type="http://schemas.openxmlformats.org/officeDocument/2006/relationships/hyperlink" Target="http://amazon.in" TargetMode="External"/><Relationship Id="rId3782" Type="http://schemas.openxmlformats.org/officeDocument/2006/relationships/hyperlink" Target="http://amazon.in" TargetMode="External"/><Relationship Id="rId1120" Type="http://schemas.openxmlformats.org/officeDocument/2006/relationships/hyperlink" Target="http://amazon.in" TargetMode="External"/><Relationship Id="rId2451" Type="http://schemas.openxmlformats.org/officeDocument/2006/relationships/hyperlink" Target="http://amazon.in" TargetMode="External"/><Relationship Id="rId3781" Type="http://schemas.openxmlformats.org/officeDocument/2006/relationships/hyperlink" Target="http://amazon.in" TargetMode="External"/><Relationship Id="rId532" Type="http://schemas.openxmlformats.org/officeDocument/2006/relationships/hyperlink" Target="http://amazon.in" TargetMode="External"/><Relationship Id="rId1121" Type="http://schemas.openxmlformats.org/officeDocument/2006/relationships/hyperlink" Target="http://amazon.in" TargetMode="External"/><Relationship Id="rId2452" Type="http://schemas.openxmlformats.org/officeDocument/2006/relationships/hyperlink" Target="http://amazon.in" TargetMode="External"/><Relationship Id="rId3784" Type="http://schemas.openxmlformats.org/officeDocument/2006/relationships/hyperlink" Target="http://amazon.in" TargetMode="External"/><Relationship Id="rId531" Type="http://schemas.openxmlformats.org/officeDocument/2006/relationships/hyperlink" Target="http://amazon.in" TargetMode="External"/><Relationship Id="rId1122" Type="http://schemas.openxmlformats.org/officeDocument/2006/relationships/hyperlink" Target="http://amazon.in" TargetMode="External"/><Relationship Id="rId2453" Type="http://schemas.openxmlformats.org/officeDocument/2006/relationships/hyperlink" Target="http://amazon.in" TargetMode="External"/><Relationship Id="rId3783" Type="http://schemas.openxmlformats.org/officeDocument/2006/relationships/hyperlink" Target="http://amazon.in" TargetMode="External"/><Relationship Id="rId530" Type="http://schemas.openxmlformats.org/officeDocument/2006/relationships/hyperlink" Target="http://amazon.in" TargetMode="External"/><Relationship Id="rId1123" Type="http://schemas.openxmlformats.org/officeDocument/2006/relationships/hyperlink" Target="http://amazon.in" TargetMode="External"/><Relationship Id="rId2454" Type="http://schemas.openxmlformats.org/officeDocument/2006/relationships/hyperlink" Target="http://amazon.in" TargetMode="External"/><Relationship Id="rId3786" Type="http://schemas.openxmlformats.org/officeDocument/2006/relationships/hyperlink" Target="http://amazon.in" TargetMode="External"/><Relationship Id="rId1124" Type="http://schemas.openxmlformats.org/officeDocument/2006/relationships/hyperlink" Target="http://amazon.in" TargetMode="External"/><Relationship Id="rId2455" Type="http://schemas.openxmlformats.org/officeDocument/2006/relationships/hyperlink" Target="http://amazon.in" TargetMode="External"/><Relationship Id="rId3785" Type="http://schemas.openxmlformats.org/officeDocument/2006/relationships/hyperlink" Target="http://amazon.in" TargetMode="External"/><Relationship Id="rId1158" Type="http://schemas.openxmlformats.org/officeDocument/2006/relationships/hyperlink" Target="http://amazon.in" TargetMode="External"/><Relationship Id="rId2489" Type="http://schemas.openxmlformats.org/officeDocument/2006/relationships/hyperlink" Target="http://amazon.in" TargetMode="External"/><Relationship Id="rId1159" Type="http://schemas.openxmlformats.org/officeDocument/2006/relationships/hyperlink" Target="http://amazon.in" TargetMode="External"/><Relationship Id="rId569" Type="http://schemas.openxmlformats.org/officeDocument/2006/relationships/hyperlink" Target="http://amazon.in" TargetMode="External"/><Relationship Id="rId568" Type="http://schemas.openxmlformats.org/officeDocument/2006/relationships/hyperlink" Target="http://amazon.in" TargetMode="External"/><Relationship Id="rId567" Type="http://schemas.openxmlformats.org/officeDocument/2006/relationships/hyperlink" Target="http://amazon.in" TargetMode="External"/><Relationship Id="rId566" Type="http://schemas.openxmlformats.org/officeDocument/2006/relationships/hyperlink" Target="http://amazon.in" TargetMode="External"/><Relationship Id="rId2480" Type="http://schemas.openxmlformats.org/officeDocument/2006/relationships/hyperlink" Target="http://amazon.in" TargetMode="External"/><Relationship Id="rId561" Type="http://schemas.openxmlformats.org/officeDocument/2006/relationships/hyperlink" Target="http://amazon.in" TargetMode="External"/><Relationship Id="rId1150" Type="http://schemas.openxmlformats.org/officeDocument/2006/relationships/hyperlink" Target="http://amazon.in" TargetMode="External"/><Relationship Id="rId2481" Type="http://schemas.openxmlformats.org/officeDocument/2006/relationships/hyperlink" Target="http://amazon.in" TargetMode="External"/><Relationship Id="rId560" Type="http://schemas.openxmlformats.org/officeDocument/2006/relationships/hyperlink" Target="http://amazon.in" TargetMode="External"/><Relationship Id="rId1151" Type="http://schemas.openxmlformats.org/officeDocument/2006/relationships/hyperlink" Target="http://amazon.in" TargetMode="External"/><Relationship Id="rId2482" Type="http://schemas.openxmlformats.org/officeDocument/2006/relationships/hyperlink" Target="http://amazon.in" TargetMode="External"/><Relationship Id="rId1152" Type="http://schemas.openxmlformats.org/officeDocument/2006/relationships/hyperlink" Target="http://amazon.in" TargetMode="External"/><Relationship Id="rId2483" Type="http://schemas.openxmlformats.org/officeDocument/2006/relationships/hyperlink" Target="http://amazon.in" TargetMode="External"/><Relationship Id="rId1153" Type="http://schemas.openxmlformats.org/officeDocument/2006/relationships/hyperlink" Target="http://amazon.in" TargetMode="External"/><Relationship Id="rId2484" Type="http://schemas.openxmlformats.org/officeDocument/2006/relationships/hyperlink" Target="http://amazon.in" TargetMode="External"/><Relationship Id="rId565" Type="http://schemas.openxmlformats.org/officeDocument/2006/relationships/hyperlink" Target="http://amazon.in" TargetMode="External"/><Relationship Id="rId1154" Type="http://schemas.openxmlformats.org/officeDocument/2006/relationships/hyperlink" Target="http://amazon.in" TargetMode="External"/><Relationship Id="rId2485" Type="http://schemas.openxmlformats.org/officeDocument/2006/relationships/hyperlink" Target="http://amazon.in" TargetMode="External"/><Relationship Id="rId564" Type="http://schemas.openxmlformats.org/officeDocument/2006/relationships/hyperlink" Target="http://amazon.in" TargetMode="External"/><Relationship Id="rId1155" Type="http://schemas.openxmlformats.org/officeDocument/2006/relationships/hyperlink" Target="http://amazon.in" TargetMode="External"/><Relationship Id="rId2486" Type="http://schemas.openxmlformats.org/officeDocument/2006/relationships/hyperlink" Target="http://amazon.in" TargetMode="External"/><Relationship Id="rId563" Type="http://schemas.openxmlformats.org/officeDocument/2006/relationships/hyperlink" Target="http://amazon.in" TargetMode="External"/><Relationship Id="rId1156" Type="http://schemas.openxmlformats.org/officeDocument/2006/relationships/hyperlink" Target="http://amazon.in" TargetMode="External"/><Relationship Id="rId2487" Type="http://schemas.openxmlformats.org/officeDocument/2006/relationships/hyperlink" Target="http://amazon.in" TargetMode="External"/><Relationship Id="rId562" Type="http://schemas.openxmlformats.org/officeDocument/2006/relationships/hyperlink" Target="http://amazon.in" TargetMode="External"/><Relationship Id="rId1157" Type="http://schemas.openxmlformats.org/officeDocument/2006/relationships/hyperlink" Target="http://amazon.in" TargetMode="External"/><Relationship Id="rId2488" Type="http://schemas.openxmlformats.org/officeDocument/2006/relationships/hyperlink" Target="http://amazon.in" TargetMode="External"/><Relationship Id="rId1147" Type="http://schemas.openxmlformats.org/officeDocument/2006/relationships/hyperlink" Target="http://amazon.in" TargetMode="External"/><Relationship Id="rId2478" Type="http://schemas.openxmlformats.org/officeDocument/2006/relationships/hyperlink" Target="http://amazon.in" TargetMode="External"/><Relationship Id="rId1148" Type="http://schemas.openxmlformats.org/officeDocument/2006/relationships/hyperlink" Target="http://amazon.in" TargetMode="External"/><Relationship Id="rId2479" Type="http://schemas.openxmlformats.org/officeDocument/2006/relationships/hyperlink" Target="http://amazon.in" TargetMode="External"/><Relationship Id="rId1149" Type="http://schemas.openxmlformats.org/officeDocument/2006/relationships/hyperlink" Target="http://amazon.in" TargetMode="External"/><Relationship Id="rId558" Type="http://schemas.openxmlformats.org/officeDocument/2006/relationships/hyperlink" Target="http://amazon.in" TargetMode="External"/><Relationship Id="rId557" Type="http://schemas.openxmlformats.org/officeDocument/2006/relationships/hyperlink" Target="http://amazon.in" TargetMode="External"/><Relationship Id="rId556" Type="http://schemas.openxmlformats.org/officeDocument/2006/relationships/hyperlink" Target="http://amazon.in" TargetMode="External"/><Relationship Id="rId555" Type="http://schemas.openxmlformats.org/officeDocument/2006/relationships/hyperlink" Target="http://amazon.in" TargetMode="External"/><Relationship Id="rId559" Type="http://schemas.openxmlformats.org/officeDocument/2006/relationships/hyperlink" Target="http://amazon.in" TargetMode="External"/><Relationship Id="rId550" Type="http://schemas.openxmlformats.org/officeDocument/2006/relationships/hyperlink" Target="http://amazon.in" TargetMode="External"/><Relationship Id="rId2470" Type="http://schemas.openxmlformats.org/officeDocument/2006/relationships/hyperlink" Target="http://amazon.in" TargetMode="External"/><Relationship Id="rId1140" Type="http://schemas.openxmlformats.org/officeDocument/2006/relationships/hyperlink" Target="http://amazon.in" TargetMode="External"/><Relationship Id="rId2471" Type="http://schemas.openxmlformats.org/officeDocument/2006/relationships/hyperlink" Target="http://amazon.in" TargetMode="External"/><Relationship Id="rId1141" Type="http://schemas.openxmlformats.org/officeDocument/2006/relationships/hyperlink" Target="http://amazon.in" TargetMode="External"/><Relationship Id="rId2472" Type="http://schemas.openxmlformats.org/officeDocument/2006/relationships/hyperlink" Target="http://amazon.in" TargetMode="External"/><Relationship Id="rId1142" Type="http://schemas.openxmlformats.org/officeDocument/2006/relationships/hyperlink" Target="http://amazon.in" TargetMode="External"/><Relationship Id="rId2473" Type="http://schemas.openxmlformats.org/officeDocument/2006/relationships/hyperlink" Target="http://amazon.in" TargetMode="External"/><Relationship Id="rId554" Type="http://schemas.openxmlformats.org/officeDocument/2006/relationships/hyperlink" Target="http://amazon.in" TargetMode="External"/><Relationship Id="rId1143" Type="http://schemas.openxmlformats.org/officeDocument/2006/relationships/hyperlink" Target="http://amazon.in" TargetMode="External"/><Relationship Id="rId2474" Type="http://schemas.openxmlformats.org/officeDocument/2006/relationships/hyperlink" Target="http://amazon.in" TargetMode="External"/><Relationship Id="rId553" Type="http://schemas.openxmlformats.org/officeDocument/2006/relationships/hyperlink" Target="http://amazon.in" TargetMode="External"/><Relationship Id="rId1144" Type="http://schemas.openxmlformats.org/officeDocument/2006/relationships/hyperlink" Target="http://amazon.in" TargetMode="External"/><Relationship Id="rId2475" Type="http://schemas.openxmlformats.org/officeDocument/2006/relationships/hyperlink" Target="http://amazon.in" TargetMode="External"/><Relationship Id="rId552" Type="http://schemas.openxmlformats.org/officeDocument/2006/relationships/hyperlink" Target="http://amazon.in" TargetMode="External"/><Relationship Id="rId1145" Type="http://schemas.openxmlformats.org/officeDocument/2006/relationships/hyperlink" Target="http://amazon.in" TargetMode="External"/><Relationship Id="rId2476" Type="http://schemas.openxmlformats.org/officeDocument/2006/relationships/hyperlink" Target="http://amazon.in" TargetMode="External"/><Relationship Id="rId551" Type="http://schemas.openxmlformats.org/officeDocument/2006/relationships/hyperlink" Target="http://amazon.in" TargetMode="External"/><Relationship Id="rId1146" Type="http://schemas.openxmlformats.org/officeDocument/2006/relationships/hyperlink" Target="http://amazon.in" TargetMode="External"/><Relationship Id="rId2477" Type="http://schemas.openxmlformats.org/officeDocument/2006/relationships/hyperlink" Target="http://amazon.in" TargetMode="External"/><Relationship Id="rId4280" Type="http://schemas.openxmlformats.org/officeDocument/2006/relationships/hyperlink" Target="http://amazon.in" TargetMode="External"/><Relationship Id="rId4282" Type="http://schemas.openxmlformats.org/officeDocument/2006/relationships/hyperlink" Target="http://amazon.in" TargetMode="External"/><Relationship Id="rId4281" Type="http://schemas.openxmlformats.org/officeDocument/2006/relationships/hyperlink" Target="http://amazon.in" TargetMode="External"/><Relationship Id="rId4284" Type="http://schemas.openxmlformats.org/officeDocument/2006/relationships/hyperlink" Target="http://amazon.in" TargetMode="External"/><Relationship Id="rId4283" Type="http://schemas.openxmlformats.org/officeDocument/2006/relationships/hyperlink" Target="http://amazon.in" TargetMode="External"/><Relationship Id="rId4286" Type="http://schemas.openxmlformats.org/officeDocument/2006/relationships/hyperlink" Target="http://amazon.in" TargetMode="External"/><Relationship Id="rId4285" Type="http://schemas.openxmlformats.org/officeDocument/2006/relationships/hyperlink" Target="http://amazon.in" TargetMode="External"/><Relationship Id="rId4288" Type="http://schemas.openxmlformats.org/officeDocument/2006/relationships/hyperlink" Target="http://amazon.in" TargetMode="External"/><Relationship Id="rId4287" Type="http://schemas.openxmlformats.org/officeDocument/2006/relationships/hyperlink" Target="http://amazon.in" TargetMode="External"/><Relationship Id="rId4289" Type="http://schemas.openxmlformats.org/officeDocument/2006/relationships/hyperlink" Target="http://amazon.in" TargetMode="External"/><Relationship Id="rId4271" Type="http://schemas.openxmlformats.org/officeDocument/2006/relationships/hyperlink" Target="http://amazon.in" TargetMode="External"/><Relationship Id="rId4270" Type="http://schemas.openxmlformats.org/officeDocument/2006/relationships/hyperlink" Target="http://amazon.in" TargetMode="External"/><Relationship Id="rId4273" Type="http://schemas.openxmlformats.org/officeDocument/2006/relationships/hyperlink" Target="http://amazon.in" TargetMode="External"/><Relationship Id="rId4272" Type="http://schemas.openxmlformats.org/officeDocument/2006/relationships/hyperlink" Target="http://amazon.in" TargetMode="External"/><Relationship Id="rId4275" Type="http://schemas.openxmlformats.org/officeDocument/2006/relationships/hyperlink" Target="http://amazon.in" TargetMode="External"/><Relationship Id="rId4274" Type="http://schemas.openxmlformats.org/officeDocument/2006/relationships/hyperlink" Target="http://amazon.in" TargetMode="External"/><Relationship Id="rId4277" Type="http://schemas.openxmlformats.org/officeDocument/2006/relationships/hyperlink" Target="http://amazon.in" TargetMode="External"/><Relationship Id="rId4276" Type="http://schemas.openxmlformats.org/officeDocument/2006/relationships/hyperlink" Target="http://amazon.in" TargetMode="External"/><Relationship Id="rId4279" Type="http://schemas.openxmlformats.org/officeDocument/2006/relationships/hyperlink" Target="http://amazon.in" TargetMode="External"/><Relationship Id="rId4278" Type="http://schemas.openxmlformats.org/officeDocument/2006/relationships/hyperlink" Target="http://amazon.in" TargetMode="External"/><Relationship Id="rId4291" Type="http://schemas.openxmlformats.org/officeDocument/2006/relationships/hyperlink" Target="http://amazon.in" TargetMode="External"/><Relationship Id="rId4290" Type="http://schemas.openxmlformats.org/officeDocument/2006/relationships/hyperlink" Target="http://amazon.in" TargetMode="External"/><Relationship Id="rId4293" Type="http://schemas.openxmlformats.org/officeDocument/2006/relationships/hyperlink" Target="http://amazon.in" TargetMode="External"/><Relationship Id="rId4292" Type="http://schemas.openxmlformats.org/officeDocument/2006/relationships/hyperlink" Target="http://amazon.in" TargetMode="External"/><Relationship Id="rId4295" Type="http://schemas.openxmlformats.org/officeDocument/2006/relationships/hyperlink" Target="http://amazon.in" TargetMode="External"/><Relationship Id="rId4294" Type="http://schemas.openxmlformats.org/officeDocument/2006/relationships/hyperlink" Target="http://amazon.in" TargetMode="External"/><Relationship Id="rId4297" Type="http://schemas.openxmlformats.org/officeDocument/2006/relationships/hyperlink" Target="http://amazon.in" TargetMode="External"/><Relationship Id="rId4296" Type="http://schemas.openxmlformats.org/officeDocument/2006/relationships/hyperlink" Target="http://amazon.in" TargetMode="External"/><Relationship Id="rId4299" Type="http://schemas.openxmlformats.org/officeDocument/2006/relationships/hyperlink" Target="http://amazon.in" TargetMode="External"/><Relationship Id="rId4298" Type="http://schemas.openxmlformats.org/officeDocument/2006/relationships/hyperlink" Target="http://amazon.in" TargetMode="External"/><Relationship Id="rId4249" Type="http://schemas.openxmlformats.org/officeDocument/2006/relationships/hyperlink" Target="http://amazon.in" TargetMode="External"/><Relationship Id="rId4240" Type="http://schemas.openxmlformats.org/officeDocument/2006/relationships/hyperlink" Target="http://amazon.in" TargetMode="External"/><Relationship Id="rId4242" Type="http://schemas.openxmlformats.org/officeDocument/2006/relationships/hyperlink" Target="http://amazon.in" TargetMode="External"/><Relationship Id="rId4241" Type="http://schemas.openxmlformats.org/officeDocument/2006/relationships/hyperlink" Target="http://amazon.in" TargetMode="External"/><Relationship Id="rId4244" Type="http://schemas.openxmlformats.org/officeDocument/2006/relationships/hyperlink" Target="http://amazon.in" TargetMode="External"/><Relationship Id="rId4243" Type="http://schemas.openxmlformats.org/officeDocument/2006/relationships/hyperlink" Target="http://amazon.in" TargetMode="External"/><Relationship Id="rId4246" Type="http://schemas.openxmlformats.org/officeDocument/2006/relationships/hyperlink" Target="http://amazon.in" TargetMode="External"/><Relationship Id="rId4245" Type="http://schemas.openxmlformats.org/officeDocument/2006/relationships/hyperlink" Target="http://amazon.in" TargetMode="External"/><Relationship Id="rId4248" Type="http://schemas.openxmlformats.org/officeDocument/2006/relationships/hyperlink" Target="http://amazon.in" TargetMode="External"/><Relationship Id="rId4247" Type="http://schemas.openxmlformats.org/officeDocument/2006/relationships/hyperlink" Target="http://amazon.in" TargetMode="External"/><Relationship Id="rId4239" Type="http://schemas.openxmlformats.org/officeDocument/2006/relationships/hyperlink" Target="http://amazon.in" TargetMode="External"/><Relationship Id="rId4238" Type="http://schemas.openxmlformats.org/officeDocument/2006/relationships/hyperlink" Target="http://amazon.in" TargetMode="External"/><Relationship Id="rId495" Type="http://schemas.openxmlformats.org/officeDocument/2006/relationships/hyperlink" Target="http://amazon.in" TargetMode="External"/><Relationship Id="rId4231" Type="http://schemas.openxmlformats.org/officeDocument/2006/relationships/hyperlink" Target="http://amazon.in" TargetMode="External"/><Relationship Id="rId494" Type="http://schemas.openxmlformats.org/officeDocument/2006/relationships/hyperlink" Target="http://amazon.in" TargetMode="External"/><Relationship Id="rId4230" Type="http://schemas.openxmlformats.org/officeDocument/2006/relationships/hyperlink" Target="http://amazon.in" TargetMode="External"/><Relationship Id="rId493" Type="http://schemas.openxmlformats.org/officeDocument/2006/relationships/hyperlink" Target="http://amazon.in" TargetMode="External"/><Relationship Id="rId4233" Type="http://schemas.openxmlformats.org/officeDocument/2006/relationships/hyperlink" Target="http://amazon.in" TargetMode="External"/><Relationship Id="rId492" Type="http://schemas.openxmlformats.org/officeDocument/2006/relationships/hyperlink" Target="http://amazon.in" TargetMode="External"/><Relationship Id="rId4232" Type="http://schemas.openxmlformats.org/officeDocument/2006/relationships/hyperlink" Target="http://amazon.in" TargetMode="External"/><Relationship Id="rId499" Type="http://schemas.openxmlformats.org/officeDocument/2006/relationships/hyperlink" Target="http://amazon.in" TargetMode="External"/><Relationship Id="rId4235" Type="http://schemas.openxmlformats.org/officeDocument/2006/relationships/hyperlink" Target="http://amazon.in" TargetMode="External"/><Relationship Id="rId498" Type="http://schemas.openxmlformats.org/officeDocument/2006/relationships/hyperlink" Target="http://amazon.in" TargetMode="External"/><Relationship Id="rId4234" Type="http://schemas.openxmlformats.org/officeDocument/2006/relationships/hyperlink" Target="http://amazon.in" TargetMode="External"/><Relationship Id="rId497" Type="http://schemas.openxmlformats.org/officeDocument/2006/relationships/hyperlink" Target="http://amazon.in" TargetMode="External"/><Relationship Id="rId4237" Type="http://schemas.openxmlformats.org/officeDocument/2006/relationships/hyperlink" Target="http://amazon.in" TargetMode="External"/><Relationship Id="rId496" Type="http://schemas.openxmlformats.org/officeDocument/2006/relationships/hyperlink" Target="http://amazon.in" TargetMode="External"/><Relationship Id="rId4236" Type="http://schemas.openxmlformats.org/officeDocument/2006/relationships/hyperlink" Target="http://amazon.in" TargetMode="External"/><Relationship Id="rId4260" Type="http://schemas.openxmlformats.org/officeDocument/2006/relationships/hyperlink" Target="http://amazon.in" TargetMode="External"/><Relationship Id="rId4262" Type="http://schemas.openxmlformats.org/officeDocument/2006/relationships/hyperlink" Target="http://amazon.in" TargetMode="External"/><Relationship Id="rId4261" Type="http://schemas.openxmlformats.org/officeDocument/2006/relationships/hyperlink" Target="http://amazon.in" TargetMode="External"/><Relationship Id="rId4264" Type="http://schemas.openxmlformats.org/officeDocument/2006/relationships/hyperlink" Target="http://amazon.in" TargetMode="External"/><Relationship Id="rId4263" Type="http://schemas.openxmlformats.org/officeDocument/2006/relationships/hyperlink" Target="http://amazon.in" TargetMode="External"/><Relationship Id="rId4266" Type="http://schemas.openxmlformats.org/officeDocument/2006/relationships/hyperlink" Target="http://amazon.in" TargetMode="External"/><Relationship Id="rId4265" Type="http://schemas.openxmlformats.org/officeDocument/2006/relationships/hyperlink" Target="http://amazon.in" TargetMode="External"/><Relationship Id="rId4268" Type="http://schemas.openxmlformats.org/officeDocument/2006/relationships/hyperlink" Target="http://amazon.in" TargetMode="External"/><Relationship Id="rId4267" Type="http://schemas.openxmlformats.org/officeDocument/2006/relationships/hyperlink" Target="http://amazon.in" TargetMode="External"/><Relationship Id="rId4269" Type="http://schemas.openxmlformats.org/officeDocument/2006/relationships/hyperlink" Target="http://amazon.in" TargetMode="External"/><Relationship Id="rId4251" Type="http://schemas.openxmlformats.org/officeDocument/2006/relationships/hyperlink" Target="http://amazon.in" TargetMode="External"/><Relationship Id="rId4250" Type="http://schemas.openxmlformats.org/officeDocument/2006/relationships/hyperlink" Target="http://amazon.in" TargetMode="External"/><Relationship Id="rId4253" Type="http://schemas.openxmlformats.org/officeDocument/2006/relationships/hyperlink" Target="http://amazon.in" TargetMode="External"/><Relationship Id="rId4252" Type="http://schemas.openxmlformats.org/officeDocument/2006/relationships/hyperlink" Target="http://amazon.in" TargetMode="External"/><Relationship Id="rId4255" Type="http://schemas.openxmlformats.org/officeDocument/2006/relationships/hyperlink" Target="http://amazon.in" TargetMode="External"/><Relationship Id="rId4254" Type="http://schemas.openxmlformats.org/officeDocument/2006/relationships/hyperlink" Target="http://amazon.in" TargetMode="External"/><Relationship Id="rId4257" Type="http://schemas.openxmlformats.org/officeDocument/2006/relationships/hyperlink" Target="http://amazon.in" TargetMode="External"/><Relationship Id="rId4256" Type="http://schemas.openxmlformats.org/officeDocument/2006/relationships/hyperlink" Target="http://amazon.in" TargetMode="External"/><Relationship Id="rId4259" Type="http://schemas.openxmlformats.org/officeDocument/2006/relationships/hyperlink" Target="http://amazon.in" TargetMode="External"/><Relationship Id="rId4258" Type="http://schemas.openxmlformats.org/officeDocument/2006/relationships/hyperlink" Target="http://amazon.in" TargetMode="External"/><Relationship Id="rId3810" Type="http://schemas.openxmlformats.org/officeDocument/2006/relationships/hyperlink" Target="http://amazon.in" TargetMode="External"/><Relationship Id="rId3812" Type="http://schemas.openxmlformats.org/officeDocument/2006/relationships/hyperlink" Target="http://amazon.in" TargetMode="External"/><Relationship Id="rId3811" Type="http://schemas.openxmlformats.org/officeDocument/2006/relationships/hyperlink" Target="http://amazon.in" TargetMode="External"/><Relationship Id="rId3814" Type="http://schemas.openxmlformats.org/officeDocument/2006/relationships/hyperlink" Target="http://amazon.in" TargetMode="External"/><Relationship Id="rId3813" Type="http://schemas.openxmlformats.org/officeDocument/2006/relationships/hyperlink" Target="http://amazon.in" TargetMode="External"/><Relationship Id="rId3816" Type="http://schemas.openxmlformats.org/officeDocument/2006/relationships/hyperlink" Target="http://amazon.in" TargetMode="External"/><Relationship Id="rId3815" Type="http://schemas.openxmlformats.org/officeDocument/2006/relationships/hyperlink" Target="http://amazon.in" TargetMode="External"/><Relationship Id="rId3818" Type="http://schemas.openxmlformats.org/officeDocument/2006/relationships/hyperlink" Target="http://amazon.in" TargetMode="External"/><Relationship Id="rId3817" Type="http://schemas.openxmlformats.org/officeDocument/2006/relationships/hyperlink" Target="http://amazon.in" TargetMode="External"/><Relationship Id="rId3819" Type="http://schemas.openxmlformats.org/officeDocument/2006/relationships/hyperlink" Target="http://amazon.in" TargetMode="External"/><Relationship Id="rId3801" Type="http://schemas.openxmlformats.org/officeDocument/2006/relationships/hyperlink" Target="http://amazon.in" TargetMode="External"/><Relationship Id="rId3800" Type="http://schemas.openxmlformats.org/officeDocument/2006/relationships/hyperlink" Target="http://amazon.in" TargetMode="External"/><Relationship Id="rId3803" Type="http://schemas.openxmlformats.org/officeDocument/2006/relationships/hyperlink" Target="http://amazon.in" TargetMode="External"/><Relationship Id="rId3802" Type="http://schemas.openxmlformats.org/officeDocument/2006/relationships/hyperlink" Target="http://amazon.in" TargetMode="External"/><Relationship Id="rId3805" Type="http://schemas.openxmlformats.org/officeDocument/2006/relationships/hyperlink" Target="http://amazon.in" TargetMode="External"/><Relationship Id="rId3804" Type="http://schemas.openxmlformats.org/officeDocument/2006/relationships/hyperlink" Target="http://amazon.in" TargetMode="External"/><Relationship Id="rId3807" Type="http://schemas.openxmlformats.org/officeDocument/2006/relationships/hyperlink" Target="http://amazon.in" TargetMode="External"/><Relationship Id="rId3806" Type="http://schemas.openxmlformats.org/officeDocument/2006/relationships/hyperlink" Target="http://amazon.in" TargetMode="External"/><Relationship Id="rId3809" Type="http://schemas.openxmlformats.org/officeDocument/2006/relationships/hyperlink" Target="http://amazon.in" TargetMode="External"/><Relationship Id="rId3808" Type="http://schemas.openxmlformats.org/officeDocument/2006/relationships/hyperlink" Target="http://amazon.in" TargetMode="External"/><Relationship Id="rId1213" Type="http://schemas.openxmlformats.org/officeDocument/2006/relationships/hyperlink" Target="http://amazon.in" TargetMode="External"/><Relationship Id="rId2544" Type="http://schemas.openxmlformats.org/officeDocument/2006/relationships/hyperlink" Target="http://amazon.in" TargetMode="External"/><Relationship Id="rId3876" Type="http://schemas.openxmlformats.org/officeDocument/2006/relationships/hyperlink" Target="http://amazon.in" TargetMode="External"/><Relationship Id="rId1214" Type="http://schemas.openxmlformats.org/officeDocument/2006/relationships/hyperlink" Target="http://amazon.in" TargetMode="External"/><Relationship Id="rId2545" Type="http://schemas.openxmlformats.org/officeDocument/2006/relationships/hyperlink" Target="http://amazon.in" TargetMode="External"/><Relationship Id="rId3875" Type="http://schemas.openxmlformats.org/officeDocument/2006/relationships/hyperlink" Target="http://amazon.in" TargetMode="External"/><Relationship Id="rId1215" Type="http://schemas.openxmlformats.org/officeDocument/2006/relationships/hyperlink" Target="http://amazon.in" TargetMode="External"/><Relationship Id="rId2546" Type="http://schemas.openxmlformats.org/officeDocument/2006/relationships/hyperlink" Target="http://amazon.in" TargetMode="External"/><Relationship Id="rId3878" Type="http://schemas.openxmlformats.org/officeDocument/2006/relationships/hyperlink" Target="http://amazon.in" TargetMode="External"/><Relationship Id="rId1216" Type="http://schemas.openxmlformats.org/officeDocument/2006/relationships/hyperlink" Target="http://amazon.in" TargetMode="External"/><Relationship Id="rId2547" Type="http://schemas.openxmlformats.org/officeDocument/2006/relationships/hyperlink" Target="http://amazon.in" TargetMode="External"/><Relationship Id="rId3877" Type="http://schemas.openxmlformats.org/officeDocument/2006/relationships/hyperlink" Target="http://amazon.in" TargetMode="External"/><Relationship Id="rId1217" Type="http://schemas.openxmlformats.org/officeDocument/2006/relationships/hyperlink" Target="http://amazon.in" TargetMode="External"/><Relationship Id="rId2548" Type="http://schemas.openxmlformats.org/officeDocument/2006/relationships/hyperlink" Target="http://amazon.in" TargetMode="External"/><Relationship Id="rId1218" Type="http://schemas.openxmlformats.org/officeDocument/2006/relationships/hyperlink" Target="http://amazon.in" TargetMode="External"/><Relationship Id="rId2549" Type="http://schemas.openxmlformats.org/officeDocument/2006/relationships/hyperlink" Target="http://amazon.in" TargetMode="External"/><Relationship Id="rId3879" Type="http://schemas.openxmlformats.org/officeDocument/2006/relationships/hyperlink" Target="http://amazon.in" TargetMode="External"/><Relationship Id="rId1219" Type="http://schemas.openxmlformats.org/officeDocument/2006/relationships/hyperlink" Target="http://amazon.in" TargetMode="External"/><Relationship Id="rId3870" Type="http://schemas.openxmlformats.org/officeDocument/2006/relationships/hyperlink" Target="http://amazon.in" TargetMode="External"/><Relationship Id="rId2540" Type="http://schemas.openxmlformats.org/officeDocument/2006/relationships/hyperlink" Target="http://amazon.in" TargetMode="External"/><Relationship Id="rId3872" Type="http://schemas.openxmlformats.org/officeDocument/2006/relationships/hyperlink" Target="http://amazon.in" TargetMode="External"/><Relationship Id="rId1210" Type="http://schemas.openxmlformats.org/officeDocument/2006/relationships/hyperlink" Target="http://amazon.in" TargetMode="External"/><Relationship Id="rId2541" Type="http://schemas.openxmlformats.org/officeDocument/2006/relationships/hyperlink" Target="http://amazon.in" TargetMode="External"/><Relationship Id="rId3871" Type="http://schemas.openxmlformats.org/officeDocument/2006/relationships/hyperlink" Target="http://amazon.in" TargetMode="External"/><Relationship Id="rId1211" Type="http://schemas.openxmlformats.org/officeDocument/2006/relationships/hyperlink" Target="http://amazon.in" TargetMode="External"/><Relationship Id="rId2542" Type="http://schemas.openxmlformats.org/officeDocument/2006/relationships/hyperlink" Target="http://amazon.in" TargetMode="External"/><Relationship Id="rId3874" Type="http://schemas.openxmlformats.org/officeDocument/2006/relationships/hyperlink" Target="http://amazon.in" TargetMode="External"/><Relationship Id="rId1212" Type="http://schemas.openxmlformats.org/officeDocument/2006/relationships/hyperlink" Target="http://amazon.in" TargetMode="External"/><Relationship Id="rId2543" Type="http://schemas.openxmlformats.org/officeDocument/2006/relationships/hyperlink" Target="http://amazon.in" TargetMode="External"/><Relationship Id="rId3873" Type="http://schemas.openxmlformats.org/officeDocument/2006/relationships/hyperlink" Target="http://amazon.in" TargetMode="External"/><Relationship Id="rId1202" Type="http://schemas.openxmlformats.org/officeDocument/2006/relationships/hyperlink" Target="http://amazon.in" TargetMode="External"/><Relationship Id="rId2533" Type="http://schemas.openxmlformats.org/officeDocument/2006/relationships/hyperlink" Target="http://amazon.in" TargetMode="External"/><Relationship Id="rId3865" Type="http://schemas.openxmlformats.org/officeDocument/2006/relationships/hyperlink" Target="http://amazon.in" TargetMode="External"/><Relationship Id="rId1203" Type="http://schemas.openxmlformats.org/officeDocument/2006/relationships/hyperlink" Target="http://amazon.in" TargetMode="External"/><Relationship Id="rId2534" Type="http://schemas.openxmlformats.org/officeDocument/2006/relationships/hyperlink" Target="http://amazon.in" TargetMode="External"/><Relationship Id="rId3864" Type="http://schemas.openxmlformats.org/officeDocument/2006/relationships/hyperlink" Target="http://amazon.in" TargetMode="External"/><Relationship Id="rId1204" Type="http://schemas.openxmlformats.org/officeDocument/2006/relationships/hyperlink" Target="http://amazon.in" TargetMode="External"/><Relationship Id="rId2535" Type="http://schemas.openxmlformats.org/officeDocument/2006/relationships/hyperlink" Target="http://amazon.in" TargetMode="External"/><Relationship Id="rId3867" Type="http://schemas.openxmlformats.org/officeDocument/2006/relationships/hyperlink" Target="http://amazon.in" TargetMode="External"/><Relationship Id="rId1205" Type="http://schemas.openxmlformats.org/officeDocument/2006/relationships/hyperlink" Target="http://amazon.in" TargetMode="External"/><Relationship Id="rId2536" Type="http://schemas.openxmlformats.org/officeDocument/2006/relationships/hyperlink" Target="http://amazon.in" TargetMode="External"/><Relationship Id="rId3866" Type="http://schemas.openxmlformats.org/officeDocument/2006/relationships/hyperlink" Target="http://amazon.in" TargetMode="External"/><Relationship Id="rId1206" Type="http://schemas.openxmlformats.org/officeDocument/2006/relationships/hyperlink" Target="http://amazon.in" TargetMode="External"/><Relationship Id="rId2537" Type="http://schemas.openxmlformats.org/officeDocument/2006/relationships/hyperlink" Target="http://amazon.in" TargetMode="External"/><Relationship Id="rId3869" Type="http://schemas.openxmlformats.org/officeDocument/2006/relationships/hyperlink" Target="http://amazon.in" TargetMode="External"/><Relationship Id="rId1207" Type="http://schemas.openxmlformats.org/officeDocument/2006/relationships/hyperlink" Target="http://amazon.in" TargetMode="External"/><Relationship Id="rId2538" Type="http://schemas.openxmlformats.org/officeDocument/2006/relationships/hyperlink" Target="http://amazon.in" TargetMode="External"/><Relationship Id="rId3868" Type="http://schemas.openxmlformats.org/officeDocument/2006/relationships/hyperlink" Target="http://amazon.in" TargetMode="External"/><Relationship Id="rId1208" Type="http://schemas.openxmlformats.org/officeDocument/2006/relationships/hyperlink" Target="http://amazon.in" TargetMode="External"/><Relationship Id="rId2539" Type="http://schemas.openxmlformats.org/officeDocument/2006/relationships/hyperlink" Target="http://amazon.in" TargetMode="External"/><Relationship Id="rId1209" Type="http://schemas.openxmlformats.org/officeDocument/2006/relationships/hyperlink" Target="http://amazon.in" TargetMode="External"/><Relationship Id="rId3861" Type="http://schemas.openxmlformats.org/officeDocument/2006/relationships/hyperlink" Target="http://amazon.in" TargetMode="External"/><Relationship Id="rId2530" Type="http://schemas.openxmlformats.org/officeDocument/2006/relationships/hyperlink" Target="http://amazon.in" TargetMode="External"/><Relationship Id="rId3860" Type="http://schemas.openxmlformats.org/officeDocument/2006/relationships/hyperlink" Target="http://amazon.in" TargetMode="External"/><Relationship Id="rId1200" Type="http://schemas.openxmlformats.org/officeDocument/2006/relationships/hyperlink" Target="http://amazon.in" TargetMode="External"/><Relationship Id="rId2531" Type="http://schemas.openxmlformats.org/officeDocument/2006/relationships/hyperlink" Target="http://amazon.in" TargetMode="External"/><Relationship Id="rId3863" Type="http://schemas.openxmlformats.org/officeDocument/2006/relationships/hyperlink" Target="http://amazon.in" TargetMode="External"/><Relationship Id="rId1201" Type="http://schemas.openxmlformats.org/officeDocument/2006/relationships/hyperlink" Target="http://amazon.in" TargetMode="External"/><Relationship Id="rId2532" Type="http://schemas.openxmlformats.org/officeDocument/2006/relationships/hyperlink" Target="http://amazon.in" TargetMode="External"/><Relationship Id="rId3862" Type="http://schemas.openxmlformats.org/officeDocument/2006/relationships/hyperlink" Target="http://amazon.in" TargetMode="External"/><Relationship Id="rId1235" Type="http://schemas.openxmlformats.org/officeDocument/2006/relationships/hyperlink" Target="http://amazon.in" TargetMode="External"/><Relationship Id="rId2566" Type="http://schemas.openxmlformats.org/officeDocument/2006/relationships/hyperlink" Target="http://amazon.in" TargetMode="External"/><Relationship Id="rId3898" Type="http://schemas.openxmlformats.org/officeDocument/2006/relationships/hyperlink" Target="http://amazon.in" TargetMode="External"/><Relationship Id="rId1236" Type="http://schemas.openxmlformats.org/officeDocument/2006/relationships/hyperlink" Target="http://amazon.in" TargetMode="External"/><Relationship Id="rId2567" Type="http://schemas.openxmlformats.org/officeDocument/2006/relationships/hyperlink" Target="http://amazon.in" TargetMode="External"/><Relationship Id="rId3897" Type="http://schemas.openxmlformats.org/officeDocument/2006/relationships/hyperlink" Target="http://amazon.in" TargetMode="External"/><Relationship Id="rId1237" Type="http://schemas.openxmlformats.org/officeDocument/2006/relationships/hyperlink" Target="http://amazon.in" TargetMode="External"/><Relationship Id="rId2568" Type="http://schemas.openxmlformats.org/officeDocument/2006/relationships/hyperlink" Target="http://amazon.in" TargetMode="External"/><Relationship Id="rId1238" Type="http://schemas.openxmlformats.org/officeDocument/2006/relationships/hyperlink" Target="http://amazon.in" TargetMode="External"/><Relationship Id="rId2569" Type="http://schemas.openxmlformats.org/officeDocument/2006/relationships/hyperlink" Target="http://amazon.in" TargetMode="External"/><Relationship Id="rId3899" Type="http://schemas.openxmlformats.org/officeDocument/2006/relationships/hyperlink" Target="http://amazon.in" TargetMode="External"/><Relationship Id="rId1239" Type="http://schemas.openxmlformats.org/officeDocument/2006/relationships/hyperlink" Target="http://amazon.in" TargetMode="External"/><Relationship Id="rId409" Type="http://schemas.openxmlformats.org/officeDocument/2006/relationships/hyperlink" Target="http://amazon.in" TargetMode="External"/><Relationship Id="rId404" Type="http://schemas.openxmlformats.org/officeDocument/2006/relationships/hyperlink" Target="http://amazon.in" TargetMode="External"/><Relationship Id="rId403" Type="http://schemas.openxmlformats.org/officeDocument/2006/relationships/hyperlink" Target="http://amazon.in" TargetMode="External"/><Relationship Id="rId402" Type="http://schemas.openxmlformats.org/officeDocument/2006/relationships/hyperlink" Target="http://amazon.in" TargetMode="External"/><Relationship Id="rId401" Type="http://schemas.openxmlformats.org/officeDocument/2006/relationships/hyperlink" Target="http://amazon.in" TargetMode="External"/><Relationship Id="rId408" Type="http://schemas.openxmlformats.org/officeDocument/2006/relationships/hyperlink" Target="http://amazon.in" TargetMode="External"/><Relationship Id="rId407" Type="http://schemas.openxmlformats.org/officeDocument/2006/relationships/hyperlink" Target="http://amazon.in" TargetMode="External"/><Relationship Id="rId406" Type="http://schemas.openxmlformats.org/officeDocument/2006/relationships/hyperlink" Target="http://amazon.in" TargetMode="External"/><Relationship Id="rId405" Type="http://schemas.openxmlformats.org/officeDocument/2006/relationships/hyperlink" Target="http://amazon.in" TargetMode="External"/><Relationship Id="rId3890" Type="http://schemas.openxmlformats.org/officeDocument/2006/relationships/hyperlink" Target="http://amazon.in" TargetMode="External"/><Relationship Id="rId2560" Type="http://schemas.openxmlformats.org/officeDocument/2006/relationships/hyperlink" Target="http://amazon.in" TargetMode="External"/><Relationship Id="rId3892" Type="http://schemas.openxmlformats.org/officeDocument/2006/relationships/hyperlink" Target="http://amazon.in" TargetMode="External"/><Relationship Id="rId1230" Type="http://schemas.openxmlformats.org/officeDocument/2006/relationships/hyperlink" Target="http://amazon.in" TargetMode="External"/><Relationship Id="rId2561" Type="http://schemas.openxmlformats.org/officeDocument/2006/relationships/hyperlink" Target="http://amazon.in" TargetMode="External"/><Relationship Id="rId3891" Type="http://schemas.openxmlformats.org/officeDocument/2006/relationships/hyperlink" Target="http://amazon.in" TargetMode="External"/><Relationship Id="rId400" Type="http://schemas.openxmlformats.org/officeDocument/2006/relationships/hyperlink" Target="http://amazon.in" TargetMode="External"/><Relationship Id="rId1231" Type="http://schemas.openxmlformats.org/officeDocument/2006/relationships/hyperlink" Target="http://amazon.in" TargetMode="External"/><Relationship Id="rId2562" Type="http://schemas.openxmlformats.org/officeDocument/2006/relationships/hyperlink" Target="http://amazon.in" TargetMode="External"/><Relationship Id="rId3894" Type="http://schemas.openxmlformats.org/officeDocument/2006/relationships/hyperlink" Target="http://amazon.in" TargetMode="External"/><Relationship Id="rId1232" Type="http://schemas.openxmlformats.org/officeDocument/2006/relationships/hyperlink" Target="http://amazon.in" TargetMode="External"/><Relationship Id="rId2563" Type="http://schemas.openxmlformats.org/officeDocument/2006/relationships/hyperlink" Target="http://amazon.in" TargetMode="External"/><Relationship Id="rId3893" Type="http://schemas.openxmlformats.org/officeDocument/2006/relationships/hyperlink" Target="http://amazon.in" TargetMode="External"/><Relationship Id="rId1233" Type="http://schemas.openxmlformats.org/officeDocument/2006/relationships/hyperlink" Target="http://amazon.in" TargetMode="External"/><Relationship Id="rId2564" Type="http://schemas.openxmlformats.org/officeDocument/2006/relationships/hyperlink" Target="http://amazon.in" TargetMode="External"/><Relationship Id="rId3896" Type="http://schemas.openxmlformats.org/officeDocument/2006/relationships/hyperlink" Target="http://amazon.in" TargetMode="External"/><Relationship Id="rId1234" Type="http://schemas.openxmlformats.org/officeDocument/2006/relationships/hyperlink" Target="http://amazon.in" TargetMode="External"/><Relationship Id="rId2565" Type="http://schemas.openxmlformats.org/officeDocument/2006/relationships/hyperlink" Target="http://amazon.in" TargetMode="External"/><Relationship Id="rId3895" Type="http://schemas.openxmlformats.org/officeDocument/2006/relationships/hyperlink" Target="http://amazon.in" TargetMode="External"/><Relationship Id="rId1224" Type="http://schemas.openxmlformats.org/officeDocument/2006/relationships/hyperlink" Target="http://amazon.in" TargetMode="External"/><Relationship Id="rId2555" Type="http://schemas.openxmlformats.org/officeDocument/2006/relationships/hyperlink" Target="http://amazon.in" TargetMode="External"/><Relationship Id="rId3887" Type="http://schemas.openxmlformats.org/officeDocument/2006/relationships/hyperlink" Target="http://amazon.in" TargetMode="External"/><Relationship Id="rId1225" Type="http://schemas.openxmlformats.org/officeDocument/2006/relationships/hyperlink" Target="http://amazon.in" TargetMode="External"/><Relationship Id="rId2556" Type="http://schemas.openxmlformats.org/officeDocument/2006/relationships/hyperlink" Target="http://amazon.in" TargetMode="External"/><Relationship Id="rId3886" Type="http://schemas.openxmlformats.org/officeDocument/2006/relationships/hyperlink" Target="http://amazon.in" TargetMode="External"/><Relationship Id="rId1226" Type="http://schemas.openxmlformats.org/officeDocument/2006/relationships/hyperlink" Target="http://amazon.in" TargetMode="External"/><Relationship Id="rId2557" Type="http://schemas.openxmlformats.org/officeDocument/2006/relationships/hyperlink" Target="http://amazon.in" TargetMode="External"/><Relationship Id="rId3889" Type="http://schemas.openxmlformats.org/officeDocument/2006/relationships/hyperlink" Target="http://amazon.in" TargetMode="External"/><Relationship Id="rId1227" Type="http://schemas.openxmlformats.org/officeDocument/2006/relationships/hyperlink" Target="http://amazon.in" TargetMode="External"/><Relationship Id="rId2558" Type="http://schemas.openxmlformats.org/officeDocument/2006/relationships/hyperlink" Target="http://amazon.in" TargetMode="External"/><Relationship Id="rId3888" Type="http://schemas.openxmlformats.org/officeDocument/2006/relationships/hyperlink" Target="http://amazon.in" TargetMode="External"/><Relationship Id="rId1228" Type="http://schemas.openxmlformats.org/officeDocument/2006/relationships/hyperlink" Target="http://amazon.in" TargetMode="External"/><Relationship Id="rId2559" Type="http://schemas.openxmlformats.org/officeDocument/2006/relationships/hyperlink" Target="http://amazon.in" TargetMode="External"/><Relationship Id="rId1229" Type="http://schemas.openxmlformats.org/officeDocument/2006/relationships/hyperlink" Target="http://amazon.in" TargetMode="External"/><Relationship Id="rId3881" Type="http://schemas.openxmlformats.org/officeDocument/2006/relationships/hyperlink" Target="http://amazon.in" TargetMode="External"/><Relationship Id="rId2550" Type="http://schemas.openxmlformats.org/officeDocument/2006/relationships/hyperlink" Target="http://amazon.in" TargetMode="External"/><Relationship Id="rId3880" Type="http://schemas.openxmlformats.org/officeDocument/2006/relationships/hyperlink" Target="http://amazon.in" TargetMode="External"/><Relationship Id="rId1220" Type="http://schemas.openxmlformats.org/officeDocument/2006/relationships/hyperlink" Target="http://amazon.in" TargetMode="External"/><Relationship Id="rId2551" Type="http://schemas.openxmlformats.org/officeDocument/2006/relationships/hyperlink" Target="http://amazon.in" TargetMode="External"/><Relationship Id="rId3883" Type="http://schemas.openxmlformats.org/officeDocument/2006/relationships/hyperlink" Target="http://amazon.in" TargetMode="External"/><Relationship Id="rId1221" Type="http://schemas.openxmlformats.org/officeDocument/2006/relationships/hyperlink" Target="http://amazon.in" TargetMode="External"/><Relationship Id="rId2552" Type="http://schemas.openxmlformats.org/officeDocument/2006/relationships/hyperlink" Target="http://amazon.in" TargetMode="External"/><Relationship Id="rId3882" Type="http://schemas.openxmlformats.org/officeDocument/2006/relationships/hyperlink" Target="http://amazon.in" TargetMode="External"/><Relationship Id="rId1222" Type="http://schemas.openxmlformats.org/officeDocument/2006/relationships/hyperlink" Target="http://amazon.in" TargetMode="External"/><Relationship Id="rId2553" Type="http://schemas.openxmlformats.org/officeDocument/2006/relationships/hyperlink" Target="http://amazon.in" TargetMode="External"/><Relationship Id="rId3885" Type="http://schemas.openxmlformats.org/officeDocument/2006/relationships/hyperlink" Target="http://amazon.in" TargetMode="External"/><Relationship Id="rId1223" Type="http://schemas.openxmlformats.org/officeDocument/2006/relationships/hyperlink" Target="http://amazon.in" TargetMode="External"/><Relationship Id="rId2554" Type="http://schemas.openxmlformats.org/officeDocument/2006/relationships/hyperlink" Target="http://amazon.in" TargetMode="External"/><Relationship Id="rId3884" Type="http://schemas.openxmlformats.org/officeDocument/2006/relationships/hyperlink" Target="http://amazon.in" TargetMode="External"/><Relationship Id="rId2500" Type="http://schemas.openxmlformats.org/officeDocument/2006/relationships/hyperlink" Target="http://amazon.in" TargetMode="External"/><Relationship Id="rId3832" Type="http://schemas.openxmlformats.org/officeDocument/2006/relationships/hyperlink" Target="http://amazon.in" TargetMode="External"/><Relationship Id="rId2501" Type="http://schemas.openxmlformats.org/officeDocument/2006/relationships/hyperlink" Target="http://amazon.in" TargetMode="External"/><Relationship Id="rId3831" Type="http://schemas.openxmlformats.org/officeDocument/2006/relationships/hyperlink" Target="http://amazon.in" TargetMode="External"/><Relationship Id="rId2502" Type="http://schemas.openxmlformats.org/officeDocument/2006/relationships/hyperlink" Target="http://amazon.in" TargetMode="External"/><Relationship Id="rId3834" Type="http://schemas.openxmlformats.org/officeDocument/2006/relationships/hyperlink" Target="http://amazon.in" TargetMode="External"/><Relationship Id="rId2503" Type="http://schemas.openxmlformats.org/officeDocument/2006/relationships/hyperlink" Target="http://amazon.in" TargetMode="External"/><Relationship Id="rId3833" Type="http://schemas.openxmlformats.org/officeDocument/2006/relationships/hyperlink" Target="http://amazon.in" TargetMode="External"/><Relationship Id="rId2504" Type="http://schemas.openxmlformats.org/officeDocument/2006/relationships/hyperlink" Target="http://amazon.in" TargetMode="External"/><Relationship Id="rId3836" Type="http://schemas.openxmlformats.org/officeDocument/2006/relationships/hyperlink" Target="http://amazon.in" TargetMode="External"/><Relationship Id="rId2505" Type="http://schemas.openxmlformats.org/officeDocument/2006/relationships/hyperlink" Target="http://amazon.in" TargetMode="External"/><Relationship Id="rId3835" Type="http://schemas.openxmlformats.org/officeDocument/2006/relationships/hyperlink" Target="http://amazon.in" TargetMode="External"/><Relationship Id="rId2506" Type="http://schemas.openxmlformats.org/officeDocument/2006/relationships/hyperlink" Target="http://amazon.in" TargetMode="External"/><Relationship Id="rId3838" Type="http://schemas.openxmlformats.org/officeDocument/2006/relationships/hyperlink" Target="http://amazon.in" TargetMode="External"/><Relationship Id="rId2507" Type="http://schemas.openxmlformats.org/officeDocument/2006/relationships/hyperlink" Target="http://amazon.in" TargetMode="External"/><Relationship Id="rId3837" Type="http://schemas.openxmlformats.org/officeDocument/2006/relationships/hyperlink" Target="http://amazon.in" TargetMode="External"/><Relationship Id="rId2508" Type="http://schemas.openxmlformats.org/officeDocument/2006/relationships/hyperlink" Target="http://amazon.in" TargetMode="External"/><Relationship Id="rId2509" Type="http://schemas.openxmlformats.org/officeDocument/2006/relationships/hyperlink" Target="http://amazon.in" TargetMode="External"/><Relationship Id="rId3839" Type="http://schemas.openxmlformats.org/officeDocument/2006/relationships/hyperlink" Target="http://amazon.in" TargetMode="External"/><Relationship Id="rId3830" Type="http://schemas.openxmlformats.org/officeDocument/2006/relationships/hyperlink" Target="http://amazon.in" TargetMode="External"/><Relationship Id="rId3821" Type="http://schemas.openxmlformats.org/officeDocument/2006/relationships/hyperlink" Target="http://amazon.in" TargetMode="External"/><Relationship Id="rId3820" Type="http://schemas.openxmlformats.org/officeDocument/2006/relationships/hyperlink" Target="http://amazon.in" TargetMode="External"/><Relationship Id="rId3823" Type="http://schemas.openxmlformats.org/officeDocument/2006/relationships/hyperlink" Target="http://amazon.in" TargetMode="External"/><Relationship Id="rId3822" Type="http://schemas.openxmlformats.org/officeDocument/2006/relationships/hyperlink" Target="http://amazon.in" TargetMode="External"/><Relationship Id="rId3825" Type="http://schemas.openxmlformats.org/officeDocument/2006/relationships/hyperlink" Target="http://amazon.in" TargetMode="External"/><Relationship Id="rId3824" Type="http://schemas.openxmlformats.org/officeDocument/2006/relationships/hyperlink" Target="http://amazon.in" TargetMode="External"/><Relationship Id="rId3827" Type="http://schemas.openxmlformats.org/officeDocument/2006/relationships/hyperlink" Target="http://amazon.in" TargetMode="External"/><Relationship Id="rId3826" Type="http://schemas.openxmlformats.org/officeDocument/2006/relationships/hyperlink" Target="http://amazon.in" TargetMode="External"/><Relationship Id="rId3829" Type="http://schemas.openxmlformats.org/officeDocument/2006/relationships/hyperlink" Target="http://amazon.in" TargetMode="External"/><Relationship Id="rId3828" Type="http://schemas.openxmlformats.org/officeDocument/2006/relationships/hyperlink" Target="http://amazon.in" TargetMode="External"/><Relationship Id="rId2522" Type="http://schemas.openxmlformats.org/officeDocument/2006/relationships/hyperlink" Target="http://amazon.in" TargetMode="External"/><Relationship Id="rId3854" Type="http://schemas.openxmlformats.org/officeDocument/2006/relationships/hyperlink" Target="http://amazon.in" TargetMode="External"/><Relationship Id="rId2523" Type="http://schemas.openxmlformats.org/officeDocument/2006/relationships/hyperlink" Target="http://amazon.in" TargetMode="External"/><Relationship Id="rId3853" Type="http://schemas.openxmlformats.org/officeDocument/2006/relationships/hyperlink" Target="http://amazon.in" TargetMode="External"/><Relationship Id="rId2524" Type="http://schemas.openxmlformats.org/officeDocument/2006/relationships/hyperlink" Target="http://amazon.in" TargetMode="External"/><Relationship Id="rId3856" Type="http://schemas.openxmlformats.org/officeDocument/2006/relationships/hyperlink" Target="http://amazon.in" TargetMode="External"/><Relationship Id="rId2525" Type="http://schemas.openxmlformats.org/officeDocument/2006/relationships/hyperlink" Target="http://amazon.in" TargetMode="External"/><Relationship Id="rId3855" Type="http://schemas.openxmlformats.org/officeDocument/2006/relationships/hyperlink" Target="http://amazon.in" TargetMode="External"/><Relationship Id="rId2526" Type="http://schemas.openxmlformats.org/officeDocument/2006/relationships/hyperlink" Target="http://amazon.in" TargetMode="External"/><Relationship Id="rId3858" Type="http://schemas.openxmlformats.org/officeDocument/2006/relationships/hyperlink" Target="http://amazon.in" TargetMode="External"/><Relationship Id="rId2527" Type="http://schemas.openxmlformats.org/officeDocument/2006/relationships/hyperlink" Target="http://amazon.in" TargetMode="External"/><Relationship Id="rId3857" Type="http://schemas.openxmlformats.org/officeDocument/2006/relationships/hyperlink" Target="http://amazon.in" TargetMode="External"/><Relationship Id="rId2528" Type="http://schemas.openxmlformats.org/officeDocument/2006/relationships/hyperlink" Target="http://amazon.in" TargetMode="External"/><Relationship Id="rId2529" Type="http://schemas.openxmlformats.org/officeDocument/2006/relationships/hyperlink" Target="http://amazon.in" TargetMode="External"/><Relationship Id="rId3859" Type="http://schemas.openxmlformats.org/officeDocument/2006/relationships/hyperlink" Target="http://amazon.in" TargetMode="External"/><Relationship Id="rId3850" Type="http://schemas.openxmlformats.org/officeDocument/2006/relationships/hyperlink" Target="http://amazon.in" TargetMode="External"/><Relationship Id="rId2520" Type="http://schemas.openxmlformats.org/officeDocument/2006/relationships/hyperlink" Target="http://amazon.in" TargetMode="External"/><Relationship Id="rId3852" Type="http://schemas.openxmlformats.org/officeDocument/2006/relationships/hyperlink" Target="http://amazon.in" TargetMode="External"/><Relationship Id="rId2521" Type="http://schemas.openxmlformats.org/officeDocument/2006/relationships/hyperlink" Target="http://amazon.in" TargetMode="External"/><Relationship Id="rId3851" Type="http://schemas.openxmlformats.org/officeDocument/2006/relationships/hyperlink" Target="http://amazon.in" TargetMode="External"/><Relationship Id="rId2511" Type="http://schemas.openxmlformats.org/officeDocument/2006/relationships/hyperlink" Target="http://amazon.in" TargetMode="External"/><Relationship Id="rId3843" Type="http://schemas.openxmlformats.org/officeDocument/2006/relationships/hyperlink" Target="http://amazon.in" TargetMode="External"/><Relationship Id="rId2512" Type="http://schemas.openxmlformats.org/officeDocument/2006/relationships/hyperlink" Target="http://amazon.in" TargetMode="External"/><Relationship Id="rId3842" Type="http://schemas.openxmlformats.org/officeDocument/2006/relationships/hyperlink" Target="http://amazon.in" TargetMode="External"/><Relationship Id="rId2513" Type="http://schemas.openxmlformats.org/officeDocument/2006/relationships/hyperlink" Target="http://amazon.in" TargetMode="External"/><Relationship Id="rId3845" Type="http://schemas.openxmlformats.org/officeDocument/2006/relationships/hyperlink" Target="http://amazon.in" TargetMode="External"/><Relationship Id="rId2514" Type="http://schemas.openxmlformats.org/officeDocument/2006/relationships/hyperlink" Target="http://amazon.in" TargetMode="External"/><Relationship Id="rId3844" Type="http://schemas.openxmlformats.org/officeDocument/2006/relationships/hyperlink" Target="http://amazon.in" TargetMode="External"/><Relationship Id="rId2515" Type="http://schemas.openxmlformats.org/officeDocument/2006/relationships/hyperlink" Target="http://amazon.in" TargetMode="External"/><Relationship Id="rId3847" Type="http://schemas.openxmlformats.org/officeDocument/2006/relationships/hyperlink" Target="http://amazon.in" TargetMode="External"/><Relationship Id="rId2516" Type="http://schemas.openxmlformats.org/officeDocument/2006/relationships/hyperlink" Target="http://amazon.in" TargetMode="External"/><Relationship Id="rId3846" Type="http://schemas.openxmlformats.org/officeDocument/2006/relationships/hyperlink" Target="http://amazon.in" TargetMode="External"/><Relationship Id="rId2517" Type="http://schemas.openxmlformats.org/officeDocument/2006/relationships/hyperlink" Target="http://amazon.in" TargetMode="External"/><Relationship Id="rId3849" Type="http://schemas.openxmlformats.org/officeDocument/2006/relationships/hyperlink" Target="http://amazon.in" TargetMode="External"/><Relationship Id="rId2518" Type="http://schemas.openxmlformats.org/officeDocument/2006/relationships/hyperlink" Target="http://amazon.in" TargetMode="External"/><Relationship Id="rId3848" Type="http://schemas.openxmlformats.org/officeDocument/2006/relationships/hyperlink" Target="http://amazon.in" TargetMode="External"/><Relationship Id="rId2519" Type="http://schemas.openxmlformats.org/officeDocument/2006/relationships/hyperlink" Target="http://amazon.in" TargetMode="External"/><Relationship Id="rId3841" Type="http://schemas.openxmlformats.org/officeDocument/2006/relationships/hyperlink" Target="http://amazon.in" TargetMode="External"/><Relationship Id="rId2510" Type="http://schemas.openxmlformats.org/officeDocument/2006/relationships/hyperlink" Target="http://amazon.in" TargetMode="External"/><Relationship Id="rId3840" Type="http://schemas.openxmlformats.org/officeDocument/2006/relationships/hyperlink" Target="http://amazon.in" TargetMode="External"/><Relationship Id="rId4327" Type="http://schemas.openxmlformats.org/officeDocument/2006/relationships/hyperlink" Target="http://amazon.in" TargetMode="External"/><Relationship Id="rId4326" Type="http://schemas.openxmlformats.org/officeDocument/2006/relationships/hyperlink" Target="http://amazon.in" TargetMode="External"/><Relationship Id="rId4329" Type="http://schemas.openxmlformats.org/officeDocument/2006/relationships/hyperlink" Target="http://amazon.in" TargetMode="External"/><Relationship Id="rId4328" Type="http://schemas.openxmlformats.org/officeDocument/2006/relationships/hyperlink" Target="http://amazon.in" TargetMode="External"/><Relationship Id="rId469" Type="http://schemas.openxmlformats.org/officeDocument/2006/relationships/hyperlink" Target="http://amazon.in" TargetMode="External"/><Relationship Id="rId468" Type="http://schemas.openxmlformats.org/officeDocument/2006/relationships/hyperlink" Target="http://amazon.in" TargetMode="External"/><Relationship Id="rId467" Type="http://schemas.openxmlformats.org/officeDocument/2006/relationships/hyperlink" Target="http://amazon.in" TargetMode="External"/><Relationship Id="rId1290" Type="http://schemas.openxmlformats.org/officeDocument/2006/relationships/hyperlink" Target="http://amazon.in" TargetMode="External"/><Relationship Id="rId1291" Type="http://schemas.openxmlformats.org/officeDocument/2006/relationships/hyperlink" Target="http://amazon.in" TargetMode="External"/><Relationship Id="rId1292" Type="http://schemas.openxmlformats.org/officeDocument/2006/relationships/hyperlink" Target="http://amazon.in" TargetMode="External"/><Relationship Id="rId462" Type="http://schemas.openxmlformats.org/officeDocument/2006/relationships/hyperlink" Target="http://amazon.in" TargetMode="External"/><Relationship Id="rId1293" Type="http://schemas.openxmlformats.org/officeDocument/2006/relationships/hyperlink" Target="http://amazon.in" TargetMode="External"/><Relationship Id="rId461" Type="http://schemas.openxmlformats.org/officeDocument/2006/relationships/hyperlink" Target="http://amazon.in" TargetMode="External"/><Relationship Id="rId1294" Type="http://schemas.openxmlformats.org/officeDocument/2006/relationships/hyperlink" Target="http://amazon.in" TargetMode="External"/><Relationship Id="rId460" Type="http://schemas.openxmlformats.org/officeDocument/2006/relationships/hyperlink" Target="http://amazon.in" TargetMode="External"/><Relationship Id="rId1295" Type="http://schemas.openxmlformats.org/officeDocument/2006/relationships/hyperlink" Target="http://amazon.in" TargetMode="External"/><Relationship Id="rId4321" Type="http://schemas.openxmlformats.org/officeDocument/2006/relationships/hyperlink" Target="http://amazon.in" TargetMode="External"/><Relationship Id="rId1296" Type="http://schemas.openxmlformats.org/officeDocument/2006/relationships/hyperlink" Target="http://amazon.in" TargetMode="External"/><Relationship Id="rId4320" Type="http://schemas.openxmlformats.org/officeDocument/2006/relationships/hyperlink" Target="http://amazon.in" TargetMode="External"/><Relationship Id="rId466" Type="http://schemas.openxmlformats.org/officeDocument/2006/relationships/hyperlink" Target="http://amazon.in" TargetMode="External"/><Relationship Id="rId1297" Type="http://schemas.openxmlformats.org/officeDocument/2006/relationships/hyperlink" Target="http://amazon.in" TargetMode="External"/><Relationship Id="rId4323" Type="http://schemas.openxmlformats.org/officeDocument/2006/relationships/hyperlink" Target="http://amazon.in" TargetMode="External"/><Relationship Id="rId465" Type="http://schemas.openxmlformats.org/officeDocument/2006/relationships/hyperlink" Target="http://amazon.in" TargetMode="External"/><Relationship Id="rId1298" Type="http://schemas.openxmlformats.org/officeDocument/2006/relationships/hyperlink" Target="http://amazon.in" TargetMode="External"/><Relationship Id="rId4322" Type="http://schemas.openxmlformats.org/officeDocument/2006/relationships/hyperlink" Target="http://amazon.in" TargetMode="External"/><Relationship Id="rId464" Type="http://schemas.openxmlformats.org/officeDocument/2006/relationships/hyperlink" Target="http://amazon.in" TargetMode="External"/><Relationship Id="rId1299" Type="http://schemas.openxmlformats.org/officeDocument/2006/relationships/hyperlink" Target="http://amazon.in" TargetMode="External"/><Relationship Id="rId4325" Type="http://schemas.openxmlformats.org/officeDocument/2006/relationships/hyperlink" Target="http://amazon.in" TargetMode="External"/><Relationship Id="rId463" Type="http://schemas.openxmlformats.org/officeDocument/2006/relationships/hyperlink" Target="http://amazon.in" TargetMode="External"/><Relationship Id="rId4324" Type="http://schemas.openxmlformats.org/officeDocument/2006/relationships/hyperlink" Target="http://amazon.in" TargetMode="External"/><Relationship Id="rId4316" Type="http://schemas.openxmlformats.org/officeDocument/2006/relationships/hyperlink" Target="http://amazon.in" TargetMode="External"/><Relationship Id="rId4315" Type="http://schemas.openxmlformats.org/officeDocument/2006/relationships/hyperlink" Target="http://amazon.in" TargetMode="External"/><Relationship Id="rId4318" Type="http://schemas.openxmlformats.org/officeDocument/2006/relationships/hyperlink" Target="http://amazon.in" TargetMode="External"/><Relationship Id="rId4317" Type="http://schemas.openxmlformats.org/officeDocument/2006/relationships/hyperlink" Target="http://amazon.in" TargetMode="External"/><Relationship Id="rId4319" Type="http://schemas.openxmlformats.org/officeDocument/2006/relationships/hyperlink" Target="http://amazon.in" TargetMode="External"/><Relationship Id="rId459" Type="http://schemas.openxmlformats.org/officeDocument/2006/relationships/hyperlink" Target="http://amazon.in" TargetMode="External"/><Relationship Id="rId458" Type="http://schemas.openxmlformats.org/officeDocument/2006/relationships/hyperlink" Target="http://amazon.in" TargetMode="External"/><Relationship Id="rId457" Type="http://schemas.openxmlformats.org/officeDocument/2006/relationships/hyperlink" Target="http://amazon.in" TargetMode="External"/><Relationship Id="rId456" Type="http://schemas.openxmlformats.org/officeDocument/2006/relationships/hyperlink" Target="http://amazon.in" TargetMode="External"/><Relationship Id="rId1280" Type="http://schemas.openxmlformats.org/officeDocument/2006/relationships/hyperlink" Target="http://amazon.in" TargetMode="External"/><Relationship Id="rId1281" Type="http://schemas.openxmlformats.org/officeDocument/2006/relationships/hyperlink" Target="http://amazon.in" TargetMode="External"/><Relationship Id="rId451" Type="http://schemas.openxmlformats.org/officeDocument/2006/relationships/hyperlink" Target="http://amazon.in" TargetMode="External"/><Relationship Id="rId1282" Type="http://schemas.openxmlformats.org/officeDocument/2006/relationships/hyperlink" Target="http://amazon.in" TargetMode="External"/><Relationship Id="rId450" Type="http://schemas.openxmlformats.org/officeDocument/2006/relationships/hyperlink" Target="http://amazon.in" TargetMode="External"/><Relationship Id="rId1283" Type="http://schemas.openxmlformats.org/officeDocument/2006/relationships/hyperlink" Target="http://amazon.in" TargetMode="External"/><Relationship Id="rId1284" Type="http://schemas.openxmlformats.org/officeDocument/2006/relationships/hyperlink" Target="http://amazon.in" TargetMode="External"/><Relationship Id="rId4310" Type="http://schemas.openxmlformats.org/officeDocument/2006/relationships/hyperlink" Target="http://amazon.in" TargetMode="External"/><Relationship Id="rId1285" Type="http://schemas.openxmlformats.org/officeDocument/2006/relationships/hyperlink" Target="http://amazon.in" TargetMode="External"/><Relationship Id="rId455" Type="http://schemas.openxmlformats.org/officeDocument/2006/relationships/hyperlink" Target="http://amazon.in" TargetMode="External"/><Relationship Id="rId1286" Type="http://schemas.openxmlformats.org/officeDocument/2006/relationships/hyperlink" Target="http://amazon.in" TargetMode="External"/><Relationship Id="rId4312" Type="http://schemas.openxmlformats.org/officeDocument/2006/relationships/hyperlink" Target="http://amazon.in" TargetMode="External"/><Relationship Id="rId454" Type="http://schemas.openxmlformats.org/officeDocument/2006/relationships/hyperlink" Target="http://amazon.in" TargetMode="External"/><Relationship Id="rId1287" Type="http://schemas.openxmlformats.org/officeDocument/2006/relationships/hyperlink" Target="http://amazon.in" TargetMode="External"/><Relationship Id="rId4311" Type="http://schemas.openxmlformats.org/officeDocument/2006/relationships/hyperlink" Target="http://amazon.in" TargetMode="External"/><Relationship Id="rId453" Type="http://schemas.openxmlformats.org/officeDocument/2006/relationships/hyperlink" Target="http://amazon.in" TargetMode="External"/><Relationship Id="rId1288" Type="http://schemas.openxmlformats.org/officeDocument/2006/relationships/hyperlink" Target="http://amazon.in" TargetMode="External"/><Relationship Id="rId4314" Type="http://schemas.openxmlformats.org/officeDocument/2006/relationships/hyperlink" Target="http://amazon.in" TargetMode="External"/><Relationship Id="rId452" Type="http://schemas.openxmlformats.org/officeDocument/2006/relationships/hyperlink" Target="http://amazon.in" TargetMode="External"/><Relationship Id="rId1289" Type="http://schemas.openxmlformats.org/officeDocument/2006/relationships/hyperlink" Target="http://amazon.in" TargetMode="External"/><Relationship Id="rId4313" Type="http://schemas.openxmlformats.org/officeDocument/2006/relationships/hyperlink" Target="http://amazon.in" TargetMode="External"/><Relationship Id="rId3018" Type="http://schemas.openxmlformats.org/officeDocument/2006/relationships/hyperlink" Target="http://amazon.in" TargetMode="External"/><Relationship Id="rId4349" Type="http://schemas.openxmlformats.org/officeDocument/2006/relationships/hyperlink" Target="http://amazon.in" TargetMode="External"/><Relationship Id="rId3017" Type="http://schemas.openxmlformats.org/officeDocument/2006/relationships/hyperlink" Target="http://amazon.in" TargetMode="External"/><Relationship Id="rId4348" Type="http://schemas.openxmlformats.org/officeDocument/2006/relationships/hyperlink" Target="http://amazon.in" TargetMode="External"/><Relationship Id="rId3019" Type="http://schemas.openxmlformats.org/officeDocument/2006/relationships/hyperlink" Target="http://amazon.in" TargetMode="External"/><Relationship Id="rId491" Type="http://schemas.openxmlformats.org/officeDocument/2006/relationships/hyperlink" Target="http://amazon.in" TargetMode="External"/><Relationship Id="rId490" Type="http://schemas.openxmlformats.org/officeDocument/2006/relationships/hyperlink" Target="http://amazon.in" TargetMode="External"/><Relationship Id="rId489" Type="http://schemas.openxmlformats.org/officeDocument/2006/relationships/hyperlink" Target="http://amazon.in" TargetMode="External"/><Relationship Id="rId484" Type="http://schemas.openxmlformats.org/officeDocument/2006/relationships/hyperlink" Target="http://amazon.in" TargetMode="External"/><Relationship Id="rId3010" Type="http://schemas.openxmlformats.org/officeDocument/2006/relationships/hyperlink" Target="http://amazon.in" TargetMode="External"/><Relationship Id="rId4341" Type="http://schemas.openxmlformats.org/officeDocument/2006/relationships/hyperlink" Target="http://amazon.in" TargetMode="External"/><Relationship Id="rId483" Type="http://schemas.openxmlformats.org/officeDocument/2006/relationships/hyperlink" Target="http://amazon.in" TargetMode="External"/><Relationship Id="rId4340" Type="http://schemas.openxmlformats.org/officeDocument/2006/relationships/hyperlink" Target="http://amazon.in" TargetMode="External"/><Relationship Id="rId482" Type="http://schemas.openxmlformats.org/officeDocument/2006/relationships/hyperlink" Target="http://amazon.in" TargetMode="External"/><Relationship Id="rId3012" Type="http://schemas.openxmlformats.org/officeDocument/2006/relationships/hyperlink" Target="http://amazon.in" TargetMode="External"/><Relationship Id="rId4343" Type="http://schemas.openxmlformats.org/officeDocument/2006/relationships/hyperlink" Target="http://amazon.in" TargetMode="External"/><Relationship Id="rId481" Type="http://schemas.openxmlformats.org/officeDocument/2006/relationships/hyperlink" Target="http://amazon.in" TargetMode="External"/><Relationship Id="rId3011" Type="http://schemas.openxmlformats.org/officeDocument/2006/relationships/hyperlink" Target="http://amazon.in" TargetMode="External"/><Relationship Id="rId4342" Type="http://schemas.openxmlformats.org/officeDocument/2006/relationships/hyperlink" Target="http://amazon.in" TargetMode="External"/><Relationship Id="rId488" Type="http://schemas.openxmlformats.org/officeDocument/2006/relationships/hyperlink" Target="http://amazon.in" TargetMode="External"/><Relationship Id="rId3014" Type="http://schemas.openxmlformats.org/officeDocument/2006/relationships/hyperlink" Target="http://amazon.in" TargetMode="External"/><Relationship Id="rId4345" Type="http://schemas.openxmlformats.org/officeDocument/2006/relationships/hyperlink" Target="http://amazon.in" TargetMode="External"/><Relationship Id="rId487" Type="http://schemas.openxmlformats.org/officeDocument/2006/relationships/hyperlink" Target="http://amazon.in" TargetMode="External"/><Relationship Id="rId3013" Type="http://schemas.openxmlformats.org/officeDocument/2006/relationships/hyperlink" Target="http://amazon.in" TargetMode="External"/><Relationship Id="rId4344" Type="http://schemas.openxmlformats.org/officeDocument/2006/relationships/hyperlink" Target="http://amazon.in" TargetMode="External"/><Relationship Id="rId486" Type="http://schemas.openxmlformats.org/officeDocument/2006/relationships/hyperlink" Target="http://amazon.in" TargetMode="External"/><Relationship Id="rId3016" Type="http://schemas.openxmlformats.org/officeDocument/2006/relationships/hyperlink" Target="http://amazon.in" TargetMode="External"/><Relationship Id="rId4347" Type="http://schemas.openxmlformats.org/officeDocument/2006/relationships/hyperlink" Target="http://amazon.in" TargetMode="External"/><Relationship Id="rId485" Type="http://schemas.openxmlformats.org/officeDocument/2006/relationships/hyperlink" Target="http://amazon.in" TargetMode="External"/><Relationship Id="rId3015" Type="http://schemas.openxmlformats.org/officeDocument/2006/relationships/hyperlink" Target="http://amazon.in" TargetMode="External"/><Relationship Id="rId4346" Type="http://schemas.openxmlformats.org/officeDocument/2006/relationships/hyperlink" Target="http://amazon.in" TargetMode="External"/><Relationship Id="rId3007" Type="http://schemas.openxmlformats.org/officeDocument/2006/relationships/hyperlink" Target="http://amazon.in" TargetMode="External"/><Relationship Id="rId4338" Type="http://schemas.openxmlformats.org/officeDocument/2006/relationships/hyperlink" Target="http://amazon.in" TargetMode="External"/><Relationship Id="rId3006" Type="http://schemas.openxmlformats.org/officeDocument/2006/relationships/hyperlink" Target="http://amazon.in" TargetMode="External"/><Relationship Id="rId4337" Type="http://schemas.openxmlformats.org/officeDocument/2006/relationships/hyperlink" Target="http://amazon.in" TargetMode="External"/><Relationship Id="rId3009" Type="http://schemas.openxmlformats.org/officeDocument/2006/relationships/hyperlink" Target="http://amazon.in" TargetMode="External"/><Relationship Id="rId3008" Type="http://schemas.openxmlformats.org/officeDocument/2006/relationships/hyperlink" Target="http://amazon.in" TargetMode="External"/><Relationship Id="rId4339" Type="http://schemas.openxmlformats.org/officeDocument/2006/relationships/hyperlink" Target="http://amazon.in" TargetMode="External"/><Relationship Id="rId480" Type="http://schemas.openxmlformats.org/officeDocument/2006/relationships/hyperlink" Target="http://amazon.in" TargetMode="External"/><Relationship Id="rId479" Type="http://schemas.openxmlformats.org/officeDocument/2006/relationships/hyperlink" Target="http://amazon.in" TargetMode="External"/><Relationship Id="rId478" Type="http://schemas.openxmlformats.org/officeDocument/2006/relationships/hyperlink" Target="http://amazon.in" TargetMode="External"/><Relationship Id="rId473" Type="http://schemas.openxmlformats.org/officeDocument/2006/relationships/hyperlink" Target="http://amazon.in" TargetMode="External"/><Relationship Id="rId4330" Type="http://schemas.openxmlformats.org/officeDocument/2006/relationships/hyperlink" Target="http://amazon.in" TargetMode="External"/><Relationship Id="rId472" Type="http://schemas.openxmlformats.org/officeDocument/2006/relationships/hyperlink" Target="http://amazon.in" TargetMode="External"/><Relationship Id="rId471" Type="http://schemas.openxmlformats.org/officeDocument/2006/relationships/hyperlink" Target="http://amazon.in" TargetMode="External"/><Relationship Id="rId3001" Type="http://schemas.openxmlformats.org/officeDocument/2006/relationships/hyperlink" Target="http://amazon.in" TargetMode="External"/><Relationship Id="rId4332" Type="http://schemas.openxmlformats.org/officeDocument/2006/relationships/hyperlink" Target="http://amazon.in" TargetMode="External"/><Relationship Id="rId470" Type="http://schemas.openxmlformats.org/officeDocument/2006/relationships/hyperlink" Target="http://amazon.in" TargetMode="External"/><Relationship Id="rId3000" Type="http://schemas.openxmlformats.org/officeDocument/2006/relationships/hyperlink" Target="http://amazon.in" TargetMode="External"/><Relationship Id="rId4331" Type="http://schemas.openxmlformats.org/officeDocument/2006/relationships/hyperlink" Target="http://amazon.in" TargetMode="External"/><Relationship Id="rId477" Type="http://schemas.openxmlformats.org/officeDocument/2006/relationships/hyperlink" Target="http://amazon.in" TargetMode="External"/><Relationship Id="rId3003" Type="http://schemas.openxmlformats.org/officeDocument/2006/relationships/hyperlink" Target="http://amazon.in" TargetMode="External"/><Relationship Id="rId4334" Type="http://schemas.openxmlformats.org/officeDocument/2006/relationships/hyperlink" Target="http://amazon.in" TargetMode="External"/><Relationship Id="rId476" Type="http://schemas.openxmlformats.org/officeDocument/2006/relationships/hyperlink" Target="http://amazon.in" TargetMode="External"/><Relationship Id="rId3002" Type="http://schemas.openxmlformats.org/officeDocument/2006/relationships/hyperlink" Target="http://amazon.in" TargetMode="External"/><Relationship Id="rId4333" Type="http://schemas.openxmlformats.org/officeDocument/2006/relationships/hyperlink" Target="http://amazon.in" TargetMode="External"/><Relationship Id="rId475" Type="http://schemas.openxmlformats.org/officeDocument/2006/relationships/hyperlink" Target="http://amazon.in" TargetMode="External"/><Relationship Id="rId3005" Type="http://schemas.openxmlformats.org/officeDocument/2006/relationships/hyperlink" Target="http://amazon.in" TargetMode="External"/><Relationship Id="rId4336" Type="http://schemas.openxmlformats.org/officeDocument/2006/relationships/hyperlink" Target="http://amazon.in" TargetMode="External"/><Relationship Id="rId474" Type="http://schemas.openxmlformats.org/officeDocument/2006/relationships/hyperlink" Target="http://amazon.in" TargetMode="External"/><Relationship Id="rId3004" Type="http://schemas.openxmlformats.org/officeDocument/2006/relationships/hyperlink" Target="http://amazon.in" TargetMode="External"/><Relationship Id="rId4335" Type="http://schemas.openxmlformats.org/officeDocument/2006/relationships/hyperlink" Target="http://amazon.in" TargetMode="External"/><Relationship Id="rId1257" Type="http://schemas.openxmlformats.org/officeDocument/2006/relationships/hyperlink" Target="http://amazon.in" TargetMode="External"/><Relationship Id="rId2588" Type="http://schemas.openxmlformats.org/officeDocument/2006/relationships/hyperlink" Target="http://amazon.in" TargetMode="External"/><Relationship Id="rId1258" Type="http://schemas.openxmlformats.org/officeDocument/2006/relationships/hyperlink" Target="http://amazon.in" TargetMode="External"/><Relationship Id="rId2589" Type="http://schemas.openxmlformats.org/officeDocument/2006/relationships/hyperlink" Target="http://amazon.in" TargetMode="External"/><Relationship Id="rId1259" Type="http://schemas.openxmlformats.org/officeDocument/2006/relationships/hyperlink" Target="http://amazon.in" TargetMode="External"/><Relationship Id="rId426" Type="http://schemas.openxmlformats.org/officeDocument/2006/relationships/hyperlink" Target="http://amazon.in" TargetMode="External"/><Relationship Id="rId425" Type="http://schemas.openxmlformats.org/officeDocument/2006/relationships/hyperlink" Target="http://amazon.in" TargetMode="External"/><Relationship Id="rId424" Type="http://schemas.openxmlformats.org/officeDocument/2006/relationships/hyperlink" Target="http://amazon.in" TargetMode="External"/><Relationship Id="rId423" Type="http://schemas.openxmlformats.org/officeDocument/2006/relationships/hyperlink" Target="http://amazon.in" TargetMode="External"/><Relationship Id="rId429" Type="http://schemas.openxmlformats.org/officeDocument/2006/relationships/hyperlink" Target="http://amazon.in" TargetMode="External"/><Relationship Id="rId428" Type="http://schemas.openxmlformats.org/officeDocument/2006/relationships/hyperlink" Target="http://amazon.in" TargetMode="External"/><Relationship Id="rId427" Type="http://schemas.openxmlformats.org/officeDocument/2006/relationships/hyperlink" Target="http://amazon.in" TargetMode="External"/><Relationship Id="rId2580" Type="http://schemas.openxmlformats.org/officeDocument/2006/relationships/hyperlink" Target="http://amazon.in" TargetMode="External"/><Relationship Id="rId1250" Type="http://schemas.openxmlformats.org/officeDocument/2006/relationships/hyperlink" Target="http://amazon.in" TargetMode="External"/><Relationship Id="rId2581" Type="http://schemas.openxmlformats.org/officeDocument/2006/relationships/hyperlink" Target="http://amazon.in" TargetMode="External"/><Relationship Id="rId1251" Type="http://schemas.openxmlformats.org/officeDocument/2006/relationships/hyperlink" Target="http://amazon.in" TargetMode="External"/><Relationship Id="rId2582" Type="http://schemas.openxmlformats.org/officeDocument/2006/relationships/hyperlink" Target="http://amazon.in" TargetMode="External"/><Relationship Id="rId1252" Type="http://schemas.openxmlformats.org/officeDocument/2006/relationships/hyperlink" Target="http://amazon.in" TargetMode="External"/><Relationship Id="rId2583" Type="http://schemas.openxmlformats.org/officeDocument/2006/relationships/hyperlink" Target="http://amazon.in" TargetMode="External"/><Relationship Id="rId422" Type="http://schemas.openxmlformats.org/officeDocument/2006/relationships/hyperlink" Target="http://amazon.in" TargetMode="External"/><Relationship Id="rId1253" Type="http://schemas.openxmlformats.org/officeDocument/2006/relationships/hyperlink" Target="http://amazon.in" TargetMode="External"/><Relationship Id="rId2584" Type="http://schemas.openxmlformats.org/officeDocument/2006/relationships/hyperlink" Target="http://amazon.in" TargetMode="External"/><Relationship Id="rId421" Type="http://schemas.openxmlformats.org/officeDocument/2006/relationships/hyperlink" Target="http://amazon.in" TargetMode="External"/><Relationship Id="rId1254" Type="http://schemas.openxmlformats.org/officeDocument/2006/relationships/hyperlink" Target="http://amazon.in" TargetMode="External"/><Relationship Id="rId2585" Type="http://schemas.openxmlformats.org/officeDocument/2006/relationships/hyperlink" Target="http://amazon.in" TargetMode="External"/><Relationship Id="rId420" Type="http://schemas.openxmlformats.org/officeDocument/2006/relationships/hyperlink" Target="http://amazon.in" TargetMode="External"/><Relationship Id="rId1255" Type="http://schemas.openxmlformats.org/officeDocument/2006/relationships/hyperlink" Target="http://amazon.in" TargetMode="External"/><Relationship Id="rId2586" Type="http://schemas.openxmlformats.org/officeDocument/2006/relationships/hyperlink" Target="http://amazon.in" TargetMode="External"/><Relationship Id="rId1256" Type="http://schemas.openxmlformats.org/officeDocument/2006/relationships/hyperlink" Target="http://amazon.in" TargetMode="External"/><Relationship Id="rId2587" Type="http://schemas.openxmlformats.org/officeDocument/2006/relationships/hyperlink" Target="http://amazon.in" TargetMode="External"/><Relationship Id="rId1246" Type="http://schemas.openxmlformats.org/officeDocument/2006/relationships/hyperlink" Target="http://amazon.in" TargetMode="External"/><Relationship Id="rId2577" Type="http://schemas.openxmlformats.org/officeDocument/2006/relationships/hyperlink" Target="http://amazon.in" TargetMode="External"/><Relationship Id="rId1247" Type="http://schemas.openxmlformats.org/officeDocument/2006/relationships/hyperlink" Target="http://amazon.in" TargetMode="External"/><Relationship Id="rId2578" Type="http://schemas.openxmlformats.org/officeDocument/2006/relationships/hyperlink" Target="http://amazon.in" TargetMode="External"/><Relationship Id="rId1248" Type="http://schemas.openxmlformats.org/officeDocument/2006/relationships/hyperlink" Target="http://amazon.in" TargetMode="External"/><Relationship Id="rId2579" Type="http://schemas.openxmlformats.org/officeDocument/2006/relationships/hyperlink" Target="http://amazon.in" TargetMode="External"/><Relationship Id="rId1249" Type="http://schemas.openxmlformats.org/officeDocument/2006/relationships/hyperlink" Target="http://amazon.in" TargetMode="External"/><Relationship Id="rId415" Type="http://schemas.openxmlformats.org/officeDocument/2006/relationships/hyperlink" Target="http://amazon.in" TargetMode="External"/><Relationship Id="rId414" Type="http://schemas.openxmlformats.org/officeDocument/2006/relationships/hyperlink" Target="http://amazon.in" TargetMode="External"/><Relationship Id="rId413" Type="http://schemas.openxmlformats.org/officeDocument/2006/relationships/hyperlink" Target="http://amazon.in" TargetMode="External"/><Relationship Id="rId412" Type="http://schemas.openxmlformats.org/officeDocument/2006/relationships/hyperlink" Target="http://amazon.in" TargetMode="External"/><Relationship Id="rId419" Type="http://schemas.openxmlformats.org/officeDocument/2006/relationships/hyperlink" Target="http://amazon.in" TargetMode="External"/><Relationship Id="rId418" Type="http://schemas.openxmlformats.org/officeDocument/2006/relationships/hyperlink" Target="http://amazon.in" TargetMode="External"/><Relationship Id="rId417" Type="http://schemas.openxmlformats.org/officeDocument/2006/relationships/hyperlink" Target="http://amazon.in" TargetMode="External"/><Relationship Id="rId416" Type="http://schemas.openxmlformats.org/officeDocument/2006/relationships/hyperlink" Target="http://amazon.in" TargetMode="External"/><Relationship Id="rId2570" Type="http://schemas.openxmlformats.org/officeDocument/2006/relationships/hyperlink" Target="http://amazon.in" TargetMode="External"/><Relationship Id="rId1240" Type="http://schemas.openxmlformats.org/officeDocument/2006/relationships/hyperlink" Target="http://amazon.in" TargetMode="External"/><Relationship Id="rId2571" Type="http://schemas.openxmlformats.org/officeDocument/2006/relationships/hyperlink" Target="http://amazon.in" TargetMode="External"/><Relationship Id="rId1241" Type="http://schemas.openxmlformats.org/officeDocument/2006/relationships/hyperlink" Target="http://amazon.in" TargetMode="External"/><Relationship Id="rId2572" Type="http://schemas.openxmlformats.org/officeDocument/2006/relationships/hyperlink" Target="http://amazon.in" TargetMode="External"/><Relationship Id="rId411" Type="http://schemas.openxmlformats.org/officeDocument/2006/relationships/hyperlink" Target="http://amazon.in" TargetMode="External"/><Relationship Id="rId1242" Type="http://schemas.openxmlformats.org/officeDocument/2006/relationships/hyperlink" Target="http://amazon.in" TargetMode="External"/><Relationship Id="rId2573" Type="http://schemas.openxmlformats.org/officeDocument/2006/relationships/hyperlink" Target="http://amazon.in" TargetMode="External"/><Relationship Id="rId410" Type="http://schemas.openxmlformats.org/officeDocument/2006/relationships/hyperlink" Target="http://amazon.in" TargetMode="External"/><Relationship Id="rId1243" Type="http://schemas.openxmlformats.org/officeDocument/2006/relationships/hyperlink" Target="http://amazon.in" TargetMode="External"/><Relationship Id="rId2574" Type="http://schemas.openxmlformats.org/officeDocument/2006/relationships/hyperlink" Target="http://amazon.in" TargetMode="External"/><Relationship Id="rId1244" Type="http://schemas.openxmlformats.org/officeDocument/2006/relationships/hyperlink" Target="http://amazon.in" TargetMode="External"/><Relationship Id="rId2575" Type="http://schemas.openxmlformats.org/officeDocument/2006/relationships/hyperlink" Target="http://amazon.in" TargetMode="External"/><Relationship Id="rId1245" Type="http://schemas.openxmlformats.org/officeDocument/2006/relationships/hyperlink" Target="http://amazon.in" TargetMode="External"/><Relationship Id="rId2576" Type="http://schemas.openxmlformats.org/officeDocument/2006/relationships/hyperlink" Target="http://amazon.in" TargetMode="External"/><Relationship Id="rId1279" Type="http://schemas.openxmlformats.org/officeDocument/2006/relationships/hyperlink" Target="http://amazon.in" TargetMode="External"/><Relationship Id="rId4305" Type="http://schemas.openxmlformats.org/officeDocument/2006/relationships/hyperlink" Target="http://amazon.in" TargetMode="External"/><Relationship Id="rId4304" Type="http://schemas.openxmlformats.org/officeDocument/2006/relationships/hyperlink" Target="http://amazon.in" TargetMode="External"/><Relationship Id="rId4307" Type="http://schemas.openxmlformats.org/officeDocument/2006/relationships/hyperlink" Target="http://amazon.in" TargetMode="External"/><Relationship Id="rId4306" Type="http://schemas.openxmlformats.org/officeDocument/2006/relationships/hyperlink" Target="http://amazon.in" TargetMode="External"/><Relationship Id="rId4309" Type="http://schemas.openxmlformats.org/officeDocument/2006/relationships/hyperlink" Target="http://amazon.in" TargetMode="External"/><Relationship Id="rId4308" Type="http://schemas.openxmlformats.org/officeDocument/2006/relationships/hyperlink" Target="http://amazon.in" TargetMode="External"/><Relationship Id="rId448" Type="http://schemas.openxmlformats.org/officeDocument/2006/relationships/hyperlink" Target="http://amazon.in" TargetMode="External"/><Relationship Id="rId447" Type="http://schemas.openxmlformats.org/officeDocument/2006/relationships/hyperlink" Target="http://amazon.in" TargetMode="External"/><Relationship Id="rId446" Type="http://schemas.openxmlformats.org/officeDocument/2006/relationships/hyperlink" Target="http://amazon.in" TargetMode="External"/><Relationship Id="rId445" Type="http://schemas.openxmlformats.org/officeDocument/2006/relationships/hyperlink" Target="http://amazon.in" TargetMode="External"/><Relationship Id="rId449" Type="http://schemas.openxmlformats.org/officeDocument/2006/relationships/hyperlink" Target="http://amazon.in" TargetMode="External"/><Relationship Id="rId1270" Type="http://schemas.openxmlformats.org/officeDocument/2006/relationships/hyperlink" Target="http://amazon.in" TargetMode="External"/><Relationship Id="rId440" Type="http://schemas.openxmlformats.org/officeDocument/2006/relationships/hyperlink" Target="http://amazon.in" TargetMode="External"/><Relationship Id="rId1271" Type="http://schemas.openxmlformats.org/officeDocument/2006/relationships/hyperlink" Target="http://amazon.in" TargetMode="External"/><Relationship Id="rId1272" Type="http://schemas.openxmlformats.org/officeDocument/2006/relationships/hyperlink" Target="http://amazon.in" TargetMode="External"/><Relationship Id="rId1273" Type="http://schemas.openxmlformats.org/officeDocument/2006/relationships/hyperlink" Target="http://amazon.in" TargetMode="External"/><Relationship Id="rId1274" Type="http://schemas.openxmlformats.org/officeDocument/2006/relationships/hyperlink" Target="http://amazon.in" TargetMode="External"/><Relationship Id="rId444" Type="http://schemas.openxmlformats.org/officeDocument/2006/relationships/hyperlink" Target="http://amazon.in" TargetMode="External"/><Relationship Id="rId1275" Type="http://schemas.openxmlformats.org/officeDocument/2006/relationships/hyperlink" Target="http://amazon.in" TargetMode="External"/><Relationship Id="rId4301" Type="http://schemas.openxmlformats.org/officeDocument/2006/relationships/hyperlink" Target="http://amazon.in" TargetMode="External"/><Relationship Id="rId443" Type="http://schemas.openxmlformats.org/officeDocument/2006/relationships/hyperlink" Target="http://amazon.in" TargetMode="External"/><Relationship Id="rId1276" Type="http://schemas.openxmlformats.org/officeDocument/2006/relationships/hyperlink" Target="http://amazon.in" TargetMode="External"/><Relationship Id="rId4300" Type="http://schemas.openxmlformats.org/officeDocument/2006/relationships/hyperlink" Target="http://amazon.in" TargetMode="External"/><Relationship Id="rId442" Type="http://schemas.openxmlformats.org/officeDocument/2006/relationships/hyperlink" Target="http://amazon.in" TargetMode="External"/><Relationship Id="rId1277" Type="http://schemas.openxmlformats.org/officeDocument/2006/relationships/hyperlink" Target="http://amazon.in" TargetMode="External"/><Relationship Id="rId4303" Type="http://schemas.openxmlformats.org/officeDocument/2006/relationships/hyperlink" Target="http://amazon.in" TargetMode="External"/><Relationship Id="rId441" Type="http://schemas.openxmlformats.org/officeDocument/2006/relationships/hyperlink" Target="http://amazon.in" TargetMode="External"/><Relationship Id="rId1278" Type="http://schemas.openxmlformats.org/officeDocument/2006/relationships/hyperlink" Target="http://amazon.in" TargetMode="External"/><Relationship Id="rId4302" Type="http://schemas.openxmlformats.org/officeDocument/2006/relationships/hyperlink" Target="http://amazon.in" TargetMode="External"/><Relationship Id="rId1268" Type="http://schemas.openxmlformats.org/officeDocument/2006/relationships/hyperlink" Target="http://amazon.in" TargetMode="External"/><Relationship Id="rId2599" Type="http://schemas.openxmlformats.org/officeDocument/2006/relationships/hyperlink" Target="http://amazon.in" TargetMode="External"/><Relationship Id="rId1269" Type="http://schemas.openxmlformats.org/officeDocument/2006/relationships/hyperlink" Target="http://amazon.in" TargetMode="External"/><Relationship Id="rId437" Type="http://schemas.openxmlformats.org/officeDocument/2006/relationships/hyperlink" Target="http://amazon.in" TargetMode="External"/><Relationship Id="rId436" Type="http://schemas.openxmlformats.org/officeDocument/2006/relationships/hyperlink" Target="http://amazon.in" TargetMode="External"/><Relationship Id="rId435" Type="http://schemas.openxmlformats.org/officeDocument/2006/relationships/hyperlink" Target="http://amazon.in" TargetMode="External"/><Relationship Id="rId434" Type="http://schemas.openxmlformats.org/officeDocument/2006/relationships/hyperlink" Target="http://amazon.in" TargetMode="External"/><Relationship Id="rId439" Type="http://schemas.openxmlformats.org/officeDocument/2006/relationships/hyperlink" Target="http://amazon.in" TargetMode="External"/><Relationship Id="rId438" Type="http://schemas.openxmlformats.org/officeDocument/2006/relationships/hyperlink" Target="http://amazon.in" TargetMode="External"/><Relationship Id="rId2590" Type="http://schemas.openxmlformats.org/officeDocument/2006/relationships/hyperlink" Target="http://amazon.in" TargetMode="External"/><Relationship Id="rId1260" Type="http://schemas.openxmlformats.org/officeDocument/2006/relationships/hyperlink" Target="http://amazon.in" TargetMode="External"/><Relationship Id="rId2591" Type="http://schemas.openxmlformats.org/officeDocument/2006/relationships/hyperlink" Target="http://amazon.in" TargetMode="External"/><Relationship Id="rId1261" Type="http://schemas.openxmlformats.org/officeDocument/2006/relationships/hyperlink" Target="http://amazon.in" TargetMode="External"/><Relationship Id="rId2592" Type="http://schemas.openxmlformats.org/officeDocument/2006/relationships/hyperlink" Target="http://amazon.in" TargetMode="External"/><Relationship Id="rId1262" Type="http://schemas.openxmlformats.org/officeDocument/2006/relationships/hyperlink" Target="http://amazon.in" TargetMode="External"/><Relationship Id="rId2593" Type="http://schemas.openxmlformats.org/officeDocument/2006/relationships/hyperlink" Target="http://amazon.in" TargetMode="External"/><Relationship Id="rId1263" Type="http://schemas.openxmlformats.org/officeDocument/2006/relationships/hyperlink" Target="http://amazon.in" TargetMode="External"/><Relationship Id="rId2594" Type="http://schemas.openxmlformats.org/officeDocument/2006/relationships/hyperlink" Target="http://amazon.in" TargetMode="External"/><Relationship Id="rId433" Type="http://schemas.openxmlformats.org/officeDocument/2006/relationships/hyperlink" Target="http://amazon.in" TargetMode="External"/><Relationship Id="rId1264" Type="http://schemas.openxmlformats.org/officeDocument/2006/relationships/hyperlink" Target="http://amazon.in" TargetMode="External"/><Relationship Id="rId2595" Type="http://schemas.openxmlformats.org/officeDocument/2006/relationships/hyperlink" Target="http://amazon.in" TargetMode="External"/><Relationship Id="rId432" Type="http://schemas.openxmlformats.org/officeDocument/2006/relationships/hyperlink" Target="http://amazon.in" TargetMode="External"/><Relationship Id="rId1265" Type="http://schemas.openxmlformats.org/officeDocument/2006/relationships/hyperlink" Target="http://amazon.in" TargetMode="External"/><Relationship Id="rId2596" Type="http://schemas.openxmlformats.org/officeDocument/2006/relationships/hyperlink" Target="http://amazon.in" TargetMode="External"/><Relationship Id="rId431" Type="http://schemas.openxmlformats.org/officeDocument/2006/relationships/hyperlink" Target="http://amazon.in" TargetMode="External"/><Relationship Id="rId1266" Type="http://schemas.openxmlformats.org/officeDocument/2006/relationships/hyperlink" Target="http://amazon.in" TargetMode="External"/><Relationship Id="rId2597" Type="http://schemas.openxmlformats.org/officeDocument/2006/relationships/hyperlink" Target="http://amazon.in" TargetMode="External"/><Relationship Id="rId430" Type="http://schemas.openxmlformats.org/officeDocument/2006/relationships/hyperlink" Target="http://amazon.in" TargetMode="External"/><Relationship Id="rId1267" Type="http://schemas.openxmlformats.org/officeDocument/2006/relationships/hyperlink" Target="http://amazon.in" TargetMode="External"/><Relationship Id="rId2598" Type="http://schemas.openxmlformats.org/officeDocument/2006/relationships/hyperlink" Target="http://amazon.in" TargetMode="External"/><Relationship Id="rId3070" Type="http://schemas.openxmlformats.org/officeDocument/2006/relationships/hyperlink" Target="http://amazon.in" TargetMode="External"/><Relationship Id="rId3072" Type="http://schemas.openxmlformats.org/officeDocument/2006/relationships/hyperlink" Target="http://amazon.in" TargetMode="External"/><Relationship Id="rId3071" Type="http://schemas.openxmlformats.org/officeDocument/2006/relationships/hyperlink" Target="http://amazon.in" TargetMode="External"/><Relationship Id="rId3074" Type="http://schemas.openxmlformats.org/officeDocument/2006/relationships/hyperlink" Target="http://amazon.in" TargetMode="External"/><Relationship Id="rId3073" Type="http://schemas.openxmlformats.org/officeDocument/2006/relationships/hyperlink" Target="http://amazon.in" TargetMode="External"/><Relationship Id="rId3076" Type="http://schemas.openxmlformats.org/officeDocument/2006/relationships/hyperlink" Target="http://amazon.in" TargetMode="External"/><Relationship Id="rId3075" Type="http://schemas.openxmlformats.org/officeDocument/2006/relationships/hyperlink" Target="http://amazon.in" TargetMode="External"/><Relationship Id="rId3078" Type="http://schemas.openxmlformats.org/officeDocument/2006/relationships/hyperlink" Target="http://amazon.in" TargetMode="External"/><Relationship Id="rId3077" Type="http://schemas.openxmlformats.org/officeDocument/2006/relationships/hyperlink" Target="http://amazon.in" TargetMode="External"/><Relationship Id="rId3079" Type="http://schemas.openxmlformats.org/officeDocument/2006/relationships/hyperlink" Target="http://amazon.in" TargetMode="External"/><Relationship Id="rId4390" Type="http://schemas.openxmlformats.org/officeDocument/2006/relationships/hyperlink" Target="http://amazon.in" TargetMode="External"/><Relationship Id="rId3061" Type="http://schemas.openxmlformats.org/officeDocument/2006/relationships/hyperlink" Target="http://amazon.in" TargetMode="External"/><Relationship Id="rId4392" Type="http://schemas.openxmlformats.org/officeDocument/2006/relationships/hyperlink" Target="http://amazon.in" TargetMode="External"/><Relationship Id="rId3060" Type="http://schemas.openxmlformats.org/officeDocument/2006/relationships/hyperlink" Target="http://amazon.in" TargetMode="External"/><Relationship Id="rId4391" Type="http://schemas.openxmlformats.org/officeDocument/2006/relationships/hyperlink" Target="http://amazon.in" TargetMode="External"/><Relationship Id="rId3063" Type="http://schemas.openxmlformats.org/officeDocument/2006/relationships/hyperlink" Target="http://amazon.in" TargetMode="External"/><Relationship Id="rId4394" Type="http://schemas.openxmlformats.org/officeDocument/2006/relationships/hyperlink" Target="http://amazon.in" TargetMode="External"/><Relationship Id="rId3062" Type="http://schemas.openxmlformats.org/officeDocument/2006/relationships/hyperlink" Target="http://amazon.in" TargetMode="External"/><Relationship Id="rId4393" Type="http://schemas.openxmlformats.org/officeDocument/2006/relationships/hyperlink" Target="http://amazon.in" TargetMode="External"/><Relationship Id="rId3065" Type="http://schemas.openxmlformats.org/officeDocument/2006/relationships/hyperlink" Target="http://amazon.in" TargetMode="External"/><Relationship Id="rId4396" Type="http://schemas.openxmlformats.org/officeDocument/2006/relationships/hyperlink" Target="http://amazon.in" TargetMode="External"/><Relationship Id="rId3064" Type="http://schemas.openxmlformats.org/officeDocument/2006/relationships/hyperlink" Target="http://amazon.in" TargetMode="External"/><Relationship Id="rId4395" Type="http://schemas.openxmlformats.org/officeDocument/2006/relationships/hyperlink" Target="http://amazon.in" TargetMode="External"/><Relationship Id="rId3067" Type="http://schemas.openxmlformats.org/officeDocument/2006/relationships/hyperlink" Target="http://amazon.in" TargetMode="External"/><Relationship Id="rId4398" Type="http://schemas.openxmlformats.org/officeDocument/2006/relationships/hyperlink" Target="http://amazon.in" TargetMode="External"/><Relationship Id="rId3066" Type="http://schemas.openxmlformats.org/officeDocument/2006/relationships/hyperlink" Target="http://amazon.in" TargetMode="External"/><Relationship Id="rId4397" Type="http://schemas.openxmlformats.org/officeDocument/2006/relationships/hyperlink" Target="http://amazon.in" TargetMode="External"/><Relationship Id="rId3069" Type="http://schemas.openxmlformats.org/officeDocument/2006/relationships/hyperlink" Target="http://amazon.in" TargetMode="External"/><Relationship Id="rId3068" Type="http://schemas.openxmlformats.org/officeDocument/2006/relationships/hyperlink" Target="http://amazon.in" TargetMode="External"/><Relationship Id="rId4399" Type="http://schemas.openxmlformats.org/officeDocument/2006/relationships/hyperlink" Target="http://amazon.in" TargetMode="External"/><Relationship Id="rId3090" Type="http://schemas.openxmlformats.org/officeDocument/2006/relationships/hyperlink" Target="http://amazon.in" TargetMode="External"/><Relationship Id="rId3092" Type="http://schemas.openxmlformats.org/officeDocument/2006/relationships/hyperlink" Target="http://amazon.in" TargetMode="External"/><Relationship Id="rId3091" Type="http://schemas.openxmlformats.org/officeDocument/2006/relationships/hyperlink" Target="http://amazon.in" TargetMode="External"/><Relationship Id="rId3094" Type="http://schemas.openxmlformats.org/officeDocument/2006/relationships/hyperlink" Target="http://amazon.in" TargetMode="External"/><Relationship Id="rId3093" Type="http://schemas.openxmlformats.org/officeDocument/2006/relationships/hyperlink" Target="http://amazon.in" TargetMode="External"/><Relationship Id="rId3096" Type="http://schemas.openxmlformats.org/officeDocument/2006/relationships/hyperlink" Target="http://amazon.in" TargetMode="External"/><Relationship Id="rId3095" Type="http://schemas.openxmlformats.org/officeDocument/2006/relationships/hyperlink" Target="http://amazon.in" TargetMode="External"/><Relationship Id="rId3098" Type="http://schemas.openxmlformats.org/officeDocument/2006/relationships/hyperlink" Target="http://amazon.in" TargetMode="External"/><Relationship Id="rId3097" Type="http://schemas.openxmlformats.org/officeDocument/2006/relationships/hyperlink" Target="http://amazon.in" TargetMode="External"/><Relationship Id="rId3099" Type="http://schemas.openxmlformats.org/officeDocument/2006/relationships/hyperlink" Target="http://amazon.in" TargetMode="External"/><Relationship Id="rId3081" Type="http://schemas.openxmlformats.org/officeDocument/2006/relationships/hyperlink" Target="http://amazon.in" TargetMode="External"/><Relationship Id="rId3080" Type="http://schemas.openxmlformats.org/officeDocument/2006/relationships/hyperlink" Target="http://amazon.in" TargetMode="External"/><Relationship Id="rId3083" Type="http://schemas.openxmlformats.org/officeDocument/2006/relationships/hyperlink" Target="http://amazon.in" TargetMode="External"/><Relationship Id="rId3082" Type="http://schemas.openxmlformats.org/officeDocument/2006/relationships/hyperlink" Target="http://amazon.in" TargetMode="External"/><Relationship Id="rId3085" Type="http://schemas.openxmlformats.org/officeDocument/2006/relationships/hyperlink" Target="http://amazon.in" TargetMode="External"/><Relationship Id="rId3084" Type="http://schemas.openxmlformats.org/officeDocument/2006/relationships/hyperlink" Target="http://amazon.in" TargetMode="External"/><Relationship Id="rId3087" Type="http://schemas.openxmlformats.org/officeDocument/2006/relationships/hyperlink" Target="http://amazon.in" TargetMode="External"/><Relationship Id="rId3086" Type="http://schemas.openxmlformats.org/officeDocument/2006/relationships/hyperlink" Target="http://amazon.in" TargetMode="External"/><Relationship Id="rId3089" Type="http://schemas.openxmlformats.org/officeDocument/2006/relationships/hyperlink" Target="http://amazon.in" TargetMode="External"/><Relationship Id="rId3088" Type="http://schemas.openxmlformats.org/officeDocument/2006/relationships/hyperlink" Target="http://amazon.in" TargetMode="External"/><Relationship Id="rId3039" Type="http://schemas.openxmlformats.org/officeDocument/2006/relationships/hyperlink" Target="http://amazon.in" TargetMode="External"/><Relationship Id="rId1" Type="http://schemas.openxmlformats.org/officeDocument/2006/relationships/hyperlink" Target="http://amazon.in" TargetMode="External"/><Relationship Id="rId2" Type="http://schemas.openxmlformats.org/officeDocument/2006/relationships/hyperlink" Target="http://amazon.in" TargetMode="External"/><Relationship Id="rId3" Type="http://schemas.openxmlformats.org/officeDocument/2006/relationships/hyperlink" Target="http://amazon.in" TargetMode="External"/><Relationship Id="rId4" Type="http://schemas.openxmlformats.org/officeDocument/2006/relationships/hyperlink" Target="http://amazon.in" TargetMode="External"/><Relationship Id="rId3030" Type="http://schemas.openxmlformats.org/officeDocument/2006/relationships/hyperlink" Target="http://amazon.in" TargetMode="External"/><Relationship Id="rId4361" Type="http://schemas.openxmlformats.org/officeDocument/2006/relationships/hyperlink" Target="http://amazon.in" TargetMode="External"/><Relationship Id="rId4360" Type="http://schemas.openxmlformats.org/officeDocument/2006/relationships/hyperlink" Target="http://amazon.in" TargetMode="External"/><Relationship Id="rId9" Type="http://schemas.openxmlformats.org/officeDocument/2006/relationships/hyperlink" Target="http://amazon.in" TargetMode="External"/><Relationship Id="rId3032" Type="http://schemas.openxmlformats.org/officeDocument/2006/relationships/hyperlink" Target="http://amazon.in" TargetMode="External"/><Relationship Id="rId4363" Type="http://schemas.openxmlformats.org/officeDocument/2006/relationships/hyperlink" Target="http://amazon.in" TargetMode="External"/><Relationship Id="rId3031" Type="http://schemas.openxmlformats.org/officeDocument/2006/relationships/hyperlink" Target="http://amazon.in" TargetMode="External"/><Relationship Id="rId4362" Type="http://schemas.openxmlformats.org/officeDocument/2006/relationships/hyperlink" Target="http://amazon.in" TargetMode="External"/><Relationship Id="rId3034" Type="http://schemas.openxmlformats.org/officeDocument/2006/relationships/hyperlink" Target="http://amazon.in" TargetMode="External"/><Relationship Id="rId4365" Type="http://schemas.openxmlformats.org/officeDocument/2006/relationships/hyperlink" Target="http://amazon.in" TargetMode="External"/><Relationship Id="rId3033" Type="http://schemas.openxmlformats.org/officeDocument/2006/relationships/hyperlink" Target="http://amazon.in" TargetMode="External"/><Relationship Id="rId4364" Type="http://schemas.openxmlformats.org/officeDocument/2006/relationships/hyperlink" Target="http://amazon.in" TargetMode="External"/><Relationship Id="rId5" Type="http://schemas.openxmlformats.org/officeDocument/2006/relationships/hyperlink" Target="http://amazon.in" TargetMode="External"/><Relationship Id="rId3036" Type="http://schemas.openxmlformats.org/officeDocument/2006/relationships/hyperlink" Target="http://amazon.in" TargetMode="External"/><Relationship Id="rId4367" Type="http://schemas.openxmlformats.org/officeDocument/2006/relationships/hyperlink" Target="http://amazon.in" TargetMode="External"/><Relationship Id="rId6" Type="http://schemas.openxmlformats.org/officeDocument/2006/relationships/hyperlink" Target="http://amazon.in" TargetMode="External"/><Relationship Id="rId3035" Type="http://schemas.openxmlformats.org/officeDocument/2006/relationships/hyperlink" Target="http://amazon.in" TargetMode="External"/><Relationship Id="rId4366" Type="http://schemas.openxmlformats.org/officeDocument/2006/relationships/hyperlink" Target="http://amazon.in" TargetMode="External"/><Relationship Id="rId7" Type="http://schemas.openxmlformats.org/officeDocument/2006/relationships/hyperlink" Target="http://amazon.in" TargetMode="External"/><Relationship Id="rId3038" Type="http://schemas.openxmlformats.org/officeDocument/2006/relationships/hyperlink" Target="http://amazon.in" TargetMode="External"/><Relationship Id="rId4369" Type="http://schemas.openxmlformats.org/officeDocument/2006/relationships/hyperlink" Target="http://amazon.in" TargetMode="External"/><Relationship Id="rId8" Type="http://schemas.openxmlformats.org/officeDocument/2006/relationships/hyperlink" Target="http://amazon.in" TargetMode="External"/><Relationship Id="rId3037" Type="http://schemas.openxmlformats.org/officeDocument/2006/relationships/hyperlink" Target="http://amazon.in" TargetMode="External"/><Relationship Id="rId4368" Type="http://schemas.openxmlformats.org/officeDocument/2006/relationships/hyperlink" Target="http://amazon.in" TargetMode="External"/><Relationship Id="rId3029" Type="http://schemas.openxmlformats.org/officeDocument/2006/relationships/hyperlink" Target="http://amazon.in" TargetMode="External"/><Relationship Id="rId3028" Type="http://schemas.openxmlformats.org/officeDocument/2006/relationships/hyperlink" Target="http://amazon.in" TargetMode="External"/><Relationship Id="rId4359" Type="http://schemas.openxmlformats.org/officeDocument/2006/relationships/hyperlink" Target="http://amazon.in" TargetMode="External"/><Relationship Id="rId4350" Type="http://schemas.openxmlformats.org/officeDocument/2006/relationships/hyperlink" Target="http://amazon.in" TargetMode="External"/><Relationship Id="rId3021" Type="http://schemas.openxmlformats.org/officeDocument/2006/relationships/hyperlink" Target="http://amazon.in" TargetMode="External"/><Relationship Id="rId4352" Type="http://schemas.openxmlformats.org/officeDocument/2006/relationships/hyperlink" Target="http://amazon.in" TargetMode="External"/><Relationship Id="rId3020" Type="http://schemas.openxmlformats.org/officeDocument/2006/relationships/hyperlink" Target="http://amazon.in" TargetMode="External"/><Relationship Id="rId4351" Type="http://schemas.openxmlformats.org/officeDocument/2006/relationships/hyperlink" Target="http://amazon.in" TargetMode="External"/><Relationship Id="rId3023" Type="http://schemas.openxmlformats.org/officeDocument/2006/relationships/hyperlink" Target="http://amazon.in" TargetMode="External"/><Relationship Id="rId4354" Type="http://schemas.openxmlformats.org/officeDocument/2006/relationships/hyperlink" Target="http://amazon.in" TargetMode="External"/><Relationship Id="rId3022" Type="http://schemas.openxmlformats.org/officeDocument/2006/relationships/hyperlink" Target="http://amazon.in" TargetMode="External"/><Relationship Id="rId4353" Type="http://schemas.openxmlformats.org/officeDocument/2006/relationships/hyperlink" Target="http://amazon.in" TargetMode="External"/><Relationship Id="rId3025" Type="http://schemas.openxmlformats.org/officeDocument/2006/relationships/hyperlink" Target="http://amazon.in" TargetMode="External"/><Relationship Id="rId4356" Type="http://schemas.openxmlformats.org/officeDocument/2006/relationships/hyperlink" Target="http://amazon.in" TargetMode="External"/><Relationship Id="rId3024" Type="http://schemas.openxmlformats.org/officeDocument/2006/relationships/hyperlink" Target="http://amazon.in" TargetMode="External"/><Relationship Id="rId4355" Type="http://schemas.openxmlformats.org/officeDocument/2006/relationships/hyperlink" Target="http://amazon.in" TargetMode="External"/><Relationship Id="rId3027" Type="http://schemas.openxmlformats.org/officeDocument/2006/relationships/hyperlink" Target="http://amazon.in" TargetMode="External"/><Relationship Id="rId4358" Type="http://schemas.openxmlformats.org/officeDocument/2006/relationships/hyperlink" Target="http://amazon.in" TargetMode="External"/><Relationship Id="rId3026" Type="http://schemas.openxmlformats.org/officeDocument/2006/relationships/hyperlink" Target="http://amazon.in" TargetMode="External"/><Relationship Id="rId4357" Type="http://schemas.openxmlformats.org/officeDocument/2006/relationships/hyperlink" Target="http://amazon.in" TargetMode="External"/><Relationship Id="rId3050" Type="http://schemas.openxmlformats.org/officeDocument/2006/relationships/hyperlink" Target="http://amazon.in" TargetMode="External"/><Relationship Id="rId4381" Type="http://schemas.openxmlformats.org/officeDocument/2006/relationships/hyperlink" Target="http://amazon.in" TargetMode="External"/><Relationship Id="rId4380" Type="http://schemas.openxmlformats.org/officeDocument/2006/relationships/hyperlink" Target="http://amazon.in" TargetMode="External"/><Relationship Id="rId3052" Type="http://schemas.openxmlformats.org/officeDocument/2006/relationships/hyperlink" Target="http://amazon.in" TargetMode="External"/><Relationship Id="rId4383" Type="http://schemas.openxmlformats.org/officeDocument/2006/relationships/hyperlink" Target="http://amazon.in" TargetMode="External"/><Relationship Id="rId3051" Type="http://schemas.openxmlformats.org/officeDocument/2006/relationships/hyperlink" Target="http://amazon.in" TargetMode="External"/><Relationship Id="rId4382" Type="http://schemas.openxmlformats.org/officeDocument/2006/relationships/hyperlink" Target="http://amazon.in" TargetMode="External"/><Relationship Id="rId3054" Type="http://schemas.openxmlformats.org/officeDocument/2006/relationships/hyperlink" Target="http://amazon.in" TargetMode="External"/><Relationship Id="rId4385" Type="http://schemas.openxmlformats.org/officeDocument/2006/relationships/hyperlink" Target="http://amazon.in" TargetMode="External"/><Relationship Id="rId3053" Type="http://schemas.openxmlformats.org/officeDocument/2006/relationships/hyperlink" Target="http://amazon.in" TargetMode="External"/><Relationship Id="rId4384" Type="http://schemas.openxmlformats.org/officeDocument/2006/relationships/hyperlink" Target="http://amazon.in" TargetMode="External"/><Relationship Id="rId3056" Type="http://schemas.openxmlformats.org/officeDocument/2006/relationships/hyperlink" Target="http://amazon.in" TargetMode="External"/><Relationship Id="rId4387" Type="http://schemas.openxmlformats.org/officeDocument/2006/relationships/hyperlink" Target="http://amazon.in" TargetMode="External"/><Relationship Id="rId3055" Type="http://schemas.openxmlformats.org/officeDocument/2006/relationships/hyperlink" Target="http://amazon.in" TargetMode="External"/><Relationship Id="rId4386" Type="http://schemas.openxmlformats.org/officeDocument/2006/relationships/hyperlink" Target="http://amazon.in" TargetMode="External"/><Relationship Id="rId3058" Type="http://schemas.openxmlformats.org/officeDocument/2006/relationships/hyperlink" Target="http://amazon.in" TargetMode="External"/><Relationship Id="rId4389" Type="http://schemas.openxmlformats.org/officeDocument/2006/relationships/hyperlink" Target="http://amazon.in" TargetMode="External"/><Relationship Id="rId3057" Type="http://schemas.openxmlformats.org/officeDocument/2006/relationships/hyperlink" Target="http://amazon.in" TargetMode="External"/><Relationship Id="rId4388" Type="http://schemas.openxmlformats.org/officeDocument/2006/relationships/hyperlink" Target="http://amazon.in" TargetMode="External"/><Relationship Id="rId3059" Type="http://schemas.openxmlformats.org/officeDocument/2006/relationships/hyperlink" Target="http://amazon.in" TargetMode="External"/><Relationship Id="rId4370" Type="http://schemas.openxmlformats.org/officeDocument/2006/relationships/hyperlink" Target="http://amazon.in" TargetMode="External"/><Relationship Id="rId3041" Type="http://schemas.openxmlformats.org/officeDocument/2006/relationships/hyperlink" Target="http://amazon.in" TargetMode="External"/><Relationship Id="rId4372" Type="http://schemas.openxmlformats.org/officeDocument/2006/relationships/hyperlink" Target="http://amazon.in" TargetMode="External"/><Relationship Id="rId3040" Type="http://schemas.openxmlformats.org/officeDocument/2006/relationships/hyperlink" Target="http://amazon.in" TargetMode="External"/><Relationship Id="rId4371" Type="http://schemas.openxmlformats.org/officeDocument/2006/relationships/hyperlink" Target="http://amazon.in" TargetMode="External"/><Relationship Id="rId3043" Type="http://schemas.openxmlformats.org/officeDocument/2006/relationships/hyperlink" Target="http://amazon.in" TargetMode="External"/><Relationship Id="rId4374" Type="http://schemas.openxmlformats.org/officeDocument/2006/relationships/hyperlink" Target="http://amazon.in" TargetMode="External"/><Relationship Id="rId3042" Type="http://schemas.openxmlformats.org/officeDocument/2006/relationships/hyperlink" Target="http://amazon.in" TargetMode="External"/><Relationship Id="rId4373" Type="http://schemas.openxmlformats.org/officeDocument/2006/relationships/hyperlink" Target="http://amazon.in" TargetMode="External"/><Relationship Id="rId3045" Type="http://schemas.openxmlformats.org/officeDocument/2006/relationships/hyperlink" Target="http://amazon.in" TargetMode="External"/><Relationship Id="rId4376" Type="http://schemas.openxmlformats.org/officeDocument/2006/relationships/hyperlink" Target="http://amazon.in" TargetMode="External"/><Relationship Id="rId3044" Type="http://schemas.openxmlformats.org/officeDocument/2006/relationships/hyperlink" Target="http://amazon.in" TargetMode="External"/><Relationship Id="rId4375" Type="http://schemas.openxmlformats.org/officeDocument/2006/relationships/hyperlink" Target="http://amazon.in" TargetMode="External"/><Relationship Id="rId3047" Type="http://schemas.openxmlformats.org/officeDocument/2006/relationships/hyperlink" Target="http://amazon.in" TargetMode="External"/><Relationship Id="rId4378" Type="http://schemas.openxmlformats.org/officeDocument/2006/relationships/hyperlink" Target="http://amazon.in" TargetMode="External"/><Relationship Id="rId3046" Type="http://schemas.openxmlformats.org/officeDocument/2006/relationships/hyperlink" Target="http://amazon.in" TargetMode="External"/><Relationship Id="rId4377" Type="http://schemas.openxmlformats.org/officeDocument/2006/relationships/hyperlink" Target="http://amazon.in" TargetMode="External"/><Relationship Id="rId3049" Type="http://schemas.openxmlformats.org/officeDocument/2006/relationships/hyperlink" Target="http://amazon.in" TargetMode="External"/><Relationship Id="rId3048" Type="http://schemas.openxmlformats.org/officeDocument/2006/relationships/hyperlink" Target="http://amazon.in" TargetMode="External"/><Relationship Id="rId4379" Type="http://schemas.openxmlformats.org/officeDocument/2006/relationships/hyperlink" Target="http://amazon.in" TargetMode="External"/><Relationship Id="rId3911" Type="http://schemas.openxmlformats.org/officeDocument/2006/relationships/hyperlink" Target="http://amazon.in" TargetMode="External"/><Relationship Id="rId3910" Type="http://schemas.openxmlformats.org/officeDocument/2006/relationships/hyperlink" Target="http://amazon.in" TargetMode="External"/><Relationship Id="rId3913" Type="http://schemas.openxmlformats.org/officeDocument/2006/relationships/hyperlink" Target="http://amazon.in" TargetMode="External"/><Relationship Id="rId3912" Type="http://schemas.openxmlformats.org/officeDocument/2006/relationships/hyperlink" Target="http://amazon.in" TargetMode="External"/><Relationship Id="rId3915" Type="http://schemas.openxmlformats.org/officeDocument/2006/relationships/hyperlink" Target="http://amazon.in" TargetMode="External"/><Relationship Id="rId3914" Type="http://schemas.openxmlformats.org/officeDocument/2006/relationships/hyperlink" Target="http://amazon.in" TargetMode="External"/><Relationship Id="rId3917" Type="http://schemas.openxmlformats.org/officeDocument/2006/relationships/hyperlink" Target="http://amazon.in" TargetMode="External"/><Relationship Id="rId3916" Type="http://schemas.openxmlformats.org/officeDocument/2006/relationships/hyperlink" Target="http://amazon.in" TargetMode="External"/><Relationship Id="rId3919" Type="http://schemas.openxmlformats.org/officeDocument/2006/relationships/hyperlink" Target="http://amazon.in" TargetMode="External"/><Relationship Id="rId3918" Type="http://schemas.openxmlformats.org/officeDocument/2006/relationships/hyperlink" Target="http://amazon.in" TargetMode="External"/><Relationship Id="rId3900" Type="http://schemas.openxmlformats.org/officeDocument/2006/relationships/hyperlink" Target="http://amazon.in" TargetMode="External"/><Relationship Id="rId3902" Type="http://schemas.openxmlformats.org/officeDocument/2006/relationships/hyperlink" Target="http://amazon.in" TargetMode="External"/><Relationship Id="rId3901" Type="http://schemas.openxmlformats.org/officeDocument/2006/relationships/hyperlink" Target="http://amazon.in" TargetMode="External"/><Relationship Id="rId3904" Type="http://schemas.openxmlformats.org/officeDocument/2006/relationships/hyperlink" Target="http://amazon.in" TargetMode="External"/><Relationship Id="rId3903" Type="http://schemas.openxmlformats.org/officeDocument/2006/relationships/hyperlink" Target="http://amazon.in" TargetMode="External"/><Relationship Id="rId3906" Type="http://schemas.openxmlformats.org/officeDocument/2006/relationships/hyperlink" Target="http://amazon.in" TargetMode="External"/><Relationship Id="rId3905" Type="http://schemas.openxmlformats.org/officeDocument/2006/relationships/hyperlink" Target="http://amazon.in" TargetMode="External"/><Relationship Id="rId3908" Type="http://schemas.openxmlformats.org/officeDocument/2006/relationships/hyperlink" Target="http://amazon.in" TargetMode="External"/><Relationship Id="rId3907" Type="http://schemas.openxmlformats.org/officeDocument/2006/relationships/hyperlink" Target="http://amazon.in" TargetMode="External"/><Relationship Id="rId3909" Type="http://schemas.openxmlformats.org/officeDocument/2006/relationships/hyperlink" Target="http://amazon.in" TargetMode="External"/><Relationship Id="rId3931" Type="http://schemas.openxmlformats.org/officeDocument/2006/relationships/hyperlink" Target="http://amazon.in" TargetMode="External"/><Relationship Id="rId2600" Type="http://schemas.openxmlformats.org/officeDocument/2006/relationships/hyperlink" Target="http://amazon.in" TargetMode="External"/><Relationship Id="rId3930" Type="http://schemas.openxmlformats.org/officeDocument/2006/relationships/hyperlink" Target="http://amazon.in" TargetMode="External"/><Relationship Id="rId2601" Type="http://schemas.openxmlformats.org/officeDocument/2006/relationships/hyperlink" Target="http://amazon.in" TargetMode="External"/><Relationship Id="rId3933" Type="http://schemas.openxmlformats.org/officeDocument/2006/relationships/hyperlink" Target="http://amazon.in" TargetMode="External"/><Relationship Id="rId2602" Type="http://schemas.openxmlformats.org/officeDocument/2006/relationships/hyperlink" Target="http://amazon.in" TargetMode="External"/><Relationship Id="rId3932" Type="http://schemas.openxmlformats.org/officeDocument/2006/relationships/hyperlink" Target="http://amazon.in" TargetMode="External"/><Relationship Id="rId2603" Type="http://schemas.openxmlformats.org/officeDocument/2006/relationships/hyperlink" Target="http://amazon.in" TargetMode="External"/><Relationship Id="rId3935" Type="http://schemas.openxmlformats.org/officeDocument/2006/relationships/hyperlink" Target="http://amazon.in" TargetMode="External"/><Relationship Id="rId2604" Type="http://schemas.openxmlformats.org/officeDocument/2006/relationships/hyperlink" Target="http://amazon.in" TargetMode="External"/><Relationship Id="rId3934" Type="http://schemas.openxmlformats.org/officeDocument/2006/relationships/hyperlink" Target="http://amazon.in" TargetMode="External"/><Relationship Id="rId2605" Type="http://schemas.openxmlformats.org/officeDocument/2006/relationships/hyperlink" Target="http://amazon.in" TargetMode="External"/><Relationship Id="rId3937" Type="http://schemas.openxmlformats.org/officeDocument/2006/relationships/hyperlink" Target="http://amazon.in" TargetMode="External"/><Relationship Id="rId2606" Type="http://schemas.openxmlformats.org/officeDocument/2006/relationships/hyperlink" Target="http://amazon.in" TargetMode="External"/><Relationship Id="rId3936" Type="http://schemas.openxmlformats.org/officeDocument/2006/relationships/hyperlink" Target="http://amazon.in" TargetMode="External"/><Relationship Id="rId808" Type="http://schemas.openxmlformats.org/officeDocument/2006/relationships/hyperlink" Target="http://amazon.in" TargetMode="External"/><Relationship Id="rId2607" Type="http://schemas.openxmlformats.org/officeDocument/2006/relationships/hyperlink" Target="http://amazon.in" TargetMode="External"/><Relationship Id="rId3939" Type="http://schemas.openxmlformats.org/officeDocument/2006/relationships/hyperlink" Target="http://amazon.in" TargetMode="External"/><Relationship Id="rId807" Type="http://schemas.openxmlformats.org/officeDocument/2006/relationships/hyperlink" Target="http://amazon.in" TargetMode="External"/><Relationship Id="rId2608" Type="http://schemas.openxmlformats.org/officeDocument/2006/relationships/hyperlink" Target="http://amazon.in" TargetMode="External"/><Relationship Id="rId3938" Type="http://schemas.openxmlformats.org/officeDocument/2006/relationships/hyperlink" Target="http://amazon.in" TargetMode="External"/><Relationship Id="rId806" Type="http://schemas.openxmlformats.org/officeDocument/2006/relationships/hyperlink" Target="http://amazon.in" TargetMode="External"/><Relationship Id="rId2609" Type="http://schemas.openxmlformats.org/officeDocument/2006/relationships/hyperlink" Target="http://amazon.in" TargetMode="External"/><Relationship Id="rId805" Type="http://schemas.openxmlformats.org/officeDocument/2006/relationships/hyperlink" Target="http://amazon.in" TargetMode="External"/><Relationship Id="rId809" Type="http://schemas.openxmlformats.org/officeDocument/2006/relationships/hyperlink" Target="http://amazon.in" TargetMode="External"/><Relationship Id="rId800" Type="http://schemas.openxmlformats.org/officeDocument/2006/relationships/hyperlink" Target="http://amazon.in" TargetMode="External"/><Relationship Id="rId804" Type="http://schemas.openxmlformats.org/officeDocument/2006/relationships/hyperlink" Target="http://amazon.in" TargetMode="External"/><Relationship Id="rId803" Type="http://schemas.openxmlformats.org/officeDocument/2006/relationships/hyperlink" Target="http://amazon.in" TargetMode="External"/><Relationship Id="rId802" Type="http://schemas.openxmlformats.org/officeDocument/2006/relationships/hyperlink" Target="http://amazon.in" TargetMode="External"/><Relationship Id="rId801" Type="http://schemas.openxmlformats.org/officeDocument/2006/relationships/hyperlink" Target="http://amazon.in" TargetMode="External"/><Relationship Id="rId3920" Type="http://schemas.openxmlformats.org/officeDocument/2006/relationships/hyperlink" Target="http://amazon.in" TargetMode="External"/><Relationship Id="rId3922" Type="http://schemas.openxmlformats.org/officeDocument/2006/relationships/hyperlink" Target="http://amazon.in" TargetMode="External"/><Relationship Id="rId3921" Type="http://schemas.openxmlformats.org/officeDocument/2006/relationships/hyperlink" Target="http://amazon.in" TargetMode="External"/><Relationship Id="rId3924" Type="http://schemas.openxmlformats.org/officeDocument/2006/relationships/hyperlink" Target="http://amazon.in" TargetMode="External"/><Relationship Id="rId3923" Type="http://schemas.openxmlformats.org/officeDocument/2006/relationships/hyperlink" Target="http://amazon.in" TargetMode="External"/><Relationship Id="rId3926" Type="http://schemas.openxmlformats.org/officeDocument/2006/relationships/hyperlink" Target="http://amazon.in" TargetMode="External"/><Relationship Id="rId3925" Type="http://schemas.openxmlformats.org/officeDocument/2006/relationships/hyperlink" Target="http://amazon.in" TargetMode="External"/><Relationship Id="rId3928" Type="http://schemas.openxmlformats.org/officeDocument/2006/relationships/hyperlink" Target="http://amazon.in" TargetMode="External"/><Relationship Id="rId3927" Type="http://schemas.openxmlformats.org/officeDocument/2006/relationships/hyperlink" Target="http://amazon.in" TargetMode="External"/><Relationship Id="rId3929" Type="http://schemas.openxmlformats.org/officeDocument/2006/relationships/hyperlink" Target="http://amazon.in" TargetMode="External"/><Relationship Id="rId1334" Type="http://schemas.openxmlformats.org/officeDocument/2006/relationships/hyperlink" Target="http://amazon.in" TargetMode="External"/><Relationship Id="rId2665" Type="http://schemas.openxmlformats.org/officeDocument/2006/relationships/hyperlink" Target="http://amazon.in" TargetMode="External"/><Relationship Id="rId3997" Type="http://schemas.openxmlformats.org/officeDocument/2006/relationships/hyperlink" Target="http://amazon.in" TargetMode="External"/><Relationship Id="rId1335" Type="http://schemas.openxmlformats.org/officeDocument/2006/relationships/hyperlink" Target="http://amazon.in" TargetMode="External"/><Relationship Id="rId2666" Type="http://schemas.openxmlformats.org/officeDocument/2006/relationships/hyperlink" Target="http://amazon.in" TargetMode="External"/><Relationship Id="rId3996" Type="http://schemas.openxmlformats.org/officeDocument/2006/relationships/hyperlink" Target="http://amazon.in" TargetMode="External"/><Relationship Id="rId1336" Type="http://schemas.openxmlformats.org/officeDocument/2006/relationships/hyperlink" Target="http://amazon.in" TargetMode="External"/><Relationship Id="rId2667" Type="http://schemas.openxmlformats.org/officeDocument/2006/relationships/hyperlink" Target="http://amazon.in" TargetMode="External"/><Relationship Id="rId3999" Type="http://schemas.openxmlformats.org/officeDocument/2006/relationships/hyperlink" Target="http://amazon.in" TargetMode="External"/><Relationship Id="rId1337" Type="http://schemas.openxmlformats.org/officeDocument/2006/relationships/hyperlink" Target="http://amazon.in" TargetMode="External"/><Relationship Id="rId2668" Type="http://schemas.openxmlformats.org/officeDocument/2006/relationships/hyperlink" Target="http://amazon.in" TargetMode="External"/><Relationship Id="rId3998" Type="http://schemas.openxmlformats.org/officeDocument/2006/relationships/hyperlink" Target="http://amazon.in" TargetMode="External"/><Relationship Id="rId1338" Type="http://schemas.openxmlformats.org/officeDocument/2006/relationships/hyperlink" Target="http://amazon.in" TargetMode="External"/><Relationship Id="rId2669" Type="http://schemas.openxmlformats.org/officeDocument/2006/relationships/hyperlink" Target="http://amazon.in" TargetMode="External"/><Relationship Id="rId1339" Type="http://schemas.openxmlformats.org/officeDocument/2006/relationships/hyperlink" Target="http://amazon.in" TargetMode="External"/><Relationship Id="rId745" Type="http://schemas.openxmlformats.org/officeDocument/2006/relationships/hyperlink" Target="http://amazon.in" TargetMode="External"/><Relationship Id="rId744" Type="http://schemas.openxmlformats.org/officeDocument/2006/relationships/hyperlink" Target="http://amazon.in" TargetMode="External"/><Relationship Id="rId743" Type="http://schemas.openxmlformats.org/officeDocument/2006/relationships/hyperlink" Target="http://amazon.in" TargetMode="External"/><Relationship Id="rId742" Type="http://schemas.openxmlformats.org/officeDocument/2006/relationships/hyperlink" Target="http://amazon.in" TargetMode="External"/><Relationship Id="rId749" Type="http://schemas.openxmlformats.org/officeDocument/2006/relationships/hyperlink" Target="http://amazon.in" TargetMode="External"/><Relationship Id="rId748" Type="http://schemas.openxmlformats.org/officeDocument/2006/relationships/hyperlink" Target="http://amazon.in" TargetMode="External"/><Relationship Id="rId747" Type="http://schemas.openxmlformats.org/officeDocument/2006/relationships/hyperlink" Target="http://amazon.in" TargetMode="External"/><Relationship Id="rId746" Type="http://schemas.openxmlformats.org/officeDocument/2006/relationships/hyperlink" Target="http://amazon.in" TargetMode="External"/><Relationship Id="rId3991" Type="http://schemas.openxmlformats.org/officeDocument/2006/relationships/hyperlink" Target="http://amazon.in" TargetMode="External"/><Relationship Id="rId2660" Type="http://schemas.openxmlformats.org/officeDocument/2006/relationships/hyperlink" Target="http://amazon.in" TargetMode="External"/><Relationship Id="rId3990" Type="http://schemas.openxmlformats.org/officeDocument/2006/relationships/hyperlink" Target="http://amazon.in" TargetMode="External"/><Relationship Id="rId741" Type="http://schemas.openxmlformats.org/officeDocument/2006/relationships/hyperlink" Target="http://amazon.in" TargetMode="External"/><Relationship Id="rId1330" Type="http://schemas.openxmlformats.org/officeDocument/2006/relationships/hyperlink" Target="http://amazon.in" TargetMode="External"/><Relationship Id="rId2661" Type="http://schemas.openxmlformats.org/officeDocument/2006/relationships/hyperlink" Target="http://amazon.in" TargetMode="External"/><Relationship Id="rId3993" Type="http://schemas.openxmlformats.org/officeDocument/2006/relationships/hyperlink" Target="http://amazon.in" TargetMode="External"/><Relationship Id="rId740" Type="http://schemas.openxmlformats.org/officeDocument/2006/relationships/hyperlink" Target="http://amazon.in" TargetMode="External"/><Relationship Id="rId1331" Type="http://schemas.openxmlformats.org/officeDocument/2006/relationships/hyperlink" Target="http://amazon.in" TargetMode="External"/><Relationship Id="rId2662" Type="http://schemas.openxmlformats.org/officeDocument/2006/relationships/hyperlink" Target="http://amazon.in" TargetMode="External"/><Relationship Id="rId3992" Type="http://schemas.openxmlformats.org/officeDocument/2006/relationships/hyperlink" Target="http://amazon.in" TargetMode="External"/><Relationship Id="rId1332" Type="http://schemas.openxmlformats.org/officeDocument/2006/relationships/hyperlink" Target="http://amazon.in" TargetMode="External"/><Relationship Id="rId2663" Type="http://schemas.openxmlformats.org/officeDocument/2006/relationships/hyperlink" Target="http://amazon.in" TargetMode="External"/><Relationship Id="rId3995" Type="http://schemas.openxmlformats.org/officeDocument/2006/relationships/hyperlink" Target="http://amazon.in" TargetMode="External"/><Relationship Id="rId1333" Type="http://schemas.openxmlformats.org/officeDocument/2006/relationships/hyperlink" Target="http://amazon.in" TargetMode="External"/><Relationship Id="rId2664" Type="http://schemas.openxmlformats.org/officeDocument/2006/relationships/hyperlink" Target="http://amazon.in" TargetMode="External"/><Relationship Id="rId3994" Type="http://schemas.openxmlformats.org/officeDocument/2006/relationships/hyperlink" Target="http://amazon.in" TargetMode="External"/><Relationship Id="rId1323" Type="http://schemas.openxmlformats.org/officeDocument/2006/relationships/hyperlink" Target="http://amazon.in" TargetMode="External"/><Relationship Id="rId2654" Type="http://schemas.openxmlformats.org/officeDocument/2006/relationships/hyperlink" Target="http://amazon.in" TargetMode="External"/><Relationship Id="rId3986" Type="http://schemas.openxmlformats.org/officeDocument/2006/relationships/hyperlink" Target="http://amazon.in" TargetMode="External"/><Relationship Id="rId1324" Type="http://schemas.openxmlformats.org/officeDocument/2006/relationships/hyperlink" Target="http://amazon.in" TargetMode="External"/><Relationship Id="rId2655" Type="http://schemas.openxmlformats.org/officeDocument/2006/relationships/hyperlink" Target="http://amazon.in" TargetMode="External"/><Relationship Id="rId3985" Type="http://schemas.openxmlformats.org/officeDocument/2006/relationships/hyperlink" Target="http://amazon.in" TargetMode="External"/><Relationship Id="rId1325" Type="http://schemas.openxmlformats.org/officeDocument/2006/relationships/hyperlink" Target="http://amazon.in" TargetMode="External"/><Relationship Id="rId2656" Type="http://schemas.openxmlformats.org/officeDocument/2006/relationships/hyperlink" Target="http://amazon.in" TargetMode="External"/><Relationship Id="rId3988" Type="http://schemas.openxmlformats.org/officeDocument/2006/relationships/hyperlink" Target="http://amazon.in" TargetMode="External"/><Relationship Id="rId1326" Type="http://schemas.openxmlformats.org/officeDocument/2006/relationships/hyperlink" Target="http://amazon.in" TargetMode="External"/><Relationship Id="rId2657" Type="http://schemas.openxmlformats.org/officeDocument/2006/relationships/hyperlink" Target="http://amazon.in" TargetMode="External"/><Relationship Id="rId3987" Type="http://schemas.openxmlformats.org/officeDocument/2006/relationships/hyperlink" Target="http://amazon.in" TargetMode="External"/><Relationship Id="rId1327" Type="http://schemas.openxmlformats.org/officeDocument/2006/relationships/hyperlink" Target="http://amazon.in" TargetMode="External"/><Relationship Id="rId2658" Type="http://schemas.openxmlformats.org/officeDocument/2006/relationships/hyperlink" Target="http://amazon.in" TargetMode="External"/><Relationship Id="rId1328" Type="http://schemas.openxmlformats.org/officeDocument/2006/relationships/hyperlink" Target="http://amazon.in" TargetMode="External"/><Relationship Id="rId2659" Type="http://schemas.openxmlformats.org/officeDocument/2006/relationships/hyperlink" Target="http://amazon.in" TargetMode="External"/><Relationship Id="rId3989" Type="http://schemas.openxmlformats.org/officeDocument/2006/relationships/hyperlink" Target="http://amazon.in" TargetMode="External"/><Relationship Id="rId1329" Type="http://schemas.openxmlformats.org/officeDocument/2006/relationships/hyperlink" Target="http://amazon.in" TargetMode="External"/><Relationship Id="rId739" Type="http://schemas.openxmlformats.org/officeDocument/2006/relationships/hyperlink" Target="http://amazon.in" TargetMode="External"/><Relationship Id="rId734" Type="http://schemas.openxmlformats.org/officeDocument/2006/relationships/hyperlink" Target="http://amazon.in" TargetMode="External"/><Relationship Id="rId733" Type="http://schemas.openxmlformats.org/officeDocument/2006/relationships/hyperlink" Target="http://amazon.in" TargetMode="External"/><Relationship Id="rId732" Type="http://schemas.openxmlformats.org/officeDocument/2006/relationships/hyperlink" Target="http://amazon.in" TargetMode="External"/><Relationship Id="rId731" Type="http://schemas.openxmlformats.org/officeDocument/2006/relationships/hyperlink" Target="http://amazon.in" TargetMode="External"/><Relationship Id="rId738" Type="http://schemas.openxmlformats.org/officeDocument/2006/relationships/hyperlink" Target="http://amazon.in" TargetMode="External"/><Relationship Id="rId737" Type="http://schemas.openxmlformats.org/officeDocument/2006/relationships/hyperlink" Target="http://amazon.in" TargetMode="External"/><Relationship Id="rId736" Type="http://schemas.openxmlformats.org/officeDocument/2006/relationships/hyperlink" Target="http://amazon.in" TargetMode="External"/><Relationship Id="rId735" Type="http://schemas.openxmlformats.org/officeDocument/2006/relationships/hyperlink" Target="http://amazon.in" TargetMode="External"/><Relationship Id="rId3980" Type="http://schemas.openxmlformats.org/officeDocument/2006/relationships/hyperlink" Target="http://amazon.in" TargetMode="External"/><Relationship Id="rId730" Type="http://schemas.openxmlformats.org/officeDocument/2006/relationships/hyperlink" Target="http://amazon.in" TargetMode="External"/><Relationship Id="rId2650" Type="http://schemas.openxmlformats.org/officeDocument/2006/relationships/hyperlink" Target="http://amazon.in" TargetMode="External"/><Relationship Id="rId3982" Type="http://schemas.openxmlformats.org/officeDocument/2006/relationships/hyperlink" Target="http://amazon.in" TargetMode="External"/><Relationship Id="rId1320" Type="http://schemas.openxmlformats.org/officeDocument/2006/relationships/hyperlink" Target="http://amazon.in" TargetMode="External"/><Relationship Id="rId2651" Type="http://schemas.openxmlformats.org/officeDocument/2006/relationships/hyperlink" Target="http://amazon.in" TargetMode="External"/><Relationship Id="rId3981" Type="http://schemas.openxmlformats.org/officeDocument/2006/relationships/hyperlink" Target="http://amazon.in" TargetMode="External"/><Relationship Id="rId1321" Type="http://schemas.openxmlformats.org/officeDocument/2006/relationships/hyperlink" Target="http://amazon.in" TargetMode="External"/><Relationship Id="rId2652" Type="http://schemas.openxmlformats.org/officeDocument/2006/relationships/hyperlink" Target="http://amazon.in" TargetMode="External"/><Relationship Id="rId3984" Type="http://schemas.openxmlformats.org/officeDocument/2006/relationships/hyperlink" Target="http://amazon.in" TargetMode="External"/><Relationship Id="rId1322" Type="http://schemas.openxmlformats.org/officeDocument/2006/relationships/hyperlink" Target="http://amazon.in" TargetMode="External"/><Relationship Id="rId2653" Type="http://schemas.openxmlformats.org/officeDocument/2006/relationships/hyperlink" Target="http://amazon.in" TargetMode="External"/><Relationship Id="rId3983" Type="http://schemas.openxmlformats.org/officeDocument/2006/relationships/hyperlink" Target="http://amazon.in" TargetMode="External"/><Relationship Id="rId1356" Type="http://schemas.openxmlformats.org/officeDocument/2006/relationships/hyperlink" Target="http://amazon.in" TargetMode="External"/><Relationship Id="rId2687" Type="http://schemas.openxmlformats.org/officeDocument/2006/relationships/hyperlink" Target="http://amazon.in" TargetMode="External"/><Relationship Id="rId1357" Type="http://schemas.openxmlformats.org/officeDocument/2006/relationships/hyperlink" Target="http://amazon.in" TargetMode="External"/><Relationship Id="rId2688" Type="http://schemas.openxmlformats.org/officeDocument/2006/relationships/hyperlink" Target="http://amazon.in" TargetMode="External"/><Relationship Id="rId1358" Type="http://schemas.openxmlformats.org/officeDocument/2006/relationships/hyperlink" Target="http://amazon.in" TargetMode="External"/><Relationship Id="rId2689" Type="http://schemas.openxmlformats.org/officeDocument/2006/relationships/hyperlink" Target="http://amazon.in" TargetMode="External"/><Relationship Id="rId1359" Type="http://schemas.openxmlformats.org/officeDocument/2006/relationships/hyperlink" Target="http://amazon.in" TargetMode="External"/><Relationship Id="rId767" Type="http://schemas.openxmlformats.org/officeDocument/2006/relationships/hyperlink" Target="http://amazon.in" TargetMode="External"/><Relationship Id="rId766" Type="http://schemas.openxmlformats.org/officeDocument/2006/relationships/hyperlink" Target="http://amazon.in" TargetMode="External"/><Relationship Id="rId765" Type="http://schemas.openxmlformats.org/officeDocument/2006/relationships/hyperlink" Target="http://amazon.in" TargetMode="External"/><Relationship Id="rId764" Type="http://schemas.openxmlformats.org/officeDocument/2006/relationships/hyperlink" Target="http://amazon.in" TargetMode="External"/><Relationship Id="rId769" Type="http://schemas.openxmlformats.org/officeDocument/2006/relationships/hyperlink" Target="http://amazon.in" TargetMode="External"/><Relationship Id="rId768" Type="http://schemas.openxmlformats.org/officeDocument/2006/relationships/hyperlink" Target="http://amazon.in" TargetMode="External"/><Relationship Id="rId2680" Type="http://schemas.openxmlformats.org/officeDocument/2006/relationships/hyperlink" Target="http://amazon.in" TargetMode="External"/><Relationship Id="rId1350" Type="http://schemas.openxmlformats.org/officeDocument/2006/relationships/hyperlink" Target="http://amazon.in" TargetMode="External"/><Relationship Id="rId2681" Type="http://schemas.openxmlformats.org/officeDocument/2006/relationships/hyperlink" Target="http://amazon.in" TargetMode="External"/><Relationship Id="rId1351" Type="http://schemas.openxmlformats.org/officeDocument/2006/relationships/hyperlink" Target="http://amazon.in" TargetMode="External"/><Relationship Id="rId2682" Type="http://schemas.openxmlformats.org/officeDocument/2006/relationships/hyperlink" Target="http://amazon.in" TargetMode="External"/><Relationship Id="rId763" Type="http://schemas.openxmlformats.org/officeDocument/2006/relationships/hyperlink" Target="http://amazon.in" TargetMode="External"/><Relationship Id="rId1352" Type="http://schemas.openxmlformats.org/officeDocument/2006/relationships/hyperlink" Target="http://amazon.in" TargetMode="External"/><Relationship Id="rId2683" Type="http://schemas.openxmlformats.org/officeDocument/2006/relationships/hyperlink" Target="http://amazon.in" TargetMode="External"/><Relationship Id="rId762" Type="http://schemas.openxmlformats.org/officeDocument/2006/relationships/hyperlink" Target="http://amazon.in" TargetMode="External"/><Relationship Id="rId1353" Type="http://schemas.openxmlformats.org/officeDocument/2006/relationships/hyperlink" Target="http://amazon.in" TargetMode="External"/><Relationship Id="rId2684" Type="http://schemas.openxmlformats.org/officeDocument/2006/relationships/hyperlink" Target="http://amazon.in" TargetMode="External"/><Relationship Id="rId761" Type="http://schemas.openxmlformats.org/officeDocument/2006/relationships/hyperlink" Target="http://amazon.in" TargetMode="External"/><Relationship Id="rId1354" Type="http://schemas.openxmlformats.org/officeDocument/2006/relationships/hyperlink" Target="http://amazon.in" TargetMode="External"/><Relationship Id="rId2685" Type="http://schemas.openxmlformats.org/officeDocument/2006/relationships/hyperlink" Target="http://amazon.in" TargetMode="External"/><Relationship Id="rId760" Type="http://schemas.openxmlformats.org/officeDocument/2006/relationships/hyperlink" Target="http://amazon.in" TargetMode="External"/><Relationship Id="rId1355" Type="http://schemas.openxmlformats.org/officeDocument/2006/relationships/hyperlink" Target="http://amazon.in" TargetMode="External"/><Relationship Id="rId2686" Type="http://schemas.openxmlformats.org/officeDocument/2006/relationships/hyperlink" Target="http://amazon.in" TargetMode="External"/><Relationship Id="rId1345" Type="http://schemas.openxmlformats.org/officeDocument/2006/relationships/hyperlink" Target="http://amazon.in" TargetMode="External"/><Relationship Id="rId2676" Type="http://schemas.openxmlformats.org/officeDocument/2006/relationships/hyperlink" Target="http://amazon.in" TargetMode="External"/><Relationship Id="rId1346" Type="http://schemas.openxmlformats.org/officeDocument/2006/relationships/hyperlink" Target="http://amazon.in" TargetMode="External"/><Relationship Id="rId2677" Type="http://schemas.openxmlformats.org/officeDocument/2006/relationships/hyperlink" Target="http://amazon.in" TargetMode="External"/><Relationship Id="rId1347" Type="http://schemas.openxmlformats.org/officeDocument/2006/relationships/hyperlink" Target="http://amazon.in" TargetMode="External"/><Relationship Id="rId2678" Type="http://schemas.openxmlformats.org/officeDocument/2006/relationships/hyperlink" Target="http://amazon.in" TargetMode="External"/><Relationship Id="rId1348" Type="http://schemas.openxmlformats.org/officeDocument/2006/relationships/hyperlink" Target="http://amazon.in" TargetMode="External"/><Relationship Id="rId2679" Type="http://schemas.openxmlformats.org/officeDocument/2006/relationships/hyperlink" Target="http://amazon.in" TargetMode="External"/><Relationship Id="rId1349" Type="http://schemas.openxmlformats.org/officeDocument/2006/relationships/hyperlink" Target="http://amazon.in" TargetMode="External"/><Relationship Id="rId756" Type="http://schemas.openxmlformats.org/officeDocument/2006/relationships/hyperlink" Target="http://amazon.in" TargetMode="External"/><Relationship Id="rId755" Type="http://schemas.openxmlformats.org/officeDocument/2006/relationships/hyperlink" Target="http://amazon.in" TargetMode="External"/><Relationship Id="rId754" Type="http://schemas.openxmlformats.org/officeDocument/2006/relationships/hyperlink" Target="http://amazon.in" TargetMode="External"/><Relationship Id="rId753" Type="http://schemas.openxmlformats.org/officeDocument/2006/relationships/hyperlink" Target="http://amazon.in" TargetMode="External"/><Relationship Id="rId759" Type="http://schemas.openxmlformats.org/officeDocument/2006/relationships/hyperlink" Target="http://amazon.in" TargetMode="External"/><Relationship Id="rId758" Type="http://schemas.openxmlformats.org/officeDocument/2006/relationships/hyperlink" Target="http://amazon.in" TargetMode="External"/><Relationship Id="rId757" Type="http://schemas.openxmlformats.org/officeDocument/2006/relationships/hyperlink" Target="http://amazon.in" TargetMode="External"/><Relationship Id="rId2670" Type="http://schemas.openxmlformats.org/officeDocument/2006/relationships/hyperlink" Target="http://amazon.in" TargetMode="External"/><Relationship Id="rId1340" Type="http://schemas.openxmlformats.org/officeDocument/2006/relationships/hyperlink" Target="http://amazon.in" TargetMode="External"/><Relationship Id="rId2671" Type="http://schemas.openxmlformats.org/officeDocument/2006/relationships/hyperlink" Target="http://amazon.in" TargetMode="External"/><Relationship Id="rId752" Type="http://schemas.openxmlformats.org/officeDocument/2006/relationships/hyperlink" Target="http://amazon.in" TargetMode="External"/><Relationship Id="rId1341" Type="http://schemas.openxmlformats.org/officeDocument/2006/relationships/hyperlink" Target="http://amazon.in" TargetMode="External"/><Relationship Id="rId2672" Type="http://schemas.openxmlformats.org/officeDocument/2006/relationships/hyperlink" Target="http://amazon.in" TargetMode="External"/><Relationship Id="rId751" Type="http://schemas.openxmlformats.org/officeDocument/2006/relationships/hyperlink" Target="http://amazon.in" TargetMode="External"/><Relationship Id="rId1342" Type="http://schemas.openxmlformats.org/officeDocument/2006/relationships/hyperlink" Target="http://amazon.in" TargetMode="External"/><Relationship Id="rId2673" Type="http://schemas.openxmlformats.org/officeDocument/2006/relationships/hyperlink" Target="http://amazon.in" TargetMode="External"/><Relationship Id="rId750" Type="http://schemas.openxmlformats.org/officeDocument/2006/relationships/hyperlink" Target="http://amazon.in" TargetMode="External"/><Relationship Id="rId1343" Type="http://schemas.openxmlformats.org/officeDocument/2006/relationships/hyperlink" Target="http://amazon.in" TargetMode="External"/><Relationship Id="rId2674" Type="http://schemas.openxmlformats.org/officeDocument/2006/relationships/hyperlink" Target="http://amazon.in" TargetMode="External"/><Relationship Id="rId1344" Type="http://schemas.openxmlformats.org/officeDocument/2006/relationships/hyperlink" Target="http://amazon.in" TargetMode="External"/><Relationship Id="rId2675" Type="http://schemas.openxmlformats.org/officeDocument/2006/relationships/hyperlink" Target="http://amazon.in" TargetMode="External"/><Relationship Id="rId2621" Type="http://schemas.openxmlformats.org/officeDocument/2006/relationships/hyperlink" Target="http://amazon.in" TargetMode="External"/><Relationship Id="rId3953" Type="http://schemas.openxmlformats.org/officeDocument/2006/relationships/hyperlink" Target="http://amazon.in" TargetMode="External"/><Relationship Id="rId2622" Type="http://schemas.openxmlformats.org/officeDocument/2006/relationships/hyperlink" Target="http://amazon.in" TargetMode="External"/><Relationship Id="rId3952" Type="http://schemas.openxmlformats.org/officeDocument/2006/relationships/hyperlink" Target="http://amazon.in" TargetMode="External"/><Relationship Id="rId2623" Type="http://schemas.openxmlformats.org/officeDocument/2006/relationships/hyperlink" Target="http://amazon.in" TargetMode="External"/><Relationship Id="rId3955" Type="http://schemas.openxmlformats.org/officeDocument/2006/relationships/hyperlink" Target="http://amazon.in" TargetMode="External"/><Relationship Id="rId2624" Type="http://schemas.openxmlformats.org/officeDocument/2006/relationships/hyperlink" Target="http://amazon.in" TargetMode="External"/><Relationship Id="rId3954" Type="http://schemas.openxmlformats.org/officeDocument/2006/relationships/hyperlink" Target="http://amazon.in" TargetMode="External"/><Relationship Id="rId2625" Type="http://schemas.openxmlformats.org/officeDocument/2006/relationships/hyperlink" Target="http://amazon.in" TargetMode="External"/><Relationship Id="rId3957" Type="http://schemas.openxmlformats.org/officeDocument/2006/relationships/hyperlink" Target="http://amazon.in" TargetMode="External"/><Relationship Id="rId2626" Type="http://schemas.openxmlformats.org/officeDocument/2006/relationships/hyperlink" Target="http://amazon.in" TargetMode="External"/><Relationship Id="rId3956" Type="http://schemas.openxmlformats.org/officeDocument/2006/relationships/hyperlink" Target="http://amazon.in" TargetMode="External"/><Relationship Id="rId2627" Type="http://schemas.openxmlformats.org/officeDocument/2006/relationships/hyperlink" Target="http://amazon.in" TargetMode="External"/><Relationship Id="rId3959" Type="http://schemas.openxmlformats.org/officeDocument/2006/relationships/hyperlink" Target="http://amazon.in" TargetMode="External"/><Relationship Id="rId2628" Type="http://schemas.openxmlformats.org/officeDocument/2006/relationships/hyperlink" Target="http://amazon.in" TargetMode="External"/><Relationship Id="rId3958" Type="http://schemas.openxmlformats.org/officeDocument/2006/relationships/hyperlink" Target="http://amazon.in" TargetMode="External"/><Relationship Id="rId709" Type="http://schemas.openxmlformats.org/officeDocument/2006/relationships/hyperlink" Target="http://amazon.in" TargetMode="External"/><Relationship Id="rId2629" Type="http://schemas.openxmlformats.org/officeDocument/2006/relationships/hyperlink" Target="http://amazon.in" TargetMode="External"/><Relationship Id="rId708" Type="http://schemas.openxmlformats.org/officeDocument/2006/relationships/hyperlink" Target="http://amazon.in" TargetMode="External"/><Relationship Id="rId707" Type="http://schemas.openxmlformats.org/officeDocument/2006/relationships/hyperlink" Target="http://amazon.in" TargetMode="External"/><Relationship Id="rId706" Type="http://schemas.openxmlformats.org/officeDocument/2006/relationships/hyperlink" Target="http://amazon.in" TargetMode="External"/><Relationship Id="rId701" Type="http://schemas.openxmlformats.org/officeDocument/2006/relationships/hyperlink" Target="http://amazon.in" TargetMode="External"/><Relationship Id="rId700" Type="http://schemas.openxmlformats.org/officeDocument/2006/relationships/hyperlink" Target="http://amazon.in" TargetMode="External"/><Relationship Id="rId705" Type="http://schemas.openxmlformats.org/officeDocument/2006/relationships/hyperlink" Target="http://amazon.in" TargetMode="External"/><Relationship Id="rId704" Type="http://schemas.openxmlformats.org/officeDocument/2006/relationships/hyperlink" Target="http://amazon.in" TargetMode="External"/><Relationship Id="rId703" Type="http://schemas.openxmlformats.org/officeDocument/2006/relationships/hyperlink" Target="http://amazon.in" TargetMode="External"/><Relationship Id="rId702" Type="http://schemas.openxmlformats.org/officeDocument/2006/relationships/hyperlink" Target="http://amazon.in" TargetMode="External"/><Relationship Id="rId3951" Type="http://schemas.openxmlformats.org/officeDocument/2006/relationships/hyperlink" Target="http://amazon.in" TargetMode="External"/><Relationship Id="rId2620" Type="http://schemas.openxmlformats.org/officeDocument/2006/relationships/hyperlink" Target="http://amazon.in" TargetMode="External"/><Relationship Id="rId3950" Type="http://schemas.openxmlformats.org/officeDocument/2006/relationships/hyperlink" Target="http://amazon.in" TargetMode="External"/><Relationship Id="rId2610" Type="http://schemas.openxmlformats.org/officeDocument/2006/relationships/hyperlink" Target="http://amazon.in" TargetMode="External"/><Relationship Id="rId3942" Type="http://schemas.openxmlformats.org/officeDocument/2006/relationships/hyperlink" Target="http://amazon.in" TargetMode="External"/><Relationship Id="rId2611" Type="http://schemas.openxmlformats.org/officeDocument/2006/relationships/hyperlink" Target="http://amazon.in" TargetMode="External"/><Relationship Id="rId3941" Type="http://schemas.openxmlformats.org/officeDocument/2006/relationships/hyperlink" Target="http://amazon.in" TargetMode="External"/><Relationship Id="rId2612" Type="http://schemas.openxmlformats.org/officeDocument/2006/relationships/hyperlink" Target="http://amazon.in" TargetMode="External"/><Relationship Id="rId3944" Type="http://schemas.openxmlformats.org/officeDocument/2006/relationships/hyperlink" Target="http://amazon.in" TargetMode="External"/><Relationship Id="rId2613" Type="http://schemas.openxmlformats.org/officeDocument/2006/relationships/hyperlink" Target="http://amazon.in" TargetMode="External"/><Relationship Id="rId3943" Type="http://schemas.openxmlformats.org/officeDocument/2006/relationships/hyperlink" Target="http://amazon.in" TargetMode="External"/><Relationship Id="rId2614" Type="http://schemas.openxmlformats.org/officeDocument/2006/relationships/hyperlink" Target="http://amazon.in" TargetMode="External"/><Relationship Id="rId3946" Type="http://schemas.openxmlformats.org/officeDocument/2006/relationships/hyperlink" Target="http://amazon.in" TargetMode="External"/><Relationship Id="rId2615" Type="http://schemas.openxmlformats.org/officeDocument/2006/relationships/hyperlink" Target="http://amazon.in" TargetMode="External"/><Relationship Id="rId3945" Type="http://schemas.openxmlformats.org/officeDocument/2006/relationships/hyperlink" Target="http://amazon.in" TargetMode="External"/><Relationship Id="rId2616" Type="http://schemas.openxmlformats.org/officeDocument/2006/relationships/hyperlink" Target="http://amazon.in" TargetMode="External"/><Relationship Id="rId3948" Type="http://schemas.openxmlformats.org/officeDocument/2006/relationships/hyperlink" Target="http://amazon.in" TargetMode="External"/><Relationship Id="rId2617" Type="http://schemas.openxmlformats.org/officeDocument/2006/relationships/hyperlink" Target="http://amazon.in" TargetMode="External"/><Relationship Id="rId3947" Type="http://schemas.openxmlformats.org/officeDocument/2006/relationships/hyperlink" Target="http://amazon.in" TargetMode="External"/><Relationship Id="rId2618" Type="http://schemas.openxmlformats.org/officeDocument/2006/relationships/hyperlink" Target="http://amazon.in" TargetMode="External"/><Relationship Id="rId2619" Type="http://schemas.openxmlformats.org/officeDocument/2006/relationships/hyperlink" Target="http://amazon.in" TargetMode="External"/><Relationship Id="rId3949" Type="http://schemas.openxmlformats.org/officeDocument/2006/relationships/hyperlink" Target="http://amazon.in" TargetMode="External"/><Relationship Id="rId3940" Type="http://schemas.openxmlformats.org/officeDocument/2006/relationships/hyperlink" Target="http://amazon.in" TargetMode="External"/><Relationship Id="rId1312" Type="http://schemas.openxmlformats.org/officeDocument/2006/relationships/hyperlink" Target="http://amazon.in" TargetMode="External"/><Relationship Id="rId2643" Type="http://schemas.openxmlformats.org/officeDocument/2006/relationships/hyperlink" Target="http://amazon.in" TargetMode="External"/><Relationship Id="rId3975" Type="http://schemas.openxmlformats.org/officeDocument/2006/relationships/hyperlink" Target="http://amazon.in" TargetMode="External"/><Relationship Id="rId1313" Type="http://schemas.openxmlformats.org/officeDocument/2006/relationships/hyperlink" Target="http://amazon.in" TargetMode="External"/><Relationship Id="rId2644" Type="http://schemas.openxmlformats.org/officeDocument/2006/relationships/hyperlink" Target="http://amazon.in" TargetMode="External"/><Relationship Id="rId3974" Type="http://schemas.openxmlformats.org/officeDocument/2006/relationships/hyperlink" Target="http://amazon.in" TargetMode="External"/><Relationship Id="rId1314" Type="http://schemas.openxmlformats.org/officeDocument/2006/relationships/hyperlink" Target="http://amazon.in" TargetMode="External"/><Relationship Id="rId2645" Type="http://schemas.openxmlformats.org/officeDocument/2006/relationships/hyperlink" Target="http://amazon.in" TargetMode="External"/><Relationship Id="rId3977" Type="http://schemas.openxmlformats.org/officeDocument/2006/relationships/hyperlink" Target="http://amazon.in" TargetMode="External"/><Relationship Id="rId1315" Type="http://schemas.openxmlformats.org/officeDocument/2006/relationships/hyperlink" Target="http://amazon.in" TargetMode="External"/><Relationship Id="rId2646" Type="http://schemas.openxmlformats.org/officeDocument/2006/relationships/hyperlink" Target="http://amazon.in" TargetMode="External"/><Relationship Id="rId3976" Type="http://schemas.openxmlformats.org/officeDocument/2006/relationships/hyperlink" Target="http://amazon.in" TargetMode="External"/><Relationship Id="rId1316" Type="http://schemas.openxmlformats.org/officeDocument/2006/relationships/hyperlink" Target="http://amazon.in" TargetMode="External"/><Relationship Id="rId2647" Type="http://schemas.openxmlformats.org/officeDocument/2006/relationships/hyperlink" Target="http://amazon.in" TargetMode="External"/><Relationship Id="rId3979" Type="http://schemas.openxmlformats.org/officeDocument/2006/relationships/hyperlink" Target="http://amazon.in" TargetMode="External"/><Relationship Id="rId1317" Type="http://schemas.openxmlformats.org/officeDocument/2006/relationships/hyperlink" Target="http://amazon.in" TargetMode="External"/><Relationship Id="rId2648" Type="http://schemas.openxmlformats.org/officeDocument/2006/relationships/hyperlink" Target="http://amazon.in" TargetMode="External"/><Relationship Id="rId3978" Type="http://schemas.openxmlformats.org/officeDocument/2006/relationships/hyperlink" Target="http://amazon.in" TargetMode="External"/><Relationship Id="rId1318" Type="http://schemas.openxmlformats.org/officeDocument/2006/relationships/hyperlink" Target="http://amazon.in" TargetMode="External"/><Relationship Id="rId2649" Type="http://schemas.openxmlformats.org/officeDocument/2006/relationships/hyperlink" Target="http://amazon.in" TargetMode="External"/><Relationship Id="rId1319" Type="http://schemas.openxmlformats.org/officeDocument/2006/relationships/hyperlink" Target="http://amazon.in" TargetMode="External"/><Relationship Id="rId729" Type="http://schemas.openxmlformats.org/officeDocument/2006/relationships/hyperlink" Target="http://amazon.in" TargetMode="External"/><Relationship Id="rId728" Type="http://schemas.openxmlformats.org/officeDocument/2006/relationships/hyperlink" Target="http://amazon.in" TargetMode="External"/><Relationship Id="rId723" Type="http://schemas.openxmlformats.org/officeDocument/2006/relationships/hyperlink" Target="http://amazon.in" TargetMode="External"/><Relationship Id="rId722" Type="http://schemas.openxmlformats.org/officeDocument/2006/relationships/hyperlink" Target="http://amazon.in" TargetMode="External"/><Relationship Id="rId721" Type="http://schemas.openxmlformats.org/officeDocument/2006/relationships/hyperlink" Target="http://amazon.in" TargetMode="External"/><Relationship Id="rId720" Type="http://schemas.openxmlformats.org/officeDocument/2006/relationships/hyperlink" Target="http://amazon.in" TargetMode="External"/><Relationship Id="rId727" Type="http://schemas.openxmlformats.org/officeDocument/2006/relationships/hyperlink" Target="http://amazon.in" TargetMode="External"/><Relationship Id="rId726" Type="http://schemas.openxmlformats.org/officeDocument/2006/relationships/hyperlink" Target="http://amazon.in" TargetMode="External"/><Relationship Id="rId725" Type="http://schemas.openxmlformats.org/officeDocument/2006/relationships/hyperlink" Target="http://amazon.in" TargetMode="External"/><Relationship Id="rId724" Type="http://schemas.openxmlformats.org/officeDocument/2006/relationships/hyperlink" Target="http://amazon.in" TargetMode="External"/><Relationship Id="rId3971" Type="http://schemas.openxmlformats.org/officeDocument/2006/relationships/hyperlink" Target="http://amazon.in" TargetMode="External"/><Relationship Id="rId2640" Type="http://schemas.openxmlformats.org/officeDocument/2006/relationships/hyperlink" Target="http://amazon.in" TargetMode="External"/><Relationship Id="rId3970" Type="http://schemas.openxmlformats.org/officeDocument/2006/relationships/hyperlink" Target="http://amazon.in" TargetMode="External"/><Relationship Id="rId1310" Type="http://schemas.openxmlformats.org/officeDocument/2006/relationships/hyperlink" Target="http://amazon.in" TargetMode="External"/><Relationship Id="rId2641" Type="http://schemas.openxmlformats.org/officeDocument/2006/relationships/hyperlink" Target="http://amazon.in" TargetMode="External"/><Relationship Id="rId3973" Type="http://schemas.openxmlformats.org/officeDocument/2006/relationships/hyperlink" Target="http://amazon.in" TargetMode="External"/><Relationship Id="rId1311" Type="http://schemas.openxmlformats.org/officeDocument/2006/relationships/hyperlink" Target="http://amazon.in" TargetMode="External"/><Relationship Id="rId2642" Type="http://schemas.openxmlformats.org/officeDocument/2006/relationships/hyperlink" Target="http://amazon.in" TargetMode="External"/><Relationship Id="rId3972" Type="http://schemas.openxmlformats.org/officeDocument/2006/relationships/hyperlink" Target="http://amazon.in" TargetMode="External"/><Relationship Id="rId1301" Type="http://schemas.openxmlformats.org/officeDocument/2006/relationships/hyperlink" Target="http://amazon.in" TargetMode="External"/><Relationship Id="rId2632" Type="http://schemas.openxmlformats.org/officeDocument/2006/relationships/hyperlink" Target="http://amazon.in" TargetMode="External"/><Relationship Id="rId3964" Type="http://schemas.openxmlformats.org/officeDocument/2006/relationships/hyperlink" Target="http://amazon.in" TargetMode="External"/><Relationship Id="rId1302" Type="http://schemas.openxmlformats.org/officeDocument/2006/relationships/hyperlink" Target="http://amazon.in" TargetMode="External"/><Relationship Id="rId2633" Type="http://schemas.openxmlformats.org/officeDocument/2006/relationships/hyperlink" Target="http://amazon.in" TargetMode="External"/><Relationship Id="rId3963" Type="http://schemas.openxmlformats.org/officeDocument/2006/relationships/hyperlink" Target="http://amazon.in" TargetMode="External"/><Relationship Id="rId1303" Type="http://schemas.openxmlformats.org/officeDocument/2006/relationships/hyperlink" Target="http://amazon.in" TargetMode="External"/><Relationship Id="rId2634" Type="http://schemas.openxmlformats.org/officeDocument/2006/relationships/hyperlink" Target="http://amazon.in" TargetMode="External"/><Relationship Id="rId3966" Type="http://schemas.openxmlformats.org/officeDocument/2006/relationships/hyperlink" Target="http://amazon.in" TargetMode="External"/><Relationship Id="rId1304" Type="http://schemas.openxmlformats.org/officeDocument/2006/relationships/hyperlink" Target="http://amazon.in" TargetMode="External"/><Relationship Id="rId2635" Type="http://schemas.openxmlformats.org/officeDocument/2006/relationships/hyperlink" Target="http://amazon.in" TargetMode="External"/><Relationship Id="rId3965" Type="http://schemas.openxmlformats.org/officeDocument/2006/relationships/hyperlink" Target="http://amazon.in" TargetMode="External"/><Relationship Id="rId1305" Type="http://schemas.openxmlformats.org/officeDocument/2006/relationships/hyperlink" Target="http://amazon.in" TargetMode="External"/><Relationship Id="rId2636" Type="http://schemas.openxmlformats.org/officeDocument/2006/relationships/hyperlink" Target="http://amazon.in" TargetMode="External"/><Relationship Id="rId3968" Type="http://schemas.openxmlformats.org/officeDocument/2006/relationships/hyperlink" Target="http://amazon.in" TargetMode="External"/><Relationship Id="rId1306" Type="http://schemas.openxmlformats.org/officeDocument/2006/relationships/hyperlink" Target="http://amazon.in" TargetMode="External"/><Relationship Id="rId2637" Type="http://schemas.openxmlformats.org/officeDocument/2006/relationships/hyperlink" Target="http://amazon.in" TargetMode="External"/><Relationship Id="rId3967" Type="http://schemas.openxmlformats.org/officeDocument/2006/relationships/hyperlink" Target="http://amazon.in" TargetMode="External"/><Relationship Id="rId1307" Type="http://schemas.openxmlformats.org/officeDocument/2006/relationships/hyperlink" Target="http://amazon.in" TargetMode="External"/><Relationship Id="rId2638" Type="http://schemas.openxmlformats.org/officeDocument/2006/relationships/hyperlink" Target="http://amazon.in" TargetMode="External"/><Relationship Id="rId1308" Type="http://schemas.openxmlformats.org/officeDocument/2006/relationships/hyperlink" Target="http://amazon.in" TargetMode="External"/><Relationship Id="rId2639" Type="http://schemas.openxmlformats.org/officeDocument/2006/relationships/hyperlink" Target="http://amazon.in" TargetMode="External"/><Relationship Id="rId3969" Type="http://schemas.openxmlformats.org/officeDocument/2006/relationships/hyperlink" Target="http://amazon.in" TargetMode="External"/><Relationship Id="rId1309" Type="http://schemas.openxmlformats.org/officeDocument/2006/relationships/hyperlink" Target="http://amazon.in" TargetMode="External"/><Relationship Id="rId719" Type="http://schemas.openxmlformats.org/officeDocument/2006/relationships/hyperlink" Target="http://amazon.in" TargetMode="External"/><Relationship Id="rId718" Type="http://schemas.openxmlformats.org/officeDocument/2006/relationships/hyperlink" Target="http://amazon.in" TargetMode="External"/><Relationship Id="rId717" Type="http://schemas.openxmlformats.org/officeDocument/2006/relationships/hyperlink" Target="http://amazon.in" TargetMode="External"/><Relationship Id="rId712" Type="http://schemas.openxmlformats.org/officeDocument/2006/relationships/hyperlink" Target="http://amazon.in" TargetMode="External"/><Relationship Id="rId711" Type="http://schemas.openxmlformats.org/officeDocument/2006/relationships/hyperlink" Target="http://amazon.in" TargetMode="External"/><Relationship Id="rId710" Type="http://schemas.openxmlformats.org/officeDocument/2006/relationships/hyperlink" Target="http://amazon.in" TargetMode="External"/><Relationship Id="rId716" Type="http://schemas.openxmlformats.org/officeDocument/2006/relationships/hyperlink" Target="http://amazon.in" TargetMode="External"/><Relationship Id="rId715" Type="http://schemas.openxmlformats.org/officeDocument/2006/relationships/hyperlink" Target="http://amazon.in" TargetMode="External"/><Relationship Id="rId714" Type="http://schemas.openxmlformats.org/officeDocument/2006/relationships/hyperlink" Target="http://amazon.in" TargetMode="External"/><Relationship Id="rId713" Type="http://schemas.openxmlformats.org/officeDocument/2006/relationships/hyperlink" Target="http://amazon.in" TargetMode="External"/><Relationship Id="rId3960" Type="http://schemas.openxmlformats.org/officeDocument/2006/relationships/hyperlink" Target="http://amazon.in" TargetMode="External"/><Relationship Id="rId2630" Type="http://schemas.openxmlformats.org/officeDocument/2006/relationships/hyperlink" Target="http://amazon.in" TargetMode="External"/><Relationship Id="rId3962" Type="http://schemas.openxmlformats.org/officeDocument/2006/relationships/hyperlink" Target="http://amazon.in" TargetMode="External"/><Relationship Id="rId1300" Type="http://schemas.openxmlformats.org/officeDocument/2006/relationships/hyperlink" Target="http://amazon.in" TargetMode="External"/><Relationship Id="rId2631" Type="http://schemas.openxmlformats.org/officeDocument/2006/relationships/hyperlink" Target="http://amazon.in" TargetMode="External"/><Relationship Id="rId3961" Type="http://schemas.openxmlformats.org/officeDocument/2006/relationships/hyperlink" Target="http://amazon.in" TargetMode="External"/><Relationship Id="rId3117" Type="http://schemas.openxmlformats.org/officeDocument/2006/relationships/hyperlink" Target="http://amazon.in" TargetMode="External"/><Relationship Id="rId4448" Type="http://schemas.openxmlformats.org/officeDocument/2006/relationships/hyperlink" Target="http://amazon.in" TargetMode="External"/><Relationship Id="rId3116" Type="http://schemas.openxmlformats.org/officeDocument/2006/relationships/hyperlink" Target="http://amazon.in" TargetMode="External"/><Relationship Id="rId4447" Type="http://schemas.openxmlformats.org/officeDocument/2006/relationships/hyperlink" Target="http://amazon.in" TargetMode="External"/><Relationship Id="rId3119" Type="http://schemas.openxmlformats.org/officeDocument/2006/relationships/hyperlink" Target="http://amazon.in" TargetMode="External"/><Relationship Id="rId3118" Type="http://schemas.openxmlformats.org/officeDocument/2006/relationships/hyperlink" Target="http://amazon.in" TargetMode="External"/><Relationship Id="rId4449" Type="http://schemas.openxmlformats.org/officeDocument/2006/relationships/hyperlink" Target="http://amazon.in" TargetMode="External"/><Relationship Id="rId4440" Type="http://schemas.openxmlformats.org/officeDocument/2006/relationships/hyperlink" Target="http://amazon.in" TargetMode="External"/><Relationship Id="rId3111" Type="http://schemas.openxmlformats.org/officeDocument/2006/relationships/hyperlink" Target="http://amazon.in" TargetMode="External"/><Relationship Id="rId4442" Type="http://schemas.openxmlformats.org/officeDocument/2006/relationships/hyperlink" Target="http://amazon.in" TargetMode="External"/><Relationship Id="rId3110" Type="http://schemas.openxmlformats.org/officeDocument/2006/relationships/hyperlink" Target="http://amazon.in" TargetMode="External"/><Relationship Id="rId4441" Type="http://schemas.openxmlformats.org/officeDocument/2006/relationships/hyperlink" Target="http://amazon.in" TargetMode="External"/><Relationship Id="rId3113" Type="http://schemas.openxmlformats.org/officeDocument/2006/relationships/hyperlink" Target="http://amazon.in" TargetMode="External"/><Relationship Id="rId4444" Type="http://schemas.openxmlformats.org/officeDocument/2006/relationships/hyperlink" Target="http://amazon.in" TargetMode="External"/><Relationship Id="rId3112" Type="http://schemas.openxmlformats.org/officeDocument/2006/relationships/hyperlink" Target="http://amazon.in" TargetMode="External"/><Relationship Id="rId4443" Type="http://schemas.openxmlformats.org/officeDocument/2006/relationships/hyperlink" Target="http://amazon.in" TargetMode="External"/><Relationship Id="rId3115" Type="http://schemas.openxmlformats.org/officeDocument/2006/relationships/hyperlink" Target="http://amazon.in" TargetMode="External"/><Relationship Id="rId4446" Type="http://schemas.openxmlformats.org/officeDocument/2006/relationships/hyperlink" Target="http://amazon.in" TargetMode="External"/><Relationship Id="rId3114" Type="http://schemas.openxmlformats.org/officeDocument/2006/relationships/hyperlink" Target="http://amazon.in" TargetMode="External"/><Relationship Id="rId4445" Type="http://schemas.openxmlformats.org/officeDocument/2006/relationships/hyperlink" Target="http://amazon.in" TargetMode="External"/><Relationship Id="rId3106" Type="http://schemas.openxmlformats.org/officeDocument/2006/relationships/hyperlink" Target="http://amazon.in" TargetMode="External"/><Relationship Id="rId4437" Type="http://schemas.openxmlformats.org/officeDocument/2006/relationships/hyperlink" Target="http://amazon.in" TargetMode="External"/><Relationship Id="rId3105" Type="http://schemas.openxmlformats.org/officeDocument/2006/relationships/hyperlink" Target="http://amazon.in" TargetMode="External"/><Relationship Id="rId4436" Type="http://schemas.openxmlformats.org/officeDocument/2006/relationships/hyperlink" Target="http://amazon.in" TargetMode="External"/><Relationship Id="rId3108" Type="http://schemas.openxmlformats.org/officeDocument/2006/relationships/hyperlink" Target="http://amazon.in" TargetMode="External"/><Relationship Id="rId4439" Type="http://schemas.openxmlformats.org/officeDocument/2006/relationships/hyperlink" Target="http://amazon.in" TargetMode="External"/><Relationship Id="rId3107" Type="http://schemas.openxmlformats.org/officeDocument/2006/relationships/hyperlink" Target="http://amazon.in" TargetMode="External"/><Relationship Id="rId4438" Type="http://schemas.openxmlformats.org/officeDocument/2006/relationships/hyperlink" Target="http://amazon.in" TargetMode="External"/><Relationship Id="rId3109" Type="http://schemas.openxmlformats.org/officeDocument/2006/relationships/hyperlink" Target="http://amazon.in" TargetMode="External"/><Relationship Id="rId3100" Type="http://schemas.openxmlformats.org/officeDocument/2006/relationships/hyperlink" Target="http://amazon.in" TargetMode="External"/><Relationship Id="rId4431" Type="http://schemas.openxmlformats.org/officeDocument/2006/relationships/hyperlink" Target="http://amazon.in" TargetMode="External"/><Relationship Id="rId4430" Type="http://schemas.openxmlformats.org/officeDocument/2006/relationships/hyperlink" Target="http://amazon.in" TargetMode="External"/><Relationship Id="rId3102" Type="http://schemas.openxmlformats.org/officeDocument/2006/relationships/hyperlink" Target="http://amazon.in" TargetMode="External"/><Relationship Id="rId4433" Type="http://schemas.openxmlformats.org/officeDocument/2006/relationships/hyperlink" Target="http://amazon.in" TargetMode="External"/><Relationship Id="rId3101" Type="http://schemas.openxmlformats.org/officeDocument/2006/relationships/hyperlink" Target="http://amazon.in" TargetMode="External"/><Relationship Id="rId4432" Type="http://schemas.openxmlformats.org/officeDocument/2006/relationships/hyperlink" Target="http://amazon.in" TargetMode="External"/><Relationship Id="rId3104" Type="http://schemas.openxmlformats.org/officeDocument/2006/relationships/hyperlink" Target="http://amazon.in" TargetMode="External"/><Relationship Id="rId4435" Type="http://schemas.openxmlformats.org/officeDocument/2006/relationships/hyperlink" Target="http://amazon.in" TargetMode="External"/><Relationship Id="rId3103" Type="http://schemas.openxmlformats.org/officeDocument/2006/relationships/hyperlink" Target="http://amazon.in" TargetMode="External"/><Relationship Id="rId4434" Type="http://schemas.openxmlformats.org/officeDocument/2006/relationships/hyperlink" Target="http://amazon.in" TargetMode="External"/><Relationship Id="rId3139" Type="http://schemas.openxmlformats.org/officeDocument/2006/relationships/hyperlink" Target="http://amazon.in" TargetMode="External"/><Relationship Id="rId3138" Type="http://schemas.openxmlformats.org/officeDocument/2006/relationships/hyperlink" Target="http://amazon.in" TargetMode="External"/><Relationship Id="rId4469" Type="http://schemas.openxmlformats.org/officeDocument/2006/relationships/hyperlink" Target="http://amazon.in" TargetMode="External"/><Relationship Id="rId4460" Type="http://schemas.openxmlformats.org/officeDocument/2006/relationships/hyperlink" Target="http://amazon.in" TargetMode="External"/><Relationship Id="rId3131" Type="http://schemas.openxmlformats.org/officeDocument/2006/relationships/hyperlink" Target="http://amazon.in" TargetMode="External"/><Relationship Id="rId4462" Type="http://schemas.openxmlformats.org/officeDocument/2006/relationships/hyperlink" Target="http://amazon.in" TargetMode="External"/><Relationship Id="rId3130" Type="http://schemas.openxmlformats.org/officeDocument/2006/relationships/hyperlink" Target="http://amazon.in" TargetMode="External"/><Relationship Id="rId4461" Type="http://schemas.openxmlformats.org/officeDocument/2006/relationships/hyperlink" Target="http://amazon.in" TargetMode="External"/><Relationship Id="rId3133" Type="http://schemas.openxmlformats.org/officeDocument/2006/relationships/hyperlink" Target="http://amazon.in" TargetMode="External"/><Relationship Id="rId4464" Type="http://schemas.openxmlformats.org/officeDocument/2006/relationships/hyperlink" Target="http://amazon.in" TargetMode="External"/><Relationship Id="rId3132" Type="http://schemas.openxmlformats.org/officeDocument/2006/relationships/hyperlink" Target="http://amazon.in" TargetMode="External"/><Relationship Id="rId4463" Type="http://schemas.openxmlformats.org/officeDocument/2006/relationships/hyperlink" Target="http://amazon.in" TargetMode="External"/><Relationship Id="rId3135" Type="http://schemas.openxmlformats.org/officeDocument/2006/relationships/hyperlink" Target="http://amazon.in" TargetMode="External"/><Relationship Id="rId4466" Type="http://schemas.openxmlformats.org/officeDocument/2006/relationships/hyperlink" Target="http://amazon.in" TargetMode="External"/><Relationship Id="rId3134" Type="http://schemas.openxmlformats.org/officeDocument/2006/relationships/hyperlink" Target="http://amazon.in" TargetMode="External"/><Relationship Id="rId4465" Type="http://schemas.openxmlformats.org/officeDocument/2006/relationships/hyperlink" Target="http://amazon.in" TargetMode="External"/><Relationship Id="rId3137" Type="http://schemas.openxmlformats.org/officeDocument/2006/relationships/hyperlink" Target="http://amazon.in" TargetMode="External"/><Relationship Id="rId4468" Type="http://schemas.openxmlformats.org/officeDocument/2006/relationships/hyperlink" Target="http://amazon.in" TargetMode="External"/><Relationship Id="rId3136" Type="http://schemas.openxmlformats.org/officeDocument/2006/relationships/hyperlink" Target="http://amazon.in" TargetMode="External"/><Relationship Id="rId4467" Type="http://schemas.openxmlformats.org/officeDocument/2006/relationships/hyperlink" Target="http://amazon.in" TargetMode="External"/><Relationship Id="rId3128" Type="http://schemas.openxmlformats.org/officeDocument/2006/relationships/hyperlink" Target="http://amazon.in" TargetMode="External"/><Relationship Id="rId4459" Type="http://schemas.openxmlformats.org/officeDocument/2006/relationships/hyperlink" Target="http://amazon.in" TargetMode="External"/><Relationship Id="rId3127" Type="http://schemas.openxmlformats.org/officeDocument/2006/relationships/hyperlink" Target="http://amazon.in" TargetMode="External"/><Relationship Id="rId4458" Type="http://schemas.openxmlformats.org/officeDocument/2006/relationships/hyperlink" Target="http://amazon.in" TargetMode="External"/><Relationship Id="rId3129" Type="http://schemas.openxmlformats.org/officeDocument/2006/relationships/hyperlink" Target="http://amazon.in" TargetMode="External"/><Relationship Id="rId3120" Type="http://schemas.openxmlformats.org/officeDocument/2006/relationships/hyperlink" Target="http://amazon.in" TargetMode="External"/><Relationship Id="rId4451" Type="http://schemas.openxmlformats.org/officeDocument/2006/relationships/hyperlink" Target="http://amazon.in" TargetMode="External"/><Relationship Id="rId4450" Type="http://schemas.openxmlformats.org/officeDocument/2006/relationships/hyperlink" Target="http://amazon.in" TargetMode="External"/><Relationship Id="rId3122" Type="http://schemas.openxmlformats.org/officeDocument/2006/relationships/hyperlink" Target="http://amazon.in" TargetMode="External"/><Relationship Id="rId4453" Type="http://schemas.openxmlformats.org/officeDocument/2006/relationships/hyperlink" Target="http://amazon.in" TargetMode="External"/><Relationship Id="rId3121" Type="http://schemas.openxmlformats.org/officeDocument/2006/relationships/hyperlink" Target="http://amazon.in" TargetMode="External"/><Relationship Id="rId4452" Type="http://schemas.openxmlformats.org/officeDocument/2006/relationships/hyperlink" Target="http://amazon.in" TargetMode="External"/><Relationship Id="rId3124" Type="http://schemas.openxmlformats.org/officeDocument/2006/relationships/hyperlink" Target="http://amazon.in" TargetMode="External"/><Relationship Id="rId4455" Type="http://schemas.openxmlformats.org/officeDocument/2006/relationships/hyperlink" Target="http://amazon.in" TargetMode="External"/><Relationship Id="rId3123" Type="http://schemas.openxmlformats.org/officeDocument/2006/relationships/hyperlink" Target="http://amazon.in" TargetMode="External"/><Relationship Id="rId4454" Type="http://schemas.openxmlformats.org/officeDocument/2006/relationships/hyperlink" Target="http://amazon.in" TargetMode="External"/><Relationship Id="rId3126" Type="http://schemas.openxmlformats.org/officeDocument/2006/relationships/hyperlink" Target="http://amazon.in" TargetMode="External"/><Relationship Id="rId4457" Type="http://schemas.openxmlformats.org/officeDocument/2006/relationships/hyperlink" Target="http://amazon.in" TargetMode="External"/><Relationship Id="rId3125" Type="http://schemas.openxmlformats.org/officeDocument/2006/relationships/hyperlink" Target="http://amazon.in" TargetMode="External"/><Relationship Id="rId4456" Type="http://schemas.openxmlformats.org/officeDocument/2006/relationships/hyperlink" Target="http://amazon.in" TargetMode="External"/><Relationship Id="rId1378" Type="http://schemas.openxmlformats.org/officeDocument/2006/relationships/hyperlink" Target="http://amazon.in" TargetMode="External"/><Relationship Id="rId4404" Type="http://schemas.openxmlformats.org/officeDocument/2006/relationships/hyperlink" Target="http://amazon.in" TargetMode="External"/><Relationship Id="rId1379" Type="http://schemas.openxmlformats.org/officeDocument/2006/relationships/hyperlink" Target="http://amazon.in" TargetMode="External"/><Relationship Id="rId4403" Type="http://schemas.openxmlformats.org/officeDocument/2006/relationships/hyperlink" Target="http://amazon.in" TargetMode="External"/><Relationship Id="rId4406" Type="http://schemas.openxmlformats.org/officeDocument/2006/relationships/hyperlink" Target="http://amazon.in" TargetMode="External"/><Relationship Id="rId4405" Type="http://schemas.openxmlformats.org/officeDocument/2006/relationships/hyperlink" Target="http://amazon.in" TargetMode="External"/><Relationship Id="rId4408" Type="http://schemas.openxmlformats.org/officeDocument/2006/relationships/hyperlink" Target="http://amazon.in" TargetMode="External"/><Relationship Id="rId4407" Type="http://schemas.openxmlformats.org/officeDocument/2006/relationships/hyperlink" Target="http://amazon.in" TargetMode="External"/><Relationship Id="rId4409" Type="http://schemas.openxmlformats.org/officeDocument/2006/relationships/hyperlink" Target="http://amazon.in" TargetMode="External"/><Relationship Id="rId789" Type="http://schemas.openxmlformats.org/officeDocument/2006/relationships/hyperlink" Target="http://amazon.in" TargetMode="External"/><Relationship Id="rId788" Type="http://schemas.openxmlformats.org/officeDocument/2006/relationships/hyperlink" Target="http://amazon.in" TargetMode="External"/><Relationship Id="rId787" Type="http://schemas.openxmlformats.org/officeDocument/2006/relationships/hyperlink" Target="http://amazon.in" TargetMode="External"/><Relationship Id="rId786" Type="http://schemas.openxmlformats.org/officeDocument/2006/relationships/hyperlink" Target="http://amazon.in" TargetMode="External"/><Relationship Id="rId781" Type="http://schemas.openxmlformats.org/officeDocument/2006/relationships/hyperlink" Target="http://amazon.in" TargetMode="External"/><Relationship Id="rId1370" Type="http://schemas.openxmlformats.org/officeDocument/2006/relationships/hyperlink" Target="http://amazon.in" TargetMode="External"/><Relationship Id="rId780" Type="http://schemas.openxmlformats.org/officeDocument/2006/relationships/hyperlink" Target="http://amazon.in" TargetMode="External"/><Relationship Id="rId1371" Type="http://schemas.openxmlformats.org/officeDocument/2006/relationships/hyperlink" Target="http://amazon.in" TargetMode="External"/><Relationship Id="rId1372" Type="http://schemas.openxmlformats.org/officeDocument/2006/relationships/hyperlink" Target="http://amazon.in" TargetMode="External"/><Relationship Id="rId1373" Type="http://schemas.openxmlformats.org/officeDocument/2006/relationships/hyperlink" Target="http://amazon.in" TargetMode="External"/><Relationship Id="rId785" Type="http://schemas.openxmlformats.org/officeDocument/2006/relationships/hyperlink" Target="http://amazon.in" TargetMode="External"/><Relationship Id="rId1374" Type="http://schemas.openxmlformats.org/officeDocument/2006/relationships/hyperlink" Target="http://amazon.in" TargetMode="External"/><Relationship Id="rId4400" Type="http://schemas.openxmlformats.org/officeDocument/2006/relationships/hyperlink" Target="http://amazon.in" TargetMode="External"/><Relationship Id="rId784" Type="http://schemas.openxmlformats.org/officeDocument/2006/relationships/hyperlink" Target="http://amazon.in" TargetMode="External"/><Relationship Id="rId1375" Type="http://schemas.openxmlformats.org/officeDocument/2006/relationships/hyperlink" Target="http://amazon.in" TargetMode="External"/><Relationship Id="rId783" Type="http://schemas.openxmlformats.org/officeDocument/2006/relationships/hyperlink" Target="http://amazon.in" TargetMode="External"/><Relationship Id="rId1376" Type="http://schemas.openxmlformats.org/officeDocument/2006/relationships/hyperlink" Target="http://amazon.in" TargetMode="External"/><Relationship Id="rId4402" Type="http://schemas.openxmlformats.org/officeDocument/2006/relationships/hyperlink" Target="http://amazon.in" TargetMode="External"/><Relationship Id="rId782" Type="http://schemas.openxmlformats.org/officeDocument/2006/relationships/hyperlink" Target="http://amazon.in" TargetMode="External"/><Relationship Id="rId1377" Type="http://schemas.openxmlformats.org/officeDocument/2006/relationships/hyperlink" Target="http://amazon.in" TargetMode="External"/><Relationship Id="rId4401" Type="http://schemas.openxmlformats.org/officeDocument/2006/relationships/hyperlink" Target="http://amazon.in" TargetMode="External"/><Relationship Id="rId1367" Type="http://schemas.openxmlformats.org/officeDocument/2006/relationships/hyperlink" Target="http://amazon.in" TargetMode="External"/><Relationship Id="rId2698" Type="http://schemas.openxmlformats.org/officeDocument/2006/relationships/hyperlink" Target="http://amazon.in" TargetMode="External"/><Relationship Id="rId1368" Type="http://schemas.openxmlformats.org/officeDocument/2006/relationships/hyperlink" Target="http://amazon.in" TargetMode="External"/><Relationship Id="rId2699" Type="http://schemas.openxmlformats.org/officeDocument/2006/relationships/hyperlink" Target="http://amazon.in" TargetMode="External"/><Relationship Id="rId1369" Type="http://schemas.openxmlformats.org/officeDocument/2006/relationships/hyperlink" Target="http://amazon.in" TargetMode="External"/><Relationship Id="rId778" Type="http://schemas.openxmlformats.org/officeDocument/2006/relationships/hyperlink" Target="http://amazon.in" TargetMode="External"/><Relationship Id="rId777" Type="http://schemas.openxmlformats.org/officeDocument/2006/relationships/hyperlink" Target="http://amazon.in" TargetMode="External"/><Relationship Id="rId776" Type="http://schemas.openxmlformats.org/officeDocument/2006/relationships/hyperlink" Target="http://amazon.in" TargetMode="External"/><Relationship Id="rId775" Type="http://schemas.openxmlformats.org/officeDocument/2006/relationships/hyperlink" Target="http://amazon.in" TargetMode="External"/><Relationship Id="rId779" Type="http://schemas.openxmlformats.org/officeDocument/2006/relationships/hyperlink" Target="http://amazon.in" TargetMode="External"/><Relationship Id="rId770" Type="http://schemas.openxmlformats.org/officeDocument/2006/relationships/hyperlink" Target="http://amazon.in" TargetMode="External"/><Relationship Id="rId2690" Type="http://schemas.openxmlformats.org/officeDocument/2006/relationships/hyperlink" Target="http://amazon.in" TargetMode="External"/><Relationship Id="rId1360" Type="http://schemas.openxmlformats.org/officeDocument/2006/relationships/hyperlink" Target="http://amazon.in" TargetMode="External"/><Relationship Id="rId2691" Type="http://schemas.openxmlformats.org/officeDocument/2006/relationships/hyperlink" Target="http://amazon.in" TargetMode="External"/><Relationship Id="rId1361" Type="http://schemas.openxmlformats.org/officeDocument/2006/relationships/hyperlink" Target="http://amazon.in" TargetMode="External"/><Relationship Id="rId2692" Type="http://schemas.openxmlformats.org/officeDocument/2006/relationships/hyperlink" Target="http://amazon.in" TargetMode="External"/><Relationship Id="rId1362" Type="http://schemas.openxmlformats.org/officeDocument/2006/relationships/hyperlink" Target="http://amazon.in" TargetMode="External"/><Relationship Id="rId2693" Type="http://schemas.openxmlformats.org/officeDocument/2006/relationships/hyperlink" Target="http://amazon.in" TargetMode="External"/><Relationship Id="rId774" Type="http://schemas.openxmlformats.org/officeDocument/2006/relationships/hyperlink" Target="http://amazon.in" TargetMode="External"/><Relationship Id="rId1363" Type="http://schemas.openxmlformats.org/officeDocument/2006/relationships/hyperlink" Target="http://amazon.in" TargetMode="External"/><Relationship Id="rId2694" Type="http://schemas.openxmlformats.org/officeDocument/2006/relationships/hyperlink" Target="http://amazon.in" TargetMode="External"/><Relationship Id="rId773" Type="http://schemas.openxmlformats.org/officeDocument/2006/relationships/hyperlink" Target="http://amazon.in" TargetMode="External"/><Relationship Id="rId1364" Type="http://schemas.openxmlformats.org/officeDocument/2006/relationships/hyperlink" Target="http://amazon.in" TargetMode="External"/><Relationship Id="rId2695" Type="http://schemas.openxmlformats.org/officeDocument/2006/relationships/hyperlink" Target="http://amazon.in" TargetMode="External"/><Relationship Id="rId772" Type="http://schemas.openxmlformats.org/officeDocument/2006/relationships/hyperlink" Target="http://amazon.in" TargetMode="External"/><Relationship Id="rId1365" Type="http://schemas.openxmlformats.org/officeDocument/2006/relationships/hyperlink" Target="http://amazon.in" TargetMode="External"/><Relationship Id="rId2696" Type="http://schemas.openxmlformats.org/officeDocument/2006/relationships/hyperlink" Target="http://amazon.in" TargetMode="External"/><Relationship Id="rId771" Type="http://schemas.openxmlformats.org/officeDocument/2006/relationships/hyperlink" Target="http://amazon.in" TargetMode="External"/><Relationship Id="rId1366" Type="http://schemas.openxmlformats.org/officeDocument/2006/relationships/hyperlink" Target="http://amazon.in" TargetMode="External"/><Relationship Id="rId2697" Type="http://schemas.openxmlformats.org/officeDocument/2006/relationships/hyperlink" Target="http://amazon.in" TargetMode="External"/><Relationship Id="rId4426" Type="http://schemas.openxmlformats.org/officeDocument/2006/relationships/hyperlink" Target="http://amazon.in" TargetMode="External"/><Relationship Id="rId4425" Type="http://schemas.openxmlformats.org/officeDocument/2006/relationships/hyperlink" Target="http://amazon.in" TargetMode="External"/><Relationship Id="rId4428" Type="http://schemas.openxmlformats.org/officeDocument/2006/relationships/hyperlink" Target="http://amazon.in" TargetMode="External"/><Relationship Id="rId4427" Type="http://schemas.openxmlformats.org/officeDocument/2006/relationships/hyperlink" Target="http://amazon.in" TargetMode="External"/><Relationship Id="rId4429" Type="http://schemas.openxmlformats.org/officeDocument/2006/relationships/hyperlink" Target="http://amazon.in" TargetMode="External"/><Relationship Id="rId1390" Type="http://schemas.openxmlformats.org/officeDocument/2006/relationships/hyperlink" Target="http://amazon.in" TargetMode="External"/><Relationship Id="rId1391" Type="http://schemas.openxmlformats.org/officeDocument/2006/relationships/hyperlink" Target="http://amazon.in" TargetMode="External"/><Relationship Id="rId1392" Type="http://schemas.openxmlformats.org/officeDocument/2006/relationships/hyperlink" Target="http://amazon.in" TargetMode="External"/><Relationship Id="rId1393" Type="http://schemas.openxmlformats.org/officeDocument/2006/relationships/hyperlink" Target="http://amazon.in" TargetMode="External"/><Relationship Id="rId1394" Type="http://schemas.openxmlformats.org/officeDocument/2006/relationships/hyperlink" Target="http://amazon.in" TargetMode="External"/><Relationship Id="rId4420" Type="http://schemas.openxmlformats.org/officeDocument/2006/relationships/hyperlink" Target="http://amazon.in" TargetMode="External"/><Relationship Id="rId1395" Type="http://schemas.openxmlformats.org/officeDocument/2006/relationships/hyperlink" Target="http://amazon.in" TargetMode="External"/><Relationship Id="rId1396" Type="http://schemas.openxmlformats.org/officeDocument/2006/relationships/hyperlink" Target="http://amazon.in" TargetMode="External"/><Relationship Id="rId4422" Type="http://schemas.openxmlformats.org/officeDocument/2006/relationships/hyperlink" Target="http://amazon.in" TargetMode="External"/><Relationship Id="rId1397" Type="http://schemas.openxmlformats.org/officeDocument/2006/relationships/hyperlink" Target="http://amazon.in" TargetMode="External"/><Relationship Id="rId4421" Type="http://schemas.openxmlformats.org/officeDocument/2006/relationships/hyperlink" Target="http://amazon.in" TargetMode="External"/><Relationship Id="rId1398" Type="http://schemas.openxmlformats.org/officeDocument/2006/relationships/hyperlink" Target="http://amazon.in" TargetMode="External"/><Relationship Id="rId4424" Type="http://schemas.openxmlformats.org/officeDocument/2006/relationships/hyperlink" Target="http://amazon.in" TargetMode="External"/><Relationship Id="rId1399" Type="http://schemas.openxmlformats.org/officeDocument/2006/relationships/hyperlink" Target="http://amazon.in" TargetMode="External"/><Relationship Id="rId4423" Type="http://schemas.openxmlformats.org/officeDocument/2006/relationships/hyperlink" Target="http://amazon.in" TargetMode="External"/><Relationship Id="rId1389" Type="http://schemas.openxmlformats.org/officeDocument/2006/relationships/hyperlink" Target="http://amazon.in" TargetMode="External"/><Relationship Id="rId4415" Type="http://schemas.openxmlformats.org/officeDocument/2006/relationships/hyperlink" Target="http://amazon.in" TargetMode="External"/><Relationship Id="rId4414" Type="http://schemas.openxmlformats.org/officeDocument/2006/relationships/hyperlink" Target="http://amazon.in" TargetMode="External"/><Relationship Id="rId4417" Type="http://schemas.openxmlformats.org/officeDocument/2006/relationships/hyperlink" Target="http://amazon.in" TargetMode="External"/><Relationship Id="rId4416" Type="http://schemas.openxmlformats.org/officeDocument/2006/relationships/hyperlink" Target="http://amazon.in" TargetMode="External"/><Relationship Id="rId4419" Type="http://schemas.openxmlformats.org/officeDocument/2006/relationships/hyperlink" Target="http://amazon.in" TargetMode="External"/><Relationship Id="rId4418" Type="http://schemas.openxmlformats.org/officeDocument/2006/relationships/hyperlink" Target="http://amazon.in" TargetMode="External"/><Relationship Id="rId799" Type="http://schemas.openxmlformats.org/officeDocument/2006/relationships/hyperlink" Target="http://amazon.in" TargetMode="External"/><Relationship Id="rId798" Type="http://schemas.openxmlformats.org/officeDocument/2006/relationships/hyperlink" Target="http://amazon.in" TargetMode="External"/><Relationship Id="rId797" Type="http://schemas.openxmlformats.org/officeDocument/2006/relationships/hyperlink" Target="http://amazon.in" TargetMode="External"/><Relationship Id="rId1380" Type="http://schemas.openxmlformats.org/officeDocument/2006/relationships/hyperlink" Target="http://amazon.in" TargetMode="External"/><Relationship Id="rId792" Type="http://schemas.openxmlformats.org/officeDocument/2006/relationships/hyperlink" Target="http://amazon.in" TargetMode="External"/><Relationship Id="rId1381" Type="http://schemas.openxmlformats.org/officeDocument/2006/relationships/hyperlink" Target="http://amazon.in" TargetMode="External"/><Relationship Id="rId791" Type="http://schemas.openxmlformats.org/officeDocument/2006/relationships/hyperlink" Target="http://amazon.in" TargetMode="External"/><Relationship Id="rId1382" Type="http://schemas.openxmlformats.org/officeDocument/2006/relationships/hyperlink" Target="http://amazon.in" TargetMode="External"/><Relationship Id="rId790" Type="http://schemas.openxmlformats.org/officeDocument/2006/relationships/hyperlink" Target="http://amazon.in" TargetMode="External"/><Relationship Id="rId1383" Type="http://schemas.openxmlformats.org/officeDocument/2006/relationships/hyperlink" Target="http://amazon.in" TargetMode="External"/><Relationship Id="rId1384" Type="http://schemas.openxmlformats.org/officeDocument/2006/relationships/hyperlink" Target="http://amazon.in" TargetMode="External"/><Relationship Id="rId796" Type="http://schemas.openxmlformats.org/officeDocument/2006/relationships/hyperlink" Target="http://amazon.in" TargetMode="External"/><Relationship Id="rId1385" Type="http://schemas.openxmlformats.org/officeDocument/2006/relationships/hyperlink" Target="http://amazon.in" TargetMode="External"/><Relationship Id="rId4411" Type="http://schemas.openxmlformats.org/officeDocument/2006/relationships/hyperlink" Target="http://amazon.in" TargetMode="External"/><Relationship Id="rId795" Type="http://schemas.openxmlformats.org/officeDocument/2006/relationships/hyperlink" Target="http://amazon.in" TargetMode="External"/><Relationship Id="rId1386" Type="http://schemas.openxmlformats.org/officeDocument/2006/relationships/hyperlink" Target="http://amazon.in" TargetMode="External"/><Relationship Id="rId4410" Type="http://schemas.openxmlformats.org/officeDocument/2006/relationships/hyperlink" Target="http://amazon.in" TargetMode="External"/><Relationship Id="rId794" Type="http://schemas.openxmlformats.org/officeDocument/2006/relationships/hyperlink" Target="http://amazon.in" TargetMode="External"/><Relationship Id="rId1387" Type="http://schemas.openxmlformats.org/officeDocument/2006/relationships/hyperlink" Target="http://amazon.in" TargetMode="External"/><Relationship Id="rId4413" Type="http://schemas.openxmlformats.org/officeDocument/2006/relationships/hyperlink" Target="http://amazon.in" TargetMode="External"/><Relationship Id="rId793" Type="http://schemas.openxmlformats.org/officeDocument/2006/relationships/hyperlink" Target="http://amazon.in" TargetMode="External"/><Relationship Id="rId1388" Type="http://schemas.openxmlformats.org/officeDocument/2006/relationships/hyperlink" Target="http://amazon.in" TargetMode="External"/><Relationship Id="rId4412" Type="http://schemas.openxmlformats.org/officeDocument/2006/relationships/hyperlink" Target="http://amazon.in" TargetMode="External"/><Relationship Id="rId3191" Type="http://schemas.openxmlformats.org/officeDocument/2006/relationships/hyperlink" Target="http://amazon.in" TargetMode="External"/><Relationship Id="rId3190" Type="http://schemas.openxmlformats.org/officeDocument/2006/relationships/hyperlink" Target="http://amazon.in" TargetMode="External"/><Relationship Id="rId3193" Type="http://schemas.openxmlformats.org/officeDocument/2006/relationships/hyperlink" Target="http://amazon.in" TargetMode="External"/><Relationship Id="rId3192" Type="http://schemas.openxmlformats.org/officeDocument/2006/relationships/hyperlink" Target="http://amazon.in" TargetMode="External"/><Relationship Id="rId3195" Type="http://schemas.openxmlformats.org/officeDocument/2006/relationships/hyperlink" Target="http://amazon.in" TargetMode="External"/><Relationship Id="rId3194" Type="http://schemas.openxmlformats.org/officeDocument/2006/relationships/hyperlink" Target="http://amazon.in" TargetMode="External"/><Relationship Id="rId3197" Type="http://schemas.openxmlformats.org/officeDocument/2006/relationships/hyperlink" Target="http://amazon.in" TargetMode="External"/><Relationship Id="rId3196" Type="http://schemas.openxmlformats.org/officeDocument/2006/relationships/hyperlink" Target="http://amazon.in" TargetMode="External"/><Relationship Id="rId3199" Type="http://schemas.openxmlformats.org/officeDocument/2006/relationships/hyperlink" Target="http://amazon.in" TargetMode="External"/><Relationship Id="rId3198" Type="http://schemas.openxmlformats.org/officeDocument/2006/relationships/hyperlink" Target="http://amazon.in" TargetMode="External"/><Relationship Id="rId3180" Type="http://schemas.openxmlformats.org/officeDocument/2006/relationships/hyperlink" Target="http://amazon.in" TargetMode="External"/><Relationship Id="rId3182" Type="http://schemas.openxmlformats.org/officeDocument/2006/relationships/hyperlink" Target="http://amazon.in" TargetMode="External"/><Relationship Id="rId3181" Type="http://schemas.openxmlformats.org/officeDocument/2006/relationships/hyperlink" Target="http://amazon.in" TargetMode="External"/><Relationship Id="rId3184" Type="http://schemas.openxmlformats.org/officeDocument/2006/relationships/hyperlink" Target="http://amazon.in" TargetMode="External"/><Relationship Id="rId3183" Type="http://schemas.openxmlformats.org/officeDocument/2006/relationships/hyperlink" Target="http://amazon.in" TargetMode="External"/><Relationship Id="rId3186" Type="http://schemas.openxmlformats.org/officeDocument/2006/relationships/hyperlink" Target="http://amazon.in" TargetMode="External"/><Relationship Id="rId3185" Type="http://schemas.openxmlformats.org/officeDocument/2006/relationships/hyperlink" Target="http://amazon.in" TargetMode="External"/><Relationship Id="rId3188" Type="http://schemas.openxmlformats.org/officeDocument/2006/relationships/hyperlink" Target="http://amazon.in" TargetMode="External"/><Relationship Id="rId3187" Type="http://schemas.openxmlformats.org/officeDocument/2006/relationships/hyperlink" Target="http://amazon.in" TargetMode="External"/><Relationship Id="rId3189" Type="http://schemas.openxmlformats.org/officeDocument/2006/relationships/hyperlink" Target="http://amazon.in" TargetMode="External"/><Relationship Id="rId4480" Type="http://schemas.openxmlformats.org/officeDocument/2006/relationships/hyperlink" Target="http://amazon.in" TargetMode="External"/><Relationship Id="rId3151" Type="http://schemas.openxmlformats.org/officeDocument/2006/relationships/hyperlink" Target="http://amazon.in" TargetMode="External"/><Relationship Id="rId4482" Type="http://schemas.openxmlformats.org/officeDocument/2006/relationships/hyperlink" Target="http://amazon.in" TargetMode="External"/><Relationship Id="rId3150" Type="http://schemas.openxmlformats.org/officeDocument/2006/relationships/hyperlink" Target="http://amazon.in" TargetMode="External"/><Relationship Id="rId4481" Type="http://schemas.openxmlformats.org/officeDocument/2006/relationships/hyperlink" Target="http://amazon.in" TargetMode="External"/><Relationship Id="rId3153" Type="http://schemas.openxmlformats.org/officeDocument/2006/relationships/hyperlink" Target="http://amazon.in" TargetMode="External"/><Relationship Id="rId4484" Type="http://schemas.openxmlformats.org/officeDocument/2006/relationships/hyperlink" Target="http://amazon.in" TargetMode="External"/><Relationship Id="rId3152" Type="http://schemas.openxmlformats.org/officeDocument/2006/relationships/hyperlink" Target="http://amazon.in" TargetMode="External"/><Relationship Id="rId4483" Type="http://schemas.openxmlformats.org/officeDocument/2006/relationships/hyperlink" Target="http://amazon.in" TargetMode="External"/><Relationship Id="rId3155" Type="http://schemas.openxmlformats.org/officeDocument/2006/relationships/hyperlink" Target="http://amazon.in" TargetMode="External"/><Relationship Id="rId4486" Type="http://schemas.openxmlformats.org/officeDocument/2006/relationships/hyperlink" Target="http://amazon.in" TargetMode="External"/><Relationship Id="rId3154" Type="http://schemas.openxmlformats.org/officeDocument/2006/relationships/hyperlink" Target="http://amazon.in" TargetMode="External"/><Relationship Id="rId4485" Type="http://schemas.openxmlformats.org/officeDocument/2006/relationships/hyperlink" Target="http://amazon.in" TargetMode="External"/><Relationship Id="rId3157" Type="http://schemas.openxmlformats.org/officeDocument/2006/relationships/hyperlink" Target="http://amazon.in" TargetMode="External"/><Relationship Id="rId4488" Type="http://schemas.openxmlformats.org/officeDocument/2006/relationships/hyperlink" Target="http://amazon.in" TargetMode="External"/><Relationship Id="rId3156" Type="http://schemas.openxmlformats.org/officeDocument/2006/relationships/hyperlink" Target="http://amazon.in" TargetMode="External"/><Relationship Id="rId4487" Type="http://schemas.openxmlformats.org/officeDocument/2006/relationships/hyperlink" Target="http://amazon.in" TargetMode="External"/><Relationship Id="rId3159" Type="http://schemas.openxmlformats.org/officeDocument/2006/relationships/hyperlink" Target="http://amazon.in" TargetMode="External"/><Relationship Id="rId3158" Type="http://schemas.openxmlformats.org/officeDocument/2006/relationships/hyperlink" Target="http://amazon.in" TargetMode="External"/><Relationship Id="rId4489" Type="http://schemas.openxmlformats.org/officeDocument/2006/relationships/hyperlink" Target="http://amazon.in" TargetMode="External"/><Relationship Id="rId3149" Type="http://schemas.openxmlformats.org/officeDocument/2006/relationships/hyperlink" Target="http://amazon.in" TargetMode="External"/><Relationship Id="rId3140" Type="http://schemas.openxmlformats.org/officeDocument/2006/relationships/hyperlink" Target="http://amazon.in" TargetMode="External"/><Relationship Id="rId4471" Type="http://schemas.openxmlformats.org/officeDocument/2006/relationships/hyperlink" Target="http://amazon.in" TargetMode="External"/><Relationship Id="rId4470" Type="http://schemas.openxmlformats.org/officeDocument/2006/relationships/hyperlink" Target="http://amazon.in" TargetMode="External"/><Relationship Id="rId3142" Type="http://schemas.openxmlformats.org/officeDocument/2006/relationships/hyperlink" Target="http://amazon.in" TargetMode="External"/><Relationship Id="rId4473" Type="http://schemas.openxmlformats.org/officeDocument/2006/relationships/hyperlink" Target="http://amazon.in" TargetMode="External"/><Relationship Id="rId3141" Type="http://schemas.openxmlformats.org/officeDocument/2006/relationships/hyperlink" Target="http://amazon.in" TargetMode="External"/><Relationship Id="rId4472" Type="http://schemas.openxmlformats.org/officeDocument/2006/relationships/hyperlink" Target="http://amazon.in" TargetMode="External"/><Relationship Id="rId3144" Type="http://schemas.openxmlformats.org/officeDocument/2006/relationships/hyperlink" Target="http://amazon.in" TargetMode="External"/><Relationship Id="rId4475" Type="http://schemas.openxmlformats.org/officeDocument/2006/relationships/hyperlink" Target="http://amazon.in" TargetMode="External"/><Relationship Id="rId3143" Type="http://schemas.openxmlformats.org/officeDocument/2006/relationships/hyperlink" Target="http://amazon.in" TargetMode="External"/><Relationship Id="rId4474" Type="http://schemas.openxmlformats.org/officeDocument/2006/relationships/hyperlink" Target="http://amazon.in" TargetMode="External"/><Relationship Id="rId3146" Type="http://schemas.openxmlformats.org/officeDocument/2006/relationships/hyperlink" Target="http://amazon.in" TargetMode="External"/><Relationship Id="rId4477" Type="http://schemas.openxmlformats.org/officeDocument/2006/relationships/hyperlink" Target="http://amazon.in" TargetMode="External"/><Relationship Id="rId3145" Type="http://schemas.openxmlformats.org/officeDocument/2006/relationships/hyperlink" Target="http://amazon.in" TargetMode="External"/><Relationship Id="rId4476" Type="http://schemas.openxmlformats.org/officeDocument/2006/relationships/hyperlink" Target="http://amazon.in" TargetMode="External"/><Relationship Id="rId3148" Type="http://schemas.openxmlformats.org/officeDocument/2006/relationships/hyperlink" Target="http://amazon.in" TargetMode="External"/><Relationship Id="rId4479" Type="http://schemas.openxmlformats.org/officeDocument/2006/relationships/hyperlink" Target="http://amazon.in" TargetMode="External"/><Relationship Id="rId3147" Type="http://schemas.openxmlformats.org/officeDocument/2006/relationships/hyperlink" Target="http://amazon.in" TargetMode="External"/><Relationship Id="rId4478" Type="http://schemas.openxmlformats.org/officeDocument/2006/relationships/hyperlink" Target="http://amazon.in" TargetMode="External"/><Relationship Id="rId3171" Type="http://schemas.openxmlformats.org/officeDocument/2006/relationships/hyperlink" Target="http://amazon.in" TargetMode="External"/><Relationship Id="rId3170" Type="http://schemas.openxmlformats.org/officeDocument/2006/relationships/hyperlink" Target="http://amazon.in" TargetMode="External"/><Relationship Id="rId3173" Type="http://schemas.openxmlformats.org/officeDocument/2006/relationships/hyperlink" Target="http://amazon.in" TargetMode="External"/><Relationship Id="rId3172" Type="http://schemas.openxmlformats.org/officeDocument/2006/relationships/hyperlink" Target="http://amazon.in" TargetMode="External"/><Relationship Id="rId3175" Type="http://schemas.openxmlformats.org/officeDocument/2006/relationships/hyperlink" Target="http://amazon.in" TargetMode="External"/><Relationship Id="rId3174" Type="http://schemas.openxmlformats.org/officeDocument/2006/relationships/hyperlink" Target="http://amazon.in" TargetMode="External"/><Relationship Id="rId3177" Type="http://schemas.openxmlformats.org/officeDocument/2006/relationships/hyperlink" Target="http://amazon.in" TargetMode="External"/><Relationship Id="rId3176" Type="http://schemas.openxmlformats.org/officeDocument/2006/relationships/hyperlink" Target="http://amazon.in" TargetMode="External"/><Relationship Id="rId3179" Type="http://schemas.openxmlformats.org/officeDocument/2006/relationships/hyperlink" Target="http://amazon.in" TargetMode="External"/><Relationship Id="rId3178" Type="http://schemas.openxmlformats.org/officeDocument/2006/relationships/hyperlink" Target="http://amazon.in" TargetMode="External"/><Relationship Id="rId3160" Type="http://schemas.openxmlformats.org/officeDocument/2006/relationships/hyperlink" Target="http://amazon.in" TargetMode="External"/><Relationship Id="rId4491" Type="http://schemas.openxmlformats.org/officeDocument/2006/relationships/hyperlink" Target="http://amazon.in" TargetMode="External"/><Relationship Id="rId4490" Type="http://schemas.openxmlformats.org/officeDocument/2006/relationships/hyperlink" Target="http://amazon.in" TargetMode="External"/><Relationship Id="rId3162" Type="http://schemas.openxmlformats.org/officeDocument/2006/relationships/hyperlink" Target="http://amazon.in" TargetMode="External"/><Relationship Id="rId4493" Type="http://schemas.openxmlformats.org/officeDocument/2006/relationships/hyperlink" Target="http://amazon.in" TargetMode="External"/><Relationship Id="rId3161" Type="http://schemas.openxmlformats.org/officeDocument/2006/relationships/hyperlink" Target="http://amazon.in" TargetMode="External"/><Relationship Id="rId4492" Type="http://schemas.openxmlformats.org/officeDocument/2006/relationships/hyperlink" Target="http://amazon.in" TargetMode="External"/><Relationship Id="rId3164" Type="http://schemas.openxmlformats.org/officeDocument/2006/relationships/hyperlink" Target="http://amazon.in" TargetMode="External"/><Relationship Id="rId4495" Type="http://schemas.openxmlformats.org/officeDocument/2006/relationships/hyperlink" Target="http://amazon.in" TargetMode="External"/><Relationship Id="rId3163" Type="http://schemas.openxmlformats.org/officeDocument/2006/relationships/hyperlink" Target="http://amazon.in" TargetMode="External"/><Relationship Id="rId4494" Type="http://schemas.openxmlformats.org/officeDocument/2006/relationships/hyperlink" Target="http://amazon.in" TargetMode="External"/><Relationship Id="rId3166" Type="http://schemas.openxmlformats.org/officeDocument/2006/relationships/hyperlink" Target="http://amazon.in" TargetMode="External"/><Relationship Id="rId4497" Type="http://schemas.openxmlformats.org/officeDocument/2006/relationships/hyperlink" Target="http://amazon.in" TargetMode="External"/><Relationship Id="rId3165" Type="http://schemas.openxmlformats.org/officeDocument/2006/relationships/hyperlink" Target="http://amazon.in" TargetMode="External"/><Relationship Id="rId4496" Type="http://schemas.openxmlformats.org/officeDocument/2006/relationships/hyperlink" Target="http://amazon.in" TargetMode="External"/><Relationship Id="rId3168" Type="http://schemas.openxmlformats.org/officeDocument/2006/relationships/hyperlink" Target="http://amazon.in" TargetMode="External"/><Relationship Id="rId4499" Type="http://schemas.openxmlformats.org/officeDocument/2006/relationships/hyperlink" Target="http://amazon.in" TargetMode="External"/><Relationship Id="rId3167" Type="http://schemas.openxmlformats.org/officeDocument/2006/relationships/hyperlink" Target="http://amazon.in" TargetMode="External"/><Relationship Id="rId4498" Type="http://schemas.openxmlformats.org/officeDocument/2006/relationships/hyperlink" Target="http://amazon.in" TargetMode="External"/><Relationship Id="rId3169" Type="http://schemas.openxmlformats.org/officeDocument/2006/relationships/hyperlink" Target="http://amazon.in" TargetMode="External"/><Relationship Id="rId2700" Type="http://schemas.openxmlformats.org/officeDocument/2006/relationships/hyperlink" Target="http://amazon.in" TargetMode="External"/><Relationship Id="rId2701" Type="http://schemas.openxmlformats.org/officeDocument/2006/relationships/hyperlink" Target="http://amazon.in" TargetMode="External"/><Relationship Id="rId2702" Type="http://schemas.openxmlformats.org/officeDocument/2006/relationships/hyperlink" Target="http://amazon.in" TargetMode="External"/><Relationship Id="rId2703" Type="http://schemas.openxmlformats.org/officeDocument/2006/relationships/hyperlink" Target="http://amazon.in" TargetMode="External"/><Relationship Id="rId2704" Type="http://schemas.openxmlformats.org/officeDocument/2006/relationships/hyperlink" Target="http://amazon.in" TargetMode="External"/><Relationship Id="rId2705" Type="http://schemas.openxmlformats.org/officeDocument/2006/relationships/hyperlink" Target="http://amazon.in" TargetMode="External"/><Relationship Id="rId2706" Type="http://schemas.openxmlformats.org/officeDocument/2006/relationships/hyperlink" Target="http://amazon.in" TargetMode="External"/><Relationship Id="rId2707" Type="http://schemas.openxmlformats.org/officeDocument/2006/relationships/hyperlink" Target="http://amazon.in" TargetMode="External"/><Relationship Id="rId2708" Type="http://schemas.openxmlformats.org/officeDocument/2006/relationships/hyperlink" Target="http://amazon.in" TargetMode="External"/><Relationship Id="rId2709" Type="http://schemas.openxmlformats.org/officeDocument/2006/relationships/hyperlink" Target="http://amazon.in" TargetMode="External"/><Relationship Id="rId2720" Type="http://schemas.openxmlformats.org/officeDocument/2006/relationships/hyperlink" Target="http://amazon.in" TargetMode="External"/><Relationship Id="rId2721" Type="http://schemas.openxmlformats.org/officeDocument/2006/relationships/hyperlink" Target="http://amazon.in" TargetMode="External"/><Relationship Id="rId2722" Type="http://schemas.openxmlformats.org/officeDocument/2006/relationships/hyperlink" Target="http://amazon.in" TargetMode="External"/><Relationship Id="rId2723" Type="http://schemas.openxmlformats.org/officeDocument/2006/relationships/hyperlink" Target="http://amazon.in" TargetMode="External"/><Relationship Id="rId2724" Type="http://schemas.openxmlformats.org/officeDocument/2006/relationships/hyperlink" Target="http://amazon.in" TargetMode="External"/><Relationship Id="rId2725" Type="http://schemas.openxmlformats.org/officeDocument/2006/relationships/hyperlink" Target="http://amazon.in" TargetMode="External"/><Relationship Id="rId2726" Type="http://schemas.openxmlformats.org/officeDocument/2006/relationships/hyperlink" Target="http://amazon.in" TargetMode="External"/><Relationship Id="rId2727" Type="http://schemas.openxmlformats.org/officeDocument/2006/relationships/hyperlink" Target="http://amazon.in" TargetMode="External"/><Relationship Id="rId2728" Type="http://schemas.openxmlformats.org/officeDocument/2006/relationships/hyperlink" Target="http://amazon.in" TargetMode="External"/><Relationship Id="rId2729" Type="http://schemas.openxmlformats.org/officeDocument/2006/relationships/hyperlink" Target="http://amazon.in" TargetMode="External"/><Relationship Id="rId2710" Type="http://schemas.openxmlformats.org/officeDocument/2006/relationships/hyperlink" Target="http://amazon.in" TargetMode="External"/><Relationship Id="rId2711" Type="http://schemas.openxmlformats.org/officeDocument/2006/relationships/hyperlink" Target="http://amazon.in" TargetMode="External"/><Relationship Id="rId2712" Type="http://schemas.openxmlformats.org/officeDocument/2006/relationships/hyperlink" Target="http://amazon.in" TargetMode="External"/><Relationship Id="rId2713" Type="http://schemas.openxmlformats.org/officeDocument/2006/relationships/hyperlink" Target="http://amazon.in" TargetMode="External"/><Relationship Id="rId2714" Type="http://schemas.openxmlformats.org/officeDocument/2006/relationships/hyperlink" Target="http://amazon.in" TargetMode="External"/><Relationship Id="rId2715" Type="http://schemas.openxmlformats.org/officeDocument/2006/relationships/hyperlink" Target="http://amazon.in" TargetMode="External"/><Relationship Id="rId2716" Type="http://schemas.openxmlformats.org/officeDocument/2006/relationships/hyperlink" Target="http://amazon.in" TargetMode="External"/><Relationship Id="rId2717" Type="http://schemas.openxmlformats.org/officeDocument/2006/relationships/hyperlink" Target="http://amazon.in" TargetMode="External"/><Relationship Id="rId2718" Type="http://schemas.openxmlformats.org/officeDocument/2006/relationships/hyperlink" Target="http://amazon.in" TargetMode="External"/><Relationship Id="rId2719" Type="http://schemas.openxmlformats.org/officeDocument/2006/relationships/hyperlink" Target="http://amazon.in" TargetMode="External"/><Relationship Id="rId1455" Type="http://schemas.openxmlformats.org/officeDocument/2006/relationships/hyperlink" Target="http://amazon.in" TargetMode="External"/><Relationship Id="rId2786" Type="http://schemas.openxmlformats.org/officeDocument/2006/relationships/hyperlink" Target="http://amazon.in" TargetMode="External"/><Relationship Id="rId1456" Type="http://schemas.openxmlformats.org/officeDocument/2006/relationships/hyperlink" Target="http://amazon.in" TargetMode="External"/><Relationship Id="rId2787" Type="http://schemas.openxmlformats.org/officeDocument/2006/relationships/hyperlink" Target="http://amazon.in" TargetMode="External"/><Relationship Id="rId1457" Type="http://schemas.openxmlformats.org/officeDocument/2006/relationships/hyperlink" Target="http://amazon.in" TargetMode="External"/><Relationship Id="rId2788" Type="http://schemas.openxmlformats.org/officeDocument/2006/relationships/hyperlink" Target="http://amazon.in" TargetMode="External"/><Relationship Id="rId1458" Type="http://schemas.openxmlformats.org/officeDocument/2006/relationships/hyperlink" Target="http://amazon.in" TargetMode="External"/><Relationship Id="rId2789" Type="http://schemas.openxmlformats.org/officeDocument/2006/relationships/hyperlink" Target="http://amazon.in" TargetMode="External"/><Relationship Id="rId1459" Type="http://schemas.openxmlformats.org/officeDocument/2006/relationships/hyperlink" Target="http://amazon.in" TargetMode="External"/><Relationship Id="rId629" Type="http://schemas.openxmlformats.org/officeDocument/2006/relationships/hyperlink" Target="http://amazon.in" TargetMode="External"/><Relationship Id="rId624" Type="http://schemas.openxmlformats.org/officeDocument/2006/relationships/hyperlink" Target="http://amazon.in" TargetMode="External"/><Relationship Id="rId623" Type="http://schemas.openxmlformats.org/officeDocument/2006/relationships/hyperlink" Target="http://amazon.in" TargetMode="External"/><Relationship Id="rId622" Type="http://schemas.openxmlformats.org/officeDocument/2006/relationships/hyperlink" Target="http://amazon.in" TargetMode="External"/><Relationship Id="rId621" Type="http://schemas.openxmlformats.org/officeDocument/2006/relationships/hyperlink" Target="http://amazon.in" TargetMode="External"/><Relationship Id="rId628" Type="http://schemas.openxmlformats.org/officeDocument/2006/relationships/hyperlink" Target="http://amazon.in" TargetMode="External"/><Relationship Id="rId627" Type="http://schemas.openxmlformats.org/officeDocument/2006/relationships/hyperlink" Target="http://amazon.in" TargetMode="External"/><Relationship Id="rId626" Type="http://schemas.openxmlformats.org/officeDocument/2006/relationships/hyperlink" Target="http://amazon.in" TargetMode="External"/><Relationship Id="rId625" Type="http://schemas.openxmlformats.org/officeDocument/2006/relationships/hyperlink" Target="http://amazon.in" TargetMode="External"/><Relationship Id="rId2780" Type="http://schemas.openxmlformats.org/officeDocument/2006/relationships/hyperlink" Target="http://amazon.in" TargetMode="External"/><Relationship Id="rId1450" Type="http://schemas.openxmlformats.org/officeDocument/2006/relationships/hyperlink" Target="http://amazon.in" TargetMode="External"/><Relationship Id="rId2781" Type="http://schemas.openxmlformats.org/officeDocument/2006/relationships/hyperlink" Target="http://amazon.in" TargetMode="External"/><Relationship Id="rId620" Type="http://schemas.openxmlformats.org/officeDocument/2006/relationships/hyperlink" Target="http://amazon.in" TargetMode="External"/><Relationship Id="rId1451" Type="http://schemas.openxmlformats.org/officeDocument/2006/relationships/hyperlink" Target="http://amazon.in" TargetMode="External"/><Relationship Id="rId2782" Type="http://schemas.openxmlformats.org/officeDocument/2006/relationships/hyperlink" Target="http://amazon.in" TargetMode="External"/><Relationship Id="rId1452" Type="http://schemas.openxmlformats.org/officeDocument/2006/relationships/hyperlink" Target="http://amazon.in" TargetMode="External"/><Relationship Id="rId2783" Type="http://schemas.openxmlformats.org/officeDocument/2006/relationships/hyperlink" Target="http://amazon.in" TargetMode="External"/><Relationship Id="rId1453" Type="http://schemas.openxmlformats.org/officeDocument/2006/relationships/hyperlink" Target="http://amazon.in" TargetMode="External"/><Relationship Id="rId2784" Type="http://schemas.openxmlformats.org/officeDocument/2006/relationships/hyperlink" Target="http://amazon.in" TargetMode="External"/><Relationship Id="rId1454" Type="http://schemas.openxmlformats.org/officeDocument/2006/relationships/hyperlink" Target="http://amazon.in" TargetMode="External"/><Relationship Id="rId2785" Type="http://schemas.openxmlformats.org/officeDocument/2006/relationships/hyperlink" Target="http://amazon.in" TargetMode="External"/><Relationship Id="rId1444" Type="http://schemas.openxmlformats.org/officeDocument/2006/relationships/hyperlink" Target="http://amazon.in" TargetMode="External"/><Relationship Id="rId2775" Type="http://schemas.openxmlformats.org/officeDocument/2006/relationships/hyperlink" Target="http://amazon.in" TargetMode="External"/><Relationship Id="rId1445" Type="http://schemas.openxmlformats.org/officeDocument/2006/relationships/hyperlink" Target="http://amazon.in" TargetMode="External"/><Relationship Id="rId2776" Type="http://schemas.openxmlformats.org/officeDocument/2006/relationships/hyperlink" Target="http://amazon.in" TargetMode="External"/><Relationship Id="rId1446" Type="http://schemas.openxmlformats.org/officeDocument/2006/relationships/hyperlink" Target="http://amazon.in" TargetMode="External"/><Relationship Id="rId2777" Type="http://schemas.openxmlformats.org/officeDocument/2006/relationships/hyperlink" Target="http://amazon.in" TargetMode="External"/><Relationship Id="rId1447" Type="http://schemas.openxmlformats.org/officeDocument/2006/relationships/hyperlink" Target="http://amazon.in" TargetMode="External"/><Relationship Id="rId2778" Type="http://schemas.openxmlformats.org/officeDocument/2006/relationships/hyperlink" Target="http://amazon.in" TargetMode="External"/><Relationship Id="rId1448" Type="http://schemas.openxmlformats.org/officeDocument/2006/relationships/hyperlink" Target="http://amazon.in" TargetMode="External"/><Relationship Id="rId2779" Type="http://schemas.openxmlformats.org/officeDocument/2006/relationships/hyperlink" Target="http://amazon.in" TargetMode="External"/><Relationship Id="rId1449" Type="http://schemas.openxmlformats.org/officeDocument/2006/relationships/hyperlink" Target="http://amazon.in" TargetMode="External"/><Relationship Id="rId619" Type="http://schemas.openxmlformats.org/officeDocument/2006/relationships/hyperlink" Target="http://amazon.in" TargetMode="External"/><Relationship Id="rId618" Type="http://schemas.openxmlformats.org/officeDocument/2006/relationships/hyperlink" Target="http://amazon.in" TargetMode="External"/><Relationship Id="rId613" Type="http://schemas.openxmlformats.org/officeDocument/2006/relationships/hyperlink" Target="http://amazon.in" TargetMode="External"/><Relationship Id="rId612" Type="http://schemas.openxmlformats.org/officeDocument/2006/relationships/hyperlink" Target="http://amazon.in" TargetMode="External"/><Relationship Id="rId611" Type="http://schemas.openxmlformats.org/officeDocument/2006/relationships/hyperlink" Target="http://amazon.in" TargetMode="External"/><Relationship Id="rId610" Type="http://schemas.openxmlformats.org/officeDocument/2006/relationships/hyperlink" Target="http://amazon.in" TargetMode="External"/><Relationship Id="rId617" Type="http://schemas.openxmlformats.org/officeDocument/2006/relationships/hyperlink" Target="http://amazon.in" TargetMode="External"/><Relationship Id="rId616" Type="http://schemas.openxmlformats.org/officeDocument/2006/relationships/hyperlink" Target="http://amazon.in" TargetMode="External"/><Relationship Id="rId615" Type="http://schemas.openxmlformats.org/officeDocument/2006/relationships/hyperlink" Target="http://amazon.in" TargetMode="External"/><Relationship Id="rId614" Type="http://schemas.openxmlformats.org/officeDocument/2006/relationships/hyperlink" Target="http://amazon.in" TargetMode="External"/><Relationship Id="rId2770" Type="http://schemas.openxmlformats.org/officeDocument/2006/relationships/hyperlink" Target="http://amazon.in" TargetMode="External"/><Relationship Id="rId1440" Type="http://schemas.openxmlformats.org/officeDocument/2006/relationships/hyperlink" Target="http://amazon.in" TargetMode="External"/><Relationship Id="rId2771" Type="http://schemas.openxmlformats.org/officeDocument/2006/relationships/hyperlink" Target="http://amazon.in" TargetMode="External"/><Relationship Id="rId1441" Type="http://schemas.openxmlformats.org/officeDocument/2006/relationships/hyperlink" Target="http://amazon.in" TargetMode="External"/><Relationship Id="rId2772" Type="http://schemas.openxmlformats.org/officeDocument/2006/relationships/hyperlink" Target="http://amazon.in" TargetMode="External"/><Relationship Id="rId1442" Type="http://schemas.openxmlformats.org/officeDocument/2006/relationships/hyperlink" Target="http://amazon.in" TargetMode="External"/><Relationship Id="rId2773" Type="http://schemas.openxmlformats.org/officeDocument/2006/relationships/hyperlink" Target="http://amazon.in" TargetMode="External"/><Relationship Id="rId1443" Type="http://schemas.openxmlformats.org/officeDocument/2006/relationships/hyperlink" Target="http://amazon.in" TargetMode="External"/><Relationship Id="rId2774" Type="http://schemas.openxmlformats.org/officeDocument/2006/relationships/hyperlink" Target="http://amazon.in" TargetMode="External"/><Relationship Id="rId1477" Type="http://schemas.openxmlformats.org/officeDocument/2006/relationships/hyperlink" Target="http://amazon.in" TargetMode="External"/><Relationship Id="rId4503" Type="http://schemas.openxmlformats.org/officeDocument/2006/relationships/hyperlink" Target="http://amazon.in" TargetMode="External"/><Relationship Id="rId1478" Type="http://schemas.openxmlformats.org/officeDocument/2006/relationships/hyperlink" Target="http://amazon.in" TargetMode="External"/><Relationship Id="rId4502" Type="http://schemas.openxmlformats.org/officeDocument/2006/relationships/hyperlink" Target="http://amazon.in" TargetMode="External"/><Relationship Id="rId1479" Type="http://schemas.openxmlformats.org/officeDocument/2006/relationships/hyperlink" Target="http://amazon.in" TargetMode="External"/><Relationship Id="rId4505" Type="http://schemas.openxmlformats.org/officeDocument/2006/relationships/hyperlink" Target="http://amazon.in" TargetMode="External"/><Relationship Id="rId4504" Type="http://schemas.openxmlformats.org/officeDocument/2006/relationships/hyperlink" Target="http://amazon.in" TargetMode="External"/><Relationship Id="rId4507" Type="http://schemas.openxmlformats.org/officeDocument/2006/relationships/hyperlink" Target="http://amazon.in" TargetMode="External"/><Relationship Id="rId4506" Type="http://schemas.openxmlformats.org/officeDocument/2006/relationships/hyperlink" Target="http://amazon.in" TargetMode="External"/><Relationship Id="rId4509" Type="http://schemas.openxmlformats.org/officeDocument/2006/relationships/hyperlink" Target="http://amazon.in" TargetMode="External"/><Relationship Id="rId4508" Type="http://schemas.openxmlformats.org/officeDocument/2006/relationships/hyperlink" Target="http://amazon.in" TargetMode="External"/><Relationship Id="rId646" Type="http://schemas.openxmlformats.org/officeDocument/2006/relationships/hyperlink" Target="http://amazon.in" TargetMode="External"/><Relationship Id="rId645" Type="http://schemas.openxmlformats.org/officeDocument/2006/relationships/hyperlink" Target="http://amazon.in" TargetMode="External"/><Relationship Id="rId644" Type="http://schemas.openxmlformats.org/officeDocument/2006/relationships/hyperlink" Target="http://amazon.in" TargetMode="External"/><Relationship Id="rId643" Type="http://schemas.openxmlformats.org/officeDocument/2006/relationships/hyperlink" Target="http://amazon.in" TargetMode="External"/><Relationship Id="rId649" Type="http://schemas.openxmlformats.org/officeDocument/2006/relationships/hyperlink" Target="http://amazon.in" TargetMode="External"/><Relationship Id="rId648" Type="http://schemas.openxmlformats.org/officeDocument/2006/relationships/hyperlink" Target="http://amazon.in" TargetMode="External"/><Relationship Id="rId647" Type="http://schemas.openxmlformats.org/officeDocument/2006/relationships/hyperlink" Target="http://amazon.in" TargetMode="External"/><Relationship Id="rId1470" Type="http://schemas.openxmlformats.org/officeDocument/2006/relationships/hyperlink" Target="http://amazon.in" TargetMode="External"/><Relationship Id="rId1471" Type="http://schemas.openxmlformats.org/officeDocument/2006/relationships/hyperlink" Target="http://amazon.in" TargetMode="External"/><Relationship Id="rId1472" Type="http://schemas.openxmlformats.org/officeDocument/2006/relationships/hyperlink" Target="http://amazon.in" TargetMode="External"/><Relationship Id="rId642" Type="http://schemas.openxmlformats.org/officeDocument/2006/relationships/hyperlink" Target="http://amazon.in" TargetMode="External"/><Relationship Id="rId1473" Type="http://schemas.openxmlformats.org/officeDocument/2006/relationships/hyperlink" Target="http://amazon.in" TargetMode="External"/><Relationship Id="rId641" Type="http://schemas.openxmlformats.org/officeDocument/2006/relationships/hyperlink" Target="http://amazon.in" TargetMode="External"/><Relationship Id="rId1474" Type="http://schemas.openxmlformats.org/officeDocument/2006/relationships/hyperlink" Target="http://amazon.in" TargetMode="External"/><Relationship Id="rId640" Type="http://schemas.openxmlformats.org/officeDocument/2006/relationships/hyperlink" Target="http://amazon.in" TargetMode="External"/><Relationship Id="rId1475" Type="http://schemas.openxmlformats.org/officeDocument/2006/relationships/hyperlink" Target="http://amazon.in" TargetMode="External"/><Relationship Id="rId4501" Type="http://schemas.openxmlformats.org/officeDocument/2006/relationships/hyperlink" Target="http://amazon.in" TargetMode="External"/><Relationship Id="rId1476" Type="http://schemas.openxmlformats.org/officeDocument/2006/relationships/hyperlink" Target="http://amazon.in" TargetMode="External"/><Relationship Id="rId4500" Type="http://schemas.openxmlformats.org/officeDocument/2006/relationships/hyperlink" Target="http://amazon.in" TargetMode="External"/><Relationship Id="rId1466" Type="http://schemas.openxmlformats.org/officeDocument/2006/relationships/hyperlink" Target="http://amazon.in" TargetMode="External"/><Relationship Id="rId2797" Type="http://schemas.openxmlformats.org/officeDocument/2006/relationships/hyperlink" Target="http://amazon.in" TargetMode="External"/><Relationship Id="rId1467" Type="http://schemas.openxmlformats.org/officeDocument/2006/relationships/hyperlink" Target="http://amazon.in" TargetMode="External"/><Relationship Id="rId2798" Type="http://schemas.openxmlformats.org/officeDocument/2006/relationships/hyperlink" Target="http://amazon.in" TargetMode="External"/><Relationship Id="rId1468" Type="http://schemas.openxmlformats.org/officeDocument/2006/relationships/hyperlink" Target="http://amazon.in" TargetMode="External"/><Relationship Id="rId2799" Type="http://schemas.openxmlformats.org/officeDocument/2006/relationships/hyperlink" Target="http://amazon.in" TargetMode="External"/><Relationship Id="rId1469" Type="http://schemas.openxmlformats.org/officeDocument/2006/relationships/hyperlink" Target="http://amazon.in" TargetMode="External"/><Relationship Id="rId635" Type="http://schemas.openxmlformats.org/officeDocument/2006/relationships/hyperlink" Target="http://amazon.in" TargetMode="External"/><Relationship Id="rId634" Type="http://schemas.openxmlformats.org/officeDocument/2006/relationships/hyperlink" Target="http://amazon.in" TargetMode="External"/><Relationship Id="rId633" Type="http://schemas.openxmlformats.org/officeDocument/2006/relationships/hyperlink" Target="http://amazon.in" TargetMode="External"/><Relationship Id="rId632" Type="http://schemas.openxmlformats.org/officeDocument/2006/relationships/hyperlink" Target="http://amazon.in" TargetMode="External"/><Relationship Id="rId639" Type="http://schemas.openxmlformats.org/officeDocument/2006/relationships/hyperlink" Target="http://amazon.in" TargetMode="External"/><Relationship Id="rId638" Type="http://schemas.openxmlformats.org/officeDocument/2006/relationships/hyperlink" Target="http://amazon.in" TargetMode="External"/><Relationship Id="rId637" Type="http://schemas.openxmlformats.org/officeDocument/2006/relationships/hyperlink" Target="http://amazon.in" TargetMode="External"/><Relationship Id="rId636" Type="http://schemas.openxmlformats.org/officeDocument/2006/relationships/hyperlink" Target="http://amazon.in" TargetMode="External"/><Relationship Id="rId2790" Type="http://schemas.openxmlformats.org/officeDocument/2006/relationships/hyperlink" Target="http://amazon.in" TargetMode="External"/><Relationship Id="rId1460" Type="http://schemas.openxmlformats.org/officeDocument/2006/relationships/hyperlink" Target="http://amazon.in" TargetMode="External"/><Relationship Id="rId2791" Type="http://schemas.openxmlformats.org/officeDocument/2006/relationships/hyperlink" Target="http://amazon.in" TargetMode="External"/><Relationship Id="rId1461" Type="http://schemas.openxmlformats.org/officeDocument/2006/relationships/hyperlink" Target="http://amazon.in" TargetMode="External"/><Relationship Id="rId2792" Type="http://schemas.openxmlformats.org/officeDocument/2006/relationships/hyperlink" Target="http://amazon.in" TargetMode="External"/><Relationship Id="rId631" Type="http://schemas.openxmlformats.org/officeDocument/2006/relationships/hyperlink" Target="http://amazon.in" TargetMode="External"/><Relationship Id="rId1462" Type="http://schemas.openxmlformats.org/officeDocument/2006/relationships/hyperlink" Target="http://amazon.in" TargetMode="External"/><Relationship Id="rId2793" Type="http://schemas.openxmlformats.org/officeDocument/2006/relationships/hyperlink" Target="http://amazon.in" TargetMode="External"/><Relationship Id="rId630" Type="http://schemas.openxmlformats.org/officeDocument/2006/relationships/hyperlink" Target="http://amazon.in" TargetMode="External"/><Relationship Id="rId1463" Type="http://schemas.openxmlformats.org/officeDocument/2006/relationships/hyperlink" Target="http://amazon.in" TargetMode="External"/><Relationship Id="rId2794" Type="http://schemas.openxmlformats.org/officeDocument/2006/relationships/hyperlink" Target="http://amazon.in" TargetMode="External"/><Relationship Id="rId1464" Type="http://schemas.openxmlformats.org/officeDocument/2006/relationships/hyperlink" Target="http://amazon.in" TargetMode="External"/><Relationship Id="rId2795" Type="http://schemas.openxmlformats.org/officeDocument/2006/relationships/hyperlink" Target="http://amazon.in" TargetMode="External"/><Relationship Id="rId1465" Type="http://schemas.openxmlformats.org/officeDocument/2006/relationships/hyperlink" Target="http://amazon.in" TargetMode="External"/><Relationship Id="rId2796" Type="http://schemas.openxmlformats.org/officeDocument/2006/relationships/hyperlink" Target="http://amazon.in" TargetMode="External"/><Relationship Id="rId1411" Type="http://schemas.openxmlformats.org/officeDocument/2006/relationships/hyperlink" Target="http://amazon.in" TargetMode="External"/><Relationship Id="rId2742" Type="http://schemas.openxmlformats.org/officeDocument/2006/relationships/hyperlink" Target="http://amazon.in" TargetMode="External"/><Relationship Id="rId1412" Type="http://schemas.openxmlformats.org/officeDocument/2006/relationships/hyperlink" Target="http://amazon.in" TargetMode="External"/><Relationship Id="rId2743" Type="http://schemas.openxmlformats.org/officeDocument/2006/relationships/hyperlink" Target="http://amazon.in" TargetMode="External"/><Relationship Id="rId1413" Type="http://schemas.openxmlformats.org/officeDocument/2006/relationships/hyperlink" Target="http://amazon.in" TargetMode="External"/><Relationship Id="rId2744" Type="http://schemas.openxmlformats.org/officeDocument/2006/relationships/hyperlink" Target="http://amazon.in" TargetMode="External"/><Relationship Id="rId1414" Type="http://schemas.openxmlformats.org/officeDocument/2006/relationships/hyperlink" Target="http://amazon.in" TargetMode="External"/><Relationship Id="rId2745" Type="http://schemas.openxmlformats.org/officeDocument/2006/relationships/hyperlink" Target="http://amazon.in" TargetMode="External"/><Relationship Id="rId1415" Type="http://schemas.openxmlformats.org/officeDocument/2006/relationships/hyperlink" Target="http://amazon.in" TargetMode="External"/><Relationship Id="rId2746" Type="http://schemas.openxmlformats.org/officeDocument/2006/relationships/hyperlink" Target="http://amazon.in" TargetMode="External"/><Relationship Id="rId1416" Type="http://schemas.openxmlformats.org/officeDocument/2006/relationships/hyperlink" Target="http://amazon.in" TargetMode="External"/><Relationship Id="rId2747" Type="http://schemas.openxmlformats.org/officeDocument/2006/relationships/hyperlink" Target="http://amazon.in" TargetMode="External"/><Relationship Id="rId1417" Type="http://schemas.openxmlformats.org/officeDocument/2006/relationships/hyperlink" Target="http://amazon.in" TargetMode="External"/><Relationship Id="rId2748" Type="http://schemas.openxmlformats.org/officeDocument/2006/relationships/hyperlink" Target="http://amazon.in" TargetMode="External"/><Relationship Id="rId1418" Type="http://schemas.openxmlformats.org/officeDocument/2006/relationships/hyperlink" Target="http://amazon.in" TargetMode="External"/><Relationship Id="rId2749" Type="http://schemas.openxmlformats.org/officeDocument/2006/relationships/hyperlink" Target="http://amazon.in" TargetMode="External"/><Relationship Id="rId1419" Type="http://schemas.openxmlformats.org/officeDocument/2006/relationships/hyperlink" Target="http://amazon.in" TargetMode="External"/><Relationship Id="rId2740" Type="http://schemas.openxmlformats.org/officeDocument/2006/relationships/hyperlink" Target="http://amazon.in" TargetMode="External"/><Relationship Id="rId1410" Type="http://schemas.openxmlformats.org/officeDocument/2006/relationships/hyperlink" Target="http://amazon.in" TargetMode="External"/><Relationship Id="rId2741" Type="http://schemas.openxmlformats.org/officeDocument/2006/relationships/hyperlink" Target="http://amazon.in" TargetMode="External"/><Relationship Id="rId1400" Type="http://schemas.openxmlformats.org/officeDocument/2006/relationships/hyperlink" Target="http://amazon.in" TargetMode="External"/><Relationship Id="rId2731" Type="http://schemas.openxmlformats.org/officeDocument/2006/relationships/hyperlink" Target="http://amazon.in" TargetMode="External"/><Relationship Id="rId1401" Type="http://schemas.openxmlformats.org/officeDocument/2006/relationships/hyperlink" Target="http://amazon.in" TargetMode="External"/><Relationship Id="rId2732" Type="http://schemas.openxmlformats.org/officeDocument/2006/relationships/hyperlink" Target="http://amazon.in" TargetMode="External"/><Relationship Id="rId1402" Type="http://schemas.openxmlformats.org/officeDocument/2006/relationships/hyperlink" Target="http://amazon.in" TargetMode="External"/><Relationship Id="rId2733" Type="http://schemas.openxmlformats.org/officeDocument/2006/relationships/hyperlink" Target="http://amazon.in" TargetMode="External"/><Relationship Id="rId1403" Type="http://schemas.openxmlformats.org/officeDocument/2006/relationships/hyperlink" Target="http://amazon.in" TargetMode="External"/><Relationship Id="rId2734" Type="http://schemas.openxmlformats.org/officeDocument/2006/relationships/hyperlink" Target="http://amazon.in" TargetMode="External"/><Relationship Id="rId1404" Type="http://schemas.openxmlformats.org/officeDocument/2006/relationships/hyperlink" Target="http://amazon.in" TargetMode="External"/><Relationship Id="rId2735" Type="http://schemas.openxmlformats.org/officeDocument/2006/relationships/hyperlink" Target="http://amazon.in" TargetMode="External"/><Relationship Id="rId1405" Type="http://schemas.openxmlformats.org/officeDocument/2006/relationships/hyperlink" Target="http://amazon.in" TargetMode="External"/><Relationship Id="rId2736" Type="http://schemas.openxmlformats.org/officeDocument/2006/relationships/hyperlink" Target="http://amazon.in" TargetMode="External"/><Relationship Id="rId1406" Type="http://schemas.openxmlformats.org/officeDocument/2006/relationships/hyperlink" Target="http://amazon.in" TargetMode="External"/><Relationship Id="rId2737" Type="http://schemas.openxmlformats.org/officeDocument/2006/relationships/hyperlink" Target="http://amazon.in" TargetMode="External"/><Relationship Id="rId1407" Type="http://schemas.openxmlformats.org/officeDocument/2006/relationships/hyperlink" Target="http://amazon.in" TargetMode="External"/><Relationship Id="rId2738" Type="http://schemas.openxmlformats.org/officeDocument/2006/relationships/hyperlink" Target="http://amazon.in" TargetMode="External"/><Relationship Id="rId1408" Type="http://schemas.openxmlformats.org/officeDocument/2006/relationships/hyperlink" Target="http://amazon.in" TargetMode="External"/><Relationship Id="rId2739" Type="http://schemas.openxmlformats.org/officeDocument/2006/relationships/hyperlink" Target="http://amazon.in" TargetMode="External"/><Relationship Id="rId1409" Type="http://schemas.openxmlformats.org/officeDocument/2006/relationships/hyperlink" Target="http://amazon.in" TargetMode="External"/><Relationship Id="rId2730" Type="http://schemas.openxmlformats.org/officeDocument/2006/relationships/hyperlink" Target="http://amazon.in" TargetMode="External"/><Relationship Id="rId1433" Type="http://schemas.openxmlformats.org/officeDocument/2006/relationships/hyperlink" Target="http://amazon.in" TargetMode="External"/><Relationship Id="rId2764" Type="http://schemas.openxmlformats.org/officeDocument/2006/relationships/hyperlink" Target="http://amazon.in" TargetMode="External"/><Relationship Id="rId1434" Type="http://schemas.openxmlformats.org/officeDocument/2006/relationships/hyperlink" Target="http://amazon.in" TargetMode="External"/><Relationship Id="rId2765" Type="http://schemas.openxmlformats.org/officeDocument/2006/relationships/hyperlink" Target="http://amazon.in" TargetMode="External"/><Relationship Id="rId1435" Type="http://schemas.openxmlformats.org/officeDocument/2006/relationships/hyperlink" Target="http://amazon.in" TargetMode="External"/><Relationship Id="rId2766" Type="http://schemas.openxmlformats.org/officeDocument/2006/relationships/hyperlink" Target="http://amazon.in" TargetMode="External"/><Relationship Id="rId1436" Type="http://schemas.openxmlformats.org/officeDocument/2006/relationships/hyperlink" Target="http://amazon.in" TargetMode="External"/><Relationship Id="rId2767" Type="http://schemas.openxmlformats.org/officeDocument/2006/relationships/hyperlink" Target="http://amazon.in" TargetMode="External"/><Relationship Id="rId1437" Type="http://schemas.openxmlformats.org/officeDocument/2006/relationships/hyperlink" Target="http://amazon.in" TargetMode="External"/><Relationship Id="rId2768" Type="http://schemas.openxmlformats.org/officeDocument/2006/relationships/hyperlink" Target="http://amazon.in" TargetMode="External"/><Relationship Id="rId1438" Type="http://schemas.openxmlformats.org/officeDocument/2006/relationships/hyperlink" Target="http://amazon.in" TargetMode="External"/><Relationship Id="rId2769" Type="http://schemas.openxmlformats.org/officeDocument/2006/relationships/hyperlink" Target="http://amazon.in" TargetMode="External"/><Relationship Id="rId1439" Type="http://schemas.openxmlformats.org/officeDocument/2006/relationships/hyperlink" Target="http://amazon.in" TargetMode="External"/><Relationship Id="rId609" Type="http://schemas.openxmlformats.org/officeDocument/2006/relationships/hyperlink" Target="http://amazon.in" TargetMode="External"/><Relationship Id="rId608" Type="http://schemas.openxmlformats.org/officeDocument/2006/relationships/hyperlink" Target="http://amazon.in" TargetMode="External"/><Relationship Id="rId607" Type="http://schemas.openxmlformats.org/officeDocument/2006/relationships/hyperlink" Target="http://amazon.in" TargetMode="External"/><Relationship Id="rId602" Type="http://schemas.openxmlformats.org/officeDocument/2006/relationships/hyperlink" Target="http://amazon.in" TargetMode="External"/><Relationship Id="rId601" Type="http://schemas.openxmlformats.org/officeDocument/2006/relationships/hyperlink" Target="http://amazon.in" TargetMode="External"/><Relationship Id="rId600" Type="http://schemas.openxmlformats.org/officeDocument/2006/relationships/hyperlink" Target="http://amazon.in" TargetMode="External"/><Relationship Id="rId606" Type="http://schemas.openxmlformats.org/officeDocument/2006/relationships/hyperlink" Target="http://amazon.in" TargetMode="External"/><Relationship Id="rId605" Type="http://schemas.openxmlformats.org/officeDocument/2006/relationships/hyperlink" Target="http://amazon.in" TargetMode="External"/><Relationship Id="rId604" Type="http://schemas.openxmlformats.org/officeDocument/2006/relationships/hyperlink" Target="http://amazon.in" TargetMode="External"/><Relationship Id="rId603" Type="http://schemas.openxmlformats.org/officeDocument/2006/relationships/hyperlink" Target="http://amazon.in" TargetMode="External"/><Relationship Id="rId2760" Type="http://schemas.openxmlformats.org/officeDocument/2006/relationships/hyperlink" Target="http://amazon.in" TargetMode="External"/><Relationship Id="rId1430" Type="http://schemas.openxmlformats.org/officeDocument/2006/relationships/hyperlink" Target="http://amazon.in" TargetMode="External"/><Relationship Id="rId2761" Type="http://schemas.openxmlformats.org/officeDocument/2006/relationships/hyperlink" Target="http://amazon.in" TargetMode="External"/><Relationship Id="rId1431" Type="http://schemas.openxmlformats.org/officeDocument/2006/relationships/hyperlink" Target="http://amazon.in" TargetMode="External"/><Relationship Id="rId2762" Type="http://schemas.openxmlformats.org/officeDocument/2006/relationships/hyperlink" Target="http://amazon.in" TargetMode="External"/><Relationship Id="rId1432" Type="http://schemas.openxmlformats.org/officeDocument/2006/relationships/hyperlink" Target="http://amazon.in" TargetMode="External"/><Relationship Id="rId2763" Type="http://schemas.openxmlformats.org/officeDocument/2006/relationships/hyperlink" Target="http://amazon.in" TargetMode="External"/><Relationship Id="rId1422" Type="http://schemas.openxmlformats.org/officeDocument/2006/relationships/hyperlink" Target="http://amazon.in" TargetMode="External"/><Relationship Id="rId2753" Type="http://schemas.openxmlformats.org/officeDocument/2006/relationships/hyperlink" Target="http://amazon.in" TargetMode="External"/><Relationship Id="rId1423" Type="http://schemas.openxmlformats.org/officeDocument/2006/relationships/hyperlink" Target="http://amazon.in" TargetMode="External"/><Relationship Id="rId2754" Type="http://schemas.openxmlformats.org/officeDocument/2006/relationships/hyperlink" Target="http://amazon.in" TargetMode="External"/><Relationship Id="rId1424" Type="http://schemas.openxmlformats.org/officeDocument/2006/relationships/hyperlink" Target="http://amazon.in" TargetMode="External"/><Relationship Id="rId2755" Type="http://schemas.openxmlformats.org/officeDocument/2006/relationships/hyperlink" Target="http://amazon.in" TargetMode="External"/><Relationship Id="rId1425" Type="http://schemas.openxmlformats.org/officeDocument/2006/relationships/hyperlink" Target="http://amazon.in" TargetMode="External"/><Relationship Id="rId2756" Type="http://schemas.openxmlformats.org/officeDocument/2006/relationships/hyperlink" Target="http://amazon.in" TargetMode="External"/><Relationship Id="rId1426" Type="http://schemas.openxmlformats.org/officeDocument/2006/relationships/hyperlink" Target="http://amazon.in" TargetMode="External"/><Relationship Id="rId2757" Type="http://schemas.openxmlformats.org/officeDocument/2006/relationships/hyperlink" Target="http://amazon.in" TargetMode="External"/><Relationship Id="rId1427" Type="http://schemas.openxmlformats.org/officeDocument/2006/relationships/hyperlink" Target="http://amazon.in" TargetMode="External"/><Relationship Id="rId2758" Type="http://schemas.openxmlformats.org/officeDocument/2006/relationships/hyperlink" Target="http://amazon.in" TargetMode="External"/><Relationship Id="rId1428" Type="http://schemas.openxmlformats.org/officeDocument/2006/relationships/hyperlink" Target="http://amazon.in" TargetMode="External"/><Relationship Id="rId2759" Type="http://schemas.openxmlformats.org/officeDocument/2006/relationships/hyperlink" Target="http://amazon.in" TargetMode="External"/><Relationship Id="rId1429" Type="http://schemas.openxmlformats.org/officeDocument/2006/relationships/hyperlink" Target="http://amazon.in" TargetMode="External"/><Relationship Id="rId2750" Type="http://schemas.openxmlformats.org/officeDocument/2006/relationships/hyperlink" Target="http://amazon.in" TargetMode="External"/><Relationship Id="rId1420" Type="http://schemas.openxmlformats.org/officeDocument/2006/relationships/hyperlink" Target="http://amazon.in" TargetMode="External"/><Relationship Id="rId2751" Type="http://schemas.openxmlformats.org/officeDocument/2006/relationships/hyperlink" Target="http://amazon.in" TargetMode="External"/><Relationship Id="rId1421" Type="http://schemas.openxmlformats.org/officeDocument/2006/relationships/hyperlink" Target="http://amazon.in" TargetMode="External"/><Relationship Id="rId2752" Type="http://schemas.openxmlformats.org/officeDocument/2006/relationships/hyperlink" Target="http://amazon.in" TargetMode="External"/><Relationship Id="rId3238" Type="http://schemas.openxmlformats.org/officeDocument/2006/relationships/hyperlink" Target="http://amazon.in" TargetMode="External"/><Relationship Id="rId4569" Type="http://schemas.openxmlformats.org/officeDocument/2006/relationships/hyperlink" Target="http://amazon.in" TargetMode="External"/><Relationship Id="rId3237" Type="http://schemas.openxmlformats.org/officeDocument/2006/relationships/hyperlink" Target="http://amazon.in" TargetMode="External"/><Relationship Id="rId4568" Type="http://schemas.openxmlformats.org/officeDocument/2006/relationships/hyperlink" Target="http://amazon.in" TargetMode="External"/><Relationship Id="rId3239" Type="http://schemas.openxmlformats.org/officeDocument/2006/relationships/hyperlink" Target="http://amazon.in" TargetMode="External"/><Relationship Id="rId3230" Type="http://schemas.openxmlformats.org/officeDocument/2006/relationships/hyperlink" Target="http://amazon.in" TargetMode="External"/><Relationship Id="rId4561" Type="http://schemas.openxmlformats.org/officeDocument/2006/relationships/hyperlink" Target="http://amazon.in" TargetMode="External"/><Relationship Id="rId4560" Type="http://schemas.openxmlformats.org/officeDocument/2006/relationships/hyperlink" Target="http://amazon.in" TargetMode="External"/><Relationship Id="rId3232" Type="http://schemas.openxmlformats.org/officeDocument/2006/relationships/hyperlink" Target="http://amazon.in" TargetMode="External"/><Relationship Id="rId4563" Type="http://schemas.openxmlformats.org/officeDocument/2006/relationships/hyperlink" Target="http://amazon.in" TargetMode="External"/><Relationship Id="rId3231" Type="http://schemas.openxmlformats.org/officeDocument/2006/relationships/hyperlink" Target="http://amazon.in" TargetMode="External"/><Relationship Id="rId4562" Type="http://schemas.openxmlformats.org/officeDocument/2006/relationships/hyperlink" Target="http://amazon.in" TargetMode="External"/><Relationship Id="rId3234" Type="http://schemas.openxmlformats.org/officeDocument/2006/relationships/hyperlink" Target="http://amazon.in" TargetMode="External"/><Relationship Id="rId4565" Type="http://schemas.openxmlformats.org/officeDocument/2006/relationships/hyperlink" Target="http://amazon.in" TargetMode="External"/><Relationship Id="rId3233" Type="http://schemas.openxmlformats.org/officeDocument/2006/relationships/hyperlink" Target="http://amazon.in" TargetMode="External"/><Relationship Id="rId4564" Type="http://schemas.openxmlformats.org/officeDocument/2006/relationships/hyperlink" Target="http://amazon.in" TargetMode="External"/><Relationship Id="rId3236" Type="http://schemas.openxmlformats.org/officeDocument/2006/relationships/hyperlink" Target="http://amazon.in" TargetMode="External"/><Relationship Id="rId4567" Type="http://schemas.openxmlformats.org/officeDocument/2006/relationships/hyperlink" Target="http://amazon.in" TargetMode="External"/><Relationship Id="rId3235" Type="http://schemas.openxmlformats.org/officeDocument/2006/relationships/hyperlink" Target="http://amazon.in" TargetMode="External"/><Relationship Id="rId4566" Type="http://schemas.openxmlformats.org/officeDocument/2006/relationships/hyperlink" Target="http://amazon.in" TargetMode="External"/><Relationship Id="rId3227" Type="http://schemas.openxmlformats.org/officeDocument/2006/relationships/hyperlink" Target="http://amazon.in" TargetMode="External"/><Relationship Id="rId4558" Type="http://schemas.openxmlformats.org/officeDocument/2006/relationships/hyperlink" Target="http://amazon.in" TargetMode="External"/><Relationship Id="rId3226" Type="http://schemas.openxmlformats.org/officeDocument/2006/relationships/hyperlink" Target="http://amazon.in" TargetMode="External"/><Relationship Id="rId4557" Type="http://schemas.openxmlformats.org/officeDocument/2006/relationships/hyperlink" Target="http://amazon.in" TargetMode="External"/><Relationship Id="rId3229" Type="http://schemas.openxmlformats.org/officeDocument/2006/relationships/hyperlink" Target="http://amazon.in" TargetMode="External"/><Relationship Id="rId3228" Type="http://schemas.openxmlformats.org/officeDocument/2006/relationships/hyperlink" Target="http://amazon.in" TargetMode="External"/><Relationship Id="rId4559" Type="http://schemas.openxmlformats.org/officeDocument/2006/relationships/hyperlink" Target="http://amazon.in" TargetMode="External"/><Relationship Id="rId699" Type="http://schemas.openxmlformats.org/officeDocument/2006/relationships/hyperlink" Target="http://amazon.in" TargetMode="External"/><Relationship Id="rId698" Type="http://schemas.openxmlformats.org/officeDocument/2006/relationships/hyperlink" Target="http://amazon.in" TargetMode="External"/><Relationship Id="rId693" Type="http://schemas.openxmlformats.org/officeDocument/2006/relationships/hyperlink" Target="http://amazon.in" TargetMode="External"/><Relationship Id="rId4550" Type="http://schemas.openxmlformats.org/officeDocument/2006/relationships/hyperlink" Target="http://amazon.in" TargetMode="External"/><Relationship Id="rId692" Type="http://schemas.openxmlformats.org/officeDocument/2006/relationships/hyperlink" Target="http://amazon.in" TargetMode="External"/><Relationship Id="rId691" Type="http://schemas.openxmlformats.org/officeDocument/2006/relationships/hyperlink" Target="http://amazon.in" TargetMode="External"/><Relationship Id="rId3221" Type="http://schemas.openxmlformats.org/officeDocument/2006/relationships/hyperlink" Target="http://amazon.in" TargetMode="External"/><Relationship Id="rId4552" Type="http://schemas.openxmlformats.org/officeDocument/2006/relationships/hyperlink" Target="http://amazon.in" TargetMode="External"/><Relationship Id="rId690" Type="http://schemas.openxmlformats.org/officeDocument/2006/relationships/hyperlink" Target="http://amazon.in" TargetMode="External"/><Relationship Id="rId3220" Type="http://schemas.openxmlformats.org/officeDocument/2006/relationships/hyperlink" Target="http://amazon.in" TargetMode="External"/><Relationship Id="rId4551" Type="http://schemas.openxmlformats.org/officeDocument/2006/relationships/hyperlink" Target="http://amazon.in" TargetMode="External"/><Relationship Id="rId697" Type="http://schemas.openxmlformats.org/officeDocument/2006/relationships/hyperlink" Target="http://amazon.in" TargetMode="External"/><Relationship Id="rId3223" Type="http://schemas.openxmlformats.org/officeDocument/2006/relationships/hyperlink" Target="http://amazon.in" TargetMode="External"/><Relationship Id="rId4554" Type="http://schemas.openxmlformats.org/officeDocument/2006/relationships/hyperlink" Target="http://amazon.in" TargetMode="External"/><Relationship Id="rId696" Type="http://schemas.openxmlformats.org/officeDocument/2006/relationships/hyperlink" Target="http://amazon.in" TargetMode="External"/><Relationship Id="rId3222" Type="http://schemas.openxmlformats.org/officeDocument/2006/relationships/hyperlink" Target="http://amazon.in" TargetMode="External"/><Relationship Id="rId4553" Type="http://schemas.openxmlformats.org/officeDocument/2006/relationships/hyperlink" Target="http://amazon.in" TargetMode="External"/><Relationship Id="rId695" Type="http://schemas.openxmlformats.org/officeDocument/2006/relationships/hyperlink" Target="http://amazon.in" TargetMode="External"/><Relationship Id="rId3225" Type="http://schemas.openxmlformats.org/officeDocument/2006/relationships/hyperlink" Target="http://amazon.in" TargetMode="External"/><Relationship Id="rId4556" Type="http://schemas.openxmlformats.org/officeDocument/2006/relationships/hyperlink" Target="http://amazon.in" TargetMode="External"/><Relationship Id="rId694" Type="http://schemas.openxmlformats.org/officeDocument/2006/relationships/hyperlink" Target="http://amazon.in" TargetMode="External"/><Relationship Id="rId3224" Type="http://schemas.openxmlformats.org/officeDocument/2006/relationships/hyperlink" Target="http://amazon.in" TargetMode="External"/><Relationship Id="rId4555" Type="http://schemas.openxmlformats.org/officeDocument/2006/relationships/hyperlink" Target="http://amazon.in" TargetMode="External"/><Relationship Id="rId3259" Type="http://schemas.openxmlformats.org/officeDocument/2006/relationships/hyperlink" Target="http://amazon.in" TargetMode="External"/><Relationship Id="rId3250" Type="http://schemas.openxmlformats.org/officeDocument/2006/relationships/hyperlink" Target="http://amazon.in" TargetMode="External"/><Relationship Id="rId4581" Type="http://schemas.openxmlformats.org/officeDocument/2006/relationships/hyperlink" Target="http://amazon.in" TargetMode="External"/><Relationship Id="rId4580" Type="http://schemas.openxmlformats.org/officeDocument/2006/relationships/hyperlink" Target="http://amazon.in" TargetMode="External"/><Relationship Id="rId3252" Type="http://schemas.openxmlformats.org/officeDocument/2006/relationships/hyperlink" Target="http://amazon.in" TargetMode="External"/><Relationship Id="rId4583" Type="http://schemas.openxmlformats.org/officeDocument/2006/relationships/hyperlink" Target="http://amazon.in" TargetMode="External"/><Relationship Id="rId3251" Type="http://schemas.openxmlformats.org/officeDocument/2006/relationships/hyperlink" Target="http://amazon.in" TargetMode="External"/><Relationship Id="rId4582" Type="http://schemas.openxmlformats.org/officeDocument/2006/relationships/hyperlink" Target="http://amazon.in" TargetMode="External"/><Relationship Id="rId3254" Type="http://schemas.openxmlformats.org/officeDocument/2006/relationships/hyperlink" Target="http://amazon.in" TargetMode="External"/><Relationship Id="rId4585" Type="http://schemas.openxmlformats.org/officeDocument/2006/relationships/hyperlink" Target="http://amazon.in" TargetMode="External"/><Relationship Id="rId3253" Type="http://schemas.openxmlformats.org/officeDocument/2006/relationships/hyperlink" Target="http://amazon.in" TargetMode="External"/><Relationship Id="rId4584" Type="http://schemas.openxmlformats.org/officeDocument/2006/relationships/hyperlink" Target="http://amazon.in" TargetMode="External"/><Relationship Id="rId3256" Type="http://schemas.openxmlformats.org/officeDocument/2006/relationships/hyperlink" Target="http://amazon.in" TargetMode="External"/><Relationship Id="rId4587" Type="http://schemas.openxmlformats.org/officeDocument/2006/relationships/hyperlink" Target="http://amazon.in" TargetMode="External"/><Relationship Id="rId3255" Type="http://schemas.openxmlformats.org/officeDocument/2006/relationships/hyperlink" Target="http://amazon.in" TargetMode="External"/><Relationship Id="rId4586" Type="http://schemas.openxmlformats.org/officeDocument/2006/relationships/hyperlink" Target="http://amazon.in" TargetMode="External"/><Relationship Id="rId3258" Type="http://schemas.openxmlformats.org/officeDocument/2006/relationships/hyperlink" Target="http://amazon.in" TargetMode="External"/><Relationship Id="rId4589" Type="http://schemas.openxmlformats.org/officeDocument/2006/relationships/hyperlink" Target="http://amazon.in" TargetMode="External"/><Relationship Id="rId3257" Type="http://schemas.openxmlformats.org/officeDocument/2006/relationships/hyperlink" Target="http://amazon.in" TargetMode="External"/><Relationship Id="rId4588" Type="http://schemas.openxmlformats.org/officeDocument/2006/relationships/hyperlink" Target="http://amazon.in" TargetMode="External"/><Relationship Id="rId3249" Type="http://schemas.openxmlformats.org/officeDocument/2006/relationships/hyperlink" Target="http://amazon.in" TargetMode="External"/><Relationship Id="rId3248" Type="http://schemas.openxmlformats.org/officeDocument/2006/relationships/hyperlink" Target="http://amazon.in" TargetMode="External"/><Relationship Id="rId4579" Type="http://schemas.openxmlformats.org/officeDocument/2006/relationships/hyperlink" Target="http://amazon.in" TargetMode="External"/><Relationship Id="rId4570" Type="http://schemas.openxmlformats.org/officeDocument/2006/relationships/hyperlink" Target="http://amazon.in" TargetMode="External"/><Relationship Id="rId3241" Type="http://schemas.openxmlformats.org/officeDocument/2006/relationships/hyperlink" Target="http://amazon.in" TargetMode="External"/><Relationship Id="rId4572" Type="http://schemas.openxmlformats.org/officeDocument/2006/relationships/hyperlink" Target="http://amazon.in" TargetMode="External"/><Relationship Id="rId3240" Type="http://schemas.openxmlformats.org/officeDocument/2006/relationships/hyperlink" Target="http://amazon.in" TargetMode="External"/><Relationship Id="rId4571" Type="http://schemas.openxmlformats.org/officeDocument/2006/relationships/hyperlink" Target="http://amazon.in" TargetMode="External"/><Relationship Id="rId3243" Type="http://schemas.openxmlformats.org/officeDocument/2006/relationships/hyperlink" Target="http://amazon.in" TargetMode="External"/><Relationship Id="rId4574" Type="http://schemas.openxmlformats.org/officeDocument/2006/relationships/hyperlink" Target="http://amazon.in" TargetMode="External"/><Relationship Id="rId3242" Type="http://schemas.openxmlformats.org/officeDocument/2006/relationships/hyperlink" Target="http://amazon.in" TargetMode="External"/><Relationship Id="rId4573" Type="http://schemas.openxmlformats.org/officeDocument/2006/relationships/hyperlink" Target="http://amazon.in" TargetMode="External"/><Relationship Id="rId3245" Type="http://schemas.openxmlformats.org/officeDocument/2006/relationships/hyperlink" Target="http://amazon.in" TargetMode="External"/><Relationship Id="rId4576" Type="http://schemas.openxmlformats.org/officeDocument/2006/relationships/hyperlink" Target="http://amazon.in" TargetMode="External"/><Relationship Id="rId3244" Type="http://schemas.openxmlformats.org/officeDocument/2006/relationships/hyperlink" Target="http://amazon.in" TargetMode="External"/><Relationship Id="rId4575" Type="http://schemas.openxmlformats.org/officeDocument/2006/relationships/hyperlink" Target="http://amazon.in" TargetMode="External"/><Relationship Id="rId3247" Type="http://schemas.openxmlformats.org/officeDocument/2006/relationships/hyperlink" Target="http://amazon.in" TargetMode="External"/><Relationship Id="rId4578" Type="http://schemas.openxmlformats.org/officeDocument/2006/relationships/hyperlink" Target="http://amazon.in" TargetMode="External"/><Relationship Id="rId3246" Type="http://schemas.openxmlformats.org/officeDocument/2006/relationships/hyperlink" Target="http://amazon.in" TargetMode="External"/><Relationship Id="rId4577" Type="http://schemas.openxmlformats.org/officeDocument/2006/relationships/hyperlink" Target="http://amazon.in" TargetMode="External"/><Relationship Id="rId1499" Type="http://schemas.openxmlformats.org/officeDocument/2006/relationships/hyperlink" Target="http://amazon.in" TargetMode="External"/><Relationship Id="rId4525" Type="http://schemas.openxmlformats.org/officeDocument/2006/relationships/hyperlink" Target="http://amazon.in" TargetMode="External"/><Relationship Id="rId4524" Type="http://schemas.openxmlformats.org/officeDocument/2006/relationships/hyperlink" Target="http://amazon.in" TargetMode="External"/><Relationship Id="rId4527" Type="http://schemas.openxmlformats.org/officeDocument/2006/relationships/hyperlink" Target="http://amazon.in" TargetMode="External"/><Relationship Id="rId4526" Type="http://schemas.openxmlformats.org/officeDocument/2006/relationships/hyperlink" Target="http://amazon.in" TargetMode="External"/><Relationship Id="rId4529" Type="http://schemas.openxmlformats.org/officeDocument/2006/relationships/hyperlink" Target="http://amazon.in" TargetMode="External"/><Relationship Id="rId4528" Type="http://schemas.openxmlformats.org/officeDocument/2006/relationships/hyperlink" Target="http://amazon.in" TargetMode="External"/><Relationship Id="rId668" Type="http://schemas.openxmlformats.org/officeDocument/2006/relationships/hyperlink" Target="http://amazon.in" TargetMode="External"/><Relationship Id="rId667" Type="http://schemas.openxmlformats.org/officeDocument/2006/relationships/hyperlink" Target="http://amazon.in" TargetMode="External"/><Relationship Id="rId666" Type="http://schemas.openxmlformats.org/officeDocument/2006/relationships/hyperlink" Target="http://amazon.in" TargetMode="External"/><Relationship Id="rId665" Type="http://schemas.openxmlformats.org/officeDocument/2006/relationships/hyperlink" Target="http://amazon.in" TargetMode="External"/><Relationship Id="rId669" Type="http://schemas.openxmlformats.org/officeDocument/2006/relationships/hyperlink" Target="http://amazon.in" TargetMode="External"/><Relationship Id="rId1490" Type="http://schemas.openxmlformats.org/officeDocument/2006/relationships/hyperlink" Target="http://amazon.in" TargetMode="External"/><Relationship Id="rId660" Type="http://schemas.openxmlformats.org/officeDocument/2006/relationships/hyperlink" Target="http://amazon.in" TargetMode="External"/><Relationship Id="rId1491" Type="http://schemas.openxmlformats.org/officeDocument/2006/relationships/hyperlink" Target="http://amazon.in" TargetMode="External"/><Relationship Id="rId1492" Type="http://schemas.openxmlformats.org/officeDocument/2006/relationships/hyperlink" Target="http://amazon.in" TargetMode="External"/><Relationship Id="rId1493" Type="http://schemas.openxmlformats.org/officeDocument/2006/relationships/hyperlink" Target="http://amazon.in" TargetMode="External"/><Relationship Id="rId1494" Type="http://schemas.openxmlformats.org/officeDocument/2006/relationships/hyperlink" Target="http://amazon.in" TargetMode="External"/><Relationship Id="rId664" Type="http://schemas.openxmlformats.org/officeDocument/2006/relationships/hyperlink" Target="http://amazon.in" TargetMode="External"/><Relationship Id="rId1495" Type="http://schemas.openxmlformats.org/officeDocument/2006/relationships/hyperlink" Target="http://amazon.in" TargetMode="External"/><Relationship Id="rId4521" Type="http://schemas.openxmlformats.org/officeDocument/2006/relationships/hyperlink" Target="http://amazon.in" TargetMode="External"/><Relationship Id="rId663" Type="http://schemas.openxmlformats.org/officeDocument/2006/relationships/hyperlink" Target="http://amazon.in" TargetMode="External"/><Relationship Id="rId1496" Type="http://schemas.openxmlformats.org/officeDocument/2006/relationships/hyperlink" Target="http://amazon.in" TargetMode="External"/><Relationship Id="rId4520" Type="http://schemas.openxmlformats.org/officeDocument/2006/relationships/hyperlink" Target="http://amazon.in" TargetMode="External"/><Relationship Id="rId662" Type="http://schemas.openxmlformats.org/officeDocument/2006/relationships/hyperlink" Target="http://amazon.in" TargetMode="External"/><Relationship Id="rId1497" Type="http://schemas.openxmlformats.org/officeDocument/2006/relationships/hyperlink" Target="http://amazon.in" TargetMode="External"/><Relationship Id="rId4523" Type="http://schemas.openxmlformats.org/officeDocument/2006/relationships/hyperlink" Target="http://amazon.in" TargetMode="External"/><Relationship Id="rId661" Type="http://schemas.openxmlformats.org/officeDocument/2006/relationships/hyperlink" Target="http://amazon.in" TargetMode="External"/><Relationship Id="rId1498" Type="http://schemas.openxmlformats.org/officeDocument/2006/relationships/hyperlink" Target="http://amazon.in" TargetMode="External"/><Relationship Id="rId4522" Type="http://schemas.openxmlformats.org/officeDocument/2006/relationships/hyperlink" Target="http://amazon.in" TargetMode="External"/><Relationship Id="rId1488" Type="http://schemas.openxmlformats.org/officeDocument/2006/relationships/hyperlink" Target="http://amazon.in" TargetMode="External"/><Relationship Id="rId4514" Type="http://schemas.openxmlformats.org/officeDocument/2006/relationships/hyperlink" Target="http://amazon.in" TargetMode="External"/><Relationship Id="rId1489" Type="http://schemas.openxmlformats.org/officeDocument/2006/relationships/hyperlink" Target="http://amazon.in" TargetMode="External"/><Relationship Id="rId4513" Type="http://schemas.openxmlformats.org/officeDocument/2006/relationships/hyperlink" Target="http://amazon.in" TargetMode="External"/><Relationship Id="rId4516" Type="http://schemas.openxmlformats.org/officeDocument/2006/relationships/hyperlink" Target="http://amazon.in" TargetMode="External"/><Relationship Id="rId4515" Type="http://schemas.openxmlformats.org/officeDocument/2006/relationships/hyperlink" Target="http://amazon.in" TargetMode="External"/><Relationship Id="rId4518" Type="http://schemas.openxmlformats.org/officeDocument/2006/relationships/hyperlink" Target="http://amazon.in" TargetMode="External"/><Relationship Id="rId4517" Type="http://schemas.openxmlformats.org/officeDocument/2006/relationships/hyperlink" Target="http://amazon.in" TargetMode="External"/><Relationship Id="rId4519" Type="http://schemas.openxmlformats.org/officeDocument/2006/relationships/hyperlink" Target="http://amazon.in" TargetMode="External"/><Relationship Id="rId657" Type="http://schemas.openxmlformats.org/officeDocument/2006/relationships/hyperlink" Target="http://amazon.in" TargetMode="External"/><Relationship Id="rId656" Type="http://schemas.openxmlformats.org/officeDocument/2006/relationships/hyperlink" Target="http://amazon.in" TargetMode="External"/><Relationship Id="rId655" Type="http://schemas.openxmlformats.org/officeDocument/2006/relationships/hyperlink" Target="http://amazon.in" TargetMode="External"/><Relationship Id="rId654" Type="http://schemas.openxmlformats.org/officeDocument/2006/relationships/hyperlink" Target="http://amazon.in" TargetMode="External"/><Relationship Id="rId659" Type="http://schemas.openxmlformats.org/officeDocument/2006/relationships/hyperlink" Target="http://amazon.in" TargetMode="External"/><Relationship Id="rId658" Type="http://schemas.openxmlformats.org/officeDocument/2006/relationships/hyperlink" Target="http://amazon.in" TargetMode="External"/><Relationship Id="rId1480" Type="http://schemas.openxmlformats.org/officeDocument/2006/relationships/hyperlink" Target="http://amazon.in" TargetMode="External"/><Relationship Id="rId1481" Type="http://schemas.openxmlformats.org/officeDocument/2006/relationships/hyperlink" Target="http://amazon.in" TargetMode="External"/><Relationship Id="rId1482" Type="http://schemas.openxmlformats.org/officeDocument/2006/relationships/hyperlink" Target="http://amazon.in" TargetMode="External"/><Relationship Id="rId1483" Type="http://schemas.openxmlformats.org/officeDocument/2006/relationships/hyperlink" Target="http://amazon.in" TargetMode="External"/><Relationship Id="rId653" Type="http://schemas.openxmlformats.org/officeDocument/2006/relationships/hyperlink" Target="http://amazon.in" TargetMode="External"/><Relationship Id="rId1484" Type="http://schemas.openxmlformats.org/officeDocument/2006/relationships/hyperlink" Target="http://amazon.in" TargetMode="External"/><Relationship Id="rId4510" Type="http://schemas.openxmlformats.org/officeDocument/2006/relationships/hyperlink" Target="http://amazon.in" TargetMode="External"/><Relationship Id="rId652" Type="http://schemas.openxmlformats.org/officeDocument/2006/relationships/hyperlink" Target="http://amazon.in" TargetMode="External"/><Relationship Id="rId1485" Type="http://schemas.openxmlformats.org/officeDocument/2006/relationships/hyperlink" Target="http://amazon.in" TargetMode="External"/><Relationship Id="rId651" Type="http://schemas.openxmlformats.org/officeDocument/2006/relationships/hyperlink" Target="http://amazon.in" TargetMode="External"/><Relationship Id="rId1486" Type="http://schemas.openxmlformats.org/officeDocument/2006/relationships/hyperlink" Target="http://amazon.in" TargetMode="External"/><Relationship Id="rId4512" Type="http://schemas.openxmlformats.org/officeDocument/2006/relationships/hyperlink" Target="http://amazon.in" TargetMode="External"/><Relationship Id="rId650" Type="http://schemas.openxmlformats.org/officeDocument/2006/relationships/hyperlink" Target="http://amazon.in" TargetMode="External"/><Relationship Id="rId1487" Type="http://schemas.openxmlformats.org/officeDocument/2006/relationships/hyperlink" Target="http://amazon.in" TargetMode="External"/><Relationship Id="rId4511" Type="http://schemas.openxmlformats.org/officeDocument/2006/relationships/hyperlink" Target="http://amazon.in" TargetMode="External"/><Relationship Id="rId3216" Type="http://schemas.openxmlformats.org/officeDocument/2006/relationships/hyperlink" Target="http://amazon.in" TargetMode="External"/><Relationship Id="rId4547" Type="http://schemas.openxmlformats.org/officeDocument/2006/relationships/hyperlink" Target="http://amazon.in" TargetMode="External"/><Relationship Id="rId3215" Type="http://schemas.openxmlformats.org/officeDocument/2006/relationships/hyperlink" Target="http://amazon.in" TargetMode="External"/><Relationship Id="rId4546" Type="http://schemas.openxmlformats.org/officeDocument/2006/relationships/hyperlink" Target="http://amazon.in" TargetMode="External"/><Relationship Id="rId3218" Type="http://schemas.openxmlformats.org/officeDocument/2006/relationships/hyperlink" Target="http://amazon.in" TargetMode="External"/><Relationship Id="rId4549" Type="http://schemas.openxmlformats.org/officeDocument/2006/relationships/hyperlink" Target="http://amazon.in" TargetMode="External"/><Relationship Id="rId3217" Type="http://schemas.openxmlformats.org/officeDocument/2006/relationships/hyperlink" Target="http://amazon.in" TargetMode="External"/><Relationship Id="rId4548" Type="http://schemas.openxmlformats.org/officeDocument/2006/relationships/hyperlink" Target="http://amazon.in" TargetMode="External"/><Relationship Id="rId3219" Type="http://schemas.openxmlformats.org/officeDocument/2006/relationships/hyperlink" Target="http://amazon.in" TargetMode="External"/><Relationship Id="rId689" Type="http://schemas.openxmlformats.org/officeDocument/2006/relationships/hyperlink" Target="http://amazon.in" TargetMode="External"/><Relationship Id="rId688" Type="http://schemas.openxmlformats.org/officeDocument/2006/relationships/hyperlink" Target="http://amazon.in" TargetMode="External"/><Relationship Id="rId687" Type="http://schemas.openxmlformats.org/officeDocument/2006/relationships/hyperlink" Target="http://amazon.in" TargetMode="External"/><Relationship Id="rId682" Type="http://schemas.openxmlformats.org/officeDocument/2006/relationships/hyperlink" Target="http://amazon.in" TargetMode="External"/><Relationship Id="rId681" Type="http://schemas.openxmlformats.org/officeDocument/2006/relationships/hyperlink" Target="http://amazon.in" TargetMode="External"/><Relationship Id="rId680" Type="http://schemas.openxmlformats.org/officeDocument/2006/relationships/hyperlink" Target="http://amazon.in" TargetMode="External"/><Relationship Id="rId3210" Type="http://schemas.openxmlformats.org/officeDocument/2006/relationships/hyperlink" Target="http://amazon.in" TargetMode="External"/><Relationship Id="rId4541" Type="http://schemas.openxmlformats.org/officeDocument/2006/relationships/hyperlink" Target="http://amazon.in" TargetMode="External"/><Relationship Id="rId4540" Type="http://schemas.openxmlformats.org/officeDocument/2006/relationships/hyperlink" Target="http://amazon.in" TargetMode="External"/><Relationship Id="rId686" Type="http://schemas.openxmlformats.org/officeDocument/2006/relationships/hyperlink" Target="http://amazon.in" TargetMode="External"/><Relationship Id="rId3212" Type="http://schemas.openxmlformats.org/officeDocument/2006/relationships/hyperlink" Target="http://amazon.in" TargetMode="External"/><Relationship Id="rId4543" Type="http://schemas.openxmlformats.org/officeDocument/2006/relationships/hyperlink" Target="http://amazon.in" TargetMode="External"/><Relationship Id="rId685" Type="http://schemas.openxmlformats.org/officeDocument/2006/relationships/hyperlink" Target="http://amazon.in" TargetMode="External"/><Relationship Id="rId3211" Type="http://schemas.openxmlformats.org/officeDocument/2006/relationships/hyperlink" Target="http://amazon.in" TargetMode="External"/><Relationship Id="rId4542" Type="http://schemas.openxmlformats.org/officeDocument/2006/relationships/hyperlink" Target="http://amazon.in" TargetMode="External"/><Relationship Id="rId684" Type="http://schemas.openxmlformats.org/officeDocument/2006/relationships/hyperlink" Target="http://amazon.in" TargetMode="External"/><Relationship Id="rId3214" Type="http://schemas.openxmlformats.org/officeDocument/2006/relationships/hyperlink" Target="http://amazon.in" TargetMode="External"/><Relationship Id="rId4545" Type="http://schemas.openxmlformats.org/officeDocument/2006/relationships/hyperlink" Target="http://amazon.in" TargetMode="External"/><Relationship Id="rId683" Type="http://schemas.openxmlformats.org/officeDocument/2006/relationships/hyperlink" Target="http://amazon.in" TargetMode="External"/><Relationship Id="rId3213" Type="http://schemas.openxmlformats.org/officeDocument/2006/relationships/hyperlink" Target="http://amazon.in" TargetMode="External"/><Relationship Id="rId4544" Type="http://schemas.openxmlformats.org/officeDocument/2006/relationships/hyperlink" Target="http://amazon.in" TargetMode="External"/><Relationship Id="rId3205" Type="http://schemas.openxmlformats.org/officeDocument/2006/relationships/hyperlink" Target="http://amazon.in" TargetMode="External"/><Relationship Id="rId4536" Type="http://schemas.openxmlformats.org/officeDocument/2006/relationships/hyperlink" Target="http://amazon.in" TargetMode="External"/><Relationship Id="rId3204" Type="http://schemas.openxmlformats.org/officeDocument/2006/relationships/hyperlink" Target="http://amazon.in" TargetMode="External"/><Relationship Id="rId4535" Type="http://schemas.openxmlformats.org/officeDocument/2006/relationships/hyperlink" Target="http://amazon.in" TargetMode="External"/><Relationship Id="rId3207" Type="http://schemas.openxmlformats.org/officeDocument/2006/relationships/hyperlink" Target="http://amazon.in" TargetMode="External"/><Relationship Id="rId4538" Type="http://schemas.openxmlformats.org/officeDocument/2006/relationships/hyperlink" Target="http://amazon.in" TargetMode="External"/><Relationship Id="rId3206" Type="http://schemas.openxmlformats.org/officeDocument/2006/relationships/hyperlink" Target="http://amazon.in" TargetMode="External"/><Relationship Id="rId4537" Type="http://schemas.openxmlformats.org/officeDocument/2006/relationships/hyperlink" Target="http://amazon.in" TargetMode="External"/><Relationship Id="rId3209" Type="http://schemas.openxmlformats.org/officeDocument/2006/relationships/hyperlink" Target="http://amazon.in" TargetMode="External"/><Relationship Id="rId3208" Type="http://schemas.openxmlformats.org/officeDocument/2006/relationships/hyperlink" Target="http://amazon.in" TargetMode="External"/><Relationship Id="rId4539" Type="http://schemas.openxmlformats.org/officeDocument/2006/relationships/hyperlink" Target="http://amazon.in" TargetMode="External"/><Relationship Id="rId679" Type="http://schemas.openxmlformats.org/officeDocument/2006/relationships/hyperlink" Target="http://amazon.in" TargetMode="External"/><Relationship Id="rId678" Type="http://schemas.openxmlformats.org/officeDocument/2006/relationships/hyperlink" Target="http://amazon.in" TargetMode="External"/><Relationship Id="rId677" Type="http://schemas.openxmlformats.org/officeDocument/2006/relationships/hyperlink" Target="http://amazon.in" TargetMode="External"/><Relationship Id="rId676" Type="http://schemas.openxmlformats.org/officeDocument/2006/relationships/hyperlink" Target="http://amazon.in" TargetMode="External"/><Relationship Id="rId671" Type="http://schemas.openxmlformats.org/officeDocument/2006/relationships/hyperlink" Target="http://amazon.in" TargetMode="External"/><Relationship Id="rId670" Type="http://schemas.openxmlformats.org/officeDocument/2006/relationships/hyperlink" Target="http://amazon.in" TargetMode="External"/><Relationship Id="rId4530" Type="http://schemas.openxmlformats.org/officeDocument/2006/relationships/hyperlink" Target="http://amazon.in" TargetMode="External"/><Relationship Id="rId675" Type="http://schemas.openxmlformats.org/officeDocument/2006/relationships/hyperlink" Target="http://amazon.in" TargetMode="External"/><Relationship Id="rId3201" Type="http://schemas.openxmlformats.org/officeDocument/2006/relationships/hyperlink" Target="http://amazon.in" TargetMode="External"/><Relationship Id="rId4532" Type="http://schemas.openxmlformats.org/officeDocument/2006/relationships/hyperlink" Target="http://amazon.in" TargetMode="External"/><Relationship Id="rId674" Type="http://schemas.openxmlformats.org/officeDocument/2006/relationships/hyperlink" Target="http://amazon.in" TargetMode="External"/><Relationship Id="rId3200" Type="http://schemas.openxmlformats.org/officeDocument/2006/relationships/hyperlink" Target="http://amazon.in" TargetMode="External"/><Relationship Id="rId4531" Type="http://schemas.openxmlformats.org/officeDocument/2006/relationships/hyperlink" Target="http://amazon.in" TargetMode="External"/><Relationship Id="rId673" Type="http://schemas.openxmlformats.org/officeDocument/2006/relationships/hyperlink" Target="http://amazon.in" TargetMode="External"/><Relationship Id="rId3203" Type="http://schemas.openxmlformats.org/officeDocument/2006/relationships/hyperlink" Target="http://amazon.in" TargetMode="External"/><Relationship Id="rId4534" Type="http://schemas.openxmlformats.org/officeDocument/2006/relationships/hyperlink" Target="http://amazon.in" TargetMode="External"/><Relationship Id="rId672" Type="http://schemas.openxmlformats.org/officeDocument/2006/relationships/hyperlink" Target="http://amazon.in" TargetMode="External"/><Relationship Id="rId3202" Type="http://schemas.openxmlformats.org/officeDocument/2006/relationships/hyperlink" Target="http://amazon.in" TargetMode="External"/><Relationship Id="rId4533" Type="http://schemas.openxmlformats.org/officeDocument/2006/relationships/hyperlink" Target="http://amazon.in" TargetMode="External"/><Relationship Id="rId190" Type="http://schemas.openxmlformats.org/officeDocument/2006/relationships/hyperlink" Target="http://amazon.in" TargetMode="External"/><Relationship Id="rId5019" Type="http://schemas.openxmlformats.org/officeDocument/2006/relationships/hyperlink" Target="http://amazon.in" TargetMode="External"/><Relationship Id="rId194" Type="http://schemas.openxmlformats.org/officeDocument/2006/relationships/hyperlink" Target="http://amazon.in" TargetMode="External"/><Relationship Id="rId193" Type="http://schemas.openxmlformats.org/officeDocument/2006/relationships/hyperlink" Target="http://amazon.in" TargetMode="External"/><Relationship Id="rId192" Type="http://schemas.openxmlformats.org/officeDocument/2006/relationships/hyperlink" Target="http://amazon.in" TargetMode="External"/><Relationship Id="rId191" Type="http://schemas.openxmlformats.org/officeDocument/2006/relationships/hyperlink" Target="http://amazon.in" TargetMode="External"/><Relationship Id="rId5010" Type="http://schemas.openxmlformats.org/officeDocument/2006/relationships/hyperlink" Target="http://amazon.in" TargetMode="External"/><Relationship Id="rId187" Type="http://schemas.openxmlformats.org/officeDocument/2006/relationships/hyperlink" Target="http://amazon.in" TargetMode="External"/><Relationship Id="rId5013" Type="http://schemas.openxmlformats.org/officeDocument/2006/relationships/hyperlink" Target="http://amazon.in" TargetMode="External"/><Relationship Id="rId186" Type="http://schemas.openxmlformats.org/officeDocument/2006/relationships/hyperlink" Target="http://amazon.in" TargetMode="External"/><Relationship Id="rId5014" Type="http://schemas.openxmlformats.org/officeDocument/2006/relationships/hyperlink" Target="http://amazon.in" TargetMode="External"/><Relationship Id="rId185" Type="http://schemas.openxmlformats.org/officeDocument/2006/relationships/hyperlink" Target="http://amazon.in" TargetMode="External"/><Relationship Id="rId5011" Type="http://schemas.openxmlformats.org/officeDocument/2006/relationships/hyperlink" Target="http://amazon.in" TargetMode="External"/><Relationship Id="rId184" Type="http://schemas.openxmlformats.org/officeDocument/2006/relationships/hyperlink" Target="http://amazon.in" TargetMode="External"/><Relationship Id="rId5012" Type="http://schemas.openxmlformats.org/officeDocument/2006/relationships/hyperlink" Target="http://amazon.in" TargetMode="External"/><Relationship Id="rId5017" Type="http://schemas.openxmlformats.org/officeDocument/2006/relationships/hyperlink" Target="http://amazon.in" TargetMode="External"/><Relationship Id="rId5018" Type="http://schemas.openxmlformats.org/officeDocument/2006/relationships/hyperlink" Target="http://amazon.in" TargetMode="External"/><Relationship Id="rId189" Type="http://schemas.openxmlformats.org/officeDocument/2006/relationships/hyperlink" Target="http://amazon.in" TargetMode="External"/><Relationship Id="rId5015" Type="http://schemas.openxmlformats.org/officeDocument/2006/relationships/hyperlink" Target="http://amazon.in" TargetMode="External"/><Relationship Id="rId188" Type="http://schemas.openxmlformats.org/officeDocument/2006/relationships/hyperlink" Target="http://amazon.in" TargetMode="External"/><Relationship Id="rId5016" Type="http://schemas.openxmlformats.org/officeDocument/2006/relationships/hyperlink" Target="http://amazon.in" TargetMode="External"/><Relationship Id="rId5008" Type="http://schemas.openxmlformats.org/officeDocument/2006/relationships/hyperlink" Target="http://amazon.in" TargetMode="External"/><Relationship Id="rId5009" Type="http://schemas.openxmlformats.org/officeDocument/2006/relationships/hyperlink" Target="http://amazon.in" TargetMode="External"/><Relationship Id="rId183" Type="http://schemas.openxmlformats.org/officeDocument/2006/relationships/hyperlink" Target="http://amazon.in" TargetMode="External"/><Relationship Id="rId182" Type="http://schemas.openxmlformats.org/officeDocument/2006/relationships/hyperlink" Target="http://amazon.in" TargetMode="External"/><Relationship Id="rId181" Type="http://schemas.openxmlformats.org/officeDocument/2006/relationships/hyperlink" Target="http://amazon.in" TargetMode="External"/><Relationship Id="rId180" Type="http://schemas.openxmlformats.org/officeDocument/2006/relationships/hyperlink" Target="http://amazon.in" TargetMode="External"/><Relationship Id="rId176" Type="http://schemas.openxmlformats.org/officeDocument/2006/relationships/hyperlink" Target="http://amazon.in" TargetMode="External"/><Relationship Id="rId5002" Type="http://schemas.openxmlformats.org/officeDocument/2006/relationships/hyperlink" Target="http://amazon.in" TargetMode="External"/><Relationship Id="rId175" Type="http://schemas.openxmlformats.org/officeDocument/2006/relationships/hyperlink" Target="http://amazon.in" TargetMode="External"/><Relationship Id="rId5003" Type="http://schemas.openxmlformats.org/officeDocument/2006/relationships/hyperlink" Target="http://amazon.in" TargetMode="External"/><Relationship Id="rId174" Type="http://schemas.openxmlformats.org/officeDocument/2006/relationships/hyperlink" Target="http://amazon.in" TargetMode="External"/><Relationship Id="rId5000" Type="http://schemas.openxmlformats.org/officeDocument/2006/relationships/hyperlink" Target="http://amazon.in" TargetMode="External"/><Relationship Id="rId173" Type="http://schemas.openxmlformats.org/officeDocument/2006/relationships/hyperlink" Target="http://amazon.in" TargetMode="External"/><Relationship Id="rId5001" Type="http://schemas.openxmlformats.org/officeDocument/2006/relationships/hyperlink" Target="http://amazon.in" TargetMode="External"/><Relationship Id="rId5006" Type="http://schemas.openxmlformats.org/officeDocument/2006/relationships/hyperlink" Target="http://amazon.in" TargetMode="External"/><Relationship Id="rId179" Type="http://schemas.openxmlformats.org/officeDocument/2006/relationships/hyperlink" Target="http://amazon.in" TargetMode="External"/><Relationship Id="rId5007" Type="http://schemas.openxmlformats.org/officeDocument/2006/relationships/hyperlink" Target="http://amazon.in" TargetMode="External"/><Relationship Id="rId178" Type="http://schemas.openxmlformats.org/officeDocument/2006/relationships/hyperlink" Target="http://amazon.in" TargetMode="External"/><Relationship Id="rId5004" Type="http://schemas.openxmlformats.org/officeDocument/2006/relationships/hyperlink" Target="http://amazon.in" TargetMode="External"/><Relationship Id="rId177" Type="http://schemas.openxmlformats.org/officeDocument/2006/relationships/hyperlink" Target="http://amazon.in" TargetMode="External"/><Relationship Id="rId5005" Type="http://schemas.openxmlformats.org/officeDocument/2006/relationships/hyperlink" Target="http://amazon.in" TargetMode="External"/><Relationship Id="rId5031" Type="http://schemas.openxmlformats.org/officeDocument/2006/relationships/hyperlink" Target="http://amazon.in" TargetMode="External"/><Relationship Id="rId5032" Type="http://schemas.openxmlformats.org/officeDocument/2006/relationships/hyperlink" Target="http://amazon.in" TargetMode="External"/><Relationship Id="rId5030" Type="http://schemas.openxmlformats.org/officeDocument/2006/relationships/hyperlink" Target="http://amazon.in" TargetMode="External"/><Relationship Id="rId5035" Type="http://schemas.openxmlformats.org/officeDocument/2006/relationships/hyperlink" Target="http://amazon.in" TargetMode="External"/><Relationship Id="rId5036" Type="http://schemas.openxmlformats.org/officeDocument/2006/relationships/hyperlink" Target="http://amazon.in" TargetMode="External"/><Relationship Id="rId5033" Type="http://schemas.openxmlformats.org/officeDocument/2006/relationships/hyperlink" Target="http://amazon.in" TargetMode="External"/><Relationship Id="rId5034" Type="http://schemas.openxmlformats.org/officeDocument/2006/relationships/hyperlink" Target="http://amazon.in" TargetMode="External"/><Relationship Id="rId5039" Type="http://schemas.openxmlformats.org/officeDocument/2006/relationships/hyperlink" Target="http://amazon.in" TargetMode="External"/><Relationship Id="rId5037" Type="http://schemas.openxmlformats.org/officeDocument/2006/relationships/hyperlink" Target="http://amazon.in" TargetMode="External"/><Relationship Id="rId5038" Type="http://schemas.openxmlformats.org/officeDocument/2006/relationships/hyperlink" Target="http://amazon.in" TargetMode="External"/><Relationship Id="rId5020" Type="http://schemas.openxmlformats.org/officeDocument/2006/relationships/hyperlink" Target="http://amazon.in" TargetMode="External"/><Relationship Id="rId5021" Type="http://schemas.openxmlformats.org/officeDocument/2006/relationships/hyperlink" Target="http://amazon.in" TargetMode="External"/><Relationship Id="rId198" Type="http://schemas.openxmlformats.org/officeDocument/2006/relationships/hyperlink" Target="http://amazon.in" TargetMode="External"/><Relationship Id="rId5024" Type="http://schemas.openxmlformats.org/officeDocument/2006/relationships/hyperlink" Target="http://amazon.in" TargetMode="External"/><Relationship Id="rId197" Type="http://schemas.openxmlformats.org/officeDocument/2006/relationships/hyperlink" Target="http://amazon.in" TargetMode="External"/><Relationship Id="rId5025" Type="http://schemas.openxmlformats.org/officeDocument/2006/relationships/hyperlink" Target="http://amazon.in" TargetMode="External"/><Relationship Id="rId196" Type="http://schemas.openxmlformats.org/officeDocument/2006/relationships/hyperlink" Target="http://amazon.in" TargetMode="External"/><Relationship Id="rId5022" Type="http://schemas.openxmlformats.org/officeDocument/2006/relationships/hyperlink" Target="http://amazon.in" TargetMode="External"/><Relationship Id="rId195" Type="http://schemas.openxmlformats.org/officeDocument/2006/relationships/hyperlink" Target="http://amazon.in" TargetMode="External"/><Relationship Id="rId5023" Type="http://schemas.openxmlformats.org/officeDocument/2006/relationships/hyperlink" Target="http://amazon.in" TargetMode="External"/><Relationship Id="rId5028" Type="http://schemas.openxmlformats.org/officeDocument/2006/relationships/hyperlink" Target="http://amazon.in" TargetMode="External"/><Relationship Id="rId5029" Type="http://schemas.openxmlformats.org/officeDocument/2006/relationships/hyperlink" Target="http://amazon.in" TargetMode="External"/><Relationship Id="rId5026" Type="http://schemas.openxmlformats.org/officeDocument/2006/relationships/hyperlink" Target="http://amazon.in" TargetMode="External"/><Relationship Id="rId199" Type="http://schemas.openxmlformats.org/officeDocument/2006/relationships/hyperlink" Target="http://amazon.in" TargetMode="External"/><Relationship Id="rId5027" Type="http://schemas.openxmlformats.org/officeDocument/2006/relationships/hyperlink" Target="http://amazon.in" TargetMode="External"/><Relationship Id="rId150" Type="http://schemas.openxmlformats.org/officeDocument/2006/relationships/hyperlink" Target="http://amazon.in" TargetMode="External"/><Relationship Id="rId149" Type="http://schemas.openxmlformats.org/officeDocument/2006/relationships/hyperlink" Target="http://amazon.in" TargetMode="External"/><Relationship Id="rId148" Type="http://schemas.openxmlformats.org/officeDocument/2006/relationships/hyperlink" Target="http://amazon.in" TargetMode="External"/><Relationship Id="rId3270" Type="http://schemas.openxmlformats.org/officeDocument/2006/relationships/hyperlink" Target="http://amazon.in" TargetMode="External"/><Relationship Id="rId3272" Type="http://schemas.openxmlformats.org/officeDocument/2006/relationships/hyperlink" Target="http://amazon.in" TargetMode="External"/><Relationship Id="rId3271" Type="http://schemas.openxmlformats.org/officeDocument/2006/relationships/hyperlink" Target="http://amazon.in" TargetMode="External"/><Relationship Id="rId143" Type="http://schemas.openxmlformats.org/officeDocument/2006/relationships/hyperlink" Target="http://amazon.in" TargetMode="External"/><Relationship Id="rId3274" Type="http://schemas.openxmlformats.org/officeDocument/2006/relationships/hyperlink" Target="http://amazon.in" TargetMode="External"/><Relationship Id="rId142" Type="http://schemas.openxmlformats.org/officeDocument/2006/relationships/hyperlink" Target="http://amazon.in" TargetMode="External"/><Relationship Id="rId3273" Type="http://schemas.openxmlformats.org/officeDocument/2006/relationships/hyperlink" Target="http://amazon.in" TargetMode="External"/><Relationship Id="rId141" Type="http://schemas.openxmlformats.org/officeDocument/2006/relationships/hyperlink" Target="http://amazon.in" TargetMode="External"/><Relationship Id="rId3276" Type="http://schemas.openxmlformats.org/officeDocument/2006/relationships/hyperlink" Target="http://amazon.in" TargetMode="External"/><Relationship Id="rId140" Type="http://schemas.openxmlformats.org/officeDocument/2006/relationships/hyperlink" Target="http://amazon.in" TargetMode="External"/><Relationship Id="rId3275" Type="http://schemas.openxmlformats.org/officeDocument/2006/relationships/hyperlink" Target="http://amazon.in" TargetMode="External"/><Relationship Id="rId147" Type="http://schemas.openxmlformats.org/officeDocument/2006/relationships/hyperlink" Target="http://amazon.in" TargetMode="External"/><Relationship Id="rId3278" Type="http://schemas.openxmlformats.org/officeDocument/2006/relationships/hyperlink" Target="http://amazon.in" TargetMode="External"/><Relationship Id="rId146" Type="http://schemas.openxmlformats.org/officeDocument/2006/relationships/hyperlink" Target="http://amazon.in" TargetMode="External"/><Relationship Id="rId3277" Type="http://schemas.openxmlformats.org/officeDocument/2006/relationships/hyperlink" Target="http://amazon.in" TargetMode="External"/><Relationship Id="rId145" Type="http://schemas.openxmlformats.org/officeDocument/2006/relationships/hyperlink" Target="http://amazon.in" TargetMode="External"/><Relationship Id="rId144" Type="http://schemas.openxmlformats.org/officeDocument/2006/relationships/hyperlink" Target="http://amazon.in" TargetMode="External"/><Relationship Id="rId3279" Type="http://schemas.openxmlformats.org/officeDocument/2006/relationships/hyperlink" Target="http://amazon.in" TargetMode="External"/><Relationship Id="rId139" Type="http://schemas.openxmlformats.org/officeDocument/2006/relationships/hyperlink" Target="http://amazon.in" TargetMode="External"/><Relationship Id="rId138" Type="http://schemas.openxmlformats.org/officeDocument/2006/relationships/hyperlink" Target="http://amazon.in" TargetMode="External"/><Relationship Id="rId137" Type="http://schemas.openxmlformats.org/officeDocument/2006/relationships/hyperlink" Target="http://amazon.in" TargetMode="External"/><Relationship Id="rId4590" Type="http://schemas.openxmlformats.org/officeDocument/2006/relationships/hyperlink" Target="http://amazon.in" TargetMode="External"/><Relationship Id="rId3261" Type="http://schemas.openxmlformats.org/officeDocument/2006/relationships/hyperlink" Target="http://amazon.in" TargetMode="External"/><Relationship Id="rId4592" Type="http://schemas.openxmlformats.org/officeDocument/2006/relationships/hyperlink" Target="http://amazon.in" TargetMode="External"/><Relationship Id="rId3260" Type="http://schemas.openxmlformats.org/officeDocument/2006/relationships/hyperlink" Target="http://amazon.in" TargetMode="External"/><Relationship Id="rId4591" Type="http://schemas.openxmlformats.org/officeDocument/2006/relationships/hyperlink" Target="http://amazon.in" TargetMode="External"/><Relationship Id="rId132" Type="http://schemas.openxmlformats.org/officeDocument/2006/relationships/hyperlink" Target="http://amazon.in" TargetMode="External"/><Relationship Id="rId3263" Type="http://schemas.openxmlformats.org/officeDocument/2006/relationships/hyperlink" Target="http://amazon.in" TargetMode="External"/><Relationship Id="rId4594" Type="http://schemas.openxmlformats.org/officeDocument/2006/relationships/hyperlink" Target="http://amazon.in" TargetMode="External"/><Relationship Id="rId131" Type="http://schemas.openxmlformats.org/officeDocument/2006/relationships/hyperlink" Target="http://amazon.in" TargetMode="External"/><Relationship Id="rId3262" Type="http://schemas.openxmlformats.org/officeDocument/2006/relationships/hyperlink" Target="http://amazon.in" TargetMode="External"/><Relationship Id="rId4593" Type="http://schemas.openxmlformats.org/officeDocument/2006/relationships/hyperlink" Target="http://amazon.in" TargetMode="External"/><Relationship Id="rId130" Type="http://schemas.openxmlformats.org/officeDocument/2006/relationships/hyperlink" Target="http://amazon.in" TargetMode="External"/><Relationship Id="rId3265" Type="http://schemas.openxmlformats.org/officeDocument/2006/relationships/hyperlink" Target="http://amazon.in" TargetMode="External"/><Relationship Id="rId4596" Type="http://schemas.openxmlformats.org/officeDocument/2006/relationships/hyperlink" Target="http://amazon.in" TargetMode="External"/><Relationship Id="rId3264" Type="http://schemas.openxmlformats.org/officeDocument/2006/relationships/hyperlink" Target="http://amazon.in" TargetMode="External"/><Relationship Id="rId4595" Type="http://schemas.openxmlformats.org/officeDocument/2006/relationships/hyperlink" Target="http://amazon.in" TargetMode="External"/><Relationship Id="rId136" Type="http://schemas.openxmlformats.org/officeDocument/2006/relationships/hyperlink" Target="http://amazon.in" TargetMode="External"/><Relationship Id="rId3267" Type="http://schemas.openxmlformats.org/officeDocument/2006/relationships/hyperlink" Target="http://amazon.in" TargetMode="External"/><Relationship Id="rId4598" Type="http://schemas.openxmlformats.org/officeDocument/2006/relationships/hyperlink" Target="http://amazon.in" TargetMode="External"/><Relationship Id="rId135" Type="http://schemas.openxmlformats.org/officeDocument/2006/relationships/hyperlink" Target="http://amazon.in" TargetMode="External"/><Relationship Id="rId3266" Type="http://schemas.openxmlformats.org/officeDocument/2006/relationships/hyperlink" Target="http://amazon.in" TargetMode="External"/><Relationship Id="rId4597" Type="http://schemas.openxmlformats.org/officeDocument/2006/relationships/hyperlink" Target="http://amazon.in" TargetMode="External"/><Relationship Id="rId134" Type="http://schemas.openxmlformats.org/officeDocument/2006/relationships/hyperlink" Target="http://amazon.in" TargetMode="External"/><Relationship Id="rId3269" Type="http://schemas.openxmlformats.org/officeDocument/2006/relationships/hyperlink" Target="http://amazon.in" TargetMode="External"/><Relationship Id="rId133" Type="http://schemas.openxmlformats.org/officeDocument/2006/relationships/hyperlink" Target="http://amazon.in" TargetMode="External"/><Relationship Id="rId3268" Type="http://schemas.openxmlformats.org/officeDocument/2006/relationships/hyperlink" Target="http://amazon.in" TargetMode="External"/><Relationship Id="rId4599" Type="http://schemas.openxmlformats.org/officeDocument/2006/relationships/hyperlink" Target="http://amazon.in" TargetMode="External"/><Relationship Id="rId172" Type="http://schemas.openxmlformats.org/officeDocument/2006/relationships/hyperlink" Target="http://amazon.in" TargetMode="External"/><Relationship Id="rId171" Type="http://schemas.openxmlformats.org/officeDocument/2006/relationships/hyperlink" Target="http://amazon.in" TargetMode="External"/><Relationship Id="rId170" Type="http://schemas.openxmlformats.org/officeDocument/2006/relationships/hyperlink" Target="http://amazon.in" TargetMode="External"/><Relationship Id="rId3290" Type="http://schemas.openxmlformats.org/officeDocument/2006/relationships/hyperlink" Target="http://amazon.in" TargetMode="External"/><Relationship Id="rId3292" Type="http://schemas.openxmlformats.org/officeDocument/2006/relationships/hyperlink" Target="http://amazon.in" TargetMode="External"/><Relationship Id="rId3291" Type="http://schemas.openxmlformats.org/officeDocument/2006/relationships/hyperlink" Target="http://amazon.in" TargetMode="External"/><Relationship Id="rId3294" Type="http://schemas.openxmlformats.org/officeDocument/2006/relationships/hyperlink" Target="http://amazon.in" TargetMode="External"/><Relationship Id="rId3293" Type="http://schemas.openxmlformats.org/officeDocument/2006/relationships/hyperlink" Target="http://amazon.in" TargetMode="External"/><Relationship Id="rId165" Type="http://schemas.openxmlformats.org/officeDocument/2006/relationships/hyperlink" Target="http://amazon.in" TargetMode="External"/><Relationship Id="rId3296" Type="http://schemas.openxmlformats.org/officeDocument/2006/relationships/hyperlink" Target="http://amazon.in" TargetMode="External"/><Relationship Id="rId164" Type="http://schemas.openxmlformats.org/officeDocument/2006/relationships/hyperlink" Target="http://amazon.in" TargetMode="External"/><Relationship Id="rId3295" Type="http://schemas.openxmlformats.org/officeDocument/2006/relationships/hyperlink" Target="http://amazon.in" TargetMode="External"/><Relationship Id="rId163" Type="http://schemas.openxmlformats.org/officeDocument/2006/relationships/hyperlink" Target="http://amazon.in" TargetMode="External"/><Relationship Id="rId3298" Type="http://schemas.openxmlformats.org/officeDocument/2006/relationships/hyperlink" Target="http://amazon.in" TargetMode="External"/><Relationship Id="rId162" Type="http://schemas.openxmlformats.org/officeDocument/2006/relationships/hyperlink" Target="http://amazon.in" TargetMode="External"/><Relationship Id="rId3297" Type="http://schemas.openxmlformats.org/officeDocument/2006/relationships/hyperlink" Target="http://amazon.in" TargetMode="External"/><Relationship Id="rId169" Type="http://schemas.openxmlformats.org/officeDocument/2006/relationships/hyperlink" Target="http://amazon.in" TargetMode="External"/><Relationship Id="rId168" Type="http://schemas.openxmlformats.org/officeDocument/2006/relationships/hyperlink" Target="http://amazon.in" TargetMode="External"/><Relationship Id="rId3299" Type="http://schemas.openxmlformats.org/officeDocument/2006/relationships/hyperlink" Target="http://amazon.in" TargetMode="External"/><Relationship Id="rId167" Type="http://schemas.openxmlformats.org/officeDocument/2006/relationships/hyperlink" Target="http://amazon.in" TargetMode="External"/><Relationship Id="rId166" Type="http://schemas.openxmlformats.org/officeDocument/2006/relationships/hyperlink" Target="http://amazon.in" TargetMode="External"/><Relationship Id="rId161" Type="http://schemas.openxmlformats.org/officeDocument/2006/relationships/hyperlink" Target="http://amazon.in" TargetMode="External"/><Relationship Id="rId160" Type="http://schemas.openxmlformats.org/officeDocument/2006/relationships/hyperlink" Target="http://amazon.in" TargetMode="External"/><Relationship Id="rId159" Type="http://schemas.openxmlformats.org/officeDocument/2006/relationships/hyperlink" Target="http://amazon.in" TargetMode="External"/><Relationship Id="rId3281" Type="http://schemas.openxmlformats.org/officeDocument/2006/relationships/hyperlink" Target="http://amazon.in" TargetMode="External"/><Relationship Id="rId3280" Type="http://schemas.openxmlformats.org/officeDocument/2006/relationships/hyperlink" Target="http://amazon.in" TargetMode="External"/><Relationship Id="rId3283" Type="http://schemas.openxmlformats.org/officeDocument/2006/relationships/hyperlink" Target="http://amazon.in" TargetMode="External"/><Relationship Id="rId3282" Type="http://schemas.openxmlformats.org/officeDocument/2006/relationships/hyperlink" Target="http://amazon.in" TargetMode="External"/><Relationship Id="rId154" Type="http://schemas.openxmlformats.org/officeDocument/2006/relationships/hyperlink" Target="http://amazon.in" TargetMode="External"/><Relationship Id="rId3285" Type="http://schemas.openxmlformats.org/officeDocument/2006/relationships/hyperlink" Target="http://amazon.in" TargetMode="External"/><Relationship Id="rId153" Type="http://schemas.openxmlformats.org/officeDocument/2006/relationships/hyperlink" Target="http://amazon.in" TargetMode="External"/><Relationship Id="rId3284" Type="http://schemas.openxmlformats.org/officeDocument/2006/relationships/hyperlink" Target="http://amazon.in" TargetMode="External"/><Relationship Id="rId152" Type="http://schemas.openxmlformats.org/officeDocument/2006/relationships/hyperlink" Target="http://amazon.in" TargetMode="External"/><Relationship Id="rId3287" Type="http://schemas.openxmlformats.org/officeDocument/2006/relationships/hyperlink" Target="http://amazon.in" TargetMode="External"/><Relationship Id="rId151" Type="http://schemas.openxmlformats.org/officeDocument/2006/relationships/hyperlink" Target="http://amazon.in" TargetMode="External"/><Relationship Id="rId3286" Type="http://schemas.openxmlformats.org/officeDocument/2006/relationships/hyperlink" Target="http://amazon.in" TargetMode="External"/><Relationship Id="rId158" Type="http://schemas.openxmlformats.org/officeDocument/2006/relationships/hyperlink" Target="http://amazon.in" TargetMode="External"/><Relationship Id="rId3289" Type="http://schemas.openxmlformats.org/officeDocument/2006/relationships/hyperlink" Target="http://amazon.in" TargetMode="External"/><Relationship Id="rId157" Type="http://schemas.openxmlformats.org/officeDocument/2006/relationships/hyperlink" Target="http://amazon.in" TargetMode="External"/><Relationship Id="rId3288" Type="http://schemas.openxmlformats.org/officeDocument/2006/relationships/hyperlink" Target="http://amazon.in" TargetMode="External"/><Relationship Id="rId156" Type="http://schemas.openxmlformats.org/officeDocument/2006/relationships/hyperlink" Target="http://amazon.in" TargetMode="External"/><Relationship Id="rId155" Type="http://schemas.openxmlformats.org/officeDocument/2006/relationships/hyperlink" Target="http://amazon.in" TargetMode="External"/><Relationship Id="rId2820" Type="http://schemas.openxmlformats.org/officeDocument/2006/relationships/hyperlink" Target="http://amazon.in" TargetMode="External"/><Relationship Id="rId2821" Type="http://schemas.openxmlformats.org/officeDocument/2006/relationships/hyperlink" Target="http://amazon.in" TargetMode="External"/><Relationship Id="rId2822" Type="http://schemas.openxmlformats.org/officeDocument/2006/relationships/hyperlink" Target="http://amazon.in" TargetMode="External"/><Relationship Id="rId2823" Type="http://schemas.openxmlformats.org/officeDocument/2006/relationships/hyperlink" Target="http://amazon.in" TargetMode="External"/><Relationship Id="rId2824" Type="http://schemas.openxmlformats.org/officeDocument/2006/relationships/hyperlink" Target="http://amazon.in" TargetMode="External"/><Relationship Id="rId2825" Type="http://schemas.openxmlformats.org/officeDocument/2006/relationships/hyperlink" Target="http://amazon.in" TargetMode="External"/><Relationship Id="rId2826" Type="http://schemas.openxmlformats.org/officeDocument/2006/relationships/hyperlink" Target="http://amazon.in" TargetMode="External"/><Relationship Id="rId2827" Type="http://schemas.openxmlformats.org/officeDocument/2006/relationships/hyperlink" Target="http://amazon.in" TargetMode="External"/><Relationship Id="rId2828" Type="http://schemas.openxmlformats.org/officeDocument/2006/relationships/hyperlink" Target="http://amazon.in" TargetMode="External"/><Relationship Id="rId2829" Type="http://schemas.openxmlformats.org/officeDocument/2006/relationships/hyperlink" Target="http://amazon.in" TargetMode="External"/><Relationship Id="rId5093" Type="http://schemas.openxmlformats.org/officeDocument/2006/relationships/hyperlink" Target="http://amazon.in" TargetMode="External"/><Relationship Id="rId5094" Type="http://schemas.openxmlformats.org/officeDocument/2006/relationships/hyperlink" Target="http://amazon.in" TargetMode="External"/><Relationship Id="rId5091" Type="http://schemas.openxmlformats.org/officeDocument/2006/relationships/hyperlink" Target="http://amazon.in" TargetMode="External"/><Relationship Id="rId5092" Type="http://schemas.openxmlformats.org/officeDocument/2006/relationships/hyperlink" Target="http://amazon.in" TargetMode="External"/><Relationship Id="rId5097" Type="http://schemas.openxmlformats.org/officeDocument/2006/relationships/hyperlink" Target="http://amazon.in" TargetMode="External"/><Relationship Id="rId5098" Type="http://schemas.openxmlformats.org/officeDocument/2006/relationships/hyperlink" Target="http://amazon.in" TargetMode="External"/><Relationship Id="rId5095" Type="http://schemas.openxmlformats.org/officeDocument/2006/relationships/hyperlink" Target="http://amazon.in" TargetMode="External"/><Relationship Id="rId5096" Type="http://schemas.openxmlformats.org/officeDocument/2006/relationships/hyperlink" Target="http://amazon.in" TargetMode="External"/><Relationship Id="rId5099" Type="http://schemas.openxmlformats.org/officeDocument/2006/relationships/hyperlink" Target="http://amazon.in" TargetMode="External"/><Relationship Id="rId2810" Type="http://schemas.openxmlformats.org/officeDocument/2006/relationships/hyperlink" Target="http://amazon.in" TargetMode="External"/><Relationship Id="rId2811" Type="http://schemas.openxmlformats.org/officeDocument/2006/relationships/hyperlink" Target="http://amazon.in" TargetMode="External"/><Relationship Id="rId2812" Type="http://schemas.openxmlformats.org/officeDocument/2006/relationships/hyperlink" Target="http://amazon.in" TargetMode="External"/><Relationship Id="rId2813" Type="http://schemas.openxmlformats.org/officeDocument/2006/relationships/hyperlink" Target="http://amazon.in" TargetMode="External"/><Relationship Id="rId2814" Type="http://schemas.openxmlformats.org/officeDocument/2006/relationships/hyperlink" Target="http://amazon.in" TargetMode="External"/><Relationship Id="rId2815" Type="http://schemas.openxmlformats.org/officeDocument/2006/relationships/hyperlink" Target="http://amazon.in" TargetMode="External"/><Relationship Id="rId2816" Type="http://schemas.openxmlformats.org/officeDocument/2006/relationships/hyperlink" Target="http://amazon.in" TargetMode="External"/><Relationship Id="rId2817" Type="http://schemas.openxmlformats.org/officeDocument/2006/relationships/hyperlink" Target="http://amazon.in" TargetMode="External"/><Relationship Id="rId2818" Type="http://schemas.openxmlformats.org/officeDocument/2006/relationships/hyperlink" Target="http://amazon.in" TargetMode="External"/><Relationship Id="rId2819" Type="http://schemas.openxmlformats.org/officeDocument/2006/relationships/hyperlink" Target="http://amazon.in" TargetMode="External"/><Relationship Id="rId5090" Type="http://schemas.openxmlformats.org/officeDocument/2006/relationships/hyperlink" Target="http://amazon.in" TargetMode="External"/><Relationship Id="rId5082" Type="http://schemas.openxmlformats.org/officeDocument/2006/relationships/hyperlink" Target="http://amazon.in" TargetMode="External"/><Relationship Id="rId5083" Type="http://schemas.openxmlformats.org/officeDocument/2006/relationships/hyperlink" Target="http://amazon.in" TargetMode="External"/><Relationship Id="rId5080" Type="http://schemas.openxmlformats.org/officeDocument/2006/relationships/hyperlink" Target="http://amazon.in" TargetMode="External"/><Relationship Id="rId5081" Type="http://schemas.openxmlformats.org/officeDocument/2006/relationships/hyperlink" Target="http://amazon.in" TargetMode="External"/><Relationship Id="rId5086" Type="http://schemas.openxmlformats.org/officeDocument/2006/relationships/hyperlink" Target="http://amazon.in" TargetMode="External"/><Relationship Id="rId5087" Type="http://schemas.openxmlformats.org/officeDocument/2006/relationships/hyperlink" Target="http://amazon.in" TargetMode="External"/><Relationship Id="rId5084" Type="http://schemas.openxmlformats.org/officeDocument/2006/relationships/hyperlink" Target="http://amazon.in" TargetMode="External"/><Relationship Id="rId5085" Type="http://schemas.openxmlformats.org/officeDocument/2006/relationships/hyperlink" Target="http://amazon.in" TargetMode="External"/><Relationship Id="rId5088" Type="http://schemas.openxmlformats.org/officeDocument/2006/relationships/hyperlink" Target="http://amazon.in" TargetMode="External"/><Relationship Id="rId5089" Type="http://schemas.openxmlformats.org/officeDocument/2006/relationships/hyperlink" Target="http://amazon.in" TargetMode="External"/><Relationship Id="rId1510" Type="http://schemas.openxmlformats.org/officeDocument/2006/relationships/hyperlink" Target="http://amazon.in" TargetMode="External"/><Relationship Id="rId2841" Type="http://schemas.openxmlformats.org/officeDocument/2006/relationships/hyperlink" Target="http://amazon.in" TargetMode="External"/><Relationship Id="rId1511" Type="http://schemas.openxmlformats.org/officeDocument/2006/relationships/hyperlink" Target="http://amazon.in" TargetMode="External"/><Relationship Id="rId2842" Type="http://schemas.openxmlformats.org/officeDocument/2006/relationships/hyperlink" Target="http://amazon.in" TargetMode="External"/><Relationship Id="rId1512" Type="http://schemas.openxmlformats.org/officeDocument/2006/relationships/hyperlink" Target="http://amazon.in" TargetMode="External"/><Relationship Id="rId2843" Type="http://schemas.openxmlformats.org/officeDocument/2006/relationships/hyperlink" Target="http://amazon.in" TargetMode="External"/><Relationship Id="rId1513" Type="http://schemas.openxmlformats.org/officeDocument/2006/relationships/hyperlink" Target="http://amazon.in" TargetMode="External"/><Relationship Id="rId2844" Type="http://schemas.openxmlformats.org/officeDocument/2006/relationships/hyperlink" Target="http://amazon.in" TargetMode="External"/><Relationship Id="rId1514" Type="http://schemas.openxmlformats.org/officeDocument/2006/relationships/hyperlink" Target="http://amazon.in" TargetMode="External"/><Relationship Id="rId2845" Type="http://schemas.openxmlformats.org/officeDocument/2006/relationships/hyperlink" Target="http://amazon.in" TargetMode="External"/><Relationship Id="rId1515" Type="http://schemas.openxmlformats.org/officeDocument/2006/relationships/hyperlink" Target="http://amazon.in" TargetMode="External"/><Relationship Id="rId2846" Type="http://schemas.openxmlformats.org/officeDocument/2006/relationships/hyperlink" Target="http://amazon.in" TargetMode="External"/><Relationship Id="rId1516" Type="http://schemas.openxmlformats.org/officeDocument/2006/relationships/hyperlink" Target="http://amazon.in" TargetMode="External"/><Relationship Id="rId2847" Type="http://schemas.openxmlformats.org/officeDocument/2006/relationships/hyperlink" Target="http://amazon.in" TargetMode="External"/><Relationship Id="rId1517" Type="http://schemas.openxmlformats.org/officeDocument/2006/relationships/hyperlink" Target="http://amazon.in" TargetMode="External"/><Relationship Id="rId2848" Type="http://schemas.openxmlformats.org/officeDocument/2006/relationships/hyperlink" Target="http://amazon.in" TargetMode="External"/><Relationship Id="rId1518" Type="http://schemas.openxmlformats.org/officeDocument/2006/relationships/hyperlink" Target="http://amazon.in" TargetMode="External"/><Relationship Id="rId2849" Type="http://schemas.openxmlformats.org/officeDocument/2006/relationships/hyperlink" Target="http://amazon.in" TargetMode="External"/><Relationship Id="rId1519" Type="http://schemas.openxmlformats.org/officeDocument/2006/relationships/hyperlink" Target="http://amazon.in" TargetMode="External"/><Relationship Id="rId2840" Type="http://schemas.openxmlformats.org/officeDocument/2006/relationships/hyperlink" Target="http://amazon.in" TargetMode="External"/><Relationship Id="rId2830" Type="http://schemas.openxmlformats.org/officeDocument/2006/relationships/hyperlink" Target="http://amazon.in" TargetMode="External"/><Relationship Id="rId1500" Type="http://schemas.openxmlformats.org/officeDocument/2006/relationships/hyperlink" Target="http://amazon.in" TargetMode="External"/><Relationship Id="rId2831" Type="http://schemas.openxmlformats.org/officeDocument/2006/relationships/hyperlink" Target="http://amazon.in" TargetMode="External"/><Relationship Id="rId1501" Type="http://schemas.openxmlformats.org/officeDocument/2006/relationships/hyperlink" Target="http://amazon.in" TargetMode="External"/><Relationship Id="rId2832" Type="http://schemas.openxmlformats.org/officeDocument/2006/relationships/hyperlink" Target="http://amazon.in" TargetMode="External"/><Relationship Id="rId1502" Type="http://schemas.openxmlformats.org/officeDocument/2006/relationships/hyperlink" Target="http://amazon.in" TargetMode="External"/><Relationship Id="rId2833" Type="http://schemas.openxmlformats.org/officeDocument/2006/relationships/hyperlink" Target="http://amazon.in" TargetMode="External"/><Relationship Id="rId1503" Type="http://schemas.openxmlformats.org/officeDocument/2006/relationships/hyperlink" Target="http://amazon.in" TargetMode="External"/><Relationship Id="rId2834" Type="http://schemas.openxmlformats.org/officeDocument/2006/relationships/hyperlink" Target="http://amazon.in" TargetMode="External"/><Relationship Id="rId1504" Type="http://schemas.openxmlformats.org/officeDocument/2006/relationships/hyperlink" Target="http://amazon.in" TargetMode="External"/><Relationship Id="rId2835" Type="http://schemas.openxmlformats.org/officeDocument/2006/relationships/hyperlink" Target="http://amazon.in" TargetMode="External"/><Relationship Id="rId1505" Type="http://schemas.openxmlformats.org/officeDocument/2006/relationships/hyperlink" Target="http://amazon.in" TargetMode="External"/><Relationship Id="rId2836" Type="http://schemas.openxmlformats.org/officeDocument/2006/relationships/hyperlink" Target="http://amazon.in" TargetMode="External"/><Relationship Id="rId1506" Type="http://schemas.openxmlformats.org/officeDocument/2006/relationships/hyperlink" Target="http://amazon.in" TargetMode="External"/><Relationship Id="rId2837" Type="http://schemas.openxmlformats.org/officeDocument/2006/relationships/hyperlink" Target="http://amazon.in" TargetMode="External"/><Relationship Id="rId1507" Type="http://schemas.openxmlformats.org/officeDocument/2006/relationships/hyperlink" Target="http://amazon.in" TargetMode="External"/><Relationship Id="rId2838" Type="http://schemas.openxmlformats.org/officeDocument/2006/relationships/hyperlink" Target="http://amazon.in" TargetMode="External"/><Relationship Id="rId1508" Type="http://schemas.openxmlformats.org/officeDocument/2006/relationships/hyperlink" Target="http://amazon.in" TargetMode="External"/><Relationship Id="rId2839" Type="http://schemas.openxmlformats.org/officeDocument/2006/relationships/hyperlink" Target="http://amazon.in" TargetMode="External"/><Relationship Id="rId1509" Type="http://schemas.openxmlformats.org/officeDocument/2006/relationships/hyperlink" Target="http://amazon.in" TargetMode="External"/><Relationship Id="rId5050" Type="http://schemas.openxmlformats.org/officeDocument/2006/relationships/hyperlink" Target="http://amazon.in" TargetMode="External"/><Relationship Id="rId5053" Type="http://schemas.openxmlformats.org/officeDocument/2006/relationships/hyperlink" Target="http://amazon.in" TargetMode="External"/><Relationship Id="rId5054" Type="http://schemas.openxmlformats.org/officeDocument/2006/relationships/hyperlink" Target="http://amazon.in" TargetMode="External"/><Relationship Id="rId5051" Type="http://schemas.openxmlformats.org/officeDocument/2006/relationships/hyperlink" Target="http://amazon.in" TargetMode="External"/><Relationship Id="rId5052" Type="http://schemas.openxmlformats.org/officeDocument/2006/relationships/hyperlink" Target="http://amazon.in" TargetMode="External"/><Relationship Id="rId5057" Type="http://schemas.openxmlformats.org/officeDocument/2006/relationships/hyperlink" Target="http://amazon.in" TargetMode="External"/><Relationship Id="rId5058" Type="http://schemas.openxmlformats.org/officeDocument/2006/relationships/hyperlink" Target="http://amazon.in" TargetMode="External"/><Relationship Id="rId5055" Type="http://schemas.openxmlformats.org/officeDocument/2006/relationships/hyperlink" Target="http://amazon.in" TargetMode="External"/><Relationship Id="rId5056" Type="http://schemas.openxmlformats.org/officeDocument/2006/relationships/hyperlink" Target="http://amazon.in" TargetMode="External"/><Relationship Id="rId5059" Type="http://schemas.openxmlformats.org/officeDocument/2006/relationships/hyperlink" Target="http://amazon.in" TargetMode="External"/><Relationship Id="rId5042" Type="http://schemas.openxmlformats.org/officeDocument/2006/relationships/hyperlink" Target="http://amazon.in" TargetMode="External"/><Relationship Id="rId5043" Type="http://schemas.openxmlformats.org/officeDocument/2006/relationships/hyperlink" Target="http://amazon.in" TargetMode="External"/><Relationship Id="rId5040" Type="http://schemas.openxmlformats.org/officeDocument/2006/relationships/hyperlink" Target="http://amazon.in" TargetMode="External"/><Relationship Id="rId5041" Type="http://schemas.openxmlformats.org/officeDocument/2006/relationships/hyperlink" Target="http://amazon.in" TargetMode="External"/><Relationship Id="rId5046" Type="http://schemas.openxmlformats.org/officeDocument/2006/relationships/hyperlink" Target="http://amazon.in" TargetMode="External"/><Relationship Id="rId5047" Type="http://schemas.openxmlformats.org/officeDocument/2006/relationships/hyperlink" Target="http://amazon.in" TargetMode="External"/><Relationship Id="rId5044" Type="http://schemas.openxmlformats.org/officeDocument/2006/relationships/hyperlink" Target="http://amazon.in" TargetMode="External"/><Relationship Id="rId5045" Type="http://schemas.openxmlformats.org/officeDocument/2006/relationships/hyperlink" Target="http://amazon.in" TargetMode="External"/><Relationship Id="rId5048" Type="http://schemas.openxmlformats.org/officeDocument/2006/relationships/hyperlink" Target="http://amazon.in" TargetMode="External"/><Relationship Id="rId5049" Type="http://schemas.openxmlformats.org/officeDocument/2006/relationships/hyperlink" Target="http://amazon.in" TargetMode="External"/><Relationship Id="rId2800" Type="http://schemas.openxmlformats.org/officeDocument/2006/relationships/hyperlink" Target="http://amazon.in" TargetMode="External"/><Relationship Id="rId2801" Type="http://schemas.openxmlformats.org/officeDocument/2006/relationships/hyperlink" Target="http://amazon.in" TargetMode="External"/><Relationship Id="rId2802" Type="http://schemas.openxmlformats.org/officeDocument/2006/relationships/hyperlink" Target="http://amazon.in" TargetMode="External"/><Relationship Id="rId2803" Type="http://schemas.openxmlformats.org/officeDocument/2006/relationships/hyperlink" Target="http://amazon.in" TargetMode="External"/><Relationship Id="rId2804" Type="http://schemas.openxmlformats.org/officeDocument/2006/relationships/hyperlink" Target="http://amazon.in" TargetMode="External"/><Relationship Id="rId2805" Type="http://schemas.openxmlformats.org/officeDocument/2006/relationships/hyperlink" Target="http://amazon.in" TargetMode="External"/><Relationship Id="rId2806" Type="http://schemas.openxmlformats.org/officeDocument/2006/relationships/hyperlink" Target="http://amazon.in" TargetMode="External"/><Relationship Id="rId2807" Type="http://schemas.openxmlformats.org/officeDocument/2006/relationships/hyperlink" Target="http://amazon.in" TargetMode="External"/><Relationship Id="rId2808" Type="http://schemas.openxmlformats.org/officeDocument/2006/relationships/hyperlink" Target="http://amazon.in" TargetMode="External"/><Relationship Id="rId2809" Type="http://schemas.openxmlformats.org/officeDocument/2006/relationships/hyperlink" Target="http://amazon.in" TargetMode="External"/><Relationship Id="rId5071" Type="http://schemas.openxmlformats.org/officeDocument/2006/relationships/hyperlink" Target="http://amazon.in" TargetMode="External"/><Relationship Id="rId5072" Type="http://schemas.openxmlformats.org/officeDocument/2006/relationships/hyperlink" Target="http://amazon.in" TargetMode="External"/><Relationship Id="rId5070" Type="http://schemas.openxmlformats.org/officeDocument/2006/relationships/hyperlink" Target="http://amazon.in" TargetMode="External"/><Relationship Id="rId5075" Type="http://schemas.openxmlformats.org/officeDocument/2006/relationships/hyperlink" Target="http://amazon.in" TargetMode="External"/><Relationship Id="rId5076" Type="http://schemas.openxmlformats.org/officeDocument/2006/relationships/hyperlink" Target="http://amazon.in" TargetMode="External"/><Relationship Id="rId5073" Type="http://schemas.openxmlformats.org/officeDocument/2006/relationships/hyperlink" Target="http://amazon.in" TargetMode="External"/><Relationship Id="rId5074" Type="http://schemas.openxmlformats.org/officeDocument/2006/relationships/hyperlink" Target="http://amazon.in" TargetMode="External"/><Relationship Id="rId5079" Type="http://schemas.openxmlformats.org/officeDocument/2006/relationships/hyperlink" Target="http://amazon.in" TargetMode="External"/><Relationship Id="rId5077" Type="http://schemas.openxmlformats.org/officeDocument/2006/relationships/hyperlink" Target="http://amazon.in" TargetMode="External"/><Relationship Id="rId5078" Type="http://schemas.openxmlformats.org/officeDocument/2006/relationships/hyperlink" Target="http://amazon.in" TargetMode="External"/><Relationship Id="rId5060" Type="http://schemas.openxmlformats.org/officeDocument/2006/relationships/hyperlink" Target="http://amazon.in" TargetMode="External"/><Relationship Id="rId5061" Type="http://schemas.openxmlformats.org/officeDocument/2006/relationships/hyperlink" Target="http://amazon.in" TargetMode="External"/><Relationship Id="rId5064" Type="http://schemas.openxmlformats.org/officeDocument/2006/relationships/hyperlink" Target="http://amazon.in" TargetMode="External"/><Relationship Id="rId5065" Type="http://schemas.openxmlformats.org/officeDocument/2006/relationships/hyperlink" Target="http://amazon.in" TargetMode="External"/><Relationship Id="rId5062" Type="http://schemas.openxmlformats.org/officeDocument/2006/relationships/hyperlink" Target="http://amazon.in" TargetMode="External"/><Relationship Id="rId5063" Type="http://schemas.openxmlformats.org/officeDocument/2006/relationships/hyperlink" Target="http://amazon.in" TargetMode="External"/><Relationship Id="rId5068" Type="http://schemas.openxmlformats.org/officeDocument/2006/relationships/hyperlink" Target="http://amazon.in" TargetMode="External"/><Relationship Id="rId5069" Type="http://schemas.openxmlformats.org/officeDocument/2006/relationships/hyperlink" Target="http://amazon.in" TargetMode="External"/><Relationship Id="rId5066" Type="http://schemas.openxmlformats.org/officeDocument/2006/relationships/hyperlink" Target="http://amazon.in" TargetMode="External"/><Relationship Id="rId5067" Type="http://schemas.openxmlformats.org/officeDocument/2006/relationships/hyperlink" Target="http://amazon.in" TargetMode="External"/><Relationship Id="rId1576" Type="http://schemas.openxmlformats.org/officeDocument/2006/relationships/hyperlink" Target="http://amazon.in" TargetMode="External"/><Relationship Id="rId4602" Type="http://schemas.openxmlformats.org/officeDocument/2006/relationships/hyperlink" Target="http://amazon.in" TargetMode="External"/><Relationship Id="rId1577" Type="http://schemas.openxmlformats.org/officeDocument/2006/relationships/hyperlink" Target="http://amazon.in" TargetMode="External"/><Relationship Id="rId4601" Type="http://schemas.openxmlformats.org/officeDocument/2006/relationships/hyperlink" Target="http://amazon.in" TargetMode="External"/><Relationship Id="rId1578" Type="http://schemas.openxmlformats.org/officeDocument/2006/relationships/hyperlink" Target="http://amazon.in" TargetMode="External"/><Relationship Id="rId4604" Type="http://schemas.openxmlformats.org/officeDocument/2006/relationships/hyperlink" Target="http://amazon.in" TargetMode="External"/><Relationship Id="rId1579" Type="http://schemas.openxmlformats.org/officeDocument/2006/relationships/hyperlink" Target="http://amazon.in" TargetMode="External"/><Relationship Id="rId4603" Type="http://schemas.openxmlformats.org/officeDocument/2006/relationships/hyperlink" Target="http://amazon.in" TargetMode="External"/><Relationship Id="rId4606" Type="http://schemas.openxmlformats.org/officeDocument/2006/relationships/hyperlink" Target="http://amazon.in" TargetMode="External"/><Relationship Id="rId4605" Type="http://schemas.openxmlformats.org/officeDocument/2006/relationships/hyperlink" Target="http://amazon.in" TargetMode="External"/><Relationship Id="rId4608" Type="http://schemas.openxmlformats.org/officeDocument/2006/relationships/hyperlink" Target="http://amazon.in" TargetMode="External"/><Relationship Id="rId4607" Type="http://schemas.openxmlformats.org/officeDocument/2006/relationships/hyperlink" Target="http://amazon.in" TargetMode="External"/><Relationship Id="rId4609" Type="http://schemas.openxmlformats.org/officeDocument/2006/relationships/hyperlink" Target="http://amazon.in" TargetMode="External"/><Relationship Id="rId987" Type="http://schemas.openxmlformats.org/officeDocument/2006/relationships/hyperlink" Target="http://amazon.in" TargetMode="External"/><Relationship Id="rId986" Type="http://schemas.openxmlformats.org/officeDocument/2006/relationships/hyperlink" Target="http://amazon.in" TargetMode="External"/><Relationship Id="rId985" Type="http://schemas.openxmlformats.org/officeDocument/2006/relationships/hyperlink" Target="http://amazon.in" TargetMode="External"/><Relationship Id="rId984" Type="http://schemas.openxmlformats.org/officeDocument/2006/relationships/hyperlink" Target="http://amazon.in" TargetMode="External"/><Relationship Id="rId989" Type="http://schemas.openxmlformats.org/officeDocument/2006/relationships/hyperlink" Target="http://amazon.in" TargetMode="External"/><Relationship Id="rId988" Type="http://schemas.openxmlformats.org/officeDocument/2006/relationships/hyperlink" Target="http://amazon.in" TargetMode="External"/><Relationship Id="rId1570" Type="http://schemas.openxmlformats.org/officeDocument/2006/relationships/hyperlink" Target="http://amazon.in" TargetMode="External"/><Relationship Id="rId1571" Type="http://schemas.openxmlformats.org/officeDocument/2006/relationships/hyperlink" Target="http://amazon.in" TargetMode="External"/><Relationship Id="rId983" Type="http://schemas.openxmlformats.org/officeDocument/2006/relationships/hyperlink" Target="http://amazon.in" TargetMode="External"/><Relationship Id="rId1572" Type="http://schemas.openxmlformats.org/officeDocument/2006/relationships/hyperlink" Target="http://amazon.in" TargetMode="External"/><Relationship Id="rId982" Type="http://schemas.openxmlformats.org/officeDocument/2006/relationships/hyperlink" Target="http://amazon.in" TargetMode="External"/><Relationship Id="rId1573" Type="http://schemas.openxmlformats.org/officeDocument/2006/relationships/hyperlink" Target="http://amazon.in" TargetMode="External"/><Relationship Id="rId981" Type="http://schemas.openxmlformats.org/officeDocument/2006/relationships/hyperlink" Target="http://amazon.in" TargetMode="External"/><Relationship Id="rId1574" Type="http://schemas.openxmlformats.org/officeDocument/2006/relationships/hyperlink" Target="http://amazon.in" TargetMode="External"/><Relationship Id="rId4600" Type="http://schemas.openxmlformats.org/officeDocument/2006/relationships/hyperlink" Target="http://amazon.in" TargetMode="External"/><Relationship Id="rId980" Type="http://schemas.openxmlformats.org/officeDocument/2006/relationships/hyperlink" Target="http://amazon.in" TargetMode="External"/><Relationship Id="rId1575" Type="http://schemas.openxmlformats.org/officeDocument/2006/relationships/hyperlink" Target="http://amazon.in" TargetMode="External"/><Relationship Id="rId1565" Type="http://schemas.openxmlformats.org/officeDocument/2006/relationships/hyperlink" Target="http://amazon.in" TargetMode="External"/><Relationship Id="rId2896" Type="http://schemas.openxmlformats.org/officeDocument/2006/relationships/hyperlink" Target="http://amazon.in" TargetMode="External"/><Relationship Id="rId1566" Type="http://schemas.openxmlformats.org/officeDocument/2006/relationships/hyperlink" Target="http://amazon.in" TargetMode="External"/><Relationship Id="rId2897" Type="http://schemas.openxmlformats.org/officeDocument/2006/relationships/hyperlink" Target="http://amazon.in" TargetMode="External"/><Relationship Id="rId1567" Type="http://schemas.openxmlformats.org/officeDocument/2006/relationships/hyperlink" Target="http://amazon.in" TargetMode="External"/><Relationship Id="rId2898" Type="http://schemas.openxmlformats.org/officeDocument/2006/relationships/hyperlink" Target="http://amazon.in" TargetMode="External"/><Relationship Id="rId1568" Type="http://schemas.openxmlformats.org/officeDocument/2006/relationships/hyperlink" Target="http://amazon.in" TargetMode="External"/><Relationship Id="rId2899" Type="http://schemas.openxmlformats.org/officeDocument/2006/relationships/hyperlink" Target="http://amazon.in" TargetMode="External"/><Relationship Id="rId1569" Type="http://schemas.openxmlformats.org/officeDocument/2006/relationships/hyperlink" Target="http://amazon.in" TargetMode="External"/><Relationship Id="rId976" Type="http://schemas.openxmlformats.org/officeDocument/2006/relationships/hyperlink" Target="http://amazon.in" TargetMode="External"/><Relationship Id="rId975" Type="http://schemas.openxmlformats.org/officeDocument/2006/relationships/hyperlink" Target="http://amazon.in" TargetMode="External"/><Relationship Id="rId974" Type="http://schemas.openxmlformats.org/officeDocument/2006/relationships/hyperlink" Target="http://amazon.in" TargetMode="External"/><Relationship Id="rId973" Type="http://schemas.openxmlformats.org/officeDocument/2006/relationships/hyperlink" Target="http://amazon.in" TargetMode="External"/><Relationship Id="rId979" Type="http://schemas.openxmlformats.org/officeDocument/2006/relationships/hyperlink" Target="http://amazon.in" TargetMode="External"/><Relationship Id="rId978" Type="http://schemas.openxmlformats.org/officeDocument/2006/relationships/hyperlink" Target="http://amazon.in" TargetMode="External"/><Relationship Id="rId977" Type="http://schemas.openxmlformats.org/officeDocument/2006/relationships/hyperlink" Target="http://amazon.in" TargetMode="External"/><Relationship Id="rId2890" Type="http://schemas.openxmlformats.org/officeDocument/2006/relationships/hyperlink" Target="http://amazon.in" TargetMode="External"/><Relationship Id="rId1560" Type="http://schemas.openxmlformats.org/officeDocument/2006/relationships/hyperlink" Target="http://amazon.in" TargetMode="External"/><Relationship Id="rId2891" Type="http://schemas.openxmlformats.org/officeDocument/2006/relationships/hyperlink" Target="http://amazon.in" TargetMode="External"/><Relationship Id="rId972" Type="http://schemas.openxmlformats.org/officeDocument/2006/relationships/hyperlink" Target="http://amazon.in" TargetMode="External"/><Relationship Id="rId1561" Type="http://schemas.openxmlformats.org/officeDocument/2006/relationships/hyperlink" Target="http://amazon.in" TargetMode="External"/><Relationship Id="rId2892" Type="http://schemas.openxmlformats.org/officeDocument/2006/relationships/hyperlink" Target="http://amazon.in" TargetMode="External"/><Relationship Id="rId971" Type="http://schemas.openxmlformats.org/officeDocument/2006/relationships/hyperlink" Target="http://amazon.in" TargetMode="External"/><Relationship Id="rId1562" Type="http://schemas.openxmlformats.org/officeDocument/2006/relationships/hyperlink" Target="http://amazon.in" TargetMode="External"/><Relationship Id="rId2893" Type="http://schemas.openxmlformats.org/officeDocument/2006/relationships/hyperlink" Target="http://amazon.in" TargetMode="External"/><Relationship Id="rId970" Type="http://schemas.openxmlformats.org/officeDocument/2006/relationships/hyperlink" Target="http://amazon.in" TargetMode="External"/><Relationship Id="rId1563" Type="http://schemas.openxmlformats.org/officeDocument/2006/relationships/hyperlink" Target="http://amazon.in" TargetMode="External"/><Relationship Id="rId2894" Type="http://schemas.openxmlformats.org/officeDocument/2006/relationships/hyperlink" Target="http://amazon.in" TargetMode="External"/><Relationship Id="rId1564" Type="http://schemas.openxmlformats.org/officeDocument/2006/relationships/hyperlink" Target="http://amazon.in" TargetMode="External"/><Relationship Id="rId2895" Type="http://schemas.openxmlformats.org/officeDocument/2006/relationships/hyperlink" Target="http://amazon.in" TargetMode="External"/><Relationship Id="rId1598" Type="http://schemas.openxmlformats.org/officeDocument/2006/relationships/hyperlink" Target="http://amazon.in" TargetMode="External"/><Relationship Id="rId4624" Type="http://schemas.openxmlformats.org/officeDocument/2006/relationships/hyperlink" Target="http://amazon.in" TargetMode="External"/><Relationship Id="rId1599" Type="http://schemas.openxmlformats.org/officeDocument/2006/relationships/hyperlink" Target="http://amazon.in" TargetMode="External"/><Relationship Id="rId4623" Type="http://schemas.openxmlformats.org/officeDocument/2006/relationships/hyperlink" Target="http://amazon.in" TargetMode="External"/><Relationship Id="rId4626" Type="http://schemas.openxmlformats.org/officeDocument/2006/relationships/hyperlink" Target="http://amazon.in" TargetMode="External"/><Relationship Id="rId4625" Type="http://schemas.openxmlformats.org/officeDocument/2006/relationships/hyperlink" Target="http://amazon.in" TargetMode="External"/><Relationship Id="rId4628" Type="http://schemas.openxmlformats.org/officeDocument/2006/relationships/hyperlink" Target="http://amazon.in" TargetMode="External"/><Relationship Id="rId4627" Type="http://schemas.openxmlformats.org/officeDocument/2006/relationships/hyperlink" Target="http://amazon.in" TargetMode="External"/><Relationship Id="rId4629" Type="http://schemas.openxmlformats.org/officeDocument/2006/relationships/hyperlink" Target="http://amazon.in" TargetMode="External"/><Relationship Id="rId1590" Type="http://schemas.openxmlformats.org/officeDocument/2006/relationships/hyperlink" Target="http://amazon.in" TargetMode="External"/><Relationship Id="rId1591" Type="http://schemas.openxmlformats.org/officeDocument/2006/relationships/hyperlink" Target="http://amazon.in" TargetMode="External"/><Relationship Id="rId1592" Type="http://schemas.openxmlformats.org/officeDocument/2006/relationships/hyperlink" Target="http://amazon.in" TargetMode="External"/><Relationship Id="rId1593" Type="http://schemas.openxmlformats.org/officeDocument/2006/relationships/hyperlink" Target="http://amazon.in" TargetMode="External"/><Relationship Id="rId1594" Type="http://schemas.openxmlformats.org/officeDocument/2006/relationships/hyperlink" Target="http://amazon.in" TargetMode="External"/><Relationship Id="rId4620" Type="http://schemas.openxmlformats.org/officeDocument/2006/relationships/hyperlink" Target="http://amazon.in" TargetMode="External"/><Relationship Id="rId1595" Type="http://schemas.openxmlformats.org/officeDocument/2006/relationships/hyperlink" Target="http://amazon.in" TargetMode="External"/><Relationship Id="rId1596" Type="http://schemas.openxmlformats.org/officeDocument/2006/relationships/hyperlink" Target="http://amazon.in" TargetMode="External"/><Relationship Id="rId4622" Type="http://schemas.openxmlformats.org/officeDocument/2006/relationships/hyperlink" Target="http://amazon.in" TargetMode="External"/><Relationship Id="rId1597" Type="http://schemas.openxmlformats.org/officeDocument/2006/relationships/hyperlink" Target="http://amazon.in" TargetMode="External"/><Relationship Id="rId4621" Type="http://schemas.openxmlformats.org/officeDocument/2006/relationships/hyperlink" Target="http://amazon.in" TargetMode="External"/><Relationship Id="rId1587" Type="http://schemas.openxmlformats.org/officeDocument/2006/relationships/hyperlink" Target="http://amazon.in" TargetMode="External"/><Relationship Id="rId4613" Type="http://schemas.openxmlformats.org/officeDocument/2006/relationships/hyperlink" Target="http://amazon.in" TargetMode="External"/><Relationship Id="rId1588" Type="http://schemas.openxmlformats.org/officeDocument/2006/relationships/hyperlink" Target="http://amazon.in" TargetMode="External"/><Relationship Id="rId4612" Type="http://schemas.openxmlformats.org/officeDocument/2006/relationships/hyperlink" Target="http://amazon.in" TargetMode="External"/><Relationship Id="rId1589" Type="http://schemas.openxmlformats.org/officeDocument/2006/relationships/hyperlink" Target="http://amazon.in" TargetMode="External"/><Relationship Id="rId4615" Type="http://schemas.openxmlformats.org/officeDocument/2006/relationships/hyperlink" Target="http://amazon.in" TargetMode="External"/><Relationship Id="rId4614" Type="http://schemas.openxmlformats.org/officeDocument/2006/relationships/hyperlink" Target="http://amazon.in" TargetMode="External"/><Relationship Id="rId4617" Type="http://schemas.openxmlformats.org/officeDocument/2006/relationships/hyperlink" Target="http://amazon.in" TargetMode="External"/><Relationship Id="rId4616" Type="http://schemas.openxmlformats.org/officeDocument/2006/relationships/hyperlink" Target="http://amazon.in" TargetMode="External"/><Relationship Id="rId4619" Type="http://schemas.openxmlformats.org/officeDocument/2006/relationships/hyperlink" Target="http://amazon.in" TargetMode="External"/><Relationship Id="rId4618" Type="http://schemas.openxmlformats.org/officeDocument/2006/relationships/hyperlink" Target="http://amazon.in" TargetMode="External"/><Relationship Id="rId998" Type="http://schemas.openxmlformats.org/officeDocument/2006/relationships/hyperlink" Target="http://amazon.in" TargetMode="External"/><Relationship Id="rId997" Type="http://schemas.openxmlformats.org/officeDocument/2006/relationships/hyperlink" Target="http://amazon.in" TargetMode="External"/><Relationship Id="rId996" Type="http://schemas.openxmlformats.org/officeDocument/2006/relationships/hyperlink" Target="http://amazon.in" TargetMode="External"/><Relationship Id="rId995" Type="http://schemas.openxmlformats.org/officeDocument/2006/relationships/hyperlink" Target="http://amazon.in" TargetMode="External"/><Relationship Id="rId999" Type="http://schemas.openxmlformats.org/officeDocument/2006/relationships/hyperlink" Target="http://amazon.in" TargetMode="External"/><Relationship Id="rId990" Type="http://schemas.openxmlformats.org/officeDocument/2006/relationships/hyperlink" Target="http://amazon.in" TargetMode="External"/><Relationship Id="rId1580" Type="http://schemas.openxmlformats.org/officeDocument/2006/relationships/hyperlink" Target="http://amazon.in" TargetMode="External"/><Relationship Id="rId1581" Type="http://schemas.openxmlformats.org/officeDocument/2006/relationships/hyperlink" Target="http://amazon.in" TargetMode="External"/><Relationship Id="rId1582" Type="http://schemas.openxmlformats.org/officeDocument/2006/relationships/hyperlink" Target="http://amazon.in" TargetMode="External"/><Relationship Id="rId994" Type="http://schemas.openxmlformats.org/officeDocument/2006/relationships/hyperlink" Target="http://amazon.in" TargetMode="External"/><Relationship Id="rId1583" Type="http://schemas.openxmlformats.org/officeDocument/2006/relationships/hyperlink" Target="http://amazon.in" TargetMode="External"/><Relationship Id="rId993" Type="http://schemas.openxmlformats.org/officeDocument/2006/relationships/hyperlink" Target="http://amazon.in" TargetMode="External"/><Relationship Id="rId1584" Type="http://schemas.openxmlformats.org/officeDocument/2006/relationships/hyperlink" Target="http://amazon.in" TargetMode="External"/><Relationship Id="rId992" Type="http://schemas.openxmlformats.org/officeDocument/2006/relationships/hyperlink" Target="http://amazon.in" TargetMode="External"/><Relationship Id="rId1585" Type="http://schemas.openxmlformats.org/officeDocument/2006/relationships/hyperlink" Target="http://amazon.in" TargetMode="External"/><Relationship Id="rId4611" Type="http://schemas.openxmlformats.org/officeDocument/2006/relationships/hyperlink" Target="http://amazon.in" TargetMode="External"/><Relationship Id="rId991" Type="http://schemas.openxmlformats.org/officeDocument/2006/relationships/hyperlink" Target="http://amazon.in" TargetMode="External"/><Relationship Id="rId1586" Type="http://schemas.openxmlformats.org/officeDocument/2006/relationships/hyperlink" Target="http://amazon.in" TargetMode="External"/><Relationship Id="rId4610" Type="http://schemas.openxmlformats.org/officeDocument/2006/relationships/hyperlink" Target="http://amazon.in" TargetMode="External"/><Relationship Id="rId1532" Type="http://schemas.openxmlformats.org/officeDocument/2006/relationships/hyperlink" Target="http://amazon.in" TargetMode="External"/><Relationship Id="rId2863" Type="http://schemas.openxmlformats.org/officeDocument/2006/relationships/hyperlink" Target="http://amazon.in" TargetMode="External"/><Relationship Id="rId1533" Type="http://schemas.openxmlformats.org/officeDocument/2006/relationships/hyperlink" Target="http://amazon.in" TargetMode="External"/><Relationship Id="rId2864" Type="http://schemas.openxmlformats.org/officeDocument/2006/relationships/hyperlink" Target="http://amazon.in" TargetMode="External"/><Relationship Id="rId1534" Type="http://schemas.openxmlformats.org/officeDocument/2006/relationships/hyperlink" Target="http://amazon.in" TargetMode="External"/><Relationship Id="rId2865" Type="http://schemas.openxmlformats.org/officeDocument/2006/relationships/hyperlink" Target="http://amazon.in" TargetMode="External"/><Relationship Id="rId1535" Type="http://schemas.openxmlformats.org/officeDocument/2006/relationships/hyperlink" Target="http://amazon.in" TargetMode="External"/><Relationship Id="rId2866" Type="http://schemas.openxmlformats.org/officeDocument/2006/relationships/hyperlink" Target="http://amazon.in" TargetMode="External"/><Relationship Id="rId1536" Type="http://schemas.openxmlformats.org/officeDocument/2006/relationships/hyperlink" Target="http://amazon.in" TargetMode="External"/><Relationship Id="rId2867" Type="http://schemas.openxmlformats.org/officeDocument/2006/relationships/hyperlink" Target="http://amazon.in" TargetMode="External"/><Relationship Id="rId1537" Type="http://schemas.openxmlformats.org/officeDocument/2006/relationships/hyperlink" Target="http://amazon.in" TargetMode="External"/><Relationship Id="rId2868" Type="http://schemas.openxmlformats.org/officeDocument/2006/relationships/hyperlink" Target="http://amazon.in" TargetMode="External"/><Relationship Id="rId1538" Type="http://schemas.openxmlformats.org/officeDocument/2006/relationships/hyperlink" Target="http://amazon.in" TargetMode="External"/><Relationship Id="rId2869" Type="http://schemas.openxmlformats.org/officeDocument/2006/relationships/hyperlink" Target="http://amazon.in" TargetMode="External"/><Relationship Id="rId1539" Type="http://schemas.openxmlformats.org/officeDocument/2006/relationships/hyperlink" Target="http://amazon.in" TargetMode="External"/><Relationship Id="rId949" Type="http://schemas.openxmlformats.org/officeDocument/2006/relationships/hyperlink" Target="http://amazon.in" TargetMode="External"/><Relationship Id="rId948" Type="http://schemas.openxmlformats.org/officeDocument/2006/relationships/hyperlink" Target="http://amazon.in" TargetMode="External"/><Relationship Id="rId943" Type="http://schemas.openxmlformats.org/officeDocument/2006/relationships/hyperlink" Target="http://amazon.in" TargetMode="External"/><Relationship Id="rId942" Type="http://schemas.openxmlformats.org/officeDocument/2006/relationships/hyperlink" Target="http://amazon.in" TargetMode="External"/><Relationship Id="rId941" Type="http://schemas.openxmlformats.org/officeDocument/2006/relationships/hyperlink" Target="http://amazon.in" TargetMode="External"/><Relationship Id="rId940" Type="http://schemas.openxmlformats.org/officeDocument/2006/relationships/hyperlink" Target="http://amazon.in" TargetMode="External"/><Relationship Id="rId947" Type="http://schemas.openxmlformats.org/officeDocument/2006/relationships/hyperlink" Target="http://amazon.in" TargetMode="External"/><Relationship Id="rId946" Type="http://schemas.openxmlformats.org/officeDocument/2006/relationships/hyperlink" Target="http://amazon.in" TargetMode="External"/><Relationship Id="rId945" Type="http://schemas.openxmlformats.org/officeDocument/2006/relationships/hyperlink" Target="http://amazon.in" TargetMode="External"/><Relationship Id="rId944" Type="http://schemas.openxmlformats.org/officeDocument/2006/relationships/hyperlink" Target="http://amazon.in" TargetMode="External"/><Relationship Id="rId2860" Type="http://schemas.openxmlformats.org/officeDocument/2006/relationships/hyperlink" Target="http://amazon.in" TargetMode="External"/><Relationship Id="rId1530" Type="http://schemas.openxmlformats.org/officeDocument/2006/relationships/hyperlink" Target="http://amazon.in" TargetMode="External"/><Relationship Id="rId2861" Type="http://schemas.openxmlformats.org/officeDocument/2006/relationships/hyperlink" Target="http://amazon.in" TargetMode="External"/><Relationship Id="rId1531" Type="http://schemas.openxmlformats.org/officeDocument/2006/relationships/hyperlink" Target="http://amazon.in" TargetMode="External"/><Relationship Id="rId2862" Type="http://schemas.openxmlformats.org/officeDocument/2006/relationships/hyperlink" Target="http://amazon.in" TargetMode="External"/><Relationship Id="rId1521" Type="http://schemas.openxmlformats.org/officeDocument/2006/relationships/hyperlink" Target="http://amazon.in" TargetMode="External"/><Relationship Id="rId2852" Type="http://schemas.openxmlformats.org/officeDocument/2006/relationships/hyperlink" Target="http://amazon.in" TargetMode="External"/><Relationship Id="rId1522" Type="http://schemas.openxmlformats.org/officeDocument/2006/relationships/hyperlink" Target="http://amazon.in" TargetMode="External"/><Relationship Id="rId2853" Type="http://schemas.openxmlformats.org/officeDocument/2006/relationships/hyperlink" Target="http://amazon.in" TargetMode="External"/><Relationship Id="rId1523" Type="http://schemas.openxmlformats.org/officeDocument/2006/relationships/hyperlink" Target="http://amazon.in" TargetMode="External"/><Relationship Id="rId2854" Type="http://schemas.openxmlformats.org/officeDocument/2006/relationships/hyperlink" Target="http://amazon.in" TargetMode="External"/><Relationship Id="rId1524" Type="http://schemas.openxmlformats.org/officeDocument/2006/relationships/hyperlink" Target="http://amazon.in" TargetMode="External"/><Relationship Id="rId2855" Type="http://schemas.openxmlformats.org/officeDocument/2006/relationships/hyperlink" Target="http://amazon.in" TargetMode="External"/><Relationship Id="rId1525" Type="http://schemas.openxmlformats.org/officeDocument/2006/relationships/hyperlink" Target="http://amazon.in" TargetMode="External"/><Relationship Id="rId2856" Type="http://schemas.openxmlformats.org/officeDocument/2006/relationships/hyperlink" Target="http://amazon.in" TargetMode="External"/><Relationship Id="rId1526" Type="http://schemas.openxmlformats.org/officeDocument/2006/relationships/hyperlink" Target="http://amazon.in" TargetMode="External"/><Relationship Id="rId2857" Type="http://schemas.openxmlformats.org/officeDocument/2006/relationships/hyperlink" Target="http://amazon.in" TargetMode="External"/><Relationship Id="rId1527" Type="http://schemas.openxmlformats.org/officeDocument/2006/relationships/hyperlink" Target="http://amazon.in" TargetMode="External"/><Relationship Id="rId2858" Type="http://schemas.openxmlformats.org/officeDocument/2006/relationships/hyperlink" Target="http://amazon.in" TargetMode="External"/><Relationship Id="rId1528" Type="http://schemas.openxmlformats.org/officeDocument/2006/relationships/hyperlink" Target="http://amazon.in" TargetMode="External"/><Relationship Id="rId2859" Type="http://schemas.openxmlformats.org/officeDocument/2006/relationships/hyperlink" Target="http://amazon.in" TargetMode="External"/><Relationship Id="rId1529" Type="http://schemas.openxmlformats.org/officeDocument/2006/relationships/hyperlink" Target="http://amazon.in" TargetMode="External"/><Relationship Id="rId939" Type="http://schemas.openxmlformats.org/officeDocument/2006/relationships/hyperlink" Target="http://amazon.in" TargetMode="External"/><Relationship Id="rId938" Type="http://schemas.openxmlformats.org/officeDocument/2006/relationships/hyperlink" Target="http://amazon.in" TargetMode="External"/><Relationship Id="rId937" Type="http://schemas.openxmlformats.org/officeDocument/2006/relationships/hyperlink" Target="http://amazon.in" TargetMode="External"/><Relationship Id="rId932" Type="http://schemas.openxmlformats.org/officeDocument/2006/relationships/hyperlink" Target="http://amazon.in" TargetMode="External"/><Relationship Id="rId931" Type="http://schemas.openxmlformats.org/officeDocument/2006/relationships/hyperlink" Target="http://amazon.in" TargetMode="External"/><Relationship Id="rId930" Type="http://schemas.openxmlformats.org/officeDocument/2006/relationships/hyperlink" Target="http://amazon.in" TargetMode="External"/><Relationship Id="rId936" Type="http://schemas.openxmlformats.org/officeDocument/2006/relationships/hyperlink" Target="http://amazon.in" TargetMode="External"/><Relationship Id="rId935" Type="http://schemas.openxmlformats.org/officeDocument/2006/relationships/hyperlink" Target="http://amazon.in" TargetMode="External"/><Relationship Id="rId934" Type="http://schemas.openxmlformats.org/officeDocument/2006/relationships/hyperlink" Target="http://amazon.in" TargetMode="External"/><Relationship Id="rId933" Type="http://schemas.openxmlformats.org/officeDocument/2006/relationships/hyperlink" Target="http://amazon.in" TargetMode="External"/><Relationship Id="rId2850" Type="http://schemas.openxmlformats.org/officeDocument/2006/relationships/hyperlink" Target="http://amazon.in" TargetMode="External"/><Relationship Id="rId1520" Type="http://schemas.openxmlformats.org/officeDocument/2006/relationships/hyperlink" Target="http://amazon.in" TargetMode="External"/><Relationship Id="rId2851" Type="http://schemas.openxmlformats.org/officeDocument/2006/relationships/hyperlink" Target="http://amazon.in" TargetMode="External"/><Relationship Id="rId1554" Type="http://schemas.openxmlformats.org/officeDocument/2006/relationships/hyperlink" Target="http://amazon.in" TargetMode="External"/><Relationship Id="rId2885" Type="http://schemas.openxmlformats.org/officeDocument/2006/relationships/hyperlink" Target="http://amazon.in" TargetMode="External"/><Relationship Id="rId1555" Type="http://schemas.openxmlformats.org/officeDocument/2006/relationships/hyperlink" Target="http://amazon.in" TargetMode="External"/><Relationship Id="rId2886" Type="http://schemas.openxmlformats.org/officeDocument/2006/relationships/hyperlink" Target="http://amazon.in" TargetMode="External"/><Relationship Id="rId1556" Type="http://schemas.openxmlformats.org/officeDocument/2006/relationships/hyperlink" Target="http://amazon.in" TargetMode="External"/><Relationship Id="rId2887" Type="http://schemas.openxmlformats.org/officeDocument/2006/relationships/hyperlink" Target="http://amazon.in" TargetMode="External"/><Relationship Id="rId1557" Type="http://schemas.openxmlformats.org/officeDocument/2006/relationships/hyperlink" Target="http://amazon.in" TargetMode="External"/><Relationship Id="rId2888" Type="http://schemas.openxmlformats.org/officeDocument/2006/relationships/hyperlink" Target="http://amazon.in" TargetMode="External"/><Relationship Id="rId1558" Type="http://schemas.openxmlformats.org/officeDocument/2006/relationships/hyperlink" Target="http://amazon.in" TargetMode="External"/><Relationship Id="rId2889" Type="http://schemas.openxmlformats.org/officeDocument/2006/relationships/hyperlink" Target="http://amazon.in" TargetMode="External"/><Relationship Id="rId1559" Type="http://schemas.openxmlformats.org/officeDocument/2006/relationships/hyperlink" Target="http://amazon.in" TargetMode="External"/><Relationship Id="rId965" Type="http://schemas.openxmlformats.org/officeDocument/2006/relationships/hyperlink" Target="http://amazon.in" TargetMode="External"/><Relationship Id="rId964" Type="http://schemas.openxmlformats.org/officeDocument/2006/relationships/hyperlink" Target="http://amazon.in" TargetMode="External"/><Relationship Id="rId963" Type="http://schemas.openxmlformats.org/officeDocument/2006/relationships/hyperlink" Target="http://amazon.in" TargetMode="External"/><Relationship Id="rId962" Type="http://schemas.openxmlformats.org/officeDocument/2006/relationships/hyperlink" Target="http://amazon.in" TargetMode="External"/><Relationship Id="rId969" Type="http://schemas.openxmlformats.org/officeDocument/2006/relationships/hyperlink" Target="http://amazon.in" TargetMode="External"/><Relationship Id="rId968" Type="http://schemas.openxmlformats.org/officeDocument/2006/relationships/hyperlink" Target="http://amazon.in" TargetMode="External"/><Relationship Id="rId967" Type="http://schemas.openxmlformats.org/officeDocument/2006/relationships/hyperlink" Target="http://amazon.in" TargetMode="External"/><Relationship Id="rId966" Type="http://schemas.openxmlformats.org/officeDocument/2006/relationships/hyperlink" Target="http://amazon.in" TargetMode="External"/><Relationship Id="rId2880" Type="http://schemas.openxmlformats.org/officeDocument/2006/relationships/hyperlink" Target="http://amazon.in" TargetMode="External"/><Relationship Id="rId961" Type="http://schemas.openxmlformats.org/officeDocument/2006/relationships/hyperlink" Target="http://amazon.in" TargetMode="External"/><Relationship Id="rId1550" Type="http://schemas.openxmlformats.org/officeDocument/2006/relationships/hyperlink" Target="http://amazon.in" TargetMode="External"/><Relationship Id="rId2881" Type="http://schemas.openxmlformats.org/officeDocument/2006/relationships/hyperlink" Target="http://amazon.in" TargetMode="External"/><Relationship Id="rId960" Type="http://schemas.openxmlformats.org/officeDocument/2006/relationships/hyperlink" Target="http://amazon.in" TargetMode="External"/><Relationship Id="rId1551" Type="http://schemas.openxmlformats.org/officeDocument/2006/relationships/hyperlink" Target="http://amazon.in" TargetMode="External"/><Relationship Id="rId2882" Type="http://schemas.openxmlformats.org/officeDocument/2006/relationships/hyperlink" Target="http://amazon.in" TargetMode="External"/><Relationship Id="rId1552" Type="http://schemas.openxmlformats.org/officeDocument/2006/relationships/hyperlink" Target="http://amazon.in" TargetMode="External"/><Relationship Id="rId2883" Type="http://schemas.openxmlformats.org/officeDocument/2006/relationships/hyperlink" Target="http://amazon.in" TargetMode="External"/><Relationship Id="rId1553" Type="http://schemas.openxmlformats.org/officeDocument/2006/relationships/hyperlink" Target="http://amazon.in" TargetMode="External"/><Relationship Id="rId2884" Type="http://schemas.openxmlformats.org/officeDocument/2006/relationships/hyperlink" Target="http://amazon.in" TargetMode="External"/><Relationship Id="rId1543" Type="http://schemas.openxmlformats.org/officeDocument/2006/relationships/hyperlink" Target="http://amazon.in" TargetMode="External"/><Relationship Id="rId2874" Type="http://schemas.openxmlformats.org/officeDocument/2006/relationships/hyperlink" Target="http://amazon.in" TargetMode="External"/><Relationship Id="rId1544" Type="http://schemas.openxmlformats.org/officeDocument/2006/relationships/hyperlink" Target="http://amazon.in" TargetMode="External"/><Relationship Id="rId2875" Type="http://schemas.openxmlformats.org/officeDocument/2006/relationships/hyperlink" Target="http://amazon.in" TargetMode="External"/><Relationship Id="rId1545" Type="http://schemas.openxmlformats.org/officeDocument/2006/relationships/hyperlink" Target="http://amazon.in" TargetMode="External"/><Relationship Id="rId2876" Type="http://schemas.openxmlformats.org/officeDocument/2006/relationships/hyperlink" Target="http://amazon.in" TargetMode="External"/><Relationship Id="rId1546" Type="http://schemas.openxmlformats.org/officeDocument/2006/relationships/hyperlink" Target="http://amazon.in" TargetMode="External"/><Relationship Id="rId2877" Type="http://schemas.openxmlformats.org/officeDocument/2006/relationships/hyperlink" Target="http://amazon.in" TargetMode="External"/><Relationship Id="rId1547" Type="http://schemas.openxmlformats.org/officeDocument/2006/relationships/hyperlink" Target="http://amazon.in" TargetMode="External"/><Relationship Id="rId2878" Type="http://schemas.openxmlformats.org/officeDocument/2006/relationships/hyperlink" Target="http://amazon.in" TargetMode="External"/><Relationship Id="rId1548" Type="http://schemas.openxmlformats.org/officeDocument/2006/relationships/hyperlink" Target="http://amazon.in" TargetMode="External"/><Relationship Id="rId2879" Type="http://schemas.openxmlformats.org/officeDocument/2006/relationships/hyperlink" Target="http://amazon.in" TargetMode="External"/><Relationship Id="rId1549" Type="http://schemas.openxmlformats.org/officeDocument/2006/relationships/hyperlink" Target="http://amazon.in" TargetMode="External"/><Relationship Id="rId959" Type="http://schemas.openxmlformats.org/officeDocument/2006/relationships/hyperlink" Target="http://amazon.in" TargetMode="External"/><Relationship Id="rId954" Type="http://schemas.openxmlformats.org/officeDocument/2006/relationships/hyperlink" Target="http://amazon.in" TargetMode="External"/><Relationship Id="rId953" Type="http://schemas.openxmlformats.org/officeDocument/2006/relationships/hyperlink" Target="http://amazon.in" TargetMode="External"/><Relationship Id="rId952" Type="http://schemas.openxmlformats.org/officeDocument/2006/relationships/hyperlink" Target="http://amazon.in" TargetMode="External"/><Relationship Id="rId951" Type="http://schemas.openxmlformats.org/officeDocument/2006/relationships/hyperlink" Target="http://amazon.in" TargetMode="External"/><Relationship Id="rId958" Type="http://schemas.openxmlformats.org/officeDocument/2006/relationships/hyperlink" Target="http://amazon.in" TargetMode="External"/><Relationship Id="rId957" Type="http://schemas.openxmlformats.org/officeDocument/2006/relationships/hyperlink" Target="http://amazon.in" TargetMode="External"/><Relationship Id="rId956" Type="http://schemas.openxmlformats.org/officeDocument/2006/relationships/hyperlink" Target="http://amazon.in" TargetMode="External"/><Relationship Id="rId955" Type="http://schemas.openxmlformats.org/officeDocument/2006/relationships/hyperlink" Target="http://amazon.in" TargetMode="External"/><Relationship Id="rId950" Type="http://schemas.openxmlformats.org/officeDocument/2006/relationships/hyperlink" Target="http://amazon.in" TargetMode="External"/><Relationship Id="rId2870" Type="http://schemas.openxmlformats.org/officeDocument/2006/relationships/hyperlink" Target="http://amazon.in" TargetMode="External"/><Relationship Id="rId1540" Type="http://schemas.openxmlformats.org/officeDocument/2006/relationships/hyperlink" Target="http://amazon.in" TargetMode="External"/><Relationship Id="rId2871" Type="http://schemas.openxmlformats.org/officeDocument/2006/relationships/hyperlink" Target="http://amazon.in" TargetMode="External"/><Relationship Id="rId1541" Type="http://schemas.openxmlformats.org/officeDocument/2006/relationships/hyperlink" Target="http://amazon.in" TargetMode="External"/><Relationship Id="rId2872" Type="http://schemas.openxmlformats.org/officeDocument/2006/relationships/hyperlink" Target="http://amazon.in" TargetMode="External"/><Relationship Id="rId1542" Type="http://schemas.openxmlformats.org/officeDocument/2006/relationships/hyperlink" Target="http://amazon.in" TargetMode="External"/><Relationship Id="rId2873" Type="http://schemas.openxmlformats.org/officeDocument/2006/relationships/hyperlink" Target="http://amazon.in" TargetMode="External"/><Relationship Id="rId2027" Type="http://schemas.openxmlformats.org/officeDocument/2006/relationships/hyperlink" Target="http://amazon.in" TargetMode="External"/><Relationship Id="rId3359" Type="http://schemas.openxmlformats.org/officeDocument/2006/relationships/hyperlink" Target="http://amazon.in" TargetMode="External"/><Relationship Id="rId2028" Type="http://schemas.openxmlformats.org/officeDocument/2006/relationships/hyperlink" Target="http://amazon.in" TargetMode="External"/><Relationship Id="rId3358" Type="http://schemas.openxmlformats.org/officeDocument/2006/relationships/hyperlink" Target="http://amazon.in" TargetMode="External"/><Relationship Id="rId4689" Type="http://schemas.openxmlformats.org/officeDocument/2006/relationships/hyperlink" Target="http://amazon.in" TargetMode="External"/><Relationship Id="rId2029" Type="http://schemas.openxmlformats.org/officeDocument/2006/relationships/hyperlink" Target="http://amazon.in" TargetMode="External"/><Relationship Id="rId107" Type="http://schemas.openxmlformats.org/officeDocument/2006/relationships/hyperlink" Target="http://amazon.in" TargetMode="External"/><Relationship Id="rId106" Type="http://schemas.openxmlformats.org/officeDocument/2006/relationships/hyperlink" Target="http://amazon.in" TargetMode="External"/><Relationship Id="rId105" Type="http://schemas.openxmlformats.org/officeDocument/2006/relationships/hyperlink" Target="http://amazon.in" TargetMode="External"/><Relationship Id="rId104" Type="http://schemas.openxmlformats.org/officeDocument/2006/relationships/hyperlink" Target="http://amazon.in" TargetMode="External"/><Relationship Id="rId109" Type="http://schemas.openxmlformats.org/officeDocument/2006/relationships/hyperlink" Target="http://amazon.in" TargetMode="External"/><Relationship Id="rId4680" Type="http://schemas.openxmlformats.org/officeDocument/2006/relationships/hyperlink" Target="http://amazon.in" TargetMode="External"/><Relationship Id="rId108" Type="http://schemas.openxmlformats.org/officeDocument/2006/relationships/hyperlink" Target="http://amazon.in" TargetMode="External"/><Relationship Id="rId3351" Type="http://schemas.openxmlformats.org/officeDocument/2006/relationships/hyperlink" Target="http://amazon.in" TargetMode="External"/><Relationship Id="rId4682" Type="http://schemas.openxmlformats.org/officeDocument/2006/relationships/hyperlink" Target="http://amazon.in" TargetMode="External"/><Relationship Id="rId2020" Type="http://schemas.openxmlformats.org/officeDocument/2006/relationships/hyperlink" Target="http://amazon.in" TargetMode="External"/><Relationship Id="rId3350" Type="http://schemas.openxmlformats.org/officeDocument/2006/relationships/hyperlink" Target="http://amazon.in" TargetMode="External"/><Relationship Id="rId4681" Type="http://schemas.openxmlformats.org/officeDocument/2006/relationships/hyperlink" Target="http://amazon.in" TargetMode="External"/><Relationship Id="rId2021" Type="http://schemas.openxmlformats.org/officeDocument/2006/relationships/hyperlink" Target="http://amazon.in" TargetMode="External"/><Relationship Id="rId3353" Type="http://schemas.openxmlformats.org/officeDocument/2006/relationships/hyperlink" Target="http://amazon.in" TargetMode="External"/><Relationship Id="rId4684" Type="http://schemas.openxmlformats.org/officeDocument/2006/relationships/hyperlink" Target="http://amazon.in" TargetMode="External"/><Relationship Id="rId2022" Type="http://schemas.openxmlformats.org/officeDocument/2006/relationships/hyperlink" Target="http://amazon.in" TargetMode="External"/><Relationship Id="rId3352" Type="http://schemas.openxmlformats.org/officeDocument/2006/relationships/hyperlink" Target="http://amazon.in" TargetMode="External"/><Relationship Id="rId4683" Type="http://schemas.openxmlformats.org/officeDocument/2006/relationships/hyperlink" Target="http://amazon.in" TargetMode="External"/><Relationship Id="rId103" Type="http://schemas.openxmlformats.org/officeDocument/2006/relationships/hyperlink" Target="http://amazon.in" TargetMode="External"/><Relationship Id="rId2023" Type="http://schemas.openxmlformats.org/officeDocument/2006/relationships/hyperlink" Target="http://amazon.in" TargetMode="External"/><Relationship Id="rId3355" Type="http://schemas.openxmlformats.org/officeDocument/2006/relationships/hyperlink" Target="http://amazon.in" TargetMode="External"/><Relationship Id="rId4686" Type="http://schemas.openxmlformats.org/officeDocument/2006/relationships/hyperlink" Target="http://amazon.in" TargetMode="External"/><Relationship Id="rId102" Type="http://schemas.openxmlformats.org/officeDocument/2006/relationships/hyperlink" Target="http://amazon.in" TargetMode="External"/><Relationship Id="rId2024" Type="http://schemas.openxmlformats.org/officeDocument/2006/relationships/hyperlink" Target="http://amazon.in" TargetMode="External"/><Relationship Id="rId3354" Type="http://schemas.openxmlformats.org/officeDocument/2006/relationships/hyperlink" Target="http://amazon.in" TargetMode="External"/><Relationship Id="rId4685" Type="http://schemas.openxmlformats.org/officeDocument/2006/relationships/hyperlink" Target="http://amazon.in" TargetMode="External"/><Relationship Id="rId101" Type="http://schemas.openxmlformats.org/officeDocument/2006/relationships/hyperlink" Target="http://amazon.in" TargetMode="External"/><Relationship Id="rId2025" Type="http://schemas.openxmlformats.org/officeDocument/2006/relationships/hyperlink" Target="http://amazon.in" TargetMode="External"/><Relationship Id="rId3357" Type="http://schemas.openxmlformats.org/officeDocument/2006/relationships/hyperlink" Target="http://amazon.in" TargetMode="External"/><Relationship Id="rId4688" Type="http://schemas.openxmlformats.org/officeDocument/2006/relationships/hyperlink" Target="http://amazon.in" TargetMode="External"/><Relationship Id="rId100" Type="http://schemas.openxmlformats.org/officeDocument/2006/relationships/hyperlink" Target="http://amazon.in" TargetMode="External"/><Relationship Id="rId2026" Type="http://schemas.openxmlformats.org/officeDocument/2006/relationships/hyperlink" Target="http://amazon.in" TargetMode="External"/><Relationship Id="rId3356" Type="http://schemas.openxmlformats.org/officeDocument/2006/relationships/hyperlink" Target="http://amazon.in" TargetMode="External"/><Relationship Id="rId4687" Type="http://schemas.openxmlformats.org/officeDocument/2006/relationships/hyperlink" Target="http://amazon.in" TargetMode="External"/><Relationship Id="rId2016" Type="http://schemas.openxmlformats.org/officeDocument/2006/relationships/hyperlink" Target="http://amazon.in" TargetMode="External"/><Relationship Id="rId3348" Type="http://schemas.openxmlformats.org/officeDocument/2006/relationships/hyperlink" Target="http://amazon.in" TargetMode="External"/><Relationship Id="rId4679" Type="http://schemas.openxmlformats.org/officeDocument/2006/relationships/hyperlink" Target="http://amazon.in" TargetMode="External"/><Relationship Id="rId2017" Type="http://schemas.openxmlformats.org/officeDocument/2006/relationships/hyperlink" Target="http://amazon.in" TargetMode="External"/><Relationship Id="rId3347" Type="http://schemas.openxmlformats.org/officeDocument/2006/relationships/hyperlink" Target="http://amazon.in" TargetMode="External"/><Relationship Id="rId4678" Type="http://schemas.openxmlformats.org/officeDocument/2006/relationships/hyperlink" Target="http://amazon.in" TargetMode="External"/><Relationship Id="rId2018" Type="http://schemas.openxmlformats.org/officeDocument/2006/relationships/hyperlink" Target="http://amazon.in" TargetMode="External"/><Relationship Id="rId2019" Type="http://schemas.openxmlformats.org/officeDocument/2006/relationships/hyperlink" Target="http://amazon.in" TargetMode="External"/><Relationship Id="rId3349" Type="http://schemas.openxmlformats.org/officeDocument/2006/relationships/hyperlink" Target="http://amazon.in" TargetMode="External"/><Relationship Id="rId3340" Type="http://schemas.openxmlformats.org/officeDocument/2006/relationships/hyperlink" Target="http://amazon.in" TargetMode="External"/><Relationship Id="rId4671" Type="http://schemas.openxmlformats.org/officeDocument/2006/relationships/hyperlink" Target="http://amazon.in" TargetMode="External"/><Relationship Id="rId4670" Type="http://schemas.openxmlformats.org/officeDocument/2006/relationships/hyperlink" Target="http://amazon.in" TargetMode="External"/><Relationship Id="rId2010" Type="http://schemas.openxmlformats.org/officeDocument/2006/relationships/hyperlink" Target="http://amazon.in" TargetMode="External"/><Relationship Id="rId3342" Type="http://schemas.openxmlformats.org/officeDocument/2006/relationships/hyperlink" Target="http://amazon.in" TargetMode="External"/><Relationship Id="rId4673" Type="http://schemas.openxmlformats.org/officeDocument/2006/relationships/hyperlink" Target="http://amazon.in" TargetMode="External"/><Relationship Id="rId2011" Type="http://schemas.openxmlformats.org/officeDocument/2006/relationships/hyperlink" Target="http://amazon.in" TargetMode="External"/><Relationship Id="rId3341" Type="http://schemas.openxmlformats.org/officeDocument/2006/relationships/hyperlink" Target="http://amazon.in" TargetMode="External"/><Relationship Id="rId4672" Type="http://schemas.openxmlformats.org/officeDocument/2006/relationships/hyperlink" Target="http://amazon.in" TargetMode="External"/><Relationship Id="rId2012" Type="http://schemas.openxmlformats.org/officeDocument/2006/relationships/hyperlink" Target="http://amazon.in" TargetMode="External"/><Relationship Id="rId3344" Type="http://schemas.openxmlformats.org/officeDocument/2006/relationships/hyperlink" Target="http://amazon.in" TargetMode="External"/><Relationship Id="rId4675" Type="http://schemas.openxmlformats.org/officeDocument/2006/relationships/hyperlink" Target="http://amazon.in" TargetMode="External"/><Relationship Id="rId2013" Type="http://schemas.openxmlformats.org/officeDocument/2006/relationships/hyperlink" Target="http://amazon.in" TargetMode="External"/><Relationship Id="rId3343" Type="http://schemas.openxmlformats.org/officeDocument/2006/relationships/hyperlink" Target="http://amazon.in" TargetMode="External"/><Relationship Id="rId4674" Type="http://schemas.openxmlformats.org/officeDocument/2006/relationships/hyperlink" Target="http://amazon.in" TargetMode="External"/><Relationship Id="rId2014" Type="http://schemas.openxmlformats.org/officeDocument/2006/relationships/hyperlink" Target="http://amazon.in" TargetMode="External"/><Relationship Id="rId3346" Type="http://schemas.openxmlformats.org/officeDocument/2006/relationships/hyperlink" Target="http://amazon.in" TargetMode="External"/><Relationship Id="rId4677" Type="http://schemas.openxmlformats.org/officeDocument/2006/relationships/hyperlink" Target="http://amazon.in" TargetMode="External"/><Relationship Id="rId2015" Type="http://schemas.openxmlformats.org/officeDocument/2006/relationships/hyperlink" Target="http://amazon.in" TargetMode="External"/><Relationship Id="rId3345" Type="http://schemas.openxmlformats.org/officeDocument/2006/relationships/hyperlink" Target="http://amazon.in" TargetMode="External"/><Relationship Id="rId4676" Type="http://schemas.openxmlformats.org/officeDocument/2006/relationships/hyperlink" Target="http://amazon.in" TargetMode="External"/><Relationship Id="rId2049" Type="http://schemas.openxmlformats.org/officeDocument/2006/relationships/hyperlink" Target="http://amazon.in" TargetMode="External"/><Relationship Id="rId129" Type="http://schemas.openxmlformats.org/officeDocument/2006/relationships/hyperlink" Target="http://amazon.in" TargetMode="External"/><Relationship Id="rId128" Type="http://schemas.openxmlformats.org/officeDocument/2006/relationships/hyperlink" Target="http://amazon.in" TargetMode="External"/><Relationship Id="rId127" Type="http://schemas.openxmlformats.org/officeDocument/2006/relationships/hyperlink" Target="http://amazon.in" TargetMode="External"/><Relationship Id="rId126" Type="http://schemas.openxmlformats.org/officeDocument/2006/relationships/hyperlink" Target="http://amazon.in" TargetMode="External"/><Relationship Id="rId3371" Type="http://schemas.openxmlformats.org/officeDocument/2006/relationships/hyperlink" Target="http://amazon.in" TargetMode="External"/><Relationship Id="rId2040" Type="http://schemas.openxmlformats.org/officeDocument/2006/relationships/hyperlink" Target="http://amazon.in" TargetMode="External"/><Relationship Id="rId3370" Type="http://schemas.openxmlformats.org/officeDocument/2006/relationships/hyperlink" Target="http://amazon.in" TargetMode="External"/><Relationship Id="rId121" Type="http://schemas.openxmlformats.org/officeDocument/2006/relationships/hyperlink" Target="http://amazon.in" TargetMode="External"/><Relationship Id="rId2041" Type="http://schemas.openxmlformats.org/officeDocument/2006/relationships/hyperlink" Target="http://amazon.in" TargetMode="External"/><Relationship Id="rId3373" Type="http://schemas.openxmlformats.org/officeDocument/2006/relationships/hyperlink" Target="http://amazon.in" TargetMode="External"/><Relationship Id="rId120" Type="http://schemas.openxmlformats.org/officeDocument/2006/relationships/hyperlink" Target="http://amazon.in" TargetMode="External"/><Relationship Id="rId2042" Type="http://schemas.openxmlformats.org/officeDocument/2006/relationships/hyperlink" Target="http://amazon.in" TargetMode="External"/><Relationship Id="rId3372" Type="http://schemas.openxmlformats.org/officeDocument/2006/relationships/hyperlink" Target="http://amazon.in" TargetMode="External"/><Relationship Id="rId2043" Type="http://schemas.openxmlformats.org/officeDocument/2006/relationships/hyperlink" Target="http://amazon.in" TargetMode="External"/><Relationship Id="rId3375" Type="http://schemas.openxmlformats.org/officeDocument/2006/relationships/hyperlink" Target="http://amazon.in" TargetMode="External"/><Relationship Id="rId2044" Type="http://schemas.openxmlformats.org/officeDocument/2006/relationships/hyperlink" Target="http://amazon.in" TargetMode="External"/><Relationship Id="rId3374" Type="http://schemas.openxmlformats.org/officeDocument/2006/relationships/hyperlink" Target="http://amazon.in" TargetMode="External"/><Relationship Id="rId125" Type="http://schemas.openxmlformats.org/officeDocument/2006/relationships/hyperlink" Target="http://amazon.in" TargetMode="External"/><Relationship Id="rId2045" Type="http://schemas.openxmlformats.org/officeDocument/2006/relationships/hyperlink" Target="http://amazon.in" TargetMode="External"/><Relationship Id="rId3377" Type="http://schemas.openxmlformats.org/officeDocument/2006/relationships/hyperlink" Target="http://amazon.in" TargetMode="External"/><Relationship Id="rId124" Type="http://schemas.openxmlformats.org/officeDocument/2006/relationships/hyperlink" Target="http://amazon.in" TargetMode="External"/><Relationship Id="rId2046" Type="http://schemas.openxmlformats.org/officeDocument/2006/relationships/hyperlink" Target="http://amazon.in" TargetMode="External"/><Relationship Id="rId3376" Type="http://schemas.openxmlformats.org/officeDocument/2006/relationships/hyperlink" Target="http://amazon.in" TargetMode="External"/><Relationship Id="rId123" Type="http://schemas.openxmlformats.org/officeDocument/2006/relationships/hyperlink" Target="http://amazon.in" TargetMode="External"/><Relationship Id="rId2047" Type="http://schemas.openxmlformats.org/officeDocument/2006/relationships/hyperlink" Target="http://amazon.in" TargetMode="External"/><Relationship Id="rId3379" Type="http://schemas.openxmlformats.org/officeDocument/2006/relationships/hyperlink" Target="http://amazon.in" TargetMode="External"/><Relationship Id="rId122" Type="http://schemas.openxmlformats.org/officeDocument/2006/relationships/hyperlink" Target="http://amazon.in" TargetMode="External"/><Relationship Id="rId2048" Type="http://schemas.openxmlformats.org/officeDocument/2006/relationships/hyperlink" Target="http://amazon.in" TargetMode="External"/><Relationship Id="rId3378" Type="http://schemas.openxmlformats.org/officeDocument/2006/relationships/hyperlink" Target="http://amazon.in" TargetMode="External"/><Relationship Id="rId2038" Type="http://schemas.openxmlformats.org/officeDocument/2006/relationships/hyperlink" Target="http://amazon.in" TargetMode="External"/><Relationship Id="rId2039" Type="http://schemas.openxmlformats.org/officeDocument/2006/relationships/hyperlink" Target="http://amazon.in" TargetMode="External"/><Relationship Id="rId3369" Type="http://schemas.openxmlformats.org/officeDocument/2006/relationships/hyperlink" Target="http://amazon.in" TargetMode="External"/><Relationship Id="rId118" Type="http://schemas.openxmlformats.org/officeDocument/2006/relationships/hyperlink" Target="http://amazon.in" TargetMode="External"/><Relationship Id="rId117" Type="http://schemas.openxmlformats.org/officeDocument/2006/relationships/hyperlink" Target="http://amazon.in" TargetMode="External"/><Relationship Id="rId116" Type="http://schemas.openxmlformats.org/officeDocument/2006/relationships/hyperlink" Target="http://amazon.in" TargetMode="External"/><Relationship Id="rId115" Type="http://schemas.openxmlformats.org/officeDocument/2006/relationships/hyperlink" Target="http://amazon.in" TargetMode="External"/><Relationship Id="rId3360" Type="http://schemas.openxmlformats.org/officeDocument/2006/relationships/hyperlink" Target="http://amazon.in" TargetMode="External"/><Relationship Id="rId4691" Type="http://schemas.openxmlformats.org/officeDocument/2006/relationships/hyperlink" Target="http://amazon.in" TargetMode="External"/><Relationship Id="rId119" Type="http://schemas.openxmlformats.org/officeDocument/2006/relationships/hyperlink" Target="http://amazon.in" TargetMode="External"/><Relationship Id="rId4690" Type="http://schemas.openxmlformats.org/officeDocument/2006/relationships/hyperlink" Target="http://amazon.in" TargetMode="External"/><Relationship Id="rId110" Type="http://schemas.openxmlformats.org/officeDocument/2006/relationships/hyperlink" Target="http://amazon.in" TargetMode="External"/><Relationship Id="rId2030" Type="http://schemas.openxmlformats.org/officeDocument/2006/relationships/hyperlink" Target="http://amazon.in" TargetMode="External"/><Relationship Id="rId3362" Type="http://schemas.openxmlformats.org/officeDocument/2006/relationships/hyperlink" Target="http://amazon.in" TargetMode="External"/><Relationship Id="rId4693" Type="http://schemas.openxmlformats.org/officeDocument/2006/relationships/hyperlink" Target="http://amazon.in" TargetMode="External"/><Relationship Id="rId2031" Type="http://schemas.openxmlformats.org/officeDocument/2006/relationships/hyperlink" Target="http://amazon.in" TargetMode="External"/><Relationship Id="rId3361" Type="http://schemas.openxmlformats.org/officeDocument/2006/relationships/hyperlink" Target="http://amazon.in" TargetMode="External"/><Relationship Id="rId4692" Type="http://schemas.openxmlformats.org/officeDocument/2006/relationships/hyperlink" Target="http://amazon.in" TargetMode="External"/><Relationship Id="rId2032" Type="http://schemas.openxmlformats.org/officeDocument/2006/relationships/hyperlink" Target="http://amazon.in" TargetMode="External"/><Relationship Id="rId3364" Type="http://schemas.openxmlformats.org/officeDocument/2006/relationships/hyperlink" Target="http://amazon.in" TargetMode="External"/><Relationship Id="rId4695" Type="http://schemas.openxmlformats.org/officeDocument/2006/relationships/hyperlink" Target="http://amazon.in" TargetMode="External"/><Relationship Id="rId2033" Type="http://schemas.openxmlformats.org/officeDocument/2006/relationships/hyperlink" Target="http://amazon.in" TargetMode="External"/><Relationship Id="rId3363" Type="http://schemas.openxmlformats.org/officeDocument/2006/relationships/hyperlink" Target="http://amazon.in" TargetMode="External"/><Relationship Id="rId4694" Type="http://schemas.openxmlformats.org/officeDocument/2006/relationships/hyperlink" Target="http://amazon.in" TargetMode="External"/><Relationship Id="rId114" Type="http://schemas.openxmlformats.org/officeDocument/2006/relationships/hyperlink" Target="http://amazon.in" TargetMode="External"/><Relationship Id="rId2034" Type="http://schemas.openxmlformats.org/officeDocument/2006/relationships/hyperlink" Target="http://amazon.in" TargetMode="External"/><Relationship Id="rId3366" Type="http://schemas.openxmlformats.org/officeDocument/2006/relationships/hyperlink" Target="http://amazon.in" TargetMode="External"/><Relationship Id="rId4697" Type="http://schemas.openxmlformats.org/officeDocument/2006/relationships/hyperlink" Target="http://amazon.in" TargetMode="External"/><Relationship Id="rId113" Type="http://schemas.openxmlformats.org/officeDocument/2006/relationships/hyperlink" Target="http://amazon.in" TargetMode="External"/><Relationship Id="rId2035" Type="http://schemas.openxmlformats.org/officeDocument/2006/relationships/hyperlink" Target="http://amazon.in" TargetMode="External"/><Relationship Id="rId3365" Type="http://schemas.openxmlformats.org/officeDocument/2006/relationships/hyperlink" Target="http://amazon.in" TargetMode="External"/><Relationship Id="rId4696" Type="http://schemas.openxmlformats.org/officeDocument/2006/relationships/hyperlink" Target="http://amazon.in" TargetMode="External"/><Relationship Id="rId112" Type="http://schemas.openxmlformats.org/officeDocument/2006/relationships/hyperlink" Target="http://amazon.in" TargetMode="External"/><Relationship Id="rId2036" Type="http://schemas.openxmlformats.org/officeDocument/2006/relationships/hyperlink" Target="http://amazon.in" TargetMode="External"/><Relationship Id="rId3368" Type="http://schemas.openxmlformats.org/officeDocument/2006/relationships/hyperlink" Target="http://amazon.in" TargetMode="External"/><Relationship Id="rId4699" Type="http://schemas.openxmlformats.org/officeDocument/2006/relationships/hyperlink" Target="http://amazon.in" TargetMode="External"/><Relationship Id="rId111" Type="http://schemas.openxmlformats.org/officeDocument/2006/relationships/hyperlink" Target="http://amazon.in" TargetMode="External"/><Relationship Id="rId2037" Type="http://schemas.openxmlformats.org/officeDocument/2006/relationships/hyperlink" Target="http://amazon.in" TargetMode="External"/><Relationship Id="rId3367" Type="http://schemas.openxmlformats.org/officeDocument/2006/relationships/hyperlink" Target="http://amazon.in" TargetMode="External"/><Relationship Id="rId4698" Type="http://schemas.openxmlformats.org/officeDocument/2006/relationships/hyperlink" Target="http://amazon.in" TargetMode="External"/><Relationship Id="rId3315" Type="http://schemas.openxmlformats.org/officeDocument/2006/relationships/hyperlink" Target="http://amazon.in" TargetMode="External"/><Relationship Id="rId4646" Type="http://schemas.openxmlformats.org/officeDocument/2006/relationships/hyperlink" Target="http://amazon.in" TargetMode="External"/><Relationship Id="rId3314" Type="http://schemas.openxmlformats.org/officeDocument/2006/relationships/hyperlink" Target="http://amazon.in" TargetMode="External"/><Relationship Id="rId4645" Type="http://schemas.openxmlformats.org/officeDocument/2006/relationships/hyperlink" Target="http://amazon.in" TargetMode="External"/><Relationship Id="rId3317" Type="http://schemas.openxmlformats.org/officeDocument/2006/relationships/hyperlink" Target="http://amazon.in" TargetMode="External"/><Relationship Id="rId4648" Type="http://schemas.openxmlformats.org/officeDocument/2006/relationships/hyperlink" Target="http://amazon.in" TargetMode="External"/><Relationship Id="rId3316" Type="http://schemas.openxmlformats.org/officeDocument/2006/relationships/hyperlink" Target="http://amazon.in" TargetMode="External"/><Relationship Id="rId4647" Type="http://schemas.openxmlformats.org/officeDocument/2006/relationships/hyperlink" Target="http://amazon.in" TargetMode="External"/><Relationship Id="rId3319" Type="http://schemas.openxmlformats.org/officeDocument/2006/relationships/hyperlink" Target="http://amazon.in" TargetMode="External"/><Relationship Id="rId3318" Type="http://schemas.openxmlformats.org/officeDocument/2006/relationships/hyperlink" Target="http://amazon.in" TargetMode="External"/><Relationship Id="rId4649" Type="http://schemas.openxmlformats.org/officeDocument/2006/relationships/hyperlink" Target="http://amazon.in" TargetMode="External"/><Relationship Id="rId4640" Type="http://schemas.openxmlformats.org/officeDocument/2006/relationships/hyperlink" Target="http://amazon.in" TargetMode="External"/><Relationship Id="rId3311" Type="http://schemas.openxmlformats.org/officeDocument/2006/relationships/hyperlink" Target="http://amazon.in" TargetMode="External"/><Relationship Id="rId4642" Type="http://schemas.openxmlformats.org/officeDocument/2006/relationships/hyperlink" Target="http://amazon.in" TargetMode="External"/><Relationship Id="rId3310" Type="http://schemas.openxmlformats.org/officeDocument/2006/relationships/hyperlink" Target="http://amazon.in" TargetMode="External"/><Relationship Id="rId4641" Type="http://schemas.openxmlformats.org/officeDocument/2006/relationships/hyperlink" Target="http://amazon.in" TargetMode="External"/><Relationship Id="rId3313" Type="http://schemas.openxmlformats.org/officeDocument/2006/relationships/hyperlink" Target="http://amazon.in" TargetMode="External"/><Relationship Id="rId4644" Type="http://schemas.openxmlformats.org/officeDocument/2006/relationships/hyperlink" Target="http://amazon.in" TargetMode="External"/><Relationship Id="rId3312" Type="http://schemas.openxmlformats.org/officeDocument/2006/relationships/hyperlink" Target="http://amazon.in" TargetMode="External"/><Relationship Id="rId4643" Type="http://schemas.openxmlformats.org/officeDocument/2006/relationships/hyperlink" Target="http://amazon.in" TargetMode="External"/><Relationship Id="rId3304" Type="http://schemas.openxmlformats.org/officeDocument/2006/relationships/hyperlink" Target="http://amazon.in" TargetMode="External"/><Relationship Id="rId4635" Type="http://schemas.openxmlformats.org/officeDocument/2006/relationships/hyperlink" Target="http://amazon.in" TargetMode="External"/><Relationship Id="rId3303" Type="http://schemas.openxmlformats.org/officeDocument/2006/relationships/hyperlink" Target="http://amazon.in" TargetMode="External"/><Relationship Id="rId4634" Type="http://schemas.openxmlformats.org/officeDocument/2006/relationships/hyperlink" Target="http://amazon.in" TargetMode="External"/><Relationship Id="rId3306" Type="http://schemas.openxmlformats.org/officeDocument/2006/relationships/hyperlink" Target="http://amazon.in" TargetMode="External"/><Relationship Id="rId4637" Type="http://schemas.openxmlformats.org/officeDocument/2006/relationships/hyperlink" Target="http://amazon.in" TargetMode="External"/><Relationship Id="rId3305" Type="http://schemas.openxmlformats.org/officeDocument/2006/relationships/hyperlink" Target="http://amazon.in" TargetMode="External"/><Relationship Id="rId4636" Type="http://schemas.openxmlformats.org/officeDocument/2006/relationships/hyperlink" Target="http://amazon.in" TargetMode="External"/><Relationship Id="rId3308" Type="http://schemas.openxmlformats.org/officeDocument/2006/relationships/hyperlink" Target="http://amazon.in" TargetMode="External"/><Relationship Id="rId4639" Type="http://schemas.openxmlformats.org/officeDocument/2006/relationships/hyperlink" Target="http://amazon.in" TargetMode="External"/><Relationship Id="rId3307" Type="http://schemas.openxmlformats.org/officeDocument/2006/relationships/hyperlink" Target="http://amazon.in" TargetMode="External"/><Relationship Id="rId4638" Type="http://schemas.openxmlformats.org/officeDocument/2006/relationships/hyperlink" Target="http://amazon.in" TargetMode="External"/><Relationship Id="rId3309" Type="http://schemas.openxmlformats.org/officeDocument/2006/relationships/hyperlink" Target="http://amazon.in" TargetMode="External"/><Relationship Id="rId3300" Type="http://schemas.openxmlformats.org/officeDocument/2006/relationships/hyperlink" Target="http://amazon.in" TargetMode="External"/><Relationship Id="rId4631" Type="http://schemas.openxmlformats.org/officeDocument/2006/relationships/hyperlink" Target="http://amazon.in" TargetMode="External"/><Relationship Id="rId4630" Type="http://schemas.openxmlformats.org/officeDocument/2006/relationships/hyperlink" Target="http://amazon.in" TargetMode="External"/><Relationship Id="rId3302" Type="http://schemas.openxmlformats.org/officeDocument/2006/relationships/hyperlink" Target="http://amazon.in" TargetMode="External"/><Relationship Id="rId4633" Type="http://schemas.openxmlformats.org/officeDocument/2006/relationships/hyperlink" Target="http://amazon.in" TargetMode="External"/><Relationship Id="rId3301" Type="http://schemas.openxmlformats.org/officeDocument/2006/relationships/hyperlink" Target="http://amazon.in" TargetMode="External"/><Relationship Id="rId4632" Type="http://schemas.openxmlformats.org/officeDocument/2006/relationships/hyperlink" Target="http://amazon.in" TargetMode="External"/><Relationship Id="rId2005" Type="http://schemas.openxmlformats.org/officeDocument/2006/relationships/hyperlink" Target="http://amazon.in" TargetMode="External"/><Relationship Id="rId3337" Type="http://schemas.openxmlformats.org/officeDocument/2006/relationships/hyperlink" Target="http://amazon.in" TargetMode="External"/><Relationship Id="rId4668" Type="http://schemas.openxmlformats.org/officeDocument/2006/relationships/hyperlink" Target="http://amazon.in" TargetMode="External"/><Relationship Id="rId2006" Type="http://schemas.openxmlformats.org/officeDocument/2006/relationships/hyperlink" Target="http://amazon.in" TargetMode="External"/><Relationship Id="rId3336" Type="http://schemas.openxmlformats.org/officeDocument/2006/relationships/hyperlink" Target="http://amazon.in" TargetMode="External"/><Relationship Id="rId4667" Type="http://schemas.openxmlformats.org/officeDocument/2006/relationships/hyperlink" Target="http://amazon.in" TargetMode="External"/><Relationship Id="rId2007" Type="http://schemas.openxmlformats.org/officeDocument/2006/relationships/hyperlink" Target="http://amazon.in" TargetMode="External"/><Relationship Id="rId3339" Type="http://schemas.openxmlformats.org/officeDocument/2006/relationships/hyperlink" Target="http://amazon.in" TargetMode="External"/><Relationship Id="rId2008" Type="http://schemas.openxmlformats.org/officeDocument/2006/relationships/hyperlink" Target="http://amazon.in" TargetMode="External"/><Relationship Id="rId3338" Type="http://schemas.openxmlformats.org/officeDocument/2006/relationships/hyperlink" Target="http://amazon.in" TargetMode="External"/><Relationship Id="rId4669" Type="http://schemas.openxmlformats.org/officeDocument/2006/relationships/hyperlink" Target="http://amazon.in" TargetMode="External"/><Relationship Id="rId2009" Type="http://schemas.openxmlformats.org/officeDocument/2006/relationships/hyperlink" Target="http://amazon.in" TargetMode="External"/><Relationship Id="rId4660" Type="http://schemas.openxmlformats.org/officeDocument/2006/relationships/hyperlink" Target="http://amazon.in" TargetMode="External"/><Relationship Id="rId3331" Type="http://schemas.openxmlformats.org/officeDocument/2006/relationships/hyperlink" Target="http://amazon.in" TargetMode="External"/><Relationship Id="rId4662" Type="http://schemas.openxmlformats.org/officeDocument/2006/relationships/hyperlink" Target="http://amazon.in" TargetMode="External"/><Relationship Id="rId2000" Type="http://schemas.openxmlformats.org/officeDocument/2006/relationships/hyperlink" Target="http://amazon.in" TargetMode="External"/><Relationship Id="rId3330" Type="http://schemas.openxmlformats.org/officeDocument/2006/relationships/hyperlink" Target="http://amazon.in" TargetMode="External"/><Relationship Id="rId4661" Type="http://schemas.openxmlformats.org/officeDocument/2006/relationships/hyperlink" Target="http://amazon.in" TargetMode="External"/><Relationship Id="rId2001" Type="http://schemas.openxmlformats.org/officeDocument/2006/relationships/hyperlink" Target="http://amazon.in" TargetMode="External"/><Relationship Id="rId3333" Type="http://schemas.openxmlformats.org/officeDocument/2006/relationships/hyperlink" Target="http://amazon.in" TargetMode="External"/><Relationship Id="rId4664" Type="http://schemas.openxmlformats.org/officeDocument/2006/relationships/hyperlink" Target="http://amazon.in" TargetMode="External"/><Relationship Id="rId2002" Type="http://schemas.openxmlformats.org/officeDocument/2006/relationships/hyperlink" Target="http://amazon.in" TargetMode="External"/><Relationship Id="rId3332" Type="http://schemas.openxmlformats.org/officeDocument/2006/relationships/hyperlink" Target="http://amazon.in" TargetMode="External"/><Relationship Id="rId4663" Type="http://schemas.openxmlformats.org/officeDocument/2006/relationships/hyperlink" Target="http://amazon.in" TargetMode="External"/><Relationship Id="rId2003" Type="http://schemas.openxmlformats.org/officeDocument/2006/relationships/hyperlink" Target="http://amazon.in" TargetMode="External"/><Relationship Id="rId3335" Type="http://schemas.openxmlformats.org/officeDocument/2006/relationships/hyperlink" Target="http://amazon.in" TargetMode="External"/><Relationship Id="rId4666" Type="http://schemas.openxmlformats.org/officeDocument/2006/relationships/hyperlink" Target="http://amazon.in" TargetMode="External"/><Relationship Id="rId2004" Type="http://schemas.openxmlformats.org/officeDocument/2006/relationships/hyperlink" Target="http://amazon.in" TargetMode="External"/><Relationship Id="rId3334" Type="http://schemas.openxmlformats.org/officeDocument/2006/relationships/hyperlink" Target="http://amazon.in" TargetMode="External"/><Relationship Id="rId4665" Type="http://schemas.openxmlformats.org/officeDocument/2006/relationships/hyperlink" Target="http://amazon.in" TargetMode="External"/><Relationship Id="rId3326" Type="http://schemas.openxmlformats.org/officeDocument/2006/relationships/hyperlink" Target="http://amazon.in" TargetMode="External"/><Relationship Id="rId4657" Type="http://schemas.openxmlformats.org/officeDocument/2006/relationships/hyperlink" Target="http://amazon.in" TargetMode="External"/><Relationship Id="rId3325" Type="http://schemas.openxmlformats.org/officeDocument/2006/relationships/hyperlink" Target="http://amazon.in" TargetMode="External"/><Relationship Id="rId4656" Type="http://schemas.openxmlformats.org/officeDocument/2006/relationships/hyperlink" Target="http://amazon.in" TargetMode="External"/><Relationship Id="rId3328" Type="http://schemas.openxmlformats.org/officeDocument/2006/relationships/hyperlink" Target="http://amazon.in" TargetMode="External"/><Relationship Id="rId4659" Type="http://schemas.openxmlformats.org/officeDocument/2006/relationships/hyperlink" Target="http://amazon.in" TargetMode="External"/><Relationship Id="rId3327" Type="http://schemas.openxmlformats.org/officeDocument/2006/relationships/hyperlink" Target="http://amazon.in" TargetMode="External"/><Relationship Id="rId4658" Type="http://schemas.openxmlformats.org/officeDocument/2006/relationships/hyperlink" Target="http://amazon.in" TargetMode="External"/><Relationship Id="rId3329" Type="http://schemas.openxmlformats.org/officeDocument/2006/relationships/hyperlink" Target="http://amazon.in" TargetMode="External"/><Relationship Id="rId3320" Type="http://schemas.openxmlformats.org/officeDocument/2006/relationships/hyperlink" Target="http://amazon.in" TargetMode="External"/><Relationship Id="rId4651" Type="http://schemas.openxmlformats.org/officeDocument/2006/relationships/hyperlink" Target="http://amazon.in" TargetMode="External"/><Relationship Id="rId4650" Type="http://schemas.openxmlformats.org/officeDocument/2006/relationships/hyperlink" Target="http://amazon.in" TargetMode="External"/><Relationship Id="rId3322" Type="http://schemas.openxmlformats.org/officeDocument/2006/relationships/hyperlink" Target="http://amazon.in" TargetMode="External"/><Relationship Id="rId4653" Type="http://schemas.openxmlformats.org/officeDocument/2006/relationships/hyperlink" Target="http://amazon.in" TargetMode="External"/><Relationship Id="rId3321" Type="http://schemas.openxmlformats.org/officeDocument/2006/relationships/hyperlink" Target="http://amazon.in" TargetMode="External"/><Relationship Id="rId4652" Type="http://schemas.openxmlformats.org/officeDocument/2006/relationships/hyperlink" Target="http://amazon.in" TargetMode="External"/><Relationship Id="rId3324" Type="http://schemas.openxmlformats.org/officeDocument/2006/relationships/hyperlink" Target="http://amazon.in" TargetMode="External"/><Relationship Id="rId4655" Type="http://schemas.openxmlformats.org/officeDocument/2006/relationships/hyperlink" Target="http://amazon.in" TargetMode="External"/><Relationship Id="rId3323" Type="http://schemas.openxmlformats.org/officeDocument/2006/relationships/hyperlink" Target="http://amazon.in" TargetMode="External"/><Relationship Id="rId4654" Type="http://schemas.openxmlformats.org/officeDocument/2006/relationships/hyperlink" Target="http://amazon.in" TargetMode="External"/><Relationship Id="rId5130" Type="http://schemas.openxmlformats.org/officeDocument/2006/relationships/hyperlink" Target="http://amazon.in" TargetMode="External"/><Relationship Id="rId5131" Type="http://schemas.openxmlformats.org/officeDocument/2006/relationships/hyperlink" Target="http://amazon.in" TargetMode="External"/><Relationship Id="rId5134" Type="http://schemas.openxmlformats.org/officeDocument/2006/relationships/hyperlink" Target="http://amazon.in" TargetMode="External"/><Relationship Id="rId5135" Type="http://schemas.openxmlformats.org/officeDocument/2006/relationships/hyperlink" Target="http://amazon.in" TargetMode="External"/><Relationship Id="rId5132" Type="http://schemas.openxmlformats.org/officeDocument/2006/relationships/hyperlink" Target="http://amazon.in" TargetMode="External"/><Relationship Id="rId5133" Type="http://schemas.openxmlformats.org/officeDocument/2006/relationships/hyperlink" Target="http://amazon.in" TargetMode="External"/><Relationship Id="rId5138" Type="http://schemas.openxmlformats.org/officeDocument/2006/relationships/hyperlink" Target="http://amazon.in" TargetMode="External"/><Relationship Id="rId5139" Type="http://schemas.openxmlformats.org/officeDocument/2006/relationships/hyperlink" Target="http://amazon.in" TargetMode="External"/><Relationship Id="rId5136" Type="http://schemas.openxmlformats.org/officeDocument/2006/relationships/hyperlink" Target="http://amazon.in" TargetMode="External"/><Relationship Id="rId5137" Type="http://schemas.openxmlformats.org/officeDocument/2006/relationships/hyperlink" Target="http://amazon.in" TargetMode="External"/><Relationship Id="rId5129" Type="http://schemas.openxmlformats.org/officeDocument/2006/relationships/hyperlink" Target="http://amazon.in" TargetMode="External"/><Relationship Id="rId2090" Type="http://schemas.openxmlformats.org/officeDocument/2006/relationships/hyperlink" Target="http://amazon.in" TargetMode="External"/><Relationship Id="rId2091" Type="http://schemas.openxmlformats.org/officeDocument/2006/relationships/hyperlink" Target="http://amazon.in" TargetMode="External"/><Relationship Id="rId2092" Type="http://schemas.openxmlformats.org/officeDocument/2006/relationships/hyperlink" Target="http://amazon.in" TargetMode="External"/><Relationship Id="rId2093" Type="http://schemas.openxmlformats.org/officeDocument/2006/relationships/hyperlink" Target="http://amazon.in" TargetMode="External"/><Relationship Id="rId5120" Type="http://schemas.openxmlformats.org/officeDocument/2006/relationships/hyperlink" Target="http://amazon.in" TargetMode="External"/><Relationship Id="rId2094" Type="http://schemas.openxmlformats.org/officeDocument/2006/relationships/hyperlink" Target="http://amazon.in" TargetMode="External"/><Relationship Id="rId2095" Type="http://schemas.openxmlformats.org/officeDocument/2006/relationships/hyperlink" Target="http://amazon.in" TargetMode="External"/><Relationship Id="rId2096" Type="http://schemas.openxmlformats.org/officeDocument/2006/relationships/hyperlink" Target="http://amazon.in" TargetMode="External"/><Relationship Id="rId5123" Type="http://schemas.openxmlformats.org/officeDocument/2006/relationships/hyperlink" Target="http://amazon.in" TargetMode="External"/><Relationship Id="rId2097" Type="http://schemas.openxmlformats.org/officeDocument/2006/relationships/hyperlink" Target="http://amazon.in" TargetMode="External"/><Relationship Id="rId5124" Type="http://schemas.openxmlformats.org/officeDocument/2006/relationships/hyperlink" Target="http://amazon.in" TargetMode="External"/><Relationship Id="rId2098" Type="http://schemas.openxmlformats.org/officeDocument/2006/relationships/hyperlink" Target="http://amazon.in" TargetMode="External"/><Relationship Id="rId5121" Type="http://schemas.openxmlformats.org/officeDocument/2006/relationships/hyperlink" Target="http://amazon.in" TargetMode="External"/><Relationship Id="rId2099" Type="http://schemas.openxmlformats.org/officeDocument/2006/relationships/hyperlink" Target="http://amazon.in" TargetMode="External"/><Relationship Id="rId5122" Type="http://schemas.openxmlformats.org/officeDocument/2006/relationships/hyperlink" Target="http://amazon.in" TargetMode="External"/><Relationship Id="rId5127" Type="http://schemas.openxmlformats.org/officeDocument/2006/relationships/hyperlink" Target="http://amazon.in" TargetMode="External"/><Relationship Id="rId5128" Type="http://schemas.openxmlformats.org/officeDocument/2006/relationships/hyperlink" Target="http://amazon.in" TargetMode="External"/><Relationship Id="rId5125" Type="http://schemas.openxmlformats.org/officeDocument/2006/relationships/hyperlink" Target="http://amazon.in" TargetMode="External"/><Relationship Id="rId5126" Type="http://schemas.openxmlformats.org/officeDocument/2006/relationships/hyperlink" Target="http://amazon.in" TargetMode="External"/><Relationship Id="rId5152" Type="http://schemas.openxmlformats.org/officeDocument/2006/relationships/hyperlink" Target="http://amazon.in" TargetMode="External"/><Relationship Id="rId5153" Type="http://schemas.openxmlformats.org/officeDocument/2006/relationships/hyperlink" Target="http://amazon.in" TargetMode="External"/><Relationship Id="rId5150" Type="http://schemas.openxmlformats.org/officeDocument/2006/relationships/hyperlink" Target="http://amazon.in" TargetMode="External"/><Relationship Id="rId5151" Type="http://schemas.openxmlformats.org/officeDocument/2006/relationships/hyperlink" Target="http://amazon.in" TargetMode="External"/><Relationship Id="rId5156" Type="http://schemas.openxmlformats.org/officeDocument/2006/relationships/hyperlink" Target="http://amazon.in" TargetMode="External"/><Relationship Id="rId5157" Type="http://schemas.openxmlformats.org/officeDocument/2006/relationships/hyperlink" Target="http://amazon.in" TargetMode="External"/><Relationship Id="rId5154" Type="http://schemas.openxmlformats.org/officeDocument/2006/relationships/hyperlink" Target="http://amazon.in" TargetMode="External"/><Relationship Id="rId5155" Type="http://schemas.openxmlformats.org/officeDocument/2006/relationships/hyperlink" Target="http://amazon.in" TargetMode="External"/><Relationship Id="rId5158" Type="http://schemas.openxmlformats.org/officeDocument/2006/relationships/hyperlink" Target="http://amazon.in" TargetMode="External"/><Relationship Id="rId5159" Type="http://schemas.openxmlformats.org/officeDocument/2006/relationships/hyperlink" Target="http://amazon.in" TargetMode="External"/><Relationship Id="rId5141" Type="http://schemas.openxmlformats.org/officeDocument/2006/relationships/hyperlink" Target="http://amazon.in" TargetMode="External"/><Relationship Id="rId5142" Type="http://schemas.openxmlformats.org/officeDocument/2006/relationships/hyperlink" Target="http://amazon.in" TargetMode="External"/><Relationship Id="rId5140" Type="http://schemas.openxmlformats.org/officeDocument/2006/relationships/hyperlink" Target="http://amazon.in" TargetMode="External"/><Relationship Id="rId5145" Type="http://schemas.openxmlformats.org/officeDocument/2006/relationships/hyperlink" Target="http://amazon.in" TargetMode="External"/><Relationship Id="rId5146" Type="http://schemas.openxmlformats.org/officeDocument/2006/relationships/hyperlink" Target="http://amazon.in" TargetMode="External"/><Relationship Id="rId5143" Type="http://schemas.openxmlformats.org/officeDocument/2006/relationships/hyperlink" Target="http://amazon.in" TargetMode="External"/><Relationship Id="rId5144" Type="http://schemas.openxmlformats.org/officeDocument/2006/relationships/hyperlink" Target="http://amazon.in" TargetMode="External"/><Relationship Id="rId5149" Type="http://schemas.openxmlformats.org/officeDocument/2006/relationships/hyperlink" Target="http://amazon.in" TargetMode="External"/><Relationship Id="rId5147" Type="http://schemas.openxmlformats.org/officeDocument/2006/relationships/hyperlink" Target="http://amazon.in" TargetMode="External"/><Relationship Id="rId5148" Type="http://schemas.openxmlformats.org/officeDocument/2006/relationships/hyperlink" Target="http://amazon.in" TargetMode="External"/><Relationship Id="rId3391" Type="http://schemas.openxmlformats.org/officeDocument/2006/relationships/hyperlink" Target="http://amazon.in" TargetMode="External"/><Relationship Id="rId2060" Type="http://schemas.openxmlformats.org/officeDocument/2006/relationships/hyperlink" Target="http://amazon.in" TargetMode="External"/><Relationship Id="rId3390" Type="http://schemas.openxmlformats.org/officeDocument/2006/relationships/hyperlink" Target="http://amazon.in" TargetMode="External"/><Relationship Id="rId2061" Type="http://schemas.openxmlformats.org/officeDocument/2006/relationships/hyperlink" Target="http://amazon.in" TargetMode="External"/><Relationship Id="rId3393" Type="http://schemas.openxmlformats.org/officeDocument/2006/relationships/hyperlink" Target="http://amazon.in" TargetMode="External"/><Relationship Id="rId2062" Type="http://schemas.openxmlformats.org/officeDocument/2006/relationships/hyperlink" Target="http://amazon.in" TargetMode="External"/><Relationship Id="rId3392" Type="http://schemas.openxmlformats.org/officeDocument/2006/relationships/hyperlink" Target="http://amazon.in" TargetMode="External"/><Relationship Id="rId2063" Type="http://schemas.openxmlformats.org/officeDocument/2006/relationships/hyperlink" Target="http://amazon.in" TargetMode="External"/><Relationship Id="rId3395" Type="http://schemas.openxmlformats.org/officeDocument/2006/relationships/hyperlink" Target="http://amazon.in" TargetMode="External"/><Relationship Id="rId2064" Type="http://schemas.openxmlformats.org/officeDocument/2006/relationships/hyperlink" Target="http://amazon.in" TargetMode="External"/><Relationship Id="rId3394" Type="http://schemas.openxmlformats.org/officeDocument/2006/relationships/hyperlink" Target="http://amazon.in" TargetMode="External"/><Relationship Id="rId2065" Type="http://schemas.openxmlformats.org/officeDocument/2006/relationships/hyperlink" Target="http://amazon.in" TargetMode="External"/><Relationship Id="rId3397" Type="http://schemas.openxmlformats.org/officeDocument/2006/relationships/hyperlink" Target="http://amazon.in" TargetMode="External"/><Relationship Id="rId2066" Type="http://schemas.openxmlformats.org/officeDocument/2006/relationships/hyperlink" Target="http://amazon.in" TargetMode="External"/><Relationship Id="rId3396" Type="http://schemas.openxmlformats.org/officeDocument/2006/relationships/hyperlink" Target="http://amazon.in" TargetMode="External"/><Relationship Id="rId2067" Type="http://schemas.openxmlformats.org/officeDocument/2006/relationships/hyperlink" Target="http://amazon.in" TargetMode="External"/><Relationship Id="rId3399" Type="http://schemas.openxmlformats.org/officeDocument/2006/relationships/hyperlink" Target="http://amazon.in" TargetMode="External"/><Relationship Id="rId2068" Type="http://schemas.openxmlformats.org/officeDocument/2006/relationships/hyperlink" Target="http://amazon.in" TargetMode="External"/><Relationship Id="rId3398" Type="http://schemas.openxmlformats.org/officeDocument/2006/relationships/hyperlink" Target="http://amazon.in" TargetMode="External"/><Relationship Id="rId2069" Type="http://schemas.openxmlformats.org/officeDocument/2006/relationships/hyperlink" Target="http://amazon.in" TargetMode="External"/><Relationship Id="rId3380" Type="http://schemas.openxmlformats.org/officeDocument/2006/relationships/hyperlink" Target="http://amazon.in" TargetMode="External"/><Relationship Id="rId2050" Type="http://schemas.openxmlformats.org/officeDocument/2006/relationships/hyperlink" Target="http://amazon.in" TargetMode="External"/><Relationship Id="rId3382" Type="http://schemas.openxmlformats.org/officeDocument/2006/relationships/hyperlink" Target="http://amazon.in" TargetMode="External"/><Relationship Id="rId2051" Type="http://schemas.openxmlformats.org/officeDocument/2006/relationships/hyperlink" Target="http://amazon.in" TargetMode="External"/><Relationship Id="rId3381" Type="http://schemas.openxmlformats.org/officeDocument/2006/relationships/hyperlink" Target="http://amazon.in" TargetMode="External"/><Relationship Id="rId2052" Type="http://schemas.openxmlformats.org/officeDocument/2006/relationships/hyperlink" Target="http://amazon.in" TargetMode="External"/><Relationship Id="rId3384" Type="http://schemas.openxmlformats.org/officeDocument/2006/relationships/hyperlink" Target="http://amazon.in" TargetMode="External"/><Relationship Id="rId2053" Type="http://schemas.openxmlformats.org/officeDocument/2006/relationships/hyperlink" Target="http://amazon.in" TargetMode="External"/><Relationship Id="rId3383" Type="http://schemas.openxmlformats.org/officeDocument/2006/relationships/hyperlink" Target="http://amazon.in" TargetMode="External"/><Relationship Id="rId2054" Type="http://schemas.openxmlformats.org/officeDocument/2006/relationships/hyperlink" Target="http://amazon.in" TargetMode="External"/><Relationship Id="rId3386" Type="http://schemas.openxmlformats.org/officeDocument/2006/relationships/hyperlink" Target="http://amazon.in" TargetMode="External"/><Relationship Id="rId2055" Type="http://schemas.openxmlformats.org/officeDocument/2006/relationships/hyperlink" Target="http://amazon.in" TargetMode="External"/><Relationship Id="rId3385" Type="http://schemas.openxmlformats.org/officeDocument/2006/relationships/hyperlink" Target="http://amazon.in" TargetMode="External"/><Relationship Id="rId2056" Type="http://schemas.openxmlformats.org/officeDocument/2006/relationships/hyperlink" Target="http://amazon.in" TargetMode="External"/><Relationship Id="rId3388" Type="http://schemas.openxmlformats.org/officeDocument/2006/relationships/hyperlink" Target="http://amazon.in" TargetMode="External"/><Relationship Id="rId2057" Type="http://schemas.openxmlformats.org/officeDocument/2006/relationships/hyperlink" Target="http://amazon.in" TargetMode="External"/><Relationship Id="rId3387" Type="http://schemas.openxmlformats.org/officeDocument/2006/relationships/hyperlink" Target="http://amazon.in" TargetMode="External"/><Relationship Id="rId2058" Type="http://schemas.openxmlformats.org/officeDocument/2006/relationships/hyperlink" Target="http://amazon.in" TargetMode="External"/><Relationship Id="rId2059" Type="http://schemas.openxmlformats.org/officeDocument/2006/relationships/hyperlink" Target="http://amazon.in" TargetMode="External"/><Relationship Id="rId3389" Type="http://schemas.openxmlformats.org/officeDocument/2006/relationships/hyperlink" Target="http://amazon.in" TargetMode="External"/><Relationship Id="rId5118" Type="http://schemas.openxmlformats.org/officeDocument/2006/relationships/hyperlink" Target="http://amazon.in" TargetMode="External"/><Relationship Id="rId5119" Type="http://schemas.openxmlformats.org/officeDocument/2006/relationships/hyperlink" Target="http://amazon.in" TargetMode="External"/><Relationship Id="rId2080" Type="http://schemas.openxmlformats.org/officeDocument/2006/relationships/hyperlink" Target="http://amazon.in" TargetMode="External"/><Relationship Id="rId2081" Type="http://schemas.openxmlformats.org/officeDocument/2006/relationships/hyperlink" Target="http://amazon.in" TargetMode="External"/><Relationship Id="rId2082" Type="http://schemas.openxmlformats.org/officeDocument/2006/relationships/hyperlink" Target="http://amazon.in" TargetMode="External"/><Relationship Id="rId2083" Type="http://schemas.openxmlformats.org/officeDocument/2006/relationships/hyperlink" Target="http://amazon.in" TargetMode="External"/><Relationship Id="rId2084" Type="http://schemas.openxmlformats.org/officeDocument/2006/relationships/hyperlink" Target="http://amazon.in" TargetMode="External"/><Relationship Id="rId2085" Type="http://schemas.openxmlformats.org/officeDocument/2006/relationships/hyperlink" Target="http://amazon.in" TargetMode="External"/><Relationship Id="rId5112" Type="http://schemas.openxmlformats.org/officeDocument/2006/relationships/hyperlink" Target="http://amazon.in" TargetMode="External"/><Relationship Id="rId2086" Type="http://schemas.openxmlformats.org/officeDocument/2006/relationships/hyperlink" Target="http://amazon.in" TargetMode="External"/><Relationship Id="rId5113" Type="http://schemas.openxmlformats.org/officeDocument/2006/relationships/hyperlink" Target="http://amazon.in" TargetMode="External"/><Relationship Id="rId2087" Type="http://schemas.openxmlformats.org/officeDocument/2006/relationships/hyperlink" Target="http://amazon.in" TargetMode="External"/><Relationship Id="rId5110" Type="http://schemas.openxmlformats.org/officeDocument/2006/relationships/hyperlink" Target="http://amazon.in" TargetMode="External"/><Relationship Id="rId2088" Type="http://schemas.openxmlformats.org/officeDocument/2006/relationships/hyperlink" Target="http://amazon.in" TargetMode="External"/><Relationship Id="rId5111" Type="http://schemas.openxmlformats.org/officeDocument/2006/relationships/hyperlink" Target="http://amazon.in" TargetMode="External"/><Relationship Id="rId2089" Type="http://schemas.openxmlformats.org/officeDocument/2006/relationships/hyperlink" Target="http://amazon.in" TargetMode="External"/><Relationship Id="rId5116" Type="http://schemas.openxmlformats.org/officeDocument/2006/relationships/hyperlink" Target="http://amazon.in" TargetMode="External"/><Relationship Id="rId5117" Type="http://schemas.openxmlformats.org/officeDocument/2006/relationships/hyperlink" Target="http://amazon.in" TargetMode="External"/><Relationship Id="rId5114" Type="http://schemas.openxmlformats.org/officeDocument/2006/relationships/hyperlink" Target="http://amazon.in" TargetMode="External"/><Relationship Id="rId5115" Type="http://schemas.openxmlformats.org/officeDocument/2006/relationships/hyperlink" Target="http://amazon.in" TargetMode="External"/><Relationship Id="rId5109" Type="http://schemas.openxmlformats.org/officeDocument/2006/relationships/hyperlink" Target="http://amazon.in" TargetMode="External"/><Relationship Id="rId5107" Type="http://schemas.openxmlformats.org/officeDocument/2006/relationships/hyperlink" Target="http://amazon.in" TargetMode="External"/><Relationship Id="rId5108" Type="http://schemas.openxmlformats.org/officeDocument/2006/relationships/hyperlink" Target="http://amazon.in" TargetMode="External"/><Relationship Id="rId2070" Type="http://schemas.openxmlformats.org/officeDocument/2006/relationships/hyperlink" Target="http://amazon.in" TargetMode="External"/><Relationship Id="rId2071" Type="http://schemas.openxmlformats.org/officeDocument/2006/relationships/hyperlink" Target="http://amazon.in" TargetMode="External"/><Relationship Id="rId2072" Type="http://schemas.openxmlformats.org/officeDocument/2006/relationships/hyperlink" Target="http://amazon.in" TargetMode="External"/><Relationship Id="rId2073" Type="http://schemas.openxmlformats.org/officeDocument/2006/relationships/hyperlink" Target="http://amazon.in" TargetMode="External"/><Relationship Id="rId2074" Type="http://schemas.openxmlformats.org/officeDocument/2006/relationships/hyperlink" Target="http://amazon.in" TargetMode="External"/><Relationship Id="rId5101" Type="http://schemas.openxmlformats.org/officeDocument/2006/relationships/hyperlink" Target="http://amazon.in" TargetMode="External"/><Relationship Id="rId2075" Type="http://schemas.openxmlformats.org/officeDocument/2006/relationships/hyperlink" Target="http://amazon.in" TargetMode="External"/><Relationship Id="rId5102" Type="http://schemas.openxmlformats.org/officeDocument/2006/relationships/hyperlink" Target="http://amazon.in" TargetMode="External"/><Relationship Id="rId2076" Type="http://schemas.openxmlformats.org/officeDocument/2006/relationships/hyperlink" Target="http://amazon.in" TargetMode="External"/><Relationship Id="rId2077" Type="http://schemas.openxmlformats.org/officeDocument/2006/relationships/hyperlink" Target="http://amazon.in" TargetMode="External"/><Relationship Id="rId5100" Type="http://schemas.openxmlformats.org/officeDocument/2006/relationships/hyperlink" Target="http://amazon.in" TargetMode="External"/><Relationship Id="rId2078" Type="http://schemas.openxmlformats.org/officeDocument/2006/relationships/hyperlink" Target="http://amazon.in" TargetMode="External"/><Relationship Id="rId5105" Type="http://schemas.openxmlformats.org/officeDocument/2006/relationships/hyperlink" Target="http://amazon.in" TargetMode="External"/><Relationship Id="rId2079" Type="http://schemas.openxmlformats.org/officeDocument/2006/relationships/hyperlink" Target="http://amazon.in" TargetMode="External"/><Relationship Id="rId5106" Type="http://schemas.openxmlformats.org/officeDocument/2006/relationships/hyperlink" Target="http://amazon.in" TargetMode="External"/><Relationship Id="rId5103" Type="http://schemas.openxmlformats.org/officeDocument/2006/relationships/hyperlink" Target="http://amazon.in" TargetMode="External"/><Relationship Id="rId5104" Type="http://schemas.openxmlformats.org/officeDocument/2006/relationships/hyperlink" Target="http://amazon.in" TargetMode="External"/><Relationship Id="rId2940" Type="http://schemas.openxmlformats.org/officeDocument/2006/relationships/hyperlink" Target="http://amazon.in" TargetMode="External"/><Relationship Id="rId1610" Type="http://schemas.openxmlformats.org/officeDocument/2006/relationships/hyperlink" Target="http://amazon.in" TargetMode="External"/><Relationship Id="rId2941" Type="http://schemas.openxmlformats.org/officeDocument/2006/relationships/hyperlink" Target="http://amazon.in" TargetMode="External"/><Relationship Id="rId1611" Type="http://schemas.openxmlformats.org/officeDocument/2006/relationships/hyperlink" Target="http://amazon.in" TargetMode="External"/><Relationship Id="rId2942" Type="http://schemas.openxmlformats.org/officeDocument/2006/relationships/hyperlink" Target="http://amazon.in" TargetMode="External"/><Relationship Id="rId1612" Type="http://schemas.openxmlformats.org/officeDocument/2006/relationships/hyperlink" Target="http://amazon.in" TargetMode="External"/><Relationship Id="rId2943" Type="http://schemas.openxmlformats.org/officeDocument/2006/relationships/hyperlink" Target="http://amazon.in" TargetMode="External"/><Relationship Id="rId1613" Type="http://schemas.openxmlformats.org/officeDocument/2006/relationships/hyperlink" Target="http://amazon.in" TargetMode="External"/><Relationship Id="rId2944" Type="http://schemas.openxmlformats.org/officeDocument/2006/relationships/hyperlink" Target="http://amazon.in" TargetMode="External"/><Relationship Id="rId1614" Type="http://schemas.openxmlformats.org/officeDocument/2006/relationships/hyperlink" Target="http://amazon.in" TargetMode="External"/><Relationship Id="rId2945" Type="http://schemas.openxmlformats.org/officeDocument/2006/relationships/hyperlink" Target="http://amazon.in" TargetMode="External"/><Relationship Id="rId1615" Type="http://schemas.openxmlformats.org/officeDocument/2006/relationships/hyperlink" Target="http://amazon.in" TargetMode="External"/><Relationship Id="rId2946" Type="http://schemas.openxmlformats.org/officeDocument/2006/relationships/hyperlink" Target="http://amazon.in" TargetMode="External"/><Relationship Id="rId1616" Type="http://schemas.openxmlformats.org/officeDocument/2006/relationships/hyperlink" Target="http://amazon.in" TargetMode="External"/><Relationship Id="rId2947" Type="http://schemas.openxmlformats.org/officeDocument/2006/relationships/hyperlink" Target="http://amazon.in" TargetMode="External"/><Relationship Id="rId907" Type="http://schemas.openxmlformats.org/officeDocument/2006/relationships/hyperlink" Target="http://amazon.in" TargetMode="External"/><Relationship Id="rId1617" Type="http://schemas.openxmlformats.org/officeDocument/2006/relationships/hyperlink" Target="http://amazon.in" TargetMode="External"/><Relationship Id="rId2948" Type="http://schemas.openxmlformats.org/officeDocument/2006/relationships/hyperlink" Target="http://amazon.in" TargetMode="External"/><Relationship Id="rId906" Type="http://schemas.openxmlformats.org/officeDocument/2006/relationships/hyperlink" Target="http://amazon.in" TargetMode="External"/><Relationship Id="rId1618" Type="http://schemas.openxmlformats.org/officeDocument/2006/relationships/hyperlink" Target="http://amazon.in" TargetMode="External"/><Relationship Id="rId2949" Type="http://schemas.openxmlformats.org/officeDocument/2006/relationships/hyperlink" Target="http://amazon.in" TargetMode="External"/><Relationship Id="rId905" Type="http://schemas.openxmlformats.org/officeDocument/2006/relationships/hyperlink" Target="http://amazon.in" TargetMode="External"/><Relationship Id="rId1619" Type="http://schemas.openxmlformats.org/officeDocument/2006/relationships/hyperlink" Target="http://amazon.in" TargetMode="External"/><Relationship Id="rId904" Type="http://schemas.openxmlformats.org/officeDocument/2006/relationships/hyperlink" Target="http://amazon.in" TargetMode="External"/><Relationship Id="rId909" Type="http://schemas.openxmlformats.org/officeDocument/2006/relationships/hyperlink" Target="http://amazon.in" TargetMode="External"/><Relationship Id="rId908" Type="http://schemas.openxmlformats.org/officeDocument/2006/relationships/hyperlink" Target="http://amazon.in" TargetMode="External"/><Relationship Id="rId903" Type="http://schemas.openxmlformats.org/officeDocument/2006/relationships/hyperlink" Target="http://amazon.in" TargetMode="External"/><Relationship Id="rId902" Type="http://schemas.openxmlformats.org/officeDocument/2006/relationships/hyperlink" Target="http://amazon.in" TargetMode="External"/><Relationship Id="rId901" Type="http://schemas.openxmlformats.org/officeDocument/2006/relationships/hyperlink" Target="http://amazon.in" TargetMode="External"/><Relationship Id="rId900" Type="http://schemas.openxmlformats.org/officeDocument/2006/relationships/hyperlink" Target="http://amazon.in" TargetMode="External"/><Relationship Id="rId2930" Type="http://schemas.openxmlformats.org/officeDocument/2006/relationships/hyperlink" Target="http://amazon.in" TargetMode="External"/><Relationship Id="rId1600" Type="http://schemas.openxmlformats.org/officeDocument/2006/relationships/hyperlink" Target="http://amazon.in" TargetMode="External"/><Relationship Id="rId2931" Type="http://schemas.openxmlformats.org/officeDocument/2006/relationships/hyperlink" Target="http://amazon.in" TargetMode="External"/><Relationship Id="rId1601" Type="http://schemas.openxmlformats.org/officeDocument/2006/relationships/hyperlink" Target="http://amazon.in" TargetMode="External"/><Relationship Id="rId2932" Type="http://schemas.openxmlformats.org/officeDocument/2006/relationships/hyperlink" Target="http://amazon.in" TargetMode="External"/><Relationship Id="rId1602" Type="http://schemas.openxmlformats.org/officeDocument/2006/relationships/hyperlink" Target="http://amazon.in" TargetMode="External"/><Relationship Id="rId2933" Type="http://schemas.openxmlformats.org/officeDocument/2006/relationships/hyperlink" Target="http://amazon.in" TargetMode="External"/><Relationship Id="rId1603" Type="http://schemas.openxmlformats.org/officeDocument/2006/relationships/hyperlink" Target="http://amazon.in" TargetMode="External"/><Relationship Id="rId2934" Type="http://schemas.openxmlformats.org/officeDocument/2006/relationships/hyperlink" Target="http://amazon.in" TargetMode="External"/><Relationship Id="rId1604" Type="http://schemas.openxmlformats.org/officeDocument/2006/relationships/hyperlink" Target="http://amazon.in" TargetMode="External"/><Relationship Id="rId2935" Type="http://schemas.openxmlformats.org/officeDocument/2006/relationships/hyperlink" Target="http://amazon.in" TargetMode="External"/><Relationship Id="rId1605" Type="http://schemas.openxmlformats.org/officeDocument/2006/relationships/hyperlink" Target="http://amazon.in" TargetMode="External"/><Relationship Id="rId2936" Type="http://schemas.openxmlformats.org/officeDocument/2006/relationships/hyperlink" Target="http://amazon.in" TargetMode="External"/><Relationship Id="rId1606" Type="http://schemas.openxmlformats.org/officeDocument/2006/relationships/hyperlink" Target="http://amazon.in" TargetMode="External"/><Relationship Id="rId2937" Type="http://schemas.openxmlformats.org/officeDocument/2006/relationships/hyperlink" Target="http://amazon.in" TargetMode="External"/><Relationship Id="rId1607" Type="http://schemas.openxmlformats.org/officeDocument/2006/relationships/hyperlink" Target="http://amazon.in" TargetMode="External"/><Relationship Id="rId2938" Type="http://schemas.openxmlformats.org/officeDocument/2006/relationships/hyperlink" Target="http://amazon.in" TargetMode="External"/><Relationship Id="rId1608" Type="http://schemas.openxmlformats.org/officeDocument/2006/relationships/hyperlink" Target="http://amazon.in" TargetMode="External"/><Relationship Id="rId2939" Type="http://schemas.openxmlformats.org/officeDocument/2006/relationships/hyperlink" Target="http://amazon.in" TargetMode="External"/><Relationship Id="rId1609" Type="http://schemas.openxmlformats.org/officeDocument/2006/relationships/hyperlink" Target="http://amazon.in" TargetMode="External"/><Relationship Id="rId1631" Type="http://schemas.openxmlformats.org/officeDocument/2006/relationships/hyperlink" Target="http://amazon.in" TargetMode="External"/><Relationship Id="rId2962" Type="http://schemas.openxmlformats.org/officeDocument/2006/relationships/hyperlink" Target="http://amazon.in" TargetMode="External"/><Relationship Id="rId1632" Type="http://schemas.openxmlformats.org/officeDocument/2006/relationships/hyperlink" Target="http://amazon.in" TargetMode="External"/><Relationship Id="rId2963" Type="http://schemas.openxmlformats.org/officeDocument/2006/relationships/hyperlink" Target="http://amazon.in" TargetMode="External"/><Relationship Id="rId1633" Type="http://schemas.openxmlformats.org/officeDocument/2006/relationships/hyperlink" Target="http://amazon.in" TargetMode="External"/><Relationship Id="rId2964" Type="http://schemas.openxmlformats.org/officeDocument/2006/relationships/hyperlink" Target="http://amazon.in" TargetMode="External"/><Relationship Id="rId1634" Type="http://schemas.openxmlformats.org/officeDocument/2006/relationships/hyperlink" Target="http://amazon.in" TargetMode="External"/><Relationship Id="rId2965" Type="http://schemas.openxmlformats.org/officeDocument/2006/relationships/hyperlink" Target="http://amazon.in" TargetMode="External"/><Relationship Id="rId1635" Type="http://schemas.openxmlformats.org/officeDocument/2006/relationships/hyperlink" Target="http://amazon.in" TargetMode="External"/><Relationship Id="rId2966" Type="http://schemas.openxmlformats.org/officeDocument/2006/relationships/hyperlink" Target="http://amazon.in" TargetMode="External"/><Relationship Id="rId1636" Type="http://schemas.openxmlformats.org/officeDocument/2006/relationships/hyperlink" Target="http://amazon.in" TargetMode="External"/><Relationship Id="rId2967" Type="http://schemas.openxmlformats.org/officeDocument/2006/relationships/hyperlink" Target="http://amazon.in" TargetMode="External"/><Relationship Id="rId1637" Type="http://schemas.openxmlformats.org/officeDocument/2006/relationships/hyperlink" Target="http://amazon.in" TargetMode="External"/><Relationship Id="rId2968" Type="http://schemas.openxmlformats.org/officeDocument/2006/relationships/hyperlink" Target="http://amazon.in" TargetMode="External"/><Relationship Id="rId1638" Type="http://schemas.openxmlformats.org/officeDocument/2006/relationships/hyperlink" Target="http://amazon.in" TargetMode="External"/><Relationship Id="rId2969" Type="http://schemas.openxmlformats.org/officeDocument/2006/relationships/hyperlink" Target="http://amazon.in" TargetMode="External"/><Relationship Id="rId929" Type="http://schemas.openxmlformats.org/officeDocument/2006/relationships/hyperlink" Target="http://amazon.in" TargetMode="External"/><Relationship Id="rId1639" Type="http://schemas.openxmlformats.org/officeDocument/2006/relationships/hyperlink" Target="http://amazon.in" TargetMode="External"/><Relationship Id="rId928" Type="http://schemas.openxmlformats.org/officeDocument/2006/relationships/hyperlink" Target="http://amazon.in" TargetMode="External"/><Relationship Id="rId927" Type="http://schemas.openxmlformats.org/officeDocument/2006/relationships/hyperlink" Target="http://amazon.in" TargetMode="External"/><Relationship Id="rId926" Type="http://schemas.openxmlformats.org/officeDocument/2006/relationships/hyperlink" Target="http://amazon.in" TargetMode="External"/><Relationship Id="rId921" Type="http://schemas.openxmlformats.org/officeDocument/2006/relationships/hyperlink" Target="http://amazon.in" TargetMode="External"/><Relationship Id="rId920" Type="http://schemas.openxmlformats.org/officeDocument/2006/relationships/hyperlink" Target="http://amazon.in" TargetMode="External"/><Relationship Id="rId925" Type="http://schemas.openxmlformats.org/officeDocument/2006/relationships/hyperlink" Target="http://amazon.in" TargetMode="External"/><Relationship Id="rId924" Type="http://schemas.openxmlformats.org/officeDocument/2006/relationships/hyperlink" Target="http://amazon.in" TargetMode="External"/><Relationship Id="rId923" Type="http://schemas.openxmlformats.org/officeDocument/2006/relationships/hyperlink" Target="http://amazon.in" TargetMode="External"/><Relationship Id="rId922" Type="http://schemas.openxmlformats.org/officeDocument/2006/relationships/hyperlink" Target="http://amazon.in" TargetMode="External"/><Relationship Id="rId2960" Type="http://schemas.openxmlformats.org/officeDocument/2006/relationships/hyperlink" Target="http://amazon.in" TargetMode="External"/><Relationship Id="rId1630" Type="http://schemas.openxmlformats.org/officeDocument/2006/relationships/hyperlink" Target="http://amazon.in" TargetMode="External"/><Relationship Id="rId2961" Type="http://schemas.openxmlformats.org/officeDocument/2006/relationships/hyperlink" Target="http://amazon.in" TargetMode="External"/><Relationship Id="rId1620" Type="http://schemas.openxmlformats.org/officeDocument/2006/relationships/hyperlink" Target="http://amazon.in" TargetMode="External"/><Relationship Id="rId2951" Type="http://schemas.openxmlformats.org/officeDocument/2006/relationships/hyperlink" Target="http://amazon.in" TargetMode="External"/><Relationship Id="rId1621" Type="http://schemas.openxmlformats.org/officeDocument/2006/relationships/hyperlink" Target="http://amazon.in" TargetMode="External"/><Relationship Id="rId2952" Type="http://schemas.openxmlformats.org/officeDocument/2006/relationships/hyperlink" Target="http://amazon.in" TargetMode="External"/><Relationship Id="rId1622" Type="http://schemas.openxmlformats.org/officeDocument/2006/relationships/hyperlink" Target="http://amazon.in" TargetMode="External"/><Relationship Id="rId2953" Type="http://schemas.openxmlformats.org/officeDocument/2006/relationships/hyperlink" Target="http://amazon.in" TargetMode="External"/><Relationship Id="rId1623" Type="http://schemas.openxmlformats.org/officeDocument/2006/relationships/hyperlink" Target="http://amazon.in" TargetMode="External"/><Relationship Id="rId2954" Type="http://schemas.openxmlformats.org/officeDocument/2006/relationships/hyperlink" Target="http://amazon.in" TargetMode="External"/><Relationship Id="rId1624" Type="http://schemas.openxmlformats.org/officeDocument/2006/relationships/hyperlink" Target="http://amazon.in" TargetMode="External"/><Relationship Id="rId2955" Type="http://schemas.openxmlformats.org/officeDocument/2006/relationships/hyperlink" Target="http://amazon.in" TargetMode="External"/><Relationship Id="rId1625" Type="http://schemas.openxmlformats.org/officeDocument/2006/relationships/hyperlink" Target="http://amazon.in" TargetMode="External"/><Relationship Id="rId2956" Type="http://schemas.openxmlformats.org/officeDocument/2006/relationships/hyperlink" Target="http://amazon.in" TargetMode="External"/><Relationship Id="rId1626" Type="http://schemas.openxmlformats.org/officeDocument/2006/relationships/hyperlink" Target="http://amazon.in" TargetMode="External"/><Relationship Id="rId2957" Type="http://schemas.openxmlformats.org/officeDocument/2006/relationships/hyperlink" Target="http://amazon.in" TargetMode="External"/><Relationship Id="rId1627" Type="http://schemas.openxmlformats.org/officeDocument/2006/relationships/hyperlink" Target="http://amazon.in" TargetMode="External"/><Relationship Id="rId2958" Type="http://schemas.openxmlformats.org/officeDocument/2006/relationships/hyperlink" Target="http://amazon.in" TargetMode="External"/><Relationship Id="rId918" Type="http://schemas.openxmlformats.org/officeDocument/2006/relationships/hyperlink" Target="http://amazon.in" TargetMode="External"/><Relationship Id="rId1628" Type="http://schemas.openxmlformats.org/officeDocument/2006/relationships/hyperlink" Target="http://amazon.in" TargetMode="External"/><Relationship Id="rId2959" Type="http://schemas.openxmlformats.org/officeDocument/2006/relationships/hyperlink" Target="http://amazon.in" TargetMode="External"/><Relationship Id="rId917" Type="http://schemas.openxmlformats.org/officeDocument/2006/relationships/hyperlink" Target="http://amazon.in" TargetMode="External"/><Relationship Id="rId1629" Type="http://schemas.openxmlformats.org/officeDocument/2006/relationships/hyperlink" Target="http://amazon.in" TargetMode="External"/><Relationship Id="rId916" Type="http://schemas.openxmlformats.org/officeDocument/2006/relationships/hyperlink" Target="http://amazon.in" TargetMode="External"/><Relationship Id="rId915" Type="http://schemas.openxmlformats.org/officeDocument/2006/relationships/hyperlink" Target="http://amazon.in" TargetMode="External"/><Relationship Id="rId919" Type="http://schemas.openxmlformats.org/officeDocument/2006/relationships/hyperlink" Target="http://amazon.in" TargetMode="External"/><Relationship Id="rId910" Type="http://schemas.openxmlformats.org/officeDocument/2006/relationships/hyperlink" Target="http://amazon.in" TargetMode="External"/><Relationship Id="rId914" Type="http://schemas.openxmlformats.org/officeDocument/2006/relationships/hyperlink" Target="http://amazon.in" TargetMode="External"/><Relationship Id="rId913" Type="http://schemas.openxmlformats.org/officeDocument/2006/relationships/hyperlink" Target="http://amazon.in" TargetMode="External"/><Relationship Id="rId912" Type="http://schemas.openxmlformats.org/officeDocument/2006/relationships/hyperlink" Target="http://amazon.in" TargetMode="External"/><Relationship Id="rId911" Type="http://schemas.openxmlformats.org/officeDocument/2006/relationships/hyperlink" Target="http://amazon.in" TargetMode="External"/><Relationship Id="rId2950" Type="http://schemas.openxmlformats.org/officeDocument/2006/relationships/hyperlink" Target="http://amazon.in" TargetMode="External"/><Relationship Id="rId2900" Type="http://schemas.openxmlformats.org/officeDocument/2006/relationships/hyperlink" Target="http://amazon.in" TargetMode="External"/><Relationship Id="rId2901" Type="http://schemas.openxmlformats.org/officeDocument/2006/relationships/hyperlink" Target="http://amazon.in" TargetMode="External"/><Relationship Id="rId2902" Type="http://schemas.openxmlformats.org/officeDocument/2006/relationships/hyperlink" Target="http://amazon.in" TargetMode="External"/><Relationship Id="rId2903" Type="http://schemas.openxmlformats.org/officeDocument/2006/relationships/hyperlink" Target="http://amazon.in" TargetMode="External"/><Relationship Id="rId2904" Type="http://schemas.openxmlformats.org/officeDocument/2006/relationships/hyperlink" Target="http://amazon.in" TargetMode="External"/><Relationship Id="rId2905" Type="http://schemas.openxmlformats.org/officeDocument/2006/relationships/hyperlink" Target="http://amazon.in" TargetMode="External"/><Relationship Id="rId2906" Type="http://schemas.openxmlformats.org/officeDocument/2006/relationships/hyperlink" Target="http://amazon.in" TargetMode="External"/><Relationship Id="rId2907" Type="http://schemas.openxmlformats.org/officeDocument/2006/relationships/hyperlink" Target="http://amazon.in" TargetMode="External"/><Relationship Id="rId2908" Type="http://schemas.openxmlformats.org/officeDocument/2006/relationships/hyperlink" Target="http://amazon.in" TargetMode="External"/><Relationship Id="rId2909" Type="http://schemas.openxmlformats.org/officeDocument/2006/relationships/hyperlink" Target="http://amazon.in" TargetMode="External"/><Relationship Id="rId5170" Type="http://schemas.openxmlformats.org/officeDocument/2006/relationships/hyperlink" Target="http://amazon.in" TargetMode="External"/><Relationship Id="rId5171" Type="http://schemas.openxmlformats.org/officeDocument/2006/relationships/hyperlink" Target="http://amazon.in" TargetMode="External"/><Relationship Id="rId5174" Type="http://schemas.openxmlformats.org/officeDocument/2006/relationships/hyperlink" Target="http://amazon.in" TargetMode="External"/><Relationship Id="rId5175" Type="http://schemas.openxmlformats.org/officeDocument/2006/relationships/hyperlink" Target="http://amazon.in" TargetMode="External"/><Relationship Id="rId5172" Type="http://schemas.openxmlformats.org/officeDocument/2006/relationships/hyperlink" Target="http://amazon.in" TargetMode="External"/><Relationship Id="rId5173" Type="http://schemas.openxmlformats.org/officeDocument/2006/relationships/hyperlink" Target="http://amazon.in" TargetMode="External"/><Relationship Id="rId5178" Type="http://schemas.openxmlformats.org/officeDocument/2006/relationships/hyperlink" Target="http://amazon.in" TargetMode="External"/><Relationship Id="rId5179" Type="http://schemas.openxmlformats.org/officeDocument/2006/relationships/hyperlink" Target="http://amazon.in" TargetMode="External"/><Relationship Id="rId5176" Type="http://schemas.openxmlformats.org/officeDocument/2006/relationships/hyperlink" Target="http://amazon.in" TargetMode="External"/><Relationship Id="rId5177" Type="http://schemas.openxmlformats.org/officeDocument/2006/relationships/hyperlink" Target="http://amazon.in" TargetMode="External"/><Relationship Id="rId5160" Type="http://schemas.openxmlformats.org/officeDocument/2006/relationships/hyperlink" Target="http://amazon.in" TargetMode="External"/><Relationship Id="rId5163" Type="http://schemas.openxmlformats.org/officeDocument/2006/relationships/hyperlink" Target="http://amazon.in" TargetMode="External"/><Relationship Id="rId5164" Type="http://schemas.openxmlformats.org/officeDocument/2006/relationships/hyperlink" Target="http://amazon.in" TargetMode="External"/><Relationship Id="rId5161" Type="http://schemas.openxmlformats.org/officeDocument/2006/relationships/hyperlink" Target="http://amazon.in" TargetMode="External"/><Relationship Id="rId5162" Type="http://schemas.openxmlformats.org/officeDocument/2006/relationships/hyperlink" Target="http://amazon.in" TargetMode="External"/><Relationship Id="rId5167" Type="http://schemas.openxmlformats.org/officeDocument/2006/relationships/hyperlink" Target="http://amazon.in" TargetMode="External"/><Relationship Id="rId5168" Type="http://schemas.openxmlformats.org/officeDocument/2006/relationships/hyperlink" Target="http://amazon.in" TargetMode="External"/><Relationship Id="rId5165" Type="http://schemas.openxmlformats.org/officeDocument/2006/relationships/hyperlink" Target="http://amazon.in" TargetMode="External"/><Relationship Id="rId5166" Type="http://schemas.openxmlformats.org/officeDocument/2006/relationships/hyperlink" Target="http://amazon.in" TargetMode="External"/><Relationship Id="rId5169" Type="http://schemas.openxmlformats.org/officeDocument/2006/relationships/hyperlink" Target="http://amazon.in" TargetMode="External"/><Relationship Id="rId2920" Type="http://schemas.openxmlformats.org/officeDocument/2006/relationships/hyperlink" Target="http://amazon.in" TargetMode="External"/><Relationship Id="rId2921" Type="http://schemas.openxmlformats.org/officeDocument/2006/relationships/hyperlink" Target="http://amazon.in" TargetMode="External"/><Relationship Id="rId2922" Type="http://schemas.openxmlformats.org/officeDocument/2006/relationships/hyperlink" Target="http://amazon.in" TargetMode="External"/><Relationship Id="rId2923" Type="http://schemas.openxmlformats.org/officeDocument/2006/relationships/hyperlink" Target="http://amazon.in" TargetMode="External"/><Relationship Id="rId2924" Type="http://schemas.openxmlformats.org/officeDocument/2006/relationships/hyperlink" Target="http://amazon.in" TargetMode="External"/><Relationship Id="rId2925" Type="http://schemas.openxmlformats.org/officeDocument/2006/relationships/hyperlink" Target="http://amazon.in" TargetMode="External"/><Relationship Id="rId2926" Type="http://schemas.openxmlformats.org/officeDocument/2006/relationships/hyperlink" Target="http://amazon.in" TargetMode="External"/><Relationship Id="rId2927" Type="http://schemas.openxmlformats.org/officeDocument/2006/relationships/hyperlink" Target="http://amazon.in" TargetMode="External"/><Relationship Id="rId2928" Type="http://schemas.openxmlformats.org/officeDocument/2006/relationships/hyperlink" Target="http://amazon.in" TargetMode="External"/><Relationship Id="rId2929" Type="http://schemas.openxmlformats.org/officeDocument/2006/relationships/hyperlink" Target="http://amazon.in" TargetMode="External"/><Relationship Id="rId5192" Type="http://schemas.openxmlformats.org/officeDocument/2006/relationships/hyperlink" Target="http://amazon.in" TargetMode="External"/><Relationship Id="rId5193" Type="http://schemas.openxmlformats.org/officeDocument/2006/relationships/hyperlink" Target="http://amazon.in" TargetMode="External"/><Relationship Id="rId5190" Type="http://schemas.openxmlformats.org/officeDocument/2006/relationships/hyperlink" Target="http://amazon.in" TargetMode="External"/><Relationship Id="rId5191" Type="http://schemas.openxmlformats.org/officeDocument/2006/relationships/hyperlink" Target="http://amazon.in" TargetMode="External"/><Relationship Id="rId5196" Type="http://schemas.openxmlformats.org/officeDocument/2006/relationships/hyperlink" Target="http://amazon.in" TargetMode="External"/><Relationship Id="rId5197" Type="http://schemas.openxmlformats.org/officeDocument/2006/relationships/hyperlink" Target="http://amazon.in" TargetMode="External"/><Relationship Id="rId5194" Type="http://schemas.openxmlformats.org/officeDocument/2006/relationships/hyperlink" Target="http://amazon.in" TargetMode="External"/><Relationship Id="rId5195" Type="http://schemas.openxmlformats.org/officeDocument/2006/relationships/hyperlink" Target="http://amazon.in" TargetMode="External"/><Relationship Id="rId5198" Type="http://schemas.openxmlformats.org/officeDocument/2006/relationships/hyperlink" Target="http://amazon.in" TargetMode="External"/><Relationship Id="rId5199" Type="http://schemas.openxmlformats.org/officeDocument/2006/relationships/hyperlink" Target="http://amazon.in" TargetMode="External"/><Relationship Id="rId2910" Type="http://schemas.openxmlformats.org/officeDocument/2006/relationships/hyperlink" Target="http://amazon.in" TargetMode="External"/><Relationship Id="rId2911" Type="http://schemas.openxmlformats.org/officeDocument/2006/relationships/hyperlink" Target="http://amazon.in" TargetMode="External"/><Relationship Id="rId2912" Type="http://schemas.openxmlformats.org/officeDocument/2006/relationships/hyperlink" Target="http://amazon.in" TargetMode="External"/><Relationship Id="rId2913" Type="http://schemas.openxmlformats.org/officeDocument/2006/relationships/hyperlink" Target="http://amazon.in" TargetMode="External"/><Relationship Id="rId2914" Type="http://schemas.openxmlformats.org/officeDocument/2006/relationships/hyperlink" Target="http://amazon.in" TargetMode="External"/><Relationship Id="rId2915" Type="http://schemas.openxmlformats.org/officeDocument/2006/relationships/hyperlink" Target="http://amazon.in" TargetMode="External"/><Relationship Id="rId2916" Type="http://schemas.openxmlformats.org/officeDocument/2006/relationships/hyperlink" Target="http://amazon.in" TargetMode="External"/><Relationship Id="rId2917" Type="http://schemas.openxmlformats.org/officeDocument/2006/relationships/hyperlink" Target="http://amazon.in" TargetMode="External"/><Relationship Id="rId2918" Type="http://schemas.openxmlformats.org/officeDocument/2006/relationships/hyperlink" Target="http://amazon.in" TargetMode="External"/><Relationship Id="rId2919" Type="http://schemas.openxmlformats.org/officeDocument/2006/relationships/hyperlink" Target="http://amazon.in" TargetMode="External"/><Relationship Id="rId5181" Type="http://schemas.openxmlformats.org/officeDocument/2006/relationships/hyperlink" Target="http://amazon.in" TargetMode="External"/><Relationship Id="rId5182" Type="http://schemas.openxmlformats.org/officeDocument/2006/relationships/hyperlink" Target="http://amazon.in" TargetMode="External"/><Relationship Id="rId5180" Type="http://schemas.openxmlformats.org/officeDocument/2006/relationships/hyperlink" Target="http://amazon.in" TargetMode="External"/><Relationship Id="rId5185" Type="http://schemas.openxmlformats.org/officeDocument/2006/relationships/hyperlink" Target="http://amazon.in" TargetMode="External"/><Relationship Id="rId5186" Type="http://schemas.openxmlformats.org/officeDocument/2006/relationships/hyperlink" Target="http://amazon.in" TargetMode="External"/><Relationship Id="rId5183" Type="http://schemas.openxmlformats.org/officeDocument/2006/relationships/hyperlink" Target="http://amazon.in" TargetMode="External"/><Relationship Id="rId5184" Type="http://schemas.openxmlformats.org/officeDocument/2006/relationships/hyperlink" Target="http://amazon.in" TargetMode="External"/><Relationship Id="rId5189" Type="http://schemas.openxmlformats.org/officeDocument/2006/relationships/hyperlink" Target="http://amazon.in" TargetMode="External"/><Relationship Id="rId5187" Type="http://schemas.openxmlformats.org/officeDocument/2006/relationships/hyperlink" Target="http://amazon.in" TargetMode="External"/><Relationship Id="rId5188" Type="http://schemas.openxmlformats.org/officeDocument/2006/relationships/hyperlink" Target="http://amazon.in" TargetMode="External"/><Relationship Id="rId1697" Type="http://schemas.openxmlformats.org/officeDocument/2006/relationships/hyperlink" Target="http://amazon.in" TargetMode="External"/><Relationship Id="rId4723" Type="http://schemas.openxmlformats.org/officeDocument/2006/relationships/hyperlink" Target="http://amazon.in" TargetMode="External"/><Relationship Id="rId1698" Type="http://schemas.openxmlformats.org/officeDocument/2006/relationships/hyperlink" Target="http://amazon.in" TargetMode="External"/><Relationship Id="rId4722" Type="http://schemas.openxmlformats.org/officeDocument/2006/relationships/hyperlink" Target="http://amazon.in" TargetMode="External"/><Relationship Id="rId1699" Type="http://schemas.openxmlformats.org/officeDocument/2006/relationships/hyperlink" Target="http://amazon.in" TargetMode="External"/><Relationship Id="rId4725" Type="http://schemas.openxmlformats.org/officeDocument/2006/relationships/hyperlink" Target="http://amazon.in" TargetMode="External"/><Relationship Id="rId4724" Type="http://schemas.openxmlformats.org/officeDocument/2006/relationships/hyperlink" Target="http://amazon.in" TargetMode="External"/><Relationship Id="rId4727" Type="http://schemas.openxmlformats.org/officeDocument/2006/relationships/hyperlink" Target="http://amazon.in" TargetMode="External"/><Relationship Id="rId4726" Type="http://schemas.openxmlformats.org/officeDocument/2006/relationships/hyperlink" Target="http://amazon.in" TargetMode="External"/><Relationship Id="rId4729" Type="http://schemas.openxmlformats.org/officeDocument/2006/relationships/hyperlink" Target="http://amazon.in" TargetMode="External"/><Relationship Id="rId4728" Type="http://schemas.openxmlformats.org/officeDocument/2006/relationships/hyperlink" Target="http://amazon.in" TargetMode="External"/><Relationship Id="rId866" Type="http://schemas.openxmlformats.org/officeDocument/2006/relationships/hyperlink" Target="http://amazon.in" TargetMode="External"/><Relationship Id="rId865" Type="http://schemas.openxmlformats.org/officeDocument/2006/relationships/hyperlink" Target="http://amazon.in" TargetMode="External"/><Relationship Id="rId864" Type="http://schemas.openxmlformats.org/officeDocument/2006/relationships/hyperlink" Target="http://amazon.in" TargetMode="External"/><Relationship Id="rId863" Type="http://schemas.openxmlformats.org/officeDocument/2006/relationships/hyperlink" Target="http://amazon.in" TargetMode="External"/><Relationship Id="rId869" Type="http://schemas.openxmlformats.org/officeDocument/2006/relationships/hyperlink" Target="http://amazon.in" TargetMode="External"/><Relationship Id="rId868" Type="http://schemas.openxmlformats.org/officeDocument/2006/relationships/hyperlink" Target="http://amazon.in" TargetMode="External"/><Relationship Id="rId867" Type="http://schemas.openxmlformats.org/officeDocument/2006/relationships/hyperlink" Target="http://amazon.in" TargetMode="External"/><Relationship Id="rId1690" Type="http://schemas.openxmlformats.org/officeDocument/2006/relationships/hyperlink" Target="http://amazon.in" TargetMode="External"/><Relationship Id="rId1691" Type="http://schemas.openxmlformats.org/officeDocument/2006/relationships/hyperlink" Target="http://amazon.in" TargetMode="External"/><Relationship Id="rId1692" Type="http://schemas.openxmlformats.org/officeDocument/2006/relationships/hyperlink" Target="http://amazon.in" TargetMode="External"/><Relationship Id="rId862" Type="http://schemas.openxmlformats.org/officeDocument/2006/relationships/hyperlink" Target="http://amazon.in" TargetMode="External"/><Relationship Id="rId1693" Type="http://schemas.openxmlformats.org/officeDocument/2006/relationships/hyperlink" Target="http://amazon.in" TargetMode="External"/><Relationship Id="rId861" Type="http://schemas.openxmlformats.org/officeDocument/2006/relationships/hyperlink" Target="http://amazon.in" TargetMode="External"/><Relationship Id="rId1694" Type="http://schemas.openxmlformats.org/officeDocument/2006/relationships/hyperlink" Target="http://amazon.in" TargetMode="External"/><Relationship Id="rId860" Type="http://schemas.openxmlformats.org/officeDocument/2006/relationships/hyperlink" Target="http://amazon.in" TargetMode="External"/><Relationship Id="rId1695" Type="http://schemas.openxmlformats.org/officeDocument/2006/relationships/hyperlink" Target="http://amazon.in" TargetMode="External"/><Relationship Id="rId4721" Type="http://schemas.openxmlformats.org/officeDocument/2006/relationships/hyperlink" Target="http://amazon.in" TargetMode="External"/><Relationship Id="rId1696" Type="http://schemas.openxmlformats.org/officeDocument/2006/relationships/hyperlink" Target="http://amazon.in" TargetMode="External"/><Relationship Id="rId4720" Type="http://schemas.openxmlformats.org/officeDocument/2006/relationships/hyperlink" Target="http://amazon.in" TargetMode="External"/><Relationship Id="rId1686" Type="http://schemas.openxmlformats.org/officeDocument/2006/relationships/hyperlink" Target="http://amazon.in" TargetMode="External"/><Relationship Id="rId4712" Type="http://schemas.openxmlformats.org/officeDocument/2006/relationships/hyperlink" Target="http://amazon.in" TargetMode="External"/><Relationship Id="rId1687" Type="http://schemas.openxmlformats.org/officeDocument/2006/relationships/hyperlink" Target="http://amazon.in" TargetMode="External"/><Relationship Id="rId4711" Type="http://schemas.openxmlformats.org/officeDocument/2006/relationships/hyperlink" Target="http://amazon.in" TargetMode="External"/><Relationship Id="rId1688" Type="http://schemas.openxmlformats.org/officeDocument/2006/relationships/hyperlink" Target="http://amazon.in" TargetMode="External"/><Relationship Id="rId4714" Type="http://schemas.openxmlformats.org/officeDocument/2006/relationships/hyperlink" Target="http://amazon.in" TargetMode="External"/><Relationship Id="rId1689" Type="http://schemas.openxmlformats.org/officeDocument/2006/relationships/hyperlink" Target="http://amazon.in" TargetMode="External"/><Relationship Id="rId4713" Type="http://schemas.openxmlformats.org/officeDocument/2006/relationships/hyperlink" Target="http://amazon.in" TargetMode="External"/><Relationship Id="rId4716" Type="http://schemas.openxmlformats.org/officeDocument/2006/relationships/hyperlink" Target="http://amazon.in" TargetMode="External"/><Relationship Id="rId4715" Type="http://schemas.openxmlformats.org/officeDocument/2006/relationships/hyperlink" Target="http://amazon.in" TargetMode="External"/><Relationship Id="rId4718" Type="http://schemas.openxmlformats.org/officeDocument/2006/relationships/hyperlink" Target="http://amazon.in" TargetMode="External"/><Relationship Id="rId4717" Type="http://schemas.openxmlformats.org/officeDocument/2006/relationships/hyperlink" Target="http://amazon.in" TargetMode="External"/><Relationship Id="rId4719" Type="http://schemas.openxmlformats.org/officeDocument/2006/relationships/hyperlink" Target="http://amazon.in" TargetMode="External"/><Relationship Id="rId855" Type="http://schemas.openxmlformats.org/officeDocument/2006/relationships/hyperlink" Target="http://amazon.in" TargetMode="External"/><Relationship Id="rId854" Type="http://schemas.openxmlformats.org/officeDocument/2006/relationships/hyperlink" Target="http://amazon.in" TargetMode="External"/><Relationship Id="rId853" Type="http://schemas.openxmlformats.org/officeDocument/2006/relationships/hyperlink" Target="http://amazon.in" TargetMode="External"/><Relationship Id="rId852" Type="http://schemas.openxmlformats.org/officeDocument/2006/relationships/hyperlink" Target="http://amazon.in" TargetMode="External"/><Relationship Id="rId859" Type="http://schemas.openxmlformats.org/officeDocument/2006/relationships/hyperlink" Target="http://amazon.in" TargetMode="External"/><Relationship Id="rId858" Type="http://schemas.openxmlformats.org/officeDocument/2006/relationships/hyperlink" Target="http://amazon.in" TargetMode="External"/><Relationship Id="rId857" Type="http://schemas.openxmlformats.org/officeDocument/2006/relationships/hyperlink" Target="http://amazon.in" TargetMode="External"/><Relationship Id="rId856" Type="http://schemas.openxmlformats.org/officeDocument/2006/relationships/hyperlink" Target="http://amazon.in" TargetMode="External"/><Relationship Id="rId1680" Type="http://schemas.openxmlformats.org/officeDocument/2006/relationships/hyperlink" Target="http://amazon.in" TargetMode="External"/><Relationship Id="rId1681" Type="http://schemas.openxmlformats.org/officeDocument/2006/relationships/hyperlink" Target="http://amazon.in" TargetMode="External"/><Relationship Id="rId851" Type="http://schemas.openxmlformats.org/officeDocument/2006/relationships/hyperlink" Target="http://amazon.in" TargetMode="External"/><Relationship Id="rId1682" Type="http://schemas.openxmlformats.org/officeDocument/2006/relationships/hyperlink" Target="http://amazon.in" TargetMode="External"/><Relationship Id="rId850" Type="http://schemas.openxmlformats.org/officeDocument/2006/relationships/hyperlink" Target="http://amazon.in" TargetMode="External"/><Relationship Id="rId1683" Type="http://schemas.openxmlformats.org/officeDocument/2006/relationships/hyperlink" Target="http://amazon.in" TargetMode="External"/><Relationship Id="rId1684" Type="http://schemas.openxmlformats.org/officeDocument/2006/relationships/hyperlink" Target="http://amazon.in" TargetMode="External"/><Relationship Id="rId4710" Type="http://schemas.openxmlformats.org/officeDocument/2006/relationships/hyperlink" Target="http://amazon.in" TargetMode="External"/><Relationship Id="rId1685" Type="http://schemas.openxmlformats.org/officeDocument/2006/relationships/hyperlink" Target="http://amazon.in" TargetMode="External"/><Relationship Id="rId3414" Type="http://schemas.openxmlformats.org/officeDocument/2006/relationships/hyperlink" Target="http://amazon.in" TargetMode="External"/><Relationship Id="rId4745" Type="http://schemas.openxmlformats.org/officeDocument/2006/relationships/hyperlink" Target="http://amazon.in" TargetMode="External"/><Relationship Id="rId3413" Type="http://schemas.openxmlformats.org/officeDocument/2006/relationships/hyperlink" Target="http://amazon.in" TargetMode="External"/><Relationship Id="rId4744" Type="http://schemas.openxmlformats.org/officeDocument/2006/relationships/hyperlink" Target="http://amazon.in" TargetMode="External"/><Relationship Id="rId3416" Type="http://schemas.openxmlformats.org/officeDocument/2006/relationships/hyperlink" Target="http://amazon.in" TargetMode="External"/><Relationship Id="rId4747" Type="http://schemas.openxmlformats.org/officeDocument/2006/relationships/hyperlink" Target="http://amazon.in" TargetMode="External"/><Relationship Id="rId3415" Type="http://schemas.openxmlformats.org/officeDocument/2006/relationships/hyperlink" Target="http://amazon.in" TargetMode="External"/><Relationship Id="rId4746" Type="http://schemas.openxmlformats.org/officeDocument/2006/relationships/hyperlink" Target="http://amazon.in" TargetMode="External"/><Relationship Id="rId3418" Type="http://schemas.openxmlformats.org/officeDocument/2006/relationships/hyperlink" Target="http://amazon.in" TargetMode="External"/><Relationship Id="rId4749" Type="http://schemas.openxmlformats.org/officeDocument/2006/relationships/hyperlink" Target="http://amazon.in" TargetMode="External"/><Relationship Id="rId3417" Type="http://schemas.openxmlformats.org/officeDocument/2006/relationships/hyperlink" Target="http://amazon.in" TargetMode="External"/><Relationship Id="rId4748" Type="http://schemas.openxmlformats.org/officeDocument/2006/relationships/hyperlink" Target="http://amazon.in" TargetMode="External"/><Relationship Id="rId3419" Type="http://schemas.openxmlformats.org/officeDocument/2006/relationships/hyperlink" Target="http://amazon.in" TargetMode="External"/><Relationship Id="rId888" Type="http://schemas.openxmlformats.org/officeDocument/2006/relationships/hyperlink" Target="http://amazon.in" TargetMode="External"/><Relationship Id="rId887" Type="http://schemas.openxmlformats.org/officeDocument/2006/relationships/hyperlink" Target="http://amazon.in" TargetMode="External"/><Relationship Id="rId886" Type="http://schemas.openxmlformats.org/officeDocument/2006/relationships/hyperlink" Target="http://amazon.in" TargetMode="External"/><Relationship Id="rId885" Type="http://schemas.openxmlformats.org/officeDocument/2006/relationships/hyperlink" Target="http://amazon.in" TargetMode="External"/><Relationship Id="rId889" Type="http://schemas.openxmlformats.org/officeDocument/2006/relationships/hyperlink" Target="http://amazon.in" TargetMode="External"/><Relationship Id="rId880" Type="http://schemas.openxmlformats.org/officeDocument/2006/relationships/hyperlink" Target="http://amazon.in" TargetMode="External"/><Relationship Id="rId884" Type="http://schemas.openxmlformats.org/officeDocument/2006/relationships/hyperlink" Target="http://amazon.in" TargetMode="External"/><Relationship Id="rId3410" Type="http://schemas.openxmlformats.org/officeDocument/2006/relationships/hyperlink" Target="http://amazon.in" TargetMode="External"/><Relationship Id="rId4741" Type="http://schemas.openxmlformats.org/officeDocument/2006/relationships/hyperlink" Target="http://amazon.in" TargetMode="External"/><Relationship Id="rId883" Type="http://schemas.openxmlformats.org/officeDocument/2006/relationships/hyperlink" Target="http://amazon.in" TargetMode="External"/><Relationship Id="rId4740" Type="http://schemas.openxmlformats.org/officeDocument/2006/relationships/hyperlink" Target="http://amazon.in" TargetMode="External"/><Relationship Id="rId882" Type="http://schemas.openxmlformats.org/officeDocument/2006/relationships/hyperlink" Target="http://amazon.in" TargetMode="External"/><Relationship Id="rId3412" Type="http://schemas.openxmlformats.org/officeDocument/2006/relationships/hyperlink" Target="http://amazon.in" TargetMode="External"/><Relationship Id="rId4743" Type="http://schemas.openxmlformats.org/officeDocument/2006/relationships/hyperlink" Target="http://amazon.in" TargetMode="External"/><Relationship Id="rId881" Type="http://schemas.openxmlformats.org/officeDocument/2006/relationships/hyperlink" Target="http://amazon.in" TargetMode="External"/><Relationship Id="rId3411" Type="http://schemas.openxmlformats.org/officeDocument/2006/relationships/hyperlink" Target="http://amazon.in" TargetMode="External"/><Relationship Id="rId4742" Type="http://schemas.openxmlformats.org/officeDocument/2006/relationships/hyperlink" Target="http://amazon.in" TargetMode="External"/><Relationship Id="rId3403" Type="http://schemas.openxmlformats.org/officeDocument/2006/relationships/hyperlink" Target="http://amazon.in" TargetMode="External"/><Relationship Id="rId4734" Type="http://schemas.openxmlformats.org/officeDocument/2006/relationships/hyperlink" Target="http://amazon.in" TargetMode="External"/><Relationship Id="rId3402" Type="http://schemas.openxmlformats.org/officeDocument/2006/relationships/hyperlink" Target="http://amazon.in" TargetMode="External"/><Relationship Id="rId4733" Type="http://schemas.openxmlformats.org/officeDocument/2006/relationships/hyperlink" Target="http://amazon.in" TargetMode="External"/><Relationship Id="rId3405" Type="http://schemas.openxmlformats.org/officeDocument/2006/relationships/hyperlink" Target="http://amazon.in" TargetMode="External"/><Relationship Id="rId4736" Type="http://schemas.openxmlformats.org/officeDocument/2006/relationships/hyperlink" Target="http://amazon.in" TargetMode="External"/><Relationship Id="rId3404" Type="http://schemas.openxmlformats.org/officeDocument/2006/relationships/hyperlink" Target="http://amazon.in" TargetMode="External"/><Relationship Id="rId4735" Type="http://schemas.openxmlformats.org/officeDocument/2006/relationships/hyperlink" Target="http://amazon.in" TargetMode="External"/><Relationship Id="rId3407" Type="http://schemas.openxmlformats.org/officeDocument/2006/relationships/hyperlink" Target="http://amazon.in" TargetMode="External"/><Relationship Id="rId4738" Type="http://schemas.openxmlformats.org/officeDocument/2006/relationships/hyperlink" Target="http://amazon.in" TargetMode="External"/><Relationship Id="rId3406" Type="http://schemas.openxmlformats.org/officeDocument/2006/relationships/hyperlink" Target="http://amazon.in" TargetMode="External"/><Relationship Id="rId4737" Type="http://schemas.openxmlformats.org/officeDocument/2006/relationships/hyperlink" Target="http://amazon.in" TargetMode="External"/><Relationship Id="rId3409" Type="http://schemas.openxmlformats.org/officeDocument/2006/relationships/hyperlink" Target="http://amazon.in" TargetMode="External"/><Relationship Id="rId3408" Type="http://schemas.openxmlformats.org/officeDocument/2006/relationships/hyperlink" Target="http://amazon.in" TargetMode="External"/><Relationship Id="rId4739" Type="http://schemas.openxmlformats.org/officeDocument/2006/relationships/hyperlink" Target="http://amazon.in" TargetMode="External"/><Relationship Id="rId877" Type="http://schemas.openxmlformats.org/officeDocument/2006/relationships/hyperlink" Target="http://amazon.in" TargetMode="External"/><Relationship Id="rId876" Type="http://schemas.openxmlformats.org/officeDocument/2006/relationships/hyperlink" Target="http://amazon.in" TargetMode="External"/><Relationship Id="rId875" Type="http://schemas.openxmlformats.org/officeDocument/2006/relationships/hyperlink" Target="http://amazon.in" TargetMode="External"/><Relationship Id="rId874" Type="http://schemas.openxmlformats.org/officeDocument/2006/relationships/hyperlink" Target="http://amazon.in" TargetMode="External"/><Relationship Id="rId879" Type="http://schemas.openxmlformats.org/officeDocument/2006/relationships/hyperlink" Target="http://amazon.in" TargetMode="External"/><Relationship Id="rId878" Type="http://schemas.openxmlformats.org/officeDocument/2006/relationships/hyperlink" Target="http://amazon.in" TargetMode="External"/><Relationship Id="rId873" Type="http://schemas.openxmlformats.org/officeDocument/2006/relationships/hyperlink" Target="http://amazon.in" TargetMode="External"/><Relationship Id="rId4730" Type="http://schemas.openxmlformats.org/officeDocument/2006/relationships/hyperlink" Target="http://amazon.in" TargetMode="External"/><Relationship Id="rId872" Type="http://schemas.openxmlformats.org/officeDocument/2006/relationships/hyperlink" Target="http://amazon.in" TargetMode="External"/><Relationship Id="rId871" Type="http://schemas.openxmlformats.org/officeDocument/2006/relationships/hyperlink" Target="http://amazon.in" TargetMode="External"/><Relationship Id="rId3401" Type="http://schemas.openxmlformats.org/officeDocument/2006/relationships/hyperlink" Target="http://amazon.in" TargetMode="External"/><Relationship Id="rId4732" Type="http://schemas.openxmlformats.org/officeDocument/2006/relationships/hyperlink" Target="http://amazon.in" TargetMode="External"/><Relationship Id="rId870" Type="http://schemas.openxmlformats.org/officeDocument/2006/relationships/hyperlink" Target="http://amazon.in" TargetMode="External"/><Relationship Id="rId3400" Type="http://schemas.openxmlformats.org/officeDocument/2006/relationships/hyperlink" Target="http://amazon.in" TargetMode="External"/><Relationship Id="rId4731" Type="http://schemas.openxmlformats.org/officeDocument/2006/relationships/hyperlink" Target="http://amazon.in" TargetMode="External"/><Relationship Id="rId1653" Type="http://schemas.openxmlformats.org/officeDocument/2006/relationships/hyperlink" Target="http://amazon.in" TargetMode="External"/><Relationship Id="rId2984" Type="http://schemas.openxmlformats.org/officeDocument/2006/relationships/hyperlink" Target="http://amazon.in" TargetMode="External"/><Relationship Id="rId1654" Type="http://schemas.openxmlformats.org/officeDocument/2006/relationships/hyperlink" Target="http://amazon.in" TargetMode="External"/><Relationship Id="rId2985" Type="http://schemas.openxmlformats.org/officeDocument/2006/relationships/hyperlink" Target="http://amazon.in" TargetMode="External"/><Relationship Id="rId1655" Type="http://schemas.openxmlformats.org/officeDocument/2006/relationships/hyperlink" Target="http://amazon.in" TargetMode="External"/><Relationship Id="rId2986" Type="http://schemas.openxmlformats.org/officeDocument/2006/relationships/hyperlink" Target="http://amazon.in" TargetMode="External"/><Relationship Id="rId1656" Type="http://schemas.openxmlformats.org/officeDocument/2006/relationships/hyperlink" Target="http://amazon.in" TargetMode="External"/><Relationship Id="rId2987" Type="http://schemas.openxmlformats.org/officeDocument/2006/relationships/hyperlink" Target="http://amazon.in" TargetMode="External"/><Relationship Id="rId1657" Type="http://schemas.openxmlformats.org/officeDocument/2006/relationships/hyperlink" Target="http://amazon.in" TargetMode="External"/><Relationship Id="rId2988" Type="http://schemas.openxmlformats.org/officeDocument/2006/relationships/hyperlink" Target="http://amazon.in" TargetMode="External"/><Relationship Id="rId1658" Type="http://schemas.openxmlformats.org/officeDocument/2006/relationships/hyperlink" Target="http://amazon.in" TargetMode="External"/><Relationship Id="rId2989" Type="http://schemas.openxmlformats.org/officeDocument/2006/relationships/hyperlink" Target="http://amazon.in" TargetMode="External"/><Relationship Id="rId1659" Type="http://schemas.openxmlformats.org/officeDocument/2006/relationships/hyperlink" Target="http://amazon.in" TargetMode="External"/><Relationship Id="rId829" Type="http://schemas.openxmlformats.org/officeDocument/2006/relationships/hyperlink" Target="http://amazon.in" TargetMode="External"/><Relationship Id="rId828" Type="http://schemas.openxmlformats.org/officeDocument/2006/relationships/hyperlink" Target="http://amazon.in" TargetMode="External"/><Relationship Id="rId827" Type="http://schemas.openxmlformats.org/officeDocument/2006/relationships/hyperlink" Target="http://amazon.in" TargetMode="External"/><Relationship Id="rId822" Type="http://schemas.openxmlformats.org/officeDocument/2006/relationships/hyperlink" Target="http://amazon.in" TargetMode="External"/><Relationship Id="rId821" Type="http://schemas.openxmlformats.org/officeDocument/2006/relationships/hyperlink" Target="http://amazon.in" TargetMode="External"/><Relationship Id="rId820" Type="http://schemas.openxmlformats.org/officeDocument/2006/relationships/hyperlink" Target="http://amazon.in" TargetMode="External"/><Relationship Id="rId826" Type="http://schemas.openxmlformats.org/officeDocument/2006/relationships/hyperlink" Target="http://amazon.in" TargetMode="External"/><Relationship Id="rId825" Type="http://schemas.openxmlformats.org/officeDocument/2006/relationships/hyperlink" Target="http://amazon.in" TargetMode="External"/><Relationship Id="rId824" Type="http://schemas.openxmlformats.org/officeDocument/2006/relationships/hyperlink" Target="http://amazon.in" TargetMode="External"/><Relationship Id="rId823" Type="http://schemas.openxmlformats.org/officeDocument/2006/relationships/hyperlink" Target="http://amazon.in" TargetMode="External"/><Relationship Id="rId2980" Type="http://schemas.openxmlformats.org/officeDocument/2006/relationships/hyperlink" Target="http://amazon.in" TargetMode="External"/><Relationship Id="rId1650" Type="http://schemas.openxmlformats.org/officeDocument/2006/relationships/hyperlink" Target="http://amazon.in" TargetMode="External"/><Relationship Id="rId2981" Type="http://schemas.openxmlformats.org/officeDocument/2006/relationships/hyperlink" Target="http://amazon.in" TargetMode="External"/><Relationship Id="rId1651" Type="http://schemas.openxmlformats.org/officeDocument/2006/relationships/hyperlink" Target="http://amazon.in" TargetMode="External"/><Relationship Id="rId2982" Type="http://schemas.openxmlformats.org/officeDocument/2006/relationships/hyperlink" Target="http://amazon.in" TargetMode="External"/><Relationship Id="rId1652" Type="http://schemas.openxmlformats.org/officeDocument/2006/relationships/hyperlink" Target="http://amazon.in" TargetMode="External"/><Relationship Id="rId2983" Type="http://schemas.openxmlformats.org/officeDocument/2006/relationships/hyperlink" Target="http://amazon.in" TargetMode="External"/><Relationship Id="rId1642" Type="http://schemas.openxmlformats.org/officeDocument/2006/relationships/hyperlink" Target="http://amazon.in" TargetMode="External"/><Relationship Id="rId2973" Type="http://schemas.openxmlformats.org/officeDocument/2006/relationships/hyperlink" Target="http://amazon.in" TargetMode="External"/><Relationship Id="rId1643" Type="http://schemas.openxmlformats.org/officeDocument/2006/relationships/hyperlink" Target="http://amazon.in" TargetMode="External"/><Relationship Id="rId2974" Type="http://schemas.openxmlformats.org/officeDocument/2006/relationships/hyperlink" Target="http://amazon.in" TargetMode="External"/><Relationship Id="rId1644" Type="http://schemas.openxmlformats.org/officeDocument/2006/relationships/hyperlink" Target="http://amazon.in" TargetMode="External"/><Relationship Id="rId2975" Type="http://schemas.openxmlformats.org/officeDocument/2006/relationships/hyperlink" Target="http://amazon.in" TargetMode="External"/><Relationship Id="rId1645" Type="http://schemas.openxmlformats.org/officeDocument/2006/relationships/hyperlink" Target="http://amazon.in" TargetMode="External"/><Relationship Id="rId2976" Type="http://schemas.openxmlformats.org/officeDocument/2006/relationships/hyperlink" Target="http://amazon.in" TargetMode="External"/><Relationship Id="rId1646" Type="http://schemas.openxmlformats.org/officeDocument/2006/relationships/hyperlink" Target="http://amazon.in" TargetMode="External"/><Relationship Id="rId2977" Type="http://schemas.openxmlformats.org/officeDocument/2006/relationships/hyperlink" Target="http://amazon.in" TargetMode="External"/><Relationship Id="rId1647" Type="http://schemas.openxmlformats.org/officeDocument/2006/relationships/hyperlink" Target="http://amazon.in" TargetMode="External"/><Relationship Id="rId2978" Type="http://schemas.openxmlformats.org/officeDocument/2006/relationships/hyperlink" Target="http://amazon.in" TargetMode="External"/><Relationship Id="rId1648" Type="http://schemas.openxmlformats.org/officeDocument/2006/relationships/hyperlink" Target="http://amazon.in" TargetMode="External"/><Relationship Id="rId2979" Type="http://schemas.openxmlformats.org/officeDocument/2006/relationships/hyperlink" Target="http://amazon.in" TargetMode="External"/><Relationship Id="rId1649" Type="http://schemas.openxmlformats.org/officeDocument/2006/relationships/hyperlink" Target="http://amazon.in" TargetMode="External"/><Relationship Id="rId819" Type="http://schemas.openxmlformats.org/officeDocument/2006/relationships/hyperlink" Target="http://amazon.in" TargetMode="External"/><Relationship Id="rId818" Type="http://schemas.openxmlformats.org/officeDocument/2006/relationships/hyperlink" Target="http://amazon.in" TargetMode="External"/><Relationship Id="rId817" Type="http://schemas.openxmlformats.org/officeDocument/2006/relationships/hyperlink" Target="http://amazon.in" TargetMode="External"/><Relationship Id="rId816" Type="http://schemas.openxmlformats.org/officeDocument/2006/relationships/hyperlink" Target="http://amazon.in" TargetMode="External"/><Relationship Id="rId811" Type="http://schemas.openxmlformats.org/officeDocument/2006/relationships/hyperlink" Target="http://amazon.in" TargetMode="External"/><Relationship Id="rId810" Type="http://schemas.openxmlformats.org/officeDocument/2006/relationships/hyperlink" Target="http://amazon.in" TargetMode="External"/><Relationship Id="rId815" Type="http://schemas.openxmlformats.org/officeDocument/2006/relationships/hyperlink" Target="http://amazon.in" TargetMode="External"/><Relationship Id="rId814" Type="http://schemas.openxmlformats.org/officeDocument/2006/relationships/hyperlink" Target="http://amazon.in" TargetMode="External"/><Relationship Id="rId813" Type="http://schemas.openxmlformats.org/officeDocument/2006/relationships/hyperlink" Target="http://amazon.in" TargetMode="External"/><Relationship Id="rId812" Type="http://schemas.openxmlformats.org/officeDocument/2006/relationships/hyperlink" Target="http://amazon.in" TargetMode="External"/><Relationship Id="rId2970" Type="http://schemas.openxmlformats.org/officeDocument/2006/relationships/hyperlink" Target="http://amazon.in" TargetMode="External"/><Relationship Id="rId1640" Type="http://schemas.openxmlformats.org/officeDocument/2006/relationships/hyperlink" Target="http://amazon.in" TargetMode="External"/><Relationship Id="rId2971" Type="http://schemas.openxmlformats.org/officeDocument/2006/relationships/hyperlink" Target="http://amazon.in" TargetMode="External"/><Relationship Id="rId1641" Type="http://schemas.openxmlformats.org/officeDocument/2006/relationships/hyperlink" Target="http://amazon.in" TargetMode="External"/><Relationship Id="rId2972" Type="http://schemas.openxmlformats.org/officeDocument/2006/relationships/hyperlink" Target="http://amazon.in" TargetMode="External"/><Relationship Id="rId1675" Type="http://schemas.openxmlformats.org/officeDocument/2006/relationships/hyperlink" Target="http://amazon.in" TargetMode="External"/><Relationship Id="rId4701" Type="http://schemas.openxmlformats.org/officeDocument/2006/relationships/hyperlink" Target="http://amazon.in" TargetMode="External"/><Relationship Id="rId1676" Type="http://schemas.openxmlformats.org/officeDocument/2006/relationships/hyperlink" Target="http://amazon.in" TargetMode="External"/><Relationship Id="rId4700" Type="http://schemas.openxmlformats.org/officeDocument/2006/relationships/hyperlink" Target="http://amazon.in" TargetMode="External"/><Relationship Id="rId1677" Type="http://schemas.openxmlformats.org/officeDocument/2006/relationships/hyperlink" Target="http://amazon.in" TargetMode="External"/><Relationship Id="rId4703" Type="http://schemas.openxmlformats.org/officeDocument/2006/relationships/hyperlink" Target="http://amazon.in" TargetMode="External"/><Relationship Id="rId1678" Type="http://schemas.openxmlformats.org/officeDocument/2006/relationships/hyperlink" Target="http://amazon.in" TargetMode="External"/><Relationship Id="rId4702" Type="http://schemas.openxmlformats.org/officeDocument/2006/relationships/hyperlink" Target="http://amazon.in" TargetMode="External"/><Relationship Id="rId1679" Type="http://schemas.openxmlformats.org/officeDocument/2006/relationships/hyperlink" Target="http://amazon.in" TargetMode="External"/><Relationship Id="rId4705" Type="http://schemas.openxmlformats.org/officeDocument/2006/relationships/hyperlink" Target="http://amazon.in" TargetMode="External"/><Relationship Id="rId4704" Type="http://schemas.openxmlformats.org/officeDocument/2006/relationships/hyperlink" Target="http://amazon.in" TargetMode="External"/><Relationship Id="rId4707" Type="http://schemas.openxmlformats.org/officeDocument/2006/relationships/hyperlink" Target="http://amazon.in" TargetMode="External"/><Relationship Id="rId4706" Type="http://schemas.openxmlformats.org/officeDocument/2006/relationships/hyperlink" Target="http://amazon.in" TargetMode="External"/><Relationship Id="rId4709" Type="http://schemas.openxmlformats.org/officeDocument/2006/relationships/hyperlink" Target="http://amazon.in" TargetMode="External"/><Relationship Id="rId4708" Type="http://schemas.openxmlformats.org/officeDocument/2006/relationships/hyperlink" Target="http://amazon.in" TargetMode="External"/><Relationship Id="rId849" Type="http://schemas.openxmlformats.org/officeDocument/2006/relationships/hyperlink" Target="http://amazon.in" TargetMode="External"/><Relationship Id="rId844" Type="http://schemas.openxmlformats.org/officeDocument/2006/relationships/hyperlink" Target="http://amazon.in" TargetMode="External"/><Relationship Id="rId843" Type="http://schemas.openxmlformats.org/officeDocument/2006/relationships/hyperlink" Target="http://amazon.in" TargetMode="External"/><Relationship Id="rId842" Type="http://schemas.openxmlformats.org/officeDocument/2006/relationships/hyperlink" Target="http://amazon.in" TargetMode="External"/><Relationship Id="rId841" Type="http://schemas.openxmlformats.org/officeDocument/2006/relationships/hyperlink" Target="http://amazon.in" TargetMode="External"/><Relationship Id="rId848" Type="http://schemas.openxmlformats.org/officeDocument/2006/relationships/hyperlink" Target="http://amazon.in" TargetMode="External"/><Relationship Id="rId847" Type="http://schemas.openxmlformats.org/officeDocument/2006/relationships/hyperlink" Target="http://amazon.in" TargetMode="External"/><Relationship Id="rId846" Type="http://schemas.openxmlformats.org/officeDocument/2006/relationships/hyperlink" Target="http://amazon.in" TargetMode="External"/><Relationship Id="rId845" Type="http://schemas.openxmlformats.org/officeDocument/2006/relationships/hyperlink" Target="http://amazon.in" TargetMode="External"/><Relationship Id="rId1670" Type="http://schemas.openxmlformats.org/officeDocument/2006/relationships/hyperlink" Target="http://amazon.in" TargetMode="External"/><Relationship Id="rId840" Type="http://schemas.openxmlformats.org/officeDocument/2006/relationships/hyperlink" Target="http://amazon.in" TargetMode="External"/><Relationship Id="rId1671" Type="http://schemas.openxmlformats.org/officeDocument/2006/relationships/hyperlink" Target="http://amazon.in" TargetMode="External"/><Relationship Id="rId1672" Type="http://schemas.openxmlformats.org/officeDocument/2006/relationships/hyperlink" Target="http://amazon.in" TargetMode="External"/><Relationship Id="rId1673" Type="http://schemas.openxmlformats.org/officeDocument/2006/relationships/hyperlink" Target="http://amazon.in" TargetMode="External"/><Relationship Id="rId1674" Type="http://schemas.openxmlformats.org/officeDocument/2006/relationships/hyperlink" Target="http://amazon.in" TargetMode="External"/><Relationship Id="rId1664" Type="http://schemas.openxmlformats.org/officeDocument/2006/relationships/hyperlink" Target="http://amazon.in" TargetMode="External"/><Relationship Id="rId2995" Type="http://schemas.openxmlformats.org/officeDocument/2006/relationships/hyperlink" Target="http://amazon.in" TargetMode="External"/><Relationship Id="rId1665" Type="http://schemas.openxmlformats.org/officeDocument/2006/relationships/hyperlink" Target="http://amazon.in" TargetMode="External"/><Relationship Id="rId2996" Type="http://schemas.openxmlformats.org/officeDocument/2006/relationships/hyperlink" Target="http://amazon.in" TargetMode="External"/><Relationship Id="rId1666" Type="http://schemas.openxmlformats.org/officeDocument/2006/relationships/hyperlink" Target="http://amazon.in" TargetMode="External"/><Relationship Id="rId2997" Type="http://schemas.openxmlformats.org/officeDocument/2006/relationships/hyperlink" Target="http://amazon.in" TargetMode="External"/><Relationship Id="rId1667" Type="http://schemas.openxmlformats.org/officeDocument/2006/relationships/hyperlink" Target="http://amazon.in" TargetMode="External"/><Relationship Id="rId2998" Type="http://schemas.openxmlformats.org/officeDocument/2006/relationships/hyperlink" Target="http://amazon.in" TargetMode="External"/><Relationship Id="rId1668" Type="http://schemas.openxmlformats.org/officeDocument/2006/relationships/hyperlink" Target="http://amazon.in" TargetMode="External"/><Relationship Id="rId2999" Type="http://schemas.openxmlformats.org/officeDocument/2006/relationships/hyperlink" Target="http://amazon.in" TargetMode="External"/><Relationship Id="rId1669" Type="http://schemas.openxmlformats.org/officeDocument/2006/relationships/hyperlink" Target="http://amazon.in" TargetMode="External"/><Relationship Id="rId839" Type="http://schemas.openxmlformats.org/officeDocument/2006/relationships/hyperlink" Target="http://amazon.in" TargetMode="External"/><Relationship Id="rId838" Type="http://schemas.openxmlformats.org/officeDocument/2006/relationships/hyperlink" Target="http://amazon.in" TargetMode="External"/><Relationship Id="rId833" Type="http://schemas.openxmlformats.org/officeDocument/2006/relationships/hyperlink" Target="http://amazon.in" TargetMode="External"/><Relationship Id="rId832" Type="http://schemas.openxmlformats.org/officeDocument/2006/relationships/hyperlink" Target="http://amazon.in" TargetMode="External"/><Relationship Id="rId831" Type="http://schemas.openxmlformats.org/officeDocument/2006/relationships/hyperlink" Target="http://amazon.in" TargetMode="External"/><Relationship Id="rId830" Type="http://schemas.openxmlformats.org/officeDocument/2006/relationships/hyperlink" Target="http://amazon.in" TargetMode="External"/><Relationship Id="rId837" Type="http://schemas.openxmlformats.org/officeDocument/2006/relationships/hyperlink" Target="http://amazon.in" TargetMode="External"/><Relationship Id="rId836" Type="http://schemas.openxmlformats.org/officeDocument/2006/relationships/hyperlink" Target="http://amazon.in" TargetMode="External"/><Relationship Id="rId835" Type="http://schemas.openxmlformats.org/officeDocument/2006/relationships/hyperlink" Target="http://amazon.in" TargetMode="External"/><Relationship Id="rId834" Type="http://schemas.openxmlformats.org/officeDocument/2006/relationships/hyperlink" Target="http://amazon.in" TargetMode="External"/><Relationship Id="rId2990" Type="http://schemas.openxmlformats.org/officeDocument/2006/relationships/hyperlink" Target="http://amazon.in" TargetMode="External"/><Relationship Id="rId1660" Type="http://schemas.openxmlformats.org/officeDocument/2006/relationships/hyperlink" Target="http://amazon.in" TargetMode="External"/><Relationship Id="rId2991" Type="http://schemas.openxmlformats.org/officeDocument/2006/relationships/hyperlink" Target="http://amazon.in" TargetMode="External"/><Relationship Id="rId1661" Type="http://schemas.openxmlformats.org/officeDocument/2006/relationships/hyperlink" Target="http://amazon.in" TargetMode="External"/><Relationship Id="rId2992" Type="http://schemas.openxmlformats.org/officeDocument/2006/relationships/hyperlink" Target="http://amazon.in" TargetMode="External"/><Relationship Id="rId1662" Type="http://schemas.openxmlformats.org/officeDocument/2006/relationships/hyperlink" Target="http://amazon.in" TargetMode="External"/><Relationship Id="rId2993" Type="http://schemas.openxmlformats.org/officeDocument/2006/relationships/hyperlink" Target="http://amazon.in" TargetMode="External"/><Relationship Id="rId1663" Type="http://schemas.openxmlformats.org/officeDocument/2006/relationships/hyperlink" Target="http://amazon.in" TargetMode="External"/><Relationship Id="rId2994" Type="http://schemas.openxmlformats.org/officeDocument/2006/relationships/hyperlink" Target="http://amazon.in" TargetMode="External"/><Relationship Id="rId2148" Type="http://schemas.openxmlformats.org/officeDocument/2006/relationships/hyperlink" Target="http://amazon.in" TargetMode="External"/><Relationship Id="rId2149" Type="http://schemas.openxmlformats.org/officeDocument/2006/relationships/hyperlink" Target="http://amazon.in" TargetMode="External"/><Relationship Id="rId3479" Type="http://schemas.openxmlformats.org/officeDocument/2006/relationships/hyperlink" Target="http://amazon.in" TargetMode="External"/><Relationship Id="rId3470" Type="http://schemas.openxmlformats.org/officeDocument/2006/relationships/hyperlink" Target="http://amazon.in" TargetMode="External"/><Relationship Id="rId2140" Type="http://schemas.openxmlformats.org/officeDocument/2006/relationships/hyperlink" Target="http://amazon.in" TargetMode="External"/><Relationship Id="rId3472" Type="http://schemas.openxmlformats.org/officeDocument/2006/relationships/hyperlink" Target="http://amazon.in" TargetMode="External"/><Relationship Id="rId2141" Type="http://schemas.openxmlformats.org/officeDocument/2006/relationships/hyperlink" Target="http://amazon.in" TargetMode="External"/><Relationship Id="rId3471" Type="http://schemas.openxmlformats.org/officeDocument/2006/relationships/hyperlink" Target="http://amazon.in" TargetMode="External"/><Relationship Id="rId2142" Type="http://schemas.openxmlformats.org/officeDocument/2006/relationships/hyperlink" Target="http://amazon.in" TargetMode="External"/><Relationship Id="rId3474" Type="http://schemas.openxmlformats.org/officeDocument/2006/relationships/hyperlink" Target="http://amazon.in" TargetMode="External"/><Relationship Id="rId2143" Type="http://schemas.openxmlformats.org/officeDocument/2006/relationships/hyperlink" Target="http://amazon.in" TargetMode="External"/><Relationship Id="rId3473" Type="http://schemas.openxmlformats.org/officeDocument/2006/relationships/hyperlink" Target="http://amazon.in" TargetMode="External"/><Relationship Id="rId2144" Type="http://schemas.openxmlformats.org/officeDocument/2006/relationships/hyperlink" Target="http://amazon.in" TargetMode="External"/><Relationship Id="rId3476" Type="http://schemas.openxmlformats.org/officeDocument/2006/relationships/hyperlink" Target="http://amazon.in" TargetMode="External"/><Relationship Id="rId2145" Type="http://schemas.openxmlformats.org/officeDocument/2006/relationships/hyperlink" Target="http://amazon.in" TargetMode="External"/><Relationship Id="rId3475" Type="http://schemas.openxmlformats.org/officeDocument/2006/relationships/hyperlink" Target="http://amazon.in" TargetMode="External"/><Relationship Id="rId2146" Type="http://schemas.openxmlformats.org/officeDocument/2006/relationships/hyperlink" Target="http://amazon.in" TargetMode="External"/><Relationship Id="rId3478" Type="http://schemas.openxmlformats.org/officeDocument/2006/relationships/hyperlink" Target="http://amazon.in" TargetMode="External"/><Relationship Id="rId2147" Type="http://schemas.openxmlformats.org/officeDocument/2006/relationships/hyperlink" Target="http://amazon.in" TargetMode="External"/><Relationship Id="rId3477" Type="http://schemas.openxmlformats.org/officeDocument/2006/relationships/hyperlink" Target="http://amazon.in" TargetMode="External"/><Relationship Id="rId2137" Type="http://schemas.openxmlformats.org/officeDocument/2006/relationships/hyperlink" Target="http://amazon.in" TargetMode="External"/><Relationship Id="rId3469" Type="http://schemas.openxmlformats.org/officeDocument/2006/relationships/hyperlink" Target="http://amazon.in" TargetMode="External"/><Relationship Id="rId2138" Type="http://schemas.openxmlformats.org/officeDocument/2006/relationships/hyperlink" Target="http://amazon.in" TargetMode="External"/><Relationship Id="rId3468" Type="http://schemas.openxmlformats.org/officeDocument/2006/relationships/hyperlink" Target="http://amazon.in" TargetMode="External"/><Relationship Id="rId4799" Type="http://schemas.openxmlformats.org/officeDocument/2006/relationships/hyperlink" Target="http://amazon.in" TargetMode="External"/><Relationship Id="rId2139" Type="http://schemas.openxmlformats.org/officeDocument/2006/relationships/hyperlink" Target="http://amazon.in" TargetMode="External"/><Relationship Id="rId4790" Type="http://schemas.openxmlformats.org/officeDocument/2006/relationships/hyperlink" Target="http://amazon.in" TargetMode="External"/><Relationship Id="rId3461" Type="http://schemas.openxmlformats.org/officeDocument/2006/relationships/hyperlink" Target="http://amazon.in" TargetMode="External"/><Relationship Id="rId4792" Type="http://schemas.openxmlformats.org/officeDocument/2006/relationships/hyperlink" Target="http://amazon.in" TargetMode="External"/><Relationship Id="rId2130" Type="http://schemas.openxmlformats.org/officeDocument/2006/relationships/hyperlink" Target="http://amazon.in" TargetMode="External"/><Relationship Id="rId3460" Type="http://schemas.openxmlformats.org/officeDocument/2006/relationships/hyperlink" Target="http://amazon.in" TargetMode="External"/><Relationship Id="rId4791" Type="http://schemas.openxmlformats.org/officeDocument/2006/relationships/hyperlink" Target="http://amazon.in" TargetMode="External"/><Relationship Id="rId2131" Type="http://schemas.openxmlformats.org/officeDocument/2006/relationships/hyperlink" Target="http://amazon.in" TargetMode="External"/><Relationship Id="rId3463" Type="http://schemas.openxmlformats.org/officeDocument/2006/relationships/hyperlink" Target="http://amazon.in" TargetMode="External"/><Relationship Id="rId4794" Type="http://schemas.openxmlformats.org/officeDocument/2006/relationships/hyperlink" Target="http://amazon.in" TargetMode="External"/><Relationship Id="rId2132" Type="http://schemas.openxmlformats.org/officeDocument/2006/relationships/hyperlink" Target="http://amazon.in" TargetMode="External"/><Relationship Id="rId3462" Type="http://schemas.openxmlformats.org/officeDocument/2006/relationships/hyperlink" Target="http://amazon.in" TargetMode="External"/><Relationship Id="rId4793" Type="http://schemas.openxmlformats.org/officeDocument/2006/relationships/hyperlink" Target="http://amazon.in" TargetMode="External"/><Relationship Id="rId2133" Type="http://schemas.openxmlformats.org/officeDocument/2006/relationships/hyperlink" Target="http://amazon.in" TargetMode="External"/><Relationship Id="rId3465" Type="http://schemas.openxmlformats.org/officeDocument/2006/relationships/hyperlink" Target="http://amazon.in" TargetMode="External"/><Relationship Id="rId4796" Type="http://schemas.openxmlformats.org/officeDocument/2006/relationships/hyperlink" Target="http://amazon.in" TargetMode="External"/><Relationship Id="rId2134" Type="http://schemas.openxmlformats.org/officeDocument/2006/relationships/hyperlink" Target="http://amazon.in" TargetMode="External"/><Relationship Id="rId3464" Type="http://schemas.openxmlformats.org/officeDocument/2006/relationships/hyperlink" Target="http://amazon.in" TargetMode="External"/><Relationship Id="rId4795" Type="http://schemas.openxmlformats.org/officeDocument/2006/relationships/hyperlink" Target="http://amazon.in" TargetMode="External"/><Relationship Id="rId2135" Type="http://schemas.openxmlformats.org/officeDocument/2006/relationships/hyperlink" Target="http://amazon.in" TargetMode="External"/><Relationship Id="rId3467" Type="http://schemas.openxmlformats.org/officeDocument/2006/relationships/hyperlink" Target="http://amazon.in" TargetMode="External"/><Relationship Id="rId4798" Type="http://schemas.openxmlformats.org/officeDocument/2006/relationships/hyperlink" Target="http://amazon.in" TargetMode="External"/><Relationship Id="rId2136" Type="http://schemas.openxmlformats.org/officeDocument/2006/relationships/hyperlink" Target="http://amazon.in" TargetMode="External"/><Relationship Id="rId3466" Type="http://schemas.openxmlformats.org/officeDocument/2006/relationships/hyperlink" Target="http://amazon.in" TargetMode="External"/><Relationship Id="rId4797" Type="http://schemas.openxmlformats.org/officeDocument/2006/relationships/hyperlink" Target="http://amazon.in" TargetMode="External"/><Relationship Id="rId3490" Type="http://schemas.openxmlformats.org/officeDocument/2006/relationships/hyperlink" Target="http://amazon.in" TargetMode="External"/><Relationship Id="rId2160" Type="http://schemas.openxmlformats.org/officeDocument/2006/relationships/hyperlink" Target="http://amazon.in" TargetMode="External"/><Relationship Id="rId3492" Type="http://schemas.openxmlformats.org/officeDocument/2006/relationships/hyperlink" Target="http://amazon.in" TargetMode="External"/><Relationship Id="rId2161" Type="http://schemas.openxmlformats.org/officeDocument/2006/relationships/hyperlink" Target="http://amazon.in" TargetMode="External"/><Relationship Id="rId3491" Type="http://schemas.openxmlformats.org/officeDocument/2006/relationships/hyperlink" Target="http://amazon.in" TargetMode="External"/><Relationship Id="rId2162" Type="http://schemas.openxmlformats.org/officeDocument/2006/relationships/hyperlink" Target="http://amazon.in" TargetMode="External"/><Relationship Id="rId3494" Type="http://schemas.openxmlformats.org/officeDocument/2006/relationships/hyperlink" Target="http://amazon.in" TargetMode="External"/><Relationship Id="rId2163" Type="http://schemas.openxmlformats.org/officeDocument/2006/relationships/hyperlink" Target="http://amazon.in" TargetMode="External"/><Relationship Id="rId3493" Type="http://schemas.openxmlformats.org/officeDocument/2006/relationships/hyperlink" Target="http://amazon.in" TargetMode="External"/><Relationship Id="rId2164" Type="http://schemas.openxmlformats.org/officeDocument/2006/relationships/hyperlink" Target="http://amazon.in" TargetMode="External"/><Relationship Id="rId3496" Type="http://schemas.openxmlformats.org/officeDocument/2006/relationships/hyperlink" Target="http://amazon.in" TargetMode="External"/><Relationship Id="rId2165" Type="http://schemas.openxmlformats.org/officeDocument/2006/relationships/hyperlink" Target="http://amazon.in" TargetMode="External"/><Relationship Id="rId3495" Type="http://schemas.openxmlformats.org/officeDocument/2006/relationships/hyperlink" Target="http://amazon.in" TargetMode="External"/><Relationship Id="rId2166" Type="http://schemas.openxmlformats.org/officeDocument/2006/relationships/hyperlink" Target="http://amazon.in" TargetMode="External"/><Relationship Id="rId3498" Type="http://schemas.openxmlformats.org/officeDocument/2006/relationships/hyperlink" Target="http://amazon.in" TargetMode="External"/><Relationship Id="rId2167" Type="http://schemas.openxmlformats.org/officeDocument/2006/relationships/hyperlink" Target="http://amazon.in" TargetMode="External"/><Relationship Id="rId3497" Type="http://schemas.openxmlformats.org/officeDocument/2006/relationships/hyperlink" Target="http://amazon.in" TargetMode="External"/><Relationship Id="rId2168" Type="http://schemas.openxmlformats.org/officeDocument/2006/relationships/hyperlink" Target="http://amazon.in" TargetMode="External"/><Relationship Id="rId2169" Type="http://schemas.openxmlformats.org/officeDocument/2006/relationships/hyperlink" Target="http://amazon.in" TargetMode="External"/><Relationship Id="rId3499" Type="http://schemas.openxmlformats.org/officeDocument/2006/relationships/hyperlink" Target="http://amazon.in" TargetMode="External"/><Relationship Id="rId2159" Type="http://schemas.openxmlformats.org/officeDocument/2006/relationships/hyperlink" Target="http://amazon.in" TargetMode="External"/><Relationship Id="rId3481" Type="http://schemas.openxmlformats.org/officeDocument/2006/relationships/hyperlink" Target="http://amazon.in" TargetMode="External"/><Relationship Id="rId2150" Type="http://schemas.openxmlformats.org/officeDocument/2006/relationships/hyperlink" Target="http://amazon.in" TargetMode="External"/><Relationship Id="rId3480" Type="http://schemas.openxmlformats.org/officeDocument/2006/relationships/hyperlink" Target="http://amazon.in" TargetMode="External"/><Relationship Id="rId2151" Type="http://schemas.openxmlformats.org/officeDocument/2006/relationships/hyperlink" Target="http://amazon.in" TargetMode="External"/><Relationship Id="rId3483" Type="http://schemas.openxmlformats.org/officeDocument/2006/relationships/hyperlink" Target="http://amazon.in" TargetMode="External"/><Relationship Id="rId2152" Type="http://schemas.openxmlformats.org/officeDocument/2006/relationships/hyperlink" Target="http://amazon.in" TargetMode="External"/><Relationship Id="rId3482" Type="http://schemas.openxmlformats.org/officeDocument/2006/relationships/hyperlink" Target="http://amazon.in" TargetMode="External"/><Relationship Id="rId2153" Type="http://schemas.openxmlformats.org/officeDocument/2006/relationships/hyperlink" Target="http://amazon.in" TargetMode="External"/><Relationship Id="rId3485" Type="http://schemas.openxmlformats.org/officeDocument/2006/relationships/hyperlink" Target="http://amazon.in" TargetMode="External"/><Relationship Id="rId2154" Type="http://schemas.openxmlformats.org/officeDocument/2006/relationships/hyperlink" Target="http://amazon.in" TargetMode="External"/><Relationship Id="rId3484" Type="http://schemas.openxmlformats.org/officeDocument/2006/relationships/hyperlink" Target="http://amazon.in" TargetMode="External"/><Relationship Id="rId2155" Type="http://schemas.openxmlformats.org/officeDocument/2006/relationships/hyperlink" Target="http://amazon.in" TargetMode="External"/><Relationship Id="rId3487" Type="http://schemas.openxmlformats.org/officeDocument/2006/relationships/hyperlink" Target="http://amazon.in" TargetMode="External"/><Relationship Id="rId2156" Type="http://schemas.openxmlformats.org/officeDocument/2006/relationships/hyperlink" Target="http://amazon.in" TargetMode="External"/><Relationship Id="rId3486" Type="http://schemas.openxmlformats.org/officeDocument/2006/relationships/hyperlink" Target="http://amazon.in" TargetMode="External"/><Relationship Id="rId2157" Type="http://schemas.openxmlformats.org/officeDocument/2006/relationships/hyperlink" Target="http://amazon.in" TargetMode="External"/><Relationship Id="rId3489" Type="http://schemas.openxmlformats.org/officeDocument/2006/relationships/hyperlink" Target="http://amazon.in" TargetMode="External"/><Relationship Id="rId2158" Type="http://schemas.openxmlformats.org/officeDocument/2006/relationships/hyperlink" Target="http://amazon.in" TargetMode="External"/><Relationship Id="rId3488" Type="http://schemas.openxmlformats.org/officeDocument/2006/relationships/hyperlink" Target="http://amazon.in" TargetMode="External"/><Relationship Id="rId2104" Type="http://schemas.openxmlformats.org/officeDocument/2006/relationships/hyperlink" Target="http://amazon.in" TargetMode="External"/><Relationship Id="rId3436" Type="http://schemas.openxmlformats.org/officeDocument/2006/relationships/hyperlink" Target="http://amazon.in" TargetMode="External"/><Relationship Id="rId4767" Type="http://schemas.openxmlformats.org/officeDocument/2006/relationships/hyperlink" Target="http://amazon.in" TargetMode="External"/><Relationship Id="rId2105" Type="http://schemas.openxmlformats.org/officeDocument/2006/relationships/hyperlink" Target="http://amazon.in" TargetMode="External"/><Relationship Id="rId3435" Type="http://schemas.openxmlformats.org/officeDocument/2006/relationships/hyperlink" Target="http://amazon.in" TargetMode="External"/><Relationship Id="rId4766" Type="http://schemas.openxmlformats.org/officeDocument/2006/relationships/hyperlink" Target="http://amazon.in" TargetMode="External"/><Relationship Id="rId2106" Type="http://schemas.openxmlformats.org/officeDocument/2006/relationships/hyperlink" Target="http://amazon.in" TargetMode="External"/><Relationship Id="rId3438" Type="http://schemas.openxmlformats.org/officeDocument/2006/relationships/hyperlink" Target="http://amazon.in" TargetMode="External"/><Relationship Id="rId4769" Type="http://schemas.openxmlformats.org/officeDocument/2006/relationships/hyperlink" Target="http://amazon.in" TargetMode="External"/><Relationship Id="rId2107" Type="http://schemas.openxmlformats.org/officeDocument/2006/relationships/hyperlink" Target="http://amazon.in" TargetMode="External"/><Relationship Id="rId3437" Type="http://schemas.openxmlformats.org/officeDocument/2006/relationships/hyperlink" Target="http://amazon.in" TargetMode="External"/><Relationship Id="rId4768" Type="http://schemas.openxmlformats.org/officeDocument/2006/relationships/hyperlink" Target="http://amazon.in" TargetMode="External"/><Relationship Id="rId2108" Type="http://schemas.openxmlformats.org/officeDocument/2006/relationships/hyperlink" Target="http://amazon.in" TargetMode="External"/><Relationship Id="rId2109" Type="http://schemas.openxmlformats.org/officeDocument/2006/relationships/hyperlink" Target="http://amazon.in" TargetMode="External"/><Relationship Id="rId3439" Type="http://schemas.openxmlformats.org/officeDocument/2006/relationships/hyperlink" Target="http://amazon.in" TargetMode="External"/><Relationship Id="rId3430" Type="http://schemas.openxmlformats.org/officeDocument/2006/relationships/hyperlink" Target="http://amazon.in" TargetMode="External"/><Relationship Id="rId4761" Type="http://schemas.openxmlformats.org/officeDocument/2006/relationships/hyperlink" Target="http://amazon.in" TargetMode="External"/><Relationship Id="rId4760" Type="http://schemas.openxmlformats.org/officeDocument/2006/relationships/hyperlink" Target="http://amazon.in" TargetMode="External"/><Relationship Id="rId2100" Type="http://schemas.openxmlformats.org/officeDocument/2006/relationships/hyperlink" Target="http://amazon.in" TargetMode="External"/><Relationship Id="rId3432" Type="http://schemas.openxmlformats.org/officeDocument/2006/relationships/hyperlink" Target="http://amazon.in" TargetMode="External"/><Relationship Id="rId4763" Type="http://schemas.openxmlformats.org/officeDocument/2006/relationships/hyperlink" Target="http://amazon.in" TargetMode="External"/><Relationship Id="rId2101" Type="http://schemas.openxmlformats.org/officeDocument/2006/relationships/hyperlink" Target="http://amazon.in" TargetMode="External"/><Relationship Id="rId3431" Type="http://schemas.openxmlformats.org/officeDocument/2006/relationships/hyperlink" Target="http://amazon.in" TargetMode="External"/><Relationship Id="rId4762" Type="http://schemas.openxmlformats.org/officeDocument/2006/relationships/hyperlink" Target="http://amazon.in" TargetMode="External"/><Relationship Id="rId2102" Type="http://schemas.openxmlformats.org/officeDocument/2006/relationships/hyperlink" Target="http://amazon.in" TargetMode="External"/><Relationship Id="rId3434" Type="http://schemas.openxmlformats.org/officeDocument/2006/relationships/hyperlink" Target="http://amazon.in" TargetMode="External"/><Relationship Id="rId4765" Type="http://schemas.openxmlformats.org/officeDocument/2006/relationships/hyperlink" Target="http://amazon.in" TargetMode="External"/><Relationship Id="rId2103" Type="http://schemas.openxmlformats.org/officeDocument/2006/relationships/hyperlink" Target="http://amazon.in" TargetMode="External"/><Relationship Id="rId3433" Type="http://schemas.openxmlformats.org/officeDocument/2006/relationships/hyperlink" Target="http://amazon.in" TargetMode="External"/><Relationship Id="rId4764" Type="http://schemas.openxmlformats.org/officeDocument/2006/relationships/hyperlink" Target="http://amazon.in" TargetMode="External"/><Relationship Id="rId3425" Type="http://schemas.openxmlformats.org/officeDocument/2006/relationships/hyperlink" Target="http://amazon.in" TargetMode="External"/><Relationship Id="rId4756" Type="http://schemas.openxmlformats.org/officeDocument/2006/relationships/hyperlink" Target="http://amazon.in" TargetMode="External"/><Relationship Id="rId3424" Type="http://schemas.openxmlformats.org/officeDocument/2006/relationships/hyperlink" Target="http://amazon.in" TargetMode="External"/><Relationship Id="rId4755" Type="http://schemas.openxmlformats.org/officeDocument/2006/relationships/hyperlink" Target="http://amazon.in" TargetMode="External"/><Relationship Id="rId3427" Type="http://schemas.openxmlformats.org/officeDocument/2006/relationships/hyperlink" Target="http://amazon.in" TargetMode="External"/><Relationship Id="rId4758" Type="http://schemas.openxmlformats.org/officeDocument/2006/relationships/hyperlink" Target="http://amazon.in" TargetMode="External"/><Relationship Id="rId3426" Type="http://schemas.openxmlformats.org/officeDocument/2006/relationships/hyperlink" Target="http://amazon.in" TargetMode="External"/><Relationship Id="rId4757" Type="http://schemas.openxmlformats.org/officeDocument/2006/relationships/hyperlink" Target="http://amazon.in" TargetMode="External"/><Relationship Id="rId3429" Type="http://schemas.openxmlformats.org/officeDocument/2006/relationships/hyperlink" Target="http://amazon.in" TargetMode="External"/><Relationship Id="rId3428" Type="http://schemas.openxmlformats.org/officeDocument/2006/relationships/hyperlink" Target="http://amazon.in" TargetMode="External"/><Relationship Id="rId4759" Type="http://schemas.openxmlformats.org/officeDocument/2006/relationships/hyperlink" Target="http://amazon.in" TargetMode="External"/><Relationship Id="rId899" Type="http://schemas.openxmlformats.org/officeDocument/2006/relationships/hyperlink" Target="http://amazon.in" TargetMode="External"/><Relationship Id="rId898" Type="http://schemas.openxmlformats.org/officeDocument/2006/relationships/hyperlink" Target="http://amazon.in" TargetMode="External"/><Relationship Id="rId897" Type="http://schemas.openxmlformats.org/officeDocument/2006/relationships/hyperlink" Target="http://amazon.in" TargetMode="External"/><Relationship Id="rId896" Type="http://schemas.openxmlformats.org/officeDocument/2006/relationships/hyperlink" Target="http://amazon.in" TargetMode="External"/><Relationship Id="rId891" Type="http://schemas.openxmlformats.org/officeDocument/2006/relationships/hyperlink" Target="http://amazon.in" TargetMode="External"/><Relationship Id="rId890" Type="http://schemas.openxmlformats.org/officeDocument/2006/relationships/hyperlink" Target="http://amazon.in" TargetMode="External"/><Relationship Id="rId4750" Type="http://schemas.openxmlformats.org/officeDocument/2006/relationships/hyperlink" Target="http://amazon.in" TargetMode="External"/><Relationship Id="rId895" Type="http://schemas.openxmlformats.org/officeDocument/2006/relationships/hyperlink" Target="http://amazon.in" TargetMode="External"/><Relationship Id="rId3421" Type="http://schemas.openxmlformats.org/officeDocument/2006/relationships/hyperlink" Target="http://amazon.in" TargetMode="External"/><Relationship Id="rId4752" Type="http://schemas.openxmlformats.org/officeDocument/2006/relationships/hyperlink" Target="http://amazon.in" TargetMode="External"/><Relationship Id="rId894" Type="http://schemas.openxmlformats.org/officeDocument/2006/relationships/hyperlink" Target="http://amazon.in" TargetMode="External"/><Relationship Id="rId3420" Type="http://schemas.openxmlformats.org/officeDocument/2006/relationships/hyperlink" Target="http://amazon.in" TargetMode="External"/><Relationship Id="rId4751" Type="http://schemas.openxmlformats.org/officeDocument/2006/relationships/hyperlink" Target="http://amazon.in" TargetMode="External"/><Relationship Id="rId893" Type="http://schemas.openxmlformats.org/officeDocument/2006/relationships/hyperlink" Target="http://amazon.in" TargetMode="External"/><Relationship Id="rId3423" Type="http://schemas.openxmlformats.org/officeDocument/2006/relationships/hyperlink" Target="http://amazon.in" TargetMode="External"/><Relationship Id="rId4754" Type="http://schemas.openxmlformats.org/officeDocument/2006/relationships/hyperlink" Target="http://amazon.in" TargetMode="External"/><Relationship Id="rId892" Type="http://schemas.openxmlformats.org/officeDocument/2006/relationships/hyperlink" Target="http://amazon.in" TargetMode="External"/><Relationship Id="rId3422" Type="http://schemas.openxmlformats.org/officeDocument/2006/relationships/hyperlink" Target="http://amazon.in" TargetMode="External"/><Relationship Id="rId4753" Type="http://schemas.openxmlformats.org/officeDocument/2006/relationships/hyperlink" Target="http://amazon.in" TargetMode="External"/><Relationship Id="rId2126" Type="http://schemas.openxmlformats.org/officeDocument/2006/relationships/hyperlink" Target="http://amazon.in" TargetMode="External"/><Relationship Id="rId3458" Type="http://schemas.openxmlformats.org/officeDocument/2006/relationships/hyperlink" Target="http://amazon.in" TargetMode="External"/><Relationship Id="rId4789" Type="http://schemas.openxmlformats.org/officeDocument/2006/relationships/hyperlink" Target="http://amazon.in" TargetMode="External"/><Relationship Id="rId2127" Type="http://schemas.openxmlformats.org/officeDocument/2006/relationships/hyperlink" Target="http://amazon.in" TargetMode="External"/><Relationship Id="rId3457" Type="http://schemas.openxmlformats.org/officeDocument/2006/relationships/hyperlink" Target="http://amazon.in" TargetMode="External"/><Relationship Id="rId4788" Type="http://schemas.openxmlformats.org/officeDocument/2006/relationships/hyperlink" Target="http://amazon.in" TargetMode="External"/><Relationship Id="rId2128" Type="http://schemas.openxmlformats.org/officeDocument/2006/relationships/hyperlink" Target="http://amazon.in" TargetMode="External"/><Relationship Id="rId2129" Type="http://schemas.openxmlformats.org/officeDocument/2006/relationships/hyperlink" Target="http://amazon.in" TargetMode="External"/><Relationship Id="rId3459" Type="http://schemas.openxmlformats.org/officeDocument/2006/relationships/hyperlink" Target="http://amazon.in" TargetMode="External"/><Relationship Id="rId3450" Type="http://schemas.openxmlformats.org/officeDocument/2006/relationships/hyperlink" Target="http://amazon.in" TargetMode="External"/><Relationship Id="rId4781" Type="http://schemas.openxmlformats.org/officeDocument/2006/relationships/hyperlink" Target="http://amazon.in" TargetMode="External"/><Relationship Id="rId4780" Type="http://schemas.openxmlformats.org/officeDocument/2006/relationships/hyperlink" Target="http://amazon.in" TargetMode="External"/><Relationship Id="rId2120" Type="http://schemas.openxmlformats.org/officeDocument/2006/relationships/hyperlink" Target="http://amazon.in" TargetMode="External"/><Relationship Id="rId3452" Type="http://schemas.openxmlformats.org/officeDocument/2006/relationships/hyperlink" Target="http://amazon.in" TargetMode="External"/><Relationship Id="rId4783" Type="http://schemas.openxmlformats.org/officeDocument/2006/relationships/hyperlink" Target="http://amazon.in" TargetMode="External"/><Relationship Id="rId2121" Type="http://schemas.openxmlformats.org/officeDocument/2006/relationships/hyperlink" Target="http://amazon.in" TargetMode="External"/><Relationship Id="rId3451" Type="http://schemas.openxmlformats.org/officeDocument/2006/relationships/hyperlink" Target="http://amazon.in" TargetMode="External"/><Relationship Id="rId4782" Type="http://schemas.openxmlformats.org/officeDocument/2006/relationships/hyperlink" Target="http://amazon.in" TargetMode="External"/><Relationship Id="rId2122" Type="http://schemas.openxmlformats.org/officeDocument/2006/relationships/hyperlink" Target="http://amazon.in" TargetMode="External"/><Relationship Id="rId3454" Type="http://schemas.openxmlformats.org/officeDocument/2006/relationships/hyperlink" Target="http://amazon.in" TargetMode="External"/><Relationship Id="rId4785" Type="http://schemas.openxmlformats.org/officeDocument/2006/relationships/hyperlink" Target="http://amazon.in" TargetMode="External"/><Relationship Id="rId2123" Type="http://schemas.openxmlformats.org/officeDocument/2006/relationships/hyperlink" Target="http://amazon.in" TargetMode="External"/><Relationship Id="rId3453" Type="http://schemas.openxmlformats.org/officeDocument/2006/relationships/hyperlink" Target="http://amazon.in" TargetMode="External"/><Relationship Id="rId4784" Type="http://schemas.openxmlformats.org/officeDocument/2006/relationships/hyperlink" Target="http://amazon.in" TargetMode="External"/><Relationship Id="rId2124" Type="http://schemas.openxmlformats.org/officeDocument/2006/relationships/hyperlink" Target="http://amazon.in" TargetMode="External"/><Relationship Id="rId3456" Type="http://schemas.openxmlformats.org/officeDocument/2006/relationships/hyperlink" Target="http://amazon.in" TargetMode="External"/><Relationship Id="rId4787" Type="http://schemas.openxmlformats.org/officeDocument/2006/relationships/hyperlink" Target="http://amazon.in" TargetMode="External"/><Relationship Id="rId2125" Type="http://schemas.openxmlformats.org/officeDocument/2006/relationships/hyperlink" Target="http://amazon.in" TargetMode="External"/><Relationship Id="rId3455" Type="http://schemas.openxmlformats.org/officeDocument/2006/relationships/hyperlink" Target="http://amazon.in" TargetMode="External"/><Relationship Id="rId4786" Type="http://schemas.openxmlformats.org/officeDocument/2006/relationships/hyperlink" Target="http://amazon.in" TargetMode="External"/><Relationship Id="rId2115" Type="http://schemas.openxmlformats.org/officeDocument/2006/relationships/hyperlink" Target="http://amazon.in" TargetMode="External"/><Relationship Id="rId3447" Type="http://schemas.openxmlformats.org/officeDocument/2006/relationships/hyperlink" Target="http://amazon.in" TargetMode="External"/><Relationship Id="rId4778" Type="http://schemas.openxmlformats.org/officeDocument/2006/relationships/hyperlink" Target="http://amazon.in" TargetMode="External"/><Relationship Id="rId2116" Type="http://schemas.openxmlformats.org/officeDocument/2006/relationships/hyperlink" Target="http://amazon.in" TargetMode="External"/><Relationship Id="rId3446" Type="http://schemas.openxmlformats.org/officeDocument/2006/relationships/hyperlink" Target="http://amazon.in" TargetMode="External"/><Relationship Id="rId4777" Type="http://schemas.openxmlformats.org/officeDocument/2006/relationships/hyperlink" Target="http://amazon.in" TargetMode="External"/><Relationship Id="rId2117" Type="http://schemas.openxmlformats.org/officeDocument/2006/relationships/hyperlink" Target="http://amazon.in" TargetMode="External"/><Relationship Id="rId3449" Type="http://schemas.openxmlformats.org/officeDocument/2006/relationships/hyperlink" Target="http://amazon.in" TargetMode="External"/><Relationship Id="rId2118" Type="http://schemas.openxmlformats.org/officeDocument/2006/relationships/hyperlink" Target="http://amazon.in" TargetMode="External"/><Relationship Id="rId3448" Type="http://schemas.openxmlformats.org/officeDocument/2006/relationships/hyperlink" Target="http://amazon.in" TargetMode="External"/><Relationship Id="rId4779" Type="http://schemas.openxmlformats.org/officeDocument/2006/relationships/hyperlink" Target="http://amazon.in" TargetMode="External"/><Relationship Id="rId2119" Type="http://schemas.openxmlformats.org/officeDocument/2006/relationships/hyperlink" Target="http://amazon.in" TargetMode="External"/><Relationship Id="rId4770" Type="http://schemas.openxmlformats.org/officeDocument/2006/relationships/hyperlink" Target="http://amazon.in" TargetMode="External"/><Relationship Id="rId3441" Type="http://schemas.openxmlformats.org/officeDocument/2006/relationships/hyperlink" Target="http://amazon.in" TargetMode="External"/><Relationship Id="rId4772" Type="http://schemas.openxmlformats.org/officeDocument/2006/relationships/hyperlink" Target="http://amazon.in" TargetMode="External"/><Relationship Id="rId2110" Type="http://schemas.openxmlformats.org/officeDocument/2006/relationships/hyperlink" Target="http://amazon.in" TargetMode="External"/><Relationship Id="rId3440" Type="http://schemas.openxmlformats.org/officeDocument/2006/relationships/hyperlink" Target="http://amazon.in" TargetMode="External"/><Relationship Id="rId4771" Type="http://schemas.openxmlformats.org/officeDocument/2006/relationships/hyperlink" Target="http://amazon.in" TargetMode="External"/><Relationship Id="rId2111" Type="http://schemas.openxmlformats.org/officeDocument/2006/relationships/hyperlink" Target="http://amazon.in" TargetMode="External"/><Relationship Id="rId3443" Type="http://schemas.openxmlformats.org/officeDocument/2006/relationships/hyperlink" Target="http://amazon.in" TargetMode="External"/><Relationship Id="rId4774" Type="http://schemas.openxmlformats.org/officeDocument/2006/relationships/hyperlink" Target="http://amazon.in" TargetMode="External"/><Relationship Id="rId2112" Type="http://schemas.openxmlformats.org/officeDocument/2006/relationships/hyperlink" Target="http://amazon.in" TargetMode="External"/><Relationship Id="rId3442" Type="http://schemas.openxmlformats.org/officeDocument/2006/relationships/hyperlink" Target="http://amazon.in" TargetMode="External"/><Relationship Id="rId4773" Type="http://schemas.openxmlformats.org/officeDocument/2006/relationships/hyperlink" Target="http://amazon.in" TargetMode="External"/><Relationship Id="rId2113" Type="http://schemas.openxmlformats.org/officeDocument/2006/relationships/hyperlink" Target="http://amazon.in" TargetMode="External"/><Relationship Id="rId3445" Type="http://schemas.openxmlformats.org/officeDocument/2006/relationships/hyperlink" Target="http://amazon.in" TargetMode="External"/><Relationship Id="rId4776" Type="http://schemas.openxmlformats.org/officeDocument/2006/relationships/hyperlink" Target="http://amazon.in" TargetMode="External"/><Relationship Id="rId2114" Type="http://schemas.openxmlformats.org/officeDocument/2006/relationships/hyperlink" Target="http://amazon.in" TargetMode="External"/><Relationship Id="rId3444" Type="http://schemas.openxmlformats.org/officeDocument/2006/relationships/hyperlink" Target="http://amazon.in" TargetMode="External"/><Relationship Id="rId4775" Type="http://schemas.openxmlformats.org/officeDocument/2006/relationships/hyperlink" Target="http://amazon.in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central.amazon.in/skucentral?mSku=CRM_AP_TAN&amp;ref=myi_skuc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18.71"/>
    <col customWidth="1" min="2" max="2" width="29.14"/>
    <col customWidth="1" min="3" max="3" width="23.14"/>
    <col customWidth="1" min="4" max="4" width="20.0"/>
    <col customWidth="1" min="5" max="5" width="5.86"/>
    <col customWidth="1" min="6" max="6" width="5.0"/>
    <col customWidth="1" min="7" max="8" width="13.86"/>
    <col customWidth="1" min="9" max="9" width="18.71"/>
    <col customWidth="1" min="10" max="10" width="11.29"/>
    <col customWidth="1" min="11" max="11" width="10.86"/>
    <col customWidth="1" min="12" max="12" width="8.71"/>
    <col customWidth="1" min="13" max="13" width="10.14"/>
    <col customWidth="1" min="14" max="14" width="9.0"/>
    <col customWidth="1" min="15" max="15" width="9.71"/>
    <col customWidth="1" min="16" max="16" width="6.86"/>
    <col customWidth="1" min="17" max="17" width="8.43"/>
    <col customWidth="1" min="18" max="21" width="11.57"/>
    <col customWidth="1" min="22" max="22" width="26.57"/>
    <col customWidth="1" min="23" max="23" width="47.43"/>
    <col customWidth="1" min="24" max="24" width="8.86"/>
    <col customWidth="1" min="25" max="25" width="9.0"/>
    <col customWidth="1" min="26" max="27" width="13.43"/>
    <col customWidth="1" min="28" max="28" width="19.14"/>
    <col customWidth="1" min="29" max="29" width="11.57"/>
    <col customWidth="1" min="30" max="30" width="12.86"/>
    <col customWidth="1" min="31" max="31" width="5.29"/>
    <col customWidth="1" min="32" max="32" width="13.29"/>
    <col customWidth="1" min="33" max="33" width="5.86"/>
    <col customWidth="1" min="35" max="35" width="18.14"/>
    <col customWidth="1" min="48" max="48" width="8.71"/>
    <col customWidth="1" min="49" max="49" width="13.14"/>
    <col customWidth="1" min="50" max="53" width="9.14"/>
    <col customWidth="1" min="54" max="54" width="9.57"/>
  </cols>
  <sheetData>
    <row r="1">
      <c r="A1" s="8"/>
      <c r="B1" s="8"/>
      <c r="C1" s="8"/>
      <c r="G1" s="12"/>
      <c r="H1" s="13"/>
      <c r="I1" s="13"/>
      <c r="J1" s="13"/>
      <c r="K1" s="13"/>
      <c r="L1" s="13"/>
      <c r="M1" s="13"/>
      <c r="N1" s="13"/>
      <c r="O1" s="13"/>
      <c r="P1" s="13"/>
      <c r="Q1" s="17"/>
      <c r="R1" s="18"/>
      <c r="S1" s="18"/>
      <c r="T1" s="18"/>
      <c r="U1" s="18"/>
      <c r="V1" s="19"/>
      <c r="W1" s="20" t="s">
        <v>26</v>
      </c>
      <c r="X1" s="21" t="s">
        <v>28</v>
      </c>
      <c r="Z1" s="22"/>
      <c r="AA1" s="22"/>
      <c r="AB1" s="22"/>
      <c r="AC1" s="24" t="s">
        <v>32</v>
      </c>
      <c r="AD1" s="25"/>
      <c r="AE1" s="6"/>
      <c r="AF1" s="27" t="s">
        <v>36</v>
      </c>
      <c r="AH1" s="26"/>
      <c r="AI1" s="26"/>
      <c r="AW1" s="29"/>
      <c r="AX1" s="29"/>
      <c r="AY1" s="29"/>
      <c r="AZ1" s="30"/>
      <c r="BA1" s="29"/>
      <c r="BB1" s="29"/>
    </row>
    <row r="2">
      <c r="A2" s="8"/>
      <c r="B2" s="8"/>
      <c r="C2" s="8"/>
      <c r="G2" s="12"/>
      <c r="H2" s="13"/>
      <c r="I2" s="13"/>
      <c r="J2" s="13"/>
      <c r="K2" s="13"/>
      <c r="L2" s="13"/>
      <c r="M2" s="13"/>
      <c r="N2" s="13"/>
      <c r="O2" s="13"/>
      <c r="P2" s="13"/>
      <c r="Q2" s="17"/>
      <c r="R2" s="18"/>
      <c r="S2" s="18"/>
      <c r="T2" s="18"/>
      <c r="U2" s="18"/>
      <c r="V2" s="19"/>
      <c r="W2" s="20">
        <v>30.0</v>
      </c>
      <c r="X2" s="21">
        <v>40.0</v>
      </c>
      <c r="Z2" s="22"/>
      <c r="AA2" s="22"/>
      <c r="AB2" s="22"/>
      <c r="AC2" s="24">
        <v>2.0</v>
      </c>
      <c r="AD2" s="25"/>
      <c r="AE2" s="6"/>
      <c r="AF2" s="37">
        <f>SUM(AF4:AF833)</f>
        <v>3148</v>
      </c>
      <c r="AH2" s="26"/>
      <c r="AI2" s="26"/>
      <c r="AW2" s="29"/>
      <c r="AX2" s="29"/>
      <c r="AY2" s="29"/>
      <c r="AZ2" s="30"/>
      <c r="BA2" s="29"/>
      <c r="BB2" s="29"/>
    </row>
    <row r="3" ht="24.0" customHeight="1">
      <c r="A3" s="41" t="s">
        <v>63</v>
      </c>
      <c r="B3" s="41" t="s">
        <v>59</v>
      </c>
      <c r="C3" s="43" t="s">
        <v>69</v>
      </c>
      <c r="D3" s="41" t="s">
        <v>73</v>
      </c>
      <c r="E3" s="44" t="s">
        <v>76</v>
      </c>
      <c r="F3" s="44" t="s">
        <v>80</v>
      </c>
      <c r="G3" s="46" t="s">
        <v>81</v>
      </c>
      <c r="H3" s="47" t="s">
        <v>84</v>
      </c>
      <c r="I3" s="48" t="s">
        <v>87</v>
      </c>
      <c r="J3" s="49" t="s">
        <v>89</v>
      </c>
      <c r="K3" s="50" t="s">
        <v>91</v>
      </c>
      <c r="L3" s="52" t="s">
        <v>93</v>
      </c>
      <c r="M3" s="53" t="s">
        <v>95</v>
      </c>
      <c r="N3" s="55" t="s">
        <v>97</v>
      </c>
      <c r="O3" s="57" t="s">
        <v>101</v>
      </c>
      <c r="P3" s="58" t="s">
        <v>103</v>
      </c>
      <c r="Q3" s="59" t="s">
        <v>105</v>
      </c>
      <c r="R3" s="58"/>
      <c r="S3" s="58" t="s">
        <v>107</v>
      </c>
      <c r="T3" s="58" t="s">
        <v>108</v>
      </c>
      <c r="U3" s="58" t="s">
        <v>109</v>
      </c>
      <c r="V3" s="60" t="s">
        <v>59</v>
      </c>
      <c r="W3" s="60" t="s">
        <v>69</v>
      </c>
      <c r="X3" s="61" t="s">
        <v>112</v>
      </c>
      <c r="Y3" s="44" t="s">
        <v>114</v>
      </c>
      <c r="Z3" s="62" t="s">
        <v>65</v>
      </c>
      <c r="AA3" s="62" t="s">
        <v>116</v>
      </c>
      <c r="AB3" s="44" t="s">
        <v>118</v>
      </c>
      <c r="AC3" s="44" t="s">
        <v>119</v>
      </c>
      <c r="AD3" s="62" t="s">
        <v>121</v>
      </c>
      <c r="AE3" s="62" t="s">
        <v>122</v>
      </c>
      <c r="AF3" s="63" t="s">
        <v>124</v>
      </c>
      <c r="AN3" s="64"/>
      <c r="AO3" s="64"/>
      <c r="AP3" s="64"/>
      <c r="AQ3" s="64"/>
      <c r="AR3" s="64"/>
      <c r="AS3" s="64"/>
      <c r="AT3" s="64"/>
      <c r="AU3" s="64"/>
      <c r="AV3" s="44"/>
      <c r="AW3" s="58"/>
      <c r="AX3" s="58"/>
      <c r="AY3" s="58"/>
      <c r="AZ3" s="65"/>
      <c r="BA3" s="58"/>
      <c r="BB3" s="58"/>
    </row>
    <row r="4">
      <c r="A4" s="66" t="s">
        <v>95</v>
      </c>
      <c r="B4" s="1" t="s">
        <v>0</v>
      </c>
      <c r="C4" s="67" t="s">
        <v>135</v>
      </c>
      <c r="D4" s="68" t="s">
        <v>137</v>
      </c>
      <c r="E4" s="69" t="str">
        <f t="shared" ref="E4:E822" si="2">IF(ISNUMBER(AD4),IF(AD4&gt;=0,IF(AD4=0,1,INT(AD4/$AC$2)),""),"")</f>
        <v/>
      </c>
      <c r="F4" s="69" t="str">
        <f t="shared" ref="F4:F822" si="3">IF(E4="","",IF(AD4=0,0,AD4/$AC$2-E4))</f>
        <v/>
      </c>
      <c r="G4" s="70" t="str">
        <f t="shared" ref="G4:G327" si="4">IF(ISERROR(SEARCH("Apron",D4)),AF4,"")</f>
        <v/>
      </c>
      <c r="H4" s="71"/>
      <c r="I4" s="72"/>
      <c r="J4" s="73"/>
      <c r="K4" s="74"/>
      <c r="L4" s="75"/>
      <c r="M4" s="76" t="str">
        <f t="shared" ref="M4:M12" si="5">IF(ISNUMBER($AF4),1*$AF4,"")</f>
        <v/>
      </c>
      <c r="N4" s="77"/>
      <c r="O4" s="78"/>
      <c r="P4" s="79">
        <f t="array" ref="P4">XLOOKUP(B4,Weight!B:B,Weight!D:D,"#N/A",0)</f>
        <v>140</v>
      </c>
      <c r="Q4" s="80" t="str">
        <f t="shared" ref="Q4:Q822" si="6">IF(AF4="","",AF4*P4)</f>
        <v/>
      </c>
      <c r="R4" s="81"/>
      <c r="S4" s="82">
        <v>392620.0</v>
      </c>
      <c r="T4" s="82">
        <v>12.0</v>
      </c>
      <c r="U4" s="83">
        <v>60.0</v>
      </c>
      <c r="V4" s="84" t="str">
        <f t="shared" ref="V4:W4" si="1">B4</f>
        <v>Apron_Black</v>
      </c>
      <c r="W4" s="85" t="str">
        <f t="shared" si="1"/>
        <v>CRASOME Polyester Kitchen Apron for Men Women Chef Cooking Restaurants gardening workshop barbers With Pockets and Adjustable Strap ( Black )</v>
      </c>
      <c r="X4" s="86">
        <f>SUMIFS('Transit Shipment'!$B$10:$B$1048462,'Transit Shipment'!$A$10:$A$1048462,B4,'Transit Shipment'!$C$10:$C$1048462,AA4)</f>
        <v>0</v>
      </c>
      <c r="Y4" s="86">
        <f>IF(SUMIFS(DIH!$S$2:$S833,DIH!$D$2:$D833,B4,DIH!$U$2:$U833,AA4)&gt;0,SUMIFS(DIH!$S$2:$S833,DIH!$D$2:$D833,B4,DIH!$U$2:$U833,AA4),0)</f>
        <v>2</v>
      </c>
      <c r="Z4" s="87">
        <f t="shared" ref="Z4:Z822" si="7">SUM(X4:Y4)</f>
        <v>2</v>
      </c>
      <c r="AA4" s="88" t="s">
        <v>5</v>
      </c>
      <c r="AB4" s="89">
        <f>IF(ISNA(VLOOKUP($B4,'Business Report'!$D$2:$J$202,2,0)),"",VLOOKUP($B4,'Business Report'!$D$2:$J$202,2,0))</f>
        <v>117</v>
      </c>
      <c r="AC4" s="90">
        <f>SUMIFS(AFS!$P$2:$P$6260,AFS!$N$2:$N$6260,B4,AFS!$AT$2:$AT$6260,AA4)</f>
        <v>0</v>
      </c>
      <c r="AD4" s="91">
        <f t="shared" ref="AD4:AD822" si="8">CEILING(AC4/$W$2*$X$2,1)-sum(X4:Y4)</f>
        <v>-2</v>
      </c>
      <c r="AE4" s="92"/>
      <c r="AF4" s="93" t="str">
        <f t="shared" ref="AF4:AF822" si="9">IF(ISNUMBER(AD4),IF(AD4&lt;=0,"",IF(F4="","",E4*$AC$2+IF(F4&gt;0,$AC$2,0))))</f>
        <v/>
      </c>
    </row>
    <row r="5">
      <c r="A5" s="94" t="s">
        <v>95</v>
      </c>
      <c r="B5" s="3" t="s">
        <v>0</v>
      </c>
      <c r="C5" s="95" t="s">
        <v>135</v>
      </c>
      <c r="D5" s="96" t="s">
        <v>137</v>
      </c>
      <c r="E5" s="97">
        <f t="shared" si="2"/>
        <v>0</v>
      </c>
      <c r="F5" s="97">
        <f t="shared" si="3"/>
        <v>0.5</v>
      </c>
      <c r="G5" s="99" t="str">
        <f t="shared" si="4"/>
        <v/>
      </c>
      <c r="H5" s="100"/>
      <c r="I5" s="101"/>
      <c r="J5" s="102"/>
      <c r="K5" s="103"/>
      <c r="L5" s="97"/>
      <c r="M5" s="104">
        <f t="shared" si="5"/>
        <v>2</v>
      </c>
      <c r="N5" s="105"/>
      <c r="O5" s="106"/>
      <c r="P5" s="13">
        <f t="array" ref="P5">XLOOKUP(B5,Weight!B:B,Weight!D:D,"#N/A",0)</f>
        <v>140</v>
      </c>
      <c r="Q5" s="17">
        <f t="shared" si="6"/>
        <v>280</v>
      </c>
      <c r="R5" s="107"/>
      <c r="S5" s="108">
        <v>392620.0</v>
      </c>
      <c r="T5" s="108">
        <v>12.0</v>
      </c>
      <c r="U5" s="109">
        <v>60.0</v>
      </c>
      <c r="V5" s="110"/>
      <c r="X5" s="111">
        <f>SUMIFS('Transit Shipment'!$B$10:$B$1048462,'Transit Shipment'!$A$10:$A$1048462,B5,'Transit Shipment'!$C$10:$C$1048462,AA5)</f>
        <v>0</v>
      </c>
      <c r="Y5" s="111">
        <f>IF(SUMIFS(DIH!$S$2:$S833,DIH!$D$2:$D833,B5,DIH!$U$2:$U833,AA5)&gt;0,SUMIFS(DIH!$S$2:$S833,DIH!$D$2:$D833,B5,DIH!$U$2:$U833,AA5),0)</f>
        <v>7</v>
      </c>
      <c r="Z5" s="112">
        <f t="shared" si="7"/>
        <v>7</v>
      </c>
      <c r="AA5" s="113" t="s">
        <v>11</v>
      </c>
      <c r="AB5" s="114">
        <f>IF(ISNA(VLOOKUP($B5,'Business Report'!$D$2:$J$202,2,0)),"",VLOOKUP($B5,'Business Report'!$D$2:$J$202,2,0))</f>
        <v>117</v>
      </c>
      <c r="AC5" s="115">
        <f>SUMIFS(AFS!$P$2:$P$6260,AFS!$N$2:$N$6260,B5,AFS!$AT$2:$AT$6260,AA5)</f>
        <v>6</v>
      </c>
      <c r="AD5" s="116">
        <f t="shared" si="8"/>
        <v>1</v>
      </c>
      <c r="AE5" s="117"/>
      <c r="AF5" s="118">
        <f t="shared" si="9"/>
        <v>2</v>
      </c>
      <c r="AG5" s="26"/>
      <c r="AH5" s="26"/>
      <c r="AI5" s="26"/>
    </row>
    <row r="6">
      <c r="A6" s="94" t="s">
        <v>95</v>
      </c>
      <c r="B6" s="3" t="s">
        <v>0</v>
      </c>
      <c r="C6" s="95" t="s">
        <v>135</v>
      </c>
      <c r="D6" s="96" t="s">
        <v>137</v>
      </c>
      <c r="E6" s="97">
        <f t="shared" si="2"/>
        <v>2</v>
      </c>
      <c r="F6" s="97">
        <f t="shared" si="3"/>
        <v>0.5</v>
      </c>
      <c r="G6" s="99" t="str">
        <f t="shared" si="4"/>
        <v/>
      </c>
      <c r="H6" s="100"/>
      <c r="I6" s="101"/>
      <c r="J6" s="102"/>
      <c r="K6" s="103"/>
      <c r="L6" s="97"/>
      <c r="M6" s="104">
        <f t="shared" si="5"/>
        <v>6</v>
      </c>
      <c r="N6" s="105"/>
      <c r="O6" s="106"/>
      <c r="P6" s="13">
        <f t="array" ref="P6">XLOOKUP(B6,Weight!B:B,Weight!D:D,"#N/A",0)</f>
        <v>140</v>
      </c>
      <c r="Q6" s="17">
        <f t="shared" si="6"/>
        <v>840</v>
      </c>
      <c r="R6" s="107"/>
      <c r="S6" s="108">
        <v>392620.0</v>
      </c>
      <c r="T6" s="108">
        <v>12.0</v>
      </c>
      <c r="U6" s="109">
        <v>60.0</v>
      </c>
      <c r="V6" s="110"/>
      <c r="X6" s="111">
        <f>SUMIFS('Transit Shipment'!$B$10:$B$1048462,'Transit Shipment'!$A$10:$A$1048462,B6,'Transit Shipment'!$C$10:$C$1048462,AA6)</f>
        <v>0</v>
      </c>
      <c r="Y6" s="111">
        <f>IF(SUMIFS(DIH!$S$2:$S833,DIH!$D$2:$D833,B6,DIH!$U$2:$U833,AA6)&gt;0,SUMIFS(DIH!$S$2:$S833,DIH!$D$2:$D833,B6,DIH!$U$2:$U833,AA6),0)</f>
        <v>2</v>
      </c>
      <c r="Z6" s="112">
        <f t="shared" si="7"/>
        <v>2</v>
      </c>
      <c r="AA6" s="119" t="s">
        <v>9</v>
      </c>
      <c r="AB6" s="114">
        <f>IF(ISNA(VLOOKUP($B6,'Business Report'!$D$2:$J$202,2,0)),"",VLOOKUP($B6,'Business Report'!$D$2:$J$202,2,0))</f>
        <v>117</v>
      </c>
      <c r="AC6" s="115">
        <f>SUMIFS(AFS!$P$2:$P$6260,AFS!$N$2:$N$6260,B6,AFS!$AT$2:$AT$6260,AA6)</f>
        <v>5</v>
      </c>
      <c r="AD6" s="116">
        <f t="shared" si="8"/>
        <v>5</v>
      </c>
      <c r="AE6" s="117"/>
      <c r="AF6" s="118">
        <f t="shared" si="9"/>
        <v>6</v>
      </c>
      <c r="AG6" s="26"/>
      <c r="AH6" s="26"/>
      <c r="AI6" s="26"/>
    </row>
    <row r="7">
      <c r="A7" s="120" t="s">
        <v>95</v>
      </c>
      <c r="B7" s="7" t="s">
        <v>0</v>
      </c>
      <c r="C7" s="95" t="s">
        <v>135</v>
      </c>
      <c r="D7" s="109" t="s">
        <v>137</v>
      </c>
      <c r="E7" s="97">
        <f t="shared" si="2"/>
        <v>0</v>
      </c>
      <c r="F7" s="97">
        <f t="shared" si="3"/>
        <v>0.5</v>
      </c>
      <c r="G7" s="99" t="str">
        <f t="shared" si="4"/>
        <v/>
      </c>
      <c r="H7" s="121"/>
      <c r="I7" s="122"/>
      <c r="J7" s="123"/>
      <c r="K7" s="124"/>
      <c r="L7" s="125"/>
      <c r="M7" s="104">
        <f t="shared" si="5"/>
        <v>2</v>
      </c>
      <c r="N7" s="126"/>
      <c r="O7" s="127"/>
      <c r="P7" s="13">
        <f t="array" ref="P7">XLOOKUP(B7,Weight!B:B,Weight!D:D,"#N/A",0)</f>
        <v>140</v>
      </c>
      <c r="Q7" s="17">
        <f t="shared" si="6"/>
        <v>280</v>
      </c>
      <c r="R7" s="107"/>
      <c r="S7" s="108">
        <v>392620.0</v>
      </c>
      <c r="T7" s="108">
        <v>12.0</v>
      </c>
      <c r="U7" s="109">
        <v>60.0</v>
      </c>
      <c r="V7" s="110"/>
      <c r="X7" s="111">
        <f>SUMIFS('Transit Shipment'!$B$10:$B$1048462,'Transit Shipment'!$A$10:$A$1048462,B7,'Transit Shipment'!$C$10:$C$1048462,AA7)</f>
        <v>0</v>
      </c>
      <c r="Y7" s="111">
        <f>IF(SUMIFS(DIH!$S$2:$S833,DIH!$D$2:$D833,B7,DIH!$U$2:$U833,AA7)&gt;0,SUMIFS(DIH!$S$2:$S833,DIH!$D$2:$D833,B7,DIH!$U$2:$U833,AA7),0)</f>
        <v>1</v>
      </c>
      <c r="Z7" s="112">
        <f t="shared" si="7"/>
        <v>1</v>
      </c>
      <c r="AA7" s="119" t="s">
        <v>155</v>
      </c>
      <c r="AB7" s="114">
        <f>IF(ISNA(VLOOKUP($B7,'Business Report'!$D$2:$J$202,2,0)),"",VLOOKUP($B7,'Business Report'!$D$2:$J$202,2,0))</f>
        <v>117</v>
      </c>
      <c r="AC7" s="115">
        <f>SUMIFS(AFS!$P$2:$P$6260,AFS!$N$2:$N$6260,B7,AFS!$AT$2:$AT$6260,AA7)</f>
        <v>1</v>
      </c>
      <c r="AD7" s="116">
        <f t="shared" si="8"/>
        <v>1</v>
      </c>
      <c r="AE7" s="117"/>
      <c r="AF7" s="118">
        <f t="shared" si="9"/>
        <v>2</v>
      </c>
      <c r="AG7" s="26"/>
      <c r="AH7" s="26"/>
      <c r="AI7" s="26"/>
    </row>
    <row r="8">
      <c r="A8" s="120" t="s">
        <v>95</v>
      </c>
      <c r="B8" s="7" t="s">
        <v>0</v>
      </c>
      <c r="C8" s="95" t="s">
        <v>135</v>
      </c>
      <c r="D8" s="109" t="s">
        <v>137</v>
      </c>
      <c r="E8" s="97">
        <f t="shared" si="2"/>
        <v>1</v>
      </c>
      <c r="F8" s="97">
        <f t="shared" si="3"/>
        <v>0.5</v>
      </c>
      <c r="G8" s="99" t="str">
        <f t="shared" si="4"/>
        <v/>
      </c>
      <c r="H8" s="121"/>
      <c r="I8" s="122"/>
      <c r="J8" s="123"/>
      <c r="K8" s="124"/>
      <c r="L8" s="125"/>
      <c r="M8" s="104">
        <f t="shared" si="5"/>
        <v>4</v>
      </c>
      <c r="N8" s="126"/>
      <c r="O8" s="127"/>
      <c r="P8" s="13">
        <f t="array" ref="P8">XLOOKUP(B8,Weight!B:B,Weight!D:D,"#N/A",0)</f>
        <v>140</v>
      </c>
      <c r="Q8" s="17">
        <f t="shared" si="6"/>
        <v>560</v>
      </c>
      <c r="R8" s="107"/>
      <c r="S8" s="108">
        <v>392620.0</v>
      </c>
      <c r="T8" s="108">
        <v>12.0</v>
      </c>
      <c r="U8" s="109">
        <v>60.0</v>
      </c>
      <c r="V8" s="110"/>
      <c r="X8" s="111">
        <f>SUMIFS('Transit Shipment'!$B$10:$B$1048462,'Transit Shipment'!$A$10:$A$1048462,B8,'Transit Shipment'!$C$10:$C$1048462,AA8)</f>
        <v>0</v>
      </c>
      <c r="Y8" s="111">
        <f>IF(SUMIFS(DIH!$S$2:$S833,DIH!$D$2:$D833,B8,DIH!$U$2:$U833,AA8)&gt;0,SUMIFS(DIH!$S$2:$S833,DIH!$D$2:$D833,B8,DIH!$U$2:$U833,AA8),0)</f>
        <v>1</v>
      </c>
      <c r="Z8" s="112">
        <f t="shared" si="7"/>
        <v>1</v>
      </c>
      <c r="AA8" s="119" t="s">
        <v>156</v>
      </c>
      <c r="AB8" s="114">
        <f>IF(ISNA(VLOOKUP($B8,'Business Report'!$D$2:$J$202,2,0)),"",VLOOKUP($B8,'Business Report'!$D$2:$J$202,2,0))</f>
        <v>117</v>
      </c>
      <c r="AC8" s="115">
        <f>SUMIFS(AFS!$P$2:$P$6260,AFS!$N$2:$N$6260,B8,AFS!$AT$2:$AT$6260,AA8)</f>
        <v>3</v>
      </c>
      <c r="AD8" s="116">
        <f t="shared" si="8"/>
        <v>3</v>
      </c>
      <c r="AE8" s="117"/>
      <c r="AF8" s="118">
        <f t="shared" si="9"/>
        <v>4</v>
      </c>
      <c r="AG8" s="26"/>
      <c r="AH8" s="26"/>
      <c r="AI8" s="26"/>
    </row>
    <row r="9">
      <c r="A9" s="120" t="s">
        <v>95</v>
      </c>
      <c r="B9" s="7" t="s">
        <v>0</v>
      </c>
      <c r="C9" s="95" t="s">
        <v>135</v>
      </c>
      <c r="D9" s="109" t="s">
        <v>137</v>
      </c>
      <c r="E9" s="97">
        <f t="shared" si="2"/>
        <v>2</v>
      </c>
      <c r="F9" s="97">
        <f t="shared" si="3"/>
        <v>0.5</v>
      </c>
      <c r="G9" s="99" t="str">
        <f t="shared" si="4"/>
        <v/>
      </c>
      <c r="H9" s="121"/>
      <c r="I9" s="122"/>
      <c r="J9" s="123"/>
      <c r="K9" s="124"/>
      <c r="L9" s="125"/>
      <c r="M9" s="104">
        <f t="shared" si="5"/>
        <v>6</v>
      </c>
      <c r="N9" s="126"/>
      <c r="O9" s="127"/>
      <c r="P9" s="13">
        <f t="array" ref="P9">XLOOKUP(B9,Weight!B:B,Weight!D:D,"#N/A",0)</f>
        <v>140</v>
      </c>
      <c r="Q9" s="17">
        <f t="shared" si="6"/>
        <v>840</v>
      </c>
      <c r="R9" s="107"/>
      <c r="S9" s="108">
        <v>392620.0</v>
      </c>
      <c r="T9" s="108">
        <v>12.0</v>
      </c>
      <c r="U9" s="109">
        <v>60.0</v>
      </c>
      <c r="V9" s="110"/>
      <c r="X9" s="111">
        <f>SUMIFS('Transit Shipment'!$B$10:$B$1048462,'Transit Shipment'!$A$10:$A$1048462,B9,'Transit Shipment'!$C$10:$C$1048462,AA9)</f>
        <v>0</v>
      </c>
      <c r="Y9" s="111">
        <f>IF(SUMIFS(DIH!$S$2:$S833,DIH!$D$2:$D833,B9,DIH!$U$2:$U833,AA9)&gt;0,SUMIFS(DIH!$S$2:$S833,DIH!$D$2:$D833,B9,DIH!$U$2:$U833,AA9),0)</f>
        <v>1</v>
      </c>
      <c r="Z9" s="112">
        <f t="shared" si="7"/>
        <v>1</v>
      </c>
      <c r="AA9" s="130" t="s">
        <v>13</v>
      </c>
      <c r="AB9" s="114">
        <f>IF(ISNA(VLOOKUP($B9,'Business Report'!$D$2:$J$202,2,0)),"",VLOOKUP($B9,'Business Report'!$D$2:$J$202,2,0))</f>
        <v>117</v>
      </c>
      <c r="AC9" s="115">
        <f>SUMIFS(AFS!$P$2:$P$6260,AFS!$N$2:$N$6260,B9,AFS!$AT$2:$AT$6260,AA9)</f>
        <v>4</v>
      </c>
      <c r="AD9" s="116">
        <f t="shared" si="8"/>
        <v>5</v>
      </c>
      <c r="AE9" s="117"/>
      <c r="AF9" s="118">
        <f t="shared" si="9"/>
        <v>6</v>
      </c>
      <c r="AG9" s="26"/>
      <c r="AH9" s="26"/>
      <c r="AI9" s="26"/>
    </row>
    <row r="10">
      <c r="A10" s="120" t="s">
        <v>95</v>
      </c>
      <c r="B10" s="7" t="s">
        <v>0</v>
      </c>
      <c r="C10" s="95" t="s">
        <v>135</v>
      </c>
      <c r="D10" s="109" t="s">
        <v>137</v>
      </c>
      <c r="E10" s="97" t="str">
        <f t="shared" si="2"/>
        <v/>
      </c>
      <c r="F10" s="97" t="str">
        <f t="shared" si="3"/>
        <v/>
      </c>
      <c r="G10" s="99" t="str">
        <f t="shared" si="4"/>
        <v/>
      </c>
      <c r="H10" s="121"/>
      <c r="I10" s="122"/>
      <c r="J10" s="123"/>
      <c r="K10" s="124"/>
      <c r="L10" s="125"/>
      <c r="M10" s="104" t="str">
        <f t="shared" si="5"/>
        <v/>
      </c>
      <c r="N10" s="126"/>
      <c r="O10" s="127"/>
      <c r="P10" s="13">
        <f t="array" ref="P10">XLOOKUP(B10,Weight!B:B,Weight!D:D,"#N/A",0)</f>
        <v>140</v>
      </c>
      <c r="Q10" s="17" t="str">
        <f t="shared" si="6"/>
        <v/>
      </c>
      <c r="R10" s="107"/>
      <c r="S10" s="108">
        <v>392620.0</v>
      </c>
      <c r="T10" s="108">
        <v>12.0</v>
      </c>
      <c r="U10" s="109">
        <v>60.0</v>
      </c>
      <c r="V10" s="110"/>
      <c r="X10" s="111">
        <f>SUMIFS('Transit Shipment'!$B$10:$B$1048462,'Transit Shipment'!$A$10:$A$1048462,B10,'Transit Shipment'!$C$10:$C$1048462,AA10)</f>
        <v>0</v>
      </c>
      <c r="Y10" s="111">
        <f>IF(SUMIFS(DIH!$S$2:$S833,DIH!$D$2:$D833,B10,DIH!$U$2:$U833,AA10)&gt;0,SUMIFS(DIH!$S$2:$S833,DIH!$D$2:$D833,B10,DIH!$U$2:$U833,AA10),0)</f>
        <v>4</v>
      </c>
      <c r="Z10" s="112">
        <f t="shared" si="7"/>
        <v>4</v>
      </c>
      <c r="AA10" s="119" t="s">
        <v>14</v>
      </c>
      <c r="AB10" s="114">
        <f>IF(ISNA(VLOOKUP($B10,'Business Report'!$D$2:$J$202,2,0)),"",VLOOKUP($B10,'Business Report'!$D$2:$J$202,2,0))</f>
        <v>117</v>
      </c>
      <c r="AC10" s="115">
        <f>SUMIFS(AFS!$P$2:$P$6260,AFS!$N$2:$N$6260,B10,AFS!$AT$2:$AT$6260,AA10)</f>
        <v>2</v>
      </c>
      <c r="AD10" s="116">
        <f t="shared" si="8"/>
        <v>-1</v>
      </c>
      <c r="AE10" s="117"/>
      <c r="AF10" s="118" t="str">
        <f t="shared" si="9"/>
        <v/>
      </c>
      <c r="AG10" s="26"/>
      <c r="AH10" s="26"/>
      <c r="AI10" s="26"/>
    </row>
    <row r="11">
      <c r="A11" s="120" t="s">
        <v>95</v>
      </c>
      <c r="B11" s="7" t="s">
        <v>0</v>
      </c>
      <c r="C11" s="95" t="s">
        <v>135</v>
      </c>
      <c r="D11" s="109" t="s">
        <v>137</v>
      </c>
      <c r="E11" s="97">
        <f t="shared" si="2"/>
        <v>3</v>
      </c>
      <c r="F11" s="97">
        <f t="shared" si="3"/>
        <v>0.5</v>
      </c>
      <c r="G11" s="99" t="str">
        <f t="shared" si="4"/>
        <v/>
      </c>
      <c r="H11" s="121"/>
      <c r="I11" s="122"/>
      <c r="J11" s="123"/>
      <c r="K11" s="124"/>
      <c r="L11" s="125"/>
      <c r="M11" s="104">
        <f t="shared" si="5"/>
        <v>8</v>
      </c>
      <c r="N11" s="126"/>
      <c r="O11" s="127"/>
      <c r="P11" s="13">
        <f t="array" ref="P11">XLOOKUP(B11,Weight!B:B,Weight!D:D,"#N/A",0)</f>
        <v>140</v>
      </c>
      <c r="Q11" s="17">
        <f t="shared" si="6"/>
        <v>1120</v>
      </c>
      <c r="R11" s="107"/>
      <c r="S11" s="108">
        <v>392620.0</v>
      </c>
      <c r="T11" s="108">
        <v>12.0</v>
      </c>
      <c r="U11" s="109">
        <v>60.0</v>
      </c>
      <c r="V11" s="110"/>
      <c r="X11" s="111">
        <f>SUMIFS('Transit Shipment'!$B$10:$B$1048462,'Transit Shipment'!$A$10:$A$1048462,B11,'Transit Shipment'!$C$10:$C$1048462,AA11)</f>
        <v>0</v>
      </c>
      <c r="Y11" s="111">
        <f>IF(SUMIFS(DIH!$S$2:$S833,DIH!$D$2:$D833,B11,DIH!$U$2:$U833,AA11)&gt;0,SUMIFS(DIH!$S$2:$S833,DIH!$D$2:$D833,B11,DIH!$U$2:$U833,AA11),0)</f>
        <v>5</v>
      </c>
      <c r="Z11" s="112">
        <f t="shared" si="7"/>
        <v>5</v>
      </c>
      <c r="AA11" s="131" t="s">
        <v>16</v>
      </c>
      <c r="AB11" s="114">
        <f>IF(ISNA(VLOOKUP($B11,'Business Report'!$D$2:$J$202,2,0)),"",VLOOKUP($B11,'Business Report'!$D$2:$J$202,2,0))</f>
        <v>117</v>
      </c>
      <c r="AC11" s="115">
        <f>SUMIFS(AFS!$P$2:$P$6260,AFS!$N$2:$N$6260,B11,AFS!$AT$2:$AT$6260,AA11)</f>
        <v>9</v>
      </c>
      <c r="AD11" s="116">
        <f t="shared" si="8"/>
        <v>7</v>
      </c>
      <c r="AE11" s="117"/>
      <c r="AF11" s="118">
        <f t="shared" si="9"/>
        <v>8</v>
      </c>
      <c r="AG11" s="26"/>
      <c r="AH11" s="26"/>
      <c r="AI11" s="26"/>
    </row>
    <row r="12">
      <c r="A12" s="132" t="s">
        <v>95</v>
      </c>
      <c r="B12" s="15" t="s">
        <v>0</v>
      </c>
      <c r="C12" s="133" t="s">
        <v>135</v>
      </c>
      <c r="D12" s="134" t="s">
        <v>137</v>
      </c>
      <c r="E12" s="135">
        <f t="shared" si="2"/>
        <v>1</v>
      </c>
      <c r="F12" s="135">
        <f t="shared" si="3"/>
        <v>0</v>
      </c>
      <c r="G12" s="136" t="str">
        <f t="shared" si="4"/>
        <v/>
      </c>
      <c r="H12" s="137"/>
      <c r="I12" s="138"/>
      <c r="J12" s="139"/>
      <c r="K12" s="140"/>
      <c r="L12" s="135"/>
      <c r="M12" s="141" t="str">
        <f t="shared" si="5"/>
        <v/>
      </c>
      <c r="N12" s="142"/>
      <c r="O12" s="143"/>
      <c r="P12" s="144">
        <f t="array" ref="P12">XLOOKUP(B12,Weight!B:B,Weight!D:D,"#N/A",0)</f>
        <v>140</v>
      </c>
      <c r="Q12" s="145" t="str">
        <f t="shared" si="6"/>
        <v/>
      </c>
      <c r="R12" s="146"/>
      <c r="S12" s="147">
        <v>392620.0</v>
      </c>
      <c r="T12" s="147">
        <v>12.0</v>
      </c>
      <c r="U12" s="109">
        <v>60.0</v>
      </c>
      <c r="V12" s="148"/>
      <c r="W12" s="149"/>
      <c r="X12" s="150">
        <f>SUMIFS('Transit Shipment'!$B$10:$B$1048462,'Transit Shipment'!$A$10:$A$1048462,B12,'Transit Shipment'!$C$10:$C$1048462,AA12)</f>
        <v>0</v>
      </c>
      <c r="Y12" s="150">
        <f>IF(SUMIFS(DIH!$S$2:$S833,DIH!$D$2:$D833,B12,DIH!$U$2:$U833,AA12)&gt;0,SUMIFS(DIH!$S$2:$S833,DIH!$D$2:$D833,B12,DIH!$U$2:$U833,AA12),0)</f>
        <v>0</v>
      </c>
      <c r="Z12" s="151">
        <f t="shared" si="7"/>
        <v>0</v>
      </c>
      <c r="AA12" s="152" t="s">
        <v>17</v>
      </c>
      <c r="AB12" s="154">
        <f>IF(ISNA(VLOOKUP($B12,'Business Report'!$D$2:$J$202,2,0)),"",VLOOKUP($B12,'Business Report'!$D$2:$J$202,2,0))</f>
        <v>117</v>
      </c>
      <c r="AC12" s="155">
        <f>SUMIFS(AFS!$P$2:$P$6260,AFS!$N$2:$N$6260,B12,AFS!$AT$2:$AT$6260,AA12)</f>
        <v>0</v>
      </c>
      <c r="AD12" s="156">
        <f t="shared" si="8"/>
        <v>0</v>
      </c>
      <c r="AE12" s="159">
        <f>SUM(AD4:AD12)</f>
        <v>19</v>
      </c>
      <c r="AF12" s="118" t="str">
        <f t="shared" si="9"/>
        <v/>
      </c>
      <c r="AG12" s="26"/>
      <c r="AH12" s="26"/>
      <c r="AI12" s="26"/>
    </row>
    <row r="13">
      <c r="A13" s="66" t="s">
        <v>87</v>
      </c>
      <c r="B13" s="1" t="s">
        <v>3</v>
      </c>
      <c r="C13" s="95" t="s">
        <v>157</v>
      </c>
      <c r="D13" s="68" t="s">
        <v>137</v>
      </c>
      <c r="E13" s="69" t="str">
        <f t="shared" si="2"/>
        <v/>
      </c>
      <c r="F13" s="69" t="str">
        <f t="shared" si="3"/>
        <v/>
      </c>
      <c r="G13" s="70" t="str">
        <f t="shared" si="4"/>
        <v/>
      </c>
      <c r="H13" s="163"/>
      <c r="I13" s="101" t="str">
        <f t="shared" ref="I13:I21" si="11">IF(ISNUMBER($AF13),1*$AF13,"")</f>
        <v/>
      </c>
      <c r="J13" s="102"/>
      <c r="K13" s="167"/>
      <c r="L13" s="119"/>
      <c r="M13" s="169"/>
      <c r="N13" s="171"/>
      <c r="O13" s="106"/>
      <c r="P13" s="79">
        <f t="array" ref="P13">XLOOKUP(B13,Weight!B:B,Weight!D:D,"#N/A",0)</f>
        <v>140</v>
      </c>
      <c r="Q13" s="80" t="str">
        <f t="shared" si="6"/>
        <v/>
      </c>
      <c r="R13" s="107"/>
      <c r="S13" s="108">
        <v>392620.0</v>
      </c>
      <c r="T13" s="108">
        <v>12.0</v>
      </c>
      <c r="U13" s="83">
        <v>60.0</v>
      </c>
      <c r="V13" s="84" t="str">
        <f t="shared" ref="V13:W13" si="10">B13</f>
        <v>Apron_Blue</v>
      </c>
      <c r="W13" s="174" t="str">
        <f t="shared" si="10"/>
        <v>CRASOME Polyester Kitchen Apron for Men Women Chef Cooking Restaurants gardening workshop barbers With Pockets and Adjustable Strap (Blue)</v>
      </c>
      <c r="X13" s="86">
        <f>SUMIFS('Transit Shipment'!$B$10:$B$1048462,'Transit Shipment'!$A$10:$A$1048462,B13,'Transit Shipment'!$C$10:$C$1048462,AA13)</f>
        <v>0</v>
      </c>
      <c r="Y13" s="86">
        <f>IF(SUMIFS(DIH!$S$2:$S833,DIH!$D$2:$D833,B13,DIH!$U$2:$U833,AA13)&gt;0,SUMIFS(DIH!$S$2:$S833,DIH!$D$2:$D833,B13,DIH!$U$2:$U833,AA13),0)</f>
        <v>3</v>
      </c>
      <c r="Z13" s="87">
        <f t="shared" si="7"/>
        <v>3</v>
      </c>
      <c r="AA13" s="88" t="s">
        <v>5</v>
      </c>
      <c r="AB13" s="89">
        <f>IF(ISNA(VLOOKUP($B13,'Business Report'!$D$2:$J$202,2,0)),"",VLOOKUP($B13,'Business Report'!$D$2:$J$202,2,0))</f>
        <v>15</v>
      </c>
      <c r="AC13" s="90">
        <f>SUMIFS(AFS!$P$2:$P$6260,AFS!$N$2:$N$6260,B13,AFS!$AT$2:$AT$6260,AA13)</f>
        <v>1</v>
      </c>
      <c r="AD13" s="91">
        <f t="shared" si="8"/>
        <v>-1</v>
      </c>
      <c r="AE13" s="92"/>
      <c r="AF13" s="93" t="str">
        <f t="shared" si="9"/>
        <v/>
      </c>
      <c r="AG13" s="26"/>
      <c r="AH13" s="26"/>
      <c r="AI13" s="118" t="b">
        <f t="shared" ref="AI13:AI21" si="12">IF(ISNUMBER(AG13),IF(AG13&lt;=0,"",IF(I13="","",H13*$AC$2+IF(I13&gt;0,$AC$2,0))))</f>
        <v>0</v>
      </c>
    </row>
    <row r="14">
      <c r="A14" s="94" t="s">
        <v>87</v>
      </c>
      <c r="B14" s="3" t="s">
        <v>3</v>
      </c>
      <c r="C14" s="95" t="s">
        <v>157</v>
      </c>
      <c r="D14" s="96" t="s">
        <v>137</v>
      </c>
      <c r="E14" s="97">
        <f t="shared" si="2"/>
        <v>8</v>
      </c>
      <c r="F14" s="97">
        <f t="shared" si="3"/>
        <v>0</v>
      </c>
      <c r="G14" s="99" t="str">
        <f t="shared" si="4"/>
        <v/>
      </c>
      <c r="H14" s="100"/>
      <c r="I14" s="101">
        <f t="shared" si="11"/>
        <v>16</v>
      </c>
      <c r="J14" s="102"/>
      <c r="K14" s="103"/>
      <c r="L14" s="97"/>
      <c r="M14" s="169"/>
      <c r="N14" s="105"/>
      <c r="O14" s="106"/>
      <c r="P14" s="13">
        <f t="array" ref="P14">XLOOKUP(B14,Weight!B:B,Weight!D:D,"#N/A",0)</f>
        <v>140</v>
      </c>
      <c r="Q14" s="17">
        <f t="shared" si="6"/>
        <v>2240</v>
      </c>
      <c r="R14" s="107"/>
      <c r="S14" s="108">
        <v>392620.0</v>
      </c>
      <c r="T14" s="108">
        <v>12.0</v>
      </c>
      <c r="U14" s="109">
        <v>60.0</v>
      </c>
      <c r="V14" s="110"/>
      <c r="X14" s="111">
        <f>SUMIFS('Transit Shipment'!$B$10:$B$1048462,'Transit Shipment'!$A$10:$A$1048462,B14,'Transit Shipment'!$C$10:$C$1048462,AA14)</f>
        <v>0</v>
      </c>
      <c r="Y14" s="111">
        <f>IF(SUMIFS(DIH!$S$2:$S833,DIH!$D$2:$D833,B14,DIH!$U$2:$U833,AA14)&gt;0,SUMIFS(DIH!$S$2:$S833,DIH!$D$2:$D833,B14,DIH!$U$2:$U833,AA14),0)</f>
        <v>0</v>
      </c>
      <c r="Z14" s="112">
        <f t="shared" si="7"/>
        <v>0</v>
      </c>
      <c r="AA14" s="113" t="s">
        <v>11</v>
      </c>
      <c r="AB14" s="114">
        <f>IF(ISNA(VLOOKUP($B14,'Business Report'!$D$2:$J$202,2,0)),"",VLOOKUP($B14,'Business Report'!$D$2:$J$202,2,0))</f>
        <v>15</v>
      </c>
      <c r="AC14" s="115">
        <f>SUMIFS(AFS!$P$2:$P$6260,AFS!$N$2:$N$6260,B14,AFS!$AT$2:$AT$6260,AA14)</f>
        <v>12</v>
      </c>
      <c r="AD14" s="116">
        <f t="shared" si="8"/>
        <v>16</v>
      </c>
      <c r="AE14" s="117"/>
      <c r="AF14" s="118">
        <f t="shared" si="9"/>
        <v>16</v>
      </c>
      <c r="AG14" s="26"/>
      <c r="AH14" s="26"/>
      <c r="AI14" s="118" t="b">
        <f t="shared" si="12"/>
        <v>0</v>
      </c>
    </row>
    <row r="15">
      <c r="A15" s="94" t="s">
        <v>87</v>
      </c>
      <c r="B15" s="3" t="s">
        <v>3</v>
      </c>
      <c r="C15" s="95" t="s">
        <v>157</v>
      </c>
      <c r="D15" s="96" t="s">
        <v>137</v>
      </c>
      <c r="E15" s="97">
        <f t="shared" si="2"/>
        <v>2</v>
      </c>
      <c r="F15" s="97">
        <f t="shared" si="3"/>
        <v>0.5</v>
      </c>
      <c r="G15" s="99" t="str">
        <f t="shared" si="4"/>
        <v/>
      </c>
      <c r="H15" s="100"/>
      <c r="I15" s="101">
        <f t="shared" si="11"/>
        <v>6</v>
      </c>
      <c r="J15" s="102"/>
      <c r="K15" s="103"/>
      <c r="L15" s="97"/>
      <c r="M15" s="169"/>
      <c r="N15" s="105"/>
      <c r="O15" s="106"/>
      <c r="P15" s="13">
        <f t="array" ref="P15">XLOOKUP(B15,Weight!B:B,Weight!D:D,"#N/A",0)</f>
        <v>140</v>
      </c>
      <c r="Q15" s="17">
        <f t="shared" si="6"/>
        <v>840</v>
      </c>
      <c r="R15" s="107"/>
      <c r="S15" s="108">
        <v>392620.0</v>
      </c>
      <c r="T15" s="108">
        <v>12.0</v>
      </c>
      <c r="U15" s="109">
        <v>60.0</v>
      </c>
      <c r="V15" s="110"/>
      <c r="X15" s="111">
        <f>SUMIFS('Transit Shipment'!$B$10:$B$1048462,'Transit Shipment'!$A$10:$A$1048462,B15,'Transit Shipment'!$C$10:$C$1048462,AA15)</f>
        <v>0</v>
      </c>
      <c r="Y15" s="111">
        <f>IF(SUMIFS(DIH!$S$2:$S833,DIH!$D$2:$D833,B15,DIH!$U$2:$U833,AA15)&gt;0,SUMIFS(DIH!$S$2:$S833,DIH!$D$2:$D833,B15,DIH!$U$2:$U833,AA15),0)</f>
        <v>2</v>
      </c>
      <c r="Z15" s="112">
        <f t="shared" si="7"/>
        <v>2</v>
      </c>
      <c r="AA15" s="119" t="s">
        <v>9</v>
      </c>
      <c r="AB15" s="114">
        <f>IF(ISNA(VLOOKUP($B15,'Business Report'!$D$2:$J$202,2,0)),"",VLOOKUP($B15,'Business Report'!$D$2:$J$202,2,0))</f>
        <v>15</v>
      </c>
      <c r="AC15" s="115">
        <f>SUMIFS(AFS!$P$2:$P$6260,AFS!$N$2:$N$6260,B15,AFS!$AT$2:$AT$6260,AA15)</f>
        <v>5</v>
      </c>
      <c r="AD15" s="116">
        <f t="shared" si="8"/>
        <v>5</v>
      </c>
      <c r="AE15" s="117"/>
      <c r="AF15" s="118">
        <f t="shared" si="9"/>
        <v>6</v>
      </c>
      <c r="AG15" s="26"/>
      <c r="AH15" s="26"/>
      <c r="AI15" s="118" t="b">
        <f t="shared" si="12"/>
        <v>0</v>
      </c>
    </row>
    <row r="16">
      <c r="A16" s="120" t="s">
        <v>87</v>
      </c>
      <c r="B16" s="7" t="s">
        <v>3</v>
      </c>
      <c r="C16" s="95" t="s">
        <v>157</v>
      </c>
      <c r="D16" s="109" t="s">
        <v>137</v>
      </c>
      <c r="E16" s="97">
        <f t="shared" si="2"/>
        <v>1</v>
      </c>
      <c r="F16" s="97">
        <f t="shared" si="3"/>
        <v>0.5</v>
      </c>
      <c r="G16" s="99" t="str">
        <f t="shared" si="4"/>
        <v/>
      </c>
      <c r="H16" s="121"/>
      <c r="I16" s="101">
        <f t="shared" si="11"/>
        <v>4</v>
      </c>
      <c r="J16" s="123"/>
      <c r="K16" s="124"/>
      <c r="L16" s="125"/>
      <c r="M16" s="181"/>
      <c r="N16" s="126"/>
      <c r="O16" s="127"/>
      <c r="P16" s="13">
        <f t="array" ref="P16">XLOOKUP(B16,Weight!B:B,Weight!D:D,"#N/A",0)</f>
        <v>140</v>
      </c>
      <c r="Q16" s="17">
        <f t="shared" si="6"/>
        <v>560</v>
      </c>
      <c r="R16" s="107"/>
      <c r="S16" s="108">
        <v>392620.0</v>
      </c>
      <c r="T16" s="108">
        <v>12.0</v>
      </c>
      <c r="U16" s="109">
        <v>60.0</v>
      </c>
      <c r="V16" s="110"/>
      <c r="X16" s="111">
        <f>SUMIFS('Transit Shipment'!$B$10:$B$1048462,'Transit Shipment'!$A$10:$A$1048462,B16,'Transit Shipment'!$C$10:$C$1048462,AA16)</f>
        <v>0</v>
      </c>
      <c r="Y16" s="111">
        <f>IF(SUMIFS(DIH!$S$2:$S833,DIH!$D$2:$D833,B16,DIH!$U$2:$U833,AA16)&gt;0,SUMIFS(DIH!$S$2:$S833,DIH!$D$2:$D833,B16,DIH!$U$2:$U833,AA16),0)</f>
        <v>1</v>
      </c>
      <c r="Z16" s="112">
        <f t="shared" si="7"/>
        <v>1</v>
      </c>
      <c r="AA16" s="119" t="s">
        <v>155</v>
      </c>
      <c r="AB16" s="114">
        <f>IF(ISNA(VLOOKUP($B16,'Business Report'!$D$2:$J$202,2,0)),"",VLOOKUP($B16,'Business Report'!$D$2:$J$202,2,0))</f>
        <v>15</v>
      </c>
      <c r="AC16" s="115">
        <f>SUMIFS(AFS!$P$2:$P$6260,AFS!$N$2:$N$6260,B16,AFS!$AT$2:$AT$6260,AA16)</f>
        <v>3</v>
      </c>
      <c r="AD16" s="116">
        <f t="shared" si="8"/>
        <v>3</v>
      </c>
      <c r="AE16" s="117"/>
      <c r="AF16" s="118">
        <f t="shared" si="9"/>
        <v>4</v>
      </c>
      <c r="AG16" s="26"/>
      <c r="AH16" s="26"/>
      <c r="AI16" s="118" t="b">
        <f t="shared" si="12"/>
        <v>0</v>
      </c>
    </row>
    <row r="17">
      <c r="A17" s="120" t="s">
        <v>87</v>
      </c>
      <c r="B17" s="7" t="s">
        <v>3</v>
      </c>
      <c r="C17" s="95" t="s">
        <v>157</v>
      </c>
      <c r="D17" s="109" t="s">
        <v>137</v>
      </c>
      <c r="E17" s="97">
        <f t="shared" si="2"/>
        <v>4</v>
      </c>
      <c r="F17" s="97">
        <f t="shared" si="3"/>
        <v>0.5</v>
      </c>
      <c r="G17" s="99" t="str">
        <f t="shared" si="4"/>
        <v/>
      </c>
      <c r="H17" s="121"/>
      <c r="I17" s="101">
        <f t="shared" si="11"/>
        <v>10</v>
      </c>
      <c r="J17" s="123"/>
      <c r="K17" s="124"/>
      <c r="L17" s="125"/>
      <c r="M17" s="181"/>
      <c r="N17" s="126"/>
      <c r="O17" s="127"/>
      <c r="P17" s="13">
        <f t="array" ref="P17">XLOOKUP(B17,Weight!B:B,Weight!D:D,"#N/A",0)</f>
        <v>140</v>
      </c>
      <c r="Q17" s="17">
        <f t="shared" si="6"/>
        <v>1400</v>
      </c>
      <c r="R17" s="107"/>
      <c r="S17" s="108">
        <v>392620.0</v>
      </c>
      <c r="T17" s="108">
        <v>12.0</v>
      </c>
      <c r="U17" s="109">
        <v>60.0</v>
      </c>
      <c r="V17" s="110"/>
      <c r="X17" s="111">
        <f>SUMIFS('Transit Shipment'!$B$10:$B$1048462,'Transit Shipment'!$A$10:$A$1048462,B17,'Transit Shipment'!$C$10:$C$1048462,AA17)</f>
        <v>0</v>
      </c>
      <c r="Y17" s="111">
        <f>IF(SUMIFS(DIH!$S$2:$S833,DIH!$D$2:$D833,B17,DIH!$U$2:$U833,AA17)&gt;0,SUMIFS(DIH!$S$2:$S833,DIH!$D$2:$D833,B17,DIH!$U$2:$U833,AA17),0)</f>
        <v>1</v>
      </c>
      <c r="Z17" s="112">
        <f t="shared" si="7"/>
        <v>1</v>
      </c>
      <c r="AA17" s="119" t="s">
        <v>156</v>
      </c>
      <c r="AB17" s="114">
        <f>IF(ISNA(VLOOKUP($B17,'Business Report'!$D$2:$J$202,2,0)),"",VLOOKUP($B17,'Business Report'!$D$2:$J$202,2,0))</f>
        <v>15</v>
      </c>
      <c r="AC17" s="115">
        <f>SUMIFS(AFS!$P$2:$P$6260,AFS!$N$2:$N$6260,B17,AFS!$AT$2:$AT$6260,AA17)</f>
        <v>7</v>
      </c>
      <c r="AD17" s="116">
        <f t="shared" si="8"/>
        <v>9</v>
      </c>
      <c r="AE17" s="117"/>
      <c r="AF17" s="118">
        <f t="shared" si="9"/>
        <v>10</v>
      </c>
      <c r="AG17" s="26"/>
      <c r="AH17" s="26"/>
      <c r="AI17" s="118" t="b">
        <f t="shared" si="12"/>
        <v>0</v>
      </c>
    </row>
    <row r="18">
      <c r="A18" s="120" t="s">
        <v>87</v>
      </c>
      <c r="B18" s="7" t="s">
        <v>3</v>
      </c>
      <c r="C18" s="95" t="s">
        <v>157</v>
      </c>
      <c r="D18" s="109" t="s">
        <v>137</v>
      </c>
      <c r="E18" s="97">
        <f t="shared" si="2"/>
        <v>1</v>
      </c>
      <c r="F18" s="97">
        <f t="shared" si="3"/>
        <v>0</v>
      </c>
      <c r="G18" s="99" t="str">
        <f t="shared" si="4"/>
        <v/>
      </c>
      <c r="H18" s="121"/>
      <c r="I18" s="101" t="str">
        <f t="shared" si="11"/>
        <v/>
      </c>
      <c r="J18" s="123"/>
      <c r="K18" s="124"/>
      <c r="L18" s="125"/>
      <c r="M18" s="181"/>
      <c r="N18" s="126"/>
      <c r="O18" s="127"/>
      <c r="P18" s="13">
        <f t="array" ref="P18">XLOOKUP(B18,Weight!B:B,Weight!D:D,"#N/A",0)</f>
        <v>140</v>
      </c>
      <c r="Q18" s="17" t="str">
        <f t="shared" si="6"/>
        <v/>
      </c>
      <c r="R18" s="107"/>
      <c r="S18" s="108">
        <v>392620.0</v>
      </c>
      <c r="T18" s="108">
        <v>12.0</v>
      </c>
      <c r="U18" s="109">
        <v>60.0</v>
      </c>
      <c r="V18" s="110"/>
      <c r="X18" s="111">
        <f>SUMIFS('Transit Shipment'!$B$10:$B$1048462,'Transit Shipment'!$A$10:$A$1048462,B18,'Transit Shipment'!$C$10:$C$1048462,AA18)</f>
        <v>0</v>
      </c>
      <c r="Y18" s="111">
        <f>IF(SUMIFS(DIH!$S$2:$S833,DIH!$D$2:$D833,B18,DIH!$U$2:$U833,AA18)&gt;0,SUMIFS(DIH!$S$2:$S833,DIH!$D$2:$D833,B18,DIH!$U$2:$U833,AA18),0)</f>
        <v>2</v>
      </c>
      <c r="Z18" s="112">
        <f t="shared" si="7"/>
        <v>2</v>
      </c>
      <c r="AA18" s="130" t="s">
        <v>13</v>
      </c>
      <c r="AB18" s="114">
        <f>IF(ISNA(VLOOKUP($B18,'Business Report'!$D$2:$J$202,2,0)),"",VLOOKUP($B18,'Business Report'!$D$2:$J$202,2,0))</f>
        <v>15</v>
      </c>
      <c r="AC18" s="115">
        <f>SUMIFS(AFS!$P$2:$P$6260,AFS!$N$2:$N$6260,B18,AFS!$AT$2:$AT$6260,AA18)</f>
        <v>1</v>
      </c>
      <c r="AD18" s="116">
        <f t="shared" si="8"/>
        <v>0</v>
      </c>
      <c r="AE18" s="117"/>
      <c r="AF18" s="118" t="str">
        <f t="shared" si="9"/>
        <v/>
      </c>
      <c r="AG18" s="26"/>
      <c r="AH18" s="26"/>
      <c r="AI18" s="118" t="b">
        <f t="shared" si="12"/>
        <v>0</v>
      </c>
    </row>
    <row r="19">
      <c r="A19" s="120" t="s">
        <v>87</v>
      </c>
      <c r="B19" s="7" t="s">
        <v>3</v>
      </c>
      <c r="C19" s="95" t="s">
        <v>157</v>
      </c>
      <c r="D19" s="109" t="s">
        <v>137</v>
      </c>
      <c r="E19" s="97">
        <f t="shared" si="2"/>
        <v>3</v>
      </c>
      <c r="F19" s="97">
        <f t="shared" si="3"/>
        <v>0</v>
      </c>
      <c r="G19" s="99" t="str">
        <f t="shared" si="4"/>
        <v/>
      </c>
      <c r="H19" s="121"/>
      <c r="I19" s="122">
        <f t="shared" si="11"/>
        <v>6</v>
      </c>
      <c r="J19" s="123"/>
      <c r="K19" s="124"/>
      <c r="L19" s="125"/>
      <c r="M19" s="181"/>
      <c r="N19" s="126"/>
      <c r="O19" s="127"/>
      <c r="P19" s="13">
        <f t="array" ref="P19">XLOOKUP(B19,Weight!B:B,Weight!D:D,"#N/A",0)</f>
        <v>140</v>
      </c>
      <c r="Q19" s="17">
        <f t="shared" si="6"/>
        <v>840</v>
      </c>
      <c r="R19" s="107"/>
      <c r="S19" s="108">
        <v>392620.0</v>
      </c>
      <c r="T19" s="108">
        <v>12.0</v>
      </c>
      <c r="U19" s="109">
        <v>60.0</v>
      </c>
      <c r="V19" s="110"/>
      <c r="X19" s="111">
        <f>SUMIFS('Transit Shipment'!$B$10:$B$1048462,'Transit Shipment'!$A$10:$A$1048462,B19,'Transit Shipment'!$C$10:$C$1048462,AA19)</f>
        <v>0</v>
      </c>
      <c r="Y19" s="111">
        <f>IF(SUMIFS(DIH!$S$2:$S833,DIH!$D$2:$D833,B19,DIH!$U$2:$U833,AA19)&gt;0,SUMIFS(DIH!$S$2:$S833,DIH!$D$2:$D833,B19,DIH!$U$2:$U833,AA19),0)</f>
        <v>2</v>
      </c>
      <c r="Z19" s="112">
        <f t="shared" si="7"/>
        <v>2</v>
      </c>
      <c r="AA19" s="119" t="s">
        <v>14</v>
      </c>
      <c r="AB19" s="114">
        <f>IF(ISNA(VLOOKUP($B19,'Business Report'!$D$2:$J$202,2,0)),"",VLOOKUP($B19,'Business Report'!$D$2:$J$202,2,0))</f>
        <v>15</v>
      </c>
      <c r="AC19" s="115">
        <f>SUMIFS(AFS!$P$2:$P$6260,AFS!$N$2:$N$6260,B19,AFS!$AT$2:$AT$6260,AA19)</f>
        <v>6</v>
      </c>
      <c r="AD19" s="116">
        <f t="shared" si="8"/>
        <v>6</v>
      </c>
      <c r="AE19" s="117"/>
      <c r="AF19" s="118">
        <f t="shared" si="9"/>
        <v>6</v>
      </c>
      <c r="AG19" s="26"/>
      <c r="AH19" s="26"/>
      <c r="AI19" s="118" t="b">
        <f t="shared" si="12"/>
        <v>0</v>
      </c>
    </row>
    <row r="20">
      <c r="A20" s="120" t="s">
        <v>87</v>
      </c>
      <c r="B20" s="7" t="s">
        <v>3</v>
      </c>
      <c r="C20" s="95" t="s">
        <v>157</v>
      </c>
      <c r="D20" s="109" t="s">
        <v>137</v>
      </c>
      <c r="E20" s="97">
        <f t="shared" si="2"/>
        <v>1</v>
      </c>
      <c r="F20" s="97">
        <f t="shared" si="3"/>
        <v>0</v>
      </c>
      <c r="G20" s="99" t="str">
        <f t="shared" si="4"/>
        <v/>
      </c>
      <c r="H20" s="121"/>
      <c r="I20" s="101" t="str">
        <f t="shared" si="11"/>
        <v/>
      </c>
      <c r="J20" s="123"/>
      <c r="K20" s="124"/>
      <c r="L20" s="125"/>
      <c r="M20" s="181"/>
      <c r="N20" s="126"/>
      <c r="O20" s="127"/>
      <c r="P20" s="13">
        <f t="array" ref="P20">XLOOKUP(B20,Weight!B:B,Weight!D:D,"#N/A",0)</f>
        <v>140</v>
      </c>
      <c r="Q20" s="17" t="str">
        <f t="shared" si="6"/>
        <v/>
      </c>
      <c r="R20" s="107"/>
      <c r="S20" s="108">
        <v>392620.0</v>
      </c>
      <c r="T20" s="108">
        <v>12.0</v>
      </c>
      <c r="U20" s="109">
        <v>60.0</v>
      </c>
      <c r="V20" s="110"/>
      <c r="X20" s="111">
        <f>SUMIFS('Transit Shipment'!$B$10:$B$1048462,'Transit Shipment'!$A$10:$A$1048462,B20,'Transit Shipment'!$C$10:$C$1048462,AA20)</f>
        <v>0</v>
      </c>
      <c r="Y20" s="111">
        <f>IF(SUMIFS(DIH!$S$2:$S833,DIH!$D$2:$D833,B20,DIH!$U$2:$U833,AA20)&gt;0,SUMIFS(DIH!$S$2:$S833,DIH!$D$2:$D833,B20,DIH!$U$2:$U833,AA20),0)</f>
        <v>7</v>
      </c>
      <c r="Z20" s="112">
        <f t="shared" si="7"/>
        <v>7</v>
      </c>
      <c r="AA20" s="131" t="s">
        <v>16</v>
      </c>
      <c r="AB20" s="114">
        <f>IF(ISNA(VLOOKUP($B20,'Business Report'!$D$2:$J$202,2,0)),"",VLOOKUP($B20,'Business Report'!$D$2:$J$202,2,0))</f>
        <v>15</v>
      </c>
      <c r="AC20" s="115">
        <f>SUMIFS(AFS!$P$2:$P$6260,AFS!$N$2:$N$6260,B20,AFS!$AT$2:$AT$6260,AA20)</f>
        <v>5</v>
      </c>
      <c r="AD20" s="116">
        <f t="shared" si="8"/>
        <v>0</v>
      </c>
      <c r="AE20" s="117"/>
      <c r="AF20" s="118" t="str">
        <f t="shared" si="9"/>
        <v/>
      </c>
      <c r="AG20" s="26"/>
      <c r="AH20" s="26"/>
      <c r="AI20" s="118" t="b">
        <f t="shared" si="12"/>
        <v>0</v>
      </c>
    </row>
    <row r="21">
      <c r="A21" s="132" t="s">
        <v>87</v>
      </c>
      <c r="B21" s="15" t="s">
        <v>3</v>
      </c>
      <c r="C21" s="133" t="s">
        <v>157</v>
      </c>
      <c r="D21" s="134" t="s">
        <v>137</v>
      </c>
      <c r="E21" s="135">
        <f t="shared" si="2"/>
        <v>1</v>
      </c>
      <c r="F21" s="135">
        <f t="shared" si="3"/>
        <v>0</v>
      </c>
      <c r="G21" s="136" t="str">
        <f t="shared" si="4"/>
        <v/>
      </c>
      <c r="H21" s="137"/>
      <c r="I21" s="138" t="str">
        <f t="shared" si="11"/>
        <v/>
      </c>
      <c r="J21" s="139"/>
      <c r="K21" s="140"/>
      <c r="L21" s="135"/>
      <c r="M21" s="152"/>
      <c r="N21" s="142"/>
      <c r="O21" s="143"/>
      <c r="P21" s="144">
        <f t="array" ref="P21">XLOOKUP(B21,Weight!B:B,Weight!D:D,"#N/A",0)</f>
        <v>140</v>
      </c>
      <c r="Q21" s="145" t="str">
        <f t="shared" si="6"/>
        <v/>
      </c>
      <c r="R21" s="146"/>
      <c r="S21" s="147">
        <v>392620.0</v>
      </c>
      <c r="T21" s="147">
        <v>12.0</v>
      </c>
      <c r="U21" s="109">
        <v>60.0</v>
      </c>
      <c r="V21" s="148"/>
      <c r="W21" s="149"/>
      <c r="X21" s="150">
        <f>SUMIFS('Transit Shipment'!$B$10:$B$1048462,'Transit Shipment'!$A$10:$A$1048462,B21,'Transit Shipment'!$C$10:$C$1048462,AA21)</f>
        <v>0</v>
      </c>
      <c r="Y21" s="150">
        <f>IF(SUMIFS(DIH!$S$2:$S833,DIH!$D$2:$D833,B21,DIH!$U$2:$U833,AA21)&gt;0,SUMIFS(DIH!$S$2:$S833,DIH!$D$2:$D833,B21,DIH!$U$2:$U833,AA21),0)</f>
        <v>0</v>
      </c>
      <c r="Z21" s="151">
        <f t="shared" si="7"/>
        <v>0</v>
      </c>
      <c r="AA21" s="152" t="s">
        <v>17</v>
      </c>
      <c r="AB21" s="154">
        <f>IF(ISNA(VLOOKUP($B21,'Business Report'!$D$2:$J$202,2,0)),"",VLOOKUP($B21,'Business Report'!$D$2:$J$202,2,0))</f>
        <v>15</v>
      </c>
      <c r="AC21" s="155">
        <f>SUMIFS(AFS!$P$2:$P$6260,AFS!$N$2:$N$6260,B21,AFS!$AT$2:$AT$6260,AA21)</f>
        <v>0</v>
      </c>
      <c r="AD21" s="156">
        <f t="shared" si="8"/>
        <v>0</v>
      </c>
      <c r="AE21" s="159">
        <f>SUM(AD13:AD21)</f>
        <v>38</v>
      </c>
      <c r="AF21" s="118" t="str">
        <f t="shared" si="9"/>
        <v/>
      </c>
      <c r="AG21" s="26"/>
      <c r="AH21" s="26"/>
      <c r="AI21" s="118" t="b">
        <f t="shared" si="12"/>
        <v>0</v>
      </c>
    </row>
    <row r="22">
      <c r="A22" s="66" t="s">
        <v>89</v>
      </c>
      <c r="B22" s="1" t="s">
        <v>4</v>
      </c>
      <c r="C22" s="95" t="s">
        <v>167</v>
      </c>
      <c r="D22" s="68" t="s">
        <v>137</v>
      </c>
      <c r="E22" s="69" t="str">
        <f t="shared" si="2"/>
        <v/>
      </c>
      <c r="F22" s="69" t="str">
        <f t="shared" si="3"/>
        <v/>
      </c>
      <c r="G22" s="70" t="str">
        <f t="shared" si="4"/>
        <v/>
      </c>
      <c r="H22" s="163"/>
      <c r="I22" s="101"/>
      <c r="J22" s="102" t="str">
        <f t="shared" ref="J22:J30" si="14">IF(ISNUMBER($AF22),1*$AF22,"")</f>
        <v/>
      </c>
      <c r="K22" s="167"/>
      <c r="L22" s="119"/>
      <c r="M22" s="169"/>
      <c r="N22" s="171"/>
      <c r="O22" s="106"/>
      <c r="P22" s="79">
        <f t="array" ref="P22">XLOOKUP(B22,Weight!B:B,Weight!D:D,"#N/A",0)</f>
        <v>140</v>
      </c>
      <c r="Q22" s="80" t="str">
        <f t="shared" si="6"/>
        <v/>
      </c>
      <c r="R22" s="107"/>
      <c r="S22" s="108">
        <v>392620.0</v>
      </c>
      <c r="T22" s="108">
        <v>12.0</v>
      </c>
      <c r="U22" s="83">
        <v>60.0</v>
      </c>
      <c r="V22" s="84" t="str">
        <f t="shared" ref="V22:W22" si="13">B22</f>
        <v>Apron_Brown</v>
      </c>
      <c r="W22" s="174" t="str">
        <f t="shared" si="13"/>
        <v>CRASOME Polyester Kitchen Apron for Men Women Chef Cooking Restaurants gardening workshop, barbers With Pockets and Adjustable Strap ( Brown )</v>
      </c>
      <c r="X22" s="86">
        <f>SUMIFS('Transit Shipment'!$B$10:$B$1048462,'Transit Shipment'!$A$10:$A$1048462,B22,'Transit Shipment'!$C$10:$C$1048462,AA22)</f>
        <v>0</v>
      </c>
      <c r="Y22" s="86">
        <f>IF(SUMIFS(DIH!$S$2:$S833,DIH!$D$2:$D833,B22,DIH!$U$2:$U833,AA22)&gt;0,SUMIFS(DIH!$S$2:$S833,DIH!$D$2:$D833,B22,DIH!$U$2:$U833,AA22),0)</f>
        <v>5</v>
      </c>
      <c r="Z22" s="87">
        <f t="shared" si="7"/>
        <v>5</v>
      </c>
      <c r="AA22" s="88" t="s">
        <v>5</v>
      </c>
      <c r="AB22" s="89">
        <f>IF(ISNA(VLOOKUP($B22,'Business Report'!$D$2:$J$202,2,0)),"",VLOOKUP($B22,'Business Report'!$D$2:$J$202,2,0))</f>
        <v>33</v>
      </c>
      <c r="AC22" s="90">
        <f>SUMIFS(AFS!$P$2:$P$6260,AFS!$N$2:$N$6260,B22,AFS!$AT$2:$AT$6260,AA22)</f>
        <v>0</v>
      </c>
      <c r="AD22" s="91">
        <f t="shared" si="8"/>
        <v>-5</v>
      </c>
      <c r="AE22" s="92"/>
      <c r="AF22" s="93" t="str">
        <f t="shared" si="9"/>
        <v/>
      </c>
      <c r="AG22" s="26"/>
      <c r="AH22" s="26"/>
      <c r="AI22" s="26"/>
    </row>
    <row r="23">
      <c r="A23" s="94" t="s">
        <v>89</v>
      </c>
      <c r="B23" s="3" t="s">
        <v>4</v>
      </c>
      <c r="C23" s="95" t="s">
        <v>167</v>
      </c>
      <c r="D23" s="96" t="s">
        <v>137</v>
      </c>
      <c r="E23" s="97" t="str">
        <f t="shared" si="2"/>
        <v/>
      </c>
      <c r="F23" s="97" t="str">
        <f t="shared" si="3"/>
        <v/>
      </c>
      <c r="G23" s="99" t="str">
        <f t="shared" si="4"/>
        <v/>
      </c>
      <c r="H23" s="100"/>
      <c r="I23" s="101"/>
      <c r="J23" s="102" t="str">
        <f t="shared" si="14"/>
        <v/>
      </c>
      <c r="K23" s="103"/>
      <c r="L23" s="97"/>
      <c r="M23" s="169"/>
      <c r="N23" s="105"/>
      <c r="O23" s="106"/>
      <c r="P23" s="13">
        <f t="array" ref="P23">XLOOKUP(B23,Weight!B:B,Weight!D:D,"#N/A",0)</f>
        <v>140</v>
      </c>
      <c r="Q23" s="17" t="str">
        <f t="shared" si="6"/>
        <v/>
      </c>
      <c r="R23" s="107"/>
      <c r="S23" s="108">
        <v>392620.0</v>
      </c>
      <c r="T23" s="108">
        <v>12.0</v>
      </c>
      <c r="U23" s="109">
        <v>60.0</v>
      </c>
      <c r="V23" s="110"/>
      <c r="X23" s="111">
        <f>SUMIFS('Transit Shipment'!$B$10:$B$1048462,'Transit Shipment'!$A$10:$A$1048462,B23,'Transit Shipment'!$C$10:$C$1048462,AA23)</f>
        <v>0</v>
      </c>
      <c r="Y23" s="111">
        <f>IF(SUMIFS(DIH!$S$2:$S833,DIH!$D$2:$D833,B23,DIH!$U$2:$U833,AA23)&gt;0,SUMIFS(DIH!$S$2:$S833,DIH!$D$2:$D833,B23,DIH!$U$2:$U833,AA23),0)</f>
        <v>21</v>
      </c>
      <c r="Z23" s="112">
        <f t="shared" si="7"/>
        <v>21</v>
      </c>
      <c r="AA23" s="113" t="s">
        <v>11</v>
      </c>
      <c r="AB23" s="114">
        <f>IF(ISNA(VLOOKUP($B23,'Business Report'!$D$2:$J$202,2,0)),"",VLOOKUP($B23,'Business Report'!$D$2:$J$202,2,0))</f>
        <v>33</v>
      </c>
      <c r="AC23" s="115">
        <f>SUMIFS(AFS!$P$2:$P$6260,AFS!$N$2:$N$6260,B23,AFS!$AT$2:$AT$6260,AA23)</f>
        <v>4</v>
      </c>
      <c r="AD23" s="116">
        <f t="shared" si="8"/>
        <v>-15</v>
      </c>
      <c r="AE23" s="117"/>
      <c r="AF23" s="118" t="str">
        <f t="shared" si="9"/>
        <v/>
      </c>
      <c r="AG23" s="26"/>
      <c r="AH23" s="26"/>
      <c r="AI23" s="26"/>
    </row>
    <row r="24">
      <c r="A24" s="94" t="s">
        <v>89</v>
      </c>
      <c r="B24" s="3" t="s">
        <v>4</v>
      </c>
      <c r="C24" s="95" t="s">
        <v>167</v>
      </c>
      <c r="D24" s="96" t="s">
        <v>137</v>
      </c>
      <c r="E24" s="97">
        <f t="shared" si="2"/>
        <v>2</v>
      </c>
      <c r="F24" s="97">
        <f t="shared" si="3"/>
        <v>0.5</v>
      </c>
      <c r="G24" s="99" t="str">
        <f t="shared" si="4"/>
        <v/>
      </c>
      <c r="H24" s="100"/>
      <c r="I24" s="101"/>
      <c r="J24" s="102">
        <f t="shared" si="14"/>
        <v>6</v>
      </c>
      <c r="K24" s="103"/>
      <c r="L24" s="97"/>
      <c r="M24" s="169"/>
      <c r="N24" s="105"/>
      <c r="O24" s="106"/>
      <c r="P24" s="13">
        <f t="array" ref="P24">XLOOKUP(B24,Weight!B:B,Weight!D:D,"#N/A",0)</f>
        <v>140</v>
      </c>
      <c r="Q24" s="17">
        <f t="shared" si="6"/>
        <v>840</v>
      </c>
      <c r="R24" s="107"/>
      <c r="S24" s="108">
        <v>392620.0</v>
      </c>
      <c r="T24" s="108">
        <v>12.0</v>
      </c>
      <c r="U24" s="109">
        <v>60.0</v>
      </c>
      <c r="V24" s="110"/>
      <c r="X24" s="111">
        <f>SUMIFS('Transit Shipment'!$B$10:$B$1048462,'Transit Shipment'!$A$10:$A$1048462,B24,'Transit Shipment'!$C$10:$C$1048462,AA24)</f>
        <v>0</v>
      </c>
      <c r="Y24" s="111">
        <f>IF(SUMIFS(DIH!$S$2:$S833,DIH!$D$2:$D833,B24,DIH!$U$2:$U833,AA24)&gt;0,SUMIFS(DIH!$S$2:$S833,DIH!$D$2:$D833,B24,DIH!$U$2:$U833,AA24),0)</f>
        <v>7</v>
      </c>
      <c r="Z24" s="112">
        <f t="shared" si="7"/>
        <v>7</v>
      </c>
      <c r="AA24" s="119" t="s">
        <v>9</v>
      </c>
      <c r="AB24" s="114">
        <f>IF(ISNA(VLOOKUP($B24,'Business Report'!$D$2:$J$202,2,0)),"",VLOOKUP($B24,'Business Report'!$D$2:$J$202,2,0))</f>
        <v>33</v>
      </c>
      <c r="AC24" s="115">
        <f>SUMIFS(AFS!$P$2:$P$6260,AFS!$N$2:$N$6260,B24,AFS!$AT$2:$AT$6260,AA24)</f>
        <v>9</v>
      </c>
      <c r="AD24" s="116">
        <f t="shared" si="8"/>
        <v>5</v>
      </c>
      <c r="AE24" s="117"/>
      <c r="AF24" s="118">
        <f t="shared" si="9"/>
        <v>6</v>
      </c>
      <c r="AG24" s="4"/>
      <c r="AH24" s="26"/>
      <c r="AI24" s="26"/>
    </row>
    <row r="25">
      <c r="A25" s="120" t="s">
        <v>89</v>
      </c>
      <c r="B25" s="7" t="s">
        <v>4</v>
      </c>
      <c r="C25" s="95" t="s">
        <v>167</v>
      </c>
      <c r="D25" s="109" t="s">
        <v>137</v>
      </c>
      <c r="E25" s="97" t="str">
        <f t="shared" si="2"/>
        <v/>
      </c>
      <c r="F25" s="97" t="str">
        <f t="shared" si="3"/>
        <v/>
      </c>
      <c r="G25" s="99" t="str">
        <f t="shared" si="4"/>
        <v/>
      </c>
      <c r="H25" s="121"/>
      <c r="I25" s="122"/>
      <c r="J25" s="102" t="str">
        <f t="shared" si="14"/>
        <v/>
      </c>
      <c r="K25" s="124"/>
      <c r="L25" s="125"/>
      <c r="M25" s="181"/>
      <c r="N25" s="126"/>
      <c r="O25" s="127"/>
      <c r="P25" s="13">
        <f t="array" ref="P25">XLOOKUP(B25,Weight!B:B,Weight!D:D,"#N/A",0)</f>
        <v>140</v>
      </c>
      <c r="Q25" s="17" t="str">
        <f t="shared" si="6"/>
        <v/>
      </c>
      <c r="R25" s="107"/>
      <c r="S25" s="108">
        <v>392620.0</v>
      </c>
      <c r="T25" s="108">
        <v>12.0</v>
      </c>
      <c r="U25" s="109">
        <v>60.0</v>
      </c>
      <c r="V25" s="110"/>
      <c r="X25" s="111">
        <f>SUMIFS('Transit Shipment'!$B$10:$B$1048462,'Transit Shipment'!$A$10:$A$1048462,B25,'Transit Shipment'!$C$10:$C$1048462,AA25)</f>
        <v>0</v>
      </c>
      <c r="Y25" s="111">
        <f>IF(SUMIFS(DIH!$S$2:$S833,DIH!$D$2:$D833,B25,DIH!$U$2:$U833,AA25)&gt;0,SUMIFS(DIH!$S$2:$S833,DIH!$D$2:$D833,B25,DIH!$U$2:$U833,AA25),0)</f>
        <v>3</v>
      </c>
      <c r="Z25" s="112">
        <f t="shared" si="7"/>
        <v>3</v>
      </c>
      <c r="AA25" s="119" t="s">
        <v>155</v>
      </c>
      <c r="AB25" s="114">
        <f>IF(ISNA(VLOOKUP($B25,'Business Report'!$D$2:$J$202,2,0)),"",VLOOKUP($B25,'Business Report'!$D$2:$J$202,2,0))</f>
        <v>33</v>
      </c>
      <c r="AC25" s="115">
        <f>SUMIFS(AFS!$P$2:$P$6260,AFS!$N$2:$N$6260,B25,AFS!$AT$2:$AT$6260,AA25)</f>
        <v>1</v>
      </c>
      <c r="AD25" s="116">
        <f t="shared" si="8"/>
        <v>-1</v>
      </c>
      <c r="AE25" s="117"/>
      <c r="AF25" s="118" t="str">
        <f t="shared" si="9"/>
        <v/>
      </c>
      <c r="AG25" s="4"/>
      <c r="AH25" s="26"/>
      <c r="AI25" s="26"/>
    </row>
    <row r="26">
      <c r="A26" s="120" t="s">
        <v>89</v>
      </c>
      <c r="B26" s="7" t="s">
        <v>4</v>
      </c>
      <c r="C26" s="95" t="s">
        <v>167</v>
      </c>
      <c r="D26" s="109" t="s">
        <v>137</v>
      </c>
      <c r="E26" s="97" t="str">
        <f t="shared" si="2"/>
        <v/>
      </c>
      <c r="F26" s="97" t="str">
        <f t="shared" si="3"/>
        <v/>
      </c>
      <c r="G26" s="99" t="str">
        <f t="shared" si="4"/>
        <v/>
      </c>
      <c r="H26" s="121"/>
      <c r="I26" s="122"/>
      <c r="J26" s="102" t="str">
        <f t="shared" si="14"/>
        <v/>
      </c>
      <c r="K26" s="124"/>
      <c r="L26" s="125"/>
      <c r="M26" s="181"/>
      <c r="N26" s="126"/>
      <c r="O26" s="127"/>
      <c r="P26" s="13">
        <f t="array" ref="P26">XLOOKUP(B26,Weight!B:B,Weight!D:D,"#N/A",0)</f>
        <v>140</v>
      </c>
      <c r="Q26" s="17" t="str">
        <f t="shared" si="6"/>
        <v/>
      </c>
      <c r="R26" s="107"/>
      <c r="S26" s="108">
        <v>392620.0</v>
      </c>
      <c r="T26" s="108">
        <v>12.0</v>
      </c>
      <c r="U26" s="109">
        <v>60.0</v>
      </c>
      <c r="V26" s="110"/>
      <c r="X26" s="111">
        <f>SUMIFS('Transit Shipment'!$B$10:$B$1048462,'Transit Shipment'!$A$10:$A$1048462,B26,'Transit Shipment'!$C$10:$C$1048462,AA26)</f>
        <v>0</v>
      </c>
      <c r="Y26" s="111">
        <f>IF(SUMIFS(DIH!$S$2:$S833,DIH!$D$2:$D833,B26,DIH!$U$2:$U833,AA26)&gt;0,SUMIFS(DIH!$S$2:$S833,DIH!$D$2:$D833,B26,DIH!$U$2:$U833,AA26),0)</f>
        <v>17</v>
      </c>
      <c r="Z26" s="112">
        <f t="shared" si="7"/>
        <v>17</v>
      </c>
      <c r="AA26" s="119" t="s">
        <v>156</v>
      </c>
      <c r="AB26" s="114">
        <f>IF(ISNA(VLOOKUP($B26,'Business Report'!$D$2:$J$202,2,0)),"",VLOOKUP($B26,'Business Report'!$D$2:$J$202,2,0))</f>
        <v>33</v>
      </c>
      <c r="AC26" s="115">
        <f>SUMIFS(AFS!$P$2:$P$6260,AFS!$N$2:$N$6260,B26,AFS!$AT$2:$AT$6260,AA26)</f>
        <v>8</v>
      </c>
      <c r="AD26" s="116">
        <f t="shared" si="8"/>
        <v>-6</v>
      </c>
      <c r="AE26" s="117"/>
      <c r="AF26" s="118" t="str">
        <f t="shared" si="9"/>
        <v/>
      </c>
      <c r="AG26" s="4"/>
      <c r="AH26" s="26"/>
      <c r="AI26" s="26"/>
    </row>
    <row r="27">
      <c r="A27" s="120" t="s">
        <v>89</v>
      </c>
      <c r="B27" s="7" t="s">
        <v>4</v>
      </c>
      <c r="C27" s="95" t="s">
        <v>167</v>
      </c>
      <c r="D27" s="109" t="s">
        <v>137</v>
      </c>
      <c r="E27" s="97">
        <f t="shared" si="2"/>
        <v>1</v>
      </c>
      <c r="F27" s="97">
        <f t="shared" si="3"/>
        <v>0.5</v>
      </c>
      <c r="G27" s="99" t="str">
        <f t="shared" si="4"/>
        <v/>
      </c>
      <c r="H27" s="121"/>
      <c r="I27" s="122"/>
      <c r="J27" s="102">
        <f t="shared" si="14"/>
        <v>4</v>
      </c>
      <c r="K27" s="124"/>
      <c r="L27" s="125"/>
      <c r="M27" s="181"/>
      <c r="N27" s="126"/>
      <c r="O27" s="127"/>
      <c r="P27" s="13">
        <f t="array" ref="P27">XLOOKUP(B27,Weight!B:B,Weight!D:D,"#N/A",0)</f>
        <v>140</v>
      </c>
      <c r="Q27" s="17">
        <f t="shared" si="6"/>
        <v>560</v>
      </c>
      <c r="R27" s="107"/>
      <c r="S27" s="108">
        <v>392620.0</v>
      </c>
      <c r="T27" s="108">
        <v>12.0</v>
      </c>
      <c r="U27" s="109">
        <v>60.0</v>
      </c>
      <c r="V27" s="110"/>
      <c r="X27" s="111">
        <f>SUMIFS('Transit Shipment'!$B$10:$B$1048462,'Transit Shipment'!$A$10:$A$1048462,B27,'Transit Shipment'!$C$10:$C$1048462,AA27)</f>
        <v>0</v>
      </c>
      <c r="Y27" s="111">
        <f>IF(SUMIFS(DIH!$S$2:$S833,DIH!$D$2:$D833,B27,DIH!$U$2:$U833,AA27)&gt;0,SUMIFS(DIH!$S$2:$S833,DIH!$D$2:$D833,B27,DIH!$U$2:$U833,AA27),0)</f>
        <v>8</v>
      </c>
      <c r="Z27" s="112">
        <f t="shared" si="7"/>
        <v>8</v>
      </c>
      <c r="AA27" s="130" t="s">
        <v>13</v>
      </c>
      <c r="AB27" s="114">
        <f>IF(ISNA(VLOOKUP($B27,'Business Report'!$D$2:$J$202,2,0)),"",VLOOKUP($B27,'Business Report'!$D$2:$J$202,2,0))</f>
        <v>33</v>
      </c>
      <c r="AC27" s="115">
        <f>SUMIFS(AFS!$P$2:$P$6260,AFS!$N$2:$N$6260,B27,AFS!$AT$2:$AT$6260,AA27)</f>
        <v>8</v>
      </c>
      <c r="AD27" s="116">
        <f t="shared" si="8"/>
        <v>3</v>
      </c>
      <c r="AE27" s="117"/>
      <c r="AF27" s="118">
        <f t="shared" si="9"/>
        <v>4</v>
      </c>
      <c r="AG27" s="26"/>
      <c r="AH27" s="26"/>
      <c r="AI27" s="26"/>
    </row>
    <row r="28">
      <c r="A28" s="120" t="s">
        <v>89</v>
      </c>
      <c r="B28" s="7" t="s">
        <v>4</v>
      </c>
      <c r="C28" s="95" t="s">
        <v>167</v>
      </c>
      <c r="D28" s="109" t="s">
        <v>137</v>
      </c>
      <c r="E28" s="97">
        <f t="shared" si="2"/>
        <v>1</v>
      </c>
      <c r="F28" s="97">
        <f t="shared" si="3"/>
        <v>0.5</v>
      </c>
      <c r="G28" s="99" t="str">
        <f t="shared" si="4"/>
        <v/>
      </c>
      <c r="H28" s="121"/>
      <c r="I28" s="122"/>
      <c r="J28" s="102">
        <f t="shared" si="14"/>
        <v>4</v>
      </c>
      <c r="K28" s="124"/>
      <c r="L28" s="125"/>
      <c r="M28" s="181"/>
      <c r="N28" s="126"/>
      <c r="O28" s="127"/>
      <c r="P28" s="13">
        <f t="array" ref="P28">XLOOKUP(B28,Weight!B:B,Weight!D:D,"#N/A",0)</f>
        <v>140</v>
      </c>
      <c r="Q28" s="17">
        <f t="shared" si="6"/>
        <v>560</v>
      </c>
      <c r="R28" s="107"/>
      <c r="S28" s="108">
        <v>392620.0</v>
      </c>
      <c r="T28" s="108">
        <v>12.0</v>
      </c>
      <c r="U28" s="109">
        <v>60.0</v>
      </c>
      <c r="V28" s="110"/>
      <c r="X28" s="111">
        <f>SUMIFS('Transit Shipment'!$B$10:$B$1048462,'Transit Shipment'!$A$10:$A$1048462,B28,'Transit Shipment'!$C$10:$C$1048462,AA28)</f>
        <v>0</v>
      </c>
      <c r="Y28" s="111">
        <f>IF(SUMIFS(DIH!$S$2:$S833,DIH!$D$2:$D833,B28,DIH!$U$2:$U833,AA28)&gt;0,SUMIFS(DIH!$S$2:$S833,DIH!$D$2:$D833,B28,DIH!$U$2:$U833,AA28),0)</f>
        <v>8</v>
      </c>
      <c r="Z28" s="112">
        <f t="shared" si="7"/>
        <v>8</v>
      </c>
      <c r="AA28" s="119" t="s">
        <v>14</v>
      </c>
      <c r="AB28" s="114">
        <f>IF(ISNA(VLOOKUP($B28,'Business Report'!$D$2:$J$202,2,0)),"",VLOOKUP($B28,'Business Report'!$D$2:$J$202,2,0))</f>
        <v>33</v>
      </c>
      <c r="AC28" s="115">
        <f>SUMIFS(AFS!$P$2:$P$6260,AFS!$N$2:$N$6260,B28,AFS!$AT$2:$AT$6260,AA28)</f>
        <v>8</v>
      </c>
      <c r="AD28" s="116">
        <f t="shared" si="8"/>
        <v>3</v>
      </c>
      <c r="AE28" s="117"/>
      <c r="AF28" s="118">
        <f t="shared" si="9"/>
        <v>4</v>
      </c>
      <c r="AG28" s="26"/>
      <c r="AH28" s="26"/>
      <c r="AI28" s="26"/>
    </row>
    <row r="29">
      <c r="A29" s="120" t="s">
        <v>89</v>
      </c>
      <c r="B29" s="7" t="s">
        <v>4</v>
      </c>
      <c r="C29" s="95" t="s">
        <v>167</v>
      </c>
      <c r="D29" s="109" t="s">
        <v>137</v>
      </c>
      <c r="E29" s="97" t="str">
        <f t="shared" si="2"/>
        <v/>
      </c>
      <c r="F29" s="97" t="str">
        <f t="shared" si="3"/>
        <v/>
      </c>
      <c r="G29" s="99" t="str">
        <f t="shared" si="4"/>
        <v/>
      </c>
      <c r="H29" s="121"/>
      <c r="I29" s="122"/>
      <c r="J29" s="102" t="str">
        <f t="shared" si="14"/>
        <v/>
      </c>
      <c r="K29" s="124"/>
      <c r="L29" s="125"/>
      <c r="M29" s="181"/>
      <c r="N29" s="126"/>
      <c r="O29" s="127"/>
      <c r="P29" s="13">
        <f t="array" ref="P29">XLOOKUP(B29,Weight!B:B,Weight!D:D,"#N/A",0)</f>
        <v>140</v>
      </c>
      <c r="Q29" s="17" t="str">
        <f t="shared" si="6"/>
        <v/>
      </c>
      <c r="R29" s="107"/>
      <c r="S29" s="108">
        <v>392620.0</v>
      </c>
      <c r="T29" s="108">
        <v>12.0</v>
      </c>
      <c r="U29" s="109">
        <v>60.0</v>
      </c>
      <c r="V29" s="110"/>
      <c r="X29" s="111">
        <f>SUMIFS('Transit Shipment'!$B$10:$B$1048462,'Transit Shipment'!$A$10:$A$1048462,B29,'Transit Shipment'!$C$10:$C$1048462,AA29)</f>
        <v>0</v>
      </c>
      <c r="Y29" s="111">
        <f>IF(SUMIFS(DIH!$S$2:$S833,DIH!$D$2:$D833,B29,DIH!$U$2:$U833,AA29)&gt;0,SUMIFS(DIH!$S$2:$S833,DIH!$D$2:$D833,B29,DIH!$U$2:$U833,AA29),0)</f>
        <v>10</v>
      </c>
      <c r="Z29" s="112">
        <f t="shared" si="7"/>
        <v>10</v>
      </c>
      <c r="AA29" s="131" t="s">
        <v>16</v>
      </c>
      <c r="AB29" s="114">
        <f>IF(ISNA(VLOOKUP($B29,'Business Report'!$D$2:$J$202,2,0)),"",VLOOKUP($B29,'Business Report'!$D$2:$J$202,2,0))</f>
        <v>33</v>
      </c>
      <c r="AC29" s="115">
        <f>SUMIFS(AFS!$P$2:$P$6260,AFS!$N$2:$N$6260,B29,AFS!$AT$2:$AT$6260,AA29)</f>
        <v>4</v>
      </c>
      <c r="AD29" s="116">
        <f t="shared" si="8"/>
        <v>-4</v>
      </c>
      <c r="AE29" s="117"/>
      <c r="AF29" s="118" t="str">
        <f t="shared" si="9"/>
        <v/>
      </c>
      <c r="AG29" s="26"/>
      <c r="AH29" s="26"/>
      <c r="AI29" s="26"/>
    </row>
    <row r="30">
      <c r="A30" s="132" t="s">
        <v>89</v>
      </c>
      <c r="B30" s="15" t="s">
        <v>4</v>
      </c>
      <c r="C30" s="133" t="s">
        <v>167</v>
      </c>
      <c r="D30" s="134" t="s">
        <v>137</v>
      </c>
      <c r="E30" s="135">
        <f t="shared" si="2"/>
        <v>1</v>
      </c>
      <c r="F30" s="135">
        <f t="shared" si="3"/>
        <v>0</v>
      </c>
      <c r="G30" s="136" t="str">
        <f t="shared" si="4"/>
        <v/>
      </c>
      <c r="H30" s="137"/>
      <c r="I30" s="138"/>
      <c r="J30" s="139">
        <f t="shared" si="14"/>
        <v>2</v>
      </c>
      <c r="K30" s="140"/>
      <c r="L30" s="135"/>
      <c r="M30" s="152"/>
      <c r="N30" s="142"/>
      <c r="O30" s="143"/>
      <c r="P30" s="144">
        <f t="array" ref="P30">XLOOKUP(B30,Weight!B:B,Weight!D:D,"#N/A",0)</f>
        <v>140</v>
      </c>
      <c r="Q30" s="145">
        <f t="shared" si="6"/>
        <v>280</v>
      </c>
      <c r="R30" s="146"/>
      <c r="S30" s="147">
        <v>392620.0</v>
      </c>
      <c r="T30" s="147">
        <v>12.0</v>
      </c>
      <c r="U30" s="109">
        <v>60.0</v>
      </c>
      <c r="V30" s="148"/>
      <c r="W30" s="149"/>
      <c r="X30" s="150">
        <f>SUMIFS('Transit Shipment'!$B$10:$B$1048462,'Transit Shipment'!$A$10:$A$1048462,B30,'Transit Shipment'!$C$10:$C$1048462,AA30)</f>
        <v>0</v>
      </c>
      <c r="Y30" s="150">
        <f>IF(SUMIFS(DIH!$S$2:$S833,DIH!$D$2:$D833,B30,DIH!$U$2:$U833,AA30)&gt;0,SUMIFS(DIH!$S$2:$S833,DIH!$D$2:$D833,B30,DIH!$U$2:$U833,AA30),0)</f>
        <v>0</v>
      </c>
      <c r="Z30" s="151">
        <f t="shared" si="7"/>
        <v>0</v>
      </c>
      <c r="AA30" s="152" t="s">
        <v>17</v>
      </c>
      <c r="AB30" s="154">
        <f>IF(ISNA(VLOOKUP($B30,'Business Report'!$D$2:$J$202,2,0)),"",VLOOKUP($B30,'Business Report'!$D$2:$J$202,2,0))</f>
        <v>33</v>
      </c>
      <c r="AC30" s="155">
        <f>SUMIFS(AFS!$P$2:$P$6260,AFS!$N$2:$N$6260,B30,AFS!$AT$2:$AT$6260,AA30)</f>
        <v>1</v>
      </c>
      <c r="AD30" s="156">
        <f t="shared" si="8"/>
        <v>2</v>
      </c>
      <c r="AE30" s="159">
        <f>SUM(AD22:AD30)</f>
        <v>-18</v>
      </c>
      <c r="AF30" s="118">
        <f t="shared" si="9"/>
        <v>2</v>
      </c>
      <c r="AG30" s="26"/>
      <c r="AH30" s="26"/>
      <c r="AI30" s="26"/>
    </row>
    <row r="31">
      <c r="A31" s="66" t="s">
        <v>101</v>
      </c>
      <c r="B31" s="1" t="s">
        <v>6</v>
      </c>
      <c r="C31" s="95" t="s">
        <v>174</v>
      </c>
      <c r="D31" s="68" t="s">
        <v>137</v>
      </c>
      <c r="E31" s="69">
        <f t="shared" si="2"/>
        <v>1</v>
      </c>
      <c r="F31" s="69">
        <f t="shared" si="3"/>
        <v>0</v>
      </c>
      <c r="G31" s="70" t="str">
        <f t="shared" si="4"/>
        <v/>
      </c>
      <c r="H31" s="163"/>
      <c r="I31" s="101"/>
      <c r="J31" s="102"/>
      <c r="K31" s="167"/>
      <c r="L31" s="119"/>
      <c r="M31" s="169"/>
      <c r="N31" s="171"/>
      <c r="O31" s="106" t="str">
        <f t="shared" ref="O31:O39" si="16">IF(ISNUMBER($AF31),1*$AF31,"")</f>
        <v/>
      </c>
      <c r="P31" s="79">
        <f t="array" ref="P31">XLOOKUP(B31,Weight!B:B,Weight!D:D,"#N/A",0)</f>
        <v>140</v>
      </c>
      <c r="Q31" s="80" t="str">
        <f t="shared" si="6"/>
        <v/>
      </c>
      <c r="R31" s="107"/>
      <c r="S31" s="108">
        <v>392620.0</v>
      </c>
      <c r="T31" s="108">
        <v>12.0</v>
      </c>
      <c r="U31" s="83">
        <v>60.0</v>
      </c>
      <c r="V31" s="84" t="str">
        <f t="shared" ref="V31:W31" si="15">B31</f>
        <v>Apron_Grey</v>
      </c>
      <c r="W31" s="174" t="str">
        <f t="shared" si="15"/>
        <v>CRASOME Polyester Kitchen Apron for Men Women Chef Cooking Restaurants gardening workshop, barbers With Pockets and Adjustable Strap ( Grey )</v>
      </c>
      <c r="X31" s="86">
        <f>SUMIFS('Transit Shipment'!$B$10:$B$1048462,'Transit Shipment'!$A$10:$A$1048462,B31,'Transit Shipment'!$C$10:$C$1048462,AA31)</f>
        <v>0</v>
      </c>
      <c r="Y31" s="86">
        <f>IF(SUMIFS(DIH!$S$2:$S833,DIH!$D$2:$D833,B31,DIH!$U$2:$U833,AA31)&gt;0,SUMIFS(DIH!$S$2:$S833,DIH!$D$2:$D833,B31,DIH!$U$2:$U833,AA31),0)</f>
        <v>2</v>
      </c>
      <c r="Z31" s="87">
        <f t="shared" si="7"/>
        <v>2</v>
      </c>
      <c r="AA31" s="88" t="s">
        <v>5</v>
      </c>
      <c r="AB31" s="89">
        <f>IF(ISNA(VLOOKUP($B31,'Business Report'!$D$2:$J$202,2,0)),"",VLOOKUP($B31,'Business Report'!$D$2:$J$202,2,0))</f>
        <v>21</v>
      </c>
      <c r="AC31" s="90">
        <f>SUMIFS(AFS!$P$2:$P$6260,AFS!$N$2:$N$6260,B31,AFS!$AT$2:$AT$6260,AA31)</f>
        <v>1</v>
      </c>
      <c r="AD31" s="91">
        <f t="shared" si="8"/>
        <v>0</v>
      </c>
      <c r="AE31" s="92"/>
      <c r="AF31" s="93" t="str">
        <f t="shared" si="9"/>
        <v/>
      </c>
      <c r="AG31" s="26"/>
      <c r="AH31" s="26"/>
      <c r="AI31" s="26"/>
    </row>
    <row r="32">
      <c r="A32" s="94" t="s">
        <v>101</v>
      </c>
      <c r="B32" s="3" t="s">
        <v>6</v>
      </c>
      <c r="C32" s="95" t="s">
        <v>174</v>
      </c>
      <c r="D32" s="96" t="s">
        <v>137</v>
      </c>
      <c r="E32" s="97" t="str">
        <f t="shared" si="2"/>
        <v/>
      </c>
      <c r="F32" s="97" t="str">
        <f t="shared" si="3"/>
        <v/>
      </c>
      <c r="G32" s="99" t="str">
        <f t="shared" si="4"/>
        <v/>
      </c>
      <c r="H32" s="100"/>
      <c r="I32" s="101"/>
      <c r="J32" s="102"/>
      <c r="K32" s="103"/>
      <c r="L32" s="97"/>
      <c r="M32" s="169"/>
      <c r="N32" s="105"/>
      <c r="O32" s="106" t="str">
        <f t="shared" si="16"/>
        <v/>
      </c>
      <c r="P32" s="13">
        <f t="array" ref="P32">XLOOKUP(B32,Weight!B:B,Weight!D:D,"#N/A",0)</f>
        <v>140</v>
      </c>
      <c r="Q32" s="17" t="str">
        <f t="shared" si="6"/>
        <v/>
      </c>
      <c r="R32" s="107"/>
      <c r="S32" s="108">
        <v>392620.0</v>
      </c>
      <c r="T32" s="108">
        <v>12.0</v>
      </c>
      <c r="U32" s="109">
        <v>60.0</v>
      </c>
      <c r="V32" s="110"/>
      <c r="X32" s="111">
        <f>SUMIFS('Transit Shipment'!$B$10:$B$1048462,'Transit Shipment'!$A$10:$A$1048462,B32,'Transit Shipment'!$C$10:$C$1048462,AA32)</f>
        <v>0</v>
      </c>
      <c r="Y32" s="111">
        <f>IF(SUMIFS(DIH!$S$2:$S833,DIH!$D$2:$D833,B32,DIH!$U$2:$U833,AA32)&gt;0,SUMIFS(DIH!$S$2:$S833,DIH!$D$2:$D833,B32,DIH!$U$2:$U833,AA32),0)</f>
        <v>10</v>
      </c>
      <c r="Z32" s="112">
        <f t="shared" si="7"/>
        <v>10</v>
      </c>
      <c r="AA32" s="113" t="s">
        <v>11</v>
      </c>
      <c r="AB32" s="114">
        <f>IF(ISNA(VLOOKUP($B32,'Business Report'!$D$2:$J$202,2,0)),"",VLOOKUP($B32,'Business Report'!$D$2:$J$202,2,0))</f>
        <v>21</v>
      </c>
      <c r="AC32" s="115">
        <f>SUMIFS(AFS!$P$2:$P$6260,AFS!$N$2:$N$6260,B32,AFS!$AT$2:$AT$6260,AA32)</f>
        <v>2</v>
      </c>
      <c r="AD32" s="116">
        <f t="shared" si="8"/>
        <v>-7</v>
      </c>
      <c r="AE32" s="117"/>
      <c r="AF32" s="118" t="str">
        <f t="shared" si="9"/>
        <v/>
      </c>
      <c r="AG32" s="26"/>
      <c r="AH32" s="26"/>
      <c r="AI32" s="26"/>
    </row>
    <row r="33">
      <c r="A33" s="94" t="s">
        <v>101</v>
      </c>
      <c r="B33" s="3" t="s">
        <v>6</v>
      </c>
      <c r="C33" s="95" t="s">
        <v>174</v>
      </c>
      <c r="D33" s="96" t="s">
        <v>137</v>
      </c>
      <c r="E33" s="97">
        <f t="shared" si="2"/>
        <v>0</v>
      </c>
      <c r="F33" s="97">
        <f t="shared" si="3"/>
        <v>0.5</v>
      </c>
      <c r="G33" s="99" t="str">
        <f t="shared" si="4"/>
        <v/>
      </c>
      <c r="H33" s="100"/>
      <c r="I33" s="101"/>
      <c r="J33" s="102"/>
      <c r="K33" s="103"/>
      <c r="L33" s="97"/>
      <c r="M33" s="169"/>
      <c r="N33" s="105"/>
      <c r="O33" s="106">
        <f t="shared" si="16"/>
        <v>2</v>
      </c>
      <c r="P33" s="13">
        <f t="array" ref="P33">XLOOKUP(B33,Weight!B:B,Weight!D:D,"#N/A",0)</f>
        <v>140</v>
      </c>
      <c r="Q33" s="17">
        <f t="shared" si="6"/>
        <v>280</v>
      </c>
      <c r="R33" s="107"/>
      <c r="S33" s="108">
        <v>392620.0</v>
      </c>
      <c r="T33" s="108">
        <v>12.0</v>
      </c>
      <c r="U33" s="109">
        <v>60.0</v>
      </c>
      <c r="V33" s="110"/>
      <c r="X33" s="111">
        <f>SUMIFS('Transit Shipment'!$B$10:$B$1048462,'Transit Shipment'!$A$10:$A$1048462,B33,'Transit Shipment'!$C$10:$C$1048462,AA33)</f>
        <v>0</v>
      </c>
      <c r="Y33" s="111">
        <f>IF(SUMIFS(DIH!$S$2:$S833,DIH!$D$2:$D833,B33,DIH!$U$2:$U833,AA33)&gt;0,SUMIFS(DIH!$S$2:$S833,DIH!$D$2:$D833,B33,DIH!$U$2:$U833,AA33),0)</f>
        <v>1</v>
      </c>
      <c r="Z33" s="112">
        <f t="shared" si="7"/>
        <v>1</v>
      </c>
      <c r="AA33" s="119" t="s">
        <v>9</v>
      </c>
      <c r="AB33" s="114">
        <f>IF(ISNA(VLOOKUP($B33,'Business Report'!$D$2:$J$202,2,0)),"",VLOOKUP($B33,'Business Report'!$D$2:$J$202,2,0))</f>
        <v>21</v>
      </c>
      <c r="AC33" s="115">
        <f>SUMIFS(AFS!$P$2:$P$6260,AFS!$N$2:$N$6260,B33,AFS!$AT$2:$AT$6260,AA33)</f>
        <v>1</v>
      </c>
      <c r="AD33" s="116">
        <f t="shared" si="8"/>
        <v>1</v>
      </c>
      <c r="AE33" s="117"/>
      <c r="AF33" s="118">
        <f t="shared" si="9"/>
        <v>2</v>
      </c>
      <c r="AG33" s="26"/>
      <c r="AH33" s="26"/>
      <c r="AI33" s="26"/>
    </row>
    <row r="34">
      <c r="A34" s="120" t="s">
        <v>101</v>
      </c>
      <c r="B34" s="7" t="s">
        <v>6</v>
      </c>
      <c r="C34" s="95" t="s">
        <v>174</v>
      </c>
      <c r="D34" s="109" t="s">
        <v>137</v>
      </c>
      <c r="E34" s="97" t="str">
        <f t="shared" si="2"/>
        <v/>
      </c>
      <c r="F34" s="97" t="str">
        <f t="shared" si="3"/>
        <v/>
      </c>
      <c r="G34" s="99" t="str">
        <f t="shared" si="4"/>
        <v/>
      </c>
      <c r="H34" s="121"/>
      <c r="I34" s="122"/>
      <c r="J34" s="123"/>
      <c r="K34" s="124"/>
      <c r="L34" s="125"/>
      <c r="M34" s="181"/>
      <c r="N34" s="126"/>
      <c r="O34" s="106" t="str">
        <f t="shared" si="16"/>
        <v/>
      </c>
      <c r="P34" s="13">
        <f t="array" ref="P34">XLOOKUP(B34,Weight!B:B,Weight!D:D,"#N/A",0)</f>
        <v>140</v>
      </c>
      <c r="Q34" s="17" t="str">
        <f t="shared" si="6"/>
        <v/>
      </c>
      <c r="R34" s="107"/>
      <c r="S34" s="108">
        <v>392620.0</v>
      </c>
      <c r="T34" s="108">
        <v>12.0</v>
      </c>
      <c r="U34" s="109">
        <v>60.0</v>
      </c>
      <c r="V34" s="110"/>
      <c r="X34" s="111">
        <f>SUMIFS('Transit Shipment'!$B$10:$B$1048462,'Transit Shipment'!$A$10:$A$1048462,B34,'Transit Shipment'!$C$10:$C$1048462,AA34)</f>
        <v>0</v>
      </c>
      <c r="Y34" s="111">
        <f>IF(SUMIFS(DIH!$S$2:$S833,DIH!$D$2:$D833,B34,DIH!$U$2:$U833,AA34)&gt;0,SUMIFS(DIH!$S$2:$S833,DIH!$D$2:$D833,B34,DIH!$U$2:$U833,AA34),0)</f>
        <v>4</v>
      </c>
      <c r="Z34" s="112">
        <f t="shared" si="7"/>
        <v>4</v>
      </c>
      <c r="AA34" s="119" t="s">
        <v>155</v>
      </c>
      <c r="AB34" s="114">
        <f>IF(ISNA(VLOOKUP($B34,'Business Report'!$D$2:$J$202,2,0)),"",VLOOKUP($B34,'Business Report'!$D$2:$J$202,2,0))</f>
        <v>21</v>
      </c>
      <c r="AC34" s="115">
        <f>SUMIFS(AFS!$P$2:$P$6260,AFS!$N$2:$N$6260,B34,AFS!$AT$2:$AT$6260,AA34)</f>
        <v>0</v>
      </c>
      <c r="AD34" s="116">
        <f t="shared" si="8"/>
        <v>-4</v>
      </c>
      <c r="AE34" s="117"/>
      <c r="AF34" s="118" t="str">
        <f t="shared" si="9"/>
        <v/>
      </c>
      <c r="AG34" s="26"/>
      <c r="AH34" s="26"/>
      <c r="AI34" s="26"/>
    </row>
    <row r="35">
      <c r="A35" s="120" t="s">
        <v>101</v>
      </c>
      <c r="B35" s="7" t="s">
        <v>6</v>
      </c>
      <c r="C35" s="95" t="s">
        <v>174</v>
      </c>
      <c r="D35" s="109" t="s">
        <v>137</v>
      </c>
      <c r="E35" s="97">
        <f t="shared" si="2"/>
        <v>2</v>
      </c>
      <c r="F35" s="97">
        <f t="shared" si="3"/>
        <v>0.5</v>
      </c>
      <c r="G35" s="99" t="str">
        <f t="shared" si="4"/>
        <v/>
      </c>
      <c r="H35" s="121"/>
      <c r="I35" s="122"/>
      <c r="J35" s="123"/>
      <c r="K35" s="124"/>
      <c r="L35" s="125"/>
      <c r="M35" s="181"/>
      <c r="N35" s="126"/>
      <c r="O35" s="106">
        <f t="shared" si="16"/>
        <v>6</v>
      </c>
      <c r="P35" s="13">
        <f t="array" ref="P35">XLOOKUP(B35,Weight!B:B,Weight!D:D,"#N/A",0)</f>
        <v>140</v>
      </c>
      <c r="Q35" s="17">
        <f t="shared" si="6"/>
        <v>840</v>
      </c>
      <c r="R35" s="107"/>
      <c r="S35" s="108">
        <v>392620.0</v>
      </c>
      <c r="T35" s="108">
        <v>12.0</v>
      </c>
      <c r="U35" s="109">
        <v>60.0</v>
      </c>
      <c r="V35" s="110"/>
      <c r="X35" s="111">
        <f>SUMIFS('Transit Shipment'!$B$10:$B$1048462,'Transit Shipment'!$A$10:$A$1048462,B35,'Transit Shipment'!$C$10:$C$1048462,AA35)</f>
        <v>0</v>
      </c>
      <c r="Y35" s="111">
        <f>IF(SUMIFS(DIH!$S$2:$S833,DIH!$D$2:$D833,B35,DIH!$U$2:$U833,AA35)&gt;0,SUMIFS(DIH!$S$2:$S833,DIH!$D$2:$D833,B35,DIH!$U$2:$U833,AA35),0)</f>
        <v>3</v>
      </c>
      <c r="Z35" s="112">
        <f t="shared" si="7"/>
        <v>3</v>
      </c>
      <c r="AA35" s="119" t="s">
        <v>156</v>
      </c>
      <c r="AB35" s="114">
        <f>IF(ISNA(VLOOKUP($B35,'Business Report'!$D$2:$J$202,2,0)),"",VLOOKUP($B35,'Business Report'!$D$2:$J$202,2,0))</f>
        <v>21</v>
      </c>
      <c r="AC35" s="115">
        <f>SUMIFS(AFS!$P$2:$P$6260,AFS!$N$2:$N$6260,B35,AFS!$AT$2:$AT$6260,AA35)</f>
        <v>6</v>
      </c>
      <c r="AD35" s="116">
        <f t="shared" si="8"/>
        <v>5</v>
      </c>
      <c r="AE35" s="117"/>
      <c r="AF35" s="118">
        <f t="shared" si="9"/>
        <v>6</v>
      </c>
      <c r="AG35" s="26"/>
      <c r="AH35" s="26"/>
      <c r="AI35" s="26"/>
    </row>
    <row r="36">
      <c r="A36" s="120" t="s">
        <v>101</v>
      </c>
      <c r="B36" s="7" t="s">
        <v>6</v>
      </c>
      <c r="C36" s="95" t="s">
        <v>174</v>
      </c>
      <c r="D36" s="109" t="s">
        <v>137</v>
      </c>
      <c r="E36" s="97" t="str">
        <f t="shared" si="2"/>
        <v/>
      </c>
      <c r="F36" s="97" t="str">
        <f t="shared" si="3"/>
        <v/>
      </c>
      <c r="G36" s="99" t="str">
        <f t="shared" si="4"/>
        <v/>
      </c>
      <c r="H36" s="121"/>
      <c r="I36" s="122"/>
      <c r="J36" s="123"/>
      <c r="K36" s="124"/>
      <c r="L36" s="125"/>
      <c r="M36" s="181"/>
      <c r="N36" s="126"/>
      <c r="O36" s="106" t="str">
        <f t="shared" si="16"/>
        <v/>
      </c>
      <c r="P36" s="13">
        <f t="array" ref="P36">XLOOKUP(B36,Weight!B:B,Weight!D:D,"#N/A",0)</f>
        <v>140</v>
      </c>
      <c r="Q36" s="17" t="str">
        <f t="shared" si="6"/>
        <v/>
      </c>
      <c r="R36" s="107"/>
      <c r="S36" s="108">
        <v>392620.0</v>
      </c>
      <c r="T36" s="108">
        <v>12.0</v>
      </c>
      <c r="U36" s="109">
        <v>60.0</v>
      </c>
      <c r="V36" s="110"/>
      <c r="X36" s="111">
        <f>SUMIFS('Transit Shipment'!$B$10:$B$1048462,'Transit Shipment'!$A$10:$A$1048462,B36,'Transit Shipment'!$C$10:$C$1048462,AA36)</f>
        <v>0</v>
      </c>
      <c r="Y36" s="111">
        <f>IF(SUMIFS(DIH!$S$2:$S833,DIH!$D$2:$D833,B36,DIH!$U$2:$U833,AA36)&gt;0,SUMIFS(DIH!$S$2:$S833,DIH!$D$2:$D833,B36,DIH!$U$2:$U833,AA36),0)</f>
        <v>3</v>
      </c>
      <c r="Z36" s="112">
        <f t="shared" si="7"/>
        <v>3</v>
      </c>
      <c r="AA36" s="130" t="s">
        <v>13</v>
      </c>
      <c r="AB36" s="114">
        <f>IF(ISNA(VLOOKUP($B36,'Business Report'!$D$2:$J$202,2,0)),"",VLOOKUP($B36,'Business Report'!$D$2:$J$202,2,0))</f>
        <v>21</v>
      </c>
      <c r="AC36" s="115">
        <f>SUMIFS(AFS!$P$2:$P$6260,AFS!$N$2:$N$6260,B36,AFS!$AT$2:$AT$6260,AA36)</f>
        <v>0</v>
      </c>
      <c r="AD36" s="116">
        <f t="shared" si="8"/>
        <v>-3</v>
      </c>
      <c r="AE36" s="117"/>
      <c r="AF36" s="118" t="str">
        <f t="shared" si="9"/>
        <v/>
      </c>
      <c r="AG36" s="26"/>
      <c r="AH36" s="26"/>
      <c r="AI36" s="26"/>
    </row>
    <row r="37">
      <c r="A37" s="120" t="s">
        <v>101</v>
      </c>
      <c r="B37" s="7" t="s">
        <v>6</v>
      </c>
      <c r="C37" s="95" t="s">
        <v>174</v>
      </c>
      <c r="D37" s="109" t="s">
        <v>137</v>
      </c>
      <c r="E37" s="97" t="str">
        <f t="shared" si="2"/>
        <v/>
      </c>
      <c r="F37" s="97" t="str">
        <f t="shared" si="3"/>
        <v/>
      </c>
      <c r="G37" s="99" t="str">
        <f t="shared" si="4"/>
        <v/>
      </c>
      <c r="H37" s="121"/>
      <c r="I37" s="122"/>
      <c r="J37" s="123"/>
      <c r="K37" s="124"/>
      <c r="L37" s="125"/>
      <c r="M37" s="181"/>
      <c r="N37" s="126"/>
      <c r="O37" s="106" t="str">
        <f t="shared" si="16"/>
        <v/>
      </c>
      <c r="P37" s="13">
        <f t="array" ref="P37">XLOOKUP(B37,Weight!B:B,Weight!D:D,"#N/A",0)</f>
        <v>140</v>
      </c>
      <c r="Q37" s="17" t="str">
        <f t="shared" si="6"/>
        <v/>
      </c>
      <c r="R37" s="107"/>
      <c r="S37" s="108">
        <v>392620.0</v>
      </c>
      <c r="T37" s="108">
        <v>12.0</v>
      </c>
      <c r="U37" s="109">
        <v>60.0</v>
      </c>
      <c r="V37" s="110"/>
      <c r="X37" s="111">
        <f>SUMIFS('Transit Shipment'!$B$10:$B$1048462,'Transit Shipment'!$A$10:$A$1048462,B37,'Transit Shipment'!$C$10:$C$1048462,AA37)</f>
        <v>0</v>
      </c>
      <c r="Y37" s="111">
        <f>IF(SUMIFS(DIH!$S$2:$S833,DIH!$D$2:$D833,B37,DIH!$U$2:$U833,AA37)&gt;0,SUMIFS(DIH!$S$2:$S833,DIH!$D$2:$D833,B37,DIH!$U$2:$U833,AA37),0)</f>
        <v>12</v>
      </c>
      <c r="Z37" s="112">
        <f t="shared" si="7"/>
        <v>12</v>
      </c>
      <c r="AA37" s="119" t="s">
        <v>14</v>
      </c>
      <c r="AB37" s="114">
        <f>IF(ISNA(VLOOKUP($B37,'Business Report'!$D$2:$J$202,2,0)),"",VLOOKUP($B37,'Business Report'!$D$2:$J$202,2,0))</f>
        <v>21</v>
      </c>
      <c r="AC37" s="115">
        <f>SUMIFS(AFS!$P$2:$P$6260,AFS!$N$2:$N$6260,B37,AFS!$AT$2:$AT$6260,AA37)</f>
        <v>1</v>
      </c>
      <c r="AD37" s="116">
        <f t="shared" si="8"/>
        <v>-10</v>
      </c>
      <c r="AE37" s="117"/>
      <c r="AF37" s="118" t="str">
        <f t="shared" si="9"/>
        <v/>
      </c>
      <c r="AG37" s="26"/>
      <c r="AH37" s="26"/>
      <c r="AI37" s="26"/>
    </row>
    <row r="38">
      <c r="A38" s="120" t="s">
        <v>101</v>
      </c>
      <c r="B38" s="7" t="s">
        <v>6</v>
      </c>
      <c r="C38" s="95" t="s">
        <v>174</v>
      </c>
      <c r="D38" s="109" t="s">
        <v>137</v>
      </c>
      <c r="E38" s="97">
        <f t="shared" si="2"/>
        <v>1</v>
      </c>
      <c r="F38" s="97">
        <f t="shared" si="3"/>
        <v>0</v>
      </c>
      <c r="G38" s="99" t="str">
        <f t="shared" si="4"/>
        <v/>
      </c>
      <c r="H38" s="121"/>
      <c r="I38" s="122"/>
      <c r="J38" s="123"/>
      <c r="K38" s="124"/>
      <c r="L38" s="125"/>
      <c r="M38" s="181"/>
      <c r="N38" s="126"/>
      <c r="O38" s="106" t="str">
        <f t="shared" si="16"/>
        <v/>
      </c>
      <c r="P38" s="13">
        <f t="array" ref="P38">XLOOKUP(B38,Weight!B:B,Weight!D:D,"#N/A",0)</f>
        <v>140</v>
      </c>
      <c r="Q38" s="17" t="str">
        <f t="shared" si="6"/>
        <v/>
      </c>
      <c r="R38" s="107"/>
      <c r="S38" s="108">
        <v>392620.0</v>
      </c>
      <c r="T38" s="108">
        <v>12.0</v>
      </c>
      <c r="U38" s="109">
        <v>60.0</v>
      </c>
      <c r="V38" s="110"/>
      <c r="X38" s="111">
        <f>SUMIFS('Transit Shipment'!$B$10:$B$1048462,'Transit Shipment'!$A$10:$A$1048462,B38,'Transit Shipment'!$C$10:$C$1048462,AA38)</f>
        <v>0</v>
      </c>
      <c r="Y38" s="111">
        <f>IF(SUMIFS(DIH!$S$2:$S833,DIH!$D$2:$D833,B38,DIH!$U$2:$U833,AA38)&gt;0,SUMIFS(DIH!$S$2:$S833,DIH!$D$2:$D833,B38,DIH!$U$2:$U833,AA38),0)</f>
        <v>2</v>
      </c>
      <c r="Z38" s="112">
        <f t="shared" si="7"/>
        <v>2</v>
      </c>
      <c r="AA38" s="131" t="s">
        <v>16</v>
      </c>
      <c r="AB38" s="114">
        <f>IF(ISNA(VLOOKUP($B38,'Business Report'!$D$2:$J$202,2,0)),"",VLOOKUP($B38,'Business Report'!$D$2:$J$202,2,0))</f>
        <v>21</v>
      </c>
      <c r="AC38" s="115">
        <f>SUMIFS(AFS!$P$2:$P$6260,AFS!$N$2:$N$6260,B38,AFS!$AT$2:$AT$6260,AA38)</f>
        <v>1</v>
      </c>
      <c r="AD38" s="116">
        <f t="shared" si="8"/>
        <v>0</v>
      </c>
      <c r="AE38" s="117"/>
      <c r="AF38" s="118" t="str">
        <f t="shared" si="9"/>
        <v/>
      </c>
      <c r="AG38" s="26"/>
      <c r="AH38" s="26"/>
      <c r="AI38" s="26"/>
    </row>
    <row r="39">
      <c r="A39" s="132" t="s">
        <v>101</v>
      </c>
      <c r="B39" s="15" t="s">
        <v>6</v>
      </c>
      <c r="C39" s="133" t="s">
        <v>174</v>
      </c>
      <c r="D39" s="134" t="s">
        <v>137</v>
      </c>
      <c r="E39" s="135">
        <f t="shared" si="2"/>
        <v>1</v>
      </c>
      <c r="F39" s="135">
        <f t="shared" si="3"/>
        <v>0</v>
      </c>
      <c r="G39" s="136" t="str">
        <f t="shared" si="4"/>
        <v/>
      </c>
      <c r="H39" s="137"/>
      <c r="I39" s="138"/>
      <c r="J39" s="139"/>
      <c r="K39" s="140"/>
      <c r="L39" s="135"/>
      <c r="M39" s="152"/>
      <c r="N39" s="142"/>
      <c r="O39" s="143" t="str">
        <f t="shared" si="16"/>
        <v/>
      </c>
      <c r="P39" s="144">
        <f t="array" ref="P39">XLOOKUP(B39,Weight!B:B,Weight!D:D,"#N/A",0)</f>
        <v>140</v>
      </c>
      <c r="Q39" s="145" t="str">
        <f t="shared" si="6"/>
        <v/>
      </c>
      <c r="R39" s="146"/>
      <c r="S39" s="147">
        <v>392620.0</v>
      </c>
      <c r="T39" s="147">
        <v>12.0</v>
      </c>
      <c r="U39" s="109">
        <v>60.0</v>
      </c>
      <c r="V39" s="148"/>
      <c r="W39" s="149"/>
      <c r="X39" s="150">
        <f>SUMIFS('Transit Shipment'!$B$10:$B$1048462,'Transit Shipment'!$A$10:$A$1048462,B39,'Transit Shipment'!$C$10:$C$1048462,AA39)</f>
        <v>0</v>
      </c>
      <c r="Y39" s="150">
        <f>IF(SUMIFS(DIH!$S$2:$S833,DIH!$D$2:$D833,B39,DIH!$U$2:$U833,AA39)&gt;0,SUMIFS(DIH!$S$2:$S833,DIH!$D$2:$D833,B39,DIH!$U$2:$U833,AA39),0)</f>
        <v>0</v>
      </c>
      <c r="Z39" s="151">
        <f t="shared" si="7"/>
        <v>0</v>
      </c>
      <c r="AA39" s="152" t="s">
        <v>17</v>
      </c>
      <c r="AB39" s="154">
        <f>IF(ISNA(VLOOKUP($B39,'Business Report'!$D$2:$J$202,2,0)),"",VLOOKUP($B39,'Business Report'!$D$2:$J$202,2,0))</f>
        <v>21</v>
      </c>
      <c r="AC39" s="155">
        <f>SUMIFS(AFS!$P$2:$P$6260,AFS!$N$2:$N$6260,B39,AFS!$AT$2:$AT$6260,AA39)</f>
        <v>0</v>
      </c>
      <c r="AD39" s="156">
        <f t="shared" si="8"/>
        <v>0</v>
      </c>
      <c r="AE39" s="159">
        <f>SUM(AD31:AD39)</f>
        <v>-18</v>
      </c>
      <c r="AF39" s="118" t="str">
        <f t="shared" si="9"/>
        <v/>
      </c>
      <c r="AG39" s="26"/>
      <c r="AH39" s="26"/>
      <c r="AI39" s="26"/>
    </row>
    <row r="40">
      <c r="A40" s="66" t="s">
        <v>97</v>
      </c>
      <c r="B40" s="1" t="s">
        <v>8</v>
      </c>
      <c r="C40" s="95" t="s">
        <v>181</v>
      </c>
      <c r="D40" s="68" t="s">
        <v>137</v>
      </c>
      <c r="E40" s="69">
        <f t="shared" si="2"/>
        <v>1</v>
      </c>
      <c r="F40" s="69">
        <f t="shared" si="3"/>
        <v>0</v>
      </c>
      <c r="G40" s="70" t="str">
        <f t="shared" si="4"/>
        <v/>
      </c>
      <c r="H40" s="163"/>
      <c r="I40" s="101"/>
      <c r="J40" s="102"/>
      <c r="K40" s="167"/>
      <c r="L40" s="119"/>
      <c r="M40" s="169"/>
      <c r="N40" s="171" t="str">
        <f t="shared" ref="N40:N48" si="18">IF(ISNUMBER($AF40),1*$AF40,"")</f>
        <v/>
      </c>
      <c r="O40" s="106"/>
      <c r="P40" s="79">
        <f t="array" ref="P40">XLOOKUP(B40,Weight!B:B,Weight!D:D,"#N/A",0)</f>
        <v>140</v>
      </c>
      <c r="Q40" s="80" t="str">
        <f t="shared" si="6"/>
        <v/>
      </c>
      <c r="R40" s="107"/>
      <c r="S40" s="108">
        <v>392620.0</v>
      </c>
      <c r="T40" s="108">
        <v>12.0</v>
      </c>
      <c r="U40" s="83">
        <v>60.0</v>
      </c>
      <c r="V40" s="84" t="str">
        <f t="shared" ref="V40:W40" si="17">B40</f>
        <v>Apron_Red</v>
      </c>
      <c r="W40" s="174" t="str">
        <f t="shared" si="17"/>
        <v>CRASOME Polyester Kitchen Apron for Men Women Chef Cooking Restaurants gardening workshop, barbers With Pockets and Adjustable Strap ( Red )</v>
      </c>
      <c r="X40" s="86">
        <f>SUMIFS('Transit Shipment'!$B$10:$B$1048462,'Transit Shipment'!$A$10:$A$1048462,B40,'Transit Shipment'!$C$10:$C$1048462,AA40)</f>
        <v>0</v>
      </c>
      <c r="Y40" s="86">
        <f>IF(SUMIFS(DIH!$S$2:$S833,DIH!$D$2:$D833,B40,DIH!$U$2:$U833,AA40)&gt;0,SUMIFS(DIH!$S$2:$S833,DIH!$D$2:$D833,B40,DIH!$U$2:$U833,AA40),0)</f>
        <v>0</v>
      </c>
      <c r="Z40" s="87">
        <f t="shared" si="7"/>
        <v>0</v>
      </c>
      <c r="AA40" s="88" t="s">
        <v>5</v>
      </c>
      <c r="AB40" s="89">
        <f>IF(ISNA(VLOOKUP($B40,'Business Report'!$D$2:$J$202,2,0)),"",VLOOKUP($B40,'Business Report'!$D$2:$J$202,2,0))</f>
        <v>12</v>
      </c>
      <c r="AC40" s="90">
        <f>SUMIFS(AFS!$P$2:$P$6260,AFS!$N$2:$N$6260,B40,AFS!$AT$2:$AT$6260,AA40)</f>
        <v>0</v>
      </c>
      <c r="AD40" s="91">
        <f t="shared" si="8"/>
        <v>0</v>
      </c>
      <c r="AE40" s="92"/>
      <c r="AF40" s="93" t="str">
        <f t="shared" si="9"/>
        <v/>
      </c>
      <c r="AG40" s="26"/>
      <c r="AH40" s="26"/>
      <c r="AI40" s="26"/>
    </row>
    <row r="41">
      <c r="A41" s="94" t="s">
        <v>97</v>
      </c>
      <c r="B41" s="3" t="s">
        <v>8</v>
      </c>
      <c r="C41" s="95" t="s">
        <v>181</v>
      </c>
      <c r="D41" s="96" t="s">
        <v>137</v>
      </c>
      <c r="E41" s="97">
        <f t="shared" si="2"/>
        <v>2</v>
      </c>
      <c r="F41" s="97">
        <f t="shared" si="3"/>
        <v>0</v>
      </c>
      <c r="G41" s="99" t="str">
        <f t="shared" si="4"/>
        <v/>
      </c>
      <c r="H41" s="100"/>
      <c r="I41" s="101"/>
      <c r="J41" s="102"/>
      <c r="K41" s="103"/>
      <c r="L41" s="97"/>
      <c r="M41" s="169"/>
      <c r="N41" s="105">
        <f t="shared" si="18"/>
        <v>4</v>
      </c>
      <c r="O41" s="106"/>
      <c r="P41" s="13">
        <f t="array" ref="P41">XLOOKUP(B41,Weight!B:B,Weight!D:D,"#N/A",0)</f>
        <v>140</v>
      </c>
      <c r="Q41" s="17">
        <f t="shared" si="6"/>
        <v>560</v>
      </c>
      <c r="R41" s="107"/>
      <c r="S41" s="108">
        <v>392620.0</v>
      </c>
      <c r="T41" s="108">
        <v>12.0</v>
      </c>
      <c r="U41" s="109">
        <v>60.0</v>
      </c>
      <c r="V41" s="110"/>
      <c r="X41" s="111">
        <f>SUMIFS('Transit Shipment'!$B$10:$B$1048462,'Transit Shipment'!$A$10:$A$1048462,B41,'Transit Shipment'!$C$10:$C$1048462,AA41)</f>
        <v>0</v>
      </c>
      <c r="Y41" s="111">
        <f>IF(SUMIFS(DIH!$S$2:$S833,DIH!$D$2:$D833,B41,DIH!$U$2:$U833,AA41)&gt;0,SUMIFS(DIH!$S$2:$S833,DIH!$D$2:$D833,B41,DIH!$U$2:$U833,AA41),0)</f>
        <v>0</v>
      </c>
      <c r="Z41" s="112">
        <f t="shared" si="7"/>
        <v>0</v>
      </c>
      <c r="AA41" s="113" t="s">
        <v>11</v>
      </c>
      <c r="AB41" s="114">
        <f>IF(ISNA(VLOOKUP($B41,'Business Report'!$D$2:$J$202,2,0)),"",VLOOKUP($B41,'Business Report'!$D$2:$J$202,2,0))</f>
        <v>12</v>
      </c>
      <c r="AC41" s="115">
        <f>SUMIFS(AFS!$P$2:$P$6260,AFS!$N$2:$N$6260,B41,AFS!$AT$2:$AT$6260,AA41)</f>
        <v>3</v>
      </c>
      <c r="AD41" s="116">
        <f t="shared" si="8"/>
        <v>4</v>
      </c>
      <c r="AE41" s="117"/>
      <c r="AF41" s="118">
        <f t="shared" si="9"/>
        <v>4</v>
      </c>
      <c r="AG41" s="26"/>
      <c r="AH41" s="26"/>
      <c r="AI41" s="26"/>
    </row>
    <row r="42">
      <c r="A42" s="94" t="s">
        <v>97</v>
      </c>
      <c r="B42" s="3" t="s">
        <v>8</v>
      </c>
      <c r="C42" s="95" t="s">
        <v>181</v>
      </c>
      <c r="D42" s="96" t="s">
        <v>137</v>
      </c>
      <c r="E42" s="97">
        <f t="shared" si="2"/>
        <v>1</v>
      </c>
      <c r="F42" s="97">
        <f t="shared" si="3"/>
        <v>0</v>
      </c>
      <c r="G42" s="99" t="str">
        <f t="shared" si="4"/>
        <v/>
      </c>
      <c r="H42" s="100"/>
      <c r="I42" s="101"/>
      <c r="J42" s="102"/>
      <c r="K42" s="103"/>
      <c r="L42" s="97"/>
      <c r="M42" s="169"/>
      <c r="N42" s="105" t="str">
        <f t="shared" si="18"/>
        <v/>
      </c>
      <c r="O42" s="106"/>
      <c r="P42" s="13">
        <f t="array" ref="P42">XLOOKUP(B42,Weight!B:B,Weight!D:D,"#N/A",0)</f>
        <v>140</v>
      </c>
      <c r="Q42" s="17" t="str">
        <f t="shared" si="6"/>
        <v/>
      </c>
      <c r="R42" s="107"/>
      <c r="S42" s="108">
        <v>392620.0</v>
      </c>
      <c r="T42" s="108">
        <v>12.0</v>
      </c>
      <c r="U42" s="109">
        <v>60.0</v>
      </c>
      <c r="V42" s="110"/>
      <c r="X42" s="111">
        <f>SUMIFS('Transit Shipment'!$B$10:$B$1048462,'Transit Shipment'!$A$10:$A$1048462,B42,'Transit Shipment'!$C$10:$C$1048462,AA42)</f>
        <v>0</v>
      </c>
      <c r="Y42" s="111">
        <f>IF(SUMIFS(DIH!$S$2:$S833,DIH!$D$2:$D833,B42,DIH!$U$2:$U833,AA42)&gt;0,SUMIFS(DIH!$S$2:$S833,DIH!$D$2:$D833,B42,DIH!$U$2:$U833,AA42),0)</f>
        <v>0</v>
      </c>
      <c r="Z42" s="112">
        <f t="shared" si="7"/>
        <v>0</v>
      </c>
      <c r="AA42" s="119" t="s">
        <v>9</v>
      </c>
      <c r="AB42" s="114">
        <f>IF(ISNA(VLOOKUP($B42,'Business Report'!$D$2:$J$202,2,0)),"",VLOOKUP($B42,'Business Report'!$D$2:$J$202,2,0))</f>
        <v>12</v>
      </c>
      <c r="AC42" s="115">
        <f>SUMIFS(AFS!$P$2:$P$6260,AFS!$N$2:$N$6260,B42,AFS!$AT$2:$AT$6260,AA42)</f>
        <v>0</v>
      </c>
      <c r="AD42" s="116">
        <f t="shared" si="8"/>
        <v>0</v>
      </c>
      <c r="AE42" s="117"/>
      <c r="AF42" s="118" t="str">
        <f t="shared" si="9"/>
        <v/>
      </c>
      <c r="AG42" s="26"/>
      <c r="AH42" s="26"/>
      <c r="AI42" s="26"/>
    </row>
    <row r="43">
      <c r="A43" s="120" t="s">
        <v>97</v>
      </c>
      <c r="B43" s="7" t="s">
        <v>8</v>
      </c>
      <c r="C43" s="95" t="s">
        <v>181</v>
      </c>
      <c r="D43" s="109" t="s">
        <v>137</v>
      </c>
      <c r="E43" s="97">
        <f t="shared" si="2"/>
        <v>1</v>
      </c>
      <c r="F43" s="97">
        <f t="shared" si="3"/>
        <v>0</v>
      </c>
      <c r="G43" s="99" t="str">
        <f t="shared" si="4"/>
        <v/>
      </c>
      <c r="H43" s="121"/>
      <c r="I43" s="122"/>
      <c r="J43" s="123"/>
      <c r="K43" s="124"/>
      <c r="L43" s="125"/>
      <c r="M43" s="181"/>
      <c r="N43" s="105" t="str">
        <f t="shared" si="18"/>
        <v/>
      </c>
      <c r="O43" s="127"/>
      <c r="P43" s="13">
        <f t="array" ref="P43">XLOOKUP(B43,Weight!B:B,Weight!D:D,"#N/A",0)</f>
        <v>140</v>
      </c>
      <c r="Q43" s="17" t="str">
        <f t="shared" si="6"/>
        <v/>
      </c>
      <c r="R43" s="107"/>
      <c r="S43" s="108">
        <v>392620.0</v>
      </c>
      <c r="T43" s="108">
        <v>12.0</v>
      </c>
      <c r="U43" s="109">
        <v>60.0</v>
      </c>
      <c r="V43" s="110"/>
      <c r="X43" s="111">
        <f>SUMIFS('Transit Shipment'!$B$10:$B$1048462,'Transit Shipment'!$A$10:$A$1048462,B43,'Transit Shipment'!$C$10:$C$1048462,AA43)</f>
        <v>0</v>
      </c>
      <c r="Y43" s="111">
        <f>IF(SUMIFS(DIH!$S$2:$S833,DIH!$D$2:$D833,B43,DIH!$U$2:$U833,AA43)&gt;0,SUMIFS(DIH!$S$2:$S833,DIH!$D$2:$D833,B43,DIH!$U$2:$U833,AA43),0)</f>
        <v>0</v>
      </c>
      <c r="Z43" s="112">
        <f t="shared" si="7"/>
        <v>0</v>
      </c>
      <c r="AA43" s="119" t="s">
        <v>155</v>
      </c>
      <c r="AB43" s="114">
        <f>IF(ISNA(VLOOKUP($B43,'Business Report'!$D$2:$J$202,2,0)),"",VLOOKUP($B43,'Business Report'!$D$2:$J$202,2,0))</f>
        <v>12</v>
      </c>
      <c r="AC43" s="115">
        <f>SUMIFS(AFS!$P$2:$P$6260,AFS!$N$2:$N$6260,B43,AFS!$AT$2:$AT$6260,AA43)</f>
        <v>0</v>
      </c>
      <c r="AD43" s="116">
        <f t="shared" si="8"/>
        <v>0</v>
      </c>
      <c r="AE43" s="117"/>
      <c r="AF43" s="118" t="str">
        <f t="shared" si="9"/>
        <v/>
      </c>
      <c r="AG43" s="26"/>
      <c r="AH43" s="26"/>
      <c r="AI43" s="26"/>
    </row>
    <row r="44">
      <c r="A44" s="120" t="s">
        <v>97</v>
      </c>
      <c r="B44" s="7" t="s">
        <v>8</v>
      </c>
      <c r="C44" s="95" t="s">
        <v>181</v>
      </c>
      <c r="D44" s="109" t="s">
        <v>137</v>
      </c>
      <c r="E44" s="97">
        <f t="shared" si="2"/>
        <v>1</v>
      </c>
      <c r="F44" s="97">
        <f t="shared" si="3"/>
        <v>0</v>
      </c>
      <c r="G44" s="99" t="str">
        <f t="shared" si="4"/>
        <v/>
      </c>
      <c r="H44" s="121"/>
      <c r="I44" s="122"/>
      <c r="J44" s="123"/>
      <c r="K44" s="124"/>
      <c r="L44" s="125"/>
      <c r="M44" s="181"/>
      <c r="N44" s="105" t="str">
        <f t="shared" si="18"/>
        <v/>
      </c>
      <c r="O44" s="127"/>
      <c r="P44" s="13">
        <f t="array" ref="P44">XLOOKUP(B44,Weight!B:B,Weight!D:D,"#N/A",0)</f>
        <v>140</v>
      </c>
      <c r="Q44" s="17" t="str">
        <f t="shared" si="6"/>
        <v/>
      </c>
      <c r="R44" s="107"/>
      <c r="S44" s="108">
        <v>392620.0</v>
      </c>
      <c r="T44" s="108">
        <v>12.0</v>
      </c>
      <c r="U44" s="109">
        <v>60.0</v>
      </c>
      <c r="V44" s="110"/>
      <c r="X44" s="111">
        <f>SUMIFS('Transit Shipment'!$B$10:$B$1048462,'Transit Shipment'!$A$10:$A$1048462,B44,'Transit Shipment'!$C$10:$C$1048462,AA44)</f>
        <v>0</v>
      </c>
      <c r="Y44" s="111">
        <f>IF(SUMIFS(DIH!$S$2:$S833,DIH!$D$2:$D833,B44,DIH!$U$2:$U833,AA44)&gt;0,SUMIFS(DIH!$S$2:$S833,DIH!$D$2:$D833,B44,DIH!$U$2:$U833,AA44),0)</f>
        <v>0</v>
      </c>
      <c r="Z44" s="112">
        <f t="shared" si="7"/>
        <v>0</v>
      </c>
      <c r="AA44" s="119" t="s">
        <v>156</v>
      </c>
      <c r="AB44" s="114">
        <f>IF(ISNA(VLOOKUP($B44,'Business Report'!$D$2:$J$202,2,0)),"",VLOOKUP($B44,'Business Report'!$D$2:$J$202,2,0))</f>
        <v>12</v>
      </c>
      <c r="AC44" s="115">
        <f>SUMIFS(AFS!$P$2:$P$6260,AFS!$N$2:$N$6260,B44,AFS!$AT$2:$AT$6260,AA44)</f>
        <v>0</v>
      </c>
      <c r="AD44" s="116">
        <f t="shared" si="8"/>
        <v>0</v>
      </c>
      <c r="AE44" s="117"/>
      <c r="AF44" s="118" t="str">
        <f t="shared" si="9"/>
        <v/>
      </c>
      <c r="AG44" s="26"/>
      <c r="AH44" s="26"/>
      <c r="AI44" s="26"/>
    </row>
    <row r="45">
      <c r="A45" s="120" t="s">
        <v>97</v>
      </c>
      <c r="B45" s="7" t="s">
        <v>8</v>
      </c>
      <c r="C45" s="95" t="s">
        <v>181</v>
      </c>
      <c r="D45" s="109" t="s">
        <v>137</v>
      </c>
      <c r="E45" s="97">
        <f t="shared" si="2"/>
        <v>1</v>
      </c>
      <c r="F45" s="97">
        <f t="shared" si="3"/>
        <v>0</v>
      </c>
      <c r="G45" s="99" t="str">
        <f t="shared" si="4"/>
        <v/>
      </c>
      <c r="H45" s="121"/>
      <c r="I45" s="122"/>
      <c r="J45" s="123"/>
      <c r="K45" s="124"/>
      <c r="L45" s="125"/>
      <c r="M45" s="181"/>
      <c r="N45" s="105" t="str">
        <f t="shared" si="18"/>
        <v/>
      </c>
      <c r="O45" s="127"/>
      <c r="P45" s="13">
        <f t="array" ref="P45">XLOOKUP(B45,Weight!B:B,Weight!D:D,"#N/A",0)</f>
        <v>140</v>
      </c>
      <c r="Q45" s="17" t="str">
        <f t="shared" si="6"/>
        <v/>
      </c>
      <c r="R45" s="107"/>
      <c r="S45" s="108">
        <v>392620.0</v>
      </c>
      <c r="T45" s="108">
        <v>12.0</v>
      </c>
      <c r="U45" s="109">
        <v>60.0</v>
      </c>
      <c r="V45" s="110"/>
      <c r="X45" s="111">
        <f>SUMIFS('Transit Shipment'!$B$10:$B$1048462,'Transit Shipment'!$A$10:$A$1048462,B45,'Transit Shipment'!$C$10:$C$1048462,AA45)</f>
        <v>0</v>
      </c>
      <c r="Y45" s="111">
        <f>IF(SUMIFS(DIH!$S$2:$S833,DIH!$D$2:$D833,B45,DIH!$U$2:$U833,AA45)&gt;0,SUMIFS(DIH!$S$2:$S833,DIH!$D$2:$D833,B45,DIH!$U$2:$U833,AA45),0)</f>
        <v>0</v>
      </c>
      <c r="Z45" s="112">
        <f t="shared" si="7"/>
        <v>0</v>
      </c>
      <c r="AA45" s="130" t="s">
        <v>13</v>
      </c>
      <c r="AB45" s="114">
        <f>IF(ISNA(VLOOKUP($B45,'Business Report'!$D$2:$J$202,2,0)),"",VLOOKUP($B45,'Business Report'!$D$2:$J$202,2,0))</f>
        <v>12</v>
      </c>
      <c r="AC45" s="115">
        <f>SUMIFS(AFS!$P$2:$P$6260,AFS!$N$2:$N$6260,B45,AFS!$AT$2:$AT$6260,AA45)</f>
        <v>0</v>
      </c>
      <c r="AD45" s="116">
        <f t="shared" si="8"/>
        <v>0</v>
      </c>
      <c r="AE45" s="117"/>
      <c r="AF45" s="118" t="str">
        <f t="shared" si="9"/>
        <v/>
      </c>
      <c r="AG45" s="26"/>
      <c r="AH45" s="26"/>
      <c r="AI45" s="26"/>
    </row>
    <row r="46">
      <c r="A46" s="120" t="s">
        <v>97</v>
      </c>
      <c r="B46" s="7" t="s">
        <v>8</v>
      </c>
      <c r="C46" s="95" t="s">
        <v>181</v>
      </c>
      <c r="D46" s="109" t="s">
        <v>137</v>
      </c>
      <c r="E46" s="97">
        <f t="shared" si="2"/>
        <v>1</v>
      </c>
      <c r="F46" s="97">
        <f t="shared" si="3"/>
        <v>0</v>
      </c>
      <c r="G46" s="99" t="str">
        <f t="shared" si="4"/>
        <v/>
      </c>
      <c r="H46" s="121"/>
      <c r="I46" s="122"/>
      <c r="J46" s="123"/>
      <c r="K46" s="124"/>
      <c r="L46" s="125"/>
      <c r="M46" s="181"/>
      <c r="N46" s="105">
        <f t="shared" si="18"/>
        <v>2</v>
      </c>
      <c r="O46" s="127"/>
      <c r="P46" s="13">
        <f t="array" ref="P46">XLOOKUP(B46,Weight!B:B,Weight!D:D,"#N/A",0)</f>
        <v>140</v>
      </c>
      <c r="Q46" s="17">
        <f t="shared" si="6"/>
        <v>280</v>
      </c>
      <c r="R46" s="107"/>
      <c r="S46" s="108">
        <v>392620.0</v>
      </c>
      <c r="T46" s="108">
        <v>12.0</v>
      </c>
      <c r="U46" s="109">
        <v>60.0</v>
      </c>
      <c r="V46" s="110"/>
      <c r="X46" s="111">
        <f>SUMIFS('Transit Shipment'!$B$10:$B$1048462,'Transit Shipment'!$A$10:$A$1048462,B46,'Transit Shipment'!$C$10:$C$1048462,AA46)</f>
        <v>0</v>
      </c>
      <c r="Y46" s="111">
        <f>IF(SUMIFS(DIH!$S$2:$S833,DIH!$D$2:$D833,B46,DIH!$U$2:$U833,AA46)&gt;0,SUMIFS(DIH!$S$2:$S833,DIH!$D$2:$D833,B46,DIH!$U$2:$U833,AA46),0)</f>
        <v>0</v>
      </c>
      <c r="Z46" s="112">
        <f t="shared" si="7"/>
        <v>0</v>
      </c>
      <c r="AA46" s="119" t="s">
        <v>14</v>
      </c>
      <c r="AB46" s="114">
        <f>IF(ISNA(VLOOKUP($B46,'Business Report'!$D$2:$J$202,2,0)),"",VLOOKUP($B46,'Business Report'!$D$2:$J$202,2,0))</f>
        <v>12</v>
      </c>
      <c r="AC46" s="115">
        <f>SUMIFS(AFS!$P$2:$P$6260,AFS!$N$2:$N$6260,B46,AFS!$AT$2:$AT$6260,AA46)</f>
        <v>1</v>
      </c>
      <c r="AD46" s="116">
        <f t="shared" si="8"/>
        <v>2</v>
      </c>
      <c r="AE46" s="117"/>
      <c r="AF46" s="118">
        <f t="shared" si="9"/>
        <v>2</v>
      </c>
      <c r="AG46" s="26"/>
      <c r="AH46" s="26"/>
      <c r="AI46" s="26"/>
    </row>
    <row r="47">
      <c r="A47" s="120" t="s">
        <v>97</v>
      </c>
      <c r="B47" s="7" t="s">
        <v>8</v>
      </c>
      <c r="C47" s="95" t="s">
        <v>181</v>
      </c>
      <c r="D47" s="109" t="s">
        <v>137</v>
      </c>
      <c r="E47" s="97">
        <f t="shared" si="2"/>
        <v>1</v>
      </c>
      <c r="F47" s="97">
        <f t="shared" si="3"/>
        <v>0.5</v>
      </c>
      <c r="G47" s="99" t="str">
        <f t="shared" si="4"/>
        <v/>
      </c>
      <c r="H47" s="121"/>
      <c r="I47" s="122"/>
      <c r="J47" s="123"/>
      <c r="K47" s="124"/>
      <c r="L47" s="125"/>
      <c r="M47" s="181"/>
      <c r="N47" s="105">
        <f t="shared" si="18"/>
        <v>4</v>
      </c>
      <c r="O47" s="127"/>
      <c r="P47" s="13">
        <f t="array" ref="P47">XLOOKUP(B47,Weight!B:B,Weight!D:D,"#N/A",0)</f>
        <v>140</v>
      </c>
      <c r="Q47" s="17">
        <f t="shared" si="6"/>
        <v>560</v>
      </c>
      <c r="R47" s="107"/>
      <c r="S47" s="108">
        <v>392620.0</v>
      </c>
      <c r="T47" s="108">
        <v>12.0</v>
      </c>
      <c r="U47" s="109">
        <v>60.0</v>
      </c>
      <c r="V47" s="110"/>
      <c r="X47" s="111">
        <f>SUMIFS('Transit Shipment'!$B$10:$B$1048462,'Transit Shipment'!$A$10:$A$1048462,B47,'Transit Shipment'!$C$10:$C$1048462,AA47)</f>
        <v>0</v>
      </c>
      <c r="Y47" s="111">
        <f>IF(SUMIFS(DIH!$S$2:$S833,DIH!$D$2:$D833,B47,DIH!$U$2:$U833,AA47)&gt;0,SUMIFS(DIH!$S$2:$S833,DIH!$D$2:$D833,B47,DIH!$U$2:$U833,AA47),0)</f>
        <v>0</v>
      </c>
      <c r="Z47" s="112">
        <f t="shared" si="7"/>
        <v>0</v>
      </c>
      <c r="AA47" s="131" t="s">
        <v>16</v>
      </c>
      <c r="AB47" s="114">
        <f>IF(ISNA(VLOOKUP($B47,'Business Report'!$D$2:$J$202,2,0)),"",VLOOKUP($B47,'Business Report'!$D$2:$J$202,2,0))</f>
        <v>12</v>
      </c>
      <c r="AC47" s="115">
        <f>SUMIFS(AFS!$P$2:$P$6260,AFS!$N$2:$N$6260,B47,AFS!$AT$2:$AT$6260,AA47)</f>
        <v>2</v>
      </c>
      <c r="AD47" s="116">
        <f t="shared" si="8"/>
        <v>3</v>
      </c>
      <c r="AE47" s="117"/>
      <c r="AF47" s="118">
        <f t="shared" si="9"/>
        <v>4</v>
      </c>
      <c r="AG47" s="26"/>
      <c r="AH47" s="26"/>
      <c r="AI47" s="26"/>
    </row>
    <row r="48">
      <c r="A48" s="132" t="s">
        <v>97</v>
      </c>
      <c r="B48" s="15" t="s">
        <v>8</v>
      </c>
      <c r="C48" s="133" t="s">
        <v>181</v>
      </c>
      <c r="D48" s="134" t="s">
        <v>137</v>
      </c>
      <c r="E48" s="135">
        <f t="shared" si="2"/>
        <v>1</v>
      </c>
      <c r="F48" s="135">
        <f t="shared" si="3"/>
        <v>0</v>
      </c>
      <c r="G48" s="136" t="str">
        <f t="shared" si="4"/>
        <v/>
      </c>
      <c r="H48" s="137"/>
      <c r="I48" s="138"/>
      <c r="J48" s="139"/>
      <c r="K48" s="140"/>
      <c r="L48" s="135"/>
      <c r="M48" s="152"/>
      <c r="N48" s="142" t="str">
        <f t="shared" si="18"/>
        <v/>
      </c>
      <c r="O48" s="143"/>
      <c r="P48" s="144">
        <f t="array" ref="P48">XLOOKUP(B48,Weight!B:B,Weight!D:D,"#N/A",0)</f>
        <v>140</v>
      </c>
      <c r="Q48" s="145" t="str">
        <f t="shared" si="6"/>
        <v/>
      </c>
      <c r="R48" s="146"/>
      <c r="S48" s="147">
        <v>392620.0</v>
      </c>
      <c r="T48" s="147">
        <v>12.0</v>
      </c>
      <c r="U48" s="109">
        <v>60.0</v>
      </c>
      <c r="V48" s="148"/>
      <c r="W48" s="149"/>
      <c r="X48" s="150">
        <f>SUMIFS('Transit Shipment'!$B$10:$B$1048462,'Transit Shipment'!$A$10:$A$1048462,B48,'Transit Shipment'!$C$10:$C$1048462,AA48)</f>
        <v>0</v>
      </c>
      <c r="Y48" s="150">
        <f>IF(SUMIFS(DIH!$S$2:$S833,DIH!$D$2:$D833,B48,DIH!$U$2:$U833,AA48)&gt;0,SUMIFS(DIH!$S$2:$S833,DIH!$D$2:$D833,B48,DIH!$U$2:$U833,AA48),0)</f>
        <v>0</v>
      </c>
      <c r="Z48" s="151">
        <f t="shared" si="7"/>
        <v>0</v>
      </c>
      <c r="AA48" s="152" t="s">
        <v>17</v>
      </c>
      <c r="AB48" s="154">
        <f>IF(ISNA(VLOOKUP($B48,'Business Report'!$D$2:$J$202,2,0)),"",VLOOKUP($B48,'Business Report'!$D$2:$J$202,2,0))</f>
        <v>12</v>
      </c>
      <c r="AC48" s="155">
        <f>SUMIFS(AFS!$P$2:$P$6260,AFS!$N$2:$N$6260,B48,AFS!$AT$2:$AT$6260,AA48)</f>
        <v>0</v>
      </c>
      <c r="AD48" s="156">
        <f t="shared" si="8"/>
        <v>0</v>
      </c>
      <c r="AE48" s="159">
        <f>SUM(AD40:AD48)</f>
        <v>9</v>
      </c>
      <c r="AF48" s="118" t="str">
        <f t="shared" si="9"/>
        <v/>
      </c>
      <c r="AG48" s="26"/>
      <c r="AH48" s="26"/>
      <c r="AI48" s="26"/>
    </row>
    <row r="49">
      <c r="A49" s="66" t="s">
        <v>93</v>
      </c>
      <c r="B49" s="1" t="s">
        <v>10</v>
      </c>
      <c r="C49" s="95" t="s">
        <v>182</v>
      </c>
      <c r="D49" s="68" t="s">
        <v>137</v>
      </c>
      <c r="E49" s="69">
        <f t="shared" si="2"/>
        <v>1</v>
      </c>
      <c r="F49" s="69">
        <f t="shared" si="3"/>
        <v>0</v>
      </c>
      <c r="G49" s="70" t="str">
        <f t="shared" si="4"/>
        <v/>
      </c>
      <c r="H49" s="163"/>
      <c r="I49" s="101"/>
      <c r="J49" s="102"/>
      <c r="K49" s="167"/>
      <c r="L49" s="119">
        <f t="shared" ref="L49:L57" si="20">IF(ISNUMBER($AF49),1*$AF49,"")</f>
        <v>2</v>
      </c>
      <c r="M49" s="169"/>
      <c r="N49" s="171"/>
      <c r="O49" s="106"/>
      <c r="P49" s="79">
        <f t="array" ref="P49">XLOOKUP(B49,Weight!B:B,Weight!D:D,"#N/A",0)</f>
        <v>140</v>
      </c>
      <c r="Q49" s="80">
        <f t="shared" si="6"/>
        <v>280</v>
      </c>
      <c r="R49" s="107"/>
      <c r="S49" s="108">
        <v>392620.0</v>
      </c>
      <c r="T49" s="108">
        <v>12.0</v>
      </c>
      <c r="U49" s="83">
        <v>60.0</v>
      </c>
      <c r="V49" s="84" t="str">
        <f t="shared" ref="V49:W49" si="19">B49</f>
        <v>CRM_AP_TAN</v>
      </c>
      <c r="W49" s="174" t="str">
        <f t="shared" si="19"/>
        <v>CRASOME Apron for Men Women Chef Cooking Restaurants Gardening Workshop, Barbers with Adjustable Strap and Two Pockets</v>
      </c>
      <c r="X49" s="86">
        <f>SUMIFS('Transit Shipment'!$B$10:$B$1048462,'Transit Shipment'!$A$10:$A$1048462,B49,'Transit Shipment'!$C$10:$C$1048462,AA49)</f>
        <v>0</v>
      </c>
      <c r="Y49" s="86">
        <f>IF(SUMIFS(DIH!$S$2:$S833,DIH!$D$2:$D833,B49,DIH!$U$2:$U833,AA49)&gt;0,SUMIFS(DIH!$S$2:$S833,DIH!$D$2:$D833,B49,DIH!$U$2:$U833,AA49),0)</f>
        <v>0</v>
      </c>
      <c r="Z49" s="87">
        <f t="shared" si="7"/>
        <v>0</v>
      </c>
      <c r="AA49" s="88" t="s">
        <v>5</v>
      </c>
      <c r="AB49" s="89">
        <f>IF(ISNA(VLOOKUP($B49,'Business Report'!$D$2:$J$202,2,0)),"",VLOOKUP($B49,'Business Report'!$D$2:$J$202,2,0))</f>
        <v>60</v>
      </c>
      <c r="AC49" s="90">
        <f>SUMIFS(AFS!$P$2:$P$6260,AFS!$N$2:$N$6260,B49,AFS!$AT$2:$AT$6260,AA49)</f>
        <v>1</v>
      </c>
      <c r="AD49" s="91">
        <f t="shared" si="8"/>
        <v>2</v>
      </c>
      <c r="AE49" s="92"/>
      <c r="AF49" s="93">
        <f t="shared" si="9"/>
        <v>2</v>
      </c>
      <c r="AG49" s="26"/>
      <c r="AH49" s="26"/>
      <c r="AI49" s="26"/>
    </row>
    <row r="50">
      <c r="A50" s="94" t="s">
        <v>93</v>
      </c>
      <c r="B50" s="3" t="s">
        <v>10</v>
      </c>
      <c r="C50" s="95" t="s">
        <v>182</v>
      </c>
      <c r="D50" s="96" t="s">
        <v>137</v>
      </c>
      <c r="E50" s="97">
        <f t="shared" si="2"/>
        <v>8</v>
      </c>
      <c r="F50" s="97">
        <f t="shared" si="3"/>
        <v>0.5</v>
      </c>
      <c r="G50" s="99" t="str">
        <f t="shared" si="4"/>
        <v/>
      </c>
      <c r="H50" s="100"/>
      <c r="I50" s="101"/>
      <c r="J50" s="102"/>
      <c r="K50" s="103"/>
      <c r="L50" s="97">
        <f t="shared" si="20"/>
        <v>18</v>
      </c>
      <c r="M50" s="169"/>
      <c r="N50" s="105"/>
      <c r="O50" s="106"/>
      <c r="P50" s="13">
        <f t="array" ref="P50">XLOOKUP(B50,Weight!B:B,Weight!D:D,"#N/A",0)</f>
        <v>140</v>
      </c>
      <c r="Q50" s="17">
        <f t="shared" si="6"/>
        <v>2520</v>
      </c>
      <c r="R50" s="107"/>
      <c r="S50" s="108">
        <v>392620.0</v>
      </c>
      <c r="T50" s="108">
        <v>12.0</v>
      </c>
      <c r="U50" s="109">
        <v>60.0</v>
      </c>
      <c r="V50" s="110"/>
      <c r="X50" s="111">
        <f>SUMIFS('Transit Shipment'!$B$10:$B$1048462,'Transit Shipment'!$A$10:$A$1048462,B50,'Transit Shipment'!$C$10:$C$1048462,AA50)</f>
        <v>0</v>
      </c>
      <c r="Y50" s="111">
        <f>IF(SUMIFS(DIH!$S$2:$S833,DIH!$D$2:$D833,B50,DIH!$U$2:$U833,AA50)&gt;0,SUMIFS(DIH!$S$2:$S833,DIH!$D$2:$D833,B50,DIH!$U$2:$U833,AA50),0)</f>
        <v>1</v>
      </c>
      <c r="Z50" s="112">
        <f t="shared" si="7"/>
        <v>1</v>
      </c>
      <c r="AA50" s="113" t="s">
        <v>11</v>
      </c>
      <c r="AB50" s="114">
        <f>IF(ISNA(VLOOKUP($B50,'Business Report'!$D$2:$J$202,2,0)),"",VLOOKUP($B50,'Business Report'!$D$2:$J$202,2,0))</f>
        <v>60</v>
      </c>
      <c r="AC50" s="115">
        <f>SUMIFS(AFS!$P$2:$P$6260,AFS!$N$2:$N$6260,B50,AFS!$AT$2:$AT$6260,AA50)</f>
        <v>13</v>
      </c>
      <c r="AD50" s="116">
        <f t="shared" si="8"/>
        <v>17</v>
      </c>
      <c r="AE50" s="117"/>
      <c r="AF50" s="118">
        <f t="shared" si="9"/>
        <v>18</v>
      </c>
      <c r="AG50" s="26"/>
      <c r="AH50" s="26"/>
      <c r="AI50" s="26"/>
    </row>
    <row r="51">
      <c r="A51" s="94" t="s">
        <v>93</v>
      </c>
      <c r="B51" s="3" t="s">
        <v>10</v>
      </c>
      <c r="C51" s="95" t="s">
        <v>182</v>
      </c>
      <c r="D51" s="96" t="s">
        <v>137</v>
      </c>
      <c r="E51" s="97">
        <f t="shared" si="2"/>
        <v>12</v>
      </c>
      <c r="F51" s="97">
        <f t="shared" si="3"/>
        <v>0.5</v>
      </c>
      <c r="G51" s="99" t="str">
        <f t="shared" si="4"/>
        <v/>
      </c>
      <c r="H51" s="100"/>
      <c r="I51" s="101"/>
      <c r="J51" s="102"/>
      <c r="K51" s="103"/>
      <c r="L51" s="97">
        <f t="shared" si="20"/>
        <v>26</v>
      </c>
      <c r="M51" s="169"/>
      <c r="N51" s="105"/>
      <c r="O51" s="106"/>
      <c r="P51" s="13">
        <f t="array" ref="P51">XLOOKUP(B51,Weight!B:B,Weight!D:D,"#N/A",0)</f>
        <v>140</v>
      </c>
      <c r="Q51" s="17">
        <f t="shared" si="6"/>
        <v>3640</v>
      </c>
      <c r="R51" s="107"/>
      <c r="S51" s="108">
        <v>392620.0</v>
      </c>
      <c r="T51" s="108">
        <v>12.0</v>
      </c>
      <c r="U51" s="109">
        <v>60.0</v>
      </c>
      <c r="V51" s="110"/>
      <c r="X51" s="111">
        <f>SUMIFS('Transit Shipment'!$B$10:$B$1048462,'Transit Shipment'!$A$10:$A$1048462,B51,'Transit Shipment'!$C$10:$C$1048462,AA51)</f>
        <v>0</v>
      </c>
      <c r="Y51" s="111">
        <f>IF(SUMIFS(DIH!$S$2:$S833,DIH!$D$2:$D833,B51,DIH!$U$2:$U833,AA51)&gt;0,SUMIFS(DIH!$S$2:$S833,DIH!$D$2:$D833,B51,DIH!$U$2:$U833,AA51),0)</f>
        <v>3</v>
      </c>
      <c r="Z51" s="112">
        <f t="shared" si="7"/>
        <v>3</v>
      </c>
      <c r="AA51" s="119" t="s">
        <v>9</v>
      </c>
      <c r="AB51" s="114">
        <f>IF(ISNA(VLOOKUP($B51,'Business Report'!$D$2:$J$202,2,0)),"",VLOOKUP($B51,'Business Report'!$D$2:$J$202,2,0))</f>
        <v>60</v>
      </c>
      <c r="AC51" s="115">
        <f>SUMIFS(AFS!$P$2:$P$6260,AFS!$N$2:$N$6260,B51,AFS!$AT$2:$AT$6260,AA51)</f>
        <v>21</v>
      </c>
      <c r="AD51" s="116">
        <f t="shared" si="8"/>
        <v>25</v>
      </c>
      <c r="AE51" s="117"/>
      <c r="AF51" s="118">
        <f t="shared" si="9"/>
        <v>26</v>
      </c>
      <c r="AG51" s="26"/>
      <c r="AH51" s="26"/>
      <c r="AI51" s="26"/>
    </row>
    <row r="52">
      <c r="A52" s="120" t="s">
        <v>93</v>
      </c>
      <c r="B52" s="7" t="s">
        <v>10</v>
      </c>
      <c r="C52" s="95" t="s">
        <v>182</v>
      </c>
      <c r="D52" s="109" t="s">
        <v>137</v>
      </c>
      <c r="E52" s="97">
        <f t="shared" si="2"/>
        <v>1</v>
      </c>
      <c r="F52" s="97">
        <f t="shared" si="3"/>
        <v>0</v>
      </c>
      <c r="G52" s="99" t="str">
        <f t="shared" si="4"/>
        <v/>
      </c>
      <c r="H52" s="121"/>
      <c r="I52" s="122"/>
      <c r="J52" s="123"/>
      <c r="K52" s="124"/>
      <c r="L52" s="97" t="str">
        <f t="shared" si="20"/>
        <v/>
      </c>
      <c r="M52" s="181"/>
      <c r="N52" s="126"/>
      <c r="O52" s="127"/>
      <c r="P52" s="13">
        <f t="array" ref="P52">XLOOKUP(B52,Weight!B:B,Weight!D:D,"#N/A",0)</f>
        <v>140</v>
      </c>
      <c r="Q52" s="17" t="str">
        <f t="shared" si="6"/>
        <v/>
      </c>
      <c r="R52" s="107"/>
      <c r="S52" s="108">
        <v>392620.0</v>
      </c>
      <c r="T52" s="108">
        <v>12.0</v>
      </c>
      <c r="U52" s="109">
        <v>60.0</v>
      </c>
      <c r="V52" s="110"/>
      <c r="X52" s="111">
        <f>SUMIFS('Transit Shipment'!$B$10:$B$1048462,'Transit Shipment'!$A$10:$A$1048462,B52,'Transit Shipment'!$C$10:$C$1048462,AA52)</f>
        <v>0</v>
      </c>
      <c r="Y52" s="111">
        <f>IF(SUMIFS(DIH!$S$2:$S833,DIH!$D$2:$D833,B52,DIH!$U$2:$U833,AA52)&gt;0,SUMIFS(DIH!$S$2:$S833,DIH!$D$2:$D833,B52,DIH!$U$2:$U833,AA52),0)</f>
        <v>2</v>
      </c>
      <c r="Z52" s="112">
        <f t="shared" si="7"/>
        <v>2</v>
      </c>
      <c r="AA52" s="119" t="s">
        <v>155</v>
      </c>
      <c r="AB52" s="114">
        <f>IF(ISNA(VLOOKUP($B52,'Business Report'!$D$2:$J$202,2,0)),"",VLOOKUP($B52,'Business Report'!$D$2:$J$202,2,0))</f>
        <v>60</v>
      </c>
      <c r="AC52" s="115">
        <f>SUMIFS(AFS!$P$2:$P$6260,AFS!$N$2:$N$6260,B52,AFS!$AT$2:$AT$6260,AA52)</f>
        <v>1</v>
      </c>
      <c r="AD52" s="116">
        <f t="shared" si="8"/>
        <v>0</v>
      </c>
      <c r="AE52" s="117"/>
      <c r="AF52" s="118" t="str">
        <f t="shared" si="9"/>
        <v/>
      </c>
      <c r="AG52" s="26"/>
      <c r="AH52" s="26"/>
      <c r="AI52" s="26"/>
    </row>
    <row r="53">
      <c r="A53" s="120" t="s">
        <v>93</v>
      </c>
      <c r="B53" s="7" t="s">
        <v>10</v>
      </c>
      <c r="C53" s="95" t="s">
        <v>182</v>
      </c>
      <c r="D53" s="109" t="s">
        <v>137</v>
      </c>
      <c r="E53" s="97">
        <f t="shared" si="2"/>
        <v>1</v>
      </c>
      <c r="F53" s="97">
        <f t="shared" si="3"/>
        <v>0</v>
      </c>
      <c r="G53" s="99" t="str">
        <f t="shared" si="4"/>
        <v/>
      </c>
      <c r="H53" s="121"/>
      <c r="I53" s="122"/>
      <c r="J53" s="123"/>
      <c r="K53" s="124"/>
      <c r="L53" s="97" t="str">
        <f t="shared" si="20"/>
        <v/>
      </c>
      <c r="M53" s="181"/>
      <c r="N53" s="126"/>
      <c r="O53" s="127"/>
      <c r="P53" s="13">
        <f t="array" ref="P53">XLOOKUP(B53,Weight!B:B,Weight!D:D,"#N/A",0)</f>
        <v>140</v>
      </c>
      <c r="Q53" s="17" t="str">
        <f t="shared" si="6"/>
        <v/>
      </c>
      <c r="R53" s="107"/>
      <c r="S53" s="108">
        <v>392620.0</v>
      </c>
      <c r="T53" s="108">
        <v>12.0</v>
      </c>
      <c r="U53" s="109">
        <v>60.0</v>
      </c>
      <c r="V53" s="110"/>
      <c r="X53" s="111">
        <f>SUMIFS('Transit Shipment'!$B$10:$B$1048462,'Transit Shipment'!$A$10:$A$1048462,B53,'Transit Shipment'!$C$10:$C$1048462,AA53)</f>
        <v>0</v>
      </c>
      <c r="Y53" s="111">
        <f>IF(SUMIFS(DIH!$S$2:$S833,DIH!$D$2:$D833,B53,DIH!$U$2:$U833,AA53)&gt;0,SUMIFS(DIH!$S$2:$S833,DIH!$D$2:$D833,B53,DIH!$U$2:$U833,AA53),0)</f>
        <v>7</v>
      </c>
      <c r="Z53" s="112">
        <f t="shared" si="7"/>
        <v>7</v>
      </c>
      <c r="AA53" s="119" t="s">
        <v>156</v>
      </c>
      <c r="AB53" s="114">
        <f>IF(ISNA(VLOOKUP($B53,'Business Report'!$D$2:$J$202,2,0)),"",VLOOKUP($B53,'Business Report'!$D$2:$J$202,2,0))</f>
        <v>60</v>
      </c>
      <c r="AC53" s="115">
        <f>SUMIFS(AFS!$P$2:$P$6260,AFS!$N$2:$N$6260,B53,AFS!$AT$2:$AT$6260,AA53)</f>
        <v>5</v>
      </c>
      <c r="AD53" s="116">
        <f t="shared" si="8"/>
        <v>0</v>
      </c>
      <c r="AE53" s="117"/>
      <c r="AF53" s="118" t="str">
        <f t="shared" si="9"/>
        <v/>
      </c>
      <c r="AG53" s="26"/>
      <c r="AH53" s="26"/>
      <c r="AI53" s="26"/>
    </row>
    <row r="54">
      <c r="A54" s="120" t="s">
        <v>93</v>
      </c>
      <c r="B54" s="7" t="s">
        <v>10</v>
      </c>
      <c r="C54" s="95" t="s">
        <v>182</v>
      </c>
      <c r="D54" s="109" t="s">
        <v>137</v>
      </c>
      <c r="E54" s="97">
        <f t="shared" si="2"/>
        <v>7</v>
      </c>
      <c r="F54" s="97">
        <f t="shared" si="3"/>
        <v>0.5</v>
      </c>
      <c r="G54" s="99" t="str">
        <f t="shared" si="4"/>
        <v/>
      </c>
      <c r="H54" s="121"/>
      <c r="I54" s="122"/>
      <c r="J54" s="123"/>
      <c r="K54" s="124"/>
      <c r="L54" s="97">
        <f t="shared" si="20"/>
        <v>16</v>
      </c>
      <c r="M54" s="181"/>
      <c r="N54" s="126"/>
      <c r="O54" s="127"/>
      <c r="P54" s="13">
        <f t="array" ref="P54">XLOOKUP(B54,Weight!B:B,Weight!D:D,"#N/A",0)</f>
        <v>140</v>
      </c>
      <c r="Q54" s="17">
        <f t="shared" si="6"/>
        <v>2240</v>
      </c>
      <c r="R54" s="107"/>
      <c r="S54" s="108">
        <v>392620.0</v>
      </c>
      <c r="T54" s="108">
        <v>12.0</v>
      </c>
      <c r="U54" s="109">
        <v>60.0</v>
      </c>
      <c r="V54" s="110"/>
      <c r="X54" s="111">
        <f>SUMIFS('Transit Shipment'!$B$10:$B$1048462,'Transit Shipment'!$A$10:$A$1048462,B54,'Transit Shipment'!$C$10:$C$1048462,AA54)</f>
        <v>0</v>
      </c>
      <c r="Y54" s="111">
        <f>IF(SUMIFS(DIH!$S$2:$S833,DIH!$D$2:$D833,B54,DIH!$U$2:$U833,AA54)&gt;0,SUMIFS(DIH!$S$2:$S833,DIH!$D$2:$D833,B54,DIH!$U$2:$U833,AA54),0)</f>
        <v>8</v>
      </c>
      <c r="Z54" s="112">
        <f t="shared" si="7"/>
        <v>8</v>
      </c>
      <c r="AA54" s="130" t="s">
        <v>13</v>
      </c>
      <c r="AB54" s="114">
        <f>IF(ISNA(VLOOKUP($B54,'Business Report'!$D$2:$J$202,2,0)),"",VLOOKUP($B54,'Business Report'!$D$2:$J$202,2,0))</f>
        <v>60</v>
      </c>
      <c r="AC54" s="115">
        <f>SUMIFS(AFS!$P$2:$P$6260,AFS!$N$2:$N$6260,B54,AFS!$AT$2:$AT$6260,AA54)</f>
        <v>17</v>
      </c>
      <c r="AD54" s="116">
        <f t="shared" si="8"/>
        <v>15</v>
      </c>
      <c r="AE54" s="117"/>
      <c r="AF54" s="118">
        <f t="shared" si="9"/>
        <v>16</v>
      </c>
      <c r="AG54" s="26"/>
      <c r="AH54" s="26"/>
      <c r="AI54" s="26"/>
    </row>
    <row r="55">
      <c r="A55" s="120" t="s">
        <v>93</v>
      </c>
      <c r="B55" s="7" t="s">
        <v>10</v>
      </c>
      <c r="C55" s="95" t="s">
        <v>182</v>
      </c>
      <c r="D55" s="109" t="s">
        <v>137</v>
      </c>
      <c r="E55" s="97">
        <f t="shared" si="2"/>
        <v>1</v>
      </c>
      <c r="F55" s="97">
        <f t="shared" si="3"/>
        <v>0.5</v>
      </c>
      <c r="G55" s="99" t="str">
        <f t="shared" si="4"/>
        <v/>
      </c>
      <c r="H55" s="121"/>
      <c r="I55" s="122"/>
      <c r="J55" s="123"/>
      <c r="K55" s="124"/>
      <c r="L55" s="97">
        <f t="shared" si="20"/>
        <v>4</v>
      </c>
      <c r="M55" s="181"/>
      <c r="N55" s="126"/>
      <c r="O55" s="127"/>
      <c r="P55" s="13">
        <f t="array" ref="P55">XLOOKUP(B55,Weight!B:B,Weight!D:D,"#N/A",0)</f>
        <v>140</v>
      </c>
      <c r="Q55" s="17">
        <f t="shared" si="6"/>
        <v>560</v>
      </c>
      <c r="R55" s="107"/>
      <c r="S55" s="108">
        <v>392620.0</v>
      </c>
      <c r="T55" s="108">
        <v>12.0</v>
      </c>
      <c r="U55" s="109">
        <v>60.0</v>
      </c>
      <c r="V55" s="110"/>
      <c r="X55" s="111">
        <f>SUMIFS('Transit Shipment'!$B$10:$B$1048462,'Transit Shipment'!$A$10:$A$1048462,B55,'Transit Shipment'!$C$10:$C$1048462,AA55)</f>
        <v>0</v>
      </c>
      <c r="Y55" s="111">
        <f>IF(SUMIFS(DIH!$S$2:$S833,DIH!$D$2:$D833,B55,DIH!$U$2:$U833,AA55)&gt;0,SUMIFS(DIH!$S$2:$S833,DIH!$D$2:$D833,B55,DIH!$U$2:$U833,AA55),0)</f>
        <v>0</v>
      </c>
      <c r="Z55" s="112">
        <f t="shared" si="7"/>
        <v>0</v>
      </c>
      <c r="AA55" s="119" t="s">
        <v>14</v>
      </c>
      <c r="AB55" s="114">
        <f>IF(ISNA(VLOOKUP($B55,'Business Report'!$D$2:$J$202,2,0)),"",VLOOKUP($B55,'Business Report'!$D$2:$J$202,2,0))</f>
        <v>60</v>
      </c>
      <c r="AC55" s="115">
        <f>SUMIFS(AFS!$P$2:$P$6260,AFS!$N$2:$N$6260,B55,AFS!$AT$2:$AT$6260,AA55)</f>
        <v>2</v>
      </c>
      <c r="AD55" s="116">
        <f t="shared" si="8"/>
        <v>3</v>
      </c>
      <c r="AE55" s="117"/>
      <c r="AF55" s="118">
        <f t="shared" si="9"/>
        <v>4</v>
      </c>
      <c r="AG55" s="26"/>
      <c r="AH55" s="26"/>
      <c r="AI55" s="26"/>
    </row>
    <row r="56">
      <c r="A56" s="120" t="s">
        <v>93</v>
      </c>
      <c r="B56" s="7" t="s">
        <v>10</v>
      </c>
      <c r="C56" s="95" t="s">
        <v>182</v>
      </c>
      <c r="D56" s="109" t="s">
        <v>137</v>
      </c>
      <c r="E56" s="97">
        <f t="shared" si="2"/>
        <v>2</v>
      </c>
      <c r="F56" s="97">
        <f t="shared" si="3"/>
        <v>0.5</v>
      </c>
      <c r="G56" s="99" t="str">
        <f t="shared" si="4"/>
        <v/>
      </c>
      <c r="H56" s="121"/>
      <c r="I56" s="122"/>
      <c r="J56" s="123"/>
      <c r="K56" s="124"/>
      <c r="L56" s="97">
        <f t="shared" si="20"/>
        <v>6</v>
      </c>
      <c r="M56" s="181"/>
      <c r="N56" s="126"/>
      <c r="O56" s="127"/>
      <c r="P56" s="13">
        <f t="array" ref="P56">XLOOKUP(B56,Weight!B:B,Weight!D:D,"#N/A",0)</f>
        <v>140</v>
      </c>
      <c r="Q56" s="17">
        <f t="shared" si="6"/>
        <v>840</v>
      </c>
      <c r="R56" s="107"/>
      <c r="S56" s="108">
        <v>392620.0</v>
      </c>
      <c r="T56" s="108">
        <v>12.0</v>
      </c>
      <c r="U56" s="109">
        <v>60.0</v>
      </c>
      <c r="V56" s="110"/>
      <c r="X56" s="111">
        <f>SUMIFS('Transit Shipment'!$B$10:$B$1048462,'Transit Shipment'!$A$10:$A$1048462,B56,'Transit Shipment'!$C$10:$C$1048462,AA56)</f>
        <v>0</v>
      </c>
      <c r="Y56" s="111">
        <f>IF(SUMIFS(DIH!$S$2:$S833,DIH!$D$2:$D833,B56,DIH!$U$2:$U833,AA56)&gt;0,SUMIFS(DIH!$S$2:$S833,DIH!$D$2:$D833,B56,DIH!$U$2:$U833,AA56),0)</f>
        <v>1</v>
      </c>
      <c r="Z56" s="112">
        <f t="shared" si="7"/>
        <v>1</v>
      </c>
      <c r="AA56" s="131" t="s">
        <v>16</v>
      </c>
      <c r="AB56" s="114">
        <f>IF(ISNA(VLOOKUP($B56,'Business Report'!$D$2:$J$202,2,0)),"",VLOOKUP($B56,'Business Report'!$D$2:$J$202,2,0))</f>
        <v>60</v>
      </c>
      <c r="AC56" s="115">
        <f>SUMIFS(AFS!$P$2:$P$6260,AFS!$N$2:$N$6260,B56,AFS!$AT$2:$AT$6260,AA56)</f>
        <v>4</v>
      </c>
      <c r="AD56" s="116">
        <f t="shared" si="8"/>
        <v>5</v>
      </c>
      <c r="AE56" s="117"/>
      <c r="AF56" s="118">
        <f t="shared" si="9"/>
        <v>6</v>
      </c>
      <c r="AG56" s="26"/>
      <c r="AH56" s="26"/>
      <c r="AI56" s="26"/>
    </row>
    <row r="57">
      <c r="A57" s="132" t="s">
        <v>93</v>
      </c>
      <c r="B57" s="15" t="s">
        <v>10</v>
      </c>
      <c r="C57" s="133" t="s">
        <v>182</v>
      </c>
      <c r="D57" s="134" t="s">
        <v>137</v>
      </c>
      <c r="E57" s="135">
        <f t="shared" si="2"/>
        <v>0</v>
      </c>
      <c r="F57" s="135">
        <f t="shared" si="3"/>
        <v>0.5</v>
      </c>
      <c r="G57" s="136" t="str">
        <f t="shared" si="4"/>
        <v/>
      </c>
      <c r="H57" s="137"/>
      <c r="I57" s="138"/>
      <c r="J57" s="139"/>
      <c r="K57" s="140"/>
      <c r="L57" s="135">
        <f t="shared" si="20"/>
        <v>2</v>
      </c>
      <c r="M57" s="152"/>
      <c r="N57" s="142"/>
      <c r="O57" s="143"/>
      <c r="P57" s="144">
        <f t="array" ref="P57">XLOOKUP(B57,Weight!B:B,Weight!D:D,"#N/A",0)</f>
        <v>140</v>
      </c>
      <c r="Q57" s="145">
        <f t="shared" si="6"/>
        <v>280</v>
      </c>
      <c r="R57" s="146"/>
      <c r="S57" s="147">
        <v>392620.0</v>
      </c>
      <c r="T57" s="147">
        <v>12.0</v>
      </c>
      <c r="U57" s="109">
        <v>60.0</v>
      </c>
      <c r="V57" s="148"/>
      <c r="W57" s="149"/>
      <c r="X57" s="150">
        <f>SUMIFS('Transit Shipment'!$B$10:$B$1048462,'Transit Shipment'!$A$10:$A$1048462,B57,'Transit Shipment'!$C$10:$C$1048462,AA57)</f>
        <v>0</v>
      </c>
      <c r="Y57" s="150">
        <f>IF(SUMIFS(DIH!$S$2:$S833,DIH!$D$2:$D833,B57,DIH!$U$2:$U833,AA57)&gt;0,SUMIFS(DIH!$S$2:$S833,DIH!$D$2:$D833,B57,DIH!$U$2:$U833,AA57),0)</f>
        <v>1</v>
      </c>
      <c r="Z57" s="151">
        <f t="shared" si="7"/>
        <v>1</v>
      </c>
      <c r="AA57" s="152" t="s">
        <v>17</v>
      </c>
      <c r="AB57" s="154">
        <f>IF(ISNA(VLOOKUP($B57,'Business Report'!$D$2:$J$202,2,0)),"",VLOOKUP($B57,'Business Report'!$D$2:$J$202,2,0))</f>
        <v>60</v>
      </c>
      <c r="AC57" s="155">
        <f>SUMIFS(AFS!$P$2:$P$6260,AFS!$N$2:$N$6260,B57,AFS!$AT$2:$AT$6260,AA57)</f>
        <v>1</v>
      </c>
      <c r="AD57" s="156">
        <f t="shared" si="8"/>
        <v>1</v>
      </c>
      <c r="AE57" s="159">
        <f>SUM(AD49:AD57)</f>
        <v>68</v>
      </c>
      <c r="AF57" s="118">
        <f t="shared" si="9"/>
        <v>2</v>
      </c>
      <c r="AG57" s="26"/>
      <c r="AH57" s="26"/>
      <c r="AI57" s="26"/>
    </row>
    <row r="58">
      <c r="A58" s="66" t="s">
        <v>91</v>
      </c>
      <c r="B58" s="1" t="s">
        <v>12</v>
      </c>
      <c r="C58" s="95" t="s">
        <v>182</v>
      </c>
      <c r="D58" s="68" t="s">
        <v>137</v>
      </c>
      <c r="E58" s="69" t="str">
        <f t="shared" si="2"/>
        <v/>
      </c>
      <c r="F58" s="69" t="str">
        <f t="shared" si="3"/>
        <v/>
      </c>
      <c r="G58" s="70" t="str">
        <f t="shared" si="4"/>
        <v/>
      </c>
      <c r="H58" s="163"/>
      <c r="I58" s="101"/>
      <c r="J58" s="102"/>
      <c r="K58" s="167" t="str">
        <f t="shared" ref="K58:K66" si="22">IF(ISNUMBER($AF58),1*$AF58,"")</f>
        <v/>
      </c>
      <c r="L58" s="119"/>
      <c r="M58" s="169"/>
      <c r="N58" s="171"/>
      <c r="O58" s="106"/>
      <c r="P58" s="79">
        <f t="array" ref="P58">XLOOKUP(B58,Weight!B:B,Weight!D:D,"#N/A",0)</f>
        <v>140</v>
      </c>
      <c r="Q58" s="80" t="str">
        <f t="shared" si="6"/>
        <v/>
      </c>
      <c r="R58" s="107"/>
      <c r="S58" s="108">
        <v>392620.0</v>
      </c>
      <c r="T58" s="108">
        <v>12.0</v>
      </c>
      <c r="U58" s="83">
        <v>60.0</v>
      </c>
      <c r="V58" s="84" t="str">
        <f t="shared" ref="V58:W58" si="21">B58</f>
        <v>CRM_AP_GREEN</v>
      </c>
      <c r="W58" s="174" t="str">
        <f t="shared" si="21"/>
        <v>CRASOME Apron for Men Women Chef Cooking Restaurants Gardening Workshop, Barbers with Adjustable Strap and Two Pockets</v>
      </c>
      <c r="X58" s="86">
        <f>SUMIFS('Transit Shipment'!$B$10:$B$1048462,'Transit Shipment'!$A$10:$A$1048462,B58,'Transit Shipment'!$C$10:$C$1048462,AA58)</f>
        <v>0</v>
      </c>
      <c r="Y58" s="86">
        <f>IF(SUMIFS(DIH!$S$2:$S833,DIH!$D$2:$D833,B58,DIH!$U$2:$U833,AA58)&gt;0,SUMIFS(DIH!$S$2:$S833,DIH!$D$2:$D833,B58,DIH!$U$2:$U833,AA58),0)</f>
        <v>6</v>
      </c>
      <c r="Z58" s="87">
        <f t="shared" si="7"/>
        <v>6</v>
      </c>
      <c r="AA58" s="88" t="s">
        <v>5</v>
      </c>
      <c r="AB58" s="89">
        <f>IF(ISNA(VLOOKUP($B58,'Business Report'!$D$2:$J$202,2,0)),"",VLOOKUP($B58,'Business Report'!$D$2:$J$202,2,0))</f>
        <v>27</v>
      </c>
      <c r="AC58" s="90">
        <f>SUMIFS(AFS!$P$2:$P$6260,AFS!$N$2:$N$6260,B58,AFS!$AT$2:$AT$6260,AA58)</f>
        <v>1</v>
      </c>
      <c r="AD58" s="91">
        <f t="shared" si="8"/>
        <v>-4</v>
      </c>
      <c r="AE58" s="92"/>
      <c r="AF58" s="93" t="str">
        <f t="shared" si="9"/>
        <v/>
      </c>
      <c r="AG58" s="26"/>
      <c r="AH58" s="26"/>
      <c r="AI58" s="26"/>
      <c r="AY58" s="221"/>
    </row>
    <row r="59">
      <c r="A59" s="94" t="s">
        <v>91</v>
      </c>
      <c r="B59" s="3" t="s">
        <v>12</v>
      </c>
      <c r="C59" s="95" t="s">
        <v>182</v>
      </c>
      <c r="D59" s="96" t="s">
        <v>137</v>
      </c>
      <c r="E59" s="97" t="str">
        <f t="shared" si="2"/>
        <v/>
      </c>
      <c r="F59" s="97" t="str">
        <f t="shared" si="3"/>
        <v/>
      </c>
      <c r="G59" s="99" t="str">
        <f t="shared" si="4"/>
        <v/>
      </c>
      <c r="H59" s="100"/>
      <c r="I59" s="101"/>
      <c r="J59" s="102"/>
      <c r="K59" s="103" t="str">
        <f t="shared" si="22"/>
        <v/>
      </c>
      <c r="L59" s="97"/>
      <c r="M59" s="169"/>
      <c r="N59" s="105"/>
      <c r="O59" s="106"/>
      <c r="P59" s="13">
        <f t="array" ref="P59">XLOOKUP(B59,Weight!B:B,Weight!D:D,"#N/A",0)</f>
        <v>140</v>
      </c>
      <c r="Q59" s="17" t="str">
        <f t="shared" si="6"/>
        <v/>
      </c>
      <c r="R59" s="107"/>
      <c r="S59" s="108">
        <v>392620.0</v>
      </c>
      <c r="T59" s="108">
        <v>12.0</v>
      </c>
      <c r="U59" s="109">
        <v>60.0</v>
      </c>
      <c r="V59" s="110"/>
      <c r="X59" s="111">
        <f>SUMIFS('Transit Shipment'!$B$10:$B$1048462,'Transit Shipment'!$A$10:$A$1048462,B59,'Transit Shipment'!$C$10:$C$1048462,AA59)</f>
        <v>0</v>
      </c>
      <c r="Y59" s="111">
        <f>IF(SUMIFS(DIH!$S$2:$S833,DIH!$D$2:$D833,B59,DIH!$U$2:$U833,AA59)&gt;0,SUMIFS(DIH!$S$2:$S833,DIH!$D$2:$D833,B59,DIH!$U$2:$U833,AA59),0)</f>
        <v>25</v>
      </c>
      <c r="Z59" s="112">
        <f t="shared" si="7"/>
        <v>25</v>
      </c>
      <c r="AA59" s="113" t="s">
        <v>11</v>
      </c>
      <c r="AB59" s="114">
        <f>IF(ISNA(VLOOKUP($B59,'Business Report'!$D$2:$J$202,2,0)),"",VLOOKUP($B59,'Business Report'!$D$2:$J$202,2,0))</f>
        <v>27</v>
      </c>
      <c r="AC59" s="115">
        <f>SUMIFS(AFS!$P$2:$P$6260,AFS!$N$2:$N$6260,B59,AFS!$AT$2:$AT$6260,AA59)</f>
        <v>1</v>
      </c>
      <c r="AD59" s="116">
        <f t="shared" si="8"/>
        <v>-23</v>
      </c>
      <c r="AE59" s="117"/>
      <c r="AF59" s="118" t="str">
        <f t="shared" si="9"/>
        <v/>
      </c>
      <c r="AG59" s="26"/>
      <c r="AH59" s="26"/>
      <c r="AI59" s="26"/>
    </row>
    <row r="60">
      <c r="A60" s="94" t="s">
        <v>91</v>
      </c>
      <c r="B60" s="3" t="s">
        <v>12</v>
      </c>
      <c r="C60" s="95" t="s">
        <v>182</v>
      </c>
      <c r="D60" s="96" t="s">
        <v>137</v>
      </c>
      <c r="E60" s="97">
        <f t="shared" si="2"/>
        <v>5</v>
      </c>
      <c r="F60" s="97">
        <f t="shared" si="3"/>
        <v>0.5</v>
      </c>
      <c r="G60" s="99" t="str">
        <f t="shared" si="4"/>
        <v/>
      </c>
      <c r="H60" s="100"/>
      <c r="I60" s="101"/>
      <c r="J60" s="102"/>
      <c r="K60" s="103">
        <f t="shared" si="22"/>
        <v>12</v>
      </c>
      <c r="L60" s="97"/>
      <c r="M60" s="169"/>
      <c r="N60" s="105"/>
      <c r="O60" s="106"/>
      <c r="P60" s="13">
        <f t="array" ref="P60">XLOOKUP(B60,Weight!B:B,Weight!D:D,"#N/A",0)</f>
        <v>140</v>
      </c>
      <c r="Q60" s="17">
        <f t="shared" si="6"/>
        <v>1680</v>
      </c>
      <c r="R60" s="107"/>
      <c r="S60" s="108">
        <v>392620.0</v>
      </c>
      <c r="T60" s="108">
        <v>12.0</v>
      </c>
      <c r="U60" s="109">
        <v>60.0</v>
      </c>
      <c r="V60" s="110"/>
      <c r="X60" s="111">
        <f>SUMIFS('Transit Shipment'!$B$10:$B$1048462,'Transit Shipment'!$A$10:$A$1048462,B60,'Transit Shipment'!$C$10:$C$1048462,AA60)</f>
        <v>0</v>
      </c>
      <c r="Y60" s="111">
        <f>IF(SUMIFS(DIH!$S$2:$S833,DIH!$D$2:$D833,B60,DIH!$U$2:$U833,AA60)&gt;0,SUMIFS(DIH!$S$2:$S833,DIH!$D$2:$D833,B60,DIH!$U$2:$U833,AA60),0)</f>
        <v>8</v>
      </c>
      <c r="Z60" s="112">
        <f t="shared" si="7"/>
        <v>8</v>
      </c>
      <c r="AA60" s="119" t="s">
        <v>9</v>
      </c>
      <c r="AB60" s="114">
        <f>IF(ISNA(VLOOKUP($B60,'Business Report'!$D$2:$J$202,2,0)),"",VLOOKUP($B60,'Business Report'!$D$2:$J$202,2,0))</f>
        <v>27</v>
      </c>
      <c r="AC60" s="115">
        <f>SUMIFS(AFS!$P$2:$P$6260,AFS!$N$2:$N$6260,B60,AFS!$AT$2:$AT$6260,AA60)</f>
        <v>14</v>
      </c>
      <c r="AD60" s="116">
        <f t="shared" si="8"/>
        <v>11</v>
      </c>
      <c r="AE60" s="117"/>
      <c r="AF60" s="118">
        <f t="shared" si="9"/>
        <v>12</v>
      </c>
      <c r="AG60" s="4"/>
      <c r="AH60" s="26"/>
      <c r="AI60" s="26"/>
    </row>
    <row r="61">
      <c r="A61" s="120" t="s">
        <v>91</v>
      </c>
      <c r="B61" s="7" t="s">
        <v>12</v>
      </c>
      <c r="C61" s="95" t="s">
        <v>182</v>
      </c>
      <c r="D61" s="109" t="s">
        <v>137</v>
      </c>
      <c r="E61" s="97" t="str">
        <f t="shared" si="2"/>
        <v/>
      </c>
      <c r="F61" s="97" t="str">
        <f t="shared" si="3"/>
        <v/>
      </c>
      <c r="G61" s="99" t="str">
        <f t="shared" si="4"/>
        <v/>
      </c>
      <c r="H61" s="121"/>
      <c r="I61" s="122"/>
      <c r="J61" s="123"/>
      <c r="K61" s="103" t="str">
        <f t="shared" si="22"/>
        <v/>
      </c>
      <c r="L61" s="125"/>
      <c r="M61" s="181"/>
      <c r="N61" s="126"/>
      <c r="O61" s="127"/>
      <c r="P61" s="13">
        <f t="array" ref="P61">XLOOKUP(B61,Weight!B:B,Weight!D:D,"#N/A",0)</f>
        <v>140</v>
      </c>
      <c r="Q61" s="17" t="str">
        <f t="shared" si="6"/>
        <v/>
      </c>
      <c r="R61" s="107"/>
      <c r="S61" s="108">
        <v>392620.0</v>
      </c>
      <c r="T61" s="108">
        <v>12.0</v>
      </c>
      <c r="U61" s="109">
        <v>60.0</v>
      </c>
      <c r="V61" s="110"/>
      <c r="X61" s="111">
        <f>SUMIFS('Transit Shipment'!$B$10:$B$1048462,'Transit Shipment'!$A$10:$A$1048462,B61,'Transit Shipment'!$C$10:$C$1048462,AA61)</f>
        <v>0</v>
      </c>
      <c r="Y61" s="111">
        <f>IF(SUMIFS(DIH!$S$2:$S833,DIH!$D$2:$D833,B61,DIH!$U$2:$U833,AA61)&gt;0,SUMIFS(DIH!$S$2:$S833,DIH!$D$2:$D833,B61,DIH!$U$2:$U833,AA61),0)</f>
        <v>1</v>
      </c>
      <c r="Z61" s="112">
        <f t="shared" si="7"/>
        <v>1</v>
      </c>
      <c r="AA61" s="119" t="s">
        <v>155</v>
      </c>
      <c r="AB61" s="114">
        <f>IF(ISNA(VLOOKUP($B61,'Business Report'!$D$2:$J$202,2,0)),"",VLOOKUP($B61,'Business Report'!$D$2:$J$202,2,0))</f>
        <v>27</v>
      </c>
      <c r="AC61" s="115">
        <f>SUMIFS(AFS!$P$2:$P$6260,AFS!$N$2:$N$6260,B61,AFS!$AT$2:$AT$6260,AA61)</f>
        <v>0</v>
      </c>
      <c r="AD61" s="116">
        <f t="shared" si="8"/>
        <v>-1</v>
      </c>
      <c r="AE61" s="117"/>
      <c r="AF61" s="118" t="str">
        <f t="shared" si="9"/>
        <v/>
      </c>
      <c r="AG61" s="4"/>
      <c r="AH61" s="26"/>
      <c r="AI61" s="26"/>
    </row>
    <row r="62">
      <c r="A62" s="120" t="s">
        <v>91</v>
      </c>
      <c r="B62" s="7" t="s">
        <v>12</v>
      </c>
      <c r="C62" s="95" t="s">
        <v>182</v>
      </c>
      <c r="D62" s="109" t="s">
        <v>137</v>
      </c>
      <c r="E62" s="97" t="str">
        <f t="shared" si="2"/>
        <v/>
      </c>
      <c r="F62" s="97" t="str">
        <f t="shared" si="3"/>
        <v/>
      </c>
      <c r="G62" s="99" t="str">
        <f t="shared" si="4"/>
        <v/>
      </c>
      <c r="H62" s="121"/>
      <c r="I62" s="122"/>
      <c r="J62" s="123"/>
      <c r="K62" s="103" t="str">
        <f t="shared" si="22"/>
        <v/>
      </c>
      <c r="L62" s="125"/>
      <c r="M62" s="181"/>
      <c r="N62" s="126"/>
      <c r="O62" s="127"/>
      <c r="P62" s="13">
        <f t="array" ref="P62">XLOOKUP(B62,Weight!B:B,Weight!D:D,"#N/A",0)</f>
        <v>140</v>
      </c>
      <c r="Q62" s="17" t="str">
        <f t="shared" si="6"/>
        <v/>
      </c>
      <c r="R62" s="107"/>
      <c r="S62" s="108">
        <v>392620.0</v>
      </c>
      <c r="T62" s="108">
        <v>12.0</v>
      </c>
      <c r="U62" s="109">
        <v>60.0</v>
      </c>
      <c r="V62" s="110"/>
      <c r="X62" s="111">
        <f>SUMIFS('Transit Shipment'!$B$10:$B$1048462,'Transit Shipment'!$A$10:$A$1048462,B62,'Transit Shipment'!$C$10:$C$1048462,AA62)</f>
        <v>0</v>
      </c>
      <c r="Y62" s="111">
        <f>IF(SUMIFS(DIH!$S$2:$S833,DIH!$D$2:$D833,B62,DIH!$U$2:$U833,AA62)&gt;0,SUMIFS(DIH!$S$2:$S833,DIH!$D$2:$D833,B62,DIH!$U$2:$U833,AA62),0)</f>
        <v>7</v>
      </c>
      <c r="Z62" s="112">
        <f t="shared" si="7"/>
        <v>7</v>
      </c>
      <c r="AA62" s="119" t="s">
        <v>156</v>
      </c>
      <c r="AB62" s="114">
        <f>IF(ISNA(VLOOKUP($B62,'Business Report'!$D$2:$J$202,2,0)),"",VLOOKUP($B62,'Business Report'!$D$2:$J$202,2,0))</f>
        <v>27</v>
      </c>
      <c r="AC62" s="115">
        <f>SUMIFS(AFS!$P$2:$P$6260,AFS!$N$2:$N$6260,B62,AFS!$AT$2:$AT$6260,AA62)</f>
        <v>0</v>
      </c>
      <c r="AD62" s="116">
        <f t="shared" si="8"/>
        <v>-7</v>
      </c>
      <c r="AE62" s="117"/>
      <c r="AF62" s="118" t="str">
        <f t="shared" si="9"/>
        <v/>
      </c>
      <c r="AG62" s="4"/>
      <c r="AH62" s="26"/>
      <c r="AI62" s="26"/>
    </row>
    <row r="63">
      <c r="A63" s="120" t="s">
        <v>91</v>
      </c>
      <c r="B63" s="7" t="s">
        <v>12</v>
      </c>
      <c r="C63" s="95" t="s">
        <v>182</v>
      </c>
      <c r="D63" s="109" t="s">
        <v>137</v>
      </c>
      <c r="E63" s="97" t="str">
        <f t="shared" si="2"/>
        <v/>
      </c>
      <c r="F63" s="97" t="str">
        <f t="shared" si="3"/>
        <v/>
      </c>
      <c r="G63" s="99" t="str">
        <f t="shared" si="4"/>
        <v/>
      </c>
      <c r="H63" s="121"/>
      <c r="I63" s="122"/>
      <c r="J63" s="123"/>
      <c r="K63" s="103" t="str">
        <f t="shared" si="22"/>
        <v/>
      </c>
      <c r="L63" s="125"/>
      <c r="M63" s="181"/>
      <c r="N63" s="126"/>
      <c r="O63" s="127"/>
      <c r="P63" s="13">
        <f t="array" ref="P63">XLOOKUP(B63,Weight!B:B,Weight!D:D,"#N/A",0)</f>
        <v>140</v>
      </c>
      <c r="Q63" s="17" t="str">
        <f t="shared" si="6"/>
        <v/>
      </c>
      <c r="R63" s="107"/>
      <c r="S63" s="108">
        <v>392620.0</v>
      </c>
      <c r="T63" s="108">
        <v>12.0</v>
      </c>
      <c r="U63" s="109">
        <v>60.0</v>
      </c>
      <c r="V63" s="110"/>
      <c r="X63" s="111">
        <f>SUMIFS('Transit Shipment'!$B$10:$B$1048462,'Transit Shipment'!$A$10:$A$1048462,B63,'Transit Shipment'!$C$10:$C$1048462,AA63)</f>
        <v>0</v>
      </c>
      <c r="Y63" s="111">
        <f>IF(SUMIFS(DIH!$S$2:$S833,DIH!$D$2:$D833,B63,DIH!$U$2:$U833,AA63)&gt;0,SUMIFS(DIH!$S$2:$S833,DIH!$D$2:$D833,B63,DIH!$U$2:$U833,AA63),0)</f>
        <v>5</v>
      </c>
      <c r="Z63" s="112">
        <f t="shared" si="7"/>
        <v>5</v>
      </c>
      <c r="AA63" s="130" t="s">
        <v>13</v>
      </c>
      <c r="AB63" s="114">
        <f>IF(ISNA(VLOOKUP($B63,'Business Report'!$D$2:$J$202,2,0)),"",VLOOKUP($B63,'Business Report'!$D$2:$J$202,2,0))</f>
        <v>27</v>
      </c>
      <c r="AC63" s="115">
        <f>SUMIFS(AFS!$P$2:$P$6260,AFS!$N$2:$N$6260,B63,AFS!$AT$2:$AT$6260,AA63)</f>
        <v>2</v>
      </c>
      <c r="AD63" s="116">
        <f t="shared" si="8"/>
        <v>-2</v>
      </c>
      <c r="AE63" s="117"/>
      <c r="AF63" s="118" t="str">
        <f t="shared" si="9"/>
        <v/>
      </c>
      <c r="AG63" s="26"/>
      <c r="AH63" s="26"/>
      <c r="AI63" s="26"/>
    </row>
    <row r="64">
      <c r="A64" s="120" t="s">
        <v>91</v>
      </c>
      <c r="B64" s="7" t="s">
        <v>12</v>
      </c>
      <c r="C64" s="95" t="s">
        <v>182</v>
      </c>
      <c r="D64" s="109" t="s">
        <v>137</v>
      </c>
      <c r="E64" s="97">
        <f t="shared" si="2"/>
        <v>6</v>
      </c>
      <c r="F64" s="97">
        <f t="shared" si="3"/>
        <v>0.5</v>
      </c>
      <c r="G64" s="99" t="str">
        <f t="shared" si="4"/>
        <v/>
      </c>
      <c r="H64" s="121"/>
      <c r="I64" s="122"/>
      <c r="J64" s="123"/>
      <c r="K64" s="103">
        <f t="shared" si="22"/>
        <v>14</v>
      </c>
      <c r="L64" s="125"/>
      <c r="M64" s="181"/>
      <c r="N64" s="126"/>
      <c r="O64" s="127"/>
      <c r="P64" s="13">
        <f t="array" ref="P64">XLOOKUP(B64,Weight!B:B,Weight!D:D,"#N/A",0)</f>
        <v>140</v>
      </c>
      <c r="Q64" s="17">
        <f t="shared" si="6"/>
        <v>1960</v>
      </c>
      <c r="R64" s="107"/>
      <c r="S64" s="108">
        <v>392620.0</v>
      </c>
      <c r="T64" s="108">
        <v>12.0</v>
      </c>
      <c r="U64" s="109">
        <v>60.0</v>
      </c>
      <c r="V64" s="110"/>
      <c r="X64" s="111">
        <f>SUMIFS('Transit Shipment'!$B$10:$B$1048462,'Transit Shipment'!$A$10:$A$1048462,B64,'Transit Shipment'!$C$10:$C$1048462,AA64)</f>
        <v>0</v>
      </c>
      <c r="Y64" s="111">
        <f>IF(SUMIFS(DIH!$S$2:$S833,DIH!$D$2:$D833,B64,DIH!$U$2:$U833,AA64)&gt;0,SUMIFS(DIH!$S$2:$S833,DIH!$D$2:$D833,B64,DIH!$U$2:$U833,AA64),0)</f>
        <v>1</v>
      </c>
      <c r="Z64" s="112">
        <f t="shared" si="7"/>
        <v>1</v>
      </c>
      <c r="AA64" s="119" t="s">
        <v>14</v>
      </c>
      <c r="AB64" s="114">
        <f>IF(ISNA(VLOOKUP($B64,'Business Report'!$D$2:$J$202,2,0)),"",VLOOKUP($B64,'Business Report'!$D$2:$J$202,2,0))</f>
        <v>27</v>
      </c>
      <c r="AC64" s="115">
        <f>SUMIFS(AFS!$P$2:$P$6260,AFS!$N$2:$N$6260,B64,AFS!$AT$2:$AT$6260,AA64)</f>
        <v>10</v>
      </c>
      <c r="AD64" s="116">
        <f t="shared" si="8"/>
        <v>13</v>
      </c>
      <c r="AE64" s="117"/>
      <c r="AF64" s="118">
        <f t="shared" si="9"/>
        <v>14</v>
      </c>
      <c r="AG64" s="26"/>
      <c r="AH64" s="26"/>
      <c r="AI64" s="26"/>
    </row>
    <row r="65">
      <c r="A65" s="120" t="s">
        <v>91</v>
      </c>
      <c r="B65" s="7" t="s">
        <v>12</v>
      </c>
      <c r="C65" s="95" t="s">
        <v>182</v>
      </c>
      <c r="D65" s="109" t="s">
        <v>137</v>
      </c>
      <c r="E65" s="97" t="str">
        <f t="shared" si="2"/>
        <v/>
      </c>
      <c r="F65" s="97" t="str">
        <f t="shared" si="3"/>
        <v/>
      </c>
      <c r="G65" s="99" t="str">
        <f t="shared" si="4"/>
        <v/>
      </c>
      <c r="H65" s="121"/>
      <c r="I65" s="122"/>
      <c r="J65" s="123"/>
      <c r="K65" s="103" t="str">
        <f t="shared" si="22"/>
        <v/>
      </c>
      <c r="L65" s="125"/>
      <c r="M65" s="181"/>
      <c r="N65" s="126"/>
      <c r="O65" s="127"/>
      <c r="P65" s="13">
        <f t="array" ref="P65">XLOOKUP(B65,Weight!B:B,Weight!D:D,"#N/A",0)</f>
        <v>140</v>
      </c>
      <c r="Q65" s="17" t="str">
        <f t="shared" si="6"/>
        <v/>
      </c>
      <c r="R65" s="107"/>
      <c r="S65" s="108">
        <v>392620.0</v>
      </c>
      <c r="T65" s="108">
        <v>12.0</v>
      </c>
      <c r="U65" s="109">
        <v>60.0</v>
      </c>
      <c r="V65" s="110"/>
      <c r="X65" s="111">
        <f>SUMIFS('Transit Shipment'!$B$10:$B$1048462,'Transit Shipment'!$A$10:$A$1048462,B65,'Transit Shipment'!$C$10:$C$1048462,AA65)</f>
        <v>0</v>
      </c>
      <c r="Y65" s="111">
        <f>IF(SUMIFS(DIH!$S$2:$S833,DIH!$D$2:$D833,B65,DIH!$U$2:$U833,AA65)&gt;0,SUMIFS(DIH!$S$2:$S833,DIH!$D$2:$D833,B65,DIH!$U$2:$U833,AA65),0)</f>
        <v>4</v>
      </c>
      <c r="Z65" s="112">
        <f t="shared" si="7"/>
        <v>4</v>
      </c>
      <c r="AA65" s="131" t="s">
        <v>16</v>
      </c>
      <c r="AB65" s="114">
        <f>IF(ISNA(VLOOKUP($B65,'Business Report'!$D$2:$J$202,2,0)),"",VLOOKUP($B65,'Business Report'!$D$2:$J$202,2,0))</f>
        <v>27</v>
      </c>
      <c r="AC65" s="115">
        <f>SUMIFS(AFS!$P$2:$P$6260,AFS!$N$2:$N$6260,B65,AFS!$AT$2:$AT$6260,AA65)</f>
        <v>0</v>
      </c>
      <c r="AD65" s="116">
        <f t="shared" si="8"/>
        <v>-4</v>
      </c>
      <c r="AE65" s="117"/>
      <c r="AF65" s="118" t="str">
        <f t="shared" si="9"/>
        <v/>
      </c>
      <c r="AG65" s="26"/>
      <c r="AH65" s="26"/>
      <c r="AI65" s="26"/>
    </row>
    <row r="66">
      <c r="A66" s="132" t="s">
        <v>91</v>
      </c>
      <c r="B66" s="15" t="s">
        <v>12</v>
      </c>
      <c r="C66" s="133" t="s">
        <v>182</v>
      </c>
      <c r="D66" s="134" t="s">
        <v>137</v>
      </c>
      <c r="E66" s="135">
        <f t="shared" si="2"/>
        <v>1</v>
      </c>
      <c r="F66" s="135">
        <f t="shared" si="3"/>
        <v>0</v>
      </c>
      <c r="G66" s="136" t="str">
        <f t="shared" si="4"/>
        <v/>
      </c>
      <c r="H66" s="137"/>
      <c r="I66" s="138"/>
      <c r="J66" s="139"/>
      <c r="K66" s="140" t="str">
        <f t="shared" si="22"/>
        <v/>
      </c>
      <c r="L66" s="135"/>
      <c r="M66" s="152"/>
      <c r="N66" s="142"/>
      <c r="O66" s="143"/>
      <c r="P66" s="144">
        <f t="array" ref="P66">XLOOKUP(B66,Weight!B:B,Weight!D:D,"#N/A",0)</f>
        <v>140</v>
      </c>
      <c r="Q66" s="145" t="str">
        <f t="shared" si="6"/>
        <v/>
      </c>
      <c r="R66" s="146"/>
      <c r="S66" s="147">
        <v>392620.0</v>
      </c>
      <c r="T66" s="147">
        <v>12.0</v>
      </c>
      <c r="U66" s="109">
        <v>60.0</v>
      </c>
      <c r="V66" s="148"/>
      <c r="W66" s="149"/>
      <c r="X66" s="150">
        <f>SUMIFS('Transit Shipment'!$B$10:$B$1048462,'Transit Shipment'!$A$10:$A$1048462,B66,'Transit Shipment'!$C$10:$C$1048462,AA66)</f>
        <v>0</v>
      </c>
      <c r="Y66" s="150">
        <f>IF(SUMIFS(DIH!$S$2:$S833,DIH!$D$2:$D833,B66,DIH!$U$2:$U833,AA66)&gt;0,SUMIFS(DIH!$S$2:$S833,DIH!$D$2:$D833,B66,DIH!$U$2:$U833,AA66),0)</f>
        <v>2</v>
      </c>
      <c r="Z66" s="151">
        <f t="shared" si="7"/>
        <v>2</v>
      </c>
      <c r="AA66" s="152" t="s">
        <v>17</v>
      </c>
      <c r="AB66" s="154">
        <f>IF(ISNA(VLOOKUP($B66,'Business Report'!$D$2:$J$202,2,0)),"",VLOOKUP($B66,'Business Report'!$D$2:$J$202,2,0))</f>
        <v>27</v>
      </c>
      <c r="AC66" s="155">
        <f>SUMIFS(AFS!$P$2:$P$6260,AFS!$N$2:$N$6260,B66,AFS!$AT$2:$AT$6260,AA66)</f>
        <v>1</v>
      </c>
      <c r="AD66" s="156">
        <f t="shared" si="8"/>
        <v>0</v>
      </c>
      <c r="AE66" s="159">
        <f>SUM(AD58:AD66)</f>
        <v>-17</v>
      </c>
      <c r="AF66" s="118" t="str">
        <f t="shared" si="9"/>
        <v/>
      </c>
      <c r="AG66" s="26"/>
      <c r="AH66" s="26"/>
      <c r="AI66" s="26"/>
    </row>
    <row r="67">
      <c r="A67" s="66" t="s">
        <v>95</v>
      </c>
      <c r="B67" s="1" t="s">
        <v>15</v>
      </c>
      <c r="C67" s="95" t="s">
        <v>187</v>
      </c>
      <c r="D67" s="68" t="s">
        <v>137</v>
      </c>
      <c r="E67" s="69">
        <f t="shared" si="2"/>
        <v>1</v>
      </c>
      <c r="F67" s="69">
        <f t="shared" si="3"/>
        <v>0.5</v>
      </c>
      <c r="G67" s="70" t="str">
        <f t="shared" si="4"/>
        <v/>
      </c>
      <c r="H67" s="163"/>
      <c r="I67" s="101"/>
      <c r="J67" s="102"/>
      <c r="K67" s="167"/>
      <c r="L67" s="119"/>
      <c r="M67" s="169">
        <f t="shared" ref="M67:M75" si="24">IF(ISNUMBER($AF67),2*$AF67,"")</f>
        <v>8</v>
      </c>
      <c r="N67" s="171"/>
      <c r="O67" s="106"/>
      <c r="P67" s="79">
        <f t="array" ref="P67">XLOOKUP(B67,Weight!B:B,Weight!D:D,"#N/A",0)</f>
        <v>220</v>
      </c>
      <c r="Q67" s="80">
        <f t="shared" si="6"/>
        <v>880</v>
      </c>
      <c r="R67" s="107"/>
      <c r="S67" s="108">
        <v>392620.0</v>
      </c>
      <c r="T67" s="108">
        <v>12.0</v>
      </c>
      <c r="U67" s="83">
        <v>120.0</v>
      </c>
      <c r="V67" s="84" t="str">
        <f t="shared" ref="V67:W67" si="23">B67</f>
        <v>CRM_AP_BLACK_PACK OF 2</v>
      </c>
      <c r="W67" s="174" t="str">
        <f t="shared" si="23"/>
        <v>CRASOME Apron for Men Women Chef Cooking Restaurants Gardening Workshop, Barbers with Adjustable Strap and Two Pockets (Black_Pack of 2)</v>
      </c>
      <c r="X67" s="86">
        <f>SUMIFS('Transit Shipment'!$B$10:$B$1048462,'Transit Shipment'!$A$10:$A$1048462,B67,'Transit Shipment'!$C$10:$C$1048462,AA67)</f>
        <v>0</v>
      </c>
      <c r="Y67" s="86">
        <f>IF(SUMIFS(DIH!$S$2:$S833,DIH!$D$2:$D833,B67,DIH!$U$2:$U833,AA67)&gt;0,SUMIFS(DIH!$S$2:$S833,DIH!$D$2:$D833,B67,DIH!$U$2:$U833,AA67),0)</f>
        <v>1</v>
      </c>
      <c r="Z67" s="87">
        <f t="shared" si="7"/>
        <v>1</v>
      </c>
      <c r="AA67" s="88" t="s">
        <v>5</v>
      </c>
      <c r="AB67" s="89">
        <f>IF(ISNA(VLOOKUP($B67,'Business Report'!$D$2:$J$202,2,0)),"",VLOOKUP($B67,'Business Report'!$D$2:$J$202,2,0))</f>
        <v>89</v>
      </c>
      <c r="AC67" s="90">
        <f>SUMIFS(AFS!$P$2:$P$6260,AFS!$N$2:$N$6260,B67,AFS!$AT$2:$AT$6260,AA67)</f>
        <v>3</v>
      </c>
      <c r="AD67" s="91">
        <f t="shared" si="8"/>
        <v>3</v>
      </c>
      <c r="AE67" s="92"/>
      <c r="AF67" s="93">
        <f t="shared" si="9"/>
        <v>4</v>
      </c>
      <c r="AG67" s="26"/>
      <c r="AH67" s="26"/>
      <c r="AI67" s="26"/>
    </row>
    <row r="68">
      <c r="A68" s="94" t="s">
        <v>95</v>
      </c>
      <c r="B68" s="3" t="s">
        <v>15</v>
      </c>
      <c r="C68" s="95" t="s">
        <v>187</v>
      </c>
      <c r="D68" s="96" t="s">
        <v>137</v>
      </c>
      <c r="E68" s="97" t="str">
        <f t="shared" si="2"/>
        <v/>
      </c>
      <c r="F68" s="97" t="str">
        <f t="shared" si="3"/>
        <v/>
      </c>
      <c r="G68" s="99" t="str">
        <f t="shared" si="4"/>
        <v/>
      </c>
      <c r="H68" s="100"/>
      <c r="I68" s="101"/>
      <c r="J68" s="102"/>
      <c r="K68" s="103"/>
      <c r="L68" s="97"/>
      <c r="M68" s="169" t="str">
        <f t="shared" si="24"/>
        <v/>
      </c>
      <c r="N68" s="105"/>
      <c r="O68" s="106"/>
      <c r="P68" s="13">
        <f t="array" ref="P68">XLOOKUP(B68,Weight!B:B,Weight!D:D,"#N/A",0)</f>
        <v>220</v>
      </c>
      <c r="Q68" s="17" t="str">
        <f t="shared" si="6"/>
        <v/>
      </c>
      <c r="R68" s="107"/>
      <c r="S68" s="108">
        <v>392620.0</v>
      </c>
      <c r="T68" s="108">
        <v>12.0</v>
      </c>
      <c r="U68" s="109">
        <v>120.0</v>
      </c>
      <c r="V68" s="110"/>
      <c r="X68" s="111">
        <f>SUMIFS('Transit Shipment'!$B$10:$B$1048462,'Transit Shipment'!$A$10:$A$1048462,B68,'Transit Shipment'!$C$10:$C$1048462,AA68)</f>
        <v>0</v>
      </c>
      <c r="Y68" s="111">
        <f>IF(SUMIFS(DIH!$S$2:$S833,DIH!$D$2:$D833,B68,DIH!$U$2:$U833,AA68)&gt;0,SUMIFS(DIH!$S$2:$S833,DIH!$D$2:$D833,B68,DIH!$U$2:$U833,AA68),0)</f>
        <v>11</v>
      </c>
      <c r="Z68" s="112">
        <f t="shared" si="7"/>
        <v>11</v>
      </c>
      <c r="AA68" s="113" t="s">
        <v>11</v>
      </c>
      <c r="AB68" s="114">
        <f>IF(ISNA(VLOOKUP($B68,'Business Report'!$D$2:$J$202,2,0)),"",VLOOKUP($B68,'Business Report'!$D$2:$J$202,2,0))</f>
        <v>89</v>
      </c>
      <c r="AC68" s="115">
        <f>SUMIFS(AFS!$P$2:$P$6260,AFS!$N$2:$N$6260,B68,AFS!$AT$2:$AT$6260,AA68)</f>
        <v>2</v>
      </c>
      <c r="AD68" s="116">
        <f t="shared" si="8"/>
        <v>-8</v>
      </c>
      <c r="AE68" s="117"/>
      <c r="AF68" s="118" t="str">
        <f t="shared" si="9"/>
        <v/>
      </c>
      <c r="AG68" s="26"/>
      <c r="AH68" s="26"/>
      <c r="AI68" s="26"/>
    </row>
    <row r="69">
      <c r="A69" s="94" t="s">
        <v>95</v>
      </c>
      <c r="B69" s="3" t="s">
        <v>15</v>
      </c>
      <c r="C69" s="95" t="s">
        <v>187</v>
      </c>
      <c r="D69" s="96" t="s">
        <v>137</v>
      </c>
      <c r="E69" s="97" t="str">
        <f t="shared" si="2"/>
        <v/>
      </c>
      <c r="F69" s="97" t="str">
        <f t="shared" si="3"/>
        <v/>
      </c>
      <c r="G69" s="99" t="str">
        <f t="shared" si="4"/>
        <v/>
      </c>
      <c r="H69" s="100"/>
      <c r="I69" s="101"/>
      <c r="J69" s="102"/>
      <c r="K69" s="103"/>
      <c r="L69" s="97"/>
      <c r="M69" s="169" t="str">
        <f t="shared" si="24"/>
        <v/>
      </c>
      <c r="N69" s="105"/>
      <c r="O69" s="106"/>
      <c r="P69" s="13">
        <f t="array" ref="P69">XLOOKUP(B69,Weight!B:B,Weight!D:D,"#N/A",0)</f>
        <v>220</v>
      </c>
      <c r="Q69" s="17" t="str">
        <f t="shared" si="6"/>
        <v/>
      </c>
      <c r="R69" s="107"/>
      <c r="S69" s="108">
        <v>392620.0</v>
      </c>
      <c r="T69" s="108">
        <v>12.0</v>
      </c>
      <c r="U69" s="109">
        <v>120.0</v>
      </c>
      <c r="V69" s="110"/>
      <c r="X69" s="111">
        <f>SUMIFS('Transit Shipment'!$B$10:$B$1048462,'Transit Shipment'!$A$10:$A$1048462,B69,'Transit Shipment'!$C$10:$C$1048462,AA69)</f>
        <v>0</v>
      </c>
      <c r="Y69" s="111">
        <f>IF(SUMIFS(DIH!$S$2:$S833,DIH!$D$2:$D833,B69,DIH!$U$2:$U833,AA69)&gt;0,SUMIFS(DIH!$S$2:$S833,DIH!$D$2:$D833,B69,DIH!$U$2:$U833,AA69),0)</f>
        <v>12</v>
      </c>
      <c r="Z69" s="112">
        <f t="shared" si="7"/>
        <v>12</v>
      </c>
      <c r="AA69" s="119" t="s">
        <v>9</v>
      </c>
      <c r="AB69" s="114">
        <f>IF(ISNA(VLOOKUP($B69,'Business Report'!$D$2:$J$202,2,0)),"",VLOOKUP($B69,'Business Report'!$D$2:$J$202,2,0))</f>
        <v>89</v>
      </c>
      <c r="AC69" s="115">
        <f>SUMIFS(AFS!$P$2:$P$6260,AFS!$N$2:$N$6260,B69,AFS!$AT$2:$AT$6260,AA69)</f>
        <v>8</v>
      </c>
      <c r="AD69" s="116">
        <f t="shared" si="8"/>
        <v>-1</v>
      </c>
      <c r="AE69" s="117"/>
      <c r="AF69" s="118" t="str">
        <f t="shared" si="9"/>
        <v/>
      </c>
      <c r="AG69" s="4"/>
      <c r="AH69" s="26"/>
      <c r="AI69" s="26"/>
    </row>
    <row r="70">
      <c r="A70" s="120" t="s">
        <v>95</v>
      </c>
      <c r="B70" s="7" t="s">
        <v>15</v>
      </c>
      <c r="C70" s="95" t="s">
        <v>187</v>
      </c>
      <c r="D70" s="109" t="s">
        <v>137</v>
      </c>
      <c r="E70" s="97">
        <f t="shared" si="2"/>
        <v>2</v>
      </c>
      <c r="F70" s="97">
        <f t="shared" si="3"/>
        <v>0.5</v>
      </c>
      <c r="G70" s="99" t="str">
        <f t="shared" si="4"/>
        <v/>
      </c>
      <c r="H70" s="121"/>
      <c r="I70" s="122"/>
      <c r="J70" s="123"/>
      <c r="K70" s="124"/>
      <c r="L70" s="125"/>
      <c r="M70" s="169">
        <f t="shared" si="24"/>
        <v>12</v>
      </c>
      <c r="N70" s="126"/>
      <c r="O70" s="127"/>
      <c r="P70" s="13">
        <f t="array" ref="P70">XLOOKUP(B70,Weight!B:B,Weight!D:D,"#N/A",0)</f>
        <v>220</v>
      </c>
      <c r="Q70" s="17">
        <f t="shared" si="6"/>
        <v>1320</v>
      </c>
      <c r="R70" s="107"/>
      <c r="S70" s="108">
        <v>392620.0</v>
      </c>
      <c r="T70" s="108">
        <v>12.0</v>
      </c>
      <c r="U70" s="109">
        <v>120.0</v>
      </c>
      <c r="V70" s="110"/>
      <c r="X70" s="111">
        <f>SUMIFS('Transit Shipment'!$B$10:$B$1048462,'Transit Shipment'!$A$10:$A$1048462,B70,'Transit Shipment'!$C$10:$C$1048462,AA70)</f>
        <v>0</v>
      </c>
      <c r="Y70" s="111">
        <f>IF(SUMIFS(DIH!$S$2:$S833,DIH!$D$2:$D833,B70,DIH!$U$2:$U833,AA70)&gt;0,SUMIFS(DIH!$S$2:$S833,DIH!$D$2:$D833,B70,DIH!$U$2:$U833,AA70),0)</f>
        <v>2</v>
      </c>
      <c r="Z70" s="112">
        <f t="shared" si="7"/>
        <v>2</v>
      </c>
      <c r="AA70" s="119" t="s">
        <v>155</v>
      </c>
      <c r="AB70" s="114">
        <f>IF(ISNA(VLOOKUP($B70,'Business Report'!$D$2:$J$202,2,0)),"",VLOOKUP($B70,'Business Report'!$D$2:$J$202,2,0))</f>
        <v>89</v>
      </c>
      <c r="AC70" s="115">
        <f>SUMIFS(AFS!$P$2:$P$6260,AFS!$N$2:$N$6260,B70,AFS!$AT$2:$AT$6260,AA70)</f>
        <v>5</v>
      </c>
      <c r="AD70" s="116">
        <f t="shared" si="8"/>
        <v>5</v>
      </c>
      <c r="AE70" s="117"/>
      <c r="AF70" s="118">
        <f t="shared" si="9"/>
        <v>6</v>
      </c>
      <c r="AG70" s="4"/>
      <c r="AH70" s="26"/>
      <c r="AI70" s="26"/>
    </row>
    <row r="71">
      <c r="A71" s="120" t="s">
        <v>95</v>
      </c>
      <c r="B71" s="7" t="s">
        <v>15</v>
      </c>
      <c r="C71" s="95" t="s">
        <v>187</v>
      </c>
      <c r="D71" s="109" t="s">
        <v>137</v>
      </c>
      <c r="E71" s="97">
        <f t="shared" si="2"/>
        <v>2</v>
      </c>
      <c r="F71" s="97">
        <f t="shared" si="3"/>
        <v>0</v>
      </c>
      <c r="G71" s="99" t="str">
        <f t="shared" si="4"/>
        <v/>
      </c>
      <c r="H71" s="121"/>
      <c r="I71" s="122"/>
      <c r="J71" s="123"/>
      <c r="K71" s="124"/>
      <c r="L71" s="125"/>
      <c r="M71" s="169">
        <f t="shared" si="24"/>
        <v>8</v>
      </c>
      <c r="N71" s="126"/>
      <c r="O71" s="127"/>
      <c r="P71" s="13">
        <f t="array" ref="P71">XLOOKUP(B71,Weight!B:B,Weight!D:D,"#N/A",0)</f>
        <v>220</v>
      </c>
      <c r="Q71" s="17">
        <f t="shared" si="6"/>
        <v>880</v>
      </c>
      <c r="R71" s="107"/>
      <c r="S71" s="108">
        <v>392620.0</v>
      </c>
      <c r="T71" s="108">
        <v>12.0</v>
      </c>
      <c r="U71" s="109">
        <v>120.0</v>
      </c>
      <c r="V71" s="110"/>
      <c r="X71" s="111">
        <f>SUMIFS('Transit Shipment'!$B$10:$B$1048462,'Transit Shipment'!$A$10:$A$1048462,B71,'Transit Shipment'!$C$10:$C$1048462,AA71)</f>
        <v>0</v>
      </c>
      <c r="Y71" s="111">
        <f>IF(SUMIFS(DIH!$S$2:$S833,DIH!$D$2:$D833,B71,DIH!$U$2:$U833,AA71)&gt;0,SUMIFS(DIH!$S$2:$S833,DIH!$D$2:$D833,B71,DIH!$U$2:$U833,AA71),0)</f>
        <v>8</v>
      </c>
      <c r="Z71" s="112">
        <f t="shared" si="7"/>
        <v>8</v>
      </c>
      <c r="AA71" s="119" t="s">
        <v>156</v>
      </c>
      <c r="AB71" s="114">
        <f>IF(ISNA(VLOOKUP($B71,'Business Report'!$D$2:$J$202,2,0)),"",VLOOKUP($B71,'Business Report'!$D$2:$J$202,2,0))</f>
        <v>89</v>
      </c>
      <c r="AC71" s="115">
        <f>SUMIFS(AFS!$P$2:$P$6260,AFS!$N$2:$N$6260,B71,AFS!$AT$2:$AT$6260,AA71)</f>
        <v>9</v>
      </c>
      <c r="AD71" s="116">
        <f t="shared" si="8"/>
        <v>4</v>
      </c>
      <c r="AE71" s="117"/>
      <c r="AF71" s="118">
        <f t="shared" si="9"/>
        <v>4</v>
      </c>
      <c r="AG71" s="4"/>
      <c r="AH71" s="26"/>
      <c r="AI71" s="26"/>
    </row>
    <row r="72">
      <c r="A72" s="120" t="s">
        <v>95</v>
      </c>
      <c r="B72" s="7" t="s">
        <v>15</v>
      </c>
      <c r="C72" s="95" t="s">
        <v>187</v>
      </c>
      <c r="D72" s="109" t="s">
        <v>137</v>
      </c>
      <c r="E72" s="97">
        <f t="shared" si="2"/>
        <v>5</v>
      </c>
      <c r="F72" s="97">
        <f t="shared" si="3"/>
        <v>0</v>
      </c>
      <c r="G72" s="99" t="str">
        <f t="shared" si="4"/>
        <v/>
      </c>
      <c r="H72" s="121"/>
      <c r="I72" s="122"/>
      <c r="J72" s="123"/>
      <c r="K72" s="124"/>
      <c r="L72" s="125"/>
      <c r="M72" s="169">
        <f t="shared" si="24"/>
        <v>20</v>
      </c>
      <c r="N72" s="126"/>
      <c r="O72" s="127"/>
      <c r="P72" s="13">
        <f t="array" ref="P72">XLOOKUP(B72,Weight!B:B,Weight!D:D,"#N/A",0)</f>
        <v>220</v>
      </c>
      <c r="Q72" s="17">
        <f t="shared" si="6"/>
        <v>2200</v>
      </c>
      <c r="R72" s="107"/>
      <c r="S72" s="108">
        <v>392620.0</v>
      </c>
      <c r="T72" s="108">
        <v>12.0</v>
      </c>
      <c r="U72" s="109">
        <v>120.0</v>
      </c>
      <c r="V72" s="110"/>
      <c r="X72" s="111">
        <f>SUMIFS('Transit Shipment'!$B$10:$B$1048462,'Transit Shipment'!$A$10:$A$1048462,B72,'Transit Shipment'!$C$10:$C$1048462,AA72)</f>
        <v>0</v>
      </c>
      <c r="Y72" s="111">
        <f>IF(SUMIFS(DIH!$S$2:$S833,DIH!$D$2:$D833,B72,DIH!$U$2:$U833,AA72)&gt;0,SUMIFS(DIH!$S$2:$S833,DIH!$D$2:$D833,B72,DIH!$U$2:$U833,AA72),0)</f>
        <v>4</v>
      </c>
      <c r="Z72" s="112">
        <f t="shared" si="7"/>
        <v>4</v>
      </c>
      <c r="AA72" s="130" t="s">
        <v>13</v>
      </c>
      <c r="AB72" s="114">
        <f>IF(ISNA(VLOOKUP($B72,'Business Report'!$D$2:$J$202,2,0)),"",VLOOKUP($B72,'Business Report'!$D$2:$J$202,2,0))</f>
        <v>89</v>
      </c>
      <c r="AC72" s="115">
        <f>SUMIFS(AFS!$P$2:$P$6260,AFS!$N$2:$N$6260,B72,AFS!$AT$2:$AT$6260,AA72)</f>
        <v>10</v>
      </c>
      <c r="AD72" s="116">
        <f t="shared" si="8"/>
        <v>10</v>
      </c>
      <c r="AE72" s="117"/>
      <c r="AF72" s="118">
        <f t="shared" si="9"/>
        <v>10</v>
      </c>
      <c r="AG72" s="26"/>
      <c r="AH72" s="26"/>
      <c r="AI72" s="26"/>
    </row>
    <row r="73">
      <c r="A73" s="120" t="s">
        <v>95</v>
      </c>
      <c r="B73" s="7" t="s">
        <v>15</v>
      </c>
      <c r="C73" s="95" t="s">
        <v>187</v>
      </c>
      <c r="D73" s="109" t="s">
        <v>137</v>
      </c>
      <c r="E73" s="97">
        <f t="shared" si="2"/>
        <v>4</v>
      </c>
      <c r="F73" s="97">
        <f t="shared" si="3"/>
        <v>0</v>
      </c>
      <c r="G73" s="99" t="str">
        <f t="shared" si="4"/>
        <v/>
      </c>
      <c r="H73" s="121"/>
      <c r="I73" s="122"/>
      <c r="J73" s="123"/>
      <c r="K73" s="124"/>
      <c r="L73" s="125"/>
      <c r="M73" s="169">
        <f t="shared" si="24"/>
        <v>16</v>
      </c>
      <c r="N73" s="126"/>
      <c r="O73" s="127"/>
      <c r="P73" s="13">
        <f t="array" ref="P73">XLOOKUP(B73,Weight!B:B,Weight!D:D,"#N/A",0)</f>
        <v>220</v>
      </c>
      <c r="Q73" s="17">
        <f t="shared" si="6"/>
        <v>1760</v>
      </c>
      <c r="R73" s="107"/>
      <c r="S73" s="108">
        <v>392620.0</v>
      </c>
      <c r="T73" s="108">
        <v>12.0</v>
      </c>
      <c r="U73" s="109">
        <v>120.0</v>
      </c>
      <c r="V73" s="110"/>
      <c r="X73" s="111">
        <f>SUMIFS('Transit Shipment'!$B$10:$B$1048462,'Transit Shipment'!$A$10:$A$1048462,B73,'Transit Shipment'!$C$10:$C$1048462,AA73)</f>
        <v>0</v>
      </c>
      <c r="Y73" s="111">
        <f>IF(SUMIFS(DIH!$S$2:$S833,DIH!$D$2:$D833,B73,DIH!$U$2:$U833,AA73)&gt;0,SUMIFS(DIH!$S$2:$S833,DIH!$D$2:$D833,B73,DIH!$U$2:$U833,AA73),0)</f>
        <v>3</v>
      </c>
      <c r="Z73" s="112">
        <f t="shared" si="7"/>
        <v>3</v>
      </c>
      <c r="AA73" s="119" t="s">
        <v>14</v>
      </c>
      <c r="AB73" s="114">
        <f>IF(ISNA(VLOOKUP($B73,'Business Report'!$D$2:$J$202,2,0)),"",VLOOKUP($B73,'Business Report'!$D$2:$J$202,2,0))</f>
        <v>89</v>
      </c>
      <c r="AC73" s="115">
        <f>SUMIFS(AFS!$P$2:$P$6260,AFS!$N$2:$N$6260,B73,AFS!$AT$2:$AT$6260,AA73)</f>
        <v>8</v>
      </c>
      <c r="AD73" s="116">
        <f t="shared" si="8"/>
        <v>8</v>
      </c>
      <c r="AE73" s="117"/>
      <c r="AF73" s="118">
        <f t="shared" si="9"/>
        <v>8</v>
      </c>
      <c r="AG73" s="26"/>
      <c r="AH73" s="26"/>
      <c r="AI73" s="26"/>
    </row>
    <row r="74">
      <c r="A74" s="120" t="s">
        <v>95</v>
      </c>
      <c r="B74" s="7" t="s">
        <v>15</v>
      </c>
      <c r="C74" s="95" t="s">
        <v>187</v>
      </c>
      <c r="D74" s="109" t="s">
        <v>137</v>
      </c>
      <c r="E74" s="97" t="str">
        <f t="shared" si="2"/>
        <v/>
      </c>
      <c r="F74" s="97" t="str">
        <f t="shared" si="3"/>
        <v/>
      </c>
      <c r="G74" s="99" t="str">
        <f t="shared" si="4"/>
        <v/>
      </c>
      <c r="H74" s="121"/>
      <c r="I74" s="122"/>
      <c r="J74" s="123"/>
      <c r="K74" s="124"/>
      <c r="L74" s="125"/>
      <c r="M74" s="169" t="str">
        <f t="shared" si="24"/>
        <v/>
      </c>
      <c r="N74" s="126"/>
      <c r="O74" s="127"/>
      <c r="P74" s="13">
        <f t="array" ref="P74">XLOOKUP(B74,Weight!B:B,Weight!D:D,"#N/A",0)</f>
        <v>220</v>
      </c>
      <c r="Q74" s="17" t="str">
        <f t="shared" si="6"/>
        <v/>
      </c>
      <c r="R74" s="107"/>
      <c r="S74" s="108">
        <v>392620.0</v>
      </c>
      <c r="T74" s="108">
        <v>12.0</v>
      </c>
      <c r="U74" s="109">
        <v>120.0</v>
      </c>
      <c r="V74" s="110"/>
      <c r="X74" s="111">
        <f>SUMIFS('Transit Shipment'!$B$10:$B$1048462,'Transit Shipment'!$A$10:$A$1048462,B74,'Transit Shipment'!$C$10:$C$1048462,AA74)</f>
        <v>0</v>
      </c>
      <c r="Y74" s="111">
        <f>IF(SUMIFS(DIH!$S$2:$S833,DIH!$D$2:$D833,B74,DIH!$U$2:$U833,AA74)&gt;0,SUMIFS(DIH!$S$2:$S833,DIH!$D$2:$D833,B74,DIH!$U$2:$U833,AA74),0)</f>
        <v>10</v>
      </c>
      <c r="Z74" s="112">
        <f t="shared" si="7"/>
        <v>10</v>
      </c>
      <c r="AA74" s="131" t="s">
        <v>16</v>
      </c>
      <c r="AB74" s="114">
        <f>IF(ISNA(VLOOKUP($B74,'Business Report'!$D$2:$J$202,2,0)),"",VLOOKUP($B74,'Business Report'!$D$2:$J$202,2,0))</f>
        <v>89</v>
      </c>
      <c r="AC74" s="115">
        <f>SUMIFS(AFS!$P$2:$P$6260,AFS!$N$2:$N$6260,B74,AFS!$AT$2:$AT$6260,AA74)</f>
        <v>6</v>
      </c>
      <c r="AD74" s="116">
        <f t="shared" si="8"/>
        <v>-2</v>
      </c>
      <c r="AE74" s="117"/>
      <c r="AF74" s="118" t="str">
        <f t="shared" si="9"/>
        <v/>
      </c>
      <c r="AG74" s="26"/>
      <c r="AH74" s="26"/>
      <c r="AI74" s="26"/>
    </row>
    <row r="75">
      <c r="A75" s="132" t="s">
        <v>95</v>
      </c>
      <c r="B75" s="15" t="s">
        <v>15</v>
      </c>
      <c r="C75" s="133" t="s">
        <v>187</v>
      </c>
      <c r="D75" s="134" t="s">
        <v>137</v>
      </c>
      <c r="E75" s="135">
        <f t="shared" si="2"/>
        <v>1</v>
      </c>
      <c r="F75" s="135">
        <f t="shared" si="3"/>
        <v>0</v>
      </c>
      <c r="G75" s="136" t="str">
        <f t="shared" si="4"/>
        <v/>
      </c>
      <c r="H75" s="137"/>
      <c r="I75" s="138"/>
      <c r="J75" s="139"/>
      <c r="K75" s="140"/>
      <c r="L75" s="135"/>
      <c r="M75" s="152" t="str">
        <f t="shared" si="24"/>
        <v/>
      </c>
      <c r="N75" s="142"/>
      <c r="O75" s="143"/>
      <c r="P75" s="144">
        <f t="array" ref="P75">XLOOKUP(B75,Weight!B:B,Weight!D:D,"#N/A",0)</f>
        <v>220</v>
      </c>
      <c r="Q75" s="145" t="str">
        <f t="shared" si="6"/>
        <v/>
      </c>
      <c r="R75" s="146"/>
      <c r="S75" s="147">
        <v>392620.0</v>
      </c>
      <c r="T75" s="147">
        <v>12.0</v>
      </c>
      <c r="U75" s="109">
        <v>120.0</v>
      </c>
      <c r="V75" s="148"/>
      <c r="W75" s="149"/>
      <c r="X75" s="150">
        <f>SUMIFS('Transit Shipment'!$B$10:$B$1048462,'Transit Shipment'!$A$10:$A$1048462,B75,'Transit Shipment'!$C$10:$C$1048462,AA75)</f>
        <v>0</v>
      </c>
      <c r="Y75" s="150">
        <f>IF(SUMIFS(DIH!$S$2:$S833,DIH!$D$2:$D833,B75,DIH!$U$2:$U833,AA75)&gt;0,SUMIFS(DIH!$S$2:$S833,DIH!$D$2:$D833,B75,DIH!$U$2:$U833,AA75),0)</f>
        <v>0</v>
      </c>
      <c r="Z75" s="151">
        <f t="shared" si="7"/>
        <v>0</v>
      </c>
      <c r="AA75" s="152" t="s">
        <v>17</v>
      </c>
      <c r="AB75" s="154">
        <f>IF(ISNA(VLOOKUP($B75,'Business Report'!$D$2:$J$202,2,0)),"",VLOOKUP($B75,'Business Report'!$D$2:$J$202,2,0))</f>
        <v>89</v>
      </c>
      <c r="AC75" s="155">
        <f>SUMIFS(AFS!$P$2:$P$6260,AFS!$N$2:$N$6260,B75,AFS!$AT$2:$AT$6260,AA75)</f>
        <v>0</v>
      </c>
      <c r="AD75" s="156">
        <f t="shared" si="8"/>
        <v>0</v>
      </c>
      <c r="AE75" s="159">
        <f>SUM(AD67:AD75)</f>
        <v>19</v>
      </c>
      <c r="AF75" s="118" t="str">
        <f t="shared" si="9"/>
        <v/>
      </c>
      <c r="AG75" s="26"/>
      <c r="AH75" s="26"/>
      <c r="AI75" s="26"/>
    </row>
    <row r="76">
      <c r="A76" s="66" t="s">
        <v>87</v>
      </c>
      <c r="B76" s="1" t="s">
        <v>19</v>
      </c>
      <c r="C76" s="95" t="s">
        <v>188</v>
      </c>
      <c r="D76" s="68" t="s">
        <v>137</v>
      </c>
      <c r="E76" s="69">
        <f t="shared" si="2"/>
        <v>1</v>
      </c>
      <c r="F76" s="69">
        <f t="shared" si="3"/>
        <v>0</v>
      </c>
      <c r="G76" s="70" t="str">
        <f t="shared" si="4"/>
        <v/>
      </c>
      <c r="H76" s="163"/>
      <c r="I76" s="101">
        <f t="shared" ref="I76:I84" si="26">IF(ISNUMBER($AF76),2*$AF76,"")</f>
        <v>4</v>
      </c>
      <c r="J76" s="102"/>
      <c r="K76" s="167"/>
      <c r="L76" s="119"/>
      <c r="M76" s="169"/>
      <c r="N76" s="171"/>
      <c r="O76" s="106"/>
      <c r="P76" s="79">
        <f t="array" ref="P76">XLOOKUP(B76,Weight!B:B,Weight!D:D,"#N/A",0)</f>
        <v>220</v>
      </c>
      <c r="Q76" s="80">
        <f t="shared" si="6"/>
        <v>440</v>
      </c>
      <c r="R76" s="107"/>
      <c r="S76" s="108">
        <v>392620.0</v>
      </c>
      <c r="T76" s="108">
        <v>12.0</v>
      </c>
      <c r="U76" s="83">
        <v>120.0</v>
      </c>
      <c r="V76" s="84" t="str">
        <f t="shared" ref="V76:W76" si="25">B76</f>
        <v>CRM_AP_BLUE_PACK OF 2</v>
      </c>
      <c r="W76" s="174" t="str">
        <f t="shared" si="25"/>
        <v>CRASOME Apron for Men Women Chef Cooking Restaurants Gardening Workshop, Barbers with Adjustable Strap and Two Pockets ( Blue_Pack of 2)</v>
      </c>
      <c r="X76" s="86">
        <f>SUMIFS('Transit Shipment'!$B$10:$B$1048462,'Transit Shipment'!$A$10:$A$1048462,B76,'Transit Shipment'!$C$10:$C$1048462,AA76)</f>
        <v>0</v>
      </c>
      <c r="Y76" s="86">
        <f>IF(SUMIFS(DIH!$S$2:$S833,DIH!$D$2:$D833,B76,DIH!$U$2:$U833,AA76)&gt;0,SUMIFS(DIH!$S$2:$S833,DIH!$D$2:$D833,B76,DIH!$U$2:$U833,AA76),0)</f>
        <v>0</v>
      </c>
      <c r="Z76" s="87">
        <f t="shared" si="7"/>
        <v>0</v>
      </c>
      <c r="AA76" s="88" t="s">
        <v>5</v>
      </c>
      <c r="AB76" s="89">
        <f>IF(ISNA(VLOOKUP($B76,'Business Report'!$D$2:$J$202,2,0)),"",VLOOKUP($B76,'Business Report'!$D$2:$J$202,2,0))</f>
        <v>55</v>
      </c>
      <c r="AC76" s="90">
        <f>SUMIFS(AFS!$P$2:$P$6260,AFS!$N$2:$N$6260,B76,AFS!$AT$2:$AT$6260,AA76)</f>
        <v>1</v>
      </c>
      <c r="AD76" s="91">
        <f t="shared" si="8"/>
        <v>2</v>
      </c>
      <c r="AE76" s="92"/>
      <c r="AF76" s="93">
        <f t="shared" si="9"/>
        <v>2</v>
      </c>
      <c r="AG76" s="26"/>
      <c r="AH76" s="26"/>
      <c r="AI76" s="26"/>
    </row>
    <row r="77">
      <c r="A77" s="94" t="s">
        <v>87</v>
      </c>
      <c r="B77" s="3" t="s">
        <v>19</v>
      </c>
      <c r="C77" s="95" t="s">
        <v>188</v>
      </c>
      <c r="D77" s="96" t="s">
        <v>137</v>
      </c>
      <c r="E77" s="97">
        <f t="shared" si="2"/>
        <v>1</v>
      </c>
      <c r="F77" s="97">
        <f t="shared" si="3"/>
        <v>0</v>
      </c>
      <c r="G77" s="99" t="str">
        <f t="shared" si="4"/>
        <v/>
      </c>
      <c r="H77" s="100"/>
      <c r="I77" s="101" t="str">
        <f t="shared" si="26"/>
        <v/>
      </c>
      <c r="J77" s="102"/>
      <c r="K77" s="103"/>
      <c r="L77" s="97"/>
      <c r="M77" s="169"/>
      <c r="N77" s="105"/>
      <c r="O77" s="106"/>
      <c r="P77" s="13">
        <f t="array" ref="P77">XLOOKUP(B77,Weight!B:B,Weight!D:D,"#N/A",0)</f>
        <v>220</v>
      </c>
      <c r="Q77" s="17" t="str">
        <f t="shared" si="6"/>
        <v/>
      </c>
      <c r="R77" s="107"/>
      <c r="S77" s="108">
        <v>392620.0</v>
      </c>
      <c r="T77" s="108">
        <v>12.0</v>
      </c>
      <c r="U77" s="109">
        <v>120.0</v>
      </c>
      <c r="V77" s="110"/>
      <c r="X77" s="111">
        <f>SUMIFS('Transit Shipment'!$B$10:$B$1048462,'Transit Shipment'!$A$10:$A$1048462,B77,'Transit Shipment'!$C$10:$C$1048462,AA77)</f>
        <v>0</v>
      </c>
      <c r="Y77" s="111">
        <f>IF(SUMIFS(DIH!$S$2:$S833,DIH!$D$2:$D833,B77,DIH!$U$2:$U833,AA77)&gt;0,SUMIFS(DIH!$S$2:$S833,DIH!$D$2:$D833,B77,DIH!$U$2:$U833,AA77),0)</f>
        <v>0</v>
      </c>
      <c r="Z77" s="112">
        <f t="shared" si="7"/>
        <v>0</v>
      </c>
      <c r="AA77" s="113" t="s">
        <v>11</v>
      </c>
      <c r="AB77" s="114">
        <f>IF(ISNA(VLOOKUP($B77,'Business Report'!$D$2:$J$202,2,0)),"",VLOOKUP($B77,'Business Report'!$D$2:$J$202,2,0))</f>
        <v>55</v>
      </c>
      <c r="AC77" s="115">
        <f>SUMIFS(AFS!$P$2:$P$6260,AFS!$N$2:$N$6260,B77,AFS!$AT$2:$AT$6260,AA77)</f>
        <v>0</v>
      </c>
      <c r="AD77" s="116">
        <f t="shared" si="8"/>
        <v>0</v>
      </c>
      <c r="AE77" s="117"/>
      <c r="AF77" s="118" t="str">
        <f t="shared" si="9"/>
        <v/>
      </c>
      <c r="AG77" s="26"/>
      <c r="AH77" s="26"/>
      <c r="AI77" s="26"/>
    </row>
    <row r="78">
      <c r="A78" s="94" t="s">
        <v>87</v>
      </c>
      <c r="B78" s="3" t="s">
        <v>19</v>
      </c>
      <c r="C78" s="95" t="s">
        <v>188</v>
      </c>
      <c r="D78" s="96" t="s">
        <v>137</v>
      </c>
      <c r="E78" s="97">
        <f t="shared" si="2"/>
        <v>1</v>
      </c>
      <c r="F78" s="97">
        <f t="shared" si="3"/>
        <v>0.5</v>
      </c>
      <c r="G78" s="99" t="str">
        <f t="shared" si="4"/>
        <v/>
      </c>
      <c r="H78" s="100"/>
      <c r="I78" s="101">
        <f t="shared" si="26"/>
        <v>8</v>
      </c>
      <c r="J78" s="102"/>
      <c r="K78" s="103"/>
      <c r="L78" s="97"/>
      <c r="M78" s="169"/>
      <c r="N78" s="105"/>
      <c r="O78" s="106"/>
      <c r="P78" s="13">
        <f t="array" ref="P78">XLOOKUP(B78,Weight!B:B,Weight!D:D,"#N/A",0)</f>
        <v>220</v>
      </c>
      <c r="Q78" s="17">
        <f t="shared" si="6"/>
        <v>880</v>
      </c>
      <c r="R78" s="107"/>
      <c r="S78" s="108">
        <v>392620.0</v>
      </c>
      <c r="T78" s="108">
        <v>12.0</v>
      </c>
      <c r="U78" s="109">
        <v>120.0</v>
      </c>
      <c r="V78" s="110"/>
      <c r="X78" s="111">
        <f>SUMIFS('Transit Shipment'!$B$10:$B$1048462,'Transit Shipment'!$A$10:$A$1048462,B78,'Transit Shipment'!$C$10:$C$1048462,AA78)</f>
        <v>0</v>
      </c>
      <c r="Y78" s="111">
        <f>IF(SUMIFS(DIH!$S$2:$S833,DIH!$D$2:$D833,B78,DIH!$U$2:$U833,AA78)&gt;0,SUMIFS(DIH!$S$2:$S833,DIH!$D$2:$D833,B78,DIH!$U$2:$U833,AA78),0)</f>
        <v>0</v>
      </c>
      <c r="Z78" s="112">
        <f t="shared" si="7"/>
        <v>0</v>
      </c>
      <c r="AA78" s="119" t="s">
        <v>9</v>
      </c>
      <c r="AB78" s="114">
        <f>IF(ISNA(VLOOKUP($B78,'Business Report'!$D$2:$J$202,2,0)),"",VLOOKUP($B78,'Business Report'!$D$2:$J$202,2,0))</f>
        <v>55</v>
      </c>
      <c r="AC78" s="115">
        <f>SUMIFS(AFS!$P$2:$P$6260,AFS!$N$2:$N$6260,B78,AFS!$AT$2:$AT$6260,AA78)</f>
        <v>2</v>
      </c>
      <c r="AD78" s="116">
        <f t="shared" si="8"/>
        <v>3</v>
      </c>
      <c r="AE78" s="117"/>
      <c r="AF78" s="118">
        <f t="shared" si="9"/>
        <v>4</v>
      </c>
      <c r="AG78" s="4"/>
      <c r="AH78" s="26"/>
      <c r="AI78" s="26"/>
    </row>
    <row r="79">
      <c r="A79" s="120" t="s">
        <v>87</v>
      </c>
      <c r="B79" s="7" t="s">
        <v>19</v>
      </c>
      <c r="C79" s="95" t="s">
        <v>188</v>
      </c>
      <c r="D79" s="109" t="s">
        <v>137</v>
      </c>
      <c r="E79" s="97">
        <f t="shared" si="2"/>
        <v>2</v>
      </c>
      <c r="F79" s="97">
        <f t="shared" si="3"/>
        <v>0</v>
      </c>
      <c r="G79" s="99" t="str">
        <f t="shared" si="4"/>
        <v/>
      </c>
      <c r="H79" s="121"/>
      <c r="I79" s="101">
        <f t="shared" si="26"/>
        <v>8</v>
      </c>
      <c r="J79" s="123"/>
      <c r="K79" s="124"/>
      <c r="L79" s="125"/>
      <c r="M79" s="181"/>
      <c r="N79" s="126"/>
      <c r="O79" s="127"/>
      <c r="P79" s="13">
        <f t="array" ref="P79">XLOOKUP(B79,Weight!B:B,Weight!D:D,"#N/A",0)</f>
        <v>220</v>
      </c>
      <c r="Q79" s="17">
        <f t="shared" si="6"/>
        <v>880</v>
      </c>
      <c r="R79" s="107"/>
      <c r="S79" s="108">
        <v>392620.0</v>
      </c>
      <c r="T79" s="108">
        <v>12.0</v>
      </c>
      <c r="U79" s="109">
        <v>120.0</v>
      </c>
      <c r="V79" s="110"/>
      <c r="X79" s="111">
        <f>SUMIFS('Transit Shipment'!$B$10:$B$1048462,'Transit Shipment'!$A$10:$A$1048462,B79,'Transit Shipment'!$C$10:$C$1048462,AA79)</f>
        <v>0</v>
      </c>
      <c r="Y79" s="111">
        <f>IF(SUMIFS(DIH!$S$2:$S833,DIH!$D$2:$D833,B79,DIH!$U$2:$U833,AA79)&gt;0,SUMIFS(DIH!$S$2:$S833,DIH!$D$2:$D833,B79,DIH!$U$2:$U833,AA79),0)</f>
        <v>3</v>
      </c>
      <c r="Z79" s="112">
        <f t="shared" si="7"/>
        <v>3</v>
      </c>
      <c r="AA79" s="119" t="s">
        <v>155</v>
      </c>
      <c r="AB79" s="114">
        <f>IF(ISNA(VLOOKUP($B79,'Business Report'!$D$2:$J$202,2,0)),"",VLOOKUP($B79,'Business Report'!$D$2:$J$202,2,0))</f>
        <v>55</v>
      </c>
      <c r="AC79" s="115">
        <f>SUMIFS(AFS!$P$2:$P$6260,AFS!$N$2:$N$6260,B79,AFS!$AT$2:$AT$6260,AA79)</f>
        <v>5</v>
      </c>
      <c r="AD79" s="116">
        <f t="shared" si="8"/>
        <v>4</v>
      </c>
      <c r="AE79" s="117"/>
      <c r="AF79" s="118">
        <f t="shared" si="9"/>
        <v>4</v>
      </c>
      <c r="AG79" s="4"/>
      <c r="AH79" s="26"/>
      <c r="AI79" s="26"/>
    </row>
    <row r="80">
      <c r="A80" s="120" t="s">
        <v>87</v>
      </c>
      <c r="B80" s="7" t="s">
        <v>19</v>
      </c>
      <c r="C80" s="95" t="s">
        <v>188</v>
      </c>
      <c r="D80" s="109" t="s">
        <v>137</v>
      </c>
      <c r="E80" s="97">
        <f t="shared" si="2"/>
        <v>3</v>
      </c>
      <c r="F80" s="97">
        <f t="shared" si="3"/>
        <v>0.5</v>
      </c>
      <c r="G80" s="99" t="str">
        <f t="shared" si="4"/>
        <v/>
      </c>
      <c r="H80" s="121"/>
      <c r="I80" s="101">
        <f t="shared" si="26"/>
        <v>16</v>
      </c>
      <c r="J80" s="123"/>
      <c r="K80" s="124"/>
      <c r="L80" s="125"/>
      <c r="M80" s="181"/>
      <c r="N80" s="126"/>
      <c r="O80" s="127"/>
      <c r="P80" s="13">
        <f t="array" ref="P80">XLOOKUP(B80,Weight!B:B,Weight!D:D,"#N/A",0)</f>
        <v>220</v>
      </c>
      <c r="Q80" s="17">
        <f t="shared" si="6"/>
        <v>1760</v>
      </c>
      <c r="R80" s="107"/>
      <c r="S80" s="108">
        <v>392620.0</v>
      </c>
      <c r="T80" s="108">
        <v>12.0</v>
      </c>
      <c r="U80" s="109">
        <v>120.0</v>
      </c>
      <c r="V80" s="110"/>
      <c r="X80" s="111">
        <f>SUMIFS('Transit Shipment'!$B$10:$B$1048462,'Transit Shipment'!$A$10:$A$1048462,B80,'Transit Shipment'!$C$10:$C$1048462,AA80)</f>
        <v>0</v>
      </c>
      <c r="Y80" s="111">
        <f>IF(SUMIFS(DIH!$S$2:$S833,DIH!$D$2:$D833,B80,DIH!$U$2:$U833,AA80)&gt;0,SUMIFS(DIH!$S$2:$S833,DIH!$D$2:$D833,B80,DIH!$U$2:$U833,AA80),0)</f>
        <v>0</v>
      </c>
      <c r="Z80" s="112">
        <f t="shared" si="7"/>
        <v>0</v>
      </c>
      <c r="AA80" s="119" t="s">
        <v>156</v>
      </c>
      <c r="AB80" s="114">
        <f>IF(ISNA(VLOOKUP($B80,'Business Report'!$D$2:$J$202,2,0)),"",VLOOKUP($B80,'Business Report'!$D$2:$J$202,2,0))</f>
        <v>55</v>
      </c>
      <c r="AC80" s="115">
        <f>SUMIFS(AFS!$P$2:$P$6260,AFS!$N$2:$N$6260,B80,AFS!$AT$2:$AT$6260,AA80)</f>
        <v>5</v>
      </c>
      <c r="AD80" s="116">
        <f t="shared" si="8"/>
        <v>7</v>
      </c>
      <c r="AE80" s="117"/>
      <c r="AF80" s="118">
        <f t="shared" si="9"/>
        <v>8</v>
      </c>
      <c r="AG80" s="4"/>
      <c r="AH80" s="26"/>
      <c r="AI80" s="26"/>
    </row>
    <row r="81">
      <c r="A81" s="120" t="s">
        <v>87</v>
      </c>
      <c r="B81" s="7" t="s">
        <v>19</v>
      </c>
      <c r="C81" s="95" t="s">
        <v>188</v>
      </c>
      <c r="D81" s="109" t="s">
        <v>137</v>
      </c>
      <c r="E81" s="97">
        <f t="shared" si="2"/>
        <v>1</v>
      </c>
      <c r="F81" s="97">
        <f t="shared" si="3"/>
        <v>0</v>
      </c>
      <c r="G81" s="99" t="str">
        <f t="shared" si="4"/>
        <v/>
      </c>
      <c r="H81" s="121"/>
      <c r="I81" s="101" t="str">
        <f t="shared" si="26"/>
        <v/>
      </c>
      <c r="J81" s="123"/>
      <c r="K81" s="124"/>
      <c r="L81" s="125"/>
      <c r="M81" s="181"/>
      <c r="N81" s="126"/>
      <c r="O81" s="127"/>
      <c r="P81" s="13">
        <f t="array" ref="P81">XLOOKUP(B81,Weight!B:B,Weight!D:D,"#N/A",0)</f>
        <v>220</v>
      </c>
      <c r="Q81" s="17" t="str">
        <f t="shared" si="6"/>
        <v/>
      </c>
      <c r="R81" s="107"/>
      <c r="S81" s="108">
        <v>392620.0</v>
      </c>
      <c r="T81" s="108">
        <v>12.0</v>
      </c>
      <c r="U81" s="109">
        <v>120.0</v>
      </c>
      <c r="V81" s="110"/>
      <c r="X81" s="111">
        <f>SUMIFS('Transit Shipment'!$B$10:$B$1048462,'Transit Shipment'!$A$10:$A$1048462,B81,'Transit Shipment'!$C$10:$C$1048462,AA81)</f>
        <v>0</v>
      </c>
      <c r="Y81" s="111">
        <f>IF(SUMIFS(DIH!$S$2:$S833,DIH!$D$2:$D833,B81,DIH!$U$2:$U833,AA81)&gt;0,SUMIFS(DIH!$S$2:$S833,DIH!$D$2:$D833,B81,DIH!$U$2:$U833,AA81),0)</f>
        <v>0</v>
      </c>
      <c r="Z81" s="112">
        <f t="shared" si="7"/>
        <v>0</v>
      </c>
      <c r="AA81" s="130" t="s">
        <v>13</v>
      </c>
      <c r="AB81" s="114">
        <f>IF(ISNA(VLOOKUP($B81,'Business Report'!$D$2:$J$202,2,0)),"",VLOOKUP($B81,'Business Report'!$D$2:$J$202,2,0))</f>
        <v>55</v>
      </c>
      <c r="AC81" s="115">
        <f>SUMIFS(AFS!$P$2:$P$6260,AFS!$N$2:$N$6260,B81,AFS!$AT$2:$AT$6260,AA81)</f>
        <v>0</v>
      </c>
      <c r="AD81" s="116">
        <f t="shared" si="8"/>
        <v>0</v>
      </c>
      <c r="AE81" s="117"/>
      <c r="AF81" s="118" t="str">
        <f t="shared" si="9"/>
        <v/>
      </c>
      <c r="AG81" s="26"/>
      <c r="AH81" s="26"/>
      <c r="AI81" s="26"/>
    </row>
    <row r="82">
      <c r="A82" s="120" t="s">
        <v>87</v>
      </c>
      <c r="B82" s="7" t="s">
        <v>19</v>
      </c>
      <c r="C82" s="95" t="s">
        <v>188</v>
      </c>
      <c r="D82" s="109" t="s">
        <v>137</v>
      </c>
      <c r="E82" s="97">
        <f t="shared" si="2"/>
        <v>1</v>
      </c>
      <c r="F82" s="97">
        <f t="shared" si="3"/>
        <v>0</v>
      </c>
      <c r="G82" s="99" t="str">
        <f t="shared" si="4"/>
        <v/>
      </c>
      <c r="H82" s="121"/>
      <c r="I82" s="101" t="str">
        <f t="shared" si="26"/>
        <v/>
      </c>
      <c r="J82" s="123"/>
      <c r="K82" s="124"/>
      <c r="L82" s="125"/>
      <c r="M82" s="181"/>
      <c r="N82" s="126"/>
      <c r="O82" s="127"/>
      <c r="P82" s="13">
        <f t="array" ref="P82">XLOOKUP(B82,Weight!B:B,Weight!D:D,"#N/A",0)</f>
        <v>220</v>
      </c>
      <c r="Q82" s="17" t="str">
        <f t="shared" si="6"/>
        <v/>
      </c>
      <c r="R82" s="107"/>
      <c r="S82" s="108">
        <v>392620.0</v>
      </c>
      <c r="T82" s="108">
        <v>12.0</v>
      </c>
      <c r="U82" s="109">
        <v>120.0</v>
      </c>
      <c r="V82" s="110"/>
      <c r="X82" s="111">
        <f>SUMIFS('Transit Shipment'!$B$10:$B$1048462,'Transit Shipment'!$A$10:$A$1048462,B82,'Transit Shipment'!$C$10:$C$1048462,AA82)</f>
        <v>0</v>
      </c>
      <c r="Y82" s="111">
        <f>IF(SUMIFS(DIH!$S$2:$S833,DIH!$D$2:$D833,B82,DIH!$U$2:$U833,AA82)&gt;0,SUMIFS(DIH!$S$2:$S833,DIH!$D$2:$D833,B82,DIH!$U$2:$U833,AA82),0)</f>
        <v>0</v>
      </c>
      <c r="Z82" s="112">
        <f t="shared" si="7"/>
        <v>0</v>
      </c>
      <c r="AA82" s="119" t="s">
        <v>14</v>
      </c>
      <c r="AB82" s="114">
        <f>IF(ISNA(VLOOKUP($B82,'Business Report'!$D$2:$J$202,2,0)),"",VLOOKUP($B82,'Business Report'!$D$2:$J$202,2,0))</f>
        <v>55</v>
      </c>
      <c r="AC82" s="115">
        <f>SUMIFS(AFS!$P$2:$P$6260,AFS!$N$2:$N$6260,B82,AFS!$AT$2:$AT$6260,AA82)</f>
        <v>0</v>
      </c>
      <c r="AD82" s="116">
        <f t="shared" si="8"/>
        <v>0</v>
      </c>
      <c r="AE82" s="117"/>
      <c r="AF82" s="118" t="str">
        <f t="shared" si="9"/>
        <v/>
      </c>
      <c r="AG82" s="26"/>
      <c r="AH82" s="26"/>
      <c r="AI82" s="26"/>
    </row>
    <row r="83">
      <c r="A83" s="120" t="s">
        <v>87</v>
      </c>
      <c r="B83" s="7" t="s">
        <v>19</v>
      </c>
      <c r="C83" s="95" t="s">
        <v>188</v>
      </c>
      <c r="D83" s="109" t="s">
        <v>137</v>
      </c>
      <c r="E83" s="97">
        <f t="shared" si="2"/>
        <v>2</v>
      </c>
      <c r="F83" s="97">
        <f t="shared" si="3"/>
        <v>0</v>
      </c>
      <c r="G83" s="99" t="str">
        <f t="shared" si="4"/>
        <v/>
      </c>
      <c r="H83" s="121"/>
      <c r="I83" s="101">
        <f t="shared" si="26"/>
        <v>8</v>
      </c>
      <c r="J83" s="123"/>
      <c r="K83" s="124"/>
      <c r="L83" s="125"/>
      <c r="M83" s="181"/>
      <c r="N83" s="126"/>
      <c r="O83" s="127"/>
      <c r="P83" s="13">
        <f t="array" ref="P83">XLOOKUP(B83,Weight!B:B,Weight!D:D,"#N/A",0)</f>
        <v>220</v>
      </c>
      <c r="Q83" s="17">
        <f t="shared" si="6"/>
        <v>880</v>
      </c>
      <c r="R83" s="107"/>
      <c r="S83" s="108">
        <v>392620.0</v>
      </c>
      <c r="T83" s="108">
        <v>12.0</v>
      </c>
      <c r="U83" s="109">
        <v>120.0</v>
      </c>
      <c r="V83" s="110"/>
      <c r="X83" s="111">
        <f>SUMIFS('Transit Shipment'!$B$10:$B$1048462,'Transit Shipment'!$A$10:$A$1048462,B83,'Transit Shipment'!$C$10:$C$1048462,AA83)</f>
        <v>0</v>
      </c>
      <c r="Y83" s="111">
        <f>IF(SUMIFS(DIH!$S$2:$S833,DIH!$D$2:$D833,B83,DIH!$U$2:$U833,AA83)&gt;0,SUMIFS(DIH!$S$2:$S833,DIH!$D$2:$D833,B83,DIH!$U$2:$U833,AA83),0)</f>
        <v>0</v>
      </c>
      <c r="Z83" s="112">
        <f t="shared" si="7"/>
        <v>0</v>
      </c>
      <c r="AA83" s="131" t="s">
        <v>16</v>
      </c>
      <c r="AB83" s="114">
        <f>IF(ISNA(VLOOKUP($B83,'Business Report'!$D$2:$J$202,2,0)),"",VLOOKUP($B83,'Business Report'!$D$2:$J$202,2,0))</f>
        <v>55</v>
      </c>
      <c r="AC83" s="115">
        <f>SUMIFS(AFS!$P$2:$P$6260,AFS!$N$2:$N$6260,B83,AFS!$AT$2:$AT$6260,AA83)</f>
        <v>3</v>
      </c>
      <c r="AD83" s="116">
        <f t="shared" si="8"/>
        <v>4</v>
      </c>
      <c r="AE83" s="117"/>
      <c r="AF83" s="118">
        <f t="shared" si="9"/>
        <v>4</v>
      </c>
      <c r="AG83" s="26"/>
      <c r="AH83" s="26"/>
      <c r="AI83" s="26"/>
    </row>
    <row r="84">
      <c r="A84" s="132" t="s">
        <v>87</v>
      </c>
      <c r="B84" s="15" t="s">
        <v>19</v>
      </c>
      <c r="C84" s="133" t="s">
        <v>188</v>
      </c>
      <c r="D84" s="134" t="s">
        <v>137</v>
      </c>
      <c r="E84" s="135">
        <f t="shared" si="2"/>
        <v>1</v>
      </c>
      <c r="F84" s="135">
        <f t="shared" si="3"/>
        <v>0</v>
      </c>
      <c r="G84" s="136" t="str">
        <f t="shared" si="4"/>
        <v/>
      </c>
      <c r="H84" s="137"/>
      <c r="I84" s="138" t="str">
        <f t="shared" si="26"/>
        <v/>
      </c>
      <c r="J84" s="139"/>
      <c r="K84" s="140"/>
      <c r="L84" s="135"/>
      <c r="M84" s="152"/>
      <c r="N84" s="142"/>
      <c r="O84" s="143"/>
      <c r="P84" s="144">
        <f t="array" ref="P84">XLOOKUP(B84,Weight!B:B,Weight!D:D,"#N/A",0)</f>
        <v>220</v>
      </c>
      <c r="Q84" s="145" t="str">
        <f t="shared" si="6"/>
        <v/>
      </c>
      <c r="R84" s="146"/>
      <c r="S84" s="147">
        <v>392620.0</v>
      </c>
      <c r="T84" s="147">
        <v>12.0</v>
      </c>
      <c r="U84" s="109">
        <v>120.0</v>
      </c>
      <c r="V84" s="148"/>
      <c r="W84" s="149"/>
      <c r="X84" s="150">
        <f>SUMIFS('Transit Shipment'!$B$10:$B$1048462,'Transit Shipment'!$A$10:$A$1048462,B84,'Transit Shipment'!$C$10:$C$1048462,AA84)</f>
        <v>0</v>
      </c>
      <c r="Y84" s="150">
        <f>IF(SUMIFS(DIH!$S$2:$S833,DIH!$D$2:$D833,B84,DIH!$U$2:$U833,AA84)&gt;0,SUMIFS(DIH!$S$2:$S833,DIH!$D$2:$D833,B84,DIH!$U$2:$U833,AA84),0)</f>
        <v>0</v>
      </c>
      <c r="Z84" s="151">
        <f t="shared" si="7"/>
        <v>0</v>
      </c>
      <c r="AA84" s="152" t="s">
        <v>17</v>
      </c>
      <c r="AB84" s="154">
        <f>IF(ISNA(VLOOKUP($B84,'Business Report'!$D$2:$J$202,2,0)),"",VLOOKUP($B84,'Business Report'!$D$2:$J$202,2,0))</f>
        <v>55</v>
      </c>
      <c r="AC84" s="155">
        <f>SUMIFS(AFS!$P$2:$P$6260,AFS!$N$2:$N$6260,B84,AFS!$AT$2:$AT$6260,AA84)</f>
        <v>0</v>
      </c>
      <c r="AD84" s="156">
        <f t="shared" si="8"/>
        <v>0</v>
      </c>
      <c r="AE84" s="159">
        <f>SUM(AD76:AD84)</f>
        <v>20</v>
      </c>
      <c r="AF84" s="118" t="str">
        <f t="shared" si="9"/>
        <v/>
      </c>
      <c r="AG84" s="26"/>
      <c r="AH84" s="26"/>
      <c r="AI84" s="26"/>
    </row>
    <row r="85">
      <c r="A85" s="66" t="s">
        <v>89</v>
      </c>
      <c r="B85" s="1" t="s">
        <v>22</v>
      </c>
      <c r="C85" s="95" t="s">
        <v>254</v>
      </c>
      <c r="D85" s="68" t="s">
        <v>137</v>
      </c>
      <c r="E85" s="69" t="str">
        <f t="shared" si="2"/>
        <v/>
      </c>
      <c r="F85" s="69" t="str">
        <f t="shared" si="3"/>
        <v/>
      </c>
      <c r="G85" s="70" t="str">
        <f t="shared" si="4"/>
        <v/>
      </c>
      <c r="H85" s="163"/>
      <c r="I85" s="101"/>
      <c r="J85" s="102" t="str">
        <f t="shared" ref="J85:J93" si="28">IF(ISNUMBER($AF85),2*$AF85,"")</f>
        <v/>
      </c>
      <c r="K85" s="167"/>
      <c r="L85" s="119"/>
      <c r="M85" s="169"/>
      <c r="N85" s="171"/>
      <c r="O85" s="106"/>
      <c r="P85" s="79">
        <f t="array" ref="P85">XLOOKUP(B85,Weight!B:B,Weight!D:D,"#N/A",0)</f>
        <v>220</v>
      </c>
      <c r="Q85" s="80" t="str">
        <f t="shared" si="6"/>
        <v/>
      </c>
      <c r="R85" s="107"/>
      <c r="S85" s="108">
        <v>392620.0</v>
      </c>
      <c r="T85" s="108">
        <v>12.0</v>
      </c>
      <c r="U85" s="83">
        <v>120.0</v>
      </c>
      <c r="V85" s="84" t="str">
        <f t="shared" ref="V85:W85" si="27">B85</f>
        <v>CRM_AP_BROWN_PACK OF 2</v>
      </c>
      <c r="W85" s="174" t="str">
        <f t="shared" si="27"/>
        <v>CRASOME Apron for Men Women Chef Cooking Restaurants Gardening Workshop, Barbers with Adjustable Strap and Two Pockets ( Brown_Pack of 2)</v>
      </c>
      <c r="X85" s="86">
        <f>SUMIFS('Transit Shipment'!$B$10:$B$1048462,'Transit Shipment'!$A$10:$A$1048462,B85,'Transit Shipment'!$C$10:$C$1048462,AA85)</f>
        <v>0</v>
      </c>
      <c r="Y85" s="86">
        <f>IF(SUMIFS(DIH!$S$2:$S833,DIH!$D$2:$D833,B85,DIH!$U$2:$U833,AA85)&gt;0,SUMIFS(DIH!$S$2:$S833,DIH!$D$2:$D833,B85,DIH!$U$2:$U833,AA85),0)</f>
        <v>1</v>
      </c>
      <c r="Z85" s="87">
        <f t="shared" si="7"/>
        <v>1</v>
      </c>
      <c r="AA85" s="88" t="s">
        <v>5</v>
      </c>
      <c r="AB85" s="89">
        <f>IF(ISNA(VLOOKUP($B85,'Business Report'!$D$2:$J$202,2,0)),"",VLOOKUP($B85,'Business Report'!$D$2:$J$202,2,0))</f>
        <v>86</v>
      </c>
      <c r="AC85" s="90">
        <f>SUMIFS(AFS!$P$2:$P$6260,AFS!$N$2:$N$6260,B85,AFS!$AT$2:$AT$6260,AA85)</f>
        <v>0</v>
      </c>
      <c r="AD85" s="91">
        <f t="shared" si="8"/>
        <v>-1</v>
      </c>
      <c r="AE85" s="92"/>
      <c r="AF85" s="93" t="str">
        <f t="shared" si="9"/>
        <v/>
      </c>
      <c r="AG85" s="26"/>
      <c r="AH85" s="26"/>
      <c r="AI85" s="26"/>
    </row>
    <row r="86">
      <c r="A86" s="94" t="s">
        <v>89</v>
      </c>
      <c r="B86" s="3" t="s">
        <v>22</v>
      </c>
      <c r="C86" s="95" t="s">
        <v>254</v>
      </c>
      <c r="D86" s="96" t="s">
        <v>137</v>
      </c>
      <c r="E86" s="97">
        <f t="shared" si="2"/>
        <v>1</v>
      </c>
      <c r="F86" s="97">
        <f t="shared" si="3"/>
        <v>0</v>
      </c>
      <c r="G86" s="99" t="str">
        <f t="shared" si="4"/>
        <v/>
      </c>
      <c r="H86" s="100"/>
      <c r="I86" s="101"/>
      <c r="J86" s="102" t="str">
        <f t="shared" si="28"/>
        <v/>
      </c>
      <c r="K86" s="103"/>
      <c r="L86" s="97"/>
      <c r="M86" s="169"/>
      <c r="N86" s="105"/>
      <c r="O86" s="106"/>
      <c r="P86" s="13">
        <f t="array" ref="P86">XLOOKUP(B86,Weight!B:B,Weight!D:D,"#N/A",0)</f>
        <v>220</v>
      </c>
      <c r="Q86" s="17" t="str">
        <f t="shared" si="6"/>
        <v/>
      </c>
      <c r="R86" s="107"/>
      <c r="S86" s="108">
        <v>392620.0</v>
      </c>
      <c r="T86" s="108">
        <v>12.0</v>
      </c>
      <c r="U86" s="109">
        <v>120.0</v>
      </c>
      <c r="V86" s="110"/>
      <c r="X86" s="111">
        <f>SUMIFS('Transit Shipment'!$B$10:$B$1048462,'Transit Shipment'!$A$10:$A$1048462,B86,'Transit Shipment'!$C$10:$C$1048462,AA86)</f>
        <v>0</v>
      </c>
      <c r="Y86" s="111">
        <f>IF(SUMIFS(DIH!$S$2:$S833,DIH!$D$2:$D833,B86,DIH!$U$2:$U833,AA86)&gt;0,SUMIFS(DIH!$S$2:$S833,DIH!$D$2:$D833,B86,DIH!$U$2:$U833,AA86),0)</f>
        <v>3</v>
      </c>
      <c r="Z86" s="112">
        <f t="shared" si="7"/>
        <v>3</v>
      </c>
      <c r="AA86" s="113" t="s">
        <v>11</v>
      </c>
      <c r="AB86" s="114">
        <f>IF(ISNA(VLOOKUP($B86,'Business Report'!$D$2:$J$202,2,0)),"",VLOOKUP($B86,'Business Report'!$D$2:$J$202,2,0))</f>
        <v>86</v>
      </c>
      <c r="AC86" s="115">
        <f>SUMIFS(AFS!$P$2:$P$6260,AFS!$N$2:$N$6260,B86,AFS!$AT$2:$AT$6260,AA86)</f>
        <v>2</v>
      </c>
      <c r="AD86" s="116">
        <f t="shared" si="8"/>
        <v>0</v>
      </c>
      <c r="AE86" s="117"/>
      <c r="AF86" s="118" t="str">
        <f t="shared" si="9"/>
        <v/>
      </c>
      <c r="AG86" s="26"/>
      <c r="AH86" s="26"/>
      <c r="AI86" s="26"/>
    </row>
    <row r="87">
      <c r="A87" s="94" t="s">
        <v>89</v>
      </c>
      <c r="B87" s="3" t="s">
        <v>22</v>
      </c>
      <c r="C87" s="95" t="s">
        <v>254</v>
      </c>
      <c r="D87" s="96" t="s">
        <v>137</v>
      </c>
      <c r="E87" s="97">
        <f t="shared" si="2"/>
        <v>1</v>
      </c>
      <c r="F87" s="97">
        <f t="shared" si="3"/>
        <v>0</v>
      </c>
      <c r="G87" s="99" t="str">
        <f t="shared" si="4"/>
        <v/>
      </c>
      <c r="H87" s="100"/>
      <c r="I87" s="101"/>
      <c r="J87" s="102" t="str">
        <f t="shared" si="28"/>
        <v/>
      </c>
      <c r="K87" s="103"/>
      <c r="L87" s="97"/>
      <c r="M87" s="169"/>
      <c r="N87" s="105"/>
      <c r="O87" s="106"/>
      <c r="P87" s="13">
        <f t="array" ref="P87">XLOOKUP(B87,Weight!B:B,Weight!D:D,"#N/A",0)</f>
        <v>220</v>
      </c>
      <c r="Q87" s="17" t="str">
        <f t="shared" si="6"/>
        <v/>
      </c>
      <c r="R87" s="107"/>
      <c r="S87" s="108">
        <v>392620.0</v>
      </c>
      <c r="T87" s="108">
        <v>12.0</v>
      </c>
      <c r="U87" s="109">
        <v>120.0</v>
      </c>
      <c r="V87" s="110"/>
      <c r="X87" s="111">
        <f>SUMIFS('Transit Shipment'!$B$10:$B$1048462,'Transit Shipment'!$A$10:$A$1048462,B87,'Transit Shipment'!$C$10:$C$1048462,AA87)</f>
        <v>0</v>
      </c>
      <c r="Y87" s="111">
        <f>IF(SUMIFS(DIH!$S$2:$S833,DIH!$D$2:$D833,B87,DIH!$U$2:$U833,AA87)&gt;0,SUMIFS(DIH!$S$2:$S833,DIH!$D$2:$D833,B87,DIH!$U$2:$U833,AA87),0)</f>
        <v>3</v>
      </c>
      <c r="Z87" s="112">
        <f t="shared" si="7"/>
        <v>3</v>
      </c>
      <c r="AA87" s="119" t="s">
        <v>9</v>
      </c>
      <c r="AB87" s="114">
        <f>IF(ISNA(VLOOKUP($B87,'Business Report'!$D$2:$J$202,2,0)),"",VLOOKUP($B87,'Business Report'!$D$2:$J$202,2,0))</f>
        <v>86</v>
      </c>
      <c r="AC87" s="115">
        <f>SUMIFS(AFS!$P$2:$P$6260,AFS!$N$2:$N$6260,B87,AFS!$AT$2:$AT$6260,AA87)</f>
        <v>2</v>
      </c>
      <c r="AD87" s="116">
        <f t="shared" si="8"/>
        <v>0</v>
      </c>
      <c r="AE87" s="117"/>
      <c r="AF87" s="118" t="str">
        <f t="shared" si="9"/>
        <v/>
      </c>
      <c r="AG87" s="4"/>
      <c r="AH87" s="26"/>
      <c r="AI87" s="26"/>
    </row>
    <row r="88">
      <c r="A88" s="120" t="s">
        <v>89</v>
      </c>
      <c r="B88" s="7" t="s">
        <v>22</v>
      </c>
      <c r="C88" s="95" t="s">
        <v>254</v>
      </c>
      <c r="D88" s="109" t="s">
        <v>137</v>
      </c>
      <c r="E88" s="97">
        <f t="shared" si="2"/>
        <v>2</v>
      </c>
      <c r="F88" s="97">
        <f t="shared" si="3"/>
        <v>0</v>
      </c>
      <c r="G88" s="99" t="str">
        <f t="shared" si="4"/>
        <v/>
      </c>
      <c r="H88" s="121"/>
      <c r="I88" s="122"/>
      <c r="J88" s="102">
        <f t="shared" si="28"/>
        <v>8</v>
      </c>
      <c r="K88" s="124"/>
      <c r="L88" s="125"/>
      <c r="M88" s="181"/>
      <c r="N88" s="126"/>
      <c r="O88" s="127"/>
      <c r="P88" s="13">
        <f t="array" ref="P88">XLOOKUP(B88,Weight!B:B,Weight!D:D,"#N/A",0)</f>
        <v>220</v>
      </c>
      <c r="Q88" s="17">
        <f t="shared" si="6"/>
        <v>880</v>
      </c>
      <c r="R88" s="107"/>
      <c r="S88" s="108">
        <v>392620.0</v>
      </c>
      <c r="T88" s="108">
        <v>12.0</v>
      </c>
      <c r="U88" s="109">
        <v>120.0</v>
      </c>
      <c r="V88" s="110"/>
      <c r="X88" s="111">
        <f>SUMIFS('Transit Shipment'!$B$10:$B$1048462,'Transit Shipment'!$A$10:$A$1048462,B88,'Transit Shipment'!$C$10:$C$1048462,AA88)</f>
        <v>0</v>
      </c>
      <c r="Y88" s="111">
        <f>IF(SUMIFS(DIH!$S$2:$S833,DIH!$D$2:$D833,B88,DIH!$U$2:$U833,AA88)&gt;0,SUMIFS(DIH!$S$2:$S833,DIH!$D$2:$D833,B88,DIH!$U$2:$U833,AA88),0)</f>
        <v>0</v>
      </c>
      <c r="Z88" s="112">
        <f t="shared" si="7"/>
        <v>0</v>
      </c>
      <c r="AA88" s="119" t="s">
        <v>155</v>
      </c>
      <c r="AB88" s="114">
        <f>IF(ISNA(VLOOKUP($B88,'Business Report'!$D$2:$J$202,2,0)),"",VLOOKUP($B88,'Business Report'!$D$2:$J$202,2,0))</f>
        <v>86</v>
      </c>
      <c r="AC88" s="115">
        <f>SUMIFS(AFS!$P$2:$P$6260,AFS!$N$2:$N$6260,B88,AFS!$AT$2:$AT$6260,AA88)</f>
        <v>3</v>
      </c>
      <c r="AD88" s="116">
        <f t="shared" si="8"/>
        <v>4</v>
      </c>
      <c r="AE88" s="117"/>
      <c r="AF88" s="118">
        <f t="shared" si="9"/>
        <v>4</v>
      </c>
      <c r="AG88" s="4"/>
      <c r="AH88" s="26"/>
      <c r="AI88" s="26"/>
    </row>
    <row r="89">
      <c r="A89" s="120" t="s">
        <v>89</v>
      </c>
      <c r="B89" s="7" t="s">
        <v>22</v>
      </c>
      <c r="C89" s="95" t="s">
        <v>254</v>
      </c>
      <c r="D89" s="109" t="s">
        <v>137</v>
      </c>
      <c r="E89" s="97" t="str">
        <f t="shared" si="2"/>
        <v/>
      </c>
      <c r="F89" s="97" t="str">
        <f t="shared" si="3"/>
        <v/>
      </c>
      <c r="G89" s="99" t="str">
        <f t="shared" si="4"/>
        <v/>
      </c>
      <c r="H89" s="121"/>
      <c r="I89" s="122"/>
      <c r="J89" s="102" t="str">
        <f t="shared" si="28"/>
        <v/>
      </c>
      <c r="K89" s="124"/>
      <c r="L89" s="125"/>
      <c r="M89" s="181"/>
      <c r="N89" s="126"/>
      <c r="O89" s="127"/>
      <c r="P89" s="13">
        <f t="array" ref="P89">XLOOKUP(B89,Weight!B:B,Weight!D:D,"#N/A",0)</f>
        <v>220</v>
      </c>
      <c r="Q89" s="17" t="str">
        <f t="shared" si="6"/>
        <v/>
      </c>
      <c r="R89" s="107"/>
      <c r="S89" s="108">
        <v>392620.0</v>
      </c>
      <c r="T89" s="108">
        <v>12.0</v>
      </c>
      <c r="U89" s="109">
        <v>120.0</v>
      </c>
      <c r="V89" s="110"/>
      <c r="X89" s="111">
        <f>SUMIFS('Transit Shipment'!$B$10:$B$1048462,'Transit Shipment'!$A$10:$A$1048462,B89,'Transit Shipment'!$C$10:$C$1048462,AA89)</f>
        <v>0</v>
      </c>
      <c r="Y89" s="111">
        <f>IF(SUMIFS(DIH!$S$2:$S833,DIH!$D$2:$D833,B89,DIH!$U$2:$U833,AA89)&gt;0,SUMIFS(DIH!$S$2:$S833,DIH!$D$2:$D833,B89,DIH!$U$2:$U833,AA89),0)</f>
        <v>11</v>
      </c>
      <c r="Z89" s="112">
        <f t="shared" si="7"/>
        <v>11</v>
      </c>
      <c r="AA89" s="119" t="s">
        <v>156</v>
      </c>
      <c r="AB89" s="114">
        <f>IF(ISNA(VLOOKUP($B89,'Business Report'!$D$2:$J$202,2,0)),"",VLOOKUP($B89,'Business Report'!$D$2:$J$202,2,0))</f>
        <v>86</v>
      </c>
      <c r="AC89" s="115">
        <f>SUMIFS(AFS!$P$2:$P$6260,AFS!$N$2:$N$6260,B89,AFS!$AT$2:$AT$6260,AA89)</f>
        <v>5</v>
      </c>
      <c r="AD89" s="116">
        <f t="shared" si="8"/>
        <v>-4</v>
      </c>
      <c r="AE89" s="117"/>
      <c r="AF89" s="118" t="str">
        <f t="shared" si="9"/>
        <v/>
      </c>
      <c r="AG89" s="4"/>
      <c r="AH89" s="26"/>
      <c r="AI89" s="26"/>
    </row>
    <row r="90">
      <c r="A90" s="120" t="s">
        <v>89</v>
      </c>
      <c r="B90" s="7" t="s">
        <v>22</v>
      </c>
      <c r="C90" s="95" t="s">
        <v>254</v>
      </c>
      <c r="D90" s="109" t="s">
        <v>137</v>
      </c>
      <c r="E90" s="97">
        <f t="shared" si="2"/>
        <v>1</v>
      </c>
      <c r="F90" s="97">
        <f t="shared" si="3"/>
        <v>0</v>
      </c>
      <c r="G90" s="99" t="str">
        <f t="shared" si="4"/>
        <v/>
      </c>
      <c r="H90" s="121"/>
      <c r="I90" s="122"/>
      <c r="J90" s="102" t="str">
        <f t="shared" si="28"/>
        <v/>
      </c>
      <c r="K90" s="124"/>
      <c r="L90" s="125"/>
      <c r="M90" s="181"/>
      <c r="N90" s="126"/>
      <c r="O90" s="127"/>
      <c r="P90" s="13">
        <f t="array" ref="P90">XLOOKUP(B90,Weight!B:B,Weight!D:D,"#N/A",0)</f>
        <v>220</v>
      </c>
      <c r="Q90" s="17" t="str">
        <f t="shared" si="6"/>
        <v/>
      </c>
      <c r="R90" s="107"/>
      <c r="S90" s="108">
        <v>392620.0</v>
      </c>
      <c r="T90" s="108">
        <v>12.0</v>
      </c>
      <c r="U90" s="109">
        <v>120.0</v>
      </c>
      <c r="V90" s="110"/>
      <c r="X90" s="111">
        <f>SUMIFS('Transit Shipment'!$B$10:$B$1048462,'Transit Shipment'!$A$10:$A$1048462,B90,'Transit Shipment'!$C$10:$C$1048462,AA90)</f>
        <v>0</v>
      </c>
      <c r="Y90" s="111">
        <f>IF(SUMIFS(DIH!$S$2:$S833,DIH!$D$2:$D833,B90,DIH!$U$2:$U833,AA90)&gt;0,SUMIFS(DIH!$S$2:$S833,DIH!$D$2:$D833,B90,DIH!$U$2:$U833,AA90),0)</f>
        <v>3</v>
      </c>
      <c r="Z90" s="112">
        <f t="shared" si="7"/>
        <v>3</v>
      </c>
      <c r="AA90" s="130" t="s">
        <v>13</v>
      </c>
      <c r="AB90" s="114">
        <f>IF(ISNA(VLOOKUP($B90,'Business Report'!$D$2:$J$202,2,0)),"",VLOOKUP($B90,'Business Report'!$D$2:$J$202,2,0))</f>
        <v>86</v>
      </c>
      <c r="AC90" s="115">
        <f>SUMIFS(AFS!$P$2:$P$6260,AFS!$N$2:$N$6260,B90,AFS!$AT$2:$AT$6260,AA90)</f>
        <v>2</v>
      </c>
      <c r="AD90" s="116">
        <f t="shared" si="8"/>
        <v>0</v>
      </c>
      <c r="AE90" s="117"/>
      <c r="AF90" s="118" t="str">
        <f t="shared" si="9"/>
        <v/>
      </c>
      <c r="AG90" s="26"/>
      <c r="AH90" s="26"/>
      <c r="AI90" s="26"/>
    </row>
    <row r="91">
      <c r="A91" s="120" t="s">
        <v>89</v>
      </c>
      <c r="B91" s="7" t="s">
        <v>22</v>
      </c>
      <c r="C91" s="95" t="s">
        <v>254</v>
      </c>
      <c r="D91" s="109" t="s">
        <v>137</v>
      </c>
      <c r="E91" s="97" t="str">
        <f t="shared" si="2"/>
        <v/>
      </c>
      <c r="F91" s="97" t="str">
        <f t="shared" si="3"/>
        <v/>
      </c>
      <c r="G91" s="99" t="str">
        <f t="shared" si="4"/>
        <v/>
      </c>
      <c r="H91" s="121"/>
      <c r="I91" s="122"/>
      <c r="J91" s="102" t="str">
        <f t="shared" si="28"/>
        <v/>
      </c>
      <c r="K91" s="124"/>
      <c r="L91" s="125"/>
      <c r="M91" s="181"/>
      <c r="N91" s="126"/>
      <c r="O91" s="127"/>
      <c r="P91" s="13">
        <f t="array" ref="P91">XLOOKUP(B91,Weight!B:B,Weight!D:D,"#N/A",0)</f>
        <v>220</v>
      </c>
      <c r="Q91" s="17" t="str">
        <f t="shared" si="6"/>
        <v/>
      </c>
      <c r="R91" s="107"/>
      <c r="S91" s="108">
        <v>392620.0</v>
      </c>
      <c r="T91" s="108">
        <v>12.0</v>
      </c>
      <c r="U91" s="109">
        <v>120.0</v>
      </c>
      <c r="V91" s="110"/>
      <c r="X91" s="111">
        <f>SUMIFS('Transit Shipment'!$B$10:$B$1048462,'Transit Shipment'!$A$10:$A$1048462,B91,'Transit Shipment'!$C$10:$C$1048462,AA91)</f>
        <v>0</v>
      </c>
      <c r="Y91" s="111">
        <f>IF(SUMIFS(DIH!$S$2:$S833,DIH!$D$2:$D833,B91,DIH!$U$2:$U833,AA91)&gt;0,SUMIFS(DIH!$S$2:$S833,DIH!$D$2:$D833,B91,DIH!$U$2:$U833,AA91),0)</f>
        <v>4</v>
      </c>
      <c r="Z91" s="112">
        <f t="shared" si="7"/>
        <v>4</v>
      </c>
      <c r="AA91" s="119" t="s">
        <v>14</v>
      </c>
      <c r="AB91" s="114">
        <f>IF(ISNA(VLOOKUP($B91,'Business Report'!$D$2:$J$202,2,0)),"",VLOOKUP($B91,'Business Report'!$D$2:$J$202,2,0))</f>
        <v>86</v>
      </c>
      <c r="AC91" s="115">
        <f>SUMIFS(AFS!$P$2:$P$6260,AFS!$N$2:$N$6260,B91,AFS!$AT$2:$AT$6260,AA91)</f>
        <v>1</v>
      </c>
      <c r="AD91" s="116">
        <f t="shared" si="8"/>
        <v>-2</v>
      </c>
      <c r="AE91" s="117"/>
      <c r="AF91" s="118" t="str">
        <f t="shared" si="9"/>
        <v/>
      </c>
      <c r="AG91" s="26"/>
      <c r="AH91" s="26"/>
      <c r="AI91" s="26"/>
    </row>
    <row r="92">
      <c r="A92" s="120" t="s">
        <v>89</v>
      </c>
      <c r="B92" s="7" t="s">
        <v>22</v>
      </c>
      <c r="C92" s="95" t="s">
        <v>254</v>
      </c>
      <c r="D92" s="109" t="s">
        <v>137</v>
      </c>
      <c r="E92" s="97">
        <f t="shared" si="2"/>
        <v>2</v>
      </c>
      <c r="F92" s="97">
        <f t="shared" si="3"/>
        <v>0.5</v>
      </c>
      <c r="G92" s="99" t="str">
        <f t="shared" si="4"/>
        <v/>
      </c>
      <c r="H92" s="121"/>
      <c r="I92" s="122"/>
      <c r="J92" s="102">
        <f t="shared" si="28"/>
        <v>12</v>
      </c>
      <c r="K92" s="124"/>
      <c r="L92" s="125"/>
      <c r="M92" s="181"/>
      <c r="N92" s="126"/>
      <c r="O92" s="127"/>
      <c r="P92" s="13">
        <f t="array" ref="P92">XLOOKUP(B92,Weight!B:B,Weight!D:D,"#N/A",0)</f>
        <v>220</v>
      </c>
      <c r="Q92" s="17">
        <f t="shared" si="6"/>
        <v>1320</v>
      </c>
      <c r="R92" s="107"/>
      <c r="S92" s="108">
        <v>392620.0</v>
      </c>
      <c r="T92" s="108">
        <v>12.0</v>
      </c>
      <c r="U92" s="109">
        <v>120.0</v>
      </c>
      <c r="V92" s="110"/>
      <c r="X92" s="111">
        <f>SUMIFS('Transit Shipment'!$B$10:$B$1048462,'Transit Shipment'!$A$10:$A$1048462,B92,'Transit Shipment'!$C$10:$C$1048462,AA92)</f>
        <v>0</v>
      </c>
      <c r="Y92" s="111">
        <f>IF(SUMIFS(DIH!$S$2:$S833,DIH!$D$2:$D833,B92,DIH!$U$2:$U833,AA92)&gt;0,SUMIFS(DIH!$S$2:$S833,DIH!$D$2:$D833,B92,DIH!$U$2:$U833,AA92),0)</f>
        <v>2</v>
      </c>
      <c r="Z92" s="112">
        <f t="shared" si="7"/>
        <v>2</v>
      </c>
      <c r="AA92" s="131" t="s">
        <v>16</v>
      </c>
      <c r="AB92" s="114">
        <f>IF(ISNA(VLOOKUP($B92,'Business Report'!$D$2:$J$202,2,0)),"",VLOOKUP($B92,'Business Report'!$D$2:$J$202,2,0))</f>
        <v>86</v>
      </c>
      <c r="AC92" s="115">
        <f>SUMIFS(AFS!$P$2:$P$6260,AFS!$N$2:$N$6260,B92,AFS!$AT$2:$AT$6260,AA92)</f>
        <v>5</v>
      </c>
      <c r="AD92" s="116">
        <f t="shared" si="8"/>
        <v>5</v>
      </c>
      <c r="AE92" s="117"/>
      <c r="AF92" s="118">
        <f t="shared" si="9"/>
        <v>6</v>
      </c>
      <c r="AG92" s="26"/>
      <c r="AH92" s="26"/>
      <c r="AI92" s="26"/>
    </row>
    <row r="93">
      <c r="A93" s="132" t="s">
        <v>89</v>
      </c>
      <c r="B93" s="15" t="s">
        <v>22</v>
      </c>
      <c r="C93" s="133" t="s">
        <v>254</v>
      </c>
      <c r="D93" s="134" t="s">
        <v>137</v>
      </c>
      <c r="E93" s="135">
        <f t="shared" si="2"/>
        <v>1</v>
      </c>
      <c r="F93" s="135">
        <f t="shared" si="3"/>
        <v>0</v>
      </c>
      <c r="G93" s="136" t="str">
        <f t="shared" si="4"/>
        <v/>
      </c>
      <c r="H93" s="137"/>
      <c r="I93" s="138"/>
      <c r="J93" s="139" t="str">
        <f t="shared" si="28"/>
        <v/>
      </c>
      <c r="K93" s="140"/>
      <c r="L93" s="135"/>
      <c r="M93" s="152"/>
      <c r="N93" s="142"/>
      <c r="O93" s="143"/>
      <c r="P93" s="144">
        <f t="array" ref="P93">XLOOKUP(B93,Weight!B:B,Weight!D:D,"#N/A",0)</f>
        <v>220</v>
      </c>
      <c r="Q93" s="145" t="str">
        <f t="shared" si="6"/>
        <v/>
      </c>
      <c r="R93" s="146"/>
      <c r="S93" s="147">
        <v>392620.0</v>
      </c>
      <c r="T93" s="147">
        <v>12.0</v>
      </c>
      <c r="U93" s="109">
        <v>120.0</v>
      </c>
      <c r="V93" s="148"/>
      <c r="W93" s="149"/>
      <c r="X93" s="150">
        <f>SUMIFS('Transit Shipment'!$B$10:$B$1048462,'Transit Shipment'!$A$10:$A$1048462,B93,'Transit Shipment'!$C$10:$C$1048462,AA93)</f>
        <v>0</v>
      </c>
      <c r="Y93" s="150">
        <f>IF(SUMIFS(DIH!$S$2:$S833,DIH!$D$2:$D833,B93,DIH!$U$2:$U833,AA93)&gt;0,SUMIFS(DIH!$S$2:$S833,DIH!$D$2:$D833,B93,DIH!$U$2:$U833,AA93),0)</f>
        <v>0</v>
      </c>
      <c r="Z93" s="151">
        <f t="shared" si="7"/>
        <v>0</v>
      </c>
      <c r="AA93" s="152" t="s">
        <v>17</v>
      </c>
      <c r="AB93" s="154">
        <f>IF(ISNA(VLOOKUP($B93,'Business Report'!$D$2:$J$202,2,0)),"",VLOOKUP($B93,'Business Report'!$D$2:$J$202,2,0))</f>
        <v>86</v>
      </c>
      <c r="AC93" s="155">
        <f>SUMIFS(AFS!$P$2:$P$6260,AFS!$N$2:$N$6260,B93,AFS!$AT$2:$AT$6260,AA93)</f>
        <v>0</v>
      </c>
      <c r="AD93" s="156">
        <f t="shared" si="8"/>
        <v>0</v>
      </c>
      <c r="AE93" s="159">
        <f>SUM(AD85:AD93)</f>
        <v>2</v>
      </c>
      <c r="AF93" s="118" t="str">
        <f t="shared" si="9"/>
        <v/>
      </c>
      <c r="AG93" s="26"/>
      <c r="AH93" s="26"/>
      <c r="AI93" s="26"/>
    </row>
    <row r="94">
      <c r="A94" s="66" t="s">
        <v>91</v>
      </c>
      <c r="B94" s="1" t="s">
        <v>23</v>
      </c>
      <c r="C94" s="95" t="s">
        <v>374</v>
      </c>
      <c r="D94" s="68" t="s">
        <v>137</v>
      </c>
      <c r="E94" s="69" t="str">
        <f t="shared" si="2"/>
        <v/>
      </c>
      <c r="F94" s="69" t="str">
        <f t="shared" si="3"/>
        <v/>
      </c>
      <c r="G94" s="70" t="str">
        <f t="shared" si="4"/>
        <v/>
      </c>
      <c r="H94" s="163"/>
      <c r="I94" s="101"/>
      <c r="J94" s="102"/>
      <c r="K94" s="167" t="str">
        <f t="shared" ref="K94:K102" si="30">IF(ISNUMBER($AF94),2*$AF94,"")</f>
        <v/>
      </c>
      <c r="L94" s="119"/>
      <c r="M94" s="169"/>
      <c r="N94" s="171"/>
      <c r="O94" s="106"/>
      <c r="P94" s="79">
        <f t="array" ref="P94">XLOOKUP(B94,Weight!B:B,Weight!D:D,"#N/A",0)</f>
        <v>220</v>
      </c>
      <c r="Q94" s="80" t="str">
        <f t="shared" si="6"/>
        <v/>
      </c>
      <c r="R94" s="107"/>
      <c r="S94" s="108">
        <v>392620.0</v>
      </c>
      <c r="T94" s="108">
        <v>12.0</v>
      </c>
      <c r="U94" s="83">
        <v>120.0</v>
      </c>
      <c r="V94" s="84" t="str">
        <f t="shared" ref="V94:W94" si="29">B94</f>
        <v>CRM_AP_GREEN_PACK OF 2</v>
      </c>
      <c r="W94" s="174" t="str">
        <f t="shared" si="29"/>
        <v>CRASOME Apron for Men Women Chef Cooking Restaurants Gardening Workshop, Barbers with Adjustable Strap and Two Pockets ( Green_Pack of 2)</v>
      </c>
      <c r="X94" s="86">
        <f>SUMIFS('Transit Shipment'!$B$10:$B$1048462,'Transit Shipment'!$A$10:$A$1048462,B94,'Transit Shipment'!$C$10:$C$1048462,AA94)</f>
        <v>0</v>
      </c>
      <c r="Y94" s="86">
        <f>IF(SUMIFS(DIH!$S$2:$S833,DIH!$D$2:$D833,B94,DIH!$U$2:$U833,AA94)&gt;0,SUMIFS(DIH!$S$2:$S833,DIH!$D$2:$D833,B94,DIH!$U$2:$U833,AA94),0)</f>
        <v>1</v>
      </c>
      <c r="Z94" s="87">
        <f t="shared" si="7"/>
        <v>1</v>
      </c>
      <c r="AA94" s="88" t="s">
        <v>5</v>
      </c>
      <c r="AB94" s="89">
        <f>IF(ISNA(VLOOKUP($B94,'Business Report'!$D$2:$J$202,2,0)),"",VLOOKUP($B94,'Business Report'!$D$2:$J$202,2,0))</f>
        <v>35</v>
      </c>
      <c r="AC94" s="90">
        <f>SUMIFS(AFS!$P$2:$P$6260,AFS!$N$2:$N$6260,B94,AFS!$AT$2:$AT$6260,AA94)</f>
        <v>0</v>
      </c>
      <c r="AD94" s="91">
        <f t="shared" si="8"/>
        <v>-1</v>
      </c>
      <c r="AE94" s="92"/>
      <c r="AF94" s="93" t="str">
        <f t="shared" si="9"/>
        <v/>
      </c>
      <c r="AG94" s="26"/>
      <c r="AH94" s="26"/>
      <c r="AI94" s="26"/>
    </row>
    <row r="95">
      <c r="A95" s="94" t="s">
        <v>91</v>
      </c>
      <c r="B95" s="3" t="s">
        <v>23</v>
      </c>
      <c r="C95" s="95" t="s">
        <v>374</v>
      </c>
      <c r="D95" s="96" t="s">
        <v>137</v>
      </c>
      <c r="E95" s="97">
        <f t="shared" si="2"/>
        <v>2</v>
      </c>
      <c r="F95" s="97">
        <f t="shared" si="3"/>
        <v>0</v>
      </c>
      <c r="G95" s="99" t="str">
        <f t="shared" si="4"/>
        <v/>
      </c>
      <c r="H95" s="100"/>
      <c r="I95" s="101"/>
      <c r="J95" s="102"/>
      <c r="K95" s="103">
        <f t="shared" si="30"/>
        <v>8</v>
      </c>
      <c r="L95" s="97"/>
      <c r="M95" s="169"/>
      <c r="N95" s="105"/>
      <c r="O95" s="106"/>
      <c r="P95" s="13">
        <f t="array" ref="P95">XLOOKUP(B95,Weight!B:B,Weight!D:D,"#N/A",0)</f>
        <v>220</v>
      </c>
      <c r="Q95" s="17">
        <f t="shared" si="6"/>
        <v>880</v>
      </c>
      <c r="R95" s="107"/>
      <c r="S95" s="108">
        <v>392620.0</v>
      </c>
      <c r="T95" s="108">
        <v>12.0</v>
      </c>
      <c r="U95" s="109">
        <v>120.0</v>
      </c>
      <c r="V95" s="110"/>
      <c r="X95" s="111">
        <f>SUMIFS('Transit Shipment'!$B$10:$B$1048462,'Transit Shipment'!$A$10:$A$1048462,B95,'Transit Shipment'!$C$10:$C$1048462,AA95)</f>
        <v>0</v>
      </c>
      <c r="Y95" s="111">
        <f>IF(SUMIFS(DIH!$S$2:$S833,DIH!$D$2:$D833,B95,DIH!$U$2:$U833,AA95)&gt;0,SUMIFS(DIH!$S$2:$S833,DIH!$D$2:$D833,B95,DIH!$U$2:$U833,AA95),0)</f>
        <v>3</v>
      </c>
      <c r="Z95" s="112">
        <f t="shared" si="7"/>
        <v>3</v>
      </c>
      <c r="AA95" s="113" t="s">
        <v>11</v>
      </c>
      <c r="AB95" s="114">
        <f>IF(ISNA(VLOOKUP($B95,'Business Report'!$D$2:$J$202,2,0)),"",VLOOKUP($B95,'Business Report'!$D$2:$J$202,2,0))</f>
        <v>35</v>
      </c>
      <c r="AC95" s="115">
        <f>SUMIFS(AFS!$P$2:$P$6260,AFS!$N$2:$N$6260,B95,AFS!$AT$2:$AT$6260,AA95)</f>
        <v>5</v>
      </c>
      <c r="AD95" s="116">
        <f t="shared" si="8"/>
        <v>4</v>
      </c>
      <c r="AE95" s="117"/>
      <c r="AF95" s="118">
        <f t="shared" si="9"/>
        <v>4</v>
      </c>
      <c r="AG95" s="26"/>
      <c r="AH95" s="26"/>
      <c r="AI95" s="26"/>
    </row>
    <row r="96">
      <c r="A96" s="94" t="s">
        <v>91</v>
      </c>
      <c r="B96" s="3" t="s">
        <v>23</v>
      </c>
      <c r="C96" s="95" t="s">
        <v>374</v>
      </c>
      <c r="D96" s="96" t="s">
        <v>137</v>
      </c>
      <c r="E96" s="97">
        <f t="shared" si="2"/>
        <v>2</v>
      </c>
      <c r="F96" s="97">
        <f t="shared" si="3"/>
        <v>0</v>
      </c>
      <c r="G96" s="99" t="str">
        <f t="shared" si="4"/>
        <v/>
      </c>
      <c r="H96" s="100"/>
      <c r="I96" s="101"/>
      <c r="J96" s="102"/>
      <c r="K96" s="103">
        <f t="shared" si="30"/>
        <v>8</v>
      </c>
      <c r="L96" s="97"/>
      <c r="M96" s="169"/>
      <c r="N96" s="105"/>
      <c r="O96" s="106"/>
      <c r="P96" s="13">
        <f t="array" ref="P96">XLOOKUP(B96,Weight!B:B,Weight!D:D,"#N/A",0)</f>
        <v>220</v>
      </c>
      <c r="Q96" s="17">
        <f t="shared" si="6"/>
        <v>880</v>
      </c>
      <c r="R96" s="107"/>
      <c r="S96" s="108">
        <v>392620.0</v>
      </c>
      <c r="T96" s="108">
        <v>12.0</v>
      </c>
      <c r="U96" s="109">
        <v>120.0</v>
      </c>
      <c r="V96" s="110"/>
      <c r="X96" s="111">
        <f>SUMIFS('Transit Shipment'!$B$10:$B$1048462,'Transit Shipment'!$A$10:$A$1048462,B96,'Transit Shipment'!$C$10:$C$1048462,AA96)</f>
        <v>0</v>
      </c>
      <c r="Y96" s="111">
        <f>IF(SUMIFS(DIH!$S$2:$S833,DIH!$D$2:$D833,B96,DIH!$U$2:$U833,AA96)&gt;0,SUMIFS(DIH!$S$2:$S833,DIH!$D$2:$D833,B96,DIH!$U$2:$U833,AA96),0)</f>
        <v>0</v>
      </c>
      <c r="Z96" s="112">
        <f t="shared" si="7"/>
        <v>0</v>
      </c>
      <c r="AA96" s="119" t="s">
        <v>9</v>
      </c>
      <c r="AB96" s="114">
        <f>IF(ISNA(VLOOKUP($B96,'Business Report'!$D$2:$J$202,2,0)),"",VLOOKUP($B96,'Business Report'!$D$2:$J$202,2,0))</f>
        <v>35</v>
      </c>
      <c r="AC96" s="115">
        <f>SUMIFS(AFS!$P$2:$P$6260,AFS!$N$2:$N$6260,B96,AFS!$AT$2:$AT$6260,AA96)</f>
        <v>3</v>
      </c>
      <c r="AD96" s="116">
        <f t="shared" si="8"/>
        <v>4</v>
      </c>
      <c r="AE96" s="117"/>
      <c r="AF96" s="118">
        <f t="shared" si="9"/>
        <v>4</v>
      </c>
      <c r="AG96" s="26"/>
      <c r="AH96" s="26"/>
      <c r="AI96" s="26"/>
    </row>
    <row r="97">
      <c r="A97" s="120" t="s">
        <v>91</v>
      </c>
      <c r="B97" s="7" t="s">
        <v>23</v>
      </c>
      <c r="C97" s="95" t="s">
        <v>374</v>
      </c>
      <c r="D97" s="109" t="s">
        <v>137</v>
      </c>
      <c r="E97" s="97">
        <f t="shared" si="2"/>
        <v>1</v>
      </c>
      <c r="F97" s="97">
        <f t="shared" si="3"/>
        <v>0</v>
      </c>
      <c r="G97" s="99" t="str">
        <f t="shared" si="4"/>
        <v/>
      </c>
      <c r="H97" s="121"/>
      <c r="I97" s="122"/>
      <c r="J97" s="123"/>
      <c r="K97" s="103" t="str">
        <f t="shared" si="30"/>
        <v/>
      </c>
      <c r="L97" s="125"/>
      <c r="M97" s="181"/>
      <c r="N97" s="126"/>
      <c r="O97" s="127"/>
      <c r="P97" s="13">
        <f t="array" ref="P97">XLOOKUP(B97,Weight!B:B,Weight!D:D,"#N/A",0)</f>
        <v>220</v>
      </c>
      <c r="Q97" s="17" t="str">
        <f t="shared" si="6"/>
        <v/>
      </c>
      <c r="R97" s="107"/>
      <c r="S97" s="108">
        <v>392620.0</v>
      </c>
      <c r="T97" s="108">
        <v>12.0</v>
      </c>
      <c r="U97" s="109">
        <v>120.0</v>
      </c>
      <c r="V97" s="110"/>
      <c r="X97" s="111">
        <f>SUMIFS('Transit Shipment'!$B$10:$B$1048462,'Transit Shipment'!$A$10:$A$1048462,B97,'Transit Shipment'!$C$10:$C$1048462,AA97)</f>
        <v>0</v>
      </c>
      <c r="Y97" s="111">
        <f>IF(SUMIFS(DIH!$S$2:$S833,DIH!$D$2:$D833,B97,DIH!$U$2:$U833,AA97)&gt;0,SUMIFS(DIH!$S$2:$S833,DIH!$D$2:$D833,B97,DIH!$U$2:$U833,AA97),0)</f>
        <v>0</v>
      </c>
      <c r="Z97" s="112">
        <f t="shared" si="7"/>
        <v>0</v>
      </c>
      <c r="AA97" s="119" t="s">
        <v>155</v>
      </c>
      <c r="AB97" s="114">
        <f>IF(ISNA(VLOOKUP($B97,'Business Report'!$D$2:$J$202,2,0)),"",VLOOKUP($B97,'Business Report'!$D$2:$J$202,2,0))</f>
        <v>35</v>
      </c>
      <c r="AC97" s="115">
        <f>SUMIFS(AFS!$P$2:$P$6260,AFS!$N$2:$N$6260,B97,AFS!$AT$2:$AT$6260,AA97)</f>
        <v>0</v>
      </c>
      <c r="AD97" s="116">
        <f t="shared" si="8"/>
        <v>0</v>
      </c>
      <c r="AE97" s="117"/>
      <c r="AF97" s="118" t="str">
        <f t="shared" si="9"/>
        <v/>
      </c>
      <c r="AG97" s="26"/>
      <c r="AH97" s="26"/>
      <c r="AI97" s="26"/>
    </row>
    <row r="98">
      <c r="A98" s="120" t="s">
        <v>91</v>
      </c>
      <c r="B98" s="7" t="s">
        <v>23</v>
      </c>
      <c r="C98" s="95" t="s">
        <v>374</v>
      </c>
      <c r="D98" s="109" t="s">
        <v>137</v>
      </c>
      <c r="E98" s="97" t="str">
        <f t="shared" si="2"/>
        <v/>
      </c>
      <c r="F98" s="97" t="str">
        <f t="shared" si="3"/>
        <v/>
      </c>
      <c r="G98" s="99" t="str">
        <f t="shared" si="4"/>
        <v/>
      </c>
      <c r="H98" s="121"/>
      <c r="I98" s="122"/>
      <c r="J98" s="123"/>
      <c r="K98" s="103" t="str">
        <f t="shared" si="30"/>
        <v/>
      </c>
      <c r="L98" s="125"/>
      <c r="M98" s="181"/>
      <c r="N98" s="126"/>
      <c r="O98" s="127"/>
      <c r="P98" s="13">
        <f t="array" ref="P98">XLOOKUP(B98,Weight!B:B,Weight!D:D,"#N/A",0)</f>
        <v>220</v>
      </c>
      <c r="Q98" s="17" t="str">
        <f t="shared" si="6"/>
        <v/>
      </c>
      <c r="R98" s="107"/>
      <c r="S98" s="108">
        <v>392620.0</v>
      </c>
      <c r="T98" s="108">
        <v>12.0</v>
      </c>
      <c r="U98" s="109">
        <v>120.0</v>
      </c>
      <c r="V98" s="110"/>
      <c r="X98" s="111">
        <f>SUMIFS('Transit Shipment'!$B$10:$B$1048462,'Transit Shipment'!$A$10:$A$1048462,B98,'Transit Shipment'!$C$10:$C$1048462,AA98)</f>
        <v>0</v>
      </c>
      <c r="Y98" s="111">
        <f>IF(SUMIFS(DIH!$S$2:$S833,DIH!$D$2:$D833,B98,DIH!$U$2:$U833,AA98)&gt;0,SUMIFS(DIH!$S$2:$S833,DIH!$D$2:$D833,B98,DIH!$U$2:$U833,AA98),0)</f>
        <v>1</v>
      </c>
      <c r="Z98" s="112">
        <f t="shared" si="7"/>
        <v>1</v>
      </c>
      <c r="AA98" s="119" t="s">
        <v>156</v>
      </c>
      <c r="AB98" s="114">
        <f>IF(ISNA(VLOOKUP($B98,'Business Report'!$D$2:$J$202,2,0)),"",VLOOKUP($B98,'Business Report'!$D$2:$J$202,2,0))</f>
        <v>35</v>
      </c>
      <c r="AC98" s="115">
        <f>SUMIFS(AFS!$P$2:$P$6260,AFS!$N$2:$N$6260,B98,AFS!$AT$2:$AT$6260,AA98)</f>
        <v>0</v>
      </c>
      <c r="AD98" s="116">
        <f t="shared" si="8"/>
        <v>-1</v>
      </c>
      <c r="AE98" s="117"/>
      <c r="AF98" s="118" t="str">
        <f t="shared" si="9"/>
        <v/>
      </c>
      <c r="AG98" s="26"/>
      <c r="AH98" s="26"/>
      <c r="AI98" s="26"/>
    </row>
    <row r="99">
      <c r="A99" s="120" t="s">
        <v>91</v>
      </c>
      <c r="B99" s="7" t="s">
        <v>23</v>
      </c>
      <c r="C99" s="95" t="s">
        <v>374</v>
      </c>
      <c r="D99" s="109" t="s">
        <v>137</v>
      </c>
      <c r="E99" s="97">
        <f t="shared" si="2"/>
        <v>1</v>
      </c>
      <c r="F99" s="97">
        <f t="shared" si="3"/>
        <v>0</v>
      </c>
      <c r="G99" s="99" t="str">
        <f t="shared" si="4"/>
        <v/>
      </c>
      <c r="H99" s="121"/>
      <c r="I99" s="122"/>
      <c r="J99" s="123"/>
      <c r="K99" s="103" t="str">
        <f t="shared" si="30"/>
        <v/>
      </c>
      <c r="L99" s="125"/>
      <c r="M99" s="181"/>
      <c r="N99" s="126"/>
      <c r="O99" s="127"/>
      <c r="P99" s="13">
        <f t="array" ref="P99">XLOOKUP(B99,Weight!B:B,Weight!D:D,"#N/A",0)</f>
        <v>220</v>
      </c>
      <c r="Q99" s="17" t="str">
        <f t="shared" si="6"/>
        <v/>
      </c>
      <c r="R99" s="107"/>
      <c r="S99" s="108">
        <v>392620.0</v>
      </c>
      <c r="T99" s="108">
        <v>12.0</v>
      </c>
      <c r="U99" s="109">
        <v>120.0</v>
      </c>
      <c r="V99" s="110"/>
      <c r="X99" s="111">
        <f>SUMIFS('Transit Shipment'!$B$10:$B$1048462,'Transit Shipment'!$A$10:$A$1048462,B99,'Transit Shipment'!$C$10:$C$1048462,AA99)</f>
        <v>0</v>
      </c>
      <c r="Y99" s="111">
        <f>IF(SUMIFS(DIH!$S$2:$S833,DIH!$D$2:$D833,B99,DIH!$U$2:$U833,AA99)&gt;0,SUMIFS(DIH!$S$2:$S833,DIH!$D$2:$D833,B99,DIH!$U$2:$U833,AA99),0)</f>
        <v>0</v>
      </c>
      <c r="Z99" s="112">
        <f t="shared" si="7"/>
        <v>0</v>
      </c>
      <c r="AA99" s="130" t="s">
        <v>13</v>
      </c>
      <c r="AB99" s="114">
        <f>IF(ISNA(VLOOKUP($B99,'Business Report'!$D$2:$J$202,2,0)),"",VLOOKUP($B99,'Business Report'!$D$2:$J$202,2,0))</f>
        <v>35</v>
      </c>
      <c r="AC99" s="115">
        <f>SUMIFS(AFS!$P$2:$P$6260,AFS!$N$2:$N$6260,B99,AFS!$AT$2:$AT$6260,AA99)</f>
        <v>0</v>
      </c>
      <c r="AD99" s="116">
        <f t="shared" si="8"/>
        <v>0</v>
      </c>
      <c r="AE99" s="117"/>
      <c r="AF99" s="118" t="str">
        <f t="shared" si="9"/>
        <v/>
      </c>
      <c r="AG99" s="26"/>
      <c r="AH99" s="26"/>
      <c r="AI99" s="26"/>
    </row>
    <row r="100">
      <c r="A100" s="120" t="s">
        <v>91</v>
      </c>
      <c r="B100" s="7" t="s">
        <v>23</v>
      </c>
      <c r="C100" s="95" t="s">
        <v>374</v>
      </c>
      <c r="D100" s="109" t="s">
        <v>137</v>
      </c>
      <c r="E100" s="97" t="str">
        <f t="shared" si="2"/>
        <v/>
      </c>
      <c r="F100" s="97" t="str">
        <f t="shared" si="3"/>
        <v/>
      </c>
      <c r="G100" s="99" t="str">
        <f t="shared" si="4"/>
        <v/>
      </c>
      <c r="H100" s="121"/>
      <c r="I100" s="122"/>
      <c r="J100" s="123"/>
      <c r="K100" s="103" t="str">
        <f t="shared" si="30"/>
        <v/>
      </c>
      <c r="L100" s="125"/>
      <c r="M100" s="181"/>
      <c r="N100" s="126"/>
      <c r="O100" s="127"/>
      <c r="P100" s="13">
        <f t="array" ref="P100">XLOOKUP(B100,Weight!B:B,Weight!D:D,"#N/A",0)</f>
        <v>220</v>
      </c>
      <c r="Q100" s="17" t="str">
        <f t="shared" si="6"/>
        <v/>
      </c>
      <c r="R100" s="107"/>
      <c r="S100" s="108">
        <v>392620.0</v>
      </c>
      <c r="T100" s="108">
        <v>12.0</v>
      </c>
      <c r="U100" s="109">
        <v>120.0</v>
      </c>
      <c r="V100" s="110"/>
      <c r="X100" s="111">
        <f>SUMIFS('Transit Shipment'!$B$10:$B$1048462,'Transit Shipment'!$A$10:$A$1048462,B100,'Transit Shipment'!$C$10:$C$1048462,AA100)</f>
        <v>0</v>
      </c>
      <c r="Y100" s="111">
        <f>IF(SUMIFS(DIH!$S$2:$S833,DIH!$D$2:$D833,B100,DIH!$U$2:$U833,AA100)&gt;0,SUMIFS(DIH!$S$2:$S833,DIH!$D$2:$D833,B100,DIH!$U$2:$U833,AA100),0)</f>
        <v>3</v>
      </c>
      <c r="Z100" s="112">
        <f t="shared" si="7"/>
        <v>3</v>
      </c>
      <c r="AA100" s="119" t="s">
        <v>14</v>
      </c>
      <c r="AB100" s="114">
        <f>IF(ISNA(VLOOKUP($B100,'Business Report'!$D$2:$J$202,2,0)),"",VLOOKUP($B100,'Business Report'!$D$2:$J$202,2,0))</f>
        <v>35</v>
      </c>
      <c r="AC100" s="115">
        <f>SUMIFS(AFS!$P$2:$P$6260,AFS!$N$2:$N$6260,B100,AFS!$AT$2:$AT$6260,AA100)</f>
        <v>1</v>
      </c>
      <c r="AD100" s="116">
        <f t="shared" si="8"/>
        <v>-1</v>
      </c>
      <c r="AE100" s="117"/>
      <c r="AF100" s="118" t="str">
        <f t="shared" si="9"/>
        <v/>
      </c>
      <c r="AG100" s="26"/>
      <c r="AH100" s="26"/>
      <c r="AI100" s="26"/>
    </row>
    <row r="101">
      <c r="A101" s="120" t="s">
        <v>91</v>
      </c>
      <c r="B101" s="7" t="s">
        <v>23</v>
      </c>
      <c r="C101" s="95" t="s">
        <v>374</v>
      </c>
      <c r="D101" s="109" t="s">
        <v>137</v>
      </c>
      <c r="E101" s="97">
        <f t="shared" si="2"/>
        <v>0</v>
      </c>
      <c r="F101" s="97">
        <f t="shared" si="3"/>
        <v>0.5</v>
      </c>
      <c r="G101" s="99" t="str">
        <f t="shared" si="4"/>
        <v/>
      </c>
      <c r="H101" s="121"/>
      <c r="I101" s="122"/>
      <c r="J101" s="123"/>
      <c r="K101" s="103">
        <f t="shared" si="30"/>
        <v>4</v>
      </c>
      <c r="L101" s="125"/>
      <c r="M101" s="181"/>
      <c r="N101" s="126"/>
      <c r="O101" s="127"/>
      <c r="P101" s="13">
        <f t="array" ref="P101">XLOOKUP(B101,Weight!B:B,Weight!D:D,"#N/A",0)</f>
        <v>220</v>
      </c>
      <c r="Q101" s="17">
        <f t="shared" si="6"/>
        <v>440</v>
      </c>
      <c r="R101" s="107"/>
      <c r="S101" s="108">
        <v>392620.0</v>
      </c>
      <c r="T101" s="108">
        <v>12.0</v>
      </c>
      <c r="U101" s="109">
        <v>120.0</v>
      </c>
      <c r="V101" s="110"/>
      <c r="X101" s="111">
        <f>SUMIFS('Transit Shipment'!$B$10:$B$1048462,'Transit Shipment'!$A$10:$A$1048462,B101,'Transit Shipment'!$C$10:$C$1048462,AA101)</f>
        <v>0</v>
      </c>
      <c r="Y101" s="111">
        <f>IF(SUMIFS(DIH!$S$2:$S833,DIH!$D$2:$D833,B101,DIH!$U$2:$U833,AA101)&gt;0,SUMIFS(DIH!$S$2:$S833,DIH!$D$2:$D833,B101,DIH!$U$2:$U833,AA101),0)</f>
        <v>1</v>
      </c>
      <c r="Z101" s="112">
        <f t="shared" si="7"/>
        <v>1</v>
      </c>
      <c r="AA101" s="131" t="s">
        <v>16</v>
      </c>
      <c r="AB101" s="114">
        <f>IF(ISNA(VLOOKUP($B101,'Business Report'!$D$2:$J$202,2,0)),"",VLOOKUP($B101,'Business Report'!$D$2:$J$202,2,0))</f>
        <v>35</v>
      </c>
      <c r="AC101" s="115">
        <f>SUMIFS(AFS!$P$2:$P$6260,AFS!$N$2:$N$6260,B101,AFS!$AT$2:$AT$6260,AA101)</f>
        <v>1</v>
      </c>
      <c r="AD101" s="116">
        <f t="shared" si="8"/>
        <v>1</v>
      </c>
      <c r="AE101" s="117"/>
      <c r="AF101" s="118">
        <f t="shared" si="9"/>
        <v>2</v>
      </c>
      <c r="AG101" s="26"/>
      <c r="AH101" s="26"/>
      <c r="AI101" s="26"/>
    </row>
    <row r="102">
      <c r="A102" s="132" t="s">
        <v>91</v>
      </c>
      <c r="B102" s="15" t="s">
        <v>23</v>
      </c>
      <c r="C102" s="133" t="s">
        <v>374</v>
      </c>
      <c r="D102" s="134" t="s">
        <v>137</v>
      </c>
      <c r="E102" s="135">
        <f t="shared" si="2"/>
        <v>1</v>
      </c>
      <c r="F102" s="135">
        <f t="shared" si="3"/>
        <v>0</v>
      </c>
      <c r="G102" s="136" t="str">
        <f t="shared" si="4"/>
        <v/>
      </c>
      <c r="H102" s="137"/>
      <c r="I102" s="138"/>
      <c r="J102" s="139"/>
      <c r="K102" s="140" t="str">
        <f t="shared" si="30"/>
        <v/>
      </c>
      <c r="L102" s="135"/>
      <c r="M102" s="152"/>
      <c r="N102" s="142"/>
      <c r="O102" s="143"/>
      <c r="P102" s="144">
        <f t="array" ref="P102">XLOOKUP(B102,Weight!B:B,Weight!D:D,"#N/A",0)</f>
        <v>220</v>
      </c>
      <c r="Q102" s="145" t="str">
        <f t="shared" si="6"/>
        <v/>
      </c>
      <c r="R102" s="146"/>
      <c r="S102" s="147">
        <v>392620.0</v>
      </c>
      <c r="T102" s="147">
        <v>12.0</v>
      </c>
      <c r="U102" s="109">
        <v>120.0</v>
      </c>
      <c r="V102" s="148"/>
      <c r="W102" s="149"/>
      <c r="X102" s="150">
        <f>SUMIFS('Transit Shipment'!$B$10:$B$1048462,'Transit Shipment'!$A$10:$A$1048462,B102,'Transit Shipment'!$C$10:$C$1048462,AA102)</f>
        <v>0</v>
      </c>
      <c r="Y102" s="150">
        <f>IF(SUMIFS(DIH!$S$2:$S833,DIH!$D$2:$D833,B102,DIH!$U$2:$U833,AA102)&gt;0,SUMIFS(DIH!$S$2:$S833,DIH!$D$2:$D833,B102,DIH!$U$2:$U833,AA102),0)</f>
        <v>0</v>
      </c>
      <c r="Z102" s="151">
        <f t="shared" si="7"/>
        <v>0</v>
      </c>
      <c r="AA102" s="152" t="s">
        <v>17</v>
      </c>
      <c r="AB102" s="154">
        <f>IF(ISNA(VLOOKUP($B102,'Business Report'!$D$2:$J$202,2,0)),"",VLOOKUP($B102,'Business Report'!$D$2:$J$202,2,0))</f>
        <v>35</v>
      </c>
      <c r="AC102" s="155">
        <f>SUMIFS(AFS!$P$2:$P$6260,AFS!$N$2:$N$6260,B102,AFS!$AT$2:$AT$6260,AA102)</f>
        <v>0</v>
      </c>
      <c r="AD102" s="156">
        <f t="shared" si="8"/>
        <v>0</v>
      </c>
      <c r="AE102" s="159">
        <f>SUM(AD94:AD102)</f>
        <v>6</v>
      </c>
      <c r="AF102" s="118" t="str">
        <f t="shared" si="9"/>
        <v/>
      </c>
      <c r="AG102" s="26"/>
      <c r="AH102" s="26"/>
      <c r="AI102" s="26"/>
    </row>
    <row r="103">
      <c r="A103" s="66" t="s">
        <v>101</v>
      </c>
      <c r="B103" s="1" t="s">
        <v>24</v>
      </c>
      <c r="C103" s="95" t="s">
        <v>456</v>
      </c>
      <c r="D103" s="68" t="s">
        <v>137</v>
      </c>
      <c r="E103" s="69" t="str">
        <f t="shared" si="2"/>
        <v/>
      </c>
      <c r="F103" s="69" t="str">
        <f t="shared" si="3"/>
        <v/>
      </c>
      <c r="G103" s="70" t="str">
        <f t="shared" si="4"/>
        <v/>
      </c>
      <c r="H103" s="163"/>
      <c r="I103" s="101"/>
      <c r="J103" s="102"/>
      <c r="K103" s="167"/>
      <c r="L103" s="119"/>
      <c r="M103" s="169"/>
      <c r="N103" s="171"/>
      <c r="O103" s="106" t="str">
        <f t="shared" ref="O103:O111" si="32">IF(ISNUMBER($AF103),2*$AF103,"")</f>
        <v/>
      </c>
      <c r="P103" s="79">
        <f t="array" ref="P103">XLOOKUP(B103,Weight!B:B,Weight!D:D,"#N/A",0)</f>
        <v>220</v>
      </c>
      <c r="Q103" s="80" t="str">
        <f t="shared" si="6"/>
        <v/>
      </c>
      <c r="R103" s="107"/>
      <c r="S103" s="108">
        <v>392620.0</v>
      </c>
      <c r="T103" s="108">
        <v>12.0</v>
      </c>
      <c r="U103" s="83">
        <v>120.0</v>
      </c>
      <c r="V103" s="84" t="str">
        <f t="shared" ref="V103:W103" si="31">B103</f>
        <v>CRM_AP_GREY_PACK OF 2</v>
      </c>
      <c r="W103" s="174" t="str">
        <f t="shared" si="31"/>
        <v>CRASOME Apron for Men Women Chef Cooking Restaurants Gardening Workshop, Barbers with Adjustable Strap and Two Pockets ( Grey_Pack of 2)</v>
      </c>
      <c r="X103" s="86">
        <f>SUMIFS('Transit Shipment'!$B$10:$B$1048462,'Transit Shipment'!$A$10:$A$1048462,B103,'Transit Shipment'!$C$10:$C$1048462,AA103)</f>
        <v>0</v>
      </c>
      <c r="Y103" s="86">
        <f>IF(SUMIFS(DIH!$S$2:$S833,DIH!$D$2:$D833,B103,DIH!$U$2:$U833,AA103)&gt;0,SUMIFS(DIH!$S$2:$S833,DIH!$D$2:$D833,B103,DIH!$U$2:$U833,AA103),0)</f>
        <v>1</v>
      </c>
      <c r="Z103" s="87">
        <f t="shared" si="7"/>
        <v>1</v>
      </c>
      <c r="AA103" s="88" t="s">
        <v>5</v>
      </c>
      <c r="AB103" s="89">
        <f>IF(ISNA(VLOOKUP($B103,'Business Report'!$D$2:$J$202,2,0)),"",VLOOKUP($B103,'Business Report'!$D$2:$J$202,2,0))</f>
        <v>34</v>
      </c>
      <c r="AC103" s="90">
        <f>SUMIFS(AFS!$P$2:$P$6260,AFS!$N$2:$N$6260,B103,AFS!$AT$2:$AT$6260,AA103)</f>
        <v>0</v>
      </c>
      <c r="AD103" s="91">
        <f t="shared" si="8"/>
        <v>-1</v>
      </c>
      <c r="AE103" s="92"/>
      <c r="AF103" s="93" t="str">
        <f t="shared" si="9"/>
        <v/>
      </c>
      <c r="AG103" s="26"/>
      <c r="AH103" s="26"/>
      <c r="AI103" s="26"/>
    </row>
    <row r="104">
      <c r="A104" s="94" t="s">
        <v>101</v>
      </c>
      <c r="B104" s="3" t="s">
        <v>24</v>
      </c>
      <c r="C104" s="95" t="s">
        <v>456</v>
      </c>
      <c r="D104" s="96" t="s">
        <v>137</v>
      </c>
      <c r="E104" s="97">
        <f t="shared" si="2"/>
        <v>2</v>
      </c>
      <c r="F104" s="97">
        <f t="shared" si="3"/>
        <v>0.5</v>
      </c>
      <c r="G104" s="99" t="str">
        <f t="shared" si="4"/>
        <v/>
      </c>
      <c r="H104" s="100"/>
      <c r="I104" s="101"/>
      <c r="J104" s="102"/>
      <c r="K104" s="103"/>
      <c r="L104" s="97"/>
      <c r="M104" s="169"/>
      <c r="N104" s="105"/>
      <c r="O104" s="106">
        <f t="shared" si="32"/>
        <v>12</v>
      </c>
      <c r="P104" s="13">
        <f t="array" ref="P104">XLOOKUP(B104,Weight!B:B,Weight!D:D,"#N/A",0)</f>
        <v>220</v>
      </c>
      <c r="Q104" s="17">
        <f t="shared" si="6"/>
        <v>1320</v>
      </c>
      <c r="R104" s="107"/>
      <c r="S104" s="108">
        <v>392620.0</v>
      </c>
      <c r="T104" s="108">
        <v>12.0</v>
      </c>
      <c r="U104" s="109">
        <v>120.0</v>
      </c>
      <c r="V104" s="110"/>
      <c r="X104" s="111">
        <f>SUMIFS('Transit Shipment'!$B$10:$B$1048462,'Transit Shipment'!$A$10:$A$1048462,B104,'Transit Shipment'!$C$10:$C$1048462,AA104)</f>
        <v>0</v>
      </c>
      <c r="Y104" s="111">
        <f>IF(SUMIFS(DIH!$S$2:$S833,DIH!$D$2:$D833,B104,DIH!$U$2:$U833,AA104)&gt;0,SUMIFS(DIH!$S$2:$S833,DIH!$D$2:$D833,B104,DIH!$U$2:$U833,AA104),0)</f>
        <v>1</v>
      </c>
      <c r="Z104" s="112">
        <f t="shared" si="7"/>
        <v>1</v>
      </c>
      <c r="AA104" s="113" t="s">
        <v>11</v>
      </c>
      <c r="AB104" s="114">
        <f>IF(ISNA(VLOOKUP($B104,'Business Report'!$D$2:$J$202,2,0)),"",VLOOKUP($B104,'Business Report'!$D$2:$J$202,2,0))</f>
        <v>34</v>
      </c>
      <c r="AC104" s="115">
        <f>SUMIFS(AFS!$P$2:$P$6260,AFS!$N$2:$N$6260,B104,AFS!$AT$2:$AT$6260,AA104)</f>
        <v>4</v>
      </c>
      <c r="AD104" s="116">
        <f t="shared" si="8"/>
        <v>5</v>
      </c>
      <c r="AE104" s="117"/>
      <c r="AF104" s="118">
        <f t="shared" si="9"/>
        <v>6</v>
      </c>
      <c r="AG104" s="26"/>
      <c r="AH104" s="26"/>
      <c r="AI104" s="26"/>
    </row>
    <row r="105">
      <c r="A105" s="94" t="s">
        <v>101</v>
      </c>
      <c r="B105" s="3" t="s">
        <v>24</v>
      </c>
      <c r="C105" s="95" t="s">
        <v>456</v>
      </c>
      <c r="D105" s="96" t="s">
        <v>137</v>
      </c>
      <c r="E105" s="97">
        <f t="shared" si="2"/>
        <v>1</v>
      </c>
      <c r="F105" s="97">
        <f t="shared" si="3"/>
        <v>0</v>
      </c>
      <c r="G105" s="99" t="str">
        <f t="shared" si="4"/>
        <v/>
      </c>
      <c r="H105" s="100"/>
      <c r="I105" s="101"/>
      <c r="J105" s="102"/>
      <c r="K105" s="103"/>
      <c r="L105" s="97"/>
      <c r="M105" s="169"/>
      <c r="N105" s="105"/>
      <c r="O105" s="106">
        <f t="shared" si="32"/>
        <v>4</v>
      </c>
      <c r="P105" s="13">
        <f t="array" ref="P105">XLOOKUP(B105,Weight!B:B,Weight!D:D,"#N/A",0)</f>
        <v>220</v>
      </c>
      <c r="Q105" s="17">
        <f t="shared" si="6"/>
        <v>440</v>
      </c>
      <c r="R105" s="107"/>
      <c r="S105" s="108">
        <v>392620.0</v>
      </c>
      <c r="T105" s="108">
        <v>12.0</v>
      </c>
      <c r="U105" s="109">
        <v>120.0</v>
      </c>
      <c r="V105" s="110"/>
      <c r="X105" s="111">
        <f>SUMIFS('Transit Shipment'!$B$10:$B$1048462,'Transit Shipment'!$A$10:$A$1048462,B105,'Transit Shipment'!$C$10:$C$1048462,AA105)</f>
        <v>0</v>
      </c>
      <c r="Y105" s="111">
        <f>IF(SUMIFS(DIH!$S$2:$S833,DIH!$D$2:$D833,B105,DIH!$U$2:$U833,AA105)&gt;0,SUMIFS(DIH!$S$2:$S833,DIH!$D$2:$D833,B105,DIH!$U$2:$U833,AA105),0)</f>
        <v>0</v>
      </c>
      <c r="Z105" s="112">
        <f t="shared" si="7"/>
        <v>0</v>
      </c>
      <c r="AA105" s="119" t="s">
        <v>9</v>
      </c>
      <c r="AB105" s="114">
        <f>IF(ISNA(VLOOKUP($B105,'Business Report'!$D$2:$J$202,2,0)),"",VLOOKUP($B105,'Business Report'!$D$2:$J$202,2,0))</f>
        <v>34</v>
      </c>
      <c r="AC105" s="115">
        <f>SUMIFS(AFS!$P$2:$P$6260,AFS!$N$2:$N$6260,B105,AFS!$AT$2:$AT$6260,AA105)</f>
        <v>1</v>
      </c>
      <c r="AD105" s="116">
        <f t="shared" si="8"/>
        <v>2</v>
      </c>
      <c r="AE105" s="117"/>
      <c r="AF105" s="118">
        <f t="shared" si="9"/>
        <v>2</v>
      </c>
      <c r="AG105" s="26"/>
      <c r="AH105" s="26"/>
      <c r="AI105" s="26"/>
    </row>
    <row r="106">
      <c r="A106" s="120" t="s">
        <v>101</v>
      </c>
      <c r="B106" s="7" t="s">
        <v>24</v>
      </c>
      <c r="C106" s="95" t="s">
        <v>456</v>
      </c>
      <c r="D106" s="109" t="s">
        <v>137</v>
      </c>
      <c r="E106" s="97" t="str">
        <f t="shared" si="2"/>
        <v/>
      </c>
      <c r="F106" s="97" t="str">
        <f t="shared" si="3"/>
        <v/>
      </c>
      <c r="G106" s="99" t="str">
        <f t="shared" si="4"/>
        <v/>
      </c>
      <c r="H106" s="121"/>
      <c r="I106" s="122"/>
      <c r="J106" s="123"/>
      <c r="K106" s="124"/>
      <c r="L106" s="125"/>
      <c r="M106" s="181"/>
      <c r="N106" s="126"/>
      <c r="O106" s="106" t="str">
        <f t="shared" si="32"/>
        <v/>
      </c>
      <c r="P106" s="13">
        <f t="array" ref="P106">XLOOKUP(B106,Weight!B:B,Weight!D:D,"#N/A",0)</f>
        <v>220</v>
      </c>
      <c r="Q106" s="17" t="str">
        <f t="shared" si="6"/>
        <v/>
      </c>
      <c r="R106" s="107"/>
      <c r="S106" s="108">
        <v>392620.0</v>
      </c>
      <c r="T106" s="108">
        <v>12.0</v>
      </c>
      <c r="U106" s="109">
        <v>120.0</v>
      </c>
      <c r="V106" s="110"/>
      <c r="X106" s="111">
        <f>SUMIFS('Transit Shipment'!$B$10:$B$1048462,'Transit Shipment'!$A$10:$A$1048462,B106,'Transit Shipment'!$C$10:$C$1048462,AA106)</f>
        <v>0</v>
      </c>
      <c r="Y106" s="111">
        <f>IF(SUMIFS(DIH!$S$2:$S833,DIH!$D$2:$D833,B106,DIH!$U$2:$U833,AA106)&gt;0,SUMIFS(DIH!$S$2:$S833,DIH!$D$2:$D833,B106,DIH!$U$2:$U833,AA106),0)</f>
        <v>1</v>
      </c>
      <c r="Z106" s="112">
        <f t="shared" si="7"/>
        <v>1</v>
      </c>
      <c r="AA106" s="119" t="s">
        <v>155</v>
      </c>
      <c r="AB106" s="114">
        <f>IF(ISNA(VLOOKUP($B106,'Business Report'!$D$2:$J$202,2,0)),"",VLOOKUP($B106,'Business Report'!$D$2:$J$202,2,0))</f>
        <v>34</v>
      </c>
      <c r="AC106" s="115">
        <f>SUMIFS(AFS!$P$2:$P$6260,AFS!$N$2:$N$6260,B106,AFS!$AT$2:$AT$6260,AA106)</f>
        <v>0</v>
      </c>
      <c r="AD106" s="116">
        <f t="shared" si="8"/>
        <v>-1</v>
      </c>
      <c r="AE106" s="117"/>
      <c r="AF106" s="118" t="str">
        <f t="shared" si="9"/>
        <v/>
      </c>
      <c r="AG106" s="26"/>
      <c r="AH106" s="26"/>
      <c r="AI106" s="26"/>
    </row>
    <row r="107">
      <c r="A107" s="120" t="s">
        <v>101</v>
      </c>
      <c r="B107" s="7" t="s">
        <v>24</v>
      </c>
      <c r="C107" s="95" t="s">
        <v>456</v>
      </c>
      <c r="D107" s="109" t="s">
        <v>137</v>
      </c>
      <c r="E107" s="97" t="str">
        <f t="shared" si="2"/>
        <v/>
      </c>
      <c r="F107" s="97" t="str">
        <f t="shared" si="3"/>
        <v/>
      </c>
      <c r="G107" s="99" t="str">
        <f t="shared" si="4"/>
        <v/>
      </c>
      <c r="H107" s="121"/>
      <c r="I107" s="122"/>
      <c r="J107" s="123"/>
      <c r="K107" s="124"/>
      <c r="L107" s="125"/>
      <c r="M107" s="181"/>
      <c r="N107" s="126"/>
      <c r="O107" s="106" t="str">
        <f t="shared" si="32"/>
        <v/>
      </c>
      <c r="P107" s="13">
        <f t="array" ref="P107">XLOOKUP(B107,Weight!B:B,Weight!D:D,"#N/A",0)</f>
        <v>220</v>
      </c>
      <c r="Q107" s="17" t="str">
        <f t="shared" si="6"/>
        <v/>
      </c>
      <c r="R107" s="107"/>
      <c r="S107" s="108">
        <v>392620.0</v>
      </c>
      <c r="T107" s="108">
        <v>12.0</v>
      </c>
      <c r="U107" s="109">
        <v>120.0</v>
      </c>
      <c r="V107" s="110"/>
      <c r="X107" s="111">
        <f>SUMIFS('Transit Shipment'!$B$10:$B$1048462,'Transit Shipment'!$A$10:$A$1048462,B107,'Transit Shipment'!$C$10:$C$1048462,AA107)</f>
        <v>0</v>
      </c>
      <c r="Y107" s="111">
        <f>IF(SUMIFS(DIH!$S$2:$S833,DIH!$D$2:$D833,B107,DIH!$U$2:$U833,AA107)&gt;0,SUMIFS(DIH!$S$2:$S833,DIH!$D$2:$D833,B107,DIH!$U$2:$U833,AA107),0)</f>
        <v>2</v>
      </c>
      <c r="Z107" s="112">
        <f t="shared" si="7"/>
        <v>2</v>
      </c>
      <c r="AA107" s="119" t="s">
        <v>156</v>
      </c>
      <c r="AB107" s="114">
        <f>IF(ISNA(VLOOKUP($B107,'Business Report'!$D$2:$J$202,2,0)),"",VLOOKUP($B107,'Business Report'!$D$2:$J$202,2,0))</f>
        <v>34</v>
      </c>
      <c r="AC107" s="115">
        <f>SUMIFS(AFS!$P$2:$P$6260,AFS!$N$2:$N$6260,B107,AFS!$AT$2:$AT$6260,AA107)</f>
        <v>0</v>
      </c>
      <c r="AD107" s="116">
        <f t="shared" si="8"/>
        <v>-2</v>
      </c>
      <c r="AE107" s="117"/>
      <c r="AF107" s="118" t="str">
        <f t="shared" si="9"/>
        <v/>
      </c>
      <c r="AG107" s="26"/>
      <c r="AH107" s="26"/>
      <c r="AI107" s="26"/>
    </row>
    <row r="108">
      <c r="A108" s="120" t="s">
        <v>101</v>
      </c>
      <c r="B108" s="7" t="s">
        <v>24</v>
      </c>
      <c r="C108" s="95" t="s">
        <v>456</v>
      </c>
      <c r="D108" s="109" t="s">
        <v>137</v>
      </c>
      <c r="E108" s="97" t="str">
        <f t="shared" si="2"/>
        <v/>
      </c>
      <c r="F108" s="97" t="str">
        <f t="shared" si="3"/>
        <v/>
      </c>
      <c r="G108" s="99" t="str">
        <f t="shared" si="4"/>
        <v/>
      </c>
      <c r="H108" s="121"/>
      <c r="I108" s="122"/>
      <c r="J108" s="123"/>
      <c r="K108" s="124"/>
      <c r="L108" s="125"/>
      <c r="M108" s="181"/>
      <c r="N108" s="126"/>
      <c r="O108" s="106" t="str">
        <f t="shared" si="32"/>
        <v/>
      </c>
      <c r="P108" s="13">
        <f t="array" ref="P108">XLOOKUP(B108,Weight!B:B,Weight!D:D,"#N/A",0)</f>
        <v>220</v>
      </c>
      <c r="Q108" s="17" t="str">
        <f t="shared" si="6"/>
        <v/>
      </c>
      <c r="R108" s="107"/>
      <c r="S108" s="108">
        <v>392620.0</v>
      </c>
      <c r="T108" s="108">
        <v>12.0</v>
      </c>
      <c r="U108" s="109">
        <v>120.0</v>
      </c>
      <c r="V108" s="110"/>
      <c r="X108" s="111">
        <f>SUMIFS('Transit Shipment'!$B$10:$B$1048462,'Transit Shipment'!$A$10:$A$1048462,B108,'Transit Shipment'!$C$10:$C$1048462,AA108)</f>
        <v>0</v>
      </c>
      <c r="Y108" s="111">
        <f>IF(SUMIFS(DIH!$S$2:$S833,DIH!$D$2:$D833,B108,DIH!$U$2:$U833,AA108)&gt;0,SUMIFS(DIH!$S$2:$S833,DIH!$D$2:$D833,B108,DIH!$U$2:$U833,AA108),0)</f>
        <v>1</v>
      </c>
      <c r="Z108" s="112">
        <f t="shared" si="7"/>
        <v>1</v>
      </c>
      <c r="AA108" s="130" t="s">
        <v>13</v>
      </c>
      <c r="AB108" s="114">
        <f>IF(ISNA(VLOOKUP($B108,'Business Report'!$D$2:$J$202,2,0)),"",VLOOKUP($B108,'Business Report'!$D$2:$J$202,2,0))</f>
        <v>34</v>
      </c>
      <c r="AC108" s="115">
        <f>SUMIFS(AFS!$P$2:$P$6260,AFS!$N$2:$N$6260,B108,AFS!$AT$2:$AT$6260,AA108)</f>
        <v>0</v>
      </c>
      <c r="AD108" s="116">
        <f t="shared" si="8"/>
        <v>-1</v>
      </c>
      <c r="AE108" s="117"/>
      <c r="AF108" s="118" t="str">
        <f t="shared" si="9"/>
        <v/>
      </c>
      <c r="AG108" s="26"/>
      <c r="AH108" s="26"/>
      <c r="AI108" s="26"/>
    </row>
    <row r="109">
      <c r="A109" s="120" t="s">
        <v>101</v>
      </c>
      <c r="B109" s="7" t="s">
        <v>24</v>
      </c>
      <c r="C109" s="95" t="s">
        <v>456</v>
      </c>
      <c r="D109" s="109" t="s">
        <v>137</v>
      </c>
      <c r="E109" s="97">
        <f t="shared" si="2"/>
        <v>1</v>
      </c>
      <c r="F109" s="97">
        <f t="shared" si="3"/>
        <v>0</v>
      </c>
      <c r="G109" s="99" t="str">
        <f t="shared" si="4"/>
        <v/>
      </c>
      <c r="H109" s="121"/>
      <c r="I109" s="122"/>
      <c r="J109" s="123"/>
      <c r="K109" s="124"/>
      <c r="L109" s="125"/>
      <c r="M109" s="181"/>
      <c r="N109" s="126"/>
      <c r="O109" s="106">
        <f t="shared" si="32"/>
        <v>4</v>
      </c>
      <c r="P109" s="13">
        <f t="array" ref="P109">XLOOKUP(B109,Weight!B:B,Weight!D:D,"#N/A",0)</f>
        <v>220</v>
      </c>
      <c r="Q109" s="17">
        <f t="shared" si="6"/>
        <v>440</v>
      </c>
      <c r="R109" s="107"/>
      <c r="S109" s="108">
        <v>392620.0</v>
      </c>
      <c r="T109" s="108">
        <v>12.0</v>
      </c>
      <c r="U109" s="109">
        <v>120.0</v>
      </c>
      <c r="V109" s="110"/>
      <c r="X109" s="111">
        <f>SUMIFS('Transit Shipment'!$B$10:$B$1048462,'Transit Shipment'!$A$10:$A$1048462,B109,'Transit Shipment'!$C$10:$C$1048462,AA109)</f>
        <v>0</v>
      </c>
      <c r="Y109" s="111">
        <f>IF(SUMIFS(DIH!$S$2:$S833,DIH!$D$2:$D833,B109,DIH!$U$2:$U833,AA109)&gt;0,SUMIFS(DIH!$S$2:$S833,DIH!$D$2:$D833,B109,DIH!$U$2:$U833,AA109),0)</f>
        <v>0</v>
      </c>
      <c r="Z109" s="112">
        <f t="shared" si="7"/>
        <v>0</v>
      </c>
      <c r="AA109" s="119" t="s">
        <v>14</v>
      </c>
      <c r="AB109" s="114">
        <f>IF(ISNA(VLOOKUP($B109,'Business Report'!$D$2:$J$202,2,0)),"",VLOOKUP($B109,'Business Report'!$D$2:$J$202,2,0))</f>
        <v>34</v>
      </c>
      <c r="AC109" s="115">
        <f>SUMIFS(AFS!$P$2:$P$6260,AFS!$N$2:$N$6260,B109,AFS!$AT$2:$AT$6260,AA109)</f>
        <v>1</v>
      </c>
      <c r="AD109" s="116">
        <f t="shared" si="8"/>
        <v>2</v>
      </c>
      <c r="AE109" s="117"/>
      <c r="AF109" s="118">
        <f t="shared" si="9"/>
        <v>2</v>
      </c>
      <c r="AG109" s="26"/>
      <c r="AH109" s="26"/>
      <c r="AI109" s="26"/>
    </row>
    <row r="110">
      <c r="A110" s="120" t="s">
        <v>101</v>
      </c>
      <c r="B110" s="7" t="s">
        <v>24</v>
      </c>
      <c r="C110" s="95" t="s">
        <v>456</v>
      </c>
      <c r="D110" s="109" t="s">
        <v>137</v>
      </c>
      <c r="E110" s="97" t="str">
        <f t="shared" si="2"/>
        <v/>
      </c>
      <c r="F110" s="97" t="str">
        <f t="shared" si="3"/>
        <v/>
      </c>
      <c r="G110" s="99" t="str">
        <f t="shared" si="4"/>
        <v/>
      </c>
      <c r="H110" s="121"/>
      <c r="I110" s="122"/>
      <c r="J110" s="123"/>
      <c r="K110" s="124"/>
      <c r="L110" s="125"/>
      <c r="M110" s="181"/>
      <c r="N110" s="126"/>
      <c r="O110" s="106" t="str">
        <f t="shared" si="32"/>
        <v/>
      </c>
      <c r="P110" s="13">
        <f t="array" ref="P110">XLOOKUP(B110,Weight!B:B,Weight!D:D,"#N/A",0)</f>
        <v>220</v>
      </c>
      <c r="Q110" s="17" t="str">
        <f t="shared" si="6"/>
        <v/>
      </c>
      <c r="R110" s="107"/>
      <c r="S110" s="108">
        <v>392620.0</v>
      </c>
      <c r="T110" s="108">
        <v>12.0</v>
      </c>
      <c r="U110" s="109">
        <v>120.0</v>
      </c>
      <c r="V110" s="110"/>
      <c r="X110" s="111">
        <f>SUMIFS('Transit Shipment'!$B$10:$B$1048462,'Transit Shipment'!$A$10:$A$1048462,B110,'Transit Shipment'!$C$10:$C$1048462,AA110)</f>
        <v>0</v>
      </c>
      <c r="Y110" s="111">
        <f>IF(SUMIFS(DIH!$S$2:$S833,DIH!$D$2:$D833,B110,DIH!$U$2:$U833,AA110)&gt;0,SUMIFS(DIH!$S$2:$S833,DIH!$D$2:$D833,B110,DIH!$U$2:$U833,AA110),0)</f>
        <v>11</v>
      </c>
      <c r="Z110" s="112">
        <f t="shared" si="7"/>
        <v>11</v>
      </c>
      <c r="AA110" s="131" t="s">
        <v>16</v>
      </c>
      <c r="AB110" s="114">
        <f>IF(ISNA(VLOOKUP($B110,'Business Report'!$D$2:$J$202,2,0)),"",VLOOKUP($B110,'Business Report'!$D$2:$J$202,2,0))</f>
        <v>34</v>
      </c>
      <c r="AC110" s="115">
        <f>SUMIFS(AFS!$P$2:$P$6260,AFS!$N$2:$N$6260,B110,AFS!$AT$2:$AT$6260,AA110)</f>
        <v>0</v>
      </c>
      <c r="AD110" s="116">
        <f t="shared" si="8"/>
        <v>-11</v>
      </c>
      <c r="AE110" s="117"/>
      <c r="AF110" s="118" t="str">
        <f t="shared" si="9"/>
        <v/>
      </c>
      <c r="AG110" s="26"/>
      <c r="AH110" s="26"/>
      <c r="AI110" s="26"/>
    </row>
    <row r="111">
      <c r="A111" s="132" t="s">
        <v>101</v>
      </c>
      <c r="B111" s="15" t="s">
        <v>24</v>
      </c>
      <c r="C111" s="133" t="s">
        <v>456</v>
      </c>
      <c r="D111" s="134" t="s">
        <v>137</v>
      </c>
      <c r="E111" s="135">
        <f t="shared" si="2"/>
        <v>1</v>
      </c>
      <c r="F111" s="135">
        <f t="shared" si="3"/>
        <v>0</v>
      </c>
      <c r="G111" s="136" t="str">
        <f t="shared" si="4"/>
        <v/>
      </c>
      <c r="H111" s="137"/>
      <c r="I111" s="138"/>
      <c r="J111" s="139"/>
      <c r="K111" s="140"/>
      <c r="L111" s="135"/>
      <c r="M111" s="152"/>
      <c r="N111" s="142"/>
      <c r="O111" s="143" t="str">
        <f t="shared" si="32"/>
        <v/>
      </c>
      <c r="P111" s="144">
        <f t="array" ref="P111">XLOOKUP(B111,Weight!B:B,Weight!D:D,"#N/A",0)</f>
        <v>220</v>
      </c>
      <c r="Q111" s="145" t="str">
        <f t="shared" si="6"/>
        <v/>
      </c>
      <c r="R111" s="146"/>
      <c r="S111" s="147">
        <v>392620.0</v>
      </c>
      <c r="T111" s="147">
        <v>12.0</v>
      </c>
      <c r="U111" s="109">
        <v>120.0</v>
      </c>
      <c r="V111" s="148"/>
      <c r="W111" s="149"/>
      <c r="X111" s="150">
        <f>SUMIFS('Transit Shipment'!$B$10:$B$1048462,'Transit Shipment'!$A$10:$A$1048462,B111,'Transit Shipment'!$C$10:$C$1048462,AA111)</f>
        <v>0</v>
      </c>
      <c r="Y111" s="150">
        <f>IF(SUMIFS(DIH!$S$2:$S833,DIH!$D$2:$D833,B111,DIH!$U$2:$U833,AA111)&gt;0,SUMIFS(DIH!$S$2:$S833,DIH!$D$2:$D833,B111,DIH!$U$2:$U833,AA111),0)</f>
        <v>0</v>
      </c>
      <c r="Z111" s="151">
        <f t="shared" si="7"/>
        <v>0</v>
      </c>
      <c r="AA111" s="152" t="s">
        <v>17</v>
      </c>
      <c r="AB111" s="154">
        <f>IF(ISNA(VLOOKUP($B111,'Business Report'!$D$2:$J$202,2,0)),"",VLOOKUP($B111,'Business Report'!$D$2:$J$202,2,0))</f>
        <v>34</v>
      </c>
      <c r="AC111" s="155">
        <f>SUMIFS(AFS!$P$2:$P$6260,AFS!$N$2:$N$6260,B111,AFS!$AT$2:$AT$6260,AA111)</f>
        <v>0</v>
      </c>
      <c r="AD111" s="156">
        <f t="shared" si="8"/>
        <v>0</v>
      </c>
      <c r="AE111" s="159">
        <f>SUM(AD103:AD111)</f>
        <v>-7</v>
      </c>
      <c r="AF111" s="118" t="str">
        <f t="shared" si="9"/>
        <v/>
      </c>
      <c r="AG111" s="26"/>
      <c r="AH111" s="26"/>
      <c r="AI111" s="26"/>
    </row>
    <row r="112">
      <c r="A112" s="66" t="s">
        <v>97</v>
      </c>
      <c r="B112" s="1" t="s">
        <v>25</v>
      </c>
      <c r="C112" s="95" t="s">
        <v>567</v>
      </c>
      <c r="D112" s="68" t="s">
        <v>137</v>
      </c>
      <c r="E112" s="69" t="str">
        <f t="shared" si="2"/>
        <v/>
      </c>
      <c r="F112" s="69" t="str">
        <f t="shared" si="3"/>
        <v/>
      </c>
      <c r="G112" s="70" t="str">
        <f t="shared" si="4"/>
        <v/>
      </c>
      <c r="H112" s="163"/>
      <c r="I112" s="101"/>
      <c r="J112" s="102"/>
      <c r="K112" s="167"/>
      <c r="L112" s="119"/>
      <c r="M112" s="169"/>
      <c r="N112" s="171" t="str">
        <f t="shared" ref="N112:N120" si="34">IF(ISNUMBER($AF112),2*$AF112,"")</f>
        <v/>
      </c>
      <c r="O112" s="106"/>
      <c r="P112" s="79">
        <f t="array" ref="P112">XLOOKUP(B112,Weight!B:B,Weight!D:D,"#N/A",0)</f>
        <v>220</v>
      </c>
      <c r="Q112" s="80" t="str">
        <f t="shared" si="6"/>
        <v/>
      </c>
      <c r="R112" s="107"/>
      <c r="S112" s="108">
        <v>392620.0</v>
      </c>
      <c r="T112" s="108">
        <v>12.0</v>
      </c>
      <c r="U112" s="83">
        <v>120.0</v>
      </c>
      <c r="V112" s="84" t="str">
        <f t="shared" ref="V112:W112" si="33">B112</f>
        <v>CRM_AP_RED_PACK OF 2</v>
      </c>
      <c r="W112" s="174" t="str">
        <f t="shared" si="33"/>
        <v>CRASOME Apron for Men Women Chef Cooking Restaurants Gardening Workshop, Barbers with Adjustable Strap and Two Pockets ( Red_Pack of 2)</v>
      </c>
      <c r="X112" s="86">
        <f>SUMIFS('Transit Shipment'!$B$10:$B$1048462,'Transit Shipment'!$A$10:$A$1048462,B112,'Transit Shipment'!$C$10:$C$1048462,AA112)</f>
        <v>0</v>
      </c>
      <c r="Y112" s="86">
        <f>IF(SUMIFS(DIH!$S$2:$S833,DIH!$D$2:$D833,B112,DIH!$U$2:$U833,AA112)&gt;0,SUMIFS(DIH!$S$2:$S833,DIH!$D$2:$D833,B112,DIH!$U$2:$U833,AA112),0)</f>
        <v>1</v>
      </c>
      <c r="Z112" s="87">
        <f t="shared" si="7"/>
        <v>1</v>
      </c>
      <c r="AA112" s="88" t="s">
        <v>5</v>
      </c>
      <c r="AB112" s="89">
        <f>IF(ISNA(VLOOKUP($B112,'Business Report'!$D$2:$J$202,2,0)),"",VLOOKUP($B112,'Business Report'!$D$2:$J$202,2,0))</f>
        <v>12</v>
      </c>
      <c r="AC112" s="90">
        <f>SUMIFS(AFS!$P$2:$P$6260,AFS!$N$2:$N$6260,B112,AFS!$AT$2:$AT$6260,AA112)</f>
        <v>0</v>
      </c>
      <c r="AD112" s="91">
        <f t="shared" si="8"/>
        <v>-1</v>
      </c>
      <c r="AE112" s="92"/>
      <c r="AF112" s="93" t="str">
        <f t="shared" si="9"/>
        <v/>
      </c>
      <c r="AG112" s="26"/>
      <c r="AH112" s="26"/>
      <c r="AI112" s="26"/>
    </row>
    <row r="113">
      <c r="A113" s="94" t="s">
        <v>97</v>
      </c>
      <c r="B113" s="3" t="s">
        <v>25</v>
      </c>
      <c r="C113" s="95" t="s">
        <v>567</v>
      </c>
      <c r="D113" s="96" t="s">
        <v>137</v>
      </c>
      <c r="E113" s="97" t="str">
        <f t="shared" si="2"/>
        <v/>
      </c>
      <c r="F113" s="97" t="str">
        <f t="shared" si="3"/>
        <v/>
      </c>
      <c r="G113" s="99" t="str">
        <f t="shared" si="4"/>
        <v/>
      </c>
      <c r="H113" s="100"/>
      <c r="I113" s="101"/>
      <c r="J113" s="102"/>
      <c r="K113" s="103"/>
      <c r="L113" s="97"/>
      <c r="M113" s="169"/>
      <c r="N113" s="105" t="str">
        <f t="shared" si="34"/>
        <v/>
      </c>
      <c r="O113" s="106"/>
      <c r="P113" s="13">
        <f t="array" ref="P113">XLOOKUP(B113,Weight!B:B,Weight!D:D,"#N/A",0)</f>
        <v>220</v>
      </c>
      <c r="Q113" s="17" t="str">
        <f t="shared" si="6"/>
        <v/>
      </c>
      <c r="R113" s="107"/>
      <c r="S113" s="108">
        <v>392620.0</v>
      </c>
      <c r="T113" s="108">
        <v>12.0</v>
      </c>
      <c r="U113" s="109">
        <v>120.0</v>
      </c>
      <c r="V113" s="110"/>
      <c r="X113" s="111">
        <f>SUMIFS('Transit Shipment'!$B$10:$B$1048462,'Transit Shipment'!$A$10:$A$1048462,B113,'Transit Shipment'!$C$10:$C$1048462,AA113)</f>
        <v>0</v>
      </c>
      <c r="Y113" s="111">
        <f>IF(SUMIFS(DIH!$S$2:$S833,DIH!$D$2:$D833,B113,DIH!$U$2:$U833,AA113)&gt;0,SUMIFS(DIH!$S$2:$S833,DIH!$D$2:$D833,B113,DIH!$U$2:$U833,AA113),0)</f>
        <v>1</v>
      </c>
      <c r="Z113" s="112">
        <f t="shared" si="7"/>
        <v>1</v>
      </c>
      <c r="AA113" s="113" t="s">
        <v>11</v>
      </c>
      <c r="AB113" s="114">
        <f>IF(ISNA(VLOOKUP($B113,'Business Report'!$D$2:$J$202,2,0)),"",VLOOKUP($B113,'Business Report'!$D$2:$J$202,2,0))</f>
        <v>12</v>
      </c>
      <c r="AC113" s="115">
        <f>SUMIFS(AFS!$P$2:$P$6260,AFS!$N$2:$N$6260,B113,AFS!$AT$2:$AT$6260,AA113)</f>
        <v>0</v>
      </c>
      <c r="AD113" s="116">
        <f t="shared" si="8"/>
        <v>-1</v>
      </c>
      <c r="AE113" s="117"/>
      <c r="AF113" s="118" t="str">
        <f t="shared" si="9"/>
        <v/>
      </c>
      <c r="AG113" s="26"/>
      <c r="AH113" s="26"/>
      <c r="AI113" s="26"/>
    </row>
    <row r="114">
      <c r="A114" s="94" t="s">
        <v>97</v>
      </c>
      <c r="B114" s="3" t="s">
        <v>25</v>
      </c>
      <c r="C114" s="95" t="s">
        <v>567</v>
      </c>
      <c r="D114" s="96" t="s">
        <v>137</v>
      </c>
      <c r="E114" s="97">
        <f t="shared" si="2"/>
        <v>1</v>
      </c>
      <c r="F114" s="97">
        <f t="shared" si="3"/>
        <v>0</v>
      </c>
      <c r="G114" s="99" t="str">
        <f t="shared" si="4"/>
        <v/>
      </c>
      <c r="H114" s="100"/>
      <c r="I114" s="101"/>
      <c r="J114" s="102"/>
      <c r="K114" s="103"/>
      <c r="L114" s="97"/>
      <c r="M114" s="169"/>
      <c r="N114" s="105" t="str">
        <f t="shared" si="34"/>
        <v/>
      </c>
      <c r="O114" s="106"/>
      <c r="P114" s="13">
        <f t="array" ref="P114">XLOOKUP(B114,Weight!B:B,Weight!D:D,"#N/A",0)</f>
        <v>220</v>
      </c>
      <c r="Q114" s="17" t="str">
        <f t="shared" si="6"/>
        <v/>
      </c>
      <c r="R114" s="107"/>
      <c r="S114" s="108">
        <v>392620.0</v>
      </c>
      <c r="T114" s="108">
        <v>12.0</v>
      </c>
      <c r="U114" s="109">
        <v>120.0</v>
      </c>
      <c r="V114" s="110"/>
      <c r="X114" s="111">
        <f>SUMIFS('Transit Shipment'!$B$10:$B$1048462,'Transit Shipment'!$A$10:$A$1048462,B114,'Transit Shipment'!$C$10:$C$1048462,AA114)</f>
        <v>0</v>
      </c>
      <c r="Y114" s="111">
        <f>IF(SUMIFS(DIH!$S$2:$S833,DIH!$D$2:$D833,B114,DIH!$U$2:$U833,AA114)&gt;0,SUMIFS(DIH!$S$2:$S833,DIH!$D$2:$D833,B114,DIH!$U$2:$U833,AA114),0)</f>
        <v>0</v>
      </c>
      <c r="Z114" s="112">
        <f t="shared" si="7"/>
        <v>0</v>
      </c>
      <c r="AA114" s="119" t="s">
        <v>9</v>
      </c>
      <c r="AB114" s="114">
        <f>IF(ISNA(VLOOKUP($B114,'Business Report'!$D$2:$J$202,2,0)),"",VLOOKUP($B114,'Business Report'!$D$2:$J$202,2,0))</f>
        <v>12</v>
      </c>
      <c r="AC114" s="115">
        <f>SUMIFS(AFS!$P$2:$P$6260,AFS!$N$2:$N$6260,B114,AFS!$AT$2:$AT$6260,AA114)</f>
        <v>0</v>
      </c>
      <c r="AD114" s="116">
        <f t="shared" si="8"/>
        <v>0</v>
      </c>
      <c r="AE114" s="117"/>
      <c r="AF114" s="118" t="str">
        <f t="shared" si="9"/>
        <v/>
      </c>
      <c r="AG114" s="26"/>
      <c r="AH114" s="26"/>
      <c r="AI114" s="26"/>
    </row>
    <row r="115">
      <c r="A115" s="120" t="s">
        <v>97</v>
      </c>
      <c r="B115" s="7" t="s">
        <v>25</v>
      </c>
      <c r="C115" s="95" t="s">
        <v>567</v>
      </c>
      <c r="D115" s="109" t="s">
        <v>137</v>
      </c>
      <c r="E115" s="97" t="str">
        <f t="shared" si="2"/>
        <v/>
      </c>
      <c r="F115" s="97" t="str">
        <f t="shared" si="3"/>
        <v/>
      </c>
      <c r="G115" s="99" t="str">
        <f t="shared" si="4"/>
        <v/>
      </c>
      <c r="H115" s="121"/>
      <c r="I115" s="122"/>
      <c r="J115" s="123"/>
      <c r="K115" s="124"/>
      <c r="L115" s="125"/>
      <c r="M115" s="181"/>
      <c r="N115" s="105" t="str">
        <f t="shared" si="34"/>
        <v/>
      </c>
      <c r="O115" s="127"/>
      <c r="P115" s="13">
        <f t="array" ref="P115">XLOOKUP(B115,Weight!B:B,Weight!D:D,"#N/A",0)</f>
        <v>220</v>
      </c>
      <c r="Q115" s="17" t="str">
        <f t="shared" si="6"/>
        <v/>
      </c>
      <c r="R115" s="107"/>
      <c r="S115" s="108">
        <v>392620.0</v>
      </c>
      <c r="T115" s="108">
        <v>12.0</v>
      </c>
      <c r="U115" s="109">
        <v>120.0</v>
      </c>
      <c r="V115" s="110"/>
      <c r="X115" s="111">
        <f>SUMIFS('Transit Shipment'!$B$10:$B$1048462,'Transit Shipment'!$A$10:$A$1048462,B115,'Transit Shipment'!$C$10:$C$1048462,AA115)</f>
        <v>0</v>
      </c>
      <c r="Y115" s="111">
        <f>IF(SUMIFS(DIH!$S$2:$S833,DIH!$D$2:$D833,B115,DIH!$U$2:$U833,AA115)&gt;0,SUMIFS(DIH!$S$2:$S833,DIH!$D$2:$D833,B115,DIH!$U$2:$U833,AA115),0)</f>
        <v>7</v>
      </c>
      <c r="Z115" s="112">
        <f t="shared" si="7"/>
        <v>7</v>
      </c>
      <c r="AA115" s="119" t="s">
        <v>155</v>
      </c>
      <c r="AB115" s="114">
        <f>IF(ISNA(VLOOKUP($B115,'Business Report'!$D$2:$J$202,2,0)),"",VLOOKUP($B115,'Business Report'!$D$2:$J$202,2,0))</f>
        <v>12</v>
      </c>
      <c r="AC115" s="115">
        <f>SUMIFS(AFS!$P$2:$P$6260,AFS!$N$2:$N$6260,B115,AFS!$AT$2:$AT$6260,AA115)</f>
        <v>1</v>
      </c>
      <c r="AD115" s="116">
        <f t="shared" si="8"/>
        <v>-5</v>
      </c>
      <c r="AE115" s="117"/>
      <c r="AF115" s="118" t="str">
        <f t="shared" si="9"/>
        <v/>
      </c>
      <c r="AG115" s="26"/>
      <c r="AH115" s="26"/>
      <c r="AI115" s="26"/>
    </row>
    <row r="116">
      <c r="A116" s="120" t="s">
        <v>97</v>
      </c>
      <c r="B116" s="7" t="s">
        <v>25</v>
      </c>
      <c r="C116" s="95" t="s">
        <v>567</v>
      </c>
      <c r="D116" s="109" t="s">
        <v>137</v>
      </c>
      <c r="E116" s="97">
        <f t="shared" si="2"/>
        <v>1</v>
      </c>
      <c r="F116" s="97">
        <f t="shared" si="3"/>
        <v>0</v>
      </c>
      <c r="G116" s="99" t="str">
        <f t="shared" si="4"/>
        <v/>
      </c>
      <c r="H116" s="121"/>
      <c r="I116" s="122"/>
      <c r="J116" s="123"/>
      <c r="K116" s="124"/>
      <c r="L116" s="125"/>
      <c r="M116" s="181"/>
      <c r="N116" s="105">
        <f t="shared" si="34"/>
        <v>4</v>
      </c>
      <c r="O116" s="127"/>
      <c r="P116" s="13">
        <f t="array" ref="P116">XLOOKUP(B116,Weight!B:B,Weight!D:D,"#N/A",0)</f>
        <v>220</v>
      </c>
      <c r="Q116" s="17">
        <f t="shared" si="6"/>
        <v>440</v>
      </c>
      <c r="R116" s="107"/>
      <c r="S116" s="108">
        <v>392620.0</v>
      </c>
      <c r="T116" s="108">
        <v>12.0</v>
      </c>
      <c r="U116" s="109">
        <v>120.0</v>
      </c>
      <c r="V116" s="110"/>
      <c r="X116" s="111">
        <f>SUMIFS('Transit Shipment'!$B$10:$B$1048462,'Transit Shipment'!$A$10:$A$1048462,B116,'Transit Shipment'!$C$10:$C$1048462,AA116)</f>
        <v>0</v>
      </c>
      <c r="Y116" s="111">
        <f>IF(SUMIFS(DIH!$S$2:$S833,DIH!$D$2:$D833,B116,DIH!$U$2:$U833,AA116)&gt;0,SUMIFS(DIH!$S$2:$S833,DIH!$D$2:$D833,B116,DIH!$U$2:$U833,AA116),0)</f>
        <v>1</v>
      </c>
      <c r="Z116" s="112">
        <f t="shared" si="7"/>
        <v>1</v>
      </c>
      <c r="AA116" s="119" t="s">
        <v>156</v>
      </c>
      <c r="AB116" s="114">
        <f>IF(ISNA(VLOOKUP($B116,'Business Report'!$D$2:$J$202,2,0)),"",VLOOKUP($B116,'Business Report'!$D$2:$J$202,2,0))</f>
        <v>12</v>
      </c>
      <c r="AC116" s="115">
        <f>SUMIFS(AFS!$P$2:$P$6260,AFS!$N$2:$N$6260,B116,AFS!$AT$2:$AT$6260,AA116)</f>
        <v>2</v>
      </c>
      <c r="AD116" s="116">
        <f t="shared" si="8"/>
        <v>2</v>
      </c>
      <c r="AE116" s="117"/>
      <c r="AF116" s="118">
        <f t="shared" si="9"/>
        <v>2</v>
      </c>
      <c r="AG116" s="26"/>
      <c r="AH116" s="26"/>
      <c r="AI116" s="26"/>
    </row>
    <row r="117">
      <c r="A117" s="120" t="s">
        <v>97</v>
      </c>
      <c r="B117" s="7" t="s">
        <v>25</v>
      </c>
      <c r="C117" s="95" t="s">
        <v>567</v>
      </c>
      <c r="D117" s="109" t="s">
        <v>137</v>
      </c>
      <c r="E117" s="97" t="str">
        <f t="shared" si="2"/>
        <v/>
      </c>
      <c r="F117" s="97" t="str">
        <f t="shared" si="3"/>
        <v/>
      </c>
      <c r="G117" s="99" t="str">
        <f t="shared" si="4"/>
        <v/>
      </c>
      <c r="H117" s="121"/>
      <c r="I117" s="122"/>
      <c r="J117" s="123"/>
      <c r="K117" s="124"/>
      <c r="L117" s="125"/>
      <c r="M117" s="181"/>
      <c r="N117" s="105" t="str">
        <f t="shared" si="34"/>
        <v/>
      </c>
      <c r="O117" s="127"/>
      <c r="P117" s="13">
        <f t="array" ref="P117">XLOOKUP(B117,Weight!B:B,Weight!D:D,"#N/A",0)</f>
        <v>220</v>
      </c>
      <c r="Q117" s="17" t="str">
        <f t="shared" si="6"/>
        <v/>
      </c>
      <c r="R117" s="107"/>
      <c r="S117" s="108">
        <v>392620.0</v>
      </c>
      <c r="T117" s="108">
        <v>12.0</v>
      </c>
      <c r="U117" s="109">
        <v>120.0</v>
      </c>
      <c r="V117" s="110"/>
      <c r="X117" s="111">
        <f>SUMIFS('Transit Shipment'!$B$10:$B$1048462,'Transit Shipment'!$A$10:$A$1048462,B117,'Transit Shipment'!$C$10:$C$1048462,AA117)</f>
        <v>0</v>
      </c>
      <c r="Y117" s="111">
        <f>IF(SUMIFS(DIH!$S$2:$S833,DIH!$D$2:$D833,B117,DIH!$U$2:$U833,AA117)&gt;0,SUMIFS(DIH!$S$2:$S833,DIH!$D$2:$D833,B117,DIH!$U$2:$U833,AA117),0)</f>
        <v>7</v>
      </c>
      <c r="Z117" s="112">
        <f t="shared" si="7"/>
        <v>7</v>
      </c>
      <c r="AA117" s="130" t="s">
        <v>13</v>
      </c>
      <c r="AB117" s="114">
        <f>IF(ISNA(VLOOKUP($B117,'Business Report'!$D$2:$J$202,2,0)),"",VLOOKUP($B117,'Business Report'!$D$2:$J$202,2,0))</f>
        <v>12</v>
      </c>
      <c r="AC117" s="115">
        <f>SUMIFS(AFS!$P$2:$P$6260,AFS!$N$2:$N$6260,B117,AFS!$AT$2:$AT$6260,AA117)</f>
        <v>0</v>
      </c>
      <c r="AD117" s="116">
        <f t="shared" si="8"/>
        <v>-7</v>
      </c>
      <c r="AE117" s="117"/>
      <c r="AF117" s="118" t="str">
        <f t="shared" si="9"/>
        <v/>
      </c>
      <c r="AG117" s="26"/>
      <c r="AH117" s="26"/>
      <c r="AI117" s="26"/>
    </row>
    <row r="118">
      <c r="A118" s="120" t="s">
        <v>97</v>
      </c>
      <c r="B118" s="7" t="s">
        <v>25</v>
      </c>
      <c r="C118" s="95" t="s">
        <v>567</v>
      </c>
      <c r="D118" s="109" t="s">
        <v>137</v>
      </c>
      <c r="E118" s="97">
        <f t="shared" si="2"/>
        <v>1</v>
      </c>
      <c r="F118" s="97">
        <f t="shared" si="3"/>
        <v>0</v>
      </c>
      <c r="G118" s="99" t="str">
        <f t="shared" si="4"/>
        <v/>
      </c>
      <c r="H118" s="121"/>
      <c r="I118" s="122"/>
      <c r="J118" s="123"/>
      <c r="K118" s="124"/>
      <c r="L118" s="125"/>
      <c r="M118" s="181"/>
      <c r="N118" s="105" t="str">
        <f t="shared" si="34"/>
        <v/>
      </c>
      <c r="O118" s="127"/>
      <c r="P118" s="13">
        <f t="array" ref="P118">XLOOKUP(B118,Weight!B:B,Weight!D:D,"#N/A",0)</f>
        <v>220</v>
      </c>
      <c r="Q118" s="17" t="str">
        <f t="shared" si="6"/>
        <v/>
      </c>
      <c r="R118" s="107"/>
      <c r="S118" s="108">
        <v>392620.0</v>
      </c>
      <c r="T118" s="108">
        <v>12.0</v>
      </c>
      <c r="U118" s="109">
        <v>120.0</v>
      </c>
      <c r="V118" s="110"/>
      <c r="X118" s="111">
        <f>SUMIFS('Transit Shipment'!$B$10:$B$1048462,'Transit Shipment'!$A$10:$A$1048462,B118,'Transit Shipment'!$C$10:$C$1048462,AA118)</f>
        <v>0</v>
      </c>
      <c r="Y118" s="111">
        <f>IF(SUMIFS(DIH!$S$2:$S833,DIH!$D$2:$D833,B118,DIH!$U$2:$U833,AA118)&gt;0,SUMIFS(DIH!$S$2:$S833,DIH!$D$2:$D833,B118,DIH!$U$2:$U833,AA118),0)</f>
        <v>0</v>
      </c>
      <c r="Z118" s="112">
        <f t="shared" si="7"/>
        <v>0</v>
      </c>
      <c r="AA118" s="119" t="s">
        <v>14</v>
      </c>
      <c r="AB118" s="114">
        <f>IF(ISNA(VLOOKUP($B118,'Business Report'!$D$2:$J$202,2,0)),"",VLOOKUP($B118,'Business Report'!$D$2:$J$202,2,0))</f>
        <v>12</v>
      </c>
      <c r="AC118" s="115">
        <f>SUMIFS(AFS!$P$2:$P$6260,AFS!$N$2:$N$6260,B118,AFS!$AT$2:$AT$6260,AA118)</f>
        <v>0</v>
      </c>
      <c r="AD118" s="116">
        <f t="shared" si="8"/>
        <v>0</v>
      </c>
      <c r="AE118" s="117"/>
      <c r="AF118" s="118" t="str">
        <f t="shared" si="9"/>
        <v/>
      </c>
      <c r="AG118" s="26"/>
      <c r="AH118" s="26"/>
      <c r="AI118" s="26"/>
    </row>
    <row r="119">
      <c r="A119" s="120" t="s">
        <v>97</v>
      </c>
      <c r="B119" s="7" t="s">
        <v>25</v>
      </c>
      <c r="C119" s="95" t="s">
        <v>567</v>
      </c>
      <c r="D119" s="109" t="s">
        <v>137</v>
      </c>
      <c r="E119" s="97" t="str">
        <f t="shared" si="2"/>
        <v/>
      </c>
      <c r="F119" s="97" t="str">
        <f t="shared" si="3"/>
        <v/>
      </c>
      <c r="G119" s="99" t="str">
        <f t="shared" si="4"/>
        <v/>
      </c>
      <c r="H119" s="121"/>
      <c r="I119" s="122"/>
      <c r="J119" s="123"/>
      <c r="K119" s="124"/>
      <c r="L119" s="125"/>
      <c r="M119" s="181"/>
      <c r="N119" s="105" t="str">
        <f t="shared" si="34"/>
        <v/>
      </c>
      <c r="O119" s="127"/>
      <c r="P119" s="13">
        <f t="array" ref="P119">XLOOKUP(B119,Weight!B:B,Weight!D:D,"#N/A",0)</f>
        <v>220</v>
      </c>
      <c r="Q119" s="17" t="str">
        <f t="shared" si="6"/>
        <v/>
      </c>
      <c r="R119" s="107"/>
      <c r="S119" s="108">
        <v>392620.0</v>
      </c>
      <c r="T119" s="108">
        <v>12.0</v>
      </c>
      <c r="U119" s="109">
        <v>120.0</v>
      </c>
      <c r="V119" s="110"/>
      <c r="X119" s="111">
        <f>SUMIFS('Transit Shipment'!$B$10:$B$1048462,'Transit Shipment'!$A$10:$A$1048462,B119,'Transit Shipment'!$C$10:$C$1048462,AA119)</f>
        <v>0</v>
      </c>
      <c r="Y119" s="111">
        <f>IF(SUMIFS(DIH!$S$2:$S833,DIH!$D$2:$D833,B119,DIH!$U$2:$U833,AA119)&gt;0,SUMIFS(DIH!$S$2:$S833,DIH!$D$2:$D833,B119,DIH!$U$2:$U833,AA119),0)</f>
        <v>7</v>
      </c>
      <c r="Z119" s="112">
        <f t="shared" si="7"/>
        <v>7</v>
      </c>
      <c r="AA119" s="131" t="s">
        <v>16</v>
      </c>
      <c r="AB119" s="114">
        <f>IF(ISNA(VLOOKUP($B119,'Business Report'!$D$2:$J$202,2,0)),"",VLOOKUP($B119,'Business Report'!$D$2:$J$202,2,0))</f>
        <v>12</v>
      </c>
      <c r="AC119" s="115">
        <f>SUMIFS(AFS!$P$2:$P$6260,AFS!$N$2:$N$6260,B119,AFS!$AT$2:$AT$6260,AA119)</f>
        <v>0</v>
      </c>
      <c r="AD119" s="116">
        <f t="shared" si="8"/>
        <v>-7</v>
      </c>
      <c r="AE119" s="117"/>
      <c r="AF119" s="118" t="str">
        <f t="shared" si="9"/>
        <v/>
      </c>
      <c r="AG119" s="26"/>
      <c r="AH119" s="26"/>
      <c r="AI119" s="26"/>
    </row>
    <row r="120">
      <c r="A120" s="132" t="s">
        <v>97</v>
      </c>
      <c r="B120" s="15" t="s">
        <v>25</v>
      </c>
      <c r="C120" s="133" t="s">
        <v>567</v>
      </c>
      <c r="D120" s="134" t="s">
        <v>137</v>
      </c>
      <c r="E120" s="135">
        <f t="shared" si="2"/>
        <v>1</v>
      </c>
      <c r="F120" s="135">
        <f t="shared" si="3"/>
        <v>0</v>
      </c>
      <c r="G120" s="136" t="str">
        <f t="shared" si="4"/>
        <v/>
      </c>
      <c r="H120" s="137"/>
      <c r="I120" s="138"/>
      <c r="J120" s="139"/>
      <c r="K120" s="140"/>
      <c r="L120" s="135"/>
      <c r="M120" s="152"/>
      <c r="N120" s="142" t="str">
        <f t="shared" si="34"/>
        <v/>
      </c>
      <c r="O120" s="143"/>
      <c r="P120" s="144">
        <f t="array" ref="P120">XLOOKUP(B120,Weight!B:B,Weight!D:D,"#N/A",0)</f>
        <v>220</v>
      </c>
      <c r="Q120" s="145" t="str">
        <f t="shared" si="6"/>
        <v/>
      </c>
      <c r="R120" s="146"/>
      <c r="S120" s="147">
        <v>392620.0</v>
      </c>
      <c r="T120" s="147">
        <v>12.0</v>
      </c>
      <c r="U120" s="109">
        <v>120.0</v>
      </c>
      <c r="V120" s="148"/>
      <c r="W120" s="149"/>
      <c r="X120" s="150">
        <f>SUMIFS('Transit Shipment'!$B$10:$B$1048462,'Transit Shipment'!$A$10:$A$1048462,B120,'Transit Shipment'!$C$10:$C$1048462,AA120)</f>
        <v>0</v>
      </c>
      <c r="Y120" s="150">
        <f>IF(SUMIFS(DIH!$S$2:$S833,DIH!$D$2:$D833,B120,DIH!$U$2:$U833,AA120)&gt;0,SUMIFS(DIH!$S$2:$S833,DIH!$D$2:$D833,B120,DIH!$U$2:$U833,AA120),0)</f>
        <v>0</v>
      </c>
      <c r="Z120" s="151">
        <f t="shared" si="7"/>
        <v>0</v>
      </c>
      <c r="AA120" s="152" t="s">
        <v>17</v>
      </c>
      <c r="AB120" s="154">
        <f>IF(ISNA(VLOOKUP($B120,'Business Report'!$D$2:$J$202,2,0)),"",VLOOKUP($B120,'Business Report'!$D$2:$J$202,2,0))</f>
        <v>12</v>
      </c>
      <c r="AC120" s="155">
        <f>SUMIFS(AFS!$P$2:$P$6260,AFS!$N$2:$N$6260,B120,AFS!$AT$2:$AT$6260,AA120)</f>
        <v>0</v>
      </c>
      <c r="AD120" s="156">
        <f t="shared" si="8"/>
        <v>0</v>
      </c>
      <c r="AE120" s="159">
        <f>SUM(AD112:AD120)</f>
        <v>-19</v>
      </c>
      <c r="AF120" s="118" t="str">
        <f t="shared" si="9"/>
        <v/>
      </c>
      <c r="AG120" s="26"/>
      <c r="AH120" s="26"/>
      <c r="AI120" s="26"/>
    </row>
    <row r="121">
      <c r="A121" s="66" t="s">
        <v>93</v>
      </c>
      <c r="B121" s="1" t="s">
        <v>27</v>
      </c>
      <c r="C121" s="95" t="s">
        <v>643</v>
      </c>
      <c r="D121" s="68" t="s">
        <v>137</v>
      </c>
      <c r="E121" s="69" t="str">
        <f t="shared" si="2"/>
        <v/>
      </c>
      <c r="F121" s="69" t="str">
        <f t="shared" si="3"/>
        <v/>
      </c>
      <c r="G121" s="70" t="str">
        <f t="shared" si="4"/>
        <v/>
      </c>
      <c r="H121" s="163"/>
      <c r="I121" s="101"/>
      <c r="J121" s="102"/>
      <c r="K121" s="167"/>
      <c r="L121" s="119" t="str">
        <f t="shared" ref="L121:L129" si="36">IF(ISNUMBER($AF121),2*$AF121,"")</f>
        <v/>
      </c>
      <c r="M121" s="169"/>
      <c r="N121" s="171"/>
      <c r="O121" s="106"/>
      <c r="P121" s="79">
        <f t="array" ref="P121">XLOOKUP(B121,Weight!B:B,Weight!D:D,"#N/A",0)</f>
        <v>220</v>
      </c>
      <c r="Q121" s="80" t="str">
        <f t="shared" si="6"/>
        <v/>
      </c>
      <c r="R121" s="107"/>
      <c r="S121" s="108">
        <v>392620.0</v>
      </c>
      <c r="T121" s="108">
        <v>12.0</v>
      </c>
      <c r="U121" s="83">
        <v>120.0</v>
      </c>
      <c r="V121" s="84" t="str">
        <f t="shared" ref="V121:W121" si="35">B121</f>
        <v>CRM_AP_TEN _PACK OF 2</v>
      </c>
      <c r="W121" s="174" t="str">
        <f t="shared" si="35"/>
        <v>CRASOME Apron for Men Women Chef Cooking Restaurants Gardening Workshop, Barbers with Adjustable Strap and Two Pockets ( Ten_Pack of 2)</v>
      </c>
      <c r="X121" s="86">
        <f>SUMIFS('Transit Shipment'!$B$10:$B$1048462,'Transit Shipment'!$A$10:$A$1048462,B121,'Transit Shipment'!$C$10:$C$1048462,AA121)</f>
        <v>0</v>
      </c>
      <c r="Y121" s="86">
        <f>IF(SUMIFS(DIH!$S$2:$S833,DIH!$D$2:$D833,B121,DIH!$U$2:$U833,AA121)&gt;0,SUMIFS(DIH!$S$2:$S833,DIH!$D$2:$D833,B121,DIH!$U$2:$U833,AA121),0)</f>
        <v>2</v>
      </c>
      <c r="Z121" s="87">
        <f t="shared" si="7"/>
        <v>2</v>
      </c>
      <c r="AA121" s="88" t="s">
        <v>5</v>
      </c>
      <c r="AB121" s="89">
        <f>IF(ISNA(VLOOKUP($B121,'Business Report'!$D$2:$J$202,2,0)),"",VLOOKUP($B121,'Business Report'!$D$2:$J$202,2,0))</f>
        <v>192</v>
      </c>
      <c r="AC121" s="90">
        <f>SUMIFS(AFS!$P$2:$P$6260,AFS!$N$2:$N$6260,B121,AFS!$AT$2:$AT$6260,AA121)</f>
        <v>0</v>
      </c>
      <c r="AD121" s="91">
        <f t="shared" si="8"/>
        <v>-2</v>
      </c>
      <c r="AE121" s="92"/>
      <c r="AF121" s="93" t="str">
        <f t="shared" si="9"/>
        <v/>
      </c>
      <c r="AG121" s="26"/>
      <c r="AH121" s="26"/>
      <c r="AI121" s="26"/>
    </row>
    <row r="122">
      <c r="A122" s="94" t="s">
        <v>93</v>
      </c>
      <c r="B122" s="3" t="s">
        <v>27</v>
      </c>
      <c r="C122" s="95" t="s">
        <v>643</v>
      </c>
      <c r="D122" s="96" t="s">
        <v>137</v>
      </c>
      <c r="E122" s="97" t="str">
        <f t="shared" si="2"/>
        <v/>
      </c>
      <c r="F122" s="97" t="str">
        <f t="shared" si="3"/>
        <v/>
      </c>
      <c r="G122" s="99" t="str">
        <f t="shared" si="4"/>
        <v/>
      </c>
      <c r="H122" s="100"/>
      <c r="I122" s="101"/>
      <c r="J122" s="102"/>
      <c r="K122" s="103"/>
      <c r="L122" s="97" t="str">
        <f t="shared" si="36"/>
        <v/>
      </c>
      <c r="M122" s="169"/>
      <c r="N122" s="105"/>
      <c r="O122" s="106"/>
      <c r="P122" s="13">
        <f t="array" ref="P122">XLOOKUP(B122,Weight!B:B,Weight!D:D,"#N/A",0)</f>
        <v>220</v>
      </c>
      <c r="Q122" s="17" t="str">
        <f t="shared" si="6"/>
        <v/>
      </c>
      <c r="R122" s="107"/>
      <c r="S122" s="108">
        <v>392620.0</v>
      </c>
      <c r="T122" s="108">
        <v>12.0</v>
      </c>
      <c r="U122" s="109">
        <v>120.0</v>
      </c>
      <c r="V122" s="110"/>
      <c r="X122" s="111">
        <f>SUMIFS('Transit Shipment'!$B$10:$B$1048462,'Transit Shipment'!$A$10:$A$1048462,B122,'Transit Shipment'!$C$10:$C$1048462,AA122)</f>
        <v>0</v>
      </c>
      <c r="Y122" s="111">
        <f>IF(SUMIFS(DIH!$S$2:$S833,DIH!$D$2:$D833,B122,DIH!$U$2:$U833,AA122)&gt;0,SUMIFS(DIH!$S$2:$S833,DIH!$D$2:$D833,B122,DIH!$U$2:$U833,AA122),0)</f>
        <v>8</v>
      </c>
      <c r="Z122" s="112">
        <f t="shared" si="7"/>
        <v>8</v>
      </c>
      <c r="AA122" s="113" t="s">
        <v>11</v>
      </c>
      <c r="AB122" s="114">
        <f>IF(ISNA(VLOOKUP($B122,'Business Report'!$D$2:$J$202,2,0)),"",VLOOKUP($B122,'Business Report'!$D$2:$J$202,2,0))</f>
        <v>192</v>
      </c>
      <c r="AC122" s="115">
        <f>SUMIFS(AFS!$P$2:$P$6260,AFS!$N$2:$N$6260,B122,AFS!$AT$2:$AT$6260,AA122)</f>
        <v>5</v>
      </c>
      <c r="AD122" s="116">
        <f t="shared" si="8"/>
        <v>-1</v>
      </c>
      <c r="AE122" s="117"/>
      <c r="AF122" s="118" t="str">
        <f t="shared" si="9"/>
        <v/>
      </c>
      <c r="AG122" s="26"/>
      <c r="AH122" s="26"/>
      <c r="AI122" s="26"/>
    </row>
    <row r="123">
      <c r="A123" s="94" t="s">
        <v>93</v>
      </c>
      <c r="B123" s="3" t="s">
        <v>27</v>
      </c>
      <c r="C123" s="95" t="s">
        <v>643</v>
      </c>
      <c r="D123" s="96" t="s">
        <v>137</v>
      </c>
      <c r="E123" s="97" t="str">
        <f t="shared" si="2"/>
        <v/>
      </c>
      <c r="F123" s="97" t="str">
        <f t="shared" si="3"/>
        <v/>
      </c>
      <c r="G123" s="99" t="str">
        <f t="shared" si="4"/>
        <v/>
      </c>
      <c r="H123" s="100"/>
      <c r="I123" s="101"/>
      <c r="J123" s="102"/>
      <c r="K123" s="103"/>
      <c r="L123" s="97" t="str">
        <f t="shared" si="36"/>
        <v/>
      </c>
      <c r="M123" s="169"/>
      <c r="N123" s="105"/>
      <c r="O123" s="106"/>
      <c r="P123" s="13">
        <f t="array" ref="P123">XLOOKUP(B123,Weight!B:B,Weight!D:D,"#N/A",0)</f>
        <v>220</v>
      </c>
      <c r="Q123" s="17" t="str">
        <f t="shared" si="6"/>
        <v/>
      </c>
      <c r="R123" s="107"/>
      <c r="S123" s="108">
        <v>392620.0</v>
      </c>
      <c r="T123" s="108">
        <v>12.0</v>
      </c>
      <c r="U123" s="109">
        <v>120.0</v>
      </c>
      <c r="V123" s="110"/>
      <c r="X123" s="111">
        <f>SUMIFS('Transit Shipment'!$B$10:$B$1048462,'Transit Shipment'!$A$10:$A$1048462,B123,'Transit Shipment'!$C$10:$C$1048462,AA123)</f>
        <v>0</v>
      </c>
      <c r="Y123" s="111">
        <f>IF(SUMIFS(DIH!$S$2:$S833,DIH!$D$2:$D833,B123,DIH!$U$2:$U833,AA123)&gt;0,SUMIFS(DIH!$S$2:$S833,DIH!$D$2:$D833,B123,DIH!$U$2:$U833,AA123),0)</f>
        <v>6</v>
      </c>
      <c r="Z123" s="112">
        <f t="shared" si="7"/>
        <v>6</v>
      </c>
      <c r="AA123" s="119" t="s">
        <v>9</v>
      </c>
      <c r="AB123" s="114">
        <f>IF(ISNA(VLOOKUP($B123,'Business Report'!$D$2:$J$202,2,0)),"",VLOOKUP($B123,'Business Report'!$D$2:$J$202,2,0))</f>
        <v>192</v>
      </c>
      <c r="AC123" s="115">
        <f>SUMIFS(AFS!$P$2:$P$6260,AFS!$N$2:$N$6260,B123,AFS!$AT$2:$AT$6260,AA123)</f>
        <v>1</v>
      </c>
      <c r="AD123" s="116">
        <f t="shared" si="8"/>
        <v>-4</v>
      </c>
      <c r="AE123" s="117"/>
      <c r="AF123" s="118" t="str">
        <f t="shared" si="9"/>
        <v/>
      </c>
      <c r="AG123" s="4"/>
      <c r="AH123" s="26"/>
      <c r="AI123" s="26"/>
    </row>
    <row r="124">
      <c r="A124" s="120" t="s">
        <v>93</v>
      </c>
      <c r="B124" s="7" t="s">
        <v>27</v>
      </c>
      <c r="C124" s="95" t="s">
        <v>643</v>
      </c>
      <c r="D124" s="109" t="s">
        <v>137</v>
      </c>
      <c r="E124" s="97">
        <f t="shared" si="2"/>
        <v>1</v>
      </c>
      <c r="F124" s="97">
        <f t="shared" si="3"/>
        <v>0.5</v>
      </c>
      <c r="G124" s="99" t="str">
        <f t="shared" si="4"/>
        <v/>
      </c>
      <c r="H124" s="121"/>
      <c r="I124" s="122"/>
      <c r="J124" s="123"/>
      <c r="K124" s="124"/>
      <c r="L124" s="97">
        <f t="shared" si="36"/>
        <v>8</v>
      </c>
      <c r="M124" s="181"/>
      <c r="N124" s="126"/>
      <c r="O124" s="127"/>
      <c r="P124" s="13">
        <f t="array" ref="P124">XLOOKUP(B124,Weight!B:B,Weight!D:D,"#N/A",0)</f>
        <v>220</v>
      </c>
      <c r="Q124" s="17">
        <f t="shared" si="6"/>
        <v>880</v>
      </c>
      <c r="R124" s="107"/>
      <c r="S124" s="108">
        <v>392620.0</v>
      </c>
      <c r="T124" s="108">
        <v>12.0</v>
      </c>
      <c r="U124" s="109">
        <v>120.0</v>
      </c>
      <c r="V124" s="110"/>
      <c r="X124" s="111">
        <f>SUMIFS('Transit Shipment'!$B$10:$B$1048462,'Transit Shipment'!$A$10:$A$1048462,B124,'Transit Shipment'!$C$10:$C$1048462,AA124)</f>
        <v>0</v>
      </c>
      <c r="Y124" s="111">
        <f>IF(SUMIFS(DIH!$S$2:$S833,DIH!$D$2:$D833,B124,DIH!$U$2:$U833,AA124)&gt;0,SUMIFS(DIH!$S$2:$S833,DIH!$D$2:$D833,B124,DIH!$U$2:$U833,AA124),0)</f>
        <v>1</v>
      </c>
      <c r="Z124" s="112">
        <f t="shared" si="7"/>
        <v>1</v>
      </c>
      <c r="AA124" s="119" t="s">
        <v>155</v>
      </c>
      <c r="AB124" s="114">
        <f>IF(ISNA(VLOOKUP($B124,'Business Report'!$D$2:$J$202,2,0)),"",VLOOKUP($B124,'Business Report'!$D$2:$J$202,2,0))</f>
        <v>192</v>
      </c>
      <c r="AC124" s="115">
        <f>SUMIFS(AFS!$P$2:$P$6260,AFS!$N$2:$N$6260,B124,AFS!$AT$2:$AT$6260,AA124)</f>
        <v>3</v>
      </c>
      <c r="AD124" s="116">
        <f t="shared" si="8"/>
        <v>3</v>
      </c>
      <c r="AE124" s="117"/>
      <c r="AF124" s="118">
        <f t="shared" si="9"/>
        <v>4</v>
      </c>
      <c r="AG124" s="4"/>
      <c r="AH124" s="26"/>
      <c r="AI124" s="26"/>
    </row>
    <row r="125">
      <c r="A125" s="120" t="s">
        <v>93</v>
      </c>
      <c r="B125" s="7" t="s">
        <v>27</v>
      </c>
      <c r="C125" s="95" t="s">
        <v>643</v>
      </c>
      <c r="D125" s="109" t="s">
        <v>137</v>
      </c>
      <c r="E125" s="97" t="str">
        <f t="shared" si="2"/>
        <v/>
      </c>
      <c r="F125" s="97" t="str">
        <f t="shared" si="3"/>
        <v/>
      </c>
      <c r="G125" s="99" t="str">
        <f t="shared" si="4"/>
        <v/>
      </c>
      <c r="H125" s="121"/>
      <c r="I125" s="122"/>
      <c r="J125" s="123"/>
      <c r="K125" s="124"/>
      <c r="L125" s="97" t="str">
        <f t="shared" si="36"/>
        <v/>
      </c>
      <c r="M125" s="181"/>
      <c r="N125" s="126"/>
      <c r="O125" s="127"/>
      <c r="P125" s="13">
        <f t="array" ref="P125">XLOOKUP(B125,Weight!B:B,Weight!D:D,"#N/A",0)</f>
        <v>220</v>
      </c>
      <c r="Q125" s="17" t="str">
        <f t="shared" si="6"/>
        <v/>
      </c>
      <c r="R125" s="107"/>
      <c r="S125" s="108">
        <v>392620.0</v>
      </c>
      <c r="T125" s="108">
        <v>12.0</v>
      </c>
      <c r="U125" s="109">
        <v>120.0</v>
      </c>
      <c r="V125" s="110"/>
      <c r="X125" s="111">
        <f>SUMIFS('Transit Shipment'!$B$10:$B$1048462,'Transit Shipment'!$A$10:$A$1048462,B125,'Transit Shipment'!$C$10:$C$1048462,AA125)</f>
        <v>0</v>
      </c>
      <c r="Y125" s="111">
        <f>IF(SUMIFS(DIH!$S$2:$S833,DIH!$D$2:$D833,B125,DIH!$U$2:$U833,AA125)&gt;0,SUMIFS(DIH!$S$2:$S833,DIH!$D$2:$D833,B125,DIH!$U$2:$U833,AA125),0)</f>
        <v>5</v>
      </c>
      <c r="Z125" s="112">
        <f t="shared" si="7"/>
        <v>5</v>
      </c>
      <c r="AA125" s="119" t="s">
        <v>156</v>
      </c>
      <c r="AB125" s="114">
        <f>IF(ISNA(VLOOKUP($B125,'Business Report'!$D$2:$J$202,2,0)),"",VLOOKUP($B125,'Business Report'!$D$2:$J$202,2,0))</f>
        <v>192</v>
      </c>
      <c r="AC125" s="115">
        <f>SUMIFS(AFS!$P$2:$P$6260,AFS!$N$2:$N$6260,B125,AFS!$AT$2:$AT$6260,AA125)</f>
        <v>1</v>
      </c>
      <c r="AD125" s="116">
        <f t="shared" si="8"/>
        <v>-3</v>
      </c>
      <c r="AE125" s="117"/>
      <c r="AF125" s="118" t="str">
        <f t="shared" si="9"/>
        <v/>
      </c>
      <c r="AG125" s="4"/>
      <c r="AH125" s="26"/>
      <c r="AI125" s="26"/>
    </row>
    <row r="126">
      <c r="A126" s="120" t="s">
        <v>93</v>
      </c>
      <c r="B126" s="7" t="s">
        <v>27</v>
      </c>
      <c r="C126" s="95" t="s">
        <v>643</v>
      </c>
      <c r="D126" s="109" t="s">
        <v>137</v>
      </c>
      <c r="E126" s="97" t="str">
        <f t="shared" si="2"/>
        <v/>
      </c>
      <c r="F126" s="97" t="str">
        <f t="shared" si="3"/>
        <v/>
      </c>
      <c r="G126" s="99" t="str">
        <f t="shared" si="4"/>
        <v/>
      </c>
      <c r="H126" s="121"/>
      <c r="I126" s="122"/>
      <c r="J126" s="123"/>
      <c r="K126" s="124"/>
      <c r="L126" s="97" t="str">
        <f t="shared" si="36"/>
        <v/>
      </c>
      <c r="M126" s="181"/>
      <c r="N126" s="126"/>
      <c r="O126" s="127"/>
      <c r="P126" s="13">
        <f t="array" ref="P126">XLOOKUP(B126,Weight!B:B,Weight!D:D,"#N/A",0)</f>
        <v>220</v>
      </c>
      <c r="Q126" s="17" t="str">
        <f t="shared" si="6"/>
        <v/>
      </c>
      <c r="R126" s="107"/>
      <c r="S126" s="108">
        <v>392620.0</v>
      </c>
      <c r="T126" s="108">
        <v>12.0</v>
      </c>
      <c r="U126" s="109">
        <v>120.0</v>
      </c>
      <c r="V126" s="110"/>
      <c r="X126" s="111">
        <f>SUMIFS('Transit Shipment'!$B$10:$B$1048462,'Transit Shipment'!$A$10:$A$1048462,B126,'Transit Shipment'!$C$10:$C$1048462,AA126)</f>
        <v>0</v>
      </c>
      <c r="Y126" s="111">
        <f>IF(SUMIFS(DIH!$S$2:$S833,DIH!$D$2:$D833,B126,DIH!$U$2:$U833,AA126)&gt;0,SUMIFS(DIH!$S$2:$S833,DIH!$D$2:$D833,B126,DIH!$U$2:$U833,AA126),0)</f>
        <v>4</v>
      </c>
      <c r="Z126" s="112">
        <f t="shared" si="7"/>
        <v>4</v>
      </c>
      <c r="AA126" s="130" t="s">
        <v>13</v>
      </c>
      <c r="AB126" s="114">
        <f>IF(ISNA(VLOOKUP($B126,'Business Report'!$D$2:$J$202,2,0)),"",VLOOKUP($B126,'Business Report'!$D$2:$J$202,2,0))</f>
        <v>192</v>
      </c>
      <c r="AC126" s="115">
        <f>SUMIFS(AFS!$P$2:$P$6260,AFS!$N$2:$N$6260,B126,AFS!$AT$2:$AT$6260,AA126)</f>
        <v>1</v>
      </c>
      <c r="AD126" s="116">
        <f t="shared" si="8"/>
        <v>-2</v>
      </c>
      <c r="AE126" s="117"/>
      <c r="AF126" s="118" t="str">
        <f t="shared" si="9"/>
        <v/>
      </c>
      <c r="AG126" s="26"/>
      <c r="AH126" s="26"/>
      <c r="AI126" s="26"/>
    </row>
    <row r="127">
      <c r="A127" s="120" t="s">
        <v>93</v>
      </c>
      <c r="B127" s="7" t="s">
        <v>27</v>
      </c>
      <c r="C127" s="95" t="s">
        <v>643</v>
      </c>
      <c r="D127" s="109" t="s">
        <v>137</v>
      </c>
      <c r="E127" s="97" t="str">
        <f t="shared" si="2"/>
        <v/>
      </c>
      <c r="F127" s="97" t="str">
        <f t="shared" si="3"/>
        <v/>
      </c>
      <c r="G127" s="99" t="str">
        <f t="shared" si="4"/>
        <v/>
      </c>
      <c r="H127" s="121"/>
      <c r="I127" s="122"/>
      <c r="J127" s="123"/>
      <c r="K127" s="124"/>
      <c r="L127" s="97" t="str">
        <f t="shared" si="36"/>
        <v/>
      </c>
      <c r="M127" s="181"/>
      <c r="N127" s="126"/>
      <c r="O127" s="127"/>
      <c r="P127" s="13">
        <f t="array" ref="P127">XLOOKUP(B127,Weight!B:B,Weight!D:D,"#N/A",0)</f>
        <v>220</v>
      </c>
      <c r="Q127" s="17" t="str">
        <f t="shared" si="6"/>
        <v/>
      </c>
      <c r="R127" s="107"/>
      <c r="S127" s="108">
        <v>392620.0</v>
      </c>
      <c r="T127" s="108">
        <v>12.0</v>
      </c>
      <c r="U127" s="109">
        <v>120.0</v>
      </c>
      <c r="V127" s="110"/>
      <c r="X127" s="111">
        <f>SUMIFS('Transit Shipment'!$B$10:$B$1048462,'Transit Shipment'!$A$10:$A$1048462,B127,'Transit Shipment'!$C$10:$C$1048462,AA127)</f>
        <v>0</v>
      </c>
      <c r="Y127" s="111">
        <f>IF(SUMIFS(DIH!$S$2:$S833,DIH!$D$2:$D833,B127,DIH!$U$2:$U833,AA127)&gt;0,SUMIFS(DIH!$S$2:$S833,DIH!$D$2:$D833,B127,DIH!$U$2:$U833,AA127),0)</f>
        <v>15</v>
      </c>
      <c r="Z127" s="112">
        <f t="shared" si="7"/>
        <v>15</v>
      </c>
      <c r="AA127" s="119" t="s">
        <v>14</v>
      </c>
      <c r="AB127" s="114">
        <f>IF(ISNA(VLOOKUP($B127,'Business Report'!$D$2:$J$202,2,0)),"",VLOOKUP($B127,'Business Report'!$D$2:$J$202,2,0))</f>
        <v>192</v>
      </c>
      <c r="AC127" s="115">
        <f>SUMIFS(AFS!$P$2:$P$6260,AFS!$N$2:$N$6260,B127,AFS!$AT$2:$AT$6260,AA127)</f>
        <v>2</v>
      </c>
      <c r="AD127" s="116">
        <f t="shared" si="8"/>
        <v>-12</v>
      </c>
      <c r="AE127" s="117"/>
      <c r="AF127" s="118" t="str">
        <f t="shared" si="9"/>
        <v/>
      </c>
      <c r="AG127" s="26"/>
      <c r="AH127" s="26"/>
      <c r="AI127" s="26"/>
    </row>
    <row r="128">
      <c r="A128" s="120" t="s">
        <v>93</v>
      </c>
      <c r="B128" s="7" t="s">
        <v>27</v>
      </c>
      <c r="C128" s="95" t="s">
        <v>643</v>
      </c>
      <c r="D128" s="109" t="s">
        <v>137</v>
      </c>
      <c r="E128" s="97">
        <f t="shared" si="2"/>
        <v>3</v>
      </c>
      <c r="F128" s="97">
        <f t="shared" si="3"/>
        <v>0.5</v>
      </c>
      <c r="G128" s="99" t="str">
        <f t="shared" si="4"/>
        <v/>
      </c>
      <c r="H128" s="121"/>
      <c r="I128" s="122"/>
      <c r="J128" s="123"/>
      <c r="K128" s="124"/>
      <c r="L128" s="97">
        <f t="shared" si="36"/>
        <v>16</v>
      </c>
      <c r="M128" s="181"/>
      <c r="N128" s="126"/>
      <c r="O128" s="127"/>
      <c r="P128" s="13">
        <f t="array" ref="P128">XLOOKUP(B128,Weight!B:B,Weight!D:D,"#N/A",0)</f>
        <v>220</v>
      </c>
      <c r="Q128" s="17">
        <f t="shared" si="6"/>
        <v>1760</v>
      </c>
      <c r="R128" s="107"/>
      <c r="S128" s="108">
        <v>392620.0</v>
      </c>
      <c r="T128" s="108">
        <v>12.0</v>
      </c>
      <c r="U128" s="109">
        <v>120.0</v>
      </c>
      <c r="V128" s="110"/>
      <c r="X128" s="111">
        <f>SUMIFS('Transit Shipment'!$B$10:$B$1048462,'Transit Shipment'!$A$10:$A$1048462,B128,'Transit Shipment'!$C$10:$C$1048462,AA128)</f>
        <v>0</v>
      </c>
      <c r="Y128" s="111">
        <f>IF(SUMIFS(DIH!$S$2:$S833,DIH!$D$2:$D833,B128,DIH!$U$2:$U833,AA128)&gt;0,SUMIFS(DIH!$S$2:$S833,DIH!$D$2:$D833,B128,DIH!$U$2:$U833,AA128),0)</f>
        <v>5</v>
      </c>
      <c r="Z128" s="112">
        <f t="shared" si="7"/>
        <v>5</v>
      </c>
      <c r="AA128" s="131" t="s">
        <v>16</v>
      </c>
      <c r="AB128" s="114">
        <f>IF(ISNA(VLOOKUP($B128,'Business Report'!$D$2:$J$202,2,0)),"",VLOOKUP($B128,'Business Report'!$D$2:$J$202,2,0))</f>
        <v>192</v>
      </c>
      <c r="AC128" s="115">
        <f>SUMIFS(AFS!$P$2:$P$6260,AFS!$N$2:$N$6260,B128,AFS!$AT$2:$AT$6260,AA128)</f>
        <v>9</v>
      </c>
      <c r="AD128" s="116">
        <f t="shared" si="8"/>
        <v>7</v>
      </c>
      <c r="AE128" s="117"/>
      <c r="AF128" s="118">
        <f t="shared" si="9"/>
        <v>8</v>
      </c>
      <c r="AG128" s="26"/>
      <c r="AH128" s="26"/>
      <c r="AI128" s="26"/>
    </row>
    <row r="129">
      <c r="A129" s="132" t="s">
        <v>93</v>
      </c>
      <c r="B129" s="15" t="s">
        <v>27</v>
      </c>
      <c r="C129" s="133" t="s">
        <v>643</v>
      </c>
      <c r="D129" s="134" t="s">
        <v>137</v>
      </c>
      <c r="E129" s="135">
        <f t="shared" si="2"/>
        <v>1</v>
      </c>
      <c r="F129" s="135">
        <f t="shared" si="3"/>
        <v>0</v>
      </c>
      <c r="G129" s="136" t="str">
        <f t="shared" si="4"/>
        <v/>
      </c>
      <c r="H129" s="137"/>
      <c r="I129" s="138"/>
      <c r="J129" s="139"/>
      <c r="K129" s="140"/>
      <c r="L129" s="135" t="str">
        <f t="shared" si="36"/>
        <v/>
      </c>
      <c r="M129" s="152"/>
      <c r="N129" s="142"/>
      <c r="O129" s="143"/>
      <c r="P129" s="144">
        <f t="array" ref="P129">XLOOKUP(B129,Weight!B:B,Weight!D:D,"#N/A",0)</f>
        <v>220</v>
      </c>
      <c r="Q129" s="145" t="str">
        <f t="shared" si="6"/>
        <v/>
      </c>
      <c r="R129" s="146"/>
      <c r="S129" s="147">
        <v>392620.0</v>
      </c>
      <c r="T129" s="147">
        <v>12.0</v>
      </c>
      <c r="U129" s="109">
        <v>120.0</v>
      </c>
      <c r="V129" s="148"/>
      <c r="W129" s="149"/>
      <c r="X129" s="150">
        <f>SUMIFS('Transit Shipment'!$B$10:$B$1048462,'Transit Shipment'!$A$10:$A$1048462,B129,'Transit Shipment'!$C$10:$C$1048462,AA129)</f>
        <v>0</v>
      </c>
      <c r="Y129" s="150">
        <f>IF(SUMIFS(DIH!$S$2:$S833,DIH!$D$2:$D833,B129,DIH!$U$2:$U833,AA129)&gt;0,SUMIFS(DIH!$S$2:$S833,DIH!$D$2:$D833,B129,DIH!$U$2:$U833,AA129),0)</f>
        <v>0</v>
      </c>
      <c r="Z129" s="151">
        <f t="shared" si="7"/>
        <v>0</v>
      </c>
      <c r="AA129" s="152" t="s">
        <v>17</v>
      </c>
      <c r="AB129" s="154">
        <f>IF(ISNA(VLOOKUP($B129,'Business Report'!$D$2:$J$202,2,0)),"",VLOOKUP($B129,'Business Report'!$D$2:$J$202,2,0))</f>
        <v>192</v>
      </c>
      <c r="AC129" s="155">
        <f>SUMIFS(AFS!$P$2:$P$6260,AFS!$N$2:$N$6260,B129,AFS!$AT$2:$AT$6260,AA129)</f>
        <v>0</v>
      </c>
      <c r="AD129" s="156">
        <f t="shared" si="8"/>
        <v>0</v>
      </c>
      <c r="AE129" s="159">
        <f>SUM(AD121:AD129)</f>
        <v>-14</v>
      </c>
      <c r="AF129" s="118" t="str">
        <f t="shared" si="9"/>
        <v/>
      </c>
      <c r="AG129" s="26"/>
      <c r="AH129" s="26"/>
      <c r="AI129" s="26"/>
    </row>
    <row r="130">
      <c r="A130" s="66" t="s">
        <v>95</v>
      </c>
      <c r="B130" s="1" t="s">
        <v>29</v>
      </c>
      <c r="C130" s="95" t="s">
        <v>506</v>
      </c>
      <c r="D130" s="68" t="s">
        <v>137</v>
      </c>
      <c r="E130" s="69">
        <f t="shared" si="2"/>
        <v>1</v>
      </c>
      <c r="F130" s="69">
        <f t="shared" si="3"/>
        <v>0</v>
      </c>
      <c r="G130" s="70" t="str">
        <f t="shared" si="4"/>
        <v/>
      </c>
      <c r="H130" s="163"/>
      <c r="I130" s="101"/>
      <c r="J130" s="102"/>
      <c r="K130" s="167"/>
      <c r="L130" s="119"/>
      <c r="M130" s="169">
        <f t="shared" ref="M130:M138" si="38">IF(ISNUMBER($AF130),3*$AF130,"")</f>
        <v>6</v>
      </c>
      <c r="N130" s="171"/>
      <c r="O130" s="106"/>
      <c r="P130" s="79">
        <f t="array" ref="P130">XLOOKUP(B130,Weight!B:B,Weight!D:D,"#N/A",0)</f>
        <v>390</v>
      </c>
      <c r="Q130" s="80">
        <f t="shared" si="6"/>
        <v>780</v>
      </c>
      <c r="R130" s="107"/>
      <c r="S130" s="108">
        <v>392620.0</v>
      </c>
      <c r="T130" s="108">
        <v>12.0</v>
      </c>
      <c r="U130" s="83">
        <v>180.0</v>
      </c>
      <c r="V130" s="84" t="str">
        <f t="shared" ref="V130:W130" si="37">B130</f>
        <v>CRM_AP_BLACK_PACK OF 3</v>
      </c>
      <c r="W130" s="174" t="str">
        <f t="shared" si="37"/>
        <v>CRASOME Apron for Men Women Chef Cooking Restaurants Gardening Workshop, Barbers with Adjustable Strap and Two Pockets (Black_Pack of 3)</v>
      </c>
      <c r="X130" s="86">
        <f>SUMIFS('Transit Shipment'!$B$10:$B$1048462,'Transit Shipment'!$A$10:$A$1048462,B130,'Transit Shipment'!$C$10:$C$1048462,AA130)</f>
        <v>0</v>
      </c>
      <c r="Y130" s="86">
        <f>IF(SUMIFS(DIH!$S$2:$S833,DIH!$D$2:$D833,B130,DIH!$U$2:$U833,AA130)&gt;0,SUMIFS(DIH!$S$2:$S833,DIH!$D$2:$D833,B130,DIH!$U$2:$U833,AA130),0)</f>
        <v>0</v>
      </c>
      <c r="Z130" s="87">
        <f t="shared" si="7"/>
        <v>0</v>
      </c>
      <c r="AA130" s="88" t="s">
        <v>5</v>
      </c>
      <c r="AB130" s="89">
        <f>IF(ISNA(VLOOKUP($B130,'Business Report'!$D$2:$J$202,2,0)),"",VLOOKUP($B130,'Business Report'!$D$2:$J$202,2,0))</f>
        <v>4</v>
      </c>
      <c r="AC130" s="90">
        <f>SUMIFS(AFS!$P$2:$P$6260,AFS!$N$2:$N$6260,B130,AFS!$AT$2:$AT$6260,AA130)</f>
        <v>1</v>
      </c>
      <c r="AD130" s="91">
        <f t="shared" si="8"/>
        <v>2</v>
      </c>
      <c r="AE130" s="92"/>
      <c r="AF130" s="93">
        <f t="shared" si="9"/>
        <v>2</v>
      </c>
      <c r="AG130" s="26"/>
      <c r="AH130" s="26"/>
      <c r="AI130" s="26"/>
    </row>
    <row r="131">
      <c r="A131" s="94" t="s">
        <v>95</v>
      </c>
      <c r="B131" s="3" t="s">
        <v>29</v>
      </c>
      <c r="C131" s="95" t="s">
        <v>506</v>
      </c>
      <c r="D131" s="96" t="s">
        <v>137</v>
      </c>
      <c r="E131" s="97">
        <f t="shared" si="2"/>
        <v>1</v>
      </c>
      <c r="F131" s="97">
        <f t="shared" si="3"/>
        <v>0</v>
      </c>
      <c r="G131" s="99" t="str">
        <f t="shared" si="4"/>
        <v/>
      </c>
      <c r="H131" s="100"/>
      <c r="I131" s="101"/>
      <c r="J131" s="102"/>
      <c r="K131" s="103"/>
      <c r="L131" s="97"/>
      <c r="M131" s="169" t="str">
        <f t="shared" si="38"/>
        <v/>
      </c>
      <c r="N131" s="105"/>
      <c r="O131" s="106"/>
      <c r="P131" s="13">
        <f t="array" ref="P131">XLOOKUP(B131,Weight!B:B,Weight!D:D,"#N/A",0)</f>
        <v>390</v>
      </c>
      <c r="Q131" s="17" t="str">
        <f t="shared" si="6"/>
        <v/>
      </c>
      <c r="R131" s="107"/>
      <c r="S131" s="108">
        <v>392620.0</v>
      </c>
      <c r="T131" s="108">
        <v>12.0</v>
      </c>
      <c r="U131" s="109">
        <v>180.0</v>
      </c>
      <c r="V131" s="110"/>
      <c r="X131" s="111">
        <f>SUMIFS('Transit Shipment'!$B$10:$B$1048462,'Transit Shipment'!$A$10:$A$1048462,B131,'Transit Shipment'!$C$10:$C$1048462,AA131)</f>
        <v>0</v>
      </c>
      <c r="Y131" s="111">
        <f>IF(SUMIFS(DIH!$S$2:$S833,DIH!$D$2:$D833,B131,DIH!$U$2:$U833,AA131)&gt;0,SUMIFS(DIH!$S$2:$S833,DIH!$D$2:$D833,B131,DIH!$U$2:$U833,AA131),0)</f>
        <v>0</v>
      </c>
      <c r="Z131" s="112">
        <f t="shared" si="7"/>
        <v>0</v>
      </c>
      <c r="AA131" s="113" t="s">
        <v>11</v>
      </c>
      <c r="AB131" s="114">
        <f>IF(ISNA(VLOOKUP($B131,'Business Report'!$D$2:$J$202,2,0)),"",VLOOKUP($B131,'Business Report'!$D$2:$J$202,2,0))</f>
        <v>4</v>
      </c>
      <c r="AC131" s="115">
        <f>SUMIFS(AFS!$P$2:$P$6260,AFS!$N$2:$N$6260,B131,AFS!$AT$2:$AT$6260,AA131)</f>
        <v>0</v>
      </c>
      <c r="AD131" s="116">
        <f t="shared" si="8"/>
        <v>0</v>
      </c>
      <c r="AE131" s="117"/>
      <c r="AF131" s="118" t="str">
        <f t="shared" si="9"/>
        <v/>
      </c>
      <c r="AG131" s="26"/>
      <c r="AH131" s="26"/>
      <c r="AI131" s="26"/>
    </row>
    <row r="132">
      <c r="A132" s="94" t="s">
        <v>95</v>
      </c>
      <c r="B132" s="3" t="s">
        <v>29</v>
      </c>
      <c r="C132" s="95" t="s">
        <v>506</v>
      </c>
      <c r="D132" s="96" t="s">
        <v>137</v>
      </c>
      <c r="E132" s="97">
        <f t="shared" si="2"/>
        <v>1</v>
      </c>
      <c r="F132" s="97">
        <f t="shared" si="3"/>
        <v>0</v>
      </c>
      <c r="G132" s="99" t="str">
        <f t="shared" si="4"/>
        <v/>
      </c>
      <c r="H132" s="100"/>
      <c r="I132" s="101"/>
      <c r="J132" s="102"/>
      <c r="K132" s="103"/>
      <c r="L132" s="97"/>
      <c r="M132" s="169" t="str">
        <f t="shared" si="38"/>
        <v/>
      </c>
      <c r="N132" s="105"/>
      <c r="O132" s="106"/>
      <c r="P132" s="13">
        <f t="array" ref="P132">XLOOKUP(B132,Weight!B:B,Weight!D:D,"#N/A",0)</f>
        <v>390</v>
      </c>
      <c r="Q132" s="17" t="str">
        <f t="shared" si="6"/>
        <v/>
      </c>
      <c r="R132" s="107"/>
      <c r="S132" s="108">
        <v>392620.0</v>
      </c>
      <c r="T132" s="108">
        <v>12.0</v>
      </c>
      <c r="U132" s="109">
        <v>180.0</v>
      </c>
      <c r="V132" s="110"/>
      <c r="X132" s="111">
        <f>SUMIFS('Transit Shipment'!$B$10:$B$1048462,'Transit Shipment'!$A$10:$A$1048462,B132,'Transit Shipment'!$C$10:$C$1048462,AA132)</f>
        <v>0</v>
      </c>
      <c r="Y132" s="111">
        <f>IF(SUMIFS(DIH!$S$2:$S833,DIH!$D$2:$D833,B132,DIH!$U$2:$U833,AA132)&gt;0,SUMIFS(DIH!$S$2:$S833,DIH!$D$2:$D833,B132,DIH!$U$2:$U833,AA132),0)</f>
        <v>0</v>
      </c>
      <c r="Z132" s="112">
        <f t="shared" si="7"/>
        <v>0</v>
      </c>
      <c r="AA132" s="119" t="s">
        <v>9</v>
      </c>
      <c r="AB132" s="114">
        <f>IF(ISNA(VLOOKUP($B132,'Business Report'!$D$2:$J$202,2,0)),"",VLOOKUP($B132,'Business Report'!$D$2:$J$202,2,0))</f>
        <v>4</v>
      </c>
      <c r="AC132" s="115">
        <f>SUMIFS(AFS!$P$2:$P$6260,AFS!$N$2:$N$6260,B132,AFS!$AT$2:$AT$6260,AA132)</f>
        <v>0</v>
      </c>
      <c r="AD132" s="116">
        <f t="shared" si="8"/>
        <v>0</v>
      </c>
      <c r="AE132" s="117"/>
      <c r="AF132" s="118" t="str">
        <f t="shared" si="9"/>
        <v/>
      </c>
      <c r="AG132" s="26"/>
      <c r="AH132" s="26"/>
      <c r="AI132" s="26"/>
    </row>
    <row r="133">
      <c r="A133" s="120" t="s">
        <v>95</v>
      </c>
      <c r="B133" s="7" t="s">
        <v>29</v>
      </c>
      <c r="C133" s="95" t="s">
        <v>506</v>
      </c>
      <c r="D133" s="109" t="s">
        <v>137</v>
      </c>
      <c r="E133" s="97">
        <f t="shared" si="2"/>
        <v>1</v>
      </c>
      <c r="F133" s="97">
        <f t="shared" si="3"/>
        <v>0</v>
      </c>
      <c r="G133" s="99" t="str">
        <f t="shared" si="4"/>
        <v/>
      </c>
      <c r="H133" s="121"/>
      <c r="I133" s="122"/>
      <c r="J133" s="123"/>
      <c r="K133" s="124"/>
      <c r="L133" s="125"/>
      <c r="M133" s="169" t="str">
        <f t="shared" si="38"/>
        <v/>
      </c>
      <c r="N133" s="126"/>
      <c r="O133" s="127"/>
      <c r="P133" s="13">
        <f t="array" ref="P133">XLOOKUP(B133,Weight!B:B,Weight!D:D,"#N/A",0)</f>
        <v>390</v>
      </c>
      <c r="Q133" s="17" t="str">
        <f t="shared" si="6"/>
        <v/>
      </c>
      <c r="R133" s="107"/>
      <c r="S133" s="108">
        <v>392620.0</v>
      </c>
      <c r="T133" s="108">
        <v>12.0</v>
      </c>
      <c r="U133" s="109">
        <v>180.0</v>
      </c>
      <c r="V133" s="110"/>
      <c r="X133" s="111">
        <f>SUMIFS('Transit Shipment'!$B$10:$B$1048462,'Transit Shipment'!$A$10:$A$1048462,B133,'Transit Shipment'!$C$10:$C$1048462,AA133)</f>
        <v>0</v>
      </c>
      <c r="Y133" s="111">
        <f>IF(SUMIFS(DIH!$S$2:$S833,DIH!$D$2:$D833,B133,DIH!$U$2:$U833,AA133)&gt;0,SUMIFS(DIH!$S$2:$S833,DIH!$D$2:$D833,B133,DIH!$U$2:$U833,AA133),0)</f>
        <v>0</v>
      </c>
      <c r="Z133" s="112">
        <f t="shared" si="7"/>
        <v>0</v>
      </c>
      <c r="AA133" s="119" t="s">
        <v>155</v>
      </c>
      <c r="AB133" s="114">
        <f>IF(ISNA(VLOOKUP($B133,'Business Report'!$D$2:$J$202,2,0)),"",VLOOKUP($B133,'Business Report'!$D$2:$J$202,2,0))</f>
        <v>4</v>
      </c>
      <c r="AC133" s="115">
        <f>SUMIFS(AFS!$P$2:$P$6260,AFS!$N$2:$N$6260,B133,AFS!$AT$2:$AT$6260,AA133)</f>
        <v>0</v>
      </c>
      <c r="AD133" s="116">
        <f t="shared" si="8"/>
        <v>0</v>
      </c>
      <c r="AE133" s="117"/>
      <c r="AF133" s="118" t="str">
        <f t="shared" si="9"/>
        <v/>
      </c>
      <c r="AG133" s="26"/>
      <c r="AH133" s="26"/>
      <c r="AI133" s="26"/>
    </row>
    <row r="134">
      <c r="A134" s="120" t="s">
        <v>95</v>
      </c>
      <c r="B134" s="7" t="s">
        <v>29</v>
      </c>
      <c r="C134" s="95" t="s">
        <v>506</v>
      </c>
      <c r="D134" s="109" t="s">
        <v>137</v>
      </c>
      <c r="E134" s="97">
        <f t="shared" si="2"/>
        <v>1</v>
      </c>
      <c r="F134" s="97">
        <f t="shared" si="3"/>
        <v>0</v>
      </c>
      <c r="G134" s="99" t="str">
        <f t="shared" si="4"/>
        <v/>
      </c>
      <c r="H134" s="121"/>
      <c r="I134" s="122"/>
      <c r="J134" s="123"/>
      <c r="K134" s="124"/>
      <c r="L134" s="125"/>
      <c r="M134" s="169">
        <f t="shared" si="38"/>
        <v>6</v>
      </c>
      <c r="N134" s="126"/>
      <c r="O134" s="127"/>
      <c r="P134" s="13">
        <f t="array" ref="P134">XLOOKUP(B134,Weight!B:B,Weight!D:D,"#N/A",0)</f>
        <v>390</v>
      </c>
      <c r="Q134" s="17">
        <f t="shared" si="6"/>
        <v>780</v>
      </c>
      <c r="R134" s="107"/>
      <c r="S134" s="108">
        <v>392620.0</v>
      </c>
      <c r="T134" s="108">
        <v>12.0</v>
      </c>
      <c r="U134" s="109">
        <v>180.0</v>
      </c>
      <c r="V134" s="110"/>
      <c r="X134" s="111">
        <f>SUMIFS('Transit Shipment'!$B$10:$B$1048462,'Transit Shipment'!$A$10:$A$1048462,B134,'Transit Shipment'!$C$10:$C$1048462,AA134)</f>
        <v>0</v>
      </c>
      <c r="Y134" s="111">
        <f>IF(SUMIFS(DIH!$S$2:$S833,DIH!$D$2:$D833,B134,DIH!$U$2:$U833,AA134)&gt;0,SUMIFS(DIH!$S$2:$S833,DIH!$D$2:$D833,B134,DIH!$U$2:$U833,AA134),0)</f>
        <v>1</v>
      </c>
      <c r="Z134" s="112">
        <f t="shared" si="7"/>
        <v>1</v>
      </c>
      <c r="AA134" s="119" t="s">
        <v>156</v>
      </c>
      <c r="AB134" s="114">
        <f>IF(ISNA(VLOOKUP($B134,'Business Report'!$D$2:$J$202,2,0)),"",VLOOKUP($B134,'Business Report'!$D$2:$J$202,2,0))</f>
        <v>4</v>
      </c>
      <c r="AC134" s="115">
        <f>SUMIFS(AFS!$P$2:$P$6260,AFS!$N$2:$N$6260,B134,AFS!$AT$2:$AT$6260,AA134)</f>
        <v>2</v>
      </c>
      <c r="AD134" s="116">
        <f t="shared" si="8"/>
        <v>2</v>
      </c>
      <c r="AE134" s="117"/>
      <c r="AF134" s="118">
        <f t="shared" si="9"/>
        <v>2</v>
      </c>
      <c r="AG134" s="26"/>
      <c r="AH134" s="26"/>
      <c r="AI134" s="26"/>
    </row>
    <row r="135">
      <c r="A135" s="120" t="s">
        <v>95</v>
      </c>
      <c r="B135" s="7" t="s">
        <v>29</v>
      </c>
      <c r="C135" s="95" t="s">
        <v>506</v>
      </c>
      <c r="D135" s="109" t="s">
        <v>137</v>
      </c>
      <c r="E135" s="97">
        <f t="shared" si="2"/>
        <v>1</v>
      </c>
      <c r="F135" s="97">
        <f t="shared" si="3"/>
        <v>0.5</v>
      </c>
      <c r="G135" s="99" t="str">
        <f t="shared" si="4"/>
        <v/>
      </c>
      <c r="H135" s="121"/>
      <c r="I135" s="122"/>
      <c r="J135" s="123"/>
      <c r="K135" s="124"/>
      <c r="L135" s="125"/>
      <c r="M135" s="169">
        <f t="shared" si="38"/>
        <v>12</v>
      </c>
      <c r="N135" s="126"/>
      <c r="O135" s="127"/>
      <c r="P135" s="13">
        <f t="array" ref="P135">XLOOKUP(B135,Weight!B:B,Weight!D:D,"#N/A",0)</f>
        <v>390</v>
      </c>
      <c r="Q135" s="17">
        <f t="shared" si="6"/>
        <v>1560</v>
      </c>
      <c r="R135" s="107"/>
      <c r="S135" s="108">
        <v>392620.0</v>
      </c>
      <c r="T135" s="108">
        <v>12.0</v>
      </c>
      <c r="U135" s="109">
        <v>180.0</v>
      </c>
      <c r="V135" s="110"/>
      <c r="X135" s="111">
        <f>SUMIFS('Transit Shipment'!$B$10:$B$1048462,'Transit Shipment'!$A$10:$A$1048462,B135,'Transit Shipment'!$C$10:$C$1048462,AA135)</f>
        <v>0</v>
      </c>
      <c r="Y135" s="111">
        <f>IF(SUMIFS(DIH!$S$2:$S833,DIH!$D$2:$D833,B135,DIH!$U$2:$U833,AA135)&gt;0,SUMIFS(DIH!$S$2:$S833,DIH!$D$2:$D833,B135,DIH!$U$2:$U833,AA135),0)</f>
        <v>0</v>
      </c>
      <c r="Z135" s="112">
        <f t="shared" si="7"/>
        <v>0</v>
      </c>
      <c r="AA135" s="130" t="s">
        <v>13</v>
      </c>
      <c r="AB135" s="114">
        <f>IF(ISNA(VLOOKUP($B135,'Business Report'!$D$2:$J$202,2,0)),"",VLOOKUP($B135,'Business Report'!$D$2:$J$202,2,0))</f>
        <v>4</v>
      </c>
      <c r="AC135" s="115">
        <f>SUMIFS(AFS!$P$2:$P$6260,AFS!$N$2:$N$6260,B135,AFS!$AT$2:$AT$6260,AA135)</f>
        <v>2</v>
      </c>
      <c r="AD135" s="116">
        <f t="shared" si="8"/>
        <v>3</v>
      </c>
      <c r="AE135" s="117"/>
      <c r="AF135" s="118">
        <f t="shared" si="9"/>
        <v>4</v>
      </c>
      <c r="AG135" s="26"/>
      <c r="AH135" s="26"/>
      <c r="AI135" s="26"/>
    </row>
    <row r="136">
      <c r="A136" s="120" t="s">
        <v>95</v>
      </c>
      <c r="B136" s="7" t="s">
        <v>29</v>
      </c>
      <c r="C136" s="95" t="s">
        <v>506</v>
      </c>
      <c r="D136" s="109" t="s">
        <v>137</v>
      </c>
      <c r="E136" s="97">
        <f t="shared" si="2"/>
        <v>2</v>
      </c>
      <c r="F136" s="97">
        <f t="shared" si="3"/>
        <v>0</v>
      </c>
      <c r="G136" s="99" t="str">
        <f t="shared" si="4"/>
        <v/>
      </c>
      <c r="H136" s="121"/>
      <c r="I136" s="122"/>
      <c r="J136" s="123"/>
      <c r="K136" s="124"/>
      <c r="L136" s="125"/>
      <c r="M136" s="169">
        <f t="shared" si="38"/>
        <v>12</v>
      </c>
      <c r="N136" s="126"/>
      <c r="O136" s="127"/>
      <c r="P136" s="13">
        <f t="array" ref="P136">XLOOKUP(B136,Weight!B:B,Weight!D:D,"#N/A",0)</f>
        <v>390</v>
      </c>
      <c r="Q136" s="17">
        <f t="shared" si="6"/>
        <v>1560</v>
      </c>
      <c r="R136" s="107"/>
      <c r="S136" s="108">
        <v>392620.0</v>
      </c>
      <c r="T136" s="108">
        <v>12.0</v>
      </c>
      <c r="U136" s="109">
        <v>180.0</v>
      </c>
      <c r="V136" s="110"/>
      <c r="X136" s="111">
        <f>SUMIFS('Transit Shipment'!$B$10:$B$1048462,'Transit Shipment'!$A$10:$A$1048462,B136,'Transit Shipment'!$C$10:$C$1048462,AA136)</f>
        <v>0</v>
      </c>
      <c r="Y136" s="111">
        <f>IF(SUMIFS(DIH!$S$2:$S833,DIH!$D$2:$D833,B136,DIH!$U$2:$U833,AA136)&gt;0,SUMIFS(DIH!$S$2:$S833,DIH!$D$2:$D833,B136,DIH!$U$2:$U833,AA136),0)</f>
        <v>0</v>
      </c>
      <c r="Z136" s="112">
        <f t="shared" si="7"/>
        <v>0</v>
      </c>
      <c r="AA136" s="119" t="s">
        <v>14</v>
      </c>
      <c r="AB136" s="114">
        <f>IF(ISNA(VLOOKUP($B136,'Business Report'!$D$2:$J$202,2,0)),"",VLOOKUP($B136,'Business Report'!$D$2:$J$202,2,0))</f>
        <v>4</v>
      </c>
      <c r="AC136" s="115">
        <f>SUMIFS(AFS!$P$2:$P$6260,AFS!$N$2:$N$6260,B136,AFS!$AT$2:$AT$6260,AA136)</f>
        <v>3</v>
      </c>
      <c r="AD136" s="116">
        <f t="shared" si="8"/>
        <v>4</v>
      </c>
      <c r="AE136" s="117"/>
      <c r="AF136" s="118">
        <f t="shared" si="9"/>
        <v>4</v>
      </c>
      <c r="AG136" s="26"/>
      <c r="AH136" s="26"/>
      <c r="AI136" s="26"/>
    </row>
    <row r="137">
      <c r="A137" s="120" t="s">
        <v>95</v>
      </c>
      <c r="B137" s="7" t="s">
        <v>29</v>
      </c>
      <c r="C137" s="95" t="s">
        <v>506</v>
      </c>
      <c r="D137" s="109" t="s">
        <v>137</v>
      </c>
      <c r="E137" s="97" t="str">
        <f t="shared" si="2"/>
        <v/>
      </c>
      <c r="F137" s="97" t="str">
        <f t="shared" si="3"/>
        <v/>
      </c>
      <c r="G137" s="99" t="str">
        <f t="shared" si="4"/>
        <v/>
      </c>
      <c r="H137" s="121"/>
      <c r="I137" s="122"/>
      <c r="J137" s="123"/>
      <c r="K137" s="124"/>
      <c r="L137" s="125"/>
      <c r="M137" s="169" t="str">
        <f t="shared" si="38"/>
        <v/>
      </c>
      <c r="N137" s="126"/>
      <c r="O137" s="127"/>
      <c r="P137" s="13">
        <f t="array" ref="P137">XLOOKUP(B137,Weight!B:B,Weight!D:D,"#N/A",0)</f>
        <v>390</v>
      </c>
      <c r="Q137" s="17" t="str">
        <f t="shared" si="6"/>
        <v/>
      </c>
      <c r="R137" s="107"/>
      <c r="S137" s="108">
        <v>392620.0</v>
      </c>
      <c r="T137" s="108">
        <v>12.0</v>
      </c>
      <c r="U137" s="109">
        <v>180.0</v>
      </c>
      <c r="V137" s="110"/>
      <c r="X137" s="111">
        <f>SUMIFS('Transit Shipment'!$B$10:$B$1048462,'Transit Shipment'!$A$10:$A$1048462,B137,'Transit Shipment'!$C$10:$C$1048462,AA137)</f>
        <v>0</v>
      </c>
      <c r="Y137" s="111">
        <f>IF(SUMIFS(DIH!$S$2:$S833,DIH!$D$2:$D833,B137,DIH!$U$2:$U833,AA137)&gt;0,SUMIFS(DIH!$S$2:$S833,DIH!$D$2:$D833,B137,DIH!$U$2:$U833,AA137),0)</f>
        <v>9</v>
      </c>
      <c r="Z137" s="112">
        <f t="shared" si="7"/>
        <v>9</v>
      </c>
      <c r="AA137" s="131" t="s">
        <v>16</v>
      </c>
      <c r="AB137" s="114">
        <f>IF(ISNA(VLOOKUP($B137,'Business Report'!$D$2:$J$202,2,0)),"",VLOOKUP($B137,'Business Report'!$D$2:$J$202,2,0))</f>
        <v>4</v>
      </c>
      <c r="AC137" s="115">
        <f>SUMIFS(AFS!$P$2:$P$6260,AFS!$N$2:$N$6260,B137,AFS!$AT$2:$AT$6260,AA137)</f>
        <v>3</v>
      </c>
      <c r="AD137" s="116">
        <f t="shared" si="8"/>
        <v>-5</v>
      </c>
      <c r="AE137" s="117"/>
      <c r="AF137" s="118" t="str">
        <f t="shared" si="9"/>
        <v/>
      </c>
      <c r="AG137" s="26"/>
      <c r="AH137" s="26"/>
      <c r="AI137" s="26"/>
    </row>
    <row r="138">
      <c r="A138" s="132" t="s">
        <v>95</v>
      </c>
      <c r="B138" s="15" t="s">
        <v>29</v>
      </c>
      <c r="C138" s="133" t="s">
        <v>506</v>
      </c>
      <c r="D138" s="134" t="s">
        <v>137</v>
      </c>
      <c r="E138" s="135">
        <f t="shared" si="2"/>
        <v>1</v>
      </c>
      <c r="F138" s="135">
        <f t="shared" si="3"/>
        <v>0</v>
      </c>
      <c r="G138" s="136" t="str">
        <f t="shared" si="4"/>
        <v/>
      </c>
      <c r="H138" s="137"/>
      <c r="I138" s="138"/>
      <c r="J138" s="139"/>
      <c r="K138" s="140"/>
      <c r="L138" s="135"/>
      <c r="M138" s="152" t="str">
        <f t="shared" si="38"/>
        <v/>
      </c>
      <c r="N138" s="142"/>
      <c r="O138" s="143"/>
      <c r="P138" s="144">
        <f t="array" ref="P138">XLOOKUP(B138,Weight!B:B,Weight!D:D,"#N/A",0)</f>
        <v>390</v>
      </c>
      <c r="Q138" s="145" t="str">
        <f t="shared" si="6"/>
        <v/>
      </c>
      <c r="R138" s="146"/>
      <c r="S138" s="147">
        <v>392620.0</v>
      </c>
      <c r="T138" s="147">
        <v>12.0</v>
      </c>
      <c r="U138" s="109">
        <v>180.0</v>
      </c>
      <c r="V138" s="148"/>
      <c r="W138" s="149"/>
      <c r="X138" s="150">
        <f>SUMIFS('Transit Shipment'!$B$10:$B$1048462,'Transit Shipment'!$A$10:$A$1048462,B138,'Transit Shipment'!$C$10:$C$1048462,AA138)</f>
        <v>0</v>
      </c>
      <c r="Y138" s="150">
        <f>IF(SUMIFS(DIH!$S$2:$S833,DIH!$D$2:$D833,B138,DIH!$U$2:$U833,AA138)&gt;0,SUMIFS(DIH!$S$2:$S833,DIH!$D$2:$D833,B138,DIH!$U$2:$U833,AA138),0)</f>
        <v>0</v>
      </c>
      <c r="Z138" s="151">
        <f t="shared" si="7"/>
        <v>0</v>
      </c>
      <c r="AA138" s="152" t="s">
        <v>17</v>
      </c>
      <c r="AB138" s="154">
        <f>IF(ISNA(VLOOKUP($B138,'Business Report'!$D$2:$J$202,2,0)),"",VLOOKUP($B138,'Business Report'!$D$2:$J$202,2,0))</f>
        <v>4</v>
      </c>
      <c r="AC138" s="155">
        <f>SUMIFS(AFS!$P$2:$P$6260,AFS!$N$2:$N$6260,B138,AFS!$AT$2:$AT$6260,AA138)</f>
        <v>0</v>
      </c>
      <c r="AD138" s="156">
        <f t="shared" si="8"/>
        <v>0</v>
      </c>
      <c r="AE138" s="159">
        <f>SUM(AD130:AD138)</f>
        <v>6</v>
      </c>
      <c r="AF138" s="118" t="str">
        <f t="shared" si="9"/>
        <v/>
      </c>
      <c r="AG138" s="26"/>
      <c r="AH138" s="26"/>
      <c r="AI138" s="26"/>
    </row>
    <row r="139">
      <c r="A139" s="66" t="s">
        <v>87</v>
      </c>
      <c r="B139" s="1" t="s">
        <v>30</v>
      </c>
      <c r="C139" s="95" t="s">
        <v>1087</v>
      </c>
      <c r="D139" s="68" t="s">
        <v>137</v>
      </c>
      <c r="E139" s="69" t="str">
        <f t="shared" si="2"/>
        <v/>
      </c>
      <c r="F139" s="69" t="str">
        <f t="shared" si="3"/>
        <v/>
      </c>
      <c r="G139" s="70" t="str">
        <f t="shared" si="4"/>
        <v/>
      </c>
      <c r="H139" s="163"/>
      <c r="I139" s="101" t="str">
        <f t="shared" ref="I139:I147" si="40">IF(ISNUMBER($AF139),3*$AF139,"")</f>
        <v/>
      </c>
      <c r="J139" s="102"/>
      <c r="K139" s="167"/>
      <c r="L139" s="119"/>
      <c r="M139" s="169"/>
      <c r="N139" s="171"/>
      <c r="O139" s="106"/>
      <c r="P139" s="79">
        <f t="array" ref="P139">XLOOKUP(B139,Weight!B:B,Weight!D:D,"#N/A",0)</f>
        <v>390</v>
      </c>
      <c r="Q139" s="80" t="str">
        <f t="shared" si="6"/>
        <v/>
      </c>
      <c r="R139" s="107"/>
      <c r="S139" s="108">
        <v>392620.0</v>
      </c>
      <c r="T139" s="108">
        <v>12.0</v>
      </c>
      <c r="U139" s="83">
        <v>180.0</v>
      </c>
      <c r="V139" s="84" t="str">
        <f t="shared" ref="V139:W139" si="39">B139</f>
        <v>CRM_AP_BLUE_PACK OF 3</v>
      </c>
      <c r="W139" s="174" t="str">
        <f t="shared" si="39"/>
        <v>CRASOME Apron for Men Women Chef Cooking Restaurants Gardening Workshop, Barbers with Adjustable Strap and Two Pockets ( Blue_Pack of 3)</v>
      </c>
      <c r="X139" s="86">
        <f>SUMIFS('Transit Shipment'!$B$10:$B$1048462,'Transit Shipment'!$A$10:$A$1048462,B139,'Transit Shipment'!$C$10:$C$1048462,AA139)</f>
        <v>0</v>
      </c>
      <c r="Y139" s="86">
        <f>IF(SUMIFS(DIH!$S$2:$S833,DIH!$D$2:$D833,B139,DIH!$U$2:$U833,AA139)&gt;0,SUMIFS(DIH!$S$2:$S833,DIH!$D$2:$D833,B139,DIH!$U$2:$U833,AA139),0)</f>
        <v>1</v>
      </c>
      <c r="Z139" s="87">
        <f t="shared" si="7"/>
        <v>1</v>
      </c>
      <c r="AA139" s="88" t="s">
        <v>5</v>
      </c>
      <c r="AB139" s="89">
        <f>IF(ISNA(VLOOKUP($B139,'Business Report'!$D$2:$J$202,2,0)),"",VLOOKUP($B139,'Business Report'!$D$2:$J$202,2,0))</f>
        <v>1</v>
      </c>
      <c r="AC139" s="90">
        <f>SUMIFS(AFS!$P$2:$P$6260,AFS!$N$2:$N$6260,B139,AFS!$AT$2:$AT$6260,AA139)</f>
        <v>0</v>
      </c>
      <c r="AD139" s="91">
        <f t="shared" si="8"/>
        <v>-1</v>
      </c>
      <c r="AE139" s="92"/>
      <c r="AF139" s="93" t="str">
        <f t="shared" si="9"/>
        <v/>
      </c>
      <c r="AG139" s="26"/>
      <c r="AH139" s="26"/>
      <c r="AI139" s="26"/>
    </row>
    <row r="140">
      <c r="A140" s="94" t="s">
        <v>87</v>
      </c>
      <c r="B140" s="3" t="s">
        <v>30</v>
      </c>
      <c r="C140" s="95" t="s">
        <v>1087</v>
      </c>
      <c r="D140" s="96" t="s">
        <v>137</v>
      </c>
      <c r="E140" s="97">
        <f t="shared" si="2"/>
        <v>1</v>
      </c>
      <c r="F140" s="97">
        <f t="shared" si="3"/>
        <v>0</v>
      </c>
      <c r="G140" s="99" t="str">
        <f t="shared" si="4"/>
        <v/>
      </c>
      <c r="H140" s="100"/>
      <c r="I140" s="101" t="str">
        <f t="shared" si="40"/>
        <v/>
      </c>
      <c r="J140" s="102"/>
      <c r="K140" s="103"/>
      <c r="L140" s="97"/>
      <c r="M140" s="169"/>
      <c r="N140" s="105"/>
      <c r="O140" s="106"/>
      <c r="P140" s="13">
        <f t="array" ref="P140">XLOOKUP(B140,Weight!B:B,Weight!D:D,"#N/A",0)</f>
        <v>390</v>
      </c>
      <c r="Q140" s="17" t="str">
        <f t="shared" si="6"/>
        <v/>
      </c>
      <c r="R140" s="107"/>
      <c r="S140" s="108">
        <v>392620.0</v>
      </c>
      <c r="T140" s="108">
        <v>12.0</v>
      </c>
      <c r="U140" s="109">
        <v>180.0</v>
      </c>
      <c r="V140" s="110"/>
      <c r="X140" s="111">
        <f>SUMIFS('Transit Shipment'!$B$10:$B$1048462,'Transit Shipment'!$A$10:$A$1048462,B140,'Transit Shipment'!$C$10:$C$1048462,AA140)</f>
        <v>0</v>
      </c>
      <c r="Y140" s="111">
        <f>IF(SUMIFS(DIH!$S$2:$S833,DIH!$D$2:$D833,B140,DIH!$U$2:$U833,AA140)&gt;0,SUMIFS(DIH!$S$2:$S833,DIH!$D$2:$D833,B140,DIH!$U$2:$U833,AA140),0)</f>
        <v>0</v>
      </c>
      <c r="Z140" s="112">
        <f t="shared" si="7"/>
        <v>0</v>
      </c>
      <c r="AA140" s="113" t="s">
        <v>11</v>
      </c>
      <c r="AB140" s="114">
        <f>IF(ISNA(VLOOKUP($B140,'Business Report'!$D$2:$J$202,2,0)),"",VLOOKUP($B140,'Business Report'!$D$2:$J$202,2,0))</f>
        <v>1</v>
      </c>
      <c r="AC140" s="115">
        <f>SUMIFS(AFS!$P$2:$P$6260,AFS!$N$2:$N$6260,B140,AFS!$AT$2:$AT$6260,AA140)</f>
        <v>0</v>
      </c>
      <c r="AD140" s="116">
        <f t="shared" si="8"/>
        <v>0</v>
      </c>
      <c r="AE140" s="117"/>
      <c r="AF140" s="118" t="str">
        <f t="shared" si="9"/>
        <v/>
      </c>
      <c r="AG140" s="26"/>
      <c r="AH140" s="26"/>
      <c r="AI140" s="26"/>
    </row>
    <row r="141">
      <c r="A141" s="94" t="s">
        <v>87</v>
      </c>
      <c r="B141" s="3" t="s">
        <v>30</v>
      </c>
      <c r="C141" s="95" t="s">
        <v>1087</v>
      </c>
      <c r="D141" s="96" t="s">
        <v>137</v>
      </c>
      <c r="E141" s="97">
        <f t="shared" si="2"/>
        <v>1</v>
      </c>
      <c r="F141" s="97">
        <f t="shared" si="3"/>
        <v>0</v>
      </c>
      <c r="G141" s="99" t="str">
        <f t="shared" si="4"/>
        <v/>
      </c>
      <c r="H141" s="100"/>
      <c r="I141" s="101">
        <f t="shared" si="40"/>
        <v>6</v>
      </c>
      <c r="J141" s="102"/>
      <c r="K141" s="103"/>
      <c r="L141" s="97"/>
      <c r="M141" s="169"/>
      <c r="N141" s="105"/>
      <c r="O141" s="106"/>
      <c r="P141" s="13">
        <f t="array" ref="P141">XLOOKUP(B141,Weight!B:B,Weight!D:D,"#N/A",0)</f>
        <v>390</v>
      </c>
      <c r="Q141" s="17">
        <f t="shared" si="6"/>
        <v>780</v>
      </c>
      <c r="R141" s="107"/>
      <c r="S141" s="108">
        <v>392620.0</v>
      </c>
      <c r="T141" s="108">
        <v>12.0</v>
      </c>
      <c r="U141" s="109">
        <v>180.0</v>
      </c>
      <c r="V141" s="110"/>
      <c r="X141" s="111">
        <f>SUMIFS('Transit Shipment'!$B$10:$B$1048462,'Transit Shipment'!$A$10:$A$1048462,B141,'Transit Shipment'!$C$10:$C$1048462,AA141)</f>
        <v>0</v>
      </c>
      <c r="Y141" s="111">
        <f>IF(SUMIFS(DIH!$S$2:$S833,DIH!$D$2:$D833,B141,DIH!$U$2:$U833,AA141)&gt;0,SUMIFS(DIH!$S$2:$S833,DIH!$D$2:$D833,B141,DIH!$U$2:$U833,AA141),0)</f>
        <v>0</v>
      </c>
      <c r="Z141" s="112">
        <f t="shared" si="7"/>
        <v>0</v>
      </c>
      <c r="AA141" s="119" t="s">
        <v>9</v>
      </c>
      <c r="AB141" s="114">
        <f>IF(ISNA(VLOOKUP($B141,'Business Report'!$D$2:$J$202,2,0)),"",VLOOKUP($B141,'Business Report'!$D$2:$J$202,2,0))</f>
        <v>1</v>
      </c>
      <c r="AC141" s="115">
        <f>SUMIFS(AFS!$P$2:$P$6260,AFS!$N$2:$N$6260,B141,AFS!$AT$2:$AT$6260,AA141)</f>
        <v>1</v>
      </c>
      <c r="AD141" s="116">
        <f t="shared" si="8"/>
        <v>2</v>
      </c>
      <c r="AE141" s="117"/>
      <c r="AF141" s="118">
        <f t="shared" si="9"/>
        <v>2</v>
      </c>
      <c r="AG141" s="26"/>
      <c r="AH141" s="26"/>
      <c r="AI141" s="26"/>
    </row>
    <row r="142">
      <c r="A142" s="120" t="s">
        <v>87</v>
      </c>
      <c r="B142" s="7" t="s">
        <v>30</v>
      </c>
      <c r="C142" s="95" t="s">
        <v>1087</v>
      </c>
      <c r="D142" s="109" t="s">
        <v>137</v>
      </c>
      <c r="E142" s="97" t="str">
        <f t="shared" si="2"/>
        <v/>
      </c>
      <c r="F142" s="97" t="str">
        <f t="shared" si="3"/>
        <v/>
      </c>
      <c r="G142" s="99" t="str">
        <f t="shared" si="4"/>
        <v/>
      </c>
      <c r="H142" s="121"/>
      <c r="I142" s="101" t="str">
        <f t="shared" si="40"/>
        <v/>
      </c>
      <c r="J142" s="123"/>
      <c r="K142" s="124"/>
      <c r="L142" s="125"/>
      <c r="M142" s="181"/>
      <c r="N142" s="126"/>
      <c r="O142" s="127"/>
      <c r="P142" s="13">
        <f t="array" ref="P142">XLOOKUP(B142,Weight!B:B,Weight!D:D,"#N/A",0)</f>
        <v>390</v>
      </c>
      <c r="Q142" s="17" t="str">
        <f t="shared" si="6"/>
        <v/>
      </c>
      <c r="R142" s="107"/>
      <c r="S142" s="108">
        <v>392620.0</v>
      </c>
      <c r="T142" s="108">
        <v>12.0</v>
      </c>
      <c r="U142" s="109">
        <v>180.0</v>
      </c>
      <c r="V142" s="110"/>
      <c r="X142" s="111">
        <f>SUMIFS('Transit Shipment'!$B$10:$B$1048462,'Transit Shipment'!$A$10:$A$1048462,B142,'Transit Shipment'!$C$10:$C$1048462,AA142)</f>
        <v>0</v>
      </c>
      <c r="Y142" s="111">
        <f>IF(SUMIFS(DIH!$S$2:$S833,DIH!$D$2:$D833,B142,DIH!$U$2:$U833,AA142)&gt;0,SUMIFS(DIH!$S$2:$S833,DIH!$D$2:$D833,B142,DIH!$U$2:$U833,AA142),0)</f>
        <v>1</v>
      </c>
      <c r="Z142" s="112">
        <f t="shared" si="7"/>
        <v>1</v>
      </c>
      <c r="AA142" s="119" t="s">
        <v>155</v>
      </c>
      <c r="AB142" s="114">
        <f>IF(ISNA(VLOOKUP($B142,'Business Report'!$D$2:$J$202,2,0)),"",VLOOKUP($B142,'Business Report'!$D$2:$J$202,2,0))</f>
        <v>1</v>
      </c>
      <c r="AC142" s="115">
        <f>SUMIFS(AFS!$P$2:$P$6260,AFS!$N$2:$N$6260,B142,AFS!$AT$2:$AT$6260,AA142)</f>
        <v>0</v>
      </c>
      <c r="AD142" s="116">
        <f t="shared" si="8"/>
        <v>-1</v>
      </c>
      <c r="AE142" s="117"/>
      <c r="AF142" s="118" t="str">
        <f t="shared" si="9"/>
        <v/>
      </c>
      <c r="AG142" s="26"/>
      <c r="AH142" s="26"/>
      <c r="AI142" s="26"/>
    </row>
    <row r="143">
      <c r="A143" s="120" t="s">
        <v>87</v>
      </c>
      <c r="B143" s="7" t="s">
        <v>30</v>
      </c>
      <c r="C143" s="95" t="s">
        <v>1087</v>
      </c>
      <c r="D143" s="109" t="s">
        <v>137</v>
      </c>
      <c r="E143" s="97" t="str">
        <f t="shared" si="2"/>
        <v/>
      </c>
      <c r="F143" s="97" t="str">
        <f t="shared" si="3"/>
        <v/>
      </c>
      <c r="G143" s="99" t="str">
        <f t="shared" si="4"/>
        <v/>
      </c>
      <c r="H143" s="121"/>
      <c r="I143" s="101" t="str">
        <f t="shared" si="40"/>
        <v/>
      </c>
      <c r="J143" s="123"/>
      <c r="K143" s="124"/>
      <c r="L143" s="125"/>
      <c r="M143" s="181"/>
      <c r="N143" s="126"/>
      <c r="O143" s="127"/>
      <c r="P143" s="13">
        <f t="array" ref="P143">XLOOKUP(B143,Weight!B:B,Weight!D:D,"#N/A",0)</f>
        <v>390</v>
      </c>
      <c r="Q143" s="17" t="str">
        <f t="shared" si="6"/>
        <v/>
      </c>
      <c r="R143" s="107"/>
      <c r="S143" s="108">
        <v>392620.0</v>
      </c>
      <c r="T143" s="108">
        <v>12.0</v>
      </c>
      <c r="U143" s="109">
        <v>180.0</v>
      </c>
      <c r="V143" s="110"/>
      <c r="X143" s="111">
        <f>SUMIFS('Transit Shipment'!$B$10:$B$1048462,'Transit Shipment'!$A$10:$A$1048462,B143,'Transit Shipment'!$C$10:$C$1048462,AA143)</f>
        <v>0</v>
      </c>
      <c r="Y143" s="111">
        <f>IF(SUMIFS(DIH!$S$2:$S833,DIH!$D$2:$D833,B143,DIH!$U$2:$U833,AA143)&gt;0,SUMIFS(DIH!$S$2:$S833,DIH!$D$2:$D833,B143,DIH!$U$2:$U833,AA143),0)</f>
        <v>1</v>
      </c>
      <c r="Z143" s="112">
        <f t="shared" si="7"/>
        <v>1</v>
      </c>
      <c r="AA143" s="119" t="s">
        <v>156</v>
      </c>
      <c r="AB143" s="114">
        <f>IF(ISNA(VLOOKUP($B143,'Business Report'!$D$2:$J$202,2,0)),"",VLOOKUP($B143,'Business Report'!$D$2:$J$202,2,0))</f>
        <v>1</v>
      </c>
      <c r="AC143" s="115">
        <f>SUMIFS(AFS!$P$2:$P$6260,AFS!$N$2:$N$6260,B143,AFS!$AT$2:$AT$6260,AA143)</f>
        <v>0</v>
      </c>
      <c r="AD143" s="116">
        <f t="shared" si="8"/>
        <v>-1</v>
      </c>
      <c r="AE143" s="117"/>
      <c r="AF143" s="118" t="str">
        <f t="shared" si="9"/>
        <v/>
      </c>
      <c r="AG143" s="26"/>
      <c r="AH143" s="26"/>
      <c r="AI143" s="26"/>
    </row>
    <row r="144">
      <c r="A144" s="120" t="s">
        <v>87</v>
      </c>
      <c r="B144" s="7" t="s">
        <v>30</v>
      </c>
      <c r="C144" s="95" t="s">
        <v>1087</v>
      </c>
      <c r="D144" s="109" t="s">
        <v>137</v>
      </c>
      <c r="E144" s="97">
        <f t="shared" si="2"/>
        <v>3</v>
      </c>
      <c r="F144" s="97">
        <f t="shared" si="3"/>
        <v>0</v>
      </c>
      <c r="G144" s="99" t="str">
        <f t="shared" si="4"/>
        <v/>
      </c>
      <c r="H144" s="121"/>
      <c r="I144" s="101">
        <f t="shared" si="40"/>
        <v>18</v>
      </c>
      <c r="J144" s="123"/>
      <c r="K144" s="124"/>
      <c r="L144" s="125"/>
      <c r="M144" s="181"/>
      <c r="N144" s="126"/>
      <c r="O144" s="127"/>
      <c r="P144" s="13">
        <f t="array" ref="P144">XLOOKUP(B144,Weight!B:B,Weight!D:D,"#N/A",0)</f>
        <v>390</v>
      </c>
      <c r="Q144" s="17">
        <f t="shared" si="6"/>
        <v>2340</v>
      </c>
      <c r="R144" s="107"/>
      <c r="S144" s="108">
        <v>392620.0</v>
      </c>
      <c r="T144" s="108">
        <v>12.0</v>
      </c>
      <c r="U144" s="109">
        <v>180.0</v>
      </c>
      <c r="V144" s="110"/>
      <c r="X144" s="111">
        <f>SUMIFS('Transit Shipment'!$B$10:$B$1048462,'Transit Shipment'!$A$10:$A$1048462,B144,'Transit Shipment'!$C$10:$C$1048462,AA144)</f>
        <v>0</v>
      </c>
      <c r="Y144" s="111">
        <f>IF(SUMIFS(DIH!$S$2:$S833,DIH!$D$2:$D833,B144,DIH!$U$2:$U833,AA144)&gt;0,SUMIFS(DIH!$S$2:$S833,DIH!$D$2:$D833,B144,DIH!$U$2:$U833,AA144),0)</f>
        <v>0</v>
      </c>
      <c r="Z144" s="112">
        <f t="shared" si="7"/>
        <v>0</v>
      </c>
      <c r="AA144" s="130" t="s">
        <v>13</v>
      </c>
      <c r="AB144" s="114">
        <f>IF(ISNA(VLOOKUP($B144,'Business Report'!$D$2:$J$202,2,0)),"",VLOOKUP($B144,'Business Report'!$D$2:$J$202,2,0))</f>
        <v>1</v>
      </c>
      <c r="AC144" s="115">
        <f>SUMIFS(AFS!$P$2:$P$6260,AFS!$N$2:$N$6260,B144,AFS!$AT$2:$AT$6260,AA144)</f>
        <v>4</v>
      </c>
      <c r="AD144" s="116">
        <f t="shared" si="8"/>
        <v>6</v>
      </c>
      <c r="AE144" s="117"/>
      <c r="AF144" s="118">
        <f t="shared" si="9"/>
        <v>6</v>
      </c>
      <c r="AG144" s="26"/>
      <c r="AH144" s="26"/>
      <c r="AI144" s="26"/>
    </row>
    <row r="145">
      <c r="A145" s="120" t="s">
        <v>87</v>
      </c>
      <c r="B145" s="7" t="s">
        <v>30</v>
      </c>
      <c r="C145" s="95" t="s">
        <v>1087</v>
      </c>
      <c r="D145" s="109" t="s">
        <v>137</v>
      </c>
      <c r="E145" s="97">
        <f t="shared" si="2"/>
        <v>1</v>
      </c>
      <c r="F145" s="97">
        <f t="shared" si="3"/>
        <v>0</v>
      </c>
      <c r="G145" s="99" t="str">
        <f t="shared" si="4"/>
        <v/>
      </c>
      <c r="H145" s="121"/>
      <c r="I145" s="101" t="str">
        <f t="shared" si="40"/>
        <v/>
      </c>
      <c r="J145" s="123"/>
      <c r="K145" s="124"/>
      <c r="L145" s="125"/>
      <c r="M145" s="181"/>
      <c r="N145" s="126"/>
      <c r="O145" s="127"/>
      <c r="P145" s="13">
        <f t="array" ref="P145">XLOOKUP(B145,Weight!B:B,Weight!D:D,"#N/A",0)</f>
        <v>390</v>
      </c>
      <c r="Q145" s="17" t="str">
        <f t="shared" si="6"/>
        <v/>
      </c>
      <c r="R145" s="107"/>
      <c r="S145" s="108">
        <v>392620.0</v>
      </c>
      <c r="T145" s="108">
        <v>12.0</v>
      </c>
      <c r="U145" s="109">
        <v>180.0</v>
      </c>
      <c r="V145" s="110"/>
      <c r="X145" s="111">
        <f>SUMIFS('Transit Shipment'!$B$10:$B$1048462,'Transit Shipment'!$A$10:$A$1048462,B145,'Transit Shipment'!$C$10:$C$1048462,AA145)</f>
        <v>0</v>
      </c>
      <c r="Y145" s="111">
        <f>IF(SUMIFS(DIH!$S$2:$S833,DIH!$D$2:$D833,B145,DIH!$U$2:$U833,AA145)&gt;0,SUMIFS(DIH!$S$2:$S833,DIH!$D$2:$D833,B145,DIH!$U$2:$U833,AA145),0)</f>
        <v>0</v>
      </c>
      <c r="Z145" s="112">
        <f t="shared" si="7"/>
        <v>0</v>
      </c>
      <c r="AA145" s="119" t="s">
        <v>14</v>
      </c>
      <c r="AB145" s="114">
        <f>IF(ISNA(VLOOKUP($B145,'Business Report'!$D$2:$J$202,2,0)),"",VLOOKUP($B145,'Business Report'!$D$2:$J$202,2,0))</f>
        <v>1</v>
      </c>
      <c r="AC145" s="115">
        <f>SUMIFS(AFS!$P$2:$P$6260,AFS!$N$2:$N$6260,B145,AFS!$AT$2:$AT$6260,AA145)</f>
        <v>0</v>
      </c>
      <c r="AD145" s="116">
        <f t="shared" si="8"/>
        <v>0</v>
      </c>
      <c r="AE145" s="117"/>
      <c r="AF145" s="118" t="str">
        <f t="shared" si="9"/>
        <v/>
      </c>
      <c r="AG145" s="26"/>
      <c r="AH145" s="26"/>
      <c r="AI145" s="26"/>
    </row>
    <row r="146">
      <c r="A146" s="120" t="s">
        <v>87</v>
      </c>
      <c r="B146" s="7" t="s">
        <v>30</v>
      </c>
      <c r="C146" s="95" t="s">
        <v>1087</v>
      </c>
      <c r="D146" s="109" t="s">
        <v>137</v>
      </c>
      <c r="E146" s="97">
        <f t="shared" si="2"/>
        <v>2</v>
      </c>
      <c r="F146" s="97">
        <f t="shared" si="3"/>
        <v>0</v>
      </c>
      <c r="G146" s="99" t="str">
        <f t="shared" si="4"/>
        <v/>
      </c>
      <c r="H146" s="121"/>
      <c r="I146" s="101">
        <f t="shared" si="40"/>
        <v>12</v>
      </c>
      <c r="J146" s="123"/>
      <c r="K146" s="124"/>
      <c r="L146" s="125"/>
      <c r="M146" s="181"/>
      <c r="N146" s="126"/>
      <c r="O146" s="127"/>
      <c r="P146" s="13">
        <f t="array" ref="P146">XLOOKUP(B146,Weight!B:B,Weight!D:D,"#N/A",0)</f>
        <v>390</v>
      </c>
      <c r="Q146" s="17">
        <f t="shared" si="6"/>
        <v>1560</v>
      </c>
      <c r="R146" s="107"/>
      <c r="S146" s="108">
        <v>392620.0</v>
      </c>
      <c r="T146" s="108">
        <v>12.0</v>
      </c>
      <c r="U146" s="109">
        <v>180.0</v>
      </c>
      <c r="V146" s="110"/>
      <c r="X146" s="111">
        <f>SUMIFS('Transit Shipment'!$B$10:$B$1048462,'Transit Shipment'!$A$10:$A$1048462,B146,'Transit Shipment'!$C$10:$C$1048462,AA146)</f>
        <v>0</v>
      </c>
      <c r="Y146" s="111">
        <f>IF(SUMIFS(DIH!$S$2:$S833,DIH!$D$2:$D833,B146,DIH!$U$2:$U833,AA146)&gt;0,SUMIFS(DIH!$S$2:$S833,DIH!$D$2:$D833,B146,DIH!$U$2:$U833,AA146),0)</f>
        <v>0</v>
      </c>
      <c r="Z146" s="112">
        <f t="shared" si="7"/>
        <v>0</v>
      </c>
      <c r="AA146" s="131" t="s">
        <v>16</v>
      </c>
      <c r="AB146" s="114">
        <f>IF(ISNA(VLOOKUP($B146,'Business Report'!$D$2:$J$202,2,0)),"",VLOOKUP($B146,'Business Report'!$D$2:$J$202,2,0))</f>
        <v>1</v>
      </c>
      <c r="AC146" s="115">
        <f>SUMIFS(AFS!$P$2:$P$6260,AFS!$N$2:$N$6260,B146,AFS!$AT$2:$AT$6260,AA146)</f>
        <v>3</v>
      </c>
      <c r="AD146" s="116">
        <f t="shared" si="8"/>
        <v>4</v>
      </c>
      <c r="AE146" s="117"/>
      <c r="AF146" s="118">
        <f t="shared" si="9"/>
        <v>4</v>
      </c>
      <c r="AG146" s="26"/>
      <c r="AH146" s="26"/>
      <c r="AI146" s="26"/>
    </row>
    <row r="147">
      <c r="A147" s="132" t="s">
        <v>87</v>
      </c>
      <c r="B147" s="15" t="s">
        <v>30</v>
      </c>
      <c r="C147" s="133" t="s">
        <v>1087</v>
      </c>
      <c r="D147" s="134" t="s">
        <v>137</v>
      </c>
      <c r="E147" s="135">
        <f t="shared" si="2"/>
        <v>1</v>
      </c>
      <c r="F147" s="135">
        <f t="shared" si="3"/>
        <v>0</v>
      </c>
      <c r="G147" s="136" t="str">
        <f t="shared" si="4"/>
        <v/>
      </c>
      <c r="H147" s="137"/>
      <c r="I147" s="138" t="str">
        <f t="shared" si="40"/>
        <v/>
      </c>
      <c r="J147" s="139"/>
      <c r="K147" s="140"/>
      <c r="L147" s="135"/>
      <c r="M147" s="152"/>
      <c r="N147" s="142"/>
      <c r="O147" s="143"/>
      <c r="P147" s="144">
        <f t="array" ref="P147">XLOOKUP(B147,Weight!B:B,Weight!D:D,"#N/A",0)</f>
        <v>390</v>
      </c>
      <c r="Q147" s="145" t="str">
        <f t="shared" si="6"/>
        <v/>
      </c>
      <c r="R147" s="146"/>
      <c r="S147" s="147">
        <v>392620.0</v>
      </c>
      <c r="T147" s="147">
        <v>12.0</v>
      </c>
      <c r="U147" s="109">
        <v>180.0</v>
      </c>
      <c r="V147" s="148"/>
      <c r="W147" s="149"/>
      <c r="X147" s="150">
        <f>SUMIFS('Transit Shipment'!$B$10:$B$1048462,'Transit Shipment'!$A$10:$A$1048462,B147,'Transit Shipment'!$C$10:$C$1048462,AA147)</f>
        <v>0</v>
      </c>
      <c r="Y147" s="150">
        <f>IF(SUMIFS(DIH!$S$2:$S833,DIH!$D$2:$D833,B147,DIH!$U$2:$U833,AA147)&gt;0,SUMIFS(DIH!$S$2:$S833,DIH!$D$2:$D833,B147,DIH!$U$2:$U833,AA147),0)</f>
        <v>0</v>
      </c>
      <c r="Z147" s="151">
        <f t="shared" si="7"/>
        <v>0</v>
      </c>
      <c r="AA147" s="152" t="s">
        <v>17</v>
      </c>
      <c r="AB147" s="154">
        <f>IF(ISNA(VLOOKUP($B147,'Business Report'!$D$2:$J$202,2,0)),"",VLOOKUP($B147,'Business Report'!$D$2:$J$202,2,0))</f>
        <v>1</v>
      </c>
      <c r="AC147" s="155">
        <f>SUMIFS(AFS!$P$2:$P$6260,AFS!$N$2:$N$6260,B147,AFS!$AT$2:$AT$6260,AA147)</f>
        <v>0</v>
      </c>
      <c r="AD147" s="156">
        <f t="shared" si="8"/>
        <v>0</v>
      </c>
      <c r="AE147" s="159">
        <f>SUM(AD139:AD147)</f>
        <v>9</v>
      </c>
      <c r="AF147" s="118" t="str">
        <f t="shared" si="9"/>
        <v/>
      </c>
      <c r="AG147" s="26"/>
      <c r="AH147" s="26"/>
      <c r="AI147" s="26"/>
    </row>
    <row r="148">
      <c r="A148" s="66" t="s">
        <v>89</v>
      </c>
      <c r="B148" s="1" t="s">
        <v>31</v>
      </c>
      <c r="C148" s="95" t="s">
        <v>1245</v>
      </c>
      <c r="D148" s="68" t="s">
        <v>137</v>
      </c>
      <c r="E148" s="69">
        <f t="shared" si="2"/>
        <v>1</v>
      </c>
      <c r="F148" s="69">
        <f t="shared" si="3"/>
        <v>0</v>
      </c>
      <c r="G148" s="70" t="str">
        <f t="shared" si="4"/>
        <v/>
      </c>
      <c r="H148" s="163"/>
      <c r="I148" s="101"/>
      <c r="J148" s="102" t="str">
        <f t="shared" ref="J148:J156" si="42">IF(ISNUMBER($AF148),3*$AF148,"")</f>
        <v/>
      </c>
      <c r="K148" s="167"/>
      <c r="L148" s="119"/>
      <c r="M148" s="169"/>
      <c r="N148" s="171"/>
      <c r="O148" s="106"/>
      <c r="P148" s="79">
        <f t="array" ref="P148">XLOOKUP(B148,Weight!B:B,Weight!D:D,"#N/A",0)</f>
        <v>390</v>
      </c>
      <c r="Q148" s="80" t="str">
        <f t="shared" si="6"/>
        <v/>
      </c>
      <c r="R148" s="107"/>
      <c r="S148" s="108">
        <v>392620.0</v>
      </c>
      <c r="T148" s="108">
        <v>12.0</v>
      </c>
      <c r="U148" s="83">
        <v>180.0</v>
      </c>
      <c r="V148" s="84" t="str">
        <f t="shared" ref="V148:W148" si="41">B148</f>
        <v>CRM_AP_BROWN_PACK OF 3</v>
      </c>
      <c r="W148" s="174" t="str">
        <f t="shared" si="41"/>
        <v>CRASOME Apron for Men Women Chef Cooking Restaurants Gardening Workshop, Barbers with Adjustable Strap and Two Pockets ( Brown_Pack of 3)</v>
      </c>
      <c r="X148" s="86">
        <f>SUMIFS('Transit Shipment'!$B$10:$B$1048462,'Transit Shipment'!$A$10:$A$1048462,B148,'Transit Shipment'!$C$10:$C$1048462,AA148)</f>
        <v>0</v>
      </c>
      <c r="Y148" s="86">
        <f>IF(SUMIFS(DIH!$S$2:$S833,DIH!$D$2:$D833,B148,DIH!$U$2:$U833,AA148)&gt;0,SUMIFS(DIH!$S$2:$S833,DIH!$D$2:$D833,B148,DIH!$U$2:$U833,AA148),0)</f>
        <v>0</v>
      </c>
      <c r="Z148" s="87">
        <f t="shared" si="7"/>
        <v>0</v>
      </c>
      <c r="AA148" s="88" t="s">
        <v>5</v>
      </c>
      <c r="AB148" s="89">
        <f>IF(ISNA(VLOOKUP($B148,'Business Report'!$D$2:$J$202,2,0)),"",VLOOKUP($B148,'Business Report'!$D$2:$J$202,2,0))</f>
        <v>7</v>
      </c>
      <c r="AC148" s="90">
        <f>SUMIFS(AFS!$P$2:$P$6260,AFS!$N$2:$N$6260,B148,AFS!$AT$2:$AT$6260,AA148)</f>
        <v>0</v>
      </c>
      <c r="AD148" s="91">
        <f t="shared" si="8"/>
        <v>0</v>
      </c>
      <c r="AE148" s="92"/>
      <c r="AF148" s="93" t="str">
        <f t="shared" si="9"/>
        <v/>
      </c>
      <c r="AG148" s="26"/>
      <c r="AH148" s="26"/>
      <c r="AI148" s="26"/>
    </row>
    <row r="149">
      <c r="A149" s="94" t="s">
        <v>89</v>
      </c>
      <c r="B149" s="3" t="s">
        <v>31</v>
      </c>
      <c r="C149" s="95" t="s">
        <v>1245</v>
      </c>
      <c r="D149" s="96" t="s">
        <v>137</v>
      </c>
      <c r="E149" s="97">
        <f t="shared" si="2"/>
        <v>1</v>
      </c>
      <c r="F149" s="97">
        <f t="shared" si="3"/>
        <v>0</v>
      </c>
      <c r="G149" s="99" t="str">
        <f t="shared" si="4"/>
        <v/>
      </c>
      <c r="H149" s="100"/>
      <c r="I149" s="101"/>
      <c r="J149" s="102" t="str">
        <f t="shared" si="42"/>
        <v/>
      </c>
      <c r="K149" s="103"/>
      <c r="L149" s="97"/>
      <c r="M149" s="169"/>
      <c r="N149" s="105"/>
      <c r="O149" s="106"/>
      <c r="P149" s="13">
        <f t="array" ref="P149">XLOOKUP(B149,Weight!B:B,Weight!D:D,"#N/A",0)</f>
        <v>390</v>
      </c>
      <c r="Q149" s="17" t="str">
        <f t="shared" si="6"/>
        <v/>
      </c>
      <c r="R149" s="107"/>
      <c r="S149" s="108">
        <v>392620.0</v>
      </c>
      <c r="T149" s="108">
        <v>12.0</v>
      </c>
      <c r="U149" s="109">
        <v>180.0</v>
      </c>
      <c r="V149" s="110"/>
      <c r="X149" s="111">
        <f>SUMIFS('Transit Shipment'!$B$10:$B$1048462,'Transit Shipment'!$A$10:$A$1048462,B149,'Transit Shipment'!$C$10:$C$1048462,AA149)</f>
        <v>0</v>
      </c>
      <c r="Y149" s="111">
        <f>IF(SUMIFS(DIH!$S$2:$S833,DIH!$D$2:$D833,B149,DIH!$U$2:$U833,AA149)&gt;0,SUMIFS(DIH!$S$2:$S833,DIH!$D$2:$D833,B149,DIH!$U$2:$U833,AA149),0)</f>
        <v>0</v>
      </c>
      <c r="Z149" s="112">
        <f t="shared" si="7"/>
        <v>0</v>
      </c>
      <c r="AA149" s="113" t="s">
        <v>11</v>
      </c>
      <c r="AB149" s="114">
        <f>IF(ISNA(VLOOKUP($B149,'Business Report'!$D$2:$J$202,2,0)),"",VLOOKUP($B149,'Business Report'!$D$2:$J$202,2,0))</f>
        <v>7</v>
      </c>
      <c r="AC149" s="115">
        <f>SUMIFS(AFS!$P$2:$P$6260,AFS!$N$2:$N$6260,B149,AFS!$AT$2:$AT$6260,AA149)</f>
        <v>0</v>
      </c>
      <c r="AD149" s="116">
        <f t="shared" si="8"/>
        <v>0</v>
      </c>
      <c r="AE149" s="117"/>
      <c r="AF149" s="118" t="str">
        <f t="shared" si="9"/>
        <v/>
      </c>
      <c r="AG149" s="26"/>
      <c r="AH149" s="26"/>
      <c r="AI149" s="26"/>
    </row>
    <row r="150">
      <c r="A150" s="94" t="s">
        <v>89</v>
      </c>
      <c r="B150" s="3" t="s">
        <v>31</v>
      </c>
      <c r="C150" s="95" t="s">
        <v>1245</v>
      </c>
      <c r="D150" s="96" t="s">
        <v>137</v>
      </c>
      <c r="E150" s="97">
        <f t="shared" si="2"/>
        <v>1</v>
      </c>
      <c r="F150" s="97">
        <f t="shared" si="3"/>
        <v>0</v>
      </c>
      <c r="G150" s="99" t="str">
        <f t="shared" si="4"/>
        <v/>
      </c>
      <c r="H150" s="100"/>
      <c r="I150" s="101"/>
      <c r="J150" s="102">
        <f t="shared" si="42"/>
        <v>6</v>
      </c>
      <c r="K150" s="103"/>
      <c r="L150" s="97"/>
      <c r="M150" s="169"/>
      <c r="N150" s="105"/>
      <c r="O150" s="106"/>
      <c r="P150" s="13">
        <f t="array" ref="P150">XLOOKUP(B150,Weight!B:B,Weight!D:D,"#N/A",0)</f>
        <v>390</v>
      </c>
      <c r="Q150" s="17">
        <f t="shared" si="6"/>
        <v>780</v>
      </c>
      <c r="R150" s="107"/>
      <c r="S150" s="108">
        <v>392620.0</v>
      </c>
      <c r="T150" s="108">
        <v>12.0</v>
      </c>
      <c r="U150" s="109">
        <v>180.0</v>
      </c>
      <c r="V150" s="110"/>
      <c r="X150" s="111">
        <f>SUMIFS('Transit Shipment'!$B$10:$B$1048462,'Transit Shipment'!$A$10:$A$1048462,B150,'Transit Shipment'!$C$10:$C$1048462,AA150)</f>
        <v>0</v>
      </c>
      <c r="Y150" s="111">
        <f>IF(SUMIFS(DIH!$S$2:$S833,DIH!$D$2:$D833,B150,DIH!$U$2:$U833,AA150)&gt;0,SUMIFS(DIH!$S$2:$S833,DIH!$D$2:$D833,B150,DIH!$U$2:$U833,AA150),0)</f>
        <v>0</v>
      </c>
      <c r="Z150" s="112">
        <f t="shared" si="7"/>
        <v>0</v>
      </c>
      <c r="AA150" s="119" t="s">
        <v>9</v>
      </c>
      <c r="AB150" s="114">
        <f>IF(ISNA(VLOOKUP($B150,'Business Report'!$D$2:$J$202,2,0)),"",VLOOKUP($B150,'Business Report'!$D$2:$J$202,2,0))</f>
        <v>7</v>
      </c>
      <c r="AC150" s="115">
        <f>SUMIFS(AFS!$P$2:$P$6260,AFS!$N$2:$N$6260,B150,AFS!$AT$2:$AT$6260,AA150)</f>
        <v>1</v>
      </c>
      <c r="AD150" s="116">
        <f t="shared" si="8"/>
        <v>2</v>
      </c>
      <c r="AE150" s="117"/>
      <c r="AF150" s="118">
        <f t="shared" si="9"/>
        <v>2</v>
      </c>
      <c r="AG150" s="26"/>
      <c r="AH150" s="26"/>
      <c r="AI150" s="26"/>
    </row>
    <row r="151">
      <c r="A151" s="120" t="s">
        <v>89</v>
      </c>
      <c r="B151" s="7" t="s">
        <v>31</v>
      </c>
      <c r="C151" s="95" t="s">
        <v>1245</v>
      </c>
      <c r="D151" s="109" t="s">
        <v>137</v>
      </c>
      <c r="E151" s="97">
        <f t="shared" si="2"/>
        <v>1</v>
      </c>
      <c r="F151" s="97">
        <f t="shared" si="3"/>
        <v>0.5</v>
      </c>
      <c r="G151" s="99" t="str">
        <f t="shared" si="4"/>
        <v/>
      </c>
      <c r="H151" s="121"/>
      <c r="I151" s="122"/>
      <c r="J151" s="102">
        <f t="shared" si="42"/>
        <v>12</v>
      </c>
      <c r="K151" s="124"/>
      <c r="L151" s="125"/>
      <c r="M151" s="181"/>
      <c r="N151" s="126"/>
      <c r="O151" s="127"/>
      <c r="P151" s="13">
        <f t="array" ref="P151">XLOOKUP(B151,Weight!B:B,Weight!D:D,"#N/A",0)</f>
        <v>390</v>
      </c>
      <c r="Q151" s="17">
        <f t="shared" si="6"/>
        <v>1560</v>
      </c>
      <c r="R151" s="107"/>
      <c r="S151" s="108">
        <v>392620.0</v>
      </c>
      <c r="T151" s="108">
        <v>12.0</v>
      </c>
      <c r="U151" s="109">
        <v>180.0</v>
      </c>
      <c r="V151" s="110"/>
      <c r="X151" s="111">
        <f>SUMIFS('Transit Shipment'!$B$10:$B$1048462,'Transit Shipment'!$A$10:$A$1048462,B151,'Transit Shipment'!$C$10:$C$1048462,AA151)</f>
        <v>0</v>
      </c>
      <c r="Y151" s="111">
        <f>IF(SUMIFS(DIH!$S$2:$S833,DIH!$D$2:$D833,B151,DIH!$U$2:$U833,AA151)&gt;0,SUMIFS(DIH!$S$2:$S833,DIH!$D$2:$D833,B151,DIH!$U$2:$U833,AA151),0)</f>
        <v>0</v>
      </c>
      <c r="Z151" s="112">
        <f t="shared" si="7"/>
        <v>0</v>
      </c>
      <c r="AA151" s="119" t="s">
        <v>155</v>
      </c>
      <c r="AB151" s="114">
        <f>IF(ISNA(VLOOKUP($B151,'Business Report'!$D$2:$J$202,2,0)),"",VLOOKUP($B151,'Business Report'!$D$2:$J$202,2,0))</f>
        <v>7</v>
      </c>
      <c r="AC151" s="115">
        <f>SUMIFS(AFS!$P$2:$P$6260,AFS!$N$2:$N$6260,B151,AFS!$AT$2:$AT$6260,AA151)</f>
        <v>2</v>
      </c>
      <c r="AD151" s="116">
        <f t="shared" si="8"/>
        <v>3</v>
      </c>
      <c r="AE151" s="117"/>
      <c r="AF151" s="118">
        <f t="shared" si="9"/>
        <v>4</v>
      </c>
      <c r="AG151" s="26"/>
      <c r="AH151" s="26"/>
      <c r="AI151" s="26"/>
    </row>
    <row r="152">
      <c r="A152" s="120" t="s">
        <v>89</v>
      </c>
      <c r="B152" s="7" t="s">
        <v>31</v>
      </c>
      <c r="C152" s="95" t="s">
        <v>1245</v>
      </c>
      <c r="D152" s="109" t="s">
        <v>137</v>
      </c>
      <c r="E152" s="97">
        <f t="shared" si="2"/>
        <v>1</v>
      </c>
      <c r="F152" s="97">
        <f t="shared" si="3"/>
        <v>0</v>
      </c>
      <c r="G152" s="99" t="str">
        <f t="shared" si="4"/>
        <v/>
      </c>
      <c r="H152" s="121"/>
      <c r="I152" s="122"/>
      <c r="J152" s="102" t="str">
        <f t="shared" si="42"/>
        <v/>
      </c>
      <c r="K152" s="124"/>
      <c r="L152" s="125"/>
      <c r="M152" s="181"/>
      <c r="N152" s="126"/>
      <c r="O152" s="127"/>
      <c r="P152" s="13">
        <f t="array" ref="P152">XLOOKUP(B152,Weight!B:B,Weight!D:D,"#N/A",0)</f>
        <v>390</v>
      </c>
      <c r="Q152" s="17" t="str">
        <f t="shared" si="6"/>
        <v/>
      </c>
      <c r="R152" s="107"/>
      <c r="S152" s="108">
        <v>392620.0</v>
      </c>
      <c r="T152" s="108">
        <v>12.0</v>
      </c>
      <c r="U152" s="109">
        <v>180.0</v>
      </c>
      <c r="V152" s="110"/>
      <c r="X152" s="111">
        <f>SUMIFS('Transit Shipment'!$B$10:$B$1048462,'Transit Shipment'!$A$10:$A$1048462,B152,'Transit Shipment'!$C$10:$C$1048462,AA152)</f>
        <v>0</v>
      </c>
      <c r="Y152" s="111">
        <f>IF(SUMIFS(DIH!$S$2:$S833,DIH!$D$2:$D833,B152,DIH!$U$2:$U833,AA152)&gt;0,SUMIFS(DIH!$S$2:$S833,DIH!$D$2:$D833,B152,DIH!$U$2:$U833,AA152),0)</f>
        <v>0</v>
      </c>
      <c r="Z152" s="112">
        <f t="shared" si="7"/>
        <v>0</v>
      </c>
      <c r="AA152" s="119" t="s">
        <v>156</v>
      </c>
      <c r="AB152" s="114">
        <f>IF(ISNA(VLOOKUP($B152,'Business Report'!$D$2:$J$202,2,0)),"",VLOOKUP($B152,'Business Report'!$D$2:$J$202,2,0))</f>
        <v>7</v>
      </c>
      <c r="AC152" s="115">
        <f>SUMIFS(AFS!$P$2:$P$6260,AFS!$N$2:$N$6260,B152,AFS!$AT$2:$AT$6260,AA152)</f>
        <v>0</v>
      </c>
      <c r="AD152" s="116">
        <f t="shared" si="8"/>
        <v>0</v>
      </c>
      <c r="AE152" s="117"/>
      <c r="AF152" s="118" t="str">
        <f t="shared" si="9"/>
        <v/>
      </c>
      <c r="AG152" s="26"/>
      <c r="AH152" s="26"/>
      <c r="AI152" s="26"/>
    </row>
    <row r="153">
      <c r="A153" s="120" t="s">
        <v>89</v>
      </c>
      <c r="B153" s="7" t="s">
        <v>31</v>
      </c>
      <c r="C153" s="95" t="s">
        <v>1245</v>
      </c>
      <c r="D153" s="109" t="s">
        <v>137</v>
      </c>
      <c r="E153" s="97">
        <f t="shared" si="2"/>
        <v>2</v>
      </c>
      <c r="F153" s="97">
        <f t="shared" si="3"/>
        <v>0</v>
      </c>
      <c r="G153" s="99" t="str">
        <f t="shared" si="4"/>
        <v/>
      </c>
      <c r="H153" s="121"/>
      <c r="I153" s="122"/>
      <c r="J153" s="102">
        <f t="shared" si="42"/>
        <v>12</v>
      </c>
      <c r="K153" s="124"/>
      <c r="L153" s="125"/>
      <c r="M153" s="181"/>
      <c r="N153" s="126"/>
      <c r="O153" s="127"/>
      <c r="P153" s="13">
        <f t="array" ref="P153">XLOOKUP(B153,Weight!B:B,Weight!D:D,"#N/A",0)</f>
        <v>390</v>
      </c>
      <c r="Q153" s="17">
        <f t="shared" si="6"/>
        <v>1560</v>
      </c>
      <c r="R153" s="107"/>
      <c r="S153" s="108">
        <v>392620.0</v>
      </c>
      <c r="T153" s="108">
        <v>12.0</v>
      </c>
      <c r="U153" s="109">
        <v>180.0</v>
      </c>
      <c r="V153" s="110"/>
      <c r="X153" s="111">
        <f>SUMIFS('Transit Shipment'!$B$10:$B$1048462,'Transit Shipment'!$A$10:$A$1048462,B153,'Transit Shipment'!$C$10:$C$1048462,AA153)</f>
        <v>0</v>
      </c>
      <c r="Y153" s="111">
        <f>IF(SUMIFS(DIH!$S$2:$S833,DIH!$D$2:$D833,B153,DIH!$U$2:$U833,AA153)&gt;0,SUMIFS(DIH!$S$2:$S833,DIH!$D$2:$D833,B153,DIH!$U$2:$U833,AA153),0)</f>
        <v>0</v>
      </c>
      <c r="Z153" s="112">
        <f t="shared" si="7"/>
        <v>0</v>
      </c>
      <c r="AA153" s="130" t="s">
        <v>13</v>
      </c>
      <c r="AB153" s="114">
        <f>IF(ISNA(VLOOKUP($B153,'Business Report'!$D$2:$J$202,2,0)),"",VLOOKUP($B153,'Business Report'!$D$2:$J$202,2,0))</f>
        <v>7</v>
      </c>
      <c r="AC153" s="115">
        <f>SUMIFS(AFS!$P$2:$P$6260,AFS!$N$2:$N$6260,B153,AFS!$AT$2:$AT$6260,AA153)</f>
        <v>3</v>
      </c>
      <c r="AD153" s="116">
        <f t="shared" si="8"/>
        <v>4</v>
      </c>
      <c r="AE153" s="117"/>
      <c r="AF153" s="118">
        <f t="shared" si="9"/>
        <v>4</v>
      </c>
      <c r="AG153" s="26"/>
      <c r="AH153" s="26"/>
      <c r="AI153" s="26"/>
    </row>
    <row r="154">
      <c r="A154" s="120" t="s">
        <v>89</v>
      </c>
      <c r="B154" s="7" t="s">
        <v>31</v>
      </c>
      <c r="C154" s="95" t="s">
        <v>1245</v>
      </c>
      <c r="D154" s="109" t="s">
        <v>137</v>
      </c>
      <c r="E154" s="97">
        <f t="shared" si="2"/>
        <v>5</v>
      </c>
      <c r="F154" s="97">
        <f t="shared" si="3"/>
        <v>0</v>
      </c>
      <c r="G154" s="99" t="str">
        <f t="shared" si="4"/>
        <v/>
      </c>
      <c r="H154" s="121"/>
      <c r="I154" s="122"/>
      <c r="J154" s="102">
        <f t="shared" si="42"/>
        <v>30</v>
      </c>
      <c r="K154" s="124"/>
      <c r="L154" s="125"/>
      <c r="M154" s="181"/>
      <c r="N154" s="126"/>
      <c r="O154" s="127"/>
      <c r="P154" s="13">
        <f t="array" ref="P154">XLOOKUP(B154,Weight!B:B,Weight!D:D,"#N/A",0)</f>
        <v>390</v>
      </c>
      <c r="Q154" s="17">
        <f t="shared" si="6"/>
        <v>3900</v>
      </c>
      <c r="R154" s="107"/>
      <c r="S154" s="108">
        <v>392620.0</v>
      </c>
      <c r="T154" s="108">
        <v>12.0</v>
      </c>
      <c r="U154" s="109">
        <v>180.0</v>
      </c>
      <c r="V154" s="110"/>
      <c r="X154" s="111">
        <f>SUMIFS('Transit Shipment'!$B$10:$B$1048462,'Transit Shipment'!$A$10:$A$1048462,B154,'Transit Shipment'!$C$10:$C$1048462,AA154)</f>
        <v>0</v>
      </c>
      <c r="Y154" s="111">
        <f>IF(SUMIFS(DIH!$S$2:$S833,DIH!$D$2:$D833,B154,DIH!$U$2:$U833,AA154)&gt;0,SUMIFS(DIH!$S$2:$S833,DIH!$D$2:$D833,B154,DIH!$U$2:$U833,AA154),0)</f>
        <v>0</v>
      </c>
      <c r="Z154" s="112">
        <f t="shared" si="7"/>
        <v>0</v>
      </c>
      <c r="AA154" s="119" t="s">
        <v>14</v>
      </c>
      <c r="AB154" s="114">
        <f>IF(ISNA(VLOOKUP($B154,'Business Report'!$D$2:$J$202,2,0)),"",VLOOKUP($B154,'Business Report'!$D$2:$J$202,2,0))</f>
        <v>7</v>
      </c>
      <c r="AC154" s="115">
        <f>SUMIFS(AFS!$P$2:$P$6260,AFS!$N$2:$N$6260,B154,AFS!$AT$2:$AT$6260,AA154)</f>
        <v>7</v>
      </c>
      <c r="AD154" s="116">
        <f t="shared" si="8"/>
        <v>10</v>
      </c>
      <c r="AE154" s="117"/>
      <c r="AF154" s="118">
        <f t="shared" si="9"/>
        <v>10</v>
      </c>
      <c r="AG154" s="26"/>
      <c r="AH154" s="26"/>
      <c r="AI154" s="26"/>
    </row>
    <row r="155">
      <c r="A155" s="120" t="s">
        <v>89</v>
      </c>
      <c r="B155" s="7" t="s">
        <v>31</v>
      </c>
      <c r="C155" s="95" t="s">
        <v>1245</v>
      </c>
      <c r="D155" s="109" t="s">
        <v>137</v>
      </c>
      <c r="E155" s="97">
        <f t="shared" si="2"/>
        <v>0</v>
      </c>
      <c r="F155" s="97">
        <f t="shared" si="3"/>
        <v>0.5</v>
      </c>
      <c r="G155" s="99" t="str">
        <f t="shared" si="4"/>
        <v/>
      </c>
      <c r="H155" s="121"/>
      <c r="I155" s="122"/>
      <c r="J155" s="102">
        <f t="shared" si="42"/>
        <v>6</v>
      </c>
      <c r="K155" s="124"/>
      <c r="L155" s="125"/>
      <c r="M155" s="181"/>
      <c r="N155" s="126"/>
      <c r="O155" s="127"/>
      <c r="P155" s="13">
        <f t="array" ref="P155">XLOOKUP(B155,Weight!B:B,Weight!D:D,"#N/A",0)</f>
        <v>390</v>
      </c>
      <c r="Q155" s="17">
        <f t="shared" si="6"/>
        <v>780</v>
      </c>
      <c r="R155" s="107"/>
      <c r="S155" s="108">
        <v>392620.0</v>
      </c>
      <c r="T155" s="108">
        <v>12.0</v>
      </c>
      <c r="U155" s="109">
        <v>180.0</v>
      </c>
      <c r="V155" s="110"/>
      <c r="X155" s="111">
        <f>SUMIFS('Transit Shipment'!$B$10:$B$1048462,'Transit Shipment'!$A$10:$A$1048462,B155,'Transit Shipment'!$C$10:$C$1048462,AA155)</f>
        <v>0</v>
      </c>
      <c r="Y155" s="111">
        <f>IF(SUMIFS(DIH!$S$2:$S833,DIH!$D$2:$D833,B155,DIH!$U$2:$U833,AA155)&gt;0,SUMIFS(DIH!$S$2:$S833,DIH!$D$2:$D833,B155,DIH!$U$2:$U833,AA155),0)</f>
        <v>1</v>
      </c>
      <c r="Z155" s="112">
        <f t="shared" si="7"/>
        <v>1</v>
      </c>
      <c r="AA155" s="131" t="s">
        <v>16</v>
      </c>
      <c r="AB155" s="114">
        <f>IF(ISNA(VLOOKUP($B155,'Business Report'!$D$2:$J$202,2,0)),"",VLOOKUP($B155,'Business Report'!$D$2:$J$202,2,0))</f>
        <v>7</v>
      </c>
      <c r="AC155" s="115">
        <f>SUMIFS(AFS!$P$2:$P$6260,AFS!$N$2:$N$6260,B155,AFS!$AT$2:$AT$6260,AA155)</f>
        <v>1</v>
      </c>
      <c r="AD155" s="116">
        <f t="shared" si="8"/>
        <v>1</v>
      </c>
      <c r="AE155" s="117"/>
      <c r="AF155" s="118">
        <f t="shared" si="9"/>
        <v>2</v>
      </c>
      <c r="AG155" s="26"/>
      <c r="AH155" s="26"/>
      <c r="AI155" s="26"/>
    </row>
    <row r="156">
      <c r="A156" s="132" t="s">
        <v>89</v>
      </c>
      <c r="B156" s="15" t="s">
        <v>31</v>
      </c>
      <c r="C156" s="133" t="s">
        <v>1245</v>
      </c>
      <c r="D156" s="134" t="s">
        <v>137</v>
      </c>
      <c r="E156" s="135">
        <f t="shared" si="2"/>
        <v>1</v>
      </c>
      <c r="F156" s="135">
        <f t="shared" si="3"/>
        <v>0</v>
      </c>
      <c r="G156" s="136" t="str">
        <f t="shared" si="4"/>
        <v/>
      </c>
      <c r="H156" s="137"/>
      <c r="I156" s="138"/>
      <c r="J156" s="139" t="str">
        <f t="shared" si="42"/>
        <v/>
      </c>
      <c r="K156" s="140"/>
      <c r="L156" s="135"/>
      <c r="M156" s="152"/>
      <c r="N156" s="142"/>
      <c r="O156" s="143"/>
      <c r="P156" s="144">
        <f t="array" ref="P156">XLOOKUP(B156,Weight!B:B,Weight!D:D,"#N/A",0)</f>
        <v>390</v>
      </c>
      <c r="Q156" s="145" t="str">
        <f t="shared" si="6"/>
        <v/>
      </c>
      <c r="R156" s="146"/>
      <c r="S156" s="147">
        <v>392620.0</v>
      </c>
      <c r="T156" s="147">
        <v>12.0</v>
      </c>
      <c r="U156" s="109">
        <v>180.0</v>
      </c>
      <c r="V156" s="148"/>
      <c r="W156" s="149"/>
      <c r="X156" s="150">
        <f>SUMIFS('Transit Shipment'!$B$10:$B$1048462,'Transit Shipment'!$A$10:$A$1048462,B156,'Transit Shipment'!$C$10:$C$1048462,AA156)</f>
        <v>0</v>
      </c>
      <c r="Y156" s="150">
        <f>IF(SUMIFS(DIH!$S$2:$S833,DIH!$D$2:$D833,B156,DIH!$U$2:$U833,AA156)&gt;0,SUMIFS(DIH!$S$2:$S833,DIH!$D$2:$D833,B156,DIH!$U$2:$U833,AA156),0)</f>
        <v>0</v>
      </c>
      <c r="Z156" s="151">
        <f t="shared" si="7"/>
        <v>0</v>
      </c>
      <c r="AA156" s="152" t="s">
        <v>17</v>
      </c>
      <c r="AB156" s="154">
        <f>IF(ISNA(VLOOKUP($B156,'Business Report'!$D$2:$J$202,2,0)),"",VLOOKUP($B156,'Business Report'!$D$2:$J$202,2,0))</f>
        <v>7</v>
      </c>
      <c r="AC156" s="155">
        <f>SUMIFS(AFS!$P$2:$P$6260,AFS!$N$2:$N$6260,B156,AFS!$AT$2:$AT$6260,AA156)</f>
        <v>0</v>
      </c>
      <c r="AD156" s="156">
        <f t="shared" si="8"/>
        <v>0</v>
      </c>
      <c r="AE156" s="159">
        <f>SUM(AD148:AD156)</f>
        <v>20</v>
      </c>
      <c r="AF156" s="118" t="str">
        <f t="shared" si="9"/>
        <v/>
      </c>
      <c r="AG156" s="26"/>
      <c r="AH156" s="26"/>
      <c r="AI156" s="26"/>
    </row>
    <row r="157">
      <c r="A157" s="66" t="s">
        <v>91</v>
      </c>
      <c r="B157" s="1" t="s">
        <v>33</v>
      </c>
      <c r="C157" s="95" t="s">
        <v>1465</v>
      </c>
      <c r="D157" s="68" t="s">
        <v>137</v>
      </c>
      <c r="E157" s="69" t="str">
        <f t="shared" si="2"/>
        <v/>
      </c>
      <c r="F157" s="69" t="str">
        <f t="shared" si="3"/>
        <v/>
      </c>
      <c r="G157" s="70" t="str">
        <f t="shared" si="4"/>
        <v/>
      </c>
      <c r="H157" s="163"/>
      <c r="I157" s="101"/>
      <c r="J157" s="102"/>
      <c r="K157" s="167" t="str">
        <f t="shared" ref="K157:K165" si="44">IF(ISNUMBER($AF157),3*$AF157,"")</f>
        <v/>
      </c>
      <c r="L157" s="119"/>
      <c r="M157" s="169"/>
      <c r="N157" s="171"/>
      <c r="O157" s="106"/>
      <c r="P157" s="79">
        <f t="array" ref="P157">XLOOKUP(B157,Weight!B:B,Weight!D:D,"#N/A",0)</f>
        <v>390</v>
      </c>
      <c r="Q157" s="80" t="str">
        <f t="shared" si="6"/>
        <v/>
      </c>
      <c r="R157" s="107"/>
      <c r="S157" s="108">
        <v>392620.0</v>
      </c>
      <c r="T157" s="108">
        <v>12.0</v>
      </c>
      <c r="U157" s="83">
        <v>180.0</v>
      </c>
      <c r="V157" s="84" t="str">
        <f t="shared" ref="V157:W157" si="43">B157</f>
        <v>CRM_AP_GREEN_PACK OF 3</v>
      </c>
      <c r="W157" s="174" t="str">
        <f t="shared" si="43"/>
        <v>CRASOME Apron for Men Women Chef Cooking Restaurants Gardening Workshop, Barbers with Adjustable Strap and Two Pockets ( Green_Pack of 3 )</v>
      </c>
      <c r="X157" s="86">
        <f>SUMIFS('Transit Shipment'!$B$10:$B$1048462,'Transit Shipment'!$A$10:$A$1048462,B157,'Transit Shipment'!$C$10:$C$1048462,AA157)</f>
        <v>0</v>
      </c>
      <c r="Y157" s="86">
        <f>IF(SUMIFS(DIH!$S$2:$S833,DIH!$D$2:$D833,B157,DIH!$U$2:$U833,AA157)&gt;0,SUMIFS(DIH!$S$2:$S833,DIH!$D$2:$D833,B157,DIH!$U$2:$U833,AA157),0)</f>
        <v>1</v>
      </c>
      <c r="Z157" s="87">
        <f t="shared" si="7"/>
        <v>1</v>
      </c>
      <c r="AA157" s="88" t="s">
        <v>5</v>
      </c>
      <c r="AB157" s="89">
        <f>IF(ISNA(VLOOKUP($B157,'Business Report'!$D$2:$J$202,2,0)),"",VLOOKUP($B157,'Business Report'!$D$2:$J$202,2,0))</f>
        <v>12</v>
      </c>
      <c r="AC157" s="90">
        <f>SUMIFS(AFS!$P$2:$P$6260,AFS!$N$2:$N$6260,B157,AFS!$AT$2:$AT$6260,AA157)</f>
        <v>0</v>
      </c>
      <c r="AD157" s="91">
        <f t="shared" si="8"/>
        <v>-1</v>
      </c>
      <c r="AE157" s="92"/>
      <c r="AF157" s="93" t="str">
        <f t="shared" si="9"/>
        <v/>
      </c>
      <c r="AG157" s="26"/>
      <c r="AH157" s="26"/>
      <c r="AI157" s="26"/>
    </row>
    <row r="158">
      <c r="A158" s="94" t="s">
        <v>91</v>
      </c>
      <c r="B158" s="3" t="s">
        <v>33</v>
      </c>
      <c r="C158" s="95" t="s">
        <v>1465</v>
      </c>
      <c r="D158" s="96" t="s">
        <v>137</v>
      </c>
      <c r="E158" s="97" t="str">
        <f t="shared" si="2"/>
        <v/>
      </c>
      <c r="F158" s="97" t="str">
        <f t="shared" si="3"/>
        <v/>
      </c>
      <c r="G158" s="99" t="str">
        <f t="shared" si="4"/>
        <v/>
      </c>
      <c r="H158" s="100"/>
      <c r="I158" s="101"/>
      <c r="J158" s="102"/>
      <c r="K158" s="103" t="str">
        <f t="shared" si="44"/>
        <v/>
      </c>
      <c r="L158" s="97"/>
      <c r="M158" s="169"/>
      <c r="N158" s="105"/>
      <c r="O158" s="106"/>
      <c r="P158" s="13">
        <f t="array" ref="P158">XLOOKUP(B158,Weight!B:B,Weight!D:D,"#N/A",0)</f>
        <v>390</v>
      </c>
      <c r="Q158" s="17" t="str">
        <f t="shared" si="6"/>
        <v/>
      </c>
      <c r="R158" s="107"/>
      <c r="S158" s="108">
        <v>392620.0</v>
      </c>
      <c r="T158" s="108">
        <v>12.0</v>
      </c>
      <c r="U158" s="109">
        <v>180.0</v>
      </c>
      <c r="V158" s="110"/>
      <c r="X158" s="111">
        <f>SUMIFS('Transit Shipment'!$B$10:$B$1048462,'Transit Shipment'!$A$10:$A$1048462,B158,'Transit Shipment'!$C$10:$C$1048462,AA158)</f>
        <v>0</v>
      </c>
      <c r="Y158" s="111">
        <f>IF(SUMIFS(DIH!$S$2:$S833,DIH!$D$2:$D833,B158,DIH!$U$2:$U833,AA158)&gt;0,SUMIFS(DIH!$S$2:$S833,DIH!$D$2:$D833,B158,DIH!$U$2:$U833,AA158),0)</f>
        <v>4</v>
      </c>
      <c r="Z158" s="112">
        <f t="shared" si="7"/>
        <v>4</v>
      </c>
      <c r="AA158" s="113" t="s">
        <v>11</v>
      </c>
      <c r="AB158" s="114">
        <f>IF(ISNA(VLOOKUP($B158,'Business Report'!$D$2:$J$202,2,0)),"",VLOOKUP($B158,'Business Report'!$D$2:$J$202,2,0))</f>
        <v>12</v>
      </c>
      <c r="AC158" s="115">
        <f>SUMIFS(AFS!$P$2:$P$6260,AFS!$N$2:$N$6260,B158,AFS!$AT$2:$AT$6260,AA158)</f>
        <v>1</v>
      </c>
      <c r="AD158" s="116">
        <f t="shared" si="8"/>
        <v>-2</v>
      </c>
      <c r="AE158" s="117"/>
      <c r="AF158" s="118" t="str">
        <f t="shared" si="9"/>
        <v/>
      </c>
      <c r="AG158" s="26"/>
      <c r="AH158" s="26"/>
      <c r="AI158" s="26"/>
    </row>
    <row r="159">
      <c r="A159" s="94" t="s">
        <v>91</v>
      </c>
      <c r="B159" s="3" t="s">
        <v>33</v>
      </c>
      <c r="C159" s="95" t="s">
        <v>1465</v>
      </c>
      <c r="D159" s="96" t="s">
        <v>137</v>
      </c>
      <c r="E159" s="97" t="str">
        <f t="shared" si="2"/>
        <v/>
      </c>
      <c r="F159" s="97" t="str">
        <f t="shared" si="3"/>
        <v/>
      </c>
      <c r="G159" s="99" t="str">
        <f t="shared" si="4"/>
        <v/>
      </c>
      <c r="H159" s="100"/>
      <c r="I159" s="101"/>
      <c r="J159" s="102"/>
      <c r="K159" s="103" t="str">
        <f t="shared" si="44"/>
        <v/>
      </c>
      <c r="L159" s="97"/>
      <c r="M159" s="169"/>
      <c r="N159" s="105"/>
      <c r="O159" s="106"/>
      <c r="P159" s="13">
        <f t="array" ref="P159">XLOOKUP(B159,Weight!B:B,Weight!D:D,"#N/A",0)</f>
        <v>390</v>
      </c>
      <c r="Q159" s="17" t="str">
        <f t="shared" si="6"/>
        <v/>
      </c>
      <c r="R159" s="107"/>
      <c r="S159" s="108">
        <v>392620.0</v>
      </c>
      <c r="T159" s="108">
        <v>12.0</v>
      </c>
      <c r="U159" s="109">
        <v>180.0</v>
      </c>
      <c r="V159" s="110"/>
      <c r="X159" s="111">
        <f>SUMIFS('Transit Shipment'!$B$10:$B$1048462,'Transit Shipment'!$A$10:$A$1048462,B159,'Transit Shipment'!$C$10:$C$1048462,AA159)</f>
        <v>0</v>
      </c>
      <c r="Y159" s="111">
        <f>IF(SUMIFS(DIH!$S$2:$S833,DIH!$D$2:$D833,B159,DIH!$U$2:$U833,AA159)&gt;0,SUMIFS(DIH!$S$2:$S833,DIH!$D$2:$D833,B159,DIH!$U$2:$U833,AA159),0)</f>
        <v>1</v>
      </c>
      <c r="Z159" s="112">
        <f t="shared" si="7"/>
        <v>1</v>
      </c>
      <c r="AA159" s="119" t="s">
        <v>9</v>
      </c>
      <c r="AB159" s="114">
        <f>IF(ISNA(VLOOKUP($B159,'Business Report'!$D$2:$J$202,2,0)),"",VLOOKUP($B159,'Business Report'!$D$2:$J$202,2,0))</f>
        <v>12</v>
      </c>
      <c r="AC159" s="115">
        <f>SUMIFS(AFS!$P$2:$P$6260,AFS!$N$2:$N$6260,B159,AFS!$AT$2:$AT$6260,AA159)</f>
        <v>0</v>
      </c>
      <c r="AD159" s="116">
        <f t="shared" si="8"/>
        <v>-1</v>
      </c>
      <c r="AE159" s="117"/>
      <c r="AF159" s="118" t="str">
        <f t="shared" si="9"/>
        <v/>
      </c>
      <c r="AG159" s="26"/>
      <c r="AH159" s="26"/>
      <c r="AI159" s="26"/>
    </row>
    <row r="160">
      <c r="A160" s="120" t="s">
        <v>91</v>
      </c>
      <c r="B160" s="7" t="s">
        <v>33</v>
      </c>
      <c r="C160" s="95" t="s">
        <v>1465</v>
      </c>
      <c r="D160" s="109" t="s">
        <v>137</v>
      </c>
      <c r="E160" s="97">
        <f t="shared" si="2"/>
        <v>1</v>
      </c>
      <c r="F160" s="97">
        <f t="shared" si="3"/>
        <v>0</v>
      </c>
      <c r="G160" s="99" t="str">
        <f t="shared" si="4"/>
        <v/>
      </c>
      <c r="H160" s="121"/>
      <c r="I160" s="122"/>
      <c r="J160" s="123"/>
      <c r="K160" s="103" t="str">
        <f t="shared" si="44"/>
        <v/>
      </c>
      <c r="L160" s="125"/>
      <c r="M160" s="181"/>
      <c r="N160" s="126"/>
      <c r="O160" s="127"/>
      <c r="P160" s="13">
        <f t="array" ref="P160">XLOOKUP(B160,Weight!B:B,Weight!D:D,"#N/A",0)</f>
        <v>390</v>
      </c>
      <c r="Q160" s="17" t="str">
        <f t="shared" si="6"/>
        <v/>
      </c>
      <c r="R160" s="107"/>
      <c r="S160" s="108">
        <v>392620.0</v>
      </c>
      <c r="T160" s="108">
        <v>12.0</v>
      </c>
      <c r="U160" s="109">
        <v>180.0</v>
      </c>
      <c r="V160" s="110"/>
      <c r="X160" s="111">
        <f>SUMIFS('Transit Shipment'!$B$10:$B$1048462,'Transit Shipment'!$A$10:$A$1048462,B160,'Transit Shipment'!$C$10:$C$1048462,AA160)</f>
        <v>0</v>
      </c>
      <c r="Y160" s="111">
        <f>IF(SUMIFS(DIH!$S$2:$S833,DIH!$D$2:$D833,B160,DIH!$U$2:$U833,AA160)&gt;0,SUMIFS(DIH!$S$2:$S833,DIH!$D$2:$D833,B160,DIH!$U$2:$U833,AA160),0)</f>
        <v>0</v>
      </c>
      <c r="Z160" s="112">
        <f t="shared" si="7"/>
        <v>0</v>
      </c>
      <c r="AA160" s="119" t="s">
        <v>155</v>
      </c>
      <c r="AB160" s="114">
        <f>IF(ISNA(VLOOKUP($B160,'Business Report'!$D$2:$J$202,2,0)),"",VLOOKUP($B160,'Business Report'!$D$2:$J$202,2,0))</f>
        <v>12</v>
      </c>
      <c r="AC160" s="115">
        <f>SUMIFS(AFS!$P$2:$P$6260,AFS!$N$2:$N$6260,B160,AFS!$AT$2:$AT$6260,AA160)</f>
        <v>0</v>
      </c>
      <c r="AD160" s="116">
        <f t="shared" si="8"/>
        <v>0</v>
      </c>
      <c r="AE160" s="117"/>
      <c r="AF160" s="118" t="str">
        <f t="shared" si="9"/>
        <v/>
      </c>
      <c r="AG160" s="26"/>
      <c r="AH160" s="26"/>
      <c r="AI160" s="26"/>
    </row>
    <row r="161">
      <c r="A161" s="120" t="s">
        <v>91</v>
      </c>
      <c r="B161" s="7" t="s">
        <v>33</v>
      </c>
      <c r="C161" s="95" t="s">
        <v>1465</v>
      </c>
      <c r="D161" s="109" t="s">
        <v>137</v>
      </c>
      <c r="E161" s="97">
        <f t="shared" si="2"/>
        <v>0</v>
      </c>
      <c r="F161" s="97">
        <f t="shared" si="3"/>
        <v>0.5</v>
      </c>
      <c r="G161" s="99" t="str">
        <f t="shared" si="4"/>
        <v/>
      </c>
      <c r="H161" s="121"/>
      <c r="I161" s="122"/>
      <c r="J161" s="123"/>
      <c r="K161" s="103">
        <f t="shared" si="44"/>
        <v>6</v>
      </c>
      <c r="L161" s="125"/>
      <c r="M161" s="181"/>
      <c r="N161" s="126"/>
      <c r="O161" s="127"/>
      <c r="P161" s="13">
        <f t="array" ref="P161">XLOOKUP(B161,Weight!B:B,Weight!D:D,"#N/A",0)</f>
        <v>390</v>
      </c>
      <c r="Q161" s="17">
        <f t="shared" si="6"/>
        <v>780</v>
      </c>
      <c r="R161" s="107"/>
      <c r="S161" s="108">
        <v>392620.0</v>
      </c>
      <c r="T161" s="108">
        <v>12.0</v>
      </c>
      <c r="U161" s="109">
        <v>180.0</v>
      </c>
      <c r="V161" s="110"/>
      <c r="X161" s="111">
        <f>SUMIFS('Transit Shipment'!$B$10:$B$1048462,'Transit Shipment'!$A$10:$A$1048462,B161,'Transit Shipment'!$C$10:$C$1048462,AA161)</f>
        <v>0</v>
      </c>
      <c r="Y161" s="111">
        <f>IF(SUMIFS(DIH!$S$2:$S833,DIH!$D$2:$D833,B161,DIH!$U$2:$U833,AA161)&gt;0,SUMIFS(DIH!$S$2:$S833,DIH!$D$2:$D833,B161,DIH!$U$2:$U833,AA161),0)</f>
        <v>1</v>
      </c>
      <c r="Z161" s="112">
        <f t="shared" si="7"/>
        <v>1</v>
      </c>
      <c r="AA161" s="119" t="s">
        <v>156</v>
      </c>
      <c r="AB161" s="114">
        <f>IF(ISNA(VLOOKUP($B161,'Business Report'!$D$2:$J$202,2,0)),"",VLOOKUP($B161,'Business Report'!$D$2:$J$202,2,0))</f>
        <v>12</v>
      </c>
      <c r="AC161" s="115">
        <f>SUMIFS(AFS!$P$2:$P$6260,AFS!$N$2:$N$6260,B161,AFS!$AT$2:$AT$6260,AA161)</f>
        <v>1</v>
      </c>
      <c r="AD161" s="116">
        <f t="shared" si="8"/>
        <v>1</v>
      </c>
      <c r="AE161" s="117"/>
      <c r="AF161" s="118">
        <f t="shared" si="9"/>
        <v>2</v>
      </c>
      <c r="AG161" s="26"/>
      <c r="AH161" s="26"/>
      <c r="AI161" s="26"/>
    </row>
    <row r="162">
      <c r="A162" s="120" t="s">
        <v>91</v>
      </c>
      <c r="B162" s="7" t="s">
        <v>33</v>
      </c>
      <c r="C162" s="95" t="s">
        <v>1465</v>
      </c>
      <c r="D162" s="109" t="s">
        <v>137</v>
      </c>
      <c r="E162" s="97">
        <f t="shared" si="2"/>
        <v>1</v>
      </c>
      <c r="F162" s="97">
        <f t="shared" si="3"/>
        <v>0</v>
      </c>
      <c r="G162" s="99" t="str">
        <f t="shared" si="4"/>
        <v/>
      </c>
      <c r="H162" s="121"/>
      <c r="I162" s="122"/>
      <c r="J162" s="123"/>
      <c r="K162" s="103">
        <f t="shared" si="44"/>
        <v>6</v>
      </c>
      <c r="L162" s="125"/>
      <c r="M162" s="181"/>
      <c r="N162" s="126"/>
      <c r="O162" s="127"/>
      <c r="P162" s="13">
        <f t="array" ref="P162">XLOOKUP(B162,Weight!B:B,Weight!D:D,"#N/A",0)</f>
        <v>390</v>
      </c>
      <c r="Q162" s="17">
        <f t="shared" si="6"/>
        <v>780</v>
      </c>
      <c r="R162" s="107"/>
      <c r="S162" s="108">
        <v>392620.0</v>
      </c>
      <c r="T162" s="108">
        <v>12.0</v>
      </c>
      <c r="U162" s="109">
        <v>180.0</v>
      </c>
      <c r="V162" s="110"/>
      <c r="X162" s="111">
        <f>SUMIFS('Transit Shipment'!$B$10:$B$1048462,'Transit Shipment'!$A$10:$A$1048462,B162,'Transit Shipment'!$C$10:$C$1048462,AA162)</f>
        <v>0</v>
      </c>
      <c r="Y162" s="111">
        <f>IF(SUMIFS(DIH!$S$2:$S833,DIH!$D$2:$D833,B162,DIH!$U$2:$U833,AA162)&gt;0,SUMIFS(DIH!$S$2:$S833,DIH!$D$2:$D833,B162,DIH!$U$2:$U833,AA162),0)</f>
        <v>0</v>
      </c>
      <c r="Z162" s="112">
        <f t="shared" si="7"/>
        <v>0</v>
      </c>
      <c r="AA162" s="130" t="s">
        <v>13</v>
      </c>
      <c r="AB162" s="114">
        <f>IF(ISNA(VLOOKUP($B162,'Business Report'!$D$2:$J$202,2,0)),"",VLOOKUP($B162,'Business Report'!$D$2:$J$202,2,0))</f>
        <v>12</v>
      </c>
      <c r="AC162" s="115">
        <f>SUMIFS(AFS!$P$2:$P$6260,AFS!$N$2:$N$6260,B162,AFS!$AT$2:$AT$6260,AA162)</f>
        <v>1</v>
      </c>
      <c r="AD162" s="116">
        <f t="shared" si="8"/>
        <v>2</v>
      </c>
      <c r="AE162" s="117"/>
      <c r="AF162" s="118">
        <f t="shared" si="9"/>
        <v>2</v>
      </c>
      <c r="AG162" s="26"/>
      <c r="AH162" s="26"/>
      <c r="AI162" s="26"/>
    </row>
    <row r="163">
      <c r="A163" s="120" t="s">
        <v>91</v>
      </c>
      <c r="B163" s="7" t="s">
        <v>33</v>
      </c>
      <c r="C163" s="95" t="s">
        <v>1465</v>
      </c>
      <c r="D163" s="109" t="s">
        <v>137</v>
      </c>
      <c r="E163" s="97" t="str">
        <f t="shared" si="2"/>
        <v/>
      </c>
      <c r="F163" s="97" t="str">
        <f t="shared" si="3"/>
        <v/>
      </c>
      <c r="G163" s="99" t="str">
        <f t="shared" si="4"/>
        <v/>
      </c>
      <c r="H163" s="121"/>
      <c r="I163" s="122"/>
      <c r="J163" s="123"/>
      <c r="K163" s="103" t="str">
        <f t="shared" si="44"/>
        <v/>
      </c>
      <c r="L163" s="125"/>
      <c r="M163" s="181"/>
      <c r="N163" s="126"/>
      <c r="O163" s="127"/>
      <c r="P163" s="13">
        <f t="array" ref="P163">XLOOKUP(B163,Weight!B:B,Weight!D:D,"#N/A",0)</f>
        <v>390</v>
      </c>
      <c r="Q163" s="17" t="str">
        <f t="shared" si="6"/>
        <v/>
      </c>
      <c r="R163" s="107"/>
      <c r="S163" s="108">
        <v>392620.0</v>
      </c>
      <c r="T163" s="108">
        <v>12.0</v>
      </c>
      <c r="U163" s="109">
        <v>180.0</v>
      </c>
      <c r="V163" s="110"/>
      <c r="X163" s="111">
        <f>SUMIFS('Transit Shipment'!$B$10:$B$1048462,'Transit Shipment'!$A$10:$A$1048462,B163,'Transit Shipment'!$C$10:$C$1048462,AA163)</f>
        <v>0</v>
      </c>
      <c r="Y163" s="111">
        <f>IF(SUMIFS(DIH!$S$2:$S833,DIH!$D$2:$D833,B163,DIH!$U$2:$U833,AA163)&gt;0,SUMIFS(DIH!$S$2:$S833,DIH!$D$2:$D833,B163,DIH!$U$2:$U833,AA163),0)</f>
        <v>1</v>
      </c>
      <c r="Z163" s="112">
        <f t="shared" si="7"/>
        <v>1</v>
      </c>
      <c r="AA163" s="119" t="s">
        <v>14</v>
      </c>
      <c r="AB163" s="114">
        <f>IF(ISNA(VLOOKUP($B163,'Business Report'!$D$2:$J$202,2,0)),"",VLOOKUP($B163,'Business Report'!$D$2:$J$202,2,0))</f>
        <v>12</v>
      </c>
      <c r="AC163" s="115">
        <f>SUMIFS(AFS!$P$2:$P$6260,AFS!$N$2:$N$6260,B163,AFS!$AT$2:$AT$6260,AA163)</f>
        <v>0</v>
      </c>
      <c r="AD163" s="116">
        <f t="shared" si="8"/>
        <v>-1</v>
      </c>
      <c r="AE163" s="117"/>
      <c r="AF163" s="118" t="str">
        <f t="shared" si="9"/>
        <v/>
      </c>
      <c r="AG163" s="26"/>
      <c r="AH163" s="26"/>
      <c r="AI163" s="26"/>
    </row>
    <row r="164">
      <c r="A164" s="120" t="s">
        <v>91</v>
      </c>
      <c r="B164" s="7" t="s">
        <v>33</v>
      </c>
      <c r="C164" s="95" t="s">
        <v>1465</v>
      </c>
      <c r="D164" s="109" t="s">
        <v>137</v>
      </c>
      <c r="E164" s="97">
        <f t="shared" si="2"/>
        <v>0</v>
      </c>
      <c r="F164" s="97">
        <f t="shared" si="3"/>
        <v>0.5</v>
      </c>
      <c r="G164" s="99" t="str">
        <f t="shared" si="4"/>
        <v/>
      </c>
      <c r="H164" s="121"/>
      <c r="I164" s="122"/>
      <c r="J164" s="123"/>
      <c r="K164" s="103">
        <f t="shared" si="44"/>
        <v>6</v>
      </c>
      <c r="L164" s="125"/>
      <c r="M164" s="181"/>
      <c r="N164" s="126"/>
      <c r="O164" s="127"/>
      <c r="P164" s="13">
        <f t="array" ref="P164">XLOOKUP(B164,Weight!B:B,Weight!D:D,"#N/A",0)</f>
        <v>390</v>
      </c>
      <c r="Q164" s="17">
        <f t="shared" si="6"/>
        <v>780</v>
      </c>
      <c r="R164" s="107"/>
      <c r="S164" s="108">
        <v>392620.0</v>
      </c>
      <c r="T164" s="108">
        <v>12.0</v>
      </c>
      <c r="U164" s="109">
        <v>180.0</v>
      </c>
      <c r="V164" s="110"/>
      <c r="X164" s="111">
        <f>SUMIFS('Transit Shipment'!$B$10:$B$1048462,'Transit Shipment'!$A$10:$A$1048462,B164,'Transit Shipment'!$C$10:$C$1048462,AA164)</f>
        <v>0</v>
      </c>
      <c r="Y164" s="111">
        <f>IF(SUMIFS(DIH!$S$2:$S833,DIH!$D$2:$D833,B164,DIH!$U$2:$U833,AA164)&gt;0,SUMIFS(DIH!$S$2:$S833,DIH!$D$2:$D833,B164,DIH!$U$2:$U833,AA164),0)</f>
        <v>1</v>
      </c>
      <c r="Z164" s="112">
        <f t="shared" si="7"/>
        <v>1</v>
      </c>
      <c r="AA164" s="131" t="s">
        <v>16</v>
      </c>
      <c r="AB164" s="114">
        <f>IF(ISNA(VLOOKUP($B164,'Business Report'!$D$2:$J$202,2,0)),"",VLOOKUP($B164,'Business Report'!$D$2:$J$202,2,0))</f>
        <v>12</v>
      </c>
      <c r="AC164" s="115">
        <f>SUMIFS(AFS!$P$2:$P$6260,AFS!$N$2:$N$6260,B164,AFS!$AT$2:$AT$6260,AA164)</f>
        <v>1</v>
      </c>
      <c r="AD164" s="116">
        <f t="shared" si="8"/>
        <v>1</v>
      </c>
      <c r="AE164" s="117"/>
      <c r="AF164" s="118">
        <f t="shared" si="9"/>
        <v>2</v>
      </c>
      <c r="AG164" s="26"/>
      <c r="AH164" s="26"/>
      <c r="AI164" s="26"/>
    </row>
    <row r="165">
      <c r="A165" s="132" t="s">
        <v>91</v>
      </c>
      <c r="B165" s="15" t="s">
        <v>33</v>
      </c>
      <c r="C165" s="133" t="s">
        <v>1465</v>
      </c>
      <c r="D165" s="134" t="s">
        <v>137</v>
      </c>
      <c r="E165" s="135">
        <f t="shared" si="2"/>
        <v>1</v>
      </c>
      <c r="F165" s="135">
        <f t="shared" si="3"/>
        <v>0</v>
      </c>
      <c r="G165" s="136" t="str">
        <f t="shared" si="4"/>
        <v/>
      </c>
      <c r="H165" s="137"/>
      <c r="I165" s="138"/>
      <c r="J165" s="139"/>
      <c r="K165" s="140" t="str">
        <f t="shared" si="44"/>
        <v/>
      </c>
      <c r="L165" s="135"/>
      <c r="M165" s="152"/>
      <c r="N165" s="142"/>
      <c r="O165" s="143"/>
      <c r="P165" s="144">
        <f t="array" ref="P165">XLOOKUP(B165,Weight!B:B,Weight!D:D,"#N/A",0)</f>
        <v>390</v>
      </c>
      <c r="Q165" s="145" t="str">
        <f t="shared" si="6"/>
        <v/>
      </c>
      <c r="R165" s="146"/>
      <c r="S165" s="147">
        <v>392620.0</v>
      </c>
      <c r="T165" s="147">
        <v>12.0</v>
      </c>
      <c r="U165" s="109">
        <v>180.0</v>
      </c>
      <c r="V165" s="148"/>
      <c r="W165" s="149"/>
      <c r="X165" s="150">
        <f>SUMIFS('Transit Shipment'!$B$10:$B$1048462,'Transit Shipment'!$A$10:$A$1048462,B165,'Transit Shipment'!$C$10:$C$1048462,AA165)</f>
        <v>0</v>
      </c>
      <c r="Y165" s="150">
        <f>IF(SUMIFS(DIH!$S$2:$S833,DIH!$D$2:$D833,B165,DIH!$U$2:$U833,AA165)&gt;0,SUMIFS(DIH!$S$2:$S833,DIH!$D$2:$D833,B165,DIH!$U$2:$U833,AA165),0)</f>
        <v>0</v>
      </c>
      <c r="Z165" s="151">
        <f t="shared" si="7"/>
        <v>0</v>
      </c>
      <c r="AA165" s="152" t="s">
        <v>17</v>
      </c>
      <c r="AB165" s="154">
        <f>IF(ISNA(VLOOKUP($B165,'Business Report'!$D$2:$J$202,2,0)),"",VLOOKUP($B165,'Business Report'!$D$2:$J$202,2,0))</f>
        <v>12</v>
      </c>
      <c r="AC165" s="155">
        <f>SUMIFS(AFS!$P$2:$P$6260,AFS!$N$2:$N$6260,B165,AFS!$AT$2:$AT$6260,AA165)</f>
        <v>0</v>
      </c>
      <c r="AD165" s="156">
        <f t="shared" si="8"/>
        <v>0</v>
      </c>
      <c r="AE165" s="159">
        <f>SUM(AD157:AD165)</f>
        <v>-1</v>
      </c>
      <c r="AF165" s="118" t="str">
        <f t="shared" si="9"/>
        <v/>
      </c>
      <c r="AG165" s="26"/>
      <c r="AH165" s="26"/>
      <c r="AI165" s="26"/>
    </row>
    <row r="166">
      <c r="A166" s="66" t="s">
        <v>97</v>
      </c>
      <c r="B166" s="1" t="s">
        <v>34</v>
      </c>
      <c r="C166" s="95" t="s">
        <v>1621</v>
      </c>
      <c r="D166" s="68" t="s">
        <v>137</v>
      </c>
      <c r="E166" s="69" t="str">
        <f t="shared" si="2"/>
        <v/>
      </c>
      <c r="F166" s="69" t="str">
        <f t="shared" si="3"/>
        <v/>
      </c>
      <c r="G166" s="70" t="str">
        <f t="shared" si="4"/>
        <v/>
      </c>
      <c r="H166" s="163"/>
      <c r="I166" s="101"/>
      <c r="J166" s="102"/>
      <c r="K166" s="167"/>
      <c r="L166" s="119"/>
      <c r="M166" s="169"/>
      <c r="N166" s="171" t="str">
        <f t="shared" ref="N166:N174" si="46">IF(ISNUMBER($AF166),3*$AF166,"")</f>
        <v/>
      </c>
      <c r="O166" s="106"/>
      <c r="P166" s="79">
        <f t="array" ref="P166">XLOOKUP(B166,Weight!B:B,Weight!D:D,"#N/A",0)</f>
        <v>390</v>
      </c>
      <c r="Q166" s="80" t="str">
        <f t="shared" si="6"/>
        <v/>
      </c>
      <c r="R166" s="107"/>
      <c r="S166" s="108">
        <v>392620.0</v>
      </c>
      <c r="T166" s="108">
        <v>12.0</v>
      </c>
      <c r="U166" s="83">
        <v>180.0</v>
      </c>
      <c r="V166" s="84" t="str">
        <f t="shared" ref="V166:W166" si="45">B166</f>
        <v>CRM_AP_RED_PACK OF 3</v>
      </c>
      <c r="W166" s="174" t="str">
        <f t="shared" si="45"/>
        <v>CRASOME Apron for Men Women Chef Cooking Restaurants Gardening Workshop, Barbers with Adjustable Strap and Two Pockets ( Red_Pack of 3 )</v>
      </c>
      <c r="X166" s="86">
        <f>SUMIFS('Transit Shipment'!$B$10:$B$1048462,'Transit Shipment'!$A$10:$A$1048462,B166,'Transit Shipment'!$C$10:$C$1048462,AA166)</f>
        <v>0</v>
      </c>
      <c r="Y166" s="86">
        <f>IF(SUMIFS(DIH!$S$2:$S833,DIH!$D$2:$D833,B166,DIH!$U$2:$U833,AA166)&gt;0,SUMIFS(DIH!$S$2:$S833,DIH!$D$2:$D833,B166,DIH!$U$2:$U833,AA166),0)</f>
        <v>1</v>
      </c>
      <c r="Z166" s="87">
        <f t="shared" si="7"/>
        <v>1</v>
      </c>
      <c r="AA166" s="88" t="s">
        <v>5</v>
      </c>
      <c r="AB166" s="89" t="str">
        <f>IF(ISNA(VLOOKUP($B166,'Business Report'!$D$2:$J$202,2,0)),"",VLOOKUP($B166,'Business Report'!$D$2:$J$202,2,0))</f>
        <v/>
      </c>
      <c r="AC166" s="90">
        <f>SUMIFS(AFS!$P$2:$P$6260,AFS!$N$2:$N$6260,B166,AFS!$AT$2:$AT$6260,AA166)</f>
        <v>0</v>
      </c>
      <c r="AD166" s="91">
        <f t="shared" si="8"/>
        <v>-1</v>
      </c>
      <c r="AE166" s="92"/>
      <c r="AF166" s="93" t="str">
        <f t="shared" si="9"/>
        <v/>
      </c>
      <c r="AG166" s="26"/>
      <c r="AH166" s="26"/>
      <c r="AI166" s="26"/>
    </row>
    <row r="167">
      <c r="A167" s="94" t="s">
        <v>97</v>
      </c>
      <c r="B167" s="3" t="s">
        <v>34</v>
      </c>
      <c r="C167" s="95" t="s">
        <v>1621</v>
      </c>
      <c r="D167" s="96" t="s">
        <v>137</v>
      </c>
      <c r="E167" s="97">
        <f t="shared" si="2"/>
        <v>1</v>
      </c>
      <c r="F167" s="97">
        <f t="shared" si="3"/>
        <v>0</v>
      </c>
      <c r="G167" s="99" t="str">
        <f t="shared" si="4"/>
        <v/>
      </c>
      <c r="H167" s="100"/>
      <c r="I167" s="101"/>
      <c r="J167" s="102"/>
      <c r="K167" s="103"/>
      <c r="L167" s="97"/>
      <c r="M167" s="169"/>
      <c r="N167" s="105">
        <f t="shared" si="46"/>
        <v>6</v>
      </c>
      <c r="O167" s="106"/>
      <c r="P167" s="13">
        <f t="array" ref="P167">XLOOKUP(B167,Weight!B:B,Weight!D:D,"#N/A",0)</f>
        <v>390</v>
      </c>
      <c r="Q167" s="17">
        <f t="shared" si="6"/>
        <v>780</v>
      </c>
      <c r="R167" s="107"/>
      <c r="S167" s="108">
        <v>392620.0</v>
      </c>
      <c r="T167" s="108">
        <v>12.0</v>
      </c>
      <c r="U167" s="109">
        <v>180.0</v>
      </c>
      <c r="V167" s="110"/>
      <c r="X167" s="111">
        <f>SUMIFS('Transit Shipment'!$B$10:$B$1048462,'Transit Shipment'!$A$10:$A$1048462,B167,'Transit Shipment'!$C$10:$C$1048462,AA167)</f>
        <v>0</v>
      </c>
      <c r="Y167" s="111">
        <f>IF(SUMIFS(DIH!$S$2:$S833,DIH!$D$2:$D833,B167,DIH!$U$2:$U833,AA167)&gt;0,SUMIFS(DIH!$S$2:$S833,DIH!$D$2:$D833,B167,DIH!$U$2:$U833,AA167),0)</f>
        <v>0</v>
      </c>
      <c r="Z167" s="112">
        <f t="shared" si="7"/>
        <v>0</v>
      </c>
      <c r="AA167" s="113" t="s">
        <v>11</v>
      </c>
      <c r="AB167" s="114" t="str">
        <f>IF(ISNA(VLOOKUP($B167,'Business Report'!$D$2:$J$202,2,0)),"",VLOOKUP($B167,'Business Report'!$D$2:$J$202,2,0))</f>
        <v/>
      </c>
      <c r="AC167" s="115">
        <f>SUMIFS(AFS!$P$2:$P$6260,AFS!$N$2:$N$6260,B167,AFS!$AT$2:$AT$6260,AA167)</f>
        <v>1</v>
      </c>
      <c r="AD167" s="116">
        <f t="shared" si="8"/>
        <v>2</v>
      </c>
      <c r="AE167" s="117"/>
      <c r="AF167" s="118">
        <f t="shared" si="9"/>
        <v>2</v>
      </c>
      <c r="AG167" s="26"/>
      <c r="AH167" s="26"/>
      <c r="AI167" s="26"/>
    </row>
    <row r="168">
      <c r="A168" s="94" t="s">
        <v>97</v>
      </c>
      <c r="B168" s="3" t="s">
        <v>34</v>
      </c>
      <c r="C168" s="95" t="s">
        <v>1621</v>
      </c>
      <c r="D168" s="96" t="s">
        <v>137</v>
      </c>
      <c r="E168" s="97">
        <f t="shared" si="2"/>
        <v>1</v>
      </c>
      <c r="F168" s="97">
        <f t="shared" si="3"/>
        <v>0</v>
      </c>
      <c r="G168" s="99" t="str">
        <f t="shared" si="4"/>
        <v/>
      </c>
      <c r="H168" s="100"/>
      <c r="I168" s="101"/>
      <c r="J168" s="102"/>
      <c r="K168" s="103"/>
      <c r="L168" s="97"/>
      <c r="M168" s="169"/>
      <c r="N168" s="105">
        <f t="shared" si="46"/>
        <v>6</v>
      </c>
      <c r="O168" s="106"/>
      <c r="P168" s="13">
        <f t="array" ref="P168">XLOOKUP(B168,Weight!B:B,Weight!D:D,"#N/A",0)</f>
        <v>390</v>
      </c>
      <c r="Q168" s="17">
        <f t="shared" si="6"/>
        <v>780</v>
      </c>
      <c r="R168" s="107"/>
      <c r="S168" s="108">
        <v>392620.0</v>
      </c>
      <c r="T168" s="108">
        <v>12.0</v>
      </c>
      <c r="U168" s="109">
        <v>180.0</v>
      </c>
      <c r="V168" s="110"/>
      <c r="X168" s="111">
        <f>SUMIFS('Transit Shipment'!$B$10:$B$1048462,'Transit Shipment'!$A$10:$A$1048462,B168,'Transit Shipment'!$C$10:$C$1048462,AA168)</f>
        <v>0</v>
      </c>
      <c r="Y168" s="111">
        <f>IF(SUMIFS(DIH!$S$2:$S833,DIH!$D$2:$D833,B168,DIH!$U$2:$U833,AA168)&gt;0,SUMIFS(DIH!$S$2:$S833,DIH!$D$2:$D833,B168,DIH!$U$2:$U833,AA168),0)</f>
        <v>0</v>
      </c>
      <c r="Z168" s="112">
        <f t="shared" si="7"/>
        <v>0</v>
      </c>
      <c r="AA168" s="119" t="s">
        <v>9</v>
      </c>
      <c r="AB168" s="114" t="str">
        <f>IF(ISNA(VLOOKUP($B168,'Business Report'!$D$2:$J$202,2,0)),"",VLOOKUP($B168,'Business Report'!$D$2:$J$202,2,0))</f>
        <v/>
      </c>
      <c r="AC168" s="115">
        <f>SUMIFS(AFS!$P$2:$P$6260,AFS!$N$2:$N$6260,B168,AFS!$AT$2:$AT$6260,AA168)</f>
        <v>1</v>
      </c>
      <c r="AD168" s="116">
        <f t="shared" si="8"/>
        <v>2</v>
      </c>
      <c r="AE168" s="117"/>
      <c r="AF168" s="118">
        <f t="shared" si="9"/>
        <v>2</v>
      </c>
      <c r="AG168" s="26"/>
      <c r="AH168" s="26"/>
      <c r="AI168" s="26"/>
    </row>
    <row r="169">
      <c r="A169" s="120" t="s">
        <v>97</v>
      </c>
      <c r="B169" s="7" t="s">
        <v>34</v>
      </c>
      <c r="C169" s="95" t="s">
        <v>1621</v>
      </c>
      <c r="D169" s="109" t="s">
        <v>137</v>
      </c>
      <c r="E169" s="97" t="str">
        <f t="shared" si="2"/>
        <v/>
      </c>
      <c r="F169" s="97" t="str">
        <f t="shared" si="3"/>
        <v/>
      </c>
      <c r="G169" s="99" t="str">
        <f t="shared" si="4"/>
        <v/>
      </c>
      <c r="H169" s="121"/>
      <c r="I169" s="122"/>
      <c r="J169" s="123"/>
      <c r="K169" s="124"/>
      <c r="L169" s="125"/>
      <c r="M169" s="181"/>
      <c r="N169" s="105" t="str">
        <f t="shared" si="46"/>
        <v/>
      </c>
      <c r="O169" s="127"/>
      <c r="P169" s="13">
        <f t="array" ref="P169">XLOOKUP(B169,Weight!B:B,Weight!D:D,"#N/A",0)</f>
        <v>390</v>
      </c>
      <c r="Q169" s="17" t="str">
        <f t="shared" si="6"/>
        <v/>
      </c>
      <c r="R169" s="107"/>
      <c r="S169" s="108">
        <v>392620.0</v>
      </c>
      <c r="T169" s="108">
        <v>12.0</v>
      </c>
      <c r="U169" s="109">
        <v>180.0</v>
      </c>
      <c r="V169" s="110"/>
      <c r="X169" s="111">
        <f>SUMIFS('Transit Shipment'!$B$10:$B$1048462,'Transit Shipment'!$A$10:$A$1048462,B169,'Transit Shipment'!$C$10:$C$1048462,AA169)</f>
        <v>0</v>
      </c>
      <c r="Y169" s="111">
        <f>IF(SUMIFS(DIH!$S$2:$S833,DIH!$D$2:$D833,B169,DIH!$U$2:$U833,AA169)&gt;0,SUMIFS(DIH!$S$2:$S833,DIH!$D$2:$D833,B169,DIH!$U$2:$U833,AA169),0)</f>
        <v>2</v>
      </c>
      <c r="Z169" s="112">
        <f t="shared" si="7"/>
        <v>2</v>
      </c>
      <c r="AA169" s="119" t="s">
        <v>155</v>
      </c>
      <c r="AB169" s="114" t="str">
        <f>IF(ISNA(VLOOKUP($B169,'Business Report'!$D$2:$J$202,2,0)),"",VLOOKUP($B169,'Business Report'!$D$2:$J$202,2,0))</f>
        <v/>
      </c>
      <c r="AC169" s="115">
        <f>SUMIFS(AFS!$P$2:$P$6260,AFS!$N$2:$N$6260,B169,AFS!$AT$2:$AT$6260,AA169)</f>
        <v>0</v>
      </c>
      <c r="AD169" s="116">
        <f t="shared" si="8"/>
        <v>-2</v>
      </c>
      <c r="AE169" s="117"/>
      <c r="AF169" s="118" t="str">
        <f t="shared" si="9"/>
        <v/>
      </c>
      <c r="AG169" s="26"/>
      <c r="AH169" s="26"/>
      <c r="AI169" s="26"/>
    </row>
    <row r="170">
      <c r="A170" s="120" t="s">
        <v>97</v>
      </c>
      <c r="B170" s="7" t="s">
        <v>34</v>
      </c>
      <c r="C170" s="95" t="s">
        <v>1621</v>
      </c>
      <c r="D170" s="109" t="s">
        <v>137</v>
      </c>
      <c r="E170" s="97">
        <f t="shared" si="2"/>
        <v>1</v>
      </c>
      <c r="F170" s="97">
        <f t="shared" si="3"/>
        <v>0</v>
      </c>
      <c r="G170" s="99" t="str">
        <f t="shared" si="4"/>
        <v/>
      </c>
      <c r="H170" s="121"/>
      <c r="I170" s="122"/>
      <c r="J170" s="123"/>
      <c r="K170" s="124"/>
      <c r="L170" s="125"/>
      <c r="M170" s="181"/>
      <c r="N170" s="105">
        <f t="shared" si="46"/>
        <v>6</v>
      </c>
      <c r="O170" s="127"/>
      <c r="P170" s="13">
        <f t="array" ref="P170">XLOOKUP(B170,Weight!B:B,Weight!D:D,"#N/A",0)</f>
        <v>390</v>
      </c>
      <c r="Q170" s="17">
        <f t="shared" si="6"/>
        <v>780</v>
      </c>
      <c r="R170" s="107"/>
      <c r="S170" s="108">
        <v>392620.0</v>
      </c>
      <c r="T170" s="108">
        <v>12.0</v>
      </c>
      <c r="U170" s="109">
        <v>180.0</v>
      </c>
      <c r="V170" s="110"/>
      <c r="X170" s="111">
        <f>SUMIFS('Transit Shipment'!$B$10:$B$1048462,'Transit Shipment'!$A$10:$A$1048462,B170,'Transit Shipment'!$C$10:$C$1048462,AA170)</f>
        <v>0</v>
      </c>
      <c r="Y170" s="111">
        <f>IF(SUMIFS(DIH!$S$2:$S833,DIH!$D$2:$D833,B170,DIH!$U$2:$U833,AA170)&gt;0,SUMIFS(DIH!$S$2:$S833,DIH!$D$2:$D833,B170,DIH!$U$2:$U833,AA170),0)</f>
        <v>0</v>
      </c>
      <c r="Z170" s="112">
        <f t="shared" si="7"/>
        <v>0</v>
      </c>
      <c r="AA170" s="119" t="s">
        <v>156</v>
      </c>
      <c r="AB170" s="114" t="str">
        <f>IF(ISNA(VLOOKUP($B170,'Business Report'!$D$2:$J$202,2,0)),"",VLOOKUP($B170,'Business Report'!$D$2:$J$202,2,0))</f>
        <v/>
      </c>
      <c r="AC170" s="115">
        <f>SUMIFS(AFS!$P$2:$P$6260,AFS!$N$2:$N$6260,B170,AFS!$AT$2:$AT$6260,AA170)</f>
        <v>1</v>
      </c>
      <c r="AD170" s="116">
        <f t="shared" si="8"/>
        <v>2</v>
      </c>
      <c r="AE170" s="117"/>
      <c r="AF170" s="118">
        <f t="shared" si="9"/>
        <v>2</v>
      </c>
      <c r="AG170" s="26"/>
      <c r="AH170" s="26"/>
      <c r="AI170" s="26"/>
    </row>
    <row r="171">
      <c r="A171" s="120" t="s">
        <v>97</v>
      </c>
      <c r="B171" s="7" t="s">
        <v>34</v>
      </c>
      <c r="C171" s="95" t="s">
        <v>1621</v>
      </c>
      <c r="D171" s="109" t="s">
        <v>137</v>
      </c>
      <c r="E171" s="97">
        <f t="shared" si="2"/>
        <v>1</v>
      </c>
      <c r="F171" s="97">
        <f t="shared" si="3"/>
        <v>0</v>
      </c>
      <c r="G171" s="99" t="str">
        <f t="shared" si="4"/>
        <v/>
      </c>
      <c r="H171" s="121"/>
      <c r="I171" s="122"/>
      <c r="J171" s="123"/>
      <c r="K171" s="124"/>
      <c r="L171" s="125"/>
      <c r="M171" s="181"/>
      <c r="N171" s="105" t="str">
        <f t="shared" si="46"/>
        <v/>
      </c>
      <c r="O171" s="127"/>
      <c r="P171" s="13">
        <f t="array" ref="P171">XLOOKUP(B171,Weight!B:B,Weight!D:D,"#N/A",0)</f>
        <v>390</v>
      </c>
      <c r="Q171" s="17" t="str">
        <f t="shared" si="6"/>
        <v/>
      </c>
      <c r="R171" s="107"/>
      <c r="S171" s="108">
        <v>392620.0</v>
      </c>
      <c r="T171" s="108">
        <v>12.0</v>
      </c>
      <c r="U171" s="109">
        <v>180.0</v>
      </c>
      <c r="V171" s="110"/>
      <c r="X171" s="111">
        <f>SUMIFS('Transit Shipment'!$B$10:$B$1048462,'Transit Shipment'!$A$10:$A$1048462,B171,'Transit Shipment'!$C$10:$C$1048462,AA171)</f>
        <v>0</v>
      </c>
      <c r="Y171" s="111">
        <f>IF(SUMIFS(DIH!$S$2:$S833,DIH!$D$2:$D833,B171,DIH!$U$2:$U833,AA171)&gt;0,SUMIFS(DIH!$S$2:$S833,DIH!$D$2:$D833,B171,DIH!$U$2:$U833,AA171),0)</f>
        <v>0</v>
      </c>
      <c r="Z171" s="112">
        <f t="shared" si="7"/>
        <v>0</v>
      </c>
      <c r="AA171" s="130" t="s">
        <v>13</v>
      </c>
      <c r="AB171" s="114" t="str">
        <f>IF(ISNA(VLOOKUP($B171,'Business Report'!$D$2:$J$202,2,0)),"",VLOOKUP($B171,'Business Report'!$D$2:$J$202,2,0))</f>
        <v/>
      </c>
      <c r="AC171" s="115">
        <f>SUMIFS(AFS!$P$2:$P$6260,AFS!$N$2:$N$6260,B171,AFS!$AT$2:$AT$6260,AA171)</f>
        <v>0</v>
      </c>
      <c r="AD171" s="116">
        <f t="shared" si="8"/>
        <v>0</v>
      </c>
      <c r="AE171" s="117"/>
      <c r="AF171" s="118" t="str">
        <f t="shared" si="9"/>
        <v/>
      </c>
      <c r="AG171" s="26"/>
      <c r="AH171" s="26"/>
      <c r="AI171" s="26"/>
    </row>
    <row r="172">
      <c r="A172" s="120" t="s">
        <v>97</v>
      </c>
      <c r="B172" s="7" t="s">
        <v>34</v>
      </c>
      <c r="C172" s="95" t="s">
        <v>1621</v>
      </c>
      <c r="D172" s="109" t="s">
        <v>137</v>
      </c>
      <c r="E172" s="97">
        <f t="shared" si="2"/>
        <v>1</v>
      </c>
      <c r="F172" s="97">
        <f t="shared" si="3"/>
        <v>0</v>
      </c>
      <c r="G172" s="99" t="str">
        <f t="shared" si="4"/>
        <v/>
      </c>
      <c r="H172" s="121"/>
      <c r="I172" s="122"/>
      <c r="J172" s="123"/>
      <c r="K172" s="124"/>
      <c r="L172" s="125"/>
      <c r="M172" s="181"/>
      <c r="N172" s="105" t="str">
        <f t="shared" si="46"/>
        <v/>
      </c>
      <c r="O172" s="127"/>
      <c r="P172" s="13">
        <f t="array" ref="P172">XLOOKUP(B172,Weight!B:B,Weight!D:D,"#N/A",0)</f>
        <v>390</v>
      </c>
      <c r="Q172" s="17" t="str">
        <f t="shared" si="6"/>
        <v/>
      </c>
      <c r="R172" s="107"/>
      <c r="S172" s="108">
        <v>392620.0</v>
      </c>
      <c r="T172" s="108">
        <v>12.0</v>
      </c>
      <c r="U172" s="109">
        <v>180.0</v>
      </c>
      <c r="V172" s="110"/>
      <c r="X172" s="111">
        <f>SUMIFS('Transit Shipment'!$B$10:$B$1048462,'Transit Shipment'!$A$10:$A$1048462,B172,'Transit Shipment'!$C$10:$C$1048462,AA172)</f>
        <v>0</v>
      </c>
      <c r="Y172" s="111">
        <f>IF(SUMIFS(DIH!$S$2:$S833,DIH!$D$2:$D833,B172,DIH!$U$2:$U833,AA172)&gt;0,SUMIFS(DIH!$S$2:$S833,DIH!$D$2:$D833,B172,DIH!$U$2:$U833,AA172),0)</f>
        <v>2</v>
      </c>
      <c r="Z172" s="112">
        <f t="shared" si="7"/>
        <v>2</v>
      </c>
      <c r="AA172" s="119" t="s">
        <v>14</v>
      </c>
      <c r="AB172" s="114" t="str">
        <f>IF(ISNA(VLOOKUP($B172,'Business Report'!$D$2:$J$202,2,0)),"",VLOOKUP($B172,'Business Report'!$D$2:$J$202,2,0))</f>
        <v/>
      </c>
      <c r="AC172" s="115">
        <f>SUMIFS(AFS!$P$2:$P$6260,AFS!$N$2:$N$6260,B172,AFS!$AT$2:$AT$6260,AA172)</f>
        <v>1</v>
      </c>
      <c r="AD172" s="116">
        <f t="shared" si="8"/>
        <v>0</v>
      </c>
      <c r="AE172" s="117"/>
      <c r="AF172" s="118" t="str">
        <f t="shared" si="9"/>
        <v/>
      </c>
      <c r="AG172" s="26"/>
      <c r="AH172" s="26"/>
      <c r="AI172" s="26"/>
    </row>
    <row r="173">
      <c r="A173" s="120" t="s">
        <v>97</v>
      </c>
      <c r="B173" s="7" t="s">
        <v>34</v>
      </c>
      <c r="C173" s="95" t="s">
        <v>1621</v>
      </c>
      <c r="D173" s="109" t="s">
        <v>137</v>
      </c>
      <c r="E173" s="97">
        <f t="shared" si="2"/>
        <v>1</v>
      </c>
      <c r="F173" s="97">
        <f t="shared" si="3"/>
        <v>0</v>
      </c>
      <c r="G173" s="99" t="str">
        <f t="shared" si="4"/>
        <v/>
      </c>
      <c r="H173" s="121"/>
      <c r="I173" s="122"/>
      <c r="J173" s="123"/>
      <c r="K173" s="124"/>
      <c r="L173" s="125"/>
      <c r="M173" s="181"/>
      <c r="N173" s="105">
        <f t="shared" si="46"/>
        <v>6</v>
      </c>
      <c r="O173" s="127"/>
      <c r="P173" s="13">
        <f t="array" ref="P173">XLOOKUP(B173,Weight!B:B,Weight!D:D,"#N/A",0)</f>
        <v>390</v>
      </c>
      <c r="Q173" s="17">
        <f t="shared" si="6"/>
        <v>780</v>
      </c>
      <c r="R173" s="107"/>
      <c r="S173" s="108">
        <v>392620.0</v>
      </c>
      <c r="T173" s="108">
        <v>12.0</v>
      </c>
      <c r="U173" s="109">
        <v>180.0</v>
      </c>
      <c r="V173" s="110"/>
      <c r="X173" s="111">
        <f>SUMIFS('Transit Shipment'!$B$10:$B$1048462,'Transit Shipment'!$A$10:$A$1048462,B173,'Transit Shipment'!$C$10:$C$1048462,AA173)</f>
        <v>0</v>
      </c>
      <c r="Y173" s="111">
        <f>IF(SUMIFS(DIH!$S$2:$S833,DIH!$D$2:$D833,B173,DIH!$U$2:$U833,AA173)&gt;0,SUMIFS(DIH!$S$2:$S833,DIH!$D$2:$D833,B173,DIH!$U$2:$U833,AA173),0)</f>
        <v>0</v>
      </c>
      <c r="Z173" s="112">
        <f t="shared" si="7"/>
        <v>0</v>
      </c>
      <c r="AA173" s="131" t="s">
        <v>16</v>
      </c>
      <c r="AB173" s="114" t="str">
        <f>IF(ISNA(VLOOKUP($B173,'Business Report'!$D$2:$J$202,2,0)),"",VLOOKUP($B173,'Business Report'!$D$2:$J$202,2,0))</f>
        <v/>
      </c>
      <c r="AC173" s="115">
        <f>SUMIFS(AFS!$P$2:$P$6260,AFS!$N$2:$N$6260,B173,AFS!$AT$2:$AT$6260,AA173)</f>
        <v>1</v>
      </c>
      <c r="AD173" s="116">
        <f t="shared" si="8"/>
        <v>2</v>
      </c>
      <c r="AE173" s="117"/>
      <c r="AF173" s="118">
        <f t="shared" si="9"/>
        <v>2</v>
      </c>
      <c r="AG173" s="26"/>
      <c r="AH173" s="26"/>
      <c r="AI173" s="26"/>
    </row>
    <row r="174">
      <c r="A174" s="132" t="s">
        <v>97</v>
      </c>
      <c r="B174" s="15" t="s">
        <v>34</v>
      </c>
      <c r="C174" s="133" t="s">
        <v>1621</v>
      </c>
      <c r="D174" s="134" t="s">
        <v>137</v>
      </c>
      <c r="E174" s="135">
        <f t="shared" si="2"/>
        <v>1</v>
      </c>
      <c r="F174" s="135">
        <f t="shared" si="3"/>
        <v>0</v>
      </c>
      <c r="G174" s="136" t="str">
        <f t="shared" si="4"/>
        <v/>
      </c>
      <c r="H174" s="137"/>
      <c r="I174" s="138"/>
      <c r="J174" s="139"/>
      <c r="K174" s="140"/>
      <c r="L174" s="135"/>
      <c r="M174" s="152"/>
      <c r="N174" s="142" t="str">
        <f t="shared" si="46"/>
        <v/>
      </c>
      <c r="O174" s="143"/>
      <c r="P174" s="144">
        <f t="array" ref="P174">XLOOKUP(B174,Weight!B:B,Weight!D:D,"#N/A",0)</f>
        <v>390</v>
      </c>
      <c r="Q174" s="145" t="str">
        <f t="shared" si="6"/>
        <v/>
      </c>
      <c r="R174" s="146"/>
      <c r="S174" s="147">
        <v>392620.0</v>
      </c>
      <c r="T174" s="147">
        <v>12.0</v>
      </c>
      <c r="U174" s="109">
        <v>180.0</v>
      </c>
      <c r="V174" s="148"/>
      <c r="W174" s="149"/>
      <c r="X174" s="150">
        <f>SUMIFS('Transit Shipment'!$B$10:$B$1048462,'Transit Shipment'!$A$10:$A$1048462,B174,'Transit Shipment'!$C$10:$C$1048462,AA174)</f>
        <v>0</v>
      </c>
      <c r="Y174" s="150">
        <f>IF(SUMIFS(DIH!$S$2:$S833,DIH!$D$2:$D833,B174,DIH!$U$2:$U833,AA174)&gt;0,SUMIFS(DIH!$S$2:$S833,DIH!$D$2:$D833,B174,DIH!$U$2:$U833,AA174),0)</f>
        <v>0</v>
      </c>
      <c r="Z174" s="151">
        <f t="shared" si="7"/>
        <v>0</v>
      </c>
      <c r="AA174" s="152" t="s">
        <v>17</v>
      </c>
      <c r="AB174" s="154" t="str">
        <f>IF(ISNA(VLOOKUP($B174,'Business Report'!$D$2:$J$202,2,0)),"",VLOOKUP($B174,'Business Report'!$D$2:$J$202,2,0))</f>
        <v/>
      </c>
      <c r="AC174" s="155">
        <f>SUMIFS(AFS!$P$2:$P$6260,AFS!$N$2:$N$6260,B174,AFS!$AT$2:$AT$6260,AA174)</f>
        <v>0</v>
      </c>
      <c r="AD174" s="156">
        <f t="shared" si="8"/>
        <v>0</v>
      </c>
      <c r="AE174" s="159">
        <f>SUM(AD166:AD174)</f>
        <v>5</v>
      </c>
      <c r="AF174" s="118" t="str">
        <f t="shared" si="9"/>
        <v/>
      </c>
      <c r="AG174" s="26"/>
      <c r="AH174" s="26"/>
      <c r="AI174" s="26"/>
    </row>
    <row r="175">
      <c r="A175" s="66" t="s">
        <v>93</v>
      </c>
      <c r="B175" s="1" t="s">
        <v>35</v>
      </c>
      <c r="C175" s="95" t="s">
        <v>1761</v>
      </c>
      <c r="D175" s="68" t="s">
        <v>137</v>
      </c>
      <c r="E175" s="69">
        <f t="shared" si="2"/>
        <v>1</v>
      </c>
      <c r="F175" s="69">
        <f t="shared" si="3"/>
        <v>0</v>
      </c>
      <c r="G175" s="70" t="str">
        <f t="shared" si="4"/>
        <v/>
      </c>
      <c r="H175" s="163"/>
      <c r="I175" s="101"/>
      <c r="J175" s="102"/>
      <c r="K175" s="167"/>
      <c r="L175" s="119" t="str">
        <f t="shared" ref="L175:L183" si="48">IF(ISNUMBER($AF175),3*$AF175,"")</f>
        <v/>
      </c>
      <c r="M175" s="169"/>
      <c r="N175" s="171"/>
      <c r="O175" s="106"/>
      <c r="P175" s="79">
        <f t="array" ref="P175">XLOOKUP(B175,Weight!B:B,Weight!D:D,"#N/A",0)</f>
        <v>390</v>
      </c>
      <c r="Q175" s="80" t="str">
        <f t="shared" si="6"/>
        <v/>
      </c>
      <c r="R175" s="107"/>
      <c r="S175" s="108">
        <v>392620.0</v>
      </c>
      <c r="T175" s="108">
        <v>12.0</v>
      </c>
      <c r="U175" s="83">
        <v>180.0</v>
      </c>
      <c r="V175" s="84" t="str">
        <f t="shared" ref="V175:W175" si="47">B175</f>
        <v>CRM_AP_TEN _PACK OF 3</v>
      </c>
      <c r="W175" s="174" t="str">
        <f t="shared" si="47"/>
        <v>CRASOME Apron for Men Women Chef Cooking Restaurants Gardening Workshop, Barbers with Adjustable Strap and Two Pockets ( Ten_Pack of 3)</v>
      </c>
      <c r="X175" s="86">
        <f>SUMIFS('Transit Shipment'!$B$10:$B$1048462,'Transit Shipment'!$A$10:$A$1048462,B175,'Transit Shipment'!$C$10:$C$1048462,AA175)</f>
        <v>0</v>
      </c>
      <c r="Y175" s="86">
        <f>IF(SUMIFS(DIH!$S$2:$S833,DIH!$D$2:$D833,B175,DIH!$U$2:$U833,AA175)&gt;0,SUMIFS(DIH!$S$2:$S833,DIH!$D$2:$D833,B175,DIH!$U$2:$U833,AA175),0)</f>
        <v>0</v>
      </c>
      <c r="Z175" s="87">
        <f t="shared" si="7"/>
        <v>0</v>
      </c>
      <c r="AA175" s="88" t="s">
        <v>5</v>
      </c>
      <c r="AB175" s="89">
        <f>IF(ISNA(VLOOKUP($B175,'Business Report'!$D$2:$J$202,2,0)),"",VLOOKUP($B175,'Business Report'!$D$2:$J$202,2,0))</f>
        <v>54</v>
      </c>
      <c r="AC175" s="90">
        <f>SUMIFS(AFS!$P$2:$P$6260,AFS!$N$2:$N$6260,B175,AFS!$AT$2:$AT$6260,AA175)</f>
        <v>0</v>
      </c>
      <c r="AD175" s="91">
        <f t="shared" si="8"/>
        <v>0</v>
      </c>
      <c r="AE175" s="92"/>
      <c r="AF175" s="93" t="str">
        <f t="shared" si="9"/>
        <v/>
      </c>
      <c r="AG175" s="26"/>
      <c r="AH175" s="26"/>
      <c r="AI175" s="26"/>
    </row>
    <row r="176">
      <c r="A176" s="94" t="s">
        <v>93</v>
      </c>
      <c r="B176" s="3" t="s">
        <v>35</v>
      </c>
      <c r="C176" s="95" t="s">
        <v>1761</v>
      </c>
      <c r="D176" s="96" t="s">
        <v>137</v>
      </c>
      <c r="E176" s="97">
        <f t="shared" si="2"/>
        <v>1</v>
      </c>
      <c r="F176" s="97">
        <f t="shared" si="3"/>
        <v>0</v>
      </c>
      <c r="G176" s="99" t="str">
        <f t="shared" si="4"/>
        <v/>
      </c>
      <c r="H176" s="100"/>
      <c r="I176" s="101"/>
      <c r="J176" s="102"/>
      <c r="K176" s="103"/>
      <c r="L176" s="97" t="str">
        <f t="shared" si="48"/>
        <v/>
      </c>
      <c r="M176" s="169"/>
      <c r="N176" s="105"/>
      <c r="O176" s="106"/>
      <c r="P176" s="13">
        <f t="array" ref="P176">XLOOKUP(B176,Weight!B:B,Weight!D:D,"#N/A",0)</f>
        <v>390</v>
      </c>
      <c r="Q176" s="17" t="str">
        <f t="shared" si="6"/>
        <v/>
      </c>
      <c r="R176" s="107"/>
      <c r="S176" s="108">
        <v>392620.0</v>
      </c>
      <c r="T176" s="108">
        <v>12.0</v>
      </c>
      <c r="U176" s="109">
        <v>180.0</v>
      </c>
      <c r="V176" s="110"/>
      <c r="X176" s="111">
        <f>SUMIFS('Transit Shipment'!$B$10:$B$1048462,'Transit Shipment'!$A$10:$A$1048462,B176,'Transit Shipment'!$C$10:$C$1048462,AA176)</f>
        <v>0</v>
      </c>
      <c r="Y176" s="111">
        <f>IF(SUMIFS(DIH!$S$2:$S833,DIH!$D$2:$D833,B176,DIH!$U$2:$U833,AA176)&gt;0,SUMIFS(DIH!$S$2:$S833,DIH!$D$2:$D833,B176,DIH!$U$2:$U833,AA176),0)</f>
        <v>0</v>
      </c>
      <c r="Z176" s="112">
        <f t="shared" si="7"/>
        <v>0</v>
      </c>
      <c r="AA176" s="113" t="s">
        <v>11</v>
      </c>
      <c r="AB176" s="114">
        <f>IF(ISNA(VLOOKUP($B176,'Business Report'!$D$2:$J$202,2,0)),"",VLOOKUP($B176,'Business Report'!$D$2:$J$202,2,0))</f>
        <v>54</v>
      </c>
      <c r="AC176" s="115">
        <f>SUMIFS(AFS!$P$2:$P$6260,AFS!$N$2:$N$6260,B176,AFS!$AT$2:$AT$6260,AA176)</f>
        <v>0</v>
      </c>
      <c r="AD176" s="116">
        <f t="shared" si="8"/>
        <v>0</v>
      </c>
      <c r="AE176" s="117"/>
      <c r="AF176" s="118" t="str">
        <f t="shared" si="9"/>
        <v/>
      </c>
      <c r="AG176" s="26"/>
      <c r="AH176" s="26"/>
      <c r="AI176" s="26"/>
    </row>
    <row r="177">
      <c r="A177" s="94" t="s">
        <v>93</v>
      </c>
      <c r="B177" s="3" t="s">
        <v>35</v>
      </c>
      <c r="C177" s="95" t="s">
        <v>1761</v>
      </c>
      <c r="D177" s="96" t="s">
        <v>137</v>
      </c>
      <c r="E177" s="97">
        <f t="shared" si="2"/>
        <v>8</v>
      </c>
      <c r="F177" s="97">
        <f t="shared" si="3"/>
        <v>0</v>
      </c>
      <c r="G177" s="99" t="str">
        <f t="shared" si="4"/>
        <v/>
      </c>
      <c r="H177" s="100"/>
      <c r="I177" s="101"/>
      <c r="J177" s="102"/>
      <c r="K177" s="103"/>
      <c r="L177" s="97">
        <f t="shared" si="48"/>
        <v>48</v>
      </c>
      <c r="M177" s="169"/>
      <c r="N177" s="105"/>
      <c r="O177" s="106"/>
      <c r="P177" s="13">
        <f t="array" ref="P177">XLOOKUP(B177,Weight!B:B,Weight!D:D,"#N/A",0)</f>
        <v>390</v>
      </c>
      <c r="Q177" s="17">
        <f t="shared" si="6"/>
        <v>6240</v>
      </c>
      <c r="R177" s="107"/>
      <c r="S177" s="108">
        <v>392620.0</v>
      </c>
      <c r="T177" s="108">
        <v>12.0</v>
      </c>
      <c r="U177" s="109">
        <v>180.0</v>
      </c>
      <c r="V177" s="110"/>
      <c r="X177" s="111">
        <f>SUMIFS('Transit Shipment'!$B$10:$B$1048462,'Transit Shipment'!$A$10:$A$1048462,B177,'Transit Shipment'!$C$10:$C$1048462,AA177)</f>
        <v>0</v>
      </c>
      <c r="Y177" s="111">
        <f>IF(SUMIFS(DIH!$S$2:$S833,DIH!$D$2:$D833,B177,DIH!$U$2:$U833,AA177)&gt;0,SUMIFS(DIH!$S$2:$S833,DIH!$D$2:$D833,B177,DIH!$U$2:$U833,AA177),0)</f>
        <v>0</v>
      </c>
      <c r="Z177" s="112">
        <f t="shared" si="7"/>
        <v>0</v>
      </c>
      <c r="AA177" s="119" t="s">
        <v>9</v>
      </c>
      <c r="AB177" s="114">
        <f>IF(ISNA(VLOOKUP($B177,'Business Report'!$D$2:$J$202,2,0)),"",VLOOKUP($B177,'Business Report'!$D$2:$J$202,2,0))</f>
        <v>54</v>
      </c>
      <c r="AC177" s="115">
        <f>SUMIFS(AFS!$P$2:$P$6260,AFS!$N$2:$N$6260,B177,AFS!$AT$2:$AT$6260,AA177)</f>
        <v>12</v>
      </c>
      <c r="AD177" s="116">
        <f t="shared" si="8"/>
        <v>16</v>
      </c>
      <c r="AE177" s="117"/>
      <c r="AF177" s="118">
        <f t="shared" si="9"/>
        <v>16</v>
      </c>
      <c r="AG177" s="4"/>
      <c r="AH177" s="26"/>
      <c r="AI177" s="26"/>
    </row>
    <row r="178">
      <c r="A178" s="120" t="s">
        <v>93</v>
      </c>
      <c r="B178" s="7" t="s">
        <v>35</v>
      </c>
      <c r="C178" s="95" t="s">
        <v>1761</v>
      </c>
      <c r="D178" s="109" t="s">
        <v>137</v>
      </c>
      <c r="E178" s="97">
        <f t="shared" si="2"/>
        <v>1</v>
      </c>
      <c r="F178" s="97">
        <f t="shared" si="3"/>
        <v>0</v>
      </c>
      <c r="G178" s="99" t="str">
        <f t="shared" si="4"/>
        <v/>
      </c>
      <c r="H178" s="121"/>
      <c r="I178" s="122"/>
      <c r="J178" s="123"/>
      <c r="K178" s="124"/>
      <c r="L178" s="97" t="str">
        <f t="shared" si="48"/>
        <v/>
      </c>
      <c r="M178" s="181"/>
      <c r="N178" s="126"/>
      <c r="O178" s="127"/>
      <c r="P178" s="13">
        <f t="array" ref="P178">XLOOKUP(B178,Weight!B:B,Weight!D:D,"#N/A",0)</f>
        <v>390</v>
      </c>
      <c r="Q178" s="17" t="str">
        <f t="shared" si="6"/>
        <v/>
      </c>
      <c r="R178" s="107"/>
      <c r="S178" s="108">
        <v>392620.0</v>
      </c>
      <c r="T178" s="108">
        <v>12.0</v>
      </c>
      <c r="U178" s="109">
        <v>180.0</v>
      </c>
      <c r="V178" s="110"/>
      <c r="X178" s="111">
        <f>SUMIFS('Transit Shipment'!$B$10:$B$1048462,'Transit Shipment'!$A$10:$A$1048462,B178,'Transit Shipment'!$C$10:$C$1048462,AA178)</f>
        <v>0</v>
      </c>
      <c r="Y178" s="111">
        <f>IF(SUMIFS(DIH!$S$2:$S833,DIH!$D$2:$D833,B178,DIH!$U$2:$U833,AA178)&gt;0,SUMIFS(DIH!$S$2:$S833,DIH!$D$2:$D833,B178,DIH!$U$2:$U833,AA178),0)</f>
        <v>0</v>
      </c>
      <c r="Z178" s="112">
        <f t="shared" si="7"/>
        <v>0</v>
      </c>
      <c r="AA178" s="119" t="s">
        <v>155</v>
      </c>
      <c r="AB178" s="114">
        <f>IF(ISNA(VLOOKUP($B178,'Business Report'!$D$2:$J$202,2,0)),"",VLOOKUP($B178,'Business Report'!$D$2:$J$202,2,0))</f>
        <v>54</v>
      </c>
      <c r="AC178" s="115">
        <f>SUMIFS(AFS!$P$2:$P$6260,AFS!$N$2:$N$6260,B178,AFS!$AT$2:$AT$6260,AA178)</f>
        <v>0</v>
      </c>
      <c r="AD178" s="116">
        <f t="shared" si="8"/>
        <v>0</v>
      </c>
      <c r="AE178" s="117"/>
      <c r="AF178" s="118" t="str">
        <f t="shared" si="9"/>
        <v/>
      </c>
      <c r="AG178" s="4"/>
      <c r="AH178" s="26"/>
      <c r="AI178" s="26"/>
    </row>
    <row r="179">
      <c r="A179" s="120" t="s">
        <v>93</v>
      </c>
      <c r="B179" s="7" t="s">
        <v>35</v>
      </c>
      <c r="C179" s="95" t="s">
        <v>1761</v>
      </c>
      <c r="D179" s="109" t="s">
        <v>137</v>
      </c>
      <c r="E179" s="97" t="str">
        <f t="shared" si="2"/>
        <v/>
      </c>
      <c r="F179" s="97" t="str">
        <f t="shared" si="3"/>
        <v/>
      </c>
      <c r="G179" s="99" t="str">
        <f t="shared" si="4"/>
        <v/>
      </c>
      <c r="H179" s="121"/>
      <c r="I179" s="122"/>
      <c r="J179" s="123"/>
      <c r="K179" s="124"/>
      <c r="L179" s="97" t="str">
        <f t="shared" si="48"/>
        <v/>
      </c>
      <c r="M179" s="181"/>
      <c r="N179" s="126"/>
      <c r="O179" s="127"/>
      <c r="P179" s="13">
        <f t="array" ref="P179">XLOOKUP(B179,Weight!B:B,Weight!D:D,"#N/A",0)</f>
        <v>390</v>
      </c>
      <c r="Q179" s="17" t="str">
        <f t="shared" si="6"/>
        <v/>
      </c>
      <c r="R179" s="107"/>
      <c r="S179" s="108">
        <v>392620.0</v>
      </c>
      <c r="T179" s="108">
        <v>12.0</v>
      </c>
      <c r="U179" s="109">
        <v>180.0</v>
      </c>
      <c r="V179" s="110"/>
      <c r="X179" s="111">
        <f>SUMIFS('Transit Shipment'!$B$10:$B$1048462,'Transit Shipment'!$A$10:$A$1048462,B179,'Transit Shipment'!$C$10:$C$1048462,AA179)</f>
        <v>0</v>
      </c>
      <c r="Y179" s="111">
        <f>IF(SUMIFS(DIH!$S$2:$S833,DIH!$D$2:$D833,B179,DIH!$U$2:$U833,AA179)&gt;0,SUMIFS(DIH!$S$2:$S833,DIH!$D$2:$D833,B179,DIH!$U$2:$U833,AA179),0)</f>
        <v>7</v>
      </c>
      <c r="Z179" s="112">
        <f t="shared" si="7"/>
        <v>7</v>
      </c>
      <c r="AA179" s="119" t="s">
        <v>156</v>
      </c>
      <c r="AB179" s="114">
        <f>IF(ISNA(VLOOKUP($B179,'Business Report'!$D$2:$J$202,2,0)),"",VLOOKUP($B179,'Business Report'!$D$2:$J$202,2,0))</f>
        <v>54</v>
      </c>
      <c r="AC179" s="115">
        <f>SUMIFS(AFS!$P$2:$P$6260,AFS!$N$2:$N$6260,B179,AFS!$AT$2:$AT$6260,AA179)</f>
        <v>4</v>
      </c>
      <c r="AD179" s="116">
        <f t="shared" si="8"/>
        <v>-1</v>
      </c>
      <c r="AE179" s="117"/>
      <c r="AF179" s="118" t="str">
        <f t="shared" si="9"/>
        <v/>
      </c>
      <c r="AG179" s="4"/>
      <c r="AH179" s="26"/>
      <c r="AI179" s="26"/>
    </row>
    <row r="180">
      <c r="A180" s="120" t="s">
        <v>93</v>
      </c>
      <c r="B180" s="7" t="s">
        <v>35</v>
      </c>
      <c r="C180" s="95" t="s">
        <v>1761</v>
      </c>
      <c r="D180" s="109" t="s">
        <v>137</v>
      </c>
      <c r="E180" s="97">
        <f t="shared" si="2"/>
        <v>1</v>
      </c>
      <c r="F180" s="97">
        <f t="shared" si="3"/>
        <v>0</v>
      </c>
      <c r="G180" s="99" t="str">
        <f t="shared" si="4"/>
        <v/>
      </c>
      <c r="H180" s="121"/>
      <c r="I180" s="122"/>
      <c r="J180" s="123"/>
      <c r="K180" s="124"/>
      <c r="L180" s="97" t="str">
        <f t="shared" si="48"/>
        <v/>
      </c>
      <c r="M180" s="181"/>
      <c r="N180" s="126"/>
      <c r="O180" s="127"/>
      <c r="P180" s="13">
        <f t="array" ref="P180">XLOOKUP(B180,Weight!B:B,Weight!D:D,"#N/A",0)</f>
        <v>390</v>
      </c>
      <c r="Q180" s="17" t="str">
        <f t="shared" si="6"/>
        <v/>
      </c>
      <c r="R180" s="107"/>
      <c r="S180" s="108">
        <v>392620.0</v>
      </c>
      <c r="T180" s="108">
        <v>12.0</v>
      </c>
      <c r="U180" s="109">
        <v>180.0</v>
      </c>
      <c r="V180" s="110"/>
      <c r="X180" s="111">
        <f>SUMIFS('Transit Shipment'!$B$10:$B$1048462,'Transit Shipment'!$A$10:$A$1048462,B180,'Transit Shipment'!$C$10:$C$1048462,AA180)</f>
        <v>0</v>
      </c>
      <c r="Y180" s="111">
        <f>IF(SUMIFS(DIH!$S$2:$S833,DIH!$D$2:$D833,B180,DIH!$U$2:$U833,AA180)&gt;0,SUMIFS(DIH!$S$2:$S833,DIH!$D$2:$D833,B180,DIH!$U$2:$U833,AA180),0)</f>
        <v>0</v>
      </c>
      <c r="Z180" s="112">
        <f t="shared" si="7"/>
        <v>0</v>
      </c>
      <c r="AA180" s="130" t="s">
        <v>13</v>
      </c>
      <c r="AB180" s="114">
        <f>IF(ISNA(VLOOKUP($B180,'Business Report'!$D$2:$J$202,2,0)),"",VLOOKUP($B180,'Business Report'!$D$2:$J$202,2,0))</f>
        <v>54</v>
      </c>
      <c r="AC180" s="115">
        <f>SUMIFS(AFS!$P$2:$P$6260,AFS!$N$2:$N$6260,B180,AFS!$AT$2:$AT$6260,AA180)</f>
        <v>0</v>
      </c>
      <c r="AD180" s="116">
        <f t="shared" si="8"/>
        <v>0</v>
      </c>
      <c r="AE180" s="117"/>
      <c r="AF180" s="118" t="str">
        <f t="shared" si="9"/>
        <v/>
      </c>
      <c r="AG180" s="26"/>
      <c r="AH180" s="26"/>
      <c r="AI180" s="26"/>
    </row>
    <row r="181">
      <c r="A181" s="120" t="s">
        <v>93</v>
      </c>
      <c r="B181" s="7" t="s">
        <v>35</v>
      </c>
      <c r="C181" s="95" t="s">
        <v>1761</v>
      </c>
      <c r="D181" s="109" t="s">
        <v>137</v>
      </c>
      <c r="E181" s="97">
        <f t="shared" si="2"/>
        <v>1</v>
      </c>
      <c r="F181" s="97">
        <f t="shared" si="3"/>
        <v>0</v>
      </c>
      <c r="G181" s="99" t="str">
        <f t="shared" si="4"/>
        <v/>
      </c>
      <c r="H181" s="121"/>
      <c r="I181" s="122"/>
      <c r="J181" s="123"/>
      <c r="K181" s="124"/>
      <c r="L181" s="97">
        <f t="shared" si="48"/>
        <v>6</v>
      </c>
      <c r="M181" s="181"/>
      <c r="N181" s="126"/>
      <c r="O181" s="127"/>
      <c r="P181" s="13">
        <f t="array" ref="P181">XLOOKUP(B181,Weight!B:B,Weight!D:D,"#N/A",0)</f>
        <v>390</v>
      </c>
      <c r="Q181" s="17">
        <f t="shared" si="6"/>
        <v>780</v>
      </c>
      <c r="R181" s="107"/>
      <c r="S181" s="108">
        <v>392620.0</v>
      </c>
      <c r="T181" s="108">
        <v>12.0</v>
      </c>
      <c r="U181" s="109">
        <v>180.0</v>
      </c>
      <c r="V181" s="110"/>
      <c r="X181" s="111">
        <f>SUMIFS('Transit Shipment'!$B$10:$B$1048462,'Transit Shipment'!$A$10:$A$1048462,B181,'Transit Shipment'!$C$10:$C$1048462,AA181)</f>
        <v>0</v>
      </c>
      <c r="Y181" s="111">
        <f>IF(SUMIFS(DIH!$S$2:$S833,DIH!$D$2:$D833,B181,DIH!$U$2:$U833,AA181)&gt;0,SUMIFS(DIH!$S$2:$S833,DIH!$D$2:$D833,B181,DIH!$U$2:$U833,AA181),0)</f>
        <v>0</v>
      </c>
      <c r="Z181" s="112">
        <f t="shared" si="7"/>
        <v>0</v>
      </c>
      <c r="AA181" s="119" t="s">
        <v>14</v>
      </c>
      <c r="AB181" s="114">
        <f>IF(ISNA(VLOOKUP($B181,'Business Report'!$D$2:$J$202,2,0)),"",VLOOKUP($B181,'Business Report'!$D$2:$J$202,2,0))</f>
        <v>54</v>
      </c>
      <c r="AC181" s="115">
        <f>SUMIFS(AFS!$P$2:$P$6260,AFS!$N$2:$N$6260,B181,AFS!$AT$2:$AT$6260,AA181)</f>
        <v>1</v>
      </c>
      <c r="AD181" s="116">
        <f t="shared" si="8"/>
        <v>2</v>
      </c>
      <c r="AE181" s="117"/>
      <c r="AF181" s="118">
        <f t="shared" si="9"/>
        <v>2</v>
      </c>
      <c r="AG181" s="26"/>
      <c r="AH181" s="26"/>
      <c r="AI181" s="26"/>
    </row>
    <row r="182">
      <c r="A182" s="120" t="s">
        <v>93</v>
      </c>
      <c r="B182" s="7" t="s">
        <v>35</v>
      </c>
      <c r="C182" s="95" t="s">
        <v>1761</v>
      </c>
      <c r="D182" s="109" t="s">
        <v>137</v>
      </c>
      <c r="E182" s="97" t="str">
        <f t="shared" si="2"/>
        <v/>
      </c>
      <c r="F182" s="97" t="str">
        <f t="shared" si="3"/>
        <v/>
      </c>
      <c r="G182" s="99" t="str">
        <f t="shared" si="4"/>
        <v/>
      </c>
      <c r="H182" s="121"/>
      <c r="I182" s="122"/>
      <c r="J182" s="123"/>
      <c r="K182" s="124"/>
      <c r="L182" s="97" t="str">
        <f t="shared" si="48"/>
        <v/>
      </c>
      <c r="M182" s="181"/>
      <c r="N182" s="126"/>
      <c r="O182" s="127"/>
      <c r="P182" s="13">
        <f t="array" ref="P182">XLOOKUP(B182,Weight!B:B,Weight!D:D,"#N/A",0)</f>
        <v>390</v>
      </c>
      <c r="Q182" s="17" t="str">
        <f t="shared" si="6"/>
        <v/>
      </c>
      <c r="R182" s="107"/>
      <c r="S182" s="108">
        <v>392620.0</v>
      </c>
      <c r="T182" s="108">
        <v>12.0</v>
      </c>
      <c r="U182" s="109">
        <v>180.0</v>
      </c>
      <c r="V182" s="110"/>
      <c r="X182" s="111">
        <f>SUMIFS('Transit Shipment'!$B$10:$B$1048462,'Transit Shipment'!$A$10:$A$1048462,B182,'Transit Shipment'!$C$10:$C$1048462,AA182)</f>
        <v>0</v>
      </c>
      <c r="Y182" s="111">
        <f>IF(SUMIFS(DIH!$S$2:$S833,DIH!$D$2:$D833,B182,DIH!$U$2:$U833,AA182)&gt;0,SUMIFS(DIH!$S$2:$S833,DIH!$D$2:$D833,B182,DIH!$U$2:$U833,AA182),0)</f>
        <v>3</v>
      </c>
      <c r="Z182" s="112">
        <f t="shared" si="7"/>
        <v>3</v>
      </c>
      <c r="AA182" s="131" t="s">
        <v>16</v>
      </c>
      <c r="AB182" s="114">
        <f>IF(ISNA(VLOOKUP($B182,'Business Report'!$D$2:$J$202,2,0)),"",VLOOKUP($B182,'Business Report'!$D$2:$J$202,2,0))</f>
        <v>54</v>
      </c>
      <c r="AC182" s="115">
        <f>SUMIFS(AFS!$P$2:$P$6260,AFS!$N$2:$N$6260,B182,AFS!$AT$2:$AT$6260,AA182)</f>
        <v>0</v>
      </c>
      <c r="AD182" s="116">
        <f t="shared" si="8"/>
        <v>-3</v>
      </c>
      <c r="AE182" s="117"/>
      <c r="AF182" s="118" t="str">
        <f t="shared" si="9"/>
        <v/>
      </c>
      <c r="AG182" s="26"/>
      <c r="AH182" s="26"/>
      <c r="AI182" s="26"/>
    </row>
    <row r="183">
      <c r="A183" s="132" t="s">
        <v>93</v>
      </c>
      <c r="B183" s="15" t="s">
        <v>35</v>
      </c>
      <c r="C183" s="133" t="s">
        <v>1761</v>
      </c>
      <c r="D183" s="134" t="s">
        <v>137</v>
      </c>
      <c r="E183" s="135">
        <f t="shared" si="2"/>
        <v>1</v>
      </c>
      <c r="F183" s="135">
        <f t="shared" si="3"/>
        <v>0</v>
      </c>
      <c r="G183" s="136" t="str">
        <f t="shared" si="4"/>
        <v/>
      </c>
      <c r="H183" s="137"/>
      <c r="I183" s="138"/>
      <c r="J183" s="139"/>
      <c r="K183" s="140"/>
      <c r="L183" s="135" t="str">
        <f t="shared" si="48"/>
        <v/>
      </c>
      <c r="M183" s="152"/>
      <c r="N183" s="142"/>
      <c r="O183" s="143"/>
      <c r="P183" s="144">
        <f t="array" ref="P183">XLOOKUP(B183,Weight!B:B,Weight!D:D,"#N/A",0)</f>
        <v>390</v>
      </c>
      <c r="Q183" s="145" t="str">
        <f t="shared" si="6"/>
        <v/>
      </c>
      <c r="R183" s="146"/>
      <c r="S183" s="147">
        <v>392620.0</v>
      </c>
      <c r="T183" s="147">
        <v>12.0</v>
      </c>
      <c r="U183" s="109">
        <v>180.0</v>
      </c>
      <c r="V183" s="148"/>
      <c r="W183" s="149"/>
      <c r="X183" s="150">
        <f>SUMIFS('Transit Shipment'!$B$10:$B$1048462,'Transit Shipment'!$A$10:$A$1048462,B183,'Transit Shipment'!$C$10:$C$1048462,AA183)</f>
        <v>0</v>
      </c>
      <c r="Y183" s="150">
        <f>IF(SUMIFS(DIH!$S$2:$S833,DIH!$D$2:$D833,B183,DIH!$U$2:$U833,AA183)&gt;0,SUMIFS(DIH!$S$2:$S833,DIH!$D$2:$D833,B183,DIH!$U$2:$U833,AA183),0)</f>
        <v>0</v>
      </c>
      <c r="Z183" s="151">
        <f t="shared" si="7"/>
        <v>0</v>
      </c>
      <c r="AA183" s="152" t="s">
        <v>17</v>
      </c>
      <c r="AB183" s="154">
        <f>IF(ISNA(VLOOKUP($B183,'Business Report'!$D$2:$J$202,2,0)),"",VLOOKUP($B183,'Business Report'!$D$2:$J$202,2,0))</f>
        <v>54</v>
      </c>
      <c r="AC183" s="155">
        <f>SUMIFS(AFS!$P$2:$P$6260,AFS!$N$2:$N$6260,B183,AFS!$AT$2:$AT$6260,AA183)</f>
        <v>0</v>
      </c>
      <c r="AD183" s="156">
        <f t="shared" si="8"/>
        <v>0</v>
      </c>
      <c r="AE183" s="159">
        <f>SUM(AD175:AD183)</f>
        <v>14</v>
      </c>
      <c r="AF183" s="118" t="str">
        <f t="shared" si="9"/>
        <v/>
      </c>
      <c r="AG183" s="26"/>
      <c r="AH183" s="26"/>
      <c r="AI183" s="26"/>
    </row>
    <row r="184">
      <c r="A184" s="66" t="s">
        <v>1917</v>
      </c>
      <c r="B184" s="1" t="s">
        <v>38</v>
      </c>
      <c r="C184" s="95" t="s">
        <v>1919</v>
      </c>
      <c r="D184" s="68" t="s">
        <v>163</v>
      </c>
      <c r="E184" s="69">
        <f t="shared" si="2"/>
        <v>1</v>
      </c>
      <c r="F184" s="69">
        <f t="shared" si="3"/>
        <v>0</v>
      </c>
      <c r="G184" s="70" t="str">
        <f t="shared" si="4"/>
        <v/>
      </c>
      <c r="H184" s="163"/>
      <c r="I184" s="101"/>
      <c r="J184" s="102"/>
      <c r="K184" s="167"/>
      <c r="L184" s="119"/>
      <c r="M184" s="169"/>
      <c r="N184" s="171"/>
      <c r="O184" s="106"/>
      <c r="P184" s="79">
        <f t="array" ref="P184">XLOOKUP(B184,Weight!B:B,Weight!D:D,"#N/A",0)</f>
        <v>144</v>
      </c>
      <c r="Q184" s="80" t="str">
        <f t="shared" si="6"/>
        <v/>
      </c>
      <c r="R184" s="107"/>
      <c r="S184" s="108">
        <v>845290.0</v>
      </c>
      <c r="T184" s="108">
        <v>12.0</v>
      </c>
      <c r="U184" s="83">
        <v>55.0</v>
      </c>
      <c r="V184" s="84" t="str">
        <f t="shared" ref="V184:W184" si="49">B184</f>
        <v>Bajaj_1</v>
      </c>
      <c r="W184" s="174" t="str">
        <f t="shared" si="49"/>
        <v>CRASOME Dust Proof Washable Kitchen Wet Grinder Cover for 2L Table Top Butterfly Rhino | Butterfly Smart | Butterfly Hippo CSM-BJ (Blue)</v>
      </c>
      <c r="X184" s="86">
        <f>SUMIFS('Transit Shipment'!$B$10:$B$1048462,'Transit Shipment'!$A$10:$A$1048462,B184,'Transit Shipment'!$C$10:$C$1048462,AA184)</f>
        <v>0</v>
      </c>
      <c r="Y184" s="86">
        <f>IF(SUMIFS(DIH!$S$2:$S833,DIH!$D$2:$D833,B184,DIH!$U$2:$U833,AA184)&gt;0,SUMIFS(DIH!$S$2:$S833,DIH!$D$2:$D833,B184,DIH!$U$2:$U833,AA184),0)</f>
        <v>0</v>
      </c>
      <c r="Z184" s="87">
        <f t="shared" si="7"/>
        <v>0</v>
      </c>
      <c r="AA184" s="88" t="s">
        <v>5</v>
      </c>
      <c r="AB184" s="89">
        <f>IF(ISNA(VLOOKUP($B184,'Business Report'!$D$2:$J$202,2,0)),"",VLOOKUP($B184,'Business Report'!$D$2:$J$202,2,0))</f>
        <v>39</v>
      </c>
      <c r="AC184" s="90">
        <f>SUMIFS(AFS!$P$2:$P$6260,AFS!$N$2:$N$6260,B184,AFS!$AT$2:$AT$6260,AA184)</f>
        <v>0</v>
      </c>
      <c r="AD184" s="91">
        <f t="shared" si="8"/>
        <v>0</v>
      </c>
      <c r="AE184" s="92"/>
      <c r="AF184" s="93" t="str">
        <f t="shared" si="9"/>
        <v/>
      </c>
      <c r="AG184" s="26"/>
      <c r="AH184" s="26"/>
      <c r="AI184" s="26"/>
    </row>
    <row r="185">
      <c r="A185" s="94" t="s">
        <v>1917</v>
      </c>
      <c r="B185" s="3" t="s">
        <v>38</v>
      </c>
      <c r="C185" s="95" t="s">
        <v>1919</v>
      </c>
      <c r="D185" s="96" t="s">
        <v>163</v>
      </c>
      <c r="E185" s="97">
        <f t="shared" si="2"/>
        <v>1</v>
      </c>
      <c r="F185" s="97">
        <f t="shared" si="3"/>
        <v>0</v>
      </c>
      <c r="G185" s="99" t="str">
        <f t="shared" si="4"/>
        <v/>
      </c>
      <c r="H185" s="100"/>
      <c r="I185" s="101"/>
      <c r="J185" s="102"/>
      <c r="K185" s="103"/>
      <c r="L185" s="97"/>
      <c r="M185" s="169"/>
      <c r="N185" s="105"/>
      <c r="O185" s="106"/>
      <c r="P185" s="13">
        <f t="array" ref="P185">XLOOKUP(B185,Weight!B:B,Weight!D:D,"#N/A",0)</f>
        <v>144</v>
      </c>
      <c r="Q185" s="17" t="str">
        <f t="shared" si="6"/>
        <v/>
      </c>
      <c r="R185" s="107"/>
      <c r="S185" s="108">
        <v>845290.0</v>
      </c>
      <c r="T185" s="108">
        <v>12.0</v>
      </c>
      <c r="U185" s="109">
        <v>55.0</v>
      </c>
      <c r="V185" s="110"/>
      <c r="X185" s="111">
        <f>SUMIFS('Transit Shipment'!$B$10:$B$1048462,'Transit Shipment'!$A$10:$A$1048462,B185,'Transit Shipment'!$C$10:$C$1048462,AA185)</f>
        <v>0</v>
      </c>
      <c r="Y185" s="111">
        <f>IF(SUMIFS(DIH!$S$2:$S833,DIH!$D$2:$D833,B185,DIH!$U$2:$U833,AA185)&gt;0,SUMIFS(DIH!$S$2:$S833,DIH!$D$2:$D833,B185,DIH!$U$2:$U833,AA185),0)</f>
        <v>0</v>
      </c>
      <c r="Z185" s="112">
        <f t="shared" si="7"/>
        <v>0</v>
      </c>
      <c r="AA185" s="113" t="s">
        <v>11</v>
      </c>
      <c r="AB185" s="114">
        <f>IF(ISNA(VLOOKUP($B185,'Business Report'!$D$2:$J$202,2,0)),"",VLOOKUP($B185,'Business Report'!$D$2:$J$202,2,0))</f>
        <v>39</v>
      </c>
      <c r="AC185" s="115">
        <f>SUMIFS(AFS!$P$2:$P$6260,AFS!$N$2:$N$6260,B185,AFS!$AT$2:$AT$6260,AA185)</f>
        <v>0</v>
      </c>
      <c r="AD185" s="116">
        <f t="shared" si="8"/>
        <v>0</v>
      </c>
      <c r="AE185" s="117"/>
      <c r="AF185" s="118" t="str">
        <f t="shared" si="9"/>
        <v/>
      </c>
      <c r="AG185" s="26"/>
      <c r="AH185" s="26"/>
      <c r="AI185" s="26"/>
    </row>
    <row r="186">
      <c r="A186" s="94" t="s">
        <v>1917</v>
      </c>
      <c r="B186" s="3" t="s">
        <v>38</v>
      </c>
      <c r="C186" s="95" t="s">
        <v>1919</v>
      </c>
      <c r="D186" s="96" t="s">
        <v>163</v>
      </c>
      <c r="E186" s="97">
        <f t="shared" si="2"/>
        <v>1</v>
      </c>
      <c r="F186" s="97">
        <f t="shared" si="3"/>
        <v>0</v>
      </c>
      <c r="G186" s="99" t="str">
        <f t="shared" si="4"/>
        <v/>
      </c>
      <c r="H186" s="100"/>
      <c r="I186" s="101"/>
      <c r="J186" s="102"/>
      <c r="K186" s="103"/>
      <c r="L186" s="97"/>
      <c r="M186" s="169"/>
      <c r="N186" s="105"/>
      <c r="O186" s="106"/>
      <c r="P186" s="13">
        <f t="array" ref="P186">XLOOKUP(B186,Weight!B:B,Weight!D:D,"#N/A",0)</f>
        <v>144</v>
      </c>
      <c r="Q186" s="17" t="str">
        <f t="shared" si="6"/>
        <v/>
      </c>
      <c r="R186" s="107"/>
      <c r="S186" s="108">
        <v>845290.0</v>
      </c>
      <c r="T186" s="108">
        <v>12.0</v>
      </c>
      <c r="U186" s="109">
        <v>55.0</v>
      </c>
      <c r="V186" s="110"/>
      <c r="X186" s="111">
        <f>SUMIFS('Transit Shipment'!$B$10:$B$1048462,'Transit Shipment'!$A$10:$A$1048462,B186,'Transit Shipment'!$C$10:$C$1048462,AA186)</f>
        <v>0</v>
      </c>
      <c r="Y186" s="111">
        <f>IF(SUMIFS(DIH!$S$2:$S833,DIH!$D$2:$D833,B186,DIH!$U$2:$U833,AA186)&gt;0,SUMIFS(DIH!$S$2:$S833,DIH!$D$2:$D833,B186,DIH!$U$2:$U833,AA186),0)</f>
        <v>0</v>
      </c>
      <c r="Z186" s="112">
        <f t="shared" si="7"/>
        <v>0</v>
      </c>
      <c r="AA186" s="119" t="s">
        <v>9</v>
      </c>
      <c r="AB186" s="114">
        <f>IF(ISNA(VLOOKUP($B186,'Business Report'!$D$2:$J$202,2,0)),"",VLOOKUP($B186,'Business Report'!$D$2:$J$202,2,0))</f>
        <v>39</v>
      </c>
      <c r="AC186" s="115">
        <f>SUMIFS(AFS!$P$2:$P$6260,AFS!$N$2:$N$6260,B186,AFS!$AT$2:$AT$6260,AA186)</f>
        <v>0</v>
      </c>
      <c r="AD186" s="116">
        <f t="shared" si="8"/>
        <v>0</v>
      </c>
      <c r="AE186" s="117"/>
      <c r="AF186" s="118" t="str">
        <f t="shared" si="9"/>
        <v/>
      </c>
      <c r="AG186" s="26"/>
      <c r="AH186" s="26"/>
      <c r="AI186" s="26"/>
    </row>
    <row r="187">
      <c r="A187" s="120" t="s">
        <v>1917</v>
      </c>
      <c r="B187" s="7" t="s">
        <v>38</v>
      </c>
      <c r="C187" s="95" t="s">
        <v>1919</v>
      </c>
      <c r="D187" s="109" t="s">
        <v>163</v>
      </c>
      <c r="E187" s="97">
        <f t="shared" si="2"/>
        <v>1</v>
      </c>
      <c r="F187" s="97">
        <f t="shared" si="3"/>
        <v>0</v>
      </c>
      <c r="G187" s="99" t="str">
        <f t="shared" si="4"/>
        <v/>
      </c>
      <c r="H187" s="121"/>
      <c r="I187" s="122"/>
      <c r="J187" s="123"/>
      <c r="K187" s="124"/>
      <c r="L187" s="125"/>
      <c r="M187" s="181"/>
      <c r="N187" s="126"/>
      <c r="O187" s="127"/>
      <c r="P187" s="13">
        <f t="array" ref="P187">XLOOKUP(B187,Weight!B:B,Weight!D:D,"#N/A",0)</f>
        <v>144</v>
      </c>
      <c r="Q187" s="17" t="str">
        <f t="shared" si="6"/>
        <v/>
      </c>
      <c r="R187" s="107"/>
      <c r="S187" s="108">
        <v>845290.0</v>
      </c>
      <c r="T187" s="108">
        <v>12.0</v>
      </c>
      <c r="U187" s="109">
        <v>55.0</v>
      </c>
      <c r="V187" s="110"/>
      <c r="X187" s="111">
        <f>SUMIFS('Transit Shipment'!$B$10:$B$1048462,'Transit Shipment'!$A$10:$A$1048462,B187,'Transit Shipment'!$C$10:$C$1048462,AA187)</f>
        <v>0</v>
      </c>
      <c r="Y187" s="111">
        <f>IF(SUMIFS(DIH!$S$2:$S833,DIH!$D$2:$D833,B187,DIH!$U$2:$U833,AA187)&gt;0,SUMIFS(DIH!$S$2:$S833,DIH!$D$2:$D833,B187,DIH!$U$2:$U833,AA187),0)</f>
        <v>0</v>
      </c>
      <c r="Z187" s="112">
        <f t="shared" si="7"/>
        <v>0</v>
      </c>
      <c r="AA187" s="119" t="s">
        <v>155</v>
      </c>
      <c r="AB187" s="114">
        <f>IF(ISNA(VLOOKUP($B187,'Business Report'!$D$2:$J$202,2,0)),"",VLOOKUP($B187,'Business Report'!$D$2:$J$202,2,0))</f>
        <v>39</v>
      </c>
      <c r="AC187" s="115">
        <f>SUMIFS(AFS!$P$2:$P$6260,AFS!$N$2:$N$6260,B187,AFS!$AT$2:$AT$6260,AA187)</f>
        <v>0</v>
      </c>
      <c r="AD187" s="116">
        <f t="shared" si="8"/>
        <v>0</v>
      </c>
      <c r="AE187" s="117"/>
      <c r="AF187" s="118" t="str">
        <f t="shared" si="9"/>
        <v/>
      </c>
      <c r="AG187" s="26"/>
      <c r="AH187" s="26"/>
      <c r="AI187" s="26"/>
    </row>
    <row r="188">
      <c r="A188" s="120" t="s">
        <v>1917</v>
      </c>
      <c r="B188" s="7" t="s">
        <v>38</v>
      </c>
      <c r="C188" s="95" t="s">
        <v>1919</v>
      </c>
      <c r="D188" s="109" t="s">
        <v>163</v>
      </c>
      <c r="E188" s="97" t="str">
        <f t="shared" si="2"/>
        <v/>
      </c>
      <c r="F188" s="97" t="str">
        <f t="shared" si="3"/>
        <v/>
      </c>
      <c r="G188" s="99" t="str">
        <f t="shared" si="4"/>
        <v/>
      </c>
      <c r="H188" s="121"/>
      <c r="I188" s="122"/>
      <c r="J188" s="123"/>
      <c r="K188" s="124"/>
      <c r="L188" s="125"/>
      <c r="M188" s="181"/>
      <c r="N188" s="126"/>
      <c r="O188" s="127"/>
      <c r="P188" s="13">
        <f t="array" ref="P188">XLOOKUP(B188,Weight!B:B,Weight!D:D,"#N/A",0)</f>
        <v>144</v>
      </c>
      <c r="Q188" s="17" t="str">
        <f t="shared" si="6"/>
        <v/>
      </c>
      <c r="R188" s="107"/>
      <c r="S188" s="108">
        <v>845290.0</v>
      </c>
      <c r="T188" s="108">
        <v>12.0</v>
      </c>
      <c r="U188" s="109">
        <v>55.0</v>
      </c>
      <c r="V188" s="110"/>
      <c r="X188" s="111">
        <f>SUMIFS('Transit Shipment'!$B$10:$B$1048462,'Transit Shipment'!$A$10:$A$1048462,B188,'Transit Shipment'!$C$10:$C$1048462,AA188)</f>
        <v>0</v>
      </c>
      <c r="Y188" s="111">
        <f>IF(SUMIFS(DIH!$S$2:$S833,DIH!$D$2:$D833,B188,DIH!$U$2:$U833,AA188)&gt;0,SUMIFS(DIH!$S$2:$S833,DIH!$D$2:$D833,B188,DIH!$U$2:$U833,AA188),0)</f>
        <v>3</v>
      </c>
      <c r="Z188" s="112">
        <f t="shared" si="7"/>
        <v>3</v>
      </c>
      <c r="AA188" s="119" t="s">
        <v>156</v>
      </c>
      <c r="AB188" s="114">
        <f>IF(ISNA(VLOOKUP($B188,'Business Report'!$D$2:$J$202,2,0)),"",VLOOKUP($B188,'Business Report'!$D$2:$J$202,2,0))</f>
        <v>39</v>
      </c>
      <c r="AC188" s="115">
        <f>SUMIFS(AFS!$P$2:$P$6260,AFS!$N$2:$N$6260,B188,AFS!$AT$2:$AT$6260,AA188)</f>
        <v>1</v>
      </c>
      <c r="AD188" s="116">
        <f t="shared" si="8"/>
        <v>-1</v>
      </c>
      <c r="AE188" s="117"/>
      <c r="AF188" s="118" t="str">
        <f t="shared" si="9"/>
        <v/>
      </c>
      <c r="AG188" s="26"/>
      <c r="AH188" s="26"/>
      <c r="AI188" s="26"/>
    </row>
    <row r="189">
      <c r="A189" s="120" t="s">
        <v>1917</v>
      </c>
      <c r="B189" s="7" t="s">
        <v>38</v>
      </c>
      <c r="C189" s="95" t="s">
        <v>1919</v>
      </c>
      <c r="D189" s="109" t="s">
        <v>163</v>
      </c>
      <c r="E189" s="97">
        <f t="shared" si="2"/>
        <v>1</v>
      </c>
      <c r="F189" s="97">
        <f t="shared" si="3"/>
        <v>0</v>
      </c>
      <c r="G189" s="99" t="str">
        <f t="shared" si="4"/>
        <v/>
      </c>
      <c r="H189" s="121"/>
      <c r="I189" s="122"/>
      <c r="J189" s="123"/>
      <c r="K189" s="124"/>
      <c r="L189" s="125"/>
      <c r="M189" s="181"/>
      <c r="N189" s="126"/>
      <c r="O189" s="127"/>
      <c r="P189" s="13">
        <f t="array" ref="P189">XLOOKUP(B189,Weight!B:B,Weight!D:D,"#N/A",0)</f>
        <v>144</v>
      </c>
      <c r="Q189" s="17" t="str">
        <f t="shared" si="6"/>
        <v/>
      </c>
      <c r="R189" s="107"/>
      <c r="S189" s="108">
        <v>845290.0</v>
      </c>
      <c r="T189" s="108">
        <v>12.0</v>
      </c>
      <c r="U189" s="109">
        <v>55.0</v>
      </c>
      <c r="V189" s="110"/>
      <c r="X189" s="111">
        <f>SUMIFS('Transit Shipment'!$B$10:$B$1048462,'Transit Shipment'!$A$10:$A$1048462,B189,'Transit Shipment'!$C$10:$C$1048462,AA189)</f>
        <v>0</v>
      </c>
      <c r="Y189" s="111">
        <f>IF(SUMIFS(DIH!$S$2:$S833,DIH!$D$2:$D833,B189,DIH!$U$2:$U833,AA189)&gt;0,SUMIFS(DIH!$S$2:$S833,DIH!$D$2:$D833,B189,DIH!$U$2:$U833,AA189),0)</f>
        <v>2</v>
      </c>
      <c r="Z189" s="112">
        <f t="shared" si="7"/>
        <v>2</v>
      </c>
      <c r="AA189" s="130" t="s">
        <v>13</v>
      </c>
      <c r="AB189" s="114">
        <f>IF(ISNA(VLOOKUP($B189,'Business Report'!$D$2:$J$202,2,0)),"",VLOOKUP($B189,'Business Report'!$D$2:$J$202,2,0))</f>
        <v>39</v>
      </c>
      <c r="AC189" s="115">
        <f>SUMIFS(AFS!$P$2:$P$6260,AFS!$N$2:$N$6260,B189,AFS!$AT$2:$AT$6260,AA189)</f>
        <v>1</v>
      </c>
      <c r="AD189" s="116">
        <f t="shared" si="8"/>
        <v>0</v>
      </c>
      <c r="AE189" s="117"/>
      <c r="AF189" s="118" t="str">
        <f t="shared" si="9"/>
        <v/>
      </c>
      <c r="AG189" s="26"/>
      <c r="AH189" s="26"/>
      <c r="AI189" s="26"/>
    </row>
    <row r="190">
      <c r="A190" s="120" t="s">
        <v>1917</v>
      </c>
      <c r="B190" s="7" t="s">
        <v>38</v>
      </c>
      <c r="C190" s="95" t="s">
        <v>1919</v>
      </c>
      <c r="D190" s="109" t="s">
        <v>163</v>
      </c>
      <c r="E190" s="97">
        <f t="shared" si="2"/>
        <v>1</v>
      </c>
      <c r="F190" s="97">
        <f t="shared" si="3"/>
        <v>0</v>
      </c>
      <c r="G190" s="99" t="str">
        <f t="shared" si="4"/>
        <v/>
      </c>
      <c r="H190" s="121"/>
      <c r="I190" s="122"/>
      <c r="J190" s="123"/>
      <c r="K190" s="124"/>
      <c r="L190" s="125"/>
      <c r="M190" s="181"/>
      <c r="N190" s="126"/>
      <c r="O190" s="127"/>
      <c r="P190" s="13">
        <f t="array" ref="P190">XLOOKUP(B190,Weight!B:B,Weight!D:D,"#N/A",0)</f>
        <v>144</v>
      </c>
      <c r="Q190" s="17" t="str">
        <f t="shared" si="6"/>
        <v/>
      </c>
      <c r="R190" s="107"/>
      <c r="S190" s="108">
        <v>845290.0</v>
      </c>
      <c r="T190" s="108">
        <v>12.0</v>
      </c>
      <c r="U190" s="109">
        <v>55.0</v>
      </c>
      <c r="V190" s="110"/>
      <c r="X190" s="111">
        <f>SUMIFS('Transit Shipment'!$B$10:$B$1048462,'Transit Shipment'!$A$10:$A$1048462,B190,'Transit Shipment'!$C$10:$C$1048462,AA190)</f>
        <v>0</v>
      </c>
      <c r="Y190" s="111">
        <f>IF(SUMIFS(DIH!$S$2:$S833,DIH!$D$2:$D833,B190,DIH!$U$2:$U833,AA190)&gt;0,SUMIFS(DIH!$S$2:$S833,DIH!$D$2:$D833,B190,DIH!$U$2:$U833,AA190),0)</f>
        <v>0</v>
      </c>
      <c r="Z190" s="112">
        <f t="shared" si="7"/>
        <v>0</v>
      </c>
      <c r="AA190" s="119" t="s">
        <v>14</v>
      </c>
      <c r="AB190" s="114">
        <f>IF(ISNA(VLOOKUP($B190,'Business Report'!$D$2:$J$202,2,0)),"",VLOOKUP($B190,'Business Report'!$D$2:$J$202,2,0))</f>
        <v>39</v>
      </c>
      <c r="AC190" s="115">
        <f>SUMIFS(AFS!$P$2:$P$6260,AFS!$N$2:$N$6260,B190,AFS!$AT$2:$AT$6260,AA190)</f>
        <v>0</v>
      </c>
      <c r="AD190" s="116">
        <f t="shared" si="8"/>
        <v>0</v>
      </c>
      <c r="AE190" s="117"/>
      <c r="AF190" s="118" t="str">
        <f t="shared" si="9"/>
        <v/>
      </c>
      <c r="AG190" s="26"/>
      <c r="AH190" s="26"/>
      <c r="AI190" s="26"/>
    </row>
    <row r="191">
      <c r="A191" s="120" t="s">
        <v>1917</v>
      </c>
      <c r="B191" s="7" t="s">
        <v>38</v>
      </c>
      <c r="C191" s="95" t="s">
        <v>1919</v>
      </c>
      <c r="D191" s="109" t="s">
        <v>163</v>
      </c>
      <c r="E191" s="97">
        <f t="shared" si="2"/>
        <v>1</v>
      </c>
      <c r="F191" s="97">
        <f t="shared" si="3"/>
        <v>0</v>
      </c>
      <c r="G191" s="99" t="str">
        <f t="shared" si="4"/>
        <v/>
      </c>
      <c r="H191" s="121"/>
      <c r="I191" s="122"/>
      <c r="J191" s="123"/>
      <c r="K191" s="124"/>
      <c r="L191" s="125"/>
      <c r="M191" s="181"/>
      <c r="N191" s="126"/>
      <c r="O191" s="127"/>
      <c r="P191" s="13">
        <f t="array" ref="P191">XLOOKUP(B191,Weight!B:B,Weight!D:D,"#N/A",0)</f>
        <v>144</v>
      </c>
      <c r="Q191" s="17" t="str">
        <f t="shared" si="6"/>
        <v/>
      </c>
      <c r="R191" s="107"/>
      <c r="S191" s="108">
        <v>845290.0</v>
      </c>
      <c r="T191" s="108">
        <v>12.0</v>
      </c>
      <c r="U191" s="109">
        <v>55.0</v>
      </c>
      <c r="V191" s="110"/>
      <c r="X191" s="111">
        <f>SUMIFS('Transit Shipment'!$B$10:$B$1048462,'Transit Shipment'!$A$10:$A$1048462,B191,'Transit Shipment'!$C$10:$C$1048462,AA191)</f>
        <v>0</v>
      </c>
      <c r="Y191" s="111">
        <f>IF(SUMIFS(DIH!$S$2:$S833,DIH!$D$2:$D833,B191,DIH!$U$2:$U833,AA191)&gt;0,SUMIFS(DIH!$S$2:$S833,DIH!$D$2:$D833,B191,DIH!$U$2:$U833,AA191),0)</f>
        <v>0</v>
      </c>
      <c r="Z191" s="112">
        <f t="shared" si="7"/>
        <v>0</v>
      </c>
      <c r="AA191" s="131" t="s">
        <v>16</v>
      </c>
      <c r="AB191" s="114">
        <f>IF(ISNA(VLOOKUP($B191,'Business Report'!$D$2:$J$202,2,0)),"",VLOOKUP($B191,'Business Report'!$D$2:$J$202,2,0))</f>
        <v>39</v>
      </c>
      <c r="AC191" s="115">
        <f>SUMIFS(AFS!$P$2:$P$6260,AFS!$N$2:$N$6260,B191,AFS!$AT$2:$AT$6260,AA191)</f>
        <v>0</v>
      </c>
      <c r="AD191" s="116">
        <f t="shared" si="8"/>
        <v>0</v>
      </c>
      <c r="AE191" s="117"/>
      <c r="AF191" s="118" t="str">
        <f t="shared" si="9"/>
        <v/>
      </c>
      <c r="AG191" s="26"/>
      <c r="AH191" s="26"/>
      <c r="AI191" s="26"/>
    </row>
    <row r="192">
      <c r="A192" s="132" t="s">
        <v>1917</v>
      </c>
      <c r="B192" s="15" t="s">
        <v>38</v>
      </c>
      <c r="C192" s="133" t="s">
        <v>1919</v>
      </c>
      <c r="D192" s="134" t="s">
        <v>163</v>
      </c>
      <c r="E192" s="135">
        <f t="shared" si="2"/>
        <v>1</v>
      </c>
      <c r="F192" s="135">
        <f t="shared" si="3"/>
        <v>0</v>
      </c>
      <c r="G192" s="136" t="str">
        <f t="shared" si="4"/>
        <v/>
      </c>
      <c r="H192" s="137"/>
      <c r="I192" s="138"/>
      <c r="J192" s="139"/>
      <c r="K192" s="140"/>
      <c r="L192" s="135"/>
      <c r="M192" s="152"/>
      <c r="N192" s="142"/>
      <c r="O192" s="143"/>
      <c r="P192" s="144">
        <f t="array" ref="P192">XLOOKUP(B192,Weight!B:B,Weight!D:D,"#N/A",0)</f>
        <v>144</v>
      </c>
      <c r="Q192" s="145" t="str">
        <f t="shared" si="6"/>
        <v/>
      </c>
      <c r="R192" s="146"/>
      <c r="S192" s="147">
        <v>845290.0</v>
      </c>
      <c r="T192" s="147">
        <v>12.0</v>
      </c>
      <c r="U192" s="109">
        <v>55.0</v>
      </c>
      <c r="V192" s="148"/>
      <c r="W192" s="149"/>
      <c r="X192" s="150">
        <f>SUMIFS('Transit Shipment'!$B$10:$B$1048462,'Transit Shipment'!$A$10:$A$1048462,B192,'Transit Shipment'!$C$10:$C$1048462,AA192)</f>
        <v>0</v>
      </c>
      <c r="Y192" s="150">
        <f>IF(SUMIFS(DIH!$S$2:$S833,DIH!$D$2:$D833,B192,DIH!$U$2:$U833,AA192)&gt;0,SUMIFS(DIH!$S$2:$S833,DIH!$D$2:$D833,B192,DIH!$U$2:$U833,AA192),0)</f>
        <v>0</v>
      </c>
      <c r="Z192" s="151">
        <f t="shared" si="7"/>
        <v>0</v>
      </c>
      <c r="AA192" s="152" t="s">
        <v>17</v>
      </c>
      <c r="AB192" s="154">
        <f>IF(ISNA(VLOOKUP($B192,'Business Report'!$D$2:$J$202,2,0)),"",VLOOKUP($B192,'Business Report'!$D$2:$J$202,2,0))</f>
        <v>39</v>
      </c>
      <c r="AC192" s="155">
        <f>SUMIFS(AFS!$P$2:$P$6260,AFS!$N$2:$N$6260,B192,AFS!$AT$2:$AT$6260,AA192)</f>
        <v>0</v>
      </c>
      <c r="AD192" s="156">
        <f t="shared" si="8"/>
        <v>0</v>
      </c>
      <c r="AE192" s="159">
        <f>SUM(AD184:AD192)</f>
        <v>-1</v>
      </c>
      <c r="AF192" s="118" t="str">
        <f t="shared" si="9"/>
        <v/>
      </c>
      <c r="AG192" s="26"/>
      <c r="AH192" s="26"/>
      <c r="AI192" s="26"/>
    </row>
    <row r="193">
      <c r="A193" s="66" t="s">
        <v>1917</v>
      </c>
      <c r="B193" s="1" t="s">
        <v>39</v>
      </c>
      <c r="C193" s="95" t="s">
        <v>2085</v>
      </c>
      <c r="D193" s="68" t="s">
        <v>163</v>
      </c>
      <c r="E193" s="69">
        <f t="shared" si="2"/>
        <v>0</v>
      </c>
      <c r="F193" s="69">
        <f t="shared" si="3"/>
        <v>0.5</v>
      </c>
      <c r="G193" s="70">
        <f t="shared" si="4"/>
        <v>2</v>
      </c>
      <c r="H193" s="163"/>
      <c r="I193" s="101"/>
      <c r="J193" s="102"/>
      <c r="K193" s="167"/>
      <c r="L193" s="119"/>
      <c r="M193" s="169"/>
      <c r="N193" s="171"/>
      <c r="O193" s="106"/>
      <c r="P193" s="79">
        <f t="array" ref="P193">XLOOKUP(B193,Weight!B:B,Weight!D:D,"#N/A",0)</f>
        <v>144</v>
      </c>
      <c r="Q193" s="80">
        <f t="shared" si="6"/>
        <v>288</v>
      </c>
      <c r="R193" s="107"/>
      <c r="S193" s="108">
        <v>845290.0</v>
      </c>
      <c r="T193" s="108">
        <v>12.0</v>
      </c>
      <c r="U193" s="83">
        <v>55.0</v>
      </c>
      <c r="V193" s="84" t="str">
        <f t="shared" ref="V193:W193" si="50">B193</f>
        <v>Bajaj_2</v>
      </c>
      <c r="W193" s="174" t="str">
        <f t="shared" si="50"/>
        <v>CRASOME Dust Proof Washable Kitchen Wet Grinder Cover for 2L Table Top Elgi Ultra Perfect S | Elgi Ultra Perfect Plus | 1.25L Table Top Ultra Mini CSM-BJ (Blue)</v>
      </c>
      <c r="X193" s="86">
        <f>SUMIFS('Transit Shipment'!$B$10:$B$1048462,'Transit Shipment'!$A$10:$A$1048462,B193,'Transit Shipment'!$C$10:$C$1048462,AA193)</f>
        <v>0</v>
      </c>
      <c r="Y193" s="86">
        <f>IF(SUMIFS(DIH!$S$2:$S833,DIH!$D$2:$D833,B193,DIH!$U$2:$U833,AA193)&gt;0,SUMIFS(DIH!$S$2:$S833,DIH!$D$2:$D833,B193,DIH!$U$2:$U833,AA193),0)</f>
        <v>1</v>
      </c>
      <c r="Z193" s="87">
        <f t="shared" si="7"/>
        <v>1</v>
      </c>
      <c r="AA193" s="88" t="s">
        <v>5</v>
      </c>
      <c r="AB193" s="89">
        <f>IF(ISNA(VLOOKUP($B193,'Business Report'!$D$2:$J$202,2,0)),"",VLOOKUP($B193,'Business Report'!$D$2:$J$202,2,0))</f>
        <v>10</v>
      </c>
      <c r="AC193" s="90">
        <f>SUMIFS(AFS!$P$2:$P$6260,AFS!$N$2:$N$6260,B193,AFS!$AT$2:$AT$6260,AA193)</f>
        <v>1</v>
      </c>
      <c r="AD193" s="91">
        <f t="shared" si="8"/>
        <v>1</v>
      </c>
      <c r="AE193" s="92"/>
      <c r="AF193" s="93">
        <f t="shared" si="9"/>
        <v>2</v>
      </c>
      <c r="AG193" s="26"/>
      <c r="AH193" s="26"/>
      <c r="AI193" s="26"/>
    </row>
    <row r="194">
      <c r="A194" s="94" t="s">
        <v>1917</v>
      </c>
      <c r="B194" s="3" t="s">
        <v>39</v>
      </c>
      <c r="C194" s="95" t="s">
        <v>2085</v>
      </c>
      <c r="D194" s="96" t="s">
        <v>163</v>
      </c>
      <c r="E194" s="97">
        <f t="shared" si="2"/>
        <v>1</v>
      </c>
      <c r="F194" s="97">
        <f t="shared" si="3"/>
        <v>0</v>
      </c>
      <c r="G194" s="99" t="str">
        <f t="shared" si="4"/>
        <v/>
      </c>
      <c r="H194" s="100"/>
      <c r="I194" s="101"/>
      <c r="J194" s="102"/>
      <c r="K194" s="103"/>
      <c r="L194" s="97"/>
      <c r="M194" s="169"/>
      <c r="N194" s="105"/>
      <c r="O194" s="106"/>
      <c r="P194" s="13">
        <f t="array" ref="P194">XLOOKUP(B194,Weight!B:B,Weight!D:D,"#N/A",0)</f>
        <v>144</v>
      </c>
      <c r="Q194" s="17" t="str">
        <f t="shared" si="6"/>
        <v/>
      </c>
      <c r="R194" s="107"/>
      <c r="S194" s="108">
        <v>845290.0</v>
      </c>
      <c r="T194" s="108">
        <v>12.0</v>
      </c>
      <c r="U194" s="109">
        <v>55.0</v>
      </c>
      <c r="V194" s="110"/>
      <c r="X194" s="111">
        <f>SUMIFS('Transit Shipment'!$B$10:$B$1048462,'Transit Shipment'!$A$10:$A$1048462,B194,'Transit Shipment'!$C$10:$C$1048462,AA194)</f>
        <v>0</v>
      </c>
      <c r="Y194" s="111">
        <f>IF(SUMIFS(DIH!$S$2:$S833,DIH!$D$2:$D833,B194,DIH!$U$2:$U833,AA194)&gt;0,SUMIFS(DIH!$S$2:$S833,DIH!$D$2:$D833,B194,DIH!$U$2:$U833,AA194),0)</f>
        <v>3</v>
      </c>
      <c r="Z194" s="112">
        <f t="shared" si="7"/>
        <v>3</v>
      </c>
      <c r="AA194" s="113" t="s">
        <v>11</v>
      </c>
      <c r="AB194" s="114">
        <f>IF(ISNA(VLOOKUP($B194,'Business Report'!$D$2:$J$202,2,0)),"",VLOOKUP($B194,'Business Report'!$D$2:$J$202,2,0))</f>
        <v>10</v>
      </c>
      <c r="AC194" s="115">
        <f>SUMIFS(AFS!$P$2:$P$6260,AFS!$N$2:$N$6260,B194,AFS!$AT$2:$AT$6260,AA194)</f>
        <v>2</v>
      </c>
      <c r="AD194" s="116">
        <f t="shared" si="8"/>
        <v>0</v>
      </c>
      <c r="AE194" s="117"/>
      <c r="AF194" s="118" t="str">
        <f t="shared" si="9"/>
        <v/>
      </c>
      <c r="AG194" s="26"/>
      <c r="AH194" s="26"/>
      <c r="AI194" s="26"/>
    </row>
    <row r="195">
      <c r="A195" s="94" t="s">
        <v>1917</v>
      </c>
      <c r="B195" s="3" t="s">
        <v>39</v>
      </c>
      <c r="C195" s="95" t="s">
        <v>2085</v>
      </c>
      <c r="D195" s="96" t="s">
        <v>163</v>
      </c>
      <c r="E195" s="97">
        <f t="shared" si="2"/>
        <v>1</v>
      </c>
      <c r="F195" s="97">
        <f t="shared" si="3"/>
        <v>0</v>
      </c>
      <c r="G195" s="99">
        <f t="shared" si="4"/>
        <v>2</v>
      </c>
      <c r="H195" s="100"/>
      <c r="I195" s="101"/>
      <c r="J195" s="102"/>
      <c r="K195" s="103"/>
      <c r="L195" s="97"/>
      <c r="M195" s="169"/>
      <c r="N195" s="105"/>
      <c r="O195" s="106"/>
      <c r="P195" s="13">
        <f t="array" ref="P195">XLOOKUP(B195,Weight!B:B,Weight!D:D,"#N/A",0)</f>
        <v>144</v>
      </c>
      <c r="Q195" s="17">
        <f t="shared" si="6"/>
        <v>288</v>
      </c>
      <c r="R195" s="107"/>
      <c r="S195" s="108">
        <v>845290.0</v>
      </c>
      <c r="T195" s="108">
        <v>12.0</v>
      </c>
      <c r="U195" s="109">
        <v>55.0</v>
      </c>
      <c r="V195" s="110"/>
      <c r="X195" s="111">
        <f>SUMIFS('Transit Shipment'!$B$10:$B$1048462,'Transit Shipment'!$A$10:$A$1048462,B195,'Transit Shipment'!$C$10:$C$1048462,AA195)</f>
        <v>0</v>
      </c>
      <c r="Y195" s="111">
        <f>IF(SUMIFS(DIH!$S$2:$S833,DIH!$D$2:$D833,B195,DIH!$U$2:$U833,AA195)&gt;0,SUMIFS(DIH!$S$2:$S833,DIH!$D$2:$D833,B195,DIH!$U$2:$U833,AA195),0)</f>
        <v>0</v>
      </c>
      <c r="Z195" s="112">
        <f t="shared" si="7"/>
        <v>0</v>
      </c>
      <c r="AA195" s="119" t="s">
        <v>9</v>
      </c>
      <c r="AB195" s="114">
        <f>IF(ISNA(VLOOKUP($B195,'Business Report'!$D$2:$J$202,2,0)),"",VLOOKUP($B195,'Business Report'!$D$2:$J$202,2,0))</f>
        <v>10</v>
      </c>
      <c r="AC195" s="115">
        <f>SUMIFS(AFS!$P$2:$P$6260,AFS!$N$2:$N$6260,B195,AFS!$AT$2:$AT$6260,AA195)</f>
        <v>1</v>
      </c>
      <c r="AD195" s="116">
        <f t="shared" si="8"/>
        <v>2</v>
      </c>
      <c r="AE195" s="117"/>
      <c r="AF195" s="118">
        <f t="shared" si="9"/>
        <v>2</v>
      </c>
      <c r="AG195" s="26"/>
      <c r="AH195" s="26"/>
      <c r="AI195" s="26"/>
    </row>
    <row r="196">
      <c r="A196" s="120" t="s">
        <v>1917</v>
      </c>
      <c r="B196" s="7" t="s">
        <v>39</v>
      </c>
      <c r="C196" s="95" t="s">
        <v>2085</v>
      </c>
      <c r="D196" s="109" t="s">
        <v>163</v>
      </c>
      <c r="E196" s="97">
        <f t="shared" si="2"/>
        <v>0</v>
      </c>
      <c r="F196" s="97">
        <f t="shared" si="3"/>
        <v>0.5</v>
      </c>
      <c r="G196" s="99">
        <f t="shared" si="4"/>
        <v>2</v>
      </c>
      <c r="H196" s="121"/>
      <c r="I196" s="122"/>
      <c r="J196" s="123"/>
      <c r="K196" s="124"/>
      <c r="L196" s="125"/>
      <c r="M196" s="181"/>
      <c r="N196" s="126"/>
      <c r="O196" s="127"/>
      <c r="P196" s="13">
        <f t="array" ref="P196">XLOOKUP(B196,Weight!B:B,Weight!D:D,"#N/A",0)</f>
        <v>144</v>
      </c>
      <c r="Q196" s="17">
        <f t="shared" si="6"/>
        <v>288</v>
      </c>
      <c r="R196" s="107"/>
      <c r="S196" s="108">
        <v>845290.0</v>
      </c>
      <c r="T196" s="108">
        <v>12.0</v>
      </c>
      <c r="U196" s="109">
        <v>55.0</v>
      </c>
      <c r="V196" s="110"/>
      <c r="X196" s="111">
        <f>SUMIFS('Transit Shipment'!$B$10:$B$1048462,'Transit Shipment'!$A$10:$A$1048462,B196,'Transit Shipment'!$C$10:$C$1048462,AA196)</f>
        <v>0</v>
      </c>
      <c r="Y196" s="111">
        <f>IF(SUMIFS(DIH!$S$2:$S833,DIH!$D$2:$D833,B196,DIH!$U$2:$U833,AA196)&gt;0,SUMIFS(DIH!$S$2:$S833,DIH!$D$2:$D833,B196,DIH!$U$2:$U833,AA196),0)</f>
        <v>1</v>
      </c>
      <c r="Z196" s="112">
        <f t="shared" si="7"/>
        <v>1</v>
      </c>
      <c r="AA196" s="119" t="s">
        <v>155</v>
      </c>
      <c r="AB196" s="114">
        <f>IF(ISNA(VLOOKUP($B196,'Business Report'!$D$2:$J$202,2,0)),"",VLOOKUP($B196,'Business Report'!$D$2:$J$202,2,0))</f>
        <v>10</v>
      </c>
      <c r="AC196" s="115">
        <f>SUMIFS(AFS!$P$2:$P$6260,AFS!$N$2:$N$6260,B196,AFS!$AT$2:$AT$6260,AA196)</f>
        <v>1</v>
      </c>
      <c r="AD196" s="116">
        <f t="shared" si="8"/>
        <v>1</v>
      </c>
      <c r="AE196" s="117"/>
      <c r="AF196" s="118">
        <f t="shared" si="9"/>
        <v>2</v>
      </c>
      <c r="AG196" s="26"/>
      <c r="AH196" s="26"/>
      <c r="AI196" s="26"/>
    </row>
    <row r="197">
      <c r="A197" s="120" t="s">
        <v>1917</v>
      </c>
      <c r="B197" s="7" t="s">
        <v>39</v>
      </c>
      <c r="C197" s="95" t="s">
        <v>2085</v>
      </c>
      <c r="D197" s="109" t="s">
        <v>163</v>
      </c>
      <c r="E197" s="97">
        <f t="shared" si="2"/>
        <v>0</v>
      </c>
      <c r="F197" s="97">
        <f t="shared" si="3"/>
        <v>0.5</v>
      </c>
      <c r="G197" s="99">
        <f t="shared" si="4"/>
        <v>2</v>
      </c>
      <c r="H197" s="121"/>
      <c r="I197" s="122"/>
      <c r="J197" s="123"/>
      <c r="K197" s="124"/>
      <c r="L197" s="125"/>
      <c r="M197" s="181"/>
      <c r="N197" s="126"/>
      <c r="O197" s="127"/>
      <c r="P197" s="13">
        <f t="array" ref="P197">XLOOKUP(B197,Weight!B:B,Weight!D:D,"#N/A",0)</f>
        <v>144</v>
      </c>
      <c r="Q197" s="17">
        <f t="shared" si="6"/>
        <v>288</v>
      </c>
      <c r="R197" s="107"/>
      <c r="S197" s="108">
        <v>845290.0</v>
      </c>
      <c r="T197" s="108">
        <v>12.0</v>
      </c>
      <c r="U197" s="109">
        <v>55.0</v>
      </c>
      <c r="V197" s="110"/>
      <c r="X197" s="111">
        <f>SUMIFS('Transit Shipment'!$B$10:$B$1048462,'Transit Shipment'!$A$10:$A$1048462,B197,'Transit Shipment'!$C$10:$C$1048462,AA197)</f>
        <v>0</v>
      </c>
      <c r="Y197" s="111">
        <f>IF(SUMIFS(DIH!$S$2:$S833,DIH!$D$2:$D833,B197,DIH!$U$2:$U833,AA197)&gt;0,SUMIFS(DIH!$S$2:$S833,DIH!$D$2:$D833,B197,DIH!$U$2:$U833,AA197),0)</f>
        <v>2</v>
      </c>
      <c r="Z197" s="112">
        <f t="shared" si="7"/>
        <v>2</v>
      </c>
      <c r="AA197" s="119" t="s">
        <v>156</v>
      </c>
      <c r="AB197" s="114">
        <f>IF(ISNA(VLOOKUP($B197,'Business Report'!$D$2:$J$202,2,0)),"",VLOOKUP($B197,'Business Report'!$D$2:$J$202,2,0))</f>
        <v>10</v>
      </c>
      <c r="AC197" s="115">
        <f>SUMIFS(AFS!$P$2:$P$6260,AFS!$N$2:$N$6260,B197,AFS!$AT$2:$AT$6260,AA197)</f>
        <v>2</v>
      </c>
      <c r="AD197" s="116">
        <f t="shared" si="8"/>
        <v>1</v>
      </c>
      <c r="AE197" s="117"/>
      <c r="AF197" s="118">
        <f t="shared" si="9"/>
        <v>2</v>
      </c>
      <c r="AG197" s="26"/>
      <c r="AH197" s="26"/>
      <c r="AI197" s="26"/>
    </row>
    <row r="198">
      <c r="A198" s="120" t="s">
        <v>1917</v>
      </c>
      <c r="B198" s="7" t="s">
        <v>39</v>
      </c>
      <c r="C198" s="95" t="s">
        <v>2085</v>
      </c>
      <c r="D198" s="109" t="s">
        <v>163</v>
      </c>
      <c r="E198" s="97">
        <f t="shared" si="2"/>
        <v>1</v>
      </c>
      <c r="F198" s="97">
        <f t="shared" si="3"/>
        <v>0</v>
      </c>
      <c r="G198" s="99" t="str">
        <f t="shared" si="4"/>
        <v/>
      </c>
      <c r="H198" s="121"/>
      <c r="I198" s="122"/>
      <c r="J198" s="123"/>
      <c r="K198" s="124"/>
      <c r="L198" s="125"/>
      <c r="M198" s="181"/>
      <c r="N198" s="126"/>
      <c r="O198" s="127"/>
      <c r="P198" s="13">
        <f t="array" ref="P198">XLOOKUP(B198,Weight!B:B,Weight!D:D,"#N/A",0)</f>
        <v>144</v>
      </c>
      <c r="Q198" s="17" t="str">
        <f t="shared" si="6"/>
        <v/>
      </c>
      <c r="R198" s="107"/>
      <c r="S198" s="108">
        <v>845290.0</v>
      </c>
      <c r="T198" s="108">
        <v>12.0</v>
      </c>
      <c r="U198" s="109">
        <v>55.0</v>
      </c>
      <c r="V198" s="110"/>
      <c r="X198" s="111">
        <f>SUMIFS('Transit Shipment'!$B$10:$B$1048462,'Transit Shipment'!$A$10:$A$1048462,B198,'Transit Shipment'!$C$10:$C$1048462,AA198)</f>
        <v>0</v>
      </c>
      <c r="Y198" s="111">
        <f>IF(SUMIFS(DIH!$S$2:$S833,DIH!$D$2:$D833,B198,DIH!$U$2:$U833,AA198)&gt;0,SUMIFS(DIH!$S$2:$S833,DIH!$D$2:$D833,B198,DIH!$U$2:$U833,AA198),0)</f>
        <v>0</v>
      </c>
      <c r="Z198" s="112">
        <f t="shared" si="7"/>
        <v>0</v>
      </c>
      <c r="AA198" s="130" t="s">
        <v>13</v>
      </c>
      <c r="AB198" s="114">
        <f>IF(ISNA(VLOOKUP($B198,'Business Report'!$D$2:$J$202,2,0)),"",VLOOKUP($B198,'Business Report'!$D$2:$J$202,2,0))</f>
        <v>10</v>
      </c>
      <c r="AC198" s="115">
        <f>SUMIFS(AFS!$P$2:$P$6260,AFS!$N$2:$N$6260,B198,AFS!$AT$2:$AT$6260,AA198)</f>
        <v>0</v>
      </c>
      <c r="AD198" s="116">
        <f t="shared" si="8"/>
        <v>0</v>
      </c>
      <c r="AE198" s="117"/>
      <c r="AF198" s="118" t="str">
        <f t="shared" si="9"/>
        <v/>
      </c>
      <c r="AG198" s="26"/>
      <c r="AH198" s="26"/>
      <c r="AI198" s="26"/>
    </row>
    <row r="199">
      <c r="A199" s="120" t="s">
        <v>1917</v>
      </c>
      <c r="B199" s="7" t="s">
        <v>39</v>
      </c>
      <c r="C199" s="95" t="s">
        <v>2085</v>
      </c>
      <c r="D199" s="109" t="s">
        <v>163</v>
      </c>
      <c r="E199" s="97" t="str">
        <f t="shared" si="2"/>
        <v/>
      </c>
      <c r="F199" s="97" t="str">
        <f t="shared" si="3"/>
        <v/>
      </c>
      <c r="G199" s="99" t="str">
        <f t="shared" si="4"/>
        <v/>
      </c>
      <c r="H199" s="121"/>
      <c r="I199" s="122"/>
      <c r="J199" s="123"/>
      <c r="K199" s="124"/>
      <c r="L199" s="125"/>
      <c r="M199" s="181"/>
      <c r="N199" s="126"/>
      <c r="O199" s="127"/>
      <c r="P199" s="13">
        <f t="array" ref="P199">XLOOKUP(B199,Weight!B:B,Weight!D:D,"#N/A",0)</f>
        <v>144</v>
      </c>
      <c r="Q199" s="17" t="str">
        <f t="shared" si="6"/>
        <v/>
      </c>
      <c r="R199" s="107"/>
      <c r="S199" s="108">
        <v>845290.0</v>
      </c>
      <c r="T199" s="108">
        <v>12.0</v>
      </c>
      <c r="U199" s="109">
        <v>55.0</v>
      </c>
      <c r="V199" s="110"/>
      <c r="X199" s="111">
        <f>SUMIFS('Transit Shipment'!$B$10:$B$1048462,'Transit Shipment'!$A$10:$A$1048462,B199,'Transit Shipment'!$C$10:$C$1048462,AA199)</f>
        <v>0</v>
      </c>
      <c r="Y199" s="111">
        <f>IF(SUMIFS(DIH!$S$2:$S833,DIH!$D$2:$D833,B199,DIH!$U$2:$U833,AA199)&gt;0,SUMIFS(DIH!$S$2:$S833,DIH!$D$2:$D833,B199,DIH!$U$2:$U833,AA199),0)</f>
        <v>1</v>
      </c>
      <c r="Z199" s="112">
        <f t="shared" si="7"/>
        <v>1</v>
      </c>
      <c r="AA199" s="119" t="s">
        <v>14</v>
      </c>
      <c r="AB199" s="114">
        <f>IF(ISNA(VLOOKUP($B199,'Business Report'!$D$2:$J$202,2,0)),"",VLOOKUP($B199,'Business Report'!$D$2:$J$202,2,0))</f>
        <v>10</v>
      </c>
      <c r="AC199" s="115">
        <f>SUMIFS(AFS!$P$2:$P$6260,AFS!$N$2:$N$6260,B199,AFS!$AT$2:$AT$6260,AA199)</f>
        <v>0</v>
      </c>
      <c r="AD199" s="116">
        <f t="shared" si="8"/>
        <v>-1</v>
      </c>
      <c r="AE199" s="117"/>
      <c r="AF199" s="118" t="str">
        <f t="shared" si="9"/>
        <v/>
      </c>
      <c r="AG199" s="26"/>
      <c r="AH199" s="26"/>
      <c r="AI199" s="26"/>
    </row>
    <row r="200">
      <c r="A200" s="120" t="s">
        <v>1917</v>
      </c>
      <c r="B200" s="7" t="s">
        <v>39</v>
      </c>
      <c r="C200" s="95" t="s">
        <v>2085</v>
      </c>
      <c r="D200" s="109" t="s">
        <v>163</v>
      </c>
      <c r="E200" s="97">
        <f t="shared" si="2"/>
        <v>0</v>
      </c>
      <c r="F200" s="97">
        <f t="shared" si="3"/>
        <v>0.5</v>
      </c>
      <c r="G200" s="99">
        <f t="shared" si="4"/>
        <v>2</v>
      </c>
      <c r="H200" s="121"/>
      <c r="I200" s="122"/>
      <c r="J200" s="123"/>
      <c r="K200" s="124"/>
      <c r="L200" s="125"/>
      <c r="M200" s="181"/>
      <c r="N200" s="126"/>
      <c r="O200" s="127"/>
      <c r="P200" s="13">
        <f t="array" ref="P200">XLOOKUP(B200,Weight!B:B,Weight!D:D,"#N/A",0)</f>
        <v>144</v>
      </c>
      <c r="Q200" s="17">
        <f t="shared" si="6"/>
        <v>288</v>
      </c>
      <c r="R200" s="107"/>
      <c r="S200" s="108">
        <v>845290.0</v>
      </c>
      <c r="T200" s="108">
        <v>12.0</v>
      </c>
      <c r="U200" s="109">
        <v>55.0</v>
      </c>
      <c r="V200" s="110"/>
      <c r="X200" s="111">
        <f>SUMIFS('Transit Shipment'!$B$10:$B$1048462,'Transit Shipment'!$A$10:$A$1048462,B200,'Transit Shipment'!$C$10:$C$1048462,AA200)</f>
        <v>0</v>
      </c>
      <c r="Y200" s="111">
        <f>IF(SUMIFS(DIH!$S$2:$S833,DIH!$D$2:$D833,B200,DIH!$U$2:$U833,AA200)&gt;0,SUMIFS(DIH!$S$2:$S833,DIH!$D$2:$D833,B200,DIH!$U$2:$U833,AA200),0)</f>
        <v>1</v>
      </c>
      <c r="Z200" s="112">
        <f t="shared" si="7"/>
        <v>1</v>
      </c>
      <c r="AA200" s="131" t="s">
        <v>16</v>
      </c>
      <c r="AB200" s="114">
        <f>IF(ISNA(VLOOKUP($B200,'Business Report'!$D$2:$J$202,2,0)),"",VLOOKUP($B200,'Business Report'!$D$2:$J$202,2,0))</f>
        <v>10</v>
      </c>
      <c r="AC200" s="115">
        <f>SUMIFS(AFS!$P$2:$P$6260,AFS!$N$2:$N$6260,B200,AFS!$AT$2:$AT$6260,AA200)</f>
        <v>1</v>
      </c>
      <c r="AD200" s="116">
        <f t="shared" si="8"/>
        <v>1</v>
      </c>
      <c r="AE200" s="117"/>
      <c r="AF200" s="118">
        <f t="shared" si="9"/>
        <v>2</v>
      </c>
      <c r="AG200" s="26"/>
      <c r="AH200" s="26"/>
      <c r="AI200" s="26"/>
    </row>
    <row r="201">
      <c r="A201" s="132" t="s">
        <v>1917</v>
      </c>
      <c r="B201" s="15" t="s">
        <v>39</v>
      </c>
      <c r="C201" s="133" t="s">
        <v>2085</v>
      </c>
      <c r="D201" s="134" t="s">
        <v>163</v>
      </c>
      <c r="E201" s="135">
        <f t="shared" si="2"/>
        <v>1</v>
      </c>
      <c r="F201" s="135">
        <f t="shared" si="3"/>
        <v>0</v>
      </c>
      <c r="G201" s="136" t="str">
        <f t="shared" si="4"/>
        <v/>
      </c>
      <c r="H201" s="137"/>
      <c r="I201" s="138"/>
      <c r="J201" s="139"/>
      <c r="K201" s="140"/>
      <c r="L201" s="135"/>
      <c r="M201" s="152"/>
      <c r="N201" s="142"/>
      <c r="O201" s="143"/>
      <c r="P201" s="144">
        <f t="array" ref="P201">XLOOKUP(B201,Weight!B:B,Weight!D:D,"#N/A",0)</f>
        <v>144</v>
      </c>
      <c r="Q201" s="145" t="str">
        <f t="shared" si="6"/>
        <v/>
      </c>
      <c r="R201" s="146"/>
      <c r="S201" s="147">
        <v>845290.0</v>
      </c>
      <c r="T201" s="147">
        <v>12.0</v>
      </c>
      <c r="U201" s="109">
        <v>55.0</v>
      </c>
      <c r="V201" s="148"/>
      <c r="W201" s="149"/>
      <c r="X201" s="150">
        <f>SUMIFS('Transit Shipment'!$B$10:$B$1048462,'Transit Shipment'!$A$10:$A$1048462,B201,'Transit Shipment'!$C$10:$C$1048462,AA201)</f>
        <v>0</v>
      </c>
      <c r="Y201" s="150">
        <f>IF(SUMIFS(DIH!$S$2:$S833,DIH!$D$2:$D833,B201,DIH!$U$2:$U833,AA201)&gt;0,SUMIFS(DIH!$S$2:$S833,DIH!$D$2:$D833,B201,DIH!$U$2:$U833,AA201),0)</f>
        <v>0</v>
      </c>
      <c r="Z201" s="151">
        <f t="shared" si="7"/>
        <v>0</v>
      </c>
      <c r="AA201" s="152" t="s">
        <v>17</v>
      </c>
      <c r="AB201" s="154">
        <f>IF(ISNA(VLOOKUP($B201,'Business Report'!$D$2:$J$202,2,0)),"",VLOOKUP($B201,'Business Report'!$D$2:$J$202,2,0))</f>
        <v>10</v>
      </c>
      <c r="AC201" s="155">
        <f>SUMIFS(AFS!$P$2:$P$6260,AFS!$N$2:$N$6260,B201,AFS!$AT$2:$AT$6260,AA201)</f>
        <v>0</v>
      </c>
      <c r="AD201" s="156">
        <f t="shared" si="8"/>
        <v>0</v>
      </c>
      <c r="AE201" s="159">
        <f>SUM(AD193:AD201)</f>
        <v>5</v>
      </c>
      <c r="AF201" s="118" t="str">
        <f t="shared" si="9"/>
        <v/>
      </c>
      <c r="AG201" s="26"/>
      <c r="AH201" s="26"/>
      <c r="AI201" s="26"/>
    </row>
    <row r="202">
      <c r="A202" s="66" t="s">
        <v>1917</v>
      </c>
      <c r="B202" s="1" t="s">
        <v>40</v>
      </c>
      <c r="C202" s="95" t="s">
        <v>2249</v>
      </c>
      <c r="D202" s="68" t="s">
        <v>163</v>
      </c>
      <c r="E202" s="69">
        <f t="shared" si="2"/>
        <v>2</v>
      </c>
      <c r="F202" s="69">
        <f t="shared" si="3"/>
        <v>0</v>
      </c>
      <c r="G202" s="70">
        <f t="shared" si="4"/>
        <v>4</v>
      </c>
      <c r="H202" s="163"/>
      <c r="I202" s="101"/>
      <c r="J202" s="102"/>
      <c r="K202" s="167"/>
      <c r="L202" s="119"/>
      <c r="M202" s="169"/>
      <c r="N202" s="171"/>
      <c r="O202" s="106"/>
      <c r="P202" s="79">
        <f t="array" ref="P202">XLOOKUP(B202,Weight!B:B,Weight!D:D,"#N/A",0)</f>
        <v>144</v>
      </c>
      <c r="Q202" s="80">
        <f t="shared" si="6"/>
        <v>576</v>
      </c>
      <c r="R202" s="107"/>
      <c r="S202" s="108">
        <v>845290.0</v>
      </c>
      <c r="T202" s="108">
        <v>12.0</v>
      </c>
      <c r="U202" s="83">
        <v>55.0</v>
      </c>
      <c r="V202" s="84" t="str">
        <f t="shared" ref="V202:W202" si="51">B202</f>
        <v>Bajaj_3</v>
      </c>
      <c r="W202" s="174" t="str">
        <f t="shared" si="51"/>
        <v>CRASOME Dust Proof Washable Wet Grinder Cover for 2L Table Top Lakshmi | Prestige PWG 07 | Vidiem Vision CSM-BJ (Blue)</v>
      </c>
      <c r="X202" s="86">
        <f>SUMIFS('Transit Shipment'!$B$10:$B$1048462,'Transit Shipment'!$A$10:$A$1048462,B202,'Transit Shipment'!$C$10:$C$1048462,AA202)</f>
        <v>0</v>
      </c>
      <c r="Y202" s="86">
        <f>IF(SUMIFS(DIH!$S$2:$S833,DIH!$D$2:$D833,B202,DIH!$U$2:$U833,AA202)&gt;0,SUMIFS(DIH!$S$2:$S833,DIH!$D$2:$D833,B202,DIH!$U$2:$U833,AA202),0)</f>
        <v>0</v>
      </c>
      <c r="Z202" s="87">
        <f t="shared" si="7"/>
        <v>0</v>
      </c>
      <c r="AA202" s="88" t="s">
        <v>5</v>
      </c>
      <c r="AB202" s="89">
        <f>IF(ISNA(VLOOKUP($B202,'Business Report'!$D$2:$J$202,2,0)),"",VLOOKUP($B202,'Business Report'!$D$2:$J$202,2,0))</f>
        <v>25</v>
      </c>
      <c r="AC202" s="90">
        <f>SUMIFS(AFS!$P$2:$P$6260,AFS!$N$2:$N$6260,B202,AFS!$AT$2:$AT$6260,AA202)</f>
        <v>3</v>
      </c>
      <c r="AD202" s="91">
        <f t="shared" si="8"/>
        <v>4</v>
      </c>
      <c r="AE202" s="92"/>
      <c r="AF202" s="93">
        <f t="shared" si="9"/>
        <v>4</v>
      </c>
      <c r="AG202" s="26"/>
      <c r="AH202" s="26"/>
      <c r="AI202" s="26"/>
    </row>
    <row r="203">
      <c r="A203" s="94" t="s">
        <v>1917</v>
      </c>
      <c r="B203" s="3" t="s">
        <v>40</v>
      </c>
      <c r="C203" s="95" t="s">
        <v>2249</v>
      </c>
      <c r="D203" s="96" t="s">
        <v>163</v>
      </c>
      <c r="E203" s="97" t="str">
        <f t="shared" si="2"/>
        <v/>
      </c>
      <c r="F203" s="97" t="str">
        <f t="shared" si="3"/>
        <v/>
      </c>
      <c r="G203" s="99" t="str">
        <f t="shared" si="4"/>
        <v/>
      </c>
      <c r="H203" s="100"/>
      <c r="I203" s="101"/>
      <c r="J203" s="102"/>
      <c r="K203" s="103"/>
      <c r="L203" s="97"/>
      <c r="M203" s="169"/>
      <c r="N203" s="105"/>
      <c r="O203" s="106"/>
      <c r="P203" s="13">
        <f t="array" ref="P203">XLOOKUP(B203,Weight!B:B,Weight!D:D,"#N/A",0)</f>
        <v>144</v>
      </c>
      <c r="Q203" s="17" t="str">
        <f t="shared" si="6"/>
        <v/>
      </c>
      <c r="R203" s="107"/>
      <c r="S203" s="108">
        <v>845290.0</v>
      </c>
      <c r="T203" s="108">
        <v>12.0</v>
      </c>
      <c r="U203" s="109">
        <v>55.0</v>
      </c>
      <c r="V203" s="110"/>
      <c r="X203" s="111">
        <f>SUMIFS('Transit Shipment'!$B$10:$B$1048462,'Transit Shipment'!$A$10:$A$1048462,B203,'Transit Shipment'!$C$10:$C$1048462,AA203)</f>
        <v>0</v>
      </c>
      <c r="Y203" s="111">
        <f>IF(SUMIFS(DIH!$S$2:$S833,DIH!$D$2:$D833,B203,DIH!$U$2:$U833,AA203)&gt;0,SUMIFS(DIH!$S$2:$S833,DIH!$D$2:$D833,B203,DIH!$U$2:$U833,AA203),0)</f>
        <v>8</v>
      </c>
      <c r="Z203" s="112">
        <f t="shared" si="7"/>
        <v>8</v>
      </c>
      <c r="AA203" s="113" t="s">
        <v>11</v>
      </c>
      <c r="AB203" s="114">
        <f>IF(ISNA(VLOOKUP($B203,'Business Report'!$D$2:$J$202,2,0)),"",VLOOKUP($B203,'Business Report'!$D$2:$J$202,2,0))</f>
        <v>25</v>
      </c>
      <c r="AC203" s="115">
        <f>SUMIFS(AFS!$P$2:$P$6260,AFS!$N$2:$N$6260,B203,AFS!$AT$2:$AT$6260,AA203)</f>
        <v>1</v>
      </c>
      <c r="AD203" s="116">
        <f t="shared" si="8"/>
        <v>-6</v>
      </c>
      <c r="AE203" s="117"/>
      <c r="AF203" s="118" t="str">
        <f t="shared" si="9"/>
        <v/>
      </c>
      <c r="AG203" s="26"/>
      <c r="AH203" s="26"/>
      <c r="AI203" s="26"/>
    </row>
    <row r="204">
      <c r="A204" s="94" t="s">
        <v>1917</v>
      </c>
      <c r="B204" s="3" t="s">
        <v>40</v>
      </c>
      <c r="C204" s="95" t="s">
        <v>2249</v>
      </c>
      <c r="D204" s="96" t="s">
        <v>163</v>
      </c>
      <c r="E204" s="97">
        <f t="shared" si="2"/>
        <v>0</v>
      </c>
      <c r="F204" s="97">
        <f t="shared" si="3"/>
        <v>0.5</v>
      </c>
      <c r="G204" s="99">
        <f t="shared" si="4"/>
        <v>2</v>
      </c>
      <c r="H204" s="100"/>
      <c r="I204" s="101"/>
      <c r="J204" s="102"/>
      <c r="K204" s="103"/>
      <c r="L204" s="97"/>
      <c r="M204" s="169"/>
      <c r="N204" s="105"/>
      <c r="O204" s="106"/>
      <c r="P204" s="13">
        <f t="array" ref="P204">XLOOKUP(B204,Weight!B:B,Weight!D:D,"#N/A",0)</f>
        <v>144</v>
      </c>
      <c r="Q204" s="17">
        <f t="shared" si="6"/>
        <v>288</v>
      </c>
      <c r="R204" s="107"/>
      <c r="S204" s="108">
        <v>845290.0</v>
      </c>
      <c r="T204" s="108">
        <v>12.0</v>
      </c>
      <c r="U204" s="109">
        <v>55.0</v>
      </c>
      <c r="V204" s="110"/>
      <c r="X204" s="111">
        <f>SUMIFS('Transit Shipment'!$B$10:$B$1048462,'Transit Shipment'!$A$10:$A$1048462,B204,'Transit Shipment'!$C$10:$C$1048462,AA204)</f>
        <v>0</v>
      </c>
      <c r="Y204" s="111">
        <f>IF(SUMIFS(DIH!$S$2:$S833,DIH!$D$2:$D833,B204,DIH!$U$2:$U833,AA204)&gt;0,SUMIFS(DIH!$S$2:$S833,DIH!$D$2:$D833,B204,DIH!$U$2:$U833,AA204),0)</f>
        <v>2</v>
      </c>
      <c r="Z204" s="112">
        <f t="shared" si="7"/>
        <v>2</v>
      </c>
      <c r="AA204" s="119" t="s">
        <v>9</v>
      </c>
      <c r="AB204" s="114">
        <f>IF(ISNA(VLOOKUP($B204,'Business Report'!$D$2:$J$202,2,0)),"",VLOOKUP($B204,'Business Report'!$D$2:$J$202,2,0))</f>
        <v>25</v>
      </c>
      <c r="AC204" s="115">
        <f>SUMIFS(AFS!$P$2:$P$6260,AFS!$N$2:$N$6260,B204,AFS!$AT$2:$AT$6260,AA204)</f>
        <v>2</v>
      </c>
      <c r="AD204" s="116">
        <f t="shared" si="8"/>
        <v>1</v>
      </c>
      <c r="AE204" s="117"/>
      <c r="AF204" s="118">
        <f t="shared" si="9"/>
        <v>2</v>
      </c>
      <c r="AG204" s="4"/>
      <c r="AH204" s="26"/>
      <c r="AI204" s="26"/>
    </row>
    <row r="205">
      <c r="A205" s="120" t="s">
        <v>1917</v>
      </c>
      <c r="B205" s="7" t="s">
        <v>40</v>
      </c>
      <c r="C205" s="95" t="s">
        <v>2249</v>
      </c>
      <c r="D205" s="109" t="s">
        <v>163</v>
      </c>
      <c r="E205" s="97" t="str">
        <f t="shared" si="2"/>
        <v/>
      </c>
      <c r="F205" s="97" t="str">
        <f t="shared" si="3"/>
        <v/>
      </c>
      <c r="G205" s="99" t="str">
        <f t="shared" si="4"/>
        <v/>
      </c>
      <c r="H205" s="121"/>
      <c r="I205" s="122"/>
      <c r="J205" s="123"/>
      <c r="K205" s="124"/>
      <c r="L205" s="125"/>
      <c r="M205" s="181"/>
      <c r="N205" s="126"/>
      <c r="O205" s="127"/>
      <c r="P205" s="13">
        <f t="array" ref="P205">XLOOKUP(B205,Weight!B:B,Weight!D:D,"#N/A",0)</f>
        <v>144</v>
      </c>
      <c r="Q205" s="17" t="str">
        <f t="shared" si="6"/>
        <v/>
      </c>
      <c r="R205" s="107"/>
      <c r="S205" s="108">
        <v>845290.0</v>
      </c>
      <c r="T205" s="108">
        <v>12.0</v>
      </c>
      <c r="U205" s="109">
        <v>55.0</v>
      </c>
      <c r="V205" s="110"/>
      <c r="X205" s="111">
        <f>SUMIFS('Transit Shipment'!$B$10:$B$1048462,'Transit Shipment'!$A$10:$A$1048462,B205,'Transit Shipment'!$C$10:$C$1048462,AA205)</f>
        <v>0</v>
      </c>
      <c r="Y205" s="111">
        <f>IF(SUMIFS(DIH!$S$2:$S833,DIH!$D$2:$D833,B205,DIH!$U$2:$U833,AA205)&gt;0,SUMIFS(DIH!$S$2:$S833,DIH!$D$2:$D833,B205,DIH!$U$2:$U833,AA205),0)</f>
        <v>5</v>
      </c>
      <c r="Z205" s="112">
        <f t="shared" si="7"/>
        <v>5</v>
      </c>
      <c r="AA205" s="119" t="s">
        <v>155</v>
      </c>
      <c r="AB205" s="114">
        <f>IF(ISNA(VLOOKUP($B205,'Business Report'!$D$2:$J$202,2,0)),"",VLOOKUP($B205,'Business Report'!$D$2:$J$202,2,0))</f>
        <v>25</v>
      </c>
      <c r="AC205" s="115">
        <f>SUMIFS(AFS!$P$2:$P$6260,AFS!$N$2:$N$6260,B205,AFS!$AT$2:$AT$6260,AA205)</f>
        <v>0</v>
      </c>
      <c r="AD205" s="116">
        <f t="shared" si="8"/>
        <v>-5</v>
      </c>
      <c r="AE205" s="117"/>
      <c r="AF205" s="118" t="str">
        <f t="shared" si="9"/>
        <v/>
      </c>
      <c r="AG205" s="4"/>
      <c r="AH205" s="26"/>
      <c r="AI205" s="26"/>
    </row>
    <row r="206">
      <c r="A206" s="120" t="s">
        <v>1917</v>
      </c>
      <c r="B206" s="7" t="s">
        <v>40</v>
      </c>
      <c r="C206" s="95" t="s">
        <v>2249</v>
      </c>
      <c r="D206" s="109" t="s">
        <v>163</v>
      </c>
      <c r="E206" s="97" t="str">
        <f t="shared" si="2"/>
        <v/>
      </c>
      <c r="F206" s="97" t="str">
        <f t="shared" si="3"/>
        <v/>
      </c>
      <c r="G206" s="99" t="str">
        <f t="shared" si="4"/>
        <v/>
      </c>
      <c r="H206" s="121"/>
      <c r="I206" s="122"/>
      <c r="J206" s="123"/>
      <c r="K206" s="124"/>
      <c r="L206" s="125"/>
      <c r="M206" s="181"/>
      <c r="N206" s="126"/>
      <c r="O206" s="127"/>
      <c r="P206" s="13">
        <f t="array" ref="P206">XLOOKUP(B206,Weight!B:B,Weight!D:D,"#N/A",0)</f>
        <v>144</v>
      </c>
      <c r="Q206" s="17" t="str">
        <f t="shared" si="6"/>
        <v/>
      </c>
      <c r="R206" s="107"/>
      <c r="S206" s="108">
        <v>845290.0</v>
      </c>
      <c r="T206" s="108">
        <v>12.0</v>
      </c>
      <c r="U206" s="109">
        <v>55.0</v>
      </c>
      <c r="V206" s="110"/>
      <c r="X206" s="111">
        <f>SUMIFS('Transit Shipment'!$B$10:$B$1048462,'Transit Shipment'!$A$10:$A$1048462,B206,'Transit Shipment'!$C$10:$C$1048462,AA206)</f>
        <v>0</v>
      </c>
      <c r="Y206" s="111">
        <f>IF(SUMIFS(DIH!$S$2:$S833,DIH!$D$2:$D833,B206,DIH!$U$2:$U833,AA206)&gt;0,SUMIFS(DIH!$S$2:$S833,DIH!$D$2:$D833,B206,DIH!$U$2:$U833,AA206),0)</f>
        <v>15</v>
      </c>
      <c r="Z206" s="112">
        <f t="shared" si="7"/>
        <v>15</v>
      </c>
      <c r="AA206" s="119" t="s">
        <v>156</v>
      </c>
      <c r="AB206" s="114">
        <f>IF(ISNA(VLOOKUP($B206,'Business Report'!$D$2:$J$202,2,0)),"",VLOOKUP($B206,'Business Report'!$D$2:$J$202,2,0))</f>
        <v>25</v>
      </c>
      <c r="AC206" s="115">
        <f>SUMIFS(AFS!$P$2:$P$6260,AFS!$N$2:$N$6260,B206,AFS!$AT$2:$AT$6260,AA206)</f>
        <v>6</v>
      </c>
      <c r="AD206" s="116">
        <f t="shared" si="8"/>
        <v>-7</v>
      </c>
      <c r="AE206" s="117"/>
      <c r="AF206" s="118" t="str">
        <f t="shared" si="9"/>
        <v/>
      </c>
      <c r="AG206" s="4"/>
      <c r="AH206" s="26"/>
      <c r="AI206" s="26"/>
    </row>
    <row r="207">
      <c r="A207" s="120" t="s">
        <v>1917</v>
      </c>
      <c r="B207" s="7" t="s">
        <v>40</v>
      </c>
      <c r="C207" s="95" t="s">
        <v>2249</v>
      </c>
      <c r="D207" s="109" t="s">
        <v>163</v>
      </c>
      <c r="E207" s="97">
        <f t="shared" si="2"/>
        <v>1</v>
      </c>
      <c r="F207" s="97">
        <f t="shared" si="3"/>
        <v>0</v>
      </c>
      <c r="G207" s="99" t="str">
        <f t="shared" si="4"/>
        <v/>
      </c>
      <c r="H207" s="121"/>
      <c r="I207" s="122"/>
      <c r="J207" s="123"/>
      <c r="K207" s="124"/>
      <c r="L207" s="125"/>
      <c r="M207" s="181"/>
      <c r="N207" s="126"/>
      <c r="O207" s="127"/>
      <c r="P207" s="13">
        <f t="array" ref="P207">XLOOKUP(B207,Weight!B:B,Weight!D:D,"#N/A",0)</f>
        <v>144</v>
      </c>
      <c r="Q207" s="17" t="str">
        <f t="shared" si="6"/>
        <v/>
      </c>
      <c r="R207" s="107"/>
      <c r="S207" s="108">
        <v>845290.0</v>
      </c>
      <c r="T207" s="108">
        <v>12.0</v>
      </c>
      <c r="U207" s="109">
        <v>55.0</v>
      </c>
      <c r="V207" s="110"/>
      <c r="X207" s="111">
        <f>SUMIFS('Transit Shipment'!$B$10:$B$1048462,'Transit Shipment'!$A$10:$A$1048462,B207,'Transit Shipment'!$C$10:$C$1048462,AA207)</f>
        <v>0</v>
      </c>
      <c r="Y207" s="111">
        <f>IF(SUMIFS(DIH!$S$2:$S833,DIH!$D$2:$D833,B207,DIH!$U$2:$U833,AA207)&gt;0,SUMIFS(DIH!$S$2:$S833,DIH!$D$2:$D833,B207,DIH!$U$2:$U833,AA207),0)</f>
        <v>0</v>
      </c>
      <c r="Z207" s="112">
        <f t="shared" si="7"/>
        <v>0</v>
      </c>
      <c r="AA207" s="130" t="s">
        <v>13</v>
      </c>
      <c r="AB207" s="114">
        <f>IF(ISNA(VLOOKUP($B207,'Business Report'!$D$2:$J$202,2,0)),"",VLOOKUP($B207,'Business Report'!$D$2:$J$202,2,0))</f>
        <v>25</v>
      </c>
      <c r="AC207" s="115">
        <f>SUMIFS(AFS!$P$2:$P$6260,AFS!$N$2:$N$6260,B207,AFS!$AT$2:$AT$6260,AA207)</f>
        <v>0</v>
      </c>
      <c r="AD207" s="116">
        <f t="shared" si="8"/>
        <v>0</v>
      </c>
      <c r="AE207" s="117"/>
      <c r="AF207" s="118" t="str">
        <f t="shared" si="9"/>
        <v/>
      </c>
      <c r="AG207" s="26"/>
      <c r="AH207" s="26"/>
      <c r="AI207" s="26"/>
    </row>
    <row r="208">
      <c r="A208" s="120" t="s">
        <v>1917</v>
      </c>
      <c r="B208" s="7" t="s">
        <v>40</v>
      </c>
      <c r="C208" s="95" t="s">
        <v>2249</v>
      </c>
      <c r="D208" s="109" t="s">
        <v>163</v>
      </c>
      <c r="E208" s="97">
        <f t="shared" si="2"/>
        <v>1</v>
      </c>
      <c r="F208" s="97">
        <f t="shared" si="3"/>
        <v>0.5</v>
      </c>
      <c r="G208" s="99">
        <f t="shared" si="4"/>
        <v>4</v>
      </c>
      <c r="H208" s="121"/>
      <c r="I208" s="122"/>
      <c r="J208" s="123"/>
      <c r="K208" s="124"/>
      <c r="L208" s="125"/>
      <c r="M208" s="181"/>
      <c r="N208" s="126"/>
      <c r="O208" s="127"/>
      <c r="P208" s="13">
        <f t="array" ref="P208">XLOOKUP(B208,Weight!B:B,Weight!D:D,"#N/A",0)</f>
        <v>144</v>
      </c>
      <c r="Q208" s="17">
        <f t="shared" si="6"/>
        <v>576</v>
      </c>
      <c r="R208" s="107"/>
      <c r="S208" s="108">
        <v>845290.0</v>
      </c>
      <c r="T208" s="108">
        <v>12.0</v>
      </c>
      <c r="U208" s="109">
        <v>55.0</v>
      </c>
      <c r="V208" s="110"/>
      <c r="X208" s="111">
        <f>SUMIFS('Transit Shipment'!$B$10:$B$1048462,'Transit Shipment'!$A$10:$A$1048462,B208,'Transit Shipment'!$C$10:$C$1048462,AA208)</f>
        <v>0</v>
      </c>
      <c r="Y208" s="111">
        <f>IF(SUMIFS(DIH!$S$2:$S833,DIH!$D$2:$D833,B208,DIH!$U$2:$U833,AA208)&gt;0,SUMIFS(DIH!$S$2:$S833,DIH!$D$2:$D833,B208,DIH!$U$2:$U833,AA208),0)</f>
        <v>1</v>
      </c>
      <c r="Z208" s="112">
        <f t="shared" si="7"/>
        <v>1</v>
      </c>
      <c r="AA208" s="119" t="s">
        <v>14</v>
      </c>
      <c r="AB208" s="114">
        <f>IF(ISNA(VLOOKUP($B208,'Business Report'!$D$2:$J$202,2,0)),"",VLOOKUP($B208,'Business Report'!$D$2:$J$202,2,0))</f>
        <v>25</v>
      </c>
      <c r="AC208" s="115">
        <f>SUMIFS(AFS!$P$2:$P$6260,AFS!$N$2:$N$6260,B208,AFS!$AT$2:$AT$6260,AA208)</f>
        <v>3</v>
      </c>
      <c r="AD208" s="116">
        <f t="shared" si="8"/>
        <v>3</v>
      </c>
      <c r="AE208" s="117"/>
      <c r="AF208" s="118">
        <f t="shared" si="9"/>
        <v>4</v>
      </c>
      <c r="AG208" s="26"/>
      <c r="AH208" s="26"/>
      <c r="AI208" s="26"/>
    </row>
    <row r="209">
      <c r="A209" s="120" t="s">
        <v>1917</v>
      </c>
      <c r="B209" s="7" t="s">
        <v>40</v>
      </c>
      <c r="C209" s="95" t="s">
        <v>2249</v>
      </c>
      <c r="D209" s="109" t="s">
        <v>163</v>
      </c>
      <c r="E209" s="97" t="str">
        <f t="shared" si="2"/>
        <v/>
      </c>
      <c r="F209" s="97" t="str">
        <f t="shared" si="3"/>
        <v/>
      </c>
      <c r="G209" s="99" t="str">
        <f t="shared" si="4"/>
        <v/>
      </c>
      <c r="H209" s="121"/>
      <c r="I209" s="122"/>
      <c r="J209" s="123"/>
      <c r="K209" s="124"/>
      <c r="L209" s="125"/>
      <c r="M209" s="181"/>
      <c r="N209" s="126"/>
      <c r="O209" s="127"/>
      <c r="P209" s="13">
        <f t="array" ref="P209">XLOOKUP(B209,Weight!B:B,Weight!D:D,"#N/A",0)</f>
        <v>144</v>
      </c>
      <c r="Q209" s="17" t="str">
        <f t="shared" si="6"/>
        <v/>
      </c>
      <c r="R209" s="107"/>
      <c r="S209" s="108">
        <v>845290.0</v>
      </c>
      <c r="T209" s="108">
        <v>12.0</v>
      </c>
      <c r="U209" s="109">
        <v>55.0</v>
      </c>
      <c r="V209" s="110"/>
      <c r="X209" s="111">
        <f>SUMIFS('Transit Shipment'!$B$10:$B$1048462,'Transit Shipment'!$A$10:$A$1048462,B209,'Transit Shipment'!$C$10:$C$1048462,AA209)</f>
        <v>0</v>
      </c>
      <c r="Y209" s="111">
        <f>IF(SUMIFS(DIH!$S$2:$S833,DIH!$D$2:$D833,B209,DIH!$U$2:$U833,AA209)&gt;0,SUMIFS(DIH!$S$2:$S833,DIH!$D$2:$D833,B209,DIH!$U$2:$U833,AA209),0)</f>
        <v>4</v>
      </c>
      <c r="Z209" s="112">
        <f t="shared" si="7"/>
        <v>4</v>
      </c>
      <c r="AA209" s="131" t="s">
        <v>16</v>
      </c>
      <c r="AB209" s="114">
        <f>IF(ISNA(VLOOKUP($B209,'Business Report'!$D$2:$J$202,2,0)),"",VLOOKUP($B209,'Business Report'!$D$2:$J$202,2,0))</f>
        <v>25</v>
      </c>
      <c r="AC209" s="115">
        <f>SUMIFS(AFS!$P$2:$P$6260,AFS!$N$2:$N$6260,B209,AFS!$AT$2:$AT$6260,AA209)</f>
        <v>1</v>
      </c>
      <c r="AD209" s="116">
        <f t="shared" si="8"/>
        <v>-2</v>
      </c>
      <c r="AE209" s="117"/>
      <c r="AF209" s="118" t="str">
        <f t="shared" si="9"/>
        <v/>
      </c>
      <c r="AG209" s="26"/>
      <c r="AH209" s="26"/>
      <c r="AI209" s="26"/>
    </row>
    <row r="210">
      <c r="A210" s="132" t="s">
        <v>1917</v>
      </c>
      <c r="B210" s="15" t="s">
        <v>40</v>
      </c>
      <c r="C210" s="133" t="s">
        <v>2249</v>
      </c>
      <c r="D210" s="134" t="s">
        <v>163</v>
      </c>
      <c r="E210" s="135">
        <f t="shared" si="2"/>
        <v>0</v>
      </c>
      <c r="F210" s="135">
        <f t="shared" si="3"/>
        <v>0.5</v>
      </c>
      <c r="G210" s="136">
        <f t="shared" si="4"/>
        <v>2</v>
      </c>
      <c r="H210" s="137"/>
      <c r="I210" s="138"/>
      <c r="J210" s="139"/>
      <c r="K210" s="140"/>
      <c r="L210" s="135"/>
      <c r="M210" s="152"/>
      <c r="N210" s="142"/>
      <c r="O210" s="143"/>
      <c r="P210" s="144">
        <f t="array" ref="P210">XLOOKUP(B210,Weight!B:B,Weight!D:D,"#N/A",0)</f>
        <v>144</v>
      </c>
      <c r="Q210" s="145">
        <f t="shared" si="6"/>
        <v>288</v>
      </c>
      <c r="R210" s="146"/>
      <c r="S210" s="147">
        <v>845290.0</v>
      </c>
      <c r="T210" s="147">
        <v>12.0</v>
      </c>
      <c r="U210" s="109">
        <v>55.0</v>
      </c>
      <c r="V210" s="148"/>
      <c r="W210" s="149"/>
      <c r="X210" s="150">
        <f>SUMIFS('Transit Shipment'!$B$10:$B$1048462,'Transit Shipment'!$A$10:$A$1048462,B210,'Transit Shipment'!$C$10:$C$1048462,AA210)</f>
        <v>0</v>
      </c>
      <c r="Y210" s="150">
        <f>IF(SUMIFS(DIH!$S$2:$S833,DIH!$D$2:$D833,B210,DIH!$U$2:$U833,AA210)&gt;0,SUMIFS(DIH!$S$2:$S833,DIH!$D$2:$D833,B210,DIH!$U$2:$U833,AA210),0)</f>
        <v>1</v>
      </c>
      <c r="Z210" s="151">
        <f t="shared" si="7"/>
        <v>1</v>
      </c>
      <c r="AA210" s="152" t="s">
        <v>17</v>
      </c>
      <c r="AB210" s="154">
        <f>IF(ISNA(VLOOKUP($B210,'Business Report'!$D$2:$J$202,2,0)),"",VLOOKUP($B210,'Business Report'!$D$2:$J$202,2,0))</f>
        <v>25</v>
      </c>
      <c r="AC210" s="155">
        <f>SUMIFS(AFS!$P$2:$P$6260,AFS!$N$2:$N$6260,B210,AFS!$AT$2:$AT$6260,AA210)</f>
        <v>1</v>
      </c>
      <c r="AD210" s="156">
        <f t="shared" si="8"/>
        <v>1</v>
      </c>
      <c r="AE210" s="159">
        <f>SUM(AD202:AD210)</f>
        <v>-11</v>
      </c>
      <c r="AF210" s="118">
        <f t="shared" si="9"/>
        <v>2</v>
      </c>
      <c r="AG210" s="26"/>
      <c r="AH210" s="26"/>
      <c r="AI210" s="26"/>
    </row>
    <row r="211">
      <c r="A211" s="66" t="s">
        <v>1917</v>
      </c>
      <c r="B211" s="1" t="s">
        <v>41</v>
      </c>
      <c r="C211" s="95" t="s">
        <v>2442</v>
      </c>
      <c r="D211" s="68" t="s">
        <v>163</v>
      </c>
      <c r="E211" s="69">
        <f t="shared" si="2"/>
        <v>1</v>
      </c>
      <c r="F211" s="69">
        <f t="shared" si="3"/>
        <v>0</v>
      </c>
      <c r="G211" s="70" t="str">
        <f t="shared" si="4"/>
        <v/>
      </c>
      <c r="H211" s="163"/>
      <c r="I211" s="101"/>
      <c r="J211" s="102"/>
      <c r="K211" s="167"/>
      <c r="L211" s="119"/>
      <c r="M211" s="169"/>
      <c r="N211" s="171"/>
      <c r="O211" s="106"/>
      <c r="P211" s="79">
        <f t="array" ref="P211">XLOOKUP(B211,Weight!B:B,Weight!D:D,"#N/A",0)</f>
        <v>144</v>
      </c>
      <c r="Q211" s="80" t="str">
        <f t="shared" si="6"/>
        <v/>
      </c>
      <c r="R211" s="107"/>
      <c r="S211" s="108">
        <v>845290.0</v>
      </c>
      <c r="T211" s="108">
        <v>12.0</v>
      </c>
      <c r="U211" s="83">
        <v>55.0</v>
      </c>
      <c r="V211" s="84" t="str">
        <f t="shared" ref="V211:W211" si="52">B211</f>
        <v>Bajaj_4</v>
      </c>
      <c r="W211" s="174" t="str">
        <f t="shared" si="52"/>
        <v>CRASOME Dust Proof Washable Kitchen Wet Grinder Cover for 2L Table Top Bajaj WX 1 | Bajaj WX 3 CSM-BJ (Blue)</v>
      </c>
      <c r="X211" s="86">
        <f>SUMIFS('Transit Shipment'!$B$10:$B$1048462,'Transit Shipment'!$A$10:$A$1048462,B211,'Transit Shipment'!$C$10:$C$1048462,AA211)</f>
        <v>0</v>
      </c>
      <c r="Y211" s="86">
        <f>IF(SUMIFS(DIH!$S$2:$S833,DIH!$D$2:$D833,B211,DIH!$U$2:$U833,AA211)&gt;0,SUMIFS(DIH!$S$2:$S833,DIH!$D$2:$D833,B211,DIH!$U$2:$U833,AA211),0)</f>
        <v>0</v>
      </c>
      <c r="Z211" s="87">
        <f t="shared" si="7"/>
        <v>0</v>
      </c>
      <c r="AA211" s="88" t="s">
        <v>5</v>
      </c>
      <c r="AB211" s="89">
        <f>IF(ISNA(VLOOKUP($B211,'Business Report'!$D$2:$J$202,2,0)),"",VLOOKUP($B211,'Business Report'!$D$2:$J$202,2,0))</f>
        <v>5</v>
      </c>
      <c r="AC211" s="90">
        <f>SUMIFS(AFS!$P$2:$P$6260,AFS!$N$2:$N$6260,B211,AFS!$AT$2:$AT$6260,AA211)</f>
        <v>0</v>
      </c>
      <c r="AD211" s="91">
        <f t="shared" si="8"/>
        <v>0</v>
      </c>
      <c r="AE211" s="92"/>
      <c r="AF211" s="93" t="str">
        <f t="shared" si="9"/>
        <v/>
      </c>
      <c r="AG211" s="26"/>
      <c r="AH211" s="26"/>
      <c r="AI211" s="26"/>
    </row>
    <row r="212">
      <c r="A212" s="94" t="s">
        <v>1917</v>
      </c>
      <c r="B212" s="3" t="s">
        <v>41</v>
      </c>
      <c r="C212" s="95" t="s">
        <v>2442</v>
      </c>
      <c r="D212" s="96" t="s">
        <v>163</v>
      </c>
      <c r="E212" s="97">
        <f t="shared" si="2"/>
        <v>5</v>
      </c>
      <c r="F212" s="97">
        <f t="shared" si="3"/>
        <v>0</v>
      </c>
      <c r="G212" s="99">
        <f t="shared" si="4"/>
        <v>10</v>
      </c>
      <c r="H212" s="100"/>
      <c r="I212" s="101"/>
      <c r="J212" s="102"/>
      <c r="K212" s="103"/>
      <c r="L212" s="97"/>
      <c r="M212" s="169"/>
      <c r="N212" s="105"/>
      <c r="O212" s="106"/>
      <c r="P212" s="13">
        <f t="array" ref="P212">XLOOKUP(B212,Weight!B:B,Weight!D:D,"#N/A",0)</f>
        <v>144</v>
      </c>
      <c r="Q212" s="17">
        <f t="shared" si="6"/>
        <v>1440</v>
      </c>
      <c r="R212" s="107"/>
      <c r="S212" s="108">
        <v>845290.0</v>
      </c>
      <c r="T212" s="108">
        <v>12.0</v>
      </c>
      <c r="U212" s="109">
        <v>55.0</v>
      </c>
      <c r="V212" s="110"/>
      <c r="X212" s="111">
        <f>SUMIFS('Transit Shipment'!$B$10:$B$1048462,'Transit Shipment'!$A$10:$A$1048462,B212,'Transit Shipment'!$C$10:$C$1048462,AA212)</f>
        <v>0</v>
      </c>
      <c r="Y212" s="111">
        <f>IF(SUMIFS(DIH!$S$2:$S833,DIH!$D$2:$D833,B212,DIH!$U$2:$U833,AA212)&gt;0,SUMIFS(DIH!$S$2:$S833,DIH!$D$2:$D833,B212,DIH!$U$2:$U833,AA212),0)</f>
        <v>0</v>
      </c>
      <c r="Z212" s="112">
        <f t="shared" si="7"/>
        <v>0</v>
      </c>
      <c r="AA212" s="113" t="s">
        <v>11</v>
      </c>
      <c r="AB212" s="114">
        <f>IF(ISNA(VLOOKUP($B212,'Business Report'!$D$2:$J$202,2,0)),"",VLOOKUP($B212,'Business Report'!$D$2:$J$202,2,0))</f>
        <v>5</v>
      </c>
      <c r="AC212" s="115">
        <f>SUMIFS(AFS!$P$2:$P$6260,AFS!$N$2:$N$6260,B212,AFS!$AT$2:$AT$6260,AA212)</f>
        <v>7</v>
      </c>
      <c r="AD212" s="116">
        <f t="shared" si="8"/>
        <v>10</v>
      </c>
      <c r="AE212" s="117"/>
      <c r="AF212" s="118">
        <f t="shared" si="9"/>
        <v>10</v>
      </c>
      <c r="AG212" s="26"/>
      <c r="AH212" s="26"/>
      <c r="AI212" s="26"/>
    </row>
    <row r="213">
      <c r="A213" s="94" t="s">
        <v>1917</v>
      </c>
      <c r="B213" s="3" t="s">
        <v>41</v>
      </c>
      <c r="C213" s="95" t="s">
        <v>2442</v>
      </c>
      <c r="D213" s="96" t="s">
        <v>163</v>
      </c>
      <c r="E213" s="97">
        <f t="shared" si="2"/>
        <v>5</v>
      </c>
      <c r="F213" s="97">
        <f t="shared" si="3"/>
        <v>0</v>
      </c>
      <c r="G213" s="99">
        <f t="shared" si="4"/>
        <v>10</v>
      </c>
      <c r="H213" s="100"/>
      <c r="I213" s="101"/>
      <c r="J213" s="102"/>
      <c r="K213" s="103"/>
      <c r="L213" s="97"/>
      <c r="M213" s="169"/>
      <c r="N213" s="105"/>
      <c r="O213" s="106"/>
      <c r="P213" s="13">
        <f t="array" ref="P213">XLOOKUP(B213,Weight!B:B,Weight!D:D,"#N/A",0)</f>
        <v>144</v>
      </c>
      <c r="Q213" s="17">
        <f t="shared" si="6"/>
        <v>1440</v>
      </c>
      <c r="R213" s="107"/>
      <c r="S213" s="108">
        <v>845290.0</v>
      </c>
      <c r="T213" s="108">
        <v>12.0</v>
      </c>
      <c r="U213" s="109">
        <v>55.0</v>
      </c>
      <c r="V213" s="110"/>
      <c r="X213" s="111">
        <f>SUMIFS('Transit Shipment'!$B$10:$B$1048462,'Transit Shipment'!$A$10:$A$1048462,B213,'Transit Shipment'!$C$10:$C$1048462,AA213)</f>
        <v>0</v>
      </c>
      <c r="Y213" s="111">
        <f>IF(SUMIFS(DIH!$S$2:$S833,DIH!$D$2:$D833,B213,DIH!$U$2:$U833,AA213)&gt;0,SUMIFS(DIH!$S$2:$S833,DIH!$D$2:$D833,B213,DIH!$U$2:$U833,AA213),0)</f>
        <v>1</v>
      </c>
      <c r="Z213" s="112">
        <f t="shared" si="7"/>
        <v>1</v>
      </c>
      <c r="AA213" s="119" t="s">
        <v>9</v>
      </c>
      <c r="AB213" s="114">
        <f>IF(ISNA(VLOOKUP($B213,'Business Report'!$D$2:$J$202,2,0)),"",VLOOKUP($B213,'Business Report'!$D$2:$J$202,2,0))</f>
        <v>5</v>
      </c>
      <c r="AC213" s="115">
        <f>SUMIFS(AFS!$P$2:$P$6260,AFS!$N$2:$N$6260,B213,AFS!$AT$2:$AT$6260,AA213)</f>
        <v>8</v>
      </c>
      <c r="AD213" s="116">
        <f t="shared" si="8"/>
        <v>10</v>
      </c>
      <c r="AE213" s="117"/>
      <c r="AF213" s="118">
        <f t="shared" si="9"/>
        <v>10</v>
      </c>
      <c r="AG213" s="26"/>
      <c r="AH213" s="26"/>
      <c r="AI213" s="26"/>
    </row>
    <row r="214">
      <c r="A214" s="120" t="s">
        <v>1917</v>
      </c>
      <c r="B214" s="7" t="s">
        <v>41</v>
      </c>
      <c r="C214" s="95" t="s">
        <v>2442</v>
      </c>
      <c r="D214" s="109" t="s">
        <v>163</v>
      </c>
      <c r="E214" s="97">
        <f t="shared" si="2"/>
        <v>1</v>
      </c>
      <c r="F214" s="97">
        <f t="shared" si="3"/>
        <v>0</v>
      </c>
      <c r="G214" s="99">
        <f t="shared" si="4"/>
        <v>2</v>
      </c>
      <c r="H214" s="121"/>
      <c r="I214" s="122"/>
      <c r="J214" s="123"/>
      <c r="K214" s="124"/>
      <c r="L214" s="125"/>
      <c r="M214" s="181"/>
      <c r="N214" s="126"/>
      <c r="O214" s="127"/>
      <c r="P214" s="13">
        <f t="array" ref="P214">XLOOKUP(B214,Weight!B:B,Weight!D:D,"#N/A",0)</f>
        <v>144</v>
      </c>
      <c r="Q214" s="17">
        <f t="shared" si="6"/>
        <v>288</v>
      </c>
      <c r="R214" s="107"/>
      <c r="S214" s="108">
        <v>845290.0</v>
      </c>
      <c r="T214" s="108">
        <v>12.0</v>
      </c>
      <c r="U214" s="109">
        <v>55.0</v>
      </c>
      <c r="V214" s="110"/>
      <c r="X214" s="111">
        <f>SUMIFS('Transit Shipment'!$B$10:$B$1048462,'Transit Shipment'!$A$10:$A$1048462,B214,'Transit Shipment'!$C$10:$C$1048462,AA214)</f>
        <v>0</v>
      </c>
      <c r="Y214" s="111">
        <f>IF(SUMIFS(DIH!$S$2:$S833,DIH!$D$2:$D833,B214,DIH!$U$2:$U833,AA214)&gt;0,SUMIFS(DIH!$S$2:$S833,DIH!$D$2:$D833,B214,DIH!$U$2:$U833,AA214),0)</f>
        <v>0</v>
      </c>
      <c r="Z214" s="112">
        <f t="shared" si="7"/>
        <v>0</v>
      </c>
      <c r="AA214" s="119" t="s">
        <v>155</v>
      </c>
      <c r="AB214" s="114">
        <f>IF(ISNA(VLOOKUP($B214,'Business Report'!$D$2:$J$202,2,0)),"",VLOOKUP($B214,'Business Report'!$D$2:$J$202,2,0))</f>
        <v>5</v>
      </c>
      <c r="AC214" s="115">
        <f>SUMIFS(AFS!$P$2:$P$6260,AFS!$N$2:$N$6260,B214,AFS!$AT$2:$AT$6260,AA214)</f>
        <v>1</v>
      </c>
      <c r="AD214" s="116">
        <f t="shared" si="8"/>
        <v>2</v>
      </c>
      <c r="AE214" s="117"/>
      <c r="AF214" s="118">
        <f t="shared" si="9"/>
        <v>2</v>
      </c>
      <c r="AG214" s="26"/>
      <c r="AH214" s="26"/>
      <c r="AI214" s="26"/>
    </row>
    <row r="215">
      <c r="A215" s="120" t="s">
        <v>1917</v>
      </c>
      <c r="B215" s="7" t="s">
        <v>41</v>
      </c>
      <c r="C215" s="95" t="s">
        <v>2442</v>
      </c>
      <c r="D215" s="109" t="s">
        <v>163</v>
      </c>
      <c r="E215" s="97">
        <f t="shared" si="2"/>
        <v>9</v>
      </c>
      <c r="F215" s="97">
        <f t="shared" si="3"/>
        <v>0</v>
      </c>
      <c r="G215" s="99">
        <f t="shared" si="4"/>
        <v>18</v>
      </c>
      <c r="H215" s="121"/>
      <c r="I215" s="122"/>
      <c r="J215" s="123"/>
      <c r="K215" s="124"/>
      <c r="L215" s="125"/>
      <c r="M215" s="181"/>
      <c r="N215" s="126"/>
      <c r="O215" s="127"/>
      <c r="P215" s="13">
        <f t="array" ref="P215">XLOOKUP(B215,Weight!B:B,Weight!D:D,"#N/A",0)</f>
        <v>144</v>
      </c>
      <c r="Q215" s="17">
        <f t="shared" si="6"/>
        <v>2592</v>
      </c>
      <c r="R215" s="107"/>
      <c r="S215" s="108">
        <v>845290.0</v>
      </c>
      <c r="T215" s="108">
        <v>12.0</v>
      </c>
      <c r="U215" s="109">
        <v>55.0</v>
      </c>
      <c r="V215" s="110"/>
      <c r="X215" s="111">
        <f>SUMIFS('Transit Shipment'!$B$10:$B$1048462,'Transit Shipment'!$A$10:$A$1048462,B215,'Transit Shipment'!$C$10:$C$1048462,AA215)</f>
        <v>0</v>
      </c>
      <c r="Y215" s="111">
        <f>IF(SUMIFS(DIH!$S$2:$S833,DIH!$D$2:$D833,B215,DIH!$U$2:$U833,AA215)&gt;0,SUMIFS(DIH!$S$2:$S833,DIH!$D$2:$D833,B215,DIH!$U$2:$U833,AA215),0)</f>
        <v>1</v>
      </c>
      <c r="Z215" s="112">
        <f t="shared" si="7"/>
        <v>1</v>
      </c>
      <c r="AA215" s="119" t="s">
        <v>156</v>
      </c>
      <c r="AB215" s="114">
        <f>IF(ISNA(VLOOKUP($B215,'Business Report'!$D$2:$J$202,2,0)),"",VLOOKUP($B215,'Business Report'!$D$2:$J$202,2,0))</f>
        <v>5</v>
      </c>
      <c r="AC215" s="115">
        <f>SUMIFS(AFS!$P$2:$P$6260,AFS!$N$2:$N$6260,B215,AFS!$AT$2:$AT$6260,AA215)</f>
        <v>14</v>
      </c>
      <c r="AD215" s="116">
        <f t="shared" si="8"/>
        <v>18</v>
      </c>
      <c r="AE215" s="117"/>
      <c r="AF215" s="118">
        <f t="shared" si="9"/>
        <v>18</v>
      </c>
      <c r="AG215" s="26"/>
      <c r="AH215" s="26"/>
      <c r="AI215" s="26"/>
    </row>
    <row r="216">
      <c r="A216" s="120" t="s">
        <v>1917</v>
      </c>
      <c r="B216" s="7" t="s">
        <v>41</v>
      </c>
      <c r="C216" s="95" t="s">
        <v>2442</v>
      </c>
      <c r="D216" s="109" t="s">
        <v>163</v>
      </c>
      <c r="E216" s="97">
        <f t="shared" si="2"/>
        <v>1</v>
      </c>
      <c r="F216" s="97">
        <f t="shared" si="3"/>
        <v>0</v>
      </c>
      <c r="G216" s="99">
        <f t="shared" si="4"/>
        <v>2</v>
      </c>
      <c r="H216" s="121"/>
      <c r="I216" s="122"/>
      <c r="J216" s="123"/>
      <c r="K216" s="124"/>
      <c r="L216" s="125"/>
      <c r="M216" s="181"/>
      <c r="N216" s="126"/>
      <c r="O216" s="127"/>
      <c r="P216" s="13">
        <f t="array" ref="P216">XLOOKUP(B216,Weight!B:B,Weight!D:D,"#N/A",0)</f>
        <v>144</v>
      </c>
      <c r="Q216" s="17">
        <f t="shared" si="6"/>
        <v>288</v>
      </c>
      <c r="R216" s="107"/>
      <c r="S216" s="108">
        <v>845290.0</v>
      </c>
      <c r="T216" s="108">
        <v>12.0</v>
      </c>
      <c r="U216" s="109">
        <v>55.0</v>
      </c>
      <c r="V216" s="110"/>
      <c r="X216" s="111">
        <f>SUMIFS('Transit Shipment'!$B$10:$B$1048462,'Transit Shipment'!$A$10:$A$1048462,B216,'Transit Shipment'!$C$10:$C$1048462,AA216)</f>
        <v>0</v>
      </c>
      <c r="Y216" s="111">
        <f>IF(SUMIFS(DIH!$S$2:$S833,DIH!$D$2:$D833,B216,DIH!$U$2:$U833,AA216)&gt;0,SUMIFS(DIH!$S$2:$S833,DIH!$D$2:$D833,B216,DIH!$U$2:$U833,AA216),0)</f>
        <v>0</v>
      </c>
      <c r="Z216" s="112">
        <f t="shared" si="7"/>
        <v>0</v>
      </c>
      <c r="AA216" s="130" t="s">
        <v>13</v>
      </c>
      <c r="AB216" s="114">
        <f>IF(ISNA(VLOOKUP($B216,'Business Report'!$D$2:$J$202,2,0)),"",VLOOKUP($B216,'Business Report'!$D$2:$J$202,2,0))</f>
        <v>5</v>
      </c>
      <c r="AC216" s="115">
        <f>SUMIFS(AFS!$P$2:$P$6260,AFS!$N$2:$N$6260,B216,AFS!$AT$2:$AT$6260,AA216)</f>
        <v>1</v>
      </c>
      <c r="AD216" s="116">
        <f t="shared" si="8"/>
        <v>2</v>
      </c>
      <c r="AE216" s="117"/>
      <c r="AF216" s="118">
        <f t="shared" si="9"/>
        <v>2</v>
      </c>
      <c r="AG216" s="26"/>
      <c r="AH216" s="26"/>
      <c r="AI216" s="26"/>
    </row>
    <row r="217">
      <c r="A217" s="120" t="s">
        <v>1917</v>
      </c>
      <c r="B217" s="7" t="s">
        <v>41</v>
      </c>
      <c r="C217" s="95" t="s">
        <v>2442</v>
      </c>
      <c r="D217" s="109" t="s">
        <v>163</v>
      </c>
      <c r="E217" s="97">
        <f t="shared" si="2"/>
        <v>3</v>
      </c>
      <c r="F217" s="97">
        <f t="shared" si="3"/>
        <v>0</v>
      </c>
      <c r="G217" s="99">
        <f t="shared" si="4"/>
        <v>6</v>
      </c>
      <c r="H217" s="121"/>
      <c r="I217" s="122"/>
      <c r="J217" s="123"/>
      <c r="K217" s="124"/>
      <c r="L217" s="125"/>
      <c r="M217" s="181"/>
      <c r="N217" s="126"/>
      <c r="O217" s="127"/>
      <c r="P217" s="13">
        <f t="array" ref="P217">XLOOKUP(B217,Weight!B:B,Weight!D:D,"#N/A",0)</f>
        <v>144</v>
      </c>
      <c r="Q217" s="17">
        <f t="shared" si="6"/>
        <v>864</v>
      </c>
      <c r="R217" s="107"/>
      <c r="S217" s="108">
        <v>845290.0</v>
      </c>
      <c r="T217" s="108">
        <v>12.0</v>
      </c>
      <c r="U217" s="109">
        <v>55.0</v>
      </c>
      <c r="V217" s="110"/>
      <c r="X217" s="111">
        <f>SUMIFS('Transit Shipment'!$B$10:$B$1048462,'Transit Shipment'!$A$10:$A$1048462,B217,'Transit Shipment'!$C$10:$C$1048462,AA217)</f>
        <v>0</v>
      </c>
      <c r="Y217" s="111">
        <f>IF(SUMIFS(DIH!$S$2:$S833,DIH!$D$2:$D833,B217,DIH!$U$2:$U833,AA217)&gt;0,SUMIFS(DIH!$S$2:$S833,DIH!$D$2:$D833,B217,DIH!$U$2:$U833,AA217),0)</f>
        <v>0</v>
      </c>
      <c r="Z217" s="112">
        <f t="shared" si="7"/>
        <v>0</v>
      </c>
      <c r="AA217" s="119" t="s">
        <v>14</v>
      </c>
      <c r="AB217" s="114">
        <f>IF(ISNA(VLOOKUP($B217,'Business Report'!$D$2:$J$202,2,0)),"",VLOOKUP($B217,'Business Report'!$D$2:$J$202,2,0))</f>
        <v>5</v>
      </c>
      <c r="AC217" s="115">
        <f>SUMIFS(AFS!$P$2:$P$6260,AFS!$N$2:$N$6260,B217,AFS!$AT$2:$AT$6260,AA217)</f>
        <v>4</v>
      </c>
      <c r="AD217" s="116">
        <f t="shared" si="8"/>
        <v>6</v>
      </c>
      <c r="AE217" s="117"/>
      <c r="AF217" s="118">
        <f t="shared" si="9"/>
        <v>6</v>
      </c>
      <c r="AG217" s="26"/>
      <c r="AH217" s="26"/>
      <c r="AI217" s="26"/>
    </row>
    <row r="218">
      <c r="A218" s="120" t="s">
        <v>1917</v>
      </c>
      <c r="B218" s="7" t="s">
        <v>41</v>
      </c>
      <c r="C218" s="95" t="s">
        <v>2442</v>
      </c>
      <c r="D218" s="109" t="s">
        <v>163</v>
      </c>
      <c r="E218" s="97" t="str">
        <f t="shared" si="2"/>
        <v/>
      </c>
      <c r="F218" s="97" t="str">
        <f t="shared" si="3"/>
        <v/>
      </c>
      <c r="G218" s="99" t="str">
        <f t="shared" si="4"/>
        <v/>
      </c>
      <c r="H218" s="121"/>
      <c r="I218" s="122"/>
      <c r="J218" s="123"/>
      <c r="K218" s="124"/>
      <c r="L218" s="125"/>
      <c r="M218" s="181"/>
      <c r="N218" s="126"/>
      <c r="O218" s="127"/>
      <c r="P218" s="13">
        <f t="array" ref="P218">XLOOKUP(B218,Weight!B:B,Weight!D:D,"#N/A",0)</f>
        <v>144</v>
      </c>
      <c r="Q218" s="17" t="str">
        <f t="shared" si="6"/>
        <v/>
      </c>
      <c r="R218" s="107"/>
      <c r="S218" s="108">
        <v>845290.0</v>
      </c>
      <c r="T218" s="108">
        <v>12.0</v>
      </c>
      <c r="U218" s="109">
        <v>55.0</v>
      </c>
      <c r="V218" s="110"/>
      <c r="X218" s="111">
        <f>SUMIFS('Transit Shipment'!$B$10:$B$1048462,'Transit Shipment'!$A$10:$A$1048462,B218,'Transit Shipment'!$C$10:$C$1048462,AA218)</f>
        <v>0</v>
      </c>
      <c r="Y218" s="111">
        <f>IF(SUMIFS(DIH!$S$2:$S833,DIH!$D$2:$D833,B218,DIH!$U$2:$U833,AA218)&gt;0,SUMIFS(DIH!$S$2:$S833,DIH!$D$2:$D833,B218,DIH!$U$2:$U833,AA218),0)</f>
        <v>4</v>
      </c>
      <c r="Z218" s="112">
        <f t="shared" si="7"/>
        <v>4</v>
      </c>
      <c r="AA218" s="131" t="s">
        <v>16</v>
      </c>
      <c r="AB218" s="114">
        <f>IF(ISNA(VLOOKUP($B218,'Business Report'!$D$2:$J$202,2,0)),"",VLOOKUP($B218,'Business Report'!$D$2:$J$202,2,0))</f>
        <v>5</v>
      </c>
      <c r="AC218" s="115">
        <f>SUMIFS(AFS!$P$2:$P$6260,AFS!$N$2:$N$6260,B218,AFS!$AT$2:$AT$6260,AA218)</f>
        <v>2</v>
      </c>
      <c r="AD218" s="116">
        <f t="shared" si="8"/>
        <v>-1</v>
      </c>
      <c r="AE218" s="117"/>
      <c r="AF218" s="118" t="str">
        <f t="shared" si="9"/>
        <v/>
      </c>
      <c r="AG218" s="26"/>
      <c r="AH218" s="26"/>
      <c r="AI218" s="26"/>
    </row>
    <row r="219">
      <c r="A219" s="132" t="s">
        <v>1917</v>
      </c>
      <c r="B219" s="15" t="s">
        <v>41</v>
      </c>
      <c r="C219" s="133" t="s">
        <v>2442</v>
      </c>
      <c r="D219" s="134" t="s">
        <v>163</v>
      </c>
      <c r="E219" s="135">
        <f t="shared" si="2"/>
        <v>1</v>
      </c>
      <c r="F219" s="135">
        <f t="shared" si="3"/>
        <v>0</v>
      </c>
      <c r="G219" s="136" t="str">
        <f t="shared" si="4"/>
        <v/>
      </c>
      <c r="H219" s="137"/>
      <c r="I219" s="138"/>
      <c r="J219" s="139"/>
      <c r="K219" s="140"/>
      <c r="L219" s="135"/>
      <c r="M219" s="152"/>
      <c r="N219" s="142"/>
      <c r="O219" s="143"/>
      <c r="P219" s="144">
        <f t="array" ref="P219">XLOOKUP(B219,Weight!B:B,Weight!D:D,"#N/A",0)</f>
        <v>144</v>
      </c>
      <c r="Q219" s="145" t="str">
        <f t="shared" si="6"/>
        <v/>
      </c>
      <c r="R219" s="146"/>
      <c r="S219" s="147">
        <v>845290.0</v>
      </c>
      <c r="T219" s="147">
        <v>12.0</v>
      </c>
      <c r="U219" s="109">
        <v>55.0</v>
      </c>
      <c r="V219" s="148"/>
      <c r="W219" s="149"/>
      <c r="X219" s="150">
        <f>SUMIFS('Transit Shipment'!$B$10:$B$1048462,'Transit Shipment'!$A$10:$A$1048462,B219,'Transit Shipment'!$C$10:$C$1048462,AA219)</f>
        <v>0</v>
      </c>
      <c r="Y219" s="150">
        <f>IF(SUMIFS(DIH!$S$2:$S833,DIH!$D$2:$D833,B219,DIH!$U$2:$U833,AA219)&gt;0,SUMIFS(DIH!$S$2:$S833,DIH!$D$2:$D833,B219,DIH!$U$2:$U833,AA219),0)</f>
        <v>0</v>
      </c>
      <c r="Z219" s="151">
        <f t="shared" si="7"/>
        <v>0</v>
      </c>
      <c r="AA219" s="152" t="s">
        <v>17</v>
      </c>
      <c r="AB219" s="154">
        <f>IF(ISNA(VLOOKUP($B219,'Business Report'!$D$2:$J$202,2,0)),"",VLOOKUP($B219,'Business Report'!$D$2:$J$202,2,0))</f>
        <v>5</v>
      </c>
      <c r="AC219" s="155">
        <f>SUMIFS(AFS!$P$2:$P$6260,AFS!$N$2:$N$6260,B219,AFS!$AT$2:$AT$6260,AA219)</f>
        <v>0</v>
      </c>
      <c r="AD219" s="156">
        <f t="shared" si="8"/>
        <v>0</v>
      </c>
      <c r="AE219" s="159">
        <f>SUM(AD211:AD219)</f>
        <v>47</v>
      </c>
      <c r="AF219" s="118" t="str">
        <f t="shared" si="9"/>
        <v/>
      </c>
      <c r="AG219" s="26"/>
      <c r="AH219" s="26"/>
      <c r="AI219" s="26"/>
    </row>
    <row r="220">
      <c r="A220" s="66" t="s">
        <v>2613</v>
      </c>
      <c r="B220" s="1" t="s">
        <v>42</v>
      </c>
      <c r="C220" s="95" t="s">
        <v>2614</v>
      </c>
      <c r="D220" s="83" t="s">
        <v>164</v>
      </c>
      <c r="E220" s="69">
        <f t="shared" si="2"/>
        <v>1</v>
      </c>
      <c r="F220" s="69">
        <f t="shared" si="3"/>
        <v>0</v>
      </c>
      <c r="G220" s="70">
        <f t="shared" si="4"/>
        <v>2</v>
      </c>
      <c r="H220" s="163"/>
      <c r="I220" s="101"/>
      <c r="J220" s="102"/>
      <c r="K220" s="167"/>
      <c r="L220" s="119"/>
      <c r="M220" s="169"/>
      <c r="N220" s="171"/>
      <c r="O220" s="106"/>
      <c r="P220" s="79">
        <f t="array" ref="P220">XLOOKUP(B220,Weight!B:B,Weight!D:D,"#N/A",0)</f>
        <v>90</v>
      </c>
      <c r="Q220" s="80">
        <f t="shared" si="6"/>
        <v>180</v>
      </c>
      <c r="R220" s="107"/>
      <c r="S220" s="108">
        <v>560313.0</v>
      </c>
      <c r="T220" s="108">
        <v>12.0</v>
      </c>
      <c r="U220" s="83">
        <v>40.0</v>
      </c>
      <c r="V220" s="84" t="str">
        <f t="shared" ref="V220:W220" si="53">B220</f>
        <v>CRM-WG-NW-Ultra-Grey</v>
      </c>
      <c r="W220" s="174" t="str">
        <f t="shared" si="53"/>
        <v>Crasome Dust Proof Water Resistant Kitchen Wet Grinder Cover for 2 Litre Table Top Ultra Perfect S | Ultra Perfect Plus | 1.25 Litre Ultra Mini - Grey
</v>
      </c>
      <c r="X220" s="86">
        <f>SUMIFS('Transit Shipment'!$B$10:$B$1048462,'Transit Shipment'!$A$10:$A$1048462,B220,'Transit Shipment'!$C$10:$C$1048462,AA220)</f>
        <v>0</v>
      </c>
      <c r="Y220" s="86">
        <f>IF(SUMIFS(DIH!$S$2:$S833,DIH!$D$2:$D833,B220,DIH!$U$2:$U833,AA220)&gt;0,SUMIFS(DIH!$S$2:$S833,DIH!$D$2:$D833,B220,DIH!$U$2:$U833,AA220),0)</f>
        <v>2</v>
      </c>
      <c r="Z220" s="87">
        <f t="shared" si="7"/>
        <v>2</v>
      </c>
      <c r="AA220" s="88" t="s">
        <v>5</v>
      </c>
      <c r="AB220" s="89">
        <f>IF(ISNA(VLOOKUP($B220,'Business Report'!$D$2:$J$202,2,0)),"",VLOOKUP($B220,'Business Report'!$D$2:$J$202,2,0))</f>
        <v>200</v>
      </c>
      <c r="AC220" s="90">
        <f>SUMIFS(AFS!$P$2:$P$6260,AFS!$N$2:$N$6260,B220,AFS!$AT$2:$AT$6260,AA220)</f>
        <v>3</v>
      </c>
      <c r="AD220" s="91">
        <f t="shared" si="8"/>
        <v>2</v>
      </c>
      <c r="AE220" s="92"/>
      <c r="AF220" s="93">
        <f t="shared" si="9"/>
        <v>2</v>
      </c>
      <c r="AG220" s="26"/>
      <c r="AH220" s="26"/>
      <c r="AI220" s="26"/>
    </row>
    <row r="221">
      <c r="A221" s="94" t="s">
        <v>2613</v>
      </c>
      <c r="B221" s="3" t="s">
        <v>42</v>
      </c>
      <c r="C221" s="95" t="s">
        <v>2614</v>
      </c>
      <c r="D221" s="109" t="s">
        <v>164</v>
      </c>
      <c r="E221" s="97">
        <f t="shared" si="2"/>
        <v>30</v>
      </c>
      <c r="F221" s="97">
        <f t="shared" si="3"/>
        <v>0.5</v>
      </c>
      <c r="G221" s="99">
        <f t="shared" si="4"/>
        <v>62</v>
      </c>
      <c r="H221" s="100"/>
      <c r="I221" s="101"/>
      <c r="J221" s="102"/>
      <c r="K221" s="103"/>
      <c r="L221" s="97"/>
      <c r="M221" s="169"/>
      <c r="N221" s="105"/>
      <c r="O221" s="106"/>
      <c r="P221" s="13">
        <f t="array" ref="P221">XLOOKUP(B221,Weight!B:B,Weight!D:D,"#N/A",0)</f>
        <v>90</v>
      </c>
      <c r="Q221" s="17">
        <f t="shared" si="6"/>
        <v>5580</v>
      </c>
      <c r="R221" s="107"/>
      <c r="S221" s="108">
        <v>560313.0</v>
      </c>
      <c r="T221" s="108">
        <v>12.0</v>
      </c>
      <c r="U221" s="109">
        <v>40.0</v>
      </c>
      <c r="V221" s="110"/>
      <c r="X221" s="111">
        <f>SUMIFS('Transit Shipment'!$B$10:$B$1048462,'Transit Shipment'!$A$10:$A$1048462,B221,'Transit Shipment'!$C$10:$C$1048462,AA221)</f>
        <v>0</v>
      </c>
      <c r="Y221" s="111">
        <f>IF(SUMIFS(DIH!$S$2:$S833,DIH!$D$2:$D833,B221,DIH!$U$2:$U833,AA221)&gt;0,SUMIFS(DIH!$S$2:$S833,DIH!$D$2:$D833,B221,DIH!$U$2:$U833,AA221),0)</f>
        <v>18</v>
      </c>
      <c r="Z221" s="112">
        <f t="shared" si="7"/>
        <v>18</v>
      </c>
      <c r="AA221" s="113" t="s">
        <v>11</v>
      </c>
      <c r="AB221" s="114">
        <f>IF(ISNA(VLOOKUP($B221,'Business Report'!$D$2:$J$202,2,0)),"",VLOOKUP($B221,'Business Report'!$D$2:$J$202,2,0))</f>
        <v>200</v>
      </c>
      <c r="AC221" s="115">
        <f>SUMIFS(AFS!$P$2:$P$6260,AFS!$N$2:$N$6260,B221,AFS!$AT$2:$AT$6260,AA221)</f>
        <v>59</v>
      </c>
      <c r="AD221" s="116">
        <f t="shared" si="8"/>
        <v>61</v>
      </c>
      <c r="AE221" s="117"/>
      <c r="AF221" s="118">
        <f t="shared" si="9"/>
        <v>62</v>
      </c>
      <c r="AG221" s="26"/>
      <c r="AH221" s="26"/>
      <c r="AI221" s="26"/>
    </row>
    <row r="222">
      <c r="A222" s="94" t="s">
        <v>2613</v>
      </c>
      <c r="B222" s="3" t="s">
        <v>42</v>
      </c>
      <c r="C222" s="95" t="s">
        <v>2614</v>
      </c>
      <c r="D222" s="109" t="s">
        <v>164</v>
      </c>
      <c r="E222" s="97">
        <f t="shared" si="2"/>
        <v>40</v>
      </c>
      <c r="F222" s="97">
        <f t="shared" si="3"/>
        <v>0.5</v>
      </c>
      <c r="G222" s="99">
        <f t="shared" si="4"/>
        <v>82</v>
      </c>
      <c r="H222" s="100"/>
      <c r="I222" s="101"/>
      <c r="J222" s="102"/>
      <c r="K222" s="103"/>
      <c r="L222" s="97"/>
      <c r="M222" s="169"/>
      <c r="N222" s="105"/>
      <c r="O222" s="106"/>
      <c r="P222" s="13">
        <f t="array" ref="P222">XLOOKUP(B222,Weight!B:B,Weight!D:D,"#N/A",0)</f>
        <v>90</v>
      </c>
      <c r="Q222" s="17">
        <f t="shared" si="6"/>
        <v>7380</v>
      </c>
      <c r="R222" s="107"/>
      <c r="S222" s="108">
        <v>560313.0</v>
      </c>
      <c r="T222" s="108">
        <v>12.0</v>
      </c>
      <c r="U222" s="109">
        <v>40.0</v>
      </c>
      <c r="V222" s="110"/>
      <c r="X222" s="111">
        <f>SUMIFS('Transit Shipment'!$B$10:$B$1048462,'Transit Shipment'!$A$10:$A$1048462,B222,'Transit Shipment'!$C$10:$C$1048462,AA222)</f>
        <v>0</v>
      </c>
      <c r="Y222" s="111">
        <f>IF(SUMIFS(DIH!$S$2:$S833,DIH!$D$2:$D833,B222,DIH!$U$2:$U833,AA222)&gt;0,SUMIFS(DIH!$S$2:$S833,DIH!$D$2:$D833,B222,DIH!$U$2:$U833,AA222),0)</f>
        <v>10</v>
      </c>
      <c r="Z222" s="112">
        <f t="shared" si="7"/>
        <v>10</v>
      </c>
      <c r="AA222" s="119" t="s">
        <v>9</v>
      </c>
      <c r="AB222" s="114">
        <f>IF(ISNA(VLOOKUP($B222,'Business Report'!$D$2:$J$202,2,0)),"",VLOOKUP($B222,'Business Report'!$D$2:$J$202,2,0))</f>
        <v>200</v>
      </c>
      <c r="AC222" s="115">
        <f>SUMIFS(AFS!$P$2:$P$6260,AFS!$N$2:$N$6260,B222,AFS!$AT$2:$AT$6260,AA222)</f>
        <v>68</v>
      </c>
      <c r="AD222" s="116">
        <f t="shared" si="8"/>
        <v>81</v>
      </c>
      <c r="AE222" s="117"/>
      <c r="AF222" s="118">
        <f t="shared" si="9"/>
        <v>82</v>
      </c>
      <c r="AG222" s="26"/>
      <c r="AH222" s="26"/>
      <c r="AI222" s="26"/>
    </row>
    <row r="223">
      <c r="A223" s="120" t="s">
        <v>2613</v>
      </c>
      <c r="B223" s="7" t="s">
        <v>42</v>
      </c>
      <c r="C223" s="95" t="s">
        <v>2614</v>
      </c>
      <c r="D223" s="109" t="s">
        <v>164</v>
      </c>
      <c r="E223" s="97">
        <f t="shared" si="2"/>
        <v>26</v>
      </c>
      <c r="F223" s="97">
        <f t="shared" si="3"/>
        <v>0.5</v>
      </c>
      <c r="G223" s="99">
        <f t="shared" si="4"/>
        <v>54</v>
      </c>
      <c r="H223" s="121"/>
      <c r="I223" s="122"/>
      <c r="J223" s="123"/>
      <c r="K223" s="124"/>
      <c r="L223" s="125"/>
      <c r="M223" s="181"/>
      <c r="N223" s="126"/>
      <c r="O223" s="127"/>
      <c r="P223" s="13">
        <f t="array" ref="P223">XLOOKUP(B223,Weight!B:B,Weight!D:D,"#N/A",0)</f>
        <v>90</v>
      </c>
      <c r="Q223" s="17">
        <f t="shared" si="6"/>
        <v>4860</v>
      </c>
      <c r="R223" s="107"/>
      <c r="S223" s="108">
        <v>560313.0</v>
      </c>
      <c r="T223" s="108">
        <v>12.0</v>
      </c>
      <c r="U223" s="109">
        <v>40.0</v>
      </c>
      <c r="V223" s="110"/>
      <c r="X223" s="111">
        <f>SUMIFS('Transit Shipment'!$B$10:$B$1048462,'Transit Shipment'!$A$10:$A$1048462,B223,'Transit Shipment'!$C$10:$C$1048462,AA223)</f>
        <v>0</v>
      </c>
      <c r="Y223" s="111">
        <f>IF(SUMIFS(DIH!$S$2:$S833,DIH!$D$2:$D833,B223,DIH!$U$2:$U833,AA223)&gt;0,SUMIFS(DIH!$S$2:$S833,DIH!$D$2:$D833,B223,DIH!$U$2:$U833,AA223),0)</f>
        <v>2</v>
      </c>
      <c r="Z223" s="112">
        <f t="shared" si="7"/>
        <v>2</v>
      </c>
      <c r="AA223" s="119" t="s">
        <v>155</v>
      </c>
      <c r="AB223" s="114">
        <f>IF(ISNA(VLOOKUP($B223,'Business Report'!$D$2:$J$202,2,0)),"",VLOOKUP($B223,'Business Report'!$D$2:$J$202,2,0))</f>
        <v>200</v>
      </c>
      <c r="AC223" s="115">
        <f>SUMIFS(AFS!$P$2:$P$6260,AFS!$N$2:$N$6260,B223,AFS!$AT$2:$AT$6260,AA223)</f>
        <v>41</v>
      </c>
      <c r="AD223" s="116">
        <f t="shared" si="8"/>
        <v>53</v>
      </c>
      <c r="AE223" s="117"/>
      <c r="AF223" s="118">
        <f t="shared" si="9"/>
        <v>54</v>
      </c>
      <c r="AG223" s="26"/>
      <c r="AH223" s="26"/>
      <c r="AI223" s="26"/>
    </row>
    <row r="224">
      <c r="A224" s="120" t="s">
        <v>2613</v>
      </c>
      <c r="B224" s="7" t="s">
        <v>42</v>
      </c>
      <c r="C224" s="95" t="s">
        <v>2614</v>
      </c>
      <c r="D224" s="109" t="s">
        <v>164</v>
      </c>
      <c r="E224" s="97">
        <f t="shared" si="2"/>
        <v>39</v>
      </c>
      <c r="F224" s="97">
        <f t="shared" si="3"/>
        <v>0</v>
      </c>
      <c r="G224" s="99">
        <f t="shared" si="4"/>
        <v>78</v>
      </c>
      <c r="H224" s="121"/>
      <c r="I224" s="122"/>
      <c r="J224" s="123"/>
      <c r="K224" s="124"/>
      <c r="L224" s="125"/>
      <c r="M224" s="181"/>
      <c r="N224" s="126"/>
      <c r="O224" s="127"/>
      <c r="P224" s="13">
        <f t="array" ref="P224">XLOOKUP(B224,Weight!B:B,Weight!D:D,"#N/A",0)</f>
        <v>90</v>
      </c>
      <c r="Q224" s="17">
        <f t="shared" si="6"/>
        <v>7020</v>
      </c>
      <c r="R224" s="107"/>
      <c r="S224" s="108">
        <v>560313.0</v>
      </c>
      <c r="T224" s="108">
        <v>12.0</v>
      </c>
      <c r="U224" s="109">
        <v>40.0</v>
      </c>
      <c r="V224" s="110"/>
      <c r="X224" s="111">
        <f>SUMIFS('Transit Shipment'!$B$10:$B$1048462,'Transit Shipment'!$A$10:$A$1048462,B224,'Transit Shipment'!$C$10:$C$1048462,AA224)</f>
        <v>0</v>
      </c>
      <c r="Y224" s="111">
        <f>IF(SUMIFS(DIH!$S$2:$S833,DIH!$D$2:$D833,B224,DIH!$U$2:$U833,AA224)&gt;0,SUMIFS(DIH!$S$2:$S833,DIH!$D$2:$D833,B224,DIH!$U$2:$U833,AA224),0)</f>
        <v>97</v>
      </c>
      <c r="Z224" s="112">
        <f t="shared" si="7"/>
        <v>97</v>
      </c>
      <c r="AA224" s="119" t="s">
        <v>156</v>
      </c>
      <c r="AB224" s="114">
        <f>IF(ISNA(VLOOKUP($B224,'Business Report'!$D$2:$J$202,2,0)),"",VLOOKUP($B224,'Business Report'!$D$2:$J$202,2,0))</f>
        <v>200</v>
      </c>
      <c r="AC224" s="115">
        <f>SUMIFS(AFS!$P$2:$P$6260,AFS!$N$2:$N$6260,B224,AFS!$AT$2:$AT$6260,AA224)</f>
        <v>131</v>
      </c>
      <c r="AD224" s="116">
        <f t="shared" si="8"/>
        <v>78</v>
      </c>
      <c r="AE224" s="117"/>
      <c r="AF224" s="118">
        <f t="shared" si="9"/>
        <v>78</v>
      </c>
      <c r="AG224" s="26"/>
      <c r="AH224" s="26"/>
      <c r="AI224" s="26"/>
    </row>
    <row r="225">
      <c r="A225" s="120" t="s">
        <v>2613</v>
      </c>
      <c r="B225" s="7" t="s">
        <v>42</v>
      </c>
      <c r="C225" s="95" t="s">
        <v>2614</v>
      </c>
      <c r="D225" s="109" t="s">
        <v>164</v>
      </c>
      <c r="E225" s="97" t="str">
        <f t="shared" si="2"/>
        <v/>
      </c>
      <c r="F225" s="97" t="str">
        <f t="shared" si="3"/>
        <v/>
      </c>
      <c r="G225" s="99" t="str">
        <f t="shared" si="4"/>
        <v/>
      </c>
      <c r="H225" s="121"/>
      <c r="I225" s="122"/>
      <c r="J225" s="123"/>
      <c r="K225" s="124"/>
      <c r="L225" s="125"/>
      <c r="M225" s="181"/>
      <c r="N225" s="126"/>
      <c r="O225" s="127"/>
      <c r="P225" s="13">
        <f t="array" ref="P225">XLOOKUP(B225,Weight!B:B,Weight!D:D,"#N/A",0)</f>
        <v>90</v>
      </c>
      <c r="Q225" s="17" t="str">
        <f t="shared" si="6"/>
        <v/>
      </c>
      <c r="R225" s="107"/>
      <c r="S225" s="108">
        <v>560313.0</v>
      </c>
      <c r="T225" s="108">
        <v>12.0</v>
      </c>
      <c r="U225" s="109">
        <v>40.0</v>
      </c>
      <c r="V225" s="110"/>
      <c r="X225" s="111">
        <f>SUMIFS('Transit Shipment'!$B$10:$B$1048462,'Transit Shipment'!$A$10:$A$1048462,B225,'Transit Shipment'!$C$10:$C$1048462,AA225)</f>
        <v>0</v>
      </c>
      <c r="Y225" s="111">
        <f>IF(SUMIFS(DIH!$S$2:$S833,DIH!$D$2:$D833,B225,DIH!$U$2:$U833,AA225)&gt;0,SUMIFS(DIH!$S$2:$S833,DIH!$D$2:$D833,B225,DIH!$U$2:$U833,AA225),0)</f>
        <v>34</v>
      </c>
      <c r="Z225" s="112">
        <f t="shared" si="7"/>
        <v>34</v>
      </c>
      <c r="AA225" s="130" t="s">
        <v>13</v>
      </c>
      <c r="AB225" s="114">
        <f>IF(ISNA(VLOOKUP($B225,'Business Report'!$D$2:$J$202,2,0)),"",VLOOKUP($B225,'Business Report'!$D$2:$J$202,2,0))</f>
        <v>200</v>
      </c>
      <c r="AC225" s="115">
        <f>SUMIFS(AFS!$P$2:$P$6260,AFS!$N$2:$N$6260,B225,AFS!$AT$2:$AT$6260,AA225)</f>
        <v>0</v>
      </c>
      <c r="AD225" s="116">
        <f t="shared" si="8"/>
        <v>-34</v>
      </c>
      <c r="AE225" s="117"/>
      <c r="AF225" s="118" t="str">
        <f t="shared" si="9"/>
        <v/>
      </c>
      <c r="AG225" s="26"/>
      <c r="AH225" s="26"/>
      <c r="AI225" s="26"/>
    </row>
    <row r="226">
      <c r="A226" s="120" t="s">
        <v>2613</v>
      </c>
      <c r="B226" s="7" t="s">
        <v>42</v>
      </c>
      <c r="C226" s="95" t="s">
        <v>2614</v>
      </c>
      <c r="D226" s="109" t="s">
        <v>164</v>
      </c>
      <c r="E226" s="97" t="str">
        <f t="shared" si="2"/>
        <v/>
      </c>
      <c r="F226" s="97" t="str">
        <f t="shared" si="3"/>
        <v/>
      </c>
      <c r="G226" s="99" t="str">
        <f t="shared" si="4"/>
        <v/>
      </c>
      <c r="H226" s="121"/>
      <c r="I226" s="122"/>
      <c r="J226" s="123"/>
      <c r="K226" s="124"/>
      <c r="L226" s="125"/>
      <c r="M226" s="181"/>
      <c r="N226" s="126"/>
      <c r="O226" s="127"/>
      <c r="P226" s="13">
        <f t="array" ref="P226">XLOOKUP(B226,Weight!B:B,Weight!D:D,"#N/A",0)</f>
        <v>90</v>
      </c>
      <c r="Q226" s="17" t="str">
        <f t="shared" si="6"/>
        <v/>
      </c>
      <c r="R226" s="107"/>
      <c r="S226" s="108">
        <v>560313.0</v>
      </c>
      <c r="T226" s="108">
        <v>12.0</v>
      </c>
      <c r="U226" s="109">
        <v>40.0</v>
      </c>
      <c r="V226" s="110"/>
      <c r="X226" s="111">
        <f>SUMIFS('Transit Shipment'!$B$10:$B$1048462,'Transit Shipment'!$A$10:$A$1048462,B226,'Transit Shipment'!$C$10:$C$1048462,AA226)</f>
        <v>0</v>
      </c>
      <c r="Y226" s="111">
        <f>IF(SUMIFS(DIH!$S$2:$S833,DIH!$D$2:$D833,B226,DIH!$U$2:$U833,AA226)&gt;0,SUMIFS(DIH!$S$2:$S833,DIH!$D$2:$D833,B226,DIH!$U$2:$U833,AA226),0)</f>
        <v>50</v>
      </c>
      <c r="Z226" s="112">
        <f t="shared" si="7"/>
        <v>50</v>
      </c>
      <c r="AA226" s="119" t="s">
        <v>14</v>
      </c>
      <c r="AB226" s="114">
        <f>IF(ISNA(VLOOKUP($B226,'Business Report'!$D$2:$J$202,2,0)),"",VLOOKUP($B226,'Business Report'!$D$2:$J$202,2,0))</f>
        <v>200</v>
      </c>
      <c r="AC226" s="115">
        <f>SUMIFS(AFS!$P$2:$P$6260,AFS!$N$2:$N$6260,B226,AFS!$AT$2:$AT$6260,AA226)</f>
        <v>5</v>
      </c>
      <c r="AD226" s="116">
        <f t="shared" si="8"/>
        <v>-43</v>
      </c>
      <c r="AE226" s="117"/>
      <c r="AF226" s="118" t="str">
        <f t="shared" si="9"/>
        <v/>
      </c>
      <c r="AG226" s="26"/>
      <c r="AH226" s="26"/>
      <c r="AI226" s="26"/>
    </row>
    <row r="227">
      <c r="A227" s="120" t="s">
        <v>2613</v>
      </c>
      <c r="B227" s="7" t="s">
        <v>42</v>
      </c>
      <c r="C227" s="95" t="s">
        <v>2614</v>
      </c>
      <c r="D227" s="109" t="s">
        <v>164</v>
      </c>
      <c r="E227" s="97">
        <f t="shared" si="2"/>
        <v>10</v>
      </c>
      <c r="F227" s="97">
        <f t="shared" si="3"/>
        <v>0.5</v>
      </c>
      <c r="G227" s="99">
        <f t="shared" si="4"/>
        <v>22</v>
      </c>
      <c r="H227" s="121"/>
      <c r="I227" s="122"/>
      <c r="J227" s="123"/>
      <c r="K227" s="124"/>
      <c r="L227" s="125"/>
      <c r="M227" s="181"/>
      <c r="N227" s="126"/>
      <c r="O227" s="127"/>
      <c r="P227" s="13">
        <f t="array" ref="P227">XLOOKUP(B227,Weight!B:B,Weight!D:D,"#N/A",0)</f>
        <v>90</v>
      </c>
      <c r="Q227" s="17">
        <f t="shared" si="6"/>
        <v>1980</v>
      </c>
      <c r="R227" s="107"/>
      <c r="S227" s="108">
        <v>560313.0</v>
      </c>
      <c r="T227" s="108">
        <v>12.0</v>
      </c>
      <c r="U227" s="109">
        <v>40.0</v>
      </c>
      <c r="V227" s="110"/>
      <c r="X227" s="111">
        <f>SUMIFS('Transit Shipment'!$B$10:$B$1048462,'Transit Shipment'!$A$10:$A$1048462,B227,'Transit Shipment'!$C$10:$C$1048462,AA227)</f>
        <v>0</v>
      </c>
      <c r="Y227" s="111">
        <f>IF(SUMIFS(DIH!$S$2:$S833,DIH!$D$2:$D833,B227,DIH!$U$2:$U833,AA227)&gt;0,SUMIFS(DIH!$S$2:$S833,DIH!$D$2:$D833,B227,DIH!$U$2:$U833,AA227),0)</f>
        <v>15</v>
      </c>
      <c r="Z227" s="112">
        <f t="shared" si="7"/>
        <v>15</v>
      </c>
      <c r="AA227" s="131" t="s">
        <v>16</v>
      </c>
      <c r="AB227" s="114">
        <f>IF(ISNA(VLOOKUP($B227,'Business Report'!$D$2:$J$202,2,0)),"",VLOOKUP($B227,'Business Report'!$D$2:$J$202,2,0))</f>
        <v>200</v>
      </c>
      <c r="AC227" s="115">
        <f>SUMIFS(AFS!$P$2:$P$6260,AFS!$N$2:$N$6260,B227,AFS!$AT$2:$AT$6260,AA227)</f>
        <v>27</v>
      </c>
      <c r="AD227" s="116">
        <f t="shared" si="8"/>
        <v>21</v>
      </c>
      <c r="AE227" s="117"/>
      <c r="AF227" s="118">
        <f t="shared" si="9"/>
        <v>22</v>
      </c>
      <c r="AG227" s="26"/>
      <c r="AH227" s="26"/>
      <c r="AI227" s="26"/>
    </row>
    <row r="228">
      <c r="A228" s="132" t="s">
        <v>2613</v>
      </c>
      <c r="B228" s="15" t="s">
        <v>42</v>
      </c>
      <c r="C228" s="133" t="s">
        <v>2614</v>
      </c>
      <c r="D228" s="109" t="s">
        <v>164</v>
      </c>
      <c r="E228" s="135" t="str">
        <f t="shared" si="2"/>
        <v/>
      </c>
      <c r="F228" s="135" t="str">
        <f t="shared" si="3"/>
        <v/>
      </c>
      <c r="G228" s="136" t="str">
        <f t="shared" si="4"/>
        <v/>
      </c>
      <c r="H228" s="137"/>
      <c r="I228" s="138"/>
      <c r="J228" s="139"/>
      <c r="K228" s="140"/>
      <c r="L228" s="135"/>
      <c r="M228" s="152"/>
      <c r="N228" s="142"/>
      <c r="O228" s="143"/>
      <c r="P228" s="144">
        <f t="array" ref="P228">XLOOKUP(B228,Weight!B:B,Weight!D:D,"#N/A",0)</f>
        <v>90</v>
      </c>
      <c r="Q228" s="145" t="str">
        <f t="shared" si="6"/>
        <v/>
      </c>
      <c r="R228" s="146"/>
      <c r="S228" s="147">
        <v>560313.0</v>
      </c>
      <c r="T228" s="147">
        <v>12.0</v>
      </c>
      <c r="U228" s="109">
        <v>40.0</v>
      </c>
      <c r="V228" s="148"/>
      <c r="W228" s="149"/>
      <c r="X228" s="150">
        <f>SUMIFS('Transit Shipment'!$B$10:$B$1048462,'Transit Shipment'!$A$10:$A$1048462,B228,'Transit Shipment'!$C$10:$C$1048462,AA228)</f>
        <v>0</v>
      </c>
      <c r="Y228" s="150">
        <f>IF(SUMIFS(DIH!$S$2:$S833,DIH!$D$2:$D833,B228,DIH!$U$2:$U833,AA228)&gt;0,SUMIFS(DIH!$S$2:$S833,DIH!$D$2:$D833,B228,DIH!$U$2:$U833,AA228),0)</f>
        <v>32</v>
      </c>
      <c r="Z228" s="151">
        <f t="shared" si="7"/>
        <v>32</v>
      </c>
      <c r="AA228" s="152" t="s">
        <v>17</v>
      </c>
      <c r="AB228" s="154">
        <f>IF(ISNA(VLOOKUP($B228,'Business Report'!$D$2:$J$202,2,0)),"",VLOOKUP($B228,'Business Report'!$D$2:$J$202,2,0))</f>
        <v>200</v>
      </c>
      <c r="AC228" s="155">
        <f>SUMIFS(AFS!$P$2:$P$6260,AFS!$N$2:$N$6260,B228,AFS!$AT$2:$AT$6260,AA228)</f>
        <v>22</v>
      </c>
      <c r="AD228" s="156">
        <f t="shared" si="8"/>
        <v>-2</v>
      </c>
      <c r="AE228" s="159">
        <f>SUM(AD220:AD228)</f>
        <v>217</v>
      </c>
      <c r="AF228" s="118" t="str">
        <f t="shared" si="9"/>
        <v/>
      </c>
      <c r="AG228" s="26"/>
      <c r="AH228" s="26"/>
      <c r="AI228" s="26"/>
    </row>
    <row r="229">
      <c r="A229" s="66" t="s">
        <v>2824</v>
      </c>
      <c r="B229" s="1" t="s">
        <v>43</v>
      </c>
      <c r="C229" s="95" t="s">
        <v>2825</v>
      </c>
      <c r="D229" s="83" t="s">
        <v>164</v>
      </c>
      <c r="E229" s="69">
        <f t="shared" si="2"/>
        <v>1</v>
      </c>
      <c r="F229" s="69">
        <f t="shared" si="3"/>
        <v>0</v>
      </c>
      <c r="G229" s="70">
        <f t="shared" si="4"/>
        <v>2</v>
      </c>
      <c r="H229" s="163"/>
      <c r="I229" s="101"/>
      <c r="J229" s="102"/>
      <c r="K229" s="167"/>
      <c r="L229" s="119"/>
      <c r="M229" s="169"/>
      <c r="N229" s="171"/>
      <c r="O229" s="106"/>
      <c r="P229" s="79">
        <f t="array" ref="P229">XLOOKUP(B229,Weight!B:B,Weight!D:D,"#N/A",0)</f>
        <v>90</v>
      </c>
      <c r="Q229" s="80">
        <f t="shared" si="6"/>
        <v>180</v>
      </c>
      <c r="R229" s="107"/>
      <c r="S229" s="108">
        <v>560313.0</v>
      </c>
      <c r="T229" s="108">
        <v>12.0</v>
      </c>
      <c r="U229" s="83">
        <v>40.0</v>
      </c>
      <c r="V229" s="84" t="str">
        <f t="shared" ref="V229:W229" si="54">B229</f>
        <v>CRM-WG-NW-Ultra-Black</v>
      </c>
      <c r="W229" s="174" t="str">
        <f t="shared" si="54"/>
        <v>Crasome Dust Proof Water Resistant Kitchen Wet Grinder Cover for 2 Litre Table Top Ultra Perfect S | Ultra Perfect Plus | 1.25 Litre Ultra Mini - Black
</v>
      </c>
      <c r="X229" s="86">
        <f>SUMIFS('Transit Shipment'!$B$10:$B$1048462,'Transit Shipment'!$A$10:$A$1048462,B229,'Transit Shipment'!$C$10:$C$1048462,AA229)</f>
        <v>0</v>
      </c>
      <c r="Y229" s="86">
        <f>IF(SUMIFS(DIH!$S$2:$S833,DIH!$D$2:$D833,B229,DIH!$U$2:$U833,AA229)&gt;0,SUMIFS(DIH!$S$2:$S833,DIH!$D$2:$D833,B229,DIH!$U$2:$U833,AA229),0)</f>
        <v>0</v>
      </c>
      <c r="Z229" s="87">
        <f t="shared" si="7"/>
        <v>0</v>
      </c>
      <c r="AA229" s="88" t="s">
        <v>5</v>
      </c>
      <c r="AB229" s="89">
        <f>IF(ISNA(VLOOKUP($B229,'Business Report'!$D$2:$J$202,2,0)),"",VLOOKUP($B229,'Business Report'!$D$2:$J$202,2,0))</f>
        <v>53</v>
      </c>
      <c r="AC229" s="90">
        <f>SUMIFS(AFS!$P$2:$P$6260,AFS!$N$2:$N$6260,B229,AFS!$AT$2:$AT$6260,AA229)</f>
        <v>1</v>
      </c>
      <c r="AD229" s="91">
        <f t="shared" si="8"/>
        <v>2</v>
      </c>
      <c r="AE229" s="92"/>
      <c r="AF229" s="93">
        <f t="shared" si="9"/>
        <v>2</v>
      </c>
      <c r="AG229" s="26"/>
      <c r="AH229" s="26"/>
      <c r="AI229" s="26"/>
    </row>
    <row r="230">
      <c r="A230" s="94" t="s">
        <v>2824</v>
      </c>
      <c r="B230" s="3" t="s">
        <v>43</v>
      </c>
      <c r="C230" s="95" t="s">
        <v>2825</v>
      </c>
      <c r="D230" s="109" t="s">
        <v>164</v>
      </c>
      <c r="E230" s="97">
        <f t="shared" si="2"/>
        <v>5</v>
      </c>
      <c r="F230" s="97">
        <f t="shared" si="3"/>
        <v>0</v>
      </c>
      <c r="G230" s="99">
        <f t="shared" si="4"/>
        <v>10</v>
      </c>
      <c r="H230" s="100"/>
      <c r="I230" s="101"/>
      <c r="J230" s="102"/>
      <c r="K230" s="103"/>
      <c r="L230" s="97"/>
      <c r="M230" s="169"/>
      <c r="N230" s="105"/>
      <c r="O230" s="106"/>
      <c r="P230" s="13">
        <f t="array" ref="P230">XLOOKUP(B230,Weight!B:B,Weight!D:D,"#N/A",0)</f>
        <v>90</v>
      </c>
      <c r="Q230" s="17">
        <f t="shared" si="6"/>
        <v>900</v>
      </c>
      <c r="R230" s="107"/>
      <c r="S230" s="108">
        <v>560313.0</v>
      </c>
      <c r="T230" s="108">
        <v>12.0</v>
      </c>
      <c r="U230" s="109">
        <v>40.0</v>
      </c>
      <c r="V230" s="110"/>
      <c r="X230" s="111">
        <f>SUMIFS('Transit Shipment'!$B$10:$B$1048462,'Transit Shipment'!$A$10:$A$1048462,B230,'Transit Shipment'!$C$10:$C$1048462,AA230)</f>
        <v>0</v>
      </c>
      <c r="Y230" s="111">
        <f>IF(SUMIFS(DIH!$S$2:$S833,DIH!$D$2:$D833,B230,DIH!$U$2:$U833,AA230)&gt;0,SUMIFS(DIH!$S$2:$S833,DIH!$D$2:$D833,B230,DIH!$U$2:$U833,AA230),0)</f>
        <v>0</v>
      </c>
      <c r="Z230" s="112">
        <f t="shared" si="7"/>
        <v>0</v>
      </c>
      <c r="AA230" s="113" t="s">
        <v>11</v>
      </c>
      <c r="AB230" s="114">
        <f>IF(ISNA(VLOOKUP($B230,'Business Report'!$D$2:$J$202,2,0)),"",VLOOKUP($B230,'Business Report'!$D$2:$J$202,2,0))</f>
        <v>53</v>
      </c>
      <c r="AC230" s="115">
        <f>SUMIFS(AFS!$P$2:$P$6260,AFS!$N$2:$N$6260,B230,AFS!$AT$2:$AT$6260,AA230)</f>
        <v>7</v>
      </c>
      <c r="AD230" s="116">
        <f t="shared" si="8"/>
        <v>10</v>
      </c>
      <c r="AE230" s="117"/>
      <c r="AF230" s="118">
        <f t="shared" si="9"/>
        <v>10</v>
      </c>
      <c r="AG230" s="26"/>
      <c r="AH230" s="26"/>
      <c r="AI230" s="26"/>
    </row>
    <row r="231">
      <c r="A231" s="94" t="s">
        <v>2824</v>
      </c>
      <c r="B231" s="3" t="s">
        <v>43</v>
      </c>
      <c r="C231" s="95" t="s">
        <v>2825</v>
      </c>
      <c r="D231" s="109" t="s">
        <v>164</v>
      </c>
      <c r="E231" s="97">
        <f t="shared" si="2"/>
        <v>6</v>
      </c>
      <c r="F231" s="97">
        <f t="shared" si="3"/>
        <v>0</v>
      </c>
      <c r="G231" s="99">
        <f t="shared" si="4"/>
        <v>12</v>
      </c>
      <c r="H231" s="100"/>
      <c r="I231" s="101"/>
      <c r="J231" s="102"/>
      <c r="K231" s="103"/>
      <c r="L231" s="97"/>
      <c r="M231" s="169"/>
      <c r="N231" s="105"/>
      <c r="O231" s="106"/>
      <c r="P231" s="13">
        <f t="array" ref="P231">XLOOKUP(B231,Weight!B:B,Weight!D:D,"#N/A",0)</f>
        <v>90</v>
      </c>
      <c r="Q231" s="17">
        <f t="shared" si="6"/>
        <v>1080</v>
      </c>
      <c r="R231" s="107"/>
      <c r="S231" s="108">
        <v>560313.0</v>
      </c>
      <c r="T231" s="108">
        <v>12.0</v>
      </c>
      <c r="U231" s="109">
        <v>40.0</v>
      </c>
      <c r="V231" s="110"/>
      <c r="X231" s="111">
        <f>SUMIFS('Transit Shipment'!$B$10:$B$1048462,'Transit Shipment'!$A$10:$A$1048462,B231,'Transit Shipment'!$C$10:$C$1048462,AA231)</f>
        <v>0</v>
      </c>
      <c r="Y231" s="111">
        <f>IF(SUMIFS(DIH!$S$2:$S833,DIH!$D$2:$D833,B231,DIH!$U$2:$U833,AA231)&gt;0,SUMIFS(DIH!$S$2:$S833,DIH!$D$2:$D833,B231,DIH!$U$2:$U833,AA231),0)</f>
        <v>0</v>
      </c>
      <c r="Z231" s="112">
        <f t="shared" si="7"/>
        <v>0</v>
      </c>
      <c r="AA231" s="119" t="s">
        <v>9</v>
      </c>
      <c r="AB231" s="114">
        <f>IF(ISNA(VLOOKUP($B231,'Business Report'!$D$2:$J$202,2,0)),"",VLOOKUP($B231,'Business Report'!$D$2:$J$202,2,0))</f>
        <v>53</v>
      </c>
      <c r="AC231" s="115">
        <f>SUMIFS(AFS!$P$2:$P$6260,AFS!$N$2:$N$6260,B231,AFS!$AT$2:$AT$6260,AA231)</f>
        <v>9</v>
      </c>
      <c r="AD231" s="116">
        <f t="shared" si="8"/>
        <v>12</v>
      </c>
      <c r="AE231" s="117"/>
      <c r="AF231" s="118">
        <f t="shared" si="9"/>
        <v>12</v>
      </c>
      <c r="AG231" s="26"/>
      <c r="AH231" s="26"/>
      <c r="AI231" s="26"/>
    </row>
    <row r="232">
      <c r="A232" s="120" t="s">
        <v>2824</v>
      </c>
      <c r="B232" s="7" t="s">
        <v>43</v>
      </c>
      <c r="C232" s="95" t="s">
        <v>2825</v>
      </c>
      <c r="D232" s="109" t="s">
        <v>164</v>
      </c>
      <c r="E232" s="97">
        <f t="shared" si="2"/>
        <v>2</v>
      </c>
      <c r="F232" s="97">
        <f t="shared" si="3"/>
        <v>0</v>
      </c>
      <c r="G232" s="99">
        <f t="shared" si="4"/>
        <v>4</v>
      </c>
      <c r="H232" s="121"/>
      <c r="I232" s="122"/>
      <c r="J232" s="123"/>
      <c r="K232" s="124"/>
      <c r="L232" s="125"/>
      <c r="M232" s="181"/>
      <c r="N232" s="126"/>
      <c r="O232" s="127"/>
      <c r="P232" s="13">
        <f t="array" ref="P232">XLOOKUP(B232,Weight!B:B,Weight!D:D,"#N/A",0)</f>
        <v>90</v>
      </c>
      <c r="Q232" s="17">
        <f t="shared" si="6"/>
        <v>360</v>
      </c>
      <c r="R232" s="107"/>
      <c r="S232" s="108">
        <v>560313.0</v>
      </c>
      <c r="T232" s="108">
        <v>12.0</v>
      </c>
      <c r="U232" s="109">
        <v>40.0</v>
      </c>
      <c r="V232" s="110"/>
      <c r="X232" s="111">
        <f>SUMIFS('Transit Shipment'!$B$10:$B$1048462,'Transit Shipment'!$A$10:$A$1048462,B232,'Transit Shipment'!$C$10:$C$1048462,AA232)</f>
        <v>0</v>
      </c>
      <c r="Y232" s="111">
        <f>IF(SUMIFS(DIH!$S$2:$S833,DIH!$D$2:$D833,B232,DIH!$U$2:$U833,AA232)&gt;0,SUMIFS(DIH!$S$2:$S833,DIH!$D$2:$D833,B232,DIH!$U$2:$U833,AA232),0)</f>
        <v>0</v>
      </c>
      <c r="Z232" s="112">
        <f t="shared" si="7"/>
        <v>0</v>
      </c>
      <c r="AA232" s="119" t="s">
        <v>155</v>
      </c>
      <c r="AB232" s="114">
        <f>IF(ISNA(VLOOKUP($B232,'Business Report'!$D$2:$J$202,2,0)),"",VLOOKUP($B232,'Business Report'!$D$2:$J$202,2,0))</f>
        <v>53</v>
      </c>
      <c r="AC232" s="115">
        <f>SUMIFS(AFS!$P$2:$P$6260,AFS!$N$2:$N$6260,B232,AFS!$AT$2:$AT$6260,AA232)</f>
        <v>3</v>
      </c>
      <c r="AD232" s="116">
        <f t="shared" si="8"/>
        <v>4</v>
      </c>
      <c r="AE232" s="117"/>
      <c r="AF232" s="118">
        <f t="shared" si="9"/>
        <v>4</v>
      </c>
      <c r="AG232" s="26"/>
      <c r="AH232" s="26"/>
      <c r="AI232" s="26"/>
    </row>
    <row r="233">
      <c r="A233" s="120" t="s">
        <v>2824</v>
      </c>
      <c r="B233" s="7" t="s">
        <v>43</v>
      </c>
      <c r="C233" s="95" t="s">
        <v>2825</v>
      </c>
      <c r="D233" s="109" t="s">
        <v>164</v>
      </c>
      <c r="E233" s="97">
        <f t="shared" si="2"/>
        <v>15</v>
      </c>
      <c r="F233" s="97">
        <f t="shared" si="3"/>
        <v>0</v>
      </c>
      <c r="G233" s="99">
        <f t="shared" si="4"/>
        <v>30</v>
      </c>
      <c r="H233" s="121"/>
      <c r="I233" s="122"/>
      <c r="J233" s="123"/>
      <c r="K233" s="124"/>
      <c r="L233" s="125"/>
      <c r="M233" s="181"/>
      <c r="N233" s="126"/>
      <c r="O233" s="127"/>
      <c r="P233" s="13">
        <f t="array" ref="P233">XLOOKUP(B233,Weight!B:B,Weight!D:D,"#N/A",0)</f>
        <v>90</v>
      </c>
      <c r="Q233" s="17">
        <f t="shared" si="6"/>
        <v>2700</v>
      </c>
      <c r="R233" s="107"/>
      <c r="S233" s="108">
        <v>560313.0</v>
      </c>
      <c r="T233" s="108">
        <v>12.0</v>
      </c>
      <c r="U233" s="109">
        <v>40.0</v>
      </c>
      <c r="V233" s="110"/>
      <c r="X233" s="111">
        <f>SUMIFS('Transit Shipment'!$B$10:$B$1048462,'Transit Shipment'!$A$10:$A$1048462,B233,'Transit Shipment'!$C$10:$C$1048462,AA233)</f>
        <v>0</v>
      </c>
      <c r="Y233" s="111">
        <f>IF(SUMIFS(DIH!$S$2:$S833,DIH!$D$2:$D833,B233,DIH!$U$2:$U833,AA233)&gt;0,SUMIFS(DIH!$S$2:$S833,DIH!$D$2:$D833,B233,DIH!$U$2:$U833,AA233),0)</f>
        <v>0</v>
      </c>
      <c r="Z233" s="112">
        <f t="shared" si="7"/>
        <v>0</v>
      </c>
      <c r="AA233" s="119" t="s">
        <v>156</v>
      </c>
      <c r="AB233" s="114">
        <f>IF(ISNA(VLOOKUP($B233,'Business Report'!$D$2:$J$202,2,0)),"",VLOOKUP($B233,'Business Report'!$D$2:$J$202,2,0))</f>
        <v>53</v>
      </c>
      <c r="AC233" s="115">
        <f>SUMIFS(AFS!$P$2:$P$6260,AFS!$N$2:$N$6260,B233,AFS!$AT$2:$AT$6260,AA233)</f>
        <v>22</v>
      </c>
      <c r="AD233" s="116">
        <f t="shared" si="8"/>
        <v>30</v>
      </c>
      <c r="AE233" s="117"/>
      <c r="AF233" s="118">
        <f t="shared" si="9"/>
        <v>30</v>
      </c>
      <c r="AG233" s="26"/>
      <c r="AH233" s="26"/>
      <c r="AI233" s="26"/>
    </row>
    <row r="234">
      <c r="A234" s="120" t="s">
        <v>2824</v>
      </c>
      <c r="B234" s="7" t="s">
        <v>43</v>
      </c>
      <c r="C234" s="95" t="s">
        <v>2825</v>
      </c>
      <c r="D234" s="109" t="s">
        <v>164</v>
      </c>
      <c r="E234" s="97">
        <f t="shared" si="2"/>
        <v>2</v>
      </c>
      <c r="F234" s="97">
        <f t="shared" si="3"/>
        <v>0</v>
      </c>
      <c r="G234" s="99">
        <f t="shared" si="4"/>
        <v>4</v>
      </c>
      <c r="H234" s="121"/>
      <c r="I234" s="122"/>
      <c r="J234" s="123"/>
      <c r="K234" s="124"/>
      <c r="L234" s="125"/>
      <c r="M234" s="181"/>
      <c r="N234" s="126"/>
      <c r="O234" s="127"/>
      <c r="P234" s="13">
        <f t="array" ref="P234">XLOOKUP(B234,Weight!B:B,Weight!D:D,"#N/A",0)</f>
        <v>90</v>
      </c>
      <c r="Q234" s="17">
        <f t="shared" si="6"/>
        <v>360</v>
      </c>
      <c r="R234" s="107"/>
      <c r="S234" s="108">
        <v>560313.0</v>
      </c>
      <c r="T234" s="108">
        <v>12.0</v>
      </c>
      <c r="U234" s="109">
        <v>40.0</v>
      </c>
      <c r="V234" s="110"/>
      <c r="X234" s="111">
        <f>SUMIFS('Transit Shipment'!$B$10:$B$1048462,'Transit Shipment'!$A$10:$A$1048462,B234,'Transit Shipment'!$C$10:$C$1048462,AA234)</f>
        <v>0</v>
      </c>
      <c r="Y234" s="111">
        <f>IF(SUMIFS(DIH!$S$2:$S833,DIH!$D$2:$D833,B234,DIH!$U$2:$U833,AA234)&gt;0,SUMIFS(DIH!$S$2:$S833,DIH!$D$2:$D833,B234,DIH!$U$2:$U833,AA234),0)</f>
        <v>4</v>
      </c>
      <c r="Z234" s="112">
        <f t="shared" si="7"/>
        <v>4</v>
      </c>
      <c r="AA234" s="130" t="s">
        <v>13</v>
      </c>
      <c r="AB234" s="114">
        <f>IF(ISNA(VLOOKUP($B234,'Business Report'!$D$2:$J$202,2,0)),"",VLOOKUP($B234,'Business Report'!$D$2:$J$202,2,0))</f>
        <v>53</v>
      </c>
      <c r="AC234" s="115">
        <f>SUMIFS(AFS!$P$2:$P$6260,AFS!$N$2:$N$6260,B234,AFS!$AT$2:$AT$6260,AA234)</f>
        <v>6</v>
      </c>
      <c r="AD234" s="116">
        <f t="shared" si="8"/>
        <v>4</v>
      </c>
      <c r="AE234" s="117"/>
      <c r="AF234" s="118">
        <f t="shared" si="9"/>
        <v>4</v>
      </c>
      <c r="AG234" s="26"/>
      <c r="AH234" s="26"/>
      <c r="AI234" s="26"/>
    </row>
    <row r="235">
      <c r="A235" s="120" t="s">
        <v>2824</v>
      </c>
      <c r="B235" s="7" t="s">
        <v>43</v>
      </c>
      <c r="C235" s="95" t="s">
        <v>2825</v>
      </c>
      <c r="D235" s="109" t="s">
        <v>164</v>
      </c>
      <c r="E235" s="97" t="str">
        <f t="shared" si="2"/>
        <v/>
      </c>
      <c r="F235" s="97" t="str">
        <f t="shared" si="3"/>
        <v/>
      </c>
      <c r="G235" s="99" t="str">
        <f t="shared" si="4"/>
        <v/>
      </c>
      <c r="H235" s="121"/>
      <c r="I235" s="122"/>
      <c r="J235" s="123"/>
      <c r="K235" s="124"/>
      <c r="L235" s="125"/>
      <c r="M235" s="181"/>
      <c r="N235" s="126"/>
      <c r="O235" s="127"/>
      <c r="P235" s="13">
        <f t="array" ref="P235">XLOOKUP(B235,Weight!B:B,Weight!D:D,"#N/A",0)</f>
        <v>90</v>
      </c>
      <c r="Q235" s="17" t="str">
        <f t="shared" si="6"/>
        <v/>
      </c>
      <c r="R235" s="107"/>
      <c r="S235" s="108">
        <v>560313.0</v>
      </c>
      <c r="T235" s="108">
        <v>12.0</v>
      </c>
      <c r="U235" s="109">
        <v>40.0</v>
      </c>
      <c r="V235" s="110"/>
      <c r="X235" s="111">
        <f>SUMIFS('Transit Shipment'!$B$10:$B$1048462,'Transit Shipment'!$A$10:$A$1048462,B235,'Transit Shipment'!$C$10:$C$1048462,AA235)</f>
        <v>0</v>
      </c>
      <c r="Y235" s="111">
        <f>IF(SUMIFS(DIH!$S$2:$S833,DIH!$D$2:$D833,B235,DIH!$U$2:$U833,AA235)&gt;0,SUMIFS(DIH!$S$2:$S833,DIH!$D$2:$D833,B235,DIH!$U$2:$U833,AA235),0)</f>
        <v>8</v>
      </c>
      <c r="Z235" s="112">
        <f t="shared" si="7"/>
        <v>8</v>
      </c>
      <c r="AA235" s="119" t="s">
        <v>14</v>
      </c>
      <c r="AB235" s="114">
        <f>IF(ISNA(VLOOKUP($B235,'Business Report'!$D$2:$J$202,2,0)),"",VLOOKUP($B235,'Business Report'!$D$2:$J$202,2,0))</f>
        <v>53</v>
      </c>
      <c r="AC235" s="115">
        <f>SUMIFS(AFS!$P$2:$P$6260,AFS!$N$2:$N$6260,B235,AFS!$AT$2:$AT$6260,AA235)</f>
        <v>5</v>
      </c>
      <c r="AD235" s="116">
        <f t="shared" si="8"/>
        <v>-1</v>
      </c>
      <c r="AE235" s="117"/>
      <c r="AF235" s="118" t="str">
        <f t="shared" si="9"/>
        <v/>
      </c>
      <c r="AG235" s="26"/>
      <c r="AH235" s="26"/>
      <c r="AI235" s="26"/>
    </row>
    <row r="236">
      <c r="A236" s="120" t="s">
        <v>2824</v>
      </c>
      <c r="B236" s="7" t="s">
        <v>43</v>
      </c>
      <c r="C236" s="95" t="s">
        <v>2825</v>
      </c>
      <c r="D236" s="109" t="s">
        <v>164</v>
      </c>
      <c r="E236" s="97">
        <f t="shared" si="2"/>
        <v>3</v>
      </c>
      <c r="F236" s="97">
        <f t="shared" si="3"/>
        <v>0.5</v>
      </c>
      <c r="G236" s="99">
        <f t="shared" si="4"/>
        <v>8</v>
      </c>
      <c r="H236" s="121"/>
      <c r="I236" s="122"/>
      <c r="J236" s="123"/>
      <c r="K236" s="124"/>
      <c r="L236" s="125"/>
      <c r="M236" s="181"/>
      <c r="N236" s="126"/>
      <c r="O236" s="127"/>
      <c r="P236" s="13">
        <f t="array" ref="P236">XLOOKUP(B236,Weight!B:B,Weight!D:D,"#N/A",0)</f>
        <v>90</v>
      </c>
      <c r="Q236" s="17">
        <f t="shared" si="6"/>
        <v>720</v>
      </c>
      <c r="R236" s="107"/>
      <c r="S236" s="108">
        <v>560313.0</v>
      </c>
      <c r="T236" s="108">
        <v>12.0</v>
      </c>
      <c r="U236" s="109">
        <v>40.0</v>
      </c>
      <c r="V236" s="110"/>
      <c r="X236" s="111">
        <f>SUMIFS('Transit Shipment'!$B$10:$B$1048462,'Transit Shipment'!$A$10:$A$1048462,B236,'Transit Shipment'!$C$10:$C$1048462,AA236)</f>
        <v>0</v>
      </c>
      <c r="Y236" s="111">
        <f>IF(SUMIFS(DIH!$S$2:$S833,DIH!$D$2:$D833,B236,DIH!$U$2:$U833,AA236)&gt;0,SUMIFS(DIH!$S$2:$S833,DIH!$D$2:$D833,B236,DIH!$U$2:$U833,AA236),0)</f>
        <v>1</v>
      </c>
      <c r="Z236" s="112">
        <f t="shared" si="7"/>
        <v>1</v>
      </c>
      <c r="AA236" s="131" t="s">
        <v>16</v>
      </c>
      <c r="AB236" s="114">
        <f>IF(ISNA(VLOOKUP($B236,'Business Report'!$D$2:$J$202,2,0)),"",VLOOKUP($B236,'Business Report'!$D$2:$J$202,2,0))</f>
        <v>53</v>
      </c>
      <c r="AC236" s="115">
        <f>SUMIFS(AFS!$P$2:$P$6260,AFS!$N$2:$N$6260,B236,AFS!$AT$2:$AT$6260,AA236)</f>
        <v>6</v>
      </c>
      <c r="AD236" s="116">
        <f t="shared" si="8"/>
        <v>7</v>
      </c>
      <c r="AE236" s="117"/>
      <c r="AF236" s="118">
        <f t="shared" si="9"/>
        <v>8</v>
      </c>
      <c r="AG236" s="26"/>
      <c r="AH236" s="26"/>
      <c r="AI236" s="26"/>
    </row>
    <row r="237">
      <c r="A237" s="132" t="s">
        <v>2824</v>
      </c>
      <c r="B237" s="15" t="s">
        <v>43</v>
      </c>
      <c r="C237" s="133" t="s">
        <v>2825</v>
      </c>
      <c r="D237" s="109" t="s">
        <v>164</v>
      </c>
      <c r="E237" s="135">
        <f t="shared" si="2"/>
        <v>4</v>
      </c>
      <c r="F237" s="135">
        <f t="shared" si="3"/>
        <v>0</v>
      </c>
      <c r="G237" s="136">
        <f t="shared" si="4"/>
        <v>8</v>
      </c>
      <c r="H237" s="137"/>
      <c r="I237" s="138"/>
      <c r="J237" s="139"/>
      <c r="K237" s="140"/>
      <c r="L237" s="135"/>
      <c r="M237" s="152"/>
      <c r="N237" s="142"/>
      <c r="O237" s="143"/>
      <c r="P237" s="144">
        <f t="array" ref="P237">XLOOKUP(B237,Weight!B:B,Weight!D:D,"#N/A",0)</f>
        <v>90</v>
      </c>
      <c r="Q237" s="145">
        <f t="shared" si="6"/>
        <v>720</v>
      </c>
      <c r="R237" s="146"/>
      <c r="S237" s="147">
        <v>560313.0</v>
      </c>
      <c r="T237" s="147">
        <v>12.0</v>
      </c>
      <c r="U237" s="109">
        <v>40.0</v>
      </c>
      <c r="V237" s="148"/>
      <c r="W237" s="149"/>
      <c r="X237" s="150">
        <f>SUMIFS('Transit Shipment'!$B$10:$B$1048462,'Transit Shipment'!$A$10:$A$1048462,B237,'Transit Shipment'!$C$10:$C$1048462,AA237)</f>
        <v>0</v>
      </c>
      <c r="Y237" s="150">
        <f>IF(SUMIFS(DIH!$S$2:$S833,DIH!$D$2:$D833,B237,DIH!$U$2:$U833,AA237)&gt;0,SUMIFS(DIH!$S$2:$S833,DIH!$D$2:$D833,B237,DIH!$U$2:$U833,AA237),0)</f>
        <v>0</v>
      </c>
      <c r="Z237" s="151">
        <f t="shared" si="7"/>
        <v>0</v>
      </c>
      <c r="AA237" s="152" t="s">
        <v>17</v>
      </c>
      <c r="AB237" s="154">
        <f>IF(ISNA(VLOOKUP($B237,'Business Report'!$D$2:$J$202,2,0)),"",VLOOKUP($B237,'Business Report'!$D$2:$J$202,2,0))</f>
        <v>53</v>
      </c>
      <c r="AC237" s="155">
        <f>SUMIFS(AFS!$P$2:$P$6260,AFS!$N$2:$N$6260,B237,AFS!$AT$2:$AT$6260,AA237)</f>
        <v>6</v>
      </c>
      <c r="AD237" s="156">
        <f t="shared" si="8"/>
        <v>8</v>
      </c>
      <c r="AE237" s="159">
        <f>SUM(AD229:AD237)</f>
        <v>76</v>
      </c>
      <c r="AF237" s="118">
        <f t="shared" si="9"/>
        <v>8</v>
      </c>
      <c r="AG237" s="26"/>
      <c r="AH237" s="26"/>
      <c r="AI237" s="26"/>
    </row>
    <row r="238">
      <c r="A238" s="66" t="s">
        <v>2613</v>
      </c>
      <c r="B238" s="1" t="s">
        <v>44</v>
      </c>
      <c r="C238" s="95" t="s">
        <v>2996</v>
      </c>
      <c r="D238" s="83" t="s">
        <v>164</v>
      </c>
      <c r="E238" s="69">
        <f t="shared" si="2"/>
        <v>1</v>
      </c>
      <c r="F238" s="69">
        <f t="shared" si="3"/>
        <v>0</v>
      </c>
      <c r="G238" s="70" t="str">
        <f t="shared" si="4"/>
        <v/>
      </c>
      <c r="H238" s="163"/>
      <c r="I238" s="101"/>
      <c r="J238" s="102"/>
      <c r="K238" s="167"/>
      <c r="L238" s="119"/>
      <c r="M238" s="169"/>
      <c r="N238" s="171"/>
      <c r="O238" s="106"/>
      <c r="P238" s="79">
        <f t="array" ref="P238">XLOOKUP(B238,Weight!B:B,Weight!D:D,"#N/A",0)</f>
        <v>90</v>
      </c>
      <c r="Q238" s="80" t="str">
        <f t="shared" si="6"/>
        <v/>
      </c>
      <c r="R238" s="107"/>
      <c r="S238" s="108">
        <v>560313.0</v>
      </c>
      <c r="T238" s="108">
        <v>12.0</v>
      </c>
      <c r="U238" s="83">
        <v>40.0</v>
      </c>
      <c r="V238" s="84" t="str">
        <f t="shared" ref="V238:W238" si="55">B238</f>
        <v>CRM-WG-NW-Bajaj-Grey</v>
      </c>
      <c r="W238" s="174" t="str">
        <f t="shared" si="55"/>
        <v>Crasome Dust Proof Water Resistant Kitchen Wet Grinder Cover for 2 Litre Table Top Bajaj WX 1 | Bajaj WX 3 - Grey
</v>
      </c>
      <c r="X238" s="86">
        <f>SUMIFS('Transit Shipment'!$B$10:$B$1048462,'Transit Shipment'!$A$10:$A$1048462,B238,'Transit Shipment'!$C$10:$C$1048462,AA238)</f>
        <v>0</v>
      </c>
      <c r="Y238" s="86">
        <f>IF(SUMIFS(DIH!$S$2:$S833,DIH!$D$2:$D833,B238,DIH!$U$2:$U833,AA238)&gt;0,SUMIFS(DIH!$S$2:$S833,DIH!$D$2:$D833,B238,DIH!$U$2:$U833,AA238),0)</f>
        <v>0</v>
      </c>
      <c r="Z238" s="87">
        <f t="shared" si="7"/>
        <v>0</v>
      </c>
      <c r="AA238" s="88" t="s">
        <v>5</v>
      </c>
      <c r="AB238" s="89">
        <f>IF(ISNA(VLOOKUP($B238,'Business Report'!$D$2:$J$202,2,0)),"",VLOOKUP($B238,'Business Report'!$D$2:$J$202,2,0))</f>
        <v>6</v>
      </c>
      <c r="AC238" s="90">
        <f>SUMIFS(AFS!$P$2:$P$6260,AFS!$N$2:$N$6260,B238,AFS!$AT$2:$AT$6260,AA238)</f>
        <v>0</v>
      </c>
      <c r="AD238" s="91">
        <f t="shared" si="8"/>
        <v>0</v>
      </c>
      <c r="AE238" s="92"/>
      <c r="AF238" s="93" t="str">
        <f t="shared" si="9"/>
        <v/>
      </c>
      <c r="AG238" s="26"/>
      <c r="AH238" s="26"/>
      <c r="AI238" s="26"/>
    </row>
    <row r="239">
      <c r="A239" s="94" t="s">
        <v>2613</v>
      </c>
      <c r="B239" s="3" t="s">
        <v>44</v>
      </c>
      <c r="C239" s="95" t="s">
        <v>2996</v>
      </c>
      <c r="D239" s="109" t="s">
        <v>164</v>
      </c>
      <c r="E239" s="97">
        <f t="shared" si="2"/>
        <v>1</v>
      </c>
      <c r="F239" s="97">
        <f t="shared" si="3"/>
        <v>0</v>
      </c>
      <c r="G239" s="99" t="str">
        <f t="shared" si="4"/>
        <v/>
      </c>
      <c r="H239" s="100"/>
      <c r="I239" s="101"/>
      <c r="J239" s="102"/>
      <c r="K239" s="103"/>
      <c r="L239" s="97"/>
      <c r="M239" s="169"/>
      <c r="N239" s="105"/>
      <c r="O239" s="106"/>
      <c r="P239" s="13">
        <f t="array" ref="P239">XLOOKUP(B239,Weight!B:B,Weight!D:D,"#N/A",0)</f>
        <v>90</v>
      </c>
      <c r="Q239" s="17" t="str">
        <f t="shared" si="6"/>
        <v/>
      </c>
      <c r="R239" s="107"/>
      <c r="S239" s="108">
        <v>560313.0</v>
      </c>
      <c r="T239" s="108">
        <v>12.0</v>
      </c>
      <c r="U239" s="109">
        <v>40.0</v>
      </c>
      <c r="V239" s="110"/>
      <c r="X239" s="111">
        <f>SUMIFS('Transit Shipment'!$B$10:$B$1048462,'Transit Shipment'!$A$10:$A$1048462,B239,'Transit Shipment'!$C$10:$C$1048462,AA239)</f>
        <v>0</v>
      </c>
      <c r="Y239" s="111">
        <f>IF(SUMIFS(DIH!$S$2:$S833,DIH!$D$2:$D833,B239,DIH!$U$2:$U833,AA239)&gt;0,SUMIFS(DIH!$S$2:$S833,DIH!$D$2:$D833,B239,DIH!$U$2:$U833,AA239),0)</f>
        <v>0</v>
      </c>
      <c r="Z239" s="112">
        <f t="shared" si="7"/>
        <v>0</v>
      </c>
      <c r="AA239" s="113" t="s">
        <v>11</v>
      </c>
      <c r="AB239" s="114">
        <f>IF(ISNA(VLOOKUP($B239,'Business Report'!$D$2:$J$202,2,0)),"",VLOOKUP($B239,'Business Report'!$D$2:$J$202,2,0))</f>
        <v>6</v>
      </c>
      <c r="AC239" s="115">
        <f>SUMIFS(AFS!$P$2:$P$6260,AFS!$N$2:$N$6260,B239,AFS!$AT$2:$AT$6260,AA239)</f>
        <v>0</v>
      </c>
      <c r="AD239" s="116">
        <f t="shared" si="8"/>
        <v>0</v>
      </c>
      <c r="AE239" s="117"/>
      <c r="AF239" s="118" t="str">
        <f t="shared" si="9"/>
        <v/>
      </c>
      <c r="AG239" s="251"/>
      <c r="AH239" s="26"/>
      <c r="AI239" s="26"/>
    </row>
    <row r="240">
      <c r="A240" s="94" t="s">
        <v>2613</v>
      </c>
      <c r="B240" s="3" t="s">
        <v>44</v>
      </c>
      <c r="C240" s="95" t="s">
        <v>2996</v>
      </c>
      <c r="D240" s="109" t="s">
        <v>164</v>
      </c>
      <c r="E240" s="97">
        <f t="shared" si="2"/>
        <v>1</v>
      </c>
      <c r="F240" s="97">
        <f t="shared" si="3"/>
        <v>0</v>
      </c>
      <c r="G240" s="99" t="str">
        <f t="shared" si="4"/>
        <v/>
      </c>
      <c r="H240" s="100"/>
      <c r="I240" s="101"/>
      <c r="J240" s="102"/>
      <c r="K240" s="103"/>
      <c r="L240" s="97"/>
      <c r="M240" s="169"/>
      <c r="N240" s="105"/>
      <c r="O240" s="106"/>
      <c r="P240" s="13">
        <f t="array" ref="P240">XLOOKUP(B240,Weight!B:B,Weight!D:D,"#N/A",0)</f>
        <v>90</v>
      </c>
      <c r="Q240" s="17" t="str">
        <f t="shared" si="6"/>
        <v/>
      </c>
      <c r="R240" s="107"/>
      <c r="S240" s="108">
        <v>560313.0</v>
      </c>
      <c r="T240" s="108">
        <v>12.0</v>
      </c>
      <c r="U240" s="109">
        <v>40.0</v>
      </c>
      <c r="V240" s="110"/>
      <c r="X240" s="111">
        <f>SUMIFS('Transit Shipment'!$B$10:$B$1048462,'Transit Shipment'!$A$10:$A$1048462,B240,'Transit Shipment'!$C$10:$C$1048462,AA240)</f>
        <v>0</v>
      </c>
      <c r="Y240" s="111">
        <f>IF(SUMIFS(DIH!$S$2:$S833,DIH!$D$2:$D833,B240,DIH!$U$2:$U833,AA240)&gt;0,SUMIFS(DIH!$S$2:$S833,DIH!$D$2:$D833,B240,DIH!$U$2:$U833,AA240),0)</f>
        <v>0</v>
      </c>
      <c r="Z240" s="112">
        <f t="shared" si="7"/>
        <v>0</v>
      </c>
      <c r="AA240" s="119" t="s">
        <v>9</v>
      </c>
      <c r="AB240" s="114">
        <f>IF(ISNA(VLOOKUP($B240,'Business Report'!$D$2:$J$202,2,0)),"",VLOOKUP($B240,'Business Report'!$D$2:$J$202,2,0))</f>
        <v>6</v>
      </c>
      <c r="AC240" s="115">
        <f>SUMIFS(AFS!$P$2:$P$6260,AFS!$N$2:$N$6260,B240,AFS!$AT$2:$AT$6260,AA240)</f>
        <v>0</v>
      </c>
      <c r="AD240" s="116">
        <f t="shared" si="8"/>
        <v>0</v>
      </c>
      <c r="AE240" s="117"/>
      <c r="AF240" s="118" t="str">
        <f t="shared" si="9"/>
        <v/>
      </c>
      <c r="AG240" s="26"/>
      <c r="AH240" s="26"/>
      <c r="AI240" s="26"/>
    </row>
    <row r="241">
      <c r="A241" s="120" t="s">
        <v>2613</v>
      </c>
      <c r="B241" s="7" t="s">
        <v>44</v>
      </c>
      <c r="C241" s="95" t="s">
        <v>2996</v>
      </c>
      <c r="D241" s="109" t="s">
        <v>164</v>
      </c>
      <c r="E241" s="97">
        <f t="shared" si="2"/>
        <v>1</v>
      </c>
      <c r="F241" s="97">
        <f t="shared" si="3"/>
        <v>0</v>
      </c>
      <c r="G241" s="99" t="str">
        <f t="shared" si="4"/>
        <v/>
      </c>
      <c r="H241" s="121"/>
      <c r="I241" s="122"/>
      <c r="J241" s="123"/>
      <c r="K241" s="124"/>
      <c r="L241" s="125"/>
      <c r="M241" s="181"/>
      <c r="N241" s="126"/>
      <c r="O241" s="127"/>
      <c r="P241" s="13">
        <f t="array" ref="P241">XLOOKUP(B241,Weight!B:B,Weight!D:D,"#N/A",0)</f>
        <v>90</v>
      </c>
      <c r="Q241" s="17" t="str">
        <f t="shared" si="6"/>
        <v/>
      </c>
      <c r="R241" s="107"/>
      <c r="S241" s="108">
        <v>560313.0</v>
      </c>
      <c r="T241" s="108">
        <v>12.0</v>
      </c>
      <c r="U241" s="109">
        <v>40.0</v>
      </c>
      <c r="V241" s="110"/>
      <c r="X241" s="111">
        <f>SUMIFS('Transit Shipment'!$B$10:$B$1048462,'Transit Shipment'!$A$10:$A$1048462,B241,'Transit Shipment'!$C$10:$C$1048462,AA241)</f>
        <v>0</v>
      </c>
      <c r="Y241" s="111">
        <f>IF(SUMIFS(DIH!$S$2:$S833,DIH!$D$2:$D833,B241,DIH!$U$2:$U833,AA241)&gt;0,SUMIFS(DIH!$S$2:$S833,DIH!$D$2:$D833,B241,DIH!$U$2:$U833,AA241),0)</f>
        <v>0</v>
      </c>
      <c r="Z241" s="112">
        <f t="shared" si="7"/>
        <v>0</v>
      </c>
      <c r="AA241" s="119" t="s">
        <v>155</v>
      </c>
      <c r="AB241" s="114">
        <f>IF(ISNA(VLOOKUP($B241,'Business Report'!$D$2:$J$202,2,0)),"",VLOOKUP($B241,'Business Report'!$D$2:$J$202,2,0))</f>
        <v>6</v>
      </c>
      <c r="AC241" s="115">
        <f>SUMIFS(AFS!$P$2:$P$6260,AFS!$N$2:$N$6260,B241,AFS!$AT$2:$AT$6260,AA241)</f>
        <v>0</v>
      </c>
      <c r="AD241" s="116">
        <f t="shared" si="8"/>
        <v>0</v>
      </c>
      <c r="AE241" s="117"/>
      <c r="AF241" s="118" t="str">
        <f t="shared" si="9"/>
        <v/>
      </c>
      <c r="AG241" s="26"/>
      <c r="AH241" s="26"/>
      <c r="AI241" s="26"/>
    </row>
    <row r="242">
      <c r="A242" s="120" t="s">
        <v>2613</v>
      </c>
      <c r="B242" s="7" t="s">
        <v>44</v>
      </c>
      <c r="C242" s="95" t="s">
        <v>2996</v>
      </c>
      <c r="D242" s="109" t="s">
        <v>164</v>
      </c>
      <c r="E242" s="97">
        <f t="shared" si="2"/>
        <v>1</v>
      </c>
      <c r="F242" s="97">
        <f t="shared" si="3"/>
        <v>0</v>
      </c>
      <c r="G242" s="99" t="str">
        <f t="shared" si="4"/>
        <v/>
      </c>
      <c r="H242" s="121"/>
      <c r="I242" s="122"/>
      <c r="J242" s="123"/>
      <c r="K242" s="124"/>
      <c r="L242" s="125"/>
      <c r="M242" s="181"/>
      <c r="N242" s="126"/>
      <c r="O242" s="127"/>
      <c r="P242" s="13">
        <f t="array" ref="P242">XLOOKUP(B242,Weight!B:B,Weight!D:D,"#N/A",0)</f>
        <v>90</v>
      </c>
      <c r="Q242" s="17" t="str">
        <f t="shared" si="6"/>
        <v/>
      </c>
      <c r="R242" s="107"/>
      <c r="S242" s="108">
        <v>560313.0</v>
      </c>
      <c r="T242" s="108">
        <v>12.0</v>
      </c>
      <c r="U242" s="109">
        <v>40.0</v>
      </c>
      <c r="V242" s="110"/>
      <c r="X242" s="111">
        <f>SUMIFS('Transit Shipment'!$B$10:$B$1048462,'Transit Shipment'!$A$10:$A$1048462,B242,'Transit Shipment'!$C$10:$C$1048462,AA242)</f>
        <v>0</v>
      </c>
      <c r="Y242" s="111">
        <f>IF(SUMIFS(DIH!$S$2:$S833,DIH!$D$2:$D833,B242,DIH!$U$2:$U833,AA242)&gt;0,SUMIFS(DIH!$S$2:$S833,DIH!$D$2:$D833,B242,DIH!$U$2:$U833,AA242),0)</f>
        <v>0</v>
      </c>
      <c r="Z242" s="112">
        <f t="shared" si="7"/>
        <v>0</v>
      </c>
      <c r="AA242" s="119" t="s">
        <v>156</v>
      </c>
      <c r="AB242" s="114">
        <f>IF(ISNA(VLOOKUP($B242,'Business Report'!$D$2:$J$202,2,0)),"",VLOOKUP($B242,'Business Report'!$D$2:$J$202,2,0))</f>
        <v>6</v>
      </c>
      <c r="AC242" s="115">
        <f>SUMIFS(AFS!$P$2:$P$6260,AFS!$N$2:$N$6260,B242,AFS!$AT$2:$AT$6260,AA242)</f>
        <v>0</v>
      </c>
      <c r="AD242" s="116">
        <f t="shared" si="8"/>
        <v>0</v>
      </c>
      <c r="AE242" s="117"/>
      <c r="AF242" s="118" t="str">
        <f t="shared" si="9"/>
        <v/>
      </c>
      <c r="AG242" s="26"/>
      <c r="AH242" s="26"/>
      <c r="AI242" s="26"/>
    </row>
    <row r="243">
      <c r="A243" s="120" t="s">
        <v>2613</v>
      </c>
      <c r="B243" s="7" t="s">
        <v>44</v>
      </c>
      <c r="C243" s="95" t="s">
        <v>2996</v>
      </c>
      <c r="D243" s="109" t="s">
        <v>164</v>
      </c>
      <c r="E243" s="97">
        <f t="shared" si="2"/>
        <v>1</v>
      </c>
      <c r="F243" s="97">
        <f t="shared" si="3"/>
        <v>0</v>
      </c>
      <c r="G243" s="99" t="str">
        <f t="shared" si="4"/>
        <v/>
      </c>
      <c r="H243" s="121"/>
      <c r="I243" s="122"/>
      <c r="J243" s="123"/>
      <c r="K243" s="124"/>
      <c r="L243" s="125"/>
      <c r="M243" s="181"/>
      <c r="N243" s="126"/>
      <c r="O243" s="127"/>
      <c r="P243" s="13">
        <f t="array" ref="P243">XLOOKUP(B243,Weight!B:B,Weight!D:D,"#N/A",0)</f>
        <v>90</v>
      </c>
      <c r="Q243" s="17" t="str">
        <f t="shared" si="6"/>
        <v/>
      </c>
      <c r="R243" s="107"/>
      <c r="S243" s="108">
        <v>560313.0</v>
      </c>
      <c r="T243" s="108">
        <v>12.0</v>
      </c>
      <c r="U243" s="109">
        <v>40.0</v>
      </c>
      <c r="V243" s="110"/>
      <c r="X243" s="111">
        <f>SUMIFS('Transit Shipment'!$B$10:$B$1048462,'Transit Shipment'!$A$10:$A$1048462,B243,'Transit Shipment'!$C$10:$C$1048462,AA243)</f>
        <v>0</v>
      </c>
      <c r="Y243" s="111">
        <f>IF(SUMIFS(DIH!$S$2:$S833,DIH!$D$2:$D833,B243,DIH!$U$2:$U833,AA243)&gt;0,SUMIFS(DIH!$S$2:$S833,DIH!$D$2:$D833,B243,DIH!$U$2:$U833,AA243),0)</f>
        <v>0</v>
      </c>
      <c r="Z243" s="112">
        <f t="shared" si="7"/>
        <v>0</v>
      </c>
      <c r="AA243" s="130" t="s">
        <v>13</v>
      </c>
      <c r="AB243" s="114">
        <f>IF(ISNA(VLOOKUP($B243,'Business Report'!$D$2:$J$202,2,0)),"",VLOOKUP($B243,'Business Report'!$D$2:$J$202,2,0))</f>
        <v>6</v>
      </c>
      <c r="AC243" s="115">
        <f>SUMIFS(AFS!$P$2:$P$6260,AFS!$N$2:$N$6260,B243,AFS!$AT$2:$AT$6260,AA243)</f>
        <v>0</v>
      </c>
      <c r="AD243" s="116">
        <f t="shared" si="8"/>
        <v>0</v>
      </c>
      <c r="AE243" s="117"/>
      <c r="AF243" s="118" t="str">
        <f t="shared" si="9"/>
        <v/>
      </c>
      <c r="AG243" s="26"/>
      <c r="AH243" s="26"/>
      <c r="AI243" s="26"/>
    </row>
    <row r="244">
      <c r="A244" s="120" t="s">
        <v>2613</v>
      </c>
      <c r="B244" s="7" t="s">
        <v>44</v>
      </c>
      <c r="C244" s="95" t="s">
        <v>2996</v>
      </c>
      <c r="D244" s="109" t="s">
        <v>164</v>
      </c>
      <c r="E244" s="97">
        <f t="shared" si="2"/>
        <v>1</v>
      </c>
      <c r="F244" s="97">
        <f t="shared" si="3"/>
        <v>0</v>
      </c>
      <c r="G244" s="99" t="str">
        <f t="shared" si="4"/>
        <v/>
      </c>
      <c r="H244" s="121"/>
      <c r="I244" s="122"/>
      <c r="J244" s="123"/>
      <c r="K244" s="124"/>
      <c r="L244" s="125"/>
      <c r="M244" s="181"/>
      <c r="N244" s="126"/>
      <c r="O244" s="127"/>
      <c r="P244" s="13">
        <f t="array" ref="P244">XLOOKUP(B244,Weight!B:B,Weight!D:D,"#N/A",0)</f>
        <v>90</v>
      </c>
      <c r="Q244" s="17" t="str">
        <f t="shared" si="6"/>
        <v/>
      </c>
      <c r="R244" s="107"/>
      <c r="S244" s="108">
        <v>560313.0</v>
      </c>
      <c r="T244" s="108">
        <v>12.0</v>
      </c>
      <c r="U244" s="109">
        <v>40.0</v>
      </c>
      <c r="V244" s="110"/>
      <c r="X244" s="111">
        <f>SUMIFS('Transit Shipment'!$B$10:$B$1048462,'Transit Shipment'!$A$10:$A$1048462,B244,'Transit Shipment'!$C$10:$C$1048462,AA244)</f>
        <v>0</v>
      </c>
      <c r="Y244" s="111">
        <f>IF(SUMIFS(DIH!$S$2:$S833,DIH!$D$2:$D833,B244,DIH!$U$2:$U833,AA244)&gt;0,SUMIFS(DIH!$S$2:$S833,DIH!$D$2:$D833,B244,DIH!$U$2:$U833,AA244),0)</f>
        <v>0</v>
      </c>
      <c r="Z244" s="112">
        <f t="shared" si="7"/>
        <v>0</v>
      </c>
      <c r="AA244" s="119" t="s">
        <v>14</v>
      </c>
      <c r="AB244" s="114">
        <f>IF(ISNA(VLOOKUP($B244,'Business Report'!$D$2:$J$202,2,0)),"",VLOOKUP($B244,'Business Report'!$D$2:$J$202,2,0))</f>
        <v>6</v>
      </c>
      <c r="AC244" s="115">
        <f>SUMIFS(AFS!$P$2:$P$6260,AFS!$N$2:$N$6260,B244,AFS!$AT$2:$AT$6260,AA244)</f>
        <v>0</v>
      </c>
      <c r="AD244" s="116">
        <f t="shared" si="8"/>
        <v>0</v>
      </c>
      <c r="AE244" s="117"/>
      <c r="AF244" s="118" t="str">
        <f t="shared" si="9"/>
        <v/>
      </c>
      <c r="AG244" s="26"/>
      <c r="AH244" s="26"/>
      <c r="AI244" s="26"/>
    </row>
    <row r="245">
      <c r="A245" s="120" t="s">
        <v>2613</v>
      </c>
      <c r="B245" s="7" t="s">
        <v>44</v>
      </c>
      <c r="C245" s="95" t="s">
        <v>2996</v>
      </c>
      <c r="D245" s="109" t="s">
        <v>164</v>
      </c>
      <c r="E245" s="97">
        <f t="shared" si="2"/>
        <v>1</v>
      </c>
      <c r="F245" s="97">
        <f t="shared" si="3"/>
        <v>0</v>
      </c>
      <c r="G245" s="99" t="str">
        <f t="shared" si="4"/>
        <v/>
      </c>
      <c r="H245" s="121"/>
      <c r="I245" s="122"/>
      <c r="J245" s="123"/>
      <c r="K245" s="124"/>
      <c r="L245" s="125"/>
      <c r="M245" s="181"/>
      <c r="N245" s="126"/>
      <c r="O245" s="127"/>
      <c r="P245" s="13">
        <f t="array" ref="P245">XLOOKUP(B245,Weight!B:B,Weight!D:D,"#N/A",0)</f>
        <v>90</v>
      </c>
      <c r="Q245" s="17" t="str">
        <f t="shared" si="6"/>
        <v/>
      </c>
      <c r="R245" s="107"/>
      <c r="S245" s="108">
        <v>560313.0</v>
      </c>
      <c r="T245" s="108">
        <v>12.0</v>
      </c>
      <c r="U245" s="109">
        <v>40.0</v>
      </c>
      <c r="V245" s="110"/>
      <c r="X245" s="111">
        <f>SUMIFS('Transit Shipment'!$B$10:$B$1048462,'Transit Shipment'!$A$10:$A$1048462,B245,'Transit Shipment'!$C$10:$C$1048462,AA245)</f>
        <v>0</v>
      </c>
      <c r="Y245" s="111">
        <f>IF(SUMIFS(DIH!$S$2:$S833,DIH!$D$2:$D833,B245,DIH!$U$2:$U833,AA245)&gt;0,SUMIFS(DIH!$S$2:$S833,DIH!$D$2:$D833,B245,DIH!$U$2:$U833,AA245),0)</f>
        <v>0</v>
      </c>
      <c r="Z245" s="112">
        <f t="shared" si="7"/>
        <v>0</v>
      </c>
      <c r="AA245" s="131" t="s">
        <v>16</v>
      </c>
      <c r="AB245" s="114">
        <f>IF(ISNA(VLOOKUP($B245,'Business Report'!$D$2:$J$202,2,0)),"",VLOOKUP($B245,'Business Report'!$D$2:$J$202,2,0))</f>
        <v>6</v>
      </c>
      <c r="AC245" s="115">
        <f>SUMIFS(AFS!$P$2:$P$6260,AFS!$N$2:$N$6260,B245,AFS!$AT$2:$AT$6260,AA245)</f>
        <v>0</v>
      </c>
      <c r="AD245" s="116">
        <f t="shared" si="8"/>
        <v>0</v>
      </c>
      <c r="AE245" s="117"/>
      <c r="AF245" s="118" t="str">
        <f t="shared" si="9"/>
        <v/>
      </c>
      <c r="AG245" s="26"/>
      <c r="AH245" s="26"/>
      <c r="AI245" s="26"/>
    </row>
    <row r="246">
      <c r="A246" s="132" t="s">
        <v>2613</v>
      </c>
      <c r="B246" s="15" t="s">
        <v>44</v>
      </c>
      <c r="C246" s="133" t="s">
        <v>2996</v>
      </c>
      <c r="D246" s="109" t="s">
        <v>164</v>
      </c>
      <c r="E246" s="135">
        <f t="shared" si="2"/>
        <v>1</v>
      </c>
      <c r="F246" s="135">
        <f t="shared" si="3"/>
        <v>0</v>
      </c>
      <c r="G246" s="136" t="str">
        <f t="shared" si="4"/>
        <v/>
      </c>
      <c r="H246" s="137"/>
      <c r="I246" s="138"/>
      <c r="J246" s="139"/>
      <c r="K246" s="140"/>
      <c r="L246" s="135"/>
      <c r="M246" s="152"/>
      <c r="N246" s="142"/>
      <c r="O246" s="143"/>
      <c r="P246" s="144">
        <f t="array" ref="P246">XLOOKUP(B246,Weight!B:B,Weight!D:D,"#N/A",0)</f>
        <v>90</v>
      </c>
      <c r="Q246" s="145" t="str">
        <f t="shared" si="6"/>
        <v/>
      </c>
      <c r="R246" s="146"/>
      <c r="S246" s="147">
        <v>560313.0</v>
      </c>
      <c r="T246" s="147">
        <v>12.0</v>
      </c>
      <c r="U246" s="109">
        <v>40.0</v>
      </c>
      <c r="V246" s="148"/>
      <c r="W246" s="149"/>
      <c r="X246" s="150">
        <f>SUMIFS('Transit Shipment'!$B$10:$B$1048462,'Transit Shipment'!$A$10:$A$1048462,B246,'Transit Shipment'!$C$10:$C$1048462,AA246)</f>
        <v>0</v>
      </c>
      <c r="Y246" s="150">
        <f>IF(SUMIFS(DIH!$S$2:$S833,DIH!$D$2:$D833,B246,DIH!$U$2:$U833,AA246)&gt;0,SUMIFS(DIH!$S$2:$S833,DIH!$D$2:$D833,B246,DIH!$U$2:$U833,AA246),0)</f>
        <v>0</v>
      </c>
      <c r="Z246" s="151">
        <f t="shared" si="7"/>
        <v>0</v>
      </c>
      <c r="AA246" s="152" t="s">
        <v>17</v>
      </c>
      <c r="AB246" s="154">
        <f>IF(ISNA(VLOOKUP($B246,'Business Report'!$D$2:$J$202,2,0)),"",VLOOKUP($B246,'Business Report'!$D$2:$J$202,2,0))</f>
        <v>6</v>
      </c>
      <c r="AC246" s="155">
        <f>SUMIFS(AFS!$P$2:$P$6260,AFS!$N$2:$N$6260,B246,AFS!$AT$2:$AT$6260,AA246)</f>
        <v>0</v>
      </c>
      <c r="AD246" s="156">
        <f t="shared" si="8"/>
        <v>0</v>
      </c>
      <c r="AE246" s="159">
        <f>SUM(AD238:AD246)</f>
        <v>0</v>
      </c>
      <c r="AF246" s="118" t="str">
        <f t="shared" si="9"/>
        <v/>
      </c>
      <c r="AG246" s="26"/>
      <c r="AH246" s="26"/>
      <c r="AI246" s="26"/>
    </row>
    <row r="247">
      <c r="A247" s="66" t="s">
        <v>2824</v>
      </c>
      <c r="B247" s="1" t="s">
        <v>46</v>
      </c>
      <c r="C247" s="95" t="s">
        <v>3153</v>
      </c>
      <c r="D247" s="83" t="s">
        <v>164</v>
      </c>
      <c r="E247" s="69">
        <f t="shared" si="2"/>
        <v>1</v>
      </c>
      <c r="F247" s="69">
        <f t="shared" si="3"/>
        <v>0</v>
      </c>
      <c r="G247" s="70" t="str">
        <f t="shared" si="4"/>
        <v/>
      </c>
      <c r="H247" s="163"/>
      <c r="I247" s="101"/>
      <c r="J247" s="102"/>
      <c r="K247" s="167"/>
      <c r="L247" s="119"/>
      <c r="M247" s="169"/>
      <c r="N247" s="171"/>
      <c r="O247" s="106"/>
      <c r="P247" s="79">
        <f t="array" ref="P247">XLOOKUP(B247,Weight!B:B,Weight!D:D,"#N/A",0)</f>
        <v>90</v>
      </c>
      <c r="Q247" s="80" t="str">
        <f t="shared" si="6"/>
        <v/>
      </c>
      <c r="R247" s="107"/>
      <c r="S247" s="108">
        <v>560313.0</v>
      </c>
      <c r="T247" s="108">
        <v>12.0</v>
      </c>
      <c r="U247" s="83">
        <v>40.0</v>
      </c>
      <c r="V247" s="84" t="str">
        <f t="shared" ref="V247:W247" si="56">B247</f>
        <v>CRM-WG-NW-Bajaj-Black</v>
      </c>
      <c r="W247" s="174" t="str">
        <f t="shared" si="56"/>
        <v>Crasome Dust Proof Water Resistant Kitchen Wet Grinder Cover for 2 Litre Table Top Bajaj WX 1 | Bajaj WX 3 - Black
</v>
      </c>
      <c r="X247" s="86">
        <f>SUMIFS('Transit Shipment'!$B$10:$B$1048462,'Transit Shipment'!$A$10:$A$1048462,B247,'Transit Shipment'!$C$10:$C$1048462,AA247)</f>
        <v>0</v>
      </c>
      <c r="Y247" s="86">
        <f>IF(SUMIFS(DIH!$S$2:$S833,DIH!$D$2:$D833,B247,DIH!$U$2:$U833,AA247)&gt;0,SUMIFS(DIH!$S$2:$S833,DIH!$D$2:$D833,B247,DIH!$U$2:$U833,AA247),0)</f>
        <v>0</v>
      </c>
      <c r="Z247" s="87">
        <f t="shared" si="7"/>
        <v>0</v>
      </c>
      <c r="AA247" s="88" t="s">
        <v>5</v>
      </c>
      <c r="AB247" s="89">
        <f>IF(ISNA(VLOOKUP($B247,'Business Report'!$D$2:$J$202,2,0)),"",VLOOKUP($B247,'Business Report'!$D$2:$J$202,2,0))</f>
        <v>2</v>
      </c>
      <c r="AC247" s="90">
        <f>SUMIFS(AFS!$P$2:$P$6260,AFS!$N$2:$N$6260,B247,AFS!$AT$2:$AT$6260,AA247)</f>
        <v>0</v>
      </c>
      <c r="AD247" s="91">
        <f t="shared" si="8"/>
        <v>0</v>
      </c>
      <c r="AE247" s="92"/>
      <c r="AF247" s="93" t="str">
        <f t="shared" si="9"/>
        <v/>
      </c>
      <c r="AG247" s="26"/>
      <c r="AH247" s="26"/>
      <c r="AI247" s="26"/>
    </row>
    <row r="248">
      <c r="A248" s="94" t="s">
        <v>2824</v>
      </c>
      <c r="B248" s="3" t="s">
        <v>46</v>
      </c>
      <c r="C248" s="95" t="s">
        <v>3153</v>
      </c>
      <c r="D248" s="109" t="s">
        <v>164</v>
      </c>
      <c r="E248" s="97">
        <f t="shared" si="2"/>
        <v>1</v>
      </c>
      <c r="F248" s="97">
        <f t="shared" si="3"/>
        <v>0</v>
      </c>
      <c r="G248" s="99" t="str">
        <f t="shared" si="4"/>
        <v/>
      </c>
      <c r="H248" s="100"/>
      <c r="I248" s="101"/>
      <c r="J248" s="102"/>
      <c r="K248" s="103"/>
      <c r="L248" s="97"/>
      <c r="M248" s="169"/>
      <c r="N248" s="105"/>
      <c r="O248" s="106"/>
      <c r="P248" s="13">
        <f t="array" ref="P248">XLOOKUP(B248,Weight!B:B,Weight!D:D,"#N/A",0)</f>
        <v>90</v>
      </c>
      <c r="Q248" s="17" t="str">
        <f t="shared" si="6"/>
        <v/>
      </c>
      <c r="R248" s="107"/>
      <c r="S248" s="108">
        <v>560313.0</v>
      </c>
      <c r="T248" s="108">
        <v>12.0</v>
      </c>
      <c r="U248" s="109">
        <v>40.0</v>
      </c>
      <c r="V248" s="110"/>
      <c r="X248" s="111">
        <f>SUMIFS('Transit Shipment'!$B$10:$B$1048462,'Transit Shipment'!$A$10:$A$1048462,B248,'Transit Shipment'!$C$10:$C$1048462,AA248)</f>
        <v>0</v>
      </c>
      <c r="Y248" s="111">
        <f>IF(SUMIFS(DIH!$S$2:$S833,DIH!$D$2:$D833,B248,DIH!$U$2:$U833,AA248)&gt;0,SUMIFS(DIH!$S$2:$S833,DIH!$D$2:$D833,B248,DIH!$U$2:$U833,AA248),0)</f>
        <v>0</v>
      </c>
      <c r="Z248" s="112">
        <f t="shared" si="7"/>
        <v>0</v>
      </c>
      <c r="AA248" s="113" t="s">
        <v>11</v>
      </c>
      <c r="AB248" s="114">
        <f>IF(ISNA(VLOOKUP($B248,'Business Report'!$D$2:$J$202,2,0)),"",VLOOKUP($B248,'Business Report'!$D$2:$J$202,2,0))</f>
        <v>2</v>
      </c>
      <c r="AC248" s="115">
        <f>SUMIFS(AFS!$P$2:$P$6260,AFS!$N$2:$N$6260,B248,AFS!$AT$2:$AT$6260,AA248)</f>
        <v>0</v>
      </c>
      <c r="AD248" s="116">
        <f t="shared" si="8"/>
        <v>0</v>
      </c>
      <c r="AE248" s="117"/>
      <c r="AF248" s="118" t="str">
        <f t="shared" si="9"/>
        <v/>
      </c>
      <c r="AG248" s="251"/>
      <c r="AH248" s="26"/>
      <c r="AI248" s="26"/>
    </row>
    <row r="249">
      <c r="A249" s="94" t="s">
        <v>2824</v>
      </c>
      <c r="B249" s="3" t="s">
        <v>46</v>
      </c>
      <c r="C249" s="95" t="s">
        <v>3153</v>
      </c>
      <c r="D249" s="109" t="s">
        <v>164</v>
      </c>
      <c r="E249" s="97">
        <f t="shared" si="2"/>
        <v>1</v>
      </c>
      <c r="F249" s="97">
        <f t="shared" si="3"/>
        <v>0</v>
      </c>
      <c r="G249" s="99" t="str">
        <f t="shared" si="4"/>
        <v/>
      </c>
      <c r="H249" s="100"/>
      <c r="I249" s="101"/>
      <c r="J249" s="102"/>
      <c r="K249" s="103"/>
      <c r="L249" s="97"/>
      <c r="M249" s="169"/>
      <c r="N249" s="105"/>
      <c r="O249" s="106"/>
      <c r="P249" s="13">
        <f t="array" ref="P249">XLOOKUP(B249,Weight!B:B,Weight!D:D,"#N/A",0)</f>
        <v>90</v>
      </c>
      <c r="Q249" s="17" t="str">
        <f t="shared" si="6"/>
        <v/>
      </c>
      <c r="R249" s="107"/>
      <c r="S249" s="108">
        <v>560313.0</v>
      </c>
      <c r="T249" s="108">
        <v>12.0</v>
      </c>
      <c r="U249" s="109">
        <v>40.0</v>
      </c>
      <c r="V249" s="110"/>
      <c r="X249" s="111">
        <f>SUMIFS('Transit Shipment'!$B$10:$B$1048462,'Transit Shipment'!$A$10:$A$1048462,B249,'Transit Shipment'!$C$10:$C$1048462,AA249)</f>
        <v>0</v>
      </c>
      <c r="Y249" s="111">
        <f>IF(SUMIFS(DIH!$S$2:$S833,DIH!$D$2:$D833,B249,DIH!$U$2:$U833,AA249)&gt;0,SUMIFS(DIH!$S$2:$S833,DIH!$D$2:$D833,B249,DIH!$U$2:$U833,AA249),0)</f>
        <v>0</v>
      </c>
      <c r="Z249" s="112">
        <f t="shared" si="7"/>
        <v>0</v>
      </c>
      <c r="AA249" s="119" t="s">
        <v>9</v>
      </c>
      <c r="AB249" s="114">
        <f>IF(ISNA(VLOOKUP($B249,'Business Report'!$D$2:$J$202,2,0)),"",VLOOKUP($B249,'Business Report'!$D$2:$J$202,2,0))</f>
        <v>2</v>
      </c>
      <c r="AC249" s="115">
        <f>SUMIFS(AFS!$P$2:$P$6260,AFS!$N$2:$N$6260,B249,AFS!$AT$2:$AT$6260,AA249)</f>
        <v>0</v>
      </c>
      <c r="AD249" s="116">
        <f t="shared" si="8"/>
        <v>0</v>
      </c>
      <c r="AE249" s="117"/>
      <c r="AF249" s="118" t="str">
        <f t="shared" si="9"/>
        <v/>
      </c>
      <c r="AG249" s="26"/>
      <c r="AH249" s="26"/>
      <c r="AI249" s="26"/>
    </row>
    <row r="250">
      <c r="A250" s="120" t="s">
        <v>2824</v>
      </c>
      <c r="B250" s="7" t="s">
        <v>46</v>
      </c>
      <c r="C250" s="95" t="s">
        <v>3153</v>
      </c>
      <c r="D250" s="109" t="s">
        <v>164</v>
      </c>
      <c r="E250" s="97">
        <f t="shared" si="2"/>
        <v>1</v>
      </c>
      <c r="F250" s="97">
        <f t="shared" si="3"/>
        <v>0</v>
      </c>
      <c r="G250" s="99" t="str">
        <f t="shared" si="4"/>
        <v/>
      </c>
      <c r="H250" s="121"/>
      <c r="I250" s="122"/>
      <c r="J250" s="123"/>
      <c r="K250" s="124"/>
      <c r="L250" s="125"/>
      <c r="M250" s="181"/>
      <c r="N250" s="126"/>
      <c r="O250" s="127"/>
      <c r="P250" s="13">
        <f t="array" ref="P250">XLOOKUP(B250,Weight!B:B,Weight!D:D,"#N/A",0)</f>
        <v>90</v>
      </c>
      <c r="Q250" s="17" t="str">
        <f t="shared" si="6"/>
        <v/>
      </c>
      <c r="R250" s="107"/>
      <c r="S250" s="108">
        <v>560313.0</v>
      </c>
      <c r="T250" s="108">
        <v>12.0</v>
      </c>
      <c r="U250" s="109">
        <v>40.0</v>
      </c>
      <c r="V250" s="110"/>
      <c r="X250" s="111">
        <f>SUMIFS('Transit Shipment'!$B$10:$B$1048462,'Transit Shipment'!$A$10:$A$1048462,B250,'Transit Shipment'!$C$10:$C$1048462,AA250)</f>
        <v>0</v>
      </c>
      <c r="Y250" s="111">
        <f>IF(SUMIFS(DIH!$S$2:$S833,DIH!$D$2:$D833,B250,DIH!$U$2:$U833,AA250)&gt;0,SUMIFS(DIH!$S$2:$S833,DIH!$D$2:$D833,B250,DIH!$U$2:$U833,AA250),0)</f>
        <v>0</v>
      </c>
      <c r="Z250" s="112">
        <f t="shared" si="7"/>
        <v>0</v>
      </c>
      <c r="AA250" s="119" t="s">
        <v>155</v>
      </c>
      <c r="AB250" s="114">
        <f>IF(ISNA(VLOOKUP($B250,'Business Report'!$D$2:$J$202,2,0)),"",VLOOKUP($B250,'Business Report'!$D$2:$J$202,2,0))</f>
        <v>2</v>
      </c>
      <c r="AC250" s="115">
        <f>SUMIFS(AFS!$P$2:$P$6260,AFS!$N$2:$N$6260,B250,AFS!$AT$2:$AT$6260,AA250)</f>
        <v>0</v>
      </c>
      <c r="AD250" s="116">
        <f t="shared" si="8"/>
        <v>0</v>
      </c>
      <c r="AE250" s="117"/>
      <c r="AF250" s="118" t="str">
        <f t="shared" si="9"/>
        <v/>
      </c>
      <c r="AG250" s="26"/>
      <c r="AH250" s="26"/>
      <c r="AI250" s="26"/>
    </row>
    <row r="251">
      <c r="A251" s="120" t="s">
        <v>2824</v>
      </c>
      <c r="B251" s="7" t="s">
        <v>46</v>
      </c>
      <c r="C251" s="95" t="s">
        <v>3153</v>
      </c>
      <c r="D251" s="109" t="s">
        <v>164</v>
      </c>
      <c r="E251" s="97">
        <f t="shared" si="2"/>
        <v>1</v>
      </c>
      <c r="F251" s="97">
        <f t="shared" si="3"/>
        <v>0</v>
      </c>
      <c r="G251" s="99" t="str">
        <f t="shared" si="4"/>
        <v/>
      </c>
      <c r="H251" s="121"/>
      <c r="I251" s="122"/>
      <c r="J251" s="123"/>
      <c r="K251" s="124"/>
      <c r="L251" s="125"/>
      <c r="M251" s="181"/>
      <c r="N251" s="126"/>
      <c r="O251" s="127"/>
      <c r="P251" s="13">
        <f t="array" ref="P251">XLOOKUP(B251,Weight!B:B,Weight!D:D,"#N/A",0)</f>
        <v>90</v>
      </c>
      <c r="Q251" s="17" t="str">
        <f t="shared" si="6"/>
        <v/>
      </c>
      <c r="R251" s="107"/>
      <c r="S251" s="108">
        <v>560313.0</v>
      </c>
      <c r="T251" s="108">
        <v>12.0</v>
      </c>
      <c r="U251" s="109">
        <v>40.0</v>
      </c>
      <c r="V251" s="110"/>
      <c r="X251" s="111">
        <f>SUMIFS('Transit Shipment'!$B$10:$B$1048462,'Transit Shipment'!$A$10:$A$1048462,B251,'Transit Shipment'!$C$10:$C$1048462,AA251)</f>
        <v>0</v>
      </c>
      <c r="Y251" s="111">
        <f>IF(SUMIFS(DIH!$S$2:$S833,DIH!$D$2:$D833,B251,DIH!$U$2:$U833,AA251)&gt;0,SUMIFS(DIH!$S$2:$S833,DIH!$D$2:$D833,B251,DIH!$U$2:$U833,AA251),0)</f>
        <v>0</v>
      </c>
      <c r="Z251" s="112">
        <f t="shared" si="7"/>
        <v>0</v>
      </c>
      <c r="AA251" s="119" t="s">
        <v>156</v>
      </c>
      <c r="AB251" s="114">
        <f>IF(ISNA(VLOOKUP($B251,'Business Report'!$D$2:$J$202,2,0)),"",VLOOKUP($B251,'Business Report'!$D$2:$J$202,2,0))</f>
        <v>2</v>
      </c>
      <c r="AC251" s="115">
        <f>SUMIFS(AFS!$P$2:$P$6260,AFS!$N$2:$N$6260,B251,AFS!$AT$2:$AT$6260,AA251)</f>
        <v>0</v>
      </c>
      <c r="AD251" s="116">
        <f t="shared" si="8"/>
        <v>0</v>
      </c>
      <c r="AE251" s="117"/>
      <c r="AF251" s="118" t="str">
        <f t="shared" si="9"/>
        <v/>
      </c>
      <c r="AG251" s="26"/>
      <c r="AH251" s="26"/>
      <c r="AI251" s="26"/>
    </row>
    <row r="252">
      <c r="A252" s="120" t="s">
        <v>2824</v>
      </c>
      <c r="B252" s="7" t="s">
        <v>46</v>
      </c>
      <c r="C252" s="95" t="s">
        <v>3153</v>
      </c>
      <c r="D252" s="109" t="s">
        <v>164</v>
      </c>
      <c r="E252" s="97">
        <f t="shared" si="2"/>
        <v>1</v>
      </c>
      <c r="F252" s="97">
        <f t="shared" si="3"/>
        <v>0</v>
      </c>
      <c r="G252" s="99" t="str">
        <f t="shared" si="4"/>
        <v/>
      </c>
      <c r="H252" s="121"/>
      <c r="I252" s="122"/>
      <c r="J252" s="123"/>
      <c r="K252" s="124"/>
      <c r="L252" s="125"/>
      <c r="M252" s="181"/>
      <c r="N252" s="126"/>
      <c r="O252" s="127"/>
      <c r="P252" s="13">
        <f t="array" ref="P252">XLOOKUP(B252,Weight!B:B,Weight!D:D,"#N/A",0)</f>
        <v>90</v>
      </c>
      <c r="Q252" s="17" t="str">
        <f t="shared" si="6"/>
        <v/>
      </c>
      <c r="R252" s="107"/>
      <c r="S252" s="108">
        <v>560313.0</v>
      </c>
      <c r="T252" s="108">
        <v>12.0</v>
      </c>
      <c r="U252" s="109">
        <v>40.0</v>
      </c>
      <c r="V252" s="110"/>
      <c r="X252" s="111">
        <f>SUMIFS('Transit Shipment'!$B$10:$B$1048462,'Transit Shipment'!$A$10:$A$1048462,B252,'Transit Shipment'!$C$10:$C$1048462,AA252)</f>
        <v>0</v>
      </c>
      <c r="Y252" s="111">
        <f>IF(SUMIFS(DIH!$S$2:$S833,DIH!$D$2:$D833,B252,DIH!$U$2:$U833,AA252)&gt;0,SUMIFS(DIH!$S$2:$S833,DIH!$D$2:$D833,B252,DIH!$U$2:$U833,AA252),0)</f>
        <v>0</v>
      </c>
      <c r="Z252" s="112">
        <f t="shared" si="7"/>
        <v>0</v>
      </c>
      <c r="AA252" s="130" t="s">
        <v>13</v>
      </c>
      <c r="AB252" s="114">
        <f>IF(ISNA(VLOOKUP($B252,'Business Report'!$D$2:$J$202,2,0)),"",VLOOKUP($B252,'Business Report'!$D$2:$J$202,2,0))</f>
        <v>2</v>
      </c>
      <c r="AC252" s="115">
        <f>SUMIFS(AFS!$P$2:$P$6260,AFS!$N$2:$N$6260,B252,AFS!$AT$2:$AT$6260,AA252)</f>
        <v>0</v>
      </c>
      <c r="AD252" s="116">
        <f t="shared" si="8"/>
        <v>0</v>
      </c>
      <c r="AE252" s="117"/>
      <c r="AF252" s="118" t="str">
        <f t="shared" si="9"/>
        <v/>
      </c>
      <c r="AG252" s="26"/>
      <c r="AH252" s="26"/>
      <c r="AI252" s="26"/>
    </row>
    <row r="253">
      <c r="A253" s="120" t="s">
        <v>2824</v>
      </c>
      <c r="B253" s="7" t="s">
        <v>46</v>
      </c>
      <c r="C253" s="95" t="s">
        <v>3153</v>
      </c>
      <c r="D253" s="109" t="s">
        <v>164</v>
      </c>
      <c r="E253" s="97">
        <f t="shared" si="2"/>
        <v>1</v>
      </c>
      <c r="F253" s="97">
        <f t="shared" si="3"/>
        <v>0</v>
      </c>
      <c r="G253" s="99" t="str">
        <f t="shared" si="4"/>
        <v/>
      </c>
      <c r="H253" s="121"/>
      <c r="I253" s="122"/>
      <c r="J253" s="123"/>
      <c r="K253" s="124"/>
      <c r="L253" s="125"/>
      <c r="M253" s="181"/>
      <c r="N253" s="126"/>
      <c r="O253" s="127"/>
      <c r="P253" s="13">
        <f t="array" ref="P253">XLOOKUP(B253,Weight!B:B,Weight!D:D,"#N/A",0)</f>
        <v>90</v>
      </c>
      <c r="Q253" s="17" t="str">
        <f t="shared" si="6"/>
        <v/>
      </c>
      <c r="R253" s="107"/>
      <c r="S253" s="108">
        <v>560313.0</v>
      </c>
      <c r="T253" s="108">
        <v>12.0</v>
      </c>
      <c r="U253" s="109">
        <v>40.0</v>
      </c>
      <c r="V253" s="110"/>
      <c r="X253" s="111">
        <f>SUMIFS('Transit Shipment'!$B$10:$B$1048462,'Transit Shipment'!$A$10:$A$1048462,B253,'Transit Shipment'!$C$10:$C$1048462,AA253)</f>
        <v>0</v>
      </c>
      <c r="Y253" s="111">
        <f>IF(SUMIFS(DIH!$S$2:$S833,DIH!$D$2:$D833,B253,DIH!$U$2:$U833,AA253)&gt;0,SUMIFS(DIH!$S$2:$S833,DIH!$D$2:$D833,B253,DIH!$U$2:$U833,AA253),0)</f>
        <v>0</v>
      </c>
      <c r="Z253" s="112">
        <f t="shared" si="7"/>
        <v>0</v>
      </c>
      <c r="AA253" s="119" t="s">
        <v>14</v>
      </c>
      <c r="AB253" s="114">
        <f>IF(ISNA(VLOOKUP($B253,'Business Report'!$D$2:$J$202,2,0)),"",VLOOKUP($B253,'Business Report'!$D$2:$J$202,2,0))</f>
        <v>2</v>
      </c>
      <c r="AC253" s="115">
        <f>SUMIFS(AFS!$P$2:$P$6260,AFS!$N$2:$N$6260,B253,AFS!$AT$2:$AT$6260,AA253)</f>
        <v>0</v>
      </c>
      <c r="AD253" s="116">
        <f t="shared" si="8"/>
        <v>0</v>
      </c>
      <c r="AE253" s="117"/>
      <c r="AF253" s="118" t="str">
        <f t="shared" si="9"/>
        <v/>
      </c>
      <c r="AG253" s="26"/>
      <c r="AH253" s="26"/>
      <c r="AI253" s="26"/>
    </row>
    <row r="254">
      <c r="A254" s="120" t="s">
        <v>2824</v>
      </c>
      <c r="B254" s="7" t="s">
        <v>46</v>
      </c>
      <c r="C254" s="95" t="s">
        <v>3153</v>
      </c>
      <c r="D254" s="109" t="s">
        <v>164</v>
      </c>
      <c r="E254" s="97">
        <f t="shared" si="2"/>
        <v>1</v>
      </c>
      <c r="F254" s="97">
        <f t="shared" si="3"/>
        <v>0</v>
      </c>
      <c r="G254" s="99" t="str">
        <f t="shared" si="4"/>
        <v/>
      </c>
      <c r="H254" s="121"/>
      <c r="I254" s="122"/>
      <c r="J254" s="123"/>
      <c r="K254" s="124"/>
      <c r="L254" s="125"/>
      <c r="M254" s="181"/>
      <c r="N254" s="126"/>
      <c r="O254" s="127"/>
      <c r="P254" s="13">
        <f t="array" ref="P254">XLOOKUP(B254,Weight!B:B,Weight!D:D,"#N/A",0)</f>
        <v>90</v>
      </c>
      <c r="Q254" s="17" t="str">
        <f t="shared" si="6"/>
        <v/>
      </c>
      <c r="R254" s="107"/>
      <c r="S254" s="108">
        <v>560313.0</v>
      </c>
      <c r="T254" s="108">
        <v>12.0</v>
      </c>
      <c r="U254" s="109">
        <v>40.0</v>
      </c>
      <c r="V254" s="110"/>
      <c r="X254" s="111">
        <f>SUMIFS('Transit Shipment'!$B$10:$B$1048462,'Transit Shipment'!$A$10:$A$1048462,B254,'Transit Shipment'!$C$10:$C$1048462,AA254)</f>
        <v>0</v>
      </c>
      <c r="Y254" s="111">
        <f>IF(SUMIFS(DIH!$S$2:$S833,DIH!$D$2:$D833,B254,DIH!$U$2:$U833,AA254)&gt;0,SUMIFS(DIH!$S$2:$S833,DIH!$D$2:$D833,B254,DIH!$U$2:$U833,AA254),0)</f>
        <v>0</v>
      </c>
      <c r="Z254" s="112">
        <f t="shared" si="7"/>
        <v>0</v>
      </c>
      <c r="AA254" s="131" t="s">
        <v>16</v>
      </c>
      <c r="AB254" s="114">
        <f>IF(ISNA(VLOOKUP($B254,'Business Report'!$D$2:$J$202,2,0)),"",VLOOKUP($B254,'Business Report'!$D$2:$J$202,2,0))</f>
        <v>2</v>
      </c>
      <c r="AC254" s="115">
        <f>SUMIFS(AFS!$P$2:$P$6260,AFS!$N$2:$N$6260,B254,AFS!$AT$2:$AT$6260,AA254)</f>
        <v>0</v>
      </c>
      <c r="AD254" s="116">
        <f t="shared" si="8"/>
        <v>0</v>
      </c>
      <c r="AE254" s="117"/>
      <c r="AF254" s="118" t="str">
        <f t="shared" si="9"/>
        <v/>
      </c>
      <c r="AG254" s="26"/>
      <c r="AH254" s="26"/>
      <c r="AI254" s="26"/>
    </row>
    <row r="255">
      <c r="A255" s="132" t="s">
        <v>2824</v>
      </c>
      <c r="B255" s="15" t="s">
        <v>46</v>
      </c>
      <c r="C255" s="133" t="s">
        <v>3153</v>
      </c>
      <c r="D255" s="109" t="s">
        <v>164</v>
      </c>
      <c r="E255" s="135">
        <f t="shared" si="2"/>
        <v>1</v>
      </c>
      <c r="F255" s="135">
        <f t="shared" si="3"/>
        <v>0</v>
      </c>
      <c r="G255" s="136" t="str">
        <f t="shared" si="4"/>
        <v/>
      </c>
      <c r="H255" s="137"/>
      <c r="I255" s="138"/>
      <c r="J255" s="139"/>
      <c r="K255" s="140"/>
      <c r="L255" s="135"/>
      <c r="M255" s="152"/>
      <c r="N255" s="142"/>
      <c r="O255" s="143"/>
      <c r="P255" s="144">
        <f t="array" ref="P255">XLOOKUP(B255,Weight!B:B,Weight!D:D,"#N/A",0)</f>
        <v>90</v>
      </c>
      <c r="Q255" s="145" t="str">
        <f t="shared" si="6"/>
        <v/>
      </c>
      <c r="R255" s="146"/>
      <c r="S255" s="147">
        <v>560313.0</v>
      </c>
      <c r="T255" s="147">
        <v>12.0</v>
      </c>
      <c r="U255" s="109">
        <v>40.0</v>
      </c>
      <c r="V255" s="148"/>
      <c r="W255" s="149"/>
      <c r="X255" s="150">
        <f>SUMIFS('Transit Shipment'!$B$10:$B$1048462,'Transit Shipment'!$A$10:$A$1048462,B255,'Transit Shipment'!$C$10:$C$1048462,AA255)</f>
        <v>0</v>
      </c>
      <c r="Y255" s="150">
        <f>IF(SUMIFS(DIH!$S$2:$S833,DIH!$D$2:$D833,B255,DIH!$U$2:$U833,AA255)&gt;0,SUMIFS(DIH!$S$2:$S833,DIH!$D$2:$D833,B255,DIH!$U$2:$U833,AA255),0)</f>
        <v>0</v>
      </c>
      <c r="Z255" s="151">
        <f t="shared" si="7"/>
        <v>0</v>
      </c>
      <c r="AA255" s="152" t="s">
        <v>17</v>
      </c>
      <c r="AB255" s="154">
        <f>IF(ISNA(VLOOKUP($B255,'Business Report'!$D$2:$J$202,2,0)),"",VLOOKUP($B255,'Business Report'!$D$2:$J$202,2,0))</f>
        <v>2</v>
      </c>
      <c r="AC255" s="155">
        <f>SUMIFS(AFS!$P$2:$P$6260,AFS!$N$2:$N$6260,B255,AFS!$AT$2:$AT$6260,AA255)</f>
        <v>0</v>
      </c>
      <c r="AD255" s="156">
        <f t="shared" si="8"/>
        <v>0</v>
      </c>
      <c r="AE255" s="159">
        <f>SUM(AD247:AD255)</f>
        <v>0</v>
      </c>
      <c r="AF255" s="118" t="str">
        <f t="shared" si="9"/>
        <v/>
      </c>
      <c r="AG255" s="26"/>
      <c r="AH255" s="26"/>
      <c r="AI255" s="26"/>
    </row>
    <row r="256">
      <c r="A256" s="66" t="s">
        <v>2613</v>
      </c>
      <c r="B256" s="1" t="s">
        <v>47</v>
      </c>
      <c r="C256" s="95" t="s">
        <v>3337</v>
      </c>
      <c r="D256" s="83" t="s">
        <v>164</v>
      </c>
      <c r="E256" s="69" t="str">
        <f t="shared" si="2"/>
        <v/>
      </c>
      <c r="F256" s="69" t="str">
        <f t="shared" si="3"/>
        <v/>
      </c>
      <c r="G256" s="70" t="str">
        <f t="shared" si="4"/>
        <v/>
      </c>
      <c r="H256" s="163"/>
      <c r="I256" s="101"/>
      <c r="J256" s="102"/>
      <c r="K256" s="167"/>
      <c r="L256" s="119"/>
      <c r="M256" s="169"/>
      <c r="N256" s="171"/>
      <c r="O256" s="106"/>
      <c r="P256" s="79">
        <f t="array" ref="P256">XLOOKUP(B256,Weight!B:B,Weight!D:D,"#N/A",0)</f>
        <v>90</v>
      </c>
      <c r="Q256" s="80" t="str">
        <f t="shared" si="6"/>
        <v/>
      </c>
      <c r="R256" s="107"/>
      <c r="S256" s="108">
        <v>560313.0</v>
      </c>
      <c r="T256" s="108">
        <v>12.0</v>
      </c>
      <c r="U256" s="83">
        <v>40.0</v>
      </c>
      <c r="V256" s="84" t="str">
        <f t="shared" ref="V256:W256" si="57">B256</f>
        <v>CRM-WG-NW-Butterfly-Grey</v>
      </c>
      <c r="W256" s="174" t="str">
        <f t="shared" si="57"/>
        <v>Crasome Dust Proof Water Resistant Kitchen Wet Grinder Cover for 2 Litre Table Top Butterfly Rhino | Butterfly Smart | Butterfly Hippo - Grey
</v>
      </c>
      <c r="X256" s="86">
        <f>SUMIFS('Transit Shipment'!$B$10:$B$1048462,'Transit Shipment'!$A$10:$A$1048462,B256,'Transit Shipment'!$C$10:$C$1048462,AA256)</f>
        <v>0</v>
      </c>
      <c r="Y256" s="86">
        <f>IF(SUMIFS(DIH!$S$2:$S833,DIH!$D$2:$D833,B256,DIH!$U$2:$U833,AA256)&gt;0,SUMIFS(DIH!$S$2:$S833,DIH!$D$2:$D833,B256,DIH!$U$2:$U833,AA256),0)</f>
        <v>1</v>
      </c>
      <c r="Z256" s="87">
        <f t="shared" si="7"/>
        <v>1</v>
      </c>
      <c r="AA256" s="88" t="s">
        <v>5</v>
      </c>
      <c r="AB256" s="89">
        <f>IF(ISNA(VLOOKUP($B256,'Business Report'!$D$2:$J$202,2,0)),"",VLOOKUP($B256,'Business Report'!$D$2:$J$202,2,0))</f>
        <v>58</v>
      </c>
      <c r="AC256" s="90">
        <f>SUMIFS(AFS!$P$2:$P$6260,AFS!$N$2:$N$6260,B256,AFS!$AT$2:$AT$6260,AA256)</f>
        <v>0</v>
      </c>
      <c r="AD256" s="91">
        <f t="shared" si="8"/>
        <v>-1</v>
      </c>
      <c r="AE256" s="92"/>
      <c r="AF256" s="93" t="str">
        <f t="shared" si="9"/>
        <v/>
      </c>
      <c r="AG256" s="26"/>
      <c r="AH256" s="26"/>
      <c r="AI256" s="26"/>
    </row>
    <row r="257">
      <c r="A257" s="94" t="s">
        <v>2613</v>
      </c>
      <c r="B257" s="3" t="s">
        <v>47</v>
      </c>
      <c r="C257" s="95" t="s">
        <v>3337</v>
      </c>
      <c r="D257" s="109" t="s">
        <v>164</v>
      </c>
      <c r="E257" s="97">
        <f t="shared" si="2"/>
        <v>5</v>
      </c>
      <c r="F257" s="97">
        <f t="shared" si="3"/>
        <v>0</v>
      </c>
      <c r="G257" s="99">
        <f t="shared" si="4"/>
        <v>10</v>
      </c>
      <c r="H257" s="100"/>
      <c r="I257" s="101"/>
      <c r="J257" s="102"/>
      <c r="K257" s="103"/>
      <c r="L257" s="97"/>
      <c r="M257" s="169"/>
      <c r="N257" s="105"/>
      <c r="O257" s="106"/>
      <c r="P257" s="13">
        <f t="array" ref="P257">XLOOKUP(B257,Weight!B:B,Weight!D:D,"#N/A",0)</f>
        <v>90</v>
      </c>
      <c r="Q257" s="17">
        <f t="shared" si="6"/>
        <v>900</v>
      </c>
      <c r="R257" s="107"/>
      <c r="S257" s="108">
        <v>560313.0</v>
      </c>
      <c r="T257" s="108">
        <v>12.0</v>
      </c>
      <c r="U257" s="109">
        <v>40.0</v>
      </c>
      <c r="V257" s="110"/>
      <c r="X257" s="111">
        <f>SUMIFS('Transit Shipment'!$B$10:$B$1048462,'Transit Shipment'!$A$10:$A$1048462,B257,'Transit Shipment'!$C$10:$C$1048462,AA257)</f>
        <v>0</v>
      </c>
      <c r="Y257" s="111">
        <f>IF(SUMIFS(DIH!$S$2:$S833,DIH!$D$2:$D833,B257,DIH!$U$2:$U833,AA257)&gt;0,SUMIFS(DIH!$S$2:$S833,DIH!$D$2:$D833,B257,DIH!$U$2:$U833,AA257),0)</f>
        <v>6</v>
      </c>
      <c r="Z257" s="112">
        <f t="shared" si="7"/>
        <v>6</v>
      </c>
      <c r="AA257" s="113" t="s">
        <v>11</v>
      </c>
      <c r="AB257" s="114">
        <f>IF(ISNA(VLOOKUP($B257,'Business Report'!$D$2:$J$202,2,0)),"",VLOOKUP($B257,'Business Report'!$D$2:$J$202,2,0))</f>
        <v>58</v>
      </c>
      <c r="AC257" s="115">
        <f>SUMIFS(AFS!$P$2:$P$6260,AFS!$N$2:$N$6260,B257,AFS!$AT$2:$AT$6260,AA257)</f>
        <v>12</v>
      </c>
      <c r="AD257" s="116">
        <f t="shared" si="8"/>
        <v>10</v>
      </c>
      <c r="AE257" s="117"/>
      <c r="AF257" s="118">
        <f t="shared" si="9"/>
        <v>10</v>
      </c>
      <c r="AG257" s="26"/>
      <c r="AH257" s="26"/>
      <c r="AI257" s="26"/>
    </row>
    <row r="258">
      <c r="A258" s="94" t="s">
        <v>2613</v>
      </c>
      <c r="B258" s="3" t="s">
        <v>47</v>
      </c>
      <c r="C258" s="95" t="s">
        <v>3337</v>
      </c>
      <c r="D258" s="109" t="s">
        <v>164</v>
      </c>
      <c r="E258" s="97">
        <f t="shared" si="2"/>
        <v>8</v>
      </c>
      <c r="F258" s="97">
        <f t="shared" si="3"/>
        <v>0.5</v>
      </c>
      <c r="G258" s="99">
        <f t="shared" si="4"/>
        <v>18</v>
      </c>
      <c r="H258" s="100"/>
      <c r="I258" s="101"/>
      <c r="J258" s="102"/>
      <c r="K258" s="103"/>
      <c r="L258" s="97"/>
      <c r="M258" s="169"/>
      <c r="N258" s="105"/>
      <c r="O258" s="106"/>
      <c r="P258" s="13">
        <f t="array" ref="P258">XLOOKUP(B258,Weight!B:B,Weight!D:D,"#N/A",0)</f>
        <v>90</v>
      </c>
      <c r="Q258" s="17">
        <f t="shared" si="6"/>
        <v>1620</v>
      </c>
      <c r="R258" s="107"/>
      <c r="S258" s="108">
        <v>560313.0</v>
      </c>
      <c r="T258" s="108">
        <v>12.0</v>
      </c>
      <c r="U258" s="109">
        <v>40.0</v>
      </c>
      <c r="V258" s="110"/>
      <c r="X258" s="111">
        <f>SUMIFS('Transit Shipment'!$B$10:$B$1048462,'Transit Shipment'!$A$10:$A$1048462,B258,'Transit Shipment'!$C$10:$C$1048462,AA258)</f>
        <v>0</v>
      </c>
      <c r="Y258" s="111">
        <f>IF(SUMIFS(DIH!$S$2:$S833,DIH!$D$2:$D833,B258,DIH!$U$2:$U833,AA258)&gt;0,SUMIFS(DIH!$S$2:$S833,DIH!$D$2:$D833,B258,DIH!$U$2:$U833,AA258),0)</f>
        <v>13</v>
      </c>
      <c r="Z258" s="112">
        <f t="shared" si="7"/>
        <v>13</v>
      </c>
      <c r="AA258" s="119" t="s">
        <v>9</v>
      </c>
      <c r="AB258" s="114">
        <f>IF(ISNA(VLOOKUP($B258,'Business Report'!$D$2:$J$202,2,0)),"",VLOOKUP($B258,'Business Report'!$D$2:$J$202,2,0))</f>
        <v>58</v>
      </c>
      <c r="AC258" s="115">
        <f>SUMIFS(AFS!$P$2:$P$6260,AFS!$N$2:$N$6260,B258,AFS!$AT$2:$AT$6260,AA258)</f>
        <v>22</v>
      </c>
      <c r="AD258" s="116">
        <f t="shared" si="8"/>
        <v>17</v>
      </c>
      <c r="AE258" s="117"/>
      <c r="AF258" s="118">
        <f t="shared" si="9"/>
        <v>18</v>
      </c>
      <c r="AG258" s="4"/>
      <c r="AH258" s="26"/>
      <c r="AI258" s="26"/>
    </row>
    <row r="259">
      <c r="A259" s="120" t="s">
        <v>2613</v>
      </c>
      <c r="B259" s="7" t="s">
        <v>47</v>
      </c>
      <c r="C259" s="95" t="s">
        <v>3337</v>
      </c>
      <c r="D259" s="109" t="s">
        <v>164</v>
      </c>
      <c r="E259" s="97">
        <f t="shared" si="2"/>
        <v>5</v>
      </c>
      <c r="F259" s="97">
        <f t="shared" si="3"/>
        <v>0</v>
      </c>
      <c r="G259" s="99">
        <f t="shared" si="4"/>
        <v>10</v>
      </c>
      <c r="H259" s="121"/>
      <c r="I259" s="122"/>
      <c r="J259" s="123"/>
      <c r="K259" s="124"/>
      <c r="L259" s="125"/>
      <c r="M259" s="181"/>
      <c r="N259" s="126"/>
      <c r="O259" s="127"/>
      <c r="P259" s="13">
        <f t="array" ref="P259">XLOOKUP(B259,Weight!B:B,Weight!D:D,"#N/A",0)</f>
        <v>90</v>
      </c>
      <c r="Q259" s="17">
        <f t="shared" si="6"/>
        <v>900</v>
      </c>
      <c r="R259" s="107"/>
      <c r="S259" s="108">
        <v>560313.0</v>
      </c>
      <c r="T259" s="108">
        <v>12.0</v>
      </c>
      <c r="U259" s="109">
        <v>40.0</v>
      </c>
      <c r="V259" s="110"/>
      <c r="X259" s="111">
        <f>SUMIFS('Transit Shipment'!$B$10:$B$1048462,'Transit Shipment'!$A$10:$A$1048462,B259,'Transit Shipment'!$C$10:$C$1048462,AA259)</f>
        <v>0</v>
      </c>
      <c r="Y259" s="111">
        <f>IF(SUMIFS(DIH!$S$2:$S833,DIH!$D$2:$D833,B259,DIH!$U$2:$U833,AA259)&gt;0,SUMIFS(DIH!$S$2:$S833,DIH!$D$2:$D833,B259,DIH!$U$2:$U833,AA259),0)</f>
        <v>0</v>
      </c>
      <c r="Z259" s="112">
        <f t="shared" si="7"/>
        <v>0</v>
      </c>
      <c r="AA259" s="119" t="s">
        <v>155</v>
      </c>
      <c r="AB259" s="114">
        <f>IF(ISNA(VLOOKUP($B259,'Business Report'!$D$2:$J$202,2,0)),"",VLOOKUP($B259,'Business Report'!$D$2:$J$202,2,0))</f>
        <v>58</v>
      </c>
      <c r="AC259" s="115">
        <f>SUMIFS(AFS!$P$2:$P$6260,AFS!$N$2:$N$6260,B259,AFS!$AT$2:$AT$6260,AA259)</f>
        <v>7</v>
      </c>
      <c r="AD259" s="116">
        <f t="shared" si="8"/>
        <v>10</v>
      </c>
      <c r="AE259" s="117"/>
      <c r="AF259" s="118">
        <f t="shared" si="9"/>
        <v>10</v>
      </c>
      <c r="AG259" s="4"/>
      <c r="AH259" s="26"/>
      <c r="AI259" s="26"/>
    </row>
    <row r="260">
      <c r="A260" s="120" t="s">
        <v>2613</v>
      </c>
      <c r="B260" s="7" t="s">
        <v>47</v>
      </c>
      <c r="C260" s="95" t="s">
        <v>3337</v>
      </c>
      <c r="D260" s="109" t="s">
        <v>164</v>
      </c>
      <c r="E260" s="97">
        <f t="shared" si="2"/>
        <v>14</v>
      </c>
      <c r="F260" s="97">
        <f t="shared" si="3"/>
        <v>0.5</v>
      </c>
      <c r="G260" s="99">
        <f t="shared" si="4"/>
        <v>30</v>
      </c>
      <c r="H260" s="121"/>
      <c r="I260" s="122"/>
      <c r="J260" s="123"/>
      <c r="K260" s="124"/>
      <c r="L260" s="125"/>
      <c r="M260" s="181"/>
      <c r="N260" s="126"/>
      <c r="O260" s="127"/>
      <c r="P260" s="13">
        <f t="array" ref="P260">XLOOKUP(B260,Weight!B:B,Weight!D:D,"#N/A",0)</f>
        <v>90</v>
      </c>
      <c r="Q260" s="17">
        <f t="shared" si="6"/>
        <v>2700</v>
      </c>
      <c r="R260" s="107"/>
      <c r="S260" s="108">
        <v>560313.0</v>
      </c>
      <c r="T260" s="108">
        <v>12.0</v>
      </c>
      <c r="U260" s="109">
        <v>40.0</v>
      </c>
      <c r="V260" s="110"/>
      <c r="X260" s="111">
        <f>SUMIFS('Transit Shipment'!$B$10:$B$1048462,'Transit Shipment'!$A$10:$A$1048462,B260,'Transit Shipment'!$C$10:$C$1048462,AA260)</f>
        <v>0</v>
      </c>
      <c r="Y260" s="111">
        <f>IF(SUMIFS(DIH!$S$2:$S833,DIH!$D$2:$D833,B260,DIH!$U$2:$U833,AA260)&gt;0,SUMIFS(DIH!$S$2:$S833,DIH!$D$2:$D833,B260,DIH!$U$2:$U833,AA260),0)</f>
        <v>29</v>
      </c>
      <c r="Z260" s="112">
        <f t="shared" si="7"/>
        <v>29</v>
      </c>
      <c r="AA260" s="119" t="s">
        <v>156</v>
      </c>
      <c r="AB260" s="114">
        <f>IF(ISNA(VLOOKUP($B260,'Business Report'!$D$2:$J$202,2,0)),"",VLOOKUP($B260,'Business Report'!$D$2:$J$202,2,0))</f>
        <v>58</v>
      </c>
      <c r="AC260" s="115">
        <f>SUMIFS(AFS!$P$2:$P$6260,AFS!$N$2:$N$6260,B260,AFS!$AT$2:$AT$6260,AA260)</f>
        <v>43</v>
      </c>
      <c r="AD260" s="116">
        <f t="shared" si="8"/>
        <v>29</v>
      </c>
      <c r="AE260" s="117"/>
      <c r="AF260" s="118">
        <f t="shared" si="9"/>
        <v>30</v>
      </c>
      <c r="AG260" s="4"/>
      <c r="AH260" s="26"/>
      <c r="AI260" s="26"/>
    </row>
    <row r="261">
      <c r="A261" s="120" t="s">
        <v>2613</v>
      </c>
      <c r="B261" s="7" t="s">
        <v>47</v>
      </c>
      <c r="C261" s="95" t="s">
        <v>3337</v>
      </c>
      <c r="D261" s="109" t="s">
        <v>164</v>
      </c>
      <c r="E261" s="97" t="str">
        <f t="shared" si="2"/>
        <v/>
      </c>
      <c r="F261" s="97" t="str">
        <f t="shared" si="3"/>
        <v/>
      </c>
      <c r="G261" s="99" t="str">
        <f t="shared" si="4"/>
        <v/>
      </c>
      <c r="H261" s="121"/>
      <c r="I261" s="122"/>
      <c r="J261" s="123"/>
      <c r="K261" s="124"/>
      <c r="L261" s="125"/>
      <c r="M261" s="181"/>
      <c r="N261" s="126"/>
      <c r="O261" s="127"/>
      <c r="P261" s="13">
        <f t="array" ref="P261">XLOOKUP(B261,Weight!B:B,Weight!D:D,"#N/A",0)</f>
        <v>90</v>
      </c>
      <c r="Q261" s="17" t="str">
        <f t="shared" si="6"/>
        <v/>
      </c>
      <c r="R261" s="107"/>
      <c r="S261" s="108">
        <v>560313.0</v>
      </c>
      <c r="T261" s="108">
        <v>12.0</v>
      </c>
      <c r="U261" s="109">
        <v>40.0</v>
      </c>
      <c r="V261" s="110"/>
      <c r="X261" s="111">
        <f>SUMIFS('Transit Shipment'!$B$10:$B$1048462,'Transit Shipment'!$A$10:$A$1048462,B261,'Transit Shipment'!$C$10:$C$1048462,AA261)</f>
        <v>0</v>
      </c>
      <c r="Y261" s="111">
        <f>IF(SUMIFS(DIH!$S$2:$S833,DIH!$D$2:$D833,B261,DIH!$U$2:$U833,AA261)&gt;0,SUMIFS(DIH!$S$2:$S833,DIH!$D$2:$D833,B261,DIH!$U$2:$U833,AA261),0)</f>
        <v>36</v>
      </c>
      <c r="Z261" s="112">
        <f t="shared" si="7"/>
        <v>36</v>
      </c>
      <c r="AA261" s="130" t="s">
        <v>13</v>
      </c>
      <c r="AB261" s="114">
        <f>IF(ISNA(VLOOKUP($B261,'Business Report'!$D$2:$J$202,2,0)),"",VLOOKUP($B261,'Business Report'!$D$2:$J$202,2,0))</f>
        <v>58</v>
      </c>
      <c r="AC261" s="115">
        <f>SUMIFS(AFS!$P$2:$P$6260,AFS!$N$2:$N$6260,B261,AFS!$AT$2:$AT$6260,AA261)</f>
        <v>0</v>
      </c>
      <c r="AD261" s="116">
        <f t="shared" si="8"/>
        <v>-36</v>
      </c>
      <c r="AE261" s="117"/>
      <c r="AF261" s="118" t="str">
        <f t="shared" si="9"/>
        <v/>
      </c>
      <c r="AG261" s="26"/>
      <c r="AH261" s="26"/>
      <c r="AI261" s="26"/>
    </row>
    <row r="262">
      <c r="A262" s="120" t="s">
        <v>2613</v>
      </c>
      <c r="B262" s="7" t="s">
        <v>47</v>
      </c>
      <c r="C262" s="95" t="s">
        <v>3337</v>
      </c>
      <c r="D262" s="109" t="s">
        <v>164</v>
      </c>
      <c r="E262" s="97" t="str">
        <f t="shared" si="2"/>
        <v/>
      </c>
      <c r="F262" s="97" t="str">
        <f t="shared" si="3"/>
        <v/>
      </c>
      <c r="G262" s="99" t="str">
        <f t="shared" si="4"/>
        <v/>
      </c>
      <c r="H262" s="121"/>
      <c r="I262" s="122"/>
      <c r="J262" s="123"/>
      <c r="K262" s="124"/>
      <c r="L262" s="125"/>
      <c r="M262" s="181"/>
      <c r="N262" s="126"/>
      <c r="O262" s="127"/>
      <c r="P262" s="13">
        <f t="array" ref="P262">XLOOKUP(B262,Weight!B:B,Weight!D:D,"#N/A",0)</f>
        <v>90</v>
      </c>
      <c r="Q262" s="17" t="str">
        <f t="shared" si="6"/>
        <v/>
      </c>
      <c r="R262" s="107"/>
      <c r="S262" s="108">
        <v>560313.0</v>
      </c>
      <c r="T262" s="108">
        <v>12.0</v>
      </c>
      <c r="U262" s="109">
        <v>40.0</v>
      </c>
      <c r="V262" s="110"/>
      <c r="X262" s="111">
        <f>SUMIFS('Transit Shipment'!$B$10:$B$1048462,'Transit Shipment'!$A$10:$A$1048462,B262,'Transit Shipment'!$C$10:$C$1048462,AA262)</f>
        <v>0</v>
      </c>
      <c r="Y262" s="111">
        <f>IF(SUMIFS(DIH!$S$2:$S833,DIH!$D$2:$D833,B262,DIH!$U$2:$U833,AA262)&gt;0,SUMIFS(DIH!$S$2:$S833,DIH!$D$2:$D833,B262,DIH!$U$2:$U833,AA262),0)</f>
        <v>16</v>
      </c>
      <c r="Z262" s="112">
        <f t="shared" si="7"/>
        <v>16</v>
      </c>
      <c r="AA262" s="119" t="s">
        <v>14</v>
      </c>
      <c r="AB262" s="114">
        <f>IF(ISNA(VLOOKUP($B262,'Business Report'!$D$2:$J$202,2,0)),"",VLOOKUP($B262,'Business Report'!$D$2:$J$202,2,0))</f>
        <v>58</v>
      </c>
      <c r="AC262" s="115">
        <f>SUMIFS(AFS!$P$2:$P$6260,AFS!$N$2:$N$6260,B262,AFS!$AT$2:$AT$6260,AA262)</f>
        <v>1</v>
      </c>
      <c r="AD262" s="116">
        <f t="shared" si="8"/>
        <v>-14</v>
      </c>
      <c r="AE262" s="117"/>
      <c r="AF262" s="118" t="str">
        <f t="shared" si="9"/>
        <v/>
      </c>
      <c r="AG262" s="26"/>
      <c r="AH262" s="26"/>
      <c r="AI262" s="26"/>
    </row>
    <row r="263">
      <c r="A263" s="120" t="s">
        <v>2613</v>
      </c>
      <c r="B263" s="7" t="s">
        <v>47</v>
      </c>
      <c r="C263" s="95" t="s">
        <v>3337</v>
      </c>
      <c r="D263" s="109" t="s">
        <v>164</v>
      </c>
      <c r="E263" s="97">
        <f t="shared" si="2"/>
        <v>1</v>
      </c>
      <c r="F263" s="97">
        <f t="shared" si="3"/>
        <v>0.5</v>
      </c>
      <c r="G263" s="99">
        <f t="shared" si="4"/>
        <v>4</v>
      </c>
      <c r="H263" s="121"/>
      <c r="I263" s="122"/>
      <c r="J263" s="123"/>
      <c r="K263" s="124"/>
      <c r="L263" s="125"/>
      <c r="M263" s="181"/>
      <c r="N263" s="126"/>
      <c r="O263" s="127"/>
      <c r="P263" s="13">
        <f t="array" ref="P263">XLOOKUP(B263,Weight!B:B,Weight!D:D,"#N/A",0)</f>
        <v>90</v>
      </c>
      <c r="Q263" s="17">
        <f t="shared" si="6"/>
        <v>360</v>
      </c>
      <c r="R263" s="107"/>
      <c r="S263" s="108">
        <v>560313.0</v>
      </c>
      <c r="T263" s="108">
        <v>12.0</v>
      </c>
      <c r="U263" s="109">
        <v>40.0</v>
      </c>
      <c r="V263" s="110"/>
      <c r="X263" s="111">
        <f>SUMIFS('Transit Shipment'!$B$10:$B$1048462,'Transit Shipment'!$A$10:$A$1048462,B263,'Transit Shipment'!$C$10:$C$1048462,AA263)</f>
        <v>0</v>
      </c>
      <c r="Y263" s="111">
        <f>IF(SUMIFS(DIH!$S$2:$S833,DIH!$D$2:$D833,B263,DIH!$U$2:$U833,AA263)&gt;0,SUMIFS(DIH!$S$2:$S833,DIH!$D$2:$D833,B263,DIH!$U$2:$U833,AA263),0)</f>
        <v>4</v>
      </c>
      <c r="Z263" s="112">
        <f t="shared" si="7"/>
        <v>4</v>
      </c>
      <c r="AA263" s="131" t="s">
        <v>16</v>
      </c>
      <c r="AB263" s="114">
        <f>IF(ISNA(VLOOKUP($B263,'Business Report'!$D$2:$J$202,2,0)),"",VLOOKUP($B263,'Business Report'!$D$2:$J$202,2,0))</f>
        <v>58</v>
      </c>
      <c r="AC263" s="115">
        <f>SUMIFS(AFS!$P$2:$P$6260,AFS!$N$2:$N$6260,B263,AFS!$AT$2:$AT$6260,AA263)</f>
        <v>5</v>
      </c>
      <c r="AD263" s="116">
        <f t="shared" si="8"/>
        <v>3</v>
      </c>
      <c r="AE263" s="117"/>
      <c r="AF263" s="118">
        <f t="shared" si="9"/>
        <v>4</v>
      </c>
      <c r="AG263" s="26"/>
      <c r="AH263" s="26"/>
      <c r="AI263" s="26"/>
    </row>
    <row r="264">
      <c r="A264" s="132" t="s">
        <v>2613</v>
      </c>
      <c r="B264" s="15" t="s">
        <v>47</v>
      </c>
      <c r="C264" s="133" t="s">
        <v>3337</v>
      </c>
      <c r="D264" s="109" t="s">
        <v>164</v>
      </c>
      <c r="E264" s="135">
        <f t="shared" si="2"/>
        <v>3</v>
      </c>
      <c r="F264" s="135">
        <f t="shared" si="3"/>
        <v>0.5</v>
      </c>
      <c r="G264" s="136">
        <f t="shared" si="4"/>
        <v>8</v>
      </c>
      <c r="H264" s="137"/>
      <c r="I264" s="138"/>
      <c r="J264" s="139"/>
      <c r="K264" s="140"/>
      <c r="L264" s="135"/>
      <c r="M264" s="152"/>
      <c r="N264" s="142"/>
      <c r="O264" s="143"/>
      <c r="P264" s="144">
        <f t="array" ref="P264">XLOOKUP(B264,Weight!B:B,Weight!D:D,"#N/A",0)</f>
        <v>90</v>
      </c>
      <c r="Q264" s="145">
        <f t="shared" si="6"/>
        <v>720</v>
      </c>
      <c r="R264" s="146"/>
      <c r="S264" s="147">
        <v>560313.0</v>
      </c>
      <c r="T264" s="147">
        <v>12.0</v>
      </c>
      <c r="U264" s="109">
        <v>40.0</v>
      </c>
      <c r="V264" s="148"/>
      <c r="W264" s="149"/>
      <c r="X264" s="150">
        <f>SUMIFS('Transit Shipment'!$B$10:$B$1048462,'Transit Shipment'!$A$10:$A$1048462,B264,'Transit Shipment'!$C$10:$C$1048462,AA264)</f>
        <v>0</v>
      </c>
      <c r="Y264" s="150">
        <f>IF(SUMIFS(DIH!$S$2:$S833,DIH!$D$2:$D833,B264,DIH!$U$2:$U833,AA264)&gt;0,SUMIFS(DIH!$S$2:$S833,DIH!$D$2:$D833,B264,DIH!$U$2:$U833,AA264),0)</f>
        <v>4</v>
      </c>
      <c r="Z264" s="151">
        <f t="shared" si="7"/>
        <v>4</v>
      </c>
      <c r="AA264" s="152" t="s">
        <v>17</v>
      </c>
      <c r="AB264" s="154">
        <f>IF(ISNA(VLOOKUP($B264,'Business Report'!$D$2:$J$202,2,0)),"",VLOOKUP($B264,'Business Report'!$D$2:$J$202,2,0))</f>
        <v>58</v>
      </c>
      <c r="AC264" s="155">
        <f>SUMIFS(AFS!$P$2:$P$6260,AFS!$N$2:$N$6260,B264,AFS!$AT$2:$AT$6260,AA264)</f>
        <v>8</v>
      </c>
      <c r="AD264" s="156">
        <f t="shared" si="8"/>
        <v>7</v>
      </c>
      <c r="AE264" s="159">
        <f>SUM(AD256:AD264)</f>
        <v>25</v>
      </c>
      <c r="AF264" s="118">
        <f t="shared" si="9"/>
        <v>8</v>
      </c>
      <c r="AG264" s="26"/>
      <c r="AH264" s="26"/>
      <c r="AI264" s="26"/>
    </row>
    <row r="265">
      <c r="A265" s="66" t="s">
        <v>2824</v>
      </c>
      <c r="B265" s="1" t="s">
        <v>49</v>
      </c>
      <c r="C265" s="95" t="s">
        <v>3536</v>
      </c>
      <c r="D265" s="83" t="s">
        <v>164</v>
      </c>
      <c r="E265" s="69">
        <f t="shared" si="2"/>
        <v>1</v>
      </c>
      <c r="F265" s="69">
        <f t="shared" si="3"/>
        <v>0</v>
      </c>
      <c r="G265" s="70">
        <f t="shared" si="4"/>
        <v>2</v>
      </c>
      <c r="H265" s="163"/>
      <c r="I265" s="101"/>
      <c r="J265" s="102"/>
      <c r="K265" s="167"/>
      <c r="L265" s="119"/>
      <c r="M265" s="169"/>
      <c r="N265" s="171"/>
      <c r="O265" s="106"/>
      <c r="P265" s="79">
        <f t="array" ref="P265">XLOOKUP(B265,Weight!B:B,Weight!D:D,"#N/A",0)</f>
        <v>90</v>
      </c>
      <c r="Q265" s="80">
        <f t="shared" si="6"/>
        <v>180</v>
      </c>
      <c r="R265" s="107"/>
      <c r="S265" s="108">
        <v>560313.0</v>
      </c>
      <c r="T265" s="108">
        <v>12.0</v>
      </c>
      <c r="U265" s="83">
        <v>40.0</v>
      </c>
      <c r="V265" s="84" t="str">
        <f t="shared" ref="V265:W265" si="58">B265</f>
        <v>CRM-WG-NW-Butterfly-Black</v>
      </c>
      <c r="W265" s="174" t="str">
        <f t="shared" si="58"/>
        <v>Crasome Dust Proof Water Resistant Kitchen Wet Grinder Cover for 2 Litre Table Top Butterfly Rhino | Butterfly Smart | Butterfly Hippo - Black
</v>
      </c>
      <c r="X265" s="86">
        <f>SUMIFS('Transit Shipment'!$B$10:$B$1048462,'Transit Shipment'!$A$10:$A$1048462,B265,'Transit Shipment'!$C$10:$C$1048462,AA265)</f>
        <v>0</v>
      </c>
      <c r="Y265" s="86">
        <f>IF(SUMIFS(DIH!$S$2:$S833,DIH!$D$2:$D833,B265,DIH!$U$2:$U833,AA265)&gt;0,SUMIFS(DIH!$S$2:$S833,DIH!$D$2:$D833,B265,DIH!$U$2:$U833,AA265),0)</f>
        <v>0</v>
      </c>
      <c r="Z265" s="87">
        <f t="shared" si="7"/>
        <v>0</v>
      </c>
      <c r="AA265" s="88" t="s">
        <v>5</v>
      </c>
      <c r="AB265" s="89">
        <f>IF(ISNA(VLOOKUP($B265,'Business Report'!$D$2:$J$202,2,0)),"",VLOOKUP($B265,'Business Report'!$D$2:$J$202,2,0))</f>
        <v>26</v>
      </c>
      <c r="AC265" s="90">
        <f>SUMIFS(AFS!$P$2:$P$6260,AFS!$N$2:$N$6260,B265,AFS!$AT$2:$AT$6260,AA265)</f>
        <v>1</v>
      </c>
      <c r="AD265" s="91">
        <f t="shared" si="8"/>
        <v>2</v>
      </c>
      <c r="AE265" s="92"/>
      <c r="AF265" s="93">
        <f t="shared" si="9"/>
        <v>2</v>
      </c>
      <c r="AG265" s="26"/>
      <c r="AH265" s="26"/>
      <c r="AI265" s="26"/>
    </row>
    <row r="266">
      <c r="A266" s="94" t="s">
        <v>2824</v>
      </c>
      <c r="B266" s="3" t="s">
        <v>49</v>
      </c>
      <c r="C266" s="95" t="s">
        <v>3536</v>
      </c>
      <c r="D266" s="109" t="s">
        <v>164</v>
      </c>
      <c r="E266" s="97">
        <f t="shared" si="2"/>
        <v>2</v>
      </c>
      <c r="F266" s="97">
        <f t="shared" si="3"/>
        <v>0</v>
      </c>
      <c r="G266" s="99">
        <f t="shared" si="4"/>
        <v>4</v>
      </c>
      <c r="H266" s="100"/>
      <c r="I266" s="101"/>
      <c r="J266" s="102"/>
      <c r="K266" s="103"/>
      <c r="L266" s="97"/>
      <c r="M266" s="169"/>
      <c r="N266" s="105"/>
      <c r="O266" s="106"/>
      <c r="P266" s="13">
        <f t="array" ref="P266">XLOOKUP(B266,Weight!B:B,Weight!D:D,"#N/A",0)</f>
        <v>90</v>
      </c>
      <c r="Q266" s="17">
        <f t="shared" si="6"/>
        <v>360</v>
      </c>
      <c r="R266" s="107"/>
      <c r="S266" s="108">
        <v>560313.0</v>
      </c>
      <c r="T266" s="108">
        <v>12.0</v>
      </c>
      <c r="U266" s="109">
        <v>40.0</v>
      </c>
      <c r="V266" s="110"/>
      <c r="X266" s="111">
        <f>SUMIFS('Transit Shipment'!$B$10:$B$1048462,'Transit Shipment'!$A$10:$A$1048462,B266,'Transit Shipment'!$C$10:$C$1048462,AA266)</f>
        <v>0</v>
      </c>
      <c r="Y266" s="111">
        <f>IF(SUMIFS(DIH!$S$2:$S833,DIH!$D$2:$D833,B266,DIH!$U$2:$U833,AA266)&gt;0,SUMIFS(DIH!$S$2:$S833,DIH!$D$2:$D833,B266,DIH!$U$2:$U833,AA266),0)</f>
        <v>0</v>
      </c>
      <c r="Z266" s="112">
        <f t="shared" si="7"/>
        <v>0</v>
      </c>
      <c r="AA266" s="113" t="s">
        <v>11</v>
      </c>
      <c r="AB266" s="114">
        <f>IF(ISNA(VLOOKUP($B266,'Business Report'!$D$2:$J$202,2,0)),"",VLOOKUP($B266,'Business Report'!$D$2:$J$202,2,0))</f>
        <v>26</v>
      </c>
      <c r="AC266" s="115">
        <f>SUMIFS(AFS!$P$2:$P$6260,AFS!$N$2:$N$6260,B266,AFS!$AT$2:$AT$6260,AA266)</f>
        <v>3</v>
      </c>
      <c r="AD266" s="116">
        <f t="shared" si="8"/>
        <v>4</v>
      </c>
      <c r="AE266" s="117"/>
      <c r="AF266" s="118">
        <f t="shared" si="9"/>
        <v>4</v>
      </c>
      <c r="AG266" s="26"/>
      <c r="AH266" s="26"/>
      <c r="AI266" s="26"/>
    </row>
    <row r="267">
      <c r="A267" s="94" t="s">
        <v>2824</v>
      </c>
      <c r="B267" s="3" t="s">
        <v>49</v>
      </c>
      <c r="C267" s="95" t="s">
        <v>3536</v>
      </c>
      <c r="D267" s="109" t="s">
        <v>164</v>
      </c>
      <c r="E267" s="97">
        <f t="shared" si="2"/>
        <v>3</v>
      </c>
      <c r="F267" s="97">
        <f t="shared" si="3"/>
        <v>0.5</v>
      </c>
      <c r="G267" s="99">
        <f t="shared" si="4"/>
        <v>8</v>
      </c>
      <c r="H267" s="100"/>
      <c r="I267" s="101"/>
      <c r="J267" s="102"/>
      <c r="K267" s="103"/>
      <c r="L267" s="97"/>
      <c r="M267" s="169"/>
      <c r="N267" s="105"/>
      <c r="O267" s="106"/>
      <c r="P267" s="13">
        <f t="array" ref="P267">XLOOKUP(B267,Weight!B:B,Weight!D:D,"#N/A",0)</f>
        <v>90</v>
      </c>
      <c r="Q267" s="17">
        <f t="shared" si="6"/>
        <v>720</v>
      </c>
      <c r="R267" s="107"/>
      <c r="S267" s="108">
        <v>560313.0</v>
      </c>
      <c r="T267" s="108">
        <v>12.0</v>
      </c>
      <c r="U267" s="109">
        <v>40.0</v>
      </c>
      <c r="V267" s="110"/>
      <c r="X267" s="111">
        <f>SUMIFS('Transit Shipment'!$B$10:$B$1048462,'Transit Shipment'!$A$10:$A$1048462,B267,'Transit Shipment'!$C$10:$C$1048462,AA267)</f>
        <v>0</v>
      </c>
      <c r="Y267" s="111">
        <f>IF(SUMIFS(DIH!$S$2:$S833,DIH!$D$2:$D833,B267,DIH!$U$2:$U833,AA267)&gt;0,SUMIFS(DIH!$S$2:$S833,DIH!$D$2:$D833,B267,DIH!$U$2:$U833,AA267),0)</f>
        <v>0</v>
      </c>
      <c r="Z267" s="112">
        <f t="shared" si="7"/>
        <v>0</v>
      </c>
      <c r="AA267" s="119" t="s">
        <v>9</v>
      </c>
      <c r="AB267" s="114">
        <f>IF(ISNA(VLOOKUP($B267,'Business Report'!$D$2:$J$202,2,0)),"",VLOOKUP($B267,'Business Report'!$D$2:$J$202,2,0))</f>
        <v>26</v>
      </c>
      <c r="AC267" s="115">
        <f>SUMIFS(AFS!$P$2:$P$6260,AFS!$N$2:$N$6260,B267,AFS!$AT$2:$AT$6260,AA267)</f>
        <v>5</v>
      </c>
      <c r="AD267" s="116">
        <f t="shared" si="8"/>
        <v>7</v>
      </c>
      <c r="AE267" s="117"/>
      <c r="AF267" s="118">
        <f t="shared" si="9"/>
        <v>8</v>
      </c>
      <c r="AG267" s="4"/>
      <c r="AH267" s="26"/>
      <c r="AI267" s="26"/>
    </row>
    <row r="268">
      <c r="A268" s="120" t="s">
        <v>2824</v>
      </c>
      <c r="B268" s="7" t="s">
        <v>49</v>
      </c>
      <c r="C268" s="95" t="s">
        <v>3536</v>
      </c>
      <c r="D268" s="109" t="s">
        <v>164</v>
      </c>
      <c r="E268" s="97">
        <f t="shared" si="2"/>
        <v>2</v>
      </c>
      <c r="F268" s="97">
        <f t="shared" si="3"/>
        <v>0</v>
      </c>
      <c r="G268" s="99">
        <f t="shared" si="4"/>
        <v>4</v>
      </c>
      <c r="H268" s="121"/>
      <c r="I268" s="122"/>
      <c r="J268" s="123"/>
      <c r="K268" s="124"/>
      <c r="L268" s="125"/>
      <c r="M268" s="181"/>
      <c r="N268" s="126"/>
      <c r="O268" s="127"/>
      <c r="P268" s="13">
        <f t="array" ref="P268">XLOOKUP(B268,Weight!B:B,Weight!D:D,"#N/A",0)</f>
        <v>90</v>
      </c>
      <c r="Q268" s="17">
        <f t="shared" si="6"/>
        <v>360</v>
      </c>
      <c r="R268" s="107"/>
      <c r="S268" s="108">
        <v>560313.0</v>
      </c>
      <c r="T268" s="108">
        <v>12.0</v>
      </c>
      <c r="U268" s="109">
        <v>40.0</v>
      </c>
      <c r="V268" s="110"/>
      <c r="X268" s="111">
        <f>SUMIFS('Transit Shipment'!$B$10:$B$1048462,'Transit Shipment'!$A$10:$A$1048462,B268,'Transit Shipment'!$C$10:$C$1048462,AA268)</f>
        <v>0</v>
      </c>
      <c r="Y268" s="111">
        <f>IF(SUMIFS(DIH!$S$2:$S833,DIH!$D$2:$D833,B268,DIH!$U$2:$U833,AA268)&gt;0,SUMIFS(DIH!$S$2:$S833,DIH!$D$2:$D833,B268,DIH!$U$2:$U833,AA268),0)</f>
        <v>0</v>
      </c>
      <c r="Z268" s="112">
        <f t="shared" si="7"/>
        <v>0</v>
      </c>
      <c r="AA268" s="119" t="s">
        <v>155</v>
      </c>
      <c r="AB268" s="114">
        <f>IF(ISNA(VLOOKUP($B268,'Business Report'!$D$2:$J$202,2,0)),"",VLOOKUP($B268,'Business Report'!$D$2:$J$202,2,0))</f>
        <v>26</v>
      </c>
      <c r="AC268" s="115">
        <f>SUMIFS(AFS!$P$2:$P$6260,AFS!$N$2:$N$6260,B268,AFS!$AT$2:$AT$6260,AA268)</f>
        <v>3</v>
      </c>
      <c r="AD268" s="116">
        <f t="shared" si="8"/>
        <v>4</v>
      </c>
      <c r="AE268" s="117"/>
      <c r="AF268" s="118">
        <f t="shared" si="9"/>
        <v>4</v>
      </c>
      <c r="AG268" s="4"/>
      <c r="AH268" s="26"/>
      <c r="AI268" s="26"/>
    </row>
    <row r="269">
      <c r="A269" s="120" t="s">
        <v>2824</v>
      </c>
      <c r="B269" s="7" t="s">
        <v>49</v>
      </c>
      <c r="C269" s="95" t="s">
        <v>3536</v>
      </c>
      <c r="D269" s="109" t="s">
        <v>164</v>
      </c>
      <c r="E269" s="97">
        <f t="shared" si="2"/>
        <v>5</v>
      </c>
      <c r="F269" s="97">
        <f t="shared" si="3"/>
        <v>0.5</v>
      </c>
      <c r="G269" s="99">
        <f t="shared" si="4"/>
        <v>12</v>
      </c>
      <c r="H269" s="121"/>
      <c r="I269" s="122"/>
      <c r="J269" s="123"/>
      <c r="K269" s="124"/>
      <c r="L269" s="125"/>
      <c r="M269" s="181"/>
      <c r="N269" s="126"/>
      <c r="O269" s="127"/>
      <c r="P269" s="13">
        <f t="array" ref="P269">XLOOKUP(B269,Weight!B:B,Weight!D:D,"#N/A",0)</f>
        <v>90</v>
      </c>
      <c r="Q269" s="17">
        <f t="shared" si="6"/>
        <v>1080</v>
      </c>
      <c r="R269" s="107"/>
      <c r="S269" s="108">
        <v>560313.0</v>
      </c>
      <c r="T269" s="108">
        <v>12.0</v>
      </c>
      <c r="U269" s="109">
        <v>40.0</v>
      </c>
      <c r="V269" s="110"/>
      <c r="X269" s="111">
        <f>SUMIFS('Transit Shipment'!$B$10:$B$1048462,'Transit Shipment'!$A$10:$A$1048462,B269,'Transit Shipment'!$C$10:$C$1048462,AA269)</f>
        <v>0</v>
      </c>
      <c r="Y269" s="111">
        <f>IF(SUMIFS(DIH!$S$2:$S833,DIH!$D$2:$D833,B269,DIH!$U$2:$U833,AA269)&gt;0,SUMIFS(DIH!$S$2:$S833,DIH!$D$2:$D833,B269,DIH!$U$2:$U833,AA269),0)</f>
        <v>0</v>
      </c>
      <c r="Z269" s="112">
        <f t="shared" si="7"/>
        <v>0</v>
      </c>
      <c r="AA269" s="119" t="s">
        <v>156</v>
      </c>
      <c r="AB269" s="114">
        <f>IF(ISNA(VLOOKUP($B269,'Business Report'!$D$2:$J$202,2,0)),"",VLOOKUP($B269,'Business Report'!$D$2:$J$202,2,0))</f>
        <v>26</v>
      </c>
      <c r="AC269" s="115">
        <f>SUMIFS(AFS!$P$2:$P$6260,AFS!$N$2:$N$6260,B269,AFS!$AT$2:$AT$6260,AA269)</f>
        <v>8</v>
      </c>
      <c r="AD269" s="116">
        <f t="shared" si="8"/>
        <v>11</v>
      </c>
      <c r="AE269" s="117"/>
      <c r="AF269" s="118">
        <f t="shared" si="9"/>
        <v>12</v>
      </c>
      <c r="AG269" s="4"/>
      <c r="AH269" s="26"/>
      <c r="AI269" s="26"/>
    </row>
    <row r="270">
      <c r="A270" s="120" t="s">
        <v>2824</v>
      </c>
      <c r="B270" s="7" t="s">
        <v>49</v>
      </c>
      <c r="C270" s="95" t="s">
        <v>3536</v>
      </c>
      <c r="D270" s="109" t="s">
        <v>164</v>
      </c>
      <c r="E270" s="97">
        <f t="shared" si="2"/>
        <v>1</v>
      </c>
      <c r="F270" s="97">
        <f t="shared" si="3"/>
        <v>0</v>
      </c>
      <c r="G270" s="99" t="str">
        <f t="shared" si="4"/>
        <v/>
      </c>
      <c r="H270" s="121"/>
      <c r="I270" s="122"/>
      <c r="J270" s="123"/>
      <c r="K270" s="124"/>
      <c r="L270" s="125"/>
      <c r="M270" s="181"/>
      <c r="N270" s="126"/>
      <c r="O270" s="127"/>
      <c r="P270" s="13">
        <f t="array" ref="P270">XLOOKUP(B270,Weight!B:B,Weight!D:D,"#N/A",0)</f>
        <v>90</v>
      </c>
      <c r="Q270" s="17" t="str">
        <f t="shared" si="6"/>
        <v/>
      </c>
      <c r="R270" s="107"/>
      <c r="S270" s="108">
        <v>560313.0</v>
      </c>
      <c r="T270" s="108">
        <v>12.0</v>
      </c>
      <c r="U270" s="109">
        <v>40.0</v>
      </c>
      <c r="V270" s="110"/>
      <c r="X270" s="111">
        <f>SUMIFS('Transit Shipment'!$B$10:$B$1048462,'Transit Shipment'!$A$10:$A$1048462,B270,'Transit Shipment'!$C$10:$C$1048462,AA270)</f>
        <v>0</v>
      </c>
      <c r="Y270" s="111">
        <f>IF(SUMIFS(DIH!$S$2:$S833,DIH!$D$2:$D833,B270,DIH!$U$2:$U833,AA270)&gt;0,SUMIFS(DIH!$S$2:$S833,DIH!$D$2:$D833,B270,DIH!$U$2:$U833,AA270),0)</f>
        <v>2</v>
      </c>
      <c r="Z270" s="112">
        <f t="shared" si="7"/>
        <v>2</v>
      </c>
      <c r="AA270" s="130" t="s">
        <v>13</v>
      </c>
      <c r="AB270" s="114">
        <f>IF(ISNA(VLOOKUP($B270,'Business Report'!$D$2:$J$202,2,0)),"",VLOOKUP($B270,'Business Report'!$D$2:$J$202,2,0))</f>
        <v>26</v>
      </c>
      <c r="AC270" s="115">
        <f>SUMIFS(AFS!$P$2:$P$6260,AFS!$N$2:$N$6260,B270,AFS!$AT$2:$AT$6260,AA270)</f>
        <v>1</v>
      </c>
      <c r="AD270" s="116">
        <f t="shared" si="8"/>
        <v>0</v>
      </c>
      <c r="AE270" s="117"/>
      <c r="AF270" s="118" t="str">
        <f t="shared" si="9"/>
        <v/>
      </c>
      <c r="AG270" s="26"/>
      <c r="AH270" s="26"/>
      <c r="AI270" s="26"/>
    </row>
    <row r="271">
      <c r="A271" s="120" t="s">
        <v>2824</v>
      </c>
      <c r="B271" s="7" t="s">
        <v>49</v>
      </c>
      <c r="C271" s="95" t="s">
        <v>3536</v>
      </c>
      <c r="D271" s="109" t="s">
        <v>164</v>
      </c>
      <c r="E271" s="97">
        <f t="shared" si="2"/>
        <v>1</v>
      </c>
      <c r="F271" s="97">
        <f t="shared" si="3"/>
        <v>0</v>
      </c>
      <c r="G271" s="99">
        <f t="shared" si="4"/>
        <v>2</v>
      </c>
      <c r="H271" s="121"/>
      <c r="I271" s="122"/>
      <c r="J271" s="123"/>
      <c r="K271" s="124"/>
      <c r="L271" s="125"/>
      <c r="M271" s="181"/>
      <c r="N271" s="126"/>
      <c r="O271" s="127"/>
      <c r="P271" s="13">
        <f t="array" ref="P271">XLOOKUP(B271,Weight!B:B,Weight!D:D,"#N/A",0)</f>
        <v>90</v>
      </c>
      <c r="Q271" s="17">
        <f t="shared" si="6"/>
        <v>180</v>
      </c>
      <c r="R271" s="107"/>
      <c r="S271" s="108">
        <v>560313.0</v>
      </c>
      <c r="T271" s="108">
        <v>12.0</v>
      </c>
      <c r="U271" s="109">
        <v>40.0</v>
      </c>
      <c r="V271" s="110"/>
      <c r="X271" s="111">
        <f>SUMIFS('Transit Shipment'!$B$10:$B$1048462,'Transit Shipment'!$A$10:$A$1048462,B271,'Transit Shipment'!$C$10:$C$1048462,AA271)</f>
        <v>0</v>
      </c>
      <c r="Y271" s="111">
        <f>IF(SUMIFS(DIH!$S$2:$S833,DIH!$D$2:$D833,B271,DIH!$U$2:$U833,AA271)&gt;0,SUMIFS(DIH!$S$2:$S833,DIH!$D$2:$D833,B271,DIH!$U$2:$U833,AA271),0)</f>
        <v>0</v>
      </c>
      <c r="Z271" s="112">
        <f t="shared" si="7"/>
        <v>0</v>
      </c>
      <c r="AA271" s="119" t="s">
        <v>14</v>
      </c>
      <c r="AB271" s="114">
        <f>IF(ISNA(VLOOKUP($B271,'Business Report'!$D$2:$J$202,2,0)),"",VLOOKUP($B271,'Business Report'!$D$2:$J$202,2,0))</f>
        <v>26</v>
      </c>
      <c r="AC271" s="115">
        <f>SUMIFS(AFS!$P$2:$P$6260,AFS!$N$2:$N$6260,B271,AFS!$AT$2:$AT$6260,AA271)</f>
        <v>1</v>
      </c>
      <c r="AD271" s="116">
        <f t="shared" si="8"/>
        <v>2</v>
      </c>
      <c r="AE271" s="117"/>
      <c r="AF271" s="118">
        <f t="shared" si="9"/>
        <v>2</v>
      </c>
      <c r="AG271" s="26"/>
      <c r="AH271" s="26"/>
      <c r="AI271" s="26"/>
    </row>
    <row r="272">
      <c r="A272" s="120" t="s">
        <v>2824</v>
      </c>
      <c r="B272" s="7" t="s">
        <v>49</v>
      </c>
      <c r="C272" s="95" t="s">
        <v>3536</v>
      </c>
      <c r="D272" s="109" t="s">
        <v>164</v>
      </c>
      <c r="E272" s="97">
        <f t="shared" si="2"/>
        <v>1</v>
      </c>
      <c r="F272" s="97">
        <f t="shared" si="3"/>
        <v>0.5</v>
      </c>
      <c r="G272" s="99">
        <f t="shared" si="4"/>
        <v>4</v>
      </c>
      <c r="H272" s="121"/>
      <c r="I272" s="122"/>
      <c r="J272" s="123"/>
      <c r="K272" s="124"/>
      <c r="L272" s="125"/>
      <c r="M272" s="181"/>
      <c r="N272" s="126"/>
      <c r="O272" s="127"/>
      <c r="P272" s="13">
        <f t="array" ref="P272">XLOOKUP(B272,Weight!B:B,Weight!D:D,"#N/A",0)</f>
        <v>90</v>
      </c>
      <c r="Q272" s="17">
        <f t="shared" si="6"/>
        <v>360</v>
      </c>
      <c r="R272" s="107"/>
      <c r="S272" s="108">
        <v>560313.0</v>
      </c>
      <c r="T272" s="108">
        <v>12.0</v>
      </c>
      <c r="U272" s="109">
        <v>40.0</v>
      </c>
      <c r="V272" s="110"/>
      <c r="X272" s="111">
        <f>SUMIFS('Transit Shipment'!$B$10:$B$1048462,'Transit Shipment'!$A$10:$A$1048462,B272,'Transit Shipment'!$C$10:$C$1048462,AA272)</f>
        <v>0</v>
      </c>
      <c r="Y272" s="111">
        <f>IF(SUMIFS(DIH!$S$2:$S833,DIH!$D$2:$D833,B272,DIH!$U$2:$U833,AA272)&gt;0,SUMIFS(DIH!$S$2:$S833,DIH!$D$2:$D833,B272,DIH!$U$2:$U833,AA272),0)</f>
        <v>0</v>
      </c>
      <c r="Z272" s="112">
        <f t="shared" si="7"/>
        <v>0</v>
      </c>
      <c r="AA272" s="131" t="s">
        <v>16</v>
      </c>
      <c r="AB272" s="114">
        <f>IF(ISNA(VLOOKUP($B272,'Business Report'!$D$2:$J$202,2,0)),"",VLOOKUP($B272,'Business Report'!$D$2:$J$202,2,0))</f>
        <v>26</v>
      </c>
      <c r="AC272" s="115">
        <f>SUMIFS(AFS!$P$2:$P$6260,AFS!$N$2:$N$6260,B272,AFS!$AT$2:$AT$6260,AA272)</f>
        <v>2</v>
      </c>
      <c r="AD272" s="116">
        <f t="shared" si="8"/>
        <v>3</v>
      </c>
      <c r="AE272" s="117"/>
      <c r="AF272" s="118">
        <f t="shared" si="9"/>
        <v>4</v>
      </c>
      <c r="AG272" s="26"/>
      <c r="AH272" s="26"/>
      <c r="AI272" s="26"/>
    </row>
    <row r="273">
      <c r="A273" s="132" t="s">
        <v>2824</v>
      </c>
      <c r="B273" s="15" t="s">
        <v>49</v>
      </c>
      <c r="C273" s="133" t="s">
        <v>3536</v>
      </c>
      <c r="D273" s="109" t="s">
        <v>164</v>
      </c>
      <c r="E273" s="135">
        <f t="shared" si="2"/>
        <v>2</v>
      </c>
      <c r="F273" s="135">
        <f t="shared" si="3"/>
        <v>0</v>
      </c>
      <c r="G273" s="136">
        <f t="shared" si="4"/>
        <v>4</v>
      </c>
      <c r="H273" s="137"/>
      <c r="I273" s="138"/>
      <c r="J273" s="139"/>
      <c r="K273" s="140"/>
      <c r="L273" s="135"/>
      <c r="M273" s="152"/>
      <c r="N273" s="142"/>
      <c r="O273" s="143"/>
      <c r="P273" s="144">
        <f t="array" ref="P273">XLOOKUP(B273,Weight!B:B,Weight!D:D,"#N/A",0)</f>
        <v>90</v>
      </c>
      <c r="Q273" s="145">
        <f t="shared" si="6"/>
        <v>360</v>
      </c>
      <c r="R273" s="146"/>
      <c r="S273" s="147">
        <v>560313.0</v>
      </c>
      <c r="T273" s="147">
        <v>12.0</v>
      </c>
      <c r="U273" s="109">
        <v>40.0</v>
      </c>
      <c r="V273" s="148"/>
      <c r="W273" s="149"/>
      <c r="X273" s="150">
        <f>SUMIFS('Transit Shipment'!$B$10:$B$1048462,'Transit Shipment'!$A$10:$A$1048462,B273,'Transit Shipment'!$C$10:$C$1048462,AA273)</f>
        <v>0</v>
      </c>
      <c r="Y273" s="150">
        <f>IF(SUMIFS(DIH!$S$2:$S833,DIH!$D$2:$D833,B273,DIH!$U$2:$U833,AA273)&gt;0,SUMIFS(DIH!$S$2:$S833,DIH!$D$2:$D833,B273,DIH!$U$2:$U833,AA273),0)</f>
        <v>0</v>
      </c>
      <c r="Z273" s="151">
        <f t="shared" si="7"/>
        <v>0</v>
      </c>
      <c r="AA273" s="152" t="s">
        <v>17</v>
      </c>
      <c r="AB273" s="154">
        <f>IF(ISNA(VLOOKUP($B273,'Business Report'!$D$2:$J$202,2,0)),"",VLOOKUP($B273,'Business Report'!$D$2:$J$202,2,0))</f>
        <v>26</v>
      </c>
      <c r="AC273" s="155">
        <f>SUMIFS(AFS!$P$2:$P$6260,AFS!$N$2:$N$6260,B273,AFS!$AT$2:$AT$6260,AA273)</f>
        <v>3</v>
      </c>
      <c r="AD273" s="156">
        <f t="shared" si="8"/>
        <v>4</v>
      </c>
      <c r="AE273" s="159">
        <f>SUM(AD265:AD273)</f>
        <v>37</v>
      </c>
      <c r="AF273" s="118">
        <f t="shared" si="9"/>
        <v>4</v>
      </c>
      <c r="AG273" s="26"/>
      <c r="AH273" s="26"/>
      <c r="AI273" s="26"/>
    </row>
    <row r="274">
      <c r="A274" s="66" t="s">
        <v>2824</v>
      </c>
      <c r="B274" s="1" t="s">
        <v>50</v>
      </c>
      <c r="C274" s="95" t="s">
        <v>367</v>
      </c>
      <c r="D274" s="83" t="s">
        <v>164</v>
      </c>
      <c r="E274" s="69">
        <f t="shared" si="2"/>
        <v>1</v>
      </c>
      <c r="F274" s="69">
        <f t="shared" si="3"/>
        <v>0</v>
      </c>
      <c r="G274" s="70">
        <f t="shared" si="4"/>
        <v>2</v>
      </c>
      <c r="H274" s="163"/>
      <c r="I274" s="101"/>
      <c r="J274" s="102"/>
      <c r="K274" s="167"/>
      <c r="L274" s="119"/>
      <c r="M274" s="169"/>
      <c r="N274" s="171"/>
      <c r="O274" s="106"/>
      <c r="P274" s="79">
        <f t="array" ref="P274">XLOOKUP(B274,Weight!B:B,Weight!D:D,"#N/A",0)</f>
        <v>90</v>
      </c>
      <c r="Q274" s="80">
        <f t="shared" si="6"/>
        <v>180</v>
      </c>
      <c r="R274" s="107"/>
      <c r="S274" s="108">
        <v>560313.0</v>
      </c>
      <c r="T274" s="108">
        <v>12.0</v>
      </c>
      <c r="U274" s="83">
        <v>40.0</v>
      </c>
      <c r="V274" s="84" t="str">
        <f t="shared" ref="V274:W274" si="59">B274</f>
        <v>CRM-WG-NW-Ultra-Grind+-Black</v>
      </c>
      <c r="W274" s="174" t="str">
        <f t="shared" si="59"/>
        <v>Crasome Dust Proof Water Resistant Kitchen Wet Grinder Cover for 2 Litre Table Top Ultra Grind+ Gold - Black</v>
      </c>
      <c r="X274" s="86">
        <f>SUMIFS('Transit Shipment'!$B$10:$B$1048462,'Transit Shipment'!$A$10:$A$1048462,B274,'Transit Shipment'!$C$10:$C$1048462,AA274)</f>
        <v>0</v>
      </c>
      <c r="Y274" s="86">
        <f>IF(SUMIFS(DIH!$S$2:$S833,DIH!$D$2:$D833,B274,DIH!$U$2:$U833,AA274)&gt;0,SUMIFS(DIH!$S$2:$S833,DIH!$D$2:$D833,B274,DIH!$U$2:$U833,AA274),0)</f>
        <v>1</v>
      </c>
      <c r="Z274" s="87">
        <f t="shared" si="7"/>
        <v>1</v>
      </c>
      <c r="AA274" s="88" t="s">
        <v>5</v>
      </c>
      <c r="AB274" s="89">
        <f>IF(ISNA(VLOOKUP($B274,'Business Report'!$D$2:$J$202,2,0)),"",VLOOKUP($B274,'Business Report'!$D$2:$J$202,2,0))</f>
        <v>16</v>
      </c>
      <c r="AC274" s="90">
        <f>SUMIFS(AFS!$P$2:$P$6260,AFS!$N$2:$N$6260,B274,AFS!$AT$2:$AT$6260,AA274)</f>
        <v>2</v>
      </c>
      <c r="AD274" s="91">
        <f t="shared" si="8"/>
        <v>2</v>
      </c>
      <c r="AE274" s="92"/>
      <c r="AF274" s="93">
        <f t="shared" si="9"/>
        <v>2</v>
      </c>
      <c r="AG274" s="26"/>
      <c r="AH274" s="26"/>
      <c r="AI274" s="26"/>
    </row>
    <row r="275">
      <c r="A275" s="94" t="s">
        <v>2824</v>
      </c>
      <c r="B275" s="3" t="s">
        <v>50</v>
      </c>
      <c r="C275" s="95" t="s">
        <v>367</v>
      </c>
      <c r="D275" s="109" t="s">
        <v>164</v>
      </c>
      <c r="E275" s="97">
        <f t="shared" si="2"/>
        <v>4</v>
      </c>
      <c r="F275" s="97">
        <f t="shared" si="3"/>
        <v>0</v>
      </c>
      <c r="G275" s="99">
        <f t="shared" si="4"/>
        <v>8</v>
      </c>
      <c r="H275" s="100"/>
      <c r="I275" s="101"/>
      <c r="J275" s="102"/>
      <c r="K275" s="103"/>
      <c r="L275" s="97"/>
      <c r="M275" s="169"/>
      <c r="N275" s="105"/>
      <c r="O275" s="106"/>
      <c r="P275" s="13">
        <f t="array" ref="P275">XLOOKUP(B275,Weight!B:B,Weight!D:D,"#N/A",0)</f>
        <v>90</v>
      </c>
      <c r="Q275" s="17">
        <f t="shared" si="6"/>
        <v>720</v>
      </c>
      <c r="R275" s="107"/>
      <c r="S275" s="108">
        <v>560313.0</v>
      </c>
      <c r="T275" s="108">
        <v>12.0</v>
      </c>
      <c r="U275" s="109">
        <v>40.0</v>
      </c>
      <c r="V275" s="110"/>
      <c r="X275" s="111">
        <f>SUMIFS('Transit Shipment'!$B$10:$B$1048462,'Transit Shipment'!$A$10:$A$1048462,B275,'Transit Shipment'!$C$10:$C$1048462,AA275)</f>
        <v>0</v>
      </c>
      <c r="Y275" s="111">
        <f>IF(SUMIFS(DIH!$S$2:$S833,DIH!$D$2:$D833,B275,DIH!$U$2:$U833,AA275)&gt;0,SUMIFS(DIH!$S$2:$S833,DIH!$D$2:$D833,B275,DIH!$U$2:$U833,AA275),0)</f>
        <v>0</v>
      </c>
      <c r="Z275" s="112">
        <f t="shared" si="7"/>
        <v>0</v>
      </c>
      <c r="AA275" s="113" t="s">
        <v>11</v>
      </c>
      <c r="AB275" s="114">
        <f>IF(ISNA(VLOOKUP($B275,'Business Report'!$D$2:$J$202,2,0)),"",VLOOKUP($B275,'Business Report'!$D$2:$J$202,2,0))</f>
        <v>16</v>
      </c>
      <c r="AC275" s="115">
        <f>SUMIFS(AFS!$P$2:$P$6260,AFS!$N$2:$N$6260,B275,AFS!$AT$2:$AT$6260,AA275)</f>
        <v>6</v>
      </c>
      <c r="AD275" s="116">
        <f t="shared" si="8"/>
        <v>8</v>
      </c>
      <c r="AE275" s="117"/>
      <c r="AF275" s="118">
        <f t="shared" si="9"/>
        <v>8</v>
      </c>
      <c r="AG275" s="26"/>
      <c r="AH275" s="26"/>
      <c r="AI275" s="26"/>
    </row>
    <row r="276">
      <c r="A276" s="94" t="s">
        <v>2824</v>
      </c>
      <c r="B276" s="3" t="s">
        <v>50</v>
      </c>
      <c r="C276" s="95" t="s">
        <v>367</v>
      </c>
      <c r="D276" s="109" t="s">
        <v>164</v>
      </c>
      <c r="E276" s="97">
        <f t="shared" si="2"/>
        <v>2</v>
      </c>
      <c r="F276" s="97">
        <f t="shared" si="3"/>
        <v>0</v>
      </c>
      <c r="G276" s="99">
        <f t="shared" si="4"/>
        <v>4</v>
      </c>
      <c r="H276" s="100"/>
      <c r="I276" s="101"/>
      <c r="J276" s="102"/>
      <c r="K276" s="103"/>
      <c r="L276" s="97"/>
      <c r="M276" s="169"/>
      <c r="N276" s="105"/>
      <c r="O276" s="106"/>
      <c r="P276" s="13">
        <f t="array" ref="P276">XLOOKUP(B276,Weight!B:B,Weight!D:D,"#N/A",0)</f>
        <v>90</v>
      </c>
      <c r="Q276" s="17">
        <f t="shared" si="6"/>
        <v>360</v>
      </c>
      <c r="R276" s="107"/>
      <c r="S276" s="108">
        <v>560313.0</v>
      </c>
      <c r="T276" s="108">
        <v>12.0</v>
      </c>
      <c r="U276" s="109">
        <v>40.0</v>
      </c>
      <c r="V276" s="110"/>
      <c r="X276" s="111">
        <f>SUMIFS('Transit Shipment'!$B$10:$B$1048462,'Transit Shipment'!$A$10:$A$1048462,B276,'Transit Shipment'!$C$10:$C$1048462,AA276)</f>
        <v>0</v>
      </c>
      <c r="Y276" s="111">
        <f>IF(SUMIFS(DIH!$S$2:$S833,DIH!$D$2:$D833,B276,DIH!$U$2:$U833,AA276)&gt;0,SUMIFS(DIH!$S$2:$S833,DIH!$D$2:$D833,B276,DIH!$U$2:$U833,AA276),0)</f>
        <v>0</v>
      </c>
      <c r="Z276" s="112">
        <f t="shared" si="7"/>
        <v>0</v>
      </c>
      <c r="AA276" s="119" t="s">
        <v>9</v>
      </c>
      <c r="AB276" s="114">
        <f>IF(ISNA(VLOOKUP($B276,'Business Report'!$D$2:$J$202,2,0)),"",VLOOKUP($B276,'Business Report'!$D$2:$J$202,2,0))</f>
        <v>16</v>
      </c>
      <c r="AC276" s="115">
        <f>SUMIFS(AFS!$P$2:$P$6260,AFS!$N$2:$N$6260,B276,AFS!$AT$2:$AT$6260,AA276)</f>
        <v>3</v>
      </c>
      <c r="AD276" s="116">
        <f t="shared" si="8"/>
        <v>4</v>
      </c>
      <c r="AE276" s="117"/>
      <c r="AF276" s="118">
        <f t="shared" si="9"/>
        <v>4</v>
      </c>
      <c r="AG276" s="4"/>
      <c r="AH276" s="26"/>
      <c r="AI276" s="26"/>
    </row>
    <row r="277">
      <c r="A277" s="120" t="s">
        <v>2824</v>
      </c>
      <c r="B277" s="7" t="s">
        <v>50</v>
      </c>
      <c r="C277" s="95" t="s">
        <v>367</v>
      </c>
      <c r="D277" s="109" t="s">
        <v>164</v>
      </c>
      <c r="E277" s="97">
        <f t="shared" si="2"/>
        <v>4</v>
      </c>
      <c r="F277" s="97">
        <f t="shared" si="3"/>
        <v>0</v>
      </c>
      <c r="G277" s="99">
        <f t="shared" si="4"/>
        <v>8</v>
      </c>
      <c r="H277" s="121"/>
      <c r="I277" s="122"/>
      <c r="J277" s="123"/>
      <c r="K277" s="124"/>
      <c r="L277" s="125"/>
      <c r="M277" s="181"/>
      <c r="N277" s="126"/>
      <c r="O277" s="127"/>
      <c r="P277" s="13">
        <f t="array" ref="P277">XLOOKUP(B277,Weight!B:B,Weight!D:D,"#N/A",0)</f>
        <v>90</v>
      </c>
      <c r="Q277" s="17">
        <f t="shared" si="6"/>
        <v>720</v>
      </c>
      <c r="R277" s="107"/>
      <c r="S277" s="108">
        <v>560313.0</v>
      </c>
      <c r="T277" s="108">
        <v>12.0</v>
      </c>
      <c r="U277" s="109">
        <v>40.0</v>
      </c>
      <c r="V277" s="110"/>
      <c r="X277" s="111">
        <f>SUMIFS('Transit Shipment'!$B$10:$B$1048462,'Transit Shipment'!$A$10:$A$1048462,B277,'Transit Shipment'!$C$10:$C$1048462,AA277)</f>
        <v>0</v>
      </c>
      <c r="Y277" s="111">
        <f>IF(SUMIFS(DIH!$S$2:$S833,DIH!$D$2:$D833,B277,DIH!$U$2:$U833,AA277)&gt;0,SUMIFS(DIH!$S$2:$S833,DIH!$D$2:$D833,B277,DIH!$U$2:$U833,AA277),0)</f>
        <v>6</v>
      </c>
      <c r="Z277" s="112">
        <f t="shared" si="7"/>
        <v>6</v>
      </c>
      <c r="AA277" s="119" t="s">
        <v>155</v>
      </c>
      <c r="AB277" s="114">
        <f>IF(ISNA(VLOOKUP($B277,'Business Report'!$D$2:$J$202,2,0)),"",VLOOKUP($B277,'Business Report'!$D$2:$J$202,2,0))</f>
        <v>16</v>
      </c>
      <c r="AC277" s="115">
        <f>SUMIFS(AFS!$P$2:$P$6260,AFS!$N$2:$N$6260,B277,AFS!$AT$2:$AT$6260,AA277)</f>
        <v>10</v>
      </c>
      <c r="AD277" s="116">
        <f t="shared" si="8"/>
        <v>8</v>
      </c>
      <c r="AE277" s="117"/>
      <c r="AF277" s="118">
        <f t="shared" si="9"/>
        <v>8</v>
      </c>
      <c r="AG277" s="4"/>
      <c r="AH277" s="26"/>
      <c r="AI277" s="26"/>
    </row>
    <row r="278">
      <c r="A278" s="120" t="s">
        <v>2824</v>
      </c>
      <c r="B278" s="7" t="s">
        <v>50</v>
      </c>
      <c r="C278" s="95" t="s">
        <v>367</v>
      </c>
      <c r="D278" s="109" t="s">
        <v>164</v>
      </c>
      <c r="E278" s="97">
        <f t="shared" si="2"/>
        <v>6</v>
      </c>
      <c r="F278" s="97">
        <f t="shared" si="3"/>
        <v>0</v>
      </c>
      <c r="G278" s="99">
        <f t="shared" si="4"/>
        <v>12</v>
      </c>
      <c r="H278" s="121"/>
      <c r="I278" s="122"/>
      <c r="J278" s="123"/>
      <c r="K278" s="124"/>
      <c r="L278" s="125"/>
      <c r="M278" s="181"/>
      <c r="N278" s="126"/>
      <c r="O278" s="127"/>
      <c r="P278" s="13">
        <f t="array" ref="P278">XLOOKUP(B278,Weight!B:B,Weight!D:D,"#N/A",0)</f>
        <v>90</v>
      </c>
      <c r="Q278" s="17">
        <f t="shared" si="6"/>
        <v>1080</v>
      </c>
      <c r="R278" s="107"/>
      <c r="S278" s="108">
        <v>560313.0</v>
      </c>
      <c r="T278" s="108">
        <v>12.0</v>
      </c>
      <c r="U278" s="109">
        <v>40.0</v>
      </c>
      <c r="V278" s="110"/>
      <c r="X278" s="111">
        <f>SUMIFS('Transit Shipment'!$B$10:$B$1048462,'Transit Shipment'!$A$10:$A$1048462,B278,'Transit Shipment'!$C$10:$C$1048462,AA278)</f>
        <v>0</v>
      </c>
      <c r="Y278" s="111">
        <f>IF(SUMIFS(DIH!$S$2:$S833,DIH!$D$2:$D833,B278,DIH!$U$2:$U833,AA278)&gt;0,SUMIFS(DIH!$S$2:$S833,DIH!$D$2:$D833,B278,DIH!$U$2:$U833,AA278),0)</f>
        <v>4</v>
      </c>
      <c r="Z278" s="112">
        <f t="shared" si="7"/>
        <v>4</v>
      </c>
      <c r="AA278" s="119" t="s">
        <v>156</v>
      </c>
      <c r="AB278" s="114">
        <f>IF(ISNA(VLOOKUP($B278,'Business Report'!$D$2:$J$202,2,0)),"",VLOOKUP($B278,'Business Report'!$D$2:$J$202,2,0))</f>
        <v>16</v>
      </c>
      <c r="AC278" s="115">
        <f>SUMIFS(AFS!$P$2:$P$6260,AFS!$N$2:$N$6260,B278,AFS!$AT$2:$AT$6260,AA278)</f>
        <v>12</v>
      </c>
      <c r="AD278" s="116">
        <f t="shared" si="8"/>
        <v>12</v>
      </c>
      <c r="AE278" s="117"/>
      <c r="AF278" s="118">
        <f t="shared" si="9"/>
        <v>12</v>
      </c>
      <c r="AG278" s="4"/>
      <c r="AH278" s="26"/>
      <c r="AI278" s="26"/>
    </row>
    <row r="279">
      <c r="A279" s="120" t="s">
        <v>2824</v>
      </c>
      <c r="B279" s="7" t="s">
        <v>50</v>
      </c>
      <c r="C279" s="95" t="s">
        <v>367</v>
      </c>
      <c r="D279" s="109" t="s">
        <v>164</v>
      </c>
      <c r="E279" s="97" t="str">
        <f t="shared" si="2"/>
        <v/>
      </c>
      <c r="F279" s="97" t="str">
        <f t="shared" si="3"/>
        <v/>
      </c>
      <c r="G279" s="99" t="str">
        <f t="shared" si="4"/>
        <v/>
      </c>
      <c r="H279" s="121"/>
      <c r="I279" s="122"/>
      <c r="J279" s="123"/>
      <c r="K279" s="124"/>
      <c r="L279" s="125"/>
      <c r="M279" s="181"/>
      <c r="N279" s="126"/>
      <c r="O279" s="127"/>
      <c r="P279" s="13">
        <f t="array" ref="P279">XLOOKUP(B279,Weight!B:B,Weight!D:D,"#N/A",0)</f>
        <v>90</v>
      </c>
      <c r="Q279" s="17" t="str">
        <f t="shared" si="6"/>
        <v/>
      </c>
      <c r="R279" s="107"/>
      <c r="S279" s="108">
        <v>560313.0</v>
      </c>
      <c r="T279" s="108">
        <v>12.0</v>
      </c>
      <c r="U279" s="109">
        <v>40.0</v>
      </c>
      <c r="V279" s="110"/>
      <c r="X279" s="111">
        <f>SUMIFS('Transit Shipment'!$B$10:$B$1048462,'Transit Shipment'!$A$10:$A$1048462,B279,'Transit Shipment'!$C$10:$C$1048462,AA279)</f>
        <v>0</v>
      </c>
      <c r="Y279" s="111">
        <f>IF(SUMIFS(DIH!$S$2:$S833,DIH!$D$2:$D833,B279,DIH!$U$2:$U833,AA279)&gt;0,SUMIFS(DIH!$S$2:$S833,DIH!$D$2:$D833,B279,DIH!$U$2:$U833,AA279),0)</f>
        <v>3</v>
      </c>
      <c r="Z279" s="112">
        <f t="shared" si="7"/>
        <v>3</v>
      </c>
      <c r="AA279" s="130" t="s">
        <v>13</v>
      </c>
      <c r="AB279" s="114">
        <f>IF(ISNA(VLOOKUP($B279,'Business Report'!$D$2:$J$202,2,0)),"",VLOOKUP($B279,'Business Report'!$D$2:$J$202,2,0))</f>
        <v>16</v>
      </c>
      <c r="AC279" s="115">
        <f>SUMIFS(AFS!$P$2:$P$6260,AFS!$N$2:$N$6260,B279,AFS!$AT$2:$AT$6260,AA279)</f>
        <v>1</v>
      </c>
      <c r="AD279" s="116">
        <f t="shared" si="8"/>
        <v>-1</v>
      </c>
      <c r="AE279" s="117"/>
      <c r="AF279" s="118" t="str">
        <f t="shared" si="9"/>
        <v/>
      </c>
      <c r="AG279" s="26"/>
      <c r="AH279" s="26"/>
      <c r="AI279" s="26"/>
    </row>
    <row r="280">
      <c r="A280" s="120" t="s">
        <v>2824</v>
      </c>
      <c r="B280" s="7" t="s">
        <v>50</v>
      </c>
      <c r="C280" s="95" t="s">
        <v>367</v>
      </c>
      <c r="D280" s="109" t="s">
        <v>164</v>
      </c>
      <c r="E280" s="97" t="str">
        <f t="shared" si="2"/>
        <v/>
      </c>
      <c r="F280" s="97" t="str">
        <f t="shared" si="3"/>
        <v/>
      </c>
      <c r="G280" s="99" t="str">
        <f t="shared" si="4"/>
        <v/>
      </c>
      <c r="H280" s="121"/>
      <c r="I280" s="122"/>
      <c r="J280" s="123"/>
      <c r="K280" s="124"/>
      <c r="L280" s="125"/>
      <c r="M280" s="181"/>
      <c r="N280" s="126"/>
      <c r="O280" s="127"/>
      <c r="P280" s="13">
        <f t="array" ref="P280">XLOOKUP(B280,Weight!B:B,Weight!D:D,"#N/A",0)</f>
        <v>90</v>
      </c>
      <c r="Q280" s="17" t="str">
        <f t="shared" si="6"/>
        <v/>
      </c>
      <c r="R280" s="107"/>
      <c r="S280" s="108">
        <v>560313.0</v>
      </c>
      <c r="T280" s="108">
        <v>12.0</v>
      </c>
      <c r="U280" s="109">
        <v>40.0</v>
      </c>
      <c r="V280" s="110"/>
      <c r="X280" s="111">
        <f>SUMIFS('Transit Shipment'!$B$10:$B$1048462,'Transit Shipment'!$A$10:$A$1048462,B280,'Transit Shipment'!$C$10:$C$1048462,AA280)</f>
        <v>0</v>
      </c>
      <c r="Y280" s="111">
        <f>IF(SUMIFS(DIH!$S$2:$S833,DIH!$D$2:$D833,B280,DIH!$U$2:$U833,AA280)&gt;0,SUMIFS(DIH!$S$2:$S833,DIH!$D$2:$D833,B280,DIH!$U$2:$U833,AA280),0)</f>
        <v>7</v>
      </c>
      <c r="Z280" s="112">
        <f t="shared" si="7"/>
        <v>7</v>
      </c>
      <c r="AA280" s="119" t="s">
        <v>14</v>
      </c>
      <c r="AB280" s="114">
        <f>IF(ISNA(VLOOKUP($B280,'Business Report'!$D$2:$J$202,2,0)),"",VLOOKUP($B280,'Business Report'!$D$2:$J$202,2,0))</f>
        <v>16</v>
      </c>
      <c r="AC280" s="115">
        <f>SUMIFS(AFS!$P$2:$P$6260,AFS!$N$2:$N$6260,B280,AFS!$AT$2:$AT$6260,AA280)</f>
        <v>0</v>
      </c>
      <c r="AD280" s="116">
        <f t="shared" si="8"/>
        <v>-7</v>
      </c>
      <c r="AE280" s="117"/>
      <c r="AF280" s="118" t="str">
        <f t="shared" si="9"/>
        <v/>
      </c>
      <c r="AG280" s="26"/>
      <c r="AH280" s="26"/>
      <c r="AI280" s="26"/>
    </row>
    <row r="281">
      <c r="A281" s="120" t="s">
        <v>2824</v>
      </c>
      <c r="B281" s="7" t="s">
        <v>50</v>
      </c>
      <c r="C281" s="95" t="s">
        <v>367</v>
      </c>
      <c r="D281" s="109" t="s">
        <v>164</v>
      </c>
      <c r="E281" s="97">
        <f t="shared" si="2"/>
        <v>5</v>
      </c>
      <c r="F281" s="97">
        <f t="shared" si="3"/>
        <v>0.5</v>
      </c>
      <c r="G281" s="99">
        <f t="shared" si="4"/>
        <v>12</v>
      </c>
      <c r="H281" s="121"/>
      <c r="I281" s="122"/>
      <c r="J281" s="123"/>
      <c r="K281" s="124"/>
      <c r="L281" s="125"/>
      <c r="M281" s="181"/>
      <c r="N281" s="126"/>
      <c r="O281" s="127"/>
      <c r="P281" s="13">
        <f t="array" ref="P281">XLOOKUP(B281,Weight!B:B,Weight!D:D,"#N/A",0)</f>
        <v>90</v>
      </c>
      <c r="Q281" s="17">
        <f t="shared" si="6"/>
        <v>1080</v>
      </c>
      <c r="R281" s="107"/>
      <c r="S281" s="108">
        <v>560313.0</v>
      </c>
      <c r="T281" s="108">
        <v>12.0</v>
      </c>
      <c r="U281" s="109">
        <v>40.0</v>
      </c>
      <c r="V281" s="110"/>
      <c r="X281" s="111">
        <f>SUMIFS('Transit Shipment'!$B$10:$B$1048462,'Transit Shipment'!$A$10:$A$1048462,B281,'Transit Shipment'!$C$10:$C$1048462,AA281)</f>
        <v>0</v>
      </c>
      <c r="Y281" s="111">
        <f>IF(SUMIFS(DIH!$S$2:$S833,DIH!$D$2:$D833,B281,DIH!$U$2:$U833,AA281)&gt;0,SUMIFS(DIH!$S$2:$S833,DIH!$D$2:$D833,B281,DIH!$U$2:$U833,AA281),0)</f>
        <v>1</v>
      </c>
      <c r="Z281" s="112">
        <f t="shared" si="7"/>
        <v>1</v>
      </c>
      <c r="AA281" s="131" t="s">
        <v>16</v>
      </c>
      <c r="AB281" s="114">
        <f>IF(ISNA(VLOOKUP($B281,'Business Report'!$D$2:$J$202,2,0)),"",VLOOKUP($B281,'Business Report'!$D$2:$J$202,2,0))</f>
        <v>16</v>
      </c>
      <c r="AC281" s="115">
        <f>SUMIFS(AFS!$P$2:$P$6260,AFS!$N$2:$N$6260,B281,AFS!$AT$2:$AT$6260,AA281)</f>
        <v>9</v>
      </c>
      <c r="AD281" s="116">
        <f t="shared" si="8"/>
        <v>11</v>
      </c>
      <c r="AE281" s="117"/>
      <c r="AF281" s="118">
        <f t="shared" si="9"/>
        <v>12</v>
      </c>
      <c r="AG281" s="26"/>
      <c r="AH281" s="26"/>
      <c r="AI281" s="26"/>
    </row>
    <row r="282">
      <c r="A282" s="132" t="s">
        <v>2824</v>
      </c>
      <c r="B282" s="15" t="s">
        <v>50</v>
      </c>
      <c r="C282" s="133" t="s">
        <v>367</v>
      </c>
      <c r="D282" s="109" t="s">
        <v>164</v>
      </c>
      <c r="E282" s="135">
        <f t="shared" si="2"/>
        <v>1</v>
      </c>
      <c r="F282" s="135">
        <f t="shared" si="3"/>
        <v>0.5</v>
      </c>
      <c r="G282" s="136">
        <f t="shared" si="4"/>
        <v>4</v>
      </c>
      <c r="H282" s="137"/>
      <c r="I282" s="138"/>
      <c r="J282" s="139"/>
      <c r="K282" s="140"/>
      <c r="L282" s="135"/>
      <c r="M282" s="152"/>
      <c r="N282" s="142"/>
      <c r="O282" s="143"/>
      <c r="P282" s="144">
        <f t="array" ref="P282">XLOOKUP(B282,Weight!B:B,Weight!D:D,"#N/A",0)</f>
        <v>90</v>
      </c>
      <c r="Q282" s="145">
        <f t="shared" si="6"/>
        <v>360</v>
      </c>
      <c r="R282" s="146"/>
      <c r="S282" s="147">
        <v>560313.0</v>
      </c>
      <c r="T282" s="147">
        <v>12.0</v>
      </c>
      <c r="U282" s="109">
        <v>40.0</v>
      </c>
      <c r="V282" s="148"/>
      <c r="W282" s="149"/>
      <c r="X282" s="150">
        <f>SUMIFS('Transit Shipment'!$B$10:$B$1048462,'Transit Shipment'!$A$10:$A$1048462,B282,'Transit Shipment'!$C$10:$C$1048462,AA282)</f>
        <v>0</v>
      </c>
      <c r="Y282" s="150">
        <f>IF(SUMIFS(DIH!$S$2:$S833,DIH!$D$2:$D833,B282,DIH!$U$2:$U833,AA282)&gt;0,SUMIFS(DIH!$S$2:$S833,DIH!$D$2:$D833,B282,DIH!$U$2:$U833,AA282),0)</f>
        <v>0</v>
      </c>
      <c r="Z282" s="151">
        <f t="shared" si="7"/>
        <v>0</v>
      </c>
      <c r="AA282" s="152" t="s">
        <v>17</v>
      </c>
      <c r="AB282" s="154">
        <f>IF(ISNA(VLOOKUP($B282,'Business Report'!$D$2:$J$202,2,0)),"",VLOOKUP($B282,'Business Report'!$D$2:$J$202,2,0))</f>
        <v>16</v>
      </c>
      <c r="AC282" s="155">
        <f>SUMIFS(AFS!$P$2:$P$6260,AFS!$N$2:$N$6260,B282,AFS!$AT$2:$AT$6260,AA282)</f>
        <v>2</v>
      </c>
      <c r="AD282" s="156">
        <f t="shared" si="8"/>
        <v>3</v>
      </c>
      <c r="AE282" s="159">
        <f>SUM(AD274:AD282)</f>
        <v>40</v>
      </c>
      <c r="AF282" s="118">
        <f t="shared" si="9"/>
        <v>4</v>
      </c>
      <c r="AG282" s="26"/>
      <c r="AH282" s="26"/>
      <c r="AI282" s="26"/>
    </row>
    <row r="283">
      <c r="A283" s="66" t="s">
        <v>2613</v>
      </c>
      <c r="B283" s="1" t="s">
        <v>51</v>
      </c>
      <c r="C283" s="95" t="s">
        <v>273</v>
      </c>
      <c r="D283" s="83" t="s">
        <v>164</v>
      </c>
      <c r="E283" s="69" t="str">
        <f t="shared" si="2"/>
        <v/>
      </c>
      <c r="F283" s="69" t="str">
        <f t="shared" si="3"/>
        <v/>
      </c>
      <c r="G283" s="70" t="str">
        <f t="shared" si="4"/>
        <v/>
      </c>
      <c r="H283" s="163"/>
      <c r="I283" s="101"/>
      <c r="J283" s="102"/>
      <c r="K283" s="167"/>
      <c r="L283" s="119"/>
      <c r="M283" s="169"/>
      <c r="N283" s="171"/>
      <c r="O283" s="106"/>
      <c r="P283" s="79">
        <f t="array" ref="P283">XLOOKUP(B283,Weight!B:B,Weight!D:D,"#N/A",0)</f>
        <v>90</v>
      </c>
      <c r="Q283" s="80" t="str">
        <f t="shared" si="6"/>
        <v/>
      </c>
      <c r="R283" s="107"/>
      <c r="S283" s="108">
        <v>560313.0</v>
      </c>
      <c r="T283" s="108">
        <v>12.0</v>
      </c>
      <c r="U283" s="83">
        <v>40.0</v>
      </c>
      <c r="V283" s="84" t="str">
        <f t="shared" ref="V283:W283" si="60">B283</f>
        <v>CRM-WG-NW-Ultra-Grind+-Grey</v>
      </c>
      <c r="W283" s="174" t="str">
        <f t="shared" si="60"/>
        <v>Crasome Dust Proof Water Resistant Kitchen Wet Grinder Cover for 2 Litre Table Top Ultra Grind+ Gold - Grey</v>
      </c>
      <c r="X283" s="86">
        <f>SUMIFS('Transit Shipment'!$B$10:$B$1048462,'Transit Shipment'!$A$10:$A$1048462,B283,'Transit Shipment'!$C$10:$C$1048462,AA283)</f>
        <v>0</v>
      </c>
      <c r="Y283" s="86">
        <f>IF(SUMIFS(DIH!$S$2:$S833,DIH!$D$2:$D833,B283,DIH!$U$2:$U833,AA283)&gt;0,SUMIFS(DIH!$S$2:$S833,DIH!$D$2:$D833,B283,DIH!$U$2:$U833,AA283),0)</f>
        <v>6</v>
      </c>
      <c r="Z283" s="87">
        <f t="shared" si="7"/>
        <v>6</v>
      </c>
      <c r="AA283" s="88" t="s">
        <v>5</v>
      </c>
      <c r="AB283" s="89">
        <f>IF(ISNA(VLOOKUP($B283,'Business Report'!$D$2:$J$202,2,0)),"",VLOOKUP($B283,'Business Report'!$D$2:$J$202,2,0))</f>
        <v>55</v>
      </c>
      <c r="AC283" s="90">
        <f>SUMIFS(AFS!$P$2:$P$6260,AFS!$N$2:$N$6260,B283,AFS!$AT$2:$AT$6260,AA283)</f>
        <v>2</v>
      </c>
      <c r="AD283" s="91">
        <f t="shared" si="8"/>
        <v>-3</v>
      </c>
      <c r="AE283" s="92"/>
      <c r="AF283" s="93" t="str">
        <f t="shared" si="9"/>
        <v/>
      </c>
      <c r="AG283" s="26"/>
      <c r="AH283" s="26"/>
      <c r="AI283" s="26"/>
    </row>
    <row r="284">
      <c r="A284" s="94" t="s">
        <v>2613</v>
      </c>
      <c r="B284" s="3" t="s">
        <v>51</v>
      </c>
      <c r="C284" s="95" t="s">
        <v>273</v>
      </c>
      <c r="D284" s="109" t="s">
        <v>164</v>
      </c>
      <c r="E284" s="97">
        <f t="shared" si="2"/>
        <v>9</v>
      </c>
      <c r="F284" s="97">
        <f t="shared" si="3"/>
        <v>0.5</v>
      </c>
      <c r="G284" s="99">
        <f t="shared" si="4"/>
        <v>20</v>
      </c>
      <c r="H284" s="100"/>
      <c r="I284" s="101"/>
      <c r="J284" s="102"/>
      <c r="K284" s="103"/>
      <c r="L284" s="97"/>
      <c r="M284" s="169"/>
      <c r="N284" s="105"/>
      <c r="O284" s="106"/>
      <c r="P284" s="13">
        <f t="array" ref="P284">XLOOKUP(B284,Weight!B:B,Weight!D:D,"#N/A",0)</f>
        <v>90</v>
      </c>
      <c r="Q284" s="17">
        <f t="shared" si="6"/>
        <v>1800</v>
      </c>
      <c r="R284" s="107"/>
      <c r="S284" s="108">
        <v>560313.0</v>
      </c>
      <c r="T284" s="108">
        <v>12.0</v>
      </c>
      <c r="U284" s="109">
        <v>40.0</v>
      </c>
      <c r="V284" s="110"/>
      <c r="X284" s="111">
        <f>SUMIFS('Transit Shipment'!$B$10:$B$1048462,'Transit Shipment'!$A$10:$A$1048462,B284,'Transit Shipment'!$C$10:$C$1048462,AA284)</f>
        <v>0</v>
      </c>
      <c r="Y284" s="111">
        <f>IF(SUMIFS(DIH!$S$2:$S833,DIH!$D$2:$D833,B284,DIH!$U$2:$U833,AA284)&gt;0,SUMIFS(DIH!$S$2:$S833,DIH!$D$2:$D833,B284,DIH!$U$2:$U833,AA284),0)</f>
        <v>15</v>
      </c>
      <c r="Z284" s="112">
        <f t="shared" si="7"/>
        <v>15</v>
      </c>
      <c r="AA284" s="113" t="s">
        <v>11</v>
      </c>
      <c r="AB284" s="114">
        <f>IF(ISNA(VLOOKUP($B284,'Business Report'!$D$2:$J$202,2,0)),"",VLOOKUP($B284,'Business Report'!$D$2:$J$202,2,0))</f>
        <v>55</v>
      </c>
      <c r="AC284" s="115">
        <f>SUMIFS(AFS!$P$2:$P$6260,AFS!$N$2:$N$6260,B284,AFS!$AT$2:$AT$6260,AA284)</f>
        <v>25</v>
      </c>
      <c r="AD284" s="116">
        <f t="shared" si="8"/>
        <v>19</v>
      </c>
      <c r="AE284" s="117"/>
      <c r="AF284" s="118">
        <f t="shared" si="9"/>
        <v>20</v>
      </c>
      <c r="AG284" s="26"/>
      <c r="AH284" s="26"/>
      <c r="AI284" s="26"/>
    </row>
    <row r="285">
      <c r="A285" s="94" t="s">
        <v>2613</v>
      </c>
      <c r="B285" s="3" t="s">
        <v>51</v>
      </c>
      <c r="C285" s="95" t="s">
        <v>273</v>
      </c>
      <c r="D285" s="109" t="s">
        <v>164</v>
      </c>
      <c r="E285" s="97">
        <f t="shared" si="2"/>
        <v>10</v>
      </c>
      <c r="F285" s="97">
        <f t="shared" si="3"/>
        <v>0</v>
      </c>
      <c r="G285" s="99">
        <f t="shared" si="4"/>
        <v>20</v>
      </c>
      <c r="H285" s="100"/>
      <c r="I285" s="101"/>
      <c r="J285" s="102"/>
      <c r="K285" s="103"/>
      <c r="L285" s="97"/>
      <c r="M285" s="169"/>
      <c r="N285" s="105"/>
      <c r="O285" s="106"/>
      <c r="P285" s="13">
        <f t="array" ref="P285">XLOOKUP(B285,Weight!B:B,Weight!D:D,"#N/A",0)</f>
        <v>90</v>
      </c>
      <c r="Q285" s="17">
        <f t="shared" si="6"/>
        <v>1800</v>
      </c>
      <c r="R285" s="107"/>
      <c r="S285" s="108">
        <v>560313.0</v>
      </c>
      <c r="T285" s="108">
        <v>12.0</v>
      </c>
      <c r="U285" s="109">
        <v>40.0</v>
      </c>
      <c r="V285" s="110"/>
      <c r="X285" s="111">
        <f>SUMIFS('Transit Shipment'!$B$10:$B$1048462,'Transit Shipment'!$A$10:$A$1048462,B285,'Transit Shipment'!$C$10:$C$1048462,AA285)</f>
        <v>0</v>
      </c>
      <c r="Y285" s="111">
        <f>IF(SUMIFS(DIH!$S$2:$S833,DIH!$D$2:$D833,B285,DIH!$U$2:$U833,AA285)&gt;0,SUMIFS(DIH!$S$2:$S833,DIH!$D$2:$D833,B285,DIH!$U$2:$U833,AA285),0)</f>
        <v>14</v>
      </c>
      <c r="Z285" s="112">
        <f t="shared" si="7"/>
        <v>14</v>
      </c>
      <c r="AA285" s="119" t="s">
        <v>9</v>
      </c>
      <c r="AB285" s="114">
        <f>IF(ISNA(VLOOKUP($B285,'Business Report'!$D$2:$J$202,2,0)),"",VLOOKUP($B285,'Business Report'!$D$2:$J$202,2,0))</f>
        <v>55</v>
      </c>
      <c r="AC285" s="115">
        <f>SUMIFS(AFS!$P$2:$P$6260,AFS!$N$2:$N$6260,B285,AFS!$AT$2:$AT$6260,AA285)</f>
        <v>25</v>
      </c>
      <c r="AD285" s="116">
        <f t="shared" si="8"/>
        <v>20</v>
      </c>
      <c r="AE285" s="117"/>
      <c r="AF285" s="118">
        <f t="shared" si="9"/>
        <v>20</v>
      </c>
      <c r="AG285" s="4"/>
      <c r="AH285" s="26"/>
      <c r="AI285" s="26"/>
    </row>
    <row r="286">
      <c r="A286" s="120" t="s">
        <v>2613</v>
      </c>
      <c r="B286" s="7" t="s">
        <v>51</v>
      </c>
      <c r="C286" s="95" t="s">
        <v>273</v>
      </c>
      <c r="D286" s="109" t="s">
        <v>164</v>
      </c>
      <c r="E286" s="97">
        <f t="shared" si="2"/>
        <v>10</v>
      </c>
      <c r="F286" s="97">
        <f t="shared" si="3"/>
        <v>0</v>
      </c>
      <c r="G286" s="99">
        <f t="shared" si="4"/>
        <v>20</v>
      </c>
      <c r="H286" s="121"/>
      <c r="I286" s="122"/>
      <c r="J286" s="123"/>
      <c r="K286" s="124"/>
      <c r="L286" s="125"/>
      <c r="M286" s="181"/>
      <c r="N286" s="126"/>
      <c r="O286" s="127"/>
      <c r="P286" s="13">
        <f t="array" ref="P286">XLOOKUP(B286,Weight!B:B,Weight!D:D,"#N/A",0)</f>
        <v>90</v>
      </c>
      <c r="Q286" s="17">
        <f t="shared" si="6"/>
        <v>1800</v>
      </c>
      <c r="R286" s="107"/>
      <c r="S286" s="108">
        <v>560313.0</v>
      </c>
      <c r="T286" s="108">
        <v>12.0</v>
      </c>
      <c r="U286" s="109">
        <v>40.0</v>
      </c>
      <c r="V286" s="110"/>
      <c r="X286" s="111">
        <f>SUMIFS('Transit Shipment'!$B$10:$B$1048462,'Transit Shipment'!$A$10:$A$1048462,B286,'Transit Shipment'!$C$10:$C$1048462,AA286)</f>
        <v>0</v>
      </c>
      <c r="Y286" s="111">
        <f>IF(SUMIFS(DIH!$S$2:$S833,DIH!$D$2:$D833,B286,DIH!$U$2:$U833,AA286)&gt;0,SUMIFS(DIH!$S$2:$S833,DIH!$D$2:$D833,B286,DIH!$U$2:$U833,AA286),0)</f>
        <v>2</v>
      </c>
      <c r="Z286" s="112">
        <f t="shared" si="7"/>
        <v>2</v>
      </c>
      <c r="AA286" s="119" t="s">
        <v>155</v>
      </c>
      <c r="AB286" s="114">
        <f>IF(ISNA(VLOOKUP($B286,'Business Report'!$D$2:$J$202,2,0)),"",VLOOKUP($B286,'Business Report'!$D$2:$J$202,2,0))</f>
        <v>55</v>
      </c>
      <c r="AC286" s="115">
        <f>SUMIFS(AFS!$P$2:$P$6260,AFS!$N$2:$N$6260,B286,AFS!$AT$2:$AT$6260,AA286)</f>
        <v>16</v>
      </c>
      <c r="AD286" s="116">
        <f t="shared" si="8"/>
        <v>20</v>
      </c>
      <c r="AE286" s="117"/>
      <c r="AF286" s="118">
        <f t="shared" si="9"/>
        <v>20</v>
      </c>
      <c r="AG286" s="4"/>
      <c r="AH286" s="26"/>
      <c r="AI286" s="26"/>
    </row>
    <row r="287">
      <c r="A287" s="120" t="s">
        <v>2613</v>
      </c>
      <c r="B287" s="7" t="s">
        <v>51</v>
      </c>
      <c r="C287" s="95" t="s">
        <v>273</v>
      </c>
      <c r="D287" s="109" t="s">
        <v>164</v>
      </c>
      <c r="E287" s="97">
        <f t="shared" si="2"/>
        <v>5</v>
      </c>
      <c r="F287" s="97">
        <f t="shared" si="3"/>
        <v>0.5</v>
      </c>
      <c r="G287" s="99">
        <f t="shared" si="4"/>
        <v>12</v>
      </c>
      <c r="H287" s="121"/>
      <c r="I287" s="122"/>
      <c r="J287" s="123"/>
      <c r="K287" s="124"/>
      <c r="L287" s="125"/>
      <c r="M287" s="181"/>
      <c r="N287" s="126"/>
      <c r="O287" s="127"/>
      <c r="P287" s="13">
        <f t="array" ref="P287">XLOOKUP(B287,Weight!B:B,Weight!D:D,"#N/A",0)</f>
        <v>90</v>
      </c>
      <c r="Q287" s="17">
        <f t="shared" si="6"/>
        <v>1080</v>
      </c>
      <c r="R287" s="107"/>
      <c r="S287" s="108">
        <v>560313.0</v>
      </c>
      <c r="T287" s="108">
        <v>12.0</v>
      </c>
      <c r="U287" s="109">
        <v>40.0</v>
      </c>
      <c r="V287" s="110"/>
      <c r="X287" s="111">
        <f>SUMIFS('Transit Shipment'!$B$10:$B$1048462,'Transit Shipment'!$A$10:$A$1048462,B287,'Transit Shipment'!$C$10:$C$1048462,AA287)</f>
        <v>0</v>
      </c>
      <c r="Y287" s="111">
        <f>IF(SUMIFS(DIH!$S$2:$S833,DIH!$D$2:$D833,B287,DIH!$U$2:$U833,AA287)&gt;0,SUMIFS(DIH!$S$2:$S833,DIH!$D$2:$D833,B287,DIH!$U$2:$U833,AA287),0)</f>
        <v>81</v>
      </c>
      <c r="Z287" s="112">
        <f t="shared" si="7"/>
        <v>81</v>
      </c>
      <c r="AA287" s="119" t="s">
        <v>156</v>
      </c>
      <c r="AB287" s="114">
        <f>IF(ISNA(VLOOKUP($B287,'Business Report'!$D$2:$J$202,2,0)),"",VLOOKUP($B287,'Business Report'!$D$2:$J$202,2,0))</f>
        <v>55</v>
      </c>
      <c r="AC287" s="115">
        <f>SUMIFS(AFS!$P$2:$P$6260,AFS!$N$2:$N$6260,B287,AFS!$AT$2:$AT$6260,AA287)</f>
        <v>69</v>
      </c>
      <c r="AD287" s="116">
        <f t="shared" si="8"/>
        <v>11</v>
      </c>
      <c r="AE287" s="117"/>
      <c r="AF287" s="118">
        <f t="shared" si="9"/>
        <v>12</v>
      </c>
      <c r="AG287" s="4"/>
      <c r="AH287" s="26"/>
      <c r="AI287" s="26"/>
    </row>
    <row r="288">
      <c r="A288" s="120" t="s">
        <v>2613</v>
      </c>
      <c r="B288" s="7" t="s">
        <v>51</v>
      </c>
      <c r="C288" s="95" t="s">
        <v>273</v>
      </c>
      <c r="D288" s="109" t="s">
        <v>164</v>
      </c>
      <c r="E288" s="97" t="str">
        <f t="shared" si="2"/>
        <v/>
      </c>
      <c r="F288" s="97" t="str">
        <f t="shared" si="3"/>
        <v/>
      </c>
      <c r="G288" s="99" t="str">
        <f t="shared" si="4"/>
        <v/>
      </c>
      <c r="H288" s="121"/>
      <c r="I288" s="122"/>
      <c r="J288" s="123"/>
      <c r="K288" s="124"/>
      <c r="L288" s="125"/>
      <c r="M288" s="181"/>
      <c r="N288" s="126"/>
      <c r="O288" s="127"/>
      <c r="P288" s="13">
        <f t="array" ref="P288">XLOOKUP(B288,Weight!B:B,Weight!D:D,"#N/A",0)</f>
        <v>90</v>
      </c>
      <c r="Q288" s="17" t="str">
        <f t="shared" si="6"/>
        <v/>
      </c>
      <c r="R288" s="107"/>
      <c r="S288" s="108">
        <v>560313.0</v>
      </c>
      <c r="T288" s="108">
        <v>12.0</v>
      </c>
      <c r="U288" s="109">
        <v>40.0</v>
      </c>
      <c r="V288" s="110"/>
      <c r="X288" s="111">
        <f>SUMIFS('Transit Shipment'!$B$10:$B$1048462,'Transit Shipment'!$A$10:$A$1048462,B288,'Transit Shipment'!$C$10:$C$1048462,AA288)</f>
        <v>0</v>
      </c>
      <c r="Y288" s="111">
        <f>IF(SUMIFS(DIH!$S$2:$S833,DIH!$D$2:$D833,B288,DIH!$U$2:$U833,AA288)&gt;0,SUMIFS(DIH!$S$2:$S833,DIH!$D$2:$D833,B288,DIH!$U$2:$U833,AA288),0)</f>
        <v>37</v>
      </c>
      <c r="Z288" s="112">
        <f t="shared" si="7"/>
        <v>37</v>
      </c>
      <c r="AA288" s="130" t="s">
        <v>13</v>
      </c>
      <c r="AB288" s="114">
        <f>IF(ISNA(VLOOKUP($B288,'Business Report'!$D$2:$J$202,2,0)),"",VLOOKUP($B288,'Business Report'!$D$2:$J$202,2,0))</f>
        <v>55</v>
      </c>
      <c r="AC288" s="115">
        <f>SUMIFS(AFS!$P$2:$P$6260,AFS!$N$2:$N$6260,B288,AFS!$AT$2:$AT$6260,AA288)</f>
        <v>1</v>
      </c>
      <c r="AD288" s="116">
        <f t="shared" si="8"/>
        <v>-35</v>
      </c>
      <c r="AE288" s="117"/>
      <c r="AF288" s="118" t="str">
        <f t="shared" si="9"/>
        <v/>
      </c>
      <c r="AG288" s="26"/>
      <c r="AH288" s="26"/>
      <c r="AI288" s="26"/>
    </row>
    <row r="289">
      <c r="A289" s="120" t="s">
        <v>2613</v>
      </c>
      <c r="B289" s="7" t="s">
        <v>51</v>
      </c>
      <c r="C289" s="95" t="s">
        <v>273</v>
      </c>
      <c r="D289" s="109" t="s">
        <v>164</v>
      </c>
      <c r="E289" s="97" t="str">
        <f t="shared" si="2"/>
        <v/>
      </c>
      <c r="F289" s="97" t="str">
        <f t="shared" si="3"/>
        <v/>
      </c>
      <c r="G289" s="99" t="str">
        <f t="shared" si="4"/>
        <v/>
      </c>
      <c r="H289" s="121"/>
      <c r="I289" s="122"/>
      <c r="J289" s="123"/>
      <c r="K289" s="124"/>
      <c r="L289" s="125"/>
      <c r="M289" s="181"/>
      <c r="N289" s="126"/>
      <c r="O289" s="127"/>
      <c r="P289" s="13">
        <f t="array" ref="P289">XLOOKUP(B289,Weight!B:B,Weight!D:D,"#N/A",0)</f>
        <v>90</v>
      </c>
      <c r="Q289" s="17" t="str">
        <f t="shared" si="6"/>
        <v/>
      </c>
      <c r="R289" s="107"/>
      <c r="S289" s="108">
        <v>560313.0</v>
      </c>
      <c r="T289" s="108">
        <v>12.0</v>
      </c>
      <c r="U289" s="109">
        <v>40.0</v>
      </c>
      <c r="V289" s="110"/>
      <c r="X289" s="111">
        <f>SUMIFS('Transit Shipment'!$B$10:$B$1048462,'Transit Shipment'!$A$10:$A$1048462,B289,'Transit Shipment'!$C$10:$C$1048462,AA289)</f>
        <v>0</v>
      </c>
      <c r="Y289" s="111">
        <f>IF(SUMIFS(DIH!$S$2:$S833,DIH!$D$2:$D833,B289,DIH!$U$2:$U833,AA289)&gt;0,SUMIFS(DIH!$S$2:$S833,DIH!$D$2:$D833,B289,DIH!$U$2:$U833,AA289),0)</f>
        <v>45</v>
      </c>
      <c r="Z289" s="112">
        <f t="shared" si="7"/>
        <v>45</v>
      </c>
      <c r="AA289" s="119" t="s">
        <v>14</v>
      </c>
      <c r="AB289" s="114">
        <f>IF(ISNA(VLOOKUP($B289,'Business Report'!$D$2:$J$202,2,0)),"",VLOOKUP($B289,'Business Report'!$D$2:$J$202,2,0))</f>
        <v>55</v>
      </c>
      <c r="AC289" s="115">
        <f>SUMIFS(AFS!$P$2:$P$6260,AFS!$N$2:$N$6260,B289,AFS!$AT$2:$AT$6260,AA289)</f>
        <v>1</v>
      </c>
      <c r="AD289" s="116">
        <f t="shared" si="8"/>
        <v>-43</v>
      </c>
      <c r="AE289" s="117"/>
      <c r="AF289" s="118" t="str">
        <f t="shared" si="9"/>
        <v/>
      </c>
      <c r="AG289" s="26"/>
      <c r="AH289" s="26"/>
      <c r="AI289" s="26"/>
    </row>
    <row r="290">
      <c r="A290" s="120" t="s">
        <v>2613</v>
      </c>
      <c r="B290" s="7" t="s">
        <v>51</v>
      </c>
      <c r="C290" s="95" t="s">
        <v>273</v>
      </c>
      <c r="D290" s="109" t="s">
        <v>164</v>
      </c>
      <c r="E290" s="97">
        <f t="shared" si="2"/>
        <v>5</v>
      </c>
      <c r="F290" s="97">
        <f t="shared" si="3"/>
        <v>0.5</v>
      </c>
      <c r="G290" s="99">
        <f t="shared" si="4"/>
        <v>12</v>
      </c>
      <c r="H290" s="121"/>
      <c r="I290" s="122"/>
      <c r="J290" s="123"/>
      <c r="K290" s="124"/>
      <c r="L290" s="125"/>
      <c r="M290" s="181"/>
      <c r="N290" s="126"/>
      <c r="O290" s="127"/>
      <c r="P290" s="13">
        <f t="array" ref="P290">XLOOKUP(B290,Weight!B:B,Weight!D:D,"#N/A",0)</f>
        <v>90</v>
      </c>
      <c r="Q290" s="17">
        <f t="shared" si="6"/>
        <v>1080</v>
      </c>
      <c r="R290" s="107"/>
      <c r="S290" s="108">
        <v>560313.0</v>
      </c>
      <c r="T290" s="108">
        <v>12.0</v>
      </c>
      <c r="U290" s="109">
        <v>40.0</v>
      </c>
      <c r="V290" s="110"/>
      <c r="X290" s="111">
        <f>SUMIFS('Transit Shipment'!$B$10:$B$1048462,'Transit Shipment'!$A$10:$A$1048462,B290,'Transit Shipment'!$C$10:$C$1048462,AA290)</f>
        <v>0</v>
      </c>
      <c r="Y290" s="111">
        <f>IF(SUMIFS(DIH!$S$2:$S833,DIH!$D$2:$D833,B290,DIH!$U$2:$U833,AA290)&gt;0,SUMIFS(DIH!$S$2:$S833,DIH!$D$2:$D833,B290,DIH!$U$2:$U833,AA290),0)</f>
        <v>3</v>
      </c>
      <c r="Z290" s="112">
        <f t="shared" si="7"/>
        <v>3</v>
      </c>
      <c r="AA290" s="131" t="s">
        <v>16</v>
      </c>
      <c r="AB290" s="114">
        <f>IF(ISNA(VLOOKUP($B290,'Business Report'!$D$2:$J$202,2,0)),"",VLOOKUP($B290,'Business Report'!$D$2:$J$202,2,0))</f>
        <v>55</v>
      </c>
      <c r="AC290" s="115">
        <f>SUMIFS(AFS!$P$2:$P$6260,AFS!$N$2:$N$6260,B290,AFS!$AT$2:$AT$6260,AA290)</f>
        <v>10</v>
      </c>
      <c r="AD290" s="116">
        <f t="shared" si="8"/>
        <v>11</v>
      </c>
      <c r="AE290" s="117"/>
      <c r="AF290" s="118">
        <f t="shared" si="9"/>
        <v>12</v>
      </c>
      <c r="AG290" s="26"/>
      <c r="AH290" s="26"/>
      <c r="AI290" s="26"/>
    </row>
    <row r="291">
      <c r="A291" s="132" t="s">
        <v>2613</v>
      </c>
      <c r="B291" s="15" t="s">
        <v>51</v>
      </c>
      <c r="C291" s="133" t="s">
        <v>273</v>
      </c>
      <c r="D291" s="109" t="s">
        <v>164</v>
      </c>
      <c r="E291" s="135" t="str">
        <f t="shared" si="2"/>
        <v/>
      </c>
      <c r="F291" s="135" t="str">
        <f t="shared" si="3"/>
        <v/>
      </c>
      <c r="G291" s="136" t="str">
        <f t="shared" si="4"/>
        <v/>
      </c>
      <c r="H291" s="137"/>
      <c r="I291" s="138"/>
      <c r="J291" s="139"/>
      <c r="K291" s="140"/>
      <c r="L291" s="135"/>
      <c r="M291" s="152"/>
      <c r="N291" s="142"/>
      <c r="O291" s="143"/>
      <c r="P291" s="144">
        <f t="array" ref="P291">XLOOKUP(B291,Weight!B:B,Weight!D:D,"#N/A",0)</f>
        <v>90</v>
      </c>
      <c r="Q291" s="145" t="str">
        <f t="shared" si="6"/>
        <v/>
      </c>
      <c r="R291" s="146"/>
      <c r="S291" s="147">
        <v>560313.0</v>
      </c>
      <c r="T291" s="147">
        <v>12.0</v>
      </c>
      <c r="U291" s="109">
        <v>40.0</v>
      </c>
      <c r="V291" s="148"/>
      <c r="W291" s="149"/>
      <c r="X291" s="150">
        <f>SUMIFS('Transit Shipment'!$B$10:$B$1048462,'Transit Shipment'!$A$10:$A$1048462,B291,'Transit Shipment'!$C$10:$C$1048462,AA291)</f>
        <v>0</v>
      </c>
      <c r="Y291" s="150">
        <f>IF(SUMIFS(DIH!$S$2:$S833,DIH!$D$2:$D833,B291,DIH!$U$2:$U833,AA291)&gt;0,SUMIFS(DIH!$S$2:$S833,DIH!$D$2:$D833,B291,DIH!$U$2:$U833,AA291),0)</f>
        <v>12</v>
      </c>
      <c r="Z291" s="151">
        <f t="shared" si="7"/>
        <v>12</v>
      </c>
      <c r="AA291" s="152" t="s">
        <v>17</v>
      </c>
      <c r="AB291" s="154">
        <f>IF(ISNA(VLOOKUP($B291,'Business Report'!$D$2:$J$202,2,0)),"",VLOOKUP($B291,'Business Report'!$D$2:$J$202,2,0))</f>
        <v>55</v>
      </c>
      <c r="AC291" s="155">
        <f>SUMIFS(AFS!$P$2:$P$6260,AFS!$N$2:$N$6260,B291,AFS!$AT$2:$AT$6260,AA291)</f>
        <v>4</v>
      </c>
      <c r="AD291" s="156">
        <f t="shared" si="8"/>
        <v>-6</v>
      </c>
      <c r="AE291" s="159">
        <f>SUM(AD283:AD291)</f>
        <v>-6</v>
      </c>
      <c r="AF291" s="118" t="str">
        <f t="shared" si="9"/>
        <v/>
      </c>
      <c r="AG291" s="26"/>
      <c r="AH291" s="26"/>
      <c r="AI291" s="26"/>
    </row>
    <row r="292">
      <c r="A292" s="66" t="s">
        <v>1917</v>
      </c>
      <c r="B292" s="1" t="s">
        <v>52</v>
      </c>
      <c r="C292" s="95" t="s">
        <v>477</v>
      </c>
      <c r="D292" s="83" t="s">
        <v>163</v>
      </c>
      <c r="E292" s="69">
        <f t="shared" si="2"/>
        <v>1</v>
      </c>
      <c r="F292" s="69">
        <f t="shared" si="3"/>
        <v>0</v>
      </c>
      <c r="G292" s="70" t="str">
        <f t="shared" si="4"/>
        <v/>
      </c>
      <c r="H292" s="163"/>
      <c r="I292" s="101"/>
      <c r="J292" s="102"/>
      <c r="K292" s="167"/>
      <c r="L292" s="119"/>
      <c r="M292" s="169"/>
      <c r="N292" s="171"/>
      <c r="O292" s="106"/>
      <c r="P292" s="79">
        <f t="array" ref="P292">XLOOKUP(B292,Weight!B:B,Weight!D:D,"#N/A",0)</f>
        <v>144</v>
      </c>
      <c r="Q292" s="80" t="str">
        <f t="shared" si="6"/>
        <v/>
      </c>
      <c r="R292" s="107"/>
      <c r="S292" s="108">
        <v>845290.0</v>
      </c>
      <c r="T292" s="108">
        <v>12.0</v>
      </c>
      <c r="U292" s="83">
        <v>55.0</v>
      </c>
      <c r="V292" s="84" t="s">
        <v>4116</v>
      </c>
      <c r="W292" s="174" t="str">
        <f>C292</f>
        <v>CRASOME Dust Proof Kitchen Wet Grinder Cover for 2 Litre Table Top Bajaj WX 1 | Bajaj WX 3 (Blue)</v>
      </c>
      <c r="X292" s="86">
        <f>SUMIFS('Transit Shipment'!$B$10:$B$1048462,'Transit Shipment'!$A$10:$A$1048462,B292,'Transit Shipment'!$C$10:$C$1048462,AA292)</f>
        <v>0</v>
      </c>
      <c r="Y292" s="86">
        <f>IF(SUMIFS(DIH!$S$2:$S833,DIH!$D$2:$D833,B292,DIH!$U$2:$U833,AA292)&gt;0,SUMIFS(DIH!$S$2:$S833,DIH!$D$2:$D833,B292,DIH!$U$2:$U833,AA292),0)</f>
        <v>0</v>
      </c>
      <c r="Z292" s="87">
        <f t="shared" si="7"/>
        <v>0</v>
      </c>
      <c r="AA292" s="88" t="s">
        <v>5</v>
      </c>
      <c r="AB292" s="89">
        <f>IF(ISNA(VLOOKUP($B292,'Business Report'!$D$2:$J$202,2,0)),"",VLOOKUP($B292,'Business Report'!$D$2:$J$202,2,0))</f>
        <v>4</v>
      </c>
      <c r="AC292" s="90">
        <f>SUMIFS(AFS!$P$2:$P$6260,AFS!$N$2:$N$6260,B292,AFS!$AT$2:$AT$6260,AA292)</f>
        <v>0</v>
      </c>
      <c r="AD292" s="91">
        <f t="shared" si="8"/>
        <v>0</v>
      </c>
      <c r="AE292" s="92"/>
      <c r="AF292" s="93" t="str">
        <f t="shared" si="9"/>
        <v/>
      </c>
      <c r="AG292" s="26"/>
      <c r="AH292" s="26"/>
      <c r="AI292" s="26"/>
    </row>
    <row r="293">
      <c r="A293" s="94" t="s">
        <v>1917</v>
      </c>
      <c r="B293" s="3" t="s">
        <v>52</v>
      </c>
      <c r="C293" s="95" t="s">
        <v>477</v>
      </c>
      <c r="D293" s="109" t="s">
        <v>163</v>
      </c>
      <c r="E293" s="97">
        <f t="shared" si="2"/>
        <v>1</v>
      </c>
      <c r="F293" s="97">
        <f t="shared" si="3"/>
        <v>0</v>
      </c>
      <c r="G293" s="99" t="str">
        <f t="shared" si="4"/>
        <v/>
      </c>
      <c r="H293" s="100"/>
      <c r="I293" s="101"/>
      <c r="J293" s="102"/>
      <c r="K293" s="103"/>
      <c r="L293" s="97"/>
      <c r="M293" s="169"/>
      <c r="N293" s="105"/>
      <c r="O293" s="106"/>
      <c r="P293" s="13">
        <f t="array" ref="P293">XLOOKUP(B293,Weight!B:B,Weight!D:D,"#N/A",0)</f>
        <v>144</v>
      </c>
      <c r="Q293" s="17" t="str">
        <f t="shared" si="6"/>
        <v/>
      </c>
      <c r="R293" s="107"/>
      <c r="S293" s="108">
        <v>845290.0</v>
      </c>
      <c r="T293" s="108">
        <v>12.0</v>
      </c>
      <c r="U293" s="109">
        <v>55.0</v>
      </c>
      <c r="V293" s="110"/>
      <c r="X293" s="111">
        <f>SUMIFS('Transit Shipment'!$B$10:$B$1048462,'Transit Shipment'!$A$10:$A$1048462,B293,'Transit Shipment'!$C$10:$C$1048462,AA293)</f>
        <v>0</v>
      </c>
      <c r="Y293" s="111">
        <f>IF(SUMIFS(DIH!$S$2:$S833,DIH!$D$2:$D833,B293,DIH!$U$2:$U833,AA293)&gt;0,SUMIFS(DIH!$S$2:$S833,DIH!$D$2:$D833,B293,DIH!$U$2:$U833,AA293),0)</f>
        <v>0</v>
      </c>
      <c r="Z293" s="112">
        <f t="shared" si="7"/>
        <v>0</v>
      </c>
      <c r="AA293" s="113" t="s">
        <v>11</v>
      </c>
      <c r="AB293" s="114">
        <f>IF(ISNA(VLOOKUP($B293,'Business Report'!$D$2:$J$202,2,0)),"",VLOOKUP($B293,'Business Report'!$D$2:$J$202,2,0))</f>
        <v>4</v>
      </c>
      <c r="AC293" s="115">
        <f>SUMIFS(AFS!$P$2:$P$6260,AFS!$N$2:$N$6260,B293,AFS!$AT$2:$AT$6260,AA293)</f>
        <v>0</v>
      </c>
      <c r="AD293" s="116">
        <f t="shared" si="8"/>
        <v>0</v>
      </c>
      <c r="AE293" s="117"/>
      <c r="AF293" s="118" t="str">
        <f t="shared" si="9"/>
        <v/>
      </c>
      <c r="AG293" s="26"/>
      <c r="AH293" s="26"/>
      <c r="AI293" s="26"/>
    </row>
    <row r="294">
      <c r="A294" s="94" t="s">
        <v>1917</v>
      </c>
      <c r="B294" s="3" t="s">
        <v>52</v>
      </c>
      <c r="C294" s="95" t="s">
        <v>477</v>
      </c>
      <c r="D294" s="109" t="s">
        <v>163</v>
      </c>
      <c r="E294" s="97">
        <f t="shared" si="2"/>
        <v>1</v>
      </c>
      <c r="F294" s="97">
        <f t="shared" si="3"/>
        <v>0</v>
      </c>
      <c r="G294" s="99" t="str">
        <f t="shared" si="4"/>
        <v/>
      </c>
      <c r="H294" s="100"/>
      <c r="I294" s="101"/>
      <c r="J294" s="102"/>
      <c r="K294" s="103"/>
      <c r="L294" s="97"/>
      <c r="M294" s="169"/>
      <c r="N294" s="105"/>
      <c r="O294" s="106"/>
      <c r="P294" s="13">
        <f t="array" ref="P294">XLOOKUP(B294,Weight!B:B,Weight!D:D,"#N/A",0)</f>
        <v>144</v>
      </c>
      <c r="Q294" s="17" t="str">
        <f t="shared" si="6"/>
        <v/>
      </c>
      <c r="R294" s="107"/>
      <c r="S294" s="108">
        <v>845290.0</v>
      </c>
      <c r="T294" s="108">
        <v>12.0</v>
      </c>
      <c r="U294" s="109">
        <v>55.0</v>
      </c>
      <c r="V294" s="110"/>
      <c r="X294" s="111">
        <f>SUMIFS('Transit Shipment'!$B$10:$B$1048462,'Transit Shipment'!$A$10:$A$1048462,B294,'Transit Shipment'!$C$10:$C$1048462,AA294)</f>
        <v>0</v>
      </c>
      <c r="Y294" s="111">
        <f>IF(SUMIFS(DIH!$S$2:$S833,DIH!$D$2:$D833,B294,DIH!$U$2:$U833,AA294)&gt;0,SUMIFS(DIH!$S$2:$S833,DIH!$D$2:$D833,B294,DIH!$U$2:$U833,AA294),0)</f>
        <v>0</v>
      </c>
      <c r="Z294" s="112">
        <f t="shared" si="7"/>
        <v>0</v>
      </c>
      <c r="AA294" s="119" t="s">
        <v>9</v>
      </c>
      <c r="AB294" s="114">
        <f>IF(ISNA(VLOOKUP($B294,'Business Report'!$D$2:$J$202,2,0)),"",VLOOKUP($B294,'Business Report'!$D$2:$J$202,2,0))</f>
        <v>4</v>
      </c>
      <c r="AC294" s="115">
        <f>SUMIFS(AFS!$P$2:$P$6260,AFS!$N$2:$N$6260,B294,AFS!$AT$2:$AT$6260,AA294)</f>
        <v>0</v>
      </c>
      <c r="AD294" s="116">
        <f t="shared" si="8"/>
        <v>0</v>
      </c>
      <c r="AE294" s="117"/>
      <c r="AF294" s="118" t="str">
        <f t="shared" si="9"/>
        <v/>
      </c>
      <c r="AG294" s="26"/>
      <c r="AH294" s="26"/>
      <c r="AI294" s="26"/>
    </row>
    <row r="295">
      <c r="A295" s="120" t="s">
        <v>1917</v>
      </c>
      <c r="B295" s="7" t="s">
        <v>52</v>
      </c>
      <c r="C295" s="95" t="s">
        <v>477</v>
      </c>
      <c r="D295" s="109" t="s">
        <v>163</v>
      </c>
      <c r="E295" s="97">
        <f t="shared" si="2"/>
        <v>1</v>
      </c>
      <c r="F295" s="97">
        <f t="shared" si="3"/>
        <v>0</v>
      </c>
      <c r="G295" s="99" t="str">
        <f t="shared" si="4"/>
        <v/>
      </c>
      <c r="H295" s="121"/>
      <c r="I295" s="122"/>
      <c r="J295" s="123"/>
      <c r="K295" s="124"/>
      <c r="L295" s="125"/>
      <c r="M295" s="181"/>
      <c r="N295" s="126"/>
      <c r="O295" s="127"/>
      <c r="P295" s="13">
        <f t="array" ref="P295">XLOOKUP(B295,Weight!B:B,Weight!D:D,"#N/A",0)</f>
        <v>144</v>
      </c>
      <c r="Q295" s="17" t="str">
        <f t="shared" si="6"/>
        <v/>
      </c>
      <c r="R295" s="107"/>
      <c r="S295" s="108">
        <v>845290.0</v>
      </c>
      <c r="T295" s="108">
        <v>12.0</v>
      </c>
      <c r="U295" s="109">
        <v>55.0</v>
      </c>
      <c r="V295" s="110"/>
      <c r="X295" s="111">
        <f>SUMIFS('Transit Shipment'!$B$10:$B$1048462,'Transit Shipment'!$A$10:$A$1048462,B295,'Transit Shipment'!$C$10:$C$1048462,AA295)</f>
        <v>0</v>
      </c>
      <c r="Y295" s="111">
        <f>IF(SUMIFS(DIH!$S$2:$S833,DIH!$D$2:$D833,B295,DIH!$U$2:$U833,AA295)&gt;0,SUMIFS(DIH!$S$2:$S833,DIH!$D$2:$D833,B295,DIH!$U$2:$U833,AA295),0)</f>
        <v>0</v>
      </c>
      <c r="Z295" s="112">
        <f t="shared" si="7"/>
        <v>0</v>
      </c>
      <c r="AA295" s="119" t="s">
        <v>155</v>
      </c>
      <c r="AB295" s="114">
        <f>IF(ISNA(VLOOKUP($B295,'Business Report'!$D$2:$J$202,2,0)),"",VLOOKUP($B295,'Business Report'!$D$2:$J$202,2,0))</f>
        <v>4</v>
      </c>
      <c r="AC295" s="115">
        <f>SUMIFS(AFS!$P$2:$P$6260,AFS!$N$2:$N$6260,B295,AFS!$AT$2:$AT$6260,AA295)</f>
        <v>0</v>
      </c>
      <c r="AD295" s="116">
        <f t="shared" si="8"/>
        <v>0</v>
      </c>
      <c r="AE295" s="117"/>
      <c r="AF295" s="118" t="str">
        <f t="shared" si="9"/>
        <v/>
      </c>
      <c r="AG295" s="26"/>
      <c r="AH295" s="26"/>
      <c r="AI295" s="26"/>
    </row>
    <row r="296">
      <c r="A296" s="120" t="s">
        <v>1917</v>
      </c>
      <c r="B296" s="7" t="s">
        <v>52</v>
      </c>
      <c r="C296" s="95" t="s">
        <v>477</v>
      </c>
      <c r="D296" s="109" t="s">
        <v>163</v>
      </c>
      <c r="E296" s="97">
        <f t="shared" si="2"/>
        <v>1</v>
      </c>
      <c r="F296" s="97">
        <f t="shared" si="3"/>
        <v>0</v>
      </c>
      <c r="G296" s="99" t="str">
        <f t="shared" si="4"/>
        <v/>
      </c>
      <c r="H296" s="121"/>
      <c r="I296" s="122"/>
      <c r="J296" s="123"/>
      <c r="K296" s="124"/>
      <c r="L296" s="125"/>
      <c r="M296" s="181"/>
      <c r="N296" s="126"/>
      <c r="O296" s="127"/>
      <c r="P296" s="13">
        <f t="array" ref="P296">XLOOKUP(B296,Weight!B:B,Weight!D:D,"#N/A",0)</f>
        <v>144</v>
      </c>
      <c r="Q296" s="17" t="str">
        <f t="shared" si="6"/>
        <v/>
      </c>
      <c r="R296" s="107"/>
      <c r="S296" s="108">
        <v>845290.0</v>
      </c>
      <c r="T296" s="108">
        <v>12.0</v>
      </c>
      <c r="U296" s="109">
        <v>55.0</v>
      </c>
      <c r="V296" s="110"/>
      <c r="X296" s="111">
        <f>SUMIFS('Transit Shipment'!$B$10:$B$1048462,'Transit Shipment'!$A$10:$A$1048462,B296,'Transit Shipment'!$C$10:$C$1048462,AA296)</f>
        <v>0</v>
      </c>
      <c r="Y296" s="111">
        <f>IF(SUMIFS(DIH!$S$2:$S833,DIH!$D$2:$D833,B296,DIH!$U$2:$U833,AA296)&gt;0,SUMIFS(DIH!$S$2:$S833,DIH!$D$2:$D833,B296,DIH!$U$2:$U833,AA296),0)</f>
        <v>0</v>
      </c>
      <c r="Z296" s="112">
        <f t="shared" si="7"/>
        <v>0</v>
      </c>
      <c r="AA296" s="119" t="s">
        <v>156</v>
      </c>
      <c r="AB296" s="114">
        <f>IF(ISNA(VLOOKUP($B296,'Business Report'!$D$2:$J$202,2,0)),"",VLOOKUP($B296,'Business Report'!$D$2:$J$202,2,0))</f>
        <v>4</v>
      </c>
      <c r="AC296" s="115">
        <f>SUMIFS(AFS!$P$2:$P$6260,AFS!$N$2:$N$6260,B296,AFS!$AT$2:$AT$6260,AA296)</f>
        <v>0</v>
      </c>
      <c r="AD296" s="116">
        <f t="shared" si="8"/>
        <v>0</v>
      </c>
      <c r="AE296" s="117"/>
      <c r="AF296" s="118" t="str">
        <f t="shared" si="9"/>
        <v/>
      </c>
      <c r="AG296" s="26"/>
      <c r="AH296" s="26"/>
      <c r="AI296" s="26"/>
    </row>
    <row r="297">
      <c r="A297" s="120" t="s">
        <v>1917</v>
      </c>
      <c r="B297" s="7" t="s">
        <v>52</v>
      </c>
      <c r="C297" s="95" t="s">
        <v>477</v>
      </c>
      <c r="D297" s="109" t="s">
        <v>163</v>
      </c>
      <c r="E297" s="97">
        <f t="shared" si="2"/>
        <v>1</v>
      </c>
      <c r="F297" s="97">
        <f t="shared" si="3"/>
        <v>0</v>
      </c>
      <c r="G297" s="99" t="str">
        <f t="shared" si="4"/>
        <v/>
      </c>
      <c r="H297" s="121"/>
      <c r="I297" s="122"/>
      <c r="J297" s="123"/>
      <c r="K297" s="124"/>
      <c r="L297" s="125"/>
      <c r="M297" s="181"/>
      <c r="N297" s="126"/>
      <c r="O297" s="127"/>
      <c r="P297" s="13">
        <f t="array" ref="P297">XLOOKUP(B297,Weight!B:B,Weight!D:D,"#N/A",0)</f>
        <v>144</v>
      </c>
      <c r="Q297" s="17" t="str">
        <f t="shared" si="6"/>
        <v/>
      </c>
      <c r="R297" s="107"/>
      <c r="S297" s="108">
        <v>845290.0</v>
      </c>
      <c r="T297" s="108">
        <v>12.0</v>
      </c>
      <c r="U297" s="109">
        <v>55.0</v>
      </c>
      <c r="V297" s="110"/>
      <c r="X297" s="111">
        <f>SUMIFS('Transit Shipment'!$B$10:$B$1048462,'Transit Shipment'!$A$10:$A$1048462,B297,'Transit Shipment'!$C$10:$C$1048462,AA297)</f>
        <v>0</v>
      </c>
      <c r="Y297" s="111">
        <f>IF(SUMIFS(DIH!$S$2:$S833,DIH!$D$2:$D833,B297,DIH!$U$2:$U833,AA297)&gt;0,SUMIFS(DIH!$S$2:$S833,DIH!$D$2:$D833,B297,DIH!$U$2:$U833,AA297),0)</f>
        <v>0</v>
      </c>
      <c r="Z297" s="112">
        <f t="shared" si="7"/>
        <v>0</v>
      </c>
      <c r="AA297" s="130" t="s">
        <v>13</v>
      </c>
      <c r="AB297" s="114">
        <f>IF(ISNA(VLOOKUP($B297,'Business Report'!$D$2:$J$202,2,0)),"",VLOOKUP($B297,'Business Report'!$D$2:$J$202,2,0))</f>
        <v>4</v>
      </c>
      <c r="AC297" s="115">
        <f>SUMIFS(AFS!$P$2:$P$6260,AFS!$N$2:$N$6260,B297,AFS!$AT$2:$AT$6260,AA297)</f>
        <v>0</v>
      </c>
      <c r="AD297" s="116">
        <f t="shared" si="8"/>
        <v>0</v>
      </c>
      <c r="AE297" s="117"/>
      <c r="AF297" s="118" t="str">
        <f t="shared" si="9"/>
        <v/>
      </c>
      <c r="AG297" s="26"/>
      <c r="AH297" s="26"/>
      <c r="AI297" s="26"/>
    </row>
    <row r="298">
      <c r="A298" s="120" t="s">
        <v>1917</v>
      </c>
      <c r="B298" s="7" t="s">
        <v>52</v>
      </c>
      <c r="C298" s="95" t="s">
        <v>477</v>
      </c>
      <c r="D298" s="109" t="s">
        <v>163</v>
      </c>
      <c r="E298" s="97">
        <f t="shared" si="2"/>
        <v>1</v>
      </c>
      <c r="F298" s="97">
        <f t="shared" si="3"/>
        <v>0</v>
      </c>
      <c r="G298" s="99" t="str">
        <f t="shared" si="4"/>
        <v/>
      </c>
      <c r="H298" s="121"/>
      <c r="I298" s="122"/>
      <c r="J298" s="123"/>
      <c r="K298" s="124"/>
      <c r="L298" s="125"/>
      <c r="M298" s="181"/>
      <c r="N298" s="126"/>
      <c r="O298" s="127"/>
      <c r="P298" s="13">
        <f t="array" ref="P298">XLOOKUP(B298,Weight!B:B,Weight!D:D,"#N/A",0)</f>
        <v>144</v>
      </c>
      <c r="Q298" s="17" t="str">
        <f t="shared" si="6"/>
        <v/>
      </c>
      <c r="R298" s="107"/>
      <c r="S298" s="108">
        <v>845290.0</v>
      </c>
      <c r="T298" s="108">
        <v>12.0</v>
      </c>
      <c r="U298" s="109">
        <v>55.0</v>
      </c>
      <c r="V298" s="110"/>
      <c r="X298" s="111">
        <f>SUMIFS('Transit Shipment'!$B$10:$B$1048462,'Transit Shipment'!$A$10:$A$1048462,B298,'Transit Shipment'!$C$10:$C$1048462,AA298)</f>
        <v>0</v>
      </c>
      <c r="Y298" s="111">
        <f>IF(SUMIFS(DIH!$S$2:$S833,DIH!$D$2:$D833,B298,DIH!$U$2:$U833,AA298)&gt;0,SUMIFS(DIH!$S$2:$S833,DIH!$D$2:$D833,B298,DIH!$U$2:$U833,AA298),0)</f>
        <v>0</v>
      </c>
      <c r="Z298" s="112">
        <f t="shared" si="7"/>
        <v>0</v>
      </c>
      <c r="AA298" s="119" t="s">
        <v>14</v>
      </c>
      <c r="AB298" s="114">
        <f>IF(ISNA(VLOOKUP($B298,'Business Report'!$D$2:$J$202,2,0)),"",VLOOKUP($B298,'Business Report'!$D$2:$J$202,2,0))</f>
        <v>4</v>
      </c>
      <c r="AC298" s="115">
        <f>SUMIFS(AFS!$P$2:$P$6260,AFS!$N$2:$N$6260,B298,AFS!$AT$2:$AT$6260,AA298)</f>
        <v>0</v>
      </c>
      <c r="AD298" s="116">
        <f t="shared" si="8"/>
        <v>0</v>
      </c>
      <c r="AE298" s="117"/>
      <c r="AF298" s="118" t="str">
        <f t="shared" si="9"/>
        <v/>
      </c>
      <c r="AG298" s="26"/>
      <c r="AH298" s="26"/>
      <c r="AI298" s="26"/>
    </row>
    <row r="299">
      <c r="A299" s="120" t="s">
        <v>1917</v>
      </c>
      <c r="B299" s="7" t="s">
        <v>52</v>
      </c>
      <c r="C299" s="95" t="s">
        <v>477</v>
      </c>
      <c r="D299" s="109" t="s">
        <v>163</v>
      </c>
      <c r="E299" s="97">
        <f t="shared" si="2"/>
        <v>1</v>
      </c>
      <c r="F299" s="97">
        <f t="shared" si="3"/>
        <v>0</v>
      </c>
      <c r="G299" s="99" t="str">
        <f t="shared" si="4"/>
        <v/>
      </c>
      <c r="H299" s="121"/>
      <c r="I299" s="122"/>
      <c r="J299" s="123"/>
      <c r="K299" s="124"/>
      <c r="L299" s="125"/>
      <c r="M299" s="181"/>
      <c r="N299" s="126"/>
      <c r="O299" s="127"/>
      <c r="P299" s="13">
        <f t="array" ref="P299">XLOOKUP(B299,Weight!B:B,Weight!D:D,"#N/A",0)</f>
        <v>144</v>
      </c>
      <c r="Q299" s="17" t="str">
        <f t="shared" si="6"/>
        <v/>
      </c>
      <c r="R299" s="107"/>
      <c r="S299" s="108">
        <v>845290.0</v>
      </c>
      <c r="T299" s="108">
        <v>12.0</v>
      </c>
      <c r="U299" s="109">
        <v>55.0</v>
      </c>
      <c r="V299" s="110"/>
      <c r="X299" s="111">
        <f>SUMIFS('Transit Shipment'!$B$10:$B$1048462,'Transit Shipment'!$A$10:$A$1048462,B299,'Transit Shipment'!$C$10:$C$1048462,AA299)</f>
        <v>0</v>
      </c>
      <c r="Y299" s="111">
        <f>IF(SUMIFS(DIH!$S$2:$S833,DIH!$D$2:$D833,B299,DIH!$U$2:$U833,AA299)&gt;0,SUMIFS(DIH!$S$2:$S833,DIH!$D$2:$D833,B299,DIH!$U$2:$U833,AA299),0)</f>
        <v>0</v>
      </c>
      <c r="Z299" s="112">
        <f t="shared" si="7"/>
        <v>0</v>
      </c>
      <c r="AA299" s="131" t="s">
        <v>16</v>
      </c>
      <c r="AB299" s="114">
        <f>IF(ISNA(VLOOKUP($B299,'Business Report'!$D$2:$J$202,2,0)),"",VLOOKUP($B299,'Business Report'!$D$2:$J$202,2,0))</f>
        <v>4</v>
      </c>
      <c r="AC299" s="115">
        <f>SUMIFS(AFS!$P$2:$P$6260,AFS!$N$2:$N$6260,B299,AFS!$AT$2:$AT$6260,AA299)</f>
        <v>0</v>
      </c>
      <c r="AD299" s="116">
        <f t="shared" si="8"/>
        <v>0</v>
      </c>
      <c r="AE299" s="117"/>
      <c r="AF299" s="118" t="str">
        <f t="shared" si="9"/>
        <v/>
      </c>
      <c r="AG299" s="26"/>
      <c r="AH299" s="26"/>
      <c r="AI299" s="26"/>
    </row>
    <row r="300">
      <c r="A300" s="132" t="s">
        <v>1917</v>
      </c>
      <c r="B300" s="15" t="s">
        <v>52</v>
      </c>
      <c r="C300" s="133" t="s">
        <v>477</v>
      </c>
      <c r="D300" s="109" t="s">
        <v>163</v>
      </c>
      <c r="E300" s="135">
        <f t="shared" si="2"/>
        <v>1</v>
      </c>
      <c r="F300" s="135">
        <f t="shared" si="3"/>
        <v>0</v>
      </c>
      <c r="G300" s="136" t="str">
        <f t="shared" si="4"/>
        <v/>
      </c>
      <c r="H300" s="137"/>
      <c r="I300" s="138"/>
      <c r="J300" s="139"/>
      <c r="K300" s="140"/>
      <c r="L300" s="135"/>
      <c r="M300" s="152"/>
      <c r="N300" s="142"/>
      <c r="O300" s="143"/>
      <c r="P300" s="144">
        <f t="array" ref="P300">XLOOKUP(B300,Weight!B:B,Weight!D:D,"#N/A",0)</f>
        <v>144</v>
      </c>
      <c r="Q300" s="145" t="str">
        <f t="shared" si="6"/>
        <v/>
      </c>
      <c r="R300" s="146"/>
      <c r="S300" s="147">
        <v>845290.0</v>
      </c>
      <c r="T300" s="147">
        <v>12.0</v>
      </c>
      <c r="U300" s="109">
        <v>55.0</v>
      </c>
      <c r="V300" s="148"/>
      <c r="W300" s="149"/>
      <c r="X300" s="150">
        <f>SUMIFS('Transit Shipment'!$B$10:$B$1048462,'Transit Shipment'!$A$10:$A$1048462,B300,'Transit Shipment'!$C$10:$C$1048462,AA300)</f>
        <v>0</v>
      </c>
      <c r="Y300" s="150">
        <f>IF(SUMIFS(DIH!$S$2:$S833,DIH!$D$2:$D833,B300,DIH!$U$2:$U833,AA300)&gt;0,SUMIFS(DIH!$S$2:$S833,DIH!$D$2:$D833,B300,DIH!$U$2:$U833,AA300),0)</f>
        <v>0</v>
      </c>
      <c r="Z300" s="151">
        <f t="shared" si="7"/>
        <v>0</v>
      </c>
      <c r="AA300" s="152" t="s">
        <v>17</v>
      </c>
      <c r="AB300" s="154">
        <f>IF(ISNA(VLOOKUP($B300,'Business Report'!$D$2:$J$202,2,0)),"",VLOOKUP($B300,'Business Report'!$D$2:$J$202,2,0))</f>
        <v>4</v>
      </c>
      <c r="AC300" s="155">
        <f>SUMIFS(AFS!$P$2:$P$6260,AFS!$N$2:$N$6260,B300,AFS!$AT$2:$AT$6260,AA300)</f>
        <v>0</v>
      </c>
      <c r="AD300" s="156">
        <f t="shared" si="8"/>
        <v>0</v>
      </c>
      <c r="AE300" s="159">
        <f>SUM(AD292:AD300)</f>
        <v>0</v>
      </c>
      <c r="AF300" s="118" t="str">
        <f t="shared" si="9"/>
        <v/>
      </c>
      <c r="AG300" s="26"/>
      <c r="AH300" s="26"/>
      <c r="AI300" s="26"/>
    </row>
    <row r="301">
      <c r="A301" s="66" t="s">
        <v>1917</v>
      </c>
      <c r="B301" s="1" t="s">
        <v>53</v>
      </c>
      <c r="C301" s="95" t="s">
        <v>4249</v>
      </c>
      <c r="D301" s="83" t="s">
        <v>163</v>
      </c>
      <c r="E301" s="69">
        <f t="shared" si="2"/>
        <v>0</v>
      </c>
      <c r="F301" s="69">
        <f t="shared" si="3"/>
        <v>0.5</v>
      </c>
      <c r="G301" s="70">
        <f t="shared" si="4"/>
        <v>2</v>
      </c>
      <c r="H301" s="163"/>
      <c r="I301" s="101"/>
      <c r="J301" s="102"/>
      <c r="K301" s="167"/>
      <c r="L301" s="119"/>
      <c r="M301" s="169"/>
      <c r="N301" s="171"/>
      <c r="O301" s="106"/>
      <c r="P301" s="79">
        <f t="array" ref="P301">XLOOKUP(B301,Weight!B:B,Weight!D:D,"#N/A",0)</f>
        <v>181</v>
      </c>
      <c r="Q301" s="80">
        <f t="shared" si="6"/>
        <v>362</v>
      </c>
      <c r="R301" s="107"/>
      <c r="S301" s="108">
        <v>845290.0</v>
      </c>
      <c r="T301" s="108">
        <v>12.0</v>
      </c>
      <c r="U301" s="83">
        <v>55.0</v>
      </c>
      <c r="V301" s="84" t="str">
        <f t="shared" ref="V301:W301" si="61">B301</f>
        <v>Ultra_1</v>
      </c>
      <c r="W301" s="174" t="str">
        <f t="shared" si="61"/>
        <v>CRASOME Dust Proof Washable Kitchen Wet Grinder Cover for 2.5L Table Top Ultra Grind Plus Gold | Ultra Bigg Plus CSM-UL (Blue)</v>
      </c>
      <c r="X301" s="86">
        <f>SUMIFS('Transit Shipment'!$B$10:$B$1048462,'Transit Shipment'!$A$10:$A$1048462,B301,'Transit Shipment'!$C$10:$C$1048462,AA301)</f>
        <v>0</v>
      </c>
      <c r="Y301" s="86">
        <f>IF(SUMIFS(DIH!$S$2:$S833,DIH!$D$2:$D833,B301,DIH!$U$2:$U833,AA301)&gt;0,SUMIFS(DIH!$S$2:$S833,DIH!$D$2:$D833,B301,DIH!$U$2:$U833,AA301),0)</f>
        <v>1</v>
      </c>
      <c r="Z301" s="87">
        <f t="shared" si="7"/>
        <v>1</v>
      </c>
      <c r="AA301" s="88" t="s">
        <v>5</v>
      </c>
      <c r="AB301" s="89" t="str">
        <f>IF(ISNA(VLOOKUP($B301,'Business Report'!$D$2:$J$202,2,0)),"",VLOOKUP($B301,'Business Report'!$D$2:$J$202,2,0))</f>
        <v/>
      </c>
      <c r="AC301" s="90">
        <f>SUMIFS(AFS!$P$2:$P$6260,AFS!$N$2:$N$6260,B301,AFS!$AT$2:$AT$6260,AA301)</f>
        <v>1</v>
      </c>
      <c r="AD301" s="91">
        <f t="shared" si="8"/>
        <v>1</v>
      </c>
      <c r="AE301" s="92"/>
      <c r="AF301" s="93">
        <f t="shared" si="9"/>
        <v>2</v>
      </c>
      <c r="AG301" s="26"/>
      <c r="AH301" s="26"/>
      <c r="AI301" s="26"/>
    </row>
    <row r="302">
      <c r="A302" s="94" t="s">
        <v>1917</v>
      </c>
      <c r="B302" s="3" t="s">
        <v>53</v>
      </c>
      <c r="C302" s="95" t="s">
        <v>4249</v>
      </c>
      <c r="D302" s="109" t="s">
        <v>163</v>
      </c>
      <c r="E302" s="97">
        <f t="shared" si="2"/>
        <v>4</v>
      </c>
      <c r="F302" s="97">
        <f t="shared" si="3"/>
        <v>0.5</v>
      </c>
      <c r="G302" s="99">
        <f t="shared" si="4"/>
        <v>10</v>
      </c>
      <c r="H302" s="100"/>
      <c r="I302" s="101"/>
      <c r="J302" s="102"/>
      <c r="K302" s="103"/>
      <c r="L302" s="97"/>
      <c r="M302" s="169"/>
      <c r="N302" s="105"/>
      <c r="O302" s="106"/>
      <c r="P302" s="13">
        <f t="array" ref="P302">XLOOKUP(B302,Weight!B:B,Weight!D:D,"#N/A",0)</f>
        <v>181</v>
      </c>
      <c r="Q302" s="17">
        <f t="shared" si="6"/>
        <v>1810</v>
      </c>
      <c r="R302" s="107"/>
      <c r="S302" s="108">
        <v>845290.0</v>
      </c>
      <c r="T302" s="108">
        <v>12.0</v>
      </c>
      <c r="U302" s="109">
        <v>55.0</v>
      </c>
      <c r="V302" s="110"/>
      <c r="X302" s="111">
        <f>SUMIFS('Transit Shipment'!$B$10:$B$1048462,'Transit Shipment'!$A$10:$A$1048462,B302,'Transit Shipment'!$C$10:$C$1048462,AA302)</f>
        <v>0</v>
      </c>
      <c r="Y302" s="111">
        <f>IF(SUMIFS(DIH!$S$2:$S833,DIH!$D$2:$D833,B302,DIH!$U$2:$U833,AA302)&gt;0,SUMIFS(DIH!$S$2:$S833,DIH!$D$2:$D833,B302,DIH!$U$2:$U833,AA302),0)</f>
        <v>13</v>
      </c>
      <c r="Z302" s="112">
        <f t="shared" si="7"/>
        <v>13</v>
      </c>
      <c r="AA302" s="113" t="s">
        <v>11</v>
      </c>
      <c r="AB302" s="114" t="str">
        <f>IF(ISNA(VLOOKUP($B302,'Business Report'!$D$2:$J$202,2,0)),"",VLOOKUP($B302,'Business Report'!$D$2:$J$202,2,0))</f>
        <v/>
      </c>
      <c r="AC302" s="115">
        <f>SUMIFS(AFS!$P$2:$P$6260,AFS!$N$2:$N$6260,B302,AFS!$AT$2:$AT$6260,AA302)</f>
        <v>16</v>
      </c>
      <c r="AD302" s="116">
        <f t="shared" si="8"/>
        <v>9</v>
      </c>
      <c r="AE302" s="117"/>
      <c r="AF302" s="118">
        <f t="shared" si="9"/>
        <v>10</v>
      </c>
      <c r="AG302" s="26"/>
      <c r="AH302" s="26"/>
      <c r="AI302" s="26"/>
    </row>
    <row r="303">
      <c r="A303" s="94" t="s">
        <v>1917</v>
      </c>
      <c r="B303" s="3" t="s">
        <v>53</v>
      </c>
      <c r="C303" s="95" t="s">
        <v>4249</v>
      </c>
      <c r="D303" s="109" t="s">
        <v>163</v>
      </c>
      <c r="E303" s="97">
        <f t="shared" si="2"/>
        <v>14</v>
      </c>
      <c r="F303" s="97">
        <f t="shared" si="3"/>
        <v>0.5</v>
      </c>
      <c r="G303" s="99">
        <f t="shared" si="4"/>
        <v>30</v>
      </c>
      <c r="H303" s="100"/>
      <c r="I303" s="101"/>
      <c r="J303" s="102"/>
      <c r="K303" s="103"/>
      <c r="L303" s="97"/>
      <c r="M303" s="169"/>
      <c r="N303" s="105"/>
      <c r="O303" s="106"/>
      <c r="P303" s="13">
        <f t="array" ref="P303">XLOOKUP(B303,Weight!B:B,Weight!D:D,"#N/A",0)</f>
        <v>181</v>
      </c>
      <c r="Q303" s="17">
        <f t="shared" si="6"/>
        <v>5430</v>
      </c>
      <c r="R303" s="107"/>
      <c r="S303" s="108">
        <v>845290.0</v>
      </c>
      <c r="T303" s="108">
        <v>12.0</v>
      </c>
      <c r="U303" s="109">
        <v>55.0</v>
      </c>
      <c r="V303" s="110"/>
      <c r="X303" s="111">
        <f>SUMIFS('Transit Shipment'!$B$10:$B$1048462,'Transit Shipment'!$A$10:$A$1048462,B303,'Transit Shipment'!$C$10:$C$1048462,AA303)</f>
        <v>0</v>
      </c>
      <c r="Y303" s="111">
        <f>IF(SUMIFS(DIH!$S$2:$S833,DIH!$D$2:$D833,B303,DIH!$U$2:$U833,AA303)&gt;0,SUMIFS(DIH!$S$2:$S833,DIH!$D$2:$D833,B303,DIH!$U$2:$U833,AA303),0)</f>
        <v>27</v>
      </c>
      <c r="Z303" s="112">
        <f t="shared" si="7"/>
        <v>27</v>
      </c>
      <c r="AA303" s="119" t="s">
        <v>9</v>
      </c>
      <c r="AB303" s="114" t="str">
        <f>IF(ISNA(VLOOKUP($B303,'Business Report'!$D$2:$J$202,2,0)),"",VLOOKUP($B303,'Business Report'!$D$2:$J$202,2,0))</f>
        <v/>
      </c>
      <c r="AC303" s="115">
        <f>SUMIFS(AFS!$P$2:$P$6260,AFS!$N$2:$N$6260,B303,AFS!$AT$2:$AT$6260,AA303)</f>
        <v>42</v>
      </c>
      <c r="AD303" s="116">
        <f t="shared" si="8"/>
        <v>29</v>
      </c>
      <c r="AE303" s="117"/>
      <c r="AF303" s="118">
        <f t="shared" si="9"/>
        <v>30</v>
      </c>
      <c r="AG303" s="4"/>
      <c r="AH303" s="26"/>
      <c r="AI303" s="26"/>
    </row>
    <row r="304">
      <c r="A304" s="120" t="s">
        <v>1917</v>
      </c>
      <c r="B304" s="7" t="s">
        <v>53</v>
      </c>
      <c r="C304" s="95" t="s">
        <v>4249</v>
      </c>
      <c r="D304" s="109" t="s">
        <v>163</v>
      </c>
      <c r="E304" s="97">
        <f t="shared" si="2"/>
        <v>7</v>
      </c>
      <c r="F304" s="97">
        <f t="shared" si="3"/>
        <v>0</v>
      </c>
      <c r="G304" s="99">
        <f t="shared" si="4"/>
        <v>14</v>
      </c>
      <c r="H304" s="121"/>
      <c r="I304" s="122"/>
      <c r="J304" s="123"/>
      <c r="K304" s="124"/>
      <c r="L304" s="125"/>
      <c r="M304" s="181"/>
      <c r="N304" s="126"/>
      <c r="O304" s="127"/>
      <c r="P304" s="13">
        <f t="array" ref="P304">XLOOKUP(B304,Weight!B:B,Weight!D:D,"#N/A",0)</f>
        <v>181</v>
      </c>
      <c r="Q304" s="17">
        <f t="shared" si="6"/>
        <v>2534</v>
      </c>
      <c r="R304" s="107"/>
      <c r="S304" s="108">
        <v>845290.0</v>
      </c>
      <c r="T304" s="108">
        <v>12.0</v>
      </c>
      <c r="U304" s="109">
        <v>55.0</v>
      </c>
      <c r="V304" s="110"/>
      <c r="X304" s="111">
        <f>SUMIFS('Transit Shipment'!$B$10:$B$1048462,'Transit Shipment'!$A$10:$A$1048462,B304,'Transit Shipment'!$C$10:$C$1048462,AA304)</f>
        <v>0</v>
      </c>
      <c r="Y304" s="111">
        <f>IF(SUMIFS(DIH!$S$2:$S833,DIH!$D$2:$D833,B304,DIH!$U$2:$U833,AA304)&gt;0,SUMIFS(DIH!$S$2:$S833,DIH!$D$2:$D833,B304,DIH!$U$2:$U833,AA304),0)</f>
        <v>6</v>
      </c>
      <c r="Z304" s="112">
        <f t="shared" si="7"/>
        <v>6</v>
      </c>
      <c r="AA304" s="119" t="s">
        <v>155</v>
      </c>
      <c r="AB304" s="114" t="str">
        <f>IF(ISNA(VLOOKUP($B304,'Business Report'!$D$2:$J$202,2,0)),"",VLOOKUP($B304,'Business Report'!$D$2:$J$202,2,0))</f>
        <v/>
      </c>
      <c r="AC304" s="115">
        <f>SUMIFS(AFS!$P$2:$P$6260,AFS!$N$2:$N$6260,B304,AFS!$AT$2:$AT$6260,AA304)</f>
        <v>15</v>
      </c>
      <c r="AD304" s="116">
        <f t="shared" si="8"/>
        <v>14</v>
      </c>
      <c r="AE304" s="117"/>
      <c r="AF304" s="118">
        <f t="shared" si="9"/>
        <v>14</v>
      </c>
      <c r="AG304" s="4"/>
      <c r="AH304" s="26"/>
      <c r="AI304" s="26"/>
    </row>
    <row r="305">
      <c r="A305" s="120" t="s">
        <v>1917</v>
      </c>
      <c r="B305" s="7" t="s">
        <v>53</v>
      </c>
      <c r="C305" s="95" t="s">
        <v>4249</v>
      </c>
      <c r="D305" s="109" t="s">
        <v>163</v>
      </c>
      <c r="E305" s="97">
        <f t="shared" si="2"/>
        <v>12</v>
      </c>
      <c r="F305" s="97">
        <f t="shared" si="3"/>
        <v>0.5</v>
      </c>
      <c r="G305" s="99">
        <f t="shared" si="4"/>
        <v>26</v>
      </c>
      <c r="H305" s="121"/>
      <c r="I305" s="122"/>
      <c r="J305" s="123"/>
      <c r="K305" s="124"/>
      <c r="L305" s="125"/>
      <c r="M305" s="181"/>
      <c r="N305" s="126"/>
      <c r="O305" s="127"/>
      <c r="P305" s="13">
        <f t="array" ref="P305">XLOOKUP(B305,Weight!B:B,Weight!D:D,"#N/A",0)</f>
        <v>181</v>
      </c>
      <c r="Q305" s="17">
        <f t="shared" si="6"/>
        <v>4706</v>
      </c>
      <c r="R305" s="107"/>
      <c r="S305" s="108">
        <v>845290.0</v>
      </c>
      <c r="T305" s="108">
        <v>12.0</v>
      </c>
      <c r="U305" s="109">
        <v>55.0</v>
      </c>
      <c r="V305" s="110"/>
      <c r="X305" s="111">
        <f>SUMIFS('Transit Shipment'!$B$10:$B$1048462,'Transit Shipment'!$A$10:$A$1048462,B305,'Transit Shipment'!$C$10:$C$1048462,AA305)</f>
        <v>0</v>
      </c>
      <c r="Y305" s="111">
        <f>IF(SUMIFS(DIH!$S$2:$S833,DIH!$D$2:$D833,B305,DIH!$U$2:$U833,AA305)&gt;0,SUMIFS(DIH!$S$2:$S833,DIH!$D$2:$D833,B305,DIH!$U$2:$U833,AA305),0)</f>
        <v>13</v>
      </c>
      <c r="Z305" s="112">
        <f t="shared" si="7"/>
        <v>13</v>
      </c>
      <c r="AA305" s="119" t="s">
        <v>156</v>
      </c>
      <c r="AB305" s="114" t="str">
        <f>IF(ISNA(VLOOKUP($B305,'Business Report'!$D$2:$J$202,2,0)),"",VLOOKUP($B305,'Business Report'!$D$2:$J$202,2,0))</f>
        <v/>
      </c>
      <c r="AC305" s="115">
        <f>SUMIFS(AFS!$P$2:$P$6260,AFS!$N$2:$N$6260,B305,AFS!$AT$2:$AT$6260,AA305)</f>
        <v>28</v>
      </c>
      <c r="AD305" s="116">
        <f t="shared" si="8"/>
        <v>25</v>
      </c>
      <c r="AE305" s="117"/>
      <c r="AF305" s="118">
        <f t="shared" si="9"/>
        <v>26</v>
      </c>
      <c r="AG305" s="4"/>
      <c r="AH305" s="26"/>
      <c r="AI305" s="26"/>
    </row>
    <row r="306">
      <c r="A306" s="120" t="s">
        <v>1917</v>
      </c>
      <c r="B306" s="7" t="s">
        <v>53</v>
      </c>
      <c r="C306" s="95" t="s">
        <v>4249</v>
      </c>
      <c r="D306" s="109" t="s">
        <v>163</v>
      </c>
      <c r="E306" s="97" t="str">
        <f t="shared" si="2"/>
        <v/>
      </c>
      <c r="F306" s="97" t="str">
        <f t="shared" si="3"/>
        <v/>
      </c>
      <c r="G306" s="99" t="str">
        <f t="shared" si="4"/>
        <v/>
      </c>
      <c r="H306" s="121"/>
      <c r="I306" s="122"/>
      <c r="J306" s="123"/>
      <c r="K306" s="124"/>
      <c r="L306" s="125"/>
      <c r="M306" s="181"/>
      <c r="N306" s="126"/>
      <c r="O306" s="127"/>
      <c r="P306" s="13">
        <f t="array" ref="P306">XLOOKUP(B306,Weight!B:B,Weight!D:D,"#N/A",0)</f>
        <v>181</v>
      </c>
      <c r="Q306" s="17" t="str">
        <f t="shared" si="6"/>
        <v/>
      </c>
      <c r="R306" s="107"/>
      <c r="S306" s="108">
        <v>845290.0</v>
      </c>
      <c r="T306" s="108">
        <v>12.0</v>
      </c>
      <c r="U306" s="109">
        <v>55.0</v>
      </c>
      <c r="V306" s="110"/>
      <c r="X306" s="111">
        <f>SUMIFS('Transit Shipment'!$B$10:$B$1048462,'Transit Shipment'!$A$10:$A$1048462,B306,'Transit Shipment'!$C$10:$C$1048462,AA306)</f>
        <v>0</v>
      </c>
      <c r="Y306" s="111">
        <f>IF(SUMIFS(DIH!$S$2:$S833,DIH!$D$2:$D833,B306,DIH!$U$2:$U833,AA306)&gt;0,SUMIFS(DIH!$S$2:$S833,DIH!$D$2:$D833,B306,DIH!$U$2:$U833,AA306),0)</f>
        <v>4</v>
      </c>
      <c r="Z306" s="112">
        <f t="shared" si="7"/>
        <v>4</v>
      </c>
      <c r="AA306" s="130" t="s">
        <v>13</v>
      </c>
      <c r="AB306" s="114" t="str">
        <f>IF(ISNA(VLOOKUP($B306,'Business Report'!$D$2:$J$202,2,0)),"",VLOOKUP($B306,'Business Report'!$D$2:$J$202,2,0))</f>
        <v/>
      </c>
      <c r="AC306" s="115">
        <f>SUMIFS(AFS!$P$2:$P$6260,AFS!$N$2:$N$6260,B306,AFS!$AT$2:$AT$6260,AA306)</f>
        <v>2</v>
      </c>
      <c r="AD306" s="116">
        <f t="shared" si="8"/>
        <v>-1</v>
      </c>
      <c r="AE306" s="117"/>
      <c r="AF306" s="118" t="str">
        <f t="shared" si="9"/>
        <v/>
      </c>
      <c r="AG306" s="251"/>
      <c r="AH306" s="26"/>
      <c r="AI306" s="26"/>
    </row>
    <row r="307">
      <c r="A307" s="120" t="s">
        <v>1917</v>
      </c>
      <c r="B307" s="7" t="s">
        <v>53</v>
      </c>
      <c r="C307" s="95" t="s">
        <v>4249</v>
      </c>
      <c r="D307" s="109" t="s">
        <v>163</v>
      </c>
      <c r="E307" s="97" t="str">
        <f t="shared" si="2"/>
        <v/>
      </c>
      <c r="F307" s="97" t="str">
        <f t="shared" si="3"/>
        <v/>
      </c>
      <c r="G307" s="99" t="str">
        <f t="shared" si="4"/>
        <v/>
      </c>
      <c r="H307" s="121"/>
      <c r="I307" s="122"/>
      <c r="J307" s="123"/>
      <c r="K307" s="124"/>
      <c r="L307" s="125"/>
      <c r="M307" s="181"/>
      <c r="N307" s="126"/>
      <c r="O307" s="127"/>
      <c r="P307" s="13">
        <f t="array" ref="P307">XLOOKUP(B307,Weight!B:B,Weight!D:D,"#N/A",0)</f>
        <v>181</v>
      </c>
      <c r="Q307" s="17" t="str">
        <f t="shared" si="6"/>
        <v/>
      </c>
      <c r="R307" s="107"/>
      <c r="S307" s="108">
        <v>845290.0</v>
      </c>
      <c r="T307" s="108">
        <v>12.0</v>
      </c>
      <c r="U307" s="109">
        <v>55.0</v>
      </c>
      <c r="V307" s="110"/>
      <c r="X307" s="111">
        <f>SUMIFS('Transit Shipment'!$B$10:$B$1048462,'Transit Shipment'!$A$10:$A$1048462,B307,'Transit Shipment'!$C$10:$C$1048462,AA307)</f>
        <v>0</v>
      </c>
      <c r="Y307" s="111">
        <f>IF(SUMIFS(DIH!$S$2:$S833,DIH!$D$2:$D833,B307,DIH!$U$2:$U833,AA307)&gt;0,SUMIFS(DIH!$S$2:$S833,DIH!$D$2:$D833,B307,DIH!$U$2:$U833,AA307),0)</f>
        <v>8</v>
      </c>
      <c r="Z307" s="112">
        <f t="shared" si="7"/>
        <v>8</v>
      </c>
      <c r="AA307" s="119" t="s">
        <v>14</v>
      </c>
      <c r="AB307" s="114" t="str">
        <f>IF(ISNA(VLOOKUP($B307,'Business Report'!$D$2:$J$202,2,0)),"",VLOOKUP($B307,'Business Report'!$D$2:$J$202,2,0))</f>
        <v/>
      </c>
      <c r="AC307" s="115">
        <f>SUMIFS(AFS!$P$2:$P$6260,AFS!$N$2:$N$6260,B307,AFS!$AT$2:$AT$6260,AA307)</f>
        <v>2</v>
      </c>
      <c r="AD307" s="116">
        <f t="shared" si="8"/>
        <v>-5</v>
      </c>
      <c r="AE307" s="117"/>
      <c r="AF307" s="118" t="str">
        <f t="shared" si="9"/>
        <v/>
      </c>
      <c r="AG307" s="26"/>
      <c r="AH307" s="26"/>
      <c r="AI307" s="26"/>
    </row>
    <row r="308">
      <c r="A308" s="120" t="s">
        <v>1917</v>
      </c>
      <c r="B308" s="7" t="s">
        <v>53</v>
      </c>
      <c r="C308" s="95" t="s">
        <v>4249</v>
      </c>
      <c r="D308" s="109" t="s">
        <v>163</v>
      </c>
      <c r="E308" s="97">
        <f t="shared" si="2"/>
        <v>2</v>
      </c>
      <c r="F308" s="97">
        <f t="shared" si="3"/>
        <v>0.5</v>
      </c>
      <c r="G308" s="99">
        <f t="shared" si="4"/>
        <v>6</v>
      </c>
      <c r="H308" s="121"/>
      <c r="I308" s="122"/>
      <c r="J308" s="123"/>
      <c r="K308" s="124"/>
      <c r="L308" s="125"/>
      <c r="M308" s="181"/>
      <c r="N308" s="126"/>
      <c r="O308" s="127"/>
      <c r="P308" s="13">
        <f t="array" ref="P308">XLOOKUP(B308,Weight!B:B,Weight!D:D,"#N/A",0)</f>
        <v>181</v>
      </c>
      <c r="Q308" s="17">
        <f t="shared" si="6"/>
        <v>1086</v>
      </c>
      <c r="R308" s="107"/>
      <c r="S308" s="108">
        <v>845290.0</v>
      </c>
      <c r="T308" s="108">
        <v>12.0</v>
      </c>
      <c r="U308" s="109">
        <v>55.0</v>
      </c>
      <c r="V308" s="110"/>
      <c r="X308" s="111">
        <f>SUMIFS('Transit Shipment'!$B$10:$B$1048462,'Transit Shipment'!$A$10:$A$1048462,B308,'Transit Shipment'!$C$10:$C$1048462,AA308)</f>
        <v>0</v>
      </c>
      <c r="Y308" s="111">
        <f>IF(SUMIFS(DIH!$S$2:$S833,DIH!$D$2:$D833,B308,DIH!$U$2:$U833,AA308)&gt;0,SUMIFS(DIH!$S$2:$S833,DIH!$D$2:$D833,B308,DIH!$U$2:$U833,AA308),0)</f>
        <v>1</v>
      </c>
      <c r="Z308" s="112">
        <f t="shared" si="7"/>
        <v>1</v>
      </c>
      <c r="AA308" s="131" t="s">
        <v>16</v>
      </c>
      <c r="AB308" s="114" t="str">
        <f>IF(ISNA(VLOOKUP($B308,'Business Report'!$D$2:$J$202,2,0)),"",VLOOKUP($B308,'Business Report'!$D$2:$J$202,2,0))</f>
        <v/>
      </c>
      <c r="AC308" s="115">
        <f>SUMIFS(AFS!$P$2:$P$6260,AFS!$N$2:$N$6260,B308,AFS!$AT$2:$AT$6260,AA308)</f>
        <v>4</v>
      </c>
      <c r="AD308" s="116">
        <f t="shared" si="8"/>
        <v>5</v>
      </c>
      <c r="AE308" s="117"/>
      <c r="AF308" s="118">
        <f t="shared" si="9"/>
        <v>6</v>
      </c>
      <c r="AG308" s="26"/>
      <c r="AH308" s="26"/>
      <c r="AI308" s="26"/>
    </row>
    <row r="309">
      <c r="A309" s="132" t="s">
        <v>1917</v>
      </c>
      <c r="B309" s="15" t="s">
        <v>53</v>
      </c>
      <c r="C309" s="133" t="s">
        <v>4249</v>
      </c>
      <c r="D309" s="109" t="s">
        <v>163</v>
      </c>
      <c r="E309" s="135">
        <f t="shared" si="2"/>
        <v>1</v>
      </c>
      <c r="F309" s="135">
        <f t="shared" si="3"/>
        <v>0</v>
      </c>
      <c r="G309" s="136" t="str">
        <f t="shared" si="4"/>
        <v/>
      </c>
      <c r="H309" s="137"/>
      <c r="I309" s="138"/>
      <c r="J309" s="139"/>
      <c r="K309" s="140"/>
      <c r="L309" s="135"/>
      <c r="M309" s="152"/>
      <c r="N309" s="142"/>
      <c r="O309" s="143"/>
      <c r="P309" s="144">
        <f t="array" ref="P309">XLOOKUP(B309,Weight!B:B,Weight!D:D,"#N/A",0)</f>
        <v>181</v>
      </c>
      <c r="Q309" s="145" t="str">
        <f t="shared" si="6"/>
        <v/>
      </c>
      <c r="R309" s="146"/>
      <c r="S309" s="147">
        <v>845290.0</v>
      </c>
      <c r="T309" s="147">
        <v>12.0</v>
      </c>
      <c r="U309" s="109">
        <v>55.0</v>
      </c>
      <c r="V309" s="148"/>
      <c r="W309" s="149"/>
      <c r="X309" s="150">
        <f>SUMIFS('Transit Shipment'!$B$10:$B$1048462,'Transit Shipment'!$A$10:$A$1048462,B309,'Transit Shipment'!$C$10:$C$1048462,AA309)</f>
        <v>0</v>
      </c>
      <c r="Y309" s="150">
        <f>IF(SUMIFS(DIH!$S$2:$S833,DIH!$D$2:$D833,B309,DIH!$U$2:$U833,AA309)&gt;0,SUMIFS(DIH!$S$2:$S833,DIH!$D$2:$D833,B309,DIH!$U$2:$U833,AA309),0)</f>
        <v>2</v>
      </c>
      <c r="Z309" s="151">
        <f t="shared" si="7"/>
        <v>2</v>
      </c>
      <c r="AA309" s="152" t="s">
        <v>17</v>
      </c>
      <c r="AB309" s="154" t="str">
        <f>IF(ISNA(VLOOKUP($B309,'Business Report'!$D$2:$J$202,2,0)),"",VLOOKUP($B309,'Business Report'!$D$2:$J$202,2,0))</f>
        <v/>
      </c>
      <c r="AC309" s="155">
        <f>SUMIFS(AFS!$P$2:$P$6260,AFS!$N$2:$N$6260,B309,AFS!$AT$2:$AT$6260,AA309)</f>
        <v>1</v>
      </c>
      <c r="AD309" s="156">
        <f t="shared" si="8"/>
        <v>0</v>
      </c>
      <c r="AE309" s="159">
        <f>SUM(AD301:AD309)</f>
        <v>77</v>
      </c>
      <c r="AF309" s="118" t="str">
        <f t="shared" si="9"/>
        <v/>
      </c>
      <c r="AG309" s="26"/>
      <c r="AH309" s="26"/>
      <c r="AI309" s="26"/>
    </row>
    <row r="310">
      <c r="A310" s="66" t="s">
        <v>4388</v>
      </c>
      <c r="B310" s="1" t="s">
        <v>54</v>
      </c>
      <c r="C310" s="95" t="s">
        <v>4389</v>
      </c>
      <c r="D310" s="68" t="s">
        <v>168</v>
      </c>
      <c r="E310" s="69">
        <f t="shared" si="2"/>
        <v>2</v>
      </c>
      <c r="F310" s="69">
        <f t="shared" si="3"/>
        <v>0</v>
      </c>
      <c r="G310" s="70">
        <f t="shared" si="4"/>
        <v>4</v>
      </c>
      <c r="H310" s="163"/>
      <c r="I310" s="101"/>
      <c r="J310" s="102"/>
      <c r="K310" s="167"/>
      <c r="L310" s="119"/>
      <c r="M310" s="169"/>
      <c r="N310" s="171"/>
      <c r="O310" s="106"/>
      <c r="P310" s="79">
        <f t="array" ref="P310">XLOOKUP(B310,Weight!B:B,Weight!D:D,"#N/A",0)</f>
        <v>85</v>
      </c>
      <c r="Q310" s="80">
        <f t="shared" si="6"/>
        <v>340</v>
      </c>
      <c r="R310" s="107"/>
      <c r="S310" s="108">
        <v>560313.0</v>
      </c>
      <c r="T310" s="108">
        <v>12.0</v>
      </c>
      <c r="U310" s="83">
        <v>30.0</v>
      </c>
      <c r="V310" s="84" t="str">
        <f t="shared" ref="V310:W310" si="62">B310</f>
        <v>CRM_NW_BLACK_DC</v>
      </c>
      <c r="W310" s="174" t="str">
        <f t="shared" si="62"/>
        <v>CRASOME Water Dispenser Bottle Dust Cover, Durable Fabric Dust Proof Cover for 20L Water Bottle (Black)</v>
      </c>
      <c r="X310" s="86">
        <f>SUMIFS('Transit Shipment'!$B$10:$B$1048462,'Transit Shipment'!$A$10:$A$1048462,B310,'Transit Shipment'!$C$10:$C$1048462,AA310)</f>
        <v>0</v>
      </c>
      <c r="Y310" s="86">
        <f>IF(SUMIFS(DIH!$S$2:$S833,DIH!$D$2:$D833,B310,DIH!$U$2:$U833,AA310)&gt;0,SUMIFS(DIH!$S$2:$S833,DIH!$D$2:$D833,B310,DIH!$U$2:$U833,AA310),0)</f>
        <v>0</v>
      </c>
      <c r="Z310" s="87">
        <f t="shared" si="7"/>
        <v>0</v>
      </c>
      <c r="AA310" s="88" t="s">
        <v>5</v>
      </c>
      <c r="AB310" s="89">
        <f>IF(ISNA(VLOOKUP($B310,'Business Report'!$D$2:$J$202,2,0)),"",VLOOKUP($B310,'Business Report'!$D$2:$J$202,2,0))</f>
        <v>36</v>
      </c>
      <c r="AC310" s="90">
        <f>SUMIFS(AFS!$P$2:$P$6260,AFS!$N$2:$N$6260,B310,AFS!$AT$2:$AT$6260,AA310)</f>
        <v>3</v>
      </c>
      <c r="AD310" s="91">
        <f t="shared" si="8"/>
        <v>4</v>
      </c>
      <c r="AE310" s="92"/>
      <c r="AF310" s="93">
        <f t="shared" si="9"/>
        <v>4</v>
      </c>
      <c r="AG310" s="26"/>
      <c r="AH310" s="26"/>
      <c r="AI310" s="26"/>
    </row>
    <row r="311">
      <c r="A311" s="94" t="s">
        <v>4388</v>
      </c>
      <c r="B311" s="3" t="s">
        <v>54</v>
      </c>
      <c r="C311" s="95" t="s">
        <v>4389</v>
      </c>
      <c r="D311" s="96" t="s">
        <v>168</v>
      </c>
      <c r="E311" s="97">
        <f t="shared" si="2"/>
        <v>3</v>
      </c>
      <c r="F311" s="97">
        <f t="shared" si="3"/>
        <v>0.5</v>
      </c>
      <c r="G311" s="99">
        <f t="shared" si="4"/>
        <v>8</v>
      </c>
      <c r="H311" s="100"/>
      <c r="I311" s="101"/>
      <c r="J311" s="102"/>
      <c r="K311" s="103"/>
      <c r="L311" s="97"/>
      <c r="M311" s="169"/>
      <c r="N311" s="105"/>
      <c r="O311" s="106"/>
      <c r="P311" s="13">
        <f t="array" ref="P311">XLOOKUP(B311,Weight!B:B,Weight!D:D,"#N/A",0)</f>
        <v>85</v>
      </c>
      <c r="Q311" s="17">
        <f t="shared" si="6"/>
        <v>680</v>
      </c>
      <c r="R311" s="107"/>
      <c r="S311" s="108">
        <v>560313.0</v>
      </c>
      <c r="T311" s="108">
        <v>12.0</v>
      </c>
      <c r="U311" s="109">
        <v>30.0</v>
      </c>
      <c r="V311" s="110"/>
      <c r="X311" s="111">
        <f>SUMIFS('Transit Shipment'!$B$10:$B$1048462,'Transit Shipment'!$A$10:$A$1048462,B311,'Transit Shipment'!$C$10:$C$1048462,AA311)</f>
        <v>0</v>
      </c>
      <c r="Y311" s="111">
        <f>IF(SUMIFS(DIH!$S$2:$S833,DIH!$D$2:$D833,B311,DIH!$U$2:$U833,AA311)&gt;0,SUMIFS(DIH!$S$2:$S833,DIH!$D$2:$D833,B311,DIH!$U$2:$U833,AA311),0)</f>
        <v>7</v>
      </c>
      <c r="Z311" s="112">
        <f t="shared" si="7"/>
        <v>7</v>
      </c>
      <c r="AA311" s="113" t="s">
        <v>11</v>
      </c>
      <c r="AB311" s="114">
        <f>IF(ISNA(VLOOKUP($B311,'Business Report'!$D$2:$J$202,2,0)),"",VLOOKUP($B311,'Business Report'!$D$2:$J$202,2,0))</f>
        <v>36</v>
      </c>
      <c r="AC311" s="115">
        <f>SUMIFS(AFS!$P$2:$P$6260,AFS!$N$2:$N$6260,B311,AFS!$AT$2:$AT$6260,AA311)</f>
        <v>10</v>
      </c>
      <c r="AD311" s="116">
        <f t="shared" si="8"/>
        <v>7</v>
      </c>
      <c r="AE311" s="117"/>
      <c r="AF311" s="118">
        <f t="shared" si="9"/>
        <v>8</v>
      </c>
      <c r="AG311" s="26"/>
      <c r="AH311" s="26"/>
      <c r="AI311" s="26"/>
    </row>
    <row r="312">
      <c r="A312" s="94" t="s">
        <v>4388</v>
      </c>
      <c r="B312" s="3" t="s">
        <v>54</v>
      </c>
      <c r="C312" s="95" t="s">
        <v>4389</v>
      </c>
      <c r="D312" s="96" t="s">
        <v>168</v>
      </c>
      <c r="E312" s="97">
        <f t="shared" si="2"/>
        <v>3</v>
      </c>
      <c r="F312" s="97">
        <f t="shared" si="3"/>
        <v>0</v>
      </c>
      <c r="G312" s="99">
        <f t="shared" si="4"/>
        <v>6</v>
      </c>
      <c r="H312" s="100"/>
      <c r="I312" s="101"/>
      <c r="J312" s="102"/>
      <c r="K312" s="103"/>
      <c r="L312" s="97"/>
      <c r="M312" s="169"/>
      <c r="N312" s="105"/>
      <c r="O312" s="106"/>
      <c r="P312" s="13">
        <f t="array" ref="P312">XLOOKUP(B312,Weight!B:B,Weight!D:D,"#N/A",0)</f>
        <v>85</v>
      </c>
      <c r="Q312" s="17">
        <f t="shared" si="6"/>
        <v>510</v>
      </c>
      <c r="R312" s="107"/>
      <c r="S312" s="108">
        <v>560313.0</v>
      </c>
      <c r="T312" s="108">
        <v>12.0</v>
      </c>
      <c r="U312" s="109">
        <v>30.0</v>
      </c>
      <c r="V312" s="110"/>
      <c r="X312" s="111">
        <f>SUMIFS('Transit Shipment'!$B$10:$B$1048462,'Transit Shipment'!$A$10:$A$1048462,B312,'Transit Shipment'!$C$10:$C$1048462,AA312)</f>
        <v>0</v>
      </c>
      <c r="Y312" s="111">
        <f>IF(SUMIFS(DIH!$S$2:$S833,DIH!$D$2:$D833,B312,DIH!$U$2:$U833,AA312)&gt;0,SUMIFS(DIH!$S$2:$S833,DIH!$D$2:$D833,B312,DIH!$U$2:$U833,AA312),0)</f>
        <v>2</v>
      </c>
      <c r="Z312" s="112">
        <f t="shared" si="7"/>
        <v>2</v>
      </c>
      <c r="AA312" s="119" t="s">
        <v>9</v>
      </c>
      <c r="AB312" s="114">
        <f>IF(ISNA(VLOOKUP($B312,'Business Report'!$D$2:$J$202,2,0)),"",VLOOKUP($B312,'Business Report'!$D$2:$J$202,2,0))</f>
        <v>36</v>
      </c>
      <c r="AC312" s="115">
        <f>SUMIFS(AFS!$P$2:$P$6260,AFS!$N$2:$N$6260,B312,AFS!$AT$2:$AT$6260,AA312)</f>
        <v>6</v>
      </c>
      <c r="AD312" s="116">
        <f t="shared" si="8"/>
        <v>6</v>
      </c>
      <c r="AE312" s="117"/>
      <c r="AF312" s="118">
        <f t="shared" si="9"/>
        <v>6</v>
      </c>
      <c r="AG312" s="26"/>
      <c r="AH312" s="26"/>
      <c r="AI312" s="26"/>
    </row>
    <row r="313">
      <c r="A313" s="120" t="s">
        <v>4388</v>
      </c>
      <c r="B313" s="7" t="s">
        <v>54</v>
      </c>
      <c r="C313" s="95" t="s">
        <v>4389</v>
      </c>
      <c r="D313" s="109" t="s">
        <v>168</v>
      </c>
      <c r="E313" s="97">
        <f t="shared" si="2"/>
        <v>1</v>
      </c>
      <c r="F313" s="97">
        <f t="shared" si="3"/>
        <v>0.5</v>
      </c>
      <c r="G313" s="99">
        <f t="shared" si="4"/>
        <v>4</v>
      </c>
      <c r="H313" s="121"/>
      <c r="I313" s="122"/>
      <c r="J313" s="123"/>
      <c r="K313" s="124"/>
      <c r="L313" s="125"/>
      <c r="M313" s="181"/>
      <c r="N313" s="126"/>
      <c r="O313" s="127"/>
      <c r="P313" s="13">
        <f t="array" ref="P313">XLOOKUP(B313,Weight!B:B,Weight!D:D,"#N/A",0)</f>
        <v>85</v>
      </c>
      <c r="Q313" s="17">
        <f t="shared" si="6"/>
        <v>340</v>
      </c>
      <c r="R313" s="107"/>
      <c r="S313" s="108">
        <v>560313.0</v>
      </c>
      <c r="T313" s="108">
        <v>12.0</v>
      </c>
      <c r="U313" s="109">
        <v>30.0</v>
      </c>
      <c r="V313" s="110"/>
      <c r="X313" s="111">
        <f>SUMIFS('Transit Shipment'!$B$10:$B$1048462,'Transit Shipment'!$A$10:$A$1048462,B313,'Transit Shipment'!$C$10:$C$1048462,AA313)</f>
        <v>0</v>
      </c>
      <c r="Y313" s="111">
        <f>IF(SUMIFS(DIH!$S$2:$S833,DIH!$D$2:$D833,B313,DIH!$U$2:$U833,AA313)&gt;0,SUMIFS(DIH!$S$2:$S833,DIH!$D$2:$D833,B313,DIH!$U$2:$U833,AA313),0)</f>
        <v>9</v>
      </c>
      <c r="Z313" s="112">
        <f t="shared" si="7"/>
        <v>9</v>
      </c>
      <c r="AA313" s="119" t="s">
        <v>155</v>
      </c>
      <c r="AB313" s="114">
        <f>IF(ISNA(VLOOKUP($B313,'Business Report'!$D$2:$J$202,2,0)),"",VLOOKUP($B313,'Business Report'!$D$2:$J$202,2,0))</f>
        <v>36</v>
      </c>
      <c r="AC313" s="115">
        <f>SUMIFS(AFS!$P$2:$P$6260,AFS!$N$2:$N$6260,B313,AFS!$AT$2:$AT$6260,AA313)</f>
        <v>9</v>
      </c>
      <c r="AD313" s="116">
        <f t="shared" si="8"/>
        <v>3</v>
      </c>
      <c r="AE313" s="117"/>
      <c r="AF313" s="118">
        <f t="shared" si="9"/>
        <v>4</v>
      </c>
      <c r="AG313" s="26"/>
      <c r="AH313" s="26"/>
      <c r="AI313" s="26"/>
    </row>
    <row r="314">
      <c r="A314" s="120" t="s">
        <v>4388</v>
      </c>
      <c r="B314" s="7" t="s">
        <v>54</v>
      </c>
      <c r="C314" s="95" t="s">
        <v>4389</v>
      </c>
      <c r="D314" s="109" t="s">
        <v>168</v>
      </c>
      <c r="E314" s="97">
        <f t="shared" si="2"/>
        <v>2</v>
      </c>
      <c r="F314" s="97">
        <f t="shared" si="3"/>
        <v>0.5</v>
      </c>
      <c r="G314" s="99">
        <f t="shared" si="4"/>
        <v>6</v>
      </c>
      <c r="H314" s="121"/>
      <c r="I314" s="122"/>
      <c r="J314" s="123"/>
      <c r="K314" s="124"/>
      <c r="L314" s="125"/>
      <c r="M314" s="181"/>
      <c r="N314" s="126"/>
      <c r="O314" s="127"/>
      <c r="P314" s="13">
        <f t="array" ref="P314">XLOOKUP(B314,Weight!B:B,Weight!D:D,"#N/A",0)</f>
        <v>85</v>
      </c>
      <c r="Q314" s="17">
        <f t="shared" si="6"/>
        <v>510</v>
      </c>
      <c r="R314" s="107"/>
      <c r="S314" s="108">
        <v>560313.0</v>
      </c>
      <c r="T314" s="108">
        <v>12.0</v>
      </c>
      <c r="U314" s="109">
        <v>30.0</v>
      </c>
      <c r="V314" s="110"/>
      <c r="X314" s="111">
        <f>SUMIFS('Transit Shipment'!$B$10:$B$1048462,'Transit Shipment'!$A$10:$A$1048462,B314,'Transit Shipment'!$C$10:$C$1048462,AA314)</f>
        <v>0</v>
      </c>
      <c r="Y314" s="111">
        <f>IF(SUMIFS(DIH!$S$2:$S833,DIH!$D$2:$D833,B314,DIH!$U$2:$U833,AA314)&gt;0,SUMIFS(DIH!$S$2:$S833,DIH!$D$2:$D833,B314,DIH!$U$2:$U833,AA314),0)</f>
        <v>10</v>
      </c>
      <c r="Z314" s="112">
        <f t="shared" si="7"/>
        <v>10</v>
      </c>
      <c r="AA314" s="119" t="s">
        <v>156</v>
      </c>
      <c r="AB314" s="114">
        <f>IF(ISNA(VLOOKUP($B314,'Business Report'!$D$2:$J$202,2,0)),"",VLOOKUP($B314,'Business Report'!$D$2:$J$202,2,0))</f>
        <v>36</v>
      </c>
      <c r="AC314" s="115">
        <f>SUMIFS(AFS!$P$2:$P$6260,AFS!$N$2:$N$6260,B314,AFS!$AT$2:$AT$6260,AA314)</f>
        <v>11</v>
      </c>
      <c r="AD314" s="116">
        <f t="shared" si="8"/>
        <v>5</v>
      </c>
      <c r="AE314" s="117"/>
      <c r="AF314" s="118">
        <f t="shared" si="9"/>
        <v>6</v>
      </c>
      <c r="AG314" s="26"/>
      <c r="AH314" s="26"/>
      <c r="AI314" s="26"/>
    </row>
    <row r="315">
      <c r="A315" s="120" t="s">
        <v>4388</v>
      </c>
      <c r="B315" s="7" t="s">
        <v>54</v>
      </c>
      <c r="C315" s="95" t="s">
        <v>4389</v>
      </c>
      <c r="D315" s="109" t="s">
        <v>168</v>
      </c>
      <c r="E315" s="97">
        <f t="shared" si="2"/>
        <v>5</v>
      </c>
      <c r="F315" s="97">
        <f t="shared" si="3"/>
        <v>0.5</v>
      </c>
      <c r="G315" s="99">
        <f t="shared" si="4"/>
        <v>12</v>
      </c>
      <c r="H315" s="121"/>
      <c r="I315" s="122"/>
      <c r="J315" s="123"/>
      <c r="K315" s="124"/>
      <c r="L315" s="125"/>
      <c r="M315" s="181"/>
      <c r="N315" s="126"/>
      <c r="O315" s="127"/>
      <c r="P315" s="13">
        <f t="array" ref="P315">XLOOKUP(B315,Weight!B:B,Weight!D:D,"#N/A",0)</f>
        <v>85</v>
      </c>
      <c r="Q315" s="17">
        <f t="shared" si="6"/>
        <v>1020</v>
      </c>
      <c r="R315" s="107"/>
      <c r="S315" s="108">
        <v>560313.0</v>
      </c>
      <c r="T315" s="108">
        <v>12.0</v>
      </c>
      <c r="U315" s="109">
        <v>30.0</v>
      </c>
      <c r="V315" s="110"/>
      <c r="X315" s="111">
        <f>SUMIFS('Transit Shipment'!$B$10:$B$1048462,'Transit Shipment'!$A$10:$A$1048462,B315,'Transit Shipment'!$C$10:$C$1048462,AA315)</f>
        <v>0</v>
      </c>
      <c r="Y315" s="111">
        <f>IF(SUMIFS(DIH!$S$2:$S833,DIH!$D$2:$D833,B315,DIH!$U$2:$U833,AA315)&gt;0,SUMIFS(DIH!$S$2:$S833,DIH!$D$2:$D833,B315,DIH!$U$2:$U833,AA315),0)</f>
        <v>1</v>
      </c>
      <c r="Z315" s="112">
        <f t="shared" si="7"/>
        <v>1</v>
      </c>
      <c r="AA315" s="130" t="s">
        <v>13</v>
      </c>
      <c r="AB315" s="114">
        <f>IF(ISNA(VLOOKUP($B315,'Business Report'!$D$2:$J$202,2,0)),"",VLOOKUP($B315,'Business Report'!$D$2:$J$202,2,0))</f>
        <v>36</v>
      </c>
      <c r="AC315" s="115">
        <f>SUMIFS(AFS!$P$2:$P$6260,AFS!$N$2:$N$6260,B315,AFS!$AT$2:$AT$6260,AA315)</f>
        <v>9</v>
      </c>
      <c r="AD315" s="116">
        <f t="shared" si="8"/>
        <v>11</v>
      </c>
      <c r="AE315" s="117"/>
      <c r="AF315" s="118">
        <f t="shared" si="9"/>
        <v>12</v>
      </c>
      <c r="AG315" s="26"/>
      <c r="AH315" s="26"/>
      <c r="AI315" s="26"/>
    </row>
    <row r="316">
      <c r="A316" s="120" t="s">
        <v>4388</v>
      </c>
      <c r="B316" s="7" t="s">
        <v>54</v>
      </c>
      <c r="C316" s="95" t="s">
        <v>4389</v>
      </c>
      <c r="D316" s="109" t="s">
        <v>168</v>
      </c>
      <c r="E316" s="97">
        <f t="shared" si="2"/>
        <v>3</v>
      </c>
      <c r="F316" s="97">
        <f t="shared" si="3"/>
        <v>0</v>
      </c>
      <c r="G316" s="99">
        <f t="shared" si="4"/>
        <v>6</v>
      </c>
      <c r="H316" s="121"/>
      <c r="I316" s="122"/>
      <c r="J316" s="123"/>
      <c r="K316" s="124"/>
      <c r="L316" s="125"/>
      <c r="M316" s="181"/>
      <c r="N316" s="126"/>
      <c r="O316" s="127"/>
      <c r="P316" s="13">
        <f t="array" ref="P316">XLOOKUP(B316,Weight!B:B,Weight!D:D,"#N/A",0)</f>
        <v>85</v>
      </c>
      <c r="Q316" s="17">
        <f t="shared" si="6"/>
        <v>510</v>
      </c>
      <c r="R316" s="107"/>
      <c r="S316" s="108">
        <v>560313.0</v>
      </c>
      <c r="T316" s="108">
        <v>12.0</v>
      </c>
      <c r="U316" s="109">
        <v>30.0</v>
      </c>
      <c r="V316" s="110"/>
      <c r="X316" s="111">
        <f>SUMIFS('Transit Shipment'!$B$10:$B$1048462,'Transit Shipment'!$A$10:$A$1048462,B316,'Transit Shipment'!$C$10:$C$1048462,AA316)</f>
        <v>0</v>
      </c>
      <c r="Y316" s="111">
        <f>IF(SUMIFS(DIH!$S$2:$S833,DIH!$D$2:$D833,B316,DIH!$U$2:$U833,AA316)&gt;0,SUMIFS(DIH!$S$2:$S833,DIH!$D$2:$D833,B316,DIH!$U$2:$U833,AA316),0)</f>
        <v>2</v>
      </c>
      <c r="Z316" s="112">
        <f t="shared" si="7"/>
        <v>2</v>
      </c>
      <c r="AA316" s="119" t="s">
        <v>14</v>
      </c>
      <c r="AB316" s="114">
        <f>IF(ISNA(VLOOKUP($B316,'Business Report'!$D$2:$J$202,2,0)),"",VLOOKUP($B316,'Business Report'!$D$2:$J$202,2,0))</f>
        <v>36</v>
      </c>
      <c r="AC316" s="115">
        <f>SUMIFS(AFS!$P$2:$P$6260,AFS!$N$2:$N$6260,B316,AFS!$AT$2:$AT$6260,AA316)</f>
        <v>6</v>
      </c>
      <c r="AD316" s="116">
        <f t="shared" si="8"/>
        <v>6</v>
      </c>
      <c r="AE316" s="117"/>
      <c r="AF316" s="118">
        <f t="shared" si="9"/>
        <v>6</v>
      </c>
      <c r="AG316" s="26"/>
      <c r="AH316" s="26"/>
      <c r="AI316" s="26"/>
    </row>
    <row r="317">
      <c r="A317" s="120" t="s">
        <v>4388</v>
      </c>
      <c r="B317" s="7" t="s">
        <v>54</v>
      </c>
      <c r="C317" s="95" t="s">
        <v>4389</v>
      </c>
      <c r="D317" s="109" t="s">
        <v>168</v>
      </c>
      <c r="E317" s="97">
        <f t="shared" si="2"/>
        <v>1</v>
      </c>
      <c r="F317" s="97">
        <f t="shared" si="3"/>
        <v>0</v>
      </c>
      <c r="G317" s="99">
        <f t="shared" si="4"/>
        <v>2</v>
      </c>
      <c r="H317" s="121"/>
      <c r="I317" s="122"/>
      <c r="J317" s="123"/>
      <c r="K317" s="124"/>
      <c r="L317" s="125"/>
      <c r="M317" s="181"/>
      <c r="N317" s="126"/>
      <c r="O317" s="127"/>
      <c r="P317" s="13">
        <f t="array" ref="P317">XLOOKUP(B317,Weight!B:B,Weight!D:D,"#N/A",0)</f>
        <v>85</v>
      </c>
      <c r="Q317" s="17">
        <f t="shared" si="6"/>
        <v>170</v>
      </c>
      <c r="R317" s="107"/>
      <c r="S317" s="108">
        <v>560313.0</v>
      </c>
      <c r="T317" s="108">
        <v>12.0</v>
      </c>
      <c r="U317" s="109">
        <v>30.0</v>
      </c>
      <c r="V317" s="110"/>
      <c r="X317" s="111">
        <f>SUMIFS('Transit Shipment'!$B$10:$B$1048462,'Transit Shipment'!$A$10:$A$1048462,B317,'Transit Shipment'!$C$10:$C$1048462,AA317)</f>
        <v>0</v>
      </c>
      <c r="Y317" s="111">
        <f>IF(SUMIFS(DIH!$S$2:$S833,DIH!$D$2:$D833,B317,DIH!$U$2:$U833,AA317)&gt;0,SUMIFS(DIH!$S$2:$S833,DIH!$D$2:$D833,B317,DIH!$U$2:$U833,AA317),0)</f>
        <v>4</v>
      </c>
      <c r="Z317" s="112">
        <f t="shared" si="7"/>
        <v>4</v>
      </c>
      <c r="AA317" s="131" t="s">
        <v>16</v>
      </c>
      <c r="AB317" s="114">
        <f>IF(ISNA(VLOOKUP($B317,'Business Report'!$D$2:$J$202,2,0)),"",VLOOKUP($B317,'Business Report'!$D$2:$J$202,2,0))</f>
        <v>36</v>
      </c>
      <c r="AC317" s="115">
        <f>SUMIFS(AFS!$P$2:$P$6260,AFS!$N$2:$N$6260,B317,AFS!$AT$2:$AT$6260,AA317)</f>
        <v>4</v>
      </c>
      <c r="AD317" s="116">
        <f t="shared" si="8"/>
        <v>2</v>
      </c>
      <c r="AE317" s="117"/>
      <c r="AF317" s="118">
        <f t="shared" si="9"/>
        <v>2</v>
      </c>
      <c r="AG317" s="26"/>
      <c r="AH317" s="26"/>
      <c r="AI317" s="26"/>
    </row>
    <row r="318">
      <c r="A318" s="132" t="s">
        <v>4388</v>
      </c>
      <c r="B318" s="15" t="s">
        <v>54</v>
      </c>
      <c r="C318" s="133" t="s">
        <v>4389</v>
      </c>
      <c r="D318" s="134" t="s">
        <v>168</v>
      </c>
      <c r="E318" s="135">
        <f t="shared" si="2"/>
        <v>2</v>
      </c>
      <c r="F318" s="135">
        <f t="shared" si="3"/>
        <v>0.5</v>
      </c>
      <c r="G318" s="136">
        <f t="shared" si="4"/>
        <v>6</v>
      </c>
      <c r="H318" s="137"/>
      <c r="I318" s="138"/>
      <c r="J318" s="139"/>
      <c r="K318" s="140"/>
      <c r="L318" s="135"/>
      <c r="M318" s="152"/>
      <c r="N318" s="142"/>
      <c r="O318" s="143"/>
      <c r="P318" s="144">
        <f t="array" ref="P318">XLOOKUP(B318,Weight!B:B,Weight!D:D,"#N/A",0)</f>
        <v>85</v>
      </c>
      <c r="Q318" s="145">
        <f t="shared" si="6"/>
        <v>510</v>
      </c>
      <c r="R318" s="146"/>
      <c r="S318" s="147">
        <v>560313.0</v>
      </c>
      <c r="T318" s="147">
        <v>12.0</v>
      </c>
      <c r="U318" s="109">
        <v>30.0</v>
      </c>
      <c r="V318" s="148"/>
      <c r="W318" s="149"/>
      <c r="X318" s="150">
        <f>SUMIFS('Transit Shipment'!$B$10:$B$1048462,'Transit Shipment'!$A$10:$A$1048462,B318,'Transit Shipment'!$C$10:$C$1048462,AA318)</f>
        <v>0</v>
      </c>
      <c r="Y318" s="150">
        <f>IF(SUMIFS(DIH!$S$2:$S833,DIH!$D$2:$D833,B318,DIH!$U$2:$U833,AA318)&gt;0,SUMIFS(DIH!$S$2:$S833,DIH!$D$2:$D833,B318,DIH!$U$2:$U833,AA318),0)</f>
        <v>1</v>
      </c>
      <c r="Z318" s="151">
        <f t="shared" si="7"/>
        <v>1</v>
      </c>
      <c r="AA318" s="152" t="s">
        <v>17</v>
      </c>
      <c r="AB318" s="154">
        <f>IF(ISNA(VLOOKUP($B318,'Business Report'!$D$2:$J$202,2,0)),"",VLOOKUP($B318,'Business Report'!$D$2:$J$202,2,0))</f>
        <v>36</v>
      </c>
      <c r="AC318" s="155">
        <f>SUMIFS(AFS!$P$2:$P$6260,AFS!$N$2:$N$6260,B318,AFS!$AT$2:$AT$6260,AA318)</f>
        <v>4</v>
      </c>
      <c r="AD318" s="156">
        <f t="shared" si="8"/>
        <v>5</v>
      </c>
      <c r="AE318" s="159">
        <f>SUM(AD310:AD318)</f>
        <v>49</v>
      </c>
      <c r="AF318" s="118">
        <f t="shared" si="9"/>
        <v>6</v>
      </c>
      <c r="AG318" s="26"/>
      <c r="AH318" s="26"/>
      <c r="AI318" s="26"/>
    </row>
    <row r="319">
      <c r="A319" s="66" t="s">
        <v>4572</v>
      </c>
      <c r="B319" s="1" t="s">
        <v>55</v>
      </c>
      <c r="C319" s="95" t="s">
        <v>4573</v>
      </c>
      <c r="D319" s="68" t="s">
        <v>168</v>
      </c>
      <c r="E319" s="69">
        <f t="shared" si="2"/>
        <v>1</v>
      </c>
      <c r="F319" s="69">
        <f t="shared" si="3"/>
        <v>0</v>
      </c>
      <c r="G319" s="70" t="str">
        <f t="shared" si="4"/>
        <v/>
      </c>
      <c r="H319" s="163"/>
      <c r="I319" s="101"/>
      <c r="J319" s="102"/>
      <c r="K319" s="167"/>
      <c r="L319" s="119"/>
      <c r="M319" s="169"/>
      <c r="N319" s="171"/>
      <c r="O319" s="106"/>
      <c r="P319" s="79">
        <f t="array" ref="P319">XLOOKUP(B319,Weight!B:B,Weight!D:D,"#N/A",0)</f>
        <v>85</v>
      </c>
      <c r="Q319" s="80" t="str">
        <f t="shared" si="6"/>
        <v/>
      </c>
      <c r="R319" s="107"/>
      <c r="S319" s="108">
        <v>560313.0</v>
      </c>
      <c r="T319" s="108">
        <v>12.0</v>
      </c>
      <c r="U319" s="83">
        <v>30.0</v>
      </c>
      <c r="V319" s="84" t="str">
        <f t="shared" ref="V319:W319" si="63">B319</f>
        <v>CRM_NW_GREY_DC</v>
      </c>
      <c r="W319" s="174" t="str">
        <f t="shared" si="63"/>
        <v>CRASOME Water Dispenser Bottle Dust Cover, Durable Fabric Dust Proof Cover for 20L Water Bottle (Grey)</v>
      </c>
      <c r="X319" s="86">
        <f>SUMIFS('Transit Shipment'!$B$10:$B$1048462,'Transit Shipment'!$A$10:$A$1048462,B319,'Transit Shipment'!$C$10:$C$1048462,AA319)</f>
        <v>0</v>
      </c>
      <c r="Y319" s="86">
        <f>IF(SUMIFS(DIH!$S$2:$S833,DIH!$D$2:$D833,B319,DIH!$U$2:$U833,AA319)&gt;0,SUMIFS(DIH!$S$2:$S833,DIH!$D$2:$D833,B319,DIH!$U$2:$U833,AA319),0)</f>
        <v>2</v>
      </c>
      <c r="Z319" s="87">
        <f t="shared" si="7"/>
        <v>2</v>
      </c>
      <c r="AA319" s="88" t="s">
        <v>5</v>
      </c>
      <c r="AB319" s="89">
        <f>IF(ISNA(VLOOKUP($B319,'Business Report'!$D$2:$J$202,2,0)),"",VLOOKUP($B319,'Business Report'!$D$2:$J$202,2,0))</f>
        <v>81</v>
      </c>
      <c r="AC319" s="90">
        <f>SUMIFS(AFS!$P$2:$P$6260,AFS!$N$2:$N$6260,B319,AFS!$AT$2:$AT$6260,AA319)</f>
        <v>1</v>
      </c>
      <c r="AD319" s="91">
        <f t="shared" si="8"/>
        <v>0</v>
      </c>
      <c r="AE319" s="92"/>
      <c r="AF319" s="93" t="str">
        <f t="shared" si="9"/>
        <v/>
      </c>
      <c r="AG319" s="26"/>
      <c r="AH319" s="26"/>
      <c r="AI319" s="26"/>
    </row>
    <row r="320">
      <c r="A320" s="94" t="s">
        <v>4572</v>
      </c>
      <c r="B320" s="3" t="s">
        <v>55</v>
      </c>
      <c r="C320" s="95" t="s">
        <v>4573</v>
      </c>
      <c r="D320" s="96" t="s">
        <v>168</v>
      </c>
      <c r="E320" s="97" t="str">
        <f t="shared" si="2"/>
        <v/>
      </c>
      <c r="F320" s="97" t="str">
        <f t="shared" si="3"/>
        <v/>
      </c>
      <c r="G320" s="99" t="str">
        <f t="shared" si="4"/>
        <v/>
      </c>
      <c r="H320" s="100"/>
      <c r="I320" s="101"/>
      <c r="J320" s="102"/>
      <c r="K320" s="103"/>
      <c r="L320" s="97"/>
      <c r="M320" s="169"/>
      <c r="N320" s="105"/>
      <c r="O320" s="106"/>
      <c r="P320" s="13">
        <f t="array" ref="P320">XLOOKUP(B320,Weight!B:B,Weight!D:D,"#N/A",0)</f>
        <v>85</v>
      </c>
      <c r="Q320" s="17" t="str">
        <f t="shared" si="6"/>
        <v/>
      </c>
      <c r="R320" s="107"/>
      <c r="S320" s="108">
        <v>560313.0</v>
      </c>
      <c r="T320" s="108">
        <v>12.0</v>
      </c>
      <c r="U320" s="109">
        <v>30.0</v>
      </c>
      <c r="V320" s="110"/>
      <c r="X320" s="111">
        <f>SUMIFS('Transit Shipment'!$B$10:$B$1048462,'Transit Shipment'!$A$10:$A$1048462,B320,'Transit Shipment'!$C$10:$C$1048462,AA320)</f>
        <v>0</v>
      </c>
      <c r="Y320" s="111">
        <f>IF(SUMIFS(DIH!$S$2:$S833,DIH!$D$2:$D833,B320,DIH!$U$2:$U833,AA320)&gt;0,SUMIFS(DIH!$S$2:$S833,DIH!$D$2:$D833,B320,DIH!$U$2:$U833,AA320),0)</f>
        <v>15</v>
      </c>
      <c r="Z320" s="112">
        <f t="shared" si="7"/>
        <v>15</v>
      </c>
      <c r="AA320" s="113" t="s">
        <v>11</v>
      </c>
      <c r="AB320" s="114">
        <f>IF(ISNA(VLOOKUP($B320,'Business Report'!$D$2:$J$202,2,0)),"",VLOOKUP($B320,'Business Report'!$D$2:$J$202,2,0))</f>
        <v>81</v>
      </c>
      <c r="AC320" s="115">
        <f>SUMIFS(AFS!$P$2:$P$6260,AFS!$N$2:$N$6260,B320,AFS!$AT$2:$AT$6260,AA320)</f>
        <v>6</v>
      </c>
      <c r="AD320" s="116">
        <f t="shared" si="8"/>
        <v>-7</v>
      </c>
      <c r="AE320" s="117"/>
      <c r="AF320" s="118" t="str">
        <f t="shared" si="9"/>
        <v/>
      </c>
      <c r="AG320" s="26"/>
      <c r="AH320" s="26"/>
      <c r="AI320" s="26"/>
    </row>
    <row r="321">
      <c r="A321" s="94" t="s">
        <v>4572</v>
      </c>
      <c r="B321" s="3" t="s">
        <v>55</v>
      </c>
      <c r="C321" s="95" t="s">
        <v>4573</v>
      </c>
      <c r="D321" s="96" t="s">
        <v>168</v>
      </c>
      <c r="E321" s="97" t="str">
        <f t="shared" si="2"/>
        <v/>
      </c>
      <c r="F321" s="97" t="str">
        <f t="shared" si="3"/>
        <v/>
      </c>
      <c r="G321" s="99" t="str">
        <f t="shared" si="4"/>
        <v/>
      </c>
      <c r="H321" s="100"/>
      <c r="I321" s="101"/>
      <c r="J321" s="102"/>
      <c r="K321" s="103"/>
      <c r="L321" s="97"/>
      <c r="M321" s="169"/>
      <c r="N321" s="105"/>
      <c r="O321" s="106"/>
      <c r="P321" s="13">
        <f t="array" ref="P321">XLOOKUP(B321,Weight!B:B,Weight!D:D,"#N/A",0)</f>
        <v>85</v>
      </c>
      <c r="Q321" s="17" t="str">
        <f t="shared" si="6"/>
        <v/>
      </c>
      <c r="R321" s="107"/>
      <c r="S321" s="108">
        <v>560313.0</v>
      </c>
      <c r="T321" s="108">
        <v>12.0</v>
      </c>
      <c r="U321" s="109">
        <v>30.0</v>
      </c>
      <c r="V321" s="110"/>
      <c r="X321" s="111">
        <f>SUMIFS('Transit Shipment'!$B$10:$B$1048462,'Transit Shipment'!$A$10:$A$1048462,B321,'Transit Shipment'!$C$10:$C$1048462,AA321)</f>
        <v>0</v>
      </c>
      <c r="Y321" s="111">
        <f>IF(SUMIFS(DIH!$S$2:$S833,DIH!$D$2:$D833,B321,DIH!$U$2:$U833,AA321)&gt;0,SUMIFS(DIH!$S$2:$S833,DIH!$D$2:$D833,B321,DIH!$U$2:$U833,AA321),0)</f>
        <v>16</v>
      </c>
      <c r="Z321" s="112">
        <f t="shared" si="7"/>
        <v>16</v>
      </c>
      <c r="AA321" s="119" t="s">
        <v>9</v>
      </c>
      <c r="AB321" s="114">
        <f>IF(ISNA(VLOOKUP($B321,'Business Report'!$D$2:$J$202,2,0)),"",VLOOKUP($B321,'Business Report'!$D$2:$J$202,2,0))</f>
        <v>81</v>
      </c>
      <c r="AC321" s="115">
        <f>SUMIFS(AFS!$P$2:$P$6260,AFS!$N$2:$N$6260,B321,AFS!$AT$2:$AT$6260,AA321)</f>
        <v>6</v>
      </c>
      <c r="AD321" s="116">
        <f t="shared" si="8"/>
        <v>-8</v>
      </c>
      <c r="AE321" s="117"/>
      <c r="AF321" s="118" t="str">
        <f t="shared" si="9"/>
        <v/>
      </c>
      <c r="AG321" s="26"/>
      <c r="AH321" s="26"/>
      <c r="AI321" s="26"/>
    </row>
    <row r="322">
      <c r="A322" s="120" t="s">
        <v>4572</v>
      </c>
      <c r="B322" s="7" t="s">
        <v>55</v>
      </c>
      <c r="C322" s="95" t="s">
        <v>4573</v>
      </c>
      <c r="D322" s="109" t="s">
        <v>168</v>
      </c>
      <c r="E322" s="97" t="str">
        <f t="shared" si="2"/>
        <v/>
      </c>
      <c r="F322" s="97" t="str">
        <f t="shared" si="3"/>
        <v/>
      </c>
      <c r="G322" s="99" t="str">
        <f t="shared" si="4"/>
        <v/>
      </c>
      <c r="H322" s="121"/>
      <c r="I322" s="122"/>
      <c r="J322" s="123"/>
      <c r="K322" s="124"/>
      <c r="L322" s="125"/>
      <c r="M322" s="181"/>
      <c r="N322" s="126"/>
      <c r="O322" s="127"/>
      <c r="P322" s="13">
        <f t="array" ref="P322">XLOOKUP(B322,Weight!B:B,Weight!D:D,"#N/A",0)</f>
        <v>85</v>
      </c>
      <c r="Q322" s="17" t="str">
        <f t="shared" si="6"/>
        <v/>
      </c>
      <c r="R322" s="107"/>
      <c r="S322" s="108">
        <v>560313.0</v>
      </c>
      <c r="T322" s="108">
        <v>12.0</v>
      </c>
      <c r="U322" s="109">
        <v>30.0</v>
      </c>
      <c r="V322" s="110"/>
      <c r="X322" s="111">
        <f>SUMIFS('Transit Shipment'!$B$10:$B$1048462,'Transit Shipment'!$A$10:$A$1048462,B322,'Transit Shipment'!$C$10:$C$1048462,AA322)</f>
        <v>0</v>
      </c>
      <c r="Y322" s="111">
        <f>IF(SUMIFS(DIH!$S$2:$S833,DIH!$D$2:$D833,B322,DIH!$U$2:$U833,AA322)&gt;0,SUMIFS(DIH!$S$2:$S833,DIH!$D$2:$D833,B322,DIH!$U$2:$U833,AA322),0)</f>
        <v>9</v>
      </c>
      <c r="Z322" s="112">
        <f t="shared" si="7"/>
        <v>9</v>
      </c>
      <c r="AA322" s="119" t="s">
        <v>155</v>
      </c>
      <c r="AB322" s="114">
        <f>IF(ISNA(VLOOKUP($B322,'Business Report'!$D$2:$J$202,2,0)),"",VLOOKUP($B322,'Business Report'!$D$2:$J$202,2,0))</f>
        <v>81</v>
      </c>
      <c r="AC322" s="115">
        <f>SUMIFS(AFS!$P$2:$P$6260,AFS!$N$2:$N$6260,B322,AFS!$AT$2:$AT$6260,AA322)</f>
        <v>3</v>
      </c>
      <c r="AD322" s="116">
        <f t="shared" si="8"/>
        <v>-5</v>
      </c>
      <c r="AE322" s="117"/>
      <c r="AF322" s="118" t="str">
        <f t="shared" si="9"/>
        <v/>
      </c>
      <c r="AG322" s="26"/>
      <c r="AH322" s="26"/>
      <c r="AI322" s="26"/>
    </row>
    <row r="323">
      <c r="A323" s="120" t="s">
        <v>4572</v>
      </c>
      <c r="B323" s="7" t="s">
        <v>55</v>
      </c>
      <c r="C323" s="95" t="s">
        <v>4573</v>
      </c>
      <c r="D323" s="109" t="s">
        <v>168</v>
      </c>
      <c r="E323" s="97">
        <f t="shared" si="2"/>
        <v>1</v>
      </c>
      <c r="F323" s="97">
        <f t="shared" si="3"/>
        <v>0.5</v>
      </c>
      <c r="G323" s="99">
        <f t="shared" si="4"/>
        <v>4</v>
      </c>
      <c r="H323" s="121"/>
      <c r="I323" s="122"/>
      <c r="J323" s="123"/>
      <c r="K323" s="124"/>
      <c r="L323" s="125"/>
      <c r="M323" s="181"/>
      <c r="N323" s="126"/>
      <c r="O323" s="127"/>
      <c r="P323" s="13">
        <f t="array" ref="P323">XLOOKUP(B323,Weight!B:B,Weight!D:D,"#N/A",0)</f>
        <v>85</v>
      </c>
      <c r="Q323" s="17">
        <f t="shared" si="6"/>
        <v>340</v>
      </c>
      <c r="R323" s="107"/>
      <c r="S323" s="108">
        <v>560313.0</v>
      </c>
      <c r="T323" s="108">
        <v>12.0</v>
      </c>
      <c r="U323" s="109">
        <v>30.0</v>
      </c>
      <c r="V323" s="110"/>
      <c r="X323" s="111">
        <f>SUMIFS('Transit Shipment'!$B$10:$B$1048462,'Transit Shipment'!$A$10:$A$1048462,B323,'Transit Shipment'!$C$10:$C$1048462,AA323)</f>
        <v>0</v>
      </c>
      <c r="Y323" s="111">
        <f>IF(SUMIFS(DIH!$S$2:$S833,DIH!$D$2:$D833,B323,DIH!$U$2:$U833,AA323)&gt;0,SUMIFS(DIH!$S$2:$S833,DIH!$D$2:$D833,B323,DIH!$U$2:$U833,AA323),0)</f>
        <v>11</v>
      </c>
      <c r="Z323" s="112">
        <f t="shared" si="7"/>
        <v>11</v>
      </c>
      <c r="AA323" s="119" t="s">
        <v>156</v>
      </c>
      <c r="AB323" s="114">
        <f>IF(ISNA(VLOOKUP($B323,'Business Report'!$D$2:$J$202,2,0)),"",VLOOKUP($B323,'Business Report'!$D$2:$J$202,2,0))</f>
        <v>81</v>
      </c>
      <c r="AC323" s="115">
        <f>SUMIFS(AFS!$P$2:$P$6260,AFS!$N$2:$N$6260,B323,AFS!$AT$2:$AT$6260,AA323)</f>
        <v>10</v>
      </c>
      <c r="AD323" s="116">
        <f t="shared" si="8"/>
        <v>3</v>
      </c>
      <c r="AE323" s="117"/>
      <c r="AF323" s="118">
        <f t="shared" si="9"/>
        <v>4</v>
      </c>
      <c r="AG323" s="26"/>
      <c r="AH323" s="26"/>
      <c r="AI323" s="26"/>
    </row>
    <row r="324">
      <c r="A324" s="120" t="s">
        <v>4572</v>
      </c>
      <c r="B324" s="7" t="s">
        <v>55</v>
      </c>
      <c r="C324" s="95" t="s">
        <v>4573</v>
      </c>
      <c r="D324" s="109" t="s">
        <v>168</v>
      </c>
      <c r="E324" s="97" t="str">
        <f t="shared" si="2"/>
        <v/>
      </c>
      <c r="F324" s="97" t="str">
        <f t="shared" si="3"/>
        <v/>
      </c>
      <c r="G324" s="99" t="str">
        <f t="shared" si="4"/>
        <v/>
      </c>
      <c r="H324" s="121"/>
      <c r="I324" s="122"/>
      <c r="J324" s="123"/>
      <c r="K324" s="124"/>
      <c r="L324" s="125"/>
      <c r="M324" s="181"/>
      <c r="N324" s="126"/>
      <c r="O324" s="127"/>
      <c r="P324" s="13">
        <f t="array" ref="P324">XLOOKUP(B324,Weight!B:B,Weight!D:D,"#N/A",0)</f>
        <v>85</v>
      </c>
      <c r="Q324" s="17" t="str">
        <f t="shared" si="6"/>
        <v/>
      </c>
      <c r="R324" s="107"/>
      <c r="S324" s="108">
        <v>560313.0</v>
      </c>
      <c r="T324" s="108">
        <v>12.0</v>
      </c>
      <c r="U324" s="109">
        <v>30.0</v>
      </c>
      <c r="V324" s="110"/>
      <c r="X324" s="111">
        <f>SUMIFS('Transit Shipment'!$B$10:$B$1048462,'Transit Shipment'!$A$10:$A$1048462,B324,'Transit Shipment'!$C$10:$C$1048462,AA324)</f>
        <v>0</v>
      </c>
      <c r="Y324" s="111">
        <f>IF(SUMIFS(DIH!$S$2:$S833,DIH!$D$2:$D833,B324,DIH!$U$2:$U833,AA324)&gt;0,SUMIFS(DIH!$S$2:$S833,DIH!$D$2:$D833,B324,DIH!$U$2:$U833,AA324),0)</f>
        <v>5</v>
      </c>
      <c r="Z324" s="112">
        <f t="shared" si="7"/>
        <v>5</v>
      </c>
      <c r="AA324" s="130" t="s">
        <v>13</v>
      </c>
      <c r="AB324" s="114">
        <f>IF(ISNA(VLOOKUP($B324,'Business Report'!$D$2:$J$202,2,0)),"",VLOOKUP($B324,'Business Report'!$D$2:$J$202,2,0))</f>
        <v>81</v>
      </c>
      <c r="AC324" s="115">
        <f>SUMIFS(AFS!$P$2:$P$6260,AFS!$N$2:$N$6260,B324,AFS!$AT$2:$AT$6260,AA324)</f>
        <v>3</v>
      </c>
      <c r="AD324" s="116">
        <f t="shared" si="8"/>
        <v>-1</v>
      </c>
      <c r="AE324" s="117"/>
      <c r="AF324" s="118" t="str">
        <f t="shared" si="9"/>
        <v/>
      </c>
      <c r="AG324" s="26"/>
      <c r="AH324" s="26"/>
      <c r="AI324" s="26"/>
    </row>
    <row r="325">
      <c r="A325" s="120" t="s">
        <v>4572</v>
      </c>
      <c r="B325" s="7" t="s">
        <v>55</v>
      </c>
      <c r="C325" s="95" t="s">
        <v>4573</v>
      </c>
      <c r="D325" s="109" t="s">
        <v>168</v>
      </c>
      <c r="E325" s="97" t="str">
        <f t="shared" si="2"/>
        <v/>
      </c>
      <c r="F325" s="97" t="str">
        <f t="shared" si="3"/>
        <v/>
      </c>
      <c r="G325" s="99" t="str">
        <f t="shared" si="4"/>
        <v/>
      </c>
      <c r="H325" s="121"/>
      <c r="I325" s="122"/>
      <c r="J325" s="123"/>
      <c r="K325" s="124"/>
      <c r="L325" s="125"/>
      <c r="M325" s="181"/>
      <c r="N325" s="126"/>
      <c r="O325" s="127"/>
      <c r="P325" s="13">
        <f t="array" ref="P325">XLOOKUP(B325,Weight!B:B,Weight!D:D,"#N/A",0)</f>
        <v>85</v>
      </c>
      <c r="Q325" s="17" t="str">
        <f t="shared" si="6"/>
        <v/>
      </c>
      <c r="R325" s="107"/>
      <c r="S325" s="108">
        <v>560313.0</v>
      </c>
      <c r="T325" s="108">
        <v>12.0</v>
      </c>
      <c r="U325" s="109">
        <v>30.0</v>
      </c>
      <c r="V325" s="110"/>
      <c r="X325" s="111">
        <f>SUMIFS('Transit Shipment'!$B$10:$B$1048462,'Transit Shipment'!$A$10:$A$1048462,B325,'Transit Shipment'!$C$10:$C$1048462,AA325)</f>
        <v>0</v>
      </c>
      <c r="Y325" s="111">
        <f>IF(SUMIFS(DIH!$S$2:$S833,DIH!$D$2:$D833,B325,DIH!$U$2:$U833,AA325)&gt;0,SUMIFS(DIH!$S$2:$S833,DIH!$D$2:$D833,B325,DIH!$U$2:$U833,AA325),0)</f>
        <v>7</v>
      </c>
      <c r="Z325" s="112">
        <f t="shared" si="7"/>
        <v>7</v>
      </c>
      <c r="AA325" s="119" t="s">
        <v>14</v>
      </c>
      <c r="AB325" s="114">
        <f>IF(ISNA(VLOOKUP($B325,'Business Report'!$D$2:$J$202,2,0)),"",VLOOKUP($B325,'Business Report'!$D$2:$J$202,2,0))</f>
        <v>81</v>
      </c>
      <c r="AC325" s="115">
        <f>SUMIFS(AFS!$P$2:$P$6260,AFS!$N$2:$N$6260,B325,AFS!$AT$2:$AT$6260,AA325)</f>
        <v>2</v>
      </c>
      <c r="AD325" s="116">
        <f t="shared" si="8"/>
        <v>-4</v>
      </c>
      <c r="AE325" s="117"/>
      <c r="AF325" s="118" t="str">
        <f t="shared" si="9"/>
        <v/>
      </c>
      <c r="AG325" s="26"/>
      <c r="AH325" s="26"/>
      <c r="AI325" s="26"/>
    </row>
    <row r="326">
      <c r="A326" s="120" t="s">
        <v>4572</v>
      </c>
      <c r="B326" s="7" t="s">
        <v>55</v>
      </c>
      <c r="C326" s="95" t="s">
        <v>4573</v>
      </c>
      <c r="D326" s="109" t="s">
        <v>168</v>
      </c>
      <c r="E326" s="97" t="str">
        <f t="shared" si="2"/>
        <v/>
      </c>
      <c r="F326" s="97" t="str">
        <f t="shared" si="3"/>
        <v/>
      </c>
      <c r="G326" s="99" t="str">
        <f t="shared" si="4"/>
        <v/>
      </c>
      <c r="H326" s="121"/>
      <c r="I326" s="122"/>
      <c r="J326" s="123"/>
      <c r="K326" s="124"/>
      <c r="L326" s="125"/>
      <c r="M326" s="181"/>
      <c r="N326" s="126"/>
      <c r="O326" s="127"/>
      <c r="P326" s="13">
        <f t="array" ref="P326">XLOOKUP(B326,Weight!B:B,Weight!D:D,"#N/A",0)</f>
        <v>85</v>
      </c>
      <c r="Q326" s="17" t="str">
        <f t="shared" si="6"/>
        <v/>
      </c>
      <c r="R326" s="107"/>
      <c r="S326" s="108">
        <v>560313.0</v>
      </c>
      <c r="T326" s="108">
        <v>12.0</v>
      </c>
      <c r="U326" s="109">
        <v>30.0</v>
      </c>
      <c r="V326" s="110"/>
      <c r="X326" s="111">
        <f>SUMIFS('Transit Shipment'!$B$10:$B$1048462,'Transit Shipment'!$A$10:$A$1048462,B326,'Transit Shipment'!$C$10:$C$1048462,AA326)</f>
        <v>0</v>
      </c>
      <c r="Y326" s="111">
        <f>IF(SUMIFS(DIH!$S$2:$S833,DIH!$D$2:$D833,B326,DIH!$U$2:$U833,AA326)&gt;0,SUMIFS(DIH!$S$2:$S833,DIH!$D$2:$D833,B326,DIH!$U$2:$U833,AA326),0)</f>
        <v>10</v>
      </c>
      <c r="Z326" s="112">
        <f t="shared" si="7"/>
        <v>10</v>
      </c>
      <c r="AA326" s="131" t="s">
        <v>16</v>
      </c>
      <c r="AB326" s="114">
        <f>IF(ISNA(VLOOKUP($B326,'Business Report'!$D$2:$J$202,2,0)),"",VLOOKUP($B326,'Business Report'!$D$2:$J$202,2,0))</f>
        <v>81</v>
      </c>
      <c r="AC326" s="115">
        <f>SUMIFS(AFS!$P$2:$P$6260,AFS!$N$2:$N$6260,B326,AFS!$AT$2:$AT$6260,AA326)</f>
        <v>1</v>
      </c>
      <c r="AD326" s="116">
        <f t="shared" si="8"/>
        <v>-8</v>
      </c>
      <c r="AE326" s="117"/>
      <c r="AF326" s="118" t="str">
        <f t="shared" si="9"/>
        <v/>
      </c>
      <c r="AG326" s="26"/>
      <c r="AH326" s="26"/>
      <c r="AI326" s="26"/>
    </row>
    <row r="327">
      <c r="A327" s="132" t="s">
        <v>4572</v>
      </c>
      <c r="B327" s="15" t="s">
        <v>55</v>
      </c>
      <c r="C327" s="133" t="s">
        <v>4573</v>
      </c>
      <c r="D327" s="134" t="s">
        <v>168</v>
      </c>
      <c r="E327" s="135" t="str">
        <f t="shared" si="2"/>
        <v/>
      </c>
      <c r="F327" s="135" t="str">
        <f t="shared" si="3"/>
        <v/>
      </c>
      <c r="G327" s="136" t="str">
        <f t="shared" si="4"/>
        <v/>
      </c>
      <c r="H327" s="137"/>
      <c r="I327" s="138"/>
      <c r="J327" s="139"/>
      <c r="K327" s="140"/>
      <c r="L327" s="135"/>
      <c r="M327" s="152"/>
      <c r="N327" s="142"/>
      <c r="O327" s="143"/>
      <c r="P327" s="144">
        <f t="array" ref="P327">XLOOKUP(B327,Weight!B:B,Weight!D:D,"#N/A",0)</f>
        <v>85</v>
      </c>
      <c r="Q327" s="145" t="str">
        <f t="shared" si="6"/>
        <v/>
      </c>
      <c r="R327" s="146"/>
      <c r="S327" s="147">
        <v>560313.0</v>
      </c>
      <c r="T327" s="147">
        <v>12.0</v>
      </c>
      <c r="U327" s="109">
        <v>30.0</v>
      </c>
      <c r="V327" s="148"/>
      <c r="W327" s="149"/>
      <c r="X327" s="150">
        <f>SUMIFS('Transit Shipment'!$B$10:$B$1048462,'Transit Shipment'!$A$10:$A$1048462,B327,'Transit Shipment'!$C$10:$C$1048462,AA327)</f>
        <v>0</v>
      </c>
      <c r="Y327" s="150">
        <f>IF(SUMIFS(DIH!$S$2:$S833,DIH!$D$2:$D833,B327,DIH!$U$2:$U833,AA327)&gt;0,SUMIFS(DIH!$S$2:$S833,DIH!$D$2:$D833,B327,DIH!$U$2:$U833,AA327),0)</f>
        <v>9</v>
      </c>
      <c r="Z327" s="151">
        <f t="shared" si="7"/>
        <v>9</v>
      </c>
      <c r="AA327" s="152" t="s">
        <v>17</v>
      </c>
      <c r="AB327" s="154">
        <f>IF(ISNA(VLOOKUP($B327,'Business Report'!$D$2:$J$202,2,0)),"",VLOOKUP($B327,'Business Report'!$D$2:$J$202,2,0))</f>
        <v>81</v>
      </c>
      <c r="AC327" s="155">
        <f>SUMIFS(AFS!$P$2:$P$6260,AFS!$N$2:$N$6260,B327,AFS!$AT$2:$AT$6260,AA327)</f>
        <v>1</v>
      </c>
      <c r="AD327" s="156">
        <f t="shared" si="8"/>
        <v>-7</v>
      </c>
      <c r="AE327" s="159">
        <f>SUM(AD319:AD327)</f>
        <v>-37</v>
      </c>
      <c r="AF327" s="118" t="str">
        <f t="shared" si="9"/>
        <v/>
      </c>
      <c r="AG327" s="26"/>
      <c r="AH327" s="26"/>
      <c r="AI327" s="26"/>
    </row>
    <row r="328">
      <c r="A328" s="66" t="s">
        <v>4388</v>
      </c>
      <c r="B328" s="1" t="s">
        <v>56</v>
      </c>
      <c r="C328" s="95" t="s">
        <v>4734</v>
      </c>
      <c r="D328" s="68" t="s">
        <v>168</v>
      </c>
      <c r="E328" s="69">
        <f t="shared" si="2"/>
        <v>2</v>
      </c>
      <c r="F328" s="69">
        <f t="shared" si="3"/>
        <v>0</v>
      </c>
      <c r="G328" s="70">
        <f t="shared" ref="G328:G345" si="65">IF(ISERROR(SEARCH("Apron",D328)),AF328,"")*5</f>
        <v>20</v>
      </c>
      <c r="H328" s="163"/>
      <c r="I328" s="101"/>
      <c r="J328" s="102"/>
      <c r="K328" s="167"/>
      <c r="L328" s="119"/>
      <c r="M328" s="169"/>
      <c r="N328" s="171"/>
      <c r="O328" s="106"/>
      <c r="P328" s="79">
        <f t="array" ref="P328">XLOOKUP(B328,Weight!B:B,Weight!D:D,"#N/A",0)</f>
        <v>425</v>
      </c>
      <c r="Q328" s="80">
        <f t="shared" si="6"/>
        <v>1700</v>
      </c>
      <c r="R328" s="107"/>
      <c r="S328" s="108">
        <v>560313.0</v>
      </c>
      <c r="T328" s="108">
        <v>12.0</v>
      </c>
      <c r="U328" s="83">
        <v>150.0</v>
      </c>
      <c r="V328" s="84" t="str">
        <f t="shared" ref="V328:W328" si="64">B328</f>
        <v>CRM_NW_BLACK_DC_PACK OF 5</v>
      </c>
      <c r="W328" s="174" t="str">
        <f t="shared" si="64"/>
        <v>CRASOME Water Dispenser 20 Liter Bottle Jar Cover (Black Pack of 5)</v>
      </c>
      <c r="X328" s="86">
        <f>SUMIFS('Transit Shipment'!$B$10:$B$1048462,'Transit Shipment'!$A$10:$A$1048462,B328,'Transit Shipment'!$C$10:$C$1048462,AA328)</f>
        <v>0</v>
      </c>
      <c r="Y328" s="86">
        <f>IF(SUMIFS(DIH!$S$2:$S833,DIH!$D$2:$D833,B328,DIH!$U$2:$U833,AA328)&gt;0,SUMIFS(DIH!$S$2:$S833,DIH!$D$2:$D833,B328,DIH!$U$2:$U833,AA328),0)</f>
        <v>0</v>
      </c>
      <c r="Z328" s="87">
        <f t="shared" si="7"/>
        <v>0</v>
      </c>
      <c r="AA328" s="88" t="s">
        <v>5</v>
      </c>
      <c r="AB328" s="89">
        <f>IF(ISNA(VLOOKUP($B328,'Business Report'!$D$2:$J$202,2,0)),"",VLOOKUP($B328,'Business Report'!$D$2:$J$202,2,0))</f>
        <v>19</v>
      </c>
      <c r="AC328" s="90">
        <f>SUMIFS(AFS!$P$2:$P$6260,AFS!$N$2:$N$6260,B328,AFS!$AT$2:$AT$6260,AA328)</f>
        <v>3</v>
      </c>
      <c r="AD328" s="91">
        <f t="shared" si="8"/>
        <v>4</v>
      </c>
      <c r="AE328" s="92"/>
      <c r="AF328" s="93">
        <f t="shared" si="9"/>
        <v>4</v>
      </c>
      <c r="AG328" s="26"/>
      <c r="AH328" s="26"/>
      <c r="AI328" s="26"/>
    </row>
    <row r="329">
      <c r="A329" s="94" t="s">
        <v>4388</v>
      </c>
      <c r="B329" s="3" t="s">
        <v>56</v>
      </c>
      <c r="C329" s="95" t="s">
        <v>4734</v>
      </c>
      <c r="D329" s="96" t="s">
        <v>168</v>
      </c>
      <c r="E329" s="97" t="str">
        <f t="shared" si="2"/>
        <v/>
      </c>
      <c r="F329" s="97" t="str">
        <f t="shared" si="3"/>
        <v/>
      </c>
      <c r="G329" s="99">
        <f t="shared" si="65"/>
        <v>0</v>
      </c>
      <c r="H329" s="100"/>
      <c r="I329" s="101"/>
      <c r="J329" s="102"/>
      <c r="K329" s="103"/>
      <c r="L329" s="97"/>
      <c r="M329" s="169"/>
      <c r="N329" s="105"/>
      <c r="O329" s="106"/>
      <c r="P329" s="13">
        <f t="array" ref="P329">XLOOKUP(B329,Weight!B:B,Weight!D:D,"#N/A",0)</f>
        <v>425</v>
      </c>
      <c r="Q329" s="17" t="str">
        <f t="shared" si="6"/>
        <v/>
      </c>
      <c r="R329" s="107"/>
      <c r="S329" s="108">
        <v>560313.0</v>
      </c>
      <c r="T329" s="108">
        <v>12.0</v>
      </c>
      <c r="U329" s="109">
        <v>150.0</v>
      </c>
      <c r="V329" s="110"/>
      <c r="X329" s="111">
        <f>SUMIFS('Transit Shipment'!$B$10:$B$1048462,'Transit Shipment'!$A$10:$A$1048462,B329,'Transit Shipment'!$C$10:$C$1048462,AA329)</f>
        <v>0</v>
      </c>
      <c r="Y329" s="111">
        <f>IF(SUMIFS(DIH!$S$2:$S833,DIH!$D$2:$D833,B329,DIH!$U$2:$U833,AA329)&gt;0,SUMIFS(DIH!$S$2:$S833,DIH!$D$2:$D833,B329,DIH!$U$2:$U833,AA329),0)</f>
        <v>2</v>
      </c>
      <c r="Z329" s="112">
        <f t="shared" si="7"/>
        <v>2</v>
      </c>
      <c r="AA329" s="113" t="s">
        <v>11</v>
      </c>
      <c r="AB329" s="114">
        <f>IF(ISNA(VLOOKUP($B329,'Business Report'!$D$2:$J$202,2,0)),"",VLOOKUP($B329,'Business Report'!$D$2:$J$202,2,0))</f>
        <v>19</v>
      </c>
      <c r="AC329" s="115">
        <f>SUMIFS(AFS!$P$2:$P$6260,AFS!$N$2:$N$6260,B329,AFS!$AT$2:$AT$6260,AA329)</f>
        <v>0</v>
      </c>
      <c r="AD329" s="116">
        <f t="shared" si="8"/>
        <v>-2</v>
      </c>
      <c r="AE329" s="117"/>
      <c r="AF329" s="118" t="str">
        <f t="shared" si="9"/>
        <v/>
      </c>
      <c r="AG329" s="26"/>
      <c r="AH329" s="26"/>
      <c r="AI329" s="26"/>
    </row>
    <row r="330">
      <c r="A330" s="94" t="s">
        <v>4388</v>
      </c>
      <c r="B330" s="3" t="s">
        <v>56</v>
      </c>
      <c r="C330" s="95" t="s">
        <v>4734</v>
      </c>
      <c r="D330" s="96" t="s">
        <v>168</v>
      </c>
      <c r="E330" s="97" t="str">
        <f t="shared" si="2"/>
        <v/>
      </c>
      <c r="F330" s="97" t="str">
        <f t="shared" si="3"/>
        <v/>
      </c>
      <c r="G330" s="99">
        <f t="shared" si="65"/>
        <v>0</v>
      </c>
      <c r="H330" s="100"/>
      <c r="I330" s="101"/>
      <c r="J330" s="102"/>
      <c r="K330" s="103"/>
      <c r="L330" s="97"/>
      <c r="M330" s="169"/>
      <c r="N330" s="105"/>
      <c r="O330" s="106"/>
      <c r="P330" s="13">
        <f t="array" ref="P330">XLOOKUP(B330,Weight!B:B,Weight!D:D,"#N/A",0)</f>
        <v>425</v>
      </c>
      <c r="Q330" s="17" t="str">
        <f t="shared" si="6"/>
        <v/>
      </c>
      <c r="R330" s="107"/>
      <c r="S330" s="108">
        <v>560313.0</v>
      </c>
      <c r="T330" s="108">
        <v>12.0</v>
      </c>
      <c r="U330" s="109">
        <v>150.0</v>
      </c>
      <c r="V330" s="110"/>
      <c r="X330" s="111">
        <f>SUMIFS('Transit Shipment'!$B$10:$B$1048462,'Transit Shipment'!$A$10:$A$1048462,B330,'Transit Shipment'!$C$10:$C$1048462,AA330)</f>
        <v>0</v>
      </c>
      <c r="Y330" s="111">
        <f>IF(SUMIFS(DIH!$S$2:$S833,DIH!$D$2:$D833,B330,DIH!$U$2:$U833,AA330)&gt;0,SUMIFS(DIH!$S$2:$S833,DIH!$D$2:$D833,B330,DIH!$U$2:$U833,AA330),0)</f>
        <v>1</v>
      </c>
      <c r="Z330" s="112">
        <f t="shared" si="7"/>
        <v>1</v>
      </c>
      <c r="AA330" s="119" t="s">
        <v>9</v>
      </c>
      <c r="AB330" s="114">
        <f>IF(ISNA(VLOOKUP($B330,'Business Report'!$D$2:$J$202,2,0)),"",VLOOKUP($B330,'Business Report'!$D$2:$J$202,2,0))</f>
        <v>19</v>
      </c>
      <c r="AC330" s="115">
        <f>SUMIFS(AFS!$P$2:$P$6260,AFS!$N$2:$N$6260,B330,AFS!$AT$2:$AT$6260,AA330)</f>
        <v>0</v>
      </c>
      <c r="AD330" s="116">
        <f t="shared" si="8"/>
        <v>-1</v>
      </c>
      <c r="AE330" s="117"/>
      <c r="AF330" s="118" t="str">
        <f t="shared" si="9"/>
        <v/>
      </c>
      <c r="AG330" s="26"/>
      <c r="AH330" s="26"/>
      <c r="AI330" s="26"/>
    </row>
    <row r="331">
      <c r="A331" s="120" t="s">
        <v>4388</v>
      </c>
      <c r="B331" s="7" t="s">
        <v>56</v>
      </c>
      <c r="C331" s="95" t="s">
        <v>4734</v>
      </c>
      <c r="D331" s="109" t="s">
        <v>168</v>
      </c>
      <c r="E331" s="97">
        <f t="shared" si="2"/>
        <v>1</v>
      </c>
      <c r="F331" s="97">
        <f t="shared" si="3"/>
        <v>0</v>
      </c>
      <c r="G331" s="99">
        <f t="shared" si="65"/>
        <v>0</v>
      </c>
      <c r="H331" s="121"/>
      <c r="I331" s="122"/>
      <c r="J331" s="123"/>
      <c r="K331" s="124"/>
      <c r="L331" s="125"/>
      <c r="M331" s="181"/>
      <c r="N331" s="126"/>
      <c r="O331" s="127"/>
      <c r="P331" s="13">
        <f t="array" ref="P331">XLOOKUP(B331,Weight!B:B,Weight!D:D,"#N/A",0)</f>
        <v>425</v>
      </c>
      <c r="Q331" s="17" t="str">
        <f t="shared" si="6"/>
        <v/>
      </c>
      <c r="R331" s="107"/>
      <c r="S331" s="108">
        <v>560313.0</v>
      </c>
      <c r="T331" s="108">
        <v>12.0</v>
      </c>
      <c r="U331" s="109">
        <v>150.0</v>
      </c>
      <c r="V331" s="110"/>
      <c r="X331" s="111">
        <f>SUMIFS('Transit Shipment'!$B$10:$B$1048462,'Transit Shipment'!$A$10:$A$1048462,B331,'Transit Shipment'!$C$10:$C$1048462,AA331)</f>
        <v>0</v>
      </c>
      <c r="Y331" s="111">
        <f>IF(SUMIFS(DIH!$S$2:$S833,DIH!$D$2:$D833,B331,DIH!$U$2:$U833,AA331)&gt;0,SUMIFS(DIH!$S$2:$S833,DIH!$D$2:$D833,B331,DIH!$U$2:$U833,AA331),0)</f>
        <v>0</v>
      </c>
      <c r="Z331" s="112">
        <f t="shared" si="7"/>
        <v>0</v>
      </c>
      <c r="AA331" s="119" t="s">
        <v>155</v>
      </c>
      <c r="AB331" s="114">
        <f>IF(ISNA(VLOOKUP($B331,'Business Report'!$D$2:$J$202,2,0)),"",VLOOKUP($B331,'Business Report'!$D$2:$J$202,2,0))</f>
        <v>19</v>
      </c>
      <c r="AC331" s="115">
        <f>SUMIFS(AFS!$P$2:$P$6260,AFS!$N$2:$N$6260,B331,AFS!$AT$2:$AT$6260,AA331)</f>
        <v>0</v>
      </c>
      <c r="AD331" s="116">
        <f t="shared" si="8"/>
        <v>0</v>
      </c>
      <c r="AE331" s="117"/>
      <c r="AF331" s="118" t="str">
        <f t="shared" si="9"/>
        <v/>
      </c>
      <c r="AG331" s="26"/>
      <c r="AH331" s="26"/>
      <c r="AI331" s="26"/>
    </row>
    <row r="332">
      <c r="A332" s="120" t="s">
        <v>4388</v>
      </c>
      <c r="B332" s="7" t="s">
        <v>56</v>
      </c>
      <c r="C332" s="95" t="s">
        <v>4734</v>
      </c>
      <c r="D332" s="109" t="s">
        <v>168</v>
      </c>
      <c r="E332" s="97" t="str">
        <f t="shared" si="2"/>
        <v/>
      </c>
      <c r="F332" s="97" t="str">
        <f t="shared" si="3"/>
        <v/>
      </c>
      <c r="G332" s="99">
        <f t="shared" si="65"/>
        <v>0</v>
      </c>
      <c r="H332" s="121"/>
      <c r="I332" s="122"/>
      <c r="J332" s="123"/>
      <c r="K332" s="124"/>
      <c r="L332" s="125"/>
      <c r="M332" s="181"/>
      <c r="N332" s="126"/>
      <c r="O332" s="127"/>
      <c r="P332" s="13">
        <f t="array" ref="P332">XLOOKUP(B332,Weight!B:B,Weight!D:D,"#N/A",0)</f>
        <v>425</v>
      </c>
      <c r="Q332" s="17" t="str">
        <f t="shared" si="6"/>
        <v/>
      </c>
      <c r="R332" s="107"/>
      <c r="S332" s="108">
        <v>560313.0</v>
      </c>
      <c r="T332" s="108">
        <v>12.0</v>
      </c>
      <c r="U332" s="109">
        <v>150.0</v>
      </c>
      <c r="V332" s="110"/>
      <c r="X332" s="111">
        <f>SUMIFS('Transit Shipment'!$B$10:$B$1048462,'Transit Shipment'!$A$10:$A$1048462,B332,'Transit Shipment'!$C$10:$C$1048462,AA332)</f>
        <v>0</v>
      </c>
      <c r="Y332" s="111">
        <f>IF(SUMIFS(DIH!$S$2:$S833,DIH!$D$2:$D833,B332,DIH!$U$2:$U833,AA332)&gt;0,SUMIFS(DIH!$S$2:$S833,DIH!$D$2:$D833,B332,DIH!$U$2:$U833,AA332),0)</f>
        <v>1</v>
      </c>
      <c r="Z332" s="112">
        <f t="shared" si="7"/>
        <v>1</v>
      </c>
      <c r="AA332" s="119" t="s">
        <v>156</v>
      </c>
      <c r="AB332" s="114">
        <f>IF(ISNA(VLOOKUP($B332,'Business Report'!$D$2:$J$202,2,0)),"",VLOOKUP($B332,'Business Report'!$D$2:$J$202,2,0))</f>
        <v>19</v>
      </c>
      <c r="AC332" s="115">
        <f>SUMIFS(AFS!$P$2:$P$6260,AFS!$N$2:$N$6260,B332,AFS!$AT$2:$AT$6260,AA332)</f>
        <v>0</v>
      </c>
      <c r="AD332" s="116">
        <f t="shared" si="8"/>
        <v>-1</v>
      </c>
      <c r="AE332" s="117"/>
      <c r="AF332" s="118" t="str">
        <f t="shared" si="9"/>
        <v/>
      </c>
      <c r="AG332" s="26"/>
      <c r="AH332" s="26"/>
      <c r="AI332" s="26"/>
    </row>
    <row r="333">
      <c r="A333" s="120" t="s">
        <v>4388</v>
      </c>
      <c r="B333" s="7" t="s">
        <v>56</v>
      </c>
      <c r="C333" s="95" t="s">
        <v>4734</v>
      </c>
      <c r="D333" s="109" t="s">
        <v>168</v>
      </c>
      <c r="E333" s="97" t="str">
        <f t="shared" si="2"/>
        <v/>
      </c>
      <c r="F333" s="97" t="str">
        <f t="shared" si="3"/>
        <v/>
      </c>
      <c r="G333" s="99">
        <f t="shared" si="65"/>
        <v>0</v>
      </c>
      <c r="H333" s="121"/>
      <c r="I333" s="122"/>
      <c r="J333" s="123"/>
      <c r="K333" s="124"/>
      <c r="L333" s="125"/>
      <c r="M333" s="181"/>
      <c r="N333" s="126"/>
      <c r="O333" s="127"/>
      <c r="P333" s="13">
        <f t="array" ref="P333">XLOOKUP(B333,Weight!B:B,Weight!D:D,"#N/A",0)</f>
        <v>425</v>
      </c>
      <c r="Q333" s="17" t="str">
        <f t="shared" si="6"/>
        <v/>
      </c>
      <c r="R333" s="107"/>
      <c r="S333" s="108">
        <v>560313.0</v>
      </c>
      <c r="T333" s="108">
        <v>12.0</v>
      </c>
      <c r="U333" s="109">
        <v>150.0</v>
      </c>
      <c r="V333" s="110"/>
      <c r="X333" s="111">
        <f>SUMIFS('Transit Shipment'!$B$10:$B$1048462,'Transit Shipment'!$A$10:$A$1048462,B333,'Transit Shipment'!$C$10:$C$1048462,AA333)</f>
        <v>0</v>
      </c>
      <c r="Y333" s="111">
        <f>IF(SUMIFS(DIH!$S$2:$S833,DIH!$D$2:$D833,B333,DIH!$U$2:$U833,AA333)&gt;0,SUMIFS(DIH!$S$2:$S833,DIH!$D$2:$D833,B333,DIH!$U$2:$U833,AA333),0)</f>
        <v>4</v>
      </c>
      <c r="Z333" s="112">
        <f t="shared" si="7"/>
        <v>4</v>
      </c>
      <c r="AA333" s="130" t="s">
        <v>13</v>
      </c>
      <c r="AB333" s="114">
        <f>IF(ISNA(VLOOKUP($B333,'Business Report'!$D$2:$J$202,2,0)),"",VLOOKUP($B333,'Business Report'!$D$2:$J$202,2,0))</f>
        <v>19</v>
      </c>
      <c r="AC333" s="115">
        <f>SUMIFS(AFS!$P$2:$P$6260,AFS!$N$2:$N$6260,B333,AFS!$AT$2:$AT$6260,AA333)</f>
        <v>0</v>
      </c>
      <c r="AD333" s="116">
        <f t="shared" si="8"/>
        <v>-4</v>
      </c>
      <c r="AE333" s="117"/>
      <c r="AF333" s="118" t="str">
        <f t="shared" si="9"/>
        <v/>
      </c>
      <c r="AG333" s="26"/>
      <c r="AH333" s="26"/>
      <c r="AI333" s="26"/>
    </row>
    <row r="334">
      <c r="A334" s="120" t="s">
        <v>4388</v>
      </c>
      <c r="B334" s="7" t="s">
        <v>56</v>
      </c>
      <c r="C334" s="95" t="s">
        <v>4734</v>
      </c>
      <c r="D334" s="109" t="s">
        <v>168</v>
      </c>
      <c r="E334" s="97" t="str">
        <f t="shared" si="2"/>
        <v/>
      </c>
      <c r="F334" s="97" t="str">
        <f t="shared" si="3"/>
        <v/>
      </c>
      <c r="G334" s="99">
        <f t="shared" si="65"/>
        <v>0</v>
      </c>
      <c r="H334" s="121"/>
      <c r="I334" s="122"/>
      <c r="J334" s="123"/>
      <c r="K334" s="124"/>
      <c r="L334" s="125"/>
      <c r="M334" s="181"/>
      <c r="N334" s="126"/>
      <c r="O334" s="127"/>
      <c r="P334" s="13">
        <f t="array" ref="P334">XLOOKUP(B334,Weight!B:B,Weight!D:D,"#N/A",0)</f>
        <v>425</v>
      </c>
      <c r="Q334" s="17" t="str">
        <f t="shared" si="6"/>
        <v/>
      </c>
      <c r="R334" s="107"/>
      <c r="S334" s="108">
        <v>560313.0</v>
      </c>
      <c r="T334" s="108">
        <v>12.0</v>
      </c>
      <c r="U334" s="109">
        <v>150.0</v>
      </c>
      <c r="V334" s="110"/>
      <c r="X334" s="111">
        <f>SUMIFS('Transit Shipment'!$B$10:$B$1048462,'Transit Shipment'!$A$10:$A$1048462,B334,'Transit Shipment'!$C$10:$C$1048462,AA334)</f>
        <v>0</v>
      </c>
      <c r="Y334" s="111">
        <f>IF(SUMIFS(DIH!$S$2:$S833,DIH!$D$2:$D833,B334,DIH!$U$2:$U833,AA334)&gt;0,SUMIFS(DIH!$S$2:$S833,DIH!$D$2:$D833,B334,DIH!$U$2:$U833,AA334),0)</f>
        <v>4</v>
      </c>
      <c r="Z334" s="112">
        <f t="shared" si="7"/>
        <v>4</v>
      </c>
      <c r="AA334" s="119" t="s">
        <v>14</v>
      </c>
      <c r="AB334" s="114">
        <f>IF(ISNA(VLOOKUP($B334,'Business Report'!$D$2:$J$202,2,0)),"",VLOOKUP($B334,'Business Report'!$D$2:$J$202,2,0))</f>
        <v>19</v>
      </c>
      <c r="AC334" s="115">
        <f>SUMIFS(AFS!$P$2:$P$6260,AFS!$N$2:$N$6260,B334,AFS!$AT$2:$AT$6260,AA334)</f>
        <v>1</v>
      </c>
      <c r="AD334" s="116">
        <f t="shared" si="8"/>
        <v>-2</v>
      </c>
      <c r="AE334" s="117"/>
      <c r="AF334" s="118" t="str">
        <f t="shared" si="9"/>
        <v/>
      </c>
      <c r="AG334" s="26"/>
      <c r="AH334" s="26"/>
      <c r="AI334" s="26"/>
    </row>
    <row r="335">
      <c r="A335" s="120" t="s">
        <v>4388</v>
      </c>
      <c r="B335" s="7" t="s">
        <v>56</v>
      </c>
      <c r="C335" s="95" t="s">
        <v>4734</v>
      </c>
      <c r="D335" s="109" t="s">
        <v>168</v>
      </c>
      <c r="E335" s="97">
        <f t="shared" si="2"/>
        <v>2</v>
      </c>
      <c r="F335" s="97">
        <f t="shared" si="3"/>
        <v>0</v>
      </c>
      <c r="G335" s="99">
        <f t="shared" si="65"/>
        <v>20</v>
      </c>
      <c r="H335" s="121"/>
      <c r="I335" s="122"/>
      <c r="J335" s="123"/>
      <c r="K335" s="124"/>
      <c r="L335" s="125"/>
      <c r="M335" s="181"/>
      <c r="N335" s="126"/>
      <c r="O335" s="127"/>
      <c r="P335" s="13">
        <f t="array" ref="P335">XLOOKUP(B335,Weight!B:B,Weight!D:D,"#N/A",0)</f>
        <v>425</v>
      </c>
      <c r="Q335" s="17">
        <f t="shared" si="6"/>
        <v>1700</v>
      </c>
      <c r="R335" s="107"/>
      <c r="S335" s="108">
        <v>560313.0</v>
      </c>
      <c r="T335" s="108">
        <v>12.0</v>
      </c>
      <c r="U335" s="109">
        <v>150.0</v>
      </c>
      <c r="V335" s="110"/>
      <c r="X335" s="111">
        <f>SUMIFS('Transit Shipment'!$B$10:$B$1048462,'Transit Shipment'!$A$10:$A$1048462,B335,'Transit Shipment'!$C$10:$C$1048462,AA335)</f>
        <v>0</v>
      </c>
      <c r="Y335" s="111">
        <f>IF(SUMIFS(DIH!$S$2:$S833,DIH!$D$2:$D833,B335,DIH!$U$2:$U833,AA335)&gt;0,SUMIFS(DIH!$S$2:$S833,DIH!$D$2:$D833,B335,DIH!$U$2:$U833,AA335),0)</f>
        <v>2</v>
      </c>
      <c r="Z335" s="112">
        <f t="shared" si="7"/>
        <v>2</v>
      </c>
      <c r="AA335" s="131" t="s">
        <v>16</v>
      </c>
      <c r="AB335" s="114">
        <f>IF(ISNA(VLOOKUP($B335,'Business Report'!$D$2:$J$202,2,0)),"",VLOOKUP($B335,'Business Report'!$D$2:$J$202,2,0))</f>
        <v>19</v>
      </c>
      <c r="AC335" s="115">
        <f>SUMIFS(AFS!$P$2:$P$6260,AFS!$N$2:$N$6260,B335,AFS!$AT$2:$AT$6260,AA335)</f>
        <v>4</v>
      </c>
      <c r="AD335" s="116">
        <f t="shared" si="8"/>
        <v>4</v>
      </c>
      <c r="AE335" s="117"/>
      <c r="AF335" s="118">
        <f t="shared" si="9"/>
        <v>4</v>
      </c>
      <c r="AG335" s="26"/>
      <c r="AH335" s="26"/>
      <c r="AI335" s="26"/>
    </row>
    <row r="336">
      <c r="A336" s="132" t="s">
        <v>4388</v>
      </c>
      <c r="B336" s="15" t="s">
        <v>56</v>
      </c>
      <c r="C336" s="133" t="s">
        <v>4734</v>
      </c>
      <c r="D336" s="134" t="s">
        <v>168</v>
      </c>
      <c r="E336" s="135">
        <f t="shared" si="2"/>
        <v>1</v>
      </c>
      <c r="F336" s="135">
        <f t="shared" si="3"/>
        <v>0</v>
      </c>
      <c r="G336" s="136">
        <f t="shared" si="65"/>
        <v>0</v>
      </c>
      <c r="H336" s="137"/>
      <c r="I336" s="138"/>
      <c r="J336" s="139"/>
      <c r="K336" s="140"/>
      <c r="L336" s="135"/>
      <c r="M336" s="152"/>
      <c r="N336" s="142"/>
      <c r="O336" s="143"/>
      <c r="P336" s="144">
        <f t="array" ref="P336">XLOOKUP(B336,Weight!B:B,Weight!D:D,"#N/A",0)</f>
        <v>425</v>
      </c>
      <c r="Q336" s="145" t="str">
        <f t="shared" si="6"/>
        <v/>
      </c>
      <c r="R336" s="146"/>
      <c r="S336" s="147">
        <v>560313.0</v>
      </c>
      <c r="T336" s="147">
        <v>12.0</v>
      </c>
      <c r="U336" s="109">
        <v>150.0</v>
      </c>
      <c r="V336" s="148"/>
      <c r="W336" s="149"/>
      <c r="X336" s="150">
        <f>SUMIFS('Transit Shipment'!$B$10:$B$1048462,'Transit Shipment'!$A$10:$A$1048462,B336,'Transit Shipment'!$C$10:$C$1048462,AA336)</f>
        <v>0</v>
      </c>
      <c r="Y336" s="150">
        <f>IF(SUMIFS(DIH!$S$2:$S833,DIH!$D$2:$D833,B336,DIH!$U$2:$U833,AA336)&gt;0,SUMIFS(DIH!$S$2:$S833,DIH!$D$2:$D833,B336,DIH!$U$2:$U833,AA336),0)</f>
        <v>0</v>
      </c>
      <c r="Z336" s="151">
        <f t="shared" si="7"/>
        <v>0</v>
      </c>
      <c r="AA336" s="152" t="s">
        <v>17</v>
      </c>
      <c r="AB336" s="154">
        <f>IF(ISNA(VLOOKUP($B336,'Business Report'!$D$2:$J$202,2,0)),"",VLOOKUP($B336,'Business Report'!$D$2:$J$202,2,0))</f>
        <v>19</v>
      </c>
      <c r="AC336" s="155">
        <f>SUMIFS(AFS!$P$2:$P$6260,AFS!$N$2:$N$6260,B336,AFS!$AT$2:$AT$6260,AA336)</f>
        <v>0</v>
      </c>
      <c r="AD336" s="156">
        <f t="shared" si="8"/>
        <v>0</v>
      </c>
      <c r="AE336" s="159">
        <f>SUM(AD328:AD336)</f>
        <v>-2</v>
      </c>
      <c r="AF336" s="118" t="str">
        <f t="shared" si="9"/>
        <v/>
      </c>
      <c r="AG336" s="26"/>
      <c r="AH336" s="26"/>
      <c r="AI336" s="26"/>
    </row>
    <row r="337">
      <c r="A337" s="66" t="s">
        <v>4572</v>
      </c>
      <c r="B337" s="1" t="s">
        <v>58</v>
      </c>
      <c r="C337" s="95" t="s">
        <v>4906</v>
      </c>
      <c r="D337" s="68" t="s">
        <v>168</v>
      </c>
      <c r="E337" s="69">
        <f t="shared" si="2"/>
        <v>1</v>
      </c>
      <c r="F337" s="69">
        <f t="shared" si="3"/>
        <v>0</v>
      </c>
      <c r="G337" s="70">
        <f t="shared" si="65"/>
        <v>10</v>
      </c>
      <c r="H337" s="163"/>
      <c r="I337" s="101"/>
      <c r="J337" s="102"/>
      <c r="K337" s="167"/>
      <c r="L337" s="119"/>
      <c r="M337" s="169"/>
      <c r="N337" s="171"/>
      <c r="O337" s="106"/>
      <c r="P337" s="79">
        <f t="array" ref="P337">XLOOKUP(B337,Weight!B:B,Weight!D:D,"#N/A",0)</f>
        <v>425</v>
      </c>
      <c r="Q337" s="80">
        <f t="shared" si="6"/>
        <v>850</v>
      </c>
      <c r="R337" s="107"/>
      <c r="S337" s="108">
        <v>560313.0</v>
      </c>
      <c r="T337" s="108">
        <v>12.0</v>
      </c>
      <c r="U337" s="83">
        <v>150.0</v>
      </c>
      <c r="V337" s="84" t="str">
        <f t="shared" ref="V337:W337" si="66">B337</f>
        <v>CRM_NW_GREY_DC_PACK OF 5</v>
      </c>
      <c r="W337" s="174" t="str">
        <f t="shared" si="66"/>
        <v>CRASOME Water Dispenser 20 Liter Bottle Jar Cover (Grey Pack of 5)</v>
      </c>
      <c r="X337" s="86">
        <f>SUMIFS('Transit Shipment'!$B$10:$B$1048462,'Transit Shipment'!$A$10:$A$1048462,B337,'Transit Shipment'!$C$10:$C$1048462,AA337)</f>
        <v>0</v>
      </c>
      <c r="Y337" s="86">
        <f>IF(SUMIFS(DIH!$S$2:$S833,DIH!$D$2:$D833,B337,DIH!$U$2:$U833,AA337)&gt;0,SUMIFS(DIH!$S$2:$S833,DIH!$D$2:$D833,B337,DIH!$U$2:$U833,AA337),0)</f>
        <v>1</v>
      </c>
      <c r="Z337" s="87">
        <f t="shared" si="7"/>
        <v>1</v>
      </c>
      <c r="AA337" s="88" t="s">
        <v>5</v>
      </c>
      <c r="AB337" s="89">
        <f>IF(ISNA(VLOOKUP($B337,'Business Report'!$D$2:$J$202,2,0)),"",VLOOKUP($B337,'Business Report'!$D$2:$J$202,2,0))</f>
        <v>29</v>
      </c>
      <c r="AC337" s="90">
        <f>SUMIFS(AFS!$P$2:$P$6260,AFS!$N$2:$N$6260,B337,AFS!$AT$2:$AT$6260,AA337)</f>
        <v>2</v>
      </c>
      <c r="AD337" s="91">
        <f t="shared" si="8"/>
        <v>2</v>
      </c>
      <c r="AE337" s="92"/>
      <c r="AF337" s="93">
        <f t="shared" si="9"/>
        <v>2</v>
      </c>
      <c r="AG337" s="26"/>
      <c r="AH337" s="26"/>
      <c r="AI337" s="26"/>
    </row>
    <row r="338">
      <c r="A338" s="94" t="s">
        <v>4572</v>
      </c>
      <c r="B338" s="3" t="s">
        <v>58</v>
      </c>
      <c r="C338" s="95" t="s">
        <v>4906</v>
      </c>
      <c r="D338" s="96" t="s">
        <v>168</v>
      </c>
      <c r="E338" s="97">
        <f t="shared" si="2"/>
        <v>1</v>
      </c>
      <c r="F338" s="97">
        <f t="shared" si="3"/>
        <v>0.5</v>
      </c>
      <c r="G338" s="99">
        <f t="shared" si="65"/>
        <v>20</v>
      </c>
      <c r="H338" s="100"/>
      <c r="I338" s="101"/>
      <c r="J338" s="102"/>
      <c r="K338" s="103"/>
      <c r="L338" s="97"/>
      <c r="M338" s="169"/>
      <c r="N338" s="105"/>
      <c r="O338" s="106"/>
      <c r="P338" s="13">
        <f t="array" ref="P338">XLOOKUP(B338,Weight!B:B,Weight!D:D,"#N/A",0)</f>
        <v>425</v>
      </c>
      <c r="Q338" s="17">
        <f t="shared" si="6"/>
        <v>1700</v>
      </c>
      <c r="R338" s="107"/>
      <c r="S338" s="108">
        <v>560313.0</v>
      </c>
      <c r="T338" s="108">
        <v>12.0</v>
      </c>
      <c r="U338" s="109">
        <v>150.0</v>
      </c>
      <c r="V338" s="110"/>
      <c r="X338" s="111">
        <f>SUMIFS('Transit Shipment'!$B$10:$B$1048462,'Transit Shipment'!$A$10:$A$1048462,B338,'Transit Shipment'!$C$10:$C$1048462,AA338)</f>
        <v>0</v>
      </c>
      <c r="Y338" s="111">
        <f>IF(SUMIFS(DIH!$S$2:$S833,DIH!$D$2:$D833,B338,DIH!$U$2:$U833,AA338)&gt;0,SUMIFS(DIH!$S$2:$S833,DIH!$D$2:$D833,B338,DIH!$U$2:$U833,AA338),0)</f>
        <v>0</v>
      </c>
      <c r="Z338" s="112">
        <f t="shared" si="7"/>
        <v>0</v>
      </c>
      <c r="AA338" s="113" t="s">
        <v>11</v>
      </c>
      <c r="AB338" s="114">
        <f>IF(ISNA(VLOOKUP($B338,'Business Report'!$D$2:$J$202,2,0)),"",VLOOKUP($B338,'Business Report'!$D$2:$J$202,2,0))</f>
        <v>29</v>
      </c>
      <c r="AC338" s="115">
        <f>SUMIFS(AFS!$P$2:$P$6260,AFS!$N$2:$N$6260,B338,AFS!$AT$2:$AT$6260,AA338)</f>
        <v>2</v>
      </c>
      <c r="AD338" s="116">
        <f t="shared" si="8"/>
        <v>3</v>
      </c>
      <c r="AE338" s="117"/>
      <c r="AF338" s="118">
        <f t="shared" si="9"/>
        <v>4</v>
      </c>
      <c r="AG338" s="26"/>
      <c r="AH338" s="26"/>
      <c r="AI338" s="26"/>
    </row>
    <row r="339">
      <c r="A339" s="94" t="s">
        <v>4572</v>
      </c>
      <c r="B339" s="3" t="s">
        <v>58</v>
      </c>
      <c r="C339" s="95" t="s">
        <v>4906</v>
      </c>
      <c r="D339" s="96" t="s">
        <v>168</v>
      </c>
      <c r="E339" s="97">
        <f t="shared" si="2"/>
        <v>1</v>
      </c>
      <c r="F339" s="97">
        <f t="shared" si="3"/>
        <v>0</v>
      </c>
      <c r="G339" s="99">
        <f t="shared" si="65"/>
        <v>10</v>
      </c>
      <c r="H339" s="100"/>
      <c r="I339" s="101"/>
      <c r="J339" s="102"/>
      <c r="K339" s="103"/>
      <c r="L339" s="97"/>
      <c r="M339" s="169"/>
      <c r="N339" s="105"/>
      <c r="O339" s="106"/>
      <c r="P339" s="13">
        <f t="array" ref="P339">XLOOKUP(B339,Weight!B:B,Weight!D:D,"#N/A",0)</f>
        <v>425</v>
      </c>
      <c r="Q339" s="17">
        <f t="shared" si="6"/>
        <v>850</v>
      </c>
      <c r="R339" s="107"/>
      <c r="S339" s="108">
        <v>560313.0</v>
      </c>
      <c r="T339" s="108">
        <v>12.0</v>
      </c>
      <c r="U339" s="109">
        <v>150.0</v>
      </c>
      <c r="V339" s="110"/>
      <c r="X339" s="111">
        <f>SUMIFS('Transit Shipment'!$B$10:$B$1048462,'Transit Shipment'!$A$10:$A$1048462,B339,'Transit Shipment'!$C$10:$C$1048462,AA339)</f>
        <v>0</v>
      </c>
      <c r="Y339" s="111">
        <f>IF(SUMIFS(DIH!$S$2:$S833,DIH!$D$2:$D833,B339,DIH!$U$2:$U833,AA339)&gt;0,SUMIFS(DIH!$S$2:$S833,DIH!$D$2:$D833,B339,DIH!$U$2:$U833,AA339),0)</f>
        <v>1</v>
      </c>
      <c r="Z339" s="112">
        <f t="shared" si="7"/>
        <v>1</v>
      </c>
      <c r="AA339" s="119" t="s">
        <v>9</v>
      </c>
      <c r="AB339" s="114">
        <f>IF(ISNA(VLOOKUP($B339,'Business Report'!$D$2:$J$202,2,0)),"",VLOOKUP($B339,'Business Report'!$D$2:$J$202,2,0))</f>
        <v>29</v>
      </c>
      <c r="AC339" s="115">
        <f>SUMIFS(AFS!$P$2:$P$6260,AFS!$N$2:$N$6260,B339,AFS!$AT$2:$AT$6260,AA339)</f>
        <v>2</v>
      </c>
      <c r="AD339" s="116">
        <f t="shared" si="8"/>
        <v>2</v>
      </c>
      <c r="AE339" s="117"/>
      <c r="AF339" s="118">
        <f t="shared" si="9"/>
        <v>2</v>
      </c>
      <c r="AG339" s="4"/>
      <c r="AH339" s="26"/>
      <c r="AI339" s="26"/>
    </row>
    <row r="340">
      <c r="A340" s="120" t="s">
        <v>4572</v>
      </c>
      <c r="B340" s="7" t="s">
        <v>58</v>
      </c>
      <c r="C340" s="95" t="s">
        <v>4906</v>
      </c>
      <c r="D340" s="109" t="s">
        <v>168</v>
      </c>
      <c r="E340" s="97">
        <f t="shared" si="2"/>
        <v>1</v>
      </c>
      <c r="F340" s="97">
        <f t="shared" si="3"/>
        <v>0</v>
      </c>
      <c r="G340" s="99">
        <f t="shared" si="65"/>
        <v>0</v>
      </c>
      <c r="H340" s="121"/>
      <c r="I340" s="122"/>
      <c r="J340" s="123"/>
      <c r="K340" s="124"/>
      <c r="L340" s="125"/>
      <c r="M340" s="181"/>
      <c r="N340" s="126"/>
      <c r="O340" s="127"/>
      <c r="P340" s="13">
        <f t="array" ref="P340">XLOOKUP(B340,Weight!B:B,Weight!D:D,"#N/A",0)</f>
        <v>425</v>
      </c>
      <c r="Q340" s="17" t="str">
        <f t="shared" si="6"/>
        <v/>
      </c>
      <c r="R340" s="107"/>
      <c r="S340" s="108">
        <v>560313.0</v>
      </c>
      <c r="T340" s="108">
        <v>12.0</v>
      </c>
      <c r="U340" s="109">
        <v>150.0</v>
      </c>
      <c r="V340" s="110"/>
      <c r="X340" s="111">
        <f>SUMIFS('Transit Shipment'!$B$10:$B$1048462,'Transit Shipment'!$A$10:$A$1048462,B340,'Transit Shipment'!$C$10:$C$1048462,AA340)</f>
        <v>0</v>
      </c>
      <c r="Y340" s="111">
        <f>IF(SUMIFS(DIH!$S$2:$S833,DIH!$D$2:$D833,B340,DIH!$U$2:$U833,AA340)&gt;0,SUMIFS(DIH!$S$2:$S833,DIH!$D$2:$D833,B340,DIH!$U$2:$U833,AA340),0)</f>
        <v>0</v>
      </c>
      <c r="Z340" s="112">
        <f t="shared" si="7"/>
        <v>0</v>
      </c>
      <c r="AA340" s="119" t="s">
        <v>155</v>
      </c>
      <c r="AB340" s="114">
        <f>IF(ISNA(VLOOKUP($B340,'Business Report'!$D$2:$J$202,2,0)),"",VLOOKUP($B340,'Business Report'!$D$2:$J$202,2,0))</f>
        <v>29</v>
      </c>
      <c r="AC340" s="115">
        <f>SUMIFS(AFS!$P$2:$P$6260,AFS!$N$2:$N$6260,B340,AFS!$AT$2:$AT$6260,AA340)</f>
        <v>0</v>
      </c>
      <c r="AD340" s="116">
        <f t="shared" si="8"/>
        <v>0</v>
      </c>
      <c r="AE340" s="117"/>
      <c r="AF340" s="118" t="str">
        <f t="shared" si="9"/>
        <v/>
      </c>
      <c r="AG340" s="4"/>
      <c r="AH340" s="26"/>
      <c r="AI340" s="26"/>
    </row>
    <row r="341">
      <c r="A341" s="120" t="s">
        <v>4572</v>
      </c>
      <c r="B341" s="7" t="s">
        <v>58</v>
      </c>
      <c r="C341" s="95" t="s">
        <v>4906</v>
      </c>
      <c r="D341" s="109" t="s">
        <v>168</v>
      </c>
      <c r="E341" s="97">
        <f t="shared" si="2"/>
        <v>0</v>
      </c>
      <c r="F341" s="97">
        <f t="shared" si="3"/>
        <v>0.5</v>
      </c>
      <c r="G341" s="99">
        <f t="shared" si="65"/>
        <v>10</v>
      </c>
      <c r="H341" s="121"/>
      <c r="I341" s="122"/>
      <c r="J341" s="123"/>
      <c r="K341" s="124"/>
      <c r="L341" s="125"/>
      <c r="M341" s="181"/>
      <c r="N341" s="126"/>
      <c r="O341" s="127"/>
      <c r="P341" s="13">
        <f t="array" ref="P341">XLOOKUP(B341,Weight!B:B,Weight!D:D,"#N/A",0)</f>
        <v>425</v>
      </c>
      <c r="Q341" s="17">
        <f t="shared" si="6"/>
        <v>850</v>
      </c>
      <c r="R341" s="107"/>
      <c r="S341" s="108">
        <v>560313.0</v>
      </c>
      <c r="T341" s="108">
        <v>12.0</v>
      </c>
      <c r="U341" s="109">
        <v>150.0</v>
      </c>
      <c r="V341" s="110"/>
      <c r="X341" s="111">
        <f>SUMIFS('Transit Shipment'!$B$10:$B$1048462,'Transit Shipment'!$A$10:$A$1048462,B341,'Transit Shipment'!$C$10:$C$1048462,AA341)</f>
        <v>0</v>
      </c>
      <c r="Y341" s="111">
        <f>IF(SUMIFS(DIH!$S$2:$S833,DIH!$D$2:$D833,B341,DIH!$U$2:$U833,AA341)&gt;0,SUMIFS(DIH!$S$2:$S833,DIH!$D$2:$D833,B341,DIH!$U$2:$U833,AA341),0)</f>
        <v>1</v>
      </c>
      <c r="Z341" s="112">
        <f t="shared" si="7"/>
        <v>1</v>
      </c>
      <c r="AA341" s="119" t="s">
        <v>156</v>
      </c>
      <c r="AB341" s="114">
        <f>IF(ISNA(VLOOKUP($B341,'Business Report'!$D$2:$J$202,2,0)),"",VLOOKUP($B341,'Business Report'!$D$2:$J$202,2,0))</f>
        <v>29</v>
      </c>
      <c r="AC341" s="115">
        <f>SUMIFS(AFS!$P$2:$P$6260,AFS!$N$2:$N$6260,B341,AFS!$AT$2:$AT$6260,AA341)</f>
        <v>1</v>
      </c>
      <c r="AD341" s="116">
        <f t="shared" si="8"/>
        <v>1</v>
      </c>
      <c r="AE341" s="117"/>
      <c r="AF341" s="118">
        <f t="shared" si="9"/>
        <v>2</v>
      </c>
      <c r="AG341" s="4"/>
      <c r="AH341" s="26"/>
      <c r="AI341" s="26"/>
    </row>
    <row r="342">
      <c r="A342" s="120" t="s">
        <v>4572</v>
      </c>
      <c r="B342" s="7" t="s">
        <v>58</v>
      </c>
      <c r="C342" s="95" t="s">
        <v>4906</v>
      </c>
      <c r="D342" s="109" t="s">
        <v>168</v>
      </c>
      <c r="E342" s="97">
        <f t="shared" si="2"/>
        <v>1</v>
      </c>
      <c r="F342" s="97">
        <f t="shared" si="3"/>
        <v>0</v>
      </c>
      <c r="G342" s="99">
        <f t="shared" si="65"/>
        <v>0</v>
      </c>
      <c r="H342" s="121"/>
      <c r="I342" s="122"/>
      <c r="J342" s="123"/>
      <c r="K342" s="124"/>
      <c r="L342" s="125"/>
      <c r="M342" s="181"/>
      <c r="N342" s="126"/>
      <c r="O342" s="127"/>
      <c r="P342" s="13">
        <f t="array" ref="P342">XLOOKUP(B342,Weight!B:B,Weight!D:D,"#N/A",0)</f>
        <v>425</v>
      </c>
      <c r="Q342" s="17" t="str">
        <f t="shared" si="6"/>
        <v/>
      </c>
      <c r="R342" s="107"/>
      <c r="S342" s="108">
        <v>560313.0</v>
      </c>
      <c r="T342" s="108">
        <v>12.0</v>
      </c>
      <c r="U342" s="109">
        <v>150.0</v>
      </c>
      <c r="V342" s="110"/>
      <c r="X342" s="111">
        <f>SUMIFS('Transit Shipment'!$B$10:$B$1048462,'Transit Shipment'!$A$10:$A$1048462,B342,'Transit Shipment'!$C$10:$C$1048462,AA342)</f>
        <v>0</v>
      </c>
      <c r="Y342" s="111">
        <f>IF(SUMIFS(DIH!$S$2:$S833,DIH!$D$2:$D833,B342,DIH!$U$2:$U833,AA342)&gt;0,SUMIFS(DIH!$S$2:$S833,DIH!$D$2:$D833,B342,DIH!$U$2:$U833,AA342),0)</f>
        <v>0</v>
      </c>
      <c r="Z342" s="112">
        <f t="shared" si="7"/>
        <v>0</v>
      </c>
      <c r="AA342" s="130" t="s">
        <v>13</v>
      </c>
      <c r="AB342" s="114">
        <f>IF(ISNA(VLOOKUP($B342,'Business Report'!$D$2:$J$202,2,0)),"",VLOOKUP($B342,'Business Report'!$D$2:$J$202,2,0))</f>
        <v>29</v>
      </c>
      <c r="AC342" s="115">
        <f>SUMIFS(AFS!$P$2:$P$6260,AFS!$N$2:$N$6260,B342,AFS!$AT$2:$AT$6260,AA342)</f>
        <v>0</v>
      </c>
      <c r="AD342" s="116">
        <f t="shared" si="8"/>
        <v>0</v>
      </c>
      <c r="AE342" s="117"/>
      <c r="AF342" s="118" t="str">
        <f t="shared" si="9"/>
        <v/>
      </c>
      <c r="AG342" s="26"/>
      <c r="AH342" s="26"/>
      <c r="AI342" s="26"/>
    </row>
    <row r="343">
      <c r="A343" s="120" t="s">
        <v>4572</v>
      </c>
      <c r="B343" s="7" t="s">
        <v>58</v>
      </c>
      <c r="C343" s="95" t="s">
        <v>4906</v>
      </c>
      <c r="D343" s="109" t="s">
        <v>168</v>
      </c>
      <c r="E343" s="97" t="str">
        <f t="shared" si="2"/>
        <v/>
      </c>
      <c r="F343" s="97" t="str">
        <f t="shared" si="3"/>
        <v/>
      </c>
      <c r="G343" s="99">
        <f t="shared" si="65"/>
        <v>0</v>
      </c>
      <c r="H343" s="121"/>
      <c r="I343" s="122"/>
      <c r="J343" s="123"/>
      <c r="K343" s="124"/>
      <c r="L343" s="125"/>
      <c r="M343" s="181"/>
      <c r="N343" s="126"/>
      <c r="O343" s="127"/>
      <c r="P343" s="13">
        <f t="array" ref="P343">XLOOKUP(B343,Weight!B:B,Weight!D:D,"#N/A",0)</f>
        <v>425</v>
      </c>
      <c r="Q343" s="17" t="str">
        <f t="shared" si="6"/>
        <v/>
      </c>
      <c r="R343" s="107"/>
      <c r="S343" s="108">
        <v>560313.0</v>
      </c>
      <c r="T343" s="108">
        <v>12.0</v>
      </c>
      <c r="U343" s="109">
        <v>150.0</v>
      </c>
      <c r="V343" s="110"/>
      <c r="X343" s="111">
        <f>SUMIFS('Transit Shipment'!$B$10:$B$1048462,'Transit Shipment'!$A$10:$A$1048462,B343,'Transit Shipment'!$C$10:$C$1048462,AA343)</f>
        <v>0</v>
      </c>
      <c r="Y343" s="111">
        <f>IF(SUMIFS(DIH!$S$2:$S833,DIH!$D$2:$D833,B343,DIH!$U$2:$U833,AA343)&gt;0,SUMIFS(DIH!$S$2:$S833,DIH!$D$2:$D833,B343,DIH!$U$2:$U833,AA343),0)</f>
        <v>2</v>
      </c>
      <c r="Z343" s="112">
        <f t="shared" si="7"/>
        <v>2</v>
      </c>
      <c r="AA343" s="119" t="s">
        <v>14</v>
      </c>
      <c r="AB343" s="114">
        <f>IF(ISNA(VLOOKUP($B343,'Business Report'!$D$2:$J$202,2,0)),"",VLOOKUP($B343,'Business Report'!$D$2:$J$202,2,0))</f>
        <v>29</v>
      </c>
      <c r="AC343" s="115">
        <f>SUMIFS(AFS!$P$2:$P$6260,AFS!$N$2:$N$6260,B343,AFS!$AT$2:$AT$6260,AA343)</f>
        <v>0</v>
      </c>
      <c r="AD343" s="116">
        <f t="shared" si="8"/>
        <v>-2</v>
      </c>
      <c r="AE343" s="117"/>
      <c r="AF343" s="118" t="str">
        <f t="shared" si="9"/>
        <v/>
      </c>
      <c r="AG343" s="26"/>
      <c r="AH343" s="26"/>
      <c r="AI343" s="26"/>
    </row>
    <row r="344">
      <c r="A344" s="120" t="s">
        <v>4572</v>
      </c>
      <c r="B344" s="7" t="s">
        <v>58</v>
      </c>
      <c r="C344" s="95" t="s">
        <v>4906</v>
      </c>
      <c r="D344" s="109" t="s">
        <v>168</v>
      </c>
      <c r="E344" s="97" t="str">
        <f t="shared" si="2"/>
        <v/>
      </c>
      <c r="F344" s="97" t="str">
        <f t="shared" si="3"/>
        <v/>
      </c>
      <c r="G344" s="99">
        <f t="shared" si="65"/>
        <v>0</v>
      </c>
      <c r="H344" s="121"/>
      <c r="I344" s="122"/>
      <c r="J344" s="123"/>
      <c r="K344" s="124"/>
      <c r="L344" s="125"/>
      <c r="M344" s="181"/>
      <c r="N344" s="126"/>
      <c r="O344" s="127"/>
      <c r="P344" s="13">
        <f t="array" ref="P344">XLOOKUP(B344,Weight!B:B,Weight!D:D,"#N/A",0)</f>
        <v>425</v>
      </c>
      <c r="Q344" s="17" t="str">
        <f t="shared" si="6"/>
        <v/>
      </c>
      <c r="R344" s="107"/>
      <c r="S344" s="108">
        <v>560313.0</v>
      </c>
      <c r="T344" s="108">
        <v>12.0</v>
      </c>
      <c r="U344" s="109">
        <v>150.0</v>
      </c>
      <c r="V344" s="110"/>
      <c r="X344" s="111">
        <f>SUMIFS('Transit Shipment'!$B$10:$B$1048462,'Transit Shipment'!$A$10:$A$1048462,B344,'Transit Shipment'!$C$10:$C$1048462,AA344)</f>
        <v>0</v>
      </c>
      <c r="Y344" s="111">
        <f>IF(SUMIFS(DIH!$S$2:$S833,DIH!$D$2:$D833,B344,DIH!$U$2:$U833,AA344)&gt;0,SUMIFS(DIH!$S$2:$S833,DIH!$D$2:$D833,B344,DIH!$U$2:$U833,AA344),0)</f>
        <v>3</v>
      </c>
      <c r="Z344" s="112">
        <f t="shared" si="7"/>
        <v>3</v>
      </c>
      <c r="AA344" s="131" t="s">
        <v>16</v>
      </c>
      <c r="AB344" s="114">
        <f>IF(ISNA(VLOOKUP($B344,'Business Report'!$D$2:$J$202,2,0)),"",VLOOKUP($B344,'Business Report'!$D$2:$J$202,2,0))</f>
        <v>29</v>
      </c>
      <c r="AC344" s="115">
        <f>SUMIFS(AFS!$P$2:$P$6260,AFS!$N$2:$N$6260,B344,AFS!$AT$2:$AT$6260,AA344)</f>
        <v>0</v>
      </c>
      <c r="AD344" s="116">
        <f t="shared" si="8"/>
        <v>-3</v>
      </c>
      <c r="AE344" s="117"/>
      <c r="AF344" s="118" t="str">
        <f t="shared" si="9"/>
        <v/>
      </c>
      <c r="AG344" s="26"/>
      <c r="AH344" s="26"/>
      <c r="AI344" s="26"/>
    </row>
    <row r="345">
      <c r="A345" s="132" t="s">
        <v>4572</v>
      </c>
      <c r="B345" s="15" t="s">
        <v>58</v>
      </c>
      <c r="C345" s="133" t="s">
        <v>4906</v>
      </c>
      <c r="D345" s="134" t="s">
        <v>168</v>
      </c>
      <c r="E345" s="135">
        <f t="shared" si="2"/>
        <v>1</v>
      </c>
      <c r="F345" s="135">
        <f t="shared" si="3"/>
        <v>0</v>
      </c>
      <c r="G345" s="136">
        <f t="shared" si="65"/>
        <v>10</v>
      </c>
      <c r="H345" s="137"/>
      <c r="I345" s="138"/>
      <c r="J345" s="139"/>
      <c r="K345" s="140"/>
      <c r="L345" s="135"/>
      <c r="M345" s="152"/>
      <c r="N345" s="142"/>
      <c r="O345" s="143"/>
      <c r="P345" s="144">
        <f t="array" ref="P345">XLOOKUP(B345,Weight!B:B,Weight!D:D,"#N/A",0)</f>
        <v>425</v>
      </c>
      <c r="Q345" s="145">
        <f t="shared" si="6"/>
        <v>850</v>
      </c>
      <c r="R345" s="146"/>
      <c r="S345" s="147">
        <v>560313.0</v>
      </c>
      <c r="T345" s="147">
        <v>12.0</v>
      </c>
      <c r="U345" s="109">
        <v>150.0</v>
      </c>
      <c r="V345" s="148"/>
      <c r="W345" s="149"/>
      <c r="X345" s="150">
        <f>SUMIFS('Transit Shipment'!$B$10:$B$1048462,'Transit Shipment'!$A$10:$A$1048462,B345,'Transit Shipment'!$C$10:$C$1048462,AA345)</f>
        <v>0</v>
      </c>
      <c r="Y345" s="150">
        <f>IF(SUMIFS(DIH!$S$2:$S833,DIH!$D$2:$D833,B345,DIH!$U$2:$U833,AA345)&gt;0,SUMIFS(DIH!$S$2:$S833,DIH!$D$2:$D833,B345,DIH!$U$2:$U833,AA345),0)</f>
        <v>2</v>
      </c>
      <c r="Z345" s="151">
        <f t="shared" si="7"/>
        <v>2</v>
      </c>
      <c r="AA345" s="152" t="s">
        <v>17</v>
      </c>
      <c r="AB345" s="154">
        <f>IF(ISNA(VLOOKUP($B345,'Business Report'!$D$2:$J$202,2,0)),"",VLOOKUP($B345,'Business Report'!$D$2:$J$202,2,0))</f>
        <v>29</v>
      </c>
      <c r="AC345" s="155">
        <f>SUMIFS(AFS!$P$2:$P$6260,AFS!$N$2:$N$6260,B345,AFS!$AT$2:$AT$6260,AA345)</f>
        <v>3</v>
      </c>
      <c r="AD345" s="156">
        <f t="shared" si="8"/>
        <v>2</v>
      </c>
      <c r="AE345" s="159">
        <f>SUM(AD337:AD345)</f>
        <v>5</v>
      </c>
      <c r="AF345" s="118">
        <f t="shared" si="9"/>
        <v>2</v>
      </c>
      <c r="AG345" s="26"/>
      <c r="AH345" s="26"/>
      <c r="AI345" s="26"/>
    </row>
    <row r="346">
      <c r="A346" s="66" t="s">
        <v>4388</v>
      </c>
      <c r="B346" s="1" t="s">
        <v>61</v>
      </c>
      <c r="C346" s="95" t="s">
        <v>5068</v>
      </c>
      <c r="D346" s="68" t="s">
        <v>168</v>
      </c>
      <c r="E346" s="69" t="str">
        <f t="shared" si="2"/>
        <v/>
      </c>
      <c r="F346" s="69" t="str">
        <f t="shared" si="3"/>
        <v/>
      </c>
      <c r="G346" s="70">
        <f t="shared" ref="G346:G363" si="68">IF(ISERROR(SEARCH("Apron",D346)),AF346,"")*2</f>
        <v>0</v>
      </c>
      <c r="H346" s="163"/>
      <c r="I346" s="101"/>
      <c r="J346" s="102"/>
      <c r="K346" s="167"/>
      <c r="L346" s="119"/>
      <c r="M346" s="169"/>
      <c r="N346" s="171"/>
      <c r="O346" s="106"/>
      <c r="P346" s="79">
        <f t="array" ref="P346">XLOOKUP(B346,Weight!B:B,Weight!D:D,"#N/A",0)</f>
        <v>170</v>
      </c>
      <c r="Q346" s="80" t="str">
        <f t="shared" si="6"/>
        <v/>
      </c>
      <c r="R346" s="107"/>
      <c r="S346" s="108">
        <v>560313.0</v>
      </c>
      <c r="T346" s="108">
        <v>12.0</v>
      </c>
      <c r="U346" s="83">
        <v>60.0</v>
      </c>
      <c r="V346" s="84" t="str">
        <f t="shared" ref="V346:W346" si="67">B346</f>
        <v>CRM_NW_BLACK_DC_PACK OF 2</v>
      </c>
      <c r="W346" s="174" t="str">
        <f t="shared" si="67"/>
        <v>CRASOME Water Dispenser 20 Liter Bottle Jar Cover (Black Pack of 2)</v>
      </c>
      <c r="X346" s="86">
        <f>SUMIFS('Transit Shipment'!$B$10:$B$1048462,'Transit Shipment'!$A$10:$A$1048462,B346,'Transit Shipment'!$C$10:$C$1048462,AA346)</f>
        <v>0</v>
      </c>
      <c r="Y346" s="86">
        <f>IF(SUMIFS(DIH!$S$2:$S833,DIH!$D$2:$D833,B346,DIH!$U$2:$U833,AA346)&gt;0,SUMIFS(DIH!$S$2:$S833,DIH!$D$2:$D833,B346,DIH!$U$2:$U833,AA346),0)</f>
        <v>1</v>
      </c>
      <c r="Z346" s="87">
        <f t="shared" si="7"/>
        <v>1</v>
      </c>
      <c r="AA346" s="88" t="s">
        <v>5</v>
      </c>
      <c r="AB346" s="89">
        <f>IF(ISNA(VLOOKUP($B346,'Business Report'!$D$2:$J$202,2,0)),"",VLOOKUP($B346,'Business Report'!$D$2:$J$202,2,0))</f>
        <v>18</v>
      </c>
      <c r="AC346" s="90">
        <f>SUMIFS(AFS!$P$2:$P$6260,AFS!$N$2:$N$6260,B346,AFS!$AT$2:$AT$6260,AA346)</f>
        <v>0</v>
      </c>
      <c r="AD346" s="91">
        <f t="shared" si="8"/>
        <v>-1</v>
      </c>
      <c r="AE346" s="92"/>
      <c r="AF346" s="93" t="str">
        <f t="shared" si="9"/>
        <v/>
      </c>
      <c r="AG346" s="26"/>
      <c r="AH346" s="26"/>
      <c r="AI346" s="26"/>
    </row>
    <row r="347">
      <c r="A347" s="94" t="s">
        <v>4388</v>
      </c>
      <c r="B347" s="3" t="s">
        <v>61</v>
      </c>
      <c r="C347" s="95" t="s">
        <v>5068</v>
      </c>
      <c r="D347" s="96" t="s">
        <v>168</v>
      </c>
      <c r="E347" s="97" t="str">
        <f t="shared" si="2"/>
        <v/>
      </c>
      <c r="F347" s="97" t="str">
        <f t="shared" si="3"/>
        <v/>
      </c>
      <c r="G347" s="99">
        <f t="shared" si="68"/>
        <v>0</v>
      </c>
      <c r="H347" s="100"/>
      <c r="I347" s="101"/>
      <c r="J347" s="102"/>
      <c r="K347" s="103"/>
      <c r="L347" s="97"/>
      <c r="M347" s="169"/>
      <c r="N347" s="105"/>
      <c r="O347" s="106"/>
      <c r="P347" s="13">
        <f t="array" ref="P347">XLOOKUP(B347,Weight!B:B,Weight!D:D,"#N/A",0)</f>
        <v>170</v>
      </c>
      <c r="Q347" s="17" t="str">
        <f t="shared" si="6"/>
        <v/>
      </c>
      <c r="R347" s="107"/>
      <c r="S347" s="108">
        <v>560313.0</v>
      </c>
      <c r="T347" s="108">
        <v>12.0</v>
      </c>
      <c r="U347" s="109">
        <v>60.0</v>
      </c>
      <c r="V347" s="110"/>
      <c r="X347" s="111">
        <f>SUMIFS('Transit Shipment'!$B$10:$B$1048462,'Transit Shipment'!$A$10:$A$1048462,B347,'Transit Shipment'!$C$10:$C$1048462,AA347)</f>
        <v>0</v>
      </c>
      <c r="Y347" s="111">
        <f>IF(SUMIFS(DIH!$S$2:$S833,DIH!$D$2:$D833,B347,DIH!$U$2:$U833,AA347)&gt;0,SUMIFS(DIH!$S$2:$S833,DIH!$D$2:$D833,B347,DIH!$U$2:$U833,AA347),0)</f>
        <v>3</v>
      </c>
      <c r="Z347" s="112">
        <f t="shared" si="7"/>
        <v>3</v>
      </c>
      <c r="AA347" s="113" t="s">
        <v>11</v>
      </c>
      <c r="AB347" s="114">
        <f>IF(ISNA(VLOOKUP($B347,'Business Report'!$D$2:$J$202,2,0)),"",VLOOKUP($B347,'Business Report'!$D$2:$J$202,2,0))</f>
        <v>18</v>
      </c>
      <c r="AC347" s="115">
        <f>SUMIFS(AFS!$P$2:$P$6260,AFS!$N$2:$N$6260,B347,AFS!$AT$2:$AT$6260,AA347)</f>
        <v>1</v>
      </c>
      <c r="AD347" s="116">
        <f t="shared" si="8"/>
        <v>-1</v>
      </c>
      <c r="AE347" s="117"/>
      <c r="AF347" s="118" t="str">
        <f t="shared" si="9"/>
        <v/>
      </c>
      <c r="AG347" s="26"/>
      <c r="AH347" s="26"/>
      <c r="AI347" s="26"/>
    </row>
    <row r="348">
      <c r="A348" s="94" t="s">
        <v>4388</v>
      </c>
      <c r="B348" s="3" t="s">
        <v>61</v>
      </c>
      <c r="C348" s="95" t="s">
        <v>5068</v>
      </c>
      <c r="D348" s="96" t="s">
        <v>168</v>
      </c>
      <c r="E348" s="97">
        <f t="shared" si="2"/>
        <v>2</v>
      </c>
      <c r="F348" s="97">
        <f t="shared" si="3"/>
        <v>0</v>
      </c>
      <c r="G348" s="99">
        <f t="shared" si="68"/>
        <v>8</v>
      </c>
      <c r="H348" s="100"/>
      <c r="I348" s="101"/>
      <c r="J348" s="102"/>
      <c r="K348" s="103"/>
      <c r="L348" s="97"/>
      <c r="M348" s="169"/>
      <c r="N348" s="105"/>
      <c r="O348" s="106"/>
      <c r="P348" s="13">
        <f t="array" ref="P348">XLOOKUP(B348,Weight!B:B,Weight!D:D,"#N/A",0)</f>
        <v>170</v>
      </c>
      <c r="Q348" s="17">
        <f t="shared" si="6"/>
        <v>680</v>
      </c>
      <c r="R348" s="107"/>
      <c r="S348" s="108">
        <v>560313.0</v>
      </c>
      <c r="T348" s="108">
        <v>12.0</v>
      </c>
      <c r="U348" s="109">
        <v>60.0</v>
      </c>
      <c r="V348" s="110"/>
      <c r="X348" s="111">
        <f>SUMIFS('Transit Shipment'!$B$10:$B$1048462,'Transit Shipment'!$A$10:$A$1048462,B348,'Transit Shipment'!$C$10:$C$1048462,AA348)</f>
        <v>0</v>
      </c>
      <c r="Y348" s="111">
        <f>IF(SUMIFS(DIH!$S$2:$S833,DIH!$D$2:$D833,B348,DIH!$U$2:$U833,AA348)&gt;0,SUMIFS(DIH!$S$2:$S833,DIH!$D$2:$D833,B348,DIH!$U$2:$U833,AA348),0)</f>
        <v>3</v>
      </c>
      <c r="Z348" s="112">
        <f t="shared" si="7"/>
        <v>3</v>
      </c>
      <c r="AA348" s="119" t="s">
        <v>9</v>
      </c>
      <c r="AB348" s="114">
        <f>IF(ISNA(VLOOKUP($B348,'Business Report'!$D$2:$J$202,2,0)),"",VLOOKUP($B348,'Business Report'!$D$2:$J$202,2,0))</f>
        <v>18</v>
      </c>
      <c r="AC348" s="115">
        <f>SUMIFS(AFS!$P$2:$P$6260,AFS!$N$2:$N$6260,B348,AFS!$AT$2:$AT$6260,AA348)</f>
        <v>5</v>
      </c>
      <c r="AD348" s="116">
        <f t="shared" si="8"/>
        <v>4</v>
      </c>
      <c r="AE348" s="117"/>
      <c r="AF348" s="118">
        <f t="shared" si="9"/>
        <v>4</v>
      </c>
      <c r="AG348" s="26"/>
      <c r="AH348" s="26"/>
      <c r="AI348" s="26"/>
    </row>
    <row r="349">
      <c r="A349" s="120" t="s">
        <v>4388</v>
      </c>
      <c r="B349" s="7" t="s">
        <v>61</v>
      </c>
      <c r="C349" s="95" t="s">
        <v>5068</v>
      </c>
      <c r="D349" s="109" t="s">
        <v>168</v>
      </c>
      <c r="E349" s="97">
        <f t="shared" si="2"/>
        <v>1</v>
      </c>
      <c r="F349" s="97">
        <f t="shared" si="3"/>
        <v>0</v>
      </c>
      <c r="G349" s="99">
        <f t="shared" si="68"/>
        <v>0</v>
      </c>
      <c r="H349" s="121"/>
      <c r="I349" s="122"/>
      <c r="J349" s="123"/>
      <c r="K349" s="124"/>
      <c r="L349" s="125"/>
      <c r="M349" s="181"/>
      <c r="N349" s="126"/>
      <c r="O349" s="127"/>
      <c r="P349" s="13">
        <f t="array" ref="P349">XLOOKUP(B349,Weight!B:B,Weight!D:D,"#N/A",0)</f>
        <v>170</v>
      </c>
      <c r="Q349" s="17" t="str">
        <f t="shared" si="6"/>
        <v/>
      </c>
      <c r="R349" s="107"/>
      <c r="S349" s="108">
        <v>560313.0</v>
      </c>
      <c r="T349" s="108">
        <v>12.0</v>
      </c>
      <c r="U349" s="109">
        <v>60.0</v>
      </c>
      <c r="V349" s="110"/>
      <c r="X349" s="111">
        <f>SUMIFS('Transit Shipment'!$B$10:$B$1048462,'Transit Shipment'!$A$10:$A$1048462,B349,'Transit Shipment'!$C$10:$C$1048462,AA349)</f>
        <v>0</v>
      </c>
      <c r="Y349" s="111">
        <f>IF(SUMIFS(DIH!$S$2:$S833,DIH!$D$2:$D833,B349,DIH!$U$2:$U833,AA349)&gt;0,SUMIFS(DIH!$S$2:$S833,DIH!$D$2:$D833,B349,DIH!$U$2:$U833,AA349),0)</f>
        <v>2</v>
      </c>
      <c r="Z349" s="112">
        <f t="shared" si="7"/>
        <v>2</v>
      </c>
      <c r="AA349" s="119" t="s">
        <v>155</v>
      </c>
      <c r="AB349" s="114">
        <f>IF(ISNA(VLOOKUP($B349,'Business Report'!$D$2:$J$202,2,0)),"",VLOOKUP($B349,'Business Report'!$D$2:$J$202,2,0))</f>
        <v>18</v>
      </c>
      <c r="AC349" s="115">
        <f>SUMIFS(AFS!$P$2:$P$6260,AFS!$N$2:$N$6260,B349,AFS!$AT$2:$AT$6260,AA349)</f>
        <v>1</v>
      </c>
      <c r="AD349" s="116">
        <f t="shared" si="8"/>
        <v>0</v>
      </c>
      <c r="AE349" s="117"/>
      <c r="AF349" s="118" t="str">
        <f t="shared" si="9"/>
        <v/>
      </c>
      <c r="AG349" s="26"/>
      <c r="AH349" s="26"/>
      <c r="AI349" s="26"/>
    </row>
    <row r="350">
      <c r="A350" s="120" t="s">
        <v>4388</v>
      </c>
      <c r="B350" s="7" t="s">
        <v>61</v>
      </c>
      <c r="C350" s="95" t="s">
        <v>5068</v>
      </c>
      <c r="D350" s="109" t="s">
        <v>168</v>
      </c>
      <c r="E350" s="97">
        <f t="shared" si="2"/>
        <v>1</v>
      </c>
      <c r="F350" s="97">
        <f t="shared" si="3"/>
        <v>0</v>
      </c>
      <c r="G350" s="99">
        <f t="shared" si="68"/>
        <v>4</v>
      </c>
      <c r="H350" s="121"/>
      <c r="I350" s="122"/>
      <c r="J350" s="123"/>
      <c r="K350" s="124"/>
      <c r="L350" s="125"/>
      <c r="M350" s="181"/>
      <c r="N350" s="126"/>
      <c r="O350" s="127"/>
      <c r="P350" s="13">
        <f t="array" ref="P350">XLOOKUP(B350,Weight!B:B,Weight!D:D,"#N/A",0)</f>
        <v>170</v>
      </c>
      <c r="Q350" s="17">
        <f t="shared" si="6"/>
        <v>340</v>
      </c>
      <c r="R350" s="107"/>
      <c r="S350" s="108">
        <v>560313.0</v>
      </c>
      <c r="T350" s="108">
        <v>12.0</v>
      </c>
      <c r="U350" s="109">
        <v>60.0</v>
      </c>
      <c r="V350" s="110"/>
      <c r="X350" s="111">
        <f>SUMIFS('Transit Shipment'!$B$10:$B$1048462,'Transit Shipment'!$A$10:$A$1048462,B350,'Transit Shipment'!$C$10:$C$1048462,AA350)</f>
        <v>0</v>
      </c>
      <c r="Y350" s="111">
        <f>IF(SUMIFS(DIH!$S$2:$S833,DIH!$D$2:$D833,B350,DIH!$U$2:$U833,AA350)&gt;0,SUMIFS(DIH!$S$2:$S833,DIH!$D$2:$D833,B350,DIH!$U$2:$U833,AA350),0)</f>
        <v>0</v>
      </c>
      <c r="Z350" s="112">
        <f t="shared" si="7"/>
        <v>0</v>
      </c>
      <c r="AA350" s="119" t="s">
        <v>156</v>
      </c>
      <c r="AB350" s="114">
        <f>IF(ISNA(VLOOKUP($B350,'Business Report'!$D$2:$J$202,2,0)),"",VLOOKUP($B350,'Business Report'!$D$2:$J$202,2,0))</f>
        <v>18</v>
      </c>
      <c r="AC350" s="115">
        <f>SUMIFS(AFS!$P$2:$P$6260,AFS!$N$2:$N$6260,B350,AFS!$AT$2:$AT$6260,AA350)</f>
        <v>1</v>
      </c>
      <c r="AD350" s="116">
        <f t="shared" si="8"/>
        <v>2</v>
      </c>
      <c r="AE350" s="117"/>
      <c r="AF350" s="118">
        <f t="shared" si="9"/>
        <v>2</v>
      </c>
      <c r="AG350" s="26"/>
      <c r="AH350" s="26"/>
      <c r="AI350" s="26"/>
    </row>
    <row r="351">
      <c r="A351" s="120" t="s">
        <v>4388</v>
      </c>
      <c r="B351" s="7" t="s">
        <v>61</v>
      </c>
      <c r="C351" s="95" t="s">
        <v>5068</v>
      </c>
      <c r="D351" s="109" t="s">
        <v>168</v>
      </c>
      <c r="E351" s="97">
        <f t="shared" si="2"/>
        <v>0</v>
      </c>
      <c r="F351" s="97">
        <f t="shared" si="3"/>
        <v>0.5</v>
      </c>
      <c r="G351" s="99">
        <f t="shared" si="68"/>
        <v>4</v>
      </c>
      <c r="H351" s="121"/>
      <c r="I351" s="122"/>
      <c r="J351" s="123"/>
      <c r="K351" s="124"/>
      <c r="L351" s="125"/>
      <c r="M351" s="181"/>
      <c r="N351" s="126"/>
      <c r="O351" s="127"/>
      <c r="P351" s="13">
        <f t="array" ref="P351">XLOOKUP(B351,Weight!B:B,Weight!D:D,"#N/A",0)</f>
        <v>170</v>
      </c>
      <c r="Q351" s="17">
        <f t="shared" si="6"/>
        <v>340</v>
      </c>
      <c r="R351" s="107"/>
      <c r="S351" s="108">
        <v>560313.0</v>
      </c>
      <c r="T351" s="108">
        <v>12.0</v>
      </c>
      <c r="U351" s="109">
        <v>60.0</v>
      </c>
      <c r="V351" s="110"/>
      <c r="X351" s="111">
        <f>SUMIFS('Transit Shipment'!$B$10:$B$1048462,'Transit Shipment'!$A$10:$A$1048462,B351,'Transit Shipment'!$C$10:$C$1048462,AA351)</f>
        <v>0</v>
      </c>
      <c r="Y351" s="111">
        <f>IF(SUMIFS(DIH!$S$2:$S833,DIH!$D$2:$D833,B351,DIH!$U$2:$U833,AA351)&gt;0,SUMIFS(DIH!$S$2:$S833,DIH!$D$2:$D833,B351,DIH!$U$2:$U833,AA351),0)</f>
        <v>1</v>
      </c>
      <c r="Z351" s="112">
        <f t="shared" si="7"/>
        <v>1</v>
      </c>
      <c r="AA351" s="130" t="s">
        <v>13</v>
      </c>
      <c r="AB351" s="114">
        <f>IF(ISNA(VLOOKUP($B351,'Business Report'!$D$2:$J$202,2,0)),"",VLOOKUP($B351,'Business Report'!$D$2:$J$202,2,0))</f>
        <v>18</v>
      </c>
      <c r="AC351" s="115">
        <f>SUMIFS(AFS!$P$2:$P$6260,AFS!$N$2:$N$6260,B351,AFS!$AT$2:$AT$6260,AA351)</f>
        <v>1</v>
      </c>
      <c r="AD351" s="116">
        <f t="shared" si="8"/>
        <v>1</v>
      </c>
      <c r="AE351" s="117"/>
      <c r="AF351" s="118">
        <f t="shared" si="9"/>
        <v>2</v>
      </c>
      <c r="AG351" s="26"/>
      <c r="AH351" s="26"/>
      <c r="AI351" s="26"/>
    </row>
    <row r="352">
      <c r="A352" s="120" t="s">
        <v>4388</v>
      </c>
      <c r="B352" s="7" t="s">
        <v>61</v>
      </c>
      <c r="C352" s="95" t="s">
        <v>5068</v>
      </c>
      <c r="D352" s="109" t="s">
        <v>168</v>
      </c>
      <c r="E352" s="97">
        <f t="shared" si="2"/>
        <v>1</v>
      </c>
      <c r="F352" s="97">
        <f t="shared" si="3"/>
        <v>0.5</v>
      </c>
      <c r="G352" s="99">
        <f t="shared" si="68"/>
        <v>8</v>
      </c>
      <c r="H352" s="121"/>
      <c r="I352" s="122"/>
      <c r="J352" s="123"/>
      <c r="K352" s="124"/>
      <c r="L352" s="125"/>
      <c r="M352" s="181"/>
      <c r="N352" s="126"/>
      <c r="O352" s="127"/>
      <c r="P352" s="13">
        <f t="array" ref="P352">XLOOKUP(B352,Weight!B:B,Weight!D:D,"#N/A",0)</f>
        <v>170</v>
      </c>
      <c r="Q352" s="17">
        <f t="shared" si="6"/>
        <v>680</v>
      </c>
      <c r="R352" s="107"/>
      <c r="S352" s="108">
        <v>560313.0</v>
      </c>
      <c r="T352" s="108">
        <v>12.0</v>
      </c>
      <c r="U352" s="109">
        <v>60.0</v>
      </c>
      <c r="V352" s="110"/>
      <c r="X352" s="111">
        <f>SUMIFS('Transit Shipment'!$B$10:$B$1048462,'Transit Shipment'!$A$10:$A$1048462,B352,'Transit Shipment'!$C$10:$C$1048462,AA352)</f>
        <v>0</v>
      </c>
      <c r="Y352" s="111">
        <f>IF(SUMIFS(DIH!$S$2:$S833,DIH!$D$2:$D833,B352,DIH!$U$2:$U833,AA352)&gt;0,SUMIFS(DIH!$S$2:$S833,DIH!$D$2:$D833,B352,DIH!$U$2:$U833,AA352),0)</f>
        <v>0</v>
      </c>
      <c r="Z352" s="112">
        <f t="shared" si="7"/>
        <v>0</v>
      </c>
      <c r="AA352" s="119" t="s">
        <v>14</v>
      </c>
      <c r="AB352" s="114">
        <f>IF(ISNA(VLOOKUP($B352,'Business Report'!$D$2:$J$202,2,0)),"",VLOOKUP($B352,'Business Report'!$D$2:$J$202,2,0))</f>
        <v>18</v>
      </c>
      <c r="AC352" s="115">
        <f>SUMIFS(AFS!$P$2:$P$6260,AFS!$N$2:$N$6260,B352,AFS!$AT$2:$AT$6260,AA352)</f>
        <v>2</v>
      </c>
      <c r="AD352" s="116">
        <f t="shared" si="8"/>
        <v>3</v>
      </c>
      <c r="AE352" s="117"/>
      <c r="AF352" s="118">
        <f t="shared" si="9"/>
        <v>4</v>
      </c>
      <c r="AG352" s="26"/>
      <c r="AH352" s="26"/>
      <c r="AI352" s="26"/>
    </row>
    <row r="353">
      <c r="A353" s="120" t="s">
        <v>4388</v>
      </c>
      <c r="B353" s="7" t="s">
        <v>61</v>
      </c>
      <c r="C353" s="95" t="s">
        <v>5068</v>
      </c>
      <c r="D353" s="109" t="s">
        <v>168</v>
      </c>
      <c r="E353" s="97" t="str">
        <f t="shared" si="2"/>
        <v/>
      </c>
      <c r="F353" s="97" t="str">
        <f t="shared" si="3"/>
        <v/>
      </c>
      <c r="G353" s="99">
        <f t="shared" si="68"/>
        <v>0</v>
      </c>
      <c r="H353" s="121"/>
      <c r="I353" s="122"/>
      <c r="J353" s="123"/>
      <c r="K353" s="124"/>
      <c r="L353" s="125"/>
      <c r="M353" s="181"/>
      <c r="N353" s="126"/>
      <c r="O353" s="127"/>
      <c r="P353" s="13">
        <f t="array" ref="P353">XLOOKUP(B353,Weight!B:B,Weight!D:D,"#N/A",0)</f>
        <v>170</v>
      </c>
      <c r="Q353" s="17" t="str">
        <f t="shared" si="6"/>
        <v/>
      </c>
      <c r="R353" s="107"/>
      <c r="S353" s="108">
        <v>560313.0</v>
      </c>
      <c r="T353" s="108">
        <v>12.0</v>
      </c>
      <c r="U353" s="109">
        <v>60.0</v>
      </c>
      <c r="V353" s="110"/>
      <c r="X353" s="111">
        <f>SUMIFS('Transit Shipment'!$B$10:$B$1048462,'Transit Shipment'!$A$10:$A$1048462,B353,'Transit Shipment'!$C$10:$C$1048462,AA353)</f>
        <v>0</v>
      </c>
      <c r="Y353" s="111">
        <f>IF(SUMIFS(DIH!$S$2:$S833,DIH!$D$2:$D833,B353,DIH!$U$2:$U833,AA353)&gt;0,SUMIFS(DIH!$S$2:$S833,DIH!$D$2:$D833,B353,DIH!$U$2:$U833,AA353),0)</f>
        <v>1</v>
      </c>
      <c r="Z353" s="112">
        <f t="shared" si="7"/>
        <v>1</v>
      </c>
      <c r="AA353" s="131" t="s">
        <v>16</v>
      </c>
      <c r="AB353" s="114">
        <f>IF(ISNA(VLOOKUP($B353,'Business Report'!$D$2:$J$202,2,0)),"",VLOOKUP($B353,'Business Report'!$D$2:$J$202,2,0))</f>
        <v>18</v>
      </c>
      <c r="AC353" s="115">
        <f>SUMIFS(AFS!$P$2:$P$6260,AFS!$N$2:$N$6260,B353,AFS!$AT$2:$AT$6260,AA353)</f>
        <v>0</v>
      </c>
      <c r="AD353" s="116">
        <f t="shared" si="8"/>
        <v>-1</v>
      </c>
      <c r="AE353" s="117"/>
      <c r="AF353" s="118" t="str">
        <f t="shared" si="9"/>
        <v/>
      </c>
      <c r="AG353" s="26"/>
      <c r="AH353" s="26"/>
      <c r="AI353" s="26"/>
    </row>
    <row r="354">
      <c r="A354" s="132" t="s">
        <v>4388</v>
      </c>
      <c r="B354" s="15" t="s">
        <v>61</v>
      </c>
      <c r="C354" s="133" t="s">
        <v>5068</v>
      </c>
      <c r="D354" s="134" t="s">
        <v>168</v>
      </c>
      <c r="E354" s="135" t="str">
        <f t="shared" si="2"/>
        <v/>
      </c>
      <c r="F354" s="135" t="str">
        <f t="shared" si="3"/>
        <v/>
      </c>
      <c r="G354" s="136">
        <f t="shared" si="68"/>
        <v>0</v>
      </c>
      <c r="H354" s="137"/>
      <c r="I354" s="138"/>
      <c r="J354" s="139"/>
      <c r="K354" s="140"/>
      <c r="L354" s="135"/>
      <c r="M354" s="152"/>
      <c r="N354" s="142"/>
      <c r="O354" s="143"/>
      <c r="P354" s="144">
        <f t="array" ref="P354">XLOOKUP(B354,Weight!B:B,Weight!D:D,"#N/A",0)</f>
        <v>170</v>
      </c>
      <c r="Q354" s="145" t="str">
        <f t="shared" si="6"/>
        <v/>
      </c>
      <c r="R354" s="146"/>
      <c r="S354" s="147">
        <v>560313.0</v>
      </c>
      <c r="T354" s="147">
        <v>12.0</v>
      </c>
      <c r="U354" s="109">
        <v>60.0</v>
      </c>
      <c r="V354" s="148"/>
      <c r="W354" s="149"/>
      <c r="X354" s="150">
        <f>SUMIFS('Transit Shipment'!$B$10:$B$1048462,'Transit Shipment'!$A$10:$A$1048462,B354,'Transit Shipment'!$C$10:$C$1048462,AA354)</f>
        <v>0</v>
      </c>
      <c r="Y354" s="150">
        <f>IF(SUMIFS(DIH!$S$2:$S833,DIH!$D$2:$D833,B354,DIH!$U$2:$U833,AA354)&gt;0,SUMIFS(DIH!$S$2:$S833,DIH!$D$2:$D833,B354,DIH!$U$2:$U833,AA354),0)</f>
        <v>1</v>
      </c>
      <c r="Z354" s="151">
        <f t="shared" si="7"/>
        <v>1</v>
      </c>
      <c r="AA354" s="152" t="s">
        <v>17</v>
      </c>
      <c r="AB354" s="154">
        <f>IF(ISNA(VLOOKUP($B354,'Business Report'!$D$2:$J$202,2,0)),"",VLOOKUP($B354,'Business Report'!$D$2:$J$202,2,0))</f>
        <v>18</v>
      </c>
      <c r="AC354" s="155">
        <f>SUMIFS(AFS!$P$2:$P$6260,AFS!$N$2:$N$6260,B354,AFS!$AT$2:$AT$6260,AA354)</f>
        <v>0</v>
      </c>
      <c r="AD354" s="156">
        <f t="shared" si="8"/>
        <v>-1</v>
      </c>
      <c r="AE354" s="159">
        <f>SUM(AD346:AD354)</f>
        <v>6</v>
      </c>
      <c r="AF354" s="118" t="str">
        <f t="shared" si="9"/>
        <v/>
      </c>
      <c r="AG354" s="26"/>
      <c r="AH354" s="26"/>
      <c r="AI354" s="26"/>
    </row>
    <row r="355">
      <c r="A355" s="66" t="s">
        <v>4572</v>
      </c>
      <c r="B355" s="1" t="s">
        <v>64</v>
      </c>
      <c r="C355" s="95" t="s">
        <v>5300</v>
      </c>
      <c r="D355" s="68" t="s">
        <v>168</v>
      </c>
      <c r="E355" s="69" t="str">
        <f t="shared" si="2"/>
        <v/>
      </c>
      <c r="F355" s="69" t="str">
        <f t="shared" si="3"/>
        <v/>
      </c>
      <c r="G355" s="70">
        <f t="shared" si="68"/>
        <v>0</v>
      </c>
      <c r="H355" s="163"/>
      <c r="I355" s="101"/>
      <c r="J355" s="102"/>
      <c r="K355" s="167"/>
      <c r="L355" s="119"/>
      <c r="M355" s="169"/>
      <c r="N355" s="171"/>
      <c r="O355" s="106"/>
      <c r="P355" s="79">
        <f t="array" ref="P355">XLOOKUP(B355,Weight!B:B,Weight!D:D,"#N/A",0)</f>
        <v>170</v>
      </c>
      <c r="Q355" s="80" t="str">
        <f t="shared" si="6"/>
        <v/>
      </c>
      <c r="R355" s="107"/>
      <c r="S355" s="108">
        <v>560313.0</v>
      </c>
      <c r="T355" s="108">
        <v>12.0</v>
      </c>
      <c r="U355" s="83">
        <v>60.0</v>
      </c>
      <c r="V355" s="84" t="str">
        <f t="shared" ref="V355:W355" si="69">B355</f>
        <v>CRM_NW_GREY_DC_PACK OF 2</v>
      </c>
      <c r="W355" s="174" t="str">
        <f t="shared" si="69"/>
        <v>CRASOME Water Dispenser 20 Liter Bottle Jar Cover (Grey Pack of 2)</v>
      </c>
      <c r="X355" s="86">
        <f>SUMIFS('Transit Shipment'!$B$10:$B$1048462,'Transit Shipment'!$A$10:$A$1048462,B355,'Transit Shipment'!$C$10:$C$1048462,AA355)</f>
        <v>0</v>
      </c>
      <c r="Y355" s="86">
        <f>IF(SUMIFS(DIH!$S$2:$S833,DIH!$D$2:$D833,B355,DIH!$U$2:$U833,AA355)&gt;0,SUMIFS(DIH!$S$2:$S833,DIH!$D$2:$D833,B355,DIH!$U$2:$U833,AA355),0)</f>
        <v>1</v>
      </c>
      <c r="Z355" s="87">
        <f t="shared" si="7"/>
        <v>1</v>
      </c>
      <c r="AA355" s="88" t="s">
        <v>5</v>
      </c>
      <c r="AB355" s="89">
        <f>IF(ISNA(VLOOKUP($B355,'Business Report'!$D$2:$J$202,2,0)),"",VLOOKUP($B355,'Business Report'!$D$2:$J$202,2,0))</f>
        <v>16</v>
      </c>
      <c r="AC355" s="90">
        <f>SUMIFS(AFS!$P$2:$P$6260,AFS!$N$2:$N$6260,B355,AFS!$AT$2:$AT$6260,AA355)</f>
        <v>0</v>
      </c>
      <c r="AD355" s="91">
        <f t="shared" si="8"/>
        <v>-1</v>
      </c>
      <c r="AE355" s="92"/>
      <c r="AF355" s="93" t="str">
        <f t="shared" si="9"/>
        <v/>
      </c>
      <c r="AG355" s="26"/>
      <c r="AH355" s="26"/>
      <c r="AI355" s="26"/>
    </row>
    <row r="356">
      <c r="A356" s="94" t="s">
        <v>4572</v>
      </c>
      <c r="B356" s="3" t="s">
        <v>64</v>
      </c>
      <c r="C356" s="95" t="s">
        <v>5300</v>
      </c>
      <c r="D356" s="96" t="s">
        <v>168</v>
      </c>
      <c r="E356" s="97" t="str">
        <f t="shared" si="2"/>
        <v/>
      </c>
      <c r="F356" s="97" t="str">
        <f t="shared" si="3"/>
        <v/>
      </c>
      <c r="G356" s="99">
        <f t="shared" si="68"/>
        <v>0</v>
      </c>
      <c r="H356" s="100"/>
      <c r="I356" s="101"/>
      <c r="J356" s="102"/>
      <c r="K356" s="103"/>
      <c r="L356" s="97"/>
      <c r="M356" s="169"/>
      <c r="N356" s="105"/>
      <c r="O356" s="106"/>
      <c r="P356" s="13">
        <f t="array" ref="P356">XLOOKUP(B356,Weight!B:B,Weight!D:D,"#N/A",0)</f>
        <v>170</v>
      </c>
      <c r="Q356" s="17" t="str">
        <f t="shared" si="6"/>
        <v/>
      </c>
      <c r="R356" s="107"/>
      <c r="S356" s="108">
        <v>560313.0</v>
      </c>
      <c r="T356" s="108">
        <v>12.0</v>
      </c>
      <c r="U356" s="109">
        <v>60.0</v>
      </c>
      <c r="V356" s="110"/>
      <c r="X356" s="111">
        <f>SUMIFS('Transit Shipment'!$B$10:$B$1048462,'Transit Shipment'!$A$10:$A$1048462,B356,'Transit Shipment'!$C$10:$C$1048462,AA356)</f>
        <v>0</v>
      </c>
      <c r="Y356" s="111">
        <f>IF(SUMIFS(DIH!$S$2:$S833,DIH!$D$2:$D833,B356,DIH!$U$2:$U833,AA356)&gt;0,SUMIFS(DIH!$S$2:$S833,DIH!$D$2:$D833,B356,DIH!$U$2:$U833,AA356),0)</f>
        <v>6</v>
      </c>
      <c r="Z356" s="112">
        <f t="shared" si="7"/>
        <v>6</v>
      </c>
      <c r="AA356" s="113" t="s">
        <v>11</v>
      </c>
      <c r="AB356" s="114">
        <f>IF(ISNA(VLOOKUP($B356,'Business Report'!$D$2:$J$202,2,0)),"",VLOOKUP($B356,'Business Report'!$D$2:$J$202,2,0))</f>
        <v>16</v>
      </c>
      <c r="AC356" s="115">
        <f>SUMIFS(AFS!$P$2:$P$6260,AFS!$N$2:$N$6260,B356,AFS!$AT$2:$AT$6260,AA356)</f>
        <v>0</v>
      </c>
      <c r="AD356" s="116">
        <f t="shared" si="8"/>
        <v>-6</v>
      </c>
      <c r="AE356" s="117"/>
      <c r="AF356" s="118" t="str">
        <f t="shared" si="9"/>
        <v/>
      </c>
      <c r="AG356" s="26"/>
      <c r="AH356" s="26"/>
      <c r="AI356" s="26"/>
    </row>
    <row r="357">
      <c r="A357" s="94" t="s">
        <v>4572</v>
      </c>
      <c r="B357" s="3" t="s">
        <v>64</v>
      </c>
      <c r="C357" s="95" t="s">
        <v>5300</v>
      </c>
      <c r="D357" s="96" t="s">
        <v>168</v>
      </c>
      <c r="E357" s="97" t="str">
        <f t="shared" si="2"/>
        <v/>
      </c>
      <c r="F357" s="97" t="str">
        <f t="shared" si="3"/>
        <v/>
      </c>
      <c r="G357" s="99">
        <f t="shared" si="68"/>
        <v>0</v>
      </c>
      <c r="H357" s="100"/>
      <c r="I357" s="101"/>
      <c r="J357" s="102"/>
      <c r="K357" s="103"/>
      <c r="L357" s="97"/>
      <c r="M357" s="169"/>
      <c r="N357" s="105"/>
      <c r="O357" s="106"/>
      <c r="P357" s="13">
        <f t="array" ref="P357">XLOOKUP(B357,Weight!B:B,Weight!D:D,"#N/A",0)</f>
        <v>170</v>
      </c>
      <c r="Q357" s="17" t="str">
        <f t="shared" si="6"/>
        <v/>
      </c>
      <c r="R357" s="107"/>
      <c r="S357" s="108">
        <v>560313.0</v>
      </c>
      <c r="T357" s="108">
        <v>12.0</v>
      </c>
      <c r="U357" s="109">
        <v>60.0</v>
      </c>
      <c r="V357" s="110"/>
      <c r="X357" s="111">
        <f>SUMIFS('Transit Shipment'!$B$10:$B$1048462,'Transit Shipment'!$A$10:$A$1048462,B357,'Transit Shipment'!$C$10:$C$1048462,AA357)</f>
        <v>0</v>
      </c>
      <c r="Y357" s="111">
        <f>IF(SUMIFS(DIH!$S$2:$S833,DIH!$D$2:$D833,B357,DIH!$U$2:$U833,AA357)&gt;0,SUMIFS(DIH!$S$2:$S833,DIH!$D$2:$D833,B357,DIH!$U$2:$U833,AA357),0)</f>
        <v>3</v>
      </c>
      <c r="Z357" s="112">
        <f t="shared" si="7"/>
        <v>3</v>
      </c>
      <c r="AA357" s="119" t="s">
        <v>9</v>
      </c>
      <c r="AB357" s="114">
        <f>IF(ISNA(VLOOKUP($B357,'Business Report'!$D$2:$J$202,2,0)),"",VLOOKUP($B357,'Business Report'!$D$2:$J$202,2,0))</f>
        <v>16</v>
      </c>
      <c r="AC357" s="115">
        <f>SUMIFS(AFS!$P$2:$P$6260,AFS!$N$2:$N$6260,B357,AFS!$AT$2:$AT$6260,AA357)</f>
        <v>1</v>
      </c>
      <c r="AD357" s="116">
        <f t="shared" si="8"/>
        <v>-1</v>
      </c>
      <c r="AE357" s="117"/>
      <c r="AF357" s="118" t="str">
        <f t="shared" si="9"/>
        <v/>
      </c>
      <c r="AG357" s="26"/>
      <c r="AH357" s="26"/>
      <c r="AI357" s="26"/>
    </row>
    <row r="358">
      <c r="A358" s="120" t="s">
        <v>4572</v>
      </c>
      <c r="B358" s="7" t="s">
        <v>64</v>
      </c>
      <c r="C358" s="95" t="s">
        <v>5300</v>
      </c>
      <c r="D358" s="109" t="s">
        <v>168</v>
      </c>
      <c r="E358" s="97">
        <f t="shared" si="2"/>
        <v>1</v>
      </c>
      <c r="F358" s="97">
        <f t="shared" si="3"/>
        <v>0</v>
      </c>
      <c r="G358" s="99">
        <f t="shared" si="68"/>
        <v>0</v>
      </c>
      <c r="H358" s="121"/>
      <c r="I358" s="122"/>
      <c r="J358" s="123"/>
      <c r="K358" s="124"/>
      <c r="L358" s="125"/>
      <c r="M358" s="181"/>
      <c r="N358" s="126"/>
      <c r="O358" s="127"/>
      <c r="P358" s="13">
        <f t="array" ref="P358">XLOOKUP(B358,Weight!B:B,Weight!D:D,"#N/A",0)</f>
        <v>170</v>
      </c>
      <c r="Q358" s="17" t="str">
        <f t="shared" si="6"/>
        <v/>
      </c>
      <c r="R358" s="107"/>
      <c r="S358" s="108">
        <v>560313.0</v>
      </c>
      <c r="T358" s="108">
        <v>12.0</v>
      </c>
      <c r="U358" s="109">
        <v>60.0</v>
      </c>
      <c r="V358" s="110"/>
      <c r="X358" s="111">
        <f>SUMIFS('Transit Shipment'!$B$10:$B$1048462,'Transit Shipment'!$A$10:$A$1048462,B358,'Transit Shipment'!$C$10:$C$1048462,AA358)</f>
        <v>0</v>
      </c>
      <c r="Y358" s="111">
        <f>IF(SUMIFS(DIH!$S$2:$S833,DIH!$D$2:$D833,B358,DIH!$U$2:$U833,AA358)&gt;0,SUMIFS(DIH!$S$2:$S833,DIH!$D$2:$D833,B358,DIH!$U$2:$U833,AA358),0)</f>
        <v>2</v>
      </c>
      <c r="Z358" s="112">
        <f t="shared" si="7"/>
        <v>2</v>
      </c>
      <c r="AA358" s="119" t="s">
        <v>155</v>
      </c>
      <c r="AB358" s="114">
        <f>IF(ISNA(VLOOKUP($B358,'Business Report'!$D$2:$J$202,2,0)),"",VLOOKUP($B358,'Business Report'!$D$2:$J$202,2,0))</f>
        <v>16</v>
      </c>
      <c r="AC358" s="115">
        <f>SUMIFS(AFS!$P$2:$P$6260,AFS!$N$2:$N$6260,B358,AFS!$AT$2:$AT$6260,AA358)</f>
        <v>1</v>
      </c>
      <c r="AD358" s="116">
        <f t="shared" si="8"/>
        <v>0</v>
      </c>
      <c r="AE358" s="117"/>
      <c r="AF358" s="118" t="str">
        <f t="shared" si="9"/>
        <v/>
      </c>
      <c r="AG358" s="26"/>
      <c r="AH358" s="26"/>
      <c r="AI358" s="26"/>
    </row>
    <row r="359">
      <c r="A359" s="120" t="s">
        <v>4572</v>
      </c>
      <c r="B359" s="7" t="s">
        <v>64</v>
      </c>
      <c r="C359" s="95" t="s">
        <v>5300</v>
      </c>
      <c r="D359" s="109" t="s">
        <v>168</v>
      </c>
      <c r="E359" s="97">
        <f t="shared" si="2"/>
        <v>1</v>
      </c>
      <c r="F359" s="97">
        <f t="shared" si="3"/>
        <v>0</v>
      </c>
      <c r="G359" s="99">
        <f t="shared" si="68"/>
        <v>4</v>
      </c>
      <c r="H359" s="121"/>
      <c r="I359" s="122"/>
      <c r="J359" s="123"/>
      <c r="K359" s="124"/>
      <c r="L359" s="125"/>
      <c r="M359" s="181"/>
      <c r="N359" s="126"/>
      <c r="O359" s="127"/>
      <c r="P359" s="13">
        <f t="array" ref="P359">XLOOKUP(B359,Weight!B:B,Weight!D:D,"#N/A",0)</f>
        <v>170</v>
      </c>
      <c r="Q359" s="17">
        <f t="shared" si="6"/>
        <v>340</v>
      </c>
      <c r="R359" s="107"/>
      <c r="S359" s="108">
        <v>560313.0</v>
      </c>
      <c r="T359" s="108">
        <v>12.0</v>
      </c>
      <c r="U359" s="109">
        <v>60.0</v>
      </c>
      <c r="V359" s="110"/>
      <c r="X359" s="111">
        <f>SUMIFS('Transit Shipment'!$B$10:$B$1048462,'Transit Shipment'!$A$10:$A$1048462,B359,'Transit Shipment'!$C$10:$C$1048462,AA359)</f>
        <v>0</v>
      </c>
      <c r="Y359" s="111">
        <f>IF(SUMIFS(DIH!$S$2:$S833,DIH!$D$2:$D833,B359,DIH!$U$2:$U833,AA359)&gt;0,SUMIFS(DIH!$S$2:$S833,DIH!$D$2:$D833,B359,DIH!$U$2:$U833,AA359),0)</f>
        <v>0</v>
      </c>
      <c r="Z359" s="112">
        <f t="shared" si="7"/>
        <v>0</v>
      </c>
      <c r="AA359" s="119" t="s">
        <v>156</v>
      </c>
      <c r="AB359" s="114">
        <f>IF(ISNA(VLOOKUP($B359,'Business Report'!$D$2:$J$202,2,0)),"",VLOOKUP($B359,'Business Report'!$D$2:$J$202,2,0))</f>
        <v>16</v>
      </c>
      <c r="AC359" s="115">
        <f>SUMIFS(AFS!$P$2:$P$6260,AFS!$N$2:$N$6260,B359,AFS!$AT$2:$AT$6260,AA359)</f>
        <v>1</v>
      </c>
      <c r="AD359" s="116">
        <f t="shared" si="8"/>
        <v>2</v>
      </c>
      <c r="AE359" s="117"/>
      <c r="AF359" s="118">
        <f t="shared" si="9"/>
        <v>2</v>
      </c>
      <c r="AG359" s="26"/>
      <c r="AH359" s="26"/>
      <c r="AI359" s="26"/>
    </row>
    <row r="360">
      <c r="A360" s="120" t="s">
        <v>4572</v>
      </c>
      <c r="B360" s="7" t="s">
        <v>64</v>
      </c>
      <c r="C360" s="95" t="s">
        <v>5300</v>
      </c>
      <c r="D360" s="109" t="s">
        <v>168</v>
      </c>
      <c r="E360" s="97" t="str">
        <f t="shared" si="2"/>
        <v/>
      </c>
      <c r="F360" s="97" t="str">
        <f t="shared" si="3"/>
        <v/>
      </c>
      <c r="G360" s="99">
        <f t="shared" si="68"/>
        <v>0</v>
      </c>
      <c r="H360" s="121"/>
      <c r="I360" s="122"/>
      <c r="J360" s="123"/>
      <c r="K360" s="124"/>
      <c r="L360" s="125"/>
      <c r="M360" s="181"/>
      <c r="N360" s="126"/>
      <c r="O360" s="127"/>
      <c r="P360" s="13">
        <f t="array" ref="P360">XLOOKUP(B360,Weight!B:B,Weight!D:D,"#N/A",0)</f>
        <v>170</v>
      </c>
      <c r="Q360" s="17" t="str">
        <f t="shared" si="6"/>
        <v/>
      </c>
      <c r="R360" s="107"/>
      <c r="S360" s="108">
        <v>560313.0</v>
      </c>
      <c r="T360" s="108">
        <v>12.0</v>
      </c>
      <c r="U360" s="109">
        <v>60.0</v>
      </c>
      <c r="V360" s="110"/>
      <c r="X360" s="111">
        <f>SUMIFS('Transit Shipment'!$B$10:$B$1048462,'Transit Shipment'!$A$10:$A$1048462,B360,'Transit Shipment'!$C$10:$C$1048462,AA360)</f>
        <v>0</v>
      </c>
      <c r="Y360" s="111">
        <f>IF(SUMIFS(DIH!$S$2:$S833,DIH!$D$2:$D833,B360,DIH!$U$2:$U833,AA360)&gt;0,SUMIFS(DIH!$S$2:$S833,DIH!$D$2:$D833,B360,DIH!$U$2:$U833,AA360),0)</f>
        <v>4</v>
      </c>
      <c r="Z360" s="112">
        <f t="shared" si="7"/>
        <v>4</v>
      </c>
      <c r="AA360" s="130" t="s">
        <v>13</v>
      </c>
      <c r="AB360" s="114">
        <f>IF(ISNA(VLOOKUP($B360,'Business Report'!$D$2:$J$202,2,0)),"",VLOOKUP($B360,'Business Report'!$D$2:$J$202,2,0))</f>
        <v>16</v>
      </c>
      <c r="AC360" s="115">
        <f>SUMIFS(AFS!$P$2:$P$6260,AFS!$N$2:$N$6260,B360,AFS!$AT$2:$AT$6260,AA360)</f>
        <v>1</v>
      </c>
      <c r="AD360" s="116">
        <f t="shared" si="8"/>
        <v>-2</v>
      </c>
      <c r="AE360" s="117"/>
      <c r="AF360" s="118" t="str">
        <f t="shared" si="9"/>
        <v/>
      </c>
      <c r="AG360" s="26"/>
      <c r="AH360" s="26"/>
      <c r="AI360" s="26"/>
    </row>
    <row r="361">
      <c r="A361" s="120" t="s">
        <v>4572</v>
      </c>
      <c r="B361" s="7" t="s">
        <v>64</v>
      </c>
      <c r="C361" s="95" t="s">
        <v>5300</v>
      </c>
      <c r="D361" s="109" t="s">
        <v>168</v>
      </c>
      <c r="E361" s="97" t="str">
        <f t="shared" si="2"/>
        <v/>
      </c>
      <c r="F361" s="97" t="str">
        <f t="shared" si="3"/>
        <v/>
      </c>
      <c r="G361" s="99">
        <f t="shared" si="68"/>
        <v>0</v>
      </c>
      <c r="H361" s="121"/>
      <c r="I361" s="122"/>
      <c r="J361" s="123"/>
      <c r="K361" s="124"/>
      <c r="L361" s="125"/>
      <c r="M361" s="181"/>
      <c r="N361" s="126"/>
      <c r="O361" s="127"/>
      <c r="P361" s="13">
        <f t="array" ref="P361">XLOOKUP(B361,Weight!B:B,Weight!D:D,"#N/A",0)</f>
        <v>170</v>
      </c>
      <c r="Q361" s="17" t="str">
        <f t="shared" si="6"/>
        <v/>
      </c>
      <c r="R361" s="107"/>
      <c r="S361" s="108">
        <v>560313.0</v>
      </c>
      <c r="T361" s="108">
        <v>12.0</v>
      </c>
      <c r="U361" s="109">
        <v>60.0</v>
      </c>
      <c r="V361" s="110"/>
      <c r="X361" s="111">
        <f>SUMIFS('Transit Shipment'!$B$10:$B$1048462,'Transit Shipment'!$A$10:$A$1048462,B361,'Transit Shipment'!$C$10:$C$1048462,AA361)</f>
        <v>0</v>
      </c>
      <c r="Y361" s="111">
        <f>IF(SUMIFS(DIH!$S$2:$S833,DIH!$D$2:$D833,B361,DIH!$U$2:$U833,AA361)&gt;0,SUMIFS(DIH!$S$2:$S833,DIH!$D$2:$D833,B361,DIH!$U$2:$U833,AA361),0)</f>
        <v>5</v>
      </c>
      <c r="Z361" s="112">
        <f t="shared" si="7"/>
        <v>5</v>
      </c>
      <c r="AA361" s="119" t="s">
        <v>14</v>
      </c>
      <c r="AB361" s="114">
        <f>IF(ISNA(VLOOKUP($B361,'Business Report'!$D$2:$J$202,2,0)),"",VLOOKUP($B361,'Business Report'!$D$2:$J$202,2,0))</f>
        <v>16</v>
      </c>
      <c r="AC361" s="115">
        <f>SUMIFS(AFS!$P$2:$P$6260,AFS!$N$2:$N$6260,B361,AFS!$AT$2:$AT$6260,AA361)</f>
        <v>2</v>
      </c>
      <c r="AD361" s="116">
        <f t="shared" si="8"/>
        <v>-2</v>
      </c>
      <c r="AE361" s="117"/>
      <c r="AF361" s="118" t="str">
        <f t="shared" si="9"/>
        <v/>
      </c>
      <c r="AG361" s="26"/>
      <c r="AH361" s="26"/>
      <c r="AI361" s="26"/>
    </row>
    <row r="362">
      <c r="A362" s="120" t="s">
        <v>4572</v>
      </c>
      <c r="B362" s="7" t="s">
        <v>64</v>
      </c>
      <c r="C362" s="95" t="s">
        <v>5300</v>
      </c>
      <c r="D362" s="109" t="s">
        <v>168</v>
      </c>
      <c r="E362" s="97" t="str">
        <f t="shared" si="2"/>
        <v/>
      </c>
      <c r="F362" s="97" t="str">
        <f t="shared" si="3"/>
        <v/>
      </c>
      <c r="G362" s="99">
        <f t="shared" si="68"/>
        <v>0</v>
      </c>
      <c r="H362" s="121"/>
      <c r="I362" s="122"/>
      <c r="J362" s="123"/>
      <c r="K362" s="124"/>
      <c r="L362" s="125"/>
      <c r="M362" s="181"/>
      <c r="N362" s="126"/>
      <c r="O362" s="127"/>
      <c r="P362" s="13">
        <f t="array" ref="P362">XLOOKUP(B362,Weight!B:B,Weight!D:D,"#N/A",0)</f>
        <v>170</v>
      </c>
      <c r="Q362" s="17" t="str">
        <f t="shared" si="6"/>
        <v/>
      </c>
      <c r="R362" s="107"/>
      <c r="S362" s="108">
        <v>560313.0</v>
      </c>
      <c r="T362" s="108">
        <v>12.0</v>
      </c>
      <c r="U362" s="109">
        <v>60.0</v>
      </c>
      <c r="V362" s="110"/>
      <c r="X362" s="111">
        <f>SUMIFS('Transit Shipment'!$B$10:$B$1048462,'Transit Shipment'!$A$10:$A$1048462,B362,'Transit Shipment'!$C$10:$C$1048462,AA362)</f>
        <v>0</v>
      </c>
      <c r="Y362" s="111">
        <f>IF(SUMIFS(DIH!$S$2:$S833,DIH!$D$2:$D833,B362,DIH!$U$2:$U833,AA362)&gt;0,SUMIFS(DIH!$S$2:$S833,DIH!$D$2:$D833,B362,DIH!$U$2:$U833,AA362),0)</f>
        <v>8</v>
      </c>
      <c r="Z362" s="112">
        <f t="shared" si="7"/>
        <v>8</v>
      </c>
      <c r="AA362" s="131" t="s">
        <v>16</v>
      </c>
      <c r="AB362" s="114">
        <f>IF(ISNA(VLOOKUP($B362,'Business Report'!$D$2:$J$202,2,0)),"",VLOOKUP($B362,'Business Report'!$D$2:$J$202,2,0))</f>
        <v>16</v>
      </c>
      <c r="AC362" s="115">
        <f>SUMIFS(AFS!$P$2:$P$6260,AFS!$N$2:$N$6260,B362,AFS!$AT$2:$AT$6260,AA362)</f>
        <v>2</v>
      </c>
      <c r="AD362" s="116">
        <f t="shared" si="8"/>
        <v>-5</v>
      </c>
      <c r="AE362" s="117"/>
      <c r="AF362" s="118" t="str">
        <f t="shared" si="9"/>
        <v/>
      </c>
      <c r="AG362" s="26"/>
      <c r="AH362" s="26"/>
      <c r="AI362" s="26"/>
    </row>
    <row r="363">
      <c r="A363" s="132" t="s">
        <v>4572</v>
      </c>
      <c r="B363" s="15" t="s">
        <v>64</v>
      </c>
      <c r="C363" s="133" t="s">
        <v>5300</v>
      </c>
      <c r="D363" s="134" t="s">
        <v>168</v>
      </c>
      <c r="E363" s="135" t="str">
        <f t="shared" si="2"/>
        <v/>
      </c>
      <c r="F363" s="135" t="str">
        <f t="shared" si="3"/>
        <v/>
      </c>
      <c r="G363" s="136">
        <f t="shared" si="68"/>
        <v>0</v>
      </c>
      <c r="H363" s="137"/>
      <c r="I363" s="138"/>
      <c r="J363" s="139"/>
      <c r="K363" s="140"/>
      <c r="L363" s="135"/>
      <c r="M363" s="152"/>
      <c r="N363" s="142"/>
      <c r="O363" s="143"/>
      <c r="P363" s="144">
        <f t="array" ref="P363">XLOOKUP(B363,Weight!B:B,Weight!D:D,"#N/A",0)</f>
        <v>170</v>
      </c>
      <c r="Q363" s="145" t="str">
        <f t="shared" si="6"/>
        <v/>
      </c>
      <c r="R363" s="146"/>
      <c r="S363" s="147">
        <v>560313.0</v>
      </c>
      <c r="T363" s="147">
        <v>12.0</v>
      </c>
      <c r="U363" s="109">
        <v>60.0</v>
      </c>
      <c r="V363" s="148"/>
      <c r="W363" s="149"/>
      <c r="X363" s="150">
        <f>SUMIFS('Transit Shipment'!$B$10:$B$1048462,'Transit Shipment'!$A$10:$A$1048462,B363,'Transit Shipment'!$C$10:$C$1048462,AA363)</f>
        <v>0</v>
      </c>
      <c r="Y363" s="150">
        <f>IF(SUMIFS(DIH!$S$2:$S833,DIH!$D$2:$D833,B363,DIH!$U$2:$U833,AA363)&gt;0,SUMIFS(DIH!$S$2:$S833,DIH!$D$2:$D833,B363,DIH!$U$2:$U833,AA363),0)</f>
        <v>2</v>
      </c>
      <c r="Z363" s="151">
        <f t="shared" si="7"/>
        <v>2</v>
      </c>
      <c r="AA363" s="152" t="s">
        <v>17</v>
      </c>
      <c r="AB363" s="154">
        <f>IF(ISNA(VLOOKUP($B363,'Business Report'!$D$2:$J$202,2,0)),"",VLOOKUP($B363,'Business Report'!$D$2:$J$202,2,0))</f>
        <v>16</v>
      </c>
      <c r="AC363" s="155">
        <f>SUMIFS(AFS!$P$2:$P$6260,AFS!$N$2:$N$6260,B363,AFS!$AT$2:$AT$6260,AA363)</f>
        <v>0</v>
      </c>
      <c r="AD363" s="156">
        <f t="shared" si="8"/>
        <v>-2</v>
      </c>
      <c r="AE363" s="159">
        <f>SUM(AD355:AD363)</f>
        <v>-17</v>
      </c>
      <c r="AF363" s="118" t="str">
        <f t="shared" si="9"/>
        <v/>
      </c>
      <c r="AG363" s="26"/>
      <c r="AH363" s="26"/>
      <c r="AI363" s="26"/>
    </row>
    <row r="364">
      <c r="A364" s="66" t="s">
        <v>5524</v>
      </c>
      <c r="B364" s="1" t="s">
        <v>68</v>
      </c>
      <c r="C364" s="95" t="s">
        <v>5526</v>
      </c>
      <c r="D364" s="68" t="s">
        <v>168</v>
      </c>
      <c r="E364" s="69" t="str">
        <f t="shared" si="2"/>
        <v/>
      </c>
      <c r="F364" s="69" t="str">
        <f t="shared" si="3"/>
        <v/>
      </c>
      <c r="G364" s="70" t="str">
        <f t="shared" ref="G364:G381" si="71">IF(ISERROR(SEARCH("Apron",D364)),AF364,"")</f>
        <v/>
      </c>
      <c r="H364" s="163"/>
      <c r="I364" s="101"/>
      <c r="J364" s="102"/>
      <c r="K364" s="167"/>
      <c r="L364" s="119"/>
      <c r="M364" s="169"/>
      <c r="N364" s="171"/>
      <c r="O364" s="106"/>
      <c r="P364" s="79">
        <f t="array" ref="P364">XLOOKUP(B364,Weight!B:B,Weight!D:D,"#N/A",0)</f>
        <v>85</v>
      </c>
      <c r="Q364" s="80" t="str">
        <f t="shared" si="6"/>
        <v/>
      </c>
      <c r="R364" s="107"/>
      <c r="S364" s="108">
        <v>560313.0</v>
      </c>
      <c r="T364" s="108">
        <v>12.0</v>
      </c>
      <c r="U364" s="83">
        <v>30.0</v>
      </c>
      <c r="V364" s="84" t="str">
        <f t="shared" ref="V364:W364" si="70">B364</f>
        <v>CRM-DC-TS-NW-BLACK</v>
      </c>
      <c r="W364" s="174" t="str">
        <f t="shared" si="70"/>
        <v>Crasome Water Dispenser for 20 ltr / Litre Bottle Jar Cover with Transparent Strap - Black (DC-TS-BLK)</v>
      </c>
      <c r="X364" s="86">
        <f>SUMIFS('Transit Shipment'!$B$10:$B$1048462,'Transit Shipment'!$A$10:$A$1048462,B364,'Transit Shipment'!$C$10:$C$1048462,AA364)</f>
        <v>0</v>
      </c>
      <c r="Y364" s="86">
        <f>IF(SUMIFS(DIH!$S$2:$S833,DIH!$D$2:$D833,B364,DIH!$U$2:$U833,AA364)&gt;0,SUMIFS(DIH!$S$2:$S833,DIH!$D$2:$D833,B364,DIH!$U$2:$U833,AA364),0)</f>
        <v>5</v>
      </c>
      <c r="Z364" s="87">
        <f t="shared" si="7"/>
        <v>5</v>
      </c>
      <c r="AA364" s="88" t="s">
        <v>5</v>
      </c>
      <c r="AB364" s="89">
        <f>IF(ISNA(VLOOKUP($B364,'Business Report'!$D$2:$J$202,2,0)),"",VLOOKUP($B364,'Business Report'!$D$2:$J$202,2,0))</f>
        <v>177</v>
      </c>
      <c r="AC364" s="90">
        <f>SUMIFS(AFS!$P$2:$P$6260,AFS!$N$2:$N$6260,B364,AFS!$AT$2:$AT$6260,AA364)</f>
        <v>3</v>
      </c>
      <c r="AD364" s="91">
        <f t="shared" si="8"/>
        <v>-1</v>
      </c>
      <c r="AE364" s="92"/>
      <c r="AF364" s="93" t="str">
        <f t="shared" si="9"/>
        <v/>
      </c>
      <c r="AG364" s="26"/>
      <c r="AH364" s="26"/>
      <c r="AI364" s="26"/>
    </row>
    <row r="365">
      <c r="A365" s="94" t="s">
        <v>5524</v>
      </c>
      <c r="B365" s="3" t="s">
        <v>68</v>
      </c>
      <c r="C365" s="95" t="s">
        <v>5526</v>
      </c>
      <c r="D365" s="96" t="s">
        <v>168</v>
      </c>
      <c r="E365" s="97" t="str">
        <f t="shared" si="2"/>
        <v/>
      </c>
      <c r="F365" s="97" t="str">
        <f t="shared" si="3"/>
        <v/>
      </c>
      <c r="G365" s="99" t="str">
        <f t="shared" si="71"/>
        <v/>
      </c>
      <c r="H365" s="100"/>
      <c r="I365" s="101"/>
      <c r="J365" s="102"/>
      <c r="K365" s="103"/>
      <c r="L365" s="97"/>
      <c r="M365" s="169"/>
      <c r="N365" s="105"/>
      <c r="O365" s="106"/>
      <c r="P365" s="13">
        <f t="array" ref="P365">XLOOKUP(B365,Weight!B:B,Weight!D:D,"#N/A",0)</f>
        <v>85</v>
      </c>
      <c r="Q365" s="17" t="str">
        <f t="shared" si="6"/>
        <v/>
      </c>
      <c r="R365" s="107"/>
      <c r="S365" s="108">
        <v>560313.0</v>
      </c>
      <c r="T365" s="108">
        <v>12.0</v>
      </c>
      <c r="U365" s="109">
        <v>30.0</v>
      </c>
      <c r="V365" s="110"/>
      <c r="X365" s="111">
        <f>SUMIFS('Transit Shipment'!$B$10:$B$1048462,'Transit Shipment'!$A$10:$A$1048462,B365,'Transit Shipment'!$C$10:$C$1048462,AA365)</f>
        <v>0</v>
      </c>
      <c r="Y365" s="111">
        <f>IF(SUMIFS(DIH!$S$2:$S833,DIH!$D$2:$D833,B365,DIH!$U$2:$U833,AA365)&gt;0,SUMIFS(DIH!$S$2:$S833,DIH!$D$2:$D833,B365,DIH!$U$2:$U833,AA365),0)</f>
        <v>35</v>
      </c>
      <c r="Z365" s="112">
        <f t="shared" si="7"/>
        <v>35</v>
      </c>
      <c r="AA365" s="113" t="s">
        <v>11</v>
      </c>
      <c r="AB365" s="114">
        <f>IF(ISNA(VLOOKUP($B365,'Business Report'!$D$2:$J$202,2,0)),"",VLOOKUP($B365,'Business Report'!$D$2:$J$202,2,0))</f>
        <v>177</v>
      </c>
      <c r="AC365" s="115">
        <f>SUMIFS(AFS!$P$2:$P$6260,AFS!$N$2:$N$6260,B365,AFS!$AT$2:$AT$6260,AA365)</f>
        <v>12</v>
      </c>
      <c r="AD365" s="116">
        <f t="shared" si="8"/>
        <v>-19</v>
      </c>
      <c r="AE365" s="117"/>
      <c r="AF365" s="118" t="str">
        <f t="shared" si="9"/>
        <v/>
      </c>
      <c r="AG365" s="26"/>
      <c r="AH365" s="26"/>
      <c r="AI365" s="26"/>
    </row>
    <row r="366">
      <c r="A366" s="94" t="s">
        <v>5524</v>
      </c>
      <c r="B366" s="3" t="s">
        <v>68</v>
      </c>
      <c r="C366" s="95" t="s">
        <v>5526</v>
      </c>
      <c r="D366" s="96" t="s">
        <v>168</v>
      </c>
      <c r="E366" s="97">
        <f t="shared" si="2"/>
        <v>1</v>
      </c>
      <c r="F366" s="97">
        <f t="shared" si="3"/>
        <v>0</v>
      </c>
      <c r="G366" s="99" t="str">
        <f t="shared" si="71"/>
        <v/>
      </c>
      <c r="H366" s="100"/>
      <c r="I366" s="101"/>
      <c r="J366" s="102"/>
      <c r="K366" s="103"/>
      <c r="L366" s="97"/>
      <c r="M366" s="169"/>
      <c r="N366" s="105"/>
      <c r="O366" s="106"/>
      <c r="P366" s="13">
        <f t="array" ref="P366">XLOOKUP(B366,Weight!B:B,Weight!D:D,"#N/A",0)</f>
        <v>85</v>
      </c>
      <c r="Q366" s="17" t="str">
        <f t="shared" si="6"/>
        <v/>
      </c>
      <c r="R366" s="107"/>
      <c r="S366" s="108">
        <v>560313.0</v>
      </c>
      <c r="T366" s="108">
        <v>12.0</v>
      </c>
      <c r="U366" s="109">
        <v>30.0</v>
      </c>
      <c r="V366" s="110"/>
      <c r="X366" s="111">
        <f>SUMIFS('Transit Shipment'!$B$10:$B$1048462,'Transit Shipment'!$A$10:$A$1048462,B366,'Transit Shipment'!$C$10:$C$1048462,AA366)</f>
        <v>0</v>
      </c>
      <c r="Y366" s="111">
        <f>IF(SUMIFS(DIH!$S$2:$S833,DIH!$D$2:$D833,B366,DIH!$U$2:$U833,AA366)&gt;0,SUMIFS(DIH!$S$2:$S833,DIH!$D$2:$D833,B366,DIH!$U$2:$U833,AA366),0)</f>
        <v>20</v>
      </c>
      <c r="Z366" s="112">
        <f t="shared" si="7"/>
        <v>20</v>
      </c>
      <c r="AA366" s="119" t="s">
        <v>9</v>
      </c>
      <c r="AB366" s="114">
        <f>IF(ISNA(VLOOKUP($B366,'Business Report'!$D$2:$J$202,2,0)),"",VLOOKUP($B366,'Business Report'!$D$2:$J$202,2,0))</f>
        <v>177</v>
      </c>
      <c r="AC366" s="115">
        <f>SUMIFS(AFS!$P$2:$P$6260,AFS!$N$2:$N$6260,B366,AFS!$AT$2:$AT$6260,AA366)</f>
        <v>15</v>
      </c>
      <c r="AD366" s="116">
        <f t="shared" si="8"/>
        <v>0</v>
      </c>
      <c r="AE366" s="117"/>
      <c r="AF366" s="118" t="str">
        <f t="shared" si="9"/>
        <v/>
      </c>
      <c r="AG366" s="4"/>
      <c r="AH366" s="26"/>
      <c r="AI366" s="26"/>
    </row>
    <row r="367">
      <c r="A367" s="120" t="s">
        <v>5524</v>
      </c>
      <c r="B367" s="7" t="s">
        <v>68</v>
      </c>
      <c r="C367" s="95" t="s">
        <v>5526</v>
      </c>
      <c r="D367" s="109" t="s">
        <v>168</v>
      </c>
      <c r="E367" s="97" t="str">
        <f t="shared" si="2"/>
        <v/>
      </c>
      <c r="F367" s="97" t="str">
        <f t="shared" si="3"/>
        <v/>
      </c>
      <c r="G367" s="99" t="str">
        <f t="shared" si="71"/>
        <v/>
      </c>
      <c r="H367" s="121"/>
      <c r="I367" s="122"/>
      <c r="J367" s="123"/>
      <c r="K367" s="124"/>
      <c r="L367" s="125"/>
      <c r="M367" s="181"/>
      <c r="N367" s="126"/>
      <c r="O367" s="127"/>
      <c r="P367" s="13">
        <f t="array" ref="P367">XLOOKUP(B367,Weight!B:B,Weight!D:D,"#N/A",0)</f>
        <v>85</v>
      </c>
      <c r="Q367" s="17" t="str">
        <f t="shared" si="6"/>
        <v/>
      </c>
      <c r="R367" s="107"/>
      <c r="S367" s="108">
        <v>560313.0</v>
      </c>
      <c r="T367" s="108">
        <v>12.0</v>
      </c>
      <c r="U367" s="109">
        <v>30.0</v>
      </c>
      <c r="V367" s="110"/>
      <c r="X367" s="111">
        <f>SUMIFS('Transit Shipment'!$B$10:$B$1048462,'Transit Shipment'!$A$10:$A$1048462,B367,'Transit Shipment'!$C$10:$C$1048462,AA367)</f>
        <v>0</v>
      </c>
      <c r="Y367" s="111">
        <f>IF(SUMIFS(DIH!$S$2:$S833,DIH!$D$2:$D833,B367,DIH!$U$2:$U833,AA367)&gt;0,SUMIFS(DIH!$S$2:$S833,DIH!$D$2:$D833,B367,DIH!$U$2:$U833,AA367),0)</f>
        <v>23</v>
      </c>
      <c r="Z367" s="112">
        <f t="shared" si="7"/>
        <v>23</v>
      </c>
      <c r="AA367" s="119" t="s">
        <v>155</v>
      </c>
      <c r="AB367" s="114">
        <f>IF(ISNA(VLOOKUP($B367,'Business Report'!$D$2:$J$202,2,0)),"",VLOOKUP($B367,'Business Report'!$D$2:$J$202,2,0))</f>
        <v>177</v>
      </c>
      <c r="AC367" s="115">
        <f>SUMIFS(AFS!$P$2:$P$6260,AFS!$N$2:$N$6260,B367,AFS!$AT$2:$AT$6260,AA367)</f>
        <v>8</v>
      </c>
      <c r="AD367" s="116">
        <f t="shared" si="8"/>
        <v>-12</v>
      </c>
      <c r="AE367" s="117"/>
      <c r="AF367" s="118" t="str">
        <f t="shared" si="9"/>
        <v/>
      </c>
      <c r="AG367" s="4"/>
      <c r="AH367" s="26"/>
      <c r="AI367" s="26"/>
    </row>
    <row r="368">
      <c r="A368" s="120" t="s">
        <v>5524</v>
      </c>
      <c r="B368" s="7" t="s">
        <v>68</v>
      </c>
      <c r="C368" s="95" t="s">
        <v>5526</v>
      </c>
      <c r="D368" s="109" t="s">
        <v>168</v>
      </c>
      <c r="E368" s="97" t="str">
        <f t="shared" si="2"/>
        <v/>
      </c>
      <c r="F368" s="97" t="str">
        <f t="shared" si="3"/>
        <v/>
      </c>
      <c r="G368" s="99" t="str">
        <f t="shared" si="71"/>
        <v/>
      </c>
      <c r="H368" s="121"/>
      <c r="I368" s="122"/>
      <c r="J368" s="123"/>
      <c r="K368" s="124"/>
      <c r="L368" s="125"/>
      <c r="M368" s="181"/>
      <c r="N368" s="126"/>
      <c r="O368" s="127"/>
      <c r="P368" s="13">
        <f t="array" ref="P368">XLOOKUP(B368,Weight!B:B,Weight!D:D,"#N/A",0)</f>
        <v>85</v>
      </c>
      <c r="Q368" s="17" t="str">
        <f t="shared" si="6"/>
        <v/>
      </c>
      <c r="R368" s="107"/>
      <c r="S368" s="108">
        <v>560313.0</v>
      </c>
      <c r="T368" s="108">
        <v>12.0</v>
      </c>
      <c r="U368" s="109">
        <v>30.0</v>
      </c>
      <c r="V368" s="110"/>
      <c r="X368" s="111">
        <f>SUMIFS('Transit Shipment'!$B$10:$B$1048462,'Transit Shipment'!$A$10:$A$1048462,B368,'Transit Shipment'!$C$10:$C$1048462,AA368)</f>
        <v>0</v>
      </c>
      <c r="Y368" s="111">
        <f>IF(SUMIFS(DIH!$S$2:$S833,DIH!$D$2:$D833,B368,DIH!$U$2:$U833,AA368)&gt;0,SUMIFS(DIH!$S$2:$S833,DIH!$D$2:$D833,B368,DIH!$U$2:$U833,AA368),0)</f>
        <v>26</v>
      </c>
      <c r="Z368" s="112">
        <f t="shared" si="7"/>
        <v>26</v>
      </c>
      <c r="AA368" s="119" t="s">
        <v>156</v>
      </c>
      <c r="AB368" s="114">
        <f>IF(ISNA(VLOOKUP($B368,'Business Report'!$D$2:$J$202,2,0)),"",VLOOKUP($B368,'Business Report'!$D$2:$J$202,2,0))</f>
        <v>177</v>
      </c>
      <c r="AC368" s="115">
        <f>SUMIFS(AFS!$P$2:$P$6260,AFS!$N$2:$N$6260,B368,AFS!$AT$2:$AT$6260,AA368)</f>
        <v>13</v>
      </c>
      <c r="AD368" s="116">
        <f t="shared" si="8"/>
        <v>-8</v>
      </c>
      <c r="AE368" s="117"/>
      <c r="AF368" s="118" t="str">
        <f t="shared" si="9"/>
        <v/>
      </c>
      <c r="AG368" s="4"/>
      <c r="AH368" s="26"/>
      <c r="AI368" s="26"/>
    </row>
    <row r="369">
      <c r="A369" s="120" t="s">
        <v>5524</v>
      </c>
      <c r="B369" s="7" t="s">
        <v>68</v>
      </c>
      <c r="C369" s="95" t="s">
        <v>5526</v>
      </c>
      <c r="D369" s="109" t="s">
        <v>168</v>
      </c>
      <c r="E369" s="97" t="str">
        <f t="shared" si="2"/>
        <v/>
      </c>
      <c r="F369" s="97" t="str">
        <f t="shared" si="3"/>
        <v/>
      </c>
      <c r="G369" s="99" t="str">
        <f t="shared" si="71"/>
        <v/>
      </c>
      <c r="H369" s="121"/>
      <c r="I369" s="122"/>
      <c r="J369" s="123"/>
      <c r="K369" s="124"/>
      <c r="L369" s="125"/>
      <c r="M369" s="181"/>
      <c r="N369" s="126"/>
      <c r="O369" s="127"/>
      <c r="P369" s="13">
        <f t="array" ref="P369">XLOOKUP(B369,Weight!B:B,Weight!D:D,"#N/A",0)</f>
        <v>85</v>
      </c>
      <c r="Q369" s="17" t="str">
        <f t="shared" si="6"/>
        <v/>
      </c>
      <c r="R369" s="107"/>
      <c r="S369" s="108">
        <v>560313.0</v>
      </c>
      <c r="T369" s="108">
        <v>12.0</v>
      </c>
      <c r="U369" s="109">
        <v>30.0</v>
      </c>
      <c r="V369" s="110"/>
      <c r="X369" s="111">
        <f>SUMIFS('Transit Shipment'!$B$10:$B$1048462,'Transit Shipment'!$A$10:$A$1048462,B369,'Transit Shipment'!$C$10:$C$1048462,AA369)</f>
        <v>0</v>
      </c>
      <c r="Y369" s="111">
        <f>IF(SUMIFS(DIH!$S$2:$S833,DIH!$D$2:$D833,B369,DIH!$U$2:$U833,AA369)&gt;0,SUMIFS(DIH!$S$2:$S833,DIH!$D$2:$D833,B369,DIH!$U$2:$U833,AA369),0)</f>
        <v>15</v>
      </c>
      <c r="Z369" s="112">
        <f t="shared" si="7"/>
        <v>15</v>
      </c>
      <c r="AA369" s="130" t="s">
        <v>13</v>
      </c>
      <c r="AB369" s="114">
        <f>IF(ISNA(VLOOKUP($B369,'Business Report'!$D$2:$J$202,2,0)),"",VLOOKUP($B369,'Business Report'!$D$2:$J$202,2,0))</f>
        <v>177</v>
      </c>
      <c r="AC369" s="115">
        <f>SUMIFS(AFS!$P$2:$P$6260,AFS!$N$2:$N$6260,B369,AFS!$AT$2:$AT$6260,AA369)</f>
        <v>8</v>
      </c>
      <c r="AD369" s="116">
        <f t="shared" si="8"/>
        <v>-4</v>
      </c>
      <c r="AE369" s="117"/>
      <c r="AF369" s="118" t="str">
        <f t="shared" si="9"/>
        <v/>
      </c>
      <c r="AG369" s="26"/>
      <c r="AH369" s="26"/>
      <c r="AI369" s="26"/>
    </row>
    <row r="370">
      <c r="A370" s="120" t="s">
        <v>5524</v>
      </c>
      <c r="B370" s="7" t="s">
        <v>68</v>
      </c>
      <c r="C370" s="95" t="s">
        <v>5526</v>
      </c>
      <c r="D370" s="109" t="s">
        <v>168</v>
      </c>
      <c r="E370" s="97">
        <f t="shared" si="2"/>
        <v>3</v>
      </c>
      <c r="F370" s="97">
        <f t="shared" si="3"/>
        <v>0</v>
      </c>
      <c r="G370" s="99">
        <f t="shared" si="71"/>
        <v>6</v>
      </c>
      <c r="H370" s="121"/>
      <c r="I370" s="122"/>
      <c r="J370" s="123"/>
      <c r="K370" s="124"/>
      <c r="L370" s="125"/>
      <c r="M370" s="181"/>
      <c r="N370" s="126"/>
      <c r="O370" s="127"/>
      <c r="P370" s="13">
        <f t="array" ref="P370">XLOOKUP(B370,Weight!B:B,Weight!D:D,"#N/A",0)</f>
        <v>85</v>
      </c>
      <c r="Q370" s="17">
        <f t="shared" si="6"/>
        <v>510</v>
      </c>
      <c r="R370" s="107"/>
      <c r="S370" s="108">
        <v>560313.0</v>
      </c>
      <c r="T370" s="108">
        <v>12.0</v>
      </c>
      <c r="U370" s="109">
        <v>30.0</v>
      </c>
      <c r="V370" s="110"/>
      <c r="X370" s="111">
        <f>SUMIFS('Transit Shipment'!$B$10:$B$1048462,'Transit Shipment'!$A$10:$A$1048462,B370,'Transit Shipment'!$C$10:$C$1048462,AA370)</f>
        <v>0</v>
      </c>
      <c r="Y370" s="111">
        <f>IF(SUMIFS(DIH!$S$2:$S833,DIH!$D$2:$D833,B370,DIH!$U$2:$U833,AA370)&gt;0,SUMIFS(DIH!$S$2:$S833,DIH!$D$2:$D833,B370,DIH!$U$2:$U833,AA370),0)</f>
        <v>17</v>
      </c>
      <c r="Z370" s="112">
        <f t="shared" si="7"/>
        <v>17</v>
      </c>
      <c r="AA370" s="119" t="s">
        <v>14</v>
      </c>
      <c r="AB370" s="114">
        <f>IF(ISNA(VLOOKUP($B370,'Business Report'!$D$2:$J$202,2,0)),"",VLOOKUP($B370,'Business Report'!$D$2:$J$202,2,0))</f>
        <v>177</v>
      </c>
      <c r="AC370" s="115">
        <f>SUMIFS(AFS!$P$2:$P$6260,AFS!$N$2:$N$6260,B370,AFS!$AT$2:$AT$6260,AA370)</f>
        <v>17</v>
      </c>
      <c r="AD370" s="116">
        <f t="shared" si="8"/>
        <v>6</v>
      </c>
      <c r="AE370" s="117"/>
      <c r="AF370" s="118">
        <f t="shared" si="9"/>
        <v>6</v>
      </c>
      <c r="AG370" s="26"/>
      <c r="AH370" s="26"/>
      <c r="AI370" s="26"/>
    </row>
    <row r="371">
      <c r="A371" s="120" t="s">
        <v>5524</v>
      </c>
      <c r="B371" s="7" t="s">
        <v>68</v>
      </c>
      <c r="C371" s="95" t="s">
        <v>5526</v>
      </c>
      <c r="D371" s="109" t="s">
        <v>168</v>
      </c>
      <c r="E371" s="97" t="str">
        <f t="shared" si="2"/>
        <v/>
      </c>
      <c r="F371" s="97" t="str">
        <f t="shared" si="3"/>
        <v/>
      </c>
      <c r="G371" s="99" t="str">
        <f t="shared" si="71"/>
        <v/>
      </c>
      <c r="H371" s="121"/>
      <c r="I371" s="122"/>
      <c r="J371" s="123"/>
      <c r="K371" s="124"/>
      <c r="L371" s="125"/>
      <c r="M371" s="181"/>
      <c r="N371" s="126"/>
      <c r="O371" s="127"/>
      <c r="P371" s="13">
        <f t="array" ref="P371">XLOOKUP(B371,Weight!B:B,Weight!D:D,"#N/A",0)</f>
        <v>85</v>
      </c>
      <c r="Q371" s="17" t="str">
        <f t="shared" si="6"/>
        <v/>
      </c>
      <c r="R371" s="107"/>
      <c r="S371" s="108">
        <v>560313.0</v>
      </c>
      <c r="T371" s="108">
        <v>12.0</v>
      </c>
      <c r="U371" s="109">
        <v>30.0</v>
      </c>
      <c r="V371" s="110"/>
      <c r="X371" s="111">
        <f>SUMIFS('Transit Shipment'!$B$10:$B$1048462,'Transit Shipment'!$A$10:$A$1048462,B371,'Transit Shipment'!$C$10:$C$1048462,AA371)</f>
        <v>0</v>
      </c>
      <c r="Y371" s="111">
        <f>IF(SUMIFS(DIH!$S$2:$S833,DIH!$D$2:$D833,B371,DIH!$U$2:$U833,AA371)&gt;0,SUMIFS(DIH!$S$2:$S833,DIH!$D$2:$D833,B371,DIH!$U$2:$U833,AA371),0)</f>
        <v>35</v>
      </c>
      <c r="Z371" s="112">
        <f t="shared" si="7"/>
        <v>35</v>
      </c>
      <c r="AA371" s="131" t="s">
        <v>16</v>
      </c>
      <c r="AB371" s="114">
        <f>IF(ISNA(VLOOKUP($B371,'Business Report'!$D$2:$J$202,2,0)),"",VLOOKUP($B371,'Business Report'!$D$2:$J$202,2,0))</f>
        <v>177</v>
      </c>
      <c r="AC371" s="115">
        <f>SUMIFS(AFS!$P$2:$P$6260,AFS!$N$2:$N$6260,B371,AFS!$AT$2:$AT$6260,AA371)</f>
        <v>9</v>
      </c>
      <c r="AD371" s="116">
        <f t="shared" si="8"/>
        <v>-23</v>
      </c>
      <c r="AE371" s="117"/>
      <c r="AF371" s="118" t="str">
        <f t="shared" si="9"/>
        <v/>
      </c>
      <c r="AG371" s="26"/>
      <c r="AH371" s="26"/>
      <c r="AI371" s="26"/>
    </row>
    <row r="372">
      <c r="A372" s="132" t="s">
        <v>5524</v>
      </c>
      <c r="B372" s="15" t="s">
        <v>68</v>
      </c>
      <c r="C372" s="133" t="s">
        <v>5526</v>
      </c>
      <c r="D372" s="134" t="s">
        <v>168</v>
      </c>
      <c r="E372" s="135" t="str">
        <f t="shared" si="2"/>
        <v/>
      </c>
      <c r="F372" s="135" t="str">
        <f t="shared" si="3"/>
        <v/>
      </c>
      <c r="G372" s="136" t="str">
        <f t="shared" si="71"/>
        <v/>
      </c>
      <c r="H372" s="137"/>
      <c r="I372" s="138"/>
      <c r="J372" s="139"/>
      <c r="K372" s="140"/>
      <c r="L372" s="135"/>
      <c r="M372" s="152"/>
      <c r="N372" s="142"/>
      <c r="O372" s="143"/>
      <c r="P372" s="144">
        <f t="array" ref="P372">XLOOKUP(B372,Weight!B:B,Weight!D:D,"#N/A",0)</f>
        <v>85</v>
      </c>
      <c r="Q372" s="145" t="str">
        <f t="shared" si="6"/>
        <v/>
      </c>
      <c r="R372" s="146"/>
      <c r="S372" s="147">
        <v>560313.0</v>
      </c>
      <c r="T372" s="147">
        <v>12.0</v>
      </c>
      <c r="U372" s="109">
        <v>30.0</v>
      </c>
      <c r="V372" s="148"/>
      <c r="W372" s="149"/>
      <c r="X372" s="150">
        <f>SUMIFS('Transit Shipment'!$B$10:$B$1048462,'Transit Shipment'!$A$10:$A$1048462,B372,'Transit Shipment'!$C$10:$C$1048462,AA372)</f>
        <v>0</v>
      </c>
      <c r="Y372" s="150">
        <f>IF(SUMIFS(DIH!$S$2:$S833,DIH!$D$2:$D833,B372,DIH!$U$2:$U833,AA372)&gt;0,SUMIFS(DIH!$S$2:$S833,DIH!$D$2:$D833,B372,DIH!$U$2:$U833,AA372),0)</f>
        <v>11</v>
      </c>
      <c r="Z372" s="151">
        <f t="shared" si="7"/>
        <v>11</v>
      </c>
      <c r="AA372" s="152" t="s">
        <v>17</v>
      </c>
      <c r="AB372" s="154">
        <f>IF(ISNA(VLOOKUP($B372,'Business Report'!$D$2:$J$202,2,0)),"",VLOOKUP($B372,'Business Report'!$D$2:$J$202,2,0))</f>
        <v>177</v>
      </c>
      <c r="AC372" s="155">
        <f>SUMIFS(AFS!$P$2:$P$6260,AFS!$N$2:$N$6260,B372,AFS!$AT$2:$AT$6260,AA372)</f>
        <v>7</v>
      </c>
      <c r="AD372" s="156">
        <f t="shared" si="8"/>
        <v>-1</v>
      </c>
      <c r="AE372" s="159">
        <f>SUM(AD364:AD372)</f>
        <v>-62</v>
      </c>
      <c r="AF372" s="118" t="str">
        <f t="shared" si="9"/>
        <v/>
      </c>
      <c r="AG372" s="26"/>
      <c r="AH372" s="26"/>
      <c r="AI372" s="26"/>
    </row>
    <row r="373">
      <c r="A373" s="66" t="s">
        <v>5724</v>
      </c>
      <c r="B373" s="1" t="s">
        <v>71</v>
      </c>
      <c r="C373" s="95" t="s">
        <v>5526</v>
      </c>
      <c r="D373" s="68" t="s">
        <v>168</v>
      </c>
      <c r="E373" s="69" t="str">
        <f t="shared" si="2"/>
        <v/>
      </c>
      <c r="F373" s="69" t="str">
        <f t="shared" si="3"/>
        <v/>
      </c>
      <c r="G373" s="70" t="str">
        <f t="shared" si="71"/>
        <v/>
      </c>
      <c r="H373" s="163"/>
      <c r="I373" s="101"/>
      <c r="J373" s="102"/>
      <c r="K373" s="167"/>
      <c r="L373" s="119"/>
      <c r="M373" s="169"/>
      <c r="N373" s="171"/>
      <c r="O373" s="106"/>
      <c r="P373" s="79">
        <f t="array" ref="P373">XLOOKUP(B373,Weight!B:B,Weight!D:D,"#N/A",0)</f>
        <v>85</v>
      </c>
      <c r="Q373" s="80" t="str">
        <f t="shared" si="6"/>
        <v/>
      </c>
      <c r="R373" s="107"/>
      <c r="S373" s="108">
        <v>560313.0</v>
      </c>
      <c r="T373" s="108">
        <v>12.0</v>
      </c>
      <c r="U373" s="109">
        <v>30.0</v>
      </c>
      <c r="V373" s="84" t="str">
        <f t="shared" ref="V373:W373" si="72">B373</f>
        <v>CRM-DC-TS-NW-GREY</v>
      </c>
      <c r="W373" s="174" t="str">
        <f t="shared" si="72"/>
        <v>Crasome Water Dispenser for 20 ltr / Litre Bottle Jar Cover with Transparent Strap - Black (DC-TS-BLK)</v>
      </c>
      <c r="X373" s="86">
        <f>SUMIFS('Transit Shipment'!$B$10:$B$1048462,'Transit Shipment'!$A$10:$A$1048462,B373,'Transit Shipment'!$C$10:$C$1048462,AA373)</f>
        <v>0</v>
      </c>
      <c r="Y373" s="86">
        <f>IF(SUMIFS(DIH!$S$2:$S833,DIH!$D$2:$D833,B373,DIH!$U$2:$U833,AA373)&gt;0,SUMIFS(DIH!$S$2:$S833,DIH!$D$2:$D833,B373,DIH!$U$2:$U833,AA373),0)</f>
        <v>6</v>
      </c>
      <c r="Z373" s="87">
        <f t="shared" si="7"/>
        <v>6</v>
      </c>
      <c r="AA373" s="88" t="s">
        <v>5</v>
      </c>
      <c r="AB373" s="89">
        <f>IF(ISNA(VLOOKUP($B373,'Business Report'!$D$2:$J$202,2,0)),"",VLOOKUP($B373,'Business Report'!$D$2:$J$202,2,0))</f>
        <v>100</v>
      </c>
      <c r="AC373" s="90">
        <f>SUMIFS(AFS!$P$2:$P$6260,AFS!$N$2:$N$6260,B373,AFS!$AT$2:$AT$6260,AA373)</f>
        <v>3</v>
      </c>
      <c r="AD373" s="91">
        <f t="shared" si="8"/>
        <v>-2</v>
      </c>
      <c r="AE373" s="92"/>
      <c r="AF373" s="93" t="str">
        <f t="shared" si="9"/>
        <v/>
      </c>
      <c r="AG373" s="26"/>
      <c r="AH373" s="26"/>
      <c r="AI373" s="26"/>
    </row>
    <row r="374">
      <c r="A374" s="94" t="s">
        <v>5724</v>
      </c>
      <c r="B374" s="3" t="s">
        <v>71</v>
      </c>
      <c r="C374" s="95" t="s">
        <v>5748</v>
      </c>
      <c r="D374" s="96" t="s">
        <v>168</v>
      </c>
      <c r="E374" s="97" t="str">
        <f t="shared" si="2"/>
        <v/>
      </c>
      <c r="F374" s="97" t="str">
        <f t="shared" si="3"/>
        <v/>
      </c>
      <c r="G374" s="99" t="str">
        <f t="shared" si="71"/>
        <v/>
      </c>
      <c r="H374" s="100"/>
      <c r="I374" s="101"/>
      <c r="J374" s="102"/>
      <c r="K374" s="103"/>
      <c r="L374" s="97"/>
      <c r="M374" s="169"/>
      <c r="N374" s="105"/>
      <c r="O374" s="106"/>
      <c r="P374" s="13">
        <f t="array" ref="P374">XLOOKUP(B374,Weight!B:B,Weight!D:D,"#N/A",0)</f>
        <v>85</v>
      </c>
      <c r="Q374" s="17" t="str">
        <f t="shared" si="6"/>
        <v/>
      </c>
      <c r="R374" s="107"/>
      <c r="S374" s="108">
        <v>560313.0</v>
      </c>
      <c r="T374" s="108">
        <v>12.0</v>
      </c>
      <c r="U374" s="109">
        <v>30.0</v>
      </c>
      <c r="V374" s="110"/>
      <c r="X374" s="111">
        <f>SUMIFS('Transit Shipment'!$B$10:$B$1048462,'Transit Shipment'!$A$10:$A$1048462,B374,'Transit Shipment'!$C$10:$C$1048462,AA374)</f>
        <v>0</v>
      </c>
      <c r="Y374" s="111">
        <f>IF(SUMIFS(DIH!$S$2:$S833,DIH!$D$2:$D833,B374,DIH!$U$2:$U833,AA374)&gt;0,SUMIFS(DIH!$S$2:$S833,DIH!$D$2:$D833,B374,DIH!$U$2:$U833,AA374),0)</f>
        <v>21</v>
      </c>
      <c r="Z374" s="112">
        <f t="shared" si="7"/>
        <v>21</v>
      </c>
      <c r="AA374" s="113" t="s">
        <v>11</v>
      </c>
      <c r="AB374" s="114">
        <f>IF(ISNA(VLOOKUP($B374,'Business Report'!$D$2:$J$202,2,0)),"",VLOOKUP($B374,'Business Report'!$D$2:$J$202,2,0))</f>
        <v>100</v>
      </c>
      <c r="AC374" s="115">
        <f>SUMIFS(AFS!$P$2:$P$6260,AFS!$N$2:$N$6260,B374,AFS!$AT$2:$AT$6260,AA374)</f>
        <v>15</v>
      </c>
      <c r="AD374" s="116">
        <f t="shared" si="8"/>
        <v>-1</v>
      </c>
      <c r="AE374" s="117"/>
      <c r="AF374" s="118" t="str">
        <f t="shared" si="9"/>
        <v/>
      </c>
      <c r="AG374" s="26"/>
      <c r="AH374" s="26"/>
      <c r="AI374" s="26"/>
    </row>
    <row r="375">
      <c r="A375" s="94" t="s">
        <v>5724</v>
      </c>
      <c r="B375" s="3" t="s">
        <v>71</v>
      </c>
      <c r="C375" s="95" t="s">
        <v>5748</v>
      </c>
      <c r="D375" s="96" t="s">
        <v>168</v>
      </c>
      <c r="E375" s="97">
        <f t="shared" si="2"/>
        <v>4</v>
      </c>
      <c r="F375" s="97">
        <f t="shared" si="3"/>
        <v>0.5</v>
      </c>
      <c r="G375" s="99">
        <f t="shared" si="71"/>
        <v>10</v>
      </c>
      <c r="H375" s="100"/>
      <c r="I375" s="101"/>
      <c r="J375" s="102"/>
      <c r="K375" s="103"/>
      <c r="L375" s="97"/>
      <c r="M375" s="169"/>
      <c r="N375" s="105"/>
      <c r="O375" s="106"/>
      <c r="P375" s="13">
        <f t="array" ref="P375">XLOOKUP(B375,Weight!B:B,Weight!D:D,"#N/A",0)</f>
        <v>85</v>
      </c>
      <c r="Q375" s="17">
        <f t="shared" si="6"/>
        <v>850</v>
      </c>
      <c r="R375" s="107"/>
      <c r="S375" s="108">
        <v>560313.0</v>
      </c>
      <c r="T375" s="108">
        <v>12.0</v>
      </c>
      <c r="U375" s="109">
        <v>30.0</v>
      </c>
      <c r="V375" s="110"/>
      <c r="X375" s="111">
        <f>SUMIFS('Transit Shipment'!$B$10:$B$1048462,'Transit Shipment'!$A$10:$A$1048462,B375,'Transit Shipment'!$C$10:$C$1048462,AA375)</f>
        <v>0</v>
      </c>
      <c r="Y375" s="111">
        <f>IF(SUMIFS(DIH!$S$2:$S833,DIH!$D$2:$D833,B375,DIH!$U$2:$U833,AA375)&gt;0,SUMIFS(DIH!$S$2:$S833,DIH!$D$2:$D833,B375,DIH!$U$2:$U833,AA375),0)</f>
        <v>10</v>
      </c>
      <c r="Z375" s="112">
        <f t="shared" si="7"/>
        <v>10</v>
      </c>
      <c r="AA375" s="119" t="s">
        <v>9</v>
      </c>
      <c r="AB375" s="114">
        <f>IF(ISNA(VLOOKUP($B375,'Business Report'!$D$2:$J$202,2,0)),"",VLOOKUP($B375,'Business Report'!$D$2:$J$202,2,0))</f>
        <v>100</v>
      </c>
      <c r="AC375" s="115">
        <f>SUMIFS(AFS!$P$2:$P$6260,AFS!$N$2:$N$6260,B375,AFS!$AT$2:$AT$6260,AA375)</f>
        <v>14</v>
      </c>
      <c r="AD375" s="116">
        <f t="shared" si="8"/>
        <v>9</v>
      </c>
      <c r="AE375" s="117"/>
      <c r="AF375" s="118">
        <f t="shared" si="9"/>
        <v>10</v>
      </c>
      <c r="AG375" s="26"/>
      <c r="AH375" s="26"/>
      <c r="AI375" s="26"/>
    </row>
    <row r="376">
      <c r="A376" s="120" t="s">
        <v>5724</v>
      </c>
      <c r="B376" s="7" t="s">
        <v>71</v>
      </c>
      <c r="C376" s="95" t="s">
        <v>5748</v>
      </c>
      <c r="D376" s="109" t="s">
        <v>168</v>
      </c>
      <c r="E376" s="97" t="str">
        <f t="shared" si="2"/>
        <v/>
      </c>
      <c r="F376" s="97" t="str">
        <f t="shared" si="3"/>
        <v/>
      </c>
      <c r="G376" s="99" t="str">
        <f t="shared" si="71"/>
        <v/>
      </c>
      <c r="H376" s="121"/>
      <c r="I376" s="122"/>
      <c r="J376" s="123"/>
      <c r="K376" s="124"/>
      <c r="L376" s="125"/>
      <c r="M376" s="181"/>
      <c r="N376" s="126"/>
      <c r="O376" s="127"/>
      <c r="P376" s="13">
        <f t="array" ref="P376">XLOOKUP(B376,Weight!B:B,Weight!D:D,"#N/A",0)</f>
        <v>85</v>
      </c>
      <c r="Q376" s="17" t="str">
        <f t="shared" si="6"/>
        <v/>
      </c>
      <c r="R376" s="107"/>
      <c r="S376" s="108">
        <v>560313.0</v>
      </c>
      <c r="T376" s="108">
        <v>12.0</v>
      </c>
      <c r="U376" s="109">
        <v>30.0</v>
      </c>
      <c r="V376" s="110"/>
      <c r="X376" s="111">
        <f>SUMIFS('Transit Shipment'!$B$10:$B$1048462,'Transit Shipment'!$A$10:$A$1048462,B376,'Transit Shipment'!$C$10:$C$1048462,AA376)</f>
        <v>0</v>
      </c>
      <c r="Y376" s="111">
        <f>IF(SUMIFS(DIH!$S$2:$S833,DIH!$D$2:$D833,B376,DIH!$U$2:$U833,AA376)&gt;0,SUMIFS(DIH!$S$2:$S833,DIH!$D$2:$D833,B376,DIH!$U$2:$U833,AA376),0)</f>
        <v>23</v>
      </c>
      <c r="Z376" s="112">
        <f t="shared" si="7"/>
        <v>23</v>
      </c>
      <c r="AA376" s="119" t="s">
        <v>155</v>
      </c>
      <c r="AB376" s="114">
        <f>IF(ISNA(VLOOKUP($B376,'Business Report'!$D$2:$J$202,2,0)),"",VLOOKUP($B376,'Business Report'!$D$2:$J$202,2,0))</f>
        <v>100</v>
      </c>
      <c r="AC376" s="115">
        <f>SUMIFS(AFS!$P$2:$P$6260,AFS!$N$2:$N$6260,B376,AFS!$AT$2:$AT$6260,AA376)</f>
        <v>4</v>
      </c>
      <c r="AD376" s="116">
        <f t="shared" si="8"/>
        <v>-17</v>
      </c>
      <c r="AE376" s="117"/>
      <c r="AF376" s="118" t="str">
        <f t="shared" si="9"/>
        <v/>
      </c>
      <c r="AG376" s="26"/>
      <c r="AH376" s="26"/>
      <c r="AI376" s="26"/>
    </row>
    <row r="377">
      <c r="A377" s="120" t="s">
        <v>5724</v>
      </c>
      <c r="B377" s="7" t="s">
        <v>71</v>
      </c>
      <c r="C377" s="95" t="s">
        <v>5748</v>
      </c>
      <c r="D377" s="109" t="s">
        <v>168</v>
      </c>
      <c r="E377" s="97">
        <f t="shared" si="2"/>
        <v>0</v>
      </c>
      <c r="F377" s="97">
        <f t="shared" si="3"/>
        <v>0.5</v>
      </c>
      <c r="G377" s="99">
        <f t="shared" si="71"/>
        <v>2</v>
      </c>
      <c r="H377" s="121"/>
      <c r="I377" s="122"/>
      <c r="J377" s="123"/>
      <c r="K377" s="124"/>
      <c r="L377" s="125"/>
      <c r="M377" s="181"/>
      <c r="N377" s="126"/>
      <c r="O377" s="127"/>
      <c r="P377" s="13">
        <f t="array" ref="P377">XLOOKUP(B377,Weight!B:B,Weight!D:D,"#N/A",0)</f>
        <v>85</v>
      </c>
      <c r="Q377" s="17">
        <f t="shared" si="6"/>
        <v>170</v>
      </c>
      <c r="R377" s="107"/>
      <c r="S377" s="108">
        <v>560313.0</v>
      </c>
      <c r="T377" s="108">
        <v>12.0</v>
      </c>
      <c r="U377" s="109">
        <v>30.0</v>
      </c>
      <c r="V377" s="110"/>
      <c r="X377" s="111">
        <f>SUMIFS('Transit Shipment'!$B$10:$B$1048462,'Transit Shipment'!$A$10:$A$1048462,B377,'Transit Shipment'!$C$10:$C$1048462,AA377)</f>
        <v>0</v>
      </c>
      <c r="Y377" s="111">
        <f>IF(SUMIFS(DIH!$S$2:$S833,DIH!$D$2:$D833,B377,DIH!$U$2:$U833,AA377)&gt;0,SUMIFS(DIH!$S$2:$S833,DIH!$D$2:$D833,B377,DIH!$U$2:$U833,AA377),0)</f>
        <v>22</v>
      </c>
      <c r="Z377" s="112">
        <f t="shared" si="7"/>
        <v>22</v>
      </c>
      <c r="AA377" s="119" t="s">
        <v>156</v>
      </c>
      <c r="AB377" s="114">
        <f>IF(ISNA(VLOOKUP($B377,'Business Report'!$D$2:$J$202,2,0)),"",VLOOKUP($B377,'Business Report'!$D$2:$J$202,2,0))</f>
        <v>100</v>
      </c>
      <c r="AC377" s="115">
        <f>SUMIFS(AFS!$P$2:$P$6260,AFS!$N$2:$N$6260,B377,AFS!$AT$2:$AT$6260,AA377)</f>
        <v>17</v>
      </c>
      <c r="AD377" s="116">
        <f t="shared" si="8"/>
        <v>1</v>
      </c>
      <c r="AE377" s="117"/>
      <c r="AF377" s="118">
        <f t="shared" si="9"/>
        <v>2</v>
      </c>
      <c r="AG377" s="26"/>
      <c r="AH377" s="26"/>
      <c r="AI377" s="26"/>
    </row>
    <row r="378">
      <c r="A378" s="120" t="s">
        <v>5724</v>
      </c>
      <c r="B378" s="7" t="s">
        <v>71</v>
      </c>
      <c r="C378" s="95" t="s">
        <v>5748</v>
      </c>
      <c r="D378" s="109" t="s">
        <v>168</v>
      </c>
      <c r="E378" s="97" t="str">
        <f t="shared" si="2"/>
        <v/>
      </c>
      <c r="F378" s="97" t="str">
        <f t="shared" si="3"/>
        <v/>
      </c>
      <c r="G378" s="99" t="str">
        <f t="shared" si="71"/>
        <v/>
      </c>
      <c r="H378" s="121"/>
      <c r="I378" s="122"/>
      <c r="J378" s="123"/>
      <c r="K378" s="124"/>
      <c r="L378" s="125"/>
      <c r="M378" s="181"/>
      <c r="N378" s="126"/>
      <c r="O378" s="127"/>
      <c r="P378" s="13">
        <f t="array" ref="P378">XLOOKUP(B378,Weight!B:B,Weight!D:D,"#N/A",0)</f>
        <v>85</v>
      </c>
      <c r="Q378" s="17" t="str">
        <f t="shared" si="6"/>
        <v/>
      </c>
      <c r="R378" s="107"/>
      <c r="S378" s="108">
        <v>560313.0</v>
      </c>
      <c r="T378" s="108">
        <v>12.0</v>
      </c>
      <c r="U378" s="109">
        <v>30.0</v>
      </c>
      <c r="V378" s="110"/>
      <c r="X378" s="111">
        <f>SUMIFS('Transit Shipment'!$B$10:$B$1048462,'Transit Shipment'!$A$10:$A$1048462,B378,'Transit Shipment'!$C$10:$C$1048462,AA378)</f>
        <v>0</v>
      </c>
      <c r="Y378" s="111">
        <f>IF(SUMIFS(DIH!$S$2:$S833,DIH!$D$2:$D833,B378,DIH!$U$2:$U833,AA378)&gt;0,SUMIFS(DIH!$S$2:$S833,DIH!$D$2:$D833,B378,DIH!$U$2:$U833,AA378),0)</f>
        <v>13</v>
      </c>
      <c r="Z378" s="112">
        <f t="shared" si="7"/>
        <v>13</v>
      </c>
      <c r="AA378" s="130" t="s">
        <v>13</v>
      </c>
      <c r="AB378" s="114">
        <f>IF(ISNA(VLOOKUP($B378,'Business Report'!$D$2:$J$202,2,0)),"",VLOOKUP($B378,'Business Report'!$D$2:$J$202,2,0))</f>
        <v>100</v>
      </c>
      <c r="AC378" s="115">
        <f>SUMIFS(AFS!$P$2:$P$6260,AFS!$N$2:$N$6260,B378,AFS!$AT$2:$AT$6260,AA378)</f>
        <v>6</v>
      </c>
      <c r="AD378" s="116">
        <f t="shared" si="8"/>
        <v>-5</v>
      </c>
      <c r="AE378" s="117"/>
      <c r="AF378" s="118" t="str">
        <f t="shared" si="9"/>
        <v/>
      </c>
      <c r="AG378" s="26"/>
      <c r="AH378" s="26"/>
      <c r="AI378" s="26"/>
    </row>
    <row r="379">
      <c r="A379" s="120" t="s">
        <v>5724</v>
      </c>
      <c r="B379" s="7" t="s">
        <v>71</v>
      </c>
      <c r="C379" s="95" t="s">
        <v>5748</v>
      </c>
      <c r="D379" s="109" t="s">
        <v>168</v>
      </c>
      <c r="E379" s="97">
        <f t="shared" si="2"/>
        <v>6</v>
      </c>
      <c r="F379" s="97">
        <f t="shared" si="3"/>
        <v>0</v>
      </c>
      <c r="G379" s="99">
        <f t="shared" si="71"/>
        <v>12</v>
      </c>
      <c r="H379" s="121"/>
      <c r="I379" s="122"/>
      <c r="J379" s="123"/>
      <c r="K379" s="124"/>
      <c r="L379" s="125"/>
      <c r="M379" s="181"/>
      <c r="N379" s="126"/>
      <c r="O379" s="127"/>
      <c r="P379" s="13">
        <f t="array" ref="P379">XLOOKUP(B379,Weight!B:B,Weight!D:D,"#N/A",0)</f>
        <v>85</v>
      </c>
      <c r="Q379" s="17">
        <f t="shared" si="6"/>
        <v>1020</v>
      </c>
      <c r="R379" s="107"/>
      <c r="S379" s="108">
        <v>560313.0</v>
      </c>
      <c r="T379" s="108">
        <v>12.0</v>
      </c>
      <c r="U379" s="109">
        <v>30.0</v>
      </c>
      <c r="V379" s="110"/>
      <c r="X379" s="111">
        <f>SUMIFS('Transit Shipment'!$B$10:$B$1048462,'Transit Shipment'!$A$10:$A$1048462,B379,'Transit Shipment'!$C$10:$C$1048462,AA379)</f>
        <v>0</v>
      </c>
      <c r="Y379" s="111">
        <f>IF(SUMIFS(DIH!$S$2:$S833,DIH!$D$2:$D833,B379,DIH!$U$2:$U833,AA379)&gt;0,SUMIFS(DIH!$S$2:$S833,DIH!$D$2:$D833,B379,DIH!$U$2:$U833,AA379),0)</f>
        <v>15</v>
      </c>
      <c r="Z379" s="112">
        <f t="shared" si="7"/>
        <v>15</v>
      </c>
      <c r="AA379" s="119" t="s">
        <v>14</v>
      </c>
      <c r="AB379" s="114">
        <f>IF(ISNA(VLOOKUP($B379,'Business Report'!$D$2:$J$202,2,0)),"",VLOOKUP($B379,'Business Report'!$D$2:$J$202,2,0))</f>
        <v>100</v>
      </c>
      <c r="AC379" s="115">
        <f>SUMIFS(AFS!$P$2:$P$6260,AFS!$N$2:$N$6260,B379,AFS!$AT$2:$AT$6260,AA379)</f>
        <v>20</v>
      </c>
      <c r="AD379" s="116">
        <f t="shared" si="8"/>
        <v>12</v>
      </c>
      <c r="AE379" s="117"/>
      <c r="AF379" s="118">
        <f t="shared" si="9"/>
        <v>12</v>
      </c>
      <c r="AG379" s="26"/>
      <c r="AH379" s="26"/>
      <c r="AI379" s="26"/>
    </row>
    <row r="380">
      <c r="A380" s="120" t="s">
        <v>5724</v>
      </c>
      <c r="B380" s="7" t="s">
        <v>71</v>
      </c>
      <c r="C380" s="95" t="s">
        <v>5748</v>
      </c>
      <c r="D380" s="109" t="s">
        <v>168</v>
      </c>
      <c r="E380" s="97" t="str">
        <f t="shared" si="2"/>
        <v/>
      </c>
      <c r="F380" s="97" t="str">
        <f t="shared" si="3"/>
        <v/>
      </c>
      <c r="G380" s="99" t="str">
        <f t="shared" si="71"/>
        <v/>
      </c>
      <c r="H380" s="121"/>
      <c r="I380" s="122"/>
      <c r="J380" s="123"/>
      <c r="K380" s="124"/>
      <c r="L380" s="125"/>
      <c r="M380" s="181"/>
      <c r="N380" s="126"/>
      <c r="O380" s="127"/>
      <c r="P380" s="13">
        <f t="array" ref="P380">XLOOKUP(B380,Weight!B:B,Weight!D:D,"#N/A",0)</f>
        <v>85</v>
      </c>
      <c r="Q380" s="17" t="str">
        <f t="shared" si="6"/>
        <v/>
      </c>
      <c r="R380" s="107"/>
      <c r="S380" s="108">
        <v>560313.0</v>
      </c>
      <c r="T380" s="108">
        <v>12.0</v>
      </c>
      <c r="U380" s="109">
        <v>30.0</v>
      </c>
      <c r="V380" s="110"/>
      <c r="X380" s="111">
        <f>SUMIFS('Transit Shipment'!$B$10:$B$1048462,'Transit Shipment'!$A$10:$A$1048462,B380,'Transit Shipment'!$C$10:$C$1048462,AA380)</f>
        <v>0</v>
      </c>
      <c r="Y380" s="111">
        <f>IF(SUMIFS(DIH!$S$2:$S833,DIH!$D$2:$D833,B380,DIH!$U$2:$U833,AA380)&gt;0,SUMIFS(DIH!$S$2:$S833,DIH!$D$2:$D833,B380,DIH!$U$2:$U833,AA380),0)</f>
        <v>14</v>
      </c>
      <c r="Z380" s="112">
        <f t="shared" si="7"/>
        <v>14</v>
      </c>
      <c r="AA380" s="131" t="s">
        <v>16</v>
      </c>
      <c r="AB380" s="114">
        <f>IF(ISNA(VLOOKUP($B380,'Business Report'!$D$2:$J$202,2,0)),"",VLOOKUP($B380,'Business Report'!$D$2:$J$202,2,0))</f>
        <v>100</v>
      </c>
      <c r="AC380" s="115">
        <f>SUMIFS(AFS!$P$2:$P$6260,AFS!$N$2:$N$6260,B380,AFS!$AT$2:$AT$6260,AA380)</f>
        <v>6</v>
      </c>
      <c r="AD380" s="116">
        <f t="shared" si="8"/>
        <v>-6</v>
      </c>
      <c r="AE380" s="117"/>
      <c r="AF380" s="118" t="str">
        <f t="shared" si="9"/>
        <v/>
      </c>
      <c r="AG380" s="26"/>
      <c r="AH380" s="26"/>
      <c r="AI380" s="26"/>
    </row>
    <row r="381">
      <c r="A381" s="132" t="s">
        <v>5724</v>
      </c>
      <c r="B381" s="15" t="s">
        <v>71</v>
      </c>
      <c r="C381" s="133" t="s">
        <v>5748</v>
      </c>
      <c r="D381" s="134" t="s">
        <v>168</v>
      </c>
      <c r="E381" s="135" t="str">
        <f t="shared" si="2"/>
        <v/>
      </c>
      <c r="F381" s="135" t="str">
        <f t="shared" si="3"/>
        <v/>
      </c>
      <c r="G381" s="136" t="str">
        <f t="shared" si="71"/>
        <v/>
      </c>
      <c r="H381" s="137"/>
      <c r="I381" s="138"/>
      <c r="J381" s="139"/>
      <c r="K381" s="140"/>
      <c r="L381" s="135"/>
      <c r="M381" s="152"/>
      <c r="N381" s="142"/>
      <c r="O381" s="143"/>
      <c r="P381" s="144">
        <f t="array" ref="P381">XLOOKUP(B381,Weight!B:B,Weight!D:D,"#N/A",0)</f>
        <v>85</v>
      </c>
      <c r="Q381" s="145" t="str">
        <f t="shared" si="6"/>
        <v/>
      </c>
      <c r="R381" s="146"/>
      <c r="S381" s="147">
        <v>560313.0</v>
      </c>
      <c r="T381" s="147">
        <v>12.0</v>
      </c>
      <c r="U381" s="109">
        <v>30.0</v>
      </c>
      <c r="V381" s="148"/>
      <c r="W381" s="149"/>
      <c r="X381" s="150">
        <f>SUMIFS('Transit Shipment'!$B$10:$B$1048462,'Transit Shipment'!$A$10:$A$1048462,B381,'Transit Shipment'!$C$10:$C$1048462,AA381)</f>
        <v>0</v>
      </c>
      <c r="Y381" s="150">
        <f>IF(SUMIFS(DIH!$S$2:$S833,DIH!$D$2:$D833,B381,DIH!$U$2:$U833,AA381)&gt;0,SUMIFS(DIH!$S$2:$S833,DIH!$D$2:$D833,B381,DIH!$U$2:$U833,AA381),0)</f>
        <v>9</v>
      </c>
      <c r="Z381" s="151">
        <f t="shared" si="7"/>
        <v>9</v>
      </c>
      <c r="AA381" s="152" t="s">
        <v>17</v>
      </c>
      <c r="AB381" s="154">
        <f>IF(ISNA(VLOOKUP($B381,'Business Report'!$D$2:$J$202,2,0)),"",VLOOKUP($B381,'Business Report'!$D$2:$J$202,2,0))</f>
        <v>100</v>
      </c>
      <c r="AC381" s="155">
        <f>SUMIFS(AFS!$P$2:$P$6260,AFS!$N$2:$N$6260,B381,AFS!$AT$2:$AT$6260,AA381)</f>
        <v>5</v>
      </c>
      <c r="AD381" s="156">
        <f t="shared" si="8"/>
        <v>-2</v>
      </c>
      <c r="AE381" s="159">
        <f>SUM(AD373:AD381)</f>
        <v>-11</v>
      </c>
      <c r="AF381" s="118" t="str">
        <f t="shared" si="9"/>
        <v/>
      </c>
      <c r="AG381" s="26"/>
      <c r="AH381" s="26"/>
      <c r="AI381" s="26"/>
    </row>
    <row r="382">
      <c r="A382" s="66" t="s">
        <v>5524</v>
      </c>
      <c r="B382" s="1" t="s">
        <v>75</v>
      </c>
      <c r="C382" s="95" t="s">
        <v>2108</v>
      </c>
      <c r="D382" s="68" t="s">
        <v>168</v>
      </c>
      <c r="E382" s="69" t="str">
        <f t="shared" si="2"/>
        <v/>
      </c>
      <c r="F382" s="69" t="str">
        <f t="shared" si="3"/>
        <v/>
      </c>
      <c r="G382" s="70">
        <f t="shared" ref="G382:G399" si="74">IF(ISERROR(SEARCH("Apron",D382)),AF382,"")*2</f>
        <v>0</v>
      </c>
      <c r="H382" s="163"/>
      <c r="I382" s="101"/>
      <c r="J382" s="102"/>
      <c r="K382" s="167"/>
      <c r="L382" s="119"/>
      <c r="M382" s="169"/>
      <c r="N382" s="171"/>
      <c r="O382" s="106"/>
      <c r="P382" s="79">
        <f t="array" ref="P382">XLOOKUP(B382,Weight!B:B,Weight!D:D,"#N/A",0)</f>
        <v>170</v>
      </c>
      <c r="Q382" s="80" t="str">
        <f t="shared" si="6"/>
        <v/>
      </c>
      <c r="R382" s="107"/>
      <c r="S382" s="108">
        <v>560313.0</v>
      </c>
      <c r="T382" s="108">
        <v>12.0</v>
      </c>
      <c r="U382" s="83">
        <v>60.0</v>
      </c>
      <c r="V382" s="84" t="str">
        <f t="shared" ref="V382:W382" si="73">B382</f>
        <v>CRM-DC-TS-NW-BLACK-2Q</v>
      </c>
      <c r="W382" s="174" t="str">
        <f t="shared" si="73"/>
        <v>Crasome Water Dispenser for 20 ltr / Litre Bottle Jar Cover with Transparent Strap - Black Pack of 2 (DC-TS-B-2Q)</v>
      </c>
      <c r="X382" s="86">
        <f>SUMIFS('Transit Shipment'!$B$10:$B$1048462,'Transit Shipment'!$A$10:$A$1048462,B382,'Transit Shipment'!$C$10:$C$1048462,AA382)</f>
        <v>0</v>
      </c>
      <c r="Y382" s="86">
        <f>IF(SUMIFS(DIH!$S$2:$S833,DIH!$D$2:$D833,B382,DIH!$U$2:$U833,AA382)&gt;0,SUMIFS(DIH!$S$2:$S833,DIH!$D$2:$D833,B382,DIH!$U$2:$U833,AA382),0)</f>
        <v>3</v>
      </c>
      <c r="Z382" s="87">
        <f t="shared" si="7"/>
        <v>3</v>
      </c>
      <c r="AA382" s="88" t="s">
        <v>5</v>
      </c>
      <c r="AB382" s="89">
        <f>IF(ISNA(VLOOKUP($B382,'Business Report'!$D$2:$J$202,2,0)),"",VLOOKUP($B382,'Business Report'!$D$2:$J$202,2,0))</f>
        <v>29</v>
      </c>
      <c r="AC382" s="90">
        <f>SUMIFS(AFS!$P$2:$P$6260,AFS!$N$2:$N$6260,B382,AFS!$AT$2:$AT$6260,AA382)</f>
        <v>1</v>
      </c>
      <c r="AD382" s="91">
        <f t="shared" si="8"/>
        <v>-1</v>
      </c>
      <c r="AE382" s="92"/>
      <c r="AF382" s="93" t="str">
        <f t="shared" si="9"/>
        <v/>
      </c>
      <c r="AG382" s="26"/>
      <c r="AH382" s="26"/>
      <c r="AI382" s="26"/>
    </row>
    <row r="383">
      <c r="A383" s="94" t="s">
        <v>5524</v>
      </c>
      <c r="B383" s="3" t="s">
        <v>75</v>
      </c>
      <c r="C383" s="95" t="s">
        <v>2108</v>
      </c>
      <c r="D383" s="96" t="s">
        <v>168</v>
      </c>
      <c r="E383" s="97" t="str">
        <f t="shared" si="2"/>
        <v/>
      </c>
      <c r="F383" s="97" t="str">
        <f t="shared" si="3"/>
        <v/>
      </c>
      <c r="G383" s="99">
        <f t="shared" si="74"/>
        <v>0</v>
      </c>
      <c r="H383" s="100"/>
      <c r="I383" s="101"/>
      <c r="J383" s="102"/>
      <c r="K383" s="103"/>
      <c r="L383" s="97"/>
      <c r="M383" s="169"/>
      <c r="N383" s="105"/>
      <c r="O383" s="106"/>
      <c r="P383" s="13">
        <f t="array" ref="P383">XLOOKUP(B383,Weight!B:B,Weight!D:D,"#N/A",0)</f>
        <v>170</v>
      </c>
      <c r="Q383" s="17" t="str">
        <f t="shared" si="6"/>
        <v/>
      </c>
      <c r="R383" s="107"/>
      <c r="S383" s="108">
        <v>560313.0</v>
      </c>
      <c r="T383" s="108">
        <v>12.0</v>
      </c>
      <c r="U383" s="109">
        <v>60.0</v>
      </c>
      <c r="V383" s="110"/>
      <c r="X383" s="111">
        <f>SUMIFS('Transit Shipment'!$B$10:$B$1048462,'Transit Shipment'!$A$10:$A$1048462,B383,'Transit Shipment'!$C$10:$C$1048462,AA383)</f>
        <v>0</v>
      </c>
      <c r="Y383" s="111">
        <f>IF(SUMIFS(DIH!$S$2:$S833,DIH!$D$2:$D833,B383,DIH!$U$2:$U833,AA383)&gt;0,SUMIFS(DIH!$S$2:$S833,DIH!$D$2:$D833,B383,DIH!$U$2:$U833,AA383),0)</f>
        <v>8</v>
      </c>
      <c r="Z383" s="112">
        <f t="shared" si="7"/>
        <v>8</v>
      </c>
      <c r="AA383" s="113" t="s">
        <v>11</v>
      </c>
      <c r="AB383" s="114">
        <f>IF(ISNA(VLOOKUP($B383,'Business Report'!$D$2:$J$202,2,0)),"",VLOOKUP($B383,'Business Report'!$D$2:$J$202,2,0))</f>
        <v>29</v>
      </c>
      <c r="AC383" s="115">
        <f>SUMIFS(AFS!$P$2:$P$6260,AFS!$N$2:$N$6260,B383,AFS!$AT$2:$AT$6260,AA383)</f>
        <v>4</v>
      </c>
      <c r="AD383" s="116">
        <f t="shared" si="8"/>
        <v>-2</v>
      </c>
      <c r="AE383" s="117"/>
      <c r="AF383" s="118" t="str">
        <f t="shared" si="9"/>
        <v/>
      </c>
      <c r="AG383" s="26"/>
      <c r="AH383" s="26"/>
      <c r="AI383" s="26"/>
    </row>
    <row r="384">
      <c r="A384" s="94" t="s">
        <v>5524</v>
      </c>
      <c r="B384" s="3" t="s">
        <v>75</v>
      </c>
      <c r="C384" s="95" t="s">
        <v>2108</v>
      </c>
      <c r="D384" s="96" t="s">
        <v>168</v>
      </c>
      <c r="E384" s="97" t="str">
        <f t="shared" si="2"/>
        <v/>
      </c>
      <c r="F384" s="97" t="str">
        <f t="shared" si="3"/>
        <v/>
      </c>
      <c r="G384" s="99">
        <f t="shared" si="74"/>
        <v>0</v>
      </c>
      <c r="H384" s="100"/>
      <c r="I384" s="101"/>
      <c r="J384" s="102"/>
      <c r="K384" s="103"/>
      <c r="L384" s="97"/>
      <c r="M384" s="169"/>
      <c r="N384" s="105"/>
      <c r="O384" s="106"/>
      <c r="P384" s="13">
        <f t="array" ref="P384">XLOOKUP(B384,Weight!B:B,Weight!D:D,"#N/A",0)</f>
        <v>170</v>
      </c>
      <c r="Q384" s="17" t="str">
        <f t="shared" si="6"/>
        <v/>
      </c>
      <c r="R384" s="107"/>
      <c r="S384" s="108">
        <v>560313.0</v>
      </c>
      <c r="T384" s="108">
        <v>12.0</v>
      </c>
      <c r="U384" s="109">
        <v>60.0</v>
      </c>
      <c r="V384" s="110"/>
      <c r="X384" s="111">
        <f>SUMIFS('Transit Shipment'!$B$10:$B$1048462,'Transit Shipment'!$A$10:$A$1048462,B384,'Transit Shipment'!$C$10:$C$1048462,AA384)</f>
        <v>0</v>
      </c>
      <c r="Y384" s="111">
        <f>IF(SUMIFS(DIH!$S$2:$S833,DIH!$D$2:$D833,B384,DIH!$U$2:$U833,AA384)&gt;0,SUMIFS(DIH!$S$2:$S833,DIH!$D$2:$D833,B384,DIH!$U$2:$U833,AA384),0)</f>
        <v>8</v>
      </c>
      <c r="Z384" s="112">
        <f t="shared" si="7"/>
        <v>8</v>
      </c>
      <c r="AA384" s="119" t="s">
        <v>9</v>
      </c>
      <c r="AB384" s="114">
        <f>IF(ISNA(VLOOKUP($B384,'Business Report'!$D$2:$J$202,2,0)),"",VLOOKUP($B384,'Business Report'!$D$2:$J$202,2,0))</f>
        <v>29</v>
      </c>
      <c r="AC384" s="115">
        <f>SUMIFS(AFS!$P$2:$P$6260,AFS!$N$2:$N$6260,B384,AFS!$AT$2:$AT$6260,AA384)</f>
        <v>1</v>
      </c>
      <c r="AD384" s="116">
        <f t="shared" si="8"/>
        <v>-6</v>
      </c>
      <c r="AE384" s="117"/>
      <c r="AF384" s="118" t="str">
        <f t="shared" si="9"/>
        <v/>
      </c>
      <c r="AG384" s="4"/>
      <c r="AH384" s="26"/>
      <c r="AI384" s="26"/>
    </row>
    <row r="385">
      <c r="A385" s="120" t="s">
        <v>5524</v>
      </c>
      <c r="B385" s="7" t="s">
        <v>75</v>
      </c>
      <c r="C385" s="95" t="s">
        <v>2108</v>
      </c>
      <c r="D385" s="109" t="s">
        <v>168</v>
      </c>
      <c r="E385" s="97">
        <f t="shared" si="2"/>
        <v>1</v>
      </c>
      <c r="F385" s="97">
        <f t="shared" si="3"/>
        <v>0</v>
      </c>
      <c r="G385" s="99">
        <f t="shared" si="74"/>
        <v>0</v>
      </c>
      <c r="H385" s="121"/>
      <c r="I385" s="122"/>
      <c r="J385" s="123"/>
      <c r="K385" s="124"/>
      <c r="L385" s="125"/>
      <c r="M385" s="181"/>
      <c r="N385" s="126"/>
      <c r="O385" s="127"/>
      <c r="P385" s="13">
        <f t="array" ref="P385">XLOOKUP(B385,Weight!B:B,Weight!D:D,"#N/A",0)</f>
        <v>170</v>
      </c>
      <c r="Q385" s="17" t="str">
        <f t="shared" si="6"/>
        <v/>
      </c>
      <c r="R385" s="107"/>
      <c r="S385" s="108">
        <v>560313.0</v>
      </c>
      <c r="T385" s="108">
        <v>12.0</v>
      </c>
      <c r="U385" s="109">
        <v>60.0</v>
      </c>
      <c r="V385" s="110"/>
      <c r="X385" s="111">
        <f>SUMIFS('Transit Shipment'!$B$10:$B$1048462,'Transit Shipment'!$A$10:$A$1048462,B385,'Transit Shipment'!$C$10:$C$1048462,AA385)</f>
        <v>0</v>
      </c>
      <c r="Y385" s="111">
        <f>IF(SUMIFS(DIH!$S$2:$S833,DIH!$D$2:$D833,B385,DIH!$U$2:$U833,AA385)&gt;0,SUMIFS(DIH!$S$2:$S833,DIH!$D$2:$D833,B385,DIH!$U$2:$U833,AA385),0)</f>
        <v>2</v>
      </c>
      <c r="Z385" s="112">
        <f t="shared" si="7"/>
        <v>2</v>
      </c>
      <c r="AA385" s="119" t="s">
        <v>155</v>
      </c>
      <c r="AB385" s="114">
        <f>IF(ISNA(VLOOKUP($B385,'Business Report'!$D$2:$J$202,2,0)),"",VLOOKUP($B385,'Business Report'!$D$2:$J$202,2,0))</f>
        <v>29</v>
      </c>
      <c r="AC385" s="115">
        <f>SUMIFS(AFS!$P$2:$P$6260,AFS!$N$2:$N$6260,B385,AFS!$AT$2:$AT$6260,AA385)</f>
        <v>1</v>
      </c>
      <c r="AD385" s="116">
        <f t="shared" si="8"/>
        <v>0</v>
      </c>
      <c r="AE385" s="117"/>
      <c r="AF385" s="118" t="str">
        <f t="shared" si="9"/>
        <v/>
      </c>
      <c r="AG385" s="4"/>
      <c r="AH385" s="26"/>
      <c r="AI385" s="26"/>
    </row>
    <row r="386">
      <c r="A386" s="120" t="s">
        <v>5524</v>
      </c>
      <c r="B386" s="7" t="s">
        <v>75</v>
      </c>
      <c r="C386" s="95" t="s">
        <v>2108</v>
      </c>
      <c r="D386" s="109" t="s">
        <v>168</v>
      </c>
      <c r="E386" s="97">
        <f t="shared" si="2"/>
        <v>1</v>
      </c>
      <c r="F386" s="97">
        <f t="shared" si="3"/>
        <v>0</v>
      </c>
      <c r="G386" s="99">
        <f t="shared" si="74"/>
        <v>0</v>
      </c>
      <c r="H386" s="121"/>
      <c r="I386" s="122"/>
      <c r="J386" s="123"/>
      <c r="K386" s="124"/>
      <c r="L386" s="125"/>
      <c r="M386" s="181"/>
      <c r="N386" s="126"/>
      <c r="O386" s="127"/>
      <c r="P386" s="13">
        <f t="array" ref="P386">XLOOKUP(B386,Weight!B:B,Weight!D:D,"#N/A",0)</f>
        <v>170</v>
      </c>
      <c r="Q386" s="17" t="str">
        <f t="shared" si="6"/>
        <v/>
      </c>
      <c r="R386" s="107"/>
      <c r="S386" s="108">
        <v>560313.0</v>
      </c>
      <c r="T386" s="108">
        <v>12.0</v>
      </c>
      <c r="U386" s="109">
        <v>60.0</v>
      </c>
      <c r="V386" s="110"/>
      <c r="X386" s="111">
        <f>SUMIFS('Transit Shipment'!$B$10:$B$1048462,'Transit Shipment'!$A$10:$A$1048462,B386,'Transit Shipment'!$C$10:$C$1048462,AA386)</f>
        <v>0</v>
      </c>
      <c r="Y386" s="111">
        <f>IF(SUMIFS(DIH!$S$2:$S833,DIH!$D$2:$D833,B386,DIH!$U$2:$U833,AA386)&gt;0,SUMIFS(DIH!$S$2:$S833,DIH!$D$2:$D833,B386,DIH!$U$2:$U833,AA386),0)</f>
        <v>7</v>
      </c>
      <c r="Z386" s="112">
        <f t="shared" si="7"/>
        <v>7</v>
      </c>
      <c r="AA386" s="119" t="s">
        <v>156</v>
      </c>
      <c r="AB386" s="114">
        <f>IF(ISNA(VLOOKUP($B386,'Business Report'!$D$2:$J$202,2,0)),"",VLOOKUP($B386,'Business Report'!$D$2:$J$202,2,0))</f>
        <v>29</v>
      </c>
      <c r="AC386" s="115">
        <f>SUMIFS(AFS!$P$2:$P$6260,AFS!$N$2:$N$6260,B386,AFS!$AT$2:$AT$6260,AA386)</f>
        <v>5</v>
      </c>
      <c r="AD386" s="116">
        <f t="shared" si="8"/>
        <v>0</v>
      </c>
      <c r="AE386" s="117"/>
      <c r="AF386" s="118" t="str">
        <f t="shared" si="9"/>
        <v/>
      </c>
      <c r="AG386" s="4"/>
      <c r="AH386" s="26"/>
      <c r="AI386" s="26"/>
    </row>
    <row r="387">
      <c r="A387" s="120" t="s">
        <v>5524</v>
      </c>
      <c r="B387" s="7" t="s">
        <v>75</v>
      </c>
      <c r="C387" s="95" t="s">
        <v>2108</v>
      </c>
      <c r="D387" s="109" t="s">
        <v>168</v>
      </c>
      <c r="E387" s="97">
        <f t="shared" si="2"/>
        <v>0</v>
      </c>
      <c r="F387" s="97">
        <f t="shared" si="3"/>
        <v>0.5</v>
      </c>
      <c r="G387" s="99">
        <f t="shared" si="74"/>
        <v>4</v>
      </c>
      <c r="H387" s="121"/>
      <c r="I387" s="122"/>
      <c r="J387" s="123"/>
      <c r="K387" s="124"/>
      <c r="L387" s="125"/>
      <c r="M387" s="181"/>
      <c r="N387" s="126"/>
      <c r="O387" s="127"/>
      <c r="P387" s="13">
        <f t="array" ref="P387">XLOOKUP(B387,Weight!B:B,Weight!D:D,"#N/A",0)</f>
        <v>170</v>
      </c>
      <c r="Q387" s="17">
        <f t="shared" si="6"/>
        <v>340</v>
      </c>
      <c r="R387" s="107"/>
      <c r="S387" s="108">
        <v>560313.0</v>
      </c>
      <c r="T387" s="108">
        <v>12.0</v>
      </c>
      <c r="U387" s="109">
        <v>60.0</v>
      </c>
      <c r="V387" s="110"/>
      <c r="X387" s="111">
        <f>SUMIFS('Transit Shipment'!$B$10:$B$1048462,'Transit Shipment'!$A$10:$A$1048462,B387,'Transit Shipment'!$C$10:$C$1048462,AA387)</f>
        <v>0</v>
      </c>
      <c r="Y387" s="111">
        <f>IF(SUMIFS(DIH!$S$2:$S833,DIH!$D$2:$D833,B387,DIH!$U$2:$U833,AA387)&gt;0,SUMIFS(DIH!$S$2:$S833,DIH!$D$2:$D833,B387,DIH!$U$2:$U833,AA387),0)</f>
        <v>2</v>
      </c>
      <c r="Z387" s="112">
        <f t="shared" si="7"/>
        <v>2</v>
      </c>
      <c r="AA387" s="130" t="s">
        <v>13</v>
      </c>
      <c r="AB387" s="114">
        <f>IF(ISNA(VLOOKUP($B387,'Business Report'!$D$2:$J$202,2,0)),"",VLOOKUP($B387,'Business Report'!$D$2:$J$202,2,0))</f>
        <v>29</v>
      </c>
      <c r="AC387" s="115">
        <f>SUMIFS(AFS!$P$2:$P$6260,AFS!$N$2:$N$6260,B387,AFS!$AT$2:$AT$6260,AA387)</f>
        <v>2</v>
      </c>
      <c r="AD387" s="116">
        <f t="shared" si="8"/>
        <v>1</v>
      </c>
      <c r="AE387" s="117"/>
      <c r="AF387" s="118">
        <f t="shared" si="9"/>
        <v>2</v>
      </c>
      <c r="AG387" s="26"/>
      <c r="AH387" s="26"/>
      <c r="AI387" s="26"/>
    </row>
    <row r="388">
      <c r="A388" s="120" t="s">
        <v>5524</v>
      </c>
      <c r="B388" s="7" t="s">
        <v>75</v>
      </c>
      <c r="C388" s="95" t="s">
        <v>2108</v>
      </c>
      <c r="D388" s="109" t="s">
        <v>168</v>
      </c>
      <c r="E388" s="97" t="str">
        <f t="shared" si="2"/>
        <v/>
      </c>
      <c r="F388" s="97" t="str">
        <f t="shared" si="3"/>
        <v/>
      </c>
      <c r="G388" s="99">
        <f t="shared" si="74"/>
        <v>0</v>
      </c>
      <c r="H388" s="121"/>
      <c r="I388" s="122"/>
      <c r="J388" s="123"/>
      <c r="K388" s="124"/>
      <c r="L388" s="125"/>
      <c r="M388" s="181"/>
      <c r="N388" s="126"/>
      <c r="O388" s="127"/>
      <c r="P388" s="13">
        <f t="array" ref="P388">XLOOKUP(B388,Weight!B:B,Weight!D:D,"#N/A",0)</f>
        <v>170</v>
      </c>
      <c r="Q388" s="17" t="str">
        <f t="shared" si="6"/>
        <v/>
      </c>
      <c r="R388" s="107"/>
      <c r="S388" s="108">
        <v>560313.0</v>
      </c>
      <c r="T388" s="108">
        <v>12.0</v>
      </c>
      <c r="U388" s="109">
        <v>60.0</v>
      </c>
      <c r="V388" s="110"/>
      <c r="X388" s="111">
        <f>SUMIFS('Transit Shipment'!$B$10:$B$1048462,'Transit Shipment'!$A$10:$A$1048462,B388,'Transit Shipment'!$C$10:$C$1048462,AA388)</f>
        <v>0</v>
      </c>
      <c r="Y388" s="111">
        <f>IF(SUMIFS(DIH!$S$2:$S833,DIH!$D$2:$D833,B388,DIH!$U$2:$U833,AA388)&gt;0,SUMIFS(DIH!$S$2:$S833,DIH!$D$2:$D833,B388,DIH!$U$2:$U833,AA388),0)</f>
        <v>7</v>
      </c>
      <c r="Z388" s="112">
        <f t="shared" si="7"/>
        <v>7</v>
      </c>
      <c r="AA388" s="119" t="s">
        <v>14</v>
      </c>
      <c r="AB388" s="114">
        <f>IF(ISNA(VLOOKUP($B388,'Business Report'!$D$2:$J$202,2,0)),"",VLOOKUP($B388,'Business Report'!$D$2:$J$202,2,0))</f>
        <v>29</v>
      </c>
      <c r="AC388" s="115">
        <f>SUMIFS(AFS!$P$2:$P$6260,AFS!$N$2:$N$6260,B388,AFS!$AT$2:$AT$6260,AA388)</f>
        <v>0</v>
      </c>
      <c r="AD388" s="116">
        <f t="shared" si="8"/>
        <v>-7</v>
      </c>
      <c r="AE388" s="117"/>
      <c r="AF388" s="118" t="str">
        <f t="shared" si="9"/>
        <v/>
      </c>
      <c r="AG388" s="26"/>
      <c r="AH388" s="26"/>
      <c r="AI388" s="26"/>
    </row>
    <row r="389">
      <c r="A389" s="120" t="s">
        <v>5524</v>
      </c>
      <c r="B389" s="7" t="s">
        <v>75</v>
      </c>
      <c r="C389" s="95" t="s">
        <v>2108</v>
      </c>
      <c r="D389" s="109" t="s">
        <v>168</v>
      </c>
      <c r="E389" s="97" t="str">
        <f t="shared" si="2"/>
        <v/>
      </c>
      <c r="F389" s="97" t="str">
        <f t="shared" si="3"/>
        <v/>
      </c>
      <c r="G389" s="99">
        <f t="shared" si="74"/>
        <v>0</v>
      </c>
      <c r="H389" s="121"/>
      <c r="I389" s="122"/>
      <c r="J389" s="123"/>
      <c r="K389" s="124"/>
      <c r="L389" s="125"/>
      <c r="M389" s="181"/>
      <c r="N389" s="126"/>
      <c r="O389" s="127"/>
      <c r="P389" s="13">
        <f t="array" ref="P389">XLOOKUP(B389,Weight!B:B,Weight!D:D,"#N/A",0)</f>
        <v>170</v>
      </c>
      <c r="Q389" s="17" t="str">
        <f t="shared" si="6"/>
        <v/>
      </c>
      <c r="R389" s="107"/>
      <c r="S389" s="108">
        <v>560313.0</v>
      </c>
      <c r="T389" s="108">
        <v>12.0</v>
      </c>
      <c r="U389" s="109">
        <v>60.0</v>
      </c>
      <c r="V389" s="110"/>
      <c r="X389" s="111">
        <f>SUMIFS('Transit Shipment'!$B$10:$B$1048462,'Transit Shipment'!$A$10:$A$1048462,B389,'Transit Shipment'!$C$10:$C$1048462,AA389)</f>
        <v>0</v>
      </c>
      <c r="Y389" s="111">
        <f>IF(SUMIFS(DIH!$S$2:$S833,DIH!$D$2:$D833,B389,DIH!$U$2:$U833,AA389)&gt;0,SUMIFS(DIH!$S$2:$S833,DIH!$D$2:$D833,B389,DIH!$U$2:$U833,AA389),0)</f>
        <v>3</v>
      </c>
      <c r="Z389" s="112">
        <f t="shared" si="7"/>
        <v>3</v>
      </c>
      <c r="AA389" s="131" t="s">
        <v>16</v>
      </c>
      <c r="AB389" s="114">
        <f>IF(ISNA(VLOOKUP($B389,'Business Report'!$D$2:$J$202,2,0)),"",VLOOKUP($B389,'Business Report'!$D$2:$J$202,2,0))</f>
        <v>29</v>
      </c>
      <c r="AC389" s="115">
        <f>SUMIFS(AFS!$P$2:$P$6260,AFS!$N$2:$N$6260,B389,AFS!$AT$2:$AT$6260,AA389)</f>
        <v>0</v>
      </c>
      <c r="AD389" s="116">
        <f t="shared" si="8"/>
        <v>-3</v>
      </c>
      <c r="AE389" s="117"/>
      <c r="AF389" s="118" t="str">
        <f t="shared" si="9"/>
        <v/>
      </c>
      <c r="AG389" s="26"/>
      <c r="AH389" s="26"/>
      <c r="AI389" s="26"/>
    </row>
    <row r="390">
      <c r="A390" s="132" t="s">
        <v>5524</v>
      </c>
      <c r="B390" s="15" t="s">
        <v>75</v>
      </c>
      <c r="C390" s="133" t="s">
        <v>2108</v>
      </c>
      <c r="D390" s="134" t="s">
        <v>168</v>
      </c>
      <c r="E390" s="135" t="str">
        <f t="shared" si="2"/>
        <v/>
      </c>
      <c r="F390" s="135" t="str">
        <f t="shared" si="3"/>
        <v/>
      </c>
      <c r="G390" s="136">
        <f t="shared" si="74"/>
        <v>0</v>
      </c>
      <c r="H390" s="137"/>
      <c r="I390" s="138"/>
      <c r="J390" s="139"/>
      <c r="K390" s="140"/>
      <c r="L390" s="135"/>
      <c r="M390" s="152"/>
      <c r="N390" s="142"/>
      <c r="O390" s="143"/>
      <c r="P390" s="144">
        <f t="array" ref="P390">XLOOKUP(B390,Weight!B:B,Weight!D:D,"#N/A",0)</f>
        <v>170</v>
      </c>
      <c r="Q390" s="145" t="str">
        <f t="shared" si="6"/>
        <v/>
      </c>
      <c r="R390" s="146"/>
      <c r="S390" s="147">
        <v>560313.0</v>
      </c>
      <c r="T390" s="147">
        <v>12.0</v>
      </c>
      <c r="U390" s="109">
        <v>60.0</v>
      </c>
      <c r="V390" s="148"/>
      <c r="W390" s="149"/>
      <c r="X390" s="150">
        <f>SUMIFS('Transit Shipment'!$B$10:$B$1048462,'Transit Shipment'!$A$10:$A$1048462,B390,'Transit Shipment'!$C$10:$C$1048462,AA390)</f>
        <v>0</v>
      </c>
      <c r="Y390" s="150">
        <f>IF(SUMIFS(DIH!$S$2:$S833,DIH!$D$2:$D833,B390,DIH!$U$2:$U833,AA390)&gt;0,SUMIFS(DIH!$S$2:$S833,DIH!$D$2:$D833,B390,DIH!$U$2:$U833,AA390),0)</f>
        <v>3</v>
      </c>
      <c r="Z390" s="151">
        <f t="shared" si="7"/>
        <v>3</v>
      </c>
      <c r="AA390" s="152" t="s">
        <v>17</v>
      </c>
      <c r="AB390" s="154">
        <f>IF(ISNA(VLOOKUP($B390,'Business Report'!$D$2:$J$202,2,0)),"",VLOOKUP($B390,'Business Report'!$D$2:$J$202,2,0))</f>
        <v>29</v>
      </c>
      <c r="AC390" s="155">
        <f>SUMIFS(AFS!$P$2:$P$6260,AFS!$N$2:$N$6260,B390,AFS!$AT$2:$AT$6260,AA390)</f>
        <v>1</v>
      </c>
      <c r="AD390" s="156">
        <f t="shared" si="8"/>
        <v>-1</v>
      </c>
      <c r="AE390" s="159">
        <f>SUM(AD382:AD390)</f>
        <v>-19</v>
      </c>
      <c r="AF390" s="118" t="str">
        <f t="shared" si="9"/>
        <v/>
      </c>
      <c r="AG390" s="26"/>
      <c r="AH390" s="26"/>
      <c r="AI390" s="26"/>
    </row>
    <row r="391">
      <c r="A391" s="66" t="s">
        <v>5724</v>
      </c>
      <c r="B391" s="1" t="s">
        <v>78</v>
      </c>
      <c r="C391" s="95" t="s">
        <v>360</v>
      </c>
      <c r="D391" s="68" t="s">
        <v>168</v>
      </c>
      <c r="E391" s="69">
        <f t="shared" si="2"/>
        <v>1</v>
      </c>
      <c r="F391" s="69">
        <f t="shared" si="3"/>
        <v>0</v>
      </c>
      <c r="G391" s="70">
        <f t="shared" si="74"/>
        <v>4</v>
      </c>
      <c r="H391" s="163"/>
      <c r="I391" s="101"/>
      <c r="J391" s="102"/>
      <c r="K391" s="167"/>
      <c r="L391" s="119"/>
      <c r="M391" s="169"/>
      <c r="N391" s="171"/>
      <c r="O391" s="106"/>
      <c r="P391" s="79">
        <f t="array" ref="P391">XLOOKUP(B391,Weight!B:B,Weight!D:D,"#N/A",0)</f>
        <v>170</v>
      </c>
      <c r="Q391" s="80">
        <f t="shared" si="6"/>
        <v>340</v>
      </c>
      <c r="R391" s="107"/>
      <c r="S391" s="108">
        <v>560313.0</v>
      </c>
      <c r="T391" s="108">
        <v>12.0</v>
      </c>
      <c r="U391" s="83">
        <v>60.0</v>
      </c>
      <c r="V391" s="84" t="str">
        <f t="shared" ref="V391:W391" si="75">B391</f>
        <v>CRM-DC-TS-NW-GREY-2Q</v>
      </c>
      <c r="W391" s="174" t="str">
        <f t="shared" si="75"/>
        <v>Crasome Water Dispenser for 20 ltr / Litre Bottle Jar Cover with Transparent Strap - Grey Pack of 2 (DC-TS-G-2Q)</v>
      </c>
      <c r="X391" s="86">
        <f>SUMIFS('Transit Shipment'!$B$10:$B$1048462,'Transit Shipment'!$A$10:$A$1048462,B391,'Transit Shipment'!$C$10:$C$1048462,AA391)</f>
        <v>0</v>
      </c>
      <c r="Y391" s="86">
        <f>IF(SUMIFS(DIH!$S$2:$S833,DIH!$D$2:$D833,B391,DIH!$U$2:$U833,AA391)&gt;0,SUMIFS(DIH!$S$2:$S833,DIH!$D$2:$D833,B391,DIH!$U$2:$U833,AA391),0)</f>
        <v>1</v>
      </c>
      <c r="Z391" s="87">
        <f t="shared" si="7"/>
        <v>1</v>
      </c>
      <c r="AA391" s="88" t="s">
        <v>5</v>
      </c>
      <c r="AB391" s="89">
        <f>IF(ISNA(VLOOKUP($B391,'Business Report'!$D$2:$J$202,2,0)),"",VLOOKUP($B391,'Business Report'!$D$2:$J$202,2,0))</f>
        <v>21</v>
      </c>
      <c r="AC391" s="90">
        <f>SUMIFS(AFS!$P$2:$P$6260,AFS!$N$2:$N$6260,B391,AFS!$AT$2:$AT$6260,AA391)</f>
        <v>2</v>
      </c>
      <c r="AD391" s="91">
        <f t="shared" si="8"/>
        <v>2</v>
      </c>
      <c r="AE391" s="92"/>
      <c r="AF391" s="93">
        <f t="shared" si="9"/>
        <v>2</v>
      </c>
      <c r="AG391" s="26"/>
      <c r="AH391" s="26"/>
      <c r="AI391" s="26"/>
    </row>
    <row r="392">
      <c r="A392" s="94" t="s">
        <v>5724</v>
      </c>
      <c r="B392" s="3" t="s">
        <v>78</v>
      </c>
      <c r="C392" s="95" t="s">
        <v>360</v>
      </c>
      <c r="D392" s="96" t="s">
        <v>168</v>
      </c>
      <c r="E392" s="97">
        <f t="shared" si="2"/>
        <v>3</v>
      </c>
      <c r="F392" s="97">
        <f t="shared" si="3"/>
        <v>0</v>
      </c>
      <c r="G392" s="99">
        <f t="shared" si="74"/>
        <v>12</v>
      </c>
      <c r="H392" s="100"/>
      <c r="I392" s="101"/>
      <c r="J392" s="102"/>
      <c r="K392" s="103"/>
      <c r="L392" s="97"/>
      <c r="M392" s="169"/>
      <c r="N392" s="105"/>
      <c r="O392" s="106"/>
      <c r="P392" s="13">
        <f t="array" ref="P392">XLOOKUP(B392,Weight!B:B,Weight!D:D,"#N/A",0)</f>
        <v>170</v>
      </c>
      <c r="Q392" s="17">
        <f t="shared" si="6"/>
        <v>1020</v>
      </c>
      <c r="R392" s="107"/>
      <c r="S392" s="108">
        <v>560313.0</v>
      </c>
      <c r="T392" s="108">
        <v>12.0</v>
      </c>
      <c r="U392" s="109">
        <v>60.0</v>
      </c>
      <c r="V392" s="110"/>
      <c r="X392" s="111">
        <f>SUMIFS('Transit Shipment'!$B$10:$B$1048462,'Transit Shipment'!$A$10:$A$1048462,B392,'Transit Shipment'!$C$10:$C$1048462,AA392)</f>
        <v>0</v>
      </c>
      <c r="Y392" s="111">
        <f>IF(SUMIFS(DIH!$S$2:$S833,DIH!$D$2:$D833,B392,DIH!$U$2:$U833,AA392)&gt;0,SUMIFS(DIH!$S$2:$S833,DIH!$D$2:$D833,B392,DIH!$U$2:$U833,AA392),0)</f>
        <v>8</v>
      </c>
      <c r="Z392" s="112">
        <f t="shared" si="7"/>
        <v>8</v>
      </c>
      <c r="AA392" s="113" t="s">
        <v>11</v>
      </c>
      <c r="AB392" s="114">
        <f>IF(ISNA(VLOOKUP($B392,'Business Report'!$D$2:$J$202,2,0)),"",VLOOKUP($B392,'Business Report'!$D$2:$J$202,2,0))</f>
        <v>21</v>
      </c>
      <c r="AC392" s="115">
        <f>SUMIFS(AFS!$P$2:$P$6260,AFS!$N$2:$N$6260,B392,AFS!$AT$2:$AT$6260,AA392)</f>
        <v>10</v>
      </c>
      <c r="AD392" s="116">
        <f t="shared" si="8"/>
        <v>6</v>
      </c>
      <c r="AE392" s="117"/>
      <c r="AF392" s="118">
        <f t="shared" si="9"/>
        <v>6</v>
      </c>
      <c r="AG392" s="26"/>
      <c r="AH392" s="26"/>
      <c r="AI392" s="26"/>
    </row>
    <row r="393">
      <c r="A393" s="94" t="s">
        <v>5724</v>
      </c>
      <c r="B393" s="3" t="s">
        <v>78</v>
      </c>
      <c r="C393" s="95" t="s">
        <v>360</v>
      </c>
      <c r="D393" s="96" t="s">
        <v>168</v>
      </c>
      <c r="E393" s="97">
        <f t="shared" si="2"/>
        <v>5</v>
      </c>
      <c r="F393" s="97">
        <f t="shared" si="3"/>
        <v>0</v>
      </c>
      <c r="G393" s="99">
        <f t="shared" si="74"/>
        <v>20</v>
      </c>
      <c r="H393" s="100"/>
      <c r="I393" s="101"/>
      <c r="J393" s="102"/>
      <c r="K393" s="103"/>
      <c r="L393" s="97"/>
      <c r="M393" s="169"/>
      <c r="N393" s="105"/>
      <c r="O393" s="106"/>
      <c r="P393" s="13">
        <f t="array" ref="P393">XLOOKUP(B393,Weight!B:B,Weight!D:D,"#N/A",0)</f>
        <v>170</v>
      </c>
      <c r="Q393" s="17">
        <f t="shared" si="6"/>
        <v>1700</v>
      </c>
      <c r="R393" s="107"/>
      <c r="S393" s="108">
        <v>560313.0</v>
      </c>
      <c r="T393" s="108">
        <v>12.0</v>
      </c>
      <c r="U393" s="109">
        <v>60.0</v>
      </c>
      <c r="V393" s="110"/>
      <c r="X393" s="111">
        <f>SUMIFS('Transit Shipment'!$B$10:$B$1048462,'Transit Shipment'!$A$10:$A$1048462,B393,'Transit Shipment'!$C$10:$C$1048462,AA393)</f>
        <v>0</v>
      </c>
      <c r="Y393" s="111">
        <f>IF(SUMIFS(DIH!$S$2:$S833,DIH!$D$2:$D833,B393,DIH!$U$2:$U833,AA393)&gt;0,SUMIFS(DIH!$S$2:$S833,DIH!$D$2:$D833,B393,DIH!$U$2:$U833,AA393),0)</f>
        <v>0</v>
      </c>
      <c r="Z393" s="112">
        <f t="shared" si="7"/>
        <v>0</v>
      </c>
      <c r="AA393" s="119" t="s">
        <v>9</v>
      </c>
      <c r="AB393" s="114">
        <f>IF(ISNA(VLOOKUP($B393,'Business Report'!$D$2:$J$202,2,0)),"",VLOOKUP($B393,'Business Report'!$D$2:$J$202,2,0))</f>
        <v>21</v>
      </c>
      <c r="AC393" s="115">
        <f>SUMIFS(AFS!$P$2:$P$6260,AFS!$N$2:$N$6260,B393,AFS!$AT$2:$AT$6260,AA393)</f>
        <v>7</v>
      </c>
      <c r="AD393" s="116">
        <f t="shared" si="8"/>
        <v>10</v>
      </c>
      <c r="AE393" s="117"/>
      <c r="AF393" s="118">
        <f t="shared" si="9"/>
        <v>10</v>
      </c>
      <c r="AG393" s="26"/>
      <c r="AH393" s="26"/>
      <c r="AI393" s="26"/>
    </row>
    <row r="394">
      <c r="A394" s="120" t="s">
        <v>5724</v>
      </c>
      <c r="B394" s="7" t="s">
        <v>78</v>
      </c>
      <c r="C394" s="95" t="s">
        <v>360</v>
      </c>
      <c r="D394" s="109" t="s">
        <v>168</v>
      </c>
      <c r="E394" s="97">
        <f t="shared" si="2"/>
        <v>1</v>
      </c>
      <c r="F394" s="97">
        <f t="shared" si="3"/>
        <v>0.5</v>
      </c>
      <c r="G394" s="99">
        <f t="shared" si="74"/>
        <v>8</v>
      </c>
      <c r="H394" s="121"/>
      <c r="I394" s="122"/>
      <c r="J394" s="123"/>
      <c r="K394" s="124"/>
      <c r="L394" s="125"/>
      <c r="M394" s="181"/>
      <c r="N394" s="126"/>
      <c r="O394" s="127"/>
      <c r="P394" s="13">
        <f t="array" ref="P394">XLOOKUP(B394,Weight!B:B,Weight!D:D,"#N/A",0)</f>
        <v>170</v>
      </c>
      <c r="Q394" s="17">
        <f t="shared" si="6"/>
        <v>680</v>
      </c>
      <c r="R394" s="107"/>
      <c r="S394" s="108">
        <v>560313.0</v>
      </c>
      <c r="T394" s="108">
        <v>12.0</v>
      </c>
      <c r="U394" s="109">
        <v>60.0</v>
      </c>
      <c r="V394" s="110"/>
      <c r="X394" s="111">
        <f>SUMIFS('Transit Shipment'!$B$10:$B$1048462,'Transit Shipment'!$A$10:$A$1048462,B394,'Transit Shipment'!$C$10:$C$1048462,AA394)</f>
        <v>0</v>
      </c>
      <c r="Y394" s="111">
        <f>IF(SUMIFS(DIH!$S$2:$S833,DIH!$D$2:$D833,B394,DIH!$U$2:$U833,AA394)&gt;0,SUMIFS(DIH!$S$2:$S833,DIH!$D$2:$D833,B394,DIH!$U$2:$U833,AA394),0)</f>
        <v>1</v>
      </c>
      <c r="Z394" s="112">
        <f t="shared" si="7"/>
        <v>1</v>
      </c>
      <c r="AA394" s="119" t="s">
        <v>155</v>
      </c>
      <c r="AB394" s="114">
        <f>IF(ISNA(VLOOKUP($B394,'Business Report'!$D$2:$J$202,2,0)),"",VLOOKUP($B394,'Business Report'!$D$2:$J$202,2,0))</f>
        <v>21</v>
      </c>
      <c r="AC394" s="115">
        <f>SUMIFS(AFS!$P$2:$P$6260,AFS!$N$2:$N$6260,B394,AFS!$AT$2:$AT$6260,AA394)</f>
        <v>3</v>
      </c>
      <c r="AD394" s="116">
        <f t="shared" si="8"/>
        <v>3</v>
      </c>
      <c r="AE394" s="117"/>
      <c r="AF394" s="118">
        <f t="shared" si="9"/>
        <v>4</v>
      </c>
      <c r="AG394" s="26"/>
      <c r="AH394" s="26"/>
      <c r="AI394" s="26"/>
    </row>
    <row r="395">
      <c r="A395" s="120" t="s">
        <v>5724</v>
      </c>
      <c r="B395" s="7" t="s">
        <v>78</v>
      </c>
      <c r="C395" s="95" t="s">
        <v>360</v>
      </c>
      <c r="D395" s="109" t="s">
        <v>168</v>
      </c>
      <c r="E395" s="97" t="str">
        <f t="shared" si="2"/>
        <v/>
      </c>
      <c r="F395" s="97" t="str">
        <f t="shared" si="3"/>
        <v/>
      </c>
      <c r="G395" s="99">
        <f t="shared" si="74"/>
        <v>0</v>
      </c>
      <c r="H395" s="121"/>
      <c r="I395" s="122"/>
      <c r="J395" s="123"/>
      <c r="K395" s="124"/>
      <c r="L395" s="125"/>
      <c r="M395" s="181"/>
      <c r="N395" s="126"/>
      <c r="O395" s="127"/>
      <c r="P395" s="13">
        <f t="array" ref="P395">XLOOKUP(B395,Weight!B:B,Weight!D:D,"#N/A",0)</f>
        <v>170</v>
      </c>
      <c r="Q395" s="17" t="str">
        <f t="shared" si="6"/>
        <v/>
      </c>
      <c r="R395" s="107"/>
      <c r="S395" s="108">
        <v>560313.0</v>
      </c>
      <c r="T395" s="108">
        <v>12.0</v>
      </c>
      <c r="U395" s="109">
        <v>60.0</v>
      </c>
      <c r="V395" s="110"/>
      <c r="X395" s="111">
        <f>SUMIFS('Transit Shipment'!$B$10:$B$1048462,'Transit Shipment'!$A$10:$A$1048462,B395,'Transit Shipment'!$C$10:$C$1048462,AA395)</f>
        <v>0</v>
      </c>
      <c r="Y395" s="111">
        <f>IF(SUMIFS(DIH!$S$2:$S833,DIH!$D$2:$D833,B395,DIH!$U$2:$U833,AA395)&gt;0,SUMIFS(DIH!$S$2:$S833,DIH!$D$2:$D833,B395,DIH!$U$2:$U833,AA395),0)</f>
        <v>5</v>
      </c>
      <c r="Z395" s="112">
        <f t="shared" si="7"/>
        <v>5</v>
      </c>
      <c r="AA395" s="119" t="s">
        <v>156</v>
      </c>
      <c r="AB395" s="114">
        <f>IF(ISNA(VLOOKUP($B395,'Business Report'!$D$2:$J$202,2,0)),"",VLOOKUP($B395,'Business Report'!$D$2:$J$202,2,0))</f>
        <v>21</v>
      </c>
      <c r="AC395" s="115">
        <f>SUMIFS(AFS!$P$2:$P$6260,AFS!$N$2:$N$6260,B395,AFS!$AT$2:$AT$6260,AA395)</f>
        <v>3</v>
      </c>
      <c r="AD395" s="116">
        <f t="shared" si="8"/>
        <v>-1</v>
      </c>
      <c r="AE395" s="117"/>
      <c r="AF395" s="118" t="str">
        <f t="shared" si="9"/>
        <v/>
      </c>
      <c r="AG395" s="26"/>
      <c r="AH395" s="26"/>
      <c r="AI395" s="26"/>
    </row>
    <row r="396">
      <c r="A396" s="120" t="s">
        <v>5724</v>
      </c>
      <c r="B396" s="7" t="s">
        <v>78</v>
      </c>
      <c r="C396" s="95" t="s">
        <v>360</v>
      </c>
      <c r="D396" s="109" t="s">
        <v>168</v>
      </c>
      <c r="E396" s="97">
        <f t="shared" si="2"/>
        <v>2</v>
      </c>
      <c r="F396" s="97">
        <f t="shared" si="3"/>
        <v>0</v>
      </c>
      <c r="G396" s="99">
        <f t="shared" si="74"/>
        <v>8</v>
      </c>
      <c r="H396" s="121"/>
      <c r="I396" s="122"/>
      <c r="J396" s="123"/>
      <c r="K396" s="124"/>
      <c r="L396" s="125"/>
      <c r="M396" s="181"/>
      <c r="N396" s="126"/>
      <c r="O396" s="127"/>
      <c r="P396" s="13">
        <f t="array" ref="P396">XLOOKUP(B396,Weight!B:B,Weight!D:D,"#N/A",0)</f>
        <v>170</v>
      </c>
      <c r="Q396" s="17">
        <f t="shared" si="6"/>
        <v>680</v>
      </c>
      <c r="R396" s="107"/>
      <c r="S396" s="108">
        <v>560313.0</v>
      </c>
      <c r="T396" s="108">
        <v>12.0</v>
      </c>
      <c r="U396" s="109">
        <v>60.0</v>
      </c>
      <c r="V396" s="110"/>
      <c r="X396" s="111">
        <f>SUMIFS('Transit Shipment'!$B$10:$B$1048462,'Transit Shipment'!$A$10:$A$1048462,B396,'Transit Shipment'!$C$10:$C$1048462,AA396)</f>
        <v>0</v>
      </c>
      <c r="Y396" s="111">
        <f>IF(SUMIFS(DIH!$S$2:$S833,DIH!$D$2:$D833,B396,DIH!$U$2:$U833,AA396)&gt;0,SUMIFS(DIH!$S$2:$S833,DIH!$D$2:$D833,B396,DIH!$U$2:$U833,AA396),0)</f>
        <v>0</v>
      </c>
      <c r="Z396" s="112">
        <f t="shared" si="7"/>
        <v>0</v>
      </c>
      <c r="AA396" s="130" t="s">
        <v>13</v>
      </c>
      <c r="AB396" s="114">
        <f>IF(ISNA(VLOOKUP($B396,'Business Report'!$D$2:$J$202,2,0)),"",VLOOKUP($B396,'Business Report'!$D$2:$J$202,2,0))</f>
        <v>21</v>
      </c>
      <c r="AC396" s="115">
        <f>SUMIFS(AFS!$P$2:$P$6260,AFS!$N$2:$N$6260,B396,AFS!$AT$2:$AT$6260,AA396)</f>
        <v>3</v>
      </c>
      <c r="AD396" s="116">
        <f t="shared" si="8"/>
        <v>4</v>
      </c>
      <c r="AE396" s="117"/>
      <c r="AF396" s="118">
        <f t="shared" si="9"/>
        <v>4</v>
      </c>
      <c r="AG396" s="26"/>
      <c r="AH396" s="26"/>
      <c r="AI396" s="26"/>
    </row>
    <row r="397">
      <c r="A397" s="120" t="s">
        <v>5724</v>
      </c>
      <c r="B397" s="7" t="s">
        <v>78</v>
      </c>
      <c r="C397" s="95" t="s">
        <v>360</v>
      </c>
      <c r="D397" s="109" t="s">
        <v>168</v>
      </c>
      <c r="E397" s="97" t="str">
        <f t="shared" si="2"/>
        <v/>
      </c>
      <c r="F397" s="97" t="str">
        <f t="shared" si="3"/>
        <v/>
      </c>
      <c r="G397" s="99">
        <f t="shared" si="74"/>
        <v>0</v>
      </c>
      <c r="H397" s="121"/>
      <c r="I397" s="122"/>
      <c r="J397" s="123"/>
      <c r="K397" s="124"/>
      <c r="L397" s="125"/>
      <c r="M397" s="181"/>
      <c r="N397" s="126"/>
      <c r="O397" s="127"/>
      <c r="P397" s="13">
        <f t="array" ref="P397">XLOOKUP(B397,Weight!B:B,Weight!D:D,"#N/A",0)</f>
        <v>170</v>
      </c>
      <c r="Q397" s="17" t="str">
        <f t="shared" si="6"/>
        <v/>
      </c>
      <c r="R397" s="107"/>
      <c r="S397" s="108">
        <v>560313.0</v>
      </c>
      <c r="T397" s="108">
        <v>12.0</v>
      </c>
      <c r="U397" s="109">
        <v>60.0</v>
      </c>
      <c r="V397" s="110"/>
      <c r="X397" s="111">
        <f>SUMIFS('Transit Shipment'!$B$10:$B$1048462,'Transit Shipment'!$A$10:$A$1048462,B397,'Transit Shipment'!$C$10:$C$1048462,AA397)</f>
        <v>0</v>
      </c>
      <c r="Y397" s="111">
        <f>IF(SUMIFS(DIH!$S$2:$S833,DIH!$D$2:$D833,B397,DIH!$U$2:$U833,AA397)&gt;0,SUMIFS(DIH!$S$2:$S833,DIH!$D$2:$D833,B397,DIH!$U$2:$U833,AA397),0)</f>
        <v>9</v>
      </c>
      <c r="Z397" s="112">
        <f t="shared" si="7"/>
        <v>9</v>
      </c>
      <c r="AA397" s="119" t="s">
        <v>14</v>
      </c>
      <c r="AB397" s="114">
        <f>IF(ISNA(VLOOKUP($B397,'Business Report'!$D$2:$J$202,2,0)),"",VLOOKUP($B397,'Business Report'!$D$2:$J$202,2,0))</f>
        <v>21</v>
      </c>
      <c r="AC397" s="115">
        <f>SUMIFS(AFS!$P$2:$P$6260,AFS!$N$2:$N$6260,B397,AFS!$AT$2:$AT$6260,AA397)</f>
        <v>5</v>
      </c>
      <c r="AD397" s="116">
        <f t="shared" si="8"/>
        <v>-2</v>
      </c>
      <c r="AE397" s="117"/>
      <c r="AF397" s="118" t="str">
        <f t="shared" si="9"/>
        <v/>
      </c>
      <c r="AG397" s="26"/>
      <c r="AH397" s="26"/>
      <c r="AI397" s="26"/>
    </row>
    <row r="398">
      <c r="A398" s="120" t="s">
        <v>5724</v>
      </c>
      <c r="B398" s="7" t="s">
        <v>78</v>
      </c>
      <c r="C398" s="95" t="s">
        <v>360</v>
      </c>
      <c r="D398" s="109" t="s">
        <v>168</v>
      </c>
      <c r="E398" s="97" t="str">
        <f t="shared" si="2"/>
        <v/>
      </c>
      <c r="F398" s="97" t="str">
        <f t="shared" si="3"/>
        <v/>
      </c>
      <c r="G398" s="99">
        <f t="shared" si="74"/>
        <v>0</v>
      </c>
      <c r="H398" s="121"/>
      <c r="I398" s="122"/>
      <c r="J398" s="123"/>
      <c r="K398" s="124"/>
      <c r="L398" s="125"/>
      <c r="M398" s="181"/>
      <c r="N398" s="126"/>
      <c r="O398" s="127"/>
      <c r="P398" s="13">
        <f t="array" ref="P398">XLOOKUP(B398,Weight!B:B,Weight!D:D,"#N/A",0)</f>
        <v>170</v>
      </c>
      <c r="Q398" s="17" t="str">
        <f t="shared" si="6"/>
        <v/>
      </c>
      <c r="R398" s="107"/>
      <c r="S398" s="108">
        <v>560313.0</v>
      </c>
      <c r="T398" s="108">
        <v>12.0</v>
      </c>
      <c r="U398" s="109">
        <v>60.0</v>
      </c>
      <c r="V398" s="110"/>
      <c r="X398" s="111">
        <f>SUMIFS('Transit Shipment'!$B$10:$B$1048462,'Transit Shipment'!$A$10:$A$1048462,B398,'Transit Shipment'!$C$10:$C$1048462,AA398)</f>
        <v>0</v>
      </c>
      <c r="Y398" s="111">
        <f>IF(SUMIFS(DIH!$S$2:$S833,DIH!$D$2:$D833,B398,DIH!$U$2:$U833,AA398)&gt;0,SUMIFS(DIH!$S$2:$S833,DIH!$D$2:$D833,B398,DIH!$U$2:$U833,AA398),0)</f>
        <v>5</v>
      </c>
      <c r="Z398" s="112">
        <f t="shared" si="7"/>
        <v>5</v>
      </c>
      <c r="AA398" s="131" t="s">
        <v>16</v>
      </c>
      <c r="AB398" s="114">
        <f>IF(ISNA(VLOOKUP($B398,'Business Report'!$D$2:$J$202,2,0)),"",VLOOKUP($B398,'Business Report'!$D$2:$J$202,2,0))</f>
        <v>21</v>
      </c>
      <c r="AC398" s="115">
        <f>SUMIFS(AFS!$P$2:$P$6260,AFS!$N$2:$N$6260,B398,AFS!$AT$2:$AT$6260,AA398)</f>
        <v>3</v>
      </c>
      <c r="AD398" s="116">
        <f t="shared" si="8"/>
        <v>-1</v>
      </c>
      <c r="AE398" s="117"/>
      <c r="AF398" s="118" t="str">
        <f t="shared" si="9"/>
        <v/>
      </c>
      <c r="AG398" s="26"/>
      <c r="AH398" s="26"/>
      <c r="AI398" s="26"/>
    </row>
    <row r="399">
      <c r="A399" s="132" t="s">
        <v>5724</v>
      </c>
      <c r="B399" s="15" t="s">
        <v>78</v>
      </c>
      <c r="C399" s="133" t="s">
        <v>360</v>
      </c>
      <c r="D399" s="134" t="s">
        <v>168</v>
      </c>
      <c r="E399" s="135">
        <f t="shared" si="2"/>
        <v>2</v>
      </c>
      <c r="F399" s="135">
        <f t="shared" si="3"/>
        <v>0</v>
      </c>
      <c r="G399" s="136">
        <f t="shared" si="74"/>
        <v>8</v>
      </c>
      <c r="H399" s="137"/>
      <c r="I399" s="138"/>
      <c r="J399" s="139"/>
      <c r="K399" s="140"/>
      <c r="L399" s="135"/>
      <c r="M399" s="152"/>
      <c r="N399" s="142"/>
      <c r="O399" s="143"/>
      <c r="P399" s="144">
        <f t="array" ref="P399">XLOOKUP(B399,Weight!B:B,Weight!D:D,"#N/A",0)</f>
        <v>170</v>
      </c>
      <c r="Q399" s="145">
        <f t="shared" si="6"/>
        <v>680</v>
      </c>
      <c r="R399" s="146"/>
      <c r="S399" s="147">
        <v>560313.0</v>
      </c>
      <c r="T399" s="147">
        <v>12.0</v>
      </c>
      <c r="U399" s="109">
        <v>60.0</v>
      </c>
      <c r="V399" s="148"/>
      <c r="W399" s="149"/>
      <c r="X399" s="150">
        <f>SUMIFS('Transit Shipment'!$B$10:$B$1048462,'Transit Shipment'!$A$10:$A$1048462,B399,'Transit Shipment'!$C$10:$C$1048462,AA399)</f>
        <v>0</v>
      </c>
      <c r="Y399" s="150">
        <f>IF(SUMIFS(DIH!$S$2:$S833,DIH!$D$2:$D833,B399,DIH!$U$2:$U833,AA399)&gt;0,SUMIFS(DIH!$S$2:$S833,DIH!$D$2:$D833,B399,DIH!$U$2:$U833,AA399),0)</f>
        <v>2</v>
      </c>
      <c r="Z399" s="151">
        <f t="shared" si="7"/>
        <v>2</v>
      </c>
      <c r="AA399" s="152" t="s">
        <v>17</v>
      </c>
      <c r="AB399" s="154">
        <f>IF(ISNA(VLOOKUP($B399,'Business Report'!$D$2:$J$202,2,0)),"",VLOOKUP($B399,'Business Report'!$D$2:$J$202,2,0))</f>
        <v>21</v>
      </c>
      <c r="AC399" s="155">
        <f>SUMIFS(AFS!$P$2:$P$6260,AFS!$N$2:$N$6260,B399,AFS!$AT$2:$AT$6260,AA399)</f>
        <v>4</v>
      </c>
      <c r="AD399" s="156">
        <f t="shared" si="8"/>
        <v>4</v>
      </c>
      <c r="AE399" s="159">
        <f>SUM(AD391:AD399)</f>
        <v>25</v>
      </c>
      <c r="AF399" s="118">
        <f t="shared" si="9"/>
        <v>4</v>
      </c>
      <c r="AG399" s="26"/>
      <c r="AH399" s="26"/>
      <c r="AI399" s="26"/>
    </row>
    <row r="400">
      <c r="A400" s="293" t="s">
        <v>6331</v>
      </c>
      <c r="B400" s="1" t="s">
        <v>82</v>
      </c>
      <c r="C400" s="95" t="s">
        <v>6332</v>
      </c>
      <c r="D400" s="68" t="s">
        <v>162</v>
      </c>
      <c r="E400" s="69" t="str">
        <f t="shared" si="2"/>
        <v/>
      </c>
      <c r="F400" s="69" t="str">
        <f t="shared" si="3"/>
        <v/>
      </c>
      <c r="G400" s="70" t="str">
        <f t="shared" ref="G400:G750" si="77">IF(ISERROR(SEARCH("Apron",D400)),AF400,"")</f>
        <v/>
      </c>
      <c r="H400" s="163"/>
      <c r="I400" s="101"/>
      <c r="J400" s="102"/>
      <c r="K400" s="167"/>
      <c r="L400" s="119"/>
      <c r="M400" s="169"/>
      <c r="N400" s="171"/>
      <c r="O400" s="106"/>
      <c r="P400" s="79">
        <f t="array" ref="P400">XLOOKUP(B400,Weight!B:B,Weight!D:D,"#N/A",0)</f>
        <v>90</v>
      </c>
      <c r="Q400" s="80" t="str">
        <f t="shared" si="6"/>
        <v/>
      </c>
      <c r="R400" s="107"/>
      <c r="S400" s="108">
        <v>560313.0</v>
      </c>
      <c r="T400" s="108">
        <v>12.0</v>
      </c>
      <c r="U400" s="83">
        <v>40.0</v>
      </c>
      <c r="V400" s="84" t="str">
        <f t="shared" ref="V400:W400" si="76">B400</f>
        <v>CRM-EP-L3210-NW-GREY</v>
      </c>
      <c r="W400" s="174" t="str">
        <f t="shared" si="76"/>
        <v>Crasome Dust &amp; Water Proof Printer Cover for Epson EcoTank L3250 / L3210 (Grey)
</v>
      </c>
      <c r="X400" s="86">
        <f>SUMIFS('Transit Shipment'!$B$10:$B$1048462,'Transit Shipment'!$A$10:$A$1048462,B400,'Transit Shipment'!$C$10:$C$1048462,AA400)</f>
        <v>0</v>
      </c>
      <c r="Y400" s="86">
        <f>IF(SUMIFS(DIH!$S$2:$S833,DIH!$D$2:$D833,B400,DIH!$U$2:$U833,AA400)&gt;0,SUMIFS(DIH!$S$2:$S833,DIH!$D$2:$D833,B400,DIH!$U$2:$U833,AA400),0)</f>
        <v>17</v>
      </c>
      <c r="Z400" s="87">
        <f t="shared" si="7"/>
        <v>17</v>
      </c>
      <c r="AA400" s="88" t="s">
        <v>5</v>
      </c>
      <c r="AB400" s="89">
        <f>IF(ISNA(VLOOKUP($B400,'Business Report'!$D$2:$J$202,2,0)),"",VLOOKUP($B400,'Business Report'!$D$2:$J$202,2,0))</f>
        <v>151</v>
      </c>
      <c r="AC400" s="90">
        <f>SUMIFS(AFS!$P$2:$P$6260,AFS!$N$2:$N$6260,B400,AFS!$AT$2:$AT$6260,AA400)</f>
        <v>2</v>
      </c>
      <c r="AD400" s="91">
        <f t="shared" si="8"/>
        <v>-14</v>
      </c>
      <c r="AE400" s="92"/>
      <c r="AF400" s="93" t="str">
        <f t="shared" si="9"/>
        <v/>
      </c>
      <c r="AG400" s="26"/>
      <c r="AH400" s="26"/>
      <c r="AI400" s="26"/>
    </row>
    <row r="401">
      <c r="A401" s="120" t="s">
        <v>6331</v>
      </c>
      <c r="B401" s="3" t="s">
        <v>82</v>
      </c>
      <c r="C401" s="95" t="s">
        <v>6332</v>
      </c>
      <c r="D401" s="96" t="s">
        <v>162</v>
      </c>
      <c r="E401" s="97" t="str">
        <f t="shared" si="2"/>
        <v/>
      </c>
      <c r="F401" s="97" t="str">
        <f t="shared" si="3"/>
        <v/>
      </c>
      <c r="G401" s="99" t="str">
        <f t="shared" si="77"/>
        <v/>
      </c>
      <c r="H401" s="100"/>
      <c r="I401" s="101"/>
      <c r="J401" s="102"/>
      <c r="K401" s="103"/>
      <c r="L401" s="97"/>
      <c r="M401" s="169"/>
      <c r="N401" s="105"/>
      <c r="O401" s="106"/>
      <c r="P401" s="13">
        <f t="array" ref="P401">XLOOKUP(B401,Weight!B:B,Weight!D:D,"#N/A",0)</f>
        <v>90</v>
      </c>
      <c r="Q401" s="17" t="str">
        <f t="shared" si="6"/>
        <v/>
      </c>
      <c r="R401" s="107"/>
      <c r="S401" s="108">
        <v>560313.0</v>
      </c>
      <c r="T401" s="108">
        <v>12.0</v>
      </c>
      <c r="U401" s="109">
        <v>40.0</v>
      </c>
      <c r="V401" s="110"/>
      <c r="X401" s="111">
        <f>SUMIFS('Transit Shipment'!$B$10:$B$1048462,'Transit Shipment'!$A$10:$A$1048462,B401,'Transit Shipment'!$C$10:$C$1048462,AA401)</f>
        <v>0</v>
      </c>
      <c r="Y401" s="111">
        <f>IF(SUMIFS(DIH!$S$2:$S833,DIH!$D$2:$D833,B401,DIH!$U$2:$U833,AA401)&gt;0,SUMIFS(DIH!$S$2:$S833,DIH!$D$2:$D833,B401,DIH!$U$2:$U833,AA401),0)</f>
        <v>35</v>
      </c>
      <c r="Z401" s="112">
        <f t="shared" si="7"/>
        <v>35</v>
      </c>
      <c r="AA401" s="113" t="s">
        <v>11</v>
      </c>
      <c r="AB401" s="114">
        <f>IF(ISNA(VLOOKUP($B401,'Business Report'!$D$2:$J$202,2,0)),"",VLOOKUP($B401,'Business Report'!$D$2:$J$202,2,0))</f>
        <v>151</v>
      </c>
      <c r="AC401" s="115">
        <f>SUMIFS(AFS!$P$2:$P$6260,AFS!$N$2:$N$6260,B401,AFS!$AT$2:$AT$6260,AA401)</f>
        <v>14</v>
      </c>
      <c r="AD401" s="116">
        <f t="shared" si="8"/>
        <v>-16</v>
      </c>
      <c r="AE401" s="117"/>
      <c r="AF401" s="118" t="str">
        <f t="shared" si="9"/>
        <v/>
      </c>
      <c r="AG401" s="26"/>
      <c r="AH401" s="26"/>
      <c r="AI401" s="26"/>
    </row>
    <row r="402">
      <c r="A402" s="120" t="s">
        <v>6331</v>
      </c>
      <c r="B402" s="3" t="s">
        <v>82</v>
      </c>
      <c r="C402" s="95" t="s">
        <v>6332</v>
      </c>
      <c r="D402" s="96" t="s">
        <v>162</v>
      </c>
      <c r="E402" s="97">
        <f t="shared" si="2"/>
        <v>8</v>
      </c>
      <c r="F402" s="97">
        <f t="shared" si="3"/>
        <v>0.5</v>
      </c>
      <c r="G402" s="99">
        <f t="shared" si="77"/>
        <v>18</v>
      </c>
      <c r="H402" s="100"/>
      <c r="I402" s="101"/>
      <c r="J402" s="102"/>
      <c r="K402" s="103"/>
      <c r="L402" s="97"/>
      <c r="M402" s="169"/>
      <c r="N402" s="105"/>
      <c r="O402" s="106"/>
      <c r="P402" s="13">
        <f t="array" ref="P402">XLOOKUP(B402,Weight!B:B,Weight!D:D,"#N/A",0)</f>
        <v>90</v>
      </c>
      <c r="Q402" s="17">
        <f t="shared" si="6"/>
        <v>1620</v>
      </c>
      <c r="R402" s="107"/>
      <c r="S402" s="108">
        <v>560313.0</v>
      </c>
      <c r="T402" s="108">
        <v>12.0</v>
      </c>
      <c r="U402" s="109">
        <v>40.0</v>
      </c>
      <c r="V402" s="110"/>
      <c r="X402" s="111">
        <f>SUMIFS('Transit Shipment'!$B$10:$B$1048462,'Transit Shipment'!$A$10:$A$1048462,B402,'Transit Shipment'!$C$10:$C$1048462,AA402)</f>
        <v>0</v>
      </c>
      <c r="Y402" s="111">
        <f>IF(SUMIFS(DIH!$S$2:$S833,DIH!$D$2:$D833,B402,DIH!$U$2:$U833,AA402)&gt;0,SUMIFS(DIH!$S$2:$S833,DIH!$D$2:$D833,B402,DIH!$U$2:$U833,AA402),0)</f>
        <v>17</v>
      </c>
      <c r="Z402" s="112">
        <f t="shared" si="7"/>
        <v>17</v>
      </c>
      <c r="AA402" s="119" t="s">
        <v>9</v>
      </c>
      <c r="AB402" s="114">
        <f>IF(ISNA(VLOOKUP($B402,'Business Report'!$D$2:$J$202,2,0)),"",VLOOKUP($B402,'Business Report'!$D$2:$J$202,2,0))</f>
        <v>151</v>
      </c>
      <c r="AC402" s="115">
        <f>SUMIFS(AFS!$P$2:$P$6260,AFS!$N$2:$N$6260,B402,AFS!$AT$2:$AT$6260,AA402)</f>
        <v>25</v>
      </c>
      <c r="AD402" s="116">
        <f t="shared" si="8"/>
        <v>17</v>
      </c>
      <c r="AE402" s="117"/>
      <c r="AF402" s="118">
        <f t="shared" si="9"/>
        <v>18</v>
      </c>
      <c r="AG402" s="4"/>
      <c r="AH402" s="26"/>
      <c r="AI402" s="26"/>
    </row>
    <row r="403">
      <c r="A403" s="120" t="s">
        <v>6331</v>
      </c>
      <c r="B403" s="7" t="s">
        <v>82</v>
      </c>
      <c r="C403" s="95" t="s">
        <v>6332</v>
      </c>
      <c r="D403" s="109" t="s">
        <v>162</v>
      </c>
      <c r="E403" s="97">
        <f t="shared" si="2"/>
        <v>1</v>
      </c>
      <c r="F403" s="97">
        <f t="shared" si="3"/>
        <v>0.5</v>
      </c>
      <c r="G403" s="99">
        <f t="shared" si="77"/>
        <v>4</v>
      </c>
      <c r="H403" s="121"/>
      <c r="I403" s="122"/>
      <c r="J403" s="123"/>
      <c r="K403" s="124"/>
      <c r="L403" s="125"/>
      <c r="M403" s="181"/>
      <c r="N403" s="126"/>
      <c r="O403" s="127"/>
      <c r="P403" s="13">
        <f t="array" ref="P403">XLOOKUP(B403,Weight!B:B,Weight!D:D,"#N/A",0)</f>
        <v>90</v>
      </c>
      <c r="Q403" s="17">
        <f t="shared" si="6"/>
        <v>360</v>
      </c>
      <c r="R403" s="107"/>
      <c r="S403" s="108">
        <v>560313.0</v>
      </c>
      <c r="T403" s="108">
        <v>12.0</v>
      </c>
      <c r="U403" s="109">
        <v>40.0</v>
      </c>
      <c r="V403" s="110"/>
      <c r="X403" s="111">
        <f>SUMIFS('Transit Shipment'!$B$10:$B$1048462,'Transit Shipment'!$A$10:$A$1048462,B403,'Transit Shipment'!$C$10:$C$1048462,AA403)</f>
        <v>0</v>
      </c>
      <c r="Y403" s="111">
        <f>IF(SUMIFS(DIH!$S$2:$S833,DIH!$D$2:$D833,B403,DIH!$U$2:$U833,AA403)&gt;0,SUMIFS(DIH!$S$2:$S833,DIH!$D$2:$D833,B403,DIH!$U$2:$U833,AA403),0)</f>
        <v>9</v>
      </c>
      <c r="Z403" s="112">
        <f t="shared" si="7"/>
        <v>9</v>
      </c>
      <c r="AA403" s="119" t="s">
        <v>155</v>
      </c>
      <c r="AB403" s="114">
        <f>IF(ISNA(VLOOKUP($B403,'Business Report'!$D$2:$J$202,2,0)),"",VLOOKUP($B403,'Business Report'!$D$2:$J$202,2,0))</f>
        <v>151</v>
      </c>
      <c r="AC403" s="115">
        <f>SUMIFS(AFS!$P$2:$P$6260,AFS!$N$2:$N$6260,B403,AFS!$AT$2:$AT$6260,AA403)</f>
        <v>9</v>
      </c>
      <c r="AD403" s="116">
        <f t="shared" si="8"/>
        <v>3</v>
      </c>
      <c r="AE403" s="117"/>
      <c r="AF403" s="118">
        <f t="shared" si="9"/>
        <v>4</v>
      </c>
      <c r="AG403" s="4"/>
      <c r="AH403" s="26"/>
      <c r="AI403" s="26"/>
    </row>
    <row r="404">
      <c r="A404" s="120" t="s">
        <v>6331</v>
      </c>
      <c r="B404" s="7" t="s">
        <v>82</v>
      </c>
      <c r="C404" s="95" t="s">
        <v>6332</v>
      </c>
      <c r="D404" s="109" t="s">
        <v>162</v>
      </c>
      <c r="E404" s="97">
        <f t="shared" si="2"/>
        <v>3</v>
      </c>
      <c r="F404" s="97">
        <f t="shared" si="3"/>
        <v>0</v>
      </c>
      <c r="G404" s="99">
        <f t="shared" si="77"/>
        <v>6</v>
      </c>
      <c r="H404" s="121"/>
      <c r="I404" s="122"/>
      <c r="J404" s="123"/>
      <c r="K404" s="124"/>
      <c r="L404" s="125"/>
      <c r="M404" s="181"/>
      <c r="N404" s="126"/>
      <c r="O404" s="127"/>
      <c r="P404" s="13">
        <f t="array" ref="P404">XLOOKUP(B404,Weight!B:B,Weight!D:D,"#N/A",0)</f>
        <v>90</v>
      </c>
      <c r="Q404" s="17">
        <f t="shared" si="6"/>
        <v>540</v>
      </c>
      <c r="R404" s="107"/>
      <c r="S404" s="108">
        <v>560313.0</v>
      </c>
      <c r="T404" s="108">
        <v>12.0</v>
      </c>
      <c r="U404" s="109">
        <v>40.0</v>
      </c>
      <c r="V404" s="110"/>
      <c r="X404" s="111">
        <f>SUMIFS('Transit Shipment'!$B$10:$B$1048462,'Transit Shipment'!$A$10:$A$1048462,B404,'Transit Shipment'!$C$10:$C$1048462,AA404)</f>
        <v>0</v>
      </c>
      <c r="Y404" s="111">
        <f>IF(SUMIFS(DIH!$S$2:$S833,DIH!$D$2:$D833,B404,DIH!$U$2:$U833,AA404)&gt;0,SUMIFS(DIH!$S$2:$S833,DIH!$D$2:$D833,B404,DIH!$U$2:$U833,AA404),0)</f>
        <v>18</v>
      </c>
      <c r="Z404" s="112">
        <f t="shared" si="7"/>
        <v>18</v>
      </c>
      <c r="AA404" s="119" t="s">
        <v>156</v>
      </c>
      <c r="AB404" s="114">
        <f>IF(ISNA(VLOOKUP($B404,'Business Report'!$D$2:$J$202,2,0)),"",VLOOKUP($B404,'Business Report'!$D$2:$J$202,2,0))</f>
        <v>151</v>
      </c>
      <c r="AC404" s="115">
        <f>SUMIFS(AFS!$P$2:$P$6260,AFS!$N$2:$N$6260,B404,AFS!$AT$2:$AT$6260,AA404)</f>
        <v>18</v>
      </c>
      <c r="AD404" s="116">
        <f t="shared" si="8"/>
        <v>6</v>
      </c>
      <c r="AE404" s="117"/>
      <c r="AF404" s="118">
        <f t="shared" si="9"/>
        <v>6</v>
      </c>
      <c r="AG404" s="4"/>
      <c r="AH404" s="26"/>
      <c r="AI404" s="26"/>
    </row>
    <row r="405">
      <c r="A405" s="120" t="s">
        <v>6331</v>
      </c>
      <c r="B405" s="7" t="s">
        <v>82</v>
      </c>
      <c r="C405" s="95" t="s">
        <v>6332</v>
      </c>
      <c r="D405" s="109" t="s">
        <v>162</v>
      </c>
      <c r="E405" s="97">
        <f t="shared" si="2"/>
        <v>2</v>
      </c>
      <c r="F405" s="97">
        <f t="shared" si="3"/>
        <v>0.5</v>
      </c>
      <c r="G405" s="99">
        <f t="shared" si="77"/>
        <v>6</v>
      </c>
      <c r="H405" s="121"/>
      <c r="I405" s="122"/>
      <c r="J405" s="123"/>
      <c r="K405" s="124"/>
      <c r="L405" s="125"/>
      <c r="M405" s="181"/>
      <c r="N405" s="126"/>
      <c r="O405" s="127"/>
      <c r="P405" s="13">
        <f t="array" ref="P405">XLOOKUP(B405,Weight!B:B,Weight!D:D,"#N/A",0)</f>
        <v>90</v>
      </c>
      <c r="Q405" s="17">
        <f t="shared" si="6"/>
        <v>540</v>
      </c>
      <c r="R405" s="107"/>
      <c r="S405" s="108">
        <v>560313.0</v>
      </c>
      <c r="T405" s="108">
        <v>12.0</v>
      </c>
      <c r="U405" s="109">
        <v>40.0</v>
      </c>
      <c r="V405" s="110"/>
      <c r="X405" s="111">
        <f>SUMIFS('Transit Shipment'!$B$10:$B$1048462,'Transit Shipment'!$A$10:$A$1048462,B405,'Transit Shipment'!$C$10:$C$1048462,AA405)</f>
        <v>0</v>
      </c>
      <c r="Y405" s="111">
        <f>IF(SUMIFS(DIH!$S$2:$S833,DIH!$D$2:$D833,B405,DIH!$U$2:$U833,AA405)&gt;0,SUMIFS(DIH!$S$2:$S833,DIH!$D$2:$D833,B405,DIH!$U$2:$U833,AA405),0)</f>
        <v>17</v>
      </c>
      <c r="Z405" s="112">
        <f t="shared" si="7"/>
        <v>17</v>
      </c>
      <c r="AA405" s="130" t="s">
        <v>13</v>
      </c>
      <c r="AB405" s="114">
        <f>IF(ISNA(VLOOKUP($B405,'Business Report'!$D$2:$J$202,2,0)),"",VLOOKUP($B405,'Business Report'!$D$2:$J$202,2,0))</f>
        <v>151</v>
      </c>
      <c r="AC405" s="115">
        <f>SUMIFS(AFS!$P$2:$P$6260,AFS!$N$2:$N$6260,B405,AFS!$AT$2:$AT$6260,AA405)</f>
        <v>16</v>
      </c>
      <c r="AD405" s="116">
        <f t="shared" si="8"/>
        <v>5</v>
      </c>
      <c r="AE405" s="117"/>
      <c r="AF405" s="118">
        <f t="shared" si="9"/>
        <v>6</v>
      </c>
      <c r="AG405" s="26"/>
      <c r="AH405" s="26"/>
      <c r="AI405" s="26"/>
    </row>
    <row r="406">
      <c r="A406" s="120" t="s">
        <v>6331</v>
      </c>
      <c r="B406" s="7" t="s">
        <v>82</v>
      </c>
      <c r="C406" s="95" t="s">
        <v>6332</v>
      </c>
      <c r="D406" s="109" t="s">
        <v>162</v>
      </c>
      <c r="E406" s="97">
        <f t="shared" si="2"/>
        <v>8</v>
      </c>
      <c r="F406" s="97">
        <f t="shared" si="3"/>
        <v>0.5</v>
      </c>
      <c r="G406" s="99">
        <f t="shared" si="77"/>
        <v>18</v>
      </c>
      <c r="H406" s="121"/>
      <c r="I406" s="122"/>
      <c r="J406" s="123"/>
      <c r="K406" s="124"/>
      <c r="L406" s="125"/>
      <c r="M406" s="181"/>
      <c r="N406" s="126"/>
      <c r="O406" s="127"/>
      <c r="P406" s="13">
        <f t="array" ref="P406">XLOOKUP(B406,Weight!B:B,Weight!D:D,"#N/A",0)</f>
        <v>90</v>
      </c>
      <c r="Q406" s="17">
        <f t="shared" si="6"/>
        <v>1620</v>
      </c>
      <c r="R406" s="107"/>
      <c r="S406" s="108">
        <v>560313.0</v>
      </c>
      <c r="T406" s="108">
        <v>12.0</v>
      </c>
      <c r="U406" s="109">
        <v>40.0</v>
      </c>
      <c r="V406" s="110"/>
      <c r="X406" s="111">
        <f>SUMIFS('Transit Shipment'!$B$10:$B$1048462,'Transit Shipment'!$A$10:$A$1048462,B406,'Transit Shipment'!$C$10:$C$1048462,AA406)</f>
        <v>0</v>
      </c>
      <c r="Y406" s="111">
        <f>IF(SUMIFS(DIH!$S$2:$S833,DIH!$D$2:$D833,B406,DIH!$U$2:$U833,AA406)&gt;0,SUMIFS(DIH!$S$2:$S833,DIH!$D$2:$D833,B406,DIH!$U$2:$U833,AA406),0)</f>
        <v>17</v>
      </c>
      <c r="Z406" s="112">
        <f t="shared" si="7"/>
        <v>17</v>
      </c>
      <c r="AA406" s="119" t="s">
        <v>14</v>
      </c>
      <c r="AB406" s="114">
        <f>IF(ISNA(VLOOKUP($B406,'Business Report'!$D$2:$J$202,2,0)),"",VLOOKUP($B406,'Business Report'!$D$2:$J$202,2,0))</f>
        <v>151</v>
      </c>
      <c r="AC406" s="115">
        <f>SUMIFS(AFS!$P$2:$P$6260,AFS!$N$2:$N$6260,B406,AFS!$AT$2:$AT$6260,AA406)</f>
        <v>25</v>
      </c>
      <c r="AD406" s="116">
        <f t="shared" si="8"/>
        <v>17</v>
      </c>
      <c r="AE406" s="117"/>
      <c r="AF406" s="118">
        <f t="shared" si="9"/>
        <v>18</v>
      </c>
      <c r="AG406" s="26"/>
      <c r="AH406" s="26"/>
      <c r="AI406" s="26"/>
    </row>
    <row r="407">
      <c r="A407" s="120" t="s">
        <v>6331</v>
      </c>
      <c r="B407" s="7" t="s">
        <v>82</v>
      </c>
      <c r="C407" s="95" t="s">
        <v>6332</v>
      </c>
      <c r="D407" s="109" t="s">
        <v>162</v>
      </c>
      <c r="E407" s="97">
        <f t="shared" si="2"/>
        <v>1</v>
      </c>
      <c r="F407" s="97">
        <f t="shared" si="3"/>
        <v>0.5</v>
      </c>
      <c r="G407" s="99">
        <f t="shared" si="77"/>
        <v>4</v>
      </c>
      <c r="H407" s="121"/>
      <c r="I407" s="122"/>
      <c r="J407" s="123"/>
      <c r="K407" s="124"/>
      <c r="L407" s="125"/>
      <c r="M407" s="181"/>
      <c r="N407" s="126"/>
      <c r="O407" s="127"/>
      <c r="P407" s="13">
        <f t="array" ref="P407">XLOOKUP(B407,Weight!B:B,Weight!D:D,"#N/A",0)</f>
        <v>90</v>
      </c>
      <c r="Q407" s="17">
        <f t="shared" si="6"/>
        <v>360</v>
      </c>
      <c r="R407" s="107"/>
      <c r="S407" s="108">
        <v>560313.0</v>
      </c>
      <c r="T407" s="108">
        <v>12.0</v>
      </c>
      <c r="U407" s="109">
        <v>40.0</v>
      </c>
      <c r="V407" s="110"/>
      <c r="X407" s="111">
        <f>SUMIFS('Transit Shipment'!$B$10:$B$1048462,'Transit Shipment'!$A$10:$A$1048462,B407,'Transit Shipment'!$C$10:$C$1048462,AA407)</f>
        <v>0</v>
      </c>
      <c r="Y407" s="111">
        <f>IF(SUMIFS(DIH!$S$2:$S833,DIH!$D$2:$D833,B407,DIH!$U$2:$U833,AA407)&gt;0,SUMIFS(DIH!$S$2:$S833,DIH!$D$2:$D833,B407,DIH!$U$2:$U833,AA407),0)</f>
        <v>15</v>
      </c>
      <c r="Z407" s="112">
        <f t="shared" si="7"/>
        <v>15</v>
      </c>
      <c r="AA407" s="131" t="s">
        <v>16</v>
      </c>
      <c r="AB407" s="114">
        <f>IF(ISNA(VLOOKUP($B407,'Business Report'!$D$2:$J$202,2,0)),"",VLOOKUP($B407,'Business Report'!$D$2:$J$202,2,0))</f>
        <v>151</v>
      </c>
      <c r="AC407" s="115">
        <f>SUMIFS(AFS!$P$2:$P$6260,AFS!$N$2:$N$6260,B407,AFS!$AT$2:$AT$6260,AA407)</f>
        <v>13</v>
      </c>
      <c r="AD407" s="116">
        <f t="shared" si="8"/>
        <v>3</v>
      </c>
      <c r="AE407" s="117"/>
      <c r="AF407" s="118">
        <f t="shared" si="9"/>
        <v>4</v>
      </c>
      <c r="AG407" s="26"/>
      <c r="AH407" s="26"/>
      <c r="AI407" s="26"/>
    </row>
    <row r="408">
      <c r="A408" s="296" t="s">
        <v>6331</v>
      </c>
      <c r="B408" s="15" t="s">
        <v>82</v>
      </c>
      <c r="C408" s="133" t="s">
        <v>6332</v>
      </c>
      <c r="D408" s="134" t="s">
        <v>162</v>
      </c>
      <c r="E408" s="135">
        <f t="shared" si="2"/>
        <v>5</v>
      </c>
      <c r="F408" s="135">
        <f t="shared" si="3"/>
        <v>0.5</v>
      </c>
      <c r="G408" s="136">
        <f t="shared" si="77"/>
        <v>12</v>
      </c>
      <c r="H408" s="137"/>
      <c r="I408" s="138"/>
      <c r="J408" s="139"/>
      <c r="K408" s="140"/>
      <c r="L408" s="135"/>
      <c r="M408" s="152"/>
      <c r="N408" s="142"/>
      <c r="O408" s="143"/>
      <c r="P408" s="144">
        <f t="array" ref="P408">XLOOKUP(B408,Weight!B:B,Weight!D:D,"#N/A",0)</f>
        <v>90</v>
      </c>
      <c r="Q408" s="145">
        <f t="shared" si="6"/>
        <v>1080</v>
      </c>
      <c r="R408" s="146"/>
      <c r="S408" s="147">
        <v>560313.0</v>
      </c>
      <c r="T408" s="147">
        <v>12.0</v>
      </c>
      <c r="U408" s="109">
        <v>40.0</v>
      </c>
      <c r="V408" s="148"/>
      <c r="W408" s="149"/>
      <c r="X408" s="150">
        <f>SUMIFS('Transit Shipment'!$B$10:$B$1048462,'Transit Shipment'!$A$10:$A$1048462,B408,'Transit Shipment'!$C$10:$C$1048462,AA408)</f>
        <v>0</v>
      </c>
      <c r="Y408" s="150">
        <f>IF(SUMIFS(DIH!$S$2:$S833,DIH!$D$2:$D833,B408,DIH!$U$2:$U833,AA408)&gt;0,SUMIFS(DIH!$S$2:$S833,DIH!$D$2:$D833,B408,DIH!$U$2:$U833,AA408),0)</f>
        <v>15</v>
      </c>
      <c r="Z408" s="151">
        <f t="shared" si="7"/>
        <v>15</v>
      </c>
      <c r="AA408" s="152" t="s">
        <v>17</v>
      </c>
      <c r="AB408" s="154">
        <f>IF(ISNA(VLOOKUP($B408,'Business Report'!$D$2:$J$202,2,0)),"",VLOOKUP($B408,'Business Report'!$D$2:$J$202,2,0))</f>
        <v>151</v>
      </c>
      <c r="AC408" s="155">
        <f>SUMIFS(AFS!$P$2:$P$6260,AFS!$N$2:$N$6260,B408,AFS!$AT$2:$AT$6260,AA408)</f>
        <v>19</v>
      </c>
      <c r="AD408" s="156">
        <f t="shared" si="8"/>
        <v>11</v>
      </c>
      <c r="AE408" s="159">
        <f>SUM(AD400:AD408)</f>
        <v>32</v>
      </c>
      <c r="AF408" s="118">
        <f t="shared" si="9"/>
        <v>12</v>
      </c>
      <c r="AG408" s="26"/>
      <c r="AH408" s="26"/>
      <c r="AI408" s="26"/>
    </row>
    <row r="409">
      <c r="A409" s="293" t="s">
        <v>6539</v>
      </c>
      <c r="B409" s="1" t="s">
        <v>85</v>
      </c>
      <c r="C409" s="95" t="s">
        <v>6541</v>
      </c>
      <c r="D409" s="68" t="s">
        <v>162</v>
      </c>
      <c r="E409" s="69" t="str">
        <f t="shared" si="2"/>
        <v/>
      </c>
      <c r="F409" s="69" t="str">
        <f t="shared" si="3"/>
        <v/>
      </c>
      <c r="G409" s="70" t="str">
        <f t="shared" si="77"/>
        <v/>
      </c>
      <c r="H409" s="163"/>
      <c r="I409" s="101"/>
      <c r="J409" s="102"/>
      <c r="K409" s="167"/>
      <c r="L409" s="119"/>
      <c r="M409" s="169"/>
      <c r="N409" s="171"/>
      <c r="O409" s="106"/>
      <c r="P409" s="79">
        <f t="array" ref="P409">XLOOKUP(B409,Weight!B:B,Weight!D:D,"#N/A",0)</f>
        <v>90</v>
      </c>
      <c r="Q409" s="80" t="str">
        <f t="shared" si="6"/>
        <v/>
      </c>
      <c r="R409" s="107"/>
      <c r="S409" s="108">
        <v>560313.0</v>
      </c>
      <c r="T409" s="108">
        <v>12.0</v>
      </c>
      <c r="U409" s="83">
        <v>40.0</v>
      </c>
      <c r="V409" s="84" t="str">
        <f t="shared" ref="V409:W409" si="78">B409</f>
        <v>CRM-EP-L3210-NW-BLACK</v>
      </c>
      <c r="W409" s="174" t="str">
        <f t="shared" si="78"/>
        <v>Crasome Dust &amp; Water Proof Printer Cover for Epson EcoTank L3250 / L3210 (Black)
</v>
      </c>
      <c r="X409" s="86">
        <f>SUMIFS('Transit Shipment'!$B$10:$B$1048462,'Transit Shipment'!$A$10:$A$1048462,B409,'Transit Shipment'!$C$10:$C$1048462,AA409)</f>
        <v>0</v>
      </c>
      <c r="Y409" s="86">
        <f>IF(SUMIFS(DIH!$S$2:$S833,DIH!$D$2:$D833,B409,DIH!$U$2:$U833,AA409)&gt;0,SUMIFS(DIH!$S$2:$S833,DIH!$D$2:$D833,B409,DIH!$U$2:$U833,AA409),0)</f>
        <v>11</v>
      </c>
      <c r="Z409" s="87">
        <f t="shared" si="7"/>
        <v>11</v>
      </c>
      <c r="AA409" s="88" t="s">
        <v>5</v>
      </c>
      <c r="AB409" s="89">
        <f>IF(ISNA(VLOOKUP($B409,'Business Report'!$D$2:$J$202,2,0)),"",VLOOKUP($B409,'Business Report'!$D$2:$J$202,2,0))</f>
        <v>71</v>
      </c>
      <c r="AC409" s="90">
        <f>SUMIFS(AFS!$P$2:$P$6260,AFS!$N$2:$N$6260,B409,AFS!$AT$2:$AT$6260,AA409)</f>
        <v>5</v>
      </c>
      <c r="AD409" s="91">
        <f t="shared" si="8"/>
        <v>-4</v>
      </c>
      <c r="AE409" s="92"/>
      <c r="AF409" s="93" t="str">
        <f t="shared" si="9"/>
        <v/>
      </c>
      <c r="AG409" s="26"/>
      <c r="AH409" s="26"/>
      <c r="AI409" s="26"/>
    </row>
    <row r="410">
      <c r="A410" s="120" t="s">
        <v>6539</v>
      </c>
      <c r="B410" s="3" t="s">
        <v>85</v>
      </c>
      <c r="C410" s="95" t="s">
        <v>6541</v>
      </c>
      <c r="D410" s="96" t="s">
        <v>162</v>
      </c>
      <c r="E410" s="97" t="str">
        <f t="shared" si="2"/>
        <v/>
      </c>
      <c r="F410" s="97" t="str">
        <f t="shared" si="3"/>
        <v/>
      </c>
      <c r="G410" s="99" t="str">
        <f t="shared" si="77"/>
        <v/>
      </c>
      <c r="H410" s="100"/>
      <c r="I410" s="101"/>
      <c r="J410" s="102"/>
      <c r="K410" s="103"/>
      <c r="L410" s="97"/>
      <c r="M410" s="169"/>
      <c r="N410" s="105"/>
      <c r="O410" s="106"/>
      <c r="P410" s="13">
        <f t="array" ref="P410">XLOOKUP(B410,Weight!B:B,Weight!D:D,"#N/A",0)</f>
        <v>90</v>
      </c>
      <c r="Q410" s="17" t="str">
        <f t="shared" si="6"/>
        <v/>
      </c>
      <c r="R410" s="107"/>
      <c r="S410" s="108">
        <v>560313.0</v>
      </c>
      <c r="T410" s="108">
        <v>12.0</v>
      </c>
      <c r="U410" s="109">
        <v>40.0</v>
      </c>
      <c r="V410" s="110"/>
      <c r="X410" s="111">
        <f>SUMIFS('Transit Shipment'!$B$10:$B$1048462,'Transit Shipment'!$A$10:$A$1048462,B410,'Transit Shipment'!$C$10:$C$1048462,AA410)</f>
        <v>0</v>
      </c>
      <c r="Y410" s="111">
        <f>IF(SUMIFS(DIH!$S$2:$S833,DIH!$D$2:$D833,B410,DIH!$U$2:$U833,AA410)&gt;0,SUMIFS(DIH!$S$2:$S833,DIH!$D$2:$D833,B410,DIH!$U$2:$U833,AA410),0)</f>
        <v>33</v>
      </c>
      <c r="Z410" s="112">
        <f t="shared" si="7"/>
        <v>33</v>
      </c>
      <c r="AA410" s="113" t="s">
        <v>11</v>
      </c>
      <c r="AB410" s="114">
        <f>IF(ISNA(VLOOKUP($B410,'Business Report'!$D$2:$J$202,2,0)),"",VLOOKUP($B410,'Business Report'!$D$2:$J$202,2,0))</f>
        <v>71</v>
      </c>
      <c r="AC410" s="115">
        <f>SUMIFS(AFS!$P$2:$P$6260,AFS!$N$2:$N$6260,B410,AFS!$AT$2:$AT$6260,AA410)</f>
        <v>13</v>
      </c>
      <c r="AD410" s="116">
        <f t="shared" si="8"/>
        <v>-15</v>
      </c>
      <c r="AE410" s="117"/>
      <c r="AF410" s="118" t="str">
        <f t="shared" si="9"/>
        <v/>
      </c>
      <c r="AG410" s="26"/>
      <c r="AH410" s="26"/>
      <c r="AI410" s="26"/>
    </row>
    <row r="411">
      <c r="A411" s="120" t="s">
        <v>6539</v>
      </c>
      <c r="B411" s="3" t="s">
        <v>85</v>
      </c>
      <c r="C411" s="95" t="s">
        <v>6541</v>
      </c>
      <c r="D411" s="96" t="s">
        <v>162</v>
      </c>
      <c r="E411" s="97">
        <f t="shared" si="2"/>
        <v>8</v>
      </c>
      <c r="F411" s="97">
        <f t="shared" si="3"/>
        <v>0.5</v>
      </c>
      <c r="G411" s="99">
        <f t="shared" si="77"/>
        <v>18</v>
      </c>
      <c r="H411" s="100"/>
      <c r="I411" s="101"/>
      <c r="J411" s="102"/>
      <c r="K411" s="103"/>
      <c r="L411" s="97"/>
      <c r="M411" s="169"/>
      <c r="N411" s="105"/>
      <c r="O411" s="106"/>
      <c r="P411" s="13">
        <f t="array" ref="P411">XLOOKUP(B411,Weight!B:B,Weight!D:D,"#N/A",0)</f>
        <v>90</v>
      </c>
      <c r="Q411" s="17">
        <f t="shared" si="6"/>
        <v>1620</v>
      </c>
      <c r="R411" s="107"/>
      <c r="S411" s="108">
        <v>560313.0</v>
      </c>
      <c r="T411" s="108">
        <v>12.0</v>
      </c>
      <c r="U411" s="109">
        <v>40.0</v>
      </c>
      <c r="V411" s="110"/>
      <c r="X411" s="111">
        <f>SUMIFS('Transit Shipment'!$B$10:$B$1048462,'Transit Shipment'!$A$10:$A$1048462,B411,'Transit Shipment'!$C$10:$C$1048462,AA411)</f>
        <v>0</v>
      </c>
      <c r="Y411" s="111">
        <f>IF(SUMIFS(DIH!$S$2:$S833,DIH!$D$2:$D833,B411,DIH!$U$2:$U833,AA411)&gt;0,SUMIFS(DIH!$S$2:$S833,DIH!$D$2:$D833,B411,DIH!$U$2:$U833,AA411),0)</f>
        <v>11</v>
      </c>
      <c r="Z411" s="112">
        <f t="shared" si="7"/>
        <v>11</v>
      </c>
      <c r="AA411" s="119" t="s">
        <v>9</v>
      </c>
      <c r="AB411" s="114">
        <f>IF(ISNA(VLOOKUP($B411,'Business Report'!$D$2:$J$202,2,0)),"",VLOOKUP($B411,'Business Report'!$D$2:$J$202,2,0))</f>
        <v>71</v>
      </c>
      <c r="AC411" s="115">
        <f>SUMIFS(AFS!$P$2:$P$6260,AFS!$N$2:$N$6260,B411,AFS!$AT$2:$AT$6260,AA411)</f>
        <v>21</v>
      </c>
      <c r="AD411" s="116">
        <f t="shared" si="8"/>
        <v>17</v>
      </c>
      <c r="AE411" s="117"/>
      <c r="AF411" s="118">
        <f t="shared" si="9"/>
        <v>18</v>
      </c>
      <c r="AG411" s="4"/>
      <c r="AH411" s="26"/>
      <c r="AI411" s="26"/>
    </row>
    <row r="412">
      <c r="A412" s="120" t="s">
        <v>6539</v>
      </c>
      <c r="B412" s="7" t="s">
        <v>85</v>
      </c>
      <c r="C412" s="95" t="s">
        <v>6541</v>
      </c>
      <c r="D412" s="109" t="s">
        <v>162</v>
      </c>
      <c r="E412" s="97">
        <f t="shared" si="2"/>
        <v>7</v>
      </c>
      <c r="F412" s="97">
        <f t="shared" si="3"/>
        <v>0</v>
      </c>
      <c r="G412" s="99">
        <f t="shared" si="77"/>
        <v>14</v>
      </c>
      <c r="H412" s="121"/>
      <c r="I412" s="122"/>
      <c r="J412" s="123"/>
      <c r="K412" s="124"/>
      <c r="L412" s="125"/>
      <c r="M412" s="181"/>
      <c r="N412" s="126"/>
      <c r="O412" s="127"/>
      <c r="P412" s="13">
        <f t="array" ref="P412">XLOOKUP(B412,Weight!B:B,Weight!D:D,"#N/A",0)</f>
        <v>90</v>
      </c>
      <c r="Q412" s="17">
        <f t="shared" si="6"/>
        <v>1260</v>
      </c>
      <c r="R412" s="107"/>
      <c r="S412" s="108">
        <v>560313.0</v>
      </c>
      <c r="T412" s="108">
        <v>12.0</v>
      </c>
      <c r="U412" s="109">
        <v>40.0</v>
      </c>
      <c r="V412" s="110"/>
      <c r="X412" s="111">
        <f>SUMIFS('Transit Shipment'!$B$10:$B$1048462,'Transit Shipment'!$A$10:$A$1048462,B412,'Transit Shipment'!$C$10:$C$1048462,AA412)</f>
        <v>0</v>
      </c>
      <c r="Y412" s="111">
        <f>IF(SUMIFS(DIH!$S$2:$S833,DIH!$D$2:$D833,B412,DIH!$U$2:$U833,AA412)&gt;0,SUMIFS(DIH!$S$2:$S833,DIH!$D$2:$D833,B412,DIH!$U$2:$U833,AA412),0)</f>
        <v>9</v>
      </c>
      <c r="Z412" s="112">
        <f t="shared" si="7"/>
        <v>9</v>
      </c>
      <c r="AA412" s="119" t="s">
        <v>155</v>
      </c>
      <c r="AB412" s="114">
        <f>IF(ISNA(VLOOKUP($B412,'Business Report'!$D$2:$J$202,2,0)),"",VLOOKUP($B412,'Business Report'!$D$2:$J$202,2,0))</f>
        <v>71</v>
      </c>
      <c r="AC412" s="115">
        <f>SUMIFS(AFS!$P$2:$P$6260,AFS!$N$2:$N$6260,B412,AFS!$AT$2:$AT$6260,AA412)</f>
        <v>17</v>
      </c>
      <c r="AD412" s="116">
        <f t="shared" si="8"/>
        <v>14</v>
      </c>
      <c r="AE412" s="117"/>
      <c r="AF412" s="118">
        <f t="shared" si="9"/>
        <v>14</v>
      </c>
      <c r="AG412" s="4"/>
      <c r="AH412" s="26"/>
      <c r="AI412" s="26"/>
    </row>
    <row r="413">
      <c r="A413" s="120" t="s">
        <v>6539</v>
      </c>
      <c r="B413" s="7" t="s">
        <v>85</v>
      </c>
      <c r="C413" s="95" t="s">
        <v>6541</v>
      </c>
      <c r="D413" s="109" t="s">
        <v>162</v>
      </c>
      <c r="E413" s="97">
        <f t="shared" si="2"/>
        <v>7</v>
      </c>
      <c r="F413" s="97">
        <f t="shared" si="3"/>
        <v>0.5</v>
      </c>
      <c r="G413" s="99">
        <f t="shared" si="77"/>
        <v>16</v>
      </c>
      <c r="H413" s="121"/>
      <c r="I413" s="122"/>
      <c r="J413" s="123"/>
      <c r="K413" s="124"/>
      <c r="L413" s="125"/>
      <c r="M413" s="181"/>
      <c r="N413" s="126"/>
      <c r="O413" s="127"/>
      <c r="P413" s="13">
        <f t="array" ref="P413">XLOOKUP(B413,Weight!B:B,Weight!D:D,"#N/A",0)</f>
        <v>90</v>
      </c>
      <c r="Q413" s="17">
        <f t="shared" si="6"/>
        <v>1440</v>
      </c>
      <c r="R413" s="107"/>
      <c r="S413" s="108">
        <v>560313.0</v>
      </c>
      <c r="T413" s="108">
        <v>12.0</v>
      </c>
      <c r="U413" s="109">
        <v>40.0</v>
      </c>
      <c r="V413" s="110"/>
      <c r="X413" s="111">
        <f>SUMIFS('Transit Shipment'!$B$10:$B$1048462,'Transit Shipment'!$A$10:$A$1048462,B413,'Transit Shipment'!$C$10:$C$1048462,AA413)</f>
        <v>0</v>
      </c>
      <c r="Y413" s="111">
        <f>IF(SUMIFS(DIH!$S$2:$S833,DIH!$D$2:$D833,B413,DIH!$U$2:$U833,AA413)&gt;0,SUMIFS(DIH!$S$2:$S833,DIH!$D$2:$D833,B413,DIH!$U$2:$U833,AA413),0)</f>
        <v>11</v>
      </c>
      <c r="Z413" s="112">
        <f t="shared" si="7"/>
        <v>11</v>
      </c>
      <c r="AA413" s="119" t="s">
        <v>156</v>
      </c>
      <c r="AB413" s="114">
        <f>IF(ISNA(VLOOKUP($B413,'Business Report'!$D$2:$J$202,2,0)),"",VLOOKUP($B413,'Business Report'!$D$2:$J$202,2,0))</f>
        <v>71</v>
      </c>
      <c r="AC413" s="115">
        <f>SUMIFS(AFS!$P$2:$P$6260,AFS!$N$2:$N$6260,B413,AFS!$AT$2:$AT$6260,AA413)</f>
        <v>19</v>
      </c>
      <c r="AD413" s="116">
        <f t="shared" si="8"/>
        <v>15</v>
      </c>
      <c r="AE413" s="117"/>
      <c r="AF413" s="118">
        <f t="shared" si="9"/>
        <v>16</v>
      </c>
      <c r="AG413" s="4"/>
      <c r="AH413" s="26"/>
      <c r="AI413" s="26"/>
    </row>
    <row r="414">
      <c r="A414" s="120" t="s">
        <v>6539</v>
      </c>
      <c r="B414" s="7" t="s">
        <v>85</v>
      </c>
      <c r="C414" s="95" t="s">
        <v>6541</v>
      </c>
      <c r="D414" s="109" t="s">
        <v>162</v>
      </c>
      <c r="E414" s="97">
        <f t="shared" si="2"/>
        <v>2</v>
      </c>
      <c r="F414" s="97">
        <f t="shared" si="3"/>
        <v>0</v>
      </c>
      <c r="G414" s="99">
        <f t="shared" si="77"/>
        <v>4</v>
      </c>
      <c r="H414" s="121"/>
      <c r="I414" s="122"/>
      <c r="J414" s="123"/>
      <c r="K414" s="124"/>
      <c r="L414" s="125"/>
      <c r="M414" s="181"/>
      <c r="N414" s="126"/>
      <c r="O414" s="127"/>
      <c r="P414" s="13">
        <f t="array" ref="P414">XLOOKUP(B414,Weight!B:B,Weight!D:D,"#N/A",0)</f>
        <v>90</v>
      </c>
      <c r="Q414" s="17">
        <f t="shared" si="6"/>
        <v>360</v>
      </c>
      <c r="R414" s="107"/>
      <c r="S414" s="108">
        <v>560313.0</v>
      </c>
      <c r="T414" s="108">
        <v>12.0</v>
      </c>
      <c r="U414" s="109">
        <v>40.0</v>
      </c>
      <c r="V414" s="110"/>
      <c r="X414" s="111">
        <f>SUMIFS('Transit Shipment'!$B$10:$B$1048462,'Transit Shipment'!$A$10:$A$1048462,B414,'Transit Shipment'!$C$10:$C$1048462,AA414)</f>
        <v>0</v>
      </c>
      <c r="Y414" s="111">
        <f>IF(SUMIFS(DIH!$S$2:$S833,DIH!$D$2:$D833,B414,DIH!$U$2:$U833,AA414)&gt;0,SUMIFS(DIH!$S$2:$S833,DIH!$D$2:$D833,B414,DIH!$U$2:$U833,AA414),0)</f>
        <v>8</v>
      </c>
      <c r="Z414" s="112">
        <f t="shared" si="7"/>
        <v>8</v>
      </c>
      <c r="AA414" s="130" t="s">
        <v>13</v>
      </c>
      <c r="AB414" s="114">
        <f>IF(ISNA(VLOOKUP($B414,'Business Report'!$D$2:$J$202,2,0)),"",VLOOKUP($B414,'Business Report'!$D$2:$J$202,2,0))</f>
        <v>71</v>
      </c>
      <c r="AC414" s="115">
        <f>SUMIFS(AFS!$P$2:$P$6260,AFS!$N$2:$N$6260,B414,AFS!$AT$2:$AT$6260,AA414)</f>
        <v>9</v>
      </c>
      <c r="AD414" s="116">
        <f t="shared" si="8"/>
        <v>4</v>
      </c>
      <c r="AE414" s="117"/>
      <c r="AF414" s="118">
        <f t="shared" si="9"/>
        <v>4</v>
      </c>
      <c r="AG414" s="26"/>
      <c r="AH414" s="26"/>
      <c r="AI414" s="26"/>
    </row>
    <row r="415">
      <c r="A415" s="120" t="s">
        <v>6539</v>
      </c>
      <c r="B415" s="7" t="s">
        <v>85</v>
      </c>
      <c r="C415" s="95" t="s">
        <v>6541</v>
      </c>
      <c r="D415" s="109" t="s">
        <v>162</v>
      </c>
      <c r="E415" s="97">
        <f t="shared" si="2"/>
        <v>7</v>
      </c>
      <c r="F415" s="97">
        <f t="shared" si="3"/>
        <v>0</v>
      </c>
      <c r="G415" s="99">
        <f t="shared" si="77"/>
        <v>14</v>
      </c>
      <c r="H415" s="121"/>
      <c r="I415" s="122"/>
      <c r="J415" s="123"/>
      <c r="K415" s="124"/>
      <c r="L415" s="125"/>
      <c r="M415" s="181"/>
      <c r="N415" s="126"/>
      <c r="O415" s="127"/>
      <c r="P415" s="13">
        <f t="array" ref="P415">XLOOKUP(B415,Weight!B:B,Weight!D:D,"#N/A",0)</f>
        <v>90</v>
      </c>
      <c r="Q415" s="17">
        <f t="shared" si="6"/>
        <v>1260</v>
      </c>
      <c r="R415" s="107"/>
      <c r="S415" s="108">
        <v>560313.0</v>
      </c>
      <c r="T415" s="108">
        <v>12.0</v>
      </c>
      <c r="U415" s="109">
        <v>40.0</v>
      </c>
      <c r="V415" s="110"/>
      <c r="X415" s="111">
        <f>SUMIFS('Transit Shipment'!$B$10:$B$1048462,'Transit Shipment'!$A$10:$A$1048462,B415,'Transit Shipment'!$C$10:$C$1048462,AA415)</f>
        <v>0</v>
      </c>
      <c r="Y415" s="111">
        <f>IF(SUMIFS(DIH!$S$2:$S833,DIH!$D$2:$D833,B415,DIH!$U$2:$U833,AA415)&gt;0,SUMIFS(DIH!$S$2:$S833,DIH!$D$2:$D833,B415,DIH!$U$2:$U833,AA415),0)</f>
        <v>10</v>
      </c>
      <c r="Z415" s="112">
        <f t="shared" si="7"/>
        <v>10</v>
      </c>
      <c r="AA415" s="119" t="s">
        <v>14</v>
      </c>
      <c r="AB415" s="114">
        <f>IF(ISNA(VLOOKUP($B415,'Business Report'!$D$2:$J$202,2,0)),"",VLOOKUP($B415,'Business Report'!$D$2:$J$202,2,0))</f>
        <v>71</v>
      </c>
      <c r="AC415" s="115">
        <f>SUMIFS(AFS!$P$2:$P$6260,AFS!$N$2:$N$6260,B415,AFS!$AT$2:$AT$6260,AA415)</f>
        <v>18</v>
      </c>
      <c r="AD415" s="116">
        <f t="shared" si="8"/>
        <v>14</v>
      </c>
      <c r="AE415" s="117"/>
      <c r="AF415" s="118">
        <f t="shared" si="9"/>
        <v>14</v>
      </c>
      <c r="AG415" s="26"/>
      <c r="AH415" s="26"/>
      <c r="AI415" s="26"/>
    </row>
    <row r="416">
      <c r="A416" s="120" t="s">
        <v>6539</v>
      </c>
      <c r="B416" s="7" t="s">
        <v>85</v>
      </c>
      <c r="C416" s="95" t="s">
        <v>6541</v>
      </c>
      <c r="D416" s="109" t="s">
        <v>162</v>
      </c>
      <c r="E416" s="97">
        <f t="shared" si="2"/>
        <v>6</v>
      </c>
      <c r="F416" s="97">
        <f t="shared" si="3"/>
        <v>0.5</v>
      </c>
      <c r="G416" s="99">
        <f t="shared" si="77"/>
        <v>14</v>
      </c>
      <c r="H416" s="121"/>
      <c r="I416" s="122"/>
      <c r="J416" s="123"/>
      <c r="K416" s="124"/>
      <c r="L416" s="125"/>
      <c r="M416" s="181"/>
      <c r="N416" s="126"/>
      <c r="O416" s="127"/>
      <c r="P416" s="13">
        <f t="array" ref="P416">XLOOKUP(B416,Weight!B:B,Weight!D:D,"#N/A",0)</f>
        <v>90</v>
      </c>
      <c r="Q416" s="17">
        <f t="shared" si="6"/>
        <v>1260</v>
      </c>
      <c r="R416" s="107"/>
      <c r="S416" s="108">
        <v>560313.0</v>
      </c>
      <c r="T416" s="108">
        <v>12.0</v>
      </c>
      <c r="U416" s="109">
        <v>40.0</v>
      </c>
      <c r="V416" s="110"/>
      <c r="X416" s="111">
        <f>SUMIFS('Transit Shipment'!$B$10:$B$1048462,'Transit Shipment'!$A$10:$A$1048462,B416,'Transit Shipment'!$C$10:$C$1048462,AA416)</f>
        <v>0</v>
      </c>
      <c r="Y416" s="111">
        <f>IF(SUMIFS(DIH!$S$2:$S833,DIH!$D$2:$D833,B416,DIH!$U$2:$U833,AA416)&gt;0,SUMIFS(DIH!$S$2:$S833,DIH!$D$2:$D833,B416,DIH!$U$2:$U833,AA416),0)</f>
        <v>5</v>
      </c>
      <c r="Z416" s="112">
        <f t="shared" si="7"/>
        <v>5</v>
      </c>
      <c r="AA416" s="131" t="s">
        <v>16</v>
      </c>
      <c r="AB416" s="114">
        <f>IF(ISNA(VLOOKUP($B416,'Business Report'!$D$2:$J$202,2,0)),"",VLOOKUP($B416,'Business Report'!$D$2:$J$202,2,0))</f>
        <v>71</v>
      </c>
      <c r="AC416" s="115">
        <f>SUMIFS(AFS!$P$2:$P$6260,AFS!$N$2:$N$6260,B416,AFS!$AT$2:$AT$6260,AA416)</f>
        <v>13</v>
      </c>
      <c r="AD416" s="116">
        <f t="shared" si="8"/>
        <v>13</v>
      </c>
      <c r="AE416" s="117"/>
      <c r="AF416" s="118">
        <f t="shared" si="9"/>
        <v>14</v>
      </c>
      <c r="AG416" s="26"/>
      <c r="AH416" s="26"/>
      <c r="AI416" s="26"/>
    </row>
    <row r="417">
      <c r="A417" s="296" t="s">
        <v>6539</v>
      </c>
      <c r="B417" s="15" t="s">
        <v>85</v>
      </c>
      <c r="C417" s="133" t="s">
        <v>6541</v>
      </c>
      <c r="D417" s="134" t="s">
        <v>162</v>
      </c>
      <c r="E417" s="135">
        <f t="shared" si="2"/>
        <v>6</v>
      </c>
      <c r="F417" s="135">
        <f t="shared" si="3"/>
        <v>0.5</v>
      </c>
      <c r="G417" s="136">
        <f t="shared" si="77"/>
        <v>14</v>
      </c>
      <c r="H417" s="137"/>
      <c r="I417" s="138"/>
      <c r="J417" s="139"/>
      <c r="K417" s="140"/>
      <c r="L417" s="135"/>
      <c r="M417" s="152"/>
      <c r="N417" s="142"/>
      <c r="O417" s="143"/>
      <c r="P417" s="144">
        <f t="array" ref="P417">XLOOKUP(B417,Weight!B:B,Weight!D:D,"#N/A",0)</f>
        <v>90</v>
      </c>
      <c r="Q417" s="145">
        <f t="shared" si="6"/>
        <v>1260</v>
      </c>
      <c r="R417" s="146"/>
      <c r="S417" s="147">
        <v>560313.0</v>
      </c>
      <c r="T417" s="147">
        <v>12.0</v>
      </c>
      <c r="U417" s="109">
        <v>40.0</v>
      </c>
      <c r="V417" s="148"/>
      <c r="W417" s="149"/>
      <c r="X417" s="150">
        <f>SUMIFS('Transit Shipment'!$B$10:$B$1048462,'Transit Shipment'!$A$10:$A$1048462,B417,'Transit Shipment'!$C$10:$C$1048462,AA417)</f>
        <v>0</v>
      </c>
      <c r="Y417" s="150">
        <f>IF(SUMIFS(DIH!$S$2:$S833,DIH!$D$2:$D833,B417,DIH!$U$2:$U833,AA417)&gt;0,SUMIFS(DIH!$S$2:$S833,DIH!$D$2:$D833,B417,DIH!$U$2:$U833,AA417),0)</f>
        <v>5</v>
      </c>
      <c r="Z417" s="151">
        <f t="shared" si="7"/>
        <v>5</v>
      </c>
      <c r="AA417" s="152" t="s">
        <v>17</v>
      </c>
      <c r="AB417" s="154">
        <f>IF(ISNA(VLOOKUP($B417,'Business Report'!$D$2:$J$202,2,0)),"",VLOOKUP($B417,'Business Report'!$D$2:$J$202,2,0))</f>
        <v>71</v>
      </c>
      <c r="AC417" s="155">
        <f>SUMIFS(AFS!$P$2:$P$6260,AFS!$N$2:$N$6260,B417,AFS!$AT$2:$AT$6260,AA417)</f>
        <v>13</v>
      </c>
      <c r="AD417" s="156">
        <f t="shared" si="8"/>
        <v>13</v>
      </c>
      <c r="AE417" s="159">
        <f>SUM(AD409:AD417)</f>
        <v>71</v>
      </c>
      <c r="AF417" s="118">
        <f t="shared" si="9"/>
        <v>14</v>
      </c>
      <c r="AG417" s="26"/>
      <c r="AH417" s="26"/>
      <c r="AI417" s="26"/>
    </row>
    <row r="418">
      <c r="A418" s="293" t="s">
        <v>6539</v>
      </c>
      <c r="B418" s="1" t="s">
        <v>86</v>
      </c>
      <c r="C418" s="95" t="s">
        <v>6716</v>
      </c>
      <c r="D418" s="68" t="s">
        <v>162</v>
      </c>
      <c r="E418" s="69">
        <f t="shared" si="2"/>
        <v>0</v>
      </c>
      <c r="F418" s="69">
        <f t="shared" si="3"/>
        <v>0.5</v>
      </c>
      <c r="G418" s="70">
        <f t="shared" si="77"/>
        <v>2</v>
      </c>
      <c r="H418" s="163"/>
      <c r="I418" s="101"/>
      <c r="J418" s="102"/>
      <c r="K418" s="167"/>
      <c r="L418" s="119"/>
      <c r="M418" s="169"/>
      <c r="N418" s="171"/>
      <c r="O418" s="106"/>
      <c r="P418" s="79">
        <f t="array" ref="P418">XLOOKUP(B418,Weight!B:B,Weight!D:D,"#N/A",0)</f>
        <v>90</v>
      </c>
      <c r="Q418" s="80">
        <f t="shared" si="6"/>
        <v>180</v>
      </c>
      <c r="R418" s="107"/>
      <c r="S418" s="108">
        <v>560313.0</v>
      </c>
      <c r="T418" s="108">
        <v>12.0</v>
      </c>
      <c r="U418" s="83">
        <v>40.0</v>
      </c>
      <c r="V418" s="84" t="str">
        <f t="shared" ref="V418:W418" si="79">B418</f>
        <v>CRM-EP-L3110-NW-BLACK</v>
      </c>
      <c r="W418" s="174" t="str">
        <f t="shared" si="79"/>
        <v>Crasome Dust &amp; Water Proof Printer Cover for Epson EcoTank L3150 / L3110 (Black)
</v>
      </c>
      <c r="X418" s="86">
        <f>SUMIFS('Transit Shipment'!$B$10:$B$1048462,'Transit Shipment'!$A$10:$A$1048462,B418,'Transit Shipment'!$C$10:$C$1048462,AA418)</f>
        <v>0</v>
      </c>
      <c r="Y418" s="86">
        <f>IF(SUMIFS(DIH!$S$2:$S833,DIH!$D$2:$D833,B418,DIH!$U$2:$U833,AA418)&gt;0,SUMIFS(DIH!$S$2:$S833,DIH!$D$2:$D833,B418,DIH!$U$2:$U833,AA418),0)</f>
        <v>1</v>
      </c>
      <c r="Z418" s="87">
        <f t="shared" si="7"/>
        <v>1</v>
      </c>
      <c r="AA418" s="88" t="s">
        <v>5</v>
      </c>
      <c r="AB418" s="89">
        <f>IF(ISNA(VLOOKUP($B418,'Business Report'!$D$2:$J$202,2,0)),"",VLOOKUP($B418,'Business Report'!$D$2:$J$202,2,0))</f>
        <v>8</v>
      </c>
      <c r="AC418" s="90">
        <f>SUMIFS(AFS!$P$2:$P$6260,AFS!$N$2:$N$6260,B418,AFS!$AT$2:$AT$6260,AA418)</f>
        <v>1</v>
      </c>
      <c r="AD418" s="91">
        <f t="shared" si="8"/>
        <v>1</v>
      </c>
      <c r="AE418" s="92"/>
      <c r="AF418" s="93">
        <f t="shared" si="9"/>
        <v>2</v>
      </c>
      <c r="AG418" s="26"/>
      <c r="AH418" s="26"/>
      <c r="AI418" s="26"/>
    </row>
    <row r="419">
      <c r="A419" s="120" t="s">
        <v>6539</v>
      </c>
      <c r="B419" s="3" t="s">
        <v>86</v>
      </c>
      <c r="C419" s="95" t="s">
        <v>6716</v>
      </c>
      <c r="D419" s="96" t="s">
        <v>162</v>
      </c>
      <c r="E419" s="97" t="str">
        <f t="shared" si="2"/>
        <v/>
      </c>
      <c r="F419" s="97" t="str">
        <f t="shared" si="3"/>
        <v/>
      </c>
      <c r="G419" s="99" t="str">
        <f t="shared" si="77"/>
        <v/>
      </c>
      <c r="H419" s="100"/>
      <c r="I419" s="101"/>
      <c r="J419" s="102"/>
      <c r="K419" s="103"/>
      <c r="L419" s="97"/>
      <c r="M419" s="169"/>
      <c r="N419" s="105"/>
      <c r="O419" s="106"/>
      <c r="P419" s="13">
        <f t="array" ref="P419">XLOOKUP(B419,Weight!B:B,Weight!D:D,"#N/A",0)</f>
        <v>90</v>
      </c>
      <c r="Q419" s="17" t="str">
        <f t="shared" si="6"/>
        <v/>
      </c>
      <c r="R419" s="107"/>
      <c r="S419" s="108">
        <v>560313.0</v>
      </c>
      <c r="T419" s="108">
        <v>12.0</v>
      </c>
      <c r="U419" s="109">
        <v>40.0</v>
      </c>
      <c r="V419" s="110"/>
      <c r="X419" s="111">
        <f>SUMIFS('Transit Shipment'!$B$10:$B$1048462,'Transit Shipment'!$A$10:$A$1048462,B419,'Transit Shipment'!$C$10:$C$1048462,AA419)</f>
        <v>0</v>
      </c>
      <c r="Y419" s="111">
        <f>IF(SUMIFS(DIH!$S$2:$S833,DIH!$D$2:$D833,B419,DIH!$U$2:$U833,AA419)&gt;0,SUMIFS(DIH!$S$2:$S833,DIH!$D$2:$D833,B419,DIH!$U$2:$U833,AA419),0)</f>
        <v>3</v>
      </c>
      <c r="Z419" s="112">
        <f t="shared" si="7"/>
        <v>3</v>
      </c>
      <c r="AA419" s="113" t="s">
        <v>11</v>
      </c>
      <c r="AB419" s="114">
        <f>IF(ISNA(VLOOKUP($B419,'Business Report'!$D$2:$J$202,2,0)),"",VLOOKUP($B419,'Business Report'!$D$2:$J$202,2,0))</f>
        <v>8</v>
      </c>
      <c r="AC419" s="115">
        <f>SUMIFS(AFS!$P$2:$P$6260,AFS!$N$2:$N$6260,B419,AFS!$AT$2:$AT$6260,AA419)</f>
        <v>0</v>
      </c>
      <c r="AD419" s="116">
        <f t="shared" si="8"/>
        <v>-3</v>
      </c>
      <c r="AE419" s="117"/>
      <c r="AF419" s="118" t="str">
        <f t="shared" si="9"/>
        <v/>
      </c>
      <c r="AG419" s="26"/>
      <c r="AH419" s="26"/>
      <c r="AI419" s="26"/>
    </row>
    <row r="420">
      <c r="A420" s="120" t="s">
        <v>6539</v>
      </c>
      <c r="B420" s="3" t="s">
        <v>86</v>
      </c>
      <c r="C420" s="95" t="s">
        <v>6716</v>
      </c>
      <c r="D420" s="96" t="s">
        <v>162</v>
      </c>
      <c r="E420" s="97">
        <f t="shared" si="2"/>
        <v>1</v>
      </c>
      <c r="F420" s="97">
        <f t="shared" si="3"/>
        <v>0</v>
      </c>
      <c r="G420" s="99">
        <f t="shared" si="77"/>
        <v>2</v>
      </c>
      <c r="H420" s="100"/>
      <c r="I420" s="101"/>
      <c r="J420" s="102"/>
      <c r="K420" s="103"/>
      <c r="L420" s="97"/>
      <c r="M420" s="169"/>
      <c r="N420" s="105"/>
      <c r="O420" s="106"/>
      <c r="P420" s="13">
        <f t="array" ref="P420">XLOOKUP(B420,Weight!B:B,Weight!D:D,"#N/A",0)</f>
        <v>90</v>
      </c>
      <c r="Q420" s="17">
        <f t="shared" si="6"/>
        <v>180</v>
      </c>
      <c r="R420" s="107"/>
      <c r="S420" s="108">
        <v>560313.0</v>
      </c>
      <c r="T420" s="108">
        <v>12.0</v>
      </c>
      <c r="U420" s="109">
        <v>40.0</v>
      </c>
      <c r="V420" s="110"/>
      <c r="X420" s="111">
        <f>SUMIFS('Transit Shipment'!$B$10:$B$1048462,'Transit Shipment'!$A$10:$A$1048462,B420,'Transit Shipment'!$C$10:$C$1048462,AA420)</f>
        <v>0</v>
      </c>
      <c r="Y420" s="111">
        <f>IF(SUMIFS(DIH!$S$2:$S833,DIH!$D$2:$D833,B420,DIH!$U$2:$U833,AA420)&gt;0,SUMIFS(DIH!$S$2:$S833,DIH!$D$2:$D833,B420,DIH!$U$2:$U833,AA420),0)</f>
        <v>1</v>
      </c>
      <c r="Z420" s="112">
        <f t="shared" si="7"/>
        <v>1</v>
      </c>
      <c r="AA420" s="119" t="s">
        <v>9</v>
      </c>
      <c r="AB420" s="114">
        <f>IF(ISNA(VLOOKUP($B420,'Business Report'!$D$2:$J$202,2,0)),"",VLOOKUP($B420,'Business Report'!$D$2:$J$202,2,0))</f>
        <v>8</v>
      </c>
      <c r="AC420" s="115">
        <f>SUMIFS(AFS!$P$2:$P$6260,AFS!$N$2:$N$6260,B420,AFS!$AT$2:$AT$6260,AA420)</f>
        <v>2</v>
      </c>
      <c r="AD420" s="116">
        <f t="shared" si="8"/>
        <v>2</v>
      </c>
      <c r="AE420" s="117"/>
      <c r="AF420" s="118">
        <f t="shared" si="9"/>
        <v>2</v>
      </c>
      <c r="AG420" s="26"/>
      <c r="AH420" s="26"/>
      <c r="AI420" s="26"/>
    </row>
    <row r="421">
      <c r="A421" s="120" t="s">
        <v>6539</v>
      </c>
      <c r="B421" s="7" t="s">
        <v>86</v>
      </c>
      <c r="C421" s="95" t="s">
        <v>6716</v>
      </c>
      <c r="D421" s="109" t="s">
        <v>162</v>
      </c>
      <c r="E421" s="97">
        <f t="shared" si="2"/>
        <v>1</v>
      </c>
      <c r="F421" s="97">
        <f t="shared" si="3"/>
        <v>0</v>
      </c>
      <c r="G421" s="99" t="str">
        <f t="shared" si="77"/>
        <v/>
      </c>
      <c r="H421" s="121"/>
      <c r="I421" s="122"/>
      <c r="J421" s="123"/>
      <c r="K421" s="124"/>
      <c r="L421" s="125"/>
      <c r="M421" s="181"/>
      <c r="N421" s="126"/>
      <c r="O421" s="127"/>
      <c r="P421" s="13">
        <f t="array" ref="P421">XLOOKUP(B421,Weight!B:B,Weight!D:D,"#N/A",0)</f>
        <v>90</v>
      </c>
      <c r="Q421" s="17" t="str">
        <f t="shared" si="6"/>
        <v/>
      </c>
      <c r="R421" s="107"/>
      <c r="S421" s="108">
        <v>560313.0</v>
      </c>
      <c r="T421" s="108">
        <v>12.0</v>
      </c>
      <c r="U421" s="109">
        <v>40.0</v>
      </c>
      <c r="V421" s="110"/>
      <c r="X421" s="111">
        <f>SUMIFS('Transit Shipment'!$B$10:$B$1048462,'Transit Shipment'!$A$10:$A$1048462,B421,'Transit Shipment'!$C$10:$C$1048462,AA421)</f>
        <v>0</v>
      </c>
      <c r="Y421" s="111">
        <f>IF(SUMIFS(DIH!$S$2:$S833,DIH!$D$2:$D833,B421,DIH!$U$2:$U833,AA421)&gt;0,SUMIFS(DIH!$S$2:$S833,DIH!$D$2:$D833,B421,DIH!$U$2:$U833,AA421),0)</f>
        <v>0</v>
      </c>
      <c r="Z421" s="112">
        <f t="shared" si="7"/>
        <v>0</v>
      </c>
      <c r="AA421" s="119" t="s">
        <v>155</v>
      </c>
      <c r="AB421" s="114">
        <f>IF(ISNA(VLOOKUP($B421,'Business Report'!$D$2:$J$202,2,0)),"",VLOOKUP($B421,'Business Report'!$D$2:$J$202,2,0))</f>
        <v>8</v>
      </c>
      <c r="AC421" s="115">
        <f>SUMIFS(AFS!$P$2:$P$6260,AFS!$N$2:$N$6260,B421,AFS!$AT$2:$AT$6260,AA421)</f>
        <v>0</v>
      </c>
      <c r="AD421" s="116">
        <f t="shared" si="8"/>
        <v>0</v>
      </c>
      <c r="AE421" s="117"/>
      <c r="AF421" s="118" t="str">
        <f t="shared" si="9"/>
        <v/>
      </c>
      <c r="AG421" s="26"/>
      <c r="AH421" s="26"/>
      <c r="AI421" s="26"/>
    </row>
    <row r="422">
      <c r="A422" s="120" t="s">
        <v>6539</v>
      </c>
      <c r="B422" s="7" t="s">
        <v>86</v>
      </c>
      <c r="C422" s="95" t="s">
        <v>6716</v>
      </c>
      <c r="D422" s="109" t="s">
        <v>162</v>
      </c>
      <c r="E422" s="97">
        <f t="shared" si="2"/>
        <v>1</v>
      </c>
      <c r="F422" s="97">
        <f t="shared" si="3"/>
        <v>0</v>
      </c>
      <c r="G422" s="99" t="str">
        <f t="shared" si="77"/>
        <v/>
      </c>
      <c r="H422" s="121"/>
      <c r="I422" s="122"/>
      <c r="J422" s="123"/>
      <c r="K422" s="124"/>
      <c r="L422" s="125"/>
      <c r="M422" s="181"/>
      <c r="N422" s="126"/>
      <c r="O422" s="127"/>
      <c r="P422" s="13">
        <f t="array" ref="P422">XLOOKUP(B422,Weight!B:B,Weight!D:D,"#N/A",0)</f>
        <v>90</v>
      </c>
      <c r="Q422" s="17" t="str">
        <f t="shared" si="6"/>
        <v/>
      </c>
      <c r="R422" s="107"/>
      <c r="S422" s="108">
        <v>560313.0</v>
      </c>
      <c r="T422" s="108">
        <v>12.0</v>
      </c>
      <c r="U422" s="109">
        <v>40.0</v>
      </c>
      <c r="V422" s="110"/>
      <c r="X422" s="111">
        <f>SUMIFS('Transit Shipment'!$B$10:$B$1048462,'Transit Shipment'!$A$10:$A$1048462,B422,'Transit Shipment'!$C$10:$C$1048462,AA422)</f>
        <v>0</v>
      </c>
      <c r="Y422" s="111">
        <f>IF(SUMIFS(DIH!$S$2:$S833,DIH!$D$2:$D833,B422,DIH!$U$2:$U833,AA422)&gt;0,SUMIFS(DIH!$S$2:$S833,DIH!$D$2:$D833,B422,DIH!$U$2:$U833,AA422),0)</f>
        <v>0</v>
      </c>
      <c r="Z422" s="112">
        <f t="shared" si="7"/>
        <v>0</v>
      </c>
      <c r="AA422" s="119" t="s">
        <v>156</v>
      </c>
      <c r="AB422" s="114">
        <f>IF(ISNA(VLOOKUP($B422,'Business Report'!$D$2:$J$202,2,0)),"",VLOOKUP($B422,'Business Report'!$D$2:$J$202,2,0))</f>
        <v>8</v>
      </c>
      <c r="AC422" s="115">
        <f>SUMIFS(AFS!$P$2:$P$6260,AFS!$N$2:$N$6260,B422,AFS!$AT$2:$AT$6260,AA422)</f>
        <v>0</v>
      </c>
      <c r="AD422" s="116">
        <f t="shared" si="8"/>
        <v>0</v>
      </c>
      <c r="AE422" s="117"/>
      <c r="AF422" s="118" t="str">
        <f t="shared" si="9"/>
        <v/>
      </c>
      <c r="AG422" s="26"/>
      <c r="AH422" s="26"/>
      <c r="AI422" s="26"/>
    </row>
    <row r="423">
      <c r="A423" s="120" t="s">
        <v>6539</v>
      </c>
      <c r="B423" s="7" t="s">
        <v>86</v>
      </c>
      <c r="C423" s="95" t="s">
        <v>6716</v>
      </c>
      <c r="D423" s="109" t="s">
        <v>162</v>
      </c>
      <c r="E423" s="97">
        <f t="shared" si="2"/>
        <v>1</v>
      </c>
      <c r="F423" s="97">
        <f t="shared" si="3"/>
        <v>0</v>
      </c>
      <c r="G423" s="99" t="str">
        <f t="shared" si="77"/>
        <v/>
      </c>
      <c r="H423" s="121"/>
      <c r="I423" s="122"/>
      <c r="J423" s="123"/>
      <c r="K423" s="124"/>
      <c r="L423" s="125"/>
      <c r="M423" s="181"/>
      <c r="N423" s="126"/>
      <c r="O423" s="127"/>
      <c r="P423" s="13">
        <f t="array" ref="P423">XLOOKUP(B423,Weight!B:B,Weight!D:D,"#N/A",0)</f>
        <v>90</v>
      </c>
      <c r="Q423" s="17" t="str">
        <f t="shared" si="6"/>
        <v/>
      </c>
      <c r="R423" s="107"/>
      <c r="S423" s="108">
        <v>560313.0</v>
      </c>
      <c r="T423" s="108">
        <v>12.0</v>
      </c>
      <c r="U423" s="109">
        <v>40.0</v>
      </c>
      <c r="V423" s="110"/>
      <c r="X423" s="111">
        <f>SUMIFS('Transit Shipment'!$B$10:$B$1048462,'Transit Shipment'!$A$10:$A$1048462,B423,'Transit Shipment'!$C$10:$C$1048462,AA423)</f>
        <v>0</v>
      </c>
      <c r="Y423" s="111">
        <f>IF(SUMIFS(DIH!$S$2:$S833,DIH!$D$2:$D833,B423,DIH!$U$2:$U833,AA423)&gt;0,SUMIFS(DIH!$S$2:$S833,DIH!$D$2:$D833,B423,DIH!$U$2:$U833,AA423),0)</f>
        <v>0</v>
      </c>
      <c r="Z423" s="112">
        <f t="shared" si="7"/>
        <v>0</v>
      </c>
      <c r="AA423" s="130" t="s">
        <v>13</v>
      </c>
      <c r="AB423" s="114">
        <f>IF(ISNA(VLOOKUP($B423,'Business Report'!$D$2:$J$202,2,0)),"",VLOOKUP($B423,'Business Report'!$D$2:$J$202,2,0))</f>
        <v>8</v>
      </c>
      <c r="AC423" s="115">
        <f>SUMIFS(AFS!$P$2:$P$6260,AFS!$N$2:$N$6260,B423,AFS!$AT$2:$AT$6260,AA423)</f>
        <v>0</v>
      </c>
      <c r="AD423" s="116">
        <f t="shared" si="8"/>
        <v>0</v>
      </c>
      <c r="AE423" s="117"/>
      <c r="AF423" s="118" t="str">
        <f t="shared" si="9"/>
        <v/>
      </c>
      <c r="AG423" s="26"/>
      <c r="AH423" s="26"/>
      <c r="AI423" s="26"/>
    </row>
    <row r="424">
      <c r="A424" s="120" t="s">
        <v>6539</v>
      </c>
      <c r="B424" s="7" t="s">
        <v>86</v>
      </c>
      <c r="C424" s="95" t="s">
        <v>6716</v>
      </c>
      <c r="D424" s="109" t="s">
        <v>162</v>
      </c>
      <c r="E424" s="97">
        <f t="shared" si="2"/>
        <v>0</v>
      </c>
      <c r="F424" s="97">
        <f t="shared" si="3"/>
        <v>0.5</v>
      </c>
      <c r="G424" s="99">
        <f t="shared" si="77"/>
        <v>2</v>
      </c>
      <c r="H424" s="121"/>
      <c r="I424" s="122"/>
      <c r="J424" s="123"/>
      <c r="K424" s="124"/>
      <c r="L424" s="125"/>
      <c r="M424" s="181"/>
      <c r="N424" s="126"/>
      <c r="O424" s="127"/>
      <c r="P424" s="13">
        <f t="array" ref="P424">XLOOKUP(B424,Weight!B:B,Weight!D:D,"#N/A",0)</f>
        <v>90</v>
      </c>
      <c r="Q424" s="17">
        <f t="shared" si="6"/>
        <v>180</v>
      </c>
      <c r="R424" s="107"/>
      <c r="S424" s="108">
        <v>560313.0</v>
      </c>
      <c r="T424" s="108">
        <v>12.0</v>
      </c>
      <c r="U424" s="109">
        <v>40.0</v>
      </c>
      <c r="V424" s="110"/>
      <c r="X424" s="111">
        <f>SUMIFS('Transit Shipment'!$B$10:$B$1048462,'Transit Shipment'!$A$10:$A$1048462,B424,'Transit Shipment'!$C$10:$C$1048462,AA424)</f>
        <v>0</v>
      </c>
      <c r="Y424" s="111">
        <f>IF(SUMIFS(DIH!$S$2:$S833,DIH!$D$2:$D833,B424,DIH!$U$2:$U833,AA424)&gt;0,SUMIFS(DIH!$S$2:$S833,DIH!$D$2:$D833,B424,DIH!$U$2:$U833,AA424),0)</f>
        <v>1</v>
      </c>
      <c r="Z424" s="112">
        <f t="shared" si="7"/>
        <v>1</v>
      </c>
      <c r="AA424" s="119" t="s">
        <v>14</v>
      </c>
      <c r="AB424" s="114">
        <f>IF(ISNA(VLOOKUP($B424,'Business Report'!$D$2:$J$202,2,0)),"",VLOOKUP($B424,'Business Report'!$D$2:$J$202,2,0))</f>
        <v>8</v>
      </c>
      <c r="AC424" s="115">
        <f>SUMIFS(AFS!$P$2:$P$6260,AFS!$N$2:$N$6260,B424,AFS!$AT$2:$AT$6260,AA424)</f>
        <v>1</v>
      </c>
      <c r="AD424" s="116">
        <f t="shared" si="8"/>
        <v>1</v>
      </c>
      <c r="AE424" s="117"/>
      <c r="AF424" s="118">
        <f t="shared" si="9"/>
        <v>2</v>
      </c>
      <c r="AG424" s="26"/>
      <c r="AH424" s="26"/>
      <c r="AI424" s="26"/>
    </row>
    <row r="425">
      <c r="A425" s="120" t="s">
        <v>6539</v>
      </c>
      <c r="B425" s="7" t="s">
        <v>86</v>
      </c>
      <c r="C425" s="95" t="s">
        <v>6716</v>
      </c>
      <c r="D425" s="109" t="s">
        <v>162</v>
      </c>
      <c r="E425" s="97" t="str">
        <f t="shared" si="2"/>
        <v/>
      </c>
      <c r="F425" s="97" t="str">
        <f t="shared" si="3"/>
        <v/>
      </c>
      <c r="G425" s="99" t="str">
        <f t="shared" si="77"/>
        <v/>
      </c>
      <c r="H425" s="121"/>
      <c r="I425" s="122"/>
      <c r="J425" s="123"/>
      <c r="K425" s="124"/>
      <c r="L425" s="125"/>
      <c r="M425" s="181"/>
      <c r="N425" s="126"/>
      <c r="O425" s="127"/>
      <c r="P425" s="13">
        <f t="array" ref="P425">XLOOKUP(B425,Weight!B:B,Weight!D:D,"#N/A",0)</f>
        <v>90</v>
      </c>
      <c r="Q425" s="17" t="str">
        <f t="shared" si="6"/>
        <v/>
      </c>
      <c r="R425" s="107"/>
      <c r="S425" s="108">
        <v>560313.0</v>
      </c>
      <c r="T425" s="108">
        <v>12.0</v>
      </c>
      <c r="U425" s="109">
        <v>40.0</v>
      </c>
      <c r="V425" s="110"/>
      <c r="X425" s="111">
        <f>SUMIFS('Transit Shipment'!$B$10:$B$1048462,'Transit Shipment'!$A$10:$A$1048462,B425,'Transit Shipment'!$C$10:$C$1048462,AA425)</f>
        <v>0</v>
      </c>
      <c r="Y425" s="111">
        <f>IF(SUMIFS(DIH!$S$2:$S833,DIH!$D$2:$D833,B425,DIH!$U$2:$U833,AA425)&gt;0,SUMIFS(DIH!$S$2:$S833,DIH!$D$2:$D833,B425,DIH!$U$2:$U833,AA425),0)</f>
        <v>2</v>
      </c>
      <c r="Z425" s="112">
        <f t="shared" si="7"/>
        <v>2</v>
      </c>
      <c r="AA425" s="131" t="s">
        <v>16</v>
      </c>
      <c r="AB425" s="114">
        <f>IF(ISNA(VLOOKUP($B425,'Business Report'!$D$2:$J$202,2,0)),"",VLOOKUP($B425,'Business Report'!$D$2:$J$202,2,0))</f>
        <v>8</v>
      </c>
      <c r="AC425" s="115">
        <f>SUMIFS(AFS!$P$2:$P$6260,AFS!$N$2:$N$6260,B425,AFS!$AT$2:$AT$6260,AA425)</f>
        <v>0</v>
      </c>
      <c r="AD425" s="116">
        <f t="shared" si="8"/>
        <v>-2</v>
      </c>
      <c r="AE425" s="117"/>
      <c r="AF425" s="118" t="str">
        <f t="shared" si="9"/>
        <v/>
      </c>
      <c r="AG425" s="26"/>
      <c r="AH425" s="26"/>
      <c r="AI425" s="26"/>
    </row>
    <row r="426">
      <c r="A426" s="296" t="s">
        <v>6539</v>
      </c>
      <c r="B426" s="15" t="s">
        <v>86</v>
      </c>
      <c r="C426" s="133" t="s">
        <v>6716</v>
      </c>
      <c r="D426" s="134" t="s">
        <v>162</v>
      </c>
      <c r="E426" s="135" t="str">
        <f t="shared" si="2"/>
        <v/>
      </c>
      <c r="F426" s="135" t="str">
        <f t="shared" si="3"/>
        <v/>
      </c>
      <c r="G426" s="136" t="str">
        <f t="shared" si="77"/>
        <v/>
      </c>
      <c r="H426" s="137"/>
      <c r="I426" s="138"/>
      <c r="J426" s="139"/>
      <c r="K426" s="140"/>
      <c r="L426" s="135"/>
      <c r="M426" s="152"/>
      <c r="N426" s="142"/>
      <c r="O426" s="143"/>
      <c r="P426" s="144">
        <f t="array" ref="P426">XLOOKUP(B426,Weight!B:B,Weight!D:D,"#N/A",0)</f>
        <v>90</v>
      </c>
      <c r="Q426" s="145" t="str">
        <f t="shared" si="6"/>
        <v/>
      </c>
      <c r="R426" s="146"/>
      <c r="S426" s="147">
        <v>560313.0</v>
      </c>
      <c r="T426" s="147">
        <v>12.0</v>
      </c>
      <c r="U426" s="109">
        <v>40.0</v>
      </c>
      <c r="V426" s="148"/>
      <c r="W426" s="149"/>
      <c r="X426" s="150">
        <f>SUMIFS('Transit Shipment'!$B$10:$B$1048462,'Transit Shipment'!$A$10:$A$1048462,B426,'Transit Shipment'!$C$10:$C$1048462,AA426)</f>
        <v>0</v>
      </c>
      <c r="Y426" s="150">
        <f>IF(SUMIFS(DIH!$S$2:$S833,DIH!$D$2:$D833,B426,DIH!$U$2:$U833,AA426)&gt;0,SUMIFS(DIH!$S$2:$S833,DIH!$D$2:$D833,B426,DIH!$U$2:$U833,AA426),0)</f>
        <v>2</v>
      </c>
      <c r="Z426" s="151">
        <f t="shared" si="7"/>
        <v>2</v>
      </c>
      <c r="AA426" s="152" t="s">
        <v>17</v>
      </c>
      <c r="AB426" s="154">
        <f>IF(ISNA(VLOOKUP($B426,'Business Report'!$D$2:$J$202,2,0)),"",VLOOKUP($B426,'Business Report'!$D$2:$J$202,2,0))</f>
        <v>8</v>
      </c>
      <c r="AC426" s="155">
        <f>SUMIFS(AFS!$P$2:$P$6260,AFS!$N$2:$N$6260,B426,AFS!$AT$2:$AT$6260,AA426)</f>
        <v>0</v>
      </c>
      <c r="AD426" s="156">
        <f t="shared" si="8"/>
        <v>-2</v>
      </c>
      <c r="AE426" s="159">
        <f>SUM(AD418:AD426)</f>
        <v>-3</v>
      </c>
      <c r="AF426" s="118" t="str">
        <f t="shared" si="9"/>
        <v/>
      </c>
      <c r="AG426" s="26"/>
      <c r="AH426" s="26"/>
      <c r="AI426" s="26"/>
    </row>
    <row r="427">
      <c r="A427" s="293" t="s">
        <v>6331</v>
      </c>
      <c r="B427" s="1" t="s">
        <v>88</v>
      </c>
      <c r="C427" s="95" t="s">
        <v>6880</v>
      </c>
      <c r="D427" s="68" t="s">
        <v>162</v>
      </c>
      <c r="E427" s="69">
        <f t="shared" si="2"/>
        <v>1</v>
      </c>
      <c r="F427" s="69">
        <f t="shared" si="3"/>
        <v>0</v>
      </c>
      <c r="G427" s="70" t="str">
        <f t="shared" si="77"/>
        <v/>
      </c>
      <c r="H427" s="163"/>
      <c r="I427" s="101"/>
      <c r="J427" s="102"/>
      <c r="K427" s="167"/>
      <c r="L427" s="119"/>
      <c r="M427" s="169"/>
      <c r="N427" s="171"/>
      <c r="O427" s="106"/>
      <c r="P427" s="79">
        <f t="array" ref="P427">XLOOKUP(B427,Weight!B:B,Weight!D:D,"#N/A",0)</f>
        <v>90</v>
      </c>
      <c r="Q427" s="80" t="str">
        <f t="shared" si="6"/>
        <v/>
      </c>
      <c r="R427" s="107"/>
      <c r="S427" s="108">
        <v>560313.0</v>
      </c>
      <c r="T427" s="108">
        <v>12.0</v>
      </c>
      <c r="U427" s="83">
        <v>40.0</v>
      </c>
      <c r="V427" s="84" t="str">
        <f t="shared" ref="V427:W427" si="80">B427</f>
        <v>CRM-EP-L3110-NW-GREY</v>
      </c>
      <c r="W427" s="174" t="str">
        <f t="shared" si="80"/>
        <v>Crasome Dust &amp; Water Proof Printer Cover for Epson EcoTank L3150 / L3110 (Grey)
</v>
      </c>
      <c r="X427" s="86">
        <f>SUMIFS('Transit Shipment'!$B$10:$B$1048462,'Transit Shipment'!$A$10:$A$1048462,B427,'Transit Shipment'!$C$10:$C$1048462,AA427)</f>
        <v>0</v>
      </c>
      <c r="Y427" s="86">
        <f>IF(SUMIFS(DIH!$S$2:$S833,DIH!$D$2:$D833,B427,DIH!$U$2:$U833,AA427)&gt;0,SUMIFS(DIH!$S$2:$S833,DIH!$D$2:$D833,B427,DIH!$U$2:$U833,AA427),0)</f>
        <v>0</v>
      </c>
      <c r="Z427" s="87">
        <f t="shared" si="7"/>
        <v>0</v>
      </c>
      <c r="AA427" s="88" t="s">
        <v>5</v>
      </c>
      <c r="AB427" s="89">
        <f>IF(ISNA(VLOOKUP($B427,'Business Report'!$D$2:$J$202,2,0)),"",VLOOKUP($B427,'Business Report'!$D$2:$J$202,2,0))</f>
        <v>9</v>
      </c>
      <c r="AC427" s="90">
        <f>SUMIFS(AFS!$P$2:$P$6260,AFS!$N$2:$N$6260,B427,AFS!$AT$2:$AT$6260,AA427)</f>
        <v>0</v>
      </c>
      <c r="AD427" s="91">
        <f t="shared" si="8"/>
        <v>0</v>
      </c>
      <c r="AE427" s="92"/>
      <c r="AF427" s="93" t="str">
        <f t="shared" si="9"/>
        <v/>
      </c>
      <c r="AG427" s="26"/>
      <c r="AH427" s="26"/>
      <c r="AI427" s="26"/>
    </row>
    <row r="428">
      <c r="A428" s="120" t="s">
        <v>6331</v>
      </c>
      <c r="B428" s="3" t="s">
        <v>88</v>
      </c>
      <c r="C428" s="95" t="s">
        <v>6880</v>
      </c>
      <c r="D428" s="96" t="s">
        <v>162</v>
      </c>
      <c r="E428" s="97" t="str">
        <f t="shared" si="2"/>
        <v/>
      </c>
      <c r="F428" s="97" t="str">
        <f t="shared" si="3"/>
        <v/>
      </c>
      <c r="G428" s="99" t="str">
        <f t="shared" si="77"/>
        <v/>
      </c>
      <c r="H428" s="100"/>
      <c r="I428" s="101"/>
      <c r="J428" s="102"/>
      <c r="K428" s="103"/>
      <c r="L428" s="97"/>
      <c r="M428" s="169"/>
      <c r="N428" s="105"/>
      <c r="O428" s="106"/>
      <c r="P428" s="13">
        <f t="array" ref="P428">XLOOKUP(B428,Weight!B:B,Weight!D:D,"#N/A",0)</f>
        <v>90</v>
      </c>
      <c r="Q428" s="17" t="str">
        <f t="shared" si="6"/>
        <v/>
      </c>
      <c r="R428" s="107"/>
      <c r="S428" s="108">
        <v>560313.0</v>
      </c>
      <c r="T428" s="108">
        <v>12.0</v>
      </c>
      <c r="U428" s="109">
        <v>40.0</v>
      </c>
      <c r="V428" s="110"/>
      <c r="X428" s="111">
        <f>SUMIFS('Transit Shipment'!$B$10:$B$1048462,'Transit Shipment'!$A$10:$A$1048462,B428,'Transit Shipment'!$C$10:$C$1048462,AA428)</f>
        <v>0</v>
      </c>
      <c r="Y428" s="111">
        <f>IF(SUMIFS(DIH!$S$2:$S833,DIH!$D$2:$D833,B428,DIH!$U$2:$U833,AA428)&gt;0,SUMIFS(DIH!$S$2:$S833,DIH!$D$2:$D833,B428,DIH!$U$2:$U833,AA428),0)</f>
        <v>22</v>
      </c>
      <c r="Z428" s="112">
        <f t="shared" si="7"/>
        <v>22</v>
      </c>
      <c r="AA428" s="113" t="s">
        <v>11</v>
      </c>
      <c r="AB428" s="114">
        <f>IF(ISNA(VLOOKUP($B428,'Business Report'!$D$2:$J$202,2,0)),"",VLOOKUP($B428,'Business Report'!$D$2:$J$202,2,0))</f>
        <v>9</v>
      </c>
      <c r="AC428" s="115">
        <f>SUMIFS(AFS!$P$2:$P$6260,AFS!$N$2:$N$6260,B428,AFS!$AT$2:$AT$6260,AA428)</f>
        <v>3</v>
      </c>
      <c r="AD428" s="116">
        <f t="shared" si="8"/>
        <v>-18</v>
      </c>
      <c r="AE428" s="117"/>
      <c r="AF428" s="118" t="str">
        <f t="shared" si="9"/>
        <v/>
      </c>
      <c r="AG428" s="26"/>
      <c r="AH428" s="26"/>
      <c r="AI428" s="26"/>
    </row>
    <row r="429">
      <c r="A429" s="120" t="s">
        <v>6331</v>
      </c>
      <c r="B429" s="3" t="s">
        <v>88</v>
      </c>
      <c r="C429" s="95" t="s">
        <v>6880</v>
      </c>
      <c r="D429" s="96" t="s">
        <v>162</v>
      </c>
      <c r="E429" s="97">
        <f t="shared" si="2"/>
        <v>1</v>
      </c>
      <c r="F429" s="97">
        <f t="shared" si="3"/>
        <v>0</v>
      </c>
      <c r="G429" s="99" t="str">
        <f t="shared" si="77"/>
        <v/>
      </c>
      <c r="H429" s="100"/>
      <c r="I429" s="101"/>
      <c r="J429" s="102"/>
      <c r="K429" s="103"/>
      <c r="L429" s="97"/>
      <c r="M429" s="169"/>
      <c r="N429" s="105"/>
      <c r="O429" s="106"/>
      <c r="P429" s="13">
        <f t="array" ref="P429">XLOOKUP(B429,Weight!B:B,Weight!D:D,"#N/A",0)</f>
        <v>90</v>
      </c>
      <c r="Q429" s="17" t="str">
        <f t="shared" si="6"/>
        <v/>
      </c>
      <c r="R429" s="107"/>
      <c r="S429" s="108">
        <v>560313.0</v>
      </c>
      <c r="T429" s="108">
        <v>12.0</v>
      </c>
      <c r="U429" s="109">
        <v>40.0</v>
      </c>
      <c r="V429" s="110"/>
      <c r="X429" s="111">
        <f>SUMIFS('Transit Shipment'!$B$10:$B$1048462,'Transit Shipment'!$A$10:$A$1048462,B429,'Transit Shipment'!$C$10:$C$1048462,AA429)</f>
        <v>0</v>
      </c>
      <c r="Y429" s="111">
        <f>IF(SUMIFS(DIH!$S$2:$S833,DIH!$D$2:$D833,B429,DIH!$U$2:$U833,AA429)&gt;0,SUMIFS(DIH!$S$2:$S833,DIH!$D$2:$D833,B429,DIH!$U$2:$U833,AA429),0)</f>
        <v>0</v>
      </c>
      <c r="Z429" s="112">
        <f t="shared" si="7"/>
        <v>0</v>
      </c>
      <c r="AA429" s="119" t="s">
        <v>9</v>
      </c>
      <c r="AB429" s="114">
        <f>IF(ISNA(VLOOKUP($B429,'Business Report'!$D$2:$J$202,2,0)),"",VLOOKUP($B429,'Business Report'!$D$2:$J$202,2,0))</f>
        <v>9</v>
      </c>
      <c r="AC429" s="115">
        <f>SUMIFS(AFS!$P$2:$P$6260,AFS!$N$2:$N$6260,B429,AFS!$AT$2:$AT$6260,AA429)</f>
        <v>0</v>
      </c>
      <c r="AD429" s="116">
        <f t="shared" si="8"/>
        <v>0</v>
      </c>
      <c r="AE429" s="117"/>
      <c r="AF429" s="118" t="str">
        <f t="shared" si="9"/>
        <v/>
      </c>
      <c r="AG429" s="4"/>
      <c r="AH429" s="26"/>
      <c r="AI429" s="26"/>
    </row>
    <row r="430">
      <c r="A430" s="120" t="s">
        <v>6331</v>
      </c>
      <c r="B430" s="7" t="s">
        <v>88</v>
      </c>
      <c r="C430" s="95" t="s">
        <v>6880</v>
      </c>
      <c r="D430" s="109" t="s">
        <v>162</v>
      </c>
      <c r="E430" s="97">
        <f t="shared" si="2"/>
        <v>1</v>
      </c>
      <c r="F430" s="97">
        <f t="shared" si="3"/>
        <v>0</v>
      </c>
      <c r="G430" s="99" t="str">
        <f t="shared" si="77"/>
        <v/>
      </c>
      <c r="H430" s="121"/>
      <c r="I430" s="122"/>
      <c r="J430" s="123"/>
      <c r="K430" s="124"/>
      <c r="L430" s="125"/>
      <c r="M430" s="181"/>
      <c r="N430" s="126"/>
      <c r="O430" s="127"/>
      <c r="P430" s="13">
        <f t="array" ref="P430">XLOOKUP(B430,Weight!B:B,Weight!D:D,"#N/A",0)</f>
        <v>90</v>
      </c>
      <c r="Q430" s="17" t="str">
        <f t="shared" si="6"/>
        <v/>
      </c>
      <c r="R430" s="107"/>
      <c r="S430" s="108">
        <v>560313.0</v>
      </c>
      <c r="T430" s="108">
        <v>12.0</v>
      </c>
      <c r="U430" s="109">
        <v>40.0</v>
      </c>
      <c r="V430" s="110"/>
      <c r="X430" s="111">
        <f>SUMIFS('Transit Shipment'!$B$10:$B$1048462,'Transit Shipment'!$A$10:$A$1048462,B430,'Transit Shipment'!$C$10:$C$1048462,AA430)</f>
        <v>0</v>
      </c>
      <c r="Y430" s="111">
        <f>IF(SUMIFS(DIH!$S$2:$S833,DIH!$D$2:$D833,B430,DIH!$U$2:$U833,AA430)&gt;0,SUMIFS(DIH!$S$2:$S833,DIH!$D$2:$D833,B430,DIH!$U$2:$U833,AA430),0)</f>
        <v>0</v>
      </c>
      <c r="Z430" s="112">
        <f t="shared" si="7"/>
        <v>0</v>
      </c>
      <c r="AA430" s="119" t="s">
        <v>155</v>
      </c>
      <c r="AB430" s="114">
        <f>IF(ISNA(VLOOKUP($B430,'Business Report'!$D$2:$J$202,2,0)),"",VLOOKUP($B430,'Business Report'!$D$2:$J$202,2,0))</f>
        <v>9</v>
      </c>
      <c r="AC430" s="115">
        <f>SUMIFS(AFS!$P$2:$P$6260,AFS!$N$2:$N$6260,B430,AFS!$AT$2:$AT$6260,AA430)</f>
        <v>0</v>
      </c>
      <c r="AD430" s="116">
        <f t="shared" si="8"/>
        <v>0</v>
      </c>
      <c r="AE430" s="117"/>
      <c r="AF430" s="118" t="str">
        <f t="shared" si="9"/>
        <v/>
      </c>
      <c r="AG430" s="4"/>
      <c r="AH430" s="26"/>
      <c r="AI430" s="26"/>
    </row>
    <row r="431">
      <c r="A431" s="120" t="s">
        <v>6331</v>
      </c>
      <c r="B431" s="7" t="s">
        <v>88</v>
      </c>
      <c r="C431" s="95" t="s">
        <v>6880</v>
      </c>
      <c r="D431" s="109" t="s">
        <v>162</v>
      </c>
      <c r="E431" s="97" t="str">
        <f t="shared" si="2"/>
        <v/>
      </c>
      <c r="F431" s="97" t="str">
        <f t="shared" si="3"/>
        <v/>
      </c>
      <c r="G431" s="99" t="str">
        <f t="shared" si="77"/>
        <v/>
      </c>
      <c r="H431" s="121"/>
      <c r="I431" s="122"/>
      <c r="J431" s="123"/>
      <c r="K431" s="124"/>
      <c r="L431" s="125"/>
      <c r="M431" s="181"/>
      <c r="N431" s="126"/>
      <c r="O431" s="127"/>
      <c r="P431" s="13">
        <f t="array" ref="P431">XLOOKUP(B431,Weight!B:B,Weight!D:D,"#N/A",0)</f>
        <v>90</v>
      </c>
      <c r="Q431" s="17" t="str">
        <f t="shared" si="6"/>
        <v/>
      </c>
      <c r="R431" s="107"/>
      <c r="S431" s="108">
        <v>560313.0</v>
      </c>
      <c r="T431" s="108">
        <v>12.0</v>
      </c>
      <c r="U431" s="109">
        <v>40.0</v>
      </c>
      <c r="V431" s="110"/>
      <c r="X431" s="111">
        <f>SUMIFS('Transit Shipment'!$B$10:$B$1048462,'Transit Shipment'!$A$10:$A$1048462,B431,'Transit Shipment'!$C$10:$C$1048462,AA431)</f>
        <v>0</v>
      </c>
      <c r="Y431" s="111">
        <f>IF(SUMIFS(DIH!$S$2:$S833,DIH!$D$2:$D833,B431,DIH!$U$2:$U833,AA431)&gt;0,SUMIFS(DIH!$S$2:$S833,DIH!$D$2:$D833,B431,DIH!$U$2:$U833,AA431),0)</f>
        <v>2</v>
      </c>
      <c r="Z431" s="112">
        <f t="shared" si="7"/>
        <v>2</v>
      </c>
      <c r="AA431" s="119" t="s">
        <v>156</v>
      </c>
      <c r="AB431" s="114">
        <f>IF(ISNA(VLOOKUP($B431,'Business Report'!$D$2:$J$202,2,0)),"",VLOOKUP($B431,'Business Report'!$D$2:$J$202,2,0))</f>
        <v>9</v>
      </c>
      <c r="AC431" s="115">
        <f>SUMIFS(AFS!$P$2:$P$6260,AFS!$N$2:$N$6260,B431,AFS!$AT$2:$AT$6260,AA431)</f>
        <v>0</v>
      </c>
      <c r="AD431" s="116">
        <f t="shared" si="8"/>
        <v>-2</v>
      </c>
      <c r="AE431" s="117"/>
      <c r="AF431" s="118" t="str">
        <f t="shared" si="9"/>
        <v/>
      </c>
      <c r="AG431" s="4"/>
      <c r="AH431" s="26"/>
      <c r="AI431" s="26"/>
    </row>
    <row r="432">
      <c r="A432" s="120" t="s">
        <v>6331</v>
      </c>
      <c r="B432" s="7" t="s">
        <v>88</v>
      </c>
      <c r="C432" s="95" t="s">
        <v>6880</v>
      </c>
      <c r="D432" s="109" t="s">
        <v>162</v>
      </c>
      <c r="E432" s="97">
        <f t="shared" si="2"/>
        <v>1</v>
      </c>
      <c r="F432" s="97">
        <f t="shared" si="3"/>
        <v>0</v>
      </c>
      <c r="G432" s="99" t="str">
        <f t="shared" si="77"/>
        <v/>
      </c>
      <c r="H432" s="121"/>
      <c r="I432" s="122"/>
      <c r="J432" s="123"/>
      <c r="K432" s="124"/>
      <c r="L432" s="125"/>
      <c r="M432" s="181"/>
      <c r="N432" s="126"/>
      <c r="O432" s="127"/>
      <c r="P432" s="13">
        <f t="array" ref="P432">XLOOKUP(B432,Weight!B:B,Weight!D:D,"#N/A",0)</f>
        <v>90</v>
      </c>
      <c r="Q432" s="17" t="str">
        <f t="shared" si="6"/>
        <v/>
      </c>
      <c r="R432" s="107"/>
      <c r="S432" s="108">
        <v>560313.0</v>
      </c>
      <c r="T432" s="108">
        <v>12.0</v>
      </c>
      <c r="U432" s="109">
        <v>40.0</v>
      </c>
      <c r="V432" s="110"/>
      <c r="X432" s="111">
        <f>SUMIFS('Transit Shipment'!$B$10:$B$1048462,'Transit Shipment'!$A$10:$A$1048462,B432,'Transit Shipment'!$C$10:$C$1048462,AA432)</f>
        <v>0</v>
      </c>
      <c r="Y432" s="111">
        <f>IF(SUMIFS(DIH!$S$2:$S833,DIH!$D$2:$D833,B432,DIH!$U$2:$U833,AA432)&gt;0,SUMIFS(DIH!$S$2:$S833,DIH!$D$2:$D833,B432,DIH!$U$2:$U833,AA432),0)</f>
        <v>0</v>
      </c>
      <c r="Z432" s="112">
        <f t="shared" si="7"/>
        <v>0</v>
      </c>
      <c r="AA432" s="130" t="s">
        <v>13</v>
      </c>
      <c r="AB432" s="114">
        <f>IF(ISNA(VLOOKUP($B432,'Business Report'!$D$2:$J$202,2,0)),"",VLOOKUP($B432,'Business Report'!$D$2:$J$202,2,0))</f>
        <v>9</v>
      </c>
      <c r="AC432" s="115">
        <f>SUMIFS(AFS!$P$2:$P$6260,AFS!$N$2:$N$6260,B432,AFS!$AT$2:$AT$6260,AA432)</f>
        <v>0</v>
      </c>
      <c r="AD432" s="116">
        <f t="shared" si="8"/>
        <v>0</v>
      </c>
      <c r="AE432" s="117"/>
      <c r="AF432" s="118" t="str">
        <f t="shared" si="9"/>
        <v/>
      </c>
      <c r="AG432" s="26"/>
      <c r="AH432" s="26"/>
      <c r="AI432" s="26"/>
    </row>
    <row r="433">
      <c r="A433" s="120" t="s">
        <v>6331</v>
      </c>
      <c r="B433" s="7" t="s">
        <v>88</v>
      </c>
      <c r="C433" s="95" t="s">
        <v>6880</v>
      </c>
      <c r="D433" s="109" t="s">
        <v>162</v>
      </c>
      <c r="E433" s="97">
        <f t="shared" si="2"/>
        <v>1</v>
      </c>
      <c r="F433" s="97">
        <f t="shared" si="3"/>
        <v>0</v>
      </c>
      <c r="G433" s="99" t="str">
        <f t="shared" si="77"/>
        <v/>
      </c>
      <c r="H433" s="121"/>
      <c r="I433" s="122"/>
      <c r="J433" s="123"/>
      <c r="K433" s="124"/>
      <c r="L433" s="125"/>
      <c r="M433" s="181"/>
      <c r="N433" s="126"/>
      <c r="O433" s="127"/>
      <c r="P433" s="13">
        <f t="array" ref="P433">XLOOKUP(B433,Weight!B:B,Weight!D:D,"#N/A",0)</f>
        <v>90</v>
      </c>
      <c r="Q433" s="17" t="str">
        <f t="shared" si="6"/>
        <v/>
      </c>
      <c r="R433" s="107"/>
      <c r="S433" s="108">
        <v>560313.0</v>
      </c>
      <c r="T433" s="108">
        <v>12.0</v>
      </c>
      <c r="U433" s="109">
        <v>40.0</v>
      </c>
      <c r="V433" s="110"/>
      <c r="X433" s="111">
        <f>SUMIFS('Transit Shipment'!$B$10:$B$1048462,'Transit Shipment'!$A$10:$A$1048462,B433,'Transit Shipment'!$C$10:$C$1048462,AA433)</f>
        <v>0</v>
      </c>
      <c r="Y433" s="111">
        <f>IF(SUMIFS(DIH!$S$2:$S833,DIH!$D$2:$D833,B433,DIH!$U$2:$U833,AA433)&gt;0,SUMIFS(DIH!$S$2:$S833,DIH!$D$2:$D833,B433,DIH!$U$2:$U833,AA433),0)</f>
        <v>0</v>
      </c>
      <c r="Z433" s="112">
        <f t="shared" si="7"/>
        <v>0</v>
      </c>
      <c r="AA433" s="119" t="s">
        <v>14</v>
      </c>
      <c r="AB433" s="114">
        <f>IF(ISNA(VLOOKUP($B433,'Business Report'!$D$2:$J$202,2,0)),"",VLOOKUP($B433,'Business Report'!$D$2:$J$202,2,0))</f>
        <v>9</v>
      </c>
      <c r="AC433" s="115">
        <f>SUMIFS(AFS!$P$2:$P$6260,AFS!$N$2:$N$6260,B433,AFS!$AT$2:$AT$6260,AA433)</f>
        <v>0</v>
      </c>
      <c r="AD433" s="116">
        <f t="shared" si="8"/>
        <v>0</v>
      </c>
      <c r="AE433" s="117"/>
      <c r="AF433" s="118" t="str">
        <f t="shared" si="9"/>
        <v/>
      </c>
      <c r="AG433" s="26"/>
      <c r="AH433" s="26"/>
      <c r="AI433" s="26"/>
    </row>
    <row r="434">
      <c r="A434" s="120" t="s">
        <v>6331</v>
      </c>
      <c r="B434" s="7" t="s">
        <v>88</v>
      </c>
      <c r="C434" s="95" t="s">
        <v>6880</v>
      </c>
      <c r="D434" s="109" t="s">
        <v>162</v>
      </c>
      <c r="E434" s="97">
        <f t="shared" si="2"/>
        <v>1</v>
      </c>
      <c r="F434" s="97">
        <f t="shared" si="3"/>
        <v>0</v>
      </c>
      <c r="G434" s="99" t="str">
        <f t="shared" si="77"/>
        <v/>
      </c>
      <c r="H434" s="121"/>
      <c r="I434" s="122"/>
      <c r="J434" s="123"/>
      <c r="K434" s="124"/>
      <c r="L434" s="125"/>
      <c r="M434" s="181"/>
      <c r="N434" s="126"/>
      <c r="O434" s="127"/>
      <c r="P434" s="13">
        <f t="array" ref="P434">XLOOKUP(B434,Weight!B:B,Weight!D:D,"#N/A",0)</f>
        <v>90</v>
      </c>
      <c r="Q434" s="17" t="str">
        <f t="shared" si="6"/>
        <v/>
      </c>
      <c r="R434" s="107"/>
      <c r="S434" s="108">
        <v>560313.0</v>
      </c>
      <c r="T434" s="108">
        <v>12.0</v>
      </c>
      <c r="U434" s="109">
        <v>40.0</v>
      </c>
      <c r="V434" s="110"/>
      <c r="X434" s="111">
        <f>SUMIFS('Transit Shipment'!$B$10:$B$1048462,'Transit Shipment'!$A$10:$A$1048462,B434,'Transit Shipment'!$C$10:$C$1048462,AA434)</f>
        <v>0</v>
      </c>
      <c r="Y434" s="111">
        <f>IF(SUMIFS(DIH!$S$2:$S833,DIH!$D$2:$D833,B434,DIH!$U$2:$U833,AA434)&gt;0,SUMIFS(DIH!$S$2:$S833,DIH!$D$2:$D833,B434,DIH!$U$2:$U833,AA434),0)</f>
        <v>0</v>
      </c>
      <c r="Z434" s="112">
        <f t="shared" si="7"/>
        <v>0</v>
      </c>
      <c r="AA434" s="131" t="s">
        <v>16</v>
      </c>
      <c r="AB434" s="114">
        <f>IF(ISNA(VLOOKUP($B434,'Business Report'!$D$2:$J$202,2,0)),"",VLOOKUP($B434,'Business Report'!$D$2:$J$202,2,0))</f>
        <v>9</v>
      </c>
      <c r="AC434" s="115">
        <f>SUMIFS(AFS!$P$2:$P$6260,AFS!$N$2:$N$6260,B434,AFS!$AT$2:$AT$6260,AA434)</f>
        <v>0</v>
      </c>
      <c r="AD434" s="116">
        <f t="shared" si="8"/>
        <v>0</v>
      </c>
      <c r="AE434" s="117"/>
      <c r="AF434" s="118" t="str">
        <f t="shared" si="9"/>
        <v/>
      </c>
      <c r="AG434" s="26"/>
      <c r="AH434" s="26"/>
      <c r="AI434" s="26"/>
    </row>
    <row r="435">
      <c r="A435" s="296" t="s">
        <v>6331</v>
      </c>
      <c r="B435" s="15" t="s">
        <v>88</v>
      </c>
      <c r="C435" s="133" t="s">
        <v>6880</v>
      </c>
      <c r="D435" s="134" t="s">
        <v>162</v>
      </c>
      <c r="E435" s="135">
        <f t="shared" si="2"/>
        <v>1</v>
      </c>
      <c r="F435" s="135">
        <f t="shared" si="3"/>
        <v>0</v>
      </c>
      <c r="G435" s="136" t="str">
        <f t="shared" si="77"/>
        <v/>
      </c>
      <c r="H435" s="137"/>
      <c r="I435" s="138"/>
      <c r="J435" s="139"/>
      <c r="K435" s="140"/>
      <c r="L435" s="135"/>
      <c r="M435" s="152"/>
      <c r="N435" s="142"/>
      <c r="O435" s="143"/>
      <c r="P435" s="144">
        <f t="array" ref="P435">XLOOKUP(B435,Weight!B:B,Weight!D:D,"#N/A",0)</f>
        <v>90</v>
      </c>
      <c r="Q435" s="145" t="str">
        <f t="shared" si="6"/>
        <v/>
      </c>
      <c r="R435" s="146"/>
      <c r="S435" s="147">
        <v>560313.0</v>
      </c>
      <c r="T435" s="147">
        <v>12.0</v>
      </c>
      <c r="U435" s="109">
        <v>40.0</v>
      </c>
      <c r="V435" s="148"/>
      <c r="W435" s="149"/>
      <c r="X435" s="150">
        <f>SUMIFS('Transit Shipment'!$B$10:$B$1048462,'Transit Shipment'!$A$10:$A$1048462,B435,'Transit Shipment'!$C$10:$C$1048462,AA435)</f>
        <v>0</v>
      </c>
      <c r="Y435" s="150">
        <f>IF(SUMIFS(DIH!$S$2:$S833,DIH!$D$2:$D833,B435,DIH!$U$2:$U833,AA435)&gt;0,SUMIFS(DIH!$S$2:$S833,DIH!$D$2:$D833,B435,DIH!$U$2:$U833,AA435),0)</f>
        <v>0</v>
      </c>
      <c r="Z435" s="151">
        <f t="shared" si="7"/>
        <v>0</v>
      </c>
      <c r="AA435" s="152" t="s">
        <v>17</v>
      </c>
      <c r="AB435" s="154">
        <f>IF(ISNA(VLOOKUP($B435,'Business Report'!$D$2:$J$202,2,0)),"",VLOOKUP($B435,'Business Report'!$D$2:$J$202,2,0))</f>
        <v>9</v>
      </c>
      <c r="AC435" s="155">
        <f>SUMIFS(AFS!$P$2:$P$6260,AFS!$N$2:$N$6260,B435,AFS!$AT$2:$AT$6260,AA435)</f>
        <v>0</v>
      </c>
      <c r="AD435" s="156">
        <f t="shared" si="8"/>
        <v>0</v>
      </c>
      <c r="AE435" s="159">
        <f>SUM(AD427:AD435)</f>
        <v>-20</v>
      </c>
      <c r="AF435" s="118" t="str">
        <f t="shared" si="9"/>
        <v/>
      </c>
      <c r="AG435" s="26"/>
      <c r="AH435" s="26"/>
      <c r="AI435" s="26"/>
    </row>
    <row r="436">
      <c r="A436" s="120" t="s">
        <v>7027</v>
      </c>
      <c r="B436" s="7" t="s">
        <v>90</v>
      </c>
      <c r="C436" s="95" t="s">
        <v>7028</v>
      </c>
      <c r="D436" s="109" t="s">
        <v>162</v>
      </c>
      <c r="E436" s="69">
        <f t="shared" si="2"/>
        <v>3</v>
      </c>
      <c r="F436" s="69">
        <f t="shared" si="3"/>
        <v>0</v>
      </c>
      <c r="G436" s="70">
        <f t="shared" si="77"/>
        <v>6</v>
      </c>
      <c r="H436" s="121"/>
      <c r="I436" s="122"/>
      <c r="J436" s="123"/>
      <c r="K436" s="124"/>
      <c r="L436" s="125"/>
      <c r="M436" s="181"/>
      <c r="N436" s="126"/>
      <c r="O436" s="127"/>
      <c r="P436" s="79">
        <f t="array" ref="P436">XLOOKUP(B436,Weight!B:B,Weight!D:D,"#N/A",0)</f>
        <v>90</v>
      </c>
      <c r="Q436" s="80">
        <f t="shared" si="6"/>
        <v>540</v>
      </c>
      <c r="R436" s="107"/>
      <c r="S436" s="108">
        <v>560313.0</v>
      </c>
      <c r="T436" s="108">
        <v>12.0</v>
      </c>
      <c r="U436" s="83">
        <v>40.0</v>
      </c>
      <c r="V436" s="84" t="str">
        <f t="shared" ref="V436:W436" si="81">B436</f>
        <v>CRM-Canon-G3012-NW-Grey</v>
      </c>
      <c r="W436" s="174" t="str">
        <f t="shared" si="81"/>
        <v>Crasome Dust &amp; Water Proof Printer Cover for Canon Pixma G3012 / G3010 / G2012 (Grey)
</v>
      </c>
      <c r="X436" s="86">
        <f>SUMIFS('Transit Shipment'!$B$10:$B$1048462,'Transit Shipment'!$A$10:$A$1048462,B436,'Transit Shipment'!$C$10:$C$1048462,AA436)</f>
        <v>0</v>
      </c>
      <c r="Y436" s="86">
        <f>IF(SUMIFS(DIH!$S$2:$S833,DIH!$D$2:$D833,B436,DIH!$U$2:$U833,AA436)&gt;0,SUMIFS(DIH!$S$2:$S833,DIH!$D$2:$D833,B436,DIH!$U$2:$U833,AA436),0)</f>
        <v>1</v>
      </c>
      <c r="Z436" s="87">
        <f t="shared" si="7"/>
        <v>1</v>
      </c>
      <c r="AA436" s="88" t="s">
        <v>5</v>
      </c>
      <c r="AB436" s="89">
        <f>IF(ISNA(VLOOKUP($B436,'Business Report'!$D$2:$J$202,2,0)),"",VLOOKUP($B436,'Business Report'!$D$2:$J$202,2,0))</f>
        <v>50</v>
      </c>
      <c r="AC436" s="90">
        <f>SUMIFS(AFS!$P$2:$P$6260,AFS!$N$2:$N$6260,B436,AFS!$AT$2:$AT$6260,AA436)</f>
        <v>5</v>
      </c>
      <c r="AD436" s="91">
        <f t="shared" si="8"/>
        <v>6</v>
      </c>
      <c r="AE436" s="92"/>
      <c r="AF436" s="93">
        <f t="shared" si="9"/>
        <v>6</v>
      </c>
      <c r="AG436" s="26"/>
      <c r="AH436" s="26"/>
      <c r="AI436" s="26"/>
    </row>
    <row r="437">
      <c r="A437" s="120" t="s">
        <v>7027</v>
      </c>
      <c r="B437" s="7" t="s">
        <v>90</v>
      </c>
      <c r="C437" s="95" t="s">
        <v>7028</v>
      </c>
      <c r="D437" s="109" t="s">
        <v>162</v>
      </c>
      <c r="E437" s="97">
        <f t="shared" si="2"/>
        <v>7</v>
      </c>
      <c r="F437" s="97">
        <f t="shared" si="3"/>
        <v>0</v>
      </c>
      <c r="G437" s="99">
        <f t="shared" si="77"/>
        <v>14</v>
      </c>
      <c r="H437" s="121"/>
      <c r="I437" s="122"/>
      <c r="J437" s="123"/>
      <c r="K437" s="124"/>
      <c r="L437" s="125"/>
      <c r="M437" s="181"/>
      <c r="N437" s="126"/>
      <c r="O437" s="127"/>
      <c r="P437" s="13">
        <f t="array" ref="P437">XLOOKUP(B437,Weight!B:B,Weight!D:D,"#N/A",0)</f>
        <v>90</v>
      </c>
      <c r="Q437" s="17">
        <f t="shared" si="6"/>
        <v>1260</v>
      </c>
      <c r="R437" s="107"/>
      <c r="S437" s="108">
        <v>560313.0</v>
      </c>
      <c r="T437" s="108">
        <v>12.0</v>
      </c>
      <c r="U437" s="109">
        <v>40.0</v>
      </c>
      <c r="V437" s="110"/>
      <c r="X437" s="111">
        <f>SUMIFS('Transit Shipment'!$B$10:$B$1048462,'Transit Shipment'!$A$10:$A$1048462,B437,'Transit Shipment'!$C$10:$C$1048462,AA437)</f>
        <v>0</v>
      </c>
      <c r="Y437" s="111">
        <f>IF(SUMIFS(DIH!$S$2:$S833,DIH!$D$2:$D833,B437,DIH!$U$2:$U833,AA437)&gt;0,SUMIFS(DIH!$S$2:$S833,DIH!$D$2:$D833,B437,DIH!$U$2:$U833,AA437),0)</f>
        <v>5</v>
      </c>
      <c r="Z437" s="112">
        <f t="shared" si="7"/>
        <v>5</v>
      </c>
      <c r="AA437" s="113" t="s">
        <v>11</v>
      </c>
      <c r="AB437" s="114">
        <f>IF(ISNA(VLOOKUP($B437,'Business Report'!$D$2:$J$202,2,0)),"",VLOOKUP($B437,'Business Report'!$D$2:$J$202,2,0))</f>
        <v>50</v>
      </c>
      <c r="AC437" s="115">
        <f>SUMIFS(AFS!$P$2:$P$6260,AFS!$N$2:$N$6260,B437,AFS!$AT$2:$AT$6260,AA437)</f>
        <v>14</v>
      </c>
      <c r="AD437" s="116">
        <f t="shared" si="8"/>
        <v>14</v>
      </c>
      <c r="AE437" s="117"/>
      <c r="AF437" s="118">
        <f t="shared" si="9"/>
        <v>14</v>
      </c>
      <c r="AG437" s="26"/>
      <c r="AH437" s="26"/>
      <c r="AI437" s="26"/>
    </row>
    <row r="438">
      <c r="A438" s="120" t="s">
        <v>7027</v>
      </c>
      <c r="B438" s="7" t="s">
        <v>90</v>
      </c>
      <c r="C438" s="95" t="s">
        <v>7028</v>
      </c>
      <c r="D438" s="109" t="s">
        <v>162</v>
      </c>
      <c r="E438" s="97">
        <f t="shared" si="2"/>
        <v>8</v>
      </c>
      <c r="F438" s="97">
        <f t="shared" si="3"/>
        <v>0</v>
      </c>
      <c r="G438" s="99">
        <f t="shared" si="77"/>
        <v>16</v>
      </c>
      <c r="H438" s="121"/>
      <c r="I438" s="122"/>
      <c r="J438" s="123"/>
      <c r="K438" s="124"/>
      <c r="L438" s="125"/>
      <c r="M438" s="181"/>
      <c r="N438" s="126"/>
      <c r="O438" s="127"/>
      <c r="P438" s="13">
        <f t="array" ref="P438">XLOOKUP(B438,Weight!B:B,Weight!D:D,"#N/A",0)</f>
        <v>90</v>
      </c>
      <c r="Q438" s="17">
        <f t="shared" si="6"/>
        <v>1440</v>
      </c>
      <c r="R438" s="107"/>
      <c r="S438" s="108">
        <v>560313.0</v>
      </c>
      <c r="T438" s="108">
        <v>12.0</v>
      </c>
      <c r="U438" s="109">
        <v>40.0</v>
      </c>
      <c r="V438" s="110"/>
      <c r="X438" s="111">
        <f>SUMIFS('Transit Shipment'!$B$10:$B$1048462,'Transit Shipment'!$A$10:$A$1048462,B438,'Transit Shipment'!$C$10:$C$1048462,AA438)</f>
        <v>0</v>
      </c>
      <c r="Y438" s="111">
        <f>IF(SUMIFS(DIH!$S$2:$S833,DIH!$D$2:$D833,B438,DIH!$U$2:$U833,AA438)&gt;0,SUMIFS(DIH!$S$2:$S833,DIH!$D$2:$D833,B438,DIH!$U$2:$U833,AA438),0)</f>
        <v>4</v>
      </c>
      <c r="Z438" s="112">
        <f t="shared" si="7"/>
        <v>4</v>
      </c>
      <c r="AA438" s="119" t="s">
        <v>9</v>
      </c>
      <c r="AB438" s="114">
        <f>IF(ISNA(VLOOKUP($B438,'Business Report'!$D$2:$J$202,2,0)),"",VLOOKUP($B438,'Business Report'!$D$2:$J$202,2,0))</f>
        <v>50</v>
      </c>
      <c r="AC438" s="115">
        <f>SUMIFS(AFS!$P$2:$P$6260,AFS!$N$2:$N$6260,B438,AFS!$AT$2:$AT$6260,AA438)</f>
        <v>15</v>
      </c>
      <c r="AD438" s="116">
        <f t="shared" si="8"/>
        <v>16</v>
      </c>
      <c r="AE438" s="117"/>
      <c r="AF438" s="118">
        <f t="shared" si="9"/>
        <v>16</v>
      </c>
      <c r="AG438" s="4"/>
      <c r="AH438" s="26"/>
      <c r="AI438" s="26"/>
    </row>
    <row r="439">
      <c r="A439" s="120" t="s">
        <v>7027</v>
      </c>
      <c r="B439" s="7" t="s">
        <v>90</v>
      </c>
      <c r="C439" s="95" t="s">
        <v>7028</v>
      </c>
      <c r="D439" s="109" t="s">
        <v>162</v>
      </c>
      <c r="E439" s="97">
        <f t="shared" si="2"/>
        <v>6</v>
      </c>
      <c r="F439" s="97">
        <f t="shared" si="3"/>
        <v>0</v>
      </c>
      <c r="G439" s="99">
        <f t="shared" si="77"/>
        <v>12</v>
      </c>
      <c r="H439" s="121"/>
      <c r="I439" s="122"/>
      <c r="J439" s="123"/>
      <c r="K439" s="124"/>
      <c r="L439" s="125"/>
      <c r="M439" s="181"/>
      <c r="N439" s="126"/>
      <c r="O439" s="127"/>
      <c r="P439" s="13">
        <f t="array" ref="P439">XLOOKUP(B439,Weight!B:B,Weight!D:D,"#N/A",0)</f>
        <v>90</v>
      </c>
      <c r="Q439" s="17">
        <f t="shared" si="6"/>
        <v>1080</v>
      </c>
      <c r="R439" s="107"/>
      <c r="S439" s="108">
        <v>560313.0</v>
      </c>
      <c r="T439" s="108">
        <v>12.0</v>
      </c>
      <c r="U439" s="109">
        <v>40.0</v>
      </c>
      <c r="V439" s="110"/>
      <c r="X439" s="111">
        <f>SUMIFS('Transit Shipment'!$B$10:$B$1048462,'Transit Shipment'!$A$10:$A$1048462,B439,'Transit Shipment'!$C$10:$C$1048462,AA439)</f>
        <v>0</v>
      </c>
      <c r="Y439" s="111">
        <f>IF(SUMIFS(DIH!$S$2:$S833,DIH!$D$2:$D833,B439,DIH!$U$2:$U833,AA439)&gt;0,SUMIFS(DIH!$S$2:$S833,DIH!$D$2:$D833,B439,DIH!$U$2:$U833,AA439),0)</f>
        <v>2</v>
      </c>
      <c r="Z439" s="112">
        <f t="shared" si="7"/>
        <v>2</v>
      </c>
      <c r="AA439" s="119" t="s">
        <v>155</v>
      </c>
      <c r="AB439" s="114">
        <f>IF(ISNA(VLOOKUP($B439,'Business Report'!$D$2:$J$202,2,0)),"",VLOOKUP($B439,'Business Report'!$D$2:$J$202,2,0))</f>
        <v>50</v>
      </c>
      <c r="AC439" s="115">
        <f>SUMIFS(AFS!$P$2:$P$6260,AFS!$N$2:$N$6260,B439,AFS!$AT$2:$AT$6260,AA439)</f>
        <v>10</v>
      </c>
      <c r="AD439" s="116">
        <f t="shared" si="8"/>
        <v>12</v>
      </c>
      <c r="AE439" s="117"/>
      <c r="AF439" s="118">
        <f t="shared" si="9"/>
        <v>12</v>
      </c>
      <c r="AG439" s="4"/>
      <c r="AH439" s="26"/>
      <c r="AI439" s="26"/>
    </row>
    <row r="440">
      <c r="A440" s="120" t="s">
        <v>7027</v>
      </c>
      <c r="B440" s="7" t="s">
        <v>90</v>
      </c>
      <c r="C440" s="95" t="s">
        <v>7028</v>
      </c>
      <c r="D440" s="109" t="s">
        <v>162</v>
      </c>
      <c r="E440" s="97" t="str">
        <f t="shared" si="2"/>
        <v/>
      </c>
      <c r="F440" s="97" t="str">
        <f t="shared" si="3"/>
        <v/>
      </c>
      <c r="G440" s="99" t="str">
        <f t="shared" si="77"/>
        <v/>
      </c>
      <c r="H440" s="121"/>
      <c r="I440" s="122"/>
      <c r="J440" s="123"/>
      <c r="K440" s="124"/>
      <c r="L440" s="125"/>
      <c r="M440" s="181"/>
      <c r="N440" s="126"/>
      <c r="O440" s="127"/>
      <c r="P440" s="13">
        <f t="array" ref="P440">XLOOKUP(B440,Weight!B:B,Weight!D:D,"#N/A",0)</f>
        <v>90</v>
      </c>
      <c r="Q440" s="17" t="str">
        <f t="shared" si="6"/>
        <v/>
      </c>
      <c r="R440" s="107"/>
      <c r="S440" s="108">
        <v>560313.0</v>
      </c>
      <c r="T440" s="108">
        <v>12.0</v>
      </c>
      <c r="U440" s="109">
        <v>40.0</v>
      </c>
      <c r="V440" s="110"/>
      <c r="X440" s="111">
        <f>SUMIFS('Transit Shipment'!$B$10:$B$1048462,'Transit Shipment'!$A$10:$A$1048462,B440,'Transit Shipment'!$C$10:$C$1048462,AA440)</f>
        <v>0</v>
      </c>
      <c r="Y440" s="111">
        <f>IF(SUMIFS(DIH!$S$2:$S833,DIH!$D$2:$D833,B440,DIH!$U$2:$U833,AA440)&gt;0,SUMIFS(DIH!$S$2:$S833,DIH!$D$2:$D833,B440,DIH!$U$2:$U833,AA440),0)</f>
        <v>19</v>
      </c>
      <c r="Z440" s="112">
        <f t="shared" si="7"/>
        <v>19</v>
      </c>
      <c r="AA440" s="119" t="s">
        <v>156</v>
      </c>
      <c r="AB440" s="114">
        <f>IF(ISNA(VLOOKUP($B440,'Business Report'!$D$2:$J$202,2,0)),"",VLOOKUP($B440,'Business Report'!$D$2:$J$202,2,0))</f>
        <v>50</v>
      </c>
      <c r="AC440" s="115">
        <f>SUMIFS(AFS!$P$2:$P$6260,AFS!$N$2:$N$6260,B440,AFS!$AT$2:$AT$6260,AA440)</f>
        <v>10</v>
      </c>
      <c r="AD440" s="116">
        <f t="shared" si="8"/>
        <v>-5</v>
      </c>
      <c r="AE440" s="117"/>
      <c r="AF440" s="118" t="str">
        <f t="shared" si="9"/>
        <v/>
      </c>
      <c r="AG440" s="4"/>
      <c r="AH440" s="26"/>
      <c r="AI440" s="26"/>
    </row>
    <row r="441">
      <c r="A441" s="120" t="s">
        <v>7027</v>
      </c>
      <c r="B441" s="7" t="s">
        <v>90</v>
      </c>
      <c r="C441" s="95" t="s">
        <v>7028</v>
      </c>
      <c r="D441" s="109" t="s">
        <v>162</v>
      </c>
      <c r="E441" s="97">
        <f t="shared" si="2"/>
        <v>8</v>
      </c>
      <c r="F441" s="97">
        <f t="shared" si="3"/>
        <v>0.5</v>
      </c>
      <c r="G441" s="99">
        <f t="shared" si="77"/>
        <v>18</v>
      </c>
      <c r="H441" s="121"/>
      <c r="I441" s="122"/>
      <c r="J441" s="123"/>
      <c r="K441" s="124"/>
      <c r="L441" s="125"/>
      <c r="M441" s="181"/>
      <c r="N441" s="126"/>
      <c r="O441" s="127"/>
      <c r="P441" s="13">
        <f t="array" ref="P441">XLOOKUP(B441,Weight!B:B,Weight!D:D,"#N/A",0)</f>
        <v>90</v>
      </c>
      <c r="Q441" s="17">
        <f t="shared" si="6"/>
        <v>1620</v>
      </c>
      <c r="R441" s="107"/>
      <c r="S441" s="108">
        <v>560313.0</v>
      </c>
      <c r="T441" s="108">
        <v>12.0</v>
      </c>
      <c r="U441" s="109">
        <v>40.0</v>
      </c>
      <c r="V441" s="110"/>
      <c r="X441" s="111">
        <f>SUMIFS('Transit Shipment'!$B$10:$B$1048462,'Transit Shipment'!$A$10:$A$1048462,B441,'Transit Shipment'!$C$10:$C$1048462,AA441)</f>
        <v>0</v>
      </c>
      <c r="Y441" s="111">
        <f>IF(SUMIFS(DIH!$S$2:$S833,DIH!$D$2:$D833,B441,DIH!$U$2:$U833,AA441)&gt;0,SUMIFS(DIH!$S$2:$S833,DIH!$D$2:$D833,B441,DIH!$U$2:$U833,AA441),0)</f>
        <v>3</v>
      </c>
      <c r="Z441" s="112">
        <f t="shared" si="7"/>
        <v>3</v>
      </c>
      <c r="AA441" s="130" t="s">
        <v>13</v>
      </c>
      <c r="AB441" s="114">
        <f>IF(ISNA(VLOOKUP($B441,'Business Report'!$D$2:$J$202,2,0)),"",VLOOKUP($B441,'Business Report'!$D$2:$J$202,2,0))</f>
        <v>50</v>
      </c>
      <c r="AC441" s="115">
        <f>SUMIFS(AFS!$P$2:$P$6260,AFS!$N$2:$N$6260,B441,AFS!$AT$2:$AT$6260,AA441)</f>
        <v>15</v>
      </c>
      <c r="AD441" s="116">
        <f t="shared" si="8"/>
        <v>17</v>
      </c>
      <c r="AE441" s="117"/>
      <c r="AF441" s="118">
        <f t="shared" si="9"/>
        <v>18</v>
      </c>
      <c r="AG441" s="26"/>
      <c r="AH441" s="26"/>
      <c r="AI441" s="26"/>
    </row>
    <row r="442">
      <c r="A442" s="120" t="s">
        <v>7027</v>
      </c>
      <c r="B442" s="7" t="s">
        <v>90</v>
      </c>
      <c r="C442" s="95" t="s">
        <v>7028</v>
      </c>
      <c r="D442" s="109" t="s">
        <v>162</v>
      </c>
      <c r="E442" s="97">
        <f t="shared" si="2"/>
        <v>7</v>
      </c>
      <c r="F442" s="97">
        <f t="shared" si="3"/>
        <v>0.5</v>
      </c>
      <c r="G442" s="99">
        <f t="shared" si="77"/>
        <v>16</v>
      </c>
      <c r="H442" s="121"/>
      <c r="I442" s="122"/>
      <c r="J442" s="123"/>
      <c r="K442" s="124"/>
      <c r="L442" s="125"/>
      <c r="M442" s="181"/>
      <c r="N442" s="126"/>
      <c r="O442" s="127"/>
      <c r="P442" s="13">
        <f t="array" ref="P442">XLOOKUP(B442,Weight!B:B,Weight!D:D,"#N/A",0)</f>
        <v>90</v>
      </c>
      <c r="Q442" s="17">
        <f t="shared" si="6"/>
        <v>1440</v>
      </c>
      <c r="R442" s="107"/>
      <c r="S442" s="108">
        <v>560313.0</v>
      </c>
      <c r="T442" s="108">
        <v>12.0</v>
      </c>
      <c r="U442" s="109">
        <v>40.0</v>
      </c>
      <c r="V442" s="110"/>
      <c r="X442" s="111">
        <f>SUMIFS('Transit Shipment'!$B$10:$B$1048462,'Transit Shipment'!$A$10:$A$1048462,B442,'Transit Shipment'!$C$10:$C$1048462,AA442)</f>
        <v>0</v>
      </c>
      <c r="Y442" s="111">
        <f>IF(SUMIFS(DIH!$S$2:$S833,DIH!$D$2:$D833,B442,DIH!$U$2:$U833,AA442)&gt;0,SUMIFS(DIH!$S$2:$S833,DIH!$D$2:$D833,B442,DIH!$U$2:$U833,AA442),0)</f>
        <v>8</v>
      </c>
      <c r="Z442" s="112">
        <f t="shared" si="7"/>
        <v>8</v>
      </c>
      <c r="AA442" s="119" t="s">
        <v>14</v>
      </c>
      <c r="AB442" s="114">
        <f>IF(ISNA(VLOOKUP($B442,'Business Report'!$D$2:$J$202,2,0)),"",VLOOKUP($B442,'Business Report'!$D$2:$J$202,2,0))</f>
        <v>50</v>
      </c>
      <c r="AC442" s="115">
        <f>SUMIFS(AFS!$P$2:$P$6260,AFS!$N$2:$N$6260,B442,AFS!$AT$2:$AT$6260,AA442)</f>
        <v>17</v>
      </c>
      <c r="AD442" s="116">
        <f t="shared" si="8"/>
        <v>15</v>
      </c>
      <c r="AE442" s="117"/>
      <c r="AF442" s="118">
        <f t="shared" si="9"/>
        <v>16</v>
      </c>
      <c r="AG442" s="26"/>
      <c r="AH442" s="26"/>
      <c r="AI442" s="26"/>
    </row>
    <row r="443">
      <c r="A443" s="120" t="s">
        <v>7027</v>
      </c>
      <c r="B443" s="7" t="s">
        <v>90</v>
      </c>
      <c r="C443" s="95" t="s">
        <v>7028</v>
      </c>
      <c r="D443" s="109" t="s">
        <v>162</v>
      </c>
      <c r="E443" s="97">
        <f t="shared" si="2"/>
        <v>1</v>
      </c>
      <c r="F443" s="97">
        <f t="shared" si="3"/>
        <v>0.5</v>
      </c>
      <c r="G443" s="99">
        <f t="shared" si="77"/>
        <v>4</v>
      </c>
      <c r="H443" s="121"/>
      <c r="I443" s="122"/>
      <c r="J443" s="123"/>
      <c r="K443" s="124"/>
      <c r="L443" s="125"/>
      <c r="M443" s="181"/>
      <c r="N443" s="126"/>
      <c r="O443" s="127"/>
      <c r="P443" s="13">
        <f t="array" ref="P443">XLOOKUP(B443,Weight!B:B,Weight!D:D,"#N/A",0)</f>
        <v>90</v>
      </c>
      <c r="Q443" s="17">
        <f t="shared" si="6"/>
        <v>360</v>
      </c>
      <c r="R443" s="107"/>
      <c r="S443" s="108">
        <v>560313.0</v>
      </c>
      <c r="T443" s="108">
        <v>12.0</v>
      </c>
      <c r="U443" s="109">
        <v>40.0</v>
      </c>
      <c r="V443" s="110"/>
      <c r="X443" s="111">
        <f>SUMIFS('Transit Shipment'!$B$10:$B$1048462,'Transit Shipment'!$A$10:$A$1048462,B443,'Transit Shipment'!$C$10:$C$1048462,AA443)</f>
        <v>0</v>
      </c>
      <c r="Y443" s="111">
        <f>IF(SUMIFS(DIH!$S$2:$S833,DIH!$D$2:$D833,B443,DIH!$U$2:$U833,AA443)&gt;0,SUMIFS(DIH!$S$2:$S833,DIH!$D$2:$D833,B443,DIH!$U$2:$U833,AA443),0)</f>
        <v>9</v>
      </c>
      <c r="Z443" s="112">
        <f t="shared" si="7"/>
        <v>9</v>
      </c>
      <c r="AA443" s="131" t="s">
        <v>16</v>
      </c>
      <c r="AB443" s="114">
        <f>IF(ISNA(VLOOKUP($B443,'Business Report'!$D$2:$J$202,2,0)),"",VLOOKUP($B443,'Business Report'!$D$2:$J$202,2,0))</f>
        <v>50</v>
      </c>
      <c r="AC443" s="115">
        <f>SUMIFS(AFS!$P$2:$P$6260,AFS!$N$2:$N$6260,B443,AFS!$AT$2:$AT$6260,AA443)</f>
        <v>9</v>
      </c>
      <c r="AD443" s="116">
        <f t="shared" si="8"/>
        <v>3</v>
      </c>
      <c r="AE443" s="117"/>
      <c r="AF443" s="118">
        <f t="shared" si="9"/>
        <v>4</v>
      </c>
      <c r="AG443" s="26"/>
      <c r="AH443" s="26"/>
      <c r="AI443" s="26"/>
    </row>
    <row r="444">
      <c r="A444" s="296" t="s">
        <v>7027</v>
      </c>
      <c r="B444" s="128" t="s">
        <v>90</v>
      </c>
      <c r="C444" s="133" t="s">
        <v>7028</v>
      </c>
      <c r="D444" s="292" t="s">
        <v>162</v>
      </c>
      <c r="E444" s="135">
        <f t="shared" si="2"/>
        <v>1</v>
      </c>
      <c r="F444" s="135">
        <f t="shared" si="3"/>
        <v>0.5</v>
      </c>
      <c r="G444" s="136">
        <f t="shared" si="77"/>
        <v>4</v>
      </c>
      <c r="H444" s="137"/>
      <c r="I444" s="138"/>
      <c r="J444" s="139"/>
      <c r="K444" s="140"/>
      <c r="L444" s="135"/>
      <c r="M444" s="152"/>
      <c r="N444" s="142"/>
      <c r="O444" s="143"/>
      <c r="P444" s="144">
        <f t="array" ref="P444">XLOOKUP(B444,Weight!B:B,Weight!D:D,"#N/A",0)</f>
        <v>90</v>
      </c>
      <c r="Q444" s="145">
        <f t="shared" si="6"/>
        <v>360</v>
      </c>
      <c r="R444" s="146"/>
      <c r="S444" s="147">
        <v>560313.0</v>
      </c>
      <c r="T444" s="147">
        <v>12.0</v>
      </c>
      <c r="U444" s="109">
        <v>40.0</v>
      </c>
      <c r="V444" s="148"/>
      <c r="W444" s="149"/>
      <c r="X444" s="150">
        <f>SUMIFS('Transit Shipment'!$B$10:$B$1048462,'Transit Shipment'!$A$10:$A$1048462,B444,'Transit Shipment'!$C$10:$C$1048462,AA444)</f>
        <v>0</v>
      </c>
      <c r="Y444" s="150">
        <f>IF(SUMIFS(DIH!$S$2:$S833,DIH!$D$2:$D833,B444,DIH!$U$2:$U833,AA444)&gt;0,SUMIFS(DIH!$S$2:$S833,DIH!$D$2:$D833,B444,DIH!$U$2:$U833,AA444),0)</f>
        <v>5</v>
      </c>
      <c r="Z444" s="151">
        <f t="shared" si="7"/>
        <v>5</v>
      </c>
      <c r="AA444" s="152" t="s">
        <v>17</v>
      </c>
      <c r="AB444" s="154">
        <f>IF(ISNA(VLOOKUP($B444,'Business Report'!$D$2:$J$202,2,0)),"",VLOOKUP($B444,'Business Report'!$D$2:$J$202,2,0))</f>
        <v>50</v>
      </c>
      <c r="AC444" s="155">
        <f>SUMIFS(AFS!$P$2:$P$6260,AFS!$N$2:$N$6260,B444,AFS!$AT$2:$AT$6260,AA444)</f>
        <v>6</v>
      </c>
      <c r="AD444" s="156">
        <f t="shared" si="8"/>
        <v>3</v>
      </c>
      <c r="AE444" s="159">
        <f>SUM(AD436:AD444)</f>
        <v>81</v>
      </c>
      <c r="AF444" s="118">
        <f t="shared" si="9"/>
        <v>4</v>
      </c>
      <c r="AG444" s="26"/>
      <c r="AH444" s="26"/>
      <c r="AI444" s="26"/>
    </row>
    <row r="445">
      <c r="A445" s="120" t="s">
        <v>7148</v>
      </c>
      <c r="B445" s="7" t="s">
        <v>92</v>
      </c>
      <c r="C445" s="95" t="s">
        <v>7149</v>
      </c>
      <c r="D445" s="109" t="s">
        <v>162</v>
      </c>
      <c r="E445" s="69">
        <f t="shared" si="2"/>
        <v>7</v>
      </c>
      <c r="F445" s="69">
        <f t="shared" si="3"/>
        <v>0</v>
      </c>
      <c r="G445" s="70">
        <f t="shared" si="77"/>
        <v>14</v>
      </c>
      <c r="H445" s="297"/>
      <c r="I445" s="298"/>
      <c r="J445" s="299"/>
      <c r="K445" s="300"/>
      <c r="L445" s="301"/>
      <c r="M445" s="302"/>
      <c r="N445" s="303"/>
      <c r="O445" s="304"/>
      <c r="P445" s="79">
        <f t="array" ref="P445">XLOOKUP(B445,Weight!B:B,Weight!D:D,"#N/A",0)</f>
        <v>90</v>
      </c>
      <c r="Q445" s="80">
        <f t="shared" si="6"/>
        <v>1260</v>
      </c>
      <c r="R445" s="107"/>
      <c r="S445" s="108">
        <v>560313.0</v>
      </c>
      <c r="T445" s="108">
        <v>12.0</v>
      </c>
      <c r="U445" s="83">
        <v>40.0</v>
      </c>
      <c r="V445" s="84" t="str">
        <f t="shared" ref="V445:W445" si="82">B445</f>
        <v>CRM-Canon-G3012-NW-Black</v>
      </c>
      <c r="W445" s="174" t="str">
        <f t="shared" si="82"/>
        <v>Crasome Dust &amp; Water Proof Printer Cover for Canon Pixma G3012 / G3010 / G2012 (Black)
</v>
      </c>
      <c r="X445" s="86">
        <f>SUMIFS('Transit Shipment'!$B$10:$B$1048462,'Transit Shipment'!$A$10:$A$1048462,B445,'Transit Shipment'!$C$10:$C$1048462,AA445)</f>
        <v>0</v>
      </c>
      <c r="Y445" s="86">
        <f>IF(SUMIFS(DIH!$S$2:$S833,DIH!$D$2:$D833,B445,DIH!$U$2:$U833,AA445)&gt;0,SUMIFS(DIH!$S$2:$S833,DIH!$D$2:$D833,B445,DIH!$U$2:$U833,AA445),0)</f>
        <v>0</v>
      </c>
      <c r="Z445" s="87">
        <f t="shared" si="7"/>
        <v>0</v>
      </c>
      <c r="AA445" s="88" t="s">
        <v>5</v>
      </c>
      <c r="AB445" s="89">
        <f>IF(ISNA(VLOOKUP($B445,'Business Report'!$D$2:$J$202,2,0)),"",VLOOKUP($B445,'Business Report'!$D$2:$J$202,2,0))</f>
        <v>77</v>
      </c>
      <c r="AC445" s="90">
        <f>SUMIFS(AFS!$P$2:$P$6260,AFS!$N$2:$N$6260,B445,AFS!$AT$2:$AT$6260,AA445)</f>
        <v>10</v>
      </c>
      <c r="AD445" s="91">
        <f t="shared" si="8"/>
        <v>14</v>
      </c>
      <c r="AE445" s="92"/>
      <c r="AF445" s="93">
        <f t="shared" si="9"/>
        <v>14</v>
      </c>
      <c r="AG445" s="26"/>
      <c r="AH445" s="26"/>
      <c r="AI445" s="26"/>
    </row>
    <row r="446">
      <c r="A446" s="120" t="s">
        <v>7148</v>
      </c>
      <c r="B446" s="7" t="s">
        <v>92</v>
      </c>
      <c r="C446" s="95" t="s">
        <v>7149</v>
      </c>
      <c r="D446" s="109" t="s">
        <v>162</v>
      </c>
      <c r="E446" s="97">
        <f t="shared" si="2"/>
        <v>14</v>
      </c>
      <c r="F446" s="97">
        <f t="shared" si="3"/>
        <v>0.5</v>
      </c>
      <c r="G446" s="99">
        <f t="shared" si="77"/>
        <v>30</v>
      </c>
      <c r="H446" s="121"/>
      <c r="I446" s="122"/>
      <c r="J446" s="123"/>
      <c r="K446" s="124"/>
      <c r="L446" s="125"/>
      <c r="M446" s="181"/>
      <c r="N446" s="126"/>
      <c r="O446" s="127"/>
      <c r="P446" s="13">
        <f t="array" ref="P446">XLOOKUP(B446,Weight!B:B,Weight!D:D,"#N/A",0)</f>
        <v>90</v>
      </c>
      <c r="Q446" s="17">
        <f t="shared" si="6"/>
        <v>2700</v>
      </c>
      <c r="R446" s="107"/>
      <c r="S446" s="108">
        <v>560313.0</v>
      </c>
      <c r="T446" s="108">
        <v>12.0</v>
      </c>
      <c r="U446" s="109">
        <v>40.0</v>
      </c>
      <c r="V446" s="110"/>
      <c r="X446" s="111">
        <f>SUMIFS('Transit Shipment'!$B$10:$B$1048462,'Transit Shipment'!$A$10:$A$1048462,B446,'Transit Shipment'!$C$10:$C$1048462,AA446)</f>
        <v>0</v>
      </c>
      <c r="Y446" s="111">
        <f>IF(SUMIFS(DIH!$S$2:$S833,DIH!$D$2:$D833,B446,DIH!$U$2:$U833,AA446)&gt;0,SUMIFS(DIH!$S$2:$S833,DIH!$D$2:$D833,B446,DIH!$U$2:$U833,AA446),0)</f>
        <v>6</v>
      </c>
      <c r="Z446" s="112">
        <f t="shared" si="7"/>
        <v>6</v>
      </c>
      <c r="AA446" s="113" t="s">
        <v>11</v>
      </c>
      <c r="AB446" s="114">
        <f>IF(ISNA(VLOOKUP($B446,'Business Report'!$D$2:$J$202,2,0)),"",VLOOKUP($B446,'Business Report'!$D$2:$J$202,2,0))</f>
        <v>77</v>
      </c>
      <c r="AC446" s="115">
        <f>SUMIFS(AFS!$P$2:$P$6260,AFS!$N$2:$N$6260,B446,AFS!$AT$2:$AT$6260,AA446)</f>
        <v>26</v>
      </c>
      <c r="AD446" s="116">
        <f t="shared" si="8"/>
        <v>29</v>
      </c>
      <c r="AE446" s="117"/>
      <c r="AF446" s="118">
        <f t="shared" si="9"/>
        <v>30</v>
      </c>
      <c r="AG446" s="26"/>
      <c r="AH446" s="26"/>
      <c r="AI446" s="26"/>
    </row>
    <row r="447">
      <c r="A447" s="120" t="s">
        <v>7148</v>
      </c>
      <c r="B447" s="7" t="s">
        <v>92</v>
      </c>
      <c r="C447" s="95" t="s">
        <v>7149</v>
      </c>
      <c r="D447" s="109" t="s">
        <v>162</v>
      </c>
      <c r="E447" s="97">
        <f t="shared" si="2"/>
        <v>16</v>
      </c>
      <c r="F447" s="97">
        <f t="shared" si="3"/>
        <v>0.5</v>
      </c>
      <c r="G447" s="99">
        <f t="shared" si="77"/>
        <v>34</v>
      </c>
      <c r="H447" s="121"/>
      <c r="I447" s="122"/>
      <c r="J447" s="123"/>
      <c r="K447" s="124"/>
      <c r="L447" s="125"/>
      <c r="M447" s="181"/>
      <c r="N447" s="126"/>
      <c r="O447" s="127"/>
      <c r="P447" s="13">
        <f t="array" ref="P447">XLOOKUP(B447,Weight!B:B,Weight!D:D,"#N/A",0)</f>
        <v>90</v>
      </c>
      <c r="Q447" s="17">
        <f t="shared" si="6"/>
        <v>3060</v>
      </c>
      <c r="R447" s="107"/>
      <c r="S447" s="108">
        <v>560313.0</v>
      </c>
      <c r="T447" s="108">
        <v>12.0</v>
      </c>
      <c r="U447" s="109">
        <v>40.0</v>
      </c>
      <c r="V447" s="110"/>
      <c r="X447" s="111">
        <f>SUMIFS('Transit Shipment'!$B$10:$B$1048462,'Transit Shipment'!$A$10:$A$1048462,B447,'Transit Shipment'!$C$10:$C$1048462,AA447)</f>
        <v>0</v>
      </c>
      <c r="Y447" s="111">
        <f>IF(SUMIFS(DIH!$S$2:$S833,DIH!$D$2:$D833,B447,DIH!$U$2:$U833,AA447)&gt;0,SUMIFS(DIH!$S$2:$S833,DIH!$D$2:$D833,B447,DIH!$U$2:$U833,AA447),0)</f>
        <v>6</v>
      </c>
      <c r="Z447" s="112">
        <f t="shared" si="7"/>
        <v>6</v>
      </c>
      <c r="AA447" s="119" t="s">
        <v>9</v>
      </c>
      <c r="AB447" s="114">
        <f>IF(ISNA(VLOOKUP($B447,'Business Report'!$D$2:$J$202,2,0)),"",VLOOKUP($B447,'Business Report'!$D$2:$J$202,2,0))</f>
        <v>77</v>
      </c>
      <c r="AC447" s="115">
        <f>SUMIFS(AFS!$P$2:$P$6260,AFS!$N$2:$N$6260,B447,AFS!$AT$2:$AT$6260,AA447)</f>
        <v>29</v>
      </c>
      <c r="AD447" s="116">
        <f t="shared" si="8"/>
        <v>33</v>
      </c>
      <c r="AE447" s="117"/>
      <c r="AF447" s="118">
        <f t="shared" si="9"/>
        <v>34</v>
      </c>
      <c r="AG447" s="4"/>
      <c r="AH447" s="26"/>
      <c r="AI447" s="26"/>
    </row>
    <row r="448">
      <c r="A448" s="120" t="s">
        <v>7148</v>
      </c>
      <c r="B448" s="7" t="s">
        <v>92</v>
      </c>
      <c r="C448" s="95" t="s">
        <v>7149</v>
      </c>
      <c r="D448" s="109" t="s">
        <v>162</v>
      </c>
      <c r="E448" s="97">
        <f t="shared" si="2"/>
        <v>8</v>
      </c>
      <c r="F448" s="97">
        <f t="shared" si="3"/>
        <v>0</v>
      </c>
      <c r="G448" s="99">
        <f t="shared" si="77"/>
        <v>16</v>
      </c>
      <c r="H448" s="121"/>
      <c r="I448" s="122"/>
      <c r="J448" s="123"/>
      <c r="K448" s="124"/>
      <c r="L448" s="125"/>
      <c r="M448" s="181"/>
      <c r="N448" s="126"/>
      <c r="O448" s="127"/>
      <c r="P448" s="13">
        <f t="array" ref="P448">XLOOKUP(B448,Weight!B:B,Weight!D:D,"#N/A",0)</f>
        <v>90</v>
      </c>
      <c r="Q448" s="17">
        <f t="shared" si="6"/>
        <v>1440</v>
      </c>
      <c r="R448" s="107"/>
      <c r="S448" s="108">
        <v>560313.0</v>
      </c>
      <c r="T448" s="108">
        <v>12.0</v>
      </c>
      <c r="U448" s="109">
        <v>40.0</v>
      </c>
      <c r="V448" s="110"/>
      <c r="X448" s="111">
        <f>SUMIFS('Transit Shipment'!$B$10:$B$1048462,'Transit Shipment'!$A$10:$A$1048462,B448,'Transit Shipment'!$C$10:$C$1048462,AA448)</f>
        <v>0</v>
      </c>
      <c r="Y448" s="111">
        <f>IF(SUMIFS(DIH!$S$2:$S833,DIH!$D$2:$D833,B448,DIH!$U$2:$U833,AA448)&gt;0,SUMIFS(DIH!$S$2:$S833,DIH!$D$2:$D833,B448,DIH!$U$2:$U833,AA448),0)</f>
        <v>2</v>
      </c>
      <c r="Z448" s="112">
        <f t="shared" si="7"/>
        <v>2</v>
      </c>
      <c r="AA448" s="119" t="s">
        <v>155</v>
      </c>
      <c r="AB448" s="114">
        <f>IF(ISNA(VLOOKUP($B448,'Business Report'!$D$2:$J$202,2,0)),"",VLOOKUP($B448,'Business Report'!$D$2:$J$202,2,0))</f>
        <v>77</v>
      </c>
      <c r="AC448" s="115">
        <f>SUMIFS(AFS!$P$2:$P$6260,AFS!$N$2:$N$6260,B448,AFS!$AT$2:$AT$6260,AA448)</f>
        <v>13</v>
      </c>
      <c r="AD448" s="116">
        <f t="shared" si="8"/>
        <v>16</v>
      </c>
      <c r="AE448" s="117"/>
      <c r="AF448" s="118">
        <f t="shared" si="9"/>
        <v>16</v>
      </c>
      <c r="AG448" s="4"/>
      <c r="AH448" s="26"/>
      <c r="AI448" s="26"/>
    </row>
    <row r="449">
      <c r="A449" s="120" t="s">
        <v>7148</v>
      </c>
      <c r="B449" s="7" t="s">
        <v>92</v>
      </c>
      <c r="C449" s="95" t="s">
        <v>7149</v>
      </c>
      <c r="D449" s="109" t="s">
        <v>162</v>
      </c>
      <c r="E449" s="97">
        <f t="shared" si="2"/>
        <v>20</v>
      </c>
      <c r="F449" s="97">
        <f t="shared" si="3"/>
        <v>0</v>
      </c>
      <c r="G449" s="99">
        <f t="shared" si="77"/>
        <v>40</v>
      </c>
      <c r="H449" s="121"/>
      <c r="I449" s="122"/>
      <c r="J449" s="123"/>
      <c r="K449" s="124"/>
      <c r="L449" s="125"/>
      <c r="M449" s="181"/>
      <c r="N449" s="126"/>
      <c r="O449" s="127"/>
      <c r="P449" s="13">
        <f t="array" ref="P449">XLOOKUP(B449,Weight!B:B,Weight!D:D,"#N/A",0)</f>
        <v>90</v>
      </c>
      <c r="Q449" s="17">
        <f t="shared" si="6"/>
        <v>3600</v>
      </c>
      <c r="R449" s="107"/>
      <c r="S449" s="108">
        <v>560313.0</v>
      </c>
      <c r="T449" s="108">
        <v>12.0</v>
      </c>
      <c r="U449" s="109">
        <v>40.0</v>
      </c>
      <c r="V449" s="110"/>
      <c r="X449" s="111">
        <f>SUMIFS('Transit Shipment'!$B$10:$B$1048462,'Transit Shipment'!$A$10:$A$1048462,B449,'Transit Shipment'!$C$10:$C$1048462,AA449)</f>
        <v>0</v>
      </c>
      <c r="Y449" s="111">
        <f>IF(SUMIFS(DIH!$S$2:$S833,DIH!$D$2:$D833,B449,DIH!$U$2:$U833,AA449)&gt;0,SUMIFS(DIH!$S$2:$S833,DIH!$D$2:$D833,B449,DIH!$U$2:$U833,AA449),0)</f>
        <v>4</v>
      </c>
      <c r="Z449" s="112">
        <f t="shared" si="7"/>
        <v>4</v>
      </c>
      <c r="AA449" s="119" t="s">
        <v>156</v>
      </c>
      <c r="AB449" s="114">
        <f>IF(ISNA(VLOOKUP($B449,'Business Report'!$D$2:$J$202,2,0)),"",VLOOKUP($B449,'Business Report'!$D$2:$J$202,2,0))</f>
        <v>77</v>
      </c>
      <c r="AC449" s="115">
        <f>SUMIFS(AFS!$P$2:$P$6260,AFS!$N$2:$N$6260,B449,AFS!$AT$2:$AT$6260,AA449)</f>
        <v>33</v>
      </c>
      <c r="AD449" s="116">
        <f t="shared" si="8"/>
        <v>40</v>
      </c>
      <c r="AE449" s="117"/>
      <c r="AF449" s="118">
        <f t="shared" si="9"/>
        <v>40</v>
      </c>
      <c r="AG449" s="4"/>
      <c r="AH449" s="26"/>
      <c r="AI449" s="26"/>
    </row>
    <row r="450">
      <c r="A450" s="120" t="s">
        <v>7148</v>
      </c>
      <c r="B450" s="7" t="s">
        <v>92</v>
      </c>
      <c r="C450" s="95" t="s">
        <v>7149</v>
      </c>
      <c r="D450" s="109" t="s">
        <v>162</v>
      </c>
      <c r="E450" s="97">
        <f t="shared" si="2"/>
        <v>11</v>
      </c>
      <c r="F450" s="97">
        <f t="shared" si="3"/>
        <v>0.5</v>
      </c>
      <c r="G450" s="99">
        <f t="shared" si="77"/>
        <v>24</v>
      </c>
      <c r="H450" s="121"/>
      <c r="I450" s="122"/>
      <c r="J450" s="123"/>
      <c r="K450" s="124"/>
      <c r="L450" s="125"/>
      <c r="M450" s="181"/>
      <c r="N450" s="126"/>
      <c r="O450" s="127"/>
      <c r="P450" s="13">
        <f t="array" ref="P450">XLOOKUP(B450,Weight!B:B,Weight!D:D,"#N/A",0)</f>
        <v>90</v>
      </c>
      <c r="Q450" s="17">
        <f t="shared" si="6"/>
        <v>2160</v>
      </c>
      <c r="R450" s="107"/>
      <c r="S450" s="108">
        <v>560313.0</v>
      </c>
      <c r="T450" s="108">
        <v>12.0</v>
      </c>
      <c r="U450" s="109">
        <v>40.0</v>
      </c>
      <c r="V450" s="110"/>
      <c r="X450" s="111">
        <f>SUMIFS('Transit Shipment'!$B$10:$B$1048462,'Transit Shipment'!$A$10:$A$1048462,B450,'Transit Shipment'!$C$10:$C$1048462,AA450)</f>
        <v>0</v>
      </c>
      <c r="Y450" s="111">
        <f>IF(SUMIFS(DIH!$S$2:$S833,DIH!$D$2:$D833,B450,DIH!$U$2:$U833,AA450)&gt;0,SUMIFS(DIH!$S$2:$S833,DIH!$D$2:$D833,B450,DIH!$U$2:$U833,AA450),0)</f>
        <v>0</v>
      </c>
      <c r="Z450" s="112">
        <f t="shared" si="7"/>
        <v>0</v>
      </c>
      <c r="AA450" s="130" t="s">
        <v>13</v>
      </c>
      <c r="AB450" s="114">
        <f>IF(ISNA(VLOOKUP($B450,'Business Report'!$D$2:$J$202,2,0)),"",VLOOKUP($B450,'Business Report'!$D$2:$J$202,2,0))</f>
        <v>77</v>
      </c>
      <c r="AC450" s="115">
        <f>SUMIFS(AFS!$P$2:$P$6260,AFS!$N$2:$N$6260,B450,AFS!$AT$2:$AT$6260,AA450)</f>
        <v>17</v>
      </c>
      <c r="AD450" s="116">
        <f t="shared" si="8"/>
        <v>23</v>
      </c>
      <c r="AE450" s="117"/>
      <c r="AF450" s="118">
        <f t="shared" si="9"/>
        <v>24</v>
      </c>
      <c r="AG450" s="26"/>
      <c r="AH450" s="26"/>
      <c r="AI450" s="26"/>
    </row>
    <row r="451">
      <c r="A451" s="120" t="s">
        <v>7148</v>
      </c>
      <c r="B451" s="7" t="s">
        <v>92</v>
      </c>
      <c r="C451" s="95" t="s">
        <v>7149</v>
      </c>
      <c r="D451" s="109" t="s">
        <v>162</v>
      </c>
      <c r="E451" s="97">
        <f t="shared" si="2"/>
        <v>10</v>
      </c>
      <c r="F451" s="97">
        <f t="shared" si="3"/>
        <v>0</v>
      </c>
      <c r="G451" s="99">
        <f t="shared" si="77"/>
        <v>20</v>
      </c>
      <c r="H451" s="121"/>
      <c r="I451" s="122"/>
      <c r="J451" s="123"/>
      <c r="K451" s="124"/>
      <c r="L451" s="125"/>
      <c r="M451" s="181"/>
      <c r="N451" s="126"/>
      <c r="O451" s="127"/>
      <c r="P451" s="13">
        <f t="array" ref="P451">XLOOKUP(B451,Weight!B:B,Weight!D:D,"#N/A",0)</f>
        <v>90</v>
      </c>
      <c r="Q451" s="17">
        <f t="shared" si="6"/>
        <v>1800</v>
      </c>
      <c r="R451" s="107"/>
      <c r="S451" s="108">
        <v>560313.0</v>
      </c>
      <c r="T451" s="108">
        <v>12.0</v>
      </c>
      <c r="U451" s="109">
        <v>40.0</v>
      </c>
      <c r="V451" s="110"/>
      <c r="X451" s="111">
        <f>SUMIFS('Transit Shipment'!$B$10:$B$1048462,'Transit Shipment'!$A$10:$A$1048462,B451,'Transit Shipment'!$C$10:$C$1048462,AA451)</f>
        <v>0</v>
      </c>
      <c r="Y451" s="111">
        <f>IF(SUMIFS(DIH!$S$2:$S833,DIH!$D$2:$D833,B451,DIH!$U$2:$U833,AA451)&gt;0,SUMIFS(DIH!$S$2:$S833,DIH!$D$2:$D833,B451,DIH!$U$2:$U833,AA451),0)</f>
        <v>11</v>
      </c>
      <c r="Z451" s="112">
        <f t="shared" si="7"/>
        <v>11</v>
      </c>
      <c r="AA451" s="119" t="s">
        <v>14</v>
      </c>
      <c r="AB451" s="114">
        <f>IF(ISNA(VLOOKUP($B451,'Business Report'!$D$2:$J$202,2,0)),"",VLOOKUP($B451,'Business Report'!$D$2:$J$202,2,0))</f>
        <v>77</v>
      </c>
      <c r="AC451" s="115">
        <f>SUMIFS(AFS!$P$2:$P$6260,AFS!$N$2:$N$6260,B451,AFS!$AT$2:$AT$6260,AA451)</f>
        <v>23</v>
      </c>
      <c r="AD451" s="116">
        <f t="shared" si="8"/>
        <v>20</v>
      </c>
      <c r="AE451" s="117"/>
      <c r="AF451" s="118">
        <f t="shared" si="9"/>
        <v>20</v>
      </c>
      <c r="AG451" s="26"/>
      <c r="AH451" s="26"/>
      <c r="AI451" s="26"/>
    </row>
    <row r="452">
      <c r="A452" s="120" t="s">
        <v>7148</v>
      </c>
      <c r="B452" s="7" t="s">
        <v>92</v>
      </c>
      <c r="C452" s="95" t="s">
        <v>7149</v>
      </c>
      <c r="D452" s="109" t="s">
        <v>162</v>
      </c>
      <c r="E452" s="97">
        <f t="shared" si="2"/>
        <v>7</v>
      </c>
      <c r="F452" s="97">
        <f t="shared" si="3"/>
        <v>0.5</v>
      </c>
      <c r="G452" s="99">
        <f t="shared" si="77"/>
        <v>16</v>
      </c>
      <c r="H452" s="121"/>
      <c r="I452" s="122"/>
      <c r="J452" s="123"/>
      <c r="K452" s="124"/>
      <c r="L452" s="125"/>
      <c r="M452" s="181"/>
      <c r="N452" s="126"/>
      <c r="O452" s="127"/>
      <c r="P452" s="13">
        <f t="array" ref="P452">XLOOKUP(B452,Weight!B:B,Weight!D:D,"#N/A",0)</f>
        <v>90</v>
      </c>
      <c r="Q452" s="17">
        <f t="shared" si="6"/>
        <v>1440</v>
      </c>
      <c r="R452" s="107"/>
      <c r="S452" s="108">
        <v>560313.0</v>
      </c>
      <c r="T452" s="108">
        <v>12.0</v>
      </c>
      <c r="U452" s="109">
        <v>40.0</v>
      </c>
      <c r="V452" s="110"/>
      <c r="X452" s="111">
        <f>SUMIFS('Transit Shipment'!$B$10:$B$1048462,'Transit Shipment'!$A$10:$A$1048462,B452,'Transit Shipment'!$C$10:$C$1048462,AA452)</f>
        <v>0</v>
      </c>
      <c r="Y452" s="111">
        <f>IF(SUMIFS(DIH!$S$2:$S833,DIH!$D$2:$D833,B452,DIH!$U$2:$U833,AA452)&gt;0,SUMIFS(DIH!$S$2:$S833,DIH!$D$2:$D833,B452,DIH!$U$2:$U833,AA452),0)</f>
        <v>4</v>
      </c>
      <c r="Z452" s="112">
        <f t="shared" si="7"/>
        <v>4</v>
      </c>
      <c r="AA452" s="131" t="s">
        <v>16</v>
      </c>
      <c r="AB452" s="114">
        <f>IF(ISNA(VLOOKUP($B452,'Business Report'!$D$2:$J$202,2,0)),"",VLOOKUP($B452,'Business Report'!$D$2:$J$202,2,0))</f>
        <v>77</v>
      </c>
      <c r="AC452" s="115">
        <f>SUMIFS(AFS!$P$2:$P$6260,AFS!$N$2:$N$6260,B452,AFS!$AT$2:$AT$6260,AA452)</f>
        <v>14</v>
      </c>
      <c r="AD452" s="116">
        <f t="shared" si="8"/>
        <v>15</v>
      </c>
      <c r="AE452" s="117"/>
      <c r="AF452" s="118">
        <f t="shared" si="9"/>
        <v>16</v>
      </c>
      <c r="AG452" s="26"/>
      <c r="AH452" s="26"/>
      <c r="AI452" s="26"/>
    </row>
    <row r="453">
      <c r="A453" s="296" t="s">
        <v>7148</v>
      </c>
      <c r="B453" s="128" t="s">
        <v>92</v>
      </c>
      <c r="C453" s="133" t="s">
        <v>7149</v>
      </c>
      <c r="D453" s="292" t="s">
        <v>162</v>
      </c>
      <c r="E453" s="135">
        <f t="shared" si="2"/>
        <v>10</v>
      </c>
      <c r="F453" s="135">
        <f t="shared" si="3"/>
        <v>0</v>
      </c>
      <c r="G453" s="136">
        <f t="shared" si="77"/>
        <v>20</v>
      </c>
      <c r="H453" s="137"/>
      <c r="I453" s="138"/>
      <c r="J453" s="139"/>
      <c r="K453" s="140"/>
      <c r="L453" s="135"/>
      <c r="M453" s="152"/>
      <c r="N453" s="142"/>
      <c r="O453" s="143"/>
      <c r="P453" s="144">
        <f t="array" ref="P453">XLOOKUP(B453,Weight!B:B,Weight!D:D,"#N/A",0)</f>
        <v>90</v>
      </c>
      <c r="Q453" s="145">
        <f t="shared" si="6"/>
        <v>1800</v>
      </c>
      <c r="R453" s="146"/>
      <c r="S453" s="147">
        <v>560313.0</v>
      </c>
      <c r="T453" s="147">
        <v>12.0</v>
      </c>
      <c r="U453" s="109">
        <v>40.0</v>
      </c>
      <c r="V453" s="148"/>
      <c r="W453" s="149"/>
      <c r="X453" s="150">
        <f>SUMIFS('Transit Shipment'!$B$10:$B$1048462,'Transit Shipment'!$A$10:$A$1048462,B453,'Transit Shipment'!$C$10:$C$1048462,AA453)</f>
        <v>0</v>
      </c>
      <c r="Y453" s="150">
        <f>IF(SUMIFS(DIH!$S$2:$S833,DIH!$D$2:$D833,B453,DIH!$U$2:$U833,AA453)&gt;0,SUMIFS(DIH!$S$2:$S833,DIH!$D$2:$D833,B453,DIH!$U$2:$U833,AA453),0)</f>
        <v>4</v>
      </c>
      <c r="Z453" s="151">
        <f t="shared" si="7"/>
        <v>4</v>
      </c>
      <c r="AA453" s="152" t="s">
        <v>17</v>
      </c>
      <c r="AB453" s="154">
        <f>IF(ISNA(VLOOKUP($B453,'Business Report'!$D$2:$J$202,2,0)),"",VLOOKUP($B453,'Business Report'!$D$2:$J$202,2,0))</f>
        <v>77</v>
      </c>
      <c r="AC453" s="155">
        <f>SUMIFS(AFS!$P$2:$P$6260,AFS!$N$2:$N$6260,B453,AFS!$AT$2:$AT$6260,AA453)</f>
        <v>18</v>
      </c>
      <c r="AD453" s="156">
        <f t="shared" si="8"/>
        <v>20</v>
      </c>
      <c r="AE453" s="159">
        <f>SUM(AD445:AD453)</f>
        <v>210</v>
      </c>
      <c r="AF453" s="118">
        <f t="shared" si="9"/>
        <v>20</v>
      </c>
      <c r="AG453" s="26"/>
      <c r="AH453" s="26"/>
      <c r="AI453" s="26"/>
    </row>
    <row r="454">
      <c r="A454" s="66" t="s">
        <v>7260</v>
      </c>
      <c r="B454" s="1" t="s">
        <v>94</v>
      </c>
      <c r="C454" s="95" t="s">
        <v>7261</v>
      </c>
      <c r="D454" s="68" t="s">
        <v>162</v>
      </c>
      <c r="E454" s="69">
        <f t="shared" si="2"/>
        <v>1</v>
      </c>
      <c r="F454" s="69">
        <f t="shared" si="3"/>
        <v>0</v>
      </c>
      <c r="G454" s="70">
        <f t="shared" si="77"/>
        <v>2</v>
      </c>
      <c r="H454" s="163"/>
      <c r="I454" s="101"/>
      <c r="J454" s="102"/>
      <c r="K454" s="167"/>
      <c r="L454" s="119"/>
      <c r="M454" s="169"/>
      <c r="N454" s="171"/>
      <c r="O454" s="106"/>
      <c r="P454" s="79">
        <f t="array" ref="P454">XLOOKUP(B454,Weight!B:B,Weight!D:D,"#N/A",0)</f>
        <v>111</v>
      </c>
      <c r="Q454" s="80">
        <f t="shared" si="6"/>
        <v>222</v>
      </c>
      <c r="R454" s="107"/>
      <c r="S454" s="108">
        <v>560313.0</v>
      </c>
      <c r="T454" s="108">
        <v>12.0</v>
      </c>
      <c r="U454" s="83">
        <v>40.0</v>
      </c>
      <c r="V454" s="84" t="str">
        <f t="shared" ref="V454:W454" si="83">B454</f>
        <v>CRM-HP-M126-M136nw-Grey</v>
      </c>
      <c r="W454" s="174" t="str">
        <f t="shared" si="83"/>
        <v>Crasome Dust &amp; Water Proof Printer Cover for HP LaserJet MFP 126nw / 136a / 136w / 136nw (Grey)</v>
      </c>
      <c r="X454" s="86">
        <f>SUMIFS('Transit Shipment'!$B$10:$B$1048462,'Transit Shipment'!$A$10:$A$1048462,B454,'Transit Shipment'!$C$10:$C$1048462,AA454)</f>
        <v>0</v>
      </c>
      <c r="Y454" s="86">
        <f>IF(SUMIFS(DIH!$S$2:$S833,DIH!$D$2:$D833,B454,DIH!$U$2:$U833,AA454)&gt;0,SUMIFS(DIH!$S$2:$S833,DIH!$D$2:$D833,B454,DIH!$U$2:$U833,AA454),0)</f>
        <v>0</v>
      </c>
      <c r="Z454" s="87">
        <f t="shared" si="7"/>
        <v>0</v>
      </c>
      <c r="AA454" s="88" t="s">
        <v>5</v>
      </c>
      <c r="AB454" s="89">
        <f>IF(ISNA(VLOOKUP($B454,'Business Report'!$D$2:$J$202,2,0)),"",VLOOKUP($B454,'Business Report'!$D$2:$J$202,2,0))</f>
        <v>3</v>
      </c>
      <c r="AC454" s="90">
        <f>SUMIFS(AFS!$P$2:$P$6260,AFS!$N$2:$N$6260,B454,AFS!$AT$2:$AT$6260,AA454)</f>
        <v>1</v>
      </c>
      <c r="AD454" s="91">
        <f t="shared" si="8"/>
        <v>2</v>
      </c>
      <c r="AE454" s="92"/>
      <c r="AF454" s="93">
        <f t="shared" si="9"/>
        <v>2</v>
      </c>
      <c r="AG454" s="26"/>
      <c r="AH454" s="26"/>
      <c r="AI454" s="26"/>
    </row>
    <row r="455">
      <c r="A455" s="94" t="s">
        <v>7260</v>
      </c>
      <c r="B455" s="3" t="s">
        <v>94</v>
      </c>
      <c r="C455" s="95" t="s">
        <v>7261</v>
      </c>
      <c r="D455" s="96" t="s">
        <v>162</v>
      </c>
      <c r="E455" s="97">
        <f t="shared" si="2"/>
        <v>0</v>
      </c>
      <c r="F455" s="97">
        <f t="shared" si="3"/>
        <v>0.5</v>
      </c>
      <c r="G455" s="99">
        <f t="shared" si="77"/>
        <v>2</v>
      </c>
      <c r="H455" s="100"/>
      <c r="I455" s="101"/>
      <c r="J455" s="102"/>
      <c r="K455" s="103"/>
      <c r="L455" s="97"/>
      <c r="M455" s="169"/>
      <c r="N455" s="105"/>
      <c r="O455" s="106"/>
      <c r="P455" s="13">
        <f t="array" ref="P455">XLOOKUP(B455,Weight!B:B,Weight!D:D,"#N/A",0)</f>
        <v>111</v>
      </c>
      <c r="Q455" s="17">
        <f t="shared" si="6"/>
        <v>222</v>
      </c>
      <c r="R455" s="107"/>
      <c r="S455" s="108">
        <v>560313.0</v>
      </c>
      <c r="T455" s="108">
        <v>12.0</v>
      </c>
      <c r="U455" s="109">
        <v>40.0</v>
      </c>
      <c r="V455" s="110"/>
      <c r="X455" s="111">
        <f>SUMIFS('Transit Shipment'!$B$10:$B$1048462,'Transit Shipment'!$A$10:$A$1048462,B455,'Transit Shipment'!$C$10:$C$1048462,AA455)</f>
        <v>0</v>
      </c>
      <c r="Y455" s="111">
        <f>IF(SUMIFS(DIH!$S$2:$S833,DIH!$D$2:$D833,B455,DIH!$U$2:$U833,AA455)&gt;0,SUMIFS(DIH!$S$2:$S833,DIH!$D$2:$D833,B455,DIH!$U$2:$U833,AA455),0)</f>
        <v>1</v>
      </c>
      <c r="Z455" s="112">
        <f t="shared" si="7"/>
        <v>1</v>
      </c>
      <c r="AA455" s="113" t="s">
        <v>11</v>
      </c>
      <c r="AB455" s="114">
        <f>IF(ISNA(VLOOKUP($B455,'Business Report'!$D$2:$J$202,2,0)),"",VLOOKUP($B455,'Business Report'!$D$2:$J$202,2,0))</f>
        <v>3</v>
      </c>
      <c r="AC455" s="115">
        <f>SUMIFS(AFS!$P$2:$P$6260,AFS!$N$2:$N$6260,B455,AFS!$AT$2:$AT$6260,AA455)</f>
        <v>1</v>
      </c>
      <c r="AD455" s="116">
        <f t="shared" si="8"/>
        <v>1</v>
      </c>
      <c r="AE455" s="117"/>
      <c r="AF455" s="118">
        <f t="shared" si="9"/>
        <v>2</v>
      </c>
      <c r="AG455" s="26"/>
      <c r="AH455" s="26"/>
      <c r="AI455" s="26"/>
    </row>
    <row r="456">
      <c r="A456" s="94" t="s">
        <v>7260</v>
      </c>
      <c r="B456" s="3" t="s">
        <v>94</v>
      </c>
      <c r="C456" s="95" t="s">
        <v>7261</v>
      </c>
      <c r="D456" s="96" t="s">
        <v>162</v>
      </c>
      <c r="E456" s="97" t="str">
        <f t="shared" si="2"/>
        <v/>
      </c>
      <c r="F456" s="97" t="str">
        <f t="shared" si="3"/>
        <v/>
      </c>
      <c r="G456" s="99" t="str">
        <f t="shared" si="77"/>
        <v/>
      </c>
      <c r="H456" s="100"/>
      <c r="I456" s="101"/>
      <c r="J456" s="102"/>
      <c r="K456" s="103"/>
      <c r="L456" s="97"/>
      <c r="M456" s="169"/>
      <c r="N456" s="105"/>
      <c r="O456" s="106"/>
      <c r="P456" s="13">
        <f t="array" ref="P456">XLOOKUP(B456,Weight!B:B,Weight!D:D,"#N/A",0)</f>
        <v>111</v>
      </c>
      <c r="Q456" s="17" t="str">
        <f t="shared" si="6"/>
        <v/>
      </c>
      <c r="R456" s="107"/>
      <c r="S456" s="108">
        <v>560313.0</v>
      </c>
      <c r="T456" s="108">
        <v>12.0</v>
      </c>
      <c r="U456" s="109">
        <v>40.0</v>
      </c>
      <c r="V456" s="110"/>
      <c r="X456" s="111">
        <f>SUMIFS('Transit Shipment'!$B$10:$B$1048462,'Transit Shipment'!$A$10:$A$1048462,B456,'Transit Shipment'!$C$10:$C$1048462,AA456)</f>
        <v>0</v>
      </c>
      <c r="Y456" s="111">
        <f>IF(SUMIFS(DIH!$S$2:$S833,DIH!$D$2:$D833,B456,DIH!$U$2:$U833,AA456)&gt;0,SUMIFS(DIH!$S$2:$S833,DIH!$D$2:$D833,B456,DIH!$U$2:$U833,AA456),0)</f>
        <v>1</v>
      </c>
      <c r="Z456" s="112">
        <f t="shared" si="7"/>
        <v>1</v>
      </c>
      <c r="AA456" s="119" t="s">
        <v>9</v>
      </c>
      <c r="AB456" s="114">
        <f>IF(ISNA(VLOOKUP($B456,'Business Report'!$D$2:$J$202,2,0)),"",VLOOKUP($B456,'Business Report'!$D$2:$J$202,2,0))</f>
        <v>3</v>
      </c>
      <c r="AC456" s="115">
        <f>SUMIFS(AFS!$P$2:$P$6260,AFS!$N$2:$N$6260,B456,AFS!$AT$2:$AT$6260,AA456)</f>
        <v>0</v>
      </c>
      <c r="AD456" s="116">
        <f t="shared" si="8"/>
        <v>-1</v>
      </c>
      <c r="AE456" s="117"/>
      <c r="AF456" s="118" t="str">
        <f t="shared" si="9"/>
        <v/>
      </c>
      <c r="AG456" s="26"/>
      <c r="AH456" s="26"/>
      <c r="AI456" s="26"/>
    </row>
    <row r="457">
      <c r="A457" s="120" t="s">
        <v>7260</v>
      </c>
      <c r="B457" s="7" t="s">
        <v>94</v>
      </c>
      <c r="C457" s="95" t="s">
        <v>7261</v>
      </c>
      <c r="D457" s="109" t="s">
        <v>162</v>
      </c>
      <c r="E457" s="97">
        <f t="shared" si="2"/>
        <v>1</v>
      </c>
      <c r="F457" s="97">
        <f t="shared" si="3"/>
        <v>0</v>
      </c>
      <c r="G457" s="99">
        <f t="shared" si="77"/>
        <v>2</v>
      </c>
      <c r="H457" s="121"/>
      <c r="I457" s="122"/>
      <c r="J457" s="123"/>
      <c r="K457" s="124"/>
      <c r="L457" s="125"/>
      <c r="M457" s="181"/>
      <c r="N457" s="126"/>
      <c r="O457" s="127"/>
      <c r="P457" s="13">
        <f t="array" ref="P457">XLOOKUP(B457,Weight!B:B,Weight!D:D,"#N/A",0)</f>
        <v>111</v>
      </c>
      <c r="Q457" s="17">
        <f t="shared" si="6"/>
        <v>222</v>
      </c>
      <c r="R457" s="107"/>
      <c r="S457" s="108">
        <v>560313.0</v>
      </c>
      <c r="T457" s="108">
        <v>12.0</v>
      </c>
      <c r="U457" s="109">
        <v>40.0</v>
      </c>
      <c r="V457" s="110"/>
      <c r="X457" s="111">
        <f>SUMIFS('Transit Shipment'!$B$10:$B$1048462,'Transit Shipment'!$A$10:$A$1048462,B457,'Transit Shipment'!$C$10:$C$1048462,AA457)</f>
        <v>0</v>
      </c>
      <c r="Y457" s="111">
        <f>IF(SUMIFS(DIH!$S$2:$S833,DIH!$D$2:$D833,B457,DIH!$U$2:$U833,AA457)&gt;0,SUMIFS(DIH!$S$2:$S833,DIH!$D$2:$D833,B457,DIH!$U$2:$U833,AA457),0)</f>
        <v>1</v>
      </c>
      <c r="Z457" s="112">
        <f t="shared" si="7"/>
        <v>1</v>
      </c>
      <c r="AA457" s="119" t="s">
        <v>155</v>
      </c>
      <c r="AB457" s="114">
        <f>IF(ISNA(VLOOKUP($B457,'Business Report'!$D$2:$J$202,2,0)),"",VLOOKUP($B457,'Business Report'!$D$2:$J$202,2,0))</f>
        <v>3</v>
      </c>
      <c r="AC457" s="115">
        <f>SUMIFS(AFS!$P$2:$P$6260,AFS!$N$2:$N$6260,B457,AFS!$AT$2:$AT$6260,AA457)</f>
        <v>2</v>
      </c>
      <c r="AD457" s="116">
        <f t="shared" si="8"/>
        <v>2</v>
      </c>
      <c r="AE457" s="117"/>
      <c r="AF457" s="118">
        <f t="shared" si="9"/>
        <v>2</v>
      </c>
      <c r="AG457" s="26"/>
      <c r="AH457" s="26"/>
      <c r="AI457" s="26"/>
    </row>
    <row r="458">
      <c r="A458" s="120" t="s">
        <v>7260</v>
      </c>
      <c r="B458" s="7" t="s">
        <v>94</v>
      </c>
      <c r="C458" s="95" t="s">
        <v>7261</v>
      </c>
      <c r="D458" s="109" t="s">
        <v>162</v>
      </c>
      <c r="E458" s="97">
        <f t="shared" si="2"/>
        <v>1</v>
      </c>
      <c r="F458" s="97">
        <f t="shared" si="3"/>
        <v>0</v>
      </c>
      <c r="G458" s="99">
        <f t="shared" si="77"/>
        <v>2</v>
      </c>
      <c r="H458" s="121"/>
      <c r="I458" s="122"/>
      <c r="J458" s="123"/>
      <c r="K458" s="124"/>
      <c r="L458" s="125"/>
      <c r="M458" s="181"/>
      <c r="N458" s="126"/>
      <c r="O458" s="127"/>
      <c r="P458" s="13">
        <f t="array" ref="P458">XLOOKUP(B458,Weight!B:B,Weight!D:D,"#N/A",0)</f>
        <v>111</v>
      </c>
      <c r="Q458" s="17">
        <f t="shared" si="6"/>
        <v>222</v>
      </c>
      <c r="R458" s="107"/>
      <c r="S458" s="108">
        <v>560313.0</v>
      </c>
      <c r="T458" s="108">
        <v>12.0</v>
      </c>
      <c r="U458" s="109">
        <v>40.0</v>
      </c>
      <c r="V458" s="110"/>
      <c r="X458" s="111">
        <f>SUMIFS('Transit Shipment'!$B$10:$B$1048462,'Transit Shipment'!$A$10:$A$1048462,B458,'Transit Shipment'!$C$10:$C$1048462,AA458)</f>
        <v>0</v>
      </c>
      <c r="Y458" s="111">
        <f>IF(SUMIFS(DIH!$S$2:$S833,DIH!$D$2:$D833,B458,DIH!$U$2:$U833,AA458)&gt;0,SUMIFS(DIH!$S$2:$S833,DIH!$D$2:$D833,B458,DIH!$U$2:$U833,AA458),0)</f>
        <v>0</v>
      </c>
      <c r="Z458" s="112">
        <f t="shared" si="7"/>
        <v>0</v>
      </c>
      <c r="AA458" s="119" t="s">
        <v>156</v>
      </c>
      <c r="AB458" s="114">
        <f>IF(ISNA(VLOOKUP($B458,'Business Report'!$D$2:$J$202,2,0)),"",VLOOKUP($B458,'Business Report'!$D$2:$J$202,2,0))</f>
        <v>3</v>
      </c>
      <c r="AC458" s="115">
        <f>SUMIFS(AFS!$P$2:$P$6260,AFS!$N$2:$N$6260,B458,AFS!$AT$2:$AT$6260,AA458)</f>
        <v>1</v>
      </c>
      <c r="AD458" s="116">
        <f t="shared" si="8"/>
        <v>2</v>
      </c>
      <c r="AE458" s="117"/>
      <c r="AF458" s="118">
        <f t="shared" si="9"/>
        <v>2</v>
      </c>
      <c r="AG458" s="26"/>
      <c r="AH458" s="26"/>
      <c r="AI458" s="26"/>
    </row>
    <row r="459">
      <c r="A459" s="120" t="s">
        <v>7260</v>
      </c>
      <c r="B459" s="7" t="s">
        <v>94</v>
      </c>
      <c r="C459" s="95" t="s">
        <v>7261</v>
      </c>
      <c r="D459" s="109" t="s">
        <v>162</v>
      </c>
      <c r="E459" s="97" t="str">
        <f t="shared" si="2"/>
        <v/>
      </c>
      <c r="F459" s="97" t="str">
        <f t="shared" si="3"/>
        <v/>
      </c>
      <c r="G459" s="99" t="str">
        <f t="shared" si="77"/>
        <v/>
      </c>
      <c r="H459" s="121"/>
      <c r="I459" s="122"/>
      <c r="J459" s="123"/>
      <c r="K459" s="124"/>
      <c r="L459" s="125"/>
      <c r="M459" s="181"/>
      <c r="N459" s="126"/>
      <c r="O459" s="127"/>
      <c r="P459" s="13">
        <f t="array" ref="P459">XLOOKUP(B459,Weight!B:B,Weight!D:D,"#N/A",0)</f>
        <v>111</v>
      </c>
      <c r="Q459" s="17" t="str">
        <f t="shared" si="6"/>
        <v/>
      </c>
      <c r="R459" s="107"/>
      <c r="S459" s="108">
        <v>560313.0</v>
      </c>
      <c r="T459" s="108">
        <v>12.0</v>
      </c>
      <c r="U459" s="109">
        <v>40.0</v>
      </c>
      <c r="V459" s="110"/>
      <c r="X459" s="111">
        <f>SUMIFS('Transit Shipment'!$B$10:$B$1048462,'Transit Shipment'!$A$10:$A$1048462,B459,'Transit Shipment'!$C$10:$C$1048462,AA459)</f>
        <v>0</v>
      </c>
      <c r="Y459" s="111">
        <f>IF(SUMIFS(DIH!$S$2:$S833,DIH!$D$2:$D833,B459,DIH!$U$2:$U833,AA459)&gt;0,SUMIFS(DIH!$S$2:$S833,DIH!$D$2:$D833,B459,DIH!$U$2:$U833,AA459),0)</f>
        <v>1</v>
      </c>
      <c r="Z459" s="112">
        <f t="shared" si="7"/>
        <v>1</v>
      </c>
      <c r="AA459" s="130" t="s">
        <v>13</v>
      </c>
      <c r="AB459" s="114">
        <f>IF(ISNA(VLOOKUP($B459,'Business Report'!$D$2:$J$202,2,0)),"",VLOOKUP($B459,'Business Report'!$D$2:$J$202,2,0))</f>
        <v>3</v>
      </c>
      <c r="AC459" s="115">
        <f>SUMIFS(AFS!$P$2:$P$6260,AFS!$N$2:$N$6260,B459,AFS!$AT$2:$AT$6260,AA459)</f>
        <v>0</v>
      </c>
      <c r="AD459" s="116">
        <f t="shared" si="8"/>
        <v>-1</v>
      </c>
      <c r="AE459" s="117"/>
      <c r="AF459" s="118" t="str">
        <f t="shared" si="9"/>
        <v/>
      </c>
      <c r="AG459" s="26"/>
      <c r="AH459" s="26"/>
      <c r="AI459" s="26"/>
    </row>
    <row r="460">
      <c r="A460" s="120" t="s">
        <v>7260</v>
      </c>
      <c r="B460" s="7" t="s">
        <v>94</v>
      </c>
      <c r="C460" s="95" t="s">
        <v>7261</v>
      </c>
      <c r="D460" s="109" t="s">
        <v>162</v>
      </c>
      <c r="E460" s="97">
        <f t="shared" si="2"/>
        <v>1</v>
      </c>
      <c r="F460" s="97">
        <f t="shared" si="3"/>
        <v>0.5</v>
      </c>
      <c r="G460" s="99">
        <f t="shared" si="77"/>
        <v>4</v>
      </c>
      <c r="H460" s="121"/>
      <c r="I460" s="122"/>
      <c r="J460" s="123"/>
      <c r="K460" s="124"/>
      <c r="L460" s="125"/>
      <c r="M460" s="181"/>
      <c r="N460" s="126"/>
      <c r="O460" s="127"/>
      <c r="P460" s="13">
        <f t="array" ref="P460">XLOOKUP(B460,Weight!B:B,Weight!D:D,"#N/A",0)</f>
        <v>111</v>
      </c>
      <c r="Q460" s="17">
        <f t="shared" si="6"/>
        <v>444</v>
      </c>
      <c r="R460" s="107"/>
      <c r="S460" s="108">
        <v>560313.0</v>
      </c>
      <c r="T460" s="108">
        <v>12.0</v>
      </c>
      <c r="U460" s="109">
        <v>40.0</v>
      </c>
      <c r="V460" s="110"/>
      <c r="X460" s="111">
        <f>SUMIFS('Transit Shipment'!$B$10:$B$1048462,'Transit Shipment'!$A$10:$A$1048462,B460,'Transit Shipment'!$C$10:$C$1048462,AA460)</f>
        <v>0</v>
      </c>
      <c r="Y460" s="111">
        <f>IF(SUMIFS(DIH!$S$2:$S833,DIH!$D$2:$D833,B460,DIH!$U$2:$U833,AA460)&gt;0,SUMIFS(DIH!$S$2:$S833,DIH!$D$2:$D833,B460,DIH!$U$2:$U833,AA460),0)</f>
        <v>3</v>
      </c>
      <c r="Z460" s="112">
        <f t="shared" si="7"/>
        <v>3</v>
      </c>
      <c r="AA460" s="119" t="s">
        <v>14</v>
      </c>
      <c r="AB460" s="114">
        <f>IF(ISNA(VLOOKUP($B460,'Business Report'!$D$2:$J$202,2,0)),"",VLOOKUP($B460,'Business Report'!$D$2:$J$202,2,0))</f>
        <v>3</v>
      </c>
      <c r="AC460" s="115">
        <f>SUMIFS(AFS!$P$2:$P$6260,AFS!$N$2:$N$6260,B460,AFS!$AT$2:$AT$6260,AA460)</f>
        <v>4</v>
      </c>
      <c r="AD460" s="116">
        <f t="shared" si="8"/>
        <v>3</v>
      </c>
      <c r="AE460" s="117"/>
      <c r="AF460" s="118">
        <f t="shared" si="9"/>
        <v>4</v>
      </c>
      <c r="AG460" s="26"/>
      <c r="AH460" s="26"/>
      <c r="AI460" s="26"/>
    </row>
    <row r="461">
      <c r="A461" s="120" t="s">
        <v>7260</v>
      </c>
      <c r="B461" s="7" t="s">
        <v>94</v>
      </c>
      <c r="C461" s="95" t="s">
        <v>7261</v>
      </c>
      <c r="D461" s="109" t="s">
        <v>162</v>
      </c>
      <c r="E461" s="97">
        <f t="shared" si="2"/>
        <v>1</v>
      </c>
      <c r="F461" s="97">
        <f t="shared" si="3"/>
        <v>0</v>
      </c>
      <c r="G461" s="99" t="str">
        <f t="shared" si="77"/>
        <v/>
      </c>
      <c r="H461" s="121"/>
      <c r="I461" s="122"/>
      <c r="J461" s="123"/>
      <c r="K461" s="124"/>
      <c r="L461" s="125"/>
      <c r="M461" s="181"/>
      <c r="N461" s="126"/>
      <c r="O461" s="127"/>
      <c r="P461" s="13">
        <f t="array" ref="P461">XLOOKUP(B461,Weight!B:B,Weight!D:D,"#N/A",0)</f>
        <v>111</v>
      </c>
      <c r="Q461" s="17" t="str">
        <f t="shared" si="6"/>
        <v/>
      </c>
      <c r="R461" s="107"/>
      <c r="S461" s="108">
        <v>560313.0</v>
      </c>
      <c r="T461" s="108">
        <v>12.0</v>
      </c>
      <c r="U461" s="109">
        <v>40.0</v>
      </c>
      <c r="V461" s="110"/>
      <c r="X461" s="111">
        <f>SUMIFS('Transit Shipment'!$B$10:$B$1048462,'Transit Shipment'!$A$10:$A$1048462,B461,'Transit Shipment'!$C$10:$C$1048462,AA461)</f>
        <v>0</v>
      </c>
      <c r="Y461" s="111">
        <f>IF(SUMIFS(DIH!$S$2:$S833,DIH!$D$2:$D833,B461,DIH!$U$2:$U833,AA461)&gt;0,SUMIFS(DIH!$S$2:$S833,DIH!$D$2:$D833,B461,DIH!$U$2:$U833,AA461),0)</f>
        <v>2</v>
      </c>
      <c r="Z461" s="112">
        <f t="shared" si="7"/>
        <v>2</v>
      </c>
      <c r="AA461" s="131" t="s">
        <v>16</v>
      </c>
      <c r="AB461" s="114">
        <f>IF(ISNA(VLOOKUP($B461,'Business Report'!$D$2:$J$202,2,0)),"",VLOOKUP($B461,'Business Report'!$D$2:$J$202,2,0))</f>
        <v>3</v>
      </c>
      <c r="AC461" s="115">
        <f>SUMIFS(AFS!$P$2:$P$6260,AFS!$N$2:$N$6260,B461,AFS!$AT$2:$AT$6260,AA461)</f>
        <v>1</v>
      </c>
      <c r="AD461" s="116">
        <f t="shared" si="8"/>
        <v>0</v>
      </c>
      <c r="AE461" s="117"/>
      <c r="AF461" s="118" t="str">
        <f t="shared" si="9"/>
        <v/>
      </c>
      <c r="AG461" s="26"/>
      <c r="AH461" s="26"/>
      <c r="AI461" s="26"/>
    </row>
    <row r="462">
      <c r="A462" s="132" t="s">
        <v>7260</v>
      </c>
      <c r="B462" s="15" t="s">
        <v>94</v>
      </c>
      <c r="C462" s="133" t="s">
        <v>7261</v>
      </c>
      <c r="D462" s="134" t="s">
        <v>162</v>
      </c>
      <c r="E462" s="135" t="str">
        <f t="shared" si="2"/>
        <v/>
      </c>
      <c r="F462" s="135" t="str">
        <f t="shared" si="3"/>
        <v/>
      </c>
      <c r="G462" s="136" t="str">
        <f t="shared" si="77"/>
        <v/>
      </c>
      <c r="H462" s="137"/>
      <c r="I462" s="138"/>
      <c r="J462" s="139"/>
      <c r="K462" s="140"/>
      <c r="L462" s="135"/>
      <c r="M462" s="152"/>
      <c r="N462" s="142"/>
      <c r="O462" s="143"/>
      <c r="P462" s="144">
        <f t="array" ref="P462">XLOOKUP(B462,Weight!B:B,Weight!D:D,"#N/A",0)</f>
        <v>111</v>
      </c>
      <c r="Q462" s="145" t="str">
        <f t="shared" si="6"/>
        <v/>
      </c>
      <c r="R462" s="146"/>
      <c r="S462" s="147">
        <v>560313.0</v>
      </c>
      <c r="T462" s="147">
        <v>12.0</v>
      </c>
      <c r="U462" s="109">
        <v>40.0</v>
      </c>
      <c r="V462" s="148"/>
      <c r="W462" s="149"/>
      <c r="X462" s="150">
        <f>SUMIFS('Transit Shipment'!$B$10:$B$1048462,'Transit Shipment'!$A$10:$A$1048462,B462,'Transit Shipment'!$C$10:$C$1048462,AA462)</f>
        <v>0</v>
      </c>
      <c r="Y462" s="150">
        <f>IF(SUMIFS(DIH!$S$2:$S833,DIH!$D$2:$D833,B462,DIH!$U$2:$U833,AA462)&gt;0,SUMIFS(DIH!$S$2:$S833,DIH!$D$2:$D833,B462,DIH!$U$2:$U833,AA462),0)</f>
        <v>1</v>
      </c>
      <c r="Z462" s="151">
        <f t="shared" si="7"/>
        <v>1</v>
      </c>
      <c r="AA462" s="152" t="s">
        <v>17</v>
      </c>
      <c r="AB462" s="154">
        <f>IF(ISNA(VLOOKUP($B462,'Business Report'!$D$2:$J$202,2,0)),"",VLOOKUP($B462,'Business Report'!$D$2:$J$202,2,0))</f>
        <v>3</v>
      </c>
      <c r="AC462" s="155">
        <f>SUMIFS(AFS!$P$2:$P$6260,AFS!$N$2:$N$6260,B462,AFS!$AT$2:$AT$6260,AA462)</f>
        <v>0</v>
      </c>
      <c r="AD462" s="156">
        <f t="shared" si="8"/>
        <v>-1</v>
      </c>
      <c r="AE462" s="159">
        <f>SUM(AD454:AD462)</f>
        <v>7</v>
      </c>
      <c r="AF462" s="118" t="str">
        <f t="shared" si="9"/>
        <v/>
      </c>
      <c r="AG462" s="26"/>
      <c r="AH462" s="26"/>
      <c r="AI462" s="26"/>
    </row>
    <row r="463">
      <c r="A463" s="66" t="s">
        <v>7366</v>
      </c>
      <c r="B463" s="1" t="s">
        <v>98</v>
      </c>
      <c r="C463" s="95" t="s">
        <v>7367</v>
      </c>
      <c r="D463" s="68" t="s">
        <v>162</v>
      </c>
      <c r="E463" s="69">
        <f t="shared" si="2"/>
        <v>1</v>
      </c>
      <c r="F463" s="69">
        <f t="shared" si="3"/>
        <v>0</v>
      </c>
      <c r="G463" s="70">
        <f t="shared" si="77"/>
        <v>2</v>
      </c>
      <c r="H463" s="163"/>
      <c r="I463" s="101"/>
      <c r="J463" s="102"/>
      <c r="K463" s="167"/>
      <c r="L463" s="119"/>
      <c r="M463" s="169"/>
      <c r="N463" s="171"/>
      <c r="O463" s="106"/>
      <c r="P463" s="79">
        <f t="array" ref="P463">XLOOKUP(B463,Weight!B:B,Weight!D:D,"#N/A",0)</f>
        <v>111</v>
      </c>
      <c r="Q463" s="80">
        <f t="shared" si="6"/>
        <v>222</v>
      </c>
      <c r="R463" s="107"/>
      <c r="S463" s="108">
        <v>560313.0</v>
      </c>
      <c r="T463" s="108">
        <v>12.0</v>
      </c>
      <c r="U463" s="83">
        <v>40.0</v>
      </c>
      <c r="V463" s="84" t="str">
        <f t="shared" ref="V463:W463" si="84">B463</f>
        <v>CRM-HP-M126-M136nw-Black</v>
      </c>
      <c r="W463" s="174" t="str">
        <f t="shared" si="84"/>
        <v>Crasome Dust &amp; Water Proof Printer Cover for HP LaserJet MFP 126nw / 136a / 136w / 136nw (Black)</v>
      </c>
      <c r="X463" s="86">
        <f>SUMIFS('Transit Shipment'!$B$10:$B$1048462,'Transit Shipment'!$A$10:$A$1048462,B463,'Transit Shipment'!$C$10:$C$1048462,AA463)</f>
        <v>0</v>
      </c>
      <c r="Y463" s="86">
        <f>IF(SUMIFS(DIH!$S$2:$S833,DIH!$D$2:$D833,B463,DIH!$U$2:$U833,AA463)&gt;0,SUMIFS(DIH!$S$2:$S833,DIH!$D$2:$D833,B463,DIH!$U$2:$U833,AA463),0)</f>
        <v>1</v>
      </c>
      <c r="Z463" s="87">
        <f t="shared" si="7"/>
        <v>1</v>
      </c>
      <c r="AA463" s="88" t="s">
        <v>5</v>
      </c>
      <c r="AB463" s="89">
        <f>IF(ISNA(VLOOKUP($B463,'Business Report'!$D$2:$J$202,2,0)),"",VLOOKUP($B463,'Business Report'!$D$2:$J$202,2,0))</f>
        <v>19</v>
      </c>
      <c r="AC463" s="90">
        <f>SUMIFS(AFS!$P$2:$P$6260,AFS!$N$2:$N$6260,B463,AFS!$AT$2:$AT$6260,AA463)</f>
        <v>2</v>
      </c>
      <c r="AD463" s="91">
        <f t="shared" si="8"/>
        <v>2</v>
      </c>
      <c r="AE463" s="92"/>
      <c r="AF463" s="93">
        <f t="shared" si="9"/>
        <v>2</v>
      </c>
      <c r="AG463" s="26"/>
      <c r="AH463" s="26"/>
      <c r="AI463" s="26"/>
    </row>
    <row r="464">
      <c r="A464" s="94" t="s">
        <v>7366</v>
      </c>
      <c r="B464" s="3" t="s">
        <v>98</v>
      </c>
      <c r="C464" s="95" t="s">
        <v>7367</v>
      </c>
      <c r="D464" s="96" t="s">
        <v>162</v>
      </c>
      <c r="E464" s="97">
        <f t="shared" si="2"/>
        <v>3</v>
      </c>
      <c r="F464" s="97">
        <f t="shared" si="3"/>
        <v>0</v>
      </c>
      <c r="G464" s="99">
        <f t="shared" si="77"/>
        <v>6</v>
      </c>
      <c r="H464" s="100"/>
      <c r="I464" s="101"/>
      <c r="J464" s="102"/>
      <c r="K464" s="103"/>
      <c r="L464" s="97"/>
      <c r="M464" s="169"/>
      <c r="N464" s="105"/>
      <c r="O464" s="106"/>
      <c r="P464" s="13">
        <f t="array" ref="P464">XLOOKUP(B464,Weight!B:B,Weight!D:D,"#N/A",0)</f>
        <v>111</v>
      </c>
      <c r="Q464" s="17">
        <f t="shared" si="6"/>
        <v>666</v>
      </c>
      <c r="R464" s="107"/>
      <c r="S464" s="108">
        <v>560313.0</v>
      </c>
      <c r="T464" s="108">
        <v>12.0</v>
      </c>
      <c r="U464" s="109">
        <v>40.0</v>
      </c>
      <c r="V464" s="110"/>
      <c r="X464" s="111">
        <f>SUMIFS('Transit Shipment'!$B$10:$B$1048462,'Transit Shipment'!$A$10:$A$1048462,B464,'Transit Shipment'!$C$10:$C$1048462,AA464)</f>
        <v>0</v>
      </c>
      <c r="Y464" s="111">
        <f>IF(SUMIFS(DIH!$S$2:$S833,DIH!$D$2:$D833,B464,DIH!$U$2:$U833,AA464)&gt;0,SUMIFS(DIH!$S$2:$S833,DIH!$D$2:$D833,B464,DIH!$U$2:$U833,AA464),0)</f>
        <v>2</v>
      </c>
      <c r="Z464" s="112">
        <f t="shared" si="7"/>
        <v>2</v>
      </c>
      <c r="AA464" s="113" t="s">
        <v>11</v>
      </c>
      <c r="AB464" s="114">
        <f>IF(ISNA(VLOOKUP($B464,'Business Report'!$D$2:$J$202,2,0)),"",VLOOKUP($B464,'Business Report'!$D$2:$J$202,2,0))</f>
        <v>19</v>
      </c>
      <c r="AC464" s="115">
        <f>SUMIFS(AFS!$P$2:$P$6260,AFS!$N$2:$N$6260,B464,AFS!$AT$2:$AT$6260,AA464)</f>
        <v>6</v>
      </c>
      <c r="AD464" s="116">
        <f t="shared" si="8"/>
        <v>6</v>
      </c>
      <c r="AE464" s="117"/>
      <c r="AF464" s="118">
        <f t="shared" si="9"/>
        <v>6</v>
      </c>
      <c r="AG464" s="26"/>
      <c r="AH464" s="26"/>
      <c r="AI464" s="26"/>
    </row>
    <row r="465">
      <c r="A465" s="94" t="s">
        <v>7366</v>
      </c>
      <c r="B465" s="3" t="s">
        <v>98</v>
      </c>
      <c r="C465" s="95" t="s">
        <v>7367</v>
      </c>
      <c r="D465" s="96" t="s">
        <v>162</v>
      </c>
      <c r="E465" s="97">
        <f t="shared" si="2"/>
        <v>1</v>
      </c>
      <c r="F465" s="97">
        <f t="shared" si="3"/>
        <v>0</v>
      </c>
      <c r="G465" s="99" t="str">
        <f t="shared" si="77"/>
        <v/>
      </c>
      <c r="H465" s="100"/>
      <c r="I465" s="101"/>
      <c r="J465" s="102"/>
      <c r="K465" s="103"/>
      <c r="L465" s="97"/>
      <c r="M465" s="169"/>
      <c r="N465" s="105"/>
      <c r="O465" s="106"/>
      <c r="P465" s="13">
        <f t="array" ref="P465">XLOOKUP(B465,Weight!B:B,Weight!D:D,"#N/A",0)</f>
        <v>111</v>
      </c>
      <c r="Q465" s="17" t="str">
        <f t="shared" si="6"/>
        <v/>
      </c>
      <c r="R465" s="107"/>
      <c r="S465" s="108">
        <v>560313.0</v>
      </c>
      <c r="T465" s="108">
        <v>12.0</v>
      </c>
      <c r="U465" s="109">
        <v>40.0</v>
      </c>
      <c r="V465" s="110"/>
      <c r="X465" s="111">
        <f>SUMIFS('Transit Shipment'!$B$10:$B$1048462,'Transit Shipment'!$A$10:$A$1048462,B465,'Transit Shipment'!$C$10:$C$1048462,AA465)</f>
        <v>0</v>
      </c>
      <c r="Y465" s="111">
        <f>IF(SUMIFS(DIH!$S$2:$S833,DIH!$D$2:$D833,B465,DIH!$U$2:$U833,AA465)&gt;0,SUMIFS(DIH!$S$2:$S833,DIH!$D$2:$D833,B465,DIH!$U$2:$U833,AA465),0)</f>
        <v>3</v>
      </c>
      <c r="Z465" s="112">
        <f t="shared" si="7"/>
        <v>3</v>
      </c>
      <c r="AA465" s="119" t="s">
        <v>9</v>
      </c>
      <c r="AB465" s="114">
        <f>IF(ISNA(VLOOKUP($B465,'Business Report'!$D$2:$J$202,2,0)),"",VLOOKUP($B465,'Business Report'!$D$2:$J$202,2,0))</f>
        <v>19</v>
      </c>
      <c r="AC465" s="115">
        <f>SUMIFS(AFS!$P$2:$P$6260,AFS!$N$2:$N$6260,B465,AFS!$AT$2:$AT$6260,AA465)</f>
        <v>2</v>
      </c>
      <c r="AD465" s="116">
        <f t="shared" si="8"/>
        <v>0</v>
      </c>
      <c r="AE465" s="117"/>
      <c r="AF465" s="118" t="str">
        <f t="shared" si="9"/>
        <v/>
      </c>
      <c r="AG465" s="4"/>
      <c r="AH465" s="26"/>
      <c r="AI465" s="26"/>
    </row>
    <row r="466">
      <c r="A466" s="120" t="s">
        <v>7366</v>
      </c>
      <c r="B466" s="7" t="s">
        <v>98</v>
      </c>
      <c r="C466" s="95" t="s">
        <v>7367</v>
      </c>
      <c r="D466" s="109" t="s">
        <v>162</v>
      </c>
      <c r="E466" s="97" t="str">
        <f t="shared" si="2"/>
        <v/>
      </c>
      <c r="F466" s="97" t="str">
        <f t="shared" si="3"/>
        <v/>
      </c>
      <c r="G466" s="99" t="str">
        <f t="shared" si="77"/>
        <v/>
      </c>
      <c r="H466" s="121"/>
      <c r="I466" s="122"/>
      <c r="J466" s="123"/>
      <c r="K466" s="124"/>
      <c r="L466" s="125"/>
      <c r="M466" s="181"/>
      <c r="N466" s="126"/>
      <c r="O466" s="127"/>
      <c r="P466" s="13">
        <f t="array" ref="P466">XLOOKUP(B466,Weight!B:B,Weight!D:D,"#N/A",0)</f>
        <v>111</v>
      </c>
      <c r="Q466" s="17" t="str">
        <f t="shared" si="6"/>
        <v/>
      </c>
      <c r="R466" s="107"/>
      <c r="S466" s="108">
        <v>560313.0</v>
      </c>
      <c r="T466" s="108">
        <v>12.0</v>
      </c>
      <c r="U466" s="109">
        <v>40.0</v>
      </c>
      <c r="V466" s="110"/>
      <c r="X466" s="111">
        <f>SUMIFS('Transit Shipment'!$B$10:$B$1048462,'Transit Shipment'!$A$10:$A$1048462,B466,'Transit Shipment'!$C$10:$C$1048462,AA466)</f>
        <v>0</v>
      </c>
      <c r="Y466" s="111">
        <f>IF(SUMIFS(DIH!$S$2:$S833,DIH!$D$2:$D833,B466,DIH!$U$2:$U833,AA466)&gt;0,SUMIFS(DIH!$S$2:$S833,DIH!$D$2:$D833,B466,DIH!$U$2:$U833,AA466),0)</f>
        <v>5</v>
      </c>
      <c r="Z466" s="112">
        <f t="shared" si="7"/>
        <v>5</v>
      </c>
      <c r="AA466" s="119" t="s">
        <v>155</v>
      </c>
      <c r="AB466" s="114">
        <f>IF(ISNA(VLOOKUP($B466,'Business Report'!$D$2:$J$202,2,0)),"",VLOOKUP($B466,'Business Report'!$D$2:$J$202,2,0))</f>
        <v>19</v>
      </c>
      <c r="AC466" s="115">
        <f>SUMIFS(AFS!$P$2:$P$6260,AFS!$N$2:$N$6260,B466,AFS!$AT$2:$AT$6260,AA466)</f>
        <v>1</v>
      </c>
      <c r="AD466" s="116">
        <f t="shared" si="8"/>
        <v>-3</v>
      </c>
      <c r="AE466" s="117"/>
      <c r="AF466" s="118" t="str">
        <f t="shared" si="9"/>
        <v/>
      </c>
      <c r="AG466" s="4"/>
      <c r="AH466" s="26"/>
      <c r="AI466" s="26"/>
    </row>
    <row r="467">
      <c r="A467" s="120" t="s">
        <v>7366</v>
      </c>
      <c r="B467" s="7" t="s">
        <v>98</v>
      </c>
      <c r="C467" s="95" t="s">
        <v>7367</v>
      </c>
      <c r="D467" s="109" t="s">
        <v>162</v>
      </c>
      <c r="E467" s="97">
        <f t="shared" si="2"/>
        <v>0</v>
      </c>
      <c r="F467" s="97">
        <f t="shared" si="3"/>
        <v>0.5</v>
      </c>
      <c r="G467" s="99">
        <f t="shared" si="77"/>
        <v>2</v>
      </c>
      <c r="H467" s="121"/>
      <c r="I467" s="122"/>
      <c r="J467" s="123"/>
      <c r="K467" s="124"/>
      <c r="L467" s="125"/>
      <c r="M467" s="181"/>
      <c r="N467" s="126"/>
      <c r="O467" s="127"/>
      <c r="P467" s="13">
        <f t="array" ref="P467">XLOOKUP(B467,Weight!B:B,Weight!D:D,"#N/A",0)</f>
        <v>111</v>
      </c>
      <c r="Q467" s="17">
        <f t="shared" si="6"/>
        <v>222</v>
      </c>
      <c r="R467" s="107"/>
      <c r="S467" s="108">
        <v>560313.0</v>
      </c>
      <c r="T467" s="108">
        <v>12.0</v>
      </c>
      <c r="U467" s="109">
        <v>40.0</v>
      </c>
      <c r="V467" s="110"/>
      <c r="X467" s="111">
        <f>SUMIFS('Transit Shipment'!$B$10:$B$1048462,'Transit Shipment'!$A$10:$A$1048462,B467,'Transit Shipment'!$C$10:$C$1048462,AA467)</f>
        <v>0</v>
      </c>
      <c r="Y467" s="111">
        <f>IF(SUMIFS(DIH!$S$2:$S833,DIH!$D$2:$D833,B467,DIH!$U$2:$U833,AA467)&gt;0,SUMIFS(DIH!$S$2:$S833,DIH!$D$2:$D833,B467,DIH!$U$2:$U833,AA467),0)</f>
        <v>3</v>
      </c>
      <c r="Z467" s="112">
        <f t="shared" si="7"/>
        <v>3</v>
      </c>
      <c r="AA467" s="119" t="s">
        <v>156</v>
      </c>
      <c r="AB467" s="114">
        <f>IF(ISNA(VLOOKUP($B467,'Business Report'!$D$2:$J$202,2,0)),"",VLOOKUP($B467,'Business Report'!$D$2:$J$202,2,0))</f>
        <v>19</v>
      </c>
      <c r="AC467" s="115">
        <f>SUMIFS(AFS!$P$2:$P$6260,AFS!$N$2:$N$6260,B467,AFS!$AT$2:$AT$6260,AA467)</f>
        <v>3</v>
      </c>
      <c r="AD467" s="116">
        <f t="shared" si="8"/>
        <v>1</v>
      </c>
      <c r="AE467" s="117"/>
      <c r="AF467" s="118">
        <f t="shared" si="9"/>
        <v>2</v>
      </c>
      <c r="AG467" s="4"/>
      <c r="AH467" s="26"/>
      <c r="AI467" s="26"/>
    </row>
    <row r="468">
      <c r="A468" s="120" t="s">
        <v>7366</v>
      </c>
      <c r="B468" s="7" t="s">
        <v>98</v>
      </c>
      <c r="C468" s="95" t="s">
        <v>7367</v>
      </c>
      <c r="D468" s="109" t="s">
        <v>162</v>
      </c>
      <c r="E468" s="97">
        <f t="shared" si="2"/>
        <v>2</v>
      </c>
      <c r="F468" s="97">
        <f t="shared" si="3"/>
        <v>0.5</v>
      </c>
      <c r="G468" s="99">
        <f t="shared" si="77"/>
        <v>6</v>
      </c>
      <c r="H468" s="121"/>
      <c r="I468" s="122"/>
      <c r="J468" s="123"/>
      <c r="K468" s="124"/>
      <c r="L468" s="125"/>
      <c r="M468" s="181"/>
      <c r="N468" s="126"/>
      <c r="O468" s="127"/>
      <c r="P468" s="13">
        <f t="array" ref="P468">XLOOKUP(B468,Weight!B:B,Weight!D:D,"#N/A",0)</f>
        <v>111</v>
      </c>
      <c r="Q468" s="17">
        <f t="shared" si="6"/>
        <v>666</v>
      </c>
      <c r="R468" s="107"/>
      <c r="S468" s="108">
        <v>560313.0</v>
      </c>
      <c r="T468" s="108">
        <v>12.0</v>
      </c>
      <c r="U468" s="109">
        <v>40.0</v>
      </c>
      <c r="V468" s="110"/>
      <c r="X468" s="111">
        <f>SUMIFS('Transit Shipment'!$B$10:$B$1048462,'Transit Shipment'!$A$10:$A$1048462,B468,'Transit Shipment'!$C$10:$C$1048462,AA468)</f>
        <v>0</v>
      </c>
      <c r="Y468" s="111">
        <f>IF(SUMIFS(DIH!$S$2:$S833,DIH!$D$2:$D833,B468,DIH!$U$2:$U833,AA468)&gt;0,SUMIFS(DIH!$S$2:$S833,DIH!$D$2:$D833,B468,DIH!$U$2:$U833,AA468),0)</f>
        <v>2</v>
      </c>
      <c r="Z468" s="112">
        <f t="shared" si="7"/>
        <v>2</v>
      </c>
      <c r="AA468" s="130" t="s">
        <v>13</v>
      </c>
      <c r="AB468" s="114">
        <f>IF(ISNA(VLOOKUP($B468,'Business Report'!$D$2:$J$202,2,0)),"",VLOOKUP($B468,'Business Report'!$D$2:$J$202,2,0))</f>
        <v>19</v>
      </c>
      <c r="AC468" s="115">
        <f>SUMIFS(AFS!$P$2:$P$6260,AFS!$N$2:$N$6260,B468,AFS!$AT$2:$AT$6260,AA468)</f>
        <v>5</v>
      </c>
      <c r="AD468" s="116">
        <f t="shared" si="8"/>
        <v>5</v>
      </c>
      <c r="AE468" s="117"/>
      <c r="AF468" s="118">
        <f t="shared" si="9"/>
        <v>6</v>
      </c>
      <c r="AG468" s="26"/>
      <c r="AH468" s="26"/>
      <c r="AI468" s="26"/>
    </row>
    <row r="469">
      <c r="A469" s="120" t="s">
        <v>7366</v>
      </c>
      <c r="B469" s="7" t="s">
        <v>98</v>
      </c>
      <c r="C469" s="95" t="s">
        <v>7367</v>
      </c>
      <c r="D469" s="109" t="s">
        <v>162</v>
      </c>
      <c r="E469" s="97">
        <f t="shared" si="2"/>
        <v>1</v>
      </c>
      <c r="F469" s="97">
        <f t="shared" si="3"/>
        <v>0.5</v>
      </c>
      <c r="G469" s="99">
        <f t="shared" si="77"/>
        <v>4</v>
      </c>
      <c r="H469" s="121"/>
      <c r="I469" s="122"/>
      <c r="J469" s="123"/>
      <c r="K469" s="124"/>
      <c r="L469" s="125"/>
      <c r="M469" s="181"/>
      <c r="N469" s="126"/>
      <c r="O469" s="127"/>
      <c r="P469" s="13">
        <f t="array" ref="P469">XLOOKUP(B469,Weight!B:B,Weight!D:D,"#N/A",0)</f>
        <v>111</v>
      </c>
      <c r="Q469" s="17">
        <f t="shared" si="6"/>
        <v>444</v>
      </c>
      <c r="R469" s="107"/>
      <c r="S469" s="108">
        <v>560313.0</v>
      </c>
      <c r="T469" s="108">
        <v>12.0</v>
      </c>
      <c r="U469" s="109">
        <v>40.0</v>
      </c>
      <c r="V469" s="110"/>
      <c r="X469" s="111">
        <f>SUMIFS('Transit Shipment'!$B$10:$B$1048462,'Transit Shipment'!$A$10:$A$1048462,B469,'Transit Shipment'!$C$10:$C$1048462,AA469)</f>
        <v>0</v>
      </c>
      <c r="Y469" s="111">
        <f>IF(SUMIFS(DIH!$S$2:$S833,DIH!$D$2:$D833,B469,DIH!$U$2:$U833,AA469)&gt;0,SUMIFS(DIH!$S$2:$S833,DIH!$D$2:$D833,B469,DIH!$U$2:$U833,AA469),0)</f>
        <v>0</v>
      </c>
      <c r="Z469" s="112">
        <f t="shared" si="7"/>
        <v>0</v>
      </c>
      <c r="AA469" s="119" t="s">
        <v>14</v>
      </c>
      <c r="AB469" s="114">
        <f>IF(ISNA(VLOOKUP($B469,'Business Report'!$D$2:$J$202,2,0)),"",VLOOKUP($B469,'Business Report'!$D$2:$J$202,2,0))</f>
        <v>19</v>
      </c>
      <c r="AC469" s="115">
        <f>SUMIFS(AFS!$P$2:$P$6260,AFS!$N$2:$N$6260,B469,AFS!$AT$2:$AT$6260,AA469)</f>
        <v>2</v>
      </c>
      <c r="AD469" s="116">
        <f t="shared" si="8"/>
        <v>3</v>
      </c>
      <c r="AE469" s="117"/>
      <c r="AF469" s="118">
        <f t="shared" si="9"/>
        <v>4</v>
      </c>
      <c r="AG469" s="26"/>
      <c r="AH469" s="26"/>
      <c r="AI469" s="26"/>
    </row>
    <row r="470">
      <c r="A470" s="120" t="s">
        <v>7366</v>
      </c>
      <c r="B470" s="7" t="s">
        <v>98</v>
      </c>
      <c r="C470" s="95" t="s">
        <v>7367</v>
      </c>
      <c r="D470" s="109" t="s">
        <v>162</v>
      </c>
      <c r="E470" s="97">
        <f t="shared" si="2"/>
        <v>1</v>
      </c>
      <c r="F470" s="97">
        <f t="shared" si="3"/>
        <v>0</v>
      </c>
      <c r="G470" s="99" t="str">
        <f t="shared" si="77"/>
        <v/>
      </c>
      <c r="H470" s="121"/>
      <c r="I470" s="122"/>
      <c r="J470" s="123"/>
      <c r="K470" s="124"/>
      <c r="L470" s="125"/>
      <c r="M470" s="181"/>
      <c r="N470" s="126"/>
      <c r="O470" s="127"/>
      <c r="P470" s="13">
        <f t="array" ref="P470">XLOOKUP(B470,Weight!B:B,Weight!D:D,"#N/A",0)</f>
        <v>111</v>
      </c>
      <c r="Q470" s="17" t="str">
        <f t="shared" si="6"/>
        <v/>
      </c>
      <c r="R470" s="107"/>
      <c r="S470" s="108">
        <v>560313.0</v>
      </c>
      <c r="T470" s="108">
        <v>12.0</v>
      </c>
      <c r="U470" s="109">
        <v>40.0</v>
      </c>
      <c r="V470" s="110"/>
      <c r="X470" s="111">
        <f>SUMIFS('Transit Shipment'!$B$10:$B$1048462,'Transit Shipment'!$A$10:$A$1048462,B470,'Transit Shipment'!$C$10:$C$1048462,AA470)</f>
        <v>0</v>
      </c>
      <c r="Y470" s="111">
        <f>IF(SUMIFS(DIH!$S$2:$S833,DIH!$D$2:$D833,B470,DIH!$U$2:$U833,AA470)&gt;0,SUMIFS(DIH!$S$2:$S833,DIH!$D$2:$D833,B470,DIH!$U$2:$U833,AA470),0)</f>
        <v>2</v>
      </c>
      <c r="Z470" s="112">
        <f t="shared" si="7"/>
        <v>2</v>
      </c>
      <c r="AA470" s="131" t="s">
        <v>16</v>
      </c>
      <c r="AB470" s="114">
        <f>IF(ISNA(VLOOKUP($B470,'Business Report'!$D$2:$J$202,2,0)),"",VLOOKUP($B470,'Business Report'!$D$2:$J$202,2,0))</f>
        <v>19</v>
      </c>
      <c r="AC470" s="115">
        <f>SUMIFS(AFS!$P$2:$P$6260,AFS!$N$2:$N$6260,B470,AFS!$AT$2:$AT$6260,AA470)</f>
        <v>1</v>
      </c>
      <c r="AD470" s="116">
        <f t="shared" si="8"/>
        <v>0</v>
      </c>
      <c r="AE470" s="117"/>
      <c r="AF470" s="118" t="str">
        <f t="shared" si="9"/>
        <v/>
      </c>
      <c r="AG470" s="26"/>
      <c r="AH470" s="26"/>
      <c r="AI470" s="26"/>
    </row>
    <row r="471">
      <c r="A471" s="132" t="s">
        <v>7366</v>
      </c>
      <c r="B471" s="15" t="s">
        <v>98</v>
      </c>
      <c r="C471" s="133" t="s">
        <v>7367</v>
      </c>
      <c r="D471" s="134" t="s">
        <v>162</v>
      </c>
      <c r="E471" s="135" t="str">
        <f t="shared" si="2"/>
        <v/>
      </c>
      <c r="F471" s="135" t="str">
        <f t="shared" si="3"/>
        <v/>
      </c>
      <c r="G471" s="136" t="str">
        <f t="shared" si="77"/>
        <v/>
      </c>
      <c r="H471" s="137"/>
      <c r="I471" s="138"/>
      <c r="J471" s="139"/>
      <c r="K471" s="140"/>
      <c r="L471" s="135"/>
      <c r="M471" s="152"/>
      <c r="N471" s="142"/>
      <c r="O471" s="143"/>
      <c r="P471" s="144">
        <f t="array" ref="P471">XLOOKUP(B471,Weight!B:B,Weight!D:D,"#N/A",0)</f>
        <v>111</v>
      </c>
      <c r="Q471" s="145" t="str">
        <f t="shared" si="6"/>
        <v/>
      </c>
      <c r="R471" s="146"/>
      <c r="S471" s="147">
        <v>560313.0</v>
      </c>
      <c r="T471" s="147">
        <v>12.0</v>
      </c>
      <c r="U471" s="109">
        <v>40.0</v>
      </c>
      <c r="V471" s="148"/>
      <c r="W471" s="149"/>
      <c r="X471" s="150">
        <f>SUMIFS('Transit Shipment'!$B$10:$B$1048462,'Transit Shipment'!$A$10:$A$1048462,B471,'Transit Shipment'!$C$10:$C$1048462,AA471)</f>
        <v>0</v>
      </c>
      <c r="Y471" s="150">
        <f>IF(SUMIFS(DIH!$S$2:$S833,DIH!$D$2:$D833,B471,DIH!$U$2:$U833,AA471)&gt;0,SUMIFS(DIH!$S$2:$S833,DIH!$D$2:$D833,B471,DIH!$U$2:$U833,AA471),0)</f>
        <v>3</v>
      </c>
      <c r="Z471" s="151">
        <f t="shared" si="7"/>
        <v>3</v>
      </c>
      <c r="AA471" s="152" t="s">
        <v>17</v>
      </c>
      <c r="AB471" s="154">
        <f>IF(ISNA(VLOOKUP($B471,'Business Report'!$D$2:$J$202,2,0)),"",VLOOKUP($B471,'Business Report'!$D$2:$J$202,2,0))</f>
        <v>19</v>
      </c>
      <c r="AC471" s="155">
        <f>SUMIFS(AFS!$P$2:$P$6260,AFS!$N$2:$N$6260,B471,AFS!$AT$2:$AT$6260,AA471)</f>
        <v>0</v>
      </c>
      <c r="AD471" s="156">
        <f t="shared" si="8"/>
        <v>-3</v>
      </c>
      <c r="AE471" s="159">
        <f>SUM(AD463:AD471)</f>
        <v>11</v>
      </c>
      <c r="AF471" s="118" t="str">
        <f t="shared" si="9"/>
        <v/>
      </c>
      <c r="AG471" s="26"/>
      <c r="AH471" s="26"/>
      <c r="AI471" s="26"/>
    </row>
    <row r="472">
      <c r="A472" s="66" t="s">
        <v>7482</v>
      </c>
      <c r="B472" s="129" t="s">
        <v>99</v>
      </c>
      <c r="C472" s="95" t="s">
        <v>7485</v>
      </c>
      <c r="D472" s="68" t="s">
        <v>162</v>
      </c>
      <c r="E472" s="69" t="str">
        <f t="shared" si="2"/>
        <v/>
      </c>
      <c r="F472" s="69" t="str">
        <f t="shared" si="3"/>
        <v/>
      </c>
      <c r="G472" s="70" t="str">
        <f t="shared" si="77"/>
        <v/>
      </c>
      <c r="H472" s="163"/>
      <c r="I472" s="101"/>
      <c r="J472" s="102"/>
      <c r="K472" s="167"/>
      <c r="L472" s="119"/>
      <c r="M472" s="169"/>
      <c r="N472" s="171"/>
      <c r="O472" s="106"/>
      <c r="P472" s="79">
        <f t="array" ref="P472">XLOOKUP(B472,Weight!B:B,Weight!D:D,"#N/A",0)</f>
        <v>75</v>
      </c>
      <c r="Q472" s="80" t="str">
        <f t="shared" si="6"/>
        <v/>
      </c>
      <c r="R472" s="107"/>
      <c r="S472" s="108">
        <v>560313.0</v>
      </c>
      <c r="T472" s="108">
        <v>12.0</v>
      </c>
      <c r="U472" s="83">
        <v>40.0</v>
      </c>
      <c r="V472" s="84" t="str">
        <f t="shared" ref="V472:W472" si="85">B472</f>
        <v>CRM-HP-4826-Grey-1</v>
      </c>
      <c r="W472" s="174" t="str">
        <f t="shared" si="85"/>
        <v>Crasome Dust &amp; Water Proof Printer Cover for HP Deskjet All-in-One 4826 (Grey)</v>
      </c>
      <c r="X472" s="86">
        <f>SUMIFS('Transit Shipment'!$B$10:$B$1048462,'Transit Shipment'!$A$10:$A$1048462,B472,'Transit Shipment'!$C$10:$C$1048462,AA472)</f>
        <v>0</v>
      </c>
      <c r="Y472" s="86">
        <f>IF(SUMIFS(DIH!$S$2:$S833,DIH!$D$2:$D833,B472,DIH!$U$2:$U833,AA472)&gt;0,SUMIFS(DIH!$S$2:$S833,DIH!$D$2:$D833,B472,DIH!$U$2:$U833,AA472),0)</f>
        <v>1</v>
      </c>
      <c r="Z472" s="87">
        <f t="shared" si="7"/>
        <v>1</v>
      </c>
      <c r="AA472" s="88" t="s">
        <v>5</v>
      </c>
      <c r="AB472" s="89">
        <f>IF(ISNA(VLOOKUP($B472,'Business Report'!$D$2:$J$202,2,0)),"",VLOOKUP($B472,'Business Report'!$D$2:$J$202,2,0))</f>
        <v>5</v>
      </c>
      <c r="AC472" s="90">
        <f>SUMIFS(AFS!$P$2:$P$6260,AFS!$N$2:$N$6260,B472,AFS!$AT$2:$AT$6260,AA472)</f>
        <v>0</v>
      </c>
      <c r="AD472" s="91">
        <f t="shared" si="8"/>
        <v>-1</v>
      </c>
      <c r="AE472" s="92"/>
      <c r="AF472" s="93" t="str">
        <f t="shared" si="9"/>
        <v/>
      </c>
      <c r="AG472" s="26"/>
      <c r="AH472" s="26"/>
      <c r="AI472" s="26"/>
    </row>
    <row r="473">
      <c r="A473" s="94" t="s">
        <v>7482</v>
      </c>
      <c r="B473" s="7" t="s">
        <v>99</v>
      </c>
      <c r="C473" s="95" t="s">
        <v>7485</v>
      </c>
      <c r="D473" s="96" t="s">
        <v>162</v>
      </c>
      <c r="E473" s="97">
        <f t="shared" si="2"/>
        <v>0</v>
      </c>
      <c r="F473" s="97">
        <f t="shared" si="3"/>
        <v>0.5</v>
      </c>
      <c r="G473" s="99">
        <f t="shared" si="77"/>
        <v>2</v>
      </c>
      <c r="H473" s="100"/>
      <c r="I473" s="101"/>
      <c r="J473" s="102"/>
      <c r="K473" s="103"/>
      <c r="L473" s="97"/>
      <c r="M473" s="169"/>
      <c r="N473" s="105"/>
      <c r="O473" s="106"/>
      <c r="P473" s="13">
        <f t="array" ref="P473">XLOOKUP(B473,Weight!B:B,Weight!D:D,"#N/A",0)</f>
        <v>75</v>
      </c>
      <c r="Q473" s="17">
        <f t="shared" si="6"/>
        <v>150</v>
      </c>
      <c r="R473" s="107"/>
      <c r="S473" s="108">
        <v>560313.0</v>
      </c>
      <c r="T473" s="108">
        <v>12.0</v>
      </c>
      <c r="U473" s="109">
        <v>40.0</v>
      </c>
      <c r="V473" s="110"/>
      <c r="X473" s="111">
        <f>SUMIFS('Transit Shipment'!$B$10:$B$1048462,'Transit Shipment'!$A$10:$A$1048462,B473,'Transit Shipment'!$C$10:$C$1048462,AA473)</f>
        <v>0</v>
      </c>
      <c r="Y473" s="111">
        <f>IF(SUMIFS(DIH!$S$2:$S833,DIH!$D$2:$D833,B473,DIH!$U$2:$U833,AA473)&gt;0,SUMIFS(DIH!$S$2:$S833,DIH!$D$2:$D833,B473,DIH!$U$2:$U833,AA473),0)</f>
        <v>1</v>
      </c>
      <c r="Z473" s="112">
        <f t="shared" si="7"/>
        <v>1</v>
      </c>
      <c r="AA473" s="113" t="s">
        <v>11</v>
      </c>
      <c r="AB473" s="114">
        <f>IF(ISNA(VLOOKUP($B473,'Business Report'!$D$2:$J$202,2,0)),"",VLOOKUP($B473,'Business Report'!$D$2:$J$202,2,0))</f>
        <v>5</v>
      </c>
      <c r="AC473" s="115">
        <f>SUMIFS(AFS!$P$2:$P$6260,AFS!$N$2:$N$6260,B473,AFS!$AT$2:$AT$6260,AA473)</f>
        <v>1</v>
      </c>
      <c r="AD473" s="116">
        <f t="shared" si="8"/>
        <v>1</v>
      </c>
      <c r="AE473" s="117"/>
      <c r="AF473" s="118">
        <f t="shared" si="9"/>
        <v>2</v>
      </c>
      <c r="AG473" s="26"/>
      <c r="AH473" s="26"/>
      <c r="AI473" s="26"/>
    </row>
    <row r="474">
      <c r="A474" s="94" t="s">
        <v>7482</v>
      </c>
      <c r="B474" s="7" t="s">
        <v>99</v>
      </c>
      <c r="C474" s="95" t="s">
        <v>7485</v>
      </c>
      <c r="D474" s="96" t="s">
        <v>162</v>
      </c>
      <c r="E474" s="97">
        <f t="shared" si="2"/>
        <v>1</v>
      </c>
      <c r="F474" s="97">
        <f t="shared" si="3"/>
        <v>0</v>
      </c>
      <c r="G474" s="99" t="str">
        <f t="shared" si="77"/>
        <v/>
      </c>
      <c r="H474" s="100"/>
      <c r="I474" s="101"/>
      <c r="J474" s="102"/>
      <c r="K474" s="103"/>
      <c r="L474" s="97"/>
      <c r="M474" s="169"/>
      <c r="N474" s="105"/>
      <c r="O474" s="106"/>
      <c r="P474" s="13">
        <f t="array" ref="P474">XLOOKUP(B474,Weight!B:B,Weight!D:D,"#N/A",0)</f>
        <v>75</v>
      </c>
      <c r="Q474" s="17" t="str">
        <f t="shared" si="6"/>
        <v/>
      </c>
      <c r="R474" s="107"/>
      <c r="S474" s="108">
        <v>560313.0</v>
      </c>
      <c r="T474" s="108">
        <v>12.0</v>
      </c>
      <c r="U474" s="109">
        <v>40.0</v>
      </c>
      <c r="V474" s="110"/>
      <c r="X474" s="111">
        <f>SUMIFS('Transit Shipment'!$B$10:$B$1048462,'Transit Shipment'!$A$10:$A$1048462,B474,'Transit Shipment'!$C$10:$C$1048462,AA474)</f>
        <v>0</v>
      </c>
      <c r="Y474" s="111">
        <f>IF(SUMIFS(DIH!$S$2:$S833,DIH!$D$2:$D833,B474,DIH!$U$2:$U833,AA474)&gt;0,SUMIFS(DIH!$S$2:$S833,DIH!$D$2:$D833,B474,DIH!$U$2:$U833,AA474),0)</f>
        <v>0</v>
      </c>
      <c r="Z474" s="112">
        <f t="shared" si="7"/>
        <v>0</v>
      </c>
      <c r="AA474" s="119" t="s">
        <v>9</v>
      </c>
      <c r="AB474" s="114">
        <f>IF(ISNA(VLOOKUP($B474,'Business Report'!$D$2:$J$202,2,0)),"",VLOOKUP($B474,'Business Report'!$D$2:$J$202,2,0))</f>
        <v>5</v>
      </c>
      <c r="AC474" s="115">
        <f>SUMIFS(AFS!$P$2:$P$6260,AFS!$N$2:$N$6260,B474,AFS!$AT$2:$AT$6260,AA474)</f>
        <v>0</v>
      </c>
      <c r="AD474" s="116">
        <f t="shared" si="8"/>
        <v>0</v>
      </c>
      <c r="AE474" s="117"/>
      <c r="AF474" s="118" t="str">
        <f t="shared" si="9"/>
        <v/>
      </c>
      <c r="AG474" s="26"/>
      <c r="AH474" s="26"/>
      <c r="AI474" s="26"/>
    </row>
    <row r="475">
      <c r="A475" s="120" t="s">
        <v>7482</v>
      </c>
      <c r="B475" s="7" t="s">
        <v>99</v>
      </c>
      <c r="C475" s="95" t="s">
        <v>7485</v>
      </c>
      <c r="D475" s="109" t="s">
        <v>162</v>
      </c>
      <c r="E475" s="97">
        <f t="shared" si="2"/>
        <v>1</v>
      </c>
      <c r="F475" s="97">
        <f t="shared" si="3"/>
        <v>0.5</v>
      </c>
      <c r="G475" s="99">
        <f t="shared" si="77"/>
        <v>4</v>
      </c>
      <c r="H475" s="121"/>
      <c r="I475" s="122"/>
      <c r="J475" s="123"/>
      <c r="K475" s="124"/>
      <c r="L475" s="125"/>
      <c r="M475" s="181"/>
      <c r="N475" s="126"/>
      <c r="O475" s="127"/>
      <c r="P475" s="13">
        <f t="array" ref="P475">XLOOKUP(B475,Weight!B:B,Weight!D:D,"#N/A",0)</f>
        <v>75</v>
      </c>
      <c r="Q475" s="17">
        <f t="shared" si="6"/>
        <v>300</v>
      </c>
      <c r="R475" s="107"/>
      <c r="S475" s="108">
        <v>560313.0</v>
      </c>
      <c r="T475" s="108">
        <v>12.0</v>
      </c>
      <c r="U475" s="109">
        <v>40.0</v>
      </c>
      <c r="V475" s="110"/>
      <c r="X475" s="111">
        <f>SUMIFS('Transit Shipment'!$B$10:$B$1048462,'Transit Shipment'!$A$10:$A$1048462,B475,'Transit Shipment'!$C$10:$C$1048462,AA475)</f>
        <v>0</v>
      </c>
      <c r="Y475" s="111">
        <f>IF(SUMIFS(DIH!$S$2:$S833,DIH!$D$2:$D833,B475,DIH!$U$2:$U833,AA475)&gt;0,SUMIFS(DIH!$S$2:$S833,DIH!$D$2:$D833,B475,DIH!$U$2:$U833,AA475),0)</f>
        <v>0</v>
      </c>
      <c r="Z475" s="112">
        <f t="shared" si="7"/>
        <v>0</v>
      </c>
      <c r="AA475" s="119" t="s">
        <v>155</v>
      </c>
      <c r="AB475" s="114">
        <f>IF(ISNA(VLOOKUP($B475,'Business Report'!$D$2:$J$202,2,0)),"",VLOOKUP($B475,'Business Report'!$D$2:$J$202,2,0))</f>
        <v>5</v>
      </c>
      <c r="AC475" s="115">
        <f>SUMIFS(AFS!$P$2:$P$6260,AFS!$N$2:$N$6260,B475,AFS!$AT$2:$AT$6260,AA475)</f>
        <v>2</v>
      </c>
      <c r="AD475" s="116">
        <f t="shared" si="8"/>
        <v>3</v>
      </c>
      <c r="AE475" s="117"/>
      <c r="AF475" s="118">
        <f t="shared" si="9"/>
        <v>4</v>
      </c>
      <c r="AG475" s="26"/>
      <c r="AH475" s="26"/>
      <c r="AI475" s="26"/>
    </row>
    <row r="476">
      <c r="A476" s="120" t="s">
        <v>7482</v>
      </c>
      <c r="B476" s="7" t="s">
        <v>99</v>
      </c>
      <c r="C476" s="95" t="s">
        <v>7485</v>
      </c>
      <c r="D476" s="109" t="s">
        <v>162</v>
      </c>
      <c r="E476" s="97">
        <f t="shared" si="2"/>
        <v>0</v>
      </c>
      <c r="F476" s="97">
        <f t="shared" si="3"/>
        <v>0.5</v>
      </c>
      <c r="G476" s="99">
        <f t="shared" si="77"/>
        <v>2</v>
      </c>
      <c r="H476" s="121"/>
      <c r="I476" s="122"/>
      <c r="J476" s="123"/>
      <c r="K476" s="124"/>
      <c r="L476" s="125"/>
      <c r="M476" s="181"/>
      <c r="N476" s="126"/>
      <c r="O476" s="127"/>
      <c r="P476" s="13">
        <f t="array" ref="P476">XLOOKUP(B476,Weight!B:B,Weight!D:D,"#N/A",0)</f>
        <v>75</v>
      </c>
      <c r="Q476" s="17">
        <f t="shared" si="6"/>
        <v>150</v>
      </c>
      <c r="R476" s="107"/>
      <c r="S476" s="108">
        <v>560313.0</v>
      </c>
      <c r="T476" s="108">
        <v>12.0</v>
      </c>
      <c r="U476" s="109">
        <v>40.0</v>
      </c>
      <c r="V476" s="110"/>
      <c r="X476" s="111">
        <f>SUMIFS('Transit Shipment'!$B$10:$B$1048462,'Transit Shipment'!$A$10:$A$1048462,B476,'Transit Shipment'!$C$10:$C$1048462,AA476)</f>
        <v>0</v>
      </c>
      <c r="Y476" s="111">
        <f>IF(SUMIFS(DIH!$S$2:$S833,DIH!$D$2:$D833,B476,DIH!$U$2:$U833,AA476)&gt;0,SUMIFS(DIH!$S$2:$S833,DIH!$D$2:$D833,B476,DIH!$U$2:$U833,AA476),0)</f>
        <v>1</v>
      </c>
      <c r="Z476" s="112">
        <f t="shared" si="7"/>
        <v>1</v>
      </c>
      <c r="AA476" s="119" t="s">
        <v>156</v>
      </c>
      <c r="AB476" s="114">
        <f>IF(ISNA(VLOOKUP($B476,'Business Report'!$D$2:$J$202,2,0)),"",VLOOKUP($B476,'Business Report'!$D$2:$J$202,2,0))</f>
        <v>5</v>
      </c>
      <c r="AC476" s="115">
        <f>SUMIFS(AFS!$P$2:$P$6260,AFS!$N$2:$N$6260,B476,AFS!$AT$2:$AT$6260,AA476)</f>
        <v>1</v>
      </c>
      <c r="AD476" s="116">
        <f t="shared" si="8"/>
        <v>1</v>
      </c>
      <c r="AE476" s="117"/>
      <c r="AF476" s="118">
        <f t="shared" si="9"/>
        <v>2</v>
      </c>
      <c r="AG476" s="26"/>
      <c r="AH476" s="26"/>
      <c r="AI476" s="26"/>
    </row>
    <row r="477">
      <c r="A477" s="120" t="s">
        <v>7482</v>
      </c>
      <c r="B477" s="7" t="s">
        <v>99</v>
      </c>
      <c r="C477" s="95" t="s">
        <v>7485</v>
      </c>
      <c r="D477" s="109" t="s">
        <v>162</v>
      </c>
      <c r="E477" s="97" t="str">
        <f t="shared" si="2"/>
        <v/>
      </c>
      <c r="F477" s="97" t="str">
        <f t="shared" si="3"/>
        <v/>
      </c>
      <c r="G477" s="99" t="str">
        <f t="shared" si="77"/>
        <v/>
      </c>
      <c r="H477" s="121"/>
      <c r="I477" s="122"/>
      <c r="J477" s="123"/>
      <c r="K477" s="124"/>
      <c r="L477" s="125"/>
      <c r="M477" s="181"/>
      <c r="N477" s="126"/>
      <c r="O477" s="127"/>
      <c r="P477" s="13">
        <f t="array" ref="P477">XLOOKUP(B477,Weight!B:B,Weight!D:D,"#N/A",0)</f>
        <v>75</v>
      </c>
      <c r="Q477" s="17" t="str">
        <f t="shared" si="6"/>
        <v/>
      </c>
      <c r="R477" s="107"/>
      <c r="S477" s="108">
        <v>560313.0</v>
      </c>
      <c r="T477" s="108">
        <v>12.0</v>
      </c>
      <c r="U477" s="109">
        <v>40.0</v>
      </c>
      <c r="V477" s="110"/>
      <c r="X477" s="111">
        <f>SUMIFS('Transit Shipment'!$B$10:$B$1048462,'Transit Shipment'!$A$10:$A$1048462,B477,'Transit Shipment'!$C$10:$C$1048462,AA477)</f>
        <v>0</v>
      </c>
      <c r="Y477" s="111">
        <f>IF(SUMIFS(DIH!$S$2:$S833,DIH!$D$2:$D833,B477,DIH!$U$2:$U833,AA477)&gt;0,SUMIFS(DIH!$S$2:$S833,DIH!$D$2:$D833,B477,DIH!$U$2:$U833,AA477),0)</f>
        <v>2</v>
      </c>
      <c r="Z477" s="112">
        <f t="shared" si="7"/>
        <v>2</v>
      </c>
      <c r="AA477" s="130" t="s">
        <v>13</v>
      </c>
      <c r="AB477" s="114">
        <f>IF(ISNA(VLOOKUP($B477,'Business Report'!$D$2:$J$202,2,0)),"",VLOOKUP($B477,'Business Report'!$D$2:$J$202,2,0))</f>
        <v>5</v>
      </c>
      <c r="AC477" s="115">
        <f>SUMIFS(AFS!$P$2:$P$6260,AFS!$N$2:$N$6260,B477,AFS!$AT$2:$AT$6260,AA477)</f>
        <v>0</v>
      </c>
      <c r="AD477" s="116">
        <f t="shared" si="8"/>
        <v>-2</v>
      </c>
      <c r="AE477" s="117"/>
      <c r="AF477" s="118" t="str">
        <f t="shared" si="9"/>
        <v/>
      </c>
      <c r="AG477" s="26"/>
      <c r="AH477" s="26"/>
      <c r="AI477" s="26"/>
    </row>
    <row r="478">
      <c r="A478" s="120" t="s">
        <v>7482</v>
      </c>
      <c r="B478" s="7" t="s">
        <v>99</v>
      </c>
      <c r="C478" s="95" t="s">
        <v>7485</v>
      </c>
      <c r="D478" s="109" t="s">
        <v>162</v>
      </c>
      <c r="E478" s="97">
        <f t="shared" si="2"/>
        <v>1</v>
      </c>
      <c r="F478" s="97">
        <f t="shared" si="3"/>
        <v>0</v>
      </c>
      <c r="G478" s="99">
        <f t="shared" si="77"/>
        <v>2</v>
      </c>
      <c r="H478" s="121"/>
      <c r="I478" s="122"/>
      <c r="J478" s="123"/>
      <c r="K478" s="124"/>
      <c r="L478" s="125"/>
      <c r="M478" s="181"/>
      <c r="N478" s="126"/>
      <c r="O478" s="127"/>
      <c r="P478" s="13">
        <f t="array" ref="P478">XLOOKUP(B478,Weight!B:B,Weight!D:D,"#N/A",0)</f>
        <v>75</v>
      </c>
      <c r="Q478" s="17">
        <f t="shared" si="6"/>
        <v>150</v>
      </c>
      <c r="R478" s="107"/>
      <c r="S478" s="108">
        <v>560313.0</v>
      </c>
      <c r="T478" s="108">
        <v>12.0</v>
      </c>
      <c r="U478" s="109">
        <v>40.0</v>
      </c>
      <c r="V478" s="110"/>
      <c r="X478" s="111">
        <f>SUMIFS('Transit Shipment'!$B$10:$B$1048462,'Transit Shipment'!$A$10:$A$1048462,B478,'Transit Shipment'!$C$10:$C$1048462,AA478)</f>
        <v>0</v>
      </c>
      <c r="Y478" s="111">
        <f>IF(SUMIFS(DIH!$S$2:$S833,DIH!$D$2:$D833,B478,DIH!$U$2:$U833,AA478)&gt;0,SUMIFS(DIH!$S$2:$S833,DIH!$D$2:$D833,B478,DIH!$U$2:$U833,AA478),0)</f>
        <v>0</v>
      </c>
      <c r="Z478" s="112">
        <f t="shared" si="7"/>
        <v>0</v>
      </c>
      <c r="AA478" s="119" t="s">
        <v>14</v>
      </c>
      <c r="AB478" s="114">
        <f>IF(ISNA(VLOOKUP($B478,'Business Report'!$D$2:$J$202,2,0)),"",VLOOKUP($B478,'Business Report'!$D$2:$J$202,2,0))</f>
        <v>5</v>
      </c>
      <c r="AC478" s="115">
        <f>SUMIFS(AFS!$P$2:$P$6260,AFS!$N$2:$N$6260,B478,AFS!$AT$2:$AT$6260,AA478)</f>
        <v>1</v>
      </c>
      <c r="AD478" s="116">
        <f t="shared" si="8"/>
        <v>2</v>
      </c>
      <c r="AE478" s="117"/>
      <c r="AF478" s="118">
        <f t="shared" si="9"/>
        <v>2</v>
      </c>
      <c r="AG478" s="26"/>
      <c r="AH478" s="26"/>
      <c r="AI478" s="26"/>
    </row>
    <row r="479">
      <c r="A479" s="120" t="s">
        <v>7482</v>
      </c>
      <c r="B479" s="7" t="s">
        <v>99</v>
      </c>
      <c r="C479" s="95" t="s">
        <v>7485</v>
      </c>
      <c r="D479" s="109" t="s">
        <v>162</v>
      </c>
      <c r="E479" s="97" t="str">
        <f t="shared" si="2"/>
        <v/>
      </c>
      <c r="F479" s="97" t="str">
        <f t="shared" si="3"/>
        <v/>
      </c>
      <c r="G479" s="99" t="str">
        <f t="shared" si="77"/>
        <v/>
      </c>
      <c r="H479" s="121"/>
      <c r="I479" s="122"/>
      <c r="J479" s="123"/>
      <c r="K479" s="124"/>
      <c r="L479" s="125"/>
      <c r="M479" s="181"/>
      <c r="N479" s="126"/>
      <c r="O479" s="127"/>
      <c r="P479" s="13">
        <f t="array" ref="P479">XLOOKUP(B479,Weight!B:B,Weight!D:D,"#N/A",0)</f>
        <v>75</v>
      </c>
      <c r="Q479" s="17" t="str">
        <f t="shared" si="6"/>
        <v/>
      </c>
      <c r="R479" s="107"/>
      <c r="S479" s="108">
        <v>560313.0</v>
      </c>
      <c r="T479" s="108">
        <v>12.0</v>
      </c>
      <c r="U479" s="109">
        <v>40.0</v>
      </c>
      <c r="V479" s="110"/>
      <c r="X479" s="111">
        <f>SUMIFS('Transit Shipment'!$B$10:$B$1048462,'Transit Shipment'!$A$10:$A$1048462,B479,'Transit Shipment'!$C$10:$C$1048462,AA479)</f>
        <v>0</v>
      </c>
      <c r="Y479" s="111">
        <f>IF(SUMIFS(DIH!$S$2:$S833,DIH!$D$2:$D833,B479,DIH!$U$2:$U833,AA479)&gt;0,SUMIFS(DIH!$S$2:$S833,DIH!$D$2:$D833,B479,DIH!$U$2:$U833,AA479),0)</f>
        <v>1</v>
      </c>
      <c r="Z479" s="112">
        <f t="shared" si="7"/>
        <v>1</v>
      </c>
      <c r="AA479" s="131" t="s">
        <v>16</v>
      </c>
      <c r="AB479" s="114">
        <f>IF(ISNA(VLOOKUP($B479,'Business Report'!$D$2:$J$202,2,0)),"",VLOOKUP($B479,'Business Report'!$D$2:$J$202,2,0))</f>
        <v>5</v>
      </c>
      <c r="AC479" s="115">
        <f>SUMIFS(AFS!$P$2:$P$6260,AFS!$N$2:$N$6260,B479,AFS!$AT$2:$AT$6260,AA479)</f>
        <v>0</v>
      </c>
      <c r="AD479" s="116">
        <f t="shared" si="8"/>
        <v>-1</v>
      </c>
      <c r="AE479" s="117"/>
      <c r="AF479" s="118" t="str">
        <f t="shared" si="9"/>
        <v/>
      </c>
      <c r="AG479" s="26"/>
      <c r="AH479" s="26"/>
      <c r="AI479" s="26"/>
    </row>
    <row r="480">
      <c r="A480" s="132" t="s">
        <v>7482</v>
      </c>
      <c r="B480" s="128" t="s">
        <v>99</v>
      </c>
      <c r="C480" s="133" t="s">
        <v>7485</v>
      </c>
      <c r="D480" s="134" t="s">
        <v>162</v>
      </c>
      <c r="E480" s="135">
        <f t="shared" si="2"/>
        <v>0</v>
      </c>
      <c r="F480" s="135">
        <f t="shared" si="3"/>
        <v>0.5</v>
      </c>
      <c r="G480" s="136">
        <f t="shared" si="77"/>
        <v>2</v>
      </c>
      <c r="H480" s="137"/>
      <c r="I480" s="138"/>
      <c r="J480" s="139"/>
      <c r="K480" s="140"/>
      <c r="L480" s="135"/>
      <c r="M480" s="152"/>
      <c r="N480" s="142"/>
      <c r="O480" s="143"/>
      <c r="P480" s="144">
        <f t="array" ref="P480">XLOOKUP(B480,Weight!B:B,Weight!D:D,"#N/A",0)</f>
        <v>75</v>
      </c>
      <c r="Q480" s="145">
        <f t="shared" si="6"/>
        <v>150</v>
      </c>
      <c r="R480" s="146"/>
      <c r="S480" s="147">
        <v>560313.0</v>
      </c>
      <c r="T480" s="147">
        <v>12.0</v>
      </c>
      <c r="U480" s="109">
        <v>40.0</v>
      </c>
      <c r="V480" s="148"/>
      <c r="W480" s="149"/>
      <c r="X480" s="150">
        <f>SUMIFS('Transit Shipment'!$B$10:$B$1048462,'Transit Shipment'!$A$10:$A$1048462,B480,'Transit Shipment'!$C$10:$C$1048462,AA480)</f>
        <v>0</v>
      </c>
      <c r="Y480" s="150">
        <f>IF(SUMIFS(DIH!$S$2:$S833,DIH!$D$2:$D833,B480,DIH!$U$2:$U833,AA480)&gt;0,SUMIFS(DIH!$S$2:$S833,DIH!$D$2:$D833,B480,DIH!$U$2:$U833,AA480),0)</f>
        <v>1</v>
      </c>
      <c r="Z480" s="151">
        <f t="shared" si="7"/>
        <v>1</v>
      </c>
      <c r="AA480" s="152" t="s">
        <v>17</v>
      </c>
      <c r="AB480" s="154">
        <f>IF(ISNA(VLOOKUP($B480,'Business Report'!$D$2:$J$202,2,0)),"",VLOOKUP($B480,'Business Report'!$D$2:$J$202,2,0))</f>
        <v>5</v>
      </c>
      <c r="AC480" s="155">
        <f>SUMIFS(AFS!$P$2:$P$6260,AFS!$N$2:$N$6260,B480,AFS!$AT$2:$AT$6260,AA480)</f>
        <v>1</v>
      </c>
      <c r="AD480" s="156">
        <f t="shared" si="8"/>
        <v>1</v>
      </c>
      <c r="AE480" s="159">
        <f>SUM(AD472:AD480)</f>
        <v>4</v>
      </c>
      <c r="AF480" s="118">
        <f t="shared" si="9"/>
        <v>2</v>
      </c>
      <c r="AG480" s="26"/>
      <c r="AH480" s="26"/>
      <c r="AI480" s="26"/>
    </row>
    <row r="481">
      <c r="A481" s="66" t="s">
        <v>7619</v>
      </c>
      <c r="B481" s="129" t="s">
        <v>102</v>
      </c>
      <c r="C481" s="95" t="s">
        <v>7620</v>
      </c>
      <c r="D481" s="68" t="s">
        <v>162</v>
      </c>
      <c r="E481" s="69">
        <f t="shared" si="2"/>
        <v>1</v>
      </c>
      <c r="F481" s="69">
        <f t="shared" si="3"/>
        <v>0</v>
      </c>
      <c r="G481" s="70" t="str">
        <f t="shared" si="77"/>
        <v/>
      </c>
      <c r="H481" s="163"/>
      <c r="I481" s="101"/>
      <c r="J481" s="102"/>
      <c r="K481" s="167"/>
      <c r="L481" s="119"/>
      <c r="M481" s="169"/>
      <c r="N481" s="171"/>
      <c r="O481" s="106"/>
      <c r="P481" s="79">
        <f t="array" ref="P481">XLOOKUP(B481,Weight!B:B,Weight!D:D,"#N/A",0)</f>
        <v>75</v>
      </c>
      <c r="Q481" s="80" t="str">
        <f t="shared" si="6"/>
        <v/>
      </c>
      <c r="R481" s="107"/>
      <c r="S481" s="108">
        <v>560313.0</v>
      </c>
      <c r="T481" s="108">
        <v>12.0</v>
      </c>
      <c r="U481" s="83">
        <v>40.0</v>
      </c>
      <c r="V481" s="84" t="str">
        <f t="shared" ref="V481:W481" si="86">B481</f>
        <v>CRM-HP-4826-Black-1</v>
      </c>
      <c r="W481" s="174" t="str">
        <f t="shared" si="86"/>
        <v>Crasome Dust &amp; Water Proof Printer Cover for HP Deskjet All-in-One 4826 (Black)</v>
      </c>
      <c r="X481" s="86">
        <f>SUMIFS('Transit Shipment'!$B$10:$B$1048462,'Transit Shipment'!$A$10:$A$1048462,B481,'Transit Shipment'!$C$10:$C$1048462,AA481)</f>
        <v>0</v>
      </c>
      <c r="Y481" s="86">
        <f>IF(SUMIFS(DIH!$S$2:$S833,DIH!$D$2:$D833,B481,DIH!$U$2:$U833,AA481)&gt;0,SUMIFS(DIH!$S$2:$S833,DIH!$D$2:$D833,B481,DIH!$U$2:$U833,AA481),0)</f>
        <v>0</v>
      </c>
      <c r="Z481" s="87">
        <f t="shared" si="7"/>
        <v>0</v>
      </c>
      <c r="AA481" s="88" t="s">
        <v>5</v>
      </c>
      <c r="AB481" s="89" t="str">
        <f>IF(ISNA(VLOOKUP($B481,'Business Report'!$D$2:$J$202,2,0)),"",VLOOKUP($B481,'Business Report'!$D$2:$J$202,2,0))</f>
        <v/>
      </c>
      <c r="AC481" s="90">
        <f>SUMIFS(AFS!$P$2:$P$6260,AFS!$N$2:$N$6260,B481,AFS!$AT$2:$AT$6260,AA481)</f>
        <v>0</v>
      </c>
      <c r="AD481" s="91">
        <f t="shared" si="8"/>
        <v>0</v>
      </c>
      <c r="AE481" s="92"/>
      <c r="AF481" s="93" t="str">
        <f t="shared" si="9"/>
        <v/>
      </c>
      <c r="AG481" s="26"/>
      <c r="AH481" s="26"/>
      <c r="AI481" s="26"/>
    </row>
    <row r="482">
      <c r="A482" s="94" t="s">
        <v>7619</v>
      </c>
      <c r="B482" s="7" t="s">
        <v>102</v>
      </c>
      <c r="C482" s="95" t="s">
        <v>7620</v>
      </c>
      <c r="D482" s="96" t="s">
        <v>162</v>
      </c>
      <c r="E482" s="97">
        <f t="shared" si="2"/>
        <v>1</v>
      </c>
      <c r="F482" s="97">
        <f t="shared" si="3"/>
        <v>0</v>
      </c>
      <c r="G482" s="99" t="str">
        <f t="shared" si="77"/>
        <v/>
      </c>
      <c r="H482" s="100"/>
      <c r="I482" s="101"/>
      <c r="J482" s="102"/>
      <c r="K482" s="103"/>
      <c r="L482" s="97"/>
      <c r="M482" s="169"/>
      <c r="N482" s="105"/>
      <c r="O482" s="106"/>
      <c r="P482" s="13">
        <f t="array" ref="P482">XLOOKUP(B482,Weight!B:B,Weight!D:D,"#N/A",0)</f>
        <v>75</v>
      </c>
      <c r="Q482" s="17" t="str">
        <f t="shared" si="6"/>
        <v/>
      </c>
      <c r="R482" s="107"/>
      <c r="S482" s="108">
        <v>560313.0</v>
      </c>
      <c r="T482" s="108">
        <v>12.0</v>
      </c>
      <c r="U482" s="109">
        <v>40.0</v>
      </c>
      <c r="V482" s="110"/>
      <c r="X482" s="111">
        <f>SUMIFS('Transit Shipment'!$B$10:$B$1048462,'Transit Shipment'!$A$10:$A$1048462,B482,'Transit Shipment'!$C$10:$C$1048462,AA482)</f>
        <v>0</v>
      </c>
      <c r="Y482" s="111">
        <f>IF(SUMIFS(DIH!$S$2:$S833,DIH!$D$2:$D833,B482,DIH!$U$2:$U833,AA482)&gt;0,SUMIFS(DIH!$S$2:$S833,DIH!$D$2:$D833,B482,DIH!$U$2:$U833,AA482),0)</f>
        <v>0</v>
      </c>
      <c r="Z482" s="112">
        <f t="shared" si="7"/>
        <v>0</v>
      </c>
      <c r="AA482" s="113" t="s">
        <v>11</v>
      </c>
      <c r="AB482" s="114" t="str">
        <f>IF(ISNA(VLOOKUP($B482,'Business Report'!$D$2:$J$202,2,0)),"",VLOOKUP($B482,'Business Report'!$D$2:$J$202,2,0))</f>
        <v/>
      </c>
      <c r="AC482" s="115">
        <f>SUMIFS(AFS!$P$2:$P$6260,AFS!$N$2:$N$6260,B482,AFS!$AT$2:$AT$6260,AA482)</f>
        <v>0</v>
      </c>
      <c r="AD482" s="116">
        <f t="shared" si="8"/>
        <v>0</v>
      </c>
      <c r="AE482" s="117"/>
      <c r="AF482" s="118" t="str">
        <f t="shared" si="9"/>
        <v/>
      </c>
      <c r="AG482" s="26"/>
      <c r="AH482" s="26"/>
      <c r="AI482" s="26"/>
    </row>
    <row r="483">
      <c r="A483" s="94" t="s">
        <v>7619</v>
      </c>
      <c r="B483" s="7" t="s">
        <v>102</v>
      </c>
      <c r="C483" s="95" t="s">
        <v>7620</v>
      </c>
      <c r="D483" s="96" t="s">
        <v>162</v>
      </c>
      <c r="E483" s="97">
        <f t="shared" si="2"/>
        <v>1</v>
      </c>
      <c r="F483" s="97">
        <f t="shared" si="3"/>
        <v>0</v>
      </c>
      <c r="G483" s="99" t="str">
        <f t="shared" si="77"/>
        <v/>
      </c>
      <c r="H483" s="100"/>
      <c r="I483" s="101"/>
      <c r="J483" s="102"/>
      <c r="K483" s="103"/>
      <c r="L483" s="97"/>
      <c r="M483" s="169"/>
      <c r="N483" s="105"/>
      <c r="O483" s="106"/>
      <c r="P483" s="13">
        <f t="array" ref="P483">XLOOKUP(B483,Weight!B:B,Weight!D:D,"#N/A",0)</f>
        <v>75</v>
      </c>
      <c r="Q483" s="17" t="str">
        <f t="shared" si="6"/>
        <v/>
      </c>
      <c r="R483" s="107"/>
      <c r="S483" s="108">
        <v>560313.0</v>
      </c>
      <c r="T483" s="108">
        <v>12.0</v>
      </c>
      <c r="U483" s="109">
        <v>40.0</v>
      </c>
      <c r="V483" s="110"/>
      <c r="X483" s="111">
        <f>SUMIFS('Transit Shipment'!$B$10:$B$1048462,'Transit Shipment'!$A$10:$A$1048462,B483,'Transit Shipment'!$C$10:$C$1048462,AA483)</f>
        <v>0</v>
      </c>
      <c r="Y483" s="111">
        <f>IF(SUMIFS(DIH!$S$2:$S833,DIH!$D$2:$D833,B483,DIH!$U$2:$U833,AA483)&gt;0,SUMIFS(DIH!$S$2:$S833,DIH!$D$2:$D833,B483,DIH!$U$2:$U833,AA483),0)</f>
        <v>0</v>
      </c>
      <c r="Z483" s="112">
        <f t="shared" si="7"/>
        <v>0</v>
      </c>
      <c r="AA483" s="119" t="s">
        <v>9</v>
      </c>
      <c r="AB483" s="114" t="str">
        <f>IF(ISNA(VLOOKUP($B483,'Business Report'!$D$2:$J$202,2,0)),"",VLOOKUP($B483,'Business Report'!$D$2:$J$202,2,0))</f>
        <v/>
      </c>
      <c r="AC483" s="115">
        <f>SUMIFS(AFS!$P$2:$P$6260,AFS!$N$2:$N$6260,B483,AFS!$AT$2:$AT$6260,AA483)</f>
        <v>0</v>
      </c>
      <c r="AD483" s="116">
        <f t="shared" si="8"/>
        <v>0</v>
      </c>
      <c r="AE483" s="117"/>
      <c r="AF483" s="118" t="str">
        <f t="shared" si="9"/>
        <v/>
      </c>
      <c r="AG483" s="26"/>
      <c r="AH483" s="26"/>
      <c r="AI483" s="26"/>
    </row>
    <row r="484">
      <c r="A484" s="120" t="s">
        <v>7619</v>
      </c>
      <c r="B484" s="7" t="s">
        <v>102</v>
      </c>
      <c r="C484" s="95" t="s">
        <v>7620</v>
      </c>
      <c r="D484" s="109" t="s">
        <v>162</v>
      </c>
      <c r="E484" s="97">
        <f t="shared" si="2"/>
        <v>1</v>
      </c>
      <c r="F484" s="97">
        <f t="shared" si="3"/>
        <v>0</v>
      </c>
      <c r="G484" s="99" t="str">
        <f t="shared" si="77"/>
        <v/>
      </c>
      <c r="H484" s="121"/>
      <c r="I484" s="122"/>
      <c r="J484" s="123"/>
      <c r="K484" s="124"/>
      <c r="L484" s="125"/>
      <c r="M484" s="181"/>
      <c r="N484" s="126"/>
      <c r="O484" s="127"/>
      <c r="P484" s="13">
        <f t="array" ref="P484">XLOOKUP(B484,Weight!B:B,Weight!D:D,"#N/A",0)</f>
        <v>75</v>
      </c>
      <c r="Q484" s="17" t="str">
        <f t="shared" si="6"/>
        <v/>
      </c>
      <c r="R484" s="107"/>
      <c r="S484" s="108">
        <v>560313.0</v>
      </c>
      <c r="T484" s="108">
        <v>12.0</v>
      </c>
      <c r="U484" s="109">
        <v>40.0</v>
      </c>
      <c r="V484" s="110"/>
      <c r="X484" s="111">
        <f>SUMIFS('Transit Shipment'!$B$10:$B$1048462,'Transit Shipment'!$A$10:$A$1048462,B484,'Transit Shipment'!$C$10:$C$1048462,AA484)</f>
        <v>0</v>
      </c>
      <c r="Y484" s="111">
        <f>IF(SUMIFS(DIH!$S$2:$S833,DIH!$D$2:$D833,B484,DIH!$U$2:$U833,AA484)&gt;0,SUMIFS(DIH!$S$2:$S833,DIH!$D$2:$D833,B484,DIH!$U$2:$U833,AA484),0)</f>
        <v>0</v>
      </c>
      <c r="Z484" s="112">
        <f t="shared" si="7"/>
        <v>0</v>
      </c>
      <c r="AA484" s="119" t="s">
        <v>155</v>
      </c>
      <c r="AB484" s="114" t="str">
        <f>IF(ISNA(VLOOKUP($B484,'Business Report'!$D$2:$J$202,2,0)),"",VLOOKUP($B484,'Business Report'!$D$2:$J$202,2,0))</f>
        <v/>
      </c>
      <c r="AC484" s="115">
        <f>SUMIFS(AFS!$P$2:$P$6260,AFS!$N$2:$N$6260,B484,AFS!$AT$2:$AT$6260,AA484)</f>
        <v>0</v>
      </c>
      <c r="AD484" s="116">
        <f t="shared" si="8"/>
        <v>0</v>
      </c>
      <c r="AE484" s="117"/>
      <c r="AF484" s="118" t="str">
        <f t="shared" si="9"/>
        <v/>
      </c>
      <c r="AG484" s="26"/>
      <c r="AH484" s="26"/>
      <c r="AI484" s="26"/>
    </row>
    <row r="485">
      <c r="A485" s="120" t="s">
        <v>7619</v>
      </c>
      <c r="B485" s="7" t="s">
        <v>102</v>
      </c>
      <c r="C485" s="95" t="s">
        <v>7620</v>
      </c>
      <c r="D485" s="109" t="s">
        <v>162</v>
      </c>
      <c r="E485" s="97">
        <f t="shared" si="2"/>
        <v>1</v>
      </c>
      <c r="F485" s="97">
        <f t="shared" si="3"/>
        <v>0</v>
      </c>
      <c r="G485" s="99" t="str">
        <f t="shared" si="77"/>
        <v/>
      </c>
      <c r="H485" s="121"/>
      <c r="I485" s="122"/>
      <c r="J485" s="123"/>
      <c r="K485" s="124"/>
      <c r="L485" s="125"/>
      <c r="M485" s="181"/>
      <c r="N485" s="126"/>
      <c r="O485" s="127"/>
      <c r="P485" s="13">
        <f t="array" ref="P485">XLOOKUP(B485,Weight!B:B,Weight!D:D,"#N/A",0)</f>
        <v>75</v>
      </c>
      <c r="Q485" s="17" t="str">
        <f t="shared" si="6"/>
        <v/>
      </c>
      <c r="R485" s="107"/>
      <c r="S485" s="108">
        <v>560313.0</v>
      </c>
      <c r="T485" s="108">
        <v>12.0</v>
      </c>
      <c r="U485" s="109">
        <v>40.0</v>
      </c>
      <c r="V485" s="110"/>
      <c r="X485" s="111">
        <f>SUMIFS('Transit Shipment'!$B$10:$B$1048462,'Transit Shipment'!$A$10:$A$1048462,B485,'Transit Shipment'!$C$10:$C$1048462,AA485)</f>
        <v>0</v>
      </c>
      <c r="Y485" s="111">
        <f>IF(SUMIFS(DIH!$S$2:$S833,DIH!$D$2:$D833,B485,DIH!$U$2:$U833,AA485)&gt;0,SUMIFS(DIH!$S$2:$S833,DIH!$D$2:$D833,B485,DIH!$U$2:$U833,AA485),0)</f>
        <v>0</v>
      </c>
      <c r="Z485" s="112">
        <f t="shared" si="7"/>
        <v>0</v>
      </c>
      <c r="AA485" s="119" t="s">
        <v>156</v>
      </c>
      <c r="AB485" s="114" t="str">
        <f>IF(ISNA(VLOOKUP($B485,'Business Report'!$D$2:$J$202,2,0)),"",VLOOKUP($B485,'Business Report'!$D$2:$J$202,2,0))</f>
        <v/>
      </c>
      <c r="AC485" s="115">
        <f>SUMIFS(AFS!$P$2:$P$6260,AFS!$N$2:$N$6260,B485,AFS!$AT$2:$AT$6260,AA485)</f>
        <v>0</v>
      </c>
      <c r="AD485" s="116">
        <f t="shared" si="8"/>
        <v>0</v>
      </c>
      <c r="AE485" s="117"/>
      <c r="AF485" s="118" t="str">
        <f t="shared" si="9"/>
        <v/>
      </c>
      <c r="AG485" s="26"/>
      <c r="AH485" s="26"/>
      <c r="AI485" s="26"/>
    </row>
    <row r="486">
      <c r="A486" s="120" t="s">
        <v>7619</v>
      </c>
      <c r="B486" s="7" t="s">
        <v>102</v>
      </c>
      <c r="C486" s="95" t="s">
        <v>7620</v>
      </c>
      <c r="D486" s="109" t="s">
        <v>162</v>
      </c>
      <c r="E486" s="97">
        <f t="shared" si="2"/>
        <v>1</v>
      </c>
      <c r="F486" s="97">
        <f t="shared" si="3"/>
        <v>0</v>
      </c>
      <c r="G486" s="99" t="str">
        <f t="shared" si="77"/>
        <v/>
      </c>
      <c r="H486" s="121"/>
      <c r="I486" s="122"/>
      <c r="J486" s="123"/>
      <c r="K486" s="124"/>
      <c r="L486" s="125"/>
      <c r="M486" s="181"/>
      <c r="N486" s="126"/>
      <c r="O486" s="127"/>
      <c r="P486" s="13">
        <f t="array" ref="P486">XLOOKUP(B486,Weight!B:B,Weight!D:D,"#N/A",0)</f>
        <v>75</v>
      </c>
      <c r="Q486" s="17" t="str">
        <f t="shared" si="6"/>
        <v/>
      </c>
      <c r="R486" s="107"/>
      <c r="S486" s="108">
        <v>560313.0</v>
      </c>
      <c r="T486" s="108">
        <v>12.0</v>
      </c>
      <c r="U486" s="109">
        <v>40.0</v>
      </c>
      <c r="V486" s="110"/>
      <c r="X486" s="111">
        <f>SUMIFS('Transit Shipment'!$B$10:$B$1048462,'Transit Shipment'!$A$10:$A$1048462,B486,'Transit Shipment'!$C$10:$C$1048462,AA486)</f>
        <v>0</v>
      </c>
      <c r="Y486" s="111">
        <f>IF(SUMIFS(DIH!$S$2:$S833,DIH!$D$2:$D833,B486,DIH!$U$2:$U833,AA486)&gt;0,SUMIFS(DIH!$S$2:$S833,DIH!$D$2:$D833,B486,DIH!$U$2:$U833,AA486),0)</f>
        <v>0</v>
      </c>
      <c r="Z486" s="112">
        <f t="shared" si="7"/>
        <v>0</v>
      </c>
      <c r="AA486" s="130" t="s">
        <v>13</v>
      </c>
      <c r="AB486" s="114" t="str">
        <f>IF(ISNA(VLOOKUP($B486,'Business Report'!$D$2:$J$202,2,0)),"",VLOOKUP($B486,'Business Report'!$D$2:$J$202,2,0))</f>
        <v/>
      </c>
      <c r="AC486" s="115">
        <f>SUMIFS(AFS!$P$2:$P$6260,AFS!$N$2:$N$6260,B486,AFS!$AT$2:$AT$6260,AA486)</f>
        <v>0</v>
      </c>
      <c r="AD486" s="116">
        <f t="shared" si="8"/>
        <v>0</v>
      </c>
      <c r="AE486" s="117"/>
      <c r="AF486" s="118" t="str">
        <f t="shared" si="9"/>
        <v/>
      </c>
      <c r="AG486" s="26"/>
      <c r="AH486" s="26"/>
      <c r="AI486" s="26"/>
    </row>
    <row r="487">
      <c r="A487" s="120" t="s">
        <v>7619</v>
      </c>
      <c r="B487" s="7" t="s">
        <v>102</v>
      </c>
      <c r="C487" s="95" t="s">
        <v>7620</v>
      </c>
      <c r="D487" s="109" t="s">
        <v>162</v>
      </c>
      <c r="E487" s="97">
        <f t="shared" si="2"/>
        <v>1</v>
      </c>
      <c r="F487" s="97">
        <f t="shared" si="3"/>
        <v>0</v>
      </c>
      <c r="G487" s="99" t="str">
        <f t="shared" si="77"/>
        <v/>
      </c>
      <c r="H487" s="121"/>
      <c r="I487" s="122"/>
      <c r="J487" s="123"/>
      <c r="K487" s="124"/>
      <c r="L487" s="125"/>
      <c r="M487" s="181"/>
      <c r="N487" s="126"/>
      <c r="O487" s="127"/>
      <c r="P487" s="13">
        <f t="array" ref="P487">XLOOKUP(B487,Weight!B:B,Weight!D:D,"#N/A",0)</f>
        <v>75</v>
      </c>
      <c r="Q487" s="17" t="str">
        <f t="shared" si="6"/>
        <v/>
      </c>
      <c r="R487" s="107"/>
      <c r="S487" s="108">
        <v>560313.0</v>
      </c>
      <c r="T487" s="108">
        <v>12.0</v>
      </c>
      <c r="U487" s="109">
        <v>40.0</v>
      </c>
      <c r="V487" s="110"/>
      <c r="X487" s="111">
        <f>SUMIFS('Transit Shipment'!$B$10:$B$1048462,'Transit Shipment'!$A$10:$A$1048462,B487,'Transit Shipment'!$C$10:$C$1048462,AA487)</f>
        <v>0</v>
      </c>
      <c r="Y487" s="111">
        <f>IF(SUMIFS(DIH!$S$2:$S833,DIH!$D$2:$D833,B487,DIH!$U$2:$U833,AA487)&gt;0,SUMIFS(DIH!$S$2:$S833,DIH!$D$2:$D833,B487,DIH!$U$2:$U833,AA487),0)</f>
        <v>0</v>
      </c>
      <c r="Z487" s="112">
        <f t="shared" si="7"/>
        <v>0</v>
      </c>
      <c r="AA487" s="119" t="s">
        <v>14</v>
      </c>
      <c r="AB487" s="114" t="str">
        <f>IF(ISNA(VLOOKUP($B487,'Business Report'!$D$2:$J$202,2,0)),"",VLOOKUP($B487,'Business Report'!$D$2:$J$202,2,0))</f>
        <v/>
      </c>
      <c r="AC487" s="115">
        <f>SUMIFS(AFS!$P$2:$P$6260,AFS!$N$2:$N$6260,B487,AFS!$AT$2:$AT$6260,AA487)</f>
        <v>0</v>
      </c>
      <c r="AD487" s="116">
        <f t="shared" si="8"/>
        <v>0</v>
      </c>
      <c r="AE487" s="117"/>
      <c r="AF487" s="118" t="str">
        <f t="shared" si="9"/>
        <v/>
      </c>
      <c r="AG487" s="26"/>
      <c r="AH487" s="26"/>
      <c r="AI487" s="26"/>
    </row>
    <row r="488">
      <c r="A488" s="120" t="s">
        <v>7619</v>
      </c>
      <c r="B488" s="7" t="s">
        <v>102</v>
      </c>
      <c r="C488" s="95" t="s">
        <v>7620</v>
      </c>
      <c r="D488" s="109" t="s">
        <v>162</v>
      </c>
      <c r="E488" s="97">
        <f t="shared" si="2"/>
        <v>1</v>
      </c>
      <c r="F488" s="97">
        <f t="shared" si="3"/>
        <v>0</v>
      </c>
      <c r="G488" s="99" t="str">
        <f t="shared" si="77"/>
        <v/>
      </c>
      <c r="H488" s="121"/>
      <c r="I488" s="122"/>
      <c r="J488" s="123"/>
      <c r="K488" s="124"/>
      <c r="L488" s="125"/>
      <c r="M488" s="181"/>
      <c r="N488" s="126"/>
      <c r="O488" s="127"/>
      <c r="P488" s="13">
        <f t="array" ref="P488">XLOOKUP(B488,Weight!B:B,Weight!D:D,"#N/A",0)</f>
        <v>75</v>
      </c>
      <c r="Q488" s="17" t="str">
        <f t="shared" si="6"/>
        <v/>
      </c>
      <c r="R488" s="107"/>
      <c r="S488" s="108">
        <v>560313.0</v>
      </c>
      <c r="T488" s="108">
        <v>12.0</v>
      </c>
      <c r="U488" s="109">
        <v>40.0</v>
      </c>
      <c r="V488" s="110"/>
      <c r="X488" s="111">
        <f>SUMIFS('Transit Shipment'!$B$10:$B$1048462,'Transit Shipment'!$A$10:$A$1048462,B488,'Transit Shipment'!$C$10:$C$1048462,AA488)</f>
        <v>0</v>
      </c>
      <c r="Y488" s="111">
        <f>IF(SUMIFS(DIH!$S$2:$S833,DIH!$D$2:$D833,B488,DIH!$U$2:$U833,AA488)&gt;0,SUMIFS(DIH!$S$2:$S833,DIH!$D$2:$D833,B488,DIH!$U$2:$U833,AA488),0)</f>
        <v>0</v>
      </c>
      <c r="Z488" s="112">
        <f t="shared" si="7"/>
        <v>0</v>
      </c>
      <c r="AA488" s="131" t="s">
        <v>16</v>
      </c>
      <c r="AB488" s="114" t="str">
        <f>IF(ISNA(VLOOKUP($B488,'Business Report'!$D$2:$J$202,2,0)),"",VLOOKUP($B488,'Business Report'!$D$2:$J$202,2,0))</f>
        <v/>
      </c>
      <c r="AC488" s="115">
        <f>SUMIFS(AFS!$P$2:$P$6260,AFS!$N$2:$N$6260,B488,AFS!$AT$2:$AT$6260,AA488)</f>
        <v>0</v>
      </c>
      <c r="AD488" s="116">
        <f t="shared" si="8"/>
        <v>0</v>
      </c>
      <c r="AE488" s="117"/>
      <c r="AF488" s="118" t="str">
        <f t="shared" si="9"/>
        <v/>
      </c>
      <c r="AG488" s="26"/>
      <c r="AH488" s="26"/>
      <c r="AI488" s="26"/>
    </row>
    <row r="489">
      <c r="A489" s="132" t="s">
        <v>7619</v>
      </c>
      <c r="B489" s="128" t="s">
        <v>102</v>
      </c>
      <c r="C489" s="133" t="s">
        <v>7620</v>
      </c>
      <c r="D489" s="134" t="s">
        <v>162</v>
      </c>
      <c r="E489" s="135">
        <f t="shared" si="2"/>
        <v>1</v>
      </c>
      <c r="F489" s="135">
        <f t="shared" si="3"/>
        <v>0</v>
      </c>
      <c r="G489" s="136" t="str">
        <f t="shared" si="77"/>
        <v/>
      </c>
      <c r="H489" s="137"/>
      <c r="I489" s="138"/>
      <c r="J489" s="139"/>
      <c r="K489" s="140"/>
      <c r="L489" s="135"/>
      <c r="M489" s="152"/>
      <c r="N489" s="142"/>
      <c r="O489" s="143"/>
      <c r="P489" s="144">
        <f t="array" ref="P489">XLOOKUP(B489,Weight!B:B,Weight!D:D,"#N/A",0)</f>
        <v>75</v>
      </c>
      <c r="Q489" s="145" t="str">
        <f t="shared" si="6"/>
        <v/>
      </c>
      <c r="R489" s="146"/>
      <c r="S489" s="147">
        <v>560313.0</v>
      </c>
      <c r="T489" s="147">
        <v>12.0</v>
      </c>
      <c r="U489" s="109">
        <v>40.0</v>
      </c>
      <c r="V489" s="148"/>
      <c r="W489" s="149"/>
      <c r="X489" s="150">
        <f>SUMIFS('Transit Shipment'!$B$10:$B$1048462,'Transit Shipment'!$A$10:$A$1048462,B489,'Transit Shipment'!$C$10:$C$1048462,AA489)</f>
        <v>0</v>
      </c>
      <c r="Y489" s="150">
        <f>IF(SUMIFS(DIH!$S$2:$S833,DIH!$D$2:$D833,B489,DIH!$U$2:$U833,AA489)&gt;0,SUMIFS(DIH!$S$2:$S833,DIH!$D$2:$D833,B489,DIH!$U$2:$U833,AA489),0)</f>
        <v>0</v>
      </c>
      <c r="Z489" s="151">
        <f t="shared" si="7"/>
        <v>0</v>
      </c>
      <c r="AA489" s="152" t="s">
        <v>17</v>
      </c>
      <c r="AB489" s="154" t="str">
        <f>IF(ISNA(VLOOKUP($B489,'Business Report'!$D$2:$J$202,2,0)),"",VLOOKUP($B489,'Business Report'!$D$2:$J$202,2,0))</f>
        <v/>
      </c>
      <c r="AC489" s="155">
        <f>SUMIFS(AFS!$P$2:$P$6260,AFS!$N$2:$N$6260,B489,AFS!$AT$2:$AT$6260,AA489)</f>
        <v>0</v>
      </c>
      <c r="AD489" s="156">
        <f t="shared" si="8"/>
        <v>0</v>
      </c>
      <c r="AE489" s="159">
        <f>SUM(AD481:AD489)</f>
        <v>0</v>
      </c>
      <c r="AF489" s="118" t="str">
        <f t="shared" si="9"/>
        <v/>
      </c>
      <c r="AG489" s="26"/>
      <c r="AH489" s="26"/>
      <c r="AI489" s="26"/>
    </row>
    <row r="490">
      <c r="A490" s="120" t="s">
        <v>7731</v>
      </c>
      <c r="B490" s="7" t="s">
        <v>104</v>
      </c>
      <c r="C490" s="95" t="s">
        <v>401</v>
      </c>
      <c r="D490" s="68" t="s">
        <v>162</v>
      </c>
      <c r="E490" s="69">
        <f t="shared" si="2"/>
        <v>1</v>
      </c>
      <c r="F490" s="69">
        <f t="shared" si="3"/>
        <v>0.5</v>
      </c>
      <c r="G490" s="70">
        <f t="shared" si="77"/>
        <v>4</v>
      </c>
      <c r="H490" s="121"/>
      <c r="I490" s="122"/>
      <c r="J490" s="123"/>
      <c r="K490" s="124"/>
      <c r="L490" s="125"/>
      <c r="M490" s="181"/>
      <c r="N490" s="126"/>
      <c r="O490" s="127"/>
      <c r="P490" s="79">
        <f t="array" ref="P490">XLOOKUP(B490,Weight!B:B,Weight!D:D,"#N/A",0)</f>
        <v>90</v>
      </c>
      <c r="Q490" s="80">
        <f t="shared" si="6"/>
        <v>360</v>
      </c>
      <c r="R490" s="107"/>
      <c r="S490" s="108">
        <v>560313.0</v>
      </c>
      <c r="T490" s="108">
        <v>12.0</v>
      </c>
      <c r="U490" s="83">
        <v>40.0</v>
      </c>
      <c r="V490" s="84" t="str">
        <f t="shared" ref="V490:W490" si="87">B490</f>
        <v>CRM-PR-G4770-NW-BLACK</v>
      </c>
      <c r="W490" s="174" t="str">
        <f t="shared" si="87"/>
        <v>Crasome Dust &amp; Water Proof Printer Cover for Canon Pixma G4770 (Black)</v>
      </c>
      <c r="X490" s="86">
        <f>SUMIFS('Transit Shipment'!$B$10:$B$1048462,'Transit Shipment'!$A$10:$A$1048462,B490,'Transit Shipment'!$C$10:$C$1048462,AA490)</f>
        <v>0</v>
      </c>
      <c r="Y490" s="86">
        <f>IF(SUMIFS(DIH!$S$2:$S833,DIH!$D$2:$D833,B490,DIH!$U$2:$U833,AA490)&gt;0,SUMIFS(DIH!$S$2:$S833,DIH!$D$2:$D833,B490,DIH!$U$2:$U833,AA490),0)</f>
        <v>0</v>
      </c>
      <c r="Z490" s="87">
        <f t="shared" si="7"/>
        <v>0</v>
      </c>
      <c r="AA490" s="88" t="s">
        <v>5</v>
      </c>
      <c r="AB490" s="89">
        <f>IF(ISNA(VLOOKUP($B490,'Business Report'!$D$2:$J$202,2,0)),"",VLOOKUP($B490,'Business Report'!$D$2:$J$202,2,0))</f>
        <v>11</v>
      </c>
      <c r="AC490" s="90">
        <f>SUMIFS(AFS!$P$2:$P$6260,AFS!$N$2:$N$6260,B490,AFS!$AT$2:$AT$6260,AA490)</f>
        <v>2</v>
      </c>
      <c r="AD490" s="91">
        <f t="shared" si="8"/>
        <v>3</v>
      </c>
      <c r="AE490" s="92"/>
      <c r="AF490" s="93">
        <f t="shared" si="9"/>
        <v>4</v>
      </c>
      <c r="AG490" s="26"/>
      <c r="AH490" s="26"/>
      <c r="AI490" s="26"/>
    </row>
    <row r="491">
      <c r="A491" s="120" t="s">
        <v>7731</v>
      </c>
      <c r="B491" s="7" t="s">
        <v>104</v>
      </c>
      <c r="C491" s="95" t="s">
        <v>401</v>
      </c>
      <c r="D491" s="96" t="s">
        <v>162</v>
      </c>
      <c r="E491" s="97">
        <f t="shared" si="2"/>
        <v>0</v>
      </c>
      <c r="F491" s="97">
        <f t="shared" si="3"/>
        <v>0.5</v>
      </c>
      <c r="G491" s="99">
        <f t="shared" si="77"/>
        <v>2</v>
      </c>
      <c r="H491" s="121"/>
      <c r="I491" s="122"/>
      <c r="J491" s="123"/>
      <c r="K491" s="124"/>
      <c r="L491" s="125"/>
      <c r="M491" s="181"/>
      <c r="N491" s="126"/>
      <c r="O491" s="127"/>
      <c r="P491" s="13">
        <f t="array" ref="P491">XLOOKUP(B491,Weight!B:B,Weight!D:D,"#N/A",0)</f>
        <v>90</v>
      </c>
      <c r="Q491" s="17">
        <f t="shared" si="6"/>
        <v>180</v>
      </c>
      <c r="R491" s="107"/>
      <c r="S491" s="108">
        <v>560313.0</v>
      </c>
      <c r="T491" s="108">
        <v>12.0</v>
      </c>
      <c r="U491" s="109">
        <v>40.0</v>
      </c>
      <c r="V491" s="110"/>
      <c r="X491" s="111">
        <f>SUMIFS('Transit Shipment'!$B$10:$B$1048462,'Transit Shipment'!$A$10:$A$1048462,B491,'Transit Shipment'!$C$10:$C$1048462,AA491)</f>
        <v>0</v>
      </c>
      <c r="Y491" s="111">
        <f>IF(SUMIFS(DIH!$S$2:$S833,DIH!$D$2:$D833,B491,DIH!$U$2:$U833,AA491)&gt;0,SUMIFS(DIH!$S$2:$S833,DIH!$D$2:$D833,B491,DIH!$U$2:$U833,AA491),0)</f>
        <v>2</v>
      </c>
      <c r="Z491" s="112">
        <f t="shared" si="7"/>
        <v>2</v>
      </c>
      <c r="AA491" s="113" t="s">
        <v>11</v>
      </c>
      <c r="AB491" s="114">
        <f>IF(ISNA(VLOOKUP($B491,'Business Report'!$D$2:$J$202,2,0)),"",VLOOKUP($B491,'Business Report'!$D$2:$J$202,2,0))</f>
        <v>11</v>
      </c>
      <c r="AC491" s="115">
        <f>SUMIFS(AFS!$P$2:$P$6260,AFS!$N$2:$N$6260,B491,AFS!$AT$2:$AT$6260,AA491)</f>
        <v>2</v>
      </c>
      <c r="AD491" s="116">
        <f t="shared" si="8"/>
        <v>1</v>
      </c>
      <c r="AE491" s="117"/>
      <c r="AF491" s="118">
        <f t="shared" si="9"/>
        <v>2</v>
      </c>
      <c r="AG491" s="26"/>
      <c r="AH491" s="26"/>
      <c r="AI491" s="26"/>
    </row>
    <row r="492">
      <c r="A492" s="120" t="s">
        <v>7731</v>
      </c>
      <c r="B492" s="7" t="s">
        <v>104</v>
      </c>
      <c r="C492" s="95" t="s">
        <v>401</v>
      </c>
      <c r="D492" s="96" t="s">
        <v>162</v>
      </c>
      <c r="E492" s="97">
        <f t="shared" si="2"/>
        <v>4</v>
      </c>
      <c r="F492" s="97">
        <f t="shared" si="3"/>
        <v>0</v>
      </c>
      <c r="G492" s="99">
        <f t="shared" si="77"/>
        <v>8</v>
      </c>
      <c r="H492" s="121"/>
      <c r="I492" s="122"/>
      <c r="J492" s="123"/>
      <c r="K492" s="124"/>
      <c r="L492" s="125"/>
      <c r="M492" s="181"/>
      <c r="N492" s="126"/>
      <c r="O492" s="127"/>
      <c r="P492" s="13">
        <f t="array" ref="P492">XLOOKUP(B492,Weight!B:B,Weight!D:D,"#N/A",0)</f>
        <v>90</v>
      </c>
      <c r="Q492" s="17">
        <f t="shared" si="6"/>
        <v>720</v>
      </c>
      <c r="R492" s="107"/>
      <c r="S492" s="108">
        <v>560313.0</v>
      </c>
      <c r="T492" s="108">
        <v>12.0</v>
      </c>
      <c r="U492" s="109">
        <v>40.0</v>
      </c>
      <c r="V492" s="110"/>
      <c r="X492" s="111">
        <f>SUMIFS('Transit Shipment'!$B$10:$B$1048462,'Transit Shipment'!$A$10:$A$1048462,B492,'Transit Shipment'!$C$10:$C$1048462,AA492)</f>
        <v>0</v>
      </c>
      <c r="Y492" s="111">
        <f>IF(SUMIFS(DIH!$S$2:$S833,DIH!$D$2:$D833,B492,DIH!$U$2:$U833,AA492)&gt;0,SUMIFS(DIH!$S$2:$S833,DIH!$D$2:$D833,B492,DIH!$U$2:$U833,AA492),0)</f>
        <v>0</v>
      </c>
      <c r="Z492" s="112">
        <f t="shared" si="7"/>
        <v>0</v>
      </c>
      <c r="AA492" s="119" t="s">
        <v>9</v>
      </c>
      <c r="AB492" s="114">
        <f>IF(ISNA(VLOOKUP($B492,'Business Report'!$D$2:$J$202,2,0)),"",VLOOKUP($B492,'Business Report'!$D$2:$J$202,2,0))</f>
        <v>11</v>
      </c>
      <c r="AC492" s="115">
        <f>SUMIFS(AFS!$P$2:$P$6260,AFS!$N$2:$N$6260,B492,AFS!$AT$2:$AT$6260,AA492)</f>
        <v>6</v>
      </c>
      <c r="AD492" s="116">
        <f t="shared" si="8"/>
        <v>8</v>
      </c>
      <c r="AE492" s="117"/>
      <c r="AF492" s="118">
        <f t="shared" si="9"/>
        <v>8</v>
      </c>
      <c r="AG492" s="26"/>
      <c r="AH492" s="26"/>
      <c r="AI492" s="26"/>
    </row>
    <row r="493">
      <c r="A493" s="120" t="s">
        <v>7731</v>
      </c>
      <c r="B493" s="7" t="s">
        <v>104</v>
      </c>
      <c r="C493" s="95" t="s">
        <v>401</v>
      </c>
      <c r="D493" s="109" t="s">
        <v>162</v>
      </c>
      <c r="E493" s="97">
        <f t="shared" si="2"/>
        <v>1</v>
      </c>
      <c r="F493" s="97">
        <f t="shared" si="3"/>
        <v>0.5</v>
      </c>
      <c r="G493" s="99">
        <f t="shared" si="77"/>
        <v>4</v>
      </c>
      <c r="H493" s="121"/>
      <c r="I493" s="122"/>
      <c r="J493" s="123"/>
      <c r="K493" s="124"/>
      <c r="L493" s="125"/>
      <c r="M493" s="181"/>
      <c r="N493" s="126"/>
      <c r="O493" s="127"/>
      <c r="P493" s="13">
        <f t="array" ref="P493">XLOOKUP(B493,Weight!B:B,Weight!D:D,"#N/A",0)</f>
        <v>90</v>
      </c>
      <c r="Q493" s="17">
        <f t="shared" si="6"/>
        <v>360</v>
      </c>
      <c r="R493" s="107"/>
      <c r="S493" s="108">
        <v>560313.0</v>
      </c>
      <c r="T493" s="108">
        <v>12.0</v>
      </c>
      <c r="U493" s="109">
        <v>40.0</v>
      </c>
      <c r="V493" s="110"/>
      <c r="X493" s="111">
        <f>SUMIFS('Transit Shipment'!$B$10:$B$1048462,'Transit Shipment'!$A$10:$A$1048462,B493,'Transit Shipment'!$C$10:$C$1048462,AA493)</f>
        <v>0</v>
      </c>
      <c r="Y493" s="111">
        <f>IF(SUMIFS(DIH!$S$2:$S833,DIH!$D$2:$D833,B493,DIH!$U$2:$U833,AA493)&gt;0,SUMIFS(DIH!$S$2:$S833,DIH!$D$2:$D833,B493,DIH!$U$2:$U833,AA493),0)</f>
        <v>0</v>
      </c>
      <c r="Z493" s="112">
        <f t="shared" si="7"/>
        <v>0</v>
      </c>
      <c r="AA493" s="119" t="s">
        <v>155</v>
      </c>
      <c r="AB493" s="114">
        <f>IF(ISNA(VLOOKUP($B493,'Business Report'!$D$2:$J$202,2,0)),"",VLOOKUP($B493,'Business Report'!$D$2:$J$202,2,0))</f>
        <v>11</v>
      </c>
      <c r="AC493" s="115">
        <f>SUMIFS(AFS!$P$2:$P$6260,AFS!$N$2:$N$6260,B493,AFS!$AT$2:$AT$6260,AA493)</f>
        <v>2</v>
      </c>
      <c r="AD493" s="116">
        <f t="shared" si="8"/>
        <v>3</v>
      </c>
      <c r="AE493" s="117"/>
      <c r="AF493" s="118">
        <f t="shared" si="9"/>
        <v>4</v>
      </c>
      <c r="AG493" s="26"/>
      <c r="AH493" s="26"/>
      <c r="AI493" s="26"/>
    </row>
    <row r="494">
      <c r="A494" s="120" t="s">
        <v>7731</v>
      </c>
      <c r="B494" s="7" t="s">
        <v>104</v>
      </c>
      <c r="C494" s="95" t="s">
        <v>401</v>
      </c>
      <c r="D494" s="109" t="s">
        <v>162</v>
      </c>
      <c r="E494" s="97">
        <f t="shared" si="2"/>
        <v>1</v>
      </c>
      <c r="F494" s="97">
        <f t="shared" si="3"/>
        <v>0.5</v>
      </c>
      <c r="G494" s="99">
        <f t="shared" si="77"/>
        <v>4</v>
      </c>
      <c r="H494" s="121"/>
      <c r="I494" s="122"/>
      <c r="J494" s="123"/>
      <c r="K494" s="124"/>
      <c r="L494" s="125"/>
      <c r="M494" s="181"/>
      <c r="N494" s="126"/>
      <c r="O494" s="127"/>
      <c r="P494" s="13">
        <f t="array" ref="P494">XLOOKUP(B494,Weight!B:B,Weight!D:D,"#N/A",0)</f>
        <v>90</v>
      </c>
      <c r="Q494" s="17">
        <f t="shared" si="6"/>
        <v>360</v>
      </c>
      <c r="R494" s="107"/>
      <c r="S494" s="108">
        <v>560313.0</v>
      </c>
      <c r="T494" s="108">
        <v>12.0</v>
      </c>
      <c r="U494" s="109">
        <v>40.0</v>
      </c>
      <c r="V494" s="110"/>
      <c r="X494" s="111">
        <f>SUMIFS('Transit Shipment'!$B$10:$B$1048462,'Transit Shipment'!$A$10:$A$1048462,B494,'Transit Shipment'!$C$10:$C$1048462,AA494)</f>
        <v>0</v>
      </c>
      <c r="Y494" s="111">
        <f>IF(SUMIFS(DIH!$S$2:$S833,DIH!$D$2:$D833,B494,DIH!$U$2:$U833,AA494)&gt;0,SUMIFS(DIH!$S$2:$S833,DIH!$D$2:$D833,B494,DIH!$U$2:$U833,AA494),0)</f>
        <v>5</v>
      </c>
      <c r="Z494" s="112">
        <f t="shared" si="7"/>
        <v>5</v>
      </c>
      <c r="AA494" s="119" t="s">
        <v>156</v>
      </c>
      <c r="AB494" s="114">
        <f>IF(ISNA(VLOOKUP($B494,'Business Report'!$D$2:$J$202,2,0)),"",VLOOKUP($B494,'Business Report'!$D$2:$J$202,2,0))</f>
        <v>11</v>
      </c>
      <c r="AC494" s="115">
        <f>SUMIFS(AFS!$P$2:$P$6260,AFS!$N$2:$N$6260,B494,AFS!$AT$2:$AT$6260,AA494)</f>
        <v>6</v>
      </c>
      <c r="AD494" s="116">
        <f t="shared" si="8"/>
        <v>3</v>
      </c>
      <c r="AE494" s="117"/>
      <c r="AF494" s="118">
        <f t="shared" si="9"/>
        <v>4</v>
      </c>
      <c r="AG494" s="26"/>
      <c r="AH494" s="26"/>
      <c r="AI494" s="26"/>
    </row>
    <row r="495">
      <c r="A495" s="120" t="s">
        <v>7731</v>
      </c>
      <c r="B495" s="7" t="s">
        <v>104</v>
      </c>
      <c r="C495" s="95" t="s">
        <v>401</v>
      </c>
      <c r="D495" s="109" t="s">
        <v>162</v>
      </c>
      <c r="E495" s="97">
        <f t="shared" si="2"/>
        <v>0</v>
      </c>
      <c r="F495" s="97">
        <f t="shared" si="3"/>
        <v>0.5</v>
      </c>
      <c r="G495" s="99">
        <f t="shared" si="77"/>
        <v>2</v>
      </c>
      <c r="H495" s="121"/>
      <c r="I495" s="122"/>
      <c r="J495" s="123"/>
      <c r="K495" s="124"/>
      <c r="L495" s="125"/>
      <c r="M495" s="181"/>
      <c r="N495" s="126"/>
      <c r="O495" s="127"/>
      <c r="P495" s="13">
        <f t="array" ref="P495">XLOOKUP(B495,Weight!B:B,Weight!D:D,"#N/A",0)</f>
        <v>90</v>
      </c>
      <c r="Q495" s="17">
        <f t="shared" si="6"/>
        <v>180</v>
      </c>
      <c r="R495" s="107"/>
      <c r="S495" s="108">
        <v>560313.0</v>
      </c>
      <c r="T495" s="108">
        <v>12.0</v>
      </c>
      <c r="U495" s="109">
        <v>40.0</v>
      </c>
      <c r="V495" s="110"/>
      <c r="X495" s="111">
        <f>SUMIFS('Transit Shipment'!$B$10:$B$1048462,'Transit Shipment'!$A$10:$A$1048462,B495,'Transit Shipment'!$C$10:$C$1048462,AA495)</f>
        <v>0</v>
      </c>
      <c r="Y495" s="111">
        <f>IF(SUMIFS(DIH!$S$2:$S833,DIH!$D$2:$D833,B495,DIH!$U$2:$U833,AA495)&gt;0,SUMIFS(DIH!$S$2:$S833,DIH!$D$2:$D833,B495,DIH!$U$2:$U833,AA495),0)</f>
        <v>2</v>
      </c>
      <c r="Z495" s="112">
        <f t="shared" si="7"/>
        <v>2</v>
      </c>
      <c r="AA495" s="130" t="s">
        <v>13</v>
      </c>
      <c r="AB495" s="114">
        <f>IF(ISNA(VLOOKUP($B495,'Business Report'!$D$2:$J$202,2,0)),"",VLOOKUP($B495,'Business Report'!$D$2:$J$202,2,0))</f>
        <v>11</v>
      </c>
      <c r="AC495" s="115">
        <f>SUMIFS(AFS!$P$2:$P$6260,AFS!$N$2:$N$6260,B495,AFS!$AT$2:$AT$6260,AA495)</f>
        <v>2</v>
      </c>
      <c r="AD495" s="116">
        <f t="shared" si="8"/>
        <v>1</v>
      </c>
      <c r="AE495" s="117"/>
      <c r="AF495" s="118">
        <f t="shared" si="9"/>
        <v>2</v>
      </c>
      <c r="AG495" s="26"/>
      <c r="AH495" s="26"/>
      <c r="AI495" s="26"/>
    </row>
    <row r="496">
      <c r="A496" s="120" t="s">
        <v>7731</v>
      </c>
      <c r="B496" s="7" t="s">
        <v>104</v>
      </c>
      <c r="C496" s="95" t="s">
        <v>401</v>
      </c>
      <c r="D496" s="109" t="s">
        <v>162</v>
      </c>
      <c r="E496" s="97" t="str">
        <f t="shared" si="2"/>
        <v/>
      </c>
      <c r="F496" s="97" t="str">
        <f t="shared" si="3"/>
        <v/>
      </c>
      <c r="G496" s="99" t="str">
        <f t="shared" si="77"/>
        <v/>
      </c>
      <c r="H496" s="121"/>
      <c r="I496" s="122"/>
      <c r="J496" s="123"/>
      <c r="K496" s="124"/>
      <c r="L496" s="125"/>
      <c r="M496" s="181"/>
      <c r="N496" s="126"/>
      <c r="O496" s="127"/>
      <c r="P496" s="13">
        <f t="array" ref="P496">XLOOKUP(B496,Weight!B:B,Weight!D:D,"#N/A",0)</f>
        <v>90</v>
      </c>
      <c r="Q496" s="17" t="str">
        <f t="shared" si="6"/>
        <v/>
      </c>
      <c r="R496" s="107"/>
      <c r="S496" s="108">
        <v>560313.0</v>
      </c>
      <c r="T496" s="108">
        <v>12.0</v>
      </c>
      <c r="U496" s="109">
        <v>40.0</v>
      </c>
      <c r="V496" s="110"/>
      <c r="X496" s="111">
        <f>SUMIFS('Transit Shipment'!$B$10:$B$1048462,'Transit Shipment'!$A$10:$A$1048462,B496,'Transit Shipment'!$C$10:$C$1048462,AA496)</f>
        <v>0</v>
      </c>
      <c r="Y496" s="111">
        <f>IF(SUMIFS(DIH!$S$2:$S833,DIH!$D$2:$D833,B496,DIH!$U$2:$U833,AA496)&gt;0,SUMIFS(DIH!$S$2:$S833,DIH!$D$2:$D833,B496,DIH!$U$2:$U833,AA496),0)</f>
        <v>10</v>
      </c>
      <c r="Z496" s="112">
        <f t="shared" si="7"/>
        <v>10</v>
      </c>
      <c r="AA496" s="119" t="s">
        <v>14</v>
      </c>
      <c r="AB496" s="114">
        <f>IF(ISNA(VLOOKUP($B496,'Business Report'!$D$2:$J$202,2,0)),"",VLOOKUP($B496,'Business Report'!$D$2:$J$202,2,0))</f>
        <v>11</v>
      </c>
      <c r="AC496" s="115">
        <f>SUMIFS(AFS!$P$2:$P$6260,AFS!$N$2:$N$6260,B496,AFS!$AT$2:$AT$6260,AA496)</f>
        <v>1</v>
      </c>
      <c r="AD496" s="116">
        <f t="shared" si="8"/>
        <v>-8</v>
      </c>
      <c r="AE496" s="117"/>
      <c r="AF496" s="118" t="str">
        <f t="shared" si="9"/>
        <v/>
      </c>
      <c r="AG496" s="4"/>
      <c r="AH496" s="26"/>
      <c r="AI496" s="26"/>
    </row>
    <row r="497">
      <c r="A497" s="120" t="s">
        <v>7731</v>
      </c>
      <c r="B497" s="7" t="s">
        <v>104</v>
      </c>
      <c r="C497" s="95" t="s">
        <v>401</v>
      </c>
      <c r="D497" s="109" t="s">
        <v>162</v>
      </c>
      <c r="E497" s="97">
        <f t="shared" si="2"/>
        <v>3</v>
      </c>
      <c r="F497" s="97">
        <f t="shared" si="3"/>
        <v>0</v>
      </c>
      <c r="G497" s="99">
        <f t="shared" si="77"/>
        <v>6</v>
      </c>
      <c r="H497" s="121"/>
      <c r="I497" s="122"/>
      <c r="J497" s="123"/>
      <c r="K497" s="124"/>
      <c r="L497" s="125"/>
      <c r="M497" s="181"/>
      <c r="N497" s="126"/>
      <c r="O497" s="127"/>
      <c r="P497" s="13">
        <f t="array" ref="P497">XLOOKUP(B497,Weight!B:B,Weight!D:D,"#N/A",0)</f>
        <v>90</v>
      </c>
      <c r="Q497" s="17">
        <f t="shared" si="6"/>
        <v>540</v>
      </c>
      <c r="R497" s="107"/>
      <c r="S497" s="108">
        <v>560313.0</v>
      </c>
      <c r="T497" s="108">
        <v>12.0</v>
      </c>
      <c r="U497" s="109">
        <v>40.0</v>
      </c>
      <c r="V497" s="110"/>
      <c r="X497" s="111">
        <f>SUMIFS('Transit Shipment'!$B$10:$B$1048462,'Transit Shipment'!$A$10:$A$1048462,B497,'Transit Shipment'!$C$10:$C$1048462,AA497)</f>
        <v>0</v>
      </c>
      <c r="Y497" s="111">
        <f>IF(SUMIFS(DIH!$S$2:$S833,DIH!$D$2:$D833,B497,DIH!$U$2:$U833,AA497)&gt;0,SUMIFS(DIH!$S$2:$S833,DIH!$D$2:$D833,B497,DIH!$U$2:$U833,AA497),0)</f>
        <v>0</v>
      </c>
      <c r="Z497" s="112">
        <f t="shared" si="7"/>
        <v>0</v>
      </c>
      <c r="AA497" s="131" t="s">
        <v>16</v>
      </c>
      <c r="AB497" s="114">
        <f>IF(ISNA(VLOOKUP($B497,'Business Report'!$D$2:$J$202,2,0)),"",VLOOKUP($B497,'Business Report'!$D$2:$J$202,2,0))</f>
        <v>11</v>
      </c>
      <c r="AC497" s="115">
        <f>SUMIFS(AFS!$P$2:$P$6260,AFS!$N$2:$N$6260,B497,AFS!$AT$2:$AT$6260,AA497)</f>
        <v>4</v>
      </c>
      <c r="AD497" s="116">
        <f t="shared" si="8"/>
        <v>6</v>
      </c>
      <c r="AE497" s="117"/>
      <c r="AF497" s="118">
        <f t="shared" si="9"/>
        <v>6</v>
      </c>
      <c r="AG497" s="4"/>
      <c r="AH497" s="26"/>
      <c r="AI497" s="26"/>
    </row>
    <row r="498">
      <c r="A498" s="296" t="s">
        <v>7731</v>
      </c>
      <c r="B498" s="128" t="s">
        <v>104</v>
      </c>
      <c r="C498" s="133" t="s">
        <v>401</v>
      </c>
      <c r="D498" s="134" t="s">
        <v>162</v>
      </c>
      <c r="E498" s="135">
        <f t="shared" si="2"/>
        <v>0</v>
      </c>
      <c r="F498" s="135">
        <f t="shared" si="3"/>
        <v>0.5</v>
      </c>
      <c r="G498" s="136">
        <f t="shared" si="77"/>
        <v>2</v>
      </c>
      <c r="H498" s="137"/>
      <c r="I498" s="138"/>
      <c r="J498" s="139"/>
      <c r="K498" s="140"/>
      <c r="L498" s="135"/>
      <c r="M498" s="152"/>
      <c r="N498" s="142"/>
      <c r="O498" s="143"/>
      <c r="P498" s="144">
        <f t="array" ref="P498">XLOOKUP(B498,Weight!B:B,Weight!D:D,"#N/A",0)</f>
        <v>90</v>
      </c>
      <c r="Q498" s="145">
        <f t="shared" si="6"/>
        <v>180</v>
      </c>
      <c r="R498" s="146"/>
      <c r="S498" s="147">
        <v>560313.0</v>
      </c>
      <c r="T498" s="147">
        <v>12.0</v>
      </c>
      <c r="U498" s="109">
        <v>40.0</v>
      </c>
      <c r="V498" s="148"/>
      <c r="W498" s="149"/>
      <c r="X498" s="150">
        <f>SUMIFS('Transit Shipment'!$B$10:$B$1048462,'Transit Shipment'!$A$10:$A$1048462,B498,'Transit Shipment'!$C$10:$C$1048462,AA498)</f>
        <v>0</v>
      </c>
      <c r="Y498" s="150">
        <f>IF(SUMIFS(DIH!$S$2:$S833,DIH!$D$2:$D833,B498,DIH!$U$2:$U833,AA498)&gt;0,SUMIFS(DIH!$S$2:$S833,DIH!$D$2:$D833,B498,DIH!$U$2:$U833,AA498),0)</f>
        <v>2</v>
      </c>
      <c r="Z498" s="151">
        <f t="shared" si="7"/>
        <v>2</v>
      </c>
      <c r="AA498" s="152" t="s">
        <v>17</v>
      </c>
      <c r="AB498" s="154">
        <f>IF(ISNA(VLOOKUP($B498,'Business Report'!$D$2:$J$202,2,0)),"",VLOOKUP($B498,'Business Report'!$D$2:$J$202,2,0))</f>
        <v>11</v>
      </c>
      <c r="AC498" s="155">
        <f>SUMIFS(AFS!$P$2:$P$6260,AFS!$N$2:$N$6260,B498,AFS!$AT$2:$AT$6260,AA498)</f>
        <v>2</v>
      </c>
      <c r="AD498" s="156">
        <f t="shared" si="8"/>
        <v>1</v>
      </c>
      <c r="AE498" s="159">
        <f>SUM(AD490:AD498)</f>
        <v>18</v>
      </c>
      <c r="AF498" s="118">
        <f t="shared" si="9"/>
        <v>2</v>
      </c>
      <c r="AG498" s="26"/>
      <c r="AH498" s="26"/>
      <c r="AI498" s="26"/>
    </row>
    <row r="499">
      <c r="A499" s="120" t="s">
        <v>7828</v>
      </c>
      <c r="B499" s="7" t="s">
        <v>106</v>
      </c>
      <c r="C499" s="95" t="s">
        <v>338</v>
      </c>
      <c r="D499" s="68" t="s">
        <v>162</v>
      </c>
      <c r="E499" s="69" t="str">
        <f t="shared" si="2"/>
        <v/>
      </c>
      <c r="F499" s="69" t="str">
        <f t="shared" si="3"/>
        <v/>
      </c>
      <c r="G499" s="70" t="str">
        <f t="shared" si="77"/>
        <v/>
      </c>
      <c r="H499" s="297"/>
      <c r="I499" s="298"/>
      <c r="J499" s="299"/>
      <c r="K499" s="300"/>
      <c r="L499" s="301"/>
      <c r="M499" s="302"/>
      <c r="N499" s="303"/>
      <c r="O499" s="304"/>
      <c r="P499" s="79">
        <f t="array" ref="P499">XLOOKUP(B499,Weight!B:B,Weight!D:D,"#N/A",0)</f>
        <v>90</v>
      </c>
      <c r="Q499" s="80" t="str">
        <f t="shared" si="6"/>
        <v/>
      </c>
      <c r="R499" s="107"/>
      <c r="S499" s="108">
        <v>560313.0</v>
      </c>
      <c r="T499" s="108">
        <v>12.0</v>
      </c>
      <c r="U499" s="83">
        <v>40.0</v>
      </c>
      <c r="V499" s="84" t="str">
        <f t="shared" ref="V499:W499" si="88">B499</f>
        <v>CRM-PR-G4770-NW-GREY</v>
      </c>
      <c r="W499" s="174" t="str">
        <f t="shared" si="88"/>
        <v>Crasome Dust &amp; Water Proof Printer Cover for Canon Pixma G4770 (Grey)</v>
      </c>
      <c r="X499" s="86">
        <f>SUMIFS('Transit Shipment'!$B$10:$B$1048462,'Transit Shipment'!$A$10:$A$1048462,B499,'Transit Shipment'!$C$10:$C$1048462,AA499)</f>
        <v>0</v>
      </c>
      <c r="Y499" s="86">
        <f>IF(SUMIFS(DIH!$S$2:$S833,DIH!$D$2:$D833,B499,DIH!$U$2:$U833,AA499)&gt;0,SUMIFS(DIH!$S$2:$S833,DIH!$D$2:$D833,B499,DIH!$U$2:$U833,AA499),0)</f>
        <v>1</v>
      </c>
      <c r="Z499" s="87">
        <f t="shared" si="7"/>
        <v>1</v>
      </c>
      <c r="AA499" s="88" t="s">
        <v>5</v>
      </c>
      <c r="AB499" s="89">
        <f>IF(ISNA(VLOOKUP($B499,'Business Report'!$D$2:$J$202,2,0)),"",VLOOKUP($B499,'Business Report'!$D$2:$J$202,2,0))</f>
        <v>23</v>
      </c>
      <c r="AC499" s="90">
        <f>SUMIFS(AFS!$P$2:$P$6260,AFS!$N$2:$N$6260,B499,AFS!$AT$2:$AT$6260,AA499)</f>
        <v>0</v>
      </c>
      <c r="AD499" s="91">
        <f t="shared" si="8"/>
        <v>-1</v>
      </c>
      <c r="AE499" s="92"/>
      <c r="AF499" s="93" t="str">
        <f t="shared" si="9"/>
        <v/>
      </c>
      <c r="AG499" s="26"/>
      <c r="AH499" s="26"/>
      <c r="AI499" s="26"/>
    </row>
    <row r="500">
      <c r="A500" s="120" t="s">
        <v>7828</v>
      </c>
      <c r="B500" s="7" t="s">
        <v>106</v>
      </c>
      <c r="C500" s="95" t="s">
        <v>338</v>
      </c>
      <c r="D500" s="96" t="s">
        <v>162</v>
      </c>
      <c r="E500" s="97">
        <f t="shared" si="2"/>
        <v>1</v>
      </c>
      <c r="F500" s="97">
        <f t="shared" si="3"/>
        <v>0</v>
      </c>
      <c r="G500" s="99" t="str">
        <f t="shared" si="77"/>
        <v/>
      </c>
      <c r="H500" s="297"/>
      <c r="I500" s="298"/>
      <c r="J500" s="299"/>
      <c r="K500" s="300"/>
      <c r="L500" s="301"/>
      <c r="M500" s="302"/>
      <c r="N500" s="303"/>
      <c r="O500" s="304"/>
      <c r="P500" s="13">
        <f t="array" ref="P500">XLOOKUP(B500,Weight!B:B,Weight!D:D,"#N/A",0)</f>
        <v>90</v>
      </c>
      <c r="Q500" s="17" t="str">
        <f t="shared" si="6"/>
        <v/>
      </c>
      <c r="R500" s="107"/>
      <c r="S500" s="108">
        <v>560313.0</v>
      </c>
      <c r="T500" s="108">
        <v>12.0</v>
      </c>
      <c r="U500" s="109">
        <v>40.0</v>
      </c>
      <c r="V500" s="110"/>
      <c r="X500" s="111">
        <f>SUMIFS('Transit Shipment'!$B$10:$B$1048462,'Transit Shipment'!$A$10:$A$1048462,B500,'Transit Shipment'!$C$10:$C$1048462,AA500)</f>
        <v>0</v>
      </c>
      <c r="Y500" s="111">
        <f>IF(SUMIFS(DIH!$S$2:$S833,DIH!$D$2:$D833,B500,DIH!$U$2:$U833,AA500)&gt;0,SUMIFS(DIH!$S$2:$S833,DIH!$D$2:$D833,B500,DIH!$U$2:$U833,AA500),0)</f>
        <v>0</v>
      </c>
      <c r="Z500" s="112">
        <f t="shared" si="7"/>
        <v>0</v>
      </c>
      <c r="AA500" s="113" t="s">
        <v>11</v>
      </c>
      <c r="AB500" s="114">
        <f>IF(ISNA(VLOOKUP($B500,'Business Report'!$D$2:$J$202,2,0)),"",VLOOKUP($B500,'Business Report'!$D$2:$J$202,2,0))</f>
        <v>23</v>
      </c>
      <c r="AC500" s="115">
        <f>SUMIFS(AFS!$P$2:$P$6260,AFS!$N$2:$N$6260,B500,AFS!$AT$2:$AT$6260,AA500)</f>
        <v>0</v>
      </c>
      <c r="AD500" s="116">
        <f t="shared" si="8"/>
        <v>0</v>
      </c>
      <c r="AE500" s="117"/>
      <c r="AF500" s="118" t="str">
        <f t="shared" si="9"/>
        <v/>
      </c>
      <c r="AG500" s="4"/>
      <c r="AH500" s="26"/>
      <c r="AI500" s="26"/>
    </row>
    <row r="501">
      <c r="A501" s="120" t="s">
        <v>7828</v>
      </c>
      <c r="B501" s="7" t="s">
        <v>106</v>
      </c>
      <c r="C501" s="95" t="s">
        <v>338</v>
      </c>
      <c r="D501" s="96" t="s">
        <v>162</v>
      </c>
      <c r="E501" s="97">
        <f t="shared" si="2"/>
        <v>1</v>
      </c>
      <c r="F501" s="97">
        <f t="shared" si="3"/>
        <v>0</v>
      </c>
      <c r="G501" s="99">
        <f t="shared" si="77"/>
        <v>2</v>
      </c>
      <c r="H501" s="297"/>
      <c r="I501" s="298"/>
      <c r="J501" s="299"/>
      <c r="K501" s="300"/>
      <c r="L501" s="301"/>
      <c r="M501" s="302"/>
      <c r="N501" s="303"/>
      <c r="O501" s="304"/>
      <c r="P501" s="13">
        <f t="array" ref="P501">XLOOKUP(B501,Weight!B:B,Weight!D:D,"#N/A",0)</f>
        <v>90</v>
      </c>
      <c r="Q501" s="17">
        <f t="shared" si="6"/>
        <v>180</v>
      </c>
      <c r="R501" s="107"/>
      <c r="S501" s="108">
        <v>560313.0</v>
      </c>
      <c r="T501" s="108">
        <v>12.0</v>
      </c>
      <c r="U501" s="109">
        <v>40.0</v>
      </c>
      <c r="V501" s="110"/>
      <c r="X501" s="111">
        <f>SUMIFS('Transit Shipment'!$B$10:$B$1048462,'Transit Shipment'!$A$10:$A$1048462,B501,'Transit Shipment'!$C$10:$C$1048462,AA501)</f>
        <v>0</v>
      </c>
      <c r="Y501" s="111">
        <f>IF(SUMIFS(DIH!$S$2:$S833,DIH!$D$2:$D833,B501,DIH!$U$2:$U833,AA501)&gt;0,SUMIFS(DIH!$S$2:$S833,DIH!$D$2:$D833,B501,DIH!$U$2:$U833,AA501),0)</f>
        <v>0</v>
      </c>
      <c r="Z501" s="112">
        <f t="shared" si="7"/>
        <v>0</v>
      </c>
      <c r="AA501" s="119" t="s">
        <v>9</v>
      </c>
      <c r="AB501" s="114">
        <f>IF(ISNA(VLOOKUP($B501,'Business Report'!$D$2:$J$202,2,0)),"",VLOOKUP($B501,'Business Report'!$D$2:$J$202,2,0))</f>
        <v>23</v>
      </c>
      <c r="AC501" s="115">
        <f>SUMIFS(AFS!$P$2:$P$6260,AFS!$N$2:$N$6260,B501,AFS!$AT$2:$AT$6260,AA501)</f>
        <v>1</v>
      </c>
      <c r="AD501" s="116">
        <f t="shared" si="8"/>
        <v>2</v>
      </c>
      <c r="AE501" s="117"/>
      <c r="AF501" s="118">
        <f t="shared" si="9"/>
        <v>2</v>
      </c>
      <c r="AG501" s="4"/>
      <c r="AH501" s="26"/>
      <c r="AI501" s="26"/>
    </row>
    <row r="502">
      <c r="A502" s="120" t="s">
        <v>7828</v>
      </c>
      <c r="B502" s="7" t="s">
        <v>106</v>
      </c>
      <c r="C502" s="95" t="s">
        <v>338</v>
      </c>
      <c r="D502" s="109" t="s">
        <v>162</v>
      </c>
      <c r="E502" s="97">
        <f t="shared" si="2"/>
        <v>1</v>
      </c>
      <c r="F502" s="97">
        <f t="shared" si="3"/>
        <v>0</v>
      </c>
      <c r="G502" s="99">
        <f t="shared" si="77"/>
        <v>2</v>
      </c>
      <c r="H502" s="297"/>
      <c r="I502" s="298"/>
      <c r="J502" s="299"/>
      <c r="K502" s="300"/>
      <c r="L502" s="301"/>
      <c r="M502" s="302"/>
      <c r="N502" s="303"/>
      <c r="O502" s="304"/>
      <c r="P502" s="13">
        <f t="array" ref="P502">XLOOKUP(B502,Weight!B:B,Weight!D:D,"#N/A",0)</f>
        <v>90</v>
      </c>
      <c r="Q502" s="17">
        <f t="shared" si="6"/>
        <v>180</v>
      </c>
      <c r="R502" s="107"/>
      <c r="S502" s="108">
        <v>560313.0</v>
      </c>
      <c r="T502" s="108">
        <v>12.0</v>
      </c>
      <c r="U502" s="109">
        <v>40.0</v>
      </c>
      <c r="V502" s="110"/>
      <c r="X502" s="111">
        <f>SUMIFS('Transit Shipment'!$B$10:$B$1048462,'Transit Shipment'!$A$10:$A$1048462,B502,'Transit Shipment'!$C$10:$C$1048462,AA502)</f>
        <v>0</v>
      </c>
      <c r="Y502" s="111">
        <f>IF(SUMIFS(DIH!$S$2:$S833,DIH!$D$2:$D833,B502,DIH!$U$2:$U833,AA502)&gt;0,SUMIFS(DIH!$S$2:$S833,DIH!$D$2:$D833,B502,DIH!$U$2:$U833,AA502),0)</f>
        <v>0</v>
      </c>
      <c r="Z502" s="112">
        <f t="shared" si="7"/>
        <v>0</v>
      </c>
      <c r="AA502" s="119" t="s">
        <v>155</v>
      </c>
      <c r="AB502" s="114">
        <f>IF(ISNA(VLOOKUP($B502,'Business Report'!$D$2:$J$202,2,0)),"",VLOOKUP($B502,'Business Report'!$D$2:$J$202,2,0))</f>
        <v>23</v>
      </c>
      <c r="AC502" s="115">
        <f>SUMIFS(AFS!$P$2:$P$6260,AFS!$N$2:$N$6260,B502,AFS!$AT$2:$AT$6260,AA502)</f>
        <v>1</v>
      </c>
      <c r="AD502" s="116">
        <f t="shared" si="8"/>
        <v>2</v>
      </c>
      <c r="AE502" s="117"/>
      <c r="AF502" s="118">
        <f t="shared" si="9"/>
        <v>2</v>
      </c>
      <c r="AG502" s="26"/>
      <c r="AH502" s="26"/>
      <c r="AI502" s="26"/>
    </row>
    <row r="503">
      <c r="A503" s="120" t="s">
        <v>7828</v>
      </c>
      <c r="B503" s="7" t="s">
        <v>106</v>
      </c>
      <c r="C503" s="95" t="s">
        <v>338</v>
      </c>
      <c r="D503" s="109" t="s">
        <v>162</v>
      </c>
      <c r="E503" s="97">
        <f t="shared" si="2"/>
        <v>3</v>
      </c>
      <c r="F503" s="97">
        <f t="shared" si="3"/>
        <v>0</v>
      </c>
      <c r="G503" s="99">
        <f t="shared" si="77"/>
        <v>6</v>
      </c>
      <c r="H503" s="297"/>
      <c r="I503" s="298"/>
      <c r="J503" s="299"/>
      <c r="K503" s="300"/>
      <c r="L503" s="301"/>
      <c r="M503" s="302"/>
      <c r="N503" s="303"/>
      <c r="O503" s="304"/>
      <c r="P503" s="13">
        <f t="array" ref="P503">XLOOKUP(B503,Weight!B:B,Weight!D:D,"#N/A",0)</f>
        <v>90</v>
      </c>
      <c r="Q503" s="17">
        <f t="shared" si="6"/>
        <v>540</v>
      </c>
      <c r="R503" s="107"/>
      <c r="S503" s="108">
        <v>560313.0</v>
      </c>
      <c r="T503" s="108">
        <v>12.0</v>
      </c>
      <c r="U503" s="109">
        <v>40.0</v>
      </c>
      <c r="V503" s="110"/>
      <c r="X503" s="111">
        <f>SUMIFS('Transit Shipment'!$B$10:$B$1048462,'Transit Shipment'!$A$10:$A$1048462,B503,'Transit Shipment'!$C$10:$C$1048462,AA503)</f>
        <v>0</v>
      </c>
      <c r="Y503" s="111">
        <f>IF(SUMIFS(DIH!$S$2:$S833,DIH!$D$2:$D833,B503,DIH!$U$2:$U833,AA503)&gt;0,SUMIFS(DIH!$S$2:$S833,DIH!$D$2:$D833,B503,DIH!$U$2:$U833,AA503),0)</f>
        <v>1</v>
      </c>
      <c r="Z503" s="112">
        <f t="shared" si="7"/>
        <v>1</v>
      </c>
      <c r="AA503" s="119" t="s">
        <v>156</v>
      </c>
      <c r="AB503" s="114">
        <f>IF(ISNA(VLOOKUP($B503,'Business Report'!$D$2:$J$202,2,0)),"",VLOOKUP($B503,'Business Report'!$D$2:$J$202,2,0))</f>
        <v>23</v>
      </c>
      <c r="AC503" s="115">
        <f>SUMIFS(AFS!$P$2:$P$6260,AFS!$N$2:$N$6260,B503,AFS!$AT$2:$AT$6260,AA503)</f>
        <v>5</v>
      </c>
      <c r="AD503" s="116">
        <f t="shared" si="8"/>
        <v>6</v>
      </c>
      <c r="AE503" s="117"/>
      <c r="AF503" s="118">
        <f t="shared" si="9"/>
        <v>6</v>
      </c>
      <c r="AG503" s="26"/>
      <c r="AH503" s="26"/>
      <c r="AI503" s="26"/>
    </row>
    <row r="504">
      <c r="A504" s="120" t="s">
        <v>7828</v>
      </c>
      <c r="B504" s="7" t="s">
        <v>106</v>
      </c>
      <c r="C504" s="95" t="s">
        <v>338</v>
      </c>
      <c r="D504" s="109" t="s">
        <v>162</v>
      </c>
      <c r="E504" s="97" t="str">
        <f t="shared" si="2"/>
        <v/>
      </c>
      <c r="F504" s="97" t="str">
        <f t="shared" si="3"/>
        <v/>
      </c>
      <c r="G504" s="99" t="str">
        <f t="shared" si="77"/>
        <v/>
      </c>
      <c r="H504" s="297"/>
      <c r="I504" s="298"/>
      <c r="J504" s="299"/>
      <c r="K504" s="300"/>
      <c r="L504" s="301"/>
      <c r="M504" s="302"/>
      <c r="N504" s="303"/>
      <c r="O504" s="304"/>
      <c r="P504" s="13">
        <f t="array" ref="P504">XLOOKUP(B504,Weight!B:B,Weight!D:D,"#N/A",0)</f>
        <v>90</v>
      </c>
      <c r="Q504" s="17" t="str">
        <f t="shared" si="6"/>
        <v/>
      </c>
      <c r="R504" s="107"/>
      <c r="S504" s="108">
        <v>560313.0</v>
      </c>
      <c r="T504" s="108">
        <v>12.0</v>
      </c>
      <c r="U504" s="109">
        <v>40.0</v>
      </c>
      <c r="V504" s="110"/>
      <c r="X504" s="111">
        <f>SUMIFS('Transit Shipment'!$B$10:$B$1048462,'Transit Shipment'!$A$10:$A$1048462,B504,'Transit Shipment'!$C$10:$C$1048462,AA504)</f>
        <v>0</v>
      </c>
      <c r="Y504" s="111">
        <f>IF(SUMIFS(DIH!$S$2:$S833,DIH!$D$2:$D833,B504,DIH!$U$2:$U833,AA504)&gt;0,SUMIFS(DIH!$S$2:$S833,DIH!$D$2:$D833,B504,DIH!$U$2:$U833,AA504),0)</f>
        <v>3</v>
      </c>
      <c r="Z504" s="112">
        <f t="shared" si="7"/>
        <v>3</v>
      </c>
      <c r="AA504" s="130" t="s">
        <v>13</v>
      </c>
      <c r="AB504" s="114">
        <f>IF(ISNA(VLOOKUP($B504,'Business Report'!$D$2:$J$202,2,0)),"",VLOOKUP($B504,'Business Report'!$D$2:$J$202,2,0))</f>
        <v>23</v>
      </c>
      <c r="AC504" s="115">
        <f>SUMIFS(AFS!$P$2:$P$6260,AFS!$N$2:$N$6260,B504,AFS!$AT$2:$AT$6260,AA504)</f>
        <v>0</v>
      </c>
      <c r="AD504" s="116">
        <f t="shared" si="8"/>
        <v>-3</v>
      </c>
      <c r="AE504" s="117"/>
      <c r="AF504" s="118" t="str">
        <f t="shared" si="9"/>
        <v/>
      </c>
      <c r="AG504" s="4"/>
      <c r="AH504" s="26"/>
      <c r="AI504" s="26"/>
    </row>
    <row r="505">
      <c r="A505" s="120" t="s">
        <v>7828</v>
      </c>
      <c r="B505" s="7" t="s">
        <v>106</v>
      </c>
      <c r="C505" s="95" t="s">
        <v>338</v>
      </c>
      <c r="D505" s="109" t="s">
        <v>162</v>
      </c>
      <c r="E505" s="97">
        <f t="shared" si="2"/>
        <v>1</v>
      </c>
      <c r="F505" s="97">
        <f t="shared" si="3"/>
        <v>0.5</v>
      </c>
      <c r="G505" s="99">
        <f t="shared" si="77"/>
        <v>4</v>
      </c>
      <c r="H505" s="297"/>
      <c r="I505" s="298"/>
      <c r="J505" s="299"/>
      <c r="K505" s="300"/>
      <c r="L505" s="301"/>
      <c r="M505" s="302"/>
      <c r="N505" s="303"/>
      <c r="O505" s="304"/>
      <c r="P505" s="13">
        <f t="array" ref="P505">XLOOKUP(B505,Weight!B:B,Weight!D:D,"#N/A",0)</f>
        <v>90</v>
      </c>
      <c r="Q505" s="17">
        <f t="shared" si="6"/>
        <v>360</v>
      </c>
      <c r="R505" s="107"/>
      <c r="S505" s="108">
        <v>560313.0</v>
      </c>
      <c r="T505" s="108">
        <v>12.0</v>
      </c>
      <c r="U505" s="109">
        <v>40.0</v>
      </c>
      <c r="V505" s="110"/>
      <c r="X505" s="111">
        <f>SUMIFS('Transit Shipment'!$B$10:$B$1048462,'Transit Shipment'!$A$10:$A$1048462,B505,'Transit Shipment'!$C$10:$C$1048462,AA505)</f>
        <v>0</v>
      </c>
      <c r="Y505" s="111">
        <f>IF(SUMIFS(DIH!$S$2:$S833,DIH!$D$2:$D833,B505,DIH!$U$2:$U833,AA505)&gt;0,SUMIFS(DIH!$S$2:$S833,DIH!$D$2:$D833,B505,DIH!$U$2:$U833,AA505),0)</f>
        <v>1</v>
      </c>
      <c r="Z505" s="112">
        <f t="shared" si="7"/>
        <v>1</v>
      </c>
      <c r="AA505" s="119" t="s">
        <v>14</v>
      </c>
      <c r="AB505" s="114">
        <f>IF(ISNA(VLOOKUP($B505,'Business Report'!$D$2:$J$202,2,0)),"",VLOOKUP($B505,'Business Report'!$D$2:$J$202,2,0))</f>
        <v>23</v>
      </c>
      <c r="AC505" s="115">
        <f>SUMIFS(AFS!$P$2:$P$6260,AFS!$N$2:$N$6260,B505,AFS!$AT$2:$AT$6260,AA505)</f>
        <v>3</v>
      </c>
      <c r="AD505" s="116">
        <f t="shared" si="8"/>
        <v>3</v>
      </c>
      <c r="AE505" s="117"/>
      <c r="AF505" s="118">
        <f t="shared" si="9"/>
        <v>4</v>
      </c>
      <c r="AG505" s="4"/>
      <c r="AH505" s="26"/>
      <c r="AI505" s="26"/>
    </row>
    <row r="506">
      <c r="A506" s="120" t="s">
        <v>7828</v>
      </c>
      <c r="B506" s="7" t="s">
        <v>106</v>
      </c>
      <c r="C506" s="95" t="s">
        <v>338</v>
      </c>
      <c r="D506" s="109" t="s">
        <v>162</v>
      </c>
      <c r="E506" s="97">
        <f t="shared" si="2"/>
        <v>2</v>
      </c>
      <c r="F506" s="97">
        <f t="shared" si="3"/>
        <v>0</v>
      </c>
      <c r="G506" s="99">
        <f t="shared" si="77"/>
        <v>4</v>
      </c>
      <c r="H506" s="297"/>
      <c r="I506" s="298"/>
      <c r="J506" s="299"/>
      <c r="K506" s="300"/>
      <c r="L506" s="301"/>
      <c r="M506" s="302"/>
      <c r="N506" s="303"/>
      <c r="O506" s="304"/>
      <c r="P506" s="13">
        <f t="array" ref="P506">XLOOKUP(B506,Weight!B:B,Weight!D:D,"#N/A",0)</f>
        <v>90</v>
      </c>
      <c r="Q506" s="17">
        <f t="shared" si="6"/>
        <v>360</v>
      </c>
      <c r="R506" s="107"/>
      <c r="S506" s="108">
        <v>560313.0</v>
      </c>
      <c r="T506" s="108">
        <v>12.0</v>
      </c>
      <c r="U506" s="109">
        <v>40.0</v>
      </c>
      <c r="V506" s="110"/>
      <c r="X506" s="111">
        <f>SUMIFS('Transit Shipment'!$B$10:$B$1048462,'Transit Shipment'!$A$10:$A$1048462,B506,'Transit Shipment'!$C$10:$C$1048462,AA506)</f>
        <v>0</v>
      </c>
      <c r="Y506" s="111">
        <f>IF(SUMIFS(DIH!$S$2:$S833,DIH!$D$2:$D833,B506,DIH!$U$2:$U833,AA506)&gt;0,SUMIFS(DIH!$S$2:$S833,DIH!$D$2:$D833,B506,DIH!$U$2:$U833,AA506),0)</f>
        <v>0</v>
      </c>
      <c r="Z506" s="112">
        <f t="shared" si="7"/>
        <v>0</v>
      </c>
      <c r="AA506" s="131" t="s">
        <v>16</v>
      </c>
      <c r="AB506" s="114">
        <f>IF(ISNA(VLOOKUP($B506,'Business Report'!$D$2:$J$202,2,0)),"",VLOOKUP($B506,'Business Report'!$D$2:$J$202,2,0))</f>
        <v>23</v>
      </c>
      <c r="AC506" s="115">
        <f>SUMIFS(AFS!$P$2:$P$6260,AFS!$N$2:$N$6260,B506,AFS!$AT$2:$AT$6260,AA506)</f>
        <v>3</v>
      </c>
      <c r="AD506" s="116">
        <f t="shared" si="8"/>
        <v>4</v>
      </c>
      <c r="AE506" s="117"/>
      <c r="AF506" s="118">
        <f t="shared" si="9"/>
        <v>4</v>
      </c>
      <c r="AG506" s="26"/>
      <c r="AH506" s="26"/>
      <c r="AI506" s="26"/>
    </row>
    <row r="507">
      <c r="A507" s="296" t="s">
        <v>7828</v>
      </c>
      <c r="B507" s="128" t="s">
        <v>106</v>
      </c>
      <c r="C507" s="133" t="s">
        <v>338</v>
      </c>
      <c r="D507" s="134" t="s">
        <v>162</v>
      </c>
      <c r="E507" s="135">
        <f t="shared" si="2"/>
        <v>1</v>
      </c>
      <c r="F507" s="135">
        <f t="shared" si="3"/>
        <v>0</v>
      </c>
      <c r="G507" s="136">
        <f t="shared" si="77"/>
        <v>2</v>
      </c>
      <c r="H507" s="305"/>
      <c r="I507" s="306"/>
      <c r="J507" s="307"/>
      <c r="K507" s="308"/>
      <c r="L507" s="309"/>
      <c r="M507" s="310"/>
      <c r="N507" s="311"/>
      <c r="O507" s="312"/>
      <c r="P507" s="144">
        <f t="array" ref="P507">XLOOKUP(B507,Weight!B:B,Weight!D:D,"#N/A",0)</f>
        <v>90</v>
      </c>
      <c r="Q507" s="145">
        <f t="shared" si="6"/>
        <v>180</v>
      </c>
      <c r="R507" s="146"/>
      <c r="S507" s="147">
        <v>560313.0</v>
      </c>
      <c r="T507" s="147">
        <v>12.0</v>
      </c>
      <c r="U507" s="109">
        <v>40.0</v>
      </c>
      <c r="V507" s="148"/>
      <c r="W507" s="149"/>
      <c r="X507" s="150">
        <f>SUMIFS('Transit Shipment'!$B$10:$B$1048462,'Transit Shipment'!$A$10:$A$1048462,B507,'Transit Shipment'!$C$10:$C$1048462,AA507)</f>
        <v>0</v>
      </c>
      <c r="Y507" s="150">
        <f>IF(SUMIFS(DIH!$S$2:$S833,DIH!$D$2:$D833,B507,DIH!$U$2:$U833,AA507)&gt;0,SUMIFS(DIH!$S$2:$S833,DIH!$D$2:$D833,B507,DIH!$U$2:$U833,AA507),0)</f>
        <v>0</v>
      </c>
      <c r="Z507" s="151">
        <f t="shared" si="7"/>
        <v>0</v>
      </c>
      <c r="AA507" s="152" t="s">
        <v>17</v>
      </c>
      <c r="AB507" s="154">
        <f>IF(ISNA(VLOOKUP($B507,'Business Report'!$D$2:$J$202,2,0)),"",VLOOKUP($B507,'Business Report'!$D$2:$J$202,2,0))</f>
        <v>23</v>
      </c>
      <c r="AC507" s="155">
        <f>SUMIFS(AFS!$P$2:$P$6260,AFS!$N$2:$N$6260,B507,AFS!$AT$2:$AT$6260,AA507)</f>
        <v>1</v>
      </c>
      <c r="AD507" s="156">
        <f t="shared" si="8"/>
        <v>2</v>
      </c>
      <c r="AE507" s="159">
        <f>SUM(AD499:AD507)</f>
        <v>15</v>
      </c>
      <c r="AF507" s="118">
        <f t="shared" si="9"/>
        <v>2</v>
      </c>
      <c r="AG507" s="26"/>
      <c r="AH507" s="26"/>
      <c r="AI507" s="26"/>
    </row>
    <row r="508">
      <c r="A508" s="66" t="s">
        <v>7936</v>
      </c>
      <c r="B508" s="1" t="s">
        <v>110</v>
      </c>
      <c r="C508" s="95" t="s">
        <v>364</v>
      </c>
      <c r="D508" s="68" t="s">
        <v>162</v>
      </c>
      <c r="E508" s="69">
        <f t="shared" si="2"/>
        <v>1</v>
      </c>
      <c r="F508" s="69">
        <f t="shared" si="3"/>
        <v>0</v>
      </c>
      <c r="G508" s="70">
        <f t="shared" si="77"/>
        <v>2</v>
      </c>
      <c r="H508" s="313"/>
      <c r="I508" s="314"/>
      <c r="J508" s="315"/>
      <c r="K508" s="316"/>
      <c r="L508" s="317"/>
      <c r="M508" s="318"/>
      <c r="N508" s="319"/>
      <c r="O508" s="320"/>
      <c r="P508" s="79">
        <f t="array" ref="P508">XLOOKUP(B508,Weight!B:B,Weight!D:D,"#N/A",0)</f>
        <v>105</v>
      </c>
      <c r="Q508" s="80">
        <f t="shared" si="6"/>
        <v>210</v>
      </c>
      <c r="R508" s="107"/>
      <c r="S508" s="108">
        <v>560313.0</v>
      </c>
      <c r="T508" s="108">
        <v>12.0</v>
      </c>
      <c r="U508" s="83">
        <v>40.0</v>
      </c>
      <c r="V508" s="84" t="str">
        <f t="shared" ref="V508:W508" si="89">B508</f>
        <v>CRM-HP-750-Grey</v>
      </c>
      <c r="W508" s="174" t="str">
        <f t="shared" si="89"/>
        <v>Crasome Dust &amp; Water Proof Printer Cover for HP Smart Tank All-in-One 750 / 790 (Grey)</v>
      </c>
      <c r="X508" s="86">
        <f>SUMIFS('Transit Shipment'!$B$10:$B$1048462,'Transit Shipment'!$A$10:$A$1048462,B508,'Transit Shipment'!$C$10:$C$1048462,AA508)</f>
        <v>0</v>
      </c>
      <c r="Y508" s="86">
        <f>IF(SUMIFS(DIH!$S$2:$S833,DIH!$D$2:$D833,B508,DIH!$U$2:$U833,AA508)&gt;0,SUMIFS(DIH!$S$2:$S833,DIH!$D$2:$D833,B508,DIH!$U$2:$U833,AA508),0)</f>
        <v>1</v>
      </c>
      <c r="Z508" s="87">
        <f t="shared" si="7"/>
        <v>1</v>
      </c>
      <c r="AA508" s="88" t="s">
        <v>5</v>
      </c>
      <c r="AB508" s="89">
        <f>IF(ISNA(VLOOKUP($B508,'Business Report'!$D$2:$J$202,2,0)),"",VLOOKUP($B508,'Business Report'!$D$2:$J$202,2,0))</f>
        <v>20</v>
      </c>
      <c r="AC508" s="90">
        <f>SUMIFS(AFS!$P$2:$P$6260,AFS!$N$2:$N$6260,B508,AFS!$AT$2:$AT$6260,AA508)</f>
        <v>2</v>
      </c>
      <c r="AD508" s="91">
        <f t="shared" si="8"/>
        <v>2</v>
      </c>
      <c r="AE508" s="92"/>
      <c r="AF508" s="93">
        <f t="shared" si="9"/>
        <v>2</v>
      </c>
      <c r="AG508" s="321"/>
      <c r="AH508" s="26"/>
      <c r="AI508" s="26"/>
    </row>
    <row r="509">
      <c r="A509" s="94" t="s">
        <v>7936</v>
      </c>
      <c r="B509" s="3" t="s">
        <v>110</v>
      </c>
      <c r="C509" s="95" t="s">
        <v>364</v>
      </c>
      <c r="D509" s="96" t="s">
        <v>162</v>
      </c>
      <c r="E509" s="97" t="str">
        <f t="shared" si="2"/>
        <v/>
      </c>
      <c r="F509" s="97" t="str">
        <f t="shared" si="3"/>
        <v/>
      </c>
      <c r="G509" s="99" t="str">
        <f t="shared" si="77"/>
        <v/>
      </c>
      <c r="H509" s="100"/>
      <c r="I509" s="101"/>
      <c r="J509" s="102"/>
      <c r="K509" s="103"/>
      <c r="L509" s="97"/>
      <c r="M509" s="169"/>
      <c r="N509" s="105"/>
      <c r="O509" s="106"/>
      <c r="P509" s="13">
        <f t="array" ref="P509">XLOOKUP(B509,Weight!B:B,Weight!D:D,"#N/A",0)</f>
        <v>105</v>
      </c>
      <c r="Q509" s="17" t="str">
        <f t="shared" si="6"/>
        <v/>
      </c>
      <c r="R509" s="107"/>
      <c r="S509" s="108">
        <v>560313.0</v>
      </c>
      <c r="T509" s="108">
        <v>12.0</v>
      </c>
      <c r="U509" s="109">
        <v>40.0</v>
      </c>
      <c r="V509" s="110"/>
      <c r="X509" s="111">
        <f>SUMIFS('Transit Shipment'!$B$10:$B$1048462,'Transit Shipment'!$A$10:$A$1048462,B509,'Transit Shipment'!$C$10:$C$1048462,AA509)</f>
        <v>0</v>
      </c>
      <c r="Y509" s="111">
        <f>IF(SUMIFS(DIH!$S$2:$S833,DIH!$D$2:$D833,B509,DIH!$U$2:$U833,AA509)&gt;0,SUMIFS(DIH!$S$2:$S833,DIH!$D$2:$D833,B509,DIH!$U$2:$U833,AA509),0)</f>
        <v>7</v>
      </c>
      <c r="Z509" s="112">
        <f t="shared" si="7"/>
        <v>7</v>
      </c>
      <c r="AA509" s="113" t="s">
        <v>11</v>
      </c>
      <c r="AB509" s="114">
        <f>IF(ISNA(VLOOKUP($B509,'Business Report'!$D$2:$J$202,2,0)),"",VLOOKUP($B509,'Business Report'!$D$2:$J$202,2,0))</f>
        <v>20</v>
      </c>
      <c r="AC509" s="115">
        <f>SUMIFS(AFS!$P$2:$P$6260,AFS!$N$2:$N$6260,B509,AFS!$AT$2:$AT$6260,AA509)</f>
        <v>1</v>
      </c>
      <c r="AD509" s="116">
        <f t="shared" si="8"/>
        <v>-5</v>
      </c>
      <c r="AE509" s="117"/>
      <c r="AF509" s="118" t="str">
        <f t="shared" si="9"/>
        <v/>
      </c>
      <c r="AG509" s="26"/>
      <c r="AH509" s="26"/>
      <c r="AI509" s="26"/>
    </row>
    <row r="510">
      <c r="A510" s="94" t="s">
        <v>7936</v>
      </c>
      <c r="B510" s="3" t="s">
        <v>110</v>
      </c>
      <c r="C510" s="95" t="s">
        <v>364</v>
      </c>
      <c r="D510" s="96" t="s">
        <v>162</v>
      </c>
      <c r="E510" s="97">
        <f t="shared" si="2"/>
        <v>1</v>
      </c>
      <c r="F510" s="97">
        <f t="shared" si="3"/>
        <v>0</v>
      </c>
      <c r="G510" s="99">
        <f t="shared" si="77"/>
        <v>2</v>
      </c>
      <c r="H510" s="100"/>
      <c r="I510" s="101"/>
      <c r="J510" s="102"/>
      <c r="K510" s="103"/>
      <c r="L510" s="97"/>
      <c r="M510" s="169"/>
      <c r="N510" s="105"/>
      <c r="O510" s="106"/>
      <c r="P510" s="13">
        <f t="array" ref="P510">XLOOKUP(B510,Weight!B:B,Weight!D:D,"#N/A",0)</f>
        <v>105</v>
      </c>
      <c r="Q510" s="17">
        <f t="shared" si="6"/>
        <v>210</v>
      </c>
      <c r="R510" s="107"/>
      <c r="S510" s="108">
        <v>560313.0</v>
      </c>
      <c r="T510" s="108">
        <v>12.0</v>
      </c>
      <c r="U510" s="109">
        <v>40.0</v>
      </c>
      <c r="V510" s="110"/>
      <c r="X510" s="111">
        <f>SUMIFS('Transit Shipment'!$B$10:$B$1048462,'Transit Shipment'!$A$10:$A$1048462,B510,'Transit Shipment'!$C$10:$C$1048462,AA510)</f>
        <v>0</v>
      </c>
      <c r="Y510" s="111">
        <f>IF(SUMIFS(DIH!$S$2:$S833,DIH!$D$2:$D833,B510,DIH!$U$2:$U833,AA510)&gt;0,SUMIFS(DIH!$S$2:$S833,DIH!$D$2:$D833,B510,DIH!$U$2:$U833,AA510),0)</f>
        <v>1</v>
      </c>
      <c r="Z510" s="112">
        <f t="shared" si="7"/>
        <v>1</v>
      </c>
      <c r="AA510" s="119" t="s">
        <v>9</v>
      </c>
      <c r="AB510" s="114">
        <f>IF(ISNA(VLOOKUP($B510,'Business Report'!$D$2:$J$202,2,0)),"",VLOOKUP($B510,'Business Report'!$D$2:$J$202,2,0))</f>
        <v>20</v>
      </c>
      <c r="AC510" s="115">
        <f>SUMIFS(AFS!$P$2:$P$6260,AFS!$N$2:$N$6260,B510,AFS!$AT$2:$AT$6260,AA510)</f>
        <v>2</v>
      </c>
      <c r="AD510" s="116">
        <f t="shared" si="8"/>
        <v>2</v>
      </c>
      <c r="AE510" s="117"/>
      <c r="AF510" s="118">
        <f t="shared" si="9"/>
        <v>2</v>
      </c>
      <c r="AG510" s="4"/>
      <c r="AH510" s="26"/>
      <c r="AI510" s="26"/>
    </row>
    <row r="511">
      <c r="A511" s="120" t="s">
        <v>7936</v>
      </c>
      <c r="B511" s="7" t="s">
        <v>110</v>
      </c>
      <c r="C511" s="95" t="s">
        <v>364</v>
      </c>
      <c r="D511" s="109" t="s">
        <v>162</v>
      </c>
      <c r="E511" s="97">
        <f t="shared" si="2"/>
        <v>2</v>
      </c>
      <c r="F511" s="97">
        <f t="shared" si="3"/>
        <v>0.5</v>
      </c>
      <c r="G511" s="99">
        <f t="shared" si="77"/>
        <v>6</v>
      </c>
      <c r="H511" s="121"/>
      <c r="I511" s="122"/>
      <c r="J511" s="123"/>
      <c r="K511" s="124"/>
      <c r="L511" s="125"/>
      <c r="M511" s="181"/>
      <c r="N511" s="126"/>
      <c r="O511" s="127"/>
      <c r="P511" s="13">
        <f t="array" ref="P511">XLOOKUP(B511,Weight!B:B,Weight!D:D,"#N/A",0)</f>
        <v>105</v>
      </c>
      <c r="Q511" s="17">
        <f t="shared" si="6"/>
        <v>630</v>
      </c>
      <c r="R511" s="107"/>
      <c r="S511" s="108">
        <v>560313.0</v>
      </c>
      <c r="T511" s="108">
        <v>12.0</v>
      </c>
      <c r="U511" s="109">
        <v>40.0</v>
      </c>
      <c r="V511" s="110"/>
      <c r="X511" s="111">
        <f>SUMIFS('Transit Shipment'!$B$10:$B$1048462,'Transit Shipment'!$A$10:$A$1048462,B511,'Transit Shipment'!$C$10:$C$1048462,AA511)</f>
        <v>0</v>
      </c>
      <c r="Y511" s="111">
        <f>IF(SUMIFS(DIH!$S$2:$S833,DIH!$D$2:$D833,B511,DIH!$U$2:$U833,AA511)&gt;0,SUMIFS(DIH!$S$2:$S833,DIH!$D$2:$D833,B511,DIH!$U$2:$U833,AA511),0)</f>
        <v>2</v>
      </c>
      <c r="Z511" s="112">
        <f t="shared" si="7"/>
        <v>2</v>
      </c>
      <c r="AA511" s="119" t="s">
        <v>155</v>
      </c>
      <c r="AB511" s="114">
        <f>IF(ISNA(VLOOKUP($B511,'Business Report'!$D$2:$J$202,2,0)),"",VLOOKUP($B511,'Business Report'!$D$2:$J$202,2,0))</f>
        <v>20</v>
      </c>
      <c r="AC511" s="115">
        <f>SUMIFS(AFS!$P$2:$P$6260,AFS!$N$2:$N$6260,B511,AFS!$AT$2:$AT$6260,AA511)</f>
        <v>5</v>
      </c>
      <c r="AD511" s="116">
        <f t="shared" si="8"/>
        <v>5</v>
      </c>
      <c r="AE511" s="117"/>
      <c r="AF511" s="118">
        <f t="shared" si="9"/>
        <v>6</v>
      </c>
      <c r="AG511" s="4"/>
      <c r="AH511" s="26"/>
      <c r="AI511" s="26"/>
    </row>
    <row r="512">
      <c r="A512" s="120" t="s">
        <v>7936</v>
      </c>
      <c r="B512" s="7" t="s">
        <v>110</v>
      </c>
      <c r="C512" s="95" t="s">
        <v>364</v>
      </c>
      <c r="D512" s="109" t="s">
        <v>162</v>
      </c>
      <c r="E512" s="97">
        <f t="shared" si="2"/>
        <v>6</v>
      </c>
      <c r="F512" s="97">
        <f t="shared" si="3"/>
        <v>0</v>
      </c>
      <c r="G512" s="99">
        <f t="shared" si="77"/>
        <v>12</v>
      </c>
      <c r="H512" s="121"/>
      <c r="I512" s="122"/>
      <c r="J512" s="123"/>
      <c r="K512" s="124"/>
      <c r="L512" s="125"/>
      <c r="M512" s="181"/>
      <c r="N512" s="126"/>
      <c r="O512" s="127"/>
      <c r="P512" s="13">
        <f t="array" ref="P512">XLOOKUP(B512,Weight!B:B,Weight!D:D,"#N/A",0)</f>
        <v>105</v>
      </c>
      <c r="Q512" s="17">
        <f t="shared" si="6"/>
        <v>1260</v>
      </c>
      <c r="R512" s="107"/>
      <c r="S512" s="108">
        <v>560313.0</v>
      </c>
      <c r="T512" s="108">
        <v>12.0</v>
      </c>
      <c r="U512" s="109">
        <v>40.0</v>
      </c>
      <c r="V512" s="110"/>
      <c r="X512" s="111">
        <f>SUMIFS('Transit Shipment'!$B$10:$B$1048462,'Transit Shipment'!$A$10:$A$1048462,B512,'Transit Shipment'!$C$10:$C$1048462,AA512)</f>
        <v>0</v>
      </c>
      <c r="Y512" s="111">
        <f>IF(SUMIFS(DIH!$S$2:$S833,DIH!$D$2:$D833,B512,DIH!$U$2:$U833,AA512)&gt;0,SUMIFS(DIH!$S$2:$S833,DIH!$D$2:$D833,B512,DIH!$U$2:$U833,AA512),0)</f>
        <v>4</v>
      </c>
      <c r="Z512" s="112">
        <f t="shared" si="7"/>
        <v>4</v>
      </c>
      <c r="AA512" s="119" t="s">
        <v>156</v>
      </c>
      <c r="AB512" s="114">
        <f>IF(ISNA(VLOOKUP($B512,'Business Report'!$D$2:$J$202,2,0)),"",VLOOKUP($B512,'Business Report'!$D$2:$J$202,2,0))</f>
        <v>20</v>
      </c>
      <c r="AC512" s="115">
        <f>SUMIFS(AFS!$P$2:$P$6260,AFS!$N$2:$N$6260,B512,AFS!$AT$2:$AT$6260,AA512)</f>
        <v>12</v>
      </c>
      <c r="AD512" s="116">
        <f t="shared" si="8"/>
        <v>12</v>
      </c>
      <c r="AE512" s="117"/>
      <c r="AF512" s="118">
        <f t="shared" si="9"/>
        <v>12</v>
      </c>
      <c r="AG512" s="4"/>
      <c r="AH512" s="26"/>
      <c r="AI512" s="26"/>
    </row>
    <row r="513">
      <c r="A513" s="120" t="s">
        <v>7936</v>
      </c>
      <c r="B513" s="7" t="s">
        <v>110</v>
      </c>
      <c r="C513" s="95" t="s">
        <v>364</v>
      </c>
      <c r="D513" s="109" t="s">
        <v>162</v>
      </c>
      <c r="E513" s="97" t="str">
        <f t="shared" si="2"/>
        <v/>
      </c>
      <c r="F513" s="97" t="str">
        <f t="shared" si="3"/>
        <v/>
      </c>
      <c r="G513" s="99" t="str">
        <f t="shared" si="77"/>
        <v/>
      </c>
      <c r="H513" s="121"/>
      <c r="I513" s="122"/>
      <c r="J513" s="123"/>
      <c r="K513" s="124"/>
      <c r="L513" s="125"/>
      <c r="M513" s="181"/>
      <c r="N513" s="126"/>
      <c r="O513" s="127"/>
      <c r="P513" s="13">
        <f t="array" ref="P513">XLOOKUP(B513,Weight!B:B,Weight!D:D,"#N/A",0)</f>
        <v>105</v>
      </c>
      <c r="Q513" s="17" t="str">
        <f t="shared" si="6"/>
        <v/>
      </c>
      <c r="R513" s="107"/>
      <c r="S513" s="108">
        <v>560313.0</v>
      </c>
      <c r="T513" s="108">
        <v>12.0</v>
      </c>
      <c r="U513" s="109">
        <v>40.0</v>
      </c>
      <c r="V513" s="110"/>
      <c r="X513" s="111">
        <f>SUMIFS('Transit Shipment'!$B$10:$B$1048462,'Transit Shipment'!$A$10:$A$1048462,B513,'Transit Shipment'!$C$10:$C$1048462,AA513)</f>
        <v>0</v>
      </c>
      <c r="Y513" s="111">
        <f>IF(SUMIFS(DIH!$S$2:$S833,DIH!$D$2:$D833,B513,DIH!$U$2:$U833,AA513)&gt;0,SUMIFS(DIH!$S$2:$S833,DIH!$D$2:$D833,B513,DIH!$U$2:$U833,AA513),0)</f>
        <v>3</v>
      </c>
      <c r="Z513" s="112">
        <f t="shared" si="7"/>
        <v>3</v>
      </c>
      <c r="AA513" s="130" t="s">
        <v>13</v>
      </c>
      <c r="AB513" s="114">
        <f>IF(ISNA(VLOOKUP($B513,'Business Report'!$D$2:$J$202,2,0)),"",VLOOKUP($B513,'Business Report'!$D$2:$J$202,2,0))</f>
        <v>20</v>
      </c>
      <c r="AC513" s="115">
        <f>SUMIFS(AFS!$P$2:$P$6260,AFS!$N$2:$N$6260,B513,AFS!$AT$2:$AT$6260,AA513)</f>
        <v>1</v>
      </c>
      <c r="AD513" s="116">
        <f t="shared" si="8"/>
        <v>-1</v>
      </c>
      <c r="AE513" s="117"/>
      <c r="AF513" s="118" t="str">
        <f t="shared" si="9"/>
        <v/>
      </c>
      <c r="AG513" s="26"/>
      <c r="AH513" s="26"/>
      <c r="AI513" s="26"/>
    </row>
    <row r="514">
      <c r="A514" s="120" t="s">
        <v>7936</v>
      </c>
      <c r="B514" s="7" t="s">
        <v>110</v>
      </c>
      <c r="C514" s="95" t="s">
        <v>364</v>
      </c>
      <c r="D514" s="109" t="s">
        <v>162</v>
      </c>
      <c r="E514" s="97">
        <f t="shared" si="2"/>
        <v>0</v>
      </c>
      <c r="F514" s="97">
        <f t="shared" si="3"/>
        <v>0.5</v>
      </c>
      <c r="G514" s="99">
        <f t="shared" si="77"/>
        <v>2</v>
      </c>
      <c r="H514" s="121"/>
      <c r="I514" s="122"/>
      <c r="J514" s="123"/>
      <c r="K514" s="124"/>
      <c r="L514" s="125"/>
      <c r="M514" s="181"/>
      <c r="N514" s="126"/>
      <c r="O514" s="127"/>
      <c r="P514" s="13">
        <f t="array" ref="P514">XLOOKUP(B514,Weight!B:B,Weight!D:D,"#N/A",0)</f>
        <v>105</v>
      </c>
      <c r="Q514" s="17">
        <f t="shared" si="6"/>
        <v>210</v>
      </c>
      <c r="R514" s="107"/>
      <c r="S514" s="108">
        <v>560313.0</v>
      </c>
      <c r="T514" s="108">
        <v>12.0</v>
      </c>
      <c r="U514" s="109">
        <v>40.0</v>
      </c>
      <c r="V514" s="110"/>
      <c r="X514" s="111">
        <f>SUMIFS('Transit Shipment'!$B$10:$B$1048462,'Transit Shipment'!$A$10:$A$1048462,B514,'Transit Shipment'!$C$10:$C$1048462,AA514)</f>
        <v>0</v>
      </c>
      <c r="Y514" s="111">
        <f>IF(SUMIFS(DIH!$S$2:$S833,DIH!$D$2:$D833,B514,DIH!$U$2:$U833,AA514)&gt;0,SUMIFS(DIH!$S$2:$S833,DIH!$D$2:$D833,B514,DIH!$U$2:$U833,AA514),0)</f>
        <v>1</v>
      </c>
      <c r="Z514" s="112">
        <f t="shared" si="7"/>
        <v>1</v>
      </c>
      <c r="AA514" s="119" t="s">
        <v>14</v>
      </c>
      <c r="AB514" s="114">
        <f>IF(ISNA(VLOOKUP($B514,'Business Report'!$D$2:$J$202,2,0)),"",VLOOKUP($B514,'Business Report'!$D$2:$J$202,2,0))</f>
        <v>20</v>
      </c>
      <c r="AC514" s="115">
        <f>SUMIFS(AFS!$P$2:$P$6260,AFS!$N$2:$N$6260,B514,AFS!$AT$2:$AT$6260,AA514)</f>
        <v>1</v>
      </c>
      <c r="AD514" s="116">
        <f t="shared" si="8"/>
        <v>1</v>
      </c>
      <c r="AE514" s="117"/>
      <c r="AF514" s="118">
        <f t="shared" si="9"/>
        <v>2</v>
      </c>
      <c r="AG514" s="26"/>
      <c r="AH514" s="26"/>
      <c r="AI514" s="26"/>
    </row>
    <row r="515">
      <c r="A515" s="120" t="s">
        <v>7936</v>
      </c>
      <c r="B515" s="7" t="s">
        <v>110</v>
      </c>
      <c r="C515" s="95" t="s">
        <v>364</v>
      </c>
      <c r="D515" s="109" t="s">
        <v>162</v>
      </c>
      <c r="E515" s="97" t="str">
        <f t="shared" si="2"/>
        <v/>
      </c>
      <c r="F515" s="97" t="str">
        <f t="shared" si="3"/>
        <v/>
      </c>
      <c r="G515" s="99" t="str">
        <f t="shared" si="77"/>
        <v/>
      </c>
      <c r="H515" s="121"/>
      <c r="I515" s="122"/>
      <c r="J515" s="123"/>
      <c r="K515" s="124"/>
      <c r="L515" s="125"/>
      <c r="M515" s="181"/>
      <c r="N515" s="126"/>
      <c r="O515" s="127"/>
      <c r="P515" s="13">
        <f t="array" ref="P515">XLOOKUP(B515,Weight!B:B,Weight!D:D,"#N/A",0)</f>
        <v>105</v>
      </c>
      <c r="Q515" s="17" t="str">
        <f t="shared" si="6"/>
        <v/>
      </c>
      <c r="R515" s="107"/>
      <c r="S515" s="108">
        <v>560313.0</v>
      </c>
      <c r="T515" s="108">
        <v>12.0</v>
      </c>
      <c r="U515" s="109">
        <v>40.0</v>
      </c>
      <c r="V515" s="110"/>
      <c r="X515" s="111">
        <f>SUMIFS('Transit Shipment'!$B$10:$B$1048462,'Transit Shipment'!$A$10:$A$1048462,B515,'Transit Shipment'!$C$10:$C$1048462,AA515)</f>
        <v>0</v>
      </c>
      <c r="Y515" s="111">
        <f>IF(SUMIFS(DIH!$S$2:$S833,DIH!$D$2:$D833,B515,DIH!$U$2:$U833,AA515)&gt;0,SUMIFS(DIH!$S$2:$S833,DIH!$D$2:$D833,B515,DIH!$U$2:$U833,AA515),0)</f>
        <v>1</v>
      </c>
      <c r="Z515" s="112">
        <f t="shared" si="7"/>
        <v>1</v>
      </c>
      <c r="AA515" s="131" t="s">
        <v>16</v>
      </c>
      <c r="AB515" s="114">
        <f>IF(ISNA(VLOOKUP($B515,'Business Report'!$D$2:$J$202,2,0)),"",VLOOKUP($B515,'Business Report'!$D$2:$J$202,2,0))</f>
        <v>20</v>
      </c>
      <c r="AC515" s="115">
        <f>SUMIFS(AFS!$P$2:$P$6260,AFS!$N$2:$N$6260,B515,AFS!$AT$2:$AT$6260,AA515)</f>
        <v>0</v>
      </c>
      <c r="AD515" s="116">
        <f t="shared" si="8"/>
        <v>-1</v>
      </c>
      <c r="AE515" s="117"/>
      <c r="AF515" s="118" t="str">
        <f t="shared" si="9"/>
        <v/>
      </c>
      <c r="AG515" s="26"/>
      <c r="AH515" s="26"/>
      <c r="AI515" s="26"/>
    </row>
    <row r="516">
      <c r="A516" s="132" t="s">
        <v>7936</v>
      </c>
      <c r="B516" s="15" t="s">
        <v>110</v>
      </c>
      <c r="C516" s="133" t="s">
        <v>364</v>
      </c>
      <c r="D516" s="134" t="s">
        <v>162</v>
      </c>
      <c r="E516" s="135" t="str">
        <f t="shared" si="2"/>
        <v/>
      </c>
      <c r="F516" s="135" t="str">
        <f t="shared" si="3"/>
        <v/>
      </c>
      <c r="G516" s="136" t="str">
        <f t="shared" si="77"/>
        <v/>
      </c>
      <c r="H516" s="137"/>
      <c r="I516" s="138"/>
      <c r="J516" s="139"/>
      <c r="K516" s="140"/>
      <c r="L516" s="135"/>
      <c r="M516" s="152"/>
      <c r="N516" s="142"/>
      <c r="O516" s="143"/>
      <c r="P516" s="144">
        <f t="array" ref="P516">XLOOKUP(B516,Weight!B:B,Weight!D:D,"#N/A",0)</f>
        <v>105</v>
      </c>
      <c r="Q516" s="145" t="str">
        <f t="shared" si="6"/>
        <v/>
      </c>
      <c r="R516" s="146"/>
      <c r="S516" s="147">
        <v>560313.0</v>
      </c>
      <c r="T516" s="147">
        <v>12.0</v>
      </c>
      <c r="U516" s="109">
        <v>40.0</v>
      </c>
      <c r="V516" s="148"/>
      <c r="W516" s="149"/>
      <c r="X516" s="150">
        <f>SUMIFS('Transit Shipment'!$B$10:$B$1048462,'Transit Shipment'!$A$10:$A$1048462,B516,'Transit Shipment'!$C$10:$C$1048462,AA516)</f>
        <v>0</v>
      </c>
      <c r="Y516" s="150">
        <f>IF(SUMIFS(DIH!$S$2:$S833,DIH!$D$2:$D833,B516,DIH!$U$2:$U833,AA516)&gt;0,SUMIFS(DIH!$S$2:$S833,DIH!$D$2:$D833,B516,DIH!$U$2:$U833,AA516),0)</f>
        <v>2</v>
      </c>
      <c r="Z516" s="151">
        <f t="shared" si="7"/>
        <v>2</v>
      </c>
      <c r="AA516" s="152" t="s">
        <v>17</v>
      </c>
      <c r="AB516" s="154">
        <f>IF(ISNA(VLOOKUP($B516,'Business Report'!$D$2:$J$202,2,0)),"",VLOOKUP($B516,'Business Report'!$D$2:$J$202,2,0))</f>
        <v>20</v>
      </c>
      <c r="AC516" s="155">
        <f>SUMIFS(AFS!$P$2:$P$6260,AFS!$N$2:$N$6260,B516,AFS!$AT$2:$AT$6260,AA516)</f>
        <v>0</v>
      </c>
      <c r="AD516" s="156">
        <f t="shared" si="8"/>
        <v>-2</v>
      </c>
      <c r="AE516" s="159">
        <f>SUM(AD508:AD516)</f>
        <v>13</v>
      </c>
      <c r="AF516" s="118" t="str">
        <f t="shared" si="9"/>
        <v/>
      </c>
      <c r="AG516" s="26"/>
      <c r="AH516" s="26"/>
      <c r="AI516" s="26"/>
    </row>
    <row r="517">
      <c r="A517" s="66" t="s">
        <v>8100</v>
      </c>
      <c r="B517" s="1" t="s">
        <v>111</v>
      </c>
      <c r="C517" s="95" t="s">
        <v>464</v>
      </c>
      <c r="D517" s="68" t="s">
        <v>162</v>
      </c>
      <c r="E517" s="69">
        <f t="shared" si="2"/>
        <v>1</v>
      </c>
      <c r="F517" s="69">
        <f t="shared" si="3"/>
        <v>0</v>
      </c>
      <c r="G517" s="70" t="str">
        <f t="shared" si="77"/>
        <v/>
      </c>
      <c r="H517" s="163"/>
      <c r="I517" s="101"/>
      <c r="J517" s="102"/>
      <c r="K517" s="167"/>
      <c r="L517" s="119"/>
      <c r="M517" s="169"/>
      <c r="N517" s="171"/>
      <c r="O517" s="106"/>
      <c r="P517" s="79">
        <f t="array" ref="P517">XLOOKUP(B517,Weight!B:B,Weight!D:D,"#N/A",0)</f>
        <v>105</v>
      </c>
      <c r="Q517" s="80" t="str">
        <f t="shared" si="6"/>
        <v/>
      </c>
      <c r="R517" s="107"/>
      <c r="S517" s="108">
        <v>560313.0</v>
      </c>
      <c r="T517" s="108">
        <v>12.0</v>
      </c>
      <c r="U517" s="83">
        <v>40.0</v>
      </c>
      <c r="V517" s="84" t="str">
        <f t="shared" ref="V517:W517" si="90">B517</f>
        <v>CRM-HP-750-Black</v>
      </c>
      <c r="W517" s="174" t="str">
        <f t="shared" si="90"/>
        <v>Crasome Dust &amp; Water Proof Printer Cover for HP Smart Tank All-in-One 750 / 790 (Black)</v>
      </c>
      <c r="X517" s="86">
        <f>SUMIFS('Transit Shipment'!$B$10:$B$1048462,'Transit Shipment'!$A$10:$A$1048462,B517,'Transit Shipment'!$C$10:$C$1048462,AA517)</f>
        <v>0</v>
      </c>
      <c r="Y517" s="86">
        <f>IF(SUMIFS(DIH!$S$2:$S833,DIH!$D$2:$D833,B517,DIH!$U$2:$U833,AA517)&gt;0,SUMIFS(DIH!$S$2:$S833,DIH!$D$2:$D833,B517,DIH!$U$2:$U833,AA517),0)</f>
        <v>2</v>
      </c>
      <c r="Z517" s="87">
        <f t="shared" si="7"/>
        <v>2</v>
      </c>
      <c r="AA517" s="88" t="s">
        <v>5</v>
      </c>
      <c r="AB517" s="89">
        <f>IF(ISNA(VLOOKUP($B517,'Business Report'!$D$2:$J$202,2,0)),"",VLOOKUP($B517,'Business Report'!$D$2:$J$202,2,0))</f>
        <v>5</v>
      </c>
      <c r="AC517" s="90">
        <f>SUMIFS(AFS!$P$2:$P$6260,AFS!$N$2:$N$6260,B517,AFS!$AT$2:$AT$6260,AA517)</f>
        <v>1</v>
      </c>
      <c r="AD517" s="91">
        <f t="shared" si="8"/>
        <v>0</v>
      </c>
      <c r="AE517" s="92"/>
      <c r="AF517" s="93" t="str">
        <f t="shared" si="9"/>
        <v/>
      </c>
      <c r="AG517" s="26"/>
      <c r="AH517" s="26"/>
      <c r="AI517" s="26"/>
    </row>
    <row r="518">
      <c r="A518" s="94" t="s">
        <v>8100</v>
      </c>
      <c r="B518" s="3" t="s">
        <v>111</v>
      </c>
      <c r="C518" s="95" t="s">
        <v>464</v>
      </c>
      <c r="D518" s="96" t="s">
        <v>162</v>
      </c>
      <c r="E518" s="97">
        <f t="shared" si="2"/>
        <v>1</v>
      </c>
      <c r="F518" s="97">
        <f t="shared" si="3"/>
        <v>0</v>
      </c>
      <c r="G518" s="99" t="str">
        <f t="shared" si="77"/>
        <v/>
      </c>
      <c r="H518" s="100"/>
      <c r="I518" s="101"/>
      <c r="J518" s="102"/>
      <c r="K518" s="103"/>
      <c r="L518" s="97"/>
      <c r="M518" s="169"/>
      <c r="N518" s="105"/>
      <c r="O518" s="106"/>
      <c r="P518" s="13">
        <f t="array" ref="P518">XLOOKUP(B518,Weight!B:B,Weight!D:D,"#N/A",0)</f>
        <v>105</v>
      </c>
      <c r="Q518" s="17" t="str">
        <f t="shared" si="6"/>
        <v/>
      </c>
      <c r="R518" s="107"/>
      <c r="S518" s="108">
        <v>560313.0</v>
      </c>
      <c r="T518" s="108">
        <v>12.0</v>
      </c>
      <c r="U518" s="109">
        <v>40.0</v>
      </c>
      <c r="V518" s="110"/>
      <c r="X518" s="111">
        <f>SUMIFS('Transit Shipment'!$B$10:$B$1048462,'Transit Shipment'!$A$10:$A$1048462,B518,'Transit Shipment'!$C$10:$C$1048462,AA518)</f>
        <v>0</v>
      </c>
      <c r="Y518" s="111">
        <f>IF(SUMIFS(DIH!$S$2:$S833,DIH!$D$2:$D833,B518,DIH!$U$2:$U833,AA518)&gt;0,SUMIFS(DIH!$S$2:$S833,DIH!$D$2:$D833,B518,DIH!$U$2:$U833,AA518),0)</f>
        <v>0</v>
      </c>
      <c r="Z518" s="112">
        <f t="shared" si="7"/>
        <v>0</v>
      </c>
      <c r="AA518" s="113" t="s">
        <v>11</v>
      </c>
      <c r="AB518" s="114">
        <f>IF(ISNA(VLOOKUP($B518,'Business Report'!$D$2:$J$202,2,0)),"",VLOOKUP($B518,'Business Report'!$D$2:$J$202,2,0))</f>
        <v>5</v>
      </c>
      <c r="AC518" s="115">
        <f>SUMIFS(AFS!$P$2:$P$6260,AFS!$N$2:$N$6260,B518,AFS!$AT$2:$AT$6260,AA518)</f>
        <v>0</v>
      </c>
      <c r="AD518" s="116">
        <f t="shared" si="8"/>
        <v>0</v>
      </c>
      <c r="AE518" s="117"/>
      <c r="AF518" s="118" t="str">
        <f t="shared" si="9"/>
        <v/>
      </c>
      <c r="AG518" s="26"/>
      <c r="AH518" s="26"/>
      <c r="AI518" s="26"/>
    </row>
    <row r="519">
      <c r="A519" s="94" t="s">
        <v>8100</v>
      </c>
      <c r="B519" s="3" t="s">
        <v>111</v>
      </c>
      <c r="C519" s="95" t="s">
        <v>464</v>
      </c>
      <c r="D519" s="96" t="s">
        <v>162</v>
      </c>
      <c r="E519" s="97">
        <f t="shared" si="2"/>
        <v>1</v>
      </c>
      <c r="F519" s="97">
        <f t="shared" si="3"/>
        <v>0</v>
      </c>
      <c r="G519" s="99" t="str">
        <f t="shared" si="77"/>
        <v/>
      </c>
      <c r="H519" s="100"/>
      <c r="I519" s="101"/>
      <c r="J519" s="102"/>
      <c r="K519" s="103"/>
      <c r="L519" s="97"/>
      <c r="M519" s="169"/>
      <c r="N519" s="105"/>
      <c r="O519" s="106"/>
      <c r="P519" s="13">
        <f t="array" ref="P519">XLOOKUP(B519,Weight!B:B,Weight!D:D,"#N/A",0)</f>
        <v>105</v>
      </c>
      <c r="Q519" s="17" t="str">
        <f t="shared" si="6"/>
        <v/>
      </c>
      <c r="R519" s="107"/>
      <c r="S519" s="108">
        <v>560313.0</v>
      </c>
      <c r="T519" s="108">
        <v>12.0</v>
      </c>
      <c r="U519" s="109">
        <v>40.0</v>
      </c>
      <c r="V519" s="110"/>
      <c r="X519" s="111">
        <f>SUMIFS('Transit Shipment'!$B$10:$B$1048462,'Transit Shipment'!$A$10:$A$1048462,B519,'Transit Shipment'!$C$10:$C$1048462,AA519)</f>
        <v>0</v>
      </c>
      <c r="Y519" s="111">
        <f>IF(SUMIFS(DIH!$S$2:$S833,DIH!$D$2:$D833,B519,DIH!$U$2:$U833,AA519)&gt;0,SUMIFS(DIH!$S$2:$S833,DIH!$D$2:$D833,B519,DIH!$U$2:$U833,AA519),0)</f>
        <v>0</v>
      </c>
      <c r="Z519" s="112">
        <f t="shared" si="7"/>
        <v>0</v>
      </c>
      <c r="AA519" s="119" t="s">
        <v>9</v>
      </c>
      <c r="AB519" s="114">
        <f>IF(ISNA(VLOOKUP($B519,'Business Report'!$D$2:$J$202,2,0)),"",VLOOKUP($B519,'Business Report'!$D$2:$J$202,2,0))</f>
        <v>5</v>
      </c>
      <c r="AC519" s="115">
        <f>SUMIFS(AFS!$P$2:$P$6260,AFS!$N$2:$N$6260,B519,AFS!$AT$2:$AT$6260,AA519)</f>
        <v>0</v>
      </c>
      <c r="AD519" s="116">
        <f t="shared" si="8"/>
        <v>0</v>
      </c>
      <c r="AE519" s="117"/>
      <c r="AF519" s="118" t="str">
        <f t="shared" si="9"/>
        <v/>
      </c>
      <c r="AG519" s="26"/>
      <c r="AH519" s="26"/>
      <c r="AI519" s="26"/>
    </row>
    <row r="520">
      <c r="A520" s="120" t="s">
        <v>8100</v>
      </c>
      <c r="B520" s="7" t="s">
        <v>111</v>
      </c>
      <c r="C520" s="95" t="s">
        <v>464</v>
      </c>
      <c r="D520" s="109" t="s">
        <v>162</v>
      </c>
      <c r="E520" s="97">
        <f t="shared" si="2"/>
        <v>1</v>
      </c>
      <c r="F520" s="97">
        <f t="shared" si="3"/>
        <v>0</v>
      </c>
      <c r="G520" s="99" t="str">
        <f t="shared" si="77"/>
        <v/>
      </c>
      <c r="H520" s="121"/>
      <c r="I520" s="122"/>
      <c r="J520" s="123"/>
      <c r="K520" s="124"/>
      <c r="L520" s="125"/>
      <c r="M520" s="181"/>
      <c r="N520" s="126"/>
      <c r="O520" s="127"/>
      <c r="P520" s="13">
        <f t="array" ref="P520">XLOOKUP(B520,Weight!B:B,Weight!D:D,"#N/A",0)</f>
        <v>105</v>
      </c>
      <c r="Q520" s="17" t="str">
        <f t="shared" si="6"/>
        <v/>
      </c>
      <c r="R520" s="107"/>
      <c r="S520" s="108">
        <v>560313.0</v>
      </c>
      <c r="T520" s="108">
        <v>12.0</v>
      </c>
      <c r="U520" s="109">
        <v>40.0</v>
      </c>
      <c r="V520" s="110"/>
      <c r="X520" s="111">
        <f>SUMIFS('Transit Shipment'!$B$10:$B$1048462,'Transit Shipment'!$A$10:$A$1048462,B520,'Transit Shipment'!$C$10:$C$1048462,AA520)</f>
        <v>0</v>
      </c>
      <c r="Y520" s="111">
        <f>IF(SUMIFS(DIH!$S$2:$S833,DIH!$D$2:$D833,B520,DIH!$U$2:$U833,AA520)&gt;0,SUMIFS(DIH!$S$2:$S833,DIH!$D$2:$D833,B520,DIH!$U$2:$U833,AA520),0)</f>
        <v>0</v>
      </c>
      <c r="Z520" s="112">
        <f t="shared" si="7"/>
        <v>0</v>
      </c>
      <c r="AA520" s="119" t="s">
        <v>155</v>
      </c>
      <c r="AB520" s="114">
        <f>IF(ISNA(VLOOKUP($B520,'Business Report'!$D$2:$J$202,2,0)),"",VLOOKUP($B520,'Business Report'!$D$2:$J$202,2,0))</f>
        <v>5</v>
      </c>
      <c r="AC520" s="115">
        <f>SUMIFS(AFS!$P$2:$P$6260,AFS!$N$2:$N$6260,B520,AFS!$AT$2:$AT$6260,AA520)</f>
        <v>0</v>
      </c>
      <c r="AD520" s="116">
        <f t="shared" si="8"/>
        <v>0</v>
      </c>
      <c r="AE520" s="117"/>
      <c r="AF520" s="118" t="str">
        <f t="shared" si="9"/>
        <v/>
      </c>
      <c r="AG520" s="26"/>
      <c r="AH520" s="26"/>
      <c r="AI520" s="26"/>
    </row>
    <row r="521">
      <c r="A521" s="120" t="s">
        <v>8100</v>
      </c>
      <c r="B521" s="7" t="s">
        <v>111</v>
      </c>
      <c r="C521" s="95" t="s">
        <v>464</v>
      </c>
      <c r="D521" s="109" t="s">
        <v>162</v>
      </c>
      <c r="E521" s="97">
        <f t="shared" si="2"/>
        <v>2</v>
      </c>
      <c r="F521" s="97">
        <f t="shared" si="3"/>
        <v>0</v>
      </c>
      <c r="G521" s="99">
        <f t="shared" si="77"/>
        <v>4</v>
      </c>
      <c r="H521" s="121"/>
      <c r="I521" s="122"/>
      <c r="J521" s="123"/>
      <c r="K521" s="124"/>
      <c r="L521" s="125"/>
      <c r="M521" s="181"/>
      <c r="N521" s="126"/>
      <c r="O521" s="127"/>
      <c r="P521" s="13">
        <f t="array" ref="P521">XLOOKUP(B521,Weight!B:B,Weight!D:D,"#N/A",0)</f>
        <v>105</v>
      </c>
      <c r="Q521" s="17">
        <f t="shared" si="6"/>
        <v>420</v>
      </c>
      <c r="R521" s="107"/>
      <c r="S521" s="108">
        <v>560313.0</v>
      </c>
      <c r="T521" s="108">
        <v>12.0</v>
      </c>
      <c r="U521" s="109">
        <v>40.0</v>
      </c>
      <c r="V521" s="110"/>
      <c r="X521" s="111">
        <f>SUMIFS('Transit Shipment'!$B$10:$B$1048462,'Transit Shipment'!$A$10:$A$1048462,B521,'Transit Shipment'!$C$10:$C$1048462,AA521)</f>
        <v>0</v>
      </c>
      <c r="Y521" s="111">
        <f>IF(SUMIFS(DIH!$S$2:$S833,DIH!$D$2:$D833,B521,DIH!$U$2:$U833,AA521)&gt;0,SUMIFS(DIH!$S$2:$S833,DIH!$D$2:$D833,B521,DIH!$U$2:$U833,AA521),0)</f>
        <v>0</v>
      </c>
      <c r="Z521" s="112">
        <f t="shared" si="7"/>
        <v>0</v>
      </c>
      <c r="AA521" s="119" t="s">
        <v>156</v>
      </c>
      <c r="AB521" s="114">
        <f>IF(ISNA(VLOOKUP($B521,'Business Report'!$D$2:$J$202,2,0)),"",VLOOKUP($B521,'Business Report'!$D$2:$J$202,2,0))</f>
        <v>5</v>
      </c>
      <c r="AC521" s="115">
        <f>SUMIFS(AFS!$P$2:$P$6260,AFS!$N$2:$N$6260,B521,AFS!$AT$2:$AT$6260,AA521)</f>
        <v>3</v>
      </c>
      <c r="AD521" s="116">
        <f t="shared" si="8"/>
        <v>4</v>
      </c>
      <c r="AE521" s="117"/>
      <c r="AF521" s="118">
        <f t="shared" si="9"/>
        <v>4</v>
      </c>
      <c r="AG521" s="26"/>
      <c r="AH521" s="26"/>
      <c r="AI521" s="26"/>
    </row>
    <row r="522">
      <c r="A522" s="120" t="s">
        <v>8100</v>
      </c>
      <c r="B522" s="7" t="s">
        <v>111</v>
      </c>
      <c r="C522" s="95" t="s">
        <v>464</v>
      </c>
      <c r="D522" s="109" t="s">
        <v>162</v>
      </c>
      <c r="E522" s="97">
        <f t="shared" si="2"/>
        <v>1</v>
      </c>
      <c r="F522" s="97">
        <f t="shared" si="3"/>
        <v>0</v>
      </c>
      <c r="G522" s="99" t="str">
        <f t="shared" si="77"/>
        <v/>
      </c>
      <c r="H522" s="121"/>
      <c r="I522" s="122"/>
      <c r="J522" s="123"/>
      <c r="K522" s="124"/>
      <c r="L522" s="125"/>
      <c r="M522" s="181"/>
      <c r="N522" s="126"/>
      <c r="O522" s="127"/>
      <c r="P522" s="13">
        <f t="array" ref="P522">XLOOKUP(B522,Weight!B:B,Weight!D:D,"#N/A",0)</f>
        <v>105</v>
      </c>
      <c r="Q522" s="17" t="str">
        <f t="shared" si="6"/>
        <v/>
      </c>
      <c r="R522" s="107"/>
      <c r="S522" s="108">
        <v>560313.0</v>
      </c>
      <c r="T522" s="108">
        <v>12.0</v>
      </c>
      <c r="U522" s="109">
        <v>40.0</v>
      </c>
      <c r="V522" s="110"/>
      <c r="X522" s="111">
        <f>SUMIFS('Transit Shipment'!$B$10:$B$1048462,'Transit Shipment'!$A$10:$A$1048462,B522,'Transit Shipment'!$C$10:$C$1048462,AA522)</f>
        <v>0</v>
      </c>
      <c r="Y522" s="111">
        <f>IF(SUMIFS(DIH!$S$2:$S833,DIH!$D$2:$D833,B522,DIH!$U$2:$U833,AA522)&gt;0,SUMIFS(DIH!$S$2:$S833,DIH!$D$2:$D833,B522,DIH!$U$2:$U833,AA522),0)</f>
        <v>0</v>
      </c>
      <c r="Z522" s="112">
        <f t="shared" si="7"/>
        <v>0</v>
      </c>
      <c r="AA522" s="130" t="s">
        <v>13</v>
      </c>
      <c r="AB522" s="114">
        <f>IF(ISNA(VLOOKUP($B522,'Business Report'!$D$2:$J$202,2,0)),"",VLOOKUP($B522,'Business Report'!$D$2:$J$202,2,0))</f>
        <v>5</v>
      </c>
      <c r="AC522" s="115">
        <f>SUMIFS(AFS!$P$2:$P$6260,AFS!$N$2:$N$6260,B522,AFS!$AT$2:$AT$6260,AA522)</f>
        <v>0</v>
      </c>
      <c r="AD522" s="116">
        <f t="shared" si="8"/>
        <v>0</v>
      </c>
      <c r="AE522" s="117"/>
      <c r="AF522" s="118" t="str">
        <f t="shared" si="9"/>
        <v/>
      </c>
      <c r="AG522" s="26"/>
      <c r="AH522" s="26"/>
      <c r="AI522" s="26"/>
    </row>
    <row r="523">
      <c r="A523" s="120" t="s">
        <v>8100</v>
      </c>
      <c r="B523" s="7" t="s">
        <v>111</v>
      </c>
      <c r="C523" s="95" t="s">
        <v>464</v>
      </c>
      <c r="D523" s="109" t="s">
        <v>162</v>
      </c>
      <c r="E523" s="97">
        <f t="shared" si="2"/>
        <v>1</v>
      </c>
      <c r="F523" s="97">
        <f t="shared" si="3"/>
        <v>0.5</v>
      </c>
      <c r="G523" s="99">
        <f t="shared" si="77"/>
        <v>4</v>
      </c>
      <c r="H523" s="121"/>
      <c r="I523" s="122"/>
      <c r="J523" s="123"/>
      <c r="K523" s="124"/>
      <c r="L523" s="125"/>
      <c r="M523" s="181"/>
      <c r="N523" s="126"/>
      <c r="O523" s="127"/>
      <c r="P523" s="13">
        <f t="array" ref="P523">XLOOKUP(B523,Weight!B:B,Weight!D:D,"#N/A",0)</f>
        <v>105</v>
      </c>
      <c r="Q523" s="17">
        <f t="shared" si="6"/>
        <v>420</v>
      </c>
      <c r="R523" s="107"/>
      <c r="S523" s="108">
        <v>560313.0</v>
      </c>
      <c r="T523" s="108">
        <v>12.0</v>
      </c>
      <c r="U523" s="109">
        <v>40.0</v>
      </c>
      <c r="V523" s="110"/>
      <c r="X523" s="111">
        <f>SUMIFS('Transit Shipment'!$B$10:$B$1048462,'Transit Shipment'!$A$10:$A$1048462,B523,'Transit Shipment'!$C$10:$C$1048462,AA523)</f>
        <v>0</v>
      </c>
      <c r="Y523" s="111">
        <f>IF(SUMIFS(DIH!$S$2:$S833,DIH!$D$2:$D833,B523,DIH!$U$2:$U833,AA523)&gt;0,SUMIFS(DIH!$S$2:$S833,DIH!$D$2:$D833,B523,DIH!$U$2:$U833,AA523),0)</f>
        <v>0</v>
      </c>
      <c r="Z523" s="112">
        <f t="shared" si="7"/>
        <v>0</v>
      </c>
      <c r="AA523" s="119" t="s">
        <v>14</v>
      </c>
      <c r="AB523" s="114">
        <f>IF(ISNA(VLOOKUP($B523,'Business Report'!$D$2:$J$202,2,0)),"",VLOOKUP($B523,'Business Report'!$D$2:$J$202,2,0))</f>
        <v>5</v>
      </c>
      <c r="AC523" s="115">
        <f>SUMIFS(AFS!$P$2:$P$6260,AFS!$N$2:$N$6260,B523,AFS!$AT$2:$AT$6260,AA523)</f>
        <v>2</v>
      </c>
      <c r="AD523" s="116">
        <f t="shared" si="8"/>
        <v>3</v>
      </c>
      <c r="AE523" s="117"/>
      <c r="AF523" s="118">
        <f t="shared" si="9"/>
        <v>4</v>
      </c>
      <c r="AG523" s="26"/>
      <c r="AH523" s="26"/>
      <c r="AI523" s="26"/>
    </row>
    <row r="524">
      <c r="A524" s="120" t="s">
        <v>8100</v>
      </c>
      <c r="B524" s="7" t="s">
        <v>111</v>
      </c>
      <c r="C524" s="95" t="s">
        <v>464</v>
      </c>
      <c r="D524" s="109" t="s">
        <v>162</v>
      </c>
      <c r="E524" s="97">
        <f t="shared" si="2"/>
        <v>1</v>
      </c>
      <c r="F524" s="97">
        <f t="shared" si="3"/>
        <v>0.5</v>
      </c>
      <c r="G524" s="99">
        <f t="shared" si="77"/>
        <v>4</v>
      </c>
      <c r="H524" s="121"/>
      <c r="I524" s="122"/>
      <c r="J524" s="123"/>
      <c r="K524" s="124"/>
      <c r="L524" s="125"/>
      <c r="M524" s="181"/>
      <c r="N524" s="126"/>
      <c r="O524" s="127"/>
      <c r="P524" s="13">
        <f t="array" ref="P524">XLOOKUP(B524,Weight!B:B,Weight!D:D,"#N/A",0)</f>
        <v>105</v>
      </c>
      <c r="Q524" s="17">
        <f t="shared" si="6"/>
        <v>420</v>
      </c>
      <c r="R524" s="107"/>
      <c r="S524" s="108">
        <v>560313.0</v>
      </c>
      <c r="T524" s="108">
        <v>12.0</v>
      </c>
      <c r="U524" s="109">
        <v>40.0</v>
      </c>
      <c r="V524" s="110"/>
      <c r="X524" s="111">
        <f>SUMIFS('Transit Shipment'!$B$10:$B$1048462,'Transit Shipment'!$A$10:$A$1048462,B524,'Transit Shipment'!$C$10:$C$1048462,AA524)</f>
        <v>0</v>
      </c>
      <c r="Y524" s="111">
        <f>IF(SUMIFS(DIH!$S$2:$S833,DIH!$D$2:$D833,B524,DIH!$U$2:$U833,AA524)&gt;0,SUMIFS(DIH!$S$2:$S833,DIH!$D$2:$D833,B524,DIH!$U$2:$U833,AA524),0)</f>
        <v>0</v>
      </c>
      <c r="Z524" s="112">
        <f t="shared" si="7"/>
        <v>0</v>
      </c>
      <c r="AA524" s="131" t="s">
        <v>16</v>
      </c>
      <c r="AB524" s="114">
        <f>IF(ISNA(VLOOKUP($B524,'Business Report'!$D$2:$J$202,2,0)),"",VLOOKUP($B524,'Business Report'!$D$2:$J$202,2,0))</f>
        <v>5</v>
      </c>
      <c r="AC524" s="115">
        <f>SUMIFS(AFS!$P$2:$P$6260,AFS!$N$2:$N$6260,B524,AFS!$AT$2:$AT$6260,AA524)</f>
        <v>2</v>
      </c>
      <c r="AD524" s="116">
        <f t="shared" si="8"/>
        <v>3</v>
      </c>
      <c r="AE524" s="117"/>
      <c r="AF524" s="118">
        <f t="shared" si="9"/>
        <v>4</v>
      </c>
      <c r="AG524" s="26"/>
      <c r="AH524" s="26"/>
      <c r="AI524" s="26"/>
    </row>
    <row r="525">
      <c r="A525" s="132" t="s">
        <v>8100</v>
      </c>
      <c r="B525" s="15" t="s">
        <v>111</v>
      </c>
      <c r="C525" s="133" t="s">
        <v>464</v>
      </c>
      <c r="D525" s="134" t="s">
        <v>162</v>
      </c>
      <c r="E525" s="135">
        <f t="shared" si="2"/>
        <v>1</v>
      </c>
      <c r="F525" s="135">
        <f t="shared" si="3"/>
        <v>0</v>
      </c>
      <c r="G525" s="136" t="str">
        <f t="shared" si="77"/>
        <v/>
      </c>
      <c r="H525" s="137"/>
      <c r="I525" s="138"/>
      <c r="J525" s="139"/>
      <c r="K525" s="140"/>
      <c r="L525" s="135"/>
      <c r="M525" s="152"/>
      <c r="N525" s="142"/>
      <c r="O525" s="143"/>
      <c r="P525" s="144">
        <f t="array" ref="P525">XLOOKUP(B525,Weight!B:B,Weight!D:D,"#N/A",0)</f>
        <v>105</v>
      </c>
      <c r="Q525" s="145" t="str">
        <f t="shared" si="6"/>
        <v/>
      </c>
      <c r="R525" s="146"/>
      <c r="S525" s="147">
        <v>560313.0</v>
      </c>
      <c r="T525" s="147">
        <v>12.0</v>
      </c>
      <c r="U525" s="109">
        <v>40.0</v>
      </c>
      <c r="V525" s="148"/>
      <c r="W525" s="149"/>
      <c r="X525" s="150">
        <f>SUMIFS('Transit Shipment'!$B$10:$B$1048462,'Transit Shipment'!$A$10:$A$1048462,B525,'Transit Shipment'!$C$10:$C$1048462,AA525)</f>
        <v>0</v>
      </c>
      <c r="Y525" s="150">
        <f>IF(SUMIFS(DIH!$S$2:$S833,DIH!$D$2:$D833,B525,DIH!$U$2:$U833,AA525)&gt;0,SUMIFS(DIH!$S$2:$S833,DIH!$D$2:$D833,B525,DIH!$U$2:$U833,AA525),0)</f>
        <v>0</v>
      </c>
      <c r="Z525" s="151">
        <f t="shared" si="7"/>
        <v>0</v>
      </c>
      <c r="AA525" s="152" t="s">
        <v>17</v>
      </c>
      <c r="AB525" s="154">
        <f>IF(ISNA(VLOOKUP($B525,'Business Report'!$D$2:$J$202,2,0)),"",VLOOKUP($B525,'Business Report'!$D$2:$J$202,2,0))</f>
        <v>5</v>
      </c>
      <c r="AC525" s="155">
        <f>SUMIFS(AFS!$P$2:$P$6260,AFS!$N$2:$N$6260,B525,AFS!$AT$2:$AT$6260,AA525)</f>
        <v>0</v>
      </c>
      <c r="AD525" s="156">
        <f t="shared" si="8"/>
        <v>0</v>
      </c>
      <c r="AE525" s="159">
        <f>SUM(AD517:AD525)</f>
        <v>10</v>
      </c>
      <c r="AF525" s="118" t="str">
        <f t="shared" si="9"/>
        <v/>
      </c>
      <c r="AG525" s="26"/>
      <c r="AH525" s="26"/>
      <c r="AI525" s="26"/>
    </row>
    <row r="526">
      <c r="A526" s="66" t="s">
        <v>8282</v>
      </c>
      <c r="B526" s="1" t="s">
        <v>113</v>
      </c>
      <c r="C526" s="95" t="s">
        <v>452</v>
      </c>
      <c r="D526" s="68" t="s">
        <v>162</v>
      </c>
      <c r="E526" s="69">
        <f t="shared" si="2"/>
        <v>1</v>
      </c>
      <c r="F526" s="69">
        <f t="shared" si="3"/>
        <v>0</v>
      </c>
      <c r="G526" s="70" t="str">
        <f t="shared" si="77"/>
        <v/>
      </c>
      <c r="H526" s="163"/>
      <c r="I526" s="101"/>
      <c r="J526" s="102"/>
      <c r="K526" s="167"/>
      <c r="L526" s="119"/>
      <c r="M526" s="169"/>
      <c r="N526" s="171"/>
      <c r="O526" s="106"/>
      <c r="P526" s="79">
        <f t="array" ref="P526">XLOOKUP(B526,Weight!B:B,Weight!D:D,"#N/A",0)</f>
        <v>96</v>
      </c>
      <c r="Q526" s="80" t="str">
        <f t="shared" si="6"/>
        <v/>
      </c>
      <c r="R526" s="107"/>
      <c r="S526" s="108">
        <v>560313.0</v>
      </c>
      <c r="T526" s="108">
        <v>12.0</v>
      </c>
      <c r="U526" s="83">
        <v>40.0</v>
      </c>
      <c r="V526" s="84" t="str">
        <f t="shared" ref="V526:W526" si="91">B526</f>
        <v>CRM-HP-670-Grey</v>
      </c>
      <c r="W526" s="174" t="str">
        <f t="shared" si="91"/>
        <v>Crasome Dust &amp; Water Proof Printer Cover for HP Smart Tank All-in-One 670 / 675 (Grey)</v>
      </c>
      <c r="X526" s="86">
        <f>SUMIFS('Transit Shipment'!$B$10:$B$1048462,'Transit Shipment'!$A$10:$A$1048462,B526,'Transit Shipment'!$C$10:$C$1048462,AA526)</f>
        <v>0</v>
      </c>
      <c r="Y526" s="86">
        <f>IF(SUMIFS(DIH!$S$2:$S833,DIH!$D$2:$D833,B526,DIH!$U$2:$U833,AA526)&gt;0,SUMIFS(DIH!$S$2:$S833,DIH!$D$2:$D833,B526,DIH!$U$2:$U833,AA526),0)</f>
        <v>0</v>
      </c>
      <c r="Z526" s="87">
        <f t="shared" si="7"/>
        <v>0</v>
      </c>
      <c r="AA526" s="88" t="s">
        <v>5</v>
      </c>
      <c r="AB526" s="89">
        <f>IF(ISNA(VLOOKUP($B526,'Business Report'!$D$2:$J$202,2,0)),"",VLOOKUP($B526,'Business Report'!$D$2:$J$202,2,0))</f>
        <v>6</v>
      </c>
      <c r="AC526" s="90">
        <f>SUMIFS(AFS!$P$2:$P$6260,AFS!$N$2:$N$6260,B526,AFS!$AT$2:$AT$6260,AA526)</f>
        <v>0</v>
      </c>
      <c r="AD526" s="91">
        <f t="shared" si="8"/>
        <v>0</v>
      </c>
      <c r="AE526" s="92"/>
      <c r="AF526" s="93" t="str">
        <f t="shared" si="9"/>
        <v/>
      </c>
      <c r="AG526" s="26"/>
      <c r="AH526" s="26"/>
      <c r="AI526" s="26"/>
    </row>
    <row r="527">
      <c r="A527" s="94" t="s">
        <v>8282</v>
      </c>
      <c r="B527" s="3" t="s">
        <v>113</v>
      </c>
      <c r="C527" s="95" t="s">
        <v>452</v>
      </c>
      <c r="D527" s="96" t="s">
        <v>162</v>
      </c>
      <c r="E527" s="97">
        <f t="shared" si="2"/>
        <v>1</v>
      </c>
      <c r="F527" s="97">
        <f t="shared" si="3"/>
        <v>0</v>
      </c>
      <c r="G527" s="99">
        <f t="shared" si="77"/>
        <v>2</v>
      </c>
      <c r="H527" s="100"/>
      <c r="I527" s="101"/>
      <c r="J527" s="102"/>
      <c r="K527" s="103"/>
      <c r="L527" s="97"/>
      <c r="M527" s="169"/>
      <c r="N527" s="105"/>
      <c r="O527" s="106"/>
      <c r="P527" s="13">
        <f t="array" ref="P527">XLOOKUP(B527,Weight!B:B,Weight!D:D,"#N/A",0)</f>
        <v>96</v>
      </c>
      <c r="Q527" s="17">
        <f t="shared" si="6"/>
        <v>192</v>
      </c>
      <c r="R527" s="107"/>
      <c r="S527" s="108">
        <v>560313.0</v>
      </c>
      <c r="T527" s="108">
        <v>12.0</v>
      </c>
      <c r="U527" s="109">
        <v>40.0</v>
      </c>
      <c r="V527" s="110"/>
      <c r="X527" s="111">
        <f>SUMIFS('Transit Shipment'!$B$10:$B$1048462,'Transit Shipment'!$A$10:$A$1048462,B527,'Transit Shipment'!$C$10:$C$1048462,AA527)</f>
        <v>0</v>
      </c>
      <c r="Y527" s="111">
        <f>IF(SUMIFS(DIH!$S$2:$S833,DIH!$D$2:$D833,B527,DIH!$U$2:$U833,AA527)&gt;0,SUMIFS(DIH!$S$2:$S833,DIH!$D$2:$D833,B527,DIH!$U$2:$U833,AA527),0)</f>
        <v>0</v>
      </c>
      <c r="Z527" s="112">
        <f t="shared" si="7"/>
        <v>0</v>
      </c>
      <c r="AA527" s="113" t="s">
        <v>11</v>
      </c>
      <c r="AB527" s="114">
        <f>IF(ISNA(VLOOKUP($B527,'Business Report'!$D$2:$J$202,2,0)),"",VLOOKUP($B527,'Business Report'!$D$2:$J$202,2,0))</f>
        <v>6</v>
      </c>
      <c r="AC527" s="115">
        <f>SUMIFS(AFS!$P$2:$P$6260,AFS!$N$2:$N$6260,B527,AFS!$AT$2:$AT$6260,AA527)</f>
        <v>1</v>
      </c>
      <c r="AD527" s="116">
        <f t="shared" si="8"/>
        <v>2</v>
      </c>
      <c r="AE527" s="117"/>
      <c r="AF527" s="118">
        <f t="shared" si="9"/>
        <v>2</v>
      </c>
      <c r="AG527" s="26"/>
      <c r="AH527" s="26"/>
      <c r="AI527" s="26"/>
    </row>
    <row r="528">
      <c r="A528" s="94" t="s">
        <v>8282</v>
      </c>
      <c r="B528" s="3" t="s">
        <v>113</v>
      </c>
      <c r="C528" s="95" t="s">
        <v>452</v>
      </c>
      <c r="D528" s="96" t="s">
        <v>162</v>
      </c>
      <c r="E528" s="97">
        <f t="shared" si="2"/>
        <v>1</v>
      </c>
      <c r="F528" s="97">
        <f t="shared" si="3"/>
        <v>0</v>
      </c>
      <c r="G528" s="99">
        <f t="shared" si="77"/>
        <v>2</v>
      </c>
      <c r="H528" s="100"/>
      <c r="I528" s="101"/>
      <c r="J528" s="102"/>
      <c r="K528" s="103"/>
      <c r="L528" s="97"/>
      <c r="M528" s="169"/>
      <c r="N528" s="105"/>
      <c r="O528" s="106"/>
      <c r="P528" s="13">
        <f t="array" ref="P528">XLOOKUP(B528,Weight!B:B,Weight!D:D,"#N/A",0)</f>
        <v>96</v>
      </c>
      <c r="Q528" s="17">
        <f t="shared" si="6"/>
        <v>192</v>
      </c>
      <c r="R528" s="107"/>
      <c r="S528" s="108">
        <v>560313.0</v>
      </c>
      <c r="T528" s="108">
        <v>12.0</v>
      </c>
      <c r="U528" s="109">
        <v>40.0</v>
      </c>
      <c r="V528" s="110"/>
      <c r="X528" s="111">
        <f>SUMIFS('Transit Shipment'!$B$10:$B$1048462,'Transit Shipment'!$A$10:$A$1048462,B528,'Transit Shipment'!$C$10:$C$1048462,AA528)</f>
        <v>0</v>
      </c>
      <c r="Y528" s="111">
        <f>IF(SUMIFS(DIH!$S$2:$S833,DIH!$D$2:$D833,B528,DIH!$U$2:$U833,AA528)&gt;0,SUMIFS(DIH!$S$2:$S833,DIH!$D$2:$D833,B528,DIH!$U$2:$U833,AA528),0)</f>
        <v>0</v>
      </c>
      <c r="Z528" s="112">
        <f t="shared" si="7"/>
        <v>0</v>
      </c>
      <c r="AA528" s="119" t="s">
        <v>9</v>
      </c>
      <c r="AB528" s="114">
        <f>IF(ISNA(VLOOKUP($B528,'Business Report'!$D$2:$J$202,2,0)),"",VLOOKUP($B528,'Business Report'!$D$2:$J$202,2,0))</f>
        <v>6</v>
      </c>
      <c r="AC528" s="115">
        <f>SUMIFS(AFS!$P$2:$P$6260,AFS!$N$2:$N$6260,B528,AFS!$AT$2:$AT$6260,AA528)</f>
        <v>1</v>
      </c>
      <c r="AD528" s="116">
        <f t="shared" si="8"/>
        <v>2</v>
      </c>
      <c r="AE528" s="117"/>
      <c r="AF528" s="118">
        <f t="shared" si="9"/>
        <v>2</v>
      </c>
      <c r="AG528" s="26"/>
      <c r="AH528" s="26"/>
      <c r="AI528" s="26"/>
    </row>
    <row r="529">
      <c r="A529" s="120" t="s">
        <v>8282</v>
      </c>
      <c r="B529" s="7" t="s">
        <v>113</v>
      </c>
      <c r="C529" s="95" t="s">
        <v>452</v>
      </c>
      <c r="D529" s="109" t="s">
        <v>162</v>
      </c>
      <c r="E529" s="97">
        <f t="shared" si="2"/>
        <v>1</v>
      </c>
      <c r="F529" s="97">
        <f t="shared" si="3"/>
        <v>0</v>
      </c>
      <c r="G529" s="99" t="str">
        <f t="shared" si="77"/>
        <v/>
      </c>
      <c r="H529" s="121"/>
      <c r="I529" s="122"/>
      <c r="J529" s="123"/>
      <c r="K529" s="124"/>
      <c r="L529" s="125"/>
      <c r="M529" s="181"/>
      <c r="N529" s="126"/>
      <c r="O529" s="127"/>
      <c r="P529" s="13">
        <f t="array" ref="P529">XLOOKUP(B529,Weight!B:B,Weight!D:D,"#N/A",0)</f>
        <v>96</v>
      </c>
      <c r="Q529" s="17" t="str">
        <f t="shared" si="6"/>
        <v/>
      </c>
      <c r="R529" s="107"/>
      <c r="S529" s="108">
        <v>560313.0</v>
      </c>
      <c r="T529" s="108">
        <v>12.0</v>
      </c>
      <c r="U529" s="109">
        <v>40.0</v>
      </c>
      <c r="V529" s="110"/>
      <c r="X529" s="111">
        <f>SUMIFS('Transit Shipment'!$B$10:$B$1048462,'Transit Shipment'!$A$10:$A$1048462,B529,'Transit Shipment'!$C$10:$C$1048462,AA529)</f>
        <v>0</v>
      </c>
      <c r="Y529" s="111">
        <f>IF(SUMIFS(DIH!$S$2:$S833,DIH!$D$2:$D833,B529,DIH!$U$2:$U833,AA529)&gt;0,SUMIFS(DIH!$S$2:$S833,DIH!$D$2:$D833,B529,DIH!$U$2:$U833,AA529),0)</f>
        <v>0</v>
      </c>
      <c r="Z529" s="112">
        <f t="shared" si="7"/>
        <v>0</v>
      </c>
      <c r="AA529" s="119" t="s">
        <v>155</v>
      </c>
      <c r="AB529" s="114">
        <f>IF(ISNA(VLOOKUP($B529,'Business Report'!$D$2:$J$202,2,0)),"",VLOOKUP($B529,'Business Report'!$D$2:$J$202,2,0))</f>
        <v>6</v>
      </c>
      <c r="AC529" s="115">
        <f>SUMIFS(AFS!$P$2:$P$6260,AFS!$N$2:$N$6260,B529,AFS!$AT$2:$AT$6260,AA529)</f>
        <v>0</v>
      </c>
      <c r="AD529" s="116">
        <f t="shared" si="8"/>
        <v>0</v>
      </c>
      <c r="AE529" s="117"/>
      <c r="AF529" s="118" t="str">
        <f t="shared" si="9"/>
        <v/>
      </c>
      <c r="AG529" s="26"/>
      <c r="AH529" s="26"/>
      <c r="AI529" s="26"/>
    </row>
    <row r="530">
      <c r="A530" s="120" t="s">
        <v>8282</v>
      </c>
      <c r="B530" s="7" t="s">
        <v>113</v>
      </c>
      <c r="C530" s="95" t="s">
        <v>452</v>
      </c>
      <c r="D530" s="109" t="s">
        <v>162</v>
      </c>
      <c r="E530" s="97">
        <f t="shared" si="2"/>
        <v>0</v>
      </c>
      <c r="F530" s="97">
        <f t="shared" si="3"/>
        <v>0.5</v>
      </c>
      <c r="G530" s="99">
        <f t="shared" si="77"/>
        <v>2</v>
      </c>
      <c r="H530" s="121"/>
      <c r="I530" s="122"/>
      <c r="J530" s="123"/>
      <c r="K530" s="124"/>
      <c r="L530" s="125"/>
      <c r="M530" s="181"/>
      <c r="N530" s="126"/>
      <c r="O530" s="127"/>
      <c r="P530" s="13">
        <f t="array" ref="P530">XLOOKUP(B530,Weight!B:B,Weight!D:D,"#N/A",0)</f>
        <v>96</v>
      </c>
      <c r="Q530" s="17">
        <f t="shared" si="6"/>
        <v>192</v>
      </c>
      <c r="R530" s="107"/>
      <c r="S530" s="108">
        <v>560313.0</v>
      </c>
      <c r="T530" s="108">
        <v>12.0</v>
      </c>
      <c r="U530" s="109">
        <v>40.0</v>
      </c>
      <c r="V530" s="110"/>
      <c r="X530" s="111">
        <f>SUMIFS('Transit Shipment'!$B$10:$B$1048462,'Transit Shipment'!$A$10:$A$1048462,B530,'Transit Shipment'!$C$10:$C$1048462,AA530)</f>
        <v>0</v>
      </c>
      <c r="Y530" s="111">
        <f>IF(SUMIFS(DIH!$S$2:$S833,DIH!$D$2:$D833,B530,DIH!$U$2:$U833,AA530)&gt;0,SUMIFS(DIH!$S$2:$S833,DIH!$D$2:$D833,B530,DIH!$U$2:$U833,AA530),0)</f>
        <v>2</v>
      </c>
      <c r="Z530" s="112">
        <f t="shared" si="7"/>
        <v>2</v>
      </c>
      <c r="AA530" s="119" t="s">
        <v>156</v>
      </c>
      <c r="AB530" s="114">
        <f>IF(ISNA(VLOOKUP($B530,'Business Report'!$D$2:$J$202,2,0)),"",VLOOKUP($B530,'Business Report'!$D$2:$J$202,2,0))</f>
        <v>6</v>
      </c>
      <c r="AC530" s="115">
        <f>SUMIFS(AFS!$P$2:$P$6260,AFS!$N$2:$N$6260,B530,AFS!$AT$2:$AT$6260,AA530)</f>
        <v>2</v>
      </c>
      <c r="AD530" s="116">
        <f t="shared" si="8"/>
        <v>1</v>
      </c>
      <c r="AE530" s="117"/>
      <c r="AF530" s="118">
        <f t="shared" si="9"/>
        <v>2</v>
      </c>
      <c r="AG530" s="26"/>
      <c r="AH530" s="26"/>
      <c r="AI530" s="26"/>
    </row>
    <row r="531">
      <c r="A531" s="120" t="s">
        <v>8282</v>
      </c>
      <c r="B531" s="7" t="s">
        <v>113</v>
      </c>
      <c r="C531" s="95" t="s">
        <v>452</v>
      </c>
      <c r="D531" s="109" t="s">
        <v>162</v>
      </c>
      <c r="E531" s="97">
        <f t="shared" si="2"/>
        <v>1</v>
      </c>
      <c r="F531" s="97">
        <f t="shared" si="3"/>
        <v>0</v>
      </c>
      <c r="G531" s="99">
        <f t="shared" si="77"/>
        <v>2</v>
      </c>
      <c r="H531" s="121"/>
      <c r="I531" s="122"/>
      <c r="J531" s="123"/>
      <c r="K531" s="124"/>
      <c r="L531" s="125"/>
      <c r="M531" s="181"/>
      <c r="N531" s="126"/>
      <c r="O531" s="127"/>
      <c r="P531" s="13">
        <f t="array" ref="P531">XLOOKUP(B531,Weight!B:B,Weight!D:D,"#N/A",0)</f>
        <v>96</v>
      </c>
      <c r="Q531" s="17">
        <f t="shared" si="6"/>
        <v>192</v>
      </c>
      <c r="R531" s="107"/>
      <c r="S531" s="108">
        <v>560313.0</v>
      </c>
      <c r="T531" s="108">
        <v>12.0</v>
      </c>
      <c r="U531" s="109">
        <v>40.0</v>
      </c>
      <c r="V531" s="110"/>
      <c r="X531" s="111">
        <f>SUMIFS('Transit Shipment'!$B$10:$B$1048462,'Transit Shipment'!$A$10:$A$1048462,B531,'Transit Shipment'!$C$10:$C$1048462,AA531)</f>
        <v>0</v>
      </c>
      <c r="Y531" s="111">
        <f>IF(SUMIFS(DIH!$S$2:$S833,DIH!$D$2:$D833,B531,DIH!$U$2:$U833,AA531)&gt;0,SUMIFS(DIH!$S$2:$S833,DIH!$D$2:$D833,B531,DIH!$U$2:$U833,AA531),0)</f>
        <v>0</v>
      </c>
      <c r="Z531" s="112">
        <f t="shared" si="7"/>
        <v>0</v>
      </c>
      <c r="AA531" s="130" t="s">
        <v>13</v>
      </c>
      <c r="AB531" s="114">
        <f>IF(ISNA(VLOOKUP($B531,'Business Report'!$D$2:$J$202,2,0)),"",VLOOKUP($B531,'Business Report'!$D$2:$J$202,2,0))</f>
        <v>6</v>
      </c>
      <c r="AC531" s="115">
        <f>SUMIFS(AFS!$P$2:$P$6260,AFS!$N$2:$N$6260,B531,AFS!$AT$2:$AT$6260,AA531)</f>
        <v>1</v>
      </c>
      <c r="AD531" s="116">
        <f t="shared" si="8"/>
        <v>2</v>
      </c>
      <c r="AE531" s="117"/>
      <c r="AF531" s="118">
        <f t="shared" si="9"/>
        <v>2</v>
      </c>
      <c r="AG531" s="26"/>
      <c r="AH531" s="26"/>
      <c r="AI531" s="26"/>
    </row>
    <row r="532">
      <c r="A532" s="120" t="s">
        <v>8282</v>
      </c>
      <c r="B532" s="7" t="s">
        <v>113</v>
      </c>
      <c r="C532" s="95" t="s">
        <v>452</v>
      </c>
      <c r="D532" s="109" t="s">
        <v>162</v>
      </c>
      <c r="E532" s="97">
        <f t="shared" si="2"/>
        <v>1</v>
      </c>
      <c r="F532" s="97">
        <f t="shared" si="3"/>
        <v>0</v>
      </c>
      <c r="G532" s="99">
        <f t="shared" si="77"/>
        <v>2</v>
      </c>
      <c r="H532" s="121"/>
      <c r="I532" s="122"/>
      <c r="J532" s="123"/>
      <c r="K532" s="124"/>
      <c r="L532" s="125"/>
      <c r="M532" s="181"/>
      <c r="N532" s="126"/>
      <c r="O532" s="127"/>
      <c r="P532" s="13">
        <f t="array" ref="P532">XLOOKUP(B532,Weight!B:B,Weight!D:D,"#N/A",0)</f>
        <v>96</v>
      </c>
      <c r="Q532" s="17">
        <f t="shared" si="6"/>
        <v>192</v>
      </c>
      <c r="R532" s="107"/>
      <c r="S532" s="108">
        <v>560313.0</v>
      </c>
      <c r="T532" s="108">
        <v>12.0</v>
      </c>
      <c r="U532" s="109">
        <v>40.0</v>
      </c>
      <c r="V532" s="110"/>
      <c r="X532" s="111">
        <f>SUMIFS('Transit Shipment'!$B$10:$B$1048462,'Transit Shipment'!$A$10:$A$1048462,B532,'Transit Shipment'!$C$10:$C$1048462,AA532)</f>
        <v>0</v>
      </c>
      <c r="Y532" s="111">
        <f>IF(SUMIFS(DIH!$S$2:$S833,DIH!$D$2:$D833,B532,DIH!$U$2:$U833,AA532)&gt;0,SUMIFS(DIH!$S$2:$S833,DIH!$D$2:$D833,B532,DIH!$U$2:$U833,AA532),0)</f>
        <v>0</v>
      </c>
      <c r="Z532" s="112">
        <f t="shared" si="7"/>
        <v>0</v>
      </c>
      <c r="AA532" s="119" t="s">
        <v>14</v>
      </c>
      <c r="AB532" s="114">
        <f>IF(ISNA(VLOOKUP($B532,'Business Report'!$D$2:$J$202,2,0)),"",VLOOKUP($B532,'Business Report'!$D$2:$J$202,2,0))</f>
        <v>6</v>
      </c>
      <c r="AC532" s="115">
        <f>SUMIFS(AFS!$P$2:$P$6260,AFS!$N$2:$N$6260,B532,AFS!$AT$2:$AT$6260,AA532)</f>
        <v>1</v>
      </c>
      <c r="AD532" s="116">
        <f t="shared" si="8"/>
        <v>2</v>
      </c>
      <c r="AE532" s="117"/>
      <c r="AF532" s="118">
        <f t="shared" si="9"/>
        <v>2</v>
      </c>
      <c r="AG532" s="26"/>
      <c r="AH532" s="26"/>
      <c r="AI532" s="26"/>
    </row>
    <row r="533">
      <c r="A533" s="120" t="s">
        <v>8282</v>
      </c>
      <c r="B533" s="7" t="s">
        <v>113</v>
      </c>
      <c r="C533" s="95" t="s">
        <v>452</v>
      </c>
      <c r="D533" s="109" t="s">
        <v>162</v>
      </c>
      <c r="E533" s="97">
        <f t="shared" si="2"/>
        <v>0</v>
      </c>
      <c r="F533" s="97">
        <f t="shared" si="3"/>
        <v>0.5</v>
      </c>
      <c r="G533" s="99">
        <f t="shared" si="77"/>
        <v>2</v>
      </c>
      <c r="H533" s="121"/>
      <c r="I533" s="122"/>
      <c r="J533" s="123"/>
      <c r="K533" s="124"/>
      <c r="L533" s="125"/>
      <c r="M533" s="181"/>
      <c r="N533" s="126"/>
      <c r="O533" s="127"/>
      <c r="P533" s="13">
        <f t="array" ref="P533">XLOOKUP(B533,Weight!B:B,Weight!D:D,"#N/A",0)</f>
        <v>96</v>
      </c>
      <c r="Q533" s="17">
        <f t="shared" si="6"/>
        <v>192</v>
      </c>
      <c r="R533" s="107"/>
      <c r="S533" s="108">
        <v>560313.0</v>
      </c>
      <c r="T533" s="108">
        <v>12.0</v>
      </c>
      <c r="U533" s="109">
        <v>40.0</v>
      </c>
      <c r="V533" s="110"/>
      <c r="X533" s="111">
        <f>SUMIFS('Transit Shipment'!$B$10:$B$1048462,'Transit Shipment'!$A$10:$A$1048462,B533,'Transit Shipment'!$C$10:$C$1048462,AA533)</f>
        <v>0</v>
      </c>
      <c r="Y533" s="111">
        <f>IF(SUMIFS(DIH!$S$2:$S833,DIH!$D$2:$D833,B533,DIH!$U$2:$U833,AA533)&gt;0,SUMIFS(DIH!$S$2:$S833,DIH!$D$2:$D833,B533,DIH!$U$2:$U833,AA533),0)</f>
        <v>1</v>
      </c>
      <c r="Z533" s="112">
        <f t="shared" si="7"/>
        <v>1</v>
      </c>
      <c r="AA533" s="131" t="s">
        <v>16</v>
      </c>
      <c r="AB533" s="114">
        <f>IF(ISNA(VLOOKUP($B533,'Business Report'!$D$2:$J$202,2,0)),"",VLOOKUP($B533,'Business Report'!$D$2:$J$202,2,0))</f>
        <v>6</v>
      </c>
      <c r="AC533" s="115">
        <f>SUMIFS(AFS!$P$2:$P$6260,AFS!$N$2:$N$6260,B533,AFS!$AT$2:$AT$6260,AA533)</f>
        <v>1</v>
      </c>
      <c r="AD533" s="116">
        <f t="shared" si="8"/>
        <v>1</v>
      </c>
      <c r="AE533" s="117"/>
      <c r="AF533" s="118">
        <f t="shared" si="9"/>
        <v>2</v>
      </c>
      <c r="AG533" s="26"/>
      <c r="AH533" s="26"/>
      <c r="AI533" s="26"/>
    </row>
    <row r="534">
      <c r="A534" s="132" t="s">
        <v>8282</v>
      </c>
      <c r="B534" s="15" t="s">
        <v>113</v>
      </c>
      <c r="C534" s="133" t="s">
        <v>452</v>
      </c>
      <c r="D534" s="134" t="s">
        <v>162</v>
      </c>
      <c r="E534" s="135">
        <f t="shared" si="2"/>
        <v>0</v>
      </c>
      <c r="F534" s="135">
        <f t="shared" si="3"/>
        <v>0.5</v>
      </c>
      <c r="G534" s="136">
        <f t="shared" si="77"/>
        <v>2</v>
      </c>
      <c r="H534" s="137"/>
      <c r="I534" s="138"/>
      <c r="J534" s="139"/>
      <c r="K534" s="140"/>
      <c r="L534" s="135"/>
      <c r="M534" s="152"/>
      <c r="N534" s="142"/>
      <c r="O534" s="143"/>
      <c r="P534" s="144">
        <f t="array" ref="P534">XLOOKUP(B534,Weight!B:B,Weight!D:D,"#N/A",0)</f>
        <v>96</v>
      </c>
      <c r="Q534" s="145">
        <f t="shared" si="6"/>
        <v>192</v>
      </c>
      <c r="R534" s="146"/>
      <c r="S534" s="147">
        <v>560313.0</v>
      </c>
      <c r="T534" s="147">
        <v>12.0</v>
      </c>
      <c r="U534" s="109">
        <v>40.0</v>
      </c>
      <c r="V534" s="148"/>
      <c r="W534" s="149"/>
      <c r="X534" s="150">
        <f>SUMIFS('Transit Shipment'!$B$10:$B$1048462,'Transit Shipment'!$A$10:$A$1048462,B534,'Transit Shipment'!$C$10:$C$1048462,AA534)</f>
        <v>0</v>
      </c>
      <c r="Y534" s="150">
        <f>IF(SUMIFS(DIH!$S$2:$S833,DIH!$D$2:$D833,B534,DIH!$U$2:$U833,AA534)&gt;0,SUMIFS(DIH!$S$2:$S833,DIH!$D$2:$D833,B534,DIH!$U$2:$U833,AA534),0)</f>
        <v>1</v>
      </c>
      <c r="Z534" s="151">
        <f t="shared" si="7"/>
        <v>1</v>
      </c>
      <c r="AA534" s="152" t="s">
        <v>17</v>
      </c>
      <c r="AB534" s="154">
        <f>IF(ISNA(VLOOKUP($B534,'Business Report'!$D$2:$J$202,2,0)),"",VLOOKUP($B534,'Business Report'!$D$2:$J$202,2,0))</f>
        <v>6</v>
      </c>
      <c r="AC534" s="155">
        <f>SUMIFS(AFS!$P$2:$P$6260,AFS!$N$2:$N$6260,B534,AFS!$AT$2:$AT$6260,AA534)</f>
        <v>1</v>
      </c>
      <c r="AD534" s="156">
        <f t="shared" si="8"/>
        <v>1</v>
      </c>
      <c r="AE534" s="159">
        <f>SUM(AD526:AD534)</f>
        <v>11</v>
      </c>
      <c r="AF534" s="118">
        <f t="shared" si="9"/>
        <v>2</v>
      </c>
      <c r="AG534" s="26"/>
      <c r="AH534" s="26"/>
      <c r="AI534" s="26"/>
    </row>
    <row r="535">
      <c r="A535" s="66" t="s">
        <v>8431</v>
      </c>
      <c r="B535" s="1" t="s">
        <v>115</v>
      </c>
      <c r="C535" s="95" t="s">
        <v>548</v>
      </c>
      <c r="D535" s="68" t="s">
        <v>162</v>
      </c>
      <c r="E535" s="69">
        <f t="shared" si="2"/>
        <v>1</v>
      </c>
      <c r="F535" s="69">
        <f t="shared" si="3"/>
        <v>0</v>
      </c>
      <c r="G535" s="70" t="str">
        <f t="shared" si="77"/>
        <v/>
      </c>
      <c r="H535" s="163"/>
      <c r="I535" s="101"/>
      <c r="J535" s="102"/>
      <c r="K535" s="167"/>
      <c r="L535" s="119"/>
      <c r="M535" s="169"/>
      <c r="N535" s="171"/>
      <c r="O535" s="106"/>
      <c r="P535" s="79">
        <f t="array" ref="P535">XLOOKUP(B535,Weight!B:B,Weight!D:D,"#N/A",0)</f>
        <v>96</v>
      </c>
      <c r="Q535" s="80" t="str">
        <f t="shared" si="6"/>
        <v/>
      </c>
      <c r="R535" s="107"/>
      <c r="S535" s="108">
        <v>560313.0</v>
      </c>
      <c r="T535" s="108">
        <v>12.0</v>
      </c>
      <c r="U535" s="83">
        <v>40.0</v>
      </c>
      <c r="V535" s="84" t="str">
        <f t="shared" ref="V535:W535" si="92">B535</f>
        <v>CRM-HP-670-Black</v>
      </c>
      <c r="W535" s="174" t="str">
        <f t="shared" si="92"/>
        <v>Crasome Dust &amp; Water Proof Printer Cover for HP Smart Tank All-in-One 670 / 675 (Black)</v>
      </c>
      <c r="X535" s="86">
        <f>SUMIFS('Transit Shipment'!$B$10:$B$1048462,'Transit Shipment'!$A$10:$A$1048462,B535,'Transit Shipment'!$C$10:$C$1048462,AA535)</f>
        <v>0</v>
      </c>
      <c r="Y535" s="86">
        <f>IF(SUMIFS(DIH!$S$2:$S833,DIH!$D$2:$D833,B535,DIH!$U$2:$U833,AA535)&gt;0,SUMIFS(DIH!$S$2:$S833,DIH!$D$2:$D833,B535,DIH!$U$2:$U833,AA535),0)</f>
        <v>0</v>
      </c>
      <c r="Z535" s="87">
        <f t="shared" si="7"/>
        <v>0</v>
      </c>
      <c r="AA535" s="88" t="s">
        <v>5</v>
      </c>
      <c r="AB535" s="89">
        <f>IF(ISNA(VLOOKUP($B535,'Business Report'!$D$2:$J$202,2,0)),"",VLOOKUP($B535,'Business Report'!$D$2:$J$202,2,0))</f>
        <v>2</v>
      </c>
      <c r="AC535" s="90">
        <f>SUMIFS(AFS!$P$2:$P$6260,AFS!$N$2:$N$6260,B535,AFS!$AT$2:$AT$6260,AA535)</f>
        <v>0</v>
      </c>
      <c r="AD535" s="91">
        <f t="shared" si="8"/>
        <v>0</v>
      </c>
      <c r="AE535" s="92"/>
      <c r="AF535" s="93" t="str">
        <f t="shared" si="9"/>
        <v/>
      </c>
      <c r="AG535" s="26"/>
      <c r="AH535" s="26"/>
      <c r="AI535" s="26"/>
    </row>
    <row r="536">
      <c r="A536" s="94" t="s">
        <v>8431</v>
      </c>
      <c r="B536" s="3" t="s">
        <v>115</v>
      </c>
      <c r="C536" s="95" t="s">
        <v>548</v>
      </c>
      <c r="D536" s="96" t="s">
        <v>162</v>
      </c>
      <c r="E536" s="97" t="str">
        <f t="shared" si="2"/>
        <v/>
      </c>
      <c r="F536" s="97" t="str">
        <f t="shared" si="3"/>
        <v/>
      </c>
      <c r="G536" s="99" t="str">
        <f t="shared" si="77"/>
        <v/>
      </c>
      <c r="H536" s="100"/>
      <c r="I536" s="101"/>
      <c r="J536" s="102"/>
      <c r="K536" s="103"/>
      <c r="L536" s="97"/>
      <c r="M536" s="169"/>
      <c r="N536" s="105"/>
      <c r="O536" s="106"/>
      <c r="P536" s="13">
        <f t="array" ref="P536">XLOOKUP(B536,Weight!B:B,Weight!D:D,"#N/A",0)</f>
        <v>96</v>
      </c>
      <c r="Q536" s="17" t="str">
        <f t="shared" si="6"/>
        <v/>
      </c>
      <c r="R536" s="107"/>
      <c r="S536" s="108">
        <v>560313.0</v>
      </c>
      <c r="T536" s="108">
        <v>12.0</v>
      </c>
      <c r="U536" s="109">
        <v>40.0</v>
      </c>
      <c r="V536" s="110"/>
      <c r="X536" s="111">
        <f>SUMIFS('Transit Shipment'!$B$10:$B$1048462,'Transit Shipment'!$A$10:$A$1048462,B536,'Transit Shipment'!$C$10:$C$1048462,AA536)</f>
        <v>0</v>
      </c>
      <c r="Y536" s="111">
        <f>IF(SUMIFS(DIH!$S$2:$S833,DIH!$D$2:$D833,B536,DIH!$U$2:$U833,AA536)&gt;0,SUMIFS(DIH!$S$2:$S833,DIH!$D$2:$D833,B536,DIH!$U$2:$U833,AA536),0)</f>
        <v>1</v>
      </c>
      <c r="Z536" s="112">
        <f t="shared" si="7"/>
        <v>1</v>
      </c>
      <c r="AA536" s="113" t="s">
        <v>11</v>
      </c>
      <c r="AB536" s="114">
        <f>IF(ISNA(VLOOKUP($B536,'Business Report'!$D$2:$J$202,2,0)),"",VLOOKUP($B536,'Business Report'!$D$2:$J$202,2,0))</f>
        <v>2</v>
      </c>
      <c r="AC536" s="115">
        <f>SUMIFS(AFS!$P$2:$P$6260,AFS!$N$2:$N$6260,B536,AFS!$AT$2:$AT$6260,AA536)</f>
        <v>0</v>
      </c>
      <c r="AD536" s="116">
        <f t="shared" si="8"/>
        <v>-1</v>
      </c>
      <c r="AE536" s="117"/>
      <c r="AF536" s="118" t="str">
        <f t="shared" si="9"/>
        <v/>
      </c>
      <c r="AG536" s="26"/>
      <c r="AH536" s="26"/>
      <c r="AI536" s="26"/>
    </row>
    <row r="537">
      <c r="A537" s="94" t="s">
        <v>8431</v>
      </c>
      <c r="B537" s="3" t="s">
        <v>115</v>
      </c>
      <c r="C537" s="95" t="s">
        <v>548</v>
      </c>
      <c r="D537" s="96" t="s">
        <v>162</v>
      </c>
      <c r="E537" s="97">
        <f t="shared" si="2"/>
        <v>2</v>
      </c>
      <c r="F537" s="97">
        <f t="shared" si="3"/>
        <v>0.5</v>
      </c>
      <c r="G537" s="99">
        <f t="shared" si="77"/>
        <v>6</v>
      </c>
      <c r="H537" s="100"/>
      <c r="I537" s="101"/>
      <c r="J537" s="102"/>
      <c r="K537" s="103"/>
      <c r="L537" s="97"/>
      <c r="M537" s="169"/>
      <c r="N537" s="105"/>
      <c r="O537" s="106"/>
      <c r="P537" s="13">
        <f t="array" ref="P537">XLOOKUP(B537,Weight!B:B,Weight!D:D,"#N/A",0)</f>
        <v>96</v>
      </c>
      <c r="Q537" s="17">
        <f t="shared" si="6"/>
        <v>576</v>
      </c>
      <c r="R537" s="107"/>
      <c r="S537" s="108">
        <v>560313.0</v>
      </c>
      <c r="T537" s="108">
        <v>12.0</v>
      </c>
      <c r="U537" s="109">
        <v>40.0</v>
      </c>
      <c r="V537" s="110"/>
      <c r="X537" s="111">
        <f>SUMIFS('Transit Shipment'!$B$10:$B$1048462,'Transit Shipment'!$A$10:$A$1048462,B537,'Transit Shipment'!$C$10:$C$1048462,AA537)</f>
        <v>0</v>
      </c>
      <c r="Y537" s="111">
        <f>IF(SUMIFS(DIH!$S$2:$S833,DIH!$D$2:$D833,B537,DIH!$U$2:$U833,AA537)&gt;0,SUMIFS(DIH!$S$2:$S833,DIH!$D$2:$D833,B537,DIH!$U$2:$U833,AA537),0)</f>
        <v>1</v>
      </c>
      <c r="Z537" s="112">
        <f t="shared" si="7"/>
        <v>1</v>
      </c>
      <c r="AA537" s="119" t="s">
        <v>9</v>
      </c>
      <c r="AB537" s="114">
        <f>IF(ISNA(VLOOKUP($B537,'Business Report'!$D$2:$J$202,2,0)),"",VLOOKUP($B537,'Business Report'!$D$2:$J$202,2,0))</f>
        <v>2</v>
      </c>
      <c r="AC537" s="115">
        <f>SUMIFS(AFS!$P$2:$P$6260,AFS!$N$2:$N$6260,B537,AFS!$AT$2:$AT$6260,AA537)</f>
        <v>4</v>
      </c>
      <c r="AD537" s="116">
        <f t="shared" si="8"/>
        <v>5</v>
      </c>
      <c r="AE537" s="117"/>
      <c r="AF537" s="118">
        <f t="shared" si="9"/>
        <v>6</v>
      </c>
      <c r="AG537" s="26"/>
      <c r="AH537" s="26"/>
      <c r="AI537" s="26"/>
    </row>
    <row r="538">
      <c r="A538" s="120" t="s">
        <v>8431</v>
      </c>
      <c r="B538" s="7" t="s">
        <v>115</v>
      </c>
      <c r="C538" s="95" t="s">
        <v>548</v>
      </c>
      <c r="D538" s="109" t="s">
        <v>162</v>
      </c>
      <c r="E538" s="97">
        <f t="shared" si="2"/>
        <v>1</v>
      </c>
      <c r="F538" s="97">
        <f t="shared" si="3"/>
        <v>0</v>
      </c>
      <c r="G538" s="99" t="str">
        <f t="shared" si="77"/>
        <v/>
      </c>
      <c r="H538" s="121"/>
      <c r="I538" s="122"/>
      <c r="J538" s="123"/>
      <c r="K538" s="124"/>
      <c r="L538" s="125"/>
      <c r="M538" s="181"/>
      <c r="N538" s="126"/>
      <c r="O538" s="127"/>
      <c r="P538" s="13">
        <f t="array" ref="P538">XLOOKUP(B538,Weight!B:B,Weight!D:D,"#N/A",0)</f>
        <v>96</v>
      </c>
      <c r="Q538" s="17" t="str">
        <f t="shared" si="6"/>
        <v/>
      </c>
      <c r="R538" s="107"/>
      <c r="S538" s="108">
        <v>560313.0</v>
      </c>
      <c r="T538" s="108">
        <v>12.0</v>
      </c>
      <c r="U538" s="109">
        <v>40.0</v>
      </c>
      <c r="V538" s="110"/>
      <c r="X538" s="111">
        <f>SUMIFS('Transit Shipment'!$B$10:$B$1048462,'Transit Shipment'!$A$10:$A$1048462,B538,'Transit Shipment'!$C$10:$C$1048462,AA538)</f>
        <v>0</v>
      </c>
      <c r="Y538" s="111">
        <f>IF(SUMIFS(DIH!$S$2:$S833,DIH!$D$2:$D833,B538,DIH!$U$2:$U833,AA538)&gt;0,SUMIFS(DIH!$S$2:$S833,DIH!$D$2:$D833,B538,DIH!$U$2:$U833,AA538),0)</f>
        <v>0</v>
      </c>
      <c r="Z538" s="112">
        <f t="shared" si="7"/>
        <v>0</v>
      </c>
      <c r="AA538" s="119" t="s">
        <v>155</v>
      </c>
      <c r="AB538" s="114">
        <f>IF(ISNA(VLOOKUP($B538,'Business Report'!$D$2:$J$202,2,0)),"",VLOOKUP($B538,'Business Report'!$D$2:$J$202,2,0))</f>
        <v>2</v>
      </c>
      <c r="AC538" s="115">
        <f>SUMIFS(AFS!$P$2:$P$6260,AFS!$N$2:$N$6260,B538,AFS!$AT$2:$AT$6260,AA538)</f>
        <v>0</v>
      </c>
      <c r="AD538" s="116">
        <f t="shared" si="8"/>
        <v>0</v>
      </c>
      <c r="AE538" s="117"/>
      <c r="AF538" s="118" t="str">
        <f t="shared" si="9"/>
        <v/>
      </c>
      <c r="AG538" s="26"/>
      <c r="AH538" s="26"/>
      <c r="AI538" s="26"/>
    </row>
    <row r="539">
      <c r="A539" s="120" t="s">
        <v>8431</v>
      </c>
      <c r="B539" s="7" t="s">
        <v>115</v>
      </c>
      <c r="C539" s="95" t="s">
        <v>548</v>
      </c>
      <c r="D539" s="109" t="s">
        <v>162</v>
      </c>
      <c r="E539" s="97">
        <f t="shared" si="2"/>
        <v>0</v>
      </c>
      <c r="F539" s="97">
        <f t="shared" si="3"/>
        <v>0.5</v>
      </c>
      <c r="G539" s="99">
        <f t="shared" si="77"/>
        <v>2</v>
      </c>
      <c r="H539" s="121"/>
      <c r="I539" s="122"/>
      <c r="J539" s="123"/>
      <c r="K539" s="124"/>
      <c r="L539" s="125"/>
      <c r="M539" s="181"/>
      <c r="N539" s="126"/>
      <c r="O539" s="127"/>
      <c r="P539" s="13">
        <f t="array" ref="P539">XLOOKUP(B539,Weight!B:B,Weight!D:D,"#N/A",0)</f>
        <v>96</v>
      </c>
      <c r="Q539" s="17">
        <f t="shared" si="6"/>
        <v>192</v>
      </c>
      <c r="R539" s="107"/>
      <c r="S539" s="108">
        <v>560313.0</v>
      </c>
      <c r="T539" s="108">
        <v>12.0</v>
      </c>
      <c r="U539" s="109">
        <v>40.0</v>
      </c>
      <c r="V539" s="110"/>
      <c r="X539" s="111">
        <f>SUMIFS('Transit Shipment'!$B$10:$B$1048462,'Transit Shipment'!$A$10:$A$1048462,B539,'Transit Shipment'!$C$10:$C$1048462,AA539)</f>
        <v>0</v>
      </c>
      <c r="Y539" s="111">
        <f>IF(SUMIFS(DIH!$S$2:$S833,DIH!$D$2:$D833,B539,DIH!$U$2:$U833,AA539)&gt;0,SUMIFS(DIH!$S$2:$S833,DIH!$D$2:$D833,B539,DIH!$U$2:$U833,AA539),0)</f>
        <v>2</v>
      </c>
      <c r="Z539" s="112">
        <f t="shared" si="7"/>
        <v>2</v>
      </c>
      <c r="AA539" s="119" t="s">
        <v>156</v>
      </c>
      <c r="AB539" s="114">
        <f>IF(ISNA(VLOOKUP($B539,'Business Report'!$D$2:$J$202,2,0)),"",VLOOKUP($B539,'Business Report'!$D$2:$J$202,2,0))</f>
        <v>2</v>
      </c>
      <c r="AC539" s="115">
        <f>SUMIFS(AFS!$P$2:$P$6260,AFS!$N$2:$N$6260,B539,AFS!$AT$2:$AT$6260,AA539)</f>
        <v>2</v>
      </c>
      <c r="AD539" s="116">
        <f t="shared" si="8"/>
        <v>1</v>
      </c>
      <c r="AE539" s="117"/>
      <c r="AF539" s="118">
        <f t="shared" si="9"/>
        <v>2</v>
      </c>
      <c r="AG539" s="26"/>
      <c r="AH539" s="26"/>
      <c r="AI539" s="26"/>
    </row>
    <row r="540">
      <c r="A540" s="120" t="s">
        <v>8431</v>
      </c>
      <c r="B540" s="7" t="s">
        <v>115</v>
      </c>
      <c r="C540" s="95" t="s">
        <v>548</v>
      </c>
      <c r="D540" s="109" t="s">
        <v>162</v>
      </c>
      <c r="E540" s="97">
        <f t="shared" si="2"/>
        <v>1</v>
      </c>
      <c r="F540" s="97">
        <f t="shared" si="3"/>
        <v>0</v>
      </c>
      <c r="G540" s="99" t="str">
        <f t="shared" si="77"/>
        <v/>
      </c>
      <c r="H540" s="121"/>
      <c r="I540" s="122"/>
      <c r="J540" s="123"/>
      <c r="K540" s="124"/>
      <c r="L540" s="125"/>
      <c r="M540" s="181"/>
      <c r="N540" s="126"/>
      <c r="O540" s="127"/>
      <c r="P540" s="13">
        <f t="array" ref="P540">XLOOKUP(B540,Weight!B:B,Weight!D:D,"#N/A",0)</f>
        <v>96</v>
      </c>
      <c r="Q540" s="17" t="str">
        <f t="shared" si="6"/>
        <v/>
      </c>
      <c r="R540" s="107"/>
      <c r="S540" s="108">
        <v>560313.0</v>
      </c>
      <c r="T540" s="108">
        <v>12.0</v>
      </c>
      <c r="U540" s="109">
        <v>40.0</v>
      </c>
      <c r="V540" s="110"/>
      <c r="X540" s="111">
        <f>SUMIFS('Transit Shipment'!$B$10:$B$1048462,'Transit Shipment'!$A$10:$A$1048462,B540,'Transit Shipment'!$C$10:$C$1048462,AA540)</f>
        <v>0</v>
      </c>
      <c r="Y540" s="111">
        <f>IF(SUMIFS(DIH!$S$2:$S833,DIH!$D$2:$D833,B540,DIH!$U$2:$U833,AA540)&gt;0,SUMIFS(DIH!$S$2:$S833,DIH!$D$2:$D833,B540,DIH!$U$2:$U833,AA540),0)</f>
        <v>0</v>
      </c>
      <c r="Z540" s="112">
        <f t="shared" si="7"/>
        <v>0</v>
      </c>
      <c r="AA540" s="130" t="s">
        <v>13</v>
      </c>
      <c r="AB540" s="114">
        <f>IF(ISNA(VLOOKUP($B540,'Business Report'!$D$2:$J$202,2,0)),"",VLOOKUP($B540,'Business Report'!$D$2:$J$202,2,0))</f>
        <v>2</v>
      </c>
      <c r="AC540" s="115">
        <f>SUMIFS(AFS!$P$2:$P$6260,AFS!$N$2:$N$6260,B540,AFS!$AT$2:$AT$6260,AA540)</f>
        <v>0</v>
      </c>
      <c r="AD540" s="116">
        <f t="shared" si="8"/>
        <v>0</v>
      </c>
      <c r="AE540" s="117"/>
      <c r="AF540" s="118" t="str">
        <f t="shared" si="9"/>
        <v/>
      </c>
      <c r="AG540" s="26"/>
      <c r="AH540" s="26"/>
      <c r="AI540" s="26"/>
    </row>
    <row r="541">
      <c r="A541" s="120" t="s">
        <v>8431</v>
      </c>
      <c r="B541" s="7" t="s">
        <v>115</v>
      </c>
      <c r="C541" s="95" t="s">
        <v>548</v>
      </c>
      <c r="D541" s="109" t="s">
        <v>162</v>
      </c>
      <c r="E541" s="97">
        <f t="shared" si="2"/>
        <v>1</v>
      </c>
      <c r="F541" s="97">
        <f t="shared" si="3"/>
        <v>0.5</v>
      </c>
      <c r="G541" s="99">
        <f t="shared" si="77"/>
        <v>4</v>
      </c>
      <c r="H541" s="121"/>
      <c r="I541" s="122"/>
      <c r="J541" s="123"/>
      <c r="K541" s="124"/>
      <c r="L541" s="125"/>
      <c r="M541" s="181"/>
      <c r="N541" s="126"/>
      <c r="O541" s="127"/>
      <c r="P541" s="13">
        <f t="array" ref="P541">XLOOKUP(B541,Weight!B:B,Weight!D:D,"#N/A",0)</f>
        <v>96</v>
      </c>
      <c r="Q541" s="17">
        <f t="shared" si="6"/>
        <v>384</v>
      </c>
      <c r="R541" s="107"/>
      <c r="S541" s="108">
        <v>560313.0</v>
      </c>
      <c r="T541" s="108">
        <v>12.0</v>
      </c>
      <c r="U541" s="109">
        <v>40.0</v>
      </c>
      <c r="V541" s="110"/>
      <c r="X541" s="111">
        <f>SUMIFS('Transit Shipment'!$B$10:$B$1048462,'Transit Shipment'!$A$10:$A$1048462,B541,'Transit Shipment'!$C$10:$C$1048462,AA541)</f>
        <v>0</v>
      </c>
      <c r="Y541" s="111">
        <f>IF(SUMIFS(DIH!$S$2:$S833,DIH!$D$2:$D833,B541,DIH!$U$2:$U833,AA541)&gt;0,SUMIFS(DIH!$S$2:$S833,DIH!$D$2:$D833,B541,DIH!$U$2:$U833,AA541),0)</f>
        <v>0</v>
      </c>
      <c r="Z541" s="112">
        <f t="shared" si="7"/>
        <v>0</v>
      </c>
      <c r="AA541" s="119" t="s">
        <v>14</v>
      </c>
      <c r="AB541" s="114">
        <f>IF(ISNA(VLOOKUP($B541,'Business Report'!$D$2:$J$202,2,0)),"",VLOOKUP($B541,'Business Report'!$D$2:$J$202,2,0))</f>
        <v>2</v>
      </c>
      <c r="AC541" s="115">
        <f>SUMIFS(AFS!$P$2:$P$6260,AFS!$N$2:$N$6260,B541,AFS!$AT$2:$AT$6260,AA541)</f>
        <v>2</v>
      </c>
      <c r="AD541" s="116">
        <f t="shared" si="8"/>
        <v>3</v>
      </c>
      <c r="AE541" s="117"/>
      <c r="AF541" s="118">
        <f t="shared" si="9"/>
        <v>4</v>
      </c>
      <c r="AG541" s="26"/>
      <c r="AH541" s="26"/>
      <c r="AI541" s="26"/>
    </row>
    <row r="542">
      <c r="A542" s="120" t="s">
        <v>8431</v>
      </c>
      <c r="B542" s="7" t="s">
        <v>115</v>
      </c>
      <c r="C542" s="95" t="s">
        <v>548</v>
      </c>
      <c r="D542" s="109" t="s">
        <v>162</v>
      </c>
      <c r="E542" s="97">
        <f t="shared" si="2"/>
        <v>1</v>
      </c>
      <c r="F542" s="97">
        <f t="shared" si="3"/>
        <v>0</v>
      </c>
      <c r="G542" s="99">
        <f t="shared" si="77"/>
        <v>2</v>
      </c>
      <c r="H542" s="121"/>
      <c r="I542" s="122"/>
      <c r="J542" s="123"/>
      <c r="K542" s="124"/>
      <c r="L542" s="125"/>
      <c r="M542" s="181"/>
      <c r="N542" s="126"/>
      <c r="O542" s="127"/>
      <c r="P542" s="13">
        <f t="array" ref="P542">XLOOKUP(B542,Weight!B:B,Weight!D:D,"#N/A",0)</f>
        <v>96</v>
      </c>
      <c r="Q542" s="17">
        <f t="shared" si="6"/>
        <v>192</v>
      </c>
      <c r="R542" s="107"/>
      <c r="S542" s="108">
        <v>560313.0</v>
      </c>
      <c r="T542" s="108">
        <v>12.0</v>
      </c>
      <c r="U542" s="109">
        <v>40.0</v>
      </c>
      <c r="V542" s="110"/>
      <c r="X542" s="111">
        <f>SUMIFS('Transit Shipment'!$B$10:$B$1048462,'Transit Shipment'!$A$10:$A$1048462,B542,'Transit Shipment'!$C$10:$C$1048462,AA542)</f>
        <v>0</v>
      </c>
      <c r="Y542" s="111">
        <f>IF(SUMIFS(DIH!$S$2:$S833,DIH!$D$2:$D833,B542,DIH!$U$2:$U833,AA542)&gt;0,SUMIFS(DIH!$S$2:$S833,DIH!$D$2:$D833,B542,DIH!$U$2:$U833,AA542),0)</f>
        <v>0</v>
      </c>
      <c r="Z542" s="112">
        <f t="shared" si="7"/>
        <v>0</v>
      </c>
      <c r="AA542" s="131" t="s">
        <v>16</v>
      </c>
      <c r="AB542" s="114">
        <f>IF(ISNA(VLOOKUP($B542,'Business Report'!$D$2:$J$202,2,0)),"",VLOOKUP($B542,'Business Report'!$D$2:$J$202,2,0))</f>
        <v>2</v>
      </c>
      <c r="AC542" s="115">
        <f>SUMIFS(AFS!$P$2:$P$6260,AFS!$N$2:$N$6260,B542,AFS!$AT$2:$AT$6260,AA542)</f>
        <v>1</v>
      </c>
      <c r="AD542" s="116">
        <f t="shared" si="8"/>
        <v>2</v>
      </c>
      <c r="AE542" s="117"/>
      <c r="AF542" s="118">
        <f t="shared" si="9"/>
        <v>2</v>
      </c>
      <c r="AG542" s="26"/>
      <c r="AH542" s="26"/>
      <c r="AI542" s="26"/>
    </row>
    <row r="543">
      <c r="A543" s="132" t="s">
        <v>8431</v>
      </c>
      <c r="B543" s="15" t="s">
        <v>115</v>
      </c>
      <c r="C543" s="133" t="s">
        <v>548</v>
      </c>
      <c r="D543" s="134" t="s">
        <v>162</v>
      </c>
      <c r="E543" s="135">
        <f t="shared" si="2"/>
        <v>1</v>
      </c>
      <c r="F543" s="135">
        <f t="shared" si="3"/>
        <v>0.5</v>
      </c>
      <c r="G543" s="136">
        <f t="shared" si="77"/>
        <v>4</v>
      </c>
      <c r="H543" s="137"/>
      <c r="I543" s="138"/>
      <c r="J543" s="139"/>
      <c r="K543" s="140"/>
      <c r="L543" s="135"/>
      <c r="M543" s="152"/>
      <c r="N543" s="142"/>
      <c r="O543" s="143"/>
      <c r="P543" s="144">
        <f t="array" ref="P543">XLOOKUP(B543,Weight!B:B,Weight!D:D,"#N/A",0)</f>
        <v>96</v>
      </c>
      <c r="Q543" s="145">
        <f t="shared" si="6"/>
        <v>384</v>
      </c>
      <c r="R543" s="146"/>
      <c r="S543" s="147">
        <v>560313.0</v>
      </c>
      <c r="T543" s="147">
        <v>12.0</v>
      </c>
      <c r="U543" s="109">
        <v>40.0</v>
      </c>
      <c r="V543" s="148"/>
      <c r="W543" s="149"/>
      <c r="X543" s="150">
        <f>SUMIFS('Transit Shipment'!$B$10:$B$1048462,'Transit Shipment'!$A$10:$A$1048462,B543,'Transit Shipment'!$C$10:$C$1048462,AA543)</f>
        <v>0</v>
      </c>
      <c r="Y543" s="150">
        <f>IF(SUMIFS(DIH!$S$2:$S833,DIH!$D$2:$D833,B543,DIH!$U$2:$U833,AA543)&gt;0,SUMIFS(DIH!$S$2:$S833,DIH!$D$2:$D833,B543,DIH!$U$2:$U833,AA543),0)</f>
        <v>0</v>
      </c>
      <c r="Z543" s="151">
        <f t="shared" si="7"/>
        <v>0</v>
      </c>
      <c r="AA543" s="152" t="s">
        <v>17</v>
      </c>
      <c r="AB543" s="154">
        <f>IF(ISNA(VLOOKUP($B543,'Business Report'!$D$2:$J$202,2,0)),"",VLOOKUP($B543,'Business Report'!$D$2:$J$202,2,0))</f>
        <v>2</v>
      </c>
      <c r="AC543" s="155">
        <f>SUMIFS(AFS!$P$2:$P$6260,AFS!$N$2:$N$6260,B543,AFS!$AT$2:$AT$6260,AA543)</f>
        <v>2</v>
      </c>
      <c r="AD543" s="156">
        <f t="shared" si="8"/>
        <v>3</v>
      </c>
      <c r="AE543" s="159">
        <f>SUM(AD535:AD543)</f>
        <v>13</v>
      </c>
      <c r="AF543" s="118">
        <f t="shared" si="9"/>
        <v>4</v>
      </c>
      <c r="AG543" s="26"/>
      <c r="AH543" s="26"/>
      <c r="AI543" s="26"/>
    </row>
    <row r="544">
      <c r="A544" s="66" t="s">
        <v>8590</v>
      </c>
      <c r="B544" s="1" t="s">
        <v>117</v>
      </c>
      <c r="C544" s="95" t="s">
        <v>8591</v>
      </c>
      <c r="D544" s="68" t="s">
        <v>162</v>
      </c>
      <c r="E544" s="69">
        <f t="shared" si="2"/>
        <v>1</v>
      </c>
      <c r="F544" s="69">
        <f t="shared" si="3"/>
        <v>0.5</v>
      </c>
      <c r="G544" s="70">
        <f t="shared" si="77"/>
        <v>4</v>
      </c>
      <c r="H544" s="163"/>
      <c r="I544" s="101"/>
      <c r="J544" s="102"/>
      <c r="K544" s="167"/>
      <c r="L544" s="119"/>
      <c r="M544" s="169"/>
      <c r="N544" s="171"/>
      <c r="O544" s="106"/>
      <c r="P544" s="79">
        <f t="array" ref="P544">XLOOKUP(B544,Weight!B:B,Weight!D:D,"#N/A",0)</f>
        <v>88</v>
      </c>
      <c r="Q544" s="80">
        <f t="shared" si="6"/>
        <v>352</v>
      </c>
      <c r="R544" s="107"/>
      <c r="S544" s="108">
        <v>560313.0</v>
      </c>
      <c r="T544" s="108">
        <v>12.0</v>
      </c>
      <c r="U544" s="83">
        <v>40.0</v>
      </c>
      <c r="V544" s="84" t="str">
        <f t="shared" ref="V544:W544" si="93">B544</f>
        <v>CRM-HP-529-Grey</v>
      </c>
      <c r="W544" s="174" t="str">
        <f t="shared" si="93"/>
        <v>Crasome Dust &amp; Water Proof Printer Cover for HP Smart Tank All-in-One 529 / 589 (Grey)</v>
      </c>
      <c r="X544" s="86">
        <f>SUMIFS('Transit Shipment'!$B$10:$B$1048462,'Transit Shipment'!$A$10:$A$1048462,B544,'Transit Shipment'!$C$10:$C$1048462,AA544)</f>
        <v>0</v>
      </c>
      <c r="Y544" s="86">
        <f>IF(SUMIFS(DIH!$S$2:$S833,DIH!$D$2:$D833,B544,DIH!$U$2:$U833,AA544)&gt;0,SUMIFS(DIH!$S$2:$S833,DIH!$D$2:$D833,B544,DIH!$U$2:$U833,AA544),0)</f>
        <v>0</v>
      </c>
      <c r="Z544" s="87">
        <f t="shared" si="7"/>
        <v>0</v>
      </c>
      <c r="AA544" s="88" t="s">
        <v>5</v>
      </c>
      <c r="AB544" s="89">
        <f>IF(ISNA(VLOOKUP($B544,'Business Report'!$D$2:$J$202,2,0)),"",VLOOKUP($B544,'Business Report'!$D$2:$J$202,2,0))</f>
        <v>23</v>
      </c>
      <c r="AC544" s="90">
        <f>SUMIFS(AFS!$P$2:$P$6260,AFS!$N$2:$N$6260,B544,AFS!$AT$2:$AT$6260,AA544)</f>
        <v>2</v>
      </c>
      <c r="AD544" s="91">
        <f t="shared" si="8"/>
        <v>3</v>
      </c>
      <c r="AE544" s="92"/>
      <c r="AF544" s="93">
        <f t="shared" si="9"/>
        <v>4</v>
      </c>
      <c r="AG544" s="26"/>
      <c r="AH544" s="26"/>
      <c r="AI544" s="26"/>
    </row>
    <row r="545">
      <c r="A545" s="94" t="s">
        <v>8590</v>
      </c>
      <c r="B545" s="3" t="s">
        <v>117</v>
      </c>
      <c r="C545" s="95" t="s">
        <v>8591</v>
      </c>
      <c r="D545" s="96" t="s">
        <v>162</v>
      </c>
      <c r="E545" s="97">
        <f t="shared" si="2"/>
        <v>3</v>
      </c>
      <c r="F545" s="97">
        <f t="shared" si="3"/>
        <v>0</v>
      </c>
      <c r="G545" s="99">
        <f t="shared" si="77"/>
        <v>6</v>
      </c>
      <c r="H545" s="100"/>
      <c r="I545" s="101"/>
      <c r="J545" s="102"/>
      <c r="K545" s="103"/>
      <c r="L545" s="97"/>
      <c r="M545" s="169"/>
      <c r="N545" s="105"/>
      <c r="O545" s="106"/>
      <c r="P545" s="13">
        <f t="array" ref="P545">XLOOKUP(B545,Weight!B:B,Weight!D:D,"#N/A",0)</f>
        <v>88</v>
      </c>
      <c r="Q545" s="17">
        <f t="shared" si="6"/>
        <v>528</v>
      </c>
      <c r="R545" s="107"/>
      <c r="S545" s="108">
        <v>560313.0</v>
      </c>
      <c r="T545" s="108">
        <v>12.0</v>
      </c>
      <c r="U545" s="109">
        <v>40.0</v>
      </c>
      <c r="V545" s="110"/>
      <c r="X545" s="111">
        <f>SUMIFS('Transit Shipment'!$B$10:$B$1048462,'Transit Shipment'!$A$10:$A$1048462,B545,'Transit Shipment'!$C$10:$C$1048462,AA545)</f>
        <v>0</v>
      </c>
      <c r="Y545" s="111">
        <f>IF(SUMIFS(DIH!$S$2:$S833,DIH!$D$2:$D833,B545,DIH!$U$2:$U833,AA545)&gt;0,SUMIFS(DIH!$S$2:$S833,DIH!$D$2:$D833,B545,DIH!$U$2:$U833,AA545),0)</f>
        <v>2</v>
      </c>
      <c r="Z545" s="112">
        <f t="shared" si="7"/>
        <v>2</v>
      </c>
      <c r="AA545" s="113" t="s">
        <v>11</v>
      </c>
      <c r="AB545" s="114">
        <f>IF(ISNA(VLOOKUP($B545,'Business Report'!$D$2:$J$202,2,0)),"",VLOOKUP($B545,'Business Report'!$D$2:$J$202,2,0))</f>
        <v>23</v>
      </c>
      <c r="AC545" s="115">
        <f>SUMIFS(AFS!$P$2:$P$6260,AFS!$N$2:$N$6260,B545,AFS!$AT$2:$AT$6260,AA545)</f>
        <v>6</v>
      </c>
      <c r="AD545" s="116">
        <f t="shared" si="8"/>
        <v>6</v>
      </c>
      <c r="AE545" s="117"/>
      <c r="AF545" s="118">
        <f t="shared" si="9"/>
        <v>6</v>
      </c>
      <c r="AG545" s="26"/>
      <c r="AH545" s="26"/>
      <c r="AI545" s="26"/>
    </row>
    <row r="546">
      <c r="A546" s="94" t="s">
        <v>8590</v>
      </c>
      <c r="B546" s="3" t="s">
        <v>117</v>
      </c>
      <c r="C546" s="95" t="s">
        <v>8591</v>
      </c>
      <c r="D546" s="96" t="s">
        <v>162</v>
      </c>
      <c r="E546" s="97">
        <f t="shared" si="2"/>
        <v>5</v>
      </c>
      <c r="F546" s="97">
        <f t="shared" si="3"/>
        <v>0.5</v>
      </c>
      <c r="G546" s="99">
        <f t="shared" si="77"/>
        <v>12</v>
      </c>
      <c r="H546" s="100"/>
      <c r="I546" s="101"/>
      <c r="J546" s="102"/>
      <c r="K546" s="103"/>
      <c r="L546" s="97"/>
      <c r="M546" s="169"/>
      <c r="N546" s="105"/>
      <c r="O546" s="106"/>
      <c r="P546" s="13">
        <f t="array" ref="P546">XLOOKUP(B546,Weight!B:B,Weight!D:D,"#N/A",0)</f>
        <v>88</v>
      </c>
      <c r="Q546" s="17">
        <f t="shared" si="6"/>
        <v>1056</v>
      </c>
      <c r="R546" s="107"/>
      <c r="S546" s="108">
        <v>560313.0</v>
      </c>
      <c r="T546" s="108">
        <v>12.0</v>
      </c>
      <c r="U546" s="109">
        <v>40.0</v>
      </c>
      <c r="V546" s="110"/>
      <c r="X546" s="111">
        <f>SUMIFS('Transit Shipment'!$B$10:$B$1048462,'Transit Shipment'!$A$10:$A$1048462,B546,'Transit Shipment'!$C$10:$C$1048462,AA546)</f>
        <v>0</v>
      </c>
      <c r="Y546" s="111">
        <f>IF(SUMIFS(DIH!$S$2:$S833,DIH!$D$2:$D833,B546,DIH!$U$2:$U833,AA546)&gt;0,SUMIFS(DIH!$S$2:$S833,DIH!$D$2:$D833,B546,DIH!$U$2:$U833,AA546),0)</f>
        <v>0</v>
      </c>
      <c r="Z546" s="112">
        <f t="shared" si="7"/>
        <v>0</v>
      </c>
      <c r="AA546" s="119" t="s">
        <v>9</v>
      </c>
      <c r="AB546" s="114">
        <f>IF(ISNA(VLOOKUP($B546,'Business Report'!$D$2:$J$202,2,0)),"",VLOOKUP($B546,'Business Report'!$D$2:$J$202,2,0))</f>
        <v>23</v>
      </c>
      <c r="AC546" s="115">
        <f>SUMIFS(AFS!$P$2:$P$6260,AFS!$N$2:$N$6260,B546,AFS!$AT$2:$AT$6260,AA546)</f>
        <v>8</v>
      </c>
      <c r="AD546" s="116">
        <f t="shared" si="8"/>
        <v>11</v>
      </c>
      <c r="AE546" s="117"/>
      <c r="AF546" s="118">
        <f t="shared" si="9"/>
        <v>12</v>
      </c>
      <c r="AG546" s="26"/>
      <c r="AH546" s="26"/>
      <c r="AI546" s="26"/>
    </row>
    <row r="547">
      <c r="A547" s="120" t="s">
        <v>8590</v>
      </c>
      <c r="B547" s="7" t="s">
        <v>117</v>
      </c>
      <c r="C547" s="95" t="s">
        <v>8591</v>
      </c>
      <c r="D547" s="109" t="s">
        <v>162</v>
      </c>
      <c r="E547" s="97">
        <f t="shared" si="2"/>
        <v>2</v>
      </c>
      <c r="F547" s="97">
        <f t="shared" si="3"/>
        <v>0.5</v>
      </c>
      <c r="G547" s="99">
        <f t="shared" si="77"/>
        <v>6</v>
      </c>
      <c r="H547" s="121"/>
      <c r="I547" s="122"/>
      <c r="J547" s="123"/>
      <c r="K547" s="124"/>
      <c r="L547" s="125"/>
      <c r="M547" s="181"/>
      <c r="N547" s="126"/>
      <c r="O547" s="127"/>
      <c r="P547" s="13">
        <f t="array" ref="P547">XLOOKUP(B547,Weight!B:B,Weight!D:D,"#N/A",0)</f>
        <v>88</v>
      </c>
      <c r="Q547" s="17">
        <f t="shared" si="6"/>
        <v>528</v>
      </c>
      <c r="R547" s="107"/>
      <c r="S547" s="108">
        <v>560313.0</v>
      </c>
      <c r="T547" s="108">
        <v>12.0</v>
      </c>
      <c r="U547" s="109">
        <v>40.0</v>
      </c>
      <c r="V547" s="110"/>
      <c r="X547" s="111">
        <f>SUMIFS('Transit Shipment'!$B$10:$B$1048462,'Transit Shipment'!$A$10:$A$1048462,B547,'Transit Shipment'!$C$10:$C$1048462,AA547)</f>
        <v>0</v>
      </c>
      <c r="Y547" s="111">
        <f>IF(SUMIFS(DIH!$S$2:$S833,DIH!$D$2:$D833,B547,DIH!$U$2:$U833,AA547)&gt;0,SUMIFS(DIH!$S$2:$S833,DIH!$D$2:$D833,B547,DIH!$U$2:$U833,AA547),0)</f>
        <v>1</v>
      </c>
      <c r="Z547" s="112">
        <f t="shared" si="7"/>
        <v>1</v>
      </c>
      <c r="AA547" s="119" t="s">
        <v>155</v>
      </c>
      <c r="AB547" s="114">
        <f>IF(ISNA(VLOOKUP($B547,'Business Report'!$D$2:$J$202,2,0)),"",VLOOKUP($B547,'Business Report'!$D$2:$J$202,2,0))</f>
        <v>23</v>
      </c>
      <c r="AC547" s="115">
        <f>SUMIFS(AFS!$P$2:$P$6260,AFS!$N$2:$N$6260,B547,AFS!$AT$2:$AT$6260,AA547)</f>
        <v>4</v>
      </c>
      <c r="AD547" s="116">
        <f t="shared" si="8"/>
        <v>5</v>
      </c>
      <c r="AE547" s="117"/>
      <c r="AF547" s="118">
        <f t="shared" si="9"/>
        <v>6</v>
      </c>
      <c r="AG547" s="26"/>
      <c r="AH547" s="26"/>
      <c r="AI547" s="26"/>
    </row>
    <row r="548">
      <c r="A548" s="120" t="s">
        <v>8590</v>
      </c>
      <c r="B548" s="7" t="s">
        <v>117</v>
      </c>
      <c r="C548" s="95" t="s">
        <v>8591</v>
      </c>
      <c r="D548" s="109" t="s">
        <v>162</v>
      </c>
      <c r="E548" s="97">
        <f t="shared" si="2"/>
        <v>1</v>
      </c>
      <c r="F548" s="97">
        <f t="shared" si="3"/>
        <v>0</v>
      </c>
      <c r="G548" s="99" t="str">
        <f t="shared" si="77"/>
        <v/>
      </c>
      <c r="H548" s="121"/>
      <c r="I548" s="122"/>
      <c r="J548" s="123"/>
      <c r="K548" s="124"/>
      <c r="L548" s="125"/>
      <c r="M548" s="181"/>
      <c r="N548" s="126"/>
      <c r="O548" s="127"/>
      <c r="P548" s="13">
        <f t="array" ref="P548">XLOOKUP(B548,Weight!B:B,Weight!D:D,"#N/A",0)</f>
        <v>88</v>
      </c>
      <c r="Q548" s="17" t="str">
        <f t="shared" si="6"/>
        <v/>
      </c>
      <c r="R548" s="107"/>
      <c r="S548" s="108">
        <v>560313.0</v>
      </c>
      <c r="T548" s="108">
        <v>12.0</v>
      </c>
      <c r="U548" s="109">
        <v>40.0</v>
      </c>
      <c r="V548" s="110"/>
      <c r="X548" s="111">
        <f>SUMIFS('Transit Shipment'!$B$10:$B$1048462,'Transit Shipment'!$A$10:$A$1048462,B548,'Transit Shipment'!$C$10:$C$1048462,AA548)</f>
        <v>0</v>
      </c>
      <c r="Y548" s="111">
        <f>IF(SUMIFS(DIH!$S$2:$S833,DIH!$D$2:$D833,B548,DIH!$U$2:$U833,AA548)&gt;0,SUMIFS(DIH!$S$2:$S833,DIH!$D$2:$D833,B548,DIH!$U$2:$U833,AA548),0)</f>
        <v>4</v>
      </c>
      <c r="Z548" s="112">
        <f t="shared" si="7"/>
        <v>4</v>
      </c>
      <c r="AA548" s="119" t="s">
        <v>156</v>
      </c>
      <c r="AB548" s="114">
        <f>IF(ISNA(VLOOKUP($B548,'Business Report'!$D$2:$J$202,2,0)),"",VLOOKUP($B548,'Business Report'!$D$2:$J$202,2,0))</f>
        <v>23</v>
      </c>
      <c r="AC548" s="115">
        <f>SUMIFS(AFS!$P$2:$P$6260,AFS!$N$2:$N$6260,B548,AFS!$AT$2:$AT$6260,AA548)</f>
        <v>3</v>
      </c>
      <c r="AD548" s="116">
        <f t="shared" si="8"/>
        <v>0</v>
      </c>
      <c r="AE548" s="117"/>
      <c r="AF548" s="118" t="str">
        <f t="shared" si="9"/>
        <v/>
      </c>
      <c r="AG548" s="26"/>
      <c r="AH548" s="26"/>
      <c r="AI548" s="26"/>
    </row>
    <row r="549">
      <c r="A549" s="120" t="s">
        <v>8590</v>
      </c>
      <c r="B549" s="7" t="s">
        <v>117</v>
      </c>
      <c r="C549" s="95" t="s">
        <v>8591</v>
      </c>
      <c r="D549" s="109" t="s">
        <v>162</v>
      </c>
      <c r="E549" s="97">
        <f t="shared" si="2"/>
        <v>3</v>
      </c>
      <c r="F549" s="97">
        <f t="shared" si="3"/>
        <v>0</v>
      </c>
      <c r="G549" s="99">
        <f t="shared" si="77"/>
        <v>6</v>
      </c>
      <c r="H549" s="121"/>
      <c r="I549" s="122"/>
      <c r="J549" s="123"/>
      <c r="K549" s="124"/>
      <c r="L549" s="125"/>
      <c r="M549" s="181"/>
      <c r="N549" s="126"/>
      <c r="O549" s="127"/>
      <c r="P549" s="13">
        <f t="array" ref="P549">XLOOKUP(B549,Weight!B:B,Weight!D:D,"#N/A",0)</f>
        <v>88</v>
      </c>
      <c r="Q549" s="17">
        <f t="shared" si="6"/>
        <v>528</v>
      </c>
      <c r="R549" s="107"/>
      <c r="S549" s="108">
        <v>560313.0</v>
      </c>
      <c r="T549" s="108">
        <v>12.0</v>
      </c>
      <c r="U549" s="109">
        <v>40.0</v>
      </c>
      <c r="V549" s="110"/>
      <c r="X549" s="111">
        <f>SUMIFS('Transit Shipment'!$B$10:$B$1048462,'Transit Shipment'!$A$10:$A$1048462,B549,'Transit Shipment'!$C$10:$C$1048462,AA549)</f>
        <v>0</v>
      </c>
      <c r="Y549" s="111">
        <f>IF(SUMIFS(DIH!$S$2:$S833,DIH!$D$2:$D833,B549,DIH!$U$2:$U833,AA549)&gt;0,SUMIFS(DIH!$S$2:$S833,DIH!$D$2:$D833,B549,DIH!$U$2:$U833,AA549),0)</f>
        <v>0</v>
      </c>
      <c r="Z549" s="112">
        <f t="shared" si="7"/>
        <v>0</v>
      </c>
      <c r="AA549" s="130" t="s">
        <v>13</v>
      </c>
      <c r="AB549" s="114">
        <f>IF(ISNA(VLOOKUP($B549,'Business Report'!$D$2:$J$202,2,0)),"",VLOOKUP($B549,'Business Report'!$D$2:$J$202,2,0))</f>
        <v>23</v>
      </c>
      <c r="AC549" s="115">
        <f>SUMIFS(AFS!$P$2:$P$6260,AFS!$N$2:$N$6260,B549,AFS!$AT$2:$AT$6260,AA549)</f>
        <v>4</v>
      </c>
      <c r="AD549" s="116">
        <f t="shared" si="8"/>
        <v>6</v>
      </c>
      <c r="AE549" s="117"/>
      <c r="AF549" s="118">
        <f t="shared" si="9"/>
        <v>6</v>
      </c>
      <c r="AG549" s="26"/>
      <c r="AH549" s="26"/>
      <c r="AI549" s="26"/>
    </row>
    <row r="550">
      <c r="A550" s="120" t="s">
        <v>8590</v>
      </c>
      <c r="B550" s="7" t="s">
        <v>117</v>
      </c>
      <c r="C550" s="95" t="s">
        <v>8591</v>
      </c>
      <c r="D550" s="109" t="s">
        <v>162</v>
      </c>
      <c r="E550" s="97">
        <f t="shared" si="2"/>
        <v>1</v>
      </c>
      <c r="F550" s="97">
        <f t="shared" si="3"/>
        <v>0</v>
      </c>
      <c r="G550" s="99">
        <f t="shared" si="77"/>
        <v>2</v>
      </c>
      <c r="H550" s="121"/>
      <c r="I550" s="122"/>
      <c r="J550" s="123"/>
      <c r="K550" s="124"/>
      <c r="L550" s="125"/>
      <c r="M550" s="181"/>
      <c r="N550" s="126"/>
      <c r="O550" s="127"/>
      <c r="P550" s="13">
        <f t="array" ref="P550">XLOOKUP(B550,Weight!B:B,Weight!D:D,"#N/A",0)</f>
        <v>88</v>
      </c>
      <c r="Q550" s="17">
        <f t="shared" si="6"/>
        <v>176</v>
      </c>
      <c r="R550" s="107"/>
      <c r="S550" s="108">
        <v>560313.0</v>
      </c>
      <c r="T550" s="108">
        <v>12.0</v>
      </c>
      <c r="U550" s="109">
        <v>40.0</v>
      </c>
      <c r="V550" s="110"/>
      <c r="X550" s="111">
        <f>SUMIFS('Transit Shipment'!$B$10:$B$1048462,'Transit Shipment'!$A$10:$A$1048462,B550,'Transit Shipment'!$C$10:$C$1048462,AA550)</f>
        <v>0</v>
      </c>
      <c r="Y550" s="111">
        <f>IF(SUMIFS(DIH!$S$2:$S833,DIH!$D$2:$D833,B550,DIH!$U$2:$U833,AA550)&gt;0,SUMIFS(DIH!$S$2:$S833,DIH!$D$2:$D833,B550,DIH!$U$2:$U833,AA550),0)</f>
        <v>5</v>
      </c>
      <c r="Z550" s="112">
        <f t="shared" si="7"/>
        <v>5</v>
      </c>
      <c r="AA550" s="119" t="s">
        <v>14</v>
      </c>
      <c r="AB550" s="114">
        <f>IF(ISNA(VLOOKUP($B550,'Business Report'!$D$2:$J$202,2,0)),"",VLOOKUP($B550,'Business Report'!$D$2:$J$202,2,0))</f>
        <v>23</v>
      </c>
      <c r="AC550" s="115">
        <f>SUMIFS(AFS!$P$2:$P$6260,AFS!$N$2:$N$6260,B550,AFS!$AT$2:$AT$6260,AA550)</f>
        <v>5</v>
      </c>
      <c r="AD550" s="116">
        <f t="shared" si="8"/>
        <v>2</v>
      </c>
      <c r="AE550" s="117"/>
      <c r="AF550" s="118">
        <f t="shared" si="9"/>
        <v>2</v>
      </c>
      <c r="AG550" s="26"/>
      <c r="AH550" s="26"/>
      <c r="AI550" s="26"/>
    </row>
    <row r="551">
      <c r="A551" s="120" t="s">
        <v>8590</v>
      </c>
      <c r="B551" s="7" t="s">
        <v>117</v>
      </c>
      <c r="C551" s="95" t="s">
        <v>8591</v>
      </c>
      <c r="D551" s="109" t="s">
        <v>162</v>
      </c>
      <c r="E551" s="97">
        <f t="shared" si="2"/>
        <v>5</v>
      </c>
      <c r="F551" s="97">
        <f t="shared" si="3"/>
        <v>0</v>
      </c>
      <c r="G551" s="99">
        <f t="shared" si="77"/>
        <v>10</v>
      </c>
      <c r="H551" s="121"/>
      <c r="I551" s="122"/>
      <c r="J551" s="123"/>
      <c r="K551" s="124"/>
      <c r="L551" s="125"/>
      <c r="M551" s="181"/>
      <c r="N551" s="126"/>
      <c r="O551" s="127"/>
      <c r="P551" s="13">
        <f t="array" ref="P551">XLOOKUP(B551,Weight!B:B,Weight!D:D,"#N/A",0)</f>
        <v>88</v>
      </c>
      <c r="Q551" s="17">
        <f t="shared" si="6"/>
        <v>880</v>
      </c>
      <c r="R551" s="107"/>
      <c r="S551" s="108">
        <v>560313.0</v>
      </c>
      <c r="T551" s="108">
        <v>12.0</v>
      </c>
      <c r="U551" s="109">
        <v>40.0</v>
      </c>
      <c r="V551" s="110"/>
      <c r="X551" s="111">
        <f>SUMIFS('Transit Shipment'!$B$10:$B$1048462,'Transit Shipment'!$A$10:$A$1048462,B551,'Transit Shipment'!$C$10:$C$1048462,AA551)</f>
        <v>0</v>
      </c>
      <c r="Y551" s="111">
        <f>IF(SUMIFS(DIH!$S$2:$S833,DIH!$D$2:$D833,B551,DIH!$U$2:$U833,AA551)&gt;0,SUMIFS(DIH!$S$2:$S833,DIH!$D$2:$D833,B551,DIH!$U$2:$U833,AA551),0)</f>
        <v>2</v>
      </c>
      <c r="Z551" s="112">
        <f t="shared" si="7"/>
        <v>2</v>
      </c>
      <c r="AA551" s="131" t="s">
        <v>16</v>
      </c>
      <c r="AB551" s="114">
        <f>IF(ISNA(VLOOKUP($B551,'Business Report'!$D$2:$J$202,2,0)),"",VLOOKUP($B551,'Business Report'!$D$2:$J$202,2,0))</f>
        <v>23</v>
      </c>
      <c r="AC551" s="115">
        <f>SUMIFS(AFS!$P$2:$P$6260,AFS!$N$2:$N$6260,B551,AFS!$AT$2:$AT$6260,AA551)</f>
        <v>9</v>
      </c>
      <c r="AD551" s="116">
        <f t="shared" si="8"/>
        <v>10</v>
      </c>
      <c r="AE551" s="117"/>
      <c r="AF551" s="118">
        <f t="shared" si="9"/>
        <v>10</v>
      </c>
      <c r="AG551" s="26"/>
      <c r="AH551" s="26"/>
      <c r="AI551" s="26"/>
    </row>
    <row r="552">
      <c r="A552" s="132" t="s">
        <v>8590</v>
      </c>
      <c r="B552" s="15" t="s">
        <v>117</v>
      </c>
      <c r="C552" s="133" t="s">
        <v>8591</v>
      </c>
      <c r="D552" s="134" t="s">
        <v>162</v>
      </c>
      <c r="E552" s="135">
        <f t="shared" si="2"/>
        <v>4</v>
      </c>
      <c r="F552" s="135">
        <f t="shared" si="3"/>
        <v>0.5</v>
      </c>
      <c r="G552" s="136">
        <f t="shared" si="77"/>
        <v>10</v>
      </c>
      <c r="H552" s="137"/>
      <c r="I552" s="138"/>
      <c r="J552" s="139"/>
      <c r="K552" s="140"/>
      <c r="L552" s="135"/>
      <c r="M552" s="152"/>
      <c r="N552" s="142"/>
      <c r="O552" s="143"/>
      <c r="P552" s="144">
        <f t="array" ref="P552">XLOOKUP(B552,Weight!B:B,Weight!D:D,"#N/A",0)</f>
        <v>88</v>
      </c>
      <c r="Q552" s="145">
        <f t="shared" si="6"/>
        <v>880</v>
      </c>
      <c r="R552" s="146"/>
      <c r="S552" s="147">
        <v>560313.0</v>
      </c>
      <c r="T552" s="147">
        <v>12.0</v>
      </c>
      <c r="U552" s="109">
        <v>40.0</v>
      </c>
      <c r="V552" s="148"/>
      <c r="W552" s="149"/>
      <c r="X552" s="150">
        <f>SUMIFS('Transit Shipment'!$B$10:$B$1048462,'Transit Shipment'!$A$10:$A$1048462,B552,'Transit Shipment'!$C$10:$C$1048462,AA552)</f>
        <v>0</v>
      </c>
      <c r="Y552" s="150">
        <f>IF(SUMIFS(DIH!$S$2:$S833,DIH!$D$2:$D833,B552,DIH!$U$2:$U833,AA552)&gt;0,SUMIFS(DIH!$S$2:$S833,DIH!$D$2:$D833,B552,DIH!$U$2:$U833,AA552),0)</f>
        <v>1</v>
      </c>
      <c r="Z552" s="151">
        <f t="shared" si="7"/>
        <v>1</v>
      </c>
      <c r="AA552" s="152" t="s">
        <v>17</v>
      </c>
      <c r="AB552" s="154">
        <f>IF(ISNA(VLOOKUP($B552,'Business Report'!$D$2:$J$202,2,0)),"",VLOOKUP($B552,'Business Report'!$D$2:$J$202,2,0))</f>
        <v>23</v>
      </c>
      <c r="AC552" s="155">
        <f>SUMIFS(AFS!$P$2:$P$6260,AFS!$N$2:$N$6260,B552,AFS!$AT$2:$AT$6260,AA552)</f>
        <v>7</v>
      </c>
      <c r="AD552" s="156">
        <f t="shared" si="8"/>
        <v>9</v>
      </c>
      <c r="AE552" s="159">
        <f>SUM(AD544:AD552)</f>
        <v>52</v>
      </c>
      <c r="AF552" s="118">
        <f t="shared" si="9"/>
        <v>10</v>
      </c>
      <c r="AG552" s="26"/>
      <c r="AH552" s="26"/>
      <c r="AI552" s="26"/>
    </row>
    <row r="553">
      <c r="A553" s="66" t="s">
        <v>7482</v>
      </c>
      <c r="B553" s="1" t="s">
        <v>120</v>
      </c>
      <c r="C553" s="95" t="s">
        <v>324</v>
      </c>
      <c r="D553" s="68" t="s">
        <v>162</v>
      </c>
      <c r="E553" s="69">
        <f t="shared" si="2"/>
        <v>1</v>
      </c>
      <c r="F553" s="69">
        <f t="shared" si="3"/>
        <v>0.5</v>
      </c>
      <c r="G553" s="70">
        <f t="shared" si="77"/>
        <v>4</v>
      </c>
      <c r="H553" s="163"/>
      <c r="I553" s="101"/>
      <c r="J553" s="102"/>
      <c r="K553" s="167"/>
      <c r="L553" s="119"/>
      <c r="M553" s="169"/>
      <c r="N553" s="171"/>
      <c r="O553" s="106"/>
      <c r="P553" s="79">
        <f t="array" ref="P553">XLOOKUP(B553,Weight!B:B,Weight!D:D,"#N/A",0)</f>
        <v>90</v>
      </c>
      <c r="Q553" s="80">
        <f t="shared" si="6"/>
        <v>360</v>
      </c>
      <c r="R553" s="107"/>
      <c r="S553" s="108">
        <v>560313.0</v>
      </c>
      <c r="T553" s="108">
        <v>12.0</v>
      </c>
      <c r="U553" s="83">
        <v>40.0</v>
      </c>
      <c r="V553" s="84" t="str">
        <f t="shared" ref="V553:W553" si="94">B553</f>
        <v>CRM-HP-4826-4929-Grey</v>
      </c>
      <c r="W553" s="174" t="str">
        <f t="shared" si="94"/>
        <v>Crasome Dust Proof Water-resistant Printer Cover for HP Deskjet Advantage Ultra 2820 / 4929 (Grey)</v>
      </c>
      <c r="X553" s="86">
        <f>SUMIFS('Transit Shipment'!$B$10:$B$1048462,'Transit Shipment'!$A$10:$A$1048462,B553,'Transit Shipment'!$C$10:$C$1048462,AA553)</f>
        <v>0</v>
      </c>
      <c r="Y553" s="86">
        <f>IF(SUMIFS(DIH!$S$2:$S833,DIH!$D$2:$D833,B553,DIH!$U$2:$U833,AA553)&gt;0,SUMIFS(DIH!$S$2:$S833,DIH!$D$2:$D833,B553,DIH!$U$2:$U833,AA553),0)</f>
        <v>0</v>
      </c>
      <c r="Z553" s="87">
        <f t="shared" si="7"/>
        <v>0</v>
      </c>
      <c r="AA553" s="88" t="s">
        <v>5</v>
      </c>
      <c r="AB553" s="89">
        <f>IF(ISNA(VLOOKUP($B553,'Business Report'!$D$2:$J$202,2,0)),"",VLOOKUP($B553,'Business Report'!$D$2:$J$202,2,0))</f>
        <v>26</v>
      </c>
      <c r="AC553" s="90">
        <f>SUMIFS(AFS!$P$2:$P$6260,AFS!$N$2:$N$6260,B553,AFS!$AT$2:$AT$6260,AA553)</f>
        <v>2</v>
      </c>
      <c r="AD553" s="91">
        <f t="shared" si="8"/>
        <v>3</v>
      </c>
      <c r="AE553" s="92"/>
      <c r="AF553" s="93">
        <f t="shared" si="9"/>
        <v>4</v>
      </c>
      <c r="AG553" s="26"/>
      <c r="AH553" s="26"/>
      <c r="AI553" s="26"/>
    </row>
    <row r="554">
      <c r="A554" s="94" t="s">
        <v>7482</v>
      </c>
      <c r="B554" s="3" t="s">
        <v>120</v>
      </c>
      <c r="C554" s="95" t="s">
        <v>324</v>
      </c>
      <c r="D554" s="96" t="s">
        <v>162</v>
      </c>
      <c r="E554" s="97">
        <f t="shared" si="2"/>
        <v>1</v>
      </c>
      <c r="F554" s="97">
        <f t="shared" si="3"/>
        <v>0</v>
      </c>
      <c r="G554" s="99" t="str">
        <f t="shared" si="77"/>
        <v/>
      </c>
      <c r="H554" s="100"/>
      <c r="I554" s="101"/>
      <c r="J554" s="102"/>
      <c r="K554" s="103"/>
      <c r="L554" s="97"/>
      <c r="M554" s="169"/>
      <c r="N554" s="105"/>
      <c r="O554" s="106"/>
      <c r="P554" s="13">
        <f t="array" ref="P554">XLOOKUP(B554,Weight!B:B,Weight!D:D,"#N/A",0)</f>
        <v>90</v>
      </c>
      <c r="Q554" s="17" t="str">
        <f t="shared" si="6"/>
        <v/>
      </c>
      <c r="R554" s="107"/>
      <c r="S554" s="108">
        <v>560313.0</v>
      </c>
      <c r="T554" s="108">
        <v>12.0</v>
      </c>
      <c r="U554" s="109">
        <v>40.0</v>
      </c>
      <c r="V554" s="110"/>
      <c r="X554" s="111">
        <f>SUMIFS('Transit Shipment'!$B$10:$B$1048462,'Transit Shipment'!$A$10:$A$1048462,B554,'Transit Shipment'!$C$10:$C$1048462,AA554)</f>
        <v>0</v>
      </c>
      <c r="Y554" s="111">
        <f>IF(SUMIFS(DIH!$S$2:$S833,DIH!$D$2:$D833,B554,DIH!$U$2:$U833,AA554)&gt;0,SUMIFS(DIH!$S$2:$S833,DIH!$D$2:$D833,B554,DIH!$U$2:$U833,AA554),0)</f>
        <v>3</v>
      </c>
      <c r="Z554" s="112">
        <f t="shared" si="7"/>
        <v>3</v>
      </c>
      <c r="AA554" s="113" t="s">
        <v>11</v>
      </c>
      <c r="AB554" s="114">
        <f>IF(ISNA(VLOOKUP($B554,'Business Report'!$D$2:$J$202,2,0)),"",VLOOKUP($B554,'Business Report'!$D$2:$J$202,2,0))</f>
        <v>26</v>
      </c>
      <c r="AC554" s="115">
        <f>SUMIFS(AFS!$P$2:$P$6260,AFS!$N$2:$N$6260,B554,AFS!$AT$2:$AT$6260,AA554)</f>
        <v>2</v>
      </c>
      <c r="AD554" s="116">
        <f t="shared" si="8"/>
        <v>0</v>
      </c>
      <c r="AE554" s="117"/>
      <c r="AF554" s="118" t="str">
        <f t="shared" si="9"/>
        <v/>
      </c>
      <c r="AG554" s="26"/>
      <c r="AH554" s="26"/>
      <c r="AI554" s="26"/>
    </row>
    <row r="555">
      <c r="A555" s="94" t="s">
        <v>7482</v>
      </c>
      <c r="B555" s="3" t="s">
        <v>120</v>
      </c>
      <c r="C555" s="95" t="s">
        <v>324</v>
      </c>
      <c r="D555" s="96" t="s">
        <v>162</v>
      </c>
      <c r="E555" s="97" t="str">
        <f t="shared" si="2"/>
        <v/>
      </c>
      <c r="F555" s="97" t="str">
        <f t="shared" si="3"/>
        <v/>
      </c>
      <c r="G555" s="99" t="str">
        <f t="shared" si="77"/>
        <v/>
      </c>
      <c r="H555" s="100"/>
      <c r="I555" s="101"/>
      <c r="J555" s="102"/>
      <c r="K555" s="103"/>
      <c r="L555" s="97"/>
      <c r="M555" s="169"/>
      <c r="N555" s="105"/>
      <c r="O555" s="106"/>
      <c r="P555" s="13">
        <f t="array" ref="P555">XLOOKUP(B555,Weight!B:B,Weight!D:D,"#N/A",0)</f>
        <v>90</v>
      </c>
      <c r="Q555" s="17" t="str">
        <f t="shared" si="6"/>
        <v/>
      </c>
      <c r="R555" s="107"/>
      <c r="S555" s="108">
        <v>560313.0</v>
      </c>
      <c r="T555" s="108">
        <v>12.0</v>
      </c>
      <c r="U555" s="109">
        <v>40.0</v>
      </c>
      <c r="V555" s="110"/>
      <c r="X555" s="111">
        <f>SUMIFS('Transit Shipment'!$B$10:$B$1048462,'Transit Shipment'!$A$10:$A$1048462,B555,'Transit Shipment'!$C$10:$C$1048462,AA555)</f>
        <v>0</v>
      </c>
      <c r="Y555" s="111">
        <f>IF(SUMIFS(DIH!$S$2:$S833,DIH!$D$2:$D833,B555,DIH!$U$2:$U833,AA555)&gt;0,SUMIFS(DIH!$S$2:$S833,DIH!$D$2:$D833,B555,DIH!$U$2:$U833,AA555),0)</f>
        <v>10</v>
      </c>
      <c r="Z555" s="112">
        <f t="shared" si="7"/>
        <v>10</v>
      </c>
      <c r="AA555" s="119" t="s">
        <v>9</v>
      </c>
      <c r="AB555" s="114">
        <f>IF(ISNA(VLOOKUP($B555,'Business Report'!$D$2:$J$202,2,0)),"",VLOOKUP($B555,'Business Report'!$D$2:$J$202,2,0))</f>
        <v>26</v>
      </c>
      <c r="AC555" s="115">
        <f>SUMIFS(AFS!$P$2:$P$6260,AFS!$N$2:$N$6260,B555,AFS!$AT$2:$AT$6260,AA555)</f>
        <v>1</v>
      </c>
      <c r="AD555" s="116">
        <f t="shared" si="8"/>
        <v>-8</v>
      </c>
      <c r="AE555" s="117"/>
      <c r="AF555" s="118" t="str">
        <f t="shared" si="9"/>
        <v/>
      </c>
      <c r="AG555" s="26"/>
      <c r="AH555" s="26"/>
      <c r="AI555" s="26"/>
    </row>
    <row r="556">
      <c r="A556" s="120" t="s">
        <v>7482</v>
      </c>
      <c r="B556" s="7" t="s">
        <v>120</v>
      </c>
      <c r="C556" s="95" t="s">
        <v>324</v>
      </c>
      <c r="D556" s="109" t="s">
        <v>162</v>
      </c>
      <c r="E556" s="97" t="str">
        <f t="shared" si="2"/>
        <v/>
      </c>
      <c r="F556" s="97" t="str">
        <f t="shared" si="3"/>
        <v/>
      </c>
      <c r="G556" s="99" t="str">
        <f t="shared" si="77"/>
        <v/>
      </c>
      <c r="H556" s="121"/>
      <c r="I556" s="122"/>
      <c r="J556" s="123"/>
      <c r="K556" s="124"/>
      <c r="L556" s="125"/>
      <c r="M556" s="181"/>
      <c r="N556" s="126"/>
      <c r="O556" s="127"/>
      <c r="P556" s="13">
        <f t="array" ref="P556">XLOOKUP(B556,Weight!B:B,Weight!D:D,"#N/A",0)</f>
        <v>90</v>
      </c>
      <c r="Q556" s="17" t="str">
        <f t="shared" si="6"/>
        <v/>
      </c>
      <c r="R556" s="107"/>
      <c r="S556" s="108">
        <v>560313.0</v>
      </c>
      <c r="T556" s="108">
        <v>12.0</v>
      </c>
      <c r="U556" s="109">
        <v>40.0</v>
      </c>
      <c r="V556" s="110"/>
      <c r="X556" s="111">
        <f>SUMIFS('Transit Shipment'!$B$10:$B$1048462,'Transit Shipment'!$A$10:$A$1048462,B556,'Transit Shipment'!$C$10:$C$1048462,AA556)</f>
        <v>0</v>
      </c>
      <c r="Y556" s="111">
        <f>IF(SUMIFS(DIH!$S$2:$S833,DIH!$D$2:$D833,B556,DIH!$U$2:$U833,AA556)&gt;0,SUMIFS(DIH!$S$2:$S833,DIH!$D$2:$D833,B556,DIH!$U$2:$U833,AA556),0)</f>
        <v>2</v>
      </c>
      <c r="Z556" s="112">
        <f t="shared" si="7"/>
        <v>2</v>
      </c>
      <c r="AA556" s="119" t="s">
        <v>155</v>
      </c>
      <c r="AB556" s="114">
        <f>IF(ISNA(VLOOKUP($B556,'Business Report'!$D$2:$J$202,2,0)),"",VLOOKUP($B556,'Business Report'!$D$2:$J$202,2,0))</f>
        <v>26</v>
      </c>
      <c r="AC556" s="115">
        <f>SUMIFS(AFS!$P$2:$P$6260,AFS!$N$2:$N$6260,B556,AFS!$AT$2:$AT$6260,AA556)</f>
        <v>0</v>
      </c>
      <c r="AD556" s="116">
        <f t="shared" si="8"/>
        <v>-2</v>
      </c>
      <c r="AE556" s="117"/>
      <c r="AF556" s="118" t="str">
        <f t="shared" si="9"/>
        <v/>
      </c>
      <c r="AG556" s="26"/>
      <c r="AH556" s="26"/>
      <c r="AI556" s="26"/>
    </row>
    <row r="557">
      <c r="A557" s="120" t="s">
        <v>7482</v>
      </c>
      <c r="B557" s="7" t="s">
        <v>120</v>
      </c>
      <c r="C557" s="95" t="s">
        <v>324</v>
      </c>
      <c r="D557" s="109" t="s">
        <v>162</v>
      </c>
      <c r="E557" s="97" t="str">
        <f t="shared" si="2"/>
        <v/>
      </c>
      <c r="F557" s="97" t="str">
        <f t="shared" si="3"/>
        <v/>
      </c>
      <c r="G557" s="99" t="str">
        <f t="shared" si="77"/>
        <v/>
      </c>
      <c r="H557" s="121"/>
      <c r="I557" s="122"/>
      <c r="J557" s="123"/>
      <c r="K557" s="124"/>
      <c r="L557" s="125"/>
      <c r="M557" s="181"/>
      <c r="N557" s="126"/>
      <c r="O557" s="127"/>
      <c r="P557" s="13">
        <f t="array" ref="P557">XLOOKUP(B557,Weight!B:B,Weight!D:D,"#N/A",0)</f>
        <v>90</v>
      </c>
      <c r="Q557" s="17" t="str">
        <f t="shared" si="6"/>
        <v/>
      </c>
      <c r="R557" s="107"/>
      <c r="S557" s="108">
        <v>560313.0</v>
      </c>
      <c r="T557" s="108">
        <v>12.0</v>
      </c>
      <c r="U557" s="109">
        <v>40.0</v>
      </c>
      <c r="V557" s="110"/>
      <c r="X557" s="111">
        <f>SUMIFS('Transit Shipment'!$B$10:$B$1048462,'Transit Shipment'!$A$10:$A$1048462,B557,'Transit Shipment'!$C$10:$C$1048462,AA557)</f>
        <v>0</v>
      </c>
      <c r="Y557" s="111">
        <f>IF(SUMIFS(DIH!$S$2:$S833,DIH!$D$2:$D833,B557,DIH!$U$2:$U833,AA557)&gt;0,SUMIFS(DIH!$S$2:$S833,DIH!$D$2:$D833,B557,DIH!$U$2:$U833,AA557),0)</f>
        <v>4</v>
      </c>
      <c r="Z557" s="112">
        <f t="shared" si="7"/>
        <v>4</v>
      </c>
      <c r="AA557" s="119" t="s">
        <v>156</v>
      </c>
      <c r="AB557" s="114">
        <f>IF(ISNA(VLOOKUP($B557,'Business Report'!$D$2:$J$202,2,0)),"",VLOOKUP($B557,'Business Report'!$D$2:$J$202,2,0))</f>
        <v>26</v>
      </c>
      <c r="AC557" s="115">
        <f>SUMIFS(AFS!$P$2:$P$6260,AFS!$N$2:$N$6260,B557,AFS!$AT$2:$AT$6260,AA557)</f>
        <v>2</v>
      </c>
      <c r="AD557" s="116">
        <f t="shared" si="8"/>
        <v>-1</v>
      </c>
      <c r="AE557" s="117"/>
      <c r="AF557" s="118" t="str">
        <f t="shared" si="9"/>
        <v/>
      </c>
      <c r="AG557" s="26"/>
      <c r="AH557" s="26"/>
      <c r="AI557" s="26"/>
    </row>
    <row r="558">
      <c r="A558" s="120" t="s">
        <v>7482</v>
      </c>
      <c r="B558" s="7" t="s">
        <v>120</v>
      </c>
      <c r="C558" s="95" t="s">
        <v>324</v>
      </c>
      <c r="D558" s="109" t="s">
        <v>162</v>
      </c>
      <c r="E558" s="97">
        <f t="shared" si="2"/>
        <v>1</v>
      </c>
      <c r="F558" s="97">
        <f t="shared" si="3"/>
        <v>0</v>
      </c>
      <c r="G558" s="99" t="str">
        <f t="shared" si="77"/>
        <v/>
      </c>
      <c r="H558" s="121"/>
      <c r="I558" s="122"/>
      <c r="J558" s="123"/>
      <c r="K558" s="124"/>
      <c r="L558" s="125"/>
      <c r="M558" s="181"/>
      <c r="N558" s="126"/>
      <c r="O558" s="127"/>
      <c r="P558" s="13">
        <f t="array" ref="P558">XLOOKUP(B558,Weight!B:B,Weight!D:D,"#N/A",0)</f>
        <v>90</v>
      </c>
      <c r="Q558" s="17" t="str">
        <f t="shared" si="6"/>
        <v/>
      </c>
      <c r="R558" s="107"/>
      <c r="S558" s="108">
        <v>560313.0</v>
      </c>
      <c r="T558" s="108">
        <v>12.0</v>
      </c>
      <c r="U558" s="109">
        <v>40.0</v>
      </c>
      <c r="V558" s="110"/>
      <c r="X558" s="111">
        <f>SUMIFS('Transit Shipment'!$B$10:$B$1048462,'Transit Shipment'!$A$10:$A$1048462,B558,'Transit Shipment'!$C$10:$C$1048462,AA558)</f>
        <v>0</v>
      </c>
      <c r="Y558" s="111">
        <f>IF(SUMIFS(DIH!$S$2:$S833,DIH!$D$2:$D833,B558,DIH!$U$2:$U833,AA558)&gt;0,SUMIFS(DIH!$S$2:$S833,DIH!$D$2:$D833,B558,DIH!$U$2:$U833,AA558),0)</f>
        <v>2</v>
      </c>
      <c r="Z558" s="112">
        <f t="shared" si="7"/>
        <v>2</v>
      </c>
      <c r="AA558" s="130" t="s">
        <v>13</v>
      </c>
      <c r="AB558" s="114">
        <f>IF(ISNA(VLOOKUP($B558,'Business Report'!$D$2:$J$202,2,0)),"",VLOOKUP($B558,'Business Report'!$D$2:$J$202,2,0))</f>
        <v>26</v>
      </c>
      <c r="AC558" s="115">
        <f>SUMIFS(AFS!$P$2:$P$6260,AFS!$N$2:$N$6260,B558,AFS!$AT$2:$AT$6260,AA558)</f>
        <v>1</v>
      </c>
      <c r="AD558" s="116">
        <f t="shared" si="8"/>
        <v>0</v>
      </c>
      <c r="AE558" s="117"/>
      <c r="AF558" s="118" t="str">
        <f t="shared" si="9"/>
        <v/>
      </c>
      <c r="AG558" s="322"/>
      <c r="AH558" s="26"/>
      <c r="AI558" s="26"/>
    </row>
    <row r="559">
      <c r="A559" s="120" t="s">
        <v>7482</v>
      </c>
      <c r="B559" s="7" t="s">
        <v>120</v>
      </c>
      <c r="C559" s="95" t="s">
        <v>324</v>
      </c>
      <c r="D559" s="109" t="s">
        <v>162</v>
      </c>
      <c r="E559" s="97">
        <f t="shared" si="2"/>
        <v>4</v>
      </c>
      <c r="F559" s="97">
        <f t="shared" si="3"/>
        <v>0</v>
      </c>
      <c r="G559" s="99">
        <f t="shared" si="77"/>
        <v>8</v>
      </c>
      <c r="H559" s="121"/>
      <c r="I559" s="122"/>
      <c r="J559" s="123"/>
      <c r="K559" s="124"/>
      <c r="L559" s="125"/>
      <c r="M559" s="181"/>
      <c r="N559" s="126"/>
      <c r="O559" s="127"/>
      <c r="P559" s="13">
        <f t="array" ref="P559">XLOOKUP(B559,Weight!B:B,Weight!D:D,"#N/A",0)</f>
        <v>90</v>
      </c>
      <c r="Q559" s="17">
        <f t="shared" si="6"/>
        <v>720</v>
      </c>
      <c r="R559" s="107"/>
      <c r="S559" s="108">
        <v>560313.0</v>
      </c>
      <c r="T559" s="108">
        <v>12.0</v>
      </c>
      <c r="U559" s="109">
        <v>40.0</v>
      </c>
      <c r="V559" s="110"/>
      <c r="X559" s="111">
        <f>SUMIFS('Transit Shipment'!$B$10:$B$1048462,'Transit Shipment'!$A$10:$A$1048462,B559,'Transit Shipment'!$C$10:$C$1048462,AA559)</f>
        <v>0</v>
      </c>
      <c r="Y559" s="111">
        <f>IF(SUMIFS(DIH!$S$2:$S833,DIH!$D$2:$D833,B559,DIH!$U$2:$U833,AA559)&gt;0,SUMIFS(DIH!$S$2:$S833,DIH!$D$2:$D833,B559,DIH!$U$2:$U833,AA559),0)</f>
        <v>4</v>
      </c>
      <c r="Z559" s="112">
        <f t="shared" si="7"/>
        <v>4</v>
      </c>
      <c r="AA559" s="119" t="s">
        <v>14</v>
      </c>
      <c r="AB559" s="114">
        <f>IF(ISNA(VLOOKUP($B559,'Business Report'!$D$2:$J$202,2,0)),"",VLOOKUP($B559,'Business Report'!$D$2:$J$202,2,0))</f>
        <v>26</v>
      </c>
      <c r="AC559" s="115">
        <f>SUMIFS(AFS!$P$2:$P$6260,AFS!$N$2:$N$6260,B559,AFS!$AT$2:$AT$6260,AA559)</f>
        <v>9</v>
      </c>
      <c r="AD559" s="116">
        <f t="shared" si="8"/>
        <v>8</v>
      </c>
      <c r="AE559" s="117"/>
      <c r="AF559" s="118">
        <f t="shared" si="9"/>
        <v>8</v>
      </c>
      <c r="AG559" s="26"/>
      <c r="AH559" s="26"/>
      <c r="AI559" s="26"/>
    </row>
    <row r="560">
      <c r="A560" s="120" t="s">
        <v>7482</v>
      </c>
      <c r="B560" s="7" t="s">
        <v>120</v>
      </c>
      <c r="C560" s="95" t="s">
        <v>324</v>
      </c>
      <c r="D560" s="109" t="s">
        <v>162</v>
      </c>
      <c r="E560" s="97" t="str">
        <f t="shared" si="2"/>
        <v/>
      </c>
      <c r="F560" s="97" t="str">
        <f t="shared" si="3"/>
        <v/>
      </c>
      <c r="G560" s="99" t="str">
        <f t="shared" si="77"/>
        <v/>
      </c>
      <c r="H560" s="121"/>
      <c r="I560" s="122"/>
      <c r="J560" s="123"/>
      <c r="K560" s="124"/>
      <c r="L560" s="125"/>
      <c r="M560" s="181"/>
      <c r="N560" s="126"/>
      <c r="O560" s="127"/>
      <c r="P560" s="13">
        <f t="array" ref="P560">XLOOKUP(B560,Weight!B:B,Weight!D:D,"#N/A",0)</f>
        <v>90</v>
      </c>
      <c r="Q560" s="17" t="str">
        <f t="shared" si="6"/>
        <v/>
      </c>
      <c r="R560" s="107"/>
      <c r="S560" s="108">
        <v>560313.0</v>
      </c>
      <c r="T560" s="108">
        <v>12.0</v>
      </c>
      <c r="U560" s="109">
        <v>40.0</v>
      </c>
      <c r="V560" s="110"/>
      <c r="X560" s="111">
        <f>SUMIFS('Transit Shipment'!$B$10:$B$1048462,'Transit Shipment'!$A$10:$A$1048462,B560,'Transit Shipment'!$C$10:$C$1048462,AA560)</f>
        <v>0</v>
      </c>
      <c r="Y560" s="111">
        <f>IF(SUMIFS(DIH!$S$2:$S833,DIH!$D$2:$D833,B560,DIH!$U$2:$U833,AA560)&gt;0,SUMIFS(DIH!$S$2:$S833,DIH!$D$2:$D833,B560,DIH!$U$2:$U833,AA560),0)</f>
        <v>3</v>
      </c>
      <c r="Z560" s="112">
        <f t="shared" si="7"/>
        <v>3</v>
      </c>
      <c r="AA560" s="131" t="s">
        <v>16</v>
      </c>
      <c r="AB560" s="114">
        <f>IF(ISNA(VLOOKUP($B560,'Business Report'!$D$2:$J$202,2,0)),"",VLOOKUP($B560,'Business Report'!$D$2:$J$202,2,0))</f>
        <v>26</v>
      </c>
      <c r="AC560" s="115">
        <f>SUMIFS(AFS!$P$2:$P$6260,AFS!$N$2:$N$6260,B560,AFS!$AT$2:$AT$6260,AA560)</f>
        <v>1</v>
      </c>
      <c r="AD560" s="116">
        <f t="shared" si="8"/>
        <v>-1</v>
      </c>
      <c r="AE560" s="117"/>
      <c r="AF560" s="118" t="str">
        <f t="shared" si="9"/>
        <v/>
      </c>
      <c r="AG560" s="26"/>
      <c r="AH560" s="26"/>
      <c r="AI560" s="26"/>
    </row>
    <row r="561">
      <c r="A561" s="132" t="s">
        <v>7482</v>
      </c>
      <c r="B561" s="15" t="s">
        <v>120</v>
      </c>
      <c r="C561" s="133" t="s">
        <v>324</v>
      </c>
      <c r="D561" s="134" t="s">
        <v>162</v>
      </c>
      <c r="E561" s="135" t="str">
        <f t="shared" si="2"/>
        <v/>
      </c>
      <c r="F561" s="135" t="str">
        <f t="shared" si="3"/>
        <v/>
      </c>
      <c r="G561" s="136" t="str">
        <f t="shared" si="77"/>
        <v/>
      </c>
      <c r="H561" s="137"/>
      <c r="I561" s="138"/>
      <c r="J561" s="139"/>
      <c r="K561" s="140"/>
      <c r="L561" s="135"/>
      <c r="M561" s="152"/>
      <c r="N561" s="142"/>
      <c r="O561" s="143"/>
      <c r="P561" s="144">
        <f t="array" ref="P561">XLOOKUP(B561,Weight!B:B,Weight!D:D,"#N/A",0)</f>
        <v>90</v>
      </c>
      <c r="Q561" s="145" t="str">
        <f t="shared" si="6"/>
        <v/>
      </c>
      <c r="R561" s="146"/>
      <c r="S561" s="147">
        <v>560313.0</v>
      </c>
      <c r="T561" s="147">
        <v>12.0</v>
      </c>
      <c r="U561" s="109">
        <v>40.0</v>
      </c>
      <c r="V561" s="148"/>
      <c r="W561" s="149"/>
      <c r="X561" s="150">
        <f>SUMIFS('Transit Shipment'!$B$10:$B$1048462,'Transit Shipment'!$A$10:$A$1048462,B561,'Transit Shipment'!$C$10:$C$1048462,AA561)</f>
        <v>0</v>
      </c>
      <c r="Y561" s="150">
        <f>IF(SUMIFS(DIH!$S$2:$S833,DIH!$D$2:$D833,B561,DIH!$U$2:$U833,AA561)&gt;0,SUMIFS(DIH!$S$2:$S833,DIH!$D$2:$D833,B561,DIH!$U$2:$U833,AA561),0)</f>
        <v>5</v>
      </c>
      <c r="Z561" s="151">
        <f t="shared" si="7"/>
        <v>5</v>
      </c>
      <c r="AA561" s="152" t="s">
        <v>17</v>
      </c>
      <c r="AB561" s="154">
        <f>IF(ISNA(VLOOKUP($B561,'Business Report'!$D$2:$J$202,2,0)),"",VLOOKUP($B561,'Business Report'!$D$2:$J$202,2,0))</f>
        <v>26</v>
      </c>
      <c r="AC561" s="155">
        <f>SUMIFS(AFS!$P$2:$P$6260,AFS!$N$2:$N$6260,B561,AFS!$AT$2:$AT$6260,AA561)</f>
        <v>0</v>
      </c>
      <c r="AD561" s="156">
        <f t="shared" si="8"/>
        <v>-5</v>
      </c>
      <c r="AE561" s="159">
        <f>SUM(AD553:AD561)</f>
        <v>-6</v>
      </c>
      <c r="AF561" s="118" t="str">
        <f t="shared" si="9"/>
        <v/>
      </c>
      <c r="AG561" s="26"/>
      <c r="AH561" s="26"/>
      <c r="AI561" s="26"/>
    </row>
    <row r="562">
      <c r="A562" s="66" t="s">
        <v>7482</v>
      </c>
      <c r="B562" s="1" t="s">
        <v>123</v>
      </c>
      <c r="C562" s="95" t="s">
        <v>502</v>
      </c>
      <c r="D562" s="68" t="s">
        <v>162</v>
      </c>
      <c r="E562" s="69">
        <f t="shared" si="2"/>
        <v>1</v>
      </c>
      <c r="F562" s="69">
        <f t="shared" si="3"/>
        <v>0</v>
      </c>
      <c r="G562" s="70" t="str">
        <f t="shared" si="77"/>
        <v/>
      </c>
      <c r="H562" s="163"/>
      <c r="I562" s="101"/>
      <c r="J562" s="102"/>
      <c r="K562" s="167"/>
      <c r="L562" s="119"/>
      <c r="M562" s="169"/>
      <c r="N562" s="171"/>
      <c r="O562" s="106"/>
      <c r="P562" s="79">
        <f t="array" ref="P562">XLOOKUP(B562,Weight!B:B,Weight!D:D,"#N/A",0)</f>
        <v>90</v>
      </c>
      <c r="Q562" s="80" t="str">
        <f t="shared" si="6"/>
        <v/>
      </c>
      <c r="R562" s="107"/>
      <c r="S562" s="108">
        <v>560313.0</v>
      </c>
      <c r="T562" s="108">
        <v>12.0</v>
      </c>
      <c r="U562" s="83">
        <v>40.0</v>
      </c>
      <c r="V562" s="84" t="str">
        <f t="shared" ref="V562:W562" si="95">B562</f>
        <v>CRM-HP-4828-2878-GREY</v>
      </c>
      <c r="W562" s="174" t="str">
        <f t="shared" si="95"/>
        <v>Crasome Dust &amp; Water Proof Printer Cover for HP Ink Advantage 2878 / 2876 (Grey)</v>
      </c>
      <c r="X562" s="86">
        <f>SUMIFS('Transit Shipment'!$B$10:$B$1048462,'Transit Shipment'!$A$10:$A$1048462,B562,'Transit Shipment'!$C$10:$C$1048462,AA562)</f>
        <v>0</v>
      </c>
      <c r="Y562" s="86">
        <f>IF(SUMIFS(DIH!$S$2:$S833,DIH!$D$2:$D833,B562,DIH!$U$2:$U833,AA562)&gt;0,SUMIFS(DIH!$S$2:$S833,DIH!$D$2:$D833,B562,DIH!$U$2:$U833,AA562),0)</f>
        <v>0</v>
      </c>
      <c r="Z562" s="87">
        <f t="shared" si="7"/>
        <v>0</v>
      </c>
      <c r="AA562" s="88" t="s">
        <v>5</v>
      </c>
      <c r="AB562" s="89">
        <f>IF(ISNA(VLOOKUP($B562,'Business Report'!$D$2:$J$202,2,0)),"",VLOOKUP($B562,'Business Report'!$D$2:$J$202,2,0))</f>
        <v>4</v>
      </c>
      <c r="AC562" s="90">
        <f>SUMIFS(AFS!$P$2:$P$6260,AFS!$N$2:$N$6260,B562,AFS!$AT$2:$AT$6260,AA562)</f>
        <v>0</v>
      </c>
      <c r="AD562" s="91">
        <f t="shared" si="8"/>
        <v>0</v>
      </c>
      <c r="AE562" s="92"/>
      <c r="AF562" s="93" t="str">
        <f t="shared" si="9"/>
        <v/>
      </c>
      <c r="AG562" s="26"/>
      <c r="AH562" s="26"/>
      <c r="AI562" s="26"/>
    </row>
    <row r="563">
      <c r="A563" s="94" t="s">
        <v>7482</v>
      </c>
      <c r="B563" s="3" t="s">
        <v>123</v>
      </c>
      <c r="C563" s="95" t="s">
        <v>502</v>
      </c>
      <c r="D563" s="96" t="s">
        <v>162</v>
      </c>
      <c r="E563" s="97">
        <f t="shared" si="2"/>
        <v>1</v>
      </c>
      <c r="F563" s="97">
        <f t="shared" si="3"/>
        <v>0</v>
      </c>
      <c r="G563" s="99" t="str">
        <f t="shared" si="77"/>
        <v/>
      </c>
      <c r="H563" s="100"/>
      <c r="I563" s="101"/>
      <c r="J563" s="102"/>
      <c r="K563" s="103"/>
      <c r="L563" s="97"/>
      <c r="M563" s="169"/>
      <c r="N563" s="105"/>
      <c r="O563" s="106"/>
      <c r="P563" s="13">
        <f t="array" ref="P563">XLOOKUP(B563,Weight!B:B,Weight!D:D,"#N/A",0)</f>
        <v>90</v>
      </c>
      <c r="Q563" s="17" t="str">
        <f t="shared" si="6"/>
        <v/>
      </c>
      <c r="R563" s="107"/>
      <c r="S563" s="108">
        <v>560313.0</v>
      </c>
      <c r="T563" s="108">
        <v>12.0</v>
      </c>
      <c r="U563" s="109">
        <v>40.0</v>
      </c>
      <c r="V563" s="110"/>
      <c r="X563" s="111">
        <f>SUMIFS('Transit Shipment'!$B$10:$B$1048462,'Transit Shipment'!$A$10:$A$1048462,B563,'Transit Shipment'!$C$10:$C$1048462,AA563)</f>
        <v>0</v>
      </c>
      <c r="Y563" s="111">
        <f>IF(SUMIFS(DIH!$S$2:$S833,DIH!$D$2:$D833,B563,DIH!$U$2:$U833,AA563)&gt;0,SUMIFS(DIH!$S$2:$S833,DIH!$D$2:$D833,B563,DIH!$U$2:$U833,AA563),0)</f>
        <v>0</v>
      </c>
      <c r="Z563" s="112">
        <f t="shared" si="7"/>
        <v>0</v>
      </c>
      <c r="AA563" s="113" t="s">
        <v>11</v>
      </c>
      <c r="AB563" s="114">
        <f>IF(ISNA(VLOOKUP($B563,'Business Report'!$D$2:$J$202,2,0)),"",VLOOKUP($B563,'Business Report'!$D$2:$J$202,2,0))</f>
        <v>4</v>
      </c>
      <c r="AC563" s="115">
        <f>SUMIFS(AFS!$P$2:$P$6260,AFS!$N$2:$N$6260,B563,AFS!$AT$2:$AT$6260,AA563)</f>
        <v>0</v>
      </c>
      <c r="AD563" s="116">
        <f t="shared" si="8"/>
        <v>0</v>
      </c>
      <c r="AE563" s="117"/>
      <c r="AF563" s="118" t="str">
        <f t="shared" si="9"/>
        <v/>
      </c>
      <c r="AG563" s="26"/>
      <c r="AH563" s="26"/>
      <c r="AI563" s="26"/>
    </row>
    <row r="564">
      <c r="A564" s="94" t="s">
        <v>7482</v>
      </c>
      <c r="B564" s="3" t="s">
        <v>123</v>
      </c>
      <c r="C564" s="95" t="s">
        <v>502</v>
      </c>
      <c r="D564" s="96" t="s">
        <v>162</v>
      </c>
      <c r="E564" s="97">
        <f t="shared" si="2"/>
        <v>1</v>
      </c>
      <c r="F564" s="97">
        <f t="shared" si="3"/>
        <v>0</v>
      </c>
      <c r="G564" s="99" t="str">
        <f t="shared" si="77"/>
        <v/>
      </c>
      <c r="H564" s="100"/>
      <c r="I564" s="101"/>
      <c r="J564" s="102"/>
      <c r="K564" s="103"/>
      <c r="L564" s="97"/>
      <c r="M564" s="169"/>
      <c r="N564" s="105"/>
      <c r="O564" s="106"/>
      <c r="P564" s="13">
        <f t="array" ref="P564">XLOOKUP(B564,Weight!B:B,Weight!D:D,"#N/A",0)</f>
        <v>90</v>
      </c>
      <c r="Q564" s="17" t="str">
        <f t="shared" si="6"/>
        <v/>
      </c>
      <c r="R564" s="107"/>
      <c r="S564" s="108">
        <v>560313.0</v>
      </c>
      <c r="T564" s="108">
        <v>12.0</v>
      </c>
      <c r="U564" s="109">
        <v>40.0</v>
      </c>
      <c r="V564" s="110"/>
      <c r="X564" s="111">
        <f>SUMIFS('Transit Shipment'!$B$10:$B$1048462,'Transit Shipment'!$A$10:$A$1048462,B564,'Transit Shipment'!$C$10:$C$1048462,AA564)</f>
        <v>0</v>
      </c>
      <c r="Y564" s="111">
        <f>IF(SUMIFS(DIH!$S$2:$S833,DIH!$D$2:$D833,B564,DIH!$U$2:$U833,AA564)&gt;0,SUMIFS(DIH!$S$2:$S833,DIH!$D$2:$D833,B564,DIH!$U$2:$U833,AA564),0)</f>
        <v>0</v>
      </c>
      <c r="Z564" s="112">
        <f t="shared" si="7"/>
        <v>0</v>
      </c>
      <c r="AA564" s="119" t="s">
        <v>9</v>
      </c>
      <c r="AB564" s="114">
        <f>IF(ISNA(VLOOKUP($B564,'Business Report'!$D$2:$J$202,2,0)),"",VLOOKUP($B564,'Business Report'!$D$2:$J$202,2,0))</f>
        <v>4</v>
      </c>
      <c r="AC564" s="115">
        <f>SUMIFS(AFS!$P$2:$P$6260,AFS!$N$2:$N$6260,B564,AFS!$AT$2:$AT$6260,AA564)</f>
        <v>0</v>
      </c>
      <c r="AD564" s="116">
        <f t="shared" si="8"/>
        <v>0</v>
      </c>
      <c r="AE564" s="117"/>
      <c r="AF564" s="118" t="str">
        <f t="shared" si="9"/>
        <v/>
      </c>
      <c r="AG564" s="26"/>
      <c r="AH564" s="26"/>
      <c r="AI564" s="26"/>
    </row>
    <row r="565">
      <c r="A565" s="120" t="s">
        <v>7482</v>
      </c>
      <c r="B565" s="7" t="s">
        <v>123</v>
      </c>
      <c r="C565" s="95" t="s">
        <v>502</v>
      </c>
      <c r="D565" s="109" t="s">
        <v>162</v>
      </c>
      <c r="E565" s="97">
        <f t="shared" si="2"/>
        <v>1</v>
      </c>
      <c r="F565" s="97">
        <f t="shared" si="3"/>
        <v>0</v>
      </c>
      <c r="G565" s="99" t="str">
        <f t="shared" si="77"/>
        <v/>
      </c>
      <c r="H565" s="121"/>
      <c r="I565" s="122"/>
      <c r="J565" s="123"/>
      <c r="K565" s="124"/>
      <c r="L565" s="125"/>
      <c r="M565" s="181"/>
      <c r="N565" s="126"/>
      <c r="O565" s="127"/>
      <c r="P565" s="13">
        <f t="array" ref="P565">XLOOKUP(B565,Weight!B:B,Weight!D:D,"#N/A",0)</f>
        <v>90</v>
      </c>
      <c r="Q565" s="17" t="str">
        <f t="shared" si="6"/>
        <v/>
      </c>
      <c r="R565" s="107"/>
      <c r="S565" s="108">
        <v>560313.0</v>
      </c>
      <c r="T565" s="108">
        <v>12.0</v>
      </c>
      <c r="U565" s="109">
        <v>40.0</v>
      </c>
      <c r="V565" s="110"/>
      <c r="X565" s="111">
        <f>SUMIFS('Transit Shipment'!$B$10:$B$1048462,'Transit Shipment'!$A$10:$A$1048462,B565,'Transit Shipment'!$C$10:$C$1048462,AA565)</f>
        <v>0</v>
      </c>
      <c r="Y565" s="111">
        <f>IF(SUMIFS(DIH!$S$2:$S833,DIH!$D$2:$D833,B565,DIH!$U$2:$U833,AA565)&gt;0,SUMIFS(DIH!$S$2:$S833,DIH!$D$2:$D833,B565,DIH!$U$2:$U833,AA565),0)</f>
        <v>0</v>
      </c>
      <c r="Z565" s="112">
        <f t="shared" si="7"/>
        <v>0</v>
      </c>
      <c r="AA565" s="119" t="s">
        <v>155</v>
      </c>
      <c r="AB565" s="114">
        <f>IF(ISNA(VLOOKUP($B565,'Business Report'!$D$2:$J$202,2,0)),"",VLOOKUP($B565,'Business Report'!$D$2:$J$202,2,0))</f>
        <v>4</v>
      </c>
      <c r="AC565" s="115">
        <f>SUMIFS(AFS!$P$2:$P$6260,AFS!$N$2:$N$6260,B565,AFS!$AT$2:$AT$6260,AA565)</f>
        <v>0</v>
      </c>
      <c r="AD565" s="116">
        <f t="shared" si="8"/>
        <v>0</v>
      </c>
      <c r="AE565" s="117"/>
      <c r="AF565" s="118" t="str">
        <f t="shared" si="9"/>
        <v/>
      </c>
      <c r="AG565" s="26"/>
      <c r="AH565" s="26"/>
      <c r="AI565" s="26"/>
    </row>
    <row r="566">
      <c r="A566" s="120" t="s">
        <v>7482</v>
      </c>
      <c r="B566" s="7" t="s">
        <v>123</v>
      </c>
      <c r="C566" s="95" t="s">
        <v>502</v>
      </c>
      <c r="D566" s="109" t="s">
        <v>162</v>
      </c>
      <c r="E566" s="97">
        <f t="shared" si="2"/>
        <v>1</v>
      </c>
      <c r="F566" s="97">
        <f t="shared" si="3"/>
        <v>0</v>
      </c>
      <c r="G566" s="99" t="str">
        <f t="shared" si="77"/>
        <v/>
      </c>
      <c r="H566" s="121"/>
      <c r="I566" s="122"/>
      <c r="J566" s="123"/>
      <c r="K566" s="124"/>
      <c r="L566" s="125"/>
      <c r="M566" s="181"/>
      <c r="N566" s="126"/>
      <c r="O566" s="127"/>
      <c r="P566" s="13">
        <f t="array" ref="P566">XLOOKUP(B566,Weight!B:B,Weight!D:D,"#N/A",0)</f>
        <v>90</v>
      </c>
      <c r="Q566" s="17" t="str">
        <f t="shared" si="6"/>
        <v/>
      </c>
      <c r="R566" s="107"/>
      <c r="S566" s="108">
        <v>560313.0</v>
      </c>
      <c r="T566" s="108">
        <v>12.0</v>
      </c>
      <c r="U566" s="109">
        <v>40.0</v>
      </c>
      <c r="V566" s="110"/>
      <c r="X566" s="111">
        <f>SUMIFS('Transit Shipment'!$B$10:$B$1048462,'Transit Shipment'!$A$10:$A$1048462,B566,'Transit Shipment'!$C$10:$C$1048462,AA566)</f>
        <v>0</v>
      </c>
      <c r="Y566" s="111">
        <f>IF(SUMIFS(DIH!$S$2:$S833,DIH!$D$2:$D833,B566,DIH!$U$2:$U833,AA566)&gt;0,SUMIFS(DIH!$S$2:$S833,DIH!$D$2:$D833,B566,DIH!$U$2:$U833,AA566),0)</f>
        <v>0</v>
      </c>
      <c r="Z566" s="112">
        <f t="shared" si="7"/>
        <v>0</v>
      </c>
      <c r="AA566" s="119" t="s">
        <v>156</v>
      </c>
      <c r="AB566" s="114">
        <f>IF(ISNA(VLOOKUP($B566,'Business Report'!$D$2:$J$202,2,0)),"",VLOOKUP($B566,'Business Report'!$D$2:$J$202,2,0))</f>
        <v>4</v>
      </c>
      <c r="AC566" s="115">
        <f>SUMIFS(AFS!$P$2:$P$6260,AFS!$N$2:$N$6260,B566,AFS!$AT$2:$AT$6260,AA566)</f>
        <v>0</v>
      </c>
      <c r="AD566" s="116">
        <f t="shared" si="8"/>
        <v>0</v>
      </c>
      <c r="AE566" s="117"/>
      <c r="AF566" s="118" t="str">
        <f t="shared" si="9"/>
        <v/>
      </c>
      <c r="AG566" s="26"/>
      <c r="AH566" s="26"/>
      <c r="AI566" s="26"/>
    </row>
    <row r="567">
      <c r="A567" s="120" t="s">
        <v>7482</v>
      </c>
      <c r="B567" s="7" t="s">
        <v>123</v>
      </c>
      <c r="C567" s="95" t="s">
        <v>502</v>
      </c>
      <c r="D567" s="109" t="s">
        <v>162</v>
      </c>
      <c r="E567" s="97">
        <f t="shared" si="2"/>
        <v>1</v>
      </c>
      <c r="F567" s="97">
        <f t="shared" si="3"/>
        <v>0</v>
      </c>
      <c r="G567" s="99" t="str">
        <f t="shared" si="77"/>
        <v/>
      </c>
      <c r="H567" s="121"/>
      <c r="I567" s="122"/>
      <c r="J567" s="123"/>
      <c r="K567" s="124"/>
      <c r="L567" s="125"/>
      <c r="M567" s="181"/>
      <c r="N567" s="126"/>
      <c r="O567" s="127"/>
      <c r="P567" s="13">
        <f t="array" ref="P567">XLOOKUP(B567,Weight!B:B,Weight!D:D,"#N/A",0)</f>
        <v>90</v>
      </c>
      <c r="Q567" s="17" t="str">
        <f t="shared" si="6"/>
        <v/>
      </c>
      <c r="R567" s="107"/>
      <c r="S567" s="108">
        <v>560313.0</v>
      </c>
      <c r="T567" s="108">
        <v>12.0</v>
      </c>
      <c r="U567" s="109">
        <v>40.0</v>
      </c>
      <c r="V567" s="110"/>
      <c r="X567" s="111">
        <f>SUMIFS('Transit Shipment'!$B$10:$B$1048462,'Transit Shipment'!$A$10:$A$1048462,B567,'Transit Shipment'!$C$10:$C$1048462,AA567)</f>
        <v>0</v>
      </c>
      <c r="Y567" s="111">
        <f>IF(SUMIFS(DIH!$S$2:$S833,DIH!$D$2:$D833,B567,DIH!$U$2:$U833,AA567)&gt;0,SUMIFS(DIH!$S$2:$S833,DIH!$D$2:$D833,B567,DIH!$U$2:$U833,AA567),0)</f>
        <v>0</v>
      </c>
      <c r="Z567" s="112">
        <f t="shared" si="7"/>
        <v>0</v>
      </c>
      <c r="AA567" s="130" t="s">
        <v>13</v>
      </c>
      <c r="AB567" s="114">
        <f>IF(ISNA(VLOOKUP($B567,'Business Report'!$D$2:$J$202,2,0)),"",VLOOKUP($B567,'Business Report'!$D$2:$J$202,2,0))</f>
        <v>4</v>
      </c>
      <c r="AC567" s="115">
        <f>SUMIFS(AFS!$P$2:$P$6260,AFS!$N$2:$N$6260,B567,AFS!$AT$2:$AT$6260,AA567)</f>
        <v>0</v>
      </c>
      <c r="AD567" s="116">
        <f t="shared" si="8"/>
        <v>0</v>
      </c>
      <c r="AE567" s="117"/>
      <c r="AF567" s="118" t="str">
        <f t="shared" si="9"/>
        <v/>
      </c>
      <c r="AG567" s="322"/>
      <c r="AH567" s="26"/>
      <c r="AI567" s="26"/>
    </row>
    <row r="568">
      <c r="A568" s="120" t="s">
        <v>7482</v>
      </c>
      <c r="B568" s="7" t="s">
        <v>123</v>
      </c>
      <c r="C568" s="95" t="s">
        <v>502</v>
      </c>
      <c r="D568" s="109" t="s">
        <v>162</v>
      </c>
      <c r="E568" s="97">
        <f t="shared" si="2"/>
        <v>1</v>
      </c>
      <c r="F568" s="97">
        <f t="shared" si="3"/>
        <v>0</v>
      </c>
      <c r="G568" s="99" t="str">
        <f t="shared" si="77"/>
        <v/>
      </c>
      <c r="H568" s="121"/>
      <c r="I568" s="122"/>
      <c r="J568" s="123"/>
      <c r="K568" s="124"/>
      <c r="L568" s="125"/>
      <c r="M568" s="181"/>
      <c r="N568" s="126"/>
      <c r="O568" s="127"/>
      <c r="P568" s="13">
        <f t="array" ref="P568">XLOOKUP(B568,Weight!B:B,Weight!D:D,"#N/A",0)</f>
        <v>90</v>
      </c>
      <c r="Q568" s="17" t="str">
        <f t="shared" si="6"/>
        <v/>
      </c>
      <c r="R568" s="107"/>
      <c r="S568" s="108">
        <v>560313.0</v>
      </c>
      <c r="T568" s="108">
        <v>12.0</v>
      </c>
      <c r="U568" s="109">
        <v>40.0</v>
      </c>
      <c r="V568" s="110"/>
      <c r="X568" s="111">
        <f>SUMIFS('Transit Shipment'!$B$10:$B$1048462,'Transit Shipment'!$A$10:$A$1048462,B568,'Transit Shipment'!$C$10:$C$1048462,AA568)</f>
        <v>0</v>
      </c>
      <c r="Y568" s="111">
        <f>IF(SUMIFS(DIH!$S$2:$S833,DIH!$D$2:$D833,B568,DIH!$U$2:$U833,AA568)&gt;0,SUMIFS(DIH!$S$2:$S833,DIH!$D$2:$D833,B568,DIH!$U$2:$U833,AA568),0)</f>
        <v>0</v>
      </c>
      <c r="Z568" s="112">
        <f t="shared" si="7"/>
        <v>0</v>
      </c>
      <c r="AA568" s="119" t="s">
        <v>14</v>
      </c>
      <c r="AB568" s="114">
        <f>IF(ISNA(VLOOKUP($B568,'Business Report'!$D$2:$J$202,2,0)),"",VLOOKUP($B568,'Business Report'!$D$2:$J$202,2,0))</f>
        <v>4</v>
      </c>
      <c r="AC568" s="115">
        <f>SUMIFS(AFS!$P$2:$P$6260,AFS!$N$2:$N$6260,B568,AFS!$AT$2:$AT$6260,AA568)</f>
        <v>0</v>
      </c>
      <c r="AD568" s="116">
        <f t="shared" si="8"/>
        <v>0</v>
      </c>
      <c r="AE568" s="117"/>
      <c r="AF568" s="118" t="str">
        <f t="shared" si="9"/>
        <v/>
      </c>
      <c r="AG568" s="26"/>
      <c r="AH568" s="26"/>
      <c r="AI568" s="26"/>
    </row>
    <row r="569">
      <c r="A569" s="120" t="s">
        <v>7482</v>
      </c>
      <c r="B569" s="7" t="s">
        <v>123</v>
      </c>
      <c r="C569" s="95" t="s">
        <v>502</v>
      </c>
      <c r="D569" s="109" t="s">
        <v>162</v>
      </c>
      <c r="E569" s="97">
        <f t="shared" si="2"/>
        <v>1</v>
      </c>
      <c r="F569" s="97">
        <f t="shared" si="3"/>
        <v>0</v>
      </c>
      <c r="G569" s="99" t="str">
        <f t="shared" si="77"/>
        <v/>
      </c>
      <c r="H569" s="121"/>
      <c r="I569" s="122"/>
      <c r="J569" s="123"/>
      <c r="K569" s="124"/>
      <c r="L569" s="125"/>
      <c r="M569" s="181"/>
      <c r="N569" s="126"/>
      <c r="O569" s="127"/>
      <c r="P569" s="13">
        <f t="array" ref="P569">XLOOKUP(B569,Weight!B:B,Weight!D:D,"#N/A",0)</f>
        <v>90</v>
      </c>
      <c r="Q569" s="17" t="str">
        <f t="shared" si="6"/>
        <v/>
      </c>
      <c r="R569" s="107"/>
      <c r="S569" s="108">
        <v>560313.0</v>
      </c>
      <c r="T569" s="108">
        <v>12.0</v>
      </c>
      <c r="U569" s="109">
        <v>40.0</v>
      </c>
      <c r="V569" s="110"/>
      <c r="X569" s="111">
        <f>SUMIFS('Transit Shipment'!$B$10:$B$1048462,'Transit Shipment'!$A$10:$A$1048462,B569,'Transit Shipment'!$C$10:$C$1048462,AA569)</f>
        <v>0</v>
      </c>
      <c r="Y569" s="111">
        <f>IF(SUMIFS(DIH!$S$2:$S833,DIH!$D$2:$D833,B569,DIH!$U$2:$U833,AA569)&gt;0,SUMIFS(DIH!$S$2:$S833,DIH!$D$2:$D833,B569,DIH!$U$2:$U833,AA569),0)</f>
        <v>0</v>
      </c>
      <c r="Z569" s="112">
        <f t="shared" si="7"/>
        <v>0</v>
      </c>
      <c r="AA569" s="131" t="s">
        <v>16</v>
      </c>
      <c r="AB569" s="114">
        <f>IF(ISNA(VLOOKUP($B569,'Business Report'!$D$2:$J$202,2,0)),"",VLOOKUP($B569,'Business Report'!$D$2:$J$202,2,0))</f>
        <v>4</v>
      </c>
      <c r="AC569" s="115">
        <f>SUMIFS(AFS!$P$2:$P$6260,AFS!$N$2:$N$6260,B569,AFS!$AT$2:$AT$6260,AA569)</f>
        <v>0</v>
      </c>
      <c r="AD569" s="116">
        <f t="shared" si="8"/>
        <v>0</v>
      </c>
      <c r="AE569" s="117"/>
      <c r="AF569" s="118" t="str">
        <f t="shared" si="9"/>
        <v/>
      </c>
      <c r="AG569" s="26"/>
      <c r="AH569" s="26"/>
      <c r="AI569" s="26"/>
    </row>
    <row r="570">
      <c r="A570" s="132" t="s">
        <v>7482</v>
      </c>
      <c r="B570" s="15" t="s">
        <v>123</v>
      </c>
      <c r="C570" s="133" t="s">
        <v>502</v>
      </c>
      <c r="D570" s="134" t="s">
        <v>162</v>
      </c>
      <c r="E570" s="135">
        <f t="shared" si="2"/>
        <v>1</v>
      </c>
      <c r="F570" s="135">
        <f t="shared" si="3"/>
        <v>0</v>
      </c>
      <c r="G570" s="136" t="str">
        <f t="shared" si="77"/>
        <v/>
      </c>
      <c r="H570" s="137"/>
      <c r="I570" s="138"/>
      <c r="J570" s="139"/>
      <c r="K570" s="140"/>
      <c r="L570" s="135"/>
      <c r="M570" s="152"/>
      <c r="N570" s="142"/>
      <c r="O570" s="143"/>
      <c r="P570" s="144">
        <f t="array" ref="P570">XLOOKUP(B570,Weight!B:B,Weight!D:D,"#N/A",0)</f>
        <v>90</v>
      </c>
      <c r="Q570" s="145" t="str">
        <f t="shared" si="6"/>
        <v/>
      </c>
      <c r="R570" s="146"/>
      <c r="S570" s="147">
        <v>560313.0</v>
      </c>
      <c r="T570" s="147">
        <v>12.0</v>
      </c>
      <c r="U570" s="109">
        <v>40.0</v>
      </c>
      <c r="V570" s="148"/>
      <c r="W570" s="149"/>
      <c r="X570" s="150">
        <f>SUMIFS('Transit Shipment'!$B$10:$B$1048462,'Transit Shipment'!$A$10:$A$1048462,B570,'Transit Shipment'!$C$10:$C$1048462,AA570)</f>
        <v>0</v>
      </c>
      <c r="Y570" s="150">
        <f>IF(SUMIFS(DIH!$S$2:$S833,DIH!$D$2:$D833,B570,DIH!$U$2:$U833,AA570)&gt;0,SUMIFS(DIH!$S$2:$S833,DIH!$D$2:$D833,B570,DIH!$U$2:$U833,AA570),0)</f>
        <v>0</v>
      </c>
      <c r="Z570" s="151">
        <f t="shared" si="7"/>
        <v>0</v>
      </c>
      <c r="AA570" s="152" t="s">
        <v>17</v>
      </c>
      <c r="AB570" s="154">
        <f>IF(ISNA(VLOOKUP($B570,'Business Report'!$D$2:$J$202,2,0)),"",VLOOKUP($B570,'Business Report'!$D$2:$J$202,2,0))</f>
        <v>4</v>
      </c>
      <c r="AC570" s="155">
        <f>SUMIFS(AFS!$P$2:$P$6260,AFS!$N$2:$N$6260,B570,AFS!$AT$2:$AT$6260,AA570)</f>
        <v>0</v>
      </c>
      <c r="AD570" s="156">
        <f t="shared" si="8"/>
        <v>0</v>
      </c>
      <c r="AE570" s="159">
        <f>SUM(AD562:AD570)</f>
        <v>0</v>
      </c>
      <c r="AF570" s="118" t="str">
        <f t="shared" si="9"/>
        <v/>
      </c>
      <c r="AG570" s="26"/>
      <c r="AH570" s="26"/>
      <c r="AI570" s="26"/>
    </row>
    <row r="571">
      <c r="A571" s="66" t="s">
        <v>9090</v>
      </c>
      <c r="B571" s="1" t="s">
        <v>125</v>
      </c>
      <c r="C571" s="95" t="s">
        <v>515</v>
      </c>
      <c r="D571" s="68" t="s">
        <v>161</v>
      </c>
      <c r="E571" s="69">
        <f t="shared" si="2"/>
        <v>1</v>
      </c>
      <c r="F571" s="69">
        <f t="shared" si="3"/>
        <v>0</v>
      </c>
      <c r="G571" s="70" t="str">
        <f t="shared" si="77"/>
        <v/>
      </c>
      <c r="H571" s="163"/>
      <c r="I571" s="101"/>
      <c r="J571" s="102"/>
      <c r="K571" s="167"/>
      <c r="L571" s="119"/>
      <c r="M571" s="169"/>
      <c r="N571" s="171"/>
      <c r="O571" s="106"/>
      <c r="P571" s="79">
        <f t="array" ref="P571">XLOOKUP(B571,Weight!B:B,Weight!D:D,"#N/A",0)</f>
        <v>80</v>
      </c>
      <c r="Q571" s="80" t="str">
        <f t="shared" si="6"/>
        <v/>
      </c>
      <c r="R571" s="107"/>
      <c r="S571" s="108">
        <v>560313.0</v>
      </c>
      <c r="T571" s="108">
        <v>12.0</v>
      </c>
      <c r="U571" s="83">
        <v>55.0</v>
      </c>
      <c r="V571" s="84" t="str">
        <f t="shared" ref="V571:W571" si="96">B571</f>
        <v>CRM-BR-L2321D-L2440DW-BLUE</v>
      </c>
      <c r="W571" s="174" t="str">
        <f t="shared" si="96"/>
        <v>Crasome Dust Proof Water Resistant Printer Cover for Brother HL-L2440DW / HL-L2460DW / HL-L2400D (Blue)</v>
      </c>
      <c r="X571" s="86">
        <f>SUMIFS('Transit Shipment'!$B$10:$B$1048462,'Transit Shipment'!$A$10:$A$1048462,B571,'Transit Shipment'!$C$10:$C$1048462,AA571)</f>
        <v>0</v>
      </c>
      <c r="Y571" s="86">
        <f>IF(SUMIFS(DIH!$S$2:$S833,DIH!$D$2:$D833,B571,DIH!$U$2:$U833,AA571)&gt;0,SUMIFS(DIH!$S$2:$S833,DIH!$D$2:$D833,B571,DIH!$U$2:$U833,AA571),0)</f>
        <v>0</v>
      </c>
      <c r="Z571" s="87">
        <f t="shared" si="7"/>
        <v>0</v>
      </c>
      <c r="AA571" s="88" t="s">
        <v>5</v>
      </c>
      <c r="AB571" s="89">
        <f>IF(ISNA(VLOOKUP($B571,'Business Report'!$D$2:$J$202,2,0)),"",VLOOKUP($B571,'Business Report'!$D$2:$J$202,2,0))</f>
        <v>3</v>
      </c>
      <c r="AC571" s="90">
        <f>SUMIFS(AFS!$P$2:$P$6260,AFS!$N$2:$N$6260,B571,AFS!$AT$2:$AT$6260,AA571)</f>
        <v>0</v>
      </c>
      <c r="AD571" s="91">
        <f t="shared" si="8"/>
        <v>0</v>
      </c>
      <c r="AE571" s="92"/>
      <c r="AF571" s="93" t="str">
        <f t="shared" si="9"/>
        <v/>
      </c>
      <c r="AG571" s="26"/>
      <c r="AH571" s="26"/>
      <c r="AI571" s="26"/>
    </row>
    <row r="572">
      <c r="A572" s="94" t="s">
        <v>9090</v>
      </c>
      <c r="B572" s="3" t="s">
        <v>125</v>
      </c>
      <c r="C572" s="95" t="s">
        <v>515</v>
      </c>
      <c r="D572" s="96" t="s">
        <v>161</v>
      </c>
      <c r="E572" s="97">
        <f t="shared" si="2"/>
        <v>1</v>
      </c>
      <c r="F572" s="97">
        <f t="shared" si="3"/>
        <v>0</v>
      </c>
      <c r="G572" s="99" t="str">
        <f t="shared" si="77"/>
        <v/>
      </c>
      <c r="H572" s="100"/>
      <c r="I572" s="101"/>
      <c r="J572" s="102"/>
      <c r="K572" s="103"/>
      <c r="L572" s="97"/>
      <c r="M572" s="169"/>
      <c r="N572" s="105"/>
      <c r="O572" s="106"/>
      <c r="P572" s="13">
        <f t="array" ref="P572">XLOOKUP(B572,Weight!B:B,Weight!D:D,"#N/A",0)</f>
        <v>80</v>
      </c>
      <c r="Q572" s="17" t="str">
        <f t="shared" si="6"/>
        <v/>
      </c>
      <c r="R572" s="107"/>
      <c r="S572" s="108">
        <v>560313.0</v>
      </c>
      <c r="T572" s="108">
        <v>12.0</v>
      </c>
      <c r="U572" s="109">
        <v>55.0</v>
      </c>
      <c r="V572" s="110"/>
      <c r="X572" s="111">
        <f>SUMIFS('Transit Shipment'!$B$10:$B$1048462,'Transit Shipment'!$A$10:$A$1048462,B572,'Transit Shipment'!$C$10:$C$1048462,AA572)</f>
        <v>0</v>
      </c>
      <c r="Y572" s="111">
        <f>IF(SUMIFS(DIH!$S$2:$S833,DIH!$D$2:$D833,B572,DIH!$U$2:$U833,AA572)&gt;0,SUMIFS(DIH!$S$2:$S833,DIH!$D$2:$D833,B572,DIH!$U$2:$U833,AA572),0)</f>
        <v>0</v>
      </c>
      <c r="Z572" s="112">
        <f t="shared" si="7"/>
        <v>0</v>
      </c>
      <c r="AA572" s="113" t="s">
        <v>11</v>
      </c>
      <c r="AB572" s="114">
        <f>IF(ISNA(VLOOKUP($B572,'Business Report'!$D$2:$J$202,2,0)),"",VLOOKUP($B572,'Business Report'!$D$2:$J$202,2,0))</f>
        <v>3</v>
      </c>
      <c r="AC572" s="115">
        <f>SUMIFS(AFS!$P$2:$P$6260,AFS!$N$2:$N$6260,B572,AFS!$AT$2:$AT$6260,AA572)</f>
        <v>0</v>
      </c>
      <c r="AD572" s="116">
        <f t="shared" si="8"/>
        <v>0</v>
      </c>
      <c r="AE572" s="117"/>
      <c r="AF572" s="118" t="str">
        <f t="shared" si="9"/>
        <v/>
      </c>
      <c r="AG572" s="26"/>
      <c r="AH572" s="26"/>
      <c r="AI572" s="26"/>
    </row>
    <row r="573">
      <c r="A573" s="94" t="s">
        <v>9090</v>
      </c>
      <c r="B573" s="3" t="s">
        <v>125</v>
      </c>
      <c r="C573" s="95" t="s">
        <v>515</v>
      </c>
      <c r="D573" s="96" t="s">
        <v>161</v>
      </c>
      <c r="E573" s="97">
        <f t="shared" si="2"/>
        <v>1</v>
      </c>
      <c r="F573" s="97">
        <f t="shared" si="3"/>
        <v>0</v>
      </c>
      <c r="G573" s="99" t="str">
        <f t="shared" si="77"/>
        <v/>
      </c>
      <c r="H573" s="100"/>
      <c r="I573" s="101"/>
      <c r="J573" s="102"/>
      <c r="K573" s="103"/>
      <c r="L573" s="97"/>
      <c r="M573" s="169"/>
      <c r="N573" s="105"/>
      <c r="O573" s="106"/>
      <c r="P573" s="13">
        <f t="array" ref="P573">XLOOKUP(B573,Weight!B:B,Weight!D:D,"#N/A",0)</f>
        <v>80</v>
      </c>
      <c r="Q573" s="17" t="str">
        <f t="shared" si="6"/>
        <v/>
      </c>
      <c r="R573" s="107"/>
      <c r="S573" s="108">
        <v>560313.0</v>
      </c>
      <c r="T573" s="108">
        <v>12.0</v>
      </c>
      <c r="U573" s="109">
        <v>55.0</v>
      </c>
      <c r="V573" s="110"/>
      <c r="X573" s="111">
        <f>SUMIFS('Transit Shipment'!$B$10:$B$1048462,'Transit Shipment'!$A$10:$A$1048462,B573,'Transit Shipment'!$C$10:$C$1048462,AA573)</f>
        <v>0</v>
      </c>
      <c r="Y573" s="111">
        <f>IF(SUMIFS(DIH!$S$2:$S833,DIH!$D$2:$D833,B573,DIH!$U$2:$U833,AA573)&gt;0,SUMIFS(DIH!$S$2:$S833,DIH!$D$2:$D833,B573,DIH!$U$2:$U833,AA573),0)</f>
        <v>0</v>
      </c>
      <c r="Z573" s="112">
        <f t="shared" si="7"/>
        <v>0</v>
      </c>
      <c r="AA573" s="119" t="s">
        <v>9</v>
      </c>
      <c r="AB573" s="114">
        <f>IF(ISNA(VLOOKUP($B573,'Business Report'!$D$2:$J$202,2,0)),"",VLOOKUP($B573,'Business Report'!$D$2:$J$202,2,0))</f>
        <v>3</v>
      </c>
      <c r="AC573" s="115">
        <f>SUMIFS(AFS!$P$2:$P$6260,AFS!$N$2:$N$6260,B573,AFS!$AT$2:$AT$6260,AA573)</f>
        <v>0</v>
      </c>
      <c r="AD573" s="116">
        <f t="shared" si="8"/>
        <v>0</v>
      </c>
      <c r="AE573" s="117"/>
      <c r="AF573" s="118" t="str">
        <f t="shared" si="9"/>
        <v/>
      </c>
      <c r="AG573" s="26"/>
      <c r="AH573" s="26"/>
      <c r="AI573" s="26"/>
    </row>
    <row r="574">
      <c r="A574" s="120" t="s">
        <v>9090</v>
      </c>
      <c r="B574" s="7" t="s">
        <v>125</v>
      </c>
      <c r="C574" s="95" t="s">
        <v>515</v>
      </c>
      <c r="D574" s="109" t="s">
        <v>161</v>
      </c>
      <c r="E574" s="97">
        <f t="shared" si="2"/>
        <v>1</v>
      </c>
      <c r="F574" s="97">
        <f t="shared" si="3"/>
        <v>0</v>
      </c>
      <c r="G574" s="99" t="str">
        <f t="shared" si="77"/>
        <v/>
      </c>
      <c r="H574" s="121"/>
      <c r="I574" s="122"/>
      <c r="J574" s="123"/>
      <c r="K574" s="124"/>
      <c r="L574" s="125"/>
      <c r="M574" s="181"/>
      <c r="N574" s="126"/>
      <c r="O574" s="127"/>
      <c r="P574" s="13">
        <f t="array" ref="P574">XLOOKUP(B574,Weight!B:B,Weight!D:D,"#N/A",0)</f>
        <v>80</v>
      </c>
      <c r="Q574" s="17" t="str">
        <f t="shared" si="6"/>
        <v/>
      </c>
      <c r="R574" s="107"/>
      <c r="S574" s="108">
        <v>560313.0</v>
      </c>
      <c r="T574" s="108">
        <v>12.0</v>
      </c>
      <c r="U574" s="109">
        <v>55.0</v>
      </c>
      <c r="V574" s="110"/>
      <c r="X574" s="111">
        <f>SUMIFS('Transit Shipment'!$B$10:$B$1048462,'Transit Shipment'!$A$10:$A$1048462,B574,'Transit Shipment'!$C$10:$C$1048462,AA574)</f>
        <v>0</v>
      </c>
      <c r="Y574" s="111">
        <f>IF(SUMIFS(DIH!$S$2:$S833,DIH!$D$2:$D833,B574,DIH!$U$2:$U833,AA574)&gt;0,SUMIFS(DIH!$S$2:$S833,DIH!$D$2:$D833,B574,DIH!$U$2:$U833,AA574),0)</f>
        <v>0</v>
      </c>
      <c r="Z574" s="112">
        <f t="shared" si="7"/>
        <v>0</v>
      </c>
      <c r="AA574" s="119" t="s">
        <v>155</v>
      </c>
      <c r="AB574" s="114">
        <f>IF(ISNA(VLOOKUP($B574,'Business Report'!$D$2:$J$202,2,0)),"",VLOOKUP($B574,'Business Report'!$D$2:$J$202,2,0))</f>
        <v>3</v>
      </c>
      <c r="AC574" s="115">
        <f>SUMIFS(AFS!$P$2:$P$6260,AFS!$N$2:$N$6260,B574,AFS!$AT$2:$AT$6260,AA574)</f>
        <v>0</v>
      </c>
      <c r="AD574" s="116">
        <f t="shared" si="8"/>
        <v>0</v>
      </c>
      <c r="AE574" s="117"/>
      <c r="AF574" s="118" t="str">
        <f t="shared" si="9"/>
        <v/>
      </c>
      <c r="AG574" s="26"/>
      <c r="AH574" s="26"/>
      <c r="AI574" s="26"/>
    </row>
    <row r="575">
      <c r="A575" s="120" t="s">
        <v>9090</v>
      </c>
      <c r="B575" s="7" t="s">
        <v>125</v>
      </c>
      <c r="C575" s="95" t="s">
        <v>515</v>
      </c>
      <c r="D575" s="109" t="s">
        <v>161</v>
      </c>
      <c r="E575" s="97">
        <f t="shared" si="2"/>
        <v>1</v>
      </c>
      <c r="F575" s="97">
        <f t="shared" si="3"/>
        <v>0</v>
      </c>
      <c r="G575" s="99" t="str">
        <f t="shared" si="77"/>
        <v/>
      </c>
      <c r="H575" s="121"/>
      <c r="I575" s="122"/>
      <c r="J575" s="123"/>
      <c r="K575" s="124"/>
      <c r="L575" s="125"/>
      <c r="M575" s="181"/>
      <c r="N575" s="126"/>
      <c r="O575" s="127"/>
      <c r="P575" s="13">
        <f t="array" ref="P575">XLOOKUP(B575,Weight!B:B,Weight!D:D,"#N/A",0)</f>
        <v>80</v>
      </c>
      <c r="Q575" s="17" t="str">
        <f t="shared" si="6"/>
        <v/>
      </c>
      <c r="R575" s="107"/>
      <c r="S575" s="108">
        <v>560313.0</v>
      </c>
      <c r="T575" s="108">
        <v>12.0</v>
      </c>
      <c r="U575" s="109">
        <v>55.0</v>
      </c>
      <c r="V575" s="110"/>
      <c r="X575" s="111">
        <f>SUMIFS('Transit Shipment'!$B$10:$B$1048462,'Transit Shipment'!$A$10:$A$1048462,B575,'Transit Shipment'!$C$10:$C$1048462,AA575)</f>
        <v>0</v>
      </c>
      <c r="Y575" s="111">
        <f>IF(SUMIFS(DIH!$S$2:$S833,DIH!$D$2:$D833,B575,DIH!$U$2:$U833,AA575)&gt;0,SUMIFS(DIH!$S$2:$S833,DIH!$D$2:$D833,B575,DIH!$U$2:$U833,AA575),0)</f>
        <v>0</v>
      </c>
      <c r="Z575" s="112">
        <f t="shared" si="7"/>
        <v>0</v>
      </c>
      <c r="AA575" s="119" t="s">
        <v>156</v>
      </c>
      <c r="AB575" s="114">
        <f>IF(ISNA(VLOOKUP($B575,'Business Report'!$D$2:$J$202,2,0)),"",VLOOKUP($B575,'Business Report'!$D$2:$J$202,2,0))</f>
        <v>3</v>
      </c>
      <c r="AC575" s="115">
        <f>SUMIFS(AFS!$P$2:$P$6260,AFS!$N$2:$N$6260,B575,AFS!$AT$2:$AT$6260,AA575)</f>
        <v>0</v>
      </c>
      <c r="AD575" s="116">
        <f t="shared" si="8"/>
        <v>0</v>
      </c>
      <c r="AE575" s="117"/>
      <c r="AF575" s="118" t="str">
        <f t="shared" si="9"/>
        <v/>
      </c>
      <c r="AG575" s="26"/>
      <c r="AH575" s="26"/>
      <c r="AI575" s="26"/>
    </row>
    <row r="576">
      <c r="A576" s="120" t="s">
        <v>9090</v>
      </c>
      <c r="B576" s="7" t="s">
        <v>125</v>
      </c>
      <c r="C576" s="95" t="s">
        <v>515</v>
      </c>
      <c r="D576" s="109" t="s">
        <v>161</v>
      </c>
      <c r="E576" s="97">
        <f t="shared" si="2"/>
        <v>1</v>
      </c>
      <c r="F576" s="97">
        <f t="shared" si="3"/>
        <v>0</v>
      </c>
      <c r="G576" s="99" t="str">
        <f t="shared" si="77"/>
        <v/>
      </c>
      <c r="H576" s="121"/>
      <c r="I576" s="122"/>
      <c r="J576" s="123"/>
      <c r="K576" s="124"/>
      <c r="L576" s="125"/>
      <c r="M576" s="181"/>
      <c r="N576" s="126"/>
      <c r="O576" s="127"/>
      <c r="P576" s="13">
        <f t="array" ref="P576">XLOOKUP(B576,Weight!B:B,Weight!D:D,"#N/A",0)</f>
        <v>80</v>
      </c>
      <c r="Q576" s="17" t="str">
        <f t="shared" si="6"/>
        <v/>
      </c>
      <c r="R576" s="107"/>
      <c r="S576" s="108">
        <v>560313.0</v>
      </c>
      <c r="T576" s="108">
        <v>12.0</v>
      </c>
      <c r="U576" s="109">
        <v>55.0</v>
      </c>
      <c r="V576" s="110"/>
      <c r="X576" s="111">
        <f>SUMIFS('Transit Shipment'!$B$10:$B$1048462,'Transit Shipment'!$A$10:$A$1048462,B576,'Transit Shipment'!$C$10:$C$1048462,AA576)</f>
        <v>0</v>
      </c>
      <c r="Y576" s="111">
        <f>IF(SUMIFS(DIH!$S$2:$S833,DIH!$D$2:$D833,B576,DIH!$U$2:$U833,AA576)&gt;0,SUMIFS(DIH!$S$2:$S833,DIH!$D$2:$D833,B576,DIH!$U$2:$U833,AA576),0)</f>
        <v>0</v>
      </c>
      <c r="Z576" s="112">
        <f t="shared" si="7"/>
        <v>0</v>
      </c>
      <c r="AA576" s="130" t="s">
        <v>13</v>
      </c>
      <c r="AB576" s="114">
        <f>IF(ISNA(VLOOKUP($B576,'Business Report'!$D$2:$J$202,2,0)),"",VLOOKUP($B576,'Business Report'!$D$2:$J$202,2,0))</f>
        <v>3</v>
      </c>
      <c r="AC576" s="115">
        <f>SUMIFS(AFS!$P$2:$P$6260,AFS!$N$2:$N$6260,B576,AFS!$AT$2:$AT$6260,AA576)</f>
        <v>0</v>
      </c>
      <c r="AD576" s="116">
        <f t="shared" si="8"/>
        <v>0</v>
      </c>
      <c r="AE576" s="117"/>
      <c r="AF576" s="118" t="str">
        <f t="shared" si="9"/>
        <v/>
      </c>
      <c r="AG576" s="322"/>
      <c r="AH576" s="26"/>
      <c r="AI576" s="26"/>
    </row>
    <row r="577">
      <c r="A577" s="120" t="s">
        <v>9090</v>
      </c>
      <c r="B577" s="7" t="s">
        <v>125</v>
      </c>
      <c r="C577" s="95" t="s">
        <v>515</v>
      </c>
      <c r="D577" s="109" t="s">
        <v>161</v>
      </c>
      <c r="E577" s="97">
        <f t="shared" si="2"/>
        <v>1</v>
      </c>
      <c r="F577" s="97">
        <f t="shared" si="3"/>
        <v>0</v>
      </c>
      <c r="G577" s="99">
        <f t="shared" si="77"/>
        <v>2</v>
      </c>
      <c r="H577" s="121"/>
      <c r="I577" s="122"/>
      <c r="J577" s="123"/>
      <c r="K577" s="124"/>
      <c r="L577" s="125"/>
      <c r="M577" s="181"/>
      <c r="N577" s="126"/>
      <c r="O577" s="127"/>
      <c r="P577" s="13">
        <f t="array" ref="P577">XLOOKUP(B577,Weight!B:B,Weight!D:D,"#N/A",0)</f>
        <v>80</v>
      </c>
      <c r="Q577" s="17">
        <f t="shared" si="6"/>
        <v>160</v>
      </c>
      <c r="R577" s="107"/>
      <c r="S577" s="108">
        <v>560313.0</v>
      </c>
      <c r="T577" s="108">
        <v>12.0</v>
      </c>
      <c r="U577" s="109">
        <v>55.0</v>
      </c>
      <c r="V577" s="110"/>
      <c r="X577" s="111">
        <f>SUMIFS('Transit Shipment'!$B$10:$B$1048462,'Transit Shipment'!$A$10:$A$1048462,B577,'Transit Shipment'!$C$10:$C$1048462,AA577)</f>
        <v>0</v>
      </c>
      <c r="Y577" s="111">
        <f>IF(SUMIFS(DIH!$S$2:$S833,DIH!$D$2:$D833,B577,DIH!$U$2:$U833,AA577)&gt;0,SUMIFS(DIH!$S$2:$S833,DIH!$D$2:$D833,B577,DIH!$U$2:$U833,AA577),0)</f>
        <v>0</v>
      </c>
      <c r="Z577" s="112">
        <f t="shared" si="7"/>
        <v>0</v>
      </c>
      <c r="AA577" s="119" t="s">
        <v>14</v>
      </c>
      <c r="AB577" s="114">
        <f>IF(ISNA(VLOOKUP($B577,'Business Report'!$D$2:$J$202,2,0)),"",VLOOKUP($B577,'Business Report'!$D$2:$J$202,2,0))</f>
        <v>3</v>
      </c>
      <c r="AC577" s="115">
        <f>SUMIFS(AFS!$P$2:$P$6260,AFS!$N$2:$N$6260,B577,AFS!$AT$2:$AT$6260,AA577)</f>
        <v>1</v>
      </c>
      <c r="AD577" s="116">
        <f t="shared" si="8"/>
        <v>2</v>
      </c>
      <c r="AE577" s="117"/>
      <c r="AF577" s="118">
        <f t="shared" si="9"/>
        <v>2</v>
      </c>
      <c r="AG577" s="26"/>
      <c r="AH577" s="26"/>
      <c r="AI577" s="26"/>
    </row>
    <row r="578">
      <c r="A578" s="120" t="s">
        <v>9090</v>
      </c>
      <c r="B578" s="7" t="s">
        <v>125</v>
      </c>
      <c r="C578" s="95" t="s">
        <v>515</v>
      </c>
      <c r="D578" s="109" t="s">
        <v>161</v>
      </c>
      <c r="E578" s="97">
        <f t="shared" si="2"/>
        <v>1</v>
      </c>
      <c r="F578" s="97">
        <f t="shared" si="3"/>
        <v>0</v>
      </c>
      <c r="G578" s="99" t="str">
        <f t="shared" si="77"/>
        <v/>
      </c>
      <c r="H578" s="121"/>
      <c r="I578" s="122"/>
      <c r="J578" s="123"/>
      <c r="K578" s="124"/>
      <c r="L578" s="125"/>
      <c r="M578" s="181"/>
      <c r="N578" s="126"/>
      <c r="O578" s="127"/>
      <c r="P578" s="13">
        <f t="array" ref="P578">XLOOKUP(B578,Weight!B:B,Weight!D:D,"#N/A",0)</f>
        <v>80</v>
      </c>
      <c r="Q578" s="17" t="str">
        <f t="shared" si="6"/>
        <v/>
      </c>
      <c r="R578" s="107"/>
      <c r="S578" s="108">
        <v>560313.0</v>
      </c>
      <c r="T578" s="108">
        <v>12.0</v>
      </c>
      <c r="U578" s="109">
        <v>55.0</v>
      </c>
      <c r="V578" s="110"/>
      <c r="X578" s="111">
        <f>SUMIFS('Transit Shipment'!$B$10:$B$1048462,'Transit Shipment'!$A$10:$A$1048462,B578,'Transit Shipment'!$C$10:$C$1048462,AA578)</f>
        <v>0</v>
      </c>
      <c r="Y578" s="111">
        <f>IF(SUMIFS(DIH!$S$2:$S833,DIH!$D$2:$D833,B578,DIH!$U$2:$U833,AA578)&gt;0,SUMIFS(DIH!$S$2:$S833,DIH!$D$2:$D833,B578,DIH!$U$2:$U833,AA578),0)</f>
        <v>0</v>
      </c>
      <c r="Z578" s="112">
        <f t="shared" si="7"/>
        <v>0</v>
      </c>
      <c r="AA578" s="131" t="s">
        <v>16</v>
      </c>
      <c r="AB578" s="114">
        <f>IF(ISNA(VLOOKUP($B578,'Business Report'!$D$2:$J$202,2,0)),"",VLOOKUP($B578,'Business Report'!$D$2:$J$202,2,0))</f>
        <v>3</v>
      </c>
      <c r="AC578" s="115">
        <f>SUMIFS(AFS!$P$2:$P$6260,AFS!$N$2:$N$6260,B578,AFS!$AT$2:$AT$6260,AA578)</f>
        <v>0</v>
      </c>
      <c r="AD578" s="116">
        <f t="shared" si="8"/>
        <v>0</v>
      </c>
      <c r="AE578" s="117"/>
      <c r="AF578" s="118" t="str">
        <f t="shared" si="9"/>
        <v/>
      </c>
      <c r="AG578" s="26"/>
      <c r="AH578" s="26"/>
      <c r="AI578" s="26"/>
    </row>
    <row r="579">
      <c r="A579" s="132" t="s">
        <v>9090</v>
      </c>
      <c r="B579" s="15" t="s">
        <v>125</v>
      </c>
      <c r="C579" s="133" t="s">
        <v>515</v>
      </c>
      <c r="D579" s="134" t="s">
        <v>161</v>
      </c>
      <c r="E579" s="135">
        <f t="shared" si="2"/>
        <v>1</v>
      </c>
      <c r="F579" s="135">
        <f t="shared" si="3"/>
        <v>0</v>
      </c>
      <c r="G579" s="136" t="str">
        <f t="shared" si="77"/>
        <v/>
      </c>
      <c r="H579" s="137"/>
      <c r="I579" s="138"/>
      <c r="J579" s="139"/>
      <c r="K579" s="140"/>
      <c r="L579" s="135"/>
      <c r="M579" s="152"/>
      <c r="N579" s="142"/>
      <c r="O579" s="143"/>
      <c r="P579" s="144">
        <f t="array" ref="P579">XLOOKUP(B579,Weight!B:B,Weight!D:D,"#N/A",0)</f>
        <v>80</v>
      </c>
      <c r="Q579" s="145" t="str">
        <f t="shared" si="6"/>
        <v/>
      </c>
      <c r="R579" s="146"/>
      <c r="S579" s="147">
        <v>560313.0</v>
      </c>
      <c r="T579" s="147">
        <v>12.0</v>
      </c>
      <c r="U579" s="109">
        <v>55.0</v>
      </c>
      <c r="V579" s="148"/>
      <c r="W579" s="149"/>
      <c r="X579" s="150">
        <f>SUMIFS('Transit Shipment'!$B$10:$B$1048462,'Transit Shipment'!$A$10:$A$1048462,B579,'Transit Shipment'!$C$10:$C$1048462,AA579)</f>
        <v>0</v>
      </c>
      <c r="Y579" s="150">
        <f>IF(SUMIFS(DIH!$S$2:$S833,DIH!$D$2:$D833,B579,DIH!$U$2:$U833,AA579)&gt;0,SUMIFS(DIH!$S$2:$S833,DIH!$D$2:$D833,B579,DIH!$U$2:$U833,AA579),0)</f>
        <v>0</v>
      </c>
      <c r="Z579" s="151">
        <f t="shared" si="7"/>
        <v>0</v>
      </c>
      <c r="AA579" s="152" t="s">
        <v>17</v>
      </c>
      <c r="AB579" s="154">
        <f>IF(ISNA(VLOOKUP($B579,'Business Report'!$D$2:$J$202,2,0)),"",VLOOKUP($B579,'Business Report'!$D$2:$J$202,2,0))</f>
        <v>3</v>
      </c>
      <c r="AC579" s="155">
        <f>SUMIFS(AFS!$P$2:$P$6260,AFS!$N$2:$N$6260,B579,AFS!$AT$2:$AT$6260,AA579)</f>
        <v>0</v>
      </c>
      <c r="AD579" s="156">
        <f t="shared" si="8"/>
        <v>0</v>
      </c>
      <c r="AE579" s="159">
        <f>SUM(AD571:AD579)</f>
        <v>2</v>
      </c>
      <c r="AF579" s="118" t="str">
        <f t="shared" si="9"/>
        <v/>
      </c>
      <c r="AG579" s="26"/>
      <c r="AH579" s="26"/>
      <c r="AI579" s="26"/>
    </row>
    <row r="580">
      <c r="A580" s="66" t="s">
        <v>9216</v>
      </c>
      <c r="B580" s="1" t="s">
        <v>126</v>
      </c>
      <c r="C580" s="95" t="s">
        <v>407</v>
      </c>
      <c r="D580" s="68" t="s">
        <v>162</v>
      </c>
      <c r="E580" s="69">
        <f t="shared" si="2"/>
        <v>1</v>
      </c>
      <c r="F580" s="69">
        <f t="shared" si="3"/>
        <v>0</v>
      </c>
      <c r="G580" s="70">
        <f t="shared" si="77"/>
        <v>2</v>
      </c>
      <c r="H580" s="163"/>
      <c r="I580" s="101"/>
      <c r="J580" s="102"/>
      <c r="K580" s="167"/>
      <c r="L580" s="119"/>
      <c r="M580" s="169"/>
      <c r="N580" s="171"/>
      <c r="O580" s="106"/>
      <c r="P580" s="79">
        <f t="array" ref="P580">XLOOKUP(B580,Weight!B:B,Weight!D:D,"#N/A",0)</f>
        <v>88</v>
      </c>
      <c r="Q580" s="80">
        <f t="shared" si="6"/>
        <v>176</v>
      </c>
      <c r="R580" s="107"/>
      <c r="S580" s="108">
        <v>560313.0</v>
      </c>
      <c r="T580" s="108">
        <v>12.0</v>
      </c>
      <c r="U580" s="83">
        <v>40.0</v>
      </c>
      <c r="V580" s="84" t="str">
        <f t="shared" ref="V580:W580" si="97">B580</f>
        <v>CRM-HP-529-Black</v>
      </c>
      <c r="W580" s="174" t="str">
        <f t="shared" si="97"/>
        <v>Crasome Dust &amp; Water Proof Printer Cover for HP Smart Tank All-in-One 529 / 589 (Black)</v>
      </c>
      <c r="X580" s="86">
        <f>SUMIFS('Transit Shipment'!$B$10:$B$1048462,'Transit Shipment'!$A$10:$A$1048462,B580,'Transit Shipment'!$C$10:$C$1048462,AA580)</f>
        <v>0</v>
      </c>
      <c r="Y580" s="86">
        <f>IF(SUMIFS(DIH!$S$2:$S833,DIH!$D$2:$D833,B580,DIH!$U$2:$U833,AA580)&gt;0,SUMIFS(DIH!$S$2:$S833,DIH!$D$2:$D833,B580,DIH!$U$2:$U833,AA580),0)</f>
        <v>1</v>
      </c>
      <c r="Z580" s="87">
        <f t="shared" si="7"/>
        <v>1</v>
      </c>
      <c r="AA580" s="88" t="s">
        <v>5</v>
      </c>
      <c r="AB580" s="89">
        <f>IF(ISNA(VLOOKUP($B580,'Business Report'!$D$2:$J$202,2,0)),"",VLOOKUP($B580,'Business Report'!$D$2:$J$202,2,0))</f>
        <v>10</v>
      </c>
      <c r="AC580" s="90">
        <f>SUMIFS(AFS!$P$2:$P$6260,AFS!$N$2:$N$6260,B580,AFS!$AT$2:$AT$6260,AA580)</f>
        <v>2</v>
      </c>
      <c r="AD580" s="91">
        <f t="shared" si="8"/>
        <v>2</v>
      </c>
      <c r="AE580" s="92"/>
      <c r="AF580" s="93">
        <f t="shared" si="9"/>
        <v>2</v>
      </c>
      <c r="AG580" s="26"/>
      <c r="AH580" s="26"/>
      <c r="AI580" s="26"/>
    </row>
    <row r="581">
      <c r="A581" s="94" t="s">
        <v>9216</v>
      </c>
      <c r="B581" s="3" t="s">
        <v>126</v>
      </c>
      <c r="C581" s="95" t="s">
        <v>407</v>
      </c>
      <c r="D581" s="96" t="s">
        <v>162</v>
      </c>
      <c r="E581" s="97">
        <f t="shared" si="2"/>
        <v>2</v>
      </c>
      <c r="F581" s="97">
        <f t="shared" si="3"/>
        <v>0</v>
      </c>
      <c r="G581" s="99">
        <f t="shared" si="77"/>
        <v>4</v>
      </c>
      <c r="H581" s="100"/>
      <c r="I581" s="101"/>
      <c r="J581" s="102"/>
      <c r="K581" s="103"/>
      <c r="L581" s="97"/>
      <c r="M581" s="169"/>
      <c r="N581" s="105"/>
      <c r="O581" s="106"/>
      <c r="P581" s="13">
        <f t="array" ref="P581">XLOOKUP(B581,Weight!B:B,Weight!D:D,"#N/A",0)</f>
        <v>88</v>
      </c>
      <c r="Q581" s="17">
        <f t="shared" si="6"/>
        <v>352</v>
      </c>
      <c r="R581" s="107"/>
      <c r="S581" s="108">
        <v>560313.0</v>
      </c>
      <c r="T581" s="108">
        <v>12.0</v>
      </c>
      <c r="U581" s="109">
        <v>40.0</v>
      </c>
      <c r="V581" s="110"/>
      <c r="X581" s="111">
        <f>SUMIFS('Transit Shipment'!$B$10:$B$1048462,'Transit Shipment'!$A$10:$A$1048462,B581,'Transit Shipment'!$C$10:$C$1048462,AA581)</f>
        <v>0</v>
      </c>
      <c r="Y581" s="111">
        <f>IF(SUMIFS(DIH!$S$2:$S833,DIH!$D$2:$D833,B581,DIH!$U$2:$U833,AA581)&gt;0,SUMIFS(DIH!$S$2:$S833,DIH!$D$2:$D833,B581,DIH!$U$2:$U833,AA581),0)</f>
        <v>2</v>
      </c>
      <c r="Z581" s="112">
        <f t="shared" si="7"/>
        <v>2</v>
      </c>
      <c r="AA581" s="113" t="s">
        <v>11</v>
      </c>
      <c r="AB581" s="114">
        <f>IF(ISNA(VLOOKUP($B581,'Business Report'!$D$2:$J$202,2,0)),"",VLOOKUP($B581,'Business Report'!$D$2:$J$202,2,0))</f>
        <v>10</v>
      </c>
      <c r="AC581" s="115">
        <f>SUMIFS(AFS!$P$2:$P$6260,AFS!$N$2:$N$6260,B581,AFS!$AT$2:$AT$6260,AA581)</f>
        <v>4</v>
      </c>
      <c r="AD581" s="116">
        <f t="shared" si="8"/>
        <v>4</v>
      </c>
      <c r="AE581" s="117"/>
      <c r="AF581" s="118">
        <f t="shared" si="9"/>
        <v>4</v>
      </c>
      <c r="AG581" s="26"/>
      <c r="AH581" s="26"/>
      <c r="AI581" s="26"/>
    </row>
    <row r="582">
      <c r="A582" s="94" t="s">
        <v>9216</v>
      </c>
      <c r="B582" s="3" t="s">
        <v>126</v>
      </c>
      <c r="C582" s="95" t="s">
        <v>407</v>
      </c>
      <c r="D582" s="96" t="s">
        <v>162</v>
      </c>
      <c r="E582" s="97">
        <f t="shared" si="2"/>
        <v>5</v>
      </c>
      <c r="F582" s="97">
        <f t="shared" si="3"/>
        <v>0.5</v>
      </c>
      <c r="G582" s="99">
        <f t="shared" si="77"/>
        <v>12</v>
      </c>
      <c r="H582" s="100"/>
      <c r="I582" s="101"/>
      <c r="J582" s="102"/>
      <c r="K582" s="103"/>
      <c r="L582" s="97"/>
      <c r="M582" s="169"/>
      <c r="N582" s="105"/>
      <c r="O582" s="106"/>
      <c r="P582" s="13">
        <f t="array" ref="P582">XLOOKUP(B582,Weight!B:B,Weight!D:D,"#N/A",0)</f>
        <v>88</v>
      </c>
      <c r="Q582" s="17">
        <f t="shared" si="6"/>
        <v>1056</v>
      </c>
      <c r="R582" s="107"/>
      <c r="S582" s="108">
        <v>560313.0</v>
      </c>
      <c r="T582" s="108">
        <v>12.0</v>
      </c>
      <c r="U582" s="109">
        <v>40.0</v>
      </c>
      <c r="V582" s="110"/>
      <c r="X582" s="111">
        <f>SUMIFS('Transit Shipment'!$B$10:$B$1048462,'Transit Shipment'!$A$10:$A$1048462,B582,'Transit Shipment'!$C$10:$C$1048462,AA582)</f>
        <v>0</v>
      </c>
      <c r="Y582" s="111">
        <f>IF(SUMIFS(DIH!$S$2:$S833,DIH!$D$2:$D833,B582,DIH!$U$2:$U833,AA582)&gt;0,SUMIFS(DIH!$S$2:$S833,DIH!$D$2:$D833,B582,DIH!$U$2:$U833,AA582),0)</f>
        <v>0</v>
      </c>
      <c r="Z582" s="112">
        <f t="shared" si="7"/>
        <v>0</v>
      </c>
      <c r="AA582" s="119" t="s">
        <v>9</v>
      </c>
      <c r="AB582" s="114">
        <f>IF(ISNA(VLOOKUP($B582,'Business Report'!$D$2:$J$202,2,0)),"",VLOOKUP($B582,'Business Report'!$D$2:$J$202,2,0))</f>
        <v>10</v>
      </c>
      <c r="AC582" s="115">
        <f>SUMIFS(AFS!$P$2:$P$6260,AFS!$N$2:$N$6260,B582,AFS!$AT$2:$AT$6260,AA582)</f>
        <v>8</v>
      </c>
      <c r="AD582" s="116">
        <f t="shared" si="8"/>
        <v>11</v>
      </c>
      <c r="AE582" s="117"/>
      <c r="AF582" s="118">
        <f t="shared" si="9"/>
        <v>12</v>
      </c>
      <c r="AG582" s="26"/>
      <c r="AH582" s="26"/>
      <c r="AI582" s="26"/>
    </row>
    <row r="583">
      <c r="A583" s="120" t="s">
        <v>9216</v>
      </c>
      <c r="B583" s="7" t="s">
        <v>126</v>
      </c>
      <c r="C583" s="95" t="s">
        <v>407</v>
      </c>
      <c r="D583" s="109" t="s">
        <v>162</v>
      </c>
      <c r="E583" s="97">
        <f t="shared" si="2"/>
        <v>1</v>
      </c>
      <c r="F583" s="97">
        <f t="shared" si="3"/>
        <v>0</v>
      </c>
      <c r="G583" s="99">
        <f t="shared" si="77"/>
        <v>2</v>
      </c>
      <c r="H583" s="121"/>
      <c r="I583" s="122"/>
      <c r="J583" s="123"/>
      <c r="K583" s="124"/>
      <c r="L583" s="125"/>
      <c r="M583" s="181"/>
      <c r="N583" s="126"/>
      <c r="O583" s="127"/>
      <c r="P583" s="13">
        <f t="array" ref="P583">XLOOKUP(B583,Weight!B:B,Weight!D:D,"#N/A",0)</f>
        <v>88</v>
      </c>
      <c r="Q583" s="17">
        <f t="shared" si="6"/>
        <v>176</v>
      </c>
      <c r="R583" s="107"/>
      <c r="S583" s="108">
        <v>560313.0</v>
      </c>
      <c r="T583" s="108">
        <v>12.0</v>
      </c>
      <c r="U583" s="109">
        <v>40.0</v>
      </c>
      <c r="V583" s="110"/>
      <c r="X583" s="111">
        <f>SUMIFS('Transit Shipment'!$B$10:$B$1048462,'Transit Shipment'!$A$10:$A$1048462,B583,'Transit Shipment'!$C$10:$C$1048462,AA583)</f>
        <v>0</v>
      </c>
      <c r="Y583" s="111">
        <f>IF(SUMIFS(DIH!$S$2:$S833,DIH!$D$2:$D833,B583,DIH!$U$2:$U833,AA583)&gt;0,SUMIFS(DIH!$S$2:$S833,DIH!$D$2:$D833,B583,DIH!$U$2:$U833,AA583),0)</f>
        <v>1</v>
      </c>
      <c r="Z583" s="112">
        <f t="shared" si="7"/>
        <v>1</v>
      </c>
      <c r="AA583" s="119" t="s">
        <v>155</v>
      </c>
      <c r="AB583" s="114">
        <f>IF(ISNA(VLOOKUP($B583,'Business Report'!$D$2:$J$202,2,0)),"",VLOOKUP($B583,'Business Report'!$D$2:$J$202,2,0))</f>
        <v>10</v>
      </c>
      <c r="AC583" s="115">
        <f>SUMIFS(AFS!$P$2:$P$6260,AFS!$N$2:$N$6260,B583,AFS!$AT$2:$AT$6260,AA583)</f>
        <v>2</v>
      </c>
      <c r="AD583" s="116">
        <f t="shared" si="8"/>
        <v>2</v>
      </c>
      <c r="AE583" s="117"/>
      <c r="AF583" s="118">
        <f t="shared" si="9"/>
        <v>2</v>
      </c>
      <c r="AG583" s="26"/>
      <c r="AH583" s="26"/>
      <c r="AI583" s="26"/>
    </row>
    <row r="584">
      <c r="A584" s="120" t="s">
        <v>9216</v>
      </c>
      <c r="B584" s="7" t="s">
        <v>126</v>
      </c>
      <c r="C584" s="95" t="s">
        <v>407</v>
      </c>
      <c r="D584" s="109" t="s">
        <v>162</v>
      </c>
      <c r="E584" s="97">
        <f t="shared" si="2"/>
        <v>1</v>
      </c>
      <c r="F584" s="97">
        <f t="shared" si="3"/>
        <v>0</v>
      </c>
      <c r="G584" s="99" t="str">
        <f t="shared" si="77"/>
        <v/>
      </c>
      <c r="H584" s="121"/>
      <c r="I584" s="122"/>
      <c r="J584" s="123"/>
      <c r="K584" s="124"/>
      <c r="L584" s="125"/>
      <c r="M584" s="181"/>
      <c r="N584" s="126"/>
      <c r="O584" s="127"/>
      <c r="P584" s="13">
        <f t="array" ref="P584">XLOOKUP(B584,Weight!B:B,Weight!D:D,"#N/A",0)</f>
        <v>88</v>
      </c>
      <c r="Q584" s="17" t="str">
        <f t="shared" si="6"/>
        <v/>
      </c>
      <c r="R584" s="107"/>
      <c r="S584" s="108">
        <v>560313.0</v>
      </c>
      <c r="T584" s="108">
        <v>12.0</v>
      </c>
      <c r="U584" s="109">
        <v>40.0</v>
      </c>
      <c r="V584" s="110"/>
      <c r="X584" s="111">
        <f>SUMIFS('Transit Shipment'!$B$10:$B$1048462,'Transit Shipment'!$A$10:$A$1048462,B584,'Transit Shipment'!$C$10:$C$1048462,AA584)</f>
        <v>0</v>
      </c>
      <c r="Y584" s="111">
        <f>IF(SUMIFS(DIH!$S$2:$S833,DIH!$D$2:$D833,B584,DIH!$U$2:$U833,AA584)&gt;0,SUMIFS(DIH!$S$2:$S833,DIH!$D$2:$D833,B584,DIH!$U$2:$U833,AA584),0)</f>
        <v>6</v>
      </c>
      <c r="Z584" s="112">
        <f t="shared" si="7"/>
        <v>6</v>
      </c>
      <c r="AA584" s="119" t="s">
        <v>156</v>
      </c>
      <c r="AB584" s="114">
        <f>IF(ISNA(VLOOKUP($B584,'Business Report'!$D$2:$J$202,2,0)),"",VLOOKUP($B584,'Business Report'!$D$2:$J$202,2,0))</f>
        <v>10</v>
      </c>
      <c r="AC584" s="115">
        <f>SUMIFS(AFS!$P$2:$P$6260,AFS!$N$2:$N$6260,B584,AFS!$AT$2:$AT$6260,AA584)</f>
        <v>4</v>
      </c>
      <c r="AD584" s="116">
        <f t="shared" si="8"/>
        <v>0</v>
      </c>
      <c r="AE584" s="117"/>
      <c r="AF584" s="118" t="str">
        <f t="shared" si="9"/>
        <v/>
      </c>
      <c r="AG584" s="26"/>
      <c r="AH584" s="26"/>
      <c r="AI584" s="26"/>
    </row>
    <row r="585">
      <c r="A585" s="120" t="s">
        <v>9216</v>
      </c>
      <c r="B585" s="7" t="s">
        <v>126</v>
      </c>
      <c r="C585" s="95" t="s">
        <v>407</v>
      </c>
      <c r="D585" s="109" t="s">
        <v>162</v>
      </c>
      <c r="E585" s="97">
        <f t="shared" si="2"/>
        <v>0</v>
      </c>
      <c r="F585" s="97">
        <f t="shared" si="3"/>
        <v>0.5</v>
      </c>
      <c r="G585" s="99">
        <f t="shared" si="77"/>
        <v>2</v>
      </c>
      <c r="H585" s="121"/>
      <c r="I585" s="122"/>
      <c r="J585" s="123"/>
      <c r="K585" s="124"/>
      <c r="L585" s="125"/>
      <c r="M585" s="181"/>
      <c r="N585" s="126"/>
      <c r="O585" s="127"/>
      <c r="P585" s="13">
        <f t="array" ref="P585">XLOOKUP(B585,Weight!B:B,Weight!D:D,"#N/A",0)</f>
        <v>88</v>
      </c>
      <c r="Q585" s="17">
        <f t="shared" si="6"/>
        <v>176</v>
      </c>
      <c r="R585" s="107"/>
      <c r="S585" s="108">
        <v>560313.0</v>
      </c>
      <c r="T585" s="108">
        <v>12.0</v>
      </c>
      <c r="U585" s="109">
        <v>40.0</v>
      </c>
      <c r="V585" s="110"/>
      <c r="X585" s="111">
        <f>SUMIFS('Transit Shipment'!$B$10:$B$1048462,'Transit Shipment'!$A$10:$A$1048462,B585,'Transit Shipment'!$C$10:$C$1048462,AA585)</f>
        <v>0</v>
      </c>
      <c r="Y585" s="111">
        <f>IF(SUMIFS(DIH!$S$2:$S833,DIH!$D$2:$D833,B585,DIH!$U$2:$U833,AA585)&gt;0,SUMIFS(DIH!$S$2:$S833,DIH!$D$2:$D833,B585,DIH!$U$2:$U833,AA585),0)</f>
        <v>1</v>
      </c>
      <c r="Z585" s="112">
        <f t="shared" si="7"/>
        <v>1</v>
      </c>
      <c r="AA585" s="130" t="s">
        <v>13</v>
      </c>
      <c r="AB585" s="114">
        <f>IF(ISNA(VLOOKUP($B585,'Business Report'!$D$2:$J$202,2,0)),"",VLOOKUP($B585,'Business Report'!$D$2:$J$202,2,0))</f>
        <v>10</v>
      </c>
      <c r="AC585" s="115">
        <f>SUMIFS(AFS!$P$2:$P$6260,AFS!$N$2:$N$6260,B585,AFS!$AT$2:$AT$6260,AA585)</f>
        <v>1</v>
      </c>
      <c r="AD585" s="116">
        <f t="shared" si="8"/>
        <v>1</v>
      </c>
      <c r="AE585" s="117"/>
      <c r="AF585" s="118">
        <f t="shared" si="9"/>
        <v>2</v>
      </c>
      <c r="AG585" s="26"/>
      <c r="AH585" s="26"/>
      <c r="AI585" s="26"/>
    </row>
    <row r="586">
      <c r="A586" s="120" t="s">
        <v>9216</v>
      </c>
      <c r="B586" s="7" t="s">
        <v>126</v>
      </c>
      <c r="C586" s="95" t="s">
        <v>407</v>
      </c>
      <c r="D586" s="109" t="s">
        <v>162</v>
      </c>
      <c r="E586" s="97" t="str">
        <f t="shared" si="2"/>
        <v/>
      </c>
      <c r="F586" s="97" t="str">
        <f t="shared" si="3"/>
        <v/>
      </c>
      <c r="G586" s="99" t="str">
        <f t="shared" si="77"/>
        <v/>
      </c>
      <c r="H586" s="121"/>
      <c r="I586" s="122"/>
      <c r="J586" s="123"/>
      <c r="K586" s="124"/>
      <c r="L586" s="125"/>
      <c r="M586" s="181"/>
      <c r="N586" s="126"/>
      <c r="O586" s="127"/>
      <c r="P586" s="13">
        <f t="array" ref="P586">XLOOKUP(B586,Weight!B:B,Weight!D:D,"#N/A",0)</f>
        <v>88</v>
      </c>
      <c r="Q586" s="17" t="str">
        <f t="shared" si="6"/>
        <v/>
      </c>
      <c r="R586" s="107"/>
      <c r="S586" s="108">
        <v>560313.0</v>
      </c>
      <c r="T586" s="108">
        <v>12.0</v>
      </c>
      <c r="U586" s="109">
        <v>40.0</v>
      </c>
      <c r="V586" s="110"/>
      <c r="X586" s="111">
        <f>SUMIFS('Transit Shipment'!$B$10:$B$1048462,'Transit Shipment'!$A$10:$A$1048462,B586,'Transit Shipment'!$C$10:$C$1048462,AA586)</f>
        <v>0</v>
      </c>
      <c r="Y586" s="111">
        <f>IF(SUMIFS(DIH!$S$2:$S833,DIH!$D$2:$D833,B586,DIH!$U$2:$U833,AA586)&gt;0,SUMIFS(DIH!$S$2:$S833,DIH!$D$2:$D833,B586,DIH!$U$2:$U833,AA586),0)</f>
        <v>8</v>
      </c>
      <c r="Z586" s="112">
        <f t="shared" si="7"/>
        <v>8</v>
      </c>
      <c r="AA586" s="119" t="s">
        <v>14</v>
      </c>
      <c r="AB586" s="114">
        <f>IF(ISNA(VLOOKUP($B586,'Business Report'!$D$2:$J$202,2,0)),"",VLOOKUP($B586,'Business Report'!$D$2:$J$202,2,0))</f>
        <v>10</v>
      </c>
      <c r="AC586" s="115">
        <f>SUMIFS(AFS!$P$2:$P$6260,AFS!$N$2:$N$6260,B586,AFS!$AT$2:$AT$6260,AA586)</f>
        <v>5</v>
      </c>
      <c r="AD586" s="116">
        <f t="shared" si="8"/>
        <v>-1</v>
      </c>
      <c r="AE586" s="117"/>
      <c r="AF586" s="118" t="str">
        <f t="shared" si="9"/>
        <v/>
      </c>
      <c r="AG586" s="26"/>
      <c r="AH586" s="26"/>
      <c r="AI586" s="26"/>
    </row>
    <row r="587">
      <c r="A587" s="120" t="s">
        <v>9216</v>
      </c>
      <c r="B587" s="7" t="s">
        <v>126</v>
      </c>
      <c r="C587" s="95" t="s">
        <v>407</v>
      </c>
      <c r="D587" s="109" t="s">
        <v>162</v>
      </c>
      <c r="E587" s="97">
        <f t="shared" si="2"/>
        <v>1</v>
      </c>
      <c r="F587" s="97">
        <f t="shared" si="3"/>
        <v>0.5</v>
      </c>
      <c r="G587" s="99">
        <f t="shared" si="77"/>
        <v>4</v>
      </c>
      <c r="H587" s="121"/>
      <c r="I587" s="122"/>
      <c r="J587" s="123"/>
      <c r="K587" s="124"/>
      <c r="L587" s="125"/>
      <c r="M587" s="181"/>
      <c r="N587" s="126"/>
      <c r="O587" s="127"/>
      <c r="P587" s="13">
        <f t="array" ref="P587">XLOOKUP(B587,Weight!B:B,Weight!D:D,"#N/A",0)</f>
        <v>88</v>
      </c>
      <c r="Q587" s="17">
        <f t="shared" si="6"/>
        <v>352</v>
      </c>
      <c r="R587" s="107"/>
      <c r="S587" s="108">
        <v>560313.0</v>
      </c>
      <c r="T587" s="108">
        <v>12.0</v>
      </c>
      <c r="U587" s="109">
        <v>40.0</v>
      </c>
      <c r="V587" s="110"/>
      <c r="X587" s="111">
        <f>SUMIFS('Transit Shipment'!$B$10:$B$1048462,'Transit Shipment'!$A$10:$A$1048462,B587,'Transit Shipment'!$C$10:$C$1048462,AA587)</f>
        <v>0</v>
      </c>
      <c r="Y587" s="111">
        <f>IF(SUMIFS(DIH!$S$2:$S833,DIH!$D$2:$D833,B587,DIH!$U$2:$U833,AA587)&gt;0,SUMIFS(DIH!$S$2:$S833,DIH!$D$2:$D833,B587,DIH!$U$2:$U833,AA587),0)</f>
        <v>0</v>
      </c>
      <c r="Z587" s="112">
        <f t="shared" si="7"/>
        <v>0</v>
      </c>
      <c r="AA587" s="131" t="s">
        <v>16</v>
      </c>
      <c r="AB587" s="114">
        <f>IF(ISNA(VLOOKUP($B587,'Business Report'!$D$2:$J$202,2,0)),"",VLOOKUP($B587,'Business Report'!$D$2:$J$202,2,0))</f>
        <v>10</v>
      </c>
      <c r="AC587" s="115">
        <f>SUMIFS(AFS!$P$2:$P$6260,AFS!$N$2:$N$6260,B587,AFS!$AT$2:$AT$6260,AA587)</f>
        <v>2</v>
      </c>
      <c r="AD587" s="116">
        <f t="shared" si="8"/>
        <v>3</v>
      </c>
      <c r="AE587" s="117"/>
      <c r="AF587" s="118">
        <f t="shared" si="9"/>
        <v>4</v>
      </c>
      <c r="AG587" s="26"/>
      <c r="AH587" s="26"/>
      <c r="AI587" s="26"/>
    </row>
    <row r="588">
      <c r="A588" s="132" t="s">
        <v>9216</v>
      </c>
      <c r="B588" s="15" t="s">
        <v>126</v>
      </c>
      <c r="C588" s="133" t="s">
        <v>407</v>
      </c>
      <c r="D588" s="134" t="s">
        <v>162</v>
      </c>
      <c r="E588" s="135">
        <f t="shared" si="2"/>
        <v>3</v>
      </c>
      <c r="F588" s="135">
        <f t="shared" si="3"/>
        <v>0.5</v>
      </c>
      <c r="G588" s="136">
        <f t="shared" si="77"/>
        <v>8</v>
      </c>
      <c r="H588" s="137"/>
      <c r="I588" s="138"/>
      <c r="J588" s="139"/>
      <c r="K588" s="140"/>
      <c r="L588" s="135"/>
      <c r="M588" s="152"/>
      <c r="N588" s="142"/>
      <c r="O588" s="143"/>
      <c r="P588" s="144">
        <f t="array" ref="P588">XLOOKUP(B588,Weight!B:B,Weight!D:D,"#N/A",0)</f>
        <v>88</v>
      </c>
      <c r="Q588" s="145">
        <f t="shared" si="6"/>
        <v>704</v>
      </c>
      <c r="R588" s="146"/>
      <c r="S588" s="147">
        <v>560313.0</v>
      </c>
      <c r="T588" s="147">
        <v>12.0</v>
      </c>
      <c r="U588" s="109">
        <v>40.0</v>
      </c>
      <c r="V588" s="148"/>
      <c r="W588" s="149"/>
      <c r="X588" s="150">
        <f>SUMIFS('Transit Shipment'!$B$10:$B$1048462,'Transit Shipment'!$A$10:$A$1048462,B588,'Transit Shipment'!$C$10:$C$1048462,AA588)</f>
        <v>0</v>
      </c>
      <c r="Y588" s="150">
        <f>IF(SUMIFS(DIH!$S$2:$S833,DIH!$D$2:$D833,B588,DIH!$U$2:$U833,AA588)&gt;0,SUMIFS(DIH!$S$2:$S833,DIH!$D$2:$D833,B588,DIH!$U$2:$U833,AA588),0)</f>
        <v>0</v>
      </c>
      <c r="Z588" s="151">
        <f t="shared" si="7"/>
        <v>0</v>
      </c>
      <c r="AA588" s="152" t="s">
        <v>17</v>
      </c>
      <c r="AB588" s="154">
        <f>IF(ISNA(VLOOKUP($B588,'Business Report'!$D$2:$J$202,2,0)),"",VLOOKUP($B588,'Business Report'!$D$2:$J$202,2,0))</f>
        <v>10</v>
      </c>
      <c r="AC588" s="155">
        <f>SUMIFS(AFS!$P$2:$P$6260,AFS!$N$2:$N$6260,B588,AFS!$AT$2:$AT$6260,AA588)</f>
        <v>5</v>
      </c>
      <c r="AD588" s="156">
        <f t="shared" si="8"/>
        <v>7</v>
      </c>
      <c r="AE588" s="159">
        <f>SUM(AD580:AD588)</f>
        <v>29</v>
      </c>
      <c r="AF588" s="118">
        <f t="shared" si="9"/>
        <v>8</v>
      </c>
      <c r="AG588" s="26"/>
      <c r="AH588" s="26"/>
      <c r="AI588" s="26"/>
    </row>
    <row r="589">
      <c r="A589" s="66" t="s">
        <v>8590</v>
      </c>
      <c r="B589" s="1" t="s">
        <v>127</v>
      </c>
      <c r="C589" s="95" t="s">
        <v>9357</v>
      </c>
      <c r="D589" s="68" t="s">
        <v>162</v>
      </c>
      <c r="E589" s="69">
        <f t="shared" si="2"/>
        <v>4</v>
      </c>
      <c r="F589" s="69">
        <f t="shared" si="3"/>
        <v>0.5</v>
      </c>
      <c r="G589" s="70">
        <f t="shared" si="77"/>
        <v>10</v>
      </c>
      <c r="H589" s="163"/>
      <c r="I589" s="101"/>
      <c r="J589" s="102"/>
      <c r="K589" s="167"/>
      <c r="L589" s="119"/>
      <c r="M589" s="169"/>
      <c r="N589" s="171"/>
      <c r="O589" s="106"/>
      <c r="P589" s="79">
        <f t="array" ref="P589">XLOOKUP(B589,Weight!B:B,Weight!D:D,"#N/A",0)</f>
        <v>88</v>
      </c>
      <c r="Q589" s="80">
        <f t="shared" si="6"/>
        <v>880</v>
      </c>
      <c r="R589" s="107"/>
      <c r="S589" s="108">
        <v>560313.0</v>
      </c>
      <c r="T589" s="108">
        <v>12.0</v>
      </c>
      <c r="U589" s="83">
        <v>40.0</v>
      </c>
      <c r="V589" s="84" t="str">
        <f t="shared" ref="V589:W589" si="98">B589</f>
        <v>CRM-HP-580-Grey</v>
      </c>
      <c r="W589" s="174" t="str">
        <f t="shared" si="98"/>
        <v>Crasome Dust &amp; Water Proof Printer Cover for HP Smart Tank All-in-One 580 / 581 / 585 (Grey)</v>
      </c>
      <c r="X589" s="86">
        <f>SUMIFS('Transit Shipment'!$B$10:$B$1048462,'Transit Shipment'!$A$10:$A$1048462,B589,'Transit Shipment'!$C$10:$C$1048462,AA589)</f>
        <v>0</v>
      </c>
      <c r="Y589" s="86">
        <f>IF(SUMIFS(DIH!$S$2:$S833,DIH!$D$2:$D833,B589,DIH!$U$2:$U833,AA589)&gt;0,SUMIFS(DIH!$S$2:$S833,DIH!$D$2:$D833,B589,DIH!$U$2:$U833,AA589),0)</f>
        <v>15</v>
      </c>
      <c r="Z589" s="87">
        <f t="shared" si="7"/>
        <v>15</v>
      </c>
      <c r="AA589" s="88" t="s">
        <v>5</v>
      </c>
      <c r="AB589" s="89">
        <f>IF(ISNA(VLOOKUP($B589,'Business Report'!$D$2:$J$202,2,0)),"",VLOOKUP($B589,'Business Report'!$D$2:$J$202,2,0))</f>
        <v>248</v>
      </c>
      <c r="AC589" s="90">
        <f>SUMIFS(AFS!$P$2:$P$6260,AFS!$N$2:$N$6260,B589,AFS!$AT$2:$AT$6260,AA589)</f>
        <v>18</v>
      </c>
      <c r="AD589" s="91">
        <f t="shared" si="8"/>
        <v>9</v>
      </c>
      <c r="AE589" s="92"/>
      <c r="AF589" s="93">
        <f t="shared" si="9"/>
        <v>10</v>
      </c>
      <c r="AG589" s="26"/>
      <c r="AH589" s="26"/>
      <c r="AI589" s="26"/>
    </row>
    <row r="590">
      <c r="A590" s="94" t="s">
        <v>8590</v>
      </c>
      <c r="B590" s="3" t="s">
        <v>127</v>
      </c>
      <c r="C590" s="95" t="s">
        <v>9357</v>
      </c>
      <c r="D590" s="96" t="s">
        <v>162</v>
      </c>
      <c r="E590" s="97">
        <f t="shared" si="2"/>
        <v>3</v>
      </c>
      <c r="F590" s="97">
        <f t="shared" si="3"/>
        <v>0</v>
      </c>
      <c r="G590" s="99">
        <f t="shared" si="77"/>
        <v>6</v>
      </c>
      <c r="H590" s="100"/>
      <c r="I590" s="101"/>
      <c r="J590" s="102"/>
      <c r="K590" s="103"/>
      <c r="L590" s="97"/>
      <c r="M590" s="169"/>
      <c r="N590" s="105"/>
      <c r="O590" s="106"/>
      <c r="P590" s="13">
        <f t="array" ref="P590">XLOOKUP(B590,Weight!B:B,Weight!D:D,"#N/A",0)</f>
        <v>88</v>
      </c>
      <c r="Q590" s="17">
        <f t="shared" si="6"/>
        <v>528</v>
      </c>
      <c r="R590" s="107"/>
      <c r="S590" s="108">
        <v>560313.0</v>
      </c>
      <c r="T590" s="108">
        <v>12.0</v>
      </c>
      <c r="U590" s="109">
        <v>40.0</v>
      </c>
      <c r="V590" s="110"/>
      <c r="X590" s="111">
        <f>SUMIFS('Transit Shipment'!$B$10:$B$1048462,'Transit Shipment'!$A$10:$A$1048462,B590,'Transit Shipment'!$C$10:$C$1048462,AA590)</f>
        <v>0</v>
      </c>
      <c r="Y590" s="111">
        <f>IF(SUMIFS(DIH!$S$2:$S833,DIH!$D$2:$D833,B590,DIH!$U$2:$U833,AA590)&gt;0,SUMIFS(DIH!$S$2:$S833,DIH!$D$2:$D833,B590,DIH!$U$2:$U833,AA590),0)</f>
        <v>66</v>
      </c>
      <c r="Z590" s="112">
        <f t="shared" si="7"/>
        <v>66</v>
      </c>
      <c r="AA590" s="113" t="s">
        <v>11</v>
      </c>
      <c r="AB590" s="114">
        <f>IF(ISNA(VLOOKUP($B590,'Business Report'!$D$2:$J$202,2,0)),"",VLOOKUP($B590,'Business Report'!$D$2:$J$202,2,0))</f>
        <v>248</v>
      </c>
      <c r="AC590" s="115">
        <f>SUMIFS(AFS!$P$2:$P$6260,AFS!$N$2:$N$6260,B590,AFS!$AT$2:$AT$6260,AA590)</f>
        <v>54</v>
      </c>
      <c r="AD590" s="116">
        <f t="shared" si="8"/>
        <v>6</v>
      </c>
      <c r="AE590" s="117"/>
      <c r="AF590" s="118">
        <f t="shared" si="9"/>
        <v>6</v>
      </c>
      <c r="AG590" s="26"/>
      <c r="AH590" s="26"/>
      <c r="AI590" s="26"/>
    </row>
    <row r="591">
      <c r="A591" s="94" t="s">
        <v>8590</v>
      </c>
      <c r="B591" s="3" t="s">
        <v>127</v>
      </c>
      <c r="C591" s="95" t="s">
        <v>9357</v>
      </c>
      <c r="D591" s="96" t="s">
        <v>162</v>
      </c>
      <c r="E591" s="97">
        <f t="shared" si="2"/>
        <v>11</v>
      </c>
      <c r="F591" s="97">
        <f t="shared" si="3"/>
        <v>0</v>
      </c>
      <c r="G591" s="99">
        <f t="shared" si="77"/>
        <v>22</v>
      </c>
      <c r="H591" s="100"/>
      <c r="I591" s="101"/>
      <c r="J591" s="102"/>
      <c r="K591" s="103"/>
      <c r="L591" s="97"/>
      <c r="M591" s="169"/>
      <c r="N591" s="105"/>
      <c r="O591" s="106"/>
      <c r="P591" s="13">
        <f t="array" ref="P591">XLOOKUP(B591,Weight!B:B,Weight!D:D,"#N/A",0)</f>
        <v>88</v>
      </c>
      <c r="Q591" s="17">
        <f t="shared" si="6"/>
        <v>1936</v>
      </c>
      <c r="R591" s="107"/>
      <c r="S591" s="108">
        <v>560313.0</v>
      </c>
      <c r="T591" s="108">
        <v>12.0</v>
      </c>
      <c r="U591" s="109">
        <v>40.0</v>
      </c>
      <c r="V591" s="110"/>
      <c r="X591" s="111">
        <f>SUMIFS('Transit Shipment'!$B$10:$B$1048462,'Transit Shipment'!$A$10:$A$1048462,B591,'Transit Shipment'!$C$10:$C$1048462,AA591)</f>
        <v>0</v>
      </c>
      <c r="Y591" s="111">
        <f>IF(SUMIFS(DIH!$S$2:$S833,DIH!$D$2:$D833,B591,DIH!$U$2:$U833,AA591)&gt;0,SUMIFS(DIH!$S$2:$S833,DIH!$D$2:$D833,B591,DIH!$U$2:$U833,AA591),0)</f>
        <v>38</v>
      </c>
      <c r="Z591" s="112">
        <f t="shared" si="7"/>
        <v>38</v>
      </c>
      <c r="AA591" s="119" t="s">
        <v>9</v>
      </c>
      <c r="AB591" s="114">
        <f>IF(ISNA(VLOOKUP($B591,'Business Report'!$D$2:$J$202,2,0)),"",VLOOKUP($B591,'Business Report'!$D$2:$J$202,2,0))</f>
        <v>248</v>
      </c>
      <c r="AC591" s="115">
        <f>SUMIFS(AFS!$P$2:$P$6260,AFS!$N$2:$N$6260,B591,AFS!$AT$2:$AT$6260,AA591)</f>
        <v>45</v>
      </c>
      <c r="AD591" s="116">
        <f t="shared" si="8"/>
        <v>22</v>
      </c>
      <c r="AE591" s="117"/>
      <c r="AF591" s="118">
        <f t="shared" si="9"/>
        <v>22</v>
      </c>
      <c r="AG591" s="4"/>
      <c r="AH591" s="26"/>
      <c r="AI591" s="26"/>
    </row>
    <row r="592">
      <c r="A592" s="120" t="s">
        <v>8590</v>
      </c>
      <c r="B592" s="7" t="s">
        <v>127</v>
      </c>
      <c r="C592" s="95" t="s">
        <v>9357</v>
      </c>
      <c r="D592" s="109" t="s">
        <v>162</v>
      </c>
      <c r="E592" s="97" t="str">
        <f t="shared" si="2"/>
        <v/>
      </c>
      <c r="F592" s="97" t="str">
        <f t="shared" si="3"/>
        <v/>
      </c>
      <c r="G592" s="99" t="str">
        <f t="shared" si="77"/>
        <v/>
      </c>
      <c r="H592" s="121"/>
      <c r="I592" s="122"/>
      <c r="J592" s="123"/>
      <c r="K592" s="124"/>
      <c r="L592" s="125"/>
      <c r="M592" s="181"/>
      <c r="N592" s="126"/>
      <c r="O592" s="127"/>
      <c r="P592" s="13">
        <f t="array" ref="P592">XLOOKUP(B592,Weight!B:B,Weight!D:D,"#N/A",0)</f>
        <v>88</v>
      </c>
      <c r="Q592" s="17" t="str">
        <f t="shared" si="6"/>
        <v/>
      </c>
      <c r="R592" s="107"/>
      <c r="S592" s="108">
        <v>560313.0</v>
      </c>
      <c r="T592" s="108">
        <v>12.0</v>
      </c>
      <c r="U592" s="109">
        <v>40.0</v>
      </c>
      <c r="V592" s="110"/>
      <c r="X592" s="111">
        <f>SUMIFS('Transit Shipment'!$B$10:$B$1048462,'Transit Shipment'!$A$10:$A$1048462,B592,'Transit Shipment'!$C$10:$C$1048462,AA592)</f>
        <v>0</v>
      </c>
      <c r="Y592" s="111">
        <f>IF(SUMIFS(DIH!$S$2:$S833,DIH!$D$2:$D833,B592,DIH!$U$2:$U833,AA592)&gt;0,SUMIFS(DIH!$S$2:$S833,DIH!$D$2:$D833,B592,DIH!$U$2:$U833,AA592),0)</f>
        <v>53</v>
      </c>
      <c r="Z592" s="112">
        <f t="shared" si="7"/>
        <v>53</v>
      </c>
      <c r="AA592" s="119" t="s">
        <v>155</v>
      </c>
      <c r="AB592" s="114">
        <f>IF(ISNA(VLOOKUP($B592,'Business Report'!$D$2:$J$202,2,0)),"",VLOOKUP($B592,'Business Report'!$D$2:$J$202,2,0))</f>
        <v>248</v>
      </c>
      <c r="AC592" s="115">
        <f>SUMIFS(AFS!$P$2:$P$6260,AFS!$N$2:$N$6260,B592,AFS!$AT$2:$AT$6260,AA592)</f>
        <v>19</v>
      </c>
      <c r="AD592" s="116">
        <f t="shared" si="8"/>
        <v>-27</v>
      </c>
      <c r="AE592" s="117"/>
      <c r="AF592" s="118" t="str">
        <f t="shared" si="9"/>
        <v/>
      </c>
      <c r="AG592" s="4"/>
      <c r="AH592" s="26"/>
      <c r="AI592" s="26"/>
    </row>
    <row r="593">
      <c r="A593" s="120" t="s">
        <v>8590</v>
      </c>
      <c r="B593" s="7" t="s">
        <v>127</v>
      </c>
      <c r="C593" s="95" t="s">
        <v>9357</v>
      </c>
      <c r="D593" s="109" t="s">
        <v>162</v>
      </c>
      <c r="E593" s="97">
        <f t="shared" si="2"/>
        <v>26</v>
      </c>
      <c r="F593" s="97">
        <f t="shared" si="3"/>
        <v>0.5</v>
      </c>
      <c r="G593" s="99">
        <f t="shared" si="77"/>
        <v>54</v>
      </c>
      <c r="H593" s="121"/>
      <c r="I593" s="122"/>
      <c r="J593" s="123"/>
      <c r="K593" s="124"/>
      <c r="L593" s="125"/>
      <c r="M593" s="181"/>
      <c r="N593" s="126"/>
      <c r="O593" s="127"/>
      <c r="P593" s="13">
        <f t="array" ref="P593">XLOOKUP(B593,Weight!B:B,Weight!D:D,"#N/A",0)</f>
        <v>88</v>
      </c>
      <c r="Q593" s="17">
        <f t="shared" si="6"/>
        <v>4752</v>
      </c>
      <c r="R593" s="107"/>
      <c r="S593" s="108">
        <v>560313.0</v>
      </c>
      <c r="T593" s="108">
        <v>12.0</v>
      </c>
      <c r="U593" s="109">
        <v>40.0</v>
      </c>
      <c r="V593" s="110"/>
      <c r="X593" s="111">
        <f>SUMIFS('Transit Shipment'!$B$10:$B$1048462,'Transit Shipment'!$A$10:$A$1048462,B593,'Transit Shipment'!$C$10:$C$1048462,AA593)</f>
        <v>0</v>
      </c>
      <c r="Y593" s="111">
        <f>IF(SUMIFS(DIH!$S$2:$S833,DIH!$D$2:$D833,B593,DIH!$U$2:$U833,AA593)&gt;0,SUMIFS(DIH!$S$2:$S833,DIH!$D$2:$D833,B593,DIH!$U$2:$U833,AA593),0)</f>
        <v>41</v>
      </c>
      <c r="Z593" s="112">
        <f t="shared" si="7"/>
        <v>41</v>
      </c>
      <c r="AA593" s="119" t="s">
        <v>156</v>
      </c>
      <c r="AB593" s="114">
        <f>IF(ISNA(VLOOKUP($B593,'Business Report'!$D$2:$J$202,2,0)),"",VLOOKUP($B593,'Business Report'!$D$2:$J$202,2,0))</f>
        <v>248</v>
      </c>
      <c r="AC593" s="115">
        <f>SUMIFS(AFS!$P$2:$P$6260,AFS!$N$2:$N$6260,B593,AFS!$AT$2:$AT$6260,AA593)</f>
        <v>70</v>
      </c>
      <c r="AD593" s="116">
        <f t="shared" si="8"/>
        <v>53</v>
      </c>
      <c r="AE593" s="117"/>
      <c r="AF593" s="118">
        <f t="shared" si="9"/>
        <v>54</v>
      </c>
      <c r="AG593" s="4"/>
      <c r="AH593" s="26"/>
      <c r="AI593" s="26"/>
    </row>
    <row r="594">
      <c r="A594" s="120" t="s">
        <v>8590</v>
      </c>
      <c r="B594" s="7" t="s">
        <v>127</v>
      </c>
      <c r="C594" s="95" t="s">
        <v>9357</v>
      </c>
      <c r="D594" s="109" t="s">
        <v>162</v>
      </c>
      <c r="E594" s="97">
        <f t="shared" si="2"/>
        <v>21</v>
      </c>
      <c r="F594" s="97">
        <f t="shared" si="3"/>
        <v>0</v>
      </c>
      <c r="G594" s="99">
        <f t="shared" si="77"/>
        <v>42</v>
      </c>
      <c r="H594" s="121"/>
      <c r="I594" s="122"/>
      <c r="J594" s="123"/>
      <c r="K594" s="124"/>
      <c r="L594" s="125"/>
      <c r="M594" s="181"/>
      <c r="N594" s="126"/>
      <c r="O594" s="127"/>
      <c r="P594" s="13">
        <f t="array" ref="P594">XLOOKUP(B594,Weight!B:B,Weight!D:D,"#N/A",0)</f>
        <v>88</v>
      </c>
      <c r="Q594" s="17">
        <f t="shared" si="6"/>
        <v>3696</v>
      </c>
      <c r="R594" s="107"/>
      <c r="S594" s="108">
        <v>560313.0</v>
      </c>
      <c r="T594" s="108">
        <v>12.0</v>
      </c>
      <c r="U594" s="109">
        <v>40.0</v>
      </c>
      <c r="V594" s="110"/>
      <c r="X594" s="111">
        <f>SUMIFS('Transit Shipment'!$B$10:$B$1048462,'Transit Shipment'!$A$10:$A$1048462,B594,'Transit Shipment'!$C$10:$C$1048462,AA594)</f>
        <v>0</v>
      </c>
      <c r="Y594" s="111">
        <f>IF(SUMIFS(DIH!$S$2:$S833,DIH!$D$2:$D833,B594,DIH!$U$2:$U833,AA594)&gt;0,SUMIFS(DIH!$S$2:$S833,DIH!$D$2:$D833,B594,DIH!$U$2:$U833,AA594),0)</f>
        <v>28</v>
      </c>
      <c r="Z594" s="112">
        <f t="shared" si="7"/>
        <v>28</v>
      </c>
      <c r="AA594" s="130" t="s">
        <v>13</v>
      </c>
      <c r="AB594" s="114">
        <f>IF(ISNA(VLOOKUP($B594,'Business Report'!$D$2:$J$202,2,0)),"",VLOOKUP($B594,'Business Report'!$D$2:$J$202,2,0))</f>
        <v>248</v>
      </c>
      <c r="AC594" s="115">
        <f>SUMIFS(AFS!$P$2:$P$6260,AFS!$N$2:$N$6260,B594,AFS!$AT$2:$AT$6260,AA594)</f>
        <v>52</v>
      </c>
      <c r="AD594" s="116">
        <f t="shared" si="8"/>
        <v>42</v>
      </c>
      <c r="AE594" s="117"/>
      <c r="AF594" s="118">
        <f t="shared" si="9"/>
        <v>42</v>
      </c>
      <c r="AG594" s="26"/>
      <c r="AH594" s="26"/>
      <c r="AI594" s="26"/>
    </row>
    <row r="595">
      <c r="A595" s="120" t="s">
        <v>8590</v>
      </c>
      <c r="B595" s="7" t="s">
        <v>127</v>
      </c>
      <c r="C595" s="95" t="s">
        <v>9357</v>
      </c>
      <c r="D595" s="109" t="s">
        <v>162</v>
      </c>
      <c r="E595" s="97">
        <f t="shared" si="2"/>
        <v>33</v>
      </c>
      <c r="F595" s="97">
        <f t="shared" si="3"/>
        <v>0.5</v>
      </c>
      <c r="G595" s="99">
        <f t="shared" si="77"/>
        <v>68</v>
      </c>
      <c r="H595" s="121"/>
      <c r="I595" s="122"/>
      <c r="J595" s="123"/>
      <c r="K595" s="124"/>
      <c r="L595" s="125"/>
      <c r="M595" s="181"/>
      <c r="N595" s="126"/>
      <c r="O595" s="127"/>
      <c r="P595" s="13">
        <f t="array" ref="P595">XLOOKUP(B595,Weight!B:B,Weight!D:D,"#N/A",0)</f>
        <v>88</v>
      </c>
      <c r="Q595" s="17">
        <f t="shared" si="6"/>
        <v>5984</v>
      </c>
      <c r="R595" s="107"/>
      <c r="S595" s="108">
        <v>560313.0</v>
      </c>
      <c r="T595" s="108">
        <v>12.0</v>
      </c>
      <c r="U595" s="109">
        <v>40.0</v>
      </c>
      <c r="V595" s="110"/>
      <c r="X595" s="111">
        <f>SUMIFS('Transit Shipment'!$B$10:$B$1048462,'Transit Shipment'!$A$10:$A$1048462,B595,'Transit Shipment'!$C$10:$C$1048462,AA595)</f>
        <v>0</v>
      </c>
      <c r="Y595" s="111">
        <f>IF(SUMIFS(DIH!$S$2:$S833,DIH!$D$2:$D833,B595,DIH!$U$2:$U833,AA595)&gt;0,SUMIFS(DIH!$S$2:$S833,DIH!$D$2:$D833,B595,DIH!$U$2:$U833,AA595),0)</f>
        <v>39</v>
      </c>
      <c r="Z595" s="112">
        <f t="shared" si="7"/>
        <v>39</v>
      </c>
      <c r="AA595" s="119" t="s">
        <v>14</v>
      </c>
      <c r="AB595" s="114">
        <f>IF(ISNA(VLOOKUP($B595,'Business Report'!$D$2:$J$202,2,0)),"",VLOOKUP($B595,'Business Report'!$D$2:$J$202,2,0))</f>
        <v>248</v>
      </c>
      <c r="AC595" s="115">
        <f>SUMIFS(AFS!$P$2:$P$6260,AFS!$N$2:$N$6260,B595,AFS!$AT$2:$AT$6260,AA595)</f>
        <v>79</v>
      </c>
      <c r="AD595" s="116">
        <f t="shared" si="8"/>
        <v>67</v>
      </c>
      <c r="AE595" s="117"/>
      <c r="AF595" s="118">
        <f t="shared" si="9"/>
        <v>68</v>
      </c>
      <c r="AG595" s="26"/>
      <c r="AH595" s="26"/>
      <c r="AI595" s="26"/>
    </row>
    <row r="596">
      <c r="A596" s="120" t="s">
        <v>8590</v>
      </c>
      <c r="B596" s="7" t="s">
        <v>127</v>
      </c>
      <c r="C596" s="95" t="s">
        <v>9357</v>
      </c>
      <c r="D596" s="109" t="s">
        <v>162</v>
      </c>
      <c r="E596" s="97" t="str">
        <f t="shared" si="2"/>
        <v/>
      </c>
      <c r="F596" s="97" t="str">
        <f t="shared" si="3"/>
        <v/>
      </c>
      <c r="G596" s="99" t="str">
        <f t="shared" si="77"/>
        <v/>
      </c>
      <c r="H596" s="121"/>
      <c r="I596" s="122"/>
      <c r="J596" s="123"/>
      <c r="K596" s="124"/>
      <c r="L596" s="125"/>
      <c r="M596" s="181"/>
      <c r="N596" s="126"/>
      <c r="O596" s="127"/>
      <c r="P596" s="13">
        <f t="array" ref="P596">XLOOKUP(B596,Weight!B:B,Weight!D:D,"#N/A",0)</f>
        <v>88</v>
      </c>
      <c r="Q596" s="17" t="str">
        <f t="shared" si="6"/>
        <v/>
      </c>
      <c r="R596" s="107"/>
      <c r="S596" s="108">
        <v>560313.0</v>
      </c>
      <c r="T596" s="108">
        <v>12.0</v>
      </c>
      <c r="U596" s="109">
        <v>40.0</v>
      </c>
      <c r="V596" s="110"/>
      <c r="X596" s="111">
        <f>SUMIFS('Transit Shipment'!$B$10:$B$1048462,'Transit Shipment'!$A$10:$A$1048462,B596,'Transit Shipment'!$C$10:$C$1048462,AA596)</f>
        <v>0</v>
      </c>
      <c r="Y596" s="111">
        <f>IF(SUMIFS(DIH!$S$2:$S833,DIH!$D$2:$D833,B596,DIH!$U$2:$U833,AA596)&gt;0,SUMIFS(DIH!$S$2:$S833,DIH!$D$2:$D833,B596,DIH!$U$2:$U833,AA596),0)</f>
        <v>50</v>
      </c>
      <c r="Z596" s="112">
        <f t="shared" si="7"/>
        <v>50</v>
      </c>
      <c r="AA596" s="131" t="s">
        <v>16</v>
      </c>
      <c r="AB596" s="114">
        <f>IF(ISNA(VLOOKUP($B596,'Business Report'!$D$2:$J$202,2,0)),"",VLOOKUP($B596,'Business Report'!$D$2:$J$202,2,0))</f>
        <v>248</v>
      </c>
      <c r="AC596" s="115">
        <f>SUMIFS(AFS!$P$2:$P$6260,AFS!$N$2:$N$6260,B596,AFS!$AT$2:$AT$6260,AA596)</f>
        <v>26</v>
      </c>
      <c r="AD596" s="116">
        <f t="shared" si="8"/>
        <v>-15</v>
      </c>
      <c r="AE596" s="117"/>
      <c r="AF596" s="118" t="str">
        <f t="shared" si="9"/>
        <v/>
      </c>
      <c r="AG596" s="26"/>
      <c r="AH596" s="26"/>
      <c r="AI596" s="26"/>
    </row>
    <row r="597">
      <c r="A597" s="132" t="s">
        <v>8590</v>
      </c>
      <c r="B597" s="15" t="s">
        <v>127</v>
      </c>
      <c r="C597" s="133" t="s">
        <v>9357</v>
      </c>
      <c r="D597" s="134" t="s">
        <v>162</v>
      </c>
      <c r="E597" s="135">
        <f t="shared" si="2"/>
        <v>1</v>
      </c>
      <c r="F597" s="135">
        <f t="shared" si="3"/>
        <v>0</v>
      </c>
      <c r="G597" s="136">
        <f t="shared" si="77"/>
        <v>2</v>
      </c>
      <c r="H597" s="137"/>
      <c r="I597" s="138"/>
      <c r="J597" s="139"/>
      <c r="K597" s="140"/>
      <c r="L597" s="135"/>
      <c r="M597" s="152"/>
      <c r="N597" s="142"/>
      <c r="O597" s="143"/>
      <c r="P597" s="144">
        <f t="array" ref="P597">XLOOKUP(B597,Weight!B:B,Weight!D:D,"#N/A",0)</f>
        <v>88</v>
      </c>
      <c r="Q597" s="145">
        <f t="shared" si="6"/>
        <v>176</v>
      </c>
      <c r="R597" s="146"/>
      <c r="S597" s="147">
        <v>560313.0</v>
      </c>
      <c r="T597" s="147">
        <v>12.0</v>
      </c>
      <c r="U597" s="109">
        <v>40.0</v>
      </c>
      <c r="V597" s="148"/>
      <c r="W597" s="149"/>
      <c r="X597" s="150">
        <f>SUMIFS('Transit Shipment'!$B$10:$B$1048462,'Transit Shipment'!$A$10:$A$1048462,B597,'Transit Shipment'!$C$10:$C$1048462,AA597)</f>
        <v>0</v>
      </c>
      <c r="Y597" s="150">
        <f>IF(SUMIFS(DIH!$S$2:$S833,DIH!$D$2:$D833,B597,DIH!$U$2:$U833,AA597)&gt;0,SUMIFS(DIH!$S$2:$S833,DIH!$D$2:$D833,B597,DIH!$U$2:$U833,AA597),0)</f>
        <v>36</v>
      </c>
      <c r="Z597" s="151">
        <f t="shared" si="7"/>
        <v>36</v>
      </c>
      <c r="AA597" s="152" t="s">
        <v>17</v>
      </c>
      <c r="AB597" s="154">
        <f>IF(ISNA(VLOOKUP($B597,'Business Report'!$D$2:$J$202,2,0)),"",VLOOKUP($B597,'Business Report'!$D$2:$J$202,2,0))</f>
        <v>248</v>
      </c>
      <c r="AC597" s="155">
        <f>SUMIFS(AFS!$P$2:$P$6260,AFS!$N$2:$N$6260,B597,AFS!$AT$2:$AT$6260,AA597)</f>
        <v>28</v>
      </c>
      <c r="AD597" s="156">
        <f t="shared" si="8"/>
        <v>2</v>
      </c>
      <c r="AE597" s="159">
        <f>SUM(AD589:AD597)</f>
        <v>159</v>
      </c>
      <c r="AF597" s="118">
        <f t="shared" si="9"/>
        <v>2</v>
      </c>
      <c r="AG597" s="26"/>
      <c r="AH597" s="26"/>
      <c r="AI597" s="26"/>
    </row>
    <row r="598">
      <c r="A598" s="66" t="s">
        <v>8590</v>
      </c>
      <c r="B598" s="1" t="s">
        <v>128</v>
      </c>
      <c r="C598" s="95" t="s">
        <v>386</v>
      </c>
      <c r="D598" s="68" t="s">
        <v>162</v>
      </c>
      <c r="E598" s="69">
        <f t="shared" si="2"/>
        <v>1</v>
      </c>
      <c r="F598" s="69">
        <f t="shared" si="3"/>
        <v>0</v>
      </c>
      <c r="G598" s="70">
        <f t="shared" si="77"/>
        <v>2</v>
      </c>
      <c r="H598" s="163"/>
      <c r="I598" s="101"/>
      <c r="J598" s="102"/>
      <c r="K598" s="167"/>
      <c r="L598" s="119"/>
      <c r="M598" s="169"/>
      <c r="N598" s="171"/>
      <c r="O598" s="106"/>
      <c r="P598" s="79">
        <f t="array" ref="P598">XLOOKUP(B598,Weight!B:B,Weight!D:D,"#N/A",0)</f>
        <v>90</v>
      </c>
      <c r="Q598" s="80">
        <f t="shared" si="6"/>
        <v>180</v>
      </c>
      <c r="R598" s="107"/>
      <c r="S598" s="108">
        <v>560313.0</v>
      </c>
      <c r="T598" s="108">
        <v>12.0</v>
      </c>
      <c r="U598" s="83">
        <v>40.0</v>
      </c>
      <c r="V598" s="84" t="str">
        <f t="shared" ref="V598:W598" si="99">B598</f>
        <v>CRM-BR-580-T226-NW-GREY</v>
      </c>
      <c r="W598" s="174" t="str">
        <f t="shared" si="99"/>
        <v>Crasome Dust &amp; Water Proof Printer Cover for Brother DCP-T226 / DCP-T426W (Grey)</v>
      </c>
      <c r="X598" s="86">
        <f>SUMIFS('Transit Shipment'!$B$10:$B$1048462,'Transit Shipment'!$A$10:$A$1048462,B598,'Transit Shipment'!$C$10:$C$1048462,AA598)</f>
        <v>0</v>
      </c>
      <c r="Y598" s="86">
        <f>IF(SUMIFS(DIH!$S$2:$S833,DIH!$D$2:$D833,B598,DIH!$U$2:$U833,AA598)&gt;0,SUMIFS(DIH!$S$2:$S833,DIH!$D$2:$D833,B598,DIH!$U$2:$U833,AA598),0)</f>
        <v>1</v>
      </c>
      <c r="Z598" s="87">
        <f t="shared" si="7"/>
        <v>1</v>
      </c>
      <c r="AA598" s="88" t="s">
        <v>5</v>
      </c>
      <c r="AB598" s="89">
        <f>IF(ISNA(VLOOKUP($B598,'Business Report'!$D$2:$J$202,2,0)),"",VLOOKUP($B598,'Business Report'!$D$2:$J$202,2,0))</f>
        <v>15</v>
      </c>
      <c r="AC598" s="90">
        <f>SUMIFS(AFS!$P$2:$P$6260,AFS!$N$2:$N$6260,B598,AFS!$AT$2:$AT$6260,AA598)</f>
        <v>2</v>
      </c>
      <c r="AD598" s="91">
        <f t="shared" si="8"/>
        <v>2</v>
      </c>
      <c r="AE598" s="92"/>
      <c r="AF598" s="93">
        <f t="shared" si="9"/>
        <v>2</v>
      </c>
      <c r="AG598" s="26"/>
      <c r="AH598" s="26"/>
      <c r="AI598" s="26"/>
    </row>
    <row r="599">
      <c r="A599" s="94" t="s">
        <v>8590</v>
      </c>
      <c r="B599" s="3" t="s">
        <v>128</v>
      </c>
      <c r="C599" s="95" t="s">
        <v>386</v>
      </c>
      <c r="D599" s="96" t="s">
        <v>162</v>
      </c>
      <c r="E599" s="97">
        <f t="shared" si="2"/>
        <v>1</v>
      </c>
      <c r="F599" s="97">
        <f t="shared" si="3"/>
        <v>0.5</v>
      </c>
      <c r="G599" s="99">
        <f t="shared" si="77"/>
        <v>4</v>
      </c>
      <c r="H599" s="100"/>
      <c r="I599" s="101"/>
      <c r="J599" s="102"/>
      <c r="K599" s="103"/>
      <c r="L599" s="97"/>
      <c r="M599" s="169"/>
      <c r="N599" s="105"/>
      <c r="O599" s="106"/>
      <c r="P599" s="13">
        <f t="array" ref="P599">XLOOKUP(B599,Weight!B:B,Weight!D:D,"#N/A",0)</f>
        <v>90</v>
      </c>
      <c r="Q599" s="17">
        <f t="shared" si="6"/>
        <v>360</v>
      </c>
      <c r="R599" s="107"/>
      <c r="S599" s="108">
        <v>560313.0</v>
      </c>
      <c r="T599" s="108">
        <v>12.0</v>
      </c>
      <c r="U599" s="109">
        <v>40.0</v>
      </c>
      <c r="V599" s="110"/>
      <c r="X599" s="111">
        <f>SUMIFS('Transit Shipment'!$B$10:$B$1048462,'Transit Shipment'!$A$10:$A$1048462,B599,'Transit Shipment'!$C$10:$C$1048462,AA599)</f>
        <v>0</v>
      </c>
      <c r="Y599" s="111">
        <f>IF(SUMIFS(DIH!$S$2:$S833,DIH!$D$2:$D833,B599,DIH!$U$2:$U833,AA599)&gt;0,SUMIFS(DIH!$S$2:$S833,DIH!$D$2:$D833,B599,DIH!$U$2:$U833,AA599),0)</f>
        <v>1</v>
      </c>
      <c r="Z599" s="112">
        <f t="shared" si="7"/>
        <v>1</v>
      </c>
      <c r="AA599" s="113" t="s">
        <v>11</v>
      </c>
      <c r="AB599" s="114">
        <f>IF(ISNA(VLOOKUP($B599,'Business Report'!$D$2:$J$202,2,0)),"",VLOOKUP($B599,'Business Report'!$D$2:$J$202,2,0))</f>
        <v>15</v>
      </c>
      <c r="AC599" s="115">
        <f>SUMIFS(AFS!$P$2:$P$6260,AFS!$N$2:$N$6260,B599,AFS!$AT$2:$AT$6260,AA599)</f>
        <v>3</v>
      </c>
      <c r="AD599" s="116">
        <f t="shared" si="8"/>
        <v>3</v>
      </c>
      <c r="AE599" s="117"/>
      <c r="AF599" s="118">
        <f t="shared" si="9"/>
        <v>4</v>
      </c>
      <c r="AG599" s="26"/>
      <c r="AH599" s="26"/>
      <c r="AI599" s="26"/>
    </row>
    <row r="600">
      <c r="A600" s="94" t="s">
        <v>8590</v>
      </c>
      <c r="B600" s="3" t="s">
        <v>128</v>
      </c>
      <c r="C600" s="95" t="s">
        <v>386</v>
      </c>
      <c r="D600" s="96" t="s">
        <v>162</v>
      </c>
      <c r="E600" s="97">
        <f t="shared" si="2"/>
        <v>1</v>
      </c>
      <c r="F600" s="97">
        <f t="shared" si="3"/>
        <v>0</v>
      </c>
      <c r="G600" s="99">
        <f t="shared" si="77"/>
        <v>2</v>
      </c>
      <c r="H600" s="100"/>
      <c r="I600" s="101"/>
      <c r="J600" s="102"/>
      <c r="K600" s="103"/>
      <c r="L600" s="97"/>
      <c r="M600" s="169"/>
      <c r="N600" s="105"/>
      <c r="O600" s="106"/>
      <c r="P600" s="13">
        <f t="array" ref="P600">XLOOKUP(B600,Weight!B:B,Weight!D:D,"#N/A",0)</f>
        <v>90</v>
      </c>
      <c r="Q600" s="17">
        <f t="shared" si="6"/>
        <v>180</v>
      </c>
      <c r="R600" s="107"/>
      <c r="S600" s="108">
        <v>560313.0</v>
      </c>
      <c r="T600" s="108">
        <v>12.0</v>
      </c>
      <c r="U600" s="109">
        <v>40.0</v>
      </c>
      <c r="V600" s="110"/>
      <c r="X600" s="111">
        <f>SUMIFS('Transit Shipment'!$B$10:$B$1048462,'Transit Shipment'!$A$10:$A$1048462,B600,'Transit Shipment'!$C$10:$C$1048462,AA600)</f>
        <v>0</v>
      </c>
      <c r="Y600" s="111">
        <f>IF(SUMIFS(DIH!$S$2:$S833,DIH!$D$2:$D833,B600,DIH!$U$2:$U833,AA600)&gt;0,SUMIFS(DIH!$S$2:$S833,DIH!$D$2:$D833,B600,DIH!$U$2:$U833,AA600),0)</f>
        <v>1</v>
      </c>
      <c r="Z600" s="112">
        <f t="shared" si="7"/>
        <v>1</v>
      </c>
      <c r="AA600" s="119" t="s">
        <v>9</v>
      </c>
      <c r="AB600" s="114">
        <f>IF(ISNA(VLOOKUP($B600,'Business Report'!$D$2:$J$202,2,0)),"",VLOOKUP($B600,'Business Report'!$D$2:$J$202,2,0))</f>
        <v>15</v>
      </c>
      <c r="AC600" s="115">
        <f>SUMIFS(AFS!$P$2:$P$6260,AFS!$N$2:$N$6260,B600,AFS!$AT$2:$AT$6260,AA600)</f>
        <v>2</v>
      </c>
      <c r="AD600" s="116">
        <f t="shared" si="8"/>
        <v>2</v>
      </c>
      <c r="AE600" s="117"/>
      <c r="AF600" s="118">
        <f t="shared" si="9"/>
        <v>2</v>
      </c>
      <c r="AG600" s="26"/>
      <c r="AH600" s="26"/>
      <c r="AI600" s="26"/>
    </row>
    <row r="601">
      <c r="A601" s="120" t="s">
        <v>8590</v>
      </c>
      <c r="B601" s="7" t="s">
        <v>128</v>
      </c>
      <c r="C601" s="95" t="s">
        <v>386</v>
      </c>
      <c r="D601" s="109" t="s">
        <v>162</v>
      </c>
      <c r="E601" s="97" t="str">
        <f t="shared" si="2"/>
        <v/>
      </c>
      <c r="F601" s="97" t="str">
        <f t="shared" si="3"/>
        <v/>
      </c>
      <c r="G601" s="99" t="str">
        <f t="shared" si="77"/>
        <v/>
      </c>
      <c r="H601" s="121"/>
      <c r="I601" s="122"/>
      <c r="J601" s="123"/>
      <c r="K601" s="124"/>
      <c r="L601" s="125"/>
      <c r="M601" s="181"/>
      <c r="N601" s="126"/>
      <c r="O601" s="127"/>
      <c r="P601" s="13">
        <f t="array" ref="P601">XLOOKUP(B601,Weight!B:B,Weight!D:D,"#N/A",0)</f>
        <v>90</v>
      </c>
      <c r="Q601" s="17" t="str">
        <f t="shared" si="6"/>
        <v/>
      </c>
      <c r="R601" s="107"/>
      <c r="S601" s="108">
        <v>560313.0</v>
      </c>
      <c r="T601" s="108">
        <v>12.0</v>
      </c>
      <c r="U601" s="109">
        <v>40.0</v>
      </c>
      <c r="V601" s="110"/>
      <c r="X601" s="111">
        <f>SUMIFS('Transit Shipment'!$B$10:$B$1048462,'Transit Shipment'!$A$10:$A$1048462,B601,'Transit Shipment'!$C$10:$C$1048462,AA601)</f>
        <v>0</v>
      </c>
      <c r="Y601" s="111">
        <f>IF(SUMIFS(DIH!$S$2:$S833,DIH!$D$2:$D833,B601,DIH!$U$2:$U833,AA601)&gt;0,SUMIFS(DIH!$S$2:$S833,DIH!$D$2:$D833,B601,DIH!$U$2:$U833,AA601),0)</f>
        <v>1</v>
      </c>
      <c r="Z601" s="112">
        <f t="shared" si="7"/>
        <v>1</v>
      </c>
      <c r="AA601" s="119" t="s">
        <v>155</v>
      </c>
      <c r="AB601" s="114">
        <f>IF(ISNA(VLOOKUP($B601,'Business Report'!$D$2:$J$202,2,0)),"",VLOOKUP($B601,'Business Report'!$D$2:$J$202,2,0))</f>
        <v>15</v>
      </c>
      <c r="AC601" s="115">
        <f>SUMIFS(AFS!$P$2:$P$6260,AFS!$N$2:$N$6260,B601,AFS!$AT$2:$AT$6260,AA601)</f>
        <v>0</v>
      </c>
      <c r="AD601" s="116">
        <f t="shared" si="8"/>
        <v>-1</v>
      </c>
      <c r="AE601" s="117"/>
      <c r="AF601" s="118" t="str">
        <f t="shared" si="9"/>
        <v/>
      </c>
      <c r="AG601" s="26"/>
      <c r="AH601" s="26"/>
      <c r="AI601" s="26"/>
    </row>
    <row r="602">
      <c r="A602" s="120" t="s">
        <v>8590</v>
      </c>
      <c r="B602" s="7" t="s">
        <v>128</v>
      </c>
      <c r="C602" s="95" t="s">
        <v>386</v>
      </c>
      <c r="D602" s="109" t="s">
        <v>162</v>
      </c>
      <c r="E602" s="97" t="str">
        <f t="shared" si="2"/>
        <v/>
      </c>
      <c r="F602" s="97" t="str">
        <f t="shared" si="3"/>
        <v/>
      </c>
      <c r="G602" s="99" t="str">
        <f t="shared" si="77"/>
        <v/>
      </c>
      <c r="H602" s="121"/>
      <c r="I602" s="122"/>
      <c r="J602" s="123"/>
      <c r="K602" s="124"/>
      <c r="L602" s="125"/>
      <c r="M602" s="181"/>
      <c r="N602" s="126"/>
      <c r="O602" s="127"/>
      <c r="P602" s="13">
        <f t="array" ref="P602">XLOOKUP(B602,Weight!B:B,Weight!D:D,"#N/A",0)</f>
        <v>90</v>
      </c>
      <c r="Q602" s="17" t="str">
        <f t="shared" si="6"/>
        <v/>
      </c>
      <c r="R602" s="107"/>
      <c r="S602" s="108">
        <v>560313.0</v>
      </c>
      <c r="T602" s="108">
        <v>12.0</v>
      </c>
      <c r="U602" s="109">
        <v>40.0</v>
      </c>
      <c r="V602" s="110"/>
      <c r="X602" s="111">
        <f>SUMIFS('Transit Shipment'!$B$10:$B$1048462,'Transit Shipment'!$A$10:$A$1048462,B602,'Transit Shipment'!$C$10:$C$1048462,AA602)</f>
        <v>0</v>
      </c>
      <c r="Y602" s="111">
        <f>IF(SUMIFS(DIH!$S$2:$S833,DIH!$D$2:$D833,B602,DIH!$U$2:$U833,AA602)&gt;0,SUMIFS(DIH!$S$2:$S833,DIH!$D$2:$D833,B602,DIH!$U$2:$U833,AA602),0)</f>
        <v>4</v>
      </c>
      <c r="Z602" s="112">
        <f t="shared" si="7"/>
        <v>4</v>
      </c>
      <c r="AA602" s="119" t="s">
        <v>156</v>
      </c>
      <c r="AB602" s="114">
        <f>IF(ISNA(VLOOKUP($B602,'Business Report'!$D$2:$J$202,2,0)),"",VLOOKUP($B602,'Business Report'!$D$2:$J$202,2,0))</f>
        <v>15</v>
      </c>
      <c r="AC602" s="115">
        <f>SUMIFS(AFS!$P$2:$P$6260,AFS!$N$2:$N$6260,B602,AFS!$AT$2:$AT$6260,AA602)</f>
        <v>2</v>
      </c>
      <c r="AD602" s="116">
        <f t="shared" si="8"/>
        <v>-1</v>
      </c>
      <c r="AE602" s="117"/>
      <c r="AF602" s="118" t="str">
        <f t="shared" si="9"/>
        <v/>
      </c>
      <c r="AG602" s="26"/>
      <c r="AH602" s="26"/>
      <c r="AI602" s="26"/>
    </row>
    <row r="603">
      <c r="A603" s="120" t="s">
        <v>8590</v>
      </c>
      <c r="B603" s="7" t="s">
        <v>128</v>
      </c>
      <c r="C603" s="95" t="s">
        <v>386</v>
      </c>
      <c r="D603" s="109" t="s">
        <v>162</v>
      </c>
      <c r="E603" s="97">
        <f t="shared" si="2"/>
        <v>5</v>
      </c>
      <c r="F603" s="97">
        <f t="shared" si="3"/>
        <v>0</v>
      </c>
      <c r="G603" s="99">
        <f t="shared" si="77"/>
        <v>10</v>
      </c>
      <c r="H603" s="121"/>
      <c r="I603" s="122"/>
      <c r="J603" s="123"/>
      <c r="K603" s="124"/>
      <c r="L603" s="125"/>
      <c r="M603" s="181"/>
      <c r="N603" s="126"/>
      <c r="O603" s="127"/>
      <c r="P603" s="13">
        <f t="array" ref="P603">XLOOKUP(B603,Weight!B:B,Weight!D:D,"#N/A",0)</f>
        <v>90</v>
      </c>
      <c r="Q603" s="17">
        <f t="shared" si="6"/>
        <v>900</v>
      </c>
      <c r="R603" s="107"/>
      <c r="S603" s="108">
        <v>560313.0</v>
      </c>
      <c r="T603" s="108">
        <v>12.0</v>
      </c>
      <c r="U603" s="109">
        <v>40.0</v>
      </c>
      <c r="V603" s="110"/>
      <c r="X603" s="111">
        <f>SUMIFS('Transit Shipment'!$B$10:$B$1048462,'Transit Shipment'!$A$10:$A$1048462,B603,'Transit Shipment'!$C$10:$C$1048462,AA603)</f>
        <v>0</v>
      </c>
      <c r="Y603" s="111">
        <f>IF(SUMIFS(DIH!$S$2:$S833,DIH!$D$2:$D833,B603,DIH!$U$2:$U833,AA603)&gt;0,SUMIFS(DIH!$S$2:$S833,DIH!$D$2:$D833,B603,DIH!$U$2:$U833,AA603),0)</f>
        <v>0</v>
      </c>
      <c r="Z603" s="112">
        <f t="shared" si="7"/>
        <v>0</v>
      </c>
      <c r="AA603" s="130" t="s">
        <v>13</v>
      </c>
      <c r="AB603" s="114">
        <f>IF(ISNA(VLOOKUP($B603,'Business Report'!$D$2:$J$202,2,0)),"",VLOOKUP($B603,'Business Report'!$D$2:$J$202,2,0))</f>
        <v>15</v>
      </c>
      <c r="AC603" s="115">
        <f>SUMIFS(AFS!$P$2:$P$6260,AFS!$N$2:$N$6260,B603,AFS!$AT$2:$AT$6260,AA603)</f>
        <v>7</v>
      </c>
      <c r="AD603" s="116">
        <f t="shared" si="8"/>
        <v>10</v>
      </c>
      <c r="AE603" s="117"/>
      <c r="AF603" s="118">
        <f t="shared" si="9"/>
        <v>10</v>
      </c>
      <c r="AG603" s="322"/>
      <c r="AH603" s="26"/>
      <c r="AI603" s="26"/>
    </row>
    <row r="604">
      <c r="A604" s="120" t="s">
        <v>8590</v>
      </c>
      <c r="B604" s="7" t="s">
        <v>128</v>
      </c>
      <c r="C604" s="95" t="s">
        <v>386</v>
      </c>
      <c r="D604" s="109" t="s">
        <v>162</v>
      </c>
      <c r="E604" s="97">
        <f t="shared" si="2"/>
        <v>1</v>
      </c>
      <c r="F604" s="97">
        <f t="shared" si="3"/>
        <v>0.5</v>
      </c>
      <c r="G604" s="99">
        <f t="shared" si="77"/>
        <v>4</v>
      </c>
      <c r="H604" s="121"/>
      <c r="I604" s="122"/>
      <c r="J604" s="123"/>
      <c r="K604" s="124"/>
      <c r="L604" s="125"/>
      <c r="M604" s="181"/>
      <c r="N604" s="126"/>
      <c r="O604" s="127"/>
      <c r="P604" s="13">
        <f t="array" ref="P604">XLOOKUP(B604,Weight!B:B,Weight!D:D,"#N/A",0)</f>
        <v>90</v>
      </c>
      <c r="Q604" s="17">
        <f t="shared" si="6"/>
        <v>360</v>
      </c>
      <c r="R604" s="107"/>
      <c r="S604" s="108">
        <v>560313.0</v>
      </c>
      <c r="T604" s="108">
        <v>12.0</v>
      </c>
      <c r="U604" s="109">
        <v>40.0</v>
      </c>
      <c r="V604" s="110"/>
      <c r="X604" s="111">
        <f>SUMIFS('Transit Shipment'!$B$10:$B$1048462,'Transit Shipment'!$A$10:$A$1048462,B604,'Transit Shipment'!$C$10:$C$1048462,AA604)</f>
        <v>0</v>
      </c>
      <c r="Y604" s="111">
        <f>IF(SUMIFS(DIH!$S$2:$S833,DIH!$D$2:$D833,B604,DIH!$U$2:$U833,AA604)&gt;0,SUMIFS(DIH!$S$2:$S833,DIH!$D$2:$D833,B604,DIH!$U$2:$U833,AA604),0)</f>
        <v>1</v>
      </c>
      <c r="Z604" s="112">
        <f t="shared" si="7"/>
        <v>1</v>
      </c>
      <c r="AA604" s="119" t="s">
        <v>14</v>
      </c>
      <c r="AB604" s="114">
        <f>IF(ISNA(VLOOKUP($B604,'Business Report'!$D$2:$J$202,2,0)),"",VLOOKUP($B604,'Business Report'!$D$2:$J$202,2,0))</f>
        <v>15</v>
      </c>
      <c r="AC604" s="115">
        <f>SUMIFS(AFS!$P$2:$P$6260,AFS!$N$2:$N$6260,B604,AFS!$AT$2:$AT$6260,AA604)</f>
        <v>3</v>
      </c>
      <c r="AD604" s="116">
        <f t="shared" si="8"/>
        <v>3</v>
      </c>
      <c r="AE604" s="117"/>
      <c r="AF604" s="118">
        <f t="shared" si="9"/>
        <v>4</v>
      </c>
      <c r="AG604" s="26"/>
      <c r="AH604" s="26"/>
      <c r="AI604" s="26"/>
    </row>
    <row r="605">
      <c r="A605" s="120" t="s">
        <v>8590</v>
      </c>
      <c r="B605" s="7" t="s">
        <v>128</v>
      </c>
      <c r="C605" s="95" t="s">
        <v>386</v>
      </c>
      <c r="D605" s="109" t="s">
        <v>162</v>
      </c>
      <c r="E605" s="97">
        <f t="shared" si="2"/>
        <v>0</v>
      </c>
      <c r="F605" s="97">
        <f t="shared" si="3"/>
        <v>0.5</v>
      </c>
      <c r="G605" s="99">
        <f t="shared" si="77"/>
        <v>2</v>
      </c>
      <c r="H605" s="121"/>
      <c r="I605" s="122"/>
      <c r="J605" s="123"/>
      <c r="K605" s="124"/>
      <c r="L605" s="125"/>
      <c r="M605" s="181"/>
      <c r="N605" s="126"/>
      <c r="O605" s="127"/>
      <c r="P605" s="13">
        <f t="array" ref="P605">XLOOKUP(B605,Weight!B:B,Weight!D:D,"#N/A",0)</f>
        <v>90</v>
      </c>
      <c r="Q605" s="17">
        <f t="shared" si="6"/>
        <v>180</v>
      </c>
      <c r="R605" s="107"/>
      <c r="S605" s="108">
        <v>560313.0</v>
      </c>
      <c r="T605" s="108">
        <v>12.0</v>
      </c>
      <c r="U605" s="109">
        <v>40.0</v>
      </c>
      <c r="V605" s="110"/>
      <c r="X605" s="111">
        <f>SUMIFS('Transit Shipment'!$B$10:$B$1048462,'Transit Shipment'!$A$10:$A$1048462,B605,'Transit Shipment'!$C$10:$C$1048462,AA605)</f>
        <v>0</v>
      </c>
      <c r="Y605" s="111">
        <f>IF(SUMIFS(DIH!$S$2:$S833,DIH!$D$2:$D833,B605,DIH!$U$2:$U833,AA605)&gt;0,SUMIFS(DIH!$S$2:$S833,DIH!$D$2:$D833,B605,DIH!$U$2:$U833,AA605),0)</f>
        <v>1</v>
      </c>
      <c r="Z605" s="112">
        <f t="shared" si="7"/>
        <v>1</v>
      </c>
      <c r="AA605" s="131" t="s">
        <v>16</v>
      </c>
      <c r="AB605" s="114">
        <f>IF(ISNA(VLOOKUP($B605,'Business Report'!$D$2:$J$202,2,0)),"",VLOOKUP($B605,'Business Report'!$D$2:$J$202,2,0))</f>
        <v>15</v>
      </c>
      <c r="AC605" s="115">
        <f>SUMIFS(AFS!$P$2:$P$6260,AFS!$N$2:$N$6260,B605,AFS!$AT$2:$AT$6260,AA605)</f>
        <v>1</v>
      </c>
      <c r="AD605" s="116">
        <f t="shared" si="8"/>
        <v>1</v>
      </c>
      <c r="AE605" s="117"/>
      <c r="AF605" s="118">
        <f t="shared" si="9"/>
        <v>2</v>
      </c>
      <c r="AG605" s="26"/>
      <c r="AH605" s="26"/>
      <c r="AI605" s="26"/>
    </row>
    <row r="606">
      <c r="A606" s="132" t="s">
        <v>8590</v>
      </c>
      <c r="B606" s="15" t="s">
        <v>128</v>
      </c>
      <c r="C606" s="133" t="s">
        <v>386</v>
      </c>
      <c r="D606" s="134" t="s">
        <v>162</v>
      </c>
      <c r="E606" s="135">
        <f t="shared" si="2"/>
        <v>1</v>
      </c>
      <c r="F606" s="135">
        <f t="shared" si="3"/>
        <v>0</v>
      </c>
      <c r="G606" s="136">
        <f t="shared" si="77"/>
        <v>2</v>
      </c>
      <c r="H606" s="137"/>
      <c r="I606" s="138"/>
      <c r="J606" s="139"/>
      <c r="K606" s="140"/>
      <c r="L606" s="135"/>
      <c r="M606" s="152"/>
      <c r="N606" s="142"/>
      <c r="O606" s="143"/>
      <c r="P606" s="144">
        <f t="array" ref="P606">XLOOKUP(B606,Weight!B:B,Weight!D:D,"#N/A",0)</f>
        <v>90</v>
      </c>
      <c r="Q606" s="145">
        <f t="shared" si="6"/>
        <v>180</v>
      </c>
      <c r="R606" s="146"/>
      <c r="S606" s="147">
        <v>560313.0</v>
      </c>
      <c r="T606" s="147">
        <v>12.0</v>
      </c>
      <c r="U606" s="109">
        <v>40.0</v>
      </c>
      <c r="V606" s="148"/>
      <c r="W606" s="149"/>
      <c r="X606" s="150">
        <f>SUMIFS('Transit Shipment'!$B$10:$B$1048462,'Transit Shipment'!$A$10:$A$1048462,B606,'Transit Shipment'!$C$10:$C$1048462,AA606)</f>
        <v>0</v>
      </c>
      <c r="Y606" s="150">
        <f>IF(SUMIFS(DIH!$S$2:$S833,DIH!$D$2:$D833,B606,DIH!$U$2:$U833,AA606)&gt;0,SUMIFS(DIH!$S$2:$S833,DIH!$D$2:$D833,B606,DIH!$U$2:$U833,AA606),0)</f>
        <v>0</v>
      </c>
      <c r="Z606" s="151">
        <f t="shared" si="7"/>
        <v>0</v>
      </c>
      <c r="AA606" s="152" t="s">
        <v>17</v>
      </c>
      <c r="AB606" s="154">
        <f>IF(ISNA(VLOOKUP($B606,'Business Report'!$D$2:$J$202,2,0)),"",VLOOKUP($B606,'Business Report'!$D$2:$J$202,2,0))</f>
        <v>15</v>
      </c>
      <c r="AC606" s="155">
        <f>SUMIFS(AFS!$P$2:$P$6260,AFS!$N$2:$N$6260,B606,AFS!$AT$2:$AT$6260,AA606)</f>
        <v>1</v>
      </c>
      <c r="AD606" s="156">
        <f t="shared" si="8"/>
        <v>2</v>
      </c>
      <c r="AE606" s="159">
        <f>SUM(AD598:AD606)</f>
        <v>21</v>
      </c>
      <c r="AF606" s="118">
        <f t="shared" si="9"/>
        <v>2</v>
      </c>
      <c r="AG606" s="26"/>
      <c r="AH606" s="26"/>
      <c r="AI606" s="26"/>
    </row>
    <row r="607">
      <c r="A607" s="66" t="s">
        <v>9216</v>
      </c>
      <c r="B607" s="1" t="s">
        <v>129</v>
      </c>
      <c r="C607" s="95" t="s">
        <v>522</v>
      </c>
      <c r="D607" s="68" t="s">
        <v>162</v>
      </c>
      <c r="E607" s="69">
        <f t="shared" si="2"/>
        <v>1</v>
      </c>
      <c r="F607" s="69">
        <f t="shared" si="3"/>
        <v>0</v>
      </c>
      <c r="G607" s="70" t="str">
        <f t="shared" si="77"/>
        <v/>
      </c>
      <c r="H607" s="163"/>
      <c r="I607" s="101"/>
      <c r="J607" s="102"/>
      <c r="K607" s="167"/>
      <c r="L607" s="119"/>
      <c r="M607" s="169"/>
      <c r="N607" s="171"/>
      <c r="O607" s="106"/>
      <c r="P607" s="79">
        <f t="array" ref="P607">XLOOKUP(B607,Weight!B:B,Weight!D:D,"#N/A",0)</f>
        <v>90</v>
      </c>
      <c r="Q607" s="80" t="str">
        <f t="shared" si="6"/>
        <v/>
      </c>
      <c r="R607" s="107"/>
      <c r="S607" s="108">
        <v>560313.0</v>
      </c>
      <c r="T607" s="108">
        <v>12.0</v>
      </c>
      <c r="U607" s="83">
        <v>40.0</v>
      </c>
      <c r="V607" s="84" t="str">
        <f t="shared" ref="V607:W607" si="100">B607</f>
        <v>CRM-BR-580-T226-NW-BLACK</v>
      </c>
      <c r="W607" s="174" t="str">
        <f t="shared" si="100"/>
        <v>Crasome Dust &amp; Water Proof Printer Cover for Brother DCP-T226 / DCP-T426W (Black)</v>
      </c>
      <c r="X607" s="86">
        <f>SUMIFS('Transit Shipment'!$B$10:$B$1048462,'Transit Shipment'!$A$10:$A$1048462,B607,'Transit Shipment'!$C$10:$C$1048462,AA607)</f>
        <v>0</v>
      </c>
      <c r="Y607" s="86">
        <f>IF(SUMIFS(DIH!$S$2:$S833,DIH!$D$2:$D833,B607,DIH!$U$2:$U833,AA607)&gt;0,SUMIFS(DIH!$S$2:$S833,DIH!$D$2:$D833,B607,DIH!$U$2:$U833,AA607),0)</f>
        <v>0</v>
      </c>
      <c r="Z607" s="87">
        <f t="shared" si="7"/>
        <v>0</v>
      </c>
      <c r="AA607" s="88" t="s">
        <v>5</v>
      </c>
      <c r="AB607" s="89">
        <f>IF(ISNA(VLOOKUP($B607,'Business Report'!$D$2:$J$202,2,0)),"",VLOOKUP($B607,'Business Report'!$D$2:$J$202,2,0))</f>
        <v>3</v>
      </c>
      <c r="AC607" s="90">
        <f>SUMIFS(AFS!$P$2:$P$6260,AFS!$N$2:$N$6260,B607,AFS!$AT$2:$AT$6260,AA607)</f>
        <v>0</v>
      </c>
      <c r="AD607" s="91">
        <f t="shared" si="8"/>
        <v>0</v>
      </c>
      <c r="AE607" s="92"/>
      <c r="AF607" s="93" t="str">
        <f t="shared" si="9"/>
        <v/>
      </c>
      <c r="AG607" s="26"/>
      <c r="AH607" s="26"/>
      <c r="AI607" s="26"/>
    </row>
    <row r="608">
      <c r="A608" s="94" t="s">
        <v>9216</v>
      </c>
      <c r="B608" s="3" t="s">
        <v>129</v>
      </c>
      <c r="C608" s="95" t="s">
        <v>522</v>
      </c>
      <c r="D608" s="96" t="s">
        <v>162</v>
      </c>
      <c r="E608" s="97">
        <f t="shared" si="2"/>
        <v>0</v>
      </c>
      <c r="F608" s="97">
        <f t="shared" si="3"/>
        <v>0.5</v>
      </c>
      <c r="G608" s="99">
        <f t="shared" si="77"/>
        <v>2</v>
      </c>
      <c r="H608" s="100"/>
      <c r="I608" s="101"/>
      <c r="J608" s="102"/>
      <c r="K608" s="103"/>
      <c r="L608" s="97"/>
      <c r="M608" s="169"/>
      <c r="N608" s="105"/>
      <c r="O608" s="106"/>
      <c r="P608" s="13">
        <f t="array" ref="P608">XLOOKUP(B608,Weight!B:B,Weight!D:D,"#N/A",0)</f>
        <v>90</v>
      </c>
      <c r="Q608" s="17">
        <f t="shared" si="6"/>
        <v>180</v>
      </c>
      <c r="R608" s="107"/>
      <c r="S608" s="108">
        <v>560313.0</v>
      </c>
      <c r="T608" s="108">
        <v>12.0</v>
      </c>
      <c r="U608" s="109">
        <v>40.0</v>
      </c>
      <c r="V608" s="110"/>
      <c r="X608" s="111">
        <f>SUMIFS('Transit Shipment'!$B$10:$B$1048462,'Transit Shipment'!$A$10:$A$1048462,B608,'Transit Shipment'!$C$10:$C$1048462,AA608)</f>
        <v>0</v>
      </c>
      <c r="Y608" s="111">
        <f>IF(SUMIFS(DIH!$S$2:$S833,DIH!$D$2:$D833,B608,DIH!$U$2:$U833,AA608)&gt;0,SUMIFS(DIH!$S$2:$S833,DIH!$D$2:$D833,B608,DIH!$U$2:$U833,AA608),0)</f>
        <v>1</v>
      </c>
      <c r="Z608" s="112">
        <f t="shared" si="7"/>
        <v>1</v>
      </c>
      <c r="AA608" s="113" t="s">
        <v>11</v>
      </c>
      <c r="AB608" s="114">
        <f>IF(ISNA(VLOOKUP($B608,'Business Report'!$D$2:$J$202,2,0)),"",VLOOKUP($B608,'Business Report'!$D$2:$J$202,2,0))</f>
        <v>3</v>
      </c>
      <c r="AC608" s="115">
        <f>SUMIFS(AFS!$P$2:$P$6260,AFS!$N$2:$N$6260,B608,AFS!$AT$2:$AT$6260,AA608)</f>
        <v>1</v>
      </c>
      <c r="AD608" s="116">
        <f t="shared" si="8"/>
        <v>1</v>
      </c>
      <c r="AE608" s="117"/>
      <c r="AF608" s="118">
        <f t="shared" si="9"/>
        <v>2</v>
      </c>
      <c r="AG608" s="26"/>
      <c r="AH608" s="26"/>
      <c r="AI608" s="26"/>
    </row>
    <row r="609">
      <c r="A609" s="94" t="s">
        <v>9216</v>
      </c>
      <c r="B609" s="3" t="s">
        <v>129</v>
      </c>
      <c r="C609" s="95" t="s">
        <v>522</v>
      </c>
      <c r="D609" s="96" t="s">
        <v>162</v>
      </c>
      <c r="E609" s="97" t="str">
        <f t="shared" si="2"/>
        <v/>
      </c>
      <c r="F609" s="97" t="str">
        <f t="shared" si="3"/>
        <v/>
      </c>
      <c r="G609" s="99" t="str">
        <f t="shared" si="77"/>
        <v/>
      </c>
      <c r="H609" s="100"/>
      <c r="I609" s="101"/>
      <c r="J609" s="102"/>
      <c r="K609" s="103"/>
      <c r="L609" s="97"/>
      <c r="M609" s="169"/>
      <c r="N609" s="105"/>
      <c r="O609" s="106"/>
      <c r="P609" s="13">
        <f t="array" ref="P609">XLOOKUP(B609,Weight!B:B,Weight!D:D,"#N/A",0)</f>
        <v>90</v>
      </c>
      <c r="Q609" s="17" t="str">
        <f t="shared" si="6"/>
        <v/>
      </c>
      <c r="R609" s="107"/>
      <c r="S609" s="108">
        <v>560313.0</v>
      </c>
      <c r="T609" s="108">
        <v>12.0</v>
      </c>
      <c r="U609" s="109">
        <v>40.0</v>
      </c>
      <c r="V609" s="110"/>
      <c r="X609" s="111">
        <f>SUMIFS('Transit Shipment'!$B$10:$B$1048462,'Transit Shipment'!$A$10:$A$1048462,B609,'Transit Shipment'!$C$10:$C$1048462,AA609)</f>
        <v>0</v>
      </c>
      <c r="Y609" s="111">
        <f>IF(SUMIFS(DIH!$S$2:$S833,DIH!$D$2:$D833,B609,DIH!$U$2:$U833,AA609)&gt;0,SUMIFS(DIH!$S$2:$S833,DIH!$D$2:$D833,B609,DIH!$U$2:$U833,AA609),0)</f>
        <v>1</v>
      </c>
      <c r="Z609" s="112">
        <f t="shared" si="7"/>
        <v>1</v>
      </c>
      <c r="AA609" s="119" t="s">
        <v>9</v>
      </c>
      <c r="AB609" s="114">
        <f>IF(ISNA(VLOOKUP($B609,'Business Report'!$D$2:$J$202,2,0)),"",VLOOKUP($B609,'Business Report'!$D$2:$J$202,2,0))</f>
        <v>3</v>
      </c>
      <c r="AC609" s="115">
        <f>SUMIFS(AFS!$P$2:$P$6260,AFS!$N$2:$N$6260,B609,AFS!$AT$2:$AT$6260,AA609)</f>
        <v>0</v>
      </c>
      <c r="AD609" s="116">
        <f t="shared" si="8"/>
        <v>-1</v>
      </c>
      <c r="AE609" s="117"/>
      <c r="AF609" s="118" t="str">
        <f t="shared" si="9"/>
        <v/>
      </c>
      <c r="AG609" s="26"/>
      <c r="AH609" s="26"/>
      <c r="AI609" s="26"/>
    </row>
    <row r="610">
      <c r="A610" s="120" t="s">
        <v>9216</v>
      </c>
      <c r="B610" s="7" t="s">
        <v>129</v>
      </c>
      <c r="C610" s="95" t="s">
        <v>522</v>
      </c>
      <c r="D610" s="109" t="s">
        <v>162</v>
      </c>
      <c r="E610" s="97">
        <f t="shared" si="2"/>
        <v>1</v>
      </c>
      <c r="F610" s="97">
        <f t="shared" si="3"/>
        <v>0</v>
      </c>
      <c r="G610" s="99" t="str">
        <f t="shared" si="77"/>
        <v/>
      </c>
      <c r="H610" s="121"/>
      <c r="I610" s="122"/>
      <c r="J610" s="123"/>
      <c r="K610" s="124"/>
      <c r="L610" s="125"/>
      <c r="M610" s="181"/>
      <c r="N610" s="126"/>
      <c r="O610" s="127"/>
      <c r="P610" s="13">
        <f t="array" ref="P610">XLOOKUP(B610,Weight!B:B,Weight!D:D,"#N/A",0)</f>
        <v>90</v>
      </c>
      <c r="Q610" s="17" t="str">
        <f t="shared" si="6"/>
        <v/>
      </c>
      <c r="R610" s="107"/>
      <c r="S610" s="108">
        <v>560313.0</v>
      </c>
      <c r="T610" s="108">
        <v>12.0</v>
      </c>
      <c r="U610" s="109">
        <v>40.0</v>
      </c>
      <c r="V610" s="110"/>
      <c r="X610" s="111">
        <f>SUMIFS('Transit Shipment'!$B$10:$B$1048462,'Transit Shipment'!$A$10:$A$1048462,B610,'Transit Shipment'!$C$10:$C$1048462,AA610)</f>
        <v>0</v>
      </c>
      <c r="Y610" s="111">
        <f>IF(SUMIFS(DIH!$S$2:$S833,DIH!$D$2:$D833,B610,DIH!$U$2:$U833,AA610)&gt;0,SUMIFS(DIH!$S$2:$S833,DIH!$D$2:$D833,B610,DIH!$U$2:$U833,AA610),0)</f>
        <v>0</v>
      </c>
      <c r="Z610" s="112">
        <f t="shared" si="7"/>
        <v>0</v>
      </c>
      <c r="AA610" s="119" t="s">
        <v>155</v>
      </c>
      <c r="AB610" s="114">
        <f>IF(ISNA(VLOOKUP($B610,'Business Report'!$D$2:$J$202,2,0)),"",VLOOKUP($B610,'Business Report'!$D$2:$J$202,2,0))</f>
        <v>3</v>
      </c>
      <c r="AC610" s="115">
        <f>SUMIFS(AFS!$P$2:$P$6260,AFS!$N$2:$N$6260,B610,AFS!$AT$2:$AT$6260,AA610)</f>
        <v>0</v>
      </c>
      <c r="AD610" s="116">
        <f t="shared" si="8"/>
        <v>0</v>
      </c>
      <c r="AE610" s="117"/>
      <c r="AF610" s="118" t="str">
        <f t="shared" si="9"/>
        <v/>
      </c>
      <c r="AG610" s="26"/>
      <c r="AH610" s="26"/>
      <c r="AI610" s="26"/>
    </row>
    <row r="611">
      <c r="A611" s="120" t="s">
        <v>9216</v>
      </c>
      <c r="B611" s="7" t="s">
        <v>129</v>
      </c>
      <c r="C611" s="95" t="s">
        <v>522</v>
      </c>
      <c r="D611" s="109" t="s">
        <v>162</v>
      </c>
      <c r="E611" s="97">
        <f t="shared" si="2"/>
        <v>1</v>
      </c>
      <c r="F611" s="97">
        <f t="shared" si="3"/>
        <v>0</v>
      </c>
      <c r="G611" s="99">
        <f t="shared" si="77"/>
        <v>2</v>
      </c>
      <c r="H611" s="121"/>
      <c r="I611" s="122"/>
      <c r="J611" s="123"/>
      <c r="K611" s="124"/>
      <c r="L611" s="125"/>
      <c r="M611" s="181"/>
      <c r="N611" s="126"/>
      <c r="O611" s="127"/>
      <c r="P611" s="13">
        <f t="array" ref="P611">XLOOKUP(B611,Weight!B:B,Weight!D:D,"#N/A",0)</f>
        <v>90</v>
      </c>
      <c r="Q611" s="17">
        <f t="shared" si="6"/>
        <v>180</v>
      </c>
      <c r="R611" s="107"/>
      <c r="S611" s="108">
        <v>560313.0</v>
      </c>
      <c r="T611" s="108">
        <v>12.0</v>
      </c>
      <c r="U611" s="109">
        <v>40.0</v>
      </c>
      <c r="V611" s="110"/>
      <c r="X611" s="111">
        <f>SUMIFS('Transit Shipment'!$B$10:$B$1048462,'Transit Shipment'!$A$10:$A$1048462,B611,'Transit Shipment'!$C$10:$C$1048462,AA611)</f>
        <v>0</v>
      </c>
      <c r="Y611" s="111">
        <f>IF(SUMIFS(DIH!$S$2:$S833,DIH!$D$2:$D833,B611,DIH!$U$2:$U833,AA611)&gt;0,SUMIFS(DIH!$S$2:$S833,DIH!$D$2:$D833,B611,DIH!$U$2:$U833,AA611),0)</f>
        <v>0</v>
      </c>
      <c r="Z611" s="112">
        <f t="shared" si="7"/>
        <v>0</v>
      </c>
      <c r="AA611" s="119" t="s">
        <v>156</v>
      </c>
      <c r="AB611" s="114">
        <f>IF(ISNA(VLOOKUP($B611,'Business Report'!$D$2:$J$202,2,0)),"",VLOOKUP($B611,'Business Report'!$D$2:$J$202,2,0))</f>
        <v>3</v>
      </c>
      <c r="AC611" s="115">
        <f>SUMIFS(AFS!$P$2:$P$6260,AFS!$N$2:$N$6260,B611,AFS!$AT$2:$AT$6260,AA611)</f>
        <v>1</v>
      </c>
      <c r="AD611" s="116">
        <f t="shared" si="8"/>
        <v>2</v>
      </c>
      <c r="AE611" s="117"/>
      <c r="AF611" s="118">
        <f t="shared" si="9"/>
        <v>2</v>
      </c>
      <c r="AG611" s="26"/>
      <c r="AH611" s="26"/>
      <c r="AI611" s="26"/>
    </row>
    <row r="612">
      <c r="A612" s="120" t="s">
        <v>9216</v>
      </c>
      <c r="B612" s="7" t="s">
        <v>129</v>
      </c>
      <c r="C612" s="95" t="s">
        <v>522</v>
      </c>
      <c r="D612" s="109" t="s">
        <v>162</v>
      </c>
      <c r="E612" s="97">
        <f t="shared" si="2"/>
        <v>1</v>
      </c>
      <c r="F612" s="97">
        <f t="shared" si="3"/>
        <v>0</v>
      </c>
      <c r="G612" s="99">
        <f t="shared" si="77"/>
        <v>2</v>
      </c>
      <c r="H612" s="121"/>
      <c r="I612" s="122"/>
      <c r="J612" s="123"/>
      <c r="K612" s="124"/>
      <c r="L612" s="125"/>
      <c r="M612" s="181"/>
      <c r="N612" s="126"/>
      <c r="O612" s="127"/>
      <c r="P612" s="13">
        <f t="array" ref="P612">XLOOKUP(B612,Weight!B:B,Weight!D:D,"#N/A",0)</f>
        <v>90</v>
      </c>
      <c r="Q612" s="17">
        <f t="shared" si="6"/>
        <v>180</v>
      </c>
      <c r="R612" s="107"/>
      <c r="S612" s="108">
        <v>560313.0</v>
      </c>
      <c r="T612" s="108">
        <v>12.0</v>
      </c>
      <c r="U612" s="109">
        <v>40.0</v>
      </c>
      <c r="V612" s="110"/>
      <c r="X612" s="111">
        <f>SUMIFS('Transit Shipment'!$B$10:$B$1048462,'Transit Shipment'!$A$10:$A$1048462,B612,'Transit Shipment'!$C$10:$C$1048462,AA612)</f>
        <v>0</v>
      </c>
      <c r="Y612" s="111">
        <f>IF(SUMIFS(DIH!$S$2:$S833,DIH!$D$2:$D833,B612,DIH!$U$2:$U833,AA612)&gt;0,SUMIFS(DIH!$S$2:$S833,DIH!$D$2:$D833,B612,DIH!$U$2:$U833,AA612),0)</f>
        <v>1</v>
      </c>
      <c r="Z612" s="112">
        <f t="shared" si="7"/>
        <v>1</v>
      </c>
      <c r="AA612" s="130" t="s">
        <v>13</v>
      </c>
      <c r="AB612" s="114">
        <f>IF(ISNA(VLOOKUP($B612,'Business Report'!$D$2:$J$202,2,0)),"",VLOOKUP($B612,'Business Report'!$D$2:$J$202,2,0))</f>
        <v>3</v>
      </c>
      <c r="AC612" s="115">
        <f>SUMIFS(AFS!$P$2:$P$6260,AFS!$N$2:$N$6260,B612,AFS!$AT$2:$AT$6260,AA612)</f>
        <v>2</v>
      </c>
      <c r="AD612" s="116">
        <f t="shared" si="8"/>
        <v>2</v>
      </c>
      <c r="AE612" s="117"/>
      <c r="AF612" s="118">
        <f t="shared" si="9"/>
        <v>2</v>
      </c>
      <c r="AG612" s="322"/>
      <c r="AH612" s="26"/>
      <c r="AI612" s="26"/>
    </row>
    <row r="613">
      <c r="A613" s="120" t="s">
        <v>9216</v>
      </c>
      <c r="B613" s="7" t="s">
        <v>129</v>
      </c>
      <c r="C613" s="95" t="s">
        <v>522</v>
      </c>
      <c r="D613" s="109" t="s">
        <v>162</v>
      </c>
      <c r="E613" s="97">
        <f t="shared" si="2"/>
        <v>1</v>
      </c>
      <c r="F613" s="97">
        <f t="shared" si="3"/>
        <v>0</v>
      </c>
      <c r="G613" s="99">
        <f t="shared" si="77"/>
        <v>2</v>
      </c>
      <c r="H613" s="121"/>
      <c r="I613" s="122"/>
      <c r="J613" s="123"/>
      <c r="K613" s="124"/>
      <c r="L613" s="125"/>
      <c r="M613" s="181"/>
      <c r="N613" s="126"/>
      <c r="O613" s="127"/>
      <c r="P613" s="13">
        <f t="array" ref="P613">XLOOKUP(B613,Weight!B:B,Weight!D:D,"#N/A",0)</f>
        <v>90</v>
      </c>
      <c r="Q613" s="17">
        <f t="shared" si="6"/>
        <v>180</v>
      </c>
      <c r="R613" s="107"/>
      <c r="S613" s="108">
        <v>560313.0</v>
      </c>
      <c r="T613" s="108">
        <v>12.0</v>
      </c>
      <c r="U613" s="109">
        <v>40.0</v>
      </c>
      <c r="V613" s="110"/>
      <c r="X613" s="111">
        <f>SUMIFS('Transit Shipment'!$B$10:$B$1048462,'Transit Shipment'!$A$10:$A$1048462,B613,'Transit Shipment'!$C$10:$C$1048462,AA613)</f>
        <v>0</v>
      </c>
      <c r="Y613" s="111">
        <f>IF(SUMIFS(DIH!$S$2:$S833,DIH!$D$2:$D833,B613,DIH!$U$2:$U833,AA613)&gt;0,SUMIFS(DIH!$S$2:$S833,DIH!$D$2:$D833,B613,DIH!$U$2:$U833,AA613),0)</f>
        <v>0</v>
      </c>
      <c r="Z613" s="112">
        <f t="shared" si="7"/>
        <v>0</v>
      </c>
      <c r="AA613" s="119" t="s">
        <v>14</v>
      </c>
      <c r="AB613" s="114">
        <f>IF(ISNA(VLOOKUP($B613,'Business Report'!$D$2:$J$202,2,0)),"",VLOOKUP($B613,'Business Report'!$D$2:$J$202,2,0))</f>
        <v>3</v>
      </c>
      <c r="AC613" s="115">
        <f>SUMIFS(AFS!$P$2:$P$6260,AFS!$N$2:$N$6260,B613,AFS!$AT$2:$AT$6260,AA613)</f>
        <v>1</v>
      </c>
      <c r="AD613" s="116">
        <f t="shared" si="8"/>
        <v>2</v>
      </c>
      <c r="AE613" s="117"/>
      <c r="AF613" s="118">
        <f t="shared" si="9"/>
        <v>2</v>
      </c>
      <c r="AG613" s="26"/>
      <c r="AH613" s="26"/>
      <c r="AI613" s="26"/>
    </row>
    <row r="614">
      <c r="A614" s="120" t="s">
        <v>9216</v>
      </c>
      <c r="B614" s="7" t="s">
        <v>129</v>
      </c>
      <c r="C614" s="95" t="s">
        <v>522</v>
      </c>
      <c r="D614" s="109" t="s">
        <v>162</v>
      </c>
      <c r="E614" s="97">
        <f t="shared" si="2"/>
        <v>1</v>
      </c>
      <c r="F614" s="97">
        <f t="shared" si="3"/>
        <v>0</v>
      </c>
      <c r="G614" s="99" t="str">
        <f t="shared" si="77"/>
        <v/>
      </c>
      <c r="H614" s="121"/>
      <c r="I614" s="122"/>
      <c r="J614" s="123"/>
      <c r="K614" s="124"/>
      <c r="L614" s="125"/>
      <c r="M614" s="181"/>
      <c r="N614" s="126"/>
      <c r="O614" s="127"/>
      <c r="P614" s="13">
        <f t="array" ref="P614">XLOOKUP(B614,Weight!B:B,Weight!D:D,"#N/A",0)</f>
        <v>90</v>
      </c>
      <c r="Q614" s="17" t="str">
        <f t="shared" si="6"/>
        <v/>
      </c>
      <c r="R614" s="107"/>
      <c r="S614" s="108">
        <v>560313.0</v>
      </c>
      <c r="T614" s="108">
        <v>12.0</v>
      </c>
      <c r="U614" s="109">
        <v>40.0</v>
      </c>
      <c r="V614" s="110"/>
      <c r="X614" s="111">
        <f>SUMIFS('Transit Shipment'!$B$10:$B$1048462,'Transit Shipment'!$A$10:$A$1048462,B614,'Transit Shipment'!$C$10:$C$1048462,AA614)</f>
        <v>0</v>
      </c>
      <c r="Y614" s="111">
        <f>IF(SUMIFS(DIH!$S$2:$S833,DIH!$D$2:$D833,B614,DIH!$U$2:$U833,AA614)&gt;0,SUMIFS(DIH!$S$2:$S833,DIH!$D$2:$D833,B614,DIH!$U$2:$U833,AA614),0)</f>
        <v>0</v>
      </c>
      <c r="Z614" s="112">
        <f t="shared" si="7"/>
        <v>0</v>
      </c>
      <c r="AA614" s="131" t="s">
        <v>16</v>
      </c>
      <c r="AB614" s="114">
        <f>IF(ISNA(VLOOKUP($B614,'Business Report'!$D$2:$J$202,2,0)),"",VLOOKUP($B614,'Business Report'!$D$2:$J$202,2,0))</f>
        <v>3</v>
      </c>
      <c r="AC614" s="115">
        <f>SUMIFS(AFS!$P$2:$P$6260,AFS!$N$2:$N$6260,B614,AFS!$AT$2:$AT$6260,AA614)</f>
        <v>0</v>
      </c>
      <c r="AD614" s="116">
        <f t="shared" si="8"/>
        <v>0</v>
      </c>
      <c r="AE614" s="117"/>
      <c r="AF614" s="118" t="str">
        <f t="shared" si="9"/>
        <v/>
      </c>
      <c r="AG614" s="26"/>
      <c r="AH614" s="26"/>
      <c r="AI614" s="26"/>
    </row>
    <row r="615">
      <c r="A615" s="132" t="s">
        <v>9216</v>
      </c>
      <c r="B615" s="15" t="s">
        <v>129</v>
      </c>
      <c r="C615" s="133" t="s">
        <v>522</v>
      </c>
      <c r="D615" s="134" t="s">
        <v>162</v>
      </c>
      <c r="E615" s="135">
        <f t="shared" si="2"/>
        <v>1</v>
      </c>
      <c r="F615" s="135">
        <f t="shared" si="3"/>
        <v>0</v>
      </c>
      <c r="G615" s="136" t="str">
        <f t="shared" si="77"/>
        <v/>
      </c>
      <c r="H615" s="137"/>
      <c r="I615" s="138"/>
      <c r="J615" s="139"/>
      <c r="K615" s="140"/>
      <c r="L615" s="135"/>
      <c r="M615" s="152"/>
      <c r="N615" s="142"/>
      <c r="O615" s="143"/>
      <c r="P615" s="144">
        <f t="array" ref="P615">XLOOKUP(B615,Weight!B:B,Weight!D:D,"#N/A",0)</f>
        <v>90</v>
      </c>
      <c r="Q615" s="145" t="str">
        <f t="shared" si="6"/>
        <v/>
      </c>
      <c r="R615" s="146"/>
      <c r="S615" s="147">
        <v>560313.0</v>
      </c>
      <c r="T615" s="147">
        <v>12.0</v>
      </c>
      <c r="U615" s="109">
        <v>40.0</v>
      </c>
      <c r="V615" s="148"/>
      <c r="W615" s="149"/>
      <c r="X615" s="150">
        <f>SUMIFS('Transit Shipment'!$B$10:$B$1048462,'Transit Shipment'!$A$10:$A$1048462,B615,'Transit Shipment'!$C$10:$C$1048462,AA615)</f>
        <v>0</v>
      </c>
      <c r="Y615" s="150">
        <f>IF(SUMIFS(DIH!$S$2:$S833,DIH!$D$2:$D833,B615,DIH!$U$2:$U833,AA615)&gt;0,SUMIFS(DIH!$S$2:$S833,DIH!$D$2:$D833,B615,DIH!$U$2:$U833,AA615),0)</f>
        <v>0</v>
      </c>
      <c r="Z615" s="151">
        <f t="shared" si="7"/>
        <v>0</v>
      </c>
      <c r="AA615" s="152" t="s">
        <v>17</v>
      </c>
      <c r="AB615" s="154">
        <f>IF(ISNA(VLOOKUP($B615,'Business Report'!$D$2:$J$202,2,0)),"",VLOOKUP($B615,'Business Report'!$D$2:$J$202,2,0))</f>
        <v>3</v>
      </c>
      <c r="AC615" s="155">
        <f>SUMIFS(AFS!$P$2:$P$6260,AFS!$N$2:$N$6260,B615,AFS!$AT$2:$AT$6260,AA615)</f>
        <v>0</v>
      </c>
      <c r="AD615" s="156">
        <f t="shared" si="8"/>
        <v>0</v>
      </c>
      <c r="AE615" s="159">
        <f>SUM(AD607:AD615)</f>
        <v>6</v>
      </c>
      <c r="AF615" s="118" t="str">
        <f t="shared" si="9"/>
        <v/>
      </c>
      <c r="AG615" s="26"/>
      <c r="AH615" s="26"/>
      <c r="AI615" s="26"/>
    </row>
    <row r="616">
      <c r="A616" s="66" t="s">
        <v>9216</v>
      </c>
      <c r="B616" s="1" t="s">
        <v>130</v>
      </c>
      <c r="C616" s="95" t="s">
        <v>9813</v>
      </c>
      <c r="D616" s="68" t="s">
        <v>162</v>
      </c>
      <c r="E616" s="69">
        <f t="shared" si="2"/>
        <v>3</v>
      </c>
      <c r="F616" s="69">
        <f t="shared" si="3"/>
        <v>0.5</v>
      </c>
      <c r="G616" s="70">
        <f t="shared" si="77"/>
        <v>8</v>
      </c>
      <c r="H616" s="163"/>
      <c r="I616" s="101"/>
      <c r="J616" s="102"/>
      <c r="K616" s="167"/>
      <c r="L616" s="119"/>
      <c r="M616" s="169"/>
      <c r="N616" s="171"/>
      <c r="O616" s="106"/>
      <c r="P616" s="79">
        <f t="array" ref="P616">XLOOKUP(B616,Weight!B:B,Weight!D:D,"#N/A",0)</f>
        <v>88</v>
      </c>
      <c r="Q616" s="80">
        <f t="shared" si="6"/>
        <v>704</v>
      </c>
      <c r="R616" s="107"/>
      <c r="S616" s="108">
        <v>560313.0</v>
      </c>
      <c r="T616" s="108">
        <v>12.0</v>
      </c>
      <c r="U616" s="83">
        <v>40.0</v>
      </c>
      <c r="V616" s="84" t="str">
        <f t="shared" ref="V616:W616" si="101">B616</f>
        <v>CRM-HP-580-Black</v>
      </c>
      <c r="W616" s="174" t="str">
        <f t="shared" si="101"/>
        <v>Crasome Dust &amp; Water Proof Printer Cover for HP Smart Tank All-in-One 580 / 581 / 585 (Black)</v>
      </c>
      <c r="X616" s="86">
        <f>SUMIFS('Transit Shipment'!$B$10:$B$1048462,'Transit Shipment'!$A$10:$A$1048462,B616,'Transit Shipment'!$C$10:$C$1048462,AA616)</f>
        <v>0</v>
      </c>
      <c r="Y616" s="86">
        <f>IF(SUMIFS(DIH!$S$2:$S833,DIH!$D$2:$D833,B616,DIH!$U$2:$U833,AA616)&gt;0,SUMIFS(DIH!$S$2:$S833,DIH!$D$2:$D833,B616,DIH!$U$2:$U833,AA616),0)</f>
        <v>3</v>
      </c>
      <c r="Z616" s="87">
        <f t="shared" si="7"/>
        <v>3</v>
      </c>
      <c r="AA616" s="88" t="s">
        <v>5</v>
      </c>
      <c r="AB616" s="89">
        <f>IF(ISNA(VLOOKUP($B616,'Business Report'!$D$2:$J$202,2,0)),"",VLOOKUP($B616,'Business Report'!$D$2:$J$202,2,0))</f>
        <v>59</v>
      </c>
      <c r="AC616" s="90">
        <f>SUMIFS(AFS!$P$2:$P$6260,AFS!$N$2:$N$6260,B616,AFS!$AT$2:$AT$6260,AA616)</f>
        <v>7</v>
      </c>
      <c r="AD616" s="91">
        <f t="shared" si="8"/>
        <v>7</v>
      </c>
      <c r="AE616" s="92"/>
      <c r="AF616" s="93">
        <f t="shared" si="9"/>
        <v>8</v>
      </c>
      <c r="AG616" s="26"/>
      <c r="AH616" s="26"/>
      <c r="AI616" s="26"/>
    </row>
    <row r="617">
      <c r="A617" s="94" t="s">
        <v>9216</v>
      </c>
      <c r="B617" s="3" t="s">
        <v>130</v>
      </c>
      <c r="C617" s="95" t="s">
        <v>9813</v>
      </c>
      <c r="D617" s="96" t="s">
        <v>162</v>
      </c>
      <c r="E617" s="97">
        <f t="shared" si="2"/>
        <v>4</v>
      </c>
      <c r="F617" s="97">
        <f t="shared" si="3"/>
        <v>0.5</v>
      </c>
      <c r="G617" s="99">
        <f t="shared" si="77"/>
        <v>10</v>
      </c>
      <c r="H617" s="100"/>
      <c r="I617" s="101"/>
      <c r="J617" s="102"/>
      <c r="K617" s="103"/>
      <c r="L617" s="97"/>
      <c r="M617" s="169"/>
      <c r="N617" s="105"/>
      <c r="O617" s="106"/>
      <c r="P617" s="13">
        <f t="array" ref="P617">XLOOKUP(B617,Weight!B:B,Weight!D:D,"#N/A",0)</f>
        <v>88</v>
      </c>
      <c r="Q617" s="17">
        <f t="shared" si="6"/>
        <v>880</v>
      </c>
      <c r="R617" s="107"/>
      <c r="S617" s="108">
        <v>560313.0</v>
      </c>
      <c r="T617" s="108">
        <v>12.0</v>
      </c>
      <c r="U617" s="109">
        <v>40.0</v>
      </c>
      <c r="V617" s="110"/>
      <c r="X617" s="111">
        <f>SUMIFS('Transit Shipment'!$B$10:$B$1048462,'Transit Shipment'!$A$10:$A$1048462,B617,'Transit Shipment'!$C$10:$C$1048462,AA617)</f>
        <v>0</v>
      </c>
      <c r="Y617" s="111">
        <f>IF(SUMIFS(DIH!$S$2:$S833,DIH!$D$2:$D833,B617,DIH!$U$2:$U833,AA617)&gt;0,SUMIFS(DIH!$S$2:$S833,DIH!$D$2:$D833,B617,DIH!$U$2:$U833,AA617),0)</f>
        <v>10</v>
      </c>
      <c r="Z617" s="112">
        <f t="shared" si="7"/>
        <v>10</v>
      </c>
      <c r="AA617" s="113" t="s">
        <v>11</v>
      </c>
      <c r="AB617" s="114">
        <f>IF(ISNA(VLOOKUP($B617,'Business Report'!$D$2:$J$202,2,0)),"",VLOOKUP($B617,'Business Report'!$D$2:$J$202,2,0))</f>
        <v>59</v>
      </c>
      <c r="AC617" s="115">
        <f>SUMIFS(AFS!$P$2:$P$6260,AFS!$N$2:$N$6260,B617,AFS!$AT$2:$AT$6260,AA617)</f>
        <v>14</v>
      </c>
      <c r="AD617" s="116">
        <f t="shared" si="8"/>
        <v>9</v>
      </c>
      <c r="AE617" s="117"/>
      <c r="AF617" s="118">
        <f t="shared" si="9"/>
        <v>10</v>
      </c>
      <c r="AG617" s="26"/>
      <c r="AH617" s="26"/>
      <c r="AI617" s="26"/>
    </row>
    <row r="618">
      <c r="A618" s="94" t="s">
        <v>9216</v>
      </c>
      <c r="B618" s="3" t="s">
        <v>130</v>
      </c>
      <c r="C618" s="95" t="s">
        <v>9813</v>
      </c>
      <c r="D618" s="96" t="s">
        <v>162</v>
      </c>
      <c r="E618" s="97">
        <f t="shared" si="2"/>
        <v>5</v>
      </c>
      <c r="F618" s="97">
        <f t="shared" si="3"/>
        <v>0</v>
      </c>
      <c r="G618" s="99">
        <f t="shared" si="77"/>
        <v>10</v>
      </c>
      <c r="H618" s="100"/>
      <c r="I618" s="101"/>
      <c r="J618" s="102"/>
      <c r="K618" s="103"/>
      <c r="L618" s="97"/>
      <c r="M618" s="169"/>
      <c r="N618" s="105"/>
      <c r="O618" s="106"/>
      <c r="P618" s="13">
        <f t="array" ref="P618">XLOOKUP(B618,Weight!B:B,Weight!D:D,"#N/A",0)</f>
        <v>88</v>
      </c>
      <c r="Q618" s="17">
        <f t="shared" si="6"/>
        <v>880</v>
      </c>
      <c r="R618" s="107"/>
      <c r="S618" s="108">
        <v>560313.0</v>
      </c>
      <c r="T618" s="108">
        <v>12.0</v>
      </c>
      <c r="U618" s="109">
        <v>40.0</v>
      </c>
      <c r="V618" s="110"/>
      <c r="X618" s="111">
        <f>SUMIFS('Transit Shipment'!$B$10:$B$1048462,'Transit Shipment'!$A$10:$A$1048462,B618,'Transit Shipment'!$C$10:$C$1048462,AA618)</f>
        <v>0</v>
      </c>
      <c r="Y618" s="111">
        <f>IF(SUMIFS(DIH!$S$2:$S833,DIH!$D$2:$D833,B618,DIH!$U$2:$U833,AA618)&gt;0,SUMIFS(DIH!$S$2:$S833,DIH!$D$2:$D833,B618,DIH!$U$2:$U833,AA618),0)</f>
        <v>6</v>
      </c>
      <c r="Z618" s="112">
        <f t="shared" si="7"/>
        <v>6</v>
      </c>
      <c r="AA618" s="119" t="s">
        <v>9</v>
      </c>
      <c r="AB618" s="114">
        <f>IF(ISNA(VLOOKUP($B618,'Business Report'!$D$2:$J$202,2,0)),"",VLOOKUP($B618,'Business Report'!$D$2:$J$202,2,0))</f>
        <v>59</v>
      </c>
      <c r="AC618" s="115">
        <f>SUMIFS(AFS!$P$2:$P$6260,AFS!$N$2:$N$6260,B618,AFS!$AT$2:$AT$6260,AA618)</f>
        <v>12</v>
      </c>
      <c r="AD618" s="116">
        <f t="shared" si="8"/>
        <v>10</v>
      </c>
      <c r="AE618" s="117"/>
      <c r="AF618" s="118">
        <f t="shared" si="9"/>
        <v>10</v>
      </c>
      <c r="AG618" s="4"/>
      <c r="AH618" s="26"/>
      <c r="AI618" s="26"/>
    </row>
    <row r="619">
      <c r="A619" s="120" t="s">
        <v>9216</v>
      </c>
      <c r="B619" s="7" t="s">
        <v>130</v>
      </c>
      <c r="C619" s="95" t="s">
        <v>9813</v>
      </c>
      <c r="D619" s="109" t="s">
        <v>162</v>
      </c>
      <c r="E619" s="97">
        <f t="shared" si="2"/>
        <v>1</v>
      </c>
      <c r="F619" s="97">
        <f t="shared" si="3"/>
        <v>0</v>
      </c>
      <c r="G619" s="99">
        <f t="shared" si="77"/>
        <v>2</v>
      </c>
      <c r="H619" s="121"/>
      <c r="I619" s="122"/>
      <c r="J619" s="123"/>
      <c r="K619" s="124"/>
      <c r="L619" s="125"/>
      <c r="M619" s="181"/>
      <c r="N619" s="126"/>
      <c r="O619" s="127"/>
      <c r="P619" s="13">
        <f t="array" ref="P619">XLOOKUP(B619,Weight!B:B,Weight!D:D,"#N/A",0)</f>
        <v>88</v>
      </c>
      <c r="Q619" s="17">
        <f t="shared" si="6"/>
        <v>176</v>
      </c>
      <c r="R619" s="107"/>
      <c r="S619" s="108">
        <v>560313.0</v>
      </c>
      <c r="T619" s="108">
        <v>12.0</v>
      </c>
      <c r="U619" s="109">
        <v>40.0</v>
      </c>
      <c r="V619" s="110"/>
      <c r="X619" s="111">
        <f>SUMIFS('Transit Shipment'!$B$10:$B$1048462,'Transit Shipment'!$A$10:$A$1048462,B619,'Transit Shipment'!$C$10:$C$1048462,AA619)</f>
        <v>0</v>
      </c>
      <c r="Y619" s="111">
        <f>IF(SUMIFS(DIH!$S$2:$S833,DIH!$D$2:$D833,B619,DIH!$U$2:$U833,AA619)&gt;0,SUMIFS(DIH!$S$2:$S833,DIH!$D$2:$D833,B619,DIH!$U$2:$U833,AA619),0)</f>
        <v>9</v>
      </c>
      <c r="Z619" s="112">
        <f t="shared" si="7"/>
        <v>9</v>
      </c>
      <c r="AA619" s="119" t="s">
        <v>155</v>
      </c>
      <c r="AB619" s="114">
        <f>IF(ISNA(VLOOKUP($B619,'Business Report'!$D$2:$J$202,2,0)),"",VLOOKUP($B619,'Business Report'!$D$2:$J$202,2,0))</f>
        <v>59</v>
      </c>
      <c r="AC619" s="115">
        <f>SUMIFS(AFS!$P$2:$P$6260,AFS!$N$2:$N$6260,B619,AFS!$AT$2:$AT$6260,AA619)</f>
        <v>8</v>
      </c>
      <c r="AD619" s="116">
        <f t="shared" si="8"/>
        <v>2</v>
      </c>
      <c r="AE619" s="117"/>
      <c r="AF619" s="118">
        <f t="shared" si="9"/>
        <v>2</v>
      </c>
      <c r="AG619" s="4"/>
      <c r="AH619" s="26"/>
      <c r="AI619" s="26"/>
    </row>
    <row r="620">
      <c r="A620" s="120" t="s">
        <v>9216</v>
      </c>
      <c r="B620" s="7" t="s">
        <v>130</v>
      </c>
      <c r="C620" s="95" t="s">
        <v>9813</v>
      </c>
      <c r="D620" s="109" t="s">
        <v>162</v>
      </c>
      <c r="E620" s="97">
        <f t="shared" si="2"/>
        <v>2</v>
      </c>
      <c r="F620" s="97">
        <f t="shared" si="3"/>
        <v>0</v>
      </c>
      <c r="G620" s="99">
        <f t="shared" si="77"/>
        <v>4</v>
      </c>
      <c r="H620" s="121"/>
      <c r="I620" s="122"/>
      <c r="J620" s="123"/>
      <c r="K620" s="124"/>
      <c r="L620" s="125"/>
      <c r="M620" s="181"/>
      <c r="N620" s="126"/>
      <c r="O620" s="127"/>
      <c r="P620" s="13">
        <f t="array" ref="P620">XLOOKUP(B620,Weight!B:B,Weight!D:D,"#N/A",0)</f>
        <v>88</v>
      </c>
      <c r="Q620" s="17">
        <f t="shared" si="6"/>
        <v>352</v>
      </c>
      <c r="R620" s="107"/>
      <c r="S620" s="108">
        <v>560313.0</v>
      </c>
      <c r="T620" s="108">
        <v>12.0</v>
      </c>
      <c r="U620" s="109">
        <v>40.0</v>
      </c>
      <c r="V620" s="110"/>
      <c r="X620" s="111">
        <f>SUMIFS('Transit Shipment'!$B$10:$B$1048462,'Transit Shipment'!$A$10:$A$1048462,B620,'Transit Shipment'!$C$10:$C$1048462,AA620)</f>
        <v>0</v>
      </c>
      <c r="Y620" s="111">
        <f>IF(SUMIFS(DIH!$S$2:$S833,DIH!$D$2:$D833,B620,DIH!$U$2:$U833,AA620)&gt;0,SUMIFS(DIH!$S$2:$S833,DIH!$D$2:$D833,B620,DIH!$U$2:$U833,AA620),0)</f>
        <v>18</v>
      </c>
      <c r="Z620" s="112">
        <f t="shared" si="7"/>
        <v>18</v>
      </c>
      <c r="AA620" s="119" t="s">
        <v>156</v>
      </c>
      <c r="AB620" s="114">
        <f>IF(ISNA(VLOOKUP($B620,'Business Report'!$D$2:$J$202,2,0)),"",VLOOKUP($B620,'Business Report'!$D$2:$J$202,2,0))</f>
        <v>59</v>
      </c>
      <c r="AC620" s="115">
        <f>SUMIFS(AFS!$P$2:$P$6260,AFS!$N$2:$N$6260,B620,AFS!$AT$2:$AT$6260,AA620)</f>
        <v>16</v>
      </c>
      <c r="AD620" s="116">
        <f t="shared" si="8"/>
        <v>4</v>
      </c>
      <c r="AE620" s="117"/>
      <c r="AF620" s="118">
        <f t="shared" si="9"/>
        <v>4</v>
      </c>
      <c r="AG620" s="4"/>
      <c r="AH620" s="26"/>
      <c r="AI620" s="26"/>
    </row>
    <row r="621">
      <c r="A621" s="120" t="s">
        <v>9216</v>
      </c>
      <c r="B621" s="7" t="s">
        <v>130</v>
      </c>
      <c r="C621" s="95" t="s">
        <v>9813</v>
      </c>
      <c r="D621" s="109" t="s">
        <v>162</v>
      </c>
      <c r="E621" s="97">
        <f t="shared" si="2"/>
        <v>7</v>
      </c>
      <c r="F621" s="97">
        <f t="shared" si="3"/>
        <v>0.5</v>
      </c>
      <c r="G621" s="99">
        <f t="shared" si="77"/>
        <v>16</v>
      </c>
      <c r="H621" s="121"/>
      <c r="I621" s="122"/>
      <c r="J621" s="123"/>
      <c r="K621" s="124"/>
      <c r="L621" s="125"/>
      <c r="M621" s="181"/>
      <c r="N621" s="126"/>
      <c r="O621" s="127"/>
      <c r="P621" s="13">
        <f t="array" ref="P621">XLOOKUP(B621,Weight!B:B,Weight!D:D,"#N/A",0)</f>
        <v>88</v>
      </c>
      <c r="Q621" s="17">
        <f t="shared" si="6"/>
        <v>1408</v>
      </c>
      <c r="R621" s="107"/>
      <c r="S621" s="108">
        <v>560313.0</v>
      </c>
      <c r="T621" s="108">
        <v>12.0</v>
      </c>
      <c r="U621" s="109">
        <v>40.0</v>
      </c>
      <c r="V621" s="110"/>
      <c r="X621" s="111">
        <f>SUMIFS('Transit Shipment'!$B$10:$B$1048462,'Transit Shipment'!$A$10:$A$1048462,B621,'Transit Shipment'!$C$10:$C$1048462,AA621)</f>
        <v>0</v>
      </c>
      <c r="Y621" s="111">
        <f>IF(SUMIFS(DIH!$S$2:$S833,DIH!$D$2:$D833,B621,DIH!$U$2:$U833,AA621)&gt;0,SUMIFS(DIH!$S$2:$S833,DIH!$D$2:$D833,B621,DIH!$U$2:$U833,AA621),0)</f>
        <v>7</v>
      </c>
      <c r="Z621" s="112">
        <f t="shared" si="7"/>
        <v>7</v>
      </c>
      <c r="AA621" s="130" t="s">
        <v>13</v>
      </c>
      <c r="AB621" s="114">
        <f>IF(ISNA(VLOOKUP($B621,'Business Report'!$D$2:$J$202,2,0)),"",VLOOKUP($B621,'Business Report'!$D$2:$J$202,2,0))</f>
        <v>59</v>
      </c>
      <c r="AC621" s="115">
        <f>SUMIFS(AFS!$P$2:$P$6260,AFS!$N$2:$N$6260,B621,AFS!$AT$2:$AT$6260,AA621)</f>
        <v>16</v>
      </c>
      <c r="AD621" s="116">
        <f t="shared" si="8"/>
        <v>15</v>
      </c>
      <c r="AE621" s="117"/>
      <c r="AF621" s="118">
        <f t="shared" si="9"/>
        <v>16</v>
      </c>
      <c r="AG621" s="26"/>
      <c r="AH621" s="26"/>
      <c r="AI621" s="26"/>
    </row>
    <row r="622">
      <c r="A622" s="120" t="s">
        <v>9216</v>
      </c>
      <c r="B622" s="7" t="s">
        <v>130</v>
      </c>
      <c r="C622" s="95" t="s">
        <v>9813</v>
      </c>
      <c r="D622" s="109" t="s">
        <v>162</v>
      </c>
      <c r="E622" s="97">
        <f t="shared" si="2"/>
        <v>2</v>
      </c>
      <c r="F622" s="97">
        <f t="shared" si="3"/>
        <v>0.5</v>
      </c>
      <c r="G622" s="99">
        <f t="shared" si="77"/>
        <v>6</v>
      </c>
      <c r="H622" s="121"/>
      <c r="I622" s="122"/>
      <c r="J622" s="123"/>
      <c r="K622" s="124"/>
      <c r="L622" s="125"/>
      <c r="M622" s="181"/>
      <c r="N622" s="126"/>
      <c r="O622" s="127"/>
      <c r="P622" s="13">
        <f t="array" ref="P622">XLOOKUP(B622,Weight!B:B,Weight!D:D,"#N/A",0)</f>
        <v>88</v>
      </c>
      <c r="Q622" s="17">
        <f t="shared" si="6"/>
        <v>528</v>
      </c>
      <c r="R622" s="107"/>
      <c r="S622" s="108">
        <v>560313.0</v>
      </c>
      <c r="T622" s="108">
        <v>12.0</v>
      </c>
      <c r="U622" s="109">
        <v>40.0</v>
      </c>
      <c r="V622" s="110"/>
      <c r="X622" s="111">
        <f>SUMIFS('Transit Shipment'!$B$10:$B$1048462,'Transit Shipment'!$A$10:$A$1048462,B622,'Transit Shipment'!$C$10:$C$1048462,AA622)</f>
        <v>0</v>
      </c>
      <c r="Y622" s="111">
        <f>IF(SUMIFS(DIH!$S$2:$S833,DIH!$D$2:$D833,B622,DIH!$U$2:$U833,AA622)&gt;0,SUMIFS(DIH!$S$2:$S833,DIH!$D$2:$D833,B622,DIH!$U$2:$U833,AA622),0)</f>
        <v>19</v>
      </c>
      <c r="Z622" s="112">
        <f t="shared" si="7"/>
        <v>19</v>
      </c>
      <c r="AA622" s="119" t="s">
        <v>14</v>
      </c>
      <c r="AB622" s="114">
        <f>IF(ISNA(VLOOKUP($B622,'Business Report'!$D$2:$J$202,2,0)),"",VLOOKUP($B622,'Business Report'!$D$2:$J$202,2,0))</f>
        <v>59</v>
      </c>
      <c r="AC622" s="115">
        <f>SUMIFS(AFS!$P$2:$P$6260,AFS!$N$2:$N$6260,B622,AFS!$AT$2:$AT$6260,AA622)</f>
        <v>18</v>
      </c>
      <c r="AD622" s="116">
        <f t="shared" si="8"/>
        <v>5</v>
      </c>
      <c r="AE622" s="117"/>
      <c r="AF622" s="118">
        <f t="shared" si="9"/>
        <v>6</v>
      </c>
      <c r="AG622" s="26"/>
      <c r="AH622" s="26"/>
      <c r="AI622" s="26"/>
    </row>
    <row r="623">
      <c r="A623" s="120" t="s">
        <v>9216</v>
      </c>
      <c r="B623" s="7" t="s">
        <v>130</v>
      </c>
      <c r="C623" s="95" t="s">
        <v>9813</v>
      </c>
      <c r="D623" s="109" t="s">
        <v>162</v>
      </c>
      <c r="E623" s="97">
        <f t="shared" si="2"/>
        <v>2</v>
      </c>
      <c r="F623" s="97">
        <f t="shared" si="3"/>
        <v>0.5</v>
      </c>
      <c r="G623" s="99">
        <f t="shared" si="77"/>
        <v>6</v>
      </c>
      <c r="H623" s="121"/>
      <c r="I623" s="122"/>
      <c r="J623" s="123"/>
      <c r="K623" s="124"/>
      <c r="L623" s="125"/>
      <c r="M623" s="181"/>
      <c r="N623" s="126"/>
      <c r="O623" s="127"/>
      <c r="P623" s="13">
        <f t="array" ref="P623">XLOOKUP(B623,Weight!B:B,Weight!D:D,"#N/A",0)</f>
        <v>88</v>
      </c>
      <c r="Q623" s="17">
        <f t="shared" si="6"/>
        <v>528</v>
      </c>
      <c r="R623" s="107"/>
      <c r="S623" s="108">
        <v>560313.0</v>
      </c>
      <c r="T623" s="108">
        <v>12.0</v>
      </c>
      <c r="U623" s="109">
        <v>40.0</v>
      </c>
      <c r="V623" s="110"/>
      <c r="X623" s="111">
        <f>SUMIFS('Transit Shipment'!$B$10:$B$1048462,'Transit Shipment'!$A$10:$A$1048462,B623,'Transit Shipment'!$C$10:$C$1048462,AA623)</f>
        <v>0</v>
      </c>
      <c r="Y623" s="111">
        <f>IF(SUMIFS(DIH!$S$2:$S833,DIH!$D$2:$D833,B623,DIH!$U$2:$U833,AA623)&gt;0,SUMIFS(DIH!$S$2:$S833,DIH!$D$2:$D833,B623,DIH!$U$2:$U833,AA623),0)</f>
        <v>11</v>
      </c>
      <c r="Z623" s="112">
        <f t="shared" si="7"/>
        <v>11</v>
      </c>
      <c r="AA623" s="131" t="s">
        <v>16</v>
      </c>
      <c r="AB623" s="114">
        <f>IF(ISNA(VLOOKUP($B623,'Business Report'!$D$2:$J$202,2,0)),"",VLOOKUP($B623,'Business Report'!$D$2:$J$202,2,0))</f>
        <v>59</v>
      </c>
      <c r="AC623" s="115">
        <f>SUMIFS(AFS!$P$2:$P$6260,AFS!$N$2:$N$6260,B623,AFS!$AT$2:$AT$6260,AA623)</f>
        <v>12</v>
      </c>
      <c r="AD623" s="116">
        <f t="shared" si="8"/>
        <v>5</v>
      </c>
      <c r="AE623" s="117"/>
      <c r="AF623" s="118">
        <f t="shared" si="9"/>
        <v>6</v>
      </c>
      <c r="AG623" s="26"/>
      <c r="AH623" s="26"/>
      <c r="AI623" s="26"/>
    </row>
    <row r="624">
      <c r="A624" s="132" t="s">
        <v>9216</v>
      </c>
      <c r="B624" s="15" t="s">
        <v>130</v>
      </c>
      <c r="C624" s="133" t="s">
        <v>9813</v>
      </c>
      <c r="D624" s="134" t="s">
        <v>162</v>
      </c>
      <c r="E624" s="135">
        <f t="shared" si="2"/>
        <v>5</v>
      </c>
      <c r="F624" s="135">
        <f t="shared" si="3"/>
        <v>0.5</v>
      </c>
      <c r="G624" s="136">
        <f t="shared" si="77"/>
        <v>12</v>
      </c>
      <c r="H624" s="137"/>
      <c r="I624" s="138"/>
      <c r="J624" s="139"/>
      <c r="K624" s="140"/>
      <c r="L624" s="135"/>
      <c r="M624" s="152"/>
      <c r="N624" s="142"/>
      <c r="O624" s="143"/>
      <c r="P624" s="144">
        <f t="array" ref="P624">XLOOKUP(B624,Weight!B:B,Weight!D:D,"#N/A",0)</f>
        <v>88</v>
      </c>
      <c r="Q624" s="145">
        <f t="shared" si="6"/>
        <v>1056</v>
      </c>
      <c r="R624" s="146"/>
      <c r="S624" s="147">
        <v>560313.0</v>
      </c>
      <c r="T624" s="147">
        <v>12.0</v>
      </c>
      <c r="U624" s="109">
        <v>40.0</v>
      </c>
      <c r="V624" s="148"/>
      <c r="W624" s="149"/>
      <c r="X624" s="150">
        <f>SUMIFS('Transit Shipment'!$B$10:$B$1048462,'Transit Shipment'!$A$10:$A$1048462,B624,'Transit Shipment'!$C$10:$C$1048462,AA624)</f>
        <v>0</v>
      </c>
      <c r="Y624" s="150">
        <f>IF(SUMIFS(DIH!$S$2:$S833,DIH!$D$2:$D833,B624,DIH!$U$2:$U833,AA624)&gt;0,SUMIFS(DIH!$S$2:$S833,DIH!$D$2:$D833,B624,DIH!$U$2:$U833,AA624),0)</f>
        <v>3</v>
      </c>
      <c r="Z624" s="151">
        <f t="shared" si="7"/>
        <v>3</v>
      </c>
      <c r="AA624" s="152" t="s">
        <v>17</v>
      </c>
      <c r="AB624" s="154">
        <f>IF(ISNA(VLOOKUP($B624,'Business Report'!$D$2:$J$202,2,0)),"",VLOOKUP($B624,'Business Report'!$D$2:$J$202,2,0))</f>
        <v>59</v>
      </c>
      <c r="AC624" s="155">
        <f>SUMIFS(AFS!$P$2:$P$6260,AFS!$N$2:$N$6260,B624,AFS!$AT$2:$AT$6260,AA624)</f>
        <v>10</v>
      </c>
      <c r="AD624" s="156">
        <f t="shared" si="8"/>
        <v>11</v>
      </c>
      <c r="AE624" s="159">
        <f>SUM(AD616:AD624)</f>
        <v>68</v>
      </c>
      <c r="AF624" s="118">
        <f t="shared" si="9"/>
        <v>12</v>
      </c>
      <c r="AG624" s="26"/>
      <c r="AH624" s="26"/>
      <c r="AI624" s="26"/>
    </row>
    <row r="625">
      <c r="A625" s="66" t="s">
        <v>8590</v>
      </c>
      <c r="B625" s="1" t="s">
        <v>131</v>
      </c>
      <c r="C625" s="95" t="s">
        <v>318</v>
      </c>
      <c r="D625" s="68" t="s">
        <v>162</v>
      </c>
      <c r="E625" s="69">
        <f t="shared" si="2"/>
        <v>0</v>
      </c>
      <c r="F625" s="69">
        <f t="shared" si="3"/>
        <v>0.5</v>
      </c>
      <c r="G625" s="70">
        <f t="shared" si="77"/>
        <v>2</v>
      </c>
      <c r="H625" s="163"/>
      <c r="I625" s="101"/>
      <c r="J625" s="102"/>
      <c r="K625" s="167"/>
      <c r="L625" s="119"/>
      <c r="M625" s="169"/>
      <c r="N625" s="171"/>
      <c r="O625" s="106"/>
      <c r="P625" s="79">
        <f t="array" ref="P625">XLOOKUP(B625,Weight!B:B,Weight!D:D,"#N/A",0)</f>
        <v>90</v>
      </c>
      <c r="Q625" s="80">
        <f t="shared" si="6"/>
        <v>180</v>
      </c>
      <c r="R625" s="107"/>
      <c r="S625" s="108">
        <v>560313.0</v>
      </c>
      <c r="T625" s="108">
        <v>12.0</v>
      </c>
      <c r="U625" s="83">
        <v>40.0</v>
      </c>
      <c r="V625" s="84" t="str">
        <f t="shared" ref="V625:W625" si="102">B625</f>
        <v>CRM-HP-525-Grey</v>
      </c>
      <c r="W625" s="174" t="str">
        <f t="shared" si="102"/>
        <v>Crasome Dust &amp; Water Proof Printer Cover for HP Smart Tank All-in-One 520 / 525 (Grey)</v>
      </c>
      <c r="X625" s="86">
        <f>SUMIFS('Transit Shipment'!$B$10:$B$1048462,'Transit Shipment'!$A$10:$A$1048462,B625,'Transit Shipment'!$C$10:$C$1048462,AA625)</f>
        <v>0</v>
      </c>
      <c r="Y625" s="86">
        <f>IF(SUMIFS(DIH!$S$2:$S833,DIH!$D$2:$D833,B625,DIH!$U$2:$U833,AA625)&gt;0,SUMIFS(DIH!$S$2:$S833,DIH!$D$2:$D833,B625,DIH!$U$2:$U833,AA625),0)</f>
        <v>2</v>
      </c>
      <c r="Z625" s="87">
        <f t="shared" si="7"/>
        <v>2</v>
      </c>
      <c r="AA625" s="88" t="s">
        <v>5</v>
      </c>
      <c r="AB625" s="89">
        <f>IF(ISNA(VLOOKUP($B625,'Business Report'!$D$2:$J$202,2,0)),"",VLOOKUP($B625,'Business Report'!$D$2:$J$202,2,0))</f>
        <v>27</v>
      </c>
      <c r="AC625" s="90">
        <f>SUMIFS(AFS!$P$2:$P$6260,AFS!$N$2:$N$6260,B625,AFS!$AT$2:$AT$6260,AA625)</f>
        <v>2</v>
      </c>
      <c r="AD625" s="91">
        <f t="shared" si="8"/>
        <v>1</v>
      </c>
      <c r="AE625" s="92"/>
      <c r="AF625" s="93">
        <f t="shared" si="9"/>
        <v>2</v>
      </c>
      <c r="AG625" s="26"/>
      <c r="AH625" s="26"/>
      <c r="AI625" s="26"/>
    </row>
    <row r="626">
      <c r="A626" s="94" t="s">
        <v>8590</v>
      </c>
      <c r="B626" s="3" t="s">
        <v>131</v>
      </c>
      <c r="C626" s="95" t="s">
        <v>318</v>
      </c>
      <c r="D626" s="96" t="s">
        <v>162</v>
      </c>
      <c r="E626" s="97" t="str">
        <f t="shared" si="2"/>
        <v/>
      </c>
      <c r="F626" s="97" t="str">
        <f t="shared" si="3"/>
        <v/>
      </c>
      <c r="G626" s="99" t="str">
        <f t="shared" si="77"/>
        <v/>
      </c>
      <c r="H626" s="100"/>
      <c r="I626" s="101"/>
      <c r="J626" s="102"/>
      <c r="K626" s="103"/>
      <c r="L626" s="97"/>
      <c r="M626" s="169"/>
      <c r="N626" s="105"/>
      <c r="O626" s="106"/>
      <c r="P626" s="13">
        <f t="array" ref="P626">XLOOKUP(B626,Weight!B:B,Weight!D:D,"#N/A",0)</f>
        <v>90</v>
      </c>
      <c r="Q626" s="17" t="str">
        <f t="shared" si="6"/>
        <v/>
      </c>
      <c r="R626" s="107"/>
      <c r="S626" s="108">
        <v>560313.0</v>
      </c>
      <c r="T626" s="108">
        <v>12.0</v>
      </c>
      <c r="U626" s="109">
        <v>40.0</v>
      </c>
      <c r="V626" s="110"/>
      <c r="X626" s="111">
        <f>SUMIFS('Transit Shipment'!$B$10:$B$1048462,'Transit Shipment'!$A$10:$A$1048462,B626,'Transit Shipment'!$C$10:$C$1048462,AA626)</f>
        <v>0</v>
      </c>
      <c r="Y626" s="111">
        <f>IF(SUMIFS(DIH!$S$2:$S833,DIH!$D$2:$D833,B626,DIH!$U$2:$U833,AA626)&gt;0,SUMIFS(DIH!$S$2:$S833,DIH!$D$2:$D833,B626,DIH!$U$2:$U833,AA626),0)</f>
        <v>3</v>
      </c>
      <c r="Z626" s="112">
        <f t="shared" si="7"/>
        <v>3</v>
      </c>
      <c r="AA626" s="113" t="s">
        <v>11</v>
      </c>
      <c r="AB626" s="114">
        <f>IF(ISNA(VLOOKUP($B626,'Business Report'!$D$2:$J$202,2,0)),"",VLOOKUP($B626,'Business Report'!$D$2:$J$202,2,0))</f>
        <v>27</v>
      </c>
      <c r="AC626" s="115">
        <f>SUMIFS(AFS!$P$2:$P$6260,AFS!$N$2:$N$6260,B626,AFS!$AT$2:$AT$6260,AA626)</f>
        <v>0</v>
      </c>
      <c r="AD626" s="116">
        <f t="shared" si="8"/>
        <v>-3</v>
      </c>
      <c r="AE626" s="117"/>
      <c r="AF626" s="118" t="str">
        <f t="shared" si="9"/>
        <v/>
      </c>
      <c r="AG626" s="26"/>
      <c r="AH626" s="26"/>
      <c r="AI626" s="26"/>
    </row>
    <row r="627">
      <c r="A627" s="94" t="s">
        <v>8590</v>
      </c>
      <c r="B627" s="3" t="s">
        <v>131</v>
      </c>
      <c r="C627" s="95" t="s">
        <v>318</v>
      </c>
      <c r="D627" s="96" t="s">
        <v>162</v>
      </c>
      <c r="E627" s="97">
        <f t="shared" si="2"/>
        <v>0</v>
      </c>
      <c r="F627" s="97">
        <f t="shared" si="3"/>
        <v>0.5</v>
      </c>
      <c r="G627" s="99">
        <f t="shared" si="77"/>
        <v>2</v>
      </c>
      <c r="H627" s="100"/>
      <c r="I627" s="101"/>
      <c r="J627" s="102"/>
      <c r="K627" s="103"/>
      <c r="L627" s="97"/>
      <c r="M627" s="169"/>
      <c r="N627" s="105"/>
      <c r="O627" s="106"/>
      <c r="P627" s="13">
        <f t="array" ref="P627">XLOOKUP(B627,Weight!B:B,Weight!D:D,"#N/A",0)</f>
        <v>90</v>
      </c>
      <c r="Q627" s="17">
        <f t="shared" si="6"/>
        <v>180</v>
      </c>
      <c r="R627" s="107"/>
      <c r="S627" s="108">
        <v>560313.0</v>
      </c>
      <c r="T627" s="108">
        <v>12.0</v>
      </c>
      <c r="U627" s="109">
        <v>40.0</v>
      </c>
      <c r="V627" s="110"/>
      <c r="X627" s="111">
        <f>SUMIFS('Transit Shipment'!$B$10:$B$1048462,'Transit Shipment'!$A$10:$A$1048462,B627,'Transit Shipment'!$C$10:$C$1048462,AA627)</f>
        <v>0</v>
      </c>
      <c r="Y627" s="111">
        <f>IF(SUMIFS(DIH!$S$2:$S833,DIH!$D$2:$D833,B627,DIH!$U$2:$U833,AA627)&gt;0,SUMIFS(DIH!$S$2:$S833,DIH!$D$2:$D833,B627,DIH!$U$2:$U833,AA627),0)</f>
        <v>2</v>
      </c>
      <c r="Z627" s="112">
        <f t="shared" si="7"/>
        <v>2</v>
      </c>
      <c r="AA627" s="119" t="s">
        <v>9</v>
      </c>
      <c r="AB627" s="114">
        <f>IF(ISNA(VLOOKUP($B627,'Business Report'!$D$2:$J$202,2,0)),"",VLOOKUP($B627,'Business Report'!$D$2:$J$202,2,0))</f>
        <v>27</v>
      </c>
      <c r="AC627" s="115">
        <f>SUMIFS(AFS!$P$2:$P$6260,AFS!$N$2:$N$6260,B627,AFS!$AT$2:$AT$6260,AA627)</f>
        <v>2</v>
      </c>
      <c r="AD627" s="116">
        <f t="shared" si="8"/>
        <v>1</v>
      </c>
      <c r="AE627" s="117"/>
      <c r="AF627" s="118">
        <f t="shared" si="9"/>
        <v>2</v>
      </c>
      <c r="AG627" s="26"/>
      <c r="AH627" s="26"/>
      <c r="AI627" s="26"/>
    </row>
    <row r="628">
      <c r="A628" s="120" t="s">
        <v>8590</v>
      </c>
      <c r="B628" s="7" t="s">
        <v>131</v>
      </c>
      <c r="C628" s="95" t="s">
        <v>318</v>
      </c>
      <c r="D628" s="109" t="s">
        <v>162</v>
      </c>
      <c r="E628" s="97">
        <f t="shared" si="2"/>
        <v>1</v>
      </c>
      <c r="F628" s="97">
        <f t="shared" si="3"/>
        <v>0.5</v>
      </c>
      <c r="G628" s="99">
        <f t="shared" si="77"/>
        <v>4</v>
      </c>
      <c r="H628" s="121"/>
      <c r="I628" s="122"/>
      <c r="J628" s="123"/>
      <c r="K628" s="124"/>
      <c r="L628" s="125"/>
      <c r="M628" s="181"/>
      <c r="N628" s="126"/>
      <c r="O628" s="127"/>
      <c r="P628" s="13">
        <f t="array" ref="P628">XLOOKUP(B628,Weight!B:B,Weight!D:D,"#N/A",0)</f>
        <v>90</v>
      </c>
      <c r="Q628" s="17">
        <f t="shared" si="6"/>
        <v>360</v>
      </c>
      <c r="R628" s="107"/>
      <c r="S628" s="108">
        <v>560313.0</v>
      </c>
      <c r="T628" s="108">
        <v>12.0</v>
      </c>
      <c r="U628" s="109">
        <v>40.0</v>
      </c>
      <c r="V628" s="110"/>
      <c r="X628" s="111">
        <f>SUMIFS('Transit Shipment'!$B$10:$B$1048462,'Transit Shipment'!$A$10:$A$1048462,B628,'Transit Shipment'!$C$10:$C$1048462,AA628)</f>
        <v>0</v>
      </c>
      <c r="Y628" s="111">
        <f>IF(SUMIFS(DIH!$S$2:$S833,DIH!$D$2:$D833,B628,DIH!$U$2:$U833,AA628)&gt;0,SUMIFS(DIH!$S$2:$S833,DIH!$D$2:$D833,B628,DIH!$U$2:$U833,AA628),0)</f>
        <v>0</v>
      </c>
      <c r="Z628" s="112">
        <f t="shared" si="7"/>
        <v>0</v>
      </c>
      <c r="AA628" s="119" t="s">
        <v>155</v>
      </c>
      <c r="AB628" s="114">
        <f>IF(ISNA(VLOOKUP($B628,'Business Report'!$D$2:$J$202,2,0)),"",VLOOKUP($B628,'Business Report'!$D$2:$J$202,2,0))</f>
        <v>27</v>
      </c>
      <c r="AC628" s="115">
        <f>SUMIFS(AFS!$P$2:$P$6260,AFS!$N$2:$N$6260,B628,AFS!$AT$2:$AT$6260,AA628)</f>
        <v>2</v>
      </c>
      <c r="AD628" s="116">
        <f t="shared" si="8"/>
        <v>3</v>
      </c>
      <c r="AE628" s="117"/>
      <c r="AF628" s="118">
        <f t="shared" si="9"/>
        <v>4</v>
      </c>
      <c r="AG628" s="26"/>
      <c r="AH628" s="26"/>
      <c r="AI628" s="26"/>
    </row>
    <row r="629">
      <c r="A629" s="120" t="s">
        <v>8590</v>
      </c>
      <c r="B629" s="7" t="s">
        <v>131</v>
      </c>
      <c r="C629" s="95" t="s">
        <v>318</v>
      </c>
      <c r="D629" s="109" t="s">
        <v>162</v>
      </c>
      <c r="E629" s="97" t="str">
        <f t="shared" si="2"/>
        <v/>
      </c>
      <c r="F629" s="97" t="str">
        <f t="shared" si="3"/>
        <v/>
      </c>
      <c r="G629" s="99" t="str">
        <f t="shared" si="77"/>
        <v/>
      </c>
      <c r="H629" s="121"/>
      <c r="I629" s="122"/>
      <c r="J629" s="123"/>
      <c r="K629" s="124"/>
      <c r="L629" s="125"/>
      <c r="M629" s="181"/>
      <c r="N629" s="126"/>
      <c r="O629" s="127"/>
      <c r="P629" s="13">
        <f t="array" ref="P629">XLOOKUP(B629,Weight!B:B,Weight!D:D,"#N/A",0)</f>
        <v>90</v>
      </c>
      <c r="Q629" s="17" t="str">
        <f t="shared" si="6"/>
        <v/>
      </c>
      <c r="R629" s="107"/>
      <c r="S629" s="108">
        <v>560313.0</v>
      </c>
      <c r="T629" s="108">
        <v>12.0</v>
      </c>
      <c r="U629" s="109">
        <v>40.0</v>
      </c>
      <c r="V629" s="110"/>
      <c r="X629" s="111">
        <f>SUMIFS('Transit Shipment'!$B$10:$B$1048462,'Transit Shipment'!$A$10:$A$1048462,B629,'Transit Shipment'!$C$10:$C$1048462,AA629)</f>
        <v>0</v>
      </c>
      <c r="Y629" s="111">
        <f>IF(SUMIFS(DIH!$S$2:$S833,DIH!$D$2:$D833,B629,DIH!$U$2:$U833,AA629)&gt;0,SUMIFS(DIH!$S$2:$S833,DIH!$D$2:$D833,B629,DIH!$U$2:$U833,AA629),0)</f>
        <v>3</v>
      </c>
      <c r="Z629" s="112">
        <f t="shared" si="7"/>
        <v>3</v>
      </c>
      <c r="AA629" s="119" t="s">
        <v>156</v>
      </c>
      <c r="AB629" s="114">
        <f>IF(ISNA(VLOOKUP($B629,'Business Report'!$D$2:$J$202,2,0)),"",VLOOKUP($B629,'Business Report'!$D$2:$J$202,2,0))</f>
        <v>27</v>
      </c>
      <c r="AC629" s="115">
        <f>SUMIFS(AFS!$P$2:$P$6260,AFS!$N$2:$N$6260,B629,AFS!$AT$2:$AT$6260,AA629)</f>
        <v>0</v>
      </c>
      <c r="AD629" s="116">
        <f t="shared" si="8"/>
        <v>-3</v>
      </c>
      <c r="AE629" s="117"/>
      <c r="AF629" s="118" t="str">
        <f t="shared" si="9"/>
        <v/>
      </c>
      <c r="AG629" s="26"/>
      <c r="AH629" s="26"/>
      <c r="AI629" s="26"/>
    </row>
    <row r="630">
      <c r="A630" s="120" t="s">
        <v>8590</v>
      </c>
      <c r="B630" s="7" t="s">
        <v>131</v>
      </c>
      <c r="C630" s="95" t="s">
        <v>318</v>
      </c>
      <c r="D630" s="109" t="s">
        <v>162</v>
      </c>
      <c r="E630" s="97">
        <f t="shared" si="2"/>
        <v>2</v>
      </c>
      <c r="F630" s="97">
        <f t="shared" si="3"/>
        <v>0</v>
      </c>
      <c r="G630" s="99">
        <f t="shared" si="77"/>
        <v>4</v>
      </c>
      <c r="H630" s="121"/>
      <c r="I630" s="122"/>
      <c r="J630" s="123"/>
      <c r="K630" s="124"/>
      <c r="L630" s="125"/>
      <c r="M630" s="181"/>
      <c r="N630" s="126"/>
      <c r="O630" s="127"/>
      <c r="P630" s="13">
        <f t="array" ref="P630">XLOOKUP(B630,Weight!B:B,Weight!D:D,"#N/A",0)</f>
        <v>90</v>
      </c>
      <c r="Q630" s="17">
        <f t="shared" si="6"/>
        <v>360</v>
      </c>
      <c r="R630" s="107"/>
      <c r="S630" s="108">
        <v>560313.0</v>
      </c>
      <c r="T630" s="108">
        <v>12.0</v>
      </c>
      <c r="U630" s="109">
        <v>40.0</v>
      </c>
      <c r="V630" s="110"/>
      <c r="X630" s="111">
        <f>SUMIFS('Transit Shipment'!$B$10:$B$1048462,'Transit Shipment'!$A$10:$A$1048462,B630,'Transit Shipment'!$C$10:$C$1048462,AA630)</f>
        <v>0</v>
      </c>
      <c r="Y630" s="111">
        <f>IF(SUMIFS(DIH!$S$2:$S833,DIH!$D$2:$D833,B630,DIH!$U$2:$U833,AA630)&gt;0,SUMIFS(DIH!$S$2:$S833,DIH!$D$2:$D833,B630,DIH!$U$2:$U833,AA630),0)</f>
        <v>0</v>
      </c>
      <c r="Z630" s="112">
        <f t="shared" si="7"/>
        <v>0</v>
      </c>
      <c r="AA630" s="130" t="s">
        <v>13</v>
      </c>
      <c r="AB630" s="114">
        <f>IF(ISNA(VLOOKUP($B630,'Business Report'!$D$2:$J$202,2,0)),"",VLOOKUP($B630,'Business Report'!$D$2:$J$202,2,0))</f>
        <v>27</v>
      </c>
      <c r="AC630" s="115">
        <f>SUMIFS(AFS!$P$2:$P$6260,AFS!$N$2:$N$6260,B630,AFS!$AT$2:$AT$6260,AA630)</f>
        <v>3</v>
      </c>
      <c r="AD630" s="116">
        <f t="shared" si="8"/>
        <v>4</v>
      </c>
      <c r="AE630" s="117"/>
      <c r="AF630" s="118">
        <f t="shared" si="9"/>
        <v>4</v>
      </c>
      <c r="AG630" s="26"/>
      <c r="AH630" s="26"/>
      <c r="AI630" s="26"/>
    </row>
    <row r="631">
      <c r="A631" s="120" t="s">
        <v>8590</v>
      </c>
      <c r="B631" s="7" t="s">
        <v>131</v>
      </c>
      <c r="C631" s="95" t="s">
        <v>318</v>
      </c>
      <c r="D631" s="109" t="s">
        <v>162</v>
      </c>
      <c r="E631" s="97">
        <f t="shared" si="2"/>
        <v>2</v>
      </c>
      <c r="F631" s="97">
        <f t="shared" si="3"/>
        <v>0</v>
      </c>
      <c r="G631" s="99">
        <f t="shared" si="77"/>
        <v>4</v>
      </c>
      <c r="H631" s="121"/>
      <c r="I631" s="122"/>
      <c r="J631" s="123"/>
      <c r="K631" s="124"/>
      <c r="L631" s="125"/>
      <c r="M631" s="181"/>
      <c r="N631" s="126"/>
      <c r="O631" s="127"/>
      <c r="P631" s="13">
        <f t="array" ref="P631">XLOOKUP(B631,Weight!B:B,Weight!D:D,"#N/A",0)</f>
        <v>90</v>
      </c>
      <c r="Q631" s="17">
        <f t="shared" si="6"/>
        <v>360</v>
      </c>
      <c r="R631" s="107"/>
      <c r="S631" s="108">
        <v>560313.0</v>
      </c>
      <c r="T631" s="108">
        <v>12.0</v>
      </c>
      <c r="U631" s="109">
        <v>40.0</v>
      </c>
      <c r="V631" s="110"/>
      <c r="X631" s="111">
        <f>SUMIFS('Transit Shipment'!$B$10:$B$1048462,'Transit Shipment'!$A$10:$A$1048462,B631,'Transit Shipment'!$C$10:$C$1048462,AA631)</f>
        <v>0</v>
      </c>
      <c r="Y631" s="111">
        <f>IF(SUMIFS(DIH!$S$2:$S833,DIH!$D$2:$D833,B631,DIH!$U$2:$U833,AA631)&gt;0,SUMIFS(DIH!$S$2:$S833,DIH!$D$2:$D833,B631,DIH!$U$2:$U833,AA631),0)</f>
        <v>0</v>
      </c>
      <c r="Z631" s="112">
        <f t="shared" si="7"/>
        <v>0</v>
      </c>
      <c r="AA631" s="119" t="s">
        <v>14</v>
      </c>
      <c r="AB631" s="114">
        <f>IF(ISNA(VLOOKUP($B631,'Business Report'!$D$2:$J$202,2,0)),"",VLOOKUP($B631,'Business Report'!$D$2:$J$202,2,0))</f>
        <v>27</v>
      </c>
      <c r="AC631" s="115">
        <f>SUMIFS(AFS!$P$2:$P$6260,AFS!$N$2:$N$6260,B631,AFS!$AT$2:$AT$6260,AA631)</f>
        <v>3</v>
      </c>
      <c r="AD631" s="116">
        <f t="shared" si="8"/>
        <v>4</v>
      </c>
      <c r="AE631" s="117"/>
      <c r="AF631" s="118">
        <f t="shared" si="9"/>
        <v>4</v>
      </c>
      <c r="AG631" s="26"/>
      <c r="AH631" s="26"/>
      <c r="AI631" s="26"/>
    </row>
    <row r="632">
      <c r="A632" s="120" t="s">
        <v>8590</v>
      </c>
      <c r="B632" s="7" t="s">
        <v>131</v>
      </c>
      <c r="C632" s="95" t="s">
        <v>318</v>
      </c>
      <c r="D632" s="109" t="s">
        <v>162</v>
      </c>
      <c r="E632" s="97">
        <f t="shared" si="2"/>
        <v>1</v>
      </c>
      <c r="F632" s="97">
        <f t="shared" si="3"/>
        <v>0.5</v>
      </c>
      <c r="G632" s="99">
        <f t="shared" si="77"/>
        <v>4</v>
      </c>
      <c r="H632" s="121"/>
      <c r="I632" s="122"/>
      <c r="J632" s="123"/>
      <c r="K632" s="124"/>
      <c r="L632" s="125"/>
      <c r="M632" s="181"/>
      <c r="N632" s="126"/>
      <c r="O632" s="127"/>
      <c r="P632" s="13">
        <f t="array" ref="P632">XLOOKUP(B632,Weight!B:B,Weight!D:D,"#N/A",0)</f>
        <v>90</v>
      </c>
      <c r="Q632" s="17">
        <f t="shared" si="6"/>
        <v>360</v>
      </c>
      <c r="R632" s="107"/>
      <c r="S632" s="108">
        <v>560313.0</v>
      </c>
      <c r="T632" s="108">
        <v>12.0</v>
      </c>
      <c r="U632" s="109">
        <v>40.0</v>
      </c>
      <c r="V632" s="110"/>
      <c r="X632" s="111">
        <f>SUMIFS('Transit Shipment'!$B$10:$B$1048462,'Transit Shipment'!$A$10:$A$1048462,B632,'Transit Shipment'!$C$10:$C$1048462,AA632)</f>
        <v>0</v>
      </c>
      <c r="Y632" s="111">
        <f>IF(SUMIFS(DIH!$S$2:$S833,DIH!$D$2:$D833,B632,DIH!$U$2:$U833,AA632)&gt;0,SUMIFS(DIH!$S$2:$S833,DIH!$D$2:$D833,B632,DIH!$U$2:$U833,AA632),0)</f>
        <v>0</v>
      </c>
      <c r="Z632" s="112">
        <f t="shared" si="7"/>
        <v>0</v>
      </c>
      <c r="AA632" s="131" t="s">
        <v>16</v>
      </c>
      <c r="AB632" s="114">
        <f>IF(ISNA(VLOOKUP($B632,'Business Report'!$D$2:$J$202,2,0)),"",VLOOKUP($B632,'Business Report'!$D$2:$J$202,2,0))</f>
        <v>27</v>
      </c>
      <c r="AC632" s="115">
        <f>SUMIFS(AFS!$P$2:$P$6260,AFS!$N$2:$N$6260,B632,AFS!$AT$2:$AT$6260,AA632)</f>
        <v>2</v>
      </c>
      <c r="AD632" s="116">
        <f t="shared" si="8"/>
        <v>3</v>
      </c>
      <c r="AE632" s="117"/>
      <c r="AF632" s="118">
        <f t="shared" si="9"/>
        <v>4</v>
      </c>
      <c r="AG632" s="26"/>
      <c r="AH632" s="26"/>
      <c r="AI632" s="26"/>
    </row>
    <row r="633">
      <c r="A633" s="132" t="s">
        <v>8590</v>
      </c>
      <c r="B633" s="15" t="s">
        <v>131</v>
      </c>
      <c r="C633" s="133" t="s">
        <v>318</v>
      </c>
      <c r="D633" s="134" t="s">
        <v>162</v>
      </c>
      <c r="E633" s="135" t="str">
        <f t="shared" si="2"/>
        <v/>
      </c>
      <c r="F633" s="135" t="str">
        <f t="shared" si="3"/>
        <v/>
      </c>
      <c r="G633" s="136" t="str">
        <f t="shared" si="77"/>
        <v/>
      </c>
      <c r="H633" s="137"/>
      <c r="I633" s="138"/>
      <c r="J633" s="139"/>
      <c r="K633" s="140"/>
      <c r="L633" s="135"/>
      <c r="M633" s="152"/>
      <c r="N633" s="142"/>
      <c r="O633" s="143"/>
      <c r="P633" s="144">
        <f t="array" ref="P633">XLOOKUP(B633,Weight!B:B,Weight!D:D,"#N/A",0)</f>
        <v>90</v>
      </c>
      <c r="Q633" s="145" t="str">
        <f t="shared" si="6"/>
        <v/>
      </c>
      <c r="R633" s="146"/>
      <c r="S633" s="147">
        <v>560313.0</v>
      </c>
      <c r="T633" s="147">
        <v>12.0</v>
      </c>
      <c r="U633" s="109">
        <v>40.0</v>
      </c>
      <c r="V633" s="148"/>
      <c r="W633" s="149"/>
      <c r="X633" s="150">
        <f>SUMIFS('Transit Shipment'!$B$10:$B$1048462,'Transit Shipment'!$A$10:$A$1048462,B633,'Transit Shipment'!$C$10:$C$1048462,AA633)</f>
        <v>0</v>
      </c>
      <c r="Y633" s="150">
        <f>IF(SUMIFS(DIH!$S$2:$S833,DIH!$D$2:$D833,B633,DIH!$U$2:$U833,AA633)&gt;0,SUMIFS(DIH!$S$2:$S833,DIH!$D$2:$D833,B633,DIH!$U$2:$U833,AA633),0)</f>
        <v>1</v>
      </c>
      <c r="Z633" s="151">
        <f t="shared" si="7"/>
        <v>1</v>
      </c>
      <c r="AA633" s="152" t="s">
        <v>17</v>
      </c>
      <c r="AB633" s="154">
        <f>IF(ISNA(VLOOKUP($B633,'Business Report'!$D$2:$J$202,2,0)),"",VLOOKUP($B633,'Business Report'!$D$2:$J$202,2,0))</f>
        <v>27</v>
      </c>
      <c r="AC633" s="155">
        <f>SUMIFS(AFS!$P$2:$P$6260,AFS!$N$2:$N$6260,B633,AFS!$AT$2:$AT$6260,AA633)</f>
        <v>0</v>
      </c>
      <c r="AD633" s="156">
        <f t="shared" si="8"/>
        <v>-1</v>
      </c>
      <c r="AE633" s="159">
        <f>SUM(AD625:AD633)</f>
        <v>9</v>
      </c>
      <c r="AF633" s="118" t="str">
        <f t="shared" si="9"/>
        <v/>
      </c>
      <c r="AG633" s="26"/>
      <c r="AH633" s="26"/>
      <c r="AI633" s="26"/>
    </row>
    <row r="634">
      <c r="A634" s="66" t="s">
        <v>9216</v>
      </c>
      <c r="B634" s="1" t="s">
        <v>132</v>
      </c>
      <c r="C634" s="95" t="s">
        <v>10217</v>
      </c>
      <c r="D634" s="68" t="s">
        <v>162</v>
      </c>
      <c r="E634" s="69">
        <f t="shared" si="2"/>
        <v>1</v>
      </c>
      <c r="F634" s="69">
        <f t="shared" si="3"/>
        <v>0</v>
      </c>
      <c r="G634" s="70" t="str">
        <f t="shared" si="77"/>
        <v/>
      </c>
      <c r="H634" s="163"/>
      <c r="I634" s="101"/>
      <c r="J634" s="102"/>
      <c r="K634" s="167"/>
      <c r="L634" s="119"/>
      <c r="M634" s="169"/>
      <c r="N634" s="171"/>
      <c r="O634" s="106"/>
      <c r="P634" s="79">
        <f t="array" ref="P634">XLOOKUP(B634,Weight!B:B,Weight!D:D,"#N/A",0)</f>
        <v>90</v>
      </c>
      <c r="Q634" s="80" t="str">
        <f t="shared" si="6"/>
        <v/>
      </c>
      <c r="R634" s="107"/>
      <c r="S634" s="108">
        <v>560313.0</v>
      </c>
      <c r="T634" s="108">
        <v>12.0</v>
      </c>
      <c r="U634" s="83">
        <v>40.0</v>
      </c>
      <c r="V634" s="84" t="str">
        <f t="shared" ref="V634:W634" si="103">B634</f>
        <v>CRM-HP-525-Black</v>
      </c>
      <c r="W634" s="174" t="str">
        <f t="shared" si="103"/>
        <v>Crasome Dust &amp; Water Proof Printer Cover for HP Smart Tank All-in-One 520 / 525 (Black)
</v>
      </c>
      <c r="X634" s="86">
        <f>SUMIFS('Transit Shipment'!$B$10:$B$1048462,'Transit Shipment'!$A$10:$A$1048462,B634,'Transit Shipment'!$C$10:$C$1048462,AA634)</f>
        <v>0</v>
      </c>
      <c r="Y634" s="86">
        <f>IF(SUMIFS(DIH!$S$2:$S833,DIH!$D$2:$D833,B634,DIH!$U$2:$U833,AA634)&gt;0,SUMIFS(DIH!$S$2:$S833,DIH!$D$2:$D833,B634,DIH!$U$2:$U833,AA634),0)</f>
        <v>0</v>
      </c>
      <c r="Z634" s="87">
        <f t="shared" si="7"/>
        <v>0</v>
      </c>
      <c r="AA634" s="88" t="s">
        <v>5</v>
      </c>
      <c r="AB634" s="89">
        <f>IF(ISNA(VLOOKUP($B634,'Business Report'!$D$2:$J$202,2,0)),"",VLOOKUP($B634,'Business Report'!$D$2:$J$202,2,0))</f>
        <v>5</v>
      </c>
      <c r="AC634" s="90">
        <f>SUMIFS(AFS!$P$2:$P$6260,AFS!$N$2:$N$6260,B634,AFS!$AT$2:$AT$6260,AA634)</f>
        <v>0</v>
      </c>
      <c r="AD634" s="91">
        <f t="shared" si="8"/>
        <v>0</v>
      </c>
      <c r="AE634" s="92"/>
      <c r="AF634" s="93" t="str">
        <f t="shared" si="9"/>
        <v/>
      </c>
      <c r="AG634" s="26"/>
      <c r="AH634" s="26"/>
      <c r="AI634" s="26"/>
    </row>
    <row r="635">
      <c r="A635" s="94" t="s">
        <v>9216</v>
      </c>
      <c r="B635" s="3" t="s">
        <v>132</v>
      </c>
      <c r="C635" s="95" t="s">
        <v>10217</v>
      </c>
      <c r="D635" s="96" t="s">
        <v>162</v>
      </c>
      <c r="E635" s="97">
        <f t="shared" si="2"/>
        <v>1</v>
      </c>
      <c r="F635" s="97">
        <f t="shared" si="3"/>
        <v>0</v>
      </c>
      <c r="G635" s="99" t="str">
        <f t="shared" si="77"/>
        <v/>
      </c>
      <c r="H635" s="100"/>
      <c r="I635" s="101"/>
      <c r="J635" s="102"/>
      <c r="K635" s="103"/>
      <c r="L635" s="97"/>
      <c r="M635" s="169"/>
      <c r="N635" s="105"/>
      <c r="O635" s="106"/>
      <c r="P635" s="13">
        <f t="array" ref="P635">XLOOKUP(B635,Weight!B:B,Weight!D:D,"#N/A",0)</f>
        <v>90</v>
      </c>
      <c r="Q635" s="17" t="str">
        <f t="shared" si="6"/>
        <v/>
      </c>
      <c r="R635" s="107"/>
      <c r="S635" s="108">
        <v>560313.0</v>
      </c>
      <c r="T635" s="108">
        <v>12.0</v>
      </c>
      <c r="U635" s="109">
        <v>40.0</v>
      </c>
      <c r="V635" s="110"/>
      <c r="X635" s="111">
        <f>SUMIFS('Transit Shipment'!$B$10:$B$1048462,'Transit Shipment'!$A$10:$A$1048462,B635,'Transit Shipment'!$C$10:$C$1048462,AA635)</f>
        <v>0</v>
      </c>
      <c r="Y635" s="111">
        <f>IF(SUMIFS(DIH!$S$2:$S833,DIH!$D$2:$D833,B635,DIH!$U$2:$U833,AA635)&gt;0,SUMIFS(DIH!$S$2:$S833,DIH!$D$2:$D833,B635,DIH!$U$2:$U833,AA635),0)</f>
        <v>0</v>
      </c>
      <c r="Z635" s="112">
        <f t="shared" si="7"/>
        <v>0</v>
      </c>
      <c r="AA635" s="113" t="s">
        <v>11</v>
      </c>
      <c r="AB635" s="114">
        <f>IF(ISNA(VLOOKUP($B635,'Business Report'!$D$2:$J$202,2,0)),"",VLOOKUP($B635,'Business Report'!$D$2:$J$202,2,0))</f>
        <v>5</v>
      </c>
      <c r="AC635" s="115">
        <f>SUMIFS(AFS!$P$2:$P$6260,AFS!$N$2:$N$6260,B635,AFS!$AT$2:$AT$6260,AA635)</f>
        <v>0</v>
      </c>
      <c r="AD635" s="116">
        <f t="shared" si="8"/>
        <v>0</v>
      </c>
      <c r="AE635" s="117"/>
      <c r="AF635" s="118" t="str">
        <f t="shared" si="9"/>
        <v/>
      </c>
      <c r="AG635" s="26"/>
      <c r="AH635" s="26"/>
      <c r="AI635" s="26"/>
    </row>
    <row r="636">
      <c r="A636" s="94" t="s">
        <v>9216</v>
      </c>
      <c r="B636" s="3" t="s">
        <v>132</v>
      </c>
      <c r="C636" s="95" t="s">
        <v>10217</v>
      </c>
      <c r="D636" s="96" t="s">
        <v>162</v>
      </c>
      <c r="E636" s="97">
        <f t="shared" si="2"/>
        <v>1</v>
      </c>
      <c r="F636" s="97">
        <f t="shared" si="3"/>
        <v>0</v>
      </c>
      <c r="G636" s="99" t="str">
        <f t="shared" si="77"/>
        <v/>
      </c>
      <c r="H636" s="100"/>
      <c r="I636" s="101"/>
      <c r="J636" s="102"/>
      <c r="K636" s="103"/>
      <c r="L636" s="97"/>
      <c r="M636" s="169"/>
      <c r="N636" s="105"/>
      <c r="O636" s="106"/>
      <c r="P636" s="13">
        <f t="array" ref="P636">XLOOKUP(B636,Weight!B:B,Weight!D:D,"#N/A",0)</f>
        <v>90</v>
      </c>
      <c r="Q636" s="17" t="str">
        <f t="shared" si="6"/>
        <v/>
      </c>
      <c r="R636" s="107"/>
      <c r="S636" s="108">
        <v>560313.0</v>
      </c>
      <c r="T636" s="108">
        <v>12.0</v>
      </c>
      <c r="U636" s="109">
        <v>40.0</v>
      </c>
      <c r="V636" s="110"/>
      <c r="X636" s="111">
        <f>SUMIFS('Transit Shipment'!$B$10:$B$1048462,'Transit Shipment'!$A$10:$A$1048462,B636,'Transit Shipment'!$C$10:$C$1048462,AA636)</f>
        <v>0</v>
      </c>
      <c r="Y636" s="111">
        <f>IF(SUMIFS(DIH!$S$2:$S833,DIH!$D$2:$D833,B636,DIH!$U$2:$U833,AA636)&gt;0,SUMIFS(DIH!$S$2:$S833,DIH!$D$2:$D833,B636,DIH!$U$2:$U833,AA636),0)</f>
        <v>0</v>
      </c>
      <c r="Z636" s="112">
        <f t="shared" si="7"/>
        <v>0</v>
      </c>
      <c r="AA636" s="119" t="s">
        <v>9</v>
      </c>
      <c r="AB636" s="114">
        <f>IF(ISNA(VLOOKUP($B636,'Business Report'!$D$2:$J$202,2,0)),"",VLOOKUP($B636,'Business Report'!$D$2:$J$202,2,0))</f>
        <v>5</v>
      </c>
      <c r="AC636" s="115">
        <f>SUMIFS(AFS!$P$2:$P$6260,AFS!$N$2:$N$6260,B636,AFS!$AT$2:$AT$6260,AA636)</f>
        <v>0</v>
      </c>
      <c r="AD636" s="116">
        <f t="shared" si="8"/>
        <v>0</v>
      </c>
      <c r="AE636" s="117"/>
      <c r="AF636" s="118" t="str">
        <f t="shared" si="9"/>
        <v/>
      </c>
      <c r="AG636" s="26"/>
      <c r="AH636" s="26"/>
      <c r="AI636" s="26"/>
    </row>
    <row r="637">
      <c r="A637" s="120" t="s">
        <v>9216</v>
      </c>
      <c r="B637" s="7" t="s">
        <v>132</v>
      </c>
      <c r="C637" s="95" t="s">
        <v>10217</v>
      </c>
      <c r="D637" s="109" t="s">
        <v>162</v>
      </c>
      <c r="E637" s="97">
        <f t="shared" si="2"/>
        <v>1</v>
      </c>
      <c r="F637" s="97">
        <f t="shared" si="3"/>
        <v>0</v>
      </c>
      <c r="G637" s="99" t="str">
        <f t="shared" si="77"/>
        <v/>
      </c>
      <c r="H637" s="121"/>
      <c r="I637" s="122"/>
      <c r="J637" s="123"/>
      <c r="K637" s="124"/>
      <c r="L637" s="125"/>
      <c r="M637" s="181"/>
      <c r="N637" s="126"/>
      <c r="O637" s="127"/>
      <c r="P637" s="13">
        <f t="array" ref="P637">XLOOKUP(B637,Weight!B:B,Weight!D:D,"#N/A",0)</f>
        <v>90</v>
      </c>
      <c r="Q637" s="17" t="str">
        <f t="shared" si="6"/>
        <v/>
      </c>
      <c r="R637" s="107"/>
      <c r="S637" s="108">
        <v>560313.0</v>
      </c>
      <c r="T637" s="108">
        <v>12.0</v>
      </c>
      <c r="U637" s="109">
        <v>40.0</v>
      </c>
      <c r="V637" s="110"/>
      <c r="X637" s="111">
        <f>SUMIFS('Transit Shipment'!$B$10:$B$1048462,'Transit Shipment'!$A$10:$A$1048462,B637,'Transit Shipment'!$C$10:$C$1048462,AA637)</f>
        <v>0</v>
      </c>
      <c r="Y637" s="111">
        <f>IF(SUMIFS(DIH!$S$2:$S833,DIH!$D$2:$D833,B637,DIH!$U$2:$U833,AA637)&gt;0,SUMIFS(DIH!$S$2:$S833,DIH!$D$2:$D833,B637,DIH!$U$2:$U833,AA637),0)</f>
        <v>0</v>
      </c>
      <c r="Z637" s="112">
        <f t="shared" si="7"/>
        <v>0</v>
      </c>
      <c r="AA637" s="119" t="s">
        <v>155</v>
      </c>
      <c r="AB637" s="114">
        <f>IF(ISNA(VLOOKUP($B637,'Business Report'!$D$2:$J$202,2,0)),"",VLOOKUP($B637,'Business Report'!$D$2:$J$202,2,0))</f>
        <v>5</v>
      </c>
      <c r="AC637" s="115">
        <f>SUMIFS(AFS!$P$2:$P$6260,AFS!$N$2:$N$6260,B637,AFS!$AT$2:$AT$6260,AA637)</f>
        <v>0</v>
      </c>
      <c r="AD637" s="116">
        <f t="shared" si="8"/>
        <v>0</v>
      </c>
      <c r="AE637" s="117"/>
      <c r="AF637" s="118" t="str">
        <f t="shared" si="9"/>
        <v/>
      </c>
      <c r="AG637" s="26"/>
      <c r="AH637" s="26"/>
      <c r="AI637" s="26"/>
    </row>
    <row r="638">
      <c r="A638" s="120" t="s">
        <v>9216</v>
      </c>
      <c r="B638" s="7" t="s">
        <v>132</v>
      </c>
      <c r="C638" s="95" t="s">
        <v>10217</v>
      </c>
      <c r="D638" s="109" t="s">
        <v>162</v>
      </c>
      <c r="E638" s="97">
        <f t="shared" si="2"/>
        <v>1</v>
      </c>
      <c r="F638" s="97">
        <f t="shared" si="3"/>
        <v>0</v>
      </c>
      <c r="G638" s="99">
        <f t="shared" si="77"/>
        <v>2</v>
      </c>
      <c r="H638" s="121"/>
      <c r="I638" s="122"/>
      <c r="J638" s="123"/>
      <c r="K638" s="124"/>
      <c r="L638" s="125"/>
      <c r="M638" s="181"/>
      <c r="N638" s="126"/>
      <c r="O638" s="127"/>
      <c r="P638" s="13">
        <f t="array" ref="P638">XLOOKUP(B638,Weight!B:B,Weight!D:D,"#N/A",0)</f>
        <v>90</v>
      </c>
      <c r="Q638" s="17">
        <f t="shared" si="6"/>
        <v>180</v>
      </c>
      <c r="R638" s="107"/>
      <c r="S638" s="108">
        <v>560313.0</v>
      </c>
      <c r="T638" s="108">
        <v>12.0</v>
      </c>
      <c r="U638" s="109">
        <v>40.0</v>
      </c>
      <c r="V638" s="110"/>
      <c r="X638" s="111">
        <f>SUMIFS('Transit Shipment'!$B$10:$B$1048462,'Transit Shipment'!$A$10:$A$1048462,B638,'Transit Shipment'!$C$10:$C$1048462,AA638)</f>
        <v>0</v>
      </c>
      <c r="Y638" s="111">
        <f>IF(SUMIFS(DIH!$S$2:$S833,DIH!$D$2:$D833,B638,DIH!$U$2:$U833,AA638)&gt;0,SUMIFS(DIH!$S$2:$S833,DIH!$D$2:$D833,B638,DIH!$U$2:$U833,AA638),0)</f>
        <v>0</v>
      </c>
      <c r="Z638" s="112">
        <f t="shared" si="7"/>
        <v>0</v>
      </c>
      <c r="AA638" s="119" t="s">
        <v>156</v>
      </c>
      <c r="AB638" s="114">
        <f>IF(ISNA(VLOOKUP($B638,'Business Report'!$D$2:$J$202,2,0)),"",VLOOKUP($B638,'Business Report'!$D$2:$J$202,2,0))</f>
        <v>5</v>
      </c>
      <c r="AC638" s="115">
        <f>SUMIFS(AFS!$P$2:$P$6260,AFS!$N$2:$N$6260,B638,AFS!$AT$2:$AT$6260,AA638)</f>
        <v>1</v>
      </c>
      <c r="AD638" s="116">
        <f t="shared" si="8"/>
        <v>2</v>
      </c>
      <c r="AE638" s="117"/>
      <c r="AF638" s="118">
        <f t="shared" si="9"/>
        <v>2</v>
      </c>
      <c r="AG638" s="26"/>
      <c r="AH638" s="26"/>
      <c r="AI638" s="26"/>
    </row>
    <row r="639">
      <c r="A639" s="120" t="s">
        <v>9216</v>
      </c>
      <c r="B639" s="7" t="s">
        <v>132</v>
      </c>
      <c r="C639" s="95" t="s">
        <v>10217</v>
      </c>
      <c r="D639" s="109" t="s">
        <v>162</v>
      </c>
      <c r="E639" s="97">
        <f t="shared" si="2"/>
        <v>1</v>
      </c>
      <c r="F639" s="97">
        <f t="shared" si="3"/>
        <v>0</v>
      </c>
      <c r="G639" s="99">
        <f t="shared" si="77"/>
        <v>2</v>
      </c>
      <c r="H639" s="121"/>
      <c r="I639" s="122"/>
      <c r="J639" s="123"/>
      <c r="K639" s="124"/>
      <c r="L639" s="125"/>
      <c r="M639" s="181"/>
      <c r="N639" s="126"/>
      <c r="O639" s="127"/>
      <c r="P639" s="13">
        <f t="array" ref="P639">XLOOKUP(B639,Weight!B:B,Weight!D:D,"#N/A",0)</f>
        <v>90</v>
      </c>
      <c r="Q639" s="17">
        <f t="shared" si="6"/>
        <v>180</v>
      </c>
      <c r="R639" s="107"/>
      <c r="S639" s="108">
        <v>560313.0</v>
      </c>
      <c r="T639" s="108">
        <v>12.0</v>
      </c>
      <c r="U639" s="109">
        <v>40.0</v>
      </c>
      <c r="V639" s="110"/>
      <c r="X639" s="111">
        <f>SUMIFS('Transit Shipment'!$B$10:$B$1048462,'Transit Shipment'!$A$10:$A$1048462,B639,'Transit Shipment'!$C$10:$C$1048462,AA639)</f>
        <v>0</v>
      </c>
      <c r="Y639" s="111">
        <f>IF(SUMIFS(DIH!$S$2:$S833,DIH!$D$2:$D833,B639,DIH!$U$2:$U833,AA639)&gt;0,SUMIFS(DIH!$S$2:$S833,DIH!$D$2:$D833,B639,DIH!$U$2:$U833,AA639),0)</f>
        <v>0</v>
      </c>
      <c r="Z639" s="112">
        <f t="shared" si="7"/>
        <v>0</v>
      </c>
      <c r="AA639" s="130" t="s">
        <v>13</v>
      </c>
      <c r="AB639" s="114">
        <f>IF(ISNA(VLOOKUP($B639,'Business Report'!$D$2:$J$202,2,0)),"",VLOOKUP($B639,'Business Report'!$D$2:$J$202,2,0))</f>
        <v>5</v>
      </c>
      <c r="AC639" s="115">
        <f>SUMIFS(AFS!$P$2:$P$6260,AFS!$N$2:$N$6260,B639,AFS!$AT$2:$AT$6260,AA639)</f>
        <v>1</v>
      </c>
      <c r="AD639" s="116">
        <f t="shared" si="8"/>
        <v>2</v>
      </c>
      <c r="AE639" s="117"/>
      <c r="AF639" s="118">
        <f t="shared" si="9"/>
        <v>2</v>
      </c>
      <c r="AG639" s="26"/>
      <c r="AH639" s="26"/>
      <c r="AI639" s="26"/>
    </row>
    <row r="640">
      <c r="A640" s="120" t="s">
        <v>9216</v>
      </c>
      <c r="B640" s="7" t="s">
        <v>132</v>
      </c>
      <c r="C640" s="95" t="s">
        <v>10217</v>
      </c>
      <c r="D640" s="109" t="s">
        <v>162</v>
      </c>
      <c r="E640" s="97">
        <f t="shared" si="2"/>
        <v>1</v>
      </c>
      <c r="F640" s="97">
        <f t="shared" si="3"/>
        <v>0.5</v>
      </c>
      <c r="G640" s="99">
        <f t="shared" si="77"/>
        <v>4</v>
      </c>
      <c r="H640" s="121"/>
      <c r="I640" s="122"/>
      <c r="J640" s="123"/>
      <c r="K640" s="124"/>
      <c r="L640" s="125"/>
      <c r="M640" s="181"/>
      <c r="N640" s="126"/>
      <c r="O640" s="127"/>
      <c r="P640" s="13">
        <f t="array" ref="P640">XLOOKUP(B640,Weight!B:B,Weight!D:D,"#N/A",0)</f>
        <v>90</v>
      </c>
      <c r="Q640" s="17">
        <f t="shared" si="6"/>
        <v>360</v>
      </c>
      <c r="R640" s="107"/>
      <c r="S640" s="108">
        <v>560313.0</v>
      </c>
      <c r="T640" s="108">
        <v>12.0</v>
      </c>
      <c r="U640" s="109">
        <v>40.0</v>
      </c>
      <c r="V640" s="110"/>
      <c r="X640" s="111">
        <f>SUMIFS('Transit Shipment'!$B$10:$B$1048462,'Transit Shipment'!$A$10:$A$1048462,B640,'Transit Shipment'!$C$10:$C$1048462,AA640)</f>
        <v>0</v>
      </c>
      <c r="Y640" s="111">
        <f>IF(SUMIFS(DIH!$S$2:$S833,DIH!$D$2:$D833,B640,DIH!$U$2:$U833,AA640)&gt;0,SUMIFS(DIH!$S$2:$S833,DIH!$D$2:$D833,B640,DIH!$U$2:$U833,AA640),0)</f>
        <v>0</v>
      </c>
      <c r="Z640" s="112">
        <f t="shared" si="7"/>
        <v>0</v>
      </c>
      <c r="AA640" s="119" t="s">
        <v>14</v>
      </c>
      <c r="AB640" s="114">
        <f>IF(ISNA(VLOOKUP($B640,'Business Report'!$D$2:$J$202,2,0)),"",VLOOKUP($B640,'Business Report'!$D$2:$J$202,2,0))</f>
        <v>5</v>
      </c>
      <c r="AC640" s="115">
        <f>SUMIFS(AFS!$P$2:$P$6260,AFS!$N$2:$N$6260,B640,AFS!$AT$2:$AT$6260,AA640)</f>
        <v>2</v>
      </c>
      <c r="AD640" s="116">
        <f t="shared" si="8"/>
        <v>3</v>
      </c>
      <c r="AE640" s="117"/>
      <c r="AF640" s="118">
        <f t="shared" si="9"/>
        <v>4</v>
      </c>
      <c r="AG640" s="26"/>
      <c r="AH640" s="26"/>
      <c r="AI640" s="26"/>
    </row>
    <row r="641">
      <c r="A641" s="120" t="s">
        <v>9216</v>
      </c>
      <c r="B641" s="7" t="s">
        <v>132</v>
      </c>
      <c r="C641" s="95" t="s">
        <v>10217</v>
      </c>
      <c r="D641" s="109" t="s">
        <v>162</v>
      </c>
      <c r="E641" s="97">
        <f t="shared" si="2"/>
        <v>1</v>
      </c>
      <c r="F641" s="97">
        <f t="shared" si="3"/>
        <v>0.5</v>
      </c>
      <c r="G641" s="99">
        <f t="shared" si="77"/>
        <v>4</v>
      </c>
      <c r="H641" s="121"/>
      <c r="I641" s="122"/>
      <c r="J641" s="123"/>
      <c r="K641" s="124"/>
      <c r="L641" s="125"/>
      <c r="M641" s="181"/>
      <c r="N641" s="126"/>
      <c r="O641" s="127"/>
      <c r="P641" s="13">
        <f t="array" ref="P641">XLOOKUP(B641,Weight!B:B,Weight!D:D,"#N/A",0)</f>
        <v>90</v>
      </c>
      <c r="Q641" s="17">
        <f t="shared" si="6"/>
        <v>360</v>
      </c>
      <c r="R641" s="107"/>
      <c r="S641" s="108">
        <v>560313.0</v>
      </c>
      <c r="T641" s="108">
        <v>12.0</v>
      </c>
      <c r="U641" s="109">
        <v>40.0</v>
      </c>
      <c r="V641" s="110"/>
      <c r="X641" s="111">
        <f>SUMIFS('Transit Shipment'!$B$10:$B$1048462,'Transit Shipment'!$A$10:$A$1048462,B641,'Transit Shipment'!$C$10:$C$1048462,AA641)</f>
        <v>0</v>
      </c>
      <c r="Y641" s="111">
        <f>IF(SUMIFS(DIH!$S$2:$S833,DIH!$D$2:$D833,B641,DIH!$U$2:$U833,AA641)&gt;0,SUMIFS(DIH!$S$2:$S833,DIH!$D$2:$D833,B641,DIH!$U$2:$U833,AA641),0)</f>
        <v>0</v>
      </c>
      <c r="Z641" s="112">
        <f t="shared" si="7"/>
        <v>0</v>
      </c>
      <c r="AA641" s="131" t="s">
        <v>16</v>
      </c>
      <c r="AB641" s="114">
        <f>IF(ISNA(VLOOKUP($B641,'Business Report'!$D$2:$J$202,2,0)),"",VLOOKUP($B641,'Business Report'!$D$2:$J$202,2,0))</f>
        <v>5</v>
      </c>
      <c r="AC641" s="115">
        <f>SUMIFS(AFS!$P$2:$P$6260,AFS!$N$2:$N$6260,B641,AFS!$AT$2:$AT$6260,AA641)</f>
        <v>2</v>
      </c>
      <c r="AD641" s="116">
        <f t="shared" si="8"/>
        <v>3</v>
      </c>
      <c r="AE641" s="117"/>
      <c r="AF641" s="118">
        <f t="shared" si="9"/>
        <v>4</v>
      </c>
      <c r="AG641" s="26"/>
      <c r="AH641" s="26"/>
      <c r="AI641" s="26"/>
    </row>
    <row r="642">
      <c r="A642" s="132" t="s">
        <v>9216</v>
      </c>
      <c r="B642" s="15" t="s">
        <v>132</v>
      </c>
      <c r="C642" s="133" t="s">
        <v>10217</v>
      </c>
      <c r="D642" s="134" t="s">
        <v>162</v>
      </c>
      <c r="E642" s="135">
        <f t="shared" si="2"/>
        <v>1</v>
      </c>
      <c r="F642" s="135">
        <f t="shared" si="3"/>
        <v>0</v>
      </c>
      <c r="G642" s="136" t="str">
        <f t="shared" si="77"/>
        <v/>
      </c>
      <c r="H642" s="137"/>
      <c r="I642" s="138"/>
      <c r="J642" s="139"/>
      <c r="K642" s="140"/>
      <c r="L642" s="135"/>
      <c r="M642" s="152"/>
      <c r="N642" s="142"/>
      <c r="O642" s="143"/>
      <c r="P642" s="144">
        <f t="array" ref="P642">XLOOKUP(B642,Weight!B:B,Weight!D:D,"#N/A",0)</f>
        <v>90</v>
      </c>
      <c r="Q642" s="145" t="str">
        <f t="shared" si="6"/>
        <v/>
      </c>
      <c r="R642" s="146"/>
      <c r="S642" s="147">
        <v>560313.0</v>
      </c>
      <c r="T642" s="147">
        <v>12.0</v>
      </c>
      <c r="U642" s="109">
        <v>40.0</v>
      </c>
      <c r="V642" s="148"/>
      <c r="W642" s="149"/>
      <c r="X642" s="150">
        <f>SUMIFS('Transit Shipment'!$B$10:$B$1048462,'Transit Shipment'!$A$10:$A$1048462,B642,'Transit Shipment'!$C$10:$C$1048462,AA642)</f>
        <v>0</v>
      </c>
      <c r="Y642" s="150">
        <f>IF(SUMIFS(DIH!$S$2:$S833,DIH!$D$2:$D833,B642,DIH!$U$2:$U833,AA642)&gt;0,SUMIFS(DIH!$S$2:$S833,DIH!$D$2:$D833,B642,DIH!$U$2:$U833,AA642),0)</f>
        <v>0</v>
      </c>
      <c r="Z642" s="151">
        <f t="shared" si="7"/>
        <v>0</v>
      </c>
      <c r="AA642" s="152" t="s">
        <v>17</v>
      </c>
      <c r="AB642" s="154">
        <f>IF(ISNA(VLOOKUP($B642,'Business Report'!$D$2:$J$202,2,0)),"",VLOOKUP($B642,'Business Report'!$D$2:$J$202,2,0))</f>
        <v>5</v>
      </c>
      <c r="AC642" s="155">
        <f>SUMIFS(AFS!$P$2:$P$6260,AFS!$N$2:$N$6260,B642,AFS!$AT$2:$AT$6260,AA642)</f>
        <v>0</v>
      </c>
      <c r="AD642" s="156">
        <f t="shared" si="8"/>
        <v>0</v>
      </c>
      <c r="AE642" s="159">
        <f>SUM(AD634:AD642)</f>
        <v>10</v>
      </c>
      <c r="AF642" s="118" t="str">
        <f t="shared" si="9"/>
        <v/>
      </c>
      <c r="AG642" s="26"/>
      <c r="AH642" s="26"/>
      <c r="AI642" s="26"/>
    </row>
    <row r="643">
      <c r="A643" s="66" t="s">
        <v>6331</v>
      </c>
      <c r="B643" s="1" t="s">
        <v>133</v>
      </c>
      <c r="C643" s="95" t="s">
        <v>10394</v>
      </c>
      <c r="D643" s="68" t="s">
        <v>162</v>
      </c>
      <c r="E643" s="69">
        <f t="shared" si="2"/>
        <v>1</v>
      </c>
      <c r="F643" s="69">
        <f t="shared" si="3"/>
        <v>0</v>
      </c>
      <c r="G643" s="70" t="str">
        <f t="shared" si="77"/>
        <v/>
      </c>
      <c r="H643" s="163"/>
      <c r="I643" s="101"/>
      <c r="J643" s="102"/>
      <c r="K643" s="167"/>
      <c r="L643" s="119"/>
      <c r="M643" s="169"/>
      <c r="N643" s="171"/>
      <c r="O643" s="106"/>
      <c r="P643" s="79">
        <f t="array" ref="P643">XLOOKUP(B643,Weight!B:B,Weight!D:D,"#N/A",0)</f>
        <v>90</v>
      </c>
      <c r="Q643" s="80" t="str">
        <f t="shared" si="6"/>
        <v/>
      </c>
      <c r="R643" s="107"/>
      <c r="S643" s="108">
        <v>560313.0</v>
      </c>
      <c r="T643" s="108">
        <v>12.0</v>
      </c>
      <c r="U643" s="83">
        <v>40.0</v>
      </c>
      <c r="V643" s="84" t="str">
        <f t="shared" ref="V643:W643" si="104">B643</f>
        <v>CRM-EP-L3252-NW-GREY-1</v>
      </c>
      <c r="W643" s="174" t="str">
        <f t="shared" si="104"/>
        <v>Crasome Dust &amp; Water Proof Printer Cover for Epson EcoTank L3252 (Grey)</v>
      </c>
      <c r="X643" s="86">
        <f>SUMIFS('Transit Shipment'!$B$10:$B$1048462,'Transit Shipment'!$A$10:$A$1048462,B643,'Transit Shipment'!$C$10:$C$1048462,AA643)</f>
        <v>0</v>
      </c>
      <c r="Y643" s="86">
        <f>IF(SUMIFS(DIH!$S$2:$S833,DIH!$D$2:$D833,B643,DIH!$U$2:$U833,AA643)&gt;0,SUMIFS(DIH!$S$2:$S833,DIH!$D$2:$D833,B643,DIH!$U$2:$U833,AA643),0)</f>
        <v>0</v>
      </c>
      <c r="Z643" s="87">
        <f t="shared" si="7"/>
        <v>0</v>
      </c>
      <c r="AA643" s="88" t="s">
        <v>5</v>
      </c>
      <c r="AB643" s="89">
        <f>IF(ISNA(VLOOKUP($B643,'Business Report'!$D$2:$J$202,2,0)),"",VLOOKUP($B643,'Business Report'!$D$2:$J$202,2,0))</f>
        <v>3</v>
      </c>
      <c r="AC643" s="90">
        <f>SUMIFS(AFS!$P$2:$P$6260,AFS!$N$2:$N$6260,B643,AFS!$AT$2:$AT$6260,AA643)</f>
        <v>0</v>
      </c>
      <c r="AD643" s="91">
        <f t="shared" si="8"/>
        <v>0</v>
      </c>
      <c r="AE643" s="92"/>
      <c r="AF643" s="93" t="str">
        <f t="shared" si="9"/>
        <v/>
      </c>
      <c r="AG643" s="26"/>
      <c r="AH643" s="26"/>
      <c r="AI643" s="26"/>
    </row>
    <row r="644">
      <c r="A644" s="94" t="s">
        <v>6331</v>
      </c>
      <c r="B644" s="3" t="s">
        <v>133</v>
      </c>
      <c r="C644" s="95" t="s">
        <v>10394</v>
      </c>
      <c r="D644" s="96" t="s">
        <v>162</v>
      </c>
      <c r="E644" s="97">
        <f t="shared" si="2"/>
        <v>1</v>
      </c>
      <c r="F644" s="97">
        <f t="shared" si="3"/>
        <v>0</v>
      </c>
      <c r="G644" s="99" t="str">
        <f t="shared" si="77"/>
        <v/>
      </c>
      <c r="H644" s="100"/>
      <c r="I644" s="101"/>
      <c r="J644" s="102"/>
      <c r="K644" s="103"/>
      <c r="L644" s="97"/>
      <c r="M644" s="169"/>
      <c r="N644" s="105"/>
      <c r="O644" s="106"/>
      <c r="P644" s="13">
        <f t="array" ref="P644">XLOOKUP(B644,Weight!B:B,Weight!D:D,"#N/A",0)</f>
        <v>90</v>
      </c>
      <c r="Q644" s="17" t="str">
        <f t="shared" si="6"/>
        <v/>
      </c>
      <c r="R644" s="107"/>
      <c r="S644" s="108">
        <v>560313.0</v>
      </c>
      <c r="T644" s="108">
        <v>12.0</v>
      </c>
      <c r="U644" s="109">
        <v>40.0</v>
      </c>
      <c r="V644" s="110"/>
      <c r="X644" s="111">
        <f>SUMIFS('Transit Shipment'!$B$10:$B$1048462,'Transit Shipment'!$A$10:$A$1048462,B644,'Transit Shipment'!$C$10:$C$1048462,AA644)</f>
        <v>0</v>
      </c>
      <c r="Y644" s="111">
        <f>IF(SUMIFS(DIH!$S$2:$S833,DIH!$D$2:$D833,B644,DIH!$U$2:$U833,AA644)&gt;0,SUMIFS(DIH!$S$2:$S833,DIH!$D$2:$D833,B644,DIH!$U$2:$U833,AA644),0)</f>
        <v>0</v>
      </c>
      <c r="Z644" s="112">
        <f t="shared" si="7"/>
        <v>0</v>
      </c>
      <c r="AA644" s="113" t="s">
        <v>11</v>
      </c>
      <c r="AB644" s="114">
        <f>IF(ISNA(VLOOKUP($B644,'Business Report'!$D$2:$J$202,2,0)),"",VLOOKUP($B644,'Business Report'!$D$2:$J$202,2,0))</f>
        <v>3</v>
      </c>
      <c r="AC644" s="115">
        <f>SUMIFS(AFS!$P$2:$P$6260,AFS!$N$2:$N$6260,B644,AFS!$AT$2:$AT$6260,AA644)</f>
        <v>0</v>
      </c>
      <c r="AD644" s="116">
        <f t="shared" si="8"/>
        <v>0</v>
      </c>
      <c r="AE644" s="117"/>
      <c r="AF644" s="118" t="str">
        <f t="shared" si="9"/>
        <v/>
      </c>
      <c r="AG644" s="26"/>
      <c r="AH644" s="26"/>
      <c r="AI644" s="26"/>
    </row>
    <row r="645">
      <c r="A645" s="94" t="s">
        <v>6331</v>
      </c>
      <c r="B645" s="3" t="s">
        <v>133</v>
      </c>
      <c r="C645" s="95" t="s">
        <v>10394</v>
      </c>
      <c r="D645" s="96" t="s">
        <v>162</v>
      </c>
      <c r="E645" s="97">
        <f t="shared" si="2"/>
        <v>1</v>
      </c>
      <c r="F645" s="97">
        <f t="shared" si="3"/>
        <v>0</v>
      </c>
      <c r="G645" s="99" t="str">
        <f t="shared" si="77"/>
        <v/>
      </c>
      <c r="H645" s="100"/>
      <c r="I645" s="101"/>
      <c r="J645" s="102"/>
      <c r="K645" s="103"/>
      <c r="L645" s="97"/>
      <c r="M645" s="169"/>
      <c r="N645" s="105"/>
      <c r="O645" s="106"/>
      <c r="P645" s="13">
        <f t="array" ref="P645">XLOOKUP(B645,Weight!B:B,Weight!D:D,"#N/A",0)</f>
        <v>90</v>
      </c>
      <c r="Q645" s="17" t="str">
        <f t="shared" si="6"/>
        <v/>
      </c>
      <c r="R645" s="107"/>
      <c r="S645" s="108">
        <v>560313.0</v>
      </c>
      <c r="T645" s="108">
        <v>12.0</v>
      </c>
      <c r="U645" s="109">
        <v>40.0</v>
      </c>
      <c r="V645" s="110"/>
      <c r="X645" s="111">
        <f>SUMIFS('Transit Shipment'!$B$10:$B$1048462,'Transit Shipment'!$A$10:$A$1048462,B645,'Transit Shipment'!$C$10:$C$1048462,AA645)</f>
        <v>0</v>
      </c>
      <c r="Y645" s="111">
        <f>IF(SUMIFS(DIH!$S$2:$S833,DIH!$D$2:$D833,B645,DIH!$U$2:$U833,AA645)&gt;0,SUMIFS(DIH!$S$2:$S833,DIH!$D$2:$D833,B645,DIH!$U$2:$U833,AA645),0)</f>
        <v>0</v>
      </c>
      <c r="Z645" s="112">
        <f t="shared" si="7"/>
        <v>0</v>
      </c>
      <c r="AA645" s="119" t="s">
        <v>9</v>
      </c>
      <c r="AB645" s="114">
        <f>IF(ISNA(VLOOKUP($B645,'Business Report'!$D$2:$J$202,2,0)),"",VLOOKUP($B645,'Business Report'!$D$2:$J$202,2,0))</f>
        <v>3</v>
      </c>
      <c r="AC645" s="115">
        <f>SUMIFS(AFS!$P$2:$P$6260,AFS!$N$2:$N$6260,B645,AFS!$AT$2:$AT$6260,AA645)</f>
        <v>0</v>
      </c>
      <c r="AD645" s="116">
        <f t="shared" si="8"/>
        <v>0</v>
      </c>
      <c r="AE645" s="117"/>
      <c r="AF645" s="118" t="str">
        <f t="shared" si="9"/>
        <v/>
      </c>
      <c r="AG645" s="26"/>
      <c r="AH645" s="26"/>
      <c r="AI645" s="26"/>
    </row>
    <row r="646">
      <c r="A646" s="120" t="s">
        <v>6331</v>
      </c>
      <c r="B646" s="7" t="s">
        <v>133</v>
      </c>
      <c r="C646" s="95" t="s">
        <v>10394</v>
      </c>
      <c r="D646" s="109" t="s">
        <v>162</v>
      </c>
      <c r="E646" s="97">
        <f t="shared" si="2"/>
        <v>1</v>
      </c>
      <c r="F646" s="97">
        <f t="shared" si="3"/>
        <v>0</v>
      </c>
      <c r="G646" s="99" t="str">
        <f t="shared" si="77"/>
        <v/>
      </c>
      <c r="H646" s="121"/>
      <c r="I646" s="122"/>
      <c r="J646" s="123"/>
      <c r="K646" s="124"/>
      <c r="L646" s="125"/>
      <c r="M646" s="181"/>
      <c r="N646" s="126"/>
      <c r="O646" s="127"/>
      <c r="P646" s="13">
        <f t="array" ref="P646">XLOOKUP(B646,Weight!B:B,Weight!D:D,"#N/A",0)</f>
        <v>90</v>
      </c>
      <c r="Q646" s="17" t="str">
        <f t="shared" si="6"/>
        <v/>
      </c>
      <c r="R646" s="107"/>
      <c r="S646" s="108">
        <v>560313.0</v>
      </c>
      <c r="T646" s="108">
        <v>12.0</v>
      </c>
      <c r="U646" s="109">
        <v>40.0</v>
      </c>
      <c r="V646" s="110"/>
      <c r="X646" s="111">
        <f>SUMIFS('Transit Shipment'!$B$10:$B$1048462,'Transit Shipment'!$A$10:$A$1048462,B646,'Transit Shipment'!$C$10:$C$1048462,AA646)</f>
        <v>0</v>
      </c>
      <c r="Y646" s="111">
        <f>IF(SUMIFS(DIH!$S$2:$S833,DIH!$D$2:$D833,B646,DIH!$U$2:$U833,AA646)&gt;0,SUMIFS(DIH!$S$2:$S833,DIH!$D$2:$D833,B646,DIH!$U$2:$U833,AA646),0)</f>
        <v>0</v>
      </c>
      <c r="Z646" s="112">
        <f t="shared" si="7"/>
        <v>0</v>
      </c>
      <c r="AA646" s="119" t="s">
        <v>155</v>
      </c>
      <c r="AB646" s="114">
        <f>IF(ISNA(VLOOKUP($B646,'Business Report'!$D$2:$J$202,2,0)),"",VLOOKUP($B646,'Business Report'!$D$2:$J$202,2,0))</f>
        <v>3</v>
      </c>
      <c r="AC646" s="115">
        <f>SUMIFS(AFS!$P$2:$P$6260,AFS!$N$2:$N$6260,B646,AFS!$AT$2:$AT$6260,AA646)</f>
        <v>0</v>
      </c>
      <c r="AD646" s="116">
        <f t="shared" si="8"/>
        <v>0</v>
      </c>
      <c r="AE646" s="117"/>
      <c r="AF646" s="118" t="str">
        <f t="shared" si="9"/>
        <v/>
      </c>
      <c r="AG646" s="26"/>
      <c r="AH646" s="26"/>
      <c r="AI646" s="26"/>
    </row>
    <row r="647">
      <c r="A647" s="120" t="s">
        <v>6331</v>
      </c>
      <c r="B647" s="7" t="s">
        <v>133</v>
      </c>
      <c r="C647" s="95" t="s">
        <v>10394</v>
      </c>
      <c r="D647" s="109" t="s">
        <v>162</v>
      </c>
      <c r="E647" s="97">
        <f t="shared" si="2"/>
        <v>1</v>
      </c>
      <c r="F647" s="97">
        <f t="shared" si="3"/>
        <v>0</v>
      </c>
      <c r="G647" s="99" t="str">
        <f t="shared" si="77"/>
        <v/>
      </c>
      <c r="H647" s="121"/>
      <c r="I647" s="122"/>
      <c r="J647" s="123"/>
      <c r="K647" s="124"/>
      <c r="L647" s="125"/>
      <c r="M647" s="181"/>
      <c r="N647" s="126"/>
      <c r="O647" s="127"/>
      <c r="P647" s="13">
        <f t="array" ref="P647">XLOOKUP(B647,Weight!B:B,Weight!D:D,"#N/A",0)</f>
        <v>90</v>
      </c>
      <c r="Q647" s="17" t="str">
        <f t="shared" si="6"/>
        <v/>
      </c>
      <c r="R647" s="107"/>
      <c r="S647" s="108">
        <v>560313.0</v>
      </c>
      <c r="T647" s="108">
        <v>12.0</v>
      </c>
      <c r="U647" s="109">
        <v>40.0</v>
      </c>
      <c r="V647" s="110"/>
      <c r="X647" s="111">
        <f>SUMIFS('Transit Shipment'!$B$10:$B$1048462,'Transit Shipment'!$A$10:$A$1048462,B647,'Transit Shipment'!$C$10:$C$1048462,AA647)</f>
        <v>0</v>
      </c>
      <c r="Y647" s="111">
        <f>IF(SUMIFS(DIH!$S$2:$S833,DIH!$D$2:$D833,B647,DIH!$U$2:$U833,AA647)&gt;0,SUMIFS(DIH!$S$2:$S833,DIH!$D$2:$D833,B647,DIH!$U$2:$U833,AA647),0)</f>
        <v>0</v>
      </c>
      <c r="Z647" s="112">
        <f t="shared" si="7"/>
        <v>0</v>
      </c>
      <c r="AA647" s="119" t="s">
        <v>156</v>
      </c>
      <c r="AB647" s="114">
        <f>IF(ISNA(VLOOKUP($B647,'Business Report'!$D$2:$J$202,2,0)),"",VLOOKUP($B647,'Business Report'!$D$2:$J$202,2,0))</f>
        <v>3</v>
      </c>
      <c r="AC647" s="115">
        <f>SUMIFS(AFS!$P$2:$P$6260,AFS!$N$2:$N$6260,B647,AFS!$AT$2:$AT$6260,AA647)</f>
        <v>0</v>
      </c>
      <c r="AD647" s="116">
        <f t="shared" si="8"/>
        <v>0</v>
      </c>
      <c r="AE647" s="117"/>
      <c r="AF647" s="118" t="str">
        <f t="shared" si="9"/>
        <v/>
      </c>
      <c r="AG647" s="26"/>
      <c r="AH647" s="26"/>
      <c r="AI647" s="26"/>
    </row>
    <row r="648">
      <c r="A648" s="120" t="s">
        <v>6331</v>
      </c>
      <c r="B648" s="7" t="s">
        <v>133</v>
      </c>
      <c r="C648" s="95" t="s">
        <v>10394</v>
      </c>
      <c r="D648" s="109" t="s">
        <v>162</v>
      </c>
      <c r="E648" s="97">
        <f t="shared" si="2"/>
        <v>1</v>
      </c>
      <c r="F648" s="97">
        <f t="shared" si="3"/>
        <v>0</v>
      </c>
      <c r="G648" s="99" t="str">
        <f t="shared" si="77"/>
        <v/>
      </c>
      <c r="H648" s="121"/>
      <c r="I648" s="122"/>
      <c r="J648" s="123"/>
      <c r="K648" s="124"/>
      <c r="L648" s="125"/>
      <c r="M648" s="181"/>
      <c r="N648" s="126"/>
      <c r="O648" s="127"/>
      <c r="P648" s="13">
        <f t="array" ref="P648">XLOOKUP(B648,Weight!B:B,Weight!D:D,"#N/A",0)</f>
        <v>90</v>
      </c>
      <c r="Q648" s="17" t="str">
        <f t="shared" si="6"/>
        <v/>
      </c>
      <c r="R648" s="107"/>
      <c r="S648" s="108">
        <v>560313.0</v>
      </c>
      <c r="T648" s="108">
        <v>12.0</v>
      </c>
      <c r="U648" s="109">
        <v>40.0</v>
      </c>
      <c r="V648" s="110"/>
      <c r="X648" s="111">
        <f>SUMIFS('Transit Shipment'!$B$10:$B$1048462,'Transit Shipment'!$A$10:$A$1048462,B648,'Transit Shipment'!$C$10:$C$1048462,AA648)</f>
        <v>0</v>
      </c>
      <c r="Y648" s="111">
        <f>IF(SUMIFS(DIH!$S$2:$S833,DIH!$D$2:$D833,B648,DIH!$U$2:$U833,AA648)&gt;0,SUMIFS(DIH!$S$2:$S833,DIH!$D$2:$D833,B648,DIH!$U$2:$U833,AA648),0)</f>
        <v>0</v>
      </c>
      <c r="Z648" s="112">
        <f t="shared" si="7"/>
        <v>0</v>
      </c>
      <c r="AA648" s="130" t="s">
        <v>13</v>
      </c>
      <c r="AB648" s="114">
        <f>IF(ISNA(VLOOKUP($B648,'Business Report'!$D$2:$J$202,2,0)),"",VLOOKUP($B648,'Business Report'!$D$2:$J$202,2,0))</f>
        <v>3</v>
      </c>
      <c r="AC648" s="115">
        <f>SUMIFS(AFS!$P$2:$P$6260,AFS!$N$2:$N$6260,B648,AFS!$AT$2:$AT$6260,AA648)</f>
        <v>0</v>
      </c>
      <c r="AD648" s="116">
        <f t="shared" si="8"/>
        <v>0</v>
      </c>
      <c r="AE648" s="117"/>
      <c r="AF648" s="118" t="str">
        <f t="shared" si="9"/>
        <v/>
      </c>
      <c r="AG648" s="4"/>
      <c r="AH648" s="26"/>
      <c r="AI648" s="26"/>
    </row>
    <row r="649">
      <c r="A649" s="120" t="s">
        <v>6331</v>
      </c>
      <c r="B649" s="7" t="s">
        <v>133</v>
      </c>
      <c r="C649" s="95" t="s">
        <v>10394</v>
      </c>
      <c r="D649" s="109" t="s">
        <v>162</v>
      </c>
      <c r="E649" s="97">
        <f t="shared" si="2"/>
        <v>1</v>
      </c>
      <c r="F649" s="97">
        <f t="shared" si="3"/>
        <v>0</v>
      </c>
      <c r="G649" s="99" t="str">
        <f t="shared" si="77"/>
        <v/>
      </c>
      <c r="H649" s="121"/>
      <c r="I649" s="122"/>
      <c r="J649" s="123"/>
      <c r="K649" s="124"/>
      <c r="L649" s="125"/>
      <c r="M649" s="181"/>
      <c r="N649" s="126"/>
      <c r="O649" s="127"/>
      <c r="P649" s="13">
        <f t="array" ref="P649">XLOOKUP(B649,Weight!B:B,Weight!D:D,"#N/A",0)</f>
        <v>90</v>
      </c>
      <c r="Q649" s="17" t="str">
        <f t="shared" si="6"/>
        <v/>
      </c>
      <c r="R649" s="107"/>
      <c r="S649" s="108">
        <v>560313.0</v>
      </c>
      <c r="T649" s="108">
        <v>12.0</v>
      </c>
      <c r="U649" s="109">
        <v>40.0</v>
      </c>
      <c r="V649" s="110"/>
      <c r="X649" s="111">
        <f>SUMIFS('Transit Shipment'!$B$10:$B$1048462,'Transit Shipment'!$A$10:$A$1048462,B649,'Transit Shipment'!$C$10:$C$1048462,AA649)</f>
        <v>0</v>
      </c>
      <c r="Y649" s="111">
        <f>IF(SUMIFS(DIH!$S$2:$S833,DIH!$D$2:$D833,B649,DIH!$U$2:$U833,AA649)&gt;0,SUMIFS(DIH!$S$2:$S833,DIH!$D$2:$D833,B649,DIH!$U$2:$U833,AA649),0)</f>
        <v>0</v>
      </c>
      <c r="Z649" s="112">
        <f t="shared" si="7"/>
        <v>0</v>
      </c>
      <c r="AA649" s="119" t="s">
        <v>14</v>
      </c>
      <c r="AB649" s="114">
        <f>IF(ISNA(VLOOKUP($B649,'Business Report'!$D$2:$J$202,2,0)),"",VLOOKUP($B649,'Business Report'!$D$2:$J$202,2,0))</f>
        <v>3</v>
      </c>
      <c r="AC649" s="115">
        <f>SUMIFS(AFS!$P$2:$P$6260,AFS!$N$2:$N$6260,B649,AFS!$AT$2:$AT$6260,AA649)</f>
        <v>0</v>
      </c>
      <c r="AD649" s="116">
        <f t="shared" si="8"/>
        <v>0</v>
      </c>
      <c r="AE649" s="117"/>
      <c r="AF649" s="118" t="str">
        <f t="shared" si="9"/>
        <v/>
      </c>
      <c r="AG649" s="26"/>
      <c r="AH649" s="26"/>
      <c r="AI649" s="26"/>
    </row>
    <row r="650">
      <c r="A650" s="120" t="s">
        <v>6331</v>
      </c>
      <c r="B650" s="7" t="s">
        <v>133</v>
      </c>
      <c r="C650" s="95" t="s">
        <v>10394</v>
      </c>
      <c r="D650" s="109" t="s">
        <v>162</v>
      </c>
      <c r="E650" s="97">
        <f t="shared" si="2"/>
        <v>1</v>
      </c>
      <c r="F650" s="97">
        <f t="shared" si="3"/>
        <v>0</v>
      </c>
      <c r="G650" s="99" t="str">
        <f t="shared" si="77"/>
        <v/>
      </c>
      <c r="H650" s="121"/>
      <c r="I650" s="122"/>
      <c r="J650" s="123"/>
      <c r="K650" s="124"/>
      <c r="L650" s="125"/>
      <c r="M650" s="181"/>
      <c r="N650" s="126"/>
      <c r="O650" s="127"/>
      <c r="P650" s="13">
        <f t="array" ref="P650">XLOOKUP(B650,Weight!B:B,Weight!D:D,"#N/A",0)</f>
        <v>90</v>
      </c>
      <c r="Q650" s="17" t="str">
        <f t="shared" si="6"/>
        <v/>
      </c>
      <c r="R650" s="107"/>
      <c r="S650" s="108">
        <v>560313.0</v>
      </c>
      <c r="T650" s="108">
        <v>12.0</v>
      </c>
      <c r="U650" s="109">
        <v>40.0</v>
      </c>
      <c r="V650" s="110"/>
      <c r="X650" s="111">
        <f>SUMIFS('Transit Shipment'!$B$10:$B$1048462,'Transit Shipment'!$A$10:$A$1048462,B650,'Transit Shipment'!$C$10:$C$1048462,AA650)</f>
        <v>0</v>
      </c>
      <c r="Y650" s="111">
        <f>IF(SUMIFS(DIH!$S$2:$S833,DIH!$D$2:$D833,B650,DIH!$U$2:$U833,AA650)&gt;0,SUMIFS(DIH!$S$2:$S833,DIH!$D$2:$D833,B650,DIH!$U$2:$U833,AA650),0)</f>
        <v>0</v>
      </c>
      <c r="Z650" s="112">
        <f t="shared" si="7"/>
        <v>0</v>
      </c>
      <c r="AA650" s="131" t="s">
        <v>16</v>
      </c>
      <c r="AB650" s="114">
        <f>IF(ISNA(VLOOKUP($B650,'Business Report'!$D$2:$J$202,2,0)),"",VLOOKUP($B650,'Business Report'!$D$2:$J$202,2,0))</f>
        <v>3</v>
      </c>
      <c r="AC650" s="115">
        <f>SUMIFS(AFS!$P$2:$P$6260,AFS!$N$2:$N$6260,B650,AFS!$AT$2:$AT$6260,AA650)</f>
        <v>0</v>
      </c>
      <c r="AD650" s="116">
        <f t="shared" si="8"/>
        <v>0</v>
      </c>
      <c r="AE650" s="117"/>
      <c r="AF650" s="118" t="str">
        <f t="shared" si="9"/>
        <v/>
      </c>
      <c r="AG650" s="26"/>
      <c r="AH650" s="26"/>
      <c r="AI650" s="26"/>
    </row>
    <row r="651">
      <c r="A651" s="132" t="s">
        <v>6331</v>
      </c>
      <c r="B651" s="15" t="s">
        <v>133</v>
      </c>
      <c r="C651" s="133" t="s">
        <v>10394</v>
      </c>
      <c r="D651" s="134" t="s">
        <v>162</v>
      </c>
      <c r="E651" s="135">
        <f t="shared" si="2"/>
        <v>1</v>
      </c>
      <c r="F651" s="135">
        <f t="shared" si="3"/>
        <v>0</v>
      </c>
      <c r="G651" s="136" t="str">
        <f t="shared" si="77"/>
        <v/>
      </c>
      <c r="H651" s="137"/>
      <c r="I651" s="138"/>
      <c r="J651" s="139"/>
      <c r="K651" s="140"/>
      <c r="L651" s="135"/>
      <c r="M651" s="152"/>
      <c r="N651" s="142"/>
      <c r="O651" s="143"/>
      <c r="P651" s="144">
        <f t="array" ref="P651">XLOOKUP(B651,Weight!B:B,Weight!D:D,"#N/A",0)</f>
        <v>90</v>
      </c>
      <c r="Q651" s="145" t="str">
        <f t="shared" si="6"/>
        <v/>
      </c>
      <c r="R651" s="146"/>
      <c r="S651" s="147">
        <v>560313.0</v>
      </c>
      <c r="T651" s="147">
        <v>12.0</v>
      </c>
      <c r="U651" s="109">
        <v>40.0</v>
      </c>
      <c r="V651" s="148"/>
      <c r="W651" s="149"/>
      <c r="X651" s="150">
        <f>SUMIFS('Transit Shipment'!$B$10:$B$1048462,'Transit Shipment'!$A$10:$A$1048462,B651,'Transit Shipment'!$C$10:$C$1048462,AA651)</f>
        <v>0</v>
      </c>
      <c r="Y651" s="150">
        <f>IF(SUMIFS(DIH!$S$2:$S833,DIH!$D$2:$D833,B651,DIH!$U$2:$U833,AA651)&gt;0,SUMIFS(DIH!$S$2:$S833,DIH!$D$2:$D833,B651,DIH!$U$2:$U833,AA651),0)</f>
        <v>0</v>
      </c>
      <c r="Z651" s="151">
        <f t="shared" si="7"/>
        <v>0</v>
      </c>
      <c r="AA651" s="152" t="s">
        <v>17</v>
      </c>
      <c r="AB651" s="154">
        <f>IF(ISNA(VLOOKUP($B651,'Business Report'!$D$2:$J$202,2,0)),"",VLOOKUP($B651,'Business Report'!$D$2:$J$202,2,0))</f>
        <v>3</v>
      </c>
      <c r="AC651" s="155">
        <f>SUMIFS(AFS!$P$2:$P$6260,AFS!$N$2:$N$6260,B651,AFS!$AT$2:$AT$6260,AA651)</f>
        <v>0</v>
      </c>
      <c r="AD651" s="156">
        <f t="shared" si="8"/>
        <v>0</v>
      </c>
      <c r="AE651" s="159">
        <f>SUM(AD643:AD651)</f>
        <v>0</v>
      </c>
      <c r="AF651" s="118" t="str">
        <f t="shared" si="9"/>
        <v/>
      </c>
      <c r="AG651" s="26"/>
      <c r="AH651" s="26"/>
      <c r="AI651" s="26"/>
    </row>
    <row r="652">
      <c r="A652" s="66" t="s">
        <v>7619</v>
      </c>
      <c r="B652" s="1" t="s">
        <v>134</v>
      </c>
      <c r="C652" s="95" t="s">
        <v>314</v>
      </c>
      <c r="D652" s="68" t="s">
        <v>162</v>
      </c>
      <c r="E652" s="69" t="str">
        <f t="shared" si="2"/>
        <v/>
      </c>
      <c r="F652" s="69" t="str">
        <f t="shared" si="3"/>
        <v/>
      </c>
      <c r="G652" s="70" t="str">
        <f t="shared" si="77"/>
        <v/>
      </c>
      <c r="H652" s="163"/>
      <c r="I652" s="101"/>
      <c r="J652" s="102"/>
      <c r="K652" s="167"/>
      <c r="L652" s="119"/>
      <c r="M652" s="169"/>
      <c r="N652" s="171"/>
      <c r="O652" s="106"/>
      <c r="P652" s="79">
        <f t="array" ref="P652">XLOOKUP(B652,Weight!B:B,Weight!D:D,"#N/A",0)</f>
        <v>75</v>
      </c>
      <c r="Q652" s="80" t="str">
        <f t="shared" si="6"/>
        <v/>
      </c>
      <c r="R652" s="107"/>
      <c r="S652" s="108">
        <v>560313.0</v>
      </c>
      <c r="T652" s="108">
        <v>12.0</v>
      </c>
      <c r="U652" s="83">
        <v>40.0</v>
      </c>
      <c r="V652" s="84" t="str">
        <f t="shared" ref="V652:W652" si="105">B652</f>
        <v>CRM-PR-4826-E477-BLACK</v>
      </c>
      <c r="W652" s="174" t="str">
        <f t="shared" si="105"/>
        <v>Crasome Dust &amp; Water Proof Printer Cover for Canon Pixma E470 / E477 (Black)</v>
      </c>
      <c r="X652" s="86">
        <f>SUMIFS('Transit Shipment'!$B$10:$B$1048462,'Transit Shipment'!$A$10:$A$1048462,B652,'Transit Shipment'!$C$10:$C$1048462,AA652)</f>
        <v>0</v>
      </c>
      <c r="Y652" s="86">
        <f>IF(SUMIFS(DIH!$S$2:$S833,DIH!$D$2:$D833,B652,DIH!$U$2:$U833,AA652)&gt;0,SUMIFS(DIH!$S$2:$S833,DIH!$D$2:$D833,B652,DIH!$U$2:$U833,AA652),0)</f>
        <v>8</v>
      </c>
      <c r="Z652" s="87">
        <f t="shared" si="7"/>
        <v>8</v>
      </c>
      <c r="AA652" s="88" t="s">
        <v>5</v>
      </c>
      <c r="AB652" s="89">
        <f>IF(ISNA(VLOOKUP($B652,'Business Report'!$D$2:$J$202,2,0)),"",VLOOKUP($B652,'Business Report'!$D$2:$J$202,2,0))</f>
        <v>28</v>
      </c>
      <c r="AC652" s="90">
        <f>SUMIFS(AFS!$P$2:$P$6260,AFS!$N$2:$N$6260,B652,AFS!$AT$2:$AT$6260,AA652)</f>
        <v>2</v>
      </c>
      <c r="AD652" s="91">
        <f t="shared" si="8"/>
        <v>-5</v>
      </c>
      <c r="AE652" s="92"/>
      <c r="AF652" s="93" t="str">
        <f t="shared" si="9"/>
        <v/>
      </c>
      <c r="AG652" s="26"/>
      <c r="AH652" s="26"/>
      <c r="AI652" s="26"/>
    </row>
    <row r="653">
      <c r="A653" s="94" t="s">
        <v>7619</v>
      </c>
      <c r="B653" s="3" t="s">
        <v>134</v>
      </c>
      <c r="C653" s="95" t="s">
        <v>314</v>
      </c>
      <c r="D653" s="96" t="s">
        <v>162</v>
      </c>
      <c r="E653" s="97" t="str">
        <f t="shared" si="2"/>
        <v/>
      </c>
      <c r="F653" s="97" t="str">
        <f t="shared" si="3"/>
        <v/>
      </c>
      <c r="G653" s="99" t="str">
        <f t="shared" si="77"/>
        <v/>
      </c>
      <c r="H653" s="100"/>
      <c r="I653" s="101"/>
      <c r="J653" s="102"/>
      <c r="K653" s="103"/>
      <c r="L653" s="97"/>
      <c r="M653" s="169"/>
      <c r="N653" s="105"/>
      <c r="O653" s="106"/>
      <c r="P653" s="13">
        <f t="array" ref="P653">XLOOKUP(B653,Weight!B:B,Weight!D:D,"#N/A",0)</f>
        <v>75</v>
      </c>
      <c r="Q653" s="17" t="str">
        <f t="shared" si="6"/>
        <v/>
      </c>
      <c r="R653" s="107"/>
      <c r="S653" s="108">
        <v>560313.0</v>
      </c>
      <c r="T653" s="108">
        <v>12.0</v>
      </c>
      <c r="U653" s="109">
        <v>40.0</v>
      </c>
      <c r="V653" s="110"/>
      <c r="X653" s="111">
        <f>SUMIFS('Transit Shipment'!$B$10:$B$1048462,'Transit Shipment'!$A$10:$A$1048462,B653,'Transit Shipment'!$C$10:$C$1048462,AA653)</f>
        <v>0</v>
      </c>
      <c r="Y653" s="111">
        <f>IF(SUMIFS(DIH!$S$2:$S833,DIH!$D$2:$D833,B653,DIH!$U$2:$U833,AA653)&gt;0,SUMIFS(DIH!$S$2:$S833,DIH!$D$2:$D833,B653,DIH!$U$2:$U833,AA653),0)</f>
        <v>22</v>
      </c>
      <c r="Z653" s="112">
        <f t="shared" si="7"/>
        <v>22</v>
      </c>
      <c r="AA653" s="113" t="s">
        <v>11</v>
      </c>
      <c r="AB653" s="114">
        <f>IF(ISNA(VLOOKUP($B653,'Business Report'!$D$2:$J$202,2,0)),"",VLOOKUP($B653,'Business Report'!$D$2:$J$202,2,0))</f>
        <v>28</v>
      </c>
      <c r="AC653" s="115">
        <f>SUMIFS(AFS!$P$2:$P$6260,AFS!$N$2:$N$6260,B653,AFS!$AT$2:$AT$6260,AA653)</f>
        <v>10</v>
      </c>
      <c r="AD653" s="116">
        <f t="shared" si="8"/>
        <v>-8</v>
      </c>
      <c r="AE653" s="117"/>
      <c r="AF653" s="118" t="str">
        <f t="shared" si="9"/>
        <v/>
      </c>
      <c r="AG653" s="26"/>
      <c r="AH653" s="26"/>
      <c r="AI653" s="26"/>
    </row>
    <row r="654">
      <c r="A654" s="94" t="s">
        <v>7619</v>
      </c>
      <c r="B654" s="3" t="s">
        <v>134</v>
      </c>
      <c r="C654" s="95" t="s">
        <v>314</v>
      </c>
      <c r="D654" s="96" t="s">
        <v>162</v>
      </c>
      <c r="E654" s="97">
        <f t="shared" si="2"/>
        <v>5</v>
      </c>
      <c r="F654" s="97">
        <f t="shared" si="3"/>
        <v>0</v>
      </c>
      <c r="G654" s="99">
        <f t="shared" si="77"/>
        <v>10</v>
      </c>
      <c r="H654" s="100"/>
      <c r="I654" s="101"/>
      <c r="J654" s="102"/>
      <c r="K654" s="103"/>
      <c r="L654" s="97"/>
      <c r="M654" s="169"/>
      <c r="N654" s="105"/>
      <c r="O654" s="106"/>
      <c r="P654" s="13">
        <f t="array" ref="P654">XLOOKUP(B654,Weight!B:B,Weight!D:D,"#N/A",0)</f>
        <v>75</v>
      </c>
      <c r="Q654" s="17">
        <f t="shared" si="6"/>
        <v>750</v>
      </c>
      <c r="R654" s="107"/>
      <c r="S654" s="108">
        <v>560313.0</v>
      </c>
      <c r="T654" s="108">
        <v>12.0</v>
      </c>
      <c r="U654" s="109">
        <v>40.0</v>
      </c>
      <c r="V654" s="110"/>
      <c r="X654" s="111">
        <f>SUMIFS('Transit Shipment'!$B$10:$B$1048462,'Transit Shipment'!$A$10:$A$1048462,B654,'Transit Shipment'!$C$10:$C$1048462,AA654)</f>
        <v>0</v>
      </c>
      <c r="Y654" s="111">
        <f>IF(SUMIFS(DIH!$S$2:$S833,DIH!$D$2:$D833,B654,DIH!$U$2:$U833,AA654)&gt;0,SUMIFS(DIH!$S$2:$S833,DIH!$D$2:$D833,B654,DIH!$U$2:$U833,AA654),0)</f>
        <v>10</v>
      </c>
      <c r="Z654" s="112">
        <f t="shared" si="7"/>
        <v>10</v>
      </c>
      <c r="AA654" s="119" t="s">
        <v>9</v>
      </c>
      <c r="AB654" s="114">
        <f>IF(ISNA(VLOOKUP($B654,'Business Report'!$D$2:$J$202,2,0)),"",VLOOKUP($B654,'Business Report'!$D$2:$J$202,2,0))</f>
        <v>28</v>
      </c>
      <c r="AC654" s="115">
        <f>SUMIFS(AFS!$P$2:$P$6260,AFS!$N$2:$N$6260,B654,AFS!$AT$2:$AT$6260,AA654)</f>
        <v>15</v>
      </c>
      <c r="AD654" s="116">
        <f t="shared" si="8"/>
        <v>10</v>
      </c>
      <c r="AE654" s="117"/>
      <c r="AF654" s="118">
        <f t="shared" si="9"/>
        <v>10</v>
      </c>
      <c r="AG654" s="26"/>
      <c r="AH654" s="26"/>
      <c r="AI654" s="26"/>
    </row>
    <row r="655">
      <c r="A655" s="120" t="s">
        <v>7619</v>
      </c>
      <c r="B655" s="7" t="s">
        <v>134</v>
      </c>
      <c r="C655" s="95" t="s">
        <v>314</v>
      </c>
      <c r="D655" s="109" t="s">
        <v>162</v>
      </c>
      <c r="E655" s="97" t="str">
        <f t="shared" si="2"/>
        <v/>
      </c>
      <c r="F655" s="97" t="str">
        <f t="shared" si="3"/>
        <v/>
      </c>
      <c r="G655" s="99" t="str">
        <f t="shared" si="77"/>
        <v/>
      </c>
      <c r="H655" s="121"/>
      <c r="I655" s="122"/>
      <c r="J655" s="123"/>
      <c r="K655" s="124"/>
      <c r="L655" s="125"/>
      <c r="M655" s="181"/>
      <c r="N655" s="126"/>
      <c r="O655" s="127"/>
      <c r="P655" s="13">
        <f t="array" ref="P655">XLOOKUP(B655,Weight!B:B,Weight!D:D,"#N/A",0)</f>
        <v>75</v>
      </c>
      <c r="Q655" s="17" t="str">
        <f t="shared" si="6"/>
        <v/>
      </c>
      <c r="R655" s="107"/>
      <c r="S655" s="108">
        <v>560313.0</v>
      </c>
      <c r="T655" s="108">
        <v>12.0</v>
      </c>
      <c r="U655" s="109">
        <v>40.0</v>
      </c>
      <c r="V655" s="110"/>
      <c r="X655" s="111">
        <f>SUMIFS('Transit Shipment'!$B$10:$B$1048462,'Transit Shipment'!$A$10:$A$1048462,B655,'Transit Shipment'!$C$10:$C$1048462,AA655)</f>
        <v>0</v>
      </c>
      <c r="Y655" s="111">
        <f>IF(SUMIFS(DIH!$S$2:$S833,DIH!$D$2:$D833,B655,DIH!$U$2:$U833,AA655)&gt;0,SUMIFS(DIH!$S$2:$S833,DIH!$D$2:$D833,B655,DIH!$U$2:$U833,AA655),0)</f>
        <v>5</v>
      </c>
      <c r="Z655" s="112">
        <f t="shared" si="7"/>
        <v>5</v>
      </c>
      <c r="AA655" s="119" t="s">
        <v>155</v>
      </c>
      <c r="AB655" s="114">
        <f>IF(ISNA(VLOOKUP($B655,'Business Report'!$D$2:$J$202,2,0)),"",VLOOKUP($B655,'Business Report'!$D$2:$J$202,2,0))</f>
        <v>28</v>
      </c>
      <c r="AC655" s="115">
        <f>SUMIFS(AFS!$P$2:$P$6260,AFS!$N$2:$N$6260,B655,AFS!$AT$2:$AT$6260,AA655)</f>
        <v>3</v>
      </c>
      <c r="AD655" s="116">
        <f t="shared" si="8"/>
        <v>-1</v>
      </c>
      <c r="AE655" s="117"/>
      <c r="AF655" s="118" t="str">
        <f t="shared" si="9"/>
        <v/>
      </c>
      <c r="AG655" s="26"/>
      <c r="AH655" s="26"/>
      <c r="AI655" s="26"/>
    </row>
    <row r="656">
      <c r="A656" s="120" t="s">
        <v>7619</v>
      </c>
      <c r="B656" s="7" t="s">
        <v>134</v>
      </c>
      <c r="C656" s="95" t="s">
        <v>314</v>
      </c>
      <c r="D656" s="109" t="s">
        <v>162</v>
      </c>
      <c r="E656" s="97">
        <f t="shared" si="2"/>
        <v>0</v>
      </c>
      <c r="F656" s="97">
        <f t="shared" si="3"/>
        <v>0.5</v>
      </c>
      <c r="G656" s="99">
        <f t="shared" si="77"/>
        <v>2</v>
      </c>
      <c r="H656" s="121"/>
      <c r="I656" s="122"/>
      <c r="J656" s="123"/>
      <c r="K656" s="124"/>
      <c r="L656" s="125"/>
      <c r="M656" s="181"/>
      <c r="N656" s="126"/>
      <c r="O656" s="127"/>
      <c r="P656" s="13">
        <f t="array" ref="P656">XLOOKUP(B656,Weight!B:B,Weight!D:D,"#N/A",0)</f>
        <v>75</v>
      </c>
      <c r="Q656" s="17">
        <f t="shared" si="6"/>
        <v>150</v>
      </c>
      <c r="R656" s="107"/>
      <c r="S656" s="108">
        <v>560313.0</v>
      </c>
      <c r="T656" s="108">
        <v>12.0</v>
      </c>
      <c r="U656" s="109">
        <v>40.0</v>
      </c>
      <c r="V656" s="110"/>
      <c r="X656" s="111">
        <f>SUMIFS('Transit Shipment'!$B$10:$B$1048462,'Transit Shipment'!$A$10:$A$1048462,B656,'Transit Shipment'!$C$10:$C$1048462,AA656)</f>
        <v>0</v>
      </c>
      <c r="Y656" s="111">
        <f>IF(SUMIFS(DIH!$S$2:$S833,DIH!$D$2:$D833,B656,DIH!$U$2:$U833,AA656)&gt;0,SUMIFS(DIH!$S$2:$S833,DIH!$D$2:$D833,B656,DIH!$U$2:$U833,AA656),0)</f>
        <v>7</v>
      </c>
      <c r="Z656" s="112">
        <f t="shared" si="7"/>
        <v>7</v>
      </c>
      <c r="AA656" s="119" t="s">
        <v>156</v>
      </c>
      <c r="AB656" s="114">
        <f>IF(ISNA(VLOOKUP($B656,'Business Report'!$D$2:$J$202,2,0)),"",VLOOKUP($B656,'Business Report'!$D$2:$J$202,2,0))</f>
        <v>28</v>
      </c>
      <c r="AC656" s="115">
        <f>SUMIFS(AFS!$P$2:$P$6260,AFS!$N$2:$N$6260,B656,AFS!$AT$2:$AT$6260,AA656)</f>
        <v>6</v>
      </c>
      <c r="AD656" s="116">
        <f t="shared" si="8"/>
        <v>1</v>
      </c>
      <c r="AE656" s="117"/>
      <c r="AF656" s="118">
        <f t="shared" si="9"/>
        <v>2</v>
      </c>
      <c r="AG656" s="26"/>
      <c r="AH656" s="26"/>
      <c r="AI656" s="26"/>
    </row>
    <row r="657">
      <c r="A657" s="120" t="s">
        <v>7619</v>
      </c>
      <c r="B657" s="7" t="s">
        <v>134</v>
      </c>
      <c r="C657" s="95" t="s">
        <v>314</v>
      </c>
      <c r="D657" s="109" t="s">
        <v>162</v>
      </c>
      <c r="E657" s="97">
        <f t="shared" si="2"/>
        <v>1</v>
      </c>
      <c r="F657" s="97">
        <f t="shared" si="3"/>
        <v>0</v>
      </c>
      <c r="G657" s="99">
        <f t="shared" si="77"/>
        <v>2</v>
      </c>
      <c r="H657" s="121"/>
      <c r="I657" s="122"/>
      <c r="J657" s="123"/>
      <c r="K657" s="124"/>
      <c r="L657" s="125"/>
      <c r="M657" s="181"/>
      <c r="N657" s="126"/>
      <c r="O657" s="127"/>
      <c r="P657" s="13">
        <f t="array" ref="P657">XLOOKUP(B657,Weight!B:B,Weight!D:D,"#N/A",0)</f>
        <v>75</v>
      </c>
      <c r="Q657" s="17">
        <f t="shared" si="6"/>
        <v>150</v>
      </c>
      <c r="R657" s="107"/>
      <c r="S657" s="108">
        <v>560313.0</v>
      </c>
      <c r="T657" s="108">
        <v>12.0</v>
      </c>
      <c r="U657" s="109">
        <v>40.0</v>
      </c>
      <c r="V657" s="110"/>
      <c r="X657" s="111">
        <f>SUMIFS('Transit Shipment'!$B$10:$B$1048462,'Transit Shipment'!$A$10:$A$1048462,B657,'Transit Shipment'!$C$10:$C$1048462,AA657)</f>
        <v>0</v>
      </c>
      <c r="Y657" s="111">
        <f>IF(SUMIFS(DIH!$S$2:$S833,DIH!$D$2:$D833,B657,DIH!$U$2:$U833,AA657)&gt;0,SUMIFS(DIH!$S$2:$S833,DIH!$D$2:$D833,B657,DIH!$U$2:$U833,AA657),0)</f>
        <v>6</v>
      </c>
      <c r="Z657" s="112">
        <f t="shared" si="7"/>
        <v>6</v>
      </c>
      <c r="AA657" s="130" t="s">
        <v>13</v>
      </c>
      <c r="AB657" s="114">
        <f>IF(ISNA(VLOOKUP($B657,'Business Report'!$D$2:$J$202,2,0)),"",VLOOKUP($B657,'Business Report'!$D$2:$J$202,2,0))</f>
        <v>28</v>
      </c>
      <c r="AC657" s="115">
        <f>SUMIFS(AFS!$P$2:$P$6260,AFS!$N$2:$N$6260,B657,AFS!$AT$2:$AT$6260,AA657)</f>
        <v>6</v>
      </c>
      <c r="AD657" s="116">
        <f t="shared" si="8"/>
        <v>2</v>
      </c>
      <c r="AE657" s="117"/>
      <c r="AF657" s="118">
        <f t="shared" si="9"/>
        <v>2</v>
      </c>
      <c r="AG657" s="26"/>
      <c r="AH657" s="26"/>
      <c r="AI657" s="26"/>
    </row>
    <row r="658">
      <c r="A658" s="120" t="s">
        <v>7619</v>
      </c>
      <c r="B658" s="7" t="s">
        <v>134</v>
      </c>
      <c r="C658" s="95" t="s">
        <v>314</v>
      </c>
      <c r="D658" s="109" t="s">
        <v>162</v>
      </c>
      <c r="E658" s="97">
        <f t="shared" si="2"/>
        <v>1</v>
      </c>
      <c r="F658" s="97">
        <f t="shared" si="3"/>
        <v>0</v>
      </c>
      <c r="G658" s="99" t="str">
        <f t="shared" si="77"/>
        <v/>
      </c>
      <c r="H658" s="121"/>
      <c r="I658" s="122"/>
      <c r="J658" s="123"/>
      <c r="K658" s="124"/>
      <c r="L658" s="125"/>
      <c r="M658" s="181"/>
      <c r="N658" s="126"/>
      <c r="O658" s="127"/>
      <c r="P658" s="13">
        <f t="array" ref="P658">XLOOKUP(B658,Weight!B:B,Weight!D:D,"#N/A",0)</f>
        <v>75</v>
      </c>
      <c r="Q658" s="17" t="str">
        <f t="shared" si="6"/>
        <v/>
      </c>
      <c r="R658" s="107"/>
      <c r="S658" s="108">
        <v>560313.0</v>
      </c>
      <c r="T658" s="108">
        <v>12.0</v>
      </c>
      <c r="U658" s="109">
        <v>40.0</v>
      </c>
      <c r="V658" s="110"/>
      <c r="X658" s="111">
        <f>SUMIFS('Transit Shipment'!$B$10:$B$1048462,'Transit Shipment'!$A$10:$A$1048462,B658,'Transit Shipment'!$C$10:$C$1048462,AA658)</f>
        <v>0</v>
      </c>
      <c r="Y658" s="111">
        <f>IF(SUMIFS(DIH!$S$2:$S833,DIH!$D$2:$D833,B658,DIH!$U$2:$U833,AA658)&gt;0,SUMIFS(DIH!$S$2:$S833,DIH!$D$2:$D833,B658,DIH!$U$2:$U833,AA658),0)</f>
        <v>7</v>
      </c>
      <c r="Z658" s="112">
        <f t="shared" si="7"/>
        <v>7</v>
      </c>
      <c r="AA658" s="119" t="s">
        <v>14</v>
      </c>
      <c r="AB658" s="114">
        <f>IF(ISNA(VLOOKUP($B658,'Business Report'!$D$2:$J$202,2,0)),"",VLOOKUP($B658,'Business Report'!$D$2:$J$202,2,0))</f>
        <v>28</v>
      </c>
      <c r="AC658" s="115">
        <f>SUMIFS(AFS!$P$2:$P$6260,AFS!$N$2:$N$6260,B658,AFS!$AT$2:$AT$6260,AA658)</f>
        <v>5</v>
      </c>
      <c r="AD658" s="116">
        <f t="shared" si="8"/>
        <v>0</v>
      </c>
      <c r="AE658" s="117"/>
      <c r="AF658" s="118" t="str">
        <f t="shared" si="9"/>
        <v/>
      </c>
      <c r="AG658" s="26"/>
      <c r="AH658" s="26"/>
      <c r="AI658" s="26"/>
    </row>
    <row r="659">
      <c r="A659" s="120" t="s">
        <v>7619</v>
      </c>
      <c r="B659" s="7" t="s">
        <v>134</v>
      </c>
      <c r="C659" s="95" t="s">
        <v>314</v>
      </c>
      <c r="D659" s="109" t="s">
        <v>162</v>
      </c>
      <c r="E659" s="97">
        <f t="shared" si="2"/>
        <v>3</v>
      </c>
      <c r="F659" s="97">
        <f t="shared" si="3"/>
        <v>0</v>
      </c>
      <c r="G659" s="99">
        <f t="shared" si="77"/>
        <v>6</v>
      </c>
      <c r="H659" s="121"/>
      <c r="I659" s="122"/>
      <c r="J659" s="123"/>
      <c r="K659" s="124"/>
      <c r="L659" s="125"/>
      <c r="M659" s="181"/>
      <c r="N659" s="126"/>
      <c r="O659" s="127"/>
      <c r="P659" s="13">
        <f t="array" ref="P659">XLOOKUP(B659,Weight!B:B,Weight!D:D,"#N/A",0)</f>
        <v>75</v>
      </c>
      <c r="Q659" s="17">
        <f t="shared" si="6"/>
        <v>450</v>
      </c>
      <c r="R659" s="107"/>
      <c r="S659" s="108">
        <v>560313.0</v>
      </c>
      <c r="T659" s="108">
        <v>12.0</v>
      </c>
      <c r="U659" s="109">
        <v>40.0</v>
      </c>
      <c r="V659" s="110"/>
      <c r="X659" s="111">
        <f>SUMIFS('Transit Shipment'!$B$10:$B$1048462,'Transit Shipment'!$A$10:$A$1048462,B659,'Transit Shipment'!$C$10:$C$1048462,AA659)</f>
        <v>0</v>
      </c>
      <c r="Y659" s="111">
        <f>IF(SUMIFS(DIH!$S$2:$S833,DIH!$D$2:$D833,B659,DIH!$U$2:$U833,AA659)&gt;0,SUMIFS(DIH!$S$2:$S833,DIH!$D$2:$D833,B659,DIH!$U$2:$U833,AA659),0)</f>
        <v>2</v>
      </c>
      <c r="Z659" s="112">
        <f t="shared" si="7"/>
        <v>2</v>
      </c>
      <c r="AA659" s="131" t="s">
        <v>16</v>
      </c>
      <c r="AB659" s="114">
        <f>IF(ISNA(VLOOKUP($B659,'Business Report'!$D$2:$J$202,2,0)),"",VLOOKUP($B659,'Business Report'!$D$2:$J$202,2,0))</f>
        <v>28</v>
      </c>
      <c r="AC659" s="115">
        <f>SUMIFS(AFS!$P$2:$P$6260,AFS!$N$2:$N$6260,B659,AFS!$AT$2:$AT$6260,AA659)</f>
        <v>6</v>
      </c>
      <c r="AD659" s="116">
        <f t="shared" si="8"/>
        <v>6</v>
      </c>
      <c r="AE659" s="117"/>
      <c r="AF659" s="118">
        <f t="shared" si="9"/>
        <v>6</v>
      </c>
      <c r="AG659" s="26"/>
      <c r="AH659" s="26"/>
      <c r="AI659" s="26"/>
    </row>
    <row r="660">
      <c r="A660" s="132" t="s">
        <v>7619</v>
      </c>
      <c r="B660" s="15" t="s">
        <v>134</v>
      </c>
      <c r="C660" s="133" t="s">
        <v>314</v>
      </c>
      <c r="D660" s="134" t="s">
        <v>162</v>
      </c>
      <c r="E660" s="135" t="str">
        <f t="shared" si="2"/>
        <v/>
      </c>
      <c r="F660" s="135" t="str">
        <f t="shared" si="3"/>
        <v/>
      </c>
      <c r="G660" s="136" t="str">
        <f t="shared" si="77"/>
        <v/>
      </c>
      <c r="H660" s="137"/>
      <c r="I660" s="138"/>
      <c r="J660" s="139"/>
      <c r="K660" s="140"/>
      <c r="L660" s="135"/>
      <c r="M660" s="152"/>
      <c r="N660" s="142"/>
      <c r="O660" s="143"/>
      <c r="P660" s="144">
        <f t="array" ref="P660">XLOOKUP(B660,Weight!B:B,Weight!D:D,"#N/A",0)</f>
        <v>75</v>
      </c>
      <c r="Q660" s="145" t="str">
        <f t="shared" si="6"/>
        <v/>
      </c>
      <c r="R660" s="146"/>
      <c r="S660" s="147">
        <v>560313.0</v>
      </c>
      <c r="T660" s="147">
        <v>12.0</v>
      </c>
      <c r="U660" s="109">
        <v>40.0</v>
      </c>
      <c r="V660" s="148"/>
      <c r="W660" s="149"/>
      <c r="X660" s="150">
        <f>SUMIFS('Transit Shipment'!$B$10:$B$1048462,'Transit Shipment'!$A$10:$A$1048462,B660,'Transit Shipment'!$C$10:$C$1048462,AA660)</f>
        <v>0</v>
      </c>
      <c r="Y660" s="150">
        <f>IF(SUMIFS(DIH!$S$2:$S833,DIH!$D$2:$D833,B660,DIH!$U$2:$U833,AA660)&gt;0,SUMIFS(DIH!$S$2:$S833,DIH!$D$2:$D833,B660,DIH!$U$2:$U833,AA660),0)</f>
        <v>6</v>
      </c>
      <c r="Z660" s="151">
        <f t="shared" si="7"/>
        <v>6</v>
      </c>
      <c r="AA660" s="152" t="s">
        <v>17</v>
      </c>
      <c r="AB660" s="154">
        <f>IF(ISNA(VLOOKUP($B660,'Business Report'!$D$2:$J$202,2,0)),"",VLOOKUP($B660,'Business Report'!$D$2:$J$202,2,0))</f>
        <v>28</v>
      </c>
      <c r="AC660" s="155">
        <f>SUMIFS(AFS!$P$2:$P$6260,AFS!$N$2:$N$6260,B660,AFS!$AT$2:$AT$6260,AA660)</f>
        <v>3</v>
      </c>
      <c r="AD660" s="156">
        <f t="shared" si="8"/>
        <v>-2</v>
      </c>
      <c r="AE660" s="159">
        <f>SUM(AD652:AD660)</f>
        <v>3</v>
      </c>
      <c r="AF660" s="118" t="str">
        <f t="shared" si="9"/>
        <v/>
      </c>
      <c r="AG660" s="26"/>
      <c r="AH660" s="26"/>
      <c r="AI660" s="26"/>
    </row>
    <row r="661">
      <c r="A661" s="66" t="s">
        <v>7482</v>
      </c>
      <c r="B661" s="1" t="s">
        <v>136</v>
      </c>
      <c r="C661" s="95" t="s">
        <v>10762</v>
      </c>
      <c r="D661" s="68" t="s">
        <v>162</v>
      </c>
      <c r="E661" s="69">
        <f t="shared" si="2"/>
        <v>2</v>
      </c>
      <c r="F661" s="69">
        <f t="shared" si="3"/>
        <v>0</v>
      </c>
      <c r="G661" s="70">
        <f t="shared" si="77"/>
        <v>4</v>
      </c>
      <c r="H661" s="163"/>
      <c r="I661" s="101"/>
      <c r="J661" s="102"/>
      <c r="K661" s="167"/>
      <c r="L661" s="119"/>
      <c r="M661" s="169"/>
      <c r="N661" s="171"/>
      <c r="O661" s="106"/>
      <c r="P661" s="79">
        <f t="array" ref="P661">XLOOKUP(B661,Weight!B:B,Weight!D:D,"#N/A",0)</f>
        <v>75</v>
      </c>
      <c r="Q661" s="80">
        <f t="shared" si="6"/>
        <v>300</v>
      </c>
      <c r="R661" s="107"/>
      <c r="S661" s="108">
        <v>560313.0</v>
      </c>
      <c r="T661" s="108">
        <v>12.0</v>
      </c>
      <c r="U661" s="83">
        <v>40.0</v>
      </c>
      <c r="V661" s="84" t="str">
        <f t="shared" ref="V661:W661" si="106">B661</f>
        <v>CRM-PR-4826-E477-GREY</v>
      </c>
      <c r="W661" s="174" t="str">
        <f t="shared" si="106"/>
        <v>Crasome Dust &amp; Water Proof Printer Cover for Canon Pixma E470 / E477 (Grey)</v>
      </c>
      <c r="X661" s="86">
        <f>SUMIFS('Transit Shipment'!$B$10:$B$1048462,'Transit Shipment'!$A$10:$A$1048462,B661,'Transit Shipment'!$C$10:$C$1048462,AA661)</f>
        <v>0</v>
      </c>
      <c r="Y661" s="86">
        <f>IF(SUMIFS(DIH!$S$2:$S833,DIH!$D$2:$D833,B661,DIH!$U$2:$U833,AA661)&gt;0,SUMIFS(DIH!$S$2:$S833,DIH!$D$2:$D833,B661,DIH!$U$2:$U833,AA661),0)</f>
        <v>3</v>
      </c>
      <c r="Z661" s="87">
        <f t="shared" si="7"/>
        <v>3</v>
      </c>
      <c r="AA661" s="88" t="s">
        <v>5</v>
      </c>
      <c r="AB661" s="89">
        <f>IF(ISNA(VLOOKUP($B661,'Business Report'!$D$2:$J$202,2,0)),"",VLOOKUP($B661,'Business Report'!$D$2:$J$202,2,0))</f>
        <v>68</v>
      </c>
      <c r="AC661" s="90">
        <f>SUMIFS(AFS!$P$2:$P$6260,AFS!$N$2:$N$6260,B661,AFS!$AT$2:$AT$6260,AA661)</f>
        <v>5</v>
      </c>
      <c r="AD661" s="91">
        <f t="shared" si="8"/>
        <v>4</v>
      </c>
      <c r="AE661" s="92"/>
      <c r="AF661" s="93">
        <f t="shared" si="9"/>
        <v>4</v>
      </c>
      <c r="AG661" s="26"/>
      <c r="AH661" s="26"/>
      <c r="AI661" s="26"/>
    </row>
    <row r="662">
      <c r="A662" s="94" t="s">
        <v>7482</v>
      </c>
      <c r="B662" s="3" t="s">
        <v>136</v>
      </c>
      <c r="C662" s="95" t="s">
        <v>10762</v>
      </c>
      <c r="D662" s="96" t="s">
        <v>162</v>
      </c>
      <c r="E662" s="97" t="str">
        <f t="shared" si="2"/>
        <v/>
      </c>
      <c r="F662" s="97" t="str">
        <f t="shared" si="3"/>
        <v/>
      </c>
      <c r="G662" s="99" t="str">
        <f t="shared" si="77"/>
        <v/>
      </c>
      <c r="H662" s="100"/>
      <c r="I662" s="101"/>
      <c r="J662" s="102"/>
      <c r="K662" s="103"/>
      <c r="L662" s="97"/>
      <c r="M662" s="169"/>
      <c r="N662" s="105"/>
      <c r="O662" s="106"/>
      <c r="P662" s="13">
        <f t="array" ref="P662">XLOOKUP(B662,Weight!B:B,Weight!D:D,"#N/A",0)</f>
        <v>75</v>
      </c>
      <c r="Q662" s="17" t="str">
        <f t="shared" si="6"/>
        <v/>
      </c>
      <c r="R662" s="107"/>
      <c r="S662" s="108">
        <v>560313.0</v>
      </c>
      <c r="T662" s="108">
        <v>12.0</v>
      </c>
      <c r="U662" s="109">
        <v>40.0</v>
      </c>
      <c r="V662" s="110"/>
      <c r="X662" s="111">
        <f>SUMIFS('Transit Shipment'!$B$10:$B$1048462,'Transit Shipment'!$A$10:$A$1048462,B662,'Transit Shipment'!$C$10:$C$1048462,AA662)</f>
        <v>0</v>
      </c>
      <c r="Y662" s="111">
        <f>IF(SUMIFS(DIH!$S$2:$S833,DIH!$D$2:$D833,B662,DIH!$U$2:$U833,AA662)&gt;0,SUMIFS(DIH!$S$2:$S833,DIH!$D$2:$D833,B662,DIH!$U$2:$U833,AA662),0)</f>
        <v>26</v>
      </c>
      <c r="Z662" s="112">
        <f t="shared" si="7"/>
        <v>26</v>
      </c>
      <c r="AA662" s="113" t="s">
        <v>11</v>
      </c>
      <c r="AB662" s="114">
        <f>IF(ISNA(VLOOKUP($B662,'Business Report'!$D$2:$J$202,2,0)),"",VLOOKUP($B662,'Business Report'!$D$2:$J$202,2,0))</f>
        <v>68</v>
      </c>
      <c r="AC662" s="115">
        <f>SUMIFS(AFS!$P$2:$P$6260,AFS!$N$2:$N$6260,B662,AFS!$AT$2:$AT$6260,AA662)</f>
        <v>9</v>
      </c>
      <c r="AD662" s="116">
        <f t="shared" si="8"/>
        <v>-14</v>
      </c>
      <c r="AE662" s="117"/>
      <c r="AF662" s="118" t="str">
        <f t="shared" si="9"/>
        <v/>
      </c>
      <c r="AG662" s="26"/>
      <c r="AH662" s="26"/>
      <c r="AI662" s="26"/>
    </row>
    <row r="663">
      <c r="A663" s="94" t="s">
        <v>7482</v>
      </c>
      <c r="B663" s="3" t="s">
        <v>136</v>
      </c>
      <c r="C663" s="95" t="s">
        <v>10762</v>
      </c>
      <c r="D663" s="96" t="s">
        <v>162</v>
      </c>
      <c r="E663" s="97">
        <f t="shared" si="2"/>
        <v>1</v>
      </c>
      <c r="F663" s="97">
        <f t="shared" si="3"/>
        <v>0</v>
      </c>
      <c r="G663" s="99" t="str">
        <f t="shared" si="77"/>
        <v/>
      </c>
      <c r="H663" s="100"/>
      <c r="I663" s="101"/>
      <c r="J663" s="102"/>
      <c r="K663" s="103"/>
      <c r="L663" s="97"/>
      <c r="M663" s="169"/>
      <c r="N663" s="105"/>
      <c r="O663" s="106"/>
      <c r="P663" s="13">
        <f t="array" ref="P663">XLOOKUP(B663,Weight!B:B,Weight!D:D,"#N/A",0)</f>
        <v>75</v>
      </c>
      <c r="Q663" s="17" t="str">
        <f t="shared" si="6"/>
        <v/>
      </c>
      <c r="R663" s="107"/>
      <c r="S663" s="108">
        <v>560313.0</v>
      </c>
      <c r="T663" s="108">
        <v>12.0</v>
      </c>
      <c r="U663" s="109">
        <v>40.0</v>
      </c>
      <c r="V663" s="110"/>
      <c r="X663" s="111">
        <f>SUMIFS('Transit Shipment'!$B$10:$B$1048462,'Transit Shipment'!$A$10:$A$1048462,B663,'Transit Shipment'!$C$10:$C$1048462,AA663)</f>
        <v>0</v>
      </c>
      <c r="Y663" s="111">
        <f>IF(SUMIFS(DIH!$S$2:$S833,DIH!$D$2:$D833,B663,DIH!$U$2:$U833,AA663)&gt;0,SUMIFS(DIH!$S$2:$S833,DIH!$D$2:$D833,B663,DIH!$U$2:$U833,AA663),0)</f>
        <v>16</v>
      </c>
      <c r="Z663" s="112">
        <f t="shared" si="7"/>
        <v>16</v>
      </c>
      <c r="AA663" s="119" t="s">
        <v>9</v>
      </c>
      <c r="AB663" s="114">
        <f>IF(ISNA(VLOOKUP($B663,'Business Report'!$D$2:$J$202,2,0)),"",VLOOKUP($B663,'Business Report'!$D$2:$J$202,2,0))</f>
        <v>68</v>
      </c>
      <c r="AC663" s="115">
        <f>SUMIFS(AFS!$P$2:$P$6260,AFS!$N$2:$N$6260,B663,AFS!$AT$2:$AT$6260,AA663)</f>
        <v>12</v>
      </c>
      <c r="AD663" s="116">
        <f t="shared" si="8"/>
        <v>0</v>
      </c>
      <c r="AE663" s="117"/>
      <c r="AF663" s="118" t="str">
        <f t="shared" si="9"/>
        <v/>
      </c>
      <c r="AG663" s="4"/>
      <c r="AH663" s="26"/>
      <c r="AI663" s="26"/>
    </row>
    <row r="664">
      <c r="A664" s="120" t="s">
        <v>7482</v>
      </c>
      <c r="B664" s="7" t="s">
        <v>136</v>
      </c>
      <c r="C664" s="95" t="s">
        <v>10762</v>
      </c>
      <c r="D664" s="109" t="s">
        <v>162</v>
      </c>
      <c r="E664" s="97" t="str">
        <f t="shared" si="2"/>
        <v/>
      </c>
      <c r="F664" s="97" t="str">
        <f t="shared" si="3"/>
        <v/>
      </c>
      <c r="G664" s="99" t="str">
        <f t="shared" si="77"/>
        <v/>
      </c>
      <c r="H664" s="121"/>
      <c r="I664" s="122"/>
      <c r="J664" s="123"/>
      <c r="K664" s="124"/>
      <c r="L664" s="125"/>
      <c r="M664" s="181"/>
      <c r="N664" s="126"/>
      <c r="O664" s="127"/>
      <c r="P664" s="13">
        <f t="array" ref="P664">XLOOKUP(B664,Weight!B:B,Weight!D:D,"#N/A",0)</f>
        <v>75</v>
      </c>
      <c r="Q664" s="17" t="str">
        <f t="shared" si="6"/>
        <v/>
      </c>
      <c r="R664" s="107"/>
      <c r="S664" s="108">
        <v>560313.0</v>
      </c>
      <c r="T664" s="108">
        <v>12.0</v>
      </c>
      <c r="U664" s="109">
        <v>40.0</v>
      </c>
      <c r="V664" s="110"/>
      <c r="X664" s="111">
        <f>SUMIFS('Transit Shipment'!$B$10:$B$1048462,'Transit Shipment'!$A$10:$A$1048462,B664,'Transit Shipment'!$C$10:$C$1048462,AA664)</f>
        <v>0</v>
      </c>
      <c r="Y664" s="111">
        <f>IF(SUMIFS(DIH!$S$2:$S833,DIH!$D$2:$D833,B664,DIH!$U$2:$U833,AA664)&gt;0,SUMIFS(DIH!$S$2:$S833,DIH!$D$2:$D833,B664,DIH!$U$2:$U833,AA664),0)</f>
        <v>11</v>
      </c>
      <c r="Z664" s="112">
        <f t="shared" si="7"/>
        <v>11</v>
      </c>
      <c r="AA664" s="119" t="s">
        <v>155</v>
      </c>
      <c r="AB664" s="114">
        <f>IF(ISNA(VLOOKUP($B664,'Business Report'!$D$2:$J$202,2,0)),"",VLOOKUP($B664,'Business Report'!$D$2:$J$202,2,0))</f>
        <v>68</v>
      </c>
      <c r="AC664" s="115">
        <f>SUMIFS(AFS!$P$2:$P$6260,AFS!$N$2:$N$6260,B664,AFS!$AT$2:$AT$6260,AA664)</f>
        <v>5</v>
      </c>
      <c r="AD664" s="116">
        <f t="shared" si="8"/>
        <v>-4</v>
      </c>
      <c r="AE664" s="117"/>
      <c r="AF664" s="118" t="str">
        <f t="shared" si="9"/>
        <v/>
      </c>
      <c r="AG664" s="4"/>
      <c r="AH664" s="26"/>
      <c r="AI664" s="26"/>
    </row>
    <row r="665">
      <c r="A665" s="120" t="s">
        <v>7482</v>
      </c>
      <c r="B665" s="7" t="s">
        <v>136</v>
      </c>
      <c r="C665" s="95" t="s">
        <v>10762</v>
      </c>
      <c r="D665" s="109" t="s">
        <v>162</v>
      </c>
      <c r="E665" s="97" t="str">
        <f t="shared" si="2"/>
        <v/>
      </c>
      <c r="F665" s="97" t="str">
        <f t="shared" si="3"/>
        <v/>
      </c>
      <c r="G665" s="99" t="str">
        <f t="shared" si="77"/>
        <v/>
      </c>
      <c r="H665" s="121"/>
      <c r="I665" s="122"/>
      <c r="J665" s="123"/>
      <c r="K665" s="124"/>
      <c r="L665" s="125"/>
      <c r="M665" s="181"/>
      <c r="N665" s="126"/>
      <c r="O665" s="127"/>
      <c r="P665" s="13">
        <f t="array" ref="P665">XLOOKUP(B665,Weight!B:B,Weight!D:D,"#N/A",0)</f>
        <v>75</v>
      </c>
      <c r="Q665" s="17" t="str">
        <f t="shared" si="6"/>
        <v/>
      </c>
      <c r="R665" s="107"/>
      <c r="S665" s="108">
        <v>560313.0</v>
      </c>
      <c r="T665" s="108">
        <v>12.0</v>
      </c>
      <c r="U665" s="109">
        <v>40.0</v>
      </c>
      <c r="V665" s="110"/>
      <c r="X665" s="111">
        <f>SUMIFS('Transit Shipment'!$B$10:$B$1048462,'Transit Shipment'!$A$10:$A$1048462,B665,'Transit Shipment'!$C$10:$C$1048462,AA665)</f>
        <v>0</v>
      </c>
      <c r="Y665" s="111">
        <f>IF(SUMIFS(DIH!$S$2:$S833,DIH!$D$2:$D833,B665,DIH!$U$2:$U833,AA665)&gt;0,SUMIFS(DIH!$S$2:$S833,DIH!$D$2:$D833,B665,DIH!$U$2:$U833,AA665),0)</f>
        <v>21</v>
      </c>
      <c r="Z665" s="112">
        <f t="shared" si="7"/>
        <v>21</v>
      </c>
      <c r="AA665" s="119" t="s">
        <v>156</v>
      </c>
      <c r="AB665" s="114">
        <f>IF(ISNA(VLOOKUP($B665,'Business Report'!$D$2:$J$202,2,0)),"",VLOOKUP($B665,'Business Report'!$D$2:$J$202,2,0))</f>
        <v>68</v>
      </c>
      <c r="AC665" s="115">
        <f>SUMIFS(AFS!$P$2:$P$6260,AFS!$N$2:$N$6260,B665,AFS!$AT$2:$AT$6260,AA665)</f>
        <v>12</v>
      </c>
      <c r="AD665" s="116">
        <f t="shared" si="8"/>
        <v>-5</v>
      </c>
      <c r="AE665" s="117"/>
      <c r="AF665" s="118" t="str">
        <f t="shared" si="9"/>
        <v/>
      </c>
      <c r="AG665" s="4"/>
      <c r="AH665" s="26"/>
      <c r="AI665" s="26"/>
    </row>
    <row r="666">
      <c r="A666" s="120" t="s">
        <v>7482</v>
      </c>
      <c r="B666" s="7" t="s">
        <v>136</v>
      </c>
      <c r="C666" s="95" t="s">
        <v>10762</v>
      </c>
      <c r="D666" s="109" t="s">
        <v>162</v>
      </c>
      <c r="E666" s="97" t="str">
        <f t="shared" si="2"/>
        <v/>
      </c>
      <c r="F666" s="97" t="str">
        <f t="shared" si="3"/>
        <v/>
      </c>
      <c r="G666" s="99" t="str">
        <f t="shared" si="77"/>
        <v/>
      </c>
      <c r="H666" s="121"/>
      <c r="I666" s="122"/>
      <c r="J666" s="123"/>
      <c r="K666" s="124"/>
      <c r="L666" s="125"/>
      <c r="M666" s="181"/>
      <c r="N666" s="126"/>
      <c r="O666" s="127"/>
      <c r="P666" s="13">
        <f t="array" ref="P666">XLOOKUP(B666,Weight!B:B,Weight!D:D,"#N/A",0)</f>
        <v>75</v>
      </c>
      <c r="Q666" s="17" t="str">
        <f t="shared" si="6"/>
        <v/>
      </c>
      <c r="R666" s="107"/>
      <c r="S666" s="108">
        <v>560313.0</v>
      </c>
      <c r="T666" s="108">
        <v>12.0</v>
      </c>
      <c r="U666" s="109">
        <v>40.0</v>
      </c>
      <c r="V666" s="110"/>
      <c r="X666" s="111">
        <f>SUMIFS('Transit Shipment'!$B$10:$B$1048462,'Transit Shipment'!$A$10:$A$1048462,B666,'Transit Shipment'!$C$10:$C$1048462,AA666)</f>
        <v>0</v>
      </c>
      <c r="Y666" s="111">
        <f>IF(SUMIFS(DIH!$S$2:$S833,DIH!$D$2:$D833,B666,DIH!$U$2:$U833,AA666)&gt;0,SUMIFS(DIH!$S$2:$S833,DIH!$D$2:$D833,B666,DIH!$U$2:$U833,AA666),0)</f>
        <v>30</v>
      </c>
      <c r="Z666" s="112">
        <f t="shared" si="7"/>
        <v>30</v>
      </c>
      <c r="AA666" s="130" t="s">
        <v>13</v>
      </c>
      <c r="AB666" s="114">
        <f>IF(ISNA(VLOOKUP($B666,'Business Report'!$D$2:$J$202,2,0)),"",VLOOKUP($B666,'Business Report'!$D$2:$J$202,2,0))</f>
        <v>68</v>
      </c>
      <c r="AC666" s="115">
        <f>SUMIFS(AFS!$P$2:$P$6260,AFS!$N$2:$N$6260,B666,AFS!$AT$2:$AT$6260,AA666)</f>
        <v>8</v>
      </c>
      <c r="AD666" s="116">
        <f t="shared" si="8"/>
        <v>-19</v>
      </c>
      <c r="AE666" s="117"/>
      <c r="AF666" s="118" t="str">
        <f t="shared" si="9"/>
        <v/>
      </c>
      <c r="AG666" s="26"/>
      <c r="AH666" s="26"/>
      <c r="AI666" s="26"/>
    </row>
    <row r="667">
      <c r="A667" s="120" t="s">
        <v>7482</v>
      </c>
      <c r="B667" s="7" t="s">
        <v>136</v>
      </c>
      <c r="C667" s="95" t="s">
        <v>10762</v>
      </c>
      <c r="D667" s="109" t="s">
        <v>162</v>
      </c>
      <c r="E667" s="97">
        <f t="shared" si="2"/>
        <v>7</v>
      </c>
      <c r="F667" s="97">
        <f t="shared" si="3"/>
        <v>0.5</v>
      </c>
      <c r="G667" s="99">
        <f t="shared" si="77"/>
        <v>16</v>
      </c>
      <c r="H667" s="121"/>
      <c r="I667" s="122"/>
      <c r="J667" s="123"/>
      <c r="K667" s="124"/>
      <c r="L667" s="125"/>
      <c r="M667" s="181"/>
      <c r="N667" s="126"/>
      <c r="O667" s="127"/>
      <c r="P667" s="13">
        <f t="array" ref="P667">XLOOKUP(B667,Weight!B:B,Weight!D:D,"#N/A",0)</f>
        <v>75</v>
      </c>
      <c r="Q667" s="17">
        <f t="shared" si="6"/>
        <v>1200</v>
      </c>
      <c r="R667" s="107"/>
      <c r="S667" s="108">
        <v>560313.0</v>
      </c>
      <c r="T667" s="108">
        <v>12.0</v>
      </c>
      <c r="U667" s="109">
        <v>40.0</v>
      </c>
      <c r="V667" s="110"/>
      <c r="X667" s="111">
        <f>SUMIFS('Transit Shipment'!$B$10:$B$1048462,'Transit Shipment'!$A$10:$A$1048462,B667,'Transit Shipment'!$C$10:$C$1048462,AA667)</f>
        <v>0</v>
      </c>
      <c r="Y667" s="111">
        <f>IF(SUMIFS(DIH!$S$2:$S833,DIH!$D$2:$D833,B667,DIH!$U$2:$U833,AA667)&gt;0,SUMIFS(DIH!$S$2:$S833,DIH!$D$2:$D833,B667,DIH!$U$2:$U833,AA667),0)</f>
        <v>5</v>
      </c>
      <c r="Z667" s="112">
        <f t="shared" si="7"/>
        <v>5</v>
      </c>
      <c r="AA667" s="119" t="s">
        <v>14</v>
      </c>
      <c r="AB667" s="114">
        <f>IF(ISNA(VLOOKUP($B667,'Business Report'!$D$2:$J$202,2,0)),"",VLOOKUP($B667,'Business Report'!$D$2:$J$202,2,0))</f>
        <v>68</v>
      </c>
      <c r="AC667" s="115">
        <f>SUMIFS(AFS!$P$2:$P$6260,AFS!$N$2:$N$6260,B667,AFS!$AT$2:$AT$6260,AA667)</f>
        <v>15</v>
      </c>
      <c r="AD667" s="116">
        <f t="shared" si="8"/>
        <v>15</v>
      </c>
      <c r="AE667" s="117"/>
      <c r="AF667" s="118">
        <f t="shared" si="9"/>
        <v>16</v>
      </c>
      <c r="AG667" s="26"/>
      <c r="AH667" s="26"/>
      <c r="AI667" s="26"/>
    </row>
    <row r="668">
      <c r="A668" s="120" t="s">
        <v>7482</v>
      </c>
      <c r="B668" s="7" t="s">
        <v>136</v>
      </c>
      <c r="C668" s="95" t="s">
        <v>10762</v>
      </c>
      <c r="D668" s="109" t="s">
        <v>162</v>
      </c>
      <c r="E668" s="97">
        <f t="shared" si="2"/>
        <v>3</v>
      </c>
      <c r="F668" s="97">
        <f t="shared" si="3"/>
        <v>0</v>
      </c>
      <c r="G668" s="99">
        <f t="shared" si="77"/>
        <v>6</v>
      </c>
      <c r="H668" s="121"/>
      <c r="I668" s="122"/>
      <c r="J668" s="123"/>
      <c r="K668" s="124"/>
      <c r="L668" s="125"/>
      <c r="M668" s="181"/>
      <c r="N668" s="126"/>
      <c r="O668" s="127"/>
      <c r="P668" s="13">
        <f t="array" ref="P668">XLOOKUP(B668,Weight!B:B,Weight!D:D,"#N/A",0)</f>
        <v>75</v>
      </c>
      <c r="Q668" s="17">
        <f t="shared" si="6"/>
        <v>450</v>
      </c>
      <c r="R668" s="107"/>
      <c r="S668" s="108">
        <v>560313.0</v>
      </c>
      <c r="T668" s="108">
        <v>12.0</v>
      </c>
      <c r="U668" s="109">
        <v>40.0</v>
      </c>
      <c r="V668" s="110"/>
      <c r="X668" s="111">
        <f>SUMIFS('Transit Shipment'!$B$10:$B$1048462,'Transit Shipment'!$A$10:$A$1048462,B668,'Transit Shipment'!$C$10:$C$1048462,AA668)</f>
        <v>0</v>
      </c>
      <c r="Y668" s="111">
        <f>IF(SUMIFS(DIH!$S$2:$S833,DIH!$D$2:$D833,B668,DIH!$U$2:$U833,AA668)&gt;0,SUMIFS(DIH!$S$2:$S833,DIH!$D$2:$D833,B668,DIH!$U$2:$U833,AA668),0)</f>
        <v>4</v>
      </c>
      <c r="Z668" s="112">
        <f t="shared" si="7"/>
        <v>4</v>
      </c>
      <c r="AA668" s="131" t="s">
        <v>16</v>
      </c>
      <c r="AB668" s="114">
        <f>IF(ISNA(VLOOKUP($B668,'Business Report'!$D$2:$J$202,2,0)),"",VLOOKUP($B668,'Business Report'!$D$2:$J$202,2,0))</f>
        <v>68</v>
      </c>
      <c r="AC668" s="115">
        <f>SUMIFS(AFS!$P$2:$P$6260,AFS!$N$2:$N$6260,B668,AFS!$AT$2:$AT$6260,AA668)</f>
        <v>7</v>
      </c>
      <c r="AD668" s="116">
        <f t="shared" si="8"/>
        <v>6</v>
      </c>
      <c r="AE668" s="117"/>
      <c r="AF668" s="118">
        <f t="shared" si="9"/>
        <v>6</v>
      </c>
      <c r="AG668" s="26"/>
      <c r="AH668" s="26"/>
      <c r="AI668" s="26"/>
    </row>
    <row r="669">
      <c r="A669" s="132" t="s">
        <v>7482</v>
      </c>
      <c r="B669" s="15" t="s">
        <v>136</v>
      </c>
      <c r="C669" s="133" t="s">
        <v>10762</v>
      </c>
      <c r="D669" s="134" t="s">
        <v>162</v>
      </c>
      <c r="E669" s="135">
        <f t="shared" si="2"/>
        <v>5</v>
      </c>
      <c r="F669" s="135">
        <f t="shared" si="3"/>
        <v>0</v>
      </c>
      <c r="G669" s="136">
        <f t="shared" si="77"/>
        <v>10</v>
      </c>
      <c r="H669" s="137"/>
      <c r="I669" s="138"/>
      <c r="J669" s="139"/>
      <c r="K669" s="140"/>
      <c r="L669" s="135"/>
      <c r="M669" s="152"/>
      <c r="N669" s="142"/>
      <c r="O669" s="143"/>
      <c r="P669" s="144">
        <f t="array" ref="P669">XLOOKUP(B669,Weight!B:B,Weight!D:D,"#N/A",0)</f>
        <v>75</v>
      </c>
      <c r="Q669" s="145">
        <f t="shared" si="6"/>
        <v>750</v>
      </c>
      <c r="R669" s="146"/>
      <c r="S669" s="147">
        <v>560313.0</v>
      </c>
      <c r="T669" s="147">
        <v>12.0</v>
      </c>
      <c r="U669" s="109">
        <v>40.0</v>
      </c>
      <c r="V669" s="148"/>
      <c r="W669" s="149"/>
      <c r="X669" s="150">
        <f>SUMIFS('Transit Shipment'!$B$10:$B$1048462,'Transit Shipment'!$A$10:$A$1048462,B669,'Transit Shipment'!$C$10:$C$1048462,AA669)</f>
        <v>0</v>
      </c>
      <c r="Y669" s="150">
        <f>IF(SUMIFS(DIH!$S$2:$S833,DIH!$D$2:$D833,B669,DIH!$U$2:$U833,AA669)&gt;0,SUMIFS(DIH!$S$2:$S833,DIH!$D$2:$D833,B669,DIH!$U$2:$U833,AA669),0)</f>
        <v>4</v>
      </c>
      <c r="Z669" s="151">
        <f t="shared" si="7"/>
        <v>4</v>
      </c>
      <c r="AA669" s="152" t="s">
        <v>17</v>
      </c>
      <c r="AB669" s="154">
        <f>IF(ISNA(VLOOKUP($B669,'Business Report'!$D$2:$J$202,2,0)),"",VLOOKUP($B669,'Business Report'!$D$2:$J$202,2,0))</f>
        <v>68</v>
      </c>
      <c r="AC669" s="155">
        <f>SUMIFS(AFS!$P$2:$P$6260,AFS!$N$2:$N$6260,B669,AFS!$AT$2:$AT$6260,AA669)</f>
        <v>10</v>
      </c>
      <c r="AD669" s="156">
        <f t="shared" si="8"/>
        <v>10</v>
      </c>
      <c r="AE669" s="159">
        <f>SUM(AD661:AD669)</f>
        <v>-7</v>
      </c>
      <c r="AF669" s="118">
        <f t="shared" si="9"/>
        <v>10</v>
      </c>
      <c r="AG669" s="26"/>
      <c r="AH669" s="26"/>
      <c r="AI669" s="26"/>
    </row>
    <row r="670">
      <c r="A670" s="66" t="s">
        <v>8431</v>
      </c>
      <c r="B670" s="1" t="s">
        <v>138</v>
      </c>
      <c r="C670" s="95" t="s">
        <v>10918</v>
      </c>
      <c r="D670" s="68" t="s">
        <v>162</v>
      </c>
      <c r="E670" s="69">
        <f t="shared" si="2"/>
        <v>1</v>
      </c>
      <c r="F670" s="69">
        <f t="shared" si="3"/>
        <v>0.5</v>
      </c>
      <c r="G670" s="70">
        <f t="shared" si="77"/>
        <v>4</v>
      </c>
      <c r="H670" s="163"/>
      <c r="I670" s="101"/>
      <c r="J670" s="102"/>
      <c r="K670" s="167"/>
      <c r="L670" s="119"/>
      <c r="M670" s="169"/>
      <c r="N670" s="171"/>
      <c r="O670" s="106"/>
      <c r="P670" s="79">
        <f t="array" ref="P670">XLOOKUP(B670,Weight!B:B,Weight!D:D,"#N/A",0)</f>
        <v>90</v>
      </c>
      <c r="Q670" s="80">
        <f t="shared" si="6"/>
        <v>360</v>
      </c>
      <c r="R670" s="107"/>
      <c r="S670" s="108">
        <v>560313.0</v>
      </c>
      <c r="T670" s="108">
        <v>12.0</v>
      </c>
      <c r="U670" s="83">
        <v>40.0</v>
      </c>
      <c r="V670" s="84" t="str">
        <f t="shared" ref="V670:W670" si="107">B670</f>
        <v>CRM-PR-670-G3770-BLACK</v>
      </c>
      <c r="W670" s="174" t="str">
        <f t="shared" si="107"/>
        <v>Crasome Dust &amp; Water Proof Printer Cover for Canon Pixma G2770 / G3770 (Black)</v>
      </c>
      <c r="X670" s="86">
        <f>SUMIFS('Transit Shipment'!$B$10:$B$1048462,'Transit Shipment'!$A$10:$A$1048462,B670,'Transit Shipment'!$C$10:$C$1048462,AA670)</f>
        <v>0</v>
      </c>
      <c r="Y670" s="86">
        <f>IF(SUMIFS(DIH!$S$2:$S833,DIH!$D$2:$D833,B670,DIH!$U$2:$U833,AA670)&gt;0,SUMIFS(DIH!$S$2:$S833,DIH!$D$2:$D833,B670,DIH!$U$2:$U833,AA670),0)</f>
        <v>1</v>
      </c>
      <c r="Z670" s="87">
        <f t="shared" si="7"/>
        <v>1</v>
      </c>
      <c r="AA670" s="88" t="s">
        <v>5</v>
      </c>
      <c r="AB670" s="89">
        <f>IF(ISNA(VLOOKUP($B670,'Business Report'!$D$2:$J$202,2,0)),"",VLOOKUP($B670,'Business Report'!$D$2:$J$202,2,0))</f>
        <v>101</v>
      </c>
      <c r="AC670" s="90">
        <f>SUMIFS(AFS!$P$2:$P$6260,AFS!$N$2:$N$6260,B670,AFS!$AT$2:$AT$6260,AA670)</f>
        <v>3</v>
      </c>
      <c r="AD670" s="91">
        <f t="shared" si="8"/>
        <v>3</v>
      </c>
      <c r="AE670" s="92"/>
      <c r="AF670" s="93">
        <f t="shared" si="9"/>
        <v>4</v>
      </c>
      <c r="AG670" s="26"/>
      <c r="AH670" s="26"/>
      <c r="AI670" s="26"/>
    </row>
    <row r="671">
      <c r="A671" s="94" t="s">
        <v>8431</v>
      </c>
      <c r="B671" s="3" t="s">
        <v>138</v>
      </c>
      <c r="C671" s="95" t="s">
        <v>10918</v>
      </c>
      <c r="D671" s="96" t="s">
        <v>162</v>
      </c>
      <c r="E671" s="97">
        <f t="shared" si="2"/>
        <v>15</v>
      </c>
      <c r="F671" s="97">
        <f t="shared" si="3"/>
        <v>0</v>
      </c>
      <c r="G671" s="99">
        <f t="shared" si="77"/>
        <v>30</v>
      </c>
      <c r="H671" s="100"/>
      <c r="I671" s="101"/>
      <c r="J671" s="102"/>
      <c r="K671" s="103"/>
      <c r="L671" s="97"/>
      <c r="M671" s="169"/>
      <c r="N671" s="105"/>
      <c r="O671" s="106"/>
      <c r="P671" s="13">
        <f t="array" ref="P671">XLOOKUP(B671,Weight!B:B,Weight!D:D,"#N/A",0)</f>
        <v>90</v>
      </c>
      <c r="Q671" s="17">
        <f t="shared" si="6"/>
        <v>2700</v>
      </c>
      <c r="R671" s="107"/>
      <c r="S671" s="108">
        <v>560313.0</v>
      </c>
      <c r="T671" s="108">
        <v>12.0</v>
      </c>
      <c r="U671" s="109">
        <v>40.0</v>
      </c>
      <c r="V671" s="110"/>
      <c r="X671" s="111">
        <f>SUMIFS('Transit Shipment'!$B$10:$B$1048462,'Transit Shipment'!$A$10:$A$1048462,B671,'Transit Shipment'!$C$10:$C$1048462,AA671)</f>
        <v>0</v>
      </c>
      <c r="Y671" s="111">
        <f>IF(SUMIFS(DIH!$S$2:$S833,DIH!$D$2:$D833,B671,DIH!$U$2:$U833,AA671)&gt;0,SUMIFS(DIH!$S$2:$S833,DIH!$D$2:$D833,B671,DIH!$U$2:$U833,AA671),0)</f>
        <v>0</v>
      </c>
      <c r="Z671" s="112">
        <f t="shared" si="7"/>
        <v>0</v>
      </c>
      <c r="AA671" s="113" t="s">
        <v>11</v>
      </c>
      <c r="AB671" s="114">
        <f>IF(ISNA(VLOOKUP($B671,'Business Report'!$D$2:$J$202,2,0)),"",VLOOKUP($B671,'Business Report'!$D$2:$J$202,2,0))</f>
        <v>101</v>
      </c>
      <c r="AC671" s="115">
        <f>SUMIFS(AFS!$P$2:$P$6260,AFS!$N$2:$N$6260,B671,AFS!$AT$2:$AT$6260,AA671)</f>
        <v>22</v>
      </c>
      <c r="AD671" s="116">
        <f t="shared" si="8"/>
        <v>30</v>
      </c>
      <c r="AE671" s="117"/>
      <c r="AF671" s="118">
        <f t="shared" si="9"/>
        <v>30</v>
      </c>
      <c r="AG671" s="26"/>
      <c r="AH671" s="26"/>
      <c r="AI671" s="26"/>
    </row>
    <row r="672">
      <c r="A672" s="94" t="s">
        <v>8431</v>
      </c>
      <c r="B672" s="3" t="s">
        <v>138</v>
      </c>
      <c r="C672" s="95" t="s">
        <v>10918</v>
      </c>
      <c r="D672" s="96" t="s">
        <v>162</v>
      </c>
      <c r="E672" s="97">
        <f t="shared" si="2"/>
        <v>7</v>
      </c>
      <c r="F672" s="97">
        <f t="shared" si="3"/>
        <v>0.5</v>
      </c>
      <c r="G672" s="99">
        <f t="shared" si="77"/>
        <v>16</v>
      </c>
      <c r="H672" s="100"/>
      <c r="I672" s="101"/>
      <c r="J672" s="102"/>
      <c r="K672" s="103"/>
      <c r="L672" s="97"/>
      <c r="M672" s="169"/>
      <c r="N672" s="105"/>
      <c r="O672" s="106"/>
      <c r="P672" s="13">
        <f t="array" ref="P672">XLOOKUP(B672,Weight!B:B,Weight!D:D,"#N/A",0)</f>
        <v>90</v>
      </c>
      <c r="Q672" s="17">
        <f t="shared" si="6"/>
        <v>1440</v>
      </c>
      <c r="R672" s="107"/>
      <c r="S672" s="108">
        <v>560313.0</v>
      </c>
      <c r="T672" s="108">
        <v>12.0</v>
      </c>
      <c r="U672" s="109">
        <v>40.0</v>
      </c>
      <c r="V672" s="110"/>
      <c r="X672" s="111">
        <f>SUMIFS('Transit Shipment'!$B$10:$B$1048462,'Transit Shipment'!$A$10:$A$1048462,B672,'Transit Shipment'!$C$10:$C$1048462,AA672)</f>
        <v>0</v>
      </c>
      <c r="Y672" s="111">
        <f>IF(SUMIFS(DIH!$S$2:$S833,DIH!$D$2:$D833,B672,DIH!$U$2:$U833,AA672)&gt;0,SUMIFS(DIH!$S$2:$S833,DIH!$D$2:$D833,B672,DIH!$U$2:$U833,AA672),0)</f>
        <v>17</v>
      </c>
      <c r="Z672" s="112">
        <f t="shared" si="7"/>
        <v>17</v>
      </c>
      <c r="AA672" s="119" t="s">
        <v>9</v>
      </c>
      <c r="AB672" s="114">
        <f>IF(ISNA(VLOOKUP($B672,'Business Report'!$D$2:$J$202,2,0)),"",VLOOKUP($B672,'Business Report'!$D$2:$J$202,2,0))</f>
        <v>101</v>
      </c>
      <c r="AC672" s="115">
        <f>SUMIFS(AFS!$P$2:$P$6260,AFS!$N$2:$N$6260,B672,AFS!$AT$2:$AT$6260,AA672)</f>
        <v>24</v>
      </c>
      <c r="AD672" s="116">
        <f t="shared" si="8"/>
        <v>15</v>
      </c>
      <c r="AE672" s="117"/>
      <c r="AF672" s="118">
        <f t="shared" si="9"/>
        <v>16</v>
      </c>
      <c r="AG672" s="4"/>
      <c r="AH672" s="26"/>
      <c r="AI672" s="26"/>
    </row>
    <row r="673">
      <c r="A673" s="120" t="s">
        <v>8431</v>
      </c>
      <c r="B673" s="7" t="s">
        <v>138</v>
      </c>
      <c r="C673" s="95" t="s">
        <v>10918</v>
      </c>
      <c r="D673" s="109" t="s">
        <v>162</v>
      </c>
      <c r="E673" s="97">
        <f t="shared" si="2"/>
        <v>7</v>
      </c>
      <c r="F673" s="97">
        <f t="shared" si="3"/>
        <v>0</v>
      </c>
      <c r="G673" s="99">
        <f t="shared" si="77"/>
        <v>14</v>
      </c>
      <c r="H673" s="121"/>
      <c r="I673" s="122"/>
      <c r="J673" s="123"/>
      <c r="K673" s="124"/>
      <c r="L673" s="125"/>
      <c r="M673" s="181"/>
      <c r="N673" s="126"/>
      <c r="O673" s="127"/>
      <c r="P673" s="13">
        <f t="array" ref="P673">XLOOKUP(B673,Weight!B:B,Weight!D:D,"#N/A",0)</f>
        <v>90</v>
      </c>
      <c r="Q673" s="17">
        <f t="shared" si="6"/>
        <v>1260</v>
      </c>
      <c r="R673" s="107"/>
      <c r="S673" s="108">
        <v>560313.0</v>
      </c>
      <c r="T673" s="108">
        <v>12.0</v>
      </c>
      <c r="U673" s="109">
        <v>40.0</v>
      </c>
      <c r="V673" s="110"/>
      <c r="X673" s="111">
        <f>SUMIFS('Transit Shipment'!$B$10:$B$1048462,'Transit Shipment'!$A$10:$A$1048462,B673,'Transit Shipment'!$C$10:$C$1048462,AA673)</f>
        <v>0</v>
      </c>
      <c r="Y673" s="111">
        <f>IF(SUMIFS(DIH!$S$2:$S833,DIH!$D$2:$D833,B673,DIH!$U$2:$U833,AA673)&gt;0,SUMIFS(DIH!$S$2:$S833,DIH!$D$2:$D833,B673,DIH!$U$2:$U833,AA673),0)</f>
        <v>0</v>
      </c>
      <c r="Z673" s="112">
        <f t="shared" si="7"/>
        <v>0</v>
      </c>
      <c r="AA673" s="119" t="s">
        <v>155</v>
      </c>
      <c r="AB673" s="114">
        <f>IF(ISNA(VLOOKUP($B673,'Business Report'!$D$2:$J$202,2,0)),"",VLOOKUP($B673,'Business Report'!$D$2:$J$202,2,0))</f>
        <v>101</v>
      </c>
      <c r="AC673" s="115">
        <f>SUMIFS(AFS!$P$2:$P$6260,AFS!$N$2:$N$6260,B673,AFS!$AT$2:$AT$6260,AA673)</f>
        <v>10</v>
      </c>
      <c r="AD673" s="116">
        <f t="shared" si="8"/>
        <v>14</v>
      </c>
      <c r="AE673" s="117"/>
      <c r="AF673" s="118">
        <f t="shared" si="9"/>
        <v>14</v>
      </c>
      <c r="AG673" s="4"/>
      <c r="AH673" s="26"/>
      <c r="AI673" s="26"/>
    </row>
    <row r="674">
      <c r="A674" s="120" t="s">
        <v>8431</v>
      </c>
      <c r="B674" s="7" t="s">
        <v>138</v>
      </c>
      <c r="C674" s="95" t="s">
        <v>10918</v>
      </c>
      <c r="D674" s="109" t="s">
        <v>162</v>
      </c>
      <c r="E674" s="97">
        <f t="shared" si="2"/>
        <v>10</v>
      </c>
      <c r="F674" s="97">
        <f t="shared" si="3"/>
        <v>0.5</v>
      </c>
      <c r="G674" s="99">
        <f t="shared" si="77"/>
        <v>22</v>
      </c>
      <c r="H674" s="121"/>
      <c r="I674" s="122"/>
      <c r="J674" s="123"/>
      <c r="K674" s="124"/>
      <c r="L674" s="125"/>
      <c r="M674" s="181"/>
      <c r="N674" s="126"/>
      <c r="O674" s="127"/>
      <c r="P674" s="13">
        <f t="array" ref="P674">XLOOKUP(B674,Weight!B:B,Weight!D:D,"#N/A",0)</f>
        <v>90</v>
      </c>
      <c r="Q674" s="17">
        <f t="shared" si="6"/>
        <v>1980</v>
      </c>
      <c r="R674" s="107"/>
      <c r="S674" s="108">
        <v>560313.0</v>
      </c>
      <c r="T674" s="108">
        <v>12.0</v>
      </c>
      <c r="U674" s="109">
        <v>40.0</v>
      </c>
      <c r="V674" s="110"/>
      <c r="X674" s="111">
        <f>SUMIFS('Transit Shipment'!$B$10:$B$1048462,'Transit Shipment'!$A$10:$A$1048462,B674,'Transit Shipment'!$C$10:$C$1048462,AA674)</f>
        <v>0</v>
      </c>
      <c r="Y674" s="111">
        <f>IF(SUMIFS(DIH!$S$2:$S833,DIH!$D$2:$D833,B674,DIH!$U$2:$U833,AA674)&gt;0,SUMIFS(DIH!$S$2:$S833,DIH!$D$2:$D833,B674,DIH!$U$2:$U833,AA674),0)</f>
        <v>15</v>
      </c>
      <c r="Z674" s="112">
        <f t="shared" si="7"/>
        <v>15</v>
      </c>
      <c r="AA674" s="119" t="s">
        <v>156</v>
      </c>
      <c r="AB674" s="114">
        <f>IF(ISNA(VLOOKUP($B674,'Business Report'!$D$2:$J$202,2,0)),"",VLOOKUP($B674,'Business Report'!$D$2:$J$202,2,0))</f>
        <v>101</v>
      </c>
      <c r="AC674" s="115">
        <f>SUMIFS(AFS!$P$2:$P$6260,AFS!$N$2:$N$6260,B674,AFS!$AT$2:$AT$6260,AA674)</f>
        <v>27</v>
      </c>
      <c r="AD674" s="116">
        <f t="shared" si="8"/>
        <v>21</v>
      </c>
      <c r="AE674" s="117"/>
      <c r="AF674" s="118">
        <f t="shared" si="9"/>
        <v>22</v>
      </c>
      <c r="AG674" s="4"/>
      <c r="AH674" s="26"/>
      <c r="AI674" s="26"/>
    </row>
    <row r="675">
      <c r="A675" s="120" t="s">
        <v>8431</v>
      </c>
      <c r="B675" s="7" t="s">
        <v>138</v>
      </c>
      <c r="C675" s="95" t="s">
        <v>10918</v>
      </c>
      <c r="D675" s="109" t="s">
        <v>162</v>
      </c>
      <c r="E675" s="97">
        <f t="shared" si="2"/>
        <v>4</v>
      </c>
      <c r="F675" s="97">
        <f t="shared" si="3"/>
        <v>0</v>
      </c>
      <c r="G675" s="99">
        <f t="shared" si="77"/>
        <v>8</v>
      </c>
      <c r="H675" s="121"/>
      <c r="I675" s="122"/>
      <c r="J675" s="123"/>
      <c r="K675" s="124"/>
      <c r="L675" s="125"/>
      <c r="M675" s="181"/>
      <c r="N675" s="126"/>
      <c r="O675" s="127"/>
      <c r="P675" s="13">
        <f t="array" ref="P675">XLOOKUP(B675,Weight!B:B,Weight!D:D,"#N/A",0)</f>
        <v>90</v>
      </c>
      <c r="Q675" s="17">
        <f t="shared" si="6"/>
        <v>720</v>
      </c>
      <c r="R675" s="107"/>
      <c r="S675" s="108">
        <v>560313.0</v>
      </c>
      <c r="T675" s="108">
        <v>12.0</v>
      </c>
      <c r="U675" s="109">
        <v>40.0</v>
      </c>
      <c r="V675" s="110"/>
      <c r="X675" s="111">
        <f>SUMIFS('Transit Shipment'!$B$10:$B$1048462,'Transit Shipment'!$A$10:$A$1048462,B675,'Transit Shipment'!$C$10:$C$1048462,AA675)</f>
        <v>0</v>
      </c>
      <c r="Y675" s="111">
        <f>IF(SUMIFS(DIH!$S$2:$S833,DIH!$D$2:$D833,B675,DIH!$U$2:$U833,AA675)&gt;0,SUMIFS(DIH!$S$2:$S833,DIH!$D$2:$D833,B675,DIH!$U$2:$U833,AA675),0)</f>
        <v>0</v>
      </c>
      <c r="Z675" s="112">
        <f t="shared" si="7"/>
        <v>0</v>
      </c>
      <c r="AA675" s="130" t="s">
        <v>13</v>
      </c>
      <c r="AB675" s="114">
        <f>IF(ISNA(VLOOKUP($B675,'Business Report'!$D$2:$J$202,2,0)),"",VLOOKUP($B675,'Business Report'!$D$2:$J$202,2,0))</f>
        <v>101</v>
      </c>
      <c r="AC675" s="115">
        <f>SUMIFS(AFS!$P$2:$P$6260,AFS!$N$2:$N$6260,B675,AFS!$AT$2:$AT$6260,AA675)</f>
        <v>6</v>
      </c>
      <c r="AD675" s="116">
        <f t="shared" si="8"/>
        <v>8</v>
      </c>
      <c r="AE675" s="117"/>
      <c r="AF675" s="118">
        <f t="shared" si="9"/>
        <v>8</v>
      </c>
      <c r="AG675" s="26"/>
      <c r="AH675" s="26"/>
      <c r="AI675" s="26"/>
    </row>
    <row r="676">
      <c r="A676" s="120" t="s">
        <v>8431</v>
      </c>
      <c r="B676" s="7" t="s">
        <v>138</v>
      </c>
      <c r="C676" s="95" t="s">
        <v>10918</v>
      </c>
      <c r="D676" s="109" t="s">
        <v>162</v>
      </c>
      <c r="E676" s="97">
        <f t="shared" si="2"/>
        <v>7</v>
      </c>
      <c r="F676" s="97">
        <f t="shared" si="3"/>
        <v>0.5</v>
      </c>
      <c r="G676" s="99">
        <f t="shared" si="77"/>
        <v>16</v>
      </c>
      <c r="H676" s="121"/>
      <c r="I676" s="122"/>
      <c r="J676" s="123"/>
      <c r="K676" s="124"/>
      <c r="L676" s="125"/>
      <c r="M676" s="181"/>
      <c r="N676" s="126"/>
      <c r="O676" s="127"/>
      <c r="P676" s="13">
        <f t="array" ref="P676">XLOOKUP(B676,Weight!B:B,Weight!D:D,"#N/A",0)</f>
        <v>90</v>
      </c>
      <c r="Q676" s="17">
        <f t="shared" si="6"/>
        <v>1440</v>
      </c>
      <c r="R676" s="107"/>
      <c r="S676" s="108">
        <v>560313.0</v>
      </c>
      <c r="T676" s="108">
        <v>12.0</v>
      </c>
      <c r="U676" s="109">
        <v>40.0</v>
      </c>
      <c r="V676" s="110"/>
      <c r="X676" s="111">
        <f>SUMIFS('Transit Shipment'!$B$10:$B$1048462,'Transit Shipment'!$A$10:$A$1048462,B676,'Transit Shipment'!$C$10:$C$1048462,AA676)</f>
        <v>0</v>
      </c>
      <c r="Y676" s="111">
        <f>IF(SUMIFS(DIH!$S$2:$S833,DIH!$D$2:$D833,B676,DIH!$U$2:$U833,AA676)&gt;0,SUMIFS(DIH!$S$2:$S833,DIH!$D$2:$D833,B676,DIH!$U$2:$U833,AA676),0)</f>
        <v>9</v>
      </c>
      <c r="Z676" s="112">
        <f t="shared" si="7"/>
        <v>9</v>
      </c>
      <c r="AA676" s="119" t="s">
        <v>14</v>
      </c>
      <c r="AB676" s="114">
        <f>IF(ISNA(VLOOKUP($B676,'Business Report'!$D$2:$J$202,2,0)),"",VLOOKUP($B676,'Business Report'!$D$2:$J$202,2,0))</f>
        <v>101</v>
      </c>
      <c r="AC676" s="115">
        <f>SUMIFS(AFS!$P$2:$P$6260,AFS!$N$2:$N$6260,B676,AFS!$AT$2:$AT$6260,AA676)</f>
        <v>18</v>
      </c>
      <c r="AD676" s="116">
        <f t="shared" si="8"/>
        <v>15</v>
      </c>
      <c r="AE676" s="117"/>
      <c r="AF676" s="118">
        <f t="shared" si="9"/>
        <v>16</v>
      </c>
      <c r="AG676" s="26"/>
      <c r="AH676" s="26"/>
      <c r="AI676" s="26"/>
    </row>
    <row r="677">
      <c r="A677" s="120" t="s">
        <v>8431</v>
      </c>
      <c r="B677" s="7" t="s">
        <v>138</v>
      </c>
      <c r="C677" s="95" t="s">
        <v>10918</v>
      </c>
      <c r="D677" s="109" t="s">
        <v>162</v>
      </c>
      <c r="E677" s="97">
        <f t="shared" si="2"/>
        <v>6</v>
      </c>
      <c r="F677" s="97">
        <f t="shared" si="3"/>
        <v>0.5</v>
      </c>
      <c r="G677" s="99">
        <f t="shared" si="77"/>
        <v>14</v>
      </c>
      <c r="H677" s="121"/>
      <c r="I677" s="122"/>
      <c r="J677" s="123"/>
      <c r="K677" s="124"/>
      <c r="L677" s="125"/>
      <c r="M677" s="181"/>
      <c r="N677" s="126"/>
      <c r="O677" s="127"/>
      <c r="P677" s="13">
        <f t="array" ref="P677">XLOOKUP(B677,Weight!B:B,Weight!D:D,"#N/A",0)</f>
        <v>90</v>
      </c>
      <c r="Q677" s="17">
        <f t="shared" si="6"/>
        <v>1260</v>
      </c>
      <c r="R677" s="107"/>
      <c r="S677" s="108">
        <v>560313.0</v>
      </c>
      <c r="T677" s="108">
        <v>12.0</v>
      </c>
      <c r="U677" s="109">
        <v>40.0</v>
      </c>
      <c r="V677" s="110"/>
      <c r="X677" s="111">
        <f>SUMIFS('Transit Shipment'!$B$10:$B$1048462,'Transit Shipment'!$A$10:$A$1048462,B677,'Transit Shipment'!$C$10:$C$1048462,AA677)</f>
        <v>0</v>
      </c>
      <c r="Y677" s="111">
        <f>IF(SUMIFS(DIH!$S$2:$S833,DIH!$D$2:$D833,B677,DIH!$U$2:$U833,AA677)&gt;0,SUMIFS(DIH!$S$2:$S833,DIH!$D$2:$D833,B677,DIH!$U$2:$U833,AA677),0)</f>
        <v>1</v>
      </c>
      <c r="Z677" s="112">
        <f t="shared" si="7"/>
        <v>1</v>
      </c>
      <c r="AA677" s="131" t="s">
        <v>16</v>
      </c>
      <c r="AB677" s="114">
        <f>IF(ISNA(VLOOKUP($B677,'Business Report'!$D$2:$J$202,2,0)),"",VLOOKUP($B677,'Business Report'!$D$2:$J$202,2,0))</f>
        <v>101</v>
      </c>
      <c r="AC677" s="115">
        <f>SUMIFS(AFS!$P$2:$P$6260,AFS!$N$2:$N$6260,B677,AFS!$AT$2:$AT$6260,AA677)</f>
        <v>10</v>
      </c>
      <c r="AD677" s="116">
        <f t="shared" si="8"/>
        <v>13</v>
      </c>
      <c r="AE677" s="117"/>
      <c r="AF677" s="118">
        <f t="shared" si="9"/>
        <v>14</v>
      </c>
      <c r="AG677" s="26"/>
      <c r="AH677" s="26"/>
      <c r="AI677" s="26"/>
    </row>
    <row r="678">
      <c r="A678" s="132" t="s">
        <v>8431</v>
      </c>
      <c r="B678" s="15" t="s">
        <v>138</v>
      </c>
      <c r="C678" s="133" t="s">
        <v>10918</v>
      </c>
      <c r="D678" s="134" t="s">
        <v>162</v>
      </c>
      <c r="E678" s="135">
        <f t="shared" si="2"/>
        <v>7</v>
      </c>
      <c r="F678" s="135">
        <f t="shared" si="3"/>
        <v>0</v>
      </c>
      <c r="G678" s="136">
        <f t="shared" si="77"/>
        <v>14</v>
      </c>
      <c r="H678" s="137"/>
      <c r="I678" s="138"/>
      <c r="J678" s="139"/>
      <c r="K678" s="140"/>
      <c r="L678" s="135"/>
      <c r="M678" s="152"/>
      <c r="N678" s="142"/>
      <c r="O678" s="143"/>
      <c r="P678" s="144">
        <f t="array" ref="P678">XLOOKUP(B678,Weight!B:B,Weight!D:D,"#N/A",0)</f>
        <v>90</v>
      </c>
      <c r="Q678" s="145">
        <f t="shared" si="6"/>
        <v>1260</v>
      </c>
      <c r="R678" s="146"/>
      <c r="S678" s="147">
        <v>560313.0</v>
      </c>
      <c r="T678" s="147">
        <v>12.0</v>
      </c>
      <c r="U678" s="109">
        <v>40.0</v>
      </c>
      <c r="V678" s="148"/>
      <c r="W678" s="149"/>
      <c r="X678" s="150">
        <f>SUMIFS('Transit Shipment'!$B$10:$B$1048462,'Transit Shipment'!$A$10:$A$1048462,B678,'Transit Shipment'!$C$10:$C$1048462,AA678)</f>
        <v>0</v>
      </c>
      <c r="Y678" s="150">
        <f>IF(SUMIFS(DIH!$S$2:$S833,DIH!$D$2:$D833,B678,DIH!$U$2:$U833,AA678)&gt;0,SUMIFS(DIH!$S$2:$S833,DIH!$D$2:$D833,B678,DIH!$U$2:$U833,AA678),0)</f>
        <v>1</v>
      </c>
      <c r="Z678" s="151">
        <f t="shared" si="7"/>
        <v>1</v>
      </c>
      <c r="AA678" s="152" t="s">
        <v>17</v>
      </c>
      <c r="AB678" s="154">
        <f>IF(ISNA(VLOOKUP($B678,'Business Report'!$D$2:$J$202,2,0)),"",VLOOKUP($B678,'Business Report'!$D$2:$J$202,2,0))</f>
        <v>101</v>
      </c>
      <c r="AC678" s="155">
        <f>SUMIFS(AFS!$P$2:$P$6260,AFS!$N$2:$N$6260,B678,AFS!$AT$2:$AT$6260,AA678)</f>
        <v>11</v>
      </c>
      <c r="AD678" s="156">
        <f t="shared" si="8"/>
        <v>14</v>
      </c>
      <c r="AE678" s="159">
        <f>SUM(AD670:AD678)</f>
        <v>133</v>
      </c>
      <c r="AF678" s="118">
        <f t="shared" si="9"/>
        <v>14</v>
      </c>
      <c r="AG678" s="26"/>
      <c r="AH678" s="26"/>
      <c r="AI678" s="26"/>
    </row>
    <row r="679">
      <c r="A679" s="66" t="s">
        <v>8282</v>
      </c>
      <c r="B679" s="1" t="s">
        <v>139</v>
      </c>
      <c r="C679" s="95" t="s">
        <v>11044</v>
      </c>
      <c r="D679" s="68" t="s">
        <v>162</v>
      </c>
      <c r="E679" s="69">
        <f t="shared" si="2"/>
        <v>1</v>
      </c>
      <c r="F679" s="69">
        <f t="shared" si="3"/>
        <v>0.5</v>
      </c>
      <c r="G679" s="70">
        <f t="shared" si="77"/>
        <v>4</v>
      </c>
      <c r="H679" s="163"/>
      <c r="I679" s="101"/>
      <c r="J679" s="102"/>
      <c r="K679" s="167"/>
      <c r="L679" s="119"/>
      <c r="M679" s="169"/>
      <c r="N679" s="171"/>
      <c r="O679" s="106"/>
      <c r="P679" s="79">
        <f t="array" ref="P679">XLOOKUP(B679,Weight!B:B,Weight!D:D,"#N/A",0)</f>
        <v>90</v>
      </c>
      <c r="Q679" s="80">
        <f t="shared" si="6"/>
        <v>360</v>
      </c>
      <c r="R679" s="107"/>
      <c r="S679" s="108">
        <v>560313.0</v>
      </c>
      <c r="T679" s="108">
        <v>12.0</v>
      </c>
      <c r="U679" s="83">
        <v>40.0</v>
      </c>
      <c r="V679" s="84" t="str">
        <f t="shared" ref="V679:W679" si="108">B679</f>
        <v>CRM-PR-670-G3770-GREY</v>
      </c>
      <c r="W679" s="174" t="str">
        <f t="shared" si="108"/>
        <v>Crasome Dust &amp; Water Proof Printer Cover for Canon Pixma G2770 / G3770 (Grey)</v>
      </c>
      <c r="X679" s="86">
        <f>SUMIFS('Transit Shipment'!$B$10:$B$1048462,'Transit Shipment'!$A$10:$A$1048462,B679,'Transit Shipment'!$C$10:$C$1048462,AA679)</f>
        <v>0</v>
      </c>
      <c r="Y679" s="86">
        <f>IF(SUMIFS(DIH!$S$2:$S833,DIH!$D$2:$D833,B679,DIH!$U$2:$U833,AA679)&gt;0,SUMIFS(DIH!$S$2:$S833,DIH!$D$2:$D833,B679,DIH!$U$2:$U833,AA679),0)</f>
        <v>0</v>
      </c>
      <c r="Z679" s="87">
        <f t="shared" si="7"/>
        <v>0</v>
      </c>
      <c r="AA679" s="88" t="s">
        <v>5</v>
      </c>
      <c r="AB679" s="89">
        <f>IF(ISNA(VLOOKUP($B679,'Business Report'!$D$2:$J$202,2,0)),"",VLOOKUP($B679,'Business Report'!$D$2:$J$202,2,0))</f>
        <v>64</v>
      </c>
      <c r="AC679" s="90">
        <f>SUMIFS(AFS!$P$2:$P$6260,AFS!$N$2:$N$6260,B679,AFS!$AT$2:$AT$6260,AA679)</f>
        <v>2</v>
      </c>
      <c r="AD679" s="91">
        <f t="shared" si="8"/>
        <v>3</v>
      </c>
      <c r="AE679" s="92"/>
      <c r="AF679" s="93">
        <f t="shared" si="9"/>
        <v>4</v>
      </c>
      <c r="AG679" s="26"/>
      <c r="AH679" s="26"/>
      <c r="AI679" s="26"/>
    </row>
    <row r="680">
      <c r="A680" s="94" t="s">
        <v>8282</v>
      </c>
      <c r="B680" s="3" t="s">
        <v>139</v>
      </c>
      <c r="C680" s="95" t="s">
        <v>11044</v>
      </c>
      <c r="D680" s="96" t="s">
        <v>162</v>
      </c>
      <c r="E680" s="97">
        <f t="shared" si="2"/>
        <v>5</v>
      </c>
      <c r="F680" s="97">
        <f t="shared" si="3"/>
        <v>0.5</v>
      </c>
      <c r="G680" s="99">
        <f t="shared" si="77"/>
        <v>12</v>
      </c>
      <c r="H680" s="100"/>
      <c r="I680" s="101"/>
      <c r="J680" s="102"/>
      <c r="K680" s="103"/>
      <c r="L680" s="97"/>
      <c r="M680" s="169"/>
      <c r="N680" s="105"/>
      <c r="O680" s="106"/>
      <c r="P680" s="13">
        <f t="array" ref="P680">XLOOKUP(B680,Weight!B:B,Weight!D:D,"#N/A",0)</f>
        <v>90</v>
      </c>
      <c r="Q680" s="17">
        <f t="shared" si="6"/>
        <v>1080</v>
      </c>
      <c r="R680" s="107"/>
      <c r="S680" s="108">
        <v>560313.0</v>
      </c>
      <c r="T680" s="108">
        <v>12.0</v>
      </c>
      <c r="U680" s="109">
        <v>40.0</v>
      </c>
      <c r="V680" s="110"/>
      <c r="X680" s="111">
        <f>SUMIFS('Transit Shipment'!$B$10:$B$1048462,'Transit Shipment'!$A$10:$A$1048462,B680,'Transit Shipment'!$C$10:$C$1048462,AA680)</f>
        <v>0</v>
      </c>
      <c r="Y680" s="111">
        <f>IF(SUMIFS(DIH!$S$2:$S833,DIH!$D$2:$D833,B680,DIH!$U$2:$U833,AA680)&gt;0,SUMIFS(DIH!$S$2:$S833,DIH!$D$2:$D833,B680,DIH!$U$2:$U833,AA680),0)</f>
        <v>0</v>
      </c>
      <c r="Z680" s="112">
        <f t="shared" si="7"/>
        <v>0</v>
      </c>
      <c r="AA680" s="113" t="s">
        <v>11</v>
      </c>
      <c r="AB680" s="114">
        <f>IF(ISNA(VLOOKUP($B680,'Business Report'!$D$2:$J$202,2,0)),"",VLOOKUP($B680,'Business Report'!$D$2:$J$202,2,0))</f>
        <v>64</v>
      </c>
      <c r="AC680" s="115">
        <f>SUMIFS(AFS!$P$2:$P$6260,AFS!$N$2:$N$6260,B680,AFS!$AT$2:$AT$6260,AA680)</f>
        <v>8</v>
      </c>
      <c r="AD680" s="116">
        <f t="shared" si="8"/>
        <v>11</v>
      </c>
      <c r="AE680" s="117"/>
      <c r="AF680" s="118">
        <f t="shared" si="9"/>
        <v>12</v>
      </c>
      <c r="AG680" s="26"/>
      <c r="AH680" s="26"/>
      <c r="AI680" s="26"/>
    </row>
    <row r="681">
      <c r="A681" s="94" t="s">
        <v>8282</v>
      </c>
      <c r="B681" s="3" t="s">
        <v>139</v>
      </c>
      <c r="C681" s="95" t="s">
        <v>11044</v>
      </c>
      <c r="D681" s="96" t="s">
        <v>162</v>
      </c>
      <c r="E681" s="97">
        <f t="shared" si="2"/>
        <v>5</v>
      </c>
      <c r="F681" s="97">
        <f t="shared" si="3"/>
        <v>0</v>
      </c>
      <c r="G681" s="99">
        <f t="shared" si="77"/>
        <v>10</v>
      </c>
      <c r="H681" s="100"/>
      <c r="I681" s="101"/>
      <c r="J681" s="102"/>
      <c r="K681" s="103"/>
      <c r="L681" s="97"/>
      <c r="M681" s="169"/>
      <c r="N681" s="105"/>
      <c r="O681" s="106"/>
      <c r="P681" s="13">
        <f t="array" ref="P681">XLOOKUP(B681,Weight!B:B,Weight!D:D,"#N/A",0)</f>
        <v>90</v>
      </c>
      <c r="Q681" s="17">
        <f t="shared" si="6"/>
        <v>900</v>
      </c>
      <c r="R681" s="107"/>
      <c r="S681" s="108">
        <v>560313.0</v>
      </c>
      <c r="T681" s="108">
        <v>12.0</v>
      </c>
      <c r="U681" s="109">
        <v>40.0</v>
      </c>
      <c r="V681" s="110"/>
      <c r="X681" s="111">
        <f>SUMIFS('Transit Shipment'!$B$10:$B$1048462,'Transit Shipment'!$A$10:$A$1048462,B681,'Transit Shipment'!$C$10:$C$1048462,AA681)</f>
        <v>0</v>
      </c>
      <c r="Y681" s="111">
        <f>IF(SUMIFS(DIH!$S$2:$S833,DIH!$D$2:$D833,B681,DIH!$U$2:$U833,AA681)&gt;0,SUMIFS(DIH!$S$2:$S833,DIH!$D$2:$D833,B681,DIH!$U$2:$U833,AA681),0)</f>
        <v>1</v>
      </c>
      <c r="Z681" s="112">
        <f t="shared" si="7"/>
        <v>1</v>
      </c>
      <c r="AA681" s="119" t="s">
        <v>9</v>
      </c>
      <c r="AB681" s="114">
        <f>IF(ISNA(VLOOKUP($B681,'Business Report'!$D$2:$J$202,2,0)),"",VLOOKUP($B681,'Business Report'!$D$2:$J$202,2,0))</f>
        <v>64</v>
      </c>
      <c r="AC681" s="115">
        <f>SUMIFS(AFS!$P$2:$P$6260,AFS!$N$2:$N$6260,B681,AFS!$AT$2:$AT$6260,AA681)</f>
        <v>8</v>
      </c>
      <c r="AD681" s="116">
        <f t="shared" si="8"/>
        <v>10</v>
      </c>
      <c r="AE681" s="117"/>
      <c r="AF681" s="118">
        <f t="shared" si="9"/>
        <v>10</v>
      </c>
      <c r="AG681" s="4"/>
      <c r="AH681" s="26"/>
      <c r="AI681" s="26"/>
    </row>
    <row r="682">
      <c r="A682" s="120" t="s">
        <v>8282</v>
      </c>
      <c r="B682" s="7" t="s">
        <v>139</v>
      </c>
      <c r="C682" s="95" t="s">
        <v>11044</v>
      </c>
      <c r="D682" s="109" t="s">
        <v>162</v>
      </c>
      <c r="E682" s="97">
        <f t="shared" si="2"/>
        <v>3</v>
      </c>
      <c r="F682" s="97">
        <f t="shared" si="3"/>
        <v>0.5</v>
      </c>
      <c r="G682" s="99">
        <f t="shared" si="77"/>
        <v>8</v>
      </c>
      <c r="H682" s="121"/>
      <c r="I682" s="122"/>
      <c r="J682" s="123"/>
      <c r="K682" s="124"/>
      <c r="L682" s="125"/>
      <c r="M682" s="181"/>
      <c r="N682" s="126"/>
      <c r="O682" s="127"/>
      <c r="P682" s="13">
        <f t="array" ref="P682">XLOOKUP(B682,Weight!B:B,Weight!D:D,"#N/A",0)</f>
        <v>90</v>
      </c>
      <c r="Q682" s="17">
        <f t="shared" si="6"/>
        <v>720</v>
      </c>
      <c r="R682" s="107"/>
      <c r="S682" s="108">
        <v>560313.0</v>
      </c>
      <c r="T682" s="108">
        <v>12.0</v>
      </c>
      <c r="U682" s="109">
        <v>40.0</v>
      </c>
      <c r="V682" s="110"/>
      <c r="X682" s="111">
        <f>SUMIFS('Transit Shipment'!$B$10:$B$1048462,'Transit Shipment'!$A$10:$A$1048462,B682,'Transit Shipment'!$C$10:$C$1048462,AA682)</f>
        <v>0</v>
      </c>
      <c r="Y682" s="111">
        <f>IF(SUMIFS(DIH!$S$2:$S833,DIH!$D$2:$D833,B682,DIH!$U$2:$U833,AA682)&gt;0,SUMIFS(DIH!$S$2:$S833,DIH!$D$2:$D833,B682,DIH!$U$2:$U833,AA682),0)</f>
        <v>0</v>
      </c>
      <c r="Z682" s="112">
        <f t="shared" si="7"/>
        <v>0</v>
      </c>
      <c r="AA682" s="119" t="s">
        <v>155</v>
      </c>
      <c r="AB682" s="114">
        <f>IF(ISNA(VLOOKUP($B682,'Business Report'!$D$2:$J$202,2,0)),"",VLOOKUP($B682,'Business Report'!$D$2:$J$202,2,0))</f>
        <v>64</v>
      </c>
      <c r="AC682" s="115">
        <f>SUMIFS(AFS!$P$2:$P$6260,AFS!$N$2:$N$6260,B682,AFS!$AT$2:$AT$6260,AA682)</f>
        <v>5</v>
      </c>
      <c r="AD682" s="116">
        <f t="shared" si="8"/>
        <v>7</v>
      </c>
      <c r="AE682" s="117"/>
      <c r="AF682" s="118">
        <f t="shared" si="9"/>
        <v>8</v>
      </c>
      <c r="AG682" s="4"/>
      <c r="AH682" s="26"/>
      <c r="AI682" s="26"/>
    </row>
    <row r="683">
      <c r="A683" s="120" t="s">
        <v>8282</v>
      </c>
      <c r="B683" s="7" t="s">
        <v>139</v>
      </c>
      <c r="C683" s="95" t="s">
        <v>11044</v>
      </c>
      <c r="D683" s="109" t="s">
        <v>162</v>
      </c>
      <c r="E683" s="97">
        <f t="shared" si="2"/>
        <v>9</v>
      </c>
      <c r="F683" s="97">
        <f t="shared" si="3"/>
        <v>0.5</v>
      </c>
      <c r="G683" s="99">
        <f t="shared" si="77"/>
        <v>20</v>
      </c>
      <c r="H683" s="121"/>
      <c r="I683" s="122"/>
      <c r="J683" s="123"/>
      <c r="K683" s="124"/>
      <c r="L683" s="125"/>
      <c r="M683" s="181"/>
      <c r="N683" s="126"/>
      <c r="O683" s="127"/>
      <c r="P683" s="13">
        <f t="array" ref="P683">XLOOKUP(B683,Weight!B:B,Weight!D:D,"#N/A",0)</f>
        <v>90</v>
      </c>
      <c r="Q683" s="17">
        <f t="shared" si="6"/>
        <v>1800</v>
      </c>
      <c r="R683" s="107"/>
      <c r="S683" s="108">
        <v>560313.0</v>
      </c>
      <c r="T683" s="108">
        <v>12.0</v>
      </c>
      <c r="U683" s="109">
        <v>40.0</v>
      </c>
      <c r="V683" s="110"/>
      <c r="X683" s="111">
        <f>SUMIFS('Transit Shipment'!$B$10:$B$1048462,'Transit Shipment'!$A$10:$A$1048462,B683,'Transit Shipment'!$C$10:$C$1048462,AA683)</f>
        <v>0</v>
      </c>
      <c r="Y683" s="111">
        <f>IF(SUMIFS(DIH!$S$2:$S833,DIH!$D$2:$D833,B683,DIH!$U$2:$U833,AA683)&gt;0,SUMIFS(DIH!$S$2:$S833,DIH!$D$2:$D833,B683,DIH!$U$2:$U833,AA683),0)</f>
        <v>1</v>
      </c>
      <c r="Z683" s="112">
        <f t="shared" si="7"/>
        <v>1</v>
      </c>
      <c r="AA683" s="119" t="s">
        <v>156</v>
      </c>
      <c r="AB683" s="114">
        <f>IF(ISNA(VLOOKUP($B683,'Business Report'!$D$2:$J$202,2,0)),"",VLOOKUP($B683,'Business Report'!$D$2:$J$202,2,0))</f>
        <v>64</v>
      </c>
      <c r="AC683" s="115">
        <f>SUMIFS(AFS!$P$2:$P$6260,AFS!$N$2:$N$6260,B683,AFS!$AT$2:$AT$6260,AA683)</f>
        <v>15</v>
      </c>
      <c r="AD683" s="116">
        <f t="shared" si="8"/>
        <v>19</v>
      </c>
      <c r="AE683" s="117"/>
      <c r="AF683" s="118">
        <f t="shared" si="9"/>
        <v>20</v>
      </c>
      <c r="AG683" s="4"/>
      <c r="AH683" s="26"/>
      <c r="AI683" s="26"/>
    </row>
    <row r="684">
      <c r="A684" s="120" t="s">
        <v>8282</v>
      </c>
      <c r="B684" s="7" t="s">
        <v>139</v>
      </c>
      <c r="C684" s="95" t="s">
        <v>11044</v>
      </c>
      <c r="D684" s="109" t="s">
        <v>162</v>
      </c>
      <c r="E684" s="97">
        <f t="shared" si="2"/>
        <v>6</v>
      </c>
      <c r="F684" s="97">
        <f t="shared" si="3"/>
        <v>0</v>
      </c>
      <c r="G684" s="99">
        <f t="shared" si="77"/>
        <v>12</v>
      </c>
      <c r="H684" s="121"/>
      <c r="I684" s="122"/>
      <c r="J684" s="123"/>
      <c r="K684" s="124"/>
      <c r="L684" s="125"/>
      <c r="M684" s="181"/>
      <c r="N684" s="126"/>
      <c r="O684" s="127"/>
      <c r="P684" s="13">
        <f t="array" ref="P684">XLOOKUP(B684,Weight!B:B,Weight!D:D,"#N/A",0)</f>
        <v>90</v>
      </c>
      <c r="Q684" s="17">
        <f t="shared" si="6"/>
        <v>1080</v>
      </c>
      <c r="R684" s="107"/>
      <c r="S684" s="108">
        <v>560313.0</v>
      </c>
      <c r="T684" s="108">
        <v>12.0</v>
      </c>
      <c r="U684" s="109">
        <v>40.0</v>
      </c>
      <c r="V684" s="110"/>
      <c r="X684" s="111">
        <f>SUMIFS('Transit Shipment'!$B$10:$B$1048462,'Transit Shipment'!$A$10:$A$1048462,B684,'Transit Shipment'!$C$10:$C$1048462,AA684)</f>
        <v>0</v>
      </c>
      <c r="Y684" s="111">
        <f>IF(SUMIFS(DIH!$S$2:$S833,DIH!$D$2:$D833,B684,DIH!$U$2:$U833,AA684)&gt;0,SUMIFS(DIH!$S$2:$S833,DIH!$D$2:$D833,B684,DIH!$U$2:$U833,AA684),0)</f>
        <v>0</v>
      </c>
      <c r="Z684" s="112">
        <f t="shared" si="7"/>
        <v>0</v>
      </c>
      <c r="AA684" s="130" t="s">
        <v>13</v>
      </c>
      <c r="AB684" s="114">
        <f>IF(ISNA(VLOOKUP($B684,'Business Report'!$D$2:$J$202,2,0)),"",VLOOKUP($B684,'Business Report'!$D$2:$J$202,2,0))</f>
        <v>64</v>
      </c>
      <c r="AC684" s="115">
        <f>SUMIFS(AFS!$P$2:$P$6260,AFS!$N$2:$N$6260,B684,AFS!$AT$2:$AT$6260,AA684)</f>
        <v>9</v>
      </c>
      <c r="AD684" s="116">
        <f t="shared" si="8"/>
        <v>12</v>
      </c>
      <c r="AE684" s="117"/>
      <c r="AF684" s="118">
        <f t="shared" si="9"/>
        <v>12</v>
      </c>
      <c r="AG684" s="26"/>
      <c r="AH684" s="26"/>
      <c r="AI684" s="26"/>
    </row>
    <row r="685">
      <c r="A685" s="120" t="s">
        <v>8282</v>
      </c>
      <c r="B685" s="7" t="s">
        <v>139</v>
      </c>
      <c r="C685" s="95" t="s">
        <v>11044</v>
      </c>
      <c r="D685" s="109" t="s">
        <v>162</v>
      </c>
      <c r="E685" s="97">
        <f t="shared" si="2"/>
        <v>2</v>
      </c>
      <c r="F685" s="97">
        <f t="shared" si="3"/>
        <v>0</v>
      </c>
      <c r="G685" s="99">
        <f t="shared" si="77"/>
        <v>4</v>
      </c>
      <c r="H685" s="121"/>
      <c r="I685" s="122"/>
      <c r="J685" s="123"/>
      <c r="K685" s="124"/>
      <c r="L685" s="125"/>
      <c r="M685" s="181"/>
      <c r="N685" s="126"/>
      <c r="O685" s="127"/>
      <c r="P685" s="13">
        <f t="array" ref="P685">XLOOKUP(B685,Weight!B:B,Weight!D:D,"#N/A",0)</f>
        <v>90</v>
      </c>
      <c r="Q685" s="17">
        <f t="shared" si="6"/>
        <v>360</v>
      </c>
      <c r="R685" s="107"/>
      <c r="S685" s="108">
        <v>560313.0</v>
      </c>
      <c r="T685" s="108">
        <v>12.0</v>
      </c>
      <c r="U685" s="109">
        <v>40.0</v>
      </c>
      <c r="V685" s="110"/>
      <c r="X685" s="111">
        <f>SUMIFS('Transit Shipment'!$B$10:$B$1048462,'Transit Shipment'!$A$10:$A$1048462,B685,'Transit Shipment'!$C$10:$C$1048462,AA685)</f>
        <v>0</v>
      </c>
      <c r="Y685" s="111">
        <f>IF(SUMIFS(DIH!$S$2:$S833,DIH!$D$2:$D833,B685,DIH!$U$2:$U833,AA685)&gt;0,SUMIFS(DIH!$S$2:$S833,DIH!$D$2:$D833,B685,DIH!$U$2:$U833,AA685),0)</f>
        <v>0</v>
      </c>
      <c r="Z685" s="112">
        <f t="shared" si="7"/>
        <v>0</v>
      </c>
      <c r="AA685" s="119" t="s">
        <v>14</v>
      </c>
      <c r="AB685" s="114">
        <f>IF(ISNA(VLOOKUP($B685,'Business Report'!$D$2:$J$202,2,0)),"",VLOOKUP($B685,'Business Report'!$D$2:$J$202,2,0))</f>
        <v>64</v>
      </c>
      <c r="AC685" s="115">
        <f>SUMIFS(AFS!$P$2:$P$6260,AFS!$N$2:$N$6260,B685,AFS!$AT$2:$AT$6260,AA685)</f>
        <v>3</v>
      </c>
      <c r="AD685" s="116">
        <f t="shared" si="8"/>
        <v>4</v>
      </c>
      <c r="AE685" s="117"/>
      <c r="AF685" s="118">
        <f t="shared" si="9"/>
        <v>4</v>
      </c>
      <c r="AG685" s="26"/>
      <c r="AH685" s="26"/>
      <c r="AI685" s="26"/>
    </row>
    <row r="686">
      <c r="A686" s="120" t="s">
        <v>8282</v>
      </c>
      <c r="B686" s="7" t="s">
        <v>139</v>
      </c>
      <c r="C686" s="95" t="s">
        <v>11044</v>
      </c>
      <c r="D686" s="109" t="s">
        <v>162</v>
      </c>
      <c r="E686" s="97">
        <f t="shared" si="2"/>
        <v>1</v>
      </c>
      <c r="F686" s="97">
        <f t="shared" si="3"/>
        <v>0.5</v>
      </c>
      <c r="G686" s="99">
        <f t="shared" si="77"/>
        <v>4</v>
      </c>
      <c r="H686" s="121"/>
      <c r="I686" s="122"/>
      <c r="J686" s="123"/>
      <c r="K686" s="124"/>
      <c r="L686" s="125"/>
      <c r="M686" s="181"/>
      <c r="N686" s="126"/>
      <c r="O686" s="127"/>
      <c r="P686" s="13">
        <f t="array" ref="P686">XLOOKUP(B686,Weight!B:B,Weight!D:D,"#N/A",0)</f>
        <v>90</v>
      </c>
      <c r="Q686" s="17">
        <f t="shared" si="6"/>
        <v>360</v>
      </c>
      <c r="R686" s="107"/>
      <c r="S686" s="108">
        <v>560313.0</v>
      </c>
      <c r="T686" s="108">
        <v>12.0</v>
      </c>
      <c r="U686" s="109">
        <v>40.0</v>
      </c>
      <c r="V686" s="110"/>
      <c r="X686" s="111">
        <f>SUMIFS('Transit Shipment'!$B$10:$B$1048462,'Transit Shipment'!$A$10:$A$1048462,B686,'Transit Shipment'!$C$10:$C$1048462,AA686)</f>
        <v>0</v>
      </c>
      <c r="Y686" s="111">
        <f>IF(SUMIFS(DIH!$S$2:$S833,DIH!$D$2:$D833,B686,DIH!$U$2:$U833,AA686)&gt;0,SUMIFS(DIH!$S$2:$S833,DIH!$D$2:$D833,B686,DIH!$U$2:$U833,AA686),0)</f>
        <v>0</v>
      </c>
      <c r="Z686" s="112">
        <f t="shared" si="7"/>
        <v>0</v>
      </c>
      <c r="AA686" s="131" t="s">
        <v>16</v>
      </c>
      <c r="AB686" s="114">
        <f>IF(ISNA(VLOOKUP($B686,'Business Report'!$D$2:$J$202,2,0)),"",VLOOKUP($B686,'Business Report'!$D$2:$J$202,2,0))</f>
        <v>64</v>
      </c>
      <c r="AC686" s="115">
        <f>SUMIFS(AFS!$P$2:$P$6260,AFS!$N$2:$N$6260,B686,AFS!$AT$2:$AT$6260,AA686)</f>
        <v>2</v>
      </c>
      <c r="AD686" s="116">
        <f t="shared" si="8"/>
        <v>3</v>
      </c>
      <c r="AE686" s="117"/>
      <c r="AF686" s="118">
        <f t="shared" si="9"/>
        <v>4</v>
      </c>
      <c r="AG686" s="26"/>
      <c r="AH686" s="26"/>
      <c r="AI686" s="26"/>
    </row>
    <row r="687">
      <c r="A687" s="132" t="s">
        <v>8282</v>
      </c>
      <c r="B687" s="15" t="s">
        <v>139</v>
      </c>
      <c r="C687" s="133" t="s">
        <v>11044</v>
      </c>
      <c r="D687" s="134" t="s">
        <v>162</v>
      </c>
      <c r="E687" s="135">
        <f t="shared" si="2"/>
        <v>3</v>
      </c>
      <c r="F687" s="135">
        <f t="shared" si="3"/>
        <v>0</v>
      </c>
      <c r="G687" s="136">
        <f t="shared" si="77"/>
        <v>6</v>
      </c>
      <c r="H687" s="137"/>
      <c r="I687" s="138"/>
      <c r="J687" s="139"/>
      <c r="K687" s="140"/>
      <c r="L687" s="135"/>
      <c r="M687" s="152"/>
      <c r="N687" s="142"/>
      <c r="O687" s="143"/>
      <c r="P687" s="144">
        <f t="array" ref="P687">XLOOKUP(B687,Weight!B:B,Weight!D:D,"#N/A",0)</f>
        <v>90</v>
      </c>
      <c r="Q687" s="145">
        <f t="shared" si="6"/>
        <v>540</v>
      </c>
      <c r="R687" s="146"/>
      <c r="S687" s="147">
        <v>560313.0</v>
      </c>
      <c r="T687" s="147">
        <v>12.0</v>
      </c>
      <c r="U687" s="109">
        <v>40.0</v>
      </c>
      <c r="V687" s="148"/>
      <c r="W687" s="149"/>
      <c r="X687" s="150">
        <f>SUMIFS('Transit Shipment'!$B$10:$B$1048462,'Transit Shipment'!$A$10:$A$1048462,B687,'Transit Shipment'!$C$10:$C$1048462,AA687)</f>
        <v>0</v>
      </c>
      <c r="Y687" s="150">
        <f>IF(SUMIFS(DIH!$S$2:$S833,DIH!$D$2:$D833,B687,DIH!$U$2:$U833,AA687)&gt;0,SUMIFS(DIH!$S$2:$S833,DIH!$D$2:$D833,B687,DIH!$U$2:$U833,AA687),0)</f>
        <v>1</v>
      </c>
      <c r="Z687" s="151">
        <f t="shared" si="7"/>
        <v>1</v>
      </c>
      <c r="AA687" s="152" t="s">
        <v>17</v>
      </c>
      <c r="AB687" s="154">
        <f>IF(ISNA(VLOOKUP($B687,'Business Report'!$D$2:$J$202,2,0)),"",VLOOKUP($B687,'Business Report'!$D$2:$J$202,2,0))</f>
        <v>64</v>
      </c>
      <c r="AC687" s="155">
        <f>SUMIFS(AFS!$P$2:$P$6260,AFS!$N$2:$N$6260,B687,AFS!$AT$2:$AT$6260,AA687)</f>
        <v>5</v>
      </c>
      <c r="AD687" s="156">
        <f t="shared" si="8"/>
        <v>6</v>
      </c>
      <c r="AE687" s="159">
        <f>SUM(AD679:AD687)</f>
        <v>75</v>
      </c>
      <c r="AF687" s="118">
        <f t="shared" si="9"/>
        <v>6</v>
      </c>
      <c r="AG687" s="26"/>
      <c r="AH687" s="26"/>
      <c r="AI687" s="26"/>
    </row>
    <row r="688">
      <c r="A688" s="293" t="s">
        <v>11146</v>
      </c>
      <c r="B688" s="129" t="s">
        <v>140</v>
      </c>
      <c r="C688" s="95" t="s">
        <v>11148</v>
      </c>
      <c r="D688" s="68" t="s">
        <v>162</v>
      </c>
      <c r="E688" s="69" t="str">
        <f t="shared" si="2"/>
        <v/>
      </c>
      <c r="F688" s="69" t="str">
        <f t="shared" si="3"/>
        <v/>
      </c>
      <c r="G688" s="70" t="str">
        <f t="shared" si="77"/>
        <v/>
      </c>
      <c r="H688" s="163"/>
      <c r="I688" s="101"/>
      <c r="J688" s="102"/>
      <c r="K688" s="167"/>
      <c r="L688" s="119"/>
      <c r="M688" s="169"/>
      <c r="N688" s="171"/>
      <c r="O688" s="106"/>
      <c r="P688" s="79">
        <f t="array" ref="P688">XLOOKUP(B688,Weight!B:B,Weight!D:D,"#N/A",0)</f>
        <v>90</v>
      </c>
      <c r="Q688" s="80" t="str">
        <f t="shared" si="6"/>
        <v/>
      </c>
      <c r="R688" s="107"/>
      <c r="S688" s="108">
        <v>560313.0</v>
      </c>
      <c r="T688" s="108">
        <v>12.0</v>
      </c>
      <c r="U688" s="83">
        <v>40.0</v>
      </c>
      <c r="V688" s="84" t="str">
        <f t="shared" ref="V688:W688" si="109">B688</f>
        <v>CRM-Canon-TS207-Grey</v>
      </c>
      <c r="W688" s="174" t="str">
        <f t="shared" si="109"/>
        <v>Crasome Dust Proof Water-resistant Printer Cover for Canon Pixma TS207 (Grey)</v>
      </c>
      <c r="X688" s="86">
        <f>SUMIFS('Transit Shipment'!$B$10:$B$1048462,'Transit Shipment'!$A$10:$A$1048462,B688,'Transit Shipment'!$C$10:$C$1048462,AA688)</f>
        <v>0</v>
      </c>
      <c r="Y688" s="86">
        <f>IF(SUMIFS(DIH!$S$2:$S833,DIH!$D$2:$D833,B688,DIH!$U$2:$U833,AA688)&gt;0,SUMIFS(DIH!$S$2:$S833,DIH!$D$2:$D833,B688,DIH!$U$2:$U833,AA688),0)</f>
        <v>1</v>
      </c>
      <c r="Z688" s="87">
        <f t="shared" si="7"/>
        <v>1</v>
      </c>
      <c r="AA688" s="88" t="s">
        <v>5</v>
      </c>
      <c r="AB688" s="89" t="str">
        <f>IF(ISNA(VLOOKUP($B688,'Business Report'!$D$2:$J$202,2,0)),"",VLOOKUP($B688,'Business Report'!$D$2:$J$202,2,0))</f>
        <v/>
      </c>
      <c r="AC688" s="90">
        <f>SUMIFS(AFS!$P$2:$P$6260,AFS!$N$2:$N$6260,B688,AFS!$AT$2:$AT$6260,AA688)</f>
        <v>0</v>
      </c>
      <c r="AD688" s="91">
        <f t="shared" si="8"/>
        <v>-1</v>
      </c>
      <c r="AE688" s="92"/>
      <c r="AF688" s="93" t="str">
        <f t="shared" si="9"/>
        <v/>
      </c>
      <c r="AG688" s="26"/>
      <c r="AH688" s="26"/>
      <c r="AI688" s="26"/>
    </row>
    <row r="689">
      <c r="A689" s="120" t="s">
        <v>11146</v>
      </c>
      <c r="B689" s="7" t="s">
        <v>140</v>
      </c>
      <c r="C689" s="95" t="s">
        <v>11148</v>
      </c>
      <c r="D689" s="96" t="s">
        <v>162</v>
      </c>
      <c r="E689" s="97">
        <f t="shared" si="2"/>
        <v>1</v>
      </c>
      <c r="F689" s="97">
        <f t="shared" si="3"/>
        <v>0</v>
      </c>
      <c r="G689" s="99" t="str">
        <f t="shared" si="77"/>
        <v/>
      </c>
      <c r="H689" s="100"/>
      <c r="I689" s="101"/>
      <c r="J689" s="102"/>
      <c r="K689" s="103"/>
      <c r="L689" s="97"/>
      <c r="M689" s="169"/>
      <c r="N689" s="105"/>
      <c r="O689" s="106"/>
      <c r="P689" s="13">
        <f t="array" ref="P689">XLOOKUP(B689,Weight!B:B,Weight!D:D,"#N/A",0)</f>
        <v>90</v>
      </c>
      <c r="Q689" s="17" t="str">
        <f t="shared" si="6"/>
        <v/>
      </c>
      <c r="R689" s="107"/>
      <c r="S689" s="108">
        <v>560313.0</v>
      </c>
      <c r="T689" s="108">
        <v>12.0</v>
      </c>
      <c r="U689" s="109">
        <v>40.0</v>
      </c>
      <c r="V689" s="110"/>
      <c r="X689" s="111">
        <f>SUMIFS('Transit Shipment'!$B$10:$B$1048462,'Transit Shipment'!$A$10:$A$1048462,B689,'Transit Shipment'!$C$10:$C$1048462,AA689)</f>
        <v>0</v>
      </c>
      <c r="Y689" s="111">
        <f>IF(SUMIFS(DIH!$S$2:$S833,DIH!$D$2:$D833,B689,DIH!$U$2:$U833,AA689)&gt;0,SUMIFS(DIH!$S$2:$S833,DIH!$D$2:$D833,B689,DIH!$U$2:$U833,AA689),0)</f>
        <v>0</v>
      </c>
      <c r="Z689" s="112">
        <f t="shared" si="7"/>
        <v>0</v>
      </c>
      <c r="AA689" s="113" t="s">
        <v>11</v>
      </c>
      <c r="AB689" s="114" t="str">
        <f>IF(ISNA(VLOOKUP($B689,'Business Report'!$D$2:$J$202,2,0)),"",VLOOKUP($B689,'Business Report'!$D$2:$J$202,2,0))</f>
        <v/>
      </c>
      <c r="AC689" s="115">
        <f>SUMIFS(AFS!$P$2:$P$6260,AFS!$N$2:$N$6260,B689,AFS!$AT$2:$AT$6260,AA689)</f>
        <v>0</v>
      </c>
      <c r="AD689" s="116">
        <f t="shared" si="8"/>
        <v>0</v>
      </c>
      <c r="AE689" s="117"/>
      <c r="AF689" s="118" t="str">
        <f t="shared" si="9"/>
        <v/>
      </c>
      <c r="AG689" s="26"/>
      <c r="AH689" s="26"/>
      <c r="AI689" s="26"/>
    </row>
    <row r="690">
      <c r="A690" s="120" t="s">
        <v>11146</v>
      </c>
      <c r="B690" s="7" t="s">
        <v>140</v>
      </c>
      <c r="C690" s="95" t="s">
        <v>11148</v>
      </c>
      <c r="D690" s="96" t="s">
        <v>162</v>
      </c>
      <c r="E690" s="97">
        <f t="shared" si="2"/>
        <v>1</v>
      </c>
      <c r="F690" s="97">
        <f t="shared" si="3"/>
        <v>0</v>
      </c>
      <c r="G690" s="99" t="str">
        <f t="shared" si="77"/>
        <v/>
      </c>
      <c r="H690" s="100"/>
      <c r="I690" s="101"/>
      <c r="J690" s="102"/>
      <c r="K690" s="103"/>
      <c r="L690" s="97"/>
      <c r="M690" s="169"/>
      <c r="N690" s="105"/>
      <c r="O690" s="106"/>
      <c r="P690" s="13">
        <f t="array" ref="P690">XLOOKUP(B690,Weight!B:B,Weight!D:D,"#N/A",0)</f>
        <v>90</v>
      </c>
      <c r="Q690" s="17" t="str">
        <f t="shared" si="6"/>
        <v/>
      </c>
      <c r="R690" s="107"/>
      <c r="S690" s="108">
        <v>560313.0</v>
      </c>
      <c r="T690" s="108">
        <v>12.0</v>
      </c>
      <c r="U690" s="109">
        <v>40.0</v>
      </c>
      <c r="V690" s="110"/>
      <c r="X690" s="111">
        <f>SUMIFS('Transit Shipment'!$B$10:$B$1048462,'Transit Shipment'!$A$10:$A$1048462,B690,'Transit Shipment'!$C$10:$C$1048462,AA690)</f>
        <v>0</v>
      </c>
      <c r="Y690" s="111">
        <f>IF(SUMIFS(DIH!$S$2:$S833,DIH!$D$2:$D833,B690,DIH!$U$2:$U833,AA690)&gt;0,SUMIFS(DIH!$S$2:$S833,DIH!$D$2:$D833,B690,DIH!$U$2:$U833,AA690),0)</f>
        <v>0</v>
      </c>
      <c r="Z690" s="112">
        <f t="shared" si="7"/>
        <v>0</v>
      </c>
      <c r="AA690" s="119" t="s">
        <v>9</v>
      </c>
      <c r="AB690" s="114" t="str">
        <f>IF(ISNA(VLOOKUP($B690,'Business Report'!$D$2:$J$202,2,0)),"",VLOOKUP($B690,'Business Report'!$D$2:$J$202,2,0))</f>
        <v/>
      </c>
      <c r="AC690" s="115">
        <f>SUMIFS(AFS!$P$2:$P$6260,AFS!$N$2:$N$6260,B690,AFS!$AT$2:$AT$6260,AA690)</f>
        <v>0</v>
      </c>
      <c r="AD690" s="116">
        <f t="shared" si="8"/>
        <v>0</v>
      </c>
      <c r="AE690" s="117"/>
      <c r="AF690" s="118" t="str">
        <f t="shared" si="9"/>
        <v/>
      </c>
      <c r="AG690" s="26"/>
      <c r="AH690" s="26"/>
      <c r="AI690" s="26"/>
    </row>
    <row r="691">
      <c r="A691" s="120" t="s">
        <v>11146</v>
      </c>
      <c r="B691" s="7" t="s">
        <v>140</v>
      </c>
      <c r="C691" s="95" t="s">
        <v>11148</v>
      </c>
      <c r="D691" s="109" t="s">
        <v>162</v>
      </c>
      <c r="E691" s="97">
        <f t="shared" si="2"/>
        <v>1</v>
      </c>
      <c r="F691" s="97">
        <f t="shared" si="3"/>
        <v>0</v>
      </c>
      <c r="G691" s="99" t="str">
        <f t="shared" si="77"/>
        <v/>
      </c>
      <c r="H691" s="121"/>
      <c r="I691" s="122"/>
      <c r="J691" s="123"/>
      <c r="K691" s="124"/>
      <c r="L691" s="125"/>
      <c r="M691" s="181"/>
      <c r="N691" s="126"/>
      <c r="O691" s="127"/>
      <c r="P691" s="13">
        <f t="array" ref="P691">XLOOKUP(B691,Weight!B:B,Weight!D:D,"#N/A",0)</f>
        <v>90</v>
      </c>
      <c r="Q691" s="17" t="str">
        <f t="shared" si="6"/>
        <v/>
      </c>
      <c r="R691" s="107"/>
      <c r="S691" s="108">
        <v>560313.0</v>
      </c>
      <c r="T691" s="108">
        <v>12.0</v>
      </c>
      <c r="U691" s="109">
        <v>40.0</v>
      </c>
      <c r="V691" s="110"/>
      <c r="X691" s="111">
        <f>SUMIFS('Transit Shipment'!$B$10:$B$1048462,'Transit Shipment'!$A$10:$A$1048462,B691,'Transit Shipment'!$C$10:$C$1048462,AA691)</f>
        <v>0</v>
      </c>
      <c r="Y691" s="111">
        <f>IF(SUMIFS(DIH!$S$2:$S833,DIH!$D$2:$D833,B691,DIH!$U$2:$U833,AA691)&gt;0,SUMIFS(DIH!$S$2:$S833,DIH!$D$2:$D833,B691,DIH!$U$2:$U833,AA691),0)</f>
        <v>0</v>
      </c>
      <c r="Z691" s="112">
        <f t="shared" si="7"/>
        <v>0</v>
      </c>
      <c r="AA691" s="119" t="s">
        <v>155</v>
      </c>
      <c r="AB691" s="114" t="str">
        <f>IF(ISNA(VLOOKUP($B691,'Business Report'!$D$2:$J$202,2,0)),"",VLOOKUP($B691,'Business Report'!$D$2:$J$202,2,0))</f>
        <v/>
      </c>
      <c r="AC691" s="115">
        <f>SUMIFS(AFS!$P$2:$P$6260,AFS!$N$2:$N$6260,B691,AFS!$AT$2:$AT$6260,AA691)</f>
        <v>0</v>
      </c>
      <c r="AD691" s="116">
        <f t="shared" si="8"/>
        <v>0</v>
      </c>
      <c r="AE691" s="117"/>
      <c r="AF691" s="118" t="str">
        <f t="shared" si="9"/>
        <v/>
      </c>
      <c r="AG691" s="26"/>
      <c r="AH691" s="26"/>
      <c r="AI691" s="26"/>
    </row>
    <row r="692">
      <c r="A692" s="120" t="s">
        <v>11146</v>
      </c>
      <c r="B692" s="7" t="s">
        <v>140</v>
      </c>
      <c r="C692" s="95" t="s">
        <v>11148</v>
      </c>
      <c r="D692" s="109" t="s">
        <v>162</v>
      </c>
      <c r="E692" s="97">
        <f t="shared" si="2"/>
        <v>1</v>
      </c>
      <c r="F692" s="97">
        <f t="shared" si="3"/>
        <v>0</v>
      </c>
      <c r="G692" s="99" t="str">
        <f t="shared" si="77"/>
        <v/>
      </c>
      <c r="H692" s="121"/>
      <c r="I692" s="122"/>
      <c r="J692" s="123"/>
      <c r="K692" s="124"/>
      <c r="L692" s="125"/>
      <c r="M692" s="181"/>
      <c r="N692" s="126"/>
      <c r="O692" s="127"/>
      <c r="P692" s="13">
        <f t="array" ref="P692">XLOOKUP(B692,Weight!B:B,Weight!D:D,"#N/A",0)</f>
        <v>90</v>
      </c>
      <c r="Q692" s="17" t="str">
        <f t="shared" si="6"/>
        <v/>
      </c>
      <c r="R692" s="107"/>
      <c r="S692" s="108">
        <v>560313.0</v>
      </c>
      <c r="T692" s="108">
        <v>12.0</v>
      </c>
      <c r="U692" s="109">
        <v>40.0</v>
      </c>
      <c r="V692" s="110"/>
      <c r="X692" s="111">
        <f>SUMIFS('Transit Shipment'!$B$10:$B$1048462,'Transit Shipment'!$A$10:$A$1048462,B692,'Transit Shipment'!$C$10:$C$1048462,AA692)</f>
        <v>0</v>
      </c>
      <c r="Y692" s="111">
        <f>IF(SUMIFS(DIH!$S$2:$S833,DIH!$D$2:$D833,B692,DIH!$U$2:$U833,AA692)&gt;0,SUMIFS(DIH!$S$2:$S833,DIH!$D$2:$D833,B692,DIH!$U$2:$U833,AA692),0)</f>
        <v>0</v>
      </c>
      <c r="Z692" s="112">
        <f t="shared" si="7"/>
        <v>0</v>
      </c>
      <c r="AA692" s="119" t="s">
        <v>156</v>
      </c>
      <c r="AB692" s="114" t="str">
        <f>IF(ISNA(VLOOKUP($B692,'Business Report'!$D$2:$J$202,2,0)),"",VLOOKUP($B692,'Business Report'!$D$2:$J$202,2,0))</f>
        <v/>
      </c>
      <c r="AC692" s="115">
        <f>SUMIFS(AFS!$P$2:$P$6260,AFS!$N$2:$N$6260,B692,AFS!$AT$2:$AT$6260,AA692)</f>
        <v>0</v>
      </c>
      <c r="AD692" s="116">
        <f t="shared" si="8"/>
        <v>0</v>
      </c>
      <c r="AE692" s="117"/>
      <c r="AF692" s="118" t="str">
        <f t="shared" si="9"/>
        <v/>
      </c>
      <c r="AG692" s="26"/>
      <c r="AH692" s="26"/>
      <c r="AI692" s="26"/>
    </row>
    <row r="693">
      <c r="A693" s="120" t="s">
        <v>11146</v>
      </c>
      <c r="B693" s="7" t="s">
        <v>140</v>
      </c>
      <c r="C693" s="95" t="s">
        <v>11148</v>
      </c>
      <c r="D693" s="109" t="s">
        <v>162</v>
      </c>
      <c r="E693" s="97">
        <f t="shared" si="2"/>
        <v>1</v>
      </c>
      <c r="F693" s="97">
        <f t="shared" si="3"/>
        <v>0</v>
      </c>
      <c r="G693" s="99" t="str">
        <f t="shared" si="77"/>
        <v/>
      </c>
      <c r="H693" s="121"/>
      <c r="I693" s="122"/>
      <c r="J693" s="123"/>
      <c r="K693" s="124"/>
      <c r="L693" s="125"/>
      <c r="M693" s="181"/>
      <c r="N693" s="126"/>
      <c r="O693" s="127"/>
      <c r="P693" s="13">
        <f t="array" ref="P693">XLOOKUP(B693,Weight!B:B,Weight!D:D,"#N/A",0)</f>
        <v>90</v>
      </c>
      <c r="Q693" s="17" t="str">
        <f t="shared" si="6"/>
        <v/>
      </c>
      <c r="R693" s="107"/>
      <c r="S693" s="108">
        <v>560313.0</v>
      </c>
      <c r="T693" s="108">
        <v>12.0</v>
      </c>
      <c r="U693" s="109">
        <v>40.0</v>
      </c>
      <c r="V693" s="110"/>
      <c r="X693" s="111">
        <f>SUMIFS('Transit Shipment'!$B$10:$B$1048462,'Transit Shipment'!$A$10:$A$1048462,B693,'Transit Shipment'!$C$10:$C$1048462,AA693)</f>
        <v>0</v>
      </c>
      <c r="Y693" s="111">
        <f>IF(SUMIFS(DIH!$S$2:$S833,DIH!$D$2:$D833,B693,DIH!$U$2:$U833,AA693)&gt;0,SUMIFS(DIH!$S$2:$S833,DIH!$D$2:$D833,B693,DIH!$U$2:$U833,AA693),0)</f>
        <v>0</v>
      </c>
      <c r="Z693" s="112">
        <f t="shared" si="7"/>
        <v>0</v>
      </c>
      <c r="AA693" s="130" t="s">
        <v>13</v>
      </c>
      <c r="AB693" s="114" t="str">
        <f>IF(ISNA(VLOOKUP($B693,'Business Report'!$D$2:$J$202,2,0)),"",VLOOKUP($B693,'Business Report'!$D$2:$J$202,2,0))</f>
        <v/>
      </c>
      <c r="AC693" s="115">
        <f>SUMIFS(AFS!$P$2:$P$6260,AFS!$N$2:$N$6260,B693,AFS!$AT$2:$AT$6260,AA693)</f>
        <v>0</v>
      </c>
      <c r="AD693" s="116">
        <f t="shared" si="8"/>
        <v>0</v>
      </c>
      <c r="AE693" s="117"/>
      <c r="AF693" s="118" t="str">
        <f t="shared" si="9"/>
        <v/>
      </c>
      <c r="AG693" s="323"/>
      <c r="AH693" s="26"/>
      <c r="AI693" s="26"/>
    </row>
    <row r="694">
      <c r="A694" s="120" t="s">
        <v>11146</v>
      </c>
      <c r="B694" s="7" t="s">
        <v>140</v>
      </c>
      <c r="C694" s="95" t="s">
        <v>11148</v>
      </c>
      <c r="D694" s="109" t="s">
        <v>162</v>
      </c>
      <c r="E694" s="97">
        <f t="shared" si="2"/>
        <v>1</v>
      </c>
      <c r="F694" s="97">
        <f t="shared" si="3"/>
        <v>0</v>
      </c>
      <c r="G694" s="99" t="str">
        <f t="shared" si="77"/>
        <v/>
      </c>
      <c r="H694" s="121"/>
      <c r="I694" s="122"/>
      <c r="J694" s="123"/>
      <c r="K694" s="124"/>
      <c r="L694" s="125"/>
      <c r="M694" s="181"/>
      <c r="N694" s="126"/>
      <c r="O694" s="127"/>
      <c r="P694" s="13">
        <f t="array" ref="P694">XLOOKUP(B694,Weight!B:B,Weight!D:D,"#N/A",0)</f>
        <v>90</v>
      </c>
      <c r="Q694" s="17" t="str">
        <f t="shared" si="6"/>
        <v/>
      </c>
      <c r="R694" s="107"/>
      <c r="S694" s="108">
        <v>560313.0</v>
      </c>
      <c r="T694" s="108">
        <v>12.0</v>
      </c>
      <c r="U694" s="109">
        <v>40.0</v>
      </c>
      <c r="V694" s="110"/>
      <c r="X694" s="111">
        <f>SUMIFS('Transit Shipment'!$B$10:$B$1048462,'Transit Shipment'!$A$10:$A$1048462,B694,'Transit Shipment'!$C$10:$C$1048462,AA694)</f>
        <v>0</v>
      </c>
      <c r="Y694" s="111">
        <f>IF(SUMIFS(DIH!$S$2:$S833,DIH!$D$2:$D833,B694,DIH!$U$2:$U833,AA694)&gt;0,SUMIFS(DIH!$S$2:$S833,DIH!$D$2:$D833,B694,DIH!$U$2:$U833,AA694),0)</f>
        <v>0</v>
      </c>
      <c r="Z694" s="112">
        <f t="shared" si="7"/>
        <v>0</v>
      </c>
      <c r="AA694" s="119" t="s">
        <v>14</v>
      </c>
      <c r="AB694" s="114" t="str">
        <f>IF(ISNA(VLOOKUP($B694,'Business Report'!$D$2:$J$202,2,0)),"",VLOOKUP($B694,'Business Report'!$D$2:$J$202,2,0))</f>
        <v/>
      </c>
      <c r="AC694" s="115">
        <f>SUMIFS(AFS!$P$2:$P$6260,AFS!$N$2:$N$6260,B694,AFS!$AT$2:$AT$6260,AA694)</f>
        <v>0</v>
      </c>
      <c r="AD694" s="116">
        <f t="shared" si="8"/>
        <v>0</v>
      </c>
      <c r="AE694" s="117"/>
      <c r="AF694" s="118" t="str">
        <f t="shared" si="9"/>
        <v/>
      </c>
      <c r="AG694" s="26"/>
      <c r="AH694" s="26"/>
      <c r="AI694" s="26"/>
    </row>
    <row r="695">
      <c r="A695" s="120" t="s">
        <v>11146</v>
      </c>
      <c r="B695" s="7" t="s">
        <v>140</v>
      </c>
      <c r="C695" s="95" t="s">
        <v>11148</v>
      </c>
      <c r="D695" s="109" t="s">
        <v>162</v>
      </c>
      <c r="E695" s="97">
        <f t="shared" si="2"/>
        <v>1</v>
      </c>
      <c r="F695" s="97">
        <f t="shared" si="3"/>
        <v>0</v>
      </c>
      <c r="G695" s="99">
        <f t="shared" si="77"/>
        <v>2</v>
      </c>
      <c r="H695" s="121"/>
      <c r="I695" s="122"/>
      <c r="J695" s="123"/>
      <c r="K695" s="124"/>
      <c r="L695" s="125"/>
      <c r="M695" s="181"/>
      <c r="N695" s="126"/>
      <c r="O695" s="127"/>
      <c r="P695" s="13">
        <f t="array" ref="P695">XLOOKUP(B695,Weight!B:B,Weight!D:D,"#N/A",0)</f>
        <v>90</v>
      </c>
      <c r="Q695" s="17">
        <f t="shared" si="6"/>
        <v>180</v>
      </c>
      <c r="R695" s="107"/>
      <c r="S695" s="108">
        <v>560313.0</v>
      </c>
      <c r="T695" s="108">
        <v>12.0</v>
      </c>
      <c r="U695" s="109">
        <v>40.0</v>
      </c>
      <c r="V695" s="110"/>
      <c r="X695" s="111">
        <f>SUMIFS('Transit Shipment'!$B$10:$B$1048462,'Transit Shipment'!$A$10:$A$1048462,B695,'Transit Shipment'!$C$10:$C$1048462,AA695)</f>
        <v>0</v>
      </c>
      <c r="Y695" s="111">
        <f>IF(SUMIFS(DIH!$S$2:$S833,DIH!$D$2:$D833,B695,DIH!$U$2:$U833,AA695)&gt;0,SUMIFS(DIH!$S$2:$S833,DIH!$D$2:$D833,B695,DIH!$U$2:$U833,AA695),0)</f>
        <v>1</v>
      </c>
      <c r="Z695" s="112">
        <f t="shared" si="7"/>
        <v>1</v>
      </c>
      <c r="AA695" s="131" t="s">
        <v>16</v>
      </c>
      <c r="AB695" s="114" t="str">
        <f>IF(ISNA(VLOOKUP($B695,'Business Report'!$D$2:$J$202,2,0)),"",VLOOKUP($B695,'Business Report'!$D$2:$J$202,2,0))</f>
        <v/>
      </c>
      <c r="AC695" s="115">
        <f>SUMIFS(AFS!$P$2:$P$6260,AFS!$N$2:$N$6260,B695,AFS!$AT$2:$AT$6260,AA695)</f>
        <v>2</v>
      </c>
      <c r="AD695" s="116">
        <f t="shared" si="8"/>
        <v>2</v>
      </c>
      <c r="AE695" s="117"/>
      <c r="AF695" s="118">
        <f t="shared" si="9"/>
        <v>2</v>
      </c>
      <c r="AG695" s="26"/>
      <c r="AH695" s="26"/>
      <c r="AI695" s="26"/>
    </row>
    <row r="696">
      <c r="A696" s="296" t="s">
        <v>11146</v>
      </c>
      <c r="B696" s="7" t="s">
        <v>140</v>
      </c>
      <c r="C696" s="133" t="s">
        <v>11148</v>
      </c>
      <c r="D696" s="134" t="s">
        <v>162</v>
      </c>
      <c r="E696" s="135">
        <f t="shared" si="2"/>
        <v>1</v>
      </c>
      <c r="F696" s="135">
        <f t="shared" si="3"/>
        <v>0</v>
      </c>
      <c r="G696" s="136" t="str">
        <f t="shared" si="77"/>
        <v/>
      </c>
      <c r="H696" s="137"/>
      <c r="I696" s="138"/>
      <c r="J696" s="139"/>
      <c r="K696" s="140"/>
      <c r="L696" s="135"/>
      <c r="M696" s="152"/>
      <c r="N696" s="142"/>
      <c r="O696" s="143"/>
      <c r="P696" s="144">
        <f t="array" ref="P696">XLOOKUP(B696,Weight!B:B,Weight!D:D,"#N/A",0)</f>
        <v>90</v>
      </c>
      <c r="Q696" s="145" t="str">
        <f t="shared" si="6"/>
        <v/>
      </c>
      <c r="R696" s="146"/>
      <c r="S696" s="147">
        <v>560313.0</v>
      </c>
      <c r="T696" s="147">
        <v>12.0</v>
      </c>
      <c r="U696" s="109">
        <v>40.0</v>
      </c>
      <c r="V696" s="148"/>
      <c r="W696" s="149"/>
      <c r="X696" s="150">
        <f>SUMIFS('Transit Shipment'!$B$10:$B$1048462,'Transit Shipment'!$A$10:$A$1048462,B696,'Transit Shipment'!$C$10:$C$1048462,AA696)</f>
        <v>0</v>
      </c>
      <c r="Y696" s="150">
        <f>IF(SUMIFS(DIH!$S$2:$S833,DIH!$D$2:$D833,B696,DIH!$U$2:$U833,AA696)&gt;0,SUMIFS(DIH!$S$2:$S833,DIH!$D$2:$D833,B696,DIH!$U$2:$U833,AA696),0)</f>
        <v>0</v>
      </c>
      <c r="Z696" s="151">
        <f t="shared" si="7"/>
        <v>0</v>
      </c>
      <c r="AA696" s="152" t="s">
        <v>17</v>
      </c>
      <c r="AB696" s="154" t="str">
        <f>IF(ISNA(VLOOKUP($B696,'Business Report'!$D$2:$J$202,2,0)),"",VLOOKUP($B696,'Business Report'!$D$2:$J$202,2,0))</f>
        <v/>
      </c>
      <c r="AC696" s="155">
        <f>SUMIFS(AFS!$P$2:$P$6260,AFS!$N$2:$N$6260,B696,AFS!$AT$2:$AT$6260,AA696)</f>
        <v>0</v>
      </c>
      <c r="AD696" s="156">
        <f t="shared" si="8"/>
        <v>0</v>
      </c>
      <c r="AE696" s="159">
        <f>SUM(AD688:AD696)</f>
        <v>1</v>
      </c>
      <c r="AF696" s="118" t="str">
        <f t="shared" si="9"/>
        <v/>
      </c>
      <c r="AG696" s="26"/>
      <c r="AH696" s="26"/>
      <c r="AI696" s="26"/>
    </row>
    <row r="697">
      <c r="A697" s="293" t="s">
        <v>7260</v>
      </c>
      <c r="B697" s="129" t="s">
        <v>141</v>
      </c>
      <c r="C697" s="95" t="s">
        <v>342</v>
      </c>
      <c r="D697" s="68" t="s">
        <v>162</v>
      </c>
      <c r="E697" s="69">
        <f t="shared" si="2"/>
        <v>3</v>
      </c>
      <c r="F697" s="69">
        <f t="shared" si="3"/>
        <v>0.5</v>
      </c>
      <c r="G697" s="70">
        <f t="shared" si="77"/>
        <v>8</v>
      </c>
      <c r="H697" s="163"/>
      <c r="I697" s="101"/>
      <c r="J697" s="102"/>
      <c r="K697" s="167"/>
      <c r="L697" s="119"/>
      <c r="M697" s="169"/>
      <c r="N697" s="171"/>
      <c r="O697" s="106"/>
      <c r="P697" s="79">
        <f t="array" ref="P697">XLOOKUP(B697,Weight!B:B,Weight!D:D,"#N/A",0)</f>
        <v>90</v>
      </c>
      <c r="Q697" s="80">
        <f t="shared" si="6"/>
        <v>720</v>
      </c>
      <c r="R697" s="107"/>
      <c r="S697" s="108">
        <v>560313.0</v>
      </c>
      <c r="T697" s="108">
        <v>12.0</v>
      </c>
      <c r="U697" s="83">
        <v>40.0</v>
      </c>
      <c r="V697" s="84" t="str">
        <f t="shared" ref="V697:W697" si="110">B697</f>
        <v>CRM-HP-136-1188w-Grey</v>
      </c>
      <c r="W697" s="174" t="str">
        <f t="shared" si="110"/>
        <v>Crasome Dust Proof Water-resistant Printer Cover for HP Laser MFP 1188w / 1188a (Grey)</v>
      </c>
      <c r="X697" s="86">
        <f>SUMIFS('Transit Shipment'!$B$10:$B$1048462,'Transit Shipment'!$A$10:$A$1048462,B697,'Transit Shipment'!$C$10:$C$1048462,AA697)</f>
        <v>0</v>
      </c>
      <c r="Y697" s="86">
        <f>IF(SUMIFS(DIH!$S$2:$S833,DIH!$D$2:$D833,B697,DIH!$U$2:$U833,AA697)&gt;0,SUMIFS(DIH!$S$2:$S833,DIH!$D$2:$D833,B697,DIH!$U$2:$U833,AA697),0)</f>
        <v>0</v>
      </c>
      <c r="Z697" s="87">
        <f t="shared" si="7"/>
        <v>0</v>
      </c>
      <c r="AA697" s="88" t="s">
        <v>5</v>
      </c>
      <c r="AB697" s="89">
        <f>IF(ISNA(VLOOKUP($B697,'Business Report'!$D$2:$J$202,2,0)),"",VLOOKUP($B697,'Business Report'!$D$2:$J$202,2,0))</f>
        <v>23</v>
      </c>
      <c r="AC697" s="90">
        <f>SUMIFS(AFS!$P$2:$P$6260,AFS!$N$2:$N$6260,B697,AFS!$AT$2:$AT$6260,AA697)</f>
        <v>5</v>
      </c>
      <c r="AD697" s="91">
        <f t="shared" si="8"/>
        <v>7</v>
      </c>
      <c r="AE697" s="92"/>
      <c r="AF697" s="93">
        <f t="shared" si="9"/>
        <v>8</v>
      </c>
      <c r="AG697" s="26"/>
      <c r="AH697" s="26"/>
      <c r="AI697" s="26"/>
    </row>
    <row r="698">
      <c r="A698" s="120" t="s">
        <v>7260</v>
      </c>
      <c r="B698" s="7" t="s">
        <v>141</v>
      </c>
      <c r="C698" s="95" t="s">
        <v>342</v>
      </c>
      <c r="D698" s="96" t="s">
        <v>162</v>
      </c>
      <c r="E698" s="97">
        <f t="shared" si="2"/>
        <v>1</v>
      </c>
      <c r="F698" s="97">
        <f t="shared" si="3"/>
        <v>0</v>
      </c>
      <c r="G698" s="99">
        <f t="shared" si="77"/>
        <v>2</v>
      </c>
      <c r="H698" s="100"/>
      <c r="I698" s="101"/>
      <c r="J698" s="102"/>
      <c r="K698" s="103"/>
      <c r="L698" s="97"/>
      <c r="M698" s="169"/>
      <c r="N698" s="105"/>
      <c r="O698" s="106"/>
      <c r="P698" s="13">
        <f t="array" ref="P698">XLOOKUP(B698,Weight!B:B,Weight!D:D,"#N/A",0)</f>
        <v>90</v>
      </c>
      <c r="Q698" s="17">
        <f t="shared" si="6"/>
        <v>180</v>
      </c>
      <c r="R698" s="107"/>
      <c r="S698" s="108">
        <v>560313.0</v>
      </c>
      <c r="T698" s="108">
        <v>12.0</v>
      </c>
      <c r="U698" s="109">
        <v>40.0</v>
      </c>
      <c r="V698" s="110"/>
      <c r="X698" s="111">
        <f>SUMIFS('Transit Shipment'!$B$10:$B$1048462,'Transit Shipment'!$A$10:$A$1048462,B698,'Transit Shipment'!$C$10:$C$1048462,AA698)</f>
        <v>0</v>
      </c>
      <c r="Y698" s="111">
        <f>IF(SUMIFS(DIH!$S$2:$S833,DIH!$D$2:$D833,B698,DIH!$U$2:$U833,AA698)&gt;0,SUMIFS(DIH!$S$2:$S833,DIH!$D$2:$D833,B698,DIH!$U$2:$U833,AA698),0)</f>
        <v>8</v>
      </c>
      <c r="Z698" s="112">
        <f t="shared" si="7"/>
        <v>8</v>
      </c>
      <c r="AA698" s="113" t="s">
        <v>11</v>
      </c>
      <c r="AB698" s="114">
        <f>IF(ISNA(VLOOKUP($B698,'Business Report'!$D$2:$J$202,2,0)),"",VLOOKUP($B698,'Business Report'!$D$2:$J$202,2,0))</f>
        <v>23</v>
      </c>
      <c r="AC698" s="115">
        <f>SUMIFS(AFS!$P$2:$P$6260,AFS!$N$2:$N$6260,B698,AFS!$AT$2:$AT$6260,AA698)</f>
        <v>7</v>
      </c>
      <c r="AD698" s="116">
        <f t="shared" si="8"/>
        <v>2</v>
      </c>
      <c r="AE698" s="117"/>
      <c r="AF698" s="118">
        <f t="shared" si="9"/>
        <v>2</v>
      </c>
      <c r="AG698" s="26"/>
      <c r="AH698" s="26"/>
      <c r="AI698" s="26"/>
    </row>
    <row r="699">
      <c r="A699" s="120" t="s">
        <v>7260</v>
      </c>
      <c r="B699" s="7" t="s">
        <v>141</v>
      </c>
      <c r="C699" s="95" t="s">
        <v>342</v>
      </c>
      <c r="D699" s="96" t="s">
        <v>162</v>
      </c>
      <c r="E699" s="97" t="str">
        <f t="shared" si="2"/>
        <v/>
      </c>
      <c r="F699" s="97" t="str">
        <f t="shared" si="3"/>
        <v/>
      </c>
      <c r="G699" s="99" t="str">
        <f t="shared" si="77"/>
        <v/>
      </c>
      <c r="H699" s="100"/>
      <c r="I699" s="101"/>
      <c r="J699" s="102"/>
      <c r="K699" s="103"/>
      <c r="L699" s="97"/>
      <c r="M699" s="169"/>
      <c r="N699" s="105"/>
      <c r="O699" s="106"/>
      <c r="P699" s="13">
        <f t="array" ref="P699">XLOOKUP(B699,Weight!B:B,Weight!D:D,"#N/A",0)</f>
        <v>90</v>
      </c>
      <c r="Q699" s="17" t="str">
        <f t="shared" si="6"/>
        <v/>
      </c>
      <c r="R699" s="107"/>
      <c r="S699" s="108">
        <v>560313.0</v>
      </c>
      <c r="T699" s="108">
        <v>12.0</v>
      </c>
      <c r="U699" s="109">
        <v>40.0</v>
      </c>
      <c r="V699" s="110"/>
      <c r="X699" s="111">
        <f>SUMIFS('Transit Shipment'!$B$10:$B$1048462,'Transit Shipment'!$A$10:$A$1048462,B699,'Transit Shipment'!$C$10:$C$1048462,AA699)</f>
        <v>0</v>
      </c>
      <c r="Y699" s="111">
        <f>IF(SUMIFS(DIH!$S$2:$S833,DIH!$D$2:$D833,B699,DIH!$U$2:$U833,AA699)&gt;0,SUMIFS(DIH!$S$2:$S833,DIH!$D$2:$D833,B699,DIH!$U$2:$U833,AA699),0)</f>
        <v>6</v>
      </c>
      <c r="Z699" s="112">
        <f t="shared" si="7"/>
        <v>6</v>
      </c>
      <c r="AA699" s="119" t="s">
        <v>9</v>
      </c>
      <c r="AB699" s="114">
        <f>IF(ISNA(VLOOKUP($B699,'Business Report'!$D$2:$J$202,2,0)),"",VLOOKUP($B699,'Business Report'!$D$2:$J$202,2,0))</f>
        <v>23</v>
      </c>
      <c r="AC699" s="115">
        <f>SUMIFS(AFS!$P$2:$P$6260,AFS!$N$2:$N$6260,B699,AFS!$AT$2:$AT$6260,AA699)</f>
        <v>3</v>
      </c>
      <c r="AD699" s="116">
        <f t="shared" si="8"/>
        <v>-2</v>
      </c>
      <c r="AE699" s="117"/>
      <c r="AF699" s="118" t="str">
        <f t="shared" si="9"/>
        <v/>
      </c>
      <c r="AG699" s="26"/>
      <c r="AH699" s="26"/>
      <c r="AI699" s="26"/>
    </row>
    <row r="700">
      <c r="A700" s="120" t="s">
        <v>7260</v>
      </c>
      <c r="B700" s="7" t="s">
        <v>141</v>
      </c>
      <c r="C700" s="95" t="s">
        <v>342</v>
      </c>
      <c r="D700" s="109" t="s">
        <v>162</v>
      </c>
      <c r="E700" s="97" t="str">
        <f t="shared" si="2"/>
        <v/>
      </c>
      <c r="F700" s="97" t="str">
        <f t="shared" si="3"/>
        <v/>
      </c>
      <c r="G700" s="99" t="str">
        <f t="shared" si="77"/>
        <v/>
      </c>
      <c r="H700" s="121"/>
      <c r="I700" s="122"/>
      <c r="J700" s="123"/>
      <c r="K700" s="124"/>
      <c r="L700" s="125"/>
      <c r="M700" s="181"/>
      <c r="N700" s="126"/>
      <c r="O700" s="127"/>
      <c r="P700" s="13">
        <f t="array" ref="P700">XLOOKUP(B700,Weight!B:B,Weight!D:D,"#N/A",0)</f>
        <v>90</v>
      </c>
      <c r="Q700" s="17" t="str">
        <f t="shared" si="6"/>
        <v/>
      </c>
      <c r="R700" s="107"/>
      <c r="S700" s="108">
        <v>560313.0</v>
      </c>
      <c r="T700" s="108">
        <v>12.0</v>
      </c>
      <c r="U700" s="109">
        <v>40.0</v>
      </c>
      <c r="V700" s="110"/>
      <c r="X700" s="111">
        <f>SUMIFS('Transit Shipment'!$B$10:$B$1048462,'Transit Shipment'!$A$10:$A$1048462,B700,'Transit Shipment'!$C$10:$C$1048462,AA700)</f>
        <v>0</v>
      </c>
      <c r="Y700" s="111">
        <f>IF(SUMIFS(DIH!$S$2:$S833,DIH!$D$2:$D833,B700,DIH!$U$2:$U833,AA700)&gt;0,SUMIFS(DIH!$S$2:$S833,DIH!$D$2:$D833,B700,DIH!$U$2:$U833,AA700),0)</f>
        <v>13</v>
      </c>
      <c r="Z700" s="112">
        <f t="shared" si="7"/>
        <v>13</v>
      </c>
      <c r="AA700" s="119" t="s">
        <v>155</v>
      </c>
      <c r="AB700" s="114">
        <f>IF(ISNA(VLOOKUP($B700,'Business Report'!$D$2:$J$202,2,0)),"",VLOOKUP($B700,'Business Report'!$D$2:$J$202,2,0))</f>
        <v>23</v>
      </c>
      <c r="AC700" s="115">
        <f>SUMIFS(AFS!$P$2:$P$6260,AFS!$N$2:$N$6260,B700,AFS!$AT$2:$AT$6260,AA700)</f>
        <v>3</v>
      </c>
      <c r="AD700" s="116">
        <f t="shared" si="8"/>
        <v>-9</v>
      </c>
      <c r="AE700" s="117"/>
      <c r="AF700" s="118" t="str">
        <f t="shared" si="9"/>
        <v/>
      </c>
      <c r="AG700" s="26"/>
      <c r="AH700" s="26"/>
      <c r="AI700" s="26"/>
    </row>
    <row r="701">
      <c r="A701" s="120" t="s">
        <v>7260</v>
      </c>
      <c r="B701" s="7" t="s">
        <v>141</v>
      </c>
      <c r="C701" s="95" t="s">
        <v>342</v>
      </c>
      <c r="D701" s="109" t="s">
        <v>162</v>
      </c>
      <c r="E701" s="97">
        <f t="shared" si="2"/>
        <v>3</v>
      </c>
      <c r="F701" s="97">
        <f t="shared" si="3"/>
        <v>0.5</v>
      </c>
      <c r="G701" s="99">
        <f t="shared" si="77"/>
        <v>8</v>
      </c>
      <c r="H701" s="121"/>
      <c r="I701" s="122"/>
      <c r="J701" s="123"/>
      <c r="K701" s="124"/>
      <c r="L701" s="125"/>
      <c r="M701" s="181"/>
      <c r="N701" s="126"/>
      <c r="O701" s="127"/>
      <c r="P701" s="13">
        <f t="array" ref="P701">XLOOKUP(B701,Weight!B:B,Weight!D:D,"#N/A",0)</f>
        <v>90</v>
      </c>
      <c r="Q701" s="17">
        <f t="shared" si="6"/>
        <v>720</v>
      </c>
      <c r="R701" s="107"/>
      <c r="S701" s="108">
        <v>560313.0</v>
      </c>
      <c r="T701" s="108">
        <v>12.0</v>
      </c>
      <c r="U701" s="109">
        <v>40.0</v>
      </c>
      <c r="V701" s="110"/>
      <c r="X701" s="111">
        <f>SUMIFS('Transit Shipment'!$B$10:$B$1048462,'Transit Shipment'!$A$10:$A$1048462,B701,'Transit Shipment'!$C$10:$C$1048462,AA701)</f>
        <v>0</v>
      </c>
      <c r="Y701" s="111">
        <f>IF(SUMIFS(DIH!$S$2:$S833,DIH!$D$2:$D833,B701,DIH!$U$2:$U833,AA701)&gt;0,SUMIFS(DIH!$S$2:$S833,DIH!$D$2:$D833,B701,DIH!$U$2:$U833,AA701),0)</f>
        <v>7</v>
      </c>
      <c r="Z701" s="112">
        <f t="shared" si="7"/>
        <v>7</v>
      </c>
      <c r="AA701" s="119" t="s">
        <v>156</v>
      </c>
      <c r="AB701" s="114">
        <f>IF(ISNA(VLOOKUP($B701,'Business Report'!$D$2:$J$202,2,0)),"",VLOOKUP($B701,'Business Report'!$D$2:$J$202,2,0))</f>
        <v>23</v>
      </c>
      <c r="AC701" s="115">
        <f>SUMIFS(AFS!$P$2:$P$6260,AFS!$N$2:$N$6260,B701,AFS!$AT$2:$AT$6260,AA701)</f>
        <v>10</v>
      </c>
      <c r="AD701" s="116">
        <f t="shared" si="8"/>
        <v>7</v>
      </c>
      <c r="AE701" s="117"/>
      <c r="AF701" s="118">
        <f t="shared" si="9"/>
        <v>8</v>
      </c>
      <c r="AG701" s="26"/>
      <c r="AH701" s="26"/>
      <c r="AI701" s="26"/>
    </row>
    <row r="702">
      <c r="A702" s="120" t="s">
        <v>7260</v>
      </c>
      <c r="B702" s="7" t="s">
        <v>141</v>
      </c>
      <c r="C702" s="95" t="s">
        <v>342</v>
      </c>
      <c r="D702" s="109" t="s">
        <v>162</v>
      </c>
      <c r="E702" s="97">
        <f t="shared" si="2"/>
        <v>7</v>
      </c>
      <c r="F702" s="97">
        <f t="shared" si="3"/>
        <v>0</v>
      </c>
      <c r="G702" s="99">
        <f t="shared" si="77"/>
        <v>14</v>
      </c>
      <c r="H702" s="121"/>
      <c r="I702" s="122"/>
      <c r="J702" s="123"/>
      <c r="K702" s="124"/>
      <c r="L702" s="125"/>
      <c r="M702" s="181"/>
      <c r="N702" s="126"/>
      <c r="O702" s="127"/>
      <c r="P702" s="13">
        <f t="array" ref="P702">XLOOKUP(B702,Weight!B:B,Weight!D:D,"#N/A",0)</f>
        <v>90</v>
      </c>
      <c r="Q702" s="17">
        <f t="shared" si="6"/>
        <v>1260</v>
      </c>
      <c r="R702" s="107"/>
      <c r="S702" s="108">
        <v>560313.0</v>
      </c>
      <c r="T702" s="108">
        <v>12.0</v>
      </c>
      <c r="U702" s="109">
        <v>40.0</v>
      </c>
      <c r="V702" s="110"/>
      <c r="X702" s="111">
        <f>SUMIFS('Transit Shipment'!$B$10:$B$1048462,'Transit Shipment'!$A$10:$A$1048462,B702,'Transit Shipment'!$C$10:$C$1048462,AA702)</f>
        <v>0</v>
      </c>
      <c r="Y702" s="111">
        <f>IF(SUMIFS(DIH!$S$2:$S833,DIH!$D$2:$D833,B702,DIH!$U$2:$U833,AA702)&gt;0,SUMIFS(DIH!$S$2:$S833,DIH!$D$2:$D833,B702,DIH!$U$2:$U833,AA702),0)</f>
        <v>6</v>
      </c>
      <c r="Z702" s="112">
        <f t="shared" si="7"/>
        <v>6</v>
      </c>
      <c r="AA702" s="130" t="s">
        <v>13</v>
      </c>
      <c r="AB702" s="114">
        <f>IF(ISNA(VLOOKUP($B702,'Business Report'!$D$2:$J$202,2,0)),"",VLOOKUP($B702,'Business Report'!$D$2:$J$202,2,0))</f>
        <v>23</v>
      </c>
      <c r="AC702" s="115">
        <f>SUMIFS(AFS!$P$2:$P$6260,AFS!$N$2:$N$6260,B702,AFS!$AT$2:$AT$6260,AA702)</f>
        <v>15</v>
      </c>
      <c r="AD702" s="116">
        <f t="shared" si="8"/>
        <v>14</v>
      </c>
      <c r="AE702" s="117"/>
      <c r="AF702" s="118">
        <f t="shared" si="9"/>
        <v>14</v>
      </c>
      <c r="AG702" s="26"/>
      <c r="AH702" s="26"/>
      <c r="AI702" s="26"/>
    </row>
    <row r="703">
      <c r="A703" s="120" t="s">
        <v>7260</v>
      </c>
      <c r="B703" s="7" t="s">
        <v>141</v>
      </c>
      <c r="C703" s="95" t="s">
        <v>342</v>
      </c>
      <c r="D703" s="109" t="s">
        <v>162</v>
      </c>
      <c r="E703" s="97">
        <f t="shared" si="2"/>
        <v>6</v>
      </c>
      <c r="F703" s="97">
        <f t="shared" si="3"/>
        <v>0</v>
      </c>
      <c r="G703" s="99">
        <f t="shared" si="77"/>
        <v>12</v>
      </c>
      <c r="H703" s="121"/>
      <c r="I703" s="122"/>
      <c r="J703" s="123"/>
      <c r="K703" s="124"/>
      <c r="L703" s="125"/>
      <c r="M703" s="181"/>
      <c r="N703" s="126"/>
      <c r="O703" s="127"/>
      <c r="P703" s="13">
        <f t="array" ref="P703">XLOOKUP(B703,Weight!B:B,Weight!D:D,"#N/A",0)</f>
        <v>90</v>
      </c>
      <c r="Q703" s="17">
        <f t="shared" si="6"/>
        <v>1080</v>
      </c>
      <c r="R703" s="107"/>
      <c r="S703" s="108">
        <v>560313.0</v>
      </c>
      <c r="T703" s="108">
        <v>12.0</v>
      </c>
      <c r="U703" s="109">
        <v>40.0</v>
      </c>
      <c r="V703" s="110"/>
      <c r="X703" s="111">
        <f>SUMIFS('Transit Shipment'!$B$10:$B$1048462,'Transit Shipment'!$A$10:$A$1048462,B703,'Transit Shipment'!$C$10:$C$1048462,AA703)</f>
        <v>0</v>
      </c>
      <c r="Y703" s="111">
        <f>IF(SUMIFS(DIH!$S$2:$S833,DIH!$D$2:$D833,B703,DIH!$U$2:$U833,AA703)&gt;0,SUMIFS(DIH!$S$2:$S833,DIH!$D$2:$D833,B703,DIH!$U$2:$U833,AA703),0)</f>
        <v>11</v>
      </c>
      <c r="Z703" s="112">
        <f t="shared" si="7"/>
        <v>11</v>
      </c>
      <c r="AA703" s="119" t="s">
        <v>14</v>
      </c>
      <c r="AB703" s="114">
        <f>IF(ISNA(VLOOKUP($B703,'Business Report'!$D$2:$J$202,2,0)),"",VLOOKUP($B703,'Business Report'!$D$2:$J$202,2,0))</f>
        <v>23</v>
      </c>
      <c r="AC703" s="115">
        <f>SUMIFS(AFS!$P$2:$P$6260,AFS!$N$2:$N$6260,B703,AFS!$AT$2:$AT$6260,AA703)</f>
        <v>17</v>
      </c>
      <c r="AD703" s="116">
        <f t="shared" si="8"/>
        <v>12</v>
      </c>
      <c r="AE703" s="117"/>
      <c r="AF703" s="118">
        <f t="shared" si="9"/>
        <v>12</v>
      </c>
      <c r="AG703" s="26"/>
      <c r="AH703" s="26"/>
      <c r="AI703" s="26"/>
    </row>
    <row r="704">
      <c r="A704" s="120" t="s">
        <v>7260</v>
      </c>
      <c r="B704" s="7" t="s">
        <v>141</v>
      </c>
      <c r="C704" s="95" t="s">
        <v>342</v>
      </c>
      <c r="D704" s="109" t="s">
        <v>162</v>
      </c>
      <c r="E704" s="97">
        <f t="shared" si="2"/>
        <v>1</v>
      </c>
      <c r="F704" s="97">
        <f t="shared" si="3"/>
        <v>0</v>
      </c>
      <c r="G704" s="99" t="str">
        <f t="shared" si="77"/>
        <v/>
      </c>
      <c r="H704" s="121"/>
      <c r="I704" s="122"/>
      <c r="J704" s="123"/>
      <c r="K704" s="124"/>
      <c r="L704" s="125"/>
      <c r="M704" s="181"/>
      <c r="N704" s="126"/>
      <c r="O704" s="127"/>
      <c r="P704" s="13">
        <f t="array" ref="P704">XLOOKUP(B704,Weight!B:B,Weight!D:D,"#N/A",0)</f>
        <v>90</v>
      </c>
      <c r="Q704" s="17" t="str">
        <f t="shared" si="6"/>
        <v/>
      </c>
      <c r="R704" s="107"/>
      <c r="S704" s="108">
        <v>560313.0</v>
      </c>
      <c r="T704" s="108">
        <v>12.0</v>
      </c>
      <c r="U704" s="109">
        <v>40.0</v>
      </c>
      <c r="V704" s="110"/>
      <c r="X704" s="111">
        <f>SUMIFS('Transit Shipment'!$B$10:$B$1048462,'Transit Shipment'!$A$10:$A$1048462,B704,'Transit Shipment'!$C$10:$C$1048462,AA704)</f>
        <v>0</v>
      </c>
      <c r="Y704" s="111">
        <f>IF(SUMIFS(DIH!$S$2:$S833,DIH!$D$2:$D833,B704,DIH!$U$2:$U833,AA704)&gt;0,SUMIFS(DIH!$S$2:$S833,DIH!$D$2:$D833,B704,DIH!$U$2:$U833,AA704),0)</f>
        <v>12</v>
      </c>
      <c r="Z704" s="112">
        <f t="shared" si="7"/>
        <v>12</v>
      </c>
      <c r="AA704" s="131" t="s">
        <v>16</v>
      </c>
      <c r="AB704" s="114">
        <f>IF(ISNA(VLOOKUP($B704,'Business Report'!$D$2:$J$202,2,0)),"",VLOOKUP($B704,'Business Report'!$D$2:$J$202,2,0))</f>
        <v>23</v>
      </c>
      <c r="AC704" s="115">
        <f>SUMIFS(AFS!$P$2:$P$6260,AFS!$N$2:$N$6260,B704,AFS!$AT$2:$AT$6260,AA704)</f>
        <v>9</v>
      </c>
      <c r="AD704" s="116">
        <f t="shared" si="8"/>
        <v>0</v>
      </c>
      <c r="AE704" s="117"/>
      <c r="AF704" s="118" t="str">
        <f t="shared" si="9"/>
        <v/>
      </c>
      <c r="AG704" s="26"/>
      <c r="AH704" s="26"/>
      <c r="AI704" s="26"/>
    </row>
    <row r="705">
      <c r="A705" s="120" t="s">
        <v>7260</v>
      </c>
      <c r="B705" s="7" t="s">
        <v>141</v>
      </c>
      <c r="C705" s="133" t="s">
        <v>342</v>
      </c>
      <c r="D705" s="134" t="s">
        <v>162</v>
      </c>
      <c r="E705" s="135" t="str">
        <f t="shared" si="2"/>
        <v/>
      </c>
      <c r="F705" s="135" t="str">
        <f t="shared" si="3"/>
        <v/>
      </c>
      <c r="G705" s="136" t="str">
        <f t="shared" si="77"/>
        <v/>
      </c>
      <c r="H705" s="137"/>
      <c r="I705" s="138"/>
      <c r="J705" s="139"/>
      <c r="K705" s="140"/>
      <c r="L705" s="135"/>
      <c r="M705" s="152"/>
      <c r="N705" s="142"/>
      <c r="O705" s="143"/>
      <c r="P705" s="144">
        <f t="array" ref="P705">XLOOKUP(B705,Weight!B:B,Weight!D:D,"#N/A",0)</f>
        <v>90</v>
      </c>
      <c r="Q705" s="145" t="str">
        <f t="shared" si="6"/>
        <v/>
      </c>
      <c r="R705" s="146"/>
      <c r="S705" s="147">
        <v>560313.0</v>
      </c>
      <c r="T705" s="147">
        <v>12.0</v>
      </c>
      <c r="U705" s="109">
        <v>40.0</v>
      </c>
      <c r="V705" s="148"/>
      <c r="W705" s="149"/>
      <c r="X705" s="150">
        <f>SUMIFS('Transit Shipment'!$B$10:$B$1048462,'Transit Shipment'!$A$10:$A$1048462,B705,'Transit Shipment'!$C$10:$C$1048462,AA705)</f>
        <v>0</v>
      </c>
      <c r="Y705" s="150">
        <f>IF(SUMIFS(DIH!$S$2:$S833,DIH!$D$2:$D833,B705,DIH!$U$2:$U833,AA705)&gt;0,SUMIFS(DIH!$S$2:$S833,DIH!$D$2:$D833,B705,DIH!$U$2:$U833,AA705),0)</f>
        <v>11</v>
      </c>
      <c r="Z705" s="151">
        <f t="shared" si="7"/>
        <v>11</v>
      </c>
      <c r="AA705" s="152" t="s">
        <v>17</v>
      </c>
      <c r="AB705" s="154">
        <f>IF(ISNA(VLOOKUP($B705,'Business Report'!$D$2:$J$202,2,0)),"",VLOOKUP($B705,'Business Report'!$D$2:$J$202,2,0))</f>
        <v>23</v>
      </c>
      <c r="AC705" s="155">
        <f>SUMIFS(AFS!$P$2:$P$6260,AFS!$N$2:$N$6260,B705,AFS!$AT$2:$AT$6260,AA705)</f>
        <v>6</v>
      </c>
      <c r="AD705" s="156">
        <f t="shared" si="8"/>
        <v>-3</v>
      </c>
      <c r="AE705" s="159">
        <f>SUM(AD697:AD705)</f>
        <v>28</v>
      </c>
      <c r="AF705" s="118" t="str">
        <f t="shared" si="9"/>
        <v/>
      </c>
      <c r="AG705" s="26"/>
      <c r="AH705" s="26"/>
      <c r="AI705" s="26"/>
    </row>
    <row r="706">
      <c r="A706" s="293" t="s">
        <v>11424</v>
      </c>
      <c r="B706" s="129" t="s">
        <v>142</v>
      </c>
      <c r="C706" s="95" t="s">
        <v>298</v>
      </c>
      <c r="D706" s="68" t="s">
        <v>162</v>
      </c>
      <c r="E706" s="69">
        <f t="shared" si="2"/>
        <v>1</v>
      </c>
      <c r="F706" s="69">
        <f t="shared" si="3"/>
        <v>0</v>
      </c>
      <c r="G706" s="70" t="str">
        <f t="shared" si="77"/>
        <v/>
      </c>
      <c r="H706" s="163"/>
      <c r="I706" s="101"/>
      <c r="J706" s="102"/>
      <c r="K706" s="167"/>
      <c r="L706" s="119"/>
      <c r="M706" s="169"/>
      <c r="N706" s="171"/>
      <c r="O706" s="106"/>
      <c r="P706" s="79">
        <f t="array" ref="P706">XLOOKUP(B706,Weight!B:B,Weight!D:D,"#N/A",0)</f>
        <v>90</v>
      </c>
      <c r="Q706" s="80" t="str">
        <f t="shared" si="6"/>
        <v/>
      </c>
      <c r="R706" s="107"/>
      <c r="S706" s="108">
        <v>560313.0</v>
      </c>
      <c r="T706" s="108">
        <v>12.0</v>
      </c>
      <c r="U706" s="83">
        <v>40.0</v>
      </c>
      <c r="V706" s="84" t="str">
        <f t="shared" ref="V706:W706" si="111">B706</f>
        <v>CRM-HP-1008w-Grey</v>
      </c>
      <c r="W706" s="174" t="str">
        <f t="shared" si="111"/>
        <v>Crasome Dust Proof Water-resistant Printer Cover for HP Laser 1008w / 1008a (Grey)</v>
      </c>
      <c r="X706" s="86">
        <f>SUMIFS('Transit Shipment'!$B$10:$B$1048462,'Transit Shipment'!$A$10:$A$1048462,B706,'Transit Shipment'!$C$10:$C$1048462,AA706)</f>
        <v>0</v>
      </c>
      <c r="Y706" s="86">
        <f>IF(SUMIFS(DIH!$S$2:$S833,DIH!$D$2:$D833,B706,DIH!$U$2:$U833,AA706)&gt;0,SUMIFS(DIH!$S$2:$S833,DIH!$D$2:$D833,B706,DIH!$U$2:$U833,AA706),0)</f>
        <v>0</v>
      </c>
      <c r="Z706" s="87">
        <f t="shared" si="7"/>
        <v>0</v>
      </c>
      <c r="AA706" s="88" t="s">
        <v>5</v>
      </c>
      <c r="AB706" s="89">
        <f>IF(ISNA(VLOOKUP($B706,'Business Report'!$D$2:$J$202,2,0)),"",VLOOKUP($B706,'Business Report'!$D$2:$J$202,2,0))</f>
        <v>32</v>
      </c>
      <c r="AC706" s="90">
        <f>SUMIFS(AFS!$P$2:$P$6260,AFS!$N$2:$N$6260,B706,AFS!$AT$2:$AT$6260,AA706)</f>
        <v>0</v>
      </c>
      <c r="AD706" s="91">
        <f t="shared" si="8"/>
        <v>0</v>
      </c>
      <c r="AE706" s="92"/>
      <c r="AF706" s="93" t="str">
        <f t="shared" si="9"/>
        <v/>
      </c>
      <c r="AG706" s="26"/>
      <c r="AH706" s="26"/>
      <c r="AI706" s="26"/>
    </row>
    <row r="707">
      <c r="A707" s="120" t="s">
        <v>11424</v>
      </c>
      <c r="B707" s="7" t="s">
        <v>142</v>
      </c>
      <c r="C707" s="95" t="s">
        <v>298</v>
      </c>
      <c r="D707" s="96" t="s">
        <v>162</v>
      </c>
      <c r="E707" s="97">
        <f t="shared" si="2"/>
        <v>1</v>
      </c>
      <c r="F707" s="97">
        <f t="shared" si="3"/>
        <v>0</v>
      </c>
      <c r="G707" s="99" t="str">
        <f t="shared" si="77"/>
        <v/>
      </c>
      <c r="H707" s="100"/>
      <c r="I707" s="101"/>
      <c r="J707" s="102"/>
      <c r="K707" s="103"/>
      <c r="L707" s="97"/>
      <c r="M707" s="169"/>
      <c r="N707" s="105"/>
      <c r="O707" s="106"/>
      <c r="P707" s="13">
        <f t="array" ref="P707">XLOOKUP(B707,Weight!B:B,Weight!D:D,"#N/A",0)</f>
        <v>90</v>
      </c>
      <c r="Q707" s="17" t="str">
        <f t="shared" si="6"/>
        <v/>
      </c>
      <c r="R707" s="107"/>
      <c r="S707" s="108">
        <v>560313.0</v>
      </c>
      <c r="T707" s="108">
        <v>12.0</v>
      </c>
      <c r="U707" s="109">
        <v>40.0</v>
      </c>
      <c r="V707" s="110"/>
      <c r="X707" s="111">
        <f>SUMIFS('Transit Shipment'!$B$10:$B$1048462,'Transit Shipment'!$A$10:$A$1048462,B707,'Transit Shipment'!$C$10:$C$1048462,AA707)</f>
        <v>0</v>
      </c>
      <c r="Y707" s="111">
        <f>IF(SUMIFS(DIH!$S$2:$S833,DIH!$D$2:$D833,B707,DIH!$U$2:$U833,AA707)&gt;0,SUMIFS(DIH!$S$2:$S833,DIH!$D$2:$D833,B707,DIH!$U$2:$U833,AA707),0)</f>
        <v>0</v>
      </c>
      <c r="Z707" s="112">
        <f t="shared" si="7"/>
        <v>0</v>
      </c>
      <c r="AA707" s="113" t="s">
        <v>11</v>
      </c>
      <c r="AB707" s="114">
        <f>IF(ISNA(VLOOKUP($B707,'Business Report'!$D$2:$J$202,2,0)),"",VLOOKUP($B707,'Business Report'!$D$2:$J$202,2,0))</f>
        <v>32</v>
      </c>
      <c r="AC707" s="115">
        <f>SUMIFS(AFS!$P$2:$P$6260,AFS!$N$2:$N$6260,B707,AFS!$AT$2:$AT$6260,AA707)</f>
        <v>0</v>
      </c>
      <c r="AD707" s="116">
        <f t="shared" si="8"/>
        <v>0</v>
      </c>
      <c r="AE707" s="117"/>
      <c r="AF707" s="118" t="str">
        <f t="shared" si="9"/>
        <v/>
      </c>
      <c r="AG707" s="26"/>
      <c r="AH707" s="26"/>
      <c r="AI707" s="26"/>
    </row>
    <row r="708">
      <c r="A708" s="120" t="s">
        <v>11424</v>
      </c>
      <c r="B708" s="7" t="s">
        <v>142</v>
      </c>
      <c r="C708" s="95" t="s">
        <v>298</v>
      </c>
      <c r="D708" s="96" t="s">
        <v>162</v>
      </c>
      <c r="E708" s="97">
        <f t="shared" si="2"/>
        <v>1</v>
      </c>
      <c r="F708" s="97">
        <f t="shared" si="3"/>
        <v>0</v>
      </c>
      <c r="G708" s="99" t="str">
        <f t="shared" si="77"/>
        <v/>
      </c>
      <c r="H708" s="100"/>
      <c r="I708" s="101"/>
      <c r="J708" s="102"/>
      <c r="K708" s="103"/>
      <c r="L708" s="97"/>
      <c r="M708" s="169"/>
      <c r="N708" s="105"/>
      <c r="O708" s="106"/>
      <c r="P708" s="13">
        <f t="array" ref="P708">XLOOKUP(B708,Weight!B:B,Weight!D:D,"#N/A",0)</f>
        <v>90</v>
      </c>
      <c r="Q708" s="17" t="str">
        <f t="shared" si="6"/>
        <v/>
      </c>
      <c r="R708" s="107"/>
      <c r="S708" s="108">
        <v>560313.0</v>
      </c>
      <c r="T708" s="108">
        <v>12.0</v>
      </c>
      <c r="U708" s="109">
        <v>40.0</v>
      </c>
      <c r="V708" s="110"/>
      <c r="X708" s="111">
        <f>SUMIFS('Transit Shipment'!$B$10:$B$1048462,'Transit Shipment'!$A$10:$A$1048462,B708,'Transit Shipment'!$C$10:$C$1048462,AA708)</f>
        <v>0</v>
      </c>
      <c r="Y708" s="111">
        <f>IF(SUMIFS(DIH!$S$2:$S833,DIH!$D$2:$D833,B708,DIH!$U$2:$U833,AA708)&gt;0,SUMIFS(DIH!$S$2:$S833,DIH!$D$2:$D833,B708,DIH!$U$2:$U833,AA708),0)</f>
        <v>0</v>
      </c>
      <c r="Z708" s="112">
        <f t="shared" si="7"/>
        <v>0</v>
      </c>
      <c r="AA708" s="119" t="s">
        <v>9</v>
      </c>
      <c r="AB708" s="114">
        <f>IF(ISNA(VLOOKUP($B708,'Business Report'!$D$2:$J$202,2,0)),"",VLOOKUP($B708,'Business Report'!$D$2:$J$202,2,0))</f>
        <v>32</v>
      </c>
      <c r="AC708" s="115">
        <f>SUMIFS(AFS!$P$2:$P$6260,AFS!$N$2:$N$6260,B708,AFS!$AT$2:$AT$6260,AA708)</f>
        <v>0</v>
      </c>
      <c r="AD708" s="116">
        <f t="shared" si="8"/>
        <v>0</v>
      </c>
      <c r="AE708" s="117"/>
      <c r="AF708" s="118" t="str">
        <f t="shared" si="9"/>
        <v/>
      </c>
      <c r="AG708" s="26"/>
      <c r="AH708" s="26"/>
      <c r="AI708" s="26"/>
    </row>
    <row r="709">
      <c r="A709" s="120" t="s">
        <v>11424</v>
      </c>
      <c r="B709" s="7" t="s">
        <v>142</v>
      </c>
      <c r="C709" s="95" t="s">
        <v>298</v>
      </c>
      <c r="D709" s="109" t="s">
        <v>162</v>
      </c>
      <c r="E709" s="97">
        <f t="shared" si="2"/>
        <v>1</v>
      </c>
      <c r="F709" s="97">
        <f t="shared" si="3"/>
        <v>0</v>
      </c>
      <c r="G709" s="99" t="str">
        <f t="shared" si="77"/>
        <v/>
      </c>
      <c r="H709" s="121"/>
      <c r="I709" s="122"/>
      <c r="J709" s="123"/>
      <c r="K709" s="124"/>
      <c r="L709" s="125"/>
      <c r="M709" s="181"/>
      <c r="N709" s="126"/>
      <c r="O709" s="127"/>
      <c r="P709" s="13">
        <f t="array" ref="P709">XLOOKUP(B709,Weight!B:B,Weight!D:D,"#N/A",0)</f>
        <v>90</v>
      </c>
      <c r="Q709" s="17" t="str">
        <f t="shared" si="6"/>
        <v/>
      </c>
      <c r="R709" s="107"/>
      <c r="S709" s="108">
        <v>560313.0</v>
      </c>
      <c r="T709" s="108">
        <v>12.0</v>
      </c>
      <c r="U709" s="109">
        <v>40.0</v>
      </c>
      <c r="V709" s="110"/>
      <c r="X709" s="111">
        <f>SUMIFS('Transit Shipment'!$B$10:$B$1048462,'Transit Shipment'!$A$10:$A$1048462,B709,'Transit Shipment'!$C$10:$C$1048462,AA709)</f>
        <v>0</v>
      </c>
      <c r="Y709" s="111">
        <f>IF(SUMIFS(DIH!$S$2:$S833,DIH!$D$2:$D833,B709,DIH!$U$2:$U833,AA709)&gt;0,SUMIFS(DIH!$S$2:$S833,DIH!$D$2:$D833,B709,DIH!$U$2:$U833,AA709),0)</f>
        <v>0</v>
      </c>
      <c r="Z709" s="112">
        <f t="shared" si="7"/>
        <v>0</v>
      </c>
      <c r="AA709" s="119" t="s">
        <v>155</v>
      </c>
      <c r="AB709" s="114">
        <f>IF(ISNA(VLOOKUP($B709,'Business Report'!$D$2:$J$202,2,0)),"",VLOOKUP($B709,'Business Report'!$D$2:$J$202,2,0))</f>
        <v>32</v>
      </c>
      <c r="AC709" s="115">
        <f>SUMIFS(AFS!$P$2:$P$6260,AFS!$N$2:$N$6260,B709,AFS!$AT$2:$AT$6260,AA709)</f>
        <v>0</v>
      </c>
      <c r="AD709" s="116">
        <f t="shared" si="8"/>
        <v>0</v>
      </c>
      <c r="AE709" s="117"/>
      <c r="AF709" s="118" t="str">
        <f t="shared" si="9"/>
        <v/>
      </c>
      <c r="AG709" s="26"/>
      <c r="AH709" s="26"/>
      <c r="AI709" s="26"/>
    </row>
    <row r="710">
      <c r="A710" s="120" t="s">
        <v>11424</v>
      </c>
      <c r="B710" s="7" t="s">
        <v>142</v>
      </c>
      <c r="C710" s="95" t="s">
        <v>298</v>
      </c>
      <c r="D710" s="109" t="s">
        <v>162</v>
      </c>
      <c r="E710" s="97">
        <f t="shared" si="2"/>
        <v>1</v>
      </c>
      <c r="F710" s="97">
        <f t="shared" si="3"/>
        <v>0</v>
      </c>
      <c r="G710" s="99" t="str">
        <f t="shared" si="77"/>
        <v/>
      </c>
      <c r="H710" s="121"/>
      <c r="I710" s="122"/>
      <c r="J710" s="123"/>
      <c r="K710" s="124"/>
      <c r="L710" s="125"/>
      <c r="M710" s="181"/>
      <c r="N710" s="126"/>
      <c r="O710" s="127"/>
      <c r="P710" s="13">
        <f t="array" ref="P710">XLOOKUP(B710,Weight!B:B,Weight!D:D,"#N/A",0)</f>
        <v>90</v>
      </c>
      <c r="Q710" s="17" t="str">
        <f t="shared" si="6"/>
        <v/>
      </c>
      <c r="R710" s="107"/>
      <c r="S710" s="108">
        <v>560313.0</v>
      </c>
      <c r="T710" s="108">
        <v>12.0</v>
      </c>
      <c r="U710" s="109">
        <v>40.0</v>
      </c>
      <c r="V710" s="110"/>
      <c r="X710" s="111">
        <f>SUMIFS('Transit Shipment'!$B$10:$B$1048462,'Transit Shipment'!$A$10:$A$1048462,B710,'Transit Shipment'!$C$10:$C$1048462,AA710)</f>
        <v>0</v>
      </c>
      <c r="Y710" s="111">
        <f>IF(SUMIFS(DIH!$S$2:$S833,DIH!$D$2:$D833,B710,DIH!$U$2:$U833,AA710)&gt;0,SUMIFS(DIH!$S$2:$S833,DIH!$D$2:$D833,B710,DIH!$U$2:$U833,AA710),0)</f>
        <v>0</v>
      </c>
      <c r="Z710" s="112">
        <f t="shared" si="7"/>
        <v>0</v>
      </c>
      <c r="AA710" s="119" t="s">
        <v>156</v>
      </c>
      <c r="AB710" s="114">
        <f>IF(ISNA(VLOOKUP($B710,'Business Report'!$D$2:$J$202,2,0)),"",VLOOKUP($B710,'Business Report'!$D$2:$J$202,2,0))</f>
        <v>32</v>
      </c>
      <c r="AC710" s="115">
        <f>SUMIFS(AFS!$P$2:$P$6260,AFS!$N$2:$N$6260,B710,AFS!$AT$2:$AT$6260,AA710)</f>
        <v>0</v>
      </c>
      <c r="AD710" s="116">
        <f t="shared" si="8"/>
        <v>0</v>
      </c>
      <c r="AE710" s="117"/>
      <c r="AF710" s="118" t="str">
        <f t="shared" si="9"/>
        <v/>
      </c>
      <c r="AG710" s="26"/>
      <c r="AH710" s="26"/>
      <c r="AI710" s="26"/>
    </row>
    <row r="711">
      <c r="A711" s="120" t="s">
        <v>11424</v>
      </c>
      <c r="B711" s="7" t="s">
        <v>142</v>
      </c>
      <c r="C711" s="95" t="s">
        <v>298</v>
      </c>
      <c r="D711" s="109" t="s">
        <v>162</v>
      </c>
      <c r="E711" s="97">
        <f t="shared" si="2"/>
        <v>1</v>
      </c>
      <c r="F711" s="97">
        <f t="shared" si="3"/>
        <v>0</v>
      </c>
      <c r="G711" s="99" t="str">
        <f t="shared" si="77"/>
        <v/>
      </c>
      <c r="H711" s="121"/>
      <c r="I711" s="122"/>
      <c r="J711" s="123"/>
      <c r="K711" s="124"/>
      <c r="L711" s="125"/>
      <c r="M711" s="181"/>
      <c r="N711" s="126"/>
      <c r="O711" s="127"/>
      <c r="P711" s="13">
        <f t="array" ref="P711">XLOOKUP(B711,Weight!B:B,Weight!D:D,"#N/A",0)</f>
        <v>90</v>
      </c>
      <c r="Q711" s="17" t="str">
        <f t="shared" si="6"/>
        <v/>
      </c>
      <c r="R711" s="107"/>
      <c r="S711" s="108">
        <v>560313.0</v>
      </c>
      <c r="T711" s="108">
        <v>12.0</v>
      </c>
      <c r="U711" s="109">
        <v>40.0</v>
      </c>
      <c r="V711" s="110"/>
      <c r="X711" s="111">
        <f>SUMIFS('Transit Shipment'!$B$10:$B$1048462,'Transit Shipment'!$A$10:$A$1048462,B711,'Transit Shipment'!$C$10:$C$1048462,AA711)</f>
        <v>0</v>
      </c>
      <c r="Y711" s="111">
        <f>IF(SUMIFS(DIH!$S$2:$S833,DIH!$D$2:$D833,B711,DIH!$U$2:$U833,AA711)&gt;0,SUMIFS(DIH!$S$2:$S833,DIH!$D$2:$D833,B711,DIH!$U$2:$U833,AA711),0)</f>
        <v>0</v>
      </c>
      <c r="Z711" s="112">
        <f t="shared" si="7"/>
        <v>0</v>
      </c>
      <c r="AA711" s="130" t="s">
        <v>13</v>
      </c>
      <c r="AB711" s="114">
        <f>IF(ISNA(VLOOKUP($B711,'Business Report'!$D$2:$J$202,2,0)),"",VLOOKUP($B711,'Business Report'!$D$2:$J$202,2,0))</f>
        <v>32</v>
      </c>
      <c r="AC711" s="115">
        <f>SUMIFS(AFS!$P$2:$P$6260,AFS!$N$2:$N$6260,B711,AFS!$AT$2:$AT$6260,AA711)</f>
        <v>0</v>
      </c>
      <c r="AD711" s="116">
        <f t="shared" si="8"/>
        <v>0</v>
      </c>
      <c r="AE711" s="117"/>
      <c r="AF711" s="118" t="str">
        <f t="shared" si="9"/>
        <v/>
      </c>
      <c r="AG711" s="26"/>
      <c r="AH711" s="26"/>
      <c r="AI711" s="26"/>
    </row>
    <row r="712">
      <c r="A712" s="120" t="s">
        <v>11424</v>
      </c>
      <c r="B712" s="7" t="s">
        <v>142</v>
      </c>
      <c r="C712" s="95" t="s">
        <v>298</v>
      </c>
      <c r="D712" s="109" t="s">
        <v>162</v>
      </c>
      <c r="E712" s="97">
        <f t="shared" si="2"/>
        <v>1</v>
      </c>
      <c r="F712" s="97">
        <f t="shared" si="3"/>
        <v>0</v>
      </c>
      <c r="G712" s="99" t="str">
        <f t="shared" si="77"/>
        <v/>
      </c>
      <c r="H712" s="121"/>
      <c r="I712" s="122"/>
      <c r="J712" s="123"/>
      <c r="K712" s="124"/>
      <c r="L712" s="125"/>
      <c r="M712" s="181"/>
      <c r="N712" s="126"/>
      <c r="O712" s="127"/>
      <c r="P712" s="13">
        <f t="array" ref="P712">XLOOKUP(B712,Weight!B:B,Weight!D:D,"#N/A",0)</f>
        <v>90</v>
      </c>
      <c r="Q712" s="17" t="str">
        <f t="shared" si="6"/>
        <v/>
      </c>
      <c r="R712" s="107"/>
      <c r="S712" s="108">
        <v>560313.0</v>
      </c>
      <c r="T712" s="108">
        <v>12.0</v>
      </c>
      <c r="U712" s="109">
        <v>40.0</v>
      </c>
      <c r="V712" s="110"/>
      <c r="X712" s="111">
        <f>SUMIFS('Transit Shipment'!$B$10:$B$1048462,'Transit Shipment'!$A$10:$A$1048462,B712,'Transit Shipment'!$C$10:$C$1048462,AA712)</f>
        <v>0</v>
      </c>
      <c r="Y712" s="111">
        <f>IF(SUMIFS(DIH!$S$2:$S833,DIH!$D$2:$D833,B712,DIH!$U$2:$U833,AA712)&gt;0,SUMIFS(DIH!$S$2:$S833,DIH!$D$2:$D833,B712,DIH!$U$2:$U833,AA712),0)</f>
        <v>0</v>
      </c>
      <c r="Z712" s="112">
        <f t="shared" si="7"/>
        <v>0</v>
      </c>
      <c r="AA712" s="119" t="s">
        <v>14</v>
      </c>
      <c r="AB712" s="114">
        <f>IF(ISNA(VLOOKUP($B712,'Business Report'!$D$2:$J$202,2,0)),"",VLOOKUP($B712,'Business Report'!$D$2:$J$202,2,0))</f>
        <v>32</v>
      </c>
      <c r="AC712" s="115">
        <f>SUMIFS(AFS!$P$2:$P$6260,AFS!$N$2:$N$6260,B712,AFS!$AT$2:$AT$6260,AA712)</f>
        <v>0</v>
      </c>
      <c r="AD712" s="116">
        <f t="shared" si="8"/>
        <v>0</v>
      </c>
      <c r="AE712" s="117"/>
      <c r="AF712" s="118" t="str">
        <f t="shared" si="9"/>
        <v/>
      </c>
      <c r="AG712" s="26"/>
      <c r="AH712" s="26"/>
      <c r="AI712" s="26"/>
    </row>
    <row r="713">
      <c r="A713" s="120" t="s">
        <v>11424</v>
      </c>
      <c r="B713" s="7" t="s">
        <v>142</v>
      </c>
      <c r="C713" s="95" t="s">
        <v>298</v>
      </c>
      <c r="D713" s="109" t="s">
        <v>162</v>
      </c>
      <c r="E713" s="97">
        <f t="shared" si="2"/>
        <v>1</v>
      </c>
      <c r="F713" s="97">
        <f t="shared" si="3"/>
        <v>0</v>
      </c>
      <c r="G713" s="99" t="str">
        <f t="shared" si="77"/>
        <v/>
      </c>
      <c r="H713" s="121"/>
      <c r="I713" s="122"/>
      <c r="J713" s="123"/>
      <c r="K713" s="124"/>
      <c r="L713" s="125"/>
      <c r="M713" s="181"/>
      <c r="N713" s="126"/>
      <c r="O713" s="127"/>
      <c r="P713" s="13">
        <f t="array" ref="P713">XLOOKUP(B713,Weight!B:B,Weight!D:D,"#N/A",0)</f>
        <v>90</v>
      </c>
      <c r="Q713" s="17" t="str">
        <f t="shared" si="6"/>
        <v/>
      </c>
      <c r="R713" s="107"/>
      <c r="S713" s="108">
        <v>560313.0</v>
      </c>
      <c r="T713" s="108">
        <v>12.0</v>
      </c>
      <c r="U713" s="109">
        <v>40.0</v>
      </c>
      <c r="V713" s="110"/>
      <c r="X713" s="111">
        <f>SUMIFS('Transit Shipment'!$B$10:$B$1048462,'Transit Shipment'!$A$10:$A$1048462,B713,'Transit Shipment'!$C$10:$C$1048462,AA713)</f>
        <v>0</v>
      </c>
      <c r="Y713" s="111">
        <f>IF(SUMIFS(DIH!$S$2:$S833,DIH!$D$2:$D833,B713,DIH!$U$2:$U833,AA713)&gt;0,SUMIFS(DIH!$S$2:$S833,DIH!$D$2:$D833,B713,DIH!$U$2:$U833,AA713),0)</f>
        <v>0</v>
      </c>
      <c r="Z713" s="112">
        <f t="shared" si="7"/>
        <v>0</v>
      </c>
      <c r="AA713" s="131" t="s">
        <v>16</v>
      </c>
      <c r="AB713" s="114">
        <f>IF(ISNA(VLOOKUP($B713,'Business Report'!$D$2:$J$202,2,0)),"",VLOOKUP($B713,'Business Report'!$D$2:$J$202,2,0))</f>
        <v>32</v>
      </c>
      <c r="AC713" s="115">
        <f>SUMIFS(AFS!$P$2:$P$6260,AFS!$N$2:$N$6260,B713,AFS!$AT$2:$AT$6260,AA713)</f>
        <v>0</v>
      </c>
      <c r="AD713" s="116">
        <f t="shared" si="8"/>
        <v>0</v>
      </c>
      <c r="AE713" s="117"/>
      <c r="AF713" s="118" t="str">
        <f t="shared" si="9"/>
        <v/>
      </c>
      <c r="AG713" s="26"/>
      <c r="AH713" s="26"/>
      <c r="AI713" s="26"/>
    </row>
    <row r="714">
      <c r="A714" s="296" t="s">
        <v>11424</v>
      </c>
      <c r="B714" s="7" t="s">
        <v>142</v>
      </c>
      <c r="C714" s="133" t="s">
        <v>298</v>
      </c>
      <c r="D714" s="134" t="s">
        <v>162</v>
      </c>
      <c r="E714" s="135">
        <f t="shared" si="2"/>
        <v>1</v>
      </c>
      <c r="F714" s="135">
        <f t="shared" si="3"/>
        <v>0</v>
      </c>
      <c r="G714" s="136" t="str">
        <f t="shared" si="77"/>
        <v/>
      </c>
      <c r="H714" s="137"/>
      <c r="I714" s="138"/>
      <c r="J714" s="139"/>
      <c r="K714" s="140"/>
      <c r="L714" s="135"/>
      <c r="M714" s="152"/>
      <c r="N714" s="142"/>
      <c r="O714" s="143"/>
      <c r="P714" s="144">
        <f t="array" ref="P714">XLOOKUP(B714,Weight!B:B,Weight!D:D,"#N/A",0)</f>
        <v>90</v>
      </c>
      <c r="Q714" s="145" t="str">
        <f t="shared" si="6"/>
        <v/>
      </c>
      <c r="R714" s="146"/>
      <c r="S714" s="147">
        <v>560313.0</v>
      </c>
      <c r="T714" s="147">
        <v>12.0</v>
      </c>
      <c r="U714" s="109">
        <v>40.0</v>
      </c>
      <c r="V714" s="148"/>
      <c r="W714" s="149"/>
      <c r="X714" s="150">
        <f>SUMIFS('Transit Shipment'!$B$10:$B$1048462,'Transit Shipment'!$A$10:$A$1048462,B714,'Transit Shipment'!$C$10:$C$1048462,AA714)</f>
        <v>0</v>
      </c>
      <c r="Y714" s="150">
        <f>IF(SUMIFS(DIH!$S$2:$S833,DIH!$D$2:$D833,B714,DIH!$U$2:$U833,AA714)&gt;0,SUMIFS(DIH!$S$2:$S833,DIH!$D$2:$D833,B714,DIH!$U$2:$U833,AA714),0)</f>
        <v>0</v>
      </c>
      <c r="Z714" s="151">
        <f t="shared" si="7"/>
        <v>0</v>
      </c>
      <c r="AA714" s="152" t="s">
        <v>17</v>
      </c>
      <c r="AB714" s="154">
        <f>IF(ISNA(VLOOKUP($B714,'Business Report'!$D$2:$J$202,2,0)),"",VLOOKUP($B714,'Business Report'!$D$2:$J$202,2,0))</f>
        <v>32</v>
      </c>
      <c r="AC714" s="155">
        <f>SUMIFS(AFS!$P$2:$P$6260,AFS!$N$2:$N$6260,B714,AFS!$AT$2:$AT$6260,AA714)</f>
        <v>0</v>
      </c>
      <c r="AD714" s="156">
        <f t="shared" si="8"/>
        <v>0</v>
      </c>
      <c r="AE714" s="159">
        <f>SUM(AD706:AD714)</f>
        <v>0</v>
      </c>
      <c r="AF714" s="118" t="str">
        <f t="shared" si="9"/>
        <v/>
      </c>
      <c r="AG714" s="26"/>
      <c r="AH714" s="26"/>
      <c r="AI714" s="26"/>
    </row>
    <row r="715">
      <c r="A715" s="120" t="s">
        <v>11542</v>
      </c>
      <c r="B715" s="129" t="s">
        <v>143</v>
      </c>
      <c r="C715" s="95" t="s">
        <v>11543</v>
      </c>
      <c r="D715" s="68" t="s">
        <v>162</v>
      </c>
      <c r="E715" s="69">
        <f t="shared" si="2"/>
        <v>1</v>
      </c>
      <c r="F715" s="69">
        <f t="shared" si="3"/>
        <v>0</v>
      </c>
      <c r="G715" s="70" t="str">
        <f t="shared" si="77"/>
        <v/>
      </c>
      <c r="H715" s="163"/>
      <c r="I715" s="101"/>
      <c r="J715" s="102"/>
      <c r="K715" s="167"/>
      <c r="L715" s="119"/>
      <c r="M715" s="169"/>
      <c r="N715" s="171"/>
      <c r="O715" s="106"/>
      <c r="P715" s="79">
        <f t="array" ref="P715">XLOOKUP(B715,Weight!B:B,Weight!D:D,"#N/A",0)</f>
        <v>90</v>
      </c>
      <c r="Q715" s="80" t="str">
        <f t="shared" si="6"/>
        <v/>
      </c>
      <c r="R715" s="107"/>
      <c r="S715" s="108">
        <v>560313.0</v>
      </c>
      <c r="T715" s="108">
        <v>12.0</v>
      </c>
      <c r="U715" s="83">
        <v>40.0</v>
      </c>
      <c r="V715" s="84" t="str">
        <f t="shared" ref="V715:W715" si="112">B715</f>
        <v>CRM-HP-2606sdw-Grey</v>
      </c>
      <c r="W715" s="174" t="str">
        <f t="shared" si="112"/>
        <v>Crasome Dust Proof Water-resistant Printer Cover for HP Laserjet Tank MFP 1188fnw / 2606sdw (Grey)</v>
      </c>
      <c r="X715" s="86">
        <f>SUMIFS('Transit Shipment'!$B$10:$B$1048462,'Transit Shipment'!$A$10:$A$1048462,B715,'Transit Shipment'!$C$10:$C$1048462,AA715)</f>
        <v>0</v>
      </c>
      <c r="Y715" s="86">
        <f>IF(SUMIFS(DIH!$S$2:$S833,DIH!$D$2:$D833,B715,DIH!$U$2:$U833,AA715)&gt;0,SUMIFS(DIH!$S$2:$S833,DIH!$D$2:$D833,B715,DIH!$U$2:$U833,AA715),0)</f>
        <v>3</v>
      </c>
      <c r="Z715" s="87">
        <f t="shared" si="7"/>
        <v>3</v>
      </c>
      <c r="AA715" s="88" t="s">
        <v>5</v>
      </c>
      <c r="AB715" s="89">
        <f>IF(ISNA(VLOOKUP($B715,'Business Report'!$D$2:$J$202,2,0)),"",VLOOKUP($B715,'Business Report'!$D$2:$J$202,2,0))</f>
        <v>143</v>
      </c>
      <c r="AC715" s="90">
        <f>SUMIFS(AFS!$P$2:$P$6260,AFS!$N$2:$N$6260,B715,AFS!$AT$2:$AT$6260,AA715)</f>
        <v>2</v>
      </c>
      <c r="AD715" s="91">
        <f t="shared" si="8"/>
        <v>0</v>
      </c>
      <c r="AE715" s="92"/>
      <c r="AF715" s="93" t="str">
        <f t="shared" si="9"/>
        <v/>
      </c>
      <c r="AG715" s="26"/>
      <c r="AH715" s="26"/>
      <c r="AI715" s="26"/>
    </row>
    <row r="716">
      <c r="A716" s="120" t="s">
        <v>11542</v>
      </c>
      <c r="B716" s="7" t="s">
        <v>143</v>
      </c>
      <c r="C716" s="95" t="s">
        <v>11543</v>
      </c>
      <c r="D716" s="96" t="s">
        <v>162</v>
      </c>
      <c r="E716" s="97" t="str">
        <f t="shared" si="2"/>
        <v/>
      </c>
      <c r="F716" s="97" t="str">
        <f t="shared" si="3"/>
        <v/>
      </c>
      <c r="G716" s="99" t="str">
        <f t="shared" si="77"/>
        <v/>
      </c>
      <c r="H716" s="100"/>
      <c r="I716" s="101"/>
      <c r="J716" s="102"/>
      <c r="K716" s="103"/>
      <c r="L716" s="97"/>
      <c r="M716" s="169"/>
      <c r="N716" s="105"/>
      <c r="O716" s="106"/>
      <c r="P716" s="13">
        <f t="array" ref="P716">XLOOKUP(B716,Weight!B:B,Weight!D:D,"#N/A",0)</f>
        <v>90</v>
      </c>
      <c r="Q716" s="17" t="str">
        <f t="shared" si="6"/>
        <v/>
      </c>
      <c r="R716" s="107"/>
      <c r="S716" s="108">
        <v>560313.0</v>
      </c>
      <c r="T716" s="108">
        <v>12.0</v>
      </c>
      <c r="U716" s="109">
        <v>40.0</v>
      </c>
      <c r="V716" s="110"/>
      <c r="X716" s="111">
        <f>SUMIFS('Transit Shipment'!$B$10:$B$1048462,'Transit Shipment'!$A$10:$A$1048462,B716,'Transit Shipment'!$C$10:$C$1048462,AA716)</f>
        <v>0</v>
      </c>
      <c r="Y716" s="111">
        <f>IF(SUMIFS(DIH!$S$2:$S833,DIH!$D$2:$D833,B716,DIH!$U$2:$U833,AA716)&gt;0,SUMIFS(DIH!$S$2:$S833,DIH!$D$2:$D833,B716,DIH!$U$2:$U833,AA716),0)</f>
        <v>3</v>
      </c>
      <c r="Z716" s="112">
        <f t="shared" si="7"/>
        <v>3</v>
      </c>
      <c r="AA716" s="113" t="s">
        <v>11</v>
      </c>
      <c r="AB716" s="114">
        <f>IF(ISNA(VLOOKUP($B716,'Business Report'!$D$2:$J$202,2,0)),"",VLOOKUP($B716,'Business Report'!$D$2:$J$202,2,0))</f>
        <v>143</v>
      </c>
      <c r="AC716" s="115">
        <f>SUMIFS(AFS!$P$2:$P$6260,AFS!$N$2:$N$6260,B716,AFS!$AT$2:$AT$6260,AA716)</f>
        <v>0</v>
      </c>
      <c r="AD716" s="116">
        <f t="shared" si="8"/>
        <v>-3</v>
      </c>
      <c r="AE716" s="117"/>
      <c r="AF716" s="118" t="str">
        <f t="shared" si="9"/>
        <v/>
      </c>
      <c r="AG716" s="26"/>
      <c r="AH716" s="26"/>
      <c r="AI716" s="26"/>
    </row>
    <row r="717">
      <c r="A717" s="120" t="s">
        <v>11542</v>
      </c>
      <c r="B717" s="7" t="s">
        <v>143</v>
      </c>
      <c r="C717" s="95" t="s">
        <v>11543</v>
      </c>
      <c r="D717" s="96" t="s">
        <v>162</v>
      </c>
      <c r="E717" s="97" t="str">
        <f t="shared" si="2"/>
        <v/>
      </c>
      <c r="F717" s="97" t="str">
        <f t="shared" si="3"/>
        <v/>
      </c>
      <c r="G717" s="99" t="str">
        <f t="shared" si="77"/>
        <v/>
      </c>
      <c r="H717" s="100"/>
      <c r="I717" s="101"/>
      <c r="J717" s="102"/>
      <c r="K717" s="103"/>
      <c r="L717" s="97"/>
      <c r="M717" s="169"/>
      <c r="N717" s="105"/>
      <c r="O717" s="106"/>
      <c r="P717" s="13">
        <f t="array" ref="P717">XLOOKUP(B717,Weight!B:B,Weight!D:D,"#N/A",0)</f>
        <v>90</v>
      </c>
      <c r="Q717" s="17" t="str">
        <f t="shared" si="6"/>
        <v/>
      </c>
      <c r="R717" s="107"/>
      <c r="S717" s="108">
        <v>560313.0</v>
      </c>
      <c r="T717" s="108">
        <v>12.0</v>
      </c>
      <c r="U717" s="109">
        <v>40.0</v>
      </c>
      <c r="V717" s="110"/>
      <c r="X717" s="111">
        <f>SUMIFS('Transit Shipment'!$B$10:$B$1048462,'Transit Shipment'!$A$10:$A$1048462,B717,'Transit Shipment'!$C$10:$C$1048462,AA717)</f>
        <v>0</v>
      </c>
      <c r="Y717" s="111">
        <f>IF(SUMIFS(DIH!$S$2:$S833,DIH!$D$2:$D833,B717,DIH!$U$2:$U833,AA717)&gt;0,SUMIFS(DIH!$S$2:$S833,DIH!$D$2:$D833,B717,DIH!$U$2:$U833,AA717),0)</f>
        <v>19</v>
      </c>
      <c r="Z717" s="112">
        <f t="shared" si="7"/>
        <v>19</v>
      </c>
      <c r="AA717" s="119" t="s">
        <v>9</v>
      </c>
      <c r="AB717" s="114">
        <f>IF(ISNA(VLOOKUP($B717,'Business Report'!$D$2:$J$202,2,0)),"",VLOOKUP($B717,'Business Report'!$D$2:$J$202,2,0))</f>
        <v>143</v>
      </c>
      <c r="AC717" s="115">
        <f>SUMIFS(AFS!$P$2:$P$6260,AFS!$N$2:$N$6260,B717,AFS!$AT$2:$AT$6260,AA717)</f>
        <v>4</v>
      </c>
      <c r="AD717" s="116">
        <f t="shared" si="8"/>
        <v>-13</v>
      </c>
      <c r="AE717" s="117"/>
      <c r="AF717" s="118" t="str">
        <f t="shared" si="9"/>
        <v/>
      </c>
      <c r="AG717" s="4"/>
      <c r="AH717" s="26"/>
      <c r="AI717" s="26"/>
    </row>
    <row r="718">
      <c r="A718" s="120" t="s">
        <v>11542</v>
      </c>
      <c r="B718" s="7" t="s">
        <v>143</v>
      </c>
      <c r="C718" s="95" t="s">
        <v>11543</v>
      </c>
      <c r="D718" s="109" t="s">
        <v>162</v>
      </c>
      <c r="E718" s="97">
        <f t="shared" si="2"/>
        <v>1</v>
      </c>
      <c r="F718" s="97">
        <f t="shared" si="3"/>
        <v>0.5</v>
      </c>
      <c r="G718" s="99">
        <f t="shared" si="77"/>
        <v>4</v>
      </c>
      <c r="H718" s="121"/>
      <c r="I718" s="122"/>
      <c r="J718" s="123"/>
      <c r="K718" s="124"/>
      <c r="L718" s="125"/>
      <c r="M718" s="181"/>
      <c r="N718" s="126"/>
      <c r="O718" s="127"/>
      <c r="P718" s="13">
        <f t="array" ref="P718">XLOOKUP(B718,Weight!B:B,Weight!D:D,"#N/A",0)</f>
        <v>90</v>
      </c>
      <c r="Q718" s="17">
        <f t="shared" si="6"/>
        <v>360</v>
      </c>
      <c r="R718" s="107"/>
      <c r="S718" s="108">
        <v>560313.0</v>
      </c>
      <c r="T718" s="108">
        <v>12.0</v>
      </c>
      <c r="U718" s="109">
        <v>40.0</v>
      </c>
      <c r="V718" s="110"/>
      <c r="X718" s="111">
        <f>SUMIFS('Transit Shipment'!$B$10:$B$1048462,'Transit Shipment'!$A$10:$A$1048462,B718,'Transit Shipment'!$C$10:$C$1048462,AA718)</f>
        <v>0</v>
      </c>
      <c r="Y718" s="111">
        <f>IF(SUMIFS(DIH!$S$2:$S833,DIH!$D$2:$D833,B718,DIH!$U$2:$U833,AA718)&gt;0,SUMIFS(DIH!$S$2:$S833,DIH!$D$2:$D833,B718,DIH!$U$2:$U833,AA718),0)</f>
        <v>1</v>
      </c>
      <c r="Z718" s="112">
        <f t="shared" si="7"/>
        <v>1</v>
      </c>
      <c r="AA718" s="119" t="s">
        <v>155</v>
      </c>
      <c r="AB718" s="114">
        <f>IF(ISNA(VLOOKUP($B718,'Business Report'!$D$2:$J$202,2,0)),"",VLOOKUP($B718,'Business Report'!$D$2:$J$202,2,0))</f>
        <v>143</v>
      </c>
      <c r="AC718" s="115">
        <f>SUMIFS(AFS!$P$2:$P$6260,AFS!$N$2:$N$6260,B718,AFS!$AT$2:$AT$6260,AA718)</f>
        <v>3</v>
      </c>
      <c r="AD718" s="116">
        <f t="shared" si="8"/>
        <v>3</v>
      </c>
      <c r="AE718" s="117"/>
      <c r="AF718" s="118">
        <f t="shared" si="9"/>
        <v>4</v>
      </c>
      <c r="AG718" s="4"/>
      <c r="AH718" s="26"/>
      <c r="AI718" s="26"/>
    </row>
    <row r="719">
      <c r="A719" s="120" t="s">
        <v>11542</v>
      </c>
      <c r="B719" s="7" t="s">
        <v>143</v>
      </c>
      <c r="C719" s="95" t="s">
        <v>11543</v>
      </c>
      <c r="D719" s="109" t="s">
        <v>162</v>
      </c>
      <c r="E719" s="97">
        <f t="shared" si="2"/>
        <v>3</v>
      </c>
      <c r="F719" s="97">
        <f t="shared" si="3"/>
        <v>0.5</v>
      </c>
      <c r="G719" s="99">
        <f t="shared" si="77"/>
        <v>8</v>
      </c>
      <c r="H719" s="121"/>
      <c r="I719" s="122"/>
      <c r="J719" s="123"/>
      <c r="K719" s="124"/>
      <c r="L719" s="125"/>
      <c r="M719" s="181"/>
      <c r="N719" s="126"/>
      <c r="O719" s="127"/>
      <c r="P719" s="13">
        <f t="array" ref="P719">XLOOKUP(B719,Weight!B:B,Weight!D:D,"#N/A",0)</f>
        <v>90</v>
      </c>
      <c r="Q719" s="17">
        <f t="shared" si="6"/>
        <v>720</v>
      </c>
      <c r="R719" s="107"/>
      <c r="S719" s="108">
        <v>560313.0</v>
      </c>
      <c r="T719" s="108">
        <v>12.0</v>
      </c>
      <c r="U719" s="109">
        <v>40.0</v>
      </c>
      <c r="V719" s="110"/>
      <c r="X719" s="111">
        <f>SUMIFS('Transit Shipment'!$B$10:$B$1048462,'Transit Shipment'!$A$10:$A$1048462,B719,'Transit Shipment'!$C$10:$C$1048462,AA719)</f>
        <v>0</v>
      </c>
      <c r="Y719" s="111">
        <f>IF(SUMIFS(DIH!$S$2:$S833,DIH!$D$2:$D833,B719,DIH!$U$2:$U833,AA719)&gt;0,SUMIFS(DIH!$S$2:$S833,DIH!$D$2:$D833,B719,DIH!$U$2:$U833,AA719),0)</f>
        <v>0</v>
      </c>
      <c r="Z719" s="112">
        <f t="shared" si="7"/>
        <v>0</v>
      </c>
      <c r="AA719" s="119" t="s">
        <v>156</v>
      </c>
      <c r="AB719" s="114">
        <f>IF(ISNA(VLOOKUP($B719,'Business Report'!$D$2:$J$202,2,0)),"",VLOOKUP($B719,'Business Report'!$D$2:$J$202,2,0))</f>
        <v>143</v>
      </c>
      <c r="AC719" s="115">
        <f>SUMIFS(AFS!$P$2:$P$6260,AFS!$N$2:$N$6260,B719,AFS!$AT$2:$AT$6260,AA719)</f>
        <v>5</v>
      </c>
      <c r="AD719" s="116">
        <f t="shared" si="8"/>
        <v>7</v>
      </c>
      <c r="AE719" s="117"/>
      <c r="AF719" s="118">
        <f t="shared" si="9"/>
        <v>8</v>
      </c>
      <c r="AG719" s="4"/>
      <c r="AH719" s="26"/>
      <c r="AI719" s="26"/>
    </row>
    <row r="720">
      <c r="A720" s="120" t="s">
        <v>11542</v>
      </c>
      <c r="B720" s="7" t="s">
        <v>143</v>
      </c>
      <c r="C720" s="95" t="s">
        <v>11543</v>
      </c>
      <c r="D720" s="109" t="s">
        <v>162</v>
      </c>
      <c r="E720" s="97">
        <f t="shared" si="2"/>
        <v>1</v>
      </c>
      <c r="F720" s="97">
        <f t="shared" si="3"/>
        <v>0</v>
      </c>
      <c r="G720" s="99">
        <f t="shared" si="77"/>
        <v>2</v>
      </c>
      <c r="H720" s="121"/>
      <c r="I720" s="122"/>
      <c r="J720" s="123"/>
      <c r="K720" s="124"/>
      <c r="L720" s="125"/>
      <c r="M720" s="181"/>
      <c r="N720" s="126"/>
      <c r="O720" s="127"/>
      <c r="P720" s="13">
        <f t="array" ref="P720">XLOOKUP(B720,Weight!B:B,Weight!D:D,"#N/A",0)</f>
        <v>90</v>
      </c>
      <c r="Q720" s="17">
        <f t="shared" si="6"/>
        <v>180</v>
      </c>
      <c r="R720" s="107"/>
      <c r="S720" s="108">
        <v>560313.0</v>
      </c>
      <c r="T720" s="108">
        <v>12.0</v>
      </c>
      <c r="U720" s="109">
        <v>40.0</v>
      </c>
      <c r="V720" s="110"/>
      <c r="X720" s="111">
        <f>SUMIFS('Transit Shipment'!$B$10:$B$1048462,'Transit Shipment'!$A$10:$A$1048462,B720,'Transit Shipment'!$C$10:$C$1048462,AA720)</f>
        <v>0</v>
      </c>
      <c r="Y720" s="111">
        <f>IF(SUMIFS(DIH!$S$2:$S833,DIH!$D$2:$D833,B720,DIH!$U$2:$U833,AA720)&gt;0,SUMIFS(DIH!$S$2:$S833,DIH!$D$2:$D833,B720,DIH!$U$2:$U833,AA720),0)</f>
        <v>1</v>
      </c>
      <c r="Z720" s="112">
        <f t="shared" si="7"/>
        <v>1</v>
      </c>
      <c r="AA720" s="130" t="s">
        <v>13</v>
      </c>
      <c r="AB720" s="114">
        <f>IF(ISNA(VLOOKUP($B720,'Business Report'!$D$2:$J$202,2,0)),"",VLOOKUP($B720,'Business Report'!$D$2:$J$202,2,0))</f>
        <v>143</v>
      </c>
      <c r="AC720" s="115">
        <f>SUMIFS(AFS!$P$2:$P$6260,AFS!$N$2:$N$6260,B720,AFS!$AT$2:$AT$6260,AA720)</f>
        <v>2</v>
      </c>
      <c r="AD720" s="116">
        <f t="shared" si="8"/>
        <v>2</v>
      </c>
      <c r="AE720" s="117"/>
      <c r="AF720" s="118">
        <f t="shared" si="9"/>
        <v>2</v>
      </c>
      <c r="AG720" s="26"/>
      <c r="AH720" s="26"/>
      <c r="AI720" s="26"/>
    </row>
    <row r="721">
      <c r="A721" s="120" t="s">
        <v>11542</v>
      </c>
      <c r="B721" s="7" t="s">
        <v>143</v>
      </c>
      <c r="C721" s="95" t="s">
        <v>11543</v>
      </c>
      <c r="D721" s="109" t="s">
        <v>162</v>
      </c>
      <c r="E721" s="97">
        <f t="shared" si="2"/>
        <v>1</v>
      </c>
      <c r="F721" s="97">
        <f t="shared" si="3"/>
        <v>0</v>
      </c>
      <c r="G721" s="99">
        <f t="shared" si="77"/>
        <v>2</v>
      </c>
      <c r="H721" s="121"/>
      <c r="I721" s="122"/>
      <c r="J721" s="123"/>
      <c r="K721" s="124"/>
      <c r="L721" s="125"/>
      <c r="M721" s="181"/>
      <c r="N721" s="126"/>
      <c r="O721" s="127"/>
      <c r="P721" s="13">
        <f t="array" ref="P721">XLOOKUP(B721,Weight!B:B,Weight!D:D,"#N/A",0)</f>
        <v>90</v>
      </c>
      <c r="Q721" s="17">
        <f t="shared" si="6"/>
        <v>180</v>
      </c>
      <c r="R721" s="107"/>
      <c r="S721" s="108">
        <v>560313.0</v>
      </c>
      <c r="T721" s="108">
        <v>12.0</v>
      </c>
      <c r="U721" s="109">
        <v>40.0</v>
      </c>
      <c r="V721" s="110"/>
      <c r="X721" s="111">
        <f>SUMIFS('Transit Shipment'!$B$10:$B$1048462,'Transit Shipment'!$A$10:$A$1048462,B721,'Transit Shipment'!$C$10:$C$1048462,AA721)</f>
        <v>0</v>
      </c>
      <c r="Y721" s="111">
        <f>IF(SUMIFS(DIH!$S$2:$S833,DIH!$D$2:$D833,B721,DIH!$U$2:$U833,AA721)&gt;0,SUMIFS(DIH!$S$2:$S833,DIH!$D$2:$D833,B721,DIH!$U$2:$U833,AA721),0)</f>
        <v>4</v>
      </c>
      <c r="Z721" s="112">
        <f t="shared" si="7"/>
        <v>4</v>
      </c>
      <c r="AA721" s="119" t="s">
        <v>14</v>
      </c>
      <c r="AB721" s="114">
        <f>IF(ISNA(VLOOKUP($B721,'Business Report'!$D$2:$J$202,2,0)),"",VLOOKUP($B721,'Business Report'!$D$2:$J$202,2,0))</f>
        <v>143</v>
      </c>
      <c r="AC721" s="115">
        <f>SUMIFS(AFS!$P$2:$P$6260,AFS!$N$2:$N$6260,B721,AFS!$AT$2:$AT$6260,AA721)</f>
        <v>4</v>
      </c>
      <c r="AD721" s="116">
        <f t="shared" si="8"/>
        <v>2</v>
      </c>
      <c r="AE721" s="117"/>
      <c r="AF721" s="118">
        <f t="shared" si="9"/>
        <v>2</v>
      </c>
      <c r="AG721" s="26"/>
      <c r="AH721" s="26"/>
      <c r="AI721" s="26"/>
    </row>
    <row r="722">
      <c r="A722" s="120" t="s">
        <v>11542</v>
      </c>
      <c r="B722" s="7" t="s">
        <v>143</v>
      </c>
      <c r="C722" s="95" t="s">
        <v>11543</v>
      </c>
      <c r="D722" s="109" t="s">
        <v>162</v>
      </c>
      <c r="E722" s="97">
        <f t="shared" si="2"/>
        <v>1</v>
      </c>
      <c r="F722" s="97">
        <f t="shared" si="3"/>
        <v>0.5</v>
      </c>
      <c r="G722" s="99">
        <f t="shared" si="77"/>
        <v>4</v>
      </c>
      <c r="H722" s="121"/>
      <c r="I722" s="122"/>
      <c r="J722" s="123"/>
      <c r="K722" s="124"/>
      <c r="L722" s="125"/>
      <c r="M722" s="181"/>
      <c r="N722" s="126"/>
      <c r="O722" s="127"/>
      <c r="P722" s="13">
        <f t="array" ref="P722">XLOOKUP(B722,Weight!B:B,Weight!D:D,"#N/A",0)</f>
        <v>90</v>
      </c>
      <c r="Q722" s="17">
        <f t="shared" si="6"/>
        <v>360</v>
      </c>
      <c r="R722" s="107"/>
      <c r="S722" s="108">
        <v>560313.0</v>
      </c>
      <c r="T722" s="108">
        <v>12.0</v>
      </c>
      <c r="U722" s="109">
        <v>40.0</v>
      </c>
      <c r="V722" s="110"/>
      <c r="X722" s="111">
        <f>SUMIFS('Transit Shipment'!$B$10:$B$1048462,'Transit Shipment'!$A$10:$A$1048462,B722,'Transit Shipment'!$C$10:$C$1048462,AA722)</f>
        <v>0</v>
      </c>
      <c r="Y722" s="111">
        <f>IF(SUMIFS(DIH!$S$2:$S833,DIH!$D$2:$D833,B722,DIH!$U$2:$U833,AA722)&gt;0,SUMIFS(DIH!$S$2:$S833,DIH!$D$2:$D833,B722,DIH!$U$2:$U833,AA722),0)</f>
        <v>0</v>
      </c>
      <c r="Z722" s="112">
        <f t="shared" si="7"/>
        <v>0</v>
      </c>
      <c r="AA722" s="131" t="s">
        <v>16</v>
      </c>
      <c r="AB722" s="114">
        <f>IF(ISNA(VLOOKUP($B722,'Business Report'!$D$2:$J$202,2,0)),"",VLOOKUP($B722,'Business Report'!$D$2:$J$202,2,0))</f>
        <v>143</v>
      </c>
      <c r="AC722" s="115">
        <f>SUMIFS(AFS!$P$2:$P$6260,AFS!$N$2:$N$6260,B722,AFS!$AT$2:$AT$6260,AA722)</f>
        <v>2</v>
      </c>
      <c r="AD722" s="116">
        <f t="shared" si="8"/>
        <v>3</v>
      </c>
      <c r="AE722" s="117"/>
      <c r="AF722" s="118">
        <f t="shared" si="9"/>
        <v>4</v>
      </c>
      <c r="AG722" s="26"/>
      <c r="AH722" s="26"/>
      <c r="AI722" s="26"/>
    </row>
    <row r="723">
      <c r="A723" s="296" t="s">
        <v>11542</v>
      </c>
      <c r="B723" s="7" t="s">
        <v>143</v>
      </c>
      <c r="C723" s="95" t="s">
        <v>11543</v>
      </c>
      <c r="D723" s="134" t="s">
        <v>162</v>
      </c>
      <c r="E723" s="135">
        <f t="shared" si="2"/>
        <v>3</v>
      </c>
      <c r="F723" s="135">
        <f t="shared" si="3"/>
        <v>0</v>
      </c>
      <c r="G723" s="136">
        <f t="shared" si="77"/>
        <v>6</v>
      </c>
      <c r="H723" s="137"/>
      <c r="I723" s="138"/>
      <c r="J723" s="139"/>
      <c r="K723" s="140"/>
      <c r="L723" s="135"/>
      <c r="M723" s="152"/>
      <c r="N723" s="142"/>
      <c r="O723" s="143"/>
      <c r="P723" s="144">
        <f t="array" ref="P723">XLOOKUP(B723,Weight!B:B,Weight!D:D,"#N/A",0)</f>
        <v>90</v>
      </c>
      <c r="Q723" s="145">
        <f t="shared" si="6"/>
        <v>540</v>
      </c>
      <c r="R723" s="146"/>
      <c r="S723" s="147">
        <v>560313.0</v>
      </c>
      <c r="T723" s="147">
        <v>12.0</v>
      </c>
      <c r="U723" s="109">
        <v>40.0</v>
      </c>
      <c r="V723" s="148"/>
      <c r="W723" s="149"/>
      <c r="X723" s="150">
        <f>SUMIFS('Transit Shipment'!$B$10:$B$1048462,'Transit Shipment'!$A$10:$A$1048462,B723,'Transit Shipment'!$C$10:$C$1048462,AA723)</f>
        <v>0</v>
      </c>
      <c r="Y723" s="150">
        <f>IF(SUMIFS(DIH!$S$2:$S833,DIH!$D$2:$D833,B723,DIH!$U$2:$U833,AA723)&gt;0,SUMIFS(DIH!$S$2:$S833,DIH!$D$2:$D833,B723,DIH!$U$2:$U833,AA723),0)</f>
        <v>0</v>
      </c>
      <c r="Z723" s="151">
        <f t="shared" si="7"/>
        <v>0</v>
      </c>
      <c r="AA723" s="152" t="s">
        <v>17</v>
      </c>
      <c r="AB723" s="154">
        <f>IF(ISNA(VLOOKUP($B723,'Business Report'!$D$2:$J$202,2,0)),"",VLOOKUP($B723,'Business Report'!$D$2:$J$202,2,0))</f>
        <v>143</v>
      </c>
      <c r="AC723" s="155">
        <f>SUMIFS(AFS!$P$2:$P$6260,AFS!$N$2:$N$6260,B723,AFS!$AT$2:$AT$6260,AA723)</f>
        <v>4</v>
      </c>
      <c r="AD723" s="156">
        <f t="shared" si="8"/>
        <v>6</v>
      </c>
      <c r="AE723" s="159">
        <f>SUM(AD715:AD723)</f>
        <v>7</v>
      </c>
      <c r="AF723" s="118">
        <f t="shared" si="9"/>
        <v>6</v>
      </c>
      <c r="AG723" s="26"/>
      <c r="AH723" s="26"/>
      <c r="AI723" s="26"/>
    </row>
    <row r="724">
      <c r="A724" s="120" t="s">
        <v>11688</v>
      </c>
      <c r="B724" s="129" t="s">
        <v>144</v>
      </c>
      <c r="C724" s="67" t="s">
        <v>11689</v>
      </c>
      <c r="D724" s="109" t="s">
        <v>177</v>
      </c>
      <c r="E724" s="69">
        <f t="shared" si="2"/>
        <v>5</v>
      </c>
      <c r="F724" s="69">
        <f t="shared" si="3"/>
        <v>0.5</v>
      </c>
      <c r="G724" s="70">
        <f t="shared" si="77"/>
        <v>12</v>
      </c>
      <c r="H724" s="163"/>
      <c r="I724" s="101"/>
      <c r="J724" s="102"/>
      <c r="K724" s="167"/>
      <c r="L724" s="119"/>
      <c r="M724" s="169"/>
      <c r="N724" s="171"/>
      <c r="O724" s="106"/>
      <c r="P724" s="79">
        <f t="array" ref="P724">XLOOKUP(B724,Weight!B:B,Weight!D:D,"#N/A",0)</f>
        <v>750</v>
      </c>
      <c r="Q724" s="80">
        <f t="shared" si="6"/>
        <v>9000</v>
      </c>
      <c r="R724" s="107"/>
      <c r="S724" s="108">
        <v>420222.0</v>
      </c>
      <c r="T724" s="108">
        <v>18.0</v>
      </c>
      <c r="U724" s="83">
        <v>300.0</v>
      </c>
      <c r="V724" s="84" t="str">
        <f t="shared" ref="V724:W724" si="113">B724</f>
        <v>CRM-Cube1-Grey-Pack5</v>
      </c>
      <c r="W724" s="174" t="str">
        <f t="shared" si="113"/>
        <v>Crasome Packing Cubes for Travel, Travel Organizer for Men &amp; Women, Travel Storage Bag, Travel Organizer, Packing Bag for Clothes (Grey-5)</v>
      </c>
      <c r="X724" s="86">
        <f>SUMIFS('Transit Shipment'!$B$10:$B$1048462,'Transit Shipment'!$A$10:$A$1048462,B724,'Transit Shipment'!$C$10:$C$1048462,AA724)</f>
        <v>0</v>
      </c>
      <c r="Y724" s="86">
        <f>IF(SUMIFS(DIH!$S$2:$S833,DIH!$D$2:$D833,B724,DIH!$U$2:$U833,AA724)&gt;0,SUMIFS(DIH!$S$2:$S833,DIH!$D$2:$D833,B724,DIH!$U$2:$U833,AA724),0)</f>
        <v>9</v>
      </c>
      <c r="Z724" s="87">
        <f t="shared" si="7"/>
        <v>9</v>
      </c>
      <c r="AA724" s="88" t="s">
        <v>5</v>
      </c>
      <c r="AB724" s="89">
        <f>IF(ISNA(VLOOKUP($B724,'Business Report'!$D$2:$J$202,2,0)),"",VLOOKUP($B724,'Business Report'!$D$2:$J$202,2,0))</f>
        <v>97</v>
      </c>
      <c r="AC724" s="90">
        <f>SUMIFS(AFS!$P$2:$P$6260,AFS!$N$2:$N$6260,B724,AFS!$AT$2:$AT$6260,AA724)</f>
        <v>15</v>
      </c>
      <c r="AD724" s="91">
        <f t="shared" si="8"/>
        <v>11</v>
      </c>
      <c r="AE724" s="92"/>
      <c r="AF724" s="93">
        <f t="shared" si="9"/>
        <v>12</v>
      </c>
      <c r="AG724" s="26"/>
      <c r="AH724" s="26"/>
      <c r="AI724" s="26"/>
    </row>
    <row r="725">
      <c r="A725" s="120" t="s">
        <v>11688</v>
      </c>
      <c r="B725" s="7" t="s">
        <v>144</v>
      </c>
      <c r="C725" s="95" t="s">
        <v>11689</v>
      </c>
      <c r="D725" s="109" t="s">
        <v>177</v>
      </c>
      <c r="E725" s="97" t="str">
        <f t="shared" si="2"/>
        <v/>
      </c>
      <c r="F725" s="97" t="str">
        <f t="shared" si="3"/>
        <v/>
      </c>
      <c r="G725" s="99" t="str">
        <f t="shared" si="77"/>
        <v/>
      </c>
      <c r="H725" s="100"/>
      <c r="I725" s="101"/>
      <c r="J725" s="102"/>
      <c r="K725" s="103"/>
      <c r="L725" s="97"/>
      <c r="M725" s="169"/>
      <c r="N725" s="105"/>
      <c r="O725" s="106"/>
      <c r="P725" s="13">
        <f t="array" ref="P725">XLOOKUP(B725,Weight!B:B,Weight!D:D,"#N/A",0)</f>
        <v>750</v>
      </c>
      <c r="Q725" s="17" t="str">
        <f t="shared" si="6"/>
        <v/>
      </c>
      <c r="R725" s="107"/>
      <c r="S725" s="108">
        <v>420222.0</v>
      </c>
      <c r="T725" s="108">
        <v>18.0</v>
      </c>
      <c r="U725" s="109">
        <v>300.0</v>
      </c>
      <c r="V725" s="110"/>
      <c r="X725" s="111">
        <f>SUMIFS('Transit Shipment'!$B$10:$B$1048462,'Transit Shipment'!$A$10:$A$1048462,B725,'Transit Shipment'!$C$10:$C$1048462,AA725)</f>
        <v>0</v>
      </c>
      <c r="Y725" s="111">
        <f>IF(SUMIFS(DIH!$S$2:$S833,DIH!$D$2:$D833,B725,DIH!$U$2:$U833,AA725)&gt;0,SUMIFS(DIH!$S$2:$S833,DIH!$D$2:$D833,B725,DIH!$U$2:$U833,AA725),0)</f>
        <v>44</v>
      </c>
      <c r="Z725" s="112">
        <f t="shared" si="7"/>
        <v>44</v>
      </c>
      <c r="AA725" s="113" t="s">
        <v>11</v>
      </c>
      <c r="AB725" s="114">
        <f>IF(ISNA(VLOOKUP($B725,'Business Report'!$D$2:$J$202,2,0)),"",VLOOKUP($B725,'Business Report'!$D$2:$J$202,2,0))</f>
        <v>97</v>
      </c>
      <c r="AC725" s="115">
        <f>SUMIFS(AFS!$P$2:$P$6260,AFS!$N$2:$N$6260,B725,AFS!$AT$2:$AT$6260,AA725)</f>
        <v>16</v>
      </c>
      <c r="AD725" s="116">
        <f t="shared" si="8"/>
        <v>-22</v>
      </c>
      <c r="AE725" s="117"/>
      <c r="AF725" s="118" t="str">
        <f t="shared" si="9"/>
        <v/>
      </c>
      <c r="AG725" s="26"/>
      <c r="AH725" s="26"/>
      <c r="AI725" s="26"/>
    </row>
    <row r="726">
      <c r="A726" s="120" t="s">
        <v>11688</v>
      </c>
      <c r="B726" s="7" t="s">
        <v>144</v>
      </c>
      <c r="C726" s="95" t="s">
        <v>11689</v>
      </c>
      <c r="D726" s="109" t="s">
        <v>177</v>
      </c>
      <c r="E726" s="97">
        <f t="shared" si="2"/>
        <v>13</v>
      </c>
      <c r="F726" s="97">
        <f t="shared" si="3"/>
        <v>0.5</v>
      </c>
      <c r="G726" s="99">
        <f t="shared" si="77"/>
        <v>28</v>
      </c>
      <c r="H726" s="100"/>
      <c r="I726" s="101"/>
      <c r="J726" s="102"/>
      <c r="K726" s="103"/>
      <c r="L726" s="97"/>
      <c r="M726" s="169"/>
      <c r="N726" s="105"/>
      <c r="O726" s="106"/>
      <c r="P726" s="13">
        <f t="array" ref="P726">XLOOKUP(B726,Weight!B:B,Weight!D:D,"#N/A",0)</f>
        <v>750</v>
      </c>
      <c r="Q726" s="17">
        <f t="shared" si="6"/>
        <v>21000</v>
      </c>
      <c r="R726" s="107"/>
      <c r="S726" s="108">
        <v>420222.0</v>
      </c>
      <c r="T726" s="108">
        <v>18.0</v>
      </c>
      <c r="U726" s="109">
        <v>300.0</v>
      </c>
      <c r="V726" s="110"/>
      <c r="X726" s="111">
        <f>SUMIFS('Transit Shipment'!$B$10:$B$1048462,'Transit Shipment'!$A$10:$A$1048462,B726,'Transit Shipment'!$C$10:$C$1048462,AA726)</f>
        <v>0</v>
      </c>
      <c r="Y726" s="111">
        <f>IF(SUMIFS(DIH!$S$2:$S833,DIH!$D$2:$D833,B726,DIH!$U$2:$U833,AA726)&gt;0,SUMIFS(DIH!$S$2:$S833,DIH!$D$2:$D833,B726,DIH!$U$2:$U833,AA726),0)</f>
        <v>8</v>
      </c>
      <c r="Z726" s="112">
        <f t="shared" si="7"/>
        <v>8</v>
      </c>
      <c r="AA726" s="119" t="s">
        <v>9</v>
      </c>
      <c r="AB726" s="114">
        <f>IF(ISNA(VLOOKUP($B726,'Business Report'!$D$2:$J$202,2,0)),"",VLOOKUP($B726,'Business Report'!$D$2:$J$202,2,0))</f>
        <v>97</v>
      </c>
      <c r="AC726" s="115">
        <f>SUMIFS(AFS!$P$2:$P$6260,AFS!$N$2:$N$6260,B726,AFS!$AT$2:$AT$6260,AA726)</f>
        <v>26</v>
      </c>
      <c r="AD726" s="116">
        <f t="shared" si="8"/>
        <v>27</v>
      </c>
      <c r="AE726" s="117"/>
      <c r="AF726" s="118">
        <f t="shared" si="9"/>
        <v>28</v>
      </c>
      <c r="AG726" s="26"/>
      <c r="AH726" s="26"/>
      <c r="AI726" s="26"/>
    </row>
    <row r="727">
      <c r="A727" s="120" t="s">
        <v>11688</v>
      </c>
      <c r="B727" s="7" t="s">
        <v>144</v>
      </c>
      <c r="C727" s="95" t="s">
        <v>11689</v>
      </c>
      <c r="D727" s="109" t="s">
        <v>177</v>
      </c>
      <c r="E727" s="97">
        <f t="shared" si="2"/>
        <v>0</v>
      </c>
      <c r="F727" s="97">
        <f t="shared" si="3"/>
        <v>0.5</v>
      </c>
      <c r="G727" s="99">
        <f t="shared" si="77"/>
        <v>2</v>
      </c>
      <c r="H727" s="121"/>
      <c r="I727" s="122"/>
      <c r="J727" s="123"/>
      <c r="K727" s="124"/>
      <c r="L727" s="125"/>
      <c r="M727" s="181"/>
      <c r="N727" s="126"/>
      <c r="O727" s="127"/>
      <c r="P727" s="13">
        <f t="array" ref="P727">XLOOKUP(B727,Weight!B:B,Weight!D:D,"#N/A",0)</f>
        <v>750</v>
      </c>
      <c r="Q727" s="17">
        <f t="shared" si="6"/>
        <v>1500</v>
      </c>
      <c r="R727" s="107"/>
      <c r="S727" s="108">
        <v>420222.0</v>
      </c>
      <c r="T727" s="108">
        <v>18.0</v>
      </c>
      <c r="U727" s="109">
        <v>300.0</v>
      </c>
      <c r="V727" s="110"/>
      <c r="X727" s="111">
        <f>SUMIFS('Transit Shipment'!$B$10:$B$1048462,'Transit Shipment'!$A$10:$A$1048462,B727,'Transit Shipment'!$C$10:$C$1048462,AA727)</f>
        <v>0</v>
      </c>
      <c r="Y727" s="111">
        <f>IF(SUMIFS(DIH!$S$2:$S833,DIH!$D$2:$D833,B727,DIH!$U$2:$U833,AA727)&gt;0,SUMIFS(DIH!$S$2:$S833,DIH!$D$2:$D833,B727,DIH!$U$2:$U833,AA727),0)</f>
        <v>10</v>
      </c>
      <c r="Z727" s="112">
        <f t="shared" si="7"/>
        <v>10</v>
      </c>
      <c r="AA727" s="119" t="s">
        <v>155</v>
      </c>
      <c r="AB727" s="114">
        <f>IF(ISNA(VLOOKUP($B727,'Business Report'!$D$2:$J$202,2,0)),"",VLOOKUP($B727,'Business Report'!$D$2:$J$202,2,0))</f>
        <v>97</v>
      </c>
      <c r="AC727" s="115">
        <f>SUMIFS(AFS!$P$2:$P$6260,AFS!$N$2:$N$6260,B727,AFS!$AT$2:$AT$6260,AA727)</f>
        <v>8</v>
      </c>
      <c r="AD727" s="116">
        <f t="shared" si="8"/>
        <v>1</v>
      </c>
      <c r="AE727" s="117"/>
      <c r="AF727" s="118">
        <f t="shared" si="9"/>
        <v>2</v>
      </c>
      <c r="AG727" s="26"/>
      <c r="AH727" s="26"/>
      <c r="AI727" s="26"/>
    </row>
    <row r="728">
      <c r="A728" s="120" t="s">
        <v>11688</v>
      </c>
      <c r="B728" s="7" t="s">
        <v>144</v>
      </c>
      <c r="C728" s="95" t="s">
        <v>11689</v>
      </c>
      <c r="D728" s="109" t="s">
        <v>177</v>
      </c>
      <c r="E728" s="97">
        <f t="shared" si="2"/>
        <v>8</v>
      </c>
      <c r="F728" s="97">
        <f t="shared" si="3"/>
        <v>0.5</v>
      </c>
      <c r="G728" s="99">
        <f t="shared" si="77"/>
        <v>18</v>
      </c>
      <c r="H728" s="121"/>
      <c r="I728" s="122"/>
      <c r="J728" s="123"/>
      <c r="K728" s="124"/>
      <c r="L728" s="125"/>
      <c r="M728" s="181"/>
      <c r="N728" s="126"/>
      <c r="O728" s="127"/>
      <c r="P728" s="13">
        <f t="array" ref="P728">XLOOKUP(B728,Weight!B:B,Weight!D:D,"#N/A",0)</f>
        <v>750</v>
      </c>
      <c r="Q728" s="17">
        <f t="shared" si="6"/>
        <v>13500</v>
      </c>
      <c r="R728" s="107"/>
      <c r="S728" s="108">
        <v>420222.0</v>
      </c>
      <c r="T728" s="108">
        <v>18.0</v>
      </c>
      <c r="U728" s="109">
        <v>300.0</v>
      </c>
      <c r="V728" s="110"/>
      <c r="X728" s="111">
        <f>SUMIFS('Transit Shipment'!$B$10:$B$1048462,'Transit Shipment'!$A$10:$A$1048462,B728,'Transit Shipment'!$C$10:$C$1048462,AA728)</f>
        <v>0</v>
      </c>
      <c r="Y728" s="111">
        <f>IF(SUMIFS(DIH!$S$2:$S833,DIH!$D$2:$D833,B728,DIH!$U$2:$U833,AA728)&gt;0,SUMIFS(DIH!$S$2:$S833,DIH!$D$2:$D833,B728,DIH!$U$2:$U833,AA728),0)</f>
        <v>11</v>
      </c>
      <c r="Z728" s="112">
        <f t="shared" si="7"/>
        <v>11</v>
      </c>
      <c r="AA728" s="119" t="s">
        <v>156</v>
      </c>
      <c r="AB728" s="114">
        <f>IF(ISNA(VLOOKUP($B728,'Business Report'!$D$2:$J$202,2,0)),"",VLOOKUP($B728,'Business Report'!$D$2:$J$202,2,0))</f>
        <v>97</v>
      </c>
      <c r="AC728" s="115">
        <f>SUMIFS(AFS!$P$2:$P$6260,AFS!$N$2:$N$6260,B728,AFS!$AT$2:$AT$6260,AA728)</f>
        <v>21</v>
      </c>
      <c r="AD728" s="116">
        <f t="shared" si="8"/>
        <v>17</v>
      </c>
      <c r="AE728" s="117"/>
      <c r="AF728" s="118">
        <f t="shared" si="9"/>
        <v>18</v>
      </c>
      <c r="AG728" s="26"/>
      <c r="AH728" s="26"/>
      <c r="AI728" s="26"/>
    </row>
    <row r="729">
      <c r="A729" s="120" t="s">
        <v>11688</v>
      </c>
      <c r="B729" s="7" t="s">
        <v>144</v>
      </c>
      <c r="C729" s="95" t="s">
        <v>11689</v>
      </c>
      <c r="D729" s="109" t="s">
        <v>177</v>
      </c>
      <c r="E729" s="97">
        <f t="shared" si="2"/>
        <v>2</v>
      </c>
      <c r="F729" s="97">
        <f t="shared" si="3"/>
        <v>0</v>
      </c>
      <c r="G729" s="99">
        <f t="shared" si="77"/>
        <v>4</v>
      </c>
      <c r="H729" s="121"/>
      <c r="I729" s="122"/>
      <c r="J729" s="123"/>
      <c r="K729" s="124"/>
      <c r="L729" s="125"/>
      <c r="M729" s="181"/>
      <c r="N729" s="126"/>
      <c r="O729" s="127"/>
      <c r="P729" s="13">
        <f t="array" ref="P729">XLOOKUP(B729,Weight!B:B,Weight!D:D,"#N/A",0)</f>
        <v>750</v>
      </c>
      <c r="Q729" s="17">
        <f t="shared" si="6"/>
        <v>3000</v>
      </c>
      <c r="R729" s="107"/>
      <c r="S729" s="108">
        <v>420222.0</v>
      </c>
      <c r="T729" s="108">
        <v>18.0</v>
      </c>
      <c r="U729" s="109">
        <v>300.0</v>
      </c>
      <c r="V729" s="110"/>
      <c r="X729" s="111">
        <f>SUMIFS('Transit Shipment'!$B$10:$B$1048462,'Transit Shipment'!$A$10:$A$1048462,B729,'Transit Shipment'!$C$10:$C$1048462,AA729)</f>
        <v>0</v>
      </c>
      <c r="Y729" s="111">
        <f>IF(SUMIFS(DIH!$S$2:$S833,DIH!$D$2:$D833,B729,DIH!$U$2:$U833,AA729)&gt;0,SUMIFS(DIH!$S$2:$S833,DIH!$D$2:$D833,B729,DIH!$U$2:$U833,AA729),0)</f>
        <v>7</v>
      </c>
      <c r="Z729" s="112">
        <f t="shared" si="7"/>
        <v>7</v>
      </c>
      <c r="AA729" s="130" t="s">
        <v>13</v>
      </c>
      <c r="AB729" s="114">
        <f>IF(ISNA(VLOOKUP($B729,'Business Report'!$D$2:$J$202,2,0)),"",VLOOKUP($B729,'Business Report'!$D$2:$J$202,2,0))</f>
        <v>97</v>
      </c>
      <c r="AC729" s="115">
        <f>SUMIFS(AFS!$P$2:$P$6260,AFS!$N$2:$N$6260,B729,AFS!$AT$2:$AT$6260,AA729)</f>
        <v>8</v>
      </c>
      <c r="AD729" s="116">
        <f t="shared" si="8"/>
        <v>4</v>
      </c>
      <c r="AE729" s="117"/>
      <c r="AF729" s="118">
        <f t="shared" si="9"/>
        <v>4</v>
      </c>
      <c r="AG729" s="26"/>
      <c r="AH729" s="26"/>
      <c r="AI729" s="26"/>
    </row>
    <row r="730">
      <c r="A730" s="120" t="s">
        <v>11688</v>
      </c>
      <c r="B730" s="7" t="s">
        <v>144</v>
      </c>
      <c r="C730" s="95" t="s">
        <v>11689</v>
      </c>
      <c r="D730" s="109" t="s">
        <v>177</v>
      </c>
      <c r="E730" s="97">
        <f t="shared" si="2"/>
        <v>11</v>
      </c>
      <c r="F730" s="97">
        <f t="shared" si="3"/>
        <v>0.5</v>
      </c>
      <c r="G730" s="99">
        <f t="shared" si="77"/>
        <v>24</v>
      </c>
      <c r="H730" s="121"/>
      <c r="I730" s="122"/>
      <c r="J730" s="123"/>
      <c r="K730" s="124"/>
      <c r="L730" s="125"/>
      <c r="M730" s="181"/>
      <c r="N730" s="126"/>
      <c r="O730" s="127"/>
      <c r="P730" s="13">
        <f t="array" ref="P730">XLOOKUP(B730,Weight!B:B,Weight!D:D,"#N/A",0)</f>
        <v>750</v>
      </c>
      <c r="Q730" s="17">
        <f t="shared" si="6"/>
        <v>18000</v>
      </c>
      <c r="R730" s="107"/>
      <c r="S730" s="108">
        <v>420222.0</v>
      </c>
      <c r="T730" s="108">
        <v>18.0</v>
      </c>
      <c r="U730" s="109">
        <v>300.0</v>
      </c>
      <c r="V730" s="110"/>
      <c r="X730" s="111">
        <f>SUMIFS('Transit Shipment'!$B$10:$B$1048462,'Transit Shipment'!$A$10:$A$1048462,B730,'Transit Shipment'!$C$10:$C$1048462,AA730)</f>
        <v>0</v>
      </c>
      <c r="Y730" s="111">
        <f>IF(SUMIFS(DIH!$S$2:$S833,DIH!$D$2:$D833,B730,DIH!$U$2:$U833,AA730)&gt;0,SUMIFS(DIH!$S$2:$S833,DIH!$D$2:$D833,B730,DIH!$U$2:$U833,AA730),0)</f>
        <v>0</v>
      </c>
      <c r="Z730" s="112">
        <f t="shared" si="7"/>
        <v>0</v>
      </c>
      <c r="AA730" s="119" t="s">
        <v>14</v>
      </c>
      <c r="AB730" s="114">
        <f>IF(ISNA(VLOOKUP($B730,'Business Report'!$D$2:$J$202,2,0)),"",VLOOKUP($B730,'Business Report'!$D$2:$J$202,2,0))</f>
        <v>97</v>
      </c>
      <c r="AC730" s="115">
        <f>SUMIFS(AFS!$P$2:$P$6260,AFS!$N$2:$N$6260,B730,AFS!$AT$2:$AT$6260,AA730)</f>
        <v>17</v>
      </c>
      <c r="AD730" s="116">
        <f t="shared" si="8"/>
        <v>23</v>
      </c>
      <c r="AE730" s="117"/>
      <c r="AF730" s="118">
        <f t="shared" si="9"/>
        <v>24</v>
      </c>
      <c r="AG730" s="26"/>
      <c r="AH730" s="26"/>
      <c r="AI730" s="26"/>
    </row>
    <row r="731">
      <c r="A731" s="120" t="s">
        <v>11688</v>
      </c>
      <c r="B731" s="7" t="s">
        <v>144</v>
      </c>
      <c r="C731" s="95" t="s">
        <v>11689</v>
      </c>
      <c r="D731" s="109" t="s">
        <v>177</v>
      </c>
      <c r="E731" s="97" t="str">
        <f t="shared" si="2"/>
        <v/>
      </c>
      <c r="F731" s="97" t="str">
        <f t="shared" si="3"/>
        <v/>
      </c>
      <c r="G731" s="99" t="str">
        <f t="shared" si="77"/>
        <v/>
      </c>
      <c r="H731" s="121"/>
      <c r="I731" s="122"/>
      <c r="J731" s="123"/>
      <c r="K731" s="124"/>
      <c r="L731" s="125"/>
      <c r="M731" s="181"/>
      <c r="N731" s="126"/>
      <c r="O731" s="127"/>
      <c r="P731" s="13">
        <f t="array" ref="P731">XLOOKUP(B731,Weight!B:B,Weight!D:D,"#N/A",0)</f>
        <v>750</v>
      </c>
      <c r="Q731" s="17" t="str">
        <f t="shared" si="6"/>
        <v/>
      </c>
      <c r="R731" s="107"/>
      <c r="S731" s="108">
        <v>420222.0</v>
      </c>
      <c r="T731" s="108">
        <v>18.0</v>
      </c>
      <c r="U731" s="109">
        <v>300.0</v>
      </c>
      <c r="V731" s="110"/>
      <c r="X731" s="111">
        <f>SUMIFS('Transit Shipment'!$B$10:$B$1048462,'Transit Shipment'!$A$10:$A$1048462,B731,'Transit Shipment'!$C$10:$C$1048462,AA731)</f>
        <v>0</v>
      </c>
      <c r="Y731" s="111">
        <f>IF(SUMIFS(DIH!$S$2:$S833,DIH!$D$2:$D833,B731,DIH!$U$2:$U833,AA731)&gt;0,SUMIFS(DIH!$S$2:$S833,DIH!$D$2:$D833,B731,DIH!$U$2:$U833,AA731),0)</f>
        <v>32</v>
      </c>
      <c r="Z731" s="112">
        <f t="shared" si="7"/>
        <v>32</v>
      </c>
      <c r="AA731" s="131" t="s">
        <v>16</v>
      </c>
      <c r="AB731" s="114">
        <f>IF(ISNA(VLOOKUP($B731,'Business Report'!$D$2:$J$202,2,0)),"",VLOOKUP($B731,'Business Report'!$D$2:$J$202,2,0))</f>
        <v>97</v>
      </c>
      <c r="AC731" s="115">
        <f>SUMIFS(AFS!$P$2:$P$6260,AFS!$N$2:$N$6260,B731,AFS!$AT$2:$AT$6260,AA731)</f>
        <v>21</v>
      </c>
      <c r="AD731" s="116">
        <f t="shared" si="8"/>
        <v>-4</v>
      </c>
      <c r="AE731" s="117"/>
      <c r="AF731" s="118" t="str">
        <f t="shared" si="9"/>
        <v/>
      </c>
      <c r="AG731" s="26"/>
      <c r="AH731" s="26"/>
      <c r="AI731" s="26"/>
    </row>
    <row r="732">
      <c r="A732" s="296" t="s">
        <v>11688</v>
      </c>
      <c r="B732" s="128" t="s">
        <v>144</v>
      </c>
      <c r="C732" s="133" t="s">
        <v>11689</v>
      </c>
      <c r="D732" s="292" t="s">
        <v>177</v>
      </c>
      <c r="E732" s="135">
        <f t="shared" si="2"/>
        <v>1</v>
      </c>
      <c r="F732" s="135">
        <f t="shared" si="3"/>
        <v>0.5</v>
      </c>
      <c r="G732" s="136">
        <f t="shared" si="77"/>
        <v>4</v>
      </c>
      <c r="H732" s="137"/>
      <c r="I732" s="138"/>
      <c r="J732" s="139"/>
      <c r="K732" s="140"/>
      <c r="L732" s="135"/>
      <c r="M732" s="152"/>
      <c r="N732" s="142"/>
      <c r="O732" s="143"/>
      <c r="P732" s="144">
        <f t="array" ref="P732">XLOOKUP(B732,Weight!B:B,Weight!D:D,"#N/A",0)</f>
        <v>750</v>
      </c>
      <c r="Q732" s="145">
        <f t="shared" si="6"/>
        <v>3000</v>
      </c>
      <c r="R732" s="146"/>
      <c r="S732" s="147">
        <v>420222.0</v>
      </c>
      <c r="T732" s="147">
        <v>18.0</v>
      </c>
      <c r="U732" s="109">
        <v>300.0</v>
      </c>
      <c r="V732" s="148"/>
      <c r="W732" s="149"/>
      <c r="X732" s="150">
        <f>SUMIFS('Transit Shipment'!$B$10:$B$1048462,'Transit Shipment'!$A$10:$A$1048462,B732,'Transit Shipment'!$C$10:$C$1048462,AA732)</f>
        <v>0</v>
      </c>
      <c r="Y732" s="150">
        <f>IF(SUMIFS(DIH!$S$2:$S833,DIH!$D$2:$D833,B732,DIH!$U$2:$U833,AA732)&gt;0,SUMIFS(DIH!$S$2:$S833,DIH!$D$2:$D833,B732,DIH!$U$2:$U833,AA732),0)</f>
        <v>4</v>
      </c>
      <c r="Z732" s="151">
        <f t="shared" si="7"/>
        <v>4</v>
      </c>
      <c r="AA732" s="152" t="s">
        <v>17</v>
      </c>
      <c r="AB732" s="154">
        <f>IF(ISNA(VLOOKUP($B732,'Business Report'!$D$2:$J$202,2,0)),"",VLOOKUP($B732,'Business Report'!$D$2:$J$202,2,0))</f>
        <v>97</v>
      </c>
      <c r="AC732" s="155">
        <f>SUMIFS(AFS!$P$2:$P$6260,AFS!$N$2:$N$6260,B732,AFS!$AT$2:$AT$6260,AA732)</f>
        <v>5</v>
      </c>
      <c r="AD732" s="156">
        <f t="shared" si="8"/>
        <v>3</v>
      </c>
      <c r="AE732" s="159">
        <f>SUM(AD724:AD732)</f>
        <v>60</v>
      </c>
      <c r="AF732" s="118">
        <f t="shared" si="9"/>
        <v>4</v>
      </c>
      <c r="AG732" s="26"/>
      <c r="AH732" s="26"/>
      <c r="AI732" s="26"/>
    </row>
    <row r="733">
      <c r="A733" s="120" t="s">
        <v>11892</v>
      </c>
      <c r="B733" s="7" t="s">
        <v>145</v>
      </c>
      <c r="C733" s="95" t="s">
        <v>11893</v>
      </c>
      <c r="D733" s="109" t="s">
        <v>178</v>
      </c>
      <c r="E733" s="69">
        <f t="shared" si="2"/>
        <v>2</v>
      </c>
      <c r="F733" s="69">
        <f t="shared" si="3"/>
        <v>0</v>
      </c>
      <c r="G733" s="70">
        <f t="shared" si="77"/>
        <v>4</v>
      </c>
      <c r="H733" s="324"/>
      <c r="I733" s="325"/>
      <c r="J733" s="326"/>
      <c r="K733" s="327"/>
      <c r="L733" s="328"/>
      <c r="M733" s="329"/>
      <c r="N733" s="330"/>
      <c r="O733" s="331"/>
      <c r="P733" s="79">
        <f t="array" ref="P733">XLOOKUP(B733,Weight!B:B,Weight!D:D,"#N/A",0)</f>
        <v>1000</v>
      </c>
      <c r="Q733" s="80">
        <f t="shared" si="6"/>
        <v>4000</v>
      </c>
      <c r="R733" s="107"/>
      <c r="S733" s="108">
        <v>420222.0</v>
      </c>
      <c r="T733" s="108">
        <v>18.0</v>
      </c>
      <c r="U733" s="83">
        <v>720.0</v>
      </c>
      <c r="V733" s="84" t="str">
        <f t="shared" ref="V733:W733" si="114">B733</f>
        <v>CRM-Cube1-Grey-Pack12</v>
      </c>
      <c r="W733" s="174" t="str">
        <f t="shared" si="114"/>
        <v>Crasome Packing Cubes for Travel, Travel Organizer for Men &amp; Women, Travel Storage Bag, Travel Organizer, Packing Bag for Clothes (Grey-12)</v>
      </c>
      <c r="X733" s="86">
        <f>SUMIFS('Transit Shipment'!$B$10:$B$1048462,'Transit Shipment'!$A$10:$A$1048462,B733,'Transit Shipment'!$C$10:$C$1048462,AA733)</f>
        <v>0</v>
      </c>
      <c r="Y733" s="86">
        <f>IF(SUMIFS(DIH!$S$2:$S833,DIH!$D$2:$D833,B733,DIH!$U$2:$U833,AA733)&gt;0,SUMIFS(DIH!$S$2:$S833,DIH!$D$2:$D833,B733,DIH!$U$2:$U833,AA733),0)</f>
        <v>3</v>
      </c>
      <c r="Z733" s="87">
        <f t="shared" si="7"/>
        <v>3</v>
      </c>
      <c r="AA733" s="88" t="s">
        <v>5</v>
      </c>
      <c r="AB733" s="89">
        <f>IF(ISNA(VLOOKUP($B733,'Business Report'!$D$2:$J$202,2,0)),"",VLOOKUP($B733,'Business Report'!$D$2:$J$202,2,0))</f>
        <v>16</v>
      </c>
      <c r="AC733" s="90">
        <f>SUMIFS(AFS!$P$2:$P$6260,AFS!$N$2:$N$6260,B733,AFS!$AT$2:$AT$6260,AA733)</f>
        <v>5</v>
      </c>
      <c r="AD733" s="91">
        <f t="shared" si="8"/>
        <v>4</v>
      </c>
      <c r="AE733" s="92"/>
      <c r="AF733" s="93">
        <f t="shared" si="9"/>
        <v>4</v>
      </c>
      <c r="AG733" s="26"/>
      <c r="AH733" s="26"/>
      <c r="AI733" s="26"/>
    </row>
    <row r="734">
      <c r="A734" s="120" t="s">
        <v>11892</v>
      </c>
      <c r="B734" s="7" t="s">
        <v>145</v>
      </c>
      <c r="C734" s="95" t="s">
        <v>11893</v>
      </c>
      <c r="D734" s="109" t="s">
        <v>178</v>
      </c>
      <c r="E734" s="97" t="str">
        <f t="shared" si="2"/>
        <v/>
      </c>
      <c r="F734" s="97" t="str">
        <f t="shared" si="3"/>
        <v/>
      </c>
      <c r="G734" s="99" t="str">
        <f t="shared" si="77"/>
        <v/>
      </c>
      <c r="H734" s="121"/>
      <c r="I734" s="122"/>
      <c r="J734" s="123"/>
      <c r="K734" s="124"/>
      <c r="L734" s="125"/>
      <c r="M734" s="181"/>
      <c r="N734" s="126"/>
      <c r="O734" s="127"/>
      <c r="P734" s="13">
        <f t="array" ref="P734">XLOOKUP(B734,Weight!B:B,Weight!D:D,"#N/A",0)</f>
        <v>1000</v>
      </c>
      <c r="Q734" s="17" t="str">
        <f t="shared" si="6"/>
        <v/>
      </c>
      <c r="R734" s="107"/>
      <c r="S734" s="108">
        <v>420222.0</v>
      </c>
      <c r="T734" s="108">
        <v>18.0</v>
      </c>
      <c r="U734" s="109">
        <v>720.0</v>
      </c>
      <c r="V734" s="110"/>
      <c r="X734" s="111">
        <f>SUMIFS('Transit Shipment'!$B$10:$B$1048462,'Transit Shipment'!$A$10:$A$1048462,B734,'Transit Shipment'!$C$10:$C$1048462,AA734)</f>
        <v>0</v>
      </c>
      <c r="Y734" s="111">
        <f>IF(SUMIFS(DIH!$S$2:$S833,DIH!$D$2:$D833,B734,DIH!$U$2:$U833,AA734)&gt;0,SUMIFS(DIH!$S$2:$S833,DIH!$D$2:$D833,B734,DIH!$U$2:$U833,AA734),0)</f>
        <v>16</v>
      </c>
      <c r="Z734" s="112">
        <f t="shared" si="7"/>
        <v>16</v>
      </c>
      <c r="AA734" s="113" t="s">
        <v>11</v>
      </c>
      <c r="AB734" s="114">
        <f>IF(ISNA(VLOOKUP($B734,'Business Report'!$D$2:$J$202,2,0)),"",VLOOKUP($B734,'Business Report'!$D$2:$J$202,2,0))</f>
        <v>16</v>
      </c>
      <c r="AC734" s="115">
        <f>SUMIFS(AFS!$P$2:$P$6260,AFS!$N$2:$N$6260,B734,AFS!$AT$2:$AT$6260,AA734)</f>
        <v>10</v>
      </c>
      <c r="AD734" s="116">
        <f t="shared" si="8"/>
        <v>-2</v>
      </c>
      <c r="AE734" s="117"/>
      <c r="AF734" s="118" t="str">
        <f t="shared" si="9"/>
        <v/>
      </c>
      <c r="AG734" s="26"/>
      <c r="AH734" s="26"/>
      <c r="AI734" s="26"/>
    </row>
    <row r="735">
      <c r="A735" s="120" t="s">
        <v>11892</v>
      </c>
      <c r="B735" s="7" t="s">
        <v>145</v>
      </c>
      <c r="C735" s="95" t="s">
        <v>11893</v>
      </c>
      <c r="D735" s="109" t="s">
        <v>178</v>
      </c>
      <c r="E735" s="97">
        <f t="shared" si="2"/>
        <v>2</v>
      </c>
      <c r="F735" s="97">
        <f t="shared" si="3"/>
        <v>0.5</v>
      </c>
      <c r="G735" s="99">
        <f t="shared" si="77"/>
        <v>6</v>
      </c>
      <c r="H735" s="121"/>
      <c r="I735" s="122"/>
      <c r="J735" s="123"/>
      <c r="K735" s="124"/>
      <c r="L735" s="125"/>
      <c r="M735" s="181"/>
      <c r="N735" s="126"/>
      <c r="O735" s="127"/>
      <c r="P735" s="13">
        <f t="array" ref="P735">XLOOKUP(B735,Weight!B:B,Weight!D:D,"#N/A",0)</f>
        <v>1000</v>
      </c>
      <c r="Q735" s="17">
        <f t="shared" si="6"/>
        <v>6000</v>
      </c>
      <c r="R735" s="107"/>
      <c r="S735" s="108">
        <v>420222.0</v>
      </c>
      <c r="T735" s="108">
        <v>18.0</v>
      </c>
      <c r="U735" s="109">
        <v>720.0</v>
      </c>
      <c r="V735" s="110"/>
      <c r="X735" s="111">
        <f>SUMIFS('Transit Shipment'!$B$10:$B$1048462,'Transit Shipment'!$A$10:$A$1048462,B735,'Transit Shipment'!$C$10:$C$1048462,AA735)</f>
        <v>0</v>
      </c>
      <c r="Y735" s="111">
        <f>IF(SUMIFS(DIH!$S$2:$S833,DIH!$D$2:$D833,B735,DIH!$U$2:$U833,AA735)&gt;0,SUMIFS(DIH!$S$2:$S833,DIH!$D$2:$D833,B735,DIH!$U$2:$U833,AA735),0)</f>
        <v>5</v>
      </c>
      <c r="Z735" s="112">
        <f t="shared" si="7"/>
        <v>5</v>
      </c>
      <c r="AA735" s="119" t="s">
        <v>9</v>
      </c>
      <c r="AB735" s="114">
        <f>IF(ISNA(VLOOKUP($B735,'Business Report'!$D$2:$J$202,2,0)),"",VLOOKUP($B735,'Business Report'!$D$2:$J$202,2,0))</f>
        <v>16</v>
      </c>
      <c r="AC735" s="115">
        <f>SUMIFS(AFS!$P$2:$P$6260,AFS!$N$2:$N$6260,B735,AFS!$AT$2:$AT$6260,AA735)</f>
        <v>7</v>
      </c>
      <c r="AD735" s="116">
        <f t="shared" si="8"/>
        <v>5</v>
      </c>
      <c r="AE735" s="117"/>
      <c r="AF735" s="118">
        <f t="shared" si="9"/>
        <v>6</v>
      </c>
      <c r="AG735" s="26"/>
      <c r="AH735" s="26"/>
      <c r="AI735" s="26"/>
    </row>
    <row r="736">
      <c r="A736" s="120" t="s">
        <v>11892</v>
      </c>
      <c r="B736" s="7" t="s">
        <v>145</v>
      </c>
      <c r="C736" s="95" t="s">
        <v>11893</v>
      </c>
      <c r="D736" s="109" t="s">
        <v>178</v>
      </c>
      <c r="E736" s="97">
        <f t="shared" si="2"/>
        <v>0</v>
      </c>
      <c r="F736" s="97">
        <f t="shared" si="3"/>
        <v>0.5</v>
      </c>
      <c r="G736" s="99">
        <f t="shared" si="77"/>
        <v>2</v>
      </c>
      <c r="H736" s="121"/>
      <c r="I736" s="122"/>
      <c r="J736" s="123"/>
      <c r="K736" s="124"/>
      <c r="L736" s="125"/>
      <c r="M736" s="181"/>
      <c r="N736" s="126"/>
      <c r="O736" s="127"/>
      <c r="P736" s="13">
        <f t="array" ref="P736">XLOOKUP(B736,Weight!B:B,Weight!D:D,"#N/A",0)</f>
        <v>1000</v>
      </c>
      <c r="Q736" s="17">
        <f t="shared" si="6"/>
        <v>2000</v>
      </c>
      <c r="R736" s="107"/>
      <c r="S736" s="108">
        <v>420222.0</v>
      </c>
      <c r="T736" s="108">
        <v>18.0</v>
      </c>
      <c r="U736" s="109">
        <v>720.0</v>
      </c>
      <c r="V736" s="110"/>
      <c r="X736" s="111">
        <f>SUMIFS('Transit Shipment'!$B$10:$B$1048462,'Transit Shipment'!$A$10:$A$1048462,B736,'Transit Shipment'!$C$10:$C$1048462,AA736)</f>
        <v>0</v>
      </c>
      <c r="Y736" s="111">
        <f>IF(SUMIFS(DIH!$S$2:$S833,DIH!$D$2:$D833,B736,DIH!$U$2:$U833,AA736)&gt;0,SUMIFS(DIH!$S$2:$S833,DIH!$D$2:$D833,B736,DIH!$U$2:$U833,AA736),0)</f>
        <v>5</v>
      </c>
      <c r="Z736" s="112">
        <f t="shared" si="7"/>
        <v>5</v>
      </c>
      <c r="AA736" s="119" t="s">
        <v>155</v>
      </c>
      <c r="AB736" s="114">
        <f>IF(ISNA(VLOOKUP($B736,'Business Report'!$D$2:$J$202,2,0)),"",VLOOKUP($B736,'Business Report'!$D$2:$J$202,2,0))</f>
        <v>16</v>
      </c>
      <c r="AC736" s="115">
        <f>SUMIFS(AFS!$P$2:$P$6260,AFS!$N$2:$N$6260,B736,AFS!$AT$2:$AT$6260,AA736)</f>
        <v>4</v>
      </c>
      <c r="AD736" s="116">
        <f t="shared" si="8"/>
        <v>1</v>
      </c>
      <c r="AE736" s="117"/>
      <c r="AF736" s="118">
        <f t="shared" si="9"/>
        <v>2</v>
      </c>
      <c r="AG736" s="26"/>
      <c r="AH736" s="26"/>
      <c r="AI736" s="26"/>
    </row>
    <row r="737">
      <c r="A737" s="120" t="s">
        <v>11892</v>
      </c>
      <c r="B737" s="7" t="s">
        <v>145</v>
      </c>
      <c r="C737" s="95" t="s">
        <v>11893</v>
      </c>
      <c r="D737" s="109" t="s">
        <v>178</v>
      </c>
      <c r="E737" s="97">
        <f t="shared" si="2"/>
        <v>2</v>
      </c>
      <c r="F737" s="97">
        <f t="shared" si="3"/>
        <v>0</v>
      </c>
      <c r="G737" s="99">
        <f t="shared" si="77"/>
        <v>4</v>
      </c>
      <c r="H737" s="121"/>
      <c r="I737" s="122"/>
      <c r="J737" s="123"/>
      <c r="K737" s="124"/>
      <c r="L737" s="125"/>
      <c r="M737" s="181"/>
      <c r="N737" s="126"/>
      <c r="O737" s="127"/>
      <c r="P737" s="13">
        <f t="array" ref="P737">XLOOKUP(B737,Weight!B:B,Weight!D:D,"#N/A",0)</f>
        <v>1000</v>
      </c>
      <c r="Q737" s="17">
        <f t="shared" si="6"/>
        <v>4000</v>
      </c>
      <c r="R737" s="107"/>
      <c r="S737" s="108">
        <v>420222.0</v>
      </c>
      <c r="T737" s="108">
        <v>18.0</v>
      </c>
      <c r="U737" s="109">
        <v>720.0</v>
      </c>
      <c r="V737" s="110"/>
      <c r="X737" s="111">
        <f>SUMIFS('Transit Shipment'!$B$10:$B$1048462,'Transit Shipment'!$A$10:$A$1048462,B737,'Transit Shipment'!$C$10:$C$1048462,AA737)</f>
        <v>0</v>
      </c>
      <c r="Y737" s="111">
        <f>IF(SUMIFS(DIH!$S$2:$S833,DIH!$D$2:$D833,B737,DIH!$U$2:$U833,AA737)&gt;0,SUMIFS(DIH!$S$2:$S833,DIH!$D$2:$D833,B737,DIH!$U$2:$U833,AA737),0)</f>
        <v>3</v>
      </c>
      <c r="Z737" s="112">
        <f t="shared" si="7"/>
        <v>3</v>
      </c>
      <c r="AA737" s="119" t="s">
        <v>156</v>
      </c>
      <c r="AB737" s="114">
        <f>IF(ISNA(VLOOKUP($B737,'Business Report'!$D$2:$J$202,2,0)),"",VLOOKUP($B737,'Business Report'!$D$2:$J$202,2,0))</f>
        <v>16</v>
      </c>
      <c r="AC737" s="115">
        <f>SUMIFS(AFS!$P$2:$P$6260,AFS!$N$2:$N$6260,B737,AFS!$AT$2:$AT$6260,AA737)</f>
        <v>5</v>
      </c>
      <c r="AD737" s="116">
        <f t="shared" si="8"/>
        <v>4</v>
      </c>
      <c r="AE737" s="117"/>
      <c r="AF737" s="118">
        <f t="shared" si="9"/>
        <v>4</v>
      </c>
      <c r="AG737" s="26"/>
      <c r="AH737" s="26"/>
      <c r="AI737" s="26"/>
    </row>
    <row r="738">
      <c r="A738" s="120" t="s">
        <v>11892</v>
      </c>
      <c r="B738" s="7" t="s">
        <v>145</v>
      </c>
      <c r="C738" s="95" t="s">
        <v>11893</v>
      </c>
      <c r="D738" s="109" t="s">
        <v>178</v>
      </c>
      <c r="E738" s="97">
        <f t="shared" si="2"/>
        <v>0</v>
      </c>
      <c r="F738" s="97">
        <f t="shared" si="3"/>
        <v>0.5</v>
      </c>
      <c r="G738" s="99">
        <f t="shared" si="77"/>
        <v>2</v>
      </c>
      <c r="H738" s="121"/>
      <c r="I738" s="122"/>
      <c r="J738" s="123"/>
      <c r="K738" s="124"/>
      <c r="L738" s="125"/>
      <c r="M738" s="181"/>
      <c r="N738" s="126"/>
      <c r="O738" s="127"/>
      <c r="P738" s="13">
        <f t="array" ref="P738">XLOOKUP(B738,Weight!B:B,Weight!D:D,"#N/A",0)</f>
        <v>1000</v>
      </c>
      <c r="Q738" s="17">
        <f t="shared" si="6"/>
        <v>2000</v>
      </c>
      <c r="R738" s="107"/>
      <c r="S738" s="108">
        <v>420222.0</v>
      </c>
      <c r="T738" s="108">
        <v>18.0</v>
      </c>
      <c r="U738" s="109">
        <v>720.0</v>
      </c>
      <c r="V738" s="110"/>
      <c r="X738" s="111">
        <f>SUMIFS('Transit Shipment'!$B$10:$B$1048462,'Transit Shipment'!$A$10:$A$1048462,B738,'Transit Shipment'!$C$10:$C$1048462,AA738)</f>
        <v>0</v>
      </c>
      <c r="Y738" s="111">
        <f>IF(SUMIFS(DIH!$S$2:$S833,DIH!$D$2:$D833,B738,DIH!$U$2:$U833,AA738)&gt;0,SUMIFS(DIH!$S$2:$S833,DIH!$D$2:$D833,B738,DIH!$U$2:$U833,AA738),0)</f>
        <v>5</v>
      </c>
      <c r="Z738" s="112">
        <f t="shared" si="7"/>
        <v>5</v>
      </c>
      <c r="AA738" s="130" t="s">
        <v>13</v>
      </c>
      <c r="AB738" s="114">
        <f>IF(ISNA(VLOOKUP($B738,'Business Report'!$D$2:$J$202,2,0)),"",VLOOKUP($B738,'Business Report'!$D$2:$J$202,2,0))</f>
        <v>16</v>
      </c>
      <c r="AC738" s="115">
        <f>SUMIFS(AFS!$P$2:$P$6260,AFS!$N$2:$N$6260,B738,AFS!$AT$2:$AT$6260,AA738)</f>
        <v>4</v>
      </c>
      <c r="AD738" s="116">
        <f t="shared" si="8"/>
        <v>1</v>
      </c>
      <c r="AE738" s="117"/>
      <c r="AF738" s="118">
        <f t="shared" si="9"/>
        <v>2</v>
      </c>
      <c r="AG738" s="26"/>
      <c r="AH738" s="26"/>
      <c r="AI738" s="26"/>
    </row>
    <row r="739">
      <c r="A739" s="120" t="s">
        <v>11892</v>
      </c>
      <c r="B739" s="7" t="s">
        <v>145</v>
      </c>
      <c r="C739" s="95" t="s">
        <v>11893</v>
      </c>
      <c r="D739" s="109" t="s">
        <v>178</v>
      </c>
      <c r="E739" s="97">
        <f t="shared" si="2"/>
        <v>5</v>
      </c>
      <c r="F739" s="97">
        <f t="shared" si="3"/>
        <v>0</v>
      </c>
      <c r="G739" s="99">
        <f t="shared" si="77"/>
        <v>10</v>
      </c>
      <c r="H739" s="121"/>
      <c r="I739" s="122"/>
      <c r="J739" s="123"/>
      <c r="K739" s="124"/>
      <c r="L739" s="125"/>
      <c r="M739" s="181"/>
      <c r="N739" s="126"/>
      <c r="O739" s="127"/>
      <c r="P739" s="13">
        <f t="array" ref="P739">XLOOKUP(B739,Weight!B:B,Weight!D:D,"#N/A",0)</f>
        <v>1000</v>
      </c>
      <c r="Q739" s="17">
        <f t="shared" si="6"/>
        <v>10000</v>
      </c>
      <c r="R739" s="107"/>
      <c r="S739" s="108">
        <v>420222.0</v>
      </c>
      <c r="T739" s="108">
        <v>18.0</v>
      </c>
      <c r="U739" s="109">
        <v>720.0</v>
      </c>
      <c r="V739" s="110"/>
      <c r="X739" s="111">
        <f>SUMIFS('Transit Shipment'!$B$10:$B$1048462,'Transit Shipment'!$A$10:$A$1048462,B739,'Transit Shipment'!$C$10:$C$1048462,AA739)</f>
        <v>0</v>
      </c>
      <c r="Y739" s="111">
        <f>IF(SUMIFS(DIH!$S$2:$S833,DIH!$D$2:$D833,B739,DIH!$U$2:$U833,AA739)&gt;0,SUMIFS(DIH!$S$2:$S833,DIH!$D$2:$D833,B739,DIH!$U$2:$U833,AA739),0)</f>
        <v>4</v>
      </c>
      <c r="Z739" s="112">
        <f t="shared" si="7"/>
        <v>4</v>
      </c>
      <c r="AA739" s="119" t="s">
        <v>14</v>
      </c>
      <c r="AB739" s="114">
        <f>IF(ISNA(VLOOKUP($B739,'Business Report'!$D$2:$J$202,2,0)),"",VLOOKUP($B739,'Business Report'!$D$2:$J$202,2,0))</f>
        <v>16</v>
      </c>
      <c r="AC739" s="115">
        <f>SUMIFS(AFS!$P$2:$P$6260,AFS!$N$2:$N$6260,B739,AFS!$AT$2:$AT$6260,AA739)</f>
        <v>10</v>
      </c>
      <c r="AD739" s="116">
        <f t="shared" si="8"/>
        <v>10</v>
      </c>
      <c r="AE739" s="117"/>
      <c r="AF739" s="118">
        <f t="shared" si="9"/>
        <v>10</v>
      </c>
      <c r="AG739" s="26"/>
      <c r="AH739" s="26"/>
      <c r="AI739" s="26"/>
    </row>
    <row r="740">
      <c r="A740" s="120" t="s">
        <v>11892</v>
      </c>
      <c r="B740" s="7" t="s">
        <v>145</v>
      </c>
      <c r="C740" s="95" t="s">
        <v>11893</v>
      </c>
      <c r="D740" s="109" t="s">
        <v>178</v>
      </c>
      <c r="E740" s="97">
        <f t="shared" si="2"/>
        <v>4</v>
      </c>
      <c r="F740" s="97">
        <f t="shared" si="3"/>
        <v>0.5</v>
      </c>
      <c r="G740" s="99">
        <f t="shared" si="77"/>
        <v>10</v>
      </c>
      <c r="H740" s="121"/>
      <c r="I740" s="122"/>
      <c r="J740" s="123"/>
      <c r="K740" s="124"/>
      <c r="L740" s="125"/>
      <c r="M740" s="181"/>
      <c r="N740" s="126"/>
      <c r="O740" s="127"/>
      <c r="P740" s="13">
        <f t="array" ref="P740">XLOOKUP(B740,Weight!B:B,Weight!D:D,"#N/A",0)</f>
        <v>1000</v>
      </c>
      <c r="Q740" s="17">
        <f t="shared" si="6"/>
        <v>10000</v>
      </c>
      <c r="R740" s="107"/>
      <c r="S740" s="108">
        <v>420222.0</v>
      </c>
      <c r="T740" s="108">
        <v>18.0</v>
      </c>
      <c r="U740" s="109">
        <v>720.0</v>
      </c>
      <c r="V740" s="110"/>
      <c r="X740" s="111">
        <f>SUMIFS('Transit Shipment'!$B$10:$B$1048462,'Transit Shipment'!$A$10:$A$1048462,B740,'Transit Shipment'!$C$10:$C$1048462,AA740)</f>
        <v>0</v>
      </c>
      <c r="Y740" s="111">
        <f>IF(SUMIFS(DIH!$S$2:$S833,DIH!$D$2:$D833,B740,DIH!$U$2:$U833,AA740)&gt;0,SUMIFS(DIH!$S$2:$S833,DIH!$D$2:$D833,B740,DIH!$U$2:$U833,AA740),0)</f>
        <v>7</v>
      </c>
      <c r="Z740" s="112">
        <f t="shared" si="7"/>
        <v>7</v>
      </c>
      <c r="AA740" s="131" t="s">
        <v>16</v>
      </c>
      <c r="AB740" s="114">
        <f>IF(ISNA(VLOOKUP($B740,'Business Report'!$D$2:$J$202,2,0)),"",VLOOKUP($B740,'Business Report'!$D$2:$J$202,2,0))</f>
        <v>16</v>
      </c>
      <c r="AC740" s="115">
        <f>SUMIFS(AFS!$P$2:$P$6260,AFS!$N$2:$N$6260,B740,AFS!$AT$2:$AT$6260,AA740)</f>
        <v>12</v>
      </c>
      <c r="AD740" s="116">
        <f t="shared" si="8"/>
        <v>9</v>
      </c>
      <c r="AE740" s="117"/>
      <c r="AF740" s="118">
        <f t="shared" si="9"/>
        <v>10</v>
      </c>
      <c r="AG740" s="26"/>
      <c r="AH740" s="26"/>
      <c r="AI740" s="26"/>
    </row>
    <row r="741">
      <c r="A741" s="120" t="s">
        <v>11892</v>
      </c>
      <c r="B741" s="7" t="s">
        <v>145</v>
      </c>
      <c r="C741" s="133" t="s">
        <v>11893</v>
      </c>
      <c r="D741" s="109" t="s">
        <v>178</v>
      </c>
      <c r="E741" s="135">
        <f t="shared" si="2"/>
        <v>4</v>
      </c>
      <c r="F741" s="135">
        <f t="shared" si="3"/>
        <v>0</v>
      </c>
      <c r="G741" s="136">
        <f t="shared" si="77"/>
        <v>8</v>
      </c>
      <c r="H741" s="137"/>
      <c r="I741" s="138"/>
      <c r="J741" s="139"/>
      <c r="K741" s="140"/>
      <c r="L741" s="135"/>
      <c r="M741" s="152"/>
      <c r="N741" s="142"/>
      <c r="O741" s="143"/>
      <c r="P741" s="144">
        <f t="array" ref="P741">XLOOKUP(B741,Weight!B:B,Weight!D:D,"#N/A",0)</f>
        <v>1000</v>
      </c>
      <c r="Q741" s="145">
        <f t="shared" si="6"/>
        <v>8000</v>
      </c>
      <c r="R741" s="146"/>
      <c r="S741" s="147">
        <v>420222.0</v>
      </c>
      <c r="T741" s="147">
        <v>18.0</v>
      </c>
      <c r="U741" s="109">
        <v>720.0</v>
      </c>
      <c r="V741" s="148"/>
      <c r="W741" s="149"/>
      <c r="X741" s="150">
        <f>SUMIFS('Transit Shipment'!$B$10:$B$1048462,'Transit Shipment'!$A$10:$A$1048462,B741,'Transit Shipment'!$C$10:$C$1048462,AA741)</f>
        <v>0</v>
      </c>
      <c r="Y741" s="150">
        <f>IF(SUMIFS(DIH!$S$2:$S833,DIH!$D$2:$D833,B741,DIH!$U$2:$U833,AA741)&gt;0,SUMIFS(DIH!$S$2:$S833,DIH!$D$2:$D833,B741,DIH!$U$2:$U833,AA741),0)</f>
        <v>2</v>
      </c>
      <c r="Z741" s="151">
        <f t="shared" si="7"/>
        <v>2</v>
      </c>
      <c r="AA741" s="152" t="s">
        <v>17</v>
      </c>
      <c r="AB741" s="154">
        <f>IF(ISNA(VLOOKUP($B741,'Business Report'!$D$2:$J$202,2,0)),"",VLOOKUP($B741,'Business Report'!$D$2:$J$202,2,0))</f>
        <v>16</v>
      </c>
      <c r="AC741" s="155">
        <f>SUMIFS(AFS!$P$2:$P$6260,AFS!$N$2:$N$6260,B741,AFS!$AT$2:$AT$6260,AA741)</f>
        <v>7</v>
      </c>
      <c r="AD741" s="156">
        <f t="shared" si="8"/>
        <v>8</v>
      </c>
      <c r="AE741" s="159">
        <f>SUM(AD733:AD741)</f>
        <v>40</v>
      </c>
      <c r="AF741" s="118">
        <f t="shared" si="9"/>
        <v>8</v>
      </c>
      <c r="AG741" s="26"/>
      <c r="AH741" s="26"/>
      <c r="AI741" s="26"/>
    </row>
    <row r="742">
      <c r="A742" s="66" t="s">
        <v>12088</v>
      </c>
      <c r="B742" s="1" t="s">
        <v>146</v>
      </c>
      <c r="C742" s="95" t="s">
        <v>12089</v>
      </c>
      <c r="D742" s="68" t="s">
        <v>179</v>
      </c>
      <c r="E742" s="69">
        <f t="shared" si="2"/>
        <v>0</v>
      </c>
      <c r="F742" s="69">
        <f t="shared" si="3"/>
        <v>0.5</v>
      </c>
      <c r="G742" s="70">
        <f t="shared" si="77"/>
        <v>2</v>
      </c>
      <c r="H742" s="313"/>
      <c r="I742" s="314"/>
      <c r="J742" s="315"/>
      <c r="K742" s="316"/>
      <c r="L742" s="317"/>
      <c r="M742" s="318"/>
      <c r="N742" s="319"/>
      <c r="O742" s="320"/>
      <c r="P742" s="79">
        <f t="array" ref="P742">XLOOKUP(B742,Weight!B:B,Weight!D:D,"#N/A",0)</f>
        <v>100</v>
      </c>
      <c r="Q742" s="80">
        <f t="shared" si="6"/>
        <v>200</v>
      </c>
      <c r="R742" s="107"/>
      <c r="S742" s="108">
        <v>420222.0</v>
      </c>
      <c r="T742" s="108">
        <v>18.0</v>
      </c>
      <c r="U742" s="83">
        <v>80.0</v>
      </c>
      <c r="V742" s="84" t="str">
        <f t="shared" ref="V742:W742" si="115">B742</f>
        <v>CP-BLACK-1</v>
      </c>
      <c r="W742" s="174" t="str">
        <f t="shared" si="115"/>
        <v>CRASOME Laptop Charger Pouch, Travel Organizer Pouch, Gadget Charger Pouch for Mouse, USB, Charger, Cables, Hard Disk (Black)</v>
      </c>
      <c r="X742" s="86">
        <f>SUMIFS('Transit Shipment'!$B$10:$B$1048462,'Transit Shipment'!$A$10:$A$1048462,B742,'Transit Shipment'!$C$10:$C$1048462,AA742)</f>
        <v>0</v>
      </c>
      <c r="Y742" s="86">
        <f>IF(SUMIFS(DIH!$S$2:$S833,DIH!$D$2:$D833,B742,DIH!$U$2:$U833,AA742)&gt;0,SUMIFS(DIH!$S$2:$S833,DIH!$D$2:$D833,B742,DIH!$U$2:$U833,AA742),0)</f>
        <v>1</v>
      </c>
      <c r="Z742" s="87">
        <f t="shared" si="7"/>
        <v>1</v>
      </c>
      <c r="AA742" s="88" t="s">
        <v>5</v>
      </c>
      <c r="AB742" s="89">
        <f>IF(ISNA(VLOOKUP($B742,'Business Report'!$D$2:$J$202,2,0)),"",VLOOKUP($B742,'Business Report'!$D$2:$J$202,2,0))</f>
        <v>7</v>
      </c>
      <c r="AC742" s="90">
        <f>SUMIFS(AFS!$P$2:$P$6260,AFS!$N$2:$N$6260,B742,AFS!$AT$2:$AT$6260,AA742)</f>
        <v>1</v>
      </c>
      <c r="AD742" s="91">
        <f t="shared" si="8"/>
        <v>1</v>
      </c>
      <c r="AE742" s="92"/>
      <c r="AF742" s="93">
        <f t="shared" si="9"/>
        <v>2</v>
      </c>
      <c r="AG742" s="26"/>
      <c r="AH742" s="26"/>
      <c r="AI742" s="26"/>
    </row>
    <row r="743">
      <c r="A743" s="94" t="s">
        <v>12088</v>
      </c>
      <c r="B743" s="3" t="s">
        <v>146</v>
      </c>
      <c r="C743" s="95" t="s">
        <v>12089</v>
      </c>
      <c r="D743" s="96" t="s">
        <v>179</v>
      </c>
      <c r="E743" s="97">
        <f t="shared" si="2"/>
        <v>1</v>
      </c>
      <c r="F743" s="97">
        <f t="shared" si="3"/>
        <v>0</v>
      </c>
      <c r="G743" s="99">
        <f t="shared" si="77"/>
        <v>2</v>
      </c>
      <c r="H743" s="100"/>
      <c r="I743" s="101"/>
      <c r="J743" s="102"/>
      <c r="K743" s="103"/>
      <c r="L743" s="97"/>
      <c r="M743" s="169"/>
      <c r="N743" s="105"/>
      <c r="O743" s="106"/>
      <c r="P743" s="13">
        <f t="array" ref="P743">XLOOKUP(B743,Weight!B:B,Weight!D:D,"#N/A",0)</f>
        <v>100</v>
      </c>
      <c r="Q743" s="17">
        <f t="shared" si="6"/>
        <v>200</v>
      </c>
      <c r="R743" s="107"/>
      <c r="S743" s="108">
        <v>420222.0</v>
      </c>
      <c r="T743" s="108">
        <v>18.0</v>
      </c>
      <c r="U743" s="109">
        <v>80.0</v>
      </c>
      <c r="V743" s="110"/>
      <c r="X743" s="111">
        <f>SUMIFS('Transit Shipment'!$B$10:$B$1048462,'Transit Shipment'!$A$10:$A$1048462,B743,'Transit Shipment'!$C$10:$C$1048462,AA743)</f>
        <v>0</v>
      </c>
      <c r="Y743" s="111">
        <f>IF(SUMIFS(DIH!$S$2:$S833,DIH!$D$2:$D833,B743,DIH!$U$2:$U833,AA743)&gt;0,SUMIFS(DIH!$S$2:$S833,DIH!$D$2:$D833,B743,DIH!$U$2:$U833,AA743),0)</f>
        <v>0</v>
      </c>
      <c r="Z743" s="112">
        <f t="shared" si="7"/>
        <v>0</v>
      </c>
      <c r="AA743" s="113" t="s">
        <v>11</v>
      </c>
      <c r="AB743" s="114">
        <f>IF(ISNA(VLOOKUP($B743,'Business Report'!$D$2:$J$202,2,0)),"",VLOOKUP($B743,'Business Report'!$D$2:$J$202,2,0))</f>
        <v>7</v>
      </c>
      <c r="AC743" s="115">
        <f>SUMIFS(AFS!$P$2:$P$6260,AFS!$N$2:$N$6260,B743,AFS!$AT$2:$AT$6260,AA743)</f>
        <v>1</v>
      </c>
      <c r="AD743" s="116">
        <f t="shared" si="8"/>
        <v>2</v>
      </c>
      <c r="AE743" s="117"/>
      <c r="AF743" s="118">
        <f t="shared" si="9"/>
        <v>2</v>
      </c>
      <c r="AG743" s="26"/>
      <c r="AH743" s="26"/>
      <c r="AI743" s="26"/>
    </row>
    <row r="744">
      <c r="A744" s="94" t="s">
        <v>12088</v>
      </c>
      <c r="B744" s="3" t="s">
        <v>146</v>
      </c>
      <c r="C744" s="95" t="s">
        <v>12089</v>
      </c>
      <c r="D744" s="96" t="s">
        <v>179</v>
      </c>
      <c r="E744" s="97">
        <f t="shared" si="2"/>
        <v>1</v>
      </c>
      <c r="F744" s="97">
        <f t="shared" si="3"/>
        <v>0</v>
      </c>
      <c r="G744" s="99" t="str">
        <f t="shared" si="77"/>
        <v/>
      </c>
      <c r="H744" s="100"/>
      <c r="I744" s="101"/>
      <c r="J744" s="102"/>
      <c r="K744" s="103"/>
      <c r="L744" s="97"/>
      <c r="M744" s="169"/>
      <c r="N744" s="105"/>
      <c r="O744" s="106"/>
      <c r="P744" s="13">
        <f t="array" ref="P744">XLOOKUP(B744,Weight!B:B,Weight!D:D,"#N/A",0)</f>
        <v>100</v>
      </c>
      <c r="Q744" s="17" t="str">
        <f t="shared" si="6"/>
        <v/>
      </c>
      <c r="R744" s="107"/>
      <c r="S744" s="108">
        <v>420222.0</v>
      </c>
      <c r="T744" s="108">
        <v>18.0</v>
      </c>
      <c r="U744" s="109">
        <v>80.0</v>
      </c>
      <c r="V744" s="110"/>
      <c r="X744" s="111">
        <f>SUMIFS('Transit Shipment'!$B$10:$B$1048462,'Transit Shipment'!$A$10:$A$1048462,B744,'Transit Shipment'!$C$10:$C$1048462,AA744)</f>
        <v>0</v>
      </c>
      <c r="Y744" s="111">
        <f>IF(SUMIFS(DIH!$S$2:$S833,DIH!$D$2:$D833,B744,DIH!$U$2:$U833,AA744)&gt;0,SUMIFS(DIH!$S$2:$S833,DIH!$D$2:$D833,B744,DIH!$U$2:$U833,AA744),0)</f>
        <v>0</v>
      </c>
      <c r="Z744" s="112">
        <f t="shared" si="7"/>
        <v>0</v>
      </c>
      <c r="AA744" s="119" t="s">
        <v>9</v>
      </c>
      <c r="AB744" s="114">
        <f>IF(ISNA(VLOOKUP($B744,'Business Report'!$D$2:$J$202,2,0)),"",VLOOKUP($B744,'Business Report'!$D$2:$J$202,2,0))</f>
        <v>7</v>
      </c>
      <c r="AC744" s="115">
        <f>SUMIFS(AFS!$P$2:$P$6260,AFS!$N$2:$N$6260,B744,AFS!$AT$2:$AT$6260,AA744)</f>
        <v>0</v>
      </c>
      <c r="AD744" s="116">
        <f t="shared" si="8"/>
        <v>0</v>
      </c>
      <c r="AE744" s="117"/>
      <c r="AF744" s="118" t="str">
        <f t="shared" si="9"/>
        <v/>
      </c>
      <c r="AG744" s="26"/>
      <c r="AH744" s="26"/>
      <c r="AI744" s="26"/>
    </row>
    <row r="745">
      <c r="A745" s="120" t="s">
        <v>12088</v>
      </c>
      <c r="B745" s="7" t="s">
        <v>146</v>
      </c>
      <c r="C745" s="95" t="s">
        <v>12089</v>
      </c>
      <c r="D745" s="109" t="s">
        <v>179</v>
      </c>
      <c r="E745" s="97">
        <f t="shared" si="2"/>
        <v>1</v>
      </c>
      <c r="F745" s="97">
        <f t="shared" si="3"/>
        <v>0</v>
      </c>
      <c r="G745" s="99" t="str">
        <f t="shared" si="77"/>
        <v/>
      </c>
      <c r="H745" s="121"/>
      <c r="I745" s="122"/>
      <c r="J745" s="123"/>
      <c r="K745" s="124"/>
      <c r="L745" s="125"/>
      <c r="M745" s="181"/>
      <c r="N745" s="126"/>
      <c r="O745" s="127"/>
      <c r="P745" s="13">
        <f t="array" ref="P745">XLOOKUP(B745,Weight!B:B,Weight!D:D,"#N/A",0)</f>
        <v>100</v>
      </c>
      <c r="Q745" s="17" t="str">
        <f t="shared" si="6"/>
        <v/>
      </c>
      <c r="R745" s="107"/>
      <c r="S745" s="108">
        <v>420222.0</v>
      </c>
      <c r="T745" s="108">
        <v>18.0</v>
      </c>
      <c r="U745" s="109">
        <v>80.0</v>
      </c>
      <c r="V745" s="110"/>
      <c r="X745" s="111">
        <f>SUMIFS('Transit Shipment'!$B$10:$B$1048462,'Transit Shipment'!$A$10:$A$1048462,B745,'Transit Shipment'!$C$10:$C$1048462,AA745)</f>
        <v>0</v>
      </c>
      <c r="Y745" s="111">
        <f>IF(SUMIFS(DIH!$S$2:$S833,DIH!$D$2:$D833,B745,DIH!$U$2:$U833,AA745)&gt;0,SUMIFS(DIH!$S$2:$S833,DIH!$D$2:$D833,B745,DIH!$U$2:$U833,AA745),0)</f>
        <v>0</v>
      </c>
      <c r="Z745" s="112">
        <f t="shared" si="7"/>
        <v>0</v>
      </c>
      <c r="AA745" s="119" t="s">
        <v>155</v>
      </c>
      <c r="AB745" s="114">
        <f>IF(ISNA(VLOOKUP($B745,'Business Report'!$D$2:$J$202,2,0)),"",VLOOKUP($B745,'Business Report'!$D$2:$J$202,2,0))</f>
        <v>7</v>
      </c>
      <c r="AC745" s="115">
        <f>SUMIFS(AFS!$P$2:$P$6260,AFS!$N$2:$N$6260,B745,AFS!$AT$2:$AT$6260,AA745)</f>
        <v>0</v>
      </c>
      <c r="AD745" s="116">
        <f t="shared" si="8"/>
        <v>0</v>
      </c>
      <c r="AE745" s="117"/>
      <c r="AF745" s="118" t="str">
        <f t="shared" si="9"/>
        <v/>
      </c>
      <c r="AG745" s="26"/>
      <c r="AH745" s="26"/>
      <c r="AI745" s="26"/>
    </row>
    <row r="746">
      <c r="A746" s="120" t="s">
        <v>12088</v>
      </c>
      <c r="B746" s="7" t="s">
        <v>146</v>
      </c>
      <c r="C746" s="95" t="s">
        <v>12089</v>
      </c>
      <c r="D746" s="109" t="s">
        <v>179</v>
      </c>
      <c r="E746" s="97">
        <f t="shared" si="2"/>
        <v>1</v>
      </c>
      <c r="F746" s="97">
        <f t="shared" si="3"/>
        <v>0</v>
      </c>
      <c r="G746" s="99" t="str">
        <f t="shared" si="77"/>
        <v/>
      </c>
      <c r="H746" s="121"/>
      <c r="I746" s="122"/>
      <c r="J746" s="123"/>
      <c r="K746" s="124"/>
      <c r="L746" s="125"/>
      <c r="M746" s="181"/>
      <c r="N746" s="126"/>
      <c r="O746" s="127"/>
      <c r="P746" s="13">
        <f t="array" ref="P746">XLOOKUP(B746,Weight!B:B,Weight!D:D,"#N/A",0)</f>
        <v>100</v>
      </c>
      <c r="Q746" s="17" t="str">
        <f t="shared" si="6"/>
        <v/>
      </c>
      <c r="R746" s="107"/>
      <c r="S746" s="108">
        <v>420222.0</v>
      </c>
      <c r="T746" s="108">
        <v>18.0</v>
      </c>
      <c r="U746" s="109">
        <v>80.0</v>
      </c>
      <c r="V746" s="110"/>
      <c r="X746" s="111">
        <f>SUMIFS('Transit Shipment'!$B$10:$B$1048462,'Transit Shipment'!$A$10:$A$1048462,B746,'Transit Shipment'!$C$10:$C$1048462,AA746)</f>
        <v>0</v>
      </c>
      <c r="Y746" s="111">
        <f>IF(SUMIFS(DIH!$S$2:$S833,DIH!$D$2:$D833,B746,DIH!$U$2:$U833,AA746)&gt;0,SUMIFS(DIH!$S$2:$S833,DIH!$D$2:$D833,B746,DIH!$U$2:$U833,AA746),0)</f>
        <v>0</v>
      </c>
      <c r="Z746" s="112">
        <f t="shared" si="7"/>
        <v>0</v>
      </c>
      <c r="AA746" s="119" t="s">
        <v>156</v>
      </c>
      <c r="AB746" s="114">
        <f>IF(ISNA(VLOOKUP($B746,'Business Report'!$D$2:$J$202,2,0)),"",VLOOKUP($B746,'Business Report'!$D$2:$J$202,2,0))</f>
        <v>7</v>
      </c>
      <c r="AC746" s="115">
        <f>SUMIFS(AFS!$P$2:$P$6260,AFS!$N$2:$N$6260,B746,AFS!$AT$2:$AT$6260,AA746)</f>
        <v>0</v>
      </c>
      <c r="AD746" s="116">
        <f t="shared" si="8"/>
        <v>0</v>
      </c>
      <c r="AE746" s="117"/>
      <c r="AF746" s="118" t="str">
        <f t="shared" si="9"/>
        <v/>
      </c>
      <c r="AG746" s="26"/>
      <c r="AH746" s="26"/>
      <c r="AI746" s="26"/>
    </row>
    <row r="747">
      <c r="A747" s="120" t="s">
        <v>12088</v>
      </c>
      <c r="B747" s="7" t="s">
        <v>146</v>
      </c>
      <c r="C747" s="95" t="s">
        <v>12089</v>
      </c>
      <c r="D747" s="109" t="s">
        <v>179</v>
      </c>
      <c r="E747" s="97">
        <f t="shared" si="2"/>
        <v>1</v>
      </c>
      <c r="F747" s="97">
        <f t="shared" si="3"/>
        <v>0</v>
      </c>
      <c r="G747" s="99" t="str">
        <f t="shared" si="77"/>
        <v/>
      </c>
      <c r="H747" s="121"/>
      <c r="I747" s="122"/>
      <c r="J747" s="123"/>
      <c r="K747" s="124"/>
      <c r="L747" s="125"/>
      <c r="M747" s="181"/>
      <c r="N747" s="126"/>
      <c r="O747" s="127"/>
      <c r="P747" s="13">
        <f t="array" ref="P747">XLOOKUP(B747,Weight!B:B,Weight!D:D,"#N/A",0)</f>
        <v>100</v>
      </c>
      <c r="Q747" s="17" t="str">
        <f t="shared" si="6"/>
        <v/>
      </c>
      <c r="R747" s="107"/>
      <c r="S747" s="108">
        <v>420222.0</v>
      </c>
      <c r="T747" s="108">
        <v>18.0</v>
      </c>
      <c r="U747" s="109">
        <v>80.0</v>
      </c>
      <c r="V747" s="110"/>
      <c r="X747" s="111">
        <f>SUMIFS('Transit Shipment'!$B$10:$B$1048462,'Transit Shipment'!$A$10:$A$1048462,B747,'Transit Shipment'!$C$10:$C$1048462,AA747)</f>
        <v>0</v>
      </c>
      <c r="Y747" s="111">
        <f>IF(SUMIFS(DIH!$S$2:$S833,DIH!$D$2:$D833,B747,DIH!$U$2:$U833,AA747)&gt;0,SUMIFS(DIH!$S$2:$S833,DIH!$D$2:$D833,B747,DIH!$U$2:$U833,AA747),0)</f>
        <v>0</v>
      </c>
      <c r="Z747" s="112">
        <f t="shared" si="7"/>
        <v>0</v>
      </c>
      <c r="AA747" s="130" t="s">
        <v>13</v>
      </c>
      <c r="AB747" s="114">
        <f>IF(ISNA(VLOOKUP($B747,'Business Report'!$D$2:$J$202,2,0)),"",VLOOKUP($B747,'Business Report'!$D$2:$J$202,2,0))</f>
        <v>7</v>
      </c>
      <c r="AC747" s="115">
        <f>SUMIFS(AFS!$P$2:$P$6260,AFS!$N$2:$N$6260,B747,AFS!$AT$2:$AT$6260,AA747)</f>
        <v>0</v>
      </c>
      <c r="AD747" s="116">
        <f t="shared" si="8"/>
        <v>0</v>
      </c>
      <c r="AE747" s="117"/>
      <c r="AF747" s="118" t="str">
        <f t="shared" si="9"/>
        <v/>
      </c>
      <c r="AG747" s="26"/>
      <c r="AH747" s="26"/>
      <c r="AI747" s="26"/>
    </row>
    <row r="748">
      <c r="A748" s="120" t="s">
        <v>12088</v>
      </c>
      <c r="B748" s="7" t="s">
        <v>146</v>
      </c>
      <c r="C748" s="95" t="s">
        <v>12089</v>
      </c>
      <c r="D748" s="109" t="s">
        <v>179</v>
      </c>
      <c r="E748" s="97" t="str">
        <f t="shared" si="2"/>
        <v/>
      </c>
      <c r="F748" s="97" t="str">
        <f t="shared" si="3"/>
        <v/>
      </c>
      <c r="G748" s="99" t="str">
        <f t="shared" si="77"/>
        <v/>
      </c>
      <c r="H748" s="121"/>
      <c r="I748" s="122"/>
      <c r="J748" s="123"/>
      <c r="K748" s="124"/>
      <c r="L748" s="125"/>
      <c r="M748" s="181"/>
      <c r="N748" s="126"/>
      <c r="O748" s="127"/>
      <c r="P748" s="13">
        <f t="array" ref="P748">XLOOKUP(B748,Weight!B:B,Weight!D:D,"#N/A",0)</f>
        <v>100</v>
      </c>
      <c r="Q748" s="17" t="str">
        <f t="shared" si="6"/>
        <v/>
      </c>
      <c r="R748" s="107"/>
      <c r="S748" s="108">
        <v>420222.0</v>
      </c>
      <c r="T748" s="108">
        <v>18.0</v>
      </c>
      <c r="U748" s="109">
        <v>80.0</v>
      </c>
      <c r="V748" s="110"/>
      <c r="X748" s="111">
        <f>SUMIFS('Transit Shipment'!$B$10:$B$1048462,'Transit Shipment'!$A$10:$A$1048462,B748,'Transit Shipment'!$C$10:$C$1048462,AA748)</f>
        <v>0</v>
      </c>
      <c r="Y748" s="111">
        <f>IF(SUMIFS(DIH!$S$2:$S833,DIH!$D$2:$D833,B748,DIH!$U$2:$U833,AA748)&gt;0,SUMIFS(DIH!$S$2:$S833,DIH!$D$2:$D833,B748,DIH!$U$2:$U833,AA748),0)</f>
        <v>3</v>
      </c>
      <c r="Z748" s="112">
        <f t="shared" si="7"/>
        <v>3</v>
      </c>
      <c r="AA748" s="119" t="s">
        <v>14</v>
      </c>
      <c r="AB748" s="114">
        <f>IF(ISNA(VLOOKUP($B748,'Business Report'!$D$2:$J$202,2,0)),"",VLOOKUP($B748,'Business Report'!$D$2:$J$202,2,0))</f>
        <v>7</v>
      </c>
      <c r="AC748" s="115">
        <f>SUMIFS(AFS!$P$2:$P$6260,AFS!$N$2:$N$6260,B748,AFS!$AT$2:$AT$6260,AA748)</f>
        <v>1</v>
      </c>
      <c r="AD748" s="116">
        <f t="shared" si="8"/>
        <v>-1</v>
      </c>
      <c r="AE748" s="117"/>
      <c r="AF748" s="118" t="str">
        <f t="shared" si="9"/>
        <v/>
      </c>
      <c r="AG748" s="26"/>
      <c r="AH748" s="26"/>
      <c r="AI748" s="26"/>
    </row>
    <row r="749">
      <c r="A749" s="120" t="s">
        <v>12088</v>
      </c>
      <c r="B749" s="7" t="s">
        <v>146</v>
      </c>
      <c r="C749" s="95" t="s">
        <v>12089</v>
      </c>
      <c r="D749" s="109" t="s">
        <v>179</v>
      </c>
      <c r="E749" s="97" t="str">
        <f t="shared" si="2"/>
        <v/>
      </c>
      <c r="F749" s="97" t="str">
        <f t="shared" si="3"/>
        <v/>
      </c>
      <c r="G749" s="99" t="str">
        <f t="shared" si="77"/>
        <v/>
      </c>
      <c r="H749" s="121"/>
      <c r="I749" s="122"/>
      <c r="J749" s="123"/>
      <c r="K749" s="124"/>
      <c r="L749" s="125"/>
      <c r="M749" s="181"/>
      <c r="N749" s="126"/>
      <c r="O749" s="127"/>
      <c r="P749" s="13">
        <f t="array" ref="P749">XLOOKUP(B749,Weight!B:B,Weight!D:D,"#N/A",0)</f>
        <v>100</v>
      </c>
      <c r="Q749" s="17" t="str">
        <f t="shared" si="6"/>
        <v/>
      </c>
      <c r="R749" s="107"/>
      <c r="S749" s="108">
        <v>420222.0</v>
      </c>
      <c r="T749" s="108">
        <v>18.0</v>
      </c>
      <c r="U749" s="109">
        <v>80.0</v>
      </c>
      <c r="V749" s="110"/>
      <c r="X749" s="111">
        <f>SUMIFS('Transit Shipment'!$B$10:$B$1048462,'Transit Shipment'!$A$10:$A$1048462,B749,'Transit Shipment'!$C$10:$C$1048462,AA749)</f>
        <v>0</v>
      </c>
      <c r="Y749" s="111">
        <f>IF(SUMIFS(DIH!$S$2:$S833,DIH!$D$2:$D833,B749,DIH!$U$2:$U833,AA749)&gt;0,SUMIFS(DIH!$S$2:$S833,DIH!$D$2:$D833,B749,DIH!$U$2:$U833,AA749),0)</f>
        <v>18</v>
      </c>
      <c r="Z749" s="112">
        <f t="shared" si="7"/>
        <v>18</v>
      </c>
      <c r="AA749" s="131" t="s">
        <v>16</v>
      </c>
      <c r="AB749" s="114">
        <f>IF(ISNA(VLOOKUP($B749,'Business Report'!$D$2:$J$202,2,0)),"",VLOOKUP($B749,'Business Report'!$D$2:$J$202,2,0))</f>
        <v>7</v>
      </c>
      <c r="AC749" s="115">
        <f>SUMIFS(AFS!$P$2:$P$6260,AFS!$N$2:$N$6260,B749,AFS!$AT$2:$AT$6260,AA749)</f>
        <v>3</v>
      </c>
      <c r="AD749" s="116">
        <f t="shared" si="8"/>
        <v>-14</v>
      </c>
      <c r="AE749" s="117"/>
      <c r="AF749" s="118" t="str">
        <f t="shared" si="9"/>
        <v/>
      </c>
      <c r="AG749" s="26"/>
      <c r="AH749" s="26"/>
      <c r="AI749" s="26"/>
    </row>
    <row r="750">
      <c r="A750" s="132" t="s">
        <v>12088</v>
      </c>
      <c r="B750" s="15" t="s">
        <v>146</v>
      </c>
      <c r="C750" s="133" t="s">
        <v>12089</v>
      </c>
      <c r="D750" s="134" t="s">
        <v>179</v>
      </c>
      <c r="E750" s="135">
        <f t="shared" si="2"/>
        <v>1</v>
      </c>
      <c r="F750" s="135">
        <f t="shared" si="3"/>
        <v>0</v>
      </c>
      <c r="G750" s="136" t="str">
        <f t="shared" si="77"/>
        <v/>
      </c>
      <c r="H750" s="137"/>
      <c r="I750" s="138"/>
      <c r="J750" s="139"/>
      <c r="K750" s="140"/>
      <c r="L750" s="135"/>
      <c r="M750" s="152"/>
      <c r="N750" s="142"/>
      <c r="O750" s="143"/>
      <c r="P750" s="144">
        <f t="array" ref="P750">XLOOKUP(B750,Weight!B:B,Weight!D:D,"#N/A",0)</f>
        <v>100</v>
      </c>
      <c r="Q750" s="145" t="str">
        <f t="shared" si="6"/>
        <v/>
      </c>
      <c r="R750" s="146"/>
      <c r="S750" s="147">
        <v>420222.0</v>
      </c>
      <c r="T750" s="147">
        <v>18.0</v>
      </c>
      <c r="U750" s="109">
        <v>80.0</v>
      </c>
      <c r="V750" s="148"/>
      <c r="W750" s="149"/>
      <c r="X750" s="150">
        <f>SUMIFS('Transit Shipment'!$B$10:$B$1048462,'Transit Shipment'!$A$10:$A$1048462,B750,'Transit Shipment'!$C$10:$C$1048462,AA750)</f>
        <v>0</v>
      </c>
      <c r="Y750" s="150">
        <f>IF(SUMIFS(DIH!$S$2:$S833,DIH!$D$2:$D833,B750,DIH!$U$2:$U833,AA750)&gt;0,SUMIFS(DIH!$S$2:$S833,DIH!$D$2:$D833,B750,DIH!$U$2:$U833,AA750),0)</f>
        <v>0</v>
      </c>
      <c r="Z750" s="151">
        <f t="shared" si="7"/>
        <v>0</v>
      </c>
      <c r="AA750" s="152" t="s">
        <v>17</v>
      </c>
      <c r="AB750" s="154">
        <f>IF(ISNA(VLOOKUP($B750,'Business Report'!$D$2:$J$202,2,0)),"",VLOOKUP($B750,'Business Report'!$D$2:$J$202,2,0))</f>
        <v>7</v>
      </c>
      <c r="AC750" s="155">
        <f>SUMIFS(AFS!$P$2:$P$6260,AFS!$N$2:$N$6260,B750,AFS!$AT$2:$AT$6260,AA750)</f>
        <v>0</v>
      </c>
      <c r="AD750" s="156">
        <f t="shared" si="8"/>
        <v>0</v>
      </c>
      <c r="AE750" s="159">
        <f>SUM(AD742:AD750)</f>
        <v>-12</v>
      </c>
      <c r="AF750" s="118" t="str">
        <f t="shared" si="9"/>
        <v/>
      </c>
      <c r="AG750" s="26"/>
      <c r="AH750" s="26"/>
      <c r="AI750" s="26"/>
    </row>
    <row r="751">
      <c r="A751" s="66" t="s">
        <v>12088</v>
      </c>
      <c r="B751" s="1" t="s">
        <v>147</v>
      </c>
      <c r="C751" s="95" t="s">
        <v>12291</v>
      </c>
      <c r="D751" s="68" t="s">
        <v>179</v>
      </c>
      <c r="E751" s="69">
        <f t="shared" si="2"/>
        <v>1</v>
      </c>
      <c r="F751" s="69">
        <f t="shared" si="3"/>
        <v>0</v>
      </c>
      <c r="G751" s="70">
        <f t="shared" ref="G751:G759" si="117">IF(ISERROR(SEARCH("Apron",D751)),AF751,"")*2</f>
        <v>0</v>
      </c>
      <c r="H751" s="163"/>
      <c r="I751" s="101"/>
      <c r="J751" s="102"/>
      <c r="K751" s="167"/>
      <c r="L751" s="119"/>
      <c r="M751" s="169"/>
      <c r="N751" s="171"/>
      <c r="O751" s="106"/>
      <c r="P751" s="79">
        <f t="array" ref="P751">XLOOKUP(B751,Weight!B:B,Weight!D:D,"#N/A",0)</f>
        <v>200</v>
      </c>
      <c r="Q751" s="80" t="str">
        <f t="shared" si="6"/>
        <v/>
      </c>
      <c r="R751" s="107"/>
      <c r="S751" s="108">
        <v>420222.0</v>
      </c>
      <c r="T751" s="108">
        <v>18.0</v>
      </c>
      <c r="U751" s="83">
        <v>160.0</v>
      </c>
      <c r="V751" s="84" t="str">
        <f t="shared" ref="V751:W751" si="116">B751</f>
        <v>CP-BLACK-1-PACK OF 2</v>
      </c>
      <c r="W751" s="174" t="str">
        <f t="shared" si="116"/>
        <v>CRASOME Laptop Charger Pouch, Travel Organizer Pouch, Gadget Charger Pouch for Mouse, USB, Charger, Cables, Hard Disk (Pack of 2)</v>
      </c>
      <c r="X751" s="86">
        <f>SUMIFS('Transit Shipment'!$B$10:$B$1048462,'Transit Shipment'!$A$10:$A$1048462,B751,'Transit Shipment'!$C$10:$C$1048462,AA751)</f>
        <v>0</v>
      </c>
      <c r="Y751" s="86">
        <f>IF(SUMIFS(DIH!$S$2:$S833,DIH!$D$2:$D833,B751,DIH!$U$2:$U833,AA751)&gt;0,SUMIFS(DIH!$S$2:$S833,DIH!$D$2:$D833,B751,DIH!$U$2:$U833,AA751),0)</f>
        <v>0</v>
      </c>
      <c r="Z751" s="87">
        <f t="shared" si="7"/>
        <v>0</v>
      </c>
      <c r="AA751" s="88" t="s">
        <v>5</v>
      </c>
      <c r="AB751" s="89">
        <f>IF(ISNA(VLOOKUP($B751,'Business Report'!$D$2:$J$202,2,0)),"",VLOOKUP($B751,'Business Report'!$D$2:$J$202,2,0))</f>
        <v>5</v>
      </c>
      <c r="AC751" s="90">
        <f>SUMIFS(AFS!$P$2:$P$6260,AFS!$N$2:$N$6260,B751,AFS!$AT$2:$AT$6260,AA751)</f>
        <v>0</v>
      </c>
      <c r="AD751" s="91">
        <f t="shared" si="8"/>
        <v>0</v>
      </c>
      <c r="AE751" s="92"/>
      <c r="AF751" s="93" t="str">
        <f t="shared" si="9"/>
        <v/>
      </c>
      <c r="AG751" s="26"/>
      <c r="AH751" s="26"/>
      <c r="AI751" s="26"/>
    </row>
    <row r="752">
      <c r="A752" s="94" t="s">
        <v>12088</v>
      </c>
      <c r="B752" s="3" t="s">
        <v>147</v>
      </c>
      <c r="C752" s="95" t="s">
        <v>12291</v>
      </c>
      <c r="D752" s="96" t="s">
        <v>179</v>
      </c>
      <c r="E752" s="97">
        <f t="shared" si="2"/>
        <v>1</v>
      </c>
      <c r="F752" s="97">
        <f t="shared" si="3"/>
        <v>0</v>
      </c>
      <c r="G752" s="99">
        <f t="shared" si="117"/>
        <v>0</v>
      </c>
      <c r="H752" s="100"/>
      <c r="I752" s="101"/>
      <c r="J752" s="102"/>
      <c r="K752" s="103"/>
      <c r="L752" s="97"/>
      <c r="M752" s="169"/>
      <c r="N752" s="105"/>
      <c r="O752" s="106"/>
      <c r="P752" s="13">
        <f t="array" ref="P752">XLOOKUP(B752,Weight!B:B,Weight!D:D,"#N/A",0)</f>
        <v>200</v>
      </c>
      <c r="Q752" s="17" t="str">
        <f t="shared" si="6"/>
        <v/>
      </c>
      <c r="R752" s="107"/>
      <c r="S752" s="108">
        <v>420222.0</v>
      </c>
      <c r="T752" s="108">
        <v>18.0</v>
      </c>
      <c r="U752" s="109">
        <v>160.0</v>
      </c>
      <c r="V752" s="110"/>
      <c r="X752" s="111">
        <f>SUMIFS('Transit Shipment'!$B$10:$B$1048462,'Transit Shipment'!$A$10:$A$1048462,B752,'Transit Shipment'!$C$10:$C$1048462,AA752)</f>
        <v>0</v>
      </c>
      <c r="Y752" s="111">
        <f>IF(SUMIFS(DIH!$S$2:$S833,DIH!$D$2:$D833,B752,DIH!$U$2:$U833,AA752)&gt;0,SUMIFS(DIH!$S$2:$S833,DIH!$D$2:$D833,B752,DIH!$U$2:$U833,AA752),0)</f>
        <v>0</v>
      </c>
      <c r="Z752" s="112">
        <f t="shared" si="7"/>
        <v>0</v>
      </c>
      <c r="AA752" s="113" t="s">
        <v>11</v>
      </c>
      <c r="AB752" s="114">
        <f>IF(ISNA(VLOOKUP($B752,'Business Report'!$D$2:$J$202,2,0)),"",VLOOKUP($B752,'Business Report'!$D$2:$J$202,2,0))</f>
        <v>5</v>
      </c>
      <c r="AC752" s="115">
        <f>SUMIFS(AFS!$P$2:$P$6260,AFS!$N$2:$N$6260,B752,AFS!$AT$2:$AT$6260,AA752)</f>
        <v>0</v>
      </c>
      <c r="AD752" s="116">
        <f t="shared" si="8"/>
        <v>0</v>
      </c>
      <c r="AE752" s="117"/>
      <c r="AF752" s="118" t="str">
        <f t="shared" si="9"/>
        <v/>
      </c>
      <c r="AG752" s="26"/>
      <c r="AH752" s="26"/>
      <c r="AI752" s="26"/>
    </row>
    <row r="753">
      <c r="A753" s="94" t="s">
        <v>12088</v>
      </c>
      <c r="B753" s="3" t="s">
        <v>147</v>
      </c>
      <c r="C753" s="95" t="s">
        <v>12291</v>
      </c>
      <c r="D753" s="96" t="s">
        <v>179</v>
      </c>
      <c r="E753" s="97" t="str">
        <f t="shared" si="2"/>
        <v/>
      </c>
      <c r="F753" s="97" t="str">
        <f t="shared" si="3"/>
        <v/>
      </c>
      <c r="G753" s="99">
        <f t="shared" si="117"/>
        <v>0</v>
      </c>
      <c r="H753" s="100"/>
      <c r="I753" s="101"/>
      <c r="J753" s="102"/>
      <c r="K753" s="103"/>
      <c r="L753" s="97"/>
      <c r="M753" s="169"/>
      <c r="N753" s="105"/>
      <c r="O753" s="106"/>
      <c r="P753" s="13">
        <f t="array" ref="P753">XLOOKUP(B753,Weight!B:B,Weight!D:D,"#N/A",0)</f>
        <v>200</v>
      </c>
      <c r="Q753" s="17" t="str">
        <f t="shared" si="6"/>
        <v/>
      </c>
      <c r="R753" s="107"/>
      <c r="S753" s="108">
        <v>420222.0</v>
      </c>
      <c r="T753" s="108">
        <v>18.0</v>
      </c>
      <c r="U753" s="109">
        <v>160.0</v>
      </c>
      <c r="V753" s="110"/>
      <c r="X753" s="111">
        <f>SUMIFS('Transit Shipment'!$B$10:$B$1048462,'Transit Shipment'!$A$10:$A$1048462,B753,'Transit Shipment'!$C$10:$C$1048462,AA753)</f>
        <v>0</v>
      </c>
      <c r="Y753" s="111">
        <f>IF(SUMIFS(DIH!$S$2:$S833,DIH!$D$2:$D833,B753,DIH!$U$2:$U833,AA753)&gt;0,SUMIFS(DIH!$S$2:$S833,DIH!$D$2:$D833,B753,DIH!$U$2:$U833,AA753),0)</f>
        <v>9</v>
      </c>
      <c r="Z753" s="112">
        <f t="shared" si="7"/>
        <v>9</v>
      </c>
      <c r="AA753" s="119" t="s">
        <v>9</v>
      </c>
      <c r="AB753" s="114">
        <f>IF(ISNA(VLOOKUP($B753,'Business Report'!$D$2:$J$202,2,0)),"",VLOOKUP($B753,'Business Report'!$D$2:$J$202,2,0))</f>
        <v>5</v>
      </c>
      <c r="AC753" s="115">
        <f>SUMIFS(AFS!$P$2:$P$6260,AFS!$N$2:$N$6260,B753,AFS!$AT$2:$AT$6260,AA753)</f>
        <v>0</v>
      </c>
      <c r="AD753" s="116">
        <f t="shared" si="8"/>
        <v>-9</v>
      </c>
      <c r="AE753" s="117"/>
      <c r="AF753" s="118" t="str">
        <f t="shared" si="9"/>
        <v/>
      </c>
      <c r="AG753" s="26"/>
      <c r="AH753" s="26"/>
      <c r="AI753" s="26"/>
    </row>
    <row r="754">
      <c r="A754" s="120" t="s">
        <v>12088</v>
      </c>
      <c r="B754" s="7" t="s">
        <v>147</v>
      </c>
      <c r="C754" s="95" t="s">
        <v>12291</v>
      </c>
      <c r="D754" s="109" t="s">
        <v>179</v>
      </c>
      <c r="E754" s="97" t="str">
        <f t="shared" si="2"/>
        <v/>
      </c>
      <c r="F754" s="97" t="str">
        <f t="shared" si="3"/>
        <v/>
      </c>
      <c r="G754" s="99">
        <f t="shared" si="117"/>
        <v>0</v>
      </c>
      <c r="H754" s="121"/>
      <c r="I754" s="122"/>
      <c r="J754" s="123"/>
      <c r="K754" s="124"/>
      <c r="L754" s="125"/>
      <c r="M754" s="181"/>
      <c r="N754" s="126"/>
      <c r="O754" s="127"/>
      <c r="P754" s="13">
        <f t="array" ref="P754">XLOOKUP(B754,Weight!B:B,Weight!D:D,"#N/A",0)</f>
        <v>200</v>
      </c>
      <c r="Q754" s="17" t="str">
        <f t="shared" si="6"/>
        <v/>
      </c>
      <c r="R754" s="107"/>
      <c r="S754" s="108">
        <v>420222.0</v>
      </c>
      <c r="T754" s="108">
        <v>18.0</v>
      </c>
      <c r="U754" s="109">
        <v>160.0</v>
      </c>
      <c r="V754" s="110"/>
      <c r="X754" s="111">
        <f>SUMIFS('Transit Shipment'!$B$10:$B$1048462,'Transit Shipment'!$A$10:$A$1048462,B754,'Transit Shipment'!$C$10:$C$1048462,AA754)</f>
        <v>0</v>
      </c>
      <c r="Y754" s="111">
        <f>IF(SUMIFS(DIH!$S$2:$S833,DIH!$D$2:$D833,B754,DIH!$U$2:$U833,AA754)&gt;0,SUMIFS(DIH!$S$2:$S833,DIH!$D$2:$D833,B754,DIH!$U$2:$U833,AA754),0)</f>
        <v>2</v>
      </c>
      <c r="Z754" s="112">
        <f t="shared" si="7"/>
        <v>2</v>
      </c>
      <c r="AA754" s="119" t="s">
        <v>155</v>
      </c>
      <c r="AB754" s="114">
        <f>IF(ISNA(VLOOKUP($B754,'Business Report'!$D$2:$J$202,2,0)),"",VLOOKUP($B754,'Business Report'!$D$2:$J$202,2,0))</f>
        <v>5</v>
      </c>
      <c r="AC754" s="115">
        <f>SUMIFS(AFS!$P$2:$P$6260,AFS!$N$2:$N$6260,B754,AFS!$AT$2:$AT$6260,AA754)</f>
        <v>0</v>
      </c>
      <c r="AD754" s="116">
        <f t="shared" si="8"/>
        <v>-2</v>
      </c>
      <c r="AE754" s="117"/>
      <c r="AF754" s="118" t="str">
        <f t="shared" si="9"/>
        <v/>
      </c>
      <c r="AG754" s="26"/>
      <c r="AH754" s="26"/>
      <c r="AI754" s="26"/>
    </row>
    <row r="755">
      <c r="A755" s="120" t="s">
        <v>12088</v>
      </c>
      <c r="B755" s="7" t="s">
        <v>147</v>
      </c>
      <c r="C755" s="95" t="s">
        <v>12291</v>
      </c>
      <c r="D755" s="109" t="s">
        <v>179</v>
      </c>
      <c r="E755" s="97">
        <f t="shared" si="2"/>
        <v>1</v>
      </c>
      <c r="F755" s="97">
        <f t="shared" si="3"/>
        <v>0</v>
      </c>
      <c r="G755" s="99">
        <f t="shared" si="117"/>
        <v>0</v>
      </c>
      <c r="H755" s="121"/>
      <c r="I755" s="122"/>
      <c r="J755" s="123"/>
      <c r="K755" s="124"/>
      <c r="L755" s="125"/>
      <c r="M755" s="181"/>
      <c r="N755" s="126"/>
      <c r="O755" s="127"/>
      <c r="P755" s="13">
        <f t="array" ref="P755">XLOOKUP(B755,Weight!B:B,Weight!D:D,"#N/A",0)</f>
        <v>200</v>
      </c>
      <c r="Q755" s="17" t="str">
        <f t="shared" si="6"/>
        <v/>
      </c>
      <c r="R755" s="107"/>
      <c r="S755" s="108">
        <v>420222.0</v>
      </c>
      <c r="T755" s="108">
        <v>18.0</v>
      </c>
      <c r="U755" s="109">
        <v>160.0</v>
      </c>
      <c r="V755" s="110"/>
      <c r="X755" s="111">
        <f>SUMIFS('Transit Shipment'!$B$10:$B$1048462,'Transit Shipment'!$A$10:$A$1048462,B755,'Transit Shipment'!$C$10:$C$1048462,AA755)</f>
        <v>0</v>
      </c>
      <c r="Y755" s="111">
        <f>IF(SUMIFS(DIH!$S$2:$S833,DIH!$D$2:$D833,B755,DIH!$U$2:$U833,AA755)&gt;0,SUMIFS(DIH!$S$2:$S833,DIH!$D$2:$D833,B755,DIH!$U$2:$U833,AA755),0)</f>
        <v>2</v>
      </c>
      <c r="Z755" s="112">
        <f t="shared" si="7"/>
        <v>2</v>
      </c>
      <c r="AA755" s="119" t="s">
        <v>156</v>
      </c>
      <c r="AB755" s="114">
        <f>IF(ISNA(VLOOKUP($B755,'Business Report'!$D$2:$J$202,2,0)),"",VLOOKUP($B755,'Business Report'!$D$2:$J$202,2,0))</f>
        <v>5</v>
      </c>
      <c r="AC755" s="115">
        <f>SUMIFS(AFS!$P$2:$P$6260,AFS!$N$2:$N$6260,B755,AFS!$AT$2:$AT$6260,AA755)</f>
        <v>1</v>
      </c>
      <c r="AD755" s="116">
        <f t="shared" si="8"/>
        <v>0</v>
      </c>
      <c r="AE755" s="117"/>
      <c r="AF755" s="118" t="str">
        <f t="shared" si="9"/>
        <v/>
      </c>
      <c r="AG755" s="26"/>
      <c r="AH755" s="26"/>
      <c r="AI755" s="26"/>
    </row>
    <row r="756">
      <c r="A756" s="120" t="s">
        <v>12088</v>
      </c>
      <c r="B756" s="7" t="s">
        <v>147</v>
      </c>
      <c r="C756" s="95" t="s">
        <v>12291</v>
      </c>
      <c r="D756" s="109" t="s">
        <v>179</v>
      </c>
      <c r="E756" s="97">
        <f t="shared" si="2"/>
        <v>1</v>
      </c>
      <c r="F756" s="97">
        <f t="shared" si="3"/>
        <v>0</v>
      </c>
      <c r="G756" s="99">
        <f t="shared" si="117"/>
        <v>0</v>
      </c>
      <c r="H756" s="121"/>
      <c r="I756" s="122"/>
      <c r="J756" s="123"/>
      <c r="K756" s="124"/>
      <c r="L756" s="125"/>
      <c r="M756" s="181"/>
      <c r="N756" s="126"/>
      <c r="O756" s="127"/>
      <c r="P756" s="13">
        <f t="array" ref="P756">XLOOKUP(B756,Weight!B:B,Weight!D:D,"#N/A",0)</f>
        <v>200</v>
      </c>
      <c r="Q756" s="17" t="str">
        <f t="shared" si="6"/>
        <v/>
      </c>
      <c r="R756" s="107"/>
      <c r="S756" s="108">
        <v>420222.0</v>
      </c>
      <c r="T756" s="108">
        <v>18.0</v>
      </c>
      <c r="U756" s="109">
        <v>160.0</v>
      </c>
      <c r="V756" s="110"/>
      <c r="X756" s="111">
        <f>SUMIFS('Transit Shipment'!$B$10:$B$1048462,'Transit Shipment'!$A$10:$A$1048462,B756,'Transit Shipment'!$C$10:$C$1048462,AA756)</f>
        <v>0</v>
      </c>
      <c r="Y756" s="111">
        <f>IF(SUMIFS(DIH!$S$2:$S833,DIH!$D$2:$D833,B756,DIH!$U$2:$U833,AA756)&gt;0,SUMIFS(DIH!$S$2:$S833,DIH!$D$2:$D833,B756,DIH!$U$2:$U833,AA756),0)</f>
        <v>0</v>
      </c>
      <c r="Z756" s="112">
        <f t="shared" si="7"/>
        <v>0</v>
      </c>
      <c r="AA756" s="130" t="s">
        <v>13</v>
      </c>
      <c r="AB756" s="114">
        <f>IF(ISNA(VLOOKUP($B756,'Business Report'!$D$2:$J$202,2,0)),"",VLOOKUP($B756,'Business Report'!$D$2:$J$202,2,0))</f>
        <v>5</v>
      </c>
      <c r="AC756" s="115">
        <f>SUMIFS(AFS!$P$2:$P$6260,AFS!$N$2:$N$6260,B756,AFS!$AT$2:$AT$6260,AA756)</f>
        <v>0</v>
      </c>
      <c r="AD756" s="116">
        <f t="shared" si="8"/>
        <v>0</v>
      </c>
      <c r="AE756" s="117"/>
      <c r="AF756" s="118" t="str">
        <f t="shared" si="9"/>
        <v/>
      </c>
      <c r="AG756" s="26"/>
      <c r="AH756" s="26"/>
      <c r="AI756" s="26"/>
    </row>
    <row r="757">
      <c r="A757" s="120" t="s">
        <v>12088</v>
      </c>
      <c r="B757" s="7" t="s">
        <v>147</v>
      </c>
      <c r="C757" s="95" t="s">
        <v>12291</v>
      </c>
      <c r="D757" s="109" t="s">
        <v>179</v>
      </c>
      <c r="E757" s="97">
        <f t="shared" si="2"/>
        <v>1</v>
      </c>
      <c r="F757" s="97">
        <f t="shared" si="3"/>
        <v>0.5</v>
      </c>
      <c r="G757" s="99">
        <f t="shared" si="117"/>
        <v>8</v>
      </c>
      <c r="H757" s="121"/>
      <c r="I757" s="122"/>
      <c r="J757" s="123"/>
      <c r="K757" s="124"/>
      <c r="L757" s="125"/>
      <c r="M757" s="181"/>
      <c r="N757" s="126"/>
      <c r="O757" s="127"/>
      <c r="P757" s="13">
        <f t="array" ref="P757">XLOOKUP(B757,Weight!B:B,Weight!D:D,"#N/A",0)</f>
        <v>200</v>
      </c>
      <c r="Q757" s="17">
        <f t="shared" si="6"/>
        <v>800</v>
      </c>
      <c r="R757" s="107"/>
      <c r="S757" s="108">
        <v>420222.0</v>
      </c>
      <c r="T757" s="108">
        <v>18.0</v>
      </c>
      <c r="U757" s="109">
        <v>160.0</v>
      </c>
      <c r="V757" s="110"/>
      <c r="X757" s="111">
        <f>SUMIFS('Transit Shipment'!$B$10:$B$1048462,'Transit Shipment'!$A$10:$A$1048462,B757,'Transit Shipment'!$C$10:$C$1048462,AA757)</f>
        <v>0</v>
      </c>
      <c r="Y757" s="111">
        <f>IF(SUMIFS(DIH!$S$2:$S833,DIH!$D$2:$D833,B757,DIH!$U$2:$U833,AA757)&gt;0,SUMIFS(DIH!$S$2:$S833,DIH!$D$2:$D833,B757,DIH!$U$2:$U833,AA757),0)</f>
        <v>1</v>
      </c>
      <c r="Z757" s="112">
        <f t="shared" si="7"/>
        <v>1</v>
      </c>
      <c r="AA757" s="119" t="s">
        <v>14</v>
      </c>
      <c r="AB757" s="114">
        <f>IF(ISNA(VLOOKUP($B757,'Business Report'!$D$2:$J$202,2,0)),"",VLOOKUP($B757,'Business Report'!$D$2:$J$202,2,0))</f>
        <v>5</v>
      </c>
      <c r="AC757" s="115">
        <f>SUMIFS(AFS!$P$2:$P$6260,AFS!$N$2:$N$6260,B757,AFS!$AT$2:$AT$6260,AA757)</f>
        <v>3</v>
      </c>
      <c r="AD757" s="116">
        <f t="shared" si="8"/>
        <v>3</v>
      </c>
      <c r="AE757" s="117"/>
      <c r="AF757" s="118">
        <f t="shared" si="9"/>
        <v>4</v>
      </c>
      <c r="AG757" s="26"/>
      <c r="AH757" s="26"/>
      <c r="AI757" s="26"/>
    </row>
    <row r="758">
      <c r="A758" s="120" t="s">
        <v>12088</v>
      </c>
      <c r="B758" s="7" t="s">
        <v>147</v>
      </c>
      <c r="C758" s="95" t="s">
        <v>12291</v>
      </c>
      <c r="D758" s="109" t="s">
        <v>179</v>
      </c>
      <c r="E758" s="97">
        <f t="shared" si="2"/>
        <v>1</v>
      </c>
      <c r="F758" s="97">
        <f t="shared" si="3"/>
        <v>0</v>
      </c>
      <c r="G758" s="99">
        <f t="shared" si="117"/>
        <v>0</v>
      </c>
      <c r="H758" s="121"/>
      <c r="I758" s="122"/>
      <c r="J758" s="123"/>
      <c r="K758" s="124"/>
      <c r="L758" s="125"/>
      <c r="M758" s="181"/>
      <c r="N758" s="126"/>
      <c r="O758" s="127"/>
      <c r="P758" s="13">
        <f t="array" ref="P758">XLOOKUP(B758,Weight!B:B,Weight!D:D,"#N/A",0)</f>
        <v>200</v>
      </c>
      <c r="Q758" s="17" t="str">
        <f t="shared" si="6"/>
        <v/>
      </c>
      <c r="R758" s="107"/>
      <c r="S758" s="108">
        <v>420222.0</v>
      </c>
      <c r="T758" s="108">
        <v>18.0</v>
      </c>
      <c r="U758" s="109">
        <v>160.0</v>
      </c>
      <c r="V758" s="110"/>
      <c r="X758" s="111">
        <f>SUMIFS('Transit Shipment'!$B$10:$B$1048462,'Transit Shipment'!$A$10:$A$1048462,B758,'Transit Shipment'!$C$10:$C$1048462,AA758)</f>
        <v>0</v>
      </c>
      <c r="Y758" s="111">
        <f>IF(SUMIFS(DIH!$S$2:$S833,DIH!$D$2:$D833,B758,DIH!$U$2:$U833,AA758)&gt;0,SUMIFS(DIH!$S$2:$S833,DIH!$D$2:$D833,B758,DIH!$U$2:$U833,AA758),0)</f>
        <v>0</v>
      </c>
      <c r="Z758" s="112">
        <f t="shared" si="7"/>
        <v>0</v>
      </c>
      <c r="AA758" s="131" t="s">
        <v>16</v>
      </c>
      <c r="AB758" s="114">
        <f>IF(ISNA(VLOOKUP($B758,'Business Report'!$D$2:$J$202,2,0)),"",VLOOKUP($B758,'Business Report'!$D$2:$J$202,2,0))</f>
        <v>5</v>
      </c>
      <c r="AC758" s="115">
        <f>SUMIFS(AFS!$P$2:$P$6260,AFS!$N$2:$N$6260,B758,AFS!$AT$2:$AT$6260,AA758)</f>
        <v>0</v>
      </c>
      <c r="AD758" s="116">
        <f t="shared" si="8"/>
        <v>0</v>
      </c>
      <c r="AE758" s="117"/>
      <c r="AF758" s="118" t="str">
        <f t="shared" si="9"/>
        <v/>
      </c>
      <c r="AG758" s="26"/>
      <c r="AH758" s="26"/>
      <c r="AI758" s="26"/>
    </row>
    <row r="759">
      <c r="A759" s="132" t="s">
        <v>12088</v>
      </c>
      <c r="B759" s="15" t="s">
        <v>147</v>
      </c>
      <c r="C759" s="133" t="s">
        <v>12291</v>
      </c>
      <c r="D759" s="134" t="s">
        <v>179</v>
      </c>
      <c r="E759" s="135">
        <f t="shared" si="2"/>
        <v>1</v>
      </c>
      <c r="F759" s="135">
        <f t="shared" si="3"/>
        <v>0</v>
      </c>
      <c r="G759" s="136">
        <f t="shared" si="117"/>
        <v>0</v>
      </c>
      <c r="H759" s="137"/>
      <c r="I759" s="138"/>
      <c r="J759" s="139"/>
      <c r="K759" s="140"/>
      <c r="L759" s="135"/>
      <c r="M759" s="152"/>
      <c r="N759" s="142"/>
      <c r="O759" s="143"/>
      <c r="P759" s="144">
        <f t="array" ref="P759">XLOOKUP(B759,Weight!B:B,Weight!D:D,"#N/A",0)</f>
        <v>200</v>
      </c>
      <c r="Q759" s="145" t="str">
        <f t="shared" si="6"/>
        <v/>
      </c>
      <c r="R759" s="146"/>
      <c r="S759" s="147">
        <v>420222.0</v>
      </c>
      <c r="T759" s="147">
        <v>18.0</v>
      </c>
      <c r="U759" s="109">
        <v>160.0</v>
      </c>
      <c r="V759" s="148"/>
      <c r="W759" s="149"/>
      <c r="X759" s="150">
        <f>SUMIFS('Transit Shipment'!$B$10:$B$1048462,'Transit Shipment'!$A$10:$A$1048462,B759,'Transit Shipment'!$C$10:$C$1048462,AA759)</f>
        <v>0</v>
      </c>
      <c r="Y759" s="150">
        <f>IF(SUMIFS(DIH!$S$2:$S833,DIH!$D$2:$D833,B759,DIH!$U$2:$U833,AA759)&gt;0,SUMIFS(DIH!$S$2:$S833,DIH!$D$2:$D833,B759,DIH!$U$2:$U833,AA759),0)</f>
        <v>0</v>
      </c>
      <c r="Z759" s="151">
        <f t="shared" si="7"/>
        <v>0</v>
      </c>
      <c r="AA759" s="152" t="s">
        <v>17</v>
      </c>
      <c r="AB759" s="154">
        <f>IF(ISNA(VLOOKUP($B759,'Business Report'!$D$2:$J$202,2,0)),"",VLOOKUP($B759,'Business Report'!$D$2:$J$202,2,0))</f>
        <v>5</v>
      </c>
      <c r="AC759" s="155">
        <f>SUMIFS(AFS!$P$2:$P$6260,AFS!$N$2:$N$6260,B759,AFS!$AT$2:$AT$6260,AA759)</f>
        <v>0</v>
      </c>
      <c r="AD759" s="156">
        <f t="shared" si="8"/>
        <v>0</v>
      </c>
      <c r="AE759" s="159">
        <f>SUM(AD751:AD759)</f>
        <v>-8</v>
      </c>
      <c r="AF759" s="118" t="str">
        <f t="shared" si="9"/>
        <v/>
      </c>
      <c r="AG759" s="26"/>
      <c r="AH759" s="26"/>
      <c r="AI759" s="26"/>
    </row>
    <row r="760">
      <c r="A760" s="66" t="s">
        <v>12480</v>
      </c>
      <c r="B760" s="1" t="s">
        <v>148</v>
      </c>
      <c r="C760" s="95" t="s">
        <v>12481</v>
      </c>
      <c r="D760" s="68" t="s">
        <v>179</v>
      </c>
      <c r="E760" s="69">
        <f t="shared" si="2"/>
        <v>1</v>
      </c>
      <c r="F760" s="69">
        <f t="shared" si="3"/>
        <v>0.5</v>
      </c>
      <c r="G760" s="70">
        <f t="shared" ref="G760:G822" si="119">IF(ISERROR(SEARCH("Apron",D760)),AF760,"")</f>
        <v>4</v>
      </c>
      <c r="H760" s="163"/>
      <c r="I760" s="101"/>
      <c r="J760" s="102"/>
      <c r="K760" s="167"/>
      <c r="L760" s="119"/>
      <c r="M760" s="169"/>
      <c r="N760" s="171"/>
      <c r="O760" s="106"/>
      <c r="P760" s="79">
        <f t="array" ref="P760">XLOOKUP(B760,Weight!B:B,Weight!D:D,"#N/A",0)</f>
        <v>180</v>
      </c>
      <c r="Q760" s="80">
        <f t="shared" si="6"/>
        <v>720</v>
      </c>
      <c r="R760" s="107"/>
      <c r="S760" s="108">
        <v>420222.0</v>
      </c>
      <c r="T760" s="108">
        <v>18.0</v>
      </c>
      <c r="U760" s="83">
        <v>80.0</v>
      </c>
      <c r="V760" s="84" t="str">
        <f t="shared" ref="V760:W760" si="118">B760</f>
        <v>CRM-CP2-GREY-2Q</v>
      </c>
      <c r="W760" s="174" t="str">
        <f t="shared" si="118"/>
        <v>CRASOME Laptop Charger Pouch, Travel Organizer Pouch, Gadget Charger Pouch for Mouse, USB, Charger, Cables, Power Bank, Dongle,Hard Disk, (CP2-Grey Pack-2)</v>
      </c>
      <c r="X760" s="86">
        <f>SUMIFS('Transit Shipment'!$B$10:$B$1048462,'Transit Shipment'!$A$10:$A$1048462,B760,'Transit Shipment'!$C$10:$C$1048462,AA760)</f>
        <v>0</v>
      </c>
      <c r="Y760" s="86">
        <f>IF(SUMIFS(DIH!$S$2:$S833,DIH!$D$2:$D833,B760,DIH!$U$2:$U833,AA760)&gt;0,SUMIFS(DIH!$S$2:$S833,DIH!$D$2:$D833,B760,DIH!$U$2:$U833,AA760),0)</f>
        <v>0</v>
      </c>
      <c r="Z760" s="87">
        <f t="shared" si="7"/>
        <v>0</v>
      </c>
      <c r="AA760" s="88" t="s">
        <v>5</v>
      </c>
      <c r="AB760" s="89">
        <f>IF(ISNA(VLOOKUP($B760,'Business Report'!$D$2:$J$202,2,0)),"",VLOOKUP($B760,'Business Report'!$D$2:$J$202,2,0))</f>
        <v>12</v>
      </c>
      <c r="AC760" s="90">
        <f>SUMIFS(AFS!$P$2:$P$6260,AFS!$N$2:$N$6260,B760,AFS!$AT$2:$AT$6260,AA760)</f>
        <v>2</v>
      </c>
      <c r="AD760" s="91">
        <f t="shared" si="8"/>
        <v>3</v>
      </c>
      <c r="AE760" s="92"/>
      <c r="AF760" s="93">
        <f t="shared" si="9"/>
        <v>4</v>
      </c>
      <c r="AG760" s="26"/>
      <c r="AH760" s="26"/>
      <c r="AI760" s="26"/>
    </row>
    <row r="761">
      <c r="A761" s="94" t="s">
        <v>12480</v>
      </c>
      <c r="B761" s="3" t="s">
        <v>148</v>
      </c>
      <c r="C761" s="95" t="s">
        <v>12481</v>
      </c>
      <c r="D761" s="96" t="s">
        <v>179</v>
      </c>
      <c r="E761" s="97" t="str">
        <f t="shared" si="2"/>
        <v/>
      </c>
      <c r="F761" s="97" t="str">
        <f t="shared" si="3"/>
        <v/>
      </c>
      <c r="G761" s="99" t="str">
        <f t="shared" si="119"/>
        <v/>
      </c>
      <c r="H761" s="100"/>
      <c r="I761" s="101"/>
      <c r="J761" s="102"/>
      <c r="K761" s="103"/>
      <c r="L761" s="97"/>
      <c r="M761" s="169"/>
      <c r="N761" s="105"/>
      <c r="O761" s="106"/>
      <c r="P761" s="13">
        <f t="array" ref="P761">XLOOKUP(B761,Weight!B:B,Weight!D:D,"#N/A",0)</f>
        <v>180</v>
      </c>
      <c r="Q761" s="17" t="str">
        <f t="shared" si="6"/>
        <v/>
      </c>
      <c r="R761" s="107"/>
      <c r="S761" s="108">
        <v>420222.0</v>
      </c>
      <c r="T761" s="108">
        <v>18.0</v>
      </c>
      <c r="U761" s="109">
        <v>80.0</v>
      </c>
      <c r="V761" s="110"/>
      <c r="X761" s="111">
        <f>SUMIFS('Transit Shipment'!$B$10:$B$1048462,'Transit Shipment'!$A$10:$A$1048462,B761,'Transit Shipment'!$C$10:$C$1048462,AA761)</f>
        <v>0</v>
      </c>
      <c r="Y761" s="111">
        <f>IF(SUMIFS(DIH!$S$2:$S833,DIH!$D$2:$D833,B761,DIH!$U$2:$U833,AA761)&gt;0,SUMIFS(DIH!$S$2:$S833,DIH!$D$2:$D833,B761,DIH!$U$2:$U833,AA761),0)</f>
        <v>5</v>
      </c>
      <c r="Z761" s="112">
        <f t="shared" si="7"/>
        <v>5</v>
      </c>
      <c r="AA761" s="113" t="s">
        <v>11</v>
      </c>
      <c r="AB761" s="114">
        <f>IF(ISNA(VLOOKUP($B761,'Business Report'!$D$2:$J$202,2,0)),"",VLOOKUP($B761,'Business Report'!$D$2:$J$202,2,0))</f>
        <v>12</v>
      </c>
      <c r="AC761" s="115">
        <f>SUMIFS(AFS!$P$2:$P$6260,AFS!$N$2:$N$6260,B761,AFS!$AT$2:$AT$6260,AA761)</f>
        <v>1</v>
      </c>
      <c r="AD761" s="116">
        <f t="shared" si="8"/>
        <v>-3</v>
      </c>
      <c r="AE761" s="117"/>
      <c r="AF761" s="118" t="str">
        <f t="shared" si="9"/>
        <v/>
      </c>
      <c r="AG761" s="26"/>
      <c r="AH761" s="26"/>
      <c r="AI761" s="26"/>
    </row>
    <row r="762">
      <c r="A762" s="94" t="s">
        <v>12480</v>
      </c>
      <c r="B762" s="3" t="s">
        <v>148</v>
      </c>
      <c r="C762" s="95" t="s">
        <v>12481</v>
      </c>
      <c r="D762" s="96" t="s">
        <v>179</v>
      </c>
      <c r="E762" s="97" t="str">
        <f t="shared" si="2"/>
        <v/>
      </c>
      <c r="F762" s="97" t="str">
        <f t="shared" si="3"/>
        <v/>
      </c>
      <c r="G762" s="99" t="str">
        <f t="shared" si="119"/>
        <v/>
      </c>
      <c r="H762" s="100"/>
      <c r="I762" s="101"/>
      <c r="J762" s="102"/>
      <c r="K762" s="103"/>
      <c r="L762" s="97"/>
      <c r="M762" s="169"/>
      <c r="N762" s="105"/>
      <c r="O762" s="106"/>
      <c r="P762" s="13">
        <f t="array" ref="P762">XLOOKUP(B762,Weight!B:B,Weight!D:D,"#N/A",0)</f>
        <v>180</v>
      </c>
      <c r="Q762" s="17" t="str">
        <f t="shared" si="6"/>
        <v/>
      </c>
      <c r="R762" s="107"/>
      <c r="S762" s="108">
        <v>420222.0</v>
      </c>
      <c r="T762" s="108">
        <v>18.0</v>
      </c>
      <c r="U762" s="109">
        <v>80.0</v>
      </c>
      <c r="V762" s="110"/>
      <c r="X762" s="111">
        <f>SUMIFS('Transit Shipment'!$B$10:$B$1048462,'Transit Shipment'!$A$10:$A$1048462,B762,'Transit Shipment'!$C$10:$C$1048462,AA762)</f>
        <v>0</v>
      </c>
      <c r="Y762" s="111">
        <f>IF(SUMIFS(DIH!$S$2:$S833,DIH!$D$2:$D833,B762,DIH!$U$2:$U833,AA762)&gt;0,SUMIFS(DIH!$S$2:$S833,DIH!$D$2:$D833,B762,DIH!$U$2:$U833,AA762),0)</f>
        <v>9</v>
      </c>
      <c r="Z762" s="112">
        <f t="shared" si="7"/>
        <v>9</v>
      </c>
      <c r="AA762" s="119" t="s">
        <v>9</v>
      </c>
      <c r="AB762" s="114">
        <f>IF(ISNA(VLOOKUP($B762,'Business Report'!$D$2:$J$202,2,0)),"",VLOOKUP($B762,'Business Report'!$D$2:$J$202,2,0))</f>
        <v>12</v>
      </c>
      <c r="AC762" s="115">
        <f>SUMIFS(AFS!$P$2:$P$6260,AFS!$N$2:$N$6260,B762,AFS!$AT$2:$AT$6260,AA762)</f>
        <v>3</v>
      </c>
      <c r="AD762" s="116">
        <f t="shared" si="8"/>
        <v>-5</v>
      </c>
      <c r="AE762" s="117"/>
      <c r="AF762" s="118" t="str">
        <f t="shared" si="9"/>
        <v/>
      </c>
      <c r="AG762" s="26"/>
      <c r="AH762" s="26"/>
      <c r="AI762" s="26"/>
    </row>
    <row r="763">
      <c r="A763" s="120" t="s">
        <v>12480</v>
      </c>
      <c r="B763" s="7" t="s">
        <v>148</v>
      </c>
      <c r="C763" s="95" t="s">
        <v>12481</v>
      </c>
      <c r="D763" s="109" t="s">
        <v>179</v>
      </c>
      <c r="E763" s="97">
        <f t="shared" si="2"/>
        <v>0</v>
      </c>
      <c r="F763" s="97">
        <f t="shared" si="3"/>
        <v>0.5</v>
      </c>
      <c r="G763" s="99">
        <f t="shared" si="119"/>
        <v>2</v>
      </c>
      <c r="H763" s="121"/>
      <c r="I763" s="122"/>
      <c r="J763" s="123"/>
      <c r="K763" s="124"/>
      <c r="L763" s="125"/>
      <c r="M763" s="181"/>
      <c r="N763" s="126"/>
      <c r="O763" s="127"/>
      <c r="P763" s="13">
        <f t="array" ref="P763">XLOOKUP(B763,Weight!B:B,Weight!D:D,"#N/A",0)</f>
        <v>180</v>
      </c>
      <c r="Q763" s="17">
        <f t="shared" si="6"/>
        <v>360</v>
      </c>
      <c r="R763" s="107"/>
      <c r="S763" s="108">
        <v>420222.0</v>
      </c>
      <c r="T763" s="108">
        <v>18.0</v>
      </c>
      <c r="U763" s="109">
        <v>80.0</v>
      </c>
      <c r="V763" s="110"/>
      <c r="X763" s="111">
        <f>SUMIFS('Transit Shipment'!$B$10:$B$1048462,'Transit Shipment'!$A$10:$A$1048462,B763,'Transit Shipment'!$C$10:$C$1048462,AA763)</f>
        <v>0</v>
      </c>
      <c r="Y763" s="111">
        <f>IF(SUMIFS(DIH!$S$2:$S833,DIH!$D$2:$D833,B763,DIH!$U$2:$U833,AA763)&gt;0,SUMIFS(DIH!$S$2:$S833,DIH!$D$2:$D833,B763,DIH!$U$2:$U833,AA763),0)</f>
        <v>2</v>
      </c>
      <c r="Z763" s="112">
        <f t="shared" si="7"/>
        <v>2</v>
      </c>
      <c r="AA763" s="119" t="s">
        <v>155</v>
      </c>
      <c r="AB763" s="114">
        <f>IF(ISNA(VLOOKUP($B763,'Business Report'!$D$2:$J$202,2,0)),"",VLOOKUP($B763,'Business Report'!$D$2:$J$202,2,0))</f>
        <v>12</v>
      </c>
      <c r="AC763" s="115">
        <f>SUMIFS(AFS!$P$2:$P$6260,AFS!$N$2:$N$6260,B763,AFS!$AT$2:$AT$6260,AA763)</f>
        <v>2</v>
      </c>
      <c r="AD763" s="116">
        <f t="shared" si="8"/>
        <v>1</v>
      </c>
      <c r="AE763" s="117"/>
      <c r="AF763" s="118">
        <f t="shared" si="9"/>
        <v>2</v>
      </c>
      <c r="AG763" s="26"/>
      <c r="AH763" s="26"/>
      <c r="AI763" s="26"/>
    </row>
    <row r="764">
      <c r="A764" s="120" t="s">
        <v>12480</v>
      </c>
      <c r="B764" s="7" t="s">
        <v>148</v>
      </c>
      <c r="C764" s="95" t="s">
        <v>12481</v>
      </c>
      <c r="D764" s="109" t="s">
        <v>179</v>
      </c>
      <c r="E764" s="97" t="str">
        <f t="shared" si="2"/>
        <v/>
      </c>
      <c r="F764" s="97" t="str">
        <f t="shared" si="3"/>
        <v/>
      </c>
      <c r="G764" s="99" t="str">
        <f t="shared" si="119"/>
        <v/>
      </c>
      <c r="H764" s="121"/>
      <c r="I764" s="122"/>
      <c r="J764" s="123"/>
      <c r="K764" s="124"/>
      <c r="L764" s="125"/>
      <c r="M764" s="181"/>
      <c r="N764" s="126"/>
      <c r="O764" s="127"/>
      <c r="P764" s="13">
        <f t="array" ref="P764">XLOOKUP(B764,Weight!B:B,Weight!D:D,"#N/A",0)</f>
        <v>180</v>
      </c>
      <c r="Q764" s="17" t="str">
        <f t="shared" si="6"/>
        <v/>
      </c>
      <c r="R764" s="107"/>
      <c r="S764" s="108">
        <v>420222.0</v>
      </c>
      <c r="T764" s="108">
        <v>18.0</v>
      </c>
      <c r="U764" s="109">
        <v>80.0</v>
      </c>
      <c r="V764" s="110"/>
      <c r="X764" s="111">
        <f>SUMIFS('Transit Shipment'!$B$10:$B$1048462,'Transit Shipment'!$A$10:$A$1048462,B764,'Transit Shipment'!$C$10:$C$1048462,AA764)</f>
        <v>0</v>
      </c>
      <c r="Y764" s="111">
        <f>IF(SUMIFS(DIH!$S$2:$S833,DIH!$D$2:$D833,B764,DIH!$U$2:$U833,AA764)&gt;0,SUMIFS(DIH!$S$2:$S833,DIH!$D$2:$D833,B764,DIH!$U$2:$U833,AA764),0)</f>
        <v>7</v>
      </c>
      <c r="Z764" s="112">
        <f t="shared" si="7"/>
        <v>7</v>
      </c>
      <c r="AA764" s="119" t="s">
        <v>156</v>
      </c>
      <c r="AB764" s="114">
        <f>IF(ISNA(VLOOKUP($B764,'Business Report'!$D$2:$J$202,2,0)),"",VLOOKUP($B764,'Business Report'!$D$2:$J$202,2,0))</f>
        <v>12</v>
      </c>
      <c r="AC764" s="115">
        <f>SUMIFS(AFS!$P$2:$P$6260,AFS!$N$2:$N$6260,B764,AFS!$AT$2:$AT$6260,AA764)</f>
        <v>4</v>
      </c>
      <c r="AD764" s="116">
        <f t="shared" si="8"/>
        <v>-1</v>
      </c>
      <c r="AE764" s="117"/>
      <c r="AF764" s="118" t="str">
        <f t="shared" si="9"/>
        <v/>
      </c>
      <c r="AG764" s="26"/>
      <c r="AH764" s="26"/>
      <c r="AI764" s="26"/>
    </row>
    <row r="765">
      <c r="A765" s="120" t="s">
        <v>12480</v>
      </c>
      <c r="B765" s="7" t="s">
        <v>148</v>
      </c>
      <c r="C765" s="95" t="s">
        <v>12481</v>
      </c>
      <c r="D765" s="109" t="s">
        <v>179</v>
      </c>
      <c r="E765" s="97">
        <f t="shared" si="2"/>
        <v>2</v>
      </c>
      <c r="F765" s="97">
        <f t="shared" si="3"/>
        <v>0</v>
      </c>
      <c r="G765" s="99">
        <f t="shared" si="119"/>
        <v>4</v>
      </c>
      <c r="H765" s="121"/>
      <c r="I765" s="122"/>
      <c r="J765" s="123"/>
      <c r="K765" s="124"/>
      <c r="L765" s="125"/>
      <c r="M765" s="181"/>
      <c r="N765" s="126"/>
      <c r="O765" s="127"/>
      <c r="P765" s="13">
        <f t="array" ref="P765">XLOOKUP(B765,Weight!B:B,Weight!D:D,"#N/A",0)</f>
        <v>180</v>
      </c>
      <c r="Q765" s="17">
        <f t="shared" si="6"/>
        <v>720</v>
      </c>
      <c r="R765" s="107"/>
      <c r="S765" s="108">
        <v>420222.0</v>
      </c>
      <c r="T765" s="108">
        <v>18.0</v>
      </c>
      <c r="U765" s="109">
        <v>80.0</v>
      </c>
      <c r="V765" s="110"/>
      <c r="X765" s="111">
        <f>SUMIFS('Transit Shipment'!$B$10:$B$1048462,'Transit Shipment'!$A$10:$A$1048462,B765,'Transit Shipment'!$C$10:$C$1048462,AA765)</f>
        <v>0</v>
      </c>
      <c r="Y765" s="111">
        <f>IF(SUMIFS(DIH!$S$2:$S833,DIH!$D$2:$D833,B765,DIH!$U$2:$U833,AA765)&gt;0,SUMIFS(DIH!$S$2:$S833,DIH!$D$2:$D833,B765,DIH!$U$2:$U833,AA765),0)</f>
        <v>0</v>
      </c>
      <c r="Z765" s="112">
        <f t="shared" si="7"/>
        <v>0</v>
      </c>
      <c r="AA765" s="130" t="s">
        <v>13</v>
      </c>
      <c r="AB765" s="114">
        <f>IF(ISNA(VLOOKUP($B765,'Business Report'!$D$2:$J$202,2,0)),"",VLOOKUP($B765,'Business Report'!$D$2:$J$202,2,0))</f>
        <v>12</v>
      </c>
      <c r="AC765" s="115">
        <f>SUMIFS(AFS!$P$2:$P$6260,AFS!$N$2:$N$6260,B765,AFS!$AT$2:$AT$6260,AA765)</f>
        <v>3</v>
      </c>
      <c r="AD765" s="116">
        <f t="shared" si="8"/>
        <v>4</v>
      </c>
      <c r="AE765" s="117"/>
      <c r="AF765" s="118">
        <f t="shared" si="9"/>
        <v>4</v>
      </c>
      <c r="AG765" s="26"/>
      <c r="AH765" s="26"/>
      <c r="AI765" s="26"/>
    </row>
    <row r="766">
      <c r="A766" s="120" t="s">
        <v>12480</v>
      </c>
      <c r="B766" s="7" t="s">
        <v>148</v>
      </c>
      <c r="C766" s="95" t="s">
        <v>12481</v>
      </c>
      <c r="D766" s="109" t="s">
        <v>179</v>
      </c>
      <c r="E766" s="97" t="str">
        <f t="shared" si="2"/>
        <v/>
      </c>
      <c r="F766" s="97" t="str">
        <f t="shared" si="3"/>
        <v/>
      </c>
      <c r="G766" s="99" t="str">
        <f t="shared" si="119"/>
        <v/>
      </c>
      <c r="H766" s="121"/>
      <c r="I766" s="122"/>
      <c r="J766" s="123"/>
      <c r="K766" s="124"/>
      <c r="L766" s="125"/>
      <c r="M766" s="181"/>
      <c r="N766" s="126"/>
      <c r="O766" s="127"/>
      <c r="P766" s="13">
        <f t="array" ref="P766">XLOOKUP(B766,Weight!B:B,Weight!D:D,"#N/A",0)</f>
        <v>180</v>
      </c>
      <c r="Q766" s="17" t="str">
        <f t="shared" si="6"/>
        <v/>
      </c>
      <c r="R766" s="107"/>
      <c r="S766" s="108">
        <v>420222.0</v>
      </c>
      <c r="T766" s="108">
        <v>18.0</v>
      </c>
      <c r="U766" s="109">
        <v>80.0</v>
      </c>
      <c r="V766" s="110"/>
      <c r="X766" s="111">
        <f>SUMIFS('Transit Shipment'!$B$10:$B$1048462,'Transit Shipment'!$A$10:$A$1048462,B766,'Transit Shipment'!$C$10:$C$1048462,AA766)</f>
        <v>0</v>
      </c>
      <c r="Y766" s="111">
        <f>IF(SUMIFS(DIH!$S$2:$S833,DIH!$D$2:$D833,B766,DIH!$U$2:$U833,AA766)&gt;0,SUMIFS(DIH!$S$2:$S833,DIH!$D$2:$D833,B766,DIH!$U$2:$U833,AA766),0)</f>
        <v>3</v>
      </c>
      <c r="Z766" s="112">
        <f t="shared" si="7"/>
        <v>3</v>
      </c>
      <c r="AA766" s="119" t="s">
        <v>14</v>
      </c>
      <c r="AB766" s="114">
        <f>IF(ISNA(VLOOKUP($B766,'Business Report'!$D$2:$J$202,2,0)),"",VLOOKUP($B766,'Business Report'!$D$2:$J$202,2,0))</f>
        <v>12</v>
      </c>
      <c r="AC766" s="115">
        <f>SUMIFS(AFS!$P$2:$P$6260,AFS!$N$2:$N$6260,B766,AFS!$AT$2:$AT$6260,AA766)</f>
        <v>1</v>
      </c>
      <c r="AD766" s="116">
        <f t="shared" si="8"/>
        <v>-1</v>
      </c>
      <c r="AE766" s="117"/>
      <c r="AF766" s="118" t="str">
        <f t="shared" si="9"/>
        <v/>
      </c>
      <c r="AG766" s="26"/>
      <c r="AH766" s="26"/>
      <c r="AI766" s="26"/>
    </row>
    <row r="767">
      <c r="A767" s="120" t="s">
        <v>12480</v>
      </c>
      <c r="B767" s="7" t="s">
        <v>148</v>
      </c>
      <c r="C767" s="95" t="s">
        <v>12481</v>
      </c>
      <c r="D767" s="109" t="s">
        <v>179</v>
      </c>
      <c r="E767" s="97" t="str">
        <f t="shared" si="2"/>
        <v/>
      </c>
      <c r="F767" s="97" t="str">
        <f t="shared" si="3"/>
        <v/>
      </c>
      <c r="G767" s="99" t="str">
        <f t="shared" si="119"/>
        <v/>
      </c>
      <c r="H767" s="121"/>
      <c r="I767" s="122"/>
      <c r="J767" s="123"/>
      <c r="K767" s="124"/>
      <c r="L767" s="125"/>
      <c r="M767" s="181"/>
      <c r="N767" s="126"/>
      <c r="O767" s="127"/>
      <c r="P767" s="13">
        <f t="array" ref="P767">XLOOKUP(B767,Weight!B:B,Weight!D:D,"#N/A",0)</f>
        <v>180</v>
      </c>
      <c r="Q767" s="17" t="str">
        <f t="shared" si="6"/>
        <v/>
      </c>
      <c r="R767" s="107"/>
      <c r="S767" s="108">
        <v>420222.0</v>
      </c>
      <c r="T767" s="108">
        <v>18.0</v>
      </c>
      <c r="U767" s="109">
        <v>80.0</v>
      </c>
      <c r="V767" s="110"/>
      <c r="X767" s="111">
        <f>SUMIFS('Transit Shipment'!$B$10:$B$1048462,'Transit Shipment'!$A$10:$A$1048462,B767,'Transit Shipment'!$C$10:$C$1048462,AA767)</f>
        <v>0</v>
      </c>
      <c r="Y767" s="111">
        <f>IF(SUMIFS(DIH!$S$2:$S833,DIH!$D$2:$D833,B767,DIH!$U$2:$U833,AA767)&gt;0,SUMIFS(DIH!$S$2:$S833,DIH!$D$2:$D833,B767,DIH!$U$2:$U833,AA767),0)</f>
        <v>1</v>
      </c>
      <c r="Z767" s="112">
        <f t="shared" si="7"/>
        <v>1</v>
      </c>
      <c r="AA767" s="131" t="s">
        <v>16</v>
      </c>
      <c r="AB767" s="114">
        <f>IF(ISNA(VLOOKUP($B767,'Business Report'!$D$2:$J$202,2,0)),"",VLOOKUP($B767,'Business Report'!$D$2:$J$202,2,0))</f>
        <v>12</v>
      </c>
      <c r="AC767" s="115">
        <f>SUMIFS(AFS!$P$2:$P$6260,AFS!$N$2:$N$6260,B767,AFS!$AT$2:$AT$6260,AA767)</f>
        <v>0</v>
      </c>
      <c r="AD767" s="116">
        <f t="shared" si="8"/>
        <v>-1</v>
      </c>
      <c r="AE767" s="117"/>
      <c r="AF767" s="118" t="str">
        <f t="shared" si="9"/>
        <v/>
      </c>
      <c r="AG767" s="26"/>
      <c r="AH767" s="26"/>
      <c r="AI767" s="26"/>
    </row>
    <row r="768">
      <c r="A768" s="132" t="s">
        <v>12480</v>
      </c>
      <c r="B768" s="15" t="s">
        <v>148</v>
      </c>
      <c r="C768" s="133" t="s">
        <v>12481</v>
      </c>
      <c r="D768" s="134" t="s">
        <v>179</v>
      </c>
      <c r="E768" s="135">
        <f t="shared" si="2"/>
        <v>1</v>
      </c>
      <c r="F768" s="135">
        <f t="shared" si="3"/>
        <v>0</v>
      </c>
      <c r="G768" s="136">
        <f t="shared" si="119"/>
        <v>2</v>
      </c>
      <c r="H768" s="137"/>
      <c r="I768" s="138"/>
      <c r="J768" s="139"/>
      <c r="K768" s="140"/>
      <c r="L768" s="135"/>
      <c r="M768" s="152"/>
      <c r="N768" s="142"/>
      <c r="O768" s="143"/>
      <c r="P768" s="144">
        <f t="array" ref="P768">XLOOKUP(B768,Weight!B:B,Weight!D:D,"#N/A",0)</f>
        <v>180</v>
      </c>
      <c r="Q768" s="145">
        <f t="shared" si="6"/>
        <v>360</v>
      </c>
      <c r="R768" s="146"/>
      <c r="S768" s="147">
        <v>420222.0</v>
      </c>
      <c r="T768" s="147">
        <v>18.0</v>
      </c>
      <c r="U768" s="109">
        <v>80.0</v>
      </c>
      <c r="V768" s="148"/>
      <c r="W768" s="149"/>
      <c r="X768" s="150">
        <f>SUMIFS('Transit Shipment'!$B$10:$B$1048462,'Transit Shipment'!$A$10:$A$1048462,B768,'Transit Shipment'!$C$10:$C$1048462,AA768)</f>
        <v>0</v>
      </c>
      <c r="Y768" s="150">
        <f>IF(SUMIFS(DIH!$S$2:$S833,DIH!$D$2:$D833,B768,DIH!$U$2:$U833,AA768)&gt;0,SUMIFS(DIH!$S$2:$S833,DIH!$D$2:$D833,B768,DIH!$U$2:$U833,AA768),0)</f>
        <v>2</v>
      </c>
      <c r="Z768" s="151">
        <f t="shared" si="7"/>
        <v>2</v>
      </c>
      <c r="AA768" s="152" t="s">
        <v>17</v>
      </c>
      <c r="AB768" s="154">
        <f>IF(ISNA(VLOOKUP($B768,'Business Report'!$D$2:$J$202,2,0)),"",VLOOKUP($B768,'Business Report'!$D$2:$J$202,2,0))</f>
        <v>12</v>
      </c>
      <c r="AC768" s="155">
        <f>SUMIFS(AFS!$P$2:$P$6260,AFS!$N$2:$N$6260,B768,AFS!$AT$2:$AT$6260,AA768)</f>
        <v>3</v>
      </c>
      <c r="AD768" s="156">
        <f t="shared" si="8"/>
        <v>2</v>
      </c>
      <c r="AE768" s="159">
        <f>SUM(AD760:AD768)</f>
        <v>-1</v>
      </c>
      <c r="AF768" s="118">
        <f t="shared" si="9"/>
        <v>2</v>
      </c>
      <c r="AG768" s="26"/>
      <c r="AH768" s="26"/>
      <c r="AI768" s="26"/>
    </row>
    <row r="769">
      <c r="A769" s="120" t="s">
        <v>12641</v>
      </c>
      <c r="B769" s="7" t="s">
        <v>149</v>
      </c>
      <c r="C769" s="95" t="s">
        <v>12642</v>
      </c>
      <c r="D769" s="109" t="s">
        <v>179</v>
      </c>
      <c r="E769" s="69">
        <f t="shared" si="2"/>
        <v>1</v>
      </c>
      <c r="F769" s="69">
        <f t="shared" si="3"/>
        <v>0</v>
      </c>
      <c r="G769" s="70" t="str">
        <f t="shared" si="119"/>
        <v/>
      </c>
      <c r="H769" s="163"/>
      <c r="I769" s="101"/>
      <c r="J769" s="102"/>
      <c r="K769" s="167"/>
      <c r="L769" s="119"/>
      <c r="M769" s="169"/>
      <c r="N769" s="171"/>
      <c r="O769" s="106"/>
      <c r="P769" s="79">
        <f t="array" ref="P769">XLOOKUP(B769,Weight!B:B,Weight!D:D,"#N/A",0)</f>
        <v>80</v>
      </c>
      <c r="Q769" s="80" t="str">
        <f t="shared" si="6"/>
        <v/>
      </c>
      <c r="R769" s="107"/>
      <c r="S769" s="108">
        <v>420222.0</v>
      </c>
      <c r="T769" s="108">
        <v>18.0</v>
      </c>
      <c r="U769" s="83">
        <v>60.0</v>
      </c>
      <c r="V769" s="84" t="str">
        <f t="shared" ref="V769:W769" si="120">B769</f>
        <v>CRM-CP3-GREY</v>
      </c>
      <c r="W769" s="174" t="str">
        <f t="shared" si="120"/>
        <v>CRASOME Laptop Charger Pouch, Travel Organizer Pouch, Gadget Charger Pouch for Mouse, USB, Charger, Cables, Power Bank, Dongle,Hard Disk, (CP3-Grey)</v>
      </c>
      <c r="X769" s="86">
        <f>SUMIFS('Transit Shipment'!$B$10:$B$1048462,'Transit Shipment'!$A$10:$A$1048462,B769,'Transit Shipment'!$C$10:$C$1048462,AA769)</f>
        <v>0</v>
      </c>
      <c r="Y769" s="86">
        <f>IF(SUMIFS(DIH!$S$2:$S833,DIH!$D$2:$D833,B769,DIH!$U$2:$U833,AA769)&gt;0,SUMIFS(DIH!$S$2:$S833,DIH!$D$2:$D833,B769,DIH!$U$2:$U833,AA769),0)</f>
        <v>0</v>
      </c>
      <c r="Z769" s="87">
        <f t="shared" si="7"/>
        <v>0</v>
      </c>
      <c r="AA769" s="88" t="s">
        <v>5</v>
      </c>
      <c r="AB769" s="89">
        <f>IF(ISNA(VLOOKUP($B769,'Business Report'!$D$2:$J$202,2,0)),"",VLOOKUP($B769,'Business Report'!$D$2:$J$202,2,0))</f>
        <v>4</v>
      </c>
      <c r="AC769" s="90">
        <f>SUMIFS(AFS!$P$2:$P$6260,AFS!$N$2:$N$6260,B769,AFS!$AT$2:$AT$6260,AA769)</f>
        <v>0</v>
      </c>
      <c r="AD769" s="91">
        <f t="shared" si="8"/>
        <v>0</v>
      </c>
      <c r="AE769" s="92"/>
      <c r="AF769" s="93" t="str">
        <f t="shared" si="9"/>
        <v/>
      </c>
      <c r="AG769" s="26"/>
      <c r="AH769" s="26"/>
      <c r="AI769" s="26"/>
    </row>
    <row r="770">
      <c r="A770" s="120" t="s">
        <v>12641</v>
      </c>
      <c r="B770" s="7" t="s">
        <v>149</v>
      </c>
      <c r="C770" s="95" t="s">
        <v>12642</v>
      </c>
      <c r="D770" s="109" t="s">
        <v>179</v>
      </c>
      <c r="E770" s="97">
        <f t="shared" si="2"/>
        <v>1</v>
      </c>
      <c r="F770" s="97">
        <f t="shared" si="3"/>
        <v>0</v>
      </c>
      <c r="G770" s="99" t="str">
        <f t="shared" si="119"/>
        <v/>
      </c>
      <c r="H770" s="100"/>
      <c r="I770" s="101"/>
      <c r="J770" s="102"/>
      <c r="K770" s="103"/>
      <c r="L770" s="97"/>
      <c r="M770" s="169"/>
      <c r="N770" s="105"/>
      <c r="O770" s="106"/>
      <c r="P770" s="13">
        <f t="array" ref="P770">XLOOKUP(B770,Weight!B:B,Weight!D:D,"#N/A",0)</f>
        <v>80</v>
      </c>
      <c r="Q770" s="17" t="str">
        <f t="shared" si="6"/>
        <v/>
      </c>
      <c r="R770" s="107"/>
      <c r="S770" s="108">
        <v>420222.0</v>
      </c>
      <c r="T770" s="108">
        <v>18.0</v>
      </c>
      <c r="U770" s="109">
        <v>60.0</v>
      </c>
      <c r="V770" s="110"/>
      <c r="X770" s="111">
        <f>SUMIFS('Transit Shipment'!$B$10:$B$1048462,'Transit Shipment'!$A$10:$A$1048462,B770,'Transit Shipment'!$C$10:$C$1048462,AA770)</f>
        <v>0</v>
      </c>
      <c r="Y770" s="111">
        <f>IF(SUMIFS(DIH!$S$2:$S833,DIH!$D$2:$D833,B770,DIH!$U$2:$U833,AA770)&gt;0,SUMIFS(DIH!$S$2:$S833,DIH!$D$2:$D833,B770,DIH!$U$2:$U833,AA770),0)</f>
        <v>0</v>
      </c>
      <c r="Z770" s="112">
        <f t="shared" si="7"/>
        <v>0</v>
      </c>
      <c r="AA770" s="113" t="s">
        <v>11</v>
      </c>
      <c r="AB770" s="114">
        <f>IF(ISNA(VLOOKUP($B770,'Business Report'!$D$2:$J$202,2,0)),"",VLOOKUP($B770,'Business Report'!$D$2:$J$202,2,0))</f>
        <v>4</v>
      </c>
      <c r="AC770" s="115">
        <f>SUMIFS(AFS!$P$2:$P$6260,AFS!$N$2:$N$6260,B770,AFS!$AT$2:$AT$6260,AA770)</f>
        <v>0</v>
      </c>
      <c r="AD770" s="116">
        <f t="shared" si="8"/>
        <v>0</v>
      </c>
      <c r="AE770" s="117"/>
      <c r="AF770" s="118" t="str">
        <f t="shared" si="9"/>
        <v/>
      </c>
      <c r="AG770" s="26"/>
      <c r="AH770" s="26"/>
      <c r="AI770" s="26"/>
    </row>
    <row r="771">
      <c r="A771" s="120" t="s">
        <v>12641</v>
      </c>
      <c r="B771" s="7" t="s">
        <v>149</v>
      </c>
      <c r="C771" s="95" t="s">
        <v>12642</v>
      </c>
      <c r="D771" s="109" t="s">
        <v>179</v>
      </c>
      <c r="E771" s="97">
        <f t="shared" si="2"/>
        <v>1</v>
      </c>
      <c r="F771" s="97">
        <f t="shared" si="3"/>
        <v>0</v>
      </c>
      <c r="G771" s="99" t="str">
        <f t="shared" si="119"/>
        <v/>
      </c>
      <c r="H771" s="100"/>
      <c r="I771" s="101"/>
      <c r="J771" s="102"/>
      <c r="K771" s="103"/>
      <c r="L771" s="97"/>
      <c r="M771" s="169"/>
      <c r="N771" s="105"/>
      <c r="O771" s="106"/>
      <c r="P771" s="13">
        <f t="array" ref="P771">XLOOKUP(B771,Weight!B:B,Weight!D:D,"#N/A",0)</f>
        <v>80</v>
      </c>
      <c r="Q771" s="17" t="str">
        <f t="shared" si="6"/>
        <v/>
      </c>
      <c r="R771" s="107"/>
      <c r="S771" s="108">
        <v>420222.0</v>
      </c>
      <c r="T771" s="108">
        <v>18.0</v>
      </c>
      <c r="U771" s="109">
        <v>60.0</v>
      </c>
      <c r="V771" s="110"/>
      <c r="X771" s="111">
        <f>SUMIFS('Transit Shipment'!$B$10:$B$1048462,'Transit Shipment'!$A$10:$A$1048462,B771,'Transit Shipment'!$C$10:$C$1048462,AA771)</f>
        <v>0</v>
      </c>
      <c r="Y771" s="111">
        <f>IF(SUMIFS(DIH!$S$2:$S833,DIH!$D$2:$D833,B771,DIH!$U$2:$U833,AA771)&gt;0,SUMIFS(DIH!$S$2:$S833,DIH!$D$2:$D833,B771,DIH!$U$2:$U833,AA771),0)</f>
        <v>0</v>
      </c>
      <c r="Z771" s="112">
        <f t="shared" si="7"/>
        <v>0</v>
      </c>
      <c r="AA771" s="119" t="s">
        <v>9</v>
      </c>
      <c r="AB771" s="114">
        <f>IF(ISNA(VLOOKUP($B771,'Business Report'!$D$2:$J$202,2,0)),"",VLOOKUP($B771,'Business Report'!$D$2:$J$202,2,0))</f>
        <v>4</v>
      </c>
      <c r="AC771" s="115">
        <f>SUMIFS(AFS!$P$2:$P$6260,AFS!$N$2:$N$6260,B771,AFS!$AT$2:$AT$6260,AA771)</f>
        <v>0</v>
      </c>
      <c r="AD771" s="116">
        <f t="shared" si="8"/>
        <v>0</v>
      </c>
      <c r="AE771" s="117"/>
      <c r="AF771" s="118" t="str">
        <f t="shared" si="9"/>
        <v/>
      </c>
      <c r="AG771" s="26"/>
      <c r="AH771" s="26"/>
      <c r="AI771" s="26"/>
    </row>
    <row r="772">
      <c r="A772" s="120" t="s">
        <v>12641</v>
      </c>
      <c r="B772" s="7" t="s">
        <v>149</v>
      </c>
      <c r="C772" s="95" t="s">
        <v>12642</v>
      </c>
      <c r="D772" s="109" t="s">
        <v>179</v>
      </c>
      <c r="E772" s="97">
        <f t="shared" si="2"/>
        <v>1</v>
      </c>
      <c r="F772" s="97">
        <f t="shared" si="3"/>
        <v>0</v>
      </c>
      <c r="G772" s="99" t="str">
        <f t="shared" si="119"/>
        <v/>
      </c>
      <c r="H772" s="121"/>
      <c r="I772" s="122"/>
      <c r="J772" s="123"/>
      <c r="K772" s="124"/>
      <c r="L772" s="125"/>
      <c r="M772" s="181"/>
      <c r="N772" s="126"/>
      <c r="O772" s="127"/>
      <c r="P772" s="13">
        <f t="array" ref="P772">XLOOKUP(B772,Weight!B:B,Weight!D:D,"#N/A",0)</f>
        <v>80</v>
      </c>
      <c r="Q772" s="17" t="str">
        <f t="shared" si="6"/>
        <v/>
      </c>
      <c r="R772" s="107"/>
      <c r="S772" s="108">
        <v>420222.0</v>
      </c>
      <c r="T772" s="108">
        <v>18.0</v>
      </c>
      <c r="U772" s="109">
        <v>60.0</v>
      </c>
      <c r="V772" s="110"/>
      <c r="X772" s="111">
        <f>SUMIFS('Transit Shipment'!$B$10:$B$1048462,'Transit Shipment'!$A$10:$A$1048462,B772,'Transit Shipment'!$C$10:$C$1048462,AA772)</f>
        <v>0</v>
      </c>
      <c r="Y772" s="111">
        <f>IF(SUMIFS(DIH!$S$2:$S833,DIH!$D$2:$D833,B772,DIH!$U$2:$U833,AA772)&gt;0,SUMIFS(DIH!$S$2:$S833,DIH!$D$2:$D833,B772,DIH!$U$2:$U833,AA772),0)</f>
        <v>0</v>
      </c>
      <c r="Z772" s="112">
        <f t="shared" si="7"/>
        <v>0</v>
      </c>
      <c r="AA772" s="119" t="s">
        <v>155</v>
      </c>
      <c r="AB772" s="114">
        <f>IF(ISNA(VLOOKUP($B772,'Business Report'!$D$2:$J$202,2,0)),"",VLOOKUP($B772,'Business Report'!$D$2:$J$202,2,0))</f>
        <v>4</v>
      </c>
      <c r="AC772" s="115">
        <f>SUMIFS(AFS!$P$2:$P$6260,AFS!$N$2:$N$6260,B772,AFS!$AT$2:$AT$6260,AA772)</f>
        <v>0</v>
      </c>
      <c r="AD772" s="116">
        <f t="shared" si="8"/>
        <v>0</v>
      </c>
      <c r="AE772" s="117"/>
      <c r="AF772" s="118" t="str">
        <f t="shared" si="9"/>
        <v/>
      </c>
      <c r="AG772" s="26"/>
      <c r="AH772" s="26"/>
      <c r="AI772" s="26"/>
    </row>
    <row r="773">
      <c r="A773" s="120" t="s">
        <v>12641</v>
      </c>
      <c r="B773" s="7" t="s">
        <v>149</v>
      </c>
      <c r="C773" s="95" t="s">
        <v>12642</v>
      </c>
      <c r="D773" s="109" t="s">
        <v>179</v>
      </c>
      <c r="E773" s="97">
        <f t="shared" si="2"/>
        <v>1</v>
      </c>
      <c r="F773" s="97">
        <f t="shared" si="3"/>
        <v>0</v>
      </c>
      <c r="G773" s="99" t="str">
        <f t="shared" si="119"/>
        <v/>
      </c>
      <c r="H773" s="121"/>
      <c r="I773" s="122"/>
      <c r="J773" s="123"/>
      <c r="K773" s="124"/>
      <c r="L773" s="125"/>
      <c r="M773" s="181"/>
      <c r="N773" s="126"/>
      <c r="O773" s="127"/>
      <c r="P773" s="13">
        <f t="array" ref="P773">XLOOKUP(B773,Weight!B:B,Weight!D:D,"#N/A",0)</f>
        <v>80</v>
      </c>
      <c r="Q773" s="17" t="str">
        <f t="shared" si="6"/>
        <v/>
      </c>
      <c r="R773" s="107"/>
      <c r="S773" s="108">
        <v>420222.0</v>
      </c>
      <c r="T773" s="108">
        <v>18.0</v>
      </c>
      <c r="U773" s="109">
        <v>60.0</v>
      </c>
      <c r="V773" s="110"/>
      <c r="X773" s="111">
        <f>SUMIFS('Transit Shipment'!$B$10:$B$1048462,'Transit Shipment'!$A$10:$A$1048462,B773,'Transit Shipment'!$C$10:$C$1048462,AA773)</f>
        <v>0</v>
      </c>
      <c r="Y773" s="111">
        <f>IF(SUMIFS(DIH!$S$2:$S833,DIH!$D$2:$D833,B773,DIH!$U$2:$U833,AA773)&gt;0,SUMIFS(DIH!$S$2:$S833,DIH!$D$2:$D833,B773,DIH!$U$2:$U833,AA773),0)</f>
        <v>0</v>
      </c>
      <c r="Z773" s="112">
        <f t="shared" si="7"/>
        <v>0</v>
      </c>
      <c r="AA773" s="119" t="s">
        <v>156</v>
      </c>
      <c r="AB773" s="114">
        <f>IF(ISNA(VLOOKUP($B773,'Business Report'!$D$2:$J$202,2,0)),"",VLOOKUP($B773,'Business Report'!$D$2:$J$202,2,0))</f>
        <v>4</v>
      </c>
      <c r="AC773" s="115">
        <f>SUMIFS(AFS!$P$2:$P$6260,AFS!$N$2:$N$6260,B773,AFS!$AT$2:$AT$6260,AA773)</f>
        <v>0</v>
      </c>
      <c r="AD773" s="116">
        <f t="shared" si="8"/>
        <v>0</v>
      </c>
      <c r="AE773" s="117"/>
      <c r="AF773" s="118" t="str">
        <f t="shared" si="9"/>
        <v/>
      </c>
      <c r="AG773" s="26"/>
      <c r="AH773" s="26"/>
      <c r="AI773" s="26"/>
    </row>
    <row r="774">
      <c r="A774" s="120" t="s">
        <v>12641</v>
      </c>
      <c r="B774" s="7" t="s">
        <v>149</v>
      </c>
      <c r="C774" s="95" t="s">
        <v>12642</v>
      </c>
      <c r="D774" s="109" t="s">
        <v>179</v>
      </c>
      <c r="E774" s="97">
        <f t="shared" si="2"/>
        <v>1</v>
      </c>
      <c r="F774" s="97">
        <f t="shared" si="3"/>
        <v>0</v>
      </c>
      <c r="G774" s="99" t="str">
        <f t="shared" si="119"/>
        <v/>
      </c>
      <c r="H774" s="121"/>
      <c r="I774" s="122"/>
      <c r="J774" s="123"/>
      <c r="K774" s="124"/>
      <c r="L774" s="125"/>
      <c r="M774" s="181"/>
      <c r="N774" s="126"/>
      <c r="O774" s="127"/>
      <c r="P774" s="13">
        <f t="array" ref="P774">XLOOKUP(B774,Weight!B:B,Weight!D:D,"#N/A",0)</f>
        <v>80</v>
      </c>
      <c r="Q774" s="17" t="str">
        <f t="shared" si="6"/>
        <v/>
      </c>
      <c r="R774" s="107"/>
      <c r="S774" s="108">
        <v>420222.0</v>
      </c>
      <c r="T774" s="108">
        <v>18.0</v>
      </c>
      <c r="U774" s="109">
        <v>60.0</v>
      </c>
      <c r="V774" s="110"/>
      <c r="X774" s="111">
        <f>SUMIFS('Transit Shipment'!$B$10:$B$1048462,'Transit Shipment'!$A$10:$A$1048462,B774,'Transit Shipment'!$C$10:$C$1048462,AA774)</f>
        <v>0</v>
      </c>
      <c r="Y774" s="111">
        <f>IF(SUMIFS(DIH!$S$2:$S833,DIH!$D$2:$D833,B774,DIH!$U$2:$U833,AA774)&gt;0,SUMIFS(DIH!$S$2:$S833,DIH!$D$2:$D833,B774,DIH!$U$2:$U833,AA774),0)</f>
        <v>0</v>
      </c>
      <c r="Z774" s="112">
        <f t="shared" si="7"/>
        <v>0</v>
      </c>
      <c r="AA774" s="130" t="s">
        <v>13</v>
      </c>
      <c r="AB774" s="114">
        <f>IF(ISNA(VLOOKUP($B774,'Business Report'!$D$2:$J$202,2,0)),"",VLOOKUP($B774,'Business Report'!$D$2:$J$202,2,0))</f>
        <v>4</v>
      </c>
      <c r="AC774" s="115">
        <f>SUMIFS(AFS!$P$2:$P$6260,AFS!$N$2:$N$6260,B774,AFS!$AT$2:$AT$6260,AA774)</f>
        <v>0</v>
      </c>
      <c r="AD774" s="116">
        <f t="shared" si="8"/>
        <v>0</v>
      </c>
      <c r="AE774" s="117"/>
      <c r="AF774" s="118" t="str">
        <f t="shared" si="9"/>
        <v/>
      </c>
      <c r="AG774" s="26"/>
      <c r="AH774" s="26"/>
      <c r="AI774" s="26"/>
    </row>
    <row r="775">
      <c r="A775" s="120" t="s">
        <v>12641</v>
      </c>
      <c r="B775" s="7" t="s">
        <v>149</v>
      </c>
      <c r="C775" s="95" t="s">
        <v>12642</v>
      </c>
      <c r="D775" s="109" t="s">
        <v>179</v>
      </c>
      <c r="E775" s="97">
        <f t="shared" si="2"/>
        <v>1</v>
      </c>
      <c r="F775" s="97">
        <f t="shared" si="3"/>
        <v>0</v>
      </c>
      <c r="G775" s="99" t="str">
        <f t="shared" si="119"/>
        <v/>
      </c>
      <c r="H775" s="121"/>
      <c r="I775" s="122"/>
      <c r="J775" s="123"/>
      <c r="K775" s="124"/>
      <c r="L775" s="125"/>
      <c r="M775" s="181"/>
      <c r="N775" s="126"/>
      <c r="O775" s="127"/>
      <c r="P775" s="13">
        <f t="array" ref="P775">XLOOKUP(B775,Weight!B:B,Weight!D:D,"#N/A",0)</f>
        <v>80</v>
      </c>
      <c r="Q775" s="17" t="str">
        <f t="shared" si="6"/>
        <v/>
      </c>
      <c r="R775" s="107"/>
      <c r="S775" s="108">
        <v>420222.0</v>
      </c>
      <c r="T775" s="108">
        <v>18.0</v>
      </c>
      <c r="U775" s="109">
        <v>60.0</v>
      </c>
      <c r="V775" s="110"/>
      <c r="X775" s="111">
        <f>SUMIFS('Transit Shipment'!$B$10:$B$1048462,'Transit Shipment'!$A$10:$A$1048462,B775,'Transit Shipment'!$C$10:$C$1048462,AA775)</f>
        <v>0</v>
      </c>
      <c r="Y775" s="111">
        <f>IF(SUMIFS(DIH!$S$2:$S833,DIH!$D$2:$D833,B775,DIH!$U$2:$U833,AA775)&gt;0,SUMIFS(DIH!$S$2:$S833,DIH!$D$2:$D833,B775,DIH!$U$2:$U833,AA775),0)</f>
        <v>0</v>
      </c>
      <c r="Z775" s="112">
        <f t="shared" si="7"/>
        <v>0</v>
      </c>
      <c r="AA775" s="119" t="s">
        <v>14</v>
      </c>
      <c r="AB775" s="114">
        <f>IF(ISNA(VLOOKUP($B775,'Business Report'!$D$2:$J$202,2,0)),"",VLOOKUP($B775,'Business Report'!$D$2:$J$202,2,0))</f>
        <v>4</v>
      </c>
      <c r="AC775" s="115">
        <f>SUMIFS(AFS!$P$2:$P$6260,AFS!$N$2:$N$6260,B775,AFS!$AT$2:$AT$6260,AA775)</f>
        <v>0</v>
      </c>
      <c r="AD775" s="116">
        <f t="shared" si="8"/>
        <v>0</v>
      </c>
      <c r="AE775" s="117"/>
      <c r="AF775" s="118" t="str">
        <f t="shared" si="9"/>
        <v/>
      </c>
      <c r="AG775" s="26"/>
      <c r="AH775" s="26"/>
      <c r="AI775" s="26"/>
    </row>
    <row r="776">
      <c r="A776" s="120" t="s">
        <v>12641</v>
      </c>
      <c r="B776" s="7" t="s">
        <v>149</v>
      </c>
      <c r="C776" s="95" t="s">
        <v>12642</v>
      </c>
      <c r="D776" s="109" t="s">
        <v>179</v>
      </c>
      <c r="E776" s="97">
        <f t="shared" si="2"/>
        <v>1</v>
      </c>
      <c r="F776" s="97">
        <f t="shared" si="3"/>
        <v>0</v>
      </c>
      <c r="G776" s="99" t="str">
        <f t="shared" si="119"/>
        <v/>
      </c>
      <c r="H776" s="121"/>
      <c r="I776" s="122"/>
      <c r="J776" s="123"/>
      <c r="K776" s="124"/>
      <c r="L776" s="125"/>
      <c r="M776" s="181"/>
      <c r="N776" s="126"/>
      <c r="O776" s="127"/>
      <c r="P776" s="13">
        <f t="array" ref="P776">XLOOKUP(B776,Weight!B:B,Weight!D:D,"#N/A",0)</f>
        <v>80</v>
      </c>
      <c r="Q776" s="17" t="str">
        <f t="shared" si="6"/>
        <v/>
      </c>
      <c r="R776" s="107"/>
      <c r="S776" s="108">
        <v>420222.0</v>
      </c>
      <c r="T776" s="108">
        <v>18.0</v>
      </c>
      <c r="U776" s="109">
        <v>60.0</v>
      </c>
      <c r="V776" s="110"/>
      <c r="X776" s="111">
        <f>SUMIFS('Transit Shipment'!$B$10:$B$1048462,'Transit Shipment'!$A$10:$A$1048462,B776,'Transit Shipment'!$C$10:$C$1048462,AA776)</f>
        <v>0</v>
      </c>
      <c r="Y776" s="111">
        <f>IF(SUMIFS(DIH!$S$2:$S833,DIH!$D$2:$D833,B776,DIH!$U$2:$U833,AA776)&gt;0,SUMIFS(DIH!$S$2:$S833,DIH!$D$2:$D833,B776,DIH!$U$2:$U833,AA776),0)</f>
        <v>0</v>
      </c>
      <c r="Z776" s="112">
        <f t="shared" si="7"/>
        <v>0</v>
      </c>
      <c r="AA776" s="131" t="s">
        <v>16</v>
      </c>
      <c r="AB776" s="114">
        <f>IF(ISNA(VLOOKUP($B776,'Business Report'!$D$2:$J$202,2,0)),"",VLOOKUP($B776,'Business Report'!$D$2:$J$202,2,0))</f>
        <v>4</v>
      </c>
      <c r="AC776" s="115">
        <f>SUMIFS(AFS!$P$2:$P$6260,AFS!$N$2:$N$6260,B776,AFS!$AT$2:$AT$6260,AA776)</f>
        <v>0</v>
      </c>
      <c r="AD776" s="116">
        <f t="shared" si="8"/>
        <v>0</v>
      </c>
      <c r="AE776" s="117"/>
      <c r="AF776" s="118" t="str">
        <f t="shared" si="9"/>
        <v/>
      </c>
      <c r="AG776" s="26"/>
      <c r="AH776" s="26"/>
      <c r="AI776" s="26"/>
    </row>
    <row r="777">
      <c r="A777" s="120" t="s">
        <v>12641</v>
      </c>
      <c r="B777" s="7" t="s">
        <v>149</v>
      </c>
      <c r="C777" s="95" t="s">
        <v>12642</v>
      </c>
      <c r="D777" s="109" t="s">
        <v>179</v>
      </c>
      <c r="E777" s="135">
        <f t="shared" si="2"/>
        <v>1</v>
      </c>
      <c r="F777" s="135">
        <f t="shared" si="3"/>
        <v>0</v>
      </c>
      <c r="G777" s="136" t="str">
        <f t="shared" si="119"/>
        <v/>
      </c>
      <c r="H777" s="137"/>
      <c r="I777" s="138"/>
      <c r="J777" s="139"/>
      <c r="K777" s="140"/>
      <c r="L777" s="135"/>
      <c r="M777" s="152"/>
      <c r="N777" s="142"/>
      <c r="O777" s="143"/>
      <c r="P777" s="144">
        <f t="array" ref="P777">XLOOKUP(B777,Weight!B:B,Weight!D:D,"#N/A",0)</f>
        <v>80</v>
      </c>
      <c r="Q777" s="145" t="str">
        <f t="shared" si="6"/>
        <v/>
      </c>
      <c r="R777" s="146"/>
      <c r="S777" s="147">
        <v>420222.0</v>
      </c>
      <c r="T777" s="147">
        <v>18.0</v>
      </c>
      <c r="U777" s="109">
        <v>60.0</v>
      </c>
      <c r="V777" s="148"/>
      <c r="W777" s="149"/>
      <c r="X777" s="150">
        <f>SUMIFS('Transit Shipment'!$B$10:$B$1048462,'Transit Shipment'!$A$10:$A$1048462,B777,'Transit Shipment'!$C$10:$C$1048462,AA777)</f>
        <v>0</v>
      </c>
      <c r="Y777" s="150">
        <f>IF(SUMIFS(DIH!$S$2:$S833,DIH!$D$2:$D833,B777,DIH!$U$2:$U833,AA777)&gt;0,SUMIFS(DIH!$S$2:$S833,DIH!$D$2:$D833,B777,DIH!$U$2:$U833,AA777),0)</f>
        <v>0</v>
      </c>
      <c r="Z777" s="151">
        <f t="shared" si="7"/>
        <v>0</v>
      </c>
      <c r="AA777" s="152" t="s">
        <v>17</v>
      </c>
      <c r="AB777" s="154">
        <f>IF(ISNA(VLOOKUP($B777,'Business Report'!$D$2:$J$202,2,0)),"",VLOOKUP($B777,'Business Report'!$D$2:$J$202,2,0))</f>
        <v>4</v>
      </c>
      <c r="AC777" s="155">
        <f>SUMIFS(AFS!$P$2:$P$6260,AFS!$N$2:$N$6260,B777,AFS!$AT$2:$AT$6260,AA777)</f>
        <v>0</v>
      </c>
      <c r="AD777" s="156">
        <f t="shared" si="8"/>
        <v>0</v>
      </c>
      <c r="AE777" s="159">
        <f>SUM(AD769:AD777)</f>
        <v>0</v>
      </c>
      <c r="AF777" s="118" t="str">
        <f t="shared" si="9"/>
        <v/>
      </c>
      <c r="AG777" s="26"/>
      <c r="AH777" s="26"/>
      <c r="AI777" s="26"/>
    </row>
    <row r="778">
      <c r="A778" s="66" t="s">
        <v>12808</v>
      </c>
      <c r="B778" s="1" t="s">
        <v>150</v>
      </c>
      <c r="C778" s="95" t="s">
        <v>524</v>
      </c>
      <c r="D778" s="8" t="s">
        <v>172</v>
      </c>
      <c r="E778" s="69">
        <f t="shared" si="2"/>
        <v>1</v>
      </c>
      <c r="F778" s="69">
        <f t="shared" si="3"/>
        <v>0</v>
      </c>
      <c r="G778" s="70" t="str">
        <f t="shared" si="119"/>
        <v/>
      </c>
      <c r="H778" s="163"/>
      <c r="I778" s="101"/>
      <c r="J778" s="102"/>
      <c r="K778" s="167"/>
      <c r="L778" s="119"/>
      <c r="M778" s="169"/>
      <c r="N778" s="171"/>
      <c r="O778" s="106"/>
      <c r="P778" s="79">
        <f t="array" ref="P778">XLOOKUP(B778,Weight!B:B,Weight!D:D,"#N/A",0)</f>
        <v>300</v>
      </c>
      <c r="Q778" s="80" t="str">
        <f t="shared" si="6"/>
        <v/>
      </c>
      <c r="R778" s="107"/>
      <c r="S778" s="108">
        <v>420222.0</v>
      </c>
      <c r="T778" s="108">
        <v>18.0</v>
      </c>
      <c r="U778" s="83">
        <v>140.0</v>
      </c>
      <c r="V778" s="84" t="str">
        <f t="shared" ref="V778:W778" si="121">B778</f>
        <v>CRM-CTSP1-Blue-3Q</v>
      </c>
      <c r="W778" s="174" t="str">
        <f t="shared" si="121"/>
        <v>Crasome Set of 3 Multipurpose Transparent Toiletry Bag for Women &amp; Men, Travel Pouch for Makeup Cosmetic, Travel Organizer for Toiletries, Travel Storage Bag (CTSP1_Blue_3Q)</v>
      </c>
      <c r="X778" s="86">
        <f>SUMIFS('Transit Shipment'!$B$10:$B$1048462,'Transit Shipment'!$A$10:$A$1048462,B778,'Transit Shipment'!$C$10:$C$1048462,AA778)</f>
        <v>0</v>
      </c>
      <c r="Y778" s="86">
        <f>IF(SUMIFS(DIH!$S$2:$S833,DIH!$D$2:$D833,B778,DIH!$U$2:$U833,AA778)&gt;0,SUMIFS(DIH!$S$2:$S833,DIH!$D$2:$D833,B778,DIH!$U$2:$U833,AA778),0)</f>
        <v>0</v>
      </c>
      <c r="Z778" s="87">
        <f t="shared" si="7"/>
        <v>0</v>
      </c>
      <c r="AA778" s="88" t="s">
        <v>5</v>
      </c>
      <c r="AB778" s="89">
        <f>IF(ISNA(VLOOKUP($B778,'Business Report'!$D$2:$J$202,2,0)),"",VLOOKUP($B778,'Business Report'!$D$2:$J$202,2,0))</f>
        <v>3</v>
      </c>
      <c r="AC778" s="90">
        <f>SUMIFS(AFS!$P$2:$P$6260,AFS!$N$2:$N$6260,B778,AFS!$AT$2:$AT$6260,AA778)</f>
        <v>0</v>
      </c>
      <c r="AD778" s="91">
        <f t="shared" si="8"/>
        <v>0</v>
      </c>
      <c r="AE778" s="92"/>
      <c r="AF778" s="93" t="str">
        <f t="shared" si="9"/>
        <v/>
      </c>
      <c r="AG778" s="26"/>
      <c r="AH778" s="26"/>
      <c r="AI778" s="26"/>
    </row>
    <row r="779">
      <c r="A779" s="94" t="s">
        <v>12808</v>
      </c>
      <c r="B779" s="3" t="s">
        <v>150</v>
      </c>
      <c r="C779" s="95" t="s">
        <v>524</v>
      </c>
      <c r="D779" s="8" t="s">
        <v>172</v>
      </c>
      <c r="E779" s="97">
        <f t="shared" si="2"/>
        <v>1</v>
      </c>
      <c r="F779" s="97">
        <f t="shared" si="3"/>
        <v>0</v>
      </c>
      <c r="G779" s="99" t="str">
        <f t="shared" si="119"/>
        <v/>
      </c>
      <c r="H779" s="100"/>
      <c r="I779" s="101"/>
      <c r="J779" s="102"/>
      <c r="K779" s="103"/>
      <c r="L779" s="97"/>
      <c r="M779" s="169"/>
      <c r="N779" s="105"/>
      <c r="O779" s="106"/>
      <c r="P779" s="13">
        <f t="array" ref="P779">XLOOKUP(B779,Weight!B:B,Weight!D:D,"#N/A",0)</f>
        <v>300</v>
      </c>
      <c r="Q779" s="17" t="str">
        <f t="shared" si="6"/>
        <v/>
      </c>
      <c r="R779" s="107"/>
      <c r="S779" s="108">
        <v>420222.0</v>
      </c>
      <c r="T779" s="108">
        <v>18.0</v>
      </c>
      <c r="U779" s="109">
        <v>140.0</v>
      </c>
      <c r="V779" s="110"/>
      <c r="X779" s="111">
        <f>SUMIFS('Transit Shipment'!$B$10:$B$1048462,'Transit Shipment'!$A$10:$A$1048462,B779,'Transit Shipment'!$C$10:$C$1048462,AA779)</f>
        <v>0</v>
      </c>
      <c r="Y779" s="111">
        <f>IF(SUMIFS(DIH!$S$2:$S833,DIH!$D$2:$D833,B779,DIH!$U$2:$U833,AA779)&gt;0,SUMIFS(DIH!$S$2:$S833,DIH!$D$2:$D833,B779,DIH!$U$2:$U833,AA779),0)</f>
        <v>0</v>
      </c>
      <c r="Z779" s="112">
        <f t="shared" si="7"/>
        <v>0</v>
      </c>
      <c r="AA779" s="113" t="s">
        <v>11</v>
      </c>
      <c r="AB779" s="114">
        <f>IF(ISNA(VLOOKUP($B779,'Business Report'!$D$2:$J$202,2,0)),"",VLOOKUP($B779,'Business Report'!$D$2:$J$202,2,0))</f>
        <v>3</v>
      </c>
      <c r="AC779" s="115">
        <f>SUMIFS(AFS!$P$2:$P$6260,AFS!$N$2:$N$6260,B779,AFS!$AT$2:$AT$6260,AA779)</f>
        <v>0</v>
      </c>
      <c r="AD779" s="116">
        <f t="shared" si="8"/>
        <v>0</v>
      </c>
      <c r="AE779" s="117"/>
      <c r="AF779" s="118" t="str">
        <f t="shared" si="9"/>
        <v/>
      </c>
      <c r="AG779" s="26"/>
      <c r="AH779" s="26"/>
      <c r="AI779" s="26"/>
    </row>
    <row r="780">
      <c r="A780" s="94" t="s">
        <v>12808</v>
      </c>
      <c r="B780" s="3" t="s">
        <v>150</v>
      </c>
      <c r="C780" s="95" t="s">
        <v>524</v>
      </c>
      <c r="D780" s="8" t="s">
        <v>172</v>
      </c>
      <c r="E780" s="97">
        <f t="shared" si="2"/>
        <v>1</v>
      </c>
      <c r="F780" s="97">
        <f t="shared" si="3"/>
        <v>0</v>
      </c>
      <c r="G780" s="99" t="str">
        <f t="shared" si="119"/>
        <v/>
      </c>
      <c r="H780" s="100"/>
      <c r="I780" s="101"/>
      <c r="J780" s="102"/>
      <c r="K780" s="103"/>
      <c r="L780" s="97"/>
      <c r="M780" s="169"/>
      <c r="N780" s="105"/>
      <c r="O780" s="106"/>
      <c r="P780" s="13">
        <f t="array" ref="P780">XLOOKUP(B780,Weight!B:B,Weight!D:D,"#N/A",0)</f>
        <v>300</v>
      </c>
      <c r="Q780" s="17" t="str">
        <f t="shared" si="6"/>
        <v/>
      </c>
      <c r="R780" s="107"/>
      <c r="S780" s="108">
        <v>420222.0</v>
      </c>
      <c r="T780" s="108">
        <v>18.0</v>
      </c>
      <c r="U780" s="109">
        <v>140.0</v>
      </c>
      <c r="V780" s="110"/>
      <c r="X780" s="111">
        <f>SUMIFS('Transit Shipment'!$B$10:$B$1048462,'Transit Shipment'!$A$10:$A$1048462,B780,'Transit Shipment'!$C$10:$C$1048462,AA780)</f>
        <v>0</v>
      </c>
      <c r="Y780" s="111">
        <f>IF(SUMIFS(DIH!$S$2:$S833,DIH!$D$2:$D833,B780,DIH!$U$2:$U833,AA780)&gt;0,SUMIFS(DIH!$S$2:$S833,DIH!$D$2:$D833,B780,DIH!$U$2:$U833,AA780),0)</f>
        <v>0</v>
      </c>
      <c r="Z780" s="112">
        <f t="shared" si="7"/>
        <v>0</v>
      </c>
      <c r="AA780" s="119" t="s">
        <v>9</v>
      </c>
      <c r="AB780" s="114">
        <f>IF(ISNA(VLOOKUP($B780,'Business Report'!$D$2:$J$202,2,0)),"",VLOOKUP($B780,'Business Report'!$D$2:$J$202,2,0))</f>
        <v>3</v>
      </c>
      <c r="AC780" s="115">
        <f>SUMIFS(AFS!$P$2:$P$6260,AFS!$N$2:$N$6260,B780,AFS!$AT$2:$AT$6260,AA780)</f>
        <v>0</v>
      </c>
      <c r="AD780" s="116">
        <f t="shared" si="8"/>
        <v>0</v>
      </c>
      <c r="AE780" s="117"/>
      <c r="AF780" s="118" t="str">
        <f t="shared" si="9"/>
        <v/>
      </c>
      <c r="AG780" s="26"/>
      <c r="AH780" s="26"/>
      <c r="AI780" s="26"/>
    </row>
    <row r="781">
      <c r="A781" s="120" t="s">
        <v>12808</v>
      </c>
      <c r="B781" s="7" t="s">
        <v>150</v>
      </c>
      <c r="C781" s="95" t="s">
        <v>524</v>
      </c>
      <c r="D781" s="8" t="s">
        <v>172</v>
      </c>
      <c r="E781" s="97">
        <f t="shared" si="2"/>
        <v>1</v>
      </c>
      <c r="F781" s="97">
        <f t="shared" si="3"/>
        <v>0</v>
      </c>
      <c r="G781" s="99" t="str">
        <f t="shared" si="119"/>
        <v/>
      </c>
      <c r="H781" s="121"/>
      <c r="I781" s="122"/>
      <c r="J781" s="123"/>
      <c r="K781" s="124"/>
      <c r="L781" s="125"/>
      <c r="M781" s="181"/>
      <c r="N781" s="126"/>
      <c r="O781" s="127"/>
      <c r="P781" s="13">
        <f t="array" ref="P781">XLOOKUP(B781,Weight!B:B,Weight!D:D,"#N/A",0)</f>
        <v>300</v>
      </c>
      <c r="Q781" s="17" t="str">
        <f t="shared" si="6"/>
        <v/>
      </c>
      <c r="R781" s="107"/>
      <c r="S781" s="108">
        <v>420222.0</v>
      </c>
      <c r="T781" s="108">
        <v>18.0</v>
      </c>
      <c r="U781" s="109">
        <v>140.0</v>
      </c>
      <c r="V781" s="110"/>
      <c r="X781" s="111">
        <f>SUMIFS('Transit Shipment'!$B$10:$B$1048462,'Transit Shipment'!$A$10:$A$1048462,B781,'Transit Shipment'!$C$10:$C$1048462,AA781)</f>
        <v>0</v>
      </c>
      <c r="Y781" s="111">
        <f>IF(SUMIFS(DIH!$S$2:$S833,DIH!$D$2:$D833,B781,DIH!$U$2:$U833,AA781)&gt;0,SUMIFS(DIH!$S$2:$S833,DIH!$D$2:$D833,B781,DIH!$U$2:$U833,AA781),0)</f>
        <v>0</v>
      </c>
      <c r="Z781" s="112">
        <f t="shared" si="7"/>
        <v>0</v>
      </c>
      <c r="AA781" s="119" t="s">
        <v>155</v>
      </c>
      <c r="AB781" s="114">
        <f>IF(ISNA(VLOOKUP($B781,'Business Report'!$D$2:$J$202,2,0)),"",VLOOKUP($B781,'Business Report'!$D$2:$J$202,2,0))</f>
        <v>3</v>
      </c>
      <c r="AC781" s="115">
        <f>SUMIFS(AFS!$P$2:$P$6260,AFS!$N$2:$N$6260,B781,AFS!$AT$2:$AT$6260,AA781)</f>
        <v>0</v>
      </c>
      <c r="AD781" s="116">
        <f t="shared" si="8"/>
        <v>0</v>
      </c>
      <c r="AE781" s="117"/>
      <c r="AF781" s="118" t="str">
        <f t="shared" si="9"/>
        <v/>
      </c>
      <c r="AG781" s="26"/>
      <c r="AH781" s="26"/>
      <c r="AI781" s="26"/>
    </row>
    <row r="782">
      <c r="A782" s="120" t="s">
        <v>12808</v>
      </c>
      <c r="B782" s="7" t="s">
        <v>150</v>
      </c>
      <c r="C782" s="95" t="s">
        <v>524</v>
      </c>
      <c r="D782" s="8" t="s">
        <v>172</v>
      </c>
      <c r="E782" s="97">
        <f t="shared" si="2"/>
        <v>1</v>
      </c>
      <c r="F782" s="97">
        <f t="shared" si="3"/>
        <v>0</v>
      </c>
      <c r="G782" s="99" t="str">
        <f t="shared" si="119"/>
        <v/>
      </c>
      <c r="H782" s="121"/>
      <c r="I782" s="122"/>
      <c r="J782" s="123"/>
      <c r="K782" s="124"/>
      <c r="L782" s="125"/>
      <c r="M782" s="181"/>
      <c r="N782" s="126"/>
      <c r="O782" s="127"/>
      <c r="P782" s="13">
        <f t="array" ref="P782">XLOOKUP(B782,Weight!B:B,Weight!D:D,"#N/A",0)</f>
        <v>300</v>
      </c>
      <c r="Q782" s="17" t="str">
        <f t="shared" si="6"/>
        <v/>
      </c>
      <c r="R782" s="107"/>
      <c r="S782" s="108">
        <v>420222.0</v>
      </c>
      <c r="T782" s="108">
        <v>18.0</v>
      </c>
      <c r="U782" s="109">
        <v>140.0</v>
      </c>
      <c r="V782" s="110"/>
      <c r="X782" s="111">
        <f>SUMIFS('Transit Shipment'!$B$10:$B$1048462,'Transit Shipment'!$A$10:$A$1048462,B782,'Transit Shipment'!$C$10:$C$1048462,AA782)</f>
        <v>0</v>
      </c>
      <c r="Y782" s="111">
        <f>IF(SUMIFS(DIH!$S$2:$S833,DIH!$D$2:$D833,B782,DIH!$U$2:$U833,AA782)&gt;0,SUMIFS(DIH!$S$2:$S833,DIH!$D$2:$D833,B782,DIH!$U$2:$U833,AA782),0)</f>
        <v>0</v>
      </c>
      <c r="Z782" s="112">
        <f t="shared" si="7"/>
        <v>0</v>
      </c>
      <c r="AA782" s="119" t="s">
        <v>156</v>
      </c>
      <c r="AB782" s="114">
        <f>IF(ISNA(VLOOKUP($B782,'Business Report'!$D$2:$J$202,2,0)),"",VLOOKUP($B782,'Business Report'!$D$2:$J$202,2,0))</f>
        <v>3</v>
      </c>
      <c r="AC782" s="115">
        <f>SUMIFS(AFS!$P$2:$P$6260,AFS!$N$2:$N$6260,B782,AFS!$AT$2:$AT$6260,AA782)</f>
        <v>0</v>
      </c>
      <c r="AD782" s="116">
        <f t="shared" si="8"/>
        <v>0</v>
      </c>
      <c r="AE782" s="117"/>
      <c r="AF782" s="118" t="str">
        <f t="shared" si="9"/>
        <v/>
      </c>
      <c r="AG782" s="26"/>
      <c r="AH782" s="26"/>
      <c r="AI782" s="26"/>
    </row>
    <row r="783">
      <c r="A783" s="120" t="s">
        <v>12808</v>
      </c>
      <c r="B783" s="7" t="s">
        <v>150</v>
      </c>
      <c r="C783" s="95" t="s">
        <v>524</v>
      </c>
      <c r="D783" s="8" t="s">
        <v>172</v>
      </c>
      <c r="E783" s="97">
        <f t="shared" si="2"/>
        <v>1</v>
      </c>
      <c r="F783" s="97">
        <f t="shared" si="3"/>
        <v>0</v>
      </c>
      <c r="G783" s="99" t="str">
        <f t="shared" si="119"/>
        <v/>
      </c>
      <c r="H783" s="121"/>
      <c r="I783" s="122"/>
      <c r="J783" s="123"/>
      <c r="K783" s="124"/>
      <c r="L783" s="125"/>
      <c r="M783" s="181"/>
      <c r="N783" s="126"/>
      <c r="O783" s="127"/>
      <c r="P783" s="13">
        <f t="array" ref="P783">XLOOKUP(B783,Weight!B:B,Weight!D:D,"#N/A",0)</f>
        <v>300</v>
      </c>
      <c r="Q783" s="17" t="str">
        <f t="shared" si="6"/>
        <v/>
      </c>
      <c r="R783" s="107"/>
      <c r="S783" s="108">
        <v>420222.0</v>
      </c>
      <c r="T783" s="108">
        <v>18.0</v>
      </c>
      <c r="U783" s="109">
        <v>140.0</v>
      </c>
      <c r="V783" s="110"/>
      <c r="X783" s="111">
        <f>SUMIFS('Transit Shipment'!$B$10:$B$1048462,'Transit Shipment'!$A$10:$A$1048462,B783,'Transit Shipment'!$C$10:$C$1048462,AA783)</f>
        <v>0</v>
      </c>
      <c r="Y783" s="111">
        <f>IF(SUMIFS(DIH!$S$2:$S833,DIH!$D$2:$D833,B783,DIH!$U$2:$U833,AA783)&gt;0,SUMIFS(DIH!$S$2:$S833,DIH!$D$2:$D833,B783,DIH!$U$2:$U833,AA783),0)</f>
        <v>0</v>
      </c>
      <c r="Z783" s="112">
        <f t="shared" si="7"/>
        <v>0</v>
      </c>
      <c r="AA783" s="130" t="s">
        <v>13</v>
      </c>
      <c r="AB783" s="114">
        <f>IF(ISNA(VLOOKUP($B783,'Business Report'!$D$2:$J$202,2,0)),"",VLOOKUP($B783,'Business Report'!$D$2:$J$202,2,0))</f>
        <v>3</v>
      </c>
      <c r="AC783" s="115">
        <f>SUMIFS(AFS!$P$2:$P$6260,AFS!$N$2:$N$6260,B783,AFS!$AT$2:$AT$6260,AA783)</f>
        <v>0</v>
      </c>
      <c r="AD783" s="116">
        <f t="shared" si="8"/>
        <v>0</v>
      </c>
      <c r="AE783" s="117"/>
      <c r="AF783" s="118" t="str">
        <f t="shared" si="9"/>
        <v/>
      </c>
      <c r="AG783" s="26"/>
      <c r="AH783" s="26"/>
      <c r="AI783" s="26"/>
    </row>
    <row r="784">
      <c r="A784" s="120" t="s">
        <v>12808</v>
      </c>
      <c r="B784" s="7" t="s">
        <v>150</v>
      </c>
      <c r="C784" s="95" t="s">
        <v>524</v>
      </c>
      <c r="D784" s="8" t="s">
        <v>172</v>
      </c>
      <c r="E784" s="97">
        <f t="shared" si="2"/>
        <v>1</v>
      </c>
      <c r="F784" s="97">
        <f t="shared" si="3"/>
        <v>0</v>
      </c>
      <c r="G784" s="99" t="str">
        <f t="shared" si="119"/>
        <v/>
      </c>
      <c r="H784" s="121"/>
      <c r="I784" s="122"/>
      <c r="J784" s="123"/>
      <c r="K784" s="124"/>
      <c r="L784" s="125"/>
      <c r="M784" s="181"/>
      <c r="N784" s="126"/>
      <c r="O784" s="127"/>
      <c r="P784" s="13">
        <f t="array" ref="P784">XLOOKUP(B784,Weight!B:B,Weight!D:D,"#N/A",0)</f>
        <v>300</v>
      </c>
      <c r="Q784" s="17" t="str">
        <f t="shared" si="6"/>
        <v/>
      </c>
      <c r="R784" s="107"/>
      <c r="S784" s="108">
        <v>420222.0</v>
      </c>
      <c r="T784" s="108">
        <v>18.0</v>
      </c>
      <c r="U784" s="109">
        <v>140.0</v>
      </c>
      <c r="V784" s="110"/>
      <c r="X784" s="111">
        <f>SUMIFS('Transit Shipment'!$B$10:$B$1048462,'Transit Shipment'!$A$10:$A$1048462,B784,'Transit Shipment'!$C$10:$C$1048462,AA784)</f>
        <v>0</v>
      </c>
      <c r="Y784" s="111">
        <f>IF(SUMIFS(DIH!$S$2:$S833,DIH!$D$2:$D833,B784,DIH!$U$2:$U833,AA784)&gt;0,SUMIFS(DIH!$S$2:$S833,DIH!$D$2:$D833,B784,DIH!$U$2:$U833,AA784),0)</f>
        <v>0</v>
      </c>
      <c r="Z784" s="112">
        <f t="shared" si="7"/>
        <v>0</v>
      </c>
      <c r="AA784" s="119" t="s">
        <v>14</v>
      </c>
      <c r="AB784" s="114">
        <f>IF(ISNA(VLOOKUP($B784,'Business Report'!$D$2:$J$202,2,0)),"",VLOOKUP($B784,'Business Report'!$D$2:$J$202,2,0))</f>
        <v>3</v>
      </c>
      <c r="AC784" s="115">
        <f>SUMIFS(AFS!$P$2:$P$6260,AFS!$N$2:$N$6260,B784,AFS!$AT$2:$AT$6260,AA784)</f>
        <v>0</v>
      </c>
      <c r="AD784" s="116">
        <f t="shared" si="8"/>
        <v>0</v>
      </c>
      <c r="AE784" s="117"/>
      <c r="AF784" s="118" t="str">
        <f t="shared" si="9"/>
        <v/>
      </c>
      <c r="AG784" s="26"/>
      <c r="AH784" s="26"/>
      <c r="AI784" s="26"/>
    </row>
    <row r="785">
      <c r="A785" s="120" t="s">
        <v>12808</v>
      </c>
      <c r="B785" s="7" t="s">
        <v>150</v>
      </c>
      <c r="C785" s="95" t="s">
        <v>524</v>
      </c>
      <c r="D785" s="8" t="s">
        <v>172</v>
      </c>
      <c r="E785" s="97">
        <f t="shared" si="2"/>
        <v>1</v>
      </c>
      <c r="F785" s="97">
        <f t="shared" si="3"/>
        <v>0</v>
      </c>
      <c r="G785" s="99" t="str">
        <f t="shared" si="119"/>
        <v/>
      </c>
      <c r="H785" s="121"/>
      <c r="I785" s="122"/>
      <c r="J785" s="123"/>
      <c r="K785" s="124"/>
      <c r="L785" s="125"/>
      <c r="M785" s="181"/>
      <c r="N785" s="126"/>
      <c r="O785" s="127"/>
      <c r="P785" s="13">
        <f t="array" ref="P785">XLOOKUP(B785,Weight!B:B,Weight!D:D,"#N/A",0)</f>
        <v>300</v>
      </c>
      <c r="Q785" s="17" t="str">
        <f t="shared" si="6"/>
        <v/>
      </c>
      <c r="R785" s="107"/>
      <c r="S785" s="108">
        <v>420222.0</v>
      </c>
      <c r="T785" s="108">
        <v>18.0</v>
      </c>
      <c r="U785" s="109">
        <v>140.0</v>
      </c>
      <c r="V785" s="110"/>
      <c r="X785" s="111">
        <f>SUMIFS('Transit Shipment'!$B$10:$B$1048462,'Transit Shipment'!$A$10:$A$1048462,B785,'Transit Shipment'!$C$10:$C$1048462,AA785)</f>
        <v>0</v>
      </c>
      <c r="Y785" s="111">
        <f>IF(SUMIFS(DIH!$S$2:$S833,DIH!$D$2:$D833,B785,DIH!$U$2:$U833,AA785)&gt;0,SUMIFS(DIH!$S$2:$S833,DIH!$D$2:$D833,B785,DIH!$U$2:$U833,AA785),0)</f>
        <v>0</v>
      </c>
      <c r="Z785" s="112">
        <f t="shared" si="7"/>
        <v>0</v>
      </c>
      <c r="AA785" s="131" t="s">
        <v>16</v>
      </c>
      <c r="AB785" s="114">
        <f>IF(ISNA(VLOOKUP($B785,'Business Report'!$D$2:$J$202,2,0)),"",VLOOKUP($B785,'Business Report'!$D$2:$J$202,2,0))</f>
        <v>3</v>
      </c>
      <c r="AC785" s="115">
        <f>SUMIFS(AFS!$P$2:$P$6260,AFS!$N$2:$N$6260,B785,AFS!$AT$2:$AT$6260,AA785)</f>
        <v>0</v>
      </c>
      <c r="AD785" s="116">
        <f t="shared" si="8"/>
        <v>0</v>
      </c>
      <c r="AE785" s="117"/>
      <c r="AF785" s="118" t="str">
        <f t="shared" si="9"/>
        <v/>
      </c>
      <c r="AG785" s="26"/>
      <c r="AH785" s="26"/>
      <c r="AI785" s="26"/>
    </row>
    <row r="786">
      <c r="A786" s="132" t="s">
        <v>12808</v>
      </c>
      <c r="B786" s="15" t="s">
        <v>150</v>
      </c>
      <c r="C786" s="133" t="s">
        <v>524</v>
      </c>
      <c r="D786" s="134" t="s">
        <v>172</v>
      </c>
      <c r="E786" s="135">
        <f t="shared" si="2"/>
        <v>1</v>
      </c>
      <c r="F786" s="135">
        <f t="shared" si="3"/>
        <v>0</v>
      </c>
      <c r="G786" s="136" t="str">
        <f t="shared" si="119"/>
        <v/>
      </c>
      <c r="H786" s="137"/>
      <c r="I786" s="138"/>
      <c r="J786" s="139"/>
      <c r="K786" s="140"/>
      <c r="L786" s="135"/>
      <c r="M786" s="152"/>
      <c r="N786" s="142"/>
      <c r="O786" s="143"/>
      <c r="P786" s="144">
        <f t="array" ref="P786">XLOOKUP(B786,Weight!B:B,Weight!D:D,"#N/A",0)</f>
        <v>300</v>
      </c>
      <c r="Q786" s="145" t="str">
        <f t="shared" si="6"/>
        <v/>
      </c>
      <c r="R786" s="146"/>
      <c r="S786" s="147">
        <v>420222.0</v>
      </c>
      <c r="T786" s="147">
        <v>18.0</v>
      </c>
      <c r="U786" s="109">
        <v>140.0</v>
      </c>
      <c r="V786" s="148"/>
      <c r="W786" s="149"/>
      <c r="X786" s="150">
        <f>SUMIFS('Transit Shipment'!$B$10:$B$1048462,'Transit Shipment'!$A$10:$A$1048462,B786,'Transit Shipment'!$C$10:$C$1048462,AA786)</f>
        <v>0</v>
      </c>
      <c r="Y786" s="150">
        <f>IF(SUMIFS(DIH!$S$2:$S833,DIH!$D$2:$D833,B786,DIH!$U$2:$U833,AA786)&gt;0,SUMIFS(DIH!$S$2:$S833,DIH!$D$2:$D833,B786,DIH!$U$2:$U833,AA786),0)</f>
        <v>0</v>
      </c>
      <c r="Z786" s="151">
        <f t="shared" si="7"/>
        <v>0</v>
      </c>
      <c r="AA786" s="152" t="s">
        <v>17</v>
      </c>
      <c r="AB786" s="154">
        <f>IF(ISNA(VLOOKUP($B786,'Business Report'!$D$2:$J$202,2,0)),"",VLOOKUP($B786,'Business Report'!$D$2:$J$202,2,0))</f>
        <v>3</v>
      </c>
      <c r="AC786" s="155">
        <f>SUMIFS(AFS!$P$2:$P$6260,AFS!$N$2:$N$6260,B786,AFS!$AT$2:$AT$6260,AA786)</f>
        <v>0</v>
      </c>
      <c r="AD786" s="156">
        <f t="shared" si="8"/>
        <v>0</v>
      </c>
      <c r="AE786" s="159">
        <f>SUM(AD778:AD786)</f>
        <v>0</v>
      </c>
      <c r="AF786" s="118" t="str">
        <f t="shared" si="9"/>
        <v/>
      </c>
      <c r="AG786" s="26"/>
      <c r="AH786" s="26"/>
      <c r="AI786" s="26"/>
    </row>
    <row r="787">
      <c r="A787" s="66" t="s">
        <v>13010</v>
      </c>
      <c r="B787" s="1" t="s">
        <v>151</v>
      </c>
      <c r="C787" s="95" t="s">
        <v>13011</v>
      </c>
      <c r="D787" s="68" t="s">
        <v>172</v>
      </c>
      <c r="E787" s="69">
        <f t="shared" si="2"/>
        <v>1</v>
      </c>
      <c r="F787" s="69">
        <f t="shared" si="3"/>
        <v>0</v>
      </c>
      <c r="G787" s="70" t="str">
        <f t="shared" si="119"/>
        <v/>
      </c>
      <c r="H787" s="163"/>
      <c r="I787" s="101"/>
      <c r="J787" s="102"/>
      <c r="K787" s="167"/>
      <c r="L787" s="119"/>
      <c r="M787" s="169"/>
      <c r="N787" s="171"/>
      <c r="O787" s="106"/>
      <c r="P787" s="79">
        <f t="array" ref="P787">XLOOKUP(B787,Weight!B:B,Weight!D:D,"#N/A",0)</f>
        <v>300</v>
      </c>
      <c r="Q787" s="80" t="str">
        <f t="shared" si="6"/>
        <v/>
      </c>
      <c r="R787" s="107"/>
      <c r="S787" s="108">
        <v>420222.0</v>
      </c>
      <c r="T787" s="108">
        <v>18.0</v>
      </c>
      <c r="U787" s="83">
        <v>140.0</v>
      </c>
      <c r="V787" s="84" t="str">
        <f t="shared" ref="V787:W787" si="122">B787</f>
        <v>CRM-CTSP1-Grey-3Q</v>
      </c>
      <c r="W787" s="174" t="str">
        <f t="shared" si="122"/>
        <v>Crasome Set of 3 Multipurpose Transparent Toiletry Bag for Women &amp; Men, Travel Pouch for Makeup Cosmetic, Travel Organizer for Toiletries, Travel Storage Bag (CTSP1_Grey_3Q)</v>
      </c>
      <c r="X787" s="86">
        <f>SUMIFS('Transit Shipment'!$B$10:$B$1048462,'Transit Shipment'!$A$10:$A$1048462,B787,'Transit Shipment'!$C$10:$C$1048462,AA787)</f>
        <v>0</v>
      </c>
      <c r="Y787" s="86">
        <f>IF(SUMIFS(DIH!$S$2:$S833,DIH!$D$2:$D833,B787,DIH!$U$2:$U833,AA787)&gt;0,SUMIFS(DIH!$S$2:$S833,DIH!$D$2:$D833,B787,DIH!$U$2:$U833,AA787),0)</f>
        <v>0</v>
      </c>
      <c r="Z787" s="87">
        <f t="shared" si="7"/>
        <v>0</v>
      </c>
      <c r="AA787" s="88" t="s">
        <v>5</v>
      </c>
      <c r="AB787" s="89">
        <f>IF(ISNA(VLOOKUP($B787,'Business Report'!$D$2:$J$202,2,0)),"",VLOOKUP($B787,'Business Report'!$D$2:$J$202,2,0))</f>
        <v>3</v>
      </c>
      <c r="AC787" s="90">
        <f>SUMIFS(AFS!$P$2:$P$6260,AFS!$N$2:$N$6260,B787,AFS!$AT$2:$AT$6260,AA787)</f>
        <v>0</v>
      </c>
      <c r="AD787" s="91">
        <f t="shared" si="8"/>
        <v>0</v>
      </c>
      <c r="AE787" s="92"/>
      <c r="AF787" s="93" t="str">
        <f t="shared" si="9"/>
        <v/>
      </c>
      <c r="AG787" s="26"/>
      <c r="AH787" s="26"/>
      <c r="AI787" s="26"/>
    </row>
    <row r="788">
      <c r="A788" s="94" t="s">
        <v>13010</v>
      </c>
      <c r="B788" s="3" t="s">
        <v>151</v>
      </c>
      <c r="C788" s="95" t="s">
        <v>13011</v>
      </c>
      <c r="D788" s="96" t="s">
        <v>172</v>
      </c>
      <c r="E788" s="97">
        <f t="shared" si="2"/>
        <v>1</v>
      </c>
      <c r="F788" s="97">
        <f t="shared" si="3"/>
        <v>0</v>
      </c>
      <c r="G788" s="99" t="str">
        <f t="shared" si="119"/>
        <v/>
      </c>
      <c r="H788" s="100"/>
      <c r="I788" s="101"/>
      <c r="J788" s="102"/>
      <c r="K788" s="103"/>
      <c r="L788" s="97"/>
      <c r="M788" s="169"/>
      <c r="N788" s="105"/>
      <c r="O788" s="106"/>
      <c r="P788" s="13">
        <f t="array" ref="P788">XLOOKUP(B788,Weight!B:B,Weight!D:D,"#N/A",0)</f>
        <v>300</v>
      </c>
      <c r="Q788" s="17" t="str">
        <f t="shared" si="6"/>
        <v/>
      </c>
      <c r="R788" s="107"/>
      <c r="S788" s="108">
        <v>420222.0</v>
      </c>
      <c r="T788" s="108">
        <v>18.0</v>
      </c>
      <c r="U788" s="109">
        <v>140.0</v>
      </c>
      <c r="V788" s="110"/>
      <c r="X788" s="111">
        <f>SUMIFS('Transit Shipment'!$B$10:$B$1048462,'Transit Shipment'!$A$10:$A$1048462,B788,'Transit Shipment'!$C$10:$C$1048462,AA788)</f>
        <v>0</v>
      </c>
      <c r="Y788" s="111">
        <f>IF(SUMIFS(DIH!$S$2:$S833,DIH!$D$2:$D833,B788,DIH!$U$2:$U833,AA788)&gt;0,SUMIFS(DIH!$S$2:$S833,DIH!$D$2:$D833,B788,DIH!$U$2:$U833,AA788),0)</f>
        <v>0</v>
      </c>
      <c r="Z788" s="112">
        <f t="shared" si="7"/>
        <v>0</v>
      </c>
      <c r="AA788" s="113" t="s">
        <v>11</v>
      </c>
      <c r="AB788" s="114">
        <f>IF(ISNA(VLOOKUP($B788,'Business Report'!$D$2:$J$202,2,0)),"",VLOOKUP($B788,'Business Report'!$D$2:$J$202,2,0))</f>
        <v>3</v>
      </c>
      <c r="AC788" s="115">
        <f>SUMIFS(AFS!$P$2:$P$6260,AFS!$N$2:$N$6260,B788,AFS!$AT$2:$AT$6260,AA788)</f>
        <v>0</v>
      </c>
      <c r="AD788" s="116">
        <f t="shared" si="8"/>
        <v>0</v>
      </c>
      <c r="AE788" s="117"/>
      <c r="AF788" s="118" t="str">
        <f t="shared" si="9"/>
        <v/>
      </c>
      <c r="AG788" s="26"/>
      <c r="AH788" s="26"/>
      <c r="AI788" s="26"/>
    </row>
    <row r="789">
      <c r="A789" s="94" t="s">
        <v>13010</v>
      </c>
      <c r="B789" s="3" t="s">
        <v>151</v>
      </c>
      <c r="C789" s="95" t="s">
        <v>13011</v>
      </c>
      <c r="D789" s="96" t="s">
        <v>172</v>
      </c>
      <c r="E789" s="97">
        <f t="shared" si="2"/>
        <v>1</v>
      </c>
      <c r="F789" s="97">
        <f t="shared" si="3"/>
        <v>0</v>
      </c>
      <c r="G789" s="99" t="str">
        <f t="shared" si="119"/>
        <v/>
      </c>
      <c r="H789" s="100"/>
      <c r="I789" s="101"/>
      <c r="J789" s="102"/>
      <c r="K789" s="103"/>
      <c r="L789" s="97"/>
      <c r="M789" s="169"/>
      <c r="N789" s="105"/>
      <c r="O789" s="106"/>
      <c r="P789" s="13">
        <f t="array" ref="P789">XLOOKUP(B789,Weight!B:B,Weight!D:D,"#N/A",0)</f>
        <v>300</v>
      </c>
      <c r="Q789" s="17" t="str">
        <f t="shared" si="6"/>
        <v/>
      </c>
      <c r="R789" s="107"/>
      <c r="S789" s="108">
        <v>420222.0</v>
      </c>
      <c r="T789" s="108">
        <v>18.0</v>
      </c>
      <c r="U789" s="109">
        <v>140.0</v>
      </c>
      <c r="V789" s="110"/>
      <c r="X789" s="111">
        <f>SUMIFS('Transit Shipment'!$B$10:$B$1048462,'Transit Shipment'!$A$10:$A$1048462,B789,'Transit Shipment'!$C$10:$C$1048462,AA789)</f>
        <v>0</v>
      </c>
      <c r="Y789" s="111">
        <f>IF(SUMIFS(DIH!$S$2:$S833,DIH!$D$2:$D833,B789,DIH!$U$2:$U833,AA789)&gt;0,SUMIFS(DIH!$S$2:$S833,DIH!$D$2:$D833,B789,DIH!$U$2:$U833,AA789),0)</f>
        <v>0</v>
      </c>
      <c r="Z789" s="112">
        <f t="shared" si="7"/>
        <v>0</v>
      </c>
      <c r="AA789" s="119" t="s">
        <v>9</v>
      </c>
      <c r="AB789" s="114">
        <f>IF(ISNA(VLOOKUP($B789,'Business Report'!$D$2:$J$202,2,0)),"",VLOOKUP($B789,'Business Report'!$D$2:$J$202,2,0))</f>
        <v>3</v>
      </c>
      <c r="AC789" s="115">
        <f>SUMIFS(AFS!$P$2:$P$6260,AFS!$N$2:$N$6260,B789,AFS!$AT$2:$AT$6260,AA789)</f>
        <v>0</v>
      </c>
      <c r="AD789" s="116">
        <f t="shared" si="8"/>
        <v>0</v>
      </c>
      <c r="AE789" s="117"/>
      <c r="AF789" s="118" t="str">
        <f t="shared" si="9"/>
        <v/>
      </c>
      <c r="AG789" s="26"/>
      <c r="AH789" s="26"/>
      <c r="AI789" s="26"/>
    </row>
    <row r="790">
      <c r="A790" s="120" t="s">
        <v>13010</v>
      </c>
      <c r="B790" s="7" t="s">
        <v>151</v>
      </c>
      <c r="C790" s="95" t="s">
        <v>13011</v>
      </c>
      <c r="D790" s="109" t="s">
        <v>172</v>
      </c>
      <c r="E790" s="97">
        <f t="shared" si="2"/>
        <v>1</v>
      </c>
      <c r="F790" s="97">
        <f t="shared" si="3"/>
        <v>0</v>
      </c>
      <c r="G790" s="99" t="str">
        <f t="shared" si="119"/>
        <v/>
      </c>
      <c r="H790" s="121"/>
      <c r="I790" s="122"/>
      <c r="J790" s="123"/>
      <c r="K790" s="124"/>
      <c r="L790" s="125"/>
      <c r="M790" s="181"/>
      <c r="N790" s="126"/>
      <c r="O790" s="127"/>
      <c r="P790" s="13">
        <f t="array" ref="P790">XLOOKUP(B790,Weight!B:B,Weight!D:D,"#N/A",0)</f>
        <v>300</v>
      </c>
      <c r="Q790" s="17" t="str">
        <f t="shared" si="6"/>
        <v/>
      </c>
      <c r="R790" s="107"/>
      <c r="S790" s="108">
        <v>420222.0</v>
      </c>
      <c r="T790" s="108">
        <v>18.0</v>
      </c>
      <c r="U790" s="109">
        <v>140.0</v>
      </c>
      <c r="V790" s="110"/>
      <c r="X790" s="111">
        <f>SUMIFS('Transit Shipment'!$B$10:$B$1048462,'Transit Shipment'!$A$10:$A$1048462,B790,'Transit Shipment'!$C$10:$C$1048462,AA790)</f>
        <v>0</v>
      </c>
      <c r="Y790" s="111">
        <f>IF(SUMIFS(DIH!$S$2:$S833,DIH!$D$2:$D833,B790,DIH!$U$2:$U833,AA790)&gt;0,SUMIFS(DIH!$S$2:$S833,DIH!$D$2:$D833,B790,DIH!$U$2:$U833,AA790),0)</f>
        <v>0</v>
      </c>
      <c r="Z790" s="112">
        <f t="shared" si="7"/>
        <v>0</v>
      </c>
      <c r="AA790" s="119" t="s">
        <v>155</v>
      </c>
      <c r="AB790" s="114">
        <f>IF(ISNA(VLOOKUP($B790,'Business Report'!$D$2:$J$202,2,0)),"",VLOOKUP($B790,'Business Report'!$D$2:$J$202,2,0))</f>
        <v>3</v>
      </c>
      <c r="AC790" s="115">
        <f>SUMIFS(AFS!$P$2:$P$6260,AFS!$N$2:$N$6260,B790,AFS!$AT$2:$AT$6260,AA790)</f>
        <v>0</v>
      </c>
      <c r="AD790" s="116">
        <f t="shared" si="8"/>
        <v>0</v>
      </c>
      <c r="AE790" s="117"/>
      <c r="AF790" s="118" t="str">
        <f t="shared" si="9"/>
        <v/>
      </c>
      <c r="AG790" s="26"/>
      <c r="AH790" s="26"/>
      <c r="AI790" s="26"/>
    </row>
    <row r="791">
      <c r="A791" s="120" t="s">
        <v>13010</v>
      </c>
      <c r="B791" s="7" t="s">
        <v>151</v>
      </c>
      <c r="C791" s="95" t="s">
        <v>13011</v>
      </c>
      <c r="D791" s="109" t="s">
        <v>172</v>
      </c>
      <c r="E791" s="97">
        <f t="shared" si="2"/>
        <v>1</v>
      </c>
      <c r="F791" s="97">
        <f t="shared" si="3"/>
        <v>0</v>
      </c>
      <c r="G791" s="99" t="str">
        <f t="shared" si="119"/>
        <v/>
      </c>
      <c r="H791" s="121"/>
      <c r="I791" s="122"/>
      <c r="J791" s="123"/>
      <c r="K791" s="124"/>
      <c r="L791" s="125"/>
      <c r="M791" s="181"/>
      <c r="N791" s="126"/>
      <c r="O791" s="127"/>
      <c r="P791" s="13">
        <f t="array" ref="P791">XLOOKUP(B791,Weight!B:B,Weight!D:D,"#N/A",0)</f>
        <v>300</v>
      </c>
      <c r="Q791" s="17" t="str">
        <f t="shared" si="6"/>
        <v/>
      </c>
      <c r="R791" s="107"/>
      <c r="S791" s="108">
        <v>420222.0</v>
      </c>
      <c r="T791" s="108">
        <v>18.0</v>
      </c>
      <c r="U791" s="109">
        <v>140.0</v>
      </c>
      <c r="V791" s="110"/>
      <c r="X791" s="111">
        <f>SUMIFS('Transit Shipment'!$B$10:$B$1048462,'Transit Shipment'!$A$10:$A$1048462,B791,'Transit Shipment'!$C$10:$C$1048462,AA791)</f>
        <v>0</v>
      </c>
      <c r="Y791" s="111">
        <f>IF(SUMIFS(DIH!$S$2:$S833,DIH!$D$2:$D833,B791,DIH!$U$2:$U833,AA791)&gt;0,SUMIFS(DIH!$S$2:$S833,DIH!$D$2:$D833,B791,DIH!$U$2:$U833,AA791),0)</f>
        <v>0</v>
      </c>
      <c r="Z791" s="112">
        <f t="shared" si="7"/>
        <v>0</v>
      </c>
      <c r="AA791" s="119" t="s">
        <v>156</v>
      </c>
      <c r="AB791" s="114">
        <f>IF(ISNA(VLOOKUP($B791,'Business Report'!$D$2:$J$202,2,0)),"",VLOOKUP($B791,'Business Report'!$D$2:$J$202,2,0))</f>
        <v>3</v>
      </c>
      <c r="AC791" s="115">
        <f>SUMIFS(AFS!$P$2:$P$6260,AFS!$N$2:$N$6260,B791,AFS!$AT$2:$AT$6260,AA791)</f>
        <v>0</v>
      </c>
      <c r="AD791" s="116">
        <f t="shared" si="8"/>
        <v>0</v>
      </c>
      <c r="AE791" s="117"/>
      <c r="AF791" s="118" t="str">
        <f t="shared" si="9"/>
        <v/>
      </c>
      <c r="AG791" s="26"/>
      <c r="AH791" s="26"/>
      <c r="AI791" s="26"/>
    </row>
    <row r="792">
      <c r="A792" s="120" t="s">
        <v>13010</v>
      </c>
      <c r="B792" s="7" t="s">
        <v>151</v>
      </c>
      <c r="C792" s="95" t="s">
        <v>13011</v>
      </c>
      <c r="D792" s="109" t="s">
        <v>172</v>
      </c>
      <c r="E792" s="97">
        <f t="shared" si="2"/>
        <v>1</v>
      </c>
      <c r="F792" s="97">
        <f t="shared" si="3"/>
        <v>0</v>
      </c>
      <c r="G792" s="99" t="str">
        <f t="shared" si="119"/>
        <v/>
      </c>
      <c r="H792" s="121"/>
      <c r="I792" s="122"/>
      <c r="J792" s="123"/>
      <c r="K792" s="124"/>
      <c r="L792" s="125"/>
      <c r="M792" s="181"/>
      <c r="N792" s="126"/>
      <c r="O792" s="127"/>
      <c r="P792" s="13">
        <f t="array" ref="P792">XLOOKUP(B792,Weight!B:B,Weight!D:D,"#N/A",0)</f>
        <v>300</v>
      </c>
      <c r="Q792" s="17" t="str">
        <f t="shared" si="6"/>
        <v/>
      </c>
      <c r="R792" s="107"/>
      <c r="S792" s="108">
        <v>420222.0</v>
      </c>
      <c r="T792" s="108">
        <v>18.0</v>
      </c>
      <c r="U792" s="109">
        <v>140.0</v>
      </c>
      <c r="V792" s="110"/>
      <c r="X792" s="111">
        <f>SUMIFS('Transit Shipment'!$B$10:$B$1048462,'Transit Shipment'!$A$10:$A$1048462,B792,'Transit Shipment'!$C$10:$C$1048462,AA792)</f>
        <v>0</v>
      </c>
      <c r="Y792" s="111">
        <f>IF(SUMIFS(DIH!$S$2:$S833,DIH!$D$2:$D833,B792,DIH!$U$2:$U833,AA792)&gt;0,SUMIFS(DIH!$S$2:$S833,DIH!$D$2:$D833,B792,DIH!$U$2:$U833,AA792),0)</f>
        <v>0</v>
      </c>
      <c r="Z792" s="112">
        <f t="shared" si="7"/>
        <v>0</v>
      </c>
      <c r="AA792" s="130" t="s">
        <v>13</v>
      </c>
      <c r="AB792" s="114">
        <f>IF(ISNA(VLOOKUP($B792,'Business Report'!$D$2:$J$202,2,0)),"",VLOOKUP($B792,'Business Report'!$D$2:$J$202,2,0))</f>
        <v>3</v>
      </c>
      <c r="AC792" s="115">
        <f>SUMIFS(AFS!$P$2:$P$6260,AFS!$N$2:$N$6260,B792,AFS!$AT$2:$AT$6260,AA792)</f>
        <v>0</v>
      </c>
      <c r="AD792" s="116">
        <f t="shared" si="8"/>
        <v>0</v>
      </c>
      <c r="AE792" s="117"/>
      <c r="AF792" s="118" t="str">
        <f t="shared" si="9"/>
        <v/>
      </c>
      <c r="AG792" s="26"/>
      <c r="AH792" s="26"/>
      <c r="AI792" s="26"/>
    </row>
    <row r="793">
      <c r="A793" s="120" t="s">
        <v>13010</v>
      </c>
      <c r="B793" s="7" t="s">
        <v>151</v>
      </c>
      <c r="C793" s="95" t="s">
        <v>13011</v>
      </c>
      <c r="D793" s="109" t="s">
        <v>172</v>
      </c>
      <c r="E793" s="97">
        <f t="shared" si="2"/>
        <v>1</v>
      </c>
      <c r="F793" s="97">
        <f t="shared" si="3"/>
        <v>0</v>
      </c>
      <c r="G793" s="99" t="str">
        <f t="shared" si="119"/>
        <v/>
      </c>
      <c r="H793" s="121"/>
      <c r="I793" s="122"/>
      <c r="J793" s="123"/>
      <c r="K793" s="124"/>
      <c r="L793" s="125"/>
      <c r="M793" s="181"/>
      <c r="N793" s="126"/>
      <c r="O793" s="127"/>
      <c r="P793" s="13">
        <f t="array" ref="P793">XLOOKUP(B793,Weight!B:B,Weight!D:D,"#N/A",0)</f>
        <v>300</v>
      </c>
      <c r="Q793" s="17" t="str">
        <f t="shared" si="6"/>
        <v/>
      </c>
      <c r="R793" s="107"/>
      <c r="S793" s="108">
        <v>420222.0</v>
      </c>
      <c r="T793" s="108">
        <v>18.0</v>
      </c>
      <c r="U793" s="109">
        <v>140.0</v>
      </c>
      <c r="V793" s="110"/>
      <c r="X793" s="111">
        <f>SUMIFS('Transit Shipment'!$B$10:$B$1048462,'Transit Shipment'!$A$10:$A$1048462,B793,'Transit Shipment'!$C$10:$C$1048462,AA793)</f>
        <v>0</v>
      </c>
      <c r="Y793" s="111">
        <f>IF(SUMIFS(DIH!$S$2:$S833,DIH!$D$2:$D833,B793,DIH!$U$2:$U833,AA793)&gt;0,SUMIFS(DIH!$S$2:$S833,DIH!$D$2:$D833,B793,DIH!$U$2:$U833,AA793),0)</f>
        <v>0</v>
      </c>
      <c r="Z793" s="112">
        <f t="shared" si="7"/>
        <v>0</v>
      </c>
      <c r="AA793" s="119" t="s">
        <v>14</v>
      </c>
      <c r="AB793" s="114">
        <f>IF(ISNA(VLOOKUP($B793,'Business Report'!$D$2:$J$202,2,0)),"",VLOOKUP($B793,'Business Report'!$D$2:$J$202,2,0))</f>
        <v>3</v>
      </c>
      <c r="AC793" s="115">
        <f>SUMIFS(AFS!$P$2:$P$6260,AFS!$N$2:$N$6260,B793,AFS!$AT$2:$AT$6260,AA793)</f>
        <v>0</v>
      </c>
      <c r="AD793" s="116">
        <f t="shared" si="8"/>
        <v>0</v>
      </c>
      <c r="AE793" s="117"/>
      <c r="AF793" s="118" t="str">
        <f t="shared" si="9"/>
        <v/>
      </c>
      <c r="AG793" s="26"/>
      <c r="AH793" s="26"/>
      <c r="AI793" s="26"/>
    </row>
    <row r="794">
      <c r="A794" s="120" t="s">
        <v>13010</v>
      </c>
      <c r="B794" s="7" t="s">
        <v>151</v>
      </c>
      <c r="C794" s="95" t="s">
        <v>13011</v>
      </c>
      <c r="D794" s="109" t="s">
        <v>172</v>
      </c>
      <c r="E794" s="97">
        <f t="shared" si="2"/>
        <v>1</v>
      </c>
      <c r="F794" s="97">
        <f t="shared" si="3"/>
        <v>0</v>
      </c>
      <c r="G794" s="99" t="str">
        <f t="shared" si="119"/>
        <v/>
      </c>
      <c r="H794" s="121"/>
      <c r="I794" s="122"/>
      <c r="J794" s="123"/>
      <c r="K794" s="124"/>
      <c r="L794" s="125"/>
      <c r="M794" s="181"/>
      <c r="N794" s="126"/>
      <c r="O794" s="127"/>
      <c r="P794" s="13">
        <f t="array" ref="P794">XLOOKUP(B794,Weight!B:B,Weight!D:D,"#N/A",0)</f>
        <v>300</v>
      </c>
      <c r="Q794" s="17" t="str">
        <f t="shared" si="6"/>
        <v/>
      </c>
      <c r="R794" s="107"/>
      <c r="S794" s="108">
        <v>420222.0</v>
      </c>
      <c r="T794" s="108">
        <v>18.0</v>
      </c>
      <c r="U794" s="109">
        <v>140.0</v>
      </c>
      <c r="V794" s="110"/>
      <c r="X794" s="111">
        <f>SUMIFS('Transit Shipment'!$B$10:$B$1048462,'Transit Shipment'!$A$10:$A$1048462,B794,'Transit Shipment'!$C$10:$C$1048462,AA794)</f>
        <v>0</v>
      </c>
      <c r="Y794" s="111">
        <f>IF(SUMIFS(DIH!$S$2:$S833,DIH!$D$2:$D833,B794,DIH!$U$2:$U833,AA794)&gt;0,SUMIFS(DIH!$S$2:$S833,DIH!$D$2:$D833,B794,DIH!$U$2:$U833,AA794),0)</f>
        <v>0</v>
      </c>
      <c r="Z794" s="112">
        <f t="shared" si="7"/>
        <v>0</v>
      </c>
      <c r="AA794" s="131" t="s">
        <v>16</v>
      </c>
      <c r="AB794" s="114">
        <f>IF(ISNA(VLOOKUP($B794,'Business Report'!$D$2:$J$202,2,0)),"",VLOOKUP($B794,'Business Report'!$D$2:$J$202,2,0))</f>
        <v>3</v>
      </c>
      <c r="AC794" s="115">
        <f>SUMIFS(AFS!$P$2:$P$6260,AFS!$N$2:$N$6260,B794,AFS!$AT$2:$AT$6260,AA794)</f>
        <v>0</v>
      </c>
      <c r="AD794" s="116">
        <f t="shared" si="8"/>
        <v>0</v>
      </c>
      <c r="AE794" s="117"/>
      <c r="AF794" s="118" t="str">
        <f t="shared" si="9"/>
        <v/>
      </c>
      <c r="AG794" s="26"/>
      <c r="AH794" s="26"/>
      <c r="AI794" s="26"/>
    </row>
    <row r="795">
      <c r="A795" s="132" t="s">
        <v>13010</v>
      </c>
      <c r="B795" s="15" t="s">
        <v>151</v>
      </c>
      <c r="C795" s="133" t="s">
        <v>13011</v>
      </c>
      <c r="D795" s="134" t="s">
        <v>172</v>
      </c>
      <c r="E795" s="135">
        <f t="shared" si="2"/>
        <v>1</v>
      </c>
      <c r="F795" s="135">
        <f t="shared" si="3"/>
        <v>0</v>
      </c>
      <c r="G795" s="136" t="str">
        <f t="shared" si="119"/>
        <v/>
      </c>
      <c r="H795" s="137"/>
      <c r="I795" s="138"/>
      <c r="J795" s="139"/>
      <c r="K795" s="140"/>
      <c r="L795" s="135"/>
      <c r="M795" s="152"/>
      <c r="N795" s="142"/>
      <c r="O795" s="143"/>
      <c r="P795" s="144">
        <f t="array" ref="P795">XLOOKUP(B795,Weight!B:B,Weight!D:D,"#N/A",0)</f>
        <v>300</v>
      </c>
      <c r="Q795" s="145" t="str">
        <f t="shared" si="6"/>
        <v/>
      </c>
      <c r="R795" s="146"/>
      <c r="S795" s="147">
        <v>420222.0</v>
      </c>
      <c r="T795" s="147">
        <v>18.0</v>
      </c>
      <c r="U795" s="292">
        <v>140.0</v>
      </c>
      <c r="V795" s="148"/>
      <c r="W795" s="149"/>
      <c r="X795" s="150">
        <f>SUMIFS('Transit Shipment'!$B$10:$B$1048462,'Transit Shipment'!$A$10:$A$1048462,B795,'Transit Shipment'!$C$10:$C$1048462,AA795)</f>
        <v>0</v>
      </c>
      <c r="Y795" s="150">
        <f>IF(SUMIFS(DIH!$S$2:$S833,DIH!$D$2:$D833,B795,DIH!$U$2:$U833,AA795)&gt;0,SUMIFS(DIH!$S$2:$S833,DIH!$D$2:$D833,B795,DIH!$U$2:$U833,AA795),0)</f>
        <v>0</v>
      </c>
      <c r="Z795" s="151">
        <f t="shared" si="7"/>
        <v>0</v>
      </c>
      <c r="AA795" s="152" t="s">
        <v>17</v>
      </c>
      <c r="AB795" s="154">
        <f>IF(ISNA(VLOOKUP($B795,'Business Report'!$D$2:$J$202,2,0)),"",VLOOKUP($B795,'Business Report'!$D$2:$J$202,2,0))</f>
        <v>3</v>
      </c>
      <c r="AC795" s="155">
        <f>SUMIFS(AFS!$P$2:$P$6260,AFS!$N$2:$N$6260,B795,AFS!$AT$2:$AT$6260,AA795)</f>
        <v>0</v>
      </c>
      <c r="AD795" s="156">
        <f t="shared" si="8"/>
        <v>0</v>
      </c>
      <c r="AE795" s="159">
        <f>SUM(AD787:AD795)</f>
        <v>0</v>
      </c>
      <c r="AF795" s="118" t="str">
        <f t="shared" si="9"/>
        <v/>
      </c>
      <c r="AG795" s="26"/>
      <c r="AH795" s="26"/>
      <c r="AI795" s="26"/>
    </row>
    <row r="796">
      <c r="A796" s="66" t="s">
        <v>13233</v>
      </c>
      <c r="B796" s="1" t="s">
        <v>152</v>
      </c>
      <c r="C796" s="95" t="s">
        <v>473</v>
      </c>
      <c r="D796" s="8" t="s">
        <v>165</v>
      </c>
      <c r="E796" s="69" t="str">
        <f t="shared" si="2"/>
        <v/>
      </c>
      <c r="F796" s="69" t="str">
        <f t="shared" si="3"/>
        <v/>
      </c>
      <c r="G796" s="70" t="str">
        <f t="shared" si="119"/>
        <v/>
      </c>
      <c r="H796" s="163"/>
      <c r="I796" s="101"/>
      <c r="J796" s="102"/>
      <c r="K796" s="167"/>
      <c r="L796" s="119"/>
      <c r="M796" s="169"/>
      <c r="N796" s="171"/>
      <c r="O796" s="106"/>
      <c r="P796" s="79">
        <f t="array" ref="P796">XLOOKUP(B796,Weight!B:B,Weight!D:D,"#N/A",0)</f>
        <v>250</v>
      </c>
      <c r="Q796" s="80" t="str">
        <f t="shared" si="6"/>
        <v/>
      </c>
      <c r="R796" s="107"/>
      <c r="S796" s="108">
        <v>420222.0</v>
      </c>
      <c r="T796" s="108">
        <v>18.0</v>
      </c>
      <c r="U796" s="109">
        <v>180.0</v>
      </c>
      <c r="V796" s="84" t="str">
        <f t="shared" ref="V796:W796" si="123">B796</f>
        <v>CRM-SC-BLACK-TS-4Q</v>
      </c>
      <c r="W796" s="174" t="str">
        <f t="shared" si="123"/>
        <v>Crasome Saree Bags/Covers for Storage Set of-4 Big Size With Zip Closure for Clothes Bags and Wardrobe Organizer With Transparent Window (SC-BLACK-TS-4Q)</v>
      </c>
      <c r="X796" s="86">
        <f>SUMIFS('Transit Shipment'!$B$10:$B$1048462,'Transit Shipment'!$A$10:$A$1048462,B796,'Transit Shipment'!$C$10:$C$1048462,AA796)</f>
        <v>0</v>
      </c>
      <c r="Y796" s="86">
        <f>IF(SUMIFS(DIH!$S$2:$S833,DIH!$D$2:$D833,B796,DIH!$U$2:$U833,AA796)&gt;0,SUMIFS(DIH!$S$2:$S833,DIH!$D$2:$D833,B796,DIH!$U$2:$U833,AA796),0)</f>
        <v>3</v>
      </c>
      <c r="Z796" s="87">
        <f t="shared" si="7"/>
        <v>3</v>
      </c>
      <c r="AA796" s="88" t="s">
        <v>5</v>
      </c>
      <c r="AB796" s="89">
        <f>IF(ISNA(VLOOKUP($B796,'Business Report'!$D$2:$J$202,2,0)),"",VLOOKUP($B796,'Business Report'!$D$2:$J$202,2,0))</f>
        <v>7</v>
      </c>
      <c r="AC796" s="90">
        <f>SUMIFS(AFS!$P$2:$P$6260,AFS!$N$2:$N$6260,B796,AFS!$AT$2:$AT$6260,AA796)</f>
        <v>0</v>
      </c>
      <c r="AD796" s="91">
        <f t="shared" si="8"/>
        <v>-3</v>
      </c>
      <c r="AE796" s="92"/>
      <c r="AF796" s="93" t="str">
        <f t="shared" si="9"/>
        <v/>
      </c>
      <c r="AG796" s="26"/>
      <c r="AH796" s="26"/>
      <c r="AI796" s="26"/>
    </row>
    <row r="797">
      <c r="A797" s="94" t="s">
        <v>13233</v>
      </c>
      <c r="B797" s="3" t="s">
        <v>152</v>
      </c>
      <c r="C797" s="95" t="s">
        <v>473</v>
      </c>
      <c r="D797" s="8" t="s">
        <v>165</v>
      </c>
      <c r="E797" s="97" t="str">
        <f t="shared" si="2"/>
        <v/>
      </c>
      <c r="F797" s="97" t="str">
        <f t="shared" si="3"/>
        <v/>
      </c>
      <c r="G797" s="99" t="str">
        <f t="shared" si="119"/>
        <v/>
      </c>
      <c r="H797" s="100"/>
      <c r="I797" s="101"/>
      <c r="J797" s="102"/>
      <c r="K797" s="103"/>
      <c r="L797" s="97"/>
      <c r="M797" s="169"/>
      <c r="N797" s="105"/>
      <c r="O797" s="106"/>
      <c r="P797" s="13">
        <f t="array" ref="P797">XLOOKUP(B797,Weight!B:B,Weight!D:D,"#N/A",0)</f>
        <v>250</v>
      </c>
      <c r="Q797" s="17" t="str">
        <f t="shared" si="6"/>
        <v/>
      </c>
      <c r="R797" s="107"/>
      <c r="S797" s="108">
        <v>420222.0</v>
      </c>
      <c r="T797" s="108">
        <v>18.0</v>
      </c>
      <c r="U797" s="109">
        <v>180.0</v>
      </c>
      <c r="V797" s="110"/>
      <c r="X797" s="111">
        <f>SUMIFS('Transit Shipment'!$B$10:$B$1048462,'Transit Shipment'!$A$10:$A$1048462,B797,'Transit Shipment'!$C$10:$C$1048462,AA797)</f>
        <v>0</v>
      </c>
      <c r="Y797" s="111">
        <f>IF(SUMIFS(DIH!$S$2:$S833,DIH!$D$2:$D833,B797,DIH!$U$2:$U833,AA797)&gt;0,SUMIFS(DIH!$S$2:$S833,DIH!$D$2:$D833,B797,DIH!$U$2:$U833,AA797),0)</f>
        <v>1</v>
      </c>
      <c r="Z797" s="112">
        <f t="shared" si="7"/>
        <v>1</v>
      </c>
      <c r="AA797" s="113" t="s">
        <v>11</v>
      </c>
      <c r="AB797" s="114">
        <f>IF(ISNA(VLOOKUP($B797,'Business Report'!$D$2:$J$202,2,0)),"",VLOOKUP($B797,'Business Report'!$D$2:$J$202,2,0))</f>
        <v>7</v>
      </c>
      <c r="AC797" s="115">
        <f>SUMIFS(AFS!$P$2:$P$6260,AFS!$N$2:$N$6260,B797,AFS!$AT$2:$AT$6260,AA797)</f>
        <v>0</v>
      </c>
      <c r="AD797" s="116">
        <f t="shared" si="8"/>
        <v>-1</v>
      </c>
      <c r="AE797" s="117"/>
      <c r="AF797" s="118" t="str">
        <f t="shared" si="9"/>
        <v/>
      </c>
      <c r="AG797" s="26"/>
      <c r="AH797" s="26"/>
      <c r="AI797" s="26"/>
    </row>
    <row r="798">
      <c r="A798" s="94" t="s">
        <v>13233</v>
      </c>
      <c r="B798" s="3" t="s">
        <v>152</v>
      </c>
      <c r="C798" s="95" t="s">
        <v>473</v>
      </c>
      <c r="D798" s="8" t="s">
        <v>165</v>
      </c>
      <c r="E798" s="97">
        <f t="shared" si="2"/>
        <v>1</v>
      </c>
      <c r="F798" s="97">
        <f t="shared" si="3"/>
        <v>0</v>
      </c>
      <c r="G798" s="99">
        <f t="shared" si="119"/>
        <v>2</v>
      </c>
      <c r="H798" s="100"/>
      <c r="I798" s="101"/>
      <c r="J798" s="102"/>
      <c r="K798" s="103"/>
      <c r="L798" s="97"/>
      <c r="M798" s="169"/>
      <c r="N798" s="105"/>
      <c r="O798" s="106"/>
      <c r="P798" s="13">
        <f t="array" ref="P798">XLOOKUP(B798,Weight!B:B,Weight!D:D,"#N/A",0)</f>
        <v>250</v>
      </c>
      <c r="Q798" s="17">
        <f t="shared" si="6"/>
        <v>500</v>
      </c>
      <c r="R798" s="107"/>
      <c r="S798" s="108">
        <v>420222.0</v>
      </c>
      <c r="T798" s="108">
        <v>18.0</v>
      </c>
      <c r="U798" s="109">
        <v>180.0</v>
      </c>
      <c r="V798" s="110"/>
      <c r="X798" s="111">
        <f>SUMIFS('Transit Shipment'!$B$10:$B$1048462,'Transit Shipment'!$A$10:$A$1048462,B798,'Transit Shipment'!$C$10:$C$1048462,AA798)</f>
        <v>0</v>
      </c>
      <c r="Y798" s="111">
        <f>IF(SUMIFS(DIH!$S$2:$S833,DIH!$D$2:$D833,B798,DIH!$U$2:$U833,AA798)&gt;0,SUMIFS(DIH!$S$2:$S833,DIH!$D$2:$D833,B798,DIH!$U$2:$U833,AA798),0)</f>
        <v>0</v>
      </c>
      <c r="Z798" s="112">
        <f t="shared" si="7"/>
        <v>0</v>
      </c>
      <c r="AA798" s="119" t="s">
        <v>9</v>
      </c>
      <c r="AB798" s="114">
        <f>IF(ISNA(VLOOKUP($B798,'Business Report'!$D$2:$J$202,2,0)),"",VLOOKUP($B798,'Business Report'!$D$2:$J$202,2,0))</f>
        <v>7</v>
      </c>
      <c r="AC798" s="115">
        <f>SUMIFS(AFS!$P$2:$P$6260,AFS!$N$2:$N$6260,B798,AFS!$AT$2:$AT$6260,AA798)</f>
        <v>1</v>
      </c>
      <c r="AD798" s="116">
        <f t="shared" si="8"/>
        <v>2</v>
      </c>
      <c r="AE798" s="117"/>
      <c r="AF798" s="118">
        <f t="shared" si="9"/>
        <v>2</v>
      </c>
      <c r="AG798" s="26"/>
      <c r="AH798" s="26"/>
      <c r="AI798" s="26"/>
    </row>
    <row r="799">
      <c r="A799" s="120" t="s">
        <v>13233</v>
      </c>
      <c r="B799" s="7" t="s">
        <v>152</v>
      </c>
      <c r="C799" s="95" t="s">
        <v>473</v>
      </c>
      <c r="D799" s="8" t="s">
        <v>165</v>
      </c>
      <c r="E799" s="97">
        <f t="shared" si="2"/>
        <v>1</v>
      </c>
      <c r="F799" s="97">
        <f t="shared" si="3"/>
        <v>0</v>
      </c>
      <c r="G799" s="99" t="str">
        <f t="shared" si="119"/>
        <v/>
      </c>
      <c r="H799" s="121"/>
      <c r="I799" s="122"/>
      <c r="J799" s="123"/>
      <c r="K799" s="124"/>
      <c r="L799" s="125"/>
      <c r="M799" s="181"/>
      <c r="N799" s="126"/>
      <c r="O799" s="127"/>
      <c r="P799" s="13">
        <f t="array" ref="P799">XLOOKUP(B799,Weight!B:B,Weight!D:D,"#N/A",0)</f>
        <v>250</v>
      </c>
      <c r="Q799" s="17" t="str">
        <f t="shared" si="6"/>
        <v/>
      </c>
      <c r="R799" s="107"/>
      <c r="S799" s="108">
        <v>420222.0</v>
      </c>
      <c r="T799" s="108">
        <v>18.0</v>
      </c>
      <c r="U799" s="109">
        <v>180.0</v>
      </c>
      <c r="V799" s="110"/>
      <c r="X799" s="111">
        <f>SUMIFS('Transit Shipment'!$B$10:$B$1048462,'Transit Shipment'!$A$10:$A$1048462,B799,'Transit Shipment'!$C$10:$C$1048462,AA799)</f>
        <v>0</v>
      </c>
      <c r="Y799" s="111">
        <f>IF(SUMIFS(DIH!$S$2:$S833,DIH!$D$2:$D833,B799,DIH!$U$2:$U833,AA799)&gt;0,SUMIFS(DIH!$S$2:$S833,DIH!$D$2:$D833,B799,DIH!$U$2:$U833,AA799),0)</f>
        <v>0</v>
      </c>
      <c r="Z799" s="112">
        <f t="shared" si="7"/>
        <v>0</v>
      </c>
      <c r="AA799" s="119" t="s">
        <v>155</v>
      </c>
      <c r="AB799" s="114">
        <f>IF(ISNA(VLOOKUP($B799,'Business Report'!$D$2:$J$202,2,0)),"",VLOOKUP($B799,'Business Report'!$D$2:$J$202,2,0))</f>
        <v>7</v>
      </c>
      <c r="AC799" s="115">
        <f>SUMIFS(AFS!$P$2:$P$6260,AFS!$N$2:$N$6260,B799,AFS!$AT$2:$AT$6260,AA799)</f>
        <v>0</v>
      </c>
      <c r="AD799" s="116">
        <f t="shared" si="8"/>
        <v>0</v>
      </c>
      <c r="AE799" s="117"/>
      <c r="AF799" s="118" t="str">
        <f t="shared" si="9"/>
        <v/>
      </c>
      <c r="AG799" s="26"/>
      <c r="AH799" s="26"/>
      <c r="AI799" s="26"/>
    </row>
    <row r="800">
      <c r="A800" s="120" t="s">
        <v>13233</v>
      </c>
      <c r="B800" s="7" t="s">
        <v>152</v>
      </c>
      <c r="C800" s="95" t="s">
        <v>473</v>
      </c>
      <c r="D800" s="8" t="s">
        <v>165</v>
      </c>
      <c r="E800" s="97">
        <f t="shared" si="2"/>
        <v>1</v>
      </c>
      <c r="F800" s="97">
        <f t="shared" si="3"/>
        <v>0</v>
      </c>
      <c r="G800" s="99" t="str">
        <f t="shared" si="119"/>
        <v/>
      </c>
      <c r="H800" s="121"/>
      <c r="I800" s="122"/>
      <c r="J800" s="123"/>
      <c r="K800" s="124"/>
      <c r="L800" s="125"/>
      <c r="M800" s="181"/>
      <c r="N800" s="126"/>
      <c r="O800" s="127"/>
      <c r="P800" s="13">
        <f t="array" ref="P800">XLOOKUP(B800,Weight!B:B,Weight!D:D,"#N/A",0)</f>
        <v>250</v>
      </c>
      <c r="Q800" s="17" t="str">
        <f t="shared" si="6"/>
        <v/>
      </c>
      <c r="R800" s="107"/>
      <c r="S800" s="108">
        <v>420222.0</v>
      </c>
      <c r="T800" s="108">
        <v>18.0</v>
      </c>
      <c r="U800" s="109">
        <v>180.0</v>
      </c>
      <c r="V800" s="110"/>
      <c r="X800" s="111">
        <f>SUMIFS('Transit Shipment'!$B$10:$B$1048462,'Transit Shipment'!$A$10:$A$1048462,B800,'Transit Shipment'!$C$10:$C$1048462,AA800)</f>
        <v>0</v>
      </c>
      <c r="Y800" s="111">
        <f>IF(SUMIFS(DIH!$S$2:$S833,DIH!$D$2:$D833,B800,DIH!$U$2:$U833,AA800)&gt;0,SUMIFS(DIH!$S$2:$S833,DIH!$D$2:$D833,B800,DIH!$U$2:$U833,AA800),0)</f>
        <v>0</v>
      </c>
      <c r="Z800" s="112">
        <f t="shared" si="7"/>
        <v>0</v>
      </c>
      <c r="AA800" s="119" t="s">
        <v>156</v>
      </c>
      <c r="AB800" s="114">
        <f>IF(ISNA(VLOOKUP($B800,'Business Report'!$D$2:$J$202,2,0)),"",VLOOKUP($B800,'Business Report'!$D$2:$J$202,2,0))</f>
        <v>7</v>
      </c>
      <c r="AC800" s="115">
        <f>SUMIFS(AFS!$P$2:$P$6260,AFS!$N$2:$N$6260,B800,AFS!$AT$2:$AT$6260,AA800)</f>
        <v>0</v>
      </c>
      <c r="AD800" s="116">
        <f t="shared" si="8"/>
        <v>0</v>
      </c>
      <c r="AE800" s="117"/>
      <c r="AF800" s="118" t="str">
        <f t="shared" si="9"/>
        <v/>
      </c>
      <c r="AG800" s="26"/>
      <c r="AH800" s="26"/>
      <c r="AI800" s="26"/>
    </row>
    <row r="801">
      <c r="A801" s="120" t="s">
        <v>13233</v>
      </c>
      <c r="B801" s="7" t="s">
        <v>152</v>
      </c>
      <c r="C801" s="95" t="s">
        <v>473</v>
      </c>
      <c r="D801" s="8" t="s">
        <v>165</v>
      </c>
      <c r="E801" s="97">
        <f t="shared" si="2"/>
        <v>1</v>
      </c>
      <c r="F801" s="97">
        <f t="shared" si="3"/>
        <v>0</v>
      </c>
      <c r="G801" s="99">
        <f t="shared" si="119"/>
        <v>2</v>
      </c>
      <c r="H801" s="121"/>
      <c r="I801" s="122"/>
      <c r="J801" s="123"/>
      <c r="K801" s="124"/>
      <c r="L801" s="125"/>
      <c r="M801" s="181"/>
      <c r="N801" s="126"/>
      <c r="O801" s="127"/>
      <c r="P801" s="13">
        <f t="array" ref="P801">XLOOKUP(B801,Weight!B:B,Weight!D:D,"#N/A",0)</f>
        <v>250</v>
      </c>
      <c r="Q801" s="17">
        <f t="shared" si="6"/>
        <v>500</v>
      </c>
      <c r="R801" s="107"/>
      <c r="S801" s="108">
        <v>420222.0</v>
      </c>
      <c r="T801" s="108">
        <v>18.0</v>
      </c>
      <c r="U801" s="109">
        <v>180.0</v>
      </c>
      <c r="V801" s="110"/>
      <c r="X801" s="111">
        <f>SUMIFS('Transit Shipment'!$B$10:$B$1048462,'Transit Shipment'!$A$10:$A$1048462,B801,'Transit Shipment'!$C$10:$C$1048462,AA801)</f>
        <v>0</v>
      </c>
      <c r="Y801" s="111">
        <f>IF(SUMIFS(DIH!$S$2:$S833,DIH!$D$2:$D833,B801,DIH!$U$2:$U833,AA801)&gt;0,SUMIFS(DIH!$S$2:$S833,DIH!$D$2:$D833,B801,DIH!$U$2:$U833,AA801),0)</f>
        <v>0</v>
      </c>
      <c r="Z801" s="112">
        <f t="shared" si="7"/>
        <v>0</v>
      </c>
      <c r="AA801" s="130" t="s">
        <v>13</v>
      </c>
      <c r="AB801" s="114">
        <f>IF(ISNA(VLOOKUP($B801,'Business Report'!$D$2:$J$202,2,0)),"",VLOOKUP($B801,'Business Report'!$D$2:$J$202,2,0))</f>
        <v>7</v>
      </c>
      <c r="AC801" s="115">
        <f>SUMIFS(AFS!$P$2:$P$6260,AFS!$N$2:$N$6260,B801,AFS!$AT$2:$AT$6260,AA801)</f>
        <v>1</v>
      </c>
      <c r="AD801" s="116">
        <f t="shared" si="8"/>
        <v>2</v>
      </c>
      <c r="AE801" s="117"/>
      <c r="AF801" s="118">
        <f t="shared" si="9"/>
        <v>2</v>
      </c>
      <c r="AG801" s="26"/>
      <c r="AH801" s="26"/>
      <c r="AI801" s="26"/>
    </row>
    <row r="802">
      <c r="A802" s="120" t="s">
        <v>13233</v>
      </c>
      <c r="B802" s="7" t="s">
        <v>152</v>
      </c>
      <c r="C802" s="95" t="s">
        <v>473</v>
      </c>
      <c r="D802" s="8" t="s">
        <v>165</v>
      </c>
      <c r="E802" s="97">
        <f t="shared" si="2"/>
        <v>1</v>
      </c>
      <c r="F802" s="97">
        <f t="shared" si="3"/>
        <v>0</v>
      </c>
      <c r="G802" s="99" t="str">
        <f t="shared" si="119"/>
        <v/>
      </c>
      <c r="H802" s="121"/>
      <c r="I802" s="122"/>
      <c r="J802" s="123"/>
      <c r="K802" s="124"/>
      <c r="L802" s="125"/>
      <c r="M802" s="181"/>
      <c r="N802" s="126"/>
      <c r="O802" s="127"/>
      <c r="P802" s="13">
        <f t="array" ref="P802">XLOOKUP(B802,Weight!B:B,Weight!D:D,"#N/A",0)</f>
        <v>250</v>
      </c>
      <c r="Q802" s="17" t="str">
        <f t="shared" si="6"/>
        <v/>
      </c>
      <c r="R802" s="107"/>
      <c r="S802" s="108">
        <v>420222.0</v>
      </c>
      <c r="T802" s="108">
        <v>18.0</v>
      </c>
      <c r="U802" s="109">
        <v>180.0</v>
      </c>
      <c r="V802" s="110"/>
      <c r="X802" s="111">
        <f>SUMIFS('Transit Shipment'!$B$10:$B$1048462,'Transit Shipment'!$A$10:$A$1048462,B802,'Transit Shipment'!$C$10:$C$1048462,AA802)</f>
        <v>0</v>
      </c>
      <c r="Y802" s="111">
        <f>IF(SUMIFS(DIH!$S$2:$S833,DIH!$D$2:$D833,B802,DIH!$U$2:$U833,AA802)&gt;0,SUMIFS(DIH!$S$2:$S833,DIH!$D$2:$D833,B802,DIH!$U$2:$U833,AA802),0)</f>
        <v>0</v>
      </c>
      <c r="Z802" s="112">
        <f t="shared" si="7"/>
        <v>0</v>
      </c>
      <c r="AA802" s="119" t="s">
        <v>14</v>
      </c>
      <c r="AB802" s="114">
        <f>IF(ISNA(VLOOKUP($B802,'Business Report'!$D$2:$J$202,2,0)),"",VLOOKUP($B802,'Business Report'!$D$2:$J$202,2,0))</f>
        <v>7</v>
      </c>
      <c r="AC802" s="115">
        <f>SUMIFS(AFS!$P$2:$P$6260,AFS!$N$2:$N$6260,B802,AFS!$AT$2:$AT$6260,AA802)</f>
        <v>0</v>
      </c>
      <c r="AD802" s="116">
        <f t="shared" si="8"/>
        <v>0</v>
      </c>
      <c r="AE802" s="117"/>
      <c r="AF802" s="118" t="str">
        <f t="shared" si="9"/>
        <v/>
      </c>
      <c r="AG802" s="26"/>
      <c r="AH802" s="26"/>
      <c r="AI802" s="26"/>
    </row>
    <row r="803">
      <c r="A803" s="120" t="s">
        <v>13233</v>
      </c>
      <c r="B803" s="7" t="s">
        <v>152</v>
      </c>
      <c r="C803" s="95" t="s">
        <v>473</v>
      </c>
      <c r="D803" s="8" t="s">
        <v>165</v>
      </c>
      <c r="E803" s="97">
        <f t="shared" si="2"/>
        <v>1</v>
      </c>
      <c r="F803" s="97">
        <f t="shared" si="3"/>
        <v>0</v>
      </c>
      <c r="G803" s="99">
        <f t="shared" si="119"/>
        <v>2</v>
      </c>
      <c r="H803" s="121"/>
      <c r="I803" s="122"/>
      <c r="J803" s="123"/>
      <c r="K803" s="124"/>
      <c r="L803" s="125"/>
      <c r="M803" s="181"/>
      <c r="N803" s="126"/>
      <c r="O803" s="127"/>
      <c r="P803" s="13">
        <f t="array" ref="P803">XLOOKUP(B803,Weight!B:B,Weight!D:D,"#N/A",0)</f>
        <v>250</v>
      </c>
      <c r="Q803" s="17">
        <f t="shared" si="6"/>
        <v>500</v>
      </c>
      <c r="R803" s="107"/>
      <c r="S803" s="108">
        <v>420222.0</v>
      </c>
      <c r="T803" s="108">
        <v>18.0</v>
      </c>
      <c r="U803" s="109">
        <v>180.0</v>
      </c>
      <c r="V803" s="110"/>
      <c r="X803" s="111">
        <f>SUMIFS('Transit Shipment'!$B$10:$B$1048462,'Transit Shipment'!$A$10:$A$1048462,B803,'Transit Shipment'!$C$10:$C$1048462,AA803)</f>
        <v>0</v>
      </c>
      <c r="Y803" s="111">
        <f>IF(SUMIFS(DIH!$S$2:$S833,DIH!$D$2:$D833,B803,DIH!$U$2:$U833,AA803)&gt;0,SUMIFS(DIH!$S$2:$S833,DIH!$D$2:$D833,B803,DIH!$U$2:$U833,AA803),0)</f>
        <v>0</v>
      </c>
      <c r="Z803" s="112">
        <f t="shared" si="7"/>
        <v>0</v>
      </c>
      <c r="AA803" s="131" t="s">
        <v>16</v>
      </c>
      <c r="AB803" s="114">
        <f>IF(ISNA(VLOOKUP($B803,'Business Report'!$D$2:$J$202,2,0)),"",VLOOKUP($B803,'Business Report'!$D$2:$J$202,2,0))</f>
        <v>7</v>
      </c>
      <c r="AC803" s="115">
        <f>SUMIFS(AFS!$P$2:$P$6260,AFS!$N$2:$N$6260,B803,AFS!$AT$2:$AT$6260,AA803)</f>
        <v>1</v>
      </c>
      <c r="AD803" s="116">
        <f t="shared" si="8"/>
        <v>2</v>
      </c>
      <c r="AE803" s="117"/>
      <c r="AF803" s="118">
        <f t="shared" si="9"/>
        <v>2</v>
      </c>
      <c r="AG803" s="26"/>
      <c r="AH803" s="26"/>
      <c r="AI803" s="26"/>
    </row>
    <row r="804">
      <c r="A804" s="132" t="s">
        <v>13233</v>
      </c>
      <c r="B804" s="15" t="s">
        <v>152</v>
      </c>
      <c r="C804" s="133" t="s">
        <v>473</v>
      </c>
      <c r="D804" s="134" t="s">
        <v>165</v>
      </c>
      <c r="E804" s="135">
        <f t="shared" si="2"/>
        <v>1</v>
      </c>
      <c r="F804" s="135">
        <f t="shared" si="3"/>
        <v>0</v>
      </c>
      <c r="G804" s="136" t="str">
        <f t="shared" si="119"/>
        <v/>
      </c>
      <c r="H804" s="137"/>
      <c r="I804" s="138"/>
      <c r="J804" s="139"/>
      <c r="K804" s="140"/>
      <c r="L804" s="135"/>
      <c r="M804" s="152"/>
      <c r="N804" s="142"/>
      <c r="O804" s="143"/>
      <c r="P804" s="144">
        <f t="array" ref="P804">XLOOKUP(B804,Weight!B:B,Weight!D:D,"#N/A",0)</f>
        <v>250</v>
      </c>
      <c r="Q804" s="145" t="str">
        <f t="shared" si="6"/>
        <v/>
      </c>
      <c r="R804" s="146"/>
      <c r="S804" s="147">
        <v>420222.0</v>
      </c>
      <c r="T804" s="147">
        <v>18.0</v>
      </c>
      <c r="U804" s="292">
        <v>180.0</v>
      </c>
      <c r="V804" s="148"/>
      <c r="W804" s="149"/>
      <c r="X804" s="150">
        <f>SUMIFS('Transit Shipment'!$B$10:$B$1048462,'Transit Shipment'!$A$10:$A$1048462,B804,'Transit Shipment'!$C$10:$C$1048462,AA804)</f>
        <v>0</v>
      </c>
      <c r="Y804" s="150">
        <f>IF(SUMIFS(DIH!$S$2:$S833,DIH!$D$2:$D833,B804,DIH!$U$2:$U833,AA804)&gt;0,SUMIFS(DIH!$S$2:$S833,DIH!$D$2:$D833,B804,DIH!$U$2:$U833,AA804),0)</f>
        <v>0</v>
      </c>
      <c r="Z804" s="151">
        <f t="shared" si="7"/>
        <v>0</v>
      </c>
      <c r="AA804" s="152" t="s">
        <v>17</v>
      </c>
      <c r="AB804" s="154">
        <f>IF(ISNA(VLOOKUP($B804,'Business Report'!$D$2:$J$202,2,0)),"",VLOOKUP($B804,'Business Report'!$D$2:$J$202,2,0))</f>
        <v>7</v>
      </c>
      <c r="AC804" s="155">
        <f>SUMIFS(AFS!$P$2:$P$6260,AFS!$N$2:$N$6260,B804,AFS!$AT$2:$AT$6260,AA804)</f>
        <v>0</v>
      </c>
      <c r="AD804" s="156">
        <f t="shared" si="8"/>
        <v>0</v>
      </c>
      <c r="AE804" s="159">
        <f>SUM(AD796:AD804)</f>
        <v>2</v>
      </c>
      <c r="AF804" s="118" t="str">
        <f t="shared" si="9"/>
        <v/>
      </c>
      <c r="AG804" s="26"/>
      <c r="AH804" s="26"/>
      <c r="AI804" s="26"/>
    </row>
    <row r="805">
      <c r="A805" s="66" t="s">
        <v>13407</v>
      </c>
      <c r="B805" s="1" t="s">
        <v>153</v>
      </c>
      <c r="C805" s="95" t="s">
        <v>390</v>
      </c>
      <c r="D805" s="8" t="s">
        <v>165</v>
      </c>
      <c r="E805" s="69">
        <f t="shared" si="2"/>
        <v>3</v>
      </c>
      <c r="F805" s="69">
        <f t="shared" si="3"/>
        <v>0.5</v>
      </c>
      <c r="G805" s="70">
        <f t="shared" si="119"/>
        <v>8</v>
      </c>
      <c r="H805" s="163"/>
      <c r="I805" s="101"/>
      <c r="J805" s="102"/>
      <c r="K805" s="167"/>
      <c r="L805" s="119"/>
      <c r="M805" s="169"/>
      <c r="N805" s="171"/>
      <c r="O805" s="106"/>
      <c r="P805" s="79">
        <f t="array" ref="P805">XLOOKUP(B805,Weight!B:B,Weight!D:D,"#N/A",0)</f>
        <v>250</v>
      </c>
      <c r="Q805" s="80">
        <f t="shared" si="6"/>
        <v>2000</v>
      </c>
      <c r="R805" s="107"/>
      <c r="S805" s="108">
        <v>420222.0</v>
      </c>
      <c r="T805" s="108">
        <v>18.0</v>
      </c>
      <c r="U805" s="109">
        <v>180.0</v>
      </c>
      <c r="V805" s="84" t="str">
        <f t="shared" ref="V805:W805" si="124">B805</f>
        <v>CRM-SC-TS-4Q</v>
      </c>
      <c r="W805" s="174" t="str">
        <f t="shared" si="124"/>
        <v>Crasome Saree Bags/Covers for Storage Set of-4 Big Size With Zip Closure for Clothes Bags and Wardrobe Organizer With Transparent Window (SC-TS-4Q)</v>
      </c>
      <c r="X805" s="86">
        <f>SUMIFS('Transit Shipment'!$B$10:$B$1048462,'Transit Shipment'!$A$10:$A$1048462,B805,'Transit Shipment'!$C$10:$C$1048462,AA805)</f>
        <v>0</v>
      </c>
      <c r="Y805" s="86">
        <f>IF(SUMIFS(DIH!$S$2:$S833,DIH!$D$2:$D833,B805,DIH!$U$2:$U833,AA805)&gt;0,SUMIFS(DIH!$S$2:$S833,DIH!$D$2:$D833,B805,DIH!$U$2:$U833,AA805),0)</f>
        <v>0</v>
      </c>
      <c r="Z805" s="87">
        <f t="shared" si="7"/>
        <v>0</v>
      </c>
      <c r="AA805" s="88" t="s">
        <v>5</v>
      </c>
      <c r="AB805" s="89">
        <f>IF(ISNA(VLOOKUP($B805,'Business Report'!$D$2:$J$202,2,0)),"",VLOOKUP($B805,'Business Report'!$D$2:$J$202,2,0))</f>
        <v>22</v>
      </c>
      <c r="AC805" s="90">
        <f>SUMIFS(AFS!$P$2:$P$6260,AFS!$N$2:$N$6260,B805,AFS!$AT$2:$AT$6260,AA805)</f>
        <v>5</v>
      </c>
      <c r="AD805" s="91">
        <f t="shared" si="8"/>
        <v>7</v>
      </c>
      <c r="AE805" s="92"/>
      <c r="AF805" s="93">
        <f t="shared" si="9"/>
        <v>8</v>
      </c>
      <c r="AG805" s="26"/>
      <c r="AH805" s="26"/>
      <c r="AI805" s="26"/>
    </row>
    <row r="806">
      <c r="A806" s="94" t="s">
        <v>13407</v>
      </c>
      <c r="B806" s="3" t="s">
        <v>153</v>
      </c>
      <c r="C806" s="95" t="s">
        <v>390</v>
      </c>
      <c r="D806" s="8" t="s">
        <v>165</v>
      </c>
      <c r="E806" s="97" t="str">
        <f t="shared" si="2"/>
        <v/>
      </c>
      <c r="F806" s="97" t="str">
        <f t="shared" si="3"/>
        <v/>
      </c>
      <c r="G806" s="99" t="str">
        <f t="shared" si="119"/>
        <v/>
      </c>
      <c r="H806" s="100"/>
      <c r="I806" s="101"/>
      <c r="J806" s="102"/>
      <c r="K806" s="103"/>
      <c r="L806" s="97"/>
      <c r="M806" s="169"/>
      <c r="N806" s="105"/>
      <c r="O806" s="106"/>
      <c r="P806" s="13">
        <f t="array" ref="P806">XLOOKUP(B806,Weight!B:B,Weight!D:D,"#N/A",0)</f>
        <v>250</v>
      </c>
      <c r="Q806" s="17" t="str">
        <f t="shared" si="6"/>
        <v/>
      </c>
      <c r="R806" s="107"/>
      <c r="S806" s="108">
        <v>420222.0</v>
      </c>
      <c r="T806" s="108">
        <v>18.0</v>
      </c>
      <c r="U806" s="109">
        <v>180.0</v>
      </c>
      <c r="V806" s="110"/>
      <c r="X806" s="111">
        <f>SUMIFS('Transit Shipment'!$B$10:$B$1048462,'Transit Shipment'!$A$10:$A$1048462,B806,'Transit Shipment'!$C$10:$C$1048462,AA806)</f>
        <v>0</v>
      </c>
      <c r="Y806" s="111">
        <f>IF(SUMIFS(DIH!$S$2:$S833,DIH!$D$2:$D833,B806,DIH!$U$2:$U833,AA806)&gt;0,SUMIFS(DIH!$S$2:$S833,DIH!$D$2:$D833,B806,DIH!$U$2:$U833,AA806),0)</f>
        <v>9</v>
      </c>
      <c r="Z806" s="112">
        <f t="shared" si="7"/>
        <v>9</v>
      </c>
      <c r="AA806" s="113" t="s">
        <v>11</v>
      </c>
      <c r="AB806" s="114">
        <f>IF(ISNA(VLOOKUP($B806,'Business Report'!$D$2:$J$202,2,0)),"",VLOOKUP($B806,'Business Report'!$D$2:$J$202,2,0))</f>
        <v>22</v>
      </c>
      <c r="AC806" s="115">
        <f>SUMIFS(AFS!$P$2:$P$6260,AFS!$N$2:$N$6260,B806,AFS!$AT$2:$AT$6260,AA806)</f>
        <v>4</v>
      </c>
      <c r="AD806" s="116">
        <f t="shared" si="8"/>
        <v>-3</v>
      </c>
      <c r="AE806" s="117"/>
      <c r="AF806" s="118" t="str">
        <f t="shared" si="9"/>
        <v/>
      </c>
      <c r="AG806" s="26"/>
      <c r="AH806" s="26"/>
      <c r="AI806" s="26"/>
    </row>
    <row r="807">
      <c r="A807" s="94" t="s">
        <v>13407</v>
      </c>
      <c r="B807" s="3" t="s">
        <v>153</v>
      </c>
      <c r="C807" s="95" t="s">
        <v>390</v>
      </c>
      <c r="D807" s="8" t="s">
        <v>165</v>
      </c>
      <c r="E807" s="97" t="str">
        <f t="shared" si="2"/>
        <v/>
      </c>
      <c r="F807" s="97" t="str">
        <f t="shared" si="3"/>
        <v/>
      </c>
      <c r="G807" s="99" t="str">
        <f t="shared" si="119"/>
        <v/>
      </c>
      <c r="H807" s="100"/>
      <c r="I807" s="101"/>
      <c r="J807" s="102"/>
      <c r="K807" s="103"/>
      <c r="L807" s="97"/>
      <c r="M807" s="169"/>
      <c r="N807" s="105"/>
      <c r="O807" s="106"/>
      <c r="P807" s="13">
        <f t="array" ref="P807">XLOOKUP(B807,Weight!B:B,Weight!D:D,"#N/A",0)</f>
        <v>250</v>
      </c>
      <c r="Q807" s="17" t="str">
        <f t="shared" si="6"/>
        <v/>
      </c>
      <c r="R807" s="107"/>
      <c r="S807" s="108">
        <v>420222.0</v>
      </c>
      <c r="T807" s="108">
        <v>18.0</v>
      </c>
      <c r="U807" s="109">
        <v>180.0</v>
      </c>
      <c r="V807" s="110"/>
      <c r="X807" s="111">
        <f>SUMIFS('Transit Shipment'!$B$10:$B$1048462,'Transit Shipment'!$A$10:$A$1048462,B807,'Transit Shipment'!$C$10:$C$1048462,AA807)</f>
        <v>0</v>
      </c>
      <c r="Y807" s="111">
        <f>IF(SUMIFS(DIH!$S$2:$S833,DIH!$D$2:$D833,B807,DIH!$U$2:$U833,AA807)&gt;0,SUMIFS(DIH!$S$2:$S833,DIH!$D$2:$D833,B807,DIH!$U$2:$U833,AA807),0)</f>
        <v>2</v>
      </c>
      <c r="Z807" s="112">
        <f t="shared" si="7"/>
        <v>2</v>
      </c>
      <c r="AA807" s="119" t="s">
        <v>9</v>
      </c>
      <c r="AB807" s="114">
        <f>IF(ISNA(VLOOKUP($B807,'Business Report'!$D$2:$J$202,2,0)),"",VLOOKUP($B807,'Business Report'!$D$2:$J$202,2,0))</f>
        <v>22</v>
      </c>
      <c r="AC807" s="115">
        <f>SUMIFS(AFS!$P$2:$P$6260,AFS!$N$2:$N$6260,B807,AFS!$AT$2:$AT$6260,AA807)</f>
        <v>0</v>
      </c>
      <c r="AD807" s="116">
        <f t="shared" si="8"/>
        <v>-2</v>
      </c>
      <c r="AE807" s="117"/>
      <c r="AF807" s="118" t="str">
        <f t="shared" si="9"/>
        <v/>
      </c>
      <c r="AG807" s="26"/>
      <c r="AH807" s="26"/>
      <c r="AI807" s="26"/>
    </row>
    <row r="808">
      <c r="A808" s="120" t="s">
        <v>13407</v>
      </c>
      <c r="B808" s="7" t="s">
        <v>153</v>
      </c>
      <c r="C808" s="95" t="s">
        <v>390</v>
      </c>
      <c r="D808" s="8" t="s">
        <v>165</v>
      </c>
      <c r="E808" s="97" t="str">
        <f t="shared" si="2"/>
        <v/>
      </c>
      <c r="F808" s="97" t="str">
        <f t="shared" si="3"/>
        <v/>
      </c>
      <c r="G808" s="99" t="str">
        <f t="shared" si="119"/>
        <v/>
      </c>
      <c r="H808" s="121"/>
      <c r="I808" s="122"/>
      <c r="J808" s="123"/>
      <c r="K808" s="124"/>
      <c r="L808" s="125"/>
      <c r="M808" s="181"/>
      <c r="N808" s="126"/>
      <c r="O808" s="127"/>
      <c r="P808" s="13">
        <f t="array" ref="P808">XLOOKUP(B808,Weight!B:B,Weight!D:D,"#N/A",0)</f>
        <v>250</v>
      </c>
      <c r="Q808" s="17" t="str">
        <f t="shared" si="6"/>
        <v/>
      </c>
      <c r="R808" s="107"/>
      <c r="S808" s="108">
        <v>420222.0</v>
      </c>
      <c r="T808" s="108">
        <v>18.0</v>
      </c>
      <c r="U808" s="109">
        <v>180.0</v>
      </c>
      <c r="V808" s="110"/>
      <c r="X808" s="111">
        <f>SUMIFS('Transit Shipment'!$B$10:$B$1048462,'Transit Shipment'!$A$10:$A$1048462,B808,'Transit Shipment'!$C$10:$C$1048462,AA808)</f>
        <v>0</v>
      </c>
      <c r="Y808" s="111">
        <f>IF(SUMIFS(DIH!$S$2:$S833,DIH!$D$2:$D833,B808,DIH!$U$2:$U833,AA808)&gt;0,SUMIFS(DIH!$S$2:$S833,DIH!$D$2:$D833,B808,DIH!$U$2:$U833,AA808),0)</f>
        <v>5</v>
      </c>
      <c r="Z808" s="112">
        <f t="shared" si="7"/>
        <v>5</v>
      </c>
      <c r="AA808" s="119" t="s">
        <v>155</v>
      </c>
      <c r="AB808" s="114">
        <f>IF(ISNA(VLOOKUP($B808,'Business Report'!$D$2:$J$202,2,0)),"",VLOOKUP($B808,'Business Report'!$D$2:$J$202,2,0))</f>
        <v>22</v>
      </c>
      <c r="AC808" s="115">
        <f>SUMIFS(AFS!$P$2:$P$6260,AFS!$N$2:$N$6260,B808,AFS!$AT$2:$AT$6260,AA808)</f>
        <v>3</v>
      </c>
      <c r="AD808" s="116">
        <f t="shared" si="8"/>
        <v>-1</v>
      </c>
      <c r="AE808" s="117"/>
      <c r="AF808" s="118" t="str">
        <f t="shared" si="9"/>
        <v/>
      </c>
      <c r="AG808" s="26"/>
      <c r="AH808" s="26"/>
      <c r="AI808" s="26"/>
    </row>
    <row r="809">
      <c r="A809" s="120" t="s">
        <v>13407</v>
      </c>
      <c r="B809" s="7" t="s">
        <v>153</v>
      </c>
      <c r="C809" s="95" t="s">
        <v>390</v>
      </c>
      <c r="D809" s="8" t="s">
        <v>165</v>
      </c>
      <c r="E809" s="97">
        <f t="shared" si="2"/>
        <v>0</v>
      </c>
      <c r="F809" s="97">
        <f t="shared" si="3"/>
        <v>0.5</v>
      </c>
      <c r="G809" s="99">
        <f t="shared" si="119"/>
        <v>2</v>
      </c>
      <c r="H809" s="121"/>
      <c r="I809" s="122"/>
      <c r="J809" s="123"/>
      <c r="K809" s="124"/>
      <c r="L809" s="125"/>
      <c r="M809" s="181"/>
      <c r="N809" s="126"/>
      <c r="O809" s="127"/>
      <c r="P809" s="13">
        <f t="array" ref="P809">XLOOKUP(B809,Weight!B:B,Weight!D:D,"#N/A",0)</f>
        <v>250</v>
      </c>
      <c r="Q809" s="17">
        <f t="shared" si="6"/>
        <v>500</v>
      </c>
      <c r="R809" s="107"/>
      <c r="S809" s="108">
        <v>420222.0</v>
      </c>
      <c r="T809" s="108">
        <v>18.0</v>
      </c>
      <c r="U809" s="109">
        <v>180.0</v>
      </c>
      <c r="V809" s="110"/>
      <c r="X809" s="111">
        <f>SUMIFS('Transit Shipment'!$B$10:$B$1048462,'Transit Shipment'!$A$10:$A$1048462,B809,'Transit Shipment'!$C$10:$C$1048462,AA809)</f>
        <v>0</v>
      </c>
      <c r="Y809" s="111">
        <f>IF(SUMIFS(DIH!$S$2:$S833,DIH!$D$2:$D833,B809,DIH!$U$2:$U833,AA809)&gt;0,SUMIFS(DIH!$S$2:$S833,DIH!$D$2:$D833,B809,DIH!$U$2:$U833,AA809),0)</f>
        <v>3</v>
      </c>
      <c r="Z809" s="112">
        <f t="shared" si="7"/>
        <v>3</v>
      </c>
      <c r="AA809" s="119" t="s">
        <v>156</v>
      </c>
      <c r="AB809" s="114">
        <f>IF(ISNA(VLOOKUP($B809,'Business Report'!$D$2:$J$202,2,0)),"",VLOOKUP($B809,'Business Report'!$D$2:$J$202,2,0))</f>
        <v>22</v>
      </c>
      <c r="AC809" s="115">
        <f>SUMIFS(AFS!$P$2:$P$6260,AFS!$N$2:$N$6260,B809,AFS!$AT$2:$AT$6260,AA809)</f>
        <v>3</v>
      </c>
      <c r="AD809" s="116">
        <f t="shared" si="8"/>
        <v>1</v>
      </c>
      <c r="AE809" s="117"/>
      <c r="AF809" s="118">
        <f t="shared" si="9"/>
        <v>2</v>
      </c>
      <c r="AG809" s="26"/>
      <c r="AH809" s="26"/>
      <c r="AI809" s="26"/>
    </row>
    <row r="810">
      <c r="A810" s="120" t="s">
        <v>13407</v>
      </c>
      <c r="B810" s="7" t="s">
        <v>153</v>
      </c>
      <c r="C810" s="95" t="s">
        <v>390</v>
      </c>
      <c r="D810" s="8" t="s">
        <v>165</v>
      </c>
      <c r="E810" s="97">
        <f t="shared" si="2"/>
        <v>1</v>
      </c>
      <c r="F810" s="97">
        <f t="shared" si="3"/>
        <v>0</v>
      </c>
      <c r="G810" s="99">
        <f t="shared" si="119"/>
        <v>2</v>
      </c>
      <c r="H810" s="121"/>
      <c r="I810" s="122"/>
      <c r="J810" s="123"/>
      <c r="K810" s="124"/>
      <c r="L810" s="125"/>
      <c r="M810" s="181"/>
      <c r="N810" s="126"/>
      <c r="O810" s="127"/>
      <c r="P810" s="13">
        <f t="array" ref="P810">XLOOKUP(B810,Weight!B:B,Weight!D:D,"#N/A",0)</f>
        <v>250</v>
      </c>
      <c r="Q810" s="17">
        <f t="shared" si="6"/>
        <v>500</v>
      </c>
      <c r="R810" s="107"/>
      <c r="S810" s="108">
        <v>420222.0</v>
      </c>
      <c r="T810" s="108">
        <v>18.0</v>
      </c>
      <c r="U810" s="109">
        <v>180.0</v>
      </c>
      <c r="V810" s="110"/>
      <c r="X810" s="111">
        <f>SUMIFS('Transit Shipment'!$B$10:$B$1048462,'Transit Shipment'!$A$10:$A$1048462,B810,'Transit Shipment'!$C$10:$C$1048462,AA810)</f>
        <v>0</v>
      </c>
      <c r="Y810" s="111">
        <f>IF(SUMIFS(DIH!$S$2:$S833,DIH!$D$2:$D833,B810,DIH!$U$2:$U833,AA810)&gt;0,SUMIFS(DIH!$S$2:$S833,DIH!$D$2:$D833,B810,DIH!$U$2:$U833,AA810),0)</f>
        <v>1</v>
      </c>
      <c r="Z810" s="112">
        <f t="shared" si="7"/>
        <v>1</v>
      </c>
      <c r="AA810" s="130" t="s">
        <v>13</v>
      </c>
      <c r="AB810" s="114">
        <f>IF(ISNA(VLOOKUP($B810,'Business Report'!$D$2:$J$202,2,0)),"",VLOOKUP($B810,'Business Report'!$D$2:$J$202,2,0))</f>
        <v>22</v>
      </c>
      <c r="AC810" s="115">
        <f>SUMIFS(AFS!$P$2:$P$6260,AFS!$N$2:$N$6260,B810,AFS!$AT$2:$AT$6260,AA810)</f>
        <v>2</v>
      </c>
      <c r="AD810" s="116">
        <f t="shared" si="8"/>
        <v>2</v>
      </c>
      <c r="AE810" s="117"/>
      <c r="AF810" s="118">
        <f t="shared" si="9"/>
        <v>2</v>
      </c>
      <c r="AG810" s="26"/>
      <c r="AH810" s="26"/>
      <c r="AI810" s="26"/>
    </row>
    <row r="811">
      <c r="A811" s="120" t="s">
        <v>13407</v>
      </c>
      <c r="B811" s="7" t="s">
        <v>153</v>
      </c>
      <c r="C811" s="95" t="s">
        <v>390</v>
      </c>
      <c r="D811" s="8" t="s">
        <v>165</v>
      </c>
      <c r="E811" s="97">
        <f t="shared" si="2"/>
        <v>1</v>
      </c>
      <c r="F811" s="97">
        <f t="shared" si="3"/>
        <v>0.5</v>
      </c>
      <c r="G811" s="99">
        <f t="shared" si="119"/>
        <v>4</v>
      </c>
      <c r="H811" s="121"/>
      <c r="I811" s="122"/>
      <c r="J811" s="123"/>
      <c r="K811" s="124"/>
      <c r="L811" s="125"/>
      <c r="M811" s="181"/>
      <c r="N811" s="126"/>
      <c r="O811" s="127"/>
      <c r="P811" s="13">
        <f t="array" ref="P811">XLOOKUP(B811,Weight!B:B,Weight!D:D,"#N/A",0)</f>
        <v>250</v>
      </c>
      <c r="Q811" s="17">
        <f t="shared" si="6"/>
        <v>1000</v>
      </c>
      <c r="R811" s="107"/>
      <c r="S811" s="108">
        <v>420222.0</v>
      </c>
      <c r="T811" s="108">
        <v>18.0</v>
      </c>
      <c r="U811" s="109">
        <v>180.0</v>
      </c>
      <c r="V811" s="110"/>
      <c r="X811" s="111">
        <f>SUMIFS('Transit Shipment'!$B$10:$B$1048462,'Transit Shipment'!$A$10:$A$1048462,B811,'Transit Shipment'!$C$10:$C$1048462,AA811)</f>
        <v>0</v>
      </c>
      <c r="Y811" s="111">
        <f>IF(SUMIFS(DIH!$S$2:$S833,DIH!$D$2:$D833,B811,DIH!$U$2:$U833,AA811)&gt;0,SUMIFS(DIH!$S$2:$S833,DIH!$D$2:$D833,B811,DIH!$U$2:$U833,AA811),0)</f>
        <v>0</v>
      </c>
      <c r="Z811" s="112">
        <f t="shared" si="7"/>
        <v>0</v>
      </c>
      <c r="AA811" s="119" t="s">
        <v>14</v>
      </c>
      <c r="AB811" s="114">
        <f>IF(ISNA(VLOOKUP($B811,'Business Report'!$D$2:$J$202,2,0)),"",VLOOKUP($B811,'Business Report'!$D$2:$J$202,2,0))</f>
        <v>22</v>
      </c>
      <c r="AC811" s="115">
        <f>SUMIFS(AFS!$P$2:$P$6260,AFS!$N$2:$N$6260,B811,AFS!$AT$2:$AT$6260,AA811)</f>
        <v>2</v>
      </c>
      <c r="AD811" s="116">
        <f t="shared" si="8"/>
        <v>3</v>
      </c>
      <c r="AE811" s="117"/>
      <c r="AF811" s="118">
        <f t="shared" si="9"/>
        <v>4</v>
      </c>
      <c r="AG811" s="26"/>
      <c r="AH811" s="26"/>
      <c r="AI811" s="26"/>
    </row>
    <row r="812">
      <c r="A812" s="120" t="s">
        <v>13407</v>
      </c>
      <c r="B812" s="7" t="s">
        <v>153</v>
      </c>
      <c r="C812" s="95" t="s">
        <v>390</v>
      </c>
      <c r="D812" s="8" t="s">
        <v>165</v>
      </c>
      <c r="E812" s="97">
        <f t="shared" si="2"/>
        <v>1</v>
      </c>
      <c r="F812" s="97">
        <f t="shared" si="3"/>
        <v>0</v>
      </c>
      <c r="G812" s="99">
        <f t="shared" si="119"/>
        <v>2</v>
      </c>
      <c r="H812" s="121"/>
      <c r="I812" s="122"/>
      <c r="J812" s="123"/>
      <c r="K812" s="124"/>
      <c r="L812" s="125"/>
      <c r="M812" s="181"/>
      <c r="N812" s="126"/>
      <c r="O812" s="127"/>
      <c r="P812" s="13">
        <f t="array" ref="P812">XLOOKUP(B812,Weight!B:B,Weight!D:D,"#N/A",0)</f>
        <v>250</v>
      </c>
      <c r="Q812" s="17">
        <f t="shared" si="6"/>
        <v>500</v>
      </c>
      <c r="R812" s="107"/>
      <c r="S812" s="108">
        <v>420222.0</v>
      </c>
      <c r="T812" s="108">
        <v>18.0</v>
      </c>
      <c r="U812" s="109">
        <v>180.0</v>
      </c>
      <c r="V812" s="110"/>
      <c r="X812" s="111">
        <f>SUMIFS('Transit Shipment'!$B$10:$B$1048462,'Transit Shipment'!$A$10:$A$1048462,B812,'Transit Shipment'!$C$10:$C$1048462,AA812)</f>
        <v>0</v>
      </c>
      <c r="Y812" s="111">
        <f>IF(SUMIFS(DIH!$S$2:$S833,DIH!$D$2:$D833,B812,DIH!$U$2:$U833,AA812)&gt;0,SUMIFS(DIH!$S$2:$S833,DIH!$D$2:$D833,B812,DIH!$U$2:$U833,AA812),0)</f>
        <v>4</v>
      </c>
      <c r="Z812" s="112">
        <f t="shared" si="7"/>
        <v>4</v>
      </c>
      <c r="AA812" s="131" t="s">
        <v>16</v>
      </c>
      <c r="AB812" s="114">
        <f>IF(ISNA(VLOOKUP($B812,'Business Report'!$D$2:$J$202,2,0)),"",VLOOKUP($B812,'Business Report'!$D$2:$J$202,2,0))</f>
        <v>22</v>
      </c>
      <c r="AC812" s="115">
        <f>SUMIFS(AFS!$P$2:$P$6260,AFS!$N$2:$N$6260,B812,AFS!$AT$2:$AT$6260,AA812)</f>
        <v>4</v>
      </c>
      <c r="AD812" s="116">
        <f t="shared" si="8"/>
        <v>2</v>
      </c>
      <c r="AE812" s="117"/>
      <c r="AF812" s="118">
        <f t="shared" si="9"/>
        <v>2</v>
      </c>
      <c r="AG812" s="26"/>
      <c r="AH812" s="26"/>
      <c r="AI812" s="26"/>
    </row>
    <row r="813">
      <c r="A813" s="132" t="s">
        <v>13407</v>
      </c>
      <c r="B813" s="15" t="s">
        <v>153</v>
      </c>
      <c r="C813" s="133" t="s">
        <v>390</v>
      </c>
      <c r="D813" s="134" t="s">
        <v>165</v>
      </c>
      <c r="E813" s="135">
        <f t="shared" si="2"/>
        <v>2</v>
      </c>
      <c r="F813" s="135">
        <f t="shared" si="3"/>
        <v>0</v>
      </c>
      <c r="G813" s="136">
        <f t="shared" si="119"/>
        <v>4</v>
      </c>
      <c r="H813" s="137"/>
      <c r="I813" s="138"/>
      <c r="J813" s="139"/>
      <c r="K813" s="140"/>
      <c r="L813" s="135"/>
      <c r="M813" s="152"/>
      <c r="N813" s="142"/>
      <c r="O813" s="143"/>
      <c r="P813" s="144">
        <f t="array" ref="P813">XLOOKUP(B813,Weight!B:B,Weight!D:D,"#N/A",0)</f>
        <v>250</v>
      </c>
      <c r="Q813" s="145">
        <f t="shared" si="6"/>
        <v>1000</v>
      </c>
      <c r="R813" s="146"/>
      <c r="S813" s="147">
        <v>420222.0</v>
      </c>
      <c r="T813" s="147">
        <v>18.0</v>
      </c>
      <c r="U813" s="292">
        <v>180.0</v>
      </c>
      <c r="V813" s="148"/>
      <c r="W813" s="149"/>
      <c r="X813" s="150">
        <f>SUMIFS('Transit Shipment'!$B$10:$B$1048462,'Transit Shipment'!$A$10:$A$1048462,B813,'Transit Shipment'!$C$10:$C$1048462,AA813)</f>
        <v>0</v>
      </c>
      <c r="Y813" s="150">
        <f>IF(SUMIFS(DIH!$S$2:$S833,DIH!$D$2:$D833,B813,DIH!$U$2:$U833,AA813)&gt;0,SUMIFS(DIH!$S$2:$S833,DIH!$D$2:$D833,B813,DIH!$U$2:$U833,AA813),0)</f>
        <v>0</v>
      </c>
      <c r="Z813" s="151">
        <f t="shared" si="7"/>
        <v>0</v>
      </c>
      <c r="AA813" s="152" t="s">
        <v>17</v>
      </c>
      <c r="AB813" s="154">
        <f>IF(ISNA(VLOOKUP($B813,'Business Report'!$D$2:$J$202,2,0)),"",VLOOKUP($B813,'Business Report'!$D$2:$J$202,2,0))</f>
        <v>22</v>
      </c>
      <c r="AC813" s="155">
        <f>SUMIFS(AFS!$P$2:$P$6260,AFS!$N$2:$N$6260,B813,AFS!$AT$2:$AT$6260,AA813)</f>
        <v>3</v>
      </c>
      <c r="AD813" s="156">
        <f t="shared" si="8"/>
        <v>4</v>
      </c>
      <c r="AE813" s="159">
        <f>SUM(AD805:AD813)</f>
        <v>13</v>
      </c>
      <c r="AF813" s="118">
        <f t="shared" si="9"/>
        <v>4</v>
      </c>
      <c r="AG813" s="26"/>
      <c r="AH813" s="26"/>
      <c r="AI813" s="26"/>
    </row>
    <row r="814">
      <c r="A814" s="293" t="s">
        <v>13598</v>
      </c>
      <c r="B814" s="129" t="s">
        <v>154</v>
      </c>
      <c r="C814" s="95" t="s">
        <v>13599</v>
      </c>
      <c r="D814" s="68" t="s">
        <v>176</v>
      </c>
      <c r="E814" s="69">
        <f t="shared" si="2"/>
        <v>3</v>
      </c>
      <c r="F814" s="69">
        <f t="shared" si="3"/>
        <v>0.5</v>
      </c>
      <c r="G814" s="70">
        <f t="shared" si="119"/>
        <v>8</v>
      </c>
      <c r="H814" s="163"/>
      <c r="I814" s="101"/>
      <c r="J814" s="102"/>
      <c r="K814" s="167"/>
      <c r="L814" s="119"/>
      <c r="M814" s="169"/>
      <c r="N814" s="171"/>
      <c r="O814" s="106"/>
      <c r="P814" s="79">
        <f t="array" ref="P814">XLOOKUP(B814,Weight!B:B,Weight!D:D,"#N/A",0)</f>
        <v>470</v>
      </c>
      <c r="Q814" s="80">
        <f t="shared" si="6"/>
        <v>3760</v>
      </c>
      <c r="R814" s="107"/>
      <c r="S814" s="108">
        <v>420222.0</v>
      </c>
      <c r="T814" s="108">
        <v>18.0</v>
      </c>
      <c r="U814" s="83">
        <v>180.0</v>
      </c>
      <c r="V814" s="84" t="str">
        <f t="shared" ref="V814:W814" si="125">B814</f>
        <v>CRM-Cube1-Grey-Pack3-1</v>
      </c>
      <c r="W814" s="174" t="str">
        <f t="shared" si="125"/>
        <v>CRASOME Travel Organizer, Packing Cubes for Travel, Packing Bags for Clothes, Traveling Storage Bag for Women Men, Toiletry Pouch, Travel Essentials Pack of 3 (Cube1-Grey-Pack3)</v>
      </c>
      <c r="X814" s="86">
        <f>SUMIFS('Transit Shipment'!$B$10:$B$1048462,'Transit Shipment'!$A$10:$A$1048462,B814,'Transit Shipment'!$C$10:$C$1048462,AA814)</f>
        <v>0</v>
      </c>
      <c r="Y814" s="86">
        <f>IF(SUMIFS(DIH!$S$2:$S833,DIH!$D$2:$D833,B814,DIH!$U$2:$U833,AA814)&gt;0,SUMIFS(DIH!$S$2:$S833,DIH!$D$2:$D833,B814,DIH!$U$2:$U833,AA814),0)</f>
        <v>21</v>
      </c>
      <c r="Z814" s="87">
        <f t="shared" si="7"/>
        <v>21</v>
      </c>
      <c r="AA814" s="88" t="s">
        <v>5</v>
      </c>
      <c r="AB814" s="89">
        <f>IF(ISNA(VLOOKUP($B814,'Business Report'!$D$2:$J$202,2,0)),"",VLOOKUP($B814,'Business Report'!$D$2:$J$202,2,0))</f>
        <v>159</v>
      </c>
      <c r="AC814" s="90">
        <f>SUMIFS(AFS!$P$2:$P$6260,AFS!$N$2:$N$6260,B814,AFS!$AT$2:$AT$6260,AA814)</f>
        <v>21</v>
      </c>
      <c r="AD814" s="91">
        <f t="shared" si="8"/>
        <v>7</v>
      </c>
      <c r="AE814" s="92"/>
      <c r="AF814" s="93">
        <f t="shared" si="9"/>
        <v>8</v>
      </c>
      <c r="AG814" s="26"/>
      <c r="AH814" s="26"/>
      <c r="AI814" s="26"/>
    </row>
    <row r="815">
      <c r="A815" s="120" t="s">
        <v>13598</v>
      </c>
      <c r="B815" s="7" t="s">
        <v>154</v>
      </c>
      <c r="C815" s="95" t="s">
        <v>13599</v>
      </c>
      <c r="D815" s="96" t="s">
        <v>176</v>
      </c>
      <c r="E815" s="97">
        <f t="shared" si="2"/>
        <v>11</v>
      </c>
      <c r="F815" s="97">
        <f t="shared" si="3"/>
        <v>0.5</v>
      </c>
      <c r="G815" s="99">
        <f t="shared" si="119"/>
        <v>24</v>
      </c>
      <c r="H815" s="100"/>
      <c r="I815" s="101"/>
      <c r="J815" s="102"/>
      <c r="K815" s="103"/>
      <c r="L815" s="97"/>
      <c r="M815" s="169"/>
      <c r="N815" s="105"/>
      <c r="O815" s="106"/>
      <c r="P815" s="13">
        <f t="array" ref="P815">XLOOKUP(B815,Weight!B:B,Weight!D:D,"#N/A",0)</f>
        <v>470</v>
      </c>
      <c r="Q815" s="17">
        <f t="shared" si="6"/>
        <v>11280</v>
      </c>
      <c r="R815" s="107"/>
      <c r="S815" s="108">
        <v>420222.0</v>
      </c>
      <c r="T815" s="108">
        <v>18.0</v>
      </c>
      <c r="U815" s="109">
        <v>180.0</v>
      </c>
      <c r="V815" s="110"/>
      <c r="X815" s="111">
        <f>SUMIFS('Transit Shipment'!$B$10:$B$1048462,'Transit Shipment'!$A$10:$A$1048462,B815,'Transit Shipment'!$C$10:$C$1048462,AA815)</f>
        <v>0</v>
      </c>
      <c r="Y815" s="111">
        <f>IF(SUMIFS(DIH!$S$2:$S833,DIH!$D$2:$D833,B815,DIH!$U$2:$U833,AA815)&gt;0,SUMIFS(DIH!$S$2:$S833,DIH!$D$2:$D833,B815,DIH!$U$2:$U833,AA815),0)</f>
        <v>31</v>
      </c>
      <c r="Z815" s="112">
        <f t="shared" si="7"/>
        <v>31</v>
      </c>
      <c r="AA815" s="113" t="s">
        <v>11</v>
      </c>
      <c r="AB815" s="114">
        <f>IF(ISNA(VLOOKUP($B815,'Business Report'!$D$2:$J$202,2,0)),"",VLOOKUP($B815,'Business Report'!$D$2:$J$202,2,0))</f>
        <v>159</v>
      </c>
      <c r="AC815" s="115">
        <f>SUMIFS(AFS!$P$2:$P$6260,AFS!$N$2:$N$6260,B815,AFS!$AT$2:$AT$6260,AA815)</f>
        <v>40</v>
      </c>
      <c r="AD815" s="116">
        <f t="shared" si="8"/>
        <v>23</v>
      </c>
      <c r="AE815" s="117"/>
      <c r="AF815" s="118">
        <f t="shared" si="9"/>
        <v>24</v>
      </c>
      <c r="AG815" s="26"/>
      <c r="AH815" s="26"/>
      <c r="AI815" s="26"/>
    </row>
    <row r="816">
      <c r="A816" s="120" t="s">
        <v>13598</v>
      </c>
      <c r="B816" s="7" t="s">
        <v>154</v>
      </c>
      <c r="C816" s="95" t="s">
        <v>13599</v>
      </c>
      <c r="D816" s="96" t="s">
        <v>176</v>
      </c>
      <c r="E816" s="97">
        <f t="shared" si="2"/>
        <v>1</v>
      </c>
      <c r="F816" s="97">
        <f t="shared" si="3"/>
        <v>0</v>
      </c>
      <c r="G816" s="99">
        <f t="shared" si="119"/>
        <v>2</v>
      </c>
      <c r="H816" s="100"/>
      <c r="I816" s="101"/>
      <c r="J816" s="102"/>
      <c r="K816" s="103"/>
      <c r="L816" s="97"/>
      <c r="M816" s="169"/>
      <c r="N816" s="105"/>
      <c r="O816" s="106"/>
      <c r="P816" s="13">
        <f t="array" ref="P816">XLOOKUP(B816,Weight!B:B,Weight!D:D,"#N/A",0)</f>
        <v>470</v>
      </c>
      <c r="Q816" s="17">
        <f t="shared" si="6"/>
        <v>940</v>
      </c>
      <c r="R816" s="107"/>
      <c r="S816" s="108">
        <v>420222.0</v>
      </c>
      <c r="T816" s="108">
        <v>18.0</v>
      </c>
      <c r="U816" s="109">
        <v>180.0</v>
      </c>
      <c r="V816" s="110"/>
      <c r="X816" s="111">
        <f>SUMIFS('Transit Shipment'!$B$10:$B$1048462,'Transit Shipment'!$A$10:$A$1048462,B816,'Transit Shipment'!$C$10:$C$1048462,AA816)</f>
        <v>0</v>
      </c>
      <c r="Y816" s="111">
        <f>IF(SUMIFS(DIH!$S$2:$S833,DIH!$D$2:$D833,B816,DIH!$U$2:$U833,AA816)&gt;0,SUMIFS(DIH!$S$2:$S833,DIH!$D$2:$D833,B816,DIH!$U$2:$U833,AA816),0)</f>
        <v>29</v>
      </c>
      <c r="Z816" s="112">
        <f t="shared" si="7"/>
        <v>29</v>
      </c>
      <c r="AA816" s="119" t="s">
        <v>9</v>
      </c>
      <c r="AB816" s="114">
        <f>IF(ISNA(VLOOKUP($B816,'Business Report'!$D$2:$J$202,2,0)),"",VLOOKUP($B816,'Business Report'!$D$2:$J$202,2,0))</f>
        <v>159</v>
      </c>
      <c r="AC816" s="115">
        <f>SUMIFS(AFS!$P$2:$P$6260,AFS!$N$2:$N$6260,B816,AFS!$AT$2:$AT$6260,AA816)</f>
        <v>23</v>
      </c>
      <c r="AD816" s="116">
        <f t="shared" si="8"/>
        <v>2</v>
      </c>
      <c r="AE816" s="117"/>
      <c r="AF816" s="118">
        <f t="shared" si="9"/>
        <v>2</v>
      </c>
      <c r="AG816" s="4"/>
      <c r="AH816" s="26"/>
      <c r="AI816" s="26"/>
    </row>
    <row r="817">
      <c r="A817" s="120" t="s">
        <v>13598</v>
      </c>
      <c r="B817" s="7" t="s">
        <v>154</v>
      </c>
      <c r="C817" s="95" t="s">
        <v>13599</v>
      </c>
      <c r="D817" s="109" t="s">
        <v>176</v>
      </c>
      <c r="E817" s="97">
        <f t="shared" si="2"/>
        <v>11</v>
      </c>
      <c r="F817" s="97">
        <f t="shared" si="3"/>
        <v>0</v>
      </c>
      <c r="G817" s="99">
        <f t="shared" si="119"/>
        <v>22</v>
      </c>
      <c r="H817" s="121"/>
      <c r="I817" s="122"/>
      <c r="J817" s="123"/>
      <c r="K817" s="124"/>
      <c r="L817" s="125"/>
      <c r="M817" s="181"/>
      <c r="N817" s="126"/>
      <c r="O817" s="127"/>
      <c r="P817" s="13">
        <f t="array" ref="P817">XLOOKUP(B817,Weight!B:B,Weight!D:D,"#N/A",0)</f>
        <v>470</v>
      </c>
      <c r="Q817" s="17">
        <f t="shared" si="6"/>
        <v>10340</v>
      </c>
      <c r="R817" s="107"/>
      <c r="S817" s="108">
        <v>420222.0</v>
      </c>
      <c r="T817" s="108">
        <v>18.0</v>
      </c>
      <c r="U817" s="109">
        <v>180.0</v>
      </c>
      <c r="V817" s="110"/>
      <c r="X817" s="111">
        <f>SUMIFS('Transit Shipment'!$B$10:$B$1048462,'Transit Shipment'!$A$10:$A$1048462,B817,'Transit Shipment'!$C$10:$C$1048462,AA817)</f>
        <v>0</v>
      </c>
      <c r="Y817" s="111">
        <f>IF(SUMIFS(DIH!$S$2:$S833,DIH!$D$2:$D833,B817,DIH!$U$2:$U833,AA817)&gt;0,SUMIFS(DIH!$S$2:$S833,DIH!$D$2:$D833,B817,DIH!$U$2:$U833,AA817),0)</f>
        <v>16</v>
      </c>
      <c r="Z817" s="112">
        <f t="shared" si="7"/>
        <v>16</v>
      </c>
      <c r="AA817" s="119" t="s">
        <v>155</v>
      </c>
      <c r="AB817" s="114">
        <f>IF(ISNA(VLOOKUP($B817,'Business Report'!$D$2:$J$202,2,0)),"",VLOOKUP($B817,'Business Report'!$D$2:$J$202,2,0))</f>
        <v>159</v>
      </c>
      <c r="AC817" s="115">
        <f>SUMIFS(AFS!$P$2:$P$6260,AFS!$N$2:$N$6260,B817,AFS!$AT$2:$AT$6260,AA817)</f>
        <v>28</v>
      </c>
      <c r="AD817" s="116">
        <f t="shared" si="8"/>
        <v>22</v>
      </c>
      <c r="AE817" s="117"/>
      <c r="AF817" s="118">
        <f t="shared" si="9"/>
        <v>22</v>
      </c>
      <c r="AG817" s="4"/>
      <c r="AH817" s="26"/>
      <c r="AI817" s="26"/>
    </row>
    <row r="818">
      <c r="A818" s="120" t="s">
        <v>13598</v>
      </c>
      <c r="B818" s="7" t="s">
        <v>154</v>
      </c>
      <c r="C818" s="95" t="s">
        <v>13599</v>
      </c>
      <c r="D818" s="109" t="s">
        <v>176</v>
      </c>
      <c r="E818" s="97">
        <f t="shared" si="2"/>
        <v>25</v>
      </c>
      <c r="F818" s="97">
        <f t="shared" si="3"/>
        <v>0</v>
      </c>
      <c r="G818" s="99">
        <f t="shared" si="119"/>
        <v>50</v>
      </c>
      <c r="H818" s="121"/>
      <c r="I818" s="122"/>
      <c r="J818" s="123"/>
      <c r="K818" s="124"/>
      <c r="L818" s="125"/>
      <c r="M818" s="181"/>
      <c r="N818" s="126"/>
      <c r="O818" s="127"/>
      <c r="P818" s="13">
        <f t="array" ref="P818">XLOOKUP(B818,Weight!B:B,Weight!D:D,"#N/A",0)</f>
        <v>470</v>
      </c>
      <c r="Q818" s="17">
        <f t="shared" si="6"/>
        <v>23500</v>
      </c>
      <c r="R818" s="107"/>
      <c r="S818" s="108">
        <v>420222.0</v>
      </c>
      <c r="T818" s="108">
        <v>18.0</v>
      </c>
      <c r="U818" s="109">
        <v>180.0</v>
      </c>
      <c r="V818" s="110"/>
      <c r="X818" s="111">
        <f>SUMIFS('Transit Shipment'!$B$10:$B$1048462,'Transit Shipment'!$A$10:$A$1048462,B818,'Transit Shipment'!$C$10:$C$1048462,AA818)</f>
        <v>0</v>
      </c>
      <c r="Y818" s="111">
        <f>IF(SUMIFS(DIH!$S$2:$S833,DIH!$D$2:$D833,B818,DIH!$U$2:$U833,AA818)&gt;0,SUMIFS(DIH!$S$2:$S833,DIH!$D$2:$D833,B818,DIH!$U$2:$U833,AA818),0)</f>
        <v>8</v>
      </c>
      <c r="Z818" s="112">
        <f t="shared" si="7"/>
        <v>8</v>
      </c>
      <c r="AA818" s="119" t="s">
        <v>156</v>
      </c>
      <c r="AB818" s="114">
        <f>IF(ISNA(VLOOKUP($B818,'Business Report'!$D$2:$J$202,2,0)),"",VLOOKUP($B818,'Business Report'!$D$2:$J$202,2,0))</f>
        <v>159</v>
      </c>
      <c r="AC818" s="115">
        <f>SUMIFS(AFS!$P$2:$P$6260,AFS!$N$2:$N$6260,B818,AFS!$AT$2:$AT$6260,AA818)</f>
        <v>43</v>
      </c>
      <c r="AD818" s="116">
        <f t="shared" si="8"/>
        <v>50</v>
      </c>
      <c r="AE818" s="117"/>
      <c r="AF818" s="118">
        <f t="shared" si="9"/>
        <v>50</v>
      </c>
      <c r="AG818" s="4"/>
      <c r="AH818" s="26"/>
      <c r="AI818" s="26"/>
    </row>
    <row r="819">
      <c r="A819" s="120" t="s">
        <v>13598</v>
      </c>
      <c r="B819" s="7" t="s">
        <v>154</v>
      </c>
      <c r="C819" s="95" t="s">
        <v>13599</v>
      </c>
      <c r="D819" s="109" t="s">
        <v>176</v>
      </c>
      <c r="E819" s="97">
        <f t="shared" si="2"/>
        <v>10</v>
      </c>
      <c r="F819" s="97">
        <f t="shared" si="3"/>
        <v>0.5</v>
      </c>
      <c r="G819" s="99">
        <f t="shared" si="119"/>
        <v>22</v>
      </c>
      <c r="H819" s="121"/>
      <c r="I819" s="122"/>
      <c r="J819" s="123"/>
      <c r="K819" s="124"/>
      <c r="L819" s="125"/>
      <c r="M819" s="181"/>
      <c r="N819" s="126"/>
      <c r="O819" s="127"/>
      <c r="P819" s="13">
        <f t="array" ref="P819">XLOOKUP(B819,Weight!B:B,Weight!D:D,"#N/A",0)</f>
        <v>470</v>
      </c>
      <c r="Q819" s="17">
        <f t="shared" si="6"/>
        <v>10340</v>
      </c>
      <c r="R819" s="107"/>
      <c r="S819" s="108">
        <v>420222.0</v>
      </c>
      <c r="T819" s="108">
        <v>18.0</v>
      </c>
      <c r="U819" s="109">
        <v>180.0</v>
      </c>
      <c r="V819" s="110"/>
      <c r="X819" s="111">
        <f>SUMIFS('Transit Shipment'!$B$10:$B$1048462,'Transit Shipment'!$A$10:$A$1048462,B819,'Transit Shipment'!$C$10:$C$1048462,AA819)</f>
        <v>0</v>
      </c>
      <c r="Y819" s="111">
        <f>IF(SUMIFS(DIH!$S$2:$S833,DIH!$D$2:$D833,B819,DIH!$U$2:$U833,AA819)&gt;0,SUMIFS(DIH!$S$2:$S833,DIH!$D$2:$D833,B819,DIH!$U$2:$U833,AA819),0)</f>
        <v>9</v>
      </c>
      <c r="Z819" s="112">
        <f t="shared" si="7"/>
        <v>9</v>
      </c>
      <c r="AA819" s="130" t="s">
        <v>13</v>
      </c>
      <c r="AB819" s="114">
        <f>IF(ISNA(VLOOKUP($B819,'Business Report'!$D$2:$J$202,2,0)),"",VLOOKUP($B819,'Business Report'!$D$2:$J$202,2,0))</f>
        <v>159</v>
      </c>
      <c r="AC819" s="115">
        <f>SUMIFS(AFS!$P$2:$P$6260,AFS!$N$2:$N$6260,B819,AFS!$AT$2:$AT$6260,AA819)</f>
        <v>22</v>
      </c>
      <c r="AD819" s="116">
        <f t="shared" si="8"/>
        <v>21</v>
      </c>
      <c r="AE819" s="117"/>
      <c r="AF819" s="118">
        <f t="shared" si="9"/>
        <v>22</v>
      </c>
      <c r="AG819" s="26"/>
      <c r="AH819" s="26"/>
      <c r="AI819" s="26"/>
    </row>
    <row r="820">
      <c r="A820" s="120" t="s">
        <v>13598</v>
      </c>
      <c r="B820" s="7" t="s">
        <v>154</v>
      </c>
      <c r="C820" s="95" t="s">
        <v>13599</v>
      </c>
      <c r="D820" s="109" t="s">
        <v>176</v>
      </c>
      <c r="E820" s="97">
        <f t="shared" si="2"/>
        <v>4</v>
      </c>
      <c r="F820" s="97">
        <f t="shared" si="3"/>
        <v>0.5</v>
      </c>
      <c r="G820" s="99">
        <f t="shared" si="119"/>
        <v>10</v>
      </c>
      <c r="H820" s="121"/>
      <c r="I820" s="122"/>
      <c r="J820" s="123"/>
      <c r="K820" s="124"/>
      <c r="L820" s="125"/>
      <c r="M820" s="181"/>
      <c r="N820" s="126"/>
      <c r="O820" s="127"/>
      <c r="P820" s="13">
        <f t="array" ref="P820">XLOOKUP(B820,Weight!B:B,Weight!D:D,"#N/A",0)</f>
        <v>470</v>
      </c>
      <c r="Q820" s="17">
        <f t="shared" si="6"/>
        <v>4700</v>
      </c>
      <c r="R820" s="107"/>
      <c r="S820" s="108">
        <v>420222.0</v>
      </c>
      <c r="T820" s="108">
        <v>18.0</v>
      </c>
      <c r="U820" s="109">
        <v>180.0</v>
      </c>
      <c r="V820" s="110"/>
      <c r="X820" s="111">
        <f>SUMIFS('Transit Shipment'!$B$10:$B$1048462,'Transit Shipment'!$A$10:$A$1048462,B820,'Transit Shipment'!$C$10:$C$1048462,AA820)</f>
        <v>0</v>
      </c>
      <c r="Y820" s="111">
        <f>IF(SUMIFS(DIH!$S$2:$S833,DIH!$D$2:$D833,B820,DIH!$U$2:$U833,AA820)&gt;0,SUMIFS(DIH!$S$2:$S833,DIH!$D$2:$D833,B820,DIH!$U$2:$U833,AA820),0)</f>
        <v>27</v>
      </c>
      <c r="Z820" s="112">
        <f t="shared" si="7"/>
        <v>27</v>
      </c>
      <c r="AA820" s="119" t="s">
        <v>14</v>
      </c>
      <c r="AB820" s="114">
        <f>IF(ISNA(VLOOKUP($B820,'Business Report'!$D$2:$J$202,2,0)),"",VLOOKUP($B820,'Business Report'!$D$2:$J$202,2,0))</f>
        <v>159</v>
      </c>
      <c r="AC820" s="115">
        <f>SUMIFS(AFS!$P$2:$P$6260,AFS!$N$2:$N$6260,B820,AFS!$AT$2:$AT$6260,AA820)</f>
        <v>27</v>
      </c>
      <c r="AD820" s="116">
        <f t="shared" si="8"/>
        <v>9</v>
      </c>
      <c r="AE820" s="117"/>
      <c r="AF820" s="118">
        <f t="shared" si="9"/>
        <v>10</v>
      </c>
      <c r="AG820" s="26"/>
      <c r="AH820" s="26"/>
      <c r="AI820" s="26"/>
    </row>
    <row r="821">
      <c r="A821" s="120" t="s">
        <v>13598</v>
      </c>
      <c r="B821" s="7" t="s">
        <v>154</v>
      </c>
      <c r="C821" s="95" t="s">
        <v>13599</v>
      </c>
      <c r="D821" s="109" t="s">
        <v>176</v>
      </c>
      <c r="E821" s="97">
        <f t="shared" si="2"/>
        <v>20</v>
      </c>
      <c r="F821" s="97">
        <f t="shared" si="3"/>
        <v>0.5</v>
      </c>
      <c r="G821" s="99">
        <f t="shared" si="119"/>
        <v>42</v>
      </c>
      <c r="H821" s="121"/>
      <c r="I821" s="122"/>
      <c r="J821" s="123"/>
      <c r="K821" s="124"/>
      <c r="L821" s="125"/>
      <c r="M821" s="181"/>
      <c r="N821" s="126"/>
      <c r="O821" s="127"/>
      <c r="P821" s="13">
        <f t="array" ref="P821">XLOOKUP(B821,Weight!B:B,Weight!D:D,"#N/A",0)</f>
        <v>470</v>
      </c>
      <c r="Q821" s="17">
        <f t="shared" si="6"/>
        <v>19740</v>
      </c>
      <c r="R821" s="107"/>
      <c r="S821" s="108">
        <v>420222.0</v>
      </c>
      <c r="T821" s="108">
        <v>18.0</v>
      </c>
      <c r="U821" s="109">
        <v>180.0</v>
      </c>
      <c r="V821" s="110"/>
      <c r="X821" s="111">
        <f>SUMIFS('Transit Shipment'!$B$10:$B$1048462,'Transit Shipment'!$A$10:$A$1048462,B821,'Transit Shipment'!$C$10:$C$1048462,AA821)</f>
        <v>0</v>
      </c>
      <c r="Y821" s="111">
        <f>IF(SUMIFS(DIH!$S$2:$S833,DIH!$D$2:$D833,B821,DIH!$U$2:$U833,AA821)&gt;0,SUMIFS(DIH!$S$2:$S833,DIH!$D$2:$D833,B821,DIH!$U$2:$U833,AA821),0)</f>
        <v>25</v>
      </c>
      <c r="Z821" s="112">
        <f t="shared" si="7"/>
        <v>25</v>
      </c>
      <c r="AA821" s="131" t="s">
        <v>16</v>
      </c>
      <c r="AB821" s="114">
        <f>IF(ISNA(VLOOKUP($B821,'Business Report'!$D$2:$J$202,2,0)),"",VLOOKUP($B821,'Business Report'!$D$2:$J$202,2,0))</f>
        <v>159</v>
      </c>
      <c r="AC821" s="115">
        <f>SUMIFS(AFS!$P$2:$P$6260,AFS!$N$2:$N$6260,B821,AFS!$AT$2:$AT$6260,AA821)</f>
        <v>49</v>
      </c>
      <c r="AD821" s="116">
        <f t="shared" si="8"/>
        <v>41</v>
      </c>
      <c r="AE821" s="117"/>
      <c r="AF821" s="118">
        <f t="shared" si="9"/>
        <v>42</v>
      </c>
      <c r="AG821" s="26"/>
      <c r="AH821" s="26"/>
      <c r="AI821" s="26"/>
    </row>
    <row r="822">
      <c r="A822" s="296" t="s">
        <v>13598</v>
      </c>
      <c r="B822" s="128" t="s">
        <v>154</v>
      </c>
      <c r="C822" s="133" t="s">
        <v>13599</v>
      </c>
      <c r="D822" s="134" t="s">
        <v>176</v>
      </c>
      <c r="E822" s="135">
        <f t="shared" si="2"/>
        <v>13</v>
      </c>
      <c r="F822" s="135">
        <f t="shared" si="3"/>
        <v>0.5</v>
      </c>
      <c r="G822" s="136">
        <f t="shared" si="119"/>
        <v>28</v>
      </c>
      <c r="H822" s="137"/>
      <c r="I822" s="138"/>
      <c r="J822" s="139"/>
      <c r="K822" s="140"/>
      <c r="L822" s="135"/>
      <c r="M822" s="152"/>
      <c r="N822" s="142"/>
      <c r="O822" s="143"/>
      <c r="P822" s="144">
        <f t="array" ref="P822">XLOOKUP(B822,Weight!B:B,Weight!D:D,"#N/A",0)</f>
        <v>470</v>
      </c>
      <c r="Q822" s="145">
        <f t="shared" si="6"/>
        <v>13160</v>
      </c>
      <c r="R822" s="146"/>
      <c r="S822" s="147">
        <v>420222.0</v>
      </c>
      <c r="T822" s="147">
        <v>18.0</v>
      </c>
      <c r="U822" s="109">
        <v>180.0</v>
      </c>
      <c r="V822" s="148"/>
      <c r="W822" s="149"/>
      <c r="X822" s="150">
        <f>SUMIFS('Transit Shipment'!$B$10:$B$1048462,'Transit Shipment'!$A$10:$A$1048462,B822,'Transit Shipment'!$C$10:$C$1048462,AA822)</f>
        <v>0</v>
      </c>
      <c r="Y822" s="150">
        <f>IF(SUMIFS(DIH!$S$2:$S833,DIH!$D$2:$D833,B822,DIH!$U$2:$U833,AA822)&gt;0,SUMIFS(DIH!$S$2:$S833,DIH!$D$2:$D833,B822,DIH!$U$2:$U833,AA822),0)</f>
        <v>1</v>
      </c>
      <c r="Z822" s="151">
        <f t="shared" si="7"/>
        <v>1</v>
      </c>
      <c r="AA822" s="152" t="s">
        <v>17</v>
      </c>
      <c r="AB822" s="154">
        <f>IF(ISNA(VLOOKUP($B822,'Business Report'!$D$2:$J$202,2,0)),"",VLOOKUP($B822,'Business Report'!$D$2:$J$202,2,0))</f>
        <v>159</v>
      </c>
      <c r="AC822" s="155">
        <f>SUMIFS(AFS!$P$2:$P$6260,AFS!$N$2:$N$6260,B822,AFS!$AT$2:$AT$6260,AA822)</f>
        <v>21</v>
      </c>
      <c r="AD822" s="156">
        <f t="shared" si="8"/>
        <v>27</v>
      </c>
      <c r="AE822" s="159">
        <f>SUM(AD814:AD822)</f>
        <v>202</v>
      </c>
      <c r="AF822" s="118">
        <f t="shared" si="9"/>
        <v>28</v>
      </c>
      <c r="AG822" s="26"/>
      <c r="AH822" s="26"/>
      <c r="AI822" s="26"/>
    </row>
    <row r="823">
      <c r="A823" s="332"/>
      <c r="B823" s="333"/>
      <c r="C823" s="333"/>
      <c r="D823" s="33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7"/>
      <c r="R823" s="334"/>
      <c r="S823" s="334"/>
      <c r="T823" s="334"/>
      <c r="U823" s="334"/>
      <c r="V823" s="335"/>
      <c r="W823" s="335"/>
      <c r="X823" s="336"/>
      <c r="Y823" s="337"/>
      <c r="Z823" s="12"/>
      <c r="AA823" s="13"/>
      <c r="AB823" s="338"/>
      <c r="AC823" s="339"/>
      <c r="AD823" s="340"/>
      <c r="AE823" s="13"/>
      <c r="AF823" s="338"/>
      <c r="AH823" s="26"/>
      <c r="AI823" s="26"/>
      <c r="AV823" s="334"/>
      <c r="AW823" s="334"/>
      <c r="AX823" s="334"/>
    </row>
    <row r="824">
      <c r="A824" s="332"/>
      <c r="B824" s="333"/>
      <c r="C824" s="333"/>
      <c r="D824" s="333"/>
      <c r="E824" s="333"/>
      <c r="F824" s="333"/>
      <c r="G824" s="333"/>
      <c r="H824" s="333"/>
      <c r="I824" s="333"/>
      <c r="J824" s="333"/>
      <c r="K824" s="333"/>
      <c r="L824" s="333"/>
      <c r="M824" s="333"/>
      <c r="N824" s="333"/>
      <c r="O824" s="333"/>
      <c r="P824" s="341"/>
      <c r="Q824" s="17"/>
      <c r="R824" s="342"/>
      <c r="S824" s="342"/>
      <c r="T824" s="334"/>
      <c r="U824" s="334"/>
      <c r="V824" s="335"/>
      <c r="W824" s="335"/>
      <c r="X824" s="343">
        <f>SUM(X4:X822)</f>
        <v>0</v>
      </c>
      <c r="Z824" s="26"/>
      <c r="AB824" s="26"/>
      <c r="AC824" s="26"/>
      <c r="AD824" s="344"/>
      <c r="AF824" s="344"/>
      <c r="AH824" s="26"/>
      <c r="AI824" s="26"/>
      <c r="AV824" s="334"/>
      <c r="AW824" s="334"/>
      <c r="AX824" s="334"/>
    </row>
    <row r="825">
      <c r="A825" s="332"/>
      <c r="B825" s="333"/>
      <c r="C825" s="333"/>
      <c r="D825" s="333"/>
      <c r="E825" s="333"/>
      <c r="F825" s="333"/>
      <c r="G825" s="333"/>
      <c r="H825" s="333"/>
      <c r="I825" s="333"/>
      <c r="J825" s="333"/>
      <c r="K825" s="333"/>
      <c r="L825" s="333"/>
      <c r="M825" s="333"/>
      <c r="N825" s="333"/>
      <c r="O825" s="333"/>
      <c r="P825" s="29"/>
      <c r="Q825" s="17"/>
      <c r="R825" s="345"/>
      <c r="S825" s="345"/>
      <c r="T825" s="334"/>
      <c r="U825" s="334"/>
      <c r="V825" s="335"/>
      <c r="W825" s="335"/>
      <c r="X825" s="336"/>
      <c r="Z825" s="26"/>
      <c r="AB825" s="26"/>
      <c r="AC825" s="26"/>
      <c r="AD825" s="25"/>
      <c r="AF825" s="275"/>
      <c r="AH825" s="26"/>
      <c r="AI825" s="26"/>
      <c r="AV825" s="334"/>
      <c r="AW825" s="334"/>
      <c r="AX825" s="334"/>
    </row>
    <row r="826">
      <c r="A826" s="333"/>
      <c r="B826" s="333"/>
      <c r="C826" s="333"/>
      <c r="D826" s="333"/>
      <c r="E826" s="333"/>
      <c r="F826" s="333"/>
      <c r="G826" s="333"/>
      <c r="H826" s="333"/>
      <c r="I826" s="333"/>
      <c r="J826" s="333"/>
      <c r="K826" s="333"/>
      <c r="L826" s="333"/>
      <c r="M826" s="333"/>
      <c r="N826" s="333"/>
      <c r="O826" s="333"/>
      <c r="P826" s="333"/>
      <c r="Q826" s="333"/>
      <c r="R826" s="333"/>
      <c r="S826" s="333"/>
      <c r="T826" s="334"/>
      <c r="U826" s="334"/>
      <c r="V826" s="335"/>
      <c r="W826" s="335"/>
      <c r="X826" s="333"/>
      <c r="Y826" s="333"/>
      <c r="Z826" s="333"/>
      <c r="AA826" s="333"/>
      <c r="AB826" s="333"/>
      <c r="AC826" s="333"/>
      <c r="AD826" s="346"/>
      <c r="AE826" s="333"/>
      <c r="AF826" s="333"/>
      <c r="AH826" s="26"/>
      <c r="AI826" s="26"/>
      <c r="AV826" s="334"/>
      <c r="AW826" s="334"/>
      <c r="AX826" s="334"/>
    </row>
    <row r="827">
      <c r="A827" s="333"/>
      <c r="B827" s="333"/>
      <c r="C827" s="333"/>
      <c r="D827" s="333"/>
      <c r="E827" s="333"/>
      <c r="F827" s="333"/>
      <c r="G827" s="333"/>
      <c r="H827" s="333"/>
      <c r="I827" s="333"/>
      <c r="J827" s="333"/>
      <c r="K827" s="333"/>
      <c r="L827" s="333"/>
      <c r="M827" s="333"/>
      <c r="N827" s="333"/>
      <c r="O827" s="333"/>
      <c r="P827" s="333"/>
      <c r="Q827" s="333"/>
      <c r="R827" s="333"/>
      <c r="S827" s="333"/>
      <c r="T827" s="334"/>
      <c r="U827" s="334"/>
      <c r="V827" s="335"/>
      <c r="W827" s="335"/>
      <c r="X827" s="333"/>
      <c r="Y827" s="333"/>
      <c r="Z827" s="333"/>
      <c r="AA827" s="333"/>
      <c r="AB827" s="333"/>
      <c r="AC827" s="333"/>
      <c r="AD827" s="346"/>
      <c r="AE827" s="333"/>
      <c r="AF827" s="333"/>
      <c r="AH827" s="26"/>
      <c r="AI827" s="26"/>
      <c r="AV827" s="334"/>
      <c r="AW827" s="334"/>
      <c r="AX827" s="334"/>
    </row>
    <row r="828">
      <c r="A828" s="333"/>
      <c r="B828" s="333"/>
      <c r="C828" s="333"/>
      <c r="D828" s="333"/>
      <c r="E828" s="333"/>
      <c r="F828" s="333"/>
      <c r="G828" s="333"/>
      <c r="H828" s="333"/>
      <c r="I828" s="333"/>
      <c r="J828" s="333"/>
      <c r="K828" s="333"/>
      <c r="L828" s="333"/>
      <c r="M828" s="333"/>
      <c r="N828" s="333"/>
      <c r="O828" s="333"/>
      <c r="P828" s="333"/>
      <c r="Q828" s="333"/>
      <c r="R828" s="333"/>
      <c r="S828" s="333"/>
      <c r="T828" s="334"/>
      <c r="U828" s="334"/>
      <c r="V828" s="335"/>
      <c r="W828" s="335"/>
      <c r="X828" s="333"/>
      <c r="Y828" s="333"/>
      <c r="Z828" s="333"/>
      <c r="AA828" s="333"/>
      <c r="AB828" s="333"/>
      <c r="AC828" s="333"/>
      <c r="AD828" s="346"/>
      <c r="AE828" s="333"/>
      <c r="AF828" s="333"/>
      <c r="AH828" s="26"/>
      <c r="AI828" s="26"/>
      <c r="AV828" s="334"/>
      <c r="AW828" s="334"/>
      <c r="AX828" s="334"/>
    </row>
    <row r="829">
      <c r="A829" s="333"/>
      <c r="B829" s="333"/>
      <c r="C829" s="333"/>
      <c r="D829" s="333"/>
      <c r="E829" s="333"/>
      <c r="F829" s="333"/>
      <c r="G829" s="333"/>
      <c r="H829" s="333"/>
      <c r="I829" s="333"/>
      <c r="J829" s="333"/>
      <c r="K829" s="333"/>
      <c r="L829" s="333"/>
      <c r="M829" s="333"/>
      <c r="N829" s="333"/>
      <c r="O829" s="333"/>
      <c r="P829" s="333"/>
      <c r="Q829" s="333"/>
      <c r="R829" s="333"/>
      <c r="S829" s="333"/>
      <c r="T829" s="334"/>
      <c r="U829" s="334"/>
      <c r="V829" s="335"/>
      <c r="W829" s="335"/>
      <c r="X829" s="333"/>
      <c r="Y829" s="333"/>
      <c r="Z829" s="333"/>
      <c r="AA829" s="333"/>
      <c r="AB829" s="333"/>
      <c r="AC829" s="333"/>
      <c r="AD829" s="346"/>
      <c r="AE829" s="333"/>
      <c r="AF829" s="333"/>
      <c r="AH829" s="26"/>
      <c r="AI829" s="26"/>
      <c r="AV829" s="334"/>
      <c r="AW829" s="334"/>
      <c r="AX829" s="334"/>
    </row>
    <row r="830">
      <c r="A830" s="333"/>
      <c r="B830" s="333"/>
      <c r="C830" s="333"/>
      <c r="D830" s="333"/>
      <c r="E830" s="333"/>
      <c r="F830" s="333"/>
      <c r="G830" s="333"/>
      <c r="H830" s="333"/>
      <c r="I830" s="333"/>
      <c r="J830" s="333"/>
      <c r="K830" s="333"/>
      <c r="L830" s="333"/>
      <c r="M830" s="333"/>
      <c r="N830" s="333"/>
      <c r="O830" s="333"/>
      <c r="P830" s="333"/>
      <c r="Q830" s="333"/>
      <c r="R830" s="333"/>
      <c r="S830" s="333"/>
      <c r="T830" s="334"/>
      <c r="U830" s="334"/>
      <c r="V830" s="335"/>
      <c r="W830" s="335"/>
      <c r="X830" s="333"/>
      <c r="Y830" s="333"/>
      <c r="Z830" s="333"/>
      <c r="AA830" s="333"/>
      <c r="AB830" s="333"/>
      <c r="AC830" s="333"/>
      <c r="AD830" s="346"/>
      <c r="AE830" s="333"/>
      <c r="AF830" s="333"/>
      <c r="AH830" s="26"/>
      <c r="AI830" s="26"/>
      <c r="AV830" s="334"/>
      <c r="AW830" s="334"/>
      <c r="AX830" s="334"/>
    </row>
    <row r="831">
      <c r="A831" s="333"/>
      <c r="B831" s="333"/>
      <c r="C831" s="333"/>
      <c r="D831" s="333"/>
      <c r="E831" s="333"/>
      <c r="F831" s="333"/>
      <c r="G831" s="333"/>
      <c r="H831" s="347"/>
      <c r="I831" s="347"/>
      <c r="J831" s="347"/>
      <c r="K831" s="347"/>
      <c r="L831" s="347"/>
      <c r="M831" s="347"/>
      <c r="N831" s="347"/>
      <c r="O831" s="347"/>
      <c r="P831" s="333"/>
      <c r="Q831" s="333"/>
      <c r="R831" s="333"/>
      <c r="S831" s="333"/>
      <c r="T831" s="334"/>
      <c r="U831" s="334"/>
      <c r="V831" s="335"/>
      <c r="W831" s="335"/>
      <c r="X831" s="333"/>
      <c r="Y831" s="333"/>
      <c r="Z831" s="333"/>
      <c r="AA831" s="333"/>
      <c r="AB831" s="333"/>
      <c r="AC831" s="333"/>
      <c r="AD831" s="346"/>
      <c r="AE831" s="333"/>
      <c r="AF831" s="333"/>
      <c r="AH831" s="26"/>
      <c r="AI831" s="26"/>
      <c r="AV831" s="334"/>
      <c r="AW831" s="334"/>
      <c r="AX831" s="334"/>
    </row>
    <row r="832">
      <c r="A832" s="333"/>
      <c r="B832" s="333"/>
      <c r="C832" s="333"/>
      <c r="D832" s="333"/>
      <c r="E832" s="333"/>
      <c r="F832" s="333"/>
      <c r="G832" s="333"/>
      <c r="H832" s="347"/>
      <c r="I832" s="347"/>
      <c r="J832" s="347"/>
      <c r="K832" s="347"/>
      <c r="L832" s="347"/>
      <c r="M832" s="347"/>
      <c r="N832" s="347"/>
      <c r="O832" s="347"/>
      <c r="P832" s="333"/>
      <c r="Q832" s="333"/>
      <c r="R832" s="333"/>
      <c r="S832" s="333"/>
      <c r="T832" s="334"/>
      <c r="U832" s="334"/>
      <c r="V832" s="335"/>
      <c r="W832" s="335"/>
      <c r="X832" s="333"/>
      <c r="Y832" s="333"/>
      <c r="Z832" s="333"/>
      <c r="AA832" s="333"/>
      <c r="AB832" s="333"/>
      <c r="AC832" s="333"/>
      <c r="AD832" s="346"/>
      <c r="AE832" s="333"/>
      <c r="AF832" s="333"/>
      <c r="AH832" s="26"/>
      <c r="AI832" s="26"/>
      <c r="AV832" s="334"/>
      <c r="AW832" s="334"/>
      <c r="AX832" s="334"/>
    </row>
    <row r="833">
      <c r="A833" s="333"/>
      <c r="B833" s="333"/>
      <c r="C833" s="333"/>
      <c r="D833" s="333"/>
      <c r="E833" s="333"/>
      <c r="F833" s="333"/>
      <c r="G833" s="333"/>
      <c r="H833" s="347"/>
      <c r="I833" s="347"/>
      <c r="J833" s="347"/>
      <c r="K833" s="347"/>
      <c r="L833" s="347"/>
      <c r="M833" s="347"/>
      <c r="N833" s="347"/>
      <c r="O833" s="347"/>
      <c r="P833" s="333"/>
      <c r="Q833" s="333"/>
      <c r="R833" s="333"/>
      <c r="S833" s="333"/>
      <c r="T833" s="334"/>
      <c r="U833" s="334"/>
      <c r="V833" s="335"/>
      <c r="W833" s="335"/>
      <c r="X833" s="333"/>
      <c r="Y833" s="333"/>
      <c r="Z833" s="333"/>
      <c r="AA833" s="333"/>
      <c r="AB833" s="333"/>
      <c r="AC833" s="333"/>
      <c r="AD833" s="346"/>
      <c r="AE833" s="333"/>
      <c r="AF833" s="333"/>
      <c r="AH833" s="26"/>
      <c r="AI833" s="26"/>
      <c r="AV833" s="334"/>
      <c r="AW833" s="334"/>
      <c r="AX833" s="334"/>
    </row>
  </sheetData>
  <mergeCells count="184">
    <mergeCell ref="W220:W228"/>
    <mergeCell ref="W229:W237"/>
    <mergeCell ref="W157:W165"/>
    <mergeCell ref="W166:W174"/>
    <mergeCell ref="W175:W183"/>
    <mergeCell ref="W184:W192"/>
    <mergeCell ref="W193:W201"/>
    <mergeCell ref="W202:W210"/>
    <mergeCell ref="W211:W219"/>
    <mergeCell ref="X1:Y1"/>
    <mergeCell ref="X2:Y2"/>
    <mergeCell ref="V4:V12"/>
    <mergeCell ref="W4:W12"/>
    <mergeCell ref="V13:V21"/>
    <mergeCell ref="W13:W21"/>
    <mergeCell ref="W22:W30"/>
    <mergeCell ref="V22:V30"/>
    <mergeCell ref="V31:V39"/>
    <mergeCell ref="W31:W39"/>
    <mergeCell ref="V40:V48"/>
    <mergeCell ref="W40:W48"/>
    <mergeCell ref="V49:V57"/>
    <mergeCell ref="W49:W57"/>
    <mergeCell ref="V58:V66"/>
    <mergeCell ref="W58:W66"/>
    <mergeCell ref="V67:V75"/>
    <mergeCell ref="W67:W75"/>
    <mergeCell ref="V76:V84"/>
    <mergeCell ref="W76:W84"/>
    <mergeCell ref="W85:W93"/>
    <mergeCell ref="V85:V93"/>
    <mergeCell ref="V94:V102"/>
    <mergeCell ref="V103:V111"/>
    <mergeCell ref="V112:V120"/>
    <mergeCell ref="V121:V129"/>
    <mergeCell ref="V130:V138"/>
    <mergeCell ref="V139:V147"/>
    <mergeCell ref="W94:W102"/>
    <mergeCell ref="W103:W111"/>
    <mergeCell ref="W112:W120"/>
    <mergeCell ref="W121:W129"/>
    <mergeCell ref="W130:W138"/>
    <mergeCell ref="W139:W147"/>
    <mergeCell ref="W148:W156"/>
    <mergeCell ref="V148:V156"/>
    <mergeCell ref="V157:V165"/>
    <mergeCell ref="V166:V174"/>
    <mergeCell ref="V175:V183"/>
    <mergeCell ref="V184:V192"/>
    <mergeCell ref="V193:V201"/>
    <mergeCell ref="V202:V210"/>
    <mergeCell ref="V211:V219"/>
    <mergeCell ref="V220:V228"/>
    <mergeCell ref="V229:V237"/>
    <mergeCell ref="V238:V246"/>
    <mergeCell ref="W238:W246"/>
    <mergeCell ref="V247:V255"/>
    <mergeCell ref="W247:W255"/>
    <mergeCell ref="W481:W489"/>
    <mergeCell ref="W490:W498"/>
    <mergeCell ref="W418:W426"/>
    <mergeCell ref="W427:W435"/>
    <mergeCell ref="W436:W444"/>
    <mergeCell ref="W445:W453"/>
    <mergeCell ref="W454:W462"/>
    <mergeCell ref="W463:W471"/>
    <mergeCell ref="W472:W480"/>
    <mergeCell ref="V256:V264"/>
    <mergeCell ref="W256:W264"/>
    <mergeCell ref="V265:V273"/>
    <mergeCell ref="W265:W273"/>
    <mergeCell ref="V274:V282"/>
    <mergeCell ref="W274:W282"/>
    <mergeCell ref="W283:W291"/>
    <mergeCell ref="V283:V291"/>
    <mergeCell ref="V292:V300"/>
    <mergeCell ref="V301:V309"/>
    <mergeCell ref="V310:V318"/>
    <mergeCell ref="V319:V327"/>
    <mergeCell ref="V328:V336"/>
    <mergeCell ref="V337:V345"/>
    <mergeCell ref="W292:W300"/>
    <mergeCell ref="W301:W309"/>
    <mergeCell ref="W310:W318"/>
    <mergeCell ref="W319:W327"/>
    <mergeCell ref="W328:W336"/>
    <mergeCell ref="W337:W345"/>
    <mergeCell ref="W346:W354"/>
    <mergeCell ref="V346:V354"/>
    <mergeCell ref="V355:V363"/>
    <mergeCell ref="V364:V372"/>
    <mergeCell ref="V373:V381"/>
    <mergeCell ref="V382:V390"/>
    <mergeCell ref="V391:V399"/>
    <mergeCell ref="V400:V408"/>
    <mergeCell ref="W355:W363"/>
    <mergeCell ref="W364:W372"/>
    <mergeCell ref="W373:W381"/>
    <mergeCell ref="W382:W390"/>
    <mergeCell ref="W391:W399"/>
    <mergeCell ref="W400:W408"/>
    <mergeCell ref="W409:W417"/>
    <mergeCell ref="V409:V417"/>
    <mergeCell ref="V418:V426"/>
    <mergeCell ref="V427:V435"/>
    <mergeCell ref="V436:V444"/>
    <mergeCell ref="V445:V453"/>
    <mergeCell ref="V454:V462"/>
    <mergeCell ref="V463:V471"/>
    <mergeCell ref="V472:V480"/>
    <mergeCell ref="V481:V489"/>
    <mergeCell ref="V490:V498"/>
    <mergeCell ref="V499:V507"/>
    <mergeCell ref="W499:W507"/>
    <mergeCell ref="V508:V516"/>
    <mergeCell ref="W508:W516"/>
    <mergeCell ref="W742:W750"/>
    <mergeCell ref="W751:W759"/>
    <mergeCell ref="W679:W687"/>
    <mergeCell ref="W688:W696"/>
    <mergeCell ref="W697:W705"/>
    <mergeCell ref="W706:W714"/>
    <mergeCell ref="W715:W723"/>
    <mergeCell ref="W724:W732"/>
    <mergeCell ref="W733:W741"/>
    <mergeCell ref="V805:V813"/>
    <mergeCell ref="V814:V822"/>
    <mergeCell ref="V778:V786"/>
    <mergeCell ref="W778:W786"/>
    <mergeCell ref="V787:V795"/>
    <mergeCell ref="W787:W795"/>
    <mergeCell ref="V796:V804"/>
    <mergeCell ref="W796:W804"/>
    <mergeCell ref="W805:W813"/>
    <mergeCell ref="W814:W822"/>
    <mergeCell ref="V517:V525"/>
    <mergeCell ref="W517:W525"/>
    <mergeCell ref="V526:V534"/>
    <mergeCell ref="W526:W534"/>
    <mergeCell ref="V535:V543"/>
    <mergeCell ref="W535:W543"/>
    <mergeCell ref="W544:W552"/>
    <mergeCell ref="V544:V552"/>
    <mergeCell ref="V553:V561"/>
    <mergeCell ref="V562:V570"/>
    <mergeCell ref="V571:V579"/>
    <mergeCell ref="V580:V588"/>
    <mergeCell ref="V589:V597"/>
    <mergeCell ref="V598:V606"/>
    <mergeCell ref="W553:W561"/>
    <mergeCell ref="W562:W570"/>
    <mergeCell ref="W571:W579"/>
    <mergeCell ref="W580:W588"/>
    <mergeCell ref="W589:W597"/>
    <mergeCell ref="W598:W606"/>
    <mergeCell ref="W607:W615"/>
    <mergeCell ref="V607:V615"/>
    <mergeCell ref="V616:V624"/>
    <mergeCell ref="V625:V633"/>
    <mergeCell ref="V634:V642"/>
    <mergeCell ref="V643:V651"/>
    <mergeCell ref="V652:V660"/>
    <mergeCell ref="V661:V669"/>
    <mergeCell ref="W616:W624"/>
    <mergeCell ref="W625:W633"/>
    <mergeCell ref="W634:W642"/>
    <mergeCell ref="W643:W651"/>
    <mergeCell ref="W652:W660"/>
    <mergeCell ref="W661:W669"/>
    <mergeCell ref="W670:W678"/>
    <mergeCell ref="V670:V678"/>
    <mergeCell ref="V679:V687"/>
    <mergeCell ref="V688:V696"/>
    <mergeCell ref="V697:V705"/>
    <mergeCell ref="V706:V714"/>
    <mergeCell ref="V715:V723"/>
    <mergeCell ref="V724:V732"/>
    <mergeCell ref="V733:V741"/>
    <mergeCell ref="V742:V750"/>
    <mergeCell ref="V751:V759"/>
    <mergeCell ref="V760:V768"/>
    <mergeCell ref="W760:W768"/>
    <mergeCell ref="V769:V777"/>
    <mergeCell ref="W769:W777"/>
  </mergeCells>
  <conditionalFormatting sqref="A364:A390">
    <cfRule type="expression" dxfId="1" priority="1">
      <formula>$L$1&lt;&gt;""</formula>
    </cfRule>
  </conditionalFormatting>
  <conditionalFormatting sqref="AE12 AE21 AE30 AE39 AE48:AE66 AE75 AE84 AE93 AE102 AE111 AE120 AE129 AE138 AE147 AE156 AE165 AE174 AE183 AE192 AE201 AE210 AE219:AE309 AE318 AE327:AE453 AE462 AE471 AE480 AE489:AE507 AE516 AE525 AE534 AE543 AE552:AE579 AE588 AE597:AE615 AE624:AE741 AE750 AE759:AE822">
    <cfRule type="cellIs" dxfId="4" priority="2" operator="greaterThan">
      <formula>-1</formula>
    </cfRule>
  </conditionalFormatting>
  <conditionalFormatting sqref="Z4:Z833">
    <cfRule type="expression" dxfId="5" priority="3">
      <formula>Z4:AC4&lt;AC4:AC833</formula>
    </cfRule>
  </conditionalFormatting>
  <conditionalFormatting sqref="AC4:AC833">
    <cfRule type="expression" dxfId="5" priority="4">
      <formula>Z4:AC4&gt;Z4:Z1072</formula>
    </cfRule>
  </conditionalFormatting>
  <conditionalFormatting sqref="AC4:AC822">
    <cfRule type="cellIs" dxfId="6" priority="5" operator="equal">
      <formula>0</formula>
    </cfRule>
  </conditionalFormatting>
  <printOptions/>
  <pageMargins bottom="1.025" footer="0.0" header="0.0" left="0.7875" right="0.7875" top="1.025"/>
  <pageSetup paperSize="8" scale="90"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tr">
        <f t="array" ref="B1:B91">UNIQUE(A1:A819)</f>
        <v>Apron_Black</v>
      </c>
    </row>
    <row r="2">
      <c r="A2" s="3" t="s">
        <v>0</v>
      </c>
      <c r="B2" s="2" t="s">
        <v>3</v>
      </c>
    </row>
    <row r="3">
      <c r="A3" s="3" t="s">
        <v>0</v>
      </c>
      <c r="B3" s="2" t="s">
        <v>4</v>
      </c>
    </row>
    <row r="4">
      <c r="A4" s="7" t="s">
        <v>0</v>
      </c>
      <c r="B4" s="2" t="s">
        <v>6</v>
      </c>
    </row>
    <row r="5">
      <c r="A5" s="7" t="s">
        <v>0</v>
      </c>
      <c r="B5" s="2" t="s">
        <v>8</v>
      </c>
    </row>
    <row r="6">
      <c r="A6" s="7" t="s">
        <v>0</v>
      </c>
      <c r="B6" s="2" t="s">
        <v>10</v>
      </c>
    </row>
    <row r="7">
      <c r="A7" s="7" t="s">
        <v>0</v>
      </c>
      <c r="B7" s="2" t="s">
        <v>12</v>
      </c>
    </row>
    <row r="8">
      <c r="A8" s="7" t="s">
        <v>0</v>
      </c>
      <c r="B8" s="2" t="s">
        <v>15</v>
      </c>
    </row>
    <row r="9">
      <c r="A9" s="15" t="s">
        <v>0</v>
      </c>
      <c r="B9" s="2" t="s">
        <v>19</v>
      </c>
    </row>
    <row r="10">
      <c r="A10" s="1" t="s">
        <v>3</v>
      </c>
      <c r="B10" s="2" t="s">
        <v>22</v>
      </c>
    </row>
    <row r="11">
      <c r="A11" s="3" t="s">
        <v>3</v>
      </c>
      <c r="B11" s="2" t="s">
        <v>23</v>
      </c>
    </row>
    <row r="12">
      <c r="A12" s="3" t="s">
        <v>3</v>
      </c>
      <c r="B12" s="2" t="s">
        <v>24</v>
      </c>
    </row>
    <row r="13">
      <c r="A13" s="7" t="s">
        <v>3</v>
      </c>
      <c r="B13" s="2" t="s">
        <v>25</v>
      </c>
    </row>
    <row r="14">
      <c r="A14" s="7" t="s">
        <v>3</v>
      </c>
      <c r="B14" s="2" t="s">
        <v>27</v>
      </c>
    </row>
    <row r="15">
      <c r="A15" s="7" t="s">
        <v>3</v>
      </c>
      <c r="B15" s="2" t="s">
        <v>29</v>
      </c>
    </row>
    <row r="16">
      <c r="A16" s="7" t="s">
        <v>3</v>
      </c>
      <c r="B16" s="2" t="s">
        <v>30</v>
      </c>
    </row>
    <row r="17">
      <c r="A17" s="7" t="s">
        <v>3</v>
      </c>
      <c r="B17" s="2" t="s">
        <v>31</v>
      </c>
    </row>
    <row r="18">
      <c r="A18" s="15" t="s">
        <v>3</v>
      </c>
      <c r="B18" s="2" t="s">
        <v>33</v>
      </c>
    </row>
    <row r="19">
      <c r="A19" s="1" t="s">
        <v>4</v>
      </c>
      <c r="B19" s="2" t="s">
        <v>34</v>
      </c>
    </row>
    <row r="20">
      <c r="A20" s="3" t="s">
        <v>4</v>
      </c>
      <c r="B20" s="2" t="s">
        <v>35</v>
      </c>
    </row>
    <row r="21">
      <c r="A21" s="3" t="s">
        <v>4</v>
      </c>
      <c r="B21" s="2" t="s">
        <v>38</v>
      </c>
    </row>
    <row r="22">
      <c r="A22" s="7" t="s">
        <v>4</v>
      </c>
      <c r="B22" s="2" t="s">
        <v>39</v>
      </c>
    </row>
    <row r="23">
      <c r="A23" s="7" t="s">
        <v>4</v>
      </c>
      <c r="B23" s="2" t="s">
        <v>40</v>
      </c>
    </row>
    <row r="24">
      <c r="A24" s="7" t="s">
        <v>4</v>
      </c>
      <c r="B24" s="2" t="s">
        <v>41</v>
      </c>
    </row>
    <row r="25">
      <c r="A25" s="7" t="s">
        <v>4</v>
      </c>
      <c r="B25" s="2" t="s">
        <v>42</v>
      </c>
    </row>
    <row r="26">
      <c r="A26" s="7" t="s">
        <v>4</v>
      </c>
      <c r="B26" s="2" t="s">
        <v>43</v>
      </c>
    </row>
    <row r="27">
      <c r="A27" s="15" t="s">
        <v>4</v>
      </c>
      <c r="B27" s="2" t="s">
        <v>44</v>
      </c>
    </row>
    <row r="28">
      <c r="A28" s="1" t="s">
        <v>6</v>
      </c>
      <c r="B28" s="2" t="s">
        <v>46</v>
      </c>
    </row>
    <row r="29">
      <c r="A29" s="3" t="s">
        <v>6</v>
      </c>
      <c r="B29" s="2" t="s">
        <v>47</v>
      </c>
    </row>
    <row r="30">
      <c r="A30" s="3" t="s">
        <v>6</v>
      </c>
      <c r="B30" s="2" t="s">
        <v>49</v>
      </c>
    </row>
    <row r="31">
      <c r="A31" s="7" t="s">
        <v>6</v>
      </c>
      <c r="B31" s="2" t="s">
        <v>50</v>
      </c>
    </row>
    <row r="32">
      <c r="A32" s="7" t="s">
        <v>6</v>
      </c>
      <c r="B32" s="2" t="s">
        <v>51</v>
      </c>
    </row>
    <row r="33">
      <c r="A33" s="7" t="s">
        <v>6</v>
      </c>
      <c r="B33" s="2" t="s">
        <v>52</v>
      </c>
    </row>
    <row r="34">
      <c r="A34" s="7" t="s">
        <v>6</v>
      </c>
      <c r="B34" s="2" t="s">
        <v>53</v>
      </c>
    </row>
    <row r="35">
      <c r="A35" s="7" t="s">
        <v>6</v>
      </c>
      <c r="B35" s="2" t="s">
        <v>54</v>
      </c>
    </row>
    <row r="36">
      <c r="A36" s="15" t="s">
        <v>6</v>
      </c>
      <c r="B36" s="2" t="s">
        <v>55</v>
      </c>
    </row>
    <row r="37">
      <c r="A37" s="1" t="s">
        <v>8</v>
      </c>
      <c r="B37" s="2" t="s">
        <v>56</v>
      </c>
    </row>
    <row r="38">
      <c r="A38" s="3" t="s">
        <v>8</v>
      </c>
      <c r="B38" s="2" t="s">
        <v>58</v>
      </c>
    </row>
    <row r="39">
      <c r="A39" s="3" t="s">
        <v>8</v>
      </c>
      <c r="B39" s="2" t="s">
        <v>61</v>
      </c>
    </row>
    <row r="40">
      <c r="A40" s="7" t="s">
        <v>8</v>
      </c>
      <c r="B40" s="2" t="s">
        <v>64</v>
      </c>
    </row>
    <row r="41">
      <c r="A41" s="7" t="s">
        <v>8</v>
      </c>
      <c r="B41" s="2" t="s">
        <v>68</v>
      </c>
    </row>
    <row r="42">
      <c r="A42" s="7" t="s">
        <v>8</v>
      </c>
      <c r="B42" s="2" t="s">
        <v>71</v>
      </c>
    </row>
    <row r="43">
      <c r="A43" s="7" t="s">
        <v>8</v>
      </c>
      <c r="B43" s="2" t="s">
        <v>75</v>
      </c>
    </row>
    <row r="44">
      <c r="A44" s="7" t="s">
        <v>8</v>
      </c>
      <c r="B44" s="2" t="s">
        <v>78</v>
      </c>
    </row>
    <row r="45">
      <c r="A45" s="15" t="s">
        <v>8</v>
      </c>
      <c r="B45" s="2" t="s">
        <v>82</v>
      </c>
    </row>
    <row r="46">
      <c r="A46" s="1" t="s">
        <v>10</v>
      </c>
      <c r="B46" s="2" t="s">
        <v>85</v>
      </c>
    </row>
    <row r="47">
      <c r="A47" s="3" t="s">
        <v>10</v>
      </c>
      <c r="B47" s="2" t="s">
        <v>86</v>
      </c>
    </row>
    <row r="48">
      <c r="A48" s="3" t="s">
        <v>10</v>
      </c>
      <c r="B48" s="2" t="s">
        <v>88</v>
      </c>
    </row>
    <row r="49">
      <c r="A49" s="7" t="s">
        <v>10</v>
      </c>
      <c r="B49" s="2" t="s">
        <v>90</v>
      </c>
    </row>
    <row r="50">
      <c r="A50" s="7" t="s">
        <v>10</v>
      </c>
      <c r="B50" s="2" t="s">
        <v>92</v>
      </c>
    </row>
    <row r="51">
      <c r="A51" s="7" t="s">
        <v>10</v>
      </c>
      <c r="B51" s="2" t="s">
        <v>94</v>
      </c>
    </row>
    <row r="52">
      <c r="A52" s="7" t="s">
        <v>10</v>
      </c>
      <c r="B52" s="2" t="s">
        <v>98</v>
      </c>
    </row>
    <row r="53">
      <c r="A53" s="7" t="s">
        <v>10</v>
      </c>
      <c r="B53" s="2" t="s">
        <v>99</v>
      </c>
    </row>
    <row r="54">
      <c r="A54" s="15" t="s">
        <v>10</v>
      </c>
      <c r="B54" s="2" t="s">
        <v>102</v>
      </c>
    </row>
    <row r="55">
      <c r="A55" s="1" t="s">
        <v>12</v>
      </c>
      <c r="B55" s="2" t="s">
        <v>104</v>
      </c>
    </row>
    <row r="56">
      <c r="A56" s="3" t="s">
        <v>12</v>
      </c>
      <c r="B56" s="2" t="s">
        <v>106</v>
      </c>
    </row>
    <row r="57">
      <c r="A57" s="3" t="s">
        <v>12</v>
      </c>
      <c r="B57" s="2" t="s">
        <v>110</v>
      </c>
    </row>
    <row r="58">
      <c r="A58" s="7" t="s">
        <v>12</v>
      </c>
      <c r="B58" s="2" t="s">
        <v>111</v>
      </c>
    </row>
    <row r="59">
      <c r="A59" s="7" t="s">
        <v>12</v>
      </c>
      <c r="B59" s="2" t="s">
        <v>113</v>
      </c>
    </row>
    <row r="60">
      <c r="A60" s="7" t="s">
        <v>12</v>
      </c>
      <c r="B60" s="2" t="s">
        <v>115</v>
      </c>
    </row>
    <row r="61">
      <c r="A61" s="7" t="s">
        <v>12</v>
      </c>
      <c r="B61" s="2" t="s">
        <v>117</v>
      </c>
    </row>
    <row r="62">
      <c r="A62" s="7" t="s">
        <v>12</v>
      </c>
      <c r="B62" s="2" t="s">
        <v>120</v>
      </c>
    </row>
    <row r="63">
      <c r="A63" s="15" t="s">
        <v>12</v>
      </c>
      <c r="B63" s="2" t="s">
        <v>123</v>
      </c>
    </row>
    <row r="64">
      <c r="A64" s="1" t="s">
        <v>15</v>
      </c>
      <c r="B64" s="2" t="s">
        <v>125</v>
      </c>
    </row>
    <row r="65">
      <c r="A65" s="3" t="s">
        <v>15</v>
      </c>
      <c r="B65" s="2" t="s">
        <v>126</v>
      </c>
    </row>
    <row r="66">
      <c r="A66" s="3" t="s">
        <v>15</v>
      </c>
      <c r="B66" s="2" t="s">
        <v>127</v>
      </c>
    </row>
    <row r="67">
      <c r="A67" s="7" t="s">
        <v>15</v>
      </c>
      <c r="B67" s="2" t="s">
        <v>128</v>
      </c>
    </row>
    <row r="68">
      <c r="A68" s="7" t="s">
        <v>15</v>
      </c>
      <c r="B68" s="2" t="s">
        <v>129</v>
      </c>
    </row>
    <row r="69">
      <c r="A69" s="7" t="s">
        <v>15</v>
      </c>
      <c r="B69" s="2" t="s">
        <v>130</v>
      </c>
    </row>
    <row r="70">
      <c r="A70" s="7" t="s">
        <v>15</v>
      </c>
      <c r="B70" s="2" t="s">
        <v>131</v>
      </c>
    </row>
    <row r="71">
      <c r="A71" s="7" t="s">
        <v>15</v>
      </c>
      <c r="B71" s="2" t="s">
        <v>132</v>
      </c>
    </row>
    <row r="72">
      <c r="A72" s="15" t="s">
        <v>15</v>
      </c>
      <c r="B72" s="2" t="s">
        <v>133</v>
      </c>
    </row>
    <row r="73">
      <c r="A73" s="1" t="s">
        <v>19</v>
      </c>
      <c r="B73" s="2" t="s">
        <v>134</v>
      </c>
    </row>
    <row r="74">
      <c r="A74" s="3" t="s">
        <v>19</v>
      </c>
      <c r="B74" s="2" t="s">
        <v>136</v>
      </c>
    </row>
    <row r="75">
      <c r="A75" s="3" t="s">
        <v>19</v>
      </c>
      <c r="B75" s="2" t="s">
        <v>138</v>
      </c>
    </row>
    <row r="76">
      <c r="A76" s="7" t="s">
        <v>19</v>
      </c>
      <c r="B76" s="2" t="s">
        <v>139</v>
      </c>
    </row>
    <row r="77">
      <c r="A77" s="7" t="s">
        <v>19</v>
      </c>
      <c r="B77" s="2" t="s">
        <v>140</v>
      </c>
    </row>
    <row r="78">
      <c r="A78" s="7" t="s">
        <v>19</v>
      </c>
      <c r="B78" s="2" t="s">
        <v>141</v>
      </c>
    </row>
    <row r="79">
      <c r="A79" s="7" t="s">
        <v>19</v>
      </c>
      <c r="B79" s="2" t="s">
        <v>142</v>
      </c>
    </row>
    <row r="80">
      <c r="A80" s="7" t="s">
        <v>19</v>
      </c>
      <c r="B80" s="2" t="s">
        <v>143</v>
      </c>
    </row>
    <row r="81">
      <c r="A81" s="15" t="s">
        <v>19</v>
      </c>
      <c r="B81" s="2" t="s">
        <v>144</v>
      </c>
    </row>
    <row r="82">
      <c r="A82" s="1" t="s">
        <v>22</v>
      </c>
      <c r="B82" s="2" t="s">
        <v>145</v>
      </c>
    </row>
    <row r="83">
      <c r="A83" s="3" t="s">
        <v>22</v>
      </c>
      <c r="B83" s="2" t="s">
        <v>146</v>
      </c>
    </row>
    <row r="84">
      <c r="A84" s="3" t="s">
        <v>22</v>
      </c>
      <c r="B84" s="2" t="s">
        <v>147</v>
      </c>
    </row>
    <row r="85">
      <c r="A85" s="7" t="s">
        <v>22</v>
      </c>
      <c r="B85" s="2" t="s">
        <v>148</v>
      </c>
    </row>
    <row r="86">
      <c r="A86" s="7" t="s">
        <v>22</v>
      </c>
      <c r="B86" s="2" t="s">
        <v>149</v>
      </c>
    </row>
    <row r="87">
      <c r="A87" s="7" t="s">
        <v>22</v>
      </c>
      <c r="B87" s="2" t="s">
        <v>150</v>
      </c>
    </row>
    <row r="88">
      <c r="A88" s="7" t="s">
        <v>22</v>
      </c>
      <c r="B88" s="2" t="s">
        <v>151</v>
      </c>
    </row>
    <row r="89">
      <c r="A89" s="7" t="s">
        <v>22</v>
      </c>
      <c r="B89" s="2" t="s">
        <v>152</v>
      </c>
    </row>
    <row r="90">
      <c r="A90" s="15" t="s">
        <v>22</v>
      </c>
      <c r="B90" s="2" t="s">
        <v>153</v>
      </c>
    </row>
    <row r="91">
      <c r="A91" s="1" t="s">
        <v>23</v>
      </c>
      <c r="B91" s="2" t="s">
        <v>154</v>
      </c>
    </row>
    <row r="92">
      <c r="A92" s="3" t="s">
        <v>23</v>
      </c>
    </row>
    <row r="93">
      <c r="A93" s="3" t="s">
        <v>23</v>
      </c>
    </row>
    <row r="94">
      <c r="A94" s="7" t="s">
        <v>23</v>
      </c>
    </row>
    <row r="95">
      <c r="A95" s="7" t="s">
        <v>23</v>
      </c>
    </row>
    <row r="96">
      <c r="A96" s="7" t="s">
        <v>23</v>
      </c>
    </row>
    <row r="97">
      <c r="A97" s="7" t="s">
        <v>23</v>
      </c>
    </row>
    <row r="98">
      <c r="A98" s="7" t="s">
        <v>23</v>
      </c>
    </row>
    <row r="99">
      <c r="A99" s="15" t="s">
        <v>23</v>
      </c>
    </row>
    <row r="100">
      <c r="A100" s="1" t="s">
        <v>24</v>
      </c>
    </row>
    <row r="101">
      <c r="A101" s="3" t="s">
        <v>24</v>
      </c>
    </row>
    <row r="102">
      <c r="A102" s="3" t="s">
        <v>24</v>
      </c>
    </row>
    <row r="103">
      <c r="A103" s="7" t="s">
        <v>24</v>
      </c>
    </row>
    <row r="104">
      <c r="A104" s="7" t="s">
        <v>24</v>
      </c>
    </row>
    <row r="105">
      <c r="A105" s="7" t="s">
        <v>24</v>
      </c>
    </row>
    <row r="106">
      <c r="A106" s="7" t="s">
        <v>24</v>
      </c>
    </row>
    <row r="107">
      <c r="A107" s="7" t="s">
        <v>24</v>
      </c>
    </row>
    <row r="108">
      <c r="A108" s="15" t="s">
        <v>24</v>
      </c>
    </row>
    <row r="109">
      <c r="A109" s="1" t="s">
        <v>25</v>
      </c>
    </row>
    <row r="110">
      <c r="A110" s="3" t="s">
        <v>25</v>
      </c>
    </row>
    <row r="111">
      <c r="A111" s="3" t="s">
        <v>25</v>
      </c>
    </row>
    <row r="112">
      <c r="A112" s="7" t="s">
        <v>25</v>
      </c>
    </row>
    <row r="113">
      <c r="A113" s="7" t="s">
        <v>25</v>
      </c>
    </row>
    <row r="114">
      <c r="A114" s="7" t="s">
        <v>25</v>
      </c>
    </row>
    <row r="115">
      <c r="A115" s="7" t="s">
        <v>25</v>
      </c>
    </row>
    <row r="116">
      <c r="A116" s="7" t="s">
        <v>25</v>
      </c>
    </row>
    <row r="117">
      <c r="A117" s="15" t="s">
        <v>25</v>
      </c>
    </row>
    <row r="118">
      <c r="A118" s="1" t="s">
        <v>27</v>
      </c>
    </row>
    <row r="119">
      <c r="A119" s="3" t="s">
        <v>27</v>
      </c>
    </row>
    <row r="120">
      <c r="A120" s="3" t="s">
        <v>27</v>
      </c>
    </row>
    <row r="121">
      <c r="A121" s="7" t="s">
        <v>27</v>
      </c>
    </row>
    <row r="122">
      <c r="A122" s="7" t="s">
        <v>27</v>
      </c>
    </row>
    <row r="123">
      <c r="A123" s="7" t="s">
        <v>27</v>
      </c>
    </row>
    <row r="124">
      <c r="A124" s="7" t="s">
        <v>27</v>
      </c>
    </row>
    <row r="125">
      <c r="A125" s="7" t="s">
        <v>27</v>
      </c>
    </row>
    <row r="126">
      <c r="A126" s="15" t="s">
        <v>27</v>
      </c>
    </row>
    <row r="127">
      <c r="A127" s="1" t="s">
        <v>29</v>
      </c>
    </row>
    <row r="128">
      <c r="A128" s="3" t="s">
        <v>29</v>
      </c>
    </row>
    <row r="129">
      <c r="A129" s="3" t="s">
        <v>29</v>
      </c>
    </row>
    <row r="130">
      <c r="A130" s="7" t="s">
        <v>29</v>
      </c>
    </row>
    <row r="131">
      <c r="A131" s="7" t="s">
        <v>29</v>
      </c>
    </row>
    <row r="132">
      <c r="A132" s="7" t="s">
        <v>29</v>
      </c>
    </row>
    <row r="133">
      <c r="A133" s="7" t="s">
        <v>29</v>
      </c>
    </row>
    <row r="134">
      <c r="A134" s="7" t="s">
        <v>29</v>
      </c>
    </row>
    <row r="135">
      <c r="A135" s="15" t="s">
        <v>29</v>
      </c>
    </row>
    <row r="136">
      <c r="A136" s="1" t="s">
        <v>30</v>
      </c>
    </row>
    <row r="137">
      <c r="A137" s="3" t="s">
        <v>30</v>
      </c>
    </row>
    <row r="138">
      <c r="A138" s="3" t="s">
        <v>30</v>
      </c>
    </row>
    <row r="139">
      <c r="A139" s="7" t="s">
        <v>30</v>
      </c>
    </row>
    <row r="140">
      <c r="A140" s="7" t="s">
        <v>30</v>
      </c>
    </row>
    <row r="141">
      <c r="A141" s="7" t="s">
        <v>30</v>
      </c>
    </row>
    <row r="142">
      <c r="A142" s="7" t="s">
        <v>30</v>
      </c>
    </row>
    <row r="143">
      <c r="A143" s="7" t="s">
        <v>30</v>
      </c>
    </row>
    <row r="144">
      <c r="A144" s="15" t="s">
        <v>30</v>
      </c>
    </row>
    <row r="145">
      <c r="A145" s="1" t="s">
        <v>31</v>
      </c>
    </row>
    <row r="146">
      <c r="A146" s="3" t="s">
        <v>31</v>
      </c>
    </row>
    <row r="147">
      <c r="A147" s="3" t="s">
        <v>31</v>
      </c>
    </row>
    <row r="148">
      <c r="A148" s="7" t="s">
        <v>31</v>
      </c>
    </row>
    <row r="149">
      <c r="A149" s="7" t="s">
        <v>31</v>
      </c>
    </row>
    <row r="150">
      <c r="A150" s="7" t="s">
        <v>31</v>
      </c>
    </row>
    <row r="151">
      <c r="A151" s="7" t="s">
        <v>31</v>
      </c>
    </row>
    <row r="152">
      <c r="A152" s="7" t="s">
        <v>31</v>
      </c>
    </row>
    <row r="153">
      <c r="A153" s="15" t="s">
        <v>31</v>
      </c>
    </row>
    <row r="154">
      <c r="A154" s="1" t="s">
        <v>33</v>
      </c>
    </row>
    <row r="155">
      <c r="A155" s="3" t="s">
        <v>33</v>
      </c>
    </row>
    <row r="156">
      <c r="A156" s="3" t="s">
        <v>33</v>
      </c>
    </row>
    <row r="157">
      <c r="A157" s="7" t="s">
        <v>33</v>
      </c>
    </row>
    <row r="158">
      <c r="A158" s="7" t="s">
        <v>33</v>
      </c>
    </row>
    <row r="159">
      <c r="A159" s="7" t="s">
        <v>33</v>
      </c>
    </row>
    <row r="160">
      <c r="A160" s="7" t="s">
        <v>33</v>
      </c>
    </row>
    <row r="161">
      <c r="A161" s="7" t="s">
        <v>33</v>
      </c>
    </row>
    <row r="162">
      <c r="A162" s="15" t="s">
        <v>33</v>
      </c>
    </row>
    <row r="163">
      <c r="A163" s="1" t="s">
        <v>34</v>
      </c>
    </row>
    <row r="164">
      <c r="A164" s="3" t="s">
        <v>34</v>
      </c>
    </row>
    <row r="165">
      <c r="A165" s="3" t="s">
        <v>34</v>
      </c>
    </row>
    <row r="166">
      <c r="A166" s="7" t="s">
        <v>34</v>
      </c>
    </row>
    <row r="167">
      <c r="A167" s="7" t="s">
        <v>34</v>
      </c>
    </row>
    <row r="168">
      <c r="A168" s="7" t="s">
        <v>34</v>
      </c>
    </row>
    <row r="169">
      <c r="A169" s="7" t="s">
        <v>34</v>
      </c>
    </row>
    <row r="170">
      <c r="A170" s="7" t="s">
        <v>34</v>
      </c>
    </row>
    <row r="171">
      <c r="A171" s="15" t="s">
        <v>34</v>
      </c>
    </row>
    <row r="172">
      <c r="A172" s="1" t="s">
        <v>35</v>
      </c>
    </row>
    <row r="173">
      <c r="A173" s="3" t="s">
        <v>35</v>
      </c>
    </row>
    <row r="174">
      <c r="A174" s="3" t="s">
        <v>35</v>
      </c>
    </row>
    <row r="175">
      <c r="A175" s="7" t="s">
        <v>35</v>
      </c>
    </row>
    <row r="176">
      <c r="A176" s="7" t="s">
        <v>35</v>
      </c>
    </row>
    <row r="177">
      <c r="A177" s="7" t="s">
        <v>35</v>
      </c>
    </row>
    <row r="178">
      <c r="A178" s="7" t="s">
        <v>35</v>
      </c>
    </row>
    <row r="179">
      <c r="A179" s="7" t="s">
        <v>35</v>
      </c>
    </row>
    <row r="180">
      <c r="A180" s="15" t="s">
        <v>35</v>
      </c>
    </row>
    <row r="181">
      <c r="A181" s="1" t="s">
        <v>38</v>
      </c>
    </row>
    <row r="182">
      <c r="A182" s="3" t="s">
        <v>38</v>
      </c>
    </row>
    <row r="183">
      <c r="A183" s="3" t="s">
        <v>38</v>
      </c>
    </row>
    <row r="184">
      <c r="A184" s="7" t="s">
        <v>38</v>
      </c>
    </row>
    <row r="185">
      <c r="A185" s="7" t="s">
        <v>38</v>
      </c>
    </row>
    <row r="186">
      <c r="A186" s="7" t="s">
        <v>38</v>
      </c>
    </row>
    <row r="187">
      <c r="A187" s="7" t="s">
        <v>38</v>
      </c>
    </row>
    <row r="188">
      <c r="A188" s="7" t="s">
        <v>38</v>
      </c>
    </row>
    <row r="189">
      <c r="A189" s="15" t="s">
        <v>38</v>
      </c>
    </row>
    <row r="190">
      <c r="A190" s="1" t="s">
        <v>39</v>
      </c>
    </row>
    <row r="191">
      <c r="A191" s="3" t="s">
        <v>39</v>
      </c>
    </row>
    <row r="192">
      <c r="A192" s="3" t="s">
        <v>39</v>
      </c>
    </row>
    <row r="193">
      <c r="A193" s="7" t="s">
        <v>39</v>
      </c>
    </row>
    <row r="194">
      <c r="A194" s="7" t="s">
        <v>39</v>
      </c>
    </row>
    <row r="195">
      <c r="A195" s="7" t="s">
        <v>39</v>
      </c>
    </row>
    <row r="196">
      <c r="A196" s="7" t="s">
        <v>39</v>
      </c>
    </row>
    <row r="197">
      <c r="A197" s="7" t="s">
        <v>39</v>
      </c>
    </row>
    <row r="198">
      <c r="A198" s="15" t="s">
        <v>39</v>
      </c>
    </row>
    <row r="199">
      <c r="A199" s="1" t="s">
        <v>40</v>
      </c>
    </row>
    <row r="200">
      <c r="A200" s="3" t="s">
        <v>40</v>
      </c>
    </row>
    <row r="201">
      <c r="A201" s="3" t="s">
        <v>40</v>
      </c>
    </row>
    <row r="202">
      <c r="A202" s="7" t="s">
        <v>40</v>
      </c>
    </row>
    <row r="203">
      <c r="A203" s="7" t="s">
        <v>40</v>
      </c>
    </row>
    <row r="204">
      <c r="A204" s="7" t="s">
        <v>40</v>
      </c>
    </row>
    <row r="205">
      <c r="A205" s="7" t="s">
        <v>40</v>
      </c>
    </row>
    <row r="206">
      <c r="A206" s="7" t="s">
        <v>40</v>
      </c>
    </row>
    <row r="207">
      <c r="A207" s="15" t="s">
        <v>40</v>
      </c>
    </row>
    <row r="208">
      <c r="A208" s="1" t="s">
        <v>41</v>
      </c>
    </row>
    <row r="209">
      <c r="A209" s="3" t="s">
        <v>41</v>
      </c>
    </row>
    <row r="210">
      <c r="A210" s="3" t="s">
        <v>41</v>
      </c>
    </row>
    <row r="211">
      <c r="A211" s="7" t="s">
        <v>41</v>
      </c>
    </row>
    <row r="212">
      <c r="A212" s="7" t="s">
        <v>41</v>
      </c>
    </row>
    <row r="213">
      <c r="A213" s="7" t="s">
        <v>41</v>
      </c>
    </row>
    <row r="214">
      <c r="A214" s="7" t="s">
        <v>41</v>
      </c>
    </row>
    <row r="215">
      <c r="A215" s="7" t="s">
        <v>41</v>
      </c>
    </row>
    <row r="216">
      <c r="A216" s="15" t="s">
        <v>41</v>
      </c>
    </row>
    <row r="217">
      <c r="A217" s="1" t="s">
        <v>42</v>
      </c>
    </row>
    <row r="218">
      <c r="A218" s="3" t="s">
        <v>42</v>
      </c>
    </row>
    <row r="219">
      <c r="A219" s="3" t="s">
        <v>42</v>
      </c>
    </row>
    <row r="220">
      <c r="A220" s="7" t="s">
        <v>42</v>
      </c>
    </row>
    <row r="221">
      <c r="A221" s="7" t="s">
        <v>42</v>
      </c>
    </row>
    <row r="222">
      <c r="A222" s="7" t="s">
        <v>42</v>
      </c>
    </row>
    <row r="223">
      <c r="A223" s="7" t="s">
        <v>42</v>
      </c>
    </row>
    <row r="224">
      <c r="A224" s="7" t="s">
        <v>42</v>
      </c>
    </row>
    <row r="225">
      <c r="A225" s="15" t="s">
        <v>42</v>
      </c>
    </row>
    <row r="226">
      <c r="A226" s="1" t="s">
        <v>43</v>
      </c>
    </row>
    <row r="227">
      <c r="A227" s="3" t="s">
        <v>43</v>
      </c>
    </row>
    <row r="228">
      <c r="A228" s="3" t="s">
        <v>43</v>
      </c>
    </row>
    <row r="229">
      <c r="A229" s="7" t="s">
        <v>43</v>
      </c>
    </row>
    <row r="230">
      <c r="A230" s="7" t="s">
        <v>43</v>
      </c>
    </row>
    <row r="231">
      <c r="A231" s="7" t="s">
        <v>43</v>
      </c>
    </row>
    <row r="232">
      <c r="A232" s="7" t="s">
        <v>43</v>
      </c>
    </row>
    <row r="233">
      <c r="A233" s="7" t="s">
        <v>43</v>
      </c>
    </row>
    <row r="234">
      <c r="A234" s="15" t="s">
        <v>43</v>
      </c>
    </row>
    <row r="235">
      <c r="A235" s="1" t="s">
        <v>44</v>
      </c>
    </row>
    <row r="236">
      <c r="A236" s="3" t="s">
        <v>44</v>
      </c>
    </row>
    <row r="237">
      <c r="A237" s="3" t="s">
        <v>44</v>
      </c>
    </row>
    <row r="238">
      <c r="A238" s="7" t="s">
        <v>44</v>
      </c>
    </row>
    <row r="239">
      <c r="A239" s="7" t="s">
        <v>44</v>
      </c>
    </row>
    <row r="240">
      <c r="A240" s="7" t="s">
        <v>44</v>
      </c>
    </row>
    <row r="241">
      <c r="A241" s="7" t="s">
        <v>44</v>
      </c>
    </row>
    <row r="242">
      <c r="A242" s="7" t="s">
        <v>44</v>
      </c>
    </row>
    <row r="243">
      <c r="A243" s="15" t="s">
        <v>44</v>
      </c>
    </row>
    <row r="244">
      <c r="A244" s="1" t="s">
        <v>46</v>
      </c>
    </row>
    <row r="245">
      <c r="A245" s="3" t="s">
        <v>46</v>
      </c>
    </row>
    <row r="246">
      <c r="A246" s="3" t="s">
        <v>46</v>
      </c>
    </row>
    <row r="247">
      <c r="A247" s="7" t="s">
        <v>46</v>
      </c>
    </row>
    <row r="248">
      <c r="A248" s="7" t="s">
        <v>46</v>
      </c>
    </row>
    <row r="249">
      <c r="A249" s="7" t="s">
        <v>46</v>
      </c>
    </row>
    <row r="250">
      <c r="A250" s="7" t="s">
        <v>46</v>
      </c>
    </row>
    <row r="251">
      <c r="A251" s="7" t="s">
        <v>46</v>
      </c>
    </row>
    <row r="252">
      <c r="A252" s="15" t="s">
        <v>46</v>
      </c>
    </row>
    <row r="253">
      <c r="A253" s="1" t="s">
        <v>47</v>
      </c>
    </row>
    <row r="254">
      <c r="A254" s="3" t="s">
        <v>47</v>
      </c>
    </row>
    <row r="255">
      <c r="A255" s="3" t="s">
        <v>47</v>
      </c>
    </row>
    <row r="256">
      <c r="A256" s="7" t="s">
        <v>47</v>
      </c>
    </row>
    <row r="257">
      <c r="A257" s="7" t="s">
        <v>47</v>
      </c>
    </row>
    <row r="258">
      <c r="A258" s="7" t="s">
        <v>47</v>
      </c>
    </row>
    <row r="259">
      <c r="A259" s="7" t="s">
        <v>47</v>
      </c>
    </row>
    <row r="260">
      <c r="A260" s="7" t="s">
        <v>47</v>
      </c>
    </row>
    <row r="261">
      <c r="A261" s="15" t="s">
        <v>47</v>
      </c>
    </row>
    <row r="262">
      <c r="A262" s="1" t="s">
        <v>49</v>
      </c>
    </row>
    <row r="263">
      <c r="A263" s="3" t="s">
        <v>49</v>
      </c>
    </row>
    <row r="264">
      <c r="A264" s="3" t="s">
        <v>49</v>
      </c>
    </row>
    <row r="265">
      <c r="A265" s="7" t="s">
        <v>49</v>
      </c>
    </row>
    <row r="266">
      <c r="A266" s="7" t="s">
        <v>49</v>
      </c>
    </row>
    <row r="267">
      <c r="A267" s="7" t="s">
        <v>49</v>
      </c>
    </row>
    <row r="268">
      <c r="A268" s="7" t="s">
        <v>49</v>
      </c>
    </row>
    <row r="269">
      <c r="A269" s="7" t="s">
        <v>49</v>
      </c>
    </row>
    <row r="270">
      <c r="A270" s="15" t="s">
        <v>49</v>
      </c>
    </row>
    <row r="271">
      <c r="A271" s="1" t="s">
        <v>50</v>
      </c>
    </row>
    <row r="272">
      <c r="A272" s="3" t="s">
        <v>50</v>
      </c>
    </row>
    <row r="273">
      <c r="A273" s="3" t="s">
        <v>50</v>
      </c>
    </row>
    <row r="274">
      <c r="A274" s="7" t="s">
        <v>50</v>
      </c>
    </row>
    <row r="275">
      <c r="A275" s="7" t="s">
        <v>50</v>
      </c>
    </row>
    <row r="276">
      <c r="A276" s="7" t="s">
        <v>50</v>
      </c>
    </row>
    <row r="277">
      <c r="A277" s="7" t="s">
        <v>50</v>
      </c>
    </row>
    <row r="278">
      <c r="A278" s="7" t="s">
        <v>50</v>
      </c>
    </row>
    <row r="279">
      <c r="A279" s="15" t="s">
        <v>50</v>
      </c>
    </row>
    <row r="280">
      <c r="A280" s="1" t="s">
        <v>51</v>
      </c>
    </row>
    <row r="281">
      <c r="A281" s="3" t="s">
        <v>51</v>
      </c>
    </row>
    <row r="282">
      <c r="A282" s="3" t="s">
        <v>51</v>
      </c>
    </row>
    <row r="283">
      <c r="A283" s="7" t="s">
        <v>51</v>
      </c>
    </row>
    <row r="284">
      <c r="A284" s="7" t="s">
        <v>51</v>
      </c>
    </row>
    <row r="285">
      <c r="A285" s="7" t="s">
        <v>51</v>
      </c>
    </row>
    <row r="286">
      <c r="A286" s="7" t="s">
        <v>51</v>
      </c>
    </row>
    <row r="287">
      <c r="A287" s="7" t="s">
        <v>51</v>
      </c>
    </row>
    <row r="288">
      <c r="A288" s="15" t="s">
        <v>51</v>
      </c>
    </row>
    <row r="289">
      <c r="A289" s="1" t="s">
        <v>52</v>
      </c>
    </row>
    <row r="290">
      <c r="A290" s="3" t="s">
        <v>52</v>
      </c>
    </row>
    <row r="291">
      <c r="A291" s="3" t="s">
        <v>52</v>
      </c>
    </row>
    <row r="292">
      <c r="A292" s="7" t="s">
        <v>52</v>
      </c>
    </row>
    <row r="293">
      <c r="A293" s="7" t="s">
        <v>52</v>
      </c>
    </row>
    <row r="294">
      <c r="A294" s="7" t="s">
        <v>52</v>
      </c>
    </row>
    <row r="295">
      <c r="A295" s="7" t="s">
        <v>52</v>
      </c>
    </row>
    <row r="296">
      <c r="A296" s="7" t="s">
        <v>52</v>
      </c>
    </row>
    <row r="297">
      <c r="A297" s="15" t="s">
        <v>52</v>
      </c>
    </row>
    <row r="298">
      <c r="A298" s="1" t="s">
        <v>53</v>
      </c>
    </row>
    <row r="299">
      <c r="A299" s="3" t="s">
        <v>53</v>
      </c>
    </row>
    <row r="300">
      <c r="A300" s="3" t="s">
        <v>53</v>
      </c>
    </row>
    <row r="301">
      <c r="A301" s="7" t="s">
        <v>53</v>
      </c>
    </row>
    <row r="302">
      <c r="A302" s="7" t="s">
        <v>53</v>
      </c>
    </row>
    <row r="303">
      <c r="A303" s="7" t="s">
        <v>53</v>
      </c>
    </row>
    <row r="304">
      <c r="A304" s="7" t="s">
        <v>53</v>
      </c>
    </row>
    <row r="305">
      <c r="A305" s="7" t="s">
        <v>53</v>
      </c>
    </row>
    <row r="306">
      <c r="A306" s="15" t="s">
        <v>53</v>
      </c>
    </row>
    <row r="307">
      <c r="A307" s="1" t="s">
        <v>54</v>
      </c>
    </row>
    <row r="308">
      <c r="A308" s="3" t="s">
        <v>54</v>
      </c>
    </row>
    <row r="309">
      <c r="A309" s="3" t="s">
        <v>54</v>
      </c>
    </row>
    <row r="310">
      <c r="A310" s="7" t="s">
        <v>54</v>
      </c>
    </row>
    <row r="311">
      <c r="A311" s="7" t="s">
        <v>54</v>
      </c>
    </row>
    <row r="312">
      <c r="A312" s="7" t="s">
        <v>54</v>
      </c>
    </row>
    <row r="313">
      <c r="A313" s="7" t="s">
        <v>54</v>
      </c>
    </row>
    <row r="314">
      <c r="A314" s="7" t="s">
        <v>54</v>
      </c>
    </row>
    <row r="315">
      <c r="A315" s="15" t="s">
        <v>54</v>
      </c>
    </row>
    <row r="316">
      <c r="A316" s="1" t="s">
        <v>55</v>
      </c>
    </row>
    <row r="317">
      <c r="A317" s="3" t="s">
        <v>55</v>
      </c>
    </row>
    <row r="318">
      <c r="A318" s="3" t="s">
        <v>55</v>
      </c>
    </row>
    <row r="319">
      <c r="A319" s="7" t="s">
        <v>55</v>
      </c>
    </row>
    <row r="320">
      <c r="A320" s="7" t="s">
        <v>55</v>
      </c>
    </row>
    <row r="321">
      <c r="A321" s="7" t="s">
        <v>55</v>
      </c>
    </row>
    <row r="322">
      <c r="A322" s="7" t="s">
        <v>55</v>
      </c>
    </row>
    <row r="323">
      <c r="A323" s="7" t="s">
        <v>55</v>
      </c>
    </row>
    <row r="324">
      <c r="A324" s="15" t="s">
        <v>55</v>
      </c>
    </row>
    <row r="325">
      <c r="A325" s="1" t="s">
        <v>56</v>
      </c>
    </row>
    <row r="326">
      <c r="A326" s="3" t="s">
        <v>56</v>
      </c>
    </row>
    <row r="327">
      <c r="A327" s="3" t="s">
        <v>56</v>
      </c>
    </row>
    <row r="328">
      <c r="A328" s="7" t="s">
        <v>56</v>
      </c>
    </row>
    <row r="329">
      <c r="A329" s="7" t="s">
        <v>56</v>
      </c>
    </row>
    <row r="330">
      <c r="A330" s="7" t="s">
        <v>56</v>
      </c>
    </row>
    <row r="331">
      <c r="A331" s="7" t="s">
        <v>56</v>
      </c>
    </row>
    <row r="332">
      <c r="A332" s="7" t="s">
        <v>56</v>
      </c>
    </row>
    <row r="333">
      <c r="A333" s="15" t="s">
        <v>56</v>
      </c>
    </row>
    <row r="334">
      <c r="A334" s="1" t="s">
        <v>58</v>
      </c>
    </row>
    <row r="335">
      <c r="A335" s="3" t="s">
        <v>58</v>
      </c>
    </row>
    <row r="336">
      <c r="A336" s="3" t="s">
        <v>58</v>
      </c>
    </row>
    <row r="337">
      <c r="A337" s="7" t="s">
        <v>58</v>
      </c>
    </row>
    <row r="338">
      <c r="A338" s="7" t="s">
        <v>58</v>
      </c>
    </row>
    <row r="339">
      <c r="A339" s="7" t="s">
        <v>58</v>
      </c>
    </row>
    <row r="340">
      <c r="A340" s="7" t="s">
        <v>58</v>
      </c>
    </row>
    <row r="341">
      <c r="A341" s="7" t="s">
        <v>58</v>
      </c>
    </row>
    <row r="342">
      <c r="A342" s="15" t="s">
        <v>58</v>
      </c>
    </row>
    <row r="343">
      <c r="A343" s="1" t="s">
        <v>61</v>
      </c>
    </row>
    <row r="344">
      <c r="A344" s="3" t="s">
        <v>61</v>
      </c>
    </row>
    <row r="345">
      <c r="A345" s="3" t="s">
        <v>61</v>
      </c>
    </row>
    <row r="346">
      <c r="A346" s="7" t="s">
        <v>61</v>
      </c>
    </row>
    <row r="347">
      <c r="A347" s="7" t="s">
        <v>61</v>
      </c>
    </row>
    <row r="348">
      <c r="A348" s="7" t="s">
        <v>61</v>
      </c>
    </row>
    <row r="349">
      <c r="A349" s="7" t="s">
        <v>61</v>
      </c>
    </row>
    <row r="350">
      <c r="A350" s="7" t="s">
        <v>61</v>
      </c>
    </row>
    <row r="351">
      <c r="A351" s="15" t="s">
        <v>61</v>
      </c>
    </row>
    <row r="352">
      <c r="A352" s="1" t="s">
        <v>64</v>
      </c>
    </row>
    <row r="353">
      <c r="A353" s="3" t="s">
        <v>64</v>
      </c>
    </row>
    <row r="354">
      <c r="A354" s="3" t="s">
        <v>64</v>
      </c>
    </row>
    <row r="355">
      <c r="A355" s="7" t="s">
        <v>64</v>
      </c>
    </row>
    <row r="356">
      <c r="A356" s="7" t="s">
        <v>64</v>
      </c>
    </row>
    <row r="357">
      <c r="A357" s="7" t="s">
        <v>64</v>
      </c>
    </row>
    <row r="358">
      <c r="A358" s="7" t="s">
        <v>64</v>
      </c>
    </row>
    <row r="359">
      <c r="A359" s="7" t="s">
        <v>64</v>
      </c>
    </row>
    <row r="360">
      <c r="A360" s="15" t="s">
        <v>64</v>
      </c>
    </row>
    <row r="361">
      <c r="A361" s="1" t="s">
        <v>68</v>
      </c>
    </row>
    <row r="362">
      <c r="A362" s="3" t="s">
        <v>68</v>
      </c>
    </row>
    <row r="363">
      <c r="A363" s="3" t="s">
        <v>68</v>
      </c>
    </row>
    <row r="364">
      <c r="A364" s="7" t="s">
        <v>68</v>
      </c>
    </row>
    <row r="365">
      <c r="A365" s="7" t="s">
        <v>68</v>
      </c>
    </row>
    <row r="366">
      <c r="A366" s="7" t="s">
        <v>68</v>
      </c>
    </row>
    <row r="367">
      <c r="A367" s="7" t="s">
        <v>68</v>
      </c>
    </row>
    <row r="368">
      <c r="A368" s="7" t="s">
        <v>68</v>
      </c>
    </row>
    <row r="369">
      <c r="A369" s="15" t="s">
        <v>68</v>
      </c>
    </row>
    <row r="370">
      <c r="A370" s="1" t="s">
        <v>71</v>
      </c>
    </row>
    <row r="371">
      <c r="A371" s="3" t="s">
        <v>71</v>
      </c>
    </row>
    <row r="372">
      <c r="A372" s="3" t="s">
        <v>71</v>
      </c>
    </row>
    <row r="373">
      <c r="A373" s="7" t="s">
        <v>71</v>
      </c>
    </row>
    <row r="374">
      <c r="A374" s="7" t="s">
        <v>71</v>
      </c>
    </row>
    <row r="375">
      <c r="A375" s="7" t="s">
        <v>71</v>
      </c>
    </row>
    <row r="376">
      <c r="A376" s="7" t="s">
        <v>71</v>
      </c>
    </row>
    <row r="377">
      <c r="A377" s="7" t="s">
        <v>71</v>
      </c>
    </row>
    <row r="378">
      <c r="A378" s="15" t="s">
        <v>71</v>
      </c>
    </row>
    <row r="379">
      <c r="A379" s="1" t="s">
        <v>75</v>
      </c>
    </row>
    <row r="380">
      <c r="A380" s="3" t="s">
        <v>75</v>
      </c>
    </row>
    <row r="381">
      <c r="A381" s="3" t="s">
        <v>75</v>
      </c>
    </row>
    <row r="382">
      <c r="A382" s="7" t="s">
        <v>75</v>
      </c>
    </row>
    <row r="383">
      <c r="A383" s="7" t="s">
        <v>75</v>
      </c>
    </row>
    <row r="384">
      <c r="A384" s="7" t="s">
        <v>75</v>
      </c>
    </row>
    <row r="385">
      <c r="A385" s="7" t="s">
        <v>75</v>
      </c>
    </row>
    <row r="386">
      <c r="A386" s="7" t="s">
        <v>75</v>
      </c>
    </row>
    <row r="387">
      <c r="A387" s="15" t="s">
        <v>75</v>
      </c>
    </row>
    <row r="388">
      <c r="A388" s="1" t="s">
        <v>78</v>
      </c>
    </row>
    <row r="389">
      <c r="A389" s="3" t="s">
        <v>78</v>
      </c>
    </row>
    <row r="390">
      <c r="A390" s="3" t="s">
        <v>78</v>
      </c>
    </row>
    <row r="391">
      <c r="A391" s="7" t="s">
        <v>78</v>
      </c>
    </row>
    <row r="392">
      <c r="A392" s="7" t="s">
        <v>78</v>
      </c>
    </row>
    <row r="393">
      <c r="A393" s="7" t="s">
        <v>78</v>
      </c>
    </row>
    <row r="394">
      <c r="A394" s="7" t="s">
        <v>78</v>
      </c>
    </row>
    <row r="395">
      <c r="A395" s="7" t="s">
        <v>78</v>
      </c>
    </row>
    <row r="396">
      <c r="A396" s="15" t="s">
        <v>78</v>
      </c>
    </row>
    <row r="397">
      <c r="A397" s="1" t="s">
        <v>82</v>
      </c>
    </row>
    <row r="398">
      <c r="A398" s="3" t="s">
        <v>82</v>
      </c>
    </row>
    <row r="399">
      <c r="A399" s="3" t="s">
        <v>82</v>
      </c>
    </row>
    <row r="400">
      <c r="A400" s="7" t="s">
        <v>82</v>
      </c>
    </row>
    <row r="401">
      <c r="A401" s="7" t="s">
        <v>82</v>
      </c>
    </row>
    <row r="402">
      <c r="A402" s="7" t="s">
        <v>82</v>
      </c>
    </row>
    <row r="403">
      <c r="A403" s="7" t="s">
        <v>82</v>
      </c>
    </row>
    <row r="404">
      <c r="A404" s="7" t="s">
        <v>82</v>
      </c>
    </row>
    <row r="405">
      <c r="A405" s="15" t="s">
        <v>82</v>
      </c>
    </row>
    <row r="406">
      <c r="A406" s="1" t="s">
        <v>85</v>
      </c>
    </row>
    <row r="407">
      <c r="A407" s="3" t="s">
        <v>85</v>
      </c>
    </row>
    <row r="408">
      <c r="A408" s="3" t="s">
        <v>85</v>
      </c>
    </row>
    <row r="409">
      <c r="A409" s="7" t="s">
        <v>85</v>
      </c>
    </row>
    <row r="410">
      <c r="A410" s="7" t="s">
        <v>85</v>
      </c>
    </row>
    <row r="411">
      <c r="A411" s="7" t="s">
        <v>85</v>
      </c>
    </row>
    <row r="412">
      <c r="A412" s="7" t="s">
        <v>85</v>
      </c>
    </row>
    <row r="413">
      <c r="A413" s="7" t="s">
        <v>85</v>
      </c>
    </row>
    <row r="414">
      <c r="A414" s="15" t="s">
        <v>85</v>
      </c>
    </row>
    <row r="415">
      <c r="A415" s="1" t="s">
        <v>86</v>
      </c>
    </row>
    <row r="416">
      <c r="A416" s="3" t="s">
        <v>86</v>
      </c>
    </row>
    <row r="417">
      <c r="A417" s="3" t="s">
        <v>86</v>
      </c>
    </row>
    <row r="418">
      <c r="A418" s="7" t="s">
        <v>86</v>
      </c>
    </row>
    <row r="419">
      <c r="A419" s="7" t="s">
        <v>86</v>
      </c>
    </row>
    <row r="420">
      <c r="A420" s="7" t="s">
        <v>86</v>
      </c>
    </row>
    <row r="421">
      <c r="A421" s="7" t="s">
        <v>86</v>
      </c>
    </row>
    <row r="422">
      <c r="A422" s="7" t="s">
        <v>86</v>
      </c>
    </row>
    <row r="423">
      <c r="A423" s="15" t="s">
        <v>86</v>
      </c>
    </row>
    <row r="424">
      <c r="A424" s="1" t="s">
        <v>88</v>
      </c>
    </row>
    <row r="425">
      <c r="A425" s="3" t="s">
        <v>88</v>
      </c>
    </row>
    <row r="426">
      <c r="A426" s="3" t="s">
        <v>88</v>
      </c>
    </row>
    <row r="427">
      <c r="A427" s="7" t="s">
        <v>88</v>
      </c>
    </row>
    <row r="428">
      <c r="A428" s="7" t="s">
        <v>88</v>
      </c>
    </row>
    <row r="429">
      <c r="A429" s="7" t="s">
        <v>88</v>
      </c>
    </row>
    <row r="430">
      <c r="A430" s="7" t="s">
        <v>88</v>
      </c>
    </row>
    <row r="431">
      <c r="A431" s="7" t="s">
        <v>88</v>
      </c>
    </row>
    <row r="432">
      <c r="A432" s="15" t="s">
        <v>88</v>
      </c>
    </row>
    <row r="433">
      <c r="A433" s="7" t="s">
        <v>90</v>
      </c>
    </row>
    <row r="434">
      <c r="A434" s="7" t="s">
        <v>90</v>
      </c>
    </row>
    <row r="435">
      <c r="A435" s="7" t="s">
        <v>90</v>
      </c>
    </row>
    <row r="436">
      <c r="A436" s="7" t="s">
        <v>90</v>
      </c>
    </row>
    <row r="437">
      <c r="A437" s="7" t="s">
        <v>90</v>
      </c>
    </row>
    <row r="438">
      <c r="A438" s="7" t="s">
        <v>90</v>
      </c>
    </row>
    <row r="439">
      <c r="A439" s="7" t="s">
        <v>90</v>
      </c>
    </row>
    <row r="440">
      <c r="A440" s="7" t="s">
        <v>90</v>
      </c>
    </row>
    <row r="441">
      <c r="A441" s="128" t="s">
        <v>90</v>
      </c>
    </row>
    <row r="442">
      <c r="A442" s="7" t="s">
        <v>92</v>
      </c>
    </row>
    <row r="443">
      <c r="A443" s="7" t="s">
        <v>92</v>
      </c>
    </row>
    <row r="444">
      <c r="A444" s="7" t="s">
        <v>92</v>
      </c>
    </row>
    <row r="445">
      <c r="A445" s="7" t="s">
        <v>92</v>
      </c>
    </row>
    <row r="446">
      <c r="A446" s="7" t="s">
        <v>92</v>
      </c>
    </row>
    <row r="447">
      <c r="A447" s="7" t="s">
        <v>92</v>
      </c>
    </row>
    <row r="448">
      <c r="A448" s="7" t="s">
        <v>92</v>
      </c>
    </row>
    <row r="449">
      <c r="A449" s="7" t="s">
        <v>92</v>
      </c>
    </row>
    <row r="450">
      <c r="A450" s="128" t="s">
        <v>92</v>
      </c>
    </row>
    <row r="451">
      <c r="A451" s="1" t="s">
        <v>94</v>
      </c>
    </row>
    <row r="452">
      <c r="A452" s="3" t="s">
        <v>94</v>
      </c>
    </row>
    <row r="453">
      <c r="A453" s="3" t="s">
        <v>94</v>
      </c>
    </row>
    <row r="454">
      <c r="A454" s="7" t="s">
        <v>94</v>
      </c>
    </row>
    <row r="455">
      <c r="A455" s="7" t="s">
        <v>94</v>
      </c>
    </row>
    <row r="456">
      <c r="A456" s="7" t="s">
        <v>94</v>
      </c>
    </row>
    <row r="457">
      <c r="A457" s="7" t="s">
        <v>94</v>
      </c>
    </row>
    <row r="458">
      <c r="A458" s="7" t="s">
        <v>94</v>
      </c>
    </row>
    <row r="459">
      <c r="A459" s="15" t="s">
        <v>94</v>
      </c>
    </row>
    <row r="460">
      <c r="A460" s="1" t="s">
        <v>98</v>
      </c>
    </row>
    <row r="461">
      <c r="A461" s="3" t="s">
        <v>98</v>
      </c>
    </row>
    <row r="462">
      <c r="A462" s="3" t="s">
        <v>98</v>
      </c>
    </row>
    <row r="463">
      <c r="A463" s="7" t="s">
        <v>98</v>
      </c>
    </row>
    <row r="464">
      <c r="A464" s="7" t="s">
        <v>98</v>
      </c>
    </row>
    <row r="465">
      <c r="A465" s="7" t="s">
        <v>98</v>
      </c>
    </row>
    <row r="466">
      <c r="A466" s="7" t="s">
        <v>98</v>
      </c>
    </row>
    <row r="467">
      <c r="A467" s="7" t="s">
        <v>98</v>
      </c>
    </row>
    <row r="468">
      <c r="A468" s="15" t="s">
        <v>98</v>
      </c>
    </row>
    <row r="469">
      <c r="A469" s="129" t="s">
        <v>99</v>
      </c>
    </row>
    <row r="470">
      <c r="A470" s="7" t="s">
        <v>99</v>
      </c>
    </row>
    <row r="471">
      <c r="A471" s="7" t="s">
        <v>99</v>
      </c>
    </row>
    <row r="472">
      <c r="A472" s="7" t="s">
        <v>99</v>
      </c>
    </row>
    <row r="473">
      <c r="A473" s="7" t="s">
        <v>99</v>
      </c>
    </row>
    <row r="474">
      <c r="A474" s="7" t="s">
        <v>99</v>
      </c>
    </row>
    <row r="475">
      <c r="A475" s="7" t="s">
        <v>99</v>
      </c>
    </row>
    <row r="476">
      <c r="A476" s="7" t="s">
        <v>99</v>
      </c>
    </row>
    <row r="477">
      <c r="A477" s="128" t="s">
        <v>99</v>
      </c>
    </row>
    <row r="478">
      <c r="A478" s="129" t="s">
        <v>102</v>
      </c>
    </row>
    <row r="479">
      <c r="A479" s="7" t="s">
        <v>102</v>
      </c>
    </row>
    <row r="480">
      <c r="A480" s="7" t="s">
        <v>102</v>
      </c>
    </row>
    <row r="481">
      <c r="A481" s="7" t="s">
        <v>102</v>
      </c>
    </row>
    <row r="482">
      <c r="A482" s="7" t="s">
        <v>102</v>
      </c>
    </row>
    <row r="483">
      <c r="A483" s="7" t="s">
        <v>102</v>
      </c>
    </row>
    <row r="484">
      <c r="A484" s="7" t="s">
        <v>102</v>
      </c>
    </row>
    <row r="485">
      <c r="A485" s="7" t="s">
        <v>102</v>
      </c>
    </row>
    <row r="486">
      <c r="A486" s="128" t="s">
        <v>102</v>
      </c>
    </row>
    <row r="487">
      <c r="A487" s="7" t="s">
        <v>104</v>
      </c>
    </row>
    <row r="488">
      <c r="A488" s="7" t="s">
        <v>104</v>
      </c>
    </row>
    <row r="489">
      <c r="A489" s="7" t="s">
        <v>104</v>
      </c>
    </row>
    <row r="490">
      <c r="A490" s="7" t="s">
        <v>104</v>
      </c>
    </row>
    <row r="491">
      <c r="A491" s="7" t="s">
        <v>104</v>
      </c>
    </row>
    <row r="492">
      <c r="A492" s="7" t="s">
        <v>104</v>
      </c>
    </row>
    <row r="493">
      <c r="A493" s="7" t="s">
        <v>104</v>
      </c>
    </row>
    <row r="494">
      <c r="A494" s="7" t="s">
        <v>104</v>
      </c>
    </row>
    <row r="495">
      <c r="A495" s="128" t="s">
        <v>104</v>
      </c>
    </row>
    <row r="496">
      <c r="A496" s="7" t="s">
        <v>106</v>
      </c>
    </row>
    <row r="497">
      <c r="A497" s="7" t="s">
        <v>106</v>
      </c>
    </row>
    <row r="498">
      <c r="A498" s="7" t="s">
        <v>106</v>
      </c>
    </row>
    <row r="499">
      <c r="A499" s="7" t="s">
        <v>106</v>
      </c>
    </row>
    <row r="500">
      <c r="A500" s="7" t="s">
        <v>106</v>
      </c>
    </row>
    <row r="501">
      <c r="A501" s="7" t="s">
        <v>106</v>
      </c>
    </row>
    <row r="502">
      <c r="A502" s="7" t="s">
        <v>106</v>
      </c>
    </row>
    <row r="503">
      <c r="A503" s="7" t="s">
        <v>106</v>
      </c>
    </row>
    <row r="504">
      <c r="A504" s="128" t="s">
        <v>106</v>
      </c>
    </row>
    <row r="505">
      <c r="A505" s="1" t="s">
        <v>110</v>
      </c>
    </row>
    <row r="506">
      <c r="A506" s="3" t="s">
        <v>110</v>
      </c>
    </row>
    <row r="507">
      <c r="A507" s="3" t="s">
        <v>110</v>
      </c>
    </row>
    <row r="508">
      <c r="A508" s="7" t="s">
        <v>110</v>
      </c>
    </row>
    <row r="509">
      <c r="A509" s="7" t="s">
        <v>110</v>
      </c>
    </row>
    <row r="510">
      <c r="A510" s="7" t="s">
        <v>110</v>
      </c>
    </row>
    <row r="511">
      <c r="A511" s="7" t="s">
        <v>110</v>
      </c>
    </row>
    <row r="512">
      <c r="A512" s="7" t="s">
        <v>110</v>
      </c>
    </row>
    <row r="513">
      <c r="A513" s="15" t="s">
        <v>110</v>
      </c>
    </row>
    <row r="514">
      <c r="A514" s="1" t="s">
        <v>111</v>
      </c>
    </row>
    <row r="515">
      <c r="A515" s="3" t="s">
        <v>111</v>
      </c>
    </row>
    <row r="516">
      <c r="A516" s="3" t="s">
        <v>111</v>
      </c>
    </row>
    <row r="517">
      <c r="A517" s="7" t="s">
        <v>111</v>
      </c>
    </row>
    <row r="518">
      <c r="A518" s="7" t="s">
        <v>111</v>
      </c>
    </row>
    <row r="519">
      <c r="A519" s="7" t="s">
        <v>111</v>
      </c>
    </row>
    <row r="520">
      <c r="A520" s="7" t="s">
        <v>111</v>
      </c>
    </row>
    <row r="521">
      <c r="A521" s="7" t="s">
        <v>111</v>
      </c>
    </row>
    <row r="522">
      <c r="A522" s="15" t="s">
        <v>111</v>
      </c>
    </row>
    <row r="523">
      <c r="A523" s="1" t="s">
        <v>113</v>
      </c>
    </row>
    <row r="524">
      <c r="A524" s="3" t="s">
        <v>113</v>
      </c>
    </row>
    <row r="525">
      <c r="A525" s="3" t="s">
        <v>113</v>
      </c>
    </row>
    <row r="526">
      <c r="A526" s="7" t="s">
        <v>113</v>
      </c>
    </row>
    <row r="527">
      <c r="A527" s="7" t="s">
        <v>113</v>
      </c>
    </row>
    <row r="528">
      <c r="A528" s="7" t="s">
        <v>113</v>
      </c>
    </row>
    <row r="529">
      <c r="A529" s="7" t="s">
        <v>113</v>
      </c>
    </row>
    <row r="530">
      <c r="A530" s="7" t="s">
        <v>113</v>
      </c>
    </row>
    <row r="531">
      <c r="A531" s="15" t="s">
        <v>113</v>
      </c>
    </row>
    <row r="532">
      <c r="A532" s="1" t="s">
        <v>115</v>
      </c>
    </row>
    <row r="533">
      <c r="A533" s="3" t="s">
        <v>115</v>
      </c>
    </row>
    <row r="534">
      <c r="A534" s="3" t="s">
        <v>115</v>
      </c>
    </row>
    <row r="535">
      <c r="A535" s="7" t="s">
        <v>115</v>
      </c>
    </row>
    <row r="536">
      <c r="A536" s="7" t="s">
        <v>115</v>
      </c>
    </row>
    <row r="537">
      <c r="A537" s="7" t="s">
        <v>115</v>
      </c>
    </row>
    <row r="538">
      <c r="A538" s="7" t="s">
        <v>115</v>
      </c>
    </row>
    <row r="539">
      <c r="A539" s="7" t="s">
        <v>115</v>
      </c>
    </row>
    <row r="540">
      <c r="A540" s="15" t="s">
        <v>115</v>
      </c>
    </row>
    <row r="541">
      <c r="A541" s="1" t="s">
        <v>117</v>
      </c>
    </row>
    <row r="542">
      <c r="A542" s="3" t="s">
        <v>117</v>
      </c>
    </row>
    <row r="543">
      <c r="A543" s="3" t="s">
        <v>117</v>
      </c>
    </row>
    <row r="544">
      <c r="A544" s="7" t="s">
        <v>117</v>
      </c>
    </row>
    <row r="545">
      <c r="A545" s="7" t="s">
        <v>117</v>
      </c>
    </row>
    <row r="546">
      <c r="A546" s="7" t="s">
        <v>117</v>
      </c>
    </row>
    <row r="547">
      <c r="A547" s="7" t="s">
        <v>117</v>
      </c>
    </row>
    <row r="548">
      <c r="A548" s="7" t="s">
        <v>117</v>
      </c>
    </row>
    <row r="549">
      <c r="A549" s="15" t="s">
        <v>117</v>
      </c>
    </row>
    <row r="550">
      <c r="A550" s="1" t="s">
        <v>120</v>
      </c>
    </row>
    <row r="551">
      <c r="A551" s="3" t="s">
        <v>120</v>
      </c>
    </row>
    <row r="552">
      <c r="A552" s="3" t="s">
        <v>120</v>
      </c>
    </row>
    <row r="553">
      <c r="A553" s="7" t="s">
        <v>120</v>
      </c>
    </row>
    <row r="554">
      <c r="A554" s="7" t="s">
        <v>120</v>
      </c>
    </row>
    <row r="555">
      <c r="A555" s="7" t="s">
        <v>120</v>
      </c>
    </row>
    <row r="556">
      <c r="A556" s="7" t="s">
        <v>120</v>
      </c>
    </row>
    <row r="557">
      <c r="A557" s="7" t="s">
        <v>120</v>
      </c>
    </row>
    <row r="558">
      <c r="A558" s="15" t="s">
        <v>120</v>
      </c>
    </row>
    <row r="559">
      <c r="A559" s="1" t="s">
        <v>123</v>
      </c>
    </row>
    <row r="560">
      <c r="A560" s="3" t="s">
        <v>123</v>
      </c>
    </row>
    <row r="561">
      <c r="A561" s="3" t="s">
        <v>123</v>
      </c>
    </row>
    <row r="562">
      <c r="A562" s="7" t="s">
        <v>123</v>
      </c>
    </row>
    <row r="563">
      <c r="A563" s="7" t="s">
        <v>123</v>
      </c>
    </row>
    <row r="564">
      <c r="A564" s="7" t="s">
        <v>123</v>
      </c>
    </row>
    <row r="565">
      <c r="A565" s="7" t="s">
        <v>123</v>
      </c>
    </row>
    <row r="566">
      <c r="A566" s="7" t="s">
        <v>123</v>
      </c>
    </row>
    <row r="567">
      <c r="A567" s="15" t="s">
        <v>123</v>
      </c>
    </row>
    <row r="568">
      <c r="A568" s="1" t="s">
        <v>125</v>
      </c>
    </row>
    <row r="569">
      <c r="A569" s="3" t="s">
        <v>125</v>
      </c>
    </row>
    <row r="570">
      <c r="A570" s="3" t="s">
        <v>125</v>
      </c>
    </row>
    <row r="571">
      <c r="A571" s="7" t="s">
        <v>125</v>
      </c>
    </row>
    <row r="572">
      <c r="A572" s="7" t="s">
        <v>125</v>
      </c>
    </row>
    <row r="573">
      <c r="A573" s="7" t="s">
        <v>125</v>
      </c>
    </row>
    <row r="574">
      <c r="A574" s="7" t="s">
        <v>125</v>
      </c>
    </row>
    <row r="575">
      <c r="A575" s="7" t="s">
        <v>125</v>
      </c>
    </row>
    <row r="576">
      <c r="A576" s="15" t="s">
        <v>125</v>
      </c>
    </row>
    <row r="577">
      <c r="A577" s="1" t="s">
        <v>126</v>
      </c>
    </row>
    <row r="578">
      <c r="A578" s="3" t="s">
        <v>126</v>
      </c>
    </row>
    <row r="579">
      <c r="A579" s="3" t="s">
        <v>126</v>
      </c>
    </row>
    <row r="580">
      <c r="A580" s="7" t="s">
        <v>126</v>
      </c>
    </row>
    <row r="581">
      <c r="A581" s="7" t="s">
        <v>126</v>
      </c>
    </row>
    <row r="582">
      <c r="A582" s="7" t="s">
        <v>126</v>
      </c>
    </row>
    <row r="583">
      <c r="A583" s="7" t="s">
        <v>126</v>
      </c>
    </row>
    <row r="584">
      <c r="A584" s="7" t="s">
        <v>126</v>
      </c>
    </row>
    <row r="585">
      <c r="A585" s="15" t="s">
        <v>126</v>
      </c>
    </row>
    <row r="586">
      <c r="A586" s="1" t="s">
        <v>127</v>
      </c>
    </row>
    <row r="587">
      <c r="A587" s="3" t="s">
        <v>127</v>
      </c>
    </row>
    <row r="588">
      <c r="A588" s="3" t="s">
        <v>127</v>
      </c>
    </row>
    <row r="589">
      <c r="A589" s="7" t="s">
        <v>127</v>
      </c>
    </row>
    <row r="590">
      <c r="A590" s="7" t="s">
        <v>127</v>
      </c>
    </row>
    <row r="591">
      <c r="A591" s="7" t="s">
        <v>127</v>
      </c>
    </row>
    <row r="592">
      <c r="A592" s="7" t="s">
        <v>127</v>
      </c>
    </row>
    <row r="593">
      <c r="A593" s="7" t="s">
        <v>127</v>
      </c>
    </row>
    <row r="594">
      <c r="A594" s="15" t="s">
        <v>127</v>
      </c>
    </row>
    <row r="595">
      <c r="A595" s="1" t="s">
        <v>128</v>
      </c>
    </row>
    <row r="596">
      <c r="A596" s="3" t="s">
        <v>128</v>
      </c>
    </row>
    <row r="597">
      <c r="A597" s="3" t="s">
        <v>128</v>
      </c>
    </row>
    <row r="598">
      <c r="A598" s="7" t="s">
        <v>128</v>
      </c>
    </row>
    <row r="599">
      <c r="A599" s="7" t="s">
        <v>128</v>
      </c>
    </row>
    <row r="600">
      <c r="A600" s="7" t="s">
        <v>128</v>
      </c>
    </row>
    <row r="601">
      <c r="A601" s="7" t="s">
        <v>128</v>
      </c>
    </row>
    <row r="602">
      <c r="A602" s="7" t="s">
        <v>128</v>
      </c>
    </row>
    <row r="603">
      <c r="A603" s="15" t="s">
        <v>128</v>
      </c>
    </row>
    <row r="604">
      <c r="A604" s="1" t="s">
        <v>129</v>
      </c>
    </row>
    <row r="605">
      <c r="A605" s="3" t="s">
        <v>129</v>
      </c>
    </row>
    <row r="606">
      <c r="A606" s="3" t="s">
        <v>129</v>
      </c>
    </row>
    <row r="607">
      <c r="A607" s="7" t="s">
        <v>129</v>
      </c>
    </row>
    <row r="608">
      <c r="A608" s="7" t="s">
        <v>129</v>
      </c>
    </row>
    <row r="609">
      <c r="A609" s="7" t="s">
        <v>129</v>
      </c>
    </row>
    <row r="610">
      <c r="A610" s="7" t="s">
        <v>129</v>
      </c>
    </row>
    <row r="611">
      <c r="A611" s="7" t="s">
        <v>129</v>
      </c>
    </row>
    <row r="612">
      <c r="A612" s="15" t="s">
        <v>129</v>
      </c>
    </row>
    <row r="613">
      <c r="A613" s="1" t="s">
        <v>130</v>
      </c>
    </row>
    <row r="614">
      <c r="A614" s="3" t="s">
        <v>130</v>
      </c>
    </row>
    <row r="615">
      <c r="A615" s="3" t="s">
        <v>130</v>
      </c>
    </row>
    <row r="616">
      <c r="A616" s="7" t="s">
        <v>130</v>
      </c>
    </row>
    <row r="617">
      <c r="A617" s="7" t="s">
        <v>130</v>
      </c>
    </row>
    <row r="618">
      <c r="A618" s="7" t="s">
        <v>130</v>
      </c>
    </row>
    <row r="619">
      <c r="A619" s="7" t="s">
        <v>130</v>
      </c>
    </row>
    <row r="620">
      <c r="A620" s="7" t="s">
        <v>130</v>
      </c>
    </row>
    <row r="621">
      <c r="A621" s="15" t="s">
        <v>130</v>
      </c>
    </row>
    <row r="622">
      <c r="A622" s="1" t="s">
        <v>131</v>
      </c>
    </row>
    <row r="623">
      <c r="A623" s="3" t="s">
        <v>131</v>
      </c>
    </row>
    <row r="624">
      <c r="A624" s="3" t="s">
        <v>131</v>
      </c>
    </row>
    <row r="625">
      <c r="A625" s="7" t="s">
        <v>131</v>
      </c>
    </row>
    <row r="626">
      <c r="A626" s="7" t="s">
        <v>131</v>
      </c>
    </row>
    <row r="627">
      <c r="A627" s="7" t="s">
        <v>131</v>
      </c>
    </row>
    <row r="628">
      <c r="A628" s="7" t="s">
        <v>131</v>
      </c>
    </row>
    <row r="629">
      <c r="A629" s="7" t="s">
        <v>131</v>
      </c>
    </row>
    <row r="630">
      <c r="A630" s="15" t="s">
        <v>131</v>
      </c>
    </row>
    <row r="631">
      <c r="A631" s="1" t="s">
        <v>132</v>
      </c>
    </row>
    <row r="632">
      <c r="A632" s="3" t="s">
        <v>132</v>
      </c>
    </row>
    <row r="633">
      <c r="A633" s="3" t="s">
        <v>132</v>
      </c>
    </row>
    <row r="634">
      <c r="A634" s="7" t="s">
        <v>132</v>
      </c>
    </row>
    <row r="635">
      <c r="A635" s="7" t="s">
        <v>132</v>
      </c>
    </row>
    <row r="636">
      <c r="A636" s="7" t="s">
        <v>132</v>
      </c>
    </row>
    <row r="637">
      <c r="A637" s="7" t="s">
        <v>132</v>
      </c>
    </row>
    <row r="638">
      <c r="A638" s="7" t="s">
        <v>132</v>
      </c>
    </row>
    <row r="639">
      <c r="A639" s="15" t="s">
        <v>132</v>
      </c>
    </row>
    <row r="640">
      <c r="A640" s="1" t="s">
        <v>133</v>
      </c>
    </row>
    <row r="641">
      <c r="A641" s="3" t="s">
        <v>133</v>
      </c>
    </row>
    <row r="642">
      <c r="A642" s="3" t="s">
        <v>133</v>
      </c>
    </row>
    <row r="643">
      <c r="A643" s="7" t="s">
        <v>133</v>
      </c>
    </row>
    <row r="644">
      <c r="A644" s="7" t="s">
        <v>133</v>
      </c>
    </row>
    <row r="645">
      <c r="A645" s="7" t="s">
        <v>133</v>
      </c>
    </row>
    <row r="646">
      <c r="A646" s="7" t="s">
        <v>133</v>
      </c>
    </row>
    <row r="647">
      <c r="A647" s="7" t="s">
        <v>133</v>
      </c>
    </row>
    <row r="648">
      <c r="A648" s="15" t="s">
        <v>133</v>
      </c>
    </row>
    <row r="649">
      <c r="A649" s="1" t="s">
        <v>134</v>
      </c>
    </row>
    <row r="650">
      <c r="A650" s="3" t="s">
        <v>134</v>
      </c>
    </row>
    <row r="651">
      <c r="A651" s="3" t="s">
        <v>134</v>
      </c>
    </row>
    <row r="652">
      <c r="A652" s="7" t="s">
        <v>134</v>
      </c>
    </row>
    <row r="653">
      <c r="A653" s="7" t="s">
        <v>134</v>
      </c>
    </row>
    <row r="654">
      <c r="A654" s="7" t="s">
        <v>134</v>
      </c>
    </row>
    <row r="655">
      <c r="A655" s="7" t="s">
        <v>134</v>
      </c>
    </row>
    <row r="656">
      <c r="A656" s="7" t="s">
        <v>134</v>
      </c>
    </row>
    <row r="657">
      <c r="A657" s="15" t="s">
        <v>134</v>
      </c>
    </row>
    <row r="658">
      <c r="A658" s="1" t="s">
        <v>136</v>
      </c>
    </row>
    <row r="659">
      <c r="A659" s="3" t="s">
        <v>136</v>
      </c>
    </row>
    <row r="660">
      <c r="A660" s="3" t="s">
        <v>136</v>
      </c>
    </row>
    <row r="661">
      <c r="A661" s="7" t="s">
        <v>136</v>
      </c>
    </row>
    <row r="662">
      <c r="A662" s="7" t="s">
        <v>136</v>
      </c>
    </row>
    <row r="663">
      <c r="A663" s="7" t="s">
        <v>136</v>
      </c>
    </row>
    <row r="664">
      <c r="A664" s="7" t="s">
        <v>136</v>
      </c>
    </row>
    <row r="665">
      <c r="A665" s="7" t="s">
        <v>136</v>
      </c>
    </row>
    <row r="666">
      <c r="A666" s="15" t="s">
        <v>136</v>
      </c>
    </row>
    <row r="667">
      <c r="A667" s="1" t="s">
        <v>138</v>
      </c>
    </row>
    <row r="668">
      <c r="A668" s="3" t="s">
        <v>138</v>
      </c>
    </row>
    <row r="669">
      <c r="A669" s="3" t="s">
        <v>138</v>
      </c>
    </row>
    <row r="670">
      <c r="A670" s="7" t="s">
        <v>138</v>
      </c>
    </row>
    <row r="671">
      <c r="A671" s="7" t="s">
        <v>138</v>
      </c>
    </row>
    <row r="672">
      <c r="A672" s="7" t="s">
        <v>138</v>
      </c>
    </row>
    <row r="673">
      <c r="A673" s="7" t="s">
        <v>138</v>
      </c>
    </row>
    <row r="674">
      <c r="A674" s="7" t="s">
        <v>138</v>
      </c>
    </row>
    <row r="675">
      <c r="A675" s="15" t="s">
        <v>138</v>
      </c>
    </row>
    <row r="676">
      <c r="A676" s="1" t="s">
        <v>139</v>
      </c>
    </row>
    <row r="677">
      <c r="A677" s="3" t="s">
        <v>139</v>
      </c>
    </row>
    <row r="678">
      <c r="A678" s="3" t="s">
        <v>139</v>
      </c>
    </row>
    <row r="679">
      <c r="A679" s="7" t="s">
        <v>139</v>
      </c>
    </row>
    <row r="680">
      <c r="A680" s="7" t="s">
        <v>139</v>
      </c>
    </row>
    <row r="681">
      <c r="A681" s="7" t="s">
        <v>139</v>
      </c>
    </row>
    <row r="682">
      <c r="A682" s="7" t="s">
        <v>139</v>
      </c>
    </row>
    <row r="683">
      <c r="A683" s="7" t="s">
        <v>139</v>
      </c>
    </row>
    <row r="684">
      <c r="A684" s="15" t="s">
        <v>139</v>
      </c>
    </row>
    <row r="685">
      <c r="A685" s="129" t="s">
        <v>140</v>
      </c>
    </row>
    <row r="686">
      <c r="A686" s="7" t="s">
        <v>140</v>
      </c>
    </row>
    <row r="687">
      <c r="A687" s="7" t="s">
        <v>140</v>
      </c>
    </row>
    <row r="688">
      <c r="A688" s="7" t="s">
        <v>140</v>
      </c>
    </row>
    <row r="689">
      <c r="A689" s="7" t="s">
        <v>140</v>
      </c>
    </row>
    <row r="690">
      <c r="A690" s="7" t="s">
        <v>140</v>
      </c>
    </row>
    <row r="691">
      <c r="A691" s="7" t="s">
        <v>140</v>
      </c>
    </row>
    <row r="692">
      <c r="A692" s="7" t="s">
        <v>140</v>
      </c>
    </row>
    <row r="693">
      <c r="A693" s="7" t="s">
        <v>140</v>
      </c>
    </row>
    <row r="694">
      <c r="A694" s="129" t="s">
        <v>141</v>
      </c>
    </row>
    <row r="695">
      <c r="A695" s="7" t="s">
        <v>141</v>
      </c>
    </row>
    <row r="696">
      <c r="A696" s="7" t="s">
        <v>141</v>
      </c>
    </row>
    <row r="697">
      <c r="A697" s="7" t="s">
        <v>141</v>
      </c>
    </row>
    <row r="698">
      <c r="A698" s="7" t="s">
        <v>141</v>
      </c>
    </row>
    <row r="699">
      <c r="A699" s="7" t="s">
        <v>141</v>
      </c>
    </row>
    <row r="700">
      <c r="A700" s="7" t="s">
        <v>141</v>
      </c>
    </row>
    <row r="701">
      <c r="A701" s="7" t="s">
        <v>141</v>
      </c>
    </row>
    <row r="702">
      <c r="A702" s="7" t="s">
        <v>141</v>
      </c>
    </row>
    <row r="703">
      <c r="A703" s="129" t="s">
        <v>142</v>
      </c>
    </row>
    <row r="704">
      <c r="A704" s="7" t="s">
        <v>142</v>
      </c>
    </row>
    <row r="705">
      <c r="A705" s="7" t="s">
        <v>142</v>
      </c>
    </row>
    <row r="706">
      <c r="A706" s="7" t="s">
        <v>142</v>
      </c>
    </row>
    <row r="707">
      <c r="A707" s="7" t="s">
        <v>142</v>
      </c>
    </row>
    <row r="708">
      <c r="A708" s="7" t="s">
        <v>142</v>
      </c>
    </row>
    <row r="709">
      <c r="A709" s="7" t="s">
        <v>142</v>
      </c>
    </row>
    <row r="710">
      <c r="A710" s="7" t="s">
        <v>142</v>
      </c>
    </row>
    <row r="711">
      <c r="A711" s="7" t="s">
        <v>142</v>
      </c>
    </row>
    <row r="712">
      <c r="A712" s="129" t="s">
        <v>143</v>
      </c>
    </row>
    <row r="713">
      <c r="A713" s="7" t="s">
        <v>143</v>
      </c>
    </row>
    <row r="714">
      <c r="A714" s="7" t="s">
        <v>143</v>
      </c>
    </row>
    <row r="715">
      <c r="A715" s="7" t="s">
        <v>143</v>
      </c>
    </row>
    <row r="716">
      <c r="A716" s="7" t="s">
        <v>143</v>
      </c>
    </row>
    <row r="717">
      <c r="A717" s="7" t="s">
        <v>143</v>
      </c>
    </row>
    <row r="718">
      <c r="A718" s="7" t="s">
        <v>143</v>
      </c>
    </row>
    <row r="719">
      <c r="A719" s="7" t="s">
        <v>143</v>
      </c>
    </row>
    <row r="720">
      <c r="A720" s="7" t="s">
        <v>143</v>
      </c>
    </row>
    <row r="721">
      <c r="A721" s="129" t="s">
        <v>144</v>
      </c>
    </row>
    <row r="722">
      <c r="A722" s="7" t="s">
        <v>144</v>
      </c>
    </row>
    <row r="723">
      <c r="A723" s="7" t="s">
        <v>144</v>
      </c>
    </row>
    <row r="724">
      <c r="A724" s="7" t="s">
        <v>144</v>
      </c>
    </row>
    <row r="725">
      <c r="A725" s="7" t="s">
        <v>144</v>
      </c>
    </row>
    <row r="726">
      <c r="A726" s="7" t="s">
        <v>144</v>
      </c>
    </row>
    <row r="727">
      <c r="A727" s="7" t="s">
        <v>144</v>
      </c>
    </row>
    <row r="728">
      <c r="A728" s="7" t="s">
        <v>144</v>
      </c>
    </row>
    <row r="729">
      <c r="A729" s="128" t="s">
        <v>144</v>
      </c>
    </row>
    <row r="730">
      <c r="A730" s="7" t="s">
        <v>145</v>
      </c>
    </row>
    <row r="731">
      <c r="A731" s="7" t="s">
        <v>145</v>
      </c>
    </row>
    <row r="732">
      <c r="A732" s="7" t="s">
        <v>145</v>
      </c>
    </row>
    <row r="733">
      <c r="A733" s="7" t="s">
        <v>145</v>
      </c>
    </row>
    <row r="734">
      <c r="A734" s="7" t="s">
        <v>145</v>
      </c>
    </row>
    <row r="735">
      <c r="A735" s="7" t="s">
        <v>145</v>
      </c>
    </row>
    <row r="736">
      <c r="A736" s="7" t="s">
        <v>145</v>
      </c>
    </row>
    <row r="737">
      <c r="A737" s="7" t="s">
        <v>145</v>
      </c>
    </row>
    <row r="738">
      <c r="A738" s="7" t="s">
        <v>145</v>
      </c>
    </row>
    <row r="739">
      <c r="A739" s="1" t="s">
        <v>146</v>
      </c>
    </row>
    <row r="740">
      <c r="A740" s="3" t="s">
        <v>146</v>
      </c>
    </row>
    <row r="741">
      <c r="A741" s="3" t="s">
        <v>146</v>
      </c>
    </row>
    <row r="742">
      <c r="A742" s="7" t="s">
        <v>146</v>
      </c>
    </row>
    <row r="743">
      <c r="A743" s="7" t="s">
        <v>146</v>
      </c>
    </row>
    <row r="744">
      <c r="A744" s="7" t="s">
        <v>146</v>
      </c>
    </row>
    <row r="745">
      <c r="A745" s="7" t="s">
        <v>146</v>
      </c>
    </row>
    <row r="746">
      <c r="A746" s="7" t="s">
        <v>146</v>
      </c>
    </row>
    <row r="747">
      <c r="A747" s="15" t="s">
        <v>146</v>
      </c>
    </row>
    <row r="748">
      <c r="A748" s="1" t="s">
        <v>147</v>
      </c>
    </row>
    <row r="749">
      <c r="A749" s="3" t="s">
        <v>147</v>
      </c>
    </row>
    <row r="750">
      <c r="A750" s="3" t="s">
        <v>147</v>
      </c>
    </row>
    <row r="751">
      <c r="A751" s="7" t="s">
        <v>147</v>
      </c>
    </row>
    <row r="752">
      <c r="A752" s="7" t="s">
        <v>147</v>
      </c>
    </row>
    <row r="753">
      <c r="A753" s="7" t="s">
        <v>147</v>
      </c>
    </row>
    <row r="754">
      <c r="A754" s="7" t="s">
        <v>147</v>
      </c>
    </row>
    <row r="755">
      <c r="A755" s="7" t="s">
        <v>147</v>
      </c>
    </row>
    <row r="756">
      <c r="A756" s="15" t="s">
        <v>147</v>
      </c>
    </row>
    <row r="757">
      <c r="A757" s="1" t="s">
        <v>148</v>
      </c>
    </row>
    <row r="758">
      <c r="A758" s="3" t="s">
        <v>148</v>
      </c>
    </row>
    <row r="759">
      <c r="A759" s="3" t="s">
        <v>148</v>
      </c>
    </row>
    <row r="760">
      <c r="A760" s="7" t="s">
        <v>148</v>
      </c>
    </row>
    <row r="761">
      <c r="A761" s="7" t="s">
        <v>148</v>
      </c>
    </row>
    <row r="762">
      <c r="A762" s="7" t="s">
        <v>148</v>
      </c>
    </row>
    <row r="763">
      <c r="A763" s="7" t="s">
        <v>148</v>
      </c>
    </row>
    <row r="764">
      <c r="A764" s="7" t="s">
        <v>148</v>
      </c>
    </row>
    <row r="765">
      <c r="A765" s="15" t="s">
        <v>148</v>
      </c>
    </row>
    <row r="766">
      <c r="A766" s="7" t="s">
        <v>149</v>
      </c>
    </row>
    <row r="767">
      <c r="A767" s="7" t="s">
        <v>149</v>
      </c>
    </row>
    <row r="768">
      <c r="A768" s="7" t="s">
        <v>149</v>
      </c>
    </row>
    <row r="769">
      <c r="A769" s="7" t="s">
        <v>149</v>
      </c>
    </row>
    <row r="770">
      <c r="A770" s="7" t="s">
        <v>149</v>
      </c>
    </row>
    <row r="771">
      <c r="A771" s="7" t="s">
        <v>149</v>
      </c>
    </row>
    <row r="772">
      <c r="A772" s="7" t="s">
        <v>149</v>
      </c>
    </row>
    <row r="773">
      <c r="A773" s="7" t="s">
        <v>149</v>
      </c>
    </row>
    <row r="774">
      <c r="A774" s="7" t="s">
        <v>149</v>
      </c>
    </row>
    <row r="775">
      <c r="A775" s="1" t="s">
        <v>150</v>
      </c>
    </row>
    <row r="776">
      <c r="A776" s="3" t="s">
        <v>150</v>
      </c>
    </row>
    <row r="777">
      <c r="A777" s="3" t="s">
        <v>150</v>
      </c>
    </row>
    <row r="778">
      <c r="A778" s="7" t="s">
        <v>150</v>
      </c>
    </row>
    <row r="779">
      <c r="A779" s="7" t="s">
        <v>150</v>
      </c>
    </row>
    <row r="780">
      <c r="A780" s="7" t="s">
        <v>150</v>
      </c>
    </row>
    <row r="781">
      <c r="A781" s="7" t="s">
        <v>150</v>
      </c>
    </row>
    <row r="782">
      <c r="A782" s="7" t="s">
        <v>150</v>
      </c>
    </row>
    <row r="783">
      <c r="A783" s="15" t="s">
        <v>150</v>
      </c>
    </row>
    <row r="784">
      <c r="A784" s="1" t="s">
        <v>151</v>
      </c>
    </row>
    <row r="785">
      <c r="A785" s="3" t="s">
        <v>151</v>
      </c>
    </row>
    <row r="786">
      <c r="A786" s="3" t="s">
        <v>151</v>
      </c>
    </row>
    <row r="787">
      <c r="A787" s="7" t="s">
        <v>151</v>
      </c>
    </row>
    <row r="788">
      <c r="A788" s="7" t="s">
        <v>151</v>
      </c>
    </row>
    <row r="789">
      <c r="A789" s="7" t="s">
        <v>151</v>
      </c>
    </row>
    <row r="790">
      <c r="A790" s="7" t="s">
        <v>151</v>
      </c>
    </row>
    <row r="791">
      <c r="A791" s="7" t="s">
        <v>151</v>
      </c>
    </row>
    <row r="792">
      <c r="A792" s="15" t="s">
        <v>151</v>
      </c>
    </row>
    <row r="793">
      <c r="A793" s="1" t="s">
        <v>152</v>
      </c>
    </row>
    <row r="794">
      <c r="A794" s="3" t="s">
        <v>152</v>
      </c>
    </row>
    <row r="795">
      <c r="A795" s="3" t="s">
        <v>152</v>
      </c>
    </row>
    <row r="796">
      <c r="A796" s="7" t="s">
        <v>152</v>
      </c>
    </row>
    <row r="797">
      <c r="A797" s="7" t="s">
        <v>152</v>
      </c>
    </row>
    <row r="798">
      <c r="A798" s="7" t="s">
        <v>152</v>
      </c>
    </row>
    <row r="799">
      <c r="A799" s="7" t="s">
        <v>152</v>
      </c>
    </row>
    <row r="800">
      <c r="A800" s="7" t="s">
        <v>152</v>
      </c>
    </row>
    <row r="801">
      <c r="A801" s="15" t="s">
        <v>152</v>
      </c>
    </row>
    <row r="802">
      <c r="A802" s="1" t="s">
        <v>153</v>
      </c>
    </row>
    <row r="803">
      <c r="A803" s="3" t="s">
        <v>153</v>
      </c>
    </row>
    <row r="804">
      <c r="A804" s="3" t="s">
        <v>153</v>
      </c>
    </row>
    <row r="805">
      <c r="A805" s="7" t="s">
        <v>153</v>
      </c>
    </row>
    <row r="806">
      <c r="A806" s="7" t="s">
        <v>153</v>
      </c>
    </row>
    <row r="807">
      <c r="A807" s="7" t="s">
        <v>153</v>
      </c>
    </row>
    <row r="808">
      <c r="A808" s="7" t="s">
        <v>153</v>
      </c>
    </row>
    <row r="809">
      <c r="A809" s="7" t="s">
        <v>153</v>
      </c>
    </row>
    <row r="810">
      <c r="A810" s="15" t="s">
        <v>153</v>
      </c>
    </row>
    <row r="811">
      <c r="A811" s="129" t="s">
        <v>154</v>
      </c>
    </row>
    <row r="812">
      <c r="A812" s="7" t="s">
        <v>154</v>
      </c>
    </row>
    <row r="813">
      <c r="A813" s="7" t="s">
        <v>154</v>
      </c>
    </row>
    <row r="814">
      <c r="A814" s="7" t="s">
        <v>154</v>
      </c>
    </row>
    <row r="815">
      <c r="A815" s="7" t="s">
        <v>154</v>
      </c>
    </row>
    <row r="816">
      <c r="A816" s="7" t="s">
        <v>154</v>
      </c>
    </row>
    <row r="817">
      <c r="A817" s="7" t="s">
        <v>154</v>
      </c>
    </row>
    <row r="818">
      <c r="A818" s="7" t="s">
        <v>154</v>
      </c>
    </row>
    <row r="819">
      <c r="A819" s="128" t="s">
        <v>154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9.0"/>
    <col customWidth="1" min="3" max="3" width="14.14"/>
    <col customWidth="1" min="5" max="5" width="15.43"/>
  </cols>
  <sheetData>
    <row r="1">
      <c r="A1" s="4" t="s">
        <v>1</v>
      </c>
      <c r="B1" s="6"/>
      <c r="C1" s="4"/>
      <c r="E1" s="10" t="s">
        <v>7</v>
      </c>
      <c r="G1" s="10">
        <f>sum(F3:F1001)</f>
        <v>3532</v>
      </c>
      <c r="I1" s="26" t="str">
        <f t="array" ref="I1">IF(OR(G1&lt;&gt;SUM(INDIRECT("Calculation!G3:O")), G1&lt;&gt;Boxes!C52), "Error", "")</f>
        <v>Error</v>
      </c>
      <c r="K1" s="28" t="s">
        <v>37</v>
      </c>
      <c r="L1" s="31" t="str">
        <f>IF(MONTH(DATEVALUE(K1&amp;" 1"))&lt;&gt;MONTH(TODAY()), "Change Url Stock Manager", "")</f>
        <v>Change Url Stock Manager</v>
      </c>
      <c r="M1" s="32" t="s">
        <v>45</v>
      </c>
      <c r="N1" s="34" t="s">
        <v>48</v>
      </c>
      <c r="O1" s="35"/>
      <c r="P1" s="35"/>
      <c r="Q1" s="36"/>
    </row>
    <row r="2">
      <c r="A2" s="4" t="s">
        <v>57</v>
      </c>
      <c r="B2" s="6" t="s">
        <v>59</v>
      </c>
      <c r="C2" s="4" t="s">
        <v>60</v>
      </c>
      <c r="E2" s="39" t="s">
        <v>57</v>
      </c>
      <c r="F2" s="39" t="s">
        <v>60</v>
      </c>
      <c r="G2" s="39" t="s">
        <v>65</v>
      </c>
      <c r="H2" s="39" t="s">
        <v>66</v>
      </c>
      <c r="K2" s="2" t="str">
        <f>IFERROR(__xludf.DUMMYFUNCTION("IMPORTRANGE(N1,""Monthly Avg.!A1:T200"")"),"")</f>
        <v/>
      </c>
      <c r="L2" s="2"/>
      <c r="M2" s="2"/>
      <c r="N2" s="2" t="str">
        <f>IFERROR(__xludf.DUMMYFUNCTION("""COMPUTED_VALUE"""),"CRASOME (Sep '25)")</f>
        <v>CRASOME (Sep '25)</v>
      </c>
      <c r="O2" s="2"/>
      <c r="P2" s="2"/>
      <c r="Q2" s="2"/>
      <c r="R2" s="2"/>
      <c r="S2" s="2"/>
      <c r="T2" s="2"/>
      <c r="U2" s="2"/>
      <c r="V2" s="2"/>
      <c r="W2" s="2"/>
      <c r="X2" s="2" t="str">
        <f>IFERROR(__xludf.DUMMYFUNCTION("""COMPUTED_VALUE"""),"Total Debit of current month")</f>
        <v>Total Debit of current month</v>
      </c>
      <c r="Y2" s="2" t="str">
        <f>IFERROR(__xludf.DUMMYFUNCTION("""COMPUTED_VALUE"""),"Aug '25
Closing Balance")</f>
        <v>Aug '25
Closing Balance</v>
      </c>
      <c r="Z2" s="2"/>
      <c r="AA2" s="2"/>
      <c r="AB2" s="2"/>
      <c r="AC2" s="2"/>
      <c r="AD2" s="2"/>
    </row>
    <row r="3">
      <c r="A3" s="51" t="s">
        <v>84</v>
      </c>
      <c r="C3" s="26">
        <f>sum(Calculation!$H$4:$H1001)</f>
        <v>0</v>
      </c>
      <c r="E3" s="2" t="str">
        <f>IFERROR(__xludf.DUMMYFUNCTION("UNIQUE(FILTER(A3:A1001, C3:C1001 &lt;&gt; 0))"),"APR- Dark Blue")</f>
        <v>APR- Dark Blue</v>
      </c>
      <c r="F3" s="26">
        <f t="shared" ref="F3:F69" si="1">SUMIF(A:A,E3,C:C)</f>
        <v>122</v>
      </c>
      <c r="G3" s="26">
        <f t="shared" ref="G3:G1001" si="2">XLOOKUP(E3,K:K,Q:Q)</f>
        <v>1766</v>
      </c>
      <c r="H3" s="26">
        <f t="shared" ref="H3:H1001" si="3">G3-F3</f>
        <v>1644</v>
      </c>
      <c r="K3" s="2" t="str">
        <f>IFERROR(__xludf.DUMMYFUNCTION("""COMPUTED_VALUE"""),"Model")</f>
        <v>Model</v>
      </c>
      <c r="L3" s="2"/>
      <c r="M3" s="2" t="str">
        <f>IFERROR(__xludf.DUMMYFUNCTION("""COMPUTED_VALUE"""),"Category")</f>
        <v>Category</v>
      </c>
      <c r="N3" s="2" t="str">
        <f>IFERROR(__xludf.DUMMYFUNCTION("""COMPUTED_VALUE"""),"Owner")</f>
        <v>Owner</v>
      </c>
      <c r="O3" s="2" t="str">
        <f>IFERROR(__xludf.DUMMYFUNCTION("""COMPUTED_VALUE"""),"Req.Stock")</f>
        <v>Req.Stock</v>
      </c>
      <c r="P3" s="2" t="str">
        <f>IFERROR(__xludf.DUMMYFUNCTION("""COMPUTED_VALUE"""),"Avg.")</f>
        <v>Avg.</v>
      </c>
      <c r="Q3" s="2" t="str">
        <f>IFERROR(__xludf.DUMMYFUNCTION("""COMPUTED_VALUE"""),"Balance")</f>
        <v>Balance</v>
      </c>
      <c r="R3" s="2" t="str">
        <f>IFERROR(__xludf.DUMMYFUNCTION("""COMPUTED_VALUE"""),"Total Month")</f>
        <v>Total Month</v>
      </c>
      <c r="S3" s="2" t="str">
        <f>IFERROR(__xludf.DUMMYFUNCTION("""COMPUTED_VALUE"""),"Apr")</f>
        <v>Apr</v>
      </c>
      <c r="T3" s="2" t="str">
        <f>IFERROR(__xludf.DUMMYFUNCTION("""COMPUTED_VALUE"""),"May")</f>
        <v>May</v>
      </c>
      <c r="U3" s="2" t="str">
        <f>IFERROR(__xludf.DUMMYFUNCTION("""COMPUTED_VALUE"""),"June")</f>
        <v>June</v>
      </c>
      <c r="V3" s="2" t="str">
        <f>IFERROR(__xludf.DUMMYFUNCTION("""COMPUTED_VALUE"""),"July")</f>
        <v>July</v>
      </c>
      <c r="W3" s="2" t="str">
        <f>IFERROR(__xludf.DUMMYFUNCTION("""COMPUTED_VALUE"""),"Aug")</f>
        <v>Aug</v>
      </c>
      <c r="X3" s="2"/>
      <c r="Y3" s="2" t="str">
        <f>IFERROR(__xludf.DUMMYFUNCTION("""COMPUTED_VALUE"""),"Balance")</f>
        <v>Balance</v>
      </c>
      <c r="Z3" s="2"/>
      <c r="AA3" s="2"/>
      <c r="AB3" s="2" t="str">
        <f>IFERROR(__xludf.DUMMYFUNCTION("""COMPUTED_VALUE"""),"Monthly Avg. Multipler (Advance Stock)")</f>
        <v>Monthly Avg. Multipler (Advance Stock)</v>
      </c>
      <c r="AC3" s="2"/>
      <c r="AD3" s="2"/>
    </row>
    <row r="4">
      <c r="A4" s="51" t="s">
        <v>87</v>
      </c>
      <c r="C4" s="26">
        <f>sum(Calculation!$I$4:$I1001)</f>
        <v>122</v>
      </c>
      <c r="E4" s="2" t="str">
        <f>IFERROR(__xludf.DUMMYFUNCTION("""COMPUTED_VALUE"""),"APR- Brown")</f>
        <v>APR- Brown</v>
      </c>
      <c r="F4" s="26">
        <f t="shared" si="1"/>
        <v>102</v>
      </c>
      <c r="G4" s="26">
        <f t="shared" si="2"/>
        <v>1363</v>
      </c>
      <c r="H4" s="26">
        <f t="shared" si="3"/>
        <v>1261</v>
      </c>
      <c r="K4" s="2" t="str">
        <f>IFERROR(__xludf.DUMMYFUNCTION("""COMPUTED_VALUE"""),"Ultra")</f>
        <v>Ultra</v>
      </c>
      <c r="L4" s="2"/>
      <c r="M4" s="2" t="str">
        <f>IFERROR(__xludf.DUMMYFUNCTION("""COMPUTED_VALUE"""),"Printer")</f>
        <v>Printer</v>
      </c>
      <c r="N4" s="2" t="str">
        <f>IFERROR(__xludf.DUMMYFUNCTION("""COMPUTED_VALUE"""),"AG")</f>
        <v>AG</v>
      </c>
      <c r="O4" s="2">
        <f>IFERROR(__xludf.DUMMYFUNCTION("""COMPUTED_VALUE"""),0.0)</f>
        <v>0</v>
      </c>
      <c r="P4" s="2">
        <f>IFERROR(__xludf.DUMMYFUNCTION("""COMPUTED_VALUE"""),0.0)</f>
        <v>0</v>
      </c>
      <c r="Q4" s="2">
        <f>IFERROR(__xludf.DUMMYFUNCTION("""COMPUTED_VALUE"""),0.0)</f>
        <v>0</v>
      </c>
      <c r="R4" s="2">
        <f>IFERROR(__xludf.DUMMYFUNCTION("""COMPUTED_VALUE"""),5.0)</f>
        <v>5</v>
      </c>
      <c r="S4" s="2">
        <f>IFERROR(__xludf.DUMMYFUNCTION("""COMPUTED_VALUE"""),0.0)</f>
        <v>0</v>
      </c>
      <c r="T4" s="2">
        <f>IFERROR(__xludf.DUMMYFUNCTION("""COMPUTED_VALUE"""),0.0)</f>
        <v>0</v>
      </c>
      <c r="U4" s="2">
        <f>IFERROR(__xludf.DUMMYFUNCTION("""COMPUTED_VALUE"""),0.0)</f>
        <v>0</v>
      </c>
      <c r="V4" s="2">
        <f>IFERROR(__xludf.DUMMYFUNCTION("""COMPUTED_VALUE"""),0.0)</f>
        <v>0</v>
      </c>
      <c r="W4" s="2">
        <f>IFERROR(__xludf.DUMMYFUNCTION("""COMPUTED_VALUE"""),0.0)</f>
        <v>0</v>
      </c>
      <c r="X4" s="2">
        <f>IFERROR(__xludf.DUMMYFUNCTION("""COMPUTED_VALUE"""),0.0)</f>
        <v>0</v>
      </c>
      <c r="Y4" s="2">
        <f>IFERROR(__xludf.DUMMYFUNCTION("""COMPUTED_VALUE"""),0.0)</f>
        <v>0</v>
      </c>
      <c r="Z4" s="2" t="str">
        <f>IFERROR(__xludf.DUMMYFUNCTION("""COMPUTED_VALUE"""),"Discontinued")</f>
        <v>Discontinued</v>
      </c>
      <c r="AA4" s="2"/>
      <c r="AB4" s="2"/>
      <c r="AC4" s="2"/>
      <c r="AD4" s="2"/>
    </row>
    <row r="5">
      <c r="A5" s="51" t="s">
        <v>89</v>
      </c>
      <c r="C5" s="26">
        <f>sum(Calculation!$J$4:$J1001)</f>
        <v>102</v>
      </c>
      <c r="E5" s="2" t="str">
        <f>IFERROR(__xludf.DUMMYFUNCTION("""COMPUTED_VALUE"""),"APR- Green")</f>
        <v>APR- Green</v>
      </c>
      <c r="F5" s="26">
        <f t="shared" si="1"/>
        <v>64</v>
      </c>
      <c r="G5" s="26">
        <f t="shared" si="2"/>
        <v>965</v>
      </c>
      <c r="H5" s="26">
        <f t="shared" si="3"/>
        <v>901</v>
      </c>
      <c r="K5" s="2" t="str">
        <f>IFERROR(__xludf.DUMMYFUNCTION("""COMPUTED_VALUE"""),"BAJAJ")</f>
        <v>BAJAJ</v>
      </c>
      <c r="L5" s="2"/>
      <c r="M5" s="2" t="str">
        <f>IFERROR(__xludf.DUMMYFUNCTION("""COMPUTED_VALUE"""),"Printer")</f>
        <v>Printer</v>
      </c>
      <c r="N5" s="2" t="str">
        <f>IFERROR(__xludf.DUMMYFUNCTION("""COMPUTED_VALUE"""),"AG")</f>
        <v>AG</v>
      </c>
      <c r="O5" s="2">
        <f>IFERROR(__xludf.DUMMYFUNCTION("""COMPUTED_VALUE"""),-14.0)</f>
        <v>-14</v>
      </c>
      <c r="P5" s="2">
        <f>IFERROR(__xludf.DUMMYFUNCTION("""COMPUTED_VALUE"""),221.0)</f>
        <v>221</v>
      </c>
      <c r="Q5" s="2">
        <f>IFERROR(__xludf.DUMMYFUNCTION("""COMPUTED_VALUE"""),235.0)</f>
        <v>235</v>
      </c>
      <c r="R5" s="2">
        <f>IFERROR(__xludf.DUMMYFUNCTION("""COMPUTED_VALUE"""),5.0)</f>
        <v>5</v>
      </c>
      <c r="S5" s="2">
        <f>IFERROR(__xludf.DUMMYFUNCTION("""COMPUTED_VALUE"""),182.0)</f>
        <v>182</v>
      </c>
      <c r="T5" s="2">
        <f>IFERROR(__xludf.DUMMYFUNCTION("""COMPUTED_VALUE"""),37.0)</f>
        <v>37</v>
      </c>
      <c r="U5" s="2">
        <f>IFERROR(__xludf.DUMMYFUNCTION("""COMPUTED_VALUE"""),93.0)</f>
        <v>93</v>
      </c>
      <c r="V5" s="2">
        <f>IFERROR(__xludf.DUMMYFUNCTION("""COMPUTED_VALUE"""),140.0)</f>
        <v>140</v>
      </c>
      <c r="W5" s="2">
        <f>IFERROR(__xludf.DUMMYFUNCTION("""COMPUTED_VALUE"""),283.0)</f>
        <v>283</v>
      </c>
      <c r="X5" s="2">
        <f>IFERROR(__xludf.DUMMYFUNCTION("""COMPUTED_VALUE"""),151.0)</f>
        <v>151</v>
      </c>
      <c r="Y5" s="2">
        <f>IFERROR(__xludf.DUMMYFUNCTION("""COMPUTED_VALUE"""),383.0)</f>
        <v>383</v>
      </c>
      <c r="Z5" s="2"/>
      <c r="AA5" s="2"/>
      <c r="AB5" s="2">
        <f>IFERROR(__xludf.DUMMYFUNCTION("""COMPUTED_VALUE"""),1.5)</f>
        <v>1.5</v>
      </c>
      <c r="AC5" s="2"/>
      <c r="AD5" s="2"/>
    </row>
    <row r="6">
      <c r="A6" s="51" t="s">
        <v>91</v>
      </c>
      <c r="C6" s="26">
        <f>sum(Calculation!$K$4:$K1001)</f>
        <v>64</v>
      </c>
      <c r="E6" s="2" t="str">
        <f>IFERROR(__xludf.DUMMYFUNCTION("""COMPUTED_VALUE"""),"APR- Tan")</f>
        <v>APR- Tan</v>
      </c>
      <c r="F6" s="26">
        <f t="shared" si="1"/>
        <v>152</v>
      </c>
      <c r="G6" s="26">
        <f t="shared" si="2"/>
        <v>1447</v>
      </c>
      <c r="H6" s="26">
        <f t="shared" si="3"/>
        <v>1295</v>
      </c>
      <c r="K6" s="2" t="str">
        <f>IFERROR(__xludf.DUMMYFUNCTION("""COMPUTED_VALUE"""),"WG")</f>
        <v>WG</v>
      </c>
      <c r="L6" s="2"/>
      <c r="M6" s="2" t="str">
        <f>IFERROR(__xludf.DUMMYFUNCTION("""COMPUTED_VALUE"""),"WG")</f>
        <v>WG</v>
      </c>
      <c r="N6" s="2" t="str">
        <f>IFERROR(__xludf.DUMMYFUNCTION("""COMPUTED_VALUE"""),"AG")</f>
        <v>AG</v>
      </c>
      <c r="O6" s="2">
        <f>IFERROR(__xludf.DUMMYFUNCTION("""COMPUTED_VALUE"""),-34.0)</f>
        <v>-34</v>
      </c>
      <c r="P6" s="2">
        <f>IFERROR(__xludf.DUMMYFUNCTION("""COMPUTED_VALUE"""),0.0)</f>
        <v>0</v>
      </c>
      <c r="Q6" s="2">
        <f>IFERROR(__xludf.DUMMYFUNCTION("""COMPUTED_VALUE"""),34.0)</f>
        <v>34</v>
      </c>
      <c r="R6" s="2">
        <f>IFERROR(__xludf.DUMMYFUNCTION("""COMPUTED_VALUE"""),5.0)</f>
        <v>5</v>
      </c>
      <c r="S6" s="2">
        <f>IFERROR(__xludf.DUMMYFUNCTION("""COMPUTED_VALUE"""),0.0)</f>
        <v>0</v>
      </c>
      <c r="T6" s="2">
        <f>IFERROR(__xludf.DUMMYFUNCTION("""COMPUTED_VALUE"""),0.0)</f>
        <v>0</v>
      </c>
      <c r="U6" s="2">
        <f>IFERROR(__xludf.DUMMYFUNCTION("""COMPUTED_VALUE"""),0.0)</f>
        <v>0</v>
      </c>
      <c r="V6" s="2">
        <f>IFERROR(__xludf.DUMMYFUNCTION("""COMPUTED_VALUE"""),0.0)</f>
        <v>0</v>
      </c>
      <c r="W6" s="2">
        <f>IFERROR(__xludf.DUMMYFUNCTION("""COMPUTED_VALUE"""),0.0)</f>
        <v>0</v>
      </c>
      <c r="X6" s="2">
        <f>IFERROR(__xludf.DUMMYFUNCTION("""COMPUTED_VALUE"""),0.0)</f>
        <v>0</v>
      </c>
      <c r="Y6" s="2">
        <f>IFERROR(__xludf.DUMMYFUNCTION("""COMPUTED_VALUE"""),34.0)</f>
        <v>34</v>
      </c>
      <c r="Z6" s="2" t="str">
        <f>IFERROR(__xludf.DUMMYFUNCTION("""COMPUTED_VALUE"""),"Discontinued")</f>
        <v>Discontinued</v>
      </c>
      <c r="AA6" s="2"/>
      <c r="AB6" s="2"/>
      <c r="AC6" s="2"/>
      <c r="AD6" s="2"/>
    </row>
    <row r="7">
      <c r="A7" s="51" t="s">
        <v>93</v>
      </c>
      <c r="C7" s="26">
        <f>sum(Calculation!$L$4:$L1001)</f>
        <v>152</v>
      </c>
      <c r="E7" s="2" t="str">
        <f>IFERROR(__xludf.DUMMYFUNCTION("""COMPUTED_VALUE"""),"APR- Black")</f>
        <v>APR- Black</v>
      </c>
      <c r="F7" s="26">
        <f t="shared" si="1"/>
        <v>128</v>
      </c>
      <c r="G7" s="26">
        <f t="shared" si="2"/>
        <v>2649</v>
      </c>
      <c r="H7" s="26">
        <f t="shared" si="3"/>
        <v>2521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51" t="s">
        <v>95</v>
      </c>
      <c r="C8" s="26">
        <f>sum(Calculation!$M$4:$M1001)</f>
        <v>128</v>
      </c>
      <c r="E8" s="2" t="str">
        <f>IFERROR(__xludf.DUMMYFUNCTION("""COMPUTED_VALUE"""),"APR- Red")</f>
        <v>APR- Red</v>
      </c>
      <c r="F8" s="26">
        <f t="shared" si="1"/>
        <v>38</v>
      </c>
      <c r="G8" s="26">
        <f t="shared" si="2"/>
        <v>892</v>
      </c>
      <c r="H8" s="26">
        <f t="shared" si="3"/>
        <v>854</v>
      </c>
      <c r="K8" s="2" t="str">
        <f>IFERROR(__xludf.DUMMYFUNCTION("""COMPUTED_VALUE"""),"M200")</f>
        <v>M200</v>
      </c>
      <c r="L8" s="2"/>
      <c r="M8" s="2" t="str">
        <f>IFERROR(__xludf.DUMMYFUNCTION("""COMPUTED_VALUE"""),"Printer")</f>
        <v>Printer</v>
      </c>
      <c r="N8" s="2" t="str">
        <f>IFERROR(__xludf.DUMMYFUNCTION("""COMPUTED_VALUE"""),"AG")</f>
        <v>AG</v>
      </c>
      <c r="O8" s="2">
        <f>IFERROR(__xludf.DUMMYFUNCTION("""COMPUTED_VALUE"""),-3.0)</f>
        <v>-3</v>
      </c>
      <c r="P8" s="2">
        <f>IFERROR(__xludf.DUMMYFUNCTION("""COMPUTED_VALUE"""),0.0)</f>
        <v>0</v>
      </c>
      <c r="Q8" s="2">
        <f>IFERROR(__xludf.DUMMYFUNCTION("""COMPUTED_VALUE"""),3.0)</f>
        <v>3</v>
      </c>
      <c r="R8" s="2">
        <f>IFERROR(__xludf.DUMMYFUNCTION("""COMPUTED_VALUE"""),5.0)</f>
        <v>5</v>
      </c>
      <c r="S8" s="2">
        <f>IFERROR(__xludf.DUMMYFUNCTION("""COMPUTED_VALUE"""),0.0)</f>
        <v>0</v>
      </c>
      <c r="T8" s="2">
        <f>IFERROR(__xludf.DUMMYFUNCTION("""COMPUTED_VALUE"""),0.0)</f>
        <v>0</v>
      </c>
      <c r="U8" s="2">
        <f>IFERROR(__xludf.DUMMYFUNCTION("""COMPUTED_VALUE"""),0.0)</f>
        <v>0</v>
      </c>
      <c r="V8" s="2">
        <f>IFERROR(__xludf.DUMMYFUNCTION("""COMPUTED_VALUE"""),0.0)</f>
        <v>0</v>
      </c>
      <c r="W8" s="2">
        <f>IFERROR(__xludf.DUMMYFUNCTION("""COMPUTED_VALUE"""),0.0)</f>
        <v>0</v>
      </c>
      <c r="X8" s="2">
        <f>IFERROR(__xludf.DUMMYFUNCTION("""COMPUTED_VALUE"""),0.0)</f>
        <v>0</v>
      </c>
      <c r="Y8" s="2">
        <f>IFERROR(__xludf.DUMMYFUNCTION("""COMPUTED_VALUE"""),3.0)</f>
        <v>3</v>
      </c>
      <c r="Z8" s="2" t="str">
        <f>IFERROR(__xludf.DUMMYFUNCTION("""COMPUTED_VALUE"""),"Discontinued")</f>
        <v>Discontinued</v>
      </c>
      <c r="AA8" s="2"/>
      <c r="AB8" s="2">
        <f>IFERROR(__xludf.DUMMYFUNCTION("""COMPUTED_VALUE"""),1.0)</f>
        <v>1</v>
      </c>
      <c r="AC8" s="2"/>
      <c r="AD8" s="2"/>
    </row>
    <row r="9">
      <c r="A9" s="51" t="s">
        <v>97</v>
      </c>
      <c r="C9" s="26">
        <f>sum(Calculation!$N$4:$N1001)</f>
        <v>38</v>
      </c>
      <c r="E9" s="2" t="str">
        <f>IFERROR(__xludf.DUMMYFUNCTION("""COMPUTED_VALUE"""),"APR- Grey")</f>
        <v>APR- Grey</v>
      </c>
      <c r="F9" s="26">
        <f t="shared" si="1"/>
        <v>28</v>
      </c>
      <c r="G9" s="26">
        <f t="shared" si="2"/>
        <v>582</v>
      </c>
      <c r="H9" s="26">
        <f t="shared" si="3"/>
        <v>554</v>
      </c>
      <c r="K9" s="2" t="str">
        <f>IFERROR(__xludf.DUMMYFUNCTION("""COMPUTED_VALUE"""),"HP 3-4")</f>
        <v>HP 3-4</v>
      </c>
      <c r="L9" s="2"/>
      <c r="M9" s="2" t="str">
        <f>IFERROR(__xludf.DUMMYFUNCTION("""COMPUTED_VALUE"""),"Printer")</f>
        <v>Printer</v>
      </c>
      <c r="N9" s="2" t="str">
        <f>IFERROR(__xludf.DUMMYFUNCTION("""COMPUTED_VALUE"""),"AG")</f>
        <v>AG</v>
      </c>
      <c r="O9" s="2">
        <f>IFERROR(__xludf.DUMMYFUNCTION("""COMPUTED_VALUE"""),-14.0)</f>
        <v>-14</v>
      </c>
      <c r="P9" s="2">
        <f>IFERROR(__xludf.DUMMYFUNCTION("""COMPUTED_VALUE"""),0.0)</f>
        <v>0</v>
      </c>
      <c r="Q9" s="2">
        <f>IFERROR(__xludf.DUMMYFUNCTION("""COMPUTED_VALUE"""),14.0)</f>
        <v>14</v>
      </c>
      <c r="R9" s="2">
        <f>IFERROR(__xludf.DUMMYFUNCTION("""COMPUTED_VALUE"""),5.0)</f>
        <v>5</v>
      </c>
      <c r="S9" s="2">
        <f>IFERROR(__xludf.DUMMYFUNCTION("""COMPUTED_VALUE"""),0.0)</f>
        <v>0</v>
      </c>
      <c r="T9" s="2">
        <f>IFERROR(__xludf.DUMMYFUNCTION("""COMPUTED_VALUE"""),0.0)</f>
        <v>0</v>
      </c>
      <c r="U9" s="2">
        <f>IFERROR(__xludf.DUMMYFUNCTION("""COMPUTED_VALUE"""),0.0)</f>
        <v>0</v>
      </c>
      <c r="V9" s="2">
        <f>IFERROR(__xludf.DUMMYFUNCTION("""COMPUTED_VALUE"""),0.0)</f>
        <v>0</v>
      </c>
      <c r="W9" s="2">
        <f>IFERROR(__xludf.DUMMYFUNCTION("""COMPUTED_VALUE"""),0.0)</f>
        <v>0</v>
      </c>
      <c r="X9" s="2">
        <f>IFERROR(__xludf.DUMMYFUNCTION("""COMPUTED_VALUE"""),0.0)</f>
        <v>0</v>
      </c>
      <c r="Y9" s="2">
        <f>IFERROR(__xludf.DUMMYFUNCTION("""COMPUTED_VALUE"""),14.0)</f>
        <v>14</v>
      </c>
      <c r="Z9" s="2" t="str">
        <f>IFERROR(__xludf.DUMMYFUNCTION("""COMPUTED_VALUE"""),"Discontinued")</f>
        <v>Discontinued</v>
      </c>
      <c r="AA9" s="2"/>
      <c r="AB9" s="2">
        <f>IFERROR(__xludf.DUMMYFUNCTION("""COMPUTED_VALUE"""),1.0)</f>
        <v>1</v>
      </c>
      <c r="AC9" s="2"/>
      <c r="AD9" s="2"/>
    </row>
    <row r="10">
      <c r="A10" s="51" t="s">
        <v>101</v>
      </c>
      <c r="C10" s="26">
        <f>sum(Calculation!$O$4:$O1001)</f>
        <v>28</v>
      </c>
      <c r="E10" s="2" t="str">
        <f>IFERROR(__xludf.DUMMYFUNCTION("""COMPUTED_VALUE"""),"BAJAJ")</f>
        <v>BAJAJ</v>
      </c>
      <c r="F10" s="26">
        <f t="shared" si="1"/>
        <v>158</v>
      </c>
      <c r="G10" s="26">
        <f t="shared" si="2"/>
        <v>235</v>
      </c>
      <c r="H10" s="26">
        <f t="shared" si="3"/>
        <v>77</v>
      </c>
      <c r="K10" s="2" t="str">
        <f>IFERROR(__xludf.DUMMYFUNCTION("""COMPUTED_VALUE"""),"CanonG")</f>
        <v>CanonG</v>
      </c>
      <c r="L10" s="2"/>
      <c r="M10" s="2" t="str">
        <f>IFERROR(__xludf.DUMMYFUNCTION("""COMPUTED_VALUE"""),"Printer")</f>
        <v>Printer</v>
      </c>
      <c r="N10" s="2" t="str">
        <f>IFERROR(__xludf.DUMMYFUNCTION("""COMPUTED_VALUE"""),"AG")</f>
        <v>AG</v>
      </c>
      <c r="O10" s="2">
        <f>IFERROR(__xludf.DUMMYFUNCTION("""COMPUTED_VALUE"""),-70.0)</f>
        <v>-70</v>
      </c>
      <c r="P10" s="2">
        <f>IFERROR(__xludf.DUMMYFUNCTION("""COMPUTED_VALUE"""),2.0)</f>
        <v>2</v>
      </c>
      <c r="Q10" s="2">
        <f>IFERROR(__xludf.DUMMYFUNCTION("""COMPUTED_VALUE"""),72.0)</f>
        <v>72</v>
      </c>
      <c r="R10" s="2">
        <f>IFERROR(__xludf.DUMMYFUNCTION("""COMPUTED_VALUE"""),5.0)</f>
        <v>5</v>
      </c>
      <c r="S10" s="2">
        <f>IFERROR(__xludf.DUMMYFUNCTION("""COMPUTED_VALUE"""),1.0)</f>
        <v>1</v>
      </c>
      <c r="T10" s="2">
        <f>IFERROR(__xludf.DUMMYFUNCTION("""COMPUTED_VALUE"""),2.0)</f>
        <v>2</v>
      </c>
      <c r="U10" s="2">
        <f>IFERROR(__xludf.DUMMYFUNCTION("""COMPUTED_VALUE"""),2.0)</f>
        <v>2</v>
      </c>
      <c r="V10" s="2">
        <f>IFERROR(__xludf.DUMMYFUNCTION("""COMPUTED_VALUE"""),0.0)</f>
        <v>0</v>
      </c>
      <c r="W10" s="2">
        <f>IFERROR(__xludf.DUMMYFUNCTION("""COMPUTED_VALUE"""),1.0)</f>
        <v>1</v>
      </c>
      <c r="X10" s="2">
        <f>IFERROR(__xludf.DUMMYFUNCTION("""COMPUTED_VALUE"""),4.0)</f>
        <v>4</v>
      </c>
      <c r="Y10" s="2">
        <f>IFERROR(__xludf.DUMMYFUNCTION("""COMPUTED_VALUE"""),75.0)</f>
        <v>75</v>
      </c>
      <c r="Z10" s="2" t="str">
        <f>IFERROR(__xludf.DUMMYFUNCTION("""COMPUTED_VALUE"""),"Discontinued")</f>
        <v>Discontinued</v>
      </c>
      <c r="AA10" s="2"/>
      <c r="AB10" s="2">
        <f>IFERROR(__xludf.DUMMYFUNCTION("""COMPUTED_VALUE"""),1.25)</f>
        <v>1.25</v>
      </c>
      <c r="AC10" s="2"/>
      <c r="AD10" s="2"/>
    </row>
    <row r="11">
      <c r="A11" s="98" t="str">
        <f>IFERROR(__xludf.DUMMYFUNCTION("FILTER({Calculation!A4:A1001,Calculation!B4:B1001,Calculation!G4:G1001},Calculation!D4:D1001&lt;&gt;""Apron"",Calculation!G4:G1001&lt;&gt;"""",Calculation!G4:G1001&lt;&gt;""0"")"),"BAJAJ")</f>
        <v>BAJAJ</v>
      </c>
      <c r="B11" s="2" t="str">
        <f>IFERROR(__xludf.DUMMYFUNCTION("""COMPUTED_VALUE"""),"Bajaj_2")</f>
        <v>Bajaj_2</v>
      </c>
      <c r="C11" s="26">
        <f>IFERROR(__xludf.DUMMYFUNCTION("""COMPUTED_VALUE"""),2.0)</f>
        <v>2</v>
      </c>
      <c r="E11" s="2" t="str">
        <f>IFERROR(__xludf.DUMMYFUNCTION("""COMPUTED_VALUE"""),"Bajaj (Grey)")</f>
        <v>Bajaj (Grey)</v>
      </c>
      <c r="F11" s="26">
        <f t="shared" si="1"/>
        <v>464</v>
      </c>
      <c r="G11" s="26">
        <f t="shared" si="2"/>
        <v>330</v>
      </c>
      <c r="H11" s="26">
        <f t="shared" si="3"/>
        <v>-134</v>
      </c>
      <c r="K11" s="2" t="str">
        <f>IFERROR(__xludf.DUMMYFUNCTION("""COMPUTED_VALUE"""),"L3110")</f>
        <v>L3110</v>
      </c>
      <c r="L11" s="2"/>
      <c r="M11" s="2" t="str">
        <f>IFERROR(__xludf.DUMMYFUNCTION("""COMPUTED_VALUE"""),"Printer")</f>
        <v>Printer</v>
      </c>
      <c r="N11" s="2" t="str">
        <f>IFERROR(__xludf.DUMMYFUNCTION("""COMPUTED_VALUE"""),"AG")</f>
        <v>AG</v>
      </c>
      <c r="O11" s="2">
        <f>IFERROR(__xludf.DUMMYFUNCTION("""COMPUTED_VALUE"""),21.0)</f>
        <v>21</v>
      </c>
      <c r="P11" s="2">
        <f>IFERROR(__xludf.DUMMYFUNCTION("""COMPUTED_VALUE"""),29.0)</f>
        <v>29</v>
      </c>
      <c r="Q11" s="2">
        <f>IFERROR(__xludf.DUMMYFUNCTION("""COMPUTED_VALUE"""),8.0)</f>
        <v>8</v>
      </c>
      <c r="R11" s="2">
        <f>IFERROR(__xludf.DUMMYFUNCTION("""COMPUTED_VALUE"""),5.0)</f>
        <v>5</v>
      </c>
      <c r="S11" s="2">
        <f>IFERROR(__xludf.DUMMYFUNCTION("""COMPUTED_VALUE"""),31.0)</f>
        <v>31</v>
      </c>
      <c r="T11" s="2">
        <f>IFERROR(__xludf.DUMMYFUNCTION("""COMPUTED_VALUE"""),31.0)</f>
        <v>31</v>
      </c>
      <c r="U11" s="2">
        <f>IFERROR(__xludf.DUMMYFUNCTION("""COMPUTED_VALUE"""),28.0)</f>
        <v>28</v>
      </c>
      <c r="V11" s="2">
        <f>IFERROR(__xludf.DUMMYFUNCTION("""COMPUTED_VALUE"""),32.0)</f>
        <v>32</v>
      </c>
      <c r="W11" s="2">
        <f>IFERROR(__xludf.DUMMYFUNCTION("""COMPUTED_VALUE"""),20.0)</f>
        <v>20</v>
      </c>
      <c r="X11" s="2">
        <f>IFERROR(__xludf.DUMMYFUNCTION("""COMPUTED_VALUE"""),12.0)</f>
        <v>12</v>
      </c>
      <c r="Y11" s="2">
        <f>IFERROR(__xludf.DUMMYFUNCTION("""COMPUTED_VALUE"""),14.0)</f>
        <v>14</v>
      </c>
      <c r="Z11" s="2" t="str">
        <f>IFERROR(__xludf.DUMMYFUNCTION("""COMPUTED_VALUE"""),"Discontinued")</f>
        <v>Discontinued</v>
      </c>
      <c r="AA11" s="2"/>
      <c r="AB11" s="2">
        <f>IFERROR(__xludf.DUMMYFUNCTION("""COMPUTED_VALUE"""),1.0)</f>
        <v>1</v>
      </c>
      <c r="AC11" s="2"/>
      <c r="AD11" s="2"/>
    </row>
    <row r="12">
      <c r="A12" s="2" t="str">
        <f>IFERROR(__xludf.DUMMYFUNCTION("""COMPUTED_VALUE"""),"BAJAJ")</f>
        <v>BAJAJ</v>
      </c>
      <c r="B12" s="2" t="str">
        <f>IFERROR(__xludf.DUMMYFUNCTION("""COMPUTED_VALUE"""),"Bajaj_2")</f>
        <v>Bajaj_2</v>
      </c>
      <c r="C12" s="26">
        <f>IFERROR(__xludf.DUMMYFUNCTION("""COMPUTED_VALUE"""),2.0)</f>
        <v>2</v>
      </c>
      <c r="E12" s="2" t="str">
        <f>IFERROR(__xludf.DUMMYFUNCTION("""COMPUTED_VALUE"""),"Bajaj (Black)")</f>
        <v>Bajaj (Black)</v>
      </c>
      <c r="F12" s="26">
        <f t="shared" si="1"/>
        <v>168</v>
      </c>
      <c r="G12" s="26">
        <f t="shared" si="2"/>
        <v>468</v>
      </c>
      <c r="H12" s="26">
        <f t="shared" si="3"/>
        <v>300</v>
      </c>
      <c r="K12" s="2" t="str">
        <f>IFERROR(__xludf.DUMMYFUNCTION("""COMPUTED_VALUE"""),"L380")</f>
        <v>L380</v>
      </c>
      <c r="L12" s="2"/>
      <c r="M12" s="2" t="str">
        <f>IFERROR(__xludf.DUMMYFUNCTION("""COMPUTED_VALUE"""),"Printer")</f>
        <v>Printer</v>
      </c>
      <c r="N12" s="2" t="str">
        <f>IFERROR(__xludf.DUMMYFUNCTION("""COMPUTED_VALUE"""),"AG")</f>
        <v>AG</v>
      </c>
      <c r="O12" s="2">
        <f>IFERROR(__xludf.DUMMYFUNCTION("""COMPUTED_VALUE"""),17.0)</f>
        <v>17</v>
      </c>
      <c r="P12" s="2">
        <f>IFERROR(__xludf.DUMMYFUNCTION("""COMPUTED_VALUE"""),16.0)</f>
        <v>16</v>
      </c>
      <c r="Q12" s="2">
        <f>IFERROR(__xludf.DUMMYFUNCTION("""COMPUTED_VALUE"""),-1.0)</f>
        <v>-1</v>
      </c>
      <c r="R12" s="2">
        <f>IFERROR(__xludf.DUMMYFUNCTION("""COMPUTED_VALUE"""),5.0)</f>
        <v>5</v>
      </c>
      <c r="S12" s="2">
        <f>IFERROR(__xludf.DUMMYFUNCTION("""COMPUTED_VALUE"""),1.0)</f>
        <v>1</v>
      </c>
      <c r="T12" s="2">
        <f>IFERROR(__xludf.DUMMYFUNCTION("""COMPUTED_VALUE"""),22.0)</f>
        <v>22</v>
      </c>
      <c r="U12" s="2">
        <f>IFERROR(__xludf.DUMMYFUNCTION("""COMPUTED_VALUE"""),21.0)</f>
        <v>21</v>
      </c>
      <c r="V12" s="2">
        <f>IFERROR(__xludf.DUMMYFUNCTION("""COMPUTED_VALUE"""),27.0)</f>
        <v>27</v>
      </c>
      <c r="W12" s="2">
        <f>IFERROR(__xludf.DUMMYFUNCTION("""COMPUTED_VALUE"""),7.0)</f>
        <v>7</v>
      </c>
      <c r="X12" s="2">
        <f>IFERROR(__xludf.DUMMYFUNCTION("""COMPUTED_VALUE"""),9.0)</f>
        <v>9</v>
      </c>
      <c r="Y12" s="2">
        <f>IFERROR(__xludf.DUMMYFUNCTION("""COMPUTED_VALUE"""),6.0)</f>
        <v>6</v>
      </c>
      <c r="Z12" s="2" t="str">
        <f>IFERROR(__xludf.DUMMYFUNCTION("""COMPUTED_VALUE"""),"Discontinued")</f>
        <v>Discontinued</v>
      </c>
      <c r="AA12" s="2"/>
      <c r="AB12" s="2">
        <f>IFERROR(__xludf.DUMMYFUNCTION("""COMPUTED_VALUE"""),1.0)</f>
        <v>1</v>
      </c>
      <c r="AC12" s="2"/>
      <c r="AD12" s="2"/>
    </row>
    <row r="13">
      <c r="A13" s="2" t="str">
        <f>IFERROR(__xludf.DUMMYFUNCTION("""COMPUTED_VALUE"""),"BAJAJ")</f>
        <v>BAJAJ</v>
      </c>
      <c r="B13" s="2" t="str">
        <f>IFERROR(__xludf.DUMMYFUNCTION("""COMPUTED_VALUE"""),"Bajaj_2")</f>
        <v>Bajaj_2</v>
      </c>
      <c r="C13" s="26">
        <f>IFERROR(__xludf.DUMMYFUNCTION("""COMPUTED_VALUE"""),2.0)</f>
        <v>2</v>
      </c>
      <c r="E13" s="2" t="str">
        <f>IFERROR(__xludf.DUMMYFUNCTION("""COMPUTED_VALUE"""),"DC (NW Black)")</f>
        <v>DC (NW Black)</v>
      </c>
      <c r="F13" s="26">
        <f t="shared" si="1"/>
        <v>118</v>
      </c>
      <c r="G13" s="26">
        <f t="shared" si="2"/>
        <v>539</v>
      </c>
      <c r="H13" s="26">
        <f t="shared" si="3"/>
        <v>421</v>
      </c>
      <c r="K13" s="2" t="str">
        <f>IFERROR(__xludf.DUMMYFUNCTION("""COMPUTED_VALUE"""),"L2321")</f>
        <v>L2321</v>
      </c>
      <c r="L13" s="2"/>
      <c r="M13" s="2" t="str">
        <f>IFERROR(__xludf.DUMMYFUNCTION("""COMPUTED_VALUE"""),"Printer")</f>
        <v>Printer</v>
      </c>
      <c r="N13" s="2" t="str">
        <f>IFERROR(__xludf.DUMMYFUNCTION("""COMPUTED_VALUE"""),"AG")</f>
        <v>AG</v>
      </c>
      <c r="O13" s="2">
        <f>IFERROR(__xludf.DUMMYFUNCTION("""COMPUTED_VALUE"""),4.0)</f>
        <v>4</v>
      </c>
      <c r="P13" s="2">
        <f>IFERROR(__xludf.DUMMYFUNCTION("""COMPUTED_VALUE"""),10.0)</f>
        <v>10</v>
      </c>
      <c r="Q13" s="2">
        <f>IFERROR(__xludf.DUMMYFUNCTION("""COMPUTED_VALUE"""),6.0)</f>
        <v>6</v>
      </c>
      <c r="R13" s="2">
        <f>IFERROR(__xludf.DUMMYFUNCTION("""COMPUTED_VALUE"""),5.0)</f>
        <v>5</v>
      </c>
      <c r="S13" s="2">
        <f>IFERROR(__xludf.DUMMYFUNCTION("""COMPUTED_VALUE"""),34.0)</f>
        <v>34</v>
      </c>
      <c r="T13" s="2">
        <f>IFERROR(__xludf.DUMMYFUNCTION("""COMPUTED_VALUE"""),2.0)</f>
        <v>2</v>
      </c>
      <c r="U13" s="2">
        <f>IFERROR(__xludf.DUMMYFUNCTION("""COMPUTED_VALUE"""),1.0)</f>
        <v>1</v>
      </c>
      <c r="V13" s="2">
        <f>IFERROR(__xludf.DUMMYFUNCTION("""COMPUTED_VALUE"""),4.0)</f>
        <v>4</v>
      </c>
      <c r="W13" s="2">
        <f>IFERROR(__xludf.DUMMYFUNCTION("""COMPUTED_VALUE"""),7.0)</f>
        <v>7</v>
      </c>
      <c r="X13" s="2">
        <f>IFERROR(__xludf.DUMMYFUNCTION("""COMPUTED_VALUE"""),5.0)</f>
        <v>5</v>
      </c>
      <c r="Y13" s="2">
        <f>IFERROR(__xludf.DUMMYFUNCTION("""COMPUTED_VALUE"""),5.0)</f>
        <v>5</v>
      </c>
      <c r="Z13" s="2" t="str">
        <f>IFERROR(__xludf.DUMMYFUNCTION("""COMPUTED_VALUE"""),"Discontinued")</f>
        <v>Discontinued</v>
      </c>
      <c r="AA13" s="2"/>
      <c r="AB13" s="2">
        <f>IFERROR(__xludf.DUMMYFUNCTION("""COMPUTED_VALUE"""),1.0)</f>
        <v>1</v>
      </c>
      <c r="AC13" s="2"/>
      <c r="AD13" s="2"/>
    </row>
    <row r="14">
      <c r="A14" s="2" t="str">
        <f>IFERROR(__xludf.DUMMYFUNCTION("""COMPUTED_VALUE"""),"BAJAJ")</f>
        <v>BAJAJ</v>
      </c>
      <c r="B14" s="2" t="str">
        <f>IFERROR(__xludf.DUMMYFUNCTION("""COMPUTED_VALUE"""),"Bajaj_2")</f>
        <v>Bajaj_2</v>
      </c>
      <c r="C14" s="26">
        <f>IFERROR(__xludf.DUMMYFUNCTION("""COMPUTED_VALUE"""),2.0)</f>
        <v>2</v>
      </c>
      <c r="E14" s="2" t="str">
        <f>IFERROR(__xludf.DUMMYFUNCTION("""COMPUTED_VALUE"""),"DC (NW Grey)")</f>
        <v>DC (NW Grey)</v>
      </c>
      <c r="F14" s="26">
        <f t="shared" si="1"/>
        <v>68</v>
      </c>
      <c r="G14" s="26">
        <f t="shared" si="2"/>
        <v>202</v>
      </c>
      <c r="H14" s="26">
        <f t="shared" si="3"/>
        <v>134</v>
      </c>
      <c r="K14" s="2" t="str">
        <f>IFERROR(__xludf.DUMMYFUNCTION("""COMPUTED_VALUE"""),"M126nw")</f>
        <v>M126nw</v>
      </c>
      <c r="L14" s="2"/>
      <c r="M14" s="2" t="str">
        <f>IFERROR(__xludf.DUMMYFUNCTION("""COMPUTED_VALUE"""),"Printer")</f>
        <v>Printer</v>
      </c>
      <c r="N14" s="2" t="str">
        <f>IFERROR(__xludf.DUMMYFUNCTION("""COMPUTED_VALUE"""),"AG")</f>
        <v>AG</v>
      </c>
      <c r="O14" s="2">
        <f>IFERROR(__xludf.DUMMYFUNCTION("""COMPUTED_VALUE"""),0.0)</f>
        <v>0</v>
      </c>
      <c r="P14" s="2">
        <f>IFERROR(__xludf.DUMMYFUNCTION("""COMPUTED_VALUE"""),0.0)</f>
        <v>0</v>
      </c>
      <c r="Q14" s="2">
        <f>IFERROR(__xludf.DUMMYFUNCTION("""COMPUTED_VALUE"""),0.0)</f>
        <v>0</v>
      </c>
      <c r="R14" s="2">
        <f>IFERROR(__xludf.DUMMYFUNCTION("""COMPUTED_VALUE"""),5.0)</f>
        <v>5</v>
      </c>
      <c r="S14" s="2">
        <f>IFERROR(__xludf.DUMMYFUNCTION("""COMPUTED_VALUE"""),0.0)</f>
        <v>0</v>
      </c>
      <c r="T14" s="2">
        <f>IFERROR(__xludf.DUMMYFUNCTION("""COMPUTED_VALUE"""),0.0)</f>
        <v>0</v>
      </c>
      <c r="U14" s="2">
        <f>IFERROR(__xludf.DUMMYFUNCTION("""COMPUTED_VALUE"""),0.0)</f>
        <v>0</v>
      </c>
      <c r="V14" s="2">
        <f>IFERROR(__xludf.DUMMYFUNCTION("""COMPUTED_VALUE"""),0.0)</f>
        <v>0</v>
      </c>
      <c r="W14" s="2">
        <f>IFERROR(__xludf.DUMMYFUNCTION("""COMPUTED_VALUE"""),0.0)</f>
        <v>0</v>
      </c>
      <c r="X14" s="2">
        <f>IFERROR(__xludf.DUMMYFUNCTION("""COMPUTED_VALUE"""),0.0)</f>
        <v>0</v>
      </c>
      <c r="Y14" s="2">
        <f>IFERROR(__xludf.DUMMYFUNCTION("""COMPUTED_VALUE"""),30.0)</f>
        <v>30</v>
      </c>
      <c r="Z14" s="2" t="str">
        <f>IFERROR(__xludf.DUMMYFUNCTION("""COMPUTED_VALUE"""),"Discontinued")</f>
        <v>Discontinued</v>
      </c>
      <c r="AA14" s="2"/>
      <c r="AB14" s="2">
        <f>IFERROR(__xludf.DUMMYFUNCTION("""COMPUTED_VALUE"""),1.0)</f>
        <v>1</v>
      </c>
      <c r="AC14" s="2"/>
      <c r="AD14" s="2"/>
    </row>
    <row r="15">
      <c r="A15" s="2" t="str">
        <f>IFERROR(__xludf.DUMMYFUNCTION("""COMPUTED_VALUE"""),"BAJAJ")</f>
        <v>BAJAJ</v>
      </c>
      <c r="B15" s="2" t="str">
        <f>IFERROR(__xludf.DUMMYFUNCTION("""COMPUTED_VALUE"""),"Bajaj_2")</f>
        <v>Bajaj_2</v>
      </c>
      <c r="C15" s="26">
        <f>IFERROR(__xludf.DUMMYFUNCTION("""COMPUTED_VALUE"""),2.0)</f>
        <v>2</v>
      </c>
      <c r="E15" s="2" t="str">
        <f>IFERROR(__xludf.DUMMYFUNCTION("""COMPUTED_VALUE"""),"DC-TS-NW-Black")</f>
        <v>DC-TS-NW-Black</v>
      </c>
      <c r="F15" s="26">
        <f t="shared" si="1"/>
        <v>10</v>
      </c>
      <c r="G15" s="26">
        <f t="shared" si="2"/>
        <v>635</v>
      </c>
      <c r="H15" s="26">
        <f t="shared" si="3"/>
        <v>625</v>
      </c>
      <c r="K15" s="2" t="str">
        <f>IFERROR(__xludf.DUMMYFUNCTION("""COMPUTED_VALUE"""),"L2520D")</f>
        <v>L2520D</v>
      </c>
      <c r="L15" s="2"/>
      <c r="M15" s="2" t="str">
        <f>IFERROR(__xludf.DUMMYFUNCTION("""COMPUTED_VALUE"""),"Printer")</f>
        <v>Printer</v>
      </c>
      <c r="N15" s="2" t="str">
        <f>IFERROR(__xludf.DUMMYFUNCTION("""COMPUTED_VALUE"""),"AG")</f>
        <v>AG</v>
      </c>
      <c r="O15" s="2">
        <f>IFERROR(__xludf.DUMMYFUNCTION("""COMPUTED_VALUE"""),1.0)</f>
        <v>1</v>
      </c>
      <c r="P15" s="2">
        <f>IFERROR(__xludf.DUMMYFUNCTION("""COMPUTED_VALUE"""),4.0)</f>
        <v>4</v>
      </c>
      <c r="Q15" s="2">
        <f>IFERROR(__xludf.DUMMYFUNCTION("""COMPUTED_VALUE"""),3.0)</f>
        <v>3</v>
      </c>
      <c r="R15" s="2">
        <f>IFERROR(__xludf.DUMMYFUNCTION("""COMPUTED_VALUE"""),5.0)</f>
        <v>5</v>
      </c>
      <c r="S15" s="2">
        <f>IFERROR(__xludf.DUMMYFUNCTION("""COMPUTED_VALUE"""),3.0)</f>
        <v>3</v>
      </c>
      <c r="T15" s="2">
        <f>IFERROR(__xludf.DUMMYFUNCTION("""COMPUTED_VALUE"""),4.0)</f>
        <v>4</v>
      </c>
      <c r="U15" s="2">
        <f>IFERROR(__xludf.DUMMYFUNCTION("""COMPUTED_VALUE"""),3.0)</f>
        <v>3</v>
      </c>
      <c r="V15" s="2">
        <f>IFERROR(__xludf.DUMMYFUNCTION("""COMPUTED_VALUE"""),5.0)</f>
        <v>5</v>
      </c>
      <c r="W15" s="2">
        <f>IFERROR(__xludf.DUMMYFUNCTION("""COMPUTED_VALUE"""),5.0)</f>
        <v>5</v>
      </c>
      <c r="X15" s="2">
        <f>IFERROR(__xludf.DUMMYFUNCTION("""COMPUTED_VALUE"""),1.0)</f>
        <v>1</v>
      </c>
      <c r="Y15" s="2">
        <f>IFERROR(__xludf.DUMMYFUNCTION("""COMPUTED_VALUE"""),-6.0)</f>
        <v>-6</v>
      </c>
      <c r="Z15" s="2" t="str">
        <f>IFERROR(__xludf.DUMMYFUNCTION("""COMPUTED_VALUE"""),"Discontinued")</f>
        <v>Discontinued</v>
      </c>
      <c r="AA15" s="2"/>
      <c r="AB15" s="2">
        <f>IFERROR(__xludf.DUMMYFUNCTION("""COMPUTED_VALUE"""),1.0)</f>
        <v>1</v>
      </c>
      <c r="AC15" s="2"/>
      <c r="AD15" s="2"/>
    </row>
    <row r="16">
      <c r="A16" s="2" t="str">
        <f>IFERROR(__xludf.DUMMYFUNCTION("""COMPUTED_VALUE"""),"BAJAJ")</f>
        <v>BAJAJ</v>
      </c>
      <c r="B16" s="2" t="str">
        <f>IFERROR(__xludf.DUMMYFUNCTION("""COMPUTED_VALUE"""),"Bajaj_3")</f>
        <v>Bajaj_3</v>
      </c>
      <c r="C16" s="26">
        <f>IFERROR(__xludf.DUMMYFUNCTION("""COMPUTED_VALUE"""),4.0)</f>
        <v>4</v>
      </c>
      <c r="E16" s="2" t="str">
        <f>IFERROR(__xludf.DUMMYFUNCTION("""COMPUTED_VALUE"""),"DC-TS-NW-Grey")</f>
        <v>DC-TS-NW-Grey</v>
      </c>
      <c r="F16" s="26">
        <f t="shared" si="1"/>
        <v>84</v>
      </c>
      <c r="G16" s="26">
        <f t="shared" si="2"/>
        <v>215</v>
      </c>
      <c r="H16" s="26">
        <f t="shared" si="3"/>
        <v>131</v>
      </c>
      <c r="K16" s="2" t="str">
        <f>IFERROR(__xludf.DUMMYFUNCTION("""COMPUTED_VALUE"""),"EMG")</f>
        <v>EMG</v>
      </c>
      <c r="L16" s="2"/>
      <c r="M16" s="2" t="str">
        <f>IFERROR(__xludf.DUMMYFUNCTION("""COMPUTED_VALUE"""),"Printer")</f>
        <v>Printer</v>
      </c>
      <c r="N16" s="2" t="str">
        <f>IFERROR(__xludf.DUMMYFUNCTION("""COMPUTED_VALUE"""),"AG")</f>
        <v>AG</v>
      </c>
      <c r="O16" s="2">
        <f>IFERROR(__xludf.DUMMYFUNCTION("""COMPUTED_VALUE"""),-9.0)</f>
        <v>-9</v>
      </c>
      <c r="P16" s="2">
        <f>IFERROR(__xludf.DUMMYFUNCTION("""COMPUTED_VALUE"""),5.0)</f>
        <v>5</v>
      </c>
      <c r="Q16" s="2">
        <f>IFERROR(__xludf.DUMMYFUNCTION("""COMPUTED_VALUE"""),14.0)</f>
        <v>14</v>
      </c>
      <c r="R16" s="2">
        <f>IFERROR(__xludf.DUMMYFUNCTION("""COMPUTED_VALUE"""),5.0)</f>
        <v>5</v>
      </c>
      <c r="S16" s="2">
        <f>IFERROR(__xludf.DUMMYFUNCTION("""COMPUTED_VALUE"""),1.0)</f>
        <v>1</v>
      </c>
      <c r="T16" s="2">
        <f>IFERROR(__xludf.DUMMYFUNCTION("""COMPUTED_VALUE"""),3.0)</f>
        <v>3</v>
      </c>
      <c r="U16" s="2">
        <f>IFERROR(__xludf.DUMMYFUNCTION("""COMPUTED_VALUE"""),4.0)</f>
        <v>4</v>
      </c>
      <c r="V16" s="2">
        <f>IFERROR(__xludf.DUMMYFUNCTION("""COMPUTED_VALUE"""),6.0)</f>
        <v>6</v>
      </c>
      <c r="W16" s="2">
        <f>IFERROR(__xludf.DUMMYFUNCTION("""COMPUTED_VALUE"""),7.0)</f>
        <v>7</v>
      </c>
      <c r="X16" s="2">
        <f>IFERROR(__xludf.DUMMYFUNCTION("""COMPUTED_VALUE"""),6.0)</f>
        <v>6</v>
      </c>
      <c r="Y16" s="2">
        <f>IFERROR(__xludf.DUMMYFUNCTION("""COMPUTED_VALUE"""),18.0)</f>
        <v>18</v>
      </c>
      <c r="Z16" s="2" t="str">
        <f>IFERROR(__xludf.DUMMYFUNCTION("""COMPUTED_VALUE"""),"Discontinued")</f>
        <v>Discontinued</v>
      </c>
      <c r="AA16" s="2"/>
      <c r="AB16" s="2">
        <f>IFERROR(__xludf.DUMMYFUNCTION("""COMPUTED_VALUE"""),1.0)</f>
        <v>1</v>
      </c>
      <c r="AC16" s="2"/>
      <c r="AD16" s="2"/>
    </row>
    <row r="17">
      <c r="A17" s="2" t="str">
        <f>IFERROR(__xludf.DUMMYFUNCTION("""COMPUTED_VALUE"""),"BAJAJ")</f>
        <v>BAJAJ</v>
      </c>
      <c r="B17" s="2" t="str">
        <f>IFERROR(__xludf.DUMMYFUNCTION("""COMPUTED_VALUE"""),"Bajaj_3")</f>
        <v>Bajaj_3</v>
      </c>
      <c r="C17" s="26">
        <f>IFERROR(__xludf.DUMMYFUNCTION("""COMPUTED_VALUE"""),2.0)</f>
        <v>2</v>
      </c>
      <c r="E17" s="2" t="str">
        <f>IFERROR(__xludf.DUMMYFUNCTION("""COMPUTED_VALUE"""),"L3110 (Grey)")</f>
        <v>L3110 (Grey)</v>
      </c>
      <c r="F17" s="26">
        <f t="shared" si="1"/>
        <v>68</v>
      </c>
      <c r="G17" s="26">
        <f t="shared" si="2"/>
        <v>423</v>
      </c>
      <c r="H17" s="26">
        <f t="shared" si="3"/>
        <v>355</v>
      </c>
      <c r="K17" s="2" t="str">
        <f>IFERROR(__xludf.DUMMYFUNCTION("""COMPUTED_VALUE"""),"HP 4123")</f>
        <v>HP 4123</v>
      </c>
      <c r="L17" s="2"/>
      <c r="M17" s="2" t="str">
        <f>IFERROR(__xludf.DUMMYFUNCTION("""COMPUTED_VALUE"""),"Printer")</f>
        <v>Printer</v>
      </c>
      <c r="N17" s="2" t="str">
        <f>IFERROR(__xludf.DUMMYFUNCTION("""COMPUTED_VALUE"""),"AG")</f>
        <v>AG</v>
      </c>
      <c r="O17" s="2">
        <f>IFERROR(__xludf.DUMMYFUNCTION("""COMPUTED_VALUE"""),-2.0)</f>
        <v>-2</v>
      </c>
      <c r="P17" s="2">
        <f>IFERROR(__xludf.DUMMYFUNCTION("""COMPUTED_VALUE"""),0.0)</f>
        <v>0</v>
      </c>
      <c r="Q17" s="2">
        <f>IFERROR(__xludf.DUMMYFUNCTION("""COMPUTED_VALUE"""),2.0)</f>
        <v>2</v>
      </c>
      <c r="R17" s="2">
        <f>IFERROR(__xludf.DUMMYFUNCTION("""COMPUTED_VALUE"""),5.0)</f>
        <v>5</v>
      </c>
      <c r="S17" s="2">
        <f>IFERROR(__xludf.DUMMYFUNCTION("""COMPUTED_VALUE"""),0.0)</f>
        <v>0</v>
      </c>
      <c r="T17" s="2">
        <f>IFERROR(__xludf.DUMMYFUNCTION("""COMPUTED_VALUE"""),0.0)</f>
        <v>0</v>
      </c>
      <c r="U17" s="2">
        <f>IFERROR(__xludf.DUMMYFUNCTION("""COMPUTED_VALUE"""),0.0)</f>
        <v>0</v>
      </c>
      <c r="V17" s="2">
        <f>IFERROR(__xludf.DUMMYFUNCTION("""COMPUTED_VALUE"""),0.0)</f>
        <v>0</v>
      </c>
      <c r="W17" s="2">
        <f>IFERROR(__xludf.DUMMYFUNCTION("""COMPUTED_VALUE"""),0.0)</f>
        <v>0</v>
      </c>
      <c r="X17" s="2">
        <f>IFERROR(__xludf.DUMMYFUNCTION("""COMPUTED_VALUE"""),0.0)</f>
        <v>0</v>
      </c>
      <c r="Y17" s="2">
        <f>IFERROR(__xludf.DUMMYFUNCTION("""COMPUTED_VALUE"""),2.0)</f>
        <v>2</v>
      </c>
      <c r="Z17" s="2" t="str">
        <f>IFERROR(__xludf.DUMMYFUNCTION("""COMPUTED_VALUE"""),"Discontinued")</f>
        <v>Discontinued</v>
      </c>
      <c r="AA17" s="2"/>
      <c r="AB17" s="2">
        <f>IFERROR(__xludf.DUMMYFUNCTION("""COMPUTED_VALUE"""),1.0)</f>
        <v>1</v>
      </c>
      <c r="AC17" s="2"/>
      <c r="AD17" s="2"/>
    </row>
    <row r="18">
      <c r="A18" s="2" t="str">
        <f>IFERROR(__xludf.DUMMYFUNCTION("""COMPUTED_VALUE"""),"BAJAJ")</f>
        <v>BAJAJ</v>
      </c>
      <c r="B18" s="2" t="str">
        <f>IFERROR(__xludf.DUMMYFUNCTION("""COMPUTED_VALUE"""),"Bajaj_3")</f>
        <v>Bajaj_3</v>
      </c>
      <c r="C18" s="26">
        <f>IFERROR(__xludf.DUMMYFUNCTION("""COMPUTED_VALUE"""),4.0)</f>
        <v>4</v>
      </c>
      <c r="E18" s="2" t="str">
        <f>IFERROR(__xludf.DUMMYFUNCTION("""COMPUTED_VALUE"""),"L3110 (Black)")</f>
        <v>L3110 (Black)</v>
      </c>
      <c r="F18" s="26">
        <f t="shared" si="1"/>
        <v>100</v>
      </c>
      <c r="G18" s="26">
        <f t="shared" si="2"/>
        <v>430</v>
      </c>
      <c r="H18" s="26">
        <f t="shared" si="3"/>
        <v>330</v>
      </c>
      <c r="K18" s="2" t="str">
        <f>IFERROR(__xludf.DUMMYFUNCTION("""COMPUTED_VALUE"""),"HP 1020")</f>
        <v>HP 1020</v>
      </c>
      <c r="L18" s="2"/>
      <c r="M18" s="2" t="str">
        <f>IFERROR(__xludf.DUMMYFUNCTION("""COMPUTED_VALUE"""),"Printer")</f>
        <v>Printer</v>
      </c>
      <c r="N18" s="2" t="str">
        <f>IFERROR(__xludf.DUMMYFUNCTION("""COMPUTED_VALUE"""),"AG")</f>
        <v>AG</v>
      </c>
      <c r="O18" s="2">
        <f>IFERROR(__xludf.DUMMYFUNCTION("""COMPUTED_VALUE"""),-11.0)</f>
        <v>-11</v>
      </c>
      <c r="P18" s="2">
        <f>IFERROR(__xludf.DUMMYFUNCTION("""COMPUTED_VALUE"""),0.0)</f>
        <v>0</v>
      </c>
      <c r="Q18" s="2">
        <f>IFERROR(__xludf.DUMMYFUNCTION("""COMPUTED_VALUE"""),11.0)</f>
        <v>11</v>
      </c>
      <c r="R18" s="2">
        <f>IFERROR(__xludf.DUMMYFUNCTION("""COMPUTED_VALUE"""),5.0)</f>
        <v>5</v>
      </c>
      <c r="S18" s="2">
        <f>IFERROR(__xludf.DUMMYFUNCTION("""COMPUTED_VALUE"""),0.0)</f>
        <v>0</v>
      </c>
      <c r="T18" s="2">
        <f>IFERROR(__xludf.DUMMYFUNCTION("""COMPUTED_VALUE"""),0.0)</f>
        <v>0</v>
      </c>
      <c r="U18" s="2">
        <f>IFERROR(__xludf.DUMMYFUNCTION("""COMPUTED_VALUE"""),0.0)</f>
        <v>0</v>
      </c>
      <c r="V18" s="2">
        <f>IFERROR(__xludf.DUMMYFUNCTION("""COMPUTED_VALUE"""),0.0)</f>
        <v>0</v>
      </c>
      <c r="W18" s="2">
        <f>IFERROR(__xludf.DUMMYFUNCTION("""COMPUTED_VALUE"""),0.0)</f>
        <v>0</v>
      </c>
      <c r="X18" s="2">
        <f>IFERROR(__xludf.DUMMYFUNCTION("""COMPUTED_VALUE"""),0.0)</f>
        <v>0</v>
      </c>
      <c r="Y18" s="2">
        <f>IFERROR(__xludf.DUMMYFUNCTION("""COMPUTED_VALUE"""),11.0)</f>
        <v>11</v>
      </c>
      <c r="Z18" s="2" t="str">
        <f>IFERROR(__xludf.DUMMYFUNCTION("""COMPUTED_VALUE"""),"Discontinued")</f>
        <v>Discontinued</v>
      </c>
      <c r="AA18" s="2"/>
      <c r="AB18" s="2">
        <f>IFERROR(__xludf.DUMMYFUNCTION("""COMPUTED_VALUE"""),1.0)</f>
        <v>1</v>
      </c>
      <c r="AC18" s="2"/>
      <c r="AD18" s="2"/>
    </row>
    <row r="19">
      <c r="A19" s="2" t="str">
        <f>IFERROR(__xludf.DUMMYFUNCTION("""COMPUTED_VALUE"""),"BAJAJ")</f>
        <v>BAJAJ</v>
      </c>
      <c r="B19" s="2" t="str">
        <f>IFERROR(__xludf.DUMMYFUNCTION("""COMPUTED_VALUE"""),"Bajaj_3")</f>
        <v>Bajaj_3</v>
      </c>
      <c r="C19" s="26">
        <f>IFERROR(__xludf.DUMMYFUNCTION("""COMPUTED_VALUE"""),2.0)</f>
        <v>2</v>
      </c>
      <c r="E19" s="2" t="str">
        <f>IFERROR(__xludf.DUMMYFUNCTION("""COMPUTED_VALUE"""),"Canon G (Grey)")</f>
        <v>Canon G (Grey)</v>
      </c>
      <c r="F19" s="26">
        <f t="shared" si="1"/>
        <v>90</v>
      </c>
      <c r="G19" s="26">
        <f t="shared" si="2"/>
        <v>168</v>
      </c>
      <c r="H19" s="26">
        <f t="shared" si="3"/>
        <v>78</v>
      </c>
      <c r="K19" s="2" t="str">
        <f>IFERROR(__xludf.DUMMYFUNCTION("""COMPUTED_VALUE"""),"T700W")</f>
        <v>T700W</v>
      </c>
      <c r="L19" s="2"/>
      <c r="M19" s="2" t="str">
        <f>IFERROR(__xludf.DUMMYFUNCTION("""COMPUTED_VALUE"""),"Printer")</f>
        <v>Printer</v>
      </c>
      <c r="N19" s="2" t="str">
        <f>IFERROR(__xludf.DUMMYFUNCTION("""COMPUTED_VALUE"""),"AG")</f>
        <v>AG</v>
      </c>
      <c r="O19" s="2">
        <f>IFERROR(__xludf.DUMMYFUNCTION("""COMPUTED_VALUE"""),-42.0)</f>
        <v>-42</v>
      </c>
      <c r="P19" s="2">
        <f>IFERROR(__xludf.DUMMYFUNCTION("""COMPUTED_VALUE"""),0.0)</f>
        <v>0</v>
      </c>
      <c r="Q19" s="2">
        <f>IFERROR(__xludf.DUMMYFUNCTION("""COMPUTED_VALUE"""),42.0)</f>
        <v>42</v>
      </c>
      <c r="R19" s="2">
        <f>IFERROR(__xludf.DUMMYFUNCTION("""COMPUTED_VALUE"""),5.0)</f>
        <v>5</v>
      </c>
      <c r="S19" s="2">
        <f>IFERROR(__xludf.DUMMYFUNCTION("""COMPUTED_VALUE"""),0.0)</f>
        <v>0</v>
      </c>
      <c r="T19" s="2">
        <f>IFERROR(__xludf.DUMMYFUNCTION("""COMPUTED_VALUE"""),0.0)</f>
        <v>0</v>
      </c>
      <c r="U19" s="2">
        <f>IFERROR(__xludf.DUMMYFUNCTION("""COMPUTED_VALUE"""),0.0)</f>
        <v>0</v>
      </c>
      <c r="V19" s="2">
        <f>IFERROR(__xludf.DUMMYFUNCTION("""COMPUTED_VALUE"""),0.0)</f>
        <v>0</v>
      </c>
      <c r="W19" s="2">
        <f>IFERROR(__xludf.DUMMYFUNCTION("""COMPUTED_VALUE"""),0.0)</f>
        <v>0</v>
      </c>
      <c r="X19" s="2">
        <f>IFERROR(__xludf.DUMMYFUNCTION("""COMPUTED_VALUE"""),0.0)</f>
        <v>0</v>
      </c>
      <c r="Y19" s="2">
        <f>IFERROR(__xludf.DUMMYFUNCTION("""COMPUTED_VALUE"""),42.0)</f>
        <v>42</v>
      </c>
      <c r="Z19" s="2" t="str">
        <f>IFERROR(__xludf.DUMMYFUNCTION("""COMPUTED_VALUE"""),"Discontinued")</f>
        <v>Discontinued</v>
      </c>
      <c r="AA19" s="2"/>
      <c r="AB19" s="2">
        <f>IFERROR(__xludf.DUMMYFUNCTION("""COMPUTED_VALUE"""),1.0)</f>
        <v>1</v>
      </c>
      <c r="AC19" s="2"/>
      <c r="AD19" s="2"/>
    </row>
    <row r="20">
      <c r="A20" s="2" t="str">
        <f>IFERROR(__xludf.DUMMYFUNCTION("""COMPUTED_VALUE"""),"BAJAJ")</f>
        <v>BAJAJ</v>
      </c>
      <c r="B20" s="2" t="str">
        <f>IFERROR(__xludf.DUMMYFUNCTION("""COMPUTED_VALUE"""),"Bajaj_4")</f>
        <v>Bajaj_4</v>
      </c>
      <c r="C20" s="26">
        <f>IFERROR(__xludf.DUMMYFUNCTION("""COMPUTED_VALUE"""),10.0)</f>
        <v>10</v>
      </c>
      <c r="E20" s="2" t="str">
        <f>IFERROR(__xludf.DUMMYFUNCTION("""COMPUTED_VALUE"""),"Canon G (Black)")</f>
        <v>Canon G (Black)</v>
      </c>
      <c r="F20" s="26">
        <f t="shared" si="1"/>
        <v>214</v>
      </c>
      <c r="G20" s="26">
        <f t="shared" si="2"/>
        <v>251</v>
      </c>
      <c r="H20" s="26">
        <f t="shared" si="3"/>
        <v>37</v>
      </c>
      <c r="K20" s="2" t="str">
        <f>IFERROR(__xludf.DUMMYFUNCTION("""COMPUTED_VALUE"""),"HP 4729")</f>
        <v>HP 4729</v>
      </c>
      <c r="L20" s="2"/>
      <c r="M20" s="2" t="str">
        <f>IFERROR(__xludf.DUMMYFUNCTION("""COMPUTED_VALUE"""),"Printer")</f>
        <v>Printer</v>
      </c>
      <c r="N20" s="2" t="str">
        <f>IFERROR(__xludf.DUMMYFUNCTION("""COMPUTED_VALUE"""),"AG")</f>
        <v>AG</v>
      </c>
      <c r="O20" s="2">
        <f>IFERROR(__xludf.DUMMYFUNCTION("""COMPUTED_VALUE"""),-9.0)</f>
        <v>-9</v>
      </c>
      <c r="P20" s="2">
        <f>IFERROR(__xludf.DUMMYFUNCTION("""COMPUTED_VALUE"""),0.0)</f>
        <v>0</v>
      </c>
      <c r="Q20" s="2">
        <f>IFERROR(__xludf.DUMMYFUNCTION("""COMPUTED_VALUE"""),9.0)</f>
        <v>9</v>
      </c>
      <c r="R20" s="2">
        <f>IFERROR(__xludf.DUMMYFUNCTION("""COMPUTED_VALUE"""),5.0)</f>
        <v>5</v>
      </c>
      <c r="S20" s="2">
        <f>IFERROR(__xludf.DUMMYFUNCTION("""COMPUTED_VALUE"""),0.0)</f>
        <v>0</v>
      </c>
      <c r="T20" s="2">
        <f>IFERROR(__xludf.DUMMYFUNCTION("""COMPUTED_VALUE"""),0.0)</f>
        <v>0</v>
      </c>
      <c r="U20" s="2">
        <f>IFERROR(__xludf.DUMMYFUNCTION("""COMPUTED_VALUE"""),0.0)</f>
        <v>0</v>
      </c>
      <c r="V20" s="2">
        <f>IFERROR(__xludf.DUMMYFUNCTION("""COMPUTED_VALUE"""),0.0)</f>
        <v>0</v>
      </c>
      <c r="W20" s="2">
        <f>IFERROR(__xludf.DUMMYFUNCTION("""COMPUTED_VALUE"""),0.0)</f>
        <v>0</v>
      </c>
      <c r="X20" s="2">
        <f>IFERROR(__xludf.DUMMYFUNCTION("""COMPUTED_VALUE"""),0.0)</f>
        <v>0</v>
      </c>
      <c r="Y20" s="2">
        <f>IFERROR(__xludf.DUMMYFUNCTION("""COMPUTED_VALUE"""),9.0)</f>
        <v>9</v>
      </c>
      <c r="Z20" s="2" t="str">
        <f>IFERROR(__xludf.DUMMYFUNCTION("""COMPUTED_VALUE"""),"Discontinued")</f>
        <v>Discontinued</v>
      </c>
      <c r="AA20" s="2"/>
      <c r="AB20" s="2">
        <f>IFERROR(__xludf.DUMMYFUNCTION("""COMPUTED_VALUE"""),1.0)</f>
        <v>1</v>
      </c>
      <c r="AC20" s="2"/>
      <c r="AD20" s="2"/>
    </row>
    <row r="21">
      <c r="A21" s="2" t="str">
        <f>IFERROR(__xludf.DUMMYFUNCTION("""COMPUTED_VALUE"""),"BAJAJ")</f>
        <v>BAJAJ</v>
      </c>
      <c r="B21" s="2" t="str">
        <f>IFERROR(__xludf.DUMMYFUNCTION("""COMPUTED_VALUE"""),"Bajaj_4")</f>
        <v>Bajaj_4</v>
      </c>
      <c r="C21" s="26">
        <f>IFERROR(__xludf.DUMMYFUNCTION("""COMPUTED_VALUE"""),10.0)</f>
        <v>10</v>
      </c>
      <c r="E21" s="2" t="str">
        <f>IFERROR(__xludf.DUMMYFUNCTION("""COMPUTED_VALUE"""),"HP 136NW (Grey)")</f>
        <v>HP 136NW (Grey)</v>
      </c>
      <c r="F21" s="26">
        <f t="shared" si="1"/>
        <v>56</v>
      </c>
      <c r="G21" s="26">
        <f t="shared" si="2"/>
        <v>42</v>
      </c>
      <c r="H21" s="26">
        <f t="shared" si="3"/>
        <v>-14</v>
      </c>
      <c r="K21" s="2" t="str">
        <f>IFERROR(__xludf.DUMMYFUNCTION("""COMPUTED_VALUE"""),"E4270")</f>
        <v>E4270</v>
      </c>
      <c r="L21" s="2"/>
      <c r="M21" s="2" t="str">
        <f>IFERROR(__xludf.DUMMYFUNCTION("""COMPUTED_VALUE"""),"Printer")</f>
        <v>Printer</v>
      </c>
      <c r="N21" s="2" t="str">
        <f>IFERROR(__xludf.DUMMYFUNCTION("""COMPUTED_VALUE"""),"AG")</f>
        <v>AG</v>
      </c>
      <c r="O21" s="2">
        <f>IFERROR(__xludf.DUMMYFUNCTION("""COMPUTED_VALUE"""),0.0)</f>
        <v>0</v>
      </c>
      <c r="P21" s="2">
        <f>IFERROR(__xludf.DUMMYFUNCTION("""COMPUTED_VALUE"""),0.0)</f>
        <v>0</v>
      </c>
      <c r="Q21" s="2">
        <f>IFERROR(__xludf.DUMMYFUNCTION("""COMPUTED_VALUE"""),0.0)</f>
        <v>0</v>
      </c>
      <c r="R21" s="2">
        <f>IFERROR(__xludf.DUMMYFUNCTION("""COMPUTED_VALUE"""),5.0)</f>
        <v>5</v>
      </c>
      <c r="S21" s="2">
        <f>IFERROR(__xludf.DUMMYFUNCTION("""COMPUTED_VALUE"""),0.0)</f>
        <v>0</v>
      </c>
      <c r="T21" s="2">
        <f>IFERROR(__xludf.DUMMYFUNCTION("""COMPUTED_VALUE"""),0.0)</f>
        <v>0</v>
      </c>
      <c r="U21" s="2">
        <f>IFERROR(__xludf.DUMMYFUNCTION("""COMPUTED_VALUE"""),0.0)</f>
        <v>0</v>
      </c>
      <c r="V21" s="2">
        <f>IFERROR(__xludf.DUMMYFUNCTION("""COMPUTED_VALUE"""),0.0)</f>
        <v>0</v>
      </c>
      <c r="W21" s="2">
        <f>IFERROR(__xludf.DUMMYFUNCTION("""COMPUTED_VALUE"""),0.0)</f>
        <v>0</v>
      </c>
      <c r="X21" s="2">
        <f>IFERROR(__xludf.DUMMYFUNCTION("""COMPUTED_VALUE"""),0.0)</f>
        <v>0</v>
      </c>
      <c r="Y21" s="2">
        <f>IFERROR(__xludf.DUMMYFUNCTION("""COMPUTED_VALUE"""),0.0)</f>
        <v>0</v>
      </c>
      <c r="Z21" s="2" t="str">
        <f>IFERROR(__xludf.DUMMYFUNCTION("""COMPUTED_VALUE"""),"Discontinued")</f>
        <v>Discontinued</v>
      </c>
      <c r="AA21" s="2"/>
      <c r="AB21" s="2">
        <f>IFERROR(__xludf.DUMMYFUNCTION("""COMPUTED_VALUE"""),1.0)</f>
        <v>1</v>
      </c>
      <c r="AC21" s="2"/>
      <c r="AD21" s="2"/>
    </row>
    <row r="22">
      <c r="A22" s="2" t="str">
        <f>IFERROR(__xludf.DUMMYFUNCTION("""COMPUTED_VALUE"""),"BAJAJ")</f>
        <v>BAJAJ</v>
      </c>
      <c r="B22" s="2" t="str">
        <f>IFERROR(__xludf.DUMMYFUNCTION("""COMPUTED_VALUE"""),"Bajaj_4")</f>
        <v>Bajaj_4</v>
      </c>
      <c r="C22" s="26">
        <f>IFERROR(__xludf.DUMMYFUNCTION("""COMPUTED_VALUE"""),2.0)</f>
        <v>2</v>
      </c>
      <c r="E22" s="2" t="str">
        <f>IFERROR(__xludf.DUMMYFUNCTION("""COMPUTED_VALUE"""),"HP 136NW (Black)")</f>
        <v>HP 136NW (Black)</v>
      </c>
      <c r="F22" s="26">
        <f t="shared" si="1"/>
        <v>20</v>
      </c>
      <c r="G22" s="26">
        <f t="shared" si="2"/>
        <v>133</v>
      </c>
      <c r="H22" s="26">
        <f t="shared" si="3"/>
        <v>113</v>
      </c>
      <c r="K22" s="2" t="str">
        <f>IFERROR(__xludf.DUMMYFUNCTION("""COMPUTED_VALUE"""),"G2010")</f>
        <v>G2010</v>
      </c>
      <c r="L22" s="2"/>
      <c r="M22" s="2" t="str">
        <f>IFERROR(__xludf.DUMMYFUNCTION("""COMPUTED_VALUE"""),"Printer")</f>
        <v>Printer</v>
      </c>
      <c r="N22" s="2" t="str">
        <f>IFERROR(__xludf.DUMMYFUNCTION("""COMPUTED_VALUE"""),"AG")</f>
        <v>AG</v>
      </c>
      <c r="O22" s="2">
        <f>IFERROR(__xludf.DUMMYFUNCTION("""COMPUTED_VALUE"""),2.0)</f>
        <v>2</v>
      </c>
      <c r="P22" s="2">
        <f>IFERROR(__xludf.DUMMYFUNCTION("""COMPUTED_VALUE"""),3.0)</f>
        <v>3</v>
      </c>
      <c r="Q22" s="2">
        <f>IFERROR(__xludf.DUMMYFUNCTION("""COMPUTED_VALUE"""),1.0)</f>
        <v>1</v>
      </c>
      <c r="R22" s="2">
        <f>IFERROR(__xludf.DUMMYFUNCTION("""COMPUTED_VALUE"""),5.0)</f>
        <v>5</v>
      </c>
      <c r="S22" s="2">
        <f>IFERROR(__xludf.DUMMYFUNCTION("""COMPUTED_VALUE"""),4.0)</f>
        <v>4</v>
      </c>
      <c r="T22" s="2">
        <f>IFERROR(__xludf.DUMMYFUNCTION("""COMPUTED_VALUE"""),6.0)</f>
        <v>6</v>
      </c>
      <c r="U22" s="2">
        <f>IFERROR(__xludf.DUMMYFUNCTION("""COMPUTED_VALUE"""),2.0)</f>
        <v>2</v>
      </c>
      <c r="V22" s="2">
        <f>IFERROR(__xludf.DUMMYFUNCTION("""COMPUTED_VALUE"""),2.0)</f>
        <v>2</v>
      </c>
      <c r="W22" s="2">
        <f>IFERROR(__xludf.DUMMYFUNCTION("""COMPUTED_VALUE"""),1.0)</f>
        <v>1</v>
      </c>
      <c r="X22" s="2">
        <f>IFERROR(__xludf.DUMMYFUNCTION("""COMPUTED_VALUE"""),0.0)</f>
        <v>0</v>
      </c>
      <c r="Y22" s="2">
        <f>IFERROR(__xludf.DUMMYFUNCTION("""COMPUTED_VALUE"""),26.0)</f>
        <v>26</v>
      </c>
      <c r="Z22" s="2" t="str">
        <f>IFERROR(__xludf.DUMMYFUNCTION("""COMPUTED_VALUE"""),"Discontinued")</f>
        <v>Discontinued</v>
      </c>
      <c r="AA22" s="2"/>
      <c r="AB22" s="2">
        <f>IFERROR(__xludf.DUMMYFUNCTION("""COMPUTED_VALUE"""),1.0)</f>
        <v>1</v>
      </c>
      <c r="AC22" s="2"/>
      <c r="AD22" s="2"/>
    </row>
    <row r="23">
      <c r="A23" s="2" t="str">
        <f>IFERROR(__xludf.DUMMYFUNCTION("""COMPUTED_VALUE"""),"BAJAJ")</f>
        <v>BAJAJ</v>
      </c>
      <c r="B23" s="2" t="str">
        <f>IFERROR(__xludf.DUMMYFUNCTION("""COMPUTED_VALUE"""),"Bajaj_4")</f>
        <v>Bajaj_4</v>
      </c>
      <c r="C23" s="26">
        <f>IFERROR(__xludf.DUMMYFUNCTION("""COMPUTED_VALUE"""),18.0)</f>
        <v>18</v>
      </c>
      <c r="E23" s="2" t="str">
        <f>IFERROR(__xludf.DUMMYFUNCTION("""COMPUTED_VALUE"""),"HP 4826 (Grey)")</f>
        <v>HP 4826 (Grey)</v>
      </c>
      <c r="F23" s="26">
        <f t="shared" si="1"/>
        <v>60</v>
      </c>
      <c r="G23" s="26">
        <f t="shared" si="2"/>
        <v>208</v>
      </c>
      <c r="H23" s="26">
        <f t="shared" si="3"/>
        <v>148</v>
      </c>
      <c r="K23" s="2" t="str">
        <f>IFERROR(__xludf.DUMMYFUNCTION("""COMPUTED_VALUE"""),"G4010")</f>
        <v>G4010</v>
      </c>
      <c r="L23" s="2"/>
      <c r="M23" s="2" t="str">
        <f>IFERROR(__xludf.DUMMYFUNCTION("""COMPUTED_VALUE"""),"Printer")</f>
        <v>Printer</v>
      </c>
      <c r="N23" s="2" t="str">
        <f>IFERROR(__xludf.DUMMYFUNCTION("""COMPUTED_VALUE"""),"AG")</f>
        <v>AG</v>
      </c>
      <c r="O23" s="2">
        <f>IFERROR(__xludf.DUMMYFUNCTION("""COMPUTED_VALUE"""),-21.0)</f>
        <v>-21</v>
      </c>
      <c r="P23" s="2">
        <f>IFERROR(__xludf.DUMMYFUNCTION("""COMPUTED_VALUE"""),0.0)</f>
        <v>0</v>
      </c>
      <c r="Q23" s="2">
        <f>IFERROR(__xludf.DUMMYFUNCTION("""COMPUTED_VALUE"""),21.0)</f>
        <v>21</v>
      </c>
      <c r="R23" s="2">
        <f>IFERROR(__xludf.DUMMYFUNCTION("""COMPUTED_VALUE"""),5.0)</f>
        <v>5</v>
      </c>
      <c r="S23" s="2">
        <f>IFERROR(__xludf.DUMMYFUNCTION("""COMPUTED_VALUE"""),0.0)</f>
        <v>0</v>
      </c>
      <c r="T23" s="2">
        <f>IFERROR(__xludf.DUMMYFUNCTION("""COMPUTED_VALUE"""),0.0)</f>
        <v>0</v>
      </c>
      <c r="U23" s="2">
        <f>IFERROR(__xludf.DUMMYFUNCTION("""COMPUTED_VALUE"""),0.0)</f>
        <v>0</v>
      </c>
      <c r="V23" s="2">
        <f>IFERROR(__xludf.DUMMYFUNCTION("""COMPUTED_VALUE"""),0.0)</f>
        <v>0</v>
      </c>
      <c r="W23" s="2">
        <f>IFERROR(__xludf.DUMMYFUNCTION("""COMPUTED_VALUE"""),0.0)</f>
        <v>0</v>
      </c>
      <c r="X23" s="2">
        <f>IFERROR(__xludf.DUMMYFUNCTION("""COMPUTED_VALUE"""),0.0)</f>
        <v>0</v>
      </c>
      <c r="Y23" s="2">
        <f>IFERROR(__xludf.DUMMYFUNCTION("""COMPUTED_VALUE"""),21.0)</f>
        <v>21</v>
      </c>
      <c r="Z23" s="2" t="str">
        <f>IFERROR(__xludf.DUMMYFUNCTION("""COMPUTED_VALUE"""),"Discontinued")</f>
        <v>Discontinued</v>
      </c>
      <c r="AA23" s="2"/>
      <c r="AB23" s="2">
        <f>IFERROR(__xludf.DUMMYFUNCTION("""COMPUTED_VALUE"""),1.0)</f>
        <v>1</v>
      </c>
      <c r="AC23" s="2"/>
      <c r="AD23" s="2"/>
    </row>
    <row r="24">
      <c r="A24" s="2" t="str">
        <f>IFERROR(__xludf.DUMMYFUNCTION("""COMPUTED_VALUE"""),"BAJAJ")</f>
        <v>BAJAJ</v>
      </c>
      <c r="B24" s="2" t="str">
        <f>IFERROR(__xludf.DUMMYFUNCTION("""COMPUTED_VALUE"""),"Bajaj_4")</f>
        <v>Bajaj_4</v>
      </c>
      <c r="C24" s="26">
        <f>IFERROR(__xludf.DUMMYFUNCTION("""COMPUTED_VALUE"""),2.0)</f>
        <v>2</v>
      </c>
      <c r="E24" s="2" t="str">
        <f>IFERROR(__xludf.DUMMYFUNCTION("""COMPUTED_VALUE"""),"G4770 (Black)")</f>
        <v>G4770 (Black)</v>
      </c>
      <c r="F24" s="26">
        <f t="shared" si="1"/>
        <v>32</v>
      </c>
      <c r="G24" s="26">
        <f t="shared" si="2"/>
        <v>121</v>
      </c>
      <c r="H24" s="26">
        <f t="shared" si="3"/>
        <v>89</v>
      </c>
      <c r="K24" s="2" t="str">
        <f>IFERROR(__xludf.DUMMYFUNCTION("""COMPUTED_VALUE"""),"HP 5820")</f>
        <v>HP 5820</v>
      </c>
      <c r="L24" s="2"/>
      <c r="M24" s="2" t="str">
        <f>IFERROR(__xludf.DUMMYFUNCTION("""COMPUTED_VALUE"""),"Printer")</f>
        <v>Printer</v>
      </c>
      <c r="N24" s="2" t="str">
        <f>IFERROR(__xludf.DUMMYFUNCTION("""COMPUTED_VALUE"""),"AG")</f>
        <v>AG</v>
      </c>
      <c r="O24" s="2">
        <f>IFERROR(__xludf.DUMMYFUNCTION("""COMPUTED_VALUE"""),-26.0)</f>
        <v>-26</v>
      </c>
      <c r="P24" s="2">
        <f>IFERROR(__xludf.DUMMYFUNCTION("""COMPUTED_VALUE"""),0.0)</f>
        <v>0</v>
      </c>
      <c r="Q24" s="2">
        <f>IFERROR(__xludf.DUMMYFUNCTION("""COMPUTED_VALUE"""),26.0)</f>
        <v>26</v>
      </c>
      <c r="R24" s="2">
        <f>IFERROR(__xludf.DUMMYFUNCTION("""COMPUTED_VALUE"""),5.0)</f>
        <v>5</v>
      </c>
      <c r="S24" s="2">
        <f>IFERROR(__xludf.DUMMYFUNCTION("""COMPUTED_VALUE"""),0.0)</f>
        <v>0</v>
      </c>
      <c r="T24" s="2">
        <f>IFERROR(__xludf.DUMMYFUNCTION("""COMPUTED_VALUE"""),0.0)</f>
        <v>0</v>
      </c>
      <c r="U24" s="2">
        <f>IFERROR(__xludf.DUMMYFUNCTION("""COMPUTED_VALUE"""),0.0)</f>
        <v>0</v>
      </c>
      <c r="V24" s="2">
        <f>IFERROR(__xludf.DUMMYFUNCTION("""COMPUTED_VALUE"""),0.0)</f>
        <v>0</v>
      </c>
      <c r="W24" s="2">
        <f>IFERROR(__xludf.DUMMYFUNCTION("""COMPUTED_VALUE"""),0.0)</f>
        <v>0</v>
      </c>
      <c r="X24" s="2">
        <f>IFERROR(__xludf.DUMMYFUNCTION("""COMPUTED_VALUE"""),0.0)</f>
        <v>0</v>
      </c>
      <c r="Y24" s="2">
        <f>IFERROR(__xludf.DUMMYFUNCTION("""COMPUTED_VALUE"""),26.0)</f>
        <v>26</v>
      </c>
      <c r="Z24" s="2" t="str">
        <f>IFERROR(__xludf.DUMMYFUNCTION("""COMPUTED_VALUE"""),"Discontinued")</f>
        <v>Discontinued</v>
      </c>
      <c r="AA24" s="2"/>
      <c r="AB24" s="2">
        <f>IFERROR(__xludf.DUMMYFUNCTION("""COMPUTED_VALUE"""),1.0)</f>
        <v>1</v>
      </c>
      <c r="AC24" s="2"/>
      <c r="AD24" s="2"/>
    </row>
    <row r="25">
      <c r="A25" s="2" t="str">
        <f>IFERROR(__xludf.DUMMYFUNCTION("""COMPUTED_VALUE"""),"BAJAJ")</f>
        <v>BAJAJ</v>
      </c>
      <c r="B25" s="2" t="str">
        <f>IFERROR(__xludf.DUMMYFUNCTION("""COMPUTED_VALUE"""),"Bajaj_4")</f>
        <v>Bajaj_4</v>
      </c>
      <c r="C25" s="26">
        <f>IFERROR(__xludf.DUMMYFUNCTION("""COMPUTED_VALUE"""),6.0)</f>
        <v>6</v>
      </c>
      <c r="E25" s="2" t="str">
        <f>IFERROR(__xludf.DUMMYFUNCTION("""COMPUTED_VALUE"""),"G4770 (Grey)")</f>
        <v>G4770 (Grey)</v>
      </c>
      <c r="F25" s="26">
        <f t="shared" si="1"/>
        <v>20</v>
      </c>
      <c r="G25" s="26">
        <f t="shared" si="2"/>
        <v>162</v>
      </c>
      <c r="H25" s="26">
        <f t="shared" si="3"/>
        <v>142</v>
      </c>
      <c r="K25" s="2" t="str">
        <f>IFERROR(__xludf.DUMMYFUNCTION("""COMPUTED_VALUE"""),"L130")</f>
        <v>L130</v>
      </c>
      <c r="L25" s="2"/>
      <c r="M25" s="2" t="str">
        <f>IFERROR(__xludf.DUMMYFUNCTION("""COMPUTED_VALUE"""),"Printer")</f>
        <v>Printer</v>
      </c>
      <c r="N25" s="2" t="str">
        <f>IFERROR(__xludf.DUMMYFUNCTION("""COMPUTED_VALUE"""),"AG")</f>
        <v>AG</v>
      </c>
      <c r="O25" s="2">
        <f>IFERROR(__xludf.DUMMYFUNCTION("""COMPUTED_VALUE"""),-1.0)</f>
        <v>-1</v>
      </c>
      <c r="P25" s="2">
        <f>IFERROR(__xludf.DUMMYFUNCTION("""COMPUTED_VALUE"""),0.0)</f>
        <v>0</v>
      </c>
      <c r="Q25" s="2">
        <f>IFERROR(__xludf.DUMMYFUNCTION("""COMPUTED_VALUE"""),1.0)</f>
        <v>1</v>
      </c>
      <c r="R25" s="2">
        <f>IFERROR(__xludf.DUMMYFUNCTION("""COMPUTED_VALUE"""),5.0)</f>
        <v>5</v>
      </c>
      <c r="S25" s="2">
        <f>IFERROR(__xludf.DUMMYFUNCTION("""COMPUTED_VALUE"""),0.0)</f>
        <v>0</v>
      </c>
      <c r="T25" s="2">
        <f>IFERROR(__xludf.DUMMYFUNCTION("""COMPUTED_VALUE"""),0.0)</f>
        <v>0</v>
      </c>
      <c r="U25" s="2">
        <f>IFERROR(__xludf.DUMMYFUNCTION("""COMPUTED_VALUE"""),0.0)</f>
        <v>0</v>
      </c>
      <c r="V25" s="2">
        <f>IFERROR(__xludf.DUMMYFUNCTION("""COMPUTED_VALUE"""),0.0)</f>
        <v>0</v>
      </c>
      <c r="W25" s="2">
        <f>IFERROR(__xludf.DUMMYFUNCTION("""COMPUTED_VALUE"""),0.0)</f>
        <v>0</v>
      </c>
      <c r="X25" s="2">
        <f>IFERROR(__xludf.DUMMYFUNCTION("""COMPUTED_VALUE"""),0.0)</f>
        <v>0</v>
      </c>
      <c r="Y25" s="2">
        <f>IFERROR(__xludf.DUMMYFUNCTION("""COMPUTED_VALUE"""),1.0)</f>
        <v>1</v>
      </c>
      <c r="Z25" s="2" t="str">
        <f>IFERROR(__xludf.DUMMYFUNCTION("""COMPUTED_VALUE"""),"Discontinued")</f>
        <v>Discontinued</v>
      </c>
      <c r="AA25" s="2"/>
      <c r="AB25" s="2">
        <f>IFERROR(__xludf.DUMMYFUNCTION("""COMPUTED_VALUE"""),1.0)</f>
        <v>1</v>
      </c>
      <c r="AC25" s="2"/>
      <c r="AD25" s="2"/>
    </row>
    <row r="26">
      <c r="A26" s="2" t="str">
        <f>IFERROR(__xludf.DUMMYFUNCTION("""COMPUTED_VALUE"""),"Bajaj (Grey)")</f>
        <v>Bajaj (Grey)</v>
      </c>
      <c r="B26" s="2" t="str">
        <f>IFERROR(__xludf.DUMMYFUNCTION("""COMPUTED_VALUE"""),"CRM-WG-NW-Ultra-Grey")</f>
        <v>CRM-WG-NW-Ultra-Grey</v>
      </c>
      <c r="C26" s="26">
        <f>IFERROR(__xludf.DUMMYFUNCTION("""COMPUTED_VALUE"""),2.0)</f>
        <v>2</v>
      </c>
      <c r="E26" s="2" t="str">
        <f>IFERROR(__xludf.DUMMYFUNCTION("""COMPUTED_VALUE"""),"HP 750 (Grey)")</f>
        <v>HP 750 (Grey)</v>
      </c>
      <c r="F26" s="26">
        <f t="shared" si="1"/>
        <v>24</v>
      </c>
      <c r="G26" s="26">
        <f t="shared" si="2"/>
        <v>86</v>
      </c>
      <c r="H26" s="26">
        <f t="shared" si="3"/>
        <v>62</v>
      </c>
      <c r="K26" s="2" t="str">
        <f>IFERROR(__xludf.DUMMYFUNCTION("""COMPUTED_VALUE"""),"L2541DW")</f>
        <v>L2541DW</v>
      </c>
      <c r="L26" s="2"/>
      <c r="M26" s="2" t="str">
        <f>IFERROR(__xludf.DUMMYFUNCTION("""COMPUTED_VALUE"""),"Printer")</f>
        <v>Printer</v>
      </c>
      <c r="N26" s="2" t="str">
        <f>IFERROR(__xludf.DUMMYFUNCTION("""COMPUTED_VALUE"""),"AG")</f>
        <v>AG</v>
      </c>
      <c r="O26" s="2">
        <f>IFERROR(__xludf.DUMMYFUNCTION("""COMPUTED_VALUE"""),-2.0)</f>
        <v>-2</v>
      </c>
      <c r="P26" s="2">
        <f>IFERROR(__xludf.DUMMYFUNCTION("""COMPUTED_VALUE"""),0.0)</f>
        <v>0</v>
      </c>
      <c r="Q26" s="2">
        <f>IFERROR(__xludf.DUMMYFUNCTION("""COMPUTED_VALUE"""),2.0)</f>
        <v>2</v>
      </c>
      <c r="R26" s="2">
        <f>IFERROR(__xludf.DUMMYFUNCTION("""COMPUTED_VALUE"""),5.0)</f>
        <v>5</v>
      </c>
      <c r="S26" s="2">
        <f>IFERROR(__xludf.DUMMYFUNCTION("""COMPUTED_VALUE"""),0.0)</f>
        <v>0</v>
      </c>
      <c r="T26" s="2">
        <f>IFERROR(__xludf.DUMMYFUNCTION("""COMPUTED_VALUE"""),0.0)</f>
        <v>0</v>
      </c>
      <c r="U26" s="2">
        <f>IFERROR(__xludf.DUMMYFUNCTION("""COMPUTED_VALUE"""),0.0)</f>
        <v>0</v>
      </c>
      <c r="V26" s="2">
        <f>IFERROR(__xludf.DUMMYFUNCTION("""COMPUTED_VALUE"""),0.0)</f>
        <v>0</v>
      </c>
      <c r="W26" s="2">
        <f>IFERROR(__xludf.DUMMYFUNCTION("""COMPUTED_VALUE"""),0.0)</f>
        <v>0</v>
      </c>
      <c r="X26" s="2">
        <f>IFERROR(__xludf.DUMMYFUNCTION("""COMPUTED_VALUE"""),0.0)</f>
        <v>0</v>
      </c>
      <c r="Y26" s="2">
        <f>IFERROR(__xludf.DUMMYFUNCTION("""COMPUTED_VALUE"""),2.0)</f>
        <v>2</v>
      </c>
      <c r="Z26" s="2" t="str">
        <f>IFERROR(__xludf.DUMMYFUNCTION("""COMPUTED_VALUE"""),"Discontinued")</f>
        <v>Discontinued</v>
      </c>
      <c r="AA26" s="2"/>
      <c r="AB26" s="2">
        <f>IFERROR(__xludf.DUMMYFUNCTION("""COMPUTED_VALUE"""),1.0)</f>
        <v>1</v>
      </c>
      <c r="AC26" s="2"/>
      <c r="AD26" s="2"/>
    </row>
    <row r="27">
      <c r="A27" s="2" t="str">
        <f>IFERROR(__xludf.DUMMYFUNCTION("""COMPUTED_VALUE"""),"Bajaj (Grey)")</f>
        <v>Bajaj (Grey)</v>
      </c>
      <c r="B27" s="2" t="str">
        <f>IFERROR(__xludf.DUMMYFUNCTION("""COMPUTED_VALUE"""),"CRM-WG-NW-Ultra-Grey")</f>
        <v>CRM-WG-NW-Ultra-Grey</v>
      </c>
      <c r="C27" s="26">
        <f>IFERROR(__xludf.DUMMYFUNCTION("""COMPUTED_VALUE"""),62.0)</f>
        <v>62</v>
      </c>
      <c r="E27" s="2" t="str">
        <f>IFERROR(__xludf.DUMMYFUNCTION("""COMPUTED_VALUE"""),"HP 750 (Black)")</f>
        <v>HP 750 (Black)</v>
      </c>
      <c r="F27" s="26">
        <f t="shared" si="1"/>
        <v>12</v>
      </c>
      <c r="G27" s="26">
        <f t="shared" si="2"/>
        <v>16</v>
      </c>
      <c r="H27" s="26">
        <f t="shared" si="3"/>
        <v>4</v>
      </c>
      <c r="K27" s="2" t="str">
        <f>IFERROR(__xludf.DUMMYFUNCTION("""COMPUTED_VALUE"""),"L5190")</f>
        <v>L5190</v>
      </c>
      <c r="L27" s="2"/>
      <c r="M27" s="2" t="str">
        <f>IFERROR(__xludf.DUMMYFUNCTION("""COMPUTED_VALUE"""),"Printer")</f>
        <v>Printer</v>
      </c>
      <c r="N27" s="2" t="str">
        <f>IFERROR(__xludf.DUMMYFUNCTION("""COMPUTED_VALUE"""),"AG")</f>
        <v>AG</v>
      </c>
      <c r="O27" s="2">
        <f>IFERROR(__xludf.DUMMYFUNCTION("""COMPUTED_VALUE"""),-66.0)</f>
        <v>-66</v>
      </c>
      <c r="P27" s="2">
        <f>IFERROR(__xludf.DUMMYFUNCTION("""COMPUTED_VALUE"""),0.0)</f>
        <v>0</v>
      </c>
      <c r="Q27" s="2">
        <f>IFERROR(__xludf.DUMMYFUNCTION("""COMPUTED_VALUE"""),66.0)</f>
        <v>66</v>
      </c>
      <c r="R27" s="2">
        <f>IFERROR(__xludf.DUMMYFUNCTION("""COMPUTED_VALUE"""),5.0)</f>
        <v>5</v>
      </c>
      <c r="S27" s="2">
        <f>IFERROR(__xludf.DUMMYFUNCTION("""COMPUTED_VALUE"""),0.0)</f>
        <v>0</v>
      </c>
      <c r="T27" s="2">
        <f>IFERROR(__xludf.DUMMYFUNCTION("""COMPUTED_VALUE"""),0.0)</f>
        <v>0</v>
      </c>
      <c r="U27" s="2">
        <f>IFERROR(__xludf.DUMMYFUNCTION("""COMPUTED_VALUE"""),0.0)</f>
        <v>0</v>
      </c>
      <c r="V27" s="2">
        <f>IFERROR(__xludf.DUMMYFUNCTION("""COMPUTED_VALUE"""),0.0)</f>
        <v>0</v>
      </c>
      <c r="W27" s="2">
        <f>IFERROR(__xludf.DUMMYFUNCTION("""COMPUTED_VALUE"""),0.0)</f>
        <v>0</v>
      </c>
      <c r="X27" s="2">
        <f>IFERROR(__xludf.DUMMYFUNCTION("""COMPUTED_VALUE"""),0.0)</f>
        <v>0</v>
      </c>
      <c r="Y27" s="2">
        <f>IFERROR(__xludf.DUMMYFUNCTION("""COMPUTED_VALUE"""),66.0)</f>
        <v>66</v>
      </c>
      <c r="Z27" s="2" t="str">
        <f>IFERROR(__xludf.DUMMYFUNCTION("""COMPUTED_VALUE"""),"Discontinued")</f>
        <v>Discontinued</v>
      </c>
      <c r="AA27" s="2"/>
      <c r="AB27" s="2">
        <f>IFERROR(__xludf.DUMMYFUNCTION("""COMPUTED_VALUE"""),1.0)</f>
        <v>1</v>
      </c>
      <c r="AC27" s="2"/>
      <c r="AD27" s="2"/>
    </row>
    <row r="28">
      <c r="A28" s="2" t="str">
        <f>IFERROR(__xludf.DUMMYFUNCTION("""COMPUTED_VALUE"""),"Bajaj (Grey)")</f>
        <v>Bajaj (Grey)</v>
      </c>
      <c r="B28" s="2" t="str">
        <f>IFERROR(__xludf.DUMMYFUNCTION("""COMPUTED_VALUE"""),"CRM-WG-NW-Ultra-Grey")</f>
        <v>CRM-WG-NW-Ultra-Grey</v>
      </c>
      <c r="C28" s="26">
        <f>IFERROR(__xludf.DUMMYFUNCTION("""COMPUTED_VALUE"""),82.0)</f>
        <v>82</v>
      </c>
      <c r="E28" s="2" t="str">
        <f>IFERROR(__xludf.DUMMYFUNCTION("""COMPUTED_VALUE"""),"HP 670 (Grey)")</f>
        <v>HP 670 (Grey)</v>
      </c>
      <c r="F28" s="26">
        <f t="shared" si="1"/>
        <v>94</v>
      </c>
      <c r="G28" s="26">
        <f t="shared" si="2"/>
        <v>226</v>
      </c>
      <c r="H28" s="26">
        <f t="shared" si="3"/>
        <v>132</v>
      </c>
      <c r="K28" s="2" t="str">
        <f>IFERROR(__xludf.DUMMYFUNCTION("""COMPUTED_VALUE"""),"L805")</f>
        <v>L805</v>
      </c>
      <c r="L28" s="2"/>
      <c r="M28" s="2" t="str">
        <f>IFERROR(__xludf.DUMMYFUNCTION("""COMPUTED_VALUE"""),"Printer")</f>
        <v>Printer</v>
      </c>
      <c r="N28" s="2" t="str">
        <f>IFERROR(__xludf.DUMMYFUNCTION("""COMPUTED_VALUE"""),"AG")</f>
        <v>AG</v>
      </c>
      <c r="O28" s="2">
        <f>IFERROR(__xludf.DUMMYFUNCTION("""COMPUTED_VALUE"""),-15.0)</f>
        <v>-15</v>
      </c>
      <c r="P28" s="2">
        <f>IFERROR(__xludf.DUMMYFUNCTION("""COMPUTED_VALUE"""),0.0)</f>
        <v>0</v>
      </c>
      <c r="Q28" s="2">
        <f>IFERROR(__xludf.DUMMYFUNCTION("""COMPUTED_VALUE"""),15.0)</f>
        <v>15</v>
      </c>
      <c r="R28" s="2">
        <f>IFERROR(__xludf.DUMMYFUNCTION("""COMPUTED_VALUE"""),5.0)</f>
        <v>5</v>
      </c>
      <c r="S28" s="2">
        <f>IFERROR(__xludf.DUMMYFUNCTION("""COMPUTED_VALUE"""),0.0)</f>
        <v>0</v>
      </c>
      <c r="T28" s="2">
        <f>IFERROR(__xludf.DUMMYFUNCTION("""COMPUTED_VALUE"""),0.0)</f>
        <v>0</v>
      </c>
      <c r="U28" s="2">
        <f>IFERROR(__xludf.DUMMYFUNCTION("""COMPUTED_VALUE"""),0.0)</f>
        <v>0</v>
      </c>
      <c r="V28" s="2">
        <f>IFERROR(__xludf.DUMMYFUNCTION("""COMPUTED_VALUE"""),0.0)</f>
        <v>0</v>
      </c>
      <c r="W28" s="2">
        <f>IFERROR(__xludf.DUMMYFUNCTION("""COMPUTED_VALUE"""),0.0)</f>
        <v>0</v>
      </c>
      <c r="X28" s="2">
        <f>IFERROR(__xludf.DUMMYFUNCTION("""COMPUTED_VALUE"""),0.0)</f>
        <v>0</v>
      </c>
      <c r="Y28" s="2">
        <f>IFERROR(__xludf.DUMMYFUNCTION("""COMPUTED_VALUE"""),15.0)</f>
        <v>15</v>
      </c>
      <c r="Z28" s="2" t="str">
        <f>IFERROR(__xludf.DUMMYFUNCTION("""COMPUTED_VALUE"""),"Discontinued")</f>
        <v>Discontinued</v>
      </c>
      <c r="AA28" s="2"/>
      <c r="AB28" s="2">
        <f>IFERROR(__xludf.DUMMYFUNCTION("""COMPUTED_VALUE"""),1.0)</f>
        <v>1</v>
      </c>
      <c r="AC28" s="2"/>
      <c r="AD28" s="2"/>
    </row>
    <row r="29">
      <c r="A29" s="2" t="str">
        <f>IFERROR(__xludf.DUMMYFUNCTION("""COMPUTED_VALUE"""),"Bajaj (Grey)")</f>
        <v>Bajaj (Grey)</v>
      </c>
      <c r="B29" s="2" t="str">
        <f>IFERROR(__xludf.DUMMYFUNCTION("""COMPUTED_VALUE"""),"CRM-WG-NW-Ultra-Grey")</f>
        <v>CRM-WG-NW-Ultra-Grey</v>
      </c>
      <c r="C29" s="26">
        <f>IFERROR(__xludf.DUMMYFUNCTION("""COMPUTED_VALUE"""),54.0)</f>
        <v>54</v>
      </c>
      <c r="E29" s="2" t="str">
        <f>IFERROR(__xludf.DUMMYFUNCTION("""COMPUTED_VALUE"""),"HP 670 (Black)")</f>
        <v>HP 670 (Black)</v>
      </c>
      <c r="F29" s="26">
        <f t="shared" si="1"/>
        <v>156</v>
      </c>
      <c r="G29" s="26">
        <f t="shared" si="2"/>
        <v>196</v>
      </c>
      <c r="H29" s="26">
        <f t="shared" si="3"/>
        <v>40</v>
      </c>
      <c r="K29" s="2" t="str">
        <f>IFERROR(__xludf.DUMMYFUNCTION("""COMPUTED_VALUE"""),"M1005")</f>
        <v>M1005</v>
      </c>
      <c r="L29" s="2"/>
      <c r="M29" s="2" t="str">
        <f>IFERROR(__xludf.DUMMYFUNCTION("""COMPUTED_VALUE"""),"Printer")</f>
        <v>Printer</v>
      </c>
      <c r="N29" s="2" t="str">
        <f>IFERROR(__xludf.DUMMYFUNCTION("""COMPUTED_VALUE"""),"AG")</f>
        <v>AG</v>
      </c>
      <c r="O29" s="2">
        <f>IFERROR(__xludf.DUMMYFUNCTION("""COMPUTED_VALUE"""),-171.0)</f>
        <v>-171</v>
      </c>
      <c r="P29" s="2">
        <f>IFERROR(__xludf.DUMMYFUNCTION("""COMPUTED_VALUE"""),4.0)</f>
        <v>4</v>
      </c>
      <c r="Q29" s="2">
        <f>IFERROR(__xludf.DUMMYFUNCTION("""COMPUTED_VALUE"""),175.0)</f>
        <v>175</v>
      </c>
      <c r="R29" s="2">
        <f>IFERROR(__xludf.DUMMYFUNCTION("""COMPUTED_VALUE"""),5.0)</f>
        <v>5</v>
      </c>
      <c r="S29" s="2">
        <f>IFERROR(__xludf.DUMMYFUNCTION("""COMPUTED_VALUE"""),0.0)</f>
        <v>0</v>
      </c>
      <c r="T29" s="2">
        <f>IFERROR(__xludf.DUMMYFUNCTION("""COMPUTED_VALUE"""),4.0)</f>
        <v>4</v>
      </c>
      <c r="U29" s="2">
        <f>IFERROR(__xludf.DUMMYFUNCTION("""COMPUTED_VALUE"""),0.0)</f>
        <v>0</v>
      </c>
      <c r="V29" s="2">
        <f>IFERROR(__xludf.DUMMYFUNCTION("""COMPUTED_VALUE"""),12.0)</f>
        <v>12</v>
      </c>
      <c r="W29" s="2">
        <f>IFERROR(__xludf.DUMMYFUNCTION("""COMPUTED_VALUE"""),1.0)</f>
        <v>1</v>
      </c>
      <c r="X29" s="2">
        <f>IFERROR(__xludf.DUMMYFUNCTION("""COMPUTED_VALUE"""),1.0)</f>
        <v>1</v>
      </c>
      <c r="Y29" s="2">
        <f>IFERROR(__xludf.DUMMYFUNCTION("""COMPUTED_VALUE"""),175.0)</f>
        <v>175</v>
      </c>
      <c r="Z29" s="2" t="str">
        <f>IFERROR(__xludf.DUMMYFUNCTION("""COMPUTED_VALUE"""),"Discontinued")</f>
        <v>Discontinued</v>
      </c>
      <c r="AA29" s="2"/>
      <c r="AB29" s="2">
        <f>IFERROR(__xludf.DUMMYFUNCTION("""COMPUTED_VALUE"""),1.0)</f>
        <v>1</v>
      </c>
      <c r="AC29" s="2"/>
      <c r="AD29" s="2"/>
    </row>
    <row r="30">
      <c r="A30" s="2" t="str">
        <f>IFERROR(__xludf.DUMMYFUNCTION("""COMPUTED_VALUE"""),"Bajaj (Grey)")</f>
        <v>Bajaj (Grey)</v>
      </c>
      <c r="B30" s="2" t="str">
        <f>IFERROR(__xludf.DUMMYFUNCTION("""COMPUTED_VALUE"""),"CRM-WG-NW-Ultra-Grey")</f>
        <v>CRM-WG-NW-Ultra-Grey</v>
      </c>
      <c r="C30" s="26">
        <f>IFERROR(__xludf.DUMMYFUNCTION("""COMPUTED_VALUE"""),78.0)</f>
        <v>78</v>
      </c>
      <c r="E30" s="2" t="str">
        <f>IFERROR(__xludf.DUMMYFUNCTION("""COMPUTED_VALUE"""),"HP 580 (Grey)")</f>
        <v>HP 580 (Grey)</v>
      </c>
      <c r="F30" s="26">
        <f t="shared" si="1"/>
        <v>306</v>
      </c>
      <c r="G30" s="26">
        <f t="shared" si="2"/>
        <v>937</v>
      </c>
      <c r="H30" s="26">
        <f t="shared" si="3"/>
        <v>631</v>
      </c>
      <c r="K30" s="2" t="str">
        <f>IFERROR(__xludf.DUMMYFUNCTION("""COMPUTED_VALUE"""),"M1136")</f>
        <v>M1136</v>
      </c>
      <c r="L30" s="2"/>
      <c r="M30" s="2" t="str">
        <f>IFERROR(__xludf.DUMMYFUNCTION("""COMPUTED_VALUE"""),"Printer")</f>
        <v>Printer</v>
      </c>
      <c r="N30" s="2" t="str">
        <f>IFERROR(__xludf.DUMMYFUNCTION("""COMPUTED_VALUE"""),"AG")</f>
        <v>AG</v>
      </c>
      <c r="O30" s="2">
        <f>IFERROR(__xludf.DUMMYFUNCTION("""COMPUTED_VALUE"""),0.0)</f>
        <v>0</v>
      </c>
      <c r="P30" s="2">
        <f>IFERROR(__xludf.DUMMYFUNCTION("""COMPUTED_VALUE"""),0.0)</f>
        <v>0</v>
      </c>
      <c r="Q30" s="2">
        <f>IFERROR(__xludf.DUMMYFUNCTION("""COMPUTED_VALUE"""),0.0)</f>
        <v>0</v>
      </c>
      <c r="R30" s="2">
        <f>IFERROR(__xludf.DUMMYFUNCTION("""COMPUTED_VALUE"""),5.0)</f>
        <v>5</v>
      </c>
      <c r="S30" s="2">
        <f>IFERROR(__xludf.DUMMYFUNCTION("""COMPUTED_VALUE"""),0.0)</f>
        <v>0</v>
      </c>
      <c r="T30" s="2">
        <f>IFERROR(__xludf.DUMMYFUNCTION("""COMPUTED_VALUE"""),0.0)</f>
        <v>0</v>
      </c>
      <c r="U30" s="2">
        <f>IFERROR(__xludf.DUMMYFUNCTION("""COMPUTED_VALUE"""),0.0)</f>
        <v>0</v>
      </c>
      <c r="V30" s="2">
        <f>IFERROR(__xludf.DUMMYFUNCTION("""COMPUTED_VALUE"""),0.0)</f>
        <v>0</v>
      </c>
      <c r="W30" s="2">
        <f>IFERROR(__xludf.DUMMYFUNCTION("""COMPUTED_VALUE"""),0.0)</f>
        <v>0</v>
      </c>
      <c r="X30" s="2">
        <f>IFERROR(__xludf.DUMMYFUNCTION("""COMPUTED_VALUE"""),0.0)</f>
        <v>0</v>
      </c>
      <c r="Y30" s="2">
        <f>IFERROR(__xludf.DUMMYFUNCTION("""COMPUTED_VALUE"""),0.0)</f>
        <v>0</v>
      </c>
      <c r="Z30" s="2" t="str">
        <f>IFERROR(__xludf.DUMMYFUNCTION("""COMPUTED_VALUE"""),"Discontinued")</f>
        <v>Discontinued</v>
      </c>
      <c r="AA30" s="2"/>
      <c r="AB30" s="2">
        <f>IFERROR(__xludf.DUMMYFUNCTION("""COMPUTED_VALUE"""),1.0)</f>
        <v>1</v>
      </c>
      <c r="AC30" s="2"/>
      <c r="AD30" s="2"/>
    </row>
    <row r="31">
      <c r="A31" s="2" t="str">
        <f>IFERROR(__xludf.DUMMYFUNCTION("""COMPUTED_VALUE"""),"Bajaj (Grey)")</f>
        <v>Bajaj (Grey)</v>
      </c>
      <c r="B31" s="2" t="str">
        <f>IFERROR(__xludf.DUMMYFUNCTION("""COMPUTED_VALUE"""),"CRM-WG-NW-Ultra-Grey")</f>
        <v>CRM-WG-NW-Ultra-Grey</v>
      </c>
      <c r="C31" s="26">
        <f>IFERROR(__xludf.DUMMYFUNCTION("""COMPUTED_VALUE"""),22.0)</f>
        <v>22</v>
      </c>
      <c r="E31" s="2" t="str">
        <f>IFERROR(__xludf.DUMMYFUNCTION("""COMPUTED_VALUE"""),"L2321")</f>
        <v>L2321</v>
      </c>
      <c r="F31" s="26">
        <f t="shared" si="1"/>
        <v>2</v>
      </c>
      <c r="G31" s="26">
        <f t="shared" si="2"/>
        <v>6</v>
      </c>
      <c r="H31" s="26">
        <f t="shared" si="3"/>
        <v>4</v>
      </c>
      <c r="K31" s="2" t="str">
        <f>IFERROR(__xludf.DUMMYFUNCTION("""COMPUTED_VALUE"""),"P1108")</f>
        <v>P1108</v>
      </c>
      <c r="L31" s="2"/>
      <c r="M31" s="2" t="str">
        <f>IFERROR(__xludf.DUMMYFUNCTION("""COMPUTED_VALUE"""),"Printer")</f>
        <v>Printer</v>
      </c>
      <c r="N31" s="2" t="str">
        <f>IFERROR(__xludf.DUMMYFUNCTION("""COMPUTED_VALUE"""),"AG")</f>
        <v>AG</v>
      </c>
      <c r="O31" s="2">
        <f>IFERROR(__xludf.DUMMYFUNCTION("""COMPUTED_VALUE"""),-10.0)</f>
        <v>-10</v>
      </c>
      <c r="P31" s="2">
        <f>IFERROR(__xludf.DUMMYFUNCTION("""COMPUTED_VALUE"""),0.0)</f>
        <v>0</v>
      </c>
      <c r="Q31" s="2">
        <f>IFERROR(__xludf.DUMMYFUNCTION("""COMPUTED_VALUE"""),10.0)</f>
        <v>10</v>
      </c>
      <c r="R31" s="2">
        <f>IFERROR(__xludf.DUMMYFUNCTION("""COMPUTED_VALUE"""),5.0)</f>
        <v>5</v>
      </c>
      <c r="S31" s="2">
        <f>IFERROR(__xludf.DUMMYFUNCTION("""COMPUTED_VALUE"""),0.0)</f>
        <v>0</v>
      </c>
      <c r="T31" s="2">
        <f>IFERROR(__xludf.DUMMYFUNCTION("""COMPUTED_VALUE"""),0.0)</f>
        <v>0</v>
      </c>
      <c r="U31" s="2">
        <f>IFERROR(__xludf.DUMMYFUNCTION("""COMPUTED_VALUE"""),0.0)</f>
        <v>0</v>
      </c>
      <c r="V31" s="2">
        <f>IFERROR(__xludf.DUMMYFUNCTION("""COMPUTED_VALUE"""),0.0)</f>
        <v>0</v>
      </c>
      <c r="W31" s="2">
        <f>IFERROR(__xludf.DUMMYFUNCTION("""COMPUTED_VALUE"""),0.0)</f>
        <v>0</v>
      </c>
      <c r="X31" s="2">
        <f>IFERROR(__xludf.DUMMYFUNCTION("""COMPUTED_VALUE"""),0.0)</f>
        <v>0</v>
      </c>
      <c r="Y31" s="2">
        <f>IFERROR(__xludf.DUMMYFUNCTION("""COMPUTED_VALUE"""),10.0)</f>
        <v>10</v>
      </c>
      <c r="Z31" s="2" t="str">
        <f>IFERROR(__xludf.DUMMYFUNCTION("""COMPUTED_VALUE"""),"Discontinued")</f>
        <v>Discontinued</v>
      </c>
      <c r="AA31" s="2"/>
      <c r="AB31" s="2">
        <f>IFERROR(__xludf.DUMMYFUNCTION("""COMPUTED_VALUE"""),1.0)</f>
        <v>1</v>
      </c>
      <c r="AC31" s="2"/>
      <c r="AD31" s="2"/>
    </row>
    <row r="32">
      <c r="A32" s="2" t="str">
        <f>IFERROR(__xludf.DUMMYFUNCTION("""COMPUTED_VALUE"""),"Bajaj (Black)")</f>
        <v>Bajaj (Black)</v>
      </c>
      <c r="B32" s="2" t="str">
        <f>IFERROR(__xludf.DUMMYFUNCTION("""COMPUTED_VALUE"""),"CRM-WG-NW-Ultra-Black")</f>
        <v>CRM-WG-NW-Ultra-Black</v>
      </c>
      <c r="C32" s="26">
        <f>IFERROR(__xludf.DUMMYFUNCTION("""COMPUTED_VALUE"""),2.0)</f>
        <v>2</v>
      </c>
      <c r="E32" s="2" t="str">
        <f>IFERROR(__xludf.DUMMYFUNCTION("""COMPUTED_VALUE"""),"HP 580 (Black)")</f>
        <v>HP 580 (Black)</v>
      </c>
      <c r="F32" s="26">
        <f t="shared" si="1"/>
        <v>128</v>
      </c>
      <c r="G32" s="26">
        <f t="shared" si="2"/>
        <v>322</v>
      </c>
      <c r="H32" s="26">
        <f t="shared" si="3"/>
        <v>194</v>
      </c>
      <c r="K32" s="2" t="str">
        <f>IFERROR(__xludf.DUMMYFUNCTION("""COMPUTED_VALUE"""),"T500W")</f>
        <v>T500W</v>
      </c>
      <c r="L32" s="2"/>
      <c r="M32" s="2" t="str">
        <f>IFERROR(__xludf.DUMMYFUNCTION("""COMPUTED_VALUE"""),"Printer")</f>
        <v>Printer</v>
      </c>
      <c r="N32" s="2" t="str">
        <f>IFERROR(__xludf.DUMMYFUNCTION("""COMPUTED_VALUE"""),"AG")</f>
        <v>AG</v>
      </c>
      <c r="O32" s="2">
        <f>IFERROR(__xludf.DUMMYFUNCTION("""COMPUTED_VALUE"""),3.0)</f>
        <v>3</v>
      </c>
      <c r="P32" s="2">
        <f>IFERROR(__xludf.DUMMYFUNCTION("""COMPUTED_VALUE"""),5.0)</f>
        <v>5</v>
      </c>
      <c r="Q32" s="2">
        <f>IFERROR(__xludf.DUMMYFUNCTION("""COMPUTED_VALUE"""),2.0)</f>
        <v>2</v>
      </c>
      <c r="R32" s="2">
        <f>IFERROR(__xludf.DUMMYFUNCTION("""COMPUTED_VALUE"""),5.0)</f>
        <v>5</v>
      </c>
      <c r="S32" s="2">
        <f>IFERROR(__xludf.DUMMYFUNCTION("""COMPUTED_VALUE"""),3.0)</f>
        <v>3</v>
      </c>
      <c r="T32" s="2">
        <f>IFERROR(__xludf.DUMMYFUNCTION("""COMPUTED_VALUE"""),6.0)</f>
        <v>6</v>
      </c>
      <c r="U32" s="2">
        <f>IFERROR(__xludf.DUMMYFUNCTION("""COMPUTED_VALUE"""),3.0)</f>
        <v>3</v>
      </c>
      <c r="V32" s="2">
        <f>IFERROR(__xludf.DUMMYFUNCTION("""COMPUTED_VALUE"""),6.0)</f>
        <v>6</v>
      </c>
      <c r="W32" s="2">
        <f>IFERROR(__xludf.DUMMYFUNCTION("""COMPUTED_VALUE"""),7.0)</f>
        <v>7</v>
      </c>
      <c r="X32" s="2">
        <f>IFERROR(__xludf.DUMMYFUNCTION("""COMPUTED_VALUE"""),3.0)</f>
        <v>3</v>
      </c>
      <c r="Y32" s="2">
        <f>IFERROR(__xludf.DUMMYFUNCTION("""COMPUTED_VALUE"""),12.0)</f>
        <v>12</v>
      </c>
      <c r="Z32" s="2" t="str">
        <f>IFERROR(__xludf.DUMMYFUNCTION("""COMPUTED_VALUE"""),"Discontinued")</f>
        <v>Discontinued</v>
      </c>
      <c r="AA32" s="2"/>
      <c r="AB32" s="2">
        <f>IFERROR(__xludf.DUMMYFUNCTION("""COMPUTED_VALUE"""),1.0)</f>
        <v>1</v>
      </c>
      <c r="AC32" s="2"/>
      <c r="AD32" s="2"/>
    </row>
    <row r="33">
      <c r="A33" s="2" t="str">
        <f>IFERROR(__xludf.DUMMYFUNCTION("""COMPUTED_VALUE"""),"Bajaj (Black)")</f>
        <v>Bajaj (Black)</v>
      </c>
      <c r="B33" s="2" t="str">
        <f>IFERROR(__xludf.DUMMYFUNCTION("""COMPUTED_VALUE"""),"CRM-WG-NW-Ultra-Black")</f>
        <v>CRM-WG-NW-Ultra-Black</v>
      </c>
      <c r="C33" s="26">
        <f>IFERROR(__xludf.DUMMYFUNCTION("""COMPUTED_VALUE"""),10.0)</f>
        <v>10</v>
      </c>
      <c r="E33" s="2" t="str">
        <f>IFERROR(__xludf.DUMMYFUNCTION("""COMPUTED_VALUE"""),"HP 4826 (Black)")</f>
        <v>HP 4826 (Black)</v>
      </c>
      <c r="F33" s="26">
        <f t="shared" si="1"/>
        <v>20</v>
      </c>
      <c r="G33" s="26">
        <f t="shared" si="2"/>
        <v>146</v>
      </c>
      <c r="H33" s="26">
        <f t="shared" si="3"/>
        <v>126</v>
      </c>
      <c r="K33" s="2" t="str">
        <f>IFERROR(__xludf.DUMMYFUNCTION("""COMPUTED_VALUE"""),"T820DW")</f>
        <v>T820DW</v>
      </c>
      <c r="L33" s="2"/>
      <c r="M33" s="2" t="str">
        <f>IFERROR(__xludf.DUMMYFUNCTION("""COMPUTED_VALUE"""),"Printer")</f>
        <v>Printer</v>
      </c>
      <c r="N33" s="2" t="str">
        <f>IFERROR(__xludf.DUMMYFUNCTION("""COMPUTED_VALUE"""),"AG")</f>
        <v>AG</v>
      </c>
      <c r="O33" s="2">
        <f>IFERROR(__xludf.DUMMYFUNCTION("""COMPUTED_VALUE"""),-1.0)</f>
        <v>-1</v>
      </c>
      <c r="P33" s="2">
        <f>IFERROR(__xludf.DUMMYFUNCTION("""COMPUTED_VALUE"""),0.0)</f>
        <v>0</v>
      </c>
      <c r="Q33" s="2">
        <f>IFERROR(__xludf.DUMMYFUNCTION("""COMPUTED_VALUE"""),1.0)</f>
        <v>1</v>
      </c>
      <c r="R33" s="2">
        <f>IFERROR(__xludf.DUMMYFUNCTION("""COMPUTED_VALUE"""),5.0)</f>
        <v>5</v>
      </c>
      <c r="S33" s="2">
        <f>IFERROR(__xludf.DUMMYFUNCTION("""COMPUTED_VALUE"""),0.0)</f>
        <v>0</v>
      </c>
      <c r="T33" s="2">
        <f>IFERROR(__xludf.DUMMYFUNCTION("""COMPUTED_VALUE"""),0.0)</f>
        <v>0</v>
      </c>
      <c r="U33" s="2">
        <f>IFERROR(__xludf.DUMMYFUNCTION("""COMPUTED_VALUE"""),0.0)</f>
        <v>0</v>
      </c>
      <c r="V33" s="2">
        <f>IFERROR(__xludf.DUMMYFUNCTION("""COMPUTED_VALUE"""),0.0)</f>
        <v>0</v>
      </c>
      <c r="W33" s="2">
        <f>IFERROR(__xludf.DUMMYFUNCTION("""COMPUTED_VALUE"""),0.0)</f>
        <v>0</v>
      </c>
      <c r="X33" s="2">
        <f>IFERROR(__xludf.DUMMYFUNCTION("""COMPUTED_VALUE"""),0.0)</f>
        <v>0</v>
      </c>
      <c r="Y33" s="2">
        <f>IFERROR(__xludf.DUMMYFUNCTION("""COMPUTED_VALUE"""),1.0)</f>
        <v>1</v>
      </c>
      <c r="Z33" s="2" t="str">
        <f>IFERROR(__xludf.DUMMYFUNCTION("""COMPUTED_VALUE"""),"Discontinued")</f>
        <v>Discontinued</v>
      </c>
      <c r="AA33" s="2"/>
      <c r="AB33" s="2">
        <f>IFERROR(__xludf.DUMMYFUNCTION("""COMPUTED_VALUE"""),1.0)</f>
        <v>1</v>
      </c>
      <c r="AC33" s="2"/>
      <c r="AD33" s="2"/>
    </row>
    <row r="34">
      <c r="A34" s="2" t="str">
        <f>IFERROR(__xludf.DUMMYFUNCTION("""COMPUTED_VALUE"""),"Bajaj (Black)")</f>
        <v>Bajaj (Black)</v>
      </c>
      <c r="B34" s="2" t="str">
        <f>IFERROR(__xludf.DUMMYFUNCTION("""COMPUTED_VALUE"""),"CRM-WG-NW-Ultra-Black")</f>
        <v>CRM-WG-NW-Ultra-Black</v>
      </c>
      <c r="C34" s="26">
        <f>IFERROR(__xludf.DUMMYFUNCTION("""COMPUTED_VALUE"""),12.0)</f>
        <v>12</v>
      </c>
      <c r="E34" s="2" t="str">
        <f>IFERROR(__xludf.DUMMYFUNCTION("""COMPUTED_VALUE"""),"Canon TS207 - Grey")</f>
        <v>Canon TS207 - Grey</v>
      </c>
      <c r="F34" s="26">
        <f t="shared" si="1"/>
        <v>2</v>
      </c>
      <c r="G34" s="26">
        <f t="shared" si="2"/>
        <v>60</v>
      </c>
      <c r="H34" s="26">
        <f t="shared" si="3"/>
        <v>58</v>
      </c>
      <c r="K34" s="2" t="str">
        <f>IFERROR(__xludf.DUMMYFUNCTION("""COMPUTED_VALUE"""),"2900B")</f>
        <v>2900B</v>
      </c>
      <c r="L34" s="2"/>
      <c r="M34" s="2" t="str">
        <f>IFERROR(__xludf.DUMMYFUNCTION("""COMPUTED_VALUE"""),"Printer")</f>
        <v>Printer</v>
      </c>
      <c r="N34" s="2" t="str">
        <f>IFERROR(__xludf.DUMMYFUNCTION("""COMPUTED_VALUE"""),"AG")</f>
        <v>AG</v>
      </c>
      <c r="O34" s="2">
        <f>IFERROR(__xludf.DUMMYFUNCTION("""COMPUTED_VALUE"""),-6.0)</f>
        <v>-6</v>
      </c>
      <c r="P34" s="2">
        <f>IFERROR(__xludf.DUMMYFUNCTION("""COMPUTED_VALUE"""),0.0)</f>
        <v>0</v>
      </c>
      <c r="Q34" s="2">
        <f>IFERROR(__xludf.DUMMYFUNCTION("""COMPUTED_VALUE"""),6.0)</f>
        <v>6</v>
      </c>
      <c r="R34" s="2">
        <f>IFERROR(__xludf.DUMMYFUNCTION("""COMPUTED_VALUE"""),5.0)</f>
        <v>5</v>
      </c>
      <c r="S34" s="2">
        <f>IFERROR(__xludf.DUMMYFUNCTION("""COMPUTED_VALUE"""),0.0)</f>
        <v>0</v>
      </c>
      <c r="T34" s="2">
        <f>IFERROR(__xludf.DUMMYFUNCTION("""COMPUTED_VALUE"""),0.0)</f>
        <v>0</v>
      </c>
      <c r="U34" s="2">
        <f>IFERROR(__xludf.DUMMYFUNCTION("""COMPUTED_VALUE"""),0.0)</f>
        <v>0</v>
      </c>
      <c r="V34" s="2">
        <f>IFERROR(__xludf.DUMMYFUNCTION("""COMPUTED_VALUE"""),0.0)</f>
        <v>0</v>
      </c>
      <c r="W34" s="2">
        <f>IFERROR(__xludf.DUMMYFUNCTION("""COMPUTED_VALUE"""),0.0)</f>
        <v>0</v>
      </c>
      <c r="X34" s="2">
        <f>IFERROR(__xludf.DUMMYFUNCTION("""COMPUTED_VALUE"""),0.0)</f>
        <v>0</v>
      </c>
      <c r="Y34" s="2">
        <f>IFERROR(__xludf.DUMMYFUNCTION("""COMPUTED_VALUE"""),22.0)</f>
        <v>22</v>
      </c>
      <c r="Z34" s="2" t="str">
        <f>IFERROR(__xludf.DUMMYFUNCTION("""COMPUTED_VALUE"""),"Discontinued")</f>
        <v>Discontinued</v>
      </c>
      <c r="AA34" s="2"/>
      <c r="AB34" s="2">
        <f>IFERROR(__xludf.DUMMYFUNCTION("""COMPUTED_VALUE"""),1.0)</f>
        <v>1</v>
      </c>
      <c r="AC34" s="2"/>
      <c r="AD34" s="2"/>
    </row>
    <row r="35">
      <c r="A35" s="2" t="str">
        <f>IFERROR(__xludf.DUMMYFUNCTION("""COMPUTED_VALUE"""),"Bajaj (Black)")</f>
        <v>Bajaj (Black)</v>
      </c>
      <c r="B35" s="2" t="str">
        <f>IFERROR(__xludf.DUMMYFUNCTION("""COMPUTED_VALUE"""),"CRM-WG-NW-Ultra-Black")</f>
        <v>CRM-WG-NW-Ultra-Black</v>
      </c>
      <c r="C35" s="26">
        <f>IFERROR(__xludf.DUMMYFUNCTION("""COMPUTED_VALUE"""),4.0)</f>
        <v>4</v>
      </c>
      <c r="E35" s="2" t="str">
        <f>IFERROR(__xludf.DUMMYFUNCTION("""COMPUTED_VALUE"""),"HP 2606sdw - Grey")</f>
        <v>HP 2606sdw - Grey</v>
      </c>
      <c r="F35" s="26">
        <f t="shared" si="1"/>
        <v>26</v>
      </c>
      <c r="G35" s="26">
        <f t="shared" si="2"/>
        <v>269</v>
      </c>
      <c r="H35" s="26">
        <f t="shared" si="3"/>
        <v>243</v>
      </c>
      <c r="K35" s="2" t="str">
        <f>IFERROR(__xludf.DUMMYFUNCTION("""COMPUTED_VALUE"""),"HP 5075")</f>
        <v>HP 5075</v>
      </c>
      <c r="L35" s="2"/>
      <c r="M35" s="2" t="str">
        <f>IFERROR(__xludf.DUMMYFUNCTION("""COMPUTED_VALUE"""),"Printer")</f>
        <v>Printer</v>
      </c>
      <c r="N35" s="2" t="str">
        <f>IFERROR(__xludf.DUMMYFUNCTION("""COMPUTED_VALUE"""),"AG")</f>
        <v>AG</v>
      </c>
      <c r="O35" s="2">
        <f>IFERROR(__xludf.DUMMYFUNCTION("""COMPUTED_VALUE"""),-127.0)</f>
        <v>-127</v>
      </c>
      <c r="P35" s="2">
        <f>IFERROR(__xludf.DUMMYFUNCTION("""COMPUTED_VALUE"""),0.0)</f>
        <v>0</v>
      </c>
      <c r="Q35" s="2">
        <f>IFERROR(__xludf.DUMMYFUNCTION("""COMPUTED_VALUE"""),127.0)</f>
        <v>127</v>
      </c>
      <c r="R35" s="2">
        <f>IFERROR(__xludf.DUMMYFUNCTION("""COMPUTED_VALUE"""),5.0)</f>
        <v>5</v>
      </c>
      <c r="S35" s="2">
        <f>IFERROR(__xludf.DUMMYFUNCTION("""COMPUTED_VALUE"""),0.0)</f>
        <v>0</v>
      </c>
      <c r="T35" s="2">
        <f>IFERROR(__xludf.DUMMYFUNCTION("""COMPUTED_VALUE"""),0.0)</f>
        <v>0</v>
      </c>
      <c r="U35" s="2">
        <f>IFERROR(__xludf.DUMMYFUNCTION("""COMPUTED_VALUE"""),0.0)</f>
        <v>0</v>
      </c>
      <c r="V35" s="2">
        <f>IFERROR(__xludf.DUMMYFUNCTION("""COMPUTED_VALUE"""),0.0)</f>
        <v>0</v>
      </c>
      <c r="W35" s="2">
        <f>IFERROR(__xludf.DUMMYFUNCTION("""COMPUTED_VALUE"""),0.0)</f>
        <v>0</v>
      </c>
      <c r="X35" s="2">
        <f>IFERROR(__xludf.DUMMYFUNCTION("""COMPUTED_VALUE"""),0.0)</f>
        <v>0</v>
      </c>
      <c r="Y35" s="2">
        <f>IFERROR(__xludf.DUMMYFUNCTION("""COMPUTED_VALUE"""),127.0)</f>
        <v>127</v>
      </c>
      <c r="Z35" s="2" t="str">
        <f>IFERROR(__xludf.DUMMYFUNCTION("""COMPUTED_VALUE"""),"Discontinued")</f>
        <v>Discontinued</v>
      </c>
      <c r="AA35" s="2"/>
      <c r="AB35" s="2">
        <f>IFERROR(__xludf.DUMMYFUNCTION("""COMPUTED_VALUE"""),1.0)</f>
        <v>1</v>
      </c>
      <c r="AC35" s="2"/>
      <c r="AD35" s="2"/>
    </row>
    <row r="36">
      <c r="A36" s="2" t="str">
        <f>IFERROR(__xludf.DUMMYFUNCTION("""COMPUTED_VALUE"""),"Bajaj (Black)")</f>
        <v>Bajaj (Black)</v>
      </c>
      <c r="B36" s="2" t="str">
        <f>IFERROR(__xludf.DUMMYFUNCTION("""COMPUTED_VALUE"""),"CRM-WG-NW-Ultra-Black")</f>
        <v>CRM-WG-NW-Ultra-Black</v>
      </c>
      <c r="C36" s="26">
        <f>IFERROR(__xludf.DUMMYFUNCTION("""COMPUTED_VALUE"""),30.0)</f>
        <v>30</v>
      </c>
      <c r="E36" s="2" t="str">
        <f>IFERROR(__xludf.DUMMYFUNCTION("""COMPUTED_VALUE"""),"Cubes-Grey (5Q)")</f>
        <v>Cubes-Grey (5Q)</v>
      </c>
      <c r="F36" s="26">
        <f t="shared" si="1"/>
        <v>92</v>
      </c>
      <c r="G36" s="26">
        <f t="shared" si="2"/>
        <v>235</v>
      </c>
      <c r="H36" s="26">
        <f t="shared" si="3"/>
        <v>143</v>
      </c>
      <c r="K36" s="2" t="str">
        <f>IFERROR(__xludf.DUMMYFUNCTION("""COMPUTED_VALUE"""),"HP 515")</f>
        <v>HP 515</v>
      </c>
      <c r="L36" s="2"/>
      <c r="M36" s="2" t="str">
        <f>IFERROR(__xludf.DUMMYFUNCTION("""COMPUTED_VALUE"""),"Printer")</f>
        <v>Printer</v>
      </c>
      <c r="N36" s="2" t="str">
        <f>IFERROR(__xludf.DUMMYFUNCTION("""COMPUTED_VALUE"""),"AG")</f>
        <v>AG</v>
      </c>
      <c r="O36" s="2">
        <f>IFERROR(__xludf.DUMMYFUNCTION("""COMPUTED_VALUE"""),-21.0)</f>
        <v>-21</v>
      </c>
      <c r="P36" s="2">
        <f>IFERROR(__xludf.DUMMYFUNCTION("""COMPUTED_VALUE"""),0.0)</f>
        <v>0</v>
      </c>
      <c r="Q36" s="2">
        <f>IFERROR(__xludf.DUMMYFUNCTION("""COMPUTED_VALUE"""),21.0)</f>
        <v>21</v>
      </c>
      <c r="R36" s="2">
        <f>IFERROR(__xludf.DUMMYFUNCTION("""COMPUTED_VALUE"""),5.0)</f>
        <v>5</v>
      </c>
      <c r="S36" s="2">
        <f>IFERROR(__xludf.DUMMYFUNCTION("""COMPUTED_VALUE"""),0.0)</f>
        <v>0</v>
      </c>
      <c r="T36" s="2">
        <f>IFERROR(__xludf.DUMMYFUNCTION("""COMPUTED_VALUE"""),0.0)</f>
        <v>0</v>
      </c>
      <c r="U36" s="2">
        <f>IFERROR(__xludf.DUMMYFUNCTION("""COMPUTED_VALUE"""),0.0)</f>
        <v>0</v>
      </c>
      <c r="V36" s="2">
        <f>IFERROR(__xludf.DUMMYFUNCTION("""COMPUTED_VALUE"""),0.0)</f>
        <v>0</v>
      </c>
      <c r="W36" s="2">
        <f>IFERROR(__xludf.DUMMYFUNCTION("""COMPUTED_VALUE"""),0.0)</f>
        <v>0</v>
      </c>
      <c r="X36" s="2">
        <f>IFERROR(__xludf.DUMMYFUNCTION("""COMPUTED_VALUE"""),0.0)</f>
        <v>0</v>
      </c>
      <c r="Y36" s="2">
        <f>IFERROR(__xludf.DUMMYFUNCTION("""COMPUTED_VALUE"""),21.0)</f>
        <v>21</v>
      </c>
      <c r="Z36" s="2" t="str">
        <f>IFERROR(__xludf.DUMMYFUNCTION("""COMPUTED_VALUE"""),"Discontinued")</f>
        <v>Discontinued</v>
      </c>
      <c r="AA36" s="2"/>
      <c r="AB36" s="2">
        <f>IFERROR(__xludf.DUMMYFUNCTION("""COMPUTED_VALUE"""),1.0)</f>
        <v>1</v>
      </c>
      <c r="AC36" s="2"/>
      <c r="AD36" s="2"/>
    </row>
    <row r="37">
      <c r="A37" s="2" t="str">
        <f>IFERROR(__xludf.DUMMYFUNCTION("""COMPUTED_VALUE"""),"Bajaj (Black)")</f>
        <v>Bajaj (Black)</v>
      </c>
      <c r="B37" s="2" t="str">
        <f>IFERROR(__xludf.DUMMYFUNCTION("""COMPUTED_VALUE"""),"CRM-WG-NW-Ultra-Black")</f>
        <v>CRM-WG-NW-Ultra-Black</v>
      </c>
      <c r="C37" s="26">
        <f>IFERROR(__xludf.DUMMYFUNCTION("""COMPUTED_VALUE"""),4.0)</f>
        <v>4</v>
      </c>
      <c r="E37" s="2" t="str">
        <f>IFERROR(__xludf.DUMMYFUNCTION("""COMPUTED_VALUE"""),"Cubes-Grey (12Q)")</f>
        <v>Cubes-Grey (12Q)</v>
      </c>
      <c r="F37" s="26">
        <f t="shared" si="1"/>
        <v>46</v>
      </c>
      <c r="G37" s="26">
        <f t="shared" si="2"/>
        <v>15</v>
      </c>
      <c r="H37" s="26">
        <f t="shared" si="3"/>
        <v>-31</v>
      </c>
      <c r="K37" s="2" t="str">
        <f>IFERROR(__xludf.DUMMYFUNCTION("""COMPUTED_VALUE"""),"HP 530")</f>
        <v>HP 530</v>
      </c>
      <c r="L37" s="2"/>
      <c r="M37" s="2" t="str">
        <f>IFERROR(__xludf.DUMMYFUNCTION("""COMPUTED_VALUE"""),"Printer")</f>
        <v>Printer</v>
      </c>
      <c r="N37" s="2" t="str">
        <f>IFERROR(__xludf.DUMMYFUNCTION("""COMPUTED_VALUE"""),"AG")</f>
        <v>AG</v>
      </c>
      <c r="O37" s="2">
        <f>IFERROR(__xludf.DUMMYFUNCTION("""COMPUTED_VALUE"""),-1.0)</f>
        <v>-1</v>
      </c>
      <c r="P37" s="2">
        <f>IFERROR(__xludf.DUMMYFUNCTION("""COMPUTED_VALUE"""),1.0)</f>
        <v>1</v>
      </c>
      <c r="Q37" s="2">
        <f>IFERROR(__xludf.DUMMYFUNCTION("""COMPUTED_VALUE"""),2.0)</f>
        <v>2</v>
      </c>
      <c r="R37" s="2">
        <f>IFERROR(__xludf.DUMMYFUNCTION("""COMPUTED_VALUE"""),5.0)</f>
        <v>5</v>
      </c>
      <c r="S37" s="2">
        <f>IFERROR(__xludf.DUMMYFUNCTION("""COMPUTED_VALUE"""),0.0)</f>
        <v>0</v>
      </c>
      <c r="T37" s="2">
        <f>IFERROR(__xludf.DUMMYFUNCTION("""COMPUTED_VALUE"""),1.0)</f>
        <v>1</v>
      </c>
      <c r="U37" s="2">
        <f>IFERROR(__xludf.DUMMYFUNCTION("""COMPUTED_VALUE"""),1.0)</f>
        <v>1</v>
      </c>
      <c r="V37" s="2">
        <f>IFERROR(__xludf.DUMMYFUNCTION("""COMPUTED_VALUE"""),1.0)</f>
        <v>1</v>
      </c>
      <c r="W37" s="2">
        <f>IFERROR(__xludf.DUMMYFUNCTION("""COMPUTED_VALUE"""),0.0)</f>
        <v>0</v>
      </c>
      <c r="X37" s="2">
        <f>IFERROR(__xludf.DUMMYFUNCTION("""COMPUTED_VALUE"""),0.0)</f>
        <v>0</v>
      </c>
      <c r="Y37" s="2">
        <f>IFERROR(__xludf.DUMMYFUNCTION("""COMPUTED_VALUE"""),2.0)</f>
        <v>2</v>
      </c>
      <c r="Z37" s="2" t="str">
        <f>IFERROR(__xludf.DUMMYFUNCTION("""COMPUTED_VALUE"""),"Discontinued")</f>
        <v>Discontinued</v>
      </c>
      <c r="AA37" s="2"/>
      <c r="AB37" s="2">
        <f>IFERROR(__xludf.DUMMYFUNCTION("""COMPUTED_VALUE"""),1.0)</f>
        <v>1</v>
      </c>
      <c r="AC37" s="2"/>
      <c r="AD37" s="2"/>
    </row>
    <row r="38">
      <c r="A38" s="2" t="str">
        <f>IFERROR(__xludf.DUMMYFUNCTION("""COMPUTED_VALUE"""),"Bajaj (Black)")</f>
        <v>Bajaj (Black)</v>
      </c>
      <c r="B38" s="2" t="str">
        <f>IFERROR(__xludf.DUMMYFUNCTION("""COMPUTED_VALUE"""),"CRM-WG-NW-Ultra-Black")</f>
        <v>CRM-WG-NW-Ultra-Black</v>
      </c>
      <c r="C38" s="26">
        <f>IFERROR(__xludf.DUMMYFUNCTION("""COMPUTED_VALUE"""),8.0)</f>
        <v>8</v>
      </c>
      <c r="E38" s="2" t="str">
        <f>IFERROR(__xludf.DUMMYFUNCTION("""COMPUTED_VALUE"""),"CP-1-Black")</f>
        <v>CP-1-Black</v>
      </c>
      <c r="F38" s="26">
        <f t="shared" si="1"/>
        <v>12</v>
      </c>
      <c r="G38" s="26">
        <f t="shared" si="2"/>
        <v>96</v>
      </c>
      <c r="H38" s="26">
        <f t="shared" si="3"/>
        <v>84</v>
      </c>
      <c r="K38" s="2" t="str">
        <f>IFERROR(__xludf.DUMMYFUNCTION("""COMPUTED_VALUE"""),"HP 6075")</f>
        <v>HP 6075</v>
      </c>
      <c r="L38" s="2"/>
      <c r="M38" s="2" t="str">
        <f>IFERROR(__xludf.DUMMYFUNCTION("""COMPUTED_VALUE"""),"Printer")</f>
        <v>Printer</v>
      </c>
      <c r="N38" s="2" t="str">
        <f>IFERROR(__xludf.DUMMYFUNCTION("""COMPUTED_VALUE"""),"AG")</f>
        <v>AG</v>
      </c>
      <c r="O38" s="2">
        <f>IFERROR(__xludf.DUMMYFUNCTION("""COMPUTED_VALUE"""),-1.0)</f>
        <v>-1</v>
      </c>
      <c r="P38" s="2">
        <f>IFERROR(__xludf.DUMMYFUNCTION("""COMPUTED_VALUE"""),0.0)</f>
        <v>0</v>
      </c>
      <c r="Q38" s="2">
        <f>IFERROR(__xludf.DUMMYFUNCTION("""COMPUTED_VALUE"""),1.0)</f>
        <v>1</v>
      </c>
      <c r="R38" s="2">
        <f>IFERROR(__xludf.DUMMYFUNCTION("""COMPUTED_VALUE"""),5.0)</f>
        <v>5</v>
      </c>
      <c r="S38" s="2">
        <f>IFERROR(__xludf.DUMMYFUNCTION("""COMPUTED_VALUE"""),0.0)</f>
        <v>0</v>
      </c>
      <c r="T38" s="2">
        <f>IFERROR(__xludf.DUMMYFUNCTION("""COMPUTED_VALUE"""),0.0)</f>
        <v>0</v>
      </c>
      <c r="U38" s="2">
        <f>IFERROR(__xludf.DUMMYFUNCTION("""COMPUTED_VALUE"""),0.0)</f>
        <v>0</v>
      </c>
      <c r="V38" s="2">
        <f>IFERROR(__xludf.DUMMYFUNCTION("""COMPUTED_VALUE"""),0.0)</f>
        <v>0</v>
      </c>
      <c r="W38" s="2">
        <f>IFERROR(__xludf.DUMMYFUNCTION("""COMPUTED_VALUE"""),0.0)</f>
        <v>0</v>
      </c>
      <c r="X38" s="2">
        <f>IFERROR(__xludf.DUMMYFUNCTION("""COMPUTED_VALUE"""),0.0)</f>
        <v>0</v>
      </c>
      <c r="Y38" s="2">
        <f>IFERROR(__xludf.DUMMYFUNCTION("""COMPUTED_VALUE"""),1.0)</f>
        <v>1</v>
      </c>
      <c r="Z38" s="2" t="str">
        <f>IFERROR(__xludf.DUMMYFUNCTION("""COMPUTED_VALUE"""),"Discontinued")</f>
        <v>Discontinued</v>
      </c>
      <c r="AA38" s="2"/>
      <c r="AB38" s="2">
        <f>IFERROR(__xludf.DUMMYFUNCTION("""COMPUTED_VALUE"""),1.0)</f>
        <v>1</v>
      </c>
      <c r="AC38" s="2"/>
      <c r="AD38" s="2"/>
    </row>
    <row r="39">
      <c r="A39" s="2" t="str">
        <f>IFERROR(__xludf.DUMMYFUNCTION("""COMPUTED_VALUE"""),"Bajaj (Black)")</f>
        <v>Bajaj (Black)</v>
      </c>
      <c r="B39" s="2" t="str">
        <f>IFERROR(__xludf.DUMMYFUNCTION("""COMPUTED_VALUE"""),"CRM-WG-NW-Ultra-Black")</f>
        <v>CRM-WG-NW-Ultra-Black</v>
      </c>
      <c r="C39" s="26">
        <f>IFERROR(__xludf.DUMMYFUNCTION("""COMPUTED_VALUE"""),8.0)</f>
        <v>8</v>
      </c>
      <c r="E39" s="2" t="str">
        <f>IFERROR(__xludf.DUMMYFUNCTION("""COMPUTED_VALUE"""),"CP-2-Grey (2Q)")</f>
        <v>CP-2-Grey (2Q)</v>
      </c>
      <c r="F39" s="26">
        <f t="shared" si="1"/>
        <v>12</v>
      </c>
      <c r="G39" s="26">
        <f t="shared" si="2"/>
        <v>80</v>
      </c>
      <c r="H39" s="26">
        <f t="shared" si="3"/>
        <v>68</v>
      </c>
      <c r="K39" s="2" t="str">
        <f>IFERROR(__xludf.DUMMYFUNCTION("""COMPUTED_VALUE"""),"HP 3835")</f>
        <v>HP 3835</v>
      </c>
      <c r="L39" s="2"/>
      <c r="M39" s="2" t="str">
        <f>IFERROR(__xludf.DUMMYFUNCTION("""COMPUTED_VALUE"""),"Printer")</f>
        <v>Printer</v>
      </c>
      <c r="N39" s="2" t="str">
        <f>IFERROR(__xludf.DUMMYFUNCTION("""COMPUTED_VALUE"""),"AG")</f>
        <v>AG</v>
      </c>
      <c r="O39" s="2">
        <f>IFERROR(__xludf.DUMMYFUNCTION("""COMPUTED_VALUE"""),-101.0)</f>
        <v>-101</v>
      </c>
      <c r="P39" s="2">
        <f>IFERROR(__xludf.DUMMYFUNCTION("""COMPUTED_VALUE"""),0.0)</f>
        <v>0</v>
      </c>
      <c r="Q39" s="2">
        <f>IFERROR(__xludf.DUMMYFUNCTION("""COMPUTED_VALUE"""),101.0)</f>
        <v>101</v>
      </c>
      <c r="R39" s="2">
        <f>IFERROR(__xludf.DUMMYFUNCTION("""COMPUTED_VALUE"""),5.0)</f>
        <v>5</v>
      </c>
      <c r="S39" s="2">
        <f>IFERROR(__xludf.DUMMYFUNCTION("""COMPUTED_VALUE"""),0.0)</f>
        <v>0</v>
      </c>
      <c r="T39" s="2">
        <f>IFERROR(__xludf.DUMMYFUNCTION("""COMPUTED_VALUE"""),0.0)</f>
        <v>0</v>
      </c>
      <c r="U39" s="2">
        <f>IFERROR(__xludf.DUMMYFUNCTION("""COMPUTED_VALUE"""),0.0)</f>
        <v>0</v>
      </c>
      <c r="V39" s="2">
        <f>IFERROR(__xludf.DUMMYFUNCTION("""COMPUTED_VALUE"""),0.0)</f>
        <v>0</v>
      </c>
      <c r="W39" s="2">
        <f>IFERROR(__xludf.DUMMYFUNCTION("""COMPUTED_VALUE"""),0.0)</f>
        <v>0</v>
      </c>
      <c r="X39" s="2">
        <f>IFERROR(__xludf.DUMMYFUNCTION("""COMPUTED_VALUE"""),0.0)</f>
        <v>0</v>
      </c>
      <c r="Y39" s="2">
        <f>IFERROR(__xludf.DUMMYFUNCTION("""COMPUTED_VALUE"""),101.0)</f>
        <v>101</v>
      </c>
      <c r="Z39" s="2" t="str">
        <f>IFERROR(__xludf.DUMMYFUNCTION("""COMPUTED_VALUE"""),"Discontinued")</f>
        <v>Discontinued</v>
      </c>
      <c r="AA39" s="2"/>
      <c r="AB39" s="2">
        <f>IFERROR(__xludf.DUMMYFUNCTION("""COMPUTED_VALUE"""),1.0)</f>
        <v>1</v>
      </c>
      <c r="AC39" s="2"/>
      <c r="AD39" s="2"/>
    </row>
    <row r="40">
      <c r="A40" s="2" t="str">
        <f>IFERROR(__xludf.DUMMYFUNCTION("""COMPUTED_VALUE"""),"Bajaj (Grey)")</f>
        <v>Bajaj (Grey)</v>
      </c>
      <c r="B40" s="2" t="str">
        <f>IFERROR(__xludf.DUMMYFUNCTION("""COMPUTED_VALUE"""),"CRM-WG-NW-Butterfly-Grey")</f>
        <v>CRM-WG-NW-Butterfly-Grey</v>
      </c>
      <c r="C40" s="26">
        <f>IFERROR(__xludf.DUMMYFUNCTION("""COMPUTED_VALUE"""),10.0)</f>
        <v>10</v>
      </c>
      <c r="E40" s="2" t="str">
        <f>IFERROR(__xludf.DUMMYFUNCTION("""COMPUTED_VALUE"""),"SC-Black (4Q)")</f>
        <v>SC-Black (4Q)</v>
      </c>
      <c r="F40" s="26">
        <f t="shared" si="1"/>
        <v>6</v>
      </c>
      <c r="G40" s="26">
        <f t="shared" si="2"/>
        <v>29.5</v>
      </c>
      <c r="H40" s="26">
        <f t="shared" si="3"/>
        <v>23.5</v>
      </c>
      <c r="K40" s="2" t="str">
        <f>IFERROR(__xludf.DUMMYFUNCTION("""COMPUTED_VALUE"""),"HP 4675")</f>
        <v>HP 4675</v>
      </c>
      <c r="L40" s="2"/>
      <c r="M40" s="2" t="str">
        <f>IFERROR(__xludf.DUMMYFUNCTION("""COMPUTED_VALUE"""),"Printer")</f>
        <v>Printer</v>
      </c>
      <c r="N40" s="2" t="str">
        <f>IFERROR(__xludf.DUMMYFUNCTION("""COMPUTED_VALUE"""),"AG")</f>
        <v>AG</v>
      </c>
      <c r="O40" s="2">
        <f>IFERROR(__xludf.DUMMYFUNCTION("""COMPUTED_VALUE"""),-4.0)</f>
        <v>-4</v>
      </c>
      <c r="P40" s="2">
        <f>IFERROR(__xludf.DUMMYFUNCTION("""COMPUTED_VALUE"""),0.0)</f>
        <v>0</v>
      </c>
      <c r="Q40" s="2">
        <f>IFERROR(__xludf.DUMMYFUNCTION("""COMPUTED_VALUE"""),4.0)</f>
        <v>4</v>
      </c>
      <c r="R40" s="2">
        <f>IFERROR(__xludf.DUMMYFUNCTION("""COMPUTED_VALUE"""),5.0)</f>
        <v>5</v>
      </c>
      <c r="S40" s="2">
        <f>IFERROR(__xludf.DUMMYFUNCTION("""COMPUTED_VALUE"""),0.0)</f>
        <v>0</v>
      </c>
      <c r="T40" s="2">
        <f>IFERROR(__xludf.DUMMYFUNCTION("""COMPUTED_VALUE"""),0.0)</f>
        <v>0</v>
      </c>
      <c r="U40" s="2">
        <f>IFERROR(__xludf.DUMMYFUNCTION("""COMPUTED_VALUE"""),0.0)</f>
        <v>0</v>
      </c>
      <c r="V40" s="2">
        <f>IFERROR(__xludf.DUMMYFUNCTION("""COMPUTED_VALUE"""),0.0)</f>
        <v>0</v>
      </c>
      <c r="W40" s="2">
        <f>IFERROR(__xludf.DUMMYFUNCTION("""COMPUTED_VALUE"""),0.0)</f>
        <v>0</v>
      </c>
      <c r="X40" s="2">
        <f>IFERROR(__xludf.DUMMYFUNCTION("""COMPUTED_VALUE"""),0.0)</f>
        <v>0</v>
      </c>
      <c r="Y40" s="2">
        <f>IFERROR(__xludf.DUMMYFUNCTION("""COMPUTED_VALUE"""),4.0)</f>
        <v>4</v>
      </c>
      <c r="Z40" s="2" t="str">
        <f>IFERROR(__xludf.DUMMYFUNCTION("""COMPUTED_VALUE"""),"Discontinued")</f>
        <v>Discontinued</v>
      </c>
      <c r="AA40" s="2"/>
      <c r="AB40" s="2">
        <f>IFERROR(__xludf.DUMMYFUNCTION("""COMPUTED_VALUE"""),1.0)</f>
        <v>1</v>
      </c>
      <c r="AC40" s="2"/>
      <c r="AD40" s="2"/>
    </row>
    <row r="41">
      <c r="A41" s="2" t="str">
        <f>IFERROR(__xludf.DUMMYFUNCTION("""COMPUTED_VALUE"""),"Bajaj (Grey)")</f>
        <v>Bajaj (Grey)</v>
      </c>
      <c r="B41" s="2" t="str">
        <f>IFERROR(__xludf.DUMMYFUNCTION("""COMPUTED_VALUE"""),"CRM-WG-NW-Butterfly-Grey")</f>
        <v>CRM-WG-NW-Butterfly-Grey</v>
      </c>
      <c r="C41" s="26">
        <f>IFERROR(__xludf.DUMMYFUNCTION("""COMPUTED_VALUE"""),18.0)</f>
        <v>18</v>
      </c>
      <c r="E41" s="2" t="str">
        <f>IFERROR(__xludf.DUMMYFUNCTION("""COMPUTED_VALUE"""),"SC-TS (4Q)")</f>
        <v>SC-TS (4Q)</v>
      </c>
      <c r="F41" s="26">
        <f t="shared" si="1"/>
        <v>22</v>
      </c>
      <c r="G41" s="26">
        <f t="shared" si="2"/>
        <v>44</v>
      </c>
      <c r="H41" s="26">
        <f t="shared" si="3"/>
        <v>22</v>
      </c>
      <c r="K41" s="2" t="str">
        <f>IFERROR(__xludf.DUMMYFUNCTION("""COMPUTED_VALUE"""),"E510-CANON")</f>
        <v>E510-CANON</v>
      </c>
      <c r="L41" s="2"/>
      <c r="M41" s="2" t="str">
        <f>IFERROR(__xludf.DUMMYFUNCTION("""COMPUTED_VALUE"""),"Printer")</f>
        <v>Printer</v>
      </c>
      <c r="N41" s="2" t="str">
        <f>IFERROR(__xludf.DUMMYFUNCTION("""COMPUTED_VALUE"""),"AG")</f>
        <v>AG</v>
      </c>
      <c r="O41" s="2">
        <f>IFERROR(__xludf.DUMMYFUNCTION("""COMPUTED_VALUE"""),-4.0)</f>
        <v>-4</v>
      </c>
      <c r="P41" s="2">
        <f>IFERROR(__xludf.DUMMYFUNCTION("""COMPUTED_VALUE"""),0.0)</f>
        <v>0</v>
      </c>
      <c r="Q41" s="2">
        <f>IFERROR(__xludf.DUMMYFUNCTION("""COMPUTED_VALUE"""),4.0)</f>
        <v>4</v>
      </c>
      <c r="R41" s="2">
        <f>IFERROR(__xludf.DUMMYFUNCTION("""COMPUTED_VALUE"""),5.0)</f>
        <v>5</v>
      </c>
      <c r="S41" s="2">
        <f>IFERROR(__xludf.DUMMYFUNCTION("""COMPUTED_VALUE"""),0.0)</f>
        <v>0</v>
      </c>
      <c r="T41" s="2">
        <f>IFERROR(__xludf.DUMMYFUNCTION("""COMPUTED_VALUE"""),0.0)</f>
        <v>0</v>
      </c>
      <c r="U41" s="2">
        <f>IFERROR(__xludf.DUMMYFUNCTION("""COMPUTED_VALUE"""),0.0)</f>
        <v>0</v>
      </c>
      <c r="V41" s="2">
        <f>IFERROR(__xludf.DUMMYFUNCTION("""COMPUTED_VALUE"""),0.0)</f>
        <v>0</v>
      </c>
      <c r="W41" s="2">
        <f>IFERROR(__xludf.DUMMYFUNCTION("""COMPUTED_VALUE"""),0.0)</f>
        <v>0</v>
      </c>
      <c r="X41" s="2">
        <f>IFERROR(__xludf.DUMMYFUNCTION("""COMPUTED_VALUE"""),0.0)</f>
        <v>0</v>
      </c>
      <c r="Y41" s="2">
        <f>IFERROR(__xludf.DUMMYFUNCTION("""COMPUTED_VALUE"""),4.0)</f>
        <v>4</v>
      </c>
      <c r="Z41" s="2" t="str">
        <f>IFERROR(__xludf.DUMMYFUNCTION("""COMPUTED_VALUE"""),"Discontinued")</f>
        <v>Discontinued</v>
      </c>
      <c r="AA41" s="2"/>
      <c r="AB41" s="2">
        <f>IFERROR(__xludf.DUMMYFUNCTION("""COMPUTED_VALUE"""),1.0)</f>
        <v>1</v>
      </c>
      <c r="AC41" s="2"/>
      <c r="AD41" s="2"/>
    </row>
    <row r="42">
      <c r="A42" s="2" t="str">
        <f>IFERROR(__xludf.DUMMYFUNCTION("""COMPUTED_VALUE"""),"Bajaj (Grey)")</f>
        <v>Bajaj (Grey)</v>
      </c>
      <c r="B42" s="2" t="str">
        <f>IFERROR(__xludf.DUMMYFUNCTION("""COMPUTED_VALUE"""),"CRM-WG-NW-Butterfly-Grey")</f>
        <v>CRM-WG-NW-Butterfly-Grey</v>
      </c>
      <c r="C42" s="26">
        <f>IFERROR(__xludf.DUMMYFUNCTION("""COMPUTED_VALUE"""),10.0)</f>
        <v>10</v>
      </c>
      <c r="E42" s="2" t="str">
        <f>IFERROR(__xludf.DUMMYFUNCTION("""COMPUTED_VALUE"""),"Cubes-Grey (3Q)")</f>
        <v>Cubes-Grey (3Q)</v>
      </c>
      <c r="F42" s="26">
        <f t="shared" si="1"/>
        <v>208</v>
      </c>
      <c r="G42" s="26">
        <f t="shared" si="2"/>
        <v>72</v>
      </c>
      <c r="H42" s="26">
        <f t="shared" si="3"/>
        <v>-136</v>
      </c>
      <c r="K42" s="2" t="str">
        <f>IFERROR(__xludf.DUMMYFUNCTION("""COMPUTED_VALUE"""),"L565")</f>
        <v>L565</v>
      </c>
      <c r="L42" s="2"/>
      <c r="M42" s="2" t="str">
        <f>IFERROR(__xludf.DUMMYFUNCTION("""COMPUTED_VALUE"""),"Printer")</f>
        <v>Printer</v>
      </c>
      <c r="N42" s="2" t="str">
        <f>IFERROR(__xludf.DUMMYFUNCTION("""COMPUTED_VALUE"""),"AG")</f>
        <v>AG</v>
      </c>
      <c r="O42" s="2">
        <f>IFERROR(__xludf.DUMMYFUNCTION("""COMPUTED_VALUE"""),-4.0)</f>
        <v>-4</v>
      </c>
      <c r="P42" s="2">
        <f>IFERROR(__xludf.DUMMYFUNCTION("""COMPUTED_VALUE"""),0.0)</f>
        <v>0</v>
      </c>
      <c r="Q42" s="2">
        <f>IFERROR(__xludf.DUMMYFUNCTION("""COMPUTED_VALUE"""),4.0)</f>
        <v>4</v>
      </c>
      <c r="R42" s="2">
        <f>IFERROR(__xludf.DUMMYFUNCTION("""COMPUTED_VALUE"""),5.0)</f>
        <v>5</v>
      </c>
      <c r="S42" s="2">
        <f>IFERROR(__xludf.DUMMYFUNCTION("""COMPUTED_VALUE"""),0.0)</f>
        <v>0</v>
      </c>
      <c r="T42" s="2">
        <f>IFERROR(__xludf.DUMMYFUNCTION("""COMPUTED_VALUE"""),0.0)</f>
        <v>0</v>
      </c>
      <c r="U42" s="2">
        <f>IFERROR(__xludf.DUMMYFUNCTION("""COMPUTED_VALUE"""),0.0)</f>
        <v>0</v>
      </c>
      <c r="V42" s="2">
        <f>IFERROR(__xludf.DUMMYFUNCTION("""COMPUTED_VALUE"""),0.0)</f>
        <v>0</v>
      </c>
      <c r="W42" s="2">
        <f>IFERROR(__xludf.DUMMYFUNCTION("""COMPUTED_VALUE"""),0.0)</f>
        <v>0</v>
      </c>
      <c r="X42" s="2">
        <f>IFERROR(__xludf.DUMMYFUNCTION("""COMPUTED_VALUE"""),0.0)</f>
        <v>0</v>
      </c>
      <c r="Y42" s="2">
        <f>IFERROR(__xludf.DUMMYFUNCTION("""COMPUTED_VALUE"""),4.0)</f>
        <v>4</v>
      </c>
      <c r="Z42" s="2" t="str">
        <f>IFERROR(__xludf.DUMMYFUNCTION("""COMPUTED_VALUE"""),"Discontinued")</f>
        <v>Discontinued</v>
      </c>
      <c r="AA42" s="2"/>
      <c r="AB42" s="2">
        <f>IFERROR(__xludf.DUMMYFUNCTION("""COMPUTED_VALUE"""),1.0)</f>
        <v>1</v>
      </c>
      <c r="AC42" s="2"/>
      <c r="AD42" s="2"/>
    </row>
    <row r="43">
      <c r="A43" s="2" t="str">
        <f>IFERROR(__xludf.DUMMYFUNCTION("""COMPUTED_VALUE"""),"Bajaj (Grey)")</f>
        <v>Bajaj (Grey)</v>
      </c>
      <c r="B43" s="2" t="str">
        <f>IFERROR(__xludf.DUMMYFUNCTION("""COMPUTED_VALUE"""),"CRM-WG-NW-Butterfly-Grey")</f>
        <v>CRM-WG-NW-Butterfly-Grey</v>
      </c>
      <c r="C43" s="26">
        <f>IFERROR(__xludf.DUMMYFUNCTION("""COMPUTED_VALUE"""),30.0)</f>
        <v>30</v>
      </c>
      <c r="F43" s="26">
        <f t="shared" si="1"/>
        <v>0</v>
      </c>
      <c r="G43" s="26" t="str">
        <f t="shared" si="2"/>
        <v>#N/A</v>
      </c>
      <c r="H43" s="26" t="str">
        <f t="shared" si="3"/>
        <v>#N/A</v>
      </c>
      <c r="K43" s="2" t="str">
        <f>IFERROR(__xludf.DUMMYFUNCTION("""COMPUTED_VALUE"""),"HP 3545")</f>
        <v>HP 3545</v>
      </c>
      <c r="L43" s="2"/>
      <c r="M43" s="2" t="str">
        <f>IFERROR(__xludf.DUMMYFUNCTION("""COMPUTED_VALUE"""),"Printer")</f>
        <v>Printer</v>
      </c>
      <c r="N43" s="2" t="str">
        <f>IFERROR(__xludf.DUMMYFUNCTION("""COMPUTED_VALUE"""),"AG")</f>
        <v>AG</v>
      </c>
      <c r="O43" s="2">
        <f>IFERROR(__xludf.DUMMYFUNCTION("""COMPUTED_VALUE"""),-1.0)</f>
        <v>-1</v>
      </c>
      <c r="P43" s="2">
        <f>IFERROR(__xludf.DUMMYFUNCTION("""COMPUTED_VALUE"""),0.0)</f>
        <v>0</v>
      </c>
      <c r="Q43" s="2">
        <f>IFERROR(__xludf.DUMMYFUNCTION("""COMPUTED_VALUE"""),1.0)</f>
        <v>1</v>
      </c>
      <c r="R43" s="2">
        <f>IFERROR(__xludf.DUMMYFUNCTION("""COMPUTED_VALUE"""),5.0)</f>
        <v>5</v>
      </c>
      <c r="S43" s="2">
        <f>IFERROR(__xludf.DUMMYFUNCTION("""COMPUTED_VALUE"""),0.0)</f>
        <v>0</v>
      </c>
      <c r="T43" s="2">
        <f>IFERROR(__xludf.DUMMYFUNCTION("""COMPUTED_VALUE"""),0.0)</f>
        <v>0</v>
      </c>
      <c r="U43" s="2">
        <f>IFERROR(__xludf.DUMMYFUNCTION("""COMPUTED_VALUE"""),0.0)</f>
        <v>0</v>
      </c>
      <c r="V43" s="2">
        <f>IFERROR(__xludf.DUMMYFUNCTION("""COMPUTED_VALUE"""),0.0)</f>
        <v>0</v>
      </c>
      <c r="W43" s="2">
        <f>IFERROR(__xludf.DUMMYFUNCTION("""COMPUTED_VALUE"""),0.0)</f>
        <v>0</v>
      </c>
      <c r="X43" s="2">
        <f>IFERROR(__xludf.DUMMYFUNCTION("""COMPUTED_VALUE"""),0.0)</f>
        <v>0</v>
      </c>
      <c r="Y43" s="2">
        <f>IFERROR(__xludf.DUMMYFUNCTION("""COMPUTED_VALUE"""),1.0)</f>
        <v>1</v>
      </c>
      <c r="Z43" s="2" t="str">
        <f>IFERROR(__xludf.DUMMYFUNCTION("""COMPUTED_VALUE"""),"Discontinued")</f>
        <v>Discontinued</v>
      </c>
      <c r="AA43" s="2"/>
      <c r="AB43" s="2">
        <f>IFERROR(__xludf.DUMMYFUNCTION("""COMPUTED_VALUE"""),1.0)</f>
        <v>1</v>
      </c>
      <c r="AC43" s="2"/>
      <c r="AD43" s="2"/>
    </row>
    <row r="44">
      <c r="A44" s="2" t="str">
        <f>IFERROR(__xludf.DUMMYFUNCTION("""COMPUTED_VALUE"""),"Bajaj (Grey)")</f>
        <v>Bajaj (Grey)</v>
      </c>
      <c r="B44" s="2" t="str">
        <f>IFERROR(__xludf.DUMMYFUNCTION("""COMPUTED_VALUE"""),"CRM-WG-NW-Butterfly-Grey")</f>
        <v>CRM-WG-NW-Butterfly-Grey</v>
      </c>
      <c r="C44" s="26">
        <f>IFERROR(__xludf.DUMMYFUNCTION("""COMPUTED_VALUE"""),4.0)</f>
        <v>4</v>
      </c>
      <c r="F44" s="26">
        <f t="shared" si="1"/>
        <v>0</v>
      </c>
      <c r="G44" s="26" t="str">
        <f t="shared" si="2"/>
        <v>#N/A</v>
      </c>
      <c r="H44" s="26" t="str">
        <f t="shared" si="3"/>
        <v>#N/A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 t="str">
        <f>IFERROR(__xludf.DUMMYFUNCTION("""COMPUTED_VALUE"""),"Bajaj (Grey)")</f>
        <v>Bajaj (Grey)</v>
      </c>
      <c r="B45" s="2" t="str">
        <f>IFERROR(__xludf.DUMMYFUNCTION("""COMPUTED_VALUE"""),"CRM-WG-NW-Butterfly-Grey")</f>
        <v>CRM-WG-NW-Butterfly-Grey</v>
      </c>
      <c r="C45" s="26">
        <f>IFERROR(__xludf.DUMMYFUNCTION("""COMPUTED_VALUE"""),8.0)</f>
        <v>8</v>
      </c>
      <c r="F45" s="26">
        <f t="shared" si="1"/>
        <v>0</v>
      </c>
      <c r="G45" s="26" t="str">
        <f t="shared" si="2"/>
        <v>#N/A</v>
      </c>
      <c r="H45" s="26" t="str">
        <f t="shared" si="3"/>
        <v>#N/A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 t="str">
        <f>IFERROR(__xludf.DUMMYFUNCTION("""COMPUTED_VALUE"""),"Bajaj (Black)")</f>
        <v>Bajaj (Black)</v>
      </c>
      <c r="B46" s="2" t="str">
        <f>IFERROR(__xludf.DUMMYFUNCTION("""COMPUTED_VALUE"""),"CRM-WG-NW-Butterfly-Black")</f>
        <v>CRM-WG-NW-Butterfly-Black</v>
      </c>
      <c r="C46" s="26">
        <f>IFERROR(__xludf.DUMMYFUNCTION("""COMPUTED_VALUE"""),2.0)</f>
        <v>2</v>
      </c>
      <c r="F46" s="26">
        <f t="shared" si="1"/>
        <v>0</v>
      </c>
      <c r="G46" s="26" t="str">
        <f t="shared" si="2"/>
        <v>#N/A</v>
      </c>
      <c r="H46" s="26" t="str">
        <f t="shared" si="3"/>
        <v>#N/A</v>
      </c>
      <c r="K46" s="2" t="str">
        <f>IFERROR(__xludf.DUMMYFUNCTION("""COMPUTED_VALUE"""),"HP 580 (Black)")</f>
        <v>HP 580 (Black)</v>
      </c>
      <c r="L46" s="2"/>
      <c r="M46" s="2" t="str">
        <f>IFERROR(__xludf.DUMMYFUNCTION("""COMPUTED_VALUE"""),"Printer NW")</f>
        <v>Printer NW</v>
      </c>
      <c r="N46" s="2" t="str">
        <f>IFERROR(__xludf.DUMMYFUNCTION("""COMPUTED_VALUE"""),"AG")</f>
        <v>AG</v>
      </c>
      <c r="O46" s="2">
        <f>IFERROR(__xludf.DUMMYFUNCTION("""COMPUTED_VALUE"""),-112.0)</f>
        <v>-112</v>
      </c>
      <c r="P46" s="2">
        <f>IFERROR(__xludf.DUMMYFUNCTION("""COMPUTED_VALUE"""),210.0)</f>
        <v>210</v>
      </c>
      <c r="Q46" s="2">
        <f>IFERROR(__xludf.DUMMYFUNCTION("""COMPUTED_VALUE"""),322.0)</f>
        <v>322</v>
      </c>
      <c r="R46" s="2">
        <f>IFERROR(__xludf.DUMMYFUNCTION("""COMPUTED_VALUE"""),5.0)</f>
        <v>5</v>
      </c>
      <c r="S46" s="2">
        <f>IFERROR(__xludf.DUMMYFUNCTION("""COMPUTED_VALUE"""),65.0)</f>
        <v>65</v>
      </c>
      <c r="T46" s="2">
        <f>IFERROR(__xludf.DUMMYFUNCTION("""COMPUTED_VALUE"""),85.0)</f>
        <v>85</v>
      </c>
      <c r="U46" s="2">
        <f>IFERROR(__xludf.DUMMYFUNCTION("""COMPUTED_VALUE"""),115.0)</f>
        <v>115</v>
      </c>
      <c r="V46" s="2">
        <f>IFERROR(__xludf.DUMMYFUNCTION("""COMPUTED_VALUE"""),126.0)</f>
        <v>126</v>
      </c>
      <c r="W46" s="2">
        <f>IFERROR(__xludf.DUMMYFUNCTION("""COMPUTED_VALUE"""),308.0)</f>
        <v>308</v>
      </c>
      <c r="X46" s="2">
        <f>IFERROR(__xludf.DUMMYFUNCTION("""COMPUTED_VALUE"""),48.0)</f>
        <v>48</v>
      </c>
      <c r="Y46" s="2">
        <f>IFERROR(__xludf.DUMMYFUNCTION("""COMPUTED_VALUE"""),167.0)</f>
        <v>167</v>
      </c>
      <c r="Z46" s="2"/>
      <c r="AA46" s="2"/>
      <c r="AB46" s="2">
        <f>IFERROR(__xludf.DUMMYFUNCTION("""COMPUTED_VALUE"""),1.5)</f>
        <v>1.5</v>
      </c>
      <c r="AC46" s="2"/>
      <c r="AD46" s="2"/>
    </row>
    <row r="47">
      <c r="A47" s="2" t="str">
        <f>IFERROR(__xludf.DUMMYFUNCTION("""COMPUTED_VALUE"""),"Bajaj (Black)")</f>
        <v>Bajaj (Black)</v>
      </c>
      <c r="B47" s="2" t="str">
        <f>IFERROR(__xludf.DUMMYFUNCTION("""COMPUTED_VALUE"""),"CRM-WG-NW-Butterfly-Black")</f>
        <v>CRM-WG-NW-Butterfly-Black</v>
      </c>
      <c r="C47" s="26">
        <f>IFERROR(__xludf.DUMMYFUNCTION("""COMPUTED_VALUE"""),4.0)</f>
        <v>4</v>
      </c>
      <c r="F47" s="26">
        <f t="shared" si="1"/>
        <v>0</v>
      </c>
      <c r="G47" s="26" t="str">
        <f t="shared" si="2"/>
        <v>#N/A</v>
      </c>
      <c r="H47" s="26" t="str">
        <f t="shared" si="3"/>
        <v>#N/A</v>
      </c>
      <c r="K47" s="2" t="str">
        <f>IFERROR(__xludf.DUMMYFUNCTION("""COMPUTED_VALUE"""),"HP 136NW (Black)")</f>
        <v>HP 136NW (Black)</v>
      </c>
      <c r="L47" s="2"/>
      <c r="M47" s="2" t="str">
        <f>IFERROR(__xludf.DUMMYFUNCTION("""COMPUTED_VALUE"""),"Printer NW")</f>
        <v>Printer NW</v>
      </c>
      <c r="N47" s="2" t="str">
        <f>IFERROR(__xludf.DUMMYFUNCTION("""COMPUTED_VALUE"""),"AG")</f>
        <v>AG</v>
      </c>
      <c r="O47" s="2">
        <f>IFERROR(__xludf.DUMMYFUNCTION("""COMPUTED_VALUE"""),-108.0)</f>
        <v>-108</v>
      </c>
      <c r="P47" s="2">
        <f>IFERROR(__xludf.DUMMYFUNCTION("""COMPUTED_VALUE"""),25.0)</f>
        <v>25</v>
      </c>
      <c r="Q47" s="2">
        <f>IFERROR(__xludf.DUMMYFUNCTION("""COMPUTED_VALUE"""),133.0)</f>
        <v>133</v>
      </c>
      <c r="R47" s="2">
        <f>IFERROR(__xludf.DUMMYFUNCTION("""COMPUTED_VALUE"""),5.0)</f>
        <v>5</v>
      </c>
      <c r="S47" s="2">
        <f>IFERROR(__xludf.DUMMYFUNCTION("""COMPUTED_VALUE"""),6.0)</f>
        <v>6</v>
      </c>
      <c r="T47" s="2">
        <f>IFERROR(__xludf.DUMMYFUNCTION("""COMPUTED_VALUE"""),1.0)</f>
        <v>1</v>
      </c>
      <c r="U47" s="2">
        <f>IFERROR(__xludf.DUMMYFUNCTION("""COMPUTED_VALUE"""),20.0)</f>
        <v>20</v>
      </c>
      <c r="V47" s="2">
        <f>IFERROR(__xludf.DUMMYFUNCTION("""COMPUTED_VALUE"""),18.0)</f>
        <v>18</v>
      </c>
      <c r="W47" s="2">
        <f>IFERROR(__xludf.DUMMYFUNCTION("""COMPUTED_VALUE"""),37.0)</f>
        <v>37</v>
      </c>
      <c r="X47" s="2">
        <f>IFERROR(__xludf.DUMMYFUNCTION("""COMPUTED_VALUE"""),12.0)</f>
        <v>12</v>
      </c>
      <c r="Y47" s="2">
        <f>IFERROR(__xludf.DUMMYFUNCTION("""COMPUTED_VALUE"""),25.0)</f>
        <v>25</v>
      </c>
      <c r="Z47" s="2"/>
      <c r="AA47" s="2"/>
      <c r="AB47" s="2">
        <f>IFERROR(__xludf.DUMMYFUNCTION("""COMPUTED_VALUE"""),1.5)</f>
        <v>1.5</v>
      </c>
      <c r="AC47" s="2"/>
      <c r="AD47" s="2"/>
    </row>
    <row r="48">
      <c r="A48" s="2" t="str">
        <f>IFERROR(__xludf.DUMMYFUNCTION("""COMPUTED_VALUE"""),"Bajaj (Black)")</f>
        <v>Bajaj (Black)</v>
      </c>
      <c r="B48" s="2" t="str">
        <f>IFERROR(__xludf.DUMMYFUNCTION("""COMPUTED_VALUE"""),"CRM-WG-NW-Butterfly-Black")</f>
        <v>CRM-WG-NW-Butterfly-Black</v>
      </c>
      <c r="C48" s="26">
        <f>IFERROR(__xludf.DUMMYFUNCTION("""COMPUTED_VALUE"""),8.0)</f>
        <v>8</v>
      </c>
      <c r="F48" s="26">
        <f t="shared" si="1"/>
        <v>0</v>
      </c>
      <c r="G48" s="26" t="str">
        <f t="shared" si="2"/>
        <v>#N/A</v>
      </c>
      <c r="H48" s="26" t="str">
        <f t="shared" si="3"/>
        <v>#N/A</v>
      </c>
      <c r="K48" s="2" t="str">
        <f>IFERROR(__xludf.DUMMYFUNCTION("""COMPUTED_VALUE"""),"HP 750 (Black)")</f>
        <v>HP 750 (Black)</v>
      </c>
      <c r="L48" s="2"/>
      <c r="M48" s="2" t="str">
        <f>IFERROR(__xludf.DUMMYFUNCTION("""COMPUTED_VALUE"""),"Printer NW")</f>
        <v>Printer NW</v>
      </c>
      <c r="N48" s="2" t="str">
        <f>IFERROR(__xludf.DUMMYFUNCTION("""COMPUTED_VALUE"""),"AG")</f>
        <v>AG</v>
      </c>
      <c r="O48" s="2">
        <f>IFERROR(__xludf.DUMMYFUNCTION("""COMPUTED_VALUE"""),-6.0)</f>
        <v>-6</v>
      </c>
      <c r="P48" s="2">
        <f>IFERROR(__xludf.DUMMYFUNCTION("""COMPUTED_VALUE"""),10.0)</f>
        <v>10</v>
      </c>
      <c r="Q48" s="2">
        <f>IFERROR(__xludf.DUMMYFUNCTION("""COMPUTED_VALUE"""),16.0)</f>
        <v>16</v>
      </c>
      <c r="R48" s="2">
        <f>IFERROR(__xludf.DUMMYFUNCTION("""COMPUTED_VALUE"""),5.0)</f>
        <v>5</v>
      </c>
      <c r="S48" s="2">
        <f>IFERROR(__xludf.DUMMYFUNCTION("""COMPUTED_VALUE"""),9.0)</f>
        <v>9</v>
      </c>
      <c r="T48" s="2">
        <f>IFERROR(__xludf.DUMMYFUNCTION("""COMPUTED_VALUE"""),18.0)</f>
        <v>18</v>
      </c>
      <c r="U48" s="2">
        <f>IFERROR(__xludf.DUMMYFUNCTION("""COMPUTED_VALUE"""),0.0)</f>
        <v>0</v>
      </c>
      <c r="V48" s="2">
        <f>IFERROR(__xludf.DUMMYFUNCTION("""COMPUTED_VALUE"""),0.0)</f>
        <v>0</v>
      </c>
      <c r="W48" s="2">
        <f>IFERROR(__xludf.DUMMYFUNCTION("""COMPUTED_VALUE"""),5.0)</f>
        <v>5</v>
      </c>
      <c r="X48" s="2">
        <f>IFERROR(__xludf.DUMMYFUNCTION("""COMPUTED_VALUE"""),5.0)</f>
        <v>5</v>
      </c>
      <c r="Y48" s="2">
        <f>IFERROR(__xludf.DUMMYFUNCTION("""COMPUTED_VALUE"""),20.0)</f>
        <v>20</v>
      </c>
      <c r="Z48" s="2"/>
      <c r="AA48" s="2"/>
      <c r="AB48" s="2">
        <f>IFERROR(__xludf.DUMMYFUNCTION("""COMPUTED_VALUE"""),1.5)</f>
        <v>1.5</v>
      </c>
      <c r="AC48" s="2"/>
      <c r="AD48" s="2"/>
    </row>
    <row r="49">
      <c r="A49" s="2" t="str">
        <f>IFERROR(__xludf.DUMMYFUNCTION("""COMPUTED_VALUE"""),"Bajaj (Black)")</f>
        <v>Bajaj (Black)</v>
      </c>
      <c r="B49" s="2" t="str">
        <f>IFERROR(__xludf.DUMMYFUNCTION("""COMPUTED_VALUE"""),"CRM-WG-NW-Butterfly-Black")</f>
        <v>CRM-WG-NW-Butterfly-Black</v>
      </c>
      <c r="C49" s="26">
        <f>IFERROR(__xludf.DUMMYFUNCTION("""COMPUTED_VALUE"""),4.0)</f>
        <v>4</v>
      </c>
      <c r="F49" s="26">
        <f t="shared" si="1"/>
        <v>0</v>
      </c>
      <c r="G49" s="26" t="str">
        <f t="shared" si="2"/>
        <v>#N/A</v>
      </c>
      <c r="H49" s="26" t="str">
        <f t="shared" si="3"/>
        <v>#N/A</v>
      </c>
      <c r="K49" s="2" t="str">
        <f>IFERROR(__xludf.DUMMYFUNCTION("""COMPUTED_VALUE"""),"HP 670 (Black)")</f>
        <v>HP 670 (Black)</v>
      </c>
      <c r="L49" s="2"/>
      <c r="M49" s="2" t="str">
        <f>IFERROR(__xludf.DUMMYFUNCTION("""COMPUTED_VALUE"""),"Printer NW")</f>
        <v>Printer NW</v>
      </c>
      <c r="N49" s="2" t="str">
        <f>IFERROR(__xludf.DUMMYFUNCTION("""COMPUTED_VALUE"""),"AG")</f>
        <v>AG</v>
      </c>
      <c r="O49" s="2">
        <f>IFERROR(__xludf.DUMMYFUNCTION("""COMPUTED_VALUE"""),-20.0)</f>
        <v>-20</v>
      </c>
      <c r="P49" s="2">
        <f>IFERROR(__xludf.DUMMYFUNCTION("""COMPUTED_VALUE"""),176.0)</f>
        <v>176</v>
      </c>
      <c r="Q49" s="2">
        <f>IFERROR(__xludf.DUMMYFUNCTION("""COMPUTED_VALUE"""),196.0)</f>
        <v>196</v>
      </c>
      <c r="R49" s="2">
        <f>IFERROR(__xludf.DUMMYFUNCTION("""COMPUTED_VALUE"""),5.0)</f>
        <v>5</v>
      </c>
      <c r="S49" s="2">
        <f>IFERROR(__xludf.DUMMYFUNCTION("""COMPUTED_VALUE"""),15.0)</f>
        <v>15</v>
      </c>
      <c r="T49" s="2">
        <f>IFERROR(__xludf.DUMMYFUNCTION("""COMPUTED_VALUE"""),53.0)</f>
        <v>53</v>
      </c>
      <c r="U49" s="2">
        <f>IFERROR(__xludf.DUMMYFUNCTION("""COMPUTED_VALUE"""),74.0)</f>
        <v>74</v>
      </c>
      <c r="V49" s="2">
        <f>IFERROR(__xludf.DUMMYFUNCTION("""COMPUTED_VALUE"""),170.0)</f>
        <v>170</v>
      </c>
      <c r="W49" s="2">
        <f>IFERROR(__xludf.DUMMYFUNCTION("""COMPUTED_VALUE"""),273.0)</f>
        <v>273</v>
      </c>
      <c r="X49" s="2">
        <f>IFERROR(__xludf.DUMMYFUNCTION("""COMPUTED_VALUE"""),128.0)</f>
        <v>128</v>
      </c>
      <c r="Y49" s="2">
        <f>IFERROR(__xludf.DUMMYFUNCTION("""COMPUTED_VALUE"""),323.0)</f>
        <v>323</v>
      </c>
      <c r="Z49" s="2"/>
      <c r="AA49" s="2"/>
      <c r="AB49" s="2">
        <f>IFERROR(__xludf.DUMMYFUNCTION("""COMPUTED_VALUE"""),1.5)</f>
        <v>1.5</v>
      </c>
      <c r="AC49" s="2"/>
      <c r="AD49" s="2"/>
    </row>
    <row r="50">
      <c r="A50" s="2" t="str">
        <f>IFERROR(__xludf.DUMMYFUNCTION("""COMPUTED_VALUE"""),"Bajaj (Black)")</f>
        <v>Bajaj (Black)</v>
      </c>
      <c r="B50" s="2" t="str">
        <f>IFERROR(__xludf.DUMMYFUNCTION("""COMPUTED_VALUE"""),"CRM-WG-NW-Butterfly-Black")</f>
        <v>CRM-WG-NW-Butterfly-Black</v>
      </c>
      <c r="C50" s="26">
        <f>IFERROR(__xludf.DUMMYFUNCTION("""COMPUTED_VALUE"""),12.0)</f>
        <v>12</v>
      </c>
      <c r="F50" s="26">
        <f t="shared" si="1"/>
        <v>0</v>
      </c>
      <c r="G50" s="26" t="str">
        <f t="shared" si="2"/>
        <v>#N/A</v>
      </c>
      <c r="H50" s="26" t="str">
        <f t="shared" si="3"/>
        <v>#N/A</v>
      </c>
      <c r="K50" s="2" t="str">
        <f>IFERROR(__xludf.DUMMYFUNCTION("""COMPUTED_VALUE"""),"HP 4826 (Black)")</f>
        <v>HP 4826 (Black)</v>
      </c>
      <c r="L50" s="2"/>
      <c r="M50" s="2" t="str">
        <f>IFERROR(__xludf.DUMMYFUNCTION("""COMPUTED_VALUE"""),"Printer NW")</f>
        <v>Printer NW</v>
      </c>
      <c r="N50" s="2" t="str">
        <f>IFERROR(__xludf.DUMMYFUNCTION("""COMPUTED_VALUE"""),"AG")</f>
        <v>AG</v>
      </c>
      <c r="O50" s="2">
        <f>IFERROR(__xludf.DUMMYFUNCTION("""COMPUTED_VALUE"""),-87.0)</f>
        <v>-87</v>
      </c>
      <c r="P50" s="2">
        <f>IFERROR(__xludf.DUMMYFUNCTION("""COMPUTED_VALUE"""),59.0)</f>
        <v>59</v>
      </c>
      <c r="Q50" s="2">
        <f>IFERROR(__xludf.DUMMYFUNCTION("""COMPUTED_VALUE"""),146.0)</f>
        <v>146</v>
      </c>
      <c r="R50" s="2">
        <f>IFERROR(__xludf.DUMMYFUNCTION("""COMPUTED_VALUE"""),5.0)</f>
        <v>5</v>
      </c>
      <c r="S50" s="2">
        <f>IFERROR(__xludf.DUMMYFUNCTION("""COMPUTED_VALUE"""),39.0)</f>
        <v>39</v>
      </c>
      <c r="T50" s="2">
        <f>IFERROR(__xludf.DUMMYFUNCTION("""COMPUTED_VALUE"""),34.0)</f>
        <v>34</v>
      </c>
      <c r="U50" s="2">
        <f>IFERROR(__xludf.DUMMYFUNCTION("""COMPUTED_VALUE"""),34.0)</f>
        <v>34</v>
      </c>
      <c r="V50" s="2">
        <f>IFERROR(__xludf.DUMMYFUNCTION("""COMPUTED_VALUE"""),16.0)</f>
        <v>16</v>
      </c>
      <c r="W50" s="2">
        <f>IFERROR(__xludf.DUMMYFUNCTION("""COMPUTED_VALUE"""),73.0)</f>
        <v>73</v>
      </c>
      <c r="X50" s="2">
        <f>IFERROR(__xludf.DUMMYFUNCTION("""COMPUTED_VALUE"""),38.0)</f>
        <v>38</v>
      </c>
      <c r="Y50" s="2">
        <f>IFERROR(__xludf.DUMMYFUNCTION("""COMPUTED_VALUE"""),17.0)</f>
        <v>17</v>
      </c>
      <c r="Z50" s="2"/>
      <c r="AA50" s="2"/>
      <c r="AB50" s="2">
        <f>IFERROR(__xludf.DUMMYFUNCTION("""COMPUTED_VALUE"""),1.5)</f>
        <v>1.5</v>
      </c>
      <c r="AC50" s="2"/>
      <c r="AD50" s="2"/>
    </row>
    <row r="51">
      <c r="A51" s="2" t="str">
        <f>IFERROR(__xludf.DUMMYFUNCTION("""COMPUTED_VALUE"""),"Bajaj (Black)")</f>
        <v>Bajaj (Black)</v>
      </c>
      <c r="B51" s="2" t="str">
        <f>IFERROR(__xludf.DUMMYFUNCTION("""COMPUTED_VALUE"""),"CRM-WG-NW-Butterfly-Black")</f>
        <v>CRM-WG-NW-Butterfly-Black</v>
      </c>
      <c r="C51" s="26">
        <f>IFERROR(__xludf.DUMMYFUNCTION("""COMPUTED_VALUE"""),2.0)</f>
        <v>2</v>
      </c>
      <c r="F51" s="26">
        <f t="shared" si="1"/>
        <v>0</v>
      </c>
      <c r="G51" s="26" t="str">
        <f t="shared" si="2"/>
        <v>#N/A</v>
      </c>
      <c r="H51" s="26" t="str">
        <f t="shared" si="3"/>
        <v>#N/A</v>
      </c>
      <c r="K51" s="2" t="str">
        <f>IFERROR(__xludf.DUMMYFUNCTION("""COMPUTED_VALUE"""),"HP 580 (Grey)")</f>
        <v>HP 580 (Grey)</v>
      </c>
      <c r="L51" s="2"/>
      <c r="M51" s="2" t="str">
        <f>IFERROR(__xludf.DUMMYFUNCTION("""COMPUTED_VALUE"""),"Printer NW")</f>
        <v>Printer NW</v>
      </c>
      <c r="N51" s="2" t="str">
        <f>IFERROR(__xludf.DUMMYFUNCTION("""COMPUTED_VALUE"""),"AG")</f>
        <v>AG</v>
      </c>
      <c r="O51" s="2">
        <f>IFERROR(__xludf.DUMMYFUNCTION("""COMPUTED_VALUE"""),-294.0)</f>
        <v>-294</v>
      </c>
      <c r="P51" s="2">
        <f>IFERROR(__xludf.DUMMYFUNCTION("""COMPUTED_VALUE"""),643.0)</f>
        <v>643</v>
      </c>
      <c r="Q51" s="2">
        <f>IFERROR(__xludf.DUMMYFUNCTION("""COMPUTED_VALUE"""),937.0)</f>
        <v>937</v>
      </c>
      <c r="R51" s="2">
        <f>IFERROR(__xludf.DUMMYFUNCTION("""COMPUTED_VALUE"""),5.0)</f>
        <v>5</v>
      </c>
      <c r="S51" s="2">
        <f>IFERROR(__xludf.DUMMYFUNCTION("""COMPUTED_VALUE"""),177.0)</f>
        <v>177</v>
      </c>
      <c r="T51" s="2">
        <f>IFERROR(__xludf.DUMMYFUNCTION("""COMPUTED_VALUE"""),182.0)</f>
        <v>182</v>
      </c>
      <c r="U51" s="2">
        <f>IFERROR(__xludf.DUMMYFUNCTION("""COMPUTED_VALUE"""),316.0)</f>
        <v>316</v>
      </c>
      <c r="V51" s="2">
        <f>IFERROR(__xludf.DUMMYFUNCTION("""COMPUTED_VALUE"""),498.0)</f>
        <v>498</v>
      </c>
      <c r="W51" s="2">
        <f>IFERROR(__xludf.DUMMYFUNCTION("""COMPUTED_VALUE"""),968.0)</f>
        <v>968</v>
      </c>
      <c r="X51" s="2">
        <f>IFERROR(__xludf.DUMMYFUNCTION("""COMPUTED_VALUE"""),283.0)</f>
        <v>283</v>
      </c>
      <c r="Y51" s="2">
        <f>IFERROR(__xludf.DUMMYFUNCTION("""COMPUTED_VALUE"""),460.0)</f>
        <v>460</v>
      </c>
      <c r="Z51" s="2"/>
      <c r="AA51" s="2"/>
      <c r="AB51" s="2">
        <f>IFERROR(__xludf.DUMMYFUNCTION("""COMPUTED_VALUE"""),1.5)</f>
        <v>1.5</v>
      </c>
      <c r="AC51" s="2"/>
      <c r="AD51" s="2"/>
    </row>
    <row r="52">
      <c r="A52" s="2" t="str">
        <f>IFERROR(__xludf.DUMMYFUNCTION("""COMPUTED_VALUE"""),"Bajaj (Black)")</f>
        <v>Bajaj (Black)</v>
      </c>
      <c r="B52" s="2" t="str">
        <f>IFERROR(__xludf.DUMMYFUNCTION("""COMPUTED_VALUE"""),"CRM-WG-NW-Butterfly-Black")</f>
        <v>CRM-WG-NW-Butterfly-Black</v>
      </c>
      <c r="C52" s="26">
        <f>IFERROR(__xludf.DUMMYFUNCTION("""COMPUTED_VALUE"""),4.0)</f>
        <v>4</v>
      </c>
      <c r="F52" s="26">
        <f t="shared" si="1"/>
        <v>0</v>
      </c>
      <c r="G52" s="26" t="str">
        <f t="shared" si="2"/>
        <v>#N/A</v>
      </c>
      <c r="H52" s="26" t="str">
        <f t="shared" si="3"/>
        <v>#N/A</v>
      </c>
      <c r="K52" s="2" t="str">
        <f>IFERROR(__xludf.DUMMYFUNCTION("""COMPUTED_VALUE"""),"HP 136NW (Grey)")</f>
        <v>HP 136NW (Grey)</v>
      </c>
      <c r="L52" s="2"/>
      <c r="M52" s="2" t="str">
        <f>IFERROR(__xludf.DUMMYFUNCTION("""COMPUTED_VALUE"""),"Printer NW")</f>
        <v>Printer NW</v>
      </c>
      <c r="N52" s="2" t="str">
        <f>IFERROR(__xludf.DUMMYFUNCTION("""COMPUTED_VALUE"""),"AG")</f>
        <v>AG</v>
      </c>
      <c r="O52" s="2">
        <f>IFERROR(__xludf.DUMMYFUNCTION("""COMPUTED_VALUE"""),20.0)</f>
        <v>20</v>
      </c>
      <c r="P52" s="2">
        <f>IFERROR(__xludf.DUMMYFUNCTION("""COMPUTED_VALUE"""),62.0)</f>
        <v>62</v>
      </c>
      <c r="Q52" s="2">
        <f>IFERROR(__xludf.DUMMYFUNCTION("""COMPUTED_VALUE"""),42.0)</f>
        <v>42</v>
      </c>
      <c r="R52" s="2">
        <f>IFERROR(__xludf.DUMMYFUNCTION("""COMPUTED_VALUE"""),5.0)</f>
        <v>5</v>
      </c>
      <c r="S52" s="2">
        <f>IFERROR(__xludf.DUMMYFUNCTION("""COMPUTED_VALUE"""),87.0)</f>
        <v>87</v>
      </c>
      <c r="T52" s="2">
        <f>IFERROR(__xludf.DUMMYFUNCTION("""COMPUTED_VALUE"""),12.0)</f>
        <v>12</v>
      </c>
      <c r="U52" s="2">
        <f>IFERROR(__xludf.DUMMYFUNCTION("""COMPUTED_VALUE"""),16.0)</f>
        <v>16</v>
      </c>
      <c r="V52" s="2">
        <f>IFERROR(__xludf.DUMMYFUNCTION("""COMPUTED_VALUE"""),19.0)</f>
        <v>19</v>
      </c>
      <c r="W52" s="2">
        <f>IFERROR(__xludf.DUMMYFUNCTION("""COMPUTED_VALUE"""),70.0)</f>
        <v>70</v>
      </c>
      <c r="X52" s="2">
        <f>IFERROR(__xludf.DUMMYFUNCTION("""COMPUTED_VALUE"""),56.0)</f>
        <v>56</v>
      </c>
      <c r="Y52" s="2">
        <f>IFERROR(__xludf.DUMMYFUNCTION("""COMPUTED_VALUE"""),98.0)</f>
        <v>98</v>
      </c>
      <c r="Z52" s="2"/>
      <c r="AA52" s="2"/>
      <c r="AB52" s="2">
        <f>IFERROR(__xludf.DUMMYFUNCTION("""COMPUTED_VALUE"""),1.5)</f>
        <v>1.5</v>
      </c>
      <c r="AC52" s="2"/>
      <c r="AD52" s="2"/>
    </row>
    <row r="53">
      <c r="A53" s="2" t="str">
        <f>IFERROR(__xludf.DUMMYFUNCTION("""COMPUTED_VALUE"""),"Bajaj (Black)")</f>
        <v>Bajaj (Black)</v>
      </c>
      <c r="B53" s="2" t="str">
        <f>IFERROR(__xludf.DUMMYFUNCTION("""COMPUTED_VALUE"""),"CRM-WG-NW-Butterfly-Black")</f>
        <v>CRM-WG-NW-Butterfly-Black</v>
      </c>
      <c r="C53" s="26">
        <f>IFERROR(__xludf.DUMMYFUNCTION("""COMPUTED_VALUE"""),4.0)</f>
        <v>4</v>
      </c>
      <c r="F53" s="26">
        <f t="shared" si="1"/>
        <v>0</v>
      </c>
      <c r="G53" s="26" t="str">
        <f t="shared" si="2"/>
        <v>#N/A</v>
      </c>
      <c r="H53" s="26" t="str">
        <f t="shared" si="3"/>
        <v>#N/A</v>
      </c>
      <c r="K53" s="2" t="str">
        <f>IFERROR(__xludf.DUMMYFUNCTION("""COMPUTED_VALUE"""),"HP 750 (Grey)")</f>
        <v>HP 750 (Grey)</v>
      </c>
      <c r="L53" s="2"/>
      <c r="M53" s="2" t="str">
        <f>IFERROR(__xludf.DUMMYFUNCTION("""COMPUTED_VALUE"""),"Printer NW")</f>
        <v>Printer NW</v>
      </c>
      <c r="N53" s="2" t="str">
        <f>IFERROR(__xludf.DUMMYFUNCTION("""COMPUTED_VALUE"""),"AG")</f>
        <v>AG</v>
      </c>
      <c r="O53" s="2">
        <f>IFERROR(__xludf.DUMMYFUNCTION("""COMPUTED_VALUE"""),-48.0)</f>
        <v>-48</v>
      </c>
      <c r="P53" s="2">
        <f>IFERROR(__xludf.DUMMYFUNCTION("""COMPUTED_VALUE"""),38.0)</f>
        <v>38</v>
      </c>
      <c r="Q53" s="2">
        <f>IFERROR(__xludf.DUMMYFUNCTION("""COMPUTED_VALUE"""),86.0)</f>
        <v>86</v>
      </c>
      <c r="R53" s="2">
        <f>IFERROR(__xludf.DUMMYFUNCTION("""COMPUTED_VALUE"""),5.0)</f>
        <v>5</v>
      </c>
      <c r="S53" s="2">
        <f>IFERROR(__xludf.DUMMYFUNCTION("""COMPUTED_VALUE"""),44.0)</f>
        <v>44</v>
      </c>
      <c r="T53" s="2">
        <f>IFERROR(__xludf.DUMMYFUNCTION("""COMPUTED_VALUE"""),2.0)</f>
        <v>2</v>
      </c>
      <c r="U53" s="2">
        <f>IFERROR(__xludf.DUMMYFUNCTION("""COMPUTED_VALUE"""),27.0)</f>
        <v>27</v>
      </c>
      <c r="V53" s="2">
        <f>IFERROR(__xludf.DUMMYFUNCTION("""COMPUTED_VALUE"""),18.0)</f>
        <v>18</v>
      </c>
      <c r="W53" s="2">
        <f>IFERROR(__xludf.DUMMYFUNCTION("""COMPUTED_VALUE"""),34.0)</f>
        <v>34</v>
      </c>
      <c r="X53" s="2">
        <f>IFERROR(__xludf.DUMMYFUNCTION("""COMPUTED_VALUE"""),21.0)</f>
        <v>21</v>
      </c>
      <c r="Y53" s="2">
        <f>IFERROR(__xludf.DUMMYFUNCTION("""COMPUTED_VALUE"""),107.0)</f>
        <v>107</v>
      </c>
      <c r="Z53" s="2"/>
      <c r="AA53" s="2"/>
      <c r="AB53" s="2">
        <f>IFERROR(__xludf.DUMMYFUNCTION("""COMPUTED_VALUE"""),1.5)</f>
        <v>1.5</v>
      </c>
      <c r="AC53" s="2"/>
      <c r="AD53" s="2"/>
    </row>
    <row r="54">
      <c r="A54" s="2" t="str">
        <f>IFERROR(__xludf.DUMMYFUNCTION("""COMPUTED_VALUE"""),"Bajaj (Black)")</f>
        <v>Bajaj (Black)</v>
      </c>
      <c r="B54" s="2" t="str">
        <f>IFERROR(__xludf.DUMMYFUNCTION("""COMPUTED_VALUE"""),"CRM-WG-NW-Ultra-Grind+-Black")</f>
        <v>CRM-WG-NW-Ultra-Grind+-Black</v>
      </c>
      <c r="C54" s="26">
        <f>IFERROR(__xludf.DUMMYFUNCTION("""COMPUTED_VALUE"""),2.0)</f>
        <v>2</v>
      </c>
      <c r="F54" s="26">
        <f t="shared" si="1"/>
        <v>0</v>
      </c>
      <c r="G54" s="26" t="str">
        <f t="shared" si="2"/>
        <v>#N/A</v>
      </c>
      <c r="H54" s="26" t="str">
        <f t="shared" si="3"/>
        <v>#N/A</v>
      </c>
      <c r="K54" s="2" t="str">
        <f>IFERROR(__xludf.DUMMYFUNCTION("""COMPUTED_VALUE"""),"HP 670 (Grey)")</f>
        <v>HP 670 (Grey)</v>
      </c>
      <c r="L54" s="2"/>
      <c r="M54" s="2" t="str">
        <f>IFERROR(__xludf.DUMMYFUNCTION("""COMPUTED_VALUE"""),"Printer NW")</f>
        <v>Printer NW</v>
      </c>
      <c r="N54" s="2" t="str">
        <f>IFERROR(__xludf.DUMMYFUNCTION("""COMPUTED_VALUE"""),"AG")</f>
        <v>AG</v>
      </c>
      <c r="O54" s="2">
        <f>IFERROR(__xludf.DUMMYFUNCTION("""COMPUTED_VALUE"""),-64.0)</f>
        <v>-64</v>
      </c>
      <c r="P54" s="2">
        <f>IFERROR(__xludf.DUMMYFUNCTION("""COMPUTED_VALUE"""),162.0)</f>
        <v>162</v>
      </c>
      <c r="Q54" s="2">
        <f>IFERROR(__xludf.DUMMYFUNCTION("""COMPUTED_VALUE"""),226.0)</f>
        <v>226</v>
      </c>
      <c r="R54" s="2">
        <f>IFERROR(__xludf.DUMMYFUNCTION("""COMPUTED_VALUE"""),5.0)</f>
        <v>5</v>
      </c>
      <c r="S54" s="2">
        <f>IFERROR(__xludf.DUMMYFUNCTION("""COMPUTED_VALUE"""),75.0)</f>
        <v>75</v>
      </c>
      <c r="T54" s="2">
        <f>IFERROR(__xludf.DUMMYFUNCTION("""COMPUTED_VALUE"""),43.0)</f>
        <v>43</v>
      </c>
      <c r="U54" s="2">
        <f>IFERROR(__xludf.DUMMYFUNCTION("""COMPUTED_VALUE"""),112.0)</f>
        <v>112</v>
      </c>
      <c r="V54" s="2">
        <f>IFERROR(__xludf.DUMMYFUNCTION("""COMPUTED_VALUE"""),87.0)</f>
        <v>87</v>
      </c>
      <c r="W54" s="2">
        <f>IFERROR(__xludf.DUMMYFUNCTION("""COMPUTED_VALUE"""),221.0)</f>
        <v>221</v>
      </c>
      <c r="X54" s="2">
        <f>IFERROR(__xludf.DUMMYFUNCTION("""COMPUTED_VALUE"""),88.0)</f>
        <v>88</v>
      </c>
      <c r="Y54" s="2">
        <f>IFERROR(__xludf.DUMMYFUNCTION("""COMPUTED_VALUE"""),93.0)</f>
        <v>93</v>
      </c>
      <c r="Z54" s="2"/>
      <c r="AA54" s="2"/>
      <c r="AB54" s="2">
        <f>IFERROR(__xludf.DUMMYFUNCTION("""COMPUTED_VALUE"""),1.5)</f>
        <v>1.5</v>
      </c>
      <c r="AC54" s="2"/>
      <c r="AD54" s="2"/>
    </row>
    <row r="55">
      <c r="A55" s="2" t="str">
        <f>IFERROR(__xludf.DUMMYFUNCTION("""COMPUTED_VALUE"""),"Bajaj (Black)")</f>
        <v>Bajaj (Black)</v>
      </c>
      <c r="B55" s="2" t="str">
        <f>IFERROR(__xludf.DUMMYFUNCTION("""COMPUTED_VALUE"""),"CRM-WG-NW-Ultra-Grind+-Black")</f>
        <v>CRM-WG-NW-Ultra-Grind+-Black</v>
      </c>
      <c r="C55" s="26">
        <f>IFERROR(__xludf.DUMMYFUNCTION("""COMPUTED_VALUE"""),8.0)</f>
        <v>8</v>
      </c>
      <c r="F55" s="26">
        <f t="shared" si="1"/>
        <v>0</v>
      </c>
      <c r="G55" s="26" t="str">
        <f t="shared" si="2"/>
        <v>#N/A</v>
      </c>
      <c r="H55" s="26" t="str">
        <f t="shared" si="3"/>
        <v>#N/A</v>
      </c>
      <c r="K55" s="2" t="str">
        <f>IFERROR(__xludf.DUMMYFUNCTION("""COMPUTED_VALUE"""),"HP 4826 (Grey)")</f>
        <v>HP 4826 (Grey)</v>
      </c>
      <c r="L55" s="2"/>
      <c r="M55" s="2" t="str">
        <f>IFERROR(__xludf.DUMMYFUNCTION("""COMPUTED_VALUE"""),"Printer NW")</f>
        <v>Printer NW</v>
      </c>
      <c r="N55" s="2" t="str">
        <f>IFERROR(__xludf.DUMMYFUNCTION("""COMPUTED_VALUE"""),"AG")</f>
        <v>AG</v>
      </c>
      <c r="O55" s="2">
        <f>IFERROR(__xludf.DUMMYFUNCTION("""COMPUTED_VALUE"""),-22.0)</f>
        <v>-22</v>
      </c>
      <c r="P55" s="2">
        <f>IFERROR(__xludf.DUMMYFUNCTION("""COMPUTED_VALUE"""),186.0)</f>
        <v>186</v>
      </c>
      <c r="Q55" s="2">
        <f>IFERROR(__xludf.DUMMYFUNCTION("""COMPUTED_VALUE"""),208.0)</f>
        <v>208</v>
      </c>
      <c r="R55" s="2">
        <f>IFERROR(__xludf.DUMMYFUNCTION("""COMPUTED_VALUE"""),5.0)</f>
        <v>5</v>
      </c>
      <c r="S55" s="2">
        <f>IFERROR(__xludf.DUMMYFUNCTION("""COMPUTED_VALUE"""),113.0)</f>
        <v>113</v>
      </c>
      <c r="T55" s="2">
        <f>IFERROR(__xludf.DUMMYFUNCTION("""COMPUTED_VALUE"""),63.0)</f>
        <v>63</v>
      </c>
      <c r="U55" s="2">
        <f>IFERROR(__xludf.DUMMYFUNCTION("""COMPUTED_VALUE"""),96.0)</f>
        <v>96</v>
      </c>
      <c r="V55" s="2">
        <f>IFERROR(__xludf.DUMMYFUNCTION("""COMPUTED_VALUE"""),123.0)</f>
        <v>123</v>
      </c>
      <c r="W55" s="2">
        <f>IFERROR(__xludf.DUMMYFUNCTION("""COMPUTED_VALUE"""),224.0)</f>
        <v>224</v>
      </c>
      <c r="X55" s="2">
        <f>IFERROR(__xludf.DUMMYFUNCTION("""COMPUTED_VALUE"""),161.0)</f>
        <v>161</v>
      </c>
      <c r="Y55" s="2">
        <f>IFERROR(__xludf.DUMMYFUNCTION("""COMPUTED_VALUE"""),177.0)</f>
        <v>177</v>
      </c>
      <c r="Z55" s="2"/>
      <c r="AA55" s="2"/>
      <c r="AB55" s="2">
        <f>IFERROR(__xludf.DUMMYFUNCTION("""COMPUTED_VALUE"""),1.5)</f>
        <v>1.5</v>
      </c>
      <c r="AC55" s="2"/>
      <c r="AD55" s="2"/>
    </row>
    <row r="56">
      <c r="A56" s="2" t="str">
        <f>IFERROR(__xludf.DUMMYFUNCTION("""COMPUTED_VALUE"""),"Bajaj (Black)")</f>
        <v>Bajaj (Black)</v>
      </c>
      <c r="B56" s="2" t="str">
        <f>IFERROR(__xludf.DUMMYFUNCTION("""COMPUTED_VALUE"""),"CRM-WG-NW-Ultra-Grind+-Black")</f>
        <v>CRM-WG-NW-Ultra-Grind+-Black</v>
      </c>
      <c r="C56" s="26">
        <f>IFERROR(__xludf.DUMMYFUNCTION("""COMPUTED_VALUE"""),4.0)</f>
        <v>4</v>
      </c>
      <c r="F56" s="26">
        <f t="shared" si="1"/>
        <v>0</v>
      </c>
      <c r="G56" s="26" t="str">
        <f t="shared" si="2"/>
        <v>#N/A</v>
      </c>
      <c r="H56" s="26" t="str">
        <f t="shared" si="3"/>
        <v>#N/A</v>
      </c>
      <c r="K56" s="2" t="str">
        <f>IFERROR(__xludf.DUMMYFUNCTION("""COMPUTED_VALUE"""),"L3110 (Black)")</f>
        <v>L3110 (Black)</v>
      </c>
      <c r="L56" s="2"/>
      <c r="M56" s="2" t="str">
        <f>IFERROR(__xludf.DUMMYFUNCTION("""COMPUTED_VALUE"""),"Printer NW")</f>
        <v>Printer NW</v>
      </c>
      <c r="N56" s="2" t="str">
        <f>IFERROR(__xludf.DUMMYFUNCTION("""COMPUTED_VALUE"""),"AG")</f>
        <v>AG</v>
      </c>
      <c r="O56" s="2">
        <f>IFERROR(__xludf.DUMMYFUNCTION("""COMPUTED_VALUE"""),-138.0)</f>
        <v>-138</v>
      </c>
      <c r="P56" s="2">
        <f>IFERROR(__xludf.DUMMYFUNCTION("""COMPUTED_VALUE"""),292.0)</f>
        <v>292</v>
      </c>
      <c r="Q56" s="2">
        <f>IFERROR(__xludf.DUMMYFUNCTION("""COMPUTED_VALUE"""),430.0)</f>
        <v>430</v>
      </c>
      <c r="R56" s="2">
        <f>IFERROR(__xludf.DUMMYFUNCTION("""COMPUTED_VALUE"""),5.0)</f>
        <v>5</v>
      </c>
      <c r="S56" s="2">
        <f>IFERROR(__xludf.DUMMYFUNCTION("""COMPUTED_VALUE"""),159.0)</f>
        <v>159</v>
      </c>
      <c r="T56" s="2">
        <f>IFERROR(__xludf.DUMMYFUNCTION("""COMPUTED_VALUE"""),147.0)</f>
        <v>147</v>
      </c>
      <c r="U56" s="2">
        <f>IFERROR(__xludf.DUMMYFUNCTION("""COMPUTED_VALUE"""),222.0)</f>
        <v>222</v>
      </c>
      <c r="V56" s="2">
        <f>IFERROR(__xludf.DUMMYFUNCTION("""COMPUTED_VALUE"""),106.0)</f>
        <v>106</v>
      </c>
      <c r="W56" s="2">
        <f>IFERROR(__xludf.DUMMYFUNCTION("""COMPUTED_VALUE"""),338.0)</f>
        <v>338</v>
      </c>
      <c r="X56" s="2">
        <f>IFERROR(__xludf.DUMMYFUNCTION("""COMPUTED_VALUE"""),73.0)</f>
        <v>73</v>
      </c>
      <c r="Y56" s="2">
        <f>IFERROR(__xludf.DUMMYFUNCTION("""COMPUTED_VALUE"""),25.0)</f>
        <v>25</v>
      </c>
      <c r="Z56" s="2"/>
      <c r="AA56" s="2"/>
      <c r="AB56" s="2">
        <f>IFERROR(__xludf.DUMMYFUNCTION("""COMPUTED_VALUE"""),1.5)</f>
        <v>1.5</v>
      </c>
      <c r="AC56" s="2"/>
      <c r="AD56" s="2"/>
    </row>
    <row r="57">
      <c r="A57" s="2" t="str">
        <f>IFERROR(__xludf.DUMMYFUNCTION("""COMPUTED_VALUE"""),"Bajaj (Black)")</f>
        <v>Bajaj (Black)</v>
      </c>
      <c r="B57" s="2" t="str">
        <f>IFERROR(__xludf.DUMMYFUNCTION("""COMPUTED_VALUE"""),"CRM-WG-NW-Ultra-Grind+-Black")</f>
        <v>CRM-WG-NW-Ultra-Grind+-Black</v>
      </c>
      <c r="C57" s="26">
        <f>IFERROR(__xludf.DUMMYFUNCTION("""COMPUTED_VALUE"""),8.0)</f>
        <v>8</v>
      </c>
      <c r="F57" s="26">
        <f t="shared" si="1"/>
        <v>0</v>
      </c>
      <c r="G57" s="26" t="str">
        <f t="shared" si="2"/>
        <v>#N/A</v>
      </c>
      <c r="H57" s="26" t="str">
        <f t="shared" si="3"/>
        <v>#N/A</v>
      </c>
      <c r="K57" s="2" t="str">
        <f>IFERROR(__xludf.DUMMYFUNCTION("""COMPUTED_VALUE"""),"L3110 (Grey)")</f>
        <v>L3110 (Grey)</v>
      </c>
      <c r="L57" s="2"/>
      <c r="M57" s="2" t="str">
        <f>IFERROR(__xludf.DUMMYFUNCTION("""COMPUTED_VALUE"""),"Printer NW")</f>
        <v>Printer NW</v>
      </c>
      <c r="N57" s="2" t="str">
        <f>IFERROR(__xludf.DUMMYFUNCTION("""COMPUTED_VALUE"""),"AG")</f>
        <v>AG</v>
      </c>
      <c r="O57" s="2">
        <f>IFERROR(__xludf.DUMMYFUNCTION("""COMPUTED_VALUE"""),-73.0)</f>
        <v>-73</v>
      </c>
      <c r="P57" s="2">
        <f>IFERROR(__xludf.DUMMYFUNCTION("""COMPUTED_VALUE"""),350.0)</f>
        <v>350</v>
      </c>
      <c r="Q57" s="2">
        <f>IFERROR(__xludf.DUMMYFUNCTION("""COMPUTED_VALUE"""),423.0)</f>
        <v>423</v>
      </c>
      <c r="R57" s="2">
        <f>IFERROR(__xludf.DUMMYFUNCTION("""COMPUTED_VALUE"""),5.0)</f>
        <v>5</v>
      </c>
      <c r="S57" s="2">
        <f>IFERROR(__xludf.DUMMYFUNCTION("""COMPUTED_VALUE"""),136.0)</f>
        <v>136</v>
      </c>
      <c r="T57" s="2">
        <f>IFERROR(__xludf.DUMMYFUNCTION("""COMPUTED_VALUE"""),70.0)</f>
        <v>70</v>
      </c>
      <c r="U57" s="2">
        <f>IFERROR(__xludf.DUMMYFUNCTION("""COMPUTED_VALUE"""),311.0)</f>
        <v>311</v>
      </c>
      <c r="V57" s="2">
        <f>IFERROR(__xludf.DUMMYFUNCTION("""COMPUTED_VALUE"""),272.0)</f>
        <v>272</v>
      </c>
      <c r="W57" s="2">
        <f>IFERROR(__xludf.DUMMYFUNCTION("""COMPUTED_VALUE"""),377.0)</f>
        <v>377</v>
      </c>
      <c r="X57" s="2">
        <f>IFERROR(__xludf.DUMMYFUNCTION("""COMPUTED_VALUE"""),144.0)</f>
        <v>144</v>
      </c>
      <c r="Y57" s="2">
        <f>IFERROR(__xludf.DUMMYFUNCTION("""COMPUTED_VALUE"""),558.0)</f>
        <v>558</v>
      </c>
      <c r="Z57" s="2"/>
      <c r="AA57" s="2"/>
      <c r="AB57" s="2">
        <f>IFERROR(__xludf.DUMMYFUNCTION("""COMPUTED_VALUE"""),1.5)</f>
        <v>1.5</v>
      </c>
      <c r="AC57" s="2"/>
      <c r="AD57" s="2"/>
    </row>
    <row r="58">
      <c r="A58" s="2" t="str">
        <f>IFERROR(__xludf.DUMMYFUNCTION("""COMPUTED_VALUE"""),"Bajaj (Black)")</f>
        <v>Bajaj (Black)</v>
      </c>
      <c r="B58" s="2" t="str">
        <f>IFERROR(__xludf.DUMMYFUNCTION("""COMPUTED_VALUE"""),"CRM-WG-NW-Ultra-Grind+-Black")</f>
        <v>CRM-WG-NW-Ultra-Grind+-Black</v>
      </c>
      <c r="C58" s="26">
        <f>IFERROR(__xludf.DUMMYFUNCTION("""COMPUTED_VALUE"""),12.0)</f>
        <v>12</v>
      </c>
      <c r="F58" s="26">
        <f t="shared" si="1"/>
        <v>0</v>
      </c>
      <c r="G58" s="26" t="str">
        <f t="shared" si="2"/>
        <v>#N/A</v>
      </c>
      <c r="H58" s="26" t="str">
        <f t="shared" si="3"/>
        <v>#N/A</v>
      </c>
      <c r="K58" s="2" t="str">
        <f>IFERROR(__xludf.DUMMYFUNCTION("""COMPUTED_VALUE"""),"Canon G (Black)")</f>
        <v>Canon G (Black)</v>
      </c>
      <c r="L58" s="2"/>
      <c r="M58" s="2" t="str">
        <f>IFERROR(__xludf.DUMMYFUNCTION("""COMPUTED_VALUE"""),"Printer NW")</f>
        <v>Printer NW</v>
      </c>
      <c r="N58" s="2" t="str">
        <f>IFERROR(__xludf.DUMMYFUNCTION("""COMPUTED_VALUE"""),"AG")</f>
        <v>AG</v>
      </c>
      <c r="O58" s="2">
        <f>IFERROR(__xludf.DUMMYFUNCTION("""COMPUTED_VALUE"""),-87.0)</f>
        <v>-87</v>
      </c>
      <c r="P58" s="2">
        <f>IFERROR(__xludf.DUMMYFUNCTION("""COMPUTED_VALUE"""),164.0)</f>
        <v>164</v>
      </c>
      <c r="Q58" s="2">
        <f>IFERROR(__xludf.DUMMYFUNCTION("""COMPUTED_VALUE"""),251.0)</f>
        <v>251</v>
      </c>
      <c r="R58" s="2">
        <f>IFERROR(__xludf.DUMMYFUNCTION("""COMPUTED_VALUE"""),5.0)</f>
        <v>5</v>
      </c>
      <c r="S58" s="2">
        <f>IFERROR(__xludf.DUMMYFUNCTION("""COMPUTED_VALUE"""),93.0)</f>
        <v>93</v>
      </c>
      <c r="T58" s="2">
        <f>IFERROR(__xludf.DUMMYFUNCTION("""COMPUTED_VALUE"""),46.0)</f>
        <v>46</v>
      </c>
      <c r="U58" s="2">
        <f>IFERROR(__xludf.DUMMYFUNCTION("""COMPUTED_VALUE"""),54.0)</f>
        <v>54</v>
      </c>
      <c r="V58" s="2">
        <f>IFERROR(__xludf.DUMMYFUNCTION("""COMPUTED_VALUE"""),108.0)</f>
        <v>108</v>
      </c>
      <c r="W58" s="2">
        <f>IFERROR(__xludf.DUMMYFUNCTION("""COMPUTED_VALUE"""),245.0)</f>
        <v>245</v>
      </c>
      <c r="X58" s="2">
        <f>IFERROR(__xludf.DUMMYFUNCTION("""COMPUTED_VALUE"""),113.0)</f>
        <v>113</v>
      </c>
      <c r="Y58" s="2">
        <f>IFERROR(__xludf.DUMMYFUNCTION("""COMPUTED_VALUE"""),209.0)</f>
        <v>209</v>
      </c>
      <c r="Z58" s="2"/>
      <c r="AA58" s="2"/>
      <c r="AB58" s="2">
        <f>IFERROR(__xludf.DUMMYFUNCTION("""COMPUTED_VALUE"""),1.5)</f>
        <v>1.5</v>
      </c>
      <c r="AC58" s="2"/>
      <c r="AD58" s="2"/>
    </row>
    <row r="59">
      <c r="A59" s="2" t="str">
        <f>IFERROR(__xludf.DUMMYFUNCTION("""COMPUTED_VALUE"""),"Bajaj (Black)")</f>
        <v>Bajaj (Black)</v>
      </c>
      <c r="B59" s="2" t="str">
        <f>IFERROR(__xludf.DUMMYFUNCTION("""COMPUTED_VALUE"""),"CRM-WG-NW-Ultra-Grind+-Black")</f>
        <v>CRM-WG-NW-Ultra-Grind+-Black</v>
      </c>
      <c r="C59" s="26">
        <f>IFERROR(__xludf.DUMMYFUNCTION("""COMPUTED_VALUE"""),12.0)</f>
        <v>12</v>
      </c>
      <c r="F59" s="26">
        <f t="shared" si="1"/>
        <v>0</v>
      </c>
      <c r="G59" s="26" t="str">
        <f t="shared" si="2"/>
        <v>#N/A</v>
      </c>
      <c r="H59" s="26" t="str">
        <f t="shared" si="3"/>
        <v>#N/A</v>
      </c>
      <c r="K59" s="2" t="str">
        <f>IFERROR(__xludf.DUMMYFUNCTION("""COMPUTED_VALUE"""),"Canon G (Grey)")</f>
        <v>Canon G (Grey)</v>
      </c>
      <c r="L59" s="2"/>
      <c r="M59" s="2" t="str">
        <f>IFERROR(__xludf.DUMMYFUNCTION("""COMPUTED_VALUE"""),"Printer NW")</f>
        <v>Printer NW</v>
      </c>
      <c r="N59" s="2" t="str">
        <f>IFERROR(__xludf.DUMMYFUNCTION("""COMPUTED_VALUE"""),"AG")</f>
        <v>AG</v>
      </c>
      <c r="O59" s="2">
        <f>IFERROR(__xludf.DUMMYFUNCTION("""COMPUTED_VALUE"""),-44.0)</f>
        <v>-44</v>
      </c>
      <c r="P59" s="2">
        <f>IFERROR(__xludf.DUMMYFUNCTION("""COMPUTED_VALUE"""),124.0)</f>
        <v>124</v>
      </c>
      <c r="Q59" s="2">
        <f>IFERROR(__xludf.DUMMYFUNCTION("""COMPUTED_VALUE"""),168.0)</f>
        <v>168</v>
      </c>
      <c r="R59" s="2">
        <f>IFERROR(__xludf.DUMMYFUNCTION("""COMPUTED_VALUE"""),5.0)</f>
        <v>5</v>
      </c>
      <c r="S59" s="2">
        <f>IFERROR(__xludf.DUMMYFUNCTION("""COMPUTED_VALUE"""),113.0)</f>
        <v>113</v>
      </c>
      <c r="T59" s="2">
        <f>IFERROR(__xludf.DUMMYFUNCTION("""COMPUTED_VALUE"""),28.0)</f>
        <v>28</v>
      </c>
      <c r="U59" s="2">
        <f>IFERROR(__xludf.DUMMYFUNCTION("""COMPUTED_VALUE"""),61.0)</f>
        <v>61</v>
      </c>
      <c r="V59" s="2">
        <f>IFERROR(__xludf.DUMMYFUNCTION("""COMPUTED_VALUE"""),61.0)</f>
        <v>61</v>
      </c>
      <c r="W59" s="2">
        <f>IFERROR(__xludf.DUMMYFUNCTION("""COMPUTED_VALUE"""),149.0)</f>
        <v>149</v>
      </c>
      <c r="X59" s="2">
        <f>IFERROR(__xludf.DUMMYFUNCTION("""COMPUTED_VALUE"""),54.0)</f>
        <v>54</v>
      </c>
      <c r="Y59" s="2">
        <f>IFERROR(__xludf.DUMMYFUNCTION("""COMPUTED_VALUE"""),222.0)</f>
        <v>222</v>
      </c>
      <c r="Z59" s="2"/>
      <c r="AA59" s="2"/>
      <c r="AB59" s="2">
        <f>IFERROR(__xludf.DUMMYFUNCTION("""COMPUTED_VALUE"""),1.5)</f>
        <v>1.5</v>
      </c>
      <c r="AC59" s="2"/>
      <c r="AD59" s="2"/>
    </row>
    <row r="60">
      <c r="A60" s="2" t="str">
        <f>IFERROR(__xludf.DUMMYFUNCTION("""COMPUTED_VALUE"""),"Bajaj (Black)")</f>
        <v>Bajaj (Black)</v>
      </c>
      <c r="B60" s="2" t="str">
        <f>IFERROR(__xludf.DUMMYFUNCTION("""COMPUTED_VALUE"""),"CRM-WG-NW-Ultra-Grind+-Black")</f>
        <v>CRM-WG-NW-Ultra-Grind+-Black</v>
      </c>
      <c r="C60" s="26">
        <f>IFERROR(__xludf.DUMMYFUNCTION("""COMPUTED_VALUE"""),4.0)</f>
        <v>4</v>
      </c>
      <c r="F60" s="26">
        <f t="shared" si="1"/>
        <v>0</v>
      </c>
      <c r="G60" s="26" t="str">
        <f t="shared" si="2"/>
        <v>#N/A</v>
      </c>
      <c r="H60" s="26" t="str">
        <f t="shared" si="3"/>
        <v>#N/A</v>
      </c>
      <c r="K60" s="2" t="str">
        <f>IFERROR(__xludf.DUMMYFUNCTION("""COMPUTED_VALUE"""),"G4770 (Black)")</f>
        <v>G4770 (Black)</v>
      </c>
      <c r="L60" s="2"/>
      <c r="M60" s="2" t="str">
        <f>IFERROR(__xludf.DUMMYFUNCTION("""COMPUTED_VALUE"""),"Printer NW")</f>
        <v>Printer NW</v>
      </c>
      <c r="N60" s="2" t="str">
        <f>IFERROR(__xludf.DUMMYFUNCTION("""COMPUTED_VALUE"""),"AG")</f>
        <v>AG</v>
      </c>
      <c r="O60" s="2">
        <f>IFERROR(__xludf.DUMMYFUNCTION("""COMPUTED_VALUE"""),-66.0)</f>
        <v>-66</v>
      </c>
      <c r="P60" s="2">
        <f>IFERROR(__xludf.DUMMYFUNCTION("""COMPUTED_VALUE"""),55.0)</f>
        <v>55</v>
      </c>
      <c r="Q60" s="2">
        <f>IFERROR(__xludf.DUMMYFUNCTION("""COMPUTED_VALUE"""),121.0)</f>
        <v>121</v>
      </c>
      <c r="R60" s="2">
        <f>IFERROR(__xludf.DUMMYFUNCTION("""COMPUTED_VALUE"""),5.0)</f>
        <v>5</v>
      </c>
      <c r="S60" s="2">
        <f>IFERROR(__xludf.DUMMYFUNCTION("""COMPUTED_VALUE"""),38.0)</f>
        <v>38</v>
      </c>
      <c r="T60" s="2">
        <f>IFERROR(__xludf.DUMMYFUNCTION("""COMPUTED_VALUE"""),48.0)</f>
        <v>48</v>
      </c>
      <c r="U60" s="2">
        <f>IFERROR(__xludf.DUMMYFUNCTION("""COMPUTED_VALUE"""),68.0)</f>
        <v>68</v>
      </c>
      <c r="V60" s="2">
        <f>IFERROR(__xludf.DUMMYFUNCTION("""COMPUTED_VALUE"""),21.0)</f>
        <v>21</v>
      </c>
      <c r="W60" s="2">
        <f>IFERROR(__xludf.DUMMYFUNCTION("""COMPUTED_VALUE"""),7.0)</f>
        <v>7</v>
      </c>
      <c r="X60" s="2">
        <f>IFERROR(__xludf.DUMMYFUNCTION("""COMPUTED_VALUE"""),5.0)</f>
        <v>5</v>
      </c>
      <c r="Y60" s="2">
        <f>IFERROR(__xludf.DUMMYFUNCTION("""COMPUTED_VALUE"""),126.0)</f>
        <v>126</v>
      </c>
      <c r="Z60" s="2"/>
      <c r="AA60" s="2"/>
      <c r="AB60" s="2">
        <f>IFERROR(__xludf.DUMMYFUNCTION("""COMPUTED_VALUE"""),1.5)</f>
        <v>1.5</v>
      </c>
      <c r="AC60" s="2"/>
      <c r="AD60" s="2"/>
    </row>
    <row r="61">
      <c r="A61" s="2" t="str">
        <f>IFERROR(__xludf.DUMMYFUNCTION("""COMPUTED_VALUE"""),"Bajaj (Grey)")</f>
        <v>Bajaj (Grey)</v>
      </c>
      <c r="B61" s="2" t="str">
        <f>IFERROR(__xludf.DUMMYFUNCTION("""COMPUTED_VALUE"""),"CRM-WG-NW-Ultra-Grind+-Grey")</f>
        <v>CRM-WG-NW-Ultra-Grind+-Grey</v>
      </c>
      <c r="C61" s="26">
        <f>IFERROR(__xludf.DUMMYFUNCTION("""COMPUTED_VALUE"""),20.0)</f>
        <v>20</v>
      </c>
      <c r="F61" s="26">
        <f t="shared" si="1"/>
        <v>0</v>
      </c>
      <c r="G61" s="26" t="str">
        <f t="shared" si="2"/>
        <v>#N/A</v>
      </c>
      <c r="H61" s="26" t="str">
        <f t="shared" si="3"/>
        <v>#N/A</v>
      </c>
      <c r="K61" s="2" t="str">
        <f>IFERROR(__xludf.DUMMYFUNCTION("""COMPUTED_VALUE"""),"G4770 (Grey)")</f>
        <v>G4770 (Grey)</v>
      </c>
      <c r="L61" s="2"/>
      <c r="M61" s="2" t="str">
        <f>IFERROR(__xludf.DUMMYFUNCTION("""COMPUTED_VALUE"""),"Printer NW")</f>
        <v>Printer NW</v>
      </c>
      <c r="N61" s="2" t="str">
        <f>IFERROR(__xludf.DUMMYFUNCTION("""COMPUTED_VALUE"""),"AG")</f>
        <v>AG</v>
      </c>
      <c r="O61" s="2">
        <f>IFERROR(__xludf.DUMMYFUNCTION("""COMPUTED_VALUE"""),-101.0)</f>
        <v>-101</v>
      </c>
      <c r="P61" s="2">
        <f>IFERROR(__xludf.DUMMYFUNCTION("""COMPUTED_VALUE"""),61.0)</f>
        <v>61</v>
      </c>
      <c r="Q61" s="2">
        <f>IFERROR(__xludf.DUMMYFUNCTION("""COMPUTED_VALUE"""),162.0)</f>
        <v>162</v>
      </c>
      <c r="R61" s="2">
        <f>IFERROR(__xludf.DUMMYFUNCTION("""COMPUTED_VALUE"""),5.0)</f>
        <v>5</v>
      </c>
      <c r="S61" s="2">
        <f>IFERROR(__xludf.DUMMYFUNCTION("""COMPUTED_VALUE"""),43.0)</f>
        <v>43</v>
      </c>
      <c r="T61" s="2">
        <f>IFERROR(__xludf.DUMMYFUNCTION("""COMPUTED_VALUE"""),50.0)</f>
        <v>50</v>
      </c>
      <c r="U61" s="2">
        <f>IFERROR(__xludf.DUMMYFUNCTION("""COMPUTED_VALUE"""),75.0)</f>
        <v>75</v>
      </c>
      <c r="V61" s="2">
        <f>IFERROR(__xludf.DUMMYFUNCTION("""COMPUTED_VALUE"""),28.0)</f>
        <v>28</v>
      </c>
      <c r="W61" s="2">
        <f>IFERROR(__xludf.DUMMYFUNCTION("""COMPUTED_VALUE"""),7.0)</f>
        <v>7</v>
      </c>
      <c r="X61" s="2">
        <f>IFERROR(__xludf.DUMMYFUNCTION("""COMPUTED_VALUE"""),33.0)</f>
        <v>33</v>
      </c>
      <c r="Y61" s="2">
        <f>IFERROR(__xludf.DUMMYFUNCTION("""COMPUTED_VALUE"""),53.0)</f>
        <v>53</v>
      </c>
      <c r="Z61" s="2"/>
      <c r="AA61" s="2"/>
      <c r="AB61" s="2">
        <f>IFERROR(__xludf.DUMMYFUNCTION("""COMPUTED_VALUE"""),1.5)</f>
        <v>1.5</v>
      </c>
      <c r="AC61" s="2"/>
      <c r="AD61" s="2"/>
    </row>
    <row r="62">
      <c r="A62" s="2" t="str">
        <f>IFERROR(__xludf.DUMMYFUNCTION("""COMPUTED_VALUE"""),"Bajaj (Grey)")</f>
        <v>Bajaj (Grey)</v>
      </c>
      <c r="B62" s="2" t="str">
        <f>IFERROR(__xludf.DUMMYFUNCTION("""COMPUTED_VALUE"""),"CRM-WG-NW-Ultra-Grind+-Grey")</f>
        <v>CRM-WG-NW-Ultra-Grind+-Grey</v>
      </c>
      <c r="C62" s="26">
        <f>IFERROR(__xludf.DUMMYFUNCTION("""COMPUTED_VALUE"""),20.0)</f>
        <v>20</v>
      </c>
      <c r="F62" s="26">
        <f t="shared" si="1"/>
        <v>0</v>
      </c>
      <c r="G62" s="26" t="str">
        <f t="shared" si="2"/>
        <v>#N/A</v>
      </c>
      <c r="H62" s="26" t="str">
        <f t="shared" si="3"/>
        <v>#N/A</v>
      </c>
      <c r="K62" s="2" t="str">
        <f>IFERROR(__xludf.DUMMYFUNCTION("""COMPUTED_VALUE"""),"Bajaj (Black)")</f>
        <v>Bajaj (Black)</v>
      </c>
      <c r="L62" s="2"/>
      <c r="M62" s="2" t="str">
        <f>IFERROR(__xludf.DUMMYFUNCTION("""COMPUTED_VALUE"""),"WG NW")</f>
        <v>WG NW</v>
      </c>
      <c r="N62" s="2" t="str">
        <f>IFERROR(__xludf.DUMMYFUNCTION("""COMPUTED_VALUE"""),"AG")</f>
        <v>AG</v>
      </c>
      <c r="O62" s="2">
        <f>IFERROR(__xludf.DUMMYFUNCTION("""COMPUTED_VALUE"""),-234.0)</f>
        <v>-234</v>
      </c>
      <c r="P62" s="2">
        <f>IFERROR(__xludf.DUMMYFUNCTION("""COMPUTED_VALUE"""),234.0)</f>
        <v>234</v>
      </c>
      <c r="Q62" s="2">
        <f>IFERROR(__xludf.DUMMYFUNCTION("""COMPUTED_VALUE"""),468.0)</f>
        <v>468</v>
      </c>
      <c r="R62" s="2">
        <f>IFERROR(__xludf.DUMMYFUNCTION("""COMPUTED_VALUE"""),5.0)</f>
        <v>5</v>
      </c>
      <c r="S62" s="2">
        <f>IFERROR(__xludf.DUMMYFUNCTION("""COMPUTED_VALUE"""),76.0)</f>
        <v>76</v>
      </c>
      <c r="T62" s="2">
        <f>IFERROR(__xludf.DUMMYFUNCTION("""COMPUTED_VALUE"""),148.0)</f>
        <v>148</v>
      </c>
      <c r="U62" s="2">
        <f>IFERROR(__xludf.DUMMYFUNCTION("""COMPUTED_VALUE"""),154.0)</f>
        <v>154</v>
      </c>
      <c r="V62" s="2">
        <f>IFERROR(__xludf.DUMMYFUNCTION("""COMPUTED_VALUE"""),234.0)</f>
        <v>234</v>
      </c>
      <c r="W62" s="2">
        <f>IFERROR(__xludf.DUMMYFUNCTION("""COMPUTED_VALUE"""),167.0)</f>
        <v>167</v>
      </c>
      <c r="X62" s="2">
        <f>IFERROR(__xludf.DUMMYFUNCTION("""COMPUTED_VALUE"""),110.0)</f>
        <v>110</v>
      </c>
      <c r="Y62" s="2">
        <f>IFERROR(__xludf.DUMMYFUNCTION("""COMPUTED_VALUE"""),369.0)</f>
        <v>369</v>
      </c>
      <c r="Z62" s="2"/>
      <c r="AA62" s="2"/>
      <c r="AB62" s="2">
        <f>IFERROR(__xludf.DUMMYFUNCTION("""COMPUTED_VALUE"""),1.5)</f>
        <v>1.5</v>
      </c>
      <c r="AC62" s="2"/>
      <c r="AD62" s="2"/>
    </row>
    <row r="63">
      <c r="A63" s="2" t="str">
        <f>IFERROR(__xludf.DUMMYFUNCTION("""COMPUTED_VALUE"""),"Bajaj (Grey)")</f>
        <v>Bajaj (Grey)</v>
      </c>
      <c r="B63" s="2" t="str">
        <f>IFERROR(__xludf.DUMMYFUNCTION("""COMPUTED_VALUE"""),"CRM-WG-NW-Ultra-Grind+-Grey")</f>
        <v>CRM-WG-NW-Ultra-Grind+-Grey</v>
      </c>
      <c r="C63" s="26">
        <f>IFERROR(__xludf.DUMMYFUNCTION("""COMPUTED_VALUE"""),20.0)</f>
        <v>20</v>
      </c>
      <c r="F63" s="26">
        <f t="shared" si="1"/>
        <v>0</v>
      </c>
      <c r="G63" s="26" t="str">
        <f t="shared" si="2"/>
        <v>#N/A</v>
      </c>
      <c r="H63" s="26" t="str">
        <f t="shared" si="3"/>
        <v>#N/A</v>
      </c>
      <c r="K63" s="2" t="str">
        <f>IFERROR(__xludf.DUMMYFUNCTION("""COMPUTED_VALUE"""),"Bajaj (Grey)")</f>
        <v>Bajaj (Grey)</v>
      </c>
      <c r="L63" s="2"/>
      <c r="M63" s="2" t="str">
        <f>IFERROR(__xludf.DUMMYFUNCTION("""COMPUTED_VALUE"""),"WG NW")</f>
        <v>WG NW</v>
      </c>
      <c r="N63" s="2" t="str">
        <f>IFERROR(__xludf.DUMMYFUNCTION("""COMPUTED_VALUE"""),"AG")</f>
        <v>AG</v>
      </c>
      <c r="O63" s="2">
        <f>IFERROR(__xludf.DUMMYFUNCTION("""COMPUTED_VALUE"""),327.0)</f>
        <v>327</v>
      </c>
      <c r="P63" s="2">
        <f>IFERROR(__xludf.DUMMYFUNCTION("""COMPUTED_VALUE"""),657.0)</f>
        <v>657</v>
      </c>
      <c r="Q63" s="2">
        <f>IFERROR(__xludf.DUMMYFUNCTION("""COMPUTED_VALUE"""),330.0)</f>
        <v>330</v>
      </c>
      <c r="R63" s="2">
        <f>IFERROR(__xludf.DUMMYFUNCTION("""COMPUTED_VALUE"""),5.0)</f>
        <v>5</v>
      </c>
      <c r="S63" s="2">
        <f>IFERROR(__xludf.DUMMYFUNCTION("""COMPUTED_VALUE"""),346.0)</f>
        <v>346</v>
      </c>
      <c r="T63" s="2">
        <f>IFERROR(__xludf.DUMMYFUNCTION("""COMPUTED_VALUE"""),275.0)</f>
        <v>275</v>
      </c>
      <c r="U63" s="2">
        <f>IFERROR(__xludf.DUMMYFUNCTION("""COMPUTED_VALUE"""),546.0)</f>
        <v>546</v>
      </c>
      <c r="V63" s="2">
        <f>IFERROR(__xludf.DUMMYFUNCTION("""COMPUTED_VALUE"""),349.0)</f>
        <v>349</v>
      </c>
      <c r="W63" s="2">
        <f>IFERROR(__xludf.DUMMYFUNCTION("""COMPUTED_VALUE"""),671.0)</f>
        <v>671</v>
      </c>
      <c r="X63" s="2">
        <f>IFERROR(__xludf.DUMMYFUNCTION("""COMPUTED_VALUE"""),226.0)</f>
        <v>226</v>
      </c>
      <c r="Y63" s="2">
        <f>IFERROR(__xludf.DUMMYFUNCTION("""COMPUTED_VALUE"""),155.0)</f>
        <v>155</v>
      </c>
      <c r="Z63" s="2"/>
      <c r="AA63" s="2"/>
      <c r="AB63" s="2">
        <f>IFERROR(__xludf.DUMMYFUNCTION("""COMPUTED_VALUE"""),1.5)</f>
        <v>1.5</v>
      </c>
      <c r="AC63" s="2"/>
      <c r="AD63" s="2"/>
    </row>
    <row r="64">
      <c r="A64" s="2" t="str">
        <f>IFERROR(__xludf.DUMMYFUNCTION("""COMPUTED_VALUE"""),"Bajaj (Grey)")</f>
        <v>Bajaj (Grey)</v>
      </c>
      <c r="B64" s="2" t="str">
        <f>IFERROR(__xludf.DUMMYFUNCTION("""COMPUTED_VALUE"""),"CRM-WG-NW-Ultra-Grind+-Grey")</f>
        <v>CRM-WG-NW-Ultra-Grind+-Grey</v>
      </c>
      <c r="C64" s="26">
        <f>IFERROR(__xludf.DUMMYFUNCTION("""COMPUTED_VALUE"""),12.0)</f>
        <v>12</v>
      </c>
      <c r="F64" s="26">
        <f t="shared" si="1"/>
        <v>0</v>
      </c>
      <c r="G64" s="26" t="str">
        <f t="shared" si="2"/>
        <v>#N/A</v>
      </c>
      <c r="H64" s="26" t="str">
        <f t="shared" si="3"/>
        <v>#N/A</v>
      </c>
      <c r="K64" s="2" t="str">
        <f>IFERROR(__xludf.DUMMYFUNCTION("""COMPUTED_VALUE"""),"HP 2606sdw - Black")</f>
        <v>HP 2606sdw - Black</v>
      </c>
      <c r="L64" s="2"/>
      <c r="M64" s="2" t="str">
        <f>IFERROR(__xludf.DUMMYFUNCTION("""COMPUTED_VALUE"""),"Printer NW")</f>
        <v>Printer NW</v>
      </c>
      <c r="N64" s="2" t="str">
        <f>IFERROR(__xludf.DUMMYFUNCTION("""COMPUTED_VALUE"""),"AG")</f>
        <v>AG</v>
      </c>
      <c r="O64" s="2">
        <f>IFERROR(__xludf.DUMMYFUNCTION("""COMPUTED_VALUE"""),-100.0)</f>
        <v>-100</v>
      </c>
      <c r="P64" s="2">
        <f>IFERROR(__xludf.DUMMYFUNCTION("""COMPUTED_VALUE"""),0.0)</f>
        <v>0</v>
      </c>
      <c r="Q64" s="2">
        <f>IFERROR(__xludf.DUMMYFUNCTION("""COMPUTED_VALUE"""),100.0)</f>
        <v>100</v>
      </c>
      <c r="R64" s="2">
        <f>IFERROR(__xludf.DUMMYFUNCTION("""COMPUTED_VALUE"""),1.0)</f>
        <v>1</v>
      </c>
      <c r="S64" s="2">
        <f>IFERROR(__xludf.DUMMYFUNCTION("""COMPUTED_VALUE"""),0.0)</f>
        <v>0</v>
      </c>
      <c r="T64" s="2">
        <f>IFERROR(__xludf.DUMMYFUNCTION("""COMPUTED_VALUE"""),0.0)</f>
        <v>0</v>
      </c>
      <c r="U64" s="2">
        <f>IFERROR(__xludf.DUMMYFUNCTION("""COMPUTED_VALUE"""),0.0)</f>
        <v>0</v>
      </c>
      <c r="V64" s="2">
        <f>IFERROR(__xludf.DUMMYFUNCTION("""COMPUTED_VALUE"""),0.0)</f>
        <v>0</v>
      </c>
      <c r="W64" s="2">
        <f>IFERROR(__xludf.DUMMYFUNCTION("""COMPUTED_VALUE"""),0.0)</f>
        <v>0</v>
      </c>
      <c r="X64" s="2">
        <f>IFERROR(__xludf.DUMMYFUNCTION("""COMPUTED_VALUE"""),0.0)</f>
        <v>0</v>
      </c>
      <c r="Y64" s="2">
        <f>IFERROR(__xludf.DUMMYFUNCTION("""COMPUTED_VALUE"""),0.0)</f>
        <v>0</v>
      </c>
      <c r="Z64" s="2"/>
      <c r="AA64" s="2"/>
      <c r="AB64" s="2"/>
      <c r="AC64" s="2"/>
      <c r="AD64" s="2"/>
    </row>
    <row r="65">
      <c r="A65" s="2" t="str">
        <f>IFERROR(__xludf.DUMMYFUNCTION("""COMPUTED_VALUE"""),"Bajaj (Grey)")</f>
        <v>Bajaj (Grey)</v>
      </c>
      <c r="B65" s="2" t="str">
        <f>IFERROR(__xludf.DUMMYFUNCTION("""COMPUTED_VALUE"""),"CRM-WG-NW-Ultra-Grind+-Grey")</f>
        <v>CRM-WG-NW-Ultra-Grind+-Grey</v>
      </c>
      <c r="C65" s="26">
        <f>IFERROR(__xludf.DUMMYFUNCTION("""COMPUTED_VALUE"""),12.0)</f>
        <v>12</v>
      </c>
      <c r="F65" s="26">
        <f t="shared" si="1"/>
        <v>0</v>
      </c>
      <c r="G65" s="26" t="str">
        <f t="shared" si="2"/>
        <v>#N/A</v>
      </c>
      <c r="H65" s="26" t="str">
        <f t="shared" si="3"/>
        <v>#N/A</v>
      </c>
      <c r="K65" s="2" t="str">
        <f>IFERROR(__xludf.DUMMYFUNCTION("""COMPUTED_VALUE"""),"HP 2606sdw - Grey")</f>
        <v>HP 2606sdw - Grey</v>
      </c>
      <c r="L65" s="2"/>
      <c r="M65" s="2" t="str">
        <f>IFERROR(__xludf.DUMMYFUNCTION("""COMPUTED_VALUE"""),"Printer NW")</f>
        <v>Printer NW</v>
      </c>
      <c r="N65" s="2" t="str">
        <f>IFERROR(__xludf.DUMMYFUNCTION("""COMPUTED_VALUE"""),"AG")</f>
        <v>AG</v>
      </c>
      <c r="O65" s="2">
        <f>IFERROR(__xludf.DUMMYFUNCTION("""COMPUTED_VALUE"""),-35.0)</f>
        <v>-35</v>
      </c>
      <c r="P65" s="2">
        <f>IFERROR(__xludf.DUMMYFUNCTION("""COMPUTED_VALUE"""),234.0)</f>
        <v>234</v>
      </c>
      <c r="Q65" s="2">
        <f>IFERROR(__xludf.DUMMYFUNCTION("""COMPUTED_VALUE"""),269.0)</f>
        <v>269</v>
      </c>
      <c r="R65" s="2">
        <f>IFERROR(__xludf.DUMMYFUNCTION("""COMPUTED_VALUE"""),4.0)</f>
        <v>4</v>
      </c>
      <c r="S65" s="2">
        <f>IFERROR(__xludf.DUMMYFUNCTION("""COMPUTED_VALUE"""),75.0)</f>
        <v>75</v>
      </c>
      <c r="T65" s="2">
        <f>IFERROR(__xludf.DUMMYFUNCTION("""COMPUTED_VALUE"""),34.0)</f>
        <v>34</v>
      </c>
      <c r="U65" s="2">
        <f>IFERROR(__xludf.DUMMYFUNCTION("""COMPUTED_VALUE"""),104.0)</f>
        <v>104</v>
      </c>
      <c r="V65" s="2">
        <f>IFERROR(__xludf.DUMMYFUNCTION("""COMPUTED_VALUE"""),113.0)</f>
        <v>113</v>
      </c>
      <c r="W65" s="2">
        <f>IFERROR(__xludf.DUMMYFUNCTION("""COMPUTED_VALUE"""),297.0)</f>
        <v>297</v>
      </c>
      <c r="X65" s="2">
        <f>IFERROR(__xludf.DUMMYFUNCTION("""COMPUTED_VALUE"""),327.0)</f>
        <v>327</v>
      </c>
      <c r="Y65" s="2">
        <f>IFERROR(__xludf.DUMMYFUNCTION("""COMPUTED_VALUE"""),86.0)</f>
        <v>86</v>
      </c>
      <c r="Z65" s="2"/>
      <c r="AA65" s="2"/>
      <c r="AB65" s="2">
        <f>IFERROR(__xludf.DUMMYFUNCTION("""COMPUTED_VALUE"""),1.5)</f>
        <v>1.5</v>
      </c>
      <c r="AC65" s="2"/>
      <c r="AD65" s="2"/>
    </row>
    <row r="66">
      <c r="A66" s="2" t="str">
        <f>IFERROR(__xludf.DUMMYFUNCTION("""COMPUTED_VALUE"""),"BAJAJ")</f>
        <v>BAJAJ</v>
      </c>
      <c r="B66" s="2" t="str">
        <f>IFERROR(__xludf.DUMMYFUNCTION("""COMPUTED_VALUE"""),"Ultra_1")</f>
        <v>Ultra_1</v>
      </c>
      <c r="C66" s="26">
        <f>IFERROR(__xludf.DUMMYFUNCTION("""COMPUTED_VALUE"""),2.0)</f>
        <v>2</v>
      </c>
      <c r="F66" s="26">
        <f t="shared" si="1"/>
        <v>0</v>
      </c>
      <c r="G66" s="26" t="str">
        <f t="shared" si="2"/>
        <v>#N/A</v>
      </c>
      <c r="H66" s="26" t="str">
        <f t="shared" si="3"/>
        <v>#N/A</v>
      </c>
      <c r="K66" s="2" t="str">
        <f>IFERROR(__xludf.DUMMYFUNCTION("""COMPUTED_VALUE"""),"HP 1008w - Grey")</f>
        <v>HP 1008w - Grey</v>
      </c>
      <c r="L66" s="2"/>
      <c r="M66" s="2" t="str">
        <f>IFERROR(__xludf.DUMMYFUNCTION("""COMPUTED_VALUE"""),"Printer NW")</f>
        <v>Printer NW</v>
      </c>
      <c r="N66" s="2" t="str">
        <f>IFERROR(__xludf.DUMMYFUNCTION("""COMPUTED_VALUE"""),"AG")</f>
        <v>AG</v>
      </c>
      <c r="O66" s="2">
        <f>IFERROR(__xludf.DUMMYFUNCTION("""COMPUTED_VALUE"""),-39.0)</f>
        <v>-39</v>
      </c>
      <c r="P66" s="2">
        <f>IFERROR(__xludf.DUMMYFUNCTION("""COMPUTED_VALUE"""),90.0)</f>
        <v>90</v>
      </c>
      <c r="Q66" s="2">
        <f>IFERROR(__xludf.DUMMYFUNCTION("""COMPUTED_VALUE"""),129.0)</f>
        <v>129</v>
      </c>
      <c r="R66" s="2">
        <f>IFERROR(__xludf.DUMMYFUNCTION("""COMPUTED_VALUE"""),4.0)</f>
        <v>4</v>
      </c>
      <c r="S66" s="2">
        <f>IFERROR(__xludf.DUMMYFUNCTION("""COMPUTED_VALUE"""),75.0)</f>
        <v>75</v>
      </c>
      <c r="T66" s="2">
        <f>IFERROR(__xludf.DUMMYFUNCTION("""COMPUTED_VALUE"""),4.0)</f>
        <v>4</v>
      </c>
      <c r="U66" s="2">
        <f>IFERROR(__xludf.DUMMYFUNCTION("""COMPUTED_VALUE"""),40.0)</f>
        <v>40</v>
      </c>
      <c r="V66" s="2">
        <f>IFERROR(__xludf.DUMMYFUNCTION("""COMPUTED_VALUE"""),69.0)</f>
        <v>69</v>
      </c>
      <c r="W66" s="2">
        <f>IFERROR(__xludf.DUMMYFUNCTION("""COMPUTED_VALUE"""),50.0)</f>
        <v>50</v>
      </c>
      <c r="X66" s="2">
        <f>IFERROR(__xludf.DUMMYFUNCTION("""COMPUTED_VALUE"""),58.0)</f>
        <v>58</v>
      </c>
      <c r="Y66" s="2">
        <f>IFERROR(__xludf.DUMMYFUNCTION("""COMPUTED_VALUE"""),61.0)</f>
        <v>61</v>
      </c>
      <c r="Z66" s="2"/>
      <c r="AA66" s="2"/>
      <c r="AB66" s="2">
        <f>IFERROR(__xludf.DUMMYFUNCTION("""COMPUTED_VALUE"""),1.5)</f>
        <v>1.5</v>
      </c>
      <c r="AC66" s="2"/>
      <c r="AD66" s="2"/>
    </row>
    <row r="67">
      <c r="A67" s="2" t="str">
        <f>IFERROR(__xludf.DUMMYFUNCTION("""COMPUTED_VALUE"""),"BAJAJ")</f>
        <v>BAJAJ</v>
      </c>
      <c r="B67" s="2" t="str">
        <f>IFERROR(__xludf.DUMMYFUNCTION("""COMPUTED_VALUE"""),"Ultra_1")</f>
        <v>Ultra_1</v>
      </c>
      <c r="C67" s="26">
        <f>IFERROR(__xludf.DUMMYFUNCTION("""COMPUTED_VALUE"""),10.0)</f>
        <v>10</v>
      </c>
      <c r="F67" s="26">
        <f t="shared" si="1"/>
        <v>0</v>
      </c>
      <c r="G67" s="26" t="str">
        <f t="shared" si="2"/>
        <v>#N/A</v>
      </c>
      <c r="H67" s="26" t="str">
        <f t="shared" si="3"/>
        <v>#N/A</v>
      </c>
      <c r="K67" s="2" t="str">
        <f>IFERROR(__xludf.DUMMYFUNCTION("""COMPUTED_VALUE"""),"Canon TS207 - Grey")</f>
        <v>Canon TS207 - Grey</v>
      </c>
      <c r="L67" s="2"/>
      <c r="M67" s="2" t="str">
        <f>IFERROR(__xludf.DUMMYFUNCTION("""COMPUTED_VALUE"""),"Printer NW")</f>
        <v>Printer NW</v>
      </c>
      <c r="N67" s="2" t="str">
        <f>IFERROR(__xludf.DUMMYFUNCTION("""COMPUTED_VALUE"""),"AG")</f>
        <v>AG</v>
      </c>
      <c r="O67" s="2">
        <f>IFERROR(__xludf.DUMMYFUNCTION("""COMPUTED_VALUE"""),-33.0)</f>
        <v>-33</v>
      </c>
      <c r="P67" s="2">
        <f>IFERROR(__xludf.DUMMYFUNCTION("""COMPUTED_VALUE"""),27.0)</f>
        <v>27</v>
      </c>
      <c r="Q67" s="2">
        <f>IFERROR(__xludf.DUMMYFUNCTION("""COMPUTED_VALUE"""),60.0)</f>
        <v>60</v>
      </c>
      <c r="R67" s="2">
        <f>IFERROR(__xludf.DUMMYFUNCTION("""COMPUTED_VALUE"""),4.0)</f>
        <v>4</v>
      </c>
      <c r="S67" s="2">
        <f>IFERROR(__xludf.DUMMYFUNCTION("""COMPUTED_VALUE"""),70.0)</f>
        <v>70</v>
      </c>
      <c r="T67" s="2">
        <f>IFERROR(__xludf.DUMMYFUNCTION("""COMPUTED_VALUE"""),0.0)</f>
        <v>0</v>
      </c>
      <c r="U67" s="2">
        <f>IFERROR(__xludf.DUMMYFUNCTION("""COMPUTED_VALUE"""),0.0)</f>
        <v>0</v>
      </c>
      <c r="V67" s="2">
        <f>IFERROR(__xludf.DUMMYFUNCTION("""COMPUTED_VALUE"""),0.0)</f>
        <v>0</v>
      </c>
      <c r="W67" s="2">
        <f>IFERROR(__xludf.DUMMYFUNCTION("""COMPUTED_VALUE"""),0.0)</f>
        <v>0</v>
      </c>
      <c r="X67" s="2">
        <f>IFERROR(__xludf.DUMMYFUNCTION("""COMPUTED_VALUE"""),0.0)</f>
        <v>0</v>
      </c>
      <c r="Y67" s="2">
        <f>IFERROR(__xludf.DUMMYFUNCTION("""COMPUTED_VALUE"""),60.0)</f>
        <v>60</v>
      </c>
      <c r="Z67" s="2"/>
      <c r="AA67" s="2"/>
      <c r="AB67" s="2">
        <f>IFERROR(__xludf.DUMMYFUNCTION("""COMPUTED_VALUE"""),1.5)</f>
        <v>1.5</v>
      </c>
      <c r="AC67" s="2"/>
      <c r="AD67" s="2"/>
    </row>
    <row r="68">
      <c r="A68" s="2" t="str">
        <f>IFERROR(__xludf.DUMMYFUNCTION("""COMPUTED_VALUE"""),"BAJAJ")</f>
        <v>BAJAJ</v>
      </c>
      <c r="B68" s="2" t="str">
        <f>IFERROR(__xludf.DUMMYFUNCTION("""COMPUTED_VALUE"""),"Ultra_1")</f>
        <v>Ultra_1</v>
      </c>
      <c r="C68" s="26">
        <f>IFERROR(__xludf.DUMMYFUNCTION("""COMPUTED_VALUE"""),30.0)</f>
        <v>30</v>
      </c>
      <c r="F68" s="26">
        <f t="shared" si="1"/>
        <v>0</v>
      </c>
      <c r="G68" s="26" t="str">
        <f t="shared" si="2"/>
        <v>#N/A</v>
      </c>
      <c r="H68" s="26" t="str">
        <f t="shared" si="3"/>
        <v>#N/A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 t="str">
        <f>IFERROR(__xludf.DUMMYFUNCTION("""COMPUTED_VALUE"""),"BAJAJ")</f>
        <v>BAJAJ</v>
      </c>
      <c r="B69" s="2" t="str">
        <f>IFERROR(__xludf.DUMMYFUNCTION("""COMPUTED_VALUE"""),"Ultra_1")</f>
        <v>Ultra_1</v>
      </c>
      <c r="C69" s="26">
        <f>IFERROR(__xludf.DUMMYFUNCTION("""COMPUTED_VALUE"""),14.0)</f>
        <v>14</v>
      </c>
      <c r="F69" s="26">
        <f t="shared" si="1"/>
        <v>0</v>
      </c>
      <c r="G69" s="26" t="str">
        <f t="shared" si="2"/>
        <v>#N/A</v>
      </c>
      <c r="H69" s="26" t="str">
        <f t="shared" si="3"/>
        <v>#N/A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 t="str">
        <f>IFERROR(__xludf.DUMMYFUNCTION("""COMPUTED_VALUE"""),"BAJAJ")</f>
        <v>BAJAJ</v>
      </c>
      <c r="B70" s="2" t="str">
        <f>IFERROR(__xludf.DUMMYFUNCTION("""COMPUTED_VALUE"""),"Ultra_1")</f>
        <v>Ultra_1</v>
      </c>
      <c r="C70" s="26">
        <f>IFERROR(__xludf.DUMMYFUNCTION("""COMPUTED_VALUE"""),26.0)</f>
        <v>26</v>
      </c>
      <c r="F70" s="26"/>
      <c r="G70" s="26" t="str">
        <f t="shared" si="2"/>
        <v>#N/A</v>
      </c>
      <c r="H70" s="26" t="str">
        <f t="shared" si="3"/>
        <v>#N/A</v>
      </c>
      <c r="K70" s="2" t="str">
        <f>IFERROR(__xludf.DUMMYFUNCTION("""COMPUTED_VALUE"""),"DC (NW Black)")</f>
        <v>DC (NW Black)</v>
      </c>
      <c r="L70" s="2"/>
      <c r="M70" s="2" t="str">
        <f>IFERROR(__xludf.DUMMYFUNCTION("""COMPUTED_VALUE"""),"DC")</f>
        <v>DC</v>
      </c>
      <c r="N70" s="2" t="str">
        <f>IFERROR(__xludf.DUMMYFUNCTION("""COMPUTED_VALUE"""),"AG")</f>
        <v>AG</v>
      </c>
      <c r="O70" s="2">
        <f>IFERROR(__xludf.DUMMYFUNCTION("""COMPUTED_VALUE"""),-318.0)</f>
        <v>-318</v>
      </c>
      <c r="P70" s="2">
        <f>IFERROR(__xludf.DUMMYFUNCTION("""COMPUTED_VALUE"""),221.0)</f>
        <v>221</v>
      </c>
      <c r="Q70" s="2">
        <f>IFERROR(__xludf.DUMMYFUNCTION("""COMPUTED_VALUE"""),539.0)</f>
        <v>539</v>
      </c>
      <c r="R70" s="2">
        <f>IFERROR(__xludf.DUMMYFUNCTION("""COMPUTED_VALUE"""),5.0)</f>
        <v>5</v>
      </c>
      <c r="S70" s="2">
        <f>IFERROR(__xludf.DUMMYFUNCTION("""COMPUTED_VALUE"""),106.0)</f>
        <v>106</v>
      </c>
      <c r="T70" s="2">
        <f>IFERROR(__xludf.DUMMYFUNCTION("""COMPUTED_VALUE"""),133.0)</f>
        <v>133</v>
      </c>
      <c r="U70" s="2">
        <f>IFERROR(__xludf.DUMMYFUNCTION("""COMPUTED_VALUE"""),65.0)</f>
        <v>65</v>
      </c>
      <c r="V70" s="2">
        <f>IFERROR(__xludf.DUMMYFUNCTION("""COMPUTED_VALUE"""),48.0)</f>
        <v>48</v>
      </c>
      <c r="W70" s="2">
        <f>IFERROR(__xludf.DUMMYFUNCTION("""COMPUTED_VALUE"""),382.0)</f>
        <v>382</v>
      </c>
      <c r="X70" s="2">
        <f>IFERROR(__xludf.DUMMYFUNCTION("""COMPUTED_VALUE"""),119.0)</f>
        <v>119</v>
      </c>
      <c r="Y70" s="2">
        <f>IFERROR(__xludf.DUMMYFUNCTION("""COMPUTED_VALUE"""),58.0)</f>
        <v>58</v>
      </c>
      <c r="Z70" s="2"/>
      <c r="AA70" s="2"/>
      <c r="AB70" s="2">
        <f>IFERROR(__xludf.DUMMYFUNCTION("""COMPUTED_VALUE"""),1.5)</f>
        <v>1.5</v>
      </c>
      <c r="AC70" s="2"/>
      <c r="AD70" s="2"/>
    </row>
    <row r="71">
      <c r="A71" s="2" t="str">
        <f>IFERROR(__xludf.DUMMYFUNCTION("""COMPUTED_VALUE"""),"BAJAJ")</f>
        <v>BAJAJ</v>
      </c>
      <c r="B71" s="2" t="str">
        <f>IFERROR(__xludf.DUMMYFUNCTION("""COMPUTED_VALUE"""),"Ultra_1")</f>
        <v>Ultra_1</v>
      </c>
      <c r="C71" s="26">
        <f>IFERROR(__xludf.DUMMYFUNCTION("""COMPUTED_VALUE"""),6.0)</f>
        <v>6</v>
      </c>
      <c r="F71" s="26"/>
      <c r="G71" s="26" t="str">
        <f t="shared" si="2"/>
        <v>#N/A</v>
      </c>
      <c r="H71" s="26" t="str">
        <f t="shared" si="3"/>
        <v>#N/A</v>
      </c>
      <c r="K71" s="2" t="str">
        <f>IFERROR(__xludf.DUMMYFUNCTION("""COMPUTED_VALUE"""),"DC (NW Grey)")</f>
        <v>DC (NW Grey)</v>
      </c>
      <c r="L71" s="2"/>
      <c r="M71" s="2" t="str">
        <f>IFERROR(__xludf.DUMMYFUNCTION("""COMPUTED_VALUE"""),"DC")</f>
        <v>DC</v>
      </c>
      <c r="N71" s="2" t="str">
        <f>IFERROR(__xludf.DUMMYFUNCTION("""COMPUTED_VALUE"""),"AG")</f>
        <v>AG</v>
      </c>
      <c r="O71" s="2">
        <f>IFERROR(__xludf.DUMMYFUNCTION("""COMPUTED_VALUE"""),81.0)</f>
        <v>81</v>
      </c>
      <c r="P71" s="2">
        <f>IFERROR(__xludf.DUMMYFUNCTION("""COMPUTED_VALUE"""),283.0)</f>
        <v>283</v>
      </c>
      <c r="Q71" s="2">
        <f>IFERROR(__xludf.DUMMYFUNCTION("""COMPUTED_VALUE"""),202.0)</f>
        <v>202</v>
      </c>
      <c r="R71" s="2">
        <f>IFERROR(__xludf.DUMMYFUNCTION("""COMPUTED_VALUE"""),5.0)</f>
        <v>5</v>
      </c>
      <c r="S71" s="2">
        <f>IFERROR(__xludf.DUMMYFUNCTION("""COMPUTED_VALUE"""),197.0)</f>
        <v>197</v>
      </c>
      <c r="T71" s="2">
        <f>IFERROR(__xludf.DUMMYFUNCTION("""COMPUTED_VALUE"""),62.0)</f>
        <v>62</v>
      </c>
      <c r="U71" s="2">
        <f>IFERROR(__xludf.DUMMYFUNCTION("""COMPUTED_VALUE"""),20.0)</f>
        <v>20</v>
      </c>
      <c r="V71" s="2">
        <f>IFERROR(__xludf.DUMMYFUNCTION("""COMPUTED_VALUE"""),164.0)</f>
        <v>164</v>
      </c>
      <c r="W71" s="2">
        <f>IFERROR(__xludf.DUMMYFUNCTION("""COMPUTED_VALUE"""),499.0)</f>
        <v>499</v>
      </c>
      <c r="X71" s="2">
        <f>IFERROR(__xludf.DUMMYFUNCTION("""COMPUTED_VALUE"""),500.0)</f>
        <v>500</v>
      </c>
      <c r="Y71" s="2">
        <f>IFERROR(__xludf.DUMMYFUNCTION("""COMPUTED_VALUE"""),102.0)</f>
        <v>102</v>
      </c>
      <c r="Z71" s="2"/>
      <c r="AA71" s="2"/>
      <c r="AB71" s="2">
        <f>IFERROR(__xludf.DUMMYFUNCTION("""COMPUTED_VALUE"""),1.5)</f>
        <v>1.5</v>
      </c>
      <c r="AC71" s="2"/>
      <c r="AD71" s="2"/>
    </row>
    <row r="72">
      <c r="A72" s="2" t="str">
        <f>IFERROR(__xludf.DUMMYFUNCTION("""COMPUTED_VALUE"""),"DC (NW Black)")</f>
        <v>DC (NW Black)</v>
      </c>
      <c r="B72" s="2" t="str">
        <f>IFERROR(__xludf.DUMMYFUNCTION("""COMPUTED_VALUE"""),"CRM_NW_BLACK_DC")</f>
        <v>CRM_NW_BLACK_DC</v>
      </c>
      <c r="C72" s="26">
        <f>IFERROR(__xludf.DUMMYFUNCTION("""COMPUTED_VALUE"""),4.0)</f>
        <v>4</v>
      </c>
      <c r="F72" s="26"/>
      <c r="G72" s="26" t="str">
        <f t="shared" si="2"/>
        <v>#N/A</v>
      </c>
      <c r="H72" s="26" t="str">
        <f t="shared" si="3"/>
        <v>#N/A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 t="str">
        <f>IFERROR(__xludf.DUMMYFUNCTION("""COMPUTED_VALUE"""),"DC (NW Black)")</f>
        <v>DC (NW Black)</v>
      </c>
      <c r="B73" s="2" t="str">
        <f>IFERROR(__xludf.DUMMYFUNCTION("""COMPUTED_VALUE"""),"CRM_NW_BLACK_DC")</f>
        <v>CRM_NW_BLACK_DC</v>
      </c>
      <c r="C73" s="26">
        <f>IFERROR(__xludf.DUMMYFUNCTION("""COMPUTED_VALUE"""),8.0)</f>
        <v>8</v>
      </c>
      <c r="F73" s="26"/>
      <c r="G73" s="26" t="str">
        <f t="shared" si="2"/>
        <v>#N/A</v>
      </c>
      <c r="H73" s="26" t="str">
        <f t="shared" si="3"/>
        <v>#N/A</v>
      </c>
      <c r="K73" s="2" t="str">
        <f>IFERROR(__xludf.DUMMYFUNCTION("""COMPUTED_VALUE"""),"DC-TS-NW-Black")</f>
        <v>DC-TS-NW-Black</v>
      </c>
      <c r="L73" s="2"/>
      <c r="M73" s="2" t="str">
        <f>IFERROR(__xludf.DUMMYFUNCTION("""COMPUTED_VALUE"""),"DC-TS")</f>
        <v>DC-TS</v>
      </c>
      <c r="N73" s="2" t="str">
        <f>IFERROR(__xludf.DUMMYFUNCTION("""COMPUTED_VALUE"""),"AG")</f>
        <v>AG</v>
      </c>
      <c r="O73" s="2">
        <f>IFERROR(__xludf.DUMMYFUNCTION("""COMPUTED_VALUE"""),-137.0)</f>
        <v>-137</v>
      </c>
      <c r="P73" s="2">
        <f>IFERROR(__xludf.DUMMYFUNCTION("""COMPUTED_VALUE"""),498.0)</f>
        <v>498</v>
      </c>
      <c r="Q73" s="2">
        <f>IFERROR(__xludf.DUMMYFUNCTION("""COMPUTED_VALUE"""),635.0)</f>
        <v>635</v>
      </c>
      <c r="R73" s="2">
        <f>IFERROR(__xludf.DUMMYFUNCTION("""COMPUTED_VALUE"""),5.0)</f>
        <v>5</v>
      </c>
      <c r="S73" s="2">
        <f>IFERROR(__xludf.DUMMYFUNCTION("""COMPUTED_VALUE"""),193.0)</f>
        <v>193</v>
      </c>
      <c r="T73" s="2">
        <f>IFERROR(__xludf.DUMMYFUNCTION("""COMPUTED_VALUE"""),229.0)</f>
        <v>229</v>
      </c>
      <c r="U73" s="2">
        <f>IFERROR(__xludf.DUMMYFUNCTION("""COMPUTED_VALUE"""),527.0)</f>
        <v>527</v>
      </c>
      <c r="V73" s="2">
        <f>IFERROR(__xludf.DUMMYFUNCTION("""COMPUTED_VALUE"""),371.0)</f>
        <v>371</v>
      </c>
      <c r="W73" s="2">
        <f>IFERROR(__xludf.DUMMYFUNCTION("""COMPUTED_VALUE"""),339.0)</f>
        <v>339</v>
      </c>
      <c r="X73" s="2">
        <f>IFERROR(__xludf.DUMMYFUNCTION("""COMPUTED_VALUE"""),242.0)</f>
        <v>242</v>
      </c>
      <c r="Y73" s="2">
        <f>IFERROR(__xludf.DUMMYFUNCTION("""COMPUTED_VALUE"""),160.0)</f>
        <v>160</v>
      </c>
      <c r="Z73" s="2"/>
      <c r="AA73" s="2"/>
      <c r="AB73" s="2">
        <f>IFERROR(__xludf.DUMMYFUNCTION("""COMPUTED_VALUE"""),1.5)</f>
        <v>1.5</v>
      </c>
      <c r="AC73" s="2"/>
      <c r="AD73" s="2"/>
    </row>
    <row r="74">
      <c r="A74" s="2" t="str">
        <f>IFERROR(__xludf.DUMMYFUNCTION("""COMPUTED_VALUE"""),"DC (NW Black)")</f>
        <v>DC (NW Black)</v>
      </c>
      <c r="B74" s="2" t="str">
        <f>IFERROR(__xludf.DUMMYFUNCTION("""COMPUTED_VALUE"""),"CRM_NW_BLACK_DC")</f>
        <v>CRM_NW_BLACK_DC</v>
      </c>
      <c r="C74" s="26">
        <f>IFERROR(__xludf.DUMMYFUNCTION("""COMPUTED_VALUE"""),6.0)</f>
        <v>6</v>
      </c>
      <c r="F74" s="26"/>
      <c r="G74" s="26" t="str">
        <f t="shared" si="2"/>
        <v>#N/A</v>
      </c>
      <c r="H74" s="26" t="str">
        <f t="shared" si="3"/>
        <v>#N/A</v>
      </c>
      <c r="K74" s="2" t="str">
        <f>IFERROR(__xludf.DUMMYFUNCTION("""COMPUTED_VALUE"""),"DC-TS-NW-Grey")</f>
        <v>DC-TS-NW-Grey</v>
      </c>
      <c r="L74" s="2"/>
      <c r="M74" s="2" t="str">
        <f>IFERROR(__xludf.DUMMYFUNCTION("""COMPUTED_VALUE"""),"DC-TS")</f>
        <v>DC-TS</v>
      </c>
      <c r="N74" s="2" t="str">
        <f>IFERROR(__xludf.DUMMYFUNCTION("""COMPUTED_VALUE"""),"AG")</f>
        <v>AG</v>
      </c>
      <c r="O74" s="2">
        <f>IFERROR(__xludf.DUMMYFUNCTION("""COMPUTED_VALUE"""),90.0)</f>
        <v>90</v>
      </c>
      <c r="P74" s="2">
        <f>IFERROR(__xludf.DUMMYFUNCTION("""COMPUTED_VALUE"""),305.0)</f>
        <v>305</v>
      </c>
      <c r="Q74" s="2">
        <f>IFERROR(__xludf.DUMMYFUNCTION("""COMPUTED_VALUE"""),215.0)</f>
        <v>215</v>
      </c>
      <c r="R74" s="2">
        <f>IFERROR(__xludf.DUMMYFUNCTION("""COMPUTED_VALUE"""),5.0)</f>
        <v>5</v>
      </c>
      <c r="S74" s="2">
        <f>IFERROR(__xludf.DUMMYFUNCTION("""COMPUTED_VALUE"""),266.0)</f>
        <v>266</v>
      </c>
      <c r="T74" s="2">
        <f>IFERROR(__xludf.DUMMYFUNCTION("""COMPUTED_VALUE"""),146.0)</f>
        <v>146</v>
      </c>
      <c r="U74" s="2">
        <f>IFERROR(__xludf.DUMMYFUNCTION("""COMPUTED_VALUE"""),244.0)</f>
        <v>244</v>
      </c>
      <c r="V74" s="2">
        <f>IFERROR(__xludf.DUMMYFUNCTION("""COMPUTED_VALUE"""),42.0)</f>
        <v>42</v>
      </c>
      <c r="W74" s="2">
        <f>IFERROR(__xludf.DUMMYFUNCTION("""COMPUTED_VALUE"""),318.0)</f>
        <v>318</v>
      </c>
      <c r="X74" s="2">
        <f>IFERROR(__xludf.DUMMYFUNCTION("""COMPUTED_VALUE"""),166.0)</f>
        <v>166</v>
      </c>
      <c r="Y74" s="2">
        <f>IFERROR(__xludf.DUMMYFUNCTION("""COMPUTED_VALUE"""),229.0)</f>
        <v>229</v>
      </c>
      <c r="Z74" s="2"/>
      <c r="AA74" s="2"/>
      <c r="AB74" s="2">
        <f>IFERROR(__xludf.DUMMYFUNCTION("""COMPUTED_VALUE"""),1.5)</f>
        <v>1.5</v>
      </c>
      <c r="AC74" s="2"/>
      <c r="AD74" s="2"/>
    </row>
    <row r="75">
      <c r="A75" s="2" t="str">
        <f>IFERROR(__xludf.DUMMYFUNCTION("""COMPUTED_VALUE"""),"DC (NW Black)")</f>
        <v>DC (NW Black)</v>
      </c>
      <c r="B75" s="2" t="str">
        <f>IFERROR(__xludf.DUMMYFUNCTION("""COMPUTED_VALUE"""),"CRM_NW_BLACK_DC")</f>
        <v>CRM_NW_BLACK_DC</v>
      </c>
      <c r="C75" s="26">
        <f>IFERROR(__xludf.DUMMYFUNCTION("""COMPUTED_VALUE"""),4.0)</f>
        <v>4</v>
      </c>
      <c r="F75" s="26"/>
      <c r="G75" s="26" t="str">
        <f t="shared" si="2"/>
        <v>#N/A</v>
      </c>
      <c r="H75" s="26" t="str">
        <f t="shared" si="3"/>
        <v>#N/A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 t="str">
        <f>IFERROR(__xludf.DUMMYFUNCTION("""COMPUTED_VALUE"""),"DC (NW Black)")</f>
        <v>DC (NW Black)</v>
      </c>
      <c r="B76" s="2" t="str">
        <f>IFERROR(__xludf.DUMMYFUNCTION("""COMPUTED_VALUE"""),"CRM_NW_BLACK_DC")</f>
        <v>CRM_NW_BLACK_DC</v>
      </c>
      <c r="C76" s="26">
        <f>IFERROR(__xludf.DUMMYFUNCTION("""COMPUTED_VALUE"""),6.0)</f>
        <v>6</v>
      </c>
      <c r="F76" s="26"/>
      <c r="G76" s="26" t="str">
        <f t="shared" si="2"/>
        <v>#N/A</v>
      </c>
      <c r="H76" s="26" t="str">
        <f t="shared" si="3"/>
        <v>#N/A</v>
      </c>
      <c r="K76" s="2" t="str">
        <f>IFERROR(__xludf.DUMMYFUNCTION("""COMPUTED_VALUE"""),"Green - L")</f>
        <v>Green - L</v>
      </c>
      <c r="L76" s="2"/>
      <c r="M76" s="2" t="str">
        <f>IFERROR(__xludf.DUMMYFUNCTION("""COMPUTED_VALUE"""),"IBC")</f>
        <v>IBC</v>
      </c>
      <c r="N76" s="2" t="str">
        <f>IFERROR(__xludf.DUMMYFUNCTION("""COMPUTED_VALUE"""),"AG")</f>
        <v>AG</v>
      </c>
      <c r="O76" s="2">
        <f>IFERROR(__xludf.DUMMYFUNCTION("""COMPUTED_VALUE"""),-2.0)</f>
        <v>-2</v>
      </c>
      <c r="P76" s="2">
        <f>IFERROR(__xludf.DUMMYFUNCTION("""COMPUTED_VALUE"""),0.0)</f>
        <v>0</v>
      </c>
      <c r="Q76" s="2">
        <f>IFERROR(__xludf.DUMMYFUNCTION("""COMPUTED_VALUE"""),2.0)</f>
        <v>2</v>
      </c>
      <c r="R76" s="2">
        <f>IFERROR(__xludf.DUMMYFUNCTION("""COMPUTED_VALUE"""),5.0)</f>
        <v>5</v>
      </c>
      <c r="S76" s="2">
        <f>IFERROR(__xludf.DUMMYFUNCTION("""COMPUTED_VALUE"""),0.0)</f>
        <v>0</v>
      </c>
      <c r="T76" s="2">
        <f>IFERROR(__xludf.DUMMYFUNCTION("""COMPUTED_VALUE"""),0.0)</f>
        <v>0</v>
      </c>
      <c r="U76" s="2">
        <f>IFERROR(__xludf.DUMMYFUNCTION("""COMPUTED_VALUE"""),0.0)</f>
        <v>0</v>
      </c>
      <c r="V76" s="2">
        <f>IFERROR(__xludf.DUMMYFUNCTION("""COMPUTED_VALUE"""),0.0)</f>
        <v>0</v>
      </c>
      <c r="W76" s="2">
        <f>IFERROR(__xludf.DUMMYFUNCTION("""COMPUTED_VALUE"""),0.0)</f>
        <v>0</v>
      </c>
      <c r="X76" s="2">
        <f>IFERROR(__xludf.DUMMYFUNCTION("""COMPUTED_VALUE"""),0.0)</f>
        <v>0</v>
      </c>
      <c r="Y76" s="2">
        <f>IFERROR(__xludf.DUMMYFUNCTION("""COMPUTED_VALUE"""),2.0)</f>
        <v>2</v>
      </c>
      <c r="Z76" s="2" t="str">
        <f>IFERROR(__xludf.DUMMYFUNCTION("""COMPUTED_VALUE"""),"Discontinued")</f>
        <v>Discontinued</v>
      </c>
      <c r="AA76" s="2"/>
      <c r="AB76" s="2"/>
      <c r="AC76" s="2"/>
      <c r="AD76" s="2"/>
    </row>
    <row r="77">
      <c r="A77" s="2" t="str">
        <f>IFERROR(__xludf.DUMMYFUNCTION("""COMPUTED_VALUE"""),"DC (NW Black)")</f>
        <v>DC (NW Black)</v>
      </c>
      <c r="B77" s="2" t="str">
        <f>IFERROR(__xludf.DUMMYFUNCTION("""COMPUTED_VALUE"""),"CRM_NW_BLACK_DC")</f>
        <v>CRM_NW_BLACK_DC</v>
      </c>
      <c r="C77" s="26">
        <f>IFERROR(__xludf.DUMMYFUNCTION("""COMPUTED_VALUE"""),12.0)</f>
        <v>12</v>
      </c>
      <c r="F77" s="26"/>
      <c r="G77" s="26" t="str">
        <f t="shared" si="2"/>
        <v>#N/A</v>
      </c>
      <c r="H77" s="26" t="str">
        <f t="shared" si="3"/>
        <v>#N/A</v>
      </c>
      <c r="K77" s="2" t="str">
        <f>IFERROR(__xludf.DUMMYFUNCTION("""COMPUTED_VALUE"""),"Green - M")</f>
        <v>Green - M</v>
      </c>
      <c r="L77" s="2"/>
      <c r="M77" s="2" t="str">
        <f>IFERROR(__xludf.DUMMYFUNCTION("""COMPUTED_VALUE"""),"IBC")</f>
        <v>IBC</v>
      </c>
      <c r="N77" s="2" t="str">
        <f>IFERROR(__xludf.DUMMYFUNCTION("""COMPUTED_VALUE"""),"AG")</f>
        <v>AG</v>
      </c>
      <c r="O77" s="2">
        <f>IFERROR(__xludf.DUMMYFUNCTION("""COMPUTED_VALUE"""),-2.0)</f>
        <v>-2</v>
      </c>
      <c r="P77" s="2">
        <f>IFERROR(__xludf.DUMMYFUNCTION("""COMPUTED_VALUE"""),0.0)</f>
        <v>0</v>
      </c>
      <c r="Q77" s="2">
        <f>IFERROR(__xludf.DUMMYFUNCTION("""COMPUTED_VALUE"""),2.0)</f>
        <v>2</v>
      </c>
      <c r="R77" s="2">
        <f>IFERROR(__xludf.DUMMYFUNCTION("""COMPUTED_VALUE"""),5.0)</f>
        <v>5</v>
      </c>
      <c r="S77" s="2">
        <f>IFERROR(__xludf.DUMMYFUNCTION("""COMPUTED_VALUE"""),0.0)</f>
        <v>0</v>
      </c>
      <c r="T77" s="2">
        <f>IFERROR(__xludf.DUMMYFUNCTION("""COMPUTED_VALUE"""),0.0)</f>
        <v>0</v>
      </c>
      <c r="U77" s="2">
        <f>IFERROR(__xludf.DUMMYFUNCTION("""COMPUTED_VALUE"""),0.0)</f>
        <v>0</v>
      </c>
      <c r="V77" s="2">
        <f>IFERROR(__xludf.DUMMYFUNCTION("""COMPUTED_VALUE"""),0.0)</f>
        <v>0</v>
      </c>
      <c r="W77" s="2">
        <f>IFERROR(__xludf.DUMMYFUNCTION("""COMPUTED_VALUE"""),0.0)</f>
        <v>0</v>
      </c>
      <c r="X77" s="2">
        <f>IFERROR(__xludf.DUMMYFUNCTION("""COMPUTED_VALUE"""),0.0)</f>
        <v>0</v>
      </c>
      <c r="Y77" s="2">
        <f>IFERROR(__xludf.DUMMYFUNCTION("""COMPUTED_VALUE"""),2.0)</f>
        <v>2</v>
      </c>
      <c r="Z77" s="2" t="str">
        <f>IFERROR(__xludf.DUMMYFUNCTION("""COMPUTED_VALUE"""),"Discontinued")</f>
        <v>Discontinued</v>
      </c>
      <c r="AA77" s="2"/>
      <c r="AB77" s="2"/>
      <c r="AC77" s="2"/>
      <c r="AD77" s="2"/>
    </row>
    <row r="78">
      <c r="A78" s="2" t="str">
        <f>IFERROR(__xludf.DUMMYFUNCTION("""COMPUTED_VALUE"""),"DC (NW Black)")</f>
        <v>DC (NW Black)</v>
      </c>
      <c r="B78" s="2" t="str">
        <f>IFERROR(__xludf.DUMMYFUNCTION("""COMPUTED_VALUE"""),"CRM_NW_BLACK_DC")</f>
        <v>CRM_NW_BLACK_DC</v>
      </c>
      <c r="C78" s="26">
        <f>IFERROR(__xludf.DUMMYFUNCTION("""COMPUTED_VALUE"""),6.0)</f>
        <v>6</v>
      </c>
      <c r="F78" s="26"/>
      <c r="G78" s="26" t="str">
        <f t="shared" si="2"/>
        <v>#N/A</v>
      </c>
      <c r="H78" s="26" t="str">
        <f t="shared" si="3"/>
        <v>#N/A</v>
      </c>
      <c r="K78" s="2" t="str">
        <f>IFERROR(__xludf.DUMMYFUNCTION("""COMPUTED_VALUE"""),"Green - S")</f>
        <v>Green - S</v>
      </c>
      <c r="L78" s="2"/>
      <c r="M78" s="2" t="str">
        <f>IFERROR(__xludf.DUMMYFUNCTION("""COMPUTED_VALUE"""),"IBC")</f>
        <v>IBC</v>
      </c>
      <c r="N78" s="2" t="str">
        <f>IFERROR(__xludf.DUMMYFUNCTION("""COMPUTED_VALUE"""),"AG")</f>
        <v>AG</v>
      </c>
      <c r="O78" s="2">
        <f>IFERROR(__xludf.DUMMYFUNCTION("""COMPUTED_VALUE"""),0.0)</f>
        <v>0</v>
      </c>
      <c r="P78" s="2">
        <f>IFERROR(__xludf.DUMMYFUNCTION("""COMPUTED_VALUE"""),0.0)</f>
        <v>0</v>
      </c>
      <c r="Q78" s="2">
        <f>IFERROR(__xludf.DUMMYFUNCTION("""COMPUTED_VALUE"""),0.0)</f>
        <v>0</v>
      </c>
      <c r="R78" s="2">
        <f>IFERROR(__xludf.DUMMYFUNCTION("""COMPUTED_VALUE"""),7.0)</f>
        <v>7</v>
      </c>
      <c r="S78" s="2">
        <f>IFERROR(__xludf.DUMMYFUNCTION("""COMPUTED_VALUE"""),0.0)</f>
        <v>0</v>
      </c>
      <c r="T78" s="2">
        <f>IFERROR(__xludf.DUMMYFUNCTION("""COMPUTED_VALUE"""),0.0)</f>
        <v>0</v>
      </c>
      <c r="U78" s="2">
        <f>IFERROR(__xludf.DUMMYFUNCTION("""COMPUTED_VALUE"""),0.0)</f>
        <v>0</v>
      </c>
      <c r="V78" s="2">
        <f>IFERROR(__xludf.DUMMYFUNCTION("""COMPUTED_VALUE"""),0.0)</f>
        <v>0</v>
      </c>
      <c r="W78" s="2">
        <f>IFERROR(__xludf.DUMMYFUNCTION("""COMPUTED_VALUE"""),0.0)</f>
        <v>0</v>
      </c>
      <c r="X78" s="2">
        <f>IFERROR(__xludf.DUMMYFUNCTION("""COMPUTED_VALUE"""),0.0)</f>
        <v>0</v>
      </c>
      <c r="Y78" s="2">
        <f>IFERROR(__xludf.DUMMYFUNCTION("""COMPUTED_VALUE"""),0.0)</f>
        <v>0</v>
      </c>
      <c r="Z78" s="2" t="str">
        <f>IFERROR(__xludf.DUMMYFUNCTION("""COMPUTED_VALUE"""),"Discontinued")</f>
        <v>Discontinued</v>
      </c>
      <c r="AA78" s="2"/>
      <c r="AB78" s="2"/>
      <c r="AC78" s="2"/>
      <c r="AD78" s="2"/>
    </row>
    <row r="79">
      <c r="A79" s="2" t="str">
        <f>IFERROR(__xludf.DUMMYFUNCTION("""COMPUTED_VALUE"""),"DC (NW Black)")</f>
        <v>DC (NW Black)</v>
      </c>
      <c r="B79" s="2" t="str">
        <f>IFERROR(__xludf.DUMMYFUNCTION("""COMPUTED_VALUE"""),"CRM_NW_BLACK_DC")</f>
        <v>CRM_NW_BLACK_DC</v>
      </c>
      <c r="C79" s="26">
        <f>IFERROR(__xludf.DUMMYFUNCTION("""COMPUTED_VALUE"""),2.0)</f>
        <v>2</v>
      </c>
      <c r="F79" s="26"/>
      <c r="G79" s="26" t="str">
        <f t="shared" si="2"/>
        <v>#N/A</v>
      </c>
      <c r="H79" s="26" t="str">
        <f t="shared" si="3"/>
        <v>#N/A</v>
      </c>
      <c r="K79" s="2" t="str">
        <f>IFERROR(__xludf.DUMMYFUNCTION("""COMPUTED_VALUE"""),"Sky - S")</f>
        <v>Sky - S</v>
      </c>
      <c r="L79" s="2"/>
      <c r="M79" s="2" t="str">
        <f>IFERROR(__xludf.DUMMYFUNCTION("""COMPUTED_VALUE"""),"IBC")</f>
        <v>IBC</v>
      </c>
      <c r="N79" s="2" t="str">
        <f>IFERROR(__xludf.DUMMYFUNCTION("""COMPUTED_VALUE"""),"AG")</f>
        <v>AG</v>
      </c>
      <c r="O79" s="2">
        <f>IFERROR(__xludf.DUMMYFUNCTION("""COMPUTED_VALUE"""),-7.0)</f>
        <v>-7</v>
      </c>
      <c r="P79" s="2">
        <f>IFERROR(__xludf.DUMMYFUNCTION("""COMPUTED_VALUE"""),0.0)</f>
        <v>0</v>
      </c>
      <c r="Q79" s="2">
        <f>IFERROR(__xludf.DUMMYFUNCTION("""COMPUTED_VALUE"""),7.0)</f>
        <v>7</v>
      </c>
      <c r="R79" s="2">
        <f>IFERROR(__xludf.DUMMYFUNCTION("""COMPUTED_VALUE"""),5.0)</f>
        <v>5</v>
      </c>
      <c r="S79" s="2">
        <f>IFERROR(__xludf.DUMMYFUNCTION("""COMPUTED_VALUE"""),0.0)</f>
        <v>0</v>
      </c>
      <c r="T79" s="2">
        <f>IFERROR(__xludf.DUMMYFUNCTION("""COMPUTED_VALUE"""),0.0)</f>
        <v>0</v>
      </c>
      <c r="U79" s="2">
        <f>IFERROR(__xludf.DUMMYFUNCTION("""COMPUTED_VALUE"""),0.0)</f>
        <v>0</v>
      </c>
      <c r="V79" s="2">
        <f>IFERROR(__xludf.DUMMYFUNCTION("""COMPUTED_VALUE"""),0.0)</f>
        <v>0</v>
      </c>
      <c r="W79" s="2">
        <f>IFERROR(__xludf.DUMMYFUNCTION("""COMPUTED_VALUE"""),0.0)</f>
        <v>0</v>
      </c>
      <c r="X79" s="2">
        <f>IFERROR(__xludf.DUMMYFUNCTION("""COMPUTED_VALUE"""),0.0)</f>
        <v>0</v>
      </c>
      <c r="Y79" s="2">
        <f>IFERROR(__xludf.DUMMYFUNCTION("""COMPUTED_VALUE"""),7.0)</f>
        <v>7</v>
      </c>
      <c r="Z79" s="2" t="str">
        <f>IFERROR(__xludf.DUMMYFUNCTION("""COMPUTED_VALUE"""),"Discontinued")</f>
        <v>Discontinued</v>
      </c>
      <c r="AA79" s="2"/>
      <c r="AB79" s="2"/>
      <c r="AC79" s="2"/>
      <c r="AD79" s="2"/>
    </row>
    <row r="80">
      <c r="A80" s="2" t="str">
        <f>IFERROR(__xludf.DUMMYFUNCTION("""COMPUTED_VALUE"""),"DC (NW Black)")</f>
        <v>DC (NW Black)</v>
      </c>
      <c r="B80" s="2" t="str">
        <f>IFERROR(__xludf.DUMMYFUNCTION("""COMPUTED_VALUE"""),"CRM_NW_BLACK_DC")</f>
        <v>CRM_NW_BLACK_DC</v>
      </c>
      <c r="C80" s="26">
        <f>IFERROR(__xludf.DUMMYFUNCTION("""COMPUTED_VALUE"""),6.0)</f>
        <v>6</v>
      </c>
      <c r="F80" s="26"/>
      <c r="G80" s="26" t="str">
        <f t="shared" si="2"/>
        <v>#N/A</v>
      </c>
      <c r="H80" s="26" t="str">
        <f t="shared" si="3"/>
        <v>#N/A</v>
      </c>
      <c r="K80" s="2" t="str">
        <f>IFERROR(__xludf.DUMMYFUNCTION("""COMPUTED_VALUE"""),"Sky - M")</f>
        <v>Sky - M</v>
      </c>
      <c r="L80" s="2"/>
      <c r="M80" s="2" t="str">
        <f>IFERROR(__xludf.DUMMYFUNCTION("""COMPUTED_VALUE"""),"IBC")</f>
        <v>IBC</v>
      </c>
      <c r="N80" s="2" t="str">
        <f>IFERROR(__xludf.DUMMYFUNCTION("""COMPUTED_VALUE"""),"AG")</f>
        <v>AG</v>
      </c>
      <c r="O80" s="2">
        <f>IFERROR(__xludf.DUMMYFUNCTION("""COMPUTED_VALUE"""),0.0)</f>
        <v>0</v>
      </c>
      <c r="P80" s="2">
        <f>IFERROR(__xludf.DUMMYFUNCTION("""COMPUTED_VALUE"""),0.0)</f>
        <v>0</v>
      </c>
      <c r="Q80" s="2">
        <f>IFERROR(__xludf.DUMMYFUNCTION("""COMPUTED_VALUE"""),0.0)</f>
        <v>0</v>
      </c>
      <c r="R80" s="2">
        <f>IFERROR(__xludf.DUMMYFUNCTION("""COMPUTED_VALUE"""),10.0)</f>
        <v>10</v>
      </c>
      <c r="S80" s="2">
        <f>IFERROR(__xludf.DUMMYFUNCTION("""COMPUTED_VALUE"""),0.0)</f>
        <v>0</v>
      </c>
      <c r="T80" s="2">
        <f>IFERROR(__xludf.DUMMYFUNCTION("""COMPUTED_VALUE"""),0.0)</f>
        <v>0</v>
      </c>
      <c r="U80" s="2">
        <f>IFERROR(__xludf.DUMMYFUNCTION("""COMPUTED_VALUE"""),0.0)</f>
        <v>0</v>
      </c>
      <c r="V80" s="2">
        <f>IFERROR(__xludf.DUMMYFUNCTION("""COMPUTED_VALUE"""),0.0)</f>
        <v>0</v>
      </c>
      <c r="W80" s="2">
        <f>IFERROR(__xludf.DUMMYFUNCTION("""COMPUTED_VALUE"""),0.0)</f>
        <v>0</v>
      </c>
      <c r="X80" s="2">
        <f>IFERROR(__xludf.DUMMYFUNCTION("""COMPUTED_VALUE"""),0.0)</f>
        <v>0</v>
      </c>
      <c r="Y80" s="2">
        <f>IFERROR(__xludf.DUMMYFUNCTION("""COMPUTED_VALUE"""),0.0)</f>
        <v>0</v>
      </c>
      <c r="Z80" s="2" t="str">
        <f>IFERROR(__xludf.DUMMYFUNCTION("""COMPUTED_VALUE"""),"Discontinued")</f>
        <v>Discontinued</v>
      </c>
      <c r="AA80" s="2"/>
      <c r="AB80" s="2"/>
      <c r="AC80" s="2"/>
      <c r="AD80" s="2"/>
    </row>
    <row r="81">
      <c r="A81" s="2" t="str">
        <f>IFERROR(__xludf.DUMMYFUNCTION("""COMPUTED_VALUE"""),"DC (NW Grey)")</f>
        <v>DC (NW Grey)</v>
      </c>
      <c r="B81" s="2" t="str">
        <f>IFERROR(__xludf.DUMMYFUNCTION("""COMPUTED_VALUE"""),"CRM_NW_GREY_DC")</f>
        <v>CRM_NW_GREY_DC</v>
      </c>
      <c r="C81" s="26">
        <f>IFERROR(__xludf.DUMMYFUNCTION("""COMPUTED_VALUE"""),4.0)</f>
        <v>4</v>
      </c>
      <c r="F81" s="26"/>
      <c r="G81" s="26" t="str">
        <f t="shared" si="2"/>
        <v>#N/A</v>
      </c>
      <c r="H81" s="26" t="str">
        <f t="shared" si="3"/>
        <v>#N/A</v>
      </c>
      <c r="K81" s="2" t="str">
        <f>IFERROR(__xludf.DUMMYFUNCTION("""COMPUTED_VALUE"""),"Sky - L")</f>
        <v>Sky - L</v>
      </c>
      <c r="L81" s="2"/>
      <c r="M81" s="2" t="str">
        <f>IFERROR(__xludf.DUMMYFUNCTION("""COMPUTED_VALUE"""),"IBC")</f>
        <v>IBC</v>
      </c>
      <c r="N81" s="2" t="str">
        <f>IFERROR(__xludf.DUMMYFUNCTION("""COMPUTED_VALUE"""),"AG")</f>
        <v>AG</v>
      </c>
      <c r="O81" s="2">
        <f>IFERROR(__xludf.DUMMYFUNCTION("""COMPUTED_VALUE"""),-1.0)</f>
        <v>-1</v>
      </c>
      <c r="P81" s="2">
        <f>IFERROR(__xludf.DUMMYFUNCTION("""COMPUTED_VALUE"""),0.0)</f>
        <v>0</v>
      </c>
      <c r="Q81" s="2">
        <f>IFERROR(__xludf.DUMMYFUNCTION("""COMPUTED_VALUE"""),1.0)</f>
        <v>1</v>
      </c>
      <c r="R81" s="2">
        <f>IFERROR(__xludf.DUMMYFUNCTION("""COMPUTED_VALUE"""),5.0)</f>
        <v>5</v>
      </c>
      <c r="S81" s="2">
        <f>IFERROR(__xludf.DUMMYFUNCTION("""COMPUTED_VALUE"""),0.0)</f>
        <v>0</v>
      </c>
      <c r="T81" s="2">
        <f>IFERROR(__xludf.DUMMYFUNCTION("""COMPUTED_VALUE"""),0.0)</f>
        <v>0</v>
      </c>
      <c r="U81" s="2">
        <f>IFERROR(__xludf.DUMMYFUNCTION("""COMPUTED_VALUE"""),0.0)</f>
        <v>0</v>
      </c>
      <c r="V81" s="2">
        <f>IFERROR(__xludf.DUMMYFUNCTION("""COMPUTED_VALUE"""),0.0)</f>
        <v>0</v>
      </c>
      <c r="W81" s="2">
        <f>IFERROR(__xludf.DUMMYFUNCTION("""COMPUTED_VALUE"""),0.0)</f>
        <v>0</v>
      </c>
      <c r="X81" s="2">
        <f>IFERROR(__xludf.DUMMYFUNCTION("""COMPUTED_VALUE"""),0.0)</f>
        <v>0</v>
      </c>
      <c r="Y81" s="2">
        <f>IFERROR(__xludf.DUMMYFUNCTION("""COMPUTED_VALUE"""),1.0)</f>
        <v>1</v>
      </c>
      <c r="Z81" s="2" t="str">
        <f>IFERROR(__xludf.DUMMYFUNCTION("""COMPUTED_VALUE"""),"Discontinued")</f>
        <v>Discontinued</v>
      </c>
      <c r="AA81" s="2"/>
      <c r="AB81" s="2"/>
      <c r="AC81" s="2"/>
      <c r="AD81" s="2"/>
    </row>
    <row r="82">
      <c r="A82" s="2" t="str">
        <f>IFERROR(__xludf.DUMMYFUNCTION("""COMPUTED_VALUE"""),"DC (NW Black)")</f>
        <v>DC (NW Black)</v>
      </c>
      <c r="B82" s="2" t="str">
        <f>IFERROR(__xludf.DUMMYFUNCTION("""COMPUTED_VALUE"""),"CRM_NW_BLACK_DC_PACK OF 5")</f>
        <v>CRM_NW_BLACK_DC_PACK OF 5</v>
      </c>
      <c r="C82" s="26">
        <f>IFERROR(__xludf.DUMMYFUNCTION("""COMPUTED_VALUE"""),20.0)</f>
        <v>20</v>
      </c>
      <c r="F82" s="26"/>
      <c r="G82" s="26" t="str">
        <f t="shared" si="2"/>
        <v>#N/A</v>
      </c>
      <c r="H82" s="26" t="str">
        <f t="shared" si="3"/>
        <v>#N/A</v>
      </c>
      <c r="K82" s="2" t="str">
        <f>IFERROR(__xludf.DUMMYFUNCTION("""COMPUTED_VALUE"""),"Red - S")</f>
        <v>Red - S</v>
      </c>
      <c r="L82" s="2"/>
      <c r="M82" s="2" t="str">
        <f>IFERROR(__xludf.DUMMYFUNCTION("""COMPUTED_VALUE"""),"IBC")</f>
        <v>IBC</v>
      </c>
      <c r="N82" s="2" t="str">
        <f>IFERROR(__xludf.DUMMYFUNCTION("""COMPUTED_VALUE"""),"AG")</f>
        <v>AG</v>
      </c>
      <c r="O82" s="2">
        <f>IFERROR(__xludf.DUMMYFUNCTION("""COMPUTED_VALUE"""),0.0)</f>
        <v>0</v>
      </c>
      <c r="P82" s="2">
        <f>IFERROR(__xludf.DUMMYFUNCTION("""COMPUTED_VALUE"""),0.0)</f>
        <v>0</v>
      </c>
      <c r="Q82" s="2">
        <f>IFERROR(__xludf.DUMMYFUNCTION("""COMPUTED_VALUE"""),0.0)</f>
        <v>0</v>
      </c>
      <c r="R82" s="2">
        <f>IFERROR(__xludf.DUMMYFUNCTION("""COMPUTED_VALUE"""),10.0)</f>
        <v>10</v>
      </c>
      <c r="S82" s="2">
        <f>IFERROR(__xludf.DUMMYFUNCTION("""COMPUTED_VALUE"""),0.0)</f>
        <v>0</v>
      </c>
      <c r="T82" s="2">
        <f>IFERROR(__xludf.DUMMYFUNCTION("""COMPUTED_VALUE"""),0.0)</f>
        <v>0</v>
      </c>
      <c r="U82" s="2">
        <f>IFERROR(__xludf.DUMMYFUNCTION("""COMPUTED_VALUE"""),0.0)</f>
        <v>0</v>
      </c>
      <c r="V82" s="2">
        <f>IFERROR(__xludf.DUMMYFUNCTION("""COMPUTED_VALUE"""),0.0)</f>
        <v>0</v>
      </c>
      <c r="W82" s="2">
        <f>IFERROR(__xludf.DUMMYFUNCTION("""COMPUTED_VALUE"""),0.0)</f>
        <v>0</v>
      </c>
      <c r="X82" s="2">
        <f>IFERROR(__xludf.DUMMYFUNCTION("""COMPUTED_VALUE"""),0.0)</f>
        <v>0</v>
      </c>
      <c r="Y82" s="2">
        <f>IFERROR(__xludf.DUMMYFUNCTION("""COMPUTED_VALUE"""),0.0)</f>
        <v>0</v>
      </c>
      <c r="Z82" s="2" t="str">
        <f>IFERROR(__xludf.DUMMYFUNCTION("""COMPUTED_VALUE"""),"Discontinued")</f>
        <v>Discontinued</v>
      </c>
      <c r="AA82" s="2"/>
      <c r="AB82" s="2"/>
      <c r="AC82" s="2"/>
      <c r="AD82" s="2"/>
    </row>
    <row r="83">
      <c r="A83" s="2" t="str">
        <f>IFERROR(__xludf.DUMMYFUNCTION("""COMPUTED_VALUE"""),"DC (NW Black)")</f>
        <v>DC (NW Black)</v>
      </c>
      <c r="B83" s="2" t="str">
        <f>IFERROR(__xludf.DUMMYFUNCTION("""COMPUTED_VALUE"""),"CRM_NW_BLACK_DC_PACK OF 5")</f>
        <v>CRM_NW_BLACK_DC_PACK OF 5</v>
      </c>
      <c r="C83" s="26">
        <f>IFERROR(__xludf.DUMMYFUNCTION("""COMPUTED_VALUE"""),0.0)</f>
        <v>0</v>
      </c>
      <c r="F83" s="26"/>
      <c r="G83" s="26" t="str">
        <f t="shared" si="2"/>
        <v>#N/A</v>
      </c>
      <c r="H83" s="26" t="str">
        <f t="shared" si="3"/>
        <v>#N/A</v>
      </c>
      <c r="K83" s="2" t="str">
        <f>IFERROR(__xludf.DUMMYFUNCTION("""COMPUTED_VALUE"""),"Red - M")</f>
        <v>Red - M</v>
      </c>
      <c r="L83" s="2"/>
      <c r="M83" s="2" t="str">
        <f>IFERROR(__xludf.DUMMYFUNCTION("""COMPUTED_VALUE"""),"IBC")</f>
        <v>IBC</v>
      </c>
      <c r="N83" s="2" t="str">
        <f>IFERROR(__xludf.DUMMYFUNCTION("""COMPUTED_VALUE"""),"AG")</f>
        <v>AG</v>
      </c>
      <c r="O83" s="2">
        <f>IFERROR(__xludf.DUMMYFUNCTION("""COMPUTED_VALUE"""),-2.0)</f>
        <v>-2</v>
      </c>
      <c r="P83" s="2">
        <f>IFERROR(__xludf.DUMMYFUNCTION("""COMPUTED_VALUE"""),0.0)</f>
        <v>0</v>
      </c>
      <c r="Q83" s="2">
        <f>IFERROR(__xludf.DUMMYFUNCTION("""COMPUTED_VALUE"""),2.0)</f>
        <v>2</v>
      </c>
      <c r="R83" s="2">
        <f>IFERROR(__xludf.DUMMYFUNCTION("""COMPUTED_VALUE"""),5.0)</f>
        <v>5</v>
      </c>
      <c r="S83" s="2">
        <f>IFERROR(__xludf.DUMMYFUNCTION("""COMPUTED_VALUE"""),0.0)</f>
        <v>0</v>
      </c>
      <c r="T83" s="2">
        <f>IFERROR(__xludf.DUMMYFUNCTION("""COMPUTED_VALUE"""),0.0)</f>
        <v>0</v>
      </c>
      <c r="U83" s="2">
        <f>IFERROR(__xludf.DUMMYFUNCTION("""COMPUTED_VALUE"""),0.0)</f>
        <v>0</v>
      </c>
      <c r="V83" s="2">
        <f>IFERROR(__xludf.DUMMYFUNCTION("""COMPUTED_VALUE"""),0.0)</f>
        <v>0</v>
      </c>
      <c r="W83" s="2">
        <f>IFERROR(__xludf.DUMMYFUNCTION("""COMPUTED_VALUE"""),0.0)</f>
        <v>0</v>
      </c>
      <c r="X83" s="2">
        <f>IFERROR(__xludf.DUMMYFUNCTION("""COMPUTED_VALUE"""),0.0)</f>
        <v>0</v>
      </c>
      <c r="Y83" s="2">
        <f>IFERROR(__xludf.DUMMYFUNCTION("""COMPUTED_VALUE"""),2.0)</f>
        <v>2</v>
      </c>
      <c r="Z83" s="2" t="str">
        <f>IFERROR(__xludf.DUMMYFUNCTION("""COMPUTED_VALUE"""),"Discontinued")</f>
        <v>Discontinued</v>
      </c>
      <c r="AA83" s="2"/>
      <c r="AB83" s="2"/>
      <c r="AC83" s="2"/>
      <c r="AD83" s="2"/>
    </row>
    <row r="84">
      <c r="A84" s="2" t="str">
        <f>IFERROR(__xludf.DUMMYFUNCTION("""COMPUTED_VALUE"""),"DC (NW Black)")</f>
        <v>DC (NW Black)</v>
      </c>
      <c r="B84" s="2" t="str">
        <f>IFERROR(__xludf.DUMMYFUNCTION("""COMPUTED_VALUE"""),"CRM_NW_BLACK_DC_PACK OF 5")</f>
        <v>CRM_NW_BLACK_DC_PACK OF 5</v>
      </c>
      <c r="C84" s="26">
        <f>IFERROR(__xludf.DUMMYFUNCTION("""COMPUTED_VALUE"""),0.0)</f>
        <v>0</v>
      </c>
      <c r="F84" s="26"/>
      <c r="G84" s="26" t="str">
        <f t="shared" si="2"/>
        <v>#N/A</v>
      </c>
      <c r="H84" s="26" t="str">
        <f t="shared" si="3"/>
        <v>#N/A</v>
      </c>
      <c r="K84" s="2" t="str">
        <f>IFERROR(__xludf.DUMMYFUNCTION("""COMPUTED_VALUE"""),"Red - L")</f>
        <v>Red - L</v>
      </c>
      <c r="L84" s="2"/>
      <c r="M84" s="2" t="str">
        <f>IFERROR(__xludf.DUMMYFUNCTION("""COMPUTED_VALUE"""),"IBC")</f>
        <v>IBC</v>
      </c>
      <c r="N84" s="2" t="str">
        <f>IFERROR(__xludf.DUMMYFUNCTION("""COMPUTED_VALUE"""),"AG")</f>
        <v>AG</v>
      </c>
      <c r="O84" s="2">
        <f>IFERROR(__xludf.DUMMYFUNCTION("""COMPUTED_VALUE"""),0.0)</f>
        <v>0</v>
      </c>
      <c r="P84" s="2">
        <f>IFERROR(__xludf.DUMMYFUNCTION("""COMPUTED_VALUE"""),0.0)</f>
        <v>0</v>
      </c>
      <c r="Q84" s="2">
        <f>IFERROR(__xludf.DUMMYFUNCTION("""COMPUTED_VALUE"""),0.0)</f>
        <v>0</v>
      </c>
      <c r="R84" s="2">
        <f>IFERROR(__xludf.DUMMYFUNCTION("""COMPUTED_VALUE"""),10.0)</f>
        <v>10</v>
      </c>
      <c r="S84" s="2">
        <f>IFERROR(__xludf.DUMMYFUNCTION("""COMPUTED_VALUE"""),0.0)</f>
        <v>0</v>
      </c>
      <c r="T84" s="2">
        <f>IFERROR(__xludf.DUMMYFUNCTION("""COMPUTED_VALUE"""),0.0)</f>
        <v>0</v>
      </c>
      <c r="U84" s="2">
        <f>IFERROR(__xludf.DUMMYFUNCTION("""COMPUTED_VALUE"""),0.0)</f>
        <v>0</v>
      </c>
      <c r="V84" s="2">
        <f>IFERROR(__xludf.DUMMYFUNCTION("""COMPUTED_VALUE"""),0.0)</f>
        <v>0</v>
      </c>
      <c r="W84" s="2">
        <f>IFERROR(__xludf.DUMMYFUNCTION("""COMPUTED_VALUE"""),0.0)</f>
        <v>0</v>
      </c>
      <c r="X84" s="2">
        <f>IFERROR(__xludf.DUMMYFUNCTION("""COMPUTED_VALUE"""),0.0)</f>
        <v>0</v>
      </c>
      <c r="Y84" s="2">
        <f>IFERROR(__xludf.DUMMYFUNCTION("""COMPUTED_VALUE"""),0.0)</f>
        <v>0</v>
      </c>
      <c r="Z84" s="2" t="str">
        <f>IFERROR(__xludf.DUMMYFUNCTION("""COMPUTED_VALUE"""),"Discontinued")</f>
        <v>Discontinued</v>
      </c>
      <c r="AA84" s="2"/>
      <c r="AB84" s="2"/>
      <c r="AC84" s="2"/>
      <c r="AD84" s="2"/>
    </row>
    <row r="85">
      <c r="A85" s="2" t="str">
        <f>IFERROR(__xludf.DUMMYFUNCTION("""COMPUTED_VALUE"""),"DC (NW Black)")</f>
        <v>DC (NW Black)</v>
      </c>
      <c r="B85" s="2" t="str">
        <f>IFERROR(__xludf.DUMMYFUNCTION("""COMPUTED_VALUE"""),"CRM_NW_BLACK_DC_PACK OF 5")</f>
        <v>CRM_NW_BLACK_DC_PACK OF 5</v>
      </c>
      <c r="C85" s="26">
        <f>IFERROR(__xludf.DUMMYFUNCTION("""COMPUTED_VALUE"""),0.0)</f>
        <v>0</v>
      </c>
      <c r="F85" s="26"/>
      <c r="G85" s="26" t="str">
        <f t="shared" si="2"/>
        <v>#N/A</v>
      </c>
      <c r="H85" s="26" t="str">
        <f t="shared" si="3"/>
        <v>#N/A</v>
      </c>
      <c r="K85" s="2" t="str">
        <f>IFERROR(__xludf.DUMMYFUNCTION("""COMPUTED_VALUE"""),"Tan - S")</f>
        <v>Tan - S</v>
      </c>
      <c r="L85" s="2"/>
      <c r="M85" s="2" t="str">
        <f>IFERROR(__xludf.DUMMYFUNCTION("""COMPUTED_VALUE"""),"IBC")</f>
        <v>IBC</v>
      </c>
      <c r="N85" s="2" t="str">
        <f>IFERROR(__xludf.DUMMYFUNCTION("""COMPUTED_VALUE"""),"AG")</f>
        <v>AG</v>
      </c>
      <c r="O85" s="2">
        <f>IFERROR(__xludf.DUMMYFUNCTION("""COMPUTED_VALUE"""),0.0)</f>
        <v>0</v>
      </c>
      <c r="P85" s="2">
        <f>IFERROR(__xludf.DUMMYFUNCTION("""COMPUTED_VALUE"""),0.0)</f>
        <v>0</v>
      </c>
      <c r="Q85" s="2">
        <f>IFERROR(__xludf.DUMMYFUNCTION("""COMPUTED_VALUE"""),0.0)</f>
        <v>0</v>
      </c>
      <c r="R85" s="2">
        <f>IFERROR(__xludf.DUMMYFUNCTION("""COMPUTED_VALUE"""),10.0)</f>
        <v>10</v>
      </c>
      <c r="S85" s="2">
        <f>IFERROR(__xludf.DUMMYFUNCTION("""COMPUTED_VALUE"""),0.0)</f>
        <v>0</v>
      </c>
      <c r="T85" s="2">
        <f>IFERROR(__xludf.DUMMYFUNCTION("""COMPUTED_VALUE"""),0.0)</f>
        <v>0</v>
      </c>
      <c r="U85" s="2">
        <f>IFERROR(__xludf.DUMMYFUNCTION("""COMPUTED_VALUE"""),0.0)</f>
        <v>0</v>
      </c>
      <c r="V85" s="2">
        <f>IFERROR(__xludf.DUMMYFUNCTION("""COMPUTED_VALUE"""),0.0)</f>
        <v>0</v>
      </c>
      <c r="W85" s="2">
        <f>IFERROR(__xludf.DUMMYFUNCTION("""COMPUTED_VALUE"""),0.0)</f>
        <v>0</v>
      </c>
      <c r="X85" s="2">
        <f>IFERROR(__xludf.DUMMYFUNCTION("""COMPUTED_VALUE"""),0.0)</f>
        <v>0</v>
      </c>
      <c r="Y85" s="2">
        <f>IFERROR(__xludf.DUMMYFUNCTION("""COMPUTED_VALUE"""),0.0)</f>
        <v>0</v>
      </c>
      <c r="Z85" s="2" t="str">
        <f>IFERROR(__xludf.DUMMYFUNCTION("""COMPUTED_VALUE"""),"Discontinued")</f>
        <v>Discontinued</v>
      </c>
      <c r="AA85" s="2"/>
      <c r="AB85" s="2"/>
      <c r="AC85" s="2"/>
      <c r="AD85" s="2"/>
    </row>
    <row r="86">
      <c r="A86" s="2" t="str">
        <f>IFERROR(__xludf.DUMMYFUNCTION("""COMPUTED_VALUE"""),"DC (NW Black)")</f>
        <v>DC (NW Black)</v>
      </c>
      <c r="B86" s="2" t="str">
        <f>IFERROR(__xludf.DUMMYFUNCTION("""COMPUTED_VALUE"""),"CRM_NW_BLACK_DC_PACK OF 5")</f>
        <v>CRM_NW_BLACK_DC_PACK OF 5</v>
      </c>
      <c r="C86" s="26">
        <f>IFERROR(__xludf.DUMMYFUNCTION("""COMPUTED_VALUE"""),0.0)</f>
        <v>0</v>
      </c>
      <c r="F86" s="26"/>
      <c r="G86" s="26" t="str">
        <f t="shared" si="2"/>
        <v>#N/A</v>
      </c>
      <c r="H86" s="26" t="str">
        <f t="shared" si="3"/>
        <v>#N/A</v>
      </c>
      <c r="K86" s="2" t="str">
        <f>IFERROR(__xludf.DUMMYFUNCTION("""COMPUTED_VALUE"""),"Tan - M")</f>
        <v>Tan - M</v>
      </c>
      <c r="L86" s="2"/>
      <c r="M86" s="2" t="str">
        <f>IFERROR(__xludf.DUMMYFUNCTION("""COMPUTED_VALUE"""),"IBC")</f>
        <v>IBC</v>
      </c>
      <c r="N86" s="2" t="str">
        <f>IFERROR(__xludf.DUMMYFUNCTION("""COMPUTED_VALUE"""),"AG")</f>
        <v>AG</v>
      </c>
      <c r="O86" s="2">
        <f>IFERROR(__xludf.DUMMYFUNCTION("""COMPUTED_VALUE"""),-4.0)</f>
        <v>-4</v>
      </c>
      <c r="P86" s="2">
        <f>IFERROR(__xludf.DUMMYFUNCTION("""COMPUTED_VALUE"""),0.0)</f>
        <v>0</v>
      </c>
      <c r="Q86" s="2">
        <f>IFERROR(__xludf.DUMMYFUNCTION("""COMPUTED_VALUE"""),4.0)</f>
        <v>4</v>
      </c>
      <c r="R86" s="2">
        <f>IFERROR(__xludf.DUMMYFUNCTION("""COMPUTED_VALUE"""),5.0)</f>
        <v>5</v>
      </c>
      <c r="S86" s="2">
        <f>IFERROR(__xludf.DUMMYFUNCTION("""COMPUTED_VALUE"""),0.0)</f>
        <v>0</v>
      </c>
      <c r="T86" s="2">
        <f>IFERROR(__xludf.DUMMYFUNCTION("""COMPUTED_VALUE"""),0.0)</f>
        <v>0</v>
      </c>
      <c r="U86" s="2">
        <f>IFERROR(__xludf.DUMMYFUNCTION("""COMPUTED_VALUE"""),0.0)</f>
        <v>0</v>
      </c>
      <c r="V86" s="2">
        <f>IFERROR(__xludf.DUMMYFUNCTION("""COMPUTED_VALUE"""),0.0)</f>
        <v>0</v>
      </c>
      <c r="W86" s="2">
        <f>IFERROR(__xludf.DUMMYFUNCTION("""COMPUTED_VALUE"""),0.0)</f>
        <v>0</v>
      </c>
      <c r="X86" s="2">
        <f>IFERROR(__xludf.DUMMYFUNCTION("""COMPUTED_VALUE"""),0.0)</f>
        <v>0</v>
      </c>
      <c r="Y86" s="2">
        <f>IFERROR(__xludf.DUMMYFUNCTION("""COMPUTED_VALUE"""),4.0)</f>
        <v>4</v>
      </c>
      <c r="Z86" s="2" t="str">
        <f>IFERROR(__xludf.DUMMYFUNCTION("""COMPUTED_VALUE"""),"Discontinued")</f>
        <v>Discontinued</v>
      </c>
      <c r="AA86" s="2"/>
      <c r="AB86" s="2"/>
      <c r="AC86" s="2"/>
      <c r="AD86" s="2"/>
    </row>
    <row r="87">
      <c r="A87" s="2" t="str">
        <f>IFERROR(__xludf.DUMMYFUNCTION("""COMPUTED_VALUE"""),"DC (NW Black)")</f>
        <v>DC (NW Black)</v>
      </c>
      <c r="B87" s="2" t="str">
        <f>IFERROR(__xludf.DUMMYFUNCTION("""COMPUTED_VALUE"""),"CRM_NW_BLACK_DC_PACK OF 5")</f>
        <v>CRM_NW_BLACK_DC_PACK OF 5</v>
      </c>
      <c r="C87" s="26">
        <f>IFERROR(__xludf.DUMMYFUNCTION("""COMPUTED_VALUE"""),0.0)</f>
        <v>0</v>
      </c>
      <c r="F87" s="26"/>
      <c r="G87" s="26" t="str">
        <f t="shared" si="2"/>
        <v>#N/A</v>
      </c>
      <c r="H87" s="26" t="str">
        <f t="shared" si="3"/>
        <v>#N/A</v>
      </c>
      <c r="K87" s="2" t="str">
        <f>IFERROR(__xludf.DUMMYFUNCTION("""COMPUTED_VALUE"""),"Tan - L")</f>
        <v>Tan - L</v>
      </c>
      <c r="L87" s="2"/>
      <c r="M87" s="2" t="str">
        <f>IFERROR(__xludf.DUMMYFUNCTION("""COMPUTED_VALUE"""),"IBC")</f>
        <v>IBC</v>
      </c>
      <c r="N87" s="2" t="str">
        <f>IFERROR(__xludf.DUMMYFUNCTION("""COMPUTED_VALUE"""),"AG")</f>
        <v>AG</v>
      </c>
      <c r="O87" s="2">
        <f>IFERROR(__xludf.DUMMYFUNCTION("""COMPUTED_VALUE"""),-1.0)</f>
        <v>-1</v>
      </c>
      <c r="P87" s="2">
        <f>IFERROR(__xludf.DUMMYFUNCTION("""COMPUTED_VALUE"""),0.0)</f>
        <v>0</v>
      </c>
      <c r="Q87" s="2">
        <f>IFERROR(__xludf.DUMMYFUNCTION("""COMPUTED_VALUE"""),1.0)</f>
        <v>1</v>
      </c>
      <c r="R87" s="2">
        <f>IFERROR(__xludf.DUMMYFUNCTION("""COMPUTED_VALUE"""),5.0)</f>
        <v>5</v>
      </c>
      <c r="S87" s="2">
        <f>IFERROR(__xludf.DUMMYFUNCTION("""COMPUTED_VALUE"""),0.0)</f>
        <v>0</v>
      </c>
      <c r="T87" s="2">
        <f>IFERROR(__xludf.DUMMYFUNCTION("""COMPUTED_VALUE"""),0.0)</f>
        <v>0</v>
      </c>
      <c r="U87" s="2">
        <f>IFERROR(__xludf.DUMMYFUNCTION("""COMPUTED_VALUE"""),0.0)</f>
        <v>0</v>
      </c>
      <c r="V87" s="2">
        <f>IFERROR(__xludf.DUMMYFUNCTION("""COMPUTED_VALUE"""),0.0)</f>
        <v>0</v>
      </c>
      <c r="W87" s="2">
        <f>IFERROR(__xludf.DUMMYFUNCTION("""COMPUTED_VALUE"""),0.0)</f>
        <v>0</v>
      </c>
      <c r="X87" s="2">
        <f>IFERROR(__xludf.DUMMYFUNCTION("""COMPUTED_VALUE"""),0.0)</f>
        <v>0</v>
      </c>
      <c r="Y87" s="2">
        <f>IFERROR(__xludf.DUMMYFUNCTION("""COMPUTED_VALUE"""),1.0)</f>
        <v>1</v>
      </c>
      <c r="Z87" s="2" t="str">
        <f>IFERROR(__xludf.DUMMYFUNCTION("""COMPUTED_VALUE"""),"Discontinued")</f>
        <v>Discontinued</v>
      </c>
      <c r="AA87" s="2"/>
      <c r="AB87" s="2"/>
      <c r="AC87" s="2"/>
      <c r="AD87" s="2"/>
    </row>
    <row r="88">
      <c r="A88" s="2" t="str">
        <f>IFERROR(__xludf.DUMMYFUNCTION("""COMPUTED_VALUE"""),"DC (NW Black)")</f>
        <v>DC (NW Black)</v>
      </c>
      <c r="B88" s="2" t="str">
        <f>IFERROR(__xludf.DUMMYFUNCTION("""COMPUTED_VALUE"""),"CRM_NW_BLACK_DC_PACK OF 5")</f>
        <v>CRM_NW_BLACK_DC_PACK OF 5</v>
      </c>
      <c r="C88" s="26">
        <f>IFERROR(__xludf.DUMMYFUNCTION("""COMPUTED_VALUE"""),0.0)</f>
        <v>0</v>
      </c>
      <c r="F88" s="26"/>
      <c r="G88" s="26" t="str">
        <f t="shared" si="2"/>
        <v>#N/A</v>
      </c>
      <c r="H88" s="26" t="str">
        <f t="shared" si="3"/>
        <v>#N/A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 t="str">
        <f>IFERROR(__xludf.DUMMYFUNCTION("""COMPUTED_VALUE"""),"DC (NW Black)")</f>
        <v>DC (NW Black)</v>
      </c>
      <c r="B89" s="2" t="str">
        <f>IFERROR(__xludf.DUMMYFUNCTION("""COMPUTED_VALUE"""),"CRM_NW_BLACK_DC_PACK OF 5")</f>
        <v>CRM_NW_BLACK_DC_PACK OF 5</v>
      </c>
      <c r="C89" s="26">
        <f>IFERROR(__xludf.DUMMYFUNCTION("""COMPUTED_VALUE"""),20.0)</f>
        <v>20</v>
      </c>
      <c r="F89" s="26"/>
      <c r="G89" s="26" t="str">
        <f t="shared" si="2"/>
        <v>#N/A</v>
      </c>
      <c r="H89" s="26" t="str">
        <f t="shared" si="3"/>
        <v>#N/A</v>
      </c>
      <c r="K89" s="2" t="str">
        <f>IFERROR(__xludf.DUMMYFUNCTION("""COMPUTED_VALUE"""),"LCD 22 NW (Black)")</f>
        <v>LCD 22 NW (Black)</v>
      </c>
      <c r="L89" s="2"/>
      <c r="M89" s="2" t="str">
        <f>IFERROR(__xludf.DUMMYFUNCTION("""COMPUTED_VALUE"""),"LCD NW")</f>
        <v>LCD NW</v>
      </c>
      <c r="N89" s="2" t="str">
        <f>IFERROR(__xludf.DUMMYFUNCTION("""COMPUTED_VALUE"""),"AG")</f>
        <v>AG</v>
      </c>
      <c r="O89" s="2">
        <f>IFERROR(__xludf.DUMMYFUNCTION("""COMPUTED_VALUE"""),10.0)</f>
        <v>10</v>
      </c>
      <c r="P89" s="2">
        <f>IFERROR(__xludf.DUMMYFUNCTION("""COMPUTED_VALUE"""),12.0)</f>
        <v>12</v>
      </c>
      <c r="Q89" s="2">
        <f>IFERROR(__xludf.DUMMYFUNCTION("""COMPUTED_VALUE"""),2.0)</f>
        <v>2</v>
      </c>
      <c r="R89" s="2">
        <f>IFERROR(__xludf.DUMMYFUNCTION("""COMPUTED_VALUE"""),5.0)</f>
        <v>5</v>
      </c>
      <c r="S89" s="2">
        <f>IFERROR(__xludf.DUMMYFUNCTION("""COMPUTED_VALUE"""),15.0)</f>
        <v>15</v>
      </c>
      <c r="T89" s="2">
        <f>IFERROR(__xludf.DUMMYFUNCTION("""COMPUTED_VALUE"""),5.0)</f>
        <v>5</v>
      </c>
      <c r="U89" s="2">
        <f>IFERROR(__xludf.DUMMYFUNCTION("""COMPUTED_VALUE"""),4.0)</f>
        <v>4</v>
      </c>
      <c r="V89" s="2">
        <f>IFERROR(__xludf.DUMMYFUNCTION("""COMPUTED_VALUE"""),18.0)</f>
        <v>18</v>
      </c>
      <c r="W89" s="2">
        <f>IFERROR(__xludf.DUMMYFUNCTION("""COMPUTED_VALUE"""),18.0)</f>
        <v>18</v>
      </c>
      <c r="X89" s="2">
        <f>IFERROR(__xludf.DUMMYFUNCTION("""COMPUTED_VALUE"""),11.0)</f>
        <v>11</v>
      </c>
      <c r="Y89" s="2">
        <f>IFERROR(__xludf.DUMMYFUNCTION("""COMPUTED_VALUE"""),-16.0)</f>
        <v>-16</v>
      </c>
      <c r="Z89" s="2" t="str">
        <f>IFERROR(__xludf.DUMMYFUNCTION("""COMPUTED_VALUE"""),"Discontinued")</f>
        <v>Discontinued</v>
      </c>
      <c r="AA89" s="2"/>
      <c r="AB89" s="2">
        <f>IFERROR(__xludf.DUMMYFUNCTION("""COMPUTED_VALUE"""),1.0)</f>
        <v>1</v>
      </c>
      <c r="AC89" s="2"/>
      <c r="AD89" s="2"/>
    </row>
    <row r="90">
      <c r="A90" s="2" t="str">
        <f>IFERROR(__xludf.DUMMYFUNCTION("""COMPUTED_VALUE"""),"DC (NW Black)")</f>
        <v>DC (NW Black)</v>
      </c>
      <c r="B90" s="2" t="str">
        <f>IFERROR(__xludf.DUMMYFUNCTION("""COMPUTED_VALUE"""),"CRM_NW_BLACK_DC_PACK OF 5")</f>
        <v>CRM_NW_BLACK_DC_PACK OF 5</v>
      </c>
      <c r="C90" s="26">
        <f>IFERROR(__xludf.DUMMYFUNCTION("""COMPUTED_VALUE"""),0.0)</f>
        <v>0</v>
      </c>
      <c r="F90" s="26"/>
      <c r="G90" s="26" t="str">
        <f t="shared" si="2"/>
        <v>#N/A</v>
      </c>
      <c r="H90" s="26" t="str">
        <f t="shared" si="3"/>
        <v>#N/A</v>
      </c>
      <c r="K90" s="2" t="str">
        <f>IFERROR(__xludf.DUMMYFUNCTION("""COMPUTED_VALUE"""),"LCD 24 NW (Black)")</f>
        <v>LCD 24 NW (Black)</v>
      </c>
      <c r="L90" s="2"/>
      <c r="M90" s="2" t="str">
        <f>IFERROR(__xludf.DUMMYFUNCTION("""COMPUTED_VALUE"""),"LCD NW")</f>
        <v>LCD NW</v>
      </c>
      <c r="N90" s="2" t="str">
        <f>IFERROR(__xludf.DUMMYFUNCTION("""COMPUTED_VALUE"""),"AG")</f>
        <v>AG</v>
      </c>
      <c r="O90" s="2">
        <f>IFERROR(__xludf.DUMMYFUNCTION("""COMPUTED_VALUE"""),8.0)</f>
        <v>8</v>
      </c>
      <c r="P90" s="2">
        <f>IFERROR(__xludf.DUMMYFUNCTION("""COMPUTED_VALUE"""),8.0)</f>
        <v>8</v>
      </c>
      <c r="Q90" s="2">
        <f>IFERROR(__xludf.DUMMYFUNCTION("""COMPUTED_VALUE"""),0.0)</f>
        <v>0</v>
      </c>
      <c r="R90" s="2">
        <f>IFERROR(__xludf.DUMMYFUNCTION("""COMPUTED_VALUE"""),5.0)</f>
        <v>5</v>
      </c>
      <c r="S90" s="2">
        <f>IFERROR(__xludf.DUMMYFUNCTION("""COMPUTED_VALUE"""),7.0)</f>
        <v>7</v>
      </c>
      <c r="T90" s="2">
        <f>IFERROR(__xludf.DUMMYFUNCTION("""COMPUTED_VALUE"""),8.0)</f>
        <v>8</v>
      </c>
      <c r="U90" s="2">
        <f>IFERROR(__xludf.DUMMYFUNCTION("""COMPUTED_VALUE"""),8.0)</f>
        <v>8</v>
      </c>
      <c r="V90" s="2">
        <f>IFERROR(__xludf.DUMMYFUNCTION("""COMPUTED_VALUE"""),8.0)</f>
        <v>8</v>
      </c>
      <c r="W90" s="2">
        <f>IFERROR(__xludf.DUMMYFUNCTION("""COMPUTED_VALUE"""),7.0)</f>
        <v>7</v>
      </c>
      <c r="X90" s="2">
        <f>IFERROR(__xludf.DUMMYFUNCTION("""COMPUTED_VALUE"""),10.0)</f>
        <v>10</v>
      </c>
      <c r="Y90" s="2">
        <f>IFERROR(__xludf.DUMMYFUNCTION("""COMPUTED_VALUE"""),-2.0)</f>
        <v>-2</v>
      </c>
      <c r="Z90" s="2" t="str">
        <f>IFERROR(__xludf.DUMMYFUNCTION("""COMPUTED_VALUE"""),"Discontinued")</f>
        <v>Discontinued</v>
      </c>
      <c r="AA90" s="2"/>
      <c r="AB90" s="2">
        <f>IFERROR(__xludf.DUMMYFUNCTION("""COMPUTED_VALUE"""),1.0)</f>
        <v>1</v>
      </c>
      <c r="AC90" s="2"/>
      <c r="AD90" s="2"/>
    </row>
    <row r="91">
      <c r="A91" s="2" t="str">
        <f>IFERROR(__xludf.DUMMYFUNCTION("""COMPUTED_VALUE"""),"DC (NW Grey)")</f>
        <v>DC (NW Grey)</v>
      </c>
      <c r="B91" s="2" t="str">
        <f>IFERROR(__xludf.DUMMYFUNCTION("""COMPUTED_VALUE"""),"CRM_NW_GREY_DC_PACK OF 5")</f>
        <v>CRM_NW_GREY_DC_PACK OF 5</v>
      </c>
      <c r="C91" s="26">
        <f>IFERROR(__xludf.DUMMYFUNCTION("""COMPUTED_VALUE"""),10.0)</f>
        <v>10</v>
      </c>
      <c r="F91" s="26"/>
      <c r="G91" s="26" t="str">
        <f t="shared" si="2"/>
        <v>#N/A</v>
      </c>
      <c r="H91" s="26" t="str">
        <f t="shared" si="3"/>
        <v>#N/A</v>
      </c>
      <c r="K91" s="2" t="str">
        <f>IFERROR(__xludf.DUMMYFUNCTION("""COMPUTED_VALUE"""),"LCD 27 NW (Black)")</f>
        <v>LCD 27 NW (Black)</v>
      </c>
      <c r="L91" s="2"/>
      <c r="M91" s="2" t="str">
        <f>IFERROR(__xludf.DUMMYFUNCTION("""COMPUTED_VALUE"""),"LCD NW")</f>
        <v>LCD NW</v>
      </c>
      <c r="N91" s="2" t="str">
        <f>IFERROR(__xludf.DUMMYFUNCTION("""COMPUTED_VALUE"""),"AG")</f>
        <v>AG</v>
      </c>
      <c r="O91" s="2">
        <f>IFERROR(__xludf.DUMMYFUNCTION("""COMPUTED_VALUE"""),-11.0)</f>
        <v>-11</v>
      </c>
      <c r="P91" s="2">
        <f>IFERROR(__xludf.DUMMYFUNCTION("""COMPUTED_VALUE"""),0.0)</f>
        <v>0</v>
      </c>
      <c r="Q91" s="2">
        <f>IFERROR(__xludf.DUMMYFUNCTION("""COMPUTED_VALUE"""),11.0)</f>
        <v>11</v>
      </c>
      <c r="R91" s="2">
        <f>IFERROR(__xludf.DUMMYFUNCTION("""COMPUTED_VALUE"""),5.0)</f>
        <v>5</v>
      </c>
      <c r="S91" s="2">
        <f>IFERROR(__xludf.DUMMYFUNCTION("""COMPUTED_VALUE"""),0.0)</f>
        <v>0</v>
      </c>
      <c r="T91" s="2">
        <f>IFERROR(__xludf.DUMMYFUNCTION("""COMPUTED_VALUE"""),0.0)</f>
        <v>0</v>
      </c>
      <c r="U91" s="2">
        <f>IFERROR(__xludf.DUMMYFUNCTION("""COMPUTED_VALUE"""),0.0)</f>
        <v>0</v>
      </c>
      <c r="V91" s="2">
        <f>IFERROR(__xludf.DUMMYFUNCTION("""COMPUTED_VALUE"""),0.0)</f>
        <v>0</v>
      </c>
      <c r="W91" s="2">
        <f>IFERROR(__xludf.DUMMYFUNCTION("""COMPUTED_VALUE"""),0.0)</f>
        <v>0</v>
      </c>
      <c r="X91" s="2">
        <f>IFERROR(__xludf.DUMMYFUNCTION("""COMPUTED_VALUE"""),3.0)</f>
        <v>3</v>
      </c>
      <c r="Y91" s="2">
        <f>IFERROR(__xludf.DUMMYFUNCTION("""COMPUTED_VALUE"""),14.0)</f>
        <v>14</v>
      </c>
      <c r="Z91" s="2" t="str">
        <f>IFERROR(__xludf.DUMMYFUNCTION("""COMPUTED_VALUE"""),"Discontinued")</f>
        <v>Discontinued</v>
      </c>
      <c r="AA91" s="2"/>
      <c r="AB91" s="2">
        <f>IFERROR(__xludf.DUMMYFUNCTION("""COMPUTED_VALUE"""),1.0)</f>
        <v>1</v>
      </c>
      <c r="AC91" s="2"/>
      <c r="AD91" s="2"/>
    </row>
    <row r="92">
      <c r="A92" s="2" t="str">
        <f>IFERROR(__xludf.DUMMYFUNCTION("""COMPUTED_VALUE"""),"DC (NW Grey)")</f>
        <v>DC (NW Grey)</v>
      </c>
      <c r="B92" s="2" t="str">
        <f>IFERROR(__xludf.DUMMYFUNCTION("""COMPUTED_VALUE"""),"CRM_NW_GREY_DC_PACK OF 5")</f>
        <v>CRM_NW_GREY_DC_PACK OF 5</v>
      </c>
      <c r="C92" s="26">
        <f>IFERROR(__xludf.DUMMYFUNCTION("""COMPUTED_VALUE"""),20.0)</f>
        <v>20</v>
      </c>
      <c r="F92" s="26"/>
      <c r="G92" s="26" t="str">
        <f t="shared" si="2"/>
        <v>#N/A</v>
      </c>
      <c r="H92" s="26" t="str">
        <f t="shared" si="3"/>
        <v>#N/A</v>
      </c>
      <c r="K92" s="2" t="str">
        <f>IFERROR(__xludf.DUMMYFUNCTION("""COMPUTED_VALUE"""),"LCD 22 NW (Grey)")</f>
        <v>LCD 22 NW (Grey)</v>
      </c>
      <c r="L92" s="2"/>
      <c r="M92" s="2" t="str">
        <f>IFERROR(__xludf.DUMMYFUNCTION("""COMPUTED_VALUE"""),"LCD NW")</f>
        <v>LCD NW</v>
      </c>
      <c r="N92" s="2" t="str">
        <f>IFERROR(__xludf.DUMMYFUNCTION("""COMPUTED_VALUE"""),"AG")</f>
        <v>AG</v>
      </c>
      <c r="O92" s="2">
        <f>IFERROR(__xludf.DUMMYFUNCTION("""COMPUTED_VALUE"""),13.0)</f>
        <v>13</v>
      </c>
      <c r="P92" s="2">
        <f>IFERROR(__xludf.DUMMYFUNCTION("""COMPUTED_VALUE"""),16.0)</f>
        <v>16</v>
      </c>
      <c r="Q92" s="2">
        <f>IFERROR(__xludf.DUMMYFUNCTION("""COMPUTED_VALUE"""),3.0)</f>
        <v>3</v>
      </c>
      <c r="R92" s="2">
        <f>IFERROR(__xludf.DUMMYFUNCTION("""COMPUTED_VALUE"""),5.0)</f>
        <v>5</v>
      </c>
      <c r="S92" s="2">
        <f>IFERROR(__xludf.DUMMYFUNCTION("""COMPUTED_VALUE"""),13.0)</f>
        <v>13</v>
      </c>
      <c r="T92" s="2">
        <f>IFERROR(__xludf.DUMMYFUNCTION("""COMPUTED_VALUE"""),10.0)</f>
        <v>10</v>
      </c>
      <c r="U92" s="2">
        <f>IFERROR(__xludf.DUMMYFUNCTION("""COMPUTED_VALUE"""),10.0)</f>
        <v>10</v>
      </c>
      <c r="V92" s="2">
        <f>IFERROR(__xludf.DUMMYFUNCTION("""COMPUTED_VALUE"""),22.0)</f>
        <v>22</v>
      </c>
      <c r="W92" s="2">
        <f>IFERROR(__xludf.DUMMYFUNCTION("""COMPUTED_VALUE"""),22.0)</f>
        <v>22</v>
      </c>
      <c r="X92" s="2">
        <f>IFERROR(__xludf.DUMMYFUNCTION("""COMPUTED_VALUE"""),19.0)</f>
        <v>19</v>
      </c>
      <c r="Y92" s="2">
        <f>IFERROR(__xludf.DUMMYFUNCTION("""COMPUTED_VALUE"""),-14.0)</f>
        <v>-14</v>
      </c>
      <c r="Z92" s="2" t="str">
        <f>IFERROR(__xludf.DUMMYFUNCTION("""COMPUTED_VALUE"""),"Discontinued")</f>
        <v>Discontinued</v>
      </c>
      <c r="AA92" s="2"/>
      <c r="AB92" s="2">
        <f>IFERROR(__xludf.DUMMYFUNCTION("""COMPUTED_VALUE"""),1.0)</f>
        <v>1</v>
      </c>
      <c r="AC92" s="2"/>
      <c r="AD92" s="2"/>
    </row>
    <row r="93">
      <c r="A93" s="2" t="str">
        <f>IFERROR(__xludf.DUMMYFUNCTION("""COMPUTED_VALUE"""),"DC (NW Grey)")</f>
        <v>DC (NW Grey)</v>
      </c>
      <c r="B93" s="2" t="str">
        <f>IFERROR(__xludf.DUMMYFUNCTION("""COMPUTED_VALUE"""),"CRM_NW_GREY_DC_PACK OF 5")</f>
        <v>CRM_NW_GREY_DC_PACK OF 5</v>
      </c>
      <c r="C93" s="26">
        <f>IFERROR(__xludf.DUMMYFUNCTION("""COMPUTED_VALUE"""),10.0)</f>
        <v>10</v>
      </c>
      <c r="F93" s="26"/>
      <c r="G93" s="26" t="str">
        <f t="shared" si="2"/>
        <v>#N/A</v>
      </c>
      <c r="H93" s="26" t="str">
        <f t="shared" si="3"/>
        <v>#N/A</v>
      </c>
      <c r="K93" s="2" t="str">
        <f>IFERROR(__xludf.DUMMYFUNCTION("""COMPUTED_VALUE"""),"LCD 24 NW (Grey)")</f>
        <v>LCD 24 NW (Grey)</v>
      </c>
      <c r="L93" s="2"/>
      <c r="M93" s="2" t="str">
        <f>IFERROR(__xludf.DUMMYFUNCTION("""COMPUTED_VALUE"""),"LCD NW")</f>
        <v>LCD NW</v>
      </c>
      <c r="N93" s="2" t="str">
        <f>IFERROR(__xludf.DUMMYFUNCTION("""COMPUTED_VALUE"""),"AG")</f>
        <v>AG</v>
      </c>
      <c r="O93" s="2">
        <f>IFERROR(__xludf.DUMMYFUNCTION("""COMPUTED_VALUE"""),32.0)</f>
        <v>32</v>
      </c>
      <c r="P93" s="2">
        <f>IFERROR(__xludf.DUMMYFUNCTION("""COMPUTED_VALUE"""),20.0)</f>
        <v>20</v>
      </c>
      <c r="Q93" s="2">
        <f>IFERROR(__xludf.DUMMYFUNCTION("""COMPUTED_VALUE"""),-12.0)</f>
        <v>-12</v>
      </c>
      <c r="R93" s="2">
        <f>IFERROR(__xludf.DUMMYFUNCTION("""COMPUTED_VALUE"""),5.0)</f>
        <v>5</v>
      </c>
      <c r="S93" s="2">
        <f>IFERROR(__xludf.DUMMYFUNCTION("""COMPUTED_VALUE"""),13.0)</f>
        <v>13</v>
      </c>
      <c r="T93" s="2">
        <f>IFERROR(__xludf.DUMMYFUNCTION("""COMPUTED_VALUE"""),12.0)</f>
        <v>12</v>
      </c>
      <c r="U93" s="2">
        <f>IFERROR(__xludf.DUMMYFUNCTION("""COMPUTED_VALUE"""),16.0)</f>
        <v>16</v>
      </c>
      <c r="V93" s="2">
        <f>IFERROR(__xludf.DUMMYFUNCTION("""COMPUTED_VALUE"""),28.0)</f>
        <v>28</v>
      </c>
      <c r="W93" s="2">
        <f>IFERROR(__xludf.DUMMYFUNCTION("""COMPUTED_VALUE"""),30.0)</f>
        <v>30</v>
      </c>
      <c r="X93" s="2">
        <f>IFERROR(__xludf.DUMMYFUNCTION("""COMPUTED_VALUE"""),23.0)</f>
        <v>23</v>
      </c>
      <c r="Y93" s="2">
        <f>IFERROR(__xludf.DUMMYFUNCTION("""COMPUTED_VALUE"""),-18.0)</f>
        <v>-18</v>
      </c>
      <c r="Z93" s="2" t="str">
        <f>IFERROR(__xludf.DUMMYFUNCTION("""COMPUTED_VALUE"""),"Discontinued")</f>
        <v>Discontinued</v>
      </c>
      <c r="AA93" s="2"/>
      <c r="AB93" s="2">
        <f>IFERROR(__xludf.DUMMYFUNCTION("""COMPUTED_VALUE"""),1.0)</f>
        <v>1</v>
      </c>
      <c r="AC93" s="2"/>
      <c r="AD93" s="2"/>
    </row>
    <row r="94">
      <c r="A94" s="2" t="str">
        <f>IFERROR(__xludf.DUMMYFUNCTION("""COMPUTED_VALUE"""),"DC (NW Grey)")</f>
        <v>DC (NW Grey)</v>
      </c>
      <c r="B94" s="2" t="str">
        <f>IFERROR(__xludf.DUMMYFUNCTION("""COMPUTED_VALUE"""),"CRM_NW_GREY_DC_PACK OF 5")</f>
        <v>CRM_NW_GREY_DC_PACK OF 5</v>
      </c>
      <c r="C94" s="26">
        <f>IFERROR(__xludf.DUMMYFUNCTION("""COMPUTED_VALUE"""),0.0)</f>
        <v>0</v>
      </c>
      <c r="F94" s="26"/>
      <c r="G94" s="26" t="str">
        <f t="shared" si="2"/>
        <v>#N/A</v>
      </c>
      <c r="H94" s="26" t="str">
        <f t="shared" si="3"/>
        <v>#N/A</v>
      </c>
      <c r="K94" s="2" t="str">
        <f>IFERROR(__xludf.DUMMYFUNCTION("""COMPUTED_VALUE"""),"LCD 27 NW (Grey)")</f>
        <v>LCD 27 NW (Grey)</v>
      </c>
      <c r="L94" s="2"/>
      <c r="M94" s="2" t="str">
        <f>IFERROR(__xludf.DUMMYFUNCTION("""COMPUTED_VALUE"""),"LCD NW")</f>
        <v>LCD NW</v>
      </c>
      <c r="N94" s="2" t="str">
        <f>IFERROR(__xludf.DUMMYFUNCTION("""COMPUTED_VALUE"""),"AG")</f>
        <v>AG</v>
      </c>
      <c r="O94" s="2">
        <f>IFERROR(__xludf.DUMMYFUNCTION("""COMPUTED_VALUE"""),17.0)</f>
        <v>17</v>
      </c>
      <c r="P94" s="2">
        <f>IFERROR(__xludf.DUMMYFUNCTION("""COMPUTED_VALUE"""),17.0)</f>
        <v>17</v>
      </c>
      <c r="Q94" s="2">
        <f>IFERROR(__xludf.DUMMYFUNCTION("""COMPUTED_VALUE"""),0.0)</f>
        <v>0</v>
      </c>
      <c r="R94" s="2">
        <f>IFERROR(__xludf.DUMMYFUNCTION("""COMPUTED_VALUE"""),5.0)</f>
        <v>5</v>
      </c>
      <c r="S94" s="2">
        <f>IFERROR(__xludf.DUMMYFUNCTION("""COMPUTED_VALUE"""),19.0)</f>
        <v>19</v>
      </c>
      <c r="T94" s="2">
        <f>IFERROR(__xludf.DUMMYFUNCTION("""COMPUTED_VALUE"""),19.0)</f>
        <v>19</v>
      </c>
      <c r="U94" s="2">
        <f>IFERROR(__xludf.DUMMYFUNCTION("""COMPUTED_VALUE"""),11.0)</f>
        <v>11</v>
      </c>
      <c r="V94" s="2">
        <f>IFERROR(__xludf.DUMMYFUNCTION("""COMPUTED_VALUE"""),18.0)</f>
        <v>18</v>
      </c>
      <c r="W94" s="2">
        <f>IFERROR(__xludf.DUMMYFUNCTION("""COMPUTED_VALUE"""),15.0)</f>
        <v>15</v>
      </c>
      <c r="X94" s="2">
        <f>IFERROR(__xludf.DUMMYFUNCTION("""COMPUTED_VALUE"""),14.0)</f>
        <v>14</v>
      </c>
      <c r="Y94" s="2">
        <f>IFERROR(__xludf.DUMMYFUNCTION("""COMPUTED_VALUE"""),-9.0)</f>
        <v>-9</v>
      </c>
      <c r="Z94" s="2" t="str">
        <f>IFERROR(__xludf.DUMMYFUNCTION("""COMPUTED_VALUE"""),"Discontinued")</f>
        <v>Discontinued</v>
      </c>
      <c r="AA94" s="2"/>
      <c r="AB94" s="2">
        <f>IFERROR(__xludf.DUMMYFUNCTION("""COMPUTED_VALUE"""),1.0)</f>
        <v>1</v>
      </c>
      <c r="AC94" s="2"/>
      <c r="AD94" s="2"/>
    </row>
    <row r="95">
      <c r="A95" s="2" t="str">
        <f>IFERROR(__xludf.DUMMYFUNCTION("""COMPUTED_VALUE"""),"DC (NW Grey)")</f>
        <v>DC (NW Grey)</v>
      </c>
      <c r="B95" s="2" t="str">
        <f>IFERROR(__xludf.DUMMYFUNCTION("""COMPUTED_VALUE"""),"CRM_NW_GREY_DC_PACK OF 5")</f>
        <v>CRM_NW_GREY_DC_PACK OF 5</v>
      </c>
      <c r="C95" s="26">
        <f>IFERROR(__xludf.DUMMYFUNCTION("""COMPUTED_VALUE"""),10.0)</f>
        <v>10</v>
      </c>
      <c r="F95" s="26"/>
      <c r="G95" s="26" t="str">
        <f t="shared" si="2"/>
        <v>#N/A</v>
      </c>
      <c r="H95" s="26" t="str">
        <f t="shared" si="3"/>
        <v>#N/A</v>
      </c>
      <c r="K95" s="2" t="str">
        <f>IFERROR(__xludf.DUMMYFUNCTION("""COMPUTED_VALUE"""),"iMAc 21.5")</f>
        <v>iMAc 21.5</v>
      </c>
      <c r="L95" s="2"/>
      <c r="M95" s="2" t="str">
        <f>IFERROR(__xludf.DUMMYFUNCTION("""COMPUTED_VALUE"""),"LCD")</f>
        <v>LCD</v>
      </c>
      <c r="N95" s="2" t="str">
        <f>IFERROR(__xludf.DUMMYFUNCTION("""COMPUTED_VALUE"""),"AG")</f>
        <v>AG</v>
      </c>
      <c r="O95" s="2">
        <f>IFERROR(__xludf.DUMMYFUNCTION("""COMPUTED_VALUE"""),0.0)</f>
        <v>0</v>
      </c>
      <c r="P95" s="2">
        <f>IFERROR(__xludf.DUMMYFUNCTION("""COMPUTED_VALUE"""),0.0)</f>
        <v>0</v>
      </c>
      <c r="Q95" s="2">
        <f>IFERROR(__xludf.DUMMYFUNCTION("""COMPUTED_VALUE"""),0.0)</f>
        <v>0</v>
      </c>
      <c r="R95" s="2">
        <f>IFERROR(__xludf.DUMMYFUNCTION("""COMPUTED_VALUE"""),5.0)</f>
        <v>5</v>
      </c>
      <c r="S95" s="2">
        <f>IFERROR(__xludf.DUMMYFUNCTION("""COMPUTED_VALUE"""),0.0)</f>
        <v>0</v>
      </c>
      <c r="T95" s="2">
        <f>IFERROR(__xludf.DUMMYFUNCTION("""COMPUTED_VALUE"""),0.0)</f>
        <v>0</v>
      </c>
      <c r="U95" s="2">
        <f>IFERROR(__xludf.DUMMYFUNCTION("""COMPUTED_VALUE"""),0.0)</f>
        <v>0</v>
      </c>
      <c r="V95" s="2">
        <f>IFERROR(__xludf.DUMMYFUNCTION("""COMPUTED_VALUE"""),0.0)</f>
        <v>0</v>
      </c>
      <c r="W95" s="2">
        <f>IFERROR(__xludf.DUMMYFUNCTION("""COMPUTED_VALUE"""),0.0)</f>
        <v>0</v>
      </c>
      <c r="X95" s="2">
        <f>IFERROR(__xludf.DUMMYFUNCTION("""COMPUTED_VALUE"""),0.0)</f>
        <v>0</v>
      </c>
      <c r="Y95" s="2">
        <f>IFERROR(__xludf.DUMMYFUNCTION("""COMPUTED_VALUE"""),0.0)</f>
        <v>0</v>
      </c>
      <c r="Z95" s="2"/>
      <c r="AA95" s="2"/>
      <c r="AB95" s="2">
        <f>IFERROR(__xludf.DUMMYFUNCTION("""COMPUTED_VALUE"""),1.0)</f>
        <v>1</v>
      </c>
      <c r="AC95" s="2"/>
      <c r="AD95" s="2"/>
    </row>
    <row r="96">
      <c r="A96" s="2" t="str">
        <f>IFERROR(__xludf.DUMMYFUNCTION("""COMPUTED_VALUE"""),"DC (NW Grey)")</f>
        <v>DC (NW Grey)</v>
      </c>
      <c r="B96" s="2" t="str">
        <f>IFERROR(__xludf.DUMMYFUNCTION("""COMPUTED_VALUE"""),"CRM_NW_GREY_DC_PACK OF 5")</f>
        <v>CRM_NW_GREY_DC_PACK OF 5</v>
      </c>
      <c r="C96" s="26">
        <f>IFERROR(__xludf.DUMMYFUNCTION("""COMPUTED_VALUE"""),0.0)</f>
        <v>0</v>
      </c>
      <c r="F96" s="26"/>
      <c r="G96" s="26" t="str">
        <f t="shared" si="2"/>
        <v>#N/A</v>
      </c>
      <c r="H96" s="26" t="str">
        <f t="shared" si="3"/>
        <v>#N/A</v>
      </c>
      <c r="K96" s="2" t="str">
        <f>IFERROR(__xludf.DUMMYFUNCTION("""COMPUTED_VALUE"""),"iMAc 24")</f>
        <v>iMAc 24</v>
      </c>
      <c r="L96" s="2"/>
      <c r="M96" s="2" t="str">
        <f>IFERROR(__xludf.DUMMYFUNCTION("""COMPUTED_VALUE"""),"LCD")</f>
        <v>LCD</v>
      </c>
      <c r="N96" s="2" t="str">
        <f>IFERROR(__xludf.DUMMYFUNCTION("""COMPUTED_VALUE"""),"AG")</f>
        <v>AG</v>
      </c>
      <c r="O96" s="2">
        <f>IFERROR(__xludf.DUMMYFUNCTION("""COMPUTED_VALUE"""),-21.0)</f>
        <v>-21</v>
      </c>
      <c r="P96" s="2">
        <f>IFERROR(__xludf.DUMMYFUNCTION("""COMPUTED_VALUE"""),0.0)</f>
        <v>0</v>
      </c>
      <c r="Q96" s="2">
        <f>IFERROR(__xludf.DUMMYFUNCTION("""COMPUTED_VALUE"""),21.0)</f>
        <v>21</v>
      </c>
      <c r="R96" s="2">
        <f>IFERROR(__xludf.DUMMYFUNCTION("""COMPUTED_VALUE"""),5.0)</f>
        <v>5</v>
      </c>
      <c r="S96" s="2">
        <f>IFERROR(__xludf.DUMMYFUNCTION("""COMPUTED_VALUE"""),0.0)</f>
        <v>0</v>
      </c>
      <c r="T96" s="2">
        <f>IFERROR(__xludf.DUMMYFUNCTION("""COMPUTED_VALUE"""),0.0)</f>
        <v>0</v>
      </c>
      <c r="U96" s="2">
        <f>IFERROR(__xludf.DUMMYFUNCTION("""COMPUTED_VALUE"""),0.0)</f>
        <v>0</v>
      </c>
      <c r="V96" s="2">
        <f>IFERROR(__xludf.DUMMYFUNCTION("""COMPUTED_VALUE"""),0.0)</f>
        <v>0</v>
      </c>
      <c r="W96" s="2">
        <f>IFERROR(__xludf.DUMMYFUNCTION("""COMPUTED_VALUE"""),0.0)</f>
        <v>0</v>
      </c>
      <c r="X96" s="2">
        <f>IFERROR(__xludf.DUMMYFUNCTION("""COMPUTED_VALUE"""),0.0)</f>
        <v>0</v>
      </c>
      <c r="Y96" s="2">
        <f>IFERROR(__xludf.DUMMYFUNCTION("""COMPUTED_VALUE"""),21.0)</f>
        <v>21</v>
      </c>
      <c r="Z96" s="2" t="str">
        <f>IFERROR(__xludf.DUMMYFUNCTION("""COMPUTED_VALUE"""),"Discontinued")</f>
        <v>Discontinued</v>
      </c>
      <c r="AA96" s="2"/>
      <c r="AB96" s="2">
        <f>IFERROR(__xludf.DUMMYFUNCTION("""COMPUTED_VALUE"""),1.0)</f>
        <v>1</v>
      </c>
      <c r="AC96" s="2"/>
      <c r="AD96" s="2"/>
    </row>
    <row r="97">
      <c r="A97" s="2" t="str">
        <f>IFERROR(__xludf.DUMMYFUNCTION("""COMPUTED_VALUE"""),"DC (NW Grey)")</f>
        <v>DC (NW Grey)</v>
      </c>
      <c r="B97" s="2" t="str">
        <f>IFERROR(__xludf.DUMMYFUNCTION("""COMPUTED_VALUE"""),"CRM_NW_GREY_DC_PACK OF 5")</f>
        <v>CRM_NW_GREY_DC_PACK OF 5</v>
      </c>
      <c r="C97" s="26">
        <f>IFERROR(__xludf.DUMMYFUNCTION("""COMPUTED_VALUE"""),0.0)</f>
        <v>0</v>
      </c>
      <c r="F97" s="26"/>
      <c r="G97" s="26" t="str">
        <f t="shared" si="2"/>
        <v>#N/A</v>
      </c>
      <c r="H97" s="26" t="str">
        <f t="shared" si="3"/>
        <v>#N/A</v>
      </c>
      <c r="K97" s="2" t="str">
        <f>IFERROR(__xludf.DUMMYFUNCTION("""COMPUTED_VALUE"""),"iMAc 27")</f>
        <v>iMAc 27</v>
      </c>
      <c r="L97" s="2"/>
      <c r="M97" s="2" t="str">
        <f>IFERROR(__xludf.DUMMYFUNCTION("""COMPUTED_VALUE"""),"LCD")</f>
        <v>LCD</v>
      </c>
      <c r="N97" s="2" t="str">
        <f>IFERROR(__xludf.DUMMYFUNCTION("""COMPUTED_VALUE"""),"AG")</f>
        <v>AG</v>
      </c>
      <c r="O97" s="2">
        <f>IFERROR(__xludf.DUMMYFUNCTION("""COMPUTED_VALUE"""),0.0)</f>
        <v>0</v>
      </c>
      <c r="P97" s="2">
        <f>IFERROR(__xludf.DUMMYFUNCTION("""COMPUTED_VALUE"""),0.0)</f>
        <v>0</v>
      </c>
      <c r="Q97" s="2">
        <f>IFERROR(__xludf.DUMMYFUNCTION("""COMPUTED_VALUE"""),0.0)</f>
        <v>0</v>
      </c>
      <c r="R97" s="2">
        <f>IFERROR(__xludf.DUMMYFUNCTION("""COMPUTED_VALUE"""),6.0)</f>
        <v>6</v>
      </c>
      <c r="S97" s="2">
        <f>IFERROR(__xludf.DUMMYFUNCTION("""COMPUTED_VALUE"""),0.0)</f>
        <v>0</v>
      </c>
      <c r="T97" s="2">
        <f>IFERROR(__xludf.DUMMYFUNCTION("""COMPUTED_VALUE"""),0.0)</f>
        <v>0</v>
      </c>
      <c r="U97" s="2">
        <f>IFERROR(__xludf.DUMMYFUNCTION("""COMPUTED_VALUE"""),0.0)</f>
        <v>0</v>
      </c>
      <c r="V97" s="2">
        <f>IFERROR(__xludf.DUMMYFUNCTION("""COMPUTED_VALUE"""),0.0)</f>
        <v>0</v>
      </c>
      <c r="W97" s="2">
        <f>IFERROR(__xludf.DUMMYFUNCTION("""COMPUTED_VALUE"""),0.0)</f>
        <v>0</v>
      </c>
      <c r="X97" s="2">
        <f>IFERROR(__xludf.DUMMYFUNCTION("""COMPUTED_VALUE"""),0.0)</f>
        <v>0</v>
      </c>
      <c r="Y97" s="2">
        <f>IFERROR(__xludf.DUMMYFUNCTION("""COMPUTED_VALUE"""),0.0)</f>
        <v>0</v>
      </c>
      <c r="Z97" s="2"/>
      <c r="AA97" s="2"/>
      <c r="AB97" s="2"/>
      <c r="AC97" s="2"/>
      <c r="AD97" s="2"/>
    </row>
    <row r="98">
      <c r="A98" s="2" t="str">
        <f>IFERROR(__xludf.DUMMYFUNCTION("""COMPUTED_VALUE"""),"DC (NW Grey)")</f>
        <v>DC (NW Grey)</v>
      </c>
      <c r="B98" s="2" t="str">
        <f>IFERROR(__xludf.DUMMYFUNCTION("""COMPUTED_VALUE"""),"CRM_NW_GREY_DC_PACK OF 5")</f>
        <v>CRM_NW_GREY_DC_PACK OF 5</v>
      </c>
      <c r="C98" s="26">
        <f>IFERROR(__xludf.DUMMYFUNCTION("""COMPUTED_VALUE"""),0.0)</f>
        <v>0</v>
      </c>
      <c r="F98" s="26"/>
      <c r="G98" s="26" t="str">
        <f t="shared" si="2"/>
        <v>#N/A</v>
      </c>
      <c r="H98" s="26" t="str">
        <f t="shared" si="3"/>
        <v>#N/A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 t="str">
        <f>IFERROR(__xludf.DUMMYFUNCTION("""COMPUTED_VALUE"""),"DC (NW Grey)")</f>
        <v>DC (NW Grey)</v>
      </c>
      <c r="B99" s="2" t="str">
        <f>IFERROR(__xludf.DUMMYFUNCTION("""COMPUTED_VALUE"""),"CRM_NW_GREY_DC_PACK OF 5")</f>
        <v>CRM_NW_GREY_DC_PACK OF 5</v>
      </c>
      <c r="C99" s="26">
        <f>IFERROR(__xludf.DUMMYFUNCTION("""COMPUTED_VALUE"""),10.0)</f>
        <v>10</v>
      </c>
      <c r="F99" s="26"/>
      <c r="G99" s="26" t="str">
        <f t="shared" si="2"/>
        <v>#N/A</v>
      </c>
      <c r="H99" s="26" t="str">
        <f t="shared" si="3"/>
        <v>#N/A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 t="str">
        <f>IFERROR(__xludf.DUMMYFUNCTION("""COMPUTED_VALUE"""),"DC (NW Black)")</f>
        <v>DC (NW Black)</v>
      </c>
      <c r="B100" s="2" t="str">
        <f>IFERROR(__xludf.DUMMYFUNCTION("""COMPUTED_VALUE"""),"CRM_NW_BLACK_DC_PACK OF 2")</f>
        <v>CRM_NW_BLACK_DC_PACK OF 2</v>
      </c>
      <c r="C100" s="26">
        <f>IFERROR(__xludf.DUMMYFUNCTION("""COMPUTED_VALUE"""),0.0)</f>
        <v>0</v>
      </c>
      <c r="F100" s="26"/>
      <c r="G100" s="26" t="str">
        <f t="shared" si="2"/>
        <v>#N/A</v>
      </c>
      <c r="H100" s="26" t="str">
        <f t="shared" si="3"/>
        <v>#N/A</v>
      </c>
      <c r="K100" s="2" t="str">
        <f>IFERROR(__xludf.DUMMYFUNCTION("""COMPUTED_VALUE"""),"APR- Sky Blue")</f>
        <v>APR- Sky Blue</v>
      </c>
      <c r="L100" s="2"/>
      <c r="M100" s="2" t="str">
        <f>IFERROR(__xludf.DUMMYFUNCTION("""COMPUTED_VALUE"""),"Apron")</f>
        <v>Apron</v>
      </c>
      <c r="N100" s="2" t="str">
        <f>IFERROR(__xludf.DUMMYFUNCTION("""COMPUTED_VALUE"""),"AG")</f>
        <v>AG</v>
      </c>
      <c r="O100" s="2">
        <f>IFERROR(__xludf.DUMMYFUNCTION("""COMPUTED_VALUE"""),-820.0)</f>
        <v>-820</v>
      </c>
      <c r="P100" s="2">
        <f>IFERROR(__xludf.DUMMYFUNCTION("""COMPUTED_VALUE"""),126.0)</f>
        <v>126</v>
      </c>
      <c r="Q100" s="2">
        <f>IFERROR(__xludf.DUMMYFUNCTION("""COMPUTED_VALUE"""),946.0)</f>
        <v>946</v>
      </c>
      <c r="R100" s="2">
        <f>IFERROR(__xludf.DUMMYFUNCTION("""COMPUTED_VALUE"""),5.0)</f>
        <v>5</v>
      </c>
      <c r="S100" s="2">
        <f>IFERROR(__xludf.DUMMYFUNCTION("""COMPUTED_VALUE"""),63.0)</f>
        <v>63</v>
      </c>
      <c r="T100" s="2">
        <f>IFERROR(__xludf.DUMMYFUNCTION("""COMPUTED_VALUE"""),46.0)</f>
        <v>46</v>
      </c>
      <c r="U100" s="2">
        <f>IFERROR(__xludf.DUMMYFUNCTION("""COMPUTED_VALUE"""),20.0)</f>
        <v>20</v>
      </c>
      <c r="V100" s="2">
        <f>IFERROR(__xludf.DUMMYFUNCTION("""COMPUTED_VALUE"""),27.0)</f>
        <v>27</v>
      </c>
      <c r="W100" s="2">
        <f>IFERROR(__xludf.DUMMYFUNCTION("""COMPUTED_VALUE"""),53.0)</f>
        <v>53</v>
      </c>
      <c r="X100" s="2">
        <f>IFERROR(__xludf.DUMMYFUNCTION("""COMPUTED_VALUE"""),14.0)</f>
        <v>14</v>
      </c>
      <c r="Y100" s="2">
        <f>IFERROR(__xludf.DUMMYFUNCTION("""COMPUTED_VALUE"""),9.0)</f>
        <v>9</v>
      </c>
      <c r="Z100" s="2"/>
      <c r="AA100" s="2"/>
      <c r="AB100" s="2">
        <f>IFERROR(__xludf.DUMMYFUNCTION("""COMPUTED_VALUE"""),3.0)</f>
        <v>3</v>
      </c>
      <c r="AC100" s="2"/>
      <c r="AD100" s="2"/>
    </row>
    <row r="101">
      <c r="A101" s="2" t="str">
        <f>IFERROR(__xludf.DUMMYFUNCTION("""COMPUTED_VALUE"""),"DC (NW Black)")</f>
        <v>DC (NW Black)</v>
      </c>
      <c r="B101" s="2" t="str">
        <f>IFERROR(__xludf.DUMMYFUNCTION("""COMPUTED_VALUE"""),"CRM_NW_BLACK_DC_PACK OF 2")</f>
        <v>CRM_NW_BLACK_DC_PACK OF 2</v>
      </c>
      <c r="C101" s="26">
        <f>IFERROR(__xludf.DUMMYFUNCTION("""COMPUTED_VALUE"""),0.0)</f>
        <v>0</v>
      </c>
      <c r="F101" s="26"/>
      <c r="G101" s="26" t="str">
        <f t="shared" si="2"/>
        <v>#N/A</v>
      </c>
      <c r="H101" s="26" t="str">
        <f t="shared" si="3"/>
        <v>#N/A</v>
      </c>
      <c r="K101" s="2" t="str">
        <f>IFERROR(__xludf.DUMMYFUNCTION("""COMPUTED_VALUE"""),"APR- Dark Blue")</f>
        <v>APR- Dark Blue</v>
      </c>
      <c r="L101" s="2"/>
      <c r="M101" s="2" t="str">
        <f>IFERROR(__xludf.DUMMYFUNCTION("""COMPUTED_VALUE"""),"Apron")</f>
        <v>Apron</v>
      </c>
      <c r="N101" s="2" t="str">
        <f>IFERROR(__xludf.DUMMYFUNCTION("""COMPUTED_VALUE"""),"AG")</f>
        <v>AG</v>
      </c>
      <c r="O101" s="2">
        <f>IFERROR(__xludf.DUMMYFUNCTION("""COMPUTED_VALUE"""),-767.0)</f>
        <v>-767</v>
      </c>
      <c r="P101" s="2">
        <f>IFERROR(__xludf.DUMMYFUNCTION("""COMPUTED_VALUE"""),999.0)</f>
        <v>999</v>
      </c>
      <c r="Q101" s="2">
        <f>IFERROR(__xludf.DUMMYFUNCTION("""COMPUTED_VALUE"""),1766.0)</f>
        <v>1766</v>
      </c>
      <c r="R101" s="2">
        <f>IFERROR(__xludf.DUMMYFUNCTION("""COMPUTED_VALUE"""),5.0)</f>
        <v>5</v>
      </c>
      <c r="S101" s="2">
        <f>IFERROR(__xludf.DUMMYFUNCTION("""COMPUTED_VALUE"""),418.0)</f>
        <v>418</v>
      </c>
      <c r="T101" s="2">
        <f>IFERROR(__xludf.DUMMYFUNCTION("""COMPUTED_VALUE"""),367.0)</f>
        <v>367</v>
      </c>
      <c r="U101" s="2">
        <f>IFERROR(__xludf.DUMMYFUNCTION("""COMPUTED_VALUE"""),186.0)</f>
        <v>186</v>
      </c>
      <c r="V101" s="2">
        <f>IFERROR(__xludf.DUMMYFUNCTION("""COMPUTED_VALUE"""),406.0)</f>
        <v>406</v>
      </c>
      <c r="W101" s="2">
        <f>IFERROR(__xludf.DUMMYFUNCTION("""COMPUTED_VALUE"""),287.0)</f>
        <v>287</v>
      </c>
      <c r="X101" s="2">
        <f>IFERROR(__xludf.DUMMYFUNCTION("""COMPUTED_VALUE"""),231.0)</f>
        <v>231</v>
      </c>
      <c r="Y101" s="2">
        <f>IFERROR(__xludf.DUMMYFUNCTION("""COMPUTED_VALUE"""),763.0)</f>
        <v>763</v>
      </c>
      <c r="Z101" s="2"/>
      <c r="AA101" s="2"/>
      <c r="AB101" s="2">
        <f>IFERROR(__xludf.DUMMYFUNCTION("""COMPUTED_VALUE"""),3.0)</f>
        <v>3</v>
      </c>
      <c r="AC101" s="2"/>
      <c r="AD101" s="2"/>
    </row>
    <row r="102">
      <c r="A102" s="2" t="str">
        <f>IFERROR(__xludf.DUMMYFUNCTION("""COMPUTED_VALUE"""),"DC (NW Black)")</f>
        <v>DC (NW Black)</v>
      </c>
      <c r="B102" s="2" t="str">
        <f>IFERROR(__xludf.DUMMYFUNCTION("""COMPUTED_VALUE"""),"CRM_NW_BLACK_DC_PACK OF 2")</f>
        <v>CRM_NW_BLACK_DC_PACK OF 2</v>
      </c>
      <c r="C102" s="26">
        <f>IFERROR(__xludf.DUMMYFUNCTION("""COMPUTED_VALUE"""),8.0)</f>
        <v>8</v>
      </c>
      <c r="F102" s="26"/>
      <c r="G102" s="26" t="str">
        <f t="shared" si="2"/>
        <v>#N/A</v>
      </c>
      <c r="H102" s="26" t="str">
        <f t="shared" si="3"/>
        <v>#N/A</v>
      </c>
      <c r="K102" s="2" t="str">
        <f>IFERROR(__xludf.DUMMYFUNCTION("""COMPUTED_VALUE"""),"APR- Brown")</f>
        <v>APR- Brown</v>
      </c>
      <c r="L102" s="2"/>
      <c r="M102" s="2" t="str">
        <f>IFERROR(__xludf.DUMMYFUNCTION("""COMPUTED_VALUE"""),"Apron")</f>
        <v>Apron</v>
      </c>
      <c r="N102" s="2" t="str">
        <f>IFERROR(__xludf.DUMMYFUNCTION("""COMPUTED_VALUE"""),"AG")</f>
        <v>AG</v>
      </c>
      <c r="O102" s="2">
        <f>IFERROR(__xludf.DUMMYFUNCTION("""COMPUTED_VALUE"""),-362.0)</f>
        <v>-362</v>
      </c>
      <c r="P102" s="2">
        <f>IFERROR(__xludf.DUMMYFUNCTION("""COMPUTED_VALUE"""),1001.0)</f>
        <v>1001</v>
      </c>
      <c r="Q102" s="2">
        <f>IFERROR(__xludf.DUMMYFUNCTION("""COMPUTED_VALUE"""),1363.0)</f>
        <v>1363</v>
      </c>
      <c r="R102" s="2">
        <f>IFERROR(__xludf.DUMMYFUNCTION("""COMPUTED_VALUE"""),5.0)</f>
        <v>5</v>
      </c>
      <c r="S102" s="2">
        <f>IFERROR(__xludf.DUMMYFUNCTION("""COMPUTED_VALUE"""),353.0)</f>
        <v>353</v>
      </c>
      <c r="T102" s="2">
        <f>IFERROR(__xludf.DUMMYFUNCTION("""COMPUTED_VALUE"""),283.0)</f>
        <v>283</v>
      </c>
      <c r="U102" s="2">
        <f>IFERROR(__xludf.DUMMYFUNCTION("""COMPUTED_VALUE"""),199.0)</f>
        <v>199</v>
      </c>
      <c r="V102" s="2">
        <f>IFERROR(__xludf.DUMMYFUNCTION("""COMPUTED_VALUE"""),277.0)</f>
        <v>277</v>
      </c>
      <c r="W102" s="2">
        <f>IFERROR(__xludf.DUMMYFUNCTION("""COMPUTED_VALUE"""),556.0)</f>
        <v>556</v>
      </c>
      <c r="X102" s="2">
        <f>IFERROR(__xludf.DUMMYFUNCTION("""COMPUTED_VALUE"""),172.0)</f>
        <v>172</v>
      </c>
      <c r="Y102" s="2">
        <f>IFERROR(__xludf.DUMMYFUNCTION("""COMPUTED_VALUE"""),154.0)</f>
        <v>154</v>
      </c>
      <c r="Z102" s="2"/>
      <c r="AA102" s="2"/>
      <c r="AB102" s="2">
        <f>IFERROR(__xludf.DUMMYFUNCTION("""COMPUTED_VALUE"""),3.0)</f>
        <v>3</v>
      </c>
      <c r="AC102" s="2"/>
      <c r="AD102" s="2"/>
    </row>
    <row r="103">
      <c r="A103" s="2" t="str">
        <f>IFERROR(__xludf.DUMMYFUNCTION("""COMPUTED_VALUE"""),"DC (NW Black)")</f>
        <v>DC (NW Black)</v>
      </c>
      <c r="B103" s="2" t="str">
        <f>IFERROR(__xludf.DUMMYFUNCTION("""COMPUTED_VALUE"""),"CRM_NW_BLACK_DC_PACK OF 2")</f>
        <v>CRM_NW_BLACK_DC_PACK OF 2</v>
      </c>
      <c r="C103" s="26">
        <f>IFERROR(__xludf.DUMMYFUNCTION("""COMPUTED_VALUE"""),0.0)</f>
        <v>0</v>
      </c>
      <c r="F103" s="26"/>
      <c r="G103" s="26" t="str">
        <f t="shared" si="2"/>
        <v>#N/A</v>
      </c>
      <c r="H103" s="26" t="str">
        <f t="shared" si="3"/>
        <v>#N/A</v>
      </c>
      <c r="K103" s="2" t="str">
        <f>IFERROR(__xludf.DUMMYFUNCTION("""COMPUTED_VALUE"""),"APR- Green")</f>
        <v>APR- Green</v>
      </c>
      <c r="L103" s="2"/>
      <c r="M103" s="2" t="str">
        <f>IFERROR(__xludf.DUMMYFUNCTION("""COMPUTED_VALUE"""),"Apron")</f>
        <v>Apron</v>
      </c>
      <c r="N103" s="2" t="str">
        <f>IFERROR(__xludf.DUMMYFUNCTION("""COMPUTED_VALUE"""),"AG")</f>
        <v>AG</v>
      </c>
      <c r="O103" s="2">
        <f>IFERROR(__xludf.DUMMYFUNCTION("""COMPUTED_VALUE"""),-449.0)</f>
        <v>-449</v>
      </c>
      <c r="P103" s="2">
        <f>IFERROR(__xludf.DUMMYFUNCTION("""COMPUTED_VALUE"""),516.0)</f>
        <v>516</v>
      </c>
      <c r="Q103" s="2">
        <f>IFERROR(__xludf.DUMMYFUNCTION("""COMPUTED_VALUE"""),965.0)</f>
        <v>965</v>
      </c>
      <c r="R103" s="2">
        <f>IFERROR(__xludf.DUMMYFUNCTION("""COMPUTED_VALUE"""),5.0)</f>
        <v>5</v>
      </c>
      <c r="S103" s="2">
        <f>IFERROR(__xludf.DUMMYFUNCTION("""COMPUTED_VALUE"""),185.0)</f>
        <v>185</v>
      </c>
      <c r="T103" s="2">
        <f>IFERROR(__xludf.DUMMYFUNCTION("""COMPUTED_VALUE"""),135.0)</f>
        <v>135</v>
      </c>
      <c r="U103" s="2">
        <f>IFERROR(__xludf.DUMMYFUNCTION("""COMPUTED_VALUE"""),148.0)</f>
        <v>148</v>
      </c>
      <c r="V103" s="2">
        <f>IFERROR(__xludf.DUMMYFUNCTION("""COMPUTED_VALUE"""),152.0)</f>
        <v>152</v>
      </c>
      <c r="W103" s="2">
        <f>IFERROR(__xludf.DUMMYFUNCTION("""COMPUTED_VALUE"""),240.0)</f>
        <v>240</v>
      </c>
      <c r="X103" s="2">
        <f>IFERROR(__xludf.DUMMYFUNCTION("""COMPUTED_VALUE"""),130.0)</f>
        <v>130</v>
      </c>
      <c r="Y103" s="2">
        <f>IFERROR(__xludf.DUMMYFUNCTION("""COMPUTED_VALUE"""),242.0)</f>
        <v>242</v>
      </c>
      <c r="Z103" s="2"/>
      <c r="AA103" s="2"/>
      <c r="AB103" s="2">
        <f>IFERROR(__xludf.DUMMYFUNCTION("""COMPUTED_VALUE"""),3.0)</f>
        <v>3</v>
      </c>
      <c r="AC103" s="2"/>
      <c r="AD103" s="2"/>
    </row>
    <row r="104">
      <c r="A104" s="2" t="str">
        <f>IFERROR(__xludf.DUMMYFUNCTION("""COMPUTED_VALUE"""),"DC (NW Black)")</f>
        <v>DC (NW Black)</v>
      </c>
      <c r="B104" s="2" t="str">
        <f>IFERROR(__xludf.DUMMYFUNCTION("""COMPUTED_VALUE"""),"CRM_NW_BLACK_DC_PACK OF 2")</f>
        <v>CRM_NW_BLACK_DC_PACK OF 2</v>
      </c>
      <c r="C104" s="26">
        <f>IFERROR(__xludf.DUMMYFUNCTION("""COMPUTED_VALUE"""),4.0)</f>
        <v>4</v>
      </c>
      <c r="F104" s="26"/>
      <c r="G104" s="26" t="str">
        <f t="shared" si="2"/>
        <v>#N/A</v>
      </c>
      <c r="H104" s="26" t="str">
        <f t="shared" si="3"/>
        <v>#N/A</v>
      </c>
      <c r="K104" s="2" t="str">
        <f>IFERROR(__xludf.DUMMYFUNCTION("""COMPUTED_VALUE"""),"APR- Tan")</f>
        <v>APR- Tan</v>
      </c>
      <c r="L104" s="2"/>
      <c r="M104" s="2" t="str">
        <f>IFERROR(__xludf.DUMMYFUNCTION("""COMPUTED_VALUE"""),"Apron")</f>
        <v>Apron</v>
      </c>
      <c r="N104" s="2" t="str">
        <f>IFERROR(__xludf.DUMMYFUNCTION("""COMPUTED_VALUE"""),"AG")</f>
        <v>AG</v>
      </c>
      <c r="O104" s="2">
        <f>IFERROR(__xludf.DUMMYFUNCTION("""COMPUTED_VALUE"""),367.0)</f>
        <v>367</v>
      </c>
      <c r="P104" s="2">
        <f>IFERROR(__xludf.DUMMYFUNCTION("""COMPUTED_VALUE"""),1814.0)</f>
        <v>1814</v>
      </c>
      <c r="Q104" s="2">
        <f>IFERROR(__xludf.DUMMYFUNCTION("""COMPUTED_VALUE"""),1447.0)</f>
        <v>1447</v>
      </c>
      <c r="R104" s="2">
        <f>IFERROR(__xludf.DUMMYFUNCTION("""COMPUTED_VALUE"""),5.0)</f>
        <v>5</v>
      </c>
      <c r="S104" s="2">
        <f>IFERROR(__xludf.DUMMYFUNCTION("""COMPUTED_VALUE"""),610.0)</f>
        <v>610</v>
      </c>
      <c r="T104" s="2">
        <f>IFERROR(__xludf.DUMMYFUNCTION("""COMPUTED_VALUE"""),456.0)</f>
        <v>456</v>
      </c>
      <c r="U104" s="2">
        <f>IFERROR(__xludf.DUMMYFUNCTION("""COMPUTED_VALUE"""),314.0)</f>
        <v>314</v>
      </c>
      <c r="V104" s="2">
        <f>IFERROR(__xludf.DUMMYFUNCTION("""COMPUTED_VALUE"""),600.0)</f>
        <v>600</v>
      </c>
      <c r="W104" s="2">
        <f>IFERROR(__xludf.DUMMYFUNCTION("""COMPUTED_VALUE"""),1043.0)</f>
        <v>1043</v>
      </c>
      <c r="X104" s="2">
        <f>IFERROR(__xludf.DUMMYFUNCTION("""COMPUTED_VALUE"""),1219.0)</f>
        <v>1219</v>
      </c>
      <c r="Y104" s="2">
        <f>IFERROR(__xludf.DUMMYFUNCTION("""COMPUTED_VALUE"""),106.0)</f>
        <v>106</v>
      </c>
      <c r="Z104" s="2"/>
      <c r="AA104" s="2"/>
      <c r="AB104" s="2">
        <f>IFERROR(__xludf.DUMMYFUNCTION("""COMPUTED_VALUE"""),3.0)</f>
        <v>3</v>
      </c>
      <c r="AC104" s="2"/>
      <c r="AD104" s="2"/>
    </row>
    <row r="105">
      <c r="A105" s="2" t="str">
        <f>IFERROR(__xludf.DUMMYFUNCTION("""COMPUTED_VALUE"""),"DC (NW Black)")</f>
        <v>DC (NW Black)</v>
      </c>
      <c r="B105" s="2" t="str">
        <f>IFERROR(__xludf.DUMMYFUNCTION("""COMPUTED_VALUE"""),"CRM_NW_BLACK_DC_PACK OF 2")</f>
        <v>CRM_NW_BLACK_DC_PACK OF 2</v>
      </c>
      <c r="C105" s="26">
        <f>IFERROR(__xludf.DUMMYFUNCTION("""COMPUTED_VALUE"""),4.0)</f>
        <v>4</v>
      </c>
      <c r="F105" s="26"/>
      <c r="G105" s="26" t="str">
        <f t="shared" si="2"/>
        <v>#N/A</v>
      </c>
      <c r="H105" s="26" t="str">
        <f t="shared" si="3"/>
        <v>#N/A</v>
      </c>
      <c r="K105" s="2" t="str">
        <f>IFERROR(__xludf.DUMMYFUNCTION("""COMPUTED_VALUE"""),"APR- Black")</f>
        <v>APR- Black</v>
      </c>
      <c r="L105" s="2"/>
      <c r="M105" s="2" t="str">
        <f>IFERROR(__xludf.DUMMYFUNCTION("""COMPUTED_VALUE"""),"Apron")</f>
        <v>Apron</v>
      </c>
      <c r="N105" s="2" t="str">
        <f>IFERROR(__xludf.DUMMYFUNCTION("""COMPUTED_VALUE"""),"AG")</f>
        <v>AG</v>
      </c>
      <c r="O105" s="2">
        <f>IFERROR(__xludf.DUMMYFUNCTION("""COMPUTED_VALUE"""),-685.0)</f>
        <v>-685</v>
      </c>
      <c r="P105" s="2">
        <f>IFERROR(__xludf.DUMMYFUNCTION("""COMPUTED_VALUE"""),1964.0)</f>
        <v>1964</v>
      </c>
      <c r="Q105" s="2">
        <f>IFERROR(__xludf.DUMMYFUNCTION("""COMPUTED_VALUE"""),2649.0)</f>
        <v>2649</v>
      </c>
      <c r="R105" s="2">
        <f>IFERROR(__xludf.DUMMYFUNCTION("""COMPUTED_VALUE"""),5.0)</f>
        <v>5</v>
      </c>
      <c r="S105" s="2">
        <f>IFERROR(__xludf.DUMMYFUNCTION("""COMPUTED_VALUE"""),548.0)</f>
        <v>548</v>
      </c>
      <c r="T105" s="2">
        <f>IFERROR(__xludf.DUMMYFUNCTION("""COMPUTED_VALUE"""),553.0)</f>
        <v>553</v>
      </c>
      <c r="U105" s="2">
        <f>IFERROR(__xludf.DUMMYFUNCTION("""COMPUTED_VALUE"""),601.0)</f>
        <v>601</v>
      </c>
      <c r="V105" s="2">
        <f>IFERROR(__xludf.DUMMYFUNCTION("""COMPUTED_VALUE"""),794.0)</f>
        <v>794</v>
      </c>
      <c r="W105" s="2">
        <f>IFERROR(__xludf.DUMMYFUNCTION("""COMPUTED_VALUE"""),777.0)</f>
        <v>777</v>
      </c>
      <c r="X105" s="2">
        <f>IFERROR(__xludf.DUMMYFUNCTION("""COMPUTED_VALUE"""),340.0)</f>
        <v>340</v>
      </c>
      <c r="Y105" s="2">
        <f>IFERROR(__xludf.DUMMYFUNCTION("""COMPUTED_VALUE"""),1065.0)</f>
        <v>1065</v>
      </c>
      <c r="Z105" s="2"/>
      <c r="AA105" s="2"/>
      <c r="AB105" s="2">
        <f>IFERROR(__xludf.DUMMYFUNCTION("""COMPUTED_VALUE"""),3.0)</f>
        <v>3</v>
      </c>
      <c r="AC105" s="2"/>
      <c r="AD105" s="2"/>
    </row>
    <row r="106">
      <c r="A106" s="2" t="str">
        <f>IFERROR(__xludf.DUMMYFUNCTION("""COMPUTED_VALUE"""),"DC (NW Black)")</f>
        <v>DC (NW Black)</v>
      </c>
      <c r="B106" s="2" t="str">
        <f>IFERROR(__xludf.DUMMYFUNCTION("""COMPUTED_VALUE"""),"CRM_NW_BLACK_DC_PACK OF 2")</f>
        <v>CRM_NW_BLACK_DC_PACK OF 2</v>
      </c>
      <c r="C106" s="26">
        <f>IFERROR(__xludf.DUMMYFUNCTION("""COMPUTED_VALUE"""),8.0)</f>
        <v>8</v>
      </c>
      <c r="F106" s="26"/>
      <c r="G106" s="26" t="str">
        <f t="shared" si="2"/>
        <v>#N/A</v>
      </c>
      <c r="H106" s="26" t="str">
        <f t="shared" si="3"/>
        <v>#N/A</v>
      </c>
      <c r="K106" s="2" t="str">
        <f>IFERROR(__xludf.DUMMYFUNCTION("""COMPUTED_VALUE"""),"APR- Red")</f>
        <v>APR- Red</v>
      </c>
      <c r="L106" s="2"/>
      <c r="M106" s="2" t="str">
        <f>IFERROR(__xludf.DUMMYFUNCTION("""COMPUTED_VALUE"""),"Apron")</f>
        <v>Apron</v>
      </c>
      <c r="N106" s="2" t="str">
        <f>IFERROR(__xludf.DUMMYFUNCTION("""COMPUTED_VALUE"""),"AG")</f>
        <v>AG</v>
      </c>
      <c r="O106" s="2">
        <f>IFERROR(__xludf.DUMMYFUNCTION("""COMPUTED_VALUE"""),-504.0)</f>
        <v>-504</v>
      </c>
      <c r="P106" s="2">
        <f>IFERROR(__xludf.DUMMYFUNCTION("""COMPUTED_VALUE"""),388.0)</f>
        <v>388</v>
      </c>
      <c r="Q106" s="2">
        <f>IFERROR(__xludf.DUMMYFUNCTION("""COMPUTED_VALUE"""),892.0)</f>
        <v>892</v>
      </c>
      <c r="R106" s="2">
        <f>IFERROR(__xludf.DUMMYFUNCTION("""COMPUTED_VALUE"""),5.0)</f>
        <v>5</v>
      </c>
      <c r="S106" s="2">
        <f>IFERROR(__xludf.DUMMYFUNCTION("""COMPUTED_VALUE"""),88.0)</f>
        <v>88</v>
      </c>
      <c r="T106" s="2">
        <f>IFERROR(__xludf.DUMMYFUNCTION("""COMPUTED_VALUE"""),107.0)</f>
        <v>107</v>
      </c>
      <c r="U106" s="2">
        <f>IFERROR(__xludf.DUMMYFUNCTION("""COMPUTED_VALUE"""),111.0)</f>
        <v>111</v>
      </c>
      <c r="V106" s="2">
        <f>IFERROR(__xludf.DUMMYFUNCTION("""COMPUTED_VALUE"""),154.0)</f>
        <v>154</v>
      </c>
      <c r="W106" s="2">
        <f>IFERROR(__xludf.DUMMYFUNCTION("""COMPUTED_VALUE"""),186.0)</f>
        <v>186</v>
      </c>
      <c r="X106" s="2">
        <f>IFERROR(__xludf.DUMMYFUNCTION("""COMPUTED_VALUE"""),93.0)</f>
        <v>93</v>
      </c>
      <c r="Y106" s="2">
        <f>IFERROR(__xludf.DUMMYFUNCTION("""COMPUTED_VALUE"""),59.0)</f>
        <v>59</v>
      </c>
      <c r="Z106" s="2"/>
      <c r="AA106" s="2"/>
      <c r="AB106" s="2">
        <f>IFERROR(__xludf.DUMMYFUNCTION("""COMPUTED_VALUE"""),3.0)</f>
        <v>3</v>
      </c>
      <c r="AC106" s="2"/>
      <c r="AD106" s="2"/>
    </row>
    <row r="107">
      <c r="A107" s="2" t="str">
        <f>IFERROR(__xludf.DUMMYFUNCTION("""COMPUTED_VALUE"""),"DC (NW Black)")</f>
        <v>DC (NW Black)</v>
      </c>
      <c r="B107" s="2" t="str">
        <f>IFERROR(__xludf.DUMMYFUNCTION("""COMPUTED_VALUE"""),"CRM_NW_BLACK_DC_PACK OF 2")</f>
        <v>CRM_NW_BLACK_DC_PACK OF 2</v>
      </c>
      <c r="C107" s="26">
        <f>IFERROR(__xludf.DUMMYFUNCTION("""COMPUTED_VALUE"""),0.0)</f>
        <v>0</v>
      </c>
      <c r="F107" s="26"/>
      <c r="G107" s="26" t="str">
        <f t="shared" si="2"/>
        <v>#N/A</v>
      </c>
      <c r="H107" s="26" t="str">
        <f t="shared" si="3"/>
        <v>#N/A</v>
      </c>
      <c r="K107" s="2" t="str">
        <f>IFERROR(__xludf.DUMMYFUNCTION("""COMPUTED_VALUE"""),"APR- Grey")</f>
        <v>APR- Grey</v>
      </c>
      <c r="L107" s="2"/>
      <c r="M107" s="2" t="str">
        <f>IFERROR(__xludf.DUMMYFUNCTION("""COMPUTED_VALUE"""),"Apron")</f>
        <v>Apron</v>
      </c>
      <c r="N107" s="2" t="str">
        <f>IFERROR(__xludf.DUMMYFUNCTION("""COMPUTED_VALUE"""),"AG")</f>
        <v>AG</v>
      </c>
      <c r="O107" s="2">
        <f>IFERROR(__xludf.DUMMYFUNCTION("""COMPUTED_VALUE"""),74.0)</f>
        <v>74</v>
      </c>
      <c r="P107" s="2">
        <f>IFERROR(__xludf.DUMMYFUNCTION("""COMPUTED_VALUE"""),656.0)</f>
        <v>656</v>
      </c>
      <c r="Q107" s="2">
        <f>IFERROR(__xludf.DUMMYFUNCTION("""COMPUTED_VALUE"""),582.0)</f>
        <v>582</v>
      </c>
      <c r="R107" s="2">
        <f>IFERROR(__xludf.DUMMYFUNCTION("""COMPUTED_VALUE"""),5.0)</f>
        <v>5</v>
      </c>
      <c r="S107" s="2">
        <f>IFERROR(__xludf.DUMMYFUNCTION("""COMPUTED_VALUE"""),222.0)</f>
        <v>222</v>
      </c>
      <c r="T107" s="2">
        <f>IFERROR(__xludf.DUMMYFUNCTION("""COMPUTED_VALUE"""),207.0)</f>
        <v>207</v>
      </c>
      <c r="U107" s="2">
        <f>IFERROR(__xludf.DUMMYFUNCTION("""COMPUTED_VALUE"""),165.0)</f>
        <v>165</v>
      </c>
      <c r="V107" s="2">
        <f>IFERROR(__xludf.DUMMYFUNCTION("""COMPUTED_VALUE"""),172.0)</f>
        <v>172</v>
      </c>
      <c r="W107" s="2">
        <f>IFERROR(__xludf.DUMMYFUNCTION("""COMPUTED_VALUE"""),327.0)</f>
        <v>327</v>
      </c>
      <c r="X107" s="2">
        <f>IFERROR(__xludf.DUMMYFUNCTION("""COMPUTED_VALUE"""),149.0)</f>
        <v>149</v>
      </c>
      <c r="Y107" s="2">
        <f>IFERROR(__xludf.DUMMYFUNCTION("""COMPUTED_VALUE"""),363.0)</f>
        <v>363</v>
      </c>
      <c r="Z107" s="2"/>
      <c r="AA107" s="2"/>
      <c r="AB107" s="2">
        <f>IFERROR(__xludf.DUMMYFUNCTION("""COMPUTED_VALUE"""),3.0)</f>
        <v>3</v>
      </c>
      <c r="AC107" s="2"/>
      <c r="AD107" s="2"/>
    </row>
    <row r="108">
      <c r="A108" s="2" t="str">
        <f>IFERROR(__xludf.DUMMYFUNCTION("""COMPUTED_VALUE"""),"DC (NW Black)")</f>
        <v>DC (NW Black)</v>
      </c>
      <c r="B108" s="2" t="str">
        <f>IFERROR(__xludf.DUMMYFUNCTION("""COMPUTED_VALUE"""),"CRM_NW_BLACK_DC_PACK OF 2")</f>
        <v>CRM_NW_BLACK_DC_PACK OF 2</v>
      </c>
      <c r="C108" s="26">
        <f>IFERROR(__xludf.DUMMYFUNCTION("""COMPUTED_VALUE"""),0.0)</f>
        <v>0</v>
      </c>
      <c r="F108" s="26"/>
      <c r="G108" s="26" t="str">
        <f t="shared" si="2"/>
        <v>#N/A</v>
      </c>
      <c r="H108" s="26" t="str">
        <f t="shared" si="3"/>
        <v>#N/A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 t="str">
        <f>IFERROR(__xludf.DUMMYFUNCTION("""COMPUTED_VALUE"""),"DC (NW Grey)")</f>
        <v>DC (NW Grey)</v>
      </c>
      <c r="B109" s="2" t="str">
        <f>IFERROR(__xludf.DUMMYFUNCTION("""COMPUTED_VALUE"""),"CRM_NW_GREY_DC_PACK OF 2")</f>
        <v>CRM_NW_GREY_DC_PACK OF 2</v>
      </c>
      <c r="C109" s="26">
        <f>IFERROR(__xludf.DUMMYFUNCTION("""COMPUTED_VALUE"""),0.0)</f>
        <v>0</v>
      </c>
      <c r="F109" s="26"/>
      <c r="G109" s="26" t="str">
        <f t="shared" si="2"/>
        <v>#N/A</v>
      </c>
      <c r="H109" s="26" t="str">
        <f t="shared" si="3"/>
        <v>#N/A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 t="str">
        <f>IFERROR(__xludf.DUMMYFUNCTION("""COMPUTED_VALUE"""),"DC (NW Grey)")</f>
        <v>DC (NW Grey)</v>
      </c>
      <c r="B110" s="2" t="str">
        <f>IFERROR(__xludf.DUMMYFUNCTION("""COMPUTED_VALUE"""),"CRM_NW_GREY_DC_PACK OF 2")</f>
        <v>CRM_NW_GREY_DC_PACK OF 2</v>
      </c>
      <c r="C110" s="26">
        <f>IFERROR(__xludf.DUMMYFUNCTION("""COMPUTED_VALUE"""),0.0)</f>
        <v>0</v>
      </c>
      <c r="F110" s="26"/>
      <c r="G110" s="26" t="str">
        <f t="shared" si="2"/>
        <v>#N/A</v>
      </c>
      <c r="H110" s="26" t="str">
        <f t="shared" si="3"/>
        <v>#N/A</v>
      </c>
      <c r="K110" s="2" t="str">
        <f>IFERROR(__xludf.DUMMYFUNCTION("""COMPUTED_VALUE"""),"PS 5 (Black)")</f>
        <v>PS 5 (Black)</v>
      </c>
      <c r="L110" s="2"/>
      <c r="M110" s="2" t="str">
        <f>IFERROR(__xludf.DUMMYFUNCTION("""COMPUTED_VALUE"""),"PS5")</f>
        <v>PS5</v>
      </c>
      <c r="N110" s="2" t="str">
        <f>IFERROR(__xludf.DUMMYFUNCTION("""COMPUTED_VALUE"""),"AG")</f>
        <v>AG</v>
      </c>
      <c r="O110" s="2">
        <f>IFERROR(__xludf.DUMMYFUNCTION("""COMPUTED_VALUE"""),13.0)</f>
        <v>13</v>
      </c>
      <c r="P110" s="2">
        <f>IFERROR(__xludf.DUMMYFUNCTION("""COMPUTED_VALUE"""),14.0)</f>
        <v>14</v>
      </c>
      <c r="Q110" s="2">
        <f>IFERROR(__xludf.DUMMYFUNCTION("""COMPUTED_VALUE"""),1.0)</f>
        <v>1</v>
      </c>
      <c r="R110" s="2">
        <f>IFERROR(__xludf.DUMMYFUNCTION("""COMPUTED_VALUE"""),5.0)</f>
        <v>5</v>
      </c>
      <c r="S110" s="2">
        <f>IFERROR(__xludf.DUMMYFUNCTION("""COMPUTED_VALUE"""),24.0)</f>
        <v>24</v>
      </c>
      <c r="T110" s="2">
        <f>IFERROR(__xludf.DUMMYFUNCTION("""COMPUTED_VALUE"""),18.0)</f>
        <v>18</v>
      </c>
      <c r="U110" s="2">
        <f>IFERROR(__xludf.DUMMYFUNCTION("""COMPUTED_VALUE"""),0.0)</f>
        <v>0</v>
      </c>
      <c r="V110" s="2">
        <f>IFERROR(__xludf.DUMMYFUNCTION("""COMPUTED_VALUE"""),4.0)</f>
        <v>4</v>
      </c>
      <c r="W110" s="2">
        <f>IFERROR(__xludf.DUMMYFUNCTION("""COMPUTED_VALUE"""),0.0)</f>
        <v>0</v>
      </c>
      <c r="X110" s="2">
        <f>IFERROR(__xludf.DUMMYFUNCTION("""COMPUTED_VALUE"""),0.0)</f>
        <v>0</v>
      </c>
      <c r="Y110" s="2">
        <f>IFERROR(__xludf.DUMMYFUNCTION("""COMPUTED_VALUE"""),1.0)</f>
        <v>1</v>
      </c>
      <c r="Z110" s="2" t="str">
        <f>IFERROR(__xludf.DUMMYFUNCTION("""COMPUTED_VALUE"""),"Discontinued")</f>
        <v>Discontinued</v>
      </c>
      <c r="AA110" s="2"/>
      <c r="AB110" s="2">
        <f>IFERROR(__xludf.DUMMYFUNCTION("""COMPUTED_VALUE"""),1.5)</f>
        <v>1.5</v>
      </c>
      <c r="AC110" s="2"/>
      <c r="AD110" s="2"/>
    </row>
    <row r="111">
      <c r="A111" s="2" t="str">
        <f>IFERROR(__xludf.DUMMYFUNCTION("""COMPUTED_VALUE"""),"DC (NW Grey)")</f>
        <v>DC (NW Grey)</v>
      </c>
      <c r="B111" s="2" t="str">
        <f>IFERROR(__xludf.DUMMYFUNCTION("""COMPUTED_VALUE"""),"CRM_NW_GREY_DC_PACK OF 2")</f>
        <v>CRM_NW_GREY_DC_PACK OF 2</v>
      </c>
      <c r="C111" s="26">
        <f>IFERROR(__xludf.DUMMYFUNCTION("""COMPUTED_VALUE"""),0.0)</f>
        <v>0</v>
      </c>
      <c r="F111" s="26"/>
      <c r="G111" s="26" t="str">
        <f t="shared" si="2"/>
        <v>#N/A</v>
      </c>
      <c r="H111" s="26" t="str">
        <f t="shared" si="3"/>
        <v>#N/A</v>
      </c>
      <c r="K111" s="2" t="str">
        <f>IFERROR(__xludf.DUMMYFUNCTION("""COMPUTED_VALUE"""),"PS 5 (Grey)")</f>
        <v>PS 5 (Grey)</v>
      </c>
      <c r="L111" s="2"/>
      <c r="M111" s="2" t="str">
        <f>IFERROR(__xludf.DUMMYFUNCTION("""COMPUTED_VALUE"""),"PS5")</f>
        <v>PS5</v>
      </c>
      <c r="N111" s="2" t="str">
        <f>IFERROR(__xludf.DUMMYFUNCTION("""COMPUTED_VALUE"""),"AG")</f>
        <v>AG</v>
      </c>
      <c r="O111" s="2">
        <f>IFERROR(__xludf.DUMMYFUNCTION("""COMPUTED_VALUE"""),6.0)</f>
        <v>6</v>
      </c>
      <c r="P111" s="2">
        <f>IFERROR(__xludf.DUMMYFUNCTION("""COMPUTED_VALUE"""),7.0)</f>
        <v>7</v>
      </c>
      <c r="Q111" s="2">
        <f>IFERROR(__xludf.DUMMYFUNCTION("""COMPUTED_VALUE"""),1.0)</f>
        <v>1</v>
      </c>
      <c r="R111" s="2">
        <f>IFERROR(__xludf.DUMMYFUNCTION("""COMPUTED_VALUE"""),5.0)</f>
        <v>5</v>
      </c>
      <c r="S111" s="2">
        <f>IFERROR(__xludf.DUMMYFUNCTION("""COMPUTED_VALUE"""),12.0)</f>
        <v>12</v>
      </c>
      <c r="T111" s="2">
        <f>IFERROR(__xludf.DUMMYFUNCTION("""COMPUTED_VALUE"""),10.0)</f>
        <v>10</v>
      </c>
      <c r="U111" s="2">
        <f>IFERROR(__xludf.DUMMYFUNCTION("""COMPUTED_VALUE"""),0.0)</f>
        <v>0</v>
      </c>
      <c r="V111" s="2">
        <f>IFERROR(__xludf.DUMMYFUNCTION("""COMPUTED_VALUE"""),0.0)</f>
        <v>0</v>
      </c>
      <c r="W111" s="2">
        <f>IFERROR(__xludf.DUMMYFUNCTION("""COMPUTED_VALUE"""),0.0)</f>
        <v>0</v>
      </c>
      <c r="X111" s="2">
        <f>IFERROR(__xludf.DUMMYFUNCTION("""COMPUTED_VALUE"""),0.0)</f>
        <v>0</v>
      </c>
      <c r="Y111" s="2">
        <f>IFERROR(__xludf.DUMMYFUNCTION("""COMPUTED_VALUE"""),1.0)</f>
        <v>1</v>
      </c>
      <c r="Z111" s="2" t="str">
        <f>IFERROR(__xludf.DUMMYFUNCTION("""COMPUTED_VALUE"""),"Discontinued")</f>
        <v>Discontinued</v>
      </c>
      <c r="AA111" s="2"/>
      <c r="AB111" s="2">
        <f>IFERROR(__xludf.DUMMYFUNCTION("""COMPUTED_VALUE"""),1.5)</f>
        <v>1.5</v>
      </c>
      <c r="AC111" s="2"/>
      <c r="AD111" s="2"/>
    </row>
    <row r="112">
      <c r="A112" s="2" t="str">
        <f>IFERROR(__xludf.DUMMYFUNCTION("""COMPUTED_VALUE"""),"DC (NW Grey)")</f>
        <v>DC (NW Grey)</v>
      </c>
      <c r="B112" s="2" t="str">
        <f>IFERROR(__xludf.DUMMYFUNCTION("""COMPUTED_VALUE"""),"CRM_NW_GREY_DC_PACK OF 2")</f>
        <v>CRM_NW_GREY_DC_PACK OF 2</v>
      </c>
      <c r="C112" s="26">
        <f>IFERROR(__xludf.DUMMYFUNCTION("""COMPUTED_VALUE"""),0.0)</f>
        <v>0</v>
      </c>
      <c r="F112" s="26"/>
      <c r="G112" s="26" t="str">
        <f t="shared" si="2"/>
        <v>#N/A</v>
      </c>
      <c r="H112" s="26" t="str">
        <f t="shared" si="3"/>
        <v>#N/A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 t="str">
        <f>IFERROR(__xludf.DUMMYFUNCTION("""COMPUTED_VALUE"""),"DC (NW Grey)")</f>
        <v>DC (NW Grey)</v>
      </c>
      <c r="B113" s="2" t="str">
        <f>IFERROR(__xludf.DUMMYFUNCTION("""COMPUTED_VALUE"""),"CRM_NW_GREY_DC_PACK OF 2")</f>
        <v>CRM_NW_GREY_DC_PACK OF 2</v>
      </c>
      <c r="C113" s="26">
        <f>IFERROR(__xludf.DUMMYFUNCTION("""COMPUTED_VALUE"""),4.0)</f>
        <v>4</v>
      </c>
      <c r="F113" s="26"/>
      <c r="G113" s="26" t="str">
        <f t="shared" si="2"/>
        <v>#N/A</v>
      </c>
      <c r="H113" s="26" t="str">
        <f t="shared" si="3"/>
        <v>#N/A</v>
      </c>
      <c r="K113" s="2" t="str">
        <f>IFERROR(__xludf.DUMMYFUNCTION("""COMPUTED_VALUE"""),"X-BOX (Black)")</f>
        <v>X-BOX (Black)</v>
      </c>
      <c r="L113" s="2"/>
      <c r="M113" s="2" t="str">
        <f>IFERROR(__xludf.DUMMYFUNCTION("""COMPUTED_VALUE"""),"X-BOX")</f>
        <v>X-BOX</v>
      </c>
      <c r="N113" s="2" t="str">
        <f>IFERROR(__xludf.DUMMYFUNCTION("""COMPUTED_VALUE"""),"AG")</f>
        <v>AG</v>
      </c>
      <c r="O113" s="2">
        <f>IFERROR(__xludf.DUMMYFUNCTION("""COMPUTED_VALUE"""),-2.0)</f>
        <v>-2</v>
      </c>
      <c r="P113" s="2">
        <f>IFERROR(__xludf.DUMMYFUNCTION("""COMPUTED_VALUE"""),0.0)</f>
        <v>0</v>
      </c>
      <c r="Q113" s="2">
        <f>IFERROR(__xludf.DUMMYFUNCTION("""COMPUTED_VALUE"""),2.0)</f>
        <v>2</v>
      </c>
      <c r="R113" s="2">
        <f>IFERROR(__xludf.DUMMYFUNCTION("""COMPUTED_VALUE"""),5.0)</f>
        <v>5</v>
      </c>
      <c r="S113" s="2">
        <f>IFERROR(__xludf.DUMMYFUNCTION("""COMPUTED_VALUE"""),0.0)</f>
        <v>0</v>
      </c>
      <c r="T113" s="2">
        <f>IFERROR(__xludf.DUMMYFUNCTION("""COMPUTED_VALUE"""),0.0)</f>
        <v>0</v>
      </c>
      <c r="U113" s="2">
        <f>IFERROR(__xludf.DUMMYFUNCTION("""COMPUTED_VALUE"""),0.0)</f>
        <v>0</v>
      </c>
      <c r="V113" s="2">
        <f>IFERROR(__xludf.DUMMYFUNCTION("""COMPUTED_VALUE"""),0.0)</f>
        <v>0</v>
      </c>
      <c r="W113" s="2">
        <f>IFERROR(__xludf.DUMMYFUNCTION("""COMPUTED_VALUE"""),0.0)</f>
        <v>0</v>
      </c>
      <c r="X113" s="2">
        <f>IFERROR(__xludf.DUMMYFUNCTION("""COMPUTED_VALUE"""),0.0)</f>
        <v>0</v>
      </c>
      <c r="Y113" s="2">
        <f>IFERROR(__xludf.DUMMYFUNCTION("""COMPUTED_VALUE"""),2.0)</f>
        <v>2</v>
      </c>
      <c r="Z113" s="2" t="str">
        <f>IFERROR(__xludf.DUMMYFUNCTION("""COMPUTED_VALUE"""),"Discontinued")</f>
        <v>Discontinued</v>
      </c>
      <c r="AA113" s="2"/>
      <c r="AB113" s="2">
        <f>IFERROR(__xludf.DUMMYFUNCTION("""COMPUTED_VALUE"""),1.25)</f>
        <v>1.25</v>
      </c>
      <c r="AC113" s="2"/>
      <c r="AD113" s="2"/>
    </row>
    <row r="114">
      <c r="A114" s="2" t="str">
        <f>IFERROR(__xludf.DUMMYFUNCTION("""COMPUTED_VALUE"""),"DC (NW Grey)")</f>
        <v>DC (NW Grey)</v>
      </c>
      <c r="B114" s="2" t="str">
        <f>IFERROR(__xludf.DUMMYFUNCTION("""COMPUTED_VALUE"""),"CRM_NW_GREY_DC_PACK OF 2")</f>
        <v>CRM_NW_GREY_DC_PACK OF 2</v>
      </c>
      <c r="C114" s="26">
        <f>IFERROR(__xludf.DUMMYFUNCTION("""COMPUTED_VALUE"""),0.0)</f>
        <v>0</v>
      </c>
      <c r="F114" s="26"/>
      <c r="G114" s="26" t="str">
        <f t="shared" si="2"/>
        <v>#N/A</v>
      </c>
      <c r="H114" s="26" t="str">
        <f t="shared" si="3"/>
        <v>#N/A</v>
      </c>
      <c r="K114" s="2" t="str">
        <f>IFERROR(__xludf.DUMMYFUNCTION("""COMPUTED_VALUE"""),"X-BOX (Grey)")</f>
        <v>X-BOX (Grey)</v>
      </c>
      <c r="L114" s="2"/>
      <c r="M114" s="2" t="str">
        <f>IFERROR(__xludf.DUMMYFUNCTION("""COMPUTED_VALUE"""),"X-BOX")</f>
        <v>X-BOX</v>
      </c>
      <c r="N114" s="2" t="str">
        <f>IFERROR(__xludf.DUMMYFUNCTION("""COMPUTED_VALUE"""),"AG")</f>
        <v>AG</v>
      </c>
      <c r="O114" s="2">
        <f>IFERROR(__xludf.DUMMYFUNCTION("""COMPUTED_VALUE"""),-7.0)</f>
        <v>-7</v>
      </c>
      <c r="P114" s="2">
        <f>IFERROR(__xludf.DUMMYFUNCTION("""COMPUTED_VALUE"""),2.0)</f>
        <v>2</v>
      </c>
      <c r="Q114" s="2">
        <f>IFERROR(__xludf.DUMMYFUNCTION("""COMPUTED_VALUE"""),9.0)</f>
        <v>9</v>
      </c>
      <c r="R114" s="2">
        <f>IFERROR(__xludf.DUMMYFUNCTION("""COMPUTED_VALUE"""),5.0)</f>
        <v>5</v>
      </c>
      <c r="S114" s="2">
        <f>IFERROR(__xludf.DUMMYFUNCTION("""COMPUTED_VALUE"""),2.0)</f>
        <v>2</v>
      </c>
      <c r="T114" s="2">
        <f>IFERROR(__xludf.DUMMYFUNCTION("""COMPUTED_VALUE"""),1.0)</f>
        <v>1</v>
      </c>
      <c r="U114" s="2">
        <f>IFERROR(__xludf.DUMMYFUNCTION("""COMPUTED_VALUE"""),1.0)</f>
        <v>1</v>
      </c>
      <c r="V114" s="2">
        <f>IFERROR(__xludf.DUMMYFUNCTION("""COMPUTED_VALUE"""),1.0)</f>
        <v>1</v>
      </c>
      <c r="W114" s="2">
        <f>IFERROR(__xludf.DUMMYFUNCTION("""COMPUTED_VALUE"""),0.0)</f>
        <v>0</v>
      </c>
      <c r="X114" s="2">
        <f>IFERROR(__xludf.DUMMYFUNCTION("""COMPUTED_VALUE"""),1.0)</f>
        <v>1</v>
      </c>
      <c r="Y114" s="2">
        <f>IFERROR(__xludf.DUMMYFUNCTION("""COMPUTED_VALUE"""),10.0)</f>
        <v>10</v>
      </c>
      <c r="Z114" s="2" t="str">
        <f>IFERROR(__xludf.DUMMYFUNCTION("""COMPUTED_VALUE"""),"Discontinued")</f>
        <v>Discontinued</v>
      </c>
      <c r="AA114" s="2"/>
      <c r="AB114" s="2">
        <f>IFERROR(__xludf.DUMMYFUNCTION("""COMPUTED_VALUE"""),1.25)</f>
        <v>1.25</v>
      </c>
      <c r="AC114" s="2"/>
      <c r="AD114" s="2"/>
    </row>
    <row r="115">
      <c r="A115" s="2" t="str">
        <f>IFERROR(__xludf.DUMMYFUNCTION("""COMPUTED_VALUE"""),"DC (NW Grey)")</f>
        <v>DC (NW Grey)</v>
      </c>
      <c r="B115" s="2" t="str">
        <f>IFERROR(__xludf.DUMMYFUNCTION("""COMPUTED_VALUE"""),"CRM_NW_GREY_DC_PACK OF 2")</f>
        <v>CRM_NW_GREY_DC_PACK OF 2</v>
      </c>
      <c r="C115" s="26">
        <f>IFERROR(__xludf.DUMMYFUNCTION("""COMPUTED_VALUE"""),0.0)</f>
        <v>0</v>
      </c>
      <c r="F115" s="26"/>
      <c r="G115" s="26" t="str">
        <f t="shared" si="2"/>
        <v>#N/A</v>
      </c>
      <c r="H115" s="26" t="str">
        <f t="shared" si="3"/>
        <v>#N/A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 t="str">
        <f>IFERROR(__xludf.DUMMYFUNCTION("""COMPUTED_VALUE"""),"DC (NW Grey)")</f>
        <v>DC (NW Grey)</v>
      </c>
      <c r="B116" s="2" t="str">
        <f>IFERROR(__xludf.DUMMYFUNCTION("""COMPUTED_VALUE"""),"CRM_NW_GREY_DC_PACK OF 2")</f>
        <v>CRM_NW_GREY_DC_PACK OF 2</v>
      </c>
      <c r="C116" s="26">
        <f>IFERROR(__xludf.DUMMYFUNCTION("""COMPUTED_VALUE"""),0.0)</f>
        <v>0</v>
      </c>
      <c r="F116" s="26"/>
      <c r="G116" s="26" t="str">
        <f t="shared" si="2"/>
        <v>#N/A</v>
      </c>
      <c r="H116" s="26" t="str">
        <f t="shared" si="3"/>
        <v>#N/A</v>
      </c>
      <c r="K116" s="2" t="str">
        <f>IFERROR(__xludf.DUMMYFUNCTION("""COMPUTED_VALUE"""),"CTP1-BLACK")</f>
        <v>CTP1-BLACK</v>
      </c>
      <c r="L116" s="2"/>
      <c r="M116" s="2" t="str">
        <f>IFERROR(__xludf.DUMMYFUNCTION("""COMPUTED_VALUE"""),"Pouch")</f>
        <v>Pouch</v>
      </c>
      <c r="N116" s="2" t="str">
        <f>IFERROR(__xludf.DUMMYFUNCTION("""COMPUTED_VALUE"""),"AG")</f>
        <v>AG</v>
      </c>
      <c r="O116" s="2">
        <f>IFERROR(__xludf.DUMMYFUNCTION("""COMPUTED_VALUE"""),8.0)</f>
        <v>8</v>
      </c>
      <c r="P116" s="2">
        <f>IFERROR(__xludf.DUMMYFUNCTION("""COMPUTED_VALUE"""),17.0)</f>
        <v>17</v>
      </c>
      <c r="Q116" s="2">
        <f>IFERROR(__xludf.DUMMYFUNCTION("""COMPUTED_VALUE"""),9.0)</f>
        <v>9</v>
      </c>
      <c r="R116" s="2">
        <f>IFERROR(__xludf.DUMMYFUNCTION("""COMPUTED_VALUE"""),5.0)</f>
        <v>5</v>
      </c>
      <c r="S116" s="2">
        <f>IFERROR(__xludf.DUMMYFUNCTION("""COMPUTED_VALUE"""),10.0)</f>
        <v>10</v>
      </c>
      <c r="T116" s="2">
        <f>IFERROR(__xludf.DUMMYFUNCTION("""COMPUTED_VALUE"""),7.0)</f>
        <v>7</v>
      </c>
      <c r="U116" s="2">
        <f>IFERROR(__xludf.DUMMYFUNCTION("""COMPUTED_VALUE"""),3.0)</f>
        <v>3</v>
      </c>
      <c r="V116" s="2">
        <f>IFERROR(__xludf.DUMMYFUNCTION("""COMPUTED_VALUE"""),18.0)</f>
        <v>18</v>
      </c>
      <c r="W116" s="2">
        <f>IFERROR(__xludf.DUMMYFUNCTION("""COMPUTED_VALUE"""),30.0)</f>
        <v>30</v>
      </c>
      <c r="X116" s="2">
        <f>IFERROR(__xludf.DUMMYFUNCTION("""COMPUTED_VALUE"""),0.0)</f>
        <v>0</v>
      </c>
      <c r="Y116" s="2">
        <f>IFERROR(__xludf.DUMMYFUNCTION("""COMPUTED_VALUE"""),2.0)</f>
        <v>2</v>
      </c>
      <c r="Z116" s="2"/>
      <c r="AA116" s="2"/>
      <c r="AB116" s="2">
        <f>IFERROR(__xludf.DUMMYFUNCTION("""COMPUTED_VALUE"""),1.25)</f>
        <v>1.25</v>
      </c>
      <c r="AC116" s="2"/>
      <c r="AD116" s="2"/>
    </row>
    <row r="117">
      <c r="A117" s="2" t="str">
        <f>IFERROR(__xludf.DUMMYFUNCTION("""COMPUTED_VALUE"""),"DC (NW Grey)")</f>
        <v>DC (NW Grey)</v>
      </c>
      <c r="B117" s="2" t="str">
        <f>IFERROR(__xludf.DUMMYFUNCTION("""COMPUTED_VALUE"""),"CRM_NW_GREY_DC_PACK OF 2")</f>
        <v>CRM_NW_GREY_DC_PACK OF 2</v>
      </c>
      <c r="C117" s="26">
        <f>IFERROR(__xludf.DUMMYFUNCTION("""COMPUTED_VALUE"""),0.0)</f>
        <v>0</v>
      </c>
      <c r="F117" s="26"/>
      <c r="G117" s="26" t="str">
        <f t="shared" si="2"/>
        <v>#N/A</v>
      </c>
      <c r="H117" s="26" t="str">
        <f t="shared" si="3"/>
        <v>#N/A</v>
      </c>
      <c r="K117" s="2" t="str">
        <f>IFERROR(__xludf.DUMMYFUNCTION("""COMPUTED_VALUE"""),"CTP1-GREY")</f>
        <v>CTP1-GREY</v>
      </c>
      <c r="L117" s="2"/>
      <c r="M117" s="2" t="str">
        <f>IFERROR(__xludf.DUMMYFUNCTION("""COMPUTED_VALUE"""),"Pouch")</f>
        <v>Pouch</v>
      </c>
      <c r="N117" s="2" t="str">
        <f>IFERROR(__xludf.DUMMYFUNCTION("""COMPUTED_VALUE"""),"AG")</f>
        <v>AG</v>
      </c>
      <c r="O117" s="2">
        <f>IFERROR(__xludf.DUMMYFUNCTION("""COMPUTED_VALUE"""),-23.0)</f>
        <v>-23</v>
      </c>
      <c r="P117" s="2">
        <f>IFERROR(__xludf.DUMMYFUNCTION("""COMPUTED_VALUE"""),5.0)</f>
        <v>5</v>
      </c>
      <c r="Q117" s="2">
        <f>IFERROR(__xludf.DUMMYFUNCTION("""COMPUTED_VALUE"""),28.0)</f>
        <v>28</v>
      </c>
      <c r="R117" s="2">
        <f>IFERROR(__xludf.DUMMYFUNCTION("""COMPUTED_VALUE"""),5.0)</f>
        <v>5</v>
      </c>
      <c r="S117" s="2">
        <f>IFERROR(__xludf.DUMMYFUNCTION("""COMPUTED_VALUE"""),4.0)</f>
        <v>4</v>
      </c>
      <c r="T117" s="2">
        <f>IFERROR(__xludf.DUMMYFUNCTION("""COMPUTED_VALUE"""),5.0)</f>
        <v>5</v>
      </c>
      <c r="U117" s="2">
        <f>IFERROR(__xludf.DUMMYFUNCTION("""COMPUTED_VALUE"""),2.0)</f>
        <v>2</v>
      </c>
      <c r="V117" s="2">
        <f>IFERROR(__xludf.DUMMYFUNCTION("""COMPUTED_VALUE"""),5.0)</f>
        <v>5</v>
      </c>
      <c r="W117" s="2">
        <f>IFERROR(__xludf.DUMMYFUNCTION("""COMPUTED_VALUE"""),2.0)</f>
        <v>2</v>
      </c>
      <c r="X117" s="2">
        <f>IFERROR(__xludf.DUMMYFUNCTION("""COMPUTED_VALUE"""),6.0)</f>
        <v>6</v>
      </c>
      <c r="Y117" s="2">
        <f>IFERROR(__xludf.DUMMYFUNCTION("""COMPUTED_VALUE"""),36.0)</f>
        <v>36</v>
      </c>
      <c r="Z117" s="2"/>
      <c r="AA117" s="2"/>
      <c r="AB117" s="2">
        <f>IFERROR(__xludf.DUMMYFUNCTION("""COMPUTED_VALUE"""),1.25)</f>
        <v>1.25</v>
      </c>
      <c r="AC117" s="2"/>
      <c r="AD117" s="2"/>
    </row>
    <row r="118">
      <c r="A118" s="2" t="str">
        <f>IFERROR(__xludf.DUMMYFUNCTION("""COMPUTED_VALUE"""),"DC-TS-NW-Black")</f>
        <v>DC-TS-NW-Black</v>
      </c>
      <c r="B118" s="2" t="str">
        <f>IFERROR(__xludf.DUMMYFUNCTION("""COMPUTED_VALUE"""),"CRM-DC-TS-NW-BLACK")</f>
        <v>CRM-DC-TS-NW-BLACK</v>
      </c>
      <c r="C118" s="26">
        <f>IFERROR(__xludf.DUMMYFUNCTION("""COMPUTED_VALUE"""),6.0)</f>
        <v>6</v>
      </c>
      <c r="F118" s="26"/>
      <c r="G118" s="26" t="str">
        <f t="shared" si="2"/>
        <v>#N/A</v>
      </c>
      <c r="H118" s="26" t="str">
        <f t="shared" si="3"/>
        <v>#N/A</v>
      </c>
      <c r="K118" s="2" t="str">
        <f>IFERROR(__xludf.DUMMYFUNCTION("""COMPUTED_VALUE"""),"PH 03 (BLACK)")</f>
        <v>PH 03 (BLACK)</v>
      </c>
      <c r="L118" s="2"/>
      <c r="M118" s="2" t="str">
        <f>IFERROR(__xludf.DUMMYFUNCTION("""COMPUTED_VALUE"""),"BAG")</f>
        <v>BAG</v>
      </c>
      <c r="N118" s="2" t="str">
        <f>IFERROR(__xludf.DUMMYFUNCTION("""COMPUTED_VALUE"""),"AG")</f>
        <v>AG</v>
      </c>
      <c r="O118" s="2">
        <f>IFERROR(__xludf.DUMMYFUNCTION("""COMPUTED_VALUE"""),0.0)</f>
        <v>0</v>
      </c>
      <c r="P118" s="2">
        <f>IFERROR(__xludf.DUMMYFUNCTION("""COMPUTED_VALUE"""),0.0)</f>
        <v>0</v>
      </c>
      <c r="Q118" s="2">
        <f>IFERROR(__xludf.DUMMYFUNCTION("""COMPUTED_VALUE"""),0.0)</f>
        <v>0</v>
      </c>
      <c r="R118" s="2">
        <f>IFERROR(__xludf.DUMMYFUNCTION("""COMPUTED_VALUE"""),5.0)</f>
        <v>5</v>
      </c>
      <c r="S118" s="2">
        <f>IFERROR(__xludf.DUMMYFUNCTION("""COMPUTED_VALUE"""),0.0)</f>
        <v>0</v>
      </c>
      <c r="T118" s="2">
        <f>IFERROR(__xludf.DUMMYFUNCTION("""COMPUTED_VALUE"""),0.0)</f>
        <v>0</v>
      </c>
      <c r="U118" s="2">
        <f>IFERROR(__xludf.DUMMYFUNCTION("""COMPUTED_VALUE"""),0.0)</f>
        <v>0</v>
      </c>
      <c r="V118" s="2">
        <f>IFERROR(__xludf.DUMMYFUNCTION("""COMPUTED_VALUE"""),0.0)</f>
        <v>0</v>
      </c>
      <c r="W118" s="2">
        <f>IFERROR(__xludf.DUMMYFUNCTION("""COMPUTED_VALUE"""),0.0)</f>
        <v>0</v>
      </c>
      <c r="X118" s="2">
        <f>IFERROR(__xludf.DUMMYFUNCTION("""COMPUTED_VALUE"""),0.0)</f>
        <v>0</v>
      </c>
      <c r="Y118" s="2">
        <f>IFERROR(__xludf.DUMMYFUNCTION("""COMPUTED_VALUE"""),0.0)</f>
        <v>0</v>
      </c>
      <c r="Z118" s="2" t="str">
        <f>IFERROR(__xludf.DUMMYFUNCTION("""COMPUTED_VALUE"""),"Discontinued")</f>
        <v>Discontinued</v>
      </c>
      <c r="AA118" s="2"/>
      <c r="AB118" s="2">
        <f>IFERROR(__xludf.DUMMYFUNCTION("""COMPUTED_VALUE"""),1.25)</f>
        <v>1.25</v>
      </c>
      <c r="AC118" s="2"/>
      <c r="AD118" s="2"/>
    </row>
    <row r="119">
      <c r="A119" s="2" t="str">
        <f>IFERROR(__xludf.DUMMYFUNCTION("""COMPUTED_VALUE"""),"DC-TS-NW-Grey")</f>
        <v>DC-TS-NW-Grey</v>
      </c>
      <c r="B119" s="2" t="str">
        <f>IFERROR(__xludf.DUMMYFUNCTION("""COMPUTED_VALUE"""),"CRM-DC-TS-NW-GREY")</f>
        <v>CRM-DC-TS-NW-GREY</v>
      </c>
      <c r="C119" s="26">
        <f>IFERROR(__xludf.DUMMYFUNCTION("""COMPUTED_VALUE"""),10.0)</f>
        <v>10</v>
      </c>
      <c r="F119" s="26"/>
      <c r="G119" s="26" t="str">
        <f t="shared" si="2"/>
        <v>#N/A</v>
      </c>
      <c r="H119" s="26" t="str">
        <f t="shared" si="3"/>
        <v>#N/A</v>
      </c>
      <c r="K119" s="2" t="str">
        <f>IFERROR(__xludf.DUMMYFUNCTION("""COMPUTED_VALUE"""),"PH1401")</f>
        <v>PH1401</v>
      </c>
      <c r="L119" s="2"/>
      <c r="M119" s="2" t="str">
        <f>IFERROR(__xludf.DUMMYFUNCTION("""COMPUTED_VALUE"""),"BAG")</f>
        <v>BAG</v>
      </c>
      <c r="N119" s="2" t="str">
        <f>IFERROR(__xludf.DUMMYFUNCTION("""COMPUTED_VALUE"""),"AG")</f>
        <v>AG</v>
      </c>
      <c r="O119" s="2">
        <f>IFERROR(__xludf.DUMMYFUNCTION("""COMPUTED_VALUE"""),-4.0)</f>
        <v>-4</v>
      </c>
      <c r="P119" s="2">
        <f>IFERROR(__xludf.DUMMYFUNCTION("""COMPUTED_VALUE"""),0.0)</f>
        <v>0</v>
      </c>
      <c r="Q119" s="2">
        <f>IFERROR(__xludf.DUMMYFUNCTION("""COMPUTED_VALUE"""),4.0)</f>
        <v>4</v>
      </c>
      <c r="R119" s="2">
        <f>IFERROR(__xludf.DUMMYFUNCTION("""COMPUTED_VALUE"""),5.0)</f>
        <v>5</v>
      </c>
      <c r="S119" s="2">
        <f>IFERROR(__xludf.DUMMYFUNCTION("""COMPUTED_VALUE"""),0.0)</f>
        <v>0</v>
      </c>
      <c r="T119" s="2">
        <f>IFERROR(__xludf.DUMMYFUNCTION("""COMPUTED_VALUE"""),0.0)</f>
        <v>0</v>
      </c>
      <c r="U119" s="2">
        <f>IFERROR(__xludf.DUMMYFUNCTION("""COMPUTED_VALUE"""),0.0)</f>
        <v>0</v>
      </c>
      <c r="V119" s="2">
        <f>IFERROR(__xludf.DUMMYFUNCTION("""COMPUTED_VALUE"""),0.0)</f>
        <v>0</v>
      </c>
      <c r="W119" s="2">
        <f>IFERROR(__xludf.DUMMYFUNCTION("""COMPUTED_VALUE"""),0.0)</f>
        <v>0</v>
      </c>
      <c r="X119" s="2">
        <f>IFERROR(__xludf.DUMMYFUNCTION("""COMPUTED_VALUE"""),0.0)</f>
        <v>0</v>
      </c>
      <c r="Y119" s="2">
        <f>IFERROR(__xludf.DUMMYFUNCTION("""COMPUTED_VALUE"""),4.0)</f>
        <v>4</v>
      </c>
      <c r="Z119" s="2" t="str">
        <f>IFERROR(__xludf.DUMMYFUNCTION("""COMPUTED_VALUE"""),"Discontinued")</f>
        <v>Discontinued</v>
      </c>
      <c r="AA119" s="2"/>
      <c r="AB119" s="2">
        <f>IFERROR(__xludf.DUMMYFUNCTION("""COMPUTED_VALUE"""),1.25)</f>
        <v>1.25</v>
      </c>
      <c r="AC119" s="2"/>
      <c r="AD119" s="2"/>
    </row>
    <row r="120">
      <c r="A120" s="2" t="str">
        <f>IFERROR(__xludf.DUMMYFUNCTION("""COMPUTED_VALUE"""),"DC-TS-NW-Grey")</f>
        <v>DC-TS-NW-Grey</v>
      </c>
      <c r="B120" s="2" t="str">
        <f>IFERROR(__xludf.DUMMYFUNCTION("""COMPUTED_VALUE"""),"CRM-DC-TS-NW-GREY")</f>
        <v>CRM-DC-TS-NW-GREY</v>
      </c>
      <c r="C120" s="26">
        <f>IFERROR(__xludf.DUMMYFUNCTION("""COMPUTED_VALUE"""),2.0)</f>
        <v>2</v>
      </c>
      <c r="F120" s="26"/>
      <c r="G120" s="26" t="str">
        <f t="shared" si="2"/>
        <v>#N/A</v>
      </c>
      <c r="H120" s="26" t="str">
        <f t="shared" si="3"/>
        <v>#N/A</v>
      </c>
      <c r="K120" s="2" t="str">
        <f>IFERROR(__xludf.DUMMYFUNCTION("""COMPUTED_VALUE"""),"PH1402 (OKADE)")</f>
        <v>PH1402 (OKADE)</v>
      </c>
      <c r="L120" s="2"/>
      <c r="M120" s="2" t="str">
        <f>IFERROR(__xludf.DUMMYFUNCTION("""COMPUTED_VALUE"""),"BAG")</f>
        <v>BAG</v>
      </c>
      <c r="N120" s="2" t="str">
        <f>IFERROR(__xludf.DUMMYFUNCTION("""COMPUTED_VALUE"""),"AG")</f>
        <v>AG</v>
      </c>
      <c r="O120" s="2">
        <f>IFERROR(__xludf.DUMMYFUNCTION("""COMPUTED_VALUE"""),0.0)</f>
        <v>0</v>
      </c>
      <c r="P120" s="2">
        <f>IFERROR(__xludf.DUMMYFUNCTION("""COMPUTED_VALUE"""),0.0)</f>
        <v>0</v>
      </c>
      <c r="Q120" s="2">
        <f>IFERROR(__xludf.DUMMYFUNCTION("""COMPUTED_VALUE"""),0.0)</f>
        <v>0</v>
      </c>
      <c r="R120" s="2">
        <f>IFERROR(__xludf.DUMMYFUNCTION("""COMPUTED_VALUE"""),5.0)</f>
        <v>5</v>
      </c>
      <c r="S120" s="2">
        <f>IFERROR(__xludf.DUMMYFUNCTION("""COMPUTED_VALUE"""),0.0)</f>
        <v>0</v>
      </c>
      <c r="T120" s="2">
        <f>IFERROR(__xludf.DUMMYFUNCTION("""COMPUTED_VALUE"""),0.0)</f>
        <v>0</v>
      </c>
      <c r="U120" s="2">
        <f>IFERROR(__xludf.DUMMYFUNCTION("""COMPUTED_VALUE"""),0.0)</f>
        <v>0</v>
      </c>
      <c r="V120" s="2">
        <f>IFERROR(__xludf.DUMMYFUNCTION("""COMPUTED_VALUE"""),0.0)</f>
        <v>0</v>
      </c>
      <c r="W120" s="2">
        <f>IFERROR(__xludf.DUMMYFUNCTION("""COMPUTED_VALUE"""),0.0)</f>
        <v>0</v>
      </c>
      <c r="X120" s="2">
        <f>IFERROR(__xludf.DUMMYFUNCTION("""COMPUTED_VALUE"""),0.0)</f>
        <v>0</v>
      </c>
      <c r="Y120" s="2">
        <f>IFERROR(__xludf.DUMMYFUNCTION("""COMPUTED_VALUE"""),0.0)</f>
        <v>0</v>
      </c>
      <c r="Z120" s="2" t="str">
        <f>IFERROR(__xludf.DUMMYFUNCTION("""COMPUTED_VALUE"""),"Discontinued")</f>
        <v>Discontinued</v>
      </c>
      <c r="AA120" s="2"/>
      <c r="AB120" s="2">
        <f>IFERROR(__xludf.DUMMYFUNCTION("""COMPUTED_VALUE"""),1.25)</f>
        <v>1.25</v>
      </c>
      <c r="AC120" s="2"/>
      <c r="AD120" s="2"/>
    </row>
    <row r="121">
      <c r="A121" s="2" t="str">
        <f>IFERROR(__xludf.DUMMYFUNCTION("""COMPUTED_VALUE"""),"DC-TS-NW-Grey")</f>
        <v>DC-TS-NW-Grey</v>
      </c>
      <c r="B121" s="2" t="str">
        <f>IFERROR(__xludf.DUMMYFUNCTION("""COMPUTED_VALUE"""),"CRM-DC-TS-NW-GREY")</f>
        <v>CRM-DC-TS-NW-GREY</v>
      </c>
      <c r="C121" s="26">
        <f>IFERROR(__xludf.DUMMYFUNCTION("""COMPUTED_VALUE"""),12.0)</f>
        <v>12</v>
      </c>
      <c r="F121" s="26"/>
      <c r="G121" s="26" t="str">
        <f t="shared" si="2"/>
        <v>#N/A</v>
      </c>
      <c r="H121" s="26" t="str">
        <f t="shared" si="3"/>
        <v>#N/A</v>
      </c>
      <c r="K121" s="2" t="str">
        <f>IFERROR(__xludf.DUMMYFUNCTION("""COMPUTED_VALUE"""),"PH1403")</f>
        <v>PH1403</v>
      </c>
      <c r="L121" s="2"/>
      <c r="M121" s="2" t="str">
        <f>IFERROR(__xludf.DUMMYFUNCTION("""COMPUTED_VALUE"""),"BAG")</f>
        <v>BAG</v>
      </c>
      <c r="N121" s="2" t="str">
        <f>IFERROR(__xludf.DUMMYFUNCTION("""COMPUTED_VALUE"""),"AG")</f>
        <v>AG</v>
      </c>
      <c r="O121" s="2">
        <f>IFERROR(__xludf.DUMMYFUNCTION("""COMPUTED_VALUE"""),0.0)</f>
        <v>0</v>
      </c>
      <c r="P121" s="2">
        <f>IFERROR(__xludf.DUMMYFUNCTION("""COMPUTED_VALUE"""),0.0)</f>
        <v>0</v>
      </c>
      <c r="Q121" s="2">
        <f>IFERROR(__xludf.DUMMYFUNCTION("""COMPUTED_VALUE"""),0.0)</f>
        <v>0</v>
      </c>
      <c r="R121" s="2">
        <f>IFERROR(__xludf.DUMMYFUNCTION("""COMPUTED_VALUE"""),5.0)</f>
        <v>5</v>
      </c>
      <c r="S121" s="2">
        <f>IFERROR(__xludf.DUMMYFUNCTION("""COMPUTED_VALUE"""),0.0)</f>
        <v>0</v>
      </c>
      <c r="T121" s="2">
        <f>IFERROR(__xludf.DUMMYFUNCTION("""COMPUTED_VALUE"""),0.0)</f>
        <v>0</v>
      </c>
      <c r="U121" s="2">
        <f>IFERROR(__xludf.DUMMYFUNCTION("""COMPUTED_VALUE"""),0.0)</f>
        <v>0</v>
      </c>
      <c r="V121" s="2">
        <f>IFERROR(__xludf.DUMMYFUNCTION("""COMPUTED_VALUE"""),0.0)</f>
        <v>0</v>
      </c>
      <c r="W121" s="2">
        <f>IFERROR(__xludf.DUMMYFUNCTION("""COMPUTED_VALUE"""),0.0)</f>
        <v>0</v>
      </c>
      <c r="X121" s="2">
        <f>IFERROR(__xludf.DUMMYFUNCTION("""COMPUTED_VALUE"""),0.0)</f>
        <v>0</v>
      </c>
      <c r="Y121" s="2">
        <f>IFERROR(__xludf.DUMMYFUNCTION("""COMPUTED_VALUE"""),0.0)</f>
        <v>0</v>
      </c>
      <c r="Z121" s="2" t="str">
        <f>IFERROR(__xludf.DUMMYFUNCTION("""COMPUTED_VALUE"""),"Discontinued")</f>
        <v>Discontinued</v>
      </c>
      <c r="AA121" s="2"/>
      <c r="AB121" s="2">
        <f>IFERROR(__xludf.DUMMYFUNCTION("""COMPUTED_VALUE"""),1.25)</f>
        <v>1.25</v>
      </c>
      <c r="AC121" s="2"/>
      <c r="AD121" s="2"/>
    </row>
    <row r="122">
      <c r="A122" s="2" t="str">
        <f>IFERROR(__xludf.DUMMYFUNCTION("""COMPUTED_VALUE"""),"DC-TS-NW-Black")</f>
        <v>DC-TS-NW-Black</v>
      </c>
      <c r="B122" s="2" t="str">
        <f>IFERROR(__xludf.DUMMYFUNCTION("""COMPUTED_VALUE"""),"CRM-DC-TS-NW-BLACK-2Q")</f>
        <v>CRM-DC-TS-NW-BLACK-2Q</v>
      </c>
      <c r="C122" s="26">
        <f>IFERROR(__xludf.DUMMYFUNCTION("""COMPUTED_VALUE"""),0.0)</f>
        <v>0</v>
      </c>
      <c r="F122" s="26"/>
      <c r="G122" s="26" t="str">
        <f t="shared" si="2"/>
        <v>#N/A</v>
      </c>
      <c r="H122" s="26" t="str">
        <f t="shared" si="3"/>
        <v>#N/A</v>
      </c>
      <c r="K122" s="2" t="str">
        <f>IFERROR(__xludf.DUMMYFUNCTION("""COMPUTED_VALUE"""),"CC-1-14-Black")</f>
        <v>CC-1-14-Black</v>
      </c>
      <c r="L122" s="2"/>
      <c r="M122" s="2" t="str">
        <f>IFERROR(__xludf.DUMMYFUNCTION("""COMPUTED_VALUE"""),"BAG")</f>
        <v>BAG</v>
      </c>
      <c r="N122" s="2" t="str">
        <f>IFERROR(__xludf.DUMMYFUNCTION("""COMPUTED_VALUE"""),"AG")</f>
        <v>AG</v>
      </c>
      <c r="O122" s="2">
        <f>IFERROR(__xludf.DUMMYFUNCTION("""COMPUTED_VALUE"""),-21.0)</f>
        <v>-21</v>
      </c>
      <c r="P122" s="2">
        <f>IFERROR(__xludf.DUMMYFUNCTION("""COMPUTED_VALUE"""),0.0)</f>
        <v>0</v>
      </c>
      <c r="Q122" s="2">
        <f>IFERROR(__xludf.DUMMYFUNCTION("""COMPUTED_VALUE"""),21.0)</f>
        <v>21</v>
      </c>
      <c r="R122" s="2">
        <f>IFERROR(__xludf.DUMMYFUNCTION("""COMPUTED_VALUE"""),5.0)</f>
        <v>5</v>
      </c>
      <c r="S122" s="2">
        <f>IFERROR(__xludf.DUMMYFUNCTION("""COMPUTED_VALUE"""),0.0)</f>
        <v>0</v>
      </c>
      <c r="T122" s="2">
        <f>IFERROR(__xludf.DUMMYFUNCTION("""COMPUTED_VALUE"""),0.0)</f>
        <v>0</v>
      </c>
      <c r="U122" s="2">
        <f>IFERROR(__xludf.DUMMYFUNCTION("""COMPUTED_VALUE"""),0.0)</f>
        <v>0</v>
      </c>
      <c r="V122" s="2">
        <f>IFERROR(__xludf.DUMMYFUNCTION("""COMPUTED_VALUE"""),0.0)</f>
        <v>0</v>
      </c>
      <c r="W122" s="2">
        <f>IFERROR(__xludf.DUMMYFUNCTION("""COMPUTED_VALUE"""),0.0)</f>
        <v>0</v>
      </c>
      <c r="X122" s="2">
        <f>IFERROR(__xludf.DUMMYFUNCTION("""COMPUTED_VALUE"""),0.0)</f>
        <v>0</v>
      </c>
      <c r="Y122" s="2">
        <f>IFERROR(__xludf.DUMMYFUNCTION("""COMPUTED_VALUE"""),21.0)</f>
        <v>21</v>
      </c>
      <c r="Z122" s="2" t="str">
        <f>IFERROR(__xludf.DUMMYFUNCTION("""COMPUTED_VALUE"""),"Discontinued")</f>
        <v>Discontinued</v>
      </c>
      <c r="AA122" s="2"/>
      <c r="AB122" s="2">
        <f>IFERROR(__xludf.DUMMYFUNCTION("""COMPUTED_VALUE"""),1.25)</f>
        <v>1.25</v>
      </c>
      <c r="AC122" s="2"/>
      <c r="AD122" s="2"/>
    </row>
    <row r="123">
      <c r="A123" s="2" t="str">
        <f>IFERROR(__xludf.DUMMYFUNCTION("""COMPUTED_VALUE"""),"DC-TS-NW-Black")</f>
        <v>DC-TS-NW-Black</v>
      </c>
      <c r="B123" s="2" t="str">
        <f>IFERROR(__xludf.DUMMYFUNCTION("""COMPUTED_VALUE"""),"CRM-DC-TS-NW-BLACK-2Q")</f>
        <v>CRM-DC-TS-NW-BLACK-2Q</v>
      </c>
      <c r="C123" s="26">
        <f>IFERROR(__xludf.DUMMYFUNCTION("""COMPUTED_VALUE"""),0.0)</f>
        <v>0</v>
      </c>
      <c r="F123" s="26"/>
      <c r="G123" s="26" t="str">
        <f t="shared" si="2"/>
        <v>#N/A</v>
      </c>
      <c r="H123" s="26" t="str">
        <f t="shared" si="3"/>
        <v>#N/A</v>
      </c>
      <c r="K123" s="2" t="str">
        <f>IFERROR(__xludf.DUMMYFUNCTION("""COMPUTED_VALUE"""),"CC-1-16-Black")</f>
        <v>CC-1-16-Black</v>
      </c>
      <c r="L123" s="2"/>
      <c r="M123" s="2" t="str">
        <f>IFERROR(__xludf.DUMMYFUNCTION("""COMPUTED_VALUE"""),"BAG")</f>
        <v>BAG</v>
      </c>
      <c r="N123" s="2" t="str">
        <f>IFERROR(__xludf.DUMMYFUNCTION("""COMPUTED_VALUE"""),"AG")</f>
        <v>AG</v>
      </c>
      <c r="O123" s="2">
        <f>IFERROR(__xludf.DUMMYFUNCTION("""COMPUTED_VALUE"""),-50.0)</f>
        <v>-50</v>
      </c>
      <c r="P123" s="2">
        <f>IFERROR(__xludf.DUMMYFUNCTION("""COMPUTED_VALUE"""),4.0)</f>
        <v>4</v>
      </c>
      <c r="Q123" s="2">
        <f>IFERROR(__xludf.DUMMYFUNCTION("""COMPUTED_VALUE"""),54.0)</f>
        <v>54</v>
      </c>
      <c r="R123" s="2">
        <f>IFERROR(__xludf.DUMMYFUNCTION("""COMPUTED_VALUE"""),5.0)</f>
        <v>5</v>
      </c>
      <c r="S123" s="2">
        <f>IFERROR(__xludf.DUMMYFUNCTION("""COMPUTED_VALUE"""),2.0)</f>
        <v>2</v>
      </c>
      <c r="T123" s="2">
        <f>IFERROR(__xludf.DUMMYFUNCTION("""COMPUTED_VALUE"""),1.0)</f>
        <v>1</v>
      </c>
      <c r="U123" s="2">
        <f>IFERROR(__xludf.DUMMYFUNCTION("""COMPUTED_VALUE"""),0.0)</f>
        <v>0</v>
      </c>
      <c r="V123" s="2">
        <f>IFERROR(__xludf.DUMMYFUNCTION("""COMPUTED_VALUE"""),1.0)</f>
        <v>1</v>
      </c>
      <c r="W123" s="2">
        <f>IFERROR(__xludf.DUMMYFUNCTION("""COMPUTED_VALUE"""),11.0)</f>
        <v>11</v>
      </c>
      <c r="X123" s="2">
        <f>IFERROR(__xludf.DUMMYFUNCTION("""COMPUTED_VALUE"""),2.0)</f>
        <v>2</v>
      </c>
      <c r="Y123" s="2">
        <f>IFERROR(__xludf.DUMMYFUNCTION("""COMPUTED_VALUE"""),54.0)</f>
        <v>54</v>
      </c>
      <c r="Z123" s="2" t="str">
        <f>IFERROR(__xludf.DUMMYFUNCTION("""COMPUTED_VALUE"""),"Discontinued")</f>
        <v>Discontinued</v>
      </c>
      <c r="AA123" s="2"/>
      <c r="AB123" s="2">
        <f>IFERROR(__xludf.DUMMYFUNCTION("""COMPUTED_VALUE"""),1.25)</f>
        <v>1.25</v>
      </c>
      <c r="AC123" s="2"/>
      <c r="AD123" s="2"/>
    </row>
    <row r="124">
      <c r="A124" s="2" t="str">
        <f>IFERROR(__xludf.DUMMYFUNCTION("""COMPUTED_VALUE"""),"DC-TS-NW-Black")</f>
        <v>DC-TS-NW-Black</v>
      </c>
      <c r="B124" s="2" t="str">
        <f>IFERROR(__xludf.DUMMYFUNCTION("""COMPUTED_VALUE"""),"CRM-DC-TS-NW-BLACK-2Q")</f>
        <v>CRM-DC-TS-NW-BLACK-2Q</v>
      </c>
      <c r="C124" s="26">
        <f>IFERROR(__xludf.DUMMYFUNCTION("""COMPUTED_VALUE"""),0.0)</f>
        <v>0</v>
      </c>
      <c r="F124" s="26"/>
      <c r="G124" s="26" t="str">
        <f t="shared" si="2"/>
        <v>#N/A</v>
      </c>
      <c r="H124" s="26" t="str">
        <f t="shared" si="3"/>
        <v>#N/A</v>
      </c>
      <c r="K124" s="2" t="str">
        <f>IFERROR(__xludf.DUMMYFUNCTION("""COMPUTED_VALUE"""),"CP-1-Black")</f>
        <v>CP-1-Black</v>
      </c>
      <c r="L124" s="2"/>
      <c r="M124" s="2" t="str">
        <f>IFERROR(__xludf.DUMMYFUNCTION("""COMPUTED_VALUE"""),"Pouch")</f>
        <v>Pouch</v>
      </c>
      <c r="N124" s="2" t="str">
        <f>IFERROR(__xludf.DUMMYFUNCTION("""COMPUTED_VALUE"""),"AG")</f>
        <v>AG</v>
      </c>
      <c r="O124" s="2">
        <f>IFERROR(__xludf.DUMMYFUNCTION("""COMPUTED_VALUE"""),-56.0)</f>
        <v>-56</v>
      </c>
      <c r="P124" s="2">
        <f>IFERROR(__xludf.DUMMYFUNCTION("""COMPUTED_VALUE"""),40.0)</f>
        <v>40</v>
      </c>
      <c r="Q124" s="2">
        <f>IFERROR(__xludf.DUMMYFUNCTION("""COMPUTED_VALUE"""),96.0)</f>
        <v>96</v>
      </c>
      <c r="R124" s="2">
        <f>IFERROR(__xludf.DUMMYFUNCTION("""COMPUTED_VALUE"""),5.0)</f>
        <v>5</v>
      </c>
      <c r="S124" s="2">
        <f>IFERROR(__xludf.DUMMYFUNCTION("""COMPUTED_VALUE"""),17.0)</f>
        <v>17</v>
      </c>
      <c r="T124" s="2">
        <f>IFERROR(__xludf.DUMMYFUNCTION("""COMPUTED_VALUE"""),19.0)</f>
        <v>19</v>
      </c>
      <c r="U124" s="2">
        <f>IFERROR(__xludf.DUMMYFUNCTION("""COMPUTED_VALUE"""),20.0)</f>
        <v>20</v>
      </c>
      <c r="V124" s="2">
        <f>IFERROR(__xludf.DUMMYFUNCTION("""COMPUTED_VALUE"""),38.0)</f>
        <v>38</v>
      </c>
      <c r="W124" s="2">
        <f>IFERROR(__xludf.DUMMYFUNCTION("""COMPUTED_VALUE"""),39.0)</f>
        <v>39</v>
      </c>
      <c r="X124" s="2">
        <f>IFERROR(__xludf.DUMMYFUNCTION("""COMPUTED_VALUE"""),18.0)</f>
        <v>18</v>
      </c>
      <c r="Y124" s="2">
        <f>IFERROR(__xludf.DUMMYFUNCTION("""COMPUTED_VALUE"""),114.0)</f>
        <v>114</v>
      </c>
      <c r="Z124" s="2"/>
      <c r="AA124" s="2"/>
      <c r="AB124" s="2">
        <f>IFERROR(__xludf.DUMMYFUNCTION("""COMPUTED_VALUE"""),1.5)</f>
        <v>1.5</v>
      </c>
      <c r="AC124" s="2"/>
      <c r="AD124" s="2"/>
    </row>
    <row r="125">
      <c r="A125" s="2" t="str">
        <f>IFERROR(__xludf.DUMMYFUNCTION("""COMPUTED_VALUE"""),"DC-TS-NW-Black")</f>
        <v>DC-TS-NW-Black</v>
      </c>
      <c r="B125" s="2" t="str">
        <f>IFERROR(__xludf.DUMMYFUNCTION("""COMPUTED_VALUE"""),"CRM-DC-TS-NW-BLACK-2Q")</f>
        <v>CRM-DC-TS-NW-BLACK-2Q</v>
      </c>
      <c r="C125" s="26">
        <f>IFERROR(__xludf.DUMMYFUNCTION("""COMPUTED_VALUE"""),0.0)</f>
        <v>0</v>
      </c>
      <c r="F125" s="26"/>
      <c r="G125" s="26" t="str">
        <f t="shared" si="2"/>
        <v>#N/A</v>
      </c>
      <c r="H125" s="26" t="str">
        <f t="shared" si="3"/>
        <v>#N/A</v>
      </c>
      <c r="K125" s="2" t="str">
        <f>IFERROR(__xludf.DUMMYFUNCTION("""COMPUTED_VALUE"""),"CSB1-BLACK")</f>
        <v>CSB1-BLACK</v>
      </c>
      <c r="L125" s="2"/>
      <c r="M125" s="2" t="str">
        <f>IFERROR(__xludf.DUMMYFUNCTION("""COMPUTED_VALUE"""),"Sling Bag")</f>
        <v>Sling Bag</v>
      </c>
      <c r="N125" s="2" t="str">
        <f>IFERROR(__xludf.DUMMYFUNCTION("""COMPUTED_VALUE"""),"AG")</f>
        <v>AG</v>
      </c>
      <c r="O125" s="2">
        <f>IFERROR(__xludf.DUMMYFUNCTION("""COMPUTED_VALUE"""),0.0)</f>
        <v>0</v>
      </c>
      <c r="P125" s="2">
        <f>IFERROR(__xludf.DUMMYFUNCTION("""COMPUTED_VALUE"""),0.0)</f>
        <v>0</v>
      </c>
      <c r="Q125" s="2">
        <f>IFERROR(__xludf.DUMMYFUNCTION("""COMPUTED_VALUE"""),0.0)</f>
        <v>0</v>
      </c>
      <c r="R125" s="2">
        <f>IFERROR(__xludf.DUMMYFUNCTION("""COMPUTED_VALUE"""),5.0)</f>
        <v>5</v>
      </c>
      <c r="S125" s="2">
        <f>IFERROR(__xludf.DUMMYFUNCTION("""COMPUTED_VALUE"""),0.0)</f>
        <v>0</v>
      </c>
      <c r="T125" s="2">
        <f>IFERROR(__xludf.DUMMYFUNCTION("""COMPUTED_VALUE"""),0.0)</f>
        <v>0</v>
      </c>
      <c r="U125" s="2">
        <f>IFERROR(__xludf.DUMMYFUNCTION("""COMPUTED_VALUE"""),0.0)</f>
        <v>0</v>
      </c>
      <c r="V125" s="2">
        <f>IFERROR(__xludf.DUMMYFUNCTION("""COMPUTED_VALUE"""),0.0)</f>
        <v>0</v>
      </c>
      <c r="W125" s="2">
        <f>IFERROR(__xludf.DUMMYFUNCTION("""COMPUTED_VALUE"""),0.0)</f>
        <v>0</v>
      </c>
      <c r="X125" s="2">
        <f>IFERROR(__xludf.DUMMYFUNCTION("""COMPUTED_VALUE"""),0.0)</f>
        <v>0</v>
      </c>
      <c r="Y125" s="2">
        <f>IFERROR(__xludf.DUMMYFUNCTION("""COMPUTED_VALUE"""),0.0)</f>
        <v>0</v>
      </c>
      <c r="Z125" s="2" t="str">
        <f>IFERROR(__xludf.DUMMYFUNCTION("""COMPUTED_VALUE"""),"Discontinued")</f>
        <v>Discontinued</v>
      </c>
      <c r="AA125" s="2"/>
      <c r="AB125" s="2">
        <f>IFERROR(__xludf.DUMMYFUNCTION("""COMPUTED_VALUE"""),1.25)</f>
        <v>1.25</v>
      </c>
      <c r="AC125" s="2"/>
      <c r="AD125" s="2"/>
    </row>
    <row r="126">
      <c r="A126" s="2" t="str">
        <f>IFERROR(__xludf.DUMMYFUNCTION("""COMPUTED_VALUE"""),"DC-TS-NW-Black")</f>
        <v>DC-TS-NW-Black</v>
      </c>
      <c r="B126" s="2" t="str">
        <f>IFERROR(__xludf.DUMMYFUNCTION("""COMPUTED_VALUE"""),"CRM-DC-TS-NW-BLACK-2Q")</f>
        <v>CRM-DC-TS-NW-BLACK-2Q</v>
      </c>
      <c r="C126" s="26">
        <f>IFERROR(__xludf.DUMMYFUNCTION("""COMPUTED_VALUE"""),0.0)</f>
        <v>0</v>
      </c>
      <c r="F126" s="26"/>
      <c r="G126" s="26" t="str">
        <f t="shared" si="2"/>
        <v>#N/A</v>
      </c>
      <c r="H126" s="26" t="str">
        <f t="shared" si="3"/>
        <v>#N/A</v>
      </c>
      <c r="K126" s="2" t="str">
        <f>IFERROR(__xludf.DUMMYFUNCTION("""COMPUTED_VALUE"""),"CSB1-GREY")</f>
        <v>CSB1-GREY</v>
      </c>
      <c r="L126" s="2"/>
      <c r="M126" s="2" t="str">
        <f>IFERROR(__xludf.DUMMYFUNCTION("""COMPUTED_VALUE"""),"Sling Bag")</f>
        <v>Sling Bag</v>
      </c>
      <c r="N126" s="2" t="str">
        <f>IFERROR(__xludf.DUMMYFUNCTION("""COMPUTED_VALUE"""),"AG")</f>
        <v>AG</v>
      </c>
      <c r="O126" s="2">
        <f>IFERROR(__xludf.DUMMYFUNCTION("""COMPUTED_VALUE"""),-2.0)</f>
        <v>-2</v>
      </c>
      <c r="P126" s="2">
        <f>IFERROR(__xludf.DUMMYFUNCTION("""COMPUTED_VALUE"""),0.0)</f>
        <v>0</v>
      </c>
      <c r="Q126" s="2">
        <f>IFERROR(__xludf.DUMMYFUNCTION("""COMPUTED_VALUE"""),2.0)</f>
        <v>2</v>
      </c>
      <c r="R126" s="2">
        <f>IFERROR(__xludf.DUMMYFUNCTION("""COMPUTED_VALUE"""),5.0)</f>
        <v>5</v>
      </c>
      <c r="S126" s="2">
        <f>IFERROR(__xludf.DUMMYFUNCTION("""COMPUTED_VALUE"""),0.0)</f>
        <v>0</v>
      </c>
      <c r="T126" s="2">
        <f>IFERROR(__xludf.DUMMYFUNCTION("""COMPUTED_VALUE"""),0.0)</f>
        <v>0</v>
      </c>
      <c r="U126" s="2">
        <f>IFERROR(__xludf.DUMMYFUNCTION("""COMPUTED_VALUE"""),0.0)</f>
        <v>0</v>
      </c>
      <c r="V126" s="2">
        <f>IFERROR(__xludf.DUMMYFUNCTION("""COMPUTED_VALUE"""),0.0)</f>
        <v>0</v>
      </c>
      <c r="W126" s="2">
        <f>IFERROR(__xludf.DUMMYFUNCTION("""COMPUTED_VALUE"""),0.0)</f>
        <v>0</v>
      </c>
      <c r="X126" s="2">
        <f>IFERROR(__xludf.DUMMYFUNCTION("""COMPUTED_VALUE"""),0.0)</f>
        <v>0</v>
      </c>
      <c r="Y126" s="2">
        <f>IFERROR(__xludf.DUMMYFUNCTION("""COMPUTED_VALUE"""),2.0)</f>
        <v>2</v>
      </c>
      <c r="Z126" s="2" t="str">
        <f>IFERROR(__xludf.DUMMYFUNCTION("""COMPUTED_VALUE"""),"Discontinued")</f>
        <v>Discontinued</v>
      </c>
      <c r="AA126" s="2"/>
      <c r="AB126" s="2">
        <f>IFERROR(__xludf.DUMMYFUNCTION("""COMPUTED_VALUE"""),1.25)</f>
        <v>1.25</v>
      </c>
      <c r="AC126" s="2"/>
      <c r="AD126" s="2"/>
    </row>
    <row r="127">
      <c r="A127" s="2" t="str">
        <f>IFERROR(__xludf.DUMMYFUNCTION("""COMPUTED_VALUE"""),"DC-TS-NW-Black")</f>
        <v>DC-TS-NW-Black</v>
      </c>
      <c r="B127" s="2" t="str">
        <f>IFERROR(__xludf.DUMMYFUNCTION("""COMPUTED_VALUE"""),"CRM-DC-TS-NW-BLACK-2Q")</f>
        <v>CRM-DC-TS-NW-BLACK-2Q</v>
      </c>
      <c r="C127" s="26">
        <f>IFERROR(__xludf.DUMMYFUNCTION("""COMPUTED_VALUE"""),4.0)</f>
        <v>4</v>
      </c>
      <c r="F127" s="26"/>
      <c r="G127" s="26" t="str">
        <f t="shared" si="2"/>
        <v>#N/A</v>
      </c>
      <c r="H127" s="26" t="str">
        <f t="shared" si="3"/>
        <v>#N/A</v>
      </c>
      <c r="K127" s="2" t="str">
        <f>IFERROR(__xludf.DUMMYFUNCTION("""COMPUTED_VALUE"""),"CSB3-BLACK")</f>
        <v>CSB3-BLACK</v>
      </c>
      <c r="L127" s="2"/>
      <c r="M127" s="2" t="str">
        <f>IFERROR(__xludf.DUMMYFUNCTION("""COMPUTED_VALUE"""),"Sling Bag")</f>
        <v>Sling Bag</v>
      </c>
      <c r="N127" s="2" t="str">
        <f>IFERROR(__xludf.DUMMYFUNCTION("""COMPUTED_VALUE"""),"AG")</f>
        <v>AG</v>
      </c>
      <c r="O127" s="2">
        <f>IFERROR(__xludf.DUMMYFUNCTION("""COMPUTED_VALUE"""),-49.0)</f>
        <v>-49</v>
      </c>
      <c r="P127" s="2">
        <f>IFERROR(__xludf.DUMMYFUNCTION("""COMPUTED_VALUE"""),0.0)</f>
        <v>0</v>
      </c>
      <c r="Q127" s="2">
        <f>IFERROR(__xludf.DUMMYFUNCTION("""COMPUTED_VALUE"""),49.0)</f>
        <v>49</v>
      </c>
      <c r="R127" s="2">
        <f>IFERROR(__xludf.DUMMYFUNCTION("""COMPUTED_VALUE"""),5.0)</f>
        <v>5</v>
      </c>
      <c r="S127" s="2">
        <f>IFERROR(__xludf.DUMMYFUNCTION("""COMPUTED_VALUE"""),0.0)</f>
        <v>0</v>
      </c>
      <c r="T127" s="2">
        <f>IFERROR(__xludf.DUMMYFUNCTION("""COMPUTED_VALUE"""),0.0)</f>
        <v>0</v>
      </c>
      <c r="U127" s="2">
        <f>IFERROR(__xludf.DUMMYFUNCTION("""COMPUTED_VALUE"""),0.0)</f>
        <v>0</v>
      </c>
      <c r="V127" s="2">
        <f>IFERROR(__xludf.DUMMYFUNCTION("""COMPUTED_VALUE"""),0.0)</f>
        <v>0</v>
      </c>
      <c r="W127" s="2">
        <f>IFERROR(__xludf.DUMMYFUNCTION("""COMPUTED_VALUE"""),0.0)</f>
        <v>0</v>
      </c>
      <c r="X127" s="2">
        <f>IFERROR(__xludf.DUMMYFUNCTION("""COMPUTED_VALUE"""),0.0)</f>
        <v>0</v>
      </c>
      <c r="Y127" s="2">
        <f>IFERROR(__xludf.DUMMYFUNCTION("""COMPUTED_VALUE"""),49.0)</f>
        <v>49</v>
      </c>
      <c r="Z127" s="2" t="str">
        <f>IFERROR(__xludf.DUMMYFUNCTION("""COMPUTED_VALUE"""),"Discontinued")</f>
        <v>Discontinued</v>
      </c>
      <c r="AA127" s="2"/>
      <c r="AB127" s="2">
        <f>IFERROR(__xludf.DUMMYFUNCTION("""COMPUTED_VALUE"""),1.25)</f>
        <v>1.25</v>
      </c>
      <c r="AC127" s="2"/>
      <c r="AD127" s="2"/>
    </row>
    <row r="128">
      <c r="A128" s="2" t="str">
        <f>IFERROR(__xludf.DUMMYFUNCTION("""COMPUTED_VALUE"""),"DC-TS-NW-Black")</f>
        <v>DC-TS-NW-Black</v>
      </c>
      <c r="B128" s="2" t="str">
        <f>IFERROR(__xludf.DUMMYFUNCTION("""COMPUTED_VALUE"""),"CRM-DC-TS-NW-BLACK-2Q")</f>
        <v>CRM-DC-TS-NW-BLACK-2Q</v>
      </c>
      <c r="C128" s="26">
        <f>IFERROR(__xludf.DUMMYFUNCTION("""COMPUTED_VALUE"""),0.0)</f>
        <v>0</v>
      </c>
      <c r="F128" s="26"/>
      <c r="G128" s="26" t="str">
        <f t="shared" si="2"/>
        <v>#N/A</v>
      </c>
      <c r="H128" s="26" t="str">
        <f t="shared" si="3"/>
        <v>#N/A</v>
      </c>
      <c r="K128" s="2" t="str">
        <f>IFERROR(__xludf.DUMMYFUNCTION("""COMPUTED_VALUE"""),"CSB4-BLACK")</f>
        <v>CSB4-BLACK</v>
      </c>
      <c r="L128" s="2"/>
      <c r="M128" s="2" t="str">
        <f>IFERROR(__xludf.DUMMYFUNCTION("""COMPUTED_VALUE"""),"Sling Bag")</f>
        <v>Sling Bag</v>
      </c>
      <c r="N128" s="2" t="str">
        <f>IFERROR(__xludf.DUMMYFUNCTION("""COMPUTED_VALUE"""),"AG")</f>
        <v>AG</v>
      </c>
      <c r="O128" s="2">
        <f>IFERROR(__xludf.DUMMYFUNCTION("""COMPUTED_VALUE"""),-32.0)</f>
        <v>-32</v>
      </c>
      <c r="P128" s="2">
        <f>IFERROR(__xludf.DUMMYFUNCTION("""COMPUTED_VALUE"""),0.0)</f>
        <v>0</v>
      </c>
      <c r="Q128" s="2">
        <f>IFERROR(__xludf.DUMMYFUNCTION("""COMPUTED_VALUE"""),32.0)</f>
        <v>32</v>
      </c>
      <c r="R128" s="2">
        <f>IFERROR(__xludf.DUMMYFUNCTION("""COMPUTED_VALUE"""),5.0)</f>
        <v>5</v>
      </c>
      <c r="S128" s="2">
        <f>IFERROR(__xludf.DUMMYFUNCTION("""COMPUTED_VALUE"""),0.0)</f>
        <v>0</v>
      </c>
      <c r="T128" s="2">
        <f>IFERROR(__xludf.DUMMYFUNCTION("""COMPUTED_VALUE"""),0.0)</f>
        <v>0</v>
      </c>
      <c r="U128" s="2">
        <f>IFERROR(__xludf.DUMMYFUNCTION("""COMPUTED_VALUE"""),0.0)</f>
        <v>0</v>
      </c>
      <c r="V128" s="2">
        <f>IFERROR(__xludf.DUMMYFUNCTION("""COMPUTED_VALUE"""),0.0)</f>
        <v>0</v>
      </c>
      <c r="W128" s="2">
        <f>IFERROR(__xludf.DUMMYFUNCTION("""COMPUTED_VALUE"""),0.0)</f>
        <v>0</v>
      </c>
      <c r="X128" s="2">
        <f>IFERROR(__xludf.DUMMYFUNCTION("""COMPUTED_VALUE"""),0.0)</f>
        <v>0</v>
      </c>
      <c r="Y128" s="2">
        <f>IFERROR(__xludf.DUMMYFUNCTION("""COMPUTED_VALUE"""),32.0)</f>
        <v>32</v>
      </c>
      <c r="Z128" s="2" t="str">
        <f>IFERROR(__xludf.DUMMYFUNCTION("""COMPUTED_VALUE"""),"Discontinued")</f>
        <v>Discontinued</v>
      </c>
      <c r="AA128" s="2"/>
      <c r="AB128" s="2">
        <f>IFERROR(__xludf.DUMMYFUNCTION("""COMPUTED_VALUE"""),1.25)</f>
        <v>1.25</v>
      </c>
      <c r="AC128" s="2"/>
      <c r="AD128" s="2"/>
    </row>
    <row r="129">
      <c r="A129" s="2" t="str">
        <f>IFERROR(__xludf.DUMMYFUNCTION("""COMPUTED_VALUE"""),"DC-TS-NW-Black")</f>
        <v>DC-TS-NW-Black</v>
      </c>
      <c r="B129" s="2" t="str">
        <f>IFERROR(__xludf.DUMMYFUNCTION("""COMPUTED_VALUE"""),"CRM-DC-TS-NW-BLACK-2Q")</f>
        <v>CRM-DC-TS-NW-BLACK-2Q</v>
      </c>
      <c r="C129" s="26">
        <f>IFERROR(__xludf.DUMMYFUNCTION("""COMPUTED_VALUE"""),0.0)</f>
        <v>0</v>
      </c>
      <c r="F129" s="26"/>
      <c r="G129" s="26" t="str">
        <f t="shared" si="2"/>
        <v>#N/A</v>
      </c>
      <c r="H129" s="26" t="str">
        <f t="shared" si="3"/>
        <v>#N/A</v>
      </c>
      <c r="K129" s="2" t="str">
        <f>IFERROR(__xludf.DUMMYFUNCTION("""COMPUTED_VALUE"""),"CSB5-BLACK")</f>
        <v>CSB5-BLACK</v>
      </c>
      <c r="L129" s="2"/>
      <c r="M129" s="2" t="str">
        <f>IFERROR(__xludf.DUMMYFUNCTION("""COMPUTED_VALUE"""),"Sling Bag")</f>
        <v>Sling Bag</v>
      </c>
      <c r="N129" s="2" t="str">
        <f>IFERROR(__xludf.DUMMYFUNCTION("""COMPUTED_VALUE"""),"AG")</f>
        <v>AG</v>
      </c>
      <c r="O129" s="2">
        <f>IFERROR(__xludf.DUMMYFUNCTION("""COMPUTED_VALUE"""),-57.0)</f>
        <v>-57</v>
      </c>
      <c r="P129" s="2">
        <f>IFERROR(__xludf.DUMMYFUNCTION("""COMPUTED_VALUE"""),0.0)</f>
        <v>0</v>
      </c>
      <c r="Q129" s="2">
        <f>IFERROR(__xludf.DUMMYFUNCTION("""COMPUTED_VALUE"""),57.0)</f>
        <v>57</v>
      </c>
      <c r="R129" s="2">
        <f>IFERROR(__xludf.DUMMYFUNCTION("""COMPUTED_VALUE"""),5.0)</f>
        <v>5</v>
      </c>
      <c r="S129" s="2">
        <f>IFERROR(__xludf.DUMMYFUNCTION("""COMPUTED_VALUE"""),2.0)</f>
        <v>2</v>
      </c>
      <c r="T129" s="2">
        <f>IFERROR(__xludf.DUMMYFUNCTION("""COMPUTED_VALUE"""),1.0)</f>
        <v>1</v>
      </c>
      <c r="U129" s="2">
        <f>IFERROR(__xludf.DUMMYFUNCTION("""COMPUTED_VALUE"""),1.0)</f>
        <v>1</v>
      </c>
      <c r="V129" s="2">
        <f>IFERROR(__xludf.DUMMYFUNCTION("""COMPUTED_VALUE"""),0.0)</f>
        <v>0</v>
      </c>
      <c r="W129" s="2">
        <f>IFERROR(__xludf.DUMMYFUNCTION("""COMPUTED_VALUE"""),0.0)</f>
        <v>0</v>
      </c>
      <c r="X129" s="2">
        <f>IFERROR(__xludf.DUMMYFUNCTION("""COMPUTED_VALUE"""),2.0)</f>
        <v>2</v>
      </c>
      <c r="Y129" s="2">
        <f>IFERROR(__xludf.DUMMYFUNCTION("""COMPUTED_VALUE"""),59.0)</f>
        <v>59</v>
      </c>
      <c r="Z129" s="2" t="str">
        <f>IFERROR(__xludf.DUMMYFUNCTION("""COMPUTED_VALUE"""),"Discontinued")</f>
        <v>Discontinued</v>
      </c>
      <c r="AA129" s="2"/>
      <c r="AB129" s="2"/>
      <c r="AC129" s="2"/>
      <c r="AD129" s="2"/>
    </row>
    <row r="130">
      <c r="A130" s="2" t="str">
        <f>IFERROR(__xludf.DUMMYFUNCTION("""COMPUTED_VALUE"""),"DC-TS-NW-Black")</f>
        <v>DC-TS-NW-Black</v>
      </c>
      <c r="B130" s="2" t="str">
        <f>IFERROR(__xludf.DUMMYFUNCTION("""COMPUTED_VALUE"""),"CRM-DC-TS-NW-BLACK-2Q")</f>
        <v>CRM-DC-TS-NW-BLACK-2Q</v>
      </c>
      <c r="C130" s="26">
        <f>IFERROR(__xludf.DUMMYFUNCTION("""COMPUTED_VALUE"""),0.0)</f>
        <v>0</v>
      </c>
      <c r="F130" s="26"/>
      <c r="G130" s="26" t="str">
        <f t="shared" si="2"/>
        <v>#N/A</v>
      </c>
      <c r="H130" s="26" t="str">
        <f t="shared" si="3"/>
        <v>#N/A</v>
      </c>
      <c r="K130" s="2" t="str">
        <f>IFERROR(__xludf.DUMMYFUNCTION("""COMPUTED_VALUE"""),"CB1-15-Grey")</f>
        <v>CB1-15-Grey</v>
      </c>
      <c r="L130" s="2"/>
      <c r="M130" s="2" t="str">
        <f>IFERROR(__xludf.DUMMYFUNCTION("""COMPUTED_VALUE"""),"BAG")</f>
        <v>BAG</v>
      </c>
      <c r="N130" s="2" t="str">
        <f>IFERROR(__xludf.DUMMYFUNCTION("""COMPUTED_VALUE"""),"AG")</f>
        <v>AG</v>
      </c>
      <c r="O130" s="2">
        <f>IFERROR(__xludf.DUMMYFUNCTION("""COMPUTED_VALUE"""),-20.0)</f>
        <v>-20</v>
      </c>
      <c r="P130" s="2">
        <f>IFERROR(__xludf.DUMMYFUNCTION("""COMPUTED_VALUE"""),10.0)</f>
        <v>10</v>
      </c>
      <c r="Q130" s="2">
        <f>IFERROR(__xludf.DUMMYFUNCTION("""COMPUTED_VALUE"""),30.0)</f>
        <v>30</v>
      </c>
      <c r="R130" s="2">
        <f>IFERROR(__xludf.DUMMYFUNCTION("""COMPUTED_VALUE"""),5.0)</f>
        <v>5</v>
      </c>
      <c r="S130" s="2">
        <f>IFERROR(__xludf.DUMMYFUNCTION("""COMPUTED_VALUE"""),3.0)</f>
        <v>3</v>
      </c>
      <c r="T130" s="2">
        <f>IFERROR(__xludf.DUMMYFUNCTION("""COMPUTED_VALUE"""),1.0)</f>
        <v>1</v>
      </c>
      <c r="U130" s="2">
        <f>IFERROR(__xludf.DUMMYFUNCTION("""COMPUTED_VALUE"""),10.0)</f>
        <v>10</v>
      </c>
      <c r="V130" s="2">
        <f>IFERROR(__xludf.DUMMYFUNCTION("""COMPUTED_VALUE"""),2.0)</f>
        <v>2</v>
      </c>
      <c r="W130" s="2">
        <f>IFERROR(__xludf.DUMMYFUNCTION("""COMPUTED_VALUE"""),23.0)</f>
        <v>23</v>
      </c>
      <c r="X130" s="2">
        <f>IFERROR(__xludf.DUMMYFUNCTION("""COMPUTED_VALUE"""),6.0)</f>
        <v>6</v>
      </c>
      <c r="Y130" s="2">
        <f>IFERROR(__xludf.DUMMYFUNCTION("""COMPUTED_VALUE"""),35.0)</f>
        <v>35</v>
      </c>
      <c r="Z130" s="2" t="str">
        <f>IFERROR(__xludf.DUMMYFUNCTION("""COMPUTED_VALUE"""),"Discontinued")</f>
        <v>Discontinued</v>
      </c>
      <c r="AA130" s="2"/>
      <c r="AB130" s="2">
        <f>IFERROR(__xludf.DUMMYFUNCTION("""COMPUTED_VALUE"""),1.25)</f>
        <v>1.25</v>
      </c>
      <c r="AC130" s="2"/>
      <c r="AD130" s="2"/>
    </row>
    <row r="131">
      <c r="A131" s="2" t="str">
        <f>IFERROR(__xludf.DUMMYFUNCTION("""COMPUTED_VALUE"""),"DC-TS-NW-Grey")</f>
        <v>DC-TS-NW-Grey</v>
      </c>
      <c r="B131" s="2" t="str">
        <f>IFERROR(__xludf.DUMMYFUNCTION("""COMPUTED_VALUE"""),"CRM-DC-TS-NW-GREY-2Q")</f>
        <v>CRM-DC-TS-NW-GREY-2Q</v>
      </c>
      <c r="C131" s="26">
        <f>IFERROR(__xludf.DUMMYFUNCTION("""COMPUTED_VALUE"""),4.0)</f>
        <v>4</v>
      </c>
      <c r="F131" s="26"/>
      <c r="G131" s="26" t="str">
        <f t="shared" si="2"/>
        <v>#N/A</v>
      </c>
      <c r="H131" s="26" t="str">
        <f t="shared" si="3"/>
        <v>#N/A</v>
      </c>
      <c r="K131" s="2" t="str">
        <f>IFERROR(__xludf.DUMMYFUNCTION("""COMPUTED_VALUE"""),"CB2-15-Grey")</f>
        <v>CB2-15-Grey</v>
      </c>
      <c r="L131" s="2"/>
      <c r="M131" s="2" t="str">
        <f>IFERROR(__xludf.DUMMYFUNCTION("""COMPUTED_VALUE"""),"BAG")</f>
        <v>BAG</v>
      </c>
      <c r="N131" s="2" t="str">
        <f>IFERROR(__xludf.DUMMYFUNCTION("""COMPUTED_VALUE"""),"AG")</f>
        <v>AG</v>
      </c>
      <c r="O131" s="2">
        <f>IFERROR(__xludf.DUMMYFUNCTION("""COMPUTED_VALUE"""),-2.0)</f>
        <v>-2</v>
      </c>
      <c r="P131" s="2">
        <f>IFERROR(__xludf.DUMMYFUNCTION("""COMPUTED_VALUE"""),0.0)</f>
        <v>0</v>
      </c>
      <c r="Q131" s="2">
        <f>IFERROR(__xludf.DUMMYFUNCTION("""COMPUTED_VALUE"""),2.0)</f>
        <v>2</v>
      </c>
      <c r="R131" s="2">
        <f>IFERROR(__xludf.DUMMYFUNCTION("""COMPUTED_VALUE"""),5.0)</f>
        <v>5</v>
      </c>
      <c r="S131" s="2">
        <f>IFERROR(__xludf.DUMMYFUNCTION("""COMPUTED_VALUE"""),0.0)</f>
        <v>0</v>
      </c>
      <c r="T131" s="2">
        <f>IFERROR(__xludf.DUMMYFUNCTION("""COMPUTED_VALUE"""),0.0)</f>
        <v>0</v>
      </c>
      <c r="U131" s="2">
        <f>IFERROR(__xludf.DUMMYFUNCTION("""COMPUTED_VALUE"""),0.0)</f>
        <v>0</v>
      </c>
      <c r="V131" s="2">
        <f>IFERROR(__xludf.DUMMYFUNCTION("""COMPUTED_VALUE"""),0.0)</f>
        <v>0</v>
      </c>
      <c r="W131" s="2">
        <f>IFERROR(__xludf.DUMMYFUNCTION("""COMPUTED_VALUE"""),0.0)</f>
        <v>0</v>
      </c>
      <c r="X131" s="2">
        <f>IFERROR(__xludf.DUMMYFUNCTION("""COMPUTED_VALUE"""),0.0)</f>
        <v>0</v>
      </c>
      <c r="Y131" s="2">
        <f>IFERROR(__xludf.DUMMYFUNCTION("""COMPUTED_VALUE"""),2.0)</f>
        <v>2</v>
      </c>
      <c r="Z131" s="2" t="str">
        <f>IFERROR(__xludf.DUMMYFUNCTION("""COMPUTED_VALUE"""),"Discontinued")</f>
        <v>Discontinued</v>
      </c>
      <c r="AA131" s="2"/>
      <c r="AB131" s="2">
        <f>IFERROR(__xludf.DUMMYFUNCTION("""COMPUTED_VALUE"""),1.25)</f>
        <v>1.25</v>
      </c>
      <c r="AC131" s="2"/>
      <c r="AD131" s="2"/>
    </row>
    <row r="132">
      <c r="A132" s="2" t="str">
        <f>IFERROR(__xludf.DUMMYFUNCTION("""COMPUTED_VALUE"""),"DC-TS-NW-Grey")</f>
        <v>DC-TS-NW-Grey</v>
      </c>
      <c r="B132" s="2" t="str">
        <f>IFERROR(__xludf.DUMMYFUNCTION("""COMPUTED_VALUE"""),"CRM-DC-TS-NW-GREY-2Q")</f>
        <v>CRM-DC-TS-NW-GREY-2Q</v>
      </c>
      <c r="C132" s="26">
        <f>IFERROR(__xludf.DUMMYFUNCTION("""COMPUTED_VALUE"""),12.0)</f>
        <v>12</v>
      </c>
      <c r="F132" s="26"/>
      <c r="G132" s="26" t="str">
        <f t="shared" si="2"/>
        <v>#N/A</v>
      </c>
      <c r="H132" s="26" t="str">
        <f t="shared" si="3"/>
        <v>#N/A</v>
      </c>
      <c r="K132" s="2" t="str">
        <f>IFERROR(__xludf.DUMMYFUNCTION("""COMPUTED_VALUE"""),"CP-2-Grey (2Q)")</f>
        <v>CP-2-Grey (2Q)</v>
      </c>
      <c r="L132" s="2"/>
      <c r="M132" s="2" t="str">
        <f>IFERROR(__xludf.DUMMYFUNCTION("""COMPUTED_VALUE"""),"Pouch (2Q)")</f>
        <v>Pouch (2Q)</v>
      </c>
      <c r="N132" s="2" t="str">
        <f>IFERROR(__xludf.DUMMYFUNCTION("""COMPUTED_VALUE"""),"AG")</f>
        <v>AG</v>
      </c>
      <c r="O132" s="2">
        <f>IFERROR(__xludf.DUMMYFUNCTION("""COMPUTED_VALUE"""),-10.0)</f>
        <v>-10</v>
      </c>
      <c r="P132" s="2">
        <f>IFERROR(__xludf.DUMMYFUNCTION("""COMPUTED_VALUE"""),70.0)</f>
        <v>70</v>
      </c>
      <c r="Q132" s="2">
        <f>IFERROR(__xludf.DUMMYFUNCTION("""COMPUTED_VALUE"""),80.0)</f>
        <v>80</v>
      </c>
      <c r="R132" s="2">
        <f>IFERROR(__xludf.DUMMYFUNCTION("""COMPUTED_VALUE"""),5.0)</f>
        <v>5</v>
      </c>
      <c r="S132" s="2">
        <f>IFERROR(__xludf.DUMMYFUNCTION("""COMPUTED_VALUE"""),16.0)</f>
        <v>16</v>
      </c>
      <c r="T132" s="2">
        <f>IFERROR(__xludf.DUMMYFUNCTION("""COMPUTED_VALUE"""),44.0)</f>
        <v>44</v>
      </c>
      <c r="U132" s="2">
        <f>IFERROR(__xludf.DUMMYFUNCTION("""COMPUTED_VALUE"""),58.0)</f>
        <v>58</v>
      </c>
      <c r="V132" s="2">
        <f>IFERROR(__xludf.DUMMYFUNCTION("""COMPUTED_VALUE"""),60.0)</f>
        <v>60</v>
      </c>
      <c r="W132" s="2">
        <f>IFERROR(__xludf.DUMMYFUNCTION("""COMPUTED_VALUE"""),53.0)</f>
        <v>53</v>
      </c>
      <c r="X132" s="2">
        <f>IFERROR(__xludf.DUMMYFUNCTION("""COMPUTED_VALUE"""),16.0)</f>
        <v>16</v>
      </c>
      <c r="Y132" s="2">
        <f>IFERROR(__xludf.DUMMYFUNCTION("""COMPUTED_VALUE"""),-4.0)</f>
        <v>-4</v>
      </c>
      <c r="Z132" s="2"/>
      <c r="AA132" s="2"/>
      <c r="AB132" s="2">
        <f>IFERROR(__xludf.DUMMYFUNCTION("""COMPUTED_VALUE"""),1.5)</f>
        <v>1.5</v>
      </c>
      <c r="AC132" s="2"/>
      <c r="AD132" s="2"/>
    </row>
    <row r="133">
      <c r="A133" s="2" t="str">
        <f>IFERROR(__xludf.DUMMYFUNCTION("""COMPUTED_VALUE"""),"DC-TS-NW-Grey")</f>
        <v>DC-TS-NW-Grey</v>
      </c>
      <c r="B133" s="2" t="str">
        <f>IFERROR(__xludf.DUMMYFUNCTION("""COMPUTED_VALUE"""),"CRM-DC-TS-NW-GREY-2Q")</f>
        <v>CRM-DC-TS-NW-GREY-2Q</v>
      </c>
      <c r="C133" s="26">
        <f>IFERROR(__xludf.DUMMYFUNCTION("""COMPUTED_VALUE"""),20.0)</f>
        <v>20</v>
      </c>
      <c r="F133" s="26"/>
      <c r="G133" s="26" t="str">
        <f t="shared" si="2"/>
        <v>#N/A</v>
      </c>
      <c r="H133" s="26" t="str">
        <f t="shared" si="3"/>
        <v>#N/A</v>
      </c>
      <c r="K133" s="2" t="str">
        <f>IFERROR(__xludf.DUMMYFUNCTION("""COMPUTED_VALUE"""),"Cubes-Grey (3Q)")</f>
        <v>Cubes-Grey (3Q)</v>
      </c>
      <c r="L133" s="2"/>
      <c r="M133" s="2" t="str">
        <f>IFERROR(__xludf.DUMMYFUNCTION("""COMPUTED_VALUE"""),"Cubes (3Q)")</f>
        <v>Cubes (3Q)</v>
      </c>
      <c r="N133" s="2" t="str">
        <f>IFERROR(__xludf.DUMMYFUNCTION("""COMPUTED_VALUE"""),"AG")</f>
        <v>AG</v>
      </c>
      <c r="O133" s="2">
        <f>IFERROR(__xludf.DUMMYFUNCTION("""COMPUTED_VALUE"""),299.0)</f>
        <v>299</v>
      </c>
      <c r="P133" s="2">
        <f>IFERROR(__xludf.DUMMYFUNCTION("""COMPUTED_VALUE"""),371.0)</f>
        <v>371</v>
      </c>
      <c r="Q133" s="2">
        <f>IFERROR(__xludf.DUMMYFUNCTION("""COMPUTED_VALUE"""),72.0)</f>
        <v>72</v>
      </c>
      <c r="R133" s="2">
        <f>IFERROR(__xludf.DUMMYFUNCTION("""COMPUTED_VALUE"""),5.0)</f>
        <v>5</v>
      </c>
      <c r="S133" s="2">
        <f>IFERROR(__xludf.DUMMYFUNCTION("""COMPUTED_VALUE"""),277.0)</f>
        <v>277</v>
      </c>
      <c r="T133" s="2">
        <f>IFERROR(__xludf.DUMMYFUNCTION("""COMPUTED_VALUE"""),212.0)</f>
        <v>212</v>
      </c>
      <c r="U133" s="2">
        <f>IFERROR(__xludf.DUMMYFUNCTION("""COMPUTED_VALUE"""),243.0)</f>
        <v>243</v>
      </c>
      <c r="V133" s="2">
        <f>IFERROR(__xludf.DUMMYFUNCTION("""COMPUTED_VALUE"""),212.0)</f>
        <v>212</v>
      </c>
      <c r="W133" s="2">
        <f>IFERROR(__xludf.DUMMYFUNCTION("""COMPUTED_VALUE"""),290.0)</f>
        <v>290</v>
      </c>
      <c r="X133" s="2">
        <f>IFERROR(__xludf.DUMMYFUNCTION("""COMPUTED_VALUE"""),133.0)</f>
        <v>133</v>
      </c>
      <c r="Y133" s="2">
        <f>IFERROR(__xludf.DUMMYFUNCTION("""COMPUTED_VALUE"""),31.0)</f>
        <v>31</v>
      </c>
      <c r="Z133" s="2"/>
      <c r="AA133" s="2"/>
      <c r="AB133" s="2">
        <f>IFERROR(__xludf.DUMMYFUNCTION("""COMPUTED_VALUE"""),1.5)</f>
        <v>1.5</v>
      </c>
      <c r="AC133" s="2"/>
      <c r="AD133" s="2"/>
    </row>
    <row r="134">
      <c r="A134" s="2" t="str">
        <f>IFERROR(__xludf.DUMMYFUNCTION("""COMPUTED_VALUE"""),"DC-TS-NW-Grey")</f>
        <v>DC-TS-NW-Grey</v>
      </c>
      <c r="B134" s="2" t="str">
        <f>IFERROR(__xludf.DUMMYFUNCTION("""COMPUTED_VALUE"""),"CRM-DC-TS-NW-GREY-2Q")</f>
        <v>CRM-DC-TS-NW-GREY-2Q</v>
      </c>
      <c r="C134" s="26">
        <f>IFERROR(__xludf.DUMMYFUNCTION("""COMPUTED_VALUE"""),8.0)</f>
        <v>8</v>
      </c>
      <c r="F134" s="26"/>
      <c r="G134" s="26" t="str">
        <f t="shared" si="2"/>
        <v>#N/A</v>
      </c>
      <c r="H134" s="26" t="str">
        <f t="shared" si="3"/>
        <v>#N/A</v>
      </c>
      <c r="K134" s="2" t="str">
        <f>IFERROR(__xludf.DUMMYFUNCTION("""COMPUTED_VALUE"""),"Cubes-Grey (5Q)")</f>
        <v>Cubes-Grey (5Q)</v>
      </c>
      <c r="L134" s="2"/>
      <c r="M134" s="2" t="str">
        <f>IFERROR(__xludf.DUMMYFUNCTION("""COMPUTED_VALUE"""),"Cubes (5Q)")</f>
        <v>Cubes (5Q)</v>
      </c>
      <c r="N134" s="2" t="str">
        <f>IFERROR(__xludf.DUMMYFUNCTION("""COMPUTED_VALUE"""),"AG")</f>
        <v>AG</v>
      </c>
      <c r="O134" s="2">
        <f>IFERROR(__xludf.DUMMYFUNCTION("""COMPUTED_VALUE"""),32.0)</f>
        <v>32</v>
      </c>
      <c r="P134" s="2">
        <f>IFERROR(__xludf.DUMMYFUNCTION("""COMPUTED_VALUE"""),267.0)</f>
        <v>267</v>
      </c>
      <c r="Q134" s="2">
        <f>IFERROR(__xludf.DUMMYFUNCTION("""COMPUTED_VALUE"""),235.0)</f>
        <v>235</v>
      </c>
      <c r="R134" s="2">
        <f>IFERROR(__xludf.DUMMYFUNCTION("""COMPUTED_VALUE"""),3.0)</f>
        <v>3</v>
      </c>
      <c r="S134" s="2">
        <f>IFERROR(__xludf.DUMMYFUNCTION("""COMPUTED_VALUE"""),62.0)</f>
        <v>62</v>
      </c>
      <c r="T134" s="2">
        <f>IFERROR(__xludf.DUMMYFUNCTION("""COMPUTED_VALUE"""),123.0)</f>
        <v>123</v>
      </c>
      <c r="U134" s="2">
        <f>IFERROR(__xludf.DUMMYFUNCTION("""COMPUTED_VALUE"""),150.0)</f>
        <v>150</v>
      </c>
      <c r="V134" s="2">
        <f>IFERROR(__xludf.DUMMYFUNCTION("""COMPUTED_VALUE"""),54.0)</f>
        <v>54</v>
      </c>
      <c r="W134" s="2">
        <f>IFERROR(__xludf.DUMMYFUNCTION("""COMPUTED_VALUE"""),144.0)</f>
        <v>144</v>
      </c>
      <c r="X134" s="2">
        <f>IFERROR(__xludf.DUMMYFUNCTION("""COMPUTED_VALUE"""),166.0)</f>
        <v>166</v>
      </c>
      <c r="Y134" s="2">
        <f>IFERROR(__xludf.DUMMYFUNCTION("""COMPUTED_VALUE"""),20.0)</f>
        <v>20</v>
      </c>
      <c r="Z134" s="2"/>
      <c r="AA134" s="2"/>
      <c r="AB134" s="2">
        <f>IFERROR(__xludf.DUMMYFUNCTION("""COMPUTED_VALUE"""),1.5)</f>
        <v>1.5</v>
      </c>
      <c r="AC134" s="2"/>
      <c r="AD134" s="2"/>
    </row>
    <row r="135">
      <c r="A135" s="2" t="str">
        <f>IFERROR(__xludf.DUMMYFUNCTION("""COMPUTED_VALUE"""),"DC-TS-NW-Grey")</f>
        <v>DC-TS-NW-Grey</v>
      </c>
      <c r="B135" s="2" t="str">
        <f>IFERROR(__xludf.DUMMYFUNCTION("""COMPUTED_VALUE"""),"CRM-DC-TS-NW-GREY-2Q")</f>
        <v>CRM-DC-TS-NW-GREY-2Q</v>
      </c>
      <c r="C135" s="26">
        <f>IFERROR(__xludf.DUMMYFUNCTION("""COMPUTED_VALUE"""),0.0)</f>
        <v>0</v>
      </c>
      <c r="F135" s="26"/>
      <c r="G135" s="26" t="str">
        <f t="shared" si="2"/>
        <v>#N/A</v>
      </c>
      <c r="H135" s="26" t="str">
        <f t="shared" si="3"/>
        <v>#N/A</v>
      </c>
      <c r="K135" s="2" t="str">
        <f>IFERROR(__xludf.DUMMYFUNCTION("""COMPUTED_VALUE"""),"Cubes-Grey (12Q)")</f>
        <v>Cubes-Grey (12Q)</v>
      </c>
      <c r="L135" s="2"/>
      <c r="M135" s="2" t="str">
        <f>IFERROR(__xludf.DUMMYFUNCTION("""COMPUTED_VALUE"""),"Cubes (12Q)")</f>
        <v>Cubes (12Q)</v>
      </c>
      <c r="N135" s="2" t="str">
        <f>IFERROR(__xludf.DUMMYFUNCTION("""COMPUTED_VALUE"""),"AG")</f>
        <v>AG</v>
      </c>
      <c r="O135" s="2">
        <f>IFERROR(__xludf.DUMMYFUNCTION("""COMPUTED_VALUE"""),-15.0)</f>
        <v>-15</v>
      </c>
      <c r="P135" s="2">
        <f>IFERROR(__xludf.DUMMYFUNCTION("""COMPUTED_VALUE"""),0.0)</f>
        <v>0</v>
      </c>
      <c r="Q135" s="2">
        <f>IFERROR(__xludf.DUMMYFUNCTION("""COMPUTED_VALUE"""),15.0)</f>
        <v>15</v>
      </c>
      <c r="R135" s="2">
        <f>IFERROR(__xludf.DUMMYFUNCTION("""COMPUTED_VALUE"""),1.0)</f>
        <v>1</v>
      </c>
      <c r="S135" s="2">
        <f>IFERROR(__xludf.DUMMYFUNCTION("""COMPUTED_VALUE"""),0.0)</f>
        <v>0</v>
      </c>
      <c r="T135" s="2">
        <f>IFERROR(__xludf.DUMMYFUNCTION("""COMPUTED_VALUE"""),0.0)</f>
        <v>0</v>
      </c>
      <c r="U135" s="2">
        <f>IFERROR(__xludf.DUMMYFUNCTION("""COMPUTED_VALUE"""),0.0)</f>
        <v>0</v>
      </c>
      <c r="V135" s="2">
        <f>IFERROR(__xludf.DUMMYFUNCTION("""COMPUTED_VALUE"""),0.0)</f>
        <v>0</v>
      </c>
      <c r="W135" s="2">
        <f>IFERROR(__xludf.DUMMYFUNCTION("""COMPUTED_VALUE"""),0.0)</f>
        <v>0</v>
      </c>
      <c r="X135" s="2">
        <f>IFERROR(__xludf.DUMMYFUNCTION("""COMPUTED_VALUE"""),20.0)</f>
        <v>20</v>
      </c>
      <c r="Y135" s="2">
        <f>IFERROR(__xludf.DUMMYFUNCTION("""COMPUTED_VALUE"""),0.0)</f>
        <v>0</v>
      </c>
      <c r="Z135" s="2"/>
      <c r="AA135" s="2"/>
      <c r="AB135" s="2"/>
      <c r="AC135" s="2"/>
      <c r="AD135" s="2"/>
    </row>
    <row r="136">
      <c r="A136" s="2" t="str">
        <f>IFERROR(__xludf.DUMMYFUNCTION("""COMPUTED_VALUE"""),"DC-TS-NW-Grey")</f>
        <v>DC-TS-NW-Grey</v>
      </c>
      <c r="B136" s="2" t="str">
        <f>IFERROR(__xludf.DUMMYFUNCTION("""COMPUTED_VALUE"""),"CRM-DC-TS-NW-GREY-2Q")</f>
        <v>CRM-DC-TS-NW-GREY-2Q</v>
      </c>
      <c r="C136" s="26">
        <f>IFERROR(__xludf.DUMMYFUNCTION("""COMPUTED_VALUE"""),8.0)</f>
        <v>8</v>
      </c>
      <c r="F136" s="26"/>
      <c r="G136" s="26" t="str">
        <f t="shared" si="2"/>
        <v>#N/A</v>
      </c>
      <c r="H136" s="26" t="str">
        <f t="shared" si="3"/>
        <v>#N/A</v>
      </c>
      <c r="K136" s="2" t="str">
        <f>IFERROR(__xludf.DUMMYFUNCTION("""COMPUTED_VALUE"""),"CGB2-BLUE")</f>
        <v>CGB2-BLUE</v>
      </c>
      <c r="L136" s="2"/>
      <c r="M136" s="2" t="str">
        <f>IFERROR(__xludf.DUMMYFUNCTION("""COMPUTED_VALUE"""),"Gym Bag")</f>
        <v>Gym Bag</v>
      </c>
      <c r="N136" s="2" t="str">
        <f>IFERROR(__xludf.DUMMYFUNCTION("""COMPUTED_VALUE"""),"AG")</f>
        <v>AG</v>
      </c>
      <c r="O136" s="2">
        <f>IFERROR(__xludf.DUMMYFUNCTION("""COMPUTED_VALUE"""),-48.0)</f>
        <v>-48</v>
      </c>
      <c r="P136" s="2">
        <f>IFERROR(__xludf.DUMMYFUNCTION("""COMPUTED_VALUE"""),7.0)</f>
        <v>7</v>
      </c>
      <c r="Q136" s="2">
        <f>IFERROR(__xludf.DUMMYFUNCTION("""COMPUTED_VALUE"""),55.0)</f>
        <v>55</v>
      </c>
      <c r="R136" s="2">
        <f>IFERROR(__xludf.DUMMYFUNCTION("""COMPUTED_VALUE"""),5.0)</f>
        <v>5</v>
      </c>
      <c r="S136" s="2">
        <f>IFERROR(__xludf.DUMMYFUNCTION("""COMPUTED_VALUE"""),0.0)</f>
        <v>0</v>
      </c>
      <c r="T136" s="2">
        <f>IFERROR(__xludf.DUMMYFUNCTION("""COMPUTED_VALUE"""),5.0)</f>
        <v>5</v>
      </c>
      <c r="U136" s="2">
        <f>IFERROR(__xludf.DUMMYFUNCTION("""COMPUTED_VALUE"""),9.0)</f>
        <v>9</v>
      </c>
      <c r="V136" s="2">
        <f>IFERROR(__xludf.DUMMYFUNCTION("""COMPUTED_VALUE"""),8.0)</f>
        <v>8</v>
      </c>
      <c r="W136" s="2">
        <f>IFERROR(__xludf.DUMMYFUNCTION("""COMPUTED_VALUE"""),5.0)</f>
        <v>5</v>
      </c>
      <c r="X136" s="2">
        <f>IFERROR(__xludf.DUMMYFUNCTION("""COMPUTED_VALUE"""),7.0)</f>
        <v>7</v>
      </c>
      <c r="Y136" s="2">
        <f>IFERROR(__xludf.DUMMYFUNCTION("""COMPUTED_VALUE"""),61.0)</f>
        <v>61</v>
      </c>
      <c r="Z136" s="2" t="str">
        <f>IFERROR(__xludf.DUMMYFUNCTION("""COMPUTED_VALUE"""),"Discontinued")</f>
        <v>Discontinued</v>
      </c>
      <c r="AA136" s="2"/>
      <c r="AB136" s="2">
        <f>IFERROR(__xludf.DUMMYFUNCTION("""COMPUTED_VALUE"""),1.25)</f>
        <v>1.25</v>
      </c>
      <c r="AC136" s="2"/>
      <c r="AD136" s="2"/>
    </row>
    <row r="137">
      <c r="A137" s="2" t="str">
        <f>IFERROR(__xludf.DUMMYFUNCTION("""COMPUTED_VALUE"""),"DC-TS-NW-Grey")</f>
        <v>DC-TS-NW-Grey</v>
      </c>
      <c r="B137" s="2" t="str">
        <f>IFERROR(__xludf.DUMMYFUNCTION("""COMPUTED_VALUE"""),"CRM-DC-TS-NW-GREY-2Q")</f>
        <v>CRM-DC-TS-NW-GREY-2Q</v>
      </c>
      <c r="C137" s="26">
        <f>IFERROR(__xludf.DUMMYFUNCTION("""COMPUTED_VALUE"""),0.0)</f>
        <v>0</v>
      </c>
      <c r="F137" s="26"/>
      <c r="G137" s="26" t="str">
        <f t="shared" si="2"/>
        <v>#N/A</v>
      </c>
      <c r="H137" s="26" t="str">
        <f t="shared" si="3"/>
        <v>#N/A</v>
      </c>
      <c r="K137" s="2" t="str">
        <f>IFERROR(__xludf.DUMMYFUNCTION("""COMPUTED_VALUE"""),"CGB2-MAROON")</f>
        <v>CGB2-MAROON</v>
      </c>
      <c r="L137" s="2"/>
      <c r="M137" s="2" t="str">
        <f>IFERROR(__xludf.DUMMYFUNCTION("""COMPUTED_VALUE"""),"Gym Bag")</f>
        <v>Gym Bag</v>
      </c>
      <c r="N137" s="2" t="str">
        <f>IFERROR(__xludf.DUMMYFUNCTION("""COMPUTED_VALUE"""),"AG")</f>
        <v>AG</v>
      </c>
      <c r="O137" s="2">
        <f>IFERROR(__xludf.DUMMYFUNCTION("""COMPUTED_VALUE"""),4.0)</f>
        <v>4</v>
      </c>
      <c r="P137" s="2">
        <f>IFERROR(__xludf.DUMMYFUNCTION("""COMPUTED_VALUE"""),4.0)</f>
        <v>4</v>
      </c>
      <c r="Q137" s="2">
        <f>IFERROR(__xludf.DUMMYFUNCTION("""COMPUTED_VALUE"""),0.0)</f>
        <v>0</v>
      </c>
      <c r="R137" s="2">
        <f>IFERROR(__xludf.DUMMYFUNCTION("""COMPUTED_VALUE"""),5.0)</f>
        <v>5</v>
      </c>
      <c r="S137" s="2">
        <f>IFERROR(__xludf.DUMMYFUNCTION("""COMPUTED_VALUE"""),3.0)</f>
        <v>3</v>
      </c>
      <c r="T137" s="2">
        <f>IFERROR(__xludf.DUMMYFUNCTION("""COMPUTED_VALUE"""),7.0)</f>
        <v>7</v>
      </c>
      <c r="U137" s="2">
        <f>IFERROR(__xludf.DUMMYFUNCTION("""COMPUTED_VALUE"""),2.0)</f>
        <v>2</v>
      </c>
      <c r="V137" s="2">
        <f>IFERROR(__xludf.DUMMYFUNCTION("""COMPUTED_VALUE"""),1.0)</f>
        <v>1</v>
      </c>
      <c r="W137" s="2">
        <f>IFERROR(__xludf.DUMMYFUNCTION("""COMPUTED_VALUE"""),3.0)</f>
        <v>3</v>
      </c>
      <c r="X137" s="2">
        <f>IFERROR(__xludf.DUMMYFUNCTION("""COMPUTED_VALUE"""),1.0)</f>
        <v>1</v>
      </c>
      <c r="Y137" s="2">
        <f>IFERROR(__xludf.DUMMYFUNCTION("""COMPUTED_VALUE"""),0.0)</f>
        <v>0</v>
      </c>
      <c r="Z137" s="2" t="str">
        <f>IFERROR(__xludf.DUMMYFUNCTION("""COMPUTED_VALUE"""),"Discontinued")</f>
        <v>Discontinued</v>
      </c>
      <c r="AA137" s="2"/>
      <c r="AB137" s="2">
        <f>IFERROR(__xludf.DUMMYFUNCTION("""COMPUTED_VALUE"""),1.25)</f>
        <v>1.25</v>
      </c>
      <c r="AC137" s="2"/>
      <c r="AD137" s="2"/>
    </row>
    <row r="138">
      <c r="A138" s="2" t="str">
        <f>IFERROR(__xludf.DUMMYFUNCTION("""COMPUTED_VALUE"""),"DC-TS-NW-Grey")</f>
        <v>DC-TS-NW-Grey</v>
      </c>
      <c r="B138" s="2" t="str">
        <f>IFERROR(__xludf.DUMMYFUNCTION("""COMPUTED_VALUE"""),"CRM-DC-TS-NW-GREY-2Q")</f>
        <v>CRM-DC-TS-NW-GREY-2Q</v>
      </c>
      <c r="C138" s="26">
        <f>IFERROR(__xludf.DUMMYFUNCTION("""COMPUTED_VALUE"""),0.0)</f>
        <v>0</v>
      </c>
      <c r="F138" s="26"/>
      <c r="G138" s="26" t="str">
        <f t="shared" si="2"/>
        <v>#N/A</v>
      </c>
      <c r="H138" s="26" t="str">
        <f t="shared" si="3"/>
        <v>#N/A</v>
      </c>
      <c r="K138" s="2" t="str">
        <f>IFERROR(__xludf.DUMMYFUNCTION("""COMPUTED_VALUE"""),"CGB2-GREY")</f>
        <v>CGB2-GREY</v>
      </c>
      <c r="L138" s="2"/>
      <c r="M138" s="2" t="str">
        <f>IFERROR(__xludf.DUMMYFUNCTION("""COMPUTED_VALUE"""),"Gym Bag")</f>
        <v>Gym Bag</v>
      </c>
      <c r="N138" s="2" t="str">
        <f>IFERROR(__xludf.DUMMYFUNCTION("""COMPUTED_VALUE"""),"AG")</f>
        <v>AG</v>
      </c>
      <c r="O138" s="2">
        <f>IFERROR(__xludf.DUMMYFUNCTION("""COMPUTED_VALUE"""),-19.0)</f>
        <v>-19</v>
      </c>
      <c r="P138" s="2">
        <f>IFERROR(__xludf.DUMMYFUNCTION("""COMPUTED_VALUE"""),19.0)</f>
        <v>19</v>
      </c>
      <c r="Q138" s="2">
        <f>IFERROR(__xludf.DUMMYFUNCTION("""COMPUTED_VALUE"""),38.0)</f>
        <v>38</v>
      </c>
      <c r="R138" s="2">
        <f>IFERROR(__xludf.DUMMYFUNCTION("""COMPUTED_VALUE"""),5.0)</f>
        <v>5</v>
      </c>
      <c r="S138" s="2">
        <f>IFERROR(__xludf.DUMMYFUNCTION("""COMPUTED_VALUE"""),0.0)</f>
        <v>0</v>
      </c>
      <c r="T138" s="2">
        <f>IFERROR(__xludf.DUMMYFUNCTION("""COMPUTED_VALUE"""),32.0)</f>
        <v>32</v>
      </c>
      <c r="U138" s="2">
        <f>IFERROR(__xludf.DUMMYFUNCTION("""COMPUTED_VALUE"""),23.0)</f>
        <v>23</v>
      </c>
      <c r="V138" s="2">
        <f>IFERROR(__xludf.DUMMYFUNCTION("""COMPUTED_VALUE"""),0.0)</f>
        <v>0</v>
      </c>
      <c r="W138" s="2">
        <f>IFERROR(__xludf.DUMMYFUNCTION("""COMPUTED_VALUE"""),20.0)</f>
        <v>20</v>
      </c>
      <c r="X138" s="2">
        <f>IFERROR(__xludf.DUMMYFUNCTION("""COMPUTED_VALUE"""),0.0)</f>
        <v>0</v>
      </c>
      <c r="Y138" s="2">
        <f>IFERROR(__xludf.DUMMYFUNCTION("""COMPUTED_VALUE"""),38.0)</f>
        <v>38</v>
      </c>
      <c r="Z138" s="2" t="str">
        <f>IFERROR(__xludf.DUMMYFUNCTION("""COMPUTED_VALUE"""),"Discontinued")</f>
        <v>Discontinued</v>
      </c>
      <c r="AA138" s="2"/>
      <c r="AB138" s="2">
        <f>IFERROR(__xludf.DUMMYFUNCTION("""COMPUTED_VALUE"""),1.25)</f>
        <v>1.25</v>
      </c>
      <c r="AC138" s="2"/>
      <c r="AD138" s="2"/>
    </row>
    <row r="139">
      <c r="A139" s="2" t="str">
        <f>IFERROR(__xludf.DUMMYFUNCTION("""COMPUTED_VALUE"""),"DC-TS-NW-Grey")</f>
        <v>DC-TS-NW-Grey</v>
      </c>
      <c r="B139" s="2" t="str">
        <f>IFERROR(__xludf.DUMMYFUNCTION("""COMPUTED_VALUE"""),"CRM-DC-TS-NW-GREY-2Q")</f>
        <v>CRM-DC-TS-NW-GREY-2Q</v>
      </c>
      <c r="C139" s="26">
        <f>IFERROR(__xludf.DUMMYFUNCTION("""COMPUTED_VALUE"""),8.0)</f>
        <v>8</v>
      </c>
      <c r="F139" s="26"/>
      <c r="G139" s="26" t="str">
        <f t="shared" si="2"/>
        <v>#N/A</v>
      </c>
      <c r="H139" s="26" t="str">
        <f t="shared" si="3"/>
        <v>#N/A</v>
      </c>
      <c r="K139" s="2" t="str">
        <f>IFERROR(__xludf.DUMMYFUNCTION("""COMPUTED_VALUE"""),"CSB2-BLACK")</f>
        <v>CSB2-BLACK</v>
      </c>
      <c r="L139" s="2"/>
      <c r="M139" s="2" t="str">
        <f>IFERROR(__xludf.DUMMYFUNCTION("""COMPUTED_VALUE"""),"Sling Bag")</f>
        <v>Sling Bag</v>
      </c>
      <c r="N139" s="2" t="str">
        <f>IFERROR(__xludf.DUMMYFUNCTION("""COMPUTED_VALUE"""),"Ag")</f>
        <v>Ag</v>
      </c>
      <c r="O139" s="2">
        <f>IFERROR(__xludf.DUMMYFUNCTION("""COMPUTED_VALUE"""),5.0)</f>
        <v>5</v>
      </c>
      <c r="P139" s="2">
        <f>IFERROR(__xludf.DUMMYFUNCTION("""COMPUTED_VALUE"""),2.0)</f>
        <v>2</v>
      </c>
      <c r="Q139" s="2">
        <f>IFERROR(__xludf.DUMMYFUNCTION("""COMPUTED_VALUE"""),-3.0)</f>
        <v>-3</v>
      </c>
      <c r="R139" s="2">
        <f>IFERROR(__xludf.DUMMYFUNCTION("""COMPUTED_VALUE"""),5.0)</f>
        <v>5</v>
      </c>
      <c r="S139" s="2">
        <f>IFERROR(__xludf.DUMMYFUNCTION("""COMPUTED_VALUE"""),2.0)</f>
        <v>2</v>
      </c>
      <c r="T139" s="2">
        <f>IFERROR(__xludf.DUMMYFUNCTION("""COMPUTED_VALUE"""),1.0)</f>
        <v>1</v>
      </c>
      <c r="U139" s="2">
        <f>IFERROR(__xludf.DUMMYFUNCTION("""COMPUTED_VALUE"""),0.0)</f>
        <v>0</v>
      </c>
      <c r="V139" s="2">
        <f>IFERROR(__xludf.DUMMYFUNCTION("""COMPUTED_VALUE"""),1.0)</f>
        <v>1</v>
      </c>
      <c r="W139" s="2">
        <f>IFERROR(__xludf.DUMMYFUNCTION("""COMPUTED_VALUE"""),2.0)</f>
        <v>2</v>
      </c>
      <c r="X139" s="2">
        <f>IFERROR(__xludf.DUMMYFUNCTION("""COMPUTED_VALUE"""),0.0)</f>
        <v>0</v>
      </c>
      <c r="Y139" s="2">
        <f>IFERROR(__xludf.DUMMYFUNCTION("""COMPUTED_VALUE"""),-3.0)</f>
        <v>-3</v>
      </c>
      <c r="Z139" s="2" t="str">
        <f>IFERROR(__xludf.DUMMYFUNCTION("""COMPUTED_VALUE"""),"Discontinued")</f>
        <v>Discontinued</v>
      </c>
      <c r="AA139" s="2"/>
      <c r="AB139" s="2">
        <f>IFERROR(__xludf.DUMMYFUNCTION("""COMPUTED_VALUE"""),1.25)</f>
        <v>1.25</v>
      </c>
      <c r="AC139" s="2"/>
      <c r="AD139" s="2"/>
    </row>
    <row r="140">
      <c r="A140" s="2" t="str">
        <f>IFERROR(__xludf.DUMMYFUNCTION("""COMPUTED_VALUE"""),"L3110 (Grey)")</f>
        <v>L3110 (Grey)</v>
      </c>
      <c r="B140" s="2" t="str">
        <f>IFERROR(__xludf.DUMMYFUNCTION("""COMPUTED_VALUE"""),"CRM-EP-L3210-NW-GREY")</f>
        <v>CRM-EP-L3210-NW-GREY</v>
      </c>
      <c r="C140" s="26">
        <f>IFERROR(__xludf.DUMMYFUNCTION("""COMPUTED_VALUE"""),18.0)</f>
        <v>18</v>
      </c>
      <c r="F140" s="26"/>
      <c r="G140" s="26" t="str">
        <f t="shared" si="2"/>
        <v>#N/A</v>
      </c>
      <c r="H140" s="26" t="str">
        <f t="shared" si="3"/>
        <v>#N/A</v>
      </c>
      <c r="K140" s="2" t="str">
        <f>IFERROR(__xludf.DUMMYFUNCTION("""COMPUTED_VALUE"""),"CP3-Grey")</f>
        <v>CP3-Grey</v>
      </c>
      <c r="L140" s="2"/>
      <c r="M140" s="2" t="str">
        <f>IFERROR(__xludf.DUMMYFUNCTION("""COMPUTED_VALUE"""),"Pouch")</f>
        <v>Pouch</v>
      </c>
      <c r="N140" s="2" t="str">
        <f>IFERROR(__xludf.DUMMYFUNCTION("""COMPUTED_VALUE"""),"Ag")</f>
        <v>Ag</v>
      </c>
      <c r="O140" s="2">
        <f>IFERROR(__xludf.DUMMYFUNCTION("""COMPUTED_VALUE"""),13.0)</f>
        <v>13</v>
      </c>
      <c r="P140" s="2">
        <f>IFERROR(__xludf.DUMMYFUNCTION("""COMPUTED_VALUE"""),15.0)</f>
        <v>15</v>
      </c>
      <c r="Q140" s="2">
        <f>IFERROR(__xludf.DUMMYFUNCTION("""COMPUTED_VALUE"""),2.0)</f>
        <v>2</v>
      </c>
      <c r="R140" s="2">
        <f>IFERROR(__xludf.DUMMYFUNCTION("""COMPUTED_VALUE"""),5.0)</f>
        <v>5</v>
      </c>
      <c r="S140" s="2">
        <f>IFERROR(__xludf.DUMMYFUNCTION("""COMPUTED_VALUE"""),19.0)</f>
        <v>19</v>
      </c>
      <c r="T140" s="2">
        <f>IFERROR(__xludf.DUMMYFUNCTION("""COMPUTED_VALUE"""),5.0)</f>
        <v>5</v>
      </c>
      <c r="U140" s="2">
        <f>IFERROR(__xludf.DUMMYFUNCTION("""COMPUTED_VALUE"""),4.0)</f>
        <v>4</v>
      </c>
      <c r="V140" s="2">
        <f>IFERROR(__xludf.DUMMYFUNCTION("""COMPUTED_VALUE"""),12.0)</f>
        <v>12</v>
      </c>
      <c r="W140" s="2">
        <f>IFERROR(__xludf.DUMMYFUNCTION("""COMPUTED_VALUE"""),18.0)</f>
        <v>18</v>
      </c>
      <c r="X140" s="2">
        <f>IFERROR(__xludf.DUMMYFUNCTION("""COMPUTED_VALUE"""),1.0)</f>
        <v>1</v>
      </c>
      <c r="Y140" s="2">
        <f>IFERROR(__xludf.DUMMYFUNCTION("""COMPUTED_VALUE"""),2.0)</f>
        <v>2</v>
      </c>
      <c r="Z140" s="2" t="str">
        <f>IFERROR(__xludf.DUMMYFUNCTION("""COMPUTED_VALUE"""),"Discontinued")</f>
        <v>Discontinued</v>
      </c>
      <c r="AA140" s="2"/>
      <c r="AB140" s="2">
        <f>IFERROR(__xludf.DUMMYFUNCTION("""COMPUTED_VALUE"""),1.25)</f>
        <v>1.25</v>
      </c>
      <c r="AC140" s="2"/>
      <c r="AD140" s="2"/>
    </row>
    <row r="141">
      <c r="A141" s="2" t="str">
        <f>IFERROR(__xludf.DUMMYFUNCTION("""COMPUTED_VALUE"""),"L3110 (Grey)")</f>
        <v>L3110 (Grey)</v>
      </c>
      <c r="B141" s="2" t="str">
        <f>IFERROR(__xludf.DUMMYFUNCTION("""COMPUTED_VALUE"""),"CRM-EP-L3210-NW-GREY")</f>
        <v>CRM-EP-L3210-NW-GREY</v>
      </c>
      <c r="C141" s="26">
        <f>IFERROR(__xludf.DUMMYFUNCTION("""COMPUTED_VALUE"""),4.0)</f>
        <v>4</v>
      </c>
      <c r="F141" s="26"/>
      <c r="G141" s="26" t="str">
        <f t="shared" si="2"/>
        <v>#N/A</v>
      </c>
      <c r="H141" s="26" t="str">
        <f t="shared" si="3"/>
        <v>#N/A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 t="str">
        <f>IFERROR(__xludf.DUMMYFUNCTION("""COMPUTED_VALUE"""),"L3110 (Grey)")</f>
        <v>L3110 (Grey)</v>
      </c>
      <c r="B142" s="2" t="str">
        <f>IFERROR(__xludf.DUMMYFUNCTION("""COMPUTED_VALUE"""),"CRM-EP-L3210-NW-GREY")</f>
        <v>CRM-EP-L3210-NW-GREY</v>
      </c>
      <c r="C142" s="26">
        <f>IFERROR(__xludf.DUMMYFUNCTION("""COMPUTED_VALUE"""),6.0)</f>
        <v>6</v>
      </c>
      <c r="F142" s="26"/>
      <c r="G142" s="26" t="str">
        <f t="shared" si="2"/>
        <v>#N/A</v>
      </c>
      <c r="H142" s="26" t="str">
        <f t="shared" si="3"/>
        <v>#N/A</v>
      </c>
      <c r="K142" s="2" t="str">
        <f>IFERROR(__xludf.DUMMYFUNCTION("""COMPUTED_VALUE"""),"CBP1-BLACK")</f>
        <v>CBP1-BLACK</v>
      </c>
      <c r="L142" s="2"/>
      <c r="M142" s="2" t="str">
        <f>IFERROR(__xludf.DUMMYFUNCTION("""COMPUTED_VALUE"""),"Backpack")</f>
        <v>Backpack</v>
      </c>
      <c r="N142" s="2" t="str">
        <f>IFERROR(__xludf.DUMMYFUNCTION("""COMPUTED_VALUE"""),"AG")</f>
        <v>AG</v>
      </c>
      <c r="O142" s="2">
        <f>IFERROR(__xludf.DUMMYFUNCTION("""COMPUTED_VALUE"""),0.0)</f>
        <v>0</v>
      </c>
      <c r="P142" s="2">
        <f>IFERROR(__xludf.DUMMYFUNCTION("""COMPUTED_VALUE"""),0.0)</f>
        <v>0</v>
      </c>
      <c r="Q142" s="2">
        <f>IFERROR(__xludf.DUMMYFUNCTION("""COMPUTED_VALUE"""),0.0)</f>
        <v>0</v>
      </c>
      <c r="R142" s="2">
        <f>IFERROR(__xludf.DUMMYFUNCTION("""COMPUTED_VALUE"""),0.0)</f>
        <v>0</v>
      </c>
      <c r="S142" s="2">
        <f>IFERROR(__xludf.DUMMYFUNCTION("""COMPUTED_VALUE"""),0.0)</f>
        <v>0</v>
      </c>
      <c r="T142" s="2">
        <f>IFERROR(__xludf.DUMMYFUNCTION("""COMPUTED_VALUE"""),0.0)</f>
        <v>0</v>
      </c>
      <c r="U142" s="2">
        <f>IFERROR(__xludf.DUMMYFUNCTION("""COMPUTED_VALUE"""),0.0)</f>
        <v>0</v>
      </c>
      <c r="V142" s="2">
        <f>IFERROR(__xludf.DUMMYFUNCTION("""COMPUTED_VALUE"""),0.0)</f>
        <v>0</v>
      </c>
      <c r="W142" s="2">
        <f>IFERROR(__xludf.DUMMYFUNCTION("""COMPUTED_VALUE"""),0.0)</f>
        <v>0</v>
      </c>
      <c r="X142" s="2">
        <f>IFERROR(__xludf.DUMMYFUNCTION("""COMPUTED_VALUE"""),0.0)</f>
        <v>0</v>
      </c>
      <c r="Y142" s="2">
        <f>IFERROR(__xludf.DUMMYFUNCTION("""COMPUTED_VALUE"""),0.0)</f>
        <v>0</v>
      </c>
      <c r="Z142" s="2" t="str">
        <f>IFERROR(__xludf.DUMMYFUNCTION("""COMPUTED_VALUE"""),"Discontinued")</f>
        <v>Discontinued</v>
      </c>
      <c r="AA142" s="2"/>
      <c r="AB142" s="2">
        <f>IFERROR(__xludf.DUMMYFUNCTION("""COMPUTED_VALUE"""),1.25)</f>
        <v>1.25</v>
      </c>
      <c r="AC142" s="2"/>
      <c r="AD142" s="2"/>
    </row>
    <row r="143">
      <c r="A143" s="2" t="str">
        <f>IFERROR(__xludf.DUMMYFUNCTION("""COMPUTED_VALUE"""),"L3110 (Grey)")</f>
        <v>L3110 (Grey)</v>
      </c>
      <c r="B143" s="2" t="str">
        <f>IFERROR(__xludf.DUMMYFUNCTION("""COMPUTED_VALUE"""),"CRM-EP-L3210-NW-GREY")</f>
        <v>CRM-EP-L3210-NW-GREY</v>
      </c>
      <c r="C143" s="26">
        <f>IFERROR(__xludf.DUMMYFUNCTION("""COMPUTED_VALUE"""),6.0)</f>
        <v>6</v>
      </c>
      <c r="F143" s="26"/>
      <c r="G143" s="26" t="str">
        <f t="shared" si="2"/>
        <v>#N/A</v>
      </c>
      <c r="H143" s="26" t="str">
        <f t="shared" si="3"/>
        <v>#N/A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 t="str">
        <f>IFERROR(__xludf.DUMMYFUNCTION("""COMPUTED_VALUE"""),"L3110 (Grey)")</f>
        <v>L3110 (Grey)</v>
      </c>
      <c r="B144" s="2" t="str">
        <f>IFERROR(__xludf.DUMMYFUNCTION("""COMPUTED_VALUE"""),"CRM-EP-L3210-NW-GREY")</f>
        <v>CRM-EP-L3210-NW-GREY</v>
      </c>
      <c r="C144" s="26">
        <f>IFERROR(__xludf.DUMMYFUNCTION("""COMPUTED_VALUE"""),18.0)</f>
        <v>18</v>
      </c>
      <c r="F144" s="26"/>
      <c r="G144" s="26" t="str">
        <f t="shared" si="2"/>
        <v>#N/A</v>
      </c>
      <c r="H144" s="26" t="str">
        <f t="shared" si="3"/>
        <v>#N/A</v>
      </c>
      <c r="K144" s="2" t="str">
        <f>IFERROR(__xludf.DUMMYFUNCTION("""COMPUTED_VALUE"""),"CGB1-Black-Grey")</f>
        <v>CGB1-Black-Grey</v>
      </c>
      <c r="L144" s="2"/>
      <c r="M144" s="2" t="str">
        <f>IFERROR(__xludf.DUMMYFUNCTION("""COMPUTED_VALUE"""),"Gym Bag")</f>
        <v>Gym Bag</v>
      </c>
      <c r="N144" s="2" t="str">
        <f>IFERROR(__xludf.DUMMYFUNCTION("""COMPUTED_VALUE"""),"AG")</f>
        <v>AG</v>
      </c>
      <c r="O144" s="2">
        <f>IFERROR(__xludf.DUMMYFUNCTION("""COMPUTED_VALUE"""),8.0)</f>
        <v>8</v>
      </c>
      <c r="P144" s="2">
        <f>IFERROR(__xludf.DUMMYFUNCTION("""COMPUTED_VALUE"""),7.0)</f>
        <v>7</v>
      </c>
      <c r="Q144" s="2">
        <f>IFERROR(__xludf.DUMMYFUNCTION("""COMPUTED_VALUE"""),-1.0)</f>
        <v>-1</v>
      </c>
      <c r="R144" s="2">
        <f>IFERROR(__xludf.DUMMYFUNCTION("""COMPUTED_VALUE"""),5.0)</f>
        <v>5</v>
      </c>
      <c r="S144" s="2">
        <f>IFERROR(__xludf.DUMMYFUNCTION("""COMPUTED_VALUE"""),10.0)</f>
        <v>10</v>
      </c>
      <c r="T144" s="2">
        <f>IFERROR(__xludf.DUMMYFUNCTION("""COMPUTED_VALUE"""),13.0)</f>
        <v>13</v>
      </c>
      <c r="U144" s="2">
        <f>IFERROR(__xludf.DUMMYFUNCTION("""COMPUTED_VALUE"""),3.0)</f>
        <v>3</v>
      </c>
      <c r="V144" s="2">
        <f>IFERROR(__xludf.DUMMYFUNCTION("""COMPUTED_VALUE"""),0.0)</f>
        <v>0</v>
      </c>
      <c r="W144" s="2">
        <f>IFERROR(__xludf.DUMMYFUNCTION("""COMPUTED_VALUE"""),0.0)</f>
        <v>0</v>
      </c>
      <c r="X144" s="2">
        <f>IFERROR(__xludf.DUMMYFUNCTION("""COMPUTED_VALUE"""),1.0)</f>
        <v>1</v>
      </c>
      <c r="Y144" s="2">
        <f>IFERROR(__xludf.DUMMYFUNCTION("""COMPUTED_VALUE"""),0.0)</f>
        <v>0</v>
      </c>
      <c r="Z144" s="2" t="str">
        <f>IFERROR(__xludf.DUMMYFUNCTION("""COMPUTED_VALUE"""),"Discontinued")</f>
        <v>Discontinued</v>
      </c>
      <c r="AA144" s="2"/>
      <c r="AB144" s="2">
        <f>IFERROR(__xludf.DUMMYFUNCTION("""COMPUTED_VALUE"""),1.25)</f>
        <v>1.25</v>
      </c>
      <c r="AC144" s="2"/>
      <c r="AD144" s="2"/>
    </row>
    <row r="145">
      <c r="A145" s="2" t="str">
        <f>IFERROR(__xludf.DUMMYFUNCTION("""COMPUTED_VALUE"""),"L3110 (Grey)")</f>
        <v>L3110 (Grey)</v>
      </c>
      <c r="B145" s="2" t="str">
        <f>IFERROR(__xludf.DUMMYFUNCTION("""COMPUTED_VALUE"""),"CRM-EP-L3210-NW-GREY")</f>
        <v>CRM-EP-L3210-NW-GREY</v>
      </c>
      <c r="C145" s="26">
        <f>IFERROR(__xludf.DUMMYFUNCTION("""COMPUTED_VALUE"""),4.0)</f>
        <v>4</v>
      </c>
      <c r="F145" s="26"/>
      <c r="G145" s="26" t="str">
        <f t="shared" si="2"/>
        <v>#N/A</v>
      </c>
      <c r="H145" s="26" t="str">
        <f t="shared" si="3"/>
        <v>#N/A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 t="str">
        <f>IFERROR(__xludf.DUMMYFUNCTION("""COMPUTED_VALUE"""),"L3110 (Grey)")</f>
        <v>L3110 (Grey)</v>
      </c>
      <c r="B146" s="2" t="str">
        <f>IFERROR(__xludf.DUMMYFUNCTION("""COMPUTED_VALUE"""),"CRM-EP-L3210-NW-GREY")</f>
        <v>CRM-EP-L3210-NW-GREY</v>
      </c>
      <c r="C146" s="26">
        <f>IFERROR(__xludf.DUMMYFUNCTION("""COMPUTED_VALUE"""),12.0)</f>
        <v>12</v>
      </c>
      <c r="F146" s="26"/>
      <c r="G146" s="26" t="str">
        <f t="shared" si="2"/>
        <v>#N/A</v>
      </c>
      <c r="H146" s="26" t="str">
        <f t="shared" si="3"/>
        <v>#N/A</v>
      </c>
      <c r="K146" s="2" t="str">
        <f>IFERROR(__xludf.DUMMYFUNCTION("""COMPUTED_VALUE"""),"SC-Black (4Q)")</f>
        <v>SC-Black (4Q)</v>
      </c>
      <c r="L146" s="2"/>
      <c r="M146" s="2" t="str">
        <f>IFERROR(__xludf.DUMMYFUNCTION("""COMPUTED_VALUE"""),"Saree Cover")</f>
        <v>Saree Cover</v>
      </c>
      <c r="N146" s="2" t="str">
        <f>IFERROR(__xludf.DUMMYFUNCTION("""COMPUTED_VALUE"""),"AG")</f>
        <v>AG</v>
      </c>
      <c r="O146" s="2">
        <f>IFERROR(__xludf.DUMMYFUNCTION("""COMPUTED_VALUE"""),-9.5)</f>
        <v>-9.5</v>
      </c>
      <c r="P146" s="2">
        <f>IFERROR(__xludf.DUMMYFUNCTION("""COMPUTED_VALUE"""),20.0)</f>
        <v>20</v>
      </c>
      <c r="Q146" s="2">
        <f>IFERROR(__xludf.DUMMYFUNCTION("""COMPUTED_VALUE"""),29.5)</f>
        <v>29.5</v>
      </c>
      <c r="R146" s="2">
        <f>IFERROR(__xludf.DUMMYFUNCTION("""COMPUTED_VALUE"""),1.0)</f>
        <v>1</v>
      </c>
      <c r="S146" s="2">
        <f>IFERROR(__xludf.DUMMYFUNCTION("""COMPUTED_VALUE"""),0.0)</f>
        <v>0</v>
      </c>
      <c r="T146" s="2">
        <f>IFERROR(__xludf.DUMMYFUNCTION("""COMPUTED_VALUE"""),0.0)</f>
        <v>0</v>
      </c>
      <c r="U146" s="2">
        <f>IFERROR(__xludf.DUMMYFUNCTION("""COMPUTED_VALUE"""),16.0)</f>
        <v>16</v>
      </c>
      <c r="V146" s="2">
        <f>IFERROR(__xludf.DUMMYFUNCTION("""COMPUTED_VALUE"""),0.0)</f>
        <v>0</v>
      </c>
      <c r="W146" s="2">
        <f>IFERROR(__xludf.DUMMYFUNCTION("""COMPUTED_VALUE"""),0.0)</f>
        <v>0</v>
      </c>
      <c r="X146" s="2">
        <f>IFERROR(__xludf.DUMMYFUNCTION("""COMPUTED_VALUE"""),51.0)</f>
        <v>51</v>
      </c>
      <c r="Y146" s="2">
        <f>IFERROR(__xludf.DUMMYFUNCTION("""COMPUTED_VALUE"""),31.5)</f>
        <v>31.5</v>
      </c>
      <c r="Z146" s="2"/>
      <c r="AA146" s="2"/>
      <c r="AB146" s="2">
        <f>IFERROR(__xludf.DUMMYFUNCTION("""COMPUTED_VALUE"""),1.25)</f>
        <v>1.25</v>
      </c>
      <c r="AC146" s="2"/>
      <c r="AD146" s="2"/>
    </row>
    <row r="147">
      <c r="A147" s="2" t="str">
        <f>IFERROR(__xludf.DUMMYFUNCTION("""COMPUTED_VALUE"""),"L3110 (Black)")</f>
        <v>L3110 (Black)</v>
      </c>
      <c r="B147" s="2" t="str">
        <f>IFERROR(__xludf.DUMMYFUNCTION("""COMPUTED_VALUE"""),"CRM-EP-L3210-NW-BLACK")</f>
        <v>CRM-EP-L3210-NW-BLACK</v>
      </c>
      <c r="C147" s="26">
        <f>IFERROR(__xludf.DUMMYFUNCTION("""COMPUTED_VALUE"""),18.0)</f>
        <v>18</v>
      </c>
      <c r="F147" s="26"/>
      <c r="G147" s="26" t="str">
        <f t="shared" si="2"/>
        <v>#N/A</v>
      </c>
      <c r="H147" s="26" t="str">
        <f t="shared" si="3"/>
        <v>#N/A</v>
      </c>
      <c r="K147" s="2" t="str">
        <f>IFERROR(__xludf.DUMMYFUNCTION("""COMPUTED_VALUE"""),"SC-TS (4Q)")</f>
        <v>SC-TS (4Q)</v>
      </c>
      <c r="L147" s="2"/>
      <c r="M147" s="2" t="str">
        <f>IFERROR(__xludf.DUMMYFUNCTION("""COMPUTED_VALUE"""),"Saree Cover")</f>
        <v>Saree Cover</v>
      </c>
      <c r="N147" s="2" t="str">
        <f>IFERROR(__xludf.DUMMYFUNCTION("""COMPUTED_VALUE"""),"AG")</f>
        <v>AG</v>
      </c>
      <c r="O147" s="2">
        <f>IFERROR(__xludf.DUMMYFUNCTION("""COMPUTED_VALUE"""),11.0)</f>
        <v>11</v>
      </c>
      <c r="P147" s="2">
        <f>IFERROR(__xludf.DUMMYFUNCTION("""COMPUTED_VALUE"""),55.0)</f>
        <v>55</v>
      </c>
      <c r="Q147" s="2">
        <f>IFERROR(__xludf.DUMMYFUNCTION("""COMPUTED_VALUE"""),44.0)</f>
        <v>44</v>
      </c>
      <c r="R147" s="2">
        <f>IFERROR(__xludf.DUMMYFUNCTION("""COMPUTED_VALUE"""),1.0)</f>
        <v>1</v>
      </c>
      <c r="S147" s="2">
        <f>IFERROR(__xludf.DUMMYFUNCTION("""COMPUTED_VALUE"""),0.0)</f>
        <v>0</v>
      </c>
      <c r="T147" s="2">
        <f>IFERROR(__xludf.DUMMYFUNCTION("""COMPUTED_VALUE"""),0.0)</f>
        <v>0</v>
      </c>
      <c r="U147" s="2">
        <f>IFERROR(__xludf.DUMMYFUNCTION("""COMPUTED_VALUE"""),28.0)</f>
        <v>28</v>
      </c>
      <c r="V147" s="2">
        <f>IFERROR(__xludf.DUMMYFUNCTION("""COMPUTED_VALUE"""),0.0)</f>
        <v>0</v>
      </c>
      <c r="W147" s="2">
        <f>IFERROR(__xludf.DUMMYFUNCTION("""COMPUTED_VALUE"""),16.0)</f>
        <v>16</v>
      </c>
      <c r="X147" s="2">
        <f>IFERROR(__xludf.DUMMYFUNCTION("""COMPUTED_VALUE"""),56.0)</f>
        <v>56</v>
      </c>
      <c r="Y147" s="2">
        <f>IFERROR(__xludf.DUMMYFUNCTION("""COMPUTED_VALUE"""),0.0)</f>
        <v>0</v>
      </c>
      <c r="Z147" s="2"/>
      <c r="AA147" s="2"/>
      <c r="AB147" s="2">
        <f>IFERROR(__xludf.DUMMYFUNCTION("""COMPUTED_VALUE"""),1.25)</f>
        <v>1.25</v>
      </c>
      <c r="AC147" s="2"/>
      <c r="AD147" s="2"/>
    </row>
    <row r="148">
      <c r="A148" s="2" t="str">
        <f>IFERROR(__xludf.DUMMYFUNCTION("""COMPUTED_VALUE"""),"L3110 (Black)")</f>
        <v>L3110 (Black)</v>
      </c>
      <c r="B148" s="2" t="str">
        <f>IFERROR(__xludf.DUMMYFUNCTION("""COMPUTED_VALUE"""),"CRM-EP-L3210-NW-BLACK")</f>
        <v>CRM-EP-L3210-NW-BLACK</v>
      </c>
      <c r="C148" s="26">
        <f>IFERROR(__xludf.DUMMYFUNCTION("""COMPUTED_VALUE"""),14.0)</f>
        <v>14</v>
      </c>
      <c r="F148" s="26"/>
      <c r="G148" s="26" t="str">
        <f t="shared" si="2"/>
        <v>#N/A</v>
      </c>
      <c r="H148" s="26" t="str">
        <f t="shared" si="3"/>
        <v>#N/A</v>
      </c>
      <c r="K148" s="2" t="str">
        <f>IFERROR(__xludf.DUMMYFUNCTION("""COMPUTED_VALUE"""),"Trans. Blanket Cover")</f>
        <v>Trans. Blanket Cover</v>
      </c>
      <c r="L148" s="2"/>
      <c r="M148" s="2" t="str">
        <f>IFERROR(__xludf.DUMMYFUNCTION("""COMPUTED_VALUE"""),"Storage Bag")</f>
        <v>Storage Bag</v>
      </c>
      <c r="N148" s="2" t="str">
        <f>IFERROR(__xludf.DUMMYFUNCTION("""COMPUTED_VALUE"""),"AG")</f>
        <v>AG</v>
      </c>
      <c r="O148" s="2">
        <f>IFERROR(__xludf.DUMMYFUNCTION("""COMPUTED_VALUE"""),-112.0)</f>
        <v>-112</v>
      </c>
      <c r="P148" s="2">
        <f>IFERROR(__xludf.DUMMYFUNCTION("""COMPUTED_VALUE"""),0.0)</f>
        <v>0</v>
      </c>
      <c r="Q148" s="2">
        <f>IFERROR(__xludf.DUMMYFUNCTION("""COMPUTED_VALUE"""),112.0)</f>
        <v>112</v>
      </c>
      <c r="R148" s="2">
        <f>IFERROR(__xludf.DUMMYFUNCTION("""COMPUTED_VALUE"""),1.0)</f>
        <v>1</v>
      </c>
      <c r="S148" s="2">
        <f>IFERROR(__xludf.DUMMYFUNCTION("""COMPUTED_VALUE"""),0.0)</f>
        <v>0</v>
      </c>
      <c r="T148" s="2">
        <f>IFERROR(__xludf.DUMMYFUNCTION("""COMPUTED_VALUE"""),0.0)</f>
        <v>0</v>
      </c>
      <c r="U148" s="2">
        <f>IFERROR(__xludf.DUMMYFUNCTION("""COMPUTED_VALUE"""),28.0)</f>
        <v>28</v>
      </c>
      <c r="V148" s="2">
        <f>IFERROR(__xludf.DUMMYFUNCTION("""COMPUTED_VALUE"""),0.0)</f>
        <v>0</v>
      </c>
      <c r="W148" s="2">
        <f>IFERROR(__xludf.DUMMYFUNCTION("""COMPUTED_VALUE"""),10.0)</f>
        <v>10</v>
      </c>
      <c r="X148" s="2">
        <f>IFERROR(__xludf.DUMMYFUNCTION("""COMPUTED_VALUE"""),784.0)</f>
        <v>784</v>
      </c>
      <c r="Y148" s="2">
        <f>IFERROR(__xludf.DUMMYFUNCTION("""COMPUTED_VALUE"""),90.0)</f>
        <v>90</v>
      </c>
      <c r="Z148" s="2"/>
      <c r="AA148" s="2"/>
      <c r="AB148" s="2"/>
      <c r="AC148" s="2"/>
      <c r="AD148" s="2"/>
    </row>
    <row r="149">
      <c r="A149" s="2" t="str">
        <f>IFERROR(__xludf.DUMMYFUNCTION("""COMPUTED_VALUE"""),"L3110 (Black)")</f>
        <v>L3110 (Black)</v>
      </c>
      <c r="B149" s="2" t="str">
        <f>IFERROR(__xludf.DUMMYFUNCTION("""COMPUTED_VALUE"""),"CRM-EP-L3210-NW-BLACK")</f>
        <v>CRM-EP-L3210-NW-BLACK</v>
      </c>
      <c r="C149" s="26">
        <f>IFERROR(__xludf.DUMMYFUNCTION("""COMPUTED_VALUE"""),16.0)</f>
        <v>16</v>
      </c>
      <c r="F149" s="26"/>
      <c r="G149" s="26" t="str">
        <f t="shared" si="2"/>
        <v>#N/A</v>
      </c>
      <c r="H149" s="26" t="str">
        <f t="shared" si="3"/>
        <v>#N/A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 t="str">
        <f>IFERROR(__xludf.DUMMYFUNCTION("""COMPUTED_VALUE"""),"L3110 (Black)")</f>
        <v>L3110 (Black)</v>
      </c>
      <c r="B150" s="2" t="str">
        <f>IFERROR(__xludf.DUMMYFUNCTION("""COMPUTED_VALUE"""),"CRM-EP-L3210-NW-BLACK")</f>
        <v>CRM-EP-L3210-NW-BLACK</v>
      </c>
      <c r="C150" s="26">
        <f>IFERROR(__xludf.DUMMYFUNCTION("""COMPUTED_VALUE"""),4.0)</f>
        <v>4</v>
      </c>
      <c r="F150" s="26"/>
      <c r="G150" s="26" t="str">
        <f t="shared" si="2"/>
        <v>#N/A</v>
      </c>
      <c r="H150" s="26" t="str">
        <f t="shared" si="3"/>
        <v>#N/A</v>
      </c>
      <c r="K150" s="2" t="str">
        <f>IFERROR(__xludf.DUMMYFUNCTION("""COMPUTED_VALUE"""),"CTSP1-Grey (3Q)")</f>
        <v>CTSP1-Grey (3Q)</v>
      </c>
      <c r="L150" s="2"/>
      <c r="M150" s="2" t="str">
        <f>IFERROR(__xludf.DUMMYFUNCTION("""COMPUTED_VALUE"""),"Trans. Pouch")</f>
        <v>Trans. Pouch</v>
      </c>
      <c r="N150" s="2" t="str">
        <f>IFERROR(__xludf.DUMMYFUNCTION("""COMPUTED_VALUE"""),"AG")</f>
        <v>AG</v>
      </c>
      <c r="O150" s="2">
        <f>IFERROR(__xludf.DUMMYFUNCTION("""COMPUTED_VALUE"""),-102.0)</f>
        <v>-102</v>
      </c>
      <c r="P150" s="2">
        <f>IFERROR(__xludf.DUMMYFUNCTION("""COMPUTED_VALUE"""),0.0)</f>
        <v>0</v>
      </c>
      <c r="Q150" s="2">
        <f>IFERROR(__xludf.DUMMYFUNCTION("""COMPUTED_VALUE"""),102.0)</f>
        <v>102</v>
      </c>
      <c r="R150" s="2">
        <f>IFERROR(__xludf.DUMMYFUNCTION("""COMPUTED_VALUE"""),5.0)</f>
        <v>5</v>
      </c>
      <c r="S150" s="2">
        <f>IFERROR(__xludf.DUMMYFUNCTION("""COMPUTED_VALUE"""),0.0)</f>
        <v>0</v>
      </c>
      <c r="T150" s="2">
        <f>IFERROR(__xludf.DUMMYFUNCTION("""COMPUTED_VALUE"""),0.0)</f>
        <v>0</v>
      </c>
      <c r="U150" s="2">
        <f>IFERROR(__xludf.DUMMYFUNCTION("""COMPUTED_VALUE"""),0.0)</f>
        <v>0</v>
      </c>
      <c r="V150" s="2">
        <f>IFERROR(__xludf.DUMMYFUNCTION("""COMPUTED_VALUE"""),0.0)</f>
        <v>0</v>
      </c>
      <c r="W150" s="2">
        <f>IFERROR(__xludf.DUMMYFUNCTION("""COMPUTED_VALUE"""),0.0)</f>
        <v>0</v>
      </c>
      <c r="X150" s="2">
        <f>IFERROR(__xludf.DUMMYFUNCTION("""COMPUTED_VALUE"""),0.0)</f>
        <v>0</v>
      </c>
      <c r="Y150" s="2">
        <f>IFERROR(__xludf.DUMMYFUNCTION("""COMPUTED_VALUE"""),102.0)</f>
        <v>102</v>
      </c>
      <c r="Z150" s="2" t="str">
        <f>IFERROR(__xludf.DUMMYFUNCTION("""COMPUTED_VALUE"""),"Discontinued")</f>
        <v>Discontinued</v>
      </c>
      <c r="AA150" s="2"/>
      <c r="AB150" s="2">
        <f>IFERROR(__xludf.DUMMYFUNCTION("""COMPUTED_VALUE"""),1.25)</f>
        <v>1.25</v>
      </c>
      <c r="AC150" s="2"/>
      <c r="AD150" s="2"/>
    </row>
    <row r="151">
      <c r="A151" s="2" t="str">
        <f>IFERROR(__xludf.DUMMYFUNCTION("""COMPUTED_VALUE"""),"L3110 (Black)")</f>
        <v>L3110 (Black)</v>
      </c>
      <c r="B151" s="2" t="str">
        <f>IFERROR(__xludf.DUMMYFUNCTION("""COMPUTED_VALUE"""),"CRM-EP-L3210-NW-BLACK")</f>
        <v>CRM-EP-L3210-NW-BLACK</v>
      </c>
      <c r="C151" s="26">
        <f>IFERROR(__xludf.DUMMYFUNCTION("""COMPUTED_VALUE"""),14.0)</f>
        <v>14</v>
      </c>
      <c r="F151" s="26"/>
      <c r="G151" s="26" t="str">
        <f t="shared" si="2"/>
        <v>#N/A</v>
      </c>
      <c r="H151" s="26" t="str">
        <f t="shared" si="3"/>
        <v>#N/A</v>
      </c>
      <c r="K151" s="2" t="str">
        <f>IFERROR(__xludf.DUMMYFUNCTION("""COMPUTED_VALUE"""),"CTSP1-Blue (3Q)")</f>
        <v>CTSP1-Blue (3Q)</v>
      </c>
      <c r="L151" s="2"/>
      <c r="M151" s="2" t="str">
        <f>IFERROR(__xludf.DUMMYFUNCTION("""COMPUTED_VALUE"""),"Trans. Pouch")</f>
        <v>Trans. Pouch</v>
      </c>
      <c r="N151" s="2" t="str">
        <f>IFERROR(__xludf.DUMMYFUNCTION("""COMPUTED_VALUE"""),"AG")</f>
        <v>AG</v>
      </c>
      <c r="O151" s="2">
        <f>IFERROR(__xludf.DUMMYFUNCTION("""COMPUTED_VALUE"""),10.0)</f>
        <v>10</v>
      </c>
      <c r="P151" s="2">
        <f>IFERROR(__xludf.DUMMYFUNCTION("""COMPUTED_VALUE"""),7.0)</f>
        <v>7</v>
      </c>
      <c r="Q151" s="2">
        <f>IFERROR(__xludf.DUMMYFUNCTION("""COMPUTED_VALUE"""),-3.0)</f>
        <v>-3</v>
      </c>
      <c r="R151" s="2">
        <f>IFERROR(__xludf.DUMMYFUNCTION("""COMPUTED_VALUE"""),5.0)</f>
        <v>5</v>
      </c>
      <c r="S151" s="2">
        <f>IFERROR(__xludf.DUMMYFUNCTION("""COMPUTED_VALUE"""),9.0)</f>
        <v>9</v>
      </c>
      <c r="T151" s="2">
        <f>IFERROR(__xludf.DUMMYFUNCTION("""COMPUTED_VALUE"""),0.0)</f>
        <v>0</v>
      </c>
      <c r="U151" s="2">
        <f>IFERROR(__xludf.DUMMYFUNCTION("""COMPUTED_VALUE"""),6.0)</f>
        <v>6</v>
      </c>
      <c r="V151" s="2">
        <f>IFERROR(__xludf.DUMMYFUNCTION("""COMPUTED_VALUE"""),0.0)</f>
        <v>0</v>
      </c>
      <c r="W151" s="2">
        <f>IFERROR(__xludf.DUMMYFUNCTION("""COMPUTED_VALUE"""),12.0)</f>
        <v>12</v>
      </c>
      <c r="X151" s="2">
        <f>IFERROR(__xludf.DUMMYFUNCTION("""COMPUTED_VALUE"""),0.0)</f>
        <v>0</v>
      </c>
      <c r="Y151" s="2">
        <f>IFERROR(__xludf.DUMMYFUNCTION("""COMPUTED_VALUE"""),-7.0)</f>
        <v>-7</v>
      </c>
      <c r="Z151" s="2" t="str">
        <f>IFERROR(__xludf.DUMMYFUNCTION("""COMPUTED_VALUE"""),"Discontinued")</f>
        <v>Discontinued</v>
      </c>
      <c r="AA151" s="2"/>
      <c r="AB151" s="2">
        <f>IFERROR(__xludf.DUMMYFUNCTION("""COMPUTED_VALUE"""),1.25)</f>
        <v>1.25</v>
      </c>
      <c r="AC151" s="2"/>
      <c r="AD151" s="2"/>
    </row>
    <row r="152">
      <c r="A152" s="2" t="str">
        <f>IFERROR(__xludf.DUMMYFUNCTION("""COMPUTED_VALUE"""),"L3110 (Black)")</f>
        <v>L3110 (Black)</v>
      </c>
      <c r="B152" s="2" t="str">
        <f>IFERROR(__xludf.DUMMYFUNCTION("""COMPUTED_VALUE"""),"CRM-EP-L3210-NW-BLACK")</f>
        <v>CRM-EP-L3210-NW-BLACK</v>
      </c>
      <c r="C152" s="26">
        <f>IFERROR(__xludf.DUMMYFUNCTION("""COMPUTED_VALUE"""),14.0)</f>
        <v>14</v>
      </c>
      <c r="F152" s="26"/>
      <c r="G152" s="26" t="str">
        <f t="shared" si="2"/>
        <v>#N/A</v>
      </c>
      <c r="H152" s="26" t="str">
        <f t="shared" si="3"/>
        <v>#N/A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 t="str">
        <f>IFERROR(__xludf.DUMMYFUNCTION("""COMPUTED_VALUE"""),"L3110 (Black)")</f>
        <v>L3110 (Black)</v>
      </c>
      <c r="B153" s="2" t="str">
        <f>IFERROR(__xludf.DUMMYFUNCTION("""COMPUTED_VALUE"""),"CRM-EP-L3210-NW-BLACK")</f>
        <v>CRM-EP-L3210-NW-BLACK</v>
      </c>
      <c r="C153" s="26">
        <f>IFERROR(__xludf.DUMMYFUNCTION("""COMPUTED_VALUE"""),14.0)</f>
        <v>14</v>
      </c>
      <c r="F153" s="26"/>
      <c r="G153" s="26" t="str">
        <f t="shared" si="2"/>
        <v>#N/A</v>
      </c>
      <c r="H153" s="26" t="str">
        <f t="shared" si="3"/>
        <v>#N/A</v>
      </c>
      <c r="K153" s="2" t="str">
        <f>IFERROR(__xludf.DUMMYFUNCTION("""COMPUTED_VALUE"""),"CSOB1-M-BL-WH")</f>
        <v>CSOB1-M-BL-WH</v>
      </c>
      <c r="L153" s="2"/>
      <c r="M153" s="2" t="str">
        <f>IFERROR(__xludf.DUMMYFUNCTION("""COMPUTED_VALUE"""),"Cloth Organizer")</f>
        <v>Cloth Organizer</v>
      </c>
      <c r="N153" s="2" t="str">
        <f>IFERROR(__xludf.DUMMYFUNCTION("""COMPUTED_VALUE"""),"AG")</f>
        <v>AG</v>
      </c>
      <c r="O153" s="2">
        <f>IFERROR(__xludf.DUMMYFUNCTION("""COMPUTED_VALUE"""),-81.0)</f>
        <v>-81</v>
      </c>
      <c r="P153" s="2">
        <f>IFERROR(__xludf.DUMMYFUNCTION("""COMPUTED_VALUE"""),0.0)</f>
        <v>0</v>
      </c>
      <c r="Q153" s="2">
        <f>IFERROR(__xludf.DUMMYFUNCTION("""COMPUTED_VALUE"""),81.0)</f>
        <v>81</v>
      </c>
      <c r="R153" s="2">
        <f>IFERROR(__xludf.DUMMYFUNCTION("""COMPUTED_VALUE"""),5.0)</f>
        <v>5</v>
      </c>
      <c r="S153" s="2">
        <f>IFERROR(__xludf.DUMMYFUNCTION("""COMPUTED_VALUE"""),1.0)</f>
        <v>1</v>
      </c>
      <c r="T153" s="2">
        <f>IFERROR(__xludf.DUMMYFUNCTION("""COMPUTED_VALUE"""),2.0)</f>
        <v>2</v>
      </c>
      <c r="U153" s="2">
        <f>IFERROR(__xludf.DUMMYFUNCTION("""COMPUTED_VALUE"""),0.0)</f>
        <v>0</v>
      </c>
      <c r="V153" s="2">
        <f>IFERROR(__xludf.DUMMYFUNCTION("""COMPUTED_VALUE"""),2.0)</f>
        <v>2</v>
      </c>
      <c r="W153" s="2"/>
      <c r="X153" s="2">
        <f>IFERROR(__xludf.DUMMYFUNCTION("""COMPUTED_VALUE"""),0.0)</f>
        <v>0</v>
      </c>
      <c r="Y153" s="2">
        <f>IFERROR(__xludf.DUMMYFUNCTION("""COMPUTED_VALUE"""),81.0)</f>
        <v>81</v>
      </c>
      <c r="Z153" s="2"/>
      <c r="AA153" s="2"/>
      <c r="AB153" s="2"/>
      <c r="AC153" s="2"/>
      <c r="AD153" s="2"/>
    </row>
    <row r="154">
      <c r="A154" s="2" t="str">
        <f>IFERROR(__xludf.DUMMYFUNCTION("""COMPUTED_VALUE"""),"L3110 (Black)")</f>
        <v>L3110 (Black)</v>
      </c>
      <c r="B154" s="2" t="str">
        <f>IFERROR(__xludf.DUMMYFUNCTION("""COMPUTED_VALUE"""),"CRM-EP-L3110-NW-BLACK")</f>
        <v>CRM-EP-L3110-NW-BLACK</v>
      </c>
      <c r="C154" s="26">
        <f>IFERROR(__xludf.DUMMYFUNCTION("""COMPUTED_VALUE"""),2.0)</f>
        <v>2</v>
      </c>
      <c r="F154" s="26"/>
      <c r="G154" s="26" t="str">
        <f t="shared" si="2"/>
        <v>#N/A</v>
      </c>
      <c r="H154" s="26" t="str">
        <f t="shared" si="3"/>
        <v>#N/A</v>
      </c>
      <c r="K154" s="2" t="str">
        <f>IFERROR(__xludf.DUMMYFUNCTION("""COMPUTED_VALUE"""),"CSOB1-L-BL-WH")</f>
        <v>CSOB1-L-BL-WH</v>
      </c>
      <c r="L154" s="2"/>
      <c r="M154" s="2" t="str">
        <f>IFERROR(__xludf.DUMMYFUNCTION("""COMPUTED_VALUE"""),"Cloth Organizer")</f>
        <v>Cloth Organizer</v>
      </c>
      <c r="N154" s="2" t="str">
        <f>IFERROR(__xludf.DUMMYFUNCTION("""COMPUTED_VALUE"""),"AG")</f>
        <v>AG</v>
      </c>
      <c r="O154" s="2">
        <f>IFERROR(__xludf.DUMMYFUNCTION("""COMPUTED_VALUE"""),-89.0)</f>
        <v>-89</v>
      </c>
      <c r="P154" s="2">
        <f>IFERROR(__xludf.DUMMYFUNCTION("""COMPUTED_VALUE"""),0.0)</f>
        <v>0</v>
      </c>
      <c r="Q154" s="2">
        <f>IFERROR(__xludf.DUMMYFUNCTION("""COMPUTED_VALUE"""),89.0)</f>
        <v>89</v>
      </c>
      <c r="R154" s="2">
        <f>IFERROR(__xludf.DUMMYFUNCTION("""COMPUTED_VALUE"""),5.0)</f>
        <v>5</v>
      </c>
      <c r="S154" s="2">
        <f>IFERROR(__xludf.DUMMYFUNCTION("""COMPUTED_VALUE"""),0.0)</f>
        <v>0</v>
      </c>
      <c r="T154" s="2">
        <f>IFERROR(__xludf.DUMMYFUNCTION("""COMPUTED_VALUE"""),0.0)</f>
        <v>0</v>
      </c>
      <c r="U154" s="2">
        <f>IFERROR(__xludf.DUMMYFUNCTION("""COMPUTED_VALUE"""),0.0)</f>
        <v>0</v>
      </c>
      <c r="V154" s="2">
        <f>IFERROR(__xludf.DUMMYFUNCTION("""COMPUTED_VALUE"""),0.0)</f>
        <v>0</v>
      </c>
      <c r="W154" s="2"/>
      <c r="X154" s="2">
        <f>IFERROR(__xludf.DUMMYFUNCTION("""COMPUTED_VALUE"""),0.0)</f>
        <v>0</v>
      </c>
      <c r="Y154" s="2">
        <f>IFERROR(__xludf.DUMMYFUNCTION("""COMPUTED_VALUE"""),89.0)</f>
        <v>89</v>
      </c>
      <c r="Z154" s="2"/>
      <c r="AA154" s="2"/>
      <c r="AB154" s="2"/>
      <c r="AC154" s="2"/>
      <c r="AD154" s="2"/>
    </row>
    <row r="155">
      <c r="A155" s="2" t="str">
        <f>IFERROR(__xludf.DUMMYFUNCTION("""COMPUTED_VALUE"""),"L3110 (Black)")</f>
        <v>L3110 (Black)</v>
      </c>
      <c r="B155" s="2" t="str">
        <f>IFERROR(__xludf.DUMMYFUNCTION("""COMPUTED_VALUE"""),"CRM-EP-L3110-NW-BLACK")</f>
        <v>CRM-EP-L3110-NW-BLACK</v>
      </c>
      <c r="C155" s="26">
        <f>IFERROR(__xludf.DUMMYFUNCTION("""COMPUTED_VALUE"""),2.0)</f>
        <v>2</v>
      </c>
      <c r="F155" s="26"/>
      <c r="G155" s="26" t="str">
        <f t="shared" si="2"/>
        <v>#N/A</v>
      </c>
      <c r="H155" s="26" t="str">
        <f t="shared" si="3"/>
        <v>#N/A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 t="str">
        <f>IFERROR(__xludf.DUMMYFUNCTION("""COMPUTED_VALUE"""),"L3110 (Black)")</f>
        <v>L3110 (Black)</v>
      </c>
      <c r="B156" s="2" t="str">
        <f>IFERROR(__xludf.DUMMYFUNCTION("""COMPUTED_VALUE"""),"CRM-EP-L3110-NW-BLACK")</f>
        <v>CRM-EP-L3110-NW-BLACK</v>
      </c>
      <c r="C156" s="26">
        <f>IFERROR(__xludf.DUMMYFUNCTION("""COMPUTED_VALUE"""),2.0)</f>
        <v>2</v>
      </c>
      <c r="F156" s="26"/>
      <c r="G156" s="26" t="str">
        <f t="shared" si="2"/>
        <v>#N/A</v>
      </c>
      <c r="H156" s="26" t="str">
        <f t="shared" si="3"/>
        <v>#N/A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 t="str">
        <f>IFERROR(__xludf.DUMMYFUNCTION("""COMPUTED_VALUE"""),"Canon G (Grey)")</f>
        <v>Canon G (Grey)</v>
      </c>
      <c r="B157" s="2" t="str">
        <f>IFERROR(__xludf.DUMMYFUNCTION("""COMPUTED_VALUE"""),"CRM-Canon-G3012-NW-Grey")</f>
        <v>CRM-Canon-G3012-NW-Grey</v>
      </c>
      <c r="C157" s="26">
        <f>IFERROR(__xludf.DUMMYFUNCTION("""COMPUTED_VALUE"""),6.0)</f>
        <v>6</v>
      </c>
      <c r="F157" s="26"/>
      <c r="G157" s="26" t="str">
        <f t="shared" si="2"/>
        <v>#N/A</v>
      </c>
      <c r="H157" s="26" t="str">
        <f t="shared" si="3"/>
        <v>#N/A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 t="str">
        <f>IFERROR(__xludf.DUMMYFUNCTION("""COMPUTED_VALUE"""),"Canon G (Grey)")</f>
        <v>Canon G (Grey)</v>
      </c>
      <c r="B158" s="2" t="str">
        <f>IFERROR(__xludf.DUMMYFUNCTION("""COMPUTED_VALUE"""),"CRM-Canon-G3012-NW-Grey")</f>
        <v>CRM-Canon-G3012-NW-Grey</v>
      </c>
      <c r="C158" s="26">
        <f>IFERROR(__xludf.DUMMYFUNCTION("""COMPUTED_VALUE"""),14.0)</f>
        <v>14</v>
      </c>
      <c r="F158" s="26"/>
      <c r="G158" s="26" t="str">
        <f t="shared" si="2"/>
        <v>#N/A</v>
      </c>
      <c r="H158" s="26" t="str">
        <f t="shared" si="3"/>
        <v>#N/A</v>
      </c>
      <c r="K158" s="2"/>
      <c r="L158" s="2"/>
      <c r="M158" s="2" t="str">
        <f>IFERROR(__xludf.DUMMYFUNCTION("""COMPUTED_VALUE"""),"Category")</f>
        <v>Category</v>
      </c>
      <c r="N158" s="2" t="str">
        <f>IFERROR(__xludf.DUMMYFUNCTION("""COMPUTED_VALUE"""),"Borrow")</f>
        <v>Borrow</v>
      </c>
      <c r="O158" s="2" t="str">
        <f>IFERROR(__xludf.DUMMYFUNCTION("""COMPUTED_VALUE"""),"Land")</f>
        <v>Land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 t="str">
        <f>IFERROR(__xludf.DUMMYFUNCTION("""COMPUTED_VALUE"""),"Canon G (Grey)")</f>
        <v>Canon G (Grey)</v>
      </c>
      <c r="B159" s="2" t="str">
        <f>IFERROR(__xludf.DUMMYFUNCTION("""COMPUTED_VALUE"""),"CRM-Canon-G3012-NW-Grey")</f>
        <v>CRM-Canon-G3012-NW-Grey</v>
      </c>
      <c r="C159" s="26">
        <f>IFERROR(__xludf.DUMMYFUNCTION("""COMPUTED_VALUE"""),16.0)</f>
        <v>16</v>
      </c>
      <c r="F159" s="26"/>
      <c r="G159" s="26" t="str">
        <f t="shared" si="2"/>
        <v>#N/A</v>
      </c>
      <c r="H159" s="26" t="str">
        <f t="shared" si="3"/>
        <v>#N/A</v>
      </c>
      <c r="K159" s="2"/>
      <c r="L159" s="2"/>
      <c r="M159" s="2" t="str">
        <f>IFERROR(__xludf.DUMMYFUNCTION("""COMPUTED_VALUE"""),"Printer")</f>
        <v>Printer</v>
      </c>
      <c r="N159" s="2">
        <f>IFERROR(__xludf.DUMMYFUNCTION("""COMPUTED_VALUE"""),16.0)</f>
        <v>16</v>
      </c>
      <c r="O159" s="2">
        <f>IFERROR(__xludf.DUMMYFUNCTION("""COMPUTED_VALUE"""),80.0)</f>
        <v>80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 t="str">
        <f>IFERROR(__xludf.DUMMYFUNCTION("""COMPUTED_VALUE"""),"Canon G (Grey)")</f>
        <v>Canon G (Grey)</v>
      </c>
      <c r="B160" s="2" t="str">
        <f>IFERROR(__xludf.DUMMYFUNCTION("""COMPUTED_VALUE"""),"CRM-Canon-G3012-NW-Grey")</f>
        <v>CRM-Canon-G3012-NW-Grey</v>
      </c>
      <c r="C160" s="26">
        <f>IFERROR(__xludf.DUMMYFUNCTION("""COMPUTED_VALUE"""),12.0)</f>
        <v>12</v>
      </c>
      <c r="F160" s="26"/>
      <c r="G160" s="26" t="str">
        <f t="shared" si="2"/>
        <v>#N/A</v>
      </c>
      <c r="H160" s="26" t="str">
        <f t="shared" si="3"/>
        <v>#N/A</v>
      </c>
      <c r="K160" s="2"/>
      <c r="L160" s="2"/>
      <c r="M160" s="2" t="str">
        <f>IFERROR(__xludf.DUMMYFUNCTION("""COMPUTED_VALUE"""),"Printer NW")</f>
        <v>Printer NW</v>
      </c>
      <c r="N160" s="2">
        <f>IFERROR(__xludf.DUMMYFUNCTION("""COMPUTED_VALUE"""),0.0)</f>
        <v>0</v>
      </c>
      <c r="O160" s="2">
        <f>IFERROR(__xludf.DUMMYFUNCTION("""COMPUTED_VALUE"""),0.0)</f>
        <v>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 t="str">
        <f>IFERROR(__xludf.DUMMYFUNCTION("""COMPUTED_VALUE"""),"Canon G (Grey)")</f>
        <v>Canon G (Grey)</v>
      </c>
      <c r="B161" s="2" t="str">
        <f>IFERROR(__xludf.DUMMYFUNCTION("""COMPUTED_VALUE"""),"CRM-Canon-G3012-NW-Grey")</f>
        <v>CRM-Canon-G3012-NW-Grey</v>
      </c>
      <c r="C161" s="26">
        <f>IFERROR(__xludf.DUMMYFUNCTION("""COMPUTED_VALUE"""),18.0)</f>
        <v>18</v>
      </c>
      <c r="F161" s="26"/>
      <c r="G161" s="26" t="str">
        <f t="shared" si="2"/>
        <v>#N/A</v>
      </c>
      <c r="H161" s="26" t="str">
        <f t="shared" si="3"/>
        <v>#N/A</v>
      </c>
      <c r="K161" s="2"/>
      <c r="L161" s="2"/>
      <c r="M161" s="2" t="str">
        <f>IFERROR(__xludf.DUMMYFUNCTION("""COMPUTED_VALUE"""),"Lcd nw")</f>
        <v>Lcd nw</v>
      </c>
      <c r="N161" s="2">
        <f>IFERROR(__xludf.DUMMYFUNCTION("""COMPUTED_VALUE"""),105.0)</f>
        <v>105</v>
      </c>
      <c r="O161" s="2">
        <f>IFERROR(__xludf.DUMMYFUNCTION("""COMPUTED_VALUE"""),0.0)</f>
        <v>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 t="str">
        <f>IFERROR(__xludf.DUMMYFUNCTION("""COMPUTED_VALUE"""),"Canon G (Grey)")</f>
        <v>Canon G (Grey)</v>
      </c>
      <c r="B162" s="2" t="str">
        <f>IFERROR(__xludf.DUMMYFUNCTION("""COMPUTED_VALUE"""),"CRM-Canon-G3012-NW-Grey")</f>
        <v>CRM-Canon-G3012-NW-Grey</v>
      </c>
      <c r="C162" s="26">
        <f>IFERROR(__xludf.DUMMYFUNCTION("""COMPUTED_VALUE"""),16.0)</f>
        <v>16</v>
      </c>
      <c r="F162" s="26"/>
      <c r="G162" s="26" t="str">
        <f t="shared" si="2"/>
        <v>#N/A</v>
      </c>
      <c r="H162" s="26" t="str">
        <f t="shared" si="3"/>
        <v>#N/A</v>
      </c>
      <c r="K162" s="2"/>
      <c r="L162" s="2"/>
      <c r="M162" s="2" t="str">
        <f>IFERROR(__xludf.DUMMYFUNCTION("""COMPUTED_VALUE"""),"Lcd")</f>
        <v>Lcd</v>
      </c>
      <c r="N162" s="2">
        <f>IFERROR(__xludf.DUMMYFUNCTION("""COMPUTED_VALUE"""),0.0)</f>
        <v>0</v>
      </c>
      <c r="O162" s="2">
        <f>IFERROR(__xludf.DUMMYFUNCTION("""COMPUTED_VALUE"""),0.0)</f>
        <v>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 t="str">
        <f>IFERROR(__xludf.DUMMYFUNCTION("""COMPUTED_VALUE"""),"Canon G (Grey)")</f>
        <v>Canon G (Grey)</v>
      </c>
      <c r="B163" s="2" t="str">
        <f>IFERROR(__xludf.DUMMYFUNCTION("""COMPUTED_VALUE"""),"CRM-Canon-G3012-NW-Grey")</f>
        <v>CRM-Canon-G3012-NW-Grey</v>
      </c>
      <c r="C163" s="26">
        <f>IFERROR(__xludf.DUMMYFUNCTION("""COMPUTED_VALUE"""),4.0)</f>
        <v>4</v>
      </c>
      <c r="F163" s="26"/>
      <c r="G163" s="26" t="str">
        <f t="shared" si="2"/>
        <v>#N/A</v>
      </c>
      <c r="H163" s="26" t="str">
        <f t="shared" si="3"/>
        <v>#N/A</v>
      </c>
      <c r="K163" s="2"/>
      <c r="L163" s="2"/>
      <c r="M163" s="2" t="str">
        <f>IFERROR(__xludf.DUMMYFUNCTION("""COMPUTED_VALUE"""),"Ibc")</f>
        <v>Ibc</v>
      </c>
      <c r="N163" s="2">
        <f>IFERROR(__xludf.DUMMYFUNCTION("""COMPUTED_VALUE"""),0.0)</f>
        <v>0</v>
      </c>
      <c r="O163" s="2">
        <f>IFERROR(__xludf.DUMMYFUNCTION("""COMPUTED_VALUE"""),0.0)</f>
        <v>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 t="str">
        <f>IFERROR(__xludf.DUMMYFUNCTION("""COMPUTED_VALUE"""),"Canon G (Grey)")</f>
        <v>Canon G (Grey)</v>
      </c>
      <c r="B164" s="2" t="str">
        <f>IFERROR(__xludf.DUMMYFUNCTION("""COMPUTED_VALUE"""),"CRM-Canon-G3012-NW-Grey")</f>
        <v>CRM-Canon-G3012-NW-Grey</v>
      </c>
      <c r="C164" s="26">
        <f>IFERROR(__xludf.DUMMYFUNCTION("""COMPUTED_VALUE"""),4.0)</f>
        <v>4</v>
      </c>
      <c r="F164" s="26"/>
      <c r="G164" s="26" t="str">
        <f t="shared" si="2"/>
        <v>#N/A</v>
      </c>
      <c r="H164" s="26" t="str">
        <f t="shared" si="3"/>
        <v>#N/A</v>
      </c>
      <c r="K164" s="2"/>
      <c r="L164" s="2"/>
      <c r="M164" s="2" t="str">
        <f>IFERROR(__xludf.DUMMYFUNCTION("""COMPUTED_VALUE"""),"Apron")</f>
        <v>Apron</v>
      </c>
      <c r="N164" s="2">
        <f>IFERROR(__xludf.DUMMYFUNCTION("""COMPUTED_VALUE"""),0.0)</f>
        <v>0</v>
      </c>
      <c r="O164" s="2">
        <f>IFERROR(__xludf.DUMMYFUNCTION("""COMPUTED_VALUE"""),0.0)</f>
        <v>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 t="str">
        <f>IFERROR(__xludf.DUMMYFUNCTION("""COMPUTED_VALUE"""),"Canon G (Black)")</f>
        <v>Canon G (Black)</v>
      </c>
      <c r="B165" s="2" t="str">
        <f>IFERROR(__xludf.DUMMYFUNCTION("""COMPUTED_VALUE"""),"CRM-Canon-G3012-NW-Black")</f>
        <v>CRM-Canon-G3012-NW-Black</v>
      </c>
      <c r="C165" s="26">
        <f>IFERROR(__xludf.DUMMYFUNCTION("""COMPUTED_VALUE"""),14.0)</f>
        <v>14</v>
      </c>
      <c r="F165" s="26"/>
      <c r="G165" s="26" t="str">
        <f t="shared" si="2"/>
        <v>#N/A</v>
      </c>
      <c r="H165" s="26" t="str">
        <f t="shared" si="3"/>
        <v>#N/A</v>
      </c>
      <c r="K165" s="2"/>
      <c r="L165" s="2"/>
      <c r="M165" s="2" t="str">
        <f>IFERROR(__xludf.DUMMYFUNCTION("""COMPUTED_VALUE"""),"PS5")</f>
        <v>PS5</v>
      </c>
      <c r="N165" s="2">
        <f>IFERROR(__xludf.DUMMYFUNCTION("""COMPUTED_VALUE"""),0.0)</f>
        <v>0</v>
      </c>
      <c r="O165" s="2">
        <f>IFERROR(__xludf.DUMMYFUNCTION("""COMPUTED_VALUE"""),0.0)</f>
        <v>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 t="str">
        <f>IFERROR(__xludf.DUMMYFUNCTION("""COMPUTED_VALUE"""),"Canon G (Black)")</f>
        <v>Canon G (Black)</v>
      </c>
      <c r="B166" s="2" t="str">
        <f>IFERROR(__xludf.DUMMYFUNCTION("""COMPUTED_VALUE"""),"CRM-Canon-G3012-NW-Black")</f>
        <v>CRM-Canon-G3012-NW-Black</v>
      </c>
      <c r="C166" s="26">
        <f>IFERROR(__xludf.DUMMYFUNCTION("""COMPUTED_VALUE"""),30.0)</f>
        <v>30</v>
      </c>
      <c r="F166" s="26"/>
      <c r="G166" s="26" t="str">
        <f t="shared" si="2"/>
        <v>#N/A</v>
      </c>
      <c r="H166" s="26" t="str">
        <f t="shared" si="3"/>
        <v>#N/A</v>
      </c>
      <c r="K166" s="2"/>
      <c r="L166" s="2"/>
      <c r="M166" s="2" t="str">
        <f>IFERROR(__xludf.DUMMYFUNCTION("""COMPUTED_VALUE"""),"Dc")</f>
        <v>Dc</v>
      </c>
      <c r="N166" s="2">
        <f>IFERROR(__xludf.DUMMYFUNCTION("""COMPUTED_VALUE"""),16.0)</f>
        <v>16</v>
      </c>
      <c r="O166" s="2">
        <f>IFERROR(__xludf.DUMMYFUNCTION("""COMPUTED_VALUE"""),0.0)</f>
        <v>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 t="str">
        <f>IFERROR(__xludf.DUMMYFUNCTION("""COMPUTED_VALUE"""),"Canon G (Black)")</f>
        <v>Canon G (Black)</v>
      </c>
      <c r="B167" s="2" t="str">
        <f>IFERROR(__xludf.DUMMYFUNCTION("""COMPUTED_VALUE"""),"CRM-Canon-G3012-NW-Black")</f>
        <v>CRM-Canon-G3012-NW-Black</v>
      </c>
      <c r="C167" s="26">
        <f>IFERROR(__xludf.DUMMYFUNCTION("""COMPUTED_VALUE"""),34.0)</f>
        <v>34</v>
      </c>
      <c r="F167" s="26"/>
      <c r="G167" s="26" t="str">
        <f t="shared" si="2"/>
        <v>#N/A</v>
      </c>
      <c r="H167" s="26" t="str">
        <f t="shared" si="3"/>
        <v>#N/A</v>
      </c>
      <c r="K167" s="2"/>
      <c r="L167" s="2"/>
      <c r="M167" s="2" t="str">
        <f>IFERROR(__xludf.DUMMYFUNCTION("""COMPUTED_VALUE"""),"Bajaj")</f>
        <v>Bajaj</v>
      </c>
      <c r="N167" s="2">
        <f>IFERROR(__xludf.DUMMYFUNCTION("""COMPUTED_VALUE"""),0.0)</f>
        <v>0</v>
      </c>
      <c r="O167" s="2">
        <f>IFERROR(__xludf.DUMMYFUNCTION("""COMPUTED_VALUE"""),0.0)</f>
        <v>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 t="str">
        <f>IFERROR(__xludf.DUMMYFUNCTION("""COMPUTED_VALUE"""),"Canon G (Black)")</f>
        <v>Canon G (Black)</v>
      </c>
      <c r="B168" s="2" t="str">
        <f>IFERROR(__xludf.DUMMYFUNCTION("""COMPUTED_VALUE"""),"CRM-Canon-G3012-NW-Black")</f>
        <v>CRM-Canon-G3012-NW-Black</v>
      </c>
      <c r="C168" s="26">
        <f>IFERROR(__xludf.DUMMYFUNCTION("""COMPUTED_VALUE"""),16.0)</f>
        <v>16</v>
      </c>
      <c r="F168" s="26"/>
      <c r="G168" s="26" t="str">
        <f t="shared" si="2"/>
        <v>#N/A</v>
      </c>
      <c r="H168" s="26" t="str">
        <f t="shared" si="3"/>
        <v>#N/A</v>
      </c>
      <c r="K168" s="2"/>
      <c r="L168" s="2"/>
      <c r="M168" s="2" t="str">
        <f>IFERROR(__xludf.DUMMYFUNCTION("""COMPUTED_VALUE"""),"WG NW")</f>
        <v>WG NW</v>
      </c>
      <c r="N168" s="2">
        <f>IFERROR(__xludf.DUMMYFUNCTION("""COMPUTED_VALUE"""),0.0)</f>
        <v>0</v>
      </c>
      <c r="O168" s="2">
        <f>IFERROR(__xludf.DUMMYFUNCTION("""COMPUTED_VALUE"""),0.0)</f>
        <v>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 t="str">
        <f>IFERROR(__xludf.DUMMYFUNCTION("""COMPUTED_VALUE"""),"Canon G (Black)")</f>
        <v>Canon G (Black)</v>
      </c>
      <c r="B169" s="2" t="str">
        <f>IFERROR(__xludf.DUMMYFUNCTION("""COMPUTED_VALUE"""),"CRM-Canon-G3012-NW-Black")</f>
        <v>CRM-Canon-G3012-NW-Black</v>
      </c>
      <c r="C169" s="26">
        <f>IFERROR(__xludf.DUMMYFUNCTION("""COMPUTED_VALUE"""),40.0)</f>
        <v>40</v>
      </c>
      <c r="F169" s="26"/>
      <c r="G169" s="26" t="str">
        <f t="shared" si="2"/>
        <v>#N/A</v>
      </c>
      <c r="H169" s="26" t="str">
        <f t="shared" si="3"/>
        <v>#N/A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 t="str">
        <f>IFERROR(__xludf.DUMMYFUNCTION("""COMPUTED_VALUE"""),"Canon G (Black)")</f>
        <v>Canon G (Black)</v>
      </c>
      <c r="B170" s="2" t="str">
        <f>IFERROR(__xludf.DUMMYFUNCTION("""COMPUTED_VALUE"""),"CRM-Canon-G3012-NW-Black")</f>
        <v>CRM-Canon-G3012-NW-Black</v>
      </c>
      <c r="C170" s="26">
        <f>IFERROR(__xludf.DUMMYFUNCTION("""COMPUTED_VALUE"""),24.0)</f>
        <v>24</v>
      </c>
      <c r="F170" s="26"/>
      <c r="G170" s="26" t="str">
        <f t="shared" si="2"/>
        <v>#N/A</v>
      </c>
      <c r="H170" s="26" t="str">
        <f t="shared" si="3"/>
        <v>#N/A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 t="str">
        <f>IFERROR(__xludf.DUMMYFUNCTION("""COMPUTED_VALUE"""),"Canon G (Black)")</f>
        <v>Canon G (Black)</v>
      </c>
      <c r="B171" s="2" t="str">
        <f>IFERROR(__xludf.DUMMYFUNCTION("""COMPUTED_VALUE"""),"CRM-Canon-G3012-NW-Black")</f>
        <v>CRM-Canon-G3012-NW-Black</v>
      </c>
      <c r="C171" s="26">
        <f>IFERROR(__xludf.DUMMYFUNCTION("""COMPUTED_VALUE"""),20.0)</f>
        <v>20</v>
      </c>
      <c r="F171" s="26"/>
      <c r="G171" s="26" t="str">
        <f t="shared" si="2"/>
        <v>#N/A</v>
      </c>
      <c r="H171" s="26" t="str">
        <f t="shared" si="3"/>
        <v>#N/A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 t="str">
        <f>IFERROR(__xludf.DUMMYFUNCTION("""COMPUTED_VALUE"""),"Canon G (Black)")</f>
        <v>Canon G (Black)</v>
      </c>
      <c r="B172" s="2" t="str">
        <f>IFERROR(__xludf.DUMMYFUNCTION("""COMPUTED_VALUE"""),"CRM-Canon-G3012-NW-Black")</f>
        <v>CRM-Canon-G3012-NW-Black</v>
      </c>
      <c r="C172" s="26">
        <f>IFERROR(__xludf.DUMMYFUNCTION("""COMPUTED_VALUE"""),16.0)</f>
        <v>16</v>
      </c>
      <c r="F172" s="26"/>
      <c r="G172" s="26" t="str">
        <f t="shared" si="2"/>
        <v>#N/A</v>
      </c>
      <c r="H172" s="26" t="str">
        <f t="shared" si="3"/>
        <v>#N/A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 t="str">
        <f>IFERROR(__xludf.DUMMYFUNCTION("""COMPUTED_VALUE"""),"Canon G (Black)")</f>
        <v>Canon G (Black)</v>
      </c>
      <c r="B173" s="2" t="str">
        <f>IFERROR(__xludf.DUMMYFUNCTION("""COMPUTED_VALUE"""),"CRM-Canon-G3012-NW-Black")</f>
        <v>CRM-Canon-G3012-NW-Black</v>
      </c>
      <c r="C173" s="26">
        <f>IFERROR(__xludf.DUMMYFUNCTION("""COMPUTED_VALUE"""),20.0)</f>
        <v>20</v>
      </c>
      <c r="F173" s="26"/>
      <c r="G173" s="26" t="str">
        <f t="shared" si="2"/>
        <v>#N/A</v>
      </c>
      <c r="H173" s="26" t="str">
        <f t="shared" si="3"/>
        <v>#N/A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 t="str">
        <f>IFERROR(__xludf.DUMMYFUNCTION("""COMPUTED_VALUE"""),"HP 136NW (Grey)")</f>
        <v>HP 136NW (Grey)</v>
      </c>
      <c r="B174" s="2" t="str">
        <f>IFERROR(__xludf.DUMMYFUNCTION("""COMPUTED_VALUE"""),"CRM-HP-M126-M136nw-Grey")</f>
        <v>CRM-HP-M126-M136nw-Grey</v>
      </c>
      <c r="C174" s="26">
        <f>IFERROR(__xludf.DUMMYFUNCTION("""COMPUTED_VALUE"""),2.0)</f>
        <v>2</v>
      </c>
      <c r="F174" s="26"/>
      <c r="G174" s="26" t="str">
        <f t="shared" si="2"/>
        <v>#N/A</v>
      </c>
      <c r="H174" s="26" t="str">
        <f t="shared" si="3"/>
        <v>#N/A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 t="str">
        <f>IFERROR(__xludf.DUMMYFUNCTION("""COMPUTED_VALUE"""),"HP 136NW (Grey)")</f>
        <v>HP 136NW (Grey)</v>
      </c>
      <c r="B175" s="2" t="str">
        <f>IFERROR(__xludf.DUMMYFUNCTION("""COMPUTED_VALUE"""),"CRM-HP-M126-M136nw-Grey")</f>
        <v>CRM-HP-M126-M136nw-Grey</v>
      </c>
      <c r="C175" s="26">
        <f>IFERROR(__xludf.DUMMYFUNCTION("""COMPUTED_VALUE"""),2.0)</f>
        <v>2</v>
      </c>
      <c r="F175" s="26"/>
      <c r="G175" s="26" t="str">
        <f t="shared" si="2"/>
        <v>#N/A</v>
      </c>
      <c r="H175" s="26" t="str">
        <f t="shared" si="3"/>
        <v>#N/A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 t="str">
        <f>IFERROR(__xludf.DUMMYFUNCTION("""COMPUTED_VALUE"""),"HP 136NW (Grey)")</f>
        <v>HP 136NW (Grey)</v>
      </c>
      <c r="B176" s="2" t="str">
        <f>IFERROR(__xludf.DUMMYFUNCTION("""COMPUTED_VALUE"""),"CRM-HP-M126-M136nw-Grey")</f>
        <v>CRM-HP-M126-M136nw-Grey</v>
      </c>
      <c r="C176" s="26">
        <f>IFERROR(__xludf.DUMMYFUNCTION("""COMPUTED_VALUE"""),2.0)</f>
        <v>2</v>
      </c>
      <c r="F176" s="26"/>
      <c r="G176" s="26" t="str">
        <f t="shared" si="2"/>
        <v>#N/A</v>
      </c>
      <c r="H176" s="26" t="str">
        <f t="shared" si="3"/>
        <v>#N/A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 t="str">
        <f>IFERROR(__xludf.DUMMYFUNCTION("""COMPUTED_VALUE"""),"HP 136NW (Grey)")</f>
        <v>HP 136NW (Grey)</v>
      </c>
      <c r="B177" s="2" t="str">
        <f>IFERROR(__xludf.DUMMYFUNCTION("""COMPUTED_VALUE"""),"CRM-HP-M126-M136nw-Grey")</f>
        <v>CRM-HP-M126-M136nw-Grey</v>
      </c>
      <c r="C177" s="26">
        <f>IFERROR(__xludf.DUMMYFUNCTION("""COMPUTED_VALUE"""),2.0)</f>
        <v>2</v>
      </c>
      <c r="F177" s="26"/>
      <c r="G177" s="26" t="str">
        <f t="shared" si="2"/>
        <v>#N/A</v>
      </c>
      <c r="H177" s="26" t="str">
        <f t="shared" si="3"/>
        <v>#N/A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 t="str">
        <f>IFERROR(__xludf.DUMMYFUNCTION("""COMPUTED_VALUE"""),"HP 136NW (Grey)")</f>
        <v>HP 136NW (Grey)</v>
      </c>
      <c r="B178" s="2" t="str">
        <f>IFERROR(__xludf.DUMMYFUNCTION("""COMPUTED_VALUE"""),"CRM-HP-M126-M136nw-Grey")</f>
        <v>CRM-HP-M126-M136nw-Grey</v>
      </c>
      <c r="C178" s="26">
        <f>IFERROR(__xludf.DUMMYFUNCTION("""COMPUTED_VALUE"""),4.0)</f>
        <v>4</v>
      </c>
      <c r="F178" s="26"/>
      <c r="G178" s="26" t="str">
        <f t="shared" si="2"/>
        <v>#N/A</v>
      </c>
      <c r="H178" s="26" t="str">
        <f t="shared" si="3"/>
        <v>#N/A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 t="str">
        <f>IFERROR(__xludf.DUMMYFUNCTION("""COMPUTED_VALUE"""),"HP 136NW (Black)")</f>
        <v>HP 136NW (Black)</v>
      </c>
      <c r="B179" s="2" t="str">
        <f>IFERROR(__xludf.DUMMYFUNCTION("""COMPUTED_VALUE"""),"CRM-HP-M126-M136nw-Black")</f>
        <v>CRM-HP-M126-M136nw-Black</v>
      </c>
      <c r="C179" s="26">
        <f>IFERROR(__xludf.DUMMYFUNCTION("""COMPUTED_VALUE"""),2.0)</f>
        <v>2</v>
      </c>
      <c r="F179" s="26"/>
      <c r="G179" s="26" t="str">
        <f t="shared" si="2"/>
        <v>#N/A</v>
      </c>
      <c r="H179" s="26" t="str">
        <f t="shared" si="3"/>
        <v>#N/A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 t="str">
        <f>IFERROR(__xludf.DUMMYFUNCTION("""COMPUTED_VALUE"""),"HP 136NW (Black)")</f>
        <v>HP 136NW (Black)</v>
      </c>
      <c r="B180" s="2" t="str">
        <f>IFERROR(__xludf.DUMMYFUNCTION("""COMPUTED_VALUE"""),"CRM-HP-M126-M136nw-Black")</f>
        <v>CRM-HP-M126-M136nw-Black</v>
      </c>
      <c r="C180" s="26">
        <f>IFERROR(__xludf.DUMMYFUNCTION("""COMPUTED_VALUE"""),6.0)</f>
        <v>6</v>
      </c>
      <c r="F180" s="26"/>
      <c r="G180" s="26" t="str">
        <f t="shared" si="2"/>
        <v>#N/A</v>
      </c>
      <c r="H180" s="26" t="str">
        <f t="shared" si="3"/>
        <v>#N/A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 t="str">
        <f>IFERROR(__xludf.DUMMYFUNCTION("""COMPUTED_VALUE"""),"HP 136NW (Black)")</f>
        <v>HP 136NW (Black)</v>
      </c>
      <c r="B181" s="2" t="str">
        <f>IFERROR(__xludf.DUMMYFUNCTION("""COMPUTED_VALUE"""),"CRM-HP-M126-M136nw-Black")</f>
        <v>CRM-HP-M126-M136nw-Black</v>
      </c>
      <c r="C181" s="26">
        <f>IFERROR(__xludf.DUMMYFUNCTION("""COMPUTED_VALUE"""),2.0)</f>
        <v>2</v>
      </c>
      <c r="F181" s="26"/>
      <c r="G181" s="26" t="str">
        <f t="shared" si="2"/>
        <v>#N/A</v>
      </c>
      <c r="H181" s="26" t="str">
        <f t="shared" si="3"/>
        <v>#N/A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 t="str">
        <f>IFERROR(__xludf.DUMMYFUNCTION("""COMPUTED_VALUE"""),"HP 136NW (Black)")</f>
        <v>HP 136NW (Black)</v>
      </c>
      <c r="B182" s="2" t="str">
        <f>IFERROR(__xludf.DUMMYFUNCTION("""COMPUTED_VALUE"""),"CRM-HP-M126-M136nw-Black")</f>
        <v>CRM-HP-M126-M136nw-Black</v>
      </c>
      <c r="C182" s="26">
        <f>IFERROR(__xludf.DUMMYFUNCTION("""COMPUTED_VALUE"""),6.0)</f>
        <v>6</v>
      </c>
      <c r="F182" s="26"/>
      <c r="G182" s="26" t="str">
        <f t="shared" si="2"/>
        <v>#N/A</v>
      </c>
      <c r="H182" s="26" t="str">
        <f t="shared" si="3"/>
        <v>#N/A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 t="str">
        <f>IFERROR(__xludf.DUMMYFUNCTION("""COMPUTED_VALUE"""),"HP 136NW (Black)")</f>
        <v>HP 136NW (Black)</v>
      </c>
      <c r="B183" s="2" t="str">
        <f>IFERROR(__xludf.DUMMYFUNCTION("""COMPUTED_VALUE"""),"CRM-HP-M126-M136nw-Black")</f>
        <v>CRM-HP-M126-M136nw-Black</v>
      </c>
      <c r="C183" s="26">
        <f>IFERROR(__xludf.DUMMYFUNCTION("""COMPUTED_VALUE"""),4.0)</f>
        <v>4</v>
      </c>
      <c r="F183" s="26"/>
      <c r="G183" s="26" t="str">
        <f t="shared" si="2"/>
        <v>#N/A</v>
      </c>
      <c r="H183" s="26" t="str">
        <f t="shared" si="3"/>
        <v>#N/A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 t="str">
        <f>IFERROR(__xludf.DUMMYFUNCTION("""COMPUTED_VALUE"""),"HP 4826 (Grey)")</f>
        <v>HP 4826 (Grey)</v>
      </c>
      <c r="B184" s="2" t="str">
        <f>IFERROR(__xludf.DUMMYFUNCTION("""COMPUTED_VALUE"""),"CRM-HP-4826-Grey-1")</f>
        <v>CRM-HP-4826-Grey-1</v>
      </c>
      <c r="C184" s="26">
        <f>IFERROR(__xludf.DUMMYFUNCTION("""COMPUTED_VALUE"""),2.0)</f>
        <v>2</v>
      </c>
      <c r="F184" s="26"/>
      <c r="G184" s="26" t="str">
        <f t="shared" si="2"/>
        <v>#N/A</v>
      </c>
      <c r="H184" s="26" t="str">
        <f t="shared" si="3"/>
        <v>#N/A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 t="str">
        <f>IFERROR(__xludf.DUMMYFUNCTION("""COMPUTED_VALUE"""),"HP 4826 (Grey)")</f>
        <v>HP 4826 (Grey)</v>
      </c>
      <c r="B185" s="2" t="str">
        <f>IFERROR(__xludf.DUMMYFUNCTION("""COMPUTED_VALUE"""),"CRM-HP-4826-Grey-1")</f>
        <v>CRM-HP-4826-Grey-1</v>
      </c>
      <c r="C185" s="26">
        <f>IFERROR(__xludf.DUMMYFUNCTION("""COMPUTED_VALUE"""),4.0)</f>
        <v>4</v>
      </c>
      <c r="F185" s="26"/>
      <c r="G185" s="26" t="str">
        <f t="shared" si="2"/>
        <v>#N/A</v>
      </c>
      <c r="H185" s="26" t="str">
        <f t="shared" si="3"/>
        <v>#N/A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 t="str">
        <f>IFERROR(__xludf.DUMMYFUNCTION("""COMPUTED_VALUE"""),"HP 4826 (Grey)")</f>
        <v>HP 4826 (Grey)</v>
      </c>
      <c r="B186" s="2" t="str">
        <f>IFERROR(__xludf.DUMMYFUNCTION("""COMPUTED_VALUE"""),"CRM-HP-4826-Grey-1")</f>
        <v>CRM-HP-4826-Grey-1</v>
      </c>
      <c r="C186" s="26">
        <f>IFERROR(__xludf.DUMMYFUNCTION("""COMPUTED_VALUE"""),2.0)</f>
        <v>2</v>
      </c>
      <c r="F186" s="26"/>
      <c r="G186" s="26" t="str">
        <f t="shared" si="2"/>
        <v>#N/A</v>
      </c>
      <c r="H186" s="26" t="str">
        <f t="shared" si="3"/>
        <v>#N/A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 t="str">
        <f>IFERROR(__xludf.DUMMYFUNCTION("""COMPUTED_VALUE"""),"HP 4826 (Grey)")</f>
        <v>HP 4826 (Grey)</v>
      </c>
      <c r="B187" s="2" t="str">
        <f>IFERROR(__xludf.DUMMYFUNCTION("""COMPUTED_VALUE"""),"CRM-HP-4826-Grey-1")</f>
        <v>CRM-HP-4826-Grey-1</v>
      </c>
      <c r="C187" s="26">
        <f>IFERROR(__xludf.DUMMYFUNCTION("""COMPUTED_VALUE"""),2.0)</f>
        <v>2</v>
      </c>
      <c r="F187" s="26"/>
      <c r="G187" s="26" t="str">
        <f t="shared" si="2"/>
        <v>#N/A</v>
      </c>
      <c r="H187" s="26" t="str">
        <f t="shared" si="3"/>
        <v>#N/A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 t="str">
        <f>IFERROR(__xludf.DUMMYFUNCTION("""COMPUTED_VALUE"""),"HP 4826 (Grey)")</f>
        <v>HP 4826 (Grey)</v>
      </c>
      <c r="B188" s="2" t="str">
        <f>IFERROR(__xludf.DUMMYFUNCTION("""COMPUTED_VALUE"""),"CRM-HP-4826-Grey-1")</f>
        <v>CRM-HP-4826-Grey-1</v>
      </c>
      <c r="C188" s="26">
        <f>IFERROR(__xludf.DUMMYFUNCTION("""COMPUTED_VALUE"""),2.0)</f>
        <v>2</v>
      </c>
      <c r="F188" s="26"/>
      <c r="G188" s="26" t="str">
        <f t="shared" si="2"/>
        <v>#N/A</v>
      </c>
      <c r="H188" s="26" t="str">
        <f t="shared" si="3"/>
        <v>#N/A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 t="str">
        <f>IFERROR(__xludf.DUMMYFUNCTION("""COMPUTED_VALUE"""),"G4770 (Black)")</f>
        <v>G4770 (Black)</v>
      </c>
      <c r="B189" s="2" t="str">
        <f>IFERROR(__xludf.DUMMYFUNCTION("""COMPUTED_VALUE"""),"CRM-PR-G4770-NW-BLACK")</f>
        <v>CRM-PR-G4770-NW-BLACK</v>
      </c>
      <c r="C189" s="26">
        <f>IFERROR(__xludf.DUMMYFUNCTION("""COMPUTED_VALUE"""),4.0)</f>
        <v>4</v>
      </c>
      <c r="F189" s="26"/>
      <c r="G189" s="26" t="str">
        <f t="shared" si="2"/>
        <v>#N/A</v>
      </c>
      <c r="H189" s="26" t="str">
        <f t="shared" si="3"/>
        <v>#N/A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 t="str">
        <f>IFERROR(__xludf.DUMMYFUNCTION("""COMPUTED_VALUE"""),"G4770 (Black)")</f>
        <v>G4770 (Black)</v>
      </c>
      <c r="B190" s="2" t="str">
        <f>IFERROR(__xludf.DUMMYFUNCTION("""COMPUTED_VALUE"""),"CRM-PR-G4770-NW-BLACK")</f>
        <v>CRM-PR-G4770-NW-BLACK</v>
      </c>
      <c r="C190" s="26">
        <f>IFERROR(__xludf.DUMMYFUNCTION("""COMPUTED_VALUE"""),2.0)</f>
        <v>2</v>
      </c>
      <c r="F190" s="26"/>
      <c r="G190" s="26" t="str">
        <f t="shared" si="2"/>
        <v>#N/A</v>
      </c>
      <c r="H190" s="26" t="str">
        <f t="shared" si="3"/>
        <v>#N/A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 t="str">
        <f>IFERROR(__xludf.DUMMYFUNCTION("""COMPUTED_VALUE"""),"G4770 (Black)")</f>
        <v>G4770 (Black)</v>
      </c>
      <c r="B191" s="2" t="str">
        <f>IFERROR(__xludf.DUMMYFUNCTION("""COMPUTED_VALUE"""),"CRM-PR-G4770-NW-BLACK")</f>
        <v>CRM-PR-G4770-NW-BLACK</v>
      </c>
      <c r="C191" s="26">
        <f>IFERROR(__xludf.DUMMYFUNCTION("""COMPUTED_VALUE"""),8.0)</f>
        <v>8</v>
      </c>
      <c r="F191" s="26"/>
      <c r="G191" s="26" t="str">
        <f t="shared" si="2"/>
        <v>#N/A</v>
      </c>
      <c r="H191" s="26" t="str">
        <f t="shared" si="3"/>
        <v>#N/A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 t="str">
        <f>IFERROR(__xludf.DUMMYFUNCTION("""COMPUTED_VALUE"""),"G4770 (Black)")</f>
        <v>G4770 (Black)</v>
      </c>
      <c r="B192" s="2" t="str">
        <f>IFERROR(__xludf.DUMMYFUNCTION("""COMPUTED_VALUE"""),"CRM-PR-G4770-NW-BLACK")</f>
        <v>CRM-PR-G4770-NW-BLACK</v>
      </c>
      <c r="C192" s="26">
        <f>IFERROR(__xludf.DUMMYFUNCTION("""COMPUTED_VALUE"""),4.0)</f>
        <v>4</v>
      </c>
      <c r="F192" s="26"/>
      <c r="G192" s="26" t="str">
        <f t="shared" si="2"/>
        <v>#N/A</v>
      </c>
      <c r="H192" s="26" t="str">
        <f t="shared" si="3"/>
        <v>#N/A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 t="str">
        <f>IFERROR(__xludf.DUMMYFUNCTION("""COMPUTED_VALUE"""),"G4770 (Black)")</f>
        <v>G4770 (Black)</v>
      </c>
      <c r="B193" s="2" t="str">
        <f>IFERROR(__xludf.DUMMYFUNCTION("""COMPUTED_VALUE"""),"CRM-PR-G4770-NW-BLACK")</f>
        <v>CRM-PR-G4770-NW-BLACK</v>
      </c>
      <c r="C193" s="26">
        <f>IFERROR(__xludf.DUMMYFUNCTION("""COMPUTED_VALUE"""),4.0)</f>
        <v>4</v>
      </c>
      <c r="F193" s="26"/>
      <c r="G193" s="26" t="str">
        <f t="shared" si="2"/>
        <v>#N/A</v>
      </c>
      <c r="H193" s="26" t="str">
        <f t="shared" si="3"/>
        <v>#N/A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 t="str">
        <f>IFERROR(__xludf.DUMMYFUNCTION("""COMPUTED_VALUE"""),"G4770 (Black)")</f>
        <v>G4770 (Black)</v>
      </c>
      <c r="B194" s="2" t="str">
        <f>IFERROR(__xludf.DUMMYFUNCTION("""COMPUTED_VALUE"""),"CRM-PR-G4770-NW-BLACK")</f>
        <v>CRM-PR-G4770-NW-BLACK</v>
      </c>
      <c r="C194" s="26">
        <f>IFERROR(__xludf.DUMMYFUNCTION("""COMPUTED_VALUE"""),2.0)</f>
        <v>2</v>
      </c>
      <c r="F194" s="26"/>
      <c r="G194" s="26" t="str">
        <f t="shared" si="2"/>
        <v>#N/A</v>
      </c>
      <c r="H194" s="26" t="str">
        <f t="shared" si="3"/>
        <v>#N/A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 t="str">
        <f>IFERROR(__xludf.DUMMYFUNCTION("""COMPUTED_VALUE"""),"G4770 (Black)")</f>
        <v>G4770 (Black)</v>
      </c>
      <c r="B195" s="2" t="str">
        <f>IFERROR(__xludf.DUMMYFUNCTION("""COMPUTED_VALUE"""),"CRM-PR-G4770-NW-BLACK")</f>
        <v>CRM-PR-G4770-NW-BLACK</v>
      </c>
      <c r="C195" s="26">
        <f>IFERROR(__xludf.DUMMYFUNCTION("""COMPUTED_VALUE"""),6.0)</f>
        <v>6</v>
      </c>
      <c r="F195" s="26"/>
      <c r="G195" s="26" t="str">
        <f t="shared" si="2"/>
        <v>#N/A</v>
      </c>
      <c r="H195" s="26" t="str">
        <f t="shared" si="3"/>
        <v>#N/A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 t="str">
        <f>IFERROR(__xludf.DUMMYFUNCTION("""COMPUTED_VALUE"""),"G4770 (Black)")</f>
        <v>G4770 (Black)</v>
      </c>
      <c r="B196" s="2" t="str">
        <f>IFERROR(__xludf.DUMMYFUNCTION("""COMPUTED_VALUE"""),"CRM-PR-G4770-NW-BLACK")</f>
        <v>CRM-PR-G4770-NW-BLACK</v>
      </c>
      <c r="C196" s="26">
        <f>IFERROR(__xludf.DUMMYFUNCTION("""COMPUTED_VALUE"""),2.0)</f>
        <v>2</v>
      </c>
      <c r="F196" s="26"/>
      <c r="G196" s="26" t="str">
        <f t="shared" si="2"/>
        <v>#N/A</v>
      </c>
      <c r="H196" s="26" t="str">
        <f t="shared" si="3"/>
        <v>#N/A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 t="str">
        <f>IFERROR(__xludf.DUMMYFUNCTION("""COMPUTED_VALUE"""),"G4770 (Grey)")</f>
        <v>G4770 (Grey)</v>
      </c>
      <c r="B197" s="2" t="str">
        <f>IFERROR(__xludf.DUMMYFUNCTION("""COMPUTED_VALUE"""),"CRM-PR-G4770-NW-GREY")</f>
        <v>CRM-PR-G4770-NW-GREY</v>
      </c>
      <c r="C197" s="26">
        <f>IFERROR(__xludf.DUMMYFUNCTION("""COMPUTED_VALUE"""),2.0)</f>
        <v>2</v>
      </c>
      <c r="F197" s="26"/>
      <c r="G197" s="26" t="str">
        <f t="shared" si="2"/>
        <v>#N/A</v>
      </c>
      <c r="H197" s="26" t="str">
        <f t="shared" si="3"/>
        <v>#N/A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 t="str">
        <f>IFERROR(__xludf.DUMMYFUNCTION("""COMPUTED_VALUE"""),"G4770 (Grey)")</f>
        <v>G4770 (Grey)</v>
      </c>
      <c r="B198" s="2" t="str">
        <f>IFERROR(__xludf.DUMMYFUNCTION("""COMPUTED_VALUE"""),"CRM-PR-G4770-NW-GREY")</f>
        <v>CRM-PR-G4770-NW-GREY</v>
      </c>
      <c r="C198" s="26">
        <f>IFERROR(__xludf.DUMMYFUNCTION("""COMPUTED_VALUE"""),2.0)</f>
        <v>2</v>
      </c>
      <c r="F198" s="26"/>
      <c r="G198" s="26" t="str">
        <f t="shared" si="2"/>
        <v>#N/A</v>
      </c>
      <c r="H198" s="26" t="str">
        <f t="shared" si="3"/>
        <v>#N/A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 t="str">
        <f>IFERROR(__xludf.DUMMYFUNCTION("""COMPUTED_VALUE"""),"G4770 (Grey)")</f>
        <v>G4770 (Grey)</v>
      </c>
      <c r="B199" s="2" t="str">
        <f>IFERROR(__xludf.DUMMYFUNCTION("""COMPUTED_VALUE"""),"CRM-PR-G4770-NW-GREY")</f>
        <v>CRM-PR-G4770-NW-GREY</v>
      </c>
      <c r="C199" s="26">
        <f>IFERROR(__xludf.DUMMYFUNCTION("""COMPUTED_VALUE"""),6.0)</f>
        <v>6</v>
      </c>
      <c r="F199" s="26"/>
      <c r="G199" s="26" t="str">
        <f t="shared" si="2"/>
        <v>#N/A</v>
      </c>
      <c r="H199" s="26" t="str">
        <f t="shared" si="3"/>
        <v>#N/A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 t="str">
        <f>IFERROR(__xludf.DUMMYFUNCTION("""COMPUTED_VALUE"""),"G4770 (Grey)")</f>
        <v>G4770 (Grey)</v>
      </c>
      <c r="B200" s="2" t="str">
        <f>IFERROR(__xludf.DUMMYFUNCTION("""COMPUTED_VALUE"""),"CRM-PR-G4770-NW-GREY")</f>
        <v>CRM-PR-G4770-NW-GREY</v>
      </c>
      <c r="C200" s="26">
        <f>IFERROR(__xludf.DUMMYFUNCTION("""COMPUTED_VALUE"""),4.0)</f>
        <v>4</v>
      </c>
      <c r="F200" s="26"/>
      <c r="G200" s="26" t="str">
        <f t="shared" si="2"/>
        <v>#N/A</v>
      </c>
      <c r="H200" s="26" t="str">
        <f t="shared" si="3"/>
        <v>#N/A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 t="str">
        <f>IFERROR(__xludf.DUMMYFUNCTION("""COMPUTED_VALUE"""),"G4770 (Grey)")</f>
        <v>G4770 (Grey)</v>
      </c>
      <c r="B201" s="2" t="str">
        <f>IFERROR(__xludf.DUMMYFUNCTION("""COMPUTED_VALUE"""),"CRM-PR-G4770-NW-GREY")</f>
        <v>CRM-PR-G4770-NW-GREY</v>
      </c>
      <c r="C201" s="26">
        <f>IFERROR(__xludf.DUMMYFUNCTION("""COMPUTED_VALUE"""),4.0)</f>
        <v>4</v>
      </c>
      <c r="F201" s="26"/>
      <c r="G201" s="26" t="str">
        <f t="shared" si="2"/>
        <v>#N/A</v>
      </c>
      <c r="H201" s="26" t="str">
        <f t="shared" si="3"/>
        <v>#N/A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 t="str">
        <f>IFERROR(__xludf.DUMMYFUNCTION("""COMPUTED_VALUE"""),"G4770 (Grey)")</f>
        <v>G4770 (Grey)</v>
      </c>
      <c r="B202" s="2" t="str">
        <f>IFERROR(__xludf.DUMMYFUNCTION("""COMPUTED_VALUE"""),"CRM-PR-G4770-NW-GREY")</f>
        <v>CRM-PR-G4770-NW-GREY</v>
      </c>
      <c r="C202" s="26">
        <f>IFERROR(__xludf.DUMMYFUNCTION("""COMPUTED_VALUE"""),2.0)</f>
        <v>2</v>
      </c>
      <c r="F202" s="26"/>
      <c r="G202" s="26" t="str">
        <f t="shared" si="2"/>
        <v>#N/A</v>
      </c>
      <c r="H202" s="26" t="str">
        <f t="shared" si="3"/>
        <v>#N/A</v>
      </c>
    </row>
    <row r="203">
      <c r="A203" s="2" t="str">
        <f>IFERROR(__xludf.DUMMYFUNCTION("""COMPUTED_VALUE"""),"HP 750 (Grey)")</f>
        <v>HP 750 (Grey)</v>
      </c>
      <c r="B203" s="2" t="str">
        <f>IFERROR(__xludf.DUMMYFUNCTION("""COMPUTED_VALUE"""),"CRM-HP-750-Grey")</f>
        <v>CRM-HP-750-Grey</v>
      </c>
      <c r="C203" s="26">
        <f>IFERROR(__xludf.DUMMYFUNCTION("""COMPUTED_VALUE"""),2.0)</f>
        <v>2</v>
      </c>
      <c r="F203" s="26"/>
      <c r="G203" s="26" t="str">
        <f t="shared" si="2"/>
        <v>#N/A</v>
      </c>
      <c r="H203" s="26" t="str">
        <f t="shared" si="3"/>
        <v>#N/A</v>
      </c>
    </row>
    <row r="204">
      <c r="A204" s="2" t="str">
        <f>IFERROR(__xludf.DUMMYFUNCTION("""COMPUTED_VALUE"""),"HP 750 (Grey)")</f>
        <v>HP 750 (Grey)</v>
      </c>
      <c r="B204" s="2" t="str">
        <f>IFERROR(__xludf.DUMMYFUNCTION("""COMPUTED_VALUE"""),"CRM-HP-750-Grey")</f>
        <v>CRM-HP-750-Grey</v>
      </c>
      <c r="C204" s="26">
        <f>IFERROR(__xludf.DUMMYFUNCTION("""COMPUTED_VALUE"""),2.0)</f>
        <v>2</v>
      </c>
      <c r="F204" s="26"/>
      <c r="G204" s="26" t="str">
        <f t="shared" si="2"/>
        <v>#N/A</v>
      </c>
      <c r="H204" s="26" t="str">
        <f t="shared" si="3"/>
        <v>#N/A</v>
      </c>
    </row>
    <row r="205">
      <c r="A205" s="2" t="str">
        <f>IFERROR(__xludf.DUMMYFUNCTION("""COMPUTED_VALUE"""),"HP 750 (Grey)")</f>
        <v>HP 750 (Grey)</v>
      </c>
      <c r="B205" s="2" t="str">
        <f>IFERROR(__xludf.DUMMYFUNCTION("""COMPUTED_VALUE"""),"CRM-HP-750-Grey")</f>
        <v>CRM-HP-750-Grey</v>
      </c>
      <c r="C205" s="26">
        <f>IFERROR(__xludf.DUMMYFUNCTION("""COMPUTED_VALUE"""),6.0)</f>
        <v>6</v>
      </c>
      <c r="F205" s="26"/>
      <c r="G205" s="26" t="str">
        <f t="shared" si="2"/>
        <v>#N/A</v>
      </c>
      <c r="H205" s="26" t="str">
        <f t="shared" si="3"/>
        <v>#N/A</v>
      </c>
    </row>
    <row r="206">
      <c r="A206" s="2" t="str">
        <f>IFERROR(__xludf.DUMMYFUNCTION("""COMPUTED_VALUE"""),"HP 750 (Grey)")</f>
        <v>HP 750 (Grey)</v>
      </c>
      <c r="B206" s="2" t="str">
        <f>IFERROR(__xludf.DUMMYFUNCTION("""COMPUTED_VALUE"""),"CRM-HP-750-Grey")</f>
        <v>CRM-HP-750-Grey</v>
      </c>
      <c r="C206" s="26">
        <f>IFERROR(__xludf.DUMMYFUNCTION("""COMPUTED_VALUE"""),12.0)</f>
        <v>12</v>
      </c>
      <c r="F206" s="26"/>
      <c r="G206" s="26" t="str">
        <f t="shared" si="2"/>
        <v>#N/A</v>
      </c>
      <c r="H206" s="26" t="str">
        <f t="shared" si="3"/>
        <v>#N/A</v>
      </c>
    </row>
    <row r="207">
      <c r="A207" s="2" t="str">
        <f>IFERROR(__xludf.DUMMYFUNCTION("""COMPUTED_VALUE"""),"HP 750 (Grey)")</f>
        <v>HP 750 (Grey)</v>
      </c>
      <c r="B207" s="2" t="str">
        <f>IFERROR(__xludf.DUMMYFUNCTION("""COMPUTED_VALUE"""),"CRM-HP-750-Grey")</f>
        <v>CRM-HP-750-Grey</v>
      </c>
      <c r="C207" s="26">
        <f>IFERROR(__xludf.DUMMYFUNCTION("""COMPUTED_VALUE"""),2.0)</f>
        <v>2</v>
      </c>
      <c r="F207" s="26"/>
      <c r="G207" s="26" t="str">
        <f t="shared" si="2"/>
        <v>#N/A</v>
      </c>
      <c r="H207" s="26" t="str">
        <f t="shared" si="3"/>
        <v>#N/A</v>
      </c>
    </row>
    <row r="208">
      <c r="A208" s="2" t="str">
        <f>IFERROR(__xludf.DUMMYFUNCTION("""COMPUTED_VALUE"""),"HP 750 (Black)")</f>
        <v>HP 750 (Black)</v>
      </c>
      <c r="B208" s="2" t="str">
        <f>IFERROR(__xludf.DUMMYFUNCTION("""COMPUTED_VALUE"""),"CRM-HP-750-Black")</f>
        <v>CRM-HP-750-Black</v>
      </c>
      <c r="C208" s="26">
        <f>IFERROR(__xludf.DUMMYFUNCTION("""COMPUTED_VALUE"""),4.0)</f>
        <v>4</v>
      </c>
      <c r="F208" s="26"/>
      <c r="G208" s="26" t="str">
        <f t="shared" si="2"/>
        <v>#N/A</v>
      </c>
      <c r="H208" s="26" t="str">
        <f t="shared" si="3"/>
        <v>#N/A</v>
      </c>
    </row>
    <row r="209">
      <c r="A209" s="2" t="str">
        <f>IFERROR(__xludf.DUMMYFUNCTION("""COMPUTED_VALUE"""),"HP 750 (Black)")</f>
        <v>HP 750 (Black)</v>
      </c>
      <c r="B209" s="2" t="str">
        <f>IFERROR(__xludf.DUMMYFUNCTION("""COMPUTED_VALUE"""),"CRM-HP-750-Black")</f>
        <v>CRM-HP-750-Black</v>
      </c>
      <c r="C209" s="26">
        <f>IFERROR(__xludf.DUMMYFUNCTION("""COMPUTED_VALUE"""),4.0)</f>
        <v>4</v>
      </c>
      <c r="F209" s="26"/>
      <c r="G209" s="26" t="str">
        <f t="shared" si="2"/>
        <v>#N/A</v>
      </c>
      <c r="H209" s="26" t="str">
        <f t="shared" si="3"/>
        <v>#N/A</v>
      </c>
    </row>
    <row r="210">
      <c r="A210" s="2" t="str">
        <f>IFERROR(__xludf.DUMMYFUNCTION("""COMPUTED_VALUE"""),"HP 750 (Black)")</f>
        <v>HP 750 (Black)</v>
      </c>
      <c r="B210" s="2" t="str">
        <f>IFERROR(__xludf.DUMMYFUNCTION("""COMPUTED_VALUE"""),"CRM-HP-750-Black")</f>
        <v>CRM-HP-750-Black</v>
      </c>
      <c r="C210" s="26">
        <f>IFERROR(__xludf.DUMMYFUNCTION("""COMPUTED_VALUE"""),4.0)</f>
        <v>4</v>
      </c>
      <c r="F210" s="26"/>
      <c r="G210" s="26" t="str">
        <f t="shared" si="2"/>
        <v>#N/A</v>
      </c>
      <c r="H210" s="26" t="str">
        <f t="shared" si="3"/>
        <v>#N/A</v>
      </c>
    </row>
    <row r="211">
      <c r="A211" s="2" t="str">
        <f>IFERROR(__xludf.DUMMYFUNCTION("""COMPUTED_VALUE"""),"HP 670 (Grey)")</f>
        <v>HP 670 (Grey)</v>
      </c>
      <c r="B211" s="2" t="str">
        <f>IFERROR(__xludf.DUMMYFUNCTION("""COMPUTED_VALUE"""),"CRM-HP-670-Grey")</f>
        <v>CRM-HP-670-Grey</v>
      </c>
      <c r="C211" s="26">
        <f>IFERROR(__xludf.DUMMYFUNCTION("""COMPUTED_VALUE"""),2.0)</f>
        <v>2</v>
      </c>
      <c r="F211" s="26"/>
      <c r="G211" s="26" t="str">
        <f t="shared" si="2"/>
        <v>#N/A</v>
      </c>
      <c r="H211" s="26" t="str">
        <f t="shared" si="3"/>
        <v>#N/A</v>
      </c>
    </row>
    <row r="212">
      <c r="A212" s="2" t="str">
        <f>IFERROR(__xludf.DUMMYFUNCTION("""COMPUTED_VALUE"""),"HP 670 (Grey)")</f>
        <v>HP 670 (Grey)</v>
      </c>
      <c r="B212" s="2" t="str">
        <f>IFERROR(__xludf.DUMMYFUNCTION("""COMPUTED_VALUE"""),"CRM-HP-670-Grey")</f>
        <v>CRM-HP-670-Grey</v>
      </c>
      <c r="C212" s="26">
        <f>IFERROR(__xludf.DUMMYFUNCTION("""COMPUTED_VALUE"""),2.0)</f>
        <v>2</v>
      </c>
      <c r="F212" s="26"/>
      <c r="G212" s="26" t="str">
        <f t="shared" si="2"/>
        <v>#N/A</v>
      </c>
      <c r="H212" s="26" t="str">
        <f t="shared" si="3"/>
        <v>#N/A</v>
      </c>
    </row>
    <row r="213">
      <c r="A213" s="2" t="str">
        <f>IFERROR(__xludf.DUMMYFUNCTION("""COMPUTED_VALUE"""),"HP 670 (Grey)")</f>
        <v>HP 670 (Grey)</v>
      </c>
      <c r="B213" s="2" t="str">
        <f>IFERROR(__xludf.DUMMYFUNCTION("""COMPUTED_VALUE"""),"CRM-HP-670-Grey")</f>
        <v>CRM-HP-670-Grey</v>
      </c>
      <c r="C213" s="26">
        <f>IFERROR(__xludf.DUMMYFUNCTION("""COMPUTED_VALUE"""),2.0)</f>
        <v>2</v>
      </c>
      <c r="F213" s="26"/>
      <c r="G213" s="26" t="str">
        <f t="shared" si="2"/>
        <v>#N/A</v>
      </c>
      <c r="H213" s="26" t="str">
        <f t="shared" si="3"/>
        <v>#N/A</v>
      </c>
    </row>
    <row r="214">
      <c r="A214" s="2" t="str">
        <f>IFERROR(__xludf.DUMMYFUNCTION("""COMPUTED_VALUE"""),"HP 670 (Grey)")</f>
        <v>HP 670 (Grey)</v>
      </c>
      <c r="B214" s="2" t="str">
        <f>IFERROR(__xludf.DUMMYFUNCTION("""COMPUTED_VALUE"""),"CRM-HP-670-Grey")</f>
        <v>CRM-HP-670-Grey</v>
      </c>
      <c r="C214" s="26">
        <f>IFERROR(__xludf.DUMMYFUNCTION("""COMPUTED_VALUE"""),2.0)</f>
        <v>2</v>
      </c>
      <c r="F214" s="26"/>
      <c r="G214" s="26" t="str">
        <f t="shared" si="2"/>
        <v>#N/A</v>
      </c>
      <c r="H214" s="26" t="str">
        <f t="shared" si="3"/>
        <v>#N/A</v>
      </c>
    </row>
    <row r="215">
      <c r="A215" s="2" t="str">
        <f>IFERROR(__xludf.DUMMYFUNCTION("""COMPUTED_VALUE"""),"HP 670 (Grey)")</f>
        <v>HP 670 (Grey)</v>
      </c>
      <c r="B215" s="2" t="str">
        <f>IFERROR(__xludf.DUMMYFUNCTION("""COMPUTED_VALUE"""),"CRM-HP-670-Grey")</f>
        <v>CRM-HP-670-Grey</v>
      </c>
      <c r="C215" s="26">
        <f>IFERROR(__xludf.DUMMYFUNCTION("""COMPUTED_VALUE"""),2.0)</f>
        <v>2</v>
      </c>
      <c r="F215" s="26"/>
      <c r="G215" s="26" t="str">
        <f t="shared" si="2"/>
        <v>#N/A</v>
      </c>
      <c r="H215" s="26" t="str">
        <f t="shared" si="3"/>
        <v>#N/A</v>
      </c>
    </row>
    <row r="216">
      <c r="A216" s="2" t="str">
        <f>IFERROR(__xludf.DUMMYFUNCTION("""COMPUTED_VALUE"""),"HP 670 (Grey)")</f>
        <v>HP 670 (Grey)</v>
      </c>
      <c r="B216" s="2" t="str">
        <f>IFERROR(__xludf.DUMMYFUNCTION("""COMPUTED_VALUE"""),"CRM-HP-670-Grey")</f>
        <v>CRM-HP-670-Grey</v>
      </c>
      <c r="C216" s="26">
        <f>IFERROR(__xludf.DUMMYFUNCTION("""COMPUTED_VALUE"""),2.0)</f>
        <v>2</v>
      </c>
      <c r="F216" s="26"/>
      <c r="G216" s="26" t="str">
        <f t="shared" si="2"/>
        <v>#N/A</v>
      </c>
      <c r="H216" s="26" t="str">
        <f t="shared" si="3"/>
        <v>#N/A</v>
      </c>
    </row>
    <row r="217">
      <c r="A217" s="2" t="str">
        <f>IFERROR(__xludf.DUMMYFUNCTION("""COMPUTED_VALUE"""),"HP 670 (Grey)")</f>
        <v>HP 670 (Grey)</v>
      </c>
      <c r="B217" s="2" t="str">
        <f>IFERROR(__xludf.DUMMYFUNCTION("""COMPUTED_VALUE"""),"CRM-HP-670-Grey")</f>
        <v>CRM-HP-670-Grey</v>
      </c>
      <c r="C217" s="26">
        <f>IFERROR(__xludf.DUMMYFUNCTION("""COMPUTED_VALUE"""),2.0)</f>
        <v>2</v>
      </c>
      <c r="F217" s="26"/>
      <c r="G217" s="26" t="str">
        <f t="shared" si="2"/>
        <v>#N/A</v>
      </c>
      <c r="H217" s="26" t="str">
        <f t="shared" si="3"/>
        <v>#N/A</v>
      </c>
    </row>
    <row r="218">
      <c r="A218" s="2" t="str">
        <f>IFERROR(__xludf.DUMMYFUNCTION("""COMPUTED_VALUE"""),"HP 670 (Black)")</f>
        <v>HP 670 (Black)</v>
      </c>
      <c r="B218" s="2" t="str">
        <f>IFERROR(__xludf.DUMMYFUNCTION("""COMPUTED_VALUE"""),"CRM-HP-670-Black")</f>
        <v>CRM-HP-670-Black</v>
      </c>
      <c r="C218" s="26">
        <f>IFERROR(__xludf.DUMMYFUNCTION("""COMPUTED_VALUE"""),6.0)</f>
        <v>6</v>
      </c>
      <c r="F218" s="26"/>
      <c r="G218" s="26" t="str">
        <f t="shared" si="2"/>
        <v>#N/A</v>
      </c>
      <c r="H218" s="26" t="str">
        <f t="shared" si="3"/>
        <v>#N/A</v>
      </c>
    </row>
    <row r="219">
      <c r="A219" s="2" t="str">
        <f>IFERROR(__xludf.DUMMYFUNCTION("""COMPUTED_VALUE"""),"HP 670 (Black)")</f>
        <v>HP 670 (Black)</v>
      </c>
      <c r="B219" s="2" t="str">
        <f>IFERROR(__xludf.DUMMYFUNCTION("""COMPUTED_VALUE"""),"CRM-HP-670-Black")</f>
        <v>CRM-HP-670-Black</v>
      </c>
      <c r="C219" s="26">
        <f>IFERROR(__xludf.DUMMYFUNCTION("""COMPUTED_VALUE"""),2.0)</f>
        <v>2</v>
      </c>
      <c r="F219" s="26"/>
      <c r="G219" s="26" t="str">
        <f t="shared" si="2"/>
        <v>#N/A</v>
      </c>
      <c r="H219" s="26" t="str">
        <f t="shared" si="3"/>
        <v>#N/A</v>
      </c>
    </row>
    <row r="220">
      <c r="A220" s="2" t="str">
        <f>IFERROR(__xludf.DUMMYFUNCTION("""COMPUTED_VALUE"""),"HP 670 (Black)")</f>
        <v>HP 670 (Black)</v>
      </c>
      <c r="B220" s="2" t="str">
        <f>IFERROR(__xludf.DUMMYFUNCTION("""COMPUTED_VALUE"""),"CRM-HP-670-Black")</f>
        <v>CRM-HP-670-Black</v>
      </c>
      <c r="C220" s="26">
        <f>IFERROR(__xludf.DUMMYFUNCTION("""COMPUTED_VALUE"""),4.0)</f>
        <v>4</v>
      </c>
      <c r="F220" s="26"/>
      <c r="G220" s="26" t="str">
        <f t="shared" si="2"/>
        <v>#N/A</v>
      </c>
      <c r="H220" s="26" t="str">
        <f t="shared" si="3"/>
        <v>#N/A</v>
      </c>
    </row>
    <row r="221">
      <c r="A221" s="2" t="str">
        <f>IFERROR(__xludf.DUMMYFUNCTION("""COMPUTED_VALUE"""),"HP 670 (Black)")</f>
        <v>HP 670 (Black)</v>
      </c>
      <c r="B221" s="2" t="str">
        <f>IFERROR(__xludf.DUMMYFUNCTION("""COMPUTED_VALUE"""),"CRM-HP-670-Black")</f>
        <v>CRM-HP-670-Black</v>
      </c>
      <c r="C221" s="26">
        <f>IFERROR(__xludf.DUMMYFUNCTION("""COMPUTED_VALUE"""),2.0)</f>
        <v>2</v>
      </c>
      <c r="F221" s="26"/>
      <c r="G221" s="26" t="str">
        <f t="shared" si="2"/>
        <v>#N/A</v>
      </c>
      <c r="H221" s="26" t="str">
        <f t="shared" si="3"/>
        <v>#N/A</v>
      </c>
    </row>
    <row r="222">
      <c r="A222" s="2" t="str">
        <f>IFERROR(__xludf.DUMMYFUNCTION("""COMPUTED_VALUE"""),"HP 670 (Black)")</f>
        <v>HP 670 (Black)</v>
      </c>
      <c r="B222" s="2" t="str">
        <f>IFERROR(__xludf.DUMMYFUNCTION("""COMPUTED_VALUE"""),"CRM-HP-670-Black")</f>
        <v>CRM-HP-670-Black</v>
      </c>
      <c r="C222" s="26">
        <f>IFERROR(__xludf.DUMMYFUNCTION("""COMPUTED_VALUE"""),4.0)</f>
        <v>4</v>
      </c>
      <c r="F222" s="26"/>
      <c r="G222" s="26" t="str">
        <f t="shared" si="2"/>
        <v>#N/A</v>
      </c>
      <c r="H222" s="26" t="str">
        <f t="shared" si="3"/>
        <v>#N/A</v>
      </c>
    </row>
    <row r="223">
      <c r="A223" s="2" t="str">
        <f>IFERROR(__xludf.DUMMYFUNCTION("""COMPUTED_VALUE"""),"HP 580 (Grey)")</f>
        <v>HP 580 (Grey)</v>
      </c>
      <c r="B223" s="2" t="str">
        <f>IFERROR(__xludf.DUMMYFUNCTION("""COMPUTED_VALUE"""),"CRM-HP-529-Grey")</f>
        <v>CRM-HP-529-Grey</v>
      </c>
      <c r="C223" s="26">
        <f>IFERROR(__xludf.DUMMYFUNCTION("""COMPUTED_VALUE"""),4.0)</f>
        <v>4</v>
      </c>
      <c r="F223" s="26"/>
      <c r="G223" s="26" t="str">
        <f t="shared" si="2"/>
        <v>#N/A</v>
      </c>
      <c r="H223" s="26" t="str">
        <f t="shared" si="3"/>
        <v>#N/A</v>
      </c>
    </row>
    <row r="224">
      <c r="A224" s="2" t="str">
        <f>IFERROR(__xludf.DUMMYFUNCTION("""COMPUTED_VALUE"""),"HP 580 (Grey)")</f>
        <v>HP 580 (Grey)</v>
      </c>
      <c r="B224" s="2" t="str">
        <f>IFERROR(__xludf.DUMMYFUNCTION("""COMPUTED_VALUE"""),"CRM-HP-529-Grey")</f>
        <v>CRM-HP-529-Grey</v>
      </c>
      <c r="C224" s="26">
        <f>IFERROR(__xludf.DUMMYFUNCTION("""COMPUTED_VALUE"""),6.0)</f>
        <v>6</v>
      </c>
      <c r="F224" s="26"/>
      <c r="G224" s="26" t="str">
        <f t="shared" si="2"/>
        <v>#N/A</v>
      </c>
      <c r="H224" s="26" t="str">
        <f t="shared" si="3"/>
        <v>#N/A</v>
      </c>
    </row>
    <row r="225">
      <c r="A225" s="2" t="str">
        <f>IFERROR(__xludf.DUMMYFUNCTION("""COMPUTED_VALUE"""),"HP 580 (Grey)")</f>
        <v>HP 580 (Grey)</v>
      </c>
      <c r="B225" s="2" t="str">
        <f>IFERROR(__xludf.DUMMYFUNCTION("""COMPUTED_VALUE"""),"CRM-HP-529-Grey")</f>
        <v>CRM-HP-529-Grey</v>
      </c>
      <c r="C225" s="26">
        <f>IFERROR(__xludf.DUMMYFUNCTION("""COMPUTED_VALUE"""),12.0)</f>
        <v>12</v>
      </c>
      <c r="F225" s="26"/>
      <c r="G225" s="26" t="str">
        <f t="shared" si="2"/>
        <v>#N/A</v>
      </c>
      <c r="H225" s="26" t="str">
        <f t="shared" si="3"/>
        <v>#N/A</v>
      </c>
    </row>
    <row r="226">
      <c r="A226" s="2" t="str">
        <f>IFERROR(__xludf.DUMMYFUNCTION("""COMPUTED_VALUE"""),"HP 580 (Grey)")</f>
        <v>HP 580 (Grey)</v>
      </c>
      <c r="B226" s="2" t="str">
        <f>IFERROR(__xludf.DUMMYFUNCTION("""COMPUTED_VALUE"""),"CRM-HP-529-Grey")</f>
        <v>CRM-HP-529-Grey</v>
      </c>
      <c r="C226" s="26">
        <f>IFERROR(__xludf.DUMMYFUNCTION("""COMPUTED_VALUE"""),6.0)</f>
        <v>6</v>
      </c>
      <c r="F226" s="26"/>
      <c r="G226" s="26" t="str">
        <f t="shared" si="2"/>
        <v>#N/A</v>
      </c>
      <c r="H226" s="26" t="str">
        <f t="shared" si="3"/>
        <v>#N/A</v>
      </c>
    </row>
    <row r="227">
      <c r="A227" s="2" t="str">
        <f>IFERROR(__xludf.DUMMYFUNCTION("""COMPUTED_VALUE"""),"HP 580 (Grey)")</f>
        <v>HP 580 (Grey)</v>
      </c>
      <c r="B227" s="2" t="str">
        <f>IFERROR(__xludf.DUMMYFUNCTION("""COMPUTED_VALUE"""),"CRM-HP-529-Grey")</f>
        <v>CRM-HP-529-Grey</v>
      </c>
      <c r="C227" s="26">
        <f>IFERROR(__xludf.DUMMYFUNCTION("""COMPUTED_VALUE"""),6.0)</f>
        <v>6</v>
      </c>
      <c r="F227" s="26"/>
      <c r="G227" s="26" t="str">
        <f t="shared" si="2"/>
        <v>#N/A</v>
      </c>
      <c r="H227" s="26" t="str">
        <f t="shared" si="3"/>
        <v>#N/A</v>
      </c>
    </row>
    <row r="228">
      <c r="A228" s="2" t="str">
        <f>IFERROR(__xludf.DUMMYFUNCTION("""COMPUTED_VALUE"""),"HP 580 (Grey)")</f>
        <v>HP 580 (Grey)</v>
      </c>
      <c r="B228" s="2" t="str">
        <f>IFERROR(__xludf.DUMMYFUNCTION("""COMPUTED_VALUE"""),"CRM-HP-529-Grey")</f>
        <v>CRM-HP-529-Grey</v>
      </c>
      <c r="C228" s="26">
        <f>IFERROR(__xludf.DUMMYFUNCTION("""COMPUTED_VALUE"""),2.0)</f>
        <v>2</v>
      </c>
      <c r="F228" s="26"/>
      <c r="G228" s="26" t="str">
        <f t="shared" si="2"/>
        <v>#N/A</v>
      </c>
      <c r="H228" s="26" t="str">
        <f t="shared" si="3"/>
        <v>#N/A</v>
      </c>
    </row>
    <row r="229">
      <c r="A229" s="2" t="str">
        <f>IFERROR(__xludf.DUMMYFUNCTION("""COMPUTED_VALUE"""),"HP 580 (Grey)")</f>
        <v>HP 580 (Grey)</v>
      </c>
      <c r="B229" s="2" t="str">
        <f>IFERROR(__xludf.DUMMYFUNCTION("""COMPUTED_VALUE"""),"CRM-HP-529-Grey")</f>
        <v>CRM-HP-529-Grey</v>
      </c>
      <c r="C229" s="26">
        <f>IFERROR(__xludf.DUMMYFUNCTION("""COMPUTED_VALUE"""),10.0)</f>
        <v>10</v>
      </c>
      <c r="F229" s="26"/>
      <c r="G229" s="26" t="str">
        <f t="shared" si="2"/>
        <v>#N/A</v>
      </c>
      <c r="H229" s="26" t="str">
        <f t="shared" si="3"/>
        <v>#N/A</v>
      </c>
    </row>
    <row r="230">
      <c r="A230" s="2" t="str">
        <f>IFERROR(__xludf.DUMMYFUNCTION("""COMPUTED_VALUE"""),"HP 580 (Grey)")</f>
        <v>HP 580 (Grey)</v>
      </c>
      <c r="B230" s="2" t="str">
        <f>IFERROR(__xludf.DUMMYFUNCTION("""COMPUTED_VALUE"""),"CRM-HP-529-Grey")</f>
        <v>CRM-HP-529-Grey</v>
      </c>
      <c r="C230" s="26">
        <f>IFERROR(__xludf.DUMMYFUNCTION("""COMPUTED_VALUE"""),10.0)</f>
        <v>10</v>
      </c>
      <c r="F230" s="26"/>
      <c r="G230" s="26" t="str">
        <f t="shared" si="2"/>
        <v>#N/A</v>
      </c>
      <c r="H230" s="26" t="str">
        <f t="shared" si="3"/>
        <v>#N/A</v>
      </c>
    </row>
    <row r="231">
      <c r="A231" s="2" t="str">
        <f>IFERROR(__xludf.DUMMYFUNCTION("""COMPUTED_VALUE"""),"HP 4826 (Grey)")</f>
        <v>HP 4826 (Grey)</v>
      </c>
      <c r="B231" s="2" t="str">
        <f>IFERROR(__xludf.DUMMYFUNCTION("""COMPUTED_VALUE"""),"CRM-HP-4826-4929-Grey")</f>
        <v>CRM-HP-4826-4929-Grey</v>
      </c>
      <c r="C231" s="26">
        <f>IFERROR(__xludf.DUMMYFUNCTION("""COMPUTED_VALUE"""),4.0)</f>
        <v>4</v>
      </c>
      <c r="F231" s="26"/>
      <c r="G231" s="26" t="str">
        <f t="shared" si="2"/>
        <v>#N/A</v>
      </c>
      <c r="H231" s="26" t="str">
        <f t="shared" si="3"/>
        <v>#N/A</v>
      </c>
    </row>
    <row r="232">
      <c r="A232" s="2" t="str">
        <f>IFERROR(__xludf.DUMMYFUNCTION("""COMPUTED_VALUE"""),"HP 4826 (Grey)")</f>
        <v>HP 4826 (Grey)</v>
      </c>
      <c r="B232" s="2" t="str">
        <f>IFERROR(__xludf.DUMMYFUNCTION("""COMPUTED_VALUE"""),"CRM-HP-4826-4929-Grey")</f>
        <v>CRM-HP-4826-4929-Grey</v>
      </c>
      <c r="C232" s="26">
        <f>IFERROR(__xludf.DUMMYFUNCTION("""COMPUTED_VALUE"""),8.0)</f>
        <v>8</v>
      </c>
      <c r="F232" s="26"/>
      <c r="G232" s="26" t="str">
        <f t="shared" si="2"/>
        <v>#N/A</v>
      </c>
      <c r="H232" s="26" t="str">
        <f t="shared" si="3"/>
        <v>#N/A</v>
      </c>
    </row>
    <row r="233">
      <c r="A233" s="2" t="str">
        <f>IFERROR(__xludf.DUMMYFUNCTION("""COMPUTED_VALUE"""),"L2321")</f>
        <v>L2321</v>
      </c>
      <c r="B233" s="2" t="str">
        <f>IFERROR(__xludf.DUMMYFUNCTION("""COMPUTED_VALUE"""),"CRM-BR-L2321D-L2440DW-BLUE")</f>
        <v>CRM-BR-L2321D-L2440DW-BLUE</v>
      </c>
      <c r="C233" s="26">
        <f>IFERROR(__xludf.DUMMYFUNCTION("""COMPUTED_VALUE"""),2.0)</f>
        <v>2</v>
      </c>
      <c r="F233" s="26"/>
      <c r="G233" s="26" t="str">
        <f t="shared" si="2"/>
        <v>#N/A</v>
      </c>
      <c r="H233" s="26" t="str">
        <f t="shared" si="3"/>
        <v>#N/A</v>
      </c>
    </row>
    <row r="234">
      <c r="A234" s="2" t="str">
        <f>IFERROR(__xludf.DUMMYFUNCTION("""COMPUTED_VALUE"""),"HP 580 (Black)")</f>
        <v>HP 580 (Black)</v>
      </c>
      <c r="B234" s="2" t="str">
        <f>IFERROR(__xludf.DUMMYFUNCTION("""COMPUTED_VALUE"""),"CRM-HP-529-Black")</f>
        <v>CRM-HP-529-Black</v>
      </c>
      <c r="C234" s="26">
        <f>IFERROR(__xludf.DUMMYFUNCTION("""COMPUTED_VALUE"""),2.0)</f>
        <v>2</v>
      </c>
      <c r="F234" s="26"/>
      <c r="G234" s="26" t="str">
        <f t="shared" si="2"/>
        <v>#N/A</v>
      </c>
      <c r="H234" s="26" t="str">
        <f t="shared" si="3"/>
        <v>#N/A</v>
      </c>
    </row>
    <row r="235">
      <c r="A235" s="2" t="str">
        <f>IFERROR(__xludf.DUMMYFUNCTION("""COMPUTED_VALUE"""),"HP 580 (Black)")</f>
        <v>HP 580 (Black)</v>
      </c>
      <c r="B235" s="2" t="str">
        <f>IFERROR(__xludf.DUMMYFUNCTION("""COMPUTED_VALUE"""),"CRM-HP-529-Black")</f>
        <v>CRM-HP-529-Black</v>
      </c>
      <c r="C235" s="26">
        <f>IFERROR(__xludf.DUMMYFUNCTION("""COMPUTED_VALUE"""),4.0)</f>
        <v>4</v>
      </c>
      <c r="F235" s="26"/>
      <c r="G235" s="26" t="str">
        <f t="shared" si="2"/>
        <v>#N/A</v>
      </c>
      <c r="H235" s="26" t="str">
        <f t="shared" si="3"/>
        <v>#N/A</v>
      </c>
    </row>
    <row r="236">
      <c r="A236" s="2" t="str">
        <f>IFERROR(__xludf.DUMMYFUNCTION("""COMPUTED_VALUE"""),"HP 580 (Black)")</f>
        <v>HP 580 (Black)</v>
      </c>
      <c r="B236" s="2" t="str">
        <f>IFERROR(__xludf.DUMMYFUNCTION("""COMPUTED_VALUE"""),"CRM-HP-529-Black")</f>
        <v>CRM-HP-529-Black</v>
      </c>
      <c r="C236" s="26">
        <f>IFERROR(__xludf.DUMMYFUNCTION("""COMPUTED_VALUE"""),12.0)</f>
        <v>12</v>
      </c>
      <c r="F236" s="26"/>
      <c r="G236" s="26" t="str">
        <f t="shared" si="2"/>
        <v>#N/A</v>
      </c>
      <c r="H236" s="26" t="str">
        <f t="shared" si="3"/>
        <v>#N/A</v>
      </c>
    </row>
    <row r="237">
      <c r="A237" s="2" t="str">
        <f>IFERROR(__xludf.DUMMYFUNCTION("""COMPUTED_VALUE"""),"HP 580 (Black)")</f>
        <v>HP 580 (Black)</v>
      </c>
      <c r="B237" s="2" t="str">
        <f>IFERROR(__xludf.DUMMYFUNCTION("""COMPUTED_VALUE"""),"CRM-HP-529-Black")</f>
        <v>CRM-HP-529-Black</v>
      </c>
      <c r="C237" s="26">
        <f>IFERROR(__xludf.DUMMYFUNCTION("""COMPUTED_VALUE"""),2.0)</f>
        <v>2</v>
      </c>
      <c r="F237" s="26"/>
      <c r="G237" s="26" t="str">
        <f t="shared" si="2"/>
        <v>#N/A</v>
      </c>
      <c r="H237" s="26" t="str">
        <f t="shared" si="3"/>
        <v>#N/A</v>
      </c>
    </row>
    <row r="238">
      <c r="A238" s="2" t="str">
        <f>IFERROR(__xludf.DUMMYFUNCTION("""COMPUTED_VALUE"""),"HP 580 (Black)")</f>
        <v>HP 580 (Black)</v>
      </c>
      <c r="B238" s="2" t="str">
        <f>IFERROR(__xludf.DUMMYFUNCTION("""COMPUTED_VALUE"""),"CRM-HP-529-Black")</f>
        <v>CRM-HP-529-Black</v>
      </c>
      <c r="C238" s="26">
        <f>IFERROR(__xludf.DUMMYFUNCTION("""COMPUTED_VALUE"""),2.0)</f>
        <v>2</v>
      </c>
      <c r="F238" s="26"/>
      <c r="G238" s="26" t="str">
        <f t="shared" si="2"/>
        <v>#N/A</v>
      </c>
      <c r="H238" s="26" t="str">
        <f t="shared" si="3"/>
        <v>#N/A</v>
      </c>
    </row>
    <row r="239">
      <c r="A239" s="2" t="str">
        <f>IFERROR(__xludf.DUMMYFUNCTION("""COMPUTED_VALUE"""),"HP 580 (Black)")</f>
        <v>HP 580 (Black)</v>
      </c>
      <c r="B239" s="2" t="str">
        <f>IFERROR(__xludf.DUMMYFUNCTION("""COMPUTED_VALUE"""),"CRM-HP-529-Black")</f>
        <v>CRM-HP-529-Black</v>
      </c>
      <c r="C239" s="26">
        <f>IFERROR(__xludf.DUMMYFUNCTION("""COMPUTED_VALUE"""),4.0)</f>
        <v>4</v>
      </c>
      <c r="F239" s="26"/>
      <c r="G239" s="26" t="str">
        <f t="shared" si="2"/>
        <v>#N/A</v>
      </c>
      <c r="H239" s="26" t="str">
        <f t="shared" si="3"/>
        <v>#N/A</v>
      </c>
    </row>
    <row r="240">
      <c r="A240" s="2" t="str">
        <f>IFERROR(__xludf.DUMMYFUNCTION("""COMPUTED_VALUE"""),"HP 580 (Black)")</f>
        <v>HP 580 (Black)</v>
      </c>
      <c r="B240" s="2" t="str">
        <f>IFERROR(__xludf.DUMMYFUNCTION("""COMPUTED_VALUE"""),"CRM-HP-529-Black")</f>
        <v>CRM-HP-529-Black</v>
      </c>
      <c r="C240" s="26">
        <f>IFERROR(__xludf.DUMMYFUNCTION("""COMPUTED_VALUE"""),8.0)</f>
        <v>8</v>
      </c>
      <c r="F240" s="26"/>
      <c r="G240" s="26" t="str">
        <f t="shared" si="2"/>
        <v>#N/A</v>
      </c>
      <c r="H240" s="26" t="str">
        <f t="shared" si="3"/>
        <v>#N/A</v>
      </c>
    </row>
    <row r="241">
      <c r="A241" s="2" t="str">
        <f>IFERROR(__xludf.DUMMYFUNCTION("""COMPUTED_VALUE"""),"HP 580 (Grey)")</f>
        <v>HP 580 (Grey)</v>
      </c>
      <c r="B241" s="2" t="str">
        <f>IFERROR(__xludf.DUMMYFUNCTION("""COMPUTED_VALUE"""),"CRM-HP-580-Grey")</f>
        <v>CRM-HP-580-Grey</v>
      </c>
      <c r="C241" s="26">
        <f>IFERROR(__xludf.DUMMYFUNCTION("""COMPUTED_VALUE"""),10.0)</f>
        <v>10</v>
      </c>
      <c r="F241" s="26"/>
      <c r="G241" s="26" t="str">
        <f t="shared" si="2"/>
        <v>#N/A</v>
      </c>
      <c r="H241" s="26" t="str">
        <f t="shared" si="3"/>
        <v>#N/A</v>
      </c>
    </row>
    <row r="242">
      <c r="A242" s="2" t="str">
        <f>IFERROR(__xludf.DUMMYFUNCTION("""COMPUTED_VALUE"""),"HP 580 (Grey)")</f>
        <v>HP 580 (Grey)</v>
      </c>
      <c r="B242" s="2" t="str">
        <f>IFERROR(__xludf.DUMMYFUNCTION("""COMPUTED_VALUE"""),"CRM-HP-580-Grey")</f>
        <v>CRM-HP-580-Grey</v>
      </c>
      <c r="C242" s="26">
        <f>IFERROR(__xludf.DUMMYFUNCTION("""COMPUTED_VALUE"""),6.0)</f>
        <v>6</v>
      </c>
      <c r="F242" s="26"/>
      <c r="G242" s="26" t="str">
        <f t="shared" si="2"/>
        <v>#N/A</v>
      </c>
      <c r="H242" s="26" t="str">
        <f t="shared" si="3"/>
        <v>#N/A</v>
      </c>
    </row>
    <row r="243">
      <c r="A243" s="2" t="str">
        <f>IFERROR(__xludf.DUMMYFUNCTION("""COMPUTED_VALUE"""),"HP 580 (Grey)")</f>
        <v>HP 580 (Grey)</v>
      </c>
      <c r="B243" s="2" t="str">
        <f>IFERROR(__xludf.DUMMYFUNCTION("""COMPUTED_VALUE"""),"CRM-HP-580-Grey")</f>
        <v>CRM-HP-580-Grey</v>
      </c>
      <c r="C243" s="26">
        <f>IFERROR(__xludf.DUMMYFUNCTION("""COMPUTED_VALUE"""),22.0)</f>
        <v>22</v>
      </c>
      <c r="F243" s="26"/>
      <c r="G243" s="26" t="str">
        <f t="shared" si="2"/>
        <v>#N/A</v>
      </c>
      <c r="H243" s="26" t="str">
        <f t="shared" si="3"/>
        <v>#N/A</v>
      </c>
    </row>
    <row r="244">
      <c r="A244" s="2" t="str">
        <f>IFERROR(__xludf.DUMMYFUNCTION("""COMPUTED_VALUE"""),"HP 580 (Grey)")</f>
        <v>HP 580 (Grey)</v>
      </c>
      <c r="B244" s="2" t="str">
        <f>IFERROR(__xludf.DUMMYFUNCTION("""COMPUTED_VALUE"""),"CRM-HP-580-Grey")</f>
        <v>CRM-HP-580-Grey</v>
      </c>
      <c r="C244" s="26">
        <f>IFERROR(__xludf.DUMMYFUNCTION("""COMPUTED_VALUE"""),54.0)</f>
        <v>54</v>
      </c>
      <c r="F244" s="26"/>
      <c r="G244" s="26" t="str">
        <f t="shared" si="2"/>
        <v>#N/A</v>
      </c>
      <c r="H244" s="26" t="str">
        <f t="shared" si="3"/>
        <v>#N/A</v>
      </c>
    </row>
    <row r="245">
      <c r="A245" s="2" t="str">
        <f>IFERROR(__xludf.DUMMYFUNCTION("""COMPUTED_VALUE"""),"HP 580 (Grey)")</f>
        <v>HP 580 (Grey)</v>
      </c>
      <c r="B245" s="2" t="str">
        <f>IFERROR(__xludf.DUMMYFUNCTION("""COMPUTED_VALUE"""),"CRM-HP-580-Grey")</f>
        <v>CRM-HP-580-Grey</v>
      </c>
      <c r="C245" s="26">
        <f>IFERROR(__xludf.DUMMYFUNCTION("""COMPUTED_VALUE"""),42.0)</f>
        <v>42</v>
      </c>
      <c r="F245" s="26"/>
      <c r="G245" s="26" t="str">
        <f t="shared" si="2"/>
        <v>#N/A</v>
      </c>
      <c r="H245" s="26" t="str">
        <f t="shared" si="3"/>
        <v>#N/A</v>
      </c>
    </row>
    <row r="246">
      <c r="A246" s="2" t="str">
        <f>IFERROR(__xludf.DUMMYFUNCTION("""COMPUTED_VALUE"""),"HP 580 (Grey)")</f>
        <v>HP 580 (Grey)</v>
      </c>
      <c r="B246" s="2" t="str">
        <f>IFERROR(__xludf.DUMMYFUNCTION("""COMPUTED_VALUE"""),"CRM-HP-580-Grey")</f>
        <v>CRM-HP-580-Grey</v>
      </c>
      <c r="C246" s="26">
        <f>IFERROR(__xludf.DUMMYFUNCTION("""COMPUTED_VALUE"""),68.0)</f>
        <v>68</v>
      </c>
      <c r="F246" s="26"/>
      <c r="G246" s="26" t="str">
        <f t="shared" si="2"/>
        <v>#N/A</v>
      </c>
      <c r="H246" s="26" t="str">
        <f t="shared" si="3"/>
        <v>#N/A</v>
      </c>
    </row>
    <row r="247">
      <c r="A247" s="2" t="str">
        <f>IFERROR(__xludf.DUMMYFUNCTION("""COMPUTED_VALUE"""),"HP 580 (Grey)")</f>
        <v>HP 580 (Grey)</v>
      </c>
      <c r="B247" s="2" t="str">
        <f>IFERROR(__xludf.DUMMYFUNCTION("""COMPUTED_VALUE"""),"CRM-HP-580-Grey")</f>
        <v>CRM-HP-580-Grey</v>
      </c>
      <c r="C247" s="26">
        <f>IFERROR(__xludf.DUMMYFUNCTION("""COMPUTED_VALUE"""),2.0)</f>
        <v>2</v>
      </c>
      <c r="F247" s="26"/>
      <c r="G247" s="26" t="str">
        <f t="shared" si="2"/>
        <v>#N/A</v>
      </c>
      <c r="H247" s="26" t="str">
        <f t="shared" si="3"/>
        <v>#N/A</v>
      </c>
    </row>
    <row r="248">
      <c r="A248" s="2" t="str">
        <f>IFERROR(__xludf.DUMMYFUNCTION("""COMPUTED_VALUE"""),"HP 580 (Grey)")</f>
        <v>HP 580 (Grey)</v>
      </c>
      <c r="B248" s="2" t="str">
        <f>IFERROR(__xludf.DUMMYFUNCTION("""COMPUTED_VALUE"""),"CRM-BR-580-T226-NW-GREY")</f>
        <v>CRM-BR-580-T226-NW-GREY</v>
      </c>
      <c r="C248" s="26">
        <f>IFERROR(__xludf.DUMMYFUNCTION("""COMPUTED_VALUE"""),2.0)</f>
        <v>2</v>
      </c>
      <c r="F248" s="26"/>
      <c r="G248" s="26" t="str">
        <f t="shared" si="2"/>
        <v>#N/A</v>
      </c>
      <c r="H248" s="26" t="str">
        <f t="shared" si="3"/>
        <v>#N/A</v>
      </c>
    </row>
    <row r="249">
      <c r="A249" s="2" t="str">
        <f>IFERROR(__xludf.DUMMYFUNCTION("""COMPUTED_VALUE"""),"HP 580 (Grey)")</f>
        <v>HP 580 (Grey)</v>
      </c>
      <c r="B249" s="2" t="str">
        <f>IFERROR(__xludf.DUMMYFUNCTION("""COMPUTED_VALUE"""),"CRM-BR-580-T226-NW-GREY")</f>
        <v>CRM-BR-580-T226-NW-GREY</v>
      </c>
      <c r="C249" s="26">
        <f>IFERROR(__xludf.DUMMYFUNCTION("""COMPUTED_VALUE"""),4.0)</f>
        <v>4</v>
      </c>
      <c r="F249" s="26"/>
      <c r="G249" s="26" t="str">
        <f t="shared" si="2"/>
        <v>#N/A</v>
      </c>
      <c r="H249" s="26" t="str">
        <f t="shared" si="3"/>
        <v>#N/A</v>
      </c>
    </row>
    <row r="250">
      <c r="A250" s="2" t="str">
        <f>IFERROR(__xludf.DUMMYFUNCTION("""COMPUTED_VALUE"""),"HP 580 (Grey)")</f>
        <v>HP 580 (Grey)</v>
      </c>
      <c r="B250" s="2" t="str">
        <f>IFERROR(__xludf.DUMMYFUNCTION("""COMPUTED_VALUE"""),"CRM-BR-580-T226-NW-GREY")</f>
        <v>CRM-BR-580-T226-NW-GREY</v>
      </c>
      <c r="C250" s="26">
        <f>IFERROR(__xludf.DUMMYFUNCTION("""COMPUTED_VALUE"""),2.0)</f>
        <v>2</v>
      </c>
      <c r="F250" s="26"/>
      <c r="G250" s="26" t="str">
        <f t="shared" si="2"/>
        <v>#N/A</v>
      </c>
      <c r="H250" s="26" t="str">
        <f t="shared" si="3"/>
        <v>#N/A</v>
      </c>
    </row>
    <row r="251">
      <c r="A251" s="2" t="str">
        <f>IFERROR(__xludf.DUMMYFUNCTION("""COMPUTED_VALUE"""),"HP 580 (Grey)")</f>
        <v>HP 580 (Grey)</v>
      </c>
      <c r="B251" s="2" t="str">
        <f>IFERROR(__xludf.DUMMYFUNCTION("""COMPUTED_VALUE"""),"CRM-BR-580-T226-NW-GREY")</f>
        <v>CRM-BR-580-T226-NW-GREY</v>
      </c>
      <c r="C251" s="26">
        <f>IFERROR(__xludf.DUMMYFUNCTION("""COMPUTED_VALUE"""),10.0)</f>
        <v>10</v>
      </c>
      <c r="F251" s="26"/>
      <c r="G251" s="26" t="str">
        <f t="shared" si="2"/>
        <v>#N/A</v>
      </c>
      <c r="H251" s="26" t="str">
        <f t="shared" si="3"/>
        <v>#N/A</v>
      </c>
    </row>
    <row r="252">
      <c r="A252" s="2" t="str">
        <f>IFERROR(__xludf.DUMMYFUNCTION("""COMPUTED_VALUE"""),"HP 580 (Grey)")</f>
        <v>HP 580 (Grey)</v>
      </c>
      <c r="B252" s="2" t="str">
        <f>IFERROR(__xludf.DUMMYFUNCTION("""COMPUTED_VALUE"""),"CRM-BR-580-T226-NW-GREY")</f>
        <v>CRM-BR-580-T226-NW-GREY</v>
      </c>
      <c r="C252" s="26">
        <f>IFERROR(__xludf.DUMMYFUNCTION("""COMPUTED_VALUE"""),4.0)</f>
        <v>4</v>
      </c>
      <c r="F252" s="26"/>
      <c r="G252" s="26" t="str">
        <f t="shared" si="2"/>
        <v>#N/A</v>
      </c>
      <c r="H252" s="26" t="str">
        <f t="shared" si="3"/>
        <v>#N/A</v>
      </c>
    </row>
    <row r="253">
      <c r="A253" s="2" t="str">
        <f>IFERROR(__xludf.DUMMYFUNCTION("""COMPUTED_VALUE"""),"HP 580 (Grey)")</f>
        <v>HP 580 (Grey)</v>
      </c>
      <c r="B253" s="2" t="str">
        <f>IFERROR(__xludf.DUMMYFUNCTION("""COMPUTED_VALUE"""),"CRM-BR-580-T226-NW-GREY")</f>
        <v>CRM-BR-580-T226-NW-GREY</v>
      </c>
      <c r="C253" s="26">
        <f>IFERROR(__xludf.DUMMYFUNCTION("""COMPUTED_VALUE"""),2.0)</f>
        <v>2</v>
      </c>
      <c r="F253" s="26"/>
      <c r="G253" s="26" t="str">
        <f t="shared" si="2"/>
        <v>#N/A</v>
      </c>
      <c r="H253" s="26" t="str">
        <f t="shared" si="3"/>
        <v>#N/A</v>
      </c>
    </row>
    <row r="254">
      <c r="A254" s="2" t="str">
        <f>IFERROR(__xludf.DUMMYFUNCTION("""COMPUTED_VALUE"""),"HP 580 (Grey)")</f>
        <v>HP 580 (Grey)</v>
      </c>
      <c r="B254" s="2" t="str">
        <f>IFERROR(__xludf.DUMMYFUNCTION("""COMPUTED_VALUE"""),"CRM-BR-580-T226-NW-GREY")</f>
        <v>CRM-BR-580-T226-NW-GREY</v>
      </c>
      <c r="C254" s="26">
        <f>IFERROR(__xludf.DUMMYFUNCTION("""COMPUTED_VALUE"""),2.0)</f>
        <v>2</v>
      </c>
      <c r="F254" s="26"/>
      <c r="G254" s="26" t="str">
        <f t="shared" si="2"/>
        <v>#N/A</v>
      </c>
      <c r="H254" s="26" t="str">
        <f t="shared" si="3"/>
        <v>#N/A</v>
      </c>
    </row>
    <row r="255">
      <c r="A255" s="2" t="str">
        <f>IFERROR(__xludf.DUMMYFUNCTION("""COMPUTED_VALUE"""),"HP 580 (Black)")</f>
        <v>HP 580 (Black)</v>
      </c>
      <c r="B255" s="2" t="str">
        <f>IFERROR(__xludf.DUMMYFUNCTION("""COMPUTED_VALUE"""),"CRM-BR-580-T226-NW-BLACK")</f>
        <v>CRM-BR-580-T226-NW-BLACK</v>
      </c>
      <c r="C255" s="26">
        <f>IFERROR(__xludf.DUMMYFUNCTION("""COMPUTED_VALUE"""),2.0)</f>
        <v>2</v>
      </c>
      <c r="F255" s="26"/>
      <c r="G255" s="26" t="str">
        <f t="shared" si="2"/>
        <v>#N/A</v>
      </c>
      <c r="H255" s="26" t="str">
        <f t="shared" si="3"/>
        <v>#N/A</v>
      </c>
    </row>
    <row r="256">
      <c r="A256" s="2" t="str">
        <f>IFERROR(__xludf.DUMMYFUNCTION("""COMPUTED_VALUE"""),"HP 580 (Black)")</f>
        <v>HP 580 (Black)</v>
      </c>
      <c r="B256" s="2" t="str">
        <f>IFERROR(__xludf.DUMMYFUNCTION("""COMPUTED_VALUE"""),"CRM-BR-580-T226-NW-BLACK")</f>
        <v>CRM-BR-580-T226-NW-BLACK</v>
      </c>
      <c r="C256" s="26">
        <f>IFERROR(__xludf.DUMMYFUNCTION("""COMPUTED_VALUE"""),2.0)</f>
        <v>2</v>
      </c>
      <c r="F256" s="26"/>
      <c r="G256" s="26" t="str">
        <f t="shared" si="2"/>
        <v>#N/A</v>
      </c>
      <c r="H256" s="26" t="str">
        <f t="shared" si="3"/>
        <v>#N/A</v>
      </c>
    </row>
    <row r="257">
      <c r="A257" s="2" t="str">
        <f>IFERROR(__xludf.DUMMYFUNCTION("""COMPUTED_VALUE"""),"HP 580 (Black)")</f>
        <v>HP 580 (Black)</v>
      </c>
      <c r="B257" s="2" t="str">
        <f>IFERROR(__xludf.DUMMYFUNCTION("""COMPUTED_VALUE"""),"CRM-BR-580-T226-NW-BLACK")</f>
        <v>CRM-BR-580-T226-NW-BLACK</v>
      </c>
      <c r="C257" s="26">
        <f>IFERROR(__xludf.DUMMYFUNCTION("""COMPUTED_VALUE"""),2.0)</f>
        <v>2</v>
      </c>
      <c r="F257" s="26"/>
      <c r="G257" s="26" t="str">
        <f t="shared" si="2"/>
        <v>#N/A</v>
      </c>
      <c r="H257" s="26" t="str">
        <f t="shared" si="3"/>
        <v>#N/A</v>
      </c>
    </row>
    <row r="258">
      <c r="A258" s="2" t="str">
        <f>IFERROR(__xludf.DUMMYFUNCTION("""COMPUTED_VALUE"""),"HP 580 (Black)")</f>
        <v>HP 580 (Black)</v>
      </c>
      <c r="B258" s="2" t="str">
        <f>IFERROR(__xludf.DUMMYFUNCTION("""COMPUTED_VALUE"""),"CRM-BR-580-T226-NW-BLACK")</f>
        <v>CRM-BR-580-T226-NW-BLACK</v>
      </c>
      <c r="C258" s="26">
        <f>IFERROR(__xludf.DUMMYFUNCTION("""COMPUTED_VALUE"""),2.0)</f>
        <v>2</v>
      </c>
      <c r="F258" s="26"/>
      <c r="G258" s="26" t="str">
        <f t="shared" si="2"/>
        <v>#N/A</v>
      </c>
      <c r="H258" s="26" t="str">
        <f t="shared" si="3"/>
        <v>#N/A</v>
      </c>
    </row>
    <row r="259">
      <c r="A259" s="2" t="str">
        <f>IFERROR(__xludf.DUMMYFUNCTION("""COMPUTED_VALUE"""),"HP 580 (Black)")</f>
        <v>HP 580 (Black)</v>
      </c>
      <c r="B259" s="2" t="str">
        <f>IFERROR(__xludf.DUMMYFUNCTION("""COMPUTED_VALUE"""),"CRM-HP-580-Black")</f>
        <v>CRM-HP-580-Black</v>
      </c>
      <c r="C259" s="26">
        <f>IFERROR(__xludf.DUMMYFUNCTION("""COMPUTED_VALUE"""),8.0)</f>
        <v>8</v>
      </c>
      <c r="F259" s="26"/>
      <c r="G259" s="26" t="str">
        <f t="shared" si="2"/>
        <v>#N/A</v>
      </c>
      <c r="H259" s="26" t="str">
        <f t="shared" si="3"/>
        <v>#N/A</v>
      </c>
    </row>
    <row r="260">
      <c r="A260" s="2" t="str">
        <f>IFERROR(__xludf.DUMMYFUNCTION("""COMPUTED_VALUE"""),"HP 580 (Black)")</f>
        <v>HP 580 (Black)</v>
      </c>
      <c r="B260" s="2" t="str">
        <f>IFERROR(__xludf.DUMMYFUNCTION("""COMPUTED_VALUE"""),"CRM-HP-580-Black")</f>
        <v>CRM-HP-580-Black</v>
      </c>
      <c r="C260" s="26">
        <f>IFERROR(__xludf.DUMMYFUNCTION("""COMPUTED_VALUE"""),10.0)</f>
        <v>10</v>
      </c>
      <c r="F260" s="26"/>
      <c r="G260" s="26" t="str">
        <f t="shared" si="2"/>
        <v>#N/A</v>
      </c>
      <c r="H260" s="26" t="str">
        <f t="shared" si="3"/>
        <v>#N/A</v>
      </c>
    </row>
    <row r="261">
      <c r="A261" s="2" t="str">
        <f>IFERROR(__xludf.DUMMYFUNCTION("""COMPUTED_VALUE"""),"HP 580 (Black)")</f>
        <v>HP 580 (Black)</v>
      </c>
      <c r="B261" s="2" t="str">
        <f>IFERROR(__xludf.DUMMYFUNCTION("""COMPUTED_VALUE"""),"CRM-HP-580-Black")</f>
        <v>CRM-HP-580-Black</v>
      </c>
      <c r="C261" s="26">
        <f>IFERROR(__xludf.DUMMYFUNCTION("""COMPUTED_VALUE"""),10.0)</f>
        <v>10</v>
      </c>
      <c r="F261" s="26"/>
      <c r="G261" s="26" t="str">
        <f t="shared" si="2"/>
        <v>#N/A</v>
      </c>
      <c r="H261" s="26" t="str">
        <f t="shared" si="3"/>
        <v>#N/A</v>
      </c>
    </row>
    <row r="262">
      <c r="A262" s="2" t="str">
        <f>IFERROR(__xludf.DUMMYFUNCTION("""COMPUTED_VALUE"""),"HP 580 (Black)")</f>
        <v>HP 580 (Black)</v>
      </c>
      <c r="B262" s="2" t="str">
        <f>IFERROR(__xludf.DUMMYFUNCTION("""COMPUTED_VALUE"""),"CRM-HP-580-Black")</f>
        <v>CRM-HP-580-Black</v>
      </c>
      <c r="C262" s="26">
        <f>IFERROR(__xludf.DUMMYFUNCTION("""COMPUTED_VALUE"""),2.0)</f>
        <v>2</v>
      </c>
      <c r="F262" s="26"/>
      <c r="G262" s="26" t="str">
        <f t="shared" si="2"/>
        <v>#N/A</v>
      </c>
      <c r="H262" s="26" t="str">
        <f t="shared" si="3"/>
        <v>#N/A</v>
      </c>
    </row>
    <row r="263">
      <c r="A263" s="2" t="str">
        <f>IFERROR(__xludf.DUMMYFUNCTION("""COMPUTED_VALUE"""),"HP 580 (Black)")</f>
        <v>HP 580 (Black)</v>
      </c>
      <c r="B263" s="2" t="str">
        <f>IFERROR(__xludf.DUMMYFUNCTION("""COMPUTED_VALUE"""),"CRM-HP-580-Black")</f>
        <v>CRM-HP-580-Black</v>
      </c>
      <c r="C263" s="26">
        <f>IFERROR(__xludf.DUMMYFUNCTION("""COMPUTED_VALUE"""),4.0)</f>
        <v>4</v>
      </c>
      <c r="F263" s="26"/>
      <c r="G263" s="26" t="str">
        <f t="shared" si="2"/>
        <v>#N/A</v>
      </c>
      <c r="H263" s="26" t="str">
        <f t="shared" si="3"/>
        <v>#N/A</v>
      </c>
    </row>
    <row r="264">
      <c r="A264" s="2" t="str">
        <f>IFERROR(__xludf.DUMMYFUNCTION("""COMPUTED_VALUE"""),"HP 580 (Black)")</f>
        <v>HP 580 (Black)</v>
      </c>
      <c r="B264" s="2" t="str">
        <f>IFERROR(__xludf.DUMMYFUNCTION("""COMPUTED_VALUE"""),"CRM-HP-580-Black")</f>
        <v>CRM-HP-580-Black</v>
      </c>
      <c r="C264" s="26">
        <f>IFERROR(__xludf.DUMMYFUNCTION("""COMPUTED_VALUE"""),16.0)</f>
        <v>16</v>
      </c>
      <c r="F264" s="26"/>
      <c r="G264" s="26" t="str">
        <f t="shared" si="2"/>
        <v>#N/A</v>
      </c>
      <c r="H264" s="26" t="str">
        <f t="shared" si="3"/>
        <v>#N/A</v>
      </c>
    </row>
    <row r="265">
      <c r="A265" s="2" t="str">
        <f>IFERROR(__xludf.DUMMYFUNCTION("""COMPUTED_VALUE"""),"HP 580 (Black)")</f>
        <v>HP 580 (Black)</v>
      </c>
      <c r="B265" s="2" t="str">
        <f>IFERROR(__xludf.DUMMYFUNCTION("""COMPUTED_VALUE"""),"CRM-HP-580-Black")</f>
        <v>CRM-HP-580-Black</v>
      </c>
      <c r="C265" s="26">
        <f>IFERROR(__xludf.DUMMYFUNCTION("""COMPUTED_VALUE"""),6.0)</f>
        <v>6</v>
      </c>
      <c r="F265" s="26"/>
      <c r="G265" s="26" t="str">
        <f t="shared" si="2"/>
        <v>#N/A</v>
      </c>
      <c r="H265" s="26" t="str">
        <f t="shared" si="3"/>
        <v>#N/A</v>
      </c>
    </row>
    <row r="266">
      <c r="A266" s="2" t="str">
        <f>IFERROR(__xludf.DUMMYFUNCTION("""COMPUTED_VALUE"""),"HP 580 (Black)")</f>
        <v>HP 580 (Black)</v>
      </c>
      <c r="B266" s="2" t="str">
        <f>IFERROR(__xludf.DUMMYFUNCTION("""COMPUTED_VALUE"""),"CRM-HP-580-Black")</f>
        <v>CRM-HP-580-Black</v>
      </c>
      <c r="C266" s="26">
        <f>IFERROR(__xludf.DUMMYFUNCTION("""COMPUTED_VALUE"""),6.0)</f>
        <v>6</v>
      </c>
      <c r="F266" s="26"/>
      <c r="G266" s="26" t="str">
        <f t="shared" si="2"/>
        <v>#N/A</v>
      </c>
      <c r="H266" s="26" t="str">
        <f t="shared" si="3"/>
        <v>#N/A</v>
      </c>
    </row>
    <row r="267">
      <c r="A267" s="2" t="str">
        <f>IFERROR(__xludf.DUMMYFUNCTION("""COMPUTED_VALUE"""),"HP 580 (Black)")</f>
        <v>HP 580 (Black)</v>
      </c>
      <c r="B267" s="2" t="str">
        <f>IFERROR(__xludf.DUMMYFUNCTION("""COMPUTED_VALUE"""),"CRM-HP-580-Black")</f>
        <v>CRM-HP-580-Black</v>
      </c>
      <c r="C267" s="26">
        <f>IFERROR(__xludf.DUMMYFUNCTION("""COMPUTED_VALUE"""),12.0)</f>
        <v>12</v>
      </c>
      <c r="F267" s="26"/>
      <c r="G267" s="26" t="str">
        <f t="shared" si="2"/>
        <v>#N/A</v>
      </c>
      <c r="H267" s="26" t="str">
        <f t="shared" si="3"/>
        <v>#N/A</v>
      </c>
    </row>
    <row r="268">
      <c r="A268" s="2" t="str">
        <f>IFERROR(__xludf.DUMMYFUNCTION("""COMPUTED_VALUE"""),"HP 580 (Grey)")</f>
        <v>HP 580 (Grey)</v>
      </c>
      <c r="B268" s="2" t="str">
        <f>IFERROR(__xludf.DUMMYFUNCTION("""COMPUTED_VALUE"""),"CRM-HP-525-Grey")</f>
        <v>CRM-HP-525-Grey</v>
      </c>
      <c r="C268" s="26">
        <f>IFERROR(__xludf.DUMMYFUNCTION("""COMPUTED_VALUE"""),2.0)</f>
        <v>2</v>
      </c>
      <c r="F268" s="26"/>
      <c r="G268" s="26" t="str">
        <f t="shared" si="2"/>
        <v>#N/A</v>
      </c>
      <c r="H268" s="26" t="str">
        <f t="shared" si="3"/>
        <v>#N/A</v>
      </c>
    </row>
    <row r="269">
      <c r="A269" s="2" t="str">
        <f>IFERROR(__xludf.DUMMYFUNCTION("""COMPUTED_VALUE"""),"HP 580 (Grey)")</f>
        <v>HP 580 (Grey)</v>
      </c>
      <c r="B269" s="2" t="str">
        <f>IFERROR(__xludf.DUMMYFUNCTION("""COMPUTED_VALUE"""),"CRM-HP-525-Grey")</f>
        <v>CRM-HP-525-Grey</v>
      </c>
      <c r="C269" s="26">
        <f>IFERROR(__xludf.DUMMYFUNCTION("""COMPUTED_VALUE"""),2.0)</f>
        <v>2</v>
      </c>
      <c r="F269" s="26"/>
      <c r="G269" s="26" t="str">
        <f t="shared" si="2"/>
        <v>#N/A</v>
      </c>
      <c r="H269" s="26" t="str">
        <f t="shared" si="3"/>
        <v>#N/A</v>
      </c>
    </row>
    <row r="270">
      <c r="A270" s="2" t="str">
        <f>IFERROR(__xludf.DUMMYFUNCTION("""COMPUTED_VALUE"""),"HP 580 (Grey)")</f>
        <v>HP 580 (Grey)</v>
      </c>
      <c r="B270" s="2" t="str">
        <f>IFERROR(__xludf.DUMMYFUNCTION("""COMPUTED_VALUE"""),"CRM-HP-525-Grey")</f>
        <v>CRM-HP-525-Grey</v>
      </c>
      <c r="C270" s="26">
        <f>IFERROR(__xludf.DUMMYFUNCTION("""COMPUTED_VALUE"""),4.0)</f>
        <v>4</v>
      </c>
      <c r="F270" s="26"/>
      <c r="G270" s="26" t="str">
        <f t="shared" si="2"/>
        <v>#N/A</v>
      </c>
      <c r="H270" s="26" t="str">
        <f t="shared" si="3"/>
        <v>#N/A</v>
      </c>
    </row>
    <row r="271">
      <c r="A271" s="2" t="str">
        <f>IFERROR(__xludf.DUMMYFUNCTION("""COMPUTED_VALUE"""),"HP 580 (Grey)")</f>
        <v>HP 580 (Grey)</v>
      </c>
      <c r="B271" s="2" t="str">
        <f>IFERROR(__xludf.DUMMYFUNCTION("""COMPUTED_VALUE"""),"CRM-HP-525-Grey")</f>
        <v>CRM-HP-525-Grey</v>
      </c>
      <c r="C271" s="26">
        <f>IFERROR(__xludf.DUMMYFUNCTION("""COMPUTED_VALUE"""),4.0)</f>
        <v>4</v>
      </c>
      <c r="F271" s="26"/>
      <c r="G271" s="26" t="str">
        <f t="shared" si="2"/>
        <v>#N/A</v>
      </c>
      <c r="H271" s="26" t="str">
        <f t="shared" si="3"/>
        <v>#N/A</v>
      </c>
    </row>
    <row r="272">
      <c r="A272" s="2" t="str">
        <f>IFERROR(__xludf.DUMMYFUNCTION("""COMPUTED_VALUE"""),"HP 580 (Grey)")</f>
        <v>HP 580 (Grey)</v>
      </c>
      <c r="B272" s="2" t="str">
        <f>IFERROR(__xludf.DUMMYFUNCTION("""COMPUTED_VALUE"""),"CRM-HP-525-Grey")</f>
        <v>CRM-HP-525-Grey</v>
      </c>
      <c r="C272" s="26">
        <f>IFERROR(__xludf.DUMMYFUNCTION("""COMPUTED_VALUE"""),4.0)</f>
        <v>4</v>
      </c>
      <c r="F272" s="26"/>
      <c r="G272" s="26" t="str">
        <f t="shared" si="2"/>
        <v>#N/A</v>
      </c>
      <c r="H272" s="26" t="str">
        <f t="shared" si="3"/>
        <v>#N/A</v>
      </c>
    </row>
    <row r="273">
      <c r="A273" s="2" t="str">
        <f>IFERROR(__xludf.DUMMYFUNCTION("""COMPUTED_VALUE"""),"HP 580 (Grey)")</f>
        <v>HP 580 (Grey)</v>
      </c>
      <c r="B273" s="2" t="str">
        <f>IFERROR(__xludf.DUMMYFUNCTION("""COMPUTED_VALUE"""),"CRM-HP-525-Grey")</f>
        <v>CRM-HP-525-Grey</v>
      </c>
      <c r="C273" s="26">
        <f>IFERROR(__xludf.DUMMYFUNCTION("""COMPUTED_VALUE"""),4.0)</f>
        <v>4</v>
      </c>
      <c r="F273" s="26"/>
      <c r="G273" s="26" t="str">
        <f t="shared" si="2"/>
        <v>#N/A</v>
      </c>
      <c r="H273" s="26" t="str">
        <f t="shared" si="3"/>
        <v>#N/A</v>
      </c>
    </row>
    <row r="274">
      <c r="A274" s="2" t="str">
        <f>IFERROR(__xludf.DUMMYFUNCTION("""COMPUTED_VALUE"""),"HP 580 (Black)")</f>
        <v>HP 580 (Black)</v>
      </c>
      <c r="B274" s="2" t="str">
        <f>IFERROR(__xludf.DUMMYFUNCTION("""COMPUTED_VALUE"""),"CRM-HP-525-Black")</f>
        <v>CRM-HP-525-Black</v>
      </c>
      <c r="C274" s="26">
        <f>IFERROR(__xludf.DUMMYFUNCTION("""COMPUTED_VALUE"""),2.0)</f>
        <v>2</v>
      </c>
      <c r="F274" s="26"/>
      <c r="G274" s="26" t="str">
        <f t="shared" si="2"/>
        <v>#N/A</v>
      </c>
      <c r="H274" s="26" t="str">
        <f t="shared" si="3"/>
        <v>#N/A</v>
      </c>
    </row>
    <row r="275">
      <c r="A275" s="2" t="str">
        <f>IFERROR(__xludf.DUMMYFUNCTION("""COMPUTED_VALUE"""),"HP 580 (Black)")</f>
        <v>HP 580 (Black)</v>
      </c>
      <c r="B275" s="2" t="str">
        <f>IFERROR(__xludf.DUMMYFUNCTION("""COMPUTED_VALUE"""),"CRM-HP-525-Black")</f>
        <v>CRM-HP-525-Black</v>
      </c>
      <c r="C275" s="26">
        <f>IFERROR(__xludf.DUMMYFUNCTION("""COMPUTED_VALUE"""),2.0)</f>
        <v>2</v>
      </c>
      <c r="F275" s="26"/>
      <c r="G275" s="26" t="str">
        <f t="shared" si="2"/>
        <v>#N/A</v>
      </c>
      <c r="H275" s="26" t="str">
        <f t="shared" si="3"/>
        <v>#N/A</v>
      </c>
    </row>
    <row r="276">
      <c r="A276" s="2" t="str">
        <f>IFERROR(__xludf.DUMMYFUNCTION("""COMPUTED_VALUE"""),"HP 580 (Black)")</f>
        <v>HP 580 (Black)</v>
      </c>
      <c r="B276" s="2" t="str">
        <f>IFERROR(__xludf.DUMMYFUNCTION("""COMPUTED_VALUE"""),"CRM-HP-525-Black")</f>
        <v>CRM-HP-525-Black</v>
      </c>
      <c r="C276" s="26">
        <f>IFERROR(__xludf.DUMMYFUNCTION("""COMPUTED_VALUE"""),4.0)</f>
        <v>4</v>
      </c>
      <c r="F276" s="26"/>
      <c r="G276" s="26" t="str">
        <f t="shared" si="2"/>
        <v>#N/A</v>
      </c>
      <c r="H276" s="26" t="str">
        <f t="shared" si="3"/>
        <v>#N/A</v>
      </c>
    </row>
    <row r="277">
      <c r="A277" s="2" t="str">
        <f>IFERROR(__xludf.DUMMYFUNCTION("""COMPUTED_VALUE"""),"HP 580 (Black)")</f>
        <v>HP 580 (Black)</v>
      </c>
      <c r="B277" s="2" t="str">
        <f>IFERROR(__xludf.DUMMYFUNCTION("""COMPUTED_VALUE"""),"CRM-HP-525-Black")</f>
        <v>CRM-HP-525-Black</v>
      </c>
      <c r="C277" s="26">
        <f>IFERROR(__xludf.DUMMYFUNCTION("""COMPUTED_VALUE"""),4.0)</f>
        <v>4</v>
      </c>
      <c r="F277" s="26"/>
      <c r="G277" s="26" t="str">
        <f t="shared" si="2"/>
        <v>#N/A</v>
      </c>
      <c r="H277" s="26" t="str">
        <f t="shared" si="3"/>
        <v>#N/A</v>
      </c>
    </row>
    <row r="278">
      <c r="A278" s="2" t="str">
        <f>IFERROR(__xludf.DUMMYFUNCTION("""COMPUTED_VALUE"""),"HP 4826 (Black)")</f>
        <v>HP 4826 (Black)</v>
      </c>
      <c r="B278" s="2" t="str">
        <f>IFERROR(__xludf.DUMMYFUNCTION("""COMPUTED_VALUE"""),"CRM-PR-4826-E477-BLACK")</f>
        <v>CRM-PR-4826-E477-BLACK</v>
      </c>
      <c r="C278" s="26">
        <f>IFERROR(__xludf.DUMMYFUNCTION("""COMPUTED_VALUE"""),10.0)</f>
        <v>10</v>
      </c>
      <c r="F278" s="26"/>
      <c r="G278" s="26" t="str">
        <f t="shared" si="2"/>
        <v>#N/A</v>
      </c>
      <c r="H278" s="26" t="str">
        <f t="shared" si="3"/>
        <v>#N/A</v>
      </c>
    </row>
    <row r="279">
      <c r="A279" s="2" t="str">
        <f>IFERROR(__xludf.DUMMYFUNCTION("""COMPUTED_VALUE"""),"HP 4826 (Black)")</f>
        <v>HP 4826 (Black)</v>
      </c>
      <c r="B279" s="2" t="str">
        <f>IFERROR(__xludf.DUMMYFUNCTION("""COMPUTED_VALUE"""),"CRM-PR-4826-E477-BLACK")</f>
        <v>CRM-PR-4826-E477-BLACK</v>
      </c>
      <c r="C279" s="26">
        <f>IFERROR(__xludf.DUMMYFUNCTION("""COMPUTED_VALUE"""),2.0)</f>
        <v>2</v>
      </c>
      <c r="F279" s="26"/>
      <c r="G279" s="26" t="str">
        <f t="shared" si="2"/>
        <v>#N/A</v>
      </c>
      <c r="H279" s="26" t="str">
        <f t="shared" si="3"/>
        <v>#N/A</v>
      </c>
    </row>
    <row r="280">
      <c r="A280" s="2" t="str">
        <f>IFERROR(__xludf.DUMMYFUNCTION("""COMPUTED_VALUE"""),"HP 4826 (Black)")</f>
        <v>HP 4826 (Black)</v>
      </c>
      <c r="B280" s="2" t="str">
        <f>IFERROR(__xludf.DUMMYFUNCTION("""COMPUTED_VALUE"""),"CRM-PR-4826-E477-BLACK")</f>
        <v>CRM-PR-4826-E477-BLACK</v>
      </c>
      <c r="C280" s="26">
        <f>IFERROR(__xludf.DUMMYFUNCTION("""COMPUTED_VALUE"""),2.0)</f>
        <v>2</v>
      </c>
      <c r="F280" s="26"/>
      <c r="G280" s="26" t="str">
        <f t="shared" si="2"/>
        <v>#N/A</v>
      </c>
      <c r="H280" s="26" t="str">
        <f t="shared" si="3"/>
        <v>#N/A</v>
      </c>
    </row>
    <row r="281">
      <c r="A281" s="2" t="str">
        <f>IFERROR(__xludf.DUMMYFUNCTION("""COMPUTED_VALUE"""),"HP 4826 (Black)")</f>
        <v>HP 4826 (Black)</v>
      </c>
      <c r="B281" s="2" t="str">
        <f>IFERROR(__xludf.DUMMYFUNCTION("""COMPUTED_VALUE"""),"CRM-PR-4826-E477-BLACK")</f>
        <v>CRM-PR-4826-E477-BLACK</v>
      </c>
      <c r="C281" s="26">
        <f>IFERROR(__xludf.DUMMYFUNCTION("""COMPUTED_VALUE"""),6.0)</f>
        <v>6</v>
      </c>
      <c r="F281" s="26"/>
      <c r="G281" s="26" t="str">
        <f t="shared" si="2"/>
        <v>#N/A</v>
      </c>
      <c r="H281" s="26" t="str">
        <f t="shared" si="3"/>
        <v>#N/A</v>
      </c>
    </row>
    <row r="282">
      <c r="A282" s="2" t="str">
        <f>IFERROR(__xludf.DUMMYFUNCTION("""COMPUTED_VALUE"""),"HP 4826 (Grey)")</f>
        <v>HP 4826 (Grey)</v>
      </c>
      <c r="B282" s="2" t="str">
        <f>IFERROR(__xludf.DUMMYFUNCTION("""COMPUTED_VALUE"""),"CRM-PR-4826-E477-GREY")</f>
        <v>CRM-PR-4826-E477-GREY</v>
      </c>
      <c r="C282" s="26">
        <f>IFERROR(__xludf.DUMMYFUNCTION("""COMPUTED_VALUE"""),4.0)</f>
        <v>4</v>
      </c>
      <c r="F282" s="26"/>
      <c r="G282" s="26" t="str">
        <f t="shared" si="2"/>
        <v>#N/A</v>
      </c>
      <c r="H282" s="26" t="str">
        <f t="shared" si="3"/>
        <v>#N/A</v>
      </c>
    </row>
    <row r="283">
      <c r="A283" s="2" t="str">
        <f>IFERROR(__xludf.DUMMYFUNCTION("""COMPUTED_VALUE"""),"HP 4826 (Grey)")</f>
        <v>HP 4826 (Grey)</v>
      </c>
      <c r="B283" s="2" t="str">
        <f>IFERROR(__xludf.DUMMYFUNCTION("""COMPUTED_VALUE"""),"CRM-PR-4826-E477-GREY")</f>
        <v>CRM-PR-4826-E477-GREY</v>
      </c>
      <c r="C283" s="26">
        <f>IFERROR(__xludf.DUMMYFUNCTION("""COMPUTED_VALUE"""),16.0)</f>
        <v>16</v>
      </c>
      <c r="F283" s="26"/>
      <c r="G283" s="26" t="str">
        <f t="shared" si="2"/>
        <v>#N/A</v>
      </c>
      <c r="H283" s="26" t="str">
        <f t="shared" si="3"/>
        <v>#N/A</v>
      </c>
    </row>
    <row r="284">
      <c r="A284" s="2" t="str">
        <f>IFERROR(__xludf.DUMMYFUNCTION("""COMPUTED_VALUE"""),"HP 4826 (Grey)")</f>
        <v>HP 4826 (Grey)</v>
      </c>
      <c r="B284" s="2" t="str">
        <f>IFERROR(__xludf.DUMMYFUNCTION("""COMPUTED_VALUE"""),"CRM-PR-4826-E477-GREY")</f>
        <v>CRM-PR-4826-E477-GREY</v>
      </c>
      <c r="C284" s="26">
        <f>IFERROR(__xludf.DUMMYFUNCTION("""COMPUTED_VALUE"""),6.0)</f>
        <v>6</v>
      </c>
      <c r="F284" s="26"/>
      <c r="G284" s="26" t="str">
        <f t="shared" si="2"/>
        <v>#N/A</v>
      </c>
      <c r="H284" s="26" t="str">
        <f t="shared" si="3"/>
        <v>#N/A</v>
      </c>
    </row>
    <row r="285">
      <c r="A285" s="2" t="str">
        <f>IFERROR(__xludf.DUMMYFUNCTION("""COMPUTED_VALUE"""),"HP 4826 (Grey)")</f>
        <v>HP 4826 (Grey)</v>
      </c>
      <c r="B285" s="2" t="str">
        <f>IFERROR(__xludf.DUMMYFUNCTION("""COMPUTED_VALUE"""),"CRM-PR-4826-E477-GREY")</f>
        <v>CRM-PR-4826-E477-GREY</v>
      </c>
      <c r="C285" s="26">
        <f>IFERROR(__xludf.DUMMYFUNCTION("""COMPUTED_VALUE"""),10.0)</f>
        <v>10</v>
      </c>
      <c r="F285" s="26"/>
      <c r="G285" s="26" t="str">
        <f t="shared" si="2"/>
        <v>#N/A</v>
      </c>
      <c r="H285" s="26" t="str">
        <f t="shared" si="3"/>
        <v>#N/A</v>
      </c>
    </row>
    <row r="286">
      <c r="A286" s="2" t="str">
        <f>IFERROR(__xludf.DUMMYFUNCTION("""COMPUTED_VALUE"""),"HP 670 (Black)")</f>
        <v>HP 670 (Black)</v>
      </c>
      <c r="B286" s="2" t="str">
        <f>IFERROR(__xludf.DUMMYFUNCTION("""COMPUTED_VALUE"""),"CRM-PR-670-G3770-BLACK")</f>
        <v>CRM-PR-670-G3770-BLACK</v>
      </c>
      <c r="C286" s="26">
        <f>IFERROR(__xludf.DUMMYFUNCTION("""COMPUTED_VALUE"""),4.0)</f>
        <v>4</v>
      </c>
      <c r="F286" s="26"/>
      <c r="G286" s="26" t="str">
        <f t="shared" si="2"/>
        <v>#N/A</v>
      </c>
      <c r="H286" s="26" t="str">
        <f t="shared" si="3"/>
        <v>#N/A</v>
      </c>
    </row>
    <row r="287">
      <c r="A287" s="2" t="str">
        <f>IFERROR(__xludf.DUMMYFUNCTION("""COMPUTED_VALUE"""),"HP 670 (Black)")</f>
        <v>HP 670 (Black)</v>
      </c>
      <c r="B287" s="2" t="str">
        <f>IFERROR(__xludf.DUMMYFUNCTION("""COMPUTED_VALUE"""),"CRM-PR-670-G3770-BLACK")</f>
        <v>CRM-PR-670-G3770-BLACK</v>
      </c>
      <c r="C287" s="26">
        <f>IFERROR(__xludf.DUMMYFUNCTION("""COMPUTED_VALUE"""),30.0)</f>
        <v>30</v>
      </c>
      <c r="F287" s="26"/>
      <c r="G287" s="26" t="str">
        <f t="shared" si="2"/>
        <v>#N/A</v>
      </c>
      <c r="H287" s="26" t="str">
        <f t="shared" si="3"/>
        <v>#N/A</v>
      </c>
    </row>
    <row r="288">
      <c r="A288" s="2" t="str">
        <f>IFERROR(__xludf.DUMMYFUNCTION("""COMPUTED_VALUE"""),"HP 670 (Black)")</f>
        <v>HP 670 (Black)</v>
      </c>
      <c r="B288" s="2" t="str">
        <f>IFERROR(__xludf.DUMMYFUNCTION("""COMPUTED_VALUE"""),"CRM-PR-670-G3770-BLACK")</f>
        <v>CRM-PR-670-G3770-BLACK</v>
      </c>
      <c r="C288" s="26">
        <f>IFERROR(__xludf.DUMMYFUNCTION("""COMPUTED_VALUE"""),16.0)</f>
        <v>16</v>
      </c>
      <c r="F288" s="26"/>
      <c r="G288" s="26" t="str">
        <f t="shared" si="2"/>
        <v>#N/A</v>
      </c>
      <c r="H288" s="26" t="str">
        <f t="shared" si="3"/>
        <v>#N/A</v>
      </c>
    </row>
    <row r="289">
      <c r="A289" s="2" t="str">
        <f>IFERROR(__xludf.DUMMYFUNCTION("""COMPUTED_VALUE"""),"HP 670 (Black)")</f>
        <v>HP 670 (Black)</v>
      </c>
      <c r="B289" s="2" t="str">
        <f>IFERROR(__xludf.DUMMYFUNCTION("""COMPUTED_VALUE"""),"CRM-PR-670-G3770-BLACK")</f>
        <v>CRM-PR-670-G3770-BLACK</v>
      </c>
      <c r="C289" s="26">
        <f>IFERROR(__xludf.DUMMYFUNCTION("""COMPUTED_VALUE"""),14.0)</f>
        <v>14</v>
      </c>
      <c r="F289" s="26"/>
      <c r="G289" s="26" t="str">
        <f t="shared" si="2"/>
        <v>#N/A</v>
      </c>
      <c r="H289" s="26" t="str">
        <f t="shared" si="3"/>
        <v>#N/A</v>
      </c>
    </row>
    <row r="290">
      <c r="A290" s="2" t="str">
        <f>IFERROR(__xludf.DUMMYFUNCTION("""COMPUTED_VALUE"""),"HP 670 (Black)")</f>
        <v>HP 670 (Black)</v>
      </c>
      <c r="B290" s="2" t="str">
        <f>IFERROR(__xludf.DUMMYFUNCTION("""COMPUTED_VALUE"""),"CRM-PR-670-G3770-BLACK")</f>
        <v>CRM-PR-670-G3770-BLACK</v>
      </c>
      <c r="C290" s="26">
        <f>IFERROR(__xludf.DUMMYFUNCTION("""COMPUTED_VALUE"""),22.0)</f>
        <v>22</v>
      </c>
      <c r="F290" s="26"/>
      <c r="G290" s="26" t="str">
        <f t="shared" si="2"/>
        <v>#N/A</v>
      </c>
      <c r="H290" s="26" t="str">
        <f t="shared" si="3"/>
        <v>#N/A</v>
      </c>
    </row>
    <row r="291">
      <c r="A291" s="2" t="str">
        <f>IFERROR(__xludf.DUMMYFUNCTION("""COMPUTED_VALUE"""),"HP 670 (Black)")</f>
        <v>HP 670 (Black)</v>
      </c>
      <c r="B291" s="2" t="str">
        <f>IFERROR(__xludf.DUMMYFUNCTION("""COMPUTED_VALUE"""),"CRM-PR-670-G3770-BLACK")</f>
        <v>CRM-PR-670-G3770-BLACK</v>
      </c>
      <c r="C291" s="26">
        <f>IFERROR(__xludf.DUMMYFUNCTION("""COMPUTED_VALUE"""),8.0)</f>
        <v>8</v>
      </c>
      <c r="F291" s="26"/>
      <c r="G291" s="26" t="str">
        <f t="shared" si="2"/>
        <v>#N/A</v>
      </c>
      <c r="H291" s="26" t="str">
        <f t="shared" si="3"/>
        <v>#N/A</v>
      </c>
    </row>
    <row r="292">
      <c r="A292" s="2" t="str">
        <f>IFERROR(__xludf.DUMMYFUNCTION("""COMPUTED_VALUE"""),"HP 670 (Black)")</f>
        <v>HP 670 (Black)</v>
      </c>
      <c r="B292" s="2" t="str">
        <f>IFERROR(__xludf.DUMMYFUNCTION("""COMPUTED_VALUE"""),"CRM-PR-670-G3770-BLACK")</f>
        <v>CRM-PR-670-G3770-BLACK</v>
      </c>
      <c r="C292" s="26">
        <f>IFERROR(__xludf.DUMMYFUNCTION("""COMPUTED_VALUE"""),16.0)</f>
        <v>16</v>
      </c>
      <c r="F292" s="26"/>
      <c r="G292" s="26" t="str">
        <f t="shared" si="2"/>
        <v>#N/A</v>
      </c>
      <c r="H292" s="26" t="str">
        <f t="shared" si="3"/>
        <v>#N/A</v>
      </c>
    </row>
    <row r="293">
      <c r="A293" s="2" t="str">
        <f>IFERROR(__xludf.DUMMYFUNCTION("""COMPUTED_VALUE"""),"HP 670 (Black)")</f>
        <v>HP 670 (Black)</v>
      </c>
      <c r="B293" s="2" t="str">
        <f>IFERROR(__xludf.DUMMYFUNCTION("""COMPUTED_VALUE"""),"CRM-PR-670-G3770-BLACK")</f>
        <v>CRM-PR-670-G3770-BLACK</v>
      </c>
      <c r="C293" s="26">
        <f>IFERROR(__xludf.DUMMYFUNCTION("""COMPUTED_VALUE"""),14.0)</f>
        <v>14</v>
      </c>
      <c r="F293" s="26"/>
      <c r="G293" s="26" t="str">
        <f t="shared" si="2"/>
        <v>#N/A</v>
      </c>
      <c r="H293" s="26" t="str">
        <f t="shared" si="3"/>
        <v>#N/A</v>
      </c>
    </row>
    <row r="294">
      <c r="A294" s="2" t="str">
        <f>IFERROR(__xludf.DUMMYFUNCTION("""COMPUTED_VALUE"""),"HP 670 (Black)")</f>
        <v>HP 670 (Black)</v>
      </c>
      <c r="B294" s="2" t="str">
        <f>IFERROR(__xludf.DUMMYFUNCTION("""COMPUTED_VALUE"""),"CRM-PR-670-G3770-BLACK")</f>
        <v>CRM-PR-670-G3770-BLACK</v>
      </c>
      <c r="C294" s="26">
        <f>IFERROR(__xludf.DUMMYFUNCTION("""COMPUTED_VALUE"""),14.0)</f>
        <v>14</v>
      </c>
      <c r="F294" s="26"/>
      <c r="G294" s="26" t="str">
        <f t="shared" si="2"/>
        <v>#N/A</v>
      </c>
      <c r="H294" s="26" t="str">
        <f t="shared" si="3"/>
        <v>#N/A</v>
      </c>
    </row>
    <row r="295">
      <c r="A295" s="2" t="str">
        <f>IFERROR(__xludf.DUMMYFUNCTION("""COMPUTED_VALUE"""),"HP 670 (Grey)")</f>
        <v>HP 670 (Grey)</v>
      </c>
      <c r="B295" s="2" t="str">
        <f>IFERROR(__xludf.DUMMYFUNCTION("""COMPUTED_VALUE"""),"CRM-PR-670-G3770-GREY")</f>
        <v>CRM-PR-670-G3770-GREY</v>
      </c>
      <c r="C295" s="26">
        <f>IFERROR(__xludf.DUMMYFUNCTION("""COMPUTED_VALUE"""),4.0)</f>
        <v>4</v>
      </c>
      <c r="F295" s="26"/>
      <c r="G295" s="26" t="str">
        <f t="shared" si="2"/>
        <v>#N/A</v>
      </c>
      <c r="H295" s="26" t="str">
        <f t="shared" si="3"/>
        <v>#N/A</v>
      </c>
    </row>
    <row r="296">
      <c r="A296" s="2" t="str">
        <f>IFERROR(__xludf.DUMMYFUNCTION("""COMPUTED_VALUE"""),"HP 670 (Grey)")</f>
        <v>HP 670 (Grey)</v>
      </c>
      <c r="B296" s="2" t="str">
        <f>IFERROR(__xludf.DUMMYFUNCTION("""COMPUTED_VALUE"""),"CRM-PR-670-G3770-GREY")</f>
        <v>CRM-PR-670-G3770-GREY</v>
      </c>
      <c r="C296" s="26">
        <f>IFERROR(__xludf.DUMMYFUNCTION("""COMPUTED_VALUE"""),12.0)</f>
        <v>12</v>
      </c>
      <c r="F296" s="26"/>
      <c r="G296" s="26" t="str">
        <f t="shared" si="2"/>
        <v>#N/A</v>
      </c>
      <c r="H296" s="26" t="str">
        <f t="shared" si="3"/>
        <v>#N/A</v>
      </c>
    </row>
    <row r="297">
      <c r="A297" s="2" t="str">
        <f>IFERROR(__xludf.DUMMYFUNCTION("""COMPUTED_VALUE"""),"HP 670 (Grey)")</f>
        <v>HP 670 (Grey)</v>
      </c>
      <c r="B297" s="2" t="str">
        <f>IFERROR(__xludf.DUMMYFUNCTION("""COMPUTED_VALUE"""),"CRM-PR-670-G3770-GREY")</f>
        <v>CRM-PR-670-G3770-GREY</v>
      </c>
      <c r="C297" s="26">
        <f>IFERROR(__xludf.DUMMYFUNCTION("""COMPUTED_VALUE"""),10.0)</f>
        <v>10</v>
      </c>
      <c r="F297" s="26"/>
      <c r="G297" s="26" t="str">
        <f t="shared" si="2"/>
        <v>#N/A</v>
      </c>
      <c r="H297" s="26" t="str">
        <f t="shared" si="3"/>
        <v>#N/A</v>
      </c>
    </row>
    <row r="298">
      <c r="A298" s="2" t="str">
        <f>IFERROR(__xludf.DUMMYFUNCTION("""COMPUTED_VALUE"""),"HP 670 (Grey)")</f>
        <v>HP 670 (Grey)</v>
      </c>
      <c r="B298" s="2" t="str">
        <f>IFERROR(__xludf.DUMMYFUNCTION("""COMPUTED_VALUE"""),"CRM-PR-670-G3770-GREY")</f>
        <v>CRM-PR-670-G3770-GREY</v>
      </c>
      <c r="C298" s="26">
        <f>IFERROR(__xludf.DUMMYFUNCTION("""COMPUTED_VALUE"""),8.0)</f>
        <v>8</v>
      </c>
      <c r="F298" s="26"/>
      <c r="G298" s="26" t="str">
        <f t="shared" si="2"/>
        <v>#N/A</v>
      </c>
      <c r="H298" s="26" t="str">
        <f t="shared" si="3"/>
        <v>#N/A</v>
      </c>
    </row>
    <row r="299">
      <c r="A299" s="2" t="str">
        <f>IFERROR(__xludf.DUMMYFUNCTION("""COMPUTED_VALUE"""),"HP 670 (Grey)")</f>
        <v>HP 670 (Grey)</v>
      </c>
      <c r="B299" s="2" t="str">
        <f>IFERROR(__xludf.DUMMYFUNCTION("""COMPUTED_VALUE"""),"CRM-PR-670-G3770-GREY")</f>
        <v>CRM-PR-670-G3770-GREY</v>
      </c>
      <c r="C299" s="26">
        <f>IFERROR(__xludf.DUMMYFUNCTION("""COMPUTED_VALUE"""),20.0)</f>
        <v>20</v>
      </c>
      <c r="F299" s="26"/>
      <c r="G299" s="26" t="str">
        <f t="shared" si="2"/>
        <v>#N/A</v>
      </c>
      <c r="H299" s="26" t="str">
        <f t="shared" si="3"/>
        <v>#N/A</v>
      </c>
    </row>
    <row r="300">
      <c r="A300" s="2" t="str">
        <f>IFERROR(__xludf.DUMMYFUNCTION("""COMPUTED_VALUE"""),"HP 670 (Grey)")</f>
        <v>HP 670 (Grey)</v>
      </c>
      <c r="B300" s="2" t="str">
        <f>IFERROR(__xludf.DUMMYFUNCTION("""COMPUTED_VALUE"""),"CRM-PR-670-G3770-GREY")</f>
        <v>CRM-PR-670-G3770-GREY</v>
      </c>
      <c r="C300" s="26">
        <f>IFERROR(__xludf.DUMMYFUNCTION("""COMPUTED_VALUE"""),12.0)</f>
        <v>12</v>
      </c>
      <c r="F300" s="26"/>
      <c r="G300" s="26" t="str">
        <f t="shared" si="2"/>
        <v>#N/A</v>
      </c>
      <c r="H300" s="26" t="str">
        <f t="shared" si="3"/>
        <v>#N/A</v>
      </c>
    </row>
    <row r="301">
      <c r="A301" s="2" t="str">
        <f>IFERROR(__xludf.DUMMYFUNCTION("""COMPUTED_VALUE"""),"HP 670 (Grey)")</f>
        <v>HP 670 (Grey)</v>
      </c>
      <c r="B301" s="2" t="str">
        <f>IFERROR(__xludf.DUMMYFUNCTION("""COMPUTED_VALUE"""),"CRM-PR-670-G3770-GREY")</f>
        <v>CRM-PR-670-G3770-GREY</v>
      </c>
      <c r="C301" s="26">
        <f>IFERROR(__xludf.DUMMYFUNCTION("""COMPUTED_VALUE"""),4.0)</f>
        <v>4</v>
      </c>
      <c r="F301" s="26"/>
      <c r="G301" s="26" t="str">
        <f t="shared" si="2"/>
        <v>#N/A</v>
      </c>
      <c r="H301" s="26" t="str">
        <f t="shared" si="3"/>
        <v>#N/A</v>
      </c>
    </row>
    <row r="302">
      <c r="A302" s="2" t="str">
        <f>IFERROR(__xludf.DUMMYFUNCTION("""COMPUTED_VALUE"""),"HP 670 (Grey)")</f>
        <v>HP 670 (Grey)</v>
      </c>
      <c r="B302" s="2" t="str">
        <f>IFERROR(__xludf.DUMMYFUNCTION("""COMPUTED_VALUE"""),"CRM-PR-670-G3770-GREY")</f>
        <v>CRM-PR-670-G3770-GREY</v>
      </c>
      <c r="C302" s="26">
        <f>IFERROR(__xludf.DUMMYFUNCTION("""COMPUTED_VALUE"""),4.0)</f>
        <v>4</v>
      </c>
      <c r="F302" s="26"/>
      <c r="G302" s="26" t="str">
        <f t="shared" si="2"/>
        <v>#N/A</v>
      </c>
      <c r="H302" s="26" t="str">
        <f t="shared" si="3"/>
        <v>#N/A</v>
      </c>
    </row>
    <row r="303">
      <c r="A303" s="2" t="str">
        <f>IFERROR(__xludf.DUMMYFUNCTION("""COMPUTED_VALUE"""),"HP 670 (Grey)")</f>
        <v>HP 670 (Grey)</v>
      </c>
      <c r="B303" s="2" t="str">
        <f>IFERROR(__xludf.DUMMYFUNCTION("""COMPUTED_VALUE"""),"CRM-PR-670-G3770-GREY")</f>
        <v>CRM-PR-670-G3770-GREY</v>
      </c>
      <c r="C303" s="26">
        <f>IFERROR(__xludf.DUMMYFUNCTION("""COMPUTED_VALUE"""),6.0)</f>
        <v>6</v>
      </c>
      <c r="F303" s="26"/>
      <c r="G303" s="26" t="str">
        <f t="shared" si="2"/>
        <v>#N/A</v>
      </c>
      <c r="H303" s="26" t="str">
        <f t="shared" si="3"/>
        <v>#N/A</v>
      </c>
    </row>
    <row r="304">
      <c r="A304" s="2" t="str">
        <f>IFERROR(__xludf.DUMMYFUNCTION("""COMPUTED_VALUE"""),"Canon TS207 - Grey")</f>
        <v>Canon TS207 - Grey</v>
      </c>
      <c r="B304" s="2" t="str">
        <f>IFERROR(__xludf.DUMMYFUNCTION("""COMPUTED_VALUE"""),"CRM-Canon-TS207-Grey")</f>
        <v>CRM-Canon-TS207-Grey</v>
      </c>
      <c r="C304" s="26">
        <f>IFERROR(__xludf.DUMMYFUNCTION("""COMPUTED_VALUE"""),2.0)</f>
        <v>2</v>
      </c>
      <c r="F304" s="26"/>
      <c r="G304" s="26" t="str">
        <f t="shared" si="2"/>
        <v>#N/A</v>
      </c>
      <c r="H304" s="26" t="str">
        <f t="shared" si="3"/>
        <v>#N/A</v>
      </c>
    </row>
    <row r="305">
      <c r="A305" s="2" t="str">
        <f>IFERROR(__xludf.DUMMYFUNCTION("""COMPUTED_VALUE"""),"HP 136NW (Grey)")</f>
        <v>HP 136NW (Grey)</v>
      </c>
      <c r="B305" s="2" t="str">
        <f>IFERROR(__xludf.DUMMYFUNCTION("""COMPUTED_VALUE"""),"CRM-HP-136-1188w-Grey")</f>
        <v>CRM-HP-136-1188w-Grey</v>
      </c>
      <c r="C305" s="26">
        <f>IFERROR(__xludf.DUMMYFUNCTION("""COMPUTED_VALUE"""),8.0)</f>
        <v>8</v>
      </c>
      <c r="F305" s="26"/>
      <c r="G305" s="26" t="str">
        <f t="shared" si="2"/>
        <v>#N/A</v>
      </c>
      <c r="H305" s="26" t="str">
        <f t="shared" si="3"/>
        <v>#N/A</v>
      </c>
    </row>
    <row r="306">
      <c r="A306" s="2" t="str">
        <f>IFERROR(__xludf.DUMMYFUNCTION("""COMPUTED_VALUE"""),"HP 136NW (Grey)")</f>
        <v>HP 136NW (Grey)</v>
      </c>
      <c r="B306" s="2" t="str">
        <f>IFERROR(__xludf.DUMMYFUNCTION("""COMPUTED_VALUE"""),"CRM-HP-136-1188w-Grey")</f>
        <v>CRM-HP-136-1188w-Grey</v>
      </c>
      <c r="C306" s="26">
        <f>IFERROR(__xludf.DUMMYFUNCTION("""COMPUTED_VALUE"""),2.0)</f>
        <v>2</v>
      </c>
      <c r="F306" s="26"/>
      <c r="G306" s="26" t="str">
        <f t="shared" si="2"/>
        <v>#N/A</v>
      </c>
      <c r="H306" s="26" t="str">
        <f t="shared" si="3"/>
        <v>#N/A</v>
      </c>
    </row>
    <row r="307">
      <c r="A307" s="2" t="str">
        <f>IFERROR(__xludf.DUMMYFUNCTION("""COMPUTED_VALUE"""),"HP 136NW (Grey)")</f>
        <v>HP 136NW (Grey)</v>
      </c>
      <c r="B307" s="2" t="str">
        <f>IFERROR(__xludf.DUMMYFUNCTION("""COMPUTED_VALUE"""),"CRM-HP-136-1188w-Grey")</f>
        <v>CRM-HP-136-1188w-Grey</v>
      </c>
      <c r="C307" s="26">
        <f>IFERROR(__xludf.DUMMYFUNCTION("""COMPUTED_VALUE"""),8.0)</f>
        <v>8</v>
      </c>
      <c r="F307" s="26"/>
      <c r="G307" s="26" t="str">
        <f t="shared" si="2"/>
        <v>#N/A</v>
      </c>
      <c r="H307" s="26" t="str">
        <f t="shared" si="3"/>
        <v>#N/A</v>
      </c>
    </row>
    <row r="308">
      <c r="A308" s="2" t="str">
        <f>IFERROR(__xludf.DUMMYFUNCTION("""COMPUTED_VALUE"""),"HP 136NW (Grey)")</f>
        <v>HP 136NW (Grey)</v>
      </c>
      <c r="B308" s="2" t="str">
        <f>IFERROR(__xludf.DUMMYFUNCTION("""COMPUTED_VALUE"""),"CRM-HP-136-1188w-Grey")</f>
        <v>CRM-HP-136-1188w-Grey</v>
      </c>
      <c r="C308" s="26">
        <f>IFERROR(__xludf.DUMMYFUNCTION("""COMPUTED_VALUE"""),14.0)</f>
        <v>14</v>
      </c>
      <c r="F308" s="26"/>
      <c r="G308" s="26" t="str">
        <f t="shared" si="2"/>
        <v>#N/A</v>
      </c>
      <c r="H308" s="26" t="str">
        <f t="shared" si="3"/>
        <v>#N/A</v>
      </c>
    </row>
    <row r="309">
      <c r="A309" s="2" t="str">
        <f>IFERROR(__xludf.DUMMYFUNCTION("""COMPUTED_VALUE"""),"HP 136NW (Grey)")</f>
        <v>HP 136NW (Grey)</v>
      </c>
      <c r="B309" s="2" t="str">
        <f>IFERROR(__xludf.DUMMYFUNCTION("""COMPUTED_VALUE"""),"CRM-HP-136-1188w-Grey")</f>
        <v>CRM-HP-136-1188w-Grey</v>
      </c>
      <c r="C309" s="26">
        <f>IFERROR(__xludf.DUMMYFUNCTION("""COMPUTED_VALUE"""),12.0)</f>
        <v>12</v>
      </c>
      <c r="F309" s="26"/>
      <c r="G309" s="26" t="str">
        <f t="shared" si="2"/>
        <v>#N/A</v>
      </c>
      <c r="H309" s="26" t="str">
        <f t="shared" si="3"/>
        <v>#N/A</v>
      </c>
    </row>
    <row r="310">
      <c r="A310" s="2" t="str">
        <f>IFERROR(__xludf.DUMMYFUNCTION("""COMPUTED_VALUE"""),"HP 2606sdw - Grey")</f>
        <v>HP 2606sdw - Grey</v>
      </c>
      <c r="B310" s="2" t="str">
        <f>IFERROR(__xludf.DUMMYFUNCTION("""COMPUTED_VALUE"""),"CRM-HP-2606sdw-Grey")</f>
        <v>CRM-HP-2606sdw-Grey</v>
      </c>
      <c r="C310" s="26">
        <f>IFERROR(__xludf.DUMMYFUNCTION("""COMPUTED_VALUE"""),4.0)</f>
        <v>4</v>
      </c>
      <c r="F310" s="26"/>
      <c r="G310" s="26" t="str">
        <f t="shared" si="2"/>
        <v>#N/A</v>
      </c>
      <c r="H310" s="26" t="str">
        <f t="shared" si="3"/>
        <v>#N/A</v>
      </c>
    </row>
    <row r="311">
      <c r="A311" s="2" t="str">
        <f>IFERROR(__xludf.DUMMYFUNCTION("""COMPUTED_VALUE"""),"HP 2606sdw - Grey")</f>
        <v>HP 2606sdw - Grey</v>
      </c>
      <c r="B311" s="2" t="str">
        <f>IFERROR(__xludf.DUMMYFUNCTION("""COMPUTED_VALUE"""),"CRM-HP-2606sdw-Grey")</f>
        <v>CRM-HP-2606sdw-Grey</v>
      </c>
      <c r="C311" s="26">
        <f>IFERROR(__xludf.DUMMYFUNCTION("""COMPUTED_VALUE"""),8.0)</f>
        <v>8</v>
      </c>
      <c r="F311" s="26"/>
      <c r="G311" s="26" t="str">
        <f t="shared" si="2"/>
        <v>#N/A</v>
      </c>
      <c r="H311" s="26" t="str">
        <f t="shared" si="3"/>
        <v>#N/A</v>
      </c>
    </row>
    <row r="312">
      <c r="A312" s="2" t="str">
        <f>IFERROR(__xludf.DUMMYFUNCTION("""COMPUTED_VALUE"""),"HP 2606sdw - Grey")</f>
        <v>HP 2606sdw - Grey</v>
      </c>
      <c r="B312" s="2" t="str">
        <f>IFERROR(__xludf.DUMMYFUNCTION("""COMPUTED_VALUE"""),"CRM-HP-2606sdw-Grey")</f>
        <v>CRM-HP-2606sdw-Grey</v>
      </c>
      <c r="C312" s="26">
        <f>IFERROR(__xludf.DUMMYFUNCTION("""COMPUTED_VALUE"""),2.0)</f>
        <v>2</v>
      </c>
      <c r="F312" s="26"/>
      <c r="G312" s="26" t="str">
        <f t="shared" si="2"/>
        <v>#N/A</v>
      </c>
      <c r="H312" s="26" t="str">
        <f t="shared" si="3"/>
        <v>#N/A</v>
      </c>
    </row>
    <row r="313">
      <c r="A313" s="2" t="str">
        <f>IFERROR(__xludf.DUMMYFUNCTION("""COMPUTED_VALUE"""),"HP 2606sdw - Grey")</f>
        <v>HP 2606sdw - Grey</v>
      </c>
      <c r="B313" s="2" t="str">
        <f>IFERROR(__xludf.DUMMYFUNCTION("""COMPUTED_VALUE"""),"CRM-HP-2606sdw-Grey")</f>
        <v>CRM-HP-2606sdw-Grey</v>
      </c>
      <c r="C313" s="26">
        <f>IFERROR(__xludf.DUMMYFUNCTION("""COMPUTED_VALUE"""),2.0)</f>
        <v>2</v>
      </c>
      <c r="F313" s="26"/>
      <c r="G313" s="26" t="str">
        <f t="shared" si="2"/>
        <v>#N/A</v>
      </c>
      <c r="H313" s="26" t="str">
        <f t="shared" si="3"/>
        <v>#N/A</v>
      </c>
    </row>
    <row r="314">
      <c r="A314" s="2" t="str">
        <f>IFERROR(__xludf.DUMMYFUNCTION("""COMPUTED_VALUE"""),"HP 2606sdw - Grey")</f>
        <v>HP 2606sdw - Grey</v>
      </c>
      <c r="B314" s="2" t="str">
        <f>IFERROR(__xludf.DUMMYFUNCTION("""COMPUTED_VALUE"""),"CRM-HP-2606sdw-Grey")</f>
        <v>CRM-HP-2606sdw-Grey</v>
      </c>
      <c r="C314" s="26">
        <f>IFERROR(__xludf.DUMMYFUNCTION("""COMPUTED_VALUE"""),4.0)</f>
        <v>4</v>
      </c>
      <c r="F314" s="26"/>
      <c r="G314" s="26" t="str">
        <f t="shared" si="2"/>
        <v>#N/A</v>
      </c>
      <c r="H314" s="26" t="str">
        <f t="shared" si="3"/>
        <v>#N/A</v>
      </c>
    </row>
    <row r="315">
      <c r="A315" s="2" t="str">
        <f>IFERROR(__xludf.DUMMYFUNCTION("""COMPUTED_VALUE"""),"HP 2606sdw - Grey")</f>
        <v>HP 2606sdw - Grey</v>
      </c>
      <c r="B315" s="2" t="str">
        <f>IFERROR(__xludf.DUMMYFUNCTION("""COMPUTED_VALUE"""),"CRM-HP-2606sdw-Grey")</f>
        <v>CRM-HP-2606sdw-Grey</v>
      </c>
      <c r="C315" s="26">
        <f>IFERROR(__xludf.DUMMYFUNCTION("""COMPUTED_VALUE"""),6.0)</f>
        <v>6</v>
      </c>
      <c r="F315" s="26"/>
      <c r="G315" s="26" t="str">
        <f t="shared" si="2"/>
        <v>#N/A</v>
      </c>
      <c r="H315" s="26" t="str">
        <f t="shared" si="3"/>
        <v>#N/A</v>
      </c>
    </row>
    <row r="316">
      <c r="A316" s="2" t="str">
        <f>IFERROR(__xludf.DUMMYFUNCTION("""COMPUTED_VALUE"""),"Cubes-Grey (5Q)")</f>
        <v>Cubes-Grey (5Q)</v>
      </c>
      <c r="B316" s="2" t="str">
        <f>IFERROR(__xludf.DUMMYFUNCTION("""COMPUTED_VALUE"""),"CRM-Cube1-Grey-Pack5")</f>
        <v>CRM-Cube1-Grey-Pack5</v>
      </c>
      <c r="C316" s="26">
        <f>IFERROR(__xludf.DUMMYFUNCTION("""COMPUTED_VALUE"""),12.0)</f>
        <v>12</v>
      </c>
      <c r="F316" s="26"/>
      <c r="G316" s="26" t="str">
        <f t="shared" si="2"/>
        <v>#N/A</v>
      </c>
      <c r="H316" s="26" t="str">
        <f t="shared" si="3"/>
        <v>#N/A</v>
      </c>
    </row>
    <row r="317">
      <c r="A317" s="2" t="str">
        <f>IFERROR(__xludf.DUMMYFUNCTION("""COMPUTED_VALUE"""),"Cubes-Grey (5Q)")</f>
        <v>Cubes-Grey (5Q)</v>
      </c>
      <c r="B317" s="2" t="str">
        <f>IFERROR(__xludf.DUMMYFUNCTION("""COMPUTED_VALUE"""),"CRM-Cube1-Grey-Pack5")</f>
        <v>CRM-Cube1-Grey-Pack5</v>
      </c>
      <c r="C317" s="26">
        <f>IFERROR(__xludf.DUMMYFUNCTION("""COMPUTED_VALUE"""),28.0)</f>
        <v>28</v>
      </c>
      <c r="F317" s="26"/>
      <c r="G317" s="26" t="str">
        <f t="shared" si="2"/>
        <v>#N/A</v>
      </c>
      <c r="H317" s="26" t="str">
        <f t="shared" si="3"/>
        <v>#N/A</v>
      </c>
    </row>
    <row r="318">
      <c r="A318" s="2" t="str">
        <f>IFERROR(__xludf.DUMMYFUNCTION("""COMPUTED_VALUE"""),"Cubes-Grey (5Q)")</f>
        <v>Cubes-Grey (5Q)</v>
      </c>
      <c r="B318" s="2" t="str">
        <f>IFERROR(__xludf.DUMMYFUNCTION("""COMPUTED_VALUE"""),"CRM-Cube1-Grey-Pack5")</f>
        <v>CRM-Cube1-Grey-Pack5</v>
      </c>
      <c r="C318" s="26">
        <f>IFERROR(__xludf.DUMMYFUNCTION("""COMPUTED_VALUE"""),2.0)</f>
        <v>2</v>
      </c>
      <c r="F318" s="26"/>
      <c r="G318" s="26" t="str">
        <f t="shared" si="2"/>
        <v>#N/A</v>
      </c>
      <c r="H318" s="26" t="str">
        <f t="shared" si="3"/>
        <v>#N/A</v>
      </c>
    </row>
    <row r="319">
      <c r="A319" s="2" t="str">
        <f>IFERROR(__xludf.DUMMYFUNCTION("""COMPUTED_VALUE"""),"Cubes-Grey (5Q)")</f>
        <v>Cubes-Grey (5Q)</v>
      </c>
      <c r="B319" s="2" t="str">
        <f>IFERROR(__xludf.DUMMYFUNCTION("""COMPUTED_VALUE"""),"CRM-Cube1-Grey-Pack5")</f>
        <v>CRM-Cube1-Grey-Pack5</v>
      </c>
      <c r="C319" s="26">
        <f>IFERROR(__xludf.DUMMYFUNCTION("""COMPUTED_VALUE"""),18.0)</f>
        <v>18</v>
      </c>
      <c r="F319" s="26"/>
      <c r="G319" s="26" t="str">
        <f t="shared" si="2"/>
        <v>#N/A</v>
      </c>
      <c r="H319" s="26" t="str">
        <f t="shared" si="3"/>
        <v>#N/A</v>
      </c>
    </row>
    <row r="320">
      <c r="A320" s="2" t="str">
        <f>IFERROR(__xludf.DUMMYFUNCTION("""COMPUTED_VALUE"""),"Cubes-Grey (5Q)")</f>
        <v>Cubes-Grey (5Q)</v>
      </c>
      <c r="B320" s="2" t="str">
        <f>IFERROR(__xludf.DUMMYFUNCTION("""COMPUTED_VALUE"""),"CRM-Cube1-Grey-Pack5")</f>
        <v>CRM-Cube1-Grey-Pack5</v>
      </c>
      <c r="C320" s="26">
        <f>IFERROR(__xludf.DUMMYFUNCTION("""COMPUTED_VALUE"""),4.0)</f>
        <v>4</v>
      </c>
      <c r="F320" s="26"/>
      <c r="G320" s="26" t="str">
        <f t="shared" si="2"/>
        <v>#N/A</v>
      </c>
      <c r="H320" s="26" t="str">
        <f t="shared" si="3"/>
        <v>#N/A</v>
      </c>
    </row>
    <row r="321">
      <c r="A321" s="2" t="str">
        <f>IFERROR(__xludf.DUMMYFUNCTION("""COMPUTED_VALUE"""),"Cubes-Grey (5Q)")</f>
        <v>Cubes-Grey (5Q)</v>
      </c>
      <c r="B321" s="2" t="str">
        <f>IFERROR(__xludf.DUMMYFUNCTION("""COMPUTED_VALUE"""),"CRM-Cube1-Grey-Pack5")</f>
        <v>CRM-Cube1-Grey-Pack5</v>
      </c>
      <c r="C321" s="26">
        <f>IFERROR(__xludf.DUMMYFUNCTION("""COMPUTED_VALUE"""),24.0)</f>
        <v>24</v>
      </c>
      <c r="F321" s="26"/>
      <c r="G321" s="26" t="str">
        <f t="shared" si="2"/>
        <v>#N/A</v>
      </c>
      <c r="H321" s="26" t="str">
        <f t="shared" si="3"/>
        <v>#N/A</v>
      </c>
    </row>
    <row r="322">
      <c r="A322" s="2" t="str">
        <f>IFERROR(__xludf.DUMMYFUNCTION("""COMPUTED_VALUE"""),"Cubes-Grey (5Q)")</f>
        <v>Cubes-Grey (5Q)</v>
      </c>
      <c r="B322" s="2" t="str">
        <f>IFERROR(__xludf.DUMMYFUNCTION("""COMPUTED_VALUE"""),"CRM-Cube1-Grey-Pack5")</f>
        <v>CRM-Cube1-Grey-Pack5</v>
      </c>
      <c r="C322" s="26">
        <f>IFERROR(__xludf.DUMMYFUNCTION("""COMPUTED_VALUE"""),4.0)</f>
        <v>4</v>
      </c>
      <c r="F322" s="26"/>
      <c r="G322" s="26" t="str">
        <f t="shared" si="2"/>
        <v>#N/A</v>
      </c>
      <c r="H322" s="26" t="str">
        <f t="shared" si="3"/>
        <v>#N/A</v>
      </c>
    </row>
    <row r="323">
      <c r="A323" s="2" t="str">
        <f>IFERROR(__xludf.DUMMYFUNCTION("""COMPUTED_VALUE"""),"Cubes-Grey (12Q)")</f>
        <v>Cubes-Grey (12Q)</v>
      </c>
      <c r="B323" s="2" t="str">
        <f>IFERROR(__xludf.DUMMYFUNCTION("""COMPUTED_VALUE"""),"CRM-Cube1-Grey-Pack12")</f>
        <v>CRM-Cube1-Grey-Pack12</v>
      </c>
      <c r="C323" s="26">
        <f>IFERROR(__xludf.DUMMYFUNCTION("""COMPUTED_VALUE"""),4.0)</f>
        <v>4</v>
      </c>
      <c r="F323" s="26"/>
      <c r="G323" s="26" t="str">
        <f t="shared" si="2"/>
        <v>#N/A</v>
      </c>
      <c r="H323" s="26" t="str">
        <f t="shared" si="3"/>
        <v>#N/A</v>
      </c>
    </row>
    <row r="324">
      <c r="A324" s="2" t="str">
        <f>IFERROR(__xludf.DUMMYFUNCTION("""COMPUTED_VALUE"""),"Cubes-Grey (12Q)")</f>
        <v>Cubes-Grey (12Q)</v>
      </c>
      <c r="B324" s="2" t="str">
        <f>IFERROR(__xludf.DUMMYFUNCTION("""COMPUTED_VALUE"""),"CRM-Cube1-Grey-Pack12")</f>
        <v>CRM-Cube1-Grey-Pack12</v>
      </c>
      <c r="C324" s="26">
        <f>IFERROR(__xludf.DUMMYFUNCTION("""COMPUTED_VALUE"""),6.0)</f>
        <v>6</v>
      </c>
      <c r="F324" s="26"/>
      <c r="G324" s="26" t="str">
        <f t="shared" si="2"/>
        <v>#N/A</v>
      </c>
      <c r="H324" s="26" t="str">
        <f t="shared" si="3"/>
        <v>#N/A</v>
      </c>
    </row>
    <row r="325">
      <c r="A325" s="2" t="str">
        <f>IFERROR(__xludf.DUMMYFUNCTION("""COMPUTED_VALUE"""),"Cubes-Grey (12Q)")</f>
        <v>Cubes-Grey (12Q)</v>
      </c>
      <c r="B325" s="2" t="str">
        <f>IFERROR(__xludf.DUMMYFUNCTION("""COMPUTED_VALUE"""),"CRM-Cube1-Grey-Pack12")</f>
        <v>CRM-Cube1-Grey-Pack12</v>
      </c>
      <c r="C325" s="26">
        <f>IFERROR(__xludf.DUMMYFUNCTION("""COMPUTED_VALUE"""),2.0)</f>
        <v>2</v>
      </c>
      <c r="F325" s="26"/>
      <c r="G325" s="26" t="str">
        <f t="shared" si="2"/>
        <v>#N/A</v>
      </c>
      <c r="H325" s="26" t="str">
        <f t="shared" si="3"/>
        <v>#N/A</v>
      </c>
    </row>
    <row r="326">
      <c r="A326" s="2" t="str">
        <f>IFERROR(__xludf.DUMMYFUNCTION("""COMPUTED_VALUE"""),"Cubes-Grey (12Q)")</f>
        <v>Cubes-Grey (12Q)</v>
      </c>
      <c r="B326" s="2" t="str">
        <f>IFERROR(__xludf.DUMMYFUNCTION("""COMPUTED_VALUE"""),"CRM-Cube1-Grey-Pack12")</f>
        <v>CRM-Cube1-Grey-Pack12</v>
      </c>
      <c r="C326" s="26">
        <f>IFERROR(__xludf.DUMMYFUNCTION("""COMPUTED_VALUE"""),4.0)</f>
        <v>4</v>
      </c>
      <c r="F326" s="26"/>
      <c r="G326" s="26" t="str">
        <f t="shared" si="2"/>
        <v>#N/A</v>
      </c>
      <c r="H326" s="26" t="str">
        <f t="shared" si="3"/>
        <v>#N/A</v>
      </c>
    </row>
    <row r="327">
      <c r="A327" s="2" t="str">
        <f>IFERROR(__xludf.DUMMYFUNCTION("""COMPUTED_VALUE"""),"Cubes-Grey (12Q)")</f>
        <v>Cubes-Grey (12Q)</v>
      </c>
      <c r="B327" s="2" t="str">
        <f>IFERROR(__xludf.DUMMYFUNCTION("""COMPUTED_VALUE"""),"CRM-Cube1-Grey-Pack12")</f>
        <v>CRM-Cube1-Grey-Pack12</v>
      </c>
      <c r="C327" s="26">
        <f>IFERROR(__xludf.DUMMYFUNCTION("""COMPUTED_VALUE"""),2.0)</f>
        <v>2</v>
      </c>
      <c r="F327" s="26"/>
      <c r="G327" s="26" t="str">
        <f t="shared" si="2"/>
        <v>#N/A</v>
      </c>
      <c r="H327" s="26" t="str">
        <f t="shared" si="3"/>
        <v>#N/A</v>
      </c>
    </row>
    <row r="328">
      <c r="A328" s="2" t="str">
        <f>IFERROR(__xludf.DUMMYFUNCTION("""COMPUTED_VALUE"""),"Cubes-Grey (12Q)")</f>
        <v>Cubes-Grey (12Q)</v>
      </c>
      <c r="B328" s="2" t="str">
        <f>IFERROR(__xludf.DUMMYFUNCTION("""COMPUTED_VALUE"""),"CRM-Cube1-Grey-Pack12")</f>
        <v>CRM-Cube1-Grey-Pack12</v>
      </c>
      <c r="C328" s="26">
        <f>IFERROR(__xludf.DUMMYFUNCTION("""COMPUTED_VALUE"""),10.0)</f>
        <v>10</v>
      </c>
      <c r="F328" s="26"/>
      <c r="G328" s="26" t="str">
        <f t="shared" si="2"/>
        <v>#N/A</v>
      </c>
      <c r="H328" s="26" t="str">
        <f t="shared" si="3"/>
        <v>#N/A</v>
      </c>
    </row>
    <row r="329">
      <c r="A329" s="2" t="str">
        <f>IFERROR(__xludf.DUMMYFUNCTION("""COMPUTED_VALUE"""),"Cubes-Grey (12Q)")</f>
        <v>Cubes-Grey (12Q)</v>
      </c>
      <c r="B329" s="2" t="str">
        <f>IFERROR(__xludf.DUMMYFUNCTION("""COMPUTED_VALUE"""),"CRM-Cube1-Grey-Pack12")</f>
        <v>CRM-Cube1-Grey-Pack12</v>
      </c>
      <c r="C329" s="26">
        <f>IFERROR(__xludf.DUMMYFUNCTION("""COMPUTED_VALUE"""),10.0)</f>
        <v>10</v>
      </c>
      <c r="F329" s="26"/>
      <c r="G329" s="26" t="str">
        <f t="shared" si="2"/>
        <v>#N/A</v>
      </c>
      <c r="H329" s="26" t="str">
        <f t="shared" si="3"/>
        <v>#N/A</v>
      </c>
    </row>
    <row r="330">
      <c r="A330" s="2" t="str">
        <f>IFERROR(__xludf.DUMMYFUNCTION("""COMPUTED_VALUE"""),"Cubes-Grey (12Q)")</f>
        <v>Cubes-Grey (12Q)</v>
      </c>
      <c r="B330" s="2" t="str">
        <f>IFERROR(__xludf.DUMMYFUNCTION("""COMPUTED_VALUE"""),"CRM-Cube1-Grey-Pack12")</f>
        <v>CRM-Cube1-Grey-Pack12</v>
      </c>
      <c r="C330" s="26">
        <f>IFERROR(__xludf.DUMMYFUNCTION("""COMPUTED_VALUE"""),8.0)</f>
        <v>8</v>
      </c>
      <c r="F330" s="26"/>
      <c r="G330" s="26" t="str">
        <f t="shared" si="2"/>
        <v>#N/A</v>
      </c>
      <c r="H330" s="26" t="str">
        <f t="shared" si="3"/>
        <v>#N/A</v>
      </c>
    </row>
    <row r="331">
      <c r="A331" s="2" t="str">
        <f>IFERROR(__xludf.DUMMYFUNCTION("""COMPUTED_VALUE"""),"CP-1-Black")</f>
        <v>CP-1-Black</v>
      </c>
      <c r="B331" s="2" t="str">
        <f>IFERROR(__xludf.DUMMYFUNCTION("""COMPUTED_VALUE"""),"CP-BLACK-1")</f>
        <v>CP-BLACK-1</v>
      </c>
      <c r="C331" s="26">
        <f>IFERROR(__xludf.DUMMYFUNCTION("""COMPUTED_VALUE"""),2.0)</f>
        <v>2</v>
      </c>
      <c r="F331" s="26"/>
      <c r="G331" s="26" t="str">
        <f t="shared" si="2"/>
        <v>#N/A</v>
      </c>
      <c r="H331" s="26" t="str">
        <f t="shared" si="3"/>
        <v>#N/A</v>
      </c>
    </row>
    <row r="332">
      <c r="A332" s="2" t="str">
        <f>IFERROR(__xludf.DUMMYFUNCTION("""COMPUTED_VALUE"""),"CP-1-Black")</f>
        <v>CP-1-Black</v>
      </c>
      <c r="B332" s="2" t="str">
        <f>IFERROR(__xludf.DUMMYFUNCTION("""COMPUTED_VALUE"""),"CP-BLACK-1")</f>
        <v>CP-BLACK-1</v>
      </c>
      <c r="C332" s="26">
        <f>IFERROR(__xludf.DUMMYFUNCTION("""COMPUTED_VALUE"""),2.0)</f>
        <v>2</v>
      </c>
      <c r="F332" s="26"/>
      <c r="G332" s="26" t="str">
        <f t="shared" si="2"/>
        <v>#N/A</v>
      </c>
      <c r="H332" s="26" t="str">
        <f t="shared" si="3"/>
        <v>#N/A</v>
      </c>
    </row>
    <row r="333">
      <c r="A333" s="2" t="str">
        <f>IFERROR(__xludf.DUMMYFUNCTION("""COMPUTED_VALUE"""),"CP-1-Black")</f>
        <v>CP-1-Black</v>
      </c>
      <c r="B333" s="2" t="str">
        <f>IFERROR(__xludf.DUMMYFUNCTION("""COMPUTED_VALUE"""),"CP-BLACK-1-PACK OF 2")</f>
        <v>CP-BLACK-1-PACK OF 2</v>
      </c>
      <c r="C333" s="26">
        <f>IFERROR(__xludf.DUMMYFUNCTION("""COMPUTED_VALUE"""),0.0)</f>
        <v>0</v>
      </c>
      <c r="F333" s="26"/>
      <c r="G333" s="26" t="str">
        <f t="shared" si="2"/>
        <v>#N/A</v>
      </c>
      <c r="H333" s="26" t="str">
        <f t="shared" si="3"/>
        <v>#N/A</v>
      </c>
    </row>
    <row r="334">
      <c r="A334" s="2" t="str">
        <f>IFERROR(__xludf.DUMMYFUNCTION("""COMPUTED_VALUE"""),"CP-1-Black")</f>
        <v>CP-1-Black</v>
      </c>
      <c r="B334" s="2" t="str">
        <f>IFERROR(__xludf.DUMMYFUNCTION("""COMPUTED_VALUE"""),"CP-BLACK-1-PACK OF 2")</f>
        <v>CP-BLACK-1-PACK OF 2</v>
      </c>
      <c r="C334" s="26">
        <f>IFERROR(__xludf.DUMMYFUNCTION("""COMPUTED_VALUE"""),0.0)</f>
        <v>0</v>
      </c>
      <c r="F334" s="26"/>
      <c r="G334" s="26" t="str">
        <f t="shared" si="2"/>
        <v>#N/A</v>
      </c>
      <c r="H334" s="26" t="str">
        <f t="shared" si="3"/>
        <v>#N/A</v>
      </c>
    </row>
    <row r="335">
      <c r="A335" s="2" t="str">
        <f>IFERROR(__xludf.DUMMYFUNCTION("""COMPUTED_VALUE"""),"CP-1-Black")</f>
        <v>CP-1-Black</v>
      </c>
      <c r="B335" s="2" t="str">
        <f>IFERROR(__xludf.DUMMYFUNCTION("""COMPUTED_VALUE"""),"CP-BLACK-1-PACK OF 2")</f>
        <v>CP-BLACK-1-PACK OF 2</v>
      </c>
      <c r="C335" s="26">
        <f>IFERROR(__xludf.DUMMYFUNCTION("""COMPUTED_VALUE"""),0.0)</f>
        <v>0</v>
      </c>
      <c r="F335" s="26"/>
      <c r="G335" s="26" t="str">
        <f t="shared" si="2"/>
        <v>#N/A</v>
      </c>
      <c r="H335" s="26" t="str">
        <f t="shared" si="3"/>
        <v>#N/A</v>
      </c>
    </row>
    <row r="336">
      <c r="A336" s="2" t="str">
        <f>IFERROR(__xludf.DUMMYFUNCTION("""COMPUTED_VALUE"""),"CP-1-Black")</f>
        <v>CP-1-Black</v>
      </c>
      <c r="B336" s="2" t="str">
        <f>IFERROR(__xludf.DUMMYFUNCTION("""COMPUTED_VALUE"""),"CP-BLACK-1-PACK OF 2")</f>
        <v>CP-BLACK-1-PACK OF 2</v>
      </c>
      <c r="C336" s="26">
        <f>IFERROR(__xludf.DUMMYFUNCTION("""COMPUTED_VALUE"""),0.0)</f>
        <v>0</v>
      </c>
      <c r="F336" s="26"/>
      <c r="G336" s="26" t="str">
        <f t="shared" si="2"/>
        <v>#N/A</v>
      </c>
      <c r="H336" s="26" t="str">
        <f t="shared" si="3"/>
        <v>#N/A</v>
      </c>
    </row>
    <row r="337">
      <c r="A337" s="2" t="str">
        <f>IFERROR(__xludf.DUMMYFUNCTION("""COMPUTED_VALUE"""),"CP-1-Black")</f>
        <v>CP-1-Black</v>
      </c>
      <c r="B337" s="2" t="str">
        <f>IFERROR(__xludf.DUMMYFUNCTION("""COMPUTED_VALUE"""),"CP-BLACK-1-PACK OF 2")</f>
        <v>CP-BLACK-1-PACK OF 2</v>
      </c>
      <c r="C337" s="26">
        <f>IFERROR(__xludf.DUMMYFUNCTION("""COMPUTED_VALUE"""),0.0)</f>
        <v>0</v>
      </c>
      <c r="F337" s="26"/>
      <c r="G337" s="26" t="str">
        <f t="shared" si="2"/>
        <v>#N/A</v>
      </c>
      <c r="H337" s="26" t="str">
        <f t="shared" si="3"/>
        <v>#N/A</v>
      </c>
    </row>
    <row r="338">
      <c r="A338" s="2" t="str">
        <f>IFERROR(__xludf.DUMMYFUNCTION("""COMPUTED_VALUE"""),"CP-1-Black")</f>
        <v>CP-1-Black</v>
      </c>
      <c r="B338" s="2" t="str">
        <f>IFERROR(__xludf.DUMMYFUNCTION("""COMPUTED_VALUE"""),"CP-BLACK-1-PACK OF 2")</f>
        <v>CP-BLACK-1-PACK OF 2</v>
      </c>
      <c r="C338" s="26">
        <f>IFERROR(__xludf.DUMMYFUNCTION("""COMPUTED_VALUE"""),0.0)</f>
        <v>0</v>
      </c>
      <c r="F338" s="26"/>
      <c r="G338" s="26" t="str">
        <f t="shared" si="2"/>
        <v>#N/A</v>
      </c>
      <c r="H338" s="26" t="str">
        <f t="shared" si="3"/>
        <v>#N/A</v>
      </c>
    </row>
    <row r="339">
      <c r="A339" s="2" t="str">
        <f>IFERROR(__xludf.DUMMYFUNCTION("""COMPUTED_VALUE"""),"CP-1-Black")</f>
        <v>CP-1-Black</v>
      </c>
      <c r="B339" s="2" t="str">
        <f>IFERROR(__xludf.DUMMYFUNCTION("""COMPUTED_VALUE"""),"CP-BLACK-1-PACK OF 2")</f>
        <v>CP-BLACK-1-PACK OF 2</v>
      </c>
      <c r="C339" s="26">
        <f>IFERROR(__xludf.DUMMYFUNCTION("""COMPUTED_VALUE"""),8.0)</f>
        <v>8</v>
      </c>
      <c r="F339" s="26"/>
      <c r="G339" s="26" t="str">
        <f t="shared" si="2"/>
        <v>#N/A</v>
      </c>
      <c r="H339" s="26" t="str">
        <f t="shared" si="3"/>
        <v>#N/A</v>
      </c>
    </row>
    <row r="340">
      <c r="A340" s="2" t="str">
        <f>IFERROR(__xludf.DUMMYFUNCTION("""COMPUTED_VALUE"""),"CP-1-Black")</f>
        <v>CP-1-Black</v>
      </c>
      <c r="B340" s="2" t="str">
        <f>IFERROR(__xludf.DUMMYFUNCTION("""COMPUTED_VALUE"""),"CP-BLACK-1-PACK OF 2")</f>
        <v>CP-BLACK-1-PACK OF 2</v>
      </c>
      <c r="C340" s="26">
        <f>IFERROR(__xludf.DUMMYFUNCTION("""COMPUTED_VALUE"""),0.0)</f>
        <v>0</v>
      </c>
      <c r="F340" s="26"/>
      <c r="G340" s="26" t="str">
        <f t="shared" si="2"/>
        <v>#N/A</v>
      </c>
      <c r="H340" s="26" t="str">
        <f t="shared" si="3"/>
        <v>#N/A</v>
      </c>
    </row>
    <row r="341">
      <c r="A341" s="2" t="str">
        <f>IFERROR(__xludf.DUMMYFUNCTION("""COMPUTED_VALUE"""),"CP-1-Black")</f>
        <v>CP-1-Black</v>
      </c>
      <c r="B341" s="2" t="str">
        <f>IFERROR(__xludf.DUMMYFUNCTION("""COMPUTED_VALUE"""),"CP-BLACK-1-PACK OF 2")</f>
        <v>CP-BLACK-1-PACK OF 2</v>
      </c>
      <c r="C341" s="26">
        <f>IFERROR(__xludf.DUMMYFUNCTION("""COMPUTED_VALUE"""),0.0)</f>
        <v>0</v>
      </c>
      <c r="F341" s="26"/>
      <c r="G341" s="26" t="str">
        <f t="shared" si="2"/>
        <v>#N/A</v>
      </c>
      <c r="H341" s="26" t="str">
        <f t="shared" si="3"/>
        <v>#N/A</v>
      </c>
    </row>
    <row r="342">
      <c r="A342" s="2" t="str">
        <f>IFERROR(__xludf.DUMMYFUNCTION("""COMPUTED_VALUE"""),"CP-2-Grey (2Q)")</f>
        <v>CP-2-Grey (2Q)</v>
      </c>
      <c r="B342" s="2" t="str">
        <f>IFERROR(__xludf.DUMMYFUNCTION("""COMPUTED_VALUE"""),"CRM-CP2-GREY-2Q")</f>
        <v>CRM-CP2-GREY-2Q</v>
      </c>
      <c r="C342" s="26">
        <f>IFERROR(__xludf.DUMMYFUNCTION("""COMPUTED_VALUE"""),4.0)</f>
        <v>4</v>
      </c>
      <c r="F342" s="26"/>
      <c r="G342" s="26" t="str">
        <f t="shared" si="2"/>
        <v>#N/A</v>
      </c>
      <c r="H342" s="26" t="str">
        <f t="shared" si="3"/>
        <v>#N/A</v>
      </c>
    </row>
    <row r="343">
      <c r="A343" s="2" t="str">
        <f>IFERROR(__xludf.DUMMYFUNCTION("""COMPUTED_VALUE"""),"CP-2-Grey (2Q)")</f>
        <v>CP-2-Grey (2Q)</v>
      </c>
      <c r="B343" s="2" t="str">
        <f>IFERROR(__xludf.DUMMYFUNCTION("""COMPUTED_VALUE"""),"CRM-CP2-GREY-2Q")</f>
        <v>CRM-CP2-GREY-2Q</v>
      </c>
      <c r="C343" s="26">
        <f>IFERROR(__xludf.DUMMYFUNCTION("""COMPUTED_VALUE"""),2.0)</f>
        <v>2</v>
      </c>
      <c r="F343" s="26"/>
      <c r="G343" s="26" t="str">
        <f t="shared" si="2"/>
        <v>#N/A</v>
      </c>
      <c r="H343" s="26" t="str">
        <f t="shared" si="3"/>
        <v>#N/A</v>
      </c>
    </row>
    <row r="344">
      <c r="A344" s="2" t="str">
        <f>IFERROR(__xludf.DUMMYFUNCTION("""COMPUTED_VALUE"""),"CP-2-Grey (2Q)")</f>
        <v>CP-2-Grey (2Q)</v>
      </c>
      <c r="B344" s="2" t="str">
        <f>IFERROR(__xludf.DUMMYFUNCTION("""COMPUTED_VALUE"""),"CRM-CP2-GREY-2Q")</f>
        <v>CRM-CP2-GREY-2Q</v>
      </c>
      <c r="C344" s="26">
        <f>IFERROR(__xludf.DUMMYFUNCTION("""COMPUTED_VALUE"""),4.0)</f>
        <v>4</v>
      </c>
      <c r="F344" s="26"/>
      <c r="G344" s="26" t="str">
        <f t="shared" si="2"/>
        <v>#N/A</v>
      </c>
      <c r="H344" s="26" t="str">
        <f t="shared" si="3"/>
        <v>#N/A</v>
      </c>
    </row>
    <row r="345">
      <c r="A345" s="2" t="str">
        <f>IFERROR(__xludf.DUMMYFUNCTION("""COMPUTED_VALUE"""),"CP-2-Grey (2Q)")</f>
        <v>CP-2-Grey (2Q)</v>
      </c>
      <c r="B345" s="2" t="str">
        <f>IFERROR(__xludf.DUMMYFUNCTION("""COMPUTED_VALUE"""),"CRM-CP2-GREY-2Q")</f>
        <v>CRM-CP2-GREY-2Q</v>
      </c>
      <c r="C345" s="26">
        <f>IFERROR(__xludf.DUMMYFUNCTION("""COMPUTED_VALUE"""),2.0)</f>
        <v>2</v>
      </c>
      <c r="F345" s="26"/>
      <c r="G345" s="26" t="str">
        <f t="shared" si="2"/>
        <v>#N/A</v>
      </c>
      <c r="H345" s="26" t="str">
        <f t="shared" si="3"/>
        <v>#N/A</v>
      </c>
    </row>
    <row r="346">
      <c r="A346" s="2" t="str">
        <f>IFERROR(__xludf.DUMMYFUNCTION("""COMPUTED_VALUE"""),"SC-Black (4Q)")</f>
        <v>SC-Black (4Q)</v>
      </c>
      <c r="B346" s="2" t="str">
        <f>IFERROR(__xludf.DUMMYFUNCTION("""COMPUTED_VALUE"""),"CRM-SC-BLACK-TS-4Q")</f>
        <v>CRM-SC-BLACK-TS-4Q</v>
      </c>
      <c r="C346" s="26">
        <f>IFERROR(__xludf.DUMMYFUNCTION("""COMPUTED_VALUE"""),2.0)</f>
        <v>2</v>
      </c>
      <c r="F346" s="26"/>
      <c r="G346" s="26" t="str">
        <f t="shared" si="2"/>
        <v>#N/A</v>
      </c>
      <c r="H346" s="26" t="str">
        <f t="shared" si="3"/>
        <v>#N/A</v>
      </c>
    </row>
    <row r="347">
      <c r="A347" s="2" t="str">
        <f>IFERROR(__xludf.DUMMYFUNCTION("""COMPUTED_VALUE"""),"SC-Black (4Q)")</f>
        <v>SC-Black (4Q)</v>
      </c>
      <c r="B347" s="2" t="str">
        <f>IFERROR(__xludf.DUMMYFUNCTION("""COMPUTED_VALUE"""),"CRM-SC-BLACK-TS-4Q")</f>
        <v>CRM-SC-BLACK-TS-4Q</v>
      </c>
      <c r="C347" s="26">
        <f>IFERROR(__xludf.DUMMYFUNCTION("""COMPUTED_VALUE"""),2.0)</f>
        <v>2</v>
      </c>
      <c r="F347" s="26"/>
      <c r="G347" s="26" t="str">
        <f t="shared" si="2"/>
        <v>#N/A</v>
      </c>
      <c r="H347" s="26" t="str">
        <f t="shared" si="3"/>
        <v>#N/A</v>
      </c>
    </row>
    <row r="348">
      <c r="A348" s="2" t="str">
        <f>IFERROR(__xludf.DUMMYFUNCTION("""COMPUTED_VALUE"""),"SC-Black (4Q)")</f>
        <v>SC-Black (4Q)</v>
      </c>
      <c r="B348" s="2" t="str">
        <f>IFERROR(__xludf.DUMMYFUNCTION("""COMPUTED_VALUE"""),"CRM-SC-BLACK-TS-4Q")</f>
        <v>CRM-SC-BLACK-TS-4Q</v>
      </c>
      <c r="C348" s="26">
        <f>IFERROR(__xludf.DUMMYFUNCTION("""COMPUTED_VALUE"""),2.0)</f>
        <v>2</v>
      </c>
      <c r="F348" s="26"/>
      <c r="G348" s="26" t="str">
        <f t="shared" si="2"/>
        <v>#N/A</v>
      </c>
      <c r="H348" s="26" t="str">
        <f t="shared" si="3"/>
        <v>#N/A</v>
      </c>
    </row>
    <row r="349">
      <c r="A349" s="2" t="str">
        <f>IFERROR(__xludf.DUMMYFUNCTION("""COMPUTED_VALUE"""),"SC-TS (4Q)")</f>
        <v>SC-TS (4Q)</v>
      </c>
      <c r="B349" s="2" t="str">
        <f>IFERROR(__xludf.DUMMYFUNCTION("""COMPUTED_VALUE"""),"CRM-SC-TS-4Q")</f>
        <v>CRM-SC-TS-4Q</v>
      </c>
      <c r="C349" s="26">
        <f>IFERROR(__xludf.DUMMYFUNCTION("""COMPUTED_VALUE"""),8.0)</f>
        <v>8</v>
      </c>
      <c r="F349" s="26"/>
      <c r="G349" s="26" t="str">
        <f t="shared" si="2"/>
        <v>#N/A</v>
      </c>
      <c r="H349" s="26" t="str">
        <f t="shared" si="3"/>
        <v>#N/A</v>
      </c>
    </row>
    <row r="350">
      <c r="A350" s="2" t="str">
        <f>IFERROR(__xludf.DUMMYFUNCTION("""COMPUTED_VALUE"""),"SC-TS (4Q)")</f>
        <v>SC-TS (4Q)</v>
      </c>
      <c r="B350" s="2" t="str">
        <f>IFERROR(__xludf.DUMMYFUNCTION("""COMPUTED_VALUE"""),"CRM-SC-TS-4Q")</f>
        <v>CRM-SC-TS-4Q</v>
      </c>
      <c r="C350" s="26">
        <f>IFERROR(__xludf.DUMMYFUNCTION("""COMPUTED_VALUE"""),2.0)</f>
        <v>2</v>
      </c>
      <c r="F350" s="26"/>
      <c r="G350" s="26" t="str">
        <f t="shared" si="2"/>
        <v>#N/A</v>
      </c>
      <c r="H350" s="26" t="str">
        <f t="shared" si="3"/>
        <v>#N/A</v>
      </c>
    </row>
    <row r="351">
      <c r="A351" s="2" t="str">
        <f>IFERROR(__xludf.DUMMYFUNCTION("""COMPUTED_VALUE"""),"SC-TS (4Q)")</f>
        <v>SC-TS (4Q)</v>
      </c>
      <c r="B351" s="2" t="str">
        <f>IFERROR(__xludf.DUMMYFUNCTION("""COMPUTED_VALUE"""),"CRM-SC-TS-4Q")</f>
        <v>CRM-SC-TS-4Q</v>
      </c>
      <c r="C351" s="26">
        <f>IFERROR(__xludf.DUMMYFUNCTION("""COMPUTED_VALUE"""),2.0)</f>
        <v>2</v>
      </c>
      <c r="F351" s="26"/>
      <c r="G351" s="26" t="str">
        <f t="shared" si="2"/>
        <v>#N/A</v>
      </c>
      <c r="H351" s="26" t="str">
        <f t="shared" si="3"/>
        <v>#N/A</v>
      </c>
    </row>
    <row r="352">
      <c r="A352" s="2" t="str">
        <f>IFERROR(__xludf.DUMMYFUNCTION("""COMPUTED_VALUE"""),"SC-TS (4Q)")</f>
        <v>SC-TS (4Q)</v>
      </c>
      <c r="B352" s="2" t="str">
        <f>IFERROR(__xludf.DUMMYFUNCTION("""COMPUTED_VALUE"""),"CRM-SC-TS-4Q")</f>
        <v>CRM-SC-TS-4Q</v>
      </c>
      <c r="C352" s="26">
        <f>IFERROR(__xludf.DUMMYFUNCTION("""COMPUTED_VALUE"""),4.0)</f>
        <v>4</v>
      </c>
      <c r="F352" s="26"/>
      <c r="G352" s="26" t="str">
        <f t="shared" si="2"/>
        <v>#N/A</v>
      </c>
      <c r="H352" s="26" t="str">
        <f t="shared" si="3"/>
        <v>#N/A</v>
      </c>
    </row>
    <row r="353">
      <c r="A353" s="2" t="str">
        <f>IFERROR(__xludf.DUMMYFUNCTION("""COMPUTED_VALUE"""),"SC-TS (4Q)")</f>
        <v>SC-TS (4Q)</v>
      </c>
      <c r="B353" s="2" t="str">
        <f>IFERROR(__xludf.DUMMYFUNCTION("""COMPUTED_VALUE"""),"CRM-SC-TS-4Q")</f>
        <v>CRM-SC-TS-4Q</v>
      </c>
      <c r="C353" s="26">
        <f>IFERROR(__xludf.DUMMYFUNCTION("""COMPUTED_VALUE"""),2.0)</f>
        <v>2</v>
      </c>
      <c r="F353" s="26"/>
      <c r="G353" s="26" t="str">
        <f t="shared" si="2"/>
        <v>#N/A</v>
      </c>
      <c r="H353" s="26" t="str">
        <f t="shared" si="3"/>
        <v>#N/A</v>
      </c>
    </row>
    <row r="354">
      <c r="A354" s="2" t="str">
        <f>IFERROR(__xludf.DUMMYFUNCTION("""COMPUTED_VALUE"""),"SC-TS (4Q)")</f>
        <v>SC-TS (4Q)</v>
      </c>
      <c r="B354" s="2" t="str">
        <f>IFERROR(__xludf.DUMMYFUNCTION("""COMPUTED_VALUE"""),"CRM-SC-TS-4Q")</f>
        <v>CRM-SC-TS-4Q</v>
      </c>
      <c r="C354" s="26">
        <f>IFERROR(__xludf.DUMMYFUNCTION("""COMPUTED_VALUE"""),4.0)</f>
        <v>4</v>
      </c>
      <c r="F354" s="26"/>
      <c r="G354" s="26" t="str">
        <f t="shared" si="2"/>
        <v>#N/A</v>
      </c>
      <c r="H354" s="26" t="str">
        <f t="shared" si="3"/>
        <v>#N/A</v>
      </c>
    </row>
    <row r="355">
      <c r="A355" s="2" t="str">
        <f>IFERROR(__xludf.DUMMYFUNCTION("""COMPUTED_VALUE"""),"Cubes-Grey (3Q)")</f>
        <v>Cubes-Grey (3Q)</v>
      </c>
      <c r="B355" s="2" t="str">
        <f>IFERROR(__xludf.DUMMYFUNCTION("""COMPUTED_VALUE"""),"CRM-Cube1-Grey-Pack3-1")</f>
        <v>CRM-Cube1-Grey-Pack3-1</v>
      </c>
      <c r="C355" s="26">
        <f>IFERROR(__xludf.DUMMYFUNCTION("""COMPUTED_VALUE"""),8.0)</f>
        <v>8</v>
      </c>
      <c r="F355" s="26"/>
      <c r="G355" s="26" t="str">
        <f t="shared" si="2"/>
        <v>#N/A</v>
      </c>
      <c r="H355" s="26" t="str">
        <f t="shared" si="3"/>
        <v>#N/A</v>
      </c>
    </row>
    <row r="356">
      <c r="A356" s="2" t="str">
        <f>IFERROR(__xludf.DUMMYFUNCTION("""COMPUTED_VALUE"""),"Cubes-Grey (3Q)")</f>
        <v>Cubes-Grey (3Q)</v>
      </c>
      <c r="B356" s="2" t="str">
        <f>IFERROR(__xludf.DUMMYFUNCTION("""COMPUTED_VALUE"""),"CRM-Cube1-Grey-Pack3-1")</f>
        <v>CRM-Cube1-Grey-Pack3-1</v>
      </c>
      <c r="C356" s="26">
        <f>IFERROR(__xludf.DUMMYFUNCTION("""COMPUTED_VALUE"""),24.0)</f>
        <v>24</v>
      </c>
      <c r="F356" s="26"/>
      <c r="G356" s="26" t="str">
        <f t="shared" si="2"/>
        <v>#N/A</v>
      </c>
      <c r="H356" s="26" t="str">
        <f t="shared" si="3"/>
        <v>#N/A</v>
      </c>
    </row>
    <row r="357">
      <c r="A357" s="2" t="str">
        <f>IFERROR(__xludf.DUMMYFUNCTION("""COMPUTED_VALUE"""),"Cubes-Grey (3Q)")</f>
        <v>Cubes-Grey (3Q)</v>
      </c>
      <c r="B357" s="2" t="str">
        <f>IFERROR(__xludf.DUMMYFUNCTION("""COMPUTED_VALUE"""),"CRM-Cube1-Grey-Pack3-1")</f>
        <v>CRM-Cube1-Grey-Pack3-1</v>
      </c>
      <c r="C357" s="26">
        <f>IFERROR(__xludf.DUMMYFUNCTION("""COMPUTED_VALUE"""),2.0)</f>
        <v>2</v>
      </c>
      <c r="F357" s="26"/>
      <c r="G357" s="26" t="str">
        <f t="shared" si="2"/>
        <v>#N/A</v>
      </c>
      <c r="H357" s="26" t="str">
        <f t="shared" si="3"/>
        <v>#N/A</v>
      </c>
    </row>
    <row r="358">
      <c r="A358" s="2" t="str">
        <f>IFERROR(__xludf.DUMMYFUNCTION("""COMPUTED_VALUE"""),"Cubes-Grey (3Q)")</f>
        <v>Cubes-Grey (3Q)</v>
      </c>
      <c r="B358" s="2" t="str">
        <f>IFERROR(__xludf.DUMMYFUNCTION("""COMPUTED_VALUE"""),"CRM-Cube1-Grey-Pack3-1")</f>
        <v>CRM-Cube1-Grey-Pack3-1</v>
      </c>
      <c r="C358" s="26">
        <f>IFERROR(__xludf.DUMMYFUNCTION("""COMPUTED_VALUE"""),22.0)</f>
        <v>22</v>
      </c>
      <c r="F358" s="26"/>
      <c r="G358" s="26" t="str">
        <f t="shared" si="2"/>
        <v>#N/A</v>
      </c>
      <c r="H358" s="26" t="str">
        <f t="shared" si="3"/>
        <v>#N/A</v>
      </c>
    </row>
    <row r="359">
      <c r="A359" s="2" t="str">
        <f>IFERROR(__xludf.DUMMYFUNCTION("""COMPUTED_VALUE"""),"Cubes-Grey (3Q)")</f>
        <v>Cubes-Grey (3Q)</v>
      </c>
      <c r="B359" s="2" t="str">
        <f>IFERROR(__xludf.DUMMYFUNCTION("""COMPUTED_VALUE"""),"CRM-Cube1-Grey-Pack3-1")</f>
        <v>CRM-Cube1-Grey-Pack3-1</v>
      </c>
      <c r="C359" s="26">
        <f>IFERROR(__xludf.DUMMYFUNCTION("""COMPUTED_VALUE"""),50.0)</f>
        <v>50</v>
      </c>
      <c r="F359" s="26"/>
      <c r="G359" s="26" t="str">
        <f t="shared" si="2"/>
        <v>#N/A</v>
      </c>
      <c r="H359" s="26" t="str">
        <f t="shared" si="3"/>
        <v>#N/A</v>
      </c>
    </row>
    <row r="360">
      <c r="A360" s="2" t="str">
        <f>IFERROR(__xludf.DUMMYFUNCTION("""COMPUTED_VALUE"""),"Cubes-Grey (3Q)")</f>
        <v>Cubes-Grey (3Q)</v>
      </c>
      <c r="B360" s="2" t="str">
        <f>IFERROR(__xludf.DUMMYFUNCTION("""COMPUTED_VALUE"""),"CRM-Cube1-Grey-Pack3-1")</f>
        <v>CRM-Cube1-Grey-Pack3-1</v>
      </c>
      <c r="C360" s="26">
        <f>IFERROR(__xludf.DUMMYFUNCTION("""COMPUTED_VALUE"""),22.0)</f>
        <v>22</v>
      </c>
      <c r="F360" s="26"/>
      <c r="G360" s="26" t="str">
        <f t="shared" si="2"/>
        <v>#N/A</v>
      </c>
      <c r="H360" s="26" t="str">
        <f t="shared" si="3"/>
        <v>#N/A</v>
      </c>
    </row>
    <row r="361">
      <c r="A361" s="2" t="str">
        <f>IFERROR(__xludf.DUMMYFUNCTION("""COMPUTED_VALUE"""),"Cubes-Grey (3Q)")</f>
        <v>Cubes-Grey (3Q)</v>
      </c>
      <c r="B361" s="2" t="str">
        <f>IFERROR(__xludf.DUMMYFUNCTION("""COMPUTED_VALUE"""),"CRM-Cube1-Grey-Pack3-1")</f>
        <v>CRM-Cube1-Grey-Pack3-1</v>
      </c>
      <c r="C361" s="26">
        <f>IFERROR(__xludf.DUMMYFUNCTION("""COMPUTED_VALUE"""),10.0)</f>
        <v>10</v>
      </c>
      <c r="F361" s="26"/>
      <c r="G361" s="26" t="str">
        <f t="shared" si="2"/>
        <v>#N/A</v>
      </c>
      <c r="H361" s="26" t="str">
        <f t="shared" si="3"/>
        <v>#N/A</v>
      </c>
    </row>
    <row r="362">
      <c r="A362" s="2" t="str">
        <f>IFERROR(__xludf.DUMMYFUNCTION("""COMPUTED_VALUE"""),"Cubes-Grey (3Q)")</f>
        <v>Cubes-Grey (3Q)</v>
      </c>
      <c r="B362" s="2" t="str">
        <f>IFERROR(__xludf.DUMMYFUNCTION("""COMPUTED_VALUE"""),"CRM-Cube1-Grey-Pack3-1")</f>
        <v>CRM-Cube1-Grey-Pack3-1</v>
      </c>
      <c r="C362" s="26">
        <f>IFERROR(__xludf.DUMMYFUNCTION("""COMPUTED_VALUE"""),42.0)</f>
        <v>42</v>
      </c>
      <c r="F362" s="26"/>
      <c r="G362" s="26" t="str">
        <f t="shared" si="2"/>
        <v>#N/A</v>
      </c>
      <c r="H362" s="26" t="str">
        <f t="shared" si="3"/>
        <v>#N/A</v>
      </c>
    </row>
    <row r="363">
      <c r="A363" s="2" t="str">
        <f>IFERROR(__xludf.DUMMYFUNCTION("""COMPUTED_VALUE"""),"Cubes-Grey (3Q)")</f>
        <v>Cubes-Grey (3Q)</v>
      </c>
      <c r="B363" s="2" t="str">
        <f>IFERROR(__xludf.DUMMYFUNCTION("""COMPUTED_VALUE"""),"CRM-Cube1-Grey-Pack3-1")</f>
        <v>CRM-Cube1-Grey-Pack3-1</v>
      </c>
      <c r="C363" s="26">
        <f>IFERROR(__xludf.DUMMYFUNCTION("""COMPUTED_VALUE"""),28.0)</f>
        <v>28</v>
      </c>
      <c r="F363" s="26"/>
      <c r="G363" s="26" t="str">
        <f t="shared" si="2"/>
        <v>#N/A</v>
      </c>
      <c r="H363" s="26" t="str">
        <f t="shared" si="3"/>
        <v>#N/A</v>
      </c>
    </row>
    <row r="364">
      <c r="C364" s="26"/>
      <c r="F364" s="26"/>
      <c r="G364" s="26" t="str">
        <f t="shared" si="2"/>
        <v>#N/A</v>
      </c>
      <c r="H364" s="26" t="str">
        <f t="shared" si="3"/>
        <v>#N/A</v>
      </c>
    </row>
    <row r="365">
      <c r="C365" s="26"/>
      <c r="F365" s="26"/>
      <c r="G365" s="26" t="str">
        <f t="shared" si="2"/>
        <v>#N/A</v>
      </c>
      <c r="H365" s="26" t="str">
        <f t="shared" si="3"/>
        <v>#N/A</v>
      </c>
    </row>
    <row r="366">
      <c r="C366" s="26"/>
      <c r="F366" s="26"/>
      <c r="G366" s="26" t="str">
        <f t="shared" si="2"/>
        <v>#N/A</v>
      </c>
      <c r="H366" s="26" t="str">
        <f t="shared" si="3"/>
        <v>#N/A</v>
      </c>
    </row>
    <row r="367">
      <c r="C367" s="26"/>
      <c r="F367" s="26"/>
      <c r="G367" s="26" t="str">
        <f t="shared" si="2"/>
        <v>#N/A</v>
      </c>
      <c r="H367" s="26" t="str">
        <f t="shared" si="3"/>
        <v>#N/A</v>
      </c>
    </row>
    <row r="368">
      <c r="C368" s="26"/>
      <c r="F368" s="26"/>
      <c r="G368" s="26" t="str">
        <f t="shared" si="2"/>
        <v>#N/A</v>
      </c>
      <c r="H368" s="26" t="str">
        <f t="shared" si="3"/>
        <v>#N/A</v>
      </c>
    </row>
    <row r="369">
      <c r="C369" s="26"/>
      <c r="F369" s="26"/>
      <c r="G369" s="26" t="str">
        <f t="shared" si="2"/>
        <v>#N/A</v>
      </c>
      <c r="H369" s="26" t="str">
        <f t="shared" si="3"/>
        <v>#N/A</v>
      </c>
    </row>
    <row r="370">
      <c r="C370" s="26"/>
      <c r="F370" s="26"/>
      <c r="G370" s="26" t="str">
        <f t="shared" si="2"/>
        <v>#N/A</v>
      </c>
      <c r="H370" s="26" t="str">
        <f t="shared" si="3"/>
        <v>#N/A</v>
      </c>
    </row>
    <row r="371">
      <c r="C371" s="26"/>
      <c r="F371" s="26"/>
      <c r="G371" s="26" t="str">
        <f t="shared" si="2"/>
        <v>#N/A</v>
      </c>
      <c r="H371" s="26" t="str">
        <f t="shared" si="3"/>
        <v>#N/A</v>
      </c>
    </row>
    <row r="372">
      <c r="C372" s="26"/>
      <c r="F372" s="26"/>
      <c r="G372" s="26" t="str">
        <f t="shared" si="2"/>
        <v>#N/A</v>
      </c>
      <c r="H372" s="26" t="str">
        <f t="shared" si="3"/>
        <v>#N/A</v>
      </c>
    </row>
    <row r="373">
      <c r="C373" s="26"/>
      <c r="F373" s="26"/>
      <c r="G373" s="26" t="str">
        <f t="shared" si="2"/>
        <v>#N/A</v>
      </c>
      <c r="H373" s="26" t="str">
        <f t="shared" si="3"/>
        <v>#N/A</v>
      </c>
    </row>
    <row r="374">
      <c r="C374" s="26"/>
      <c r="F374" s="26"/>
      <c r="G374" s="26" t="str">
        <f t="shared" si="2"/>
        <v>#N/A</v>
      </c>
      <c r="H374" s="26" t="str">
        <f t="shared" si="3"/>
        <v>#N/A</v>
      </c>
    </row>
    <row r="375">
      <c r="C375" s="26"/>
      <c r="F375" s="26"/>
      <c r="G375" s="26" t="str">
        <f t="shared" si="2"/>
        <v>#N/A</v>
      </c>
      <c r="H375" s="26" t="str">
        <f t="shared" si="3"/>
        <v>#N/A</v>
      </c>
    </row>
    <row r="376">
      <c r="C376" s="26"/>
      <c r="F376" s="26"/>
      <c r="G376" s="26" t="str">
        <f t="shared" si="2"/>
        <v>#N/A</v>
      </c>
      <c r="H376" s="26" t="str">
        <f t="shared" si="3"/>
        <v>#N/A</v>
      </c>
    </row>
    <row r="377">
      <c r="C377" s="26"/>
      <c r="F377" s="26"/>
      <c r="G377" s="26" t="str">
        <f t="shared" si="2"/>
        <v>#N/A</v>
      </c>
      <c r="H377" s="26" t="str">
        <f t="shared" si="3"/>
        <v>#N/A</v>
      </c>
    </row>
    <row r="378">
      <c r="C378" s="26"/>
      <c r="F378" s="26"/>
      <c r="G378" s="26" t="str">
        <f t="shared" si="2"/>
        <v>#N/A</v>
      </c>
      <c r="H378" s="26" t="str">
        <f t="shared" si="3"/>
        <v>#N/A</v>
      </c>
    </row>
    <row r="379">
      <c r="C379" s="26"/>
      <c r="F379" s="26"/>
      <c r="G379" s="26" t="str">
        <f t="shared" si="2"/>
        <v>#N/A</v>
      </c>
      <c r="H379" s="26" t="str">
        <f t="shared" si="3"/>
        <v>#N/A</v>
      </c>
    </row>
    <row r="380">
      <c r="C380" s="26"/>
      <c r="F380" s="26"/>
      <c r="G380" s="26" t="str">
        <f t="shared" si="2"/>
        <v>#N/A</v>
      </c>
      <c r="H380" s="26" t="str">
        <f t="shared" si="3"/>
        <v>#N/A</v>
      </c>
    </row>
    <row r="381">
      <c r="C381" s="26"/>
      <c r="F381" s="26"/>
      <c r="G381" s="26" t="str">
        <f t="shared" si="2"/>
        <v>#N/A</v>
      </c>
      <c r="H381" s="26" t="str">
        <f t="shared" si="3"/>
        <v>#N/A</v>
      </c>
    </row>
    <row r="382">
      <c r="C382" s="26"/>
      <c r="F382" s="26"/>
      <c r="G382" s="26" t="str">
        <f t="shared" si="2"/>
        <v>#N/A</v>
      </c>
      <c r="H382" s="26" t="str">
        <f t="shared" si="3"/>
        <v>#N/A</v>
      </c>
    </row>
    <row r="383">
      <c r="C383" s="26"/>
      <c r="F383" s="26"/>
      <c r="G383" s="26" t="str">
        <f t="shared" si="2"/>
        <v>#N/A</v>
      </c>
      <c r="H383" s="26" t="str">
        <f t="shared" si="3"/>
        <v>#N/A</v>
      </c>
    </row>
    <row r="384">
      <c r="C384" s="26"/>
      <c r="F384" s="26"/>
      <c r="G384" s="26" t="str">
        <f t="shared" si="2"/>
        <v>#N/A</v>
      </c>
      <c r="H384" s="26" t="str">
        <f t="shared" si="3"/>
        <v>#N/A</v>
      </c>
    </row>
    <row r="385">
      <c r="C385" s="26"/>
      <c r="F385" s="26"/>
      <c r="G385" s="26" t="str">
        <f t="shared" si="2"/>
        <v>#N/A</v>
      </c>
      <c r="H385" s="26" t="str">
        <f t="shared" si="3"/>
        <v>#N/A</v>
      </c>
    </row>
    <row r="386">
      <c r="C386" s="26"/>
      <c r="F386" s="26"/>
      <c r="G386" s="26" t="str">
        <f t="shared" si="2"/>
        <v>#N/A</v>
      </c>
      <c r="H386" s="26" t="str">
        <f t="shared" si="3"/>
        <v>#N/A</v>
      </c>
    </row>
    <row r="387">
      <c r="C387" s="26"/>
      <c r="F387" s="26"/>
      <c r="G387" s="26" t="str">
        <f t="shared" si="2"/>
        <v>#N/A</v>
      </c>
      <c r="H387" s="26" t="str">
        <f t="shared" si="3"/>
        <v>#N/A</v>
      </c>
    </row>
    <row r="388">
      <c r="C388" s="26"/>
      <c r="F388" s="26"/>
      <c r="G388" s="26" t="str">
        <f t="shared" si="2"/>
        <v>#N/A</v>
      </c>
      <c r="H388" s="26" t="str">
        <f t="shared" si="3"/>
        <v>#N/A</v>
      </c>
    </row>
    <row r="389">
      <c r="C389" s="26"/>
      <c r="F389" s="26"/>
      <c r="G389" s="26" t="str">
        <f t="shared" si="2"/>
        <v>#N/A</v>
      </c>
      <c r="H389" s="26" t="str">
        <f t="shared" si="3"/>
        <v>#N/A</v>
      </c>
    </row>
    <row r="390">
      <c r="C390" s="26"/>
      <c r="F390" s="26"/>
      <c r="G390" s="26" t="str">
        <f t="shared" si="2"/>
        <v>#N/A</v>
      </c>
      <c r="H390" s="26" t="str">
        <f t="shared" si="3"/>
        <v>#N/A</v>
      </c>
    </row>
    <row r="391">
      <c r="C391" s="26"/>
      <c r="F391" s="26"/>
      <c r="G391" s="26" t="str">
        <f t="shared" si="2"/>
        <v>#N/A</v>
      </c>
      <c r="H391" s="26" t="str">
        <f t="shared" si="3"/>
        <v>#N/A</v>
      </c>
    </row>
    <row r="392">
      <c r="C392" s="26"/>
      <c r="F392" s="26"/>
      <c r="G392" s="26" t="str">
        <f t="shared" si="2"/>
        <v>#N/A</v>
      </c>
      <c r="H392" s="26" t="str">
        <f t="shared" si="3"/>
        <v>#N/A</v>
      </c>
    </row>
    <row r="393">
      <c r="C393" s="26"/>
      <c r="F393" s="26"/>
      <c r="G393" s="26" t="str">
        <f t="shared" si="2"/>
        <v>#N/A</v>
      </c>
      <c r="H393" s="26" t="str">
        <f t="shared" si="3"/>
        <v>#N/A</v>
      </c>
    </row>
    <row r="394">
      <c r="C394" s="26"/>
      <c r="F394" s="26"/>
      <c r="G394" s="26" t="str">
        <f t="shared" si="2"/>
        <v>#N/A</v>
      </c>
      <c r="H394" s="26" t="str">
        <f t="shared" si="3"/>
        <v>#N/A</v>
      </c>
    </row>
    <row r="395">
      <c r="C395" s="26"/>
      <c r="F395" s="26"/>
      <c r="G395" s="26" t="str">
        <f t="shared" si="2"/>
        <v>#N/A</v>
      </c>
      <c r="H395" s="26" t="str">
        <f t="shared" si="3"/>
        <v>#N/A</v>
      </c>
    </row>
    <row r="396">
      <c r="C396" s="26"/>
      <c r="F396" s="26"/>
      <c r="G396" s="26" t="str">
        <f t="shared" si="2"/>
        <v>#N/A</v>
      </c>
      <c r="H396" s="26" t="str">
        <f t="shared" si="3"/>
        <v>#N/A</v>
      </c>
    </row>
    <row r="397">
      <c r="C397" s="26"/>
      <c r="F397" s="26"/>
      <c r="G397" s="26" t="str">
        <f t="shared" si="2"/>
        <v>#N/A</v>
      </c>
      <c r="H397" s="26" t="str">
        <f t="shared" si="3"/>
        <v>#N/A</v>
      </c>
    </row>
    <row r="398">
      <c r="C398" s="26"/>
      <c r="F398" s="26"/>
      <c r="G398" s="26" t="str">
        <f t="shared" si="2"/>
        <v>#N/A</v>
      </c>
      <c r="H398" s="26" t="str">
        <f t="shared" si="3"/>
        <v>#N/A</v>
      </c>
    </row>
    <row r="399">
      <c r="C399" s="26"/>
      <c r="F399" s="26"/>
      <c r="G399" s="26" t="str">
        <f t="shared" si="2"/>
        <v>#N/A</v>
      </c>
      <c r="H399" s="26" t="str">
        <f t="shared" si="3"/>
        <v>#N/A</v>
      </c>
    </row>
    <row r="400">
      <c r="C400" s="26"/>
      <c r="F400" s="26"/>
      <c r="G400" s="26" t="str">
        <f t="shared" si="2"/>
        <v>#N/A</v>
      </c>
      <c r="H400" s="26" t="str">
        <f t="shared" si="3"/>
        <v>#N/A</v>
      </c>
    </row>
    <row r="401">
      <c r="C401" s="26"/>
      <c r="F401" s="26"/>
      <c r="G401" s="26" t="str">
        <f t="shared" si="2"/>
        <v>#N/A</v>
      </c>
      <c r="H401" s="26" t="str">
        <f t="shared" si="3"/>
        <v>#N/A</v>
      </c>
    </row>
    <row r="402">
      <c r="C402" s="26"/>
      <c r="F402" s="26"/>
      <c r="G402" s="26" t="str">
        <f t="shared" si="2"/>
        <v>#N/A</v>
      </c>
      <c r="H402" s="26" t="str">
        <f t="shared" si="3"/>
        <v>#N/A</v>
      </c>
    </row>
    <row r="403">
      <c r="C403" s="26"/>
      <c r="F403" s="26"/>
      <c r="G403" s="26" t="str">
        <f t="shared" si="2"/>
        <v>#N/A</v>
      </c>
      <c r="H403" s="26" t="str">
        <f t="shared" si="3"/>
        <v>#N/A</v>
      </c>
    </row>
    <row r="404">
      <c r="C404" s="26"/>
      <c r="F404" s="26"/>
      <c r="G404" s="26" t="str">
        <f t="shared" si="2"/>
        <v>#N/A</v>
      </c>
      <c r="H404" s="26" t="str">
        <f t="shared" si="3"/>
        <v>#N/A</v>
      </c>
    </row>
    <row r="405">
      <c r="C405" s="26"/>
      <c r="F405" s="26"/>
      <c r="G405" s="26" t="str">
        <f t="shared" si="2"/>
        <v>#N/A</v>
      </c>
      <c r="H405" s="26" t="str">
        <f t="shared" si="3"/>
        <v>#N/A</v>
      </c>
    </row>
    <row r="406">
      <c r="C406" s="26"/>
      <c r="F406" s="26"/>
      <c r="G406" s="26" t="str">
        <f t="shared" si="2"/>
        <v>#N/A</v>
      </c>
      <c r="H406" s="26" t="str">
        <f t="shared" si="3"/>
        <v>#N/A</v>
      </c>
    </row>
    <row r="407">
      <c r="C407" s="26"/>
      <c r="F407" s="26"/>
      <c r="G407" s="26" t="str">
        <f t="shared" si="2"/>
        <v>#N/A</v>
      </c>
      <c r="H407" s="26" t="str">
        <f t="shared" si="3"/>
        <v>#N/A</v>
      </c>
    </row>
    <row r="408">
      <c r="C408" s="26"/>
      <c r="F408" s="26"/>
      <c r="G408" s="26" t="str">
        <f t="shared" si="2"/>
        <v>#N/A</v>
      </c>
      <c r="H408" s="26" t="str">
        <f t="shared" si="3"/>
        <v>#N/A</v>
      </c>
    </row>
    <row r="409">
      <c r="C409" s="26"/>
      <c r="F409" s="26"/>
      <c r="G409" s="26" t="str">
        <f t="shared" si="2"/>
        <v>#N/A</v>
      </c>
      <c r="H409" s="26" t="str">
        <f t="shared" si="3"/>
        <v>#N/A</v>
      </c>
    </row>
    <row r="410">
      <c r="C410" s="26"/>
      <c r="F410" s="26"/>
      <c r="G410" s="26" t="str">
        <f t="shared" si="2"/>
        <v>#N/A</v>
      </c>
      <c r="H410" s="26" t="str">
        <f t="shared" si="3"/>
        <v>#N/A</v>
      </c>
    </row>
    <row r="411">
      <c r="C411" s="26"/>
      <c r="F411" s="26"/>
      <c r="G411" s="26" t="str">
        <f t="shared" si="2"/>
        <v>#N/A</v>
      </c>
      <c r="H411" s="26" t="str">
        <f t="shared" si="3"/>
        <v>#N/A</v>
      </c>
    </row>
    <row r="412">
      <c r="C412" s="26"/>
      <c r="F412" s="26"/>
      <c r="G412" s="26" t="str">
        <f t="shared" si="2"/>
        <v>#N/A</v>
      </c>
      <c r="H412" s="26" t="str">
        <f t="shared" si="3"/>
        <v>#N/A</v>
      </c>
    </row>
    <row r="413">
      <c r="C413" s="26"/>
      <c r="F413" s="26"/>
      <c r="G413" s="26" t="str">
        <f t="shared" si="2"/>
        <v>#N/A</v>
      </c>
      <c r="H413" s="26" t="str">
        <f t="shared" si="3"/>
        <v>#N/A</v>
      </c>
    </row>
    <row r="414">
      <c r="C414" s="26"/>
      <c r="F414" s="26"/>
      <c r="G414" s="26" t="str">
        <f t="shared" si="2"/>
        <v>#N/A</v>
      </c>
      <c r="H414" s="26" t="str">
        <f t="shared" si="3"/>
        <v>#N/A</v>
      </c>
    </row>
    <row r="415">
      <c r="C415" s="26"/>
      <c r="F415" s="26"/>
      <c r="G415" s="26" t="str">
        <f t="shared" si="2"/>
        <v>#N/A</v>
      </c>
      <c r="H415" s="26" t="str">
        <f t="shared" si="3"/>
        <v>#N/A</v>
      </c>
    </row>
    <row r="416">
      <c r="C416" s="26"/>
      <c r="F416" s="26"/>
      <c r="G416" s="26" t="str">
        <f t="shared" si="2"/>
        <v>#N/A</v>
      </c>
      <c r="H416" s="26" t="str">
        <f t="shared" si="3"/>
        <v>#N/A</v>
      </c>
    </row>
    <row r="417">
      <c r="C417" s="26"/>
      <c r="F417" s="26"/>
      <c r="G417" s="26" t="str">
        <f t="shared" si="2"/>
        <v>#N/A</v>
      </c>
      <c r="H417" s="26" t="str">
        <f t="shared" si="3"/>
        <v>#N/A</v>
      </c>
    </row>
    <row r="418">
      <c r="C418" s="26"/>
      <c r="F418" s="26"/>
      <c r="G418" s="26" t="str">
        <f t="shared" si="2"/>
        <v>#N/A</v>
      </c>
      <c r="H418" s="26" t="str">
        <f t="shared" si="3"/>
        <v>#N/A</v>
      </c>
    </row>
    <row r="419">
      <c r="C419" s="26"/>
      <c r="F419" s="26"/>
      <c r="G419" s="26" t="str">
        <f t="shared" si="2"/>
        <v>#N/A</v>
      </c>
      <c r="H419" s="26" t="str">
        <f t="shared" si="3"/>
        <v>#N/A</v>
      </c>
    </row>
    <row r="420">
      <c r="C420" s="26"/>
      <c r="F420" s="26"/>
      <c r="G420" s="26" t="str">
        <f t="shared" si="2"/>
        <v>#N/A</v>
      </c>
      <c r="H420" s="26" t="str">
        <f t="shared" si="3"/>
        <v>#N/A</v>
      </c>
    </row>
    <row r="421">
      <c r="C421" s="26"/>
      <c r="F421" s="26"/>
      <c r="G421" s="26" t="str">
        <f t="shared" si="2"/>
        <v>#N/A</v>
      </c>
      <c r="H421" s="26" t="str">
        <f t="shared" si="3"/>
        <v>#N/A</v>
      </c>
    </row>
    <row r="422">
      <c r="C422" s="26"/>
      <c r="F422" s="26"/>
      <c r="G422" s="26" t="str">
        <f t="shared" si="2"/>
        <v>#N/A</v>
      </c>
      <c r="H422" s="26" t="str">
        <f t="shared" si="3"/>
        <v>#N/A</v>
      </c>
    </row>
    <row r="423">
      <c r="C423" s="26"/>
      <c r="F423" s="26"/>
      <c r="G423" s="26" t="str">
        <f t="shared" si="2"/>
        <v>#N/A</v>
      </c>
      <c r="H423" s="26" t="str">
        <f t="shared" si="3"/>
        <v>#N/A</v>
      </c>
    </row>
    <row r="424">
      <c r="C424" s="26"/>
      <c r="F424" s="26"/>
      <c r="G424" s="26" t="str">
        <f t="shared" si="2"/>
        <v>#N/A</v>
      </c>
      <c r="H424" s="26" t="str">
        <f t="shared" si="3"/>
        <v>#N/A</v>
      </c>
    </row>
    <row r="425">
      <c r="C425" s="26"/>
      <c r="F425" s="26"/>
      <c r="G425" s="26" t="str">
        <f t="shared" si="2"/>
        <v>#N/A</v>
      </c>
      <c r="H425" s="26" t="str">
        <f t="shared" si="3"/>
        <v>#N/A</v>
      </c>
    </row>
    <row r="426">
      <c r="C426" s="26"/>
      <c r="F426" s="26"/>
      <c r="G426" s="26" t="str">
        <f t="shared" si="2"/>
        <v>#N/A</v>
      </c>
      <c r="H426" s="26" t="str">
        <f t="shared" si="3"/>
        <v>#N/A</v>
      </c>
    </row>
    <row r="427">
      <c r="C427" s="26"/>
      <c r="F427" s="26"/>
      <c r="G427" s="26" t="str">
        <f t="shared" si="2"/>
        <v>#N/A</v>
      </c>
      <c r="H427" s="26" t="str">
        <f t="shared" si="3"/>
        <v>#N/A</v>
      </c>
    </row>
    <row r="428">
      <c r="C428" s="26"/>
      <c r="F428" s="26"/>
      <c r="G428" s="26" t="str">
        <f t="shared" si="2"/>
        <v>#N/A</v>
      </c>
      <c r="H428" s="26" t="str">
        <f t="shared" si="3"/>
        <v>#N/A</v>
      </c>
    </row>
    <row r="429">
      <c r="C429" s="26"/>
      <c r="F429" s="26"/>
      <c r="G429" s="26" t="str">
        <f t="shared" si="2"/>
        <v>#N/A</v>
      </c>
      <c r="H429" s="26" t="str">
        <f t="shared" si="3"/>
        <v>#N/A</v>
      </c>
    </row>
    <row r="430">
      <c r="C430" s="26"/>
      <c r="F430" s="26"/>
      <c r="G430" s="26" t="str">
        <f t="shared" si="2"/>
        <v>#N/A</v>
      </c>
      <c r="H430" s="26" t="str">
        <f t="shared" si="3"/>
        <v>#N/A</v>
      </c>
    </row>
    <row r="431">
      <c r="C431" s="26"/>
      <c r="F431" s="26"/>
      <c r="G431" s="26" t="str">
        <f t="shared" si="2"/>
        <v>#N/A</v>
      </c>
      <c r="H431" s="26" t="str">
        <f t="shared" si="3"/>
        <v>#N/A</v>
      </c>
    </row>
    <row r="432">
      <c r="C432" s="26"/>
      <c r="F432" s="26"/>
      <c r="G432" s="26" t="str">
        <f t="shared" si="2"/>
        <v>#N/A</v>
      </c>
      <c r="H432" s="26" t="str">
        <f t="shared" si="3"/>
        <v>#N/A</v>
      </c>
    </row>
    <row r="433">
      <c r="C433" s="26"/>
      <c r="F433" s="26"/>
      <c r="G433" s="26" t="str">
        <f t="shared" si="2"/>
        <v>#N/A</v>
      </c>
      <c r="H433" s="26" t="str">
        <f t="shared" si="3"/>
        <v>#N/A</v>
      </c>
    </row>
    <row r="434">
      <c r="C434" s="26"/>
      <c r="F434" s="26"/>
      <c r="G434" s="26" t="str">
        <f t="shared" si="2"/>
        <v>#N/A</v>
      </c>
      <c r="H434" s="26" t="str">
        <f t="shared" si="3"/>
        <v>#N/A</v>
      </c>
    </row>
    <row r="435">
      <c r="C435" s="26"/>
      <c r="F435" s="26"/>
      <c r="G435" s="26" t="str">
        <f t="shared" si="2"/>
        <v>#N/A</v>
      </c>
      <c r="H435" s="26" t="str">
        <f t="shared" si="3"/>
        <v>#N/A</v>
      </c>
    </row>
    <row r="436">
      <c r="C436" s="26"/>
      <c r="F436" s="26"/>
      <c r="G436" s="26" t="str">
        <f t="shared" si="2"/>
        <v>#N/A</v>
      </c>
      <c r="H436" s="26" t="str">
        <f t="shared" si="3"/>
        <v>#N/A</v>
      </c>
    </row>
    <row r="437">
      <c r="C437" s="26"/>
      <c r="F437" s="26"/>
      <c r="G437" s="26" t="str">
        <f t="shared" si="2"/>
        <v>#N/A</v>
      </c>
      <c r="H437" s="26" t="str">
        <f t="shared" si="3"/>
        <v>#N/A</v>
      </c>
    </row>
    <row r="438">
      <c r="C438" s="26"/>
      <c r="F438" s="26"/>
      <c r="G438" s="26" t="str">
        <f t="shared" si="2"/>
        <v>#N/A</v>
      </c>
      <c r="H438" s="26" t="str">
        <f t="shared" si="3"/>
        <v>#N/A</v>
      </c>
    </row>
    <row r="439">
      <c r="C439" s="26"/>
      <c r="F439" s="26"/>
      <c r="G439" s="26" t="str">
        <f t="shared" si="2"/>
        <v>#N/A</v>
      </c>
      <c r="H439" s="26" t="str">
        <f t="shared" si="3"/>
        <v>#N/A</v>
      </c>
    </row>
    <row r="440">
      <c r="C440" s="26"/>
      <c r="F440" s="26"/>
      <c r="G440" s="26" t="str">
        <f t="shared" si="2"/>
        <v>#N/A</v>
      </c>
      <c r="H440" s="26" t="str">
        <f t="shared" si="3"/>
        <v>#N/A</v>
      </c>
    </row>
    <row r="441">
      <c r="C441" s="26"/>
      <c r="F441" s="26"/>
      <c r="G441" s="26" t="str">
        <f t="shared" si="2"/>
        <v>#N/A</v>
      </c>
      <c r="H441" s="26" t="str">
        <f t="shared" si="3"/>
        <v>#N/A</v>
      </c>
    </row>
    <row r="442">
      <c r="C442" s="26"/>
      <c r="F442" s="26"/>
      <c r="G442" s="26" t="str">
        <f t="shared" si="2"/>
        <v>#N/A</v>
      </c>
      <c r="H442" s="26" t="str">
        <f t="shared" si="3"/>
        <v>#N/A</v>
      </c>
    </row>
    <row r="443">
      <c r="C443" s="26"/>
      <c r="F443" s="26"/>
      <c r="G443" s="26" t="str">
        <f t="shared" si="2"/>
        <v>#N/A</v>
      </c>
      <c r="H443" s="26" t="str">
        <f t="shared" si="3"/>
        <v>#N/A</v>
      </c>
    </row>
    <row r="444">
      <c r="C444" s="26"/>
      <c r="F444" s="26"/>
      <c r="G444" s="26" t="str">
        <f t="shared" si="2"/>
        <v>#N/A</v>
      </c>
      <c r="H444" s="26" t="str">
        <f t="shared" si="3"/>
        <v>#N/A</v>
      </c>
    </row>
    <row r="445">
      <c r="C445" s="26"/>
      <c r="F445" s="26"/>
      <c r="G445" s="26" t="str">
        <f t="shared" si="2"/>
        <v>#N/A</v>
      </c>
      <c r="H445" s="26" t="str">
        <f t="shared" si="3"/>
        <v>#N/A</v>
      </c>
    </row>
    <row r="446">
      <c r="C446" s="26"/>
      <c r="F446" s="26"/>
      <c r="G446" s="26" t="str">
        <f t="shared" si="2"/>
        <v>#N/A</v>
      </c>
      <c r="H446" s="26" t="str">
        <f t="shared" si="3"/>
        <v>#N/A</v>
      </c>
    </row>
    <row r="447">
      <c r="C447" s="26"/>
      <c r="F447" s="26"/>
      <c r="G447" s="26" t="str">
        <f t="shared" si="2"/>
        <v>#N/A</v>
      </c>
      <c r="H447" s="26" t="str">
        <f t="shared" si="3"/>
        <v>#N/A</v>
      </c>
    </row>
    <row r="448">
      <c r="C448" s="26"/>
      <c r="F448" s="26"/>
      <c r="G448" s="26" t="str">
        <f t="shared" si="2"/>
        <v>#N/A</v>
      </c>
      <c r="H448" s="26" t="str">
        <f t="shared" si="3"/>
        <v>#N/A</v>
      </c>
    </row>
    <row r="449">
      <c r="C449" s="26"/>
      <c r="F449" s="26"/>
      <c r="G449" s="26" t="str">
        <f t="shared" si="2"/>
        <v>#N/A</v>
      </c>
      <c r="H449" s="26" t="str">
        <f t="shared" si="3"/>
        <v>#N/A</v>
      </c>
    </row>
    <row r="450">
      <c r="C450" s="26"/>
      <c r="F450" s="26"/>
      <c r="G450" s="26" t="str">
        <f t="shared" si="2"/>
        <v>#N/A</v>
      </c>
      <c r="H450" s="26" t="str">
        <f t="shared" si="3"/>
        <v>#N/A</v>
      </c>
    </row>
    <row r="451">
      <c r="C451" s="26"/>
      <c r="F451" s="26"/>
      <c r="G451" s="26" t="str">
        <f t="shared" si="2"/>
        <v>#N/A</v>
      </c>
      <c r="H451" s="26" t="str">
        <f t="shared" si="3"/>
        <v>#N/A</v>
      </c>
    </row>
    <row r="452">
      <c r="C452" s="26"/>
      <c r="F452" s="26"/>
      <c r="G452" s="26" t="str">
        <f t="shared" si="2"/>
        <v>#N/A</v>
      </c>
      <c r="H452" s="26" t="str">
        <f t="shared" si="3"/>
        <v>#N/A</v>
      </c>
    </row>
    <row r="453">
      <c r="C453" s="26"/>
      <c r="F453" s="26"/>
      <c r="G453" s="26" t="str">
        <f t="shared" si="2"/>
        <v>#N/A</v>
      </c>
      <c r="H453" s="26" t="str">
        <f t="shared" si="3"/>
        <v>#N/A</v>
      </c>
    </row>
    <row r="454">
      <c r="C454" s="26"/>
      <c r="F454" s="26"/>
      <c r="G454" s="26" t="str">
        <f t="shared" si="2"/>
        <v>#N/A</v>
      </c>
      <c r="H454" s="26" t="str">
        <f t="shared" si="3"/>
        <v>#N/A</v>
      </c>
    </row>
    <row r="455">
      <c r="C455" s="26"/>
      <c r="F455" s="26"/>
      <c r="G455" s="26" t="str">
        <f t="shared" si="2"/>
        <v>#N/A</v>
      </c>
      <c r="H455" s="26" t="str">
        <f t="shared" si="3"/>
        <v>#N/A</v>
      </c>
    </row>
    <row r="456">
      <c r="C456" s="26"/>
      <c r="F456" s="26"/>
      <c r="G456" s="26" t="str">
        <f t="shared" si="2"/>
        <v>#N/A</v>
      </c>
      <c r="H456" s="26" t="str">
        <f t="shared" si="3"/>
        <v>#N/A</v>
      </c>
    </row>
    <row r="457">
      <c r="C457" s="26"/>
      <c r="F457" s="26"/>
      <c r="G457" s="26" t="str">
        <f t="shared" si="2"/>
        <v>#N/A</v>
      </c>
      <c r="H457" s="26" t="str">
        <f t="shared" si="3"/>
        <v>#N/A</v>
      </c>
    </row>
    <row r="458">
      <c r="C458" s="26"/>
      <c r="F458" s="26"/>
      <c r="G458" s="26" t="str">
        <f t="shared" si="2"/>
        <v>#N/A</v>
      </c>
      <c r="H458" s="26" t="str">
        <f t="shared" si="3"/>
        <v>#N/A</v>
      </c>
    </row>
    <row r="459">
      <c r="C459" s="26"/>
      <c r="F459" s="26"/>
      <c r="G459" s="26" t="str">
        <f t="shared" si="2"/>
        <v>#N/A</v>
      </c>
      <c r="H459" s="26" t="str">
        <f t="shared" si="3"/>
        <v>#N/A</v>
      </c>
    </row>
    <row r="460">
      <c r="C460" s="26"/>
      <c r="F460" s="26"/>
      <c r="G460" s="26" t="str">
        <f t="shared" si="2"/>
        <v>#N/A</v>
      </c>
      <c r="H460" s="26" t="str">
        <f t="shared" si="3"/>
        <v>#N/A</v>
      </c>
    </row>
    <row r="461">
      <c r="C461" s="26"/>
      <c r="F461" s="26"/>
      <c r="G461" s="26" t="str">
        <f t="shared" si="2"/>
        <v>#N/A</v>
      </c>
      <c r="H461" s="26" t="str">
        <f t="shared" si="3"/>
        <v>#N/A</v>
      </c>
    </row>
    <row r="462">
      <c r="C462" s="26"/>
      <c r="F462" s="26"/>
      <c r="G462" s="26" t="str">
        <f t="shared" si="2"/>
        <v>#N/A</v>
      </c>
      <c r="H462" s="26" t="str">
        <f t="shared" si="3"/>
        <v>#N/A</v>
      </c>
    </row>
    <row r="463">
      <c r="C463" s="26"/>
      <c r="F463" s="26"/>
      <c r="G463" s="26" t="str">
        <f t="shared" si="2"/>
        <v>#N/A</v>
      </c>
      <c r="H463" s="26" t="str">
        <f t="shared" si="3"/>
        <v>#N/A</v>
      </c>
    </row>
    <row r="464">
      <c r="C464" s="26"/>
      <c r="F464" s="26"/>
      <c r="G464" s="26" t="str">
        <f t="shared" si="2"/>
        <v>#N/A</v>
      </c>
      <c r="H464" s="26" t="str">
        <f t="shared" si="3"/>
        <v>#N/A</v>
      </c>
    </row>
    <row r="465">
      <c r="C465" s="26"/>
      <c r="F465" s="26"/>
      <c r="G465" s="26" t="str">
        <f t="shared" si="2"/>
        <v>#N/A</v>
      </c>
      <c r="H465" s="26" t="str">
        <f t="shared" si="3"/>
        <v>#N/A</v>
      </c>
    </row>
    <row r="466">
      <c r="C466" s="26"/>
      <c r="F466" s="26"/>
      <c r="G466" s="26" t="str">
        <f t="shared" si="2"/>
        <v>#N/A</v>
      </c>
      <c r="H466" s="26" t="str">
        <f t="shared" si="3"/>
        <v>#N/A</v>
      </c>
    </row>
    <row r="467">
      <c r="C467" s="26"/>
      <c r="F467" s="26"/>
      <c r="G467" s="26" t="str">
        <f t="shared" si="2"/>
        <v>#N/A</v>
      </c>
      <c r="H467" s="26" t="str">
        <f t="shared" si="3"/>
        <v>#N/A</v>
      </c>
    </row>
    <row r="468">
      <c r="C468" s="26"/>
      <c r="F468" s="26"/>
      <c r="G468" s="26" t="str">
        <f t="shared" si="2"/>
        <v>#N/A</v>
      </c>
      <c r="H468" s="26" t="str">
        <f t="shared" si="3"/>
        <v>#N/A</v>
      </c>
    </row>
    <row r="469">
      <c r="C469" s="26"/>
      <c r="F469" s="26"/>
      <c r="G469" s="26" t="str">
        <f t="shared" si="2"/>
        <v>#N/A</v>
      </c>
      <c r="H469" s="26" t="str">
        <f t="shared" si="3"/>
        <v>#N/A</v>
      </c>
    </row>
    <row r="470">
      <c r="C470" s="26"/>
      <c r="F470" s="26"/>
      <c r="G470" s="26" t="str">
        <f t="shared" si="2"/>
        <v>#N/A</v>
      </c>
      <c r="H470" s="26" t="str">
        <f t="shared" si="3"/>
        <v>#N/A</v>
      </c>
    </row>
    <row r="471">
      <c r="C471" s="26"/>
      <c r="F471" s="26"/>
      <c r="G471" s="26" t="str">
        <f t="shared" si="2"/>
        <v>#N/A</v>
      </c>
      <c r="H471" s="26" t="str">
        <f t="shared" si="3"/>
        <v>#N/A</v>
      </c>
    </row>
    <row r="472">
      <c r="C472" s="26"/>
      <c r="F472" s="26"/>
      <c r="G472" s="26" t="str">
        <f t="shared" si="2"/>
        <v>#N/A</v>
      </c>
      <c r="H472" s="26" t="str">
        <f t="shared" si="3"/>
        <v>#N/A</v>
      </c>
    </row>
    <row r="473">
      <c r="C473" s="26"/>
      <c r="F473" s="26"/>
      <c r="G473" s="26" t="str">
        <f t="shared" si="2"/>
        <v>#N/A</v>
      </c>
      <c r="H473" s="26" t="str">
        <f t="shared" si="3"/>
        <v>#N/A</v>
      </c>
    </row>
    <row r="474">
      <c r="C474" s="26"/>
      <c r="F474" s="26"/>
      <c r="G474" s="26" t="str">
        <f t="shared" si="2"/>
        <v>#N/A</v>
      </c>
      <c r="H474" s="26" t="str">
        <f t="shared" si="3"/>
        <v>#N/A</v>
      </c>
    </row>
    <row r="475">
      <c r="C475" s="26"/>
      <c r="F475" s="26"/>
      <c r="G475" s="26" t="str">
        <f t="shared" si="2"/>
        <v>#N/A</v>
      </c>
      <c r="H475" s="26" t="str">
        <f t="shared" si="3"/>
        <v>#N/A</v>
      </c>
    </row>
    <row r="476">
      <c r="C476" s="26"/>
      <c r="F476" s="26"/>
      <c r="G476" s="26" t="str">
        <f t="shared" si="2"/>
        <v>#N/A</v>
      </c>
      <c r="H476" s="26" t="str">
        <f t="shared" si="3"/>
        <v>#N/A</v>
      </c>
    </row>
    <row r="477">
      <c r="C477" s="26"/>
      <c r="F477" s="26"/>
      <c r="G477" s="26" t="str">
        <f t="shared" si="2"/>
        <v>#N/A</v>
      </c>
      <c r="H477" s="26" t="str">
        <f t="shared" si="3"/>
        <v>#N/A</v>
      </c>
    </row>
    <row r="478">
      <c r="C478" s="26"/>
      <c r="F478" s="26"/>
      <c r="G478" s="26" t="str">
        <f t="shared" si="2"/>
        <v>#N/A</v>
      </c>
      <c r="H478" s="26" t="str">
        <f t="shared" si="3"/>
        <v>#N/A</v>
      </c>
    </row>
    <row r="479">
      <c r="C479" s="26"/>
      <c r="F479" s="26"/>
      <c r="G479" s="26" t="str">
        <f t="shared" si="2"/>
        <v>#N/A</v>
      </c>
      <c r="H479" s="26" t="str">
        <f t="shared" si="3"/>
        <v>#N/A</v>
      </c>
    </row>
    <row r="480">
      <c r="C480" s="26"/>
      <c r="F480" s="26"/>
      <c r="G480" s="26" t="str">
        <f t="shared" si="2"/>
        <v>#N/A</v>
      </c>
      <c r="H480" s="26" t="str">
        <f t="shared" si="3"/>
        <v>#N/A</v>
      </c>
    </row>
    <row r="481">
      <c r="C481" s="26"/>
      <c r="F481" s="26"/>
      <c r="G481" s="26" t="str">
        <f t="shared" si="2"/>
        <v>#N/A</v>
      </c>
      <c r="H481" s="26" t="str">
        <f t="shared" si="3"/>
        <v>#N/A</v>
      </c>
    </row>
    <row r="482">
      <c r="C482" s="26"/>
      <c r="F482" s="26"/>
      <c r="G482" s="26" t="str">
        <f t="shared" si="2"/>
        <v>#N/A</v>
      </c>
      <c r="H482" s="26" t="str">
        <f t="shared" si="3"/>
        <v>#N/A</v>
      </c>
    </row>
    <row r="483">
      <c r="C483" s="26"/>
      <c r="F483" s="26"/>
      <c r="G483" s="26" t="str">
        <f t="shared" si="2"/>
        <v>#N/A</v>
      </c>
      <c r="H483" s="26" t="str">
        <f t="shared" si="3"/>
        <v>#N/A</v>
      </c>
    </row>
    <row r="484">
      <c r="C484" s="26"/>
      <c r="F484" s="26"/>
      <c r="G484" s="26" t="str">
        <f t="shared" si="2"/>
        <v>#N/A</v>
      </c>
      <c r="H484" s="26" t="str">
        <f t="shared" si="3"/>
        <v>#N/A</v>
      </c>
    </row>
    <row r="485">
      <c r="C485" s="26"/>
      <c r="F485" s="26"/>
      <c r="G485" s="26" t="str">
        <f t="shared" si="2"/>
        <v>#N/A</v>
      </c>
      <c r="H485" s="26" t="str">
        <f t="shared" si="3"/>
        <v>#N/A</v>
      </c>
    </row>
    <row r="486">
      <c r="C486" s="26"/>
      <c r="F486" s="26"/>
      <c r="G486" s="26" t="str">
        <f t="shared" si="2"/>
        <v>#N/A</v>
      </c>
      <c r="H486" s="26" t="str">
        <f t="shared" si="3"/>
        <v>#N/A</v>
      </c>
    </row>
    <row r="487">
      <c r="C487" s="26"/>
      <c r="F487" s="26"/>
      <c r="G487" s="26" t="str">
        <f t="shared" si="2"/>
        <v>#N/A</v>
      </c>
      <c r="H487" s="26" t="str">
        <f t="shared" si="3"/>
        <v>#N/A</v>
      </c>
    </row>
    <row r="488">
      <c r="C488" s="26"/>
      <c r="F488" s="26"/>
      <c r="G488" s="26" t="str">
        <f t="shared" si="2"/>
        <v>#N/A</v>
      </c>
      <c r="H488" s="26" t="str">
        <f t="shared" si="3"/>
        <v>#N/A</v>
      </c>
    </row>
    <row r="489">
      <c r="C489" s="26"/>
      <c r="F489" s="26"/>
      <c r="G489" s="26" t="str">
        <f t="shared" si="2"/>
        <v>#N/A</v>
      </c>
      <c r="H489" s="26" t="str">
        <f t="shared" si="3"/>
        <v>#N/A</v>
      </c>
    </row>
    <row r="490">
      <c r="C490" s="26"/>
      <c r="F490" s="26"/>
      <c r="G490" s="26" t="str">
        <f t="shared" si="2"/>
        <v>#N/A</v>
      </c>
      <c r="H490" s="26" t="str">
        <f t="shared" si="3"/>
        <v>#N/A</v>
      </c>
    </row>
    <row r="491">
      <c r="C491" s="26"/>
      <c r="F491" s="26"/>
      <c r="G491" s="26" t="str">
        <f t="shared" si="2"/>
        <v>#N/A</v>
      </c>
      <c r="H491" s="26" t="str">
        <f t="shared" si="3"/>
        <v>#N/A</v>
      </c>
    </row>
    <row r="492">
      <c r="C492" s="26"/>
      <c r="F492" s="26"/>
      <c r="G492" s="26" t="str">
        <f t="shared" si="2"/>
        <v>#N/A</v>
      </c>
      <c r="H492" s="26" t="str">
        <f t="shared" si="3"/>
        <v>#N/A</v>
      </c>
    </row>
    <row r="493">
      <c r="C493" s="26"/>
      <c r="F493" s="26"/>
      <c r="G493" s="26" t="str">
        <f t="shared" si="2"/>
        <v>#N/A</v>
      </c>
      <c r="H493" s="26" t="str">
        <f t="shared" si="3"/>
        <v>#N/A</v>
      </c>
    </row>
    <row r="494">
      <c r="C494" s="26"/>
      <c r="F494" s="26"/>
      <c r="G494" s="26" t="str">
        <f t="shared" si="2"/>
        <v>#N/A</v>
      </c>
      <c r="H494" s="26" t="str">
        <f t="shared" si="3"/>
        <v>#N/A</v>
      </c>
    </row>
    <row r="495">
      <c r="C495" s="26"/>
      <c r="F495" s="26"/>
      <c r="G495" s="26" t="str">
        <f t="shared" si="2"/>
        <v>#N/A</v>
      </c>
      <c r="H495" s="26" t="str">
        <f t="shared" si="3"/>
        <v>#N/A</v>
      </c>
    </row>
    <row r="496">
      <c r="C496" s="26"/>
      <c r="F496" s="26"/>
      <c r="G496" s="26" t="str">
        <f t="shared" si="2"/>
        <v>#N/A</v>
      </c>
      <c r="H496" s="26" t="str">
        <f t="shared" si="3"/>
        <v>#N/A</v>
      </c>
    </row>
    <row r="497">
      <c r="C497" s="26"/>
      <c r="F497" s="26"/>
      <c r="G497" s="26" t="str">
        <f t="shared" si="2"/>
        <v>#N/A</v>
      </c>
      <c r="H497" s="26" t="str">
        <f t="shared" si="3"/>
        <v>#N/A</v>
      </c>
    </row>
    <row r="498">
      <c r="C498" s="26"/>
      <c r="F498" s="26"/>
      <c r="G498" s="26" t="str">
        <f t="shared" si="2"/>
        <v>#N/A</v>
      </c>
      <c r="H498" s="26" t="str">
        <f t="shared" si="3"/>
        <v>#N/A</v>
      </c>
    </row>
    <row r="499">
      <c r="C499" s="26"/>
      <c r="F499" s="26"/>
      <c r="G499" s="26" t="str">
        <f t="shared" si="2"/>
        <v>#N/A</v>
      </c>
      <c r="H499" s="26" t="str">
        <f t="shared" si="3"/>
        <v>#N/A</v>
      </c>
    </row>
    <row r="500">
      <c r="C500" s="26"/>
      <c r="F500" s="26"/>
      <c r="G500" s="26" t="str">
        <f t="shared" si="2"/>
        <v>#N/A</v>
      </c>
      <c r="H500" s="26" t="str">
        <f t="shared" si="3"/>
        <v>#N/A</v>
      </c>
    </row>
    <row r="501">
      <c r="C501" s="26"/>
      <c r="F501" s="26"/>
      <c r="G501" s="26" t="str">
        <f t="shared" si="2"/>
        <v>#N/A</v>
      </c>
      <c r="H501" s="26" t="str">
        <f t="shared" si="3"/>
        <v>#N/A</v>
      </c>
    </row>
    <row r="502">
      <c r="C502" s="26"/>
      <c r="F502" s="26"/>
      <c r="G502" s="26" t="str">
        <f t="shared" si="2"/>
        <v>#N/A</v>
      </c>
      <c r="H502" s="26" t="str">
        <f t="shared" si="3"/>
        <v>#N/A</v>
      </c>
    </row>
    <row r="503">
      <c r="C503" s="26"/>
      <c r="F503" s="26"/>
      <c r="G503" s="26" t="str">
        <f t="shared" si="2"/>
        <v>#N/A</v>
      </c>
      <c r="H503" s="26" t="str">
        <f t="shared" si="3"/>
        <v>#N/A</v>
      </c>
    </row>
    <row r="504">
      <c r="C504" s="26"/>
      <c r="F504" s="26"/>
      <c r="G504" s="26" t="str">
        <f t="shared" si="2"/>
        <v>#N/A</v>
      </c>
      <c r="H504" s="26" t="str">
        <f t="shared" si="3"/>
        <v>#N/A</v>
      </c>
    </row>
    <row r="505">
      <c r="C505" s="26"/>
      <c r="F505" s="26"/>
      <c r="G505" s="26" t="str">
        <f t="shared" si="2"/>
        <v>#N/A</v>
      </c>
      <c r="H505" s="26" t="str">
        <f t="shared" si="3"/>
        <v>#N/A</v>
      </c>
    </row>
    <row r="506">
      <c r="C506" s="26"/>
      <c r="F506" s="26"/>
      <c r="G506" s="26" t="str">
        <f t="shared" si="2"/>
        <v>#N/A</v>
      </c>
      <c r="H506" s="26" t="str">
        <f t="shared" si="3"/>
        <v>#N/A</v>
      </c>
    </row>
    <row r="507">
      <c r="C507" s="26"/>
      <c r="F507" s="26"/>
      <c r="G507" s="26" t="str">
        <f t="shared" si="2"/>
        <v>#N/A</v>
      </c>
      <c r="H507" s="26" t="str">
        <f t="shared" si="3"/>
        <v>#N/A</v>
      </c>
    </row>
    <row r="508">
      <c r="C508" s="26"/>
      <c r="F508" s="26"/>
      <c r="G508" s="26" t="str">
        <f t="shared" si="2"/>
        <v>#N/A</v>
      </c>
      <c r="H508" s="26" t="str">
        <f t="shared" si="3"/>
        <v>#N/A</v>
      </c>
    </row>
    <row r="509">
      <c r="C509" s="26"/>
      <c r="F509" s="26"/>
      <c r="G509" s="26" t="str">
        <f t="shared" si="2"/>
        <v>#N/A</v>
      </c>
      <c r="H509" s="26" t="str">
        <f t="shared" si="3"/>
        <v>#N/A</v>
      </c>
    </row>
    <row r="510">
      <c r="C510" s="26"/>
      <c r="F510" s="26"/>
      <c r="G510" s="26" t="str">
        <f t="shared" si="2"/>
        <v>#N/A</v>
      </c>
      <c r="H510" s="26" t="str">
        <f t="shared" si="3"/>
        <v>#N/A</v>
      </c>
    </row>
    <row r="511">
      <c r="C511" s="26"/>
      <c r="F511" s="26"/>
      <c r="G511" s="26" t="str">
        <f t="shared" si="2"/>
        <v>#N/A</v>
      </c>
      <c r="H511" s="26" t="str">
        <f t="shared" si="3"/>
        <v>#N/A</v>
      </c>
    </row>
    <row r="512">
      <c r="C512" s="26"/>
      <c r="F512" s="26"/>
      <c r="G512" s="26" t="str">
        <f t="shared" si="2"/>
        <v>#N/A</v>
      </c>
      <c r="H512" s="26" t="str">
        <f t="shared" si="3"/>
        <v>#N/A</v>
      </c>
    </row>
    <row r="513">
      <c r="C513" s="26"/>
      <c r="F513" s="26"/>
      <c r="G513" s="26" t="str">
        <f t="shared" si="2"/>
        <v>#N/A</v>
      </c>
      <c r="H513" s="26" t="str">
        <f t="shared" si="3"/>
        <v>#N/A</v>
      </c>
    </row>
    <row r="514">
      <c r="C514" s="26"/>
      <c r="F514" s="26"/>
      <c r="G514" s="26" t="str">
        <f t="shared" si="2"/>
        <v>#N/A</v>
      </c>
      <c r="H514" s="26" t="str">
        <f t="shared" si="3"/>
        <v>#N/A</v>
      </c>
    </row>
    <row r="515">
      <c r="C515" s="26"/>
      <c r="F515" s="26"/>
      <c r="G515" s="26" t="str">
        <f t="shared" si="2"/>
        <v>#N/A</v>
      </c>
      <c r="H515" s="26" t="str">
        <f t="shared" si="3"/>
        <v>#N/A</v>
      </c>
    </row>
    <row r="516">
      <c r="C516" s="26"/>
      <c r="F516" s="26"/>
      <c r="G516" s="26" t="str">
        <f t="shared" si="2"/>
        <v>#N/A</v>
      </c>
      <c r="H516" s="26" t="str">
        <f t="shared" si="3"/>
        <v>#N/A</v>
      </c>
    </row>
    <row r="517">
      <c r="C517" s="26"/>
      <c r="F517" s="26"/>
      <c r="G517" s="26" t="str">
        <f t="shared" si="2"/>
        <v>#N/A</v>
      </c>
      <c r="H517" s="26" t="str">
        <f t="shared" si="3"/>
        <v>#N/A</v>
      </c>
    </row>
    <row r="518">
      <c r="C518" s="26"/>
      <c r="F518" s="26"/>
      <c r="G518" s="26" t="str">
        <f t="shared" si="2"/>
        <v>#N/A</v>
      </c>
      <c r="H518" s="26" t="str">
        <f t="shared" si="3"/>
        <v>#N/A</v>
      </c>
    </row>
    <row r="519">
      <c r="C519" s="26"/>
      <c r="F519" s="26"/>
      <c r="G519" s="26" t="str">
        <f t="shared" si="2"/>
        <v>#N/A</v>
      </c>
      <c r="H519" s="26" t="str">
        <f t="shared" si="3"/>
        <v>#N/A</v>
      </c>
    </row>
    <row r="520">
      <c r="C520" s="26"/>
      <c r="F520" s="26"/>
      <c r="G520" s="26" t="str">
        <f t="shared" si="2"/>
        <v>#N/A</v>
      </c>
      <c r="H520" s="26" t="str">
        <f t="shared" si="3"/>
        <v>#N/A</v>
      </c>
    </row>
    <row r="521">
      <c r="C521" s="26"/>
      <c r="F521" s="26"/>
      <c r="G521" s="26" t="str">
        <f t="shared" si="2"/>
        <v>#N/A</v>
      </c>
      <c r="H521" s="26" t="str">
        <f t="shared" si="3"/>
        <v>#N/A</v>
      </c>
    </row>
    <row r="522">
      <c r="C522" s="26"/>
      <c r="F522" s="26"/>
      <c r="G522" s="26" t="str">
        <f t="shared" si="2"/>
        <v>#N/A</v>
      </c>
      <c r="H522" s="26" t="str">
        <f t="shared" si="3"/>
        <v>#N/A</v>
      </c>
    </row>
    <row r="523">
      <c r="C523" s="26"/>
      <c r="F523" s="26"/>
      <c r="G523" s="26" t="str">
        <f t="shared" si="2"/>
        <v>#N/A</v>
      </c>
      <c r="H523" s="26" t="str">
        <f t="shared" si="3"/>
        <v>#N/A</v>
      </c>
    </row>
    <row r="524">
      <c r="C524" s="26"/>
      <c r="F524" s="26"/>
      <c r="G524" s="26" t="str">
        <f t="shared" si="2"/>
        <v>#N/A</v>
      </c>
      <c r="H524" s="26" t="str">
        <f t="shared" si="3"/>
        <v>#N/A</v>
      </c>
    </row>
    <row r="525">
      <c r="C525" s="26"/>
      <c r="F525" s="26"/>
      <c r="G525" s="26" t="str">
        <f t="shared" si="2"/>
        <v>#N/A</v>
      </c>
      <c r="H525" s="26" t="str">
        <f t="shared" si="3"/>
        <v>#N/A</v>
      </c>
    </row>
    <row r="526">
      <c r="C526" s="26"/>
      <c r="F526" s="26"/>
      <c r="G526" s="26" t="str">
        <f t="shared" si="2"/>
        <v>#N/A</v>
      </c>
      <c r="H526" s="26" t="str">
        <f t="shared" si="3"/>
        <v>#N/A</v>
      </c>
    </row>
    <row r="527">
      <c r="C527" s="26"/>
      <c r="F527" s="26"/>
      <c r="G527" s="26" t="str">
        <f t="shared" si="2"/>
        <v>#N/A</v>
      </c>
      <c r="H527" s="26" t="str">
        <f t="shared" si="3"/>
        <v>#N/A</v>
      </c>
    </row>
    <row r="528">
      <c r="C528" s="26"/>
      <c r="F528" s="26"/>
      <c r="G528" s="26" t="str">
        <f t="shared" si="2"/>
        <v>#N/A</v>
      </c>
      <c r="H528" s="26" t="str">
        <f t="shared" si="3"/>
        <v>#N/A</v>
      </c>
    </row>
    <row r="529">
      <c r="C529" s="26"/>
      <c r="F529" s="26"/>
      <c r="G529" s="26" t="str">
        <f t="shared" si="2"/>
        <v>#N/A</v>
      </c>
      <c r="H529" s="26" t="str">
        <f t="shared" si="3"/>
        <v>#N/A</v>
      </c>
    </row>
    <row r="530">
      <c r="C530" s="26"/>
      <c r="F530" s="26"/>
      <c r="G530" s="26" t="str">
        <f t="shared" si="2"/>
        <v>#N/A</v>
      </c>
      <c r="H530" s="26" t="str">
        <f t="shared" si="3"/>
        <v>#N/A</v>
      </c>
    </row>
    <row r="531">
      <c r="C531" s="26"/>
      <c r="F531" s="26"/>
      <c r="G531" s="26" t="str">
        <f t="shared" si="2"/>
        <v>#N/A</v>
      </c>
      <c r="H531" s="26" t="str">
        <f t="shared" si="3"/>
        <v>#N/A</v>
      </c>
    </row>
    <row r="532">
      <c r="C532" s="26"/>
      <c r="F532" s="26"/>
      <c r="G532" s="26" t="str">
        <f t="shared" si="2"/>
        <v>#N/A</v>
      </c>
      <c r="H532" s="26" t="str">
        <f t="shared" si="3"/>
        <v>#N/A</v>
      </c>
    </row>
    <row r="533">
      <c r="C533" s="26"/>
      <c r="F533" s="26"/>
      <c r="G533" s="26" t="str">
        <f t="shared" si="2"/>
        <v>#N/A</v>
      </c>
      <c r="H533" s="26" t="str">
        <f t="shared" si="3"/>
        <v>#N/A</v>
      </c>
    </row>
    <row r="534">
      <c r="C534" s="26"/>
      <c r="F534" s="26"/>
      <c r="G534" s="26" t="str">
        <f t="shared" si="2"/>
        <v>#N/A</v>
      </c>
      <c r="H534" s="26" t="str">
        <f t="shared" si="3"/>
        <v>#N/A</v>
      </c>
    </row>
    <row r="535">
      <c r="C535" s="26"/>
      <c r="F535" s="26"/>
      <c r="G535" s="26" t="str">
        <f t="shared" si="2"/>
        <v>#N/A</v>
      </c>
      <c r="H535" s="26" t="str">
        <f t="shared" si="3"/>
        <v>#N/A</v>
      </c>
    </row>
    <row r="536">
      <c r="C536" s="26"/>
      <c r="F536" s="26"/>
      <c r="G536" s="26" t="str">
        <f t="shared" si="2"/>
        <v>#N/A</v>
      </c>
      <c r="H536" s="26" t="str">
        <f t="shared" si="3"/>
        <v>#N/A</v>
      </c>
    </row>
    <row r="537">
      <c r="C537" s="26"/>
      <c r="F537" s="26"/>
      <c r="G537" s="26" t="str">
        <f t="shared" si="2"/>
        <v>#N/A</v>
      </c>
      <c r="H537" s="26" t="str">
        <f t="shared" si="3"/>
        <v>#N/A</v>
      </c>
    </row>
    <row r="538">
      <c r="C538" s="26"/>
      <c r="F538" s="26"/>
      <c r="G538" s="26" t="str">
        <f t="shared" si="2"/>
        <v>#N/A</v>
      </c>
      <c r="H538" s="26" t="str">
        <f t="shared" si="3"/>
        <v>#N/A</v>
      </c>
    </row>
    <row r="539">
      <c r="C539" s="26"/>
      <c r="F539" s="26"/>
      <c r="G539" s="26" t="str">
        <f t="shared" si="2"/>
        <v>#N/A</v>
      </c>
      <c r="H539" s="26" t="str">
        <f t="shared" si="3"/>
        <v>#N/A</v>
      </c>
    </row>
    <row r="540">
      <c r="C540" s="26"/>
      <c r="F540" s="26"/>
      <c r="G540" s="26" t="str">
        <f t="shared" si="2"/>
        <v>#N/A</v>
      </c>
      <c r="H540" s="26" t="str">
        <f t="shared" si="3"/>
        <v>#N/A</v>
      </c>
    </row>
    <row r="541">
      <c r="C541" s="26"/>
      <c r="F541" s="26"/>
      <c r="G541" s="26" t="str">
        <f t="shared" si="2"/>
        <v>#N/A</v>
      </c>
      <c r="H541" s="26" t="str">
        <f t="shared" si="3"/>
        <v>#N/A</v>
      </c>
    </row>
    <row r="542">
      <c r="C542" s="26"/>
      <c r="F542" s="26"/>
      <c r="G542" s="26" t="str">
        <f t="shared" si="2"/>
        <v>#N/A</v>
      </c>
      <c r="H542" s="26" t="str">
        <f t="shared" si="3"/>
        <v>#N/A</v>
      </c>
    </row>
    <row r="543">
      <c r="C543" s="26"/>
      <c r="F543" s="26"/>
      <c r="G543" s="26" t="str">
        <f t="shared" si="2"/>
        <v>#N/A</v>
      </c>
      <c r="H543" s="26" t="str">
        <f t="shared" si="3"/>
        <v>#N/A</v>
      </c>
    </row>
    <row r="544">
      <c r="C544" s="26"/>
      <c r="F544" s="26"/>
      <c r="G544" s="26" t="str">
        <f t="shared" si="2"/>
        <v>#N/A</v>
      </c>
      <c r="H544" s="26" t="str">
        <f t="shared" si="3"/>
        <v>#N/A</v>
      </c>
    </row>
    <row r="545">
      <c r="C545" s="26"/>
      <c r="F545" s="26"/>
      <c r="G545" s="26" t="str">
        <f t="shared" si="2"/>
        <v>#N/A</v>
      </c>
      <c r="H545" s="26" t="str">
        <f t="shared" si="3"/>
        <v>#N/A</v>
      </c>
    </row>
    <row r="546">
      <c r="C546" s="26"/>
      <c r="F546" s="26"/>
      <c r="G546" s="26" t="str">
        <f t="shared" si="2"/>
        <v>#N/A</v>
      </c>
      <c r="H546" s="26" t="str">
        <f t="shared" si="3"/>
        <v>#N/A</v>
      </c>
    </row>
    <row r="547">
      <c r="C547" s="26"/>
      <c r="F547" s="26"/>
      <c r="G547" s="26" t="str">
        <f t="shared" si="2"/>
        <v>#N/A</v>
      </c>
      <c r="H547" s="26" t="str">
        <f t="shared" si="3"/>
        <v>#N/A</v>
      </c>
    </row>
    <row r="548">
      <c r="C548" s="26"/>
      <c r="F548" s="26"/>
      <c r="G548" s="26" t="str">
        <f t="shared" si="2"/>
        <v>#N/A</v>
      </c>
      <c r="H548" s="26" t="str">
        <f t="shared" si="3"/>
        <v>#N/A</v>
      </c>
    </row>
    <row r="549">
      <c r="C549" s="26"/>
      <c r="F549" s="26"/>
      <c r="G549" s="26" t="str">
        <f t="shared" si="2"/>
        <v>#N/A</v>
      </c>
      <c r="H549" s="26" t="str">
        <f t="shared" si="3"/>
        <v>#N/A</v>
      </c>
    </row>
    <row r="550">
      <c r="C550" s="26"/>
      <c r="F550" s="26"/>
      <c r="G550" s="26" t="str">
        <f t="shared" si="2"/>
        <v>#N/A</v>
      </c>
      <c r="H550" s="26" t="str">
        <f t="shared" si="3"/>
        <v>#N/A</v>
      </c>
    </row>
    <row r="551">
      <c r="C551" s="26"/>
      <c r="F551" s="26"/>
      <c r="G551" s="26" t="str">
        <f t="shared" si="2"/>
        <v>#N/A</v>
      </c>
      <c r="H551" s="26" t="str">
        <f t="shared" si="3"/>
        <v>#N/A</v>
      </c>
    </row>
    <row r="552">
      <c r="C552" s="26"/>
      <c r="F552" s="26"/>
      <c r="G552" s="26" t="str">
        <f t="shared" si="2"/>
        <v>#N/A</v>
      </c>
      <c r="H552" s="26" t="str">
        <f t="shared" si="3"/>
        <v>#N/A</v>
      </c>
    </row>
    <row r="553">
      <c r="C553" s="26"/>
      <c r="F553" s="26"/>
      <c r="G553" s="26" t="str">
        <f t="shared" si="2"/>
        <v>#N/A</v>
      </c>
      <c r="H553" s="26" t="str">
        <f t="shared" si="3"/>
        <v>#N/A</v>
      </c>
    </row>
    <row r="554">
      <c r="C554" s="26"/>
      <c r="F554" s="26"/>
      <c r="G554" s="26" t="str">
        <f t="shared" si="2"/>
        <v>#N/A</v>
      </c>
      <c r="H554" s="26" t="str">
        <f t="shared" si="3"/>
        <v>#N/A</v>
      </c>
    </row>
    <row r="555">
      <c r="C555" s="26"/>
      <c r="F555" s="26"/>
      <c r="G555" s="26" t="str">
        <f t="shared" si="2"/>
        <v>#N/A</v>
      </c>
      <c r="H555" s="26" t="str">
        <f t="shared" si="3"/>
        <v>#N/A</v>
      </c>
    </row>
    <row r="556">
      <c r="C556" s="26"/>
      <c r="F556" s="26"/>
      <c r="G556" s="26" t="str">
        <f t="shared" si="2"/>
        <v>#N/A</v>
      </c>
      <c r="H556" s="26" t="str">
        <f t="shared" si="3"/>
        <v>#N/A</v>
      </c>
    </row>
    <row r="557">
      <c r="C557" s="26"/>
      <c r="F557" s="26"/>
      <c r="G557" s="26" t="str">
        <f t="shared" si="2"/>
        <v>#N/A</v>
      </c>
      <c r="H557" s="26" t="str">
        <f t="shared" si="3"/>
        <v>#N/A</v>
      </c>
    </row>
    <row r="558">
      <c r="C558" s="26"/>
      <c r="F558" s="26"/>
      <c r="G558" s="26" t="str">
        <f t="shared" si="2"/>
        <v>#N/A</v>
      </c>
      <c r="H558" s="26" t="str">
        <f t="shared" si="3"/>
        <v>#N/A</v>
      </c>
    </row>
    <row r="559">
      <c r="C559" s="26"/>
      <c r="F559" s="26"/>
      <c r="G559" s="26" t="str">
        <f t="shared" si="2"/>
        <v>#N/A</v>
      </c>
      <c r="H559" s="26" t="str">
        <f t="shared" si="3"/>
        <v>#N/A</v>
      </c>
    </row>
    <row r="560">
      <c r="C560" s="26"/>
      <c r="F560" s="26"/>
      <c r="G560" s="26" t="str">
        <f t="shared" si="2"/>
        <v>#N/A</v>
      </c>
      <c r="H560" s="26" t="str">
        <f t="shared" si="3"/>
        <v>#N/A</v>
      </c>
    </row>
    <row r="561">
      <c r="C561" s="26"/>
      <c r="F561" s="26"/>
      <c r="G561" s="26" t="str">
        <f t="shared" si="2"/>
        <v>#N/A</v>
      </c>
      <c r="H561" s="26" t="str">
        <f t="shared" si="3"/>
        <v>#N/A</v>
      </c>
    </row>
    <row r="562">
      <c r="C562" s="26"/>
      <c r="F562" s="26"/>
      <c r="G562" s="26" t="str">
        <f t="shared" si="2"/>
        <v>#N/A</v>
      </c>
      <c r="H562" s="26" t="str">
        <f t="shared" si="3"/>
        <v>#N/A</v>
      </c>
    </row>
    <row r="563">
      <c r="C563" s="26"/>
      <c r="F563" s="26"/>
      <c r="G563" s="26" t="str">
        <f t="shared" si="2"/>
        <v>#N/A</v>
      </c>
      <c r="H563" s="26" t="str">
        <f t="shared" si="3"/>
        <v>#N/A</v>
      </c>
    </row>
    <row r="564">
      <c r="C564" s="26"/>
      <c r="F564" s="26"/>
      <c r="G564" s="26" t="str">
        <f t="shared" si="2"/>
        <v>#N/A</v>
      </c>
      <c r="H564" s="26" t="str">
        <f t="shared" si="3"/>
        <v>#N/A</v>
      </c>
    </row>
    <row r="565">
      <c r="C565" s="26"/>
      <c r="F565" s="26"/>
      <c r="G565" s="26" t="str">
        <f t="shared" si="2"/>
        <v>#N/A</v>
      </c>
      <c r="H565" s="26" t="str">
        <f t="shared" si="3"/>
        <v>#N/A</v>
      </c>
    </row>
    <row r="566">
      <c r="C566" s="26"/>
      <c r="F566" s="26"/>
      <c r="G566" s="26" t="str">
        <f t="shared" si="2"/>
        <v>#N/A</v>
      </c>
      <c r="H566" s="26" t="str">
        <f t="shared" si="3"/>
        <v>#N/A</v>
      </c>
    </row>
    <row r="567">
      <c r="C567" s="26"/>
      <c r="F567" s="26"/>
      <c r="G567" s="26" t="str">
        <f t="shared" si="2"/>
        <v>#N/A</v>
      </c>
      <c r="H567" s="26" t="str">
        <f t="shared" si="3"/>
        <v>#N/A</v>
      </c>
    </row>
    <row r="568">
      <c r="C568" s="26"/>
      <c r="F568" s="26"/>
      <c r="G568" s="26" t="str">
        <f t="shared" si="2"/>
        <v>#N/A</v>
      </c>
      <c r="H568" s="26" t="str">
        <f t="shared" si="3"/>
        <v>#N/A</v>
      </c>
    </row>
    <row r="569">
      <c r="C569" s="26"/>
      <c r="F569" s="26"/>
      <c r="G569" s="26" t="str">
        <f t="shared" si="2"/>
        <v>#N/A</v>
      </c>
      <c r="H569" s="26" t="str">
        <f t="shared" si="3"/>
        <v>#N/A</v>
      </c>
    </row>
    <row r="570">
      <c r="C570" s="26"/>
      <c r="F570" s="26"/>
      <c r="G570" s="26" t="str">
        <f t="shared" si="2"/>
        <v>#N/A</v>
      </c>
      <c r="H570" s="26" t="str">
        <f t="shared" si="3"/>
        <v>#N/A</v>
      </c>
    </row>
    <row r="571">
      <c r="C571" s="26"/>
      <c r="F571" s="26"/>
      <c r="G571" s="26" t="str">
        <f t="shared" si="2"/>
        <v>#N/A</v>
      </c>
      <c r="H571" s="26" t="str">
        <f t="shared" si="3"/>
        <v>#N/A</v>
      </c>
    </row>
    <row r="572">
      <c r="C572" s="26"/>
      <c r="F572" s="26"/>
      <c r="G572" s="26" t="str">
        <f t="shared" si="2"/>
        <v>#N/A</v>
      </c>
      <c r="H572" s="26" t="str">
        <f t="shared" si="3"/>
        <v>#N/A</v>
      </c>
    </row>
    <row r="573">
      <c r="C573" s="26"/>
      <c r="F573" s="26"/>
      <c r="G573" s="26" t="str">
        <f t="shared" si="2"/>
        <v>#N/A</v>
      </c>
      <c r="H573" s="26" t="str">
        <f t="shared" si="3"/>
        <v>#N/A</v>
      </c>
    </row>
    <row r="574">
      <c r="C574" s="26"/>
      <c r="F574" s="26"/>
      <c r="G574" s="26" t="str">
        <f t="shared" si="2"/>
        <v>#N/A</v>
      </c>
      <c r="H574" s="26" t="str">
        <f t="shared" si="3"/>
        <v>#N/A</v>
      </c>
    </row>
    <row r="575">
      <c r="C575" s="26"/>
      <c r="F575" s="26"/>
      <c r="G575" s="26" t="str">
        <f t="shared" si="2"/>
        <v>#N/A</v>
      </c>
      <c r="H575" s="26" t="str">
        <f t="shared" si="3"/>
        <v>#N/A</v>
      </c>
    </row>
    <row r="576">
      <c r="C576" s="26"/>
      <c r="F576" s="26"/>
      <c r="G576" s="26" t="str">
        <f t="shared" si="2"/>
        <v>#N/A</v>
      </c>
      <c r="H576" s="26" t="str">
        <f t="shared" si="3"/>
        <v>#N/A</v>
      </c>
    </row>
    <row r="577">
      <c r="C577" s="26"/>
      <c r="F577" s="26"/>
      <c r="G577" s="26" t="str">
        <f t="shared" si="2"/>
        <v>#N/A</v>
      </c>
      <c r="H577" s="26" t="str">
        <f t="shared" si="3"/>
        <v>#N/A</v>
      </c>
    </row>
    <row r="578">
      <c r="C578" s="26"/>
      <c r="F578" s="26"/>
      <c r="G578" s="26" t="str">
        <f t="shared" si="2"/>
        <v>#N/A</v>
      </c>
      <c r="H578" s="26" t="str">
        <f t="shared" si="3"/>
        <v>#N/A</v>
      </c>
    </row>
    <row r="579">
      <c r="C579" s="26"/>
      <c r="F579" s="26"/>
      <c r="G579" s="26" t="str">
        <f t="shared" si="2"/>
        <v>#N/A</v>
      </c>
      <c r="H579" s="26" t="str">
        <f t="shared" si="3"/>
        <v>#N/A</v>
      </c>
    </row>
    <row r="580">
      <c r="C580" s="26"/>
      <c r="F580" s="26"/>
      <c r="G580" s="26" t="str">
        <f t="shared" si="2"/>
        <v>#N/A</v>
      </c>
      <c r="H580" s="26" t="str">
        <f t="shared" si="3"/>
        <v>#N/A</v>
      </c>
    </row>
    <row r="581">
      <c r="C581" s="26"/>
      <c r="F581" s="26"/>
      <c r="G581" s="26" t="str">
        <f t="shared" si="2"/>
        <v>#N/A</v>
      </c>
      <c r="H581" s="26" t="str">
        <f t="shared" si="3"/>
        <v>#N/A</v>
      </c>
    </row>
    <row r="582">
      <c r="C582" s="26"/>
      <c r="F582" s="26"/>
      <c r="G582" s="26" t="str">
        <f t="shared" si="2"/>
        <v>#N/A</v>
      </c>
      <c r="H582" s="26" t="str">
        <f t="shared" si="3"/>
        <v>#N/A</v>
      </c>
    </row>
    <row r="583">
      <c r="C583" s="26"/>
      <c r="F583" s="26"/>
      <c r="G583" s="26" t="str">
        <f t="shared" si="2"/>
        <v>#N/A</v>
      </c>
      <c r="H583" s="26" t="str">
        <f t="shared" si="3"/>
        <v>#N/A</v>
      </c>
    </row>
    <row r="584">
      <c r="C584" s="26"/>
      <c r="F584" s="26"/>
      <c r="G584" s="26" t="str">
        <f t="shared" si="2"/>
        <v>#N/A</v>
      </c>
      <c r="H584" s="26" t="str">
        <f t="shared" si="3"/>
        <v>#N/A</v>
      </c>
    </row>
    <row r="585">
      <c r="C585" s="26"/>
      <c r="F585" s="26"/>
      <c r="G585" s="26" t="str">
        <f t="shared" si="2"/>
        <v>#N/A</v>
      </c>
      <c r="H585" s="26" t="str">
        <f t="shared" si="3"/>
        <v>#N/A</v>
      </c>
    </row>
    <row r="586">
      <c r="C586" s="26"/>
      <c r="F586" s="26"/>
      <c r="G586" s="26" t="str">
        <f t="shared" si="2"/>
        <v>#N/A</v>
      </c>
      <c r="H586" s="26" t="str">
        <f t="shared" si="3"/>
        <v>#N/A</v>
      </c>
    </row>
    <row r="587">
      <c r="C587" s="26"/>
      <c r="F587" s="26"/>
      <c r="G587" s="26" t="str">
        <f t="shared" si="2"/>
        <v>#N/A</v>
      </c>
      <c r="H587" s="26" t="str">
        <f t="shared" si="3"/>
        <v>#N/A</v>
      </c>
    </row>
    <row r="588">
      <c r="C588" s="26"/>
      <c r="F588" s="26"/>
      <c r="G588" s="26" t="str">
        <f t="shared" si="2"/>
        <v>#N/A</v>
      </c>
      <c r="H588" s="26" t="str">
        <f t="shared" si="3"/>
        <v>#N/A</v>
      </c>
    </row>
    <row r="589">
      <c r="C589" s="26"/>
      <c r="F589" s="26"/>
      <c r="G589" s="26" t="str">
        <f t="shared" si="2"/>
        <v>#N/A</v>
      </c>
      <c r="H589" s="26" t="str">
        <f t="shared" si="3"/>
        <v>#N/A</v>
      </c>
    </row>
    <row r="590">
      <c r="C590" s="26"/>
      <c r="F590" s="26"/>
      <c r="G590" s="26" t="str">
        <f t="shared" si="2"/>
        <v>#N/A</v>
      </c>
      <c r="H590" s="26" t="str">
        <f t="shared" si="3"/>
        <v>#N/A</v>
      </c>
    </row>
    <row r="591">
      <c r="C591" s="26"/>
      <c r="F591" s="26"/>
      <c r="G591" s="26" t="str">
        <f t="shared" si="2"/>
        <v>#N/A</v>
      </c>
      <c r="H591" s="26" t="str">
        <f t="shared" si="3"/>
        <v>#N/A</v>
      </c>
    </row>
    <row r="592">
      <c r="C592" s="26"/>
      <c r="F592" s="26"/>
      <c r="G592" s="26" t="str">
        <f t="shared" si="2"/>
        <v>#N/A</v>
      </c>
      <c r="H592" s="26" t="str">
        <f t="shared" si="3"/>
        <v>#N/A</v>
      </c>
    </row>
    <row r="593">
      <c r="C593" s="26"/>
      <c r="F593" s="26"/>
      <c r="G593" s="26" t="str">
        <f t="shared" si="2"/>
        <v>#N/A</v>
      </c>
      <c r="H593" s="26" t="str">
        <f t="shared" si="3"/>
        <v>#N/A</v>
      </c>
    </row>
    <row r="594">
      <c r="C594" s="26"/>
      <c r="F594" s="26"/>
      <c r="G594" s="26" t="str">
        <f t="shared" si="2"/>
        <v>#N/A</v>
      </c>
      <c r="H594" s="26" t="str">
        <f t="shared" si="3"/>
        <v>#N/A</v>
      </c>
    </row>
    <row r="595">
      <c r="C595" s="26"/>
      <c r="F595" s="26"/>
      <c r="G595" s="26" t="str">
        <f t="shared" si="2"/>
        <v>#N/A</v>
      </c>
      <c r="H595" s="26" t="str">
        <f t="shared" si="3"/>
        <v>#N/A</v>
      </c>
    </row>
    <row r="596">
      <c r="C596" s="26"/>
      <c r="F596" s="26"/>
      <c r="G596" s="26" t="str">
        <f t="shared" si="2"/>
        <v>#N/A</v>
      </c>
      <c r="H596" s="26" t="str">
        <f t="shared" si="3"/>
        <v>#N/A</v>
      </c>
    </row>
    <row r="597">
      <c r="C597" s="26"/>
      <c r="F597" s="26"/>
      <c r="G597" s="26" t="str">
        <f t="shared" si="2"/>
        <v>#N/A</v>
      </c>
      <c r="H597" s="26" t="str">
        <f t="shared" si="3"/>
        <v>#N/A</v>
      </c>
    </row>
    <row r="598">
      <c r="C598" s="26"/>
      <c r="F598" s="26"/>
      <c r="G598" s="26" t="str">
        <f t="shared" si="2"/>
        <v>#N/A</v>
      </c>
      <c r="H598" s="26" t="str">
        <f t="shared" si="3"/>
        <v>#N/A</v>
      </c>
    </row>
    <row r="599">
      <c r="C599" s="26"/>
      <c r="F599" s="26"/>
      <c r="G599" s="26" t="str">
        <f t="shared" si="2"/>
        <v>#N/A</v>
      </c>
      <c r="H599" s="26" t="str">
        <f t="shared" si="3"/>
        <v>#N/A</v>
      </c>
    </row>
    <row r="600">
      <c r="C600" s="26"/>
      <c r="F600" s="26"/>
      <c r="G600" s="26" t="str">
        <f t="shared" si="2"/>
        <v>#N/A</v>
      </c>
      <c r="H600" s="26" t="str">
        <f t="shared" si="3"/>
        <v>#N/A</v>
      </c>
    </row>
    <row r="601">
      <c r="C601" s="26"/>
      <c r="F601" s="26"/>
      <c r="G601" s="26" t="str">
        <f t="shared" si="2"/>
        <v>#N/A</v>
      </c>
      <c r="H601" s="26" t="str">
        <f t="shared" si="3"/>
        <v>#N/A</v>
      </c>
    </row>
    <row r="602">
      <c r="C602" s="26"/>
      <c r="F602" s="26"/>
      <c r="G602" s="26" t="str">
        <f t="shared" si="2"/>
        <v>#N/A</v>
      </c>
      <c r="H602" s="26" t="str">
        <f t="shared" si="3"/>
        <v>#N/A</v>
      </c>
    </row>
    <row r="603">
      <c r="C603" s="26"/>
      <c r="F603" s="26"/>
      <c r="G603" s="26" t="str">
        <f t="shared" si="2"/>
        <v>#N/A</v>
      </c>
      <c r="H603" s="26" t="str">
        <f t="shared" si="3"/>
        <v>#N/A</v>
      </c>
    </row>
    <row r="604">
      <c r="C604" s="26"/>
      <c r="F604" s="26"/>
      <c r="G604" s="26" t="str">
        <f t="shared" si="2"/>
        <v>#N/A</v>
      </c>
      <c r="H604" s="26" t="str">
        <f t="shared" si="3"/>
        <v>#N/A</v>
      </c>
    </row>
    <row r="605">
      <c r="C605" s="26"/>
      <c r="F605" s="26"/>
      <c r="G605" s="26" t="str">
        <f t="shared" si="2"/>
        <v>#N/A</v>
      </c>
      <c r="H605" s="26" t="str">
        <f t="shared" si="3"/>
        <v>#N/A</v>
      </c>
    </row>
    <row r="606">
      <c r="C606" s="26"/>
      <c r="F606" s="26"/>
      <c r="G606" s="26" t="str">
        <f t="shared" si="2"/>
        <v>#N/A</v>
      </c>
      <c r="H606" s="26" t="str">
        <f t="shared" si="3"/>
        <v>#N/A</v>
      </c>
    </row>
    <row r="607">
      <c r="C607" s="26"/>
      <c r="F607" s="26"/>
      <c r="G607" s="26" t="str">
        <f t="shared" si="2"/>
        <v>#N/A</v>
      </c>
      <c r="H607" s="26" t="str">
        <f t="shared" si="3"/>
        <v>#N/A</v>
      </c>
    </row>
    <row r="608">
      <c r="C608" s="26"/>
      <c r="F608" s="26"/>
      <c r="G608" s="26" t="str">
        <f t="shared" si="2"/>
        <v>#N/A</v>
      </c>
      <c r="H608" s="26" t="str">
        <f t="shared" si="3"/>
        <v>#N/A</v>
      </c>
    </row>
    <row r="609">
      <c r="C609" s="26"/>
      <c r="F609" s="26"/>
      <c r="G609" s="26" t="str">
        <f t="shared" si="2"/>
        <v>#N/A</v>
      </c>
      <c r="H609" s="26" t="str">
        <f t="shared" si="3"/>
        <v>#N/A</v>
      </c>
    </row>
    <row r="610">
      <c r="C610" s="26"/>
      <c r="F610" s="26"/>
      <c r="G610" s="26" t="str">
        <f t="shared" si="2"/>
        <v>#N/A</v>
      </c>
      <c r="H610" s="26" t="str">
        <f t="shared" si="3"/>
        <v>#N/A</v>
      </c>
    </row>
    <row r="611">
      <c r="C611" s="26"/>
      <c r="F611" s="26"/>
      <c r="G611" s="26" t="str">
        <f t="shared" si="2"/>
        <v>#N/A</v>
      </c>
      <c r="H611" s="26" t="str">
        <f t="shared" si="3"/>
        <v>#N/A</v>
      </c>
    </row>
    <row r="612">
      <c r="C612" s="26"/>
      <c r="F612" s="26"/>
      <c r="G612" s="26" t="str">
        <f t="shared" si="2"/>
        <v>#N/A</v>
      </c>
      <c r="H612" s="26" t="str">
        <f t="shared" si="3"/>
        <v>#N/A</v>
      </c>
    </row>
    <row r="613">
      <c r="C613" s="26"/>
      <c r="F613" s="26"/>
      <c r="G613" s="26" t="str">
        <f t="shared" si="2"/>
        <v>#N/A</v>
      </c>
      <c r="H613" s="26" t="str">
        <f t="shared" si="3"/>
        <v>#N/A</v>
      </c>
    </row>
    <row r="614">
      <c r="C614" s="26"/>
      <c r="F614" s="26"/>
      <c r="G614" s="26" t="str">
        <f t="shared" si="2"/>
        <v>#N/A</v>
      </c>
      <c r="H614" s="26" t="str">
        <f t="shared" si="3"/>
        <v>#N/A</v>
      </c>
    </row>
    <row r="615">
      <c r="C615" s="26"/>
      <c r="F615" s="26"/>
      <c r="G615" s="26" t="str">
        <f t="shared" si="2"/>
        <v>#N/A</v>
      </c>
      <c r="H615" s="26" t="str">
        <f t="shared" si="3"/>
        <v>#N/A</v>
      </c>
    </row>
    <row r="616">
      <c r="C616" s="26"/>
      <c r="F616" s="26"/>
      <c r="G616" s="26" t="str">
        <f t="shared" si="2"/>
        <v>#N/A</v>
      </c>
      <c r="H616" s="26" t="str">
        <f t="shared" si="3"/>
        <v>#N/A</v>
      </c>
    </row>
    <row r="617">
      <c r="C617" s="26"/>
      <c r="F617" s="26"/>
      <c r="G617" s="26" t="str">
        <f t="shared" si="2"/>
        <v>#N/A</v>
      </c>
      <c r="H617" s="26" t="str">
        <f t="shared" si="3"/>
        <v>#N/A</v>
      </c>
    </row>
    <row r="618">
      <c r="C618" s="26"/>
      <c r="F618" s="26"/>
      <c r="G618" s="26" t="str">
        <f t="shared" si="2"/>
        <v>#N/A</v>
      </c>
      <c r="H618" s="26" t="str">
        <f t="shared" si="3"/>
        <v>#N/A</v>
      </c>
    </row>
    <row r="619">
      <c r="C619" s="26"/>
      <c r="F619" s="26"/>
      <c r="G619" s="26" t="str">
        <f t="shared" si="2"/>
        <v>#N/A</v>
      </c>
      <c r="H619" s="26" t="str">
        <f t="shared" si="3"/>
        <v>#N/A</v>
      </c>
    </row>
    <row r="620">
      <c r="C620" s="26"/>
      <c r="F620" s="26"/>
      <c r="G620" s="26" t="str">
        <f t="shared" si="2"/>
        <v>#N/A</v>
      </c>
      <c r="H620" s="26" t="str">
        <f t="shared" si="3"/>
        <v>#N/A</v>
      </c>
    </row>
    <row r="621">
      <c r="C621" s="26"/>
      <c r="F621" s="26"/>
      <c r="G621" s="26" t="str">
        <f t="shared" si="2"/>
        <v>#N/A</v>
      </c>
      <c r="H621" s="26" t="str">
        <f t="shared" si="3"/>
        <v>#N/A</v>
      </c>
    </row>
    <row r="622">
      <c r="C622" s="26"/>
      <c r="F622" s="26"/>
      <c r="G622" s="26" t="str">
        <f t="shared" si="2"/>
        <v>#N/A</v>
      </c>
      <c r="H622" s="26" t="str">
        <f t="shared" si="3"/>
        <v>#N/A</v>
      </c>
    </row>
    <row r="623">
      <c r="C623" s="26"/>
      <c r="F623" s="26"/>
      <c r="G623" s="26" t="str">
        <f t="shared" si="2"/>
        <v>#N/A</v>
      </c>
      <c r="H623" s="26" t="str">
        <f t="shared" si="3"/>
        <v>#N/A</v>
      </c>
    </row>
    <row r="624">
      <c r="C624" s="26"/>
      <c r="F624" s="26"/>
      <c r="G624" s="26" t="str">
        <f t="shared" si="2"/>
        <v>#N/A</v>
      </c>
      <c r="H624" s="26" t="str">
        <f t="shared" si="3"/>
        <v>#N/A</v>
      </c>
    </row>
    <row r="625">
      <c r="C625" s="26"/>
      <c r="F625" s="26"/>
      <c r="G625" s="26" t="str">
        <f t="shared" si="2"/>
        <v>#N/A</v>
      </c>
      <c r="H625" s="26" t="str">
        <f t="shared" si="3"/>
        <v>#N/A</v>
      </c>
    </row>
    <row r="626">
      <c r="C626" s="26"/>
      <c r="F626" s="26"/>
      <c r="G626" s="26" t="str">
        <f t="shared" si="2"/>
        <v>#N/A</v>
      </c>
      <c r="H626" s="26" t="str">
        <f t="shared" si="3"/>
        <v>#N/A</v>
      </c>
    </row>
    <row r="627">
      <c r="C627" s="26"/>
      <c r="F627" s="26"/>
      <c r="G627" s="26" t="str">
        <f t="shared" si="2"/>
        <v>#N/A</v>
      </c>
      <c r="H627" s="26" t="str">
        <f t="shared" si="3"/>
        <v>#N/A</v>
      </c>
    </row>
    <row r="628">
      <c r="C628" s="26"/>
      <c r="F628" s="26"/>
      <c r="G628" s="26" t="str">
        <f t="shared" si="2"/>
        <v>#N/A</v>
      </c>
      <c r="H628" s="26" t="str">
        <f t="shared" si="3"/>
        <v>#N/A</v>
      </c>
    </row>
    <row r="629">
      <c r="C629" s="26"/>
      <c r="F629" s="26"/>
      <c r="G629" s="26" t="str">
        <f t="shared" si="2"/>
        <v>#N/A</v>
      </c>
      <c r="H629" s="26" t="str">
        <f t="shared" si="3"/>
        <v>#N/A</v>
      </c>
    </row>
    <row r="630">
      <c r="C630" s="26"/>
      <c r="F630" s="26"/>
      <c r="G630" s="26" t="str">
        <f t="shared" si="2"/>
        <v>#N/A</v>
      </c>
      <c r="H630" s="26" t="str">
        <f t="shared" si="3"/>
        <v>#N/A</v>
      </c>
    </row>
    <row r="631">
      <c r="C631" s="26"/>
      <c r="F631" s="26"/>
      <c r="G631" s="26" t="str">
        <f t="shared" si="2"/>
        <v>#N/A</v>
      </c>
      <c r="H631" s="26" t="str">
        <f t="shared" si="3"/>
        <v>#N/A</v>
      </c>
    </row>
    <row r="632">
      <c r="C632" s="26"/>
      <c r="F632" s="26"/>
      <c r="G632" s="26" t="str">
        <f t="shared" si="2"/>
        <v>#N/A</v>
      </c>
      <c r="H632" s="26" t="str">
        <f t="shared" si="3"/>
        <v>#N/A</v>
      </c>
    </row>
    <row r="633">
      <c r="C633" s="26"/>
      <c r="F633" s="26"/>
      <c r="G633" s="26" t="str">
        <f t="shared" si="2"/>
        <v>#N/A</v>
      </c>
      <c r="H633" s="26" t="str">
        <f t="shared" si="3"/>
        <v>#N/A</v>
      </c>
    </row>
    <row r="634">
      <c r="C634" s="26"/>
      <c r="F634" s="26"/>
      <c r="G634" s="26" t="str">
        <f t="shared" si="2"/>
        <v>#N/A</v>
      </c>
      <c r="H634" s="26" t="str">
        <f t="shared" si="3"/>
        <v>#N/A</v>
      </c>
    </row>
    <row r="635">
      <c r="C635" s="26"/>
      <c r="F635" s="26"/>
      <c r="G635" s="26" t="str">
        <f t="shared" si="2"/>
        <v>#N/A</v>
      </c>
      <c r="H635" s="26" t="str">
        <f t="shared" si="3"/>
        <v>#N/A</v>
      </c>
    </row>
    <row r="636">
      <c r="C636" s="26"/>
      <c r="F636" s="26"/>
      <c r="G636" s="26" t="str">
        <f t="shared" si="2"/>
        <v>#N/A</v>
      </c>
      <c r="H636" s="26" t="str">
        <f t="shared" si="3"/>
        <v>#N/A</v>
      </c>
    </row>
    <row r="637">
      <c r="C637" s="26"/>
      <c r="F637" s="26"/>
      <c r="G637" s="26" t="str">
        <f t="shared" si="2"/>
        <v>#N/A</v>
      </c>
      <c r="H637" s="26" t="str">
        <f t="shared" si="3"/>
        <v>#N/A</v>
      </c>
    </row>
    <row r="638">
      <c r="C638" s="26"/>
      <c r="F638" s="26"/>
      <c r="G638" s="26" t="str">
        <f t="shared" si="2"/>
        <v>#N/A</v>
      </c>
      <c r="H638" s="26" t="str">
        <f t="shared" si="3"/>
        <v>#N/A</v>
      </c>
    </row>
    <row r="639">
      <c r="C639" s="26"/>
      <c r="F639" s="26"/>
      <c r="G639" s="26" t="str">
        <f t="shared" si="2"/>
        <v>#N/A</v>
      </c>
      <c r="H639" s="26" t="str">
        <f t="shared" si="3"/>
        <v>#N/A</v>
      </c>
    </row>
    <row r="640">
      <c r="C640" s="26"/>
      <c r="F640" s="26"/>
      <c r="G640" s="26" t="str">
        <f t="shared" si="2"/>
        <v>#N/A</v>
      </c>
      <c r="H640" s="26" t="str">
        <f t="shared" si="3"/>
        <v>#N/A</v>
      </c>
    </row>
    <row r="641">
      <c r="C641" s="26"/>
      <c r="F641" s="26"/>
      <c r="G641" s="26" t="str">
        <f t="shared" si="2"/>
        <v>#N/A</v>
      </c>
      <c r="H641" s="26" t="str">
        <f t="shared" si="3"/>
        <v>#N/A</v>
      </c>
    </row>
    <row r="642">
      <c r="C642" s="26"/>
      <c r="F642" s="26"/>
      <c r="G642" s="26" t="str">
        <f t="shared" si="2"/>
        <v>#N/A</v>
      </c>
      <c r="H642" s="26" t="str">
        <f t="shared" si="3"/>
        <v>#N/A</v>
      </c>
    </row>
    <row r="643">
      <c r="C643" s="26"/>
      <c r="F643" s="26"/>
      <c r="G643" s="26" t="str">
        <f t="shared" si="2"/>
        <v>#N/A</v>
      </c>
      <c r="H643" s="26" t="str">
        <f t="shared" si="3"/>
        <v>#N/A</v>
      </c>
    </row>
    <row r="644">
      <c r="C644" s="26"/>
      <c r="F644" s="26"/>
      <c r="G644" s="26" t="str">
        <f t="shared" si="2"/>
        <v>#N/A</v>
      </c>
      <c r="H644" s="26" t="str">
        <f t="shared" si="3"/>
        <v>#N/A</v>
      </c>
    </row>
    <row r="645">
      <c r="C645" s="26"/>
      <c r="F645" s="26"/>
      <c r="G645" s="26" t="str">
        <f t="shared" si="2"/>
        <v>#N/A</v>
      </c>
      <c r="H645" s="26" t="str">
        <f t="shared" si="3"/>
        <v>#N/A</v>
      </c>
    </row>
    <row r="646">
      <c r="C646" s="26"/>
      <c r="F646" s="26"/>
      <c r="G646" s="26" t="str">
        <f t="shared" si="2"/>
        <v>#N/A</v>
      </c>
      <c r="H646" s="26" t="str">
        <f t="shared" si="3"/>
        <v>#N/A</v>
      </c>
    </row>
    <row r="647">
      <c r="C647" s="26"/>
      <c r="F647" s="26"/>
      <c r="G647" s="26" t="str">
        <f t="shared" si="2"/>
        <v>#N/A</v>
      </c>
      <c r="H647" s="26" t="str">
        <f t="shared" si="3"/>
        <v>#N/A</v>
      </c>
    </row>
    <row r="648">
      <c r="C648" s="26"/>
      <c r="F648" s="26"/>
      <c r="G648" s="26" t="str">
        <f t="shared" si="2"/>
        <v>#N/A</v>
      </c>
      <c r="H648" s="26" t="str">
        <f t="shared" si="3"/>
        <v>#N/A</v>
      </c>
    </row>
    <row r="649">
      <c r="C649" s="26"/>
      <c r="F649" s="26"/>
      <c r="G649" s="26" t="str">
        <f t="shared" si="2"/>
        <v>#N/A</v>
      </c>
      <c r="H649" s="26" t="str">
        <f t="shared" si="3"/>
        <v>#N/A</v>
      </c>
    </row>
    <row r="650">
      <c r="C650" s="26"/>
      <c r="F650" s="26"/>
      <c r="G650" s="26" t="str">
        <f t="shared" si="2"/>
        <v>#N/A</v>
      </c>
      <c r="H650" s="26" t="str">
        <f t="shared" si="3"/>
        <v>#N/A</v>
      </c>
    </row>
    <row r="651">
      <c r="C651" s="26"/>
      <c r="F651" s="26"/>
      <c r="G651" s="26" t="str">
        <f t="shared" si="2"/>
        <v>#N/A</v>
      </c>
      <c r="H651" s="26" t="str">
        <f t="shared" si="3"/>
        <v>#N/A</v>
      </c>
    </row>
    <row r="652">
      <c r="C652" s="26"/>
      <c r="F652" s="26"/>
      <c r="G652" s="26" t="str">
        <f t="shared" si="2"/>
        <v>#N/A</v>
      </c>
      <c r="H652" s="26" t="str">
        <f t="shared" si="3"/>
        <v>#N/A</v>
      </c>
    </row>
    <row r="653">
      <c r="C653" s="26"/>
      <c r="F653" s="26"/>
      <c r="G653" s="26" t="str">
        <f t="shared" si="2"/>
        <v>#N/A</v>
      </c>
      <c r="H653" s="26" t="str">
        <f t="shared" si="3"/>
        <v>#N/A</v>
      </c>
    </row>
    <row r="654">
      <c r="C654" s="26"/>
      <c r="F654" s="26"/>
      <c r="G654" s="26" t="str">
        <f t="shared" si="2"/>
        <v>#N/A</v>
      </c>
      <c r="H654" s="26" t="str">
        <f t="shared" si="3"/>
        <v>#N/A</v>
      </c>
    </row>
    <row r="655">
      <c r="C655" s="26"/>
      <c r="F655" s="26"/>
      <c r="G655" s="26" t="str">
        <f t="shared" si="2"/>
        <v>#N/A</v>
      </c>
      <c r="H655" s="26" t="str">
        <f t="shared" si="3"/>
        <v>#N/A</v>
      </c>
    </row>
    <row r="656">
      <c r="C656" s="26"/>
      <c r="F656" s="26"/>
      <c r="G656" s="26" t="str">
        <f t="shared" si="2"/>
        <v>#N/A</v>
      </c>
      <c r="H656" s="26" t="str">
        <f t="shared" si="3"/>
        <v>#N/A</v>
      </c>
    </row>
    <row r="657">
      <c r="C657" s="26"/>
      <c r="F657" s="26"/>
      <c r="G657" s="26" t="str">
        <f t="shared" si="2"/>
        <v>#N/A</v>
      </c>
      <c r="H657" s="26" t="str">
        <f t="shared" si="3"/>
        <v>#N/A</v>
      </c>
    </row>
    <row r="658">
      <c r="C658" s="26"/>
      <c r="F658" s="26"/>
      <c r="G658" s="26" t="str">
        <f t="shared" si="2"/>
        <v>#N/A</v>
      </c>
      <c r="H658" s="26" t="str">
        <f t="shared" si="3"/>
        <v>#N/A</v>
      </c>
    </row>
    <row r="659">
      <c r="C659" s="26"/>
      <c r="F659" s="26"/>
      <c r="G659" s="26" t="str">
        <f t="shared" si="2"/>
        <v>#N/A</v>
      </c>
      <c r="H659" s="26" t="str">
        <f t="shared" si="3"/>
        <v>#N/A</v>
      </c>
    </row>
    <row r="660">
      <c r="C660" s="26"/>
      <c r="F660" s="26"/>
      <c r="G660" s="26" t="str">
        <f t="shared" si="2"/>
        <v>#N/A</v>
      </c>
      <c r="H660" s="26" t="str">
        <f t="shared" si="3"/>
        <v>#N/A</v>
      </c>
    </row>
    <row r="661">
      <c r="C661" s="26"/>
      <c r="F661" s="26"/>
      <c r="G661" s="26" t="str">
        <f t="shared" si="2"/>
        <v>#N/A</v>
      </c>
      <c r="H661" s="26" t="str">
        <f t="shared" si="3"/>
        <v>#N/A</v>
      </c>
    </row>
    <row r="662">
      <c r="C662" s="26"/>
      <c r="F662" s="26"/>
      <c r="G662" s="26" t="str">
        <f t="shared" si="2"/>
        <v>#N/A</v>
      </c>
      <c r="H662" s="26" t="str">
        <f t="shared" si="3"/>
        <v>#N/A</v>
      </c>
    </row>
    <row r="663">
      <c r="C663" s="26"/>
      <c r="F663" s="26"/>
      <c r="G663" s="26" t="str">
        <f t="shared" si="2"/>
        <v>#N/A</v>
      </c>
      <c r="H663" s="26" t="str">
        <f t="shared" si="3"/>
        <v>#N/A</v>
      </c>
    </row>
    <row r="664">
      <c r="C664" s="26"/>
      <c r="F664" s="26"/>
      <c r="G664" s="26" t="str">
        <f t="shared" si="2"/>
        <v>#N/A</v>
      </c>
      <c r="H664" s="26" t="str">
        <f t="shared" si="3"/>
        <v>#N/A</v>
      </c>
    </row>
    <row r="665">
      <c r="C665" s="26"/>
      <c r="F665" s="26"/>
      <c r="G665" s="26" t="str">
        <f t="shared" si="2"/>
        <v>#N/A</v>
      </c>
      <c r="H665" s="26" t="str">
        <f t="shared" si="3"/>
        <v>#N/A</v>
      </c>
    </row>
    <row r="666">
      <c r="C666" s="26"/>
      <c r="F666" s="26"/>
      <c r="G666" s="26" t="str">
        <f t="shared" si="2"/>
        <v>#N/A</v>
      </c>
      <c r="H666" s="26" t="str">
        <f t="shared" si="3"/>
        <v>#N/A</v>
      </c>
    </row>
    <row r="667">
      <c r="C667" s="26"/>
      <c r="F667" s="26"/>
      <c r="G667" s="26" t="str">
        <f t="shared" si="2"/>
        <v>#N/A</v>
      </c>
      <c r="H667" s="26" t="str">
        <f t="shared" si="3"/>
        <v>#N/A</v>
      </c>
    </row>
    <row r="668">
      <c r="C668" s="26"/>
      <c r="F668" s="26"/>
      <c r="G668" s="26" t="str">
        <f t="shared" si="2"/>
        <v>#N/A</v>
      </c>
      <c r="H668" s="26" t="str">
        <f t="shared" si="3"/>
        <v>#N/A</v>
      </c>
    </row>
    <row r="669">
      <c r="C669" s="26"/>
      <c r="F669" s="26"/>
      <c r="G669" s="26" t="str">
        <f t="shared" si="2"/>
        <v>#N/A</v>
      </c>
      <c r="H669" s="26" t="str">
        <f t="shared" si="3"/>
        <v>#N/A</v>
      </c>
    </row>
    <row r="670">
      <c r="C670" s="26"/>
      <c r="F670" s="26"/>
      <c r="G670" s="26" t="str">
        <f t="shared" si="2"/>
        <v>#N/A</v>
      </c>
      <c r="H670" s="26" t="str">
        <f t="shared" si="3"/>
        <v>#N/A</v>
      </c>
    </row>
    <row r="671">
      <c r="C671" s="26"/>
      <c r="F671" s="26"/>
      <c r="G671" s="26" t="str">
        <f t="shared" si="2"/>
        <v>#N/A</v>
      </c>
      <c r="H671" s="26" t="str">
        <f t="shared" si="3"/>
        <v>#N/A</v>
      </c>
    </row>
    <row r="672">
      <c r="C672" s="26"/>
      <c r="F672" s="26"/>
      <c r="G672" s="26" t="str">
        <f t="shared" si="2"/>
        <v>#N/A</v>
      </c>
      <c r="H672" s="26" t="str">
        <f t="shared" si="3"/>
        <v>#N/A</v>
      </c>
    </row>
    <row r="673">
      <c r="C673" s="26"/>
      <c r="F673" s="26"/>
      <c r="G673" s="26" t="str">
        <f t="shared" si="2"/>
        <v>#N/A</v>
      </c>
      <c r="H673" s="26" t="str">
        <f t="shared" si="3"/>
        <v>#N/A</v>
      </c>
    </row>
    <row r="674">
      <c r="C674" s="26"/>
      <c r="F674" s="26"/>
      <c r="G674" s="26" t="str">
        <f t="shared" si="2"/>
        <v>#N/A</v>
      </c>
      <c r="H674" s="26" t="str">
        <f t="shared" si="3"/>
        <v>#N/A</v>
      </c>
    </row>
    <row r="675">
      <c r="C675" s="26"/>
      <c r="F675" s="26"/>
      <c r="G675" s="26" t="str">
        <f t="shared" si="2"/>
        <v>#N/A</v>
      </c>
      <c r="H675" s="26" t="str">
        <f t="shared" si="3"/>
        <v>#N/A</v>
      </c>
    </row>
    <row r="676">
      <c r="C676" s="26"/>
      <c r="F676" s="26"/>
      <c r="G676" s="26" t="str">
        <f t="shared" si="2"/>
        <v>#N/A</v>
      </c>
      <c r="H676" s="26" t="str">
        <f t="shared" si="3"/>
        <v>#N/A</v>
      </c>
    </row>
    <row r="677">
      <c r="C677" s="26"/>
      <c r="F677" s="26"/>
      <c r="G677" s="26" t="str">
        <f t="shared" si="2"/>
        <v>#N/A</v>
      </c>
      <c r="H677" s="26" t="str">
        <f t="shared" si="3"/>
        <v>#N/A</v>
      </c>
    </row>
    <row r="678">
      <c r="C678" s="26"/>
      <c r="F678" s="26"/>
      <c r="G678" s="26" t="str">
        <f t="shared" si="2"/>
        <v>#N/A</v>
      </c>
      <c r="H678" s="26" t="str">
        <f t="shared" si="3"/>
        <v>#N/A</v>
      </c>
    </row>
    <row r="679">
      <c r="C679" s="26"/>
      <c r="F679" s="26"/>
      <c r="G679" s="26" t="str">
        <f t="shared" si="2"/>
        <v>#N/A</v>
      </c>
      <c r="H679" s="26" t="str">
        <f t="shared" si="3"/>
        <v>#N/A</v>
      </c>
    </row>
    <row r="680">
      <c r="C680" s="26"/>
      <c r="F680" s="26"/>
      <c r="G680" s="26" t="str">
        <f t="shared" si="2"/>
        <v>#N/A</v>
      </c>
      <c r="H680" s="26" t="str">
        <f t="shared" si="3"/>
        <v>#N/A</v>
      </c>
    </row>
    <row r="681">
      <c r="C681" s="26"/>
      <c r="F681" s="26"/>
      <c r="G681" s="26" t="str">
        <f t="shared" si="2"/>
        <v>#N/A</v>
      </c>
      <c r="H681" s="26" t="str">
        <f t="shared" si="3"/>
        <v>#N/A</v>
      </c>
    </row>
    <row r="682">
      <c r="C682" s="26"/>
      <c r="F682" s="26"/>
      <c r="G682" s="26" t="str">
        <f t="shared" si="2"/>
        <v>#N/A</v>
      </c>
      <c r="H682" s="26" t="str">
        <f t="shared" si="3"/>
        <v>#N/A</v>
      </c>
    </row>
    <row r="683">
      <c r="C683" s="26"/>
      <c r="F683" s="26"/>
      <c r="G683" s="26" t="str">
        <f t="shared" si="2"/>
        <v>#N/A</v>
      </c>
      <c r="H683" s="26" t="str">
        <f t="shared" si="3"/>
        <v>#N/A</v>
      </c>
    </row>
    <row r="684">
      <c r="C684" s="26"/>
      <c r="F684" s="26"/>
      <c r="G684" s="26" t="str">
        <f t="shared" si="2"/>
        <v>#N/A</v>
      </c>
      <c r="H684" s="26" t="str">
        <f t="shared" si="3"/>
        <v>#N/A</v>
      </c>
    </row>
    <row r="685">
      <c r="C685" s="26"/>
      <c r="F685" s="26"/>
      <c r="G685" s="26" t="str">
        <f t="shared" si="2"/>
        <v>#N/A</v>
      </c>
      <c r="H685" s="26" t="str">
        <f t="shared" si="3"/>
        <v>#N/A</v>
      </c>
    </row>
    <row r="686">
      <c r="C686" s="26"/>
      <c r="F686" s="26"/>
      <c r="G686" s="26" t="str">
        <f t="shared" si="2"/>
        <v>#N/A</v>
      </c>
      <c r="H686" s="26" t="str">
        <f t="shared" si="3"/>
        <v>#N/A</v>
      </c>
    </row>
    <row r="687">
      <c r="C687" s="26"/>
      <c r="F687" s="26"/>
      <c r="G687" s="26" t="str">
        <f t="shared" si="2"/>
        <v>#N/A</v>
      </c>
      <c r="H687" s="26" t="str">
        <f t="shared" si="3"/>
        <v>#N/A</v>
      </c>
    </row>
    <row r="688">
      <c r="C688" s="26"/>
      <c r="F688" s="26"/>
      <c r="G688" s="26" t="str">
        <f t="shared" si="2"/>
        <v>#N/A</v>
      </c>
      <c r="H688" s="26" t="str">
        <f t="shared" si="3"/>
        <v>#N/A</v>
      </c>
    </row>
    <row r="689">
      <c r="C689" s="26"/>
      <c r="F689" s="26"/>
      <c r="G689" s="26" t="str">
        <f t="shared" si="2"/>
        <v>#N/A</v>
      </c>
      <c r="H689" s="26" t="str">
        <f t="shared" si="3"/>
        <v>#N/A</v>
      </c>
    </row>
    <row r="690">
      <c r="C690" s="26"/>
      <c r="F690" s="26"/>
      <c r="G690" s="26" t="str">
        <f t="shared" si="2"/>
        <v>#N/A</v>
      </c>
      <c r="H690" s="26" t="str">
        <f t="shared" si="3"/>
        <v>#N/A</v>
      </c>
    </row>
    <row r="691">
      <c r="C691" s="26"/>
      <c r="F691" s="26"/>
      <c r="G691" s="26" t="str">
        <f t="shared" si="2"/>
        <v>#N/A</v>
      </c>
      <c r="H691" s="26" t="str">
        <f t="shared" si="3"/>
        <v>#N/A</v>
      </c>
    </row>
    <row r="692">
      <c r="C692" s="26"/>
      <c r="F692" s="26"/>
      <c r="G692" s="26" t="str">
        <f t="shared" si="2"/>
        <v>#N/A</v>
      </c>
      <c r="H692" s="26" t="str">
        <f t="shared" si="3"/>
        <v>#N/A</v>
      </c>
    </row>
    <row r="693">
      <c r="C693" s="26"/>
      <c r="F693" s="26"/>
      <c r="G693" s="26" t="str">
        <f t="shared" si="2"/>
        <v>#N/A</v>
      </c>
      <c r="H693" s="26" t="str">
        <f t="shared" si="3"/>
        <v>#N/A</v>
      </c>
    </row>
    <row r="694">
      <c r="C694" s="26"/>
      <c r="F694" s="26"/>
      <c r="G694" s="26" t="str">
        <f t="shared" si="2"/>
        <v>#N/A</v>
      </c>
      <c r="H694" s="26" t="str">
        <f t="shared" si="3"/>
        <v>#N/A</v>
      </c>
    </row>
    <row r="695">
      <c r="C695" s="26"/>
      <c r="F695" s="26"/>
      <c r="G695" s="26" t="str">
        <f t="shared" si="2"/>
        <v>#N/A</v>
      </c>
      <c r="H695" s="26" t="str">
        <f t="shared" si="3"/>
        <v>#N/A</v>
      </c>
    </row>
    <row r="696">
      <c r="C696" s="26"/>
      <c r="F696" s="26"/>
      <c r="G696" s="26" t="str">
        <f t="shared" si="2"/>
        <v>#N/A</v>
      </c>
      <c r="H696" s="26" t="str">
        <f t="shared" si="3"/>
        <v>#N/A</v>
      </c>
    </row>
    <row r="697">
      <c r="C697" s="26"/>
      <c r="F697" s="26"/>
      <c r="G697" s="26" t="str">
        <f t="shared" si="2"/>
        <v>#N/A</v>
      </c>
      <c r="H697" s="26" t="str">
        <f t="shared" si="3"/>
        <v>#N/A</v>
      </c>
    </row>
    <row r="698">
      <c r="C698" s="26"/>
      <c r="F698" s="26"/>
      <c r="G698" s="26" t="str">
        <f t="shared" si="2"/>
        <v>#N/A</v>
      </c>
      <c r="H698" s="26" t="str">
        <f t="shared" si="3"/>
        <v>#N/A</v>
      </c>
    </row>
    <row r="699">
      <c r="C699" s="26"/>
      <c r="F699" s="26"/>
      <c r="G699" s="26" t="str">
        <f t="shared" si="2"/>
        <v>#N/A</v>
      </c>
      <c r="H699" s="26" t="str">
        <f t="shared" si="3"/>
        <v>#N/A</v>
      </c>
    </row>
    <row r="700">
      <c r="C700" s="26"/>
      <c r="F700" s="26"/>
      <c r="G700" s="26" t="str">
        <f t="shared" si="2"/>
        <v>#N/A</v>
      </c>
      <c r="H700" s="26" t="str">
        <f t="shared" si="3"/>
        <v>#N/A</v>
      </c>
    </row>
    <row r="701">
      <c r="C701" s="26"/>
      <c r="F701" s="26"/>
      <c r="G701" s="26" t="str">
        <f t="shared" si="2"/>
        <v>#N/A</v>
      </c>
      <c r="H701" s="26" t="str">
        <f t="shared" si="3"/>
        <v>#N/A</v>
      </c>
    </row>
    <row r="702">
      <c r="C702" s="26"/>
      <c r="F702" s="26"/>
      <c r="G702" s="26" t="str">
        <f t="shared" si="2"/>
        <v>#N/A</v>
      </c>
      <c r="H702" s="26" t="str">
        <f t="shared" si="3"/>
        <v>#N/A</v>
      </c>
    </row>
    <row r="703">
      <c r="C703" s="26"/>
      <c r="F703" s="26"/>
      <c r="G703" s="26" t="str">
        <f t="shared" si="2"/>
        <v>#N/A</v>
      </c>
      <c r="H703" s="26" t="str">
        <f t="shared" si="3"/>
        <v>#N/A</v>
      </c>
    </row>
    <row r="704">
      <c r="C704" s="26"/>
      <c r="F704" s="26"/>
      <c r="G704" s="26" t="str">
        <f t="shared" si="2"/>
        <v>#N/A</v>
      </c>
      <c r="H704" s="26" t="str">
        <f t="shared" si="3"/>
        <v>#N/A</v>
      </c>
    </row>
    <row r="705">
      <c r="C705" s="26"/>
      <c r="F705" s="26"/>
      <c r="G705" s="26" t="str">
        <f t="shared" si="2"/>
        <v>#N/A</v>
      </c>
      <c r="H705" s="26" t="str">
        <f t="shared" si="3"/>
        <v>#N/A</v>
      </c>
    </row>
    <row r="706">
      <c r="C706" s="26"/>
      <c r="F706" s="26"/>
      <c r="G706" s="26" t="str">
        <f t="shared" si="2"/>
        <v>#N/A</v>
      </c>
      <c r="H706" s="26" t="str">
        <f t="shared" si="3"/>
        <v>#N/A</v>
      </c>
    </row>
    <row r="707">
      <c r="C707" s="26"/>
      <c r="F707" s="26"/>
      <c r="G707" s="26" t="str">
        <f t="shared" si="2"/>
        <v>#N/A</v>
      </c>
      <c r="H707" s="26" t="str">
        <f t="shared" si="3"/>
        <v>#N/A</v>
      </c>
    </row>
    <row r="708">
      <c r="C708" s="26"/>
      <c r="F708" s="26"/>
      <c r="G708" s="26" t="str">
        <f t="shared" si="2"/>
        <v>#N/A</v>
      </c>
      <c r="H708" s="26" t="str">
        <f t="shared" si="3"/>
        <v>#N/A</v>
      </c>
    </row>
    <row r="709">
      <c r="C709" s="26"/>
      <c r="F709" s="26"/>
      <c r="G709" s="26" t="str">
        <f t="shared" si="2"/>
        <v>#N/A</v>
      </c>
      <c r="H709" s="26" t="str">
        <f t="shared" si="3"/>
        <v>#N/A</v>
      </c>
    </row>
    <row r="710">
      <c r="C710" s="26"/>
      <c r="F710" s="26"/>
      <c r="G710" s="26" t="str">
        <f t="shared" si="2"/>
        <v>#N/A</v>
      </c>
      <c r="H710" s="26" t="str">
        <f t="shared" si="3"/>
        <v>#N/A</v>
      </c>
    </row>
    <row r="711">
      <c r="C711" s="26"/>
      <c r="F711" s="26"/>
      <c r="G711" s="26" t="str">
        <f t="shared" si="2"/>
        <v>#N/A</v>
      </c>
      <c r="H711" s="26" t="str">
        <f t="shared" si="3"/>
        <v>#N/A</v>
      </c>
    </row>
    <row r="712">
      <c r="C712" s="26"/>
      <c r="F712" s="26"/>
      <c r="G712" s="26" t="str">
        <f t="shared" si="2"/>
        <v>#N/A</v>
      </c>
      <c r="H712" s="26" t="str">
        <f t="shared" si="3"/>
        <v>#N/A</v>
      </c>
    </row>
    <row r="713">
      <c r="C713" s="26"/>
      <c r="F713" s="26"/>
      <c r="G713" s="26" t="str">
        <f t="shared" si="2"/>
        <v>#N/A</v>
      </c>
      <c r="H713" s="26" t="str">
        <f t="shared" si="3"/>
        <v>#N/A</v>
      </c>
    </row>
    <row r="714">
      <c r="C714" s="26"/>
      <c r="F714" s="26"/>
      <c r="G714" s="26" t="str">
        <f t="shared" si="2"/>
        <v>#N/A</v>
      </c>
      <c r="H714" s="26" t="str">
        <f t="shared" si="3"/>
        <v>#N/A</v>
      </c>
    </row>
    <row r="715">
      <c r="C715" s="26"/>
      <c r="F715" s="26"/>
      <c r="G715" s="26" t="str">
        <f t="shared" si="2"/>
        <v>#N/A</v>
      </c>
      <c r="H715" s="26" t="str">
        <f t="shared" si="3"/>
        <v>#N/A</v>
      </c>
    </row>
    <row r="716">
      <c r="C716" s="26"/>
      <c r="F716" s="26"/>
      <c r="G716" s="26" t="str">
        <f t="shared" si="2"/>
        <v>#N/A</v>
      </c>
      <c r="H716" s="26" t="str">
        <f t="shared" si="3"/>
        <v>#N/A</v>
      </c>
    </row>
    <row r="717">
      <c r="C717" s="26"/>
      <c r="F717" s="26"/>
      <c r="G717" s="26" t="str">
        <f t="shared" si="2"/>
        <v>#N/A</v>
      </c>
      <c r="H717" s="26" t="str">
        <f t="shared" si="3"/>
        <v>#N/A</v>
      </c>
    </row>
    <row r="718">
      <c r="C718" s="26"/>
      <c r="F718" s="26"/>
      <c r="G718" s="26" t="str">
        <f t="shared" si="2"/>
        <v>#N/A</v>
      </c>
      <c r="H718" s="26" t="str">
        <f t="shared" si="3"/>
        <v>#N/A</v>
      </c>
    </row>
    <row r="719">
      <c r="C719" s="26"/>
      <c r="F719" s="26"/>
      <c r="G719" s="26" t="str">
        <f t="shared" si="2"/>
        <v>#N/A</v>
      </c>
      <c r="H719" s="26" t="str">
        <f t="shared" si="3"/>
        <v>#N/A</v>
      </c>
    </row>
    <row r="720">
      <c r="C720" s="26"/>
      <c r="F720" s="26"/>
      <c r="G720" s="26" t="str">
        <f t="shared" si="2"/>
        <v>#N/A</v>
      </c>
      <c r="H720" s="26" t="str">
        <f t="shared" si="3"/>
        <v>#N/A</v>
      </c>
    </row>
    <row r="721">
      <c r="C721" s="26"/>
      <c r="F721" s="26"/>
      <c r="G721" s="26" t="str">
        <f t="shared" si="2"/>
        <v>#N/A</v>
      </c>
      <c r="H721" s="26" t="str">
        <f t="shared" si="3"/>
        <v>#N/A</v>
      </c>
    </row>
    <row r="722">
      <c r="C722" s="26"/>
      <c r="F722" s="26"/>
      <c r="G722" s="26" t="str">
        <f t="shared" si="2"/>
        <v>#N/A</v>
      </c>
      <c r="H722" s="26" t="str">
        <f t="shared" si="3"/>
        <v>#N/A</v>
      </c>
    </row>
    <row r="723">
      <c r="C723" s="26"/>
      <c r="F723" s="26"/>
      <c r="G723" s="26" t="str">
        <f t="shared" si="2"/>
        <v>#N/A</v>
      </c>
      <c r="H723" s="26" t="str">
        <f t="shared" si="3"/>
        <v>#N/A</v>
      </c>
    </row>
    <row r="724">
      <c r="C724" s="26"/>
      <c r="F724" s="26"/>
      <c r="G724" s="26" t="str">
        <f t="shared" si="2"/>
        <v>#N/A</v>
      </c>
      <c r="H724" s="26" t="str">
        <f t="shared" si="3"/>
        <v>#N/A</v>
      </c>
    </row>
    <row r="725">
      <c r="C725" s="26"/>
      <c r="F725" s="26"/>
      <c r="G725" s="26" t="str">
        <f t="shared" si="2"/>
        <v>#N/A</v>
      </c>
      <c r="H725" s="26" t="str">
        <f t="shared" si="3"/>
        <v>#N/A</v>
      </c>
    </row>
    <row r="726">
      <c r="C726" s="26"/>
      <c r="F726" s="26"/>
      <c r="G726" s="26" t="str">
        <f t="shared" si="2"/>
        <v>#N/A</v>
      </c>
      <c r="H726" s="26" t="str">
        <f t="shared" si="3"/>
        <v>#N/A</v>
      </c>
    </row>
    <row r="727">
      <c r="C727" s="26"/>
      <c r="F727" s="26"/>
      <c r="G727" s="26" t="str">
        <f t="shared" si="2"/>
        <v>#N/A</v>
      </c>
      <c r="H727" s="26" t="str">
        <f t="shared" si="3"/>
        <v>#N/A</v>
      </c>
    </row>
    <row r="728">
      <c r="C728" s="26"/>
      <c r="F728" s="26"/>
      <c r="G728" s="26" t="str">
        <f t="shared" si="2"/>
        <v>#N/A</v>
      </c>
      <c r="H728" s="26" t="str">
        <f t="shared" si="3"/>
        <v>#N/A</v>
      </c>
    </row>
    <row r="729">
      <c r="C729" s="26"/>
      <c r="F729" s="26"/>
      <c r="G729" s="26" t="str">
        <f t="shared" si="2"/>
        <v>#N/A</v>
      </c>
      <c r="H729" s="26" t="str">
        <f t="shared" si="3"/>
        <v>#N/A</v>
      </c>
    </row>
    <row r="730">
      <c r="C730" s="26"/>
      <c r="F730" s="26"/>
      <c r="G730" s="26" t="str">
        <f t="shared" si="2"/>
        <v>#N/A</v>
      </c>
      <c r="H730" s="26" t="str">
        <f t="shared" si="3"/>
        <v>#N/A</v>
      </c>
    </row>
    <row r="731">
      <c r="C731" s="26"/>
      <c r="F731" s="26"/>
      <c r="G731" s="26" t="str">
        <f t="shared" si="2"/>
        <v>#N/A</v>
      </c>
      <c r="H731" s="26" t="str">
        <f t="shared" si="3"/>
        <v>#N/A</v>
      </c>
    </row>
    <row r="732">
      <c r="C732" s="26"/>
      <c r="F732" s="26"/>
      <c r="G732" s="26" t="str">
        <f t="shared" si="2"/>
        <v>#N/A</v>
      </c>
      <c r="H732" s="26" t="str">
        <f t="shared" si="3"/>
        <v>#N/A</v>
      </c>
    </row>
    <row r="733">
      <c r="C733" s="26"/>
      <c r="F733" s="26"/>
      <c r="G733" s="26" t="str">
        <f t="shared" si="2"/>
        <v>#N/A</v>
      </c>
      <c r="H733" s="26" t="str">
        <f t="shared" si="3"/>
        <v>#N/A</v>
      </c>
    </row>
    <row r="734">
      <c r="C734" s="26"/>
      <c r="F734" s="26"/>
      <c r="G734" s="26" t="str">
        <f t="shared" si="2"/>
        <v>#N/A</v>
      </c>
      <c r="H734" s="26" t="str">
        <f t="shared" si="3"/>
        <v>#N/A</v>
      </c>
    </row>
    <row r="735">
      <c r="C735" s="26"/>
      <c r="F735" s="26"/>
      <c r="G735" s="26" t="str">
        <f t="shared" si="2"/>
        <v>#N/A</v>
      </c>
      <c r="H735" s="26" t="str">
        <f t="shared" si="3"/>
        <v>#N/A</v>
      </c>
    </row>
    <row r="736">
      <c r="C736" s="26"/>
      <c r="F736" s="26"/>
      <c r="G736" s="26" t="str">
        <f t="shared" si="2"/>
        <v>#N/A</v>
      </c>
      <c r="H736" s="26" t="str">
        <f t="shared" si="3"/>
        <v>#N/A</v>
      </c>
    </row>
    <row r="737">
      <c r="C737" s="26"/>
      <c r="F737" s="26"/>
      <c r="G737" s="26" t="str">
        <f t="shared" si="2"/>
        <v>#N/A</v>
      </c>
      <c r="H737" s="26" t="str">
        <f t="shared" si="3"/>
        <v>#N/A</v>
      </c>
    </row>
    <row r="738">
      <c r="C738" s="26"/>
      <c r="F738" s="26"/>
      <c r="G738" s="26" t="str">
        <f t="shared" si="2"/>
        <v>#N/A</v>
      </c>
      <c r="H738" s="26" t="str">
        <f t="shared" si="3"/>
        <v>#N/A</v>
      </c>
    </row>
    <row r="739">
      <c r="C739" s="26"/>
      <c r="F739" s="26"/>
      <c r="G739" s="26" t="str">
        <f t="shared" si="2"/>
        <v>#N/A</v>
      </c>
      <c r="H739" s="26" t="str">
        <f t="shared" si="3"/>
        <v>#N/A</v>
      </c>
    </row>
    <row r="740">
      <c r="C740" s="26"/>
      <c r="F740" s="26"/>
      <c r="G740" s="26" t="str">
        <f t="shared" si="2"/>
        <v>#N/A</v>
      </c>
      <c r="H740" s="26" t="str">
        <f t="shared" si="3"/>
        <v>#N/A</v>
      </c>
    </row>
    <row r="741">
      <c r="C741" s="26"/>
      <c r="F741" s="26"/>
      <c r="G741" s="26" t="str">
        <f t="shared" si="2"/>
        <v>#N/A</v>
      </c>
      <c r="H741" s="26" t="str">
        <f t="shared" si="3"/>
        <v>#N/A</v>
      </c>
    </row>
    <row r="742">
      <c r="C742" s="26"/>
      <c r="F742" s="26"/>
      <c r="G742" s="26" t="str">
        <f t="shared" si="2"/>
        <v>#N/A</v>
      </c>
      <c r="H742" s="26" t="str">
        <f t="shared" si="3"/>
        <v>#N/A</v>
      </c>
    </row>
    <row r="743">
      <c r="C743" s="26"/>
      <c r="F743" s="26"/>
      <c r="G743" s="26" t="str">
        <f t="shared" si="2"/>
        <v>#N/A</v>
      </c>
      <c r="H743" s="26" t="str">
        <f t="shared" si="3"/>
        <v>#N/A</v>
      </c>
    </row>
    <row r="744">
      <c r="C744" s="26"/>
      <c r="F744" s="26"/>
      <c r="G744" s="26" t="str">
        <f t="shared" si="2"/>
        <v>#N/A</v>
      </c>
      <c r="H744" s="26" t="str">
        <f t="shared" si="3"/>
        <v>#N/A</v>
      </c>
    </row>
    <row r="745">
      <c r="C745" s="26"/>
      <c r="F745" s="26"/>
      <c r="G745" s="26" t="str">
        <f t="shared" si="2"/>
        <v>#N/A</v>
      </c>
      <c r="H745" s="26" t="str">
        <f t="shared" si="3"/>
        <v>#N/A</v>
      </c>
    </row>
    <row r="746">
      <c r="C746" s="26"/>
      <c r="F746" s="26"/>
      <c r="G746" s="26" t="str">
        <f t="shared" si="2"/>
        <v>#N/A</v>
      </c>
      <c r="H746" s="26" t="str">
        <f t="shared" si="3"/>
        <v>#N/A</v>
      </c>
    </row>
    <row r="747">
      <c r="C747" s="26"/>
      <c r="F747" s="26"/>
      <c r="G747" s="26" t="str">
        <f t="shared" si="2"/>
        <v>#N/A</v>
      </c>
      <c r="H747" s="26" t="str">
        <f t="shared" si="3"/>
        <v>#N/A</v>
      </c>
    </row>
    <row r="748">
      <c r="C748" s="26"/>
      <c r="F748" s="26"/>
      <c r="G748" s="26" t="str">
        <f t="shared" si="2"/>
        <v>#N/A</v>
      </c>
      <c r="H748" s="26" t="str">
        <f t="shared" si="3"/>
        <v>#N/A</v>
      </c>
    </row>
    <row r="749">
      <c r="C749" s="26"/>
      <c r="F749" s="26"/>
      <c r="G749" s="26" t="str">
        <f t="shared" si="2"/>
        <v>#N/A</v>
      </c>
      <c r="H749" s="26" t="str">
        <f t="shared" si="3"/>
        <v>#N/A</v>
      </c>
    </row>
    <row r="750">
      <c r="C750" s="26"/>
      <c r="F750" s="26"/>
      <c r="G750" s="26" t="str">
        <f t="shared" si="2"/>
        <v>#N/A</v>
      </c>
      <c r="H750" s="26" t="str">
        <f t="shared" si="3"/>
        <v>#N/A</v>
      </c>
    </row>
    <row r="751">
      <c r="C751" s="26"/>
      <c r="F751" s="26"/>
      <c r="G751" s="26" t="str">
        <f t="shared" si="2"/>
        <v>#N/A</v>
      </c>
      <c r="H751" s="26" t="str">
        <f t="shared" si="3"/>
        <v>#N/A</v>
      </c>
    </row>
    <row r="752">
      <c r="C752" s="26"/>
      <c r="F752" s="26"/>
      <c r="G752" s="26" t="str">
        <f t="shared" si="2"/>
        <v>#N/A</v>
      </c>
      <c r="H752" s="26" t="str">
        <f t="shared" si="3"/>
        <v>#N/A</v>
      </c>
    </row>
    <row r="753">
      <c r="C753" s="26"/>
      <c r="F753" s="26"/>
      <c r="G753" s="26" t="str">
        <f t="shared" si="2"/>
        <v>#N/A</v>
      </c>
      <c r="H753" s="26" t="str">
        <f t="shared" si="3"/>
        <v>#N/A</v>
      </c>
    </row>
    <row r="754">
      <c r="C754" s="26"/>
      <c r="F754" s="26"/>
      <c r="G754" s="26" t="str">
        <f t="shared" si="2"/>
        <v>#N/A</v>
      </c>
      <c r="H754" s="26" t="str">
        <f t="shared" si="3"/>
        <v>#N/A</v>
      </c>
    </row>
    <row r="755">
      <c r="C755" s="26"/>
      <c r="F755" s="26"/>
      <c r="G755" s="26" t="str">
        <f t="shared" si="2"/>
        <v>#N/A</v>
      </c>
      <c r="H755" s="26" t="str">
        <f t="shared" si="3"/>
        <v>#N/A</v>
      </c>
    </row>
    <row r="756">
      <c r="C756" s="26"/>
      <c r="F756" s="26"/>
      <c r="G756" s="26" t="str">
        <f t="shared" si="2"/>
        <v>#N/A</v>
      </c>
      <c r="H756" s="26" t="str">
        <f t="shared" si="3"/>
        <v>#N/A</v>
      </c>
    </row>
    <row r="757">
      <c r="C757" s="26"/>
      <c r="F757" s="26"/>
      <c r="G757" s="26" t="str">
        <f t="shared" si="2"/>
        <v>#N/A</v>
      </c>
      <c r="H757" s="26" t="str">
        <f t="shared" si="3"/>
        <v>#N/A</v>
      </c>
    </row>
    <row r="758">
      <c r="C758" s="26"/>
      <c r="F758" s="26"/>
      <c r="G758" s="26" t="str">
        <f t="shared" si="2"/>
        <v>#N/A</v>
      </c>
      <c r="H758" s="26" t="str">
        <f t="shared" si="3"/>
        <v>#N/A</v>
      </c>
    </row>
    <row r="759">
      <c r="C759" s="26"/>
      <c r="F759" s="26"/>
      <c r="G759" s="26" t="str">
        <f t="shared" si="2"/>
        <v>#N/A</v>
      </c>
      <c r="H759" s="26" t="str">
        <f t="shared" si="3"/>
        <v>#N/A</v>
      </c>
    </row>
    <row r="760">
      <c r="C760" s="26"/>
      <c r="F760" s="26"/>
      <c r="G760" s="26" t="str">
        <f t="shared" si="2"/>
        <v>#N/A</v>
      </c>
      <c r="H760" s="26" t="str">
        <f t="shared" si="3"/>
        <v>#N/A</v>
      </c>
    </row>
    <row r="761">
      <c r="C761" s="26"/>
      <c r="F761" s="26"/>
      <c r="G761" s="26" t="str">
        <f t="shared" si="2"/>
        <v>#N/A</v>
      </c>
      <c r="H761" s="26" t="str">
        <f t="shared" si="3"/>
        <v>#N/A</v>
      </c>
    </row>
    <row r="762">
      <c r="C762" s="26"/>
      <c r="F762" s="26"/>
      <c r="G762" s="26" t="str">
        <f t="shared" si="2"/>
        <v>#N/A</v>
      </c>
      <c r="H762" s="26" t="str">
        <f t="shared" si="3"/>
        <v>#N/A</v>
      </c>
    </row>
    <row r="763">
      <c r="C763" s="26"/>
      <c r="F763" s="26"/>
      <c r="G763" s="26" t="str">
        <f t="shared" si="2"/>
        <v>#N/A</v>
      </c>
      <c r="H763" s="26" t="str">
        <f t="shared" si="3"/>
        <v>#N/A</v>
      </c>
    </row>
    <row r="764">
      <c r="C764" s="26"/>
      <c r="F764" s="26"/>
      <c r="G764" s="26" t="str">
        <f t="shared" si="2"/>
        <v>#N/A</v>
      </c>
      <c r="H764" s="26" t="str">
        <f t="shared" si="3"/>
        <v>#N/A</v>
      </c>
    </row>
    <row r="765">
      <c r="C765" s="26"/>
      <c r="F765" s="26"/>
      <c r="G765" s="26" t="str">
        <f t="shared" si="2"/>
        <v>#N/A</v>
      </c>
      <c r="H765" s="26" t="str">
        <f t="shared" si="3"/>
        <v>#N/A</v>
      </c>
    </row>
    <row r="766">
      <c r="C766" s="26"/>
      <c r="F766" s="26"/>
      <c r="G766" s="26" t="str">
        <f t="shared" si="2"/>
        <v>#N/A</v>
      </c>
      <c r="H766" s="26" t="str">
        <f t="shared" si="3"/>
        <v>#N/A</v>
      </c>
    </row>
    <row r="767">
      <c r="C767" s="26"/>
      <c r="F767" s="26"/>
      <c r="G767" s="26" t="str">
        <f t="shared" si="2"/>
        <v>#N/A</v>
      </c>
      <c r="H767" s="26" t="str">
        <f t="shared" si="3"/>
        <v>#N/A</v>
      </c>
    </row>
    <row r="768">
      <c r="C768" s="26"/>
      <c r="F768" s="26"/>
      <c r="G768" s="26" t="str">
        <f t="shared" si="2"/>
        <v>#N/A</v>
      </c>
      <c r="H768" s="26" t="str">
        <f t="shared" si="3"/>
        <v>#N/A</v>
      </c>
    </row>
    <row r="769">
      <c r="C769" s="26"/>
      <c r="F769" s="26"/>
      <c r="G769" s="26" t="str">
        <f t="shared" si="2"/>
        <v>#N/A</v>
      </c>
      <c r="H769" s="26" t="str">
        <f t="shared" si="3"/>
        <v>#N/A</v>
      </c>
    </row>
    <row r="770">
      <c r="C770" s="26"/>
      <c r="F770" s="26"/>
      <c r="G770" s="26" t="str">
        <f t="shared" si="2"/>
        <v>#N/A</v>
      </c>
      <c r="H770" s="26" t="str">
        <f t="shared" si="3"/>
        <v>#N/A</v>
      </c>
    </row>
    <row r="771">
      <c r="C771" s="26"/>
      <c r="F771" s="26"/>
      <c r="G771" s="26" t="str">
        <f t="shared" si="2"/>
        <v>#N/A</v>
      </c>
      <c r="H771" s="26" t="str">
        <f t="shared" si="3"/>
        <v>#N/A</v>
      </c>
    </row>
    <row r="772">
      <c r="C772" s="26"/>
      <c r="F772" s="26"/>
      <c r="G772" s="26" t="str">
        <f t="shared" si="2"/>
        <v>#N/A</v>
      </c>
      <c r="H772" s="26" t="str">
        <f t="shared" si="3"/>
        <v>#N/A</v>
      </c>
    </row>
    <row r="773">
      <c r="C773" s="26"/>
      <c r="F773" s="26"/>
      <c r="G773" s="26" t="str">
        <f t="shared" si="2"/>
        <v>#N/A</v>
      </c>
      <c r="H773" s="26" t="str">
        <f t="shared" si="3"/>
        <v>#N/A</v>
      </c>
    </row>
    <row r="774">
      <c r="C774" s="26"/>
      <c r="F774" s="26"/>
      <c r="G774" s="26" t="str">
        <f t="shared" si="2"/>
        <v>#N/A</v>
      </c>
      <c r="H774" s="26" t="str">
        <f t="shared" si="3"/>
        <v>#N/A</v>
      </c>
    </row>
    <row r="775">
      <c r="C775" s="26"/>
      <c r="F775" s="26"/>
      <c r="G775" s="26" t="str">
        <f t="shared" si="2"/>
        <v>#N/A</v>
      </c>
      <c r="H775" s="26" t="str">
        <f t="shared" si="3"/>
        <v>#N/A</v>
      </c>
    </row>
    <row r="776">
      <c r="C776" s="26"/>
      <c r="F776" s="26"/>
      <c r="G776" s="26" t="str">
        <f t="shared" si="2"/>
        <v>#N/A</v>
      </c>
      <c r="H776" s="26" t="str">
        <f t="shared" si="3"/>
        <v>#N/A</v>
      </c>
    </row>
    <row r="777">
      <c r="C777" s="26"/>
      <c r="F777" s="26"/>
      <c r="G777" s="26" t="str">
        <f t="shared" si="2"/>
        <v>#N/A</v>
      </c>
      <c r="H777" s="26" t="str">
        <f t="shared" si="3"/>
        <v>#N/A</v>
      </c>
    </row>
    <row r="778">
      <c r="C778" s="26"/>
      <c r="F778" s="26"/>
      <c r="G778" s="26" t="str">
        <f t="shared" si="2"/>
        <v>#N/A</v>
      </c>
      <c r="H778" s="26" t="str">
        <f t="shared" si="3"/>
        <v>#N/A</v>
      </c>
    </row>
    <row r="779">
      <c r="C779" s="26"/>
      <c r="F779" s="26"/>
      <c r="G779" s="26" t="str">
        <f t="shared" si="2"/>
        <v>#N/A</v>
      </c>
      <c r="H779" s="26" t="str">
        <f t="shared" si="3"/>
        <v>#N/A</v>
      </c>
    </row>
    <row r="780">
      <c r="C780" s="26"/>
      <c r="F780" s="26"/>
      <c r="G780" s="26" t="str">
        <f t="shared" si="2"/>
        <v>#N/A</v>
      </c>
      <c r="H780" s="26" t="str">
        <f t="shared" si="3"/>
        <v>#N/A</v>
      </c>
    </row>
    <row r="781">
      <c r="C781" s="26"/>
      <c r="F781" s="26"/>
      <c r="G781" s="26" t="str">
        <f t="shared" si="2"/>
        <v>#N/A</v>
      </c>
      <c r="H781" s="26" t="str">
        <f t="shared" si="3"/>
        <v>#N/A</v>
      </c>
    </row>
    <row r="782">
      <c r="C782" s="26"/>
      <c r="F782" s="26"/>
      <c r="G782" s="26" t="str">
        <f t="shared" si="2"/>
        <v>#N/A</v>
      </c>
      <c r="H782" s="26" t="str">
        <f t="shared" si="3"/>
        <v>#N/A</v>
      </c>
    </row>
    <row r="783">
      <c r="C783" s="26"/>
      <c r="F783" s="26"/>
      <c r="G783" s="26" t="str">
        <f t="shared" si="2"/>
        <v>#N/A</v>
      </c>
      <c r="H783" s="26" t="str">
        <f t="shared" si="3"/>
        <v>#N/A</v>
      </c>
    </row>
    <row r="784">
      <c r="C784" s="26"/>
      <c r="F784" s="26"/>
      <c r="G784" s="26" t="str">
        <f t="shared" si="2"/>
        <v>#N/A</v>
      </c>
      <c r="H784" s="26" t="str">
        <f t="shared" si="3"/>
        <v>#N/A</v>
      </c>
    </row>
    <row r="785">
      <c r="C785" s="26"/>
      <c r="F785" s="26"/>
      <c r="G785" s="26" t="str">
        <f t="shared" si="2"/>
        <v>#N/A</v>
      </c>
      <c r="H785" s="26" t="str">
        <f t="shared" si="3"/>
        <v>#N/A</v>
      </c>
    </row>
    <row r="786">
      <c r="C786" s="26"/>
      <c r="F786" s="26"/>
      <c r="G786" s="26" t="str">
        <f t="shared" si="2"/>
        <v>#N/A</v>
      </c>
      <c r="H786" s="26" t="str">
        <f t="shared" si="3"/>
        <v>#N/A</v>
      </c>
    </row>
    <row r="787">
      <c r="C787" s="26"/>
      <c r="F787" s="26"/>
      <c r="G787" s="26" t="str">
        <f t="shared" si="2"/>
        <v>#N/A</v>
      </c>
      <c r="H787" s="26" t="str">
        <f t="shared" si="3"/>
        <v>#N/A</v>
      </c>
    </row>
    <row r="788">
      <c r="C788" s="26"/>
      <c r="F788" s="26"/>
      <c r="G788" s="26" t="str">
        <f t="shared" si="2"/>
        <v>#N/A</v>
      </c>
      <c r="H788" s="26" t="str">
        <f t="shared" si="3"/>
        <v>#N/A</v>
      </c>
    </row>
    <row r="789">
      <c r="C789" s="26"/>
      <c r="F789" s="26"/>
      <c r="G789" s="26" t="str">
        <f t="shared" si="2"/>
        <v>#N/A</v>
      </c>
      <c r="H789" s="26" t="str">
        <f t="shared" si="3"/>
        <v>#N/A</v>
      </c>
    </row>
    <row r="790">
      <c r="C790" s="26"/>
      <c r="F790" s="26"/>
      <c r="G790" s="26" t="str">
        <f t="shared" si="2"/>
        <v>#N/A</v>
      </c>
      <c r="H790" s="26" t="str">
        <f t="shared" si="3"/>
        <v>#N/A</v>
      </c>
    </row>
    <row r="791">
      <c r="C791" s="26"/>
      <c r="F791" s="26"/>
      <c r="G791" s="26" t="str">
        <f t="shared" si="2"/>
        <v>#N/A</v>
      </c>
      <c r="H791" s="26" t="str">
        <f t="shared" si="3"/>
        <v>#N/A</v>
      </c>
    </row>
    <row r="792">
      <c r="C792" s="26"/>
      <c r="F792" s="26"/>
      <c r="G792" s="26" t="str">
        <f t="shared" si="2"/>
        <v>#N/A</v>
      </c>
      <c r="H792" s="26" t="str">
        <f t="shared" si="3"/>
        <v>#N/A</v>
      </c>
    </row>
    <row r="793">
      <c r="C793" s="26"/>
      <c r="F793" s="26"/>
      <c r="G793" s="26" t="str">
        <f t="shared" si="2"/>
        <v>#N/A</v>
      </c>
      <c r="H793" s="26" t="str">
        <f t="shared" si="3"/>
        <v>#N/A</v>
      </c>
    </row>
    <row r="794">
      <c r="C794" s="26"/>
      <c r="F794" s="26"/>
      <c r="G794" s="26" t="str">
        <f t="shared" si="2"/>
        <v>#N/A</v>
      </c>
      <c r="H794" s="26" t="str">
        <f t="shared" si="3"/>
        <v>#N/A</v>
      </c>
    </row>
    <row r="795">
      <c r="C795" s="26"/>
      <c r="F795" s="26"/>
      <c r="G795" s="26" t="str">
        <f t="shared" si="2"/>
        <v>#N/A</v>
      </c>
      <c r="H795" s="26" t="str">
        <f t="shared" si="3"/>
        <v>#N/A</v>
      </c>
    </row>
    <row r="796">
      <c r="C796" s="26"/>
      <c r="F796" s="26"/>
      <c r="G796" s="26" t="str">
        <f t="shared" si="2"/>
        <v>#N/A</v>
      </c>
      <c r="H796" s="26" t="str">
        <f t="shared" si="3"/>
        <v>#N/A</v>
      </c>
    </row>
    <row r="797">
      <c r="C797" s="26"/>
      <c r="F797" s="26"/>
      <c r="G797" s="26" t="str">
        <f t="shared" si="2"/>
        <v>#N/A</v>
      </c>
      <c r="H797" s="26" t="str">
        <f t="shared" si="3"/>
        <v>#N/A</v>
      </c>
    </row>
    <row r="798">
      <c r="C798" s="26"/>
      <c r="F798" s="26"/>
      <c r="G798" s="26" t="str">
        <f t="shared" si="2"/>
        <v>#N/A</v>
      </c>
      <c r="H798" s="26" t="str">
        <f t="shared" si="3"/>
        <v>#N/A</v>
      </c>
    </row>
    <row r="799">
      <c r="C799" s="26"/>
      <c r="F799" s="26"/>
      <c r="G799" s="26" t="str">
        <f t="shared" si="2"/>
        <v>#N/A</v>
      </c>
      <c r="H799" s="26" t="str">
        <f t="shared" si="3"/>
        <v>#N/A</v>
      </c>
    </row>
    <row r="800">
      <c r="C800" s="26"/>
      <c r="F800" s="26"/>
      <c r="G800" s="26" t="str">
        <f t="shared" si="2"/>
        <v>#N/A</v>
      </c>
      <c r="H800" s="26" t="str">
        <f t="shared" si="3"/>
        <v>#N/A</v>
      </c>
    </row>
    <row r="801">
      <c r="C801" s="26"/>
      <c r="F801" s="26"/>
      <c r="G801" s="26" t="str">
        <f t="shared" si="2"/>
        <v>#N/A</v>
      </c>
      <c r="H801" s="26" t="str">
        <f t="shared" si="3"/>
        <v>#N/A</v>
      </c>
    </row>
    <row r="802">
      <c r="C802" s="26"/>
      <c r="F802" s="26"/>
      <c r="G802" s="26" t="str">
        <f t="shared" si="2"/>
        <v>#N/A</v>
      </c>
      <c r="H802" s="26" t="str">
        <f t="shared" si="3"/>
        <v>#N/A</v>
      </c>
    </row>
    <row r="803">
      <c r="C803" s="26"/>
      <c r="F803" s="26"/>
      <c r="G803" s="26" t="str">
        <f t="shared" si="2"/>
        <v>#N/A</v>
      </c>
      <c r="H803" s="26" t="str">
        <f t="shared" si="3"/>
        <v>#N/A</v>
      </c>
    </row>
    <row r="804">
      <c r="C804" s="26"/>
      <c r="F804" s="26"/>
      <c r="G804" s="26" t="str">
        <f t="shared" si="2"/>
        <v>#N/A</v>
      </c>
      <c r="H804" s="26" t="str">
        <f t="shared" si="3"/>
        <v>#N/A</v>
      </c>
    </row>
    <row r="805">
      <c r="C805" s="26"/>
      <c r="F805" s="26"/>
      <c r="G805" s="26" t="str">
        <f t="shared" si="2"/>
        <v>#N/A</v>
      </c>
      <c r="H805" s="26" t="str">
        <f t="shared" si="3"/>
        <v>#N/A</v>
      </c>
    </row>
    <row r="806">
      <c r="C806" s="26"/>
      <c r="F806" s="26"/>
      <c r="G806" s="26" t="str">
        <f t="shared" si="2"/>
        <v>#N/A</v>
      </c>
      <c r="H806" s="26" t="str">
        <f t="shared" si="3"/>
        <v>#N/A</v>
      </c>
    </row>
    <row r="807">
      <c r="C807" s="26"/>
      <c r="F807" s="26"/>
      <c r="G807" s="26" t="str">
        <f t="shared" si="2"/>
        <v>#N/A</v>
      </c>
      <c r="H807" s="26" t="str">
        <f t="shared" si="3"/>
        <v>#N/A</v>
      </c>
    </row>
    <row r="808">
      <c r="C808" s="26"/>
      <c r="F808" s="26"/>
      <c r="G808" s="26" t="str">
        <f t="shared" si="2"/>
        <v>#N/A</v>
      </c>
      <c r="H808" s="26" t="str">
        <f t="shared" si="3"/>
        <v>#N/A</v>
      </c>
    </row>
    <row r="809">
      <c r="C809" s="26"/>
      <c r="F809" s="26"/>
      <c r="G809" s="26" t="str">
        <f t="shared" si="2"/>
        <v>#N/A</v>
      </c>
      <c r="H809" s="26" t="str">
        <f t="shared" si="3"/>
        <v>#N/A</v>
      </c>
    </row>
    <row r="810">
      <c r="C810" s="26"/>
      <c r="F810" s="26"/>
      <c r="G810" s="26" t="str">
        <f t="shared" si="2"/>
        <v>#N/A</v>
      </c>
      <c r="H810" s="26" t="str">
        <f t="shared" si="3"/>
        <v>#N/A</v>
      </c>
    </row>
    <row r="811">
      <c r="C811" s="26"/>
      <c r="F811" s="26"/>
      <c r="G811" s="26" t="str">
        <f t="shared" si="2"/>
        <v>#N/A</v>
      </c>
      <c r="H811" s="26" t="str">
        <f t="shared" si="3"/>
        <v>#N/A</v>
      </c>
    </row>
    <row r="812">
      <c r="C812" s="26"/>
      <c r="F812" s="26"/>
      <c r="G812" s="26" t="str">
        <f t="shared" si="2"/>
        <v>#N/A</v>
      </c>
      <c r="H812" s="26" t="str">
        <f t="shared" si="3"/>
        <v>#N/A</v>
      </c>
    </row>
    <row r="813">
      <c r="C813" s="26"/>
      <c r="F813" s="26"/>
      <c r="G813" s="26" t="str">
        <f t="shared" si="2"/>
        <v>#N/A</v>
      </c>
      <c r="H813" s="26" t="str">
        <f t="shared" si="3"/>
        <v>#N/A</v>
      </c>
    </row>
    <row r="814">
      <c r="C814" s="26"/>
      <c r="F814" s="26"/>
      <c r="G814" s="26" t="str">
        <f t="shared" si="2"/>
        <v>#N/A</v>
      </c>
      <c r="H814" s="26" t="str">
        <f t="shared" si="3"/>
        <v>#N/A</v>
      </c>
    </row>
    <row r="815">
      <c r="C815" s="26"/>
      <c r="F815" s="26"/>
      <c r="G815" s="26" t="str">
        <f t="shared" si="2"/>
        <v>#N/A</v>
      </c>
      <c r="H815" s="26" t="str">
        <f t="shared" si="3"/>
        <v>#N/A</v>
      </c>
    </row>
    <row r="816">
      <c r="C816" s="26"/>
      <c r="F816" s="26"/>
      <c r="G816" s="26" t="str">
        <f t="shared" si="2"/>
        <v>#N/A</v>
      </c>
      <c r="H816" s="26" t="str">
        <f t="shared" si="3"/>
        <v>#N/A</v>
      </c>
    </row>
    <row r="817">
      <c r="C817" s="26"/>
      <c r="F817" s="26"/>
      <c r="G817" s="26" t="str">
        <f t="shared" si="2"/>
        <v>#N/A</v>
      </c>
      <c r="H817" s="26" t="str">
        <f t="shared" si="3"/>
        <v>#N/A</v>
      </c>
    </row>
    <row r="818">
      <c r="C818" s="26"/>
      <c r="F818" s="26"/>
      <c r="G818" s="26" t="str">
        <f t="shared" si="2"/>
        <v>#N/A</v>
      </c>
      <c r="H818" s="26" t="str">
        <f t="shared" si="3"/>
        <v>#N/A</v>
      </c>
    </row>
    <row r="819">
      <c r="C819" s="26"/>
      <c r="F819" s="26"/>
      <c r="G819" s="26" t="str">
        <f t="shared" si="2"/>
        <v>#N/A</v>
      </c>
      <c r="H819" s="26" t="str">
        <f t="shared" si="3"/>
        <v>#N/A</v>
      </c>
    </row>
    <row r="820">
      <c r="C820" s="26"/>
      <c r="F820" s="26"/>
      <c r="G820" s="26" t="str">
        <f t="shared" si="2"/>
        <v>#N/A</v>
      </c>
      <c r="H820" s="26" t="str">
        <f t="shared" si="3"/>
        <v>#N/A</v>
      </c>
    </row>
    <row r="821">
      <c r="C821" s="26"/>
      <c r="F821" s="26"/>
      <c r="G821" s="26" t="str">
        <f t="shared" si="2"/>
        <v>#N/A</v>
      </c>
      <c r="H821" s="26" t="str">
        <f t="shared" si="3"/>
        <v>#N/A</v>
      </c>
    </row>
    <row r="822">
      <c r="C822" s="26"/>
      <c r="F822" s="26"/>
      <c r="G822" s="26" t="str">
        <f t="shared" si="2"/>
        <v>#N/A</v>
      </c>
      <c r="H822" s="26" t="str">
        <f t="shared" si="3"/>
        <v>#N/A</v>
      </c>
    </row>
    <row r="823">
      <c r="C823" s="26"/>
      <c r="F823" s="26"/>
      <c r="G823" s="26" t="str">
        <f t="shared" si="2"/>
        <v>#N/A</v>
      </c>
      <c r="H823" s="26" t="str">
        <f t="shared" si="3"/>
        <v>#N/A</v>
      </c>
    </row>
    <row r="824">
      <c r="C824" s="26"/>
      <c r="F824" s="26"/>
      <c r="G824" s="26" t="str">
        <f t="shared" si="2"/>
        <v>#N/A</v>
      </c>
      <c r="H824" s="26" t="str">
        <f t="shared" si="3"/>
        <v>#N/A</v>
      </c>
    </row>
    <row r="825">
      <c r="C825" s="26"/>
      <c r="F825" s="26"/>
      <c r="G825" s="26" t="str">
        <f t="shared" si="2"/>
        <v>#N/A</v>
      </c>
      <c r="H825" s="26" t="str">
        <f t="shared" si="3"/>
        <v>#N/A</v>
      </c>
    </row>
    <row r="826">
      <c r="C826" s="26"/>
      <c r="F826" s="26"/>
      <c r="G826" s="26" t="str">
        <f t="shared" si="2"/>
        <v>#N/A</v>
      </c>
      <c r="H826" s="26" t="str">
        <f t="shared" si="3"/>
        <v>#N/A</v>
      </c>
    </row>
    <row r="827">
      <c r="C827" s="26"/>
      <c r="F827" s="26"/>
      <c r="G827" s="26" t="str">
        <f t="shared" si="2"/>
        <v>#N/A</v>
      </c>
      <c r="H827" s="26" t="str">
        <f t="shared" si="3"/>
        <v>#N/A</v>
      </c>
    </row>
    <row r="828">
      <c r="C828" s="26"/>
      <c r="F828" s="26"/>
      <c r="G828" s="26" t="str">
        <f t="shared" si="2"/>
        <v>#N/A</v>
      </c>
      <c r="H828" s="26" t="str">
        <f t="shared" si="3"/>
        <v>#N/A</v>
      </c>
    </row>
    <row r="829">
      <c r="C829" s="26"/>
      <c r="F829" s="26"/>
      <c r="G829" s="26" t="str">
        <f t="shared" si="2"/>
        <v>#N/A</v>
      </c>
      <c r="H829" s="26" t="str">
        <f t="shared" si="3"/>
        <v>#N/A</v>
      </c>
    </row>
    <row r="830">
      <c r="C830" s="26"/>
      <c r="F830" s="26"/>
      <c r="G830" s="26" t="str">
        <f t="shared" si="2"/>
        <v>#N/A</v>
      </c>
      <c r="H830" s="26" t="str">
        <f t="shared" si="3"/>
        <v>#N/A</v>
      </c>
    </row>
    <row r="831">
      <c r="C831" s="26"/>
      <c r="F831" s="26"/>
      <c r="G831" s="26" t="str">
        <f t="shared" si="2"/>
        <v>#N/A</v>
      </c>
      <c r="H831" s="26" t="str">
        <f t="shared" si="3"/>
        <v>#N/A</v>
      </c>
    </row>
    <row r="832">
      <c r="C832" s="26"/>
      <c r="F832" s="26"/>
      <c r="G832" s="26" t="str">
        <f t="shared" si="2"/>
        <v>#N/A</v>
      </c>
      <c r="H832" s="26" t="str">
        <f t="shared" si="3"/>
        <v>#N/A</v>
      </c>
    </row>
    <row r="833">
      <c r="C833" s="26"/>
      <c r="F833" s="26"/>
      <c r="G833" s="26" t="str">
        <f t="shared" si="2"/>
        <v>#N/A</v>
      </c>
      <c r="H833" s="26" t="str">
        <f t="shared" si="3"/>
        <v>#N/A</v>
      </c>
    </row>
    <row r="834">
      <c r="C834" s="26"/>
      <c r="F834" s="26"/>
      <c r="G834" s="26" t="str">
        <f t="shared" si="2"/>
        <v>#N/A</v>
      </c>
      <c r="H834" s="26" t="str">
        <f t="shared" si="3"/>
        <v>#N/A</v>
      </c>
    </row>
    <row r="835">
      <c r="C835" s="26"/>
      <c r="F835" s="26"/>
      <c r="G835" s="26" t="str">
        <f t="shared" si="2"/>
        <v>#N/A</v>
      </c>
      <c r="H835" s="26" t="str">
        <f t="shared" si="3"/>
        <v>#N/A</v>
      </c>
    </row>
    <row r="836">
      <c r="C836" s="26"/>
      <c r="F836" s="26"/>
      <c r="G836" s="26" t="str">
        <f t="shared" si="2"/>
        <v>#N/A</v>
      </c>
      <c r="H836" s="26" t="str">
        <f t="shared" si="3"/>
        <v>#N/A</v>
      </c>
    </row>
    <row r="837">
      <c r="C837" s="26"/>
      <c r="F837" s="26"/>
      <c r="G837" s="26" t="str">
        <f t="shared" si="2"/>
        <v>#N/A</v>
      </c>
      <c r="H837" s="26" t="str">
        <f t="shared" si="3"/>
        <v>#N/A</v>
      </c>
    </row>
    <row r="838">
      <c r="C838" s="26"/>
      <c r="F838" s="26"/>
      <c r="G838" s="26" t="str">
        <f t="shared" si="2"/>
        <v>#N/A</v>
      </c>
      <c r="H838" s="26" t="str">
        <f t="shared" si="3"/>
        <v>#N/A</v>
      </c>
    </row>
    <row r="839">
      <c r="C839" s="26"/>
      <c r="F839" s="26"/>
      <c r="G839" s="26" t="str">
        <f t="shared" si="2"/>
        <v>#N/A</v>
      </c>
      <c r="H839" s="26" t="str">
        <f t="shared" si="3"/>
        <v>#N/A</v>
      </c>
    </row>
    <row r="840">
      <c r="C840" s="26"/>
      <c r="F840" s="26"/>
      <c r="G840" s="26" t="str">
        <f t="shared" si="2"/>
        <v>#N/A</v>
      </c>
      <c r="H840" s="26" t="str">
        <f t="shared" si="3"/>
        <v>#N/A</v>
      </c>
    </row>
    <row r="841">
      <c r="C841" s="26"/>
      <c r="F841" s="26"/>
      <c r="G841" s="26" t="str">
        <f t="shared" si="2"/>
        <v>#N/A</v>
      </c>
      <c r="H841" s="26" t="str">
        <f t="shared" si="3"/>
        <v>#N/A</v>
      </c>
    </row>
    <row r="842">
      <c r="C842" s="26"/>
      <c r="F842" s="26"/>
      <c r="G842" s="26" t="str">
        <f t="shared" si="2"/>
        <v>#N/A</v>
      </c>
      <c r="H842" s="26" t="str">
        <f t="shared" si="3"/>
        <v>#N/A</v>
      </c>
    </row>
    <row r="843">
      <c r="C843" s="26"/>
      <c r="F843" s="26"/>
      <c r="G843" s="26" t="str">
        <f t="shared" si="2"/>
        <v>#N/A</v>
      </c>
      <c r="H843" s="26" t="str">
        <f t="shared" si="3"/>
        <v>#N/A</v>
      </c>
    </row>
    <row r="844">
      <c r="C844" s="26"/>
      <c r="F844" s="26"/>
      <c r="G844" s="26" t="str">
        <f t="shared" si="2"/>
        <v>#N/A</v>
      </c>
      <c r="H844" s="26" t="str">
        <f t="shared" si="3"/>
        <v>#N/A</v>
      </c>
    </row>
    <row r="845">
      <c r="C845" s="26"/>
      <c r="F845" s="26"/>
      <c r="G845" s="26" t="str">
        <f t="shared" si="2"/>
        <v>#N/A</v>
      </c>
      <c r="H845" s="26" t="str">
        <f t="shared" si="3"/>
        <v>#N/A</v>
      </c>
    </row>
    <row r="846">
      <c r="C846" s="26"/>
      <c r="F846" s="26"/>
      <c r="G846" s="26" t="str">
        <f t="shared" si="2"/>
        <v>#N/A</v>
      </c>
      <c r="H846" s="26" t="str">
        <f t="shared" si="3"/>
        <v>#N/A</v>
      </c>
    </row>
    <row r="847">
      <c r="C847" s="26"/>
      <c r="F847" s="26"/>
      <c r="G847" s="26" t="str">
        <f t="shared" si="2"/>
        <v>#N/A</v>
      </c>
      <c r="H847" s="26" t="str">
        <f t="shared" si="3"/>
        <v>#N/A</v>
      </c>
    </row>
    <row r="848">
      <c r="C848" s="26"/>
      <c r="F848" s="26"/>
      <c r="G848" s="26" t="str">
        <f t="shared" si="2"/>
        <v>#N/A</v>
      </c>
      <c r="H848" s="26" t="str">
        <f t="shared" si="3"/>
        <v>#N/A</v>
      </c>
    </row>
    <row r="849">
      <c r="C849" s="26"/>
      <c r="F849" s="26"/>
      <c r="G849" s="26" t="str">
        <f t="shared" si="2"/>
        <v>#N/A</v>
      </c>
      <c r="H849" s="26" t="str">
        <f t="shared" si="3"/>
        <v>#N/A</v>
      </c>
    </row>
    <row r="850">
      <c r="C850" s="26"/>
      <c r="F850" s="26"/>
      <c r="G850" s="26" t="str">
        <f t="shared" si="2"/>
        <v>#N/A</v>
      </c>
      <c r="H850" s="26" t="str">
        <f t="shared" si="3"/>
        <v>#N/A</v>
      </c>
    </row>
    <row r="851">
      <c r="C851" s="26"/>
      <c r="F851" s="26"/>
      <c r="G851" s="26" t="str">
        <f t="shared" si="2"/>
        <v>#N/A</v>
      </c>
      <c r="H851" s="26" t="str">
        <f t="shared" si="3"/>
        <v>#N/A</v>
      </c>
    </row>
    <row r="852">
      <c r="C852" s="26"/>
      <c r="F852" s="26"/>
      <c r="G852" s="26" t="str">
        <f t="shared" si="2"/>
        <v>#N/A</v>
      </c>
      <c r="H852" s="26" t="str">
        <f t="shared" si="3"/>
        <v>#N/A</v>
      </c>
    </row>
    <row r="853">
      <c r="C853" s="26"/>
      <c r="F853" s="26"/>
      <c r="G853" s="26" t="str">
        <f t="shared" si="2"/>
        <v>#N/A</v>
      </c>
      <c r="H853" s="26" t="str">
        <f t="shared" si="3"/>
        <v>#N/A</v>
      </c>
    </row>
    <row r="854">
      <c r="C854" s="26"/>
      <c r="F854" s="26"/>
      <c r="G854" s="26" t="str">
        <f t="shared" si="2"/>
        <v>#N/A</v>
      </c>
      <c r="H854" s="26" t="str">
        <f t="shared" si="3"/>
        <v>#N/A</v>
      </c>
    </row>
    <row r="855">
      <c r="C855" s="26"/>
      <c r="F855" s="26"/>
      <c r="G855" s="26" t="str">
        <f t="shared" si="2"/>
        <v>#N/A</v>
      </c>
      <c r="H855" s="26" t="str">
        <f t="shared" si="3"/>
        <v>#N/A</v>
      </c>
    </row>
    <row r="856">
      <c r="C856" s="26"/>
      <c r="F856" s="26"/>
      <c r="G856" s="26" t="str">
        <f t="shared" si="2"/>
        <v>#N/A</v>
      </c>
      <c r="H856" s="26" t="str">
        <f t="shared" si="3"/>
        <v>#N/A</v>
      </c>
    </row>
    <row r="857">
      <c r="C857" s="26"/>
      <c r="F857" s="26"/>
      <c r="G857" s="26" t="str">
        <f t="shared" si="2"/>
        <v>#N/A</v>
      </c>
      <c r="H857" s="26" t="str">
        <f t="shared" si="3"/>
        <v>#N/A</v>
      </c>
    </row>
    <row r="858">
      <c r="C858" s="26"/>
      <c r="F858" s="26"/>
      <c r="G858" s="26" t="str">
        <f t="shared" si="2"/>
        <v>#N/A</v>
      </c>
      <c r="H858" s="26" t="str">
        <f t="shared" si="3"/>
        <v>#N/A</v>
      </c>
    </row>
    <row r="859">
      <c r="C859" s="26"/>
      <c r="F859" s="26"/>
      <c r="G859" s="26" t="str">
        <f t="shared" si="2"/>
        <v>#N/A</v>
      </c>
      <c r="H859" s="26" t="str">
        <f t="shared" si="3"/>
        <v>#N/A</v>
      </c>
    </row>
    <row r="860">
      <c r="C860" s="26"/>
      <c r="F860" s="26"/>
      <c r="G860" s="26" t="str">
        <f t="shared" si="2"/>
        <v>#N/A</v>
      </c>
      <c r="H860" s="26" t="str">
        <f t="shared" si="3"/>
        <v>#N/A</v>
      </c>
    </row>
    <row r="861">
      <c r="C861" s="26"/>
      <c r="F861" s="26"/>
      <c r="G861" s="26" t="str">
        <f t="shared" si="2"/>
        <v>#N/A</v>
      </c>
      <c r="H861" s="26" t="str">
        <f t="shared" si="3"/>
        <v>#N/A</v>
      </c>
    </row>
    <row r="862">
      <c r="C862" s="26"/>
      <c r="F862" s="26"/>
      <c r="G862" s="26" t="str">
        <f t="shared" si="2"/>
        <v>#N/A</v>
      </c>
      <c r="H862" s="26" t="str">
        <f t="shared" si="3"/>
        <v>#N/A</v>
      </c>
    </row>
    <row r="863">
      <c r="C863" s="26"/>
      <c r="F863" s="26"/>
      <c r="G863" s="26" t="str">
        <f t="shared" si="2"/>
        <v>#N/A</v>
      </c>
      <c r="H863" s="26" t="str">
        <f t="shared" si="3"/>
        <v>#N/A</v>
      </c>
    </row>
    <row r="864">
      <c r="C864" s="26"/>
      <c r="F864" s="26"/>
      <c r="G864" s="26" t="str">
        <f t="shared" si="2"/>
        <v>#N/A</v>
      </c>
      <c r="H864" s="26" t="str">
        <f t="shared" si="3"/>
        <v>#N/A</v>
      </c>
    </row>
    <row r="865">
      <c r="C865" s="26"/>
      <c r="F865" s="26"/>
      <c r="G865" s="26" t="str">
        <f t="shared" si="2"/>
        <v>#N/A</v>
      </c>
      <c r="H865" s="26" t="str">
        <f t="shared" si="3"/>
        <v>#N/A</v>
      </c>
    </row>
    <row r="866">
      <c r="C866" s="26"/>
      <c r="F866" s="26"/>
      <c r="G866" s="26" t="str">
        <f t="shared" si="2"/>
        <v>#N/A</v>
      </c>
      <c r="H866" s="26" t="str">
        <f t="shared" si="3"/>
        <v>#N/A</v>
      </c>
    </row>
    <row r="867">
      <c r="C867" s="26"/>
      <c r="F867" s="26"/>
      <c r="G867" s="26" t="str">
        <f t="shared" si="2"/>
        <v>#N/A</v>
      </c>
      <c r="H867" s="26" t="str">
        <f t="shared" si="3"/>
        <v>#N/A</v>
      </c>
    </row>
    <row r="868">
      <c r="C868" s="26"/>
      <c r="F868" s="26"/>
      <c r="G868" s="26" t="str">
        <f t="shared" si="2"/>
        <v>#N/A</v>
      </c>
      <c r="H868" s="26" t="str">
        <f t="shared" si="3"/>
        <v>#N/A</v>
      </c>
    </row>
    <row r="869">
      <c r="C869" s="26"/>
      <c r="F869" s="26"/>
      <c r="G869" s="26" t="str">
        <f t="shared" si="2"/>
        <v>#N/A</v>
      </c>
      <c r="H869" s="26" t="str">
        <f t="shared" si="3"/>
        <v>#N/A</v>
      </c>
    </row>
    <row r="870">
      <c r="C870" s="26"/>
      <c r="F870" s="26"/>
      <c r="G870" s="26" t="str">
        <f t="shared" si="2"/>
        <v>#N/A</v>
      </c>
      <c r="H870" s="26" t="str">
        <f t="shared" si="3"/>
        <v>#N/A</v>
      </c>
    </row>
    <row r="871">
      <c r="C871" s="26"/>
      <c r="F871" s="26"/>
      <c r="G871" s="26" t="str">
        <f t="shared" si="2"/>
        <v>#N/A</v>
      </c>
      <c r="H871" s="26" t="str">
        <f t="shared" si="3"/>
        <v>#N/A</v>
      </c>
    </row>
    <row r="872">
      <c r="C872" s="26"/>
      <c r="F872" s="26"/>
      <c r="G872" s="26" t="str">
        <f t="shared" si="2"/>
        <v>#N/A</v>
      </c>
      <c r="H872" s="26" t="str">
        <f t="shared" si="3"/>
        <v>#N/A</v>
      </c>
    </row>
    <row r="873">
      <c r="C873" s="26"/>
      <c r="F873" s="26"/>
      <c r="G873" s="26" t="str">
        <f t="shared" si="2"/>
        <v>#N/A</v>
      </c>
      <c r="H873" s="26" t="str">
        <f t="shared" si="3"/>
        <v>#N/A</v>
      </c>
    </row>
    <row r="874">
      <c r="C874" s="26"/>
      <c r="F874" s="26"/>
      <c r="G874" s="26" t="str">
        <f t="shared" si="2"/>
        <v>#N/A</v>
      </c>
      <c r="H874" s="26" t="str">
        <f t="shared" si="3"/>
        <v>#N/A</v>
      </c>
    </row>
    <row r="875">
      <c r="C875" s="26"/>
      <c r="F875" s="26"/>
      <c r="G875" s="26" t="str">
        <f t="shared" si="2"/>
        <v>#N/A</v>
      </c>
      <c r="H875" s="26" t="str">
        <f t="shared" si="3"/>
        <v>#N/A</v>
      </c>
    </row>
    <row r="876">
      <c r="C876" s="26"/>
      <c r="F876" s="26"/>
      <c r="G876" s="26" t="str">
        <f t="shared" si="2"/>
        <v>#N/A</v>
      </c>
      <c r="H876" s="26" t="str">
        <f t="shared" si="3"/>
        <v>#N/A</v>
      </c>
    </row>
    <row r="877">
      <c r="C877" s="26"/>
      <c r="F877" s="26"/>
      <c r="G877" s="26" t="str">
        <f t="shared" si="2"/>
        <v>#N/A</v>
      </c>
      <c r="H877" s="26" t="str">
        <f t="shared" si="3"/>
        <v>#N/A</v>
      </c>
    </row>
    <row r="878">
      <c r="C878" s="26"/>
      <c r="F878" s="26"/>
      <c r="G878" s="26" t="str">
        <f t="shared" si="2"/>
        <v>#N/A</v>
      </c>
      <c r="H878" s="26" t="str">
        <f t="shared" si="3"/>
        <v>#N/A</v>
      </c>
    </row>
    <row r="879">
      <c r="C879" s="26"/>
      <c r="F879" s="26"/>
      <c r="G879" s="26" t="str">
        <f t="shared" si="2"/>
        <v>#N/A</v>
      </c>
      <c r="H879" s="26" t="str">
        <f t="shared" si="3"/>
        <v>#N/A</v>
      </c>
    </row>
    <row r="880">
      <c r="C880" s="26"/>
      <c r="F880" s="26"/>
      <c r="G880" s="26" t="str">
        <f t="shared" si="2"/>
        <v>#N/A</v>
      </c>
      <c r="H880" s="26" t="str">
        <f t="shared" si="3"/>
        <v>#N/A</v>
      </c>
    </row>
    <row r="881">
      <c r="C881" s="26"/>
      <c r="F881" s="26"/>
      <c r="G881" s="26" t="str">
        <f t="shared" si="2"/>
        <v>#N/A</v>
      </c>
      <c r="H881" s="26" t="str">
        <f t="shared" si="3"/>
        <v>#N/A</v>
      </c>
    </row>
    <row r="882">
      <c r="C882" s="26"/>
      <c r="F882" s="26"/>
      <c r="G882" s="26" t="str">
        <f t="shared" si="2"/>
        <v>#N/A</v>
      </c>
      <c r="H882" s="26" t="str">
        <f t="shared" si="3"/>
        <v>#N/A</v>
      </c>
    </row>
    <row r="883">
      <c r="C883" s="26"/>
      <c r="F883" s="26"/>
      <c r="G883" s="26" t="str">
        <f t="shared" si="2"/>
        <v>#N/A</v>
      </c>
      <c r="H883" s="26" t="str">
        <f t="shared" si="3"/>
        <v>#N/A</v>
      </c>
    </row>
    <row r="884">
      <c r="C884" s="26"/>
      <c r="F884" s="26"/>
      <c r="G884" s="26" t="str">
        <f t="shared" si="2"/>
        <v>#N/A</v>
      </c>
      <c r="H884" s="26" t="str">
        <f t="shared" si="3"/>
        <v>#N/A</v>
      </c>
    </row>
    <row r="885">
      <c r="C885" s="26"/>
      <c r="F885" s="26"/>
      <c r="G885" s="26" t="str">
        <f t="shared" si="2"/>
        <v>#N/A</v>
      </c>
      <c r="H885" s="26" t="str">
        <f t="shared" si="3"/>
        <v>#N/A</v>
      </c>
    </row>
    <row r="886">
      <c r="C886" s="26"/>
      <c r="F886" s="26"/>
      <c r="G886" s="26" t="str">
        <f t="shared" si="2"/>
        <v>#N/A</v>
      </c>
      <c r="H886" s="26" t="str">
        <f t="shared" si="3"/>
        <v>#N/A</v>
      </c>
    </row>
    <row r="887">
      <c r="C887" s="26"/>
      <c r="F887" s="26"/>
      <c r="G887" s="26" t="str">
        <f t="shared" si="2"/>
        <v>#N/A</v>
      </c>
      <c r="H887" s="26" t="str">
        <f t="shared" si="3"/>
        <v>#N/A</v>
      </c>
    </row>
    <row r="888">
      <c r="C888" s="26"/>
      <c r="F888" s="26"/>
      <c r="G888" s="26" t="str">
        <f t="shared" si="2"/>
        <v>#N/A</v>
      </c>
      <c r="H888" s="26" t="str">
        <f t="shared" si="3"/>
        <v>#N/A</v>
      </c>
    </row>
    <row r="889">
      <c r="C889" s="26"/>
      <c r="F889" s="26"/>
      <c r="G889" s="26" t="str">
        <f t="shared" si="2"/>
        <v>#N/A</v>
      </c>
      <c r="H889" s="26" t="str">
        <f t="shared" si="3"/>
        <v>#N/A</v>
      </c>
    </row>
    <row r="890">
      <c r="C890" s="26"/>
      <c r="F890" s="26"/>
      <c r="G890" s="26" t="str">
        <f t="shared" si="2"/>
        <v>#N/A</v>
      </c>
      <c r="H890" s="26" t="str">
        <f t="shared" si="3"/>
        <v>#N/A</v>
      </c>
    </row>
    <row r="891">
      <c r="C891" s="26"/>
      <c r="F891" s="26"/>
      <c r="G891" s="26" t="str">
        <f t="shared" si="2"/>
        <v>#N/A</v>
      </c>
      <c r="H891" s="26" t="str">
        <f t="shared" si="3"/>
        <v>#N/A</v>
      </c>
    </row>
    <row r="892">
      <c r="C892" s="26"/>
      <c r="F892" s="26"/>
      <c r="G892" s="26" t="str">
        <f t="shared" si="2"/>
        <v>#N/A</v>
      </c>
      <c r="H892" s="26" t="str">
        <f t="shared" si="3"/>
        <v>#N/A</v>
      </c>
    </row>
    <row r="893">
      <c r="C893" s="26"/>
      <c r="F893" s="26"/>
      <c r="G893" s="26" t="str">
        <f t="shared" si="2"/>
        <v>#N/A</v>
      </c>
      <c r="H893" s="26" t="str">
        <f t="shared" si="3"/>
        <v>#N/A</v>
      </c>
    </row>
    <row r="894">
      <c r="C894" s="26"/>
      <c r="F894" s="26"/>
      <c r="G894" s="26" t="str">
        <f t="shared" si="2"/>
        <v>#N/A</v>
      </c>
      <c r="H894" s="26" t="str">
        <f t="shared" si="3"/>
        <v>#N/A</v>
      </c>
    </row>
    <row r="895">
      <c r="C895" s="26"/>
      <c r="F895" s="26"/>
      <c r="G895" s="26" t="str">
        <f t="shared" si="2"/>
        <v>#N/A</v>
      </c>
      <c r="H895" s="26" t="str">
        <f t="shared" si="3"/>
        <v>#N/A</v>
      </c>
    </row>
    <row r="896">
      <c r="C896" s="26"/>
      <c r="F896" s="26"/>
      <c r="G896" s="26" t="str">
        <f t="shared" si="2"/>
        <v>#N/A</v>
      </c>
      <c r="H896" s="26" t="str">
        <f t="shared" si="3"/>
        <v>#N/A</v>
      </c>
    </row>
    <row r="897">
      <c r="C897" s="26"/>
      <c r="F897" s="26"/>
      <c r="G897" s="26" t="str">
        <f t="shared" si="2"/>
        <v>#N/A</v>
      </c>
      <c r="H897" s="26" t="str">
        <f t="shared" si="3"/>
        <v>#N/A</v>
      </c>
    </row>
    <row r="898">
      <c r="C898" s="26"/>
      <c r="F898" s="26"/>
      <c r="G898" s="26" t="str">
        <f t="shared" si="2"/>
        <v>#N/A</v>
      </c>
      <c r="H898" s="26" t="str">
        <f t="shared" si="3"/>
        <v>#N/A</v>
      </c>
    </row>
    <row r="899">
      <c r="C899" s="26"/>
      <c r="F899" s="26"/>
      <c r="G899" s="26" t="str">
        <f t="shared" si="2"/>
        <v>#N/A</v>
      </c>
      <c r="H899" s="26" t="str">
        <f t="shared" si="3"/>
        <v>#N/A</v>
      </c>
    </row>
    <row r="900">
      <c r="C900" s="26"/>
      <c r="F900" s="26"/>
      <c r="G900" s="26" t="str">
        <f t="shared" si="2"/>
        <v>#N/A</v>
      </c>
      <c r="H900" s="26" t="str">
        <f t="shared" si="3"/>
        <v>#N/A</v>
      </c>
    </row>
    <row r="901">
      <c r="C901" s="26"/>
      <c r="F901" s="26"/>
      <c r="G901" s="26" t="str">
        <f t="shared" si="2"/>
        <v>#N/A</v>
      </c>
      <c r="H901" s="26" t="str">
        <f t="shared" si="3"/>
        <v>#N/A</v>
      </c>
    </row>
    <row r="902">
      <c r="C902" s="26"/>
      <c r="F902" s="26"/>
      <c r="G902" s="26" t="str">
        <f t="shared" si="2"/>
        <v>#N/A</v>
      </c>
      <c r="H902" s="26" t="str">
        <f t="shared" si="3"/>
        <v>#N/A</v>
      </c>
    </row>
    <row r="903">
      <c r="C903" s="26"/>
      <c r="F903" s="26"/>
      <c r="G903" s="26" t="str">
        <f t="shared" si="2"/>
        <v>#N/A</v>
      </c>
      <c r="H903" s="26" t="str">
        <f t="shared" si="3"/>
        <v>#N/A</v>
      </c>
    </row>
    <row r="904">
      <c r="C904" s="26"/>
      <c r="F904" s="26"/>
      <c r="G904" s="26" t="str">
        <f t="shared" si="2"/>
        <v>#N/A</v>
      </c>
      <c r="H904" s="26" t="str">
        <f t="shared" si="3"/>
        <v>#N/A</v>
      </c>
    </row>
    <row r="905">
      <c r="C905" s="26"/>
      <c r="F905" s="26"/>
      <c r="G905" s="26" t="str">
        <f t="shared" si="2"/>
        <v>#N/A</v>
      </c>
      <c r="H905" s="26" t="str">
        <f t="shared" si="3"/>
        <v>#N/A</v>
      </c>
    </row>
    <row r="906">
      <c r="C906" s="26"/>
      <c r="F906" s="26"/>
      <c r="G906" s="26" t="str">
        <f t="shared" si="2"/>
        <v>#N/A</v>
      </c>
      <c r="H906" s="26" t="str">
        <f t="shared" si="3"/>
        <v>#N/A</v>
      </c>
    </row>
    <row r="907">
      <c r="C907" s="26"/>
      <c r="F907" s="26"/>
      <c r="G907" s="26" t="str">
        <f t="shared" si="2"/>
        <v>#N/A</v>
      </c>
      <c r="H907" s="26" t="str">
        <f t="shared" si="3"/>
        <v>#N/A</v>
      </c>
    </row>
    <row r="908">
      <c r="C908" s="26"/>
      <c r="F908" s="26"/>
      <c r="G908" s="26" t="str">
        <f t="shared" si="2"/>
        <v>#N/A</v>
      </c>
      <c r="H908" s="26" t="str">
        <f t="shared" si="3"/>
        <v>#N/A</v>
      </c>
    </row>
    <row r="909">
      <c r="C909" s="26"/>
      <c r="F909" s="26"/>
      <c r="G909" s="26" t="str">
        <f t="shared" si="2"/>
        <v>#N/A</v>
      </c>
      <c r="H909" s="26" t="str">
        <f t="shared" si="3"/>
        <v>#N/A</v>
      </c>
    </row>
    <row r="910">
      <c r="C910" s="26"/>
      <c r="F910" s="26"/>
      <c r="G910" s="26" t="str">
        <f t="shared" si="2"/>
        <v>#N/A</v>
      </c>
      <c r="H910" s="26" t="str">
        <f t="shared" si="3"/>
        <v>#N/A</v>
      </c>
    </row>
    <row r="911">
      <c r="C911" s="26"/>
      <c r="F911" s="26"/>
      <c r="G911" s="26" t="str">
        <f t="shared" si="2"/>
        <v>#N/A</v>
      </c>
      <c r="H911" s="26" t="str">
        <f t="shared" si="3"/>
        <v>#N/A</v>
      </c>
    </row>
    <row r="912">
      <c r="C912" s="26"/>
      <c r="F912" s="26"/>
      <c r="G912" s="26" t="str">
        <f t="shared" si="2"/>
        <v>#N/A</v>
      </c>
      <c r="H912" s="26" t="str">
        <f t="shared" si="3"/>
        <v>#N/A</v>
      </c>
    </row>
    <row r="913">
      <c r="C913" s="26"/>
      <c r="F913" s="26"/>
      <c r="G913" s="26" t="str">
        <f t="shared" si="2"/>
        <v>#N/A</v>
      </c>
      <c r="H913" s="26" t="str">
        <f t="shared" si="3"/>
        <v>#N/A</v>
      </c>
    </row>
    <row r="914">
      <c r="C914" s="26"/>
      <c r="F914" s="26"/>
      <c r="G914" s="26" t="str">
        <f t="shared" si="2"/>
        <v>#N/A</v>
      </c>
      <c r="H914" s="26" t="str">
        <f t="shared" si="3"/>
        <v>#N/A</v>
      </c>
    </row>
    <row r="915">
      <c r="C915" s="26"/>
      <c r="F915" s="26"/>
      <c r="G915" s="26" t="str">
        <f t="shared" si="2"/>
        <v>#N/A</v>
      </c>
      <c r="H915" s="26" t="str">
        <f t="shared" si="3"/>
        <v>#N/A</v>
      </c>
    </row>
    <row r="916">
      <c r="C916" s="26"/>
      <c r="F916" s="26"/>
      <c r="G916" s="26" t="str">
        <f t="shared" si="2"/>
        <v>#N/A</v>
      </c>
      <c r="H916" s="26" t="str">
        <f t="shared" si="3"/>
        <v>#N/A</v>
      </c>
    </row>
    <row r="917">
      <c r="C917" s="26"/>
      <c r="F917" s="26"/>
      <c r="G917" s="26" t="str">
        <f t="shared" si="2"/>
        <v>#N/A</v>
      </c>
      <c r="H917" s="26" t="str">
        <f t="shared" si="3"/>
        <v>#N/A</v>
      </c>
    </row>
    <row r="918">
      <c r="C918" s="26"/>
      <c r="F918" s="26"/>
      <c r="G918" s="26" t="str">
        <f t="shared" si="2"/>
        <v>#N/A</v>
      </c>
      <c r="H918" s="26" t="str">
        <f t="shared" si="3"/>
        <v>#N/A</v>
      </c>
    </row>
    <row r="919">
      <c r="C919" s="26"/>
      <c r="F919" s="26"/>
      <c r="G919" s="26" t="str">
        <f t="shared" si="2"/>
        <v>#N/A</v>
      </c>
      <c r="H919" s="26" t="str">
        <f t="shared" si="3"/>
        <v>#N/A</v>
      </c>
    </row>
    <row r="920">
      <c r="C920" s="26"/>
      <c r="F920" s="26"/>
      <c r="G920" s="26" t="str">
        <f t="shared" si="2"/>
        <v>#N/A</v>
      </c>
      <c r="H920" s="26" t="str">
        <f t="shared" si="3"/>
        <v>#N/A</v>
      </c>
    </row>
    <row r="921">
      <c r="C921" s="26"/>
      <c r="F921" s="26"/>
      <c r="G921" s="26" t="str">
        <f t="shared" si="2"/>
        <v>#N/A</v>
      </c>
      <c r="H921" s="26" t="str">
        <f t="shared" si="3"/>
        <v>#N/A</v>
      </c>
    </row>
    <row r="922">
      <c r="C922" s="26"/>
      <c r="F922" s="26"/>
      <c r="G922" s="26" t="str">
        <f t="shared" si="2"/>
        <v>#N/A</v>
      </c>
      <c r="H922" s="26" t="str">
        <f t="shared" si="3"/>
        <v>#N/A</v>
      </c>
    </row>
    <row r="923">
      <c r="C923" s="26"/>
      <c r="F923" s="26"/>
      <c r="G923" s="26" t="str">
        <f t="shared" si="2"/>
        <v>#N/A</v>
      </c>
      <c r="H923" s="26" t="str">
        <f t="shared" si="3"/>
        <v>#N/A</v>
      </c>
    </row>
    <row r="924">
      <c r="C924" s="26"/>
      <c r="F924" s="26"/>
      <c r="G924" s="26" t="str">
        <f t="shared" si="2"/>
        <v>#N/A</v>
      </c>
      <c r="H924" s="26" t="str">
        <f t="shared" si="3"/>
        <v>#N/A</v>
      </c>
    </row>
    <row r="925">
      <c r="C925" s="26"/>
      <c r="F925" s="26"/>
      <c r="G925" s="26" t="str">
        <f t="shared" si="2"/>
        <v>#N/A</v>
      </c>
      <c r="H925" s="26" t="str">
        <f t="shared" si="3"/>
        <v>#N/A</v>
      </c>
    </row>
    <row r="926">
      <c r="C926" s="26"/>
      <c r="F926" s="26"/>
      <c r="G926" s="26" t="str">
        <f t="shared" si="2"/>
        <v>#N/A</v>
      </c>
      <c r="H926" s="26" t="str">
        <f t="shared" si="3"/>
        <v>#N/A</v>
      </c>
    </row>
    <row r="927">
      <c r="C927" s="26"/>
      <c r="F927" s="26"/>
      <c r="G927" s="26" t="str">
        <f t="shared" si="2"/>
        <v>#N/A</v>
      </c>
      <c r="H927" s="26" t="str">
        <f t="shared" si="3"/>
        <v>#N/A</v>
      </c>
    </row>
    <row r="928">
      <c r="C928" s="26"/>
      <c r="F928" s="26"/>
      <c r="G928" s="26" t="str">
        <f t="shared" si="2"/>
        <v>#N/A</v>
      </c>
      <c r="H928" s="26" t="str">
        <f t="shared" si="3"/>
        <v>#N/A</v>
      </c>
    </row>
    <row r="929">
      <c r="C929" s="26"/>
      <c r="F929" s="26"/>
      <c r="G929" s="26" t="str">
        <f t="shared" si="2"/>
        <v>#N/A</v>
      </c>
      <c r="H929" s="26" t="str">
        <f t="shared" si="3"/>
        <v>#N/A</v>
      </c>
    </row>
    <row r="930">
      <c r="C930" s="26"/>
      <c r="F930" s="26"/>
      <c r="G930" s="26" t="str">
        <f t="shared" si="2"/>
        <v>#N/A</v>
      </c>
      <c r="H930" s="26" t="str">
        <f t="shared" si="3"/>
        <v>#N/A</v>
      </c>
    </row>
    <row r="931">
      <c r="C931" s="26"/>
      <c r="F931" s="26"/>
      <c r="G931" s="26" t="str">
        <f t="shared" si="2"/>
        <v>#N/A</v>
      </c>
      <c r="H931" s="26" t="str">
        <f t="shared" si="3"/>
        <v>#N/A</v>
      </c>
    </row>
    <row r="932">
      <c r="C932" s="26"/>
      <c r="F932" s="26"/>
      <c r="G932" s="26" t="str">
        <f t="shared" si="2"/>
        <v>#N/A</v>
      </c>
      <c r="H932" s="26" t="str">
        <f t="shared" si="3"/>
        <v>#N/A</v>
      </c>
    </row>
    <row r="933">
      <c r="C933" s="26"/>
      <c r="F933" s="26"/>
      <c r="G933" s="26" t="str">
        <f t="shared" si="2"/>
        <v>#N/A</v>
      </c>
      <c r="H933" s="26" t="str">
        <f t="shared" si="3"/>
        <v>#N/A</v>
      </c>
    </row>
    <row r="934">
      <c r="C934" s="26"/>
      <c r="F934" s="26"/>
      <c r="G934" s="26" t="str">
        <f t="shared" si="2"/>
        <v>#N/A</v>
      </c>
      <c r="H934" s="26" t="str">
        <f t="shared" si="3"/>
        <v>#N/A</v>
      </c>
    </row>
    <row r="935">
      <c r="C935" s="26"/>
      <c r="F935" s="26"/>
      <c r="G935" s="26" t="str">
        <f t="shared" si="2"/>
        <v>#N/A</v>
      </c>
      <c r="H935" s="26" t="str">
        <f t="shared" si="3"/>
        <v>#N/A</v>
      </c>
    </row>
    <row r="936">
      <c r="C936" s="26"/>
      <c r="F936" s="26"/>
      <c r="G936" s="26" t="str">
        <f t="shared" si="2"/>
        <v>#N/A</v>
      </c>
      <c r="H936" s="26" t="str">
        <f t="shared" si="3"/>
        <v>#N/A</v>
      </c>
    </row>
    <row r="937">
      <c r="C937" s="26"/>
      <c r="F937" s="26"/>
      <c r="G937" s="26" t="str">
        <f t="shared" si="2"/>
        <v>#N/A</v>
      </c>
      <c r="H937" s="26" t="str">
        <f t="shared" si="3"/>
        <v>#N/A</v>
      </c>
    </row>
    <row r="938">
      <c r="C938" s="26"/>
      <c r="F938" s="26"/>
      <c r="G938" s="26" t="str">
        <f t="shared" si="2"/>
        <v>#N/A</v>
      </c>
      <c r="H938" s="26" t="str">
        <f t="shared" si="3"/>
        <v>#N/A</v>
      </c>
    </row>
    <row r="939">
      <c r="C939" s="26"/>
      <c r="F939" s="26"/>
      <c r="G939" s="26" t="str">
        <f t="shared" si="2"/>
        <v>#N/A</v>
      </c>
      <c r="H939" s="26" t="str">
        <f t="shared" si="3"/>
        <v>#N/A</v>
      </c>
    </row>
    <row r="940">
      <c r="C940" s="26"/>
      <c r="F940" s="26"/>
      <c r="G940" s="26" t="str">
        <f t="shared" si="2"/>
        <v>#N/A</v>
      </c>
      <c r="H940" s="26" t="str">
        <f t="shared" si="3"/>
        <v>#N/A</v>
      </c>
    </row>
    <row r="941">
      <c r="C941" s="26"/>
      <c r="F941" s="26"/>
      <c r="G941" s="26" t="str">
        <f t="shared" si="2"/>
        <v>#N/A</v>
      </c>
      <c r="H941" s="26" t="str">
        <f t="shared" si="3"/>
        <v>#N/A</v>
      </c>
    </row>
    <row r="942">
      <c r="C942" s="26"/>
      <c r="F942" s="26"/>
      <c r="G942" s="26" t="str">
        <f t="shared" si="2"/>
        <v>#N/A</v>
      </c>
      <c r="H942" s="26" t="str">
        <f t="shared" si="3"/>
        <v>#N/A</v>
      </c>
    </row>
    <row r="943">
      <c r="C943" s="26"/>
      <c r="F943" s="26"/>
      <c r="G943" s="26" t="str">
        <f t="shared" si="2"/>
        <v>#N/A</v>
      </c>
      <c r="H943" s="26" t="str">
        <f t="shared" si="3"/>
        <v>#N/A</v>
      </c>
    </row>
    <row r="944">
      <c r="C944" s="26"/>
      <c r="F944" s="26"/>
      <c r="G944" s="26" t="str">
        <f t="shared" si="2"/>
        <v>#N/A</v>
      </c>
      <c r="H944" s="26" t="str">
        <f t="shared" si="3"/>
        <v>#N/A</v>
      </c>
    </row>
    <row r="945">
      <c r="C945" s="26"/>
      <c r="F945" s="26"/>
      <c r="G945" s="26" t="str">
        <f t="shared" si="2"/>
        <v>#N/A</v>
      </c>
      <c r="H945" s="26" t="str">
        <f t="shared" si="3"/>
        <v>#N/A</v>
      </c>
    </row>
    <row r="946">
      <c r="C946" s="26"/>
      <c r="F946" s="26"/>
      <c r="G946" s="26" t="str">
        <f t="shared" si="2"/>
        <v>#N/A</v>
      </c>
      <c r="H946" s="26" t="str">
        <f t="shared" si="3"/>
        <v>#N/A</v>
      </c>
    </row>
    <row r="947">
      <c r="C947" s="26"/>
      <c r="F947" s="26"/>
      <c r="G947" s="26" t="str">
        <f t="shared" si="2"/>
        <v>#N/A</v>
      </c>
      <c r="H947" s="26" t="str">
        <f t="shared" si="3"/>
        <v>#N/A</v>
      </c>
    </row>
    <row r="948">
      <c r="C948" s="26"/>
      <c r="F948" s="26"/>
      <c r="G948" s="26" t="str">
        <f t="shared" si="2"/>
        <v>#N/A</v>
      </c>
      <c r="H948" s="26" t="str">
        <f t="shared" si="3"/>
        <v>#N/A</v>
      </c>
    </row>
    <row r="949">
      <c r="C949" s="26"/>
      <c r="F949" s="26"/>
      <c r="G949" s="26" t="str">
        <f t="shared" si="2"/>
        <v>#N/A</v>
      </c>
      <c r="H949" s="26" t="str">
        <f t="shared" si="3"/>
        <v>#N/A</v>
      </c>
    </row>
    <row r="950">
      <c r="C950" s="26"/>
      <c r="F950" s="26"/>
      <c r="G950" s="26" t="str">
        <f t="shared" si="2"/>
        <v>#N/A</v>
      </c>
      <c r="H950" s="26" t="str">
        <f t="shared" si="3"/>
        <v>#N/A</v>
      </c>
    </row>
    <row r="951">
      <c r="C951" s="26"/>
      <c r="F951" s="26"/>
      <c r="G951" s="26" t="str">
        <f t="shared" si="2"/>
        <v>#N/A</v>
      </c>
      <c r="H951" s="26" t="str">
        <f t="shared" si="3"/>
        <v>#N/A</v>
      </c>
    </row>
    <row r="952">
      <c r="C952" s="26"/>
      <c r="F952" s="26"/>
      <c r="G952" s="26" t="str">
        <f t="shared" si="2"/>
        <v>#N/A</v>
      </c>
      <c r="H952" s="26" t="str">
        <f t="shared" si="3"/>
        <v>#N/A</v>
      </c>
    </row>
    <row r="953">
      <c r="C953" s="26"/>
      <c r="F953" s="26"/>
      <c r="G953" s="26" t="str">
        <f t="shared" si="2"/>
        <v>#N/A</v>
      </c>
      <c r="H953" s="26" t="str">
        <f t="shared" si="3"/>
        <v>#N/A</v>
      </c>
    </row>
    <row r="954">
      <c r="C954" s="26"/>
      <c r="F954" s="26"/>
      <c r="G954" s="26" t="str">
        <f t="shared" si="2"/>
        <v>#N/A</v>
      </c>
      <c r="H954" s="26" t="str">
        <f t="shared" si="3"/>
        <v>#N/A</v>
      </c>
    </row>
    <row r="955">
      <c r="C955" s="26"/>
      <c r="F955" s="26"/>
      <c r="G955" s="26" t="str">
        <f t="shared" si="2"/>
        <v>#N/A</v>
      </c>
      <c r="H955" s="26" t="str">
        <f t="shared" si="3"/>
        <v>#N/A</v>
      </c>
    </row>
    <row r="956">
      <c r="C956" s="26"/>
      <c r="F956" s="26"/>
      <c r="G956" s="26" t="str">
        <f t="shared" si="2"/>
        <v>#N/A</v>
      </c>
      <c r="H956" s="26" t="str">
        <f t="shared" si="3"/>
        <v>#N/A</v>
      </c>
    </row>
    <row r="957">
      <c r="C957" s="26"/>
      <c r="F957" s="26"/>
      <c r="G957" s="26" t="str">
        <f t="shared" si="2"/>
        <v>#N/A</v>
      </c>
      <c r="H957" s="26" t="str">
        <f t="shared" si="3"/>
        <v>#N/A</v>
      </c>
    </row>
    <row r="958">
      <c r="C958" s="26"/>
      <c r="F958" s="26"/>
      <c r="G958" s="26" t="str">
        <f t="shared" si="2"/>
        <v>#N/A</v>
      </c>
      <c r="H958" s="26" t="str">
        <f t="shared" si="3"/>
        <v>#N/A</v>
      </c>
    </row>
    <row r="959">
      <c r="C959" s="26"/>
      <c r="F959" s="26"/>
      <c r="G959" s="26" t="str">
        <f t="shared" si="2"/>
        <v>#N/A</v>
      </c>
      <c r="H959" s="26" t="str">
        <f t="shared" si="3"/>
        <v>#N/A</v>
      </c>
    </row>
    <row r="960">
      <c r="C960" s="26"/>
      <c r="F960" s="26"/>
      <c r="G960" s="26" t="str">
        <f t="shared" si="2"/>
        <v>#N/A</v>
      </c>
      <c r="H960" s="26" t="str">
        <f t="shared" si="3"/>
        <v>#N/A</v>
      </c>
    </row>
    <row r="961">
      <c r="C961" s="26"/>
      <c r="F961" s="26"/>
      <c r="G961" s="26" t="str">
        <f t="shared" si="2"/>
        <v>#N/A</v>
      </c>
      <c r="H961" s="26" t="str">
        <f t="shared" si="3"/>
        <v>#N/A</v>
      </c>
    </row>
    <row r="962">
      <c r="C962" s="26"/>
      <c r="F962" s="26"/>
      <c r="G962" s="26" t="str">
        <f t="shared" si="2"/>
        <v>#N/A</v>
      </c>
      <c r="H962" s="26" t="str">
        <f t="shared" si="3"/>
        <v>#N/A</v>
      </c>
    </row>
    <row r="963">
      <c r="C963" s="26"/>
      <c r="F963" s="26"/>
      <c r="G963" s="26" t="str">
        <f t="shared" si="2"/>
        <v>#N/A</v>
      </c>
      <c r="H963" s="26" t="str">
        <f t="shared" si="3"/>
        <v>#N/A</v>
      </c>
    </row>
    <row r="964">
      <c r="C964" s="26"/>
      <c r="F964" s="26"/>
      <c r="G964" s="26" t="str">
        <f t="shared" si="2"/>
        <v>#N/A</v>
      </c>
      <c r="H964" s="26" t="str">
        <f t="shared" si="3"/>
        <v>#N/A</v>
      </c>
    </row>
    <row r="965">
      <c r="C965" s="26"/>
      <c r="F965" s="26"/>
      <c r="G965" s="26" t="str">
        <f t="shared" si="2"/>
        <v>#N/A</v>
      </c>
      <c r="H965" s="26" t="str">
        <f t="shared" si="3"/>
        <v>#N/A</v>
      </c>
    </row>
    <row r="966">
      <c r="C966" s="26"/>
      <c r="F966" s="26"/>
      <c r="G966" s="26" t="str">
        <f t="shared" si="2"/>
        <v>#N/A</v>
      </c>
      <c r="H966" s="26" t="str">
        <f t="shared" si="3"/>
        <v>#N/A</v>
      </c>
    </row>
    <row r="967">
      <c r="C967" s="26"/>
      <c r="F967" s="26"/>
      <c r="G967" s="26" t="str">
        <f t="shared" si="2"/>
        <v>#N/A</v>
      </c>
      <c r="H967" s="26" t="str">
        <f t="shared" si="3"/>
        <v>#N/A</v>
      </c>
    </row>
    <row r="968">
      <c r="C968" s="26"/>
      <c r="F968" s="26"/>
      <c r="G968" s="26" t="str">
        <f t="shared" si="2"/>
        <v>#N/A</v>
      </c>
      <c r="H968" s="26" t="str">
        <f t="shared" si="3"/>
        <v>#N/A</v>
      </c>
    </row>
    <row r="969">
      <c r="C969" s="26"/>
      <c r="F969" s="26"/>
      <c r="G969" s="26" t="str">
        <f t="shared" si="2"/>
        <v>#N/A</v>
      </c>
      <c r="H969" s="26" t="str">
        <f t="shared" si="3"/>
        <v>#N/A</v>
      </c>
    </row>
    <row r="970">
      <c r="C970" s="26"/>
      <c r="F970" s="26"/>
      <c r="G970" s="26" t="str">
        <f t="shared" si="2"/>
        <v>#N/A</v>
      </c>
      <c r="H970" s="26" t="str">
        <f t="shared" si="3"/>
        <v>#N/A</v>
      </c>
    </row>
    <row r="971">
      <c r="C971" s="26"/>
      <c r="F971" s="26"/>
      <c r="G971" s="26" t="str">
        <f t="shared" si="2"/>
        <v>#N/A</v>
      </c>
      <c r="H971" s="26" t="str">
        <f t="shared" si="3"/>
        <v>#N/A</v>
      </c>
    </row>
    <row r="972">
      <c r="C972" s="26"/>
      <c r="F972" s="26"/>
      <c r="G972" s="26" t="str">
        <f t="shared" si="2"/>
        <v>#N/A</v>
      </c>
      <c r="H972" s="26" t="str">
        <f t="shared" si="3"/>
        <v>#N/A</v>
      </c>
    </row>
    <row r="973">
      <c r="C973" s="26"/>
      <c r="F973" s="26"/>
      <c r="G973" s="26" t="str">
        <f t="shared" si="2"/>
        <v>#N/A</v>
      </c>
      <c r="H973" s="26" t="str">
        <f t="shared" si="3"/>
        <v>#N/A</v>
      </c>
    </row>
    <row r="974">
      <c r="C974" s="26"/>
      <c r="F974" s="26"/>
      <c r="G974" s="26" t="str">
        <f t="shared" si="2"/>
        <v>#N/A</v>
      </c>
      <c r="H974" s="26" t="str">
        <f t="shared" si="3"/>
        <v>#N/A</v>
      </c>
    </row>
    <row r="975">
      <c r="C975" s="26"/>
      <c r="F975" s="26"/>
      <c r="G975" s="26" t="str">
        <f t="shared" si="2"/>
        <v>#N/A</v>
      </c>
      <c r="H975" s="26" t="str">
        <f t="shared" si="3"/>
        <v>#N/A</v>
      </c>
    </row>
    <row r="976">
      <c r="C976" s="26"/>
      <c r="F976" s="26"/>
      <c r="G976" s="26" t="str">
        <f t="shared" si="2"/>
        <v>#N/A</v>
      </c>
      <c r="H976" s="26" t="str">
        <f t="shared" si="3"/>
        <v>#N/A</v>
      </c>
    </row>
    <row r="977">
      <c r="C977" s="26"/>
      <c r="F977" s="26"/>
      <c r="G977" s="26" t="str">
        <f t="shared" si="2"/>
        <v>#N/A</v>
      </c>
      <c r="H977" s="26" t="str">
        <f t="shared" si="3"/>
        <v>#N/A</v>
      </c>
    </row>
    <row r="978">
      <c r="C978" s="26"/>
      <c r="F978" s="26"/>
      <c r="G978" s="26" t="str">
        <f t="shared" si="2"/>
        <v>#N/A</v>
      </c>
      <c r="H978" s="26" t="str">
        <f t="shared" si="3"/>
        <v>#N/A</v>
      </c>
    </row>
    <row r="979">
      <c r="C979" s="26"/>
      <c r="F979" s="26"/>
      <c r="G979" s="26" t="str">
        <f t="shared" si="2"/>
        <v>#N/A</v>
      </c>
      <c r="H979" s="26" t="str">
        <f t="shared" si="3"/>
        <v>#N/A</v>
      </c>
    </row>
    <row r="980">
      <c r="C980" s="26"/>
      <c r="F980" s="26"/>
      <c r="G980" s="26" t="str">
        <f t="shared" si="2"/>
        <v>#N/A</v>
      </c>
      <c r="H980" s="26" t="str">
        <f t="shared" si="3"/>
        <v>#N/A</v>
      </c>
    </row>
    <row r="981">
      <c r="C981" s="26"/>
      <c r="F981" s="26"/>
      <c r="G981" s="26" t="str">
        <f t="shared" si="2"/>
        <v>#N/A</v>
      </c>
      <c r="H981" s="26" t="str">
        <f t="shared" si="3"/>
        <v>#N/A</v>
      </c>
    </row>
    <row r="982">
      <c r="C982" s="26"/>
      <c r="F982" s="26"/>
      <c r="G982" s="26" t="str">
        <f t="shared" si="2"/>
        <v>#N/A</v>
      </c>
      <c r="H982" s="26" t="str">
        <f t="shared" si="3"/>
        <v>#N/A</v>
      </c>
    </row>
    <row r="983">
      <c r="C983" s="26"/>
      <c r="F983" s="26"/>
      <c r="G983" s="26" t="str">
        <f t="shared" si="2"/>
        <v>#N/A</v>
      </c>
      <c r="H983" s="26" t="str">
        <f t="shared" si="3"/>
        <v>#N/A</v>
      </c>
    </row>
    <row r="984">
      <c r="C984" s="26"/>
      <c r="F984" s="26"/>
      <c r="G984" s="26" t="str">
        <f t="shared" si="2"/>
        <v>#N/A</v>
      </c>
      <c r="H984" s="26" t="str">
        <f t="shared" si="3"/>
        <v>#N/A</v>
      </c>
    </row>
    <row r="985">
      <c r="C985" s="26"/>
      <c r="F985" s="26"/>
      <c r="G985" s="26" t="str">
        <f t="shared" si="2"/>
        <v>#N/A</v>
      </c>
      <c r="H985" s="26" t="str">
        <f t="shared" si="3"/>
        <v>#N/A</v>
      </c>
    </row>
    <row r="986">
      <c r="C986" s="26"/>
      <c r="F986" s="26"/>
      <c r="G986" s="26" t="str">
        <f t="shared" si="2"/>
        <v>#N/A</v>
      </c>
      <c r="H986" s="26" t="str">
        <f t="shared" si="3"/>
        <v>#N/A</v>
      </c>
    </row>
    <row r="987">
      <c r="C987" s="26"/>
      <c r="F987" s="26"/>
      <c r="G987" s="26" t="str">
        <f t="shared" si="2"/>
        <v>#N/A</v>
      </c>
      <c r="H987" s="26" t="str">
        <f t="shared" si="3"/>
        <v>#N/A</v>
      </c>
    </row>
    <row r="988">
      <c r="C988" s="26"/>
      <c r="F988" s="26"/>
      <c r="G988" s="26" t="str">
        <f t="shared" si="2"/>
        <v>#N/A</v>
      </c>
      <c r="H988" s="26" t="str">
        <f t="shared" si="3"/>
        <v>#N/A</v>
      </c>
    </row>
    <row r="989">
      <c r="C989" s="26"/>
      <c r="F989" s="26"/>
      <c r="G989" s="26" t="str">
        <f t="shared" si="2"/>
        <v>#N/A</v>
      </c>
      <c r="H989" s="26" t="str">
        <f t="shared" si="3"/>
        <v>#N/A</v>
      </c>
    </row>
    <row r="990">
      <c r="C990" s="26"/>
      <c r="F990" s="26"/>
      <c r="G990" s="26" t="str">
        <f t="shared" si="2"/>
        <v>#N/A</v>
      </c>
      <c r="H990" s="26" t="str">
        <f t="shared" si="3"/>
        <v>#N/A</v>
      </c>
    </row>
    <row r="991">
      <c r="C991" s="26"/>
      <c r="F991" s="26"/>
      <c r="G991" s="26" t="str">
        <f t="shared" si="2"/>
        <v>#N/A</v>
      </c>
      <c r="H991" s="26" t="str">
        <f t="shared" si="3"/>
        <v>#N/A</v>
      </c>
    </row>
    <row r="992">
      <c r="C992" s="26"/>
      <c r="F992" s="26"/>
      <c r="G992" s="26" t="str">
        <f t="shared" si="2"/>
        <v>#N/A</v>
      </c>
      <c r="H992" s="26" t="str">
        <f t="shared" si="3"/>
        <v>#N/A</v>
      </c>
    </row>
    <row r="993">
      <c r="C993" s="26"/>
      <c r="F993" s="26"/>
      <c r="G993" s="26" t="str">
        <f t="shared" si="2"/>
        <v>#N/A</v>
      </c>
      <c r="H993" s="26" t="str">
        <f t="shared" si="3"/>
        <v>#N/A</v>
      </c>
    </row>
    <row r="994">
      <c r="C994" s="26"/>
      <c r="F994" s="26"/>
      <c r="G994" s="26" t="str">
        <f t="shared" si="2"/>
        <v>#N/A</v>
      </c>
      <c r="H994" s="26" t="str">
        <f t="shared" si="3"/>
        <v>#N/A</v>
      </c>
    </row>
    <row r="995">
      <c r="C995" s="26"/>
      <c r="F995" s="26"/>
      <c r="G995" s="26" t="str">
        <f t="shared" si="2"/>
        <v>#N/A</v>
      </c>
      <c r="H995" s="26" t="str">
        <f t="shared" si="3"/>
        <v>#N/A</v>
      </c>
    </row>
    <row r="996">
      <c r="C996" s="26"/>
      <c r="F996" s="26"/>
      <c r="G996" s="26" t="str">
        <f t="shared" si="2"/>
        <v>#N/A</v>
      </c>
      <c r="H996" s="26" t="str">
        <f t="shared" si="3"/>
        <v>#N/A</v>
      </c>
    </row>
    <row r="997">
      <c r="C997" s="26"/>
      <c r="F997" s="26"/>
      <c r="G997" s="26" t="str">
        <f t="shared" si="2"/>
        <v>#N/A</v>
      </c>
      <c r="H997" s="26" t="str">
        <f t="shared" si="3"/>
        <v>#N/A</v>
      </c>
    </row>
    <row r="998">
      <c r="C998" s="26"/>
      <c r="F998" s="26"/>
      <c r="G998" s="26" t="str">
        <f t="shared" si="2"/>
        <v>#N/A</v>
      </c>
      <c r="H998" s="26" t="str">
        <f t="shared" si="3"/>
        <v>#N/A</v>
      </c>
    </row>
    <row r="999">
      <c r="C999" s="26"/>
      <c r="F999" s="26"/>
      <c r="G999" s="26" t="str">
        <f t="shared" si="2"/>
        <v>#N/A</v>
      </c>
      <c r="H999" s="26" t="str">
        <f t="shared" si="3"/>
        <v>#N/A</v>
      </c>
    </row>
    <row r="1000">
      <c r="C1000" s="26"/>
      <c r="F1000" s="26"/>
      <c r="G1000" s="26" t="str">
        <f t="shared" si="2"/>
        <v>#N/A</v>
      </c>
      <c r="H1000" s="26" t="str">
        <f t="shared" si="3"/>
        <v>#N/A</v>
      </c>
    </row>
    <row r="1001">
      <c r="C1001" s="26"/>
      <c r="F1001" s="26"/>
      <c r="G1001" s="26" t="str">
        <f t="shared" si="2"/>
        <v>#N/A</v>
      </c>
      <c r="H1001" s="26" t="str">
        <f t="shared" si="3"/>
        <v>#N/A</v>
      </c>
    </row>
  </sheetData>
  <mergeCells count="3">
    <mergeCell ref="E1:F1"/>
    <mergeCell ref="G1:H1"/>
    <mergeCell ref="N1:Q1"/>
  </mergeCells>
  <conditionalFormatting sqref="H2:H1001">
    <cfRule type="cellIs" dxfId="0" priority="1" operator="lessThanOrEqual">
      <formula>0</formula>
    </cfRule>
  </conditionalFormatting>
  <conditionalFormatting sqref="I1">
    <cfRule type="containsText" dxfId="0" priority="2" operator="containsText" text="Error">
      <formula>NOT(ISERROR(SEARCH(("Error"),(I1))))</formula>
    </cfRule>
  </conditionalFormatting>
  <conditionalFormatting sqref="K2:AC98">
    <cfRule type="expression" dxfId="1" priority="3">
      <formula>$L$1&lt;&gt;""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57"/>
  </cols>
  <sheetData>
    <row r="1">
      <c r="A1" s="5" t="s">
        <v>2</v>
      </c>
      <c r="C1" s="9" t="s">
        <v>5</v>
      </c>
      <c r="D1" s="11" t="s">
        <v>9</v>
      </c>
      <c r="E1" s="11" t="s">
        <v>11</v>
      </c>
      <c r="F1" s="11" t="s">
        <v>13</v>
      </c>
      <c r="G1" s="14" t="s">
        <v>14</v>
      </c>
      <c r="H1" s="14" t="s">
        <v>16</v>
      </c>
      <c r="I1" s="14" t="s">
        <v>17</v>
      </c>
      <c r="J1" s="14" t="s">
        <v>18</v>
      </c>
      <c r="K1" s="14" t="s">
        <v>20</v>
      </c>
      <c r="L1" s="16" t="s">
        <v>21</v>
      </c>
    </row>
    <row r="2">
      <c r="C2" s="23">
        <f t="shared" ref="C2:K2" si="1">SUMIF($C$5:$C1003,C1,$K$5:$K1003)</f>
        <v>16300</v>
      </c>
      <c r="D2" s="23">
        <f t="shared" si="1"/>
        <v>40040</v>
      </c>
      <c r="E2" s="23">
        <f t="shared" si="1"/>
        <v>20660</v>
      </c>
      <c r="F2" s="23">
        <f t="shared" si="1"/>
        <v>21750</v>
      </c>
      <c r="G2" s="23">
        <f t="shared" si="1"/>
        <v>34900</v>
      </c>
      <c r="H2" s="23">
        <f t="shared" si="1"/>
        <v>29220</v>
      </c>
      <c r="I2" s="23">
        <f t="shared" si="1"/>
        <v>20190</v>
      </c>
      <c r="J2" s="23">
        <f t="shared" si="1"/>
        <v>0</v>
      </c>
      <c r="K2" s="23">
        <f t="shared" si="1"/>
        <v>0</v>
      </c>
      <c r="L2" s="31"/>
    </row>
    <row r="3">
      <c r="A3" s="5"/>
      <c r="B3" s="5"/>
      <c r="C3" s="33">
        <f t="shared" ref="C3:K3" si="2">SUMIF($C$5:$C1003,C1,$B$5:$B1003)</f>
        <v>160</v>
      </c>
      <c r="D3" s="33">
        <f t="shared" si="2"/>
        <v>552</v>
      </c>
      <c r="E3" s="33">
        <f t="shared" si="2"/>
        <v>364</v>
      </c>
      <c r="F3" s="33">
        <f t="shared" si="2"/>
        <v>298</v>
      </c>
      <c r="G3" s="33">
        <f t="shared" si="2"/>
        <v>394</v>
      </c>
      <c r="H3" s="33">
        <f t="shared" si="2"/>
        <v>302</v>
      </c>
      <c r="I3" s="33">
        <f t="shared" si="2"/>
        <v>220</v>
      </c>
      <c r="J3" s="33">
        <f t="shared" si="2"/>
        <v>0</v>
      </c>
      <c r="K3" s="33">
        <f t="shared" si="2"/>
        <v>0</v>
      </c>
      <c r="L3" s="38">
        <f>sum(C3:K3)</f>
        <v>2290</v>
      </c>
    </row>
    <row r="4">
      <c r="A4" s="40" t="s">
        <v>62</v>
      </c>
      <c r="B4" s="42" t="s">
        <v>67</v>
      </c>
      <c r="C4" s="42" t="s">
        <v>70</v>
      </c>
      <c r="D4" s="42" t="s">
        <v>72</v>
      </c>
      <c r="E4" s="42" t="s">
        <v>74</v>
      </c>
      <c r="F4" s="42" t="s">
        <v>77</v>
      </c>
      <c r="G4" s="45" t="s">
        <v>79</v>
      </c>
      <c r="H4" s="45" t="s">
        <v>83</v>
      </c>
      <c r="I4" s="54" t="s">
        <v>96</v>
      </c>
      <c r="J4" s="45"/>
      <c r="K4" s="56" t="s">
        <v>100</v>
      </c>
    </row>
    <row r="5">
      <c r="A5" s="26" t="str">
        <f>IFERROR(__xludf.DUMMYFUNCTION("Filter({Calculation!$B$4:$B1003,Calculation!$AF$4:$AF1003,Calculation!$AA$4:$AA1003,Calculation!$BB$4:$BB1003,Calculation!$BB$4:$BB1003,Calculation!$BB$4:$BB1003,Calculation!$S$4:$S1003,Calculation!$T$4:$T1003,Calculation!$U$4:$U1003},Calculation!AF4:AF10"&amp;"03&gt;0,Calculation!AF4:AF1003&lt;&gt;"""")"),"Apron_Black")</f>
        <v>Apron_Black</v>
      </c>
      <c r="B5" s="26">
        <f>IFERROR(__xludf.DUMMYFUNCTION("""COMPUTED_VALUE"""),2.0)</f>
        <v>2</v>
      </c>
      <c r="C5" s="26" t="str">
        <f>IFERROR(__xludf.DUMMYFUNCTION("""COMPUTED_VALUE"""),"BLR8")</f>
        <v>BLR8</v>
      </c>
      <c r="D5" s="26"/>
      <c r="E5" s="26"/>
      <c r="F5" s="26"/>
      <c r="G5" s="26">
        <f>IFERROR(__xludf.DUMMYFUNCTION("""COMPUTED_VALUE"""),392620.0)</f>
        <v>392620</v>
      </c>
      <c r="H5" s="26">
        <f>IFERROR(__xludf.DUMMYFUNCTION("""COMPUTED_VALUE"""),12.0)</f>
        <v>12</v>
      </c>
      <c r="I5" s="26">
        <f>IFERROR(__xludf.DUMMYFUNCTION("""COMPUTED_VALUE"""),60.0)</f>
        <v>60</v>
      </c>
      <c r="J5" s="26"/>
      <c r="K5" s="26">
        <f t="shared" ref="K5:K1003" si="3">I5*B5</f>
        <v>120</v>
      </c>
    </row>
    <row r="6">
      <c r="A6" s="26" t="str">
        <f>IFERROR(__xludf.DUMMYFUNCTION("""COMPUTED_VALUE"""),"Apron_Black")</f>
        <v>Apron_Black</v>
      </c>
      <c r="B6" s="26">
        <f>IFERROR(__xludf.DUMMYFUNCTION("""COMPUTED_VALUE"""),6.0)</f>
        <v>6</v>
      </c>
      <c r="C6" s="26" t="str">
        <f>IFERROR(__xludf.DUMMYFUNCTION("""COMPUTED_VALUE"""),"BLR7")</f>
        <v>BLR7</v>
      </c>
      <c r="D6" s="26"/>
      <c r="E6" s="26"/>
      <c r="F6" s="26"/>
      <c r="G6" s="26">
        <f>IFERROR(__xludf.DUMMYFUNCTION("""COMPUTED_VALUE"""),392620.0)</f>
        <v>392620</v>
      </c>
      <c r="H6" s="26">
        <f>IFERROR(__xludf.DUMMYFUNCTION("""COMPUTED_VALUE"""),12.0)</f>
        <v>12</v>
      </c>
      <c r="I6" s="26">
        <f>IFERROR(__xludf.DUMMYFUNCTION("""COMPUTED_VALUE"""),60.0)</f>
        <v>60</v>
      </c>
      <c r="J6" s="26"/>
      <c r="K6" s="26">
        <f t="shared" si="3"/>
        <v>360</v>
      </c>
    </row>
    <row r="7">
      <c r="A7" s="26" t="str">
        <f>IFERROR(__xludf.DUMMYFUNCTION("""COMPUTED_VALUE"""),"Apron_Black")</f>
        <v>Apron_Black</v>
      </c>
      <c r="B7" s="26">
        <f>IFERROR(__xludf.DUMMYFUNCTION("""COMPUTED_VALUE"""),2.0)</f>
        <v>2</v>
      </c>
      <c r="C7" s="26" t="str">
        <f>IFERROR(__xludf.DUMMYFUNCTION("""COMPUTED_VALUE"""),"CJB1")</f>
        <v>CJB1</v>
      </c>
      <c r="D7" s="26"/>
      <c r="E7" s="26"/>
      <c r="F7" s="26"/>
      <c r="G7" s="26">
        <f>IFERROR(__xludf.DUMMYFUNCTION("""COMPUTED_VALUE"""),392620.0)</f>
        <v>392620</v>
      </c>
      <c r="H7" s="26">
        <f>IFERROR(__xludf.DUMMYFUNCTION("""COMPUTED_VALUE"""),12.0)</f>
        <v>12</v>
      </c>
      <c r="I7" s="26">
        <f>IFERROR(__xludf.DUMMYFUNCTION("""COMPUTED_VALUE"""),60.0)</f>
        <v>60</v>
      </c>
      <c r="J7" s="26"/>
      <c r="K7" s="26">
        <f t="shared" si="3"/>
        <v>120</v>
      </c>
    </row>
    <row r="8">
      <c r="A8" s="26" t="str">
        <f>IFERROR(__xludf.DUMMYFUNCTION("""COMPUTED_VALUE"""),"Apron_Black")</f>
        <v>Apron_Black</v>
      </c>
      <c r="B8" s="26">
        <f>IFERROR(__xludf.DUMMYFUNCTION("""COMPUTED_VALUE"""),4.0)</f>
        <v>4</v>
      </c>
      <c r="C8" s="26" t="str">
        <f>IFERROR(__xludf.DUMMYFUNCTION("""COMPUTED_VALUE"""),"MAA4")</f>
        <v>MAA4</v>
      </c>
      <c r="D8" s="26"/>
      <c r="E8" s="26"/>
      <c r="F8" s="26"/>
      <c r="G8" s="26">
        <f>IFERROR(__xludf.DUMMYFUNCTION("""COMPUTED_VALUE"""),392620.0)</f>
        <v>392620</v>
      </c>
      <c r="H8" s="26">
        <f>IFERROR(__xludf.DUMMYFUNCTION("""COMPUTED_VALUE"""),12.0)</f>
        <v>12</v>
      </c>
      <c r="I8" s="26">
        <f>IFERROR(__xludf.DUMMYFUNCTION("""COMPUTED_VALUE"""),60.0)</f>
        <v>60</v>
      </c>
      <c r="J8" s="26"/>
      <c r="K8" s="26">
        <f t="shared" si="3"/>
        <v>240</v>
      </c>
    </row>
    <row r="9">
      <c r="A9" s="26" t="str">
        <f>IFERROR(__xludf.DUMMYFUNCTION("""COMPUTED_VALUE"""),"Apron_Black")</f>
        <v>Apron_Black</v>
      </c>
      <c r="B9" s="26">
        <f>IFERROR(__xludf.DUMMYFUNCTION("""COMPUTED_VALUE"""),6.0)</f>
        <v>6</v>
      </c>
      <c r="C9" s="26" t="str">
        <f>IFERROR(__xludf.DUMMYFUNCTION("""COMPUTED_VALUE"""),"DEL4")</f>
        <v>DEL4</v>
      </c>
      <c r="D9" s="26"/>
      <c r="E9" s="26"/>
      <c r="F9" s="26"/>
      <c r="G9" s="26">
        <f>IFERROR(__xludf.DUMMYFUNCTION("""COMPUTED_VALUE"""),392620.0)</f>
        <v>392620</v>
      </c>
      <c r="H9" s="26">
        <f>IFERROR(__xludf.DUMMYFUNCTION("""COMPUTED_VALUE"""),12.0)</f>
        <v>12</v>
      </c>
      <c r="I9" s="26">
        <f>IFERROR(__xludf.DUMMYFUNCTION("""COMPUTED_VALUE"""),60.0)</f>
        <v>60</v>
      </c>
      <c r="J9" s="26"/>
      <c r="K9" s="26">
        <f t="shared" si="3"/>
        <v>360</v>
      </c>
    </row>
    <row r="10">
      <c r="A10" s="26" t="str">
        <f>IFERROR(__xludf.DUMMYFUNCTION("""COMPUTED_VALUE"""),"Apron_Black")</f>
        <v>Apron_Black</v>
      </c>
      <c r="B10" s="26">
        <f>IFERROR(__xludf.DUMMYFUNCTION("""COMPUTED_VALUE"""),8.0)</f>
        <v>8</v>
      </c>
      <c r="C10" s="26" t="str">
        <f>IFERROR(__xludf.DUMMYFUNCTION("""COMPUTED_VALUE"""),"BOM5")</f>
        <v>BOM5</v>
      </c>
      <c r="D10" s="26"/>
      <c r="E10" s="26"/>
      <c r="F10" s="26"/>
      <c r="G10" s="26">
        <f>IFERROR(__xludf.DUMMYFUNCTION("""COMPUTED_VALUE"""),392620.0)</f>
        <v>392620</v>
      </c>
      <c r="H10" s="26">
        <f>IFERROR(__xludf.DUMMYFUNCTION("""COMPUTED_VALUE"""),12.0)</f>
        <v>12</v>
      </c>
      <c r="I10" s="26">
        <f>IFERROR(__xludf.DUMMYFUNCTION("""COMPUTED_VALUE"""),60.0)</f>
        <v>60</v>
      </c>
      <c r="J10" s="26"/>
      <c r="K10" s="26">
        <f t="shared" si="3"/>
        <v>480</v>
      </c>
    </row>
    <row r="11">
      <c r="A11" s="26" t="str">
        <f>IFERROR(__xludf.DUMMYFUNCTION("""COMPUTED_VALUE"""),"Apron_Blue")</f>
        <v>Apron_Blue</v>
      </c>
      <c r="B11" s="26">
        <f>IFERROR(__xludf.DUMMYFUNCTION("""COMPUTED_VALUE"""),16.0)</f>
        <v>16</v>
      </c>
      <c r="C11" s="26" t="str">
        <f>IFERROR(__xludf.DUMMYFUNCTION("""COMPUTED_VALUE"""),"BLR8")</f>
        <v>BLR8</v>
      </c>
      <c r="D11" s="26"/>
      <c r="E11" s="26"/>
      <c r="F11" s="26"/>
      <c r="G11" s="26">
        <f>IFERROR(__xludf.DUMMYFUNCTION("""COMPUTED_VALUE"""),392620.0)</f>
        <v>392620</v>
      </c>
      <c r="H11" s="26">
        <f>IFERROR(__xludf.DUMMYFUNCTION("""COMPUTED_VALUE"""),12.0)</f>
        <v>12</v>
      </c>
      <c r="I11" s="26">
        <f>IFERROR(__xludf.DUMMYFUNCTION("""COMPUTED_VALUE"""),60.0)</f>
        <v>60</v>
      </c>
      <c r="J11" s="26"/>
      <c r="K11" s="26">
        <f t="shared" si="3"/>
        <v>960</v>
      </c>
    </row>
    <row r="12">
      <c r="A12" s="26" t="str">
        <f>IFERROR(__xludf.DUMMYFUNCTION("""COMPUTED_VALUE"""),"Apron_Blue")</f>
        <v>Apron_Blue</v>
      </c>
      <c r="B12" s="26">
        <f>IFERROR(__xludf.DUMMYFUNCTION("""COMPUTED_VALUE"""),6.0)</f>
        <v>6</v>
      </c>
      <c r="C12" s="26" t="str">
        <f>IFERROR(__xludf.DUMMYFUNCTION("""COMPUTED_VALUE"""),"BLR7")</f>
        <v>BLR7</v>
      </c>
      <c r="D12" s="26"/>
      <c r="E12" s="26"/>
      <c r="F12" s="26"/>
      <c r="G12" s="26">
        <f>IFERROR(__xludf.DUMMYFUNCTION("""COMPUTED_VALUE"""),392620.0)</f>
        <v>392620</v>
      </c>
      <c r="H12" s="26">
        <f>IFERROR(__xludf.DUMMYFUNCTION("""COMPUTED_VALUE"""),12.0)</f>
        <v>12</v>
      </c>
      <c r="I12" s="26">
        <f>IFERROR(__xludf.DUMMYFUNCTION("""COMPUTED_VALUE"""),60.0)</f>
        <v>60</v>
      </c>
      <c r="J12" s="26"/>
      <c r="K12" s="26">
        <f t="shared" si="3"/>
        <v>360</v>
      </c>
    </row>
    <row r="13">
      <c r="A13" s="26" t="str">
        <f>IFERROR(__xludf.DUMMYFUNCTION("""COMPUTED_VALUE"""),"Apron_Blue")</f>
        <v>Apron_Blue</v>
      </c>
      <c r="B13" s="26">
        <f>IFERROR(__xludf.DUMMYFUNCTION("""COMPUTED_VALUE"""),4.0)</f>
        <v>4</v>
      </c>
      <c r="C13" s="26" t="str">
        <f>IFERROR(__xludf.DUMMYFUNCTION("""COMPUTED_VALUE"""),"CJB1")</f>
        <v>CJB1</v>
      </c>
      <c r="D13" s="26"/>
      <c r="E13" s="26"/>
      <c r="F13" s="26"/>
      <c r="G13" s="26">
        <f>IFERROR(__xludf.DUMMYFUNCTION("""COMPUTED_VALUE"""),392620.0)</f>
        <v>392620</v>
      </c>
      <c r="H13" s="26">
        <f>IFERROR(__xludf.DUMMYFUNCTION("""COMPUTED_VALUE"""),12.0)</f>
        <v>12</v>
      </c>
      <c r="I13" s="26">
        <f>IFERROR(__xludf.DUMMYFUNCTION("""COMPUTED_VALUE"""),60.0)</f>
        <v>60</v>
      </c>
      <c r="J13" s="26"/>
      <c r="K13" s="26">
        <f t="shared" si="3"/>
        <v>240</v>
      </c>
    </row>
    <row r="14">
      <c r="A14" s="26" t="str">
        <f>IFERROR(__xludf.DUMMYFUNCTION("""COMPUTED_VALUE"""),"Apron_Blue")</f>
        <v>Apron_Blue</v>
      </c>
      <c r="B14" s="26">
        <f>IFERROR(__xludf.DUMMYFUNCTION("""COMPUTED_VALUE"""),10.0)</f>
        <v>10</v>
      </c>
      <c r="C14" s="26" t="str">
        <f>IFERROR(__xludf.DUMMYFUNCTION("""COMPUTED_VALUE"""),"MAA4")</f>
        <v>MAA4</v>
      </c>
      <c r="D14" s="26"/>
      <c r="E14" s="26"/>
      <c r="F14" s="26"/>
      <c r="G14" s="26">
        <f>IFERROR(__xludf.DUMMYFUNCTION("""COMPUTED_VALUE"""),392620.0)</f>
        <v>392620</v>
      </c>
      <c r="H14" s="26">
        <f>IFERROR(__xludf.DUMMYFUNCTION("""COMPUTED_VALUE"""),12.0)</f>
        <v>12</v>
      </c>
      <c r="I14" s="26">
        <f>IFERROR(__xludf.DUMMYFUNCTION("""COMPUTED_VALUE"""),60.0)</f>
        <v>60</v>
      </c>
      <c r="J14" s="26"/>
      <c r="K14" s="26">
        <f t="shared" si="3"/>
        <v>600</v>
      </c>
    </row>
    <row r="15">
      <c r="A15" s="26" t="str">
        <f>IFERROR(__xludf.DUMMYFUNCTION("""COMPUTED_VALUE"""),"Apron_Blue")</f>
        <v>Apron_Blue</v>
      </c>
      <c r="B15" s="26">
        <f>IFERROR(__xludf.DUMMYFUNCTION("""COMPUTED_VALUE"""),6.0)</f>
        <v>6</v>
      </c>
      <c r="C15" s="26" t="str">
        <f>IFERROR(__xludf.DUMMYFUNCTION("""COMPUTED_VALUE"""),"DEL5")</f>
        <v>DEL5</v>
      </c>
      <c r="D15" s="26"/>
      <c r="E15" s="26"/>
      <c r="F15" s="26"/>
      <c r="G15" s="26">
        <f>IFERROR(__xludf.DUMMYFUNCTION("""COMPUTED_VALUE"""),392620.0)</f>
        <v>392620</v>
      </c>
      <c r="H15" s="26">
        <f>IFERROR(__xludf.DUMMYFUNCTION("""COMPUTED_VALUE"""),12.0)</f>
        <v>12</v>
      </c>
      <c r="I15" s="26">
        <f>IFERROR(__xludf.DUMMYFUNCTION("""COMPUTED_VALUE"""),60.0)</f>
        <v>60</v>
      </c>
      <c r="J15" s="26"/>
      <c r="K15" s="26">
        <f t="shared" si="3"/>
        <v>360</v>
      </c>
    </row>
    <row r="16">
      <c r="A16" s="26" t="str">
        <f>IFERROR(__xludf.DUMMYFUNCTION("""COMPUTED_VALUE"""),"Apron_Brown")</f>
        <v>Apron_Brown</v>
      </c>
      <c r="B16" s="26">
        <f>IFERROR(__xludf.DUMMYFUNCTION("""COMPUTED_VALUE"""),6.0)</f>
        <v>6</v>
      </c>
      <c r="C16" s="26" t="str">
        <f>IFERROR(__xludf.DUMMYFUNCTION("""COMPUTED_VALUE"""),"BLR7")</f>
        <v>BLR7</v>
      </c>
      <c r="D16" s="26"/>
      <c r="E16" s="26"/>
      <c r="F16" s="26"/>
      <c r="G16" s="26">
        <f>IFERROR(__xludf.DUMMYFUNCTION("""COMPUTED_VALUE"""),392620.0)</f>
        <v>392620</v>
      </c>
      <c r="H16" s="26">
        <f>IFERROR(__xludf.DUMMYFUNCTION("""COMPUTED_VALUE"""),12.0)</f>
        <v>12</v>
      </c>
      <c r="I16" s="26">
        <f>IFERROR(__xludf.DUMMYFUNCTION("""COMPUTED_VALUE"""),60.0)</f>
        <v>60</v>
      </c>
      <c r="J16" s="26"/>
      <c r="K16" s="26">
        <f t="shared" si="3"/>
        <v>360</v>
      </c>
    </row>
    <row r="17">
      <c r="A17" s="26" t="str">
        <f>IFERROR(__xludf.DUMMYFUNCTION("""COMPUTED_VALUE"""),"Apron_Brown")</f>
        <v>Apron_Brown</v>
      </c>
      <c r="B17" s="26">
        <f>IFERROR(__xludf.DUMMYFUNCTION("""COMPUTED_VALUE"""),4.0)</f>
        <v>4</v>
      </c>
      <c r="C17" s="26" t="str">
        <f>IFERROR(__xludf.DUMMYFUNCTION("""COMPUTED_VALUE"""),"DEL4")</f>
        <v>DEL4</v>
      </c>
      <c r="D17" s="26"/>
      <c r="E17" s="26"/>
      <c r="F17" s="26"/>
      <c r="G17" s="26">
        <f>IFERROR(__xludf.DUMMYFUNCTION("""COMPUTED_VALUE"""),392620.0)</f>
        <v>392620</v>
      </c>
      <c r="H17" s="26">
        <f>IFERROR(__xludf.DUMMYFUNCTION("""COMPUTED_VALUE"""),12.0)</f>
        <v>12</v>
      </c>
      <c r="I17" s="26">
        <f>IFERROR(__xludf.DUMMYFUNCTION("""COMPUTED_VALUE"""),60.0)</f>
        <v>60</v>
      </c>
      <c r="J17" s="26"/>
      <c r="K17" s="26">
        <f t="shared" si="3"/>
        <v>240</v>
      </c>
    </row>
    <row r="18">
      <c r="A18" s="26" t="str">
        <f>IFERROR(__xludf.DUMMYFUNCTION("""COMPUTED_VALUE"""),"Apron_Brown")</f>
        <v>Apron_Brown</v>
      </c>
      <c r="B18" s="26">
        <f>IFERROR(__xludf.DUMMYFUNCTION("""COMPUTED_VALUE"""),4.0)</f>
        <v>4</v>
      </c>
      <c r="C18" s="26" t="str">
        <f>IFERROR(__xludf.DUMMYFUNCTION("""COMPUTED_VALUE"""),"DEL5")</f>
        <v>DEL5</v>
      </c>
      <c r="D18" s="26"/>
      <c r="E18" s="26"/>
      <c r="F18" s="26"/>
      <c r="G18" s="26">
        <f>IFERROR(__xludf.DUMMYFUNCTION("""COMPUTED_VALUE"""),392620.0)</f>
        <v>392620</v>
      </c>
      <c r="H18" s="26">
        <f>IFERROR(__xludf.DUMMYFUNCTION("""COMPUTED_VALUE"""),12.0)</f>
        <v>12</v>
      </c>
      <c r="I18" s="26">
        <f>IFERROR(__xludf.DUMMYFUNCTION("""COMPUTED_VALUE"""),60.0)</f>
        <v>60</v>
      </c>
      <c r="J18" s="26"/>
      <c r="K18" s="26">
        <f t="shared" si="3"/>
        <v>240</v>
      </c>
    </row>
    <row r="19">
      <c r="A19" s="26" t="str">
        <f>IFERROR(__xludf.DUMMYFUNCTION("""COMPUTED_VALUE"""),"Apron_Brown")</f>
        <v>Apron_Brown</v>
      </c>
      <c r="B19" s="26">
        <f>IFERROR(__xludf.DUMMYFUNCTION("""COMPUTED_VALUE"""),2.0)</f>
        <v>2</v>
      </c>
      <c r="C19" s="26" t="str">
        <f>IFERROR(__xludf.DUMMYFUNCTION("""COMPUTED_VALUE"""),"BOM7")</f>
        <v>BOM7</v>
      </c>
      <c r="D19" s="26"/>
      <c r="E19" s="26"/>
      <c r="F19" s="26"/>
      <c r="G19" s="26">
        <f>IFERROR(__xludf.DUMMYFUNCTION("""COMPUTED_VALUE"""),392620.0)</f>
        <v>392620</v>
      </c>
      <c r="H19" s="26">
        <f>IFERROR(__xludf.DUMMYFUNCTION("""COMPUTED_VALUE"""),12.0)</f>
        <v>12</v>
      </c>
      <c r="I19" s="26">
        <f>IFERROR(__xludf.DUMMYFUNCTION("""COMPUTED_VALUE"""),60.0)</f>
        <v>60</v>
      </c>
      <c r="J19" s="26"/>
      <c r="K19" s="26">
        <f t="shared" si="3"/>
        <v>120</v>
      </c>
    </row>
    <row r="20">
      <c r="A20" s="26" t="str">
        <f>IFERROR(__xludf.DUMMYFUNCTION("""COMPUTED_VALUE"""),"Apron_Grey")</f>
        <v>Apron_Grey</v>
      </c>
      <c r="B20" s="26">
        <f>IFERROR(__xludf.DUMMYFUNCTION("""COMPUTED_VALUE"""),2.0)</f>
        <v>2</v>
      </c>
      <c r="C20" s="26" t="str">
        <f>IFERROR(__xludf.DUMMYFUNCTION("""COMPUTED_VALUE"""),"BLR7")</f>
        <v>BLR7</v>
      </c>
      <c r="D20" s="26"/>
      <c r="E20" s="26"/>
      <c r="F20" s="26"/>
      <c r="G20" s="26">
        <f>IFERROR(__xludf.DUMMYFUNCTION("""COMPUTED_VALUE"""),392620.0)</f>
        <v>392620</v>
      </c>
      <c r="H20" s="26">
        <f>IFERROR(__xludf.DUMMYFUNCTION("""COMPUTED_VALUE"""),12.0)</f>
        <v>12</v>
      </c>
      <c r="I20" s="26">
        <f>IFERROR(__xludf.DUMMYFUNCTION("""COMPUTED_VALUE"""),60.0)</f>
        <v>60</v>
      </c>
      <c r="J20" s="26"/>
      <c r="K20" s="26">
        <f t="shared" si="3"/>
        <v>120</v>
      </c>
    </row>
    <row r="21">
      <c r="A21" s="26" t="str">
        <f>IFERROR(__xludf.DUMMYFUNCTION("""COMPUTED_VALUE"""),"Apron_Grey")</f>
        <v>Apron_Grey</v>
      </c>
      <c r="B21" s="26">
        <f>IFERROR(__xludf.DUMMYFUNCTION("""COMPUTED_VALUE"""),6.0)</f>
        <v>6</v>
      </c>
      <c r="C21" s="26" t="str">
        <f>IFERROR(__xludf.DUMMYFUNCTION("""COMPUTED_VALUE"""),"MAA4")</f>
        <v>MAA4</v>
      </c>
      <c r="D21" s="26"/>
      <c r="E21" s="26"/>
      <c r="F21" s="26"/>
      <c r="G21" s="26">
        <f>IFERROR(__xludf.DUMMYFUNCTION("""COMPUTED_VALUE"""),392620.0)</f>
        <v>392620</v>
      </c>
      <c r="H21" s="26">
        <f>IFERROR(__xludf.DUMMYFUNCTION("""COMPUTED_VALUE"""),12.0)</f>
        <v>12</v>
      </c>
      <c r="I21" s="26">
        <f>IFERROR(__xludf.DUMMYFUNCTION("""COMPUTED_VALUE"""),60.0)</f>
        <v>60</v>
      </c>
      <c r="J21" s="26"/>
      <c r="K21" s="26">
        <f t="shared" si="3"/>
        <v>360</v>
      </c>
    </row>
    <row r="22">
      <c r="A22" s="26" t="str">
        <f>IFERROR(__xludf.DUMMYFUNCTION("""COMPUTED_VALUE"""),"Apron_Red")</f>
        <v>Apron_Red</v>
      </c>
      <c r="B22" s="26">
        <f>IFERROR(__xludf.DUMMYFUNCTION("""COMPUTED_VALUE"""),4.0)</f>
        <v>4</v>
      </c>
      <c r="C22" s="26" t="str">
        <f>IFERROR(__xludf.DUMMYFUNCTION("""COMPUTED_VALUE"""),"BLR8")</f>
        <v>BLR8</v>
      </c>
      <c r="D22" s="26"/>
      <c r="E22" s="26"/>
      <c r="F22" s="26"/>
      <c r="G22" s="26">
        <f>IFERROR(__xludf.DUMMYFUNCTION("""COMPUTED_VALUE"""),392620.0)</f>
        <v>392620</v>
      </c>
      <c r="H22" s="26">
        <f>IFERROR(__xludf.DUMMYFUNCTION("""COMPUTED_VALUE"""),12.0)</f>
        <v>12</v>
      </c>
      <c r="I22" s="26">
        <f>IFERROR(__xludf.DUMMYFUNCTION("""COMPUTED_VALUE"""),60.0)</f>
        <v>60</v>
      </c>
      <c r="J22" s="26"/>
      <c r="K22" s="26">
        <f t="shared" si="3"/>
        <v>240</v>
      </c>
    </row>
    <row r="23">
      <c r="A23" s="26" t="str">
        <f>IFERROR(__xludf.DUMMYFUNCTION("""COMPUTED_VALUE"""),"Apron_Red")</f>
        <v>Apron_Red</v>
      </c>
      <c r="B23" s="26">
        <f>IFERROR(__xludf.DUMMYFUNCTION("""COMPUTED_VALUE"""),2.0)</f>
        <v>2</v>
      </c>
      <c r="C23" s="26" t="str">
        <f>IFERROR(__xludf.DUMMYFUNCTION("""COMPUTED_VALUE"""),"DEL5")</f>
        <v>DEL5</v>
      </c>
      <c r="D23" s="26"/>
      <c r="E23" s="26"/>
      <c r="F23" s="26"/>
      <c r="G23" s="26">
        <f>IFERROR(__xludf.DUMMYFUNCTION("""COMPUTED_VALUE"""),392620.0)</f>
        <v>392620</v>
      </c>
      <c r="H23" s="26">
        <f>IFERROR(__xludf.DUMMYFUNCTION("""COMPUTED_VALUE"""),12.0)</f>
        <v>12</v>
      </c>
      <c r="I23" s="26">
        <f>IFERROR(__xludf.DUMMYFUNCTION("""COMPUTED_VALUE"""),60.0)</f>
        <v>60</v>
      </c>
      <c r="J23" s="26"/>
      <c r="K23" s="26">
        <f t="shared" si="3"/>
        <v>120</v>
      </c>
    </row>
    <row r="24">
      <c r="A24" s="26" t="str">
        <f>IFERROR(__xludf.DUMMYFUNCTION("""COMPUTED_VALUE"""),"Apron_Red")</f>
        <v>Apron_Red</v>
      </c>
      <c r="B24" s="26">
        <f>IFERROR(__xludf.DUMMYFUNCTION("""COMPUTED_VALUE"""),4.0)</f>
        <v>4</v>
      </c>
      <c r="C24" s="26" t="str">
        <f>IFERROR(__xludf.DUMMYFUNCTION("""COMPUTED_VALUE"""),"BOM5")</f>
        <v>BOM5</v>
      </c>
      <c r="D24" s="26"/>
      <c r="E24" s="26"/>
      <c r="F24" s="26"/>
      <c r="G24" s="26">
        <f>IFERROR(__xludf.DUMMYFUNCTION("""COMPUTED_VALUE"""),392620.0)</f>
        <v>392620</v>
      </c>
      <c r="H24" s="26">
        <f>IFERROR(__xludf.DUMMYFUNCTION("""COMPUTED_VALUE"""),12.0)</f>
        <v>12</v>
      </c>
      <c r="I24" s="26">
        <f>IFERROR(__xludf.DUMMYFUNCTION("""COMPUTED_VALUE"""),60.0)</f>
        <v>60</v>
      </c>
      <c r="J24" s="26"/>
      <c r="K24" s="26">
        <f t="shared" si="3"/>
        <v>240</v>
      </c>
    </row>
    <row r="25">
      <c r="A25" s="26" t="str">
        <f>IFERROR(__xludf.DUMMYFUNCTION("""COMPUTED_VALUE"""),"CRM_AP_TAN")</f>
        <v>CRM_AP_TAN</v>
      </c>
      <c r="B25" s="26">
        <f>IFERROR(__xludf.DUMMYFUNCTION("""COMPUTED_VALUE"""),2.0)</f>
        <v>2</v>
      </c>
      <c r="C25" s="26" t="str">
        <f>IFERROR(__xludf.DUMMYFUNCTION("""COMPUTED_VALUE"""),"AMD2")</f>
        <v>AMD2</v>
      </c>
      <c r="D25" s="26"/>
      <c r="E25" s="26"/>
      <c r="F25" s="26"/>
      <c r="G25" s="26">
        <f>IFERROR(__xludf.DUMMYFUNCTION("""COMPUTED_VALUE"""),392620.0)</f>
        <v>392620</v>
      </c>
      <c r="H25" s="26">
        <f>IFERROR(__xludf.DUMMYFUNCTION("""COMPUTED_VALUE"""),12.0)</f>
        <v>12</v>
      </c>
      <c r="I25" s="26">
        <f>IFERROR(__xludf.DUMMYFUNCTION("""COMPUTED_VALUE"""),60.0)</f>
        <v>60</v>
      </c>
      <c r="J25" s="26"/>
      <c r="K25" s="26">
        <f t="shared" si="3"/>
        <v>120</v>
      </c>
    </row>
    <row r="26">
      <c r="A26" s="26" t="str">
        <f>IFERROR(__xludf.DUMMYFUNCTION("""COMPUTED_VALUE"""),"CRM_AP_TAN")</f>
        <v>CRM_AP_TAN</v>
      </c>
      <c r="B26" s="26">
        <f>IFERROR(__xludf.DUMMYFUNCTION("""COMPUTED_VALUE"""),18.0)</f>
        <v>18</v>
      </c>
      <c r="C26" s="26" t="str">
        <f>IFERROR(__xludf.DUMMYFUNCTION("""COMPUTED_VALUE"""),"BLR8")</f>
        <v>BLR8</v>
      </c>
      <c r="D26" s="26"/>
      <c r="E26" s="26"/>
      <c r="F26" s="26"/>
      <c r="G26" s="26">
        <f>IFERROR(__xludf.DUMMYFUNCTION("""COMPUTED_VALUE"""),392620.0)</f>
        <v>392620</v>
      </c>
      <c r="H26" s="26">
        <f>IFERROR(__xludf.DUMMYFUNCTION("""COMPUTED_VALUE"""),12.0)</f>
        <v>12</v>
      </c>
      <c r="I26" s="26">
        <f>IFERROR(__xludf.DUMMYFUNCTION("""COMPUTED_VALUE"""),60.0)</f>
        <v>60</v>
      </c>
      <c r="J26" s="26"/>
      <c r="K26" s="26">
        <f t="shared" si="3"/>
        <v>1080</v>
      </c>
    </row>
    <row r="27">
      <c r="A27" s="26" t="str">
        <f>IFERROR(__xludf.DUMMYFUNCTION("""COMPUTED_VALUE"""),"CRM_AP_TAN")</f>
        <v>CRM_AP_TAN</v>
      </c>
      <c r="B27" s="26">
        <f>IFERROR(__xludf.DUMMYFUNCTION("""COMPUTED_VALUE"""),26.0)</f>
        <v>26</v>
      </c>
      <c r="C27" s="26" t="str">
        <f>IFERROR(__xludf.DUMMYFUNCTION("""COMPUTED_VALUE"""),"BLR7")</f>
        <v>BLR7</v>
      </c>
      <c r="D27" s="26"/>
      <c r="E27" s="26"/>
      <c r="F27" s="26"/>
      <c r="G27" s="26">
        <f>IFERROR(__xludf.DUMMYFUNCTION("""COMPUTED_VALUE"""),392620.0)</f>
        <v>392620</v>
      </c>
      <c r="H27" s="26">
        <f>IFERROR(__xludf.DUMMYFUNCTION("""COMPUTED_VALUE"""),12.0)</f>
        <v>12</v>
      </c>
      <c r="I27" s="26">
        <f>IFERROR(__xludf.DUMMYFUNCTION("""COMPUTED_VALUE"""),60.0)</f>
        <v>60</v>
      </c>
      <c r="J27" s="26"/>
      <c r="K27" s="26">
        <f t="shared" si="3"/>
        <v>1560</v>
      </c>
    </row>
    <row r="28">
      <c r="A28" s="26" t="str">
        <f>IFERROR(__xludf.DUMMYFUNCTION("""COMPUTED_VALUE"""),"CRM_AP_TAN")</f>
        <v>CRM_AP_TAN</v>
      </c>
      <c r="B28" s="26">
        <f>IFERROR(__xludf.DUMMYFUNCTION("""COMPUTED_VALUE"""),16.0)</f>
        <v>16</v>
      </c>
      <c r="C28" s="26" t="str">
        <f>IFERROR(__xludf.DUMMYFUNCTION("""COMPUTED_VALUE"""),"DEL4")</f>
        <v>DEL4</v>
      </c>
      <c r="D28" s="26"/>
      <c r="E28" s="26"/>
      <c r="F28" s="26"/>
      <c r="G28" s="26">
        <f>IFERROR(__xludf.DUMMYFUNCTION("""COMPUTED_VALUE"""),392620.0)</f>
        <v>392620</v>
      </c>
      <c r="H28" s="26">
        <f>IFERROR(__xludf.DUMMYFUNCTION("""COMPUTED_VALUE"""),12.0)</f>
        <v>12</v>
      </c>
      <c r="I28" s="26">
        <f>IFERROR(__xludf.DUMMYFUNCTION("""COMPUTED_VALUE"""),60.0)</f>
        <v>60</v>
      </c>
      <c r="J28" s="26"/>
      <c r="K28" s="26">
        <f t="shared" si="3"/>
        <v>960</v>
      </c>
    </row>
    <row r="29">
      <c r="A29" s="26" t="str">
        <f>IFERROR(__xludf.DUMMYFUNCTION("""COMPUTED_VALUE"""),"CRM_AP_TAN")</f>
        <v>CRM_AP_TAN</v>
      </c>
      <c r="B29" s="26">
        <f>IFERROR(__xludf.DUMMYFUNCTION("""COMPUTED_VALUE"""),4.0)</f>
        <v>4</v>
      </c>
      <c r="C29" s="26" t="str">
        <f>IFERROR(__xludf.DUMMYFUNCTION("""COMPUTED_VALUE"""),"DEL5")</f>
        <v>DEL5</v>
      </c>
      <c r="D29" s="26"/>
      <c r="E29" s="26"/>
      <c r="F29" s="26"/>
      <c r="G29" s="26">
        <f>IFERROR(__xludf.DUMMYFUNCTION("""COMPUTED_VALUE"""),392620.0)</f>
        <v>392620</v>
      </c>
      <c r="H29" s="26">
        <f>IFERROR(__xludf.DUMMYFUNCTION("""COMPUTED_VALUE"""),12.0)</f>
        <v>12</v>
      </c>
      <c r="I29" s="26">
        <f>IFERROR(__xludf.DUMMYFUNCTION("""COMPUTED_VALUE"""),60.0)</f>
        <v>60</v>
      </c>
      <c r="J29" s="26"/>
      <c r="K29" s="26">
        <f t="shared" si="3"/>
        <v>240</v>
      </c>
    </row>
    <row r="30">
      <c r="A30" s="26" t="str">
        <f>IFERROR(__xludf.DUMMYFUNCTION("""COMPUTED_VALUE"""),"CRM_AP_TAN")</f>
        <v>CRM_AP_TAN</v>
      </c>
      <c r="B30" s="26">
        <f>IFERROR(__xludf.DUMMYFUNCTION("""COMPUTED_VALUE"""),6.0)</f>
        <v>6</v>
      </c>
      <c r="C30" s="26" t="str">
        <f>IFERROR(__xludf.DUMMYFUNCTION("""COMPUTED_VALUE"""),"BOM5")</f>
        <v>BOM5</v>
      </c>
      <c r="D30" s="26"/>
      <c r="E30" s="26"/>
      <c r="F30" s="26"/>
      <c r="G30" s="26">
        <f>IFERROR(__xludf.DUMMYFUNCTION("""COMPUTED_VALUE"""),392620.0)</f>
        <v>392620</v>
      </c>
      <c r="H30" s="26">
        <f>IFERROR(__xludf.DUMMYFUNCTION("""COMPUTED_VALUE"""),12.0)</f>
        <v>12</v>
      </c>
      <c r="I30" s="26">
        <f>IFERROR(__xludf.DUMMYFUNCTION("""COMPUTED_VALUE"""),60.0)</f>
        <v>60</v>
      </c>
      <c r="J30" s="26"/>
      <c r="K30" s="26">
        <f t="shared" si="3"/>
        <v>360</v>
      </c>
    </row>
    <row r="31">
      <c r="A31" s="26" t="str">
        <f>IFERROR(__xludf.DUMMYFUNCTION("""COMPUTED_VALUE"""),"CRM_AP_TAN")</f>
        <v>CRM_AP_TAN</v>
      </c>
      <c r="B31" s="26">
        <f>IFERROR(__xludf.DUMMYFUNCTION("""COMPUTED_VALUE"""),2.0)</f>
        <v>2</v>
      </c>
      <c r="C31" s="26" t="str">
        <f>IFERROR(__xludf.DUMMYFUNCTION("""COMPUTED_VALUE"""),"BOM7")</f>
        <v>BOM7</v>
      </c>
      <c r="D31" s="26"/>
      <c r="E31" s="26"/>
      <c r="F31" s="26"/>
      <c r="G31" s="26">
        <f>IFERROR(__xludf.DUMMYFUNCTION("""COMPUTED_VALUE"""),392620.0)</f>
        <v>392620</v>
      </c>
      <c r="H31" s="26">
        <f>IFERROR(__xludf.DUMMYFUNCTION("""COMPUTED_VALUE"""),12.0)</f>
        <v>12</v>
      </c>
      <c r="I31" s="26">
        <f>IFERROR(__xludf.DUMMYFUNCTION("""COMPUTED_VALUE"""),60.0)</f>
        <v>60</v>
      </c>
      <c r="J31" s="26"/>
      <c r="K31" s="26">
        <f t="shared" si="3"/>
        <v>120</v>
      </c>
    </row>
    <row r="32">
      <c r="A32" s="26" t="str">
        <f>IFERROR(__xludf.DUMMYFUNCTION("""COMPUTED_VALUE"""),"CRM_AP_GREEN")</f>
        <v>CRM_AP_GREEN</v>
      </c>
      <c r="B32" s="26">
        <f>IFERROR(__xludf.DUMMYFUNCTION("""COMPUTED_VALUE"""),12.0)</f>
        <v>12</v>
      </c>
      <c r="C32" s="26" t="str">
        <f>IFERROR(__xludf.DUMMYFUNCTION("""COMPUTED_VALUE"""),"BLR7")</f>
        <v>BLR7</v>
      </c>
      <c r="D32" s="26"/>
      <c r="E32" s="26"/>
      <c r="F32" s="26"/>
      <c r="G32" s="26">
        <f>IFERROR(__xludf.DUMMYFUNCTION("""COMPUTED_VALUE"""),392620.0)</f>
        <v>392620</v>
      </c>
      <c r="H32" s="26">
        <f>IFERROR(__xludf.DUMMYFUNCTION("""COMPUTED_VALUE"""),12.0)</f>
        <v>12</v>
      </c>
      <c r="I32" s="26">
        <f>IFERROR(__xludf.DUMMYFUNCTION("""COMPUTED_VALUE"""),60.0)</f>
        <v>60</v>
      </c>
      <c r="J32" s="26"/>
      <c r="K32" s="26">
        <f t="shared" si="3"/>
        <v>720</v>
      </c>
    </row>
    <row r="33">
      <c r="A33" s="26" t="str">
        <f>IFERROR(__xludf.DUMMYFUNCTION("""COMPUTED_VALUE"""),"CRM_AP_GREEN")</f>
        <v>CRM_AP_GREEN</v>
      </c>
      <c r="B33" s="26">
        <f>IFERROR(__xludf.DUMMYFUNCTION("""COMPUTED_VALUE"""),14.0)</f>
        <v>14</v>
      </c>
      <c r="C33" s="26" t="str">
        <f>IFERROR(__xludf.DUMMYFUNCTION("""COMPUTED_VALUE"""),"DEL5")</f>
        <v>DEL5</v>
      </c>
      <c r="D33" s="26"/>
      <c r="E33" s="26"/>
      <c r="F33" s="26"/>
      <c r="G33" s="26">
        <f>IFERROR(__xludf.DUMMYFUNCTION("""COMPUTED_VALUE"""),392620.0)</f>
        <v>392620</v>
      </c>
      <c r="H33" s="26">
        <f>IFERROR(__xludf.DUMMYFUNCTION("""COMPUTED_VALUE"""),12.0)</f>
        <v>12</v>
      </c>
      <c r="I33" s="26">
        <f>IFERROR(__xludf.DUMMYFUNCTION("""COMPUTED_VALUE"""),60.0)</f>
        <v>60</v>
      </c>
      <c r="J33" s="26"/>
      <c r="K33" s="26">
        <f t="shared" si="3"/>
        <v>840</v>
      </c>
    </row>
    <row r="34">
      <c r="A34" s="26" t="str">
        <f>IFERROR(__xludf.DUMMYFUNCTION("""COMPUTED_VALUE"""),"CRM_AP_BLACK_PACK OF 2")</f>
        <v>CRM_AP_BLACK_PACK OF 2</v>
      </c>
      <c r="B34" s="26">
        <f>IFERROR(__xludf.DUMMYFUNCTION("""COMPUTED_VALUE"""),4.0)</f>
        <v>4</v>
      </c>
      <c r="C34" s="26" t="str">
        <f>IFERROR(__xludf.DUMMYFUNCTION("""COMPUTED_VALUE"""),"AMD2")</f>
        <v>AMD2</v>
      </c>
      <c r="D34" s="26"/>
      <c r="E34" s="26"/>
      <c r="F34" s="26"/>
      <c r="G34" s="26">
        <f>IFERROR(__xludf.DUMMYFUNCTION("""COMPUTED_VALUE"""),392620.0)</f>
        <v>392620</v>
      </c>
      <c r="H34" s="26">
        <f>IFERROR(__xludf.DUMMYFUNCTION("""COMPUTED_VALUE"""),12.0)</f>
        <v>12</v>
      </c>
      <c r="I34" s="26">
        <f>IFERROR(__xludf.DUMMYFUNCTION("""COMPUTED_VALUE"""),120.0)</f>
        <v>120</v>
      </c>
      <c r="J34" s="26"/>
      <c r="K34" s="26">
        <f t="shared" si="3"/>
        <v>480</v>
      </c>
    </row>
    <row r="35">
      <c r="A35" s="26" t="str">
        <f>IFERROR(__xludf.DUMMYFUNCTION("""COMPUTED_VALUE"""),"CRM_AP_BLACK_PACK OF 2")</f>
        <v>CRM_AP_BLACK_PACK OF 2</v>
      </c>
      <c r="B35" s="26">
        <f>IFERROR(__xludf.DUMMYFUNCTION("""COMPUTED_VALUE"""),6.0)</f>
        <v>6</v>
      </c>
      <c r="C35" s="26" t="str">
        <f>IFERROR(__xludf.DUMMYFUNCTION("""COMPUTED_VALUE"""),"CJB1")</f>
        <v>CJB1</v>
      </c>
      <c r="D35" s="26"/>
      <c r="E35" s="26"/>
      <c r="F35" s="26"/>
      <c r="G35" s="26">
        <f>IFERROR(__xludf.DUMMYFUNCTION("""COMPUTED_VALUE"""),392620.0)</f>
        <v>392620</v>
      </c>
      <c r="H35" s="26">
        <f>IFERROR(__xludf.DUMMYFUNCTION("""COMPUTED_VALUE"""),12.0)</f>
        <v>12</v>
      </c>
      <c r="I35" s="26">
        <f>IFERROR(__xludf.DUMMYFUNCTION("""COMPUTED_VALUE"""),120.0)</f>
        <v>120</v>
      </c>
      <c r="J35" s="26"/>
      <c r="K35" s="26">
        <f t="shared" si="3"/>
        <v>720</v>
      </c>
    </row>
    <row r="36">
      <c r="A36" s="26" t="str">
        <f>IFERROR(__xludf.DUMMYFUNCTION("""COMPUTED_VALUE"""),"CRM_AP_BLACK_PACK OF 2")</f>
        <v>CRM_AP_BLACK_PACK OF 2</v>
      </c>
      <c r="B36" s="26">
        <f>IFERROR(__xludf.DUMMYFUNCTION("""COMPUTED_VALUE"""),4.0)</f>
        <v>4</v>
      </c>
      <c r="C36" s="26" t="str">
        <f>IFERROR(__xludf.DUMMYFUNCTION("""COMPUTED_VALUE"""),"MAA4")</f>
        <v>MAA4</v>
      </c>
      <c r="D36" s="26"/>
      <c r="E36" s="26"/>
      <c r="F36" s="26"/>
      <c r="G36" s="26">
        <f>IFERROR(__xludf.DUMMYFUNCTION("""COMPUTED_VALUE"""),392620.0)</f>
        <v>392620</v>
      </c>
      <c r="H36" s="26">
        <f>IFERROR(__xludf.DUMMYFUNCTION("""COMPUTED_VALUE"""),12.0)</f>
        <v>12</v>
      </c>
      <c r="I36" s="26">
        <f>IFERROR(__xludf.DUMMYFUNCTION("""COMPUTED_VALUE"""),120.0)</f>
        <v>120</v>
      </c>
      <c r="J36" s="26"/>
      <c r="K36" s="26">
        <f t="shared" si="3"/>
        <v>480</v>
      </c>
    </row>
    <row r="37">
      <c r="A37" s="26" t="str">
        <f>IFERROR(__xludf.DUMMYFUNCTION("""COMPUTED_VALUE"""),"CRM_AP_BLACK_PACK OF 2")</f>
        <v>CRM_AP_BLACK_PACK OF 2</v>
      </c>
      <c r="B37" s="26">
        <f>IFERROR(__xludf.DUMMYFUNCTION("""COMPUTED_VALUE"""),10.0)</f>
        <v>10</v>
      </c>
      <c r="C37" s="26" t="str">
        <f>IFERROR(__xludf.DUMMYFUNCTION("""COMPUTED_VALUE"""),"DEL4")</f>
        <v>DEL4</v>
      </c>
      <c r="D37" s="26"/>
      <c r="E37" s="26"/>
      <c r="F37" s="26"/>
      <c r="G37" s="26">
        <f>IFERROR(__xludf.DUMMYFUNCTION("""COMPUTED_VALUE"""),392620.0)</f>
        <v>392620</v>
      </c>
      <c r="H37" s="26">
        <f>IFERROR(__xludf.DUMMYFUNCTION("""COMPUTED_VALUE"""),12.0)</f>
        <v>12</v>
      </c>
      <c r="I37" s="26">
        <f>IFERROR(__xludf.DUMMYFUNCTION("""COMPUTED_VALUE"""),120.0)</f>
        <v>120</v>
      </c>
      <c r="J37" s="26"/>
      <c r="K37" s="26">
        <f t="shared" si="3"/>
        <v>1200</v>
      </c>
    </row>
    <row r="38">
      <c r="A38" s="26" t="str">
        <f>IFERROR(__xludf.DUMMYFUNCTION("""COMPUTED_VALUE"""),"CRM_AP_BLACK_PACK OF 2")</f>
        <v>CRM_AP_BLACK_PACK OF 2</v>
      </c>
      <c r="B38" s="26">
        <f>IFERROR(__xludf.DUMMYFUNCTION("""COMPUTED_VALUE"""),8.0)</f>
        <v>8</v>
      </c>
      <c r="C38" s="26" t="str">
        <f>IFERROR(__xludf.DUMMYFUNCTION("""COMPUTED_VALUE"""),"DEL5")</f>
        <v>DEL5</v>
      </c>
      <c r="D38" s="26"/>
      <c r="E38" s="26"/>
      <c r="F38" s="26"/>
      <c r="G38" s="26">
        <f>IFERROR(__xludf.DUMMYFUNCTION("""COMPUTED_VALUE"""),392620.0)</f>
        <v>392620</v>
      </c>
      <c r="H38" s="26">
        <f>IFERROR(__xludf.DUMMYFUNCTION("""COMPUTED_VALUE"""),12.0)</f>
        <v>12</v>
      </c>
      <c r="I38" s="26">
        <f>IFERROR(__xludf.DUMMYFUNCTION("""COMPUTED_VALUE"""),120.0)</f>
        <v>120</v>
      </c>
      <c r="J38" s="26"/>
      <c r="K38" s="26">
        <f t="shared" si="3"/>
        <v>960</v>
      </c>
    </row>
    <row r="39">
      <c r="A39" s="26" t="str">
        <f>IFERROR(__xludf.DUMMYFUNCTION("""COMPUTED_VALUE"""),"CRM_AP_BLUE_PACK OF 2")</f>
        <v>CRM_AP_BLUE_PACK OF 2</v>
      </c>
      <c r="B39" s="26">
        <f>IFERROR(__xludf.DUMMYFUNCTION("""COMPUTED_VALUE"""),2.0)</f>
        <v>2</v>
      </c>
      <c r="C39" s="26" t="str">
        <f>IFERROR(__xludf.DUMMYFUNCTION("""COMPUTED_VALUE"""),"AMD2")</f>
        <v>AMD2</v>
      </c>
      <c r="D39" s="26"/>
      <c r="E39" s="26"/>
      <c r="F39" s="26"/>
      <c r="G39" s="26">
        <f>IFERROR(__xludf.DUMMYFUNCTION("""COMPUTED_VALUE"""),392620.0)</f>
        <v>392620</v>
      </c>
      <c r="H39" s="26">
        <f>IFERROR(__xludf.DUMMYFUNCTION("""COMPUTED_VALUE"""),12.0)</f>
        <v>12</v>
      </c>
      <c r="I39" s="26">
        <f>IFERROR(__xludf.DUMMYFUNCTION("""COMPUTED_VALUE"""),120.0)</f>
        <v>120</v>
      </c>
      <c r="J39" s="26"/>
      <c r="K39" s="26">
        <f t="shared" si="3"/>
        <v>240</v>
      </c>
    </row>
    <row r="40">
      <c r="A40" s="26" t="str">
        <f>IFERROR(__xludf.DUMMYFUNCTION("""COMPUTED_VALUE"""),"CRM_AP_BLUE_PACK OF 2")</f>
        <v>CRM_AP_BLUE_PACK OF 2</v>
      </c>
      <c r="B40" s="26">
        <f>IFERROR(__xludf.DUMMYFUNCTION("""COMPUTED_VALUE"""),4.0)</f>
        <v>4</v>
      </c>
      <c r="C40" s="26" t="str">
        <f>IFERROR(__xludf.DUMMYFUNCTION("""COMPUTED_VALUE"""),"BLR7")</f>
        <v>BLR7</v>
      </c>
      <c r="D40" s="26"/>
      <c r="E40" s="26"/>
      <c r="F40" s="26"/>
      <c r="G40" s="26">
        <f>IFERROR(__xludf.DUMMYFUNCTION("""COMPUTED_VALUE"""),392620.0)</f>
        <v>392620</v>
      </c>
      <c r="H40" s="26">
        <f>IFERROR(__xludf.DUMMYFUNCTION("""COMPUTED_VALUE"""),12.0)</f>
        <v>12</v>
      </c>
      <c r="I40" s="26">
        <f>IFERROR(__xludf.DUMMYFUNCTION("""COMPUTED_VALUE"""),120.0)</f>
        <v>120</v>
      </c>
      <c r="J40" s="26"/>
      <c r="K40" s="26">
        <f t="shared" si="3"/>
        <v>480</v>
      </c>
    </row>
    <row r="41">
      <c r="A41" s="26" t="str">
        <f>IFERROR(__xludf.DUMMYFUNCTION("""COMPUTED_VALUE"""),"CRM_AP_BLUE_PACK OF 2")</f>
        <v>CRM_AP_BLUE_PACK OF 2</v>
      </c>
      <c r="B41" s="26">
        <f>IFERROR(__xludf.DUMMYFUNCTION("""COMPUTED_VALUE"""),4.0)</f>
        <v>4</v>
      </c>
      <c r="C41" s="26" t="str">
        <f>IFERROR(__xludf.DUMMYFUNCTION("""COMPUTED_VALUE"""),"CJB1")</f>
        <v>CJB1</v>
      </c>
      <c r="D41" s="26"/>
      <c r="E41" s="26"/>
      <c r="F41" s="26"/>
      <c r="G41" s="26">
        <f>IFERROR(__xludf.DUMMYFUNCTION("""COMPUTED_VALUE"""),392620.0)</f>
        <v>392620</v>
      </c>
      <c r="H41" s="26">
        <f>IFERROR(__xludf.DUMMYFUNCTION("""COMPUTED_VALUE"""),12.0)</f>
        <v>12</v>
      </c>
      <c r="I41" s="26">
        <f>IFERROR(__xludf.DUMMYFUNCTION("""COMPUTED_VALUE"""),120.0)</f>
        <v>120</v>
      </c>
      <c r="J41" s="26"/>
      <c r="K41" s="26">
        <f t="shared" si="3"/>
        <v>480</v>
      </c>
    </row>
    <row r="42">
      <c r="A42" s="26" t="str">
        <f>IFERROR(__xludf.DUMMYFUNCTION("""COMPUTED_VALUE"""),"CRM_AP_BLUE_PACK OF 2")</f>
        <v>CRM_AP_BLUE_PACK OF 2</v>
      </c>
      <c r="B42" s="26">
        <f>IFERROR(__xludf.DUMMYFUNCTION("""COMPUTED_VALUE"""),8.0)</f>
        <v>8</v>
      </c>
      <c r="C42" s="26" t="str">
        <f>IFERROR(__xludf.DUMMYFUNCTION("""COMPUTED_VALUE"""),"MAA4")</f>
        <v>MAA4</v>
      </c>
      <c r="D42" s="26"/>
      <c r="E42" s="26"/>
      <c r="F42" s="26"/>
      <c r="G42" s="26">
        <f>IFERROR(__xludf.DUMMYFUNCTION("""COMPUTED_VALUE"""),392620.0)</f>
        <v>392620</v>
      </c>
      <c r="H42" s="26">
        <f>IFERROR(__xludf.DUMMYFUNCTION("""COMPUTED_VALUE"""),12.0)</f>
        <v>12</v>
      </c>
      <c r="I42" s="26">
        <f>IFERROR(__xludf.DUMMYFUNCTION("""COMPUTED_VALUE"""),120.0)</f>
        <v>120</v>
      </c>
      <c r="J42" s="26"/>
      <c r="K42" s="26">
        <f t="shared" si="3"/>
        <v>960</v>
      </c>
    </row>
    <row r="43">
      <c r="A43" s="26" t="str">
        <f>IFERROR(__xludf.DUMMYFUNCTION("""COMPUTED_VALUE"""),"CRM_AP_BLUE_PACK OF 2")</f>
        <v>CRM_AP_BLUE_PACK OF 2</v>
      </c>
      <c r="B43" s="26">
        <f>IFERROR(__xludf.DUMMYFUNCTION("""COMPUTED_VALUE"""),4.0)</f>
        <v>4</v>
      </c>
      <c r="C43" s="26" t="str">
        <f>IFERROR(__xludf.DUMMYFUNCTION("""COMPUTED_VALUE"""),"BOM5")</f>
        <v>BOM5</v>
      </c>
      <c r="D43" s="26"/>
      <c r="E43" s="26"/>
      <c r="F43" s="26"/>
      <c r="G43" s="26">
        <f>IFERROR(__xludf.DUMMYFUNCTION("""COMPUTED_VALUE"""),392620.0)</f>
        <v>392620</v>
      </c>
      <c r="H43" s="26">
        <f>IFERROR(__xludf.DUMMYFUNCTION("""COMPUTED_VALUE"""),12.0)</f>
        <v>12</v>
      </c>
      <c r="I43" s="26">
        <f>IFERROR(__xludf.DUMMYFUNCTION("""COMPUTED_VALUE"""),120.0)</f>
        <v>120</v>
      </c>
      <c r="J43" s="26"/>
      <c r="K43" s="26">
        <f t="shared" si="3"/>
        <v>480</v>
      </c>
    </row>
    <row r="44">
      <c r="A44" s="26" t="str">
        <f>IFERROR(__xludf.DUMMYFUNCTION("""COMPUTED_VALUE"""),"CRM_AP_BROWN_PACK OF 2")</f>
        <v>CRM_AP_BROWN_PACK OF 2</v>
      </c>
      <c r="B44" s="26">
        <f>IFERROR(__xludf.DUMMYFUNCTION("""COMPUTED_VALUE"""),4.0)</f>
        <v>4</v>
      </c>
      <c r="C44" s="26" t="str">
        <f>IFERROR(__xludf.DUMMYFUNCTION("""COMPUTED_VALUE"""),"CJB1")</f>
        <v>CJB1</v>
      </c>
      <c r="D44" s="26"/>
      <c r="E44" s="26"/>
      <c r="F44" s="26"/>
      <c r="G44" s="26">
        <f>IFERROR(__xludf.DUMMYFUNCTION("""COMPUTED_VALUE"""),392620.0)</f>
        <v>392620</v>
      </c>
      <c r="H44" s="26">
        <f>IFERROR(__xludf.DUMMYFUNCTION("""COMPUTED_VALUE"""),12.0)</f>
        <v>12</v>
      </c>
      <c r="I44" s="26">
        <f>IFERROR(__xludf.DUMMYFUNCTION("""COMPUTED_VALUE"""),120.0)</f>
        <v>120</v>
      </c>
      <c r="J44" s="26"/>
      <c r="K44" s="26">
        <f t="shared" si="3"/>
        <v>480</v>
      </c>
    </row>
    <row r="45">
      <c r="A45" s="26" t="str">
        <f>IFERROR(__xludf.DUMMYFUNCTION("""COMPUTED_VALUE"""),"CRM_AP_BROWN_PACK OF 2")</f>
        <v>CRM_AP_BROWN_PACK OF 2</v>
      </c>
      <c r="B45" s="26">
        <f>IFERROR(__xludf.DUMMYFUNCTION("""COMPUTED_VALUE"""),6.0)</f>
        <v>6</v>
      </c>
      <c r="C45" s="26" t="str">
        <f>IFERROR(__xludf.DUMMYFUNCTION("""COMPUTED_VALUE"""),"BOM5")</f>
        <v>BOM5</v>
      </c>
      <c r="D45" s="26"/>
      <c r="E45" s="26"/>
      <c r="F45" s="26"/>
      <c r="G45" s="26">
        <f>IFERROR(__xludf.DUMMYFUNCTION("""COMPUTED_VALUE"""),392620.0)</f>
        <v>392620</v>
      </c>
      <c r="H45" s="26">
        <f>IFERROR(__xludf.DUMMYFUNCTION("""COMPUTED_VALUE"""),12.0)</f>
        <v>12</v>
      </c>
      <c r="I45" s="26">
        <f>IFERROR(__xludf.DUMMYFUNCTION("""COMPUTED_VALUE"""),120.0)</f>
        <v>120</v>
      </c>
      <c r="J45" s="26"/>
      <c r="K45" s="26">
        <f t="shared" si="3"/>
        <v>720</v>
      </c>
    </row>
    <row r="46">
      <c r="A46" s="26" t="str">
        <f>IFERROR(__xludf.DUMMYFUNCTION("""COMPUTED_VALUE"""),"CRM_AP_GREEN_PACK OF 2")</f>
        <v>CRM_AP_GREEN_PACK OF 2</v>
      </c>
      <c r="B46" s="26">
        <f>IFERROR(__xludf.DUMMYFUNCTION("""COMPUTED_VALUE"""),4.0)</f>
        <v>4</v>
      </c>
      <c r="C46" s="26" t="str">
        <f>IFERROR(__xludf.DUMMYFUNCTION("""COMPUTED_VALUE"""),"BLR8")</f>
        <v>BLR8</v>
      </c>
      <c r="D46" s="26"/>
      <c r="E46" s="26"/>
      <c r="F46" s="26"/>
      <c r="G46" s="26">
        <f>IFERROR(__xludf.DUMMYFUNCTION("""COMPUTED_VALUE"""),392620.0)</f>
        <v>392620</v>
      </c>
      <c r="H46" s="26">
        <f>IFERROR(__xludf.DUMMYFUNCTION("""COMPUTED_VALUE"""),12.0)</f>
        <v>12</v>
      </c>
      <c r="I46" s="26">
        <f>IFERROR(__xludf.DUMMYFUNCTION("""COMPUTED_VALUE"""),120.0)</f>
        <v>120</v>
      </c>
      <c r="J46" s="26"/>
      <c r="K46" s="26">
        <f t="shared" si="3"/>
        <v>480</v>
      </c>
    </row>
    <row r="47">
      <c r="A47" s="26" t="str">
        <f>IFERROR(__xludf.DUMMYFUNCTION("""COMPUTED_VALUE"""),"CRM_AP_GREEN_PACK OF 2")</f>
        <v>CRM_AP_GREEN_PACK OF 2</v>
      </c>
      <c r="B47" s="26">
        <f>IFERROR(__xludf.DUMMYFUNCTION("""COMPUTED_VALUE"""),4.0)</f>
        <v>4</v>
      </c>
      <c r="C47" s="26" t="str">
        <f>IFERROR(__xludf.DUMMYFUNCTION("""COMPUTED_VALUE"""),"BLR7")</f>
        <v>BLR7</v>
      </c>
      <c r="D47" s="26"/>
      <c r="E47" s="26"/>
      <c r="F47" s="26"/>
      <c r="G47" s="26">
        <f>IFERROR(__xludf.DUMMYFUNCTION("""COMPUTED_VALUE"""),392620.0)</f>
        <v>392620</v>
      </c>
      <c r="H47" s="26">
        <f>IFERROR(__xludf.DUMMYFUNCTION("""COMPUTED_VALUE"""),12.0)</f>
        <v>12</v>
      </c>
      <c r="I47" s="26">
        <f>IFERROR(__xludf.DUMMYFUNCTION("""COMPUTED_VALUE"""),120.0)</f>
        <v>120</v>
      </c>
      <c r="J47" s="26"/>
      <c r="K47" s="26">
        <f t="shared" si="3"/>
        <v>480</v>
      </c>
    </row>
    <row r="48">
      <c r="A48" s="26" t="str">
        <f>IFERROR(__xludf.DUMMYFUNCTION("""COMPUTED_VALUE"""),"CRM_AP_GREEN_PACK OF 2")</f>
        <v>CRM_AP_GREEN_PACK OF 2</v>
      </c>
      <c r="B48" s="26">
        <f>IFERROR(__xludf.DUMMYFUNCTION("""COMPUTED_VALUE"""),2.0)</f>
        <v>2</v>
      </c>
      <c r="C48" s="26" t="str">
        <f>IFERROR(__xludf.DUMMYFUNCTION("""COMPUTED_VALUE"""),"BOM5")</f>
        <v>BOM5</v>
      </c>
      <c r="D48" s="26"/>
      <c r="E48" s="26"/>
      <c r="F48" s="26"/>
      <c r="G48" s="26">
        <f>IFERROR(__xludf.DUMMYFUNCTION("""COMPUTED_VALUE"""),392620.0)</f>
        <v>392620</v>
      </c>
      <c r="H48" s="26">
        <f>IFERROR(__xludf.DUMMYFUNCTION("""COMPUTED_VALUE"""),12.0)</f>
        <v>12</v>
      </c>
      <c r="I48" s="26">
        <f>IFERROR(__xludf.DUMMYFUNCTION("""COMPUTED_VALUE"""),120.0)</f>
        <v>120</v>
      </c>
      <c r="J48" s="26"/>
      <c r="K48" s="26">
        <f t="shared" si="3"/>
        <v>240</v>
      </c>
    </row>
    <row r="49">
      <c r="A49" s="26" t="str">
        <f>IFERROR(__xludf.DUMMYFUNCTION("""COMPUTED_VALUE"""),"CRM_AP_GREY_PACK OF 2")</f>
        <v>CRM_AP_GREY_PACK OF 2</v>
      </c>
      <c r="B49" s="26">
        <f>IFERROR(__xludf.DUMMYFUNCTION("""COMPUTED_VALUE"""),6.0)</f>
        <v>6</v>
      </c>
      <c r="C49" s="26" t="str">
        <f>IFERROR(__xludf.DUMMYFUNCTION("""COMPUTED_VALUE"""),"BLR8")</f>
        <v>BLR8</v>
      </c>
      <c r="D49" s="26"/>
      <c r="E49" s="26"/>
      <c r="F49" s="26"/>
      <c r="G49" s="26">
        <f>IFERROR(__xludf.DUMMYFUNCTION("""COMPUTED_VALUE"""),392620.0)</f>
        <v>392620</v>
      </c>
      <c r="H49" s="26">
        <f>IFERROR(__xludf.DUMMYFUNCTION("""COMPUTED_VALUE"""),12.0)</f>
        <v>12</v>
      </c>
      <c r="I49" s="26">
        <f>IFERROR(__xludf.DUMMYFUNCTION("""COMPUTED_VALUE"""),120.0)</f>
        <v>120</v>
      </c>
      <c r="J49" s="26"/>
      <c r="K49" s="26">
        <f t="shared" si="3"/>
        <v>720</v>
      </c>
    </row>
    <row r="50">
      <c r="A50" s="26" t="str">
        <f>IFERROR(__xludf.DUMMYFUNCTION("""COMPUTED_VALUE"""),"CRM_AP_GREY_PACK OF 2")</f>
        <v>CRM_AP_GREY_PACK OF 2</v>
      </c>
      <c r="B50" s="26">
        <f>IFERROR(__xludf.DUMMYFUNCTION("""COMPUTED_VALUE"""),2.0)</f>
        <v>2</v>
      </c>
      <c r="C50" s="26" t="str">
        <f>IFERROR(__xludf.DUMMYFUNCTION("""COMPUTED_VALUE"""),"BLR7")</f>
        <v>BLR7</v>
      </c>
      <c r="D50" s="26"/>
      <c r="E50" s="26"/>
      <c r="F50" s="26"/>
      <c r="G50" s="26">
        <f>IFERROR(__xludf.DUMMYFUNCTION("""COMPUTED_VALUE"""),392620.0)</f>
        <v>392620</v>
      </c>
      <c r="H50" s="26">
        <f>IFERROR(__xludf.DUMMYFUNCTION("""COMPUTED_VALUE"""),12.0)</f>
        <v>12</v>
      </c>
      <c r="I50" s="26">
        <f>IFERROR(__xludf.DUMMYFUNCTION("""COMPUTED_VALUE"""),120.0)</f>
        <v>120</v>
      </c>
      <c r="J50" s="26"/>
      <c r="K50" s="26">
        <f t="shared" si="3"/>
        <v>240</v>
      </c>
    </row>
    <row r="51">
      <c r="A51" s="26" t="str">
        <f>IFERROR(__xludf.DUMMYFUNCTION("""COMPUTED_VALUE"""),"CRM_AP_GREY_PACK OF 2")</f>
        <v>CRM_AP_GREY_PACK OF 2</v>
      </c>
      <c r="B51" s="26">
        <f>IFERROR(__xludf.DUMMYFUNCTION("""COMPUTED_VALUE"""),2.0)</f>
        <v>2</v>
      </c>
      <c r="C51" s="26" t="str">
        <f>IFERROR(__xludf.DUMMYFUNCTION("""COMPUTED_VALUE"""),"DEL5")</f>
        <v>DEL5</v>
      </c>
      <c r="D51" s="26"/>
      <c r="E51" s="26"/>
      <c r="F51" s="26"/>
      <c r="G51" s="26">
        <f>IFERROR(__xludf.DUMMYFUNCTION("""COMPUTED_VALUE"""),392620.0)</f>
        <v>392620</v>
      </c>
      <c r="H51" s="26">
        <f>IFERROR(__xludf.DUMMYFUNCTION("""COMPUTED_VALUE"""),12.0)</f>
        <v>12</v>
      </c>
      <c r="I51" s="26">
        <f>IFERROR(__xludf.DUMMYFUNCTION("""COMPUTED_VALUE"""),120.0)</f>
        <v>120</v>
      </c>
      <c r="J51" s="26"/>
      <c r="K51" s="26">
        <f t="shared" si="3"/>
        <v>240</v>
      </c>
    </row>
    <row r="52">
      <c r="A52" s="26" t="str">
        <f>IFERROR(__xludf.DUMMYFUNCTION("""COMPUTED_VALUE"""),"CRM_AP_RED_PACK OF 2")</f>
        <v>CRM_AP_RED_PACK OF 2</v>
      </c>
      <c r="B52" s="26">
        <f>IFERROR(__xludf.DUMMYFUNCTION("""COMPUTED_VALUE"""),2.0)</f>
        <v>2</v>
      </c>
      <c r="C52" s="26" t="str">
        <f>IFERROR(__xludf.DUMMYFUNCTION("""COMPUTED_VALUE"""),"MAA4")</f>
        <v>MAA4</v>
      </c>
      <c r="D52" s="26"/>
      <c r="E52" s="26"/>
      <c r="F52" s="26"/>
      <c r="G52" s="26">
        <f>IFERROR(__xludf.DUMMYFUNCTION("""COMPUTED_VALUE"""),392620.0)</f>
        <v>392620</v>
      </c>
      <c r="H52" s="26">
        <f>IFERROR(__xludf.DUMMYFUNCTION("""COMPUTED_VALUE"""),12.0)</f>
        <v>12</v>
      </c>
      <c r="I52" s="26">
        <f>IFERROR(__xludf.DUMMYFUNCTION("""COMPUTED_VALUE"""),120.0)</f>
        <v>120</v>
      </c>
      <c r="J52" s="26"/>
      <c r="K52" s="26">
        <f t="shared" si="3"/>
        <v>240</v>
      </c>
    </row>
    <row r="53">
      <c r="A53" s="26" t="str">
        <f>IFERROR(__xludf.DUMMYFUNCTION("""COMPUTED_VALUE"""),"CRM_AP_TEN _PACK OF 2")</f>
        <v>CRM_AP_TEN _PACK OF 2</v>
      </c>
      <c r="B53" s="26">
        <f>IFERROR(__xludf.DUMMYFUNCTION("""COMPUTED_VALUE"""),4.0)</f>
        <v>4</v>
      </c>
      <c r="C53" s="26" t="str">
        <f>IFERROR(__xludf.DUMMYFUNCTION("""COMPUTED_VALUE"""),"CJB1")</f>
        <v>CJB1</v>
      </c>
      <c r="D53" s="26"/>
      <c r="E53" s="26"/>
      <c r="F53" s="26"/>
      <c r="G53" s="26">
        <f>IFERROR(__xludf.DUMMYFUNCTION("""COMPUTED_VALUE"""),392620.0)</f>
        <v>392620</v>
      </c>
      <c r="H53" s="26">
        <f>IFERROR(__xludf.DUMMYFUNCTION("""COMPUTED_VALUE"""),12.0)</f>
        <v>12</v>
      </c>
      <c r="I53" s="26">
        <f>IFERROR(__xludf.DUMMYFUNCTION("""COMPUTED_VALUE"""),120.0)</f>
        <v>120</v>
      </c>
      <c r="J53" s="26"/>
      <c r="K53" s="26">
        <f t="shared" si="3"/>
        <v>480</v>
      </c>
    </row>
    <row r="54">
      <c r="A54" s="26" t="str">
        <f>IFERROR(__xludf.DUMMYFUNCTION("""COMPUTED_VALUE"""),"CRM_AP_TEN _PACK OF 2")</f>
        <v>CRM_AP_TEN _PACK OF 2</v>
      </c>
      <c r="B54" s="26">
        <f>IFERROR(__xludf.DUMMYFUNCTION("""COMPUTED_VALUE"""),8.0)</f>
        <v>8</v>
      </c>
      <c r="C54" s="26" t="str">
        <f>IFERROR(__xludf.DUMMYFUNCTION("""COMPUTED_VALUE"""),"BOM5")</f>
        <v>BOM5</v>
      </c>
      <c r="D54" s="26"/>
      <c r="E54" s="26"/>
      <c r="F54" s="26"/>
      <c r="G54" s="26">
        <f>IFERROR(__xludf.DUMMYFUNCTION("""COMPUTED_VALUE"""),392620.0)</f>
        <v>392620</v>
      </c>
      <c r="H54" s="26">
        <f>IFERROR(__xludf.DUMMYFUNCTION("""COMPUTED_VALUE"""),12.0)</f>
        <v>12</v>
      </c>
      <c r="I54" s="26">
        <f>IFERROR(__xludf.DUMMYFUNCTION("""COMPUTED_VALUE"""),120.0)</f>
        <v>120</v>
      </c>
      <c r="J54" s="26"/>
      <c r="K54" s="26">
        <f t="shared" si="3"/>
        <v>960</v>
      </c>
    </row>
    <row r="55">
      <c r="A55" s="26" t="str">
        <f>IFERROR(__xludf.DUMMYFUNCTION("""COMPUTED_VALUE"""),"CRM_AP_BLACK_PACK OF 3")</f>
        <v>CRM_AP_BLACK_PACK OF 3</v>
      </c>
      <c r="B55" s="26">
        <f>IFERROR(__xludf.DUMMYFUNCTION("""COMPUTED_VALUE"""),2.0)</f>
        <v>2</v>
      </c>
      <c r="C55" s="26" t="str">
        <f>IFERROR(__xludf.DUMMYFUNCTION("""COMPUTED_VALUE"""),"AMD2")</f>
        <v>AMD2</v>
      </c>
      <c r="D55" s="26"/>
      <c r="E55" s="26"/>
      <c r="F55" s="26"/>
      <c r="G55" s="26">
        <f>IFERROR(__xludf.DUMMYFUNCTION("""COMPUTED_VALUE"""),392620.0)</f>
        <v>392620</v>
      </c>
      <c r="H55" s="26">
        <f>IFERROR(__xludf.DUMMYFUNCTION("""COMPUTED_VALUE"""),12.0)</f>
        <v>12</v>
      </c>
      <c r="I55" s="26">
        <f>IFERROR(__xludf.DUMMYFUNCTION("""COMPUTED_VALUE"""),180.0)</f>
        <v>180</v>
      </c>
      <c r="J55" s="26"/>
      <c r="K55" s="26">
        <f t="shared" si="3"/>
        <v>360</v>
      </c>
    </row>
    <row r="56">
      <c r="A56" s="26" t="str">
        <f>IFERROR(__xludf.DUMMYFUNCTION("""COMPUTED_VALUE"""),"CRM_AP_BLACK_PACK OF 3")</f>
        <v>CRM_AP_BLACK_PACK OF 3</v>
      </c>
      <c r="B56" s="26">
        <f>IFERROR(__xludf.DUMMYFUNCTION("""COMPUTED_VALUE"""),2.0)</f>
        <v>2</v>
      </c>
      <c r="C56" s="26" t="str">
        <f>IFERROR(__xludf.DUMMYFUNCTION("""COMPUTED_VALUE"""),"MAA4")</f>
        <v>MAA4</v>
      </c>
      <c r="D56" s="26"/>
      <c r="E56" s="26"/>
      <c r="F56" s="26"/>
      <c r="G56" s="26">
        <f>IFERROR(__xludf.DUMMYFUNCTION("""COMPUTED_VALUE"""),392620.0)</f>
        <v>392620</v>
      </c>
      <c r="H56" s="26">
        <f>IFERROR(__xludf.DUMMYFUNCTION("""COMPUTED_VALUE"""),12.0)</f>
        <v>12</v>
      </c>
      <c r="I56" s="26">
        <f>IFERROR(__xludf.DUMMYFUNCTION("""COMPUTED_VALUE"""),180.0)</f>
        <v>180</v>
      </c>
      <c r="J56" s="26"/>
      <c r="K56" s="26">
        <f t="shared" si="3"/>
        <v>360</v>
      </c>
    </row>
    <row r="57">
      <c r="A57" s="26" t="str">
        <f>IFERROR(__xludf.DUMMYFUNCTION("""COMPUTED_VALUE"""),"CRM_AP_BLACK_PACK OF 3")</f>
        <v>CRM_AP_BLACK_PACK OF 3</v>
      </c>
      <c r="B57" s="26">
        <f>IFERROR(__xludf.DUMMYFUNCTION("""COMPUTED_VALUE"""),4.0)</f>
        <v>4</v>
      </c>
      <c r="C57" s="26" t="str">
        <f>IFERROR(__xludf.DUMMYFUNCTION("""COMPUTED_VALUE"""),"DEL4")</f>
        <v>DEL4</v>
      </c>
      <c r="D57" s="26"/>
      <c r="E57" s="26"/>
      <c r="F57" s="26"/>
      <c r="G57" s="26">
        <f>IFERROR(__xludf.DUMMYFUNCTION("""COMPUTED_VALUE"""),392620.0)</f>
        <v>392620</v>
      </c>
      <c r="H57" s="26">
        <f>IFERROR(__xludf.DUMMYFUNCTION("""COMPUTED_VALUE"""),12.0)</f>
        <v>12</v>
      </c>
      <c r="I57" s="26">
        <f>IFERROR(__xludf.DUMMYFUNCTION("""COMPUTED_VALUE"""),180.0)</f>
        <v>180</v>
      </c>
      <c r="J57" s="26"/>
      <c r="K57" s="26">
        <f t="shared" si="3"/>
        <v>720</v>
      </c>
    </row>
    <row r="58">
      <c r="A58" s="26" t="str">
        <f>IFERROR(__xludf.DUMMYFUNCTION("""COMPUTED_VALUE"""),"CRM_AP_BLACK_PACK OF 3")</f>
        <v>CRM_AP_BLACK_PACK OF 3</v>
      </c>
      <c r="B58" s="26">
        <f>IFERROR(__xludf.DUMMYFUNCTION("""COMPUTED_VALUE"""),4.0)</f>
        <v>4</v>
      </c>
      <c r="C58" s="26" t="str">
        <f>IFERROR(__xludf.DUMMYFUNCTION("""COMPUTED_VALUE"""),"DEL5")</f>
        <v>DEL5</v>
      </c>
      <c r="D58" s="26"/>
      <c r="E58" s="26"/>
      <c r="F58" s="26"/>
      <c r="G58" s="26">
        <f>IFERROR(__xludf.DUMMYFUNCTION("""COMPUTED_VALUE"""),392620.0)</f>
        <v>392620</v>
      </c>
      <c r="H58" s="26">
        <f>IFERROR(__xludf.DUMMYFUNCTION("""COMPUTED_VALUE"""),12.0)</f>
        <v>12</v>
      </c>
      <c r="I58" s="26">
        <f>IFERROR(__xludf.DUMMYFUNCTION("""COMPUTED_VALUE"""),180.0)</f>
        <v>180</v>
      </c>
      <c r="J58" s="26"/>
      <c r="K58" s="26">
        <f t="shared" si="3"/>
        <v>720</v>
      </c>
    </row>
    <row r="59">
      <c r="A59" s="26" t="str">
        <f>IFERROR(__xludf.DUMMYFUNCTION("""COMPUTED_VALUE"""),"CRM_AP_BLUE_PACK OF 3")</f>
        <v>CRM_AP_BLUE_PACK OF 3</v>
      </c>
      <c r="B59" s="26">
        <f>IFERROR(__xludf.DUMMYFUNCTION("""COMPUTED_VALUE"""),2.0)</f>
        <v>2</v>
      </c>
      <c r="C59" s="26" t="str">
        <f>IFERROR(__xludf.DUMMYFUNCTION("""COMPUTED_VALUE"""),"BLR7")</f>
        <v>BLR7</v>
      </c>
      <c r="D59" s="26"/>
      <c r="E59" s="26"/>
      <c r="F59" s="26"/>
      <c r="G59" s="26">
        <f>IFERROR(__xludf.DUMMYFUNCTION("""COMPUTED_VALUE"""),392620.0)</f>
        <v>392620</v>
      </c>
      <c r="H59" s="26">
        <f>IFERROR(__xludf.DUMMYFUNCTION("""COMPUTED_VALUE"""),12.0)</f>
        <v>12</v>
      </c>
      <c r="I59" s="26">
        <f>IFERROR(__xludf.DUMMYFUNCTION("""COMPUTED_VALUE"""),180.0)</f>
        <v>180</v>
      </c>
      <c r="J59" s="26"/>
      <c r="K59" s="26">
        <f t="shared" si="3"/>
        <v>360</v>
      </c>
    </row>
    <row r="60">
      <c r="A60" s="26" t="str">
        <f>IFERROR(__xludf.DUMMYFUNCTION("""COMPUTED_VALUE"""),"CRM_AP_BLUE_PACK OF 3")</f>
        <v>CRM_AP_BLUE_PACK OF 3</v>
      </c>
      <c r="B60" s="26">
        <f>IFERROR(__xludf.DUMMYFUNCTION("""COMPUTED_VALUE"""),6.0)</f>
        <v>6</v>
      </c>
      <c r="C60" s="26" t="str">
        <f>IFERROR(__xludf.DUMMYFUNCTION("""COMPUTED_VALUE"""),"DEL4")</f>
        <v>DEL4</v>
      </c>
      <c r="D60" s="26"/>
      <c r="E60" s="26"/>
      <c r="F60" s="26"/>
      <c r="G60" s="26">
        <f>IFERROR(__xludf.DUMMYFUNCTION("""COMPUTED_VALUE"""),392620.0)</f>
        <v>392620</v>
      </c>
      <c r="H60" s="26">
        <f>IFERROR(__xludf.DUMMYFUNCTION("""COMPUTED_VALUE"""),12.0)</f>
        <v>12</v>
      </c>
      <c r="I60" s="26">
        <f>IFERROR(__xludf.DUMMYFUNCTION("""COMPUTED_VALUE"""),180.0)</f>
        <v>180</v>
      </c>
      <c r="J60" s="26"/>
      <c r="K60" s="26">
        <f t="shared" si="3"/>
        <v>1080</v>
      </c>
    </row>
    <row r="61">
      <c r="A61" s="26" t="str">
        <f>IFERROR(__xludf.DUMMYFUNCTION("""COMPUTED_VALUE"""),"CRM_AP_BLUE_PACK OF 3")</f>
        <v>CRM_AP_BLUE_PACK OF 3</v>
      </c>
      <c r="B61" s="26">
        <f>IFERROR(__xludf.DUMMYFUNCTION("""COMPUTED_VALUE"""),4.0)</f>
        <v>4</v>
      </c>
      <c r="C61" s="26" t="str">
        <f>IFERROR(__xludf.DUMMYFUNCTION("""COMPUTED_VALUE"""),"BOM5")</f>
        <v>BOM5</v>
      </c>
      <c r="D61" s="26"/>
      <c r="E61" s="26"/>
      <c r="F61" s="26"/>
      <c r="G61" s="26">
        <f>IFERROR(__xludf.DUMMYFUNCTION("""COMPUTED_VALUE"""),392620.0)</f>
        <v>392620</v>
      </c>
      <c r="H61" s="26">
        <f>IFERROR(__xludf.DUMMYFUNCTION("""COMPUTED_VALUE"""),12.0)</f>
        <v>12</v>
      </c>
      <c r="I61" s="26">
        <f>IFERROR(__xludf.DUMMYFUNCTION("""COMPUTED_VALUE"""),180.0)</f>
        <v>180</v>
      </c>
      <c r="J61" s="26"/>
      <c r="K61" s="26">
        <f t="shared" si="3"/>
        <v>720</v>
      </c>
    </row>
    <row r="62">
      <c r="A62" s="26" t="str">
        <f>IFERROR(__xludf.DUMMYFUNCTION("""COMPUTED_VALUE"""),"CRM_AP_BROWN_PACK OF 3")</f>
        <v>CRM_AP_BROWN_PACK OF 3</v>
      </c>
      <c r="B62" s="26">
        <f>IFERROR(__xludf.DUMMYFUNCTION("""COMPUTED_VALUE"""),2.0)</f>
        <v>2</v>
      </c>
      <c r="C62" s="26" t="str">
        <f>IFERROR(__xludf.DUMMYFUNCTION("""COMPUTED_VALUE"""),"BLR7")</f>
        <v>BLR7</v>
      </c>
      <c r="D62" s="26"/>
      <c r="E62" s="26"/>
      <c r="F62" s="26"/>
      <c r="G62" s="26">
        <f>IFERROR(__xludf.DUMMYFUNCTION("""COMPUTED_VALUE"""),392620.0)</f>
        <v>392620</v>
      </c>
      <c r="H62" s="26">
        <f>IFERROR(__xludf.DUMMYFUNCTION("""COMPUTED_VALUE"""),12.0)</f>
        <v>12</v>
      </c>
      <c r="I62" s="26">
        <f>IFERROR(__xludf.DUMMYFUNCTION("""COMPUTED_VALUE"""),180.0)</f>
        <v>180</v>
      </c>
      <c r="J62" s="26"/>
      <c r="K62" s="26">
        <f t="shared" si="3"/>
        <v>360</v>
      </c>
    </row>
    <row r="63">
      <c r="A63" s="26" t="str">
        <f>IFERROR(__xludf.DUMMYFUNCTION("""COMPUTED_VALUE"""),"CRM_AP_BROWN_PACK OF 3")</f>
        <v>CRM_AP_BROWN_PACK OF 3</v>
      </c>
      <c r="B63" s="26">
        <f>IFERROR(__xludf.DUMMYFUNCTION("""COMPUTED_VALUE"""),4.0)</f>
        <v>4</v>
      </c>
      <c r="C63" s="26" t="str">
        <f>IFERROR(__xludf.DUMMYFUNCTION("""COMPUTED_VALUE"""),"CJB1")</f>
        <v>CJB1</v>
      </c>
      <c r="D63" s="26"/>
      <c r="E63" s="26"/>
      <c r="F63" s="26"/>
      <c r="G63" s="26">
        <f>IFERROR(__xludf.DUMMYFUNCTION("""COMPUTED_VALUE"""),392620.0)</f>
        <v>392620</v>
      </c>
      <c r="H63" s="26">
        <f>IFERROR(__xludf.DUMMYFUNCTION("""COMPUTED_VALUE"""),12.0)</f>
        <v>12</v>
      </c>
      <c r="I63" s="26">
        <f>IFERROR(__xludf.DUMMYFUNCTION("""COMPUTED_VALUE"""),180.0)</f>
        <v>180</v>
      </c>
      <c r="J63" s="26"/>
      <c r="K63" s="26">
        <f t="shared" si="3"/>
        <v>720</v>
      </c>
    </row>
    <row r="64">
      <c r="A64" s="26" t="str">
        <f>IFERROR(__xludf.DUMMYFUNCTION("""COMPUTED_VALUE"""),"CRM_AP_BROWN_PACK OF 3")</f>
        <v>CRM_AP_BROWN_PACK OF 3</v>
      </c>
      <c r="B64" s="26">
        <f>IFERROR(__xludf.DUMMYFUNCTION("""COMPUTED_VALUE"""),4.0)</f>
        <v>4</v>
      </c>
      <c r="C64" s="26" t="str">
        <f>IFERROR(__xludf.DUMMYFUNCTION("""COMPUTED_VALUE"""),"DEL4")</f>
        <v>DEL4</v>
      </c>
      <c r="D64" s="26"/>
      <c r="E64" s="26"/>
      <c r="F64" s="26"/>
      <c r="G64" s="26">
        <f>IFERROR(__xludf.DUMMYFUNCTION("""COMPUTED_VALUE"""),392620.0)</f>
        <v>392620</v>
      </c>
      <c r="H64" s="26">
        <f>IFERROR(__xludf.DUMMYFUNCTION("""COMPUTED_VALUE"""),12.0)</f>
        <v>12</v>
      </c>
      <c r="I64" s="26">
        <f>IFERROR(__xludf.DUMMYFUNCTION("""COMPUTED_VALUE"""),180.0)</f>
        <v>180</v>
      </c>
      <c r="J64" s="26"/>
      <c r="K64" s="26">
        <f t="shared" si="3"/>
        <v>720</v>
      </c>
    </row>
    <row r="65">
      <c r="A65" s="26" t="str">
        <f>IFERROR(__xludf.DUMMYFUNCTION("""COMPUTED_VALUE"""),"CRM_AP_BROWN_PACK OF 3")</f>
        <v>CRM_AP_BROWN_PACK OF 3</v>
      </c>
      <c r="B65" s="26">
        <f>IFERROR(__xludf.DUMMYFUNCTION("""COMPUTED_VALUE"""),10.0)</f>
        <v>10</v>
      </c>
      <c r="C65" s="26" t="str">
        <f>IFERROR(__xludf.DUMMYFUNCTION("""COMPUTED_VALUE"""),"DEL5")</f>
        <v>DEL5</v>
      </c>
      <c r="D65" s="26"/>
      <c r="E65" s="26"/>
      <c r="F65" s="26"/>
      <c r="G65" s="26">
        <f>IFERROR(__xludf.DUMMYFUNCTION("""COMPUTED_VALUE"""),392620.0)</f>
        <v>392620</v>
      </c>
      <c r="H65" s="26">
        <f>IFERROR(__xludf.DUMMYFUNCTION("""COMPUTED_VALUE"""),12.0)</f>
        <v>12</v>
      </c>
      <c r="I65" s="26">
        <f>IFERROR(__xludf.DUMMYFUNCTION("""COMPUTED_VALUE"""),180.0)</f>
        <v>180</v>
      </c>
      <c r="J65" s="26"/>
      <c r="K65" s="26">
        <f t="shared" si="3"/>
        <v>1800</v>
      </c>
    </row>
    <row r="66">
      <c r="A66" s="26" t="str">
        <f>IFERROR(__xludf.DUMMYFUNCTION("""COMPUTED_VALUE"""),"CRM_AP_BROWN_PACK OF 3")</f>
        <v>CRM_AP_BROWN_PACK OF 3</v>
      </c>
      <c r="B66" s="26">
        <f>IFERROR(__xludf.DUMMYFUNCTION("""COMPUTED_VALUE"""),2.0)</f>
        <v>2</v>
      </c>
      <c r="C66" s="26" t="str">
        <f>IFERROR(__xludf.DUMMYFUNCTION("""COMPUTED_VALUE"""),"BOM5")</f>
        <v>BOM5</v>
      </c>
      <c r="D66" s="26"/>
      <c r="E66" s="26"/>
      <c r="F66" s="26"/>
      <c r="G66" s="26">
        <f>IFERROR(__xludf.DUMMYFUNCTION("""COMPUTED_VALUE"""),392620.0)</f>
        <v>392620</v>
      </c>
      <c r="H66" s="26">
        <f>IFERROR(__xludf.DUMMYFUNCTION("""COMPUTED_VALUE"""),12.0)</f>
        <v>12</v>
      </c>
      <c r="I66" s="26">
        <f>IFERROR(__xludf.DUMMYFUNCTION("""COMPUTED_VALUE"""),180.0)</f>
        <v>180</v>
      </c>
      <c r="J66" s="26"/>
      <c r="K66" s="26">
        <f t="shared" si="3"/>
        <v>360</v>
      </c>
    </row>
    <row r="67">
      <c r="A67" s="26" t="str">
        <f>IFERROR(__xludf.DUMMYFUNCTION("""COMPUTED_VALUE"""),"CRM_AP_GREEN_PACK OF 3")</f>
        <v>CRM_AP_GREEN_PACK OF 3</v>
      </c>
      <c r="B67" s="26">
        <f>IFERROR(__xludf.DUMMYFUNCTION("""COMPUTED_VALUE"""),2.0)</f>
        <v>2</v>
      </c>
      <c r="C67" s="26" t="str">
        <f>IFERROR(__xludf.DUMMYFUNCTION("""COMPUTED_VALUE"""),"MAA4")</f>
        <v>MAA4</v>
      </c>
      <c r="D67" s="26"/>
      <c r="E67" s="26"/>
      <c r="F67" s="26"/>
      <c r="G67" s="26">
        <f>IFERROR(__xludf.DUMMYFUNCTION("""COMPUTED_VALUE"""),392620.0)</f>
        <v>392620</v>
      </c>
      <c r="H67" s="26">
        <f>IFERROR(__xludf.DUMMYFUNCTION("""COMPUTED_VALUE"""),12.0)</f>
        <v>12</v>
      </c>
      <c r="I67" s="26">
        <f>IFERROR(__xludf.DUMMYFUNCTION("""COMPUTED_VALUE"""),180.0)</f>
        <v>180</v>
      </c>
      <c r="J67" s="26"/>
      <c r="K67" s="26">
        <f t="shared" si="3"/>
        <v>360</v>
      </c>
    </row>
    <row r="68">
      <c r="A68" s="26" t="str">
        <f>IFERROR(__xludf.DUMMYFUNCTION("""COMPUTED_VALUE"""),"CRM_AP_GREEN_PACK OF 3")</f>
        <v>CRM_AP_GREEN_PACK OF 3</v>
      </c>
      <c r="B68" s="26">
        <f>IFERROR(__xludf.DUMMYFUNCTION("""COMPUTED_VALUE"""),2.0)</f>
        <v>2</v>
      </c>
      <c r="C68" s="26" t="str">
        <f>IFERROR(__xludf.DUMMYFUNCTION("""COMPUTED_VALUE"""),"DEL4")</f>
        <v>DEL4</v>
      </c>
      <c r="D68" s="26"/>
      <c r="E68" s="26"/>
      <c r="F68" s="26"/>
      <c r="G68" s="26">
        <f>IFERROR(__xludf.DUMMYFUNCTION("""COMPUTED_VALUE"""),392620.0)</f>
        <v>392620</v>
      </c>
      <c r="H68" s="26">
        <f>IFERROR(__xludf.DUMMYFUNCTION("""COMPUTED_VALUE"""),12.0)</f>
        <v>12</v>
      </c>
      <c r="I68" s="26">
        <f>IFERROR(__xludf.DUMMYFUNCTION("""COMPUTED_VALUE"""),180.0)</f>
        <v>180</v>
      </c>
      <c r="J68" s="26"/>
      <c r="K68" s="26">
        <f t="shared" si="3"/>
        <v>360</v>
      </c>
    </row>
    <row r="69">
      <c r="A69" s="26" t="str">
        <f>IFERROR(__xludf.DUMMYFUNCTION("""COMPUTED_VALUE"""),"CRM_AP_GREEN_PACK OF 3")</f>
        <v>CRM_AP_GREEN_PACK OF 3</v>
      </c>
      <c r="B69" s="26">
        <f>IFERROR(__xludf.DUMMYFUNCTION("""COMPUTED_VALUE"""),2.0)</f>
        <v>2</v>
      </c>
      <c r="C69" s="26" t="str">
        <f>IFERROR(__xludf.DUMMYFUNCTION("""COMPUTED_VALUE"""),"BOM5")</f>
        <v>BOM5</v>
      </c>
      <c r="D69" s="26"/>
      <c r="E69" s="26"/>
      <c r="F69" s="26"/>
      <c r="G69" s="26">
        <f>IFERROR(__xludf.DUMMYFUNCTION("""COMPUTED_VALUE"""),392620.0)</f>
        <v>392620</v>
      </c>
      <c r="H69" s="26">
        <f>IFERROR(__xludf.DUMMYFUNCTION("""COMPUTED_VALUE"""),12.0)</f>
        <v>12</v>
      </c>
      <c r="I69" s="26">
        <f>IFERROR(__xludf.DUMMYFUNCTION("""COMPUTED_VALUE"""),180.0)</f>
        <v>180</v>
      </c>
      <c r="J69" s="26"/>
      <c r="K69" s="26">
        <f t="shared" si="3"/>
        <v>360</v>
      </c>
    </row>
    <row r="70">
      <c r="A70" s="26" t="str">
        <f>IFERROR(__xludf.DUMMYFUNCTION("""COMPUTED_VALUE"""),"CRM_AP_RED_PACK OF 3")</f>
        <v>CRM_AP_RED_PACK OF 3</v>
      </c>
      <c r="B70" s="26">
        <f>IFERROR(__xludf.DUMMYFUNCTION("""COMPUTED_VALUE"""),2.0)</f>
        <v>2</v>
      </c>
      <c r="C70" s="26" t="str">
        <f>IFERROR(__xludf.DUMMYFUNCTION("""COMPUTED_VALUE"""),"BLR8")</f>
        <v>BLR8</v>
      </c>
      <c r="D70" s="26"/>
      <c r="E70" s="26"/>
      <c r="F70" s="26"/>
      <c r="G70" s="26">
        <f>IFERROR(__xludf.DUMMYFUNCTION("""COMPUTED_VALUE"""),392620.0)</f>
        <v>392620</v>
      </c>
      <c r="H70" s="26">
        <f>IFERROR(__xludf.DUMMYFUNCTION("""COMPUTED_VALUE"""),12.0)</f>
        <v>12</v>
      </c>
      <c r="I70" s="26">
        <f>IFERROR(__xludf.DUMMYFUNCTION("""COMPUTED_VALUE"""),180.0)</f>
        <v>180</v>
      </c>
      <c r="J70" s="26"/>
      <c r="K70" s="26">
        <f t="shared" si="3"/>
        <v>360</v>
      </c>
    </row>
    <row r="71">
      <c r="A71" s="26" t="str">
        <f>IFERROR(__xludf.DUMMYFUNCTION("""COMPUTED_VALUE"""),"CRM_AP_RED_PACK OF 3")</f>
        <v>CRM_AP_RED_PACK OF 3</v>
      </c>
      <c r="B71" s="26">
        <f>IFERROR(__xludf.DUMMYFUNCTION("""COMPUTED_VALUE"""),2.0)</f>
        <v>2</v>
      </c>
      <c r="C71" s="26" t="str">
        <f>IFERROR(__xludf.DUMMYFUNCTION("""COMPUTED_VALUE"""),"BLR7")</f>
        <v>BLR7</v>
      </c>
      <c r="D71" s="26"/>
      <c r="E71" s="26"/>
      <c r="F71" s="26"/>
      <c r="G71" s="26">
        <f>IFERROR(__xludf.DUMMYFUNCTION("""COMPUTED_VALUE"""),392620.0)</f>
        <v>392620</v>
      </c>
      <c r="H71" s="26">
        <f>IFERROR(__xludf.DUMMYFUNCTION("""COMPUTED_VALUE"""),12.0)</f>
        <v>12</v>
      </c>
      <c r="I71" s="26">
        <f>IFERROR(__xludf.DUMMYFUNCTION("""COMPUTED_VALUE"""),180.0)</f>
        <v>180</v>
      </c>
      <c r="J71" s="26"/>
      <c r="K71" s="26">
        <f t="shared" si="3"/>
        <v>360</v>
      </c>
    </row>
    <row r="72">
      <c r="A72" s="26" t="str">
        <f>IFERROR(__xludf.DUMMYFUNCTION("""COMPUTED_VALUE"""),"CRM_AP_RED_PACK OF 3")</f>
        <v>CRM_AP_RED_PACK OF 3</v>
      </c>
      <c r="B72" s="26">
        <f>IFERROR(__xludf.DUMMYFUNCTION("""COMPUTED_VALUE"""),2.0)</f>
        <v>2</v>
      </c>
      <c r="C72" s="26" t="str">
        <f>IFERROR(__xludf.DUMMYFUNCTION("""COMPUTED_VALUE"""),"MAA4")</f>
        <v>MAA4</v>
      </c>
      <c r="D72" s="26"/>
      <c r="E72" s="26"/>
      <c r="F72" s="26"/>
      <c r="G72" s="26">
        <f>IFERROR(__xludf.DUMMYFUNCTION("""COMPUTED_VALUE"""),392620.0)</f>
        <v>392620</v>
      </c>
      <c r="H72" s="26">
        <f>IFERROR(__xludf.DUMMYFUNCTION("""COMPUTED_VALUE"""),12.0)</f>
        <v>12</v>
      </c>
      <c r="I72" s="26">
        <f>IFERROR(__xludf.DUMMYFUNCTION("""COMPUTED_VALUE"""),180.0)</f>
        <v>180</v>
      </c>
      <c r="J72" s="26"/>
      <c r="K72" s="26">
        <f t="shared" si="3"/>
        <v>360</v>
      </c>
    </row>
    <row r="73">
      <c r="A73" s="26" t="str">
        <f>IFERROR(__xludf.DUMMYFUNCTION("""COMPUTED_VALUE"""),"CRM_AP_RED_PACK OF 3")</f>
        <v>CRM_AP_RED_PACK OF 3</v>
      </c>
      <c r="B73" s="26">
        <f>IFERROR(__xludf.DUMMYFUNCTION("""COMPUTED_VALUE"""),2.0)</f>
        <v>2</v>
      </c>
      <c r="C73" s="26" t="str">
        <f>IFERROR(__xludf.DUMMYFUNCTION("""COMPUTED_VALUE"""),"BOM5")</f>
        <v>BOM5</v>
      </c>
      <c r="D73" s="26"/>
      <c r="E73" s="26"/>
      <c r="F73" s="26"/>
      <c r="G73" s="26">
        <f>IFERROR(__xludf.DUMMYFUNCTION("""COMPUTED_VALUE"""),392620.0)</f>
        <v>392620</v>
      </c>
      <c r="H73" s="26">
        <f>IFERROR(__xludf.DUMMYFUNCTION("""COMPUTED_VALUE"""),12.0)</f>
        <v>12</v>
      </c>
      <c r="I73" s="26">
        <f>IFERROR(__xludf.DUMMYFUNCTION("""COMPUTED_VALUE"""),180.0)</f>
        <v>180</v>
      </c>
      <c r="J73" s="26"/>
      <c r="K73" s="26">
        <f t="shared" si="3"/>
        <v>360</v>
      </c>
    </row>
    <row r="74">
      <c r="A74" s="26" t="str">
        <f>IFERROR(__xludf.DUMMYFUNCTION("""COMPUTED_VALUE"""),"CRM_AP_TEN _PACK OF 3")</f>
        <v>CRM_AP_TEN _PACK OF 3</v>
      </c>
      <c r="B74" s="26">
        <f>IFERROR(__xludf.DUMMYFUNCTION("""COMPUTED_VALUE"""),16.0)</f>
        <v>16</v>
      </c>
      <c r="C74" s="26" t="str">
        <f>IFERROR(__xludf.DUMMYFUNCTION("""COMPUTED_VALUE"""),"BLR7")</f>
        <v>BLR7</v>
      </c>
      <c r="D74" s="26"/>
      <c r="E74" s="26"/>
      <c r="F74" s="26"/>
      <c r="G74" s="26">
        <f>IFERROR(__xludf.DUMMYFUNCTION("""COMPUTED_VALUE"""),392620.0)</f>
        <v>392620</v>
      </c>
      <c r="H74" s="26">
        <f>IFERROR(__xludf.DUMMYFUNCTION("""COMPUTED_VALUE"""),12.0)</f>
        <v>12</v>
      </c>
      <c r="I74" s="26">
        <f>IFERROR(__xludf.DUMMYFUNCTION("""COMPUTED_VALUE"""),180.0)</f>
        <v>180</v>
      </c>
      <c r="J74" s="26"/>
      <c r="K74" s="26">
        <f t="shared" si="3"/>
        <v>2880</v>
      </c>
    </row>
    <row r="75">
      <c r="A75" s="26" t="str">
        <f>IFERROR(__xludf.DUMMYFUNCTION("""COMPUTED_VALUE"""),"CRM_AP_TEN _PACK OF 3")</f>
        <v>CRM_AP_TEN _PACK OF 3</v>
      </c>
      <c r="B75" s="26">
        <f>IFERROR(__xludf.DUMMYFUNCTION("""COMPUTED_VALUE"""),2.0)</f>
        <v>2</v>
      </c>
      <c r="C75" s="26" t="str">
        <f>IFERROR(__xludf.DUMMYFUNCTION("""COMPUTED_VALUE"""),"DEL5")</f>
        <v>DEL5</v>
      </c>
      <c r="D75" s="26"/>
      <c r="E75" s="26"/>
      <c r="F75" s="26"/>
      <c r="G75" s="26">
        <f>IFERROR(__xludf.DUMMYFUNCTION("""COMPUTED_VALUE"""),392620.0)</f>
        <v>392620</v>
      </c>
      <c r="H75" s="26">
        <f>IFERROR(__xludf.DUMMYFUNCTION("""COMPUTED_VALUE"""),12.0)</f>
        <v>12</v>
      </c>
      <c r="I75" s="26">
        <f>IFERROR(__xludf.DUMMYFUNCTION("""COMPUTED_VALUE"""),180.0)</f>
        <v>180</v>
      </c>
      <c r="J75" s="26"/>
      <c r="K75" s="26">
        <f t="shared" si="3"/>
        <v>360</v>
      </c>
    </row>
    <row r="76">
      <c r="A76" s="26" t="str">
        <f>IFERROR(__xludf.DUMMYFUNCTION("""COMPUTED_VALUE"""),"Bajaj_2")</f>
        <v>Bajaj_2</v>
      </c>
      <c r="B76" s="26">
        <f>IFERROR(__xludf.DUMMYFUNCTION("""COMPUTED_VALUE"""),2.0)</f>
        <v>2</v>
      </c>
      <c r="C76" s="26" t="str">
        <f>IFERROR(__xludf.DUMMYFUNCTION("""COMPUTED_VALUE"""),"AMD2")</f>
        <v>AMD2</v>
      </c>
      <c r="D76" s="26"/>
      <c r="E76" s="26"/>
      <c r="F76" s="26"/>
      <c r="G76" s="26">
        <f>IFERROR(__xludf.DUMMYFUNCTION("""COMPUTED_VALUE"""),845290.0)</f>
        <v>845290</v>
      </c>
      <c r="H76" s="26">
        <f>IFERROR(__xludf.DUMMYFUNCTION("""COMPUTED_VALUE"""),12.0)</f>
        <v>12</v>
      </c>
      <c r="I76" s="26">
        <f>IFERROR(__xludf.DUMMYFUNCTION("""COMPUTED_VALUE"""),55.0)</f>
        <v>55</v>
      </c>
      <c r="J76" s="26"/>
      <c r="K76" s="26">
        <f t="shared" si="3"/>
        <v>110</v>
      </c>
    </row>
    <row r="77">
      <c r="A77" s="26" t="str">
        <f>IFERROR(__xludf.DUMMYFUNCTION("""COMPUTED_VALUE"""),"Bajaj_2")</f>
        <v>Bajaj_2</v>
      </c>
      <c r="B77" s="26">
        <f>IFERROR(__xludf.DUMMYFUNCTION("""COMPUTED_VALUE"""),2.0)</f>
        <v>2</v>
      </c>
      <c r="C77" s="26" t="str">
        <f>IFERROR(__xludf.DUMMYFUNCTION("""COMPUTED_VALUE"""),"BLR7")</f>
        <v>BLR7</v>
      </c>
      <c r="D77" s="26"/>
      <c r="E77" s="26"/>
      <c r="F77" s="26"/>
      <c r="G77" s="26">
        <f>IFERROR(__xludf.DUMMYFUNCTION("""COMPUTED_VALUE"""),845290.0)</f>
        <v>845290</v>
      </c>
      <c r="H77" s="26">
        <f>IFERROR(__xludf.DUMMYFUNCTION("""COMPUTED_VALUE"""),12.0)</f>
        <v>12</v>
      </c>
      <c r="I77" s="26">
        <f>IFERROR(__xludf.DUMMYFUNCTION("""COMPUTED_VALUE"""),55.0)</f>
        <v>55</v>
      </c>
      <c r="J77" s="26"/>
      <c r="K77" s="26">
        <f t="shared" si="3"/>
        <v>110</v>
      </c>
    </row>
    <row r="78">
      <c r="A78" s="26" t="str">
        <f>IFERROR(__xludf.DUMMYFUNCTION("""COMPUTED_VALUE"""),"Bajaj_2")</f>
        <v>Bajaj_2</v>
      </c>
      <c r="B78" s="26">
        <f>IFERROR(__xludf.DUMMYFUNCTION("""COMPUTED_VALUE"""),2.0)</f>
        <v>2</v>
      </c>
      <c r="C78" s="26" t="str">
        <f>IFERROR(__xludf.DUMMYFUNCTION("""COMPUTED_VALUE"""),"CJB1")</f>
        <v>CJB1</v>
      </c>
      <c r="D78" s="26"/>
      <c r="E78" s="26"/>
      <c r="F78" s="26"/>
      <c r="G78" s="26">
        <f>IFERROR(__xludf.DUMMYFUNCTION("""COMPUTED_VALUE"""),845290.0)</f>
        <v>845290</v>
      </c>
      <c r="H78" s="26">
        <f>IFERROR(__xludf.DUMMYFUNCTION("""COMPUTED_VALUE"""),12.0)</f>
        <v>12</v>
      </c>
      <c r="I78" s="26">
        <f>IFERROR(__xludf.DUMMYFUNCTION("""COMPUTED_VALUE"""),55.0)</f>
        <v>55</v>
      </c>
      <c r="J78" s="26"/>
      <c r="K78" s="26">
        <f t="shared" si="3"/>
        <v>110</v>
      </c>
    </row>
    <row r="79">
      <c r="A79" s="26" t="str">
        <f>IFERROR(__xludf.DUMMYFUNCTION("""COMPUTED_VALUE"""),"Bajaj_2")</f>
        <v>Bajaj_2</v>
      </c>
      <c r="B79" s="26">
        <f>IFERROR(__xludf.DUMMYFUNCTION("""COMPUTED_VALUE"""),2.0)</f>
        <v>2</v>
      </c>
      <c r="C79" s="26" t="str">
        <f>IFERROR(__xludf.DUMMYFUNCTION("""COMPUTED_VALUE"""),"MAA4")</f>
        <v>MAA4</v>
      </c>
      <c r="D79" s="26"/>
      <c r="E79" s="26"/>
      <c r="F79" s="26"/>
      <c r="G79" s="26">
        <f>IFERROR(__xludf.DUMMYFUNCTION("""COMPUTED_VALUE"""),845290.0)</f>
        <v>845290</v>
      </c>
      <c r="H79" s="26">
        <f>IFERROR(__xludf.DUMMYFUNCTION("""COMPUTED_VALUE"""),12.0)</f>
        <v>12</v>
      </c>
      <c r="I79" s="26">
        <f>IFERROR(__xludf.DUMMYFUNCTION("""COMPUTED_VALUE"""),55.0)</f>
        <v>55</v>
      </c>
      <c r="J79" s="26"/>
      <c r="K79" s="26">
        <f t="shared" si="3"/>
        <v>110</v>
      </c>
    </row>
    <row r="80">
      <c r="A80" s="26" t="str">
        <f>IFERROR(__xludf.DUMMYFUNCTION("""COMPUTED_VALUE"""),"Bajaj_2")</f>
        <v>Bajaj_2</v>
      </c>
      <c r="B80" s="26">
        <f>IFERROR(__xludf.DUMMYFUNCTION("""COMPUTED_VALUE"""),2.0)</f>
        <v>2</v>
      </c>
      <c r="C80" s="26" t="str">
        <f>IFERROR(__xludf.DUMMYFUNCTION("""COMPUTED_VALUE"""),"BOM5")</f>
        <v>BOM5</v>
      </c>
      <c r="D80" s="26"/>
      <c r="E80" s="26"/>
      <c r="F80" s="26"/>
      <c r="G80" s="26">
        <f>IFERROR(__xludf.DUMMYFUNCTION("""COMPUTED_VALUE"""),845290.0)</f>
        <v>845290</v>
      </c>
      <c r="H80" s="26">
        <f>IFERROR(__xludf.DUMMYFUNCTION("""COMPUTED_VALUE"""),12.0)</f>
        <v>12</v>
      </c>
      <c r="I80" s="26">
        <f>IFERROR(__xludf.DUMMYFUNCTION("""COMPUTED_VALUE"""),55.0)</f>
        <v>55</v>
      </c>
      <c r="J80" s="26"/>
      <c r="K80" s="26">
        <f t="shared" si="3"/>
        <v>110</v>
      </c>
    </row>
    <row r="81">
      <c r="A81" s="26" t="str">
        <f>IFERROR(__xludf.DUMMYFUNCTION("""COMPUTED_VALUE"""),"Bajaj_3")</f>
        <v>Bajaj_3</v>
      </c>
      <c r="B81" s="26">
        <f>IFERROR(__xludf.DUMMYFUNCTION("""COMPUTED_VALUE"""),4.0)</f>
        <v>4</v>
      </c>
      <c r="C81" s="26" t="str">
        <f>IFERROR(__xludf.DUMMYFUNCTION("""COMPUTED_VALUE"""),"AMD2")</f>
        <v>AMD2</v>
      </c>
      <c r="D81" s="26"/>
      <c r="E81" s="26"/>
      <c r="F81" s="26"/>
      <c r="G81" s="26">
        <f>IFERROR(__xludf.DUMMYFUNCTION("""COMPUTED_VALUE"""),845290.0)</f>
        <v>845290</v>
      </c>
      <c r="H81" s="26">
        <f>IFERROR(__xludf.DUMMYFUNCTION("""COMPUTED_VALUE"""),12.0)</f>
        <v>12</v>
      </c>
      <c r="I81" s="26">
        <f>IFERROR(__xludf.DUMMYFUNCTION("""COMPUTED_VALUE"""),55.0)</f>
        <v>55</v>
      </c>
      <c r="J81" s="26"/>
      <c r="K81" s="26">
        <f t="shared" si="3"/>
        <v>220</v>
      </c>
    </row>
    <row r="82">
      <c r="A82" s="26" t="str">
        <f>IFERROR(__xludf.DUMMYFUNCTION("""COMPUTED_VALUE"""),"Bajaj_3")</f>
        <v>Bajaj_3</v>
      </c>
      <c r="B82" s="26">
        <f>IFERROR(__xludf.DUMMYFUNCTION("""COMPUTED_VALUE"""),2.0)</f>
        <v>2</v>
      </c>
      <c r="C82" s="26" t="str">
        <f>IFERROR(__xludf.DUMMYFUNCTION("""COMPUTED_VALUE"""),"BLR7")</f>
        <v>BLR7</v>
      </c>
      <c r="D82" s="26"/>
      <c r="E82" s="26"/>
      <c r="F82" s="26"/>
      <c r="G82" s="26">
        <f>IFERROR(__xludf.DUMMYFUNCTION("""COMPUTED_VALUE"""),845290.0)</f>
        <v>845290</v>
      </c>
      <c r="H82" s="26">
        <f>IFERROR(__xludf.DUMMYFUNCTION("""COMPUTED_VALUE"""),12.0)</f>
        <v>12</v>
      </c>
      <c r="I82" s="26">
        <f>IFERROR(__xludf.DUMMYFUNCTION("""COMPUTED_VALUE"""),55.0)</f>
        <v>55</v>
      </c>
      <c r="J82" s="26"/>
      <c r="K82" s="26">
        <f t="shared" si="3"/>
        <v>110</v>
      </c>
    </row>
    <row r="83">
      <c r="A83" s="26" t="str">
        <f>IFERROR(__xludf.DUMMYFUNCTION("""COMPUTED_VALUE"""),"Bajaj_3")</f>
        <v>Bajaj_3</v>
      </c>
      <c r="B83" s="26">
        <f>IFERROR(__xludf.DUMMYFUNCTION("""COMPUTED_VALUE"""),4.0)</f>
        <v>4</v>
      </c>
      <c r="C83" s="26" t="str">
        <f>IFERROR(__xludf.DUMMYFUNCTION("""COMPUTED_VALUE"""),"DEL5")</f>
        <v>DEL5</v>
      </c>
      <c r="D83" s="26"/>
      <c r="E83" s="26"/>
      <c r="F83" s="26"/>
      <c r="G83" s="26">
        <f>IFERROR(__xludf.DUMMYFUNCTION("""COMPUTED_VALUE"""),845290.0)</f>
        <v>845290</v>
      </c>
      <c r="H83" s="26">
        <f>IFERROR(__xludf.DUMMYFUNCTION("""COMPUTED_VALUE"""),12.0)</f>
        <v>12</v>
      </c>
      <c r="I83" s="26">
        <f>IFERROR(__xludf.DUMMYFUNCTION("""COMPUTED_VALUE"""),55.0)</f>
        <v>55</v>
      </c>
      <c r="J83" s="26"/>
      <c r="K83" s="26">
        <f t="shared" si="3"/>
        <v>220</v>
      </c>
    </row>
    <row r="84">
      <c r="A84" s="26" t="str">
        <f>IFERROR(__xludf.DUMMYFUNCTION("""COMPUTED_VALUE"""),"Bajaj_3")</f>
        <v>Bajaj_3</v>
      </c>
      <c r="B84" s="26">
        <f>IFERROR(__xludf.DUMMYFUNCTION("""COMPUTED_VALUE"""),2.0)</f>
        <v>2</v>
      </c>
      <c r="C84" s="26" t="str">
        <f>IFERROR(__xludf.DUMMYFUNCTION("""COMPUTED_VALUE"""),"BOM7")</f>
        <v>BOM7</v>
      </c>
      <c r="D84" s="26"/>
      <c r="E84" s="26"/>
      <c r="F84" s="26"/>
      <c r="G84" s="26">
        <f>IFERROR(__xludf.DUMMYFUNCTION("""COMPUTED_VALUE"""),845290.0)</f>
        <v>845290</v>
      </c>
      <c r="H84" s="26">
        <f>IFERROR(__xludf.DUMMYFUNCTION("""COMPUTED_VALUE"""),12.0)</f>
        <v>12</v>
      </c>
      <c r="I84" s="26">
        <f>IFERROR(__xludf.DUMMYFUNCTION("""COMPUTED_VALUE"""),55.0)</f>
        <v>55</v>
      </c>
      <c r="J84" s="26"/>
      <c r="K84" s="26">
        <f t="shared" si="3"/>
        <v>110</v>
      </c>
    </row>
    <row r="85">
      <c r="A85" s="26" t="str">
        <f>IFERROR(__xludf.DUMMYFUNCTION("""COMPUTED_VALUE"""),"Bajaj_4")</f>
        <v>Bajaj_4</v>
      </c>
      <c r="B85" s="26">
        <f>IFERROR(__xludf.DUMMYFUNCTION("""COMPUTED_VALUE"""),10.0)</f>
        <v>10</v>
      </c>
      <c r="C85" s="26" t="str">
        <f>IFERROR(__xludf.DUMMYFUNCTION("""COMPUTED_VALUE"""),"BLR8")</f>
        <v>BLR8</v>
      </c>
      <c r="D85" s="26"/>
      <c r="E85" s="26"/>
      <c r="F85" s="26"/>
      <c r="G85" s="26">
        <f>IFERROR(__xludf.DUMMYFUNCTION("""COMPUTED_VALUE"""),845290.0)</f>
        <v>845290</v>
      </c>
      <c r="H85" s="26">
        <f>IFERROR(__xludf.DUMMYFUNCTION("""COMPUTED_VALUE"""),12.0)</f>
        <v>12</v>
      </c>
      <c r="I85" s="26">
        <f>IFERROR(__xludf.DUMMYFUNCTION("""COMPUTED_VALUE"""),55.0)</f>
        <v>55</v>
      </c>
      <c r="J85" s="26"/>
      <c r="K85" s="26">
        <f t="shared" si="3"/>
        <v>550</v>
      </c>
    </row>
    <row r="86">
      <c r="A86" s="26" t="str">
        <f>IFERROR(__xludf.DUMMYFUNCTION("""COMPUTED_VALUE"""),"Bajaj_4")</f>
        <v>Bajaj_4</v>
      </c>
      <c r="B86" s="26">
        <f>IFERROR(__xludf.DUMMYFUNCTION("""COMPUTED_VALUE"""),10.0)</f>
        <v>10</v>
      </c>
      <c r="C86" s="26" t="str">
        <f>IFERROR(__xludf.DUMMYFUNCTION("""COMPUTED_VALUE"""),"BLR7")</f>
        <v>BLR7</v>
      </c>
      <c r="D86" s="26"/>
      <c r="E86" s="26"/>
      <c r="F86" s="26"/>
      <c r="G86" s="26">
        <f>IFERROR(__xludf.DUMMYFUNCTION("""COMPUTED_VALUE"""),845290.0)</f>
        <v>845290</v>
      </c>
      <c r="H86" s="26">
        <f>IFERROR(__xludf.DUMMYFUNCTION("""COMPUTED_VALUE"""),12.0)</f>
        <v>12</v>
      </c>
      <c r="I86" s="26">
        <f>IFERROR(__xludf.DUMMYFUNCTION("""COMPUTED_VALUE"""),55.0)</f>
        <v>55</v>
      </c>
      <c r="J86" s="26"/>
      <c r="K86" s="26">
        <f t="shared" si="3"/>
        <v>550</v>
      </c>
    </row>
    <row r="87">
      <c r="A87" s="26" t="str">
        <f>IFERROR(__xludf.DUMMYFUNCTION("""COMPUTED_VALUE"""),"Bajaj_4")</f>
        <v>Bajaj_4</v>
      </c>
      <c r="B87" s="26">
        <f>IFERROR(__xludf.DUMMYFUNCTION("""COMPUTED_VALUE"""),2.0)</f>
        <v>2</v>
      </c>
      <c r="C87" s="26" t="str">
        <f>IFERROR(__xludf.DUMMYFUNCTION("""COMPUTED_VALUE"""),"CJB1")</f>
        <v>CJB1</v>
      </c>
      <c r="D87" s="26"/>
      <c r="E87" s="26"/>
      <c r="F87" s="26"/>
      <c r="G87" s="26">
        <f>IFERROR(__xludf.DUMMYFUNCTION("""COMPUTED_VALUE"""),845290.0)</f>
        <v>845290</v>
      </c>
      <c r="H87" s="26">
        <f>IFERROR(__xludf.DUMMYFUNCTION("""COMPUTED_VALUE"""),12.0)</f>
        <v>12</v>
      </c>
      <c r="I87" s="26">
        <f>IFERROR(__xludf.DUMMYFUNCTION("""COMPUTED_VALUE"""),55.0)</f>
        <v>55</v>
      </c>
      <c r="J87" s="26"/>
      <c r="K87" s="26">
        <f t="shared" si="3"/>
        <v>110</v>
      </c>
    </row>
    <row r="88">
      <c r="A88" s="26" t="str">
        <f>IFERROR(__xludf.DUMMYFUNCTION("""COMPUTED_VALUE"""),"Bajaj_4")</f>
        <v>Bajaj_4</v>
      </c>
      <c r="B88" s="26">
        <f>IFERROR(__xludf.DUMMYFUNCTION("""COMPUTED_VALUE"""),18.0)</f>
        <v>18</v>
      </c>
      <c r="C88" s="26" t="str">
        <f>IFERROR(__xludf.DUMMYFUNCTION("""COMPUTED_VALUE"""),"MAA4")</f>
        <v>MAA4</v>
      </c>
      <c r="D88" s="26"/>
      <c r="E88" s="26"/>
      <c r="F88" s="26"/>
      <c r="G88" s="26">
        <f>IFERROR(__xludf.DUMMYFUNCTION("""COMPUTED_VALUE"""),845290.0)</f>
        <v>845290</v>
      </c>
      <c r="H88" s="26">
        <f>IFERROR(__xludf.DUMMYFUNCTION("""COMPUTED_VALUE"""),12.0)</f>
        <v>12</v>
      </c>
      <c r="I88" s="26">
        <f>IFERROR(__xludf.DUMMYFUNCTION("""COMPUTED_VALUE"""),55.0)</f>
        <v>55</v>
      </c>
      <c r="J88" s="26"/>
      <c r="K88" s="26">
        <f t="shared" si="3"/>
        <v>990</v>
      </c>
    </row>
    <row r="89">
      <c r="A89" s="26" t="str">
        <f>IFERROR(__xludf.DUMMYFUNCTION("""COMPUTED_VALUE"""),"Bajaj_4")</f>
        <v>Bajaj_4</v>
      </c>
      <c r="B89" s="26">
        <f>IFERROR(__xludf.DUMMYFUNCTION("""COMPUTED_VALUE"""),2.0)</f>
        <v>2</v>
      </c>
      <c r="C89" s="26" t="str">
        <f>IFERROR(__xludf.DUMMYFUNCTION("""COMPUTED_VALUE"""),"DEL4")</f>
        <v>DEL4</v>
      </c>
      <c r="D89" s="26"/>
      <c r="E89" s="26"/>
      <c r="F89" s="26"/>
      <c r="G89" s="26">
        <f>IFERROR(__xludf.DUMMYFUNCTION("""COMPUTED_VALUE"""),845290.0)</f>
        <v>845290</v>
      </c>
      <c r="H89" s="26">
        <f>IFERROR(__xludf.DUMMYFUNCTION("""COMPUTED_VALUE"""),12.0)</f>
        <v>12</v>
      </c>
      <c r="I89" s="26">
        <f>IFERROR(__xludf.DUMMYFUNCTION("""COMPUTED_VALUE"""),55.0)</f>
        <v>55</v>
      </c>
      <c r="J89" s="26"/>
      <c r="K89" s="26">
        <f t="shared" si="3"/>
        <v>110</v>
      </c>
    </row>
    <row r="90">
      <c r="A90" s="26" t="str">
        <f>IFERROR(__xludf.DUMMYFUNCTION("""COMPUTED_VALUE"""),"Bajaj_4")</f>
        <v>Bajaj_4</v>
      </c>
      <c r="B90" s="26">
        <f>IFERROR(__xludf.DUMMYFUNCTION("""COMPUTED_VALUE"""),6.0)</f>
        <v>6</v>
      </c>
      <c r="C90" s="26" t="str">
        <f>IFERROR(__xludf.DUMMYFUNCTION("""COMPUTED_VALUE"""),"DEL5")</f>
        <v>DEL5</v>
      </c>
      <c r="D90" s="26"/>
      <c r="E90" s="26"/>
      <c r="F90" s="26"/>
      <c r="G90" s="26">
        <f>IFERROR(__xludf.DUMMYFUNCTION("""COMPUTED_VALUE"""),845290.0)</f>
        <v>845290</v>
      </c>
      <c r="H90" s="26">
        <f>IFERROR(__xludf.DUMMYFUNCTION("""COMPUTED_VALUE"""),12.0)</f>
        <v>12</v>
      </c>
      <c r="I90" s="26">
        <f>IFERROR(__xludf.DUMMYFUNCTION("""COMPUTED_VALUE"""),55.0)</f>
        <v>55</v>
      </c>
      <c r="J90" s="26"/>
      <c r="K90" s="26">
        <f t="shared" si="3"/>
        <v>330</v>
      </c>
    </row>
    <row r="91">
      <c r="A91" s="26" t="str">
        <f>IFERROR(__xludf.DUMMYFUNCTION("""COMPUTED_VALUE"""),"CRM-WG-NW-Ultra-Grey")</f>
        <v>CRM-WG-NW-Ultra-Grey</v>
      </c>
      <c r="B91" s="26">
        <f>IFERROR(__xludf.DUMMYFUNCTION("""COMPUTED_VALUE"""),2.0)</f>
        <v>2</v>
      </c>
      <c r="C91" s="26" t="str">
        <f>IFERROR(__xludf.DUMMYFUNCTION("""COMPUTED_VALUE"""),"AMD2")</f>
        <v>AMD2</v>
      </c>
      <c r="D91" s="26"/>
      <c r="E91" s="26"/>
      <c r="F91" s="26"/>
      <c r="G91" s="26">
        <f>IFERROR(__xludf.DUMMYFUNCTION("""COMPUTED_VALUE"""),560313.0)</f>
        <v>560313</v>
      </c>
      <c r="H91" s="26">
        <f>IFERROR(__xludf.DUMMYFUNCTION("""COMPUTED_VALUE"""),12.0)</f>
        <v>12</v>
      </c>
      <c r="I91" s="26">
        <f>IFERROR(__xludf.DUMMYFUNCTION("""COMPUTED_VALUE"""),40.0)</f>
        <v>40</v>
      </c>
      <c r="J91" s="26"/>
      <c r="K91" s="26">
        <f t="shared" si="3"/>
        <v>80</v>
      </c>
    </row>
    <row r="92">
      <c r="A92" s="26" t="str">
        <f>IFERROR(__xludf.DUMMYFUNCTION("""COMPUTED_VALUE"""),"CRM-WG-NW-Ultra-Grey")</f>
        <v>CRM-WG-NW-Ultra-Grey</v>
      </c>
      <c r="B92" s="26">
        <f>IFERROR(__xludf.DUMMYFUNCTION("""COMPUTED_VALUE"""),62.0)</f>
        <v>62</v>
      </c>
      <c r="C92" s="26" t="str">
        <f>IFERROR(__xludf.DUMMYFUNCTION("""COMPUTED_VALUE"""),"BLR8")</f>
        <v>BLR8</v>
      </c>
      <c r="D92" s="26"/>
      <c r="E92" s="26"/>
      <c r="F92" s="26"/>
      <c r="G92" s="26">
        <f>IFERROR(__xludf.DUMMYFUNCTION("""COMPUTED_VALUE"""),560313.0)</f>
        <v>560313</v>
      </c>
      <c r="H92" s="26">
        <f>IFERROR(__xludf.DUMMYFUNCTION("""COMPUTED_VALUE"""),12.0)</f>
        <v>12</v>
      </c>
      <c r="I92" s="26">
        <f>IFERROR(__xludf.DUMMYFUNCTION("""COMPUTED_VALUE"""),40.0)</f>
        <v>40</v>
      </c>
      <c r="J92" s="26"/>
      <c r="K92" s="26">
        <f t="shared" si="3"/>
        <v>2480</v>
      </c>
    </row>
    <row r="93">
      <c r="A93" s="26" t="str">
        <f>IFERROR(__xludf.DUMMYFUNCTION("""COMPUTED_VALUE"""),"CRM-WG-NW-Ultra-Grey")</f>
        <v>CRM-WG-NW-Ultra-Grey</v>
      </c>
      <c r="B93" s="26">
        <f>IFERROR(__xludf.DUMMYFUNCTION("""COMPUTED_VALUE"""),82.0)</f>
        <v>82</v>
      </c>
      <c r="C93" s="26" t="str">
        <f>IFERROR(__xludf.DUMMYFUNCTION("""COMPUTED_VALUE"""),"BLR7")</f>
        <v>BLR7</v>
      </c>
      <c r="D93" s="26"/>
      <c r="E93" s="26"/>
      <c r="F93" s="26"/>
      <c r="G93" s="26">
        <f>IFERROR(__xludf.DUMMYFUNCTION("""COMPUTED_VALUE"""),560313.0)</f>
        <v>560313</v>
      </c>
      <c r="H93" s="26">
        <f>IFERROR(__xludf.DUMMYFUNCTION("""COMPUTED_VALUE"""),12.0)</f>
        <v>12</v>
      </c>
      <c r="I93" s="26">
        <f>IFERROR(__xludf.DUMMYFUNCTION("""COMPUTED_VALUE"""),40.0)</f>
        <v>40</v>
      </c>
      <c r="J93" s="26"/>
      <c r="K93" s="26">
        <f t="shared" si="3"/>
        <v>3280</v>
      </c>
    </row>
    <row r="94">
      <c r="A94" s="26" t="str">
        <f>IFERROR(__xludf.DUMMYFUNCTION("""COMPUTED_VALUE"""),"CRM-WG-NW-Ultra-Grey")</f>
        <v>CRM-WG-NW-Ultra-Grey</v>
      </c>
      <c r="B94" s="26">
        <f>IFERROR(__xludf.DUMMYFUNCTION("""COMPUTED_VALUE"""),54.0)</f>
        <v>54</v>
      </c>
      <c r="C94" s="26" t="str">
        <f>IFERROR(__xludf.DUMMYFUNCTION("""COMPUTED_VALUE"""),"CJB1")</f>
        <v>CJB1</v>
      </c>
      <c r="D94" s="26"/>
      <c r="E94" s="26"/>
      <c r="F94" s="26"/>
      <c r="G94" s="26">
        <f>IFERROR(__xludf.DUMMYFUNCTION("""COMPUTED_VALUE"""),560313.0)</f>
        <v>560313</v>
      </c>
      <c r="H94" s="26">
        <f>IFERROR(__xludf.DUMMYFUNCTION("""COMPUTED_VALUE"""),12.0)</f>
        <v>12</v>
      </c>
      <c r="I94" s="26">
        <f>IFERROR(__xludf.DUMMYFUNCTION("""COMPUTED_VALUE"""),40.0)</f>
        <v>40</v>
      </c>
      <c r="J94" s="26"/>
      <c r="K94" s="26">
        <f t="shared" si="3"/>
        <v>2160</v>
      </c>
    </row>
    <row r="95">
      <c r="A95" s="26" t="str">
        <f>IFERROR(__xludf.DUMMYFUNCTION("""COMPUTED_VALUE"""),"CRM-WG-NW-Ultra-Grey")</f>
        <v>CRM-WG-NW-Ultra-Grey</v>
      </c>
      <c r="B95" s="26">
        <f>IFERROR(__xludf.DUMMYFUNCTION("""COMPUTED_VALUE"""),78.0)</f>
        <v>78</v>
      </c>
      <c r="C95" s="26" t="str">
        <f>IFERROR(__xludf.DUMMYFUNCTION("""COMPUTED_VALUE"""),"MAA4")</f>
        <v>MAA4</v>
      </c>
      <c r="D95" s="26"/>
      <c r="E95" s="26"/>
      <c r="F95" s="26"/>
      <c r="G95" s="26">
        <f>IFERROR(__xludf.DUMMYFUNCTION("""COMPUTED_VALUE"""),560313.0)</f>
        <v>560313</v>
      </c>
      <c r="H95" s="26">
        <f>IFERROR(__xludf.DUMMYFUNCTION("""COMPUTED_VALUE"""),12.0)</f>
        <v>12</v>
      </c>
      <c r="I95" s="26">
        <f>IFERROR(__xludf.DUMMYFUNCTION("""COMPUTED_VALUE"""),40.0)</f>
        <v>40</v>
      </c>
      <c r="J95" s="26"/>
      <c r="K95" s="26">
        <f t="shared" si="3"/>
        <v>3120</v>
      </c>
    </row>
    <row r="96">
      <c r="A96" s="26" t="str">
        <f>IFERROR(__xludf.DUMMYFUNCTION("""COMPUTED_VALUE"""),"CRM-WG-NW-Ultra-Grey")</f>
        <v>CRM-WG-NW-Ultra-Grey</v>
      </c>
      <c r="B96" s="26">
        <f>IFERROR(__xludf.DUMMYFUNCTION("""COMPUTED_VALUE"""),22.0)</f>
        <v>22</v>
      </c>
      <c r="C96" s="26" t="str">
        <f>IFERROR(__xludf.DUMMYFUNCTION("""COMPUTED_VALUE"""),"BOM5")</f>
        <v>BOM5</v>
      </c>
      <c r="D96" s="26"/>
      <c r="E96" s="26"/>
      <c r="F96" s="26"/>
      <c r="G96" s="26">
        <f>IFERROR(__xludf.DUMMYFUNCTION("""COMPUTED_VALUE"""),560313.0)</f>
        <v>560313</v>
      </c>
      <c r="H96" s="26">
        <f>IFERROR(__xludf.DUMMYFUNCTION("""COMPUTED_VALUE"""),12.0)</f>
        <v>12</v>
      </c>
      <c r="I96" s="26">
        <f>IFERROR(__xludf.DUMMYFUNCTION("""COMPUTED_VALUE"""),40.0)</f>
        <v>40</v>
      </c>
      <c r="J96" s="26"/>
      <c r="K96" s="26">
        <f t="shared" si="3"/>
        <v>880</v>
      </c>
    </row>
    <row r="97">
      <c r="A97" s="26" t="str">
        <f>IFERROR(__xludf.DUMMYFUNCTION("""COMPUTED_VALUE"""),"CRM-WG-NW-Ultra-Black")</f>
        <v>CRM-WG-NW-Ultra-Black</v>
      </c>
      <c r="B97" s="26">
        <f>IFERROR(__xludf.DUMMYFUNCTION("""COMPUTED_VALUE"""),2.0)</f>
        <v>2</v>
      </c>
      <c r="C97" s="26" t="str">
        <f>IFERROR(__xludf.DUMMYFUNCTION("""COMPUTED_VALUE"""),"AMD2")</f>
        <v>AMD2</v>
      </c>
      <c r="D97" s="26"/>
      <c r="E97" s="26"/>
      <c r="F97" s="26"/>
      <c r="G97" s="26">
        <f>IFERROR(__xludf.DUMMYFUNCTION("""COMPUTED_VALUE"""),560313.0)</f>
        <v>560313</v>
      </c>
      <c r="H97" s="26">
        <f>IFERROR(__xludf.DUMMYFUNCTION("""COMPUTED_VALUE"""),12.0)</f>
        <v>12</v>
      </c>
      <c r="I97" s="26">
        <f>IFERROR(__xludf.DUMMYFUNCTION("""COMPUTED_VALUE"""),40.0)</f>
        <v>40</v>
      </c>
      <c r="J97" s="26"/>
      <c r="K97" s="26">
        <f t="shared" si="3"/>
        <v>80</v>
      </c>
    </row>
    <row r="98">
      <c r="A98" s="26" t="str">
        <f>IFERROR(__xludf.DUMMYFUNCTION("""COMPUTED_VALUE"""),"CRM-WG-NW-Ultra-Black")</f>
        <v>CRM-WG-NW-Ultra-Black</v>
      </c>
      <c r="B98" s="26">
        <f>IFERROR(__xludf.DUMMYFUNCTION("""COMPUTED_VALUE"""),10.0)</f>
        <v>10</v>
      </c>
      <c r="C98" s="26" t="str">
        <f>IFERROR(__xludf.DUMMYFUNCTION("""COMPUTED_VALUE"""),"BLR8")</f>
        <v>BLR8</v>
      </c>
      <c r="D98" s="26"/>
      <c r="E98" s="26"/>
      <c r="F98" s="26"/>
      <c r="G98" s="26">
        <f>IFERROR(__xludf.DUMMYFUNCTION("""COMPUTED_VALUE"""),560313.0)</f>
        <v>560313</v>
      </c>
      <c r="H98" s="26">
        <f>IFERROR(__xludf.DUMMYFUNCTION("""COMPUTED_VALUE"""),12.0)</f>
        <v>12</v>
      </c>
      <c r="I98" s="26">
        <f>IFERROR(__xludf.DUMMYFUNCTION("""COMPUTED_VALUE"""),40.0)</f>
        <v>40</v>
      </c>
      <c r="J98" s="26"/>
      <c r="K98" s="26">
        <f t="shared" si="3"/>
        <v>400</v>
      </c>
    </row>
    <row r="99">
      <c r="A99" s="26" t="str">
        <f>IFERROR(__xludf.DUMMYFUNCTION("""COMPUTED_VALUE"""),"CRM-WG-NW-Ultra-Black")</f>
        <v>CRM-WG-NW-Ultra-Black</v>
      </c>
      <c r="B99" s="26">
        <f>IFERROR(__xludf.DUMMYFUNCTION("""COMPUTED_VALUE"""),12.0)</f>
        <v>12</v>
      </c>
      <c r="C99" s="26" t="str">
        <f>IFERROR(__xludf.DUMMYFUNCTION("""COMPUTED_VALUE"""),"BLR7")</f>
        <v>BLR7</v>
      </c>
      <c r="D99" s="26"/>
      <c r="E99" s="26"/>
      <c r="F99" s="26"/>
      <c r="G99" s="26">
        <f>IFERROR(__xludf.DUMMYFUNCTION("""COMPUTED_VALUE"""),560313.0)</f>
        <v>560313</v>
      </c>
      <c r="H99" s="26">
        <f>IFERROR(__xludf.DUMMYFUNCTION("""COMPUTED_VALUE"""),12.0)</f>
        <v>12</v>
      </c>
      <c r="I99" s="26">
        <f>IFERROR(__xludf.DUMMYFUNCTION("""COMPUTED_VALUE"""),40.0)</f>
        <v>40</v>
      </c>
      <c r="J99" s="26"/>
      <c r="K99" s="26">
        <f t="shared" si="3"/>
        <v>480</v>
      </c>
    </row>
    <row r="100">
      <c r="A100" s="26" t="str">
        <f>IFERROR(__xludf.DUMMYFUNCTION("""COMPUTED_VALUE"""),"CRM-WG-NW-Ultra-Black")</f>
        <v>CRM-WG-NW-Ultra-Black</v>
      </c>
      <c r="B100" s="26">
        <f>IFERROR(__xludf.DUMMYFUNCTION("""COMPUTED_VALUE"""),4.0)</f>
        <v>4</v>
      </c>
      <c r="C100" s="26" t="str">
        <f>IFERROR(__xludf.DUMMYFUNCTION("""COMPUTED_VALUE"""),"CJB1")</f>
        <v>CJB1</v>
      </c>
      <c r="D100" s="26"/>
      <c r="E100" s="26"/>
      <c r="F100" s="26"/>
      <c r="G100" s="26">
        <f>IFERROR(__xludf.DUMMYFUNCTION("""COMPUTED_VALUE"""),560313.0)</f>
        <v>560313</v>
      </c>
      <c r="H100" s="26">
        <f>IFERROR(__xludf.DUMMYFUNCTION("""COMPUTED_VALUE"""),12.0)</f>
        <v>12</v>
      </c>
      <c r="I100" s="26">
        <f>IFERROR(__xludf.DUMMYFUNCTION("""COMPUTED_VALUE"""),40.0)</f>
        <v>40</v>
      </c>
      <c r="J100" s="26"/>
      <c r="K100" s="26">
        <f t="shared" si="3"/>
        <v>160</v>
      </c>
    </row>
    <row r="101">
      <c r="A101" s="26" t="str">
        <f>IFERROR(__xludf.DUMMYFUNCTION("""COMPUTED_VALUE"""),"CRM-WG-NW-Ultra-Black")</f>
        <v>CRM-WG-NW-Ultra-Black</v>
      </c>
      <c r="B101" s="26">
        <f>IFERROR(__xludf.DUMMYFUNCTION("""COMPUTED_VALUE"""),30.0)</f>
        <v>30</v>
      </c>
      <c r="C101" s="26" t="str">
        <f>IFERROR(__xludf.DUMMYFUNCTION("""COMPUTED_VALUE"""),"MAA4")</f>
        <v>MAA4</v>
      </c>
      <c r="D101" s="26"/>
      <c r="E101" s="26"/>
      <c r="F101" s="26"/>
      <c r="G101" s="26">
        <f>IFERROR(__xludf.DUMMYFUNCTION("""COMPUTED_VALUE"""),560313.0)</f>
        <v>560313</v>
      </c>
      <c r="H101" s="26">
        <f>IFERROR(__xludf.DUMMYFUNCTION("""COMPUTED_VALUE"""),12.0)</f>
        <v>12</v>
      </c>
      <c r="I101" s="26">
        <f>IFERROR(__xludf.DUMMYFUNCTION("""COMPUTED_VALUE"""),40.0)</f>
        <v>40</v>
      </c>
      <c r="J101" s="26"/>
      <c r="K101" s="26">
        <f t="shared" si="3"/>
        <v>1200</v>
      </c>
    </row>
    <row r="102">
      <c r="A102" s="26" t="str">
        <f>IFERROR(__xludf.DUMMYFUNCTION("""COMPUTED_VALUE"""),"CRM-WG-NW-Ultra-Black")</f>
        <v>CRM-WG-NW-Ultra-Black</v>
      </c>
      <c r="B102" s="26">
        <f>IFERROR(__xludf.DUMMYFUNCTION("""COMPUTED_VALUE"""),4.0)</f>
        <v>4</v>
      </c>
      <c r="C102" s="26" t="str">
        <f>IFERROR(__xludf.DUMMYFUNCTION("""COMPUTED_VALUE"""),"DEL4")</f>
        <v>DEL4</v>
      </c>
      <c r="D102" s="26"/>
      <c r="E102" s="26"/>
      <c r="F102" s="26"/>
      <c r="G102" s="26">
        <f>IFERROR(__xludf.DUMMYFUNCTION("""COMPUTED_VALUE"""),560313.0)</f>
        <v>560313</v>
      </c>
      <c r="H102" s="26">
        <f>IFERROR(__xludf.DUMMYFUNCTION("""COMPUTED_VALUE"""),12.0)</f>
        <v>12</v>
      </c>
      <c r="I102" s="26">
        <f>IFERROR(__xludf.DUMMYFUNCTION("""COMPUTED_VALUE"""),40.0)</f>
        <v>40</v>
      </c>
      <c r="J102" s="26"/>
      <c r="K102" s="26">
        <f t="shared" si="3"/>
        <v>160</v>
      </c>
    </row>
    <row r="103">
      <c r="A103" s="26" t="str">
        <f>IFERROR(__xludf.DUMMYFUNCTION("""COMPUTED_VALUE"""),"CRM-WG-NW-Ultra-Black")</f>
        <v>CRM-WG-NW-Ultra-Black</v>
      </c>
      <c r="B103" s="26">
        <f>IFERROR(__xludf.DUMMYFUNCTION("""COMPUTED_VALUE"""),8.0)</f>
        <v>8</v>
      </c>
      <c r="C103" s="26" t="str">
        <f>IFERROR(__xludf.DUMMYFUNCTION("""COMPUTED_VALUE"""),"BOM5")</f>
        <v>BOM5</v>
      </c>
      <c r="D103" s="26"/>
      <c r="E103" s="26"/>
      <c r="F103" s="26"/>
      <c r="G103" s="26">
        <f>IFERROR(__xludf.DUMMYFUNCTION("""COMPUTED_VALUE"""),560313.0)</f>
        <v>560313</v>
      </c>
      <c r="H103" s="26">
        <f>IFERROR(__xludf.DUMMYFUNCTION("""COMPUTED_VALUE"""),12.0)</f>
        <v>12</v>
      </c>
      <c r="I103" s="26">
        <f>IFERROR(__xludf.DUMMYFUNCTION("""COMPUTED_VALUE"""),40.0)</f>
        <v>40</v>
      </c>
      <c r="J103" s="26"/>
      <c r="K103" s="26">
        <f t="shared" si="3"/>
        <v>320</v>
      </c>
    </row>
    <row r="104">
      <c r="A104" s="26" t="str">
        <f>IFERROR(__xludf.DUMMYFUNCTION("""COMPUTED_VALUE"""),"CRM-WG-NW-Ultra-Black")</f>
        <v>CRM-WG-NW-Ultra-Black</v>
      </c>
      <c r="B104" s="26">
        <f>IFERROR(__xludf.DUMMYFUNCTION("""COMPUTED_VALUE"""),8.0)</f>
        <v>8</v>
      </c>
      <c r="C104" s="26" t="str">
        <f>IFERROR(__xludf.DUMMYFUNCTION("""COMPUTED_VALUE"""),"BOM7")</f>
        <v>BOM7</v>
      </c>
      <c r="D104" s="26"/>
      <c r="E104" s="26"/>
      <c r="F104" s="26"/>
      <c r="G104" s="26">
        <f>IFERROR(__xludf.DUMMYFUNCTION("""COMPUTED_VALUE"""),560313.0)</f>
        <v>560313</v>
      </c>
      <c r="H104" s="26">
        <f>IFERROR(__xludf.DUMMYFUNCTION("""COMPUTED_VALUE"""),12.0)</f>
        <v>12</v>
      </c>
      <c r="I104" s="26">
        <f>IFERROR(__xludf.DUMMYFUNCTION("""COMPUTED_VALUE"""),40.0)</f>
        <v>40</v>
      </c>
      <c r="J104" s="26"/>
      <c r="K104" s="26">
        <f t="shared" si="3"/>
        <v>320</v>
      </c>
    </row>
    <row r="105">
      <c r="A105" s="26" t="str">
        <f>IFERROR(__xludf.DUMMYFUNCTION("""COMPUTED_VALUE"""),"CRM-WG-NW-Butterfly-Grey")</f>
        <v>CRM-WG-NW-Butterfly-Grey</v>
      </c>
      <c r="B105" s="26">
        <f>IFERROR(__xludf.DUMMYFUNCTION("""COMPUTED_VALUE"""),10.0)</f>
        <v>10</v>
      </c>
      <c r="C105" s="26" t="str">
        <f>IFERROR(__xludf.DUMMYFUNCTION("""COMPUTED_VALUE"""),"BLR8")</f>
        <v>BLR8</v>
      </c>
      <c r="D105" s="26"/>
      <c r="E105" s="26"/>
      <c r="F105" s="26"/>
      <c r="G105" s="26">
        <f>IFERROR(__xludf.DUMMYFUNCTION("""COMPUTED_VALUE"""),560313.0)</f>
        <v>560313</v>
      </c>
      <c r="H105" s="26">
        <f>IFERROR(__xludf.DUMMYFUNCTION("""COMPUTED_VALUE"""),12.0)</f>
        <v>12</v>
      </c>
      <c r="I105" s="26">
        <f>IFERROR(__xludf.DUMMYFUNCTION("""COMPUTED_VALUE"""),40.0)</f>
        <v>40</v>
      </c>
      <c r="J105" s="26"/>
      <c r="K105" s="26">
        <f t="shared" si="3"/>
        <v>400</v>
      </c>
    </row>
    <row r="106">
      <c r="A106" s="26" t="str">
        <f>IFERROR(__xludf.DUMMYFUNCTION("""COMPUTED_VALUE"""),"CRM-WG-NW-Butterfly-Grey")</f>
        <v>CRM-WG-NW-Butterfly-Grey</v>
      </c>
      <c r="B106" s="26">
        <f>IFERROR(__xludf.DUMMYFUNCTION("""COMPUTED_VALUE"""),18.0)</f>
        <v>18</v>
      </c>
      <c r="C106" s="26" t="str">
        <f>IFERROR(__xludf.DUMMYFUNCTION("""COMPUTED_VALUE"""),"BLR7")</f>
        <v>BLR7</v>
      </c>
      <c r="D106" s="26"/>
      <c r="E106" s="26"/>
      <c r="F106" s="26"/>
      <c r="G106" s="26">
        <f>IFERROR(__xludf.DUMMYFUNCTION("""COMPUTED_VALUE"""),560313.0)</f>
        <v>560313</v>
      </c>
      <c r="H106" s="26">
        <f>IFERROR(__xludf.DUMMYFUNCTION("""COMPUTED_VALUE"""),12.0)</f>
        <v>12</v>
      </c>
      <c r="I106" s="26">
        <f>IFERROR(__xludf.DUMMYFUNCTION("""COMPUTED_VALUE"""),40.0)</f>
        <v>40</v>
      </c>
      <c r="J106" s="26"/>
      <c r="K106" s="26">
        <f t="shared" si="3"/>
        <v>720</v>
      </c>
    </row>
    <row r="107">
      <c r="A107" s="26" t="str">
        <f>IFERROR(__xludf.DUMMYFUNCTION("""COMPUTED_VALUE"""),"CRM-WG-NW-Butterfly-Grey")</f>
        <v>CRM-WG-NW-Butterfly-Grey</v>
      </c>
      <c r="B107" s="26">
        <f>IFERROR(__xludf.DUMMYFUNCTION("""COMPUTED_VALUE"""),10.0)</f>
        <v>10</v>
      </c>
      <c r="C107" s="26" t="str">
        <f>IFERROR(__xludf.DUMMYFUNCTION("""COMPUTED_VALUE"""),"CJB1")</f>
        <v>CJB1</v>
      </c>
      <c r="D107" s="26"/>
      <c r="E107" s="26"/>
      <c r="F107" s="26"/>
      <c r="G107" s="26">
        <f>IFERROR(__xludf.DUMMYFUNCTION("""COMPUTED_VALUE"""),560313.0)</f>
        <v>560313</v>
      </c>
      <c r="H107" s="26">
        <f>IFERROR(__xludf.DUMMYFUNCTION("""COMPUTED_VALUE"""),12.0)</f>
        <v>12</v>
      </c>
      <c r="I107" s="26">
        <f>IFERROR(__xludf.DUMMYFUNCTION("""COMPUTED_VALUE"""),40.0)</f>
        <v>40</v>
      </c>
      <c r="J107" s="26"/>
      <c r="K107" s="26">
        <f t="shared" si="3"/>
        <v>400</v>
      </c>
    </row>
    <row r="108">
      <c r="A108" s="26" t="str">
        <f>IFERROR(__xludf.DUMMYFUNCTION("""COMPUTED_VALUE"""),"CRM-WG-NW-Butterfly-Grey")</f>
        <v>CRM-WG-NW-Butterfly-Grey</v>
      </c>
      <c r="B108" s="26">
        <f>IFERROR(__xludf.DUMMYFUNCTION("""COMPUTED_VALUE"""),30.0)</f>
        <v>30</v>
      </c>
      <c r="C108" s="26" t="str">
        <f>IFERROR(__xludf.DUMMYFUNCTION("""COMPUTED_VALUE"""),"MAA4")</f>
        <v>MAA4</v>
      </c>
      <c r="D108" s="26"/>
      <c r="E108" s="26"/>
      <c r="F108" s="26"/>
      <c r="G108" s="26">
        <f>IFERROR(__xludf.DUMMYFUNCTION("""COMPUTED_VALUE"""),560313.0)</f>
        <v>560313</v>
      </c>
      <c r="H108" s="26">
        <f>IFERROR(__xludf.DUMMYFUNCTION("""COMPUTED_VALUE"""),12.0)</f>
        <v>12</v>
      </c>
      <c r="I108" s="26">
        <f>IFERROR(__xludf.DUMMYFUNCTION("""COMPUTED_VALUE"""),40.0)</f>
        <v>40</v>
      </c>
      <c r="J108" s="26"/>
      <c r="K108" s="26">
        <f t="shared" si="3"/>
        <v>1200</v>
      </c>
    </row>
    <row r="109">
      <c r="A109" s="26" t="str">
        <f>IFERROR(__xludf.DUMMYFUNCTION("""COMPUTED_VALUE"""),"CRM-WG-NW-Butterfly-Grey")</f>
        <v>CRM-WG-NW-Butterfly-Grey</v>
      </c>
      <c r="B109" s="26">
        <f>IFERROR(__xludf.DUMMYFUNCTION("""COMPUTED_VALUE"""),4.0)</f>
        <v>4</v>
      </c>
      <c r="C109" s="26" t="str">
        <f>IFERROR(__xludf.DUMMYFUNCTION("""COMPUTED_VALUE"""),"BOM5")</f>
        <v>BOM5</v>
      </c>
      <c r="D109" s="26"/>
      <c r="E109" s="26"/>
      <c r="F109" s="26"/>
      <c r="G109" s="26">
        <f>IFERROR(__xludf.DUMMYFUNCTION("""COMPUTED_VALUE"""),560313.0)</f>
        <v>560313</v>
      </c>
      <c r="H109" s="26">
        <f>IFERROR(__xludf.DUMMYFUNCTION("""COMPUTED_VALUE"""),12.0)</f>
        <v>12</v>
      </c>
      <c r="I109" s="26">
        <f>IFERROR(__xludf.DUMMYFUNCTION("""COMPUTED_VALUE"""),40.0)</f>
        <v>40</v>
      </c>
      <c r="J109" s="26"/>
      <c r="K109" s="26">
        <f t="shared" si="3"/>
        <v>160</v>
      </c>
    </row>
    <row r="110">
      <c r="A110" s="26" t="str">
        <f>IFERROR(__xludf.DUMMYFUNCTION("""COMPUTED_VALUE"""),"CRM-WG-NW-Butterfly-Grey")</f>
        <v>CRM-WG-NW-Butterfly-Grey</v>
      </c>
      <c r="B110" s="26">
        <f>IFERROR(__xludf.DUMMYFUNCTION("""COMPUTED_VALUE"""),8.0)</f>
        <v>8</v>
      </c>
      <c r="C110" s="26" t="str">
        <f>IFERROR(__xludf.DUMMYFUNCTION("""COMPUTED_VALUE"""),"BOM7")</f>
        <v>BOM7</v>
      </c>
      <c r="D110" s="26"/>
      <c r="E110" s="26"/>
      <c r="F110" s="26"/>
      <c r="G110" s="26">
        <f>IFERROR(__xludf.DUMMYFUNCTION("""COMPUTED_VALUE"""),560313.0)</f>
        <v>560313</v>
      </c>
      <c r="H110" s="26">
        <f>IFERROR(__xludf.DUMMYFUNCTION("""COMPUTED_VALUE"""),12.0)</f>
        <v>12</v>
      </c>
      <c r="I110" s="26">
        <f>IFERROR(__xludf.DUMMYFUNCTION("""COMPUTED_VALUE"""),40.0)</f>
        <v>40</v>
      </c>
      <c r="J110" s="26"/>
      <c r="K110" s="26">
        <f t="shared" si="3"/>
        <v>320</v>
      </c>
    </row>
    <row r="111">
      <c r="A111" s="26" t="str">
        <f>IFERROR(__xludf.DUMMYFUNCTION("""COMPUTED_VALUE"""),"CRM-WG-NW-Butterfly-Black")</f>
        <v>CRM-WG-NW-Butterfly-Black</v>
      </c>
      <c r="B111" s="26">
        <f>IFERROR(__xludf.DUMMYFUNCTION("""COMPUTED_VALUE"""),2.0)</f>
        <v>2</v>
      </c>
      <c r="C111" s="26" t="str">
        <f>IFERROR(__xludf.DUMMYFUNCTION("""COMPUTED_VALUE"""),"AMD2")</f>
        <v>AMD2</v>
      </c>
      <c r="D111" s="26"/>
      <c r="E111" s="26"/>
      <c r="F111" s="26"/>
      <c r="G111" s="26">
        <f>IFERROR(__xludf.DUMMYFUNCTION("""COMPUTED_VALUE"""),560313.0)</f>
        <v>560313</v>
      </c>
      <c r="H111" s="26">
        <f>IFERROR(__xludf.DUMMYFUNCTION("""COMPUTED_VALUE"""),12.0)</f>
        <v>12</v>
      </c>
      <c r="I111" s="26">
        <f>IFERROR(__xludf.DUMMYFUNCTION("""COMPUTED_VALUE"""),40.0)</f>
        <v>40</v>
      </c>
      <c r="J111" s="26"/>
      <c r="K111" s="26">
        <f t="shared" si="3"/>
        <v>80</v>
      </c>
    </row>
    <row r="112">
      <c r="A112" s="26" t="str">
        <f>IFERROR(__xludf.DUMMYFUNCTION("""COMPUTED_VALUE"""),"CRM-WG-NW-Butterfly-Black")</f>
        <v>CRM-WG-NW-Butterfly-Black</v>
      </c>
      <c r="B112" s="26">
        <f>IFERROR(__xludf.DUMMYFUNCTION("""COMPUTED_VALUE"""),4.0)</f>
        <v>4</v>
      </c>
      <c r="C112" s="26" t="str">
        <f>IFERROR(__xludf.DUMMYFUNCTION("""COMPUTED_VALUE"""),"BLR8")</f>
        <v>BLR8</v>
      </c>
      <c r="D112" s="26"/>
      <c r="E112" s="26"/>
      <c r="F112" s="26"/>
      <c r="G112" s="26">
        <f>IFERROR(__xludf.DUMMYFUNCTION("""COMPUTED_VALUE"""),560313.0)</f>
        <v>560313</v>
      </c>
      <c r="H112" s="26">
        <f>IFERROR(__xludf.DUMMYFUNCTION("""COMPUTED_VALUE"""),12.0)</f>
        <v>12</v>
      </c>
      <c r="I112" s="26">
        <f>IFERROR(__xludf.DUMMYFUNCTION("""COMPUTED_VALUE"""),40.0)</f>
        <v>40</v>
      </c>
      <c r="J112" s="26"/>
      <c r="K112" s="26">
        <f t="shared" si="3"/>
        <v>160</v>
      </c>
    </row>
    <row r="113">
      <c r="A113" s="26" t="str">
        <f>IFERROR(__xludf.DUMMYFUNCTION("""COMPUTED_VALUE"""),"CRM-WG-NW-Butterfly-Black")</f>
        <v>CRM-WG-NW-Butterfly-Black</v>
      </c>
      <c r="B113" s="26">
        <f>IFERROR(__xludf.DUMMYFUNCTION("""COMPUTED_VALUE"""),8.0)</f>
        <v>8</v>
      </c>
      <c r="C113" s="26" t="str">
        <f>IFERROR(__xludf.DUMMYFUNCTION("""COMPUTED_VALUE"""),"BLR7")</f>
        <v>BLR7</v>
      </c>
      <c r="D113" s="26"/>
      <c r="E113" s="26"/>
      <c r="F113" s="26"/>
      <c r="G113" s="26">
        <f>IFERROR(__xludf.DUMMYFUNCTION("""COMPUTED_VALUE"""),560313.0)</f>
        <v>560313</v>
      </c>
      <c r="H113" s="26">
        <f>IFERROR(__xludf.DUMMYFUNCTION("""COMPUTED_VALUE"""),12.0)</f>
        <v>12</v>
      </c>
      <c r="I113" s="26">
        <f>IFERROR(__xludf.DUMMYFUNCTION("""COMPUTED_VALUE"""),40.0)</f>
        <v>40</v>
      </c>
      <c r="J113" s="26"/>
      <c r="K113" s="26">
        <f t="shared" si="3"/>
        <v>320</v>
      </c>
    </row>
    <row r="114">
      <c r="A114" s="26" t="str">
        <f>IFERROR(__xludf.DUMMYFUNCTION("""COMPUTED_VALUE"""),"CRM-WG-NW-Butterfly-Black")</f>
        <v>CRM-WG-NW-Butterfly-Black</v>
      </c>
      <c r="B114" s="26">
        <f>IFERROR(__xludf.DUMMYFUNCTION("""COMPUTED_VALUE"""),4.0)</f>
        <v>4</v>
      </c>
      <c r="C114" s="26" t="str">
        <f>IFERROR(__xludf.DUMMYFUNCTION("""COMPUTED_VALUE"""),"CJB1")</f>
        <v>CJB1</v>
      </c>
      <c r="D114" s="26"/>
      <c r="E114" s="26"/>
      <c r="F114" s="26"/>
      <c r="G114" s="26">
        <f>IFERROR(__xludf.DUMMYFUNCTION("""COMPUTED_VALUE"""),560313.0)</f>
        <v>560313</v>
      </c>
      <c r="H114" s="26">
        <f>IFERROR(__xludf.DUMMYFUNCTION("""COMPUTED_VALUE"""),12.0)</f>
        <v>12</v>
      </c>
      <c r="I114" s="26">
        <f>IFERROR(__xludf.DUMMYFUNCTION("""COMPUTED_VALUE"""),40.0)</f>
        <v>40</v>
      </c>
      <c r="J114" s="26"/>
      <c r="K114" s="26">
        <f t="shared" si="3"/>
        <v>160</v>
      </c>
    </row>
    <row r="115">
      <c r="A115" s="26" t="str">
        <f>IFERROR(__xludf.DUMMYFUNCTION("""COMPUTED_VALUE"""),"CRM-WG-NW-Butterfly-Black")</f>
        <v>CRM-WG-NW-Butterfly-Black</v>
      </c>
      <c r="B115" s="26">
        <f>IFERROR(__xludf.DUMMYFUNCTION("""COMPUTED_VALUE"""),12.0)</f>
        <v>12</v>
      </c>
      <c r="C115" s="26" t="str">
        <f>IFERROR(__xludf.DUMMYFUNCTION("""COMPUTED_VALUE"""),"MAA4")</f>
        <v>MAA4</v>
      </c>
      <c r="D115" s="26"/>
      <c r="E115" s="26"/>
      <c r="F115" s="26"/>
      <c r="G115" s="26">
        <f>IFERROR(__xludf.DUMMYFUNCTION("""COMPUTED_VALUE"""),560313.0)</f>
        <v>560313</v>
      </c>
      <c r="H115" s="26">
        <f>IFERROR(__xludf.DUMMYFUNCTION("""COMPUTED_VALUE"""),12.0)</f>
        <v>12</v>
      </c>
      <c r="I115" s="26">
        <f>IFERROR(__xludf.DUMMYFUNCTION("""COMPUTED_VALUE"""),40.0)</f>
        <v>40</v>
      </c>
      <c r="J115" s="26"/>
      <c r="K115" s="26">
        <f t="shared" si="3"/>
        <v>480</v>
      </c>
    </row>
    <row r="116">
      <c r="A116" s="26" t="str">
        <f>IFERROR(__xludf.DUMMYFUNCTION("""COMPUTED_VALUE"""),"CRM-WG-NW-Butterfly-Black")</f>
        <v>CRM-WG-NW-Butterfly-Black</v>
      </c>
      <c r="B116" s="26">
        <f>IFERROR(__xludf.DUMMYFUNCTION("""COMPUTED_VALUE"""),2.0)</f>
        <v>2</v>
      </c>
      <c r="C116" s="26" t="str">
        <f>IFERROR(__xludf.DUMMYFUNCTION("""COMPUTED_VALUE"""),"DEL5")</f>
        <v>DEL5</v>
      </c>
      <c r="D116" s="26"/>
      <c r="E116" s="26"/>
      <c r="F116" s="26"/>
      <c r="G116" s="26">
        <f>IFERROR(__xludf.DUMMYFUNCTION("""COMPUTED_VALUE"""),560313.0)</f>
        <v>560313</v>
      </c>
      <c r="H116" s="26">
        <f>IFERROR(__xludf.DUMMYFUNCTION("""COMPUTED_VALUE"""),12.0)</f>
        <v>12</v>
      </c>
      <c r="I116" s="26">
        <f>IFERROR(__xludf.DUMMYFUNCTION("""COMPUTED_VALUE"""),40.0)</f>
        <v>40</v>
      </c>
      <c r="J116" s="26"/>
      <c r="K116" s="26">
        <f t="shared" si="3"/>
        <v>80</v>
      </c>
    </row>
    <row r="117">
      <c r="A117" s="26" t="str">
        <f>IFERROR(__xludf.DUMMYFUNCTION("""COMPUTED_VALUE"""),"CRM-WG-NW-Butterfly-Black")</f>
        <v>CRM-WG-NW-Butterfly-Black</v>
      </c>
      <c r="B117" s="26">
        <f>IFERROR(__xludf.DUMMYFUNCTION("""COMPUTED_VALUE"""),4.0)</f>
        <v>4</v>
      </c>
      <c r="C117" s="26" t="str">
        <f>IFERROR(__xludf.DUMMYFUNCTION("""COMPUTED_VALUE"""),"BOM5")</f>
        <v>BOM5</v>
      </c>
      <c r="D117" s="26"/>
      <c r="E117" s="26"/>
      <c r="F117" s="26"/>
      <c r="G117" s="26">
        <f>IFERROR(__xludf.DUMMYFUNCTION("""COMPUTED_VALUE"""),560313.0)</f>
        <v>560313</v>
      </c>
      <c r="H117" s="26">
        <f>IFERROR(__xludf.DUMMYFUNCTION("""COMPUTED_VALUE"""),12.0)</f>
        <v>12</v>
      </c>
      <c r="I117" s="26">
        <f>IFERROR(__xludf.DUMMYFUNCTION("""COMPUTED_VALUE"""),40.0)</f>
        <v>40</v>
      </c>
      <c r="J117" s="26"/>
      <c r="K117" s="26">
        <f t="shared" si="3"/>
        <v>160</v>
      </c>
    </row>
    <row r="118">
      <c r="A118" s="26" t="str">
        <f>IFERROR(__xludf.DUMMYFUNCTION("""COMPUTED_VALUE"""),"CRM-WG-NW-Butterfly-Black")</f>
        <v>CRM-WG-NW-Butterfly-Black</v>
      </c>
      <c r="B118" s="26">
        <f>IFERROR(__xludf.DUMMYFUNCTION("""COMPUTED_VALUE"""),4.0)</f>
        <v>4</v>
      </c>
      <c r="C118" s="26" t="str">
        <f>IFERROR(__xludf.DUMMYFUNCTION("""COMPUTED_VALUE"""),"BOM7")</f>
        <v>BOM7</v>
      </c>
      <c r="D118" s="26"/>
      <c r="E118" s="26"/>
      <c r="F118" s="26"/>
      <c r="G118" s="26">
        <f>IFERROR(__xludf.DUMMYFUNCTION("""COMPUTED_VALUE"""),560313.0)</f>
        <v>560313</v>
      </c>
      <c r="H118" s="26">
        <f>IFERROR(__xludf.DUMMYFUNCTION("""COMPUTED_VALUE"""),12.0)</f>
        <v>12</v>
      </c>
      <c r="I118" s="26">
        <f>IFERROR(__xludf.DUMMYFUNCTION("""COMPUTED_VALUE"""),40.0)</f>
        <v>40</v>
      </c>
      <c r="J118" s="26"/>
      <c r="K118" s="26">
        <f t="shared" si="3"/>
        <v>160</v>
      </c>
    </row>
    <row r="119">
      <c r="A119" s="26" t="str">
        <f>IFERROR(__xludf.DUMMYFUNCTION("""COMPUTED_VALUE"""),"CRM-WG-NW-Ultra-Grind+-Black")</f>
        <v>CRM-WG-NW-Ultra-Grind+-Black</v>
      </c>
      <c r="B119" s="26">
        <f>IFERROR(__xludf.DUMMYFUNCTION("""COMPUTED_VALUE"""),2.0)</f>
        <v>2</v>
      </c>
      <c r="C119" s="26" t="str">
        <f>IFERROR(__xludf.DUMMYFUNCTION("""COMPUTED_VALUE"""),"AMD2")</f>
        <v>AMD2</v>
      </c>
      <c r="D119" s="26"/>
      <c r="E119" s="26"/>
      <c r="F119" s="26"/>
      <c r="G119" s="26">
        <f>IFERROR(__xludf.DUMMYFUNCTION("""COMPUTED_VALUE"""),560313.0)</f>
        <v>560313</v>
      </c>
      <c r="H119" s="26">
        <f>IFERROR(__xludf.DUMMYFUNCTION("""COMPUTED_VALUE"""),12.0)</f>
        <v>12</v>
      </c>
      <c r="I119" s="26">
        <f>IFERROR(__xludf.DUMMYFUNCTION("""COMPUTED_VALUE"""),40.0)</f>
        <v>40</v>
      </c>
      <c r="J119" s="26"/>
      <c r="K119" s="26">
        <f t="shared" si="3"/>
        <v>80</v>
      </c>
    </row>
    <row r="120">
      <c r="A120" s="26" t="str">
        <f>IFERROR(__xludf.DUMMYFUNCTION("""COMPUTED_VALUE"""),"CRM-WG-NW-Ultra-Grind+-Black")</f>
        <v>CRM-WG-NW-Ultra-Grind+-Black</v>
      </c>
      <c r="B120" s="26">
        <f>IFERROR(__xludf.DUMMYFUNCTION("""COMPUTED_VALUE"""),8.0)</f>
        <v>8</v>
      </c>
      <c r="C120" s="26" t="str">
        <f>IFERROR(__xludf.DUMMYFUNCTION("""COMPUTED_VALUE"""),"BLR8")</f>
        <v>BLR8</v>
      </c>
      <c r="D120" s="26"/>
      <c r="E120" s="26"/>
      <c r="F120" s="26"/>
      <c r="G120" s="26">
        <f>IFERROR(__xludf.DUMMYFUNCTION("""COMPUTED_VALUE"""),560313.0)</f>
        <v>560313</v>
      </c>
      <c r="H120" s="26">
        <f>IFERROR(__xludf.DUMMYFUNCTION("""COMPUTED_VALUE"""),12.0)</f>
        <v>12</v>
      </c>
      <c r="I120" s="26">
        <f>IFERROR(__xludf.DUMMYFUNCTION("""COMPUTED_VALUE"""),40.0)</f>
        <v>40</v>
      </c>
      <c r="J120" s="26"/>
      <c r="K120" s="26">
        <f t="shared" si="3"/>
        <v>320</v>
      </c>
    </row>
    <row r="121">
      <c r="A121" s="26" t="str">
        <f>IFERROR(__xludf.DUMMYFUNCTION("""COMPUTED_VALUE"""),"CRM-WG-NW-Ultra-Grind+-Black")</f>
        <v>CRM-WG-NW-Ultra-Grind+-Black</v>
      </c>
      <c r="B121" s="26">
        <f>IFERROR(__xludf.DUMMYFUNCTION("""COMPUTED_VALUE"""),4.0)</f>
        <v>4</v>
      </c>
      <c r="C121" s="26" t="str">
        <f>IFERROR(__xludf.DUMMYFUNCTION("""COMPUTED_VALUE"""),"BLR7")</f>
        <v>BLR7</v>
      </c>
      <c r="D121" s="26"/>
      <c r="E121" s="26"/>
      <c r="F121" s="26"/>
      <c r="G121" s="26">
        <f>IFERROR(__xludf.DUMMYFUNCTION("""COMPUTED_VALUE"""),560313.0)</f>
        <v>560313</v>
      </c>
      <c r="H121" s="26">
        <f>IFERROR(__xludf.DUMMYFUNCTION("""COMPUTED_VALUE"""),12.0)</f>
        <v>12</v>
      </c>
      <c r="I121" s="26">
        <f>IFERROR(__xludf.DUMMYFUNCTION("""COMPUTED_VALUE"""),40.0)</f>
        <v>40</v>
      </c>
      <c r="J121" s="26"/>
      <c r="K121" s="26">
        <f t="shared" si="3"/>
        <v>160</v>
      </c>
    </row>
    <row r="122">
      <c r="A122" s="26" t="str">
        <f>IFERROR(__xludf.DUMMYFUNCTION("""COMPUTED_VALUE"""),"CRM-WG-NW-Ultra-Grind+-Black")</f>
        <v>CRM-WG-NW-Ultra-Grind+-Black</v>
      </c>
      <c r="B122" s="26">
        <f>IFERROR(__xludf.DUMMYFUNCTION("""COMPUTED_VALUE"""),8.0)</f>
        <v>8</v>
      </c>
      <c r="C122" s="26" t="str">
        <f>IFERROR(__xludf.DUMMYFUNCTION("""COMPUTED_VALUE"""),"CJB1")</f>
        <v>CJB1</v>
      </c>
      <c r="D122" s="26"/>
      <c r="E122" s="26"/>
      <c r="F122" s="26"/>
      <c r="G122" s="26">
        <f>IFERROR(__xludf.DUMMYFUNCTION("""COMPUTED_VALUE"""),560313.0)</f>
        <v>560313</v>
      </c>
      <c r="H122" s="26">
        <f>IFERROR(__xludf.DUMMYFUNCTION("""COMPUTED_VALUE"""),12.0)</f>
        <v>12</v>
      </c>
      <c r="I122" s="26">
        <f>IFERROR(__xludf.DUMMYFUNCTION("""COMPUTED_VALUE"""),40.0)</f>
        <v>40</v>
      </c>
      <c r="J122" s="26"/>
      <c r="K122" s="26">
        <f t="shared" si="3"/>
        <v>320</v>
      </c>
    </row>
    <row r="123">
      <c r="A123" s="26" t="str">
        <f>IFERROR(__xludf.DUMMYFUNCTION("""COMPUTED_VALUE"""),"CRM-WG-NW-Ultra-Grind+-Black")</f>
        <v>CRM-WG-NW-Ultra-Grind+-Black</v>
      </c>
      <c r="B123" s="26">
        <f>IFERROR(__xludf.DUMMYFUNCTION("""COMPUTED_VALUE"""),12.0)</f>
        <v>12</v>
      </c>
      <c r="C123" s="26" t="str">
        <f>IFERROR(__xludf.DUMMYFUNCTION("""COMPUTED_VALUE"""),"MAA4")</f>
        <v>MAA4</v>
      </c>
      <c r="D123" s="26"/>
      <c r="E123" s="26"/>
      <c r="F123" s="26"/>
      <c r="G123" s="26">
        <f>IFERROR(__xludf.DUMMYFUNCTION("""COMPUTED_VALUE"""),560313.0)</f>
        <v>560313</v>
      </c>
      <c r="H123" s="26">
        <f>IFERROR(__xludf.DUMMYFUNCTION("""COMPUTED_VALUE"""),12.0)</f>
        <v>12</v>
      </c>
      <c r="I123" s="26">
        <f>IFERROR(__xludf.DUMMYFUNCTION("""COMPUTED_VALUE"""),40.0)</f>
        <v>40</v>
      </c>
      <c r="J123" s="26"/>
      <c r="K123" s="26">
        <f t="shared" si="3"/>
        <v>480</v>
      </c>
    </row>
    <row r="124">
      <c r="A124" s="26" t="str">
        <f>IFERROR(__xludf.DUMMYFUNCTION("""COMPUTED_VALUE"""),"CRM-WG-NW-Ultra-Grind+-Black")</f>
        <v>CRM-WG-NW-Ultra-Grind+-Black</v>
      </c>
      <c r="B124" s="26">
        <f>IFERROR(__xludf.DUMMYFUNCTION("""COMPUTED_VALUE"""),12.0)</f>
        <v>12</v>
      </c>
      <c r="C124" s="26" t="str">
        <f>IFERROR(__xludf.DUMMYFUNCTION("""COMPUTED_VALUE"""),"BOM5")</f>
        <v>BOM5</v>
      </c>
      <c r="D124" s="26"/>
      <c r="E124" s="26"/>
      <c r="F124" s="26"/>
      <c r="G124" s="26">
        <f>IFERROR(__xludf.DUMMYFUNCTION("""COMPUTED_VALUE"""),560313.0)</f>
        <v>560313</v>
      </c>
      <c r="H124" s="26">
        <f>IFERROR(__xludf.DUMMYFUNCTION("""COMPUTED_VALUE"""),12.0)</f>
        <v>12</v>
      </c>
      <c r="I124" s="26">
        <f>IFERROR(__xludf.DUMMYFUNCTION("""COMPUTED_VALUE"""),40.0)</f>
        <v>40</v>
      </c>
      <c r="J124" s="26"/>
      <c r="K124" s="26">
        <f t="shared" si="3"/>
        <v>480</v>
      </c>
    </row>
    <row r="125">
      <c r="A125" s="26" t="str">
        <f>IFERROR(__xludf.DUMMYFUNCTION("""COMPUTED_VALUE"""),"CRM-WG-NW-Ultra-Grind+-Black")</f>
        <v>CRM-WG-NW-Ultra-Grind+-Black</v>
      </c>
      <c r="B125" s="26">
        <f>IFERROR(__xludf.DUMMYFUNCTION("""COMPUTED_VALUE"""),4.0)</f>
        <v>4</v>
      </c>
      <c r="C125" s="26" t="str">
        <f>IFERROR(__xludf.DUMMYFUNCTION("""COMPUTED_VALUE"""),"BOM7")</f>
        <v>BOM7</v>
      </c>
      <c r="D125" s="26"/>
      <c r="E125" s="26"/>
      <c r="F125" s="26"/>
      <c r="G125" s="26">
        <f>IFERROR(__xludf.DUMMYFUNCTION("""COMPUTED_VALUE"""),560313.0)</f>
        <v>560313</v>
      </c>
      <c r="H125" s="26">
        <f>IFERROR(__xludf.DUMMYFUNCTION("""COMPUTED_VALUE"""),12.0)</f>
        <v>12</v>
      </c>
      <c r="I125" s="26">
        <f>IFERROR(__xludf.DUMMYFUNCTION("""COMPUTED_VALUE"""),40.0)</f>
        <v>40</v>
      </c>
      <c r="J125" s="26"/>
      <c r="K125" s="26">
        <f t="shared" si="3"/>
        <v>160</v>
      </c>
    </row>
    <row r="126">
      <c r="A126" s="26" t="str">
        <f>IFERROR(__xludf.DUMMYFUNCTION("""COMPUTED_VALUE"""),"CRM-WG-NW-Ultra-Grind+-Grey")</f>
        <v>CRM-WG-NW-Ultra-Grind+-Grey</v>
      </c>
      <c r="B126" s="26">
        <f>IFERROR(__xludf.DUMMYFUNCTION("""COMPUTED_VALUE"""),20.0)</f>
        <v>20</v>
      </c>
      <c r="C126" s="26" t="str">
        <f>IFERROR(__xludf.DUMMYFUNCTION("""COMPUTED_VALUE"""),"BLR8")</f>
        <v>BLR8</v>
      </c>
      <c r="D126" s="26"/>
      <c r="E126" s="26"/>
      <c r="F126" s="26"/>
      <c r="G126" s="26">
        <f>IFERROR(__xludf.DUMMYFUNCTION("""COMPUTED_VALUE"""),560313.0)</f>
        <v>560313</v>
      </c>
      <c r="H126" s="26">
        <f>IFERROR(__xludf.DUMMYFUNCTION("""COMPUTED_VALUE"""),12.0)</f>
        <v>12</v>
      </c>
      <c r="I126" s="26">
        <f>IFERROR(__xludf.DUMMYFUNCTION("""COMPUTED_VALUE"""),40.0)</f>
        <v>40</v>
      </c>
      <c r="J126" s="26"/>
      <c r="K126" s="26">
        <f t="shared" si="3"/>
        <v>800</v>
      </c>
    </row>
    <row r="127">
      <c r="A127" s="26" t="str">
        <f>IFERROR(__xludf.DUMMYFUNCTION("""COMPUTED_VALUE"""),"CRM-WG-NW-Ultra-Grind+-Grey")</f>
        <v>CRM-WG-NW-Ultra-Grind+-Grey</v>
      </c>
      <c r="B127" s="26">
        <f>IFERROR(__xludf.DUMMYFUNCTION("""COMPUTED_VALUE"""),20.0)</f>
        <v>20</v>
      </c>
      <c r="C127" s="26" t="str">
        <f>IFERROR(__xludf.DUMMYFUNCTION("""COMPUTED_VALUE"""),"BLR7")</f>
        <v>BLR7</v>
      </c>
      <c r="D127" s="26"/>
      <c r="E127" s="26"/>
      <c r="F127" s="26"/>
      <c r="G127" s="26">
        <f>IFERROR(__xludf.DUMMYFUNCTION("""COMPUTED_VALUE"""),560313.0)</f>
        <v>560313</v>
      </c>
      <c r="H127" s="26">
        <f>IFERROR(__xludf.DUMMYFUNCTION("""COMPUTED_VALUE"""),12.0)</f>
        <v>12</v>
      </c>
      <c r="I127" s="26">
        <f>IFERROR(__xludf.DUMMYFUNCTION("""COMPUTED_VALUE"""),40.0)</f>
        <v>40</v>
      </c>
      <c r="J127" s="26"/>
      <c r="K127" s="26">
        <f t="shared" si="3"/>
        <v>800</v>
      </c>
    </row>
    <row r="128">
      <c r="A128" s="26" t="str">
        <f>IFERROR(__xludf.DUMMYFUNCTION("""COMPUTED_VALUE"""),"CRM-WG-NW-Ultra-Grind+-Grey")</f>
        <v>CRM-WG-NW-Ultra-Grind+-Grey</v>
      </c>
      <c r="B128" s="26">
        <f>IFERROR(__xludf.DUMMYFUNCTION("""COMPUTED_VALUE"""),20.0)</f>
        <v>20</v>
      </c>
      <c r="C128" s="26" t="str">
        <f>IFERROR(__xludf.DUMMYFUNCTION("""COMPUTED_VALUE"""),"CJB1")</f>
        <v>CJB1</v>
      </c>
      <c r="D128" s="26"/>
      <c r="E128" s="26"/>
      <c r="F128" s="26"/>
      <c r="G128" s="26">
        <f>IFERROR(__xludf.DUMMYFUNCTION("""COMPUTED_VALUE"""),560313.0)</f>
        <v>560313</v>
      </c>
      <c r="H128" s="26">
        <f>IFERROR(__xludf.DUMMYFUNCTION("""COMPUTED_VALUE"""),12.0)</f>
        <v>12</v>
      </c>
      <c r="I128" s="26">
        <f>IFERROR(__xludf.DUMMYFUNCTION("""COMPUTED_VALUE"""),40.0)</f>
        <v>40</v>
      </c>
      <c r="J128" s="26"/>
      <c r="K128" s="26">
        <f t="shared" si="3"/>
        <v>800</v>
      </c>
    </row>
    <row r="129">
      <c r="A129" s="26" t="str">
        <f>IFERROR(__xludf.DUMMYFUNCTION("""COMPUTED_VALUE"""),"CRM-WG-NW-Ultra-Grind+-Grey")</f>
        <v>CRM-WG-NW-Ultra-Grind+-Grey</v>
      </c>
      <c r="B129" s="26">
        <f>IFERROR(__xludf.DUMMYFUNCTION("""COMPUTED_VALUE"""),12.0)</f>
        <v>12</v>
      </c>
      <c r="C129" s="26" t="str">
        <f>IFERROR(__xludf.DUMMYFUNCTION("""COMPUTED_VALUE"""),"MAA4")</f>
        <v>MAA4</v>
      </c>
      <c r="D129" s="26"/>
      <c r="E129" s="26"/>
      <c r="F129" s="26"/>
      <c r="G129" s="26">
        <f>IFERROR(__xludf.DUMMYFUNCTION("""COMPUTED_VALUE"""),560313.0)</f>
        <v>560313</v>
      </c>
      <c r="H129" s="26">
        <f>IFERROR(__xludf.DUMMYFUNCTION("""COMPUTED_VALUE"""),12.0)</f>
        <v>12</v>
      </c>
      <c r="I129" s="26">
        <f>IFERROR(__xludf.DUMMYFUNCTION("""COMPUTED_VALUE"""),40.0)</f>
        <v>40</v>
      </c>
      <c r="J129" s="26"/>
      <c r="K129" s="26">
        <f t="shared" si="3"/>
        <v>480</v>
      </c>
    </row>
    <row r="130">
      <c r="A130" s="26" t="str">
        <f>IFERROR(__xludf.DUMMYFUNCTION("""COMPUTED_VALUE"""),"CRM-WG-NW-Ultra-Grind+-Grey")</f>
        <v>CRM-WG-NW-Ultra-Grind+-Grey</v>
      </c>
      <c r="B130" s="26">
        <f>IFERROR(__xludf.DUMMYFUNCTION("""COMPUTED_VALUE"""),12.0)</f>
        <v>12</v>
      </c>
      <c r="C130" s="26" t="str">
        <f>IFERROR(__xludf.DUMMYFUNCTION("""COMPUTED_VALUE"""),"BOM5")</f>
        <v>BOM5</v>
      </c>
      <c r="D130" s="26"/>
      <c r="E130" s="26"/>
      <c r="F130" s="26"/>
      <c r="G130" s="26">
        <f>IFERROR(__xludf.DUMMYFUNCTION("""COMPUTED_VALUE"""),560313.0)</f>
        <v>560313</v>
      </c>
      <c r="H130" s="26">
        <f>IFERROR(__xludf.DUMMYFUNCTION("""COMPUTED_VALUE"""),12.0)</f>
        <v>12</v>
      </c>
      <c r="I130" s="26">
        <f>IFERROR(__xludf.DUMMYFUNCTION("""COMPUTED_VALUE"""),40.0)</f>
        <v>40</v>
      </c>
      <c r="J130" s="26"/>
      <c r="K130" s="26">
        <f t="shared" si="3"/>
        <v>480</v>
      </c>
    </row>
    <row r="131">
      <c r="A131" s="26" t="str">
        <f>IFERROR(__xludf.DUMMYFUNCTION("""COMPUTED_VALUE"""),"Ultra_1")</f>
        <v>Ultra_1</v>
      </c>
      <c r="B131" s="26">
        <f>IFERROR(__xludf.DUMMYFUNCTION("""COMPUTED_VALUE"""),2.0)</f>
        <v>2</v>
      </c>
      <c r="C131" s="26" t="str">
        <f>IFERROR(__xludf.DUMMYFUNCTION("""COMPUTED_VALUE"""),"AMD2")</f>
        <v>AMD2</v>
      </c>
      <c r="D131" s="26"/>
      <c r="E131" s="26"/>
      <c r="F131" s="26"/>
      <c r="G131" s="26">
        <f>IFERROR(__xludf.DUMMYFUNCTION("""COMPUTED_VALUE"""),845290.0)</f>
        <v>845290</v>
      </c>
      <c r="H131" s="26">
        <f>IFERROR(__xludf.DUMMYFUNCTION("""COMPUTED_VALUE"""),12.0)</f>
        <v>12</v>
      </c>
      <c r="I131" s="26">
        <f>IFERROR(__xludf.DUMMYFUNCTION("""COMPUTED_VALUE"""),55.0)</f>
        <v>55</v>
      </c>
      <c r="J131" s="26"/>
      <c r="K131" s="26">
        <f t="shared" si="3"/>
        <v>110</v>
      </c>
    </row>
    <row r="132">
      <c r="A132" s="26" t="str">
        <f>IFERROR(__xludf.DUMMYFUNCTION("""COMPUTED_VALUE"""),"Ultra_1")</f>
        <v>Ultra_1</v>
      </c>
      <c r="B132" s="26">
        <f>IFERROR(__xludf.DUMMYFUNCTION("""COMPUTED_VALUE"""),10.0)</f>
        <v>10</v>
      </c>
      <c r="C132" s="26" t="str">
        <f>IFERROR(__xludf.DUMMYFUNCTION("""COMPUTED_VALUE"""),"BLR8")</f>
        <v>BLR8</v>
      </c>
      <c r="D132" s="26"/>
      <c r="E132" s="26"/>
      <c r="F132" s="26"/>
      <c r="G132" s="26">
        <f>IFERROR(__xludf.DUMMYFUNCTION("""COMPUTED_VALUE"""),845290.0)</f>
        <v>845290</v>
      </c>
      <c r="H132" s="26">
        <f>IFERROR(__xludf.DUMMYFUNCTION("""COMPUTED_VALUE"""),12.0)</f>
        <v>12</v>
      </c>
      <c r="I132" s="26">
        <f>IFERROR(__xludf.DUMMYFUNCTION("""COMPUTED_VALUE"""),55.0)</f>
        <v>55</v>
      </c>
      <c r="J132" s="26"/>
      <c r="K132" s="26">
        <f t="shared" si="3"/>
        <v>550</v>
      </c>
    </row>
    <row r="133">
      <c r="A133" s="26" t="str">
        <f>IFERROR(__xludf.DUMMYFUNCTION("""COMPUTED_VALUE"""),"Ultra_1")</f>
        <v>Ultra_1</v>
      </c>
      <c r="B133" s="26">
        <f>IFERROR(__xludf.DUMMYFUNCTION("""COMPUTED_VALUE"""),30.0)</f>
        <v>30</v>
      </c>
      <c r="C133" s="26" t="str">
        <f>IFERROR(__xludf.DUMMYFUNCTION("""COMPUTED_VALUE"""),"BLR7")</f>
        <v>BLR7</v>
      </c>
      <c r="D133" s="26"/>
      <c r="E133" s="26"/>
      <c r="F133" s="26"/>
      <c r="G133" s="26">
        <f>IFERROR(__xludf.DUMMYFUNCTION("""COMPUTED_VALUE"""),845290.0)</f>
        <v>845290</v>
      </c>
      <c r="H133" s="26">
        <f>IFERROR(__xludf.DUMMYFUNCTION("""COMPUTED_VALUE"""),12.0)</f>
        <v>12</v>
      </c>
      <c r="I133" s="26">
        <f>IFERROR(__xludf.DUMMYFUNCTION("""COMPUTED_VALUE"""),55.0)</f>
        <v>55</v>
      </c>
      <c r="J133" s="26"/>
      <c r="K133" s="26">
        <f t="shared" si="3"/>
        <v>1650</v>
      </c>
    </row>
    <row r="134">
      <c r="A134" s="26" t="str">
        <f>IFERROR(__xludf.DUMMYFUNCTION("""COMPUTED_VALUE"""),"Ultra_1")</f>
        <v>Ultra_1</v>
      </c>
      <c r="B134" s="26">
        <f>IFERROR(__xludf.DUMMYFUNCTION("""COMPUTED_VALUE"""),14.0)</f>
        <v>14</v>
      </c>
      <c r="C134" s="26" t="str">
        <f>IFERROR(__xludf.DUMMYFUNCTION("""COMPUTED_VALUE"""),"CJB1")</f>
        <v>CJB1</v>
      </c>
      <c r="D134" s="26"/>
      <c r="E134" s="26"/>
      <c r="F134" s="26"/>
      <c r="G134" s="26">
        <f>IFERROR(__xludf.DUMMYFUNCTION("""COMPUTED_VALUE"""),845290.0)</f>
        <v>845290</v>
      </c>
      <c r="H134" s="26">
        <f>IFERROR(__xludf.DUMMYFUNCTION("""COMPUTED_VALUE"""),12.0)</f>
        <v>12</v>
      </c>
      <c r="I134" s="26">
        <f>IFERROR(__xludf.DUMMYFUNCTION("""COMPUTED_VALUE"""),55.0)</f>
        <v>55</v>
      </c>
      <c r="J134" s="26"/>
      <c r="K134" s="26">
        <f t="shared" si="3"/>
        <v>770</v>
      </c>
    </row>
    <row r="135">
      <c r="A135" s="26" t="str">
        <f>IFERROR(__xludf.DUMMYFUNCTION("""COMPUTED_VALUE"""),"Ultra_1")</f>
        <v>Ultra_1</v>
      </c>
      <c r="B135" s="26">
        <f>IFERROR(__xludf.DUMMYFUNCTION("""COMPUTED_VALUE"""),26.0)</f>
        <v>26</v>
      </c>
      <c r="C135" s="26" t="str">
        <f>IFERROR(__xludf.DUMMYFUNCTION("""COMPUTED_VALUE"""),"MAA4")</f>
        <v>MAA4</v>
      </c>
      <c r="D135" s="26"/>
      <c r="E135" s="26"/>
      <c r="F135" s="26"/>
      <c r="G135" s="26">
        <f>IFERROR(__xludf.DUMMYFUNCTION("""COMPUTED_VALUE"""),845290.0)</f>
        <v>845290</v>
      </c>
      <c r="H135" s="26">
        <f>IFERROR(__xludf.DUMMYFUNCTION("""COMPUTED_VALUE"""),12.0)</f>
        <v>12</v>
      </c>
      <c r="I135" s="26">
        <f>IFERROR(__xludf.DUMMYFUNCTION("""COMPUTED_VALUE"""),55.0)</f>
        <v>55</v>
      </c>
      <c r="J135" s="26"/>
      <c r="K135" s="26">
        <f t="shared" si="3"/>
        <v>1430</v>
      </c>
    </row>
    <row r="136">
      <c r="A136" s="26" t="str">
        <f>IFERROR(__xludf.DUMMYFUNCTION("""COMPUTED_VALUE"""),"Ultra_1")</f>
        <v>Ultra_1</v>
      </c>
      <c r="B136" s="26">
        <f>IFERROR(__xludf.DUMMYFUNCTION("""COMPUTED_VALUE"""),6.0)</f>
        <v>6</v>
      </c>
      <c r="C136" s="26" t="str">
        <f>IFERROR(__xludf.DUMMYFUNCTION("""COMPUTED_VALUE"""),"BOM5")</f>
        <v>BOM5</v>
      </c>
      <c r="D136" s="26"/>
      <c r="E136" s="26"/>
      <c r="F136" s="26"/>
      <c r="G136" s="26">
        <f>IFERROR(__xludf.DUMMYFUNCTION("""COMPUTED_VALUE"""),845290.0)</f>
        <v>845290</v>
      </c>
      <c r="H136" s="26">
        <f>IFERROR(__xludf.DUMMYFUNCTION("""COMPUTED_VALUE"""),12.0)</f>
        <v>12</v>
      </c>
      <c r="I136" s="26">
        <f>IFERROR(__xludf.DUMMYFUNCTION("""COMPUTED_VALUE"""),55.0)</f>
        <v>55</v>
      </c>
      <c r="J136" s="26"/>
      <c r="K136" s="26">
        <f t="shared" si="3"/>
        <v>330</v>
      </c>
    </row>
    <row r="137">
      <c r="A137" s="26" t="str">
        <f>IFERROR(__xludf.DUMMYFUNCTION("""COMPUTED_VALUE"""),"CRM_NW_BLACK_DC")</f>
        <v>CRM_NW_BLACK_DC</v>
      </c>
      <c r="B137" s="26">
        <f>IFERROR(__xludf.DUMMYFUNCTION("""COMPUTED_VALUE"""),4.0)</f>
        <v>4</v>
      </c>
      <c r="C137" s="26" t="str">
        <f>IFERROR(__xludf.DUMMYFUNCTION("""COMPUTED_VALUE"""),"AMD2")</f>
        <v>AMD2</v>
      </c>
      <c r="D137" s="26"/>
      <c r="E137" s="26"/>
      <c r="F137" s="26"/>
      <c r="G137" s="26">
        <f>IFERROR(__xludf.DUMMYFUNCTION("""COMPUTED_VALUE"""),560313.0)</f>
        <v>560313</v>
      </c>
      <c r="H137" s="26">
        <f>IFERROR(__xludf.DUMMYFUNCTION("""COMPUTED_VALUE"""),12.0)</f>
        <v>12</v>
      </c>
      <c r="I137" s="26">
        <f>IFERROR(__xludf.DUMMYFUNCTION("""COMPUTED_VALUE"""),30.0)</f>
        <v>30</v>
      </c>
      <c r="J137" s="26"/>
      <c r="K137" s="26">
        <f t="shared" si="3"/>
        <v>120</v>
      </c>
    </row>
    <row r="138">
      <c r="A138" s="26" t="str">
        <f>IFERROR(__xludf.DUMMYFUNCTION("""COMPUTED_VALUE"""),"CRM_NW_BLACK_DC")</f>
        <v>CRM_NW_BLACK_DC</v>
      </c>
      <c r="B138" s="26">
        <f>IFERROR(__xludf.DUMMYFUNCTION("""COMPUTED_VALUE"""),8.0)</f>
        <v>8</v>
      </c>
      <c r="C138" s="26" t="str">
        <f>IFERROR(__xludf.DUMMYFUNCTION("""COMPUTED_VALUE"""),"BLR8")</f>
        <v>BLR8</v>
      </c>
      <c r="D138" s="26"/>
      <c r="E138" s="26"/>
      <c r="F138" s="26"/>
      <c r="G138" s="26">
        <f>IFERROR(__xludf.DUMMYFUNCTION("""COMPUTED_VALUE"""),560313.0)</f>
        <v>560313</v>
      </c>
      <c r="H138" s="26">
        <f>IFERROR(__xludf.DUMMYFUNCTION("""COMPUTED_VALUE"""),12.0)</f>
        <v>12</v>
      </c>
      <c r="I138" s="26">
        <f>IFERROR(__xludf.DUMMYFUNCTION("""COMPUTED_VALUE"""),30.0)</f>
        <v>30</v>
      </c>
      <c r="J138" s="26"/>
      <c r="K138" s="26">
        <f t="shared" si="3"/>
        <v>240</v>
      </c>
    </row>
    <row r="139">
      <c r="A139" s="26" t="str">
        <f>IFERROR(__xludf.DUMMYFUNCTION("""COMPUTED_VALUE"""),"CRM_NW_BLACK_DC")</f>
        <v>CRM_NW_BLACK_DC</v>
      </c>
      <c r="B139" s="26">
        <f>IFERROR(__xludf.DUMMYFUNCTION("""COMPUTED_VALUE"""),6.0)</f>
        <v>6</v>
      </c>
      <c r="C139" s="26" t="str">
        <f>IFERROR(__xludf.DUMMYFUNCTION("""COMPUTED_VALUE"""),"BLR7")</f>
        <v>BLR7</v>
      </c>
      <c r="D139" s="26"/>
      <c r="E139" s="26"/>
      <c r="F139" s="26"/>
      <c r="G139" s="26">
        <f>IFERROR(__xludf.DUMMYFUNCTION("""COMPUTED_VALUE"""),560313.0)</f>
        <v>560313</v>
      </c>
      <c r="H139" s="26">
        <f>IFERROR(__xludf.DUMMYFUNCTION("""COMPUTED_VALUE"""),12.0)</f>
        <v>12</v>
      </c>
      <c r="I139" s="26">
        <f>IFERROR(__xludf.DUMMYFUNCTION("""COMPUTED_VALUE"""),30.0)</f>
        <v>30</v>
      </c>
      <c r="J139" s="26"/>
      <c r="K139" s="26">
        <f t="shared" si="3"/>
        <v>180</v>
      </c>
    </row>
    <row r="140">
      <c r="A140" s="26" t="str">
        <f>IFERROR(__xludf.DUMMYFUNCTION("""COMPUTED_VALUE"""),"CRM_NW_BLACK_DC")</f>
        <v>CRM_NW_BLACK_DC</v>
      </c>
      <c r="B140" s="26">
        <f>IFERROR(__xludf.DUMMYFUNCTION("""COMPUTED_VALUE"""),4.0)</f>
        <v>4</v>
      </c>
      <c r="C140" s="26" t="str">
        <f>IFERROR(__xludf.DUMMYFUNCTION("""COMPUTED_VALUE"""),"CJB1")</f>
        <v>CJB1</v>
      </c>
      <c r="D140" s="26"/>
      <c r="E140" s="26"/>
      <c r="F140" s="26"/>
      <c r="G140" s="26">
        <f>IFERROR(__xludf.DUMMYFUNCTION("""COMPUTED_VALUE"""),560313.0)</f>
        <v>560313</v>
      </c>
      <c r="H140" s="26">
        <f>IFERROR(__xludf.DUMMYFUNCTION("""COMPUTED_VALUE"""),12.0)</f>
        <v>12</v>
      </c>
      <c r="I140" s="26">
        <f>IFERROR(__xludf.DUMMYFUNCTION("""COMPUTED_VALUE"""),30.0)</f>
        <v>30</v>
      </c>
      <c r="J140" s="26"/>
      <c r="K140" s="26">
        <f t="shared" si="3"/>
        <v>120</v>
      </c>
    </row>
    <row r="141">
      <c r="A141" s="26" t="str">
        <f>IFERROR(__xludf.DUMMYFUNCTION("""COMPUTED_VALUE"""),"CRM_NW_BLACK_DC")</f>
        <v>CRM_NW_BLACK_DC</v>
      </c>
      <c r="B141" s="26">
        <f>IFERROR(__xludf.DUMMYFUNCTION("""COMPUTED_VALUE"""),6.0)</f>
        <v>6</v>
      </c>
      <c r="C141" s="26" t="str">
        <f>IFERROR(__xludf.DUMMYFUNCTION("""COMPUTED_VALUE"""),"MAA4")</f>
        <v>MAA4</v>
      </c>
      <c r="D141" s="26"/>
      <c r="E141" s="26"/>
      <c r="F141" s="26"/>
      <c r="G141" s="26">
        <f>IFERROR(__xludf.DUMMYFUNCTION("""COMPUTED_VALUE"""),560313.0)</f>
        <v>560313</v>
      </c>
      <c r="H141" s="26">
        <f>IFERROR(__xludf.DUMMYFUNCTION("""COMPUTED_VALUE"""),12.0)</f>
        <v>12</v>
      </c>
      <c r="I141" s="26">
        <f>IFERROR(__xludf.DUMMYFUNCTION("""COMPUTED_VALUE"""),30.0)</f>
        <v>30</v>
      </c>
      <c r="J141" s="26"/>
      <c r="K141" s="26">
        <f t="shared" si="3"/>
        <v>180</v>
      </c>
    </row>
    <row r="142">
      <c r="A142" s="26" t="str">
        <f>IFERROR(__xludf.DUMMYFUNCTION("""COMPUTED_VALUE"""),"CRM_NW_BLACK_DC")</f>
        <v>CRM_NW_BLACK_DC</v>
      </c>
      <c r="B142" s="26">
        <f>IFERROR(__xludf.DUMMYFUNCTION("""COMPUTED_VALUE"""),12.0)</f>
        <v>12</v>
      </c>
      <c r="C142" s="26" t="str">
        <f>IFERROR(__xludf.DUMMYFUNCTION("""COMPUTED_VALUE"""),"DEL4")</f>
        <v>DEL4</v>
      </c>
      <c r="D142" s="26"/>
      <c r="E142" s="26"/>
      <c r="F142" s="26"/>
      <c r="G142" s="26">
        <f>IFERROR(__xludf.DUMMYFUNCTION("""COMPUTED_VALUE"""),560313.0)</f>
        <v>560313</v>
      </c>
      <c r="H142" s="26">
        <f>IFERROR(__xludf.DUMMYFUNCTION("""COMPUTED_VALUE"""),12.0)</f>
        <v>12</v>
      </c>
      <c r="I142" s="26">
        <f>IFERROR(__xludf.DUMMYFUNCTION("""COMPUTED_VALUE"""),30.0)</f>
        <v>30</v>
      </c>
      <c r="J142" s="26"/>
      <c r="K142" s="26">
        <f t="shared" si="3"/>
        <v>360</v>
      </c>
    </row>
    <row r="143">
      <c r="A143" s="26" t="str">
        <f>IFERROR(__xludf.DUMMYFUNCTION("""COMPUTED_VALUE"""),"CRM_NW_BLACK_DC")</f>
        <v>CRM_NW_BLACK_DC</v>
      </c>
      <c r="B143" s="26">
        <f>IFERROR(__xludf.DUMMYFUNCTION("""COMPUTED_VALUE"""),6.0)</f>
        <v>6</v>
      </c>
      <c r="C143" s="26" t="str">
        <f>IFERROR(__xludf.DUMMYFUNCTION("""COMPUTED_VALUE"""),"DEL5")</f>
        <v>DEL5</v>
      </c>
      <c r="D143" s="26"/>
      <c r="E143" s="26"/>
      <c r="F143" s="26"/>
      <c r="G143" s="26">
        <f>IFERROR(__xludf.DUMMYFUNCTION("""COMPUTED_VALUE"""),560313.0)</f>
        <v>560313</v>
      </c>
      <c r="H143" s="26">
        <f>IFERROR(__xludf.DUMMYFUNCTION("""COMPUTED_VALUE"""),12.0)</f>
        <v>12</v>
      </c>
      <c r="I143" s="26">
        <f>IFERROR(__xludf.DUMMYFUNCTION("""COMPUTED_VALUE"""),30.0)</f>
        <v>30</v>
      </c>
      <c r="J143" s="26"/>
      <c r="K143" s="26">
        <f t="shared" si="3"/>
        <v>180</v>
      </c>
    </row>
    <row r="144">
      <c r="A144" s="26" t="str">
        <f>IFERROR(__xludf.DUMMYFUNCTION("""COMPUTED_VALUE"""),"CRM_NW_BLACK_DC")</f>
        <v>CRM_NW_BLACK_DC</v>
      </c>
      <c r="B144" s="26">
        <f>IFERROR(__xludf.DUMMYFUNCTION("""COMPUTED_VALUE"""),2.0)</f>
        <v>2</v>
      </c>
      <c r="C144" s="26" t="str">
        <f>IFERROR(__xludf.DUMMYFUNCTION("""COMPUTED_VALUE"""),"BOM5")</f>
        <v>BOM5</v>
      </c>
      <c r="D144" s="26"/>
      <c r="E144" s="26"/>
      <c r="F144" s="26"/>
      <c r="G144" s="26">
        <f>IFERROR(__xludf.DUMMYFUNCTION("""COMPUTED_VALUE"""),560313.0)</f>
        <v>560313</v>
      </c>
      <c r="H144" s="26">
        <f>IFERROR(__xludf.DUMMYFUNCTION("""COMPUTED_VALUE"""),12.0)</f>
        <v>12</v>
      </c>
      <c r="I144" s="26">
        <f>IFERROR(__xludf.DUMMYFUNCTION("""COMPUTED_VALUE"""),30.0)</f>
        <v>30</v>
      </c>
      <c r="J144" s="26"/>
      <c r="K144" s="26">
        <f t="shared" si="3"/>
        <v>60</v>
      </c>
    </row>
    <row r="145">
      <c r="A145" s="26" t="str">
        <f>IFERROR(__xludf.DUMMYFUNCTION("""COMPUTED_VALUE"""),"CRM_NW_BLACK_DC")</f>
        <v>CRM_NW_BLACK_DC</v>
      </c>
      <c r="B145" s="26">
        <f>IFERROR(__xludf.DUMMYFUNCTION("""COMPUTED_VALUE"""),6.0)</f>
        <v>6</v>
      </c>
      <c r="C145" s="26" t="str">
        <f>IFERROR(__xludf.DUMMYFUNCTION("""COMPUTED_VALUE"""),"BOM7")</f>
        <v>BOM7</v>
      </c>
      <c r="D145" s="26"/>
      <c r="E145" s="26"/>
      <c r="F145" s="26"/>
      <c r="G145" s="26">
        <f>IFERROR(__xludf.DUMMYFUNCTION("""COMPUTED_VALUE"""),560313.0)</f>
        <v>560313</v>
      </c>
      <c r="H145" s="26">
        <f>IFERROR(__xludf.DUMMYFUNCTION("""COMPUTED_VALUE"""),12.0)</f>
        <v>12</v>
      </c>
      <c r="I145" s="26">
        <f>IFERROR(__xludf.DUMMYFUNCTION("""COMPUTED_VALUE"""),30.0)</f>
        <v>30</v>
      </c>
      <c r="J145" s="26"/>
      <c r="K145" s="26">
        <f t="shared" si="3"/>
        <v>180</v>
      </c>
    </row>
    <row r="146">
      <c r="A146" s="26" t="str">
        <f>IFERROR(__xludf.DUMMYFUNCTION("""COMPUTED_VALUE"""),"CRM_NW_GREY_DC")</f>
        <v>CRM_NW_GREY_DC</v>
      </c>
      <c r="B146" s="26">
        <f>IFERROR(__xludf.DUMMYFUNCTION("""COMPUTED_VALUE"""),4.0)</f>
        <v>4</v>
      </c>
      <c r="C146" s="26" t="str">
        <f>IFERROR(__xludf.DUMMYFUNCTION("""COMPUTED_VALUE"""),"MAA4")</f>
        <v>MAA4</v>
      </c>
      <c r="D146" s="26"/>
      <c r="E146" s="26"/>
      <c r="F146" s="26"/>
      <c r="G146" s="26">
        <f>IFERROR(__xludf.DUMMYFUNCTION("""COMPUTED_VALUE"""),560313.0)</f>
        <v>560313</v>
      </c>
      <c r="H146" s="26">
        <f>IFERROR(__xludf.DUMMYFUNCTION("""COMPUTED_VALUE"""),12.0)</f>
        <v>12</v>
      </c>
      <c r="I146" s="26">
        <f>IFERROR(__xludf.DUMMYFUNCTION("""COMPUTED_VALUE"""),30.0)</f>
        <v>30</v>
      </c>
      <c r="J146" s="26"/>
      <c r="K146" s="26">
        <f t="shared" si="3"/>
        <v>120</v>
      </c>
    </row>
    <row r="147">
      <c r="A147" s="26" t="str">
        <f>IFERROR(__xludf.DUMMYFUNCTION("""COMPUTED_VALUE"""),"CRM_NW_BLACK_DC_PACK OF 5")</f>
        <v>CRM_NW_BLACK_DC_PACK OF 5</v>
      </c>
      <c r="B147" s="26">
        <f>IFERROR(__xludf.DUMMYFUNCTION("""COMPUTED_VALUE"""),4.0)</f>
        <v>4</v>
      </c>
      <c r="C147" s="26" t="str">
        <f>IFERROR(__xludf.DUMMYFUNCTION("""COMPUTED_VALUE"""),"AMD2")</f>
        <v>AMD2</v>
      </c>
      <c r="D147" s="26"/>
      <c r="E147" s="26"/>
      <c r="F147" s="26"/>
      <c r="G147" s="26">
        <f>IFERROR(__xludf.DUMMYFUNCTION("""COMPUTED_VALUE"""),560313.0)</f>
        <v>560313</v>
      </c>
      <c r="H147" s="26">
        <f>IFERROR(__xludf.DUMMYFUNCTION("""COMPUTED_VALUE"""),12.0)</f>
        <v>12</v>
      </c>
      <c r="I147" s="26">
        <f>IFERROR(__xludf.DUMMYFUNCTION("""COMPUTED_VALUE"""),150.0)</f>
        <v>150</v>
      </c>
      <c r="J147" s="26"/>
      <c r="K147" s="26">
        <f t="shared" si="3"/>
        <v>600</v>
      </c>
    </row>
    <row r="148">
      <c r="A148" s="26" t="str">
        <f>IFERROR(__xludf.DUMMYFUNCTION("""COMPUTED_VALUE"""),"CRM_NW_BLACK_DC_PACK OF 5")</f>
        <v>CRM_NW_BLACK_DC_PACK OF 5</v>
      </c>
      <c r="B148" s="26">
        <f>IFERROR(__xludf.DUMMYFUNCTION("""COMPUTED_VALUE"""),4.0)</f>
        <v>4</v>
      </c>
      <c r="C148" s="26" t="str">
        <f>IFERROR(__xludf.DUMMYFUNCTION("""COMPUTED_VALUE"""),"BOM5")</f>
        <v>BOM5</v>
      </c>
      <c r="D148" s="26"/>
      <c r="E148" s="26"/>
      <c r="F148" s="26"/>
      <c r="G148" s="26">
        <f>IFERROR(__xludf.DUMMYFUNCTION("""COMPUTED_VALUE"""),560313.0)</f>
        <v>560313</v>
      </c>
      <c r="H148" s="26">
        <f>IFERROR(__xludf.DUMMYFUNCTION("""COMPUTED_VALUE"""),12.0)</f>
        <v>12</v>
      </c>
      <c r="I148" s="26">
        <f>IFERROR(__xludf.DUMMYFUNCTION("""COMPUTED_VALUE"""),150.0)</f>
        <v>150</v>
      </c>
      <c r="J148" s="26"/>
      <c r="K148" s="26">
        <f t="shared" si="3"/>
        <v>600</v>
      </c>
    </row>
    <row r="149">
      <c r="A149" s="26" t="str">
        <f>IFERROR(__xludf.DUMMYFUNCTION("""COMPUTED_VALUE"""),"CRM_NW_GREY_DC_PACK OF 5")</f>
        <v>CRM_NW_GREY_DC_PACK OF 5</v>
      </c>
      <c r="B149" s="26">
        <f>IFERROR(__xludf.DUMMYFUNCTION("""COMPUTED_VALUE"""),2.0)</f>
        <v>2</v>
      </c>
      <c r="C149" s="26" t="str">
        <f>IFERROR(__xludf.DUMMYFUNCTION("""COMPUTED_VALUE"""),"AMD2")</f>
        <v>AMD2</v>
      </c>
      <c r="D149" s="26"/>
      <c r="E149" s="26"/>
      <c r="F149" s="26"/>
      <c r="G149" s="26">
        <f>IFERROR(__xludf.DUMMYFUNCTION("""COMPUTED_VALUE"""),560313.0)</f>
        <v>560313</v>
      </c>
      <c r="H149" s="26">
        <f>IFERROR(__xludf.DUMMYFUNCTION("""COMPUTED_VALUE"""),12.0)</f>
        <v>12</v>
      </c>
      <c r="I149" s="26">
        <f>IFERROR(__xludf.DUMMYFUNCTION("""COMPUTED_VALUE"""),150.0)</f>
        <v>150</v>
      </c>
      <c r="J149" s="26"/>
      <c r="K149" s="26">
        <f t="shared" si="3"/>
        <v>300</v>
      </c>
    </row>
    <row r="150">
      <c r="A150" s="26" t="str">
        <f>IFERROR(__xludf.DUMMYFUNCTION("""COMPUTED_VALUE"""),"CRM_NW_GREY_DC_PACK OF 5")</f>
        <v>CRM_NW_GREY_DC_PACK OF 5</v>
      </c>
      <c r="B150" s="26">
        <f>IFERROR(__xludf.DUMMYFUNCTION("""COMPUTED_VALUE"""),4.0)</f>
        <v>4</v>
      </c>
      <c r="C150" s="26" t="str">
        <f>IFERROR(__xludf.DUMMYFUNCTION("""COMPUTED_VALUE"""),"BLR8")</f>
        <v>BLR8</v>
      </c>
      <c r="D150" s="26"/>
      <c r="E150" s="26"/>
      <c r="F150" s="26"/>
      <c r="G150" s="26">
        <f>IFERROR(__xludf.DUMMYFUNCTION("""COMPUTED_VALUE"""),560313.0)</f>
        <v>560313</v>
      </c>
      <c r="H150" s="26">
        <f>IFERROR(__xludf.DUMMYFUNCTION("""COMPUTED_VALUE"""),12.0)</f>
        <v>12</v>
      </c>
      <c r="I150" s="26">
        <f>IFERROR(__xludf.DUMMYFUNCTION("""COMPUTED_VALUE"""),150.0)</f>
        <v>150</v>
      </c>
      <c r="J150" s="26"/>
      <c r="K150" s="26">
        <f t="shared" si="3"/>
        <v>600</v>
      </c>
    </row>
    <row r="151">
      <c r="A151" s="26" t="str">
        <f>IFERROR(__xludf.DUMMYFUNCTION("""COMPUTED_VALUE"""),"CRM_NW_GREY_DC_PACK OF 5")</f>
        <v>CRM_NW_GREY_DC_PACK OF 5</v>
      </c>
      <c r="B151" s="26">
        <f>IFERROR(__xludf.DUMMYFUNCTION("""COMPUTED_VALUE"""),2.0)</f>
        <v>2</v>
      </c>
      <c r="C151" s="26" t="str">
        <f>IFERROR(__xludf.DUMMYFUNCTION("""COMPUTED_VALUE"""),"BLR7")</f>
        <v>BLR7</v>
      </c>
      <c r="D151" s="26"/>
      <c r="E151" s="26"/>
      <c r="F151" s="26"/>
      <c r="G151" s="26">
        <f>IFERROR(__xludf.DUMMYFUNCTION("""COMPUTED_VALUE"""),560313.0)</f>
        <v>560313</v>
      </c>
      <c r="H151" s="26">
        <f>IFERROR(__xludf.DUMMYFUNCTION("""COMPUTED_VALUE"""),12.0)</f>
        <v>12</v>
      </c>
      <c r="I151" s="26">
        <f>IFERROR(__xludf.DUMMYFUNCTION("""COMPUTED_VALUE"""),150.0)</f>
        <v>150</v>
      </c>
      <c r="J151" s="26"/>
      <c r="K151" s="26">
        <f t="shared" si="3"/>
        <v>300</v>
      </c>
    </row>
    <row r="152">
      <c r="A152" s="26" t="str">
        <f>IFERROR(__xludf.DUMMYFUNCTION("""COMPUTED_VALUE"""),"CRM_NW_GREY_DC_PACK OF 5")</f>
        <v>CRM_NW_GREY_DC_PACK OF 5</v>
      </c>
      <c r="B152" s="26">
        <f>IFERROR(__xludf.DUMMYFUNCTION("""COMPUTED_VALUE"""),2.0)</f>
        <v>2</v>
      </c>
      <c r="C152" s="26" t="str">
        <f>IFERROR(__xludf.DUMMYFUNCTION("""COMPUTED_VALUE"""),"MAA4")</f>
        <v>MAA4</v>
      </c>
      <c r="D152" s="26"/>
      <c r="E152" s="26"/>
      <c r="F152" s="26"/>
      <c r="G152" s="26">
        <f>IFERROR(__xludf.DUMMYFUNCTION("""COMPUTED_VALUE"""),560313.0)</f>
        <v>560313</v>
      </c>
      <c r="H152" s="26">
        <f>IFERROR(__xludf.DUMMYFUNCTION("""COMPUTED_VALUE"""),12.0)</f>
        <v>12</v>
      </c>
      <c r="I152" s="26">
        <f>IFERROR(__xludf.DUMMYFUNCTION("""COMPUTED_VALUE"""),150.0)</f>
        <v>150</v>
      </c>
      <c r="J152" s="26"/>
      <c r="K152" s="26">
        <f t="shared" si="3"/>
        <v>300</v>
      </c>
    </row>
    <row r="153">
      <c r="A153" s="26" t="str">
        <f>IFERROR(__xludf.DUMMYFUNCTION("""COMPUTED_VALUE"""),"CRM_NW_GREY_DC_PACK OF 5")</f>
        <v>CRM_NW_GREY_DC_PACK OF 5</v>
      </c>
      <c r="B153" s="26">
        <f>IFERROR(__xludf.DUMMYFUNCTION("""COMPUTED_VALUE"""),2.0)</f>
        <v>2</v>
      </c>
      <c r="C153" s="26" t="str">
        <f>IFERROR(__xludf.DUMMYFUNCTION("""COMPUTED_VALUE"""),"BOM7")</f>
        <v>BOM7</v>
      </c>
      <c r="D153" s="26"/>
      <c r="E153" s="26"/>
      <c r="F153" s="26"/>
      <c r="G153" s="26">
        <f>IFERROR(__xludf.DUMMYFUNCTION("""COMPUTED_VALUE"""),560313.0)</f>
        <v>560313</v>
      </c>
      <c r="H153" s="26">
        <f>IFERROR(__xludf.DUMMYFUNCTION("""COMPUTED_VALUE"""),12.0)</f>
        <v>12</v>
      </c>
      <c r="I153" s="26">
        <f>IFERROR(__xludf.DUMMYFUNCTION("""COMPUTED_VALUE"""),150.0)</f>
        <v>150</v>
      </c>
      <c r="J153" s="26"/>
      <c r="K153" s="26">
        <f t="shared" si="3"/>
        <v>300</v>
      </c>
    </row>
    <row r="154">
      <c r="A154" s="26" t="str">
        <f>IFERROR(__xludf.DUMMYFUNCTION("""COMPUTED_VALUE"""),"CRM_NW_BLACK_DC_PACK OF 2")</f>
        <v>CRM_NW_BLACK_DC_PACK OF 2</v>
      </c>
      <c r="B154" s="26">
        <f>IFERROR(__xludf.DUMMYFUNCTION("""COMPUTED_VALUE"""),4.0)</f>
        <v>4</v>
      </c>
      <c r="C154" s="26" t="str">
        <f>IFERROR(__xludf.DUMMYFUNCTION("""COMPUTED_VALUE"""),"BLR7")</f>
        <v>BLR7</v>
      </c>
      <c r="D154" s="26"/>
      <c r="E154" s="26"/>
      <c r="F154" s="26"/>
      <c r="G154" s="26">
        <f>IFERROR(__xludf.DUMMYFUNCTION("""COMPUTED_VALUE"""),560313.0)</f>
        <v>560313</v>
      </c>
      <c r="H154" s="26">
        <f>IFERROR(__xludf.DUMMYFUNCTION("""COMPUTED_VALUE"""),12.0)</f>
        <v>12</v>
      </c>
      <c r="I154" s="26">
        <f>IFERROR(__xludf.DUMMYFUNCTION("""COMPUTED_VALUE"""),60.0)</f>
        <v>60</v>
      </c>
      <c r="J154" s="26"/>
      <c r="K154" s="26">
        <f t="shared" si="3"/>
        <v>240</v>
      </c>
    </row>
    <row r="155">
      <c r="A155" s="26" t="str">
        <f>IFERROR(__xludf.DUMMYFUNCTION("""COMPUTED_VALUE"""),"CRM_NW_BLACK_DC_PACK OF 2")</f>
        <v>CRM_NW_BLACK_DC_PACK OF 2</v>
      </c>
      <c r="B155" s="26">
        <f>IFERROR(__xludf.DUMMYFUNCTION("""COMPUTED_VALUE"""),2.0)</f>
        <v>2</v>
      </c>
      <c r="C155" s="26" t="str">
        <f>IFERROR(__xludf.DUMMYFUNCTION("""COMPUTED_VALUE"""),"MAA4")</f>
        <v>MAA4</v>
      </c>
      <c r="D155" s="26"/>
      <c r="E155" s="26"/>
      <c r="F155" s="26"/>
      <c r="G155" s="26">
        <f>IFERROR(__xludf.DUMMYFUNCTION("""COMPUTED_VALUE"""),560313.0)</f>
        <v>560313</v>
      </c>
      <c r="H155" s="26">
        <f>IFERROR(__xludf.DUMMYFUNCTION("""COMPUTED_VALUE"""),12.0)</f>
        <v>12</v>
      </c>
      <c r="I155" s="26">
        <f>IFERROR(__xludf.DUMMYFUNCTION("""COMPUTED_VALUE"""),60.0)</f>
        <v>60</v>
      </c>
      <c r="J155" s="26"/>
      <c r="K155" s="26">
        <f t="shared" si="3"/>
        <v>120</v>
      </c>
    </row>
    <row r="156">
      <c r="A156" s="26" t="str">
        <f>IFERROR(__xludf.DUMMYFUNCTION("""COMPUTED_VALUE"""),"CRM_NW_BLACK_DC_PACK OF 2")</f>
        <v>CRM_NW_BLACK_DC_PACK OF 2</v>
      </c>
      <c r="B156" s="26">
        <f>IFERROR(__xludf.DUMMYFUNCTION("""COMPUTED_VALUE"""),2.0)</f>
        <v>2</v>
      </c>
      <c r="C156" s="26" t="str">
        <f>IFERROR(__xludf.DUMMYFUNCTION("""COMPUTED_VALUE"""),"DEL4")</f>
        <v>DEL4</v>
      </c>
      <c r="D156" s="26"/>
      <c r="E156" s="26"/>
      <c r="F156" s="26"/>
      <c r="G156" s="26">
        <f>IFERROR(__xludf.DUMMYFUNCTION("""COMPUTED_VALUE"""),560313.0)</f>
        <v>560313</v>
      </c>
      <c r="H156" s="26">
        <f>IFERROR(__xludf.DUMMYFUNCTION("""COMPUTED_VALUE"""),12.0)</f>
        <v>12</v>
      </c>
      <c r="I156" s="26">
        <f>IFERROR(__xludf.DUMMYFUNCTION("""COMPUTED_VALUE"""),60.0)</f>
        <v>60</v>
      </c>
      <c r="J156" s="26"/>
      <c r="K156" s="26">
        <f t="shared" si="3"/>
        <v>120</v>
      </c>
    </row>
    <row r="157">
      <c r="A157" s="26" t="str">
        <f>IFERROR(__xludf.DUMMYFUNCTION("""COMPUTED_VALUE"""),"CRM_NW_BLACK_DC_PACK OF 2")</f>
        <v>CRM_NW_BLACK_DC_PACK OF 2</v>
      </c>
      <c r="B157" s="26">
        <f>IFERROR(__xludf.DUMMYFUNCTION("""COMPUTED_VALUE"""),4.0)</f>
        <v>4</v>
      </c>
      <c r="C157" s="26" t="str">
        <f>IFERROR(__xludf.DUMMYFUNCTION("""COMPUTED_VALUE"""),"DEL5")</f>
        <v>DEL5</v>
      </c>
      <c r="D157" s="26"/>
      <c r="E157" s="26"/>
      <c r="F157" s="26"/>
      <c r="G157" s="26">
        <f>IFERROR(__xludf.DUMMYFUNCTION("""COMPUTED_VALUE"""),560313.0)</f>
        <v>560313</v>
      </c>
      <c r="H157" s="26">
        <f>IFERROR(__xludf.DUMMYFUNCTION("""COMPUTED_VALUE"""),12.0)</f>
        <v>12</v>
      </c>
      <c r="I157" s="26">
        <f>IFERROR(__xludf.DUMMYFUNCTION("""COMPUTED_VALUE"""),60.0)</f>
        <v>60</v>
      </c>
      <c r="J157" s="26"/>
      <c r="K157" s="26">
        <f t="shared" si="3"/>
        <v>240</v>
      </c>
    </row>
    <row r="158">
      <c r="A158" s="26" t="str">
        <f>IFERROR(__xludf.DUMMYFUNCTION("""COMPUTED_VALUE"""),"CRM_NW_GREY_DC_PACK OF 2")</f>
        <v>CRM_NW_GREY_DC_PACK OF 2</v>
      </c>
      <c r="B158" s="26">
        <f>IFERROR(__xludf.DUMMYFUNCTION("""COMPUTED_VALUE"""),2.0)</f>
        <v>2</v>
      </c>
      <c r="C158" s="26" t="str">
        <f>IFERROR(__xludf.DUMMYFUNCTION("""COMPUTED_VALUE"""),"MAA4")</f>
        <v>MAA4</v>
      </c>
      <c r="D158" s="26"/>
      <c r="E158" s="26"/>
      <c r="F158" s="26"/>
      <c r="G158" s="26">
        <f>IFERROR(__xludf.DUMMYFUNCTION("""COMPUTED_VALUE"""),560313.0)</f>
        <v>560313</v>
      </c>
      <c r="H158" s="26">
        <f>IFERROR(__xludf.DUMMYFUNCTION("""COMPUTED_VALUE"""),12.0)</f>
        <v>12</v>
      </c>
      <c r="I158" s="26">
        <f>IFERROR(__xludf.DUMMYFUNCTION("""COMPUTED_VALUE"""),60.0)</f>
        <v>60</v>
      </c>
      <c r="J158" s="26"/>
      <c r="K158" s="26">
        <f t="shared" si="3"/>
        <v>120</v>
      </c>
    </row>
    <row r="159">
      <c r="A159" s="26" t="str">
        <f>IFERROR(__xludf.DUMMYFUNCTION("""COMPUTED_VALUE"""),"CRM-DC-TS-NW-BLACK")</f>
        <v>CRM-DC-TS-NW-BLACK</v>
      </c>
      <c r="B159" s="26">
        <f>IFERROR(__xludf.DUMMYFUNCTION("""COMPUTED_VALUE"""),6.0)</f>
        <v>6</v>
      </c>
      <c r="C159" s="26" t="str">
        <f>IFERROR(__xludf.DUMMYFUNCTION("""COMPUTED_VALUE"""),"DEL5")</f>
        <v>DEL5</v>
      </c>
      <c r="D159" s="26"/>
      <c r="E159" s="26"/>
      <c r="F159" s="26"/>
      <c r="G159" s="26">
        <f>IFERROR(__xludf.DUMMYFUNCTION("""COMPUTED_VALUE"""),560313.0)</f>
        <v>560313</v>
      </c>
      <c r="H159" s="26">
        <f>IFERROR(__xludf.DUMMYFUNCTION("""COMPUTED_VALUE"""),12.0)</f>
        <v>12</v>
      </c>
      <c r="I159" s="26">
        <f>IFERROR(__xludf.DUMMYFUNCTION("""COMPUTED_VALUE"""),30.0)</f>
        <v>30</v>
      </c>
      <c r="J159" s="26"/>
      <c r="K159" s="26">
        <f t="shared" si="3"/>
        <v>180</v>
      </c>
    </row>
    <row r="160">
      <c r="A160" s="26" t="str">
        <f>IFERROR(__xludf.DUMMYFUNCTION("""COMPUTED_VALUE"""),"CRM-DC-TS-NW-GREY")</f>
        <v>CRM-DC-TS-NW-GREY</v>
      </c>
      <c r="B160" s="26">
        <f>IFERROR(__xludf.DUMMYFUNCTION("""COMPUTED_VALUE"""),10.0)</f>
        <v>10</v>
      </c>
      <c r="C160" s="26" t="str">
        <f>IFERROR(__xludf.DUMMYFUNCTION("""COMPUTED_VALUE"""),"BLR7")</f>
        <v>BLR7</v>
      </c>
      <c r="D160" s="26"/>
      <c r="E160" s="26"/>
      <c r="F160" s="26"/>
      <c r="G160" s="26">
        <f>IFERROR(__xludf.DUMMYFUNCTION("""COMPUTED_VALUE"""),560313.0)</f>
        <v>560313</v>
      </c>
      <c r="H160" s="26">
        <f>IFERROR(__xludf.DUMMYFUNCTION("""COMPUTED_VALUE"""),12.0)</f>
        <v>12</v>
      </c>
      <c r="I160" s="26">
        <f>IFERROR(__xludf.DUMMYFUNCTION("""COMPUTED_VALUE"""),30.0)</f>
        <v>30</v>
      </c>
      <c r="J160" s="26"/>
      <c r="K160" s="26">
        <f t="shared" si="3"/>
        <v>300</v>
      </c>
    </row>
    <row r="161">
      <c r="A161" s="26" t="str">
        <f>IFERROR(__xludf.DUMMYFUNCTION("""COMPUTED_VALUE"""),"CRM-DC-TS-NW-GREY")</f>
        <v>CRM-DC-TS-NW-GREY</v>
      </c>
      <c r="B161" s="26">
        <f>IFERROR(__xludf.DUMMYFUNCTION("""COMPUTED_VALUE"""),2.0)</f>
        <v>2</v>
      </c>
      <c r="C161" s="26" t="str">
        <f>IFERROR(__xludf.DUMMYFUNCTION("""COMPUTED_VALUE"""),"MAA4")</f>
        <v>MAA4</v>
      </c>
      <c r="D161" s="26"/>
      <c r="E161" s="26"/>
      <c r="F161" s="26"/>
      <c r="G161" s="26">
        <f>IFERROR(__xludf.DUMMYFUNCTION("""COMPUTED_VALUE"""),560313.0)</f>
        <v>560313</v>
      </c>
      <c r="H161" s="26">
        <f>IFERROR(__xludf.DUMMYFUNCTION("""COMPUTED_VALUE"""),12.0)</f>
        <v>12</v>
      </c>
      <c r="I161" s="26">
        <f>IFERROR(__xludf.DUMMYFUNCTION("""COMPUTED_VALUE"""),30.0)</f>
        <v>30</v>
      </c>
      <c r="J161" s="26"/>
      <c r="K161" s="26">
        <f t="shared" si="3"/>
        <v>60</v>
      </c>
    </row>
    <row r="162">
      <c r="A162" s="26" t="str">
        <f>IFERROR(__xludf.DUMMYFUNCTION("""COMPUTED_VALUE"""),"CRM-DC-TS-NW-GREY")</f>
        <v>CRM-DC-TS-NW-GREY</v>
      </c>
      <c r="B162" s="26">
        <f>IFERROR(__xludf.DUMMYFUNCTION("""COMPUTED_VALUE"""),12.0)</f>
        <v>12</v>
      </c>
      <c r="C162" s="26" t="str">
        <f>IFERROR(__xludf.DUMMYFUNCTION("""COMPUTED_VALUE"""),"DEL5")</f>
        <v>DEL5</v>
      </c>
      <c r="D162" s="26"/>
      <c r="E162" s="26"/>
      <c r="F162" s="26"/>
      <c r="G162" s="26">
        <f>IFERROR(__xludf.DUMMYFUNCTION("""COMPUTED_VALUE"""),560313.0)</f>
        <v>560313</v>
      </c>
      <c r="H162" s="26">
        <f>IFERROR(__xludf.DUMMYFUNCTION("""COMPUTED_VALUE"""),12.0)</f>
        <v>12</v>
      </c>
      <c r="I162" s="26">
        <f>IFERROR(__xludf.DUMMYFUNCTION("""COMPUTED_VALUE"""),30.0)</f>
        <v>30</v>
      </c>
      <c r="J162" s="26"/>
      <c r="K162" s="26">
        <f t="shared" si="3"/>
        <v>360</v>
      </c>
    </row>
    <row r="163">
      <c r="A163" s="26" t="str">
        <f>IFERROR(__xludf.DUMMYFUNCTION("""COMPUTED_VALUE"""),"CRM-DC-TS-NW-BLACK-2Q")</f>
        <v>CRM-DC-TS-NW-BLACK-2Q</v>
      </c>
      <c r="B163" s="26">
        <f>IFERROR(__xludf.DUMMYFUNCTION("""COMPUTED_VALUE"""),2.0)</f>
        <v>2</v>
      </c>
      <c r="C163" s="26" t="str">
        <f>IFERROR(__xludf.DUMMYFUNCTION("""COMPUTED_VALUE"""),"DEL4")</f>
        <v>DEL4</v>
      </c>
      <c r="D163" s="26"/>
      <c r="E163" s="26"/>
      <c r="F163" s="26"/>
      <c r="G163" s="26">
        <f>IFERROR(__xludf.DUMMYFUNCTION("""COMPUTED_VALUE"""),560313.0)</f>
        <v>560313</v>
      </c>
      <c r="H163" s="26">
        <f>IFERROR(__xludf.DUMMYFUNCTION("""COMPUTED_VALUE"""),12.0)</f>
        <v>12</v>
      </c>
      <c r="I163" s="26">
        <f>IFERROR(__xludf.DUMMYFUNCTION("""COMPUTED_VALUE"""),60.0)</f>
        <v>60</v>
      </c>
      <c r="J163" s="26"/>
      <c r="K163" s="26">
        <f t="shared" si="3"/>
        <v>120</v>
      </c>
    </row>
    <row r="164">
      <c r="A164" s="26" t="str">
        <f>IFERROR(__xludf.DUMMYFUNCTION("""COMPUTED_VALUE"""),"CRM-DC-TS-NW-GREY-2Q")</f>
        <v>CRM-DC-TS-NW-GREY-2Q</v>
      </c>
      <c r="B164" s="26">
        <f>IFERROR(__xludf.DUMMYFUNCTION("""COMPUTED_VALUE"""),2.0)</f>
        <v>2</v>
      </c>
      <c r="C164" s="26" t="str">
        <f>IFERROR(__xludf.DUMMYFUNCTION("""COMPUTED_VALUE"""),"AMD2")</f>
        <v>AMD2</v>
      </c>
      <c r="D164" s="26"/>
      <c r="E164" s="26"/>
      <c r="F164" s="26"/>
      <c r="G164" s="26">
        <f>IFERROR(__xludf.DUMMYFUNCTION("""COMPUTED_VALUE"""),560313.0)</f>
        <v>560313</v>
      </c>
      <c r="H164" s="26">
        <f>IFERROR(__xludf.DUMMYFUNCTION("""COMPUTED_VALUE"""),12.0)</f>
        <v>12</v>
      </c>
      <c r="I164" s="26">
        <f>IFERROR(__xludf.DUMMYFUNCTION("""COMPUTED_VALUE"""),60.0)</f>
        <v>60</v>
      </c>
      <c r="J164" s="26"/>
      <c r="K164" s="26">
        <f t="shared" si="3"/>
        <v>120</v>
      </c>
    </row>
    <row r="165">
      <c r="A165" s="26" t="str">
        <f>IFERROR(__xludf.DUMMYFUNCTION("""COMPUTED_VALUE"""),"CRM-DC-TS-NW-GREY-2Q")</f>
        <v>CRM-DC-TS-NW-GREY-2Q</v>
      </c>
      <c r="B165" s="26">
        <f>IFERROR(__xludf.DUMMYFUNCTION("""COMPUTED_VALUE"""),6.0)</f>
        <v>6</v>
      </c>
      <c r="C165" s="26" t="str">
        <f>IFERROR(__xludf.DUMMYFUNCTION("""COMPUTED_VALUE"""),"BLR8")</f>
        <v>BLR8</v>
      </c>
      <c r="D165" s="26"/>
      <c r="E165" s="26"/>
      <c r="F165" s="26"/>
      <c r="G165" s="26">
        <f>IFERROR(__xludf.DUMMYFUNCTION("""COMPUTED_VALUE"""),560313.0)</f>
        <v>560313</v>
      </c>
      <c r="H165" s="26">
        <f>IFERROR(__xludf.DUMMYFUNCTION("""COMPUTED_VALUE"""),12.0)</f>
        <v>12</v>
      </c>
      <c r="I165" s="26">
        <f>IFERROR(__xludf.DUMMYFUNCTION("""COMPUTED_VALUE"""),60.0)</f>
        <v>60</v>
      </c>
      <c r="J165" s="26"/>
      <c r="K165" s="26">
        <f t="shared" si="3"/>
        <v>360</v>
      </c>
    </row>
    <row r="166">
      <c r="A166" s="26" t="str">
        <f>IFERROR(__xludf.DUMMYFUNCTION("""COMPUTED_VALUE"""),"CRM-DC-TS-NW-GREY-2Q")</f>
        <v>CRM-DC-TS-NW-GREY-2Q</v>
      </c>
      <c r="B166" s="26">
        <f>IFERROR(__xludf.DUMMYFUNCTION("""COMPUTED_VALUE"""),10.0)</f>
        <v>10</v>
      </c>
      <c r="C166" s="26" t="str">
        <f>IFERROR(__xludf.DUMMYFUNCTION("""COMPUTED_VALUE"""),"BLR7")</f>
        <v>BLR7</v>
      </c>
      <c r="D166" s="26"/>
      <c r="E166" s="26"/>
      <c r="F166" s="26"/>
      <c r="G166" s="26">
        <f>IFERROR(__xludf.DUMMYFUNCTION("""COMPUTED_VALUE"""),560313.0)</f>
        <v>560313</v>
      </c>
      <c r="H166" s="26">
        <f>IFERROR(__xludf.DUMMYFUNCTION("""COMPUTED_VALUE"""),12.0)</f>
        <v>12</v>
      </c>
      <c r="I166" s="26">
        <f>IFERROR(__xludf.DUMMYFUNCTION("""COMPUTED_VALUE"""),60.0)</f>
        <v>60</v>
      </c>
      <c r="J166" s="26"/>
      <c r="K166" s="26">
        <f t="shared" si="3"/>
        <v>600</v>
      </c>
    </row>
    <row r="167">
      <c r="A167" s="26" t="str">
        <f>IFERROR(__xludf.DUMMYFUNCTION("""COMPUTED_VALUE"""),"CRM-DC-TS-NW-GREY-2Q")</f>
        <v>CRM-DC-TS-NW-GREY-2Q</v>
      </c>
      <c r="B167" s="26">
        <f>IFERROR(__xludf.DUMMYFUNCTION("""COMPUTED_VALUE"""),4.0)</f>
        <v>4</v>
      </c>
      <c r="C167" s="26" t="str">
        <f>IFERROR(__xludf.DUMMYFUNCTION("""COMPUTED_VALUE"""),"CJB1")</f>
        <v>CJB1</v>
      </c>
      <c r="D167" s="26"/>
      <c r="E167" s="26"/>
      <c r="F167" s="26"/>
      <c r="G167" s="26">
        <f>IFERROR(__xludf.DUMMYFUNCTION("""COMPUTED_VALUE"""),560313.0)</f>
        <v>560313</v>
      </c>
      <c r="H167" s="26">
        <f>IFERROR(__xludf.DUMMYFUNCTION("""COMPUTED_VALUE"""),12.0)</f>
        <v>12</v>
      </c>
      <c r="I167" s="26">
        <f>IFERROR(__xludf.DUMMYFUNCTION("""COMPUTED_VALUE"""),60.0)</f>
        <v>60</v>
      </c>
      <c r="J167" s="26"/>
      <c r="K167" s="26">
        <f t="shared" si="3"/>
        <v>240</v>
      </c>
    </row>
    <row r="168">
      <c r="A168" s="26" t="str">
        <f>IFERROR(__xludf.DUMMYFUNCTION("""COMPUTED_VALUE"""),"CRM-DC-TS-NW-GREY-2Q")</f>
        <v>CRM-DC-TS-NW-GREY-2Q</v>
      </c>
      <c r="B168" s="26">
        <f>IFERROR(__xludf.DUMMYFUNCTION("""COMPUTED_VALUE"""),4.0)</f>
        <v>4</v>
      </c>
      <c r="C168" s="26" t="str">
        <f>IFERROR(__xludf.DUMMYFUNCTION("""COMPUTED_VALUE"""),"DEL4")</f>
        <v>DEL4</v>
      </c>
      <c r="D168" s="26"/>
      <c r="E168" s="26"/>
      <c r="F168" s="26"/>
      <c r="G168" s="26">
        <f>IFERROR(__xludf.DUMMYFUNCTION("""COMPUTED_VALUE"""),560313.0)</f>
        <v>560313</v>
      </c>
      <c r="H168" s="26">
        <f>IFERROR(__xludf.DUMMYFUNCTION("""COMPUTED_VALUE"""),12.0)</f>
        <v>12</v>
      </c>
      <c r="I168" s="26">
        <f>IFERROR(__xludf.DUMMYFUNCTION("""COMPUTED_VALUE"""),60.0)</f>
        <v>60</v>
      </c>
      <c r="J168" s="26"/>
      <c r="K168" s="26">
        <f t="shared" si="3"/>
        <v>240</v>
      </c>
    </row>
    <row r="169">
      <c r="A169" s="26" t="str">
        <f>IFERROR(__xludf.DUMMYFUNCTION("""COMPUTED_VALUE"""),"CRM-DC-TS-NW-GREY-2Q")</f>
        <v>CRM-DC-TS-NW-GREY-2Q</v>
      </c>
      <c r="B169" s="26">
        <f>IFERROR(__xludf.DUMMYFUNCTION("""COMPUTED_VALUE"""),4.0)</f>
        <v>4</v>
      </c>
      <c r="C169" s="26" t="str">
        <f>IFERROR(__xludf.DUMMYFUNCTION("""COMPUTED_VALUE"""),"BOM7")</f>
        <v>BOM7</v>
      </c>
      <c r="D169" s="26"/>
      <c r="E169" s="26"/>
      <c r="F169" s="26"/>
      <c r="G169" s="26">
        <f>IFERROR(__xludf.DUMMYFUNCTION("""COMPUTED_VALUE"""),560313.0)</f>
        <v>560313</v>
      </c>
      <c r="H169" s="26">
        <f>IFERROR(__xludf.DUMMYFUNCTION("""COMPUTED_VALUE"""),12.0)</f>
        <v>12</v>
      </c>
      <c r="I169" s="26">
        <f>IFERROR(__xludf.DUMMYFUNCTION("""COMPUTED_VALUE"""),60.0)</f>
        <v>60</v>
      </c>
      <c r="J169" s="26"/>
      <c r="K169" s="26">
        <f t="shared" si="3"/>
        <v>240</v>
      </c>
    </row>
    <row r="170">
      <c r="A170" s="26" t="str">
        <f>IFERROR(__xludf.DUMMYFUNCTION("""COMPUTED_VALUE"""),"CRM-EP-L3210-NW-GREY")</f>
        <v>CRM-EP-L3210-NW-GREY</v>
      </c>
      <c r="B170" s="26">
        <f>IFERROR(__xludf.DUMMYFUNCTION("""COMPUTED_VALUE"""),18.0)</f>
        <v>18</v>
      </c>
      <c r="C170" s="26" t="str">
        <f>IFERROR(__xludf.DUMMYFUNCTION("""COMPUTED_VALUE"""),"BLR7")</f>
        <v>BLR7</v>
      </c>
      <c r="D170" s="26"/>
      <c r="E170" s="26"/>
      <c r="F170" s="26"/>
      <c r="G170" s="26">
        <f>IFERROR(__xludf.DUMMYFUNCTION("""COMPUTED_VALUE"""),560313.0)</f>
        <v>560313</v>
      </c>
      <c r="H170" s="26">
        <f>IFERROR(__xludf.DUMMYFUNCTION("""COMPUTED_VALUE"""),12.0)</f>
        <v>12</v>
      </c>
      <c r="I170" s="26">
        <f>IFERROR(__xludf.DUMMYFUNCTION("""COMPUTED_VALUE"""),40.0)</f>
        <v>40</v>
      </c>
      <c r="J170" s="26"/>
      <c r="K170" s="26">
        <f t="shared" si="3"/>
        <v>720</v>
      </c>
    </row>
    <row r="171">
      <c r="A171" s="26" t="str">
        <f>IFERROR(__xludf.DUMMYFUNCTION("""COMPUTED_VALUE"""),"CRM-EP-L3210-NW-GREY")</f>
        <v>CRM-EP-L3210-NW-GREY</v>
      </c>
      <c r="B171" s="26">
        <f>IFERROR(__xludf.DUMMYFUNCTION("""COMPUTED_VALUE"""),4.0)</f>
        <v>4</v>
      </c>
      <c r="C171" s="26" t="str">
        <f>IFERROR(__xludf.DUMMYFUNCTION("""COMPUTED_VALUE"""),"CJB1")</f>
        <v>CJB1</v>
      </c>
      <c r="D171" s="26"/>
      <c r="E171" s="26"/>
      <c r="F171" s="26"/>
      <c r="G171" s="26">
        <f>IFERROR(__xludf.DUMMYFUNCTION("""COMPUTED_VALUE"""),560313.0)</f>
        <v>560313</v>
      </c>
      <c r="H171" s="26">
        <f>IFERROR(__xludf.DUMMYFUNCTION("""COMPUTED_VALUE"""),12.0)</f>
        <v>12</v>
      </c>
      <c r="I171" s="26">
        <f>IFERROR(__xludf.DUMMYFUNCTION("""COMPUTED_VALUE"""),40.0)</f>
        <v>40</v>
      </c>
      <c r="J171" s="26"/>
      <c r="K171" s="26">
        <f t="shared" si="3"/>
        <v>160</v>
      </c>
    </row>
    <row r="172">
      <c r="A172" s="26" t="str">
        <f>IFERROR(__xludf.DUMMYFUNCTION("""COMPUTED_VALUE"""),"CRM-EP-L3210-NW-GREY")</f>
        <v>CRM-EP-L3210-NW-GREY</v>
      </c>
      <c r="B172" s="26">
        <f>IFERROR(__xludf.DUMMYFUNCTION("""COMPUTED_VALUE"""),6.0)</f>
        <v>6</v>
      </c>
      <c r="C172" s="26" t="str">
        <f>IFERROR(__xludf.DUMMYFUNCTION("""COMPUTED_VALUE"""),"MAA4")</f>
        <v>MAA4</v>
      </c>
      <c r="D172" s="26"/>
      <c r="E172" s="26"/>
      <c r="F172" s="26"/>
      <c r="G172" s="26">
        <f>IFERROR(__xludf.DUMMYFUNCTION("""COMPUTED_VALUE"""),560313.0)</f>
        <v>560313</v>
      </c>
      <c r="H172" s="26">
        <f>IFERROR(__xludf.DUMMYFUNCTION("""COMPUTED_VALUE"""),12.0)</f>
        <v>12</v>
      </c>
      <c r="I172" s="26">
        <f>IFERROR(__xludf.DUMMYFUNCTION("""COMPUTED_VALUE"""),40.0)</f>
        <v>40</v>
      </c>
      <c r="J172" s="26"/>
      <c r="K172" s="26">
        <f t="shared" si="3"/>
        <v>240</v>
      </c>
    </row>
    <row r="173">
      <c r="A173" s="26" t="str">
        <f>IFERROR(__xludf.DUMMYFUNCTION("""COMPUTED_VALUE"""),"CRM-EP-L3210-NW-GREY")</f>
        <v>CRM-EP-L3210-NW-GREY</v>
      </c>
      <c r="B173" s="26">
        <f>IFERROR(__xludf.DUMMYFUNCTION("""COMPUTED_VALUE"""),6.0)</f>
        <v>6</v>
      </c>
      <c r="C173" s="26" t="str">
        <f>IFERROR(__xludf.DUMMYFUNCTION("""COMPUTED_VALUE"""),"DEL4")</f>
        <v>DEL4</v>
      </c>
      <c r="D173" s="26"/>
      <c r="E173" s="26"/>
      <c r="F173" s="26"/>
      <c r="G173" s="26">
        <f>IFERROR(__xludf.DUMMYFUNCTION("""COMPUTED_VALUE"""),560313.0)</f>
        <v>560313</v>
      </c>
      <c r="H173" s="26">
        <f>IFERROR(__xludf.DUMMYFUNCTION("""COMPUTED_VALUE"""),12.0)</f>
        <v>12</v>
      </c>
      <c r="I173" s="26">
        <f>IFERROR(__xludf.DUMMYFUNCTION("""COMPUTED_VALUE"""),40.0)</f>
        <v>40</v>
      </c>
      <c r="J173" s="26"/>
      <c r="K173" s="26">
        <f t="shared" si="3"/>
        <v>240</v>
      </c>
    </row>
    <row r="174">
      <c r="A174" s="26" t="str">
        <f>IFERROR(__xludf.DUMMYFUNCTION("""COMPUTED_VALUE"""),"CRM-EP-L3210-NW-GREY")</f>
        <v>CRM-EP-L3210-NW-GREY</v>
      </c>
      <c r="B174" s="26">
        <f>IFERROR(__xludf.DUMMYFUNCTION("""COMPUTED_VALUE"""),18.0)</f>
        <v>18</v>
      </c>
      <c r="C174" s="26" t="str">
        <f>IFERROR(__xludf.DUMMYFUNCTION("""COMPUTED_VALUE"""),"DEL5")</f>
        <v>DEL5</v>
      </c>
      <c r="D174" s="26"/>
      <c r="E174" s="26"/>
      <c r="F174" s="26"/>
      <c r="G174" s="26">
        <f>IFERROR(__xludf.DUMMYFUNCTION("""COMPUTED_VALUE"""),560313.0)</f>
        <v>560313</v>
      </c>
      <c r="H174" s="26">
        <f>IFERROR(__xludf.DUMMYFUNCTION("""COMPUTED_VALUE"""),12.0)</f>
        <v>12</v>
      </c>
      <c r="I174" s="26">
        <f>IFERROR(__xludf.DUMMYFUNCTION("""COMPUTED_VALUE"""),40.0)</f>
        <v>40</v>
      </c>
      <c r="J174" s="26"/>
      <c r="K174" s="26">
        <f t="shared" si="3"/>
        <v>720</v>
      </c>
    </row>
    <row r="175">
      <c r="A175" s="26" t="str">
        <f>IFERROR(__xludf.DUMMYFUNCTION("""COMPUTED_VALUE"""),"CRM-EP-L3210-NW-GREY")</f>
        <v>CRM-EP-L3210-NW-GREY</v>
      </c>
      <c r="B175" s="26">
        <f>IFERROR(__xludf.DUMMYFUNCTION("""COMPUTED_VALUE"""),4.0)</f>
        <v>4</v>
      </c>
      <c r="C175" s="26" t="str">
        <f>IFERROR(__xludf.DUMMYFUNCTION("""COMPUTED_VALUE"""),"BOM5")</f>
        <v>BOM5</v>
      </c>
      <c r="D175" s="26"/>
      <c r="E175" s="26"/>
      <c r="F175" s="26"/>
      <c r="G175" s="26">
        <f>IFERROR(__xludf.DUMMYFUNCTION("""COMPUTED_VALUE"""),560313.0)</f>
        <v>560313</v>
      </c>
      <c r="H175" s="26">
        <f>IFERROR(__xludf.DUMMYFUNCTION("""COMPUTED_VALUE"""),12.0)</f>
        <v>12</v>
      </c>
      <c r="I175" s="26">
        <f>IFERROR(__xludf.DUMMYFUNCTION("""COMPUTED_VALUE"""),40.0)</f>
        <v>40</v>
      </c>
      <c r="J175" s="26"/>
      <c r="K175" s="26">
        <f t="shared" si="3"/>
        <v>160</v>
      </c>
    </row>
    <row r="176">
      <c r="A176" s="26" t="str">
        <f>IFERROR(__xludf.DUMMYFUNCTION("""COMPUTED_VALUE"""),"CRM-EP-L3210-NW-GREY")</f>
        <v>CRM-EP-L3210-NW-GREY</v>
      </c>
      <c r="B176" s="26">
        <f>IFERROR(__xludf.DUMMYFUNCTION("""COMPUTED_VALUE"""),12.0)</f>
        <v>12</v>
      </c>
      <c r="C176" s="26" t="str">
        <f>IFERROR(__xludf.DUMMYFUNCTION("""COMPUTED_VALUE"""),"BOM7")</f>
        <v>BOM7</v>
      </c>
      <c r="D176" s="26"/>
      <c r="E176" s="26"/>
      <c r="F176" s="26"/>
      <c r="G176" s="26">
        <f>IFERROR(__xludf.DUMMYFUNCTION("""COMPUTED_VALUE"""),560313.0)</f>
        <v>560313</v>
      </c>
      <c r="H176" s="26">
        <f>IFERROR(__xludf.DUMMYFUNCTION("""COMPUTED_VALUE"""),12.0)</f>
        <v>12</v>
      </c>
      <c r="I176" s="26">
        <f>IFERROR(__xludf.DUMMYFUNCTION("""COMPUTED_VALUE"""),40.0)</f>
        <v>40</v>
      </c>
      <c r="J176" s="26"/>
      <c r="K176" s="26">
        <f t="shared" si="3"/>
        <v>480</v>
      </c>
    </row>
    <row r="177">
      <c r="A177" s="26" t="str">
        <f>IFERROR(__xludf.DUMMYFUNCTION("""COMPUTED_VALUE"""),"CRM-EP-L3210-NW-BLACK")</f>
        <v>CRM-EP-L3210-NW-BLACK</v>
      </c>
      <c r="B177" s="26">
        <f>IFERROR(__xludf.DUMMYFUNCTION("""COMPUTED_VALUE"""),18.0)</f>
        <v>18</v>
      </c>
      <c r="C177" s="26" t="str">
        <f>IFERROR(__xludf.DUMMYFUNCTION("""COMPUTED_VALUE"""),"BLR7")</f>
        <v>BLR7</v>
      </c>
      <c r="D177" s="26"/>
      <c r="E177" s="26"/>
      <c r="F177" s="26"/>
      <c r="G177" s="26">
        <f>IFERROR(__xludf.DUMMYFUNCTION("""COMPUTED_VALUE"""),560313.0)</f>
        <v>560313</v>
      </c>
      <c r="H177" s="26">
        <f>IFERROR(__xludf.DUMMYFUNCTION("""COMPUTED_VALUE"""),12.0)</f>
        <v>12</v>
      </c>
      <c r="I177" s="26">
        <f>IFERROR(__xludf.DUMMYFUNCTION("""COMPUTED_VALUE"""),40.0)</f>
        <v>40</v>
      </c>
      <c r="J177" s="26"/>
      <c r="K177" s="26">
        <f t="shared" si="3"/>
        <v>720</v>
      </c>
    </row>
    <row r="178">
      <c r="A178" s="26" t="str">
        <f>IFERROR(__xludf.DUMMYFUNCTION("""COMPUTED_VALUE"""),"CRM-EP-L3210-NW-BLACK")</f>
        <v>CRM-EP-L3210-NW-BLACK</v>
      </c>
      <c r="B178" s="26">
        <f>IFERROR(__xludf.DUMMYFUNCTION("""COMPUTED_VALUE"""),14.0)</f>
        <v>14</v>
      </c>
      <c r="C178" s="26" t="str">
        <f>IFERROR(__xludf.DUMMYFUNCTION("""COMPUTED_VALUE"""),"CJB1")</f>
        <v>CJB1</v>
      </c>
      <c r="D178" s="26"/>
      <c r="E178" s="26"/>
      <c r="F178" s="26"/>
      <c r="G178" s="26">
        <f>IFERROR(__xludf.DUMMYFUNCTION("""COMPUTED_VALUE"""),560313.0)</f>
        <v>560313</v>
      </c>
      <c r="H178" s="26">
        <f>IFERROR(__xludf.DUMMYFUNCTION("""COMPUTED_VALUE"""),12.0)</f>
        <v>12</v>
      </c>
      <c r="I178" s="26">
        <f>IFERROR(__xludf.DUMMYFUNCTION("""COMPUTED_VALUE"""),40.0)</f>
        <v>40</v>
      </c>
      <c r="J178" s="26"/>
      <c r="K178" s="26">
        <f t="shared" si="3"/>
        <v>560</v>
      </c>
    </row>
    <row r="179">
      <c r="A179" s="26" t="str">
        <f>IFERROR(__xludf.DUMMYFUNCTION("""COMPUTED_VALUE"""),"CRM-EP-L3210-NW-BLACK")</f>
        <v>CRM-EP-L3210-NW-BLACK</v>
      </c>
      <c r="B179" s="26">
        <f>IFERROR(__xludf.DUMMYFUNCTION("""COMPUTED_VALUE"""),16.0)</f>
        <v>16</v>
      </c>
      <c r="C179" s="26" t="str">
        <f>IFERROR(__xludf.DUMMYFUNCTION("""COMPUTED_VALUE"""),"MAA4")</f>
        <v>MAA4</v>
      </c>
      <c r="D179" s="26"/>
      <c r="E179" s="26"/>
      <c r="F179" s="26"/>
      <c r="G179" s="26">
        <f>IFERROR(__xludf.DUMMYFUNCTION("""COMPUTED_VALUE"""),560313.0)</f>
        <v>560313</v>
      </c>
      <c r="H179" s="26">
        <f>IFERROR(__xludf.DUMMYFUNCTION("""COMPUTED_VALUE"""),12.0)</f>
        <v>12</v>
      </c>
      <c r="I179" s="26">
        <f>IFERROR(__xludf.DUMMYFUNCTION("""COMPUTED_VALUE"""),40.0)</f>
        <v>40</v>
      </c>
      <c r="J179" s="26"/>
      <c r="K179" s="26">
        <f t="shared" si="3"/>
        <v>640</v>
      </c>
    </row>
    <row r="180">
      <c r="A180" s="26" t="str">
        <f>IFERROR(__xludf.DUMMYFUNCTION("""COMPUTED_VALUE"""),"CRM-EP-L3210-NW-BLACK")</f>
        <v>CRM-EP-L3210-NW-BLACK</v>
      </c>
      <c r="B180" s="26">
        <f>IFERROR(__xludf.DUMMYFUNCTION("""COMPUTED_VALUE"""),4.0)</f>
        <v>4</v>
      </c>
      <c r="C180" s="26" t="str">
        <f>IFERROR(__xludf.DUMMYFUNCTION("""COMPUTED_VALUE"""),"DEL4")</f>
        <v>DEL4</v>
      </c>
      <c r="D180" s="26"/>
      <c r="E180" s="26"/>
      <c r="F180" s="26"/>
      <c r="G180" s="26">
        <f>IFERROR(__xludf.DUMMYFUNCTION("""COMPUTED_VALUE"""),560313.0)</f>
        <v>560313</v>
      </c>
      <c r="H180" s="26">
        <f>IFERROR(__xludf.DUMMYFUNCTION("""COMPUTED_VALUE"""),12.0)</f>
        <v>12</v>
      </c>
      <c r="I180" s="26">
        <f>IFERROR(__xludf.DUMMYFUNCTION("""COMPUTED_VALUE"""),40.0)</f>
        <v>40</v>
      </c>
      <c r="J180" s="26"/>
      <c r="K180" s="26">
        <f t="shared" si="3"/>
        <v>160</v>
      </c>
    </row>
    <row r="181">
      <c r="A181" s="26" t="str">
        <f>IFERROR(__xludf.DUMMYFUNCTION("""COMPUTED_VALUE"""),"CRM-EP-L3210-NW-BLACK")</f>
        <v>CRM-EP-L3210-NW-BLACK</v>
      </c>
      <c r="B181" s="26">
        <f>IFERROR(__xludf.DUMMYFUNCTION("""COMPUTED_VALUE"""),14.0)</f>
        <v>14</v>
      </c>
      <c r="C181" s="26" t="str">
        <f>IFERROR(__xludf.DUMMYFUNCTION("""COMPUTED_VALUE"""),"DEL5")</f>
        <v>DEL5</v>
      </c>
      <c r="D181" s="26"/>
      <c r="E181" s="26"/>
      <c r="F181" s="26"/>
      <c r="G181" s="26">
        <f>IFERROR(__xludf.DUMMYFUNCTION("""COMPUTED_VALUE"""),560313.0)</f>
        <v>560313</v>
      </c>
      <c r="H181" s="26">
        <f>IFERROR(__xludf.DUMMYFUNCTION("""COMPUTED_VALUE"""),12.0)</f>
        <v>12</v>
      </c>
      <c r="I181" s="26">
        <f>IFERROR(__xludf.DUMMYFUNCTION("""COMPUTED_VALUE"""),40.0)</f>
        <v>40</v>
      </c>
      <c r="J181" s="26"/>
      <c r="K181" s="26">
        <f t="shared" si="3"/>
        <v>560</v>
      </c>
    </row>
    <row r="182">
      <c r="A182" s="26" t="str">
        <f>IFERROR(__xludf.DUMMYFUNCTION("""COMPUTED_VALUE"""),"CRM-EP-L3210-NW-BLACK")</f>
        <v>CRM-EP-L3210-NW-BLACK</v>
      </c>
      <c r="B182" s="26">
        <f>IFERROR(__xludf.DUMMYFUNCTION("""COMPUTED_VALUE"""),14.0)</f>
        <v>14</v>
      </c>
      <c r="C182" s="26" t="str">
        <f>IFERROR(__xludf.DUMMYFUNCTION("""COMPUTED_VALUE"""),"BOM5")</f>
        <v>BOM5</v>
      </c>
      <c r="D182" s="26"/>
      <c r="E182" s="26"/>
      <c r="F182" s="26"/>
      <c r="G182" s="26">
        <f>IFERROR(__xludf.DUMMYFUNCTION("""COMPUTED_VALUE"""),560313.0)</f>
        <v>560313</v>
      </c>
      <c r="H182" s="26">
        <f>IFERROR(__xludf.DUMMYFUNCTION("""COMPUTED_VALUE"""),12.0)</f>
        <v>12</v>
      </c>
      <c r="I182" s="26">
        <f>IFERROR(__xludf.DUMMYFUNCTION("""COMPUTED_VALUE"""),40.0)</f>
        <v>40</v>
      </c>
      <c r="J182" s="26"/>
      <c r="K182" s="26">
        <f t="shared" si="3"/>
        <v>560</v>
      </c>
    </row>
    <row r="183">
      <c r="A183" s="26" t="str">
        <f>IFERROR(__xludf.DUMMYFUNCTION("""COMPUTED_VALUE"""),"CRM-EP-L3210-NW-BLACK")</f>
        <v>CRM-EP-L3210-NW-BLACK</v>
      </c>
      <c r="B183" s="26">
        <f>IFERROR(__xludf.DUMMYFUNCTION("""COMPUTED_VALUE"""),14.0)</f>
        <v>14</v>
      </c>
      <c r="C183" s="26" t="str">
        <f>IFERROR(__xludf.DUMMYFUNCTION("""COMPUTED_VALUE"""),"BOM7")</f>
        <v>BOM7</v>
      </c>
      <c r="D183" s="26"/>
      <c r="E183" s="26"/>
      <c r="F183" s="26"/>
      <c r="G183" s="26">
        <f>IFERROR(__xludf.DUMMYFUNCTION("""COMPUTED_VALUE"""),560313.0)</f>
        <v>560313</v>
      </c>
      <c r="H183" s="26">
        <f>IFERROR(__xludf.DUMMYFUNCTION("""COMPUTED_VALUE"""),12.0)</f>
        <v>12</v>
      </c>
      <c r="I183" s="26">
        <f>IFERROR(__xludf.DUMMYFUNCTION("""COMPUTED_VALUE"""),40.0)</f>
        <v>40</v>
      </c>
      <c r="J183" s="26"/>
      <c r="K183" s="26">
        <f t="shared" si="3"/>
        <v>560</v>
      </c>
    </row>
    <row r="184">
      <c r="A184" s="26" t="str">
        <f>IFERROR(__xludf.DUMMYFUNCTION("""COMPUTED_VALUE"""),"CRM-EP-L3110-NW-BLACK")</f>
        <v>CRM-EP-L3110-NW-BLACK</v>
      </c>
      <c r="B184" s="26">
        <f>IFERROR(__xludf.DUMMYFUNCTION("""COMPUTED_VALUE"""),2.0)</f>
        <v>2</v>
      </c>
      <c r="C184" s="26" t="str">
        <f>IFERROR(__xludf.DUMMYFUNCTION("""COMPUTED_VALUE"""),"AMD2")</f>
        <v>AMD2</v>
      </c>
      <c r="D184" s="26"/>
      <c r="E184" s="26"/>
      <c r="F184" s="26"/>
      <c r="G184" s="26">
        <f>IFERROR(__xludf.DUMMYFUNCTION("""COMPUTED_VALUE"""),560313.0)</f>
        <v>560313</v>
      </c>
      <c r="H184" s="26">
        <f>IFERROR(__xludf.DUMMYFUNCTION("""COMPUTED_VALUE"""),12.0)</f>
        <v>12</v>
      </c>
      <c r="I184" s="26">
        <f>IFERROR(__xludf.DUMMYFUNCTION("""COMPUTED_VALUE"""),40.0)</f>
        <v>40</v>
      </c>
      <c r="J184" s="26"/>
      <c r="K184" s="26">
        <f t="shared" si="3"/>
        <v>80</v>
      </c>
    </row>
    <row r="185">
      <c r="A185" s="26" t="str">
        <f>IFERROR(__xludf.DUMMYFUNCTION("""COMPUTED_VALUE"""),"CRM-EP-L3110-NW-BLACK")</f>
        <v>CRM-EP-L3110-NW-BLACK</v>
      </c>
      <c r="B185" s="26">
        <f>IFERROR(__xludf.DUMMYFUNCTION("""COMPUTED_VALUE"""),2.0)</f>
        <v>2</v>
      </c>
      <c r="C185" s="26" t="str">
        <f>IFERROR(__xludf.DUMMYFUNCTION("""COMPUTED_VALUE"""),"BLR7")</f>
        <v>BLR7</v>
      </c>
      <c r="D185" s="26"/>
      <c r="E185" s="26"/>
      <c r="F185" s="26"/>
      <c r="G185" s="26">
        <f>IFERROR(__xludf.DUMMYFUNCTION("""COMPUTED_VALUE"""),560313.0)</f>
        <v>560313</v>
      </c>
      <c r="H185" s="26">
        <f>IFERROR(__xludf.DUMMYFUNCTION("""COMPUTED_VALUE"""),12.0)</f>
        <v>12</v>
      </c>
      <c r="I185" s="26">
        <f>IFERROR(__xludf.DUMMYFUNCTION("""COMPUTED_VALUE"""),40.0)</f>
        <v>40</v>
      </c>
      <c r="J185" s="26"/>
      <c r="K185" s="26">
        <f t="shared" si="3"/>
        <v>80</v>
      </c>
    </row>
    <row r="186">
      <c r="A186" s="26" t="str">
        <f>IFERROR(__xludf.DUMMYFUNCTION("""COMPUTED_VALUE"""),"CRM-EP-L3110-NW-BLACK")</f>
        <v>CRM-EP-L3110-NW-BLACK</v>
      </c>
      <c r="B186" s="26">
        <f>IFERROR(__xludf.DUMMYFUNCTION("""COMPUTED_VALUE"""),2.0)</f>
        <v>2</v>
      </c>
      <c r="C186" s="26" t="str">
        <f>IFERROR(__xludf.DUMMYFUNCTION("""COMPUTED_VALUE"""),"DEL5")</f>
        <v>DEL5</v>
      </c>
      <c r="D186" s="26"/>
      <c r="E186" s="26"/>
      <c r="F186" s="26"/>
      <c r="G186" s="26">
        <f>IFERROR(__xludf.DUMMYFUNCTION("""COMPUTED_VALUE"""),560313.0)</f>
        <v>560313</v>
      </c>
      <c r="H186" s="26">
        <f>IFERROR(__xludf.DUMMYFUNCTION("""COMPUTED_VALUE"""),12.0)</f>
        <v>12</v>
      </c>
      <c r="I186" s="26">
        <f>IFERROR(__xludf.DUMMYFUNCTION("""COMPUTED_VALUE"""),40.0)</f>
        <v>40</v>
      </c>
      <c r="J186" s="26"/>
      <c r="K186" s="26">
        <f t="shared" si="3"/>
        <v>80</v>
      </c>
    </row>
    <row r="187">
      <c r="A187" s="26" t="str">
        <f>IFERROR(__xludf.DUMMYFUNCTION("""COMPUTED_VALUE"""),"CRM-Canon-G3012-NW-Grey")</f>
        <v>CRM-Canon-G3012-NW-Grey</v>
      </c>
      <c r="B187" s="26">
        <f>IFERROR(__xludf.DUMMYFUNCTION("""COMPUTED_VALUE"""),6.0)</f>
        <v>6</v>
      </c>
      <c r="C187" s="26" t="str">
        <f>IFERROR(__xludf.DUMMYFUNCTION("""COMPUTED_VALUE"""),"AMD2")</f>
        <v>AMD2</v>
      </c>
      <c r="D187" s="26"/>
      <c r="E187" s="26"/>
      <c r="F187" s="26"/>
      <c r="G187" s="26">
        <f>IFERROR(__xludf.DUMMYFUNCTION("""COMPUTED_VALUE"""),560313.0)</f>
        <v>560313</v>
      </c>
      <c r="H187" s="26">
        <f>IFERROR(__xludf.DUMMYFUNCTION("""COMPUTED_VALUE"""),12.0)</f>
        <v>12</v>
      </c>
      <c r="I187" s="26">
        <f>IFERROR(__xludf.DUMMYFUNCTION("""COMPUTED_VALUE"""),40.0)</f>
        <v>40</v>
      </c>
      <c r="J187" s="26"/>
      <c r="K187" s="26">
        <f t="shared" si="3"/>
        <v>240</v>
      </c>
    </row>
    <row r="188">
      <c r="A188" s="26" t="str">
        <f>IFERROR(__xludf.DUMMYFUNCTION("""COMPUTED_VALUE"""),"CRM-Canon-G3012-NW-Grey")</f>
        <v>CRM-Canon-G3012-NW-Grey</v>
      </c>
      <c r="B188" s="26">
        <f>IFERROR(__xludf.DUMMYFUNCTION("""COMPUTED_VALUE"""),14.0)</f>
        <v>14</v>
      </c>
      <c r="C188" s="26" t="str">
        <f>IFERROR(__xludf.DUMMYFUNCTION("""COMPUTED_VALUE"""),"BLR8")</f>
        <v>BLR8</v>
      </c>
      <c r="D188" s="26"/>
      <c r="E188" s="26"/>
      <c r="F188" s="26"/>
      <c r="G188" s="26">
        <f>IFERROR(__xludf.DUMMYFUNCTION("""COMPUTED_VALUE"""),560313.0)</f>
        <v>560313</v>
      </c>
      <c r="H188" s="26">
        <f>IFERROR(__xludf.DUMMYFUNCTION("""COMPUTED_VALUE"""),12.0)</f>
        <v>12</v>
      </c>
      <c r="I188" s="26">
        <f>IFERROR(__xludf.DUMMYFUNCTION("""COMPUTED_VALUE"""),40.0)</f>
        <v>40</v>
      </c>
      <c r="J188" s="26"/>
      <c r="K188" s="26">
        <f t="shared" si="3"/>
        <v>560</v>
      </c>
    </row>
    <row r="189">
      <c r="A189" s="26" t="str">
        <f>IFERROR(__xludf.DUMMYFUNCTION("""COMPUTED_VALUE"""),"CRM-Canon-G3012-NW-Grey")</f>
        <v>CRM-Canon-G3012-NW-Grey</v>
      </c>
      <c r="B189" s="26">
        <f>IFERROR(__xludf.DUMMYFUNCTION("""COMPUTED_VALUE"""),16.0)</f>
        <v>16</v>
      </c>
      <c r="C189" s="26" t="str">
        <f>IFERROR(__xludf.DUMMYFUNCTION("""COMPUTED_VALUE"""),"BLR7")</f>
        <v>BLR7</v>
      </c>
      <c r="D189" s="26"/>
      <c r="E189" s="26"/>
      <c r="F189" s="26"/>
      <c r="G189" s="26">
        <f>IFERROR(__xludf.DUMMYFUNCTION("""COMPUTED_VALUE"""),560313.0)</f>
        <v>560313</v>
      </c>
      <c r="H189" s="26">
        <f>IFERROR(__xludf.DUMMYFUNCTION("""COMPUTED_VALUE"""),12.0)</f>
        <v>12</v>
      </c>
      <c r="I189" s="26">
        <f>IFERROR(__xludf.DUMMYFUNCTION("""COMPUTED_VALUE"""),40.0)</f>
        <v>40</v>
      </c>
      <c r="J189" s="26"/>
      <c r="K189" s="26">
        <f t="shared" si="3"/>
        <v>640</v>
      </c>
    </row>
    <row r="190">
      <c r="A190" s="26" t="str">
        <f>IFERROR(__xludf.DUMMYFUNCTION("""COMPUTED_VALUE"""),"CRM-Canon-G3012-NW-Grey")</f>
        <v>CRM-Canon-G3012-NW-Grey</v>
      </c>
      <c r="B190" s="26">
        <f>IFERROR(__xludf.DUMMYFUNCTION("""COMPUTED_VALUE"""),12.0)</f>
        <v>12</v>
      </c>
      <c r="C190" s="26" t="str">
        <f>IFERROR(__xludf.DUMMYFUNCTION("""COMPUTED_VALUE"""),"CJB1")</f>
        <v>CJB1</v>
      </c>
      <c r="D190" s="26"/>
      <c r="E190" s="26"/>
      <c r="F190" s="26"/>
      <c r="G190" s="26">
        <f>IFERROR(__xludf.DUMMYFUNCTION("""COMPUTED_VALUE"""),560313.0)</f>
        <v>560313</v>
      </c>
      <c r="H190" s="26">
        <f>IFERROR(__xludf.DUMMYFUNCTION("""COMPUTED_VALUE"""),12.0)</f>
        <v>12</v>
      </c>
      <c r="I190" s="26">
        <f>IFERROR(__xludf.DUMMYFUNCTION("""COMPUTED_VALUE"""),40.0)</f>
        <v>40</v>
      </c>
      <c r="J190" s="26"/>
      <c r="K190" s="26">
        <f t="shared" si="3"/>
        <v>480</v>
      </c>
    </row>
    <row r="191">
      <c r="A191" s="26" t="str">
        <f>IFERROR(__xludf.DUMMYFUNCTION("""COMPUTED_VALUE"""),"CRM-Canon-G3012-NW-Grey")</f>
        <v>CRM-Canon-G3012-NW-Grey</v>
      </c>
      <c r="B191" s="26">
        <f>IFERROR(__xludf.DUMMYFUNCTION("""COMPUTED_VALUE"""),18.0)</f>
        <v>18</v>
      </c>
      <c r="C191" s="26" t="str">
        <f>IFERROR(__xludf.DUMMYFUNCTION("""COMPUTED_VALUE"""),"DEL4")</f>
        <v>DEL4</v>
      </c>
      <c r="D191" s="26"/>
      <c r="E191" s="26"/>
      <c r="F191" s="26"/>
      <c r="G191" s="26">
        <f>IFERROR(__xludf.DUMMYFUNCTION("""COMPUTED_VALUE"""),560313.0)</f>
        <v>560313</v>
      </c>
      <c r="H191" s="26">
        <f>IFERROR(__xludf.DUMMYFUNCTION("""COMPUTED_VALUE"""),12.0)</f>
        <v>12</v>
      </c>
      <c r="I191" s="26">
        <f>IFERROR(__xludf.DUMMYFUNCTION("""COMPUTED_VALUE"""),40.0)</f>
        <v>40</v>
      </c>
      <c r="J191" s="26"/>
      <c r="K191" s="26">
        <f t="shared" si="3"/>
        <v>720</v>
      </c>
    </row>
    <row r="192">
      <c r="A192" s="26" t="str">
        <f>IFERROR(__xludf.DUMMYFUNCTION("""COMPUTED_VALUE"""),"CRM-Canon-G3012-NW-Grey")</f>
        <v>CRM-Canon-G3012-NW-Grey</v>
      </c>
      <c r="B192" s="26">
        <f>IFERROR(__xludf.DUMMYFUNCTION("""COMPUTED_VALUE"""),16.0)</f>
        <v>16</v>
      </c>
      <c r="C192" s="26" t="str">
        <f>IFERROR(__xludf.DUMMYFUNCTION("""COMPUTED_VALUE"""),"DEL5")</f>
        <v>DEL5</v>
      </c>
      <c r="D192" s="26"/>
      <c r="E192" s="26"/>
      <c r="F192" s="26"/>
      <c r="G192" s="26">
        <f>IFERROR(__xludf.DUMMYFUNCTION("""COMPUTED_VALUE"""),560313.0)</f>
        <v>560313</v>
      </c>
      <c r="H192" s="26">
        <f>IFERROR(__xludf.DUMMYFUNCTION("""COMPUTED_VALUE"""),12.0)</f>
        <v>12</v>
      </c>
      <c r="I192" s="26">
        <f>IFERROR(__xludf.DUMMYFUNCTION("""COMPUTED_VALUE"""),40.0)</f>
        <v>40</v>
      </c>
      <c r="J192" s="26"/>
      <c r="K192" s="26">
        <f t="shared" si="3"/>
        <v>640</v>
      </c>
    </row>
    <row r="193">
      <c r="A193" s="26" t="str">
        <f>IFERROR(__xludf.DUMMYFUNCTION("""COMPUTED_VALUE"""),"CRM-Canon-G3012-NW-Grey")</f>
        <v>CRM-Canon-G3012-NW-Grey</v>
      </c>
      <c r="B193" s="26">
        <f>IFERROR(__xludf.DUMMYFUNCTION("""COMPUTED_VALUE"""),4.0)</f>
        <v>4</v>
      </c>
      <c r="C193" s="26" t="str">
        <f>IFERROR(__xludf.DUMMYFUNCTION("""COMPUTED_VALUE"""),"BOM5")</f>
        <v>BOM5</v>
      </c>
      <c r="D193" s="26"/>
      <c r="E193" s="26"/>
      <c r="F193" s="26"/>
      <c r="G193" s="26">
        <f>IFERROR(__xludf.DUMMYFUNCTION("""COMPUTED_VALUE"""),560313.0)</f>
        <v>560313</v>
      </c>
      <c r="H193" s="26">
        <f>IFERROR(__xludf.DUMMYFUNCTION("""COMPUTED_VALUE"""),12.0)</f>
        <v>12</v>
      </c>
      <c r="I193" s="26">
        <f>IFERROR(__xludf.DUMMYFUNCTION("""COMPUTED_VALUE"""),40.0)</f>
        <v>40</v>
      </c>
      <c r="J193" s="26"/>
      <c r="K193" s="26">
        <f t="shared" si="3"/>
        <v>160</v>
      </c>
    </row>
    <row r="194">
      <c r="A194" s="26" t="str">
        <f>IFERROR(__xludf.DUMMYFUNCTION("""COMPUTED_VALUE"""),"CRM-Canon-G3012-NW-Grey")</f>
        <v>CRM-Canon-G3012-NW-Grey</v>
      </c>
      <c r="B194" s="26">
        <f>IFERROR(__xludf.DUMMYFUNCTION("""COMPUTED_VALUE"""),4.0)</f>
        <v>4</v>
      </c>
      <c r="C194" s="26" t="str">
        <f>IFERROR(__xludf.DUMMYFUNCTION("""COMPUTED_VALUE"""),"BOM7")</f>
        <v>BOM7</v>
      </c>
      <c r="D194" s="26"/>
      <c r="E194" s="26"/>
      <c r="F194" s="26"/>
      <c r="G194" s="26">
        <f>IFERROR(__xludf.DUMMYFUNCTION("""COMPUTED_VALUE"""),560313.0)</f>
        <v>560313</v>
      </c>
      <c r="H194" s="26">
        <f>IFERROR(__xludf.DUMMYFUNCTION("""COMPUTED_VALUE"""),12.0)</f>
        <v>12</v>
      </c>
      <c r="I194" s="26">
        <f>IFERROR(__xludf.DUMMYFUNCTION("""COMPUTED_VALUE"""),40.0)</f>
        <v>40</v>
      </c>
      <c r="J194" s="26"/>
      <c r="K194" s="26">
        <f t="shared" si="3"/>
        <v>160</v>
      </c>
    </row>
    <row r="195">
      <c r="A195" s="26" t="str">
        <f>IFERROR(__xludf.DUMMYFUNCTION("""COMPUTED_VALUE"""),"CRM-Canon-G3012-NW-Black")</f>
        <v>CRM-Canon-G3012-NW-Black</v>
      </c>
      <c r="B195" s="26">
        <f>IFERROR(__xludf.DUMMYFUNCTION("""COMPUTED_VALUE"""),14.0)</f>
        <v>14</v>
      </c>
      <c r="C195" s="26" t="str">
        <f>IFERROR(__xludf.DUMMYFUNCTION("""COMPUTED_VALUE"""),"AMD2")</f>
        <v>AMD2</v>
      </c>
      <c r="D195" s="26"/>
      <c r="E195" s="26"/>
      <c r="F195" s="26"/>
      <c r="G195" s="26">
        <f>IFERROR(__xludf.DUMMYFUNCTION("""COMPUTED_VALUE"""),560313.0)</f>
        <v>560313</v>
      </c>
      <c r="H195" s="26">
        <f>IFERROR(__xludf.DUMMYFUNCTION("""COMPUTED_VALUE"""),12.0)</f>
        <v>12</v>
      </c>
      <c r="I195" s="26">
        <f>IFERROR(__xludf.DUMMYFUNCTION("""COMPUTED_VALUE"""),40.0)</f>
        <v>40</v>
      </c>
      <c r="J195" s="26"/>
      <c r="K195" s="26">
        <f t="shared" si="3"/>
        <v>560</v>
      </c>
    </row>
    <row r="196">
      <c r="A196" s="26" t="str">
        <f>IFERROR(__xludf.DUMMYFUNCTION("""COMPUTED_VALUE"""),"CRM-Canon-G3012-NW-Black")</f>
        <v>CRM-Canon-G3012-NW-Black</v>
      </c>
      <c r="B196" s="26">
        <f>IFERROR(__xludf.DUMMYFUNCTION("""COMPUTED_VALUE"""),30.0)</f>
        <v>30</v>
      </c>
      <c r="C196" s="26" t="str">
        <f>IFERROR(__xludf.DUMMYFUNCTION("""COMPUTED_VALUE"""),"BLR8")</f>
        <v>BLR8</v>
      </c>
      <c r="D196" s="26"/>
      <c r="E196" s="26"/>
      <c r="F196" s="26"/>
      <c r="G196" s="26">
        <f>IFERROR(__xludf.DUMMYFUNCTION("""COMPUTED_VALUE"""),560313.0)</f>
        <v>560313</v>
      </c>
      <c r="H196" s="26">
        <f>IFERROR(__xludf.DUMMYFUNCTION("""COMPUTED_VALUE"""),12.0)</f>
        <v>12</v>
      </c>
      <c r="I196" s="26">
        <f>IFERROR(__xludf.DUMMYFUNCTION("""COMPUTED_VALUE"""),40.0)</f>
        <v>40</v>
      </c>
      <c r="J196" s="26"/>
      <c r="K196" s="26">
        <f t="shared" si="3"/>
        <v>1200</v>
      </c>
    </row>
    <row r="197">
      <c r="A197" s="26" t="str">
        <f>IFERROR(__xludf.DUMMYFUNCTION("""COMPUTED_VALUE"""),"CRM-Canon-G3012-NW-Black")</f>
        <v>CRM-Canon-G3012-NW-Black</v>
      </c>
      <c r="B197" s="26">
        <f>IFERROR(__xludf.DUMMYFUNCTION("""COMPUTED_VALUE"""),34.0)</f>
        <v>34</v>
      </c>
      <c r="C197" s="26" t="str">
        <f>IFERROR(__xludf.DUMMYFUNCTION("""COMPUTED_VALUE"""),"BLR7")</f>
        <v>BLR7</v>
      </c>
      <c r="D197" s="26"/>
      <c r="E197" s="26"/>
      <c r="F197" s="26"/>
      <c r="G197" s="26">
        <f>IFERROR(__xludf.DUMMYFUNCTION("""COMPUTED_VALUE"""),560313.0)</f>
        <v>560313</v>
      </c>
      <c r="H197" s="26">
        <f>IFERROR(__xludf.DUMMYFUNCTION("""COMPUTED_VALUE"""),12.0)</f>
        <v>12</v>
      </c>
      <c r="I197" s="26">
        <f>IFERROR(__xludf.DUMMYFUNCTION("""COMPUTED_VALUE"""),40.0)</f>
        <v>40</v>
      </c>
      <c r="J197" s="26"/>
      <c r="K197" s="26">
        <f t="shared" si="3"/>
        <v>1360</v>
      </c>
    </row>
    <row r="198">
      <c r="A198" s="26" t="str">
        <f>IFERROR(__xludf.DUMMYFUNCTION("""COMPUTED_VALUE"""),"CRM-Canon-G3012-NW-Black")</f>
        <v>CRM-Canon-G3012-NW-Black</v>
      </c>
      <c r="B198" s="26">
        <f>IFERROR(__xludf.DUMMYFUNCTION("""COMPUTED_VALUE"""),16.0)</f>
        <v>16</v>
      </c>
      <c r="C198" s="26" t="str">
        <f>IFERROR(__xludf.DUMMYFUNCTION("""COMPUTED_VALUE"""),"CJB1")</f>
        <v>CJB1</v>
      </c>
      <c r="D198" s="26"/>
      <c r="E198" s="26"/>
      <c r="F198" s="26"/>
      <c r="G198" s="26">
        <f>IFERROR(__xludf.DUMMYFUNCTION("""COMPUTED_VALUE"""),560313.0)</f>
        <v>560313</v>
      </c>
      <c r="H198" s="26">
        <f>IFERROR(__xludf.DUMMYFUNCTION("""COMPUTED_VALUE"""),12.0)</f>
        <v>12</v>
      </c>
      <c r="I198" s="26">
        <f>IFERROR(__xludf.DUMMYFUNCTION("""COMPUTED_VALUE"""),40.0)</f>
        <v>40</v>
      </c>
      <c r="J198" s="26"/>
      <c r="K198" s="26">
        <f t="shared" si="3"/>
        <v>640</v>
      </c>
    </row>
    <row r="199">
      <c r="A199" s="26" t="str">
        <f>IFERROR(__xludf.DUMMYFUNCTION("""COMPUTED_VALUE"""),"CRM-Canon-G3012-NW-Black")</f>
        <v>CRM-Canon-G3012-NW-Black</v>
      </c>
      <c r="B199" s="26">
        <f>IFERROR(__xludf.DUMMYFUNCTION("""COMPUTED_VALUE"""),40.0)</f>
        <v>40</v>
      </c>
      <c r="C199" s="26" t="str">
        <f>IFERROR(__xludf.DUMMYFUNCTION("""COMPUTED_VALUE"""),"MAA4")</f>
        <v>MAA4</v>
      </c>
      <c r="D199" s="26"/>
      <c r="E199" s="26"/>
      <c r="F199" s="26"/>
      <c r="G199" s="26">
        <f>IFERROR(__xludf.DUMMYFUNCTION("""COMPUTED_VALUE"""),560313.0)</f>
        <v>560313</v>
      </c>
      <c r="H199" s="26">
        <f>IFERROR(__xludf.DUMMYFUNCTION("""COMPUTED_VALUE"""),12.0)</f>
        <v>12</v>
      </c>
      <c r="I199" s="26">
        <f>IFERROR(__xludf.DUMMYFUNCTION("""COMPUTED_VALUE"""),40.0)</f>
        <v>40</v>
      </c>
      <c r="J199" s="26"/>
      <c r="K199" s="26">
        <f t="shared" si="3"/>
        <v>1600</v>
      </c>
    </row>
    <row r="200">
      <c r="A200" s="26" t="str">
        <f>IFERROR(__xludf.DUMMYFUNCTION("""COMPUTED_VALUE"""),"CRM-Canon-G3012-NW-Black")</f>
        <v>CRM-Canon-G3012-NW-Black</v>
      </c>
      <c r="B200" s="26">
        <f>IFERROR(__xludf.DUMMYFUNCTION("""COMPUTED_VALUE"""),24.0)</f>
        <v>24</v>
      </c>
      <c r="C200" s="26" t="str">
        <f>IFERROR(__xludf.DUMMYFUNCTION("""COMPUTED_VALUE"""),"DEL4")</f>
        <v>DEL4</v>
      </c>
      <c r="D200" s="26"/>
      <c r="E200" s="26"/>
      <c r="F200" s="26"/>
      <c r="G200" s="26">
        <f>IFERROR(__xludf.DUMMYFUNCTION("""COMPUTED_VALUE"""),560313.0)</f>
        <v>560313</v>
      </c>
      <c r="H200" s="26">
        <f>IFERROR(__xludf.DUMMYFUNCTION("""COMPUTED_VALUE"""),12.0)</f>
        <v>12</v>
      </c>
      <c r="I200" s="26">
        <f>IFERROR(__xludf.DUMMYFUNCTION("""COMPUTED_VALUE"""),40.0)</f>
        <v>40</v>
      </c>
      <c r="J200" s="26"/>
      <c r="K200" s="26">
        <f t="shared" si="3"/>
        <v>960</v>
      </c>
    </row>
    <row r="201">
      <c r="A201" s="26" t="str">
        <f>IFERROR(__xludf.DUMMYFUNCTION("""COMPUTED_VALUE"""),"CRM-Canon-G3012-NW-Black")</f>
        <v>CRM-Canon-G3012-NW-Black</v>
      </c>
      <c r="B201" s="26">
        <f>IFERROR(__xludf.DUMMYFUNCTION("""COMPUTED_VALUE"""),20.0)</f>
        <v>20</v>
      </c>
      <c r="C201" s="26" t="str">
        <f>IFERROR(__xludf.DUMMYFUNCTION("""COMPUTED_VALUE"""),"DEL5")</f>
        <v>DEL5</v>
      </c>
      <c r="D201" s="26"/>
      <c r="E201" s="26"/>
      <c r="F201" s="26"/>
      <c r="G201" s="26">
        <f>IFERROR(__xludf.DUMMYFUNCTION("""COMPUTED_VALUE"""),560313.0)</f>
        <v>560313</v>
      </c>
      <c r="H201" s="26">
        <f>IFERROR(__xludf.DUMMYFUNCTION("""COMPUTED_VALUE"""),12.0)</f>
        <v>12</v>
      </c>
      <c r="I201" s="26">
        <f>IFERROR(__xludf.DUMMYFUNCTION("""COMPUTED_VALUE"""),40.0)</f>
        <v>40</v>
      </c>
      <c r="J201" s="26"/>
      <c r="K201" s="26">
        <f t="shared" si="3"/>
        <v>800</v>
      </c>
    </row>
    <row r="202">
      <c r="A202" s="26" t="str">
        <f>IFERROR(__xludf.DUMMYFUNCTION("""COMPUTED_VALUE"""),"CRM-Canon-G3012-NW-Black")</f>
        <v>CRM-Canon-G3012-NW-Black</v>
      </c>
      <c r="B202" s="26">
        <f>IFERROR(__xludf.DUMMYFUNCTION("""COMPUTED_VALUE"""),16.0)</f>
        <v>16</v>
      </c>
      <c r="C202" s="26" t="str">
        <f>IFERROR(__xludf.DUMMYFUNCTION("""COMPUTED_VALUE"""),"BOM5")</f>
        <v>BOM5</v>
      </c>
      <c r="D202" s="26"/>
      <c r="E202" s="26"/>
      <c r="F202" s="26"/>
      <c r="G202" s="26">
        <f>IFERROR(__xludf.DUMMYFUNCTION("""COMPUTED_VALUE"""),560313.0)</f>
        <v>560313</v>
      </c>
      <c r="H202" s="26">
        <f>IFERROR(__xludf.DUMMYFUNCTION("""COMPUTED_VALUE"""),12.0)</f>
        <v>12</v>
      </c>
      <c r="I202" s="26">
        <f>IFERROR(__xludf.DUMMYFUNCTION("""COMPUTED_VALUE"""),40.0)</f>
        <v>40</v>
      </c>
      <c r="J202" s="26"/>
      <c r="K202" s="26">
        <f t="shared" si="3"/>
        <v>640</v>
      </c>
    </row>
    <row r="203">
      <c r="A203" s="26" t="str">
        <f>IFERROR(__xludf.DUMMYFUNCTION("""COMPUTED_VALUE"""),"CRM-Canon-G3012-NW-Black")</f>
        <v>CRM-Canon-G3012-NW-Black</v>
      </c>
      <c r="B203" s="26">
        <f>IFERROR(__xludf.DUMMYFUNCTION("""COMPUTED_VALUE"""),20.0)</f>
        <v>20</v>
      </c>
      <c r="C203" s="26" t="str">
        <f>IFERROR(__xludf.DUMMYFUNCTION("""COMPUTED_VALUE"""),"BOM7")</f>
        <v>BOM7</v>
      </c>
      <c r="D203" s="26"/>
      <c r="E203" s="26"/>
      <c r="F203" s="26"/>
      <c r="G203" s="26">
        <f>IFERROR(__xludf.DUMMYFUNCTION("""COMPUTED_VALUE"""),560313.0)</f>
        <v>560313</v>
      </c>
      <c r="H203" s="26">
        <f>IFERROR(__xludf.DUMMYFUNCTION("""COMPUTED_VALUE"""),12.0)</f>
        <v>12</v>
      </c>
      <c r="I203" s="26">
        <f>IFERROR(__xludf.DUMMYFUNCTION("""COMPUTED_VALUE"""),40.0)</f>
        <v>40</v>
      </c>
      <c r="J203" s="26"/>
      <c r="K203" s="26">
        <f t="shared" si="3"/>
        <v>800</v>
      </c>
    </row>
    <row r="204">
      <c r="A204" s="26" t="str">
        <f>IFERROR(__xludf.DUMMYFUNCTION("""COMPUTED_VALUE"""),"CRM-HP-M126-M136nw-Grey")</f>
        <v>CRM-HP-M126-M136nw-Grey</v>
      </c>
      <c r="B204" s="26">
        <f>IFERROR(__xludf.DUMMYFUNCTION("""COMPUTED_VALUE"""),2.0)</f>
        <v>2</v>
      </c>
      <c r="C204" s="26" t="str">
        <f>IFERROR(__xludf.DUMMYFUNCTION("""COMPUTED_VALUE"""),"AMD2")</f>
        <v>AMD2</v>
      </c>
      <c r="D204" s="26"/>
      <c r="E204" s="26"/>
      <c r="F204" s="26"/>
      <c r="G204" s="26">
        <f>IFERROR(__xludf.DUMMYFUNCTION("""COMPUTED_VALUE"""),560313.0)</f>
        <v>560313</v>
      </c>
      <c r="H204" s="26">
        <f>IFERROR(__xludf.DUMMYFUNCTION("""COMPUTED_VALUE"""),12.0)</f>
        <v>12</v>
      </c>
      <c r="I204" s="26">
        <f>IFERROR(__xludf.DUMMYFUNCTION("""COMPUTED_VALUE"""),40.0)</f>
        <v>40</v>
      </c>
      <c r="J204" s="26"/>
      <c r="K204" s="26">
        <f t="shared" si="3"/>
        <v>80</v>
      </c>
    </row>
    <row r="205">
      <c r="A205" s="26" t="str">
        <f>IFERROR(__xludf.DUMMYFUNCTION("""COMPUTED_VALUE"""),"CRM-HP-M126-M136nw-Grey")</f>
        <v>CRM-HP-M126-M136nw-Grey</v>
      </c>
      <c r="B205" s="26">
        <f>IFERROR(__xludf.DUMMYFUNCTION("""COMPUTED_VALUE"""),2.0)</f>
        <v>2</v>
      </c>
      <c r="C205" s="26" t="str">
        <f>IFERROR(__xludf.DUMMYFUNCTION("""COMPUTED_VALUE"""),"BLR8")</f>
        <v>BLR8</v>
      </c>
      <c r="D205" s="26"/>
      <c r="E205" s="26"/>
      <c r="F205" s="26"/>
      <c r="G205" s="26">
        <f>IFERROR(__xludf.DUMMYFUNCTION("""COMPUTED_VALUE"""),560313.0)</f>
        <v>560313</v>
      </c>
      <c r="H205" s="26">
        <f>IFERROR(__xludf.DUMMYFUNCTION("""COMPUTED_VALUE"""),12.0)</f>
        <v>12</v>
      </c>
      <c r="I205" s="26">
        <f>IFERROR(__xludf.DUMMYFUNCTION("""COMPUTED_VALUE"""),40.0)</f>
        <v>40</v>
      </c>
      <c r="J205" s="26"/>
      <c r="K205" s="26">
        <f t="shared" si="3"/>
        <v>80</v>
      </c>
    </row>
    <row r="206">
      <c r="A206" s="26" t="str">
        <f>IFERROR(__xludf.DUMMYFUNCTION("""COMPUTED_VALUE"""),"CRM-HP-M126-M136nw-Grey")</f>
        <v>CRM-HP-M126-M136nw-Grey</v>
      </c>
      <c r="B206" s="26">
        <f>IFERROR(__xludf.DUMMYFUNCTION("""COMPUTED_VALUE"""),2.0)</f>
        <v>2</v>
      </c>
      <c r="C206" s="26" t="str">
        <f>IFERROR(__xludf.DUMMYFUNCTION("""COMPUTED_VALUE"""),"CJB1")</f>
        <v>CJB1</v>
      </c>
      <c r="D206" s="26"/>
      <c r="E206" s="26"/>
      <c r="F206" s="26"/>
      <c r="G206" s="26">
        <f>IFERROR(__xludf.DUMMYFUNCTION("""COMPUTED_VALUE"""),560313.0)</f>
        <v>560313</v>
      </c>
      <c r="H206" s="26">
        <f>IFERROR(__xludf.DUMMYFUNCTION("""COMPUTED_VALUE"""),12.0)</f>
        <v>12</v>
      </c>
      <c r="I206" s="26">
        <f>IFERROR(__xludf.DUMMYFUNCTION("""COMPUTED_VALUE"""),40.0)</f>
        <v>40</v>
      </c>
      <c r="J206" s="26"/>
      <c r="K206" s="26">
        <f t="shared" si="3"/>
        <v>80</v>
      </c>
    </row>
    <row r="207">
      <c r="A207" s="26" t="str">
        <f>IFERROR(__xludf.DUMMYFUNCTION("""COMPUTED_VALUE"""),"CRM-HP-M126-M136nw-Grey")</f>
        <v>CRM-HP-M126-M136nw-Grey</v>
      </c>
      <c r="B207" s="26">
        <f>IFERROR(__xludf.DUMMYFUNCTION("""COMPUTED_VALUE"""),2.0)</f>
        <v>2</v>
      </c>
      <c r="C207" s="26" t="str">
        <f>IFERROR(__xludf.DUMMYFUNCTION("""COMPUTED_VALUE"""),"MAA4")</f>
        <v>MAA4</v>
      </c>
      <c r="D207" s="26"/>
      <c r="E207" s="26"/>
      <c r="F207" s="26"/>
      <c r="G207" s="26">
        <f>IFERROR(__xludf.DUMMYFUNCTION("""COMPUTED_VALUE"""),560313.0)</f>
        <v>560313</v>
      </c>
      <c r="H207" s="26">
        <f>IFERROR(__xludf.DUMMYFUNCTION("""COMPUTED_VALUE"""),12.0)</f>
        <v>12</v>
      </c>
      <c r="I207" s="26">
        <f>IFERROR(__xludf.DUMMYFUNCTION("""COMPUTED_VALUE"""),40.0)</f>
        <v>40</v>
      </c>
      <c r="J207" s="26"/>
      <c r="K207" s="26">
        <f t="shared" si="3"/>
        <v>80</v>
      </c>
    </row>
    <row r="208">
      <c r="A208" s="26" t="str">
        <f>IFERROR(__xludf.DUMMYFUNCTION("""COMPUTED_VALUE"""),"CRM-HP-M126-M136nw-Grey")</f>
        <v>CRM-HP-M126-M136nw-Grey</v>
      </c>
      <c r="B208" s="26">
        <f>IFERROR(__xludf.DUMMYFUNCTION("""COMPUTED_VALUE"""),4.0)</f>
        <v>4</v>
      </c>
      <c r="C208" s="26" t="str">
        <f>IFERROR(__xludf.DUMMYFUNCTION("""COMPUTED_VALUE"""),"DEL5")</f>
        <v>DEL5</v>
      </c>
      <c r="D208" s="26"/>
      <c r="E208" s="26"/>
      <c r="F208" s="26"/>
      <c r="G208" s="26">
        <f>IFERROR(__xludf.DUMMYFUNCTION("""COMPUTED_VALUE"""),560313.0)</f>
        <v>560313</v>
      </c>
      <c r="H208" s="26">
        <f>IFERROR(__xludf.DUMMYFUNCTION("""COMPUTED_VALUE"""),12.0)</f>
        <v>12</v>
      </c>
      <c r="I208" s="26">
        <f>IFERROR(__xludf.DUMMYFUNCTION("""COMPUTED_VALUE"""),40.0)</f>
        <v>40</v>
      </c>
      <c r="J208" s="26"/>
      <c r="K208" s="26">
        <f t="shared" si="3"/>
        <v>160</v>
      </c>
    </row>
    <row r="209">
      <c r="A209" s="26" t="str">
        <f>IFERROR(__xludf.DUMMYFUNCTION("""COMPUTED_VALUE"""),"CRM-HP-M126-M136nw-Black")</f>
        <v>CRM-HP-M126-M136nw-Black</v>
      </c>
      <c r="B209" s="26">
        <f>IFERROR(__xludf.DUMMYFUNCTION("""COMPUTED_VALUE"""),2.0)</f>
        <v>2</v>
      </c>
      <c r="C209" s="26" t="str">
        <f>IFERROR(__xludf.DUMMYFUNCTION("""COMPUTED_VALUE"""),"AMD2")</f>
        <v>AMD2</v>
      </c>
      <c r="D209" s="26"/>
      <c r="E209" s="26"/>
      <c r="F209" s="26"/>
      <c r="G209" s="26">
        <f>IFERROR(__xludf.DUMMYFUNCTION("""COMPUTED_VALUE"""),560313.0)</f>
        <v>560313</v>
      </c>
      <c r="H209" s="26">
        <f>IFERROR(__xludf.DUMMYFUNCTION("""COMPUTED_VALUE"""),12.0)</f>
        <v>12</v>
      </c>
      <c r="I209" s="26">
        <f>IFERROR(__xludf.DUMMYFUNCTION("""COMPUTED_VALUE"""),40.0)</f>
        <v>40</v>
      </c>
      <c r="J209" s="26"/>
      <c r="K209" s="26">
        <f t="shared" si="3"/>
        <v>80</v>
      </c>
    </row>
    <row r="210">
      <c r="A210" s="26" t="str">
        <f>IFERROR(__xludf.DUMMYFUNCTION("""COMPUTED_VALUE"""),"CRM-HP-M126-M136nw-Black")</f>
        <v>CRM-HP-M126-M136nw-Black</v>
      </c>
      <c r="B210" s="26">
        <f>IFERROR(__xludf.DUMMYFUNCTION("""COMPUTED_VALUE"""),6.0)</f>
        <v>6</v>
      </c>
      <c r="C210" s="26" t="str">
        <f>IFERROR(__xludf.DUMMYFUNCTION("""COMPUTED_VALUE"""),"BLR8")</f>
        <v>BLR8</v>
      </c>
      <c r="D210" s="26"/>
      <c r="E210" s="26"/>
      <c r="F210" s="26"/>
      <c r="G210" s="26">
        <f>IFERROR(__xludf.DUMMYFUNCTION("""COMPUTED_VALUE"""),560313.0)</f>
        <v>560313</v>
      </c>
      <c r="H210" s="26">
        <f>IFERROR(__xludf.DUMMYFUNCTION("""COMPUTED_VALUE"""),12.0)</f>
        <v>12</v>
      </c>
      <c r="I210" s="26">
        <f>IFERROR(__xludf.DUMMYFUNCTION("""COMPUTED_VALUE"""),40.0)</f>
        <v>40</v>
      </c>
      <c r="J210" s="26"/>
      <c r="K210" s="26">
        <f t="shared" si="3"/>
        <v>240</v>
      </c>
    </row>
    <row r="211">
      <c r="A211" s="26" t="str">
        <f>IFERROR(__xludf.DUMMYFUNCTION("""COMPUTED_VALUE"""),"CRM-HP-M126-M136nw-Black")</f>
        <v>CRM-HP-M126-M136nw-Black</v>
      </c>
      <c r="B211" s="26">
        <f>IFERROR(__xludf.DUMMYFUNCTION("""COMPUTED_VALUE"""),2.0)</f>
        <v>2</v>
      </c>
      <c r="C211" s="26" t="str">
        <f>IFERROR(__xludf.DUMMYFUNCTION("""COMPUTED_VALUE"""),"MAA4")</f>
        <v>MAA4</v>
      </c>
      <c r="D211" s="26"/>
      <c r="E211" s="26"/>
      <c r="F211" s="26"/>
      <c r="G211" s="26">
        <f>IFERROR(__xludf.DUMMYFUNCTION("""COMPUTED_VALUE"""),560313.0)</f>
        <v>560313</v>
      </c>
      <c r="H211" s="26">
        <f>IFERROR(__xludf.DUMMYFUNCTION("""COMPUTED_VALUE"""),12.0)</f>
        <v>12</v>
      </c>
      <c r="I211" s="26">
        <f>IFERROR(__xludf.DUMMYFUNCTION("""COMPUTED_VALUE"""),40.0)</f>
        <v>40</v>
      </c>
      <c r="J211" s="26"/>
      <c r="K211" s="26">
        <f t="shared" si="3"/>
        <v>80</v>
      </c>
    </row>
    <row r="212">
      <c r="A212" s="26" t="str">
        <f>IFERROR(__xludf.DUMMYFUNCTION("""COMPUTED_VALUE"""),"CRM-HP-M126-M136nw-Black")</f>
        <v>CRM-HP-M126-M136nw-Black</v>
      </c>
      <c r="B212" s="26">
        <f>IFERROR(__xludf.DUMMYFUNCTION("""COMPUTED_VALUE"""),6.0)</f>
        <v>6</v>
      </c>
      <c r="C212" s="26" t="str">
        <f>IFERROR(__xludf.DUMMYFUNCTION("""COMPUTED_VALUE"""),"DEL4")</f>
        <v>DEL4</v>
      </c>
      <c r="D212" s="26"/>
      <c r="E212" s="26"/>
      <c r="F212" s="26"/>
      <c r="G212" s="26">
        <f>IFERROR(__xludf.DUMMYFUNCTION("""COMPUTED_VALUE"""),560313.0)</f>
        <v>560313</v>
      </c>
      <c r="H212" s="26">
        <f>IFERROR(__xludf.DUMMYFUNCTION("""COMPUTED_VALUE"""),12.0)</f>
        <v>12</v>
      </c>
      <c r="I212" s="26">
        <f>IFERROR(__xludf.DUMMYFUNCTION("""COMPUTED_VALUE"""),40.0)</f>
        <v>40</v>
      </c>
      <c r="J212" s="26"/>
      <c r="K212" s="26">
        <f t="shared" si="3"/>
        <v>240</v>
      </c>
    </row>
    <row r="213">
      <c r="A213" s="26" t="str">
        <f>IFERROR(__xludf.DUMMYFUNCTION("""COMPUTED_VALUE"""),"CRM-HP-M126-M136nw-Black")</f>
        <v>CRM-HP-M126-M136nw-Black</v>
      </c>
      <c r="B213" s="26">
        <f>IFERROR(__xludf.DUMMYFUNCTION("""COMPUTED_VALUE"""),4.0)</f>
        <v>4</v>
      </c>
      <c r="C213" s="26" t="str">
        <f>IFERROR(__xludf.DUMMYFUNCTION("""COMPUTED_VALUE"""),"DEL5")</f>
        <v>DEL5</v>
      </c>
      <c r="D213" s="26"/>
      <c r="E213" s="26"/>
      <c r="F213" s="26"/>
      <c r="G213" s="26">
        <f>IFERROR(__xludf.DUMMYFUNCTION("""COMPUTED_VALUE"""),560313.0)</f>
        <v>560313</v>
      </c>
      <c r="H213" s="26">
        <f>IFERROR(__xludf.DUMMYFUNCTION("""COMPUTED_VALUE"""),12.0)</f>
        <v>12</v>
      </c>
      <c r="I213" s="26">
        <f>IFERROR(__xludf.DUMMYFUNCTION("""COMPUTED_VALUE"""),40.0)</f>
        <v>40</v>
      </c>
      <c r="J213" s="26"/>
      <c r="K213" s="26">
        <f t="shared" si="3"/>
        <v>160</v>
      </c>
    </row>
    <row r="214">
      <c r="A214" s="26" t="str">
        <f>IFERROR(__xludf.DUMMYFUNCTION("""COMPUTED_VALUE"""),"CRM-HP-4826-Grey-1")</f>
        <v>CRM-HP-4826-Grey-1</v>
      </c>
      <c r="B214" s="26">
        <f>IFERROR(__xludf.DUMMYFUNCTION("""COMPUTED_VALUE"""),2.0)</f>
        <v>2</v>
      </c>
      <c r="C214" s="26" t="str">
        <f>IFERROR(__xludf.DUMMYFUNCTION("""COMPUTED_VALUE"""),"BLR8")</f>
        <v>BLR8</v>
      </c>
      <c r="D214" s="26"/>
      <c r="E214" s="26"/>
      <c r="F214" s="26"/>
      <c r="G214" s="26">
        <f>IFERROR(__xludf.DUMMYFUNCTION("""COMPUTED_VALUE"""),560313.0)</f>
        <v>560313</v>
      </c>
      <c r="H214" s="26">
        <f>IFERROR(__xludf.DUMMYFUNCTION("""COMPUTED_VALUE"""),12.0)</f>
        <v>12</v>
      </c>
      <c r="I214" s="26">
        <f>IFERROR(__xludf.DUMMYFUNCTION("""COMPUTED_VALUE"""),40.0)</f>
        <v>40</v>
      </c>
      <c r="J214" s="26"/>
      <c r="K214" s="26">
        <f t="shared" si="3"/>
        <v>80</v>
      </c>
    </row>
    <row r="215">
      <c r="A215" s="26" t="str">
        <f>IFERROR(__xludf.DUMMYFUNCTION("""COMPUTED_VALUE"""),"CRM-HP-4826-Grey-1")</f>
        <v>CRM-HP-4826-Grey-1</v>
      </c>
      <c r="B215" s="26">
        <f>IFERROR(__xludf.DUMMYFUNCTION("""COMPUTED_VALUE"""),4.0)</f>
        <v>4</v>
      </c>
      <c r="C215" s="26" t="str">
        <f>IFERROR(__xludf.DUMMYFUNCTION("""COMPUTED_VALUE"""),"CJB1")</f>
        <v>CJB1</v>
      </c>
      <c r="D215" s="26"/>
      <c r="E215" s="26"/>
      <c r="F215" s="26"/>
      <c r="G215" s="26">
        <f>IFERROR(__xludf.DUMMYFUNCTION("""COMPUTED_VALUE"""),560313.0)</f>
        <v>560313</v>
      </c>
      <c r="H215" s="26">
        <f>IFERROR(__xludf.DUMMYFUNCTION("""COMPUTED_VALUE"""),12.0)</f>
        <v>12</v>
      </c>
      <c r="I215" s="26">
        <f>IFERROR(__xludf.DUMMYFUNCTION("""COMPUTED_VALUE"""),40.0)</f>
        <v>40</v>
      </c>
      <c r="J215" s="26"/>
      <c r="K215" s="26">
        <f t="shared" si="3"/>
        <v>160</v>
      </c>
    </row>
    <row r="216">
      <c r="A216" s="26" t="str">
        <f>IFERROR(__xludf.DUMMYFUNCTION("""COMPUTED_VALUE"""),"CRM-HP-4826-Grey-1")</f>
        <v>CRM-HP-4826-Grey-1</v>
      </c>
      <c r="B216" s="26">
        <f>IFERROR(__xludf.DUMMYFUNCTION("""COMPUTED_VALUE"""),2.0)</f>
        <v>2</v>
      </c>
      <c r="C216" s="26" t="str">
        <f>IFERROR(__xludf.DUMMYFUNCTION("""COMPUTED_VALUE"""),"MAA4")</f>
        <v>MAA4</v>
      </c>
      <c r="D216" s="26"/>
      <c r="E216" s="26"/>
      <c r="F216" s="26"/>
      <c r="G216" s="26">
        <f>IFERROR(__xludf.DUMMYFUNCTION("""COMPUTED_VALUE"""),560313.0)</f>
        <v>560313</v>
      </c>
      <c r="H216" s="26">
        <f>IFERROR(__xludf.DUMMYFUNCTION("""COMPUTED_VALUE"""),12.0)</f>
        <v>12</v>
      </c>
      <c r="I216" s="26">
        <f>IFERROR(__xludf.DUMMYFUNCTION("""COMPUTED_VALUE"""),40.0)</f>
        <v>40</v>
      </c>
      <c r="J216" s="26"/>
      <c r="K216" s="26">
        <f t="shared" si="3"/>
        <v>80</v>
      </c>
    </row>
    <row r="217">
      <c r="A217" s="26" t="str">
        <f>IFERROR(__xludf.DUMMYFUNCTION("""COMPUTED_VALUE"""),"CRM-HP-4826-Grey-1")</f>
        <v>CRM-HP-4826-Grey-1</v>
      </c>
      <c r="B217" s="26">
        <f>IFERROR(__xludf.DUMMYFUNCTION("""COMPUTED_VALUE"""),2.0)</f>
        <v>2</v>
      </c>
      <c r="C217" s="26" t="str">
        <f>IFERROR(__xludf.DUMMYFUNCTION("""COMPUTED_VALUE"""),"DEL5")</f>
        <v>DEL5</v>
      </c>
      <c r="D217" s="26"/>
      <c r="E217" s="26"/>
      <c r="F217" s="26"/>
      <c r="G217" s="26">
        <f>IFERROR(__xludf.DUMMYFUNCTION("""COMPUTED_VALUE"""),560313.0)</f>
        <v>560313</v>
      </c>
      <c r="H217" s="26">
        <f>IFERROR(__xludf.DUMMYFUNCTION("""COMPUTED_VALUE"""),12.0)</f>
        <v>12</v>
      </c>
      <c r="I217" s="26">
        <f>IFERROR(__xludf.DUMMYFUNCTION("""COMPUTED_VALUE"""),40.0)</f>
        <v>40</v>
      </c>
      <c r="J217" s="26"/>
      <c r="K217" s="26">
        <f t="shared" si="3"/>
        <v>80</v>
      </c>
    </row>
    <row r="218">
      <c r="A218" s="26" t="str">
        <f>IFERROR(__xludf.DUMMYFUNCTION("""COMPUTED_VALUE"""),"CRM-HP-4826-Grey-1")</f>
        <v>CRM-HP-4826-Grey-1</v>
      </c>
      <c r="B218" s="26">
        <f>IFERROR(__xludf.DUMMYFUNCTION("""COMPUTED_VALUE"""),2.0)</f>
        <v>2</v>
      </c>
      <c r="C218" s="26" t="str">
        <f>IFERROR(__xludf.DUMMYFUNCTION("""COMPUTED_VALUE"""),"BOM7")</f>
        <v>BOM7</v>
      </c>
      <c r="D218" s="26"/>
      <c r="E218" s="26"/>
      <c r="F218" s="26"/>
      <c r="G218" s="26">
        <f>IFERROR(__xludf.DUMMYFUNCTION("""COMPUTED_VALUE"""),560313.0)</f>
        <v>560313</v>
      </c>
      <c r="H218" s="26">
        <f>IFERROR(__xludf.DUMMYFUNCTION("""COMPUTED_VALUE"""),12.0)</f>
        <v>12</v>
      </c>
      <c r="I218" s="26">
        <f>IFERROR(__xludf.DUMMYFUNCTION("""COMPUTED_VALUE"""),40.0)</f>
        <v>40</v>
      </c>
      <c r="J218" s="26"/>
      <c r="K218" s="26">
        <f t="shared" si="3"/>
        <v>80</v>
      </c>
    </row>
    <row r="219">
      <c r="A219" s="26" t="str">
        <f>IFERROR(__xludf.DUMMYFUNCTION("""COMPUTED_VALUE"""),"CRM-PR-G4770-NW-BLACK")</f>
        <v>CRM-PR-G4770-NW-BLACK</v>
      </c>
      <c r="B219" s="26">
        <f>IFERROR(__xludf.DUMMYFUNCTION("""COMPUTED_VALUE"""),4.0)</f>
        <v>4</v>
      </c>
      <c r="C219" s="26" t="str">
        <f>IFERROR(__xludf.DUMMYFUNCTION("""COMPUTED_VALUE"""),"AMD2")</f>
        <v>AMD2</v>
      </c>
      <c r="D219" s="26"/>
      <c r="E219" s="26"/>
      <c r="F219" s="26"/>
      <c r="G219" s="26">
        <f>IFERROR(__xludf.DUMMYFUNCTION("""COMPUTED_VALUE"""),560313.0)</f>
        <v>560313</v>
      </c>
      <c r="H219" s="26">
        <f>IFERROR(__xludf.DUMMYFUNCTION("""COMPUTED_VALUE"""),12.0)</f>
        <v>12</v>
      </c>
      <c r="I219" s="26">
        <f>IFERROR(__xludf.DUMMYFUNCTION("""COMPUTED_VALUE"""),40.0)</f>
        <v>40</v>
      </c>
      <c r="J219" s="26"/>
      <c r="K219" s="26">
        <f t="shared" si="3"/>
        <v>160</v>
      </c>
    </row>
    <row r="220">
      <c r="A220" s="26" t="str">
        <f>IFERROR(__xludf.DUMMYFUNCTION("""COMPUTED_VALUE"""),"CRM-PR-G4770-NW-BLACK")</f>
        <v>CRM-PR-G4770-NW-BLACK</v>
      </c>
      <c r="B220" s="26">
        <f>IFERROR(__xludf.DUMMYFUNCTION("""COMPUTED_VALUE"""),2.0)</f>
        <v>2</v>
      </c>
      <c r="C220" s="26" t="str">
        <f>IFERROR(__xludf.DUMMYFUNCTION("""COMPUTED_VALUE"""),"BLR8")</f>
        <v>BLR8</v>
      </c>
      <c r="D220" s="26"/>
      <c r="E220" s="26"/>
      <c r="F220" s="26"/>
      <c r="G220" s="26">
        <f>IFERROR(__xludf.DUMMYFUNCTION("""COMPUTED_VALUE"""),560313.0)</f>
        <v>560313</v>
      </c>
      <c r="H220" s="26">
        <f>IFERROR(__xludf.DUMMYFUNCTION("""COMPUTED_VALUE"""),12.0)</f>
        <v>12</v>
      </c>
      <c r="I220" s="26">
        <f>IFERROR(__xludf.DUMMYFUNCTION("""COMPUTED_VALUE"""),40.0)</f>
        <v>40</v>
      </c>
      <c r="J220" s="26"/>
      <c r="K220" s="26">
        <f t="shared" si="3"/>
        <v>80</v>
      </c>
    </row>
    <row r="221">
      <c r="A221" s="26" t="str">
        <f>IFERROR(__xludf.DUMMYFUNCTION("""COMPUTED_VALUE"""),"CRM-PR-G4770-NW-BLACK")</f>
        <v>CRM-PR-G4770-NW-BLACK</v>
      </c>
      <c r="B221" s="26">
        <f>IFERROR(__xludf.DUMMYFUNCTION("""COMPUTED_VALUE"""),8.0)</f>
        <v>8</v>
      </c>
      <c r="C221" s="26" t="str">
        <f>IFERROR(__xludf.DUMMYFUNCTION("""COMPUTED_VALUE"""),"BLR7")</f>
        <v>BLR7</v>
      </c>
      <c r="D221" s="26"/>
      <c r="E221" s="26"/>
      <c r="F221" s="26"/>
      <c r="G221" s="26">
        <f>IFERROR(__xludf.DUMMYFUNCTION("""COMPUTED_VALUE"""),560313.0)</f>
        <v>560313</v>
      </c>
      <c r="H221" s="26">
        <f>IFERROR(__xludf.DUMMYFUNCTION("""COMPUTED_VALUE"""),12.0)</f>
        <v>12</v>
      </c>
      <c r="I221" s="26">
        <f>IFERROR(__xludf.DUMMYFUNCTION("""COMPUTED_VALUE"""),40.0)</f>
        <v>40</v>
      </c>
      <c r="J221" s="26"/>
      <c r="K221" s="26">
        <f t="shared" si="3"/>
        <v>320</v>
      </c>
    </row>
    <row r="222">
      <c r="A222" s="26" t="str">
        <f>IFERROR(__xludf.DUMMYFUNCTION("""COMPUTED_VALUE"""),"CRM-PR-G4770-NW-BLACK")</f>
        <v>CRM-PR-G4770-NW-BLACK</v>
      </c>
      <c r="B222" s="26">
        <f>IFERROR(__xludf.DUMMYFUNCTION("""COMPUTED_VALUE"""),4.0)</f>
        <v>4</v>
      </c>
      <c r="C222" s="26" t="str">
        <f>IFERROR(__xludf.DUMMYFUNCTION("""COMPUTED_VALUE"""),"CJB1")</f>
        <v>CJB1</v>
      </c>
      <c r="D222" s="26"/>
      <c r="E222" s="26"/>
      <c r="F222" s="26"/>
      <c r="G222" s="26">
        <f>IFERROR(__xludf.DUMMYFUNCTION("""COMPUTED_VALUE"""),560313.0)</f>
        <v>560313</v>
      </c>
      <c r="H222" s="26">
        <f>IFERROR(__xludf.DUMMYFUNCTION("""COMPUTED_VALUE"""),12.0)</f>
        <v>12</v>
      </c>
      <c r="I222" s="26">
        <f>IFERROR(__xludf.DUMMYFUNCTION("""COMPUTED_VALUE"""),40.0)</f>
        <v>40</v>
      </c>
      <c r="J222" s="26"/>
      <c r="K222" s="26">
        <f t="shared" si="3"/>
        <v>160</v>
      </c>
    </row>
    <row r="223">
      <c r="A223" s="26" t="str">
        <f>IFERROR(__xludf.DUMMYFUNCTION("""COMPUTED_VALUE"""),"CRM-PR-G4770-NW-BLACK")</f>
        <v>CRM-PR-G4770-NW-BLACK</v>
      </c>
      <c r="B223" s="26">
        <f>IFERROR(__xludf.DUMMYFUNCTION("""COMPUTED_VALUE"""),4.0)</f>
        <v>4</v>
      </c>
      <c r="C223" s="26" t="str">
        <f>IFERROR(__xludf.DUMMYFUNCTION("""COMPUTED_VALUE"""),"MAA4")</f>
        <v>MAA4</v>
      </c>
      <c r="D223" s="26"/>
      <c r="E223" s="26"/>
      <c r="F223" s="26"/>
      <c r="G223" s="26">
        <f>IFERROR(__xludf.DUMMYFUNCTION("""COMPUTED_VALUE"""),560313.0)</f>
        <v>560313</v>
      </c>
      <c r="H223" s="26">
        <f>IFERROR(__xludf.DUMMYFUNCTION("""COMPUTED_VALUE"""),12.0)</f>
        <v>12</v>
      </c>
      <c r="I223" s="26">
        <f>IFERROR(__xludf.DUMMYFUNCTION("""COMPUTED_VALUE"""),40.0)</f>
        <v>40</v>
      </c>
      <c r="J223" s="26"/>
      <c r="K223" s="26">
        <f t="shared" si="3"/>
        <v>160</v>
      </c>
    </row>
    <row r="224">
      <c r="A224" s="26" t="str">
        <f>IFERROR(__xludf.DUMMYFUNCTION("""COMPUTED_VALUE"""),"CRM-PR-G4770-NW-BLACK")</f>
        <v>CRM-PR-G4770-NW-BLACK</v>
      </c>
      <c r="B224" s="26">
        <f>IFERROR(__xludf.DUMMYFUNCTION("""COMPUTED_VALUE"""),2.0)</f>
        <v>2</v>
      </c>
      <c r="C224" s="26" t="str">
        <f>IFERROR(__xludf.DUMMYFUNCTION("""COMPUTED_VALUE"""),"DEL4")</f>
        <v>DEL4</v>
      </c>
      <c r="D224" s="26"/>
      <c r="E224" s="26"/>
      <c r="F224" s="26"/>
      <c r="G224" s="26">
        <f>IFERROR(__xludf.DUMMYFUNCTION("""COMPUTED_VALUE"""),560313.0)</f>
        <v>560313</v>
      </c>
      <c r="H224" s="26">
        <f>IFERROR(__xludf.DUMMYFUNCTION("""COMPUTED_VALUE"""),12.0)</f>
        <v>12</v>
      </c>
      <c r="I224" s="26">
        <f>IFERROR(__xludf.DUMMYFUNCTION("""COMPUTED_VALUE"""),40.0)</f>
        <v>40</v>
      </c>
      <c r="J224" s="26"/>
      <c r="K224" s="26">
        <f t="shared" si="3"/>
        <v>80</v>
      </c>
    </row>
    <row r="225">
      <c r="A225" s="26" t="str">
        <f>IFERROR(__xludf.DUMMYFUNCTION("""COMPUTED_VALUE"""),"CRM-PR-G4770-NW-BLACK")</f>
        <v>CRM-PR-G4770-NW-BLACK</v>
      </c>
      <c r="B225" s="26">
        <f>IFERROR(__xludf.DUMMYFUNCTION("""COMPUTED_VALUE"""),6.0)</f>
        <v>6</v>
      </c>
      <c r="C225" s="26" t="str">
        <f>IFERROR(__xludf.DUMMYFUNCTION("""COMPUTED_VALUE"""),"BOM5")</f>
        <v>BOM5</v>
      </c>
      <c r="D225" s="26"/>
      <c r="E225" s="26"/>
      <c r="F225" s="26"/>
      <c r="G225" s="26">
        <f>IFERROR(__xludf.DUMMYFUNCTION("""COMPUTED_VALUE"""),560313.0)</f>
        <v>560313</v>
      </c>
      <c r="H225" s="26">
        <f>IFERROR(__xludf.DUMMYFUNCTION("""COMPUTED_VALUE"""),12.0)</f>
        <v>12</v>
      </c>
      <c r="I225" s="26">
        <f>IFERROR(__xludf.DUMMYFUNCTION("""COMPUTED_VALUE"""),40.0)</f>
        <v>40</v>
      </c>
      <c r="J225" s="26"/>
      <c r="K225" s="26">
        <f t="shared" si="3"/>
        <v>240</v>
      </c>
    </row>
    <row r="226">
      <c r="A226" s="26" t="str">
        <f>IFERROR(__xludf.DUMMYFUNCTION("""COMPUTED_VALUE"""),"CRM-PR-G4770-NW-BLACK")</f>
        <v>CRM-PR-G4770-NW-BLACK</v>
      </c>
      <c r="B226" s="26">
        <f>IFERROR(__xludf.DUMMYFUNCTION("""COMPUTED_VALUE"""),2.0)</f>
        <v>2</v>
      </c>
      <c r="C226" s="26" t="str">
        <f>IFERROR(__xludf.DUMMYFUNCTION("""COMPUTED_VALUE"""),"BOM7")</f>
        <v>BOM7</v>
      </c>
      <c r="D226" s="26"/>
      <c r="E226" s="26"/>
      <c r="F226" s="26"/>
      <c r="G226" s="26">
        <f>IFERROR(__xludf.DUMMYFUNCTION("""COMPUTED_VALUE"""),560313.0)</f>
        <v>560313</v>
      </c>
      <c r="H226" s="26">
        <f>IFERROR(__xludf.DUMMYFUNCTION("""COMPUTED_VALUE"""),12.0)</f>
        <v>12</v>
      </c>
      <c r="I226" s="26">
        <f>IFERROR(__xludf.DUMMYFUNCTION("""COMPUTED_VALUE"""),40.0)</f>
        <v>40</v>
      </c>
      <c r="J226" s="26"/>
      <c r="K226" s="26">
        <f t="shared" si="3"/>
        <v>80</v>
      </c>
    </row>
    <row r="227">
      <c r="A227" s="26" t="str">
        <f>IFERROR(__xludf.DUMMYFUNCTION("""COMPUTED_VALUE"""),"CRM-PR-G4770-NW-GREY")</f>
        <v>CRM-PR-G4770-NW-GREY</v>
      </c>
      <c r="B227" s="26">
        <f>IFERROR(__xludf.DUMMYFUNCTION("""COMPUTED_VALUE"""),2.0)</f>
        <v>2</v>
      </c>
      <c r="C227" s="26" t="str">
        <f>IFERROR(__xludf.DUMMYFUNCTION("""COMPUTED_VALUE"""),"BLR7")</f>
        <v>BLR7</v>
      </c>
      <c r="D227" s="26"/>
      <c r="E227" s="26"/>
      <c r="F227" s="26"/>
      <c r="G227" s="26">
        <f>IFERROR(__xludf.DUMMYFUNCTION("""COMPUTED_VALUE"""),560313.0)</f>
        <v>560313</v>
      </c>
      <c r="H227" s="26">
        <f>IFERROR(__xludf.DUMMYFUNCTION("""COMPUTED_VALUE"""),12.0)</f>
        <v>12</v>
      </c>
      <c r="I227" s="26">
        <f>IFERROR(__xludf.DUMMYFUNCTION("""COMPUTED_VALUE"""),40.0)</f>
        <v>40</v>
      </c>
      <c r="J227" s="26"/>
      <c r="K227" s="26">
        <f t="shared" si="3"/>
        <v>80</v>
      </c>
    </row>
    <row r="228">
      <c r="A228" s="26" t="str">
        <f>IFERROR(__xludf.DUMMYFUNCTION("""COMPUTED_VALUE"""),"CRM-PR-G4770-NW-GREY")</f>
        <v>CRM-PR-G4770-NW-GREY</v>
      </c>
      <c r="B228" s="26">
        <f>IFERROR(__xludf.DUMMYFUNCTION("""COMPUTED_VALUE"""),2.0)</f>
        <v>2</v>
      </c>
      <c r="C228" s="26" t="str">
        <f>IFERROR(__xludf.DUMMYFUNCTION("""COMPUTED_VALUE"""),"CJB1")</f>
        <v>CJB1</v>
      </c>
      <c r="D228" s="26"/>
      <c r="E228" s="26"/>
      <c r="F228" s="26"/>
      <c r="G228" s="26">
        <f>IFERROR(__xludf.DUMMYFUNCTION("""COMPUTED_VALUE"""),560313.0)</f>
        <v>560313</v>
      </c>
      <c r="H228" s="26">
        <f>IFERROR(__xludf.DUMMYFUNCTION("""COMPUTED_VALUE"""),12.0)</f>
        <v>12</v>
      </c>
      <c r="I228" s="26">
        <f>IFERROR(__xludf.DUMMYFUNCTION("""COMPUTED_VALUE"""),40.0)</f>
        <v>40</v>
      </c>
      <c r="J228" s="26"/>
      <c r="K228" s="26">
        <f t="shared" si="3"/>
        <v>80</v>
      </c>
    </row>
    <row r="229">
      <c r="A229" s="26" t="str">
        <f>IFERROR(__xludf.DUMMYFUNCTION("""COMPUTED_VALUE"""),"CRM-PR-G4770-NW-GREY")</f>
        <v>CRM-PR-G4770-NW-GREY</v>
      </c>
      <c r="B229" s="26">
        <f>IFERROR(__xludf.DUMMYFUNCTION("""COMPUTED_VALUE"""),6.0)</f>
        <v>6</v>
      </c>
      <c r="C229" s="26" t="str">
        <f>IFERROR(__xludf.DUMMYFUNCTION("""COMPUTED_VALUE"""),"MAA4")</f>
        <v>MAA4</v>
      </c>
      <c r="D229" s="26"/>
      <c r="E229" s="26"/>
      <c r="F229" s="26"/>
      <c r="G229" s="26">
        <f>IFERROR(__xludf.DUMMYFUNCTION("""COMPUTED_VALUE"""),560313.0)</f>
        <v>560313</v>
      </c>
      <c r="H229" s="26">
        <f>IFERROR(__xludf.DUMMYFUNCTION("""COMPUTED_VALUE"""),12.0)</f>
        <v>12</v>
      </c>
      <c r="I229" s="26">
        <f>IFERROR(__xludf.DUMMYFUNCTION("""COMPUTED_VALUE"""),40.0)</f>
        <v>40</v>
      </c>
      <c r="J229" s="26"/>
      <c r="K229" s="26">
        <f t="shared" si="3"/>
        <v>240</v>
      </c>
    </row>
    <row r="230">
      <c r="A230" s="26" t="str">
        <f>IFERROR(__xludf.DUMMYFUNCTION("""COMPUTED_VALUE"""),"CRM-PR-G4770-NW-GREY")</f>
        <v>CRM-PR-G4770-NW-GREY</v>
      </c>
      <c r="B230" s="26">
        <f>IFERROR(__xludf.DUMMYFUNCTION("""COMPUTED_VALUE"""),4.0)</f>
        <v>4</v>
      </c>
      <c r="C230" s="26" t="str">
        <f>IFERROR(__xludf.DUMMYFUNCTION("""COMPUTED_VALUE"""),"DEL5")</f>
        <v>DEL5</v>
      </c>
      <c r="D230" s="26"/>
      <c r="E230" s="26"/>
      <c r="F230" s="26"/>
      <c r="G230" s="26">
        <f>IFERROR(__xludf.DUMMYFUNCTION("""COMPUTED_VALUE"""),560313.0)</f>
        <v>560313</v>
      </c>
      <c r="H230" s="26">
        <f>IFERROR(__xludf.DUMMYFUNCTION("""COMPUTED_VALUE"""),12.0)</f>
        <v>12</v>
      </c>
      <c r="I230" s="26">
        <f>IFERROR(__xludf.DUMMYFUNCTION("""COMPUTED_VALUE"""),40.0)</f>
        <v>40</v>
      </c>
      <c r="J230" s="26"/>
      <c r="K230" s="26">
        <f t="shared" si="3"/>
        <v>160</v>
      </c>
    </row>
    <row r="231">
      <c r="A231" s="26" t="str">
        <f>IFERROR(__xludf.DUMMYFUNCTION("""COMPUTED_VALUE"""),"CRM-PR-G4770-NW-GREY")</f>
        <v>CRM-PR-G4770-NW-GREY</v>
      </c>
      <c r="B231" s="26">
        <f>IFERROR(__xludf.DUMMYFUNCTION("""COMPUTED_VALUE"""),4.0)</f>
        <v>4</v>
      </c>
      <c r="C231" s="26" t="str">
        <f>IFERROR(__xludf.DUMMYFUNCTION("""COMPUTED_VALUE"""),"BOM5")</f>
        <v>BOM5</v>
      </c>
      <c r="D231" s="26"/>
      <c r="E231" s="26"/>
      <c r="F231" s="26"/>
      <c r="G231" s="26">
        <f>IFERROR(__xludf.DUMMYFUNCTION("""COMPUTED_VALUE"""),560313.0)</f>
        <v>560313</v>
      </c>
      <c r="H231" s="26">
        <f>IFERROR(__xludf.DUMMYFUNCTION("""COMPUTED_VALUE"""),12.0)</f>
        <v>12</v>
      </c>
      <c r="I231" s="26">
        <f>IFERROR(__xludf.DUMMYFUNCTION("""COMPUTED_VALUE"""),40.0)</f>
        <v>40</v>
      </c>
      <c r="J231" s="26"/>
      <c r="K231" s="26">
        <f t="shared" si="3"/>
        <v>160</v>
      </c>
    </row>
    <row r="232">
      <c r="A232" s="26" t="str">
        <f>IFERROR(__xludf.DUMMYFUNCTION("""COMPUTED_VALUE"""),"CRM-PR-G4770-NW-GREY")</f>
        <v>CRM-PR-G4770-NW-GREY</v>
      </c>
      <c r="B232" s="26">
        <f>IFERROR(__xludf.DUMMYFUNCTION("""COMPUTED_VALUE"""),2.0)</f>
        <v>2</v>
      </c>
      <c r="C232" s="26" t="str">
        <f>IFERROR(__xludf.DUMMYFUNCTION("""COMPUTED_VALUE"""),"BOM7")</f>
        <v>BOM7</v>
      </c>
      <c r="D232" s="26"/>
      <c r="E232" s="26"/>
      <c r="F232" s="26"/>
      <c r="G232" s="26">
        <f>IFERROR(__xludf.DUMMYFUNCTION("""COMPUTED_VALUE"""),560313.0)</f>
        <v>560313</v>
      </c>
      <c r="H232" s="26">
        <f>IFERROR(__xludf.DUMMYFUNCTION("""COMPUTED_VALUE"""),12.0)</f>
        <v>12</v>
      </c>
      <c r="I232" s="26">
        <f>IFERROR(__xludf.DUMMYFUNCTION("""COMPUTED_VALUE"""),40.0)</f>
        <v>40</v>
      </c>
      <c r="J232" s="26"/>
      <c r="K232" s="26">
        <f t="shared" si="3"/>
        <v>80</v>
      </c>
    </row>
    <row r="233">
      <c r="A233" s="26" t="str">
        <f>IFERROR(__xludf.DUMMYFUNCTION("""COMPUTED_VALUE"""),"CRM-HP-750-Grey")</f>
        <v>CRM-HP-750-Grey</v>
      </c>
      <c r="B233" s="26">
        <f>IFERROR(__xludf.DUMMYFUNCTION("""COMPUTED_VALUE"""),2.0)</f>
        <v>2</v>
      </c>
      <c r="C233" s="26" t="str">
        <f>IFERROR(__xludf.DUMMYFUNCTION("""COMPUTED_VALUE"""),"AMD2")</f>
        <v>AMD2</v>
      </c>
      <c r="D233" s="26"/>
      <c r="E233" s="26"/>
      <c r="F233" s="26"/>
      <c r="G233" s="26">
        <f>IFERROR(__xludf.DUMMYFUNCTION("""COMPUTED_VALUE"""),560313.0)</f>
        <v>560313</v>
      </c>
      <c r="H233" s="26">
        <f>IFERROR(__xludf.DUMMYFUNCTION("""COMPUTED_VALUE"""),12.0)</f>
        <v>12</v>
      </c>
      <c r="I233" s="26">
        <f>IFERROR(__xludf.DUMMYFUNCTION("""COMPUTED_VALUE"""),40.0)</f>
        <v>40</v>
      </c>
      <c r="J233" s="26"/>
      <c r="K233" s="26">
        <f t="shared" si="3"/>
        <v>80</v>
      </c>
    </row>
    <row r="234">
      <c r="A234" s="26" t="str">
        <f>IFERROR(__xludf.DUMMYFUNCTION("""COMPUTED_VALUE"""),"CRM-HP-750-Grey")</f>
        <v>CRM-HP-750-Grey</v>
      </c>
      <c r="B234" s="26">
        <f>IFERROR(__xludf.DUMMYFUNCTION("""COMPUTED_VALUE"""),2.0)</f>
        <v>2</v>
      </c>
      <c r="C234" s="26" t="str">
        <f>IFERROR(__xludf.DUMMYFUNCTION("""COMPUTED_VALUE"""),"BLR7")</f>
        <v>BLR7</v>
      </c>
      <c r="D234" s="26"/>
      <c r="E234" s="26"/>
      <c r="F234" s="26"/>
      <c r="G234" s="26">
        <f>IFERROR(__xludf.DUMMYFUNCTION("""COMPUTED_VALUE"""),560313.0)</f>
        <v>560313</v>
      </c>
      <c r="H234" s="26">
        <f>IFERROR(__xludf.DUMMYFUNCTION("""COMPUTED_VALUE"""),12.0)</f>
        <v>12</v>
      </c>
      <c r="I234" s="26">
        <f>IFERROR(__xludf.DUMMYFUNCTION("""COMPUTED_VALUE"""),40.0)</f>
        <v>40</v>
      </c>
      <c r="J234" s="26"/>
      <c r="K234" s="26">
        <f t="shared" si="3"/>
        <v>80</v>
      </c>
    </row>
    <row r="235">
      <c r="A235" s="26" t="str">
        <f>IFERROR(__xludf.DUMMYFUNCTION("""COMPUTED_VALUE"""),"CRM-HP-750-Grey")</f>
        <v>CRM-HP-750-Grey</v>
      </c>
      <c r="B235" s="26">
        <f>IFERROR(__xludf.DUMMYFUNCTION("""COMPUTED_VALUE"""),6.0)</f>
        <v>6</v>
      </c>
      <c r="C235" s="26" t="str">
        <f>IFERROR(__xludf.DUMMYFUNCTION("""COMPUTED_VALUE"""),"CJB1")</f>
        <v>CJB1</v>
      </c>
      <c r="D235" s="26"/>
      <c r="E235" s="26"/>
      <c r="F235" s="26"/>
      <c r="G235" s="26">
        <f>IFERROR(__xludf.DUMMYFUNCTION("""COMPUTED_VALUE"""),560313.0)</f>
        <v>560313</v>
      </c>
      <c r="H235" s="26">
        <f>IFERROR(__xludf.DUMMYFUNCTION("""COMPUTED_VALUE"""),12.0)</f>
        <v>12</v>
      </c>
      <c r="I235" s="26">
        <f>IFERROR(__xludf.DUMMYFUNCTION("""COMPUTED_VALUE"""),40.0)</f>
        <v>40</v>
      </c>
      <c r="J235" s="26"/>
      <c r="K235" s="26">
        <f t="shared" si="3"/>
        <v>240</v>
      </c>
    </row>
    <row r="236">
      <c r="A236" s="26" t="str">
        <f>IFERROR(__xludf.DUMMYFUNCTION("""COMPUTED_VALUE"""),"CRM-HP-750-Grey")</f>
        <v>CRM-HP-750-Grey</v>
      </c>
      <c r="B236" s="26">
        <f>IFERROR(__xludf.DUMMYFUNCTION("""COMPUTED_VALUE"""),12.0)</f>
        <v>12</v>
      </c>
      <c r="C236" s="26" t="str">
        <f>IFERROR(__xludf.DUMMYFUNCTION("""COMPUTED_VALUE"""),"MAA4")</f>
        <v>MAA4</v>
      </c>
      <c r="D236" s="26"/>
      <c r="E236" s="26"/>
      <c r="F236" s="26"/>
      <c r="G236" s="26">
        <f>IFERROR(__xludf.DUMMYFUNCTION("""COMPUTED_VALUE"""),560313.0)</f>
        <v>560313</v>
      </c>
      <c r="H236" s="26">
        <f>IFERROR(__xludf.DUMMYFUNCTION("""COMPUTED_VALUE"""),12.0)</f>
        <v>12</v>
      </c>
      <c r="I236" s="26">
        <f>IFERROR(__xludf.DUMMYFUNCTION("""COMPUTED_VALUE"""),40.0)</f>
        <v>40</v>
      </c>
      <c r="J236" s="26"/>
      <c r="K236" s="26">
        <f t="shared" si="3"/>
        <v>480</v>
      </c>
    </row>
    <row r="237">
      <c r="A237" s="26" t="str">
        <f>IFERROR(__xludf.DUMMYFUNCTION("""COMPUTED_VALUE"""),"CRM-HP-750-Grey")</f>
        <v>CRM-HP-750-Grey</v>
      </c>
      <c r="B237" s="26">
        <f>IFERROR(__xludf.DUMMYFUNCTION("""COMPUTED_VALUE"""),2.0)</f>
        <v>2</v>
      </c>
      <c r="C237" s="26" t="str">
        <f>IFERROR(__xludf.DUMMYFUNCTION("""COMPUTED_VALUE"""),"DEL5")</f>
        <v>DEL5</v>
      </c>
      <c r="D237" s="26"/>
      <c r="E237" s="26"/>
      <c r="F237" s="26"/>
      <c r="G237" s="26">
        <f>IFERROR(__xludf.DUMMYFUNCTION("""COMPUTED_VALUE"""),560313.0)</f>
        <v>560313</v>
      </c>
      <c r="H237" s="26">
        <f>IFERROR(__xludf.DUMMYFUNCTION("""COMPUTED_VALUE"""),12.0)</f>
        <v>12</v>
      </c>
      <c r="I237" s="26">
        <f>IFERROR(__xludf.DUMMYFUNCTION("""COMPUTED_VALUE"""),40.0)</f>
        <v>40</v>
      </c>
      <c r="J237" s="26"/>
      <c r="K237" s="26">
        <f t="shared" si="3"/>
        <v>80</v>
      </c>
    </row>
    <row r="238">
      <c r="A238" s="26" t="str">
        <f>IFERROR(__xludf.DUMMYFUNCTION("""COMPUTED_VALUE"""),"CRM-HP-750-Black")</f>
        <v>CRM-HP-750-Black</v>
      </c>
      <c r="B238" s="26">
        <f>IFERROR(__xludf.DUMMYFUNCTION("""COMPUTED_VALUE"""),4.0)</f>
        <v>4</v>
      </c>
      <c r="C238" s="26" t="str">
        <f>IFERROR(__xludf.DUMMYFUNCTION("""COMPUTED_VALUE"""),"MAA4")</f>
        <v>MAA4</v>
      </c>
      <c r="D238" s="26"/>
      <c r="E238" s="26"/>
      <c r="F238" s="26"/>
      <c r="G238" s="26">
        <f>IFERROR(__xludf.DUMMYFUNCTION("""COMPUTED_VALUE"""),560313.0)</f>
        <v>560313</v>
      </c>
      <c r="H238" s="26">
        <f>IFERROR(__xludf.DUMMYFUNCTION("""COMPUTED_VALUE"""),12.0)</f>
        <v>12</v>
      </c>
      <c r="I238" s="26">
        <f>IFERROR(__xludf.DUMMYFUNCTION("""COMPUTED_VALUE"""),40.0)</f>
        <v>40</v>
      </c>
      <c r="J238" s="26"/>
      <c r="K238" s="26">
        <f t="shared" si="3"/>
        <v>160</v>
      </c>
    </row>
    <row r="239">
      <c r="A239" s="26" t="str">
        <f>IFERROR(__xludf.DUMMYFUNCTION("""COMPUTED_VALUE"""),"CRM-HP-750-Black")</f>
        <v>CRM-HP-750-Black</v>
      </c>
      <c r="B239" s="26">
        <f>IFERROR(__xludf.DUMMYFUNCTION("""COMPUTED_VALUE"""),4.0)</f>
        <v>4</v>
      </c>
      <c r="C239" s="26" t="str">
        <f>IFERROR(__xludf.DUMMYFUNCTION("""COMPUTED_VALUE"""),"DEL5")</f>
        <v>DEL5</v>
      </c>
      <c r="D239" s="26"/>
      <c r="E239" s="26"/>
      <c r="F239" s="26"/>
      <c r="G239" s="26">
        <f>IFERROR(__xludf.DUMMYFUNCTION("""COMPUTED_VALUE"""),560313.0)</f>
        <v>560313</v>
      </c>
      <c r="H239" s="26">
        <f>IFERROR(__xludf.DUMMYFUNCTION("""COMPUTED_VALUE"""),12.0)</f>
        <v>12</v>
      </c>
      <c r="I239" s="26">
        <f>IFERROR(__xludf.DUMMYFUNCTION("""COMPUTED_VALUE"""),40.0)</f>
        <v>40</v>
      </c>
      <c r="J239" s="26"/>
      <c r="K239" s="26">
        <f t="shared" si="3"/>
        <v>160</v>
      </c>
    </row>
    <row r="240">
      <c r="A240" s="26" t="str">
        <f>IFERROR(__xludf.DUMMYFUNCTION("""COMPUTED_VALUE"""),"CRM-HP-750-Black")</f>
        <v>CRM-HP-750-Black</v>
      </c>
      <c r="B240" s="26">
        <f>IFERROR(__xludf.DUMMYFUNCTION("""COMPUTED_VALUE"""),4.0)</f>
        <v>4</v>
      </c>
      <c r="C240" s="26" t="str">
        <f>IFERROR(__xludf.DUMMYFUNCTION("""COMPUTED_VALUE"""),"BOM5")</f>
        <v>BOM5</v>
      </c>
      <c r="D240" s="26"/>
      <c r="E240" s="26"/>
      <c r="F240" s="26"/>
      <c r="G240" s="26">
        <f>IFERROR(__xludf.DUMMYFUNCTION("""COMPUTED_VALUE"""),560313.0)</f>
        <v>560313</v>
      </c>
      <c r="H240" s="26">
        <f>IFERROR(__xludf.DUMMYFUNCTION("""COMPUTED_VALUE"""),12.0)</f>
        <v>12</v>
      </c>
      <c r="I240" s="26">
        <f>IFERROR(__xludf.DUMMYFUNCTION("""COMPUTED_VALUE"""),40.0)</f>
        <v>40</v>
      </c>
      <c r="J240" s="26"/>
      <c r="K240" s="26">
        <f t="shared" si="3"/>
        <v>160</v>
      </c>
    </row>
    <row r="241">
      <c r="A241" s="26" t="str">
        <f>IFERROR(__xludf.DUMMYFUNCTION("""COMPUTED_VALUE"""),"CRM-HP-670-Grey")</f>
        <v>CRM-HP-670-Grey</v>
      </c>
      <c r="B241" s="26">
        <f>IFERROR(__xludf.DUMMYFUNCTION("""COMPUTED_VALUE"""),2.0)</f>
        <v>2</v>
      </c>
      <c r="C241" s="26" t="str">
        <f>IFERROR(__xludf.DUMMYFUNCTION("""COMPUTED_VALUE"""),"BLR8")</f>
        <v>BLR8</v>
      </c>
      <c r="D241" s="26"/>
      <c r="E241" s="26"/>
      <c r="F241" s="26"/>
      <c r="G241" s="26">
        <f>IFERROR(__xludf.DUMMYFUNCTION("""COMPUTED_VALUE"""),560313.0)</f>
        <v>560313</v>
      </c>
      <c r="H241" s="26">
        <f>IFERROR(__xludf.DUMMYFUNCTION("""COMPUTED_VALUE"""),12.0)</f>
        <v>12</v>
      </c>
      <c r="I241" s="26">
        <f>IFERROR(__xludf.DUMMYFUNCTION("""COMPUTED_VALUE"""),40.0)</f>
        <v>40</v>
      </c>
      <c r="J241" s="26"/>
      <c r="K241" s="26">
        <f t="shared" si="3"/>
        <v>80</v>
      </c>
    </row>
    <row r="242">
      <c r="A242" s="26" t="str">
        <f>IFERROR(__xludf.DUMMYFUNCTION("""COMPUTED_VALUE"""),"CRM-HP-670-Grey")</f>
        <v>CRM-HP-670-Grey</v>
      </c>
      <c r="B242" s="26">
        <f>IFERROR(__xludf.DUMMYFUNCTION("""COMPUTED_VALUE"""),2.0)</f>
        <v>2</v>
      </c>
      <c r="C242" s="26" t="str">
        <f>IFERROR(__xludf.DUMMYFUNCTION("""COMPUTED_VALUE"""),"BLR7")</f>
        <v>BLR7</v>
      </c>
      <c r="D242" s="26"/>
      <c r="E242" s="26"/>
      <c r="F242" s="26"/>
      <c r="G242" s="26">
        <f>IFERROR(__xludf.DUMMYFUNCTION("""COMPUTED_VALUE"""),560313.0)</f>
        <v>560313</v>
      </c>
      <c r="H242" s="26">
        <f>IFERROR(__xludf.DUMMYFUNCTION("""COMPUTED_VALUE"""),12.0)</f>
        <v>12</v>
      </c>
      <c r="I242" s="26">
        <f>IFERROR(__xludf.DUMMYFUNCTION("""COMPUTED_VALUE"""),40.0)</f>
        <v>40</v>
      </c>
      <c r="J242" s="26"/>
      <c r="K242" s="26">
        <f t="shared" si="3"/>
        <v>80</v>
      </c>
    </row>
    <row r="243">
      <c r="A243" s="26" t="str">
        <f>IFERROR(__xludf.DUMMYFUNCTION("""COMPUTED_VALUE"""),"CRM-HP-670-Grey")</f>
        <v>CRM-HP-670-Grey</v>
      </c>
      <c r="B243" s="26">
        <f>IFERROR(__xludf.DUMMYFUNCTION("""COMPUTED_VALUE"""),2.0)</f>
        <v>2</v>
      </c>
      <c r="C243" s="26" t="str">
        <f>IFERROR(__xludf.DUMMYFUNCTION("""COMPUTED_VALUE"""),"MAA4")</f>
        <v>MAA4</v>
      </c>
      <c r="D243" s="26"/>
      <c r="E243" s="26"/>
      <c r="F243" s="26"/>
      <c r="G243" s="26">
        <f>IFERROR(__xludf.DUMMYFUNCTION("""COMPUTED_VALUE"""),560313.0)</f>
        <v>560313</v>
      </c>
      <c r="H243" s="26">
        <f>IFERROR(__xludf.DUMMYFUNCTION("""COMPUTED_VALUE"""),12.0)</f>
        <v>12</v>
      </c>
      <c r="I243" s="26">
        <f>IFERROR(__xludf.DUMMYFUNCTION("""COMPUTED_VALUE"""),40.0)</f>
        <v>40</v>
      </c>
      <c r="J243" s="26"/>
      <c r="K243" s="26">
        <f t="shared" si="3"/>
        <v>80</v>
      </c>
    </row>
    <row r="244">
      <c r="A244" s="26" t="str">
        <f>IFERROR(__xludf.DUMMYFUNCTION("""COMPUTED_VALUE"""),"CRM-HP-670-Grey")</f>
        <v>CRM-HP-670-Grey</v>
      </c>
      <c r="B244" s="26">
        <f>IFERROR(__xludf.DUMMYFUNCTION("""COMPUTED_VALUE"""),2.0)</f>
        <v>2</v>
      </c>
      <c r="C244" s="26" t="str">
        <f>IFERROR(__xludf.DUMMYFUNCTION("""COMPUTED_VALUE"""),"DEL4")</f>
        <v>DEL4</v>
      </c>
      <c r="D244" s="26"/>
      <c r="E244" s="26"/>
      <c r="F244" s="26"/>
      <c r="G244" s="26">
        <f>IFERROR(__xludf.DUMMYFUNCTION("""COMPUTED_VALUE"""),560313.0)</f>
        <v>560313</v>
      </c>
      <c r="H244" s="26">
        <f>IFERROR(__xludf.DUMMYFUNCTION("""COMPUTED_VALUE"""),12.0)</f>
        <v>12</v>
      </c>
      <c r="I244" s="26">
        <f>IFERROR(__xludf.DUMMYFUNCTION("""COMPUTED_VALUE"""),40.0)</f>
        <v>40</v>
      </c>
      <c r="J244" s="26"/>
      <c r="K244" s="26">
        <f t="shared" si="3"/>
        <v>80</v>
      </c>
    </row>
    <row r="245">
      <c r="A245" s="26" t="str">
        <f>IFERROR(__xludf.DUMMYFUNCTION("""COMPUTED_VALUE"""),"CRM-HP-670-Grey")</f>
        <v>CRM-HP-670-Grey</v>
      </c>
      <c r="B245" s="26">
        <f>IFERROR(__xludf.DUMMYFUNCTION("""COMPUTED_VALUE"""),2.0)</f>
        <v>2</v>
      </c>
      <c r="C245" s="26" t="str">
        <f>IFERROR(__xludf.DUMMYFUNCTION("""COMPUTED_VALUE"""),"DEL5")</f>
        <v>DEL5</v>
      </c>
      <c r="D245" s="26"/>
      <c r="E245" s="26"/>
      <c r="F245" s="26"/>
      <c r="G245" s="26">
        <f>IFERROR(__xludf.DUMMYFUNCTION("""COMPUTED_VALUE"""),560313.0)</f>
        <v>560313</v>
      </c>
      <c r="H245" s="26">
        <f>IFERROR(__xludf.DUMMYFUNCTION("""COMPUTED_VALUE"""),12.0)</f>
        <v>12</v>
      </c>
      <c r="I245" s="26">
        <f>IFERROR(__xludf.DUMMYFUNCTION("""COMPUTED_VALUE"""),40.0)</f>
        <v>40</v>
      </c>
      <c r="J245" s="26"/>
      <c r="K245" s="26">
        <f t="shared" si="3"/>
        <v>80</v>
      </c>
    </row>
    <row r="246">
      <c r="A246" s="26" t="str">
        <f>IFERROR(__xludf.DUMMYFUNCTION("""COMPUTED_VALUE"""),"CRM-HP-670-Grey")</f>
        <v>CRM-HP-670-Grey</v>
      </c>
      <c r="B246" s="26">
        <f>IFERROR(__xludf.DUMMYFUNCTION("""COMPUTED_VALUE"""),2.0)</f>
        <v>2</v>
      </c>
      <c r="C246" s="26" t="str">
        <f>IFERROR(__xludf.DUMMYFUNCTION("""COMPUTED_VALUE"""),"BOM5")</f>
        <v>BOM5</v>
      </c>
      <c r="D246" s="26"/>
      <c r="E246" s="26"/>
      <c r="F246" s="26"/>
      <c r="G246" s="26">
        <f>IFERROR(__xludf.DUMMYFUNCTION("""COMPUTED_VALUE"""),560313.0)</f>
        <v>560313</v>
      </c>
      <c r="H246" s="26">
        <f>IFERROR(__xludf.DUMMYFUNCTION("""COMPUTED_VALUE"""),12.0)</f>
        <v>12</v>
      </c>
      <c r="I246" s="26">
        <f>IFERROR(__xludf.DUMMYFUNCTION("""COMPUTED_VALUE"""),40.0)</f>
        <v>40</v>
      </c>
      <c r="J246" s="26"/>
      <c r="K246" s="26">
        <f t="shared" si="3"/>
        <v>80</v>
      </c>
    </row>
    <row r="247">
      <c r="A247" s="26" t="str">
        <f>IFERROR(__xludf.DUMMYFUNCTION("""COMPUTED_VALUE"""),"CRM-HP-670-Grey")</f>
        <v>CRM-HP-670-Grey</v>
      </c>
      <c r="B247" s="26">
        <f>IFERROR(__xludf.DUMMYFUNCTION("""COMPUTED_VALUE"""),2.0)</f>
        <v>2</v>
      </c>
      <c r="C247" s="26" t="str">
        <f>IFERROR(__xludf.DUMMYFUNCTION("""COMPUTED_VALUE"""),"BOM7")</f>
        <v>BOM7</v>
      </c>
      <c r="D247" s="26"/>
      <c r="E247" s="26"/>
      <c r="F247" s="26"/>
      <c r="G247" s="26">
        <f>IFERROR(__xludf.DUMMYFUNCTION("""COMPUTED_VALUE"""),560313.0)</f>
        <v>560313</v>
      </c>
      <c r="H247" s="26">
        <f>IFERROR(__xludf.DUMMYFUNCTION("""COMPUTED_VALUE"""),12.0)</f>
        <v>12</v>
      </c>
      <c r="I247" s="26">
        <f>IFERROR(__xludf.DUMMYFUNCTION("""COMPUTED_VALUE"""),40.0)</f>
        <v>40</v>
      </c>
      <c r="J247" s="26"/>
      <c r="K247" s="26">
        <f t="shared" si="3"/>
        <v>80</v>
      </c>
    </row>
    <row r="248">
      <c r="A248" s="26" t="str">
        <f>IFERROR(__xludf.DUMMYFUNCTION("""COMPUTED_VALUE"""),"CRM-HP-670-Black")</f>
        <v>CRM-HP-670-Black</v>
      </c>
      <c r="B248" s="26">
        <f>IFERROR(__xludf.DUMMYFUNCTION("""COMPUTED_VALUE"""),6.0)</f>
        <v>6</v>
      </c>
      <c r="C248" s="26" t="str">
        <f>IFERROR(__xludf.DUMMYFUNCTION("""COMPUTED_VALUE"""),"BLR7")</f>
        <v>BLR7</v>
      </c>
      <c r="D248" s="26"/>
      <c r="E248" s="26"/>
      <c r="F248" s="26"/>
      <c r="G248" s="26">
        <f>IFERROR(__xludf.DUMMYFUNCTION("""COMPUTED_VALUE"""),560313.0)</f>
        <v>560313</v>
      </c>
      <c r="H248" s="26">
        <f>IFERROR(__xludf.DUMMYFUNCTION("""COMPUTED_VALUE"""),12.0)</f>
        <v>12</v>
      </c>
      <c r="I248" s="26">
        <f>IFERROR(__xludf.DUMMYFUNCTION("""COMPUTED_VALUE"""),40.0)</f>
        <v>40</v>
      </c>
      <c r="J248" s="26"/>
      <c r="K248" s="26">
        <f t="shared" si="3"/>
        <v>240</v>
      </c>
    </row>
    <row r="249">
      <c r="A249" s="26" t="str">
        <f>IFERROR(__xludf.DUMMYFUNCTION("""COMPUTED_VALUE"""),"CRM-HP-670-Black")</f>
        <v>CRM-HP-670-Black</v>
      </c>
      <c r="B249" s="26">
        <f>IFERROR(__xludf.DUMMYFUNCTION("""COMPUTED_VALUE"""),2.0)</f>
        <v>2</v>
      </c>
      <c r="C249" s="26" t="str">
        <f>IFERROR(__xludf.DUMMYFUNCTION("""COMPUTED_VALUE"""),"MAA4")</f>
        <v>MAA4</v>
      </c>
      <c r="D249" s="26"/>
      <c r="E249" s="26"/>
      <c r="F249" s="26"/>
      <c r="G249" s="26">
        <f>IFERROR(__xludf.DUMMYFUNCTION("""COMPUTED_VALUE"""),560313.0)</f>
        <v>560313</v>
      </c>
      <c r="H249" s="26">
        <f>IFERROR(__xludf.DUMMYFUNCTION("""COMPUTED_VALUE"""),12.0)</f>
        <v>12</v>
      </c>
      <c r="I249" s="26">
        <f>IFERROR(__xludf.DUMMYFUNCTION("""COMPUTED_VALUE"""),40.0)</f>
        <v>40</v>
      </c>
      <c r="J249" s="26"/>
      <c r="K249" s="26">
        <f t="shared" si="3"/>
        <v>80</v>
      </c>
    </row>
    <row r="250">
      <c r="A250" s="26" t="str">
        <f>IFERROR(__xludf.DUMMYFUNCTION("""COMPUTED_VALUE"""),"CRM-HP-670-Black")</f>
        <v>CRM-HP-670-Black</v>
      </c>
      <c r="B250" s="26">
        <f>IFERROR(__xludf.DUMMYFUNCTION("""COMPUTED_VALUE"""),4.0)</f>
        <v>4</v>
      </c>
      <c r="C250" s="26" t="str">
        <f>IFERROR(__xludf.DUMMYFUNCTION("""COMPUTED_VALUE"""),"DEL5")</f>
        <v>DEL5</v>
      </c>
      <c r="D250" s="26"/>
      <c r="E250" s="26"/>
      <c r="F250" s="26"/>
      <c r="G250" s="26">
        <f>IFERROR(__xludf.DUMMYFUNCTION("""COMPUTED_VALUE"""),560313.0)</f>
        <v>560313</v>
      </c>
      <c r="H250" s="26">
        <f>IFERROR(__xludf.DUMMYFUNCTION("""COMPUTED_VALUE"""),12.0)</f>
        <v>12</v>
      </c>
      <c r="I250" s="26">
        <f>IFERROR(__xludf.DUMMYFUNCTION("""COMPUTED_VALUE"""),40.0)</f>
        <v>40</v>
      </c>
      <c r="J250" s="26"/>
      <c r="K250" s="26">
        <f t="shared" si="3"/>
        <v>160</v>
      </c>
    </row>
    <row r="251">
      <c r="A251" s="26" t="str">
        <f>IFERROR(__xludf.DUMMYFUNCTION("""COMPUTED_VALUE"""),"CRM-HP-670-Black")</f>
        <v>CRM-HP-670-Black</v>
      </c>
      <c r="B251" s="26">
        <f>IFERROR(__xludf.DUMMYFUNCTION("""COMPUTED_VALUE"""),2.0)</f>
        <v>2</v>
      </c>
      <c r="C251" s="26" t="str">
        <f>IFERROR(__xludf.DUMMYFUNCTION("""COMPUTED_VALUE"""),"BOM5")</f>
        <v>BOM5</v>
      </c>
      <c r="D251" s="26"/>
      <c r="E251" s="26"/>
      <c r="F251" s="26"/>
      <c r="G251" s="26">
        <f>IFERROR(__xludf.DUMMYFUNCTION("""COMPUTED_VALUE"""),560313.0)</f>
        <v>560313</v>
      </c>
      <c r="H251" s="26">
        <f>IFERROR(__xludf.DUMMYFUNCTION("""COMPUTED_VALUE"""),12.0)</f>
        <v>12</v>
      </c>
      <c r="I251" s="26">
        <f>IFERROR(__xludf.DUMMYFUNCTION("""COMPUTED_VALUE"""),40.0)</f>
        <v>40</v>
      </c>
      <c r="J251" s="26"/>
      <c r="K251" s="26">
        <f t="shared" si="3"/>
        <v>80</v>
      </c>
    </row>
    <row r="252">
      <c r="A252" s="26" t="str">
        <f>IFERROR(__xludf.DUMMYFUNCTION("""COMPUTED_VALUE"""),"CRM-HP-670-Black")</f>
        <v>CRM-HP-670-Black</v>
      </c>
      <c r="B252" s="26">
        <f>IFERROR(__xludf.DUMMYFUNCTION("""COMPUTED_VALUE"""),4.0)</f>
        <v>4</v>
      </c>
      <c r="C252" s="26" t="str">
        <f>IFERROR(__xludf.DUMMYFUNCTION("""COMPUTED_VALUE"""),"BOM7")</f>
        <v>BOM7</v>
      </c>
      <c r="D252" s="26"/>
      <c r="E252" s="26"/>
      <c r="F252" s="26"/>
      <c r="G252" s="26">
        <f>IFERROR(__xludf.DUMMYFUNCTION("""COMPUTED_VALUE"""),560313.0)</f>
        <v>560313</v>
      </c>
      <c r="H252" s="26">
        <f>IFERROR(__xludf.DUMMYFUNCTION("""COMPUTED_VALUE"""),12.0)</f>
        <v>12</v>
      </c>
      <c r="I252" s="26">
        <f>IFERROR(__xludf.DUMMYFUNCTION("""COMPUTED_VALUE"""),40.0)</f>
        <v>40</v>
      </c>
      <c r="J252" s="26"/>
      <c r="K252" s="26">
        <f t="shared" si="3"/>
        <v>160</v>
      </c>
    </row>
    <row r="253">
      <c r="A253" s="26" t="str">
        <f>IFERROR(__xludf.DUMMYFUNCTION("""COMPUTED_VALUE"""),"CRM-HP-529-Grey")</f>
        <v>CRM-HP-529-Grey</v>
      </c>
      <c r="B253" s="26">
        <f>IFERROR(__xludf.DUMMYFUNCTION("""COMPUTED_VALUE"""),4.0)</f>
        <v>4</v>
      </c>
      <c r="C253" s="26" t="str">
        <f>IFERROR(__xludf.DUMMYFUNCTION("""COMPUTED_VALUE"""),"AMD2")</f>
        <v>AMD2</v>
      </c>
      <c r="D253" s="26"/>
      <c r="E253" s="26"/>
      <c r="F253" s="26"/>
      <c r="G253" s="26">
        <f>IFERROR(__xludf.DUMMYFUNCTION("""COMPUTED_VALUE"""),560313.0)</f>
        <v>560313</v>
      </c>
      <c r="H253" s="26">
        <f>IFERROR(__xludf.DUMMYFUNCTION("""COMPUTED_VALUE"""),12.0)</f>
        <v>12</v>
      </c>
      <c r="I253" s="26">
        <f>IFERROR(__xludf.DUMMYFUNCTION("""COMPUTED_VALUE"""),40.0)</f>
        <v>40</v>
      </c>
      <c r="J253" s="26"/>
      <c r="K253" s="26">
        <f t="shared" si="3"/>
        <v>160</v>
      </c>
    </row>
    <row r="254">
      <c r="A254" s="26" t="str">
        <f>IFERROR(__xludf.DUMMYFUNCTION("""COMPUTED_VALUE"""),"CRM-HP-529-Grey")</f>
        <v>CRM-HP-529-Grey</v>
      </c>
      <c r="B254" s="26">
        <f>IFERROR(__xludf.DUMMYFUNCTION("""COMPUTED_VALUE"""),6.0)</f>
        <v>6</v>
      </c>
      <c r="C254" s="26" t="str">
        <f>IFERROR(__xludf.DUMMYFUNCTION("""COMPUTED_VALUE"""),"BLR8")</f>
        <v>BLR8</v>
      </c>
      <c r="D254" s="26"/>
      <c r="E254" s="26"/>
      <c r="F254" s="26"/>
      <c r="G254" s="26">
        <f>IFERROR(__xludf.DUMMYFUNCTION("""COMPUTED_VALUE"""),560313.0)</f>
        <v>560313</v>
      </c>
      <c r="H254" s="26">
        <f>IFERROR(__xludf.DUMMYFUNCTION("""COMPUTED_VALUE"""),12.0)</f>
        <v>12</v>
      </c>
      <c r="I254" s="26">
        <f>IFERROR(__xludf.DUMMYFUNCTION("""COMPUTED_VALUE"""),40.0)</f>
        <v>40</v>
      </c>
      <c r="J254" s="26"/>
      <c r="K254" s="26">
        <f t="shared" si="3"/>
        <v>240</v>
      </c>
    </row>
    <row r="255">
      <c r="A255" s="26" t="str">
        <f>IFERROR(__xludf.DUMMYFUNCTION("""COMPUTED_VALUE"""),"CRM-HP-529-Grey")</f>
        <v>CRM-HP-529-Grey</v>
      </c>
      <c r="B255" s="26">
        <f>IFERROR(__xludf.DUMMYFUNCTION("""COMPUTED_VALUE"""),12.0)</f>
        <v>12</v>
      </c>
      <c r="C255" s="26" t="str">
        <f>IFERROR(__xludf.DUMMYFUNCTION("""COMPUTED_VALUE"""),"BLR7")</f>
        <v>BLR7</v>
      </c>
      <c r="D255" s="26"/>
      <c r="E255" s="26"/>
      <c r="F255" s="26"/>
      <c r="G255" s="26">
        <f>IFERROR(__xludf.DUMMYFUNCTION("""COMPUTED_VALUE"""),560313.0)</f>
        <v>560313</v>
      </c>
      <c r="H255" s="26">
        <f>IFERROR(__xludf.DUMMYFUNCTION("""COMPUTED_VALUE"""),12.0)</f>
        <v>12</v>
      </c>
      <c r="I255" s="26">
        <f>IFERROR(__xludf.DUMMYFUNCTION("""COMPUTED_VALUE"""),40.0)</f>
        <v>40</v>
      </c>
      <c r="J255" s="26"/>
      <c r="K255" s="26">
        <f t="shared" si="3"/>
        <v>480</v>
      </c>
    </row>
    <row r="256">
      <c r="A256" s="26" t="str">
        <f>IFERROR(__xludf.DUMMYFUNCTION("""COMPUTED_VALUE"""),"CRM-HP-529-Grey")</f>
        <v>CRM-HP-529-Grey</v>
      </c>
      <c r="B256" s="26">
        <f>IFERROR(__xludf.DUMMYFUNCTION("""COMPUTED_VALUE"""),6.0)</f>
        <v>6</v>
      </c>
      <c r="C256" s="26" t="str">
        <f>IFERROR(__xludf.DUMMYFUNCTION("""COMPUTED_VALUE"""),"CJB1")</f>
        <v>CJB1</v>
      </c>
      <c r="D256" s="26"/>
      <c r="E256" s="26"/>
      <c r="F256" s="26"/>
      <c r="G256" s="26">
        <f>IFERROR(__xludf.DUMMYFUNCTION("""COMPUTED_VALUE"""),560313.0)</f>
        <v>560313</v>
      </c>
      <c r="H256" s="26">
        <f>IFERROR(__xludf.DUMMYFUNCTION("""COMPUTED_VALUE"""),12.0)</f>
        <v>12</v>
      </c>
      <c r="I256" s="26">
        <f>IFERROR(__xludf.DUMMYFUNCTION("""COMPUTED_VALUE"""),40.0)</f>
        <v>40</v>
      </c>
      <c r="J256" s="26"/>
      <c r="K256" s="26">
        <f t="shared" si="3"/>
        <v>240</v>
      </c>
    </row>
    <row r="257">
      <c r="A257" s="26" t="str">
        <f>IFERROR(__xludf.DUMMYFUNCTION("""COMPUTED_VALUE"""),"CRM-HP-529-Grey")</f>
        <v>CRM-HP-529-Grey</v>
      </c>
      <c r="B257" s="26">
        <f>IFERROR(__xludf.DUMMYFUNCTION("""COMPUTED_VALUE"""),6.0)</f>
        <v>6</v>
      </c>
      <c r="C257" s="26" t="str">
        <f>IFERROR(__xludf.DUMMYFUNCTION("""COMPUTED_VALUE"""),"DEL4")</f>
        <v>DEL4</v>
      </c>
      <c r="D257" s="26"/>
      <c r="E257" s="26"/>
      <c r="F257" s="26"/>
      <c r="G257" s="26">
        <f>IFERROR(__xludf.DUMMYFUNCTION("""COMPUTED_VALUE"""),560313.0)</f>
        <v>560313</v>
      </c>
      <c r="H257" s="26">
        <f>IFERROR(__xludf.DUMMYFUNCTION("""COMPUTED_VALUE"""),12.0)</f>
        <v>12</v>
      </c>
      <c r="I257" s="26">
        <f>IFERROR(__xludf.DUMMYFUNCTION("""COMPUTED_VALUE"""),40.0)</f>
        <v>40</v>
      </c>
      <c r="J257" s="26"/>
      <c r="K257" s="26">
        <f t="shared" si="3"/>
        <v>240</v>
      </c>
    </row>
    <row r="258">
      <c r="A258" s="26" t="str">
        <f>IFERROR(__xludf.DUMMYFUNCTION("""COMPUTED_VALUE"""),"CRM-HP-529-Grey")</f>
        <v>CRM-HP-529-Grey</v>
      </c>
      <c r="B258" s="26">
        <f>IFERROR(__xludf.DUMMYFUNCTION("""COMPUTED_VALUE"""),2.0)</f>
        <v>2</v>
      </c>
      <c r="C258" s="26" t="str">
        <f>IFERROR(__xludf.DUMMYFUNCTION("""COMPUTED_VALUE"""),"DEL5")</f>
        <v>DEL5</v>
      </c>
      <c r="D258" s="26"/>
      <c r="E258" s="26"/>
      <c r="F258" s="26"/>
      <c r="G258" s="26">
        <f>IFERROR(__xludf.DUMMYFUNCTION("""COMPUTED_VALUE"""),560313.0)</f>
        <v>560313</v>
      </c>
      <c r="H258" s="26">
        <f>IFERROR(__xludf.DUMMYFUNCTION("""COMPUTED_VALUE"""),12.0)</f>
        <v>12</v>
      </c>
      <c r="I258" s="26">
        <f>IFERROR(__xludf.DUMMYFUNCTION("""COMPUTED_VALUE"""),40.0)</f>
        <v>40</v>
      </c>
      <c r="J258" s="26"/>
      <c r="K258" s="26">
        <f t="shared" si="3"/>
        <v>80</v>
      </c>
    </row>
    <row r="259">
      <c r="A259" s="26" t="str">
        <f>IFERROR(__xludf.DUMMYFUNCTION("""COMPUTED_VALUE"""),"CRM-HP-529-Grey")</f>
        <v>CRM-HP-529-Grey</v>
      </c>
      <c r="B259" s="26">
        <f>IFERROR(__xludf.DUMMYFUNCTION("""COMPUTED_VALUE"""),10.0)</f>
        <v>10</v>
      </c>
      <c r="C259" s="26" t="str">
        <f>IFERROR(__xludf.DUMMYFUNCTION("""COMPUTED_VALUE"""),"BOM5")</f>
        <v>BOM5</v>
      </c>
      <c r="D259" s="26"/>
      <c r="E259" s="26"/>
      <c r="F259" s="26"/>
      <c r="G259" s="26">
        <f>IFERROR(__xludf.DUMMYFUNCTION("""COMPUTED_VALUE"""),560313.0)</f>
        <v>560313</v>
      </c>
      <c r="H259" s="26">
        <f>IFERROR(__xludf.DUMMYFUNCTION("""COMPUTED_VALUE"""),12.0)</f>
        <v>12</v>
      </c>
      <c r="I259" s="26">
        <f>IFERROR(__xludf.DUMMYFUNCTION("""COMPUTED_VALUE"""),40.0)</f>
        <v>40</v>
      </c>
      <c r="J259" s="26"/>
      <c r="K259" s="26">
        <f t="shared" si="3"/>
        <v>400</v>
      </c>
    </row>
    <row r="260">
      <c r="A260" s="26" t="str">
        <f>IFERROR(__xludf.DUMMYFUNCTION("""COMPUTED_VALUE"""),"CRM-HP-529-Grey")</f>
        <v>CRM-HP-529-Grey</v>
      </c>
      <c r="B260" s="26">
        <f>IFERROR(__xludf.DUMMYFUNCTION("""COMPUTED_VALUE"""),10.0)</f>
        <v>10</v>
      </c>
      <c r="C260" s="26" t="str">
        <f>IFERROR(__xludf.DUMMYFUNCTION("""COMPUTED_VALUE"""),"BOM7")</f>
        <v>BOM7</v>
      </c>
      <c r="D260" s="26"/>
      <c r="E260" s="26"/>
      <c r="F260" s="26"/>
      <c r="G260" s="26">
        <f>IFERROR(__xludf.DUMMYFUNCTION("""COMPUTED_VALUE"""),560313.0)</f>
        <v>560313</v>
      </c>
      <c r="H260" s="26">
        <f>IFERROR(__xludf.DUMMYFUNCTION("""COMPUTED_VALUE"""),12.0)</f>
        <v>12</v>
      </c>
      <c r="I260" s="26">
        <f>IFERROR(__xludf.DUMMYFUNCTION("""COMPUTED_VALUE"""),40.0)</f>
        <v>40</v>
      </c>
      <c r="J260" s="26"/>
      <c r="K260" s="26">
        <f t="shared" si="3"/>
        <v>400</v>
      </c>
    </row>
    <row r="261">
      <c r="A261" s="26" t="str">
        <f>IFERROR(__xludf.DUMMYFUNCTION("""COMPUTED_VALUE"""),"CRM-HP-4826-4929-Grey")</f>
        <v>CRM-HP-4826-4929-Grey</v>
      </c>
      <c r="B261" s="26">
        <f>IFERROR(__xludf.DUMMYFUNCTION("""COMPUTED_VALUE"""),4.0)</f>
        <v>4</v>
      </c>
      <c r="C261" s="26" t="str">
        <f>IFERROR(__xludf.DUMMYFUNCTION("""COMPUTED_VALUE"""),"AMD2")</f>
        <v>AMD2</v>
      </c>
      <c r="D261" s="26"/>
      <c r="E261" s="26"/>
      <c r="F261" s="26"/>
      <c r="G261" s="26">
        <f>IFERROR(__xludf.DUMMYFUNCTION("""COMPUTED_VALUE"""),560313.0)</f>
        <v>560313</v>
      </c>
      <c r="H261" s="26">
        <f>IFERROR(__xludf.DUMMYFUNCTION("""COMPUTED_VALUE"""),12.0)</f>
        <v>12</v>
      </c>
      <c r="I261" s="26">
        <f>IFERROR(__xludf.DUMMYFUNCTION("""COMPUTED_VALUE"""),40.0)</f>
        <v>40</v>
      </c>
      <c r="J261" s="26"/>
      <c r="K261" s="26">
        <f t="shared" si="3"/>
        <v>160</v>
      </c>
    </row>
    <row r="262">
      <c r="A262" s="26" t="str">
        <f>IFERROR(__xludf.DUMMYFUNCTION("""COMPUTED_VALUE"""),"CRM-HP-4826-4929-Grey")</f>
        <v>CRM-HP-4826-4929-Grey</v>
      </c>
      <c r="B262" s="26">
        <f>IFERROR(__xludf.DUMMYFUNCTION("""COMPUTED_VALUE"""),8.0)</f>
        <v>8</v>
      </c>
      <c r="C262" s="26" t="str">
        <f>IFERROR(__xludf.DUMMYFUNCTION("""COMPUTED_VALUE"""),"DEL5")</f>
        <v>DEL5</v>
      </c>
      <c r="D262" s="26"/>
      <c r="E262" s="26"/>
      <c r="F262" s="26"/>
      <c r="G262" s="26">
        <f>IFERROR(__xludf.DUMMYFUNCTION("""COMPUTED_VALUE"""),560313.0)</f>
        <v>560313</v>
      </c>
      <c r="H262" s="26">
        <f>IFERROR(__xludf.DUMMYFUNCTION("""COMPUTED_VALUE"""),12.0)</f>
        <v>12</v>
      </c>
      <c r="I262" s="26">
        <f>IFERROR(__xludf.DUMMYFUNCTION("""COMPUTED_VALUE"""),40.0)</f>
        <v>40</v>
      </c>
      <c r="J262" s="26"/>
      <c r="K262" s="26">
        <f t="shared" si="3"/>
        <v>320</v>
      </c>
    </row>
    <row r="263">
      <c r="A263" s="26" t="str">
        <f>IFERROR(__xludf.DUMMYFUNCTION("""COMPUTED_VALUE"""),"CRM-BR-L2321D-L2440DW-BLUE")</f>
        <v>CRM-BR-L2321D-L2440DW-BLUE</v>
      </c>
      <c r="B263" s="26">
        <f>IFERROR(__xludf.DUMMYFUNCTION("""COMPUTED_VALUE"""),2.0)</f>
        <v>2</v>
      </c>
      <c r="C263" s="26" t="str">
        <f>IFERROR(__xludf.DUMMYFUNCTION("""COMPUTED_VALUE"""),"DEL5")</f>
        <v>DEL5</v>
      </c>
      <c r="D263" s="26"/>
      <c r="E263" s="26"/>
      <c r="F263" s="26"/>
      <c r="G263" s="26">
        <f>IFERROR(__xludf.DUMMYFUNCTION("""COMPUTED_VALUE"""),560313.0)</f>
        <v>560313</v>
      </c>
      <c r="H263" s="26">
        <f>IFERROR(__xludf.DUMMYFUNCTION("""COMPUTED_VALUE"""),12.0)</f>
        <v>12</v>
      </c>
      <c r="I263" s="26">
        <f>IFERROR(__xludf.DUMMYFUNCTION("""COMPUTED_VALUE"""),55.0)</f>
        <v>55</v>
      </c>
      <c r="J263" s="26"/>
      <c r="K263" s="26">
        <f t="shared" si="3"/>
        <v>110</v>
      </c>
    </row>
    <row r="264">
      <c r="A264" s="26" t="str">
        <f>IFERROR(__xludf.DUMMYFUNCTION("""COMPUTED_VALUE"""),"CRM-HP-529-Black")</f>
        <v>CRM-HP-529-Black</v>
      </c>
      <c r="B264" s="26">
        <f>IFERROR(__xludf.DUMMYFUNCTION("""COMPUTED_VALUE"""),2.0)</f>
        <v>2</v>
      </c>
      <c r="C264" s="26" t="str">
        <f>IFERROR(__xludf.DUMMYFUNCTION("""COMPUTED_VALUE"""),"AMD2")</f>
        <v>AMD2</v>
      </c>
      <c r="D264" s="26"/>
      <c r="E264" s="26"/>
      <c r="F264" s="26"/>
      <c r="G264" s="26">
        <f>IFERROR(__xludf.DUMMYFUNCTION("""COMPUTED_VALUE"""),560313.0)</f>
        <v>560313</v>
      </c>
      <c r="H264" s="26">
        <f>IFERROR(__xludf.DUMMYFUNCTION("""COMPUTED_VALUE"""),12.0)</f>
        <v>12</v>
      </c>
      <c r="I264" s="26">
        <f>IFERROR(__xludf.DUMMYFUNCTION("""COMPUTED_VALUE"""),40.0)</f>
        <v>40</v>
      </c>
      <c r="J264" s="26"/>
      <c r="K264" s="26">
        <f t="shared" si="3"/>
        <v>80</v>
      </c>
    </row>
    <row r="265">
      <c r="A265" s="26" t="str">
        <f>IFERROR(__xludf.DUMMYFUNCTION("""COMPUTED_VALUE"""),"CRM-HP-529-Black")</f>
        <v>CRM-HP-529-Black</v>
      </c>
      <c r="B265" s="26">
        <f>IFERROR(__xludf.DUMMYFUNCTION("""COMPUTED_VALUE"""),4.0)</f>
        <v>4</v>
      </c>
      <c r="C265" s="26" t="str">
        <f>IFERROR(__xludf.DUMMYFUNCTION("""COMPUTED_VALUE"""),"BLR8")</f>
        <v>BLR8</v>
      </c>
      <c r="D265" s="26"/>
      <c r="E265" s="26"/>
      <c r="F265" s="26"/>
      <c r="G265" s="26">
        <f>IFERROR(__xludf.DUMMYFUNCTION("""COMPUTED_VALUE"""),560313.0)</f>
        <v>560313</v>
      </c>
      <c r="H265" s="26">
        <f>IFERROR(__xludf.DUMMYFUNCTION("""COMPUTED_VALUE"""),12.0)</f>
        <v>12</v>
      </c>
      <c r="I265" s="26">
        <f>IFERROR(__xludf.DUMMYFUNCTION("""COMPUTED_VALUE"""),40.0)</f>
        <v>40</v>
      </c>
      <c r="J265" s="26"/>
      <c r="K265" s="26">
        <f t="shared" si="3"/>
        <v>160</v>
      </c>
    </row>
    <row r="266">
      <c r="A266" s="26" t="str">
        <f>IFERROR(__xludf.DUMMYFUNCTION("""COMPUTED_VALUE"""),"CRM-HP-529-Black")</f>
        <v>CRM-HP-529-Black</v>
      </c>
      <c r="B266" s="26">
        <f>IFERROR(__xludf.DUMMYFUNCTION("""COMPUTED_VALUE"""),12.0)</f>
        <v>12</v>
      </c>
      <c r="C266" s="26" t="str">
        <f>IFERROR(__xludf.DUMMYFUNCTION("""COMPUTED_VALUE"""),"BLR7")</f>
        <v>BLR7</v>
      </c>
      <c r="D266" s="26"/>
      <c r="E266" s="26"/>
      <c r="F266" s="26"/>
      <c r="G266" s="26">
        <f>IFERROR(__xludf.DUMMYFUNCTION("""COMPUTED_VALUE"""),560313.0)</f>
        <v>560313</v>
      </c>
      <c r="H266" s="26">
        <f>IFERROR(__xludf.DUMMYFUNCTION("""COMPUTED_VALUE"""),12.0)</f>
        <v>12</v>
      </c>
      <c r="I266" s="26">
        <f>IFERROR(__xludf.DUMMYFUNCTION("""COMPUTED_VALUE"""),40.0)</f>
        <v>40</v>
      </c>
      <c r="J266" s="26"/>
      <c r="K266" s="26">
        <f t="shared" si="3"/>
        <v>480</v>
      </c>
    </row>
    <row r="267">
      <c r="A267" s="26" t="str">
        <f>IFERROR(__xludf.DUMMYFUNCTION("""COMPUTED_VALUE"""),"CRM-HP-529-Black")</f>
        <v>CRM-HP-529-Black</v>
      </c>
      <c r="B267" s="26">
        <f>IFERROR(__xludf.DUMMYFUNCTION("""COMPUTED_VALUE"""),2.0)</f>
        <v>2</v>
      </c>
      <c r="C267" s="26" t="str">
        <f>IFERROR(__xludf.DUMMYFUNCTION("""COMPUTED_VALUE"""),"CJB1")</f>
        <v>CJB1</v>
      </c>
      <c r="D267" s="26"/>
      <c r="E267" s="26"/>
      <c r="F267" s="26"/>
      <c r="G267" s="26">
        <f>IFERROR(__xludf.DUMMYFUNCTION("""COMPUTED_VALUE"""),560313.0)</f>
        <v>560313</v>
      </c>
      <c r="H267" s="26">
        <f>IFERROR(__xludf.DUMMYFUNCTION("""COMPUTED_VALUE"""),12.0)</f>
        <v>12</v>
      </c>
      <c r="I267" s="26">
        <f>IFERROR(__xludf.DUMMYFUNCTION("""COMPUTED_VALUE"""),40.0)</f>
        <v>40</v>
      </c>
      <c r="J267" s="26"/>
      <c r="K267" s="26">
        <f t="shared" si="3"/>
        <v>80</v>
      </c>
    </row>
    <row r="268">
      <c r="A268" s="26" t="str">
        <f>IFERROR(__xludf.DUMMYFUNCTION("""COMPUTED_VALUE"""),"CRM-HP-529-Black")</f>
        <v>CRM-HP-529-Black</v>
      </c>
      <c r="B268" s="26">
        <f>IFERROR(__xludf.DUMMYFUNCTION("""COMPUTED_VALUE"""),2.0)</f>
        <v>2</v>
      </c>
      <c r="C268" s="26" t="str">
        <f>IFERROR(__xludf.DUMMYFUNCTION("""COMPUTED_VALUE"""),"DEL4")</f>
        <v>DEL4</v>
      </c>
      <c r="D268" s="26"/>
      <c r="E268" s="26"/>
      <c r="F268" s="26"/>
      <c r="G268" s="26">
        <f>IFERROR(__xludf.DUMMYFUNCTION("""COMPUTED_VALUE"""),560313.0)</f>
        <v>560313</v>
      </c>
      <c r="H268" s="26">
        <f>IFERROR(__xludf.DUMMYFUNCTION("""COMPUTED_VALUE"""),12.0)</f>
        <v>12</v>
      </c>
      <c r="I268" s="26">
        <f>IFERROR(__xludf.DUMMYFUNCTION("""COMPUTED_VALUE"""),40.0)</f>
        <v>40</v>
      </c>
      <c r="J268" s="26"/>
      <c r="K268" s="26">
        <f t="shared" si="3"/>
        <v>80</v>
      </c>
    </row>
    <row r="269">
      <c r="A269" s="26" t="str">
        <f>IFERROR(__xludf.DUMMYFUNCTION("""COMPUTED_VALUE"""),"CRM-HP-529-Black")</f>
        <v>CRM-HP-529-Black</v>
      </c>
      <c r="B269" s="26">
        <f>IFERROR(__xludf.DUMMYFUNCTION("""COMPUTED_VALUE"""),4.0)</f>
        <v>4</v>
      </c>
      <c r="C269" s="26" t="str">
        <f>IFERROR(__xludf.DUMMYFUNCTION("""COMPUTED_VALUE"""),"BOM5")</f>
        <v>BOM5</v>
      </c>
      <c r="D269" s="26"/>
      <c r="E269" s="26"/>
      <c r="F269" s="26"/>
      <c r="G269" s="26">
        <f>IFERROR(__xludf.DUMMYFUNCTION("""COMPUTED_VALUE"""),560313.0)</f>
        <v>560313</v>
      </c>
      <c r="H269" s="26">
        <f>IFERROR(__xludf.DUMMYFUNCTION("""COMPUTED_VALUE"""),12.0)</f>
        <v>12</v>
      </c>
      <c r="I269" s="26">
        <f>IFERROR(__xludf.DUMMYFUNCTION("""COMPUTED_VALUE"""),40.0)</f>
        <v>40</v>
      </c>
      <c r="J269" s="26"/>
      <c r="K269" s="26">
        <f t="shared" si="3"/>
        <v>160</v>
      </c>
    </row>
    <row r="270">
      <c r="A270" s="26" t="str">
        <f>IFERROR(__xludf.DUMMYFUNCTION("""COMPUTED_VALUE"""),"CRM-HP-529-Black")</f>
        <v>CRM-HP-529-Black</v>
      </c>
      <c r="B270" s="26">
        <f>IFERROR(__xludf.DUMMYFUNCTION("""COMPUTED_VALUE"""),8.0)</f>
        <v>8</v>
      </c>
      <c r="C270" s="26" t="str">
        <f>IFERROR(__xludf.DUMMYFUNCTION("""COMPUTED_VALUE"""),"BOM7")</f>
        <v>BOM7</v>
      </c>
      <c r="D270" s="26"/>
      <c r="E270" s="26"/>
      <c r="F270" s="26"/>
      <c r="G270" s="26">
        <f>IFERROR(__xludf.DUMMYFUNCTION("""COMPUTED_VALUE"""),560313.0)</f>
        <v>560313</v>
      </c>
      <c r="H270" s="26">
        <f>IFERROR(__xludf.DUMMYFUNCTION("""COMPUTED_VALUE"""),12.0)</f>
        <v>12</v>
      </c>
      <c r="I270" s="26">
        <f>IFERROR(__xludf.DUMMYFUNCTION("""COMPUTED_VALUE"""),40.0)</f>
        <v>40</v>
      </c>
      <c r="J270" s="26"/>
      <c r="K270" s="26">
        <f t="shared" si="3"/>
        <v>320</v>
      </c>
    </row>
    <row r="271">
      <c r="A271" s="26" t="str">
        <f>IFERROR(__xludf.DUMMYFUNCTION("""COMPUTED_VALUE"""),"CRM-HP-580-Grey")</f>
        <v>CRM-HP-580-Grey</v>
      </c>
      <c r="B271" s="26">
        <f>IFERROR(__xludf.DUMMYFUNCTION("""COMPUTED_VALUE"""),10.0)</f>
        <v>10</v>
      </c>
      <c r="C271" s="26" t="str">
        <f>IFERROR(__xludf.DUMMYFUNCTION("""COMPUTED_VALUE"""),"AMD2")</f>
        <v>AMD2</v>
      </c>
      <c r="D271" s="26"/>
      <c r="E271" s="26"/>
      <c r="F271" s="26"/>
      <c r="G271" s="26">
        <f>IFERROR(__xludf.DUMMYFUNCTION("""COMPUTED_VALUE"""),560313.0)</f>
        <v>560313</v>
      </c>
      <c r="H271" s="26">
        <f>IFERROR(__xludf.DUMMYFUNCTION("""COMPUTED_VALUE"""),12.0)</f>
        <v>12</v>
      </c>
      <c r="I271" s="26">
        <f>IFERROR(__xludf.DUMMYFUNCTION("""COMPUTED_VALUE"""),40.0)</f>
        <v>40</v>
      </c>
      <c r="J271" s="26"/>
      <c r="K271" s="26">
        <f t="shared" si="3"/>
        <v>400</v>
      </c>
    </row>
    <row r="272">
      <c r="A272" s="26" t="str">
        <f>IFERROR(__xludf.DUMMYFUNCTION("""COMPUTED_VALUE"""),"CRM-HP-580-Grey")</f>
        <v>CRM-HP-580-Grey</v>
      </c>
      <c r="B272" s="26">
        <f>IFERROR(__xludf.DUMMYFUNCTION("""COMPUTED_VALUE"""),6.0)</f>
        <v>6</v>
      </c>
      <c r="C272" s="26" t="str">
        <f>IFERROR(__xludf.DUMMYFUNCTION("""COMPUTED_VALUE"""),"BLR8")</f>
        <v>BLR8</v>
      </c>
      <c r="D272" s="26"/>
      <c r="E272" s="26"/>
      <c r="F272" s="26"/>
      <c r="G272" s="26">
        <f>IFERROR(__xludf.DUMMYFUNCTION("""COMPUTED_VALUE"""),560313.0)</f>
        <v>560313</v>
      </c>
      <c r="H272" s="26">
        <f>IFERROR(__xludf.DUMMYFUNCTION("""COMPUTED_VALUE"""),12.0)</f>
        <v>12</v>
      </c>
      <c r="I272" s="26">
        <f>IFERROR(__xludf.DUMMYFUNCTION("""COMPUTED_VALUE"""),40.0)</f>
        <v>40</v>
      </c>
      <c r="J272" s="26"/>
      <c r="K272" s="26">
        <f t="shared" si="3"/>
        <v>240</v>
      </c>
    </row>
    <row r="273">
      <c r="A273" s="26" t="str">
        <f>IFERROR(__xludf.DUMMYFUNCTION("""COMPUTED_VALUE"""),"CRM-HP-580-Grey")</f>
        <v>CRM-HP-580-Grey</v>
      </c>
      <c r="B273" s="26">
        <f>IFERROR(__xludf.DUMMYFUNCTION("""COMPUTED_VALUE"""),22.0)</f>
        <v>22</v>
      </c>
      <c r="C273" s="26" t="str">
        <f>IFERROR(__xludf.DUMMYFUNCTION("""COMPUTED_VALUE"""),"BLR7")</f>
        <v>BLR7</v>
      </c>
      <c r="D273" s="26"/>
      <c r="E273" s="26"/>
      <c r="F273" s="26"/>
      <c r="G273" s="26">
        <f>IFERROR(__xludf.DUMMYFUNCTION("""COMPUTED_VALUE"""),560313.0)</f>
        <v>560313</v>
      </c>
      <c r="H273" s="26">
        <f>IFERROR(__xludf.DUMMYFUNCTION("""COMPUTED_VALUE"""),12.0)</f>
        <v>12</v>
      </c>
      <c r="I273" s="26">
        <f>IFERROR(__xludf.DUMMYFUNCTION("""COMPUTED_VALUE"""),40.0)</f>
        <v>40</v>
      </c>
      <c r="J273" s="26"/>
      <c r="K273" s="26">
        <f t="shared" si="3"/>
        <v>880</v>
      </c>
    </row>
    <row r="274">
      <c r="A274" s="26" t="str">
        <f>IFERROR(__xludf.DUMMYFUNCTION("""COMPUTED_VALUE"""),"CRM-HP-580-Grey")</f>
        <v>CRM-HP-580-Grey</v>
      </c>
      <c r="B274" s="26">
        <f>IFERROR(__xludf.DUMMYFUNCTION("""COMPUTED_VALUE"""),54.0)</f>
        <v>54</v>
      </c>
      <c r="C274" s="26" t="str">
        <f>IFERROR(__xludf.DUMMYFUNCTION("""COMPUTED_VALUE"""),"MAA4")</f>
        <v>MAA4</v>
      </c>
      <c r="D274" s="26"/>
      <c r="E274" s="26"/>
      <c r="F274" s="26"/>
      <c r="G274" s="26">
        <f>IFERROR(__xludf.DUMMYFUNCTION("""COMPUTED_VALUE"""),560313.0)</f>
        <v>560313</v>
      </c>
      <c r="H274" s="26">
        <f>IFERROR(__xludf.DUMMYFUNCTION("""COMPUTED_VALUE"""),12.0)</f>
        <v>12</v>
      </c>
      <c r="I274" s="26">
        <f>IFERROR(__xludf.DUMMYFUNCTION("""COMPUTED_VALUE"""),40.0)</f>
        <v>40</v>
      </c>
      <c r="J274" s="26"/>
      <c r="K274" s="26">
        <f t="shared" si="3"/>
        <v>2160</v>
      </c>
    </row>
    <row r="275">
      <c r="A275" s="26" t="str">
        <f>IFERROR(__xludf.DUMMYFUNCTION("""COMPUTED_VALUE"""),"CRM-HP-580-Grey")</f>
        <v>CRM-HP-580-Grey</v>
      </c>
      <c r="B275" s="26">
        <f>IFERROR(__xludf.DUMMYFUNCTION("""COMPUTED_VALUE"""),42.0)</f>
        <v>42</v>
      </c>
      <c r="C275" s="26" t="str">
        <f>IFERROR(__xludf.DUMMYFUNCTION("""COMPUTED_VALUE"""),"DEL4")</f>
        <v>DEL4</v>
      </c>
      <c r="D275" s="26"/>
      <c r="E275" s="26"/>
      <c r="F275" s="26"/>
      <c r="G275" s="26">
        <f>IFERROR(__xludf.DUMMYFUNCTION("""COMPUTED_VALUE"""),560313.0)</f>
        <v>560313</v>
      </c>
      <c r="H275" s="26">
        <f>IFERROR(__xludf.DUMMYFUNCTION("""COMPUTED_VALUE"""),12.0)</f>
        <v>12</v>
      </c>
      <c r="I275" s="26">
        <f>IFERROR(__xludf.DUMMYFUNCTION("""COMPUTED_VALUE"""),40.0)</f>
        <v>40</v>
      </c>
      <c r="J275" s="26"/>
      <c r="K275" s="26">
        <f t="shared" si="3"/>
        <v>1680</v>
      </c>
    </row>
    <row r="276">
      <c r="A276" s="26" t="str">
        <f>IFERROR(__xludf.DUMMYFUNCTION("""COMPUTED_VALUE"""),"CRM-HP-580-Grey")</f>
        <v>CRM-HP-580-Grey</v>
      </c>
      <c r="B276" s="26">
        <f>IFERROR(__xludf.DUMMYFUNCTION("""COMPUTED_VALUE"""),68.0)</f>
        <v>68</v>
      </c>
      <c r="C276" s="26" t="str">
        <f>IFERROR(__xludf.DUMMYFUNCTION("""COMPUTED_VALUE"""),"DEL5")</f>
        <v>DEL5</v>
      </c>
      <c r="D276" s="26"/>
      <c r="E276" s="26"/>
      <c r="F276" s="26"/>
      <c r="G276" s="26">
        <f>IFERROR(__xludf.DUMMYFUNCTION("""COMPUTED_VALUE"""),560313.0)</f>
        <v>560313</v>
      </c>
      <c r="H276" s="26">
        <f>IFERROR(__xludf.DUMMYFUNCTION("""COMPUTED_VALUE"""),12.0)</f>
        <v>12</v>
      </c>
      <c r="I276" s="26">
        <f>IFERROR(__xludf.DUMMYFUNCTION("""COMPUTED_VALUE"""),40.0)</f>
        <v>40</v>
      </c>
      <c r="J276" s="26"/>
      <c r="K276" s="26">
        <f t="shared" si="3"/>
        <v>2720</v>
      </c>
    </row>
    <row r="277">
      <c r="A277" s="26" t="str">
        <f>IFERROR(__xludf.DUMMYFUNCTION("""COMPUTED_VALUE"""),"CRM-HP-580-Grey")</f>
        <v>CRM-HP-580-Grey</v>
      </c>
      <c r="B277" s="26">
        <f>IFERROR(__xludf.DUMMYFUNCTION("""COMPUTED_VALUE"""),2.0)</f>
        <v>2</v>
      </c>
      <c r="C277" s="26" t="str">
        <f>IFERROR(__xludf.DUMMYFUNCTION("""COMPUTED_VALUE"""),"BOM7")</f>
        <v>BOM7</v>
      </c>
      <c r="D277" s="26"/>
      <c r="E277" s="26"/>
      <c r="F277" s="26"/>
      <c r="G277" s="26">
        <f>IFERROR(__xludf.DUMMYFUNCTION("""COMPUTED_VALUE"""),560313.0)</f>
        <v>560313</v>
      </c>
      <c r="H277" s="26">
        <f>IFERROR(__xludf.DUMMYFUNCTION("""COMPUTED_VALUE"""),12.0)</f>
        <v>12</v>
      </c>
      <c r="I277" s="26">
        <f>IFERROR(__xludf.DUMMYFUNCTION("""COMPUTED_VALUE"""),40.0)</f>
        <v>40</v>
      </c>
      <c r="J277" s="26"/>
      <c r="K277" s="26">
        <f t="shared" si="3"/>
        <v>80</v>
      </c>
    </row>
    <row r="278">
      <c r="A278" s="26" t="str">
        <f>IFERROR(__xludf.DUMMYFUNCTION("""COMPUTED_VALUE"""),"CRM-BR-580-T226-NW-GREY")</f>
        <v>CRM-BR-580-T226-NW-GREY</v>
      </c>
      <c r="B278" s="26">
        <f>IFERROR(__xludf.DUMMYFUNCTION("""COMPUTED_VALUE"""),2.0)</f>
        <v>2</v>
      </c>
      <c r="C278" s="26" t="str">
        <f>IFERROR(__xludf.DUMMYFUNCTION("""COMPUTED_VALUE"""),"AMD2")</f>
        <v>AMD2</v>
      </c>
      <c r="D278" s="26"/>
      <c r="E278" s="26"/>
      <c r="F278" s="26"/>
      <c r="G278" s="26">
        <f>IFERROR(__xludf.DUMMYFUNCTION("""COMPUTED_VALUE"""),560313.0)</f>
        <v>560313</v>
      </c>
      <c r="H278" s="26">
        <f>IFERROR(__xludf.DUMMYFUNCTION("""COMPUTED_VALUE"""),12.0)</f>
        <v>12</v>
      </c>
      <c r="I278" s="26">
        <f>IFERROR(__xludf.DUMMYFUNCTION("""COMPUTED_VALUE"""),40.0)</f>
        <v>40</v>
      </c>
      <c r="J278" s="26"/>
      <c r="K278" s="26">
        <f t="shared" si="3"/>
        <v>80</v>
      </c>
    </row>
    <row r="279">
      <c r="A279" s="26" t="str">
        <f>IFERROR(__xludf.DUMMYFUNCTION("""COMPUTED_VALUE"""),"CRM-BR-580-T226-NW-GREY")</f>
        <v>CRM-BR-580-T226-NW-GREY</v>
      </c>
      <c r="B279" s="26">
        <f>IFERROR(__xludf.DUMMYFUNCTION("""COMPUTED_VALUE"""),4.0)</f>
        <v>4</v>
      </c>
      <c r="C279" s="26" t="str">
        <f>IFERROR(__xludf.DUMMYFUNCTION("""COMPUTED_VALUE"""),"BLR8")</f>
        <v>BLR8</v>
      </c>
      <c r="D279" s="26"/>
      <c r="E279" s="26"/>
      <c r="F279" s="26"/>
      <c r="G279" s="26">
        <f>IFERROR(__xludf.DUMMYFUNCTION("""COMPUTED_VALUE"""),560313.0)</f>
        <v>560313</v>
      </c>
      <c r="H279" s="26">
        <f>IFERROR(__xludf.DUMMYFUNCTION("""COMPUTED_VALUE"""),12.0)</f>
        <v>12</v>
      </c>
      <c r="I279" s="26">
        <f>IFERROR(__xludf.DUMMYFUNCTION("""COMPUTED_VALUE"""),40.0)</f>
        <v>40</v>
      </c>
      <c r="J279" s="26"/>
      <c r="K279" s="26">
        <f t="shared" si="3"/>
        <v>160</v>
      </c>
    </row>
    <row r="280">
      <c r="A280" s="26" t="str">
        <f>IFERROR(__xludf.DUMMYFUNCTION("""COMPUTED_VALUE"""),"CRM-BR-580-T226-NW-GREY")</f>
        <v>CRM-BR-580-T226-NW-GREY</v>
      </c>
      <c r="B280" s="26">
        <f>IFERROR(__xludf.DUMMYFUNCTION("""COMPUTED_VALUE"""),2.0)</f>
        <v>2</v>
      </c>
      <c r="C280" s="26" t="str">
        <f>IFERROR(__xludf.DUMMYFUNCTION("""COMPUTED_VALUE"""),"BLR7")</f>
        <v>BLR7</v>
      </c>
      <c r="D280" s="26"/>
      <c r="E280" s="26"/>
      <c r="F280" s="26"/>
      <c r="G280" s="26">
        <f>IFERROR(__xludf.DUMMYFUNCTION("""COMPUTED_VALUE"""),560313.0)</f>
        <v>560313</v>
      </c>
      <c r="H280" s="26">
        <f>IFERROR(__xludf.DUMMYFUNCTION("""COMPUTED_VALUE"""),12.0)</f>
        <v>12</v>
      </c>
      <c r="I280" s="26">
        <f>IFERROR(__xludf.DUMMYFUNCTION("""COMPUTED_VALUE"""),40.0)</f>
        <v>40</v>
      </c>
      <c r="J280" s="26"/>
      <c r="K280" s="26">
        <f t="shared" si="3"/>
        <v>80</v>
      </c>
    </row>
    <row r="281">
      <c r="A281" s="26" t="str">
        <f>IFERROR(__xludf.DUMMYFUNCTION("""COMPUTED_VALUE"""),"CRM-BR-580-T226-NW-GREY")</f>
        <v>CRM-BR-580-T226-NW-GREY</v>
      </c>
      <c r="B281" s="26">
        <f>IFERROR(__xludf.DUMMYFUNCTION("""COMPUTED_VALUE"""),10.0)</f>
        <v>10</v>
      </c>
      <c r="C281" s="26" t="str">
        <f>IFERROR(__xludf.DUMMYFUNCTION("""COMPUTED_VALUE"""),"DEL4")</f>
        <v>DEL4</v>
      </c>
      <c r="D281" s="26"/>
      <c r="E281" s="26"/>
      <c r="F281" s="26"/>
      <c r="G281" s="26">
        <f>IFERROR(__xludf.DUMMYFUNCTION("""COMPUTED_VALUE"""),560313.0)</f>
        <v>560313</v>
      </c>
      <c r="H281" s="26">
        <f>IFERROR(__xludf.DUMMYFUNCTION("""COMPUTED_VALUE"""),12.0)</f>
        <v>12</v>
      </c>
      <c r="I281" s="26">
        <f>IFERROR(__xludf.DUMMYFUNCTION("""COMPUTED_VALUE"""),40.0)</f>
        <v>40</v>
      </c>
      <c r="J281" s="26"/>
      <c r="K281" s="26">
        <f t="shared" si="3"/>
        <v>400</v>
      </c>
    </row>
    <row r="282">
      <c r="A282" s="26" t="str">
        <f>IFERROR(__xludf.DUMMYFUNCTION("""COMPUTED_VALUE"""),"CRM-BR-580-T226-NW-GREY")</f>
        <v>CRM-BR-580-T226-NW-GREY</v>
      </c>
      <c r="B282" s="26">
        <f>IFERROR(__xludf.DUMMYFUNCTION("""COMPUTED_VALUE"""),4.0)</f>
        <v>4</v>
      </c>
      <c r="C282" s="26" t="str">
        <f>IFERROR(__xludf.DUMMYFUNCTION("""COMPUTED_VALUE"""),"DEL5")</f>
        <v>DEL5</v>
      </c>
      <c r="D282" s="26"/>
      <c r="E282" s="26"/>
      <c r="F282" s="26"/>
      <c r="G282" s="26">
        <f>IFERROR(__xludf.DUMMYFUNCTION("""COMPUTED_VALUE"""),560313.0)</f>
        <v>560313</v>
      </c>
      <c r="H282" s="26">
        <f>IFERROR(__xludf.DUMMYFUNCTION("""COMPUTED_VALUE"""),12.0)</f>
        <v>12</v>
      </c>
      <c r="I282" s="26">
        <f>IFERROR(__xludf.DUMMYFUNCTION("""COMPUTED_VALUE"""),40.0)</f>
        <v>40</v>
      </c>
      <c r="J282" s="26"/>
      <c r="K282" s="26">
        <f t="shared" si="3"/>
        <v>160</v>
      </c>
    </row>
    <row r="283">
      <c r="A283" s="26" t="str">
        <f>IFERROR(__xludf.DUMMYFUNCTION("""COMPUTED_VALUE"""),"CRM-BR-580-T226-NW-GREY")</f>
        <v>CRM-BR-580-T226-NW-GREY</v>
      </c>
      <c r="B283" s="26">
        <f>IFERROR(__xludf.DUMMYFUNCTION("""COMPUTED_VALUE"""),2.0)</f>
        <v>2</v>
      </c>
      <c r="C283" s="26" t="str">
        <f>IFERROR(__xludf.DUMMYFUNCTION("""COMPUTED_VALUE"""),"BOM5")</f>
        <v>BOM5</v>
      </c>
      <c r="D283" s="26"/>
      <c r="E283" s="26"/>
      <c r="F283" s="26"/>
      <c r="G283" s="26">
        <f>IFERROR(__xludf.DUMMYFUNCTION("""COMPUTED_VALUE"""),560313.0)</f>
        <v>560313</v>
      </c>
      <c r="H283" s="26">
        <f>IFERROR(__xludf.DUMMYFUNCTION("""COMPUTED_VALUE"""),12.0)</f>
        <v>12</v>
      </c>
      <c r="I283" s="26">
        <f>IFERROR(__xludf.DUMMYFUNCTION("""COMPUTED_VALUE"""),40.0)</f>
        <v>40</v>
      </c>
      <c r="J283" s="26"/>
      <c r="K283" s="26">
        <f t="shared" si="3"/>
        <v>80</v>
      </c>
    </row>
    <row r="284">
      <c r="A284" s="26" t="str">
        <f>IFERROR(__xludf.DUMMYFUNCTION("""COMPUTED_VALUE"""),"CRM-BR-580-T226-NW-GREY")</f>
        <v>CRM-BR-580-T226-NW-GREY</v>
      </c>
      <c r="B284" s="26">
        <f>IFERROR(__xludf.DUMMYFUNCTION("""COMPUTED_VALUE"""),2.0)</f>
        <v>2</v>
      </c>
      <c r="C284" s="26" t="str">
        <f>IFERROR(__xludf.DUMMYFUNCTION("""COMPUTED_VALUE"""),"BOM7")</f>
        <v>BOM7</v>
      </c>
      <c r="D284" s="26"/>
      <c r="E284" s="26"/>
      <c r="F284" s="26"/>
      <c r="G284" s="26">
        <f>IFERROR(__xludf.DUMMYFUNCTION("""COMPUTED_VALUE"""),560313.0)</f>
        <v>560313</v>
      </c>
      <c r="H284" s="26">
        <f>IFERROR(__xludf.DUMMYFUNCTION("""COMPUTED_VALUE"""),12.0)</f>
        <v>12</v>
      </c>
      <c r="I284" s="26">
        <f>IFERROR(__xludf.DUMMYFUNCTION("""COMPUTED_VALUE"""),40.0)</f>
        <v>40</v>
      </c>
      <c r="J284" s="26"/>
      <c r="K284" s="26">
        <f t="shared" si="3"/>
        <v>80</v>
      </c>
    </row>
    <row r="285">
      <c r="A285" s="26" t="str">
        <f>IFERROR(__xludf.DUMMYFUNCTION("""COMPUTED_VALUE"""),"CRM-BR-580-T226-NW-BLACK")</f>
        <v>CRM-BR-580-T226-NW-BLACK</v>
      </c>
      <c r="B285" s="26">
        <f>IFERROR(__xludf.DUMMYFUNCTION("""COMPUTED_VALUE"""),2.0)</f>
        <v>2</v>
      </c>
      <c r="C285" s="26" t="str">
        <f>IFERROR(__xludf.DUMMYFUNCTION("""COMPUTED_VALUE"""),"BLR8")</f>
        <v>BLR8</v>
      </c>
      <c r="D285" s="26"/>
      <c r="E285" s="26"/>
      <c r="F285" s="26"/>
      <c r="G285" s="26">
        <f>IFERROR(__xludf.DUMMYFUNCTION("""COMPUTED_VALUE"""),560313.0)</f>
        <v>560313</v>
      </c>
      <c r="H285" s="26">
        <f>IFERROR(__xludf.DUMMYFUNCTION("""COMPUTED_VALUE"""),12.0)</f>
        <v>12</v>
      </c>
      <c r="I285" s="26">
        <f>IFERROR(__xludf.DUMMYFUNCTION("""COMPUTED_VALUE"""),40.0)</f>
        <v>40</v>
      </c>
      <c r="J285" s="26"/>
      <c r="K285" s="26">
        <f t="shared" si="3"/>
        <v>80</v>
      </c>
    </row>
    <row r="286">
      <c r="A286" s="26" t="str">
        <f>IFERROR(__xludf.DUMMYFUNCTION("""COMPUTED_VALUE"""),"CRM-BR-580-T226-NW-BLACK")</f>
        <v>CRM-BR-580-T226-NW-BLACK</v>
      </c>
      <c r="B286" s="26">
        <f>IFERROR(__xludf.DUMMYFUNCTION("""COMPUTED_VALUE"""),2.0)</f>
        <v>2</v>
      </c>
      <c r="C286" s="26" t="str">
        <f>IFERROR(__xludf.DUMMYFUNCTION("""COMPUTED_VALUE"""),"MAA4")</f>
        <v>MAA4</v>
      </c>
      <c r="D286" s="26"/>
      <c r="E286" s="26"/>
      <c r="F286" s="26"/>
      <c r="G286" s="26">
        <f>IFERROR(__xludf.DUMMYFUNCTION("""COMPUTED_VALUE"""),560313.0)</f>
        <v>560313</v>
      </c>
      <c r="H286" s="26">
        <f>IFERROR(__xludf.DUMMYFUNCTION("""COMPUTED_VALUE"""),12.0)</f>
        <v>12</v>
      </c>
      <c r="I286" s="26">
        <f>IFERROR(__xludf.DUMMYFUNCTION("""COMPUTED_VALUE"""),40.0)</f>
        <v>40</v>
      </c>
      <c r="J286" s="26"/>
      <c r="K286" s="26">
        <f t="shared" si="3"/>
        <v>80</v>
      </c>
    </row>
    <row r="287">
      <c r="A287" s="26" t="str">
        <f>IFERROR(__xludf.DUMMYFUNCTION("""COMPUTED_VALUE"""),"CRM-BR-580-T226-NW-BLACK")</f>
        <v>CRM-BR-580-T226-NW-BLACK</v>
      </c>
      <c r="B287" s="26">
        <f>IFERROR(__xludf.DUMMYFUNCTION("""COMPUTED_VALUE"""),2.0)</f>
        <v>2</v>
      </c>
      <c r="C287" s="26" t="str">
        <f>IFERROR(__xludf.DUMMYFUNCTION("""COMPUTED_VALUE"""),"DEL4")</f>
        <v>DEL4</v>
      </c>
      <c r="D287" s="26"/>
      <c r="E287" s="26"/>
      <c r="F287" s="26"/>
      <c r="G287" s="26">
        <f>IFERROR(__xludf.DUMMYFUNCTION("""COMPUTED_VALUE"""),560313.0)</f>
        <v>560313</v>
      </c>
      <c r="H287" s="26">
        <f>IFERROR(__xludf.DUMMYFUNCTION("""COMPUTED_VALUE"""),12.0)</f>
        <v>12</v>
      </c>
      <c r="I287" s="26">
        <f>IFERROR(__xludf.DUMMYFUNCTION("""COMPUTED_VALUE"""),40.0)</f>
        <v>40</v>
      </c>
      <c r="J287" s="26"/>
      <c r="K287" s="26">
        <f t="shared" si="3"/>
        <v>80</v>
      </c>
    </row>
    <row r="288">
      <c r="A288" s="26" t="str">
        <f>IFERROR(__xludf.DUMMYFUNCTION("""COMPUTED_VALUE"""),"CRM-BR-580-T226-NW-BLACK")</f>
        <v>CRM-BR-580-T226-NW-BLACK</v>
      </c>
      <c r="B288" s="26">
        <f>IFERROR(__xludf.DUMMYFUNCTION("""COMPUTED_VALUE"""),2.0)</f>
        <v>2</v>
      </c>
      <c r="C288" s="26" t="str">
        <f>IFERROR(__xludf.DUMMYFUNCTION("""COMPUTED_VALUE"""),"DEL5")</f>
        <v>DEL5</v>
      </c>
      <c r="D288" s="26"/>
      <c r="E288" s="26"/>
      <c r="F288" s="26"/>
      <c r="G288" s="26">
        <f>IFERROR(__xludf.DUMMYFUNCTION("""COMPUTED_VALUE"""),560313.0)</f>
        <v>560313</v>
      </c>
      <c r="H288" s="26">
        <f>IFERROR(__xludf.DUMMYFUNCTION("""COMPUTED_VALUE"""),12.0)</f>
        <v>12</v>
      </c>
      <c r="I288" s="26">
        <f>IFERROR(__xludf.DUMMYFUNCTION("""COMPUTED_VALUE"""),40.0)</f>
        <v>40</v>
      </c>
      <c r="J288" s="26"/>
      <c r="K288" s="26">
        <f t="shared" si="3"/>
        <v>80</v>
      </c>
    </row>
    <row r="289">
      <c r="A289" s="26" t="str">
        <f>IFERROR(__xludf.DUMMYFUNCTION("""COMPUTED_VALUE"""),"CRM-HP-580-Black")</f>
        <v>CRM-HP-580-Black</v>
      </c>
      <c r="B289" s="26">
        <f>IFERROR(__xludf.DUMMYFUNCTION("""COMPUTED_VALUE"""),8.0)</f>
        <v>8</v>
      </c>
      <c r="C289" s="26" t="str">
        <f>IFERROR(__xludf.DUMMYFUNCTION("""COMPUTED_VALUE"""),"AMD2")</f>
        <v>AMD2</v>
      </c>
      <c r="D289" s="26"/>
      <c r="E289" s="26"/>
      <c r="F289" s="26"/>
      <c r="G289" s="26">
        <f>IFERROR(__xludf.DUMMYFUNCTION("""COMPUTED_VALUE"""),560313.0)</f>
        <v>560313</v>
      </c>
      <c r="H289" s="26">
        <f>IFERROR(__xludf.DUMMYFUNCTION("""COMPUTED_VALUE"""),12.0)</f>
        <v>12</v>
      </c>
      <c r="I289" s="26">
        <f>IFERROR(__xludf.DUMMYFUNCTION("""COMPUTED_VALUE"""),40.0)</f>
        <v>40</v>
      </c>
      <c r="J289" s="26"/>
      <c r="K289" s="26">
        <f t="shared" si="3"/>
        <v>320</v>
      </c>
    </row>
    <row r="290">
      <c r="A290" s="26" t="str">
        <f>IFERROR(__xludf.DUMMYFUNCTION("""COMPUTED_VALUE"""),"CRM-HP-580-Black")</f>
        <v>CRM-HP-580-Black</v>
      </c>
      <c r="B290" s="26">
        <f>IFERROR(__xludf.DUMMYFUNCTION("""COMPUTED_VALUE"""),10.0)</f>
        <v>10</v>
      </c>
      <c r="C290" s="26" t="str">
        <f>IFERROR(__xludf.DUMMYFUNCTION("""COMPUTED_VALUE"""),"BLR8")</f>
        <v>BLR8</v>
      </c>
      <c r="D290" s="26"/>
      <c r="E290" s="26"/>
      <c r="F290" s="26"/>
      <c r="G290" s="26">
        <f>IFERROR(__xludf.DUMMYFUNCTION("""COMPUTED_VALUE"""),560313.0)</f>
        <v>560313</v>
      </c>
      <c r="H290" s="26">
        <f>IFERROR(__xludf.DUMMYFUNCTION("""COMPUTED_VALUE"""),12.0)</f>
        <v>12</v>
      </c>
      <c r="I290" s="26">
        <f>IFERROR(__xludf.DUMMYFUNCTION("""COMPUTED_VALUE"""),40.0)</f>
        <v>40</v>
      </c>
      <c r="J290" s="26"/>
      <c r="K290" s="26">
        <f t="shared" si="3"/>
        <v>400</v>
      </c>
    </row>
    <row r="291">
      <c r="A291" s="26" t="str">
        <f>IFERROR(__xludf.DUMMYFUNCTION("""COMPUTED_VALUE"""),"CRM-HP-580-Black")</f>
        <v>CRM-HP-580-Black</v>
      </c>
      <c r="B291" s="26">
        <f>IFERROR(__xludf.DUMMYFUNCTION("""COMPUTED_VALUE"""),10.0)</f>
        <v>10</v>
      </c>
      <c r="C291" s="26" t="str">
        <f>IFERROR(__xludf.DUMMYFUNCTION("""COMPUTED_VALUE"""),"BLR7")</f>
        <v>BLR7</v>
      </c>
      <c r="D291" s="26"/>
      <c r="E291" s="26"/>
      <c r="F291" s="26"/>
      <c r="G291" s="26">
        <f>IFERROR(__xludf.DUMMYFUNCTION("""COMPUTED_VALUE"""),560313.0)</f>
        <v>560313</v>
      </c>
      <c r="H291" s="26">
        <f>IFERROR(__xludf.DUMMYFUNCTION("""COMPUTED_VALUE"""),12.0)</f>
        <v>12</v>
      </c>
      <c r="I291" s="26">
        <f>IFERROR(__xludf.DUMMYFUNCTION("""COMPUTED_VALUE"""),40.0)</f>
        <v>40</v>
      </c>
      <c r="J291" s="26"/>
      <c r="K291" s="26">
        <f t="shared" si="3"/>
        <v>400</v>
      </c>
    </row>
    <row r="292">
      <c r="A292" s="26" t="str">
        <f>IFERROR(__xludf.DUMMYFUNCTION("""COMPUTED_VALUE"""),"CRM-HP-580-Black")</f>
        <v>CRM-HP-580-Black</v>
      </c>
      <c r="B292" s="26">
        <f>IFERROR(__xludf.DUMMYFUNCTION("""COMPUTED_VALUE"""),2.0)</f>
        <v>2</v>
      </c>
      <c r="C292" s="26" t="str">
        <f>IFERROR(__xludf.DUMMYFUNCTION("""COMPUTED_VALUE"""),"CJB1")</f>
        <v>CJB1</v>
      </c>
      <c r="D292" s="26"/>
      <c r="E292" s="26"/>
      <c r="F292" s="26"/>
      <c r="G292" s="26">
        <f>IFERROR(__xludf.DUMMYFUNCTION("""COMPUTED_VALUE"""),560313.0)</f>
        <v>560313</v>
      </c>
      <c r="H292" s="26">
        <f>IFERROR(__xludf.DUMMYFUNCTION("""COMPUTED_VALUE"""),12.0)</f>
        <v>12</v>
      </c>
      <c r="I292" s="26">
        <f>IFERROR(__xludf.DUMMYFUNCTION("""COMPUTED_VALUE"""),40.0)</f>
        <v>40</v>
      </c>
      <c r="J292" s="26"/>
      <c r="K292" s="26">
        <f t="shared" si="3"/>
        <v>80</v>
      </c>
    </row>
    <row r="293">
      <c r="A293" s="26" t="str">
        <f>IFERROR(__xludf.DUMMYFUNCTION("""COMPUTED_VALUE"""),"CRM-HP-580-Black")</f>
        <v>CRM-HP-580-Black</v>
      </c>
      <c r="B293" s="26">
        <f>IFERROR(__xludf.DUMMYFUNCTION("""COMPUTED_VALUE"""),4.0)</f>
        <v>4</v>
      </c>
      <c r="C293" s="26" t="str">
        <f>IFERROR(__xludf.DUMMYFUNCTION("""COMPUTED_VALUE"""),"MAA4")</f>
        <v>MAA4</v>
      </c>
      <c r="D293" s="26"/>
      <c r="E293" s="26"/>
      <c r="F293" s="26"/>
      <c r="G293" s="26">
        <f>IFERROR(__xludf.DUMMYFUNCTION("""COMPUTED_VALUE"""),560313.0)</f>
        <v>560313</v>
      </c>
      <c r="H293" s="26">
        <f>IFERROR(__xludf.DUMMYFUNCTION("""COMPUTED_VALUE"""),12.0)</f>
        <v>12</v>
      </c>
      <c r="I293" s="26">
        <f>IFERROR(__xludf.DUMMYFUNCTION("""COMPUTED_VALUE"""),40.0)</f>
        <v>40</v>
      </c>
      <c r="J293" s="26"/>
      <c r="K293" s="26">
        <f t="shared" si="3"/>
        <v>160</v>
      </c>
    </row>
    <row r="294">
      <c r="A294" s="26" t="str">
        <f>IFERROR(__xludf.DUMMYFUNCTION("""COMPUTED_VALUE"""),"CRM-HP-580-Black")</f>
        <v>CRM-HP-580-Black</v>
      </c>
      <c r="B294" s="26">
        <f>IFERROR(__xludf.DUMMYFUNCTION("""COMPUTED_VALUE"""),16.0)</f>
        <v>16</v>
      </c>
      <c r="C294" s="26" t="str">
        <f>IFERROR(__xludf.DUMMYFUNCTION("""COMPUTED_VALUE"""),"DEL4")</f>
        <v>DEL4</v>
      </c>
      <c r="D294" s="26"/>
      <c r="E294" s="26"/>
      <c r="F294" s="26"/>
      <c r="G294" s="26">
        <f>IFERROR(__xludf.DUMMYFUNCTION("""COMPUTED_VALUE"""),560313.0)</f>
        <v>560313</v>
      </c>
      <c r="H294" s="26">
        <f>IFERROR(__xludf.DUMMYFUNCTION("""COMPUTED_VALUE"""),12.0)</f>
        <v>12</v>
      </c>
      <c r="I294" s="26">
        <f>IFERROR(__xludf.DUMMYFUNCTION("""COMPUTED_VALUE"""),40.0)</f>
        <v>40</v>
      </c>
      <c r="J294" s="26"/>
      <c r="K294" s="26">
        <f t="shared" si="3"/>
        <v>640</v>
      </c>
    </row>
    <row r="295">
      <c r="A295" s="26" t="str">
        <f>IFERROR(__xludf.DUMMYFUNCTION("""COMPUTED_VALUE"""),"CRM-HP-580-Black")</f>
        <v>CRM-HP-580-Black</v>
      </c>
      <c r="B295" s="26">
        <f>IFERROR(__xludf.DUMMYFUNCTION("""COMPUTED_VALUE"""),6.0)</f>
        <v>6</v>
      </c>
      <c r="C295" s="26" t="str">
        <f>IFERROR(__xludf.DUMMYFUNCTION("""COMPUTED_VALUE"""),"DEL5")</f>
        <v>DEL5</v>
      </c>
      <c r="D295" s="26"/>
      <c r="E295" s="26"/>
      <c r="F295" s="26"/>
      <c r="G295" s="26">
        <f>IFERROR(__xludf.DUMMYFUNCTION("""COMPUTED_VALUE"""),560313.0)</f>
        <v>560313</v>
      </c>
      <c r="H295" s="26">
        <f>IFERROR(__xludf.DUMMYFUNCTION("""COMPUTED_VALUE"""),12.0)</f>
        <v>12</v>
      </c>
      <c r="I295" s="26">
        <f>IFERROR(__xludf.DUMMYFUNCTION("""COMPUTED_VALUE"""),40.0)</f>
        <v>40</v>
      </c>
      <c r="J295" s="26"/>
      <c r="K295" s="26">
        <f t="shared" si="3"/>
        <v>240</v>
      </c>
    </row>
    <row r="296">
      <c r="A296" s="26" t="str">
        <f>IFERROR(__xludf.DUMMYFUNCTION("""COMPUTED_VALUE"""),"CRM-HP-580-Black")</f>
        <v>CRM-HP-580-Black</v>
      </c>
      <c r="B296" s="26">
        <f>IFERROR(__xludf.DUMMYFUNCTION("""COMPUTED_VALUE"""),6.0)</f>
        <v>6</v>
      </c>
      <c r="C296" s="26" t="str">
        <f>IFERROR(__xludf.DUMMYFUNCTION("""COMPUTED_VALUE"""),"BOM5")</f>
        <v>BOM5</v>
      </c>
      <c r="D296" s="26"/>
      <c r="E296" s="26"/>
      <c r="F296" s="26"/>
      <c r="G296" s="26">
        <f>IFERROR(__xludf.DUMMYFUNCTION("""COMPUTED_VALUE"""),560313.0)</f>
        <v>560313</v>
      </c>
      <c r="H296" s="26">
        <f>IFERROR(__xludf.DUMMYFUNCTION("""COMPUTED_VALUE"""),12.0)</f>
        <v>12</v>
      </c>
      <c r="I296" s="26">
        <f>IFERROR(__xludf.DUMMYFUNCTION("""COMPUTED_VALUE"""),40.0)</f>
        <v>40</v>
      </c>
      <c r="J296" s="26"/>
      <c r="K296" s="26">
        <f t="shared" si="3"/>
        <v>240</v>
      </c>
    </row>
    <row r="297">
      <c r="A297" s="26" t="str">
        <f>IFERROR(__xludf.DUMMYFUNCTION("""COMPUTED_VALUE"""),"CRM-HP-580-Black")</f>
        <v>CRM-HP-580-Black</v>
      </c>
      <c r="B297" s="26">
        <f>IFERROR(__xludf.DUMMYFUNCTION("""COMPUTED_VALUE"""),12.0)</f>
        <v>12</v>
      </c>
      <c r="C297" s="26" t="str">
        <f>IFERROR(__xludf.DUMMYFUNCTION("""COMPUTED_VALUE"""),"BOM7")</f>
        <v>BOM7</v>
      </c>
      <c r="D297" s="26"/>
      <c r="E297" s="26"/>
      <c r="F297" s="26"/>
      <c r="G297" s="26">
        <f>IFERROR(__xludf.DUMMYFUNCTION("""COMPUTED_VALUE"""),560313.0)</f>
        <v>560313</v>
      </c>
      <c r="H297" s="26">
        <f>IFERROR(__xludf.DUMMYFUNCTION("""COMPUTED_VALUE"""),12.0)</f>
        <v>12</v>
      </c>
      <c r="I297" s="26">
        <f>IFERROR(__xludf.DUMMYFUNCTION("""COMPUTED_VALUE"""),40.0)</f>
        <v>40</v>
      </c>
      <c r="J297" s="26"/>
      <c r="K297" s="26">
        <f t="shared" si="3"/>
        <v>480</v>
      </c>
    </row>
    <row r="298">
      <c r="A298" s="26" t="str">
        <f>IFERROR(__xludf.DUMMYFUNCTION("""COMPUTED_VALUE"""),"CRM-HP-525-Grey")</f>
        <v>CRM-HP-525-Grey</v>
      </c>
      <c r="B298" s="26">
        <f>IFERROR(__xludf.DUMMYFUNCTION("""COMPUTED_VALUE"""),2.0)</f>
        <v>2</v>
      </c>
      <c r="C298" s="26" t="str">
        <f>IFERROR(__xludf.DUMMYFUNCTION("""COMPUTED_VALUE"""),"AMD2")</f>
        <v>AMD2</v>
      </c>
      <c r="D298" s="26"/>
      <c r="E298" s="26"/>
      <c r="F298" s="26"/>
      <c r="G298" s="26">
        <f>IFERROR(__xludf.DUMMYFUNCTION("""COMPUTED_VALUE"""),560313.0)</f>
        <v>560313</v>
      </c>
      <c r="H298" s="26">
        <f>IFERROR(__xludf.DUMMYFUNCTION("""COMPUTED_VALUE"""),12.0)</f>
        <v>12</v>
      </c>
      <c r="I298" s="26">
        <f>IFERROR(__xludf.DUMMYFUNCTION("""COMPUTED_VALUE"""),40.0)</f>
        <v>40</v>
      </c>
      <c r="J298" s="26"/>
      <c r="K298" s="26">
        <f t="shared" si="3"/>
        <v>80</v>
      </c>
    </row>
    <row r="299">
      <c r="A299" s="26" t="str">
        <f>IFERROR(__xludf.DUMMYFUNCTION("""COMPUTED_VALUE"""),"CRM-HP-525-Grey")</f>
        <v>CRM-HP-525-Grey</v>
      </c>
      <c r="B299" s="26">
        <f>IFERROR(__xludf.DUMMYFUNCTION("""COMPUTED_VALUE"""),2.0)</f>
        <v>2</v>
      </c>
      <c r="C299" s="26" t="str">
        <f>IFERROR(__xludf.DUMMYFUNCTION("""COMPUTED_VALUE"""),"BLR7")</f>
        <v>BLR7</v>
      </c>
      <c r="D299" s="26"/>
      <c r="E299" s="26"/>
      <c r="F299" s="26"/>
      <c r="G299" s="26">
        <f>IFERROR(__xludf.DUMMYFUNCTION("""COMPUTED_VALUE"""),560313.0)</f>
        <v>560313</v>
      </c>
      <c r="H299" s="26">
        <f>IFERROR(__xludf.DUMMYFUNCTION("""COMPUTED_VALUE"""),12.0)</f>
        <v>12</v>
      </c>
      <c r="I299" s="26">
        <f>IFERROR(__xludf.DUMMYFUNCTION("""COMPUTED_VALUE"""),40.0)</f>
        <v>40</v>
      </c>
      <c r="J299" s="26"/>
      <c r="K299" s="26">
        <f t="shared" si="3"/>
        <v>80</v>
      </c>
    </row>
    <row r="300">
      <c r="A300" s="26" t="str">
        <f>IFERROR(__xludf.DUMMYFUNCTION("""COMPUTED_VALUE"""),"CRM-HP-525-Grey")</f>
        <v>CRM-HP-525-Grey</v>
      </c>
      <c r="B300" s="26">
        <f>IFERROR(__xludf.DUMMYFUNCTION("""COMPUTED_VALUE"""),4.0)</f>
        <v>4</v>
      </c>
      <c r="C300" s="26" t="str">
        <f>IFERROR(__xludf.DUMMYFUNCTION("""COMPUTED_VALUE"""),"CJB1")</f>
        <v>CJB1</v>
      </c>
      <c r="D300" s="26"/>
      <c r="E300" s="26"/>
      <c r="F300" s="26"/>
      <c r="G300" s="26">
        <f>IFERROR(__xludf.DUMMYFUNCTION("""COMPUTED_VALUE"""),560313.0)</f>
        <v>560313</v>
      </c>
      <c r="H300" s="26">
        <f>IFERROR(__xludf.DUMMYFUNCTION("""COMPUTED_VALUE"""),12.0)</f>
        <v>12</v>
      </c>
      <c r="I300" s="26">
        <f>IFERROR(__xludf.DUMMYFUNCTION("""COMPUTED_VALUE"""),40.0)</f>
        <v>40</v>
      </c>
      <c r="J300" s="26"/>
      <c r="K300" s="26">
        <f t="shared" si="3"/>
        <v>160</v>
      </c>
    </row>
    <row r="301">
      <c r="A301" s="26" t="str">
        <f>IFERROR(__xludf.DUMMYFUNCTION("""COMPUTED_VALUE"""),"CRM-HP-525-Grey")</f>
        <v>CRM-HP-525-Grey</v>
      </c>
      <c r="B301" s="26">
        <f>IFERROR(__xludf.DUMMYFUNCTION("""COMPUTED_VALUE"""),4.0)</f>
        <v>4</v>
      </c>
      <c r="C301" s="26" t="str">
        <f>IFERROR(__xludf.DUMMYFUNCTION("""COMPUTED_VALUE"""),"DEL4")</f>
        <v>DEL4</v>
      </c>
      <c r="D301" s="26"/>
      <c r="E301" s="26"/>
      <c r="F301" s="26"/>
      <c r="G301" s="26">
        <f>IFERROR(__xludf.DUMMYFUNCTION("""COMPUTED_VALUE"""),560313.0)</f>
        <v>560313</v>
      </c>
      <c r="H301" s="26">
        <f>IFERROR(__xludf.DUMMYFUNCTION("""COMPUTED_VALUE"""),12.0)</f>
        <v>12</v>
      </c>
      <c r="I301" s="26">
        <f>IFERROR(__xludf.DUMMYFUNCTION("""COMPUTED_VALUE"""),40.0)</f>
        <v>40</v>
      </c>
      <c r="J301" s="26"/>
      <c r="K301" s="26">
        <f t="shared" si="3"/>
        <v>160</v>
      </c>
    </row>
    <row r="302">
      <c r="A302" s="26" t="str">
        <f>IFERROR(__xludf.DUMMYFUNCTION("""COMPUTED_VALUE"""),"CRM-HP-525-Grey")</f>
        <v>CRM-HP-525-Grey</v>
      </c>
      <c r="B302" s="26">
        <f>IFERROR(__xludf.DUMMYFUNCTION("""COMPUTED_VALUE"""),4.0)</f>
        <v>4</v>
      </c>
      <c r="C302" s="26" t="str">
        <f>IFERROR(__xludf.DUMMYFUNCTION("""COMPUTED_VALUE"""),"DEL5")</f>
        <v>DEL5</v>
      </c>
      <c r="D302" s="26"/>
      <c r="E302" s="26"/>
      <c r="F302" s="26"/>
      <c r="G302" s="26">
        <f>IFERROR(__xludf.DUMMYFUNCTION("""COMPUTED_VALUE"""),560313.0)</f>
        <v>560313</v>
      </c>
      <c r="H302" s="26">
        <f>IFERROR(__xludf.DUMMYFUNCTION("""COMPUTED_VALUE"""),12.0)</f>
        <v>12</v>
      </c>
      <c r="I302" s="26">
        <f>IFERROR(__xludf.DUMMYFUNCTION("""COMPUTED_VALUE"""),40.0)</f>
        <v>40</v>
      </c>
      <c r="J302" s="26"/>
      <c r="K302" s="26">
        <f t="shared" si="3"/>
        <v>160</v>
      </c>
    </row>
    <row r="303">
      <c r="A303" s="26" t="str">
        <f>IFERROR(__xludf.DUMMYFUNCTION("""COMPUTED_VALUE"""),"CRM-HP-525-Grey")</f>
        <v>CRM-HP-525-Grey</v>
      </c>
      <c r="B303" s="26">
        <f>IFERROR(__xludf.DUMMYFUNCTION("""COMPUTED_VALUE"""),4.0)</f>
        <v>4</v>
      </c>
      <c r="C303" s="26" t="str">
        <f>IFERROR(__xludf.DUMMYFUNCTION("""COMPUTED_VALUE"""),"BOM5")</f>
        <v>BOM5</v>
      </c>
      <c r="D303" s="26"/>
      <c r="E303" s="26"/>
      <c r="F303" s="26"/>
      <c r="G303" s="26">
        <f>IFERROR(__xludf.DUMMYFUNCTION("""COMPUTED_VALUE"""),560313.0)</f>
        <v>560313</v>
      </c>
      <c r="H303" s="26">
        <f>IFERROR(__xludf.DUMMYFUNCTION("""COMPUTED_VALUE"""),12.0)</f>
        <v>12</v>
      </c>
      <c r="I303" s="26">
        <f>IFERROR(__xludf.DUMMYFUNCTION("""COMPUTED_VALUE"""),40.0)</f>
        <v>40</v>
      </c>
      <c r="J303" s="26"/>
      <c r="K303" s="26">
        <f t="shared" si="3"/>
        <v>160</v>
      </c>
    </row>
    <row r="304">
      <c r="A304" s="26" t="str">
        <f>IFERROR(__xludf.DUMMYFUNCTION("""COMPUTED_VALUE"""),"CRM-HP-525-Black")</f>
        <v>CRM-HP-525-Black</v>
      </c>
      <c r="B304" s="26">
        <f>IFERROR(__xludf.DUMMYFUNCTION("""COMPUTED_VALUE"""),2.0)</f>
        <v>2</v>
      </c>
      <c r="C304" s="26" t="str">
        <f>IFERROR(__xludf.DUMMYFUNCTION("""COMPUTED_VALUE"""),"MAA4")</f>
        <v>MAA4</v>
      </c>
      <c r="D304" s="26"/>
      <c r="E304" s="26"/>
      <c r="F304" s="26"/>
      <c r="G304" s="26">
        <f>IFERROR(__xludf.DUMMYFUNCTION("""COMPUTED_VALUE"""),560313.0)</f>
        <v>560313</v>
      </c>
      <c r="H304" s="26">
        <f>IFERROR(__xludf.DUMMYFUNCTION("""COMPUTED_VALUE"""),12.0)</f>
        <v>12</v>
      </c>
      <c r="I304" s="26">
        <f>IFERROR(__xludf.DUMMYFUNCTION("""COMPUTED_VALUE"""),40.0)</f>
        <v>40</v>
      </c>
      <c r="J304" s="26"/>
      <c r="K304" s="26">
        <f t="shared" si="3"/>
        <v>80</v>
      </c>
    </row>
    <row r="305">
      <c r="A305" s="26" t="str">
        <f>IFERROR(__xludf.DUMMYFUNCTION("""COMPUTED_VALUE"""),"CRM-HP-525-Black")</f>
        <v>CRM-HP-525-Black</v>
      </c>
      <c r="B305" s="26">
        <f>IFERROR(__xludf.DUMMYFUNCTION("""COMPUTED_VALUE"""),2.0)</f>
        <v>2</v>
      </c>
      <c r="C305" s="26" t="str">
        <f>IFERROR(__xludf.DUMMYFUNCTION("""COMPUTED_VALUE"""),"DEL4")</f>
        <v>DEL4</v>
      </c>
      <c r="D305" s="26"/>
      <c r="E305" s="26"/>
      <c r="F305" s="26"/>
      <c r="G305" s="26">
        <f>IFERROR(__xludf.DUMMYFUNCTION("""COMPUTED_VALUE"""),560313.0)</f>
        <v>560313</v>
      </c>
      <c r="H305" s="26">
        <f>IFERROR(__xludf.DUMMYFUNCTION("""COMPUTED_VALUE"""),12.0)</f>
        <v>12</v>
      </c>
      <c r="I305" s="26">
        <f>IFERROR(__xludf.DUMMYFUNCTION("""COMPUTED_VALUE"""),40.0)</f>
        <v>40</v>
      </c>
      <c r="J305" s="26"/>
      <c r="K305" s="26">
        <f t="shared" si="3"/>
        <v>80</v>
      </c>
    </row>
    <row r="306">
      <c r="A306" s="26" t="str">
        <f>IFERROR(__xludf.DUMMYFUNCTION("""COMPUTED_VALUE"""),"CRM-HP-525-Black")</f>
        <v>CRM-HP-525-Black</v>
      </c>
      <c r="B306" s="26">
        <f>IFERROR(__xludf.DUMMYFUNCTION("""COMPUTED_VALUE"""),4.0)</f>
        <v>4</v>
      </c>
      <c r="C306" s="26" t="str">
        <f>IFERROR(__xludf.DUMMYFUNCTION("""COMPUTED_VALUE"""),"DEL5")</f>
        <v>DEL5</v>
      </c>
      <c r="D306" s="26"/>
      <c r="E306" s="26"/>
      <c r="F306" s="26"/>
      <c r="G306" s="26">
        <f>IFERROR(__xludf.DUMMYFUNCTION("""COMPUTED_VALUE"""),560313.0)</f>
        <v>560313</v>
      </c>
      <c r="H306" s="26">
        <f>IFERROR(__xludf.DUMMYFUNCTION("""COMPUTED_VALUE"""),12.0)</f>
        <v>12</v>
      </c>
      <c r="I306" s="26">
        <f>IFERROR(__xludf.DUMMYFUNCTION("""COMPUTED_VALUE"""),40.0)</f>
        <v>40</v>
      </c>
      <c r="J306" s="26"/>
      <c r="K306" s="26">
        <f t="shared" si="3"/>
        <v>160</v>
      </c>
    </row>
    <row r="307">
      <c r="A307" s="26" t="str">
        <f>IFERROR(__xludf.DUMMYFUNCTION("""COMPUTED_VALUE"""),"CRM-HP-525-Black")</f>
        <v>CRM-HP-525-Black</v>
      </c>
      <c r="B307" s="26">
        <f>IFERROR(__xludf.DUMMYFUNCTION("""COMPUTED_VALUE"""),4.0)</f>
        <v>4</v>
      </c>
      <c r="C307" s="26" t="str">
        <f>IFERROR(__xludf.DUMMYFUNCTION("""COMPUTED_VALUE"""),"BOM5")</f>
        <v>BOM5</v>
      </c>
      <c r="D307" s="26"/>
      <c r="E307" s="26"/>
      <c r="F307" s="26"/>
      <c r="G307" s="26">
        <f>IFERROR(__xludf.DUMMYFUNCTION("""COMPUTED_VALUE"""),560313.0)</f>
        <v>560313</v>
      </c>
      <c r="H307" s="26">
        <f>IFERROR(__xludf.DUMMYFUNCTION("""COMPUTED_VALUE"""),12.0)</f>
        <v>12</v>
      </c>
      <c r="I307" s="26">
        <f>IFERROR(__xludf.DUMMYFUNCTION("""COMPUTED_VALUE"""),40.0)</f>
        <v>40</v>
      </c>
      <c r="J307" s="26"/>
      <c r="K307" s="26">
        <f t="shared" si="3"/>
        <v>160</v>
      </c>
    </row>
    <row r="308">
      <c r="A308" s="26" t="str">
        <f>IFERROR(__xludf.DUMMYFUNCTION("""COMPUTED_VALUE"""),"CRM-PR-4826-E477-BLACK")</f>
        <v>CRM-PR-4826-E477-BLACK</v>
      </c>
      <c r="B308" s="26">
        <f>IFERROR(__xludf.DUMMYFUNCTION("""COMPUTED_VALUE"""),10.0)</f>
        <v>10</v>
      </c>
      <c r="C308" s="26" t="str">
        <f>IFERROR(__xludf.DUMMYFUNCTION("""COMPUTED_VALUE"""),"BLR7")</f>
        <v>BLR7</v>
      </c>
      <c r="D308" s="26"/>
      <c r="E308" s="26"/>
      <c r="F308" s="26"/>
      <c r="G308" s="26">
        <f>IFERROR(__xludf.DUMMYFUNCTION("""COMPUTED_VALUE"""),560313.0)</f>
        <v>560313</v>
      </c>
      <c r="H308" s="26">
        <f>IFERROR(__xludf.DUMMYFUNCTION("""COMPUTED_VALUE"""),12.0)</f>
        <v>12</v>
      </c>
      <c r="I308" s="26">
        <f>IFERROR(__xludf.DUMMYFUNCTION("""COMPUTED_VALUE"""),40.0)</f>
        <v>40</v>
      </c>
      <c r="J308" s="26"/>
      <c r="K308" s="26">
        <f t="shared" si="3"/>
        <v>400</v>
      </c>
    </row>
    <row r="309">
      <c r="A309" s="26" t="str">
        <f>IFERROR(__xludf.DUMMYFUNCTION("""COMPUTED_VALUE"""),"CRM-PR-4826-E477-BLACK")</f>
        <v>CRM-PR-4826-E477-BLACK</v>
      </c>
      <c r="B309" s="26">
        <f>IFERROR(__xludf.DUMMYFUNCTION("""COMPUTED_VALUE"""),2.0)</f>
        <v>2</v>
      </c>
      <c r="C309" s="26" t="str">
        <f>IFERROR(__xludf.DUMMYFUNCTION("""COMPUTED_VALUE"""),"MAA4")</f>
        <v>MAA4</v>
      </c>
      <c r="D309" s="26"/>
      <c r="E309" s="26"/>
      <c r="F309" s="26"/>
      <c r="G309" s="26">
        <f>IFERROR(__xludf.DUMMYFUNCTION("""COMPUTED_VALUE"""),560313.0)</f>
        <v>560313</v>
      </c>
      <c r="H309" s="26">
        <f>IFERROR(__xludf.DUMMYFUNCTION("""COMPUTED_VALUE"""),12.0)</f>
        <v>12</v>
      </c>
      <c r="I309" s="26">
        <f>IFERROR(__xludf.DUMMYFUNCTION("""COMPUTED_VALUE"""),40.0)</f>
        <v>40</v>
      </c>
      <c r="J309" s="26"/>
      <c r="K309" s="26">
        <f t="shared" si="3"/>
        <v>80</v>
      </c>
    </row>
    <row r="310">
      <c r="A310" s="26" t="str">
        <f>IFERROR(__xludf.DUMMYFUNCTION("""COMPUTED_VALUE"""),"CRM-PR-4826-E477-BLACK")</f>
        <v>CRM-PR-4826-E477-BLACK</v>
      </c>
      <c r="B310" s="26">
        <f>IFERROR(__xludf.DUMMYFUNCTION("""COMPUTED_VALUE"""),2.0)</f>
        <v>2</v>
      </c>
      <c r="C310" s="26" t="str">
        <f>IFERROR(__xludf.DUMMYFUNCTION("""COMPUTED_VALUE"""),"DEL4")</f>
        <v>DEL4</v>
      </c>
      <c r="D310" s="26"/>
      <c r="E310" s="26"/>
      <c r="F310" s="26"/>
      <c r="G310" s="26">
        <f>IFERROR(__xludf.DUMMYFUNCTION("""COMPUTED_VALUE"""),560313.0)</f>
        <v>560313</v>
      </c>
      <c r="H310" s="26">
        <f>IFERROR(__xludf.DUMMYFUNCTION("""COMPUTED_VALUE"""),12.0)</f>
        <v>12</v>
      </c>
      <c r="I310" s="26">
        <f>IFERROR(__xludf.DUMMYFUNCTION("""COMPUTED_VALUE"""),40.0)</f>
        <v>40</v>
      </c>
      <c r="J310" s="26"/>
      <c r="K310" s="26">
        <f t="shared" si="3"/>
        <v>80</v>
      </c>
    </row>
    <row r="311">
      <c r="A311" s="26" t="str">
        <f>IFERROR(__xludf.DUMMYFUNCTION("""COMPUTED_VALUE"""),"CRM-PR-4826-E477-BLACK")</f>
        <v>CRM-PR-4826-E477-BLACK</v>
      </c>
      <c r="B311" s="26">
        <f>IFERROR(__xludf.DUMMYFUNCTION("""COMPUTED_VALUE"""),6.0)</f>
        <v>6</v>
      </c>
      <c r="C311" s="26" t="str">
        <f>IFERROR(__xludf.DUMMYFUNCTION("""COMPUTED_VALUE"""),"BOM5")</f>
        <v>BOM5</v>
      </c>
      <c r="D311" s="26"/>
      <c r="E311" s="26"/>
      <c r="F311" s="26"/>
      <c r="G311" s="26">
        <f>IFERROR(__xludf.DUMMYFUNCTION("""COMPUTED_VALUE"""),560313.0)</f>
        <v>560313</v>
      </c>
      <c r="H311" s="26">
        <f>IFERROR(__xludf.DUMMYFUNCTION("""COMPUTED_VALUE"""),12.0)</f>
        <v>12</v>
      </c>
      <c r="I311" s="26">
        <f>IFERROR(__xludf.DUMMYFUNCTION("""COMPUTED_VALUE"""),40.0)</f>
        <v>40</v>
      </c>
      <c r="J311" s="26"/>
      <c r="K311" s="26">
        <f t="shared" si="3"/>
        <v>240</v>
      </c>
    </row>
    <row r="312">
      <c r="A312" s="26" t="str">
        <f>IFERROR(__xludf.DUMMYFUNCTION("""COMPUTED_VALUE"""),"CRM-PR-4826-E477-GREY")</f>
        <v>CRM-PR-4826-E477-GREY</v>
      </c>
      <c r="B312" s="26">
        <f>IFERROR(__xludf.DUMMYFUNCTION("""COMPUTED_VALUE"""),4.0)</f>
        <v>4</v>
      </c>
      <c r="C312" s="26" t="str">
        <f>IFERROR(__xludf.DUMMYFUNCTION("""COMPUTED_VALUE"""),"AMD2")</f>
        <v>AMD2</v>
      </c>
      <c r="D312" s="26"/>
      <c r="E312" s="26"/>
      <c r="F312" s="26"/>
      <c r="G312" s="26">
        <f>IFERROR(__xludf.DUMMYFUNCTION("""COMPUTED_VALUE"""),560313.0)</f>
        <v>560313</v>
      </c>
      <c r="H312" s="26">
        <f>IFERROR(__xludf.DUMMYFUNCTION("""COMPUTED_VALUE"""),12.0)</f>
        <v>12</v>
      </c>
      <c r="I312" s="26">
        <f>IFERROR(__xludf.DUMMYFUNCTION("""COMPUTED_VALUE"""),40.0)</f>
        <v>40</v>
      </c>
      <c r="J312" s="26"/>
      <c r="K312" s="26">
        <f t="shared" si="3"/>
        <v>160</v>
      </c>
    </row>
    <row r="313">
      <c r="A313" s="26" t="str">
        <f>IFERROR(__xludf.DUMMYFUNCTION("""COMPUTED_VALUE"""),"CRM-PR-4826-E477-GREY")</f>
        <v>CRM-PR-4826-E477-GREY</v>
      </c>
      <c r="B313" s="26">
        <f>IFERROR(__xludf.DUMMYFUNCTION("""COMPUTED_VALUE"""),16.0)</f>
        <v>16</v>
      </c>
      <c r="C313" s="26" t="str">
        <f>IFERROR(__xludf.DUMMYFUNCTION("""COMPUTED_VALUE"""),"DEL5")</f>
        <v>DEL5</v>
      </c>
      <c r="D313" s="26"/>
      <c r="E313" s="26"/>
      <c r="F313" s="26"/>
      <c r="G313" s="26">
        <f>IFERROR(__xludf.DUMMYFUNCTION("""COMPUTED_VALUE"""),560313.0)</f>
        <v>560313</v>
      </c>
      <c r="H313" s="26">
        <f>IFERROR(__xludf.DUMMYFUNCTION("""COMPUTED_VALUE"""),12.0)</f>
        <v>12</v>
      </c>
      <c r="I313" s="26">
        <f>IFERROR(__xludf.DUMMYFUNCTION("""COMPUTED_VALUE"""),40.0)</f>
        <v>40</v>
      </c>
      <c r="J313" s="26"/>
      <c r="K313" s="26">
        <f t="shared" si="3"/>
        <v>640</v>
      </c>
    </row>
    <row r="314">
      <c r="A314" s="26" t="str">
        <f>IFERROR(__xludf.DUMMYFUNCTION("""COMPUTED_VALUE"""),"CRM-PR-4826-E477-GREY")</f>
        <v>CRM-PR-4826-E477-GREY</v>
      </c>
      <c r="B314" s="26">
        <f>IFERROR(__xludf.DUMMYFUNCTION("""COMPUTED_VALUE"""),6.0)</f>
        <v>6</v>
      </c>
      <c r="C314" s="26" t="str">
        <f>IFERROR(__xludf.DUMMYFUNCTION("""COMPUTED_VALUE"""),"BOM5")</f>
        <v>BOM5</v>
      </c>
      <c r="D314" s="26"/>
      <c r="E314" s="26"/>
      <c r="F314" s="26"/>
      <c r="G314" s="26">
        <f>IFERROR(__xludf.DUMMYFUNCTION("""COMPUTED_VALUE"""),560313.0)</f>
        <v>560313</v>
      </c>
      <c r="H314" s="26">
        <f>IFERROR(__xludf.DUMMYFUNCTION("""COMPUTED_VALUE"""),12.0)</f>
        <v>12</v>
      </c>
      <c r="I314" s="26">
        <f>IFERROR(__xludf.DUMMYFUNCTION("""COMPUTED_VALUE"""),40.0)</f>
        <v>40</v>
      </c>
      <c r="J314" s="26"/>
      <c r="K314" s="26">
        <f t="shared" si="3"/>
        <v>240</v>
      </c>
    </row>
    <row r="315">
      <c r="A315" s="26" t="str">
        <f>IFERROR(__xludf.DUMMYFUNCTION("""COMPUTED_VALUE"""),"CRM-PR-4826-E477-GREY")</f>
        <v>CRM-PR-4826-E477-GREY</v>
      </c>
      <c r="B315" s="26">
        <f>IFERROR(__xludf.DUMMYFUNCTION("""COMPUTED_VALUE"""),10.0)</f>
        <v>10</v>
      </c>
      <c r="C315" s="26" t="str">
        <f>IFERROR(__xludf.DUMMYFUNCTION("""COMPUTED_VALUE"""),"BOM7")</f>
        <v>BOM7</v>
      </c>
      <c r="D315" s="26"/>
      <c r="E315" s="26"/>
      <c r="F315" s="26"/>
      <c r="G315" s="26">
        <f>IFERROR(__xludf.DUMMYFUNCTION("""COMPUTED_VALUE"""),560313.0)</f>
        <v>560313</v>
      </c>
      <c r="H315" s="26">
        <f>IFERROR(__xludf.DUMMYFUNCTION("""COMPUTED_VALUE"""),12.0)</f>
        <v>12</v>
      </c>
      <c r="I315" s="26">
        <f>IFERROR(__xludf.DUMMYFUNCTION("""COMPUTED_VALUE"""),40.0)</f>
        <v>40</v>
      </c>
      <c r="J315" s="26"/>
      <c r="K315" s="26">
        <f t="shared" si="3"/>
        <v>400</v>
      </c>
    </row>
    <row r="316">
      <c r="A316" s="26" t="str">
        <f>IFERROR(__xludf.DUMMYFUNCTION("""COMPUTED_VALUE"""),"CRM-PR-670-G3770-BLACK")</f>
        <v>CRM-PR-670-G3770-BLACK</v>
      </c>
      <c r="B316" s="26">
        <f>IFERROR(__xludf.DUMMYFUNCTION("""COMPUTED_VALUE"""),4.0)</f>
        <v>4</v>
      </c>
      <c r="C316" s="26" t="str">
        <f>IFERROR(__xludf.DUMMYFUNCTION("""COMPUTED_VALUE"""),"AMD2")</f>
        <v>AMD2</v>
      </c>
      <c r="D316" s="26"/>
      <c r="E316" s="26"/>
      <c r="F316" s="26"/>
      <c r="G316" s="26">
        <f>IFERROR(__xludf.DUMMYFUNCTION("""COMPUTED_VALUE"""),560313.0)</f>
        <v>560313</v>
      </c>
      <c r="H316" s="26">
        <f>IFERROR(__xludf.DUMMYFUNCTION("""COMPUTED_VALUE"""),12.0)</f>
        <v>12</v>
      </c>
      <c r="I316" s="26">
        <f>IFERROR(__xludf.DUMMYFUNCTION("""COMPUTED_VALUE"""),40.0)</f>
        <v>40</v>
      </c>
      <c r="J316" s="26"/>
      <c r="K316" s="26">
        <f t="shared" si="3"/>
        <v>160</v>
      </c>
    </row>
    <row r="317">
      <c r="A317" s="26" t="str">
        <f>IFERROR(__xludf.DUMMYFUNCTION("""COMPUTED_VALUE"""),"CRM-PR-670-G3770-BLACK")</f>
        <v>CRM-PR-670-G3770-BLACK</v>
      </c>
      <c r="B317" s="26">
        <f>IFERROR(__xludf.DUMMYFUNCTION("""COMPUTED_VALUE"""),30.0)</f>
        <v>30</v>
      </c>
      <c r="C317" s="26" t="str">
        <f>IFERROR(__xludf.DUMMYFUNCTION("""COMPUTED_VALUE"""),"BLR8")</f>
        <v>BLR8</v>
      </c>
      <c r="D317" s="26"/>
      <c r="E317" s="26"/>
      <c r="F317" s="26"/>
      <c r="G317" s="26">
        <f>IFERROR(__xludf.DUMMYFUNCTION("""COMPUTED_VALUE"""),560313.0)</f>
        <v>560313</v>
      </c>
      <c r="H317" s="26">
        <f>IFERROR(__xludf.DUMMYFUNCTION("""COMPUTED_VALUE"""),12.0)</f>
        <v>12</v>
      </c>
      <c r="I317" s="26">
        <f>IFERROR(__xludf.DUMMYFUNCTION("""COMPUTED_VALUE"""),40.0)</f>
        <v>40</v>
      </c>
      <c r="J317" s="26"/>
      <c r="K317" s="26">
        <f t="shared" si="3"/>
        <v>1200</v>
      </c>
    </row>
    <row r="318">
      <c r="A318" s="26" t="str">
        <f>IFERROR(__xludf.DUMMYFUNCTION("""COMPUTED_VALUE"""),"CRM-PR-670-G3770-BLACK")</f>
        <v>CRM-PR-670-G3770-BLACK</v>
      </c>
      <c r="B318" s="26">
        <f>IFERROR(__xludf.DUMMYFUNCTION("""COMPUTED_VALUE"""),16.0)</f>
        <v>16</v>
      </c>
      <c r="C318" s="26" t="str">
        <f>IFERROR(__xludf.DUMMYFUNCTION("""COMPUTED_VALUE"""),"BLR7")</f>
        <v>BLR7</v>
      </c>
      <c r="D318" s="26"/>
      <c r="E318" s="26"/>
      <c r="F318" s="26"/>
      <c r="G318" s="26">
        <f>IFERROR(__xludf.DUMMYFUNCTION("""COMPUTED_VALUE"""),560313.0)</f>
        <v>560313</v>
      </c>
      <c r="H318" s="26">
        <f>IFERROR(__xludf.DUMMYFUNCTION("""COMPUTED_VALUE"""),12.0)</f>
        <v>12</v>
      </c>
      <c r="I318" s="26">
        <f>IFERROR(__xludf.DUMMYFUNCTION("""COMPUTED_VALUE"""),40.0)</f>
        <v>40</v>
      </c>
      <c r="J318" s="26"/>
      <c r="K318" s="26">
        <f t="shared" si="3"/>
        <v>640</v>
      </c>
    </row>
    <row r="319">
      <c r="A319" s="26" t="str">
        <f>IFERROR(__xludf.DUMMYFUNCTION("""COMPUTED_VALUE"""),"CRM-PR-670-G3770-BLACK")</f>
        <v>CRM-PR-670-G3770-BLACK</v>
      </c>
      <c r="B319" s="26">
        <f>IFERROR(__xludf.DUMMYFUNCTION("""COMPUTED_VALUE"""),14.0)</f>
        <v>14</v>
      </c>
      <c r="C319" s="26" t="str">
        <f>IFERROR(__xludf.DUMMYFUNCTION("""COMPUTED_VALUE"""),"CJB1")</f>
        <v>CJB1</v>
      </c>
      <c r="D319" s="26"/>
      <c r="E319" s="26"/>
      <c r="F319" s="26"/>
      <c r="G319" s="26">
        <f>IFERROR(__xludf.DUMMYFUNCTION("""COMPUTED_VALUE"""),560313.0)</f>
        <v>560313</v>
      </c>
      <c r="H319" s="26">
        <f>IFERROR(__xludf.DUMMYFUNCTION("""COMPUTED_VALUE"""),12.0)</f>
        <v>12</v>
      </c>
      <c r="I319" s="26">
        <f>IFERROR(__xludf.DUMMYFUNCTION("""COMPUTED_VALUE"""),40.0)</f>
        <v>40</v>
      </c>
      <c r="J319" s="26"/>
      <c r="K319" s="26">
        <f t="shared" si="3"/>
        <v>560</v>
      </c>
    </row>
    <row r="320">
      <c r="A320" s="26" t="str">
        <f>IFERROR(__xludf.DUMMYFUNCTION("""COMPUTED_VALUE"""),"CRM-PR-670-G3770-BLACK")</f>
        <v>CRM-PR-670-G3770-BLACK</v>
      </c>
      <c r="B320" s="26">
        <f>IFERROR(__xludf.DUMMYFUNCTION("""COMPUTED_VALUE"""),22.0)</f>
        <v>22</v>
      </c>
      <c r="C320" s="26" t="str">
        <f>IFERROR(__xludf.DUMMYFUNCTION("""COMPUTED_VALUE"""),"MAA4")</f>
        <v>MAA4</v>
      </c>
      <c r="D320" s="26"/>
      <c r="E320" s="26"/>
      <c r="F320" s="26"/>
      <c r="G320" s="26">
        <f>IFERROR(__xludf.DUMMYFUNCTION("""COMPUTED_VALUE"""),560313.0)</f>
        <v>560313</v>
      </c>
      <c r="H320" s="26">
        <f>IFERROR(__xludf.DUMMYFUNCTION("""COMPUTED_VALUE"""),12.0)</f>
        <v>12</v>
      </c>
      <c r="I320" s="26">
        <f>IFERROR(__xludf.DUMMYFUNCTION("""COMPUTED_VALUE"""),40.0)</f>
        <v>40</v>
      </c>
      <c r="J320" s="26"/>
      <c r="K320" s="26">
        <f t="shared" si="3"/>
        <v>880</v>
      </c>
    </row>
    <row r="321">
      <c r="A321" s="26" t="str">
        <f>IFERROR(__xludf.DUMMYFUNCTION("""COMPUTED_VALUE"""),"CRM-PR-670-G3770-BLACK")</f>
        <v>CRM-PR-670-G3770-BLACK</v>
      </c>
      <c r="B321" s="26">
        <f>IFERROR(__xludf.DUMMYFUNCTION("""COMPUTED_VALUE"""),8.0)</f>
        <v>8</v>
      </c>
      <c r="C321" s="26" t="str">
        <f>IFERROR(__xludf.DUMMYFUNCTION("""COMPUTED_VALUE"""),"DEL4")</f>
        <v>DEL4</v>
      </c>
      <c r="D321" s="26"/>
      <c r="E321" s="26"/>
      <c r="F321" s="26"/>
      <c r="G321" s="26">
        <f>IFERROR(__xludf.DUMMYFUNCTION("""COMPUTED_VALUE"""),560313.0)</f>
        <v>560313</v>
      </c>
      <c r="H321" s="26">
        <f>IFERROR(__xludf.DUMMYFUNCTION("""COMPUTED_VALUE"""),12.0)</f>
        <v>12</v>
      </c>
      <c r="I321" s="26">
        <f>IFERROR(__xludf.DUMMYFUNCTION("""COMPUTED_VALUE"""),40.0)</f>
        <v>40</v>
      </c>
      <c r="J321" s="26"/>
      <c r="K321" s="26">
        <f t="shared" si="3"/>
        <v>320</v>
      </c>
    </row>
    <row r="322">
      <c r="A322" s="26" t="str">
        <f>IFERROR(__xludf.DUMMYFUNCTION("""COMPUTED_VALUE"""),"CRM-PR-670-G3770-BLACK")</f>
        <v>CRM-PR-670-G3770-BLACK</v>
      </c>
      <c r="B322" s="26">
        <f>IFERROR(__xludf.DUMMYFUNCTION("""COMPUTED_VALUE"""),16.0)</f>
        <v>16</v>
      </c>
      <c r="C322" s="26" t="str">
        <f>IFERROR(__xludf.DUMMYFUNCTION("""COMPUTED_VALUE"""),"DEL5")</f>
        <v>DEL5</v>
      </c>
      <c r="D322" s="26"/>
      <c r="E322" s="26"/>
      <c r="F322" s="26"/>
      <c r="G322" s="26">
        <f>IFERROR(__xludf.DUMMYFUNCTION("""COMPUTED_VALUE"""),560313.0)</f>
        <v>560313</v>
      </c>
      <c r="H322" s="26">
        <f>IFERROR(__xludf.DUMMYFUNCTION("""COMPUTED_VALUE"""),12.0)</f>
        <v>12</v>
      </c>
      <c r="I322" s="26">
        <f>IFERROR(__xludf.DUMMYFUNCTION("""COMPUTED_VALUE"""),40.0)</f>
        <v>40</v>
      </c>
      <c r="J322" s="26"/>
      <c r="K322" s="26">
        <f t="shared" si="3"/>
        <v>640</v>
      </c>
    </row>
    <row r="323">
      <c r="A323" s="26" t="str">
        <f>IFERROR(__xludf.DUMMYFUNCTION("""COMPUTED_VALUE"""),"CRM-PR-670-G3770-BLACK")</f>
        <v>CRM-PR-670-G3770-BLACK</v>
      </c>
      <c r="B323" s="26">
        <f>IFERROR(__xludf.DUMMYFUNCTION("""COMPUTED_VALUE"""),14.0)</f>
        <v>14</v>
      </c>
      <c r="C323" s="26" t="str">
        <f>IFERROR(__xludf.DUMMYFUNCTION("""COMPUTED_VALUE"""),"BOM5")</f>
        <v>BOM5</v>
      </c>
      <c r="D323" s="26"/>
      <c r="E323" s="26"/>
      <c r="F323" s="26"/>
      <c r="G323" s="26">
        <f>IFERROR(__xludf.DUMMYFUNCTION("""COMPUTED_VALUE"""),560313.0)</f>
        <v>560313</v>
      </c>
      <c r="H323" s="26">
        <f>IFERROR(__xludf.DUMMYFUNCTION("""COMPUTED_VALUE"""),12.0)</f>
        <v>12</v>
      </c>
      <c r="I323" s="26">
        <f>IFERROR(__xludf.DUMMYFUNCTION("""COMPUTED_VALUE"""),40.0)</f>
        <v>40</v>
      </c>
      <c r="J323" s="26"/>
      <c r="K323" s="26">
        <f t="shared" si="3"/>
        <v>560</v>
      </c>
    </row>
    <row r="324">
      <c r="A324" s="26" t="str">
        <f>IFERROR(__xludf.DUMMYFUNCTION("""COMPUTED_VALUE"""),"CRM-PR-670-G3770-BLACK")</f>
        <v>CRM-PR-670-G3770-BLACK</v>
      </c>
      <c r="B324" s="26">
        <f>IFERROR(__xludf.DUMMYFUNCTION("""COMPUTED_VALUE"""),14.0)</f>
        <v>14</v>
      </c>
      <c r="C324" s="26" t="str">
        <f>IFERROR(__xludf.DUMMYFUNCTION("""COMPUTED_VALUE"""),"BOM7")</f>
        <v>BOM7</v>
      </c>
      <c r="D324" s="26"/>
      <c r="E324" s="26"/>
      <c r="F324" s="26"/>
      <c r="G324" s="26">
        <f>IFERROR(__xludf.DUMMYFUNCTION("""COMPUTED_VALUE"""),560313.0)</f>
        <v>560313</v>
      </c>
      <c r="H324" s="26">
        <f>IFERROR(__xludf.DUMMYFUNCTION("""COMPUTED_VALUE"""),12.0)</f>
        <v>12</v>
      </c>
      <c r="I324" s="26">
        <f>IFERROR(__xludf.DUMMYFUNCTION("""COMPUTED_VALUE"""),40.0)</f>
        <v>40</v>
      </c>
      <c r="J324" s="26"/>
      <c r="K324" s="26">
        <f t="shared" si="3"/>
        <v>560</v>
      </c>
    </row>
    <row r="325">
      <c r="A325" s="26" t="str">
        <f>IFERROR(__xludf.DUMMYFUNCTION("""COMPUTED_VALUE"""),"CRM-PR-670-G3770-GREY")</f>
        <v>CRM-PR-670-G3770-GREY</v>
      </c>
      <c r="B325" s="26">
        <f>IFERROR(__xludf.DUMMYFUNCTION("""COMPUTED_VALUE"""),4.0)</f>
        <v>4</v>
      </c>
      <c r="C325" s="26" t="str">
        <f>IFERROR(__xludf.DUMMYFUNCTION("""COMPUTED_VALUE"""),"AMD2")</f>
        <v>AMD2</v>
      </c>
      <c r="D325" s="26"/>
      <c r="E325" s="26"/>
      <c r="F325" s="26"/>
      <c r="G325" s="26">
        <f>IFERROR(__xludf.DUMMYFUNCTION("""COMPUTED_VALUE"""),560313.0)</f>
        <v>560313</v>
      </c>
      <c r="H325" s="26">
        <f>IFERROR(__xludf.DUMMYFUNCTION("""COMPUTED_VALUE"""),12.0)</f>
        <v>12</v>
      </c>
      <c r="I325" s="26">
        <f>IFERROR(__xludf.DUMMYFUNCTION("""COMPUTED_VALUE"""),40.0)</f>
        <v>40</v>
      </c>
      <c r="J325" s="26"/>
      <c r="K325" s="26">
        <f t="shared" si="3"/>
        <v>160</v>
      </c>
    </row>
    <row r="326">
      <c r="A326" s="26" t="str">
        <f>IFERROR(__xludf.DUMMYFUNCTION("""COMPUTED_VALUE"""),"CRM-PR-670-G3770-GREY")</f>
        <v>CRM-PR-670-G3770-GREY</v>
      </c>
      <c r="B326" s="26">
        <f>IFERROR(__xludf.DUMMYFUNCTION("""COMPUTED_VALUE"""),12.0)</f>
        <v>12</v>
      </c>
      <c r="C326" s="26" t="str">
        <f>IFERROR(__xludf.DUMMYFUNCTION("""COMPUTED_VALUE"""),"BLR8")</f>
        <v>BLR8</v>
      </c>
      <c r="D326" s="26"/>
      <c r="E326" s="26"/>
      <c r="F326" s="26"/>
      <c r="G326" s="26">
        <f>IFERROR(__xludf.DUMMYFUNCTION("""COMPUTED_VALUE"""),560313.0)</f>
        <v>560313</v>
      </c>
      <c r="H326" s="26">
        <f>IFERROR(__xludf.DUMMYFUNCTION("""COMPUTED_VALUE"""),12.0)</f>
        <v>12</v>
      </c>
      <c r="I326" s="26">
        <f>IFERROR(__xludf.DUMMYFUNCTION("""COMPUTED_VALUE"""),40.0)</f>
        <v>40</v>
      </c>
      <c r="J326" s="26"/>
      <c r="K326" s="26">
        <f t="shared" si="3"/>
        <v>480</v>
      </c>
    </row>
    <row r="327">
      <c r="A327" s="26" t="str">
        <f>IFERROR(__xludf.DUMMYFUNCTION("""COMPUTED_VALUE"""),"CRM-PR-670-G3770-GREY")</f>
        <v>CRM-PR-670-G3770-GREY</v>
      </c>
      <c r="B327" s="26">
        <f>IFERROR(__xludf.DUMMYFUNCTION("""COMPUTED_VALUE"""),10.0)</f>
        <v>10</v>
      </c>
      <c r="C327" s="26" t="str">
        <f>IFERROR(__xludf.DUMMYFUNCTION("""COMPUTED_VALUE"""),"BLR7")</f>
        <v>BLR7</v>
      </c>
      <c r="D327" s="26"/>
      <c r="E327" s="26"/>
      <c r="F327" s="26"/>
      <c r="G327" s="26">
        <f>IFERROR(__xludf.DUMMYFUNCTION("""COMPUTED_VALUE"""),560313.0)</f>
        <v>560313</v>
      </c>
      <c r="H327" s="26">
        <f>IFERROR(__xludf.DUMMYFUNCTION("""COMPUTED_VALUE"""),12.0)</f>
        <v>12</v>
      </c>
      <c r="I327" s="26">
        <f>IFERROR(__xludf.DUMMYFUNCTION("""COMPUTED_VALUE"""),40.0)</f>
        <v>40</v>
      </c>
      <c r="J327" s="26"/>
      <c r="K327" s="26">
        <f t="shared" si="3"/>
        <v>400</v>
      </c>
    </row>
    <row r="328">
      <c r="A328" s="26" t="str">
        <f>IFERROR(__xludf.DUMMYFUNCTION("""COMPUTED_VALUE"""),"CRM-PR-670-G3770-GREY")</f>
        <v>CRM-PR-670-G3770-GREY</v>
      </c>
      <c r="B328" s="26">
        <f>IFERROR(__xludf.DUMMYFUNCTION("""COMPUTED_VALUE"""),8.0)</f>
        <v>8</v>
      </c>
      <c r="C328" s="26" t="str">
        <f>IFERROR(__xludf.DUMMYFUNCTION("""COMPUTED_VALUE"""),"CJB1")</f>
        <v>CJB1</v>
      </c>
      <c r="D328" s="26"/>
      <c r="E328" s="26"/>
      <c r="F328" s="26"/>
      <c r="G328" s="26">
        <f>IFERROR(__xludf.DUMMYFUNCTION("""COMPUTED_VALUE"""),560313.0)</f>
        <v>560313</v>
      </c>
      <c r="H328" s="26">
        <f>IFERROR(__xludf.DUMMYFUNCTION("""COMPUTED_VALUE"""),12.0)</f>
        <v>12</v>
      </c>
      <c r="I328" s="26">
        <f>IFERROR(__xludf.DUMMYFUNCTION("""COMPUTED_VALUE"""),40.0)</f>
        <v>40</v>
      </c>
      <c r="J328" s="26"/>
      <c r="K328" s="26">
        <f t="shared" si="3"/>
        <v>320</v>
      </c>
    </row>
    <row r="329">
      <c r="A329" s="26" t="str">
        <f>IFERROR(__xludf.DUMMYFUNCTION("""COMPUTED_VALUE"""),"CRM-PR-670-G3770-GREY")</f>
        <v>CRM-PR-670-G3770-GREY</v>
      </c>
      <c r="B329" s="26">
        <f>IFERROR(__xludf.DUMMYFUNCTION("""COMPUTED_VALUE"""),20.0)</f>
        <v>20</v>
      </c>
      <c r="C329" s="26" t="str">
        <f>IFERROR(__xludf.DUMMYFUNCTION("""COMPUTED_VALUE"""),"MAA4")</f>
        <v>MAA4</v>
      </c>
      <c r="D329" s="26"/>
      <c r="E329" s="26"/>
      <c r="F329" s="26"/>
      <c r="G329" s="26">
        <f>IFERROR(__xludf.DUMMYFUNCTION("""COMPUTED_VALUE"""),560313.0)</f>
        <v>560313</v>
      </c>
      <c r="H329" s="26">
        <f>IFERROR(__xludf.DUMMYFUNCTION("""COMPUTED_VALUE"""),12.0)</f>
        <v>12</v>
      </c>
      <c r="I329" s="26">
        <f>IFERROR(__xludf.DUMMYFUNCTION("""COMPUTED_VALUE"""),40.0)</f>
        <v>40</v>
      </c>
      <c r="J329" s="26"/>
      <c r="K329" s="26">
        <f t="shared" si="3"/>
        <v>800</v>
      </c>
    </row>
    <row r="330">
      <c r="A330" s="26" t="str">
        <f>IFERROR(__xludf.DUMMYFUNCTION("""COMPUTED_VALUE"""),"CRM-PR-670-G3770-GREY")</f>
        <v>CRM-PR-670-G3770-GREY</v>
      </c>
      <c r="B330" s="26">
        <f>IFERROR(__xludf.DUMMYFUNCTION("""COMPUTED_VALUE"""),12.0)</f>
        <v>12</v>
      </c>
      <c r="C330" s="26" t="str">
        <f>IFERROR(__xludf.DUMMYFUNCTION("""COMPUTED_VALUE"""),"DEL4")</f>
        <v>DEL4</v>
      </c>
      <c r="D330" s="26"/>
      <c r="E330" s="26"/>
      <c r="F330" s="26"/>
      <c r="G330" s="26">
        <f>IFERROR(__xludf.DUMMYFUNCTION("""COMPUTED_VALUE"""),560313.0)</f>
        <v>560313</v>
      </c>
      <c r="H330" s="26">
        <f>IFERROR(__xludf.DUMMYFUNCTION("""COMPUTED_VALUE"""),12.0)</f>
        <v>12</v>
      </c>
      <c r="I330" s="26">
        <f>IFERROR(__xludf.DUMMYFUNCTION("""COMPUTED_VALUE"""),40.0)</f>
        <v>40</v>
      </c>
      <c r="J330" s="26"/>
      <c r="K330" s="26">
        <f t="shared" si="3"/>
        <v>480</v>
      </c>
    </row>
    <row r="331">
      <c r="A331" s="26" t="str">
        <f>IFERROR(__xludf.DUMMYFUNCTION("""COMPUTED_VALUE"""),"CRM-PR-670-G3770-GREY")</f>
        <v>CRM-PR-670-G3770-GREY</v>
      </c>
      <c r="B331" s="26">
        <f>IFERROR(__xludf.DUMMYFUNCTION("""COMPUTED_VALUE"""),4.0)</f>
        <v>4</v>
      </c>
      <c r="C331" s="26" t="str">
        <f>IFERROR(__xludf.DUMMYFUNCTION("""COMPUTED_VALUE"""),"DEL5")</f>
        <v>DEL5</v>
      </c>
      <c r="D331" s="26"/>
      <c r="E331" s="26"/>
      <c r="F331" s="26"/>
      <c r="G331" s="26">
        <f>IFERROR(__xludf.DUMMYFUNCTION("""COMPUTED_VALUE"""),560313.0)</f>
        <v>560313</v>
      </c>
      <c r="H331" s="26">
        <f>IFERROR(__xludf.DUMMYFUNCTION("""COMPUTED_VALUE"""),12.0)</f>
        <v>12</v>
      </c>
      <c r="I331" s="26">
        <f>IFERROR(__xludf.DUMMYFUNCTION("""COMPUTED_VALUE"""),40.0)</f>
        <v>40</v>
      </c>
      <c r="J331" s="26"/>
      <c r="K331" s="26">
        <f t="shared" si="3"/>
        <v>160</v>
      </c>
    </row>
    <row r="332">
      <c r="A332" s="26" t="str">
        <f>IFERROR(__xludf.DUMMYFUNCTION("""COMPUTED_VALUE"""),"CRM-PR-670-G3770-GREY")</f>
        <v>CRM-PR-670-G3770-GREY</v>
      </c>
      <c r="B332" s="26">
        <f>IFERROR(__xludf.DUMMYFUNCTION("""COMPUTED_VALUE"""),4.0)</f>
        <v>4</v>
      </c>
      <c r="C332" s="26" t="str">
        <f>IFERROR(__xludf.DUMMYFUNCTION("""COMPUTED_VALUE"""),"BOM5")</f>
        <v>BOM5</v>
      </c>
      <c r="D332" s="26"/>
      <c r="E332" s="26"/>
      <c r="F332" s="26"/>
      <c r="G332" s="26">
        <f>IFERROR(__xludf.DUMMYFUNCTION("""COMPUTED_VALUE"""),560313.0)</f>
        <v>560313</v>
      </c>
      <c r="H332" s="26">
        <f>IFERROR(__xludf.DUMMYFUNCTION("""COMPUTED_VALUE"""),12.0)</f>
        <v>12</v>
      </c>
      <c r="I332" s="26">
        <f>IFERROR(__xludf.DUMMYFUNCTION("""COMPUTED_VALUE"""),40.0)</f>
        <v>40</v>
      </c>
      <c r="J332" s="26"/>
      <c r="K332" s="26">
        <f t="shared" si="3"/>
        <v>160</v>
      </c>
    </row>
    <row r="333">
      <c r="A333" s="26" t="str">
        <f>IFERROR(__xludf.DUMMYFUNCTION("""COMPUTED_VALUE"""),"CRM-PR-670-G3770-GREY")</f>
        <v>CRM-PR-670-G3770-GREY</v>
      </c>
      <c r="B333" s="26">
        <f>IFERROR(__xludf.DUMMYFUNCTION("""COMPUTED_VALUE"""),6.0)</f>
        <v>6</v>
      </c>
      <c r="C333" s="26" t="str">
        <f>IFERROR(__xludf.DUMMYFUNCTION("""COMPUTED_VALUE"""),"BOM7")</f>
        <v>BOM7</v>
      </c>
      <c r="D333" s="26"/>
      <c r="E333" s="26"/>
      <c r="F333" s="26"/>
      <c r="G333" s="26">
        <f>IFERROR(__xludf.DUMMYFUNCTION("""COMPUTED_VALUE"""),560313.0)</f>
        <v>560313</v>
      </c>
      <c r="H333" s="26">
        <f>IFERROR(__xludf.DUMMYFUNCTION("""COMPUTED_VALUE"""),12.0)</f>
        <v>12</v>
      </c>
      <c r="I333" s="26">
        <f>IFERROR(__xludf.DUMMYFUNCTION("""COMPUTED_VALUE"""),40.0)</f>
        <v>40</v>
      </c>
      <c r="J333" s="26"/>
      <c r="K333" s="26">
        <f t="shared" si="3"/>
        <v>240</v>
      </c>
    </row>
    <row r="334">
      <c r="A334" s="26" t="str">
        <f>IFERROR(__xludf.DUMMYFUNCTION("""COMPUTED_VALUE"""),"CRM-Canon-TS207-Grey")</f>
        <v>CRM-Canon-TS207-Grey</v>
      </c>
      <c r="B334" s="26">
        <f>IFERROR(__xludf.DUMMYFUNCTION("""COMPUTED_VALUE"""),2.0)</f>
        <v>2</v>
      </c>
      <c r="C334" s="26" t="str">
        <f>IFERROR(__xludf.DUMMYFUNCTION("""COMPUTED_VALUE"""),"BOM5")</f>
        <v>BOM5</v>
      </c>
      <c r="D334" s="26"/>
      <c r="E334" s="26"/>
      <c r="F334" s="26"/>
      <c r="G334" s="26">
        <f>IFERROR(__xludf.DUMMYFUNCTION("""COMPUTED_VALUE"""),560313.0)</f>
        <v>560313</v>
      </c>
      <c r="H334" s="26">
        <f>IFERROR(__xludf.DUMMYFUNCTION("""COMPUTED_VALUE"""),12.0)</f>
        <v>12</v>
      </c>
      <c r="I334" s="26">
        <f>IFERROR(__xludf.DUMMYFUNCTION("""COMPUTED_VALUE"""),40.0)</f>
        <v>40</v>
      </c>
      <c r="J334" s="26"/>
      <c r="K334" s="26">
        <f t="shared" si="3"/>
        <v>80</v>
      </c>
    </row>
    <row r="335">
      <c r="A335" s="26" t="str">
        <f>IFERROR(__xludf.DUMMYFUNCTION("""COMPUTED_VALUE"""),"CRM-HP-136-1188w-Grey")</f>
        <v>CRM-HP-136-1188w-Grey</v>
      </c>
      <c r="B335" s="26">
        <f>IFERROR(__xludf.DUMMYFUNCTION("""COMPUTED_VALUE"""),8.0)</f>
        <v>8</v>
      </c>
      <c r="C335" s="26" t="str">
        <f>IFERROR(__xludf.DUMMYFUNCTION("""COMPUTED_VALUE"""),"AMD2")</f>
        <v>AMD2</v>
      </c>
      <c r="D335" s="26"/>
      <c r="E335" s="26"/>
      <c r="F335" s="26"/>
      <c r="G335" s="26">
        <f>IFERROR(__xludf.DUMMYFUNCTION("""COMPUTED_VALUE"""),560313.0)</f>
        <v>560313</v>
      </c>
      <c r="H335" s="26">
        <f>IFERROR(__xludf.DUMMYFUNCTION("""COMPUTED_VALUE"""),12.0)</f>
        <v>12</v>
      </c>
      <c r="I335" s="26">
        <f>IFERROR(__xludf.DUMMYFUNCTION("""COMPUTED_VALUE"""),40.0)</f>
        <v>40</v>
      </c>
      <c r="J335" s="26"/>
      <c r="K335" s="26">
        <f t="shared" si="3"/>
        <v>320</v>
      </c>
    </row>
    <row r="336">
      <c r="A336" s="26" t="str">
        <f>IFERROR(__xludf.DUMMYFUNCTION("""COMPUTED_VALUE"""),"CRM-HP-136-1188w-Grey")</f>
        <v>CRM-HP-136-1188w-Grey</v>
      </c>
      <c r="B336" s="26">
        <f>IFERROR(__xludf.DUMMYFUNCTION("""COMPUTED_VALUE"""),2.0)</f>
        <v>2</v>
      </c>
      <c r="C336" s="26" t="str">
        <f>IFERROR(__xludf.DUMMYFUNCTION("""COMPUTED_VALUE"""),"BLR8")</f>
        <v>BLR8</v>
      </c>
      <c r="D336" s="26"/>
      <c r="E336" s="26"/>
      <c r="F336" s="26"/>
      <c r="G336" s="26">
        <f>IFERROR(__xludf.DUMMYFUNCTION("""COMPUTED_VALUE"""),560313.0)</f>
        <v>560313</v>
      </c>
      <c r="H336" s="26">
        <f>IFERROR(__xludf.DUMMYFUNCTION("""COMPUTED_VALUE"""),12.0)</f>
        <v>12</v>
      </c>
      <c r="I336" s="26">
        <f>IFERROR(__xludf.DUMMYFUNCTION("""COMPUTED_VALUE"""),40.0)</f>
        <v>40</v>
      </c>
      <c r="J336" s="26"/>
      <c r="K336" s="26">
        <f t="shared" si="3"/>
        <v>80</v>
      </c>
    </row>
    <row r="337">
      <c r="A337" s="26" t="str">
        <f>IFERROR(__xludf.DUMMYFUNCTION("""COMPUTED_VALUE"""),"CRM-HP-136-1188w-Grey")</f>
        <v>CRM-HP-136-1188w-Grey</v>
      </c>
      <c r="B337" s="26">
        <f>IFERROR(__xludf.DUMMYFUNCTION("""COMPUTED_VALUE"""),8.0)</f>
        <v>8</v>
      </c>
      <c r="C337" s="26" t="str">
        <f>IFERROR(__xludf.DUMMYFUNCTION("""COMPUTED_VALUE"""),"MAA4")</f>
        <v>MAA4</v>
      </c>
      <c r="D337" s="26"/>
      <c r="E337" s="26"/>
      <c r="F337" s="26"/>
      <c r="G337" s="26">
        <f>IFERROR(__xludf.DUMMYFUNCTION("""COMPUTED_VALUE"""),560313.0)</f>
        <v>560313</v>
      </c>
      <c r="H337" s="26">
        <f>IFERROR(__xludf.DUMMYFUNCTION("""COMPUTED_VALUE"""),12.0)</f>
        <v>12</v>
      </c>
      <c r="I337" s="26">
        <f>IFERROR(__xludf.DUMMYFUNCTION("""COMPUTED_VALUE"""),40.0)</f>
        <v>40</v>
      </c>
      <c r="J337" s="26"/>
      <c r="K337" s="26">
        <f t="shared" si="3"/>
        <v>320</v>
      </c>
    </row>
    <row r="338">
      <c r="A338" s="26" t="str">
        <f>IFERROR(__xludf.DUMMYFUNCTION("""COMPUTED_VALUE"""),"CRM-HP-136-1188w-Grey")</f>
        <v>CRM-HP-136-1188w-Grey</v>
      </c>
      <c r="B338" s="26">
        <f>IFERROR(__xludf.DUMMYFUNCTION("""COMPUTED_VALUE"""),14.0)</f>
        <v>14</v>
      </c>
      <c r="C338" s="26" t="str">
        <f>IFERROR(__xludf.DUMMYFUNCTION("""COMPUTED_VALUE"""),"DEL4")</f>
        <v>DEL4</v>
      </c>
      <c r="D338" s="26"/>
      <c r="E338" s="26"/>
      <c r="F338" s="26"/>
      <c r="G338" s="26">
        <f>IFERROR(__xludf.DUMMYFUNCTION("""COMPUTED_VALUE"""),560313.0)</f>
        <v>560313</v>
      </c>
      <c r="H338" s="26">
        <f>IFERROR(__xludf.DUMMYFUNCTION("""COMPUTED_VALUE"""),12.0)</f>
        <v>12</v>
      </c>
      <c r="I338" s="26">
        <f>IFERROR(__xludf.DUMMYFUNCTION("""COMPUTED_VALUE"""),40.0)</f>
        <v>40</v>
      </c>
      <c r="J338" s="26"/>
      <c r="K338" s="26">
        <f t="shared" si="3"/>
        <v>560</v>
      </c>
    </row>
    <row r="339">
      <c r="A339" s="26" t="str">
        <f>IFERROR(__xludf.DUMMYFUNCTION("""COMPUTED_VALUE"""),"CRM-HP-136-1188w-Grey")</f>
        <v>CRM-HP-136-1188w-Grey</v>
      </c>
      <c r="B339" s="26">
        <f>IFERROR(__xludf.DUMMYFUNCTION("""COMPUTED_VALUE"""),12.0)</f>
        <v>12</v>
      </c>
      <c r="C339" s="26" t="str">
        <f>IFERROR(__xludf.DUMMYFUNCTION("""COMPUTED_VALUE"""),"DEL5")</f>
        <v>DEL5</v>
      </c>
      <c r="D339" s="26"/>
      <c r="E339" s="26"/>
      <c r="F339" s="26"/>
      <c r="G339" s="26">
        <f>IFERROR(__xludf.DUMMYFUNCTION("""COMPUTED_VALUE"""),560313.0)</f>
        <v>560313</v>
      </c>
      <c r="H339" s="26">
        <f>IFERROR(__xludf.DUMMYFUNCTION("""COMPUTED_VALUE"""),12.0)</f>
        <v>12</v>
      </c>
      <c r="I339" s="26">
        <f>IFERROR(__xludf.DUMMYFUNCTION("""COMPUTED_VALUE"""),40.0)</f>
        <v>40</v>
      </c>
      <c r="J339" s="26"/>
      <c r="K339" s="26">
        <f t="shared" si="3"/>
        <v>480</v>
      </c>
    </row>
    <row r="340">
      <c r="A340" s="26" t="str">
        <f>IFERROR(__xludf.DUMMYFUNCTION("""COMPUTED_VALUE"""),"CRM-HP-2606sdw-Grey")</f>
        <v>CRM-HP-2606sdw-Grey</v>
      </c>
      <c r="B340" s="26">
        <f>IFERROR(__xludf.DUMMYFUNCTION("""COMPUTED_VALUE"""),4.0)</f>
        <v>4</v>
      </c>
      <c r="C340" s="26" t="str">
        <f>IFERROR(__xludf.DUMMYFUNCTION("""COMPUTED_VALUE"""),"CJB1")</f>
        <v>CJB1</v>
      </c>
      <c r="D340" s="26"/>
      <c r="E340" s="26"/>
      <c r="F340" s="26"/>
      <c r="G340" s="26">
        <f>IFERROR(__xludf.DUMMYFUNCTION("""COMPUTED_VALUE"""),560313.0)</f>
        <v>560313</v>
      </c>
      <c r="H340" s="26">
        <f>IFERROR(__xludf.DUMMYFUNCTION("""COMPUTED_VALUE"""),12.0)</f>
        <v>12</v>
      </c>
      <c r="I340" s="26">
        <f>IFERROR(__xludf.DUMMYFUNCTION("""COMPUTED_VALUE"""),40.0)</f>
        <v>40</v>
      </c>
      <c r="J340" s="26"/>
      <c r="K340" s="26">
        <f t="shared" si="3"/>
        <v>160</v>
      </c>
    </row>
    <row r="341">
      <c r="A341" s="26" t="str">
        <f>IFERROR(__xludf.DUMMYFUNCTION("""COMPUTED_VALUE"""),"CRM-HP-2606sdw-Grey")</f>
        <v>CRM-HP-2606sdw-Grey</v>
      </c>
      <c r="B341" s="26">
        <f>IFERROR(__xludf.DUMMYFUNCTION("""COMPUTED_VALUE"""),8.0)</f>
        <v>8</v>
      </c>
      <c r="C341" s="26" t="str">
        <f>IFERROR(__xludf.DUMMYFUNCTION("""COMPUTED_VALUE"""),"MAA4")</f>
        <v>MAA4</v>
      </c>
      <c r="D341" s="26"/>
      <c r="E341" s="26"/>
      <c r="F341" s="26"/>
      <c r="G341" s="26">
        <f>IFERROR(__xludf.DUMMYFUNCTION("""COMPUTED_VALUE"""),560313.0)</f>
        <v>560313</v>
      </c>
      <c r="H341" s="26">
        <f>IFERROR(__xludf.DUMMYFUNCTION("""COMPUTED_VALUE"""),12.0)</f>
        <v>12</v>
      </c>
      <c r="I341" s="26">
        <f>IFERROR(__xludf.DUMMYFUNCTION("""COMPUTED_VALUE"""),40.0)</f>
        <v>40</v>
      </c>
      <c r="J341" s="26"/>
      <c r="K341" s="26">
        <f t="shared" si="3"/>
        <v>320</v>
      </c>
    </row>
    <row r="342">
      <c r="A342" s="26" t="str">
        <f>IFERROR(__xludf.DUMMYFUNCTION("""COMPUTED_VALUE"""),"CRM-HP-2606sdw-Grey")</f>
        <v>CRM-HP-2606sdw-Grey</v>
      </c>
      <c r="B342" s="26">
        <f>IFERROR(__xludf.DUMMYFUNCTION("""COMPUTED_VALUE"""),2.0)</f>
        <v>2</v>
      </c>
      <c r="C342" s="26" t="str">
        <f>IFERROR(__xludf.DUMMYFUNCTION("""COMPUTED_VALUE"""),"DEL4")</f>
        <v>DEL4</v>
      </c>
      <c r="D342" s="26"/>
      <c r="E342" s="26"/>
      <c r="F342" s="26"/>
      <c r="G342" s="26">
        <f>IFERROR(__xludf.DUMMYFUNCTION("""COMPUTED_VALUE"""),560313.0)</f>
        <v>560313</v>
      </c>
      <c r="H342" s="26">
        <f>IFERROR(__xludf.DUMMYFUNCTION("""COMPUTED_VALUE"""),12.0)</f>
        <v>12</v>
      </c>
      <c r="I342" s="26">
        <f>IFERROR(__xludf.DUMMYFUNCTION("""COMPUTED_VALUE"""),40.0)</f>
        <v>40</v>
      </c>
      <c r="J342" s="26"/>
      <c r="K342" s="26">
        <f t="shared" si="3"/>
        <v>80</v>
      </c>
    </row>
    <row r="343">
      <c r="A343" s="26" t="str">
        <f>IFERROR(__xludf.DUMMYFUNCTION("""COMPUTED_VALUE"""),"CRM-HP-2606sdw-Grey")</f>
        <v>CRM-HP-2606sdw-Grey</v>
      </c>
      <c r="B343" s="26">
        <f>IFERROR(__xludf.DUMMYFUNCTION("""COMPUTED_VALUE"""),2.0)</f>
        <v>2</v>
      </c>
      <c r="C343" s="26" t="str">
        <f>IFERROR(__xludf.DUMMYFUNCTION("""COMPUTED_VALUE"""),"DEL5")</f>
        <v>DEL5</v>
      </c>
      <c r="D343" s="26"/>
      <c r="E343" s="26"/>
      <c r="F343" s="26"/>
      <c r="G343" s="26">
        <f>IFERROR(__xludf.DUMMYFUNCTION("""COMPUTED_VALUE"""),560313.0)</f>
        <v>560313</v>
      </c>
      <c r="H343" s="26">
        <f>IFERROR(__xludf.DUMMYFUNCTION("""COMPUTED_VALUE"""),12.0)</f>
        <v>12</v>
      </c>
      <c r="I343" s="26">
        <f>IFERROR(__xludf.DUMMYFUNCTION("""COMPUTED_VALUE"""),40.0)</f>
        <v>40</v>
      </c>
      <c r="J343" s="26"/>
      <c r="K343" s="26">
        <f t="shared" si="3"/>
        <v>80</v>
      </c>
    </row>
    <row r="344">
      <c r="A344" s="26" t="str">
        <f>IFERROR(__xludf.DUMMYFUNCTION("""COMPUTED_VALUE"""),"CRM-HP-2606sdw-Grey")</f>
        <v>CRM-HP-2606sdw-Grey</v>
      </c>
      <c r="B344" s="26">
        <f>IFERROR(__xludf.DUMMYFUNCTION("""COMPUTED_VALUE"""),4.0)</f>
        <v>4</v>
      </c>
      <c r="C344" s="26" t="str">
        <f>IFERROR(__xludf.DUMMYFUNCTION("""COMPUTED_VALUE"""),"BOM5")</f>
        <v>BOM5</v>
      </c>
      <c r="D344" s="26"/>
      <c r="E344" s="26"/>
      <c r="F344" s="26"/>
      <c r="G344" s="26">
        <f>IFERROR(__xludf.DUMMYFUNCTION("""COMPUTED_VALUE"""),560313.0)</f>
        <v>560313</v>
      </c>
      <c r="H344" s="26">
        <f>IFERROR(__xludf.DUMMYFUNCTION("""COMPUTED_VALUE"""),12.0)</f>
        <v>12</v>
      </c>
      <c r="I344" s="26">
        <f>IFERROR(__xludf.DUMMYFUNCTION("""COMPUTED_VALUE"""),40.0)</f>
        <v>40</v>
      </c>
      <c r="J344" s="26"/>
      <c r="K344" s="26">
        <f t="shared" si="3"/>
        <v>160</v>
      </c>
    </row>
    <row r="345">
      <c r="A345" s="26" t="str">
        <f>IFERROR(__xludf.DUMMYFUNCTION("""COMPUTED_VALUE"""),"CRM-HP-2606sdw-Grey")</f>
        <v>CRM-HP-2606sdw-Grey</v>
      </c>
      <c r="B345" s="26">
        <f>IFERROR(__xludf.DUMMYFUNCTION("""COMPUTED_VALUE"""),6.0)</f>
        <v>6</v>
      </c>
      <c r="C345" s="26" t="str">
        <f>IFERROR(__xludf.DUMMYFUNCTION("""COMPUTED_VALUE"""),"BOM7")</f>
        <v>BOM7</v>
      </c>
      <c r="D345" s="26"/>
      <c r="E345" s="26"/>
      <c r="F345" s="26"/>
      <c r="G345" s="26">
        <f>IFERROR(__xludf.DUMMYFUNCTION("""COMPUTED_VALUE"""),560313.0)</f>
        <v>560313</v>
      </c>
      <c r="H345" s="26">
        <f>IFERROR(__xludf.DUMMYFUNCTION("""COMPUTED_VALUE"""),12.0)</f>
        <v>12</v>
      </c>
      <c r="I345" s="26">
        <f>IFERROR(__xludf.DUMMYFUNCTION("""COMPUTED_VALUE"""),40.0)</f>
        <v>40</v>
      </c>
      <c r="J345" s="26"/>
      <c r="K345" s="26">
        <f t="shared" si="3"/>
        <v>240</v>
      </c>
    </row>
    <row r="346">
      <c r="A346" s="26" t="str">
        <f>IFERROR(__xludf.DUMMYFUNCTION("""COMPUTED_VALUE"""),"CRM-Cube1-Grey-Pack5")</f>
        <v>CRM-Cube1-Grey-Pack5</v>
      </c>
      <c r="B346" s="26">
        <f>IFERROR(__xludf.DUMMYFUNCTION("""COMPUTED_VALUE"""),12.0)</f>
        <v>12</v>
      </c>
      <c r="C346" s="26" t="str">
        <f>IFERROR(__xludf.DUMMYFUNCTION("""COMPUTED_VALUE"""),"AMD2")</f>
        <v>AMD2</v>
      </c>
      <c r="D346" s="26"/>
      <c r="E346" s="26"/>
      <c r="F346" s="26"/>
      <c r="G346" s="26">
        <f>IFERROR(__xludf.DUMMYFUNCTION("""COMPUTED_VALUE"""),420222.0)</f>
        <v>420222</v>
      </c>
      <c r="H346" s="26">
        <f>IFERROR(__xludf.DUMMYFUNCTION("""COMPUTED_VALUE"""),18.0)</f>
        <v>18</v>
      </c>
      <c r="I346" s="26">
        <f>IFERROR(__xludf.DUMMYFUNCTION("""COMPUTED_VALUE"""),300.0)</f>
        <v>300</v>
      </c>
      <c r="J346" s="26"/>
      <c r="K346" s="26">
        <f t="shared" si="3"/>
        <v>3600</v>
      </c>
    </row>
    <row r="347">
      <c r="A347" s="26" t="str">
        <f>IFERROR(__xludf.DUMMYFUNCTION("""COMPUTED_VALUE"""),"CRM-Cube1-Grey-Pack5")</f>
        <v>CRM-Cube1-Grey-Pack5</v>
      </c>
      <c r="B347" s="26">
        <f>IFERROR(__xludf.DUMMYFUNCTION("""COMPUTED_VALUE"""),28.0)</f>
        <v>28</v>
      </c>
      <c r="C347" s="26" t="str">
        <f>IFERROR(__xludf.DUMMYFUNCTION("""COMPUTED_VALUE"""),"BLR7")</f>
        <v>BLR7</v>
      </c>
      <c r="D347" s="26"/>
      <c r="E347" s="26"/>
      <c r="F347" s="26"/>
      <c r="G347" s="26">
        <f>IFERROR(__xludf.DUMMYFUNCTION("""COMPUTED_VALUE"""),420222.0)</f>
        <v>420222</v>
      </c>
      <c r="H347" s="26">
        <f>IFERROR(__xludf.DUMMYFUNCTION("""COMPUTED_VALUE"""),18.0)</f>
        <v>18</v>
      </c>
      <c r="I347" s="26">
        <f>IFERROR(__xludf.DUMMYFUNCTION("""COMPUTED_VALUE"""),300.0)</f>
        <v>300</v>
      </c>
      <c r="J347" s="26"/>
      <c r="K347" s="26">
        <f t="shared" si="3"/>
        <v>8400</v>
      </c>
    </row>
    <row r="348">
      <c r="A348" s="26" t="str">
        <f>IFERROR(__xludf.DUMMYFUNCTION("""COMPUTED_VALUE"""),"CRM-Cube1-Grey-Pack5")</f>
        <v>CRM-Cube1-Grey-Pack5</v>
      </c>
      <c r="B348" s="26">
        <f>IFERROR(__xludf.DUMMYFUNCTION("""COMPUTED_VALUE"""),2.0)</f>
        <v>2</v>
      </c>
      <c r="C348" s="26" t="str">
        <f>IFERROR(__xludf.DUMMYFUNCTION("""COMPUTED_VALUE"""),"CJB1")</f>
        <v>CJB1</v>
      </c>
      <c r="D348" s="26"/>
      <c r="E348" s="26"/>
      <c r="F348" s="26"/>
      <c r="G348" s="26">
        <f>IFERROR(__xludf.DUMMYFUNCTION("""COMPUTED_VALUE"""),420222.0)</f>
        <v>420222</v>
      </c>
      <c r="H348" s="26">
        <f>IFERROR(__xludf.DUMMYFUNCTION("""COMPUTED_VALUE"""),18.0)</f>
        <v>18</v>
      </c>
      <c r="I348" s="26">
        <f>IFERROR(__xludf.DUMMYFUNCTION("""COMPUTED_VALUE"""),300.0)</f>
        <v>300</v>
      </c>
      <c r="J348" s="26"/>
      <c r="K348" s="26">
        <f t="shared" si="3"/>
        <v>600</v>
      </c>
    </row>
    <row r="349">
      <c r="A349" s="26" t="str">
        <f>IFERROR(__xludf.DUMMYFUNCTION("""COMPUTED_VALUE"""),"CRM-Cube1-Grey-Pack5")</f>
        <v>CRM-Cube1-Grey-Pack5</v>
      </c>
      <c r="B349" s="26">
        <f>IFERROR(__xludf.DUMMYFUNCTION("""COMPUTED_VALUE"""),18.0)</f>
        <v>18</v>
      </c>
      <c r="C349" s="26" t="str">
        <f>IFERROR(__xludf.DUMMYFUNCTION("""COMPUTED_VALUE"""),"MAA4")</f>
        <v>MAA4</v>
      </c>
      <c r="D349" s="26"/>
      <c r="E349" s="26"/>
      <c r="F349" s="26"/>
      <c r="G349" s="26">
        <f>IFERROR(__xludf.DUMMYFUNCTION("""COMPUTED_VALUE"""),420222.0)</f>
        <v>420222</v>
      </c>
      <c r="H349" s="26">
        <f>IFERROR(__xludf.DUMMYFUNCTION("""COMPUTED_VALUE"""),18.0)</f>
        <v>18</v>
      </c>
      <c r="I349" s="26">
        <f>IFERROR(__xludf.DUMMYFUNCTION("""COMPUTED_VALUE"""),300.0)</f>
        <v>300</v>
      </c>
      <c r="J349" s="26"/>
      <c r="K349" s="26">
        <f t="shared" si="3"/>
        <v>5400</v>
      </c>
    </row>
    <row r="350">
      <c r="A350" s="26" t="str">
        <f>IFERROR(__xludf.DUMMYFUNCTION("""COMPUTED_VALUE"""),"CRM-Cube1-Grey-Pack5")</f>
        <v>CRM-Cube1-Grey-Pack5</v>
      </c>
      <c r="B350" s="26">
        <f>IFERROR(__xludf.DUMMYFUNCTION("""COMPUTED_VALUE"""),4.0)</f>
        <v>4</v>
      </c>
      <c r="C350" s="26" t="str">
        <f>IFERROR(__xludf.DUMMYFUNCTION("""COMPUTED_VALUE"""),"DEL4")</f>
        <v>DEL4</v>
      </c>
      <c r="D350" s="26"/>
      <c r="E350" s="26"/>
      <c r="F350" s="26"/>
      <c r="G350" s="26">
        <f>IFERROR(__xludf.DUMMYFUNCTION("""COMPUTED_VALUE"""),420222.0)</f>
        <v>420222</v>
      </c>
      <c r="H350" s="26">
        <f>IFERROR(__xludf.DUMMYFUNCTION("""COMPUTED_VALUE"""),18.0)</f>
        <v>18</v>
      </c>
      <c r="I350" s="26">
        <f>IFERROR(__xludf.DUMMYFUNCTION("""COMPUTED_VALUE"""),300.0)</f>
        <v>300</v>
      </c>
      <c r="J350" s="26"/>
      <c r="K350" s="26">
        <f t="shared" si="3"/>
        <v>1200</v>
      </c>
    </row>
    <row r="351">
      <c r="A351" s="26" t="str">
        <f>IFERROR(__xludf.DUMMYFUNCTION("""COMPUTED_VALUE"""),"CRM-Cube1-Grey-Pack5")</f>
        <v>CRM-Cube1-Grey-Pack5</v>
      </c>
      <c r="B351" s="26">
        <f>IFERROR(__xludf.DUMMYFUNCTION("""COMPUTED_VALUE"""),24.0)</f>
        <v>24</v>
      </c>
      <c r="C351" s="26" t="str">
        <f>IFERROR(__xludf.DUMMYFUNCTION("""COMPUTED_VALUE"""),"DEL5")</f>
        <v>DEL5</v>
      </c>
      <c r="D351" s="26"/>
      <c r="E351" s="26"/>
      <c r="F351" s="26"/>
      <c r="G351" s="26">
        <f>IFERROR(__xludf.DUMMYFUNCTION("""COMPUTED_VALUE"""),420222.0)</f>
        <v>420222</v>
      </c>
      <c r="H351" s="26">
        <f>IFERROR(__xludf.DUMMYFUNCTION("""COMPUTED_VALUE"""),18.0)</f>
        <v>18</v>
      </c>
      <c r="I351" s="26">
        <f>IFERROR(__xludf.DUMMYFUNCTION("""COMPUTED_VALUE"""),300.0)</f>
        <v>300</v>
      </c>
      <c r="J351" s="26"/>
      <c r="K351" s="26">
        <f t="shared" si="3"/>
        <v>7200</v>
      </c>
    </row>
    <row r="352">
      <c r="A352" s="26" t="str">
        <f>IFERROR(__xludf.DUMMYFUNCTION("""COMPUTED_VALUE"""),"CRM-Cube1-Grey-Pack5")</f>
        <v>CRM-Cube1-Grey-Pack5</v>
      </c>
      <c r="B352" s="26">
        <f>IFERROR(__xludf.DUMMYFUNCTION("""COMPUTED_VALUE"""),4.0)</f>
        <v>4</v>
      </c>
      <c r="C352" s="26" t="str">
        <f>IFERROR(__xludf.DUMMYFUNCTION("""COMPUTED_VALUE"""),"BOM7")</f>
        <v>BOM7</v>
      </c>
      <c r="D352" s="26"/>
      <c r="E352" s="26"/>
      <c r="F352" s="26"/>
      <c r="G352" s="26">
        <f>IFERROR(__xludf.DUMMYFUNCTION("""COMPUTED_VALUE"""),420222.0)</f>
        <v>420222</v>
      </c>
      <c r="H352" s="26">
        <f>IFERROR(__xludf.DUMMYFUNCTION("""COMPUTED_VALUE"""),18.0)</f>
        <v>18</v>
      </c>
      <c r="I352" s="26">
        <f>IFERROR(__xludf.DUMMYFUNCTION("""COMPUTED_VALUE"""),300.0)</f>
        <v>300</v>
      </c>
      <c r="J352" s="26"/>
      <c r="K352" s="26">
        <f t="shared" si="3"/>
        <v>1200</v>
      </c>
    </row>
    <row r="353">
      <c r="A353" s="26" t="str">
        <f>IFERROR(__xludf.DUMMYFUNCTION("""COMPUTED_VALUE"""),"CRM-Cube1-Grey-Pack12")</f>
        <v>CRM-Cube1-Grey-Pack12</v>
      </c>
      <c r="B353" s="26">
        <f>IFERROR(__xludf.DUMMYFUNCTION("""COMPUTED_VALUE"""),4.0)</f>
        <v>4</v>
      </c>
      <c r="C353" s="26" t="str">
        <f>IFERROR(__xludf.DUMMYFUNCTION("""COMPUTED_VALUE"""),"AMD2")</f>
        <v>AMD2</v>
      </c>
      <c r="D353" s="26"/>
      <c r="E353" s="26"/>
      <c r="F353" s="26"/>
      <c r="G353" s="26">
        <f>IFERROR(__xludf.DUMMYFUNCTION("""COMPUTED_VALUE"""),420222.0)</f>
        <v>420222</v>
      </c>
      <c r="H353" s="26">
        <f>IFERROR(__xludf.DUMMYFUNCTION("""COMPUTED_VALUE"""),18.0)</f>
        <v>18</v>
      </c>
      <c r="I353" s="26">
        <f>IFERROR(__xludf.DUMMYFUNCTION("""COMPUTED_VALUE"""),720.0)</f>
        <v>720</v>
      </c>
      <c r="J353" s="26"/>
      <c r="K353" s="26">
        <f t="shared" si="3"/>
        <v>2880</v>
      </c>
    </row>
    <row r="354">
      <c r="A354" s="26" t="str">
        <f>IFERROR(__xludf.DUMMYFUNCTION("""COMPUTED_VALUE"""),"CRM-Cube1-Grey-Pack12")</f>
        <v>CRM-Cube1-Grey-Pack12</v>
      </c>
      <c r="B354" s="26">
        <f>IFERROR(__xludf.DUMMYFUNCTION("""COMPUTED_VALUE"""),6.0)</f>
        <v>6</v>
      </c>
      <c r="C354" s="26" t="str">
        <f>IFERROR(__xludf.DUMMYFUNCTION("""COMPUTED_VALUE"""),"BLR7")</f>
        <v>BLR7</v>
      </c>
      <c r="D354" s="26"/>
      <c r="E354" s="26"/>
      <c r="F354" s="26"/>
      <c r="G354" s="26">
        <f>IFERROR(__xludf.DUMMYFUNCTION("""COMPUTED_VALUE"""),420222.0)</f>
        <v>420222</v>
      </c>
      <c r="H354" s="26">
        <f>IFERROR(__xludf.DUMMYFUNCTION("""COMPUTED_VALUE"""),18.0)</f>
        <v>18</v>
      </c>
      <c r="I354" s="26">
        <f>IFERROR(__xludf.DUMMYFUNCTION("""COMPUTED_VALUE"""),720.0)</f>
        <v>720</v>
      </c>
      <c r="J354" s="26"/>
      <c r="K354" s="26">
        <f t="shared" si="3"/>
        <v>4320</v>
      </c>
    </row>
    <row r="355">
      <c r="A355" s="26" t="str">
        <f>IFERROR(__xludf.DUMMYFUNCTION("""COMPUTED_VALUE"""),"CRM-Cube1-Grey-Pack12")</f>
        <v>CRM-Cube1-Grey-Pack12</v>
      </c>
      <c r="B355" s="26">
        <f>IFERROR(__xludf.DUMMYFUNCTION("""COMPUTED_VALUE"""),2.0)</f>
        <v>2</v>
      </c>
      <c r="C355" s="26" t="str">
        <f>IFERROR(__xludf.DUMMYFUNCTION("""COMPUTED_VALUE"""),"CJB1")</f>
        <v>CJB1</v>
      </c>
      <c r="D355" s="26"/>
      <c r="E355" s="26"/>
      <c r="F355" s="26"/>
      <c r="G355" s="26">
        <f>IFERROR(__xludf.DUMMYFUNCTION("""COMPUTED_VALUE"""),420222.0)</f>
        <v>420222</v>
      </c>
      <c r="H355" s="26">
        <f>IFERROR(__xludf.DUMMYFUNCTION("""COMPUTED_VALUE"""),18.0)</f>
        <v>18</v>
      </c>
      <c r="I355" s="26">
        <f>IFERROR(__xludf.DUMMYFUNCTION("""COMPUTED_VALUE"""),720.0)</f>
        <v>720</v>
      </c>
      <c r="J355" s="26"/>
      <c r="K355" s="26">
        <f t="shared" si="3"/>
        <v>1440</v>
      </c>
    </row>
    <row r="356">
      <c r="A356" s="26" t="str">
        <f>IFERROR(__xludf.DUMMYFUNCTION("""COMPUTED_VALUE"""),"CRM-Cube1-Grey-Pack12")</f>
        <v>CRM-Cube1-Grey-Pack12</v>
      </c>
      <c r="B356" s="26">
        <f>IFERROR(__xludf.DUMMYFUNCTION("""COMPUTED_VALUE"""),4.0)</f>
        <v>4</v>
      </c>
      <c r="C356" s="26" t="str">
        <f>IFERROR(__xludf.DUMMYFUNCTION("""COMPUTED_VALUE"""),"MAA4")</f>
        <v>MAA4</v>
      </c>
      <c r="D356" s="26"/>
      <c r="E356" s="26"/>
      <c r="F356" s="26"/>
      <c r="G356" s="26">
        <f>IFERROR(__xludf.DUMMYFUNCTION("""COMPUTED_VALUE"""),420222.0)</f>
        <v>420222</v>
      </c>
      <c r="H356" s="26">
        <f>IFERROR(__xludf.DUMMYFUNCTION("""COMPUTED_VALUE"""),18.0)</f>
        <v>18</v>
      </c>
      <c r="I356" s="26">
        <f>IFERROR(__xludf.DUMMYFUNCTION("""COMPUTED_VALUE"""),720.0)</f>
        <v>720</v>
      </c>
      <c r="J356" s="26"/>
      <c r="K356" s="26">
        <f t="shared" si="3"/>
        <v>2880</v>
      </c>
    </row>
    <row r="357">
      <c r="A357" s="26" t="str">
        <f>IFERROR(__xludf.DUMMYFUNCTION("""COMPUTED_VALUE"""),"CRM-Cube1-Grey-Pack12")</f>
        <v>CRM-Cube1-Grey-Pack12</v>
      </c>
      <c r="B357" s="26">
        <f>IFERROR(__xludf.DUMMYFUNCTION("""COMPUTED_VALUE"""),2.0)</f>
        <v>2</v>
      </c>
      <c r="C357" s="26" t="str">
        <f>IFERROR(__xludf.DUMMYFUNCTION("""COMPUTED_VALUE"""),"DEL4")</f>
        <v>DEL4</v>
      </c>
      <c r="D357" s="26"/>
      <c r="E357" s="26"/>
      <c r="F357" s="26"/>
      <c r="G357" s="26">
        <f>IFERROR(__xludf.DUMMYFUNCTION("""COMPUTED_VALUE"""),420222.0)</f>
        <v>420222</v>
      </c>
      <c r="H357" s="26">
        <f>IFERROR(__xludf.DUMMYFUNCTION("""COMPUTED_VALUE"""),18.0)</f>
        <v>18</v>
      </c>
      <c r="I357" s="26">
        <f>IFERROR(__xludf.DUMMYFUNCTION("""COMPUTED_VALUE"""),720.0)</f>
        <v>720</v>
      </c>
      <c r="J357" s="26"/>
      <c r="K357" s="26">
        <f t="shared" si="3"/>
        <v>1440</v>
      </c>
    </row>
    <row r="358">
      <c r="A358" s="26" t="str">
        <f>IFERROR(__xludf.DUMMYFUNCTION("""COMPUTED_VALUE"""),"CRM-Cube1-Grey-Pack12")</f>
        <v>CRM-Cube1-Grey-Pack12</v>
      </c>
      <c r="B358" s="26">
        <f>IFERROR(__xludf.DUMMYFUNCTION("""COMPUTED_VALUE"""),10.0)</f>
        <v>10</v>
      </c>
      <c r="C358" s="26" t="str">
        <f>IFERROR(__xludf.DUMMYFUNCTION("""COMPUTED_VALUE"""),"DEL5")</f>
        <v>DEL5</v>
      </c>
      <c r="D358" s="26"/>
      <c r="E358" s="26"/>
      <c r="F358" s="26"/>
      <c r="G358" s="26">
        <f>IFERROR(__xludf.DUMMYFUNCTION("""COMPUTED_VALUE"""),420222.0)</f>
        <v>420222</v>
      </c>
      <c r="H358" s="26">
        <f>IFERROR(__xludf.DUMMYFUNCTION("""COMPUTED_VALUE"""),18.0)</f>
        <v>18</v>
      </c>
      <c r="I358" s="26">
        <f>IFERROR(__xludf.DUMMYFUNCTION("""COMPUTED_VALUE"""),720.0)</f>
        <v>720</v>
      </c>
      <c r="J358" s="26"/>
      <c r="K358" s="26">
        <f t="shared" si="3"/>
        <v>7200</v>
      </c>
    </row>
    <row r="359">
      <c r="A359" s="26" t="str">
        <f>IFERROR(__xludf.DUMMYFUNCTION("""COMPUTED_VALUE"""),"CRM-Cube1-Grey-Pack12")</f>
        <v>CRM-Cube1-Grey-Pack12</v>
      </c>
      <c r="B359" s="26">
        <f>IFERROR(__xludf.DUMMYFUNCTION("""COMPUTED_VALUE"""),10.0)</f>
        <v>10</v>
      </c>
      <c r="C359" s="26" t="str">
        <f>IFERROR(__xludf.DUMMYFUNCTION("""COMPUTED_VALUE"""),"BOM5")</f>
        <v>BOM5</v>
      </c>
      <c r="D359" s="26"/>
      <c r="E359" s="26"/>
      <c r="F359" s="26"/>
      <c r="G359" s="26">
        <f>IFERROR(__xludf.DUMMYFUNCTION("""COMPUTED_VALUE"""),420222.0)</f>
        <v>420222</v>
      </c>
      <c r="H359" s="26">
        <f>IFERROR(__xludf.DUMMYFUNCTION("""COMPUTED_VALUE"""),18.0)</f>
        <v>18</v>
      </c>
      <c r="I359" s="26">
        <f>IFERROR(__xludf.DUMMYFUNCTION("""COMPUTED_VALUE"""),720.0)</f>
        <v>720</v>
      </c>
      <c r="J359" s="26"/>
      <c r="K359" s="26">
        <f t="shared" si="3"/>
        <v>7200</v>
      </c>
    </row>
    <row r="360">
      <c r="A360" s="26" t="str">
        <f>IFERROR(__xludf.DUMMYFUNCTION("""COMPUTED_VALUE"""),"CRM-Cube1-Grey-Pack12")</f>
        <v>CRM-Cube1-Grey-Pack12</v>
      </c>
      <c r="B360" s="26">
        <f>IFERROR(__xludf.DUMMYFUNCTION("""COMPUTED_VALUE"""),8.0)</f>
        <v>8</v>
      </c>
      <c r="C360" s="26" t="str">
        <f>IFERROR(__xludf.DUMMYFUNCTION("""COMPUTED_VALUE"""),"BOM7")</f>
        <v>BOM7</v>
      </c>
      <c r="D360" s="26"/>
      <c r="E360" s="26"/>
      <c r="F360" s="26"/>
      <c r="G360" s="26">
        <f>IFERROR(__xludf.DUMMYFUNCTION("""COMPUTED_VALUE"""),420222.0)</f>
        <v>420222</v>
      </c>
      <c r="H360" s="26">
        <f>IFERROR(__xludf.DUMMYFUNCTION("""COMPUTED_VALUE"""),18.0)</f>
        <v>18</v>
      </c>
      <c r="I360" s="26">
        <f>IFERROR(__xludf.DUMMYFUNCTION("""COMPUTED_VALUE"""),720.0)</f>
        <v>720</v>
      </c>
      <c r="J360" s="26"/>
      <c r="K360" s="26">
        <f t="shared" si="3"/>
        <v>5760</v>
      </c>
    </row>
    <row r="361">
      <c r="A361" s="26" t="str">
        <f>IFERROR(__xludf.DUMMYFUNCTION("""COMPUTED_VALUE"""),"CP-BLACK-1")</f>
        <v>CP-BLACK-1</v>
      </c>
      <c r="B361" s="26">
        <f>IFERROR(__xludf.DUMMYFUNCTION("""COMPUTED_VALUE"""),2.0)</f>
        <v>2</v>
      </c>
      <c r="C361" s="26" t="str">
        <f>IFERROR(__xludf.DUMMYFUNCTION("""COMPUTED_VALUE"""),"AMD2")</f>
        <v>AMD2</v>
      </c>
      <c r="D361" s="26"/>
      <c r="E361" s="26"/>
      <c r="F361" s="26"/>
      <c r="G361" s="26">
        <f>IFERROR(__xludf.DUMMYFUNCTION("""COMPUTED_VALUE"""),420222.0)</f>
        <v>420222</v>
      </c>
      <c r="H361" s="26">
        <f>IFERROR(__xludf.DUMMYFUNCTION("""COMPUTED_VALUE"""),18.0)</f>
        <v>18</v>
      </c>
      <c r="I361" s="26">
        <f>IFERROR(__xludf.DUMMYFUNCTION("""COMPUTED_VALUE"""),80.0)</f>
        <v>80</v>
      </c>
      <c r="J361" s="26"/>
      <c r="K361" s="26">
        <f t="shared" si="3"/>
        <v>160</v>
      </c>
    </row>
    <row r="362">
      <c r="A362" s="26" t="str">
        <f>IFERROR(__xludf.DUMMYFUNCTION("""COMPUTED_VALUE"""),"CP-BLACK-1")</f>
        <v>CP-BLACK-1</v>
      </c>
      <c r="B362" s="26">
        <f>IFERROR(__xludf.DUMMYFUNCTION("""COMPUTED_VALUE"""),2.0)</f>
        <v>2</v>
      </c>
      <c r="C362" s="26" t="str">
        <f>IFERROR(__xludf.DUMMYFUNCTION("""COMPUTED_VALUE"""),"BLR8")</f>
        <v>BLR8</v>
      </c>
      <c r="D362" s="26"/>
      <c r="E362" s="26"/>
      <c r="F362" s="26"/>
      <c r="G362" s="26">
        <f>IFERROR(__xludf.DUMMYFUNCTION("""COMPUTED_VALUE"""),420222.0)</f>
        <v>420222</v>
      </c>
      <c r="H362" s="26">
        <f>IFERROR(__xludf.DUMMYFUNCTION("""COMPUTED_VALUE"""),18.0)</f>
        <v>18</v>
      </c>
      <c r="I362" s="26">
        <f>IFERROR(__xludf.DUMMYFUNCTION("""COMPUTED_VALUE"""),80.0)</f>
        <v>80</v>
      </c>
      <c r="J362" s="26"/>
      <c r="K362" s="26">
        <f t="shared" si="3"/>
        <v>160</v>
      </c>
    </row>
    <row r="363">
      <c r="A363" s="26" t="str">
        <f>IFERROR(__xludf.DUMMYFUNCTION("""COMPUTED_VALUE"""),"CP-BLACK-1-PACK OF 2")</f>
        <v>CP-BLACK-1-PACK OF 2</v>
      </c>
      <c r="B363" s="26">
        <f>IFERROR(__xludf.DUMMYFUNCTION("""COMPUTED_VALUE"""),4.0)</f>
        <v>4</v>
      </c>
      <c r="C363" s="26" t="str">
        <f>IFERROR(__xludf.DUMMYFUNCTION("""COMPUTED_VALUE"""),"DEL5")</f>
        <v>DEL5</v>
      </c>
      <c r="D363" s="26"/>
      <c r="E363" s="26"/>
      <c r="F363" s="26"/>
      <c r="G363" s="26">
        <f>IFERROR(__xludf.DUMMYFUNCTION("""COMPUTED_VALUE"""),420222.0)</f>
        <v>420222</v>
      </c>
      <c r="H363" s="26">
        <f>IFERROR(__xludf.DUMMYFUNCTION("""COMPUTED_VALUE"""),18.0)</f>
        <v>18</v>
      </c>
      <c r="I363" s="26">
        <f>IFERROR(__xludf.DUMMYFUNCTION("""COMPUTED_VALUE"""),160.0)</f>
        <v>160</v>
      </c>
      <c r="J363" s="26"/>
      <c r="K363" s="26">
        <f t="shared" si="3"/>
        <v>640</v>
      </c>
    </row>
    <row r="364">
      <c r="A364" s="26" t="str">
        <f>IFERROR(__xludf.DUMMYFUNCTION("""COMPUTED_VALUE"""),"CRM-CP2-GREY-2Q")</f>
        <v>CRM-CP2-GREY-2Q</v>
      </c>
      <c r="B364" s="26">
        <f>IFERROR(__xludf.DUMMYFUNCTION("""COMPUTED_VALUE"""),4.0)</f>
        <v>4</v>
      </c>
      <c r="C364" s="26" t="str">
        <f>IFERROR(__xludf.DUMMYFUNCTION("""COMPUTED_VALUE"""),"AMD2")</f>
        <v>AMD2</v>
      </c>
      <c r="D364" s="26"/>
      <c r="E364" s="26"/>
      <c r="F364" s="26"/>
      <c r="G364" s="26">
        <f>IFERROR(__xludf.DUMMYFUNCTION("""COMPUTED_VALUE"""),420222.0)</f>
        <v>420222</v>
      </c>
      <c r="H364" s="26">
        <f>IFERROR(__xludf.DUMMYFUNCTION("""COMPUTED_VALUE"""),18.0)</f>
        <v>18</v>
      </c>
      <c r="I364" s="26">
        <f>IFERROR(__xludf.DUMMYFUNCTION("""COMPUTED_VALUE"""),80.0)</f>
        <v>80</v>
      </c>
      <c r="J364" s="26"/>
      <c r="K364" s="26">
        <f t="shared" si="3"/>
        <v>320</v>
      </c>
    </row>
    <row r="365">
      <c r="A365" s="26" t="str">
        <f>IFERROR(__xludf.DUMMYFUNCTION("""COMPUTED_VALUE"""),"CRM-CP2-GREY-2Q")</f>
        <v>CRM-CP2-GREY-2Q</v>
      </c>
      <c r="B365" s="26">
        <f>IFERROR(__xludf.DUMMYFUNCTION("""COMPUTED_VALUE"""),2.0)</f>
        <v>2</v>
      </c>
      <c r="C365" s="26" t="str">
        <f>IFERROR(__xludf.DUMMYFUNCTION("""COMPUTED_VALUE"""),"CJB1")</f>
        <v>CJB1</v>
      </c>
      <c r="D365" s="26"/>
      <c r="E365" s="26"/>
      <c r="F365" s="26"/>
      <c r="G365" s="26">
        <f>IFERROR(__xludf.DUMMYFUNCTION("""COMPUTED_VALUE"""),420222.0)</f>
        <v>420222</v>
      </c>
      <c r="H365" s="26">
        <f>IFERROR(__xludf.DUMMYFUNCTION("""COMPUTED_VALUE"""),18.0)</f>
        <v>18</v>
      </c>
      <c r="I365" s="26">
        <f>IFERROR(__xludf.DUMMYFUNCTION("""COMPUTED_VALUE"""),80.0)</f>
        <v>80</v>
      </c>
      <c r="J365" s="26"/>
      <c r="K365" s="26">
        <f t="shared" si="3"/>
        <v>160</v>
      </c>
    </row>
    <row r="366">
      <c r="A366" s="26" t="str">
        <f>IFERROR(__xludf.DUMMYFUNCTION("""COMPUTED_VALUE"""),"CRM-CP2-GREY-2Q")</f>
        <v>CRM-CP2-GREY-2Q</v>
      </c>
      <c r="B366" s="26">
        <f>IFERROR(__xludf.DUMMYFUNCTION("""COMPUTED_VALUE"""),4.0)</f>
        <v>4</v>
      </c>
      <c r="C366" s="26" t="str">
        <f>IFERROR(__xludf.DUMMYFUNCTION("""COMPUTED_VALUE"""),"DEL4")</f>
        <v>DEL4</v>
      </c>
      <c r="D366" s="26"/>
      <c r="E366" s="26"/>
      <c r="F366" s="26"/>
      <c r="G366" s="26">
        <f>IFERROR(__xludf.DUMMYFUNCTION("""COMPUTED_VALUE"""),420222.0)</f>
        <v>420222</v>
      </c>
      <c r="H366" s="26">
        <f>IFERROR(__xludf.DUMMYFUNCTION("""COMPUTED_VALUE"""),18.0)</f>
        <v>18</v>
      </c>
      <c r="I366" s="26">
        <f>IFERROR(__xludf.DUMMYFUNCTION("""COMPUTED_VALUE"""),80.0)</f>
        <v>80</v>
      </c>
      <c r="J366" s="26"/>
      <c r="K366" s="26">
        <f t="shared" si="3"/>
        <v>320</v>
      </c>
    </row>
    <row r="367">
      <c r="A367" s="26" t="str">
        <f>IFERROR(__xludf.DUMMYFUNCTION("""COMPUTED_VALUE"""),"CRM-CP2-GREY-2Q")</f>
        <v>CRM-CP2-GREY-2Q</v>
      </c>
      <c r="B367" s="26">
        <f>IFERROR(__xludf.DUMMYFUNCTION("""COMPUTED_VALUE"""),2.0)</f>
        <v>2</v>
      </c>
      <c r="C367" s="26" t="str">
        <f>IFERROR(__xludf.DUMMYFUNCTION("""COMPUTED_VALUE"""),"BOM7")</f>
        <v>BOM7</v>
      </c>
      <c r="D367" s="26"/>
      <c r="E367" s="26"/>
      <c r="F367" s="26"/>
      <c r="G367" s="26">
        <f>IFERROR(__xludf.DUMMYFUNCTION("""COMPUTED_VALUE"""),420222.0)</f>
        <v>420222</v>
      </c>
      <c r="H367" s="26">
        <f>IFERROR(__xludf.DUMMYFUNCTION("""COMPUTED_VALUE"""),18.0)</f>
        <v>18</v>
      </c>
      <c r="I367" s="26">
        <f>IFERROR(__xludf.DUMMYFUNCTION("""COMPUTED_VALUE"""),80.0)</f>
        <v>80</v>
      </c>
      <c r="J367" s="26"/>
      <c r="K367" s="26">
        <f t="shared" si="3"/>
        <v>160</v>
      </c>
    </row>
    <row r="368">
      <c r="A368" s="26" t="str">
        <f>IFERROR(__xludf.DUMMYFUNCTION("""COMPUTED_VALUE"""),"CRM-SC-BLACK-TS-4Q")</f>
        <v>CRM-SC-BLACK-TS-4Q</v>
      </c>
      <c r="B368" s="26">
        <f>IFERROR(__xludf.DUMMYFUNCTION("""COMPUTED_VALUE"""),2.0)</f>
        <v>2</v>
      </c>
      <c r="C368" s="26" t="str">
        <f>IFERROR(__xludf.DUMMYFUNCTION("""COMPUTED_VALUE"""),"BLR7")</f>
        <v>BLR7</v>
      </c>
      <c r="D368" s="26"/>
      <c r="E368" s="26"/>
      <c r="F368" s="26"/>
      <c r="G368" s="26">
        <f>IFERROR(__xludf.DUMMYFUNCTION("""COMPUTED_VALUE"""),420222.0)</f>
        <v>420222</v>
      </c>
      <c r="H368" s="26">
        <f>IFERROR(__xludf.DUMMYFUNCTION("""COMPUTED_VALUE"""),18.0)</f>
        <v>18</v>
      </c>
      <c r="I368" s="26">
        <f>IFERROR(__xludf.DUMMYFUNCTION("""COMPUTED_VALUE"""),180.0)</f>
        <v>180</v>
      </c>
      <c r="J368" s="26"/>
      <c r="K368" s="26">
        <f t="shared" si="3"/>
        <v>360</v>
      </c>
    </row>
    <row r="369">
      <c r="A369" s="26" t="str">
        <f>IFERROR(__xludf.DUMMYFUNCTION("""COMPUTED_VALUE"""),"CRM-SC-BLACK-TS-4Q")</f>
        <v>CRM-SC-BLACK-TS-4Q</v>
      </c>
      <c r="B369" s="26">
        <f>IFERROR(__xludf.DUMMYFUNCTION("""COMPUTED_VALUE"""),2.0)</f>
        <v>2</v>
      </c>
      <c r="C369" s="26" t="str">
        <f>IFERROR(__xludf.DUMMYFUNCTION("""COMPUTED_VALUE"""),"DEL4")</f>
        <v>DEL4</v>
      </c>
      <c r="D369" s="26"/>
      <c r="E369" s="26"/>
      <c r="F369" s="26"/>
      <c r="G369" s="26">
        <f>IFERROR(__xludf.DUMMYFUNCTION("""COMPUTED_VALUE"""),420222.0)</f>
        <v>420222</v>
      </c>
      <c r="H369" s="26">
        <f>IFERROR(__xludf.DUMMYFUNCTION("""COMPUTED_VALUE"""),18.0)</f>
        <v>18</v>
      </c>
      <c r="I369" s="26">
        <f>IFERROR(__xludf.DUMMYFUNCTION("""COMPUTED_VALUE"""),180.0)</f>
        <v>180</v>
      </c>
      <c r="J369" s="26"/>
      <c r="K369" s="26">
        <f t="shared" si="3"/>
        <v>360</v>
      </c>
    </row>
    <row r="370">
      <c r="A370" s="26" t="str">
        <f>IFERROR(__xludf.DUMMYFUNCTION("""COMPUTED_VALUE"""),"CRM-SC-BLACK-TS-4Q")</f>
        <v>CRM-SC-BLACK-TS-4Q</v>
      </c>
      <c r="B370" s="26">
        <f>IFERROR(__xludf.DUMMYFUNCTION("""COMPUTED_VALUE"""),2.0)</f>
        <v>2</v>
      </c>
      <c r="C370" s="26" t="str">
        <f>IFERROR(__xludf.DUMMYFUNCTION("""COMPUTED_VALUE"""),"BOM5")</f>
        <v>BOM5</v>
      </c>
      <c r="D370" s="26"/>
      <c r="E370" s="26"/>
      <c r="F370" s="26"/>
      <c r="G370" s="26">
        <f>IFERROR(__xludf.DUMMYFUNCTION("""COMPUTED_VALUE"""),420222.0)</f>
        <v>420222</v>
      </c>
      <c r="H370" s="26">
        <f>IFERROR(__xludf.DUMMYFUNCTION("""COMPUTED_VALUE"""),18.0)</f>
        <v>18</v>
      </c>
      <c r="I370" s="26">
        <f>IFERROR(__xludf.DUMMYFUNCTION("""COMPUTED_VALUE"""),180.0)</f>
        <v>180</v>
      </c>
      <c r="J370" s="26"/>
      <c r="K370" s="26">
        <f t="shared" si="3"/>
        <v>360</v>
      </c>
    </row>
    <row r="371">
      <c r="A371" s="26" t="str">
        <f>IFERROR(__xludf.DUMMYFUNCTION("""COMPUTED_VALUE"""),"CRM-SC-TS-4Q")</f>
        <v>CRM-SC-TS-4Q</v>
      </c>
      <c r="B371" s="26">
        <f>IFERROR(__xludf.DUMMYFUNCTION("""COMPUTED_VALUE"""),8.0)</f>
        <v>8</v>
      </c>
      <c r="C371" s="26" t="str">
        <f>IFERROR(__xludf.DUMMYFUNCTION("""COMPUTED_VALUE"""),"AMD2")</f>
        <v>AMD2</v>
      </c>
      <c r="D371" s="26"/>
      <c r="E371" s="26"/>
      <c r="F371" s="26"/>
      <c r="G371" s="26">
        <f>IFERROR(__xludf.DUMMYFUNCTION("""COMPUTED_VALUE"""),420222.0)</f>
        <v>420222</v>
      </c>
      <c r="H371" s="26">
        <f>IFERROR(__xludf.DUMMYFUNCTION("""COMPUTED_VALUE"""),18.0)</f>
        <v>18</v>
      </c>
      <c r="I371" s="26">
        <f>IFERROR(__xludf.DUMMYFUNCTION("""COMPUTED_VALUE"""),180.0)</f>
        <v>180</v>
      </c>
      <c r="J371" s="26"/>
      <c r="K371" s="26">
        <f t="shared" si="3"/>
        <v>1440</v>
      </c>
    </row>
    <row r="372">
      <c r="A372" s="26" t="str">
        <f>IFERROR(__xludf.DUMMYFUNCTION("""COMPUTED_VALUE"""),"CRM-SC-TS-4Q")</f>
        <v>CRM-SC-TS-4Q</v>
      </c>
      <c r="B372" s="26">
        <f>IFERROR(__xludf.DUMMYFUNCTION("""COMPUTED_VALUE"""),2.0)</f>
        <v>2</v>
      </c>
      <c r="C372" s="26" t="str">
        <f>IFERROR(__xludf.DUMMYFUNCTION("""COMPUTED_VALUE"""),"MAA4")</f>
        <v>MAA4</v>
      </c>
      <c r="D372" s="26"/>
      <c r="E372" s="26"/>
      <c r="F372" s="26"/>
      <c r="G372" s="26">
        <f>IFERROR(__xludf.DUMMYFUNCTION("""COMPUTED_VALUE"""),420222.0)</f>
        <v>420222</v>
      </c>
      <c r="H372" s="26">
        <f>IFERROR(__xludf.DUMMYFUNCTION("""COMPUTED_VALUE"""),18.0)</f>
        <v>18</v>
      </c>
      <c r="I372" s="26">
        <f>IFERROR(__xludf.DUMMYFUNCTION("""COMPUTED_VALUE"""),180.0)</f>
        <v>180</v>
      </c>
      <c r="J372" s="26"/>
      <c r="K372" s="26">
        <f t="shared" si="3"/>
        <v>360</v>
      </c>
    </row>
    <row r="373">
      <c r="A373" s="26" t="str">
        <f>IFERROR(__xludf.DUMMYFUNCTION("""COMPUTED_VALUE"""),"CRM-SC-TS-4Q")</f>
        <v>CRM-SC-TS-4Q</v>
      </c>
      <c r="B373" s="26">
        <f>IFERROR(__xludf.DUMMYFUNCTION("""COMPUTED_VALUE"""),2.0)</f>
        <v>2</v>
      </c>
      <c r="C373" s="26" t="str">
        <f>IFERROR(__xludf.DUMMYFUNCTION("""COMPUTED_VALUE"""),"DEL4")</f>
        <v>DEL4</v>
      </c>
      <c r="D373" s="26"/>
      <c r="E373" s="26"/>
      <c r="F373" s="26"/>
      <c r="G373" s="26">
        <f>IFERROR(__xludf.DUMMYFUNCTION("""COMPUTED_VALUE"""),420222.0)</f>
        <v>420222</v>
      </c>
      <c r="H373" s="26">
        <f>IFERROR(__xludf.DUMMYFUNCTION("""COMPUTED_VALUE"""),18.0)</f>
        <v>18</v>
      </c>
      <c r="I373" s="26">
        <f>IFERROR(__xludf.DUMMYFUNCTION("""COMPUTED_VALUE"""),180.0)</f>
        <v>180</v>
      </c>
      <c r="J373" s="26"/>
      <c r="K373" s="26">
        <f t="shared" si="3"/>
        <v>360</v>
      </c>
    </row>
    <row r="374">
      <c r="A374" s="26" t="str">
        <f>IFERROR(__xludf.DUMMYFUNCTION("""COMPUTED_VALUE"""),"CRM-SC-TS-4Q")</f>
        <v>CRM-SC-TS-4Q</v>
      </c>
      <c r="B374" s="26">
        <f>IFERROR(__xludf.DUMMYFUNCTION("""COMPUTED_VALUE"""),4.0)</f>
        <v>4</v>
      </c>
      <c r="C374" s="26" t="str">
        <f>IFERROR(__xludf.DUMMYFUNCTION("""COMPUTED_VALUE"""),"DEL5")</f>
        <v>DEL5</v>
      </c>
      <c r="D374" s="26"/>
      <c r="E374" s="26"/>
      <c r="F374" s="26"/>
      <c r="G374" s="26">
        <f>IFERROR(__xludf.DUMMYFUNCTION("""COMPUTED_VALUE"""),420222.0)</f>
        <v>420222</v>
      </c>
      <c r="H374" s="26">
        <f>IFERROR(__xludf.DUMMYFUNCTION("""COMPUTED_VALUE"""),18.0)</f>
        <v>18</v>
      </c>
      <c r="I374" s="26">
        <f>IFERROR(__xludf.DUMMYFUNCTION("""COMPUTED_VALUE"""),180.0)</f>
        <v>180</v>
      </c>
      <c r="J374" s="26"/>
      <c r="K374" s="26">
        <f t="shared" si="3"/>
        <v>720</v>
      </c>
    </row>
    <row r="375">
      <c r="A375" s="26" t="str">
        <f>IFERROR(__xludf.DUMMYFUNCTION("""COMPUTED_VALUE"""),"CRM-SC-TS-4Q")</f>
        <v>CRM-SC-TS-4Q</v>
      </c>
      <c r="B375" s="26">
        <f>IFERROR(__xludf.DUMMYFUNCTION("""COMPUTED_VALUE"""),2.0)</f>
        <v>2</v>
      </c>
      <c r="C375" s="26" t="str">
        <f>IFERROR(__xludf.DUMMYFUNCTION("""COMPUTED_VALUE"""),"BOM5")</f>
        <v>BOM5</v>
      </c>
      <c r="D375" s="26"/>
      <c r="E375" s="26"/>
      <c r="F375" s="26"/>
      <c r="G375" s="26">
        <f>IFERROR(__xludf.DUMMYFUNCTION("""COMPUTED_VALUE"""),420222.0)</f>
        <v>420222</v>
      </c>
      <c r="H375" s="26">
        <f>IFERROR(__xludf.DUMMYFUNCTION("""COMPUTED_VALUE"""),18.0)</f>
        <v>18</v>
      </c>
      <c r="I375" s="26">
        <f>IFERROR(__xludf.DUMMYFUNCTION("""COMPUTED_VALUE"""),180.0)</f>
        <v>180</v>
      </c>
      <c r="J375" s="26"/>
      <c r="K375" s="26">
        <f t="shared" si="3"/>
        <v>360</v>
      </c>
    </row>
    <row r="376">
      <c r="A376" s="26" t="str">
        <f>IFERROR(__xludf.DUMMYFUNCTION("""COMPUTED_VALUE"""),"CRM-SC-TS-4Q")</f>
        <v>CRM-SC-TS-4Q</v>
      </c>
      <c r="B376" s="26">
        <f>IFERROR(__xludf.DUMMYFUNCTION("""COMPUTED_VALUE"""),4.0)</f>
        <v>4</v>
      </c>
      <c r="C376" s="26" t="str">
        <f>IFERROR(__xludf.DUMMYFUNCTION("""COMPUTED_VALUE"""),"BOM7")</f>
        <v>BOM7</v>
      </c>
      <c r="D376" s="26"/>
      <c r="E376" s="26"/>
      <c r="F376" s="26"/>
      <c r="G376" s="26">
        <f>IFERROR(__xludf.DUMMYFUNCTION("""COMPUTED_VALUE"""),420222.0)</f>
        <v>420222</v>
      </c>
      <c r="H376" s="26">
        <f>IFERROR(__xludf.DUMMYFUNCTION("""COMPUTED_VALUE"""),18.0)</f>
        <v>18</v>
      </c>
      <c r="I376" s="26">
        <f>IFERROR(__xludf.DUMMYFUNCTION("""COMPUTED_VALUE"""),180.0)</f>
        <v>180</v>
      </c>
      <c r="J376" s="26"/>
      <c r="K376" s="26">
        <f t="shared" si="3"/>
        <v>720</v>
      </c>
    </row>
    <row r="377">
      <c r="A377" s="26" t="str">
        <f>IFERROR(__xludf.DUMMYFUNCTION("""COMPUTED_VALUE"""),"CRM-Cube1-Grey-Pack3-1")</f>
        <v>CRM-Cube1-Grey-Pack3-1</v>
      </c>
      <c r="B377" s="26">
        <f>IFERROR(__xludf.DUMMYFUNCTION("""COMPUTED_VALUE"""),8.0)</f>
        <v>8</v>
      </c>
      <c r="C377" s="26" t="str">
        <f>IFERROR(__xludf.DUMMYFUNCTION("""COMPUTED_VALUE"""),"AMD2")</f>
        <v>AMD2</v>
      </c>
      <c r="D377" s="26"/>
      <c r="E377" s="26"/>
      <c r="F377" s="26"/>
      <c r="G377" s="26">
        <f>IFERROR(__xludf.DUMMYFUNCTION("""COMPUTED_VALUE"""),420222.0)</f>
        <v>420222</v>
      </c>
      <c r="H377" s="26">
        <f>IFERROR(__xludf.DUMMYFUNCTION("""COMPUTED_VALUE"""),18.0)</f>
        <v>18</v>
      </c>
      <c r="I377" s="26">
        <f>IFERROR(__xludf.DUMMYFUNCTION("""COMPUTED_VALUE"""),180.0)</f>
        <v>180</v>
      </c>
      <c r="J377" s="26"/>
      <c r="K377" s="26">
        <f t="shared" si="3"/>
        <v>1440</v>
      </c>
    </row>
    <row r="378">
      <c r="A378" s="26" t="str">
        <f>IFERROR(__xludf.DUMMYFUNCTION("""COMPUTED_VALUE"""),"CRM-Cube1-Grey-Pack3-1")</f>
        <v>CRM-Cube1-Grey-Pack3-1</v>
      </c>
      <c r="B378" s="26">
        <f>IFERROR(__xludf.DUMMYFUNCTION("""COMPUTED_VALUE"""),24.0)</f>
        <v>24</v>
      </c>
      <c r="C378" s="26" t="str">
        <f>IFERROR(__xludf.DUMMYFUNCTION("""COMPUTED_VALUE"""),"BLR8")</f>
        <v>BLR8</v>
      </c>
      <c r="D378" s="26"/>
      <c r="E378" s="26"/>
      <c r="F378" s="26"/>
      <c r="G378" s="26">
        <f>IFERROR(__xludf.DUMMYFUNCTION("""COMPUTED_VALUE"""),420222.0)</f>
        <v>420222</v>
      </c>
      <c r="H378" s="26">
        <f>IFERROR(__xludf.DUMMYFUNCTION("""COMPUTED_VALUE"""),18.0)</f>
        <v>18</v>
      </c>
      <c r="I378" s="26">
        <f>IFERROR(__xludf.DUMMYFUNCTION("""COMPUTED_VALUE"""),180.0)</f>
        <v>180</v>
      </c>
      <c r="J378" s="26"/>
      <c r="K378" s="26">
        <f t="shared" si="3"/>
        <v>4320</v>
      </c>
    </row>
    <row r="379">
      <c r="A379" s="26" t="str">
        <f>IFERROR(__xludf.DUMMYFUNCTION("""COMPUTED_VALUE"""),"CRM-Cube1-Grey-Pack3-1")</f>
        <v>CRM-Cube1-Grey-Pack3-1</v>
      </c>
      <c r="B379" s="26">
        <f>IFERROR(__xludf.DUMMYFUNCTION("""COMPUTED_VALUE"""),2.0)</f>
        <v>2</v>
      </c>
      <c r="C379" s="26" t="str">
        <f>IFERROR(__xludf.DUMMYFUNCTION("""COMPUTED_VALUE"""),"BLR7")</f>
        <v>BLR7</v>
      </c>
      <c r="D379" s="26"/>
      <c r="E379" s="26"/>
      <c r="F379" s="26"/>
      <c r="G379" s="26">
        <f>IFERROR(__xludf.DUMMYFUNCTION("""COMPUTED_VALUE"""),420222.0)</f>
        <v>420222</v>
      </c>
      <c r="H379" s="26">
        <f>IFERROR(__xludf.DUMMYFUNCTION("""COMPUTED_VALUE"""),18.0)</f>
        <v>18</v>
      </c>
      <c r="I379" s="26">
        <f>IFERROR(__xludf.DUMMYFUNCTION("""COMPUTED_VALUE"""),180.0)</f>
        <v>180</v>
      </c>
      <c r="J379" s="26"/>
      <c r="K379" s="26">
        <f t="shared" si="3"/>
        <v>360</v>
      </c>
    </row>
    <row r="380">
      <c r="A380" s="26" t="str">
        <f>IFERROR(__xludf.DUMMYFUNCTION("""COMPUTED_VALUE"""),"CRM-Cube1-Grey-Pack3-1")</f>
        <v>CRM-Cube1-Grey-Pack3-1</v>
      </c>
      <c r="B380" s="26">
        <f>IFERROR(__xludf.DUMMYFUNCTION("""COMPUTED_VALUE"""),22.0)</f>
        <v>22</v>
      </c>
      <c r="C380" s="26" t="str">
        <f>IFERROR(__xludf.DUMMYFUNCTION("""COMPUTED_VALUE"""),"CJB1")</f>
        <v>CJB1</v>
      </c>
      <c r="D380" s="26"/>
      <c r="E380" s="26"/>
      <c r="F380" s="26"/>
      <c r="G380" s="26">
        <f>IFERROR(__xludf.DUMMYFUNCTION("""COMPUTED_VALUE"""),420222.0)</f>
        <v>420222</v>
      </c>
      <c r="H380" s="26">
        <f>IFERROR(__xludf.DUMMYFUNCTION("""COMPUTED_VALUE"""),18.0)</f>
        <v>18</v>
      </c>
      <c r="I380" s="26">
        <f>IFERROR(__xludf.DUMMYFUNCTION("""COMPUTED_VALUE"""),180.0)</f>
        <v>180</v>
      </c>
      <c r="J380" s="26"/>
      <c r="K380" s="26">
        <f t="shared" si="3"/>
        <v>3960</v>
      </c>
    </row>
    <row r="381">
      <c r="A381" s="26" t="str">
        <f>IFERROR(__xludf.DUMMYFUNCTION("""COMPUTED_VALUE"""),"CRM-Cube1-Grey-Pack3-1")</f>
        <v>CRM-Cube1-Grey-Pack3-1</v>
      </c>
      <c r="B381" s="26">
        <f>IFERROR(__xludf.DUMMYFUNCTION("""COMPUTED_VALUE"""),50.0)</f>
        <v>50</v>
      </c>
      <c r="C381" s="26" t="str">
        <f>IFERROR(__xludf.DUMMYFUNCTION("""COMPUTED_VALUE"""),"MAA4")</f>
        <v>MAA4</v>
      </c>
      <c r="D381" s="26"/>
      <c r="E381" s="26"/>
      <c r="F381" s="26"/>
      <c r="G381" s="26">
        <f>IFERROR(__xludf.DUMMYFUNCTION("""COMPUTED_VALUE"""),420222.0)</f>
        <v>420222</v>
      </c>
      <c r="H381" s="26">
        <f>IFERROR(__xludf.DUMMYFUNCTION("""COMPUTED_VALUE"""),18.0)</f>
        <v>18</v>
      </c>
      <c r="I381" s="26">
        <f>IFERROR(__xludf.DUMMYFUNCTION("""COMPUTED_VALUE"""),180.0)</f>
        <v>180</v>
      </c>
      <c r="J381" s="26"/>
      <c r="K381" s="26">
        <f t="shared" si="3"/>
        <v>9000</v>
      </c>
    </row>
    <row r="382">
      <c r="A382" s="26" t="str">
        <f>IFERROR(__xludf.DUMMYFUNCTION("""COMPUTED_VALUE"""),"CRM-Cube1-Grey-Pack3-1")</f>
        <v>CRM-Cube1-Grey-Pack3-1</v>
      </c>
      <c r="B382" s="26">
        <f>IFERROR(__xludf.DUMMYFUNCTION("""COMPUTED_VALUE"""),22.0)</f>
        <v>22</v>
      </c>
      <c r="C382" s="26" t="str">
        <f>IFERROR(__xludf.DUMMYFUNCTION("""COMPUTED_VALUE"""),"DEL4")</f>
        <v>DEL4</v>
      </c>
      <c r="D382" s="26"/>
      <c r="E382" s="26"/>
      <c r="F382" s="26"/>
      <c r="G382" s="26">
        <f>IFERROR(__xludf.DUMMYFUNCTION("""COMPUTED_VALUE"""),420222.0)</f>
        <v>420222</v>
      </c>
      <c r="H382" s="26">
        <f>IFERROR(__xludf.DUMMYFUNCTION("""COMPUTED_VALUE"""),18.0)</f>
        <v>18</v>
      </c>
      <c r="I382" s="26">
        <f>IFERROR(__xludf.DUMMYFUNCTION("""COMPUTED_VALUE"""),180.0)</f>
        <v>180</v>
      </c>
      <c r="J382" s="26"/>
      <c r="K382" s="26">
        <f t="shared" si="3"/>
        <v>3960</v>
      </c>
    </row>
    <row r="383">
      <c r="A383" s="26" t="str">
        <f>IFERROR(__xludf.DUMMYFUNCTION("""COMPUTED_VALUE"""),"CRM-Cube1-Grey-Pack3-1")</f>
        <v>CRM-Cube1-Grey-Pack3-1</v>
      </c>
      <c r="B383" s="26">
        <f>IFERROR(__xludf.DUMMYFUNCTION("""COMPUTED_VALUE"""),10.0)</f>
        <v>10</v>
      </c>
      <c r="C383" s="26" t="str">
        <f>IFERROR(__xludf.DUMMYFUNCTION("""COMPUTED_VALUE"""),"DEL5")</f>
        <v>DEL5</v>
      </c>
      <c r="D383" s="26"/>
      <c r="E383" s="26"/>
      <c r="F383" s="26"/>
      <c r="G383" s="26">
        <f>IFERROR(__xludf.DUMMYFUNCTION("""COMPUTED_VALUE"""),420222.0)</f>
        <v>420222</v>
      </c>
      <c r="H383" s="26">
        <f>IFERROR(__xludf.DUMMYFUNCTION("""COMPUTED_VALUE"""),18.0)</f>
        <v>18</v>
      </c>
      <c r="I383" s="26">
        <f>IFERROR(__xludf.DUMMYFUNCTION("""COMPUTED_VALUE"""),180.0)</f>
        <v>180</v>
      </c>
      <c r="J383" s="26"/>
      <c r="K383" s="26">
        <f t="shared" si="3"/>
        <v>1800</v>
      </c>
    </row>
    <row r="384">
      <c r="A384" s="26" t="str">
        <f>IFERROR(__xludf.DUMMYFUNCTION("""COMPUTED_VALUE"""),"CRM-Cube1-Grey-Pack3-1")</f>
        <v>CRM-Cube1-Grey-Pack3-1</v>
      </c>
      <c r="B384" s="26">
        <f>IFERROR(__xludf.DUMMYFUNCTION("""COMPUTED_VALUE"""),42.0)</f>
        <v>42</v>
      </c>
      <c r="C384" s="26" t="str">
        <f>IFERROR(__xludf.DUMMYFUNCTION("""COMPUTED_VALUE"""),"BOM5")</f>
        <v>BOM5</v>
      </c>
      <c r="D384" s="26"/>
      <c r="E384" s="26"/>
      <c r="F384" s="26"/>
      <c r="G384" s="26">
        <f>IFERROR(__xludf.DUMMYFUNCTION("""COMPUTED_VALUE"""),420222.0)</f>
        <v>420222</v>
      </c>
      <c r="H384" s="26">
        <f>IFERROR(__xludf.DUMMYFUNCTION("""COMPUTED_VALUE"""),18.0)</f>
        <v>18</v>
      </c>
      <c r="I384" s="26">
        <f>IFERROR(__xludf.DUMMYFUNCTION("""COMPUTED_VALUE"""),180.0)</f>
        <v>180</v>
      </c>
      <c r="J384" s="26"/>
      <c r="K384" s="26">
        <f t="shared" si="3"/>
        <v>7560</v>
      </c>
    </row>
    <row r="385">
      <c r="A385" s="26" t="str">
        <f>IFERROR(__xludf.DUMMYFUNCTION("""COMPUTED_VALUE"""),"CRM-Cube1-Grey-Pack3-1")</f>
        <v>CRM-Cube1-Grey-Pack3-1</v>
      </c>
      <c r="B385" s="26">
        <f>IFERROR(__xludf.DUMMYFUNCTION("""COMPUTED_VALUE"""),28.0)</f>
        <v>28</v>
      </c>
      <c r="C385" s="26" t="str">
        <f>IFERROR(__xludf.DUMMYFUNCTION("""COMPUTED_VALUE"""),"BOM7")</f>
        <v>BOM7</v>
      </c>
      <c r="D385" s="26"/>
      <c r="E385" s="26"/>
      <c r="F385" s="26"/>
      <c r="G385" s="26">
        <f>IFERROR(__xludf.DUMMYFUNCTION("""COMPUTED_VALUE"""),420222.0)</f>
        <v>420222</v>
      </c>
      <c r="H385" s="26">
        <f>IFERROR(__xludf.DUMMYFUNCTION("""COMPUTED_VALUE"""),18.0)</f>
        <v>18</v>
      </c>
      <c r="I385" s="26">
        <f>IFERROR(__xludf.DUMMYFUNCTION("""COMPUTED_VALUE"""),180.0)</f>
        <v>180</v>
      </c>
      <c r="J385" s="26"/>
      <c r="K385" s="26">
        <f t="shared" si="3"/>
        <v>5040</v>
      </c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>
        <f t="shared" si="3"/>
        <v>0</v>
      </c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>
        <f t="shared" si="3"/>
        <v>0</v>
      </c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>
        <f t="shared" si="3"/>
        <v>0</v>
      </c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>
        <f t="shared" si="3"/>
        <v>0</v>
      </c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>
        <f t="shared" si="3"/>
        <v>0</v>
      </c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>
        <f t="shared" si="3"/>
        <v>0</v>
      </c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>
        <f t="shared" si="3"/>
        <v>0</v>
      </c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>
        <f t="shared" si="3"/>
        <v>0</v>
      </c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>
        <f t="shared" si="3"/>
        <v>0</v>
      </c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>
        <f t="shared" si="3"/>
        <v>0</v>
      </c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>
        <f t="shared" si="3"/>
        <v>0</v>
      </c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>
        <f t="shared" si="3"/>
        <v>0</v>
      </c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>
        <f t="shared" si="3"/>
        <v>0</v>
      </c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>
        <f t="shared" si="3"/>
        <v>0</v>
      </c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>
        <f t="shared" si="3"/>
        <v>0</v>
      </c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>
        <f t="shared" si="3"/>
        <v>0</v>
      </c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>
        <f t="shared" si="3"/>
        <v>0</v>
      </c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>
        <f t="shared" si="3"/>
        <v>0</v>
      </c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>
        <f t="shared" si="3"/>
        <v>0</v>
      </c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>
        <f t="shared" si="3"/>
        <v>0</v>
      </c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>
        <f t="shared" si="3"/>
        <v>0</v>
      </c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>
        <f t="shared" si="3"/>
        <v>0</v>
      </c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>
        <f t="shared" si="3"/>
        <v>0</v>
      </c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>
        <f t="shared" si="3"/>
        <v>0</v>
      </c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>
        <f t="shared" si="3"/>
        <v>0</v>
      </c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>
        <f t="shared" si="3"/>
        <v>0</v>
      </c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>
        <f t="shared" si="3"/>
        <v>0</v>
      </c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>
        <f t="shared" si="3"/>
        <v>0</v>
      </c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>
        <f t="shared" si="3"/>
        <v>0</v>
      </c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>
        <f t="shared" si="3"/>
        <v>0</v>
      </c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>
        <f t="shared" si="3"/>
        <v>0</v>
      </c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>
        <f t="shared" si="3"/>
        <v>0</v>
      </c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>
        <f t="shared" si="3"/>
        <v>0</v>
      </c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>
        <f t="shared" si="3"/>
        <v>0</v>
      </c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>
        <f t="shared" si="3"/>
        <v>0</v>
      </c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>
        <f t="shared" si="3"/>
        <v>0</v>
      </c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>
        <f t="shared" si="3"/>
        <v>0</v>
      </c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>
        <f t="shared" si="3"/>
        <v>0</v>
      </c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>
        <f t="shared" si="3"/>
        <v>0</v>
      </c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>
        <f t="shared" si="3"/>
        <v>0</v>
      </c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>
        <f t="shared" si="3"/>
        <v>0</v>
      </c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>
        <f t="shared" si="3"/>
        <v>0</v>
      </c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>
        <f t="shared" si="3"/>
        <v>0</v>
      </c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>
        <f t="shared" si="3"/>
        <v>0</v>
      </c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>
        <f t="shared" si="3"/>
        <v>0</v>
      </c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>
        <f t="shared" si="3"/>
        <v>0</v>
      </c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>
        <f t="shared" si="3"/>
        <v>0</v>
      </c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>
        <f t="shared" si="3"/>
        <v>0</v>
      </c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>
        <f t="shared" si="3"/>
        <v>0</v>
      </c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>
        <f t="shared" si="3"/>
        <v>0</v>
      </c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>
        <f t="shared" si="3"/>
        <v>0</v>
      </c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>
        <f t="shared" si="3"/>
        <v>0</v>
      </c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>
        <f t="shared" si="3"/>
        <v>0</v>
      </c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>
        <f t="shared" si="3"/>
        <v>0</v>
      </c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>
        <f t="shared" si="3"/>
        <v>0</v>
      </c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>
        <f t="shared" si="3"/>
        <v>0</v>
      </c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>
        <f t="shared" si="3"/>
        <v>0</v>
      </c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>
        <f t="shared" si="3"/>
        <v>0</v>
      </c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>
        <f t="shared" si="3"/>
        <v>0</v>
      </c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>
        <f t="shared" si="3"/>
        <v>0</v>
      </c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>
        <f t="shared" si="3"/>
        <v>0</v>
      </c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>
        <f t="shared" si="3"/>
        <v>0</v>
      </c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>
        <f t="shared" si="3"/>
        <v>0</v>
      </c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>
        <f t="shared" si="3"/>
        <v>0</v>
      </c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>
        <f t="shared" si="3"/>
        <v>0</v>
      </c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>
        <f t="shared" si="3"/>
        <v>0</v>
      </c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>
        <f t="shared" si="3"/>
        <v>0</v>
      </c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>
        <f t="shared" si="3"/>
        <v>0</v>
      </c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>
        <f t="shared" si="3"/>
        <v>0</v>
      </c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>
        <f t="shared" si="3"/>
        <v>0</v>
      </c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>
        <f t="shared" si="3"/>
        <v>0</v>
      </c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>
        <f t="shared" si="3"/>
        <v>0</v>
      </c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>
        <f t="shared" si="3"/>
        <v>0</v>
      </c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>
        <f t="shared" si="3"/>
        <v>0</v>
      </c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>
        <f t="shared" si="3"/>
        <v>0</v>
      </c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>
        <f t="shared" si="3"/>
        <v>0</v>
      </c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>
        <f t="shared" si="3"/>
        <v>0</v>
      </c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>
        <f t="shared" si="3"/>
        <v>0</v>
      </c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>
        <f t="shared" si="3"/>
        <v>0</v>
      </c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>
        <f t="shared" si="3"/>
        <v>0</v>
      </c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>
        <f t="shared" si="3"/>
        <v>0</v>
      </c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>
        <f t="shared" si="3"/>
        <v>0</v>
      </c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>
        <f t="shared" si="3"/>
        <v>0</v>
      </c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>
        <f t="shared" si="3"/>
        <v>0</v>
      </c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>
        <f t="shared" si="3"/>
        <v>0</v>
      </c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>
        <f t="shared" si="3"/>
        <v>0</v>
      </c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>
        <f t="shared" si="3"/>
        <v>0</v>
      </c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>
        <f t="shared" si="3"/>
        <v>0</v>
      </c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>
        <f t="shared" si="3"/>
        <v>0</v>
      </c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>
        <f t="shared" si="3"/>
        <v>0</v>
      </c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>
        <f t="shared" si="3"/>
        <v>0</v>
      </c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>
        <f t="shared" si="3"/>
        <v>0</v>
      </c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>
        <f t="shared" si="3"/>
        <v>0</v>
      </c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>
        <f t="shared" si="3"/>
        <v>0</v>
      </c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>
        <f t="shared" si="3"/>
        <v>0</v>
      </c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>
        <f t="shared" si="3"/>
        <v>0</v>
      </c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>
        <f t="shared" si="3"/>
        <v>0</v>
      </c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>
        <f t="shared" si="3"/>
        <v>0</v>
      </c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>
        <f t="shared" si="3"/>
        <v>0</v>
      </c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>
        <f t="shared" si="3"/>
        <v>0</v>
      </c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>
        <f t="shared" si="3"/>
        <v>0</v>
      </c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>
        <f t="shared" si="3"/>
        <v>0</v>
      </c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>
        <f t="shared" si="3"/>
        <v>0</v>
      </c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>
        <f t="shared" si="3"/>
        <v>0</v>
      </c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>
        <f t="shared" si="3"/>
        <v>0</v>
      </c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>
        <f t="shared" si="3"/>
        <v>0</v>
      </c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>
        <f t="shared" si="3"/>
        <v>0</v>
      </c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>
        <f t="shared" si="3"/>
        <v>0</v>
      </c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>
        <f t="shared" si="3"/>
        <v>0</v>
      </c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>
        <f t="shared" si="3"/>
        <v>0</v>
      </c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>
        <f t="shared" si="3"/>
        <v>0</v>
      </c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>
        <f t="shared" si="3"/>
        <v>0</v>
      </c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>
        <f t="shared" si="3"/>
        <v>0</v>
      </c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>
        <f t="shared" si="3"/>
        <v>0</v>
      </c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>
        <f t="shared" si="3"/>
        <v>0</v>
      </c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>
        <f t="shared" si="3"/>
        <v>0</v>
      </c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>
        <f t="shared" si="3"/>
        <v>0</v>
      </c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>
        <f t="shared" si="3"/>
        <v>0</v>
      </c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>
        <f t="shared" si="3"/>
        <v>0</v>
      </c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>
        <f t="shared" si="3"/>
        <v>0</v>
      </c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>
        <f t="shared" si="3"/>
        <v>0</v>
      </c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>
        <f t="shared" si="3"/>
        <v>0</v>
      </c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>
        <f t="shared" si="3"/>
        <v>0</v>
      </c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>
        <f t="shared" si="3"/>
        <v>0</v>
      </c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>
        <f t="shared" si="3"/>
        <v>0</v>
      </c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>
        <f t="shared" si="3"/>
        <v>0</v>
      </c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>
        <f t="shared" si="3"/>
        <v>0</v>
      </c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>
        <f t="shared" si="3"/>
        <v>0</v>
      </c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>
        <f t="shared" si="3"/>
        <v>0</v>
      </c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>
        <f t="shared" si="3"/>
        <v>0</v>
      </c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>
        <f t="shared" si="3"/>
        <v>0</v>
      </c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>
        <f t="shared" si="3"/>
        <v>0</v>
      </c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>
        <f t="shared" si="3"/>
        <v>0</v>
      </c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>
        <f t="shared" si="3"/>
        <v>0</v>
      </c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>
        <f t="shared" si="3"/>
        <v>0</v>
      </c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>
        <f t="shared" si="3"/>
        <v>0</v>
      </c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>
        <f t="shared" si="3"/>
        <v>0</v>
      </c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>
        <f t="shared" si="3"/>
        <v>0</v>
      </c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>
        <f t="shared" si="3"/>
        <v>0</v>
      </c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>
        <f t="shared" si="3"/>
        <v>0</v>
      </c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>
        <f t="shared" si="3"/>
        <v>0</v>
      </c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>
        <f t="shared" si="3"/>
        <v>0</v>
      </c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>
        <f t="shared" si="3"/>
        <v>0</v>
      </c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>
        <f t="shared" si="3"/>
        <v>0</v>
      </c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>
        <f t="shared" si="3"/>
        <v>0</v>
      </c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>
        <f t="shared" si="3"/>
        <v>0</v>
      </c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>
        <f t="shared" si="3"/>
        <v>0</v>
      </c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>
        <f t="shared" si="3"/>
        <v>0</v>
      </c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>
        <f t="shared" si="3"/>
        <v>0</v>
      </c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>
        <f t="shared" si="3"/>
        <v>0</v>
      </c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>
        <f t="shared" si="3"/>
        <v>0</v>
      </c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>
        <f t="shared" si="3"/>
        <v>0</v>
      </c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>
        <f t="shared" si="3"/>
        <v>0</v>
      </c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>
        <f t="shared" si="3"/>
        <v>0</v>
      </c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>
        <f t="shared" si="3"/>
        <v>0</v>
      </c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>
        <f t="shared" si="3"/>
        <v>0</v>
      </c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>
        <f t="shared" si="3"/>
        <v>0</v>
      </c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>
        <f t="shared" si="3"/>
        <v>0</v>
      </c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>
        <f t="shared" si="3"/>
        <v>0</v>
      </c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>
        <f t="shared" si="3"/>
        <v>0</v>
      </c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>
        <f t="shared" si="3"/>
        <v>0</v>
      </c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>
        <f t="shared" si="3"/>
        <v>0</v>
      </c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>
        <f t="shared" si="3"/>
        <v>0</v>
      </c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>
        <f t="shared" si="3"/>
        <v>0</v>
      </c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>
        <f t="shared" si="3"/>
        <v>0</v>
      </c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>
        <f t="shared" si="3"/>
        <v>0</v>
      </c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>
        <f t="shared" si="3"/>
        <v>0</v>
      </c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>
        <f t="shared" si="3"/>
        <v>0</v>
      </c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>
        <f t="shared" si="3"/>
        <v>0</v>
      </c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>
        <f t="shared" si="3"/>
        <v>0</v>
      </c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>
        <f t="shared" si="3"/>
        <v>0</v>
      </c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>
        <f t="shared" si="3"/>
        <v>0</v>
      </c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>
        <f t="shared" si="3"/>
        <v>0</v>
      </c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>
        <f t="shared" si="3"/>
        <v>0</v>
      </c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>
        <f t="shared" si="3"/>
        <v>0</v>
      </c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>
        <f t="shared" si="3"/>
        <v>0</v>
      </c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>
        <f t="shared" si="3"/>
        <v>0</v>
      </c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>
        <f t="shared" si="3"/>
        <v>0</v>
      </c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>
        <f t="shared" si="3"/>
        <v>0</v>
      </c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>
        <f t="shared" si="3"/>
        <v>0</v>
      </c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>
        <f t="shared" si="3"/>
        <v>0</v>
      </c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>
        <f t="shared" si="3"/>
        <v>0</v>
      </c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>
        <f t="shared" si="3"/>
        <v>0</v>
      </c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>
        <f t="shared" si="3"/>
        <v>0</v>
      </c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>
        <f t="shared" si="3"/>
        <v>0</v>
      </c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>
        <f t="shared" si="3"/>
        <v>0</v>
      </c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>
        <f t="shared" si="3"/>
        <v>0</v>
      </c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>
        <f t="shared" si="3"/>
        <v>0</v>
      </c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>
        <f t="shared" si="3"/>
        <v>0</v>
      </c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>
        <f t="shared" si="3"/>
        <v>0</v>
      </c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>
        <f t="shared" si="3"/>
        <v>0</v>
      </c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>
        <f t="shared" si="3"/>
        <v>0</v>
      </c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>
        <f t="shared" si="3"/>
        <v>0</v>
      </c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>
        <f t="shared" si="3"/>
        <v>0</v>
      </c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>
        <f t="shared" si="3"/>
        <v>0</v>
      </c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>
        <f t="shared" si="3"/>
        <v>0</v>
      </c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>
        <f t="shared" si="3"/>
        <v>0</v>
      </c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>
        <f t="shared" si="3"/>
        <v>0</v>
      </c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>
        <f t="shared" si="3"/>
        <v>0</v>
      </c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>
        <f t="shared" si="3"/>
        <v>0</v>
      </c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>
        <f t="shared" si="3"/>
        <v>0</v>
      </c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>
        <f t="shared" si="3"/>
        <v>0</v>
      </c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>
        <f t="shared" si="3"/>
        <v>0</v>
      </c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>
        <f t="shared" si="3"/>
        <v>0</v>
      </c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>
        <f t="shared" si="3"/>
        <v>0</v>
      </c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>
        <f t="shared" si="3"/>
        <v>0</v>
      </c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>
        <f t="shared" si="3"/>
        <v>0</v>
      </c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>
        <f t="shared" si="3"/>
        <v>0</v>
      </c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>
        <f t="shared" si="3"/>
        <v>0</v>
      </c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>
        <f t="shared" si="3"/>
        <v>0</v>
      </c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>
        <f t="shared" si="3"/>
        <v>0</v>
      </c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>
        <f t="shared" si="3"/>
        <v>0</v>
      </c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>
        <f t="shared" si="3"/>
        <v>0</v>
      </c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>
        <f t="shared" si="3"/>
        <v>0</v>
      </c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>
        <f t="shared" si="3"/>
        <v>0</v>
      </c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>
        <f t="shared" si="3"/>
        <v>0</v>
      </c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>
        <f t="shared" si="3"/>
        <v>0</v>
      </c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>
        <f t="shared" si="3"/>
        <v>0</v>
      </c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>
        <f t="shared" si="3"/>
        <v>0</v>
      </c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>
        <f t="shared" si="3"/>
        <v>0</v>
      </c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>
        <f t="shared" si="3"/>
        <v>0</v>
      </c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>
        <f t="shared" si="3"/>
        <v>0</v>
      </c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>
        <f t="shared" si="3"/>
        <v>0</v>
      </c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>
        <f t="shared" si="3"/>
        <v>0</v>
      </c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>
        <f t="shared" si="3"/>
        <v>0</v>
      </c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>
        <f t="shared" si="3"/>
        <v>0</v>
      </c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>
        <f t="shared" si="3"/>
        <v>0</v>
      </c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>
        <f t="shared" si="3"/>
        <v>0</v>
      </c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>
        <f t="shared" si="3"/>
        <v>0</v>
      </c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>
        <f t="shared" si="3"/>
        <v>0</v>
      </c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>
        <f t="shared" si="3"/>
        <v>0</v>
      </c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>
        <f t="shared" si="3"/>
        <v>0</v>
      </c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>
        <f t="shared" si="3"/>
        <v>0</v>
      </c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>
        <f t="shared" si="3"/>
        <v>0</v>
      </c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>
        <f t="shared" si="3"/>
        <v>0</v>
      </c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>
        <f t="shared" si="3"/>
        <v>0</v>
      </c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>
        <f t="shared" si="3"/>
        <v>0</v>
      </c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>
        <f t="shared" si="3"/>
        <v>0</v>
      </c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>
        <f t="shared" si="3"/>
        <v>0</v>
      </c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>
        <f t="shared" si="3"/>
        <v>0</v>
      </c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>
        <f t="shared" si="3"/>
        <v>0</v>
      </c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>
        <f t="shared" si="3"/>
        <v>0</v>
      </c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>
        <f t="shared" si="3"/>
        <v>0</v>
      </c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>
        <f t="shared" si="3"/>
        <v>0</v>
      </c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>
        <f t="shared" si="3"/>
        <v>0</v>
      </c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>
        <f t="shared" si="3"/>
        <v>0</v>
      </c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>
        <f t="shared" si="3"/>
        <v>0</v>
      </c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>
        <f t="shared" si="3"/>
        <v>0</v>
      </c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>
        <f t="shared" si="3"/>
        <v>0</v>
      </c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>
        <f t="shared" si="3"/>
        <v>0</v>
      </c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>
        <f t="shared" si="3"/>
        <v>0</v>
      </c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>
        <f t="shared" si="3"/>
        <v>0</v>
      </c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>
        <f t="shared" si="3"/>
        <v>0</v>
      </c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>
        <f t="shared" si="3"/>
        <v>0</v>
      </c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>
        <f t="shared" si="3"/>
        <v>0</v>
      </c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>
        <f t="shared" si="3"/>
        <v>0</v>
      </c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>
        <f t="shared" si="3"/>
        <v>0</v>
      </c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>
        <f t="shared" si="3"/>
        <v>0</v>
      </c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>
        <f t="shared" si="3"/>
        <v>0</v>
      </c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>
        <f t="shared" si="3"/>
        <v>0</v>
      </c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>
        <f t="shared" si="3"/>
        <v>0</v>
      </c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>
        <f t="shared" si="3"/>
        <v>0</v>
      </c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>
        <f t="shared" si="3"/>
        <v>0</v>
      </c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>
        <f t="shared" si="3"/>
        <v>0</v>
      </c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>
        <f t="shared" si="3"/>
        <v>0</v>
      </c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>
        <f t="shared" si="3"/>
        <v>0</v>
      </c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>
        <f t="shared" si="3"/>
        <v>0</v>
      </c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>
        <f t="shared" si="3"/>
        <v>0</v>
      </c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>
        <f t="shared" si="3"/>
        <v>0</v>
      </c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>
        <f t="shared" si="3"/>
        <v>0</v>
      </c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>
        <f t="shared" si="3"/>
        <v>0</v>
      </c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>
        <f t="shared" si="3"/>
        <v>0</v>
      </c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>
        <f t="shared" si="3"/>
        <v>0</v>
      </c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>
        <f t="shared" si="3"/>
        <v>0</v>
      </c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>
        <f t="shared" si="3"/>
        <v>0</v>
      </c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>
        <f t="shared" si="3"/>
        <v>0</v>
      </c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>
        <f t="shared" si="3"/>
        <v>0</v>
      </c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>
        <f t="shared" si="3"/>
        <v>0</v>
      </c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>
        <f t="shared" si="3"/>
        <v>0</v>
      </c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>
        <f t="shared" si="3"/>
        <v>0</v>
      </c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>
        <f t="shared" si="3"/>
        <v>0</v>
      </c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>
        <f t="shared" si="3"/>
        <v>0</v>
      </c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>
        <f t="shared" si="3"/>
        <v>0</v>
      </c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>
        <f t="shared" si="3"/>
        <v>0</v>
      </c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>
        <f t="shared" si="3"/>
        <v>0</v>
      </c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>
        <f t="shared" si="3"/>
        <v>0</v>
      </c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>
        <f t="shared" si="3"/>
        <v>0</v>
      </c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>
        <f t="shared" si="3"/>
        <v>0</v>
      </c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>
        <f t="shared" si="3"/>
        <v>0</v>
      </c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>
        <f t="shared" si="3"/>
        <v>0</v>
      </c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>
        <f t="shared" si="3"/>
        <v>0</v>
      </c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>
        <f t="shared" si="3"/>
        <v>0</v>
      </c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>
        <f t="shared" si="3"/>
        <v>0</v>
      </c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>
        <f t="shared" si="3"/>
        <v>0</v>
      </c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>
        <f t="shared" si="3"/>
        <v>0</v>
      </c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>
        <f t="shared" si="3"/>
        <v>0</v>
      </c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>
        <f t="shared" si="3"/>
        <v>0</v>
      </c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>
        <f t="shared" si="3"/>
        <v>0</v>
      </c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>
        <f t="shared" si="3"/>
        <v>0</v>
      </c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>
        <f t="shared" si="3"/>
        <v>0</v>
      </c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>
        <f t="shared" si="3"/>
        <v>0</v>
      </c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>
        <f t="shared" si="3"/>
        <v>0</v>
      </c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>
        <f t="shared" si="3"/>
        <v>0</v>
      </c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>
        <f t="shared" si="3"/>
        <v>0</v>
      </c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>
        <f t="shared" si="3"/>
        <v>0</v>
      </c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>
        <f t="shared" si="3"/>
        <v>0</v>
      </c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>
        <f t="shared" si="3"/>
        <v>0</v>
      </c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>
        <f t="shared" si="3"/>
        <v>0</v>
      </c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>
        <f t="shared" si="3"/>
        <v>0</v>
      </c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>
        <f t="shared" si="3"/>
        <v>0</v>
      </c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>
        <f t="shared" si="3"/>
        <v>0</v>
      </c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>
        <f t="shared" si="3"/>
        <v>0</v>
      </c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>
        <f t="shared" si="3"/>
        <v>0</v>
      </c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>
        <f t="shared" si="3"/>
        <v>0</v>
      </c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>
        <f t="shared" si="3"/>
        <v>0</v>
      </c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>
        <f t="shared" si="3"/>
        <v>0</v>
      </c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>
        <f t="shared" si="3"/>
        <v>0</v>
      </c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>
        <f t="shared" si="3"/>
        <v>0</v>
      </c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>
        <f t="shared" si="3"/>
        <v>0</v>
      </c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>
        <f t="shared" si="3"/>
        <v>0</v>
      </c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>
        <f t="shared" si="3"/>
        <v>0</v>
      </c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>
        <f t="shared" si="3"/>
        <v>0</v>
      </c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>
        <f t="shared" si="3"/>
        <v>0</v>
      </c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>
        <f t="shared" si="3"/>
        <v>0</v>
      </c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>
        <f t="shared" si="3"/>
        <v>0</v>
      </c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>
        <f t="shared" si="3"/>
        <v>0</v>
      </c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>
        <f t="shared" si="3"/>
        <v>0</v>
      </c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>
        <f t="shared" si="3"/>
        <v>0</v>
      </c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>
        <f t="shared" si="3"/>
        <v>0</v>
      </c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>
        <f t="shared" si="3"/>
        <v>0</v>
      </c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>
        <f t="shared" si="3"/>
        <v>0</v>
      </c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>
        <f t="shared" si="3"/>
        <v>0</v>
      </c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>
        <f t="shared" si="3"/>
        <v>0</v>
      </c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>
        <f t="shared" si="3"/>
        <v>0</v>
      </c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>
        <f t="shared" si="3"/>
        <v>0</v>
      </c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>
        <f t="shared" si="3"/>
        <v>0</v>
      </c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>
        <f t="shared" si="3"/>
        <v>0</v>
      </c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>
        <f t="shared" si="3"/>
        <v>0</v>
      </c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>
        <f t="shared" si="3"/>
        <v>0</v>
      </c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>
        <f t="shared" si="3"/>
        <v>0</v>
      </c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>
        <f t="shared" si="3"/>
        <v>0</v>
      </c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>
        <f t="shared" si="3"/>
        <v>0</v>
      </c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>
        <f t="shared" si="3"/>
        <v>0</v>
      </c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>
        <f t="shared" si="3"/>
        <v>0</v>
      </c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>
        <f t="shared" si="3"/>
        <v>0</v>
      </c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>
        <f t="shared" si="3"/>
        <v>0</v>
      </c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>
        <f t="shared" si="3"/>
        <v>0</v>
      </c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>
        <f t="shared" si="3"/>
        <v>0</v>
      </c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>
        <f t="shared" si="3"/>
        <v>0</v>
      </c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>
        <f t="shared" si="3"/>
        <v>0</v>
      </c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>
        <f t="shared" si="3"/>
        <v>0</v>
      </c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>
        <f t="shared" si="3"/>
        <v>0</v>
      </c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>
        <f t="shared" si="3"/>
        <v>0</v>
      </c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>
        <f t="shared" si="3"/>
        <v>0</v>
      </c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>
        <f t="shared" si="3"/>
        <v>0</v>
      </c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>
        <f t="shared" si="3"/>
        <v>0</v>
      </c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>
        <f t="shared" si="3"/>
        <v>0</v>
      </c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>
        <f t="shared" si="3"/>
        <v>0</v>
      </c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>
        <f t="shared" si="3"/>
        <v>0</v>
      </c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>
        <f t="shared" si="3"/>
        <v>0</v>
      </c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>
        <f t="shared" si="3"/>
        <v>0</v>
      </c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>
        <f t="shared" si="3"/>
        <v>0</v>
      </c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>
        <f t="shared" si="3"/>
        <v>0</v>
      </c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>
        <f t="shared" si="3"/>
        <v>0</v>
      </c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>
        <f t="shared" si="3"/>
        <v>0</v>
      </c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>
        <f t="shared" si="3"/>
        <v>0</v>
      </c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>
        <f t="shared" si="3"/>
        <v>0</v>
      </c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>
        <f t="shared" si="3"/>
        <v>0</v>
      </c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>
        <f t="shared" si="3"/>
        <v>0</v>
      </c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>
        <f t="shared" si="3"/>
        <v>0</v>
      </c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>
        <f t="shared" si="3"/>
        <v>0</v>
      </c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>
        <f t="shared" si="3"/>
        <v>0</v>
      </c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>
        <f t="shared" si="3"/>
        <v>0</v>
      </c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>
        <f t="shared" si="3"/>
        <v>0</v>
      </c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>
        <f t="shared" si="3"/>
        <v>0</v>
      </c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>
        <f t="shared" si="3"/>
        <v>0</v>
      </c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>
        <f t="shared" si="3"/>
        <v>0</v>
      </c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>
        <f t="shared" si="3"/>
        <v>0</v>
      </c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>
        <f t="shared" si="3"/>
        <v>0</v>
      </c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>
        <f t="shared" si="3"/>
        <v>0</v>
      </c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>
        <f t="shared" si="3"/>
        <v>0</v>
      </c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>
        <f t="shared" si="3"/>
        <v>0</v>
      </c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>
        <f t="shared" si="3"/>
        <v>0</v>
      </c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>
        <f t="shared" si="3"/>
        <v>0</v>
      </c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>
        <f t="shared" si="3"/>
        <v>0</v>
      </c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>
        <f t="shared" si="3"/>
        <v>0</v>
      </c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>
        <f t="shared" si="3"/>
        <v>0</v>
      </c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>
        <f t="shared" si="3"/>
        <v>0</v>
      </c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>
        <f t="shared" si="3"/>
        <v>0</v>
      </c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>
        <f t="shared" si="3"/>
        <v>0</v>
      </c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>
        <f t="shared" si="3"/>
        <v>0</v>
      </c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>
        <f t="shared" si="3"/>
        <v>0</v>
      </c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>
        <f t="shared" si="3"/>
        <v>0</v>
      </c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>
        <f t="shared" si="3"/>
        <v>0</v>
      </c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>
        <f t="shared" si="3"/>
        <v>0</v>
      </c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>
        <f t="shared" si="3"/>
        <v>0</v>
      </c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>
        <f t="shared" si="3"/>
        <v>0</v>
      </c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>
        <f t="shared" si="3"/>
        <v>0</v>
      </c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>
        <f t="shared" si="3"/>
        <v>0</v>
      </c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>
        <f t="shared" si="3"/>
        <v>0</v>
      </c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>
        <f t="shared" si="3"/>
        <v>0</v>
      </c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>
        <f t="shared" si="3"/>
        <v>0</v>
      </c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>
        <f t="shared" si="3"/>
        <v>0</v>
      </c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>
        <f t="shared" si="3"/>
        <v>0</v>
      </c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>
        <f t="shared" si="3"/>
        <v>0</v>
      </c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>
        <f t="shared" si="3"/>
        <v>0</v>
      </c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>
        <f t="shared" si="3"/>
        <v>0</v>
      </c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>
        <f t="shared" si="3"/>
        <v>0</v>
      </c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>
        <f t="shared" si="3"/>
        <v>0</v>
      </c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>
        <f t="shared" si="3"/>
        <v>0</v>
      </c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>
        <f t="shared" si="3"/>
        <v>0</v>
      </c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>
        <f t="shared" si="3"/>
        <v>0</v>
      </c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>
        <f t="shared" si="3"/>
        <v>0</v>
      </c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>
        <f t="shared" si="3"/>
        <v>0</v>
      </c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>
        <f t="shared" si="3"/>
        <v>0</v>
      </c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>
        <f t="shared" si="3"/>
        <v>0</v>
      </c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>
        <f t="shared" si="3"/>
        <v>0</v>
      </c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>
        <f t="shared" si="3"/>
        <v>0</v>
      </c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>
        <f t="shared" si="3"/>
        <v>0</v>
      </c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>
        <f t="shared" si="3"/>
        <v>0</v>
      </c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>
        <f t="shared" si="3"/>
        <v>0</v>
      </c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>
        <f t="shared" si="3"/>
        <v>0</v>
      </c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>
        <f t="shared" si="3"/>
        <v>0</v>
      </c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>
        <f t="shared" si="3"/>
        <v>0</v>
      </c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>
        <f t="shared" si="3"/>
        <v>0</v>
      </c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>
        <f t="shared" si="3"/>
        <v>0</v>
      </c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>
        <f t="shared" si="3"/>
        <v>0</v>
      </c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>
        <f t="shared" si="3"/>
        <v>0</v>
      </c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>
        <f t="shared" si="3"/>
        <v>0</v>
      </c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>
        <f t="shared" si="3"/>
        <v>0</v>
      </c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>
        <f t="shared" si="3"/>
        <v>0</v>
      </c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>
        <f t="shared" si="3"/>
        <v>0</v>
      </c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>
        <f t="shared" si="3"/>
        <v>0</v>
      </c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>
        <f t="shared" si="3"/>
        <v>0</v>
      </c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>
        <f t="shared" si="3"/>
        <v>0</v>
      </c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>
        <f t="shared" si="3"/>
        <v>0</v>
      </c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>
        <f t="shared" si="3"/>
        <v>0</v>
      </c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>
        <f t="shared" si="3"/>
        <v>0</v>
      </c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>
        <f t="shared" si="3"/>
        <v>0</v>
      </c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>
        <f t="shared" si="3"/>
        <v>0</v>
      </c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>
        <f t="shared" si="3"/>
        <v>0</v>
      </c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>
        <f t="shared" si="3"/>
        <v>0</v>
      </c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>
        <f t="shared" si="3"/>
        <v>0</v>
      </c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>
        <f t="shared" si="3"/>
        <v>0</v>
      </c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>
        <f t="shared" si="3"/>
        <v>0</v>
      </c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>
        <f t="shared" si="3"/>
        <v>0</v>
      </c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>
        <f t="shared" si="3"/>
        <v>0</v>
      </c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>
        <f t="shared" si="3"/>
        <v>0</v>
      </c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>
        <f t="shared" si="3"/>
        <v>0</v>
      </c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>
        <f t="shared" si="3"/>
        <v>0</v>
      </c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>
        <f t="shared" si="3"/>
        <v>0</v>
      </c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>
        <f t="shared" si="3"/>
        <v>0</v>
      </c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>
        <f t="shared" si="3"/>
        <v>0</v>
      </c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>
        <f t="shared" si="3"/>
        <v>0</v>
      </c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>
        <f t="shared" si="3"/>
        <v>0</v>
      </c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>
        <f t="shared" si="3"/>
        <v>0</v>
      </c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>
        <f t="shared" si="3"/>
        <v>0</v>
      </c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>
        <f t="shared" si="3"/>
        <v>0</v>
      </c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>
        <f t="shared" si="3"/>
        <v>0</v>
      </c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>
        <f t="shared" si="3"/>
        <v>0</v>
      </c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>
        <f t="shared" si="3"/>
        <v>0</v>
      </c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>
        <f t="shared" si="3"/>
        <v>0</v>
      </c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>
        <f t="shared" si="3"/>
        <v>0</v>
      </c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>
        <f t="shared" si="3"/>
        <v>0</v>
      </c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>
        <f t="shared" si="3"/>
        <v>0</v>
      </c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>
        <f t="shared" si="3"/>
        <v>0</v>
      </c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>
        <f t="shared" si="3"/>
        <v>0</v>
      </c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>
        <f t="shared" si="3"/>
        <v>0</v>
      </c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>
        <f t="shared" si="3"/>
        <v>0</v>
      </c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>
        <f t="shared" si="3"/>
        <v>0</v>
      </c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>
        <f t="shared" si="3"/>
        <v>0</v>
      </c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>
        <f t="shared" si="3"/>
        <v>0</v>
      </c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>
        <f t="shared" si="3"/>
        <v>0</v>
      </c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>
        <f t="shared" si="3"/>
        <v>0</v>
      </c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>
        <f t="shared" si="3"/>
        <v>0</v>
      </c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>
        <f t="shared" si="3"/>
        <v>0</v>
      </c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>
        <f t="shared" si="3"/>
        <v>0</v>
      </c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>
        <f t="shared" si="3"/>
        <v>0</v>
      </c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>
        <f t="shared" si="3"/>
        <v>0</v>
      </c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>
        <f t="shared" si="3"/>
        <v>0</v>
      </c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>
        <f t="shared" si="3"/>
        <v>0</v>
      </c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>
        <f t="shared" si="3"/>
        <v>0</v>
      </c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>
        <f t="shared" si="3"/>
        <v>0</v>
      </c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>
        <f t="shared" si="3"/>
        <v>0</v>
      </c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>
        <f t="shared" si="3"/>
        <v>0</v>
      </c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>
        <f t="shared" si="3"/>
        <v>0</v>
      </c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>
        <f t="shared" si="3"/>
        <v>0</v>
      </c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>
        <f t="shared" si="3"/>
        <v>0</v>
      </c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>
        <f t="shared" si="3"/>
        <v>0</v>
      </c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>
        <f t="shared" si="3"/>
        <v>0</v>
      </c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>
        <f t="shared" si="3"/>
        <v>0</v>
      </c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>
        <f t="shared" si="3"/>
        <v>0</v>
      </c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>
        <f t="shared" si="3"/>
        <v>0</v>
      </c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>
        <f t="shared" si="3"/>
        <v>0</v>
      </c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>
        <f t="shared" si="3"/>
        <v>0</v>
      </c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>
        <f t="shared" si="3"/>
        <v>0</v>
      </c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>
        <f t="shared" si="3"/>
        <v>0</v>
      </c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>
        <f t="shared" si="3"/>
        <v>0</v>
      </c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>
        <f t="shared" si="3"/>
        <v>0</v>
      </c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>
        <f t="shared" si="3"/>
        <v>0</v>
      </c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>
        <f t="shared" si="3"/>
        <v>0</v>
      </c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>
        <f t="shared" si="3"/>
        <v>0</v>
      </c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>
        <f t="shared" si="3"/>
        <v>0</v>
      </c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>
        <f t="shared" si="3"/>
        <v>0</v>
      </c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>
        <f t="shared" si="3"/>
        <v>0</v>
      </c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>
        <f t="shared" si="3"/>
        <v>0</v>
      </c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>
        <f t="shared" si="3"/>
        <v>0</v>
      </c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>
        <f t="shared" si="3"/>
        <v>0</v>
      </c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>
        <f t="shared" si="3"/>
        <v>0</v>
      </c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>
        <f t="shared" si="3"/>
        <v>0</v>
      </c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>
        <f t="shared" si="3"/>
        <v>0</v>
      </c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>
        <f t="shared" si="3"/>
        <v>0</v>
      </c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>
        <f t="shared" si="3"/>
        <v>0</v>
      </c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>
        <f t="shared" si="3"/>
        <v>0</v>
      </c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>
        <f t="shared" si="3"/>
        <v>0</v>
      </c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>
        <f t="shared" si="3"/>
        <v>0</v>
      </c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>
        <f t="shared" si="3"/>
        <v>0</v>
      </c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>
        <f t="shared" si="3"/>
        <v>0</v>
      </c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>
        <f t="shared" si="3"/>
        <v>0</v>
      </c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>
        <f t="shared" si="3"/>
        <v>0</v>
      </c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>
        <f t="shared" si="3"/>
        <v>0</v>
      </c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>
        <f t="shared" si="3"/>
        <v>0</v>
      </c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>
        <f t="shared" si="3"/>
        <v>0</v>
      </c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>
        <f t="shared" si="3"/>
        <v>0</v>
      </c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>
        <f t="shared" si="3"/>
        <v>0</v>
      </c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>
        <f t="shared" si="3"/>
        <v>0</v>
      </c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>
        <f t="shared" si="3"/>
        <v>0</v>
      </c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>
        <f t="shared" si="3"/>
        <v>0</v>
      </c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>
        <f t="shared" si="3"/>
        <v>0</v>
      </c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>
        <f t="shared" si="3"/>
        <v>0</v>
      </c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>
        <f t="shared" si="3"/>
        <v>0</v>
      </c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>
        <f t="shared" si="3"/>
        <v>0</v>
      </c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>
        <f t="shared" si="3"/>
        <v>0</v>
      </c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>
        <f t="shared" si="3"/>
        <v>0</v>
      </c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>
        <f t="shared" si="3"/>
        <v>0</v>
      </c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>
        <f t="shared" si="3"/>
        <v>0</v>
      </c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>
        <f t="shared" si="3"/>
        <v>0</v>
      </c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>
        <f t="shared" si="3"/>
        <v>0</v>
      </c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>
        <f t="shared" si="3"/>
        <v>0</v>
      </c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>
        <f t="shared" si="3"/>
        <v>0</v>
      </c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>
        <f t="shared" si="3"/>
        <v>0</v>
      </c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>
        <f t="shared" si="3"/>
        <v>0</v>
      </c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>
        <f t="shared" si="3"/>
        <v>0</v>
      </c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>
        <f t="shared" si="3"/>
        <v>0</v>
      </c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>
        <f t="shared" si="3"/>
        <v>0</v>
      </c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>
        <f t="shared" si="3"/>
        <v>0</v>
      </c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>
        <f t="shared" si="3"/>
        <v>0</v>
      </c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>
        <f t="shared" si="3"/>
        <v>0</v>
      </c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>
        <f t="shared" si="3"/>
        <v>0</v>
      </c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>
        <f t="shared" si="3"/>
        <v>0</v>
      </c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>
        <f t="shared" si="3"/>
        <v>0</v>
      </c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>
        <f t="shared" si="3"/>
        <v>0</v>
      </c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>
        <f t="shared" si="3"/>
        <v>0</v>
      </c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>
        <f t="shared" si="3"/>
        <v>0</v>
      </c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>
        <f t="shared" si="3"/>
        <v>0</v>
      </c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>
        <f t="shared" si="3"/>
        <v>0</v>
      </c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>
        <f t="shared" si="3"/>
        <v>0</v>
      </c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>
        <f t="shared" si="3"/>
        <v>0</v>
      </c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>
        <f t="shared" si="3"/>
        <v>0</v>
      </c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>
        <f t="shared" si="3"/>
        <v>0</v>
      </c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>
        <f t="shared" si="3"/>
        <v>0</v>
      </c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>
        <f t="shared" si="3"/>
        <v>0</v>
      </c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>
        <f t="shared" si="3"/>
        <v>0</v>
      </c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>
        <f t="shared" si="3"/>
        <v>0</v>
      </c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>
        <f t="shared" si="3"/>
        <v>0</v>
      </c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>
        <f t="shared" si="3"/>
        <v>0</v>
      </c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>
        <f t="shared" si="3"/>
        <v>0</v>
      </c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>
        <f t="shared" si="3"/>
        <v>0</v>
      </c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>
        <f t="shared" si="3"/>
        <v>0</v>
      </c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>
        <f t="shared" si="3"/>
        <v>0</v>
      </c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>
        <f t="shared" si="3"/>
        <v>0</v>
      </c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>
        <f t="shared" si="3"/>
        <v>0</v>
      </c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>
        <f t="shared" si="3"/>
        <v>0</v>
      </c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>
        <f t="shared" si="3"/>
        <v>0</v>
      </c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>
        <f t="shared" si="3"/>
        <v>0</v>
      </c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>
        <f t="shared" si="3"/>
        <v>0</v>
      </c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>
        <f t="shared" si="3"/>
        <v>0</v>
      </c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>
        <f t="shared" si="3"/>
        <v>0</v>
      </c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>
        <f t="shared" si="3"/>
        <v>0</v>
      </c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>
        <f t="shared" si="3"/>
        <v>0</v>
      </c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>
        <f t="shared" si="3"/>
        <v>0</v>
      </c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>
        <f t="shared" si="3"/>
        <v>0</v>
      </c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>
        <f t="shared" si="3"/>
        <v>0</v>
      </c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>
        <f t="shared" si="3"/>
        <v>0</v>
      </c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>
        <f t="shared" si="3"/>
        <v>0</v>
      </c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>
        <f t="shared" si="3"/>
        <v>0</v>
      </c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>
        <f t="shared" si="3"/>
        <v>0</v>
      </c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>
        <f t="shared" si="3"/>
        <v>0</v>
      </c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>
        <f t="shared" si="3"/>
        <v>0</v>
      </c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>
        <f t="shared" si="3"/>
        <v>0</v>
      </c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>
        <f t="shared" si="3"/>
        <v>0</v>
      </c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>
        <f t="shared" si="3"/>
        <v>0</v>
      </c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>
        <f t="shared" si="3"/>
        <v>0</v>
      </c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>
        <f t="shared" si="3"/>
        <v>0</v>
      </c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>
        <f t="shared" si="3"/>
        <v>0</v>
      </c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>
        <f t="shared" si="3"/>
        <v>0</v>
      </c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>
        <f t="shared" si="3"/>
        <v>0</v>
      </c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>
        <f t="shared" si="3"/>
        <v>0</v>
      </c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>
        <f t="shared" si="3"/>
        <v>0</v>
      </c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>
        <f t="shared" si="3"/>
        <v>0</v>
      </c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>
        <f t="shared" si="3"/>
        <v>0</v>
      </c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>
        <f t="shared" si="3"/>
        <v>0</v>
      </c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>
        <f t="shared" si="3"/>
        <v>0</v>
      </c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>
        <f t="shared" si="3"/>
        <v>0</v>
      </c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>
        <f t="shared" si="3"/>
        <v>0</v>
      </c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>
        <f t="shared" si="3"/>
        <v>0</v>
      </c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>
        <f t="shared" si="3"/>
        <v>0</v>
      </c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>
        <f t="shared" si="3"/>
        <v>0</v>
      </c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>
        <f t="shared" si="3"/>
        <v>0</v>
      </c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>
        <f t="shared" si="3"/>
        <v>0</v>
      </c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>
        <f t="shared" si="3"/>
        <v>0</v>
      </c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>
        <f t="shared" si="3"/>
        <v>0</v>
      </c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>
        <f t="shared" si="3"/>
        <v>0</v>
      </c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>
        <f t="shared" si="3"/>
        <v>0</v>
      </c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>
        <f t="shared" si="3"/>
        <v>0</v>
      </c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>
        <f t="shared" si="3"/>
        <v>0</v>
      </c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>
        <f t="shared" si="3"/>
        <v>0</v>
      </c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>
        <f t="shared" si="3"/>
        <v>0</v>
      </c>
    </row>
  </sheetData>
  <mergeCells count="1">
    <mergeCell ref="A1:B2"/>
  </mergeCells>
  <conditionalFormatting sqref="C2:C3">
    <cfRule type="expression" dxfId="2" priority="1">
      <formula>C2&gt;50000</formula>
    </cfRule>
  </conditionalFormatting>
  <conditionalFormatting sqref="D2:D3">
    <cfRule type="expression" dxfId="2" priority="2">
      <formula>D2&gt;50000</formula>
    </cfRule>
  </conditionalFormatting>
  <conditionalFormatting sqref="E2:E3">
    <cfRule type="expression" dxfId="2" priority="3">
      <formula>E2&gt;50000</formula>
    </cfRule>
  </conditionalFormatting>
  <conditionalFormatting sqref="F2:K3">
    <cfRule type="expression" dxfId="3" priority="4">
      <formula>F2&gt;50000</formula>
    </cfRule>
  </conditionalFormatting>
  <conditionalFormatting sqref="A5:J1001">
    <cfRule type="expression" dxfId="2" priority="5">
      <formula>AND($C5:$C1001="AMD2",$C$2&gt;50000)+AND($C5:$C1001="BLR7",$D$2&gt;50000)+AND($C5:$C1001="BLR8",$E$2&gt;50000)+AND($C5:$C1001="DEL4",$F$2&gt;50000)+AND($C5:$C1001="DEL5",$G$2&gt;50000)+AND($C5:$C1001="BOM5",$H$2&gt;50000)+AND($C5:$C1001="BOM7",$I$2&gt;50000)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29"/>
    <col customWidth="1" min="2" max="2" width="16.14"/>
    <col customWidth="1" min="3" max="3" width="8.71"/>
    <col customWidth="1" min="4" max="5" width="14.43"/>
    <col customWidth="1" min="6" max="6" width="3.0"/>
    <col customWidth="1" min="7" max="7" width="15.0"/>
    <col customWidth="1" min="8" max="8" width="8.71"/>
    <col customWidth="1" min="9" max="10" width="17.0"/>
    <col customWidth="1" min="11" max="11" width="3.0"/>
    <col customWidth="1" min="12" max="12" width="14.14"/>
    <col customWidth="1" min="13" max="13" width="10.86"/>
    <col customWidth="1" min="14" max="15" width="17.0"/>
    <col customWidth="1" min="16" max="16" width="2.71"/>
    <col customWidth="1" min="17" max="17" width="14.14"/>
    <col customWidth="1" min="18" max="20" width="15.0"/>
    <col customWidth="1" min="21" max="21" width="4.71"/>
    <col customWidth="1" min="22" max="25" width="15.57"/>
    <col customWidth="1" min="26" max="26" width="8.71"/>
  </cols>
  <sheetData>
    <row r="1" ht="12.75" customHeight="1">
      <c r="B1" s="153"/>
      <c r="C1" s="153"/>
      <c r="D1" s="153"/>
      <c r="E1" s="153"/>
      <c r="F1" s="13"/>
      <c r="G1" s="153"/>
      <c r="H1" s="153"/>
      <c r="I1" s="153"/>
      <c r="J1" s="153"/>
      <c r="L1" s="153"/>
      <c r="M1" s="153"/>
      <c r="N1" s="153"/>
      <c r="O1" s="153"/>
    </row>
    <row r="2" ht="12.75" customHeight="1">
      <c r="B2" s="157" t="s">
        <v>5</v>
      </c>
      <c r="C2" s="158"/>
      <c r="D2" s="158"/>
      <c r="E2" s="160"/>
      <c r="F2" s="13"/>
      <c r="G2" s="161" t="s">
        <v>9</v>
      </c>
      <c r="H2" s="158"/>
      <c r="I2" s="158"/>
      <c r="J2" s="160"/>
      <c r="L2" s="162" t="s">
        <v>11</v>
      </c>
      <c r="M2" s="158"/>
      <c r="N2" s="158"/>
      <c r="O2" s="160"/>
      <c r="Q2" s="161" t="s">
        <v>18</v>
      </c>
      <c r="R2" s="158"/>
      <c r="S2" s="158"/>
      <c r="T2" s="160"/>
      <c r="V2" s="162" t="s">
        <v>20</v>
      </c>
      <c r="W2" s="158"/>
      <c r="X2" s="158"/>
      <c r="Y2" s="160"/>
    </row>
    <row r="3" ht="12.75" customHeight="1">
      <c r="B3" s="164"/>
      <c r="C3" s="165" t="s">
        <v>158</v>
      </c>
      <c r="D3" s="166" t="s">
        <v>159</v>
      </c>
      <c r="E3" s="166" t="s">
        <v>160</v>
      </c>
      <c r="F3" s="13"/>
      <c r="G3" s="168"/>
      <c r="H3" s="170" t="s">
        <v>158</v>
      </c>
      <c r="I3" s="170" t="s">
        <v>159</v>
      </c>
      <c r="J3" s="170" t="s">
        <v>160</v>
      </c>
      <c r="L3" s="172"/>
      <c r="M3" s="173" t="s">
        <v>158</v>
      </c>
      <c r="N3" s="173" t="s">
        <v>159</v>
      </c>
      <c r="O3" s="173" t="s">
        <v>160</v>
      </c>
      <c r="Q3" s="168"/>
      <c r="R3" s="170" t="s">
        <v>158</v>
      </c>
      <c r="S3" s="170" t="s">
        <v>159</v>
      </c>
      <c r="T3" s="170" t="s">
        <v>160</v>
      </c>
      <c r="V3" s="172"/>
      <c r="W3" s="173" t="s">
        <v>158</v>
      </c>
      <c r="X3" s="173" t="s">
        <v>159</v>
      </c>
      <c r="Y3" s="173" t="s">
        <v>160</v>
      </c>
    </row>
    <row r="4" ht="12.75" customHeight="1">
      <c r="B4" s="175" t="s">
        <v>161</v>
      </c>
      <c r="C4" s="176">
        <f>sumifs(Calculation!$AF$4:$AF994,Calculation!$D$4:$D994,B4,Calculation!$AA$4:$AA994,$B$2)</f>
        <v>0</v>
      </c>
      <c r="D4" s="176">
        <f>C4/110</f>
        <v>0</v>
      </c>
      <c r="E4" s="176">
        <f>C4/150</f>
        <v>0</v>
      </c>
      <c r="F4" s="13"/>
      <c r="G4" s="97" t="s">
        <v>161</v>
      </c>
      <c r="H4" s="177">
        <f>sumifs(Calculation!$AF$4:$AF994,Calculation!$D$4:$D994,G4,Calculation!$AA$4:$AA994,$G$2)</f>
        <v>0</v>
      </c>
      <c r="I4" s="177">
        <f>H4/110</f>
        <v>0</v>
      </c>
      <c r="J4" s="177">
        <f>H4/150</f>
        <v>0</v>
      </c>
      <c r="L4" s="172" t="s">
        <v>161</v>
      </c>
      <c r="M4" s="178">
        <f>sumifs(Calculation!$AF$4:$AF994,Calculation!$D$4:$D994,L4,Calculation!$AA$4:$AA994,$L$2)</f>
        <v>0</v>
      </c>
      <c r="N4" s="178">
        <f>M4/110</f>
        <v>0</v>
      </c>
      <c r="O4" s="178">
        <f>M4/150</f>
        <v>0</v>
      </c>
      <c r="Q4" s="97" t="s">
        <v>161</v>
      </c>
      <c r="R4" s="177">
        <f>sumifs(Calculation!$AF$4:$AF994,Calculation!$D$4:$D994,Q4,Calculation!$AA$4:$AA994,$Q$2)</f>
        <v>0</v>
      </c>
      <c r="S4" s="177">
        <f>R4/110</f>
        <v>0</v>
      </c>
      <c r="T4" s="177">
        <f>R4/150</f>
        <v>0</v>
      </c>
      <c r="V4" s="172" t="s">
        <v>161</v>
      </c>
      <c r="W4" s="178">
        <f>sumifs(Calculation!$AF$4:$AF994,Calculation!$D$4:$D994,V4,Calculation!$AA$4:$AA994,$V$2)</f>
        <v>0</v>
      </c>
      <c r="X4" s="178">
        <f>W4/110</f>
        <v>0</v>
      </c>
      <c r="Y4" s="178">
        <f>W4/150</f>
        <v>0</v>
      </c>
    </row>
    <row r="5" ht="12.75" customHeight="1">
      <c r="B5" s="179" t="s">
        <v>162</v>
      </c>
      <c r="C5" s="176">
        <f>sumifs(Calculation!$AF$4:$AF994,Calculation!$D$4:$D994,B5,Calculation!$AA$4:$AA994,$B$2)</f>
        <v>84</v>
      </c>
      <c r="D5" s="176">
        <f>C5/50</f>
        <v>1.68</v>
      </c>
      <c r="E5" s="176">
        <f>C5/70</f>
        <v>1.2</v>
      </c>
      <c r="F5" s="13"/>
      <c r="G5" s="119" t="s">
        <v>162</v>
      </c>
      <c r="H5" s="177">
        <f>sumifs(Calculation!$AF$4:$AF994,Calculation!$D$4:$D994,G5,Calculation!$AA$4:$AA994,$G$2)</f>
        <v>204</v>
      </c>
      <c r="I5" s="177">
        <f>H5/50</f>
        <v>4.08</v>
      </c>
      <c r="J5" s="177">
        <f>H5/70</f>
        <v>2.914285714</v>
      </c>
      <c r="L5" s="180" t="s">
        <v>162</v>
      </c>
      <c r="M5" s="178">
        <f>sumifs(Calculation!$AF$4:$AF994,Calculation!$D$4:$D994,L5,Calculation!$AA$4:$AA994,$L$2)</f>
        <v>134</v>
      </c>
      <c r="N5" s="178">
        <f>M5/50</f>
        <v>2.68</v>
      </c>
      <c r="O5" s="178">
        <f>M5/70</f>
        <v>1.914285714</v>
      </c>
      <c r="Q5" s="119" t="s">
        <v>162</v>
      </c>
      <c r="R5" s="177">
        <f>sumifs(Calculation!$AF$4:$AF994,Calculation!$D$4:$D994,Q5,Calculation!$AA$4:$AA994,$Q$2)</f>
        <v>0</v>
      </c>
      <c r="S5" s="177">
        <f>R5/50</f>
        <v>0</v>
      </c>
      <c r="T5" s="177">
        <f>R5/70</f>
        <v>0</v>
      </c>
      <c r="V5" s="180" t="s">
        <v>162</v>
      </c>
      <c r="W5" s="178">
        <f>sumifs(Calculation!$AF$4:$AF994,Calculation!$D$4:$D994,V5,Calculation!$AA$4:$AA994,$V$2)</f>
        <v>0</v>
      </c>
      <c r="X5" s="178">
        <f>W5/50</f>
        <v>0</v>
      </c>
      <c r="Y5" s="178">
        <f>W5/70</f>
        <v>0</v>
      </c>
    </row>
    <row r="6" ht="12.75" customHeight="1">
      <c r="B6" s="175" t="s">
        <v>163</v>
      </c>
      <c r="C6" s="176">
        <f>sumifs(Calculation!$AF$4:$AF994,Calculation!$D$4:$D994,B6,Calculation!$AA$4:$AA994,$B$2)</f>
        <v>8</v>
      </c>
      <c r="D6" s="176">
        <f>C6/110</f>
        <v>0.07272727273</v>
      </c>
      <c r="E6" s="176">
        <f>C6/145</f>
        <v>0.05517241379</v>
      </c>
      <c r="F6" s="13"/>
      <c r="G6" s="97" t="s">
        <v>163</v>
      </c>
      <c r="H6" s="177">
        <f>sumifs(Calculation!$AF$4:$AF994,Calculation!$D$4:$D994,G6,Calculation!$AA$4:$AA994,$G$2)</f>
        <v>44</v>
      </c>
      <c r="I6" s="177">
        <f>H6/110</f>
        <v>0.4</v>
      </c>
      <c r="J6" s="177">
        <f>H6/145</f>
        <v>0.3034482759</v>
      </c>
      <c r="L6" s="172" t="s">
        <v>163</v>
      </c>
      <c r="M6" s="178">
        <f>sumifs(Calculation!$AF$4:$AF994,Calculation!$D$4:$D994,L6,Calculation!$AA$4:$AA994,$L$2)</f>
        <v>20</v>
      </c>
      <c r="N6" s="178">
        <f>M6/110</f>
        <v>0.1818181818</v>
      </c>
      <c r="O6" s="178">
        <f>M6/145</f>
        <v>0.1379310345</v>
      </c>
      <c r="Q6" s="97" t="s">
        <v>163</v>
      </c>
      <c r="R6" s="177">
        <f>sumifs(Calculation!$AF$4:$AF994,Calculation!$D$4:$D994,Q6,Calculation!$AA$4:$AA994,$Q$2)</f>
        <v>0</v>
      </c>
      <c r="S6" s="177">
        <f>R6/110</f>
        <v>0</v>
      </c>
      <c r="T6" s="177">
        <f>R6/145</f>
        <v>0</v>
      </c>
      <c r="V6" s="172" t="s">
        <v>163</v>
      </c>
      <c r="W6" s="178">
        <f>sumifs(Calculation!$AF$4:$AF994,Calculation!$D$4:$D994,V6,Calculation!$AA$4:$AA994,$V$2)</f>
        <v>0</v>
      </c>
      <c r="X6" s="178">
        <f>W6/110</f>
        <v>0</v>
      </c>
      <c r="Y6" s="178">
        <f>W6/145</f>
        <v>0</v>
      </c>
    </row>
    <row r="7" ht="12.75" customHeight="1">
      <c r="B7" s="179" t="s">
        <v>164</v>
      </c>
      <c r="C7" s="176">
        <f>sumifs(Calculation!$AF$4:$AF994,Calculation!$D$4:$D994,B7,Calculation!$AA$4:$AA994,$B$2)</f>
        <v>8</v>
      </c>
      <c r="D7" s="176">
        <f>C7/50</f>
        <v>0.16</v>
      </c>
      <c r="E7" s="176">
        <f>C7/70</f>
        <v>0.1142857143</v>
      </c>
      <c r="F7" s="13"/>
      <c r="G7" s="119" t="s">
        <v>164</v>
      </c>
      <c r="H7" s="177">
        <f>sumifs(Calculation!$AF$4:$AF994,Calculation!$D$4:$D994,G7,Calculation!$AA$4:$AA994,$G$2)</f>
        <v>144</v>
      </c>
      <c r="I7" s="177">
        <f>H7/50</f>
        <v>2.88</v>
      </c>
      <c r="J7" s="177">
        <f>H7/70</f>
        <v>2.057142857</v>
      </c>
      <c r="L7" s="180" t="s">
        <v>164</v>
      </c>
      <c r="M7" s="178">
        <f>sumifs(Calculation!$AF$4:$AF994,Calculation!$D$4:$D994,L7,Calculation!$AA$4:$AA994,$L$2)</f>
        <v>114</v>
      </c>
      <c r="N7" s="178">
        <f>M7/50</f>
        <v>2.28</v>
      </c>
      <c r="O7" s="178">
        <f>M7/70</f>
        <v>1.628571429</v>
      </c>
      <c r="Q7" s="119" t="s">
        <v>164</v>
      </c>
      <c r="R7" s="177">
        <f>sumifs(Calculation!$AF$4:$AF994,Calculation!$D$4:$D994,Q7,Calculation!$AA$4:$AA994,$Q$2)</f>
        <v>0</v>
      </c>
      <c r="S7" s="177">
        <f>R7/50</f>
        <v>0</v>
      </c>
      <c r="T7" s="177">
        <f>R7/70</f>
        <v>0</v>
      </c>
      <c r="V7" s="180" t="s">
        <v>164</v>
      </c>
      <c r="W7" s="178">
        <f>sumifs(Calculation!$AF$4:$AF994,Calculation!$D$4:$D994,V7,Calculation!$AA$4:$AA994,$V$2)</f>
        <v>0</v>
      </c>
      <c r="X7" s="178">
        <f>W7/50</f>
        <v>0</v>
      </c>
      <c r="Y7" s="178">
        <f>W7/70</f>
        <v>0</v>
      </c>
    </row>
    <row r="8" ht="12.75" customHeight="1">
      <c r="B8" s="179" t="s">
        <v>137</v>
      </c>
      <c r="C8" s="176">
        <f>SUMPRODUCT((Calculation!$D$4:$D$759=B8)*(Calculation!$AA$4:$AA$759=B2)*(Calculation!$H$4:$O$759))</f>
        <v>20</v>
      </c>
      <c r="D8" s="176">
        <f>C8/70</f>
        <v>0.2857142857</v>
      </c>
      <c r="E8" s="176">
        <f>C8/130</f>
        <v>0.1538461538</v>
      </c>
      <c r="F8" s="13"/>
      <c r="G8" s="97" t="s">
        <v>137</v>
      </c>
      <c r="H8" s="177">
        <f>SUMPRODUCT((Calculation!$D$4:$D$759=G8)*(Calculation!$AA$4:$AA$759=G2)*(Calculation!$H$4:$O$759))</f>
        <v>144</v>
      </c>
      <c r="I8" s="177">
        <f>H8/70</f>
        <v>2.057142857</v>
      </c>
      <c r="J8" s="177">
        <f>H8/130</f>
        <v>1.107692308</v>
      </c>
      <c r="L8" s="172" t="s">
        <v>137</v>
      </c>
      <c r="M8" s="178">
        <f>SUMPRODUCT((Calculation!$D$4:$D$759=L8)*(Calculation!$AA$4:$AA$759=L2)*(Calculation!$H$4:$O$759))</f>
        <v>66</v>
      </c>
      <c r="N8" s="178">
        <f>M8/70</f>
        <v>0.9428571429</v>
      </c>
      <c r="O8" s="178">
        <f>M8/130</f>
        <v>0.5076923077</v>
      </c>
      <c r="Q8" s="97" t="s">
        <v>137</v>
      </c>
      <c r="R8" s="177">
        <f>SUMPRODUCT((Calculation!$D$4:$D$759=Q8)*(Calculation!$AA$4:$AA$759=Q2)*(Calculation!$H$4:$O$759))</f>
        <v>0</v>
      </c>
      <c r="S8" s="177">
        <f>R8/70</f>
        <v>0</v>
      </c>
      <c r="T8" s="177">
        <f>R8/130</f>
        <v>0</v>
      </c>
      <c r="V8" s="172" t="s">
        <v>137</v>
      </c>
      <c r="W8" s="178">
        <f>SUMPRODUCT((Calculation!$D$4:$D$759=V8)*(Calculation!$AA$4:$AA$759=V2)*(Calculation!$H$4:$O$759))</f>
        <v>0</v>
      </c>
      <c r="X8" s="178">
        <f>W8/70</f>
        <v>0</v>
      </c>
      <c r="Y8" s="178">
        <f>W8/130</f>
        <v>0</v>
      </c>
    </row>
    <row r="9" ht="12.75" customHeight="1">
      <c r="B9" s="179" t="s">
        <v>165</v>
      </c>
      <c r="C9" s="176">
        <f>sumifs(Calculation!$AF$4:$AF994,Calculation!$D$4:$D994,B9,Calculation!$AA$4:$AA994,$B$2)</f>
        <v>8</v>
      </c>
      <c r="D9" s="176">
        <f>C9/25</f>
        <v>0.32</v>
      </c>
      <c r="E9" s="176">
        <f>C9/30</f>
        <v>0.2666666667</v>
      </c>
      <c r="F9" s="13"/>
      <c r="G9" s="119" t="s">
        <v>165</v>
      </c>
      <c r="H9" s="177">
        <f>sumifs(Calculation!$AF$4:$AF994,Calculation!$D$4:$D994,G9,Calculation!$AA$4:$AA994,$G$2)</f>
        <v>2</v>
      </c>
      <c r="I9" s="177">
        <f>H9/25</f>
        <v>0.08</v>
      </c>
      <c r="J9" s="177">
        <f>H9/30</f>
        <v>0.06666666667</v>
      </c>
      <c r="L9" s="180" t="s">
        <v>165</v>
      </c>
      <c r="M9" s="178">
        <f>sumifs(Calculation!$AF$4:$AF994,Calculation!$D$4:$D994,L9,Calculation!$AA$4:$AA994,$L$2)</f>
        <v>0</v>
      </c>
      <c r="N9" s="178">
        <f>M9/25</f>
        <v>0</v>
      </c>
      <c r="O9" s="178">
        <f>M9/30</f>
        <v>0</v>
      </c>
      <c r="Q9" s="119" t="s">
        <v>165</v>
      </c>
      <c r="R9" s="177">
        <f>sumifs(Calculation!$AF$4:$AF994,Calculation!$D$4:$D994,Q9,Calculation!$AA$4:$AA994,$Q$2)</f>
        <v>0</v>
      </c>
      <c r="S9" s="177">
        <f>R9/25</f>
        <v>0</v>
      </c>
      <c r="T9" s="177">
        <f>R9/30</f>
        <v>0</v>
      </c>
      <c r="V9" s="180" t="s">
        <v>165</v>
      </c>
      <c r="W9" s="178">
        <f>sumifs(Calculation!$AF$4:$AF994,Calculation!$D$4:$D994,V9,Calculation!$AA$4:$AA994,$V$2)</f>
        <v>0</v>
      </c>
      <c r="X9" s="178">
        <f>W9/25</f>
        <v>0</v>
      </c>
      <c r="Y9" s="178">
        <f>W9/30</f>
        <v>0</v>
      </c>
    </row>
    <row r="10" ht="12.75" customHeight="1">
      <c r="B10" s="175" t="s">
        <v>166</v>
      </c>
      <c r="C10" s="176">
        <f>sumifs(Calculation!$AF$4:$AF994,Calculation!$D$4:$D994,B10,Calculation!$AA$4:$AA994,$B$2)</f>
        <v>0</v>
      </c>
      <c r="D10" s="176">
        <f>C10/36</f>
        <v>0</v>
      </c>
      <c r="E10" s="176">
        <f>C10/65</f>
        <v>0</v>
      </c>
      <c r="F10" s="13"/>
      <c r="G10" s="97" t="s">
        <v>166</v>
      </c>
      <c r="H10" s="177">
        <f>sumifs(Calculation!$AF$4:$AF994,Calculation!$D$4:$D994,G10,Calculation!$AA$4:$AA994,$G$2)</f>
        <v>0</v>
      </c>
      <c r="I10" s="177">
        <f>H10/36</f>
        <v>0</v>
      </c>
      <c r="J10" s="177">
        <f>H10/65</f>
        <v>0</v>
      </c>
      <c r="L10" s="172" t="s">
        <v>166</v>
      </c>
      <c r="M10" s="178">
        <f>sumifs(Calculation!$AF$4:$AF994,Calculation!$D$4:$D994,L10,Calculation!$AA$4:$AA994,$L$2)</f>
        <v>0</v>
      </c>
      <c r="N10" s="178">
        <f>M10/36</f>
        <v>0</v>
      </c>
      <c r="O10" s="178">
        <f>M10/66</f>
        <v>0</v>
      </c>
      <c r="Q10" s="97" t="s">
        <v>166</v>
      </c>
      <c r="R10" s="177">
        <f>sumifs(Calculation!$AF$4:$AF994,Calculation!$D$4:$D994,Q10,Calculation!$AA$4:$AA994,$Q$2)</f>
        <v>0</v>
      </c>
      <c r="S10" s="177">
        <f>R10/36</f>
        <v>0</v>
      </c>
      <c r="T10" s="177">
        <f>R10/65</f>
        <v>0</v>
      </c>
      <c r="V10" s="172" t="s">
        <v>166</v>
      </c>
      <c r="W10" s="178">
        <f>sumifs(Calculation!$AF$4:$AF994,Calculation!$D$4:$D994,V10,Calculation!$AA$4:$AA994,$V$2)</f>
        <v>0</v>
      </c>
      <c r="X10" s="178">
        <f>W10/36</f>
        <v>0</v>
      </c>
      <c r="Y10" s="178">
        <f>W10/66</f>
        <v>0</v>
      </c>
    </row>
    <row r="11" ht="12.75" customHeight="1">
      <c r="B11" s="179" t="s">
        <v>168</v>
      </c>
      <c r="C11" s="176">
        <f>sumifs(Calculation!$G$4:$G994,Calculation!$D$4:$D994,B11,Calculation!$AA$4:$AA994,$B$2)</f>
        <v>38</v>
      </c>
      <c r="D11" s="176">
        <f t="shared" ref="D11:D12" si="1">C11/60</f>
        <v>0.6333333333</v>
      </c>
      <c r="E11" s="176">
        <f t="shared" ref="E11:E12" si="2">C11/80</f>
        <v>0.475</v>
      </c>
      <c r="F11" s="13"/>
      <c r="G11" s="97" t="s">
        <v>168</v>
      </c>
      <c r="H11" s="177">
        <f>sumifs(Calculation!$G$4:$G994,Calculation!$D$4:$D994,G11,Calculation!$AA$4:$AA994,$G$2)</f>
        <v>54</v>
      </c>
      <c r="I11" s="177">
        <f t="shared" ref="I11:I12" si="3">H11/60</f>
        <v>0.9</v>
      </c>
      <c r="J11" s="177">
        <f t="shared" ref="J11:J12" si="4">H11/80</f>
        <v>0.675</v>
      </c>
      <c r="L11" s="172" t="s">
        <v>168</v>
      </c>
      <c r="M11" s="178">
        <f>sumifs(Calculation!$G$4:$G994,Calculation!$D$4:$D994,L11,Calculation!$AA$4:$AA994,$L$2)</f>
        <v>40</v>
      </c>
      <c r="N11" s="178">
        <f t="shared" ref="N11:N12" si="5">M11/60</f>
        <v>0.6666666667</v>
      </c>
      <c r="O11" s="178">
        <f t="shared" ref="O11:O12" si="6">M11/80</f>
        <v>0.5</v>
      </c>
      <c r="Q11" s="97" t="s">
        <v>168</v>
      </c>
      <c r="R11" s="177">
        <f>sumifs(Calculation!$G$4:$G994,Calculation!$D$4:$D994,Q11,Calculation!$AA$4:$AA994,$Q$2)</f>
        <v>0</v>
      </c>
      <c r="S11" s="177">
        <f t="shared" ref="S11:S12" si="7">R11/60</f>
        <v>0</v>
      </c>
      <c r="T11" s="177">
        <f t="shared" ref="T11:T12" si="8">R11/80</f>
        <v>0</v>
      </c>
      <c r="V11" s="172" t="s">
        <v>168</v>
      </c>
      <c r="W11" s="178">
        <f>sumifs(Calculation!$G$4:$G994,Calculation!$D$4:$D994,V11,Calculation!$AA$4:$AA994,$V$2)</f>
        <v>0</v>
      </c>
      <c r="X11" s="178">
        <f t="shared" ref="X11:X12" si="9">W11/60</f>
        <v>0</v>
      </c>
      <c r="Y11" s="178">
        <f t="shared" ref="Y11:Y12" si="10">W11/80</f>
        <v>0</v>
      </c>
    </row>
    <row r="12" ht="12.75" customHeight="1">
      <c r="B12" s="179" t="s">
        <v>169</v>
      </c>
      <c r="C12" s="176">
        <f>sumifs(Calculation!$AF$4:$AF994,Calculation!$D$4:$D994,B12,Calculation!$AA$4:$AA994,$B$2)</f>
        <v>0</v>
      </c>
      <c r="D12" s="176">
        <f t="shared" si="1"/>
        <v>0</v>
      </c>
      <c r="E12" s="176">
        <f t="shared" si="2"/>
        <v>0</v>
      </c>
      <c r="F12" s="13"/>
      <c r="G12" s="182" t="s">
        <v>169</v>
      </c>
      <c r="H12" s="177">
        <f>sumifs(Calculation!$AF$4:$AF994,Calculation!$D$4:$D994,G12,Calculation!$AA$4:$AA994,$G$2)</f>
        <v>0</v>
      </c>
      <c r="I12" s="177">
        <f t="shared" si="3"/>
        <v>0</v>
      </c>
      <c r="J12" s="177">
        <f t="shared" si="4"/>
        <v>0</v>
      </c>
      <c r="L12" s="172" t="s">
        <v>169</v>
      </c>
      <c r="M12" s="178">
        <f>sumifs(Calculation!$AF$4:$AF994,Calculation!$D$4:$D994,L12,Calculation!$AA$4:$AA994,$L$2)</f>
        <v>0</v>
      </c>
      <c r="N12" s="178">
        <f t="shared" si="5"/>
        <v>0</v>
      </c>
      <c r="O12" s="178">
        <f t="shared" si="6"/>
        <v>0</v>
      </c>
      <c r="Q12" s="182" t="s">
        <v>169</v>
      </c>
      <c r="R12" s="177">
        <f>sumifs(Calculation!$AF$4:$AF994,Calculation!$D$4:$D994,Q12,Calculation!$AA$4:$AA994,$Q$2)</f>
        <v>0</v>
      </c>
      <c r="S12" s="177">
        <f t="shared" si="7"/>
        <v>0</v>
      </c>
      <c r="T12" s="177">
        <f t="shared" si="8"/>
        <v>0</v>
      </c>
      <c r="V12" s="172" t="s">
        <v>169</v>
      </c>
      <c r="W12" s="178">
        <f>sumifs(Calculation!$AF$4:$AF994,Calculation!$D$4:$D994,V12,Calculation!$AA$4:$AA994,$V$2)</f>
        <v>0</v>
      </c>
      <c r="X12" s="178">
        <f t="shared" si="9"/>
        <v>0</v>
      </c>
      <c r="Y12" s="178">
        <f t="shared" si="10"/>
        <v>0</v>
      </c>
    </row>
    <row r="13" ht="12.75" customHeight="1">
      <c r="B13" s="179" t="s">
        <v>170</v>
      </c>
      <c r="C13" s="176">
        <f>sumifs(Calculation!$AF$4:$AF994,Calculation!$D$4:$D994,B13,Calculation!$AA$4:$AA994,$B$2)</f>
        <v>0</v>
      </c>
      <c r="D13" s="176">
        <f t="shared" ref="D13:D14" si="11">C13/14</f>
        <v>0</v>
      </c>
      <c r="E13" s="176">
        <f t="shared" ref="E13:E14" si="12">C13/26</f>
        <v>0</v>
      </c>
      <c r="F13" s="13"/>
      <c r="G13" s="119" t="s">
        <v>170</v>
      </c>
      <c r="H13" s="177">
        <f>sumifs(Calculation!$AF$4:$AF994,Calculation!$D$4:$D994,G13,Calculation!$AA$4:$AA994,$G$2)</f>
        <v>0</v>
      </c>
      <c r="I13" s="177">
        <f t="shared" ref="I13:I14" si="13">H13/14</f>
        <v>0</v>
      </c>
      <c r="J13" s="177">
        <f t="shared" ref="J13:J14" si="14">H13/26</f>
        <v>0</v>
      </c>
      <c r="L13" s="180" t="s">
        <v>170</v>
      </c>
      <c r="M13" s="178">
        <f>sumifs(Calculation!$AF$4:$AF994,Calculation!$D$4:$D994,L13,Calculation!$AA$4:$AA994,$L$2)</f>
        <v>0</v>
      </c>
      <c r="N13" s="178">
        <f t="shared" ref="N13:N14" si="15">M13/14</f>
        <v>0</v>
      </c>
      <c r="O13" s="178">
        <f t="shared" ref="O13:O14" si="16">M13/26</f>
        <v>0</v>
      </c>
      <c r="Q13" s="119" t="s">
        <v>170</v>
      </c>
      <c r="R13" s="177">
        <f>sumifs(Calculation!$AF$4:$AF994,Calculation!$D$4:$D994,Q13,Calculation!$AA$4:$AA994,$Q$2)</f>
        <v>0</v>
      </c>
      <c r="S13" s="177">
        <f t="shared" ref="S13:S14" si="17">R13/14</f>
        <v>0</v>
      </c>
      <c r="T13" s="177">
        <f t="shared" ref="T13:T14" si="18">R13/26</f>
        <v>0</v>
      </c>
      <c r="V13" s="180" t="s">
        <v>170</v>
      </c>
      <c r="W13" s="178">
        <f>sumifs(Calculation!$AF$4:$AF994,Calculation!$D$4:$D994,V13,Calculation!$AA$4:$AA994,$V$2)</f>
        <v>0</v>
      </c>
      <c r="X13" s="178">
        <f t="shared" ref="X13:X14" si="19">W13/14</f>
        <v>0</v>
      </c>
      <c r="Y13" s="178">
        <f t="shared" ref="Y13:Y14" si="20">W13/26</f>
        <v>0</v>
      </c>
    </row>
    <row r="14" ht="12.75" customHeight="1">
      <c r="B14" s="179" t="s">
        <v>171</v>
      </c>
      <c r="C14" s="176">
        <f>sumifs(Calculation!$AF$4:$AF994,Calculation!$D$4:$D994,B14,Calculation!$AA$4:$AA994,$B$2)</f>
        <v>0</v>
      </c>
      <c r="D14" s="176">
        <f t="shared" si="11"/>
        <v>0</v>
      </c>
      <c r="E14" s="176">
        <f t="shared" si="12"/>
        <v>0</v>
      </c>
      <c r="F14" s="13"/>
      <c r="G14" s="119" t="s">
        <v>171</v>
      </c>
      <c r="H14" s="177">
        <f>sumifs(Calculation!$AF$4:$AF994,Calculation!$D$4:$D994,G14,Calculation!$AA$4:$AA994,$G$2)</f>
        <v>0</v>
      </c>
      <c r="I14" s="177">
        <f t="shared" si="13"/>
        <v>0</v>
      </c>
      <c r="J14" s="177">
        <f t="shared" si="14"/>
        <v>0</v>
      </c>
      <c r="L14" s="180" t="s">
        <v>171</v>
      </c>
      <c r="M14" s="178">
        <f>sumifs(Calculation!$AF$4:$AF994,Calculation!$D$4:$D994,L14,Calculation!$AA$4:$AA994,$L$2)</f>
        <v>0</v>
      </c>
      <c r="N14" s="178">
        <f t="shared" si="15"/>
        <v>0</v>
      </c>
      <c r="O14" s="178">
        <f t="shared" si="16"/>
        <v>0</v>
      </c>
      <c r="Q14" s="119" t="s">
        <v>171</v>
      </c>
      <c r="R14" s="177">
        <f>sumifs(Calculation!$AF$4:$AF994,Calculation!$D$4:$D994,Q14,Calculation!$AA$4:$AA994,$Q$2)</f>
        <v>0</v>
      </c>
      <c r="S14" s="177">
        <f t="shared" si="17"/>
        <v>0</v>
      </c>
      <c r="T14" s="177">
        <f t="shared" si="18"/>
        <v>0</v>
      </c>
      <c r="V14" s="180" t="s">
        <v>171</v>
      </c>
      <c r="W14" s="178">
        <f>sumifs(Calculation!$AF$4:$AF994,Calculation!$D$4:$D994,V14,Calculation!$AA$4:$AA994,$V$2)</f>
        <v>0</v>
      </c>
      <c r="X14" s="178">
        <f t="shared" si="19"/>
        <v>0</v>
      </c>
      <c r="Y14" s="178">
        <f t="shared" si="20"/>
        <v>0</v>
      </c>
    </row>
    <row r="15" ht="12.75" customHeight="1">
      <c r="B15" s="179" t="s">
        <v>172</v>
      </c>
      <c r="C15" s="176">
        <f>sumifs(Calculation!$AF$4:$AF994,Calculation!$D$4:$D994,B15,Calculation!$AA$4:$AA994,$B$2)</f>
        <v>0</v>
      </c>
      <c r="D15" s="176">
        <f>C15/16</f>
        <v>0</v>
      </c>
      <c r="E15" s="176">
        <f>C15/27</f>
        <v>0</v>
      </c>
      <c r="F15" s="13"/>
      <c r="G15" s="119" t="s">
        <v>172</v>
      </c>
      <c r="H15" s="177">
        <f>sumifs(Calculation!$AF$4:$AF994,Calculation!$D$4:$D994,G15,Calculation!$AA$4:$AA994,$G$2)</f>
        <v>0</v>
      </c>
      <c r="I15" s="177">
        <f>H15/16</f>
        <v>0</v>
      </c>
      <c r="J15" s="177">
        <f>H15/27</f>
        <v>0</v>
      </c>
      <c r="L15" s="180" t="s">
        <v>172</v>
      </c>
      <c r="M15" s="178">
        <f>sumifs(Calculation!$AF$4:$AF994,Calculation!$D$4:$D994,L15,Calculation!$AA$4:$AA994,$L$2)</f>
        <v>0</v>
      </c>
      <c r="N15" s="178">
        <f>M15/16</f>
        <v>0</v>
      </c>
      <c r="O15" s="178">
        <f>M15/27</f>
        <v>0</v>
      </c>
      <c r="Q15" s="119" t="s">
        <v>172</v>
      </c>
      <c r="R15" s="177">
        <f>sumifs(Calculation!$AF$4:$AF994,Calculation!$D$4:$D994,Q15,Calculation!$AA$4:$AA994,$Q$2)</f>
        <v>0</v>
      </c>
      <c r="S15" s="177">
        <f>R15/16</f>
        <v>0</v>
      </c>
      <c r="T15" s="177">
        <f>R15/27</f>
        <v>0</v>
      </c>
      <c r="V15" s="180" t="s">
        <v>172</v>
      </c>
      <c r="W15" s="178">
        <f>sumifs(Calculation!$AF$4:$AF994,Calculation!$D$4:$D994,V15,Calculation!$AA$4:$AA994,$V$2)</f>
        <v>0</v>
      </c>
      <c r="X15" s="178">
        <f>W15/16</f>
        <v>0</v>
      </c>
      <c r="Y15" s="178">
        <f>W15/27</f>
        <v>0</v>
      </c>
    </row>
    <row r="16" ht="12.75" customHeight="1">
      <c r="B16" s="179" t="s">
        <v>173</v>
      </c>
      <c r="C16" s="176">
        <f>sumifs(Calculation!$AF$4:$AF994,Calculation!$D$4:$D994,B16,Calculation!$AA$4:$AA994,$B$2)</f>
        <v>0</v>
      </c>
      <c r="D16" s="176">
        <f>C16/22</f>
        <v>0</v>
      </c>
      <c r="E16" s="176">
        <f t="shared" ref="E16:E17" si="21">C16/35</f>
        <v>0</v>
      </c>
      <c r="F16" s="13"/>
      <c r="G16" s="119" t="s">
        <v>173</v>
      </c>
      <c r="H16" s="177">
        <f>sumifs(Calculation!$AF$4:$AF994,Calculation!$D$4:$D994,G16,Calculation!$AA$4:$AA994,$G$2)</f>
        <v>0</v>
      </c>
      <c r="I16" s="177">
        <f>H16/22</f>
        <v>0</v>
      </c>
      <c r="J16" s="177">
        <f t="shared" ref="J16:J17" si="22">H16/35</f>
        <v>0</v>
      </c>
      <c r="L16" s="180" t="s">
        <v>173</v>
      </c>
      <c r="M16" s="178">
        <f>sumifs(Calculation!$AF$4:$AF994,Calculation!$D$4:$D994,L16,Calculation!$AA$4:$AA994,$L$2)</f>
        <v>0</v>
      </c>
      <c r="N16" s="178">
        <f>M16/22</f>
        <v>0</v>
      </c>
      <c r="O16" s="178">
        <f t="shared" ref="O16:O17" si="23">M16/35</f>
        <v>0</v>
      </c>
      <c r="Q16" s="119" t="s">
        <v>173</v>
      </c>
      <c r="R16" s="177">
        <f>sumifs(Calculation!$AF$4:$AF994,Calculation!$D$4:$D994,Q16,Calculation!$AA$4:$AA994,$Q$2)</f>
        <v>0</v>
      </c>
      <c r="S16" s="177">
        <f>R16/22</f>
        <v>0</v>
      </c>
      <c r="T16" s="177">
        <f t="shared" ref="T16:T17" si="24">R16/35</f>
        <v>0</v>
      </c>
      <c r="V16" s="180" t="s">
        <v>173</v>
      </c>
      <c r="W16" s="178">
        <f>sumifs(Calculation!$AF$4:$AF994,Calculation!$D$4:$D994,V16,Calculation!$AA$4:$AA994,$V$2)</f>
        <v>0</v>
      </c>
      <c r="X16" s="178">
        <f>W16/22</f>
        <v>0</v>
      </c>
      <c r="Y16" s="178">
        <f t="shared" ref="Y16:Y17" si="25">W16/35</f>
        <v>0</v>
      </c>
    </row>
    <row r="17" ht="12.75" customHeight="1">
      <c r="B17" s="179" t="s">
        <v>175</v>
      </c>
      <c r="C17" s="176">
        <f>sumifs(Calculation!$AF$4:$AF994,Calculation!$D$4:$D994,B17,Calculation!$AA$4:$AA994,$B$2)</f>
        <v>0</v>
      </c>
      <c r="D17" s="176">
        <f>C17/20</f>
        <v>0</v>
      </c>
      <c r="E17" s="176">
        <f t="shared" si="21"/>
        <v>0</v>
      </c>
      <c r="F17" s="13"/>
      <c r="G17" s="97" t="s">
        <v>175</v>
      </c>
      <c r="H17" s="177">
        <f>sumifs(Calculation!$AF$4:$AF994,Calculation!$D$4:$D994,G17,Calculation!$AA$4:$AA994,$G$2)</f>
        <v>0</v>
      </c>
      <c r="I17" s="177">
        <f>H17/20</f>
        <v>0</v>
      </c>
      <c r="J17" s="177">
        <f t="shared" si="22"/>
        <v>0</v>
      </c>
      <c r="L17" s="183" t="s">
        <v>175</v>
      </c>
      <c r="M17" s="178">
        <f>sumifs(Calculation!$AF$4:$AF994,Calculation!$D$4:$D994,L17,Calculation!$AA$4:$AA994,$L$2)</f>
        <v>0</v>
      </c>
      <c r="N17" s="178">
        <f>M17/20</f>
        <v>0</v>
      </c>
      <c r="O17" s="178">
        <f t="shared" si="23"/>
        <v>0</v>
      </c>
      <c r="Q17" s="97" t="s">
        <v>175</v>
      </c>
      <c r="R17" s="177">
        <f>sumifs(Calculation!$AF$4:$AF994,Calculation!$D$4:$D994,Q17,Calculation!$AA$4:$AA994,$Q$2)</f>
        <v>0</v>
      </c>
      <c r="S17" s="177">
        <f>R17/20</f>
        <v>0</v>
      </c>
      <c r="T17" s="177">
        <f t="shared" si="24"/>
        <v>0</v>
      </c>
      <c r="V17" s="183" t="s">
        <v>175</v>
      </c>
      <c r="W17" s="178">
        <f>sumifs(Calculation!$AF$4:$AF994,Calculation!$D$4:$D994,V17,Calculation!$AA$4:$AA994,$V$2)</f>
        <v>0</v>
      </c>
      <c r="X17" s="178">
        <f>W17/20</f>
        <v>0</v>
      </c>
      <c r="Y17" s="178">
        <f t="shared" si="25"/>
        <v>0</v>
      </c>
    </row>
    <row r="18" ht="12.75" customHeight="1">
      <c r="B18" s="179" t="s">
        <v>176</v>
      </c>
      <c r="C18" s="176">
        <f>sumifs(Calculation!$G$4:$G994,Calculation!$D$4:$D994,B18,Calculation!$AA$4:$AA994,$B$2)</f>
        <v>8</v>
      </c>
      <c r="D18" s="176">
        <f>C18/84*3</f>
        <v>0.2857142857</v>
      </c>
      <c r="E18" s="176">
        <f>C18/126*3</f>
        <v>0.1904761905</v>
      </c>
      <c r="F18" s="13"/>
      <c r="G18" s="119" t="s">
        <v>176</v>
      </c>
      <c r="H18" s="177">
        <f>sumifs(Calculation!$G$4:$G994,Calculation!$D$4:$D994,G18,Calculation!$AA$4:$AA994,$G$2)</f>
        <v>2</v>
      </c>
      <c r="I18" s="177">
        <f>H18/84*3</f>
        <v>0.07142857143</v>
      </c>
      <c r="J18" s="177">
        <f>H18/126*3</f>
        <v>0.04761904762</v>
      </c>
      <c r="L18" s="180" t="s">
        <v>176</v>
      </c>
      <c r="M18" s="178">
        <f>sumifs(Calculation!$G$4:$G994,Calculation!$D$4:$D994,L18,Calculation!$AA$4:$AA994,$L$2)</f>
        <v>24</v>
      </c>
      <c r="N18" s="178">
        <f>M18/84*3</f>
        <v>0.8571428571</v>
      </c>
      <c r="O18" s="178">
        <f>M18/126*3</f>
        <v>0.5714285714</v>
      </c>
      <c r="Q18" s="119" t="s">
        <v>176</v>
      </c>
      <c r="R18" s="177">
        <f>sumifs(Calculation!$AF$4:$AF994,Calculation!$D$4:$D994,Q18,Calculation!$AA$4:$AA994,$Q$2)</f>
        <v>0</v>
      </c>
      <c r="S18" s="177">
        <f>R18/84*3</f>
        <v>0</v>
      </c>
      <c r="T18" s="177">
        <f>R18/126*3</f>
        <v>0</v>
      </c>
      <c r="V18" s="180" t="s">
        <v>176</v>
      </c>
      <c r="W18" s="178">
        <f>sumifs(Calculation!$AF$4:$AF994,Calculation!$D$4:$D994,V18,Calculation!$AA$4:$AA994,$V$2)</f>
        <v>0</v>
      </c>
      <c r="X18" s="178">
        <f>W18/84*3</f>
        <v>0</v>
      </c>
      <c r="Y18" s="178">
        <f>W18/126*3</f>
        <v>0</v>
      </c>
    </row>
    <row r="19" ht="12.75" customHeight="1">
      <c r="B19" s="179" t="s">
        <v>177</v>
      </c>
      <c r="C19" s="176">
        <f>sumifs(Calculation!$G$4:$G994,Calculation!$D$4:$D994,B19,Calculation!$AA$4:$AA994,$B$2)</f>
        <v>12</v>
      </c>
      <c r="D19" s="176">
        <f>C19/15</f>
        <v>0.8</v>
      </c>
      <c r="E19" s="176">
        <f>C19/18</f>
        <v>0.6666666667</v>
      </c>
      <c r="F19" s="13"/>
      <c r="G19" s="119" t="s">
        <v>177</v>
      </c>
      <c r="H19" s="177">
        <f>sumifs(Calculation!$G$4:$G994,Calculation!$D$4:$D994,G19,Calculation!$AA$4:$AA994,$G$2)</f>
        <v>28</v>
      </c>
      <c r="I19" s="177">
        <f>H19/15</f>
        <v>1.866666667</v>
      </c>
      <c r="J19" s="177">
        <f>H19/18</f>
        <v>1.555555556</v>
      </c>
      <c r="L19" s="180" t="s">
        <v>177</v>
      </c>
      <c r="M19" s="178">
        <f>sumifs(Calculation!$G$4:$G994,Calculation!$D$4:$D994,L19,Calculation!$AA$4:$AA994,$L$2)</f>
        <v>0</v>
      </c>
      <c r="N19" s="178">
        <f>M19/15</f>
        <v>0</v>
      </c>
      <c r="O19" s="178">
        <f>M19/18</f>
        <v>0</v>
      </c>
      <c r="Q19" s="119" t="s">
        <v>177</v>
      </c>
      <c r="R19" s="177">
        <f>sumifs(Calculation!$AF$4:$AF994,Calculation!$D$4:$D994,Q19,Calculation!$AA$4:$AA994,$Q$2)</f>
        <v>0</v>
      </c>
      <c r="S19" s="177">
        <f>R19/15</f>
        <v>0</v>
      </c>
      <c r="T19" s="177">
        <f>R19/18</f>
        <v>0</v>
      </c>
      <c r="V19" s="180" t="s">
        <v>177</v>
      </c>
      <c r="W19" s="178">
        <f>sumifs(Calculation!$AF$4:$AF994,Calculation!$D$4:$D994,V19,Calculation!$AA$4:$AA994,$V$2)</f>
        <v>0</v>
      </c>
      <c r="X19" s="178">
        <f>W19/15</f>
        <v>0</v>
      </c>
      <c r="Y19" s="178">
        <f>W19/18</f>
        <v>0</v>
      </c>
    </row>
    <row r="20" ht="12.75" customHeight="1">
      <c r="B20" s="179" t="s">
        <v>178</v>
      </c>
      <c r="C20" s="176">
        <f>sumifs(Calculation!$G$4:$G994,Calculation!$D$4:$D994,B20,Calculation!$AA$4:$AA994,$B$2)</f>
        <v>4</v>
      </c>
      <c r="D20" s="176">
        <f>C20/20*12</f>
        <v>2.4</v>
      </c>
      <c r="E20" s="176">
        <f>C20/30*12</f>
        <v>1.6</v>
      </c>
      <c r="F20" s="13"/>
      <c r="G20" s="119" t="s">
        <v>178</v>
      </c>
      <c r="H20" s="177">
        <f>sumifs(Calculation!$G$4:$G994,Calculation!$D$4:$D994,G20,Calculation!$AA$4:$AA994,$G$2)</f>
        <v>6</v>
      </c>
      <c r="I20" s="177">
        <f>H20/20*12</f>
        <v>3.6</v>
      </c>
      <c r="J20" s="177">
        <f>H20/30*12</f>
        <v>2.4</v>
      </c>
      <c r="L20" s="180" t="s">
        <v>178</v>
      </c>
      <c r="M20" s="178">
        <f>sumifs(Calculation!$G$4:$G994,Calculation!$D$4:$D994,L20,Calculation!$AA$4:$AA994,$L$2)</f>
        <v>0</v>
      </c>
      <c r="N20" s="178">
        <f>M20/20*12</f>
        <v>0</v>
      </c>
      <c r="O20" s="178">
        <f>M20/30*12</f>
        <v>0</v>
      </c>
      <c r="Q20" s="119" t="s">
        <v>178</v>
      </c>
      <c r="R20" s="177">
        <f>sumifs(Calculation!$AF$4:$AF994,Calculation!$D$4:$D994,Q20,Calculation!$AA$4:$AA994,$Q$2)</f>
        <v>0</v>
      </c>
      <c r="S20" s="177">
        <f>R20/20*12</f>
        <v>0</v>
      </c>
      <c r="T20" s="177">
        <f>R20/30*12</f>
        <v>0</v>
      </c>
      <c r="V20" s="180" t="s">
        <v>178</v>
      </c>
      <c r="W20" s="178">
        <f>sumifs(Calculation!$AF$4:$AF994,Calculation!$D$4:$D994,V20,Calculation!$AA$4:$AA994,$V$2)</f>
        <v>0</v>
      </c>
      <c r="X20" s="178">
        <f>W20/20*12</f>
        <v>0</v>
      </c>
      <c r="Y20" s="178">
        <f>W20/30*12</f>
        <v>0</v>
      </c>
    </row>
    <row r="21" ht="12.75" customHeight="1">
      <c r="B21" s="179" t="s">
        <v>179</v>
      </c>
      <c r="C21" s="176">
        <f>sumifs(Calculation!$G$4:$G994,Calculation!$D$4:$D994,B21,Calculation!$AA$4:$AA994,$B$2)</f>
        <v>6</v>
      </c>
      <c r="D21" s="176">
        <f>C21/45</f>
        <v>0.1333333333</v>
      </c>
      <c r="E21" s="176">
        <f>C21/70</f>
        <v>0.08571428571</v>
      </c>
      <c r="F21" s="13"/>
      <c r="G21" s="97" t="s">
        <v>179</v>
      </c>
      <c r="H21" s="177">
        <f>sumifs(Calculation!$G$4:$G994,Calculation!$D$4:$D994,G21,Calculation!$AA$4:$AA994,$G$2)</f>
        <v>0</v>
      </c>
      <c r="I21" s="177">
        <f>H21/45</f>
        <v>0</v>
      </c>
      <c r="J21" s="177">
        <f>H21/70*2</f>
        <v>0</v>
      </c>
      <c r="L21" s="172" t="s">
        <v>179</v>
      </c>
      <c r="M21" s="178">
        <f>sumifs(Calculation!$G$4:$G994,Calculation!$D$4:$D994,L21,Calculation!$AA$4:$AA994,$L$2)</f>
        <v>2</v>
      </c>
      <c r="N21" s="178">
        <f>M21/45</f>
        <v>0.04444444444</v>
      </c>
      <c r="O21" s="178">
        <f>M21/70</f>
        <v>0.02857142857</v>
      </c>
      <c r="Q21" s="97" t="s">
        <v>179</v>
      </c>
      <c r="R21" s="177">
        <f>sumifs(Calculation!$AF$4:$AF994,Calculation!$D$4:$D994,Q21,Calculation!$AA$4:$AA994,$Q$2)</f>
        <v>0</v>
      </c>
      <c r="S21" s="177">
        <f>R21/45</f>
        <v>0</v>
      </c>
      <c r="T21" s="177">
        <f>R21/70*2</f>
        <v>0</v>
      </c>
      <c r="V21" s="172" t="s">
        <v>179</v>
      </c>
      <c r="W21" s="178">
        <f>sumifs(Calculation!$AF$4:$AF994,Calculation!$D$4:$D994,V21,Calculation!$AA$4:$AA994,$V$2)</f>
        <v>0</v>
      </c>
      <c r="X21" s="178">
        <f>W21/45</f>
        <v>0</v>
      </c>
      <c r="Y21" s="178">
        <f>W21/70</f>
        <v>0</v>
      </c>
    </row>
    <row r="22" ht="12.75" customHeight="1">
      <c r="B22" s="179"/>
      <c r="C22" s="184">
        <f t="shared" ref="C22:E22" si="26">SUM(C4:C21)</f>
        <v>196</v>
      </c>
      <c r="D22" s="185">
        <f t="shared" si="26"/>
        <v>6.770822511</v>
      </c>
      <c r="E22" s="185">
        <f t="shared" si="26"/>
        <v>4.807828091</v>
      </c>
      <c r="F22" s="13"/>
      <c r="G22" s="97"/>
      <c r="H22" s="186">
        <f t="shared" ref="H22:J22" si="27">SUM(H4:H21)</f>
        <v>628</v>
      </c>
      <c r="I22" s="187">
        <f t="shared" si="27"/>
        <v>15.9352381</v>
      </c>
      <c r="J22" s="188">
        <f t="shared" si="27"/>
        <v>11.12741042</v>
      </c>
      <c r="L22" s="178"/>
      <c r="M22" s="189">
        <f t="shared" ref="M22:O22" si="28">SUM(M4:M21)</f>
        <v>400</v>
      </c>
      <c r="N22" s="190">
        <f t="shared" si="28"/>
        <v>7.652929293</v>
      </c>
      <c r="O22" s="191">
        <f t="shared" si="28"/>
        <v>5.288480485</v>
      </c>
      <c r="Q22" s="97"/>
      <c r="R22" s="186">
        <f t="shared" ref="R22:T22" si="29">SUM(R4:R21)</f>
        <v>0</v>
      </c>
      <c r="S22" s="187">
        <f t="shared" si="29"/>
        <v>0</v>
      </c>
      <c r="T22" s="188">
        <f t="shared" si="29"/>
        <v>0</v>
      </c>
      <c r="V22" s="178"/>
      <c r="W22" s="189">
        <f t="shared" ref="W22:Y22" si="30">SUM(W4:W21)</f>
        <v>0</v>
      </c>
      <c r="X22" s="190">
        <f t="shared" si="30"/>
        <v>0</v>
      </c>
      <c r="Y22" s="191">
        <f t="shared" si="30"/>
        <v>0</v>
      </c>
    </row>
    <row r="23" ht="12.75" customHeight="1">
      <c r="B23" s="192"/>
      <c r="C23" s="176"/>
      <c r="D23" s="193">
        <f t="shared" ref="D23:E23" si="31">ROUND(D22,0)</f>
        <v>7</v>
      </c>
      <c r="E23" s="193">
        <f t="shared" si="31"/>
        <v>5</v>
      </c>
      <c r="F23" s="13"/>
      <c r="G23" s="97"/>
      <c r="H23" s="177"/>
      <c r="I23" s="194">
        <f t="shared" ref="I23:J23" si="32">ROUND(I22,0)</f>
        <v>16</v>
      </c>
      <c r="J23" s="195">
        <f t="shared" si="32"/>
        <v>11</v>
      </c>
      <c r="L23" s="178"/>
      <c r="M23" s="178"/>
      <c r="N23" s="196">
        <f t="shared" ref="N23:O23" si="33">ROUND(N22,0)</f>
        <v>8</v>
      </c>
      <c r="O23" s="197">
        <f t="shared" si="33"/>
        <v>5</v>
      </c>
      <c r="Q23" s="97"/>
      <c r="R23" s="177"/>
      <c r="S23" s="194">
        <f t="shared" ref="S23:T23" si="34">ROUND(S22,0)</f>
        <v>0</v>
      </c>
      <c r="T23" s="195">
        <f t="shared" si="34"/>
        <v>0</v>
      </c>
      <c r="V23" s="178"/>
      <c r="W23" s="178"/>
      <c r="X23" s="196">
        <f t="shared" ref="X23:Y23" si="35">ROUND(X22,0)</f>
        <v>0</v>
      </c>
      <c r="Y23" s="197">
        <f t="shared" si="35"/>
        <v>0</v>
      </c>
    </row>
    <row r="24" ht="12.75" customHeight="1">
      <c r="B24" s="198" t="s">
        <v>180</v>
      </c>
      <c r="C24" s="199"/>
      <c r="D24" s="200">
        <f>sumif(Calculation!$AA$4:$AA994,B2,Calculation!$Q$4:$Q994)*1/1000/D23</f>
        <v>4.971714286</v>
      </c>
      <c r="E24" s="201">
        <f>sumif(Calculation!$AA$4:$AA994,B2,Calculation!$Q$4:$Q994)*1/1000/E23</f>
        <v>6.9604</v>
      </c>
      <c r="F24" s="13"/>
      <c r="G24" s="202" t="s">
        <v>180</v>
      </c>
      <c r="H24" s="203"/>
      <c r="I24" s="204">
        <f>sumif(Calculation!$AA$4:$AA994,G2,Calculation!$Q$4:$Q994)*1/1000/I23</f>
        <v>5.657</v>
      </c>
      <c r="J24" s="204">
        <f>sumif(Calculation!$AA$4:$AA994,G2,Calculation!$Q$4:$Q994)*1/1000/J23</f>
        <v>8.228363636</v>
      </c>
      <c r="L24" s="205" t="s">
        <v>180</v>
      </c>
      <c r="M24" s="178"/>
      <c r="N24" s="197">
        <f>sumif(Calculation!$AA$4:$AA994,L2,Calculation!$Q$4:$Q994)*0.85/1000/N23</f>
        <v>5.21985</v>
      </c>
      <c r="O24" s="191">
        <f>sumif(Calculation!$AA$4:$AA994,L2,Calculation!$Q$4:$Q994)*1/1000/O23</f>
        <v>9.8256</v>
      </c>
      <c r="Q24" s="202" t="s">
        <v>180</v>
      </c>
      <c r="R24" s="203"/>
      <c r="S24" s="204" t="str">
        <f>sumif(Calculation!$AA$4:$AA994,Q2,Calculation!$Q$4:$Q994)*1/1000/S23</f>
        <v>#DIV/0!</v>
      </c>
      <c r="T24" s="204" t="str">
        <f>sumif(Calculation!$AA$4:$AA994,Q2,Calculation!$Q$4:$Q994)*1/1000/T23</f>
        <v>#DIV/0!</v>
      </c>
      <c r="V24" s="205" t="s">
        <v>180</v>
      </c>
      <c r="W24" s="178"/>
      <c r="X24" s="197" t="str">
        <f>sumif(Calculation!$AA$4:$AA994,V2,Calculation!$Q$4:$Q994)*0.85/1000/X23</f>
        <v>#DIV/0!</v>
      </c>
      <c r="Y24" s="191" t="str">
        <f>sumif(Calculation!$AA$4:$AA994,V2,Calculation!$Q$4:$Q994)*1/1000/Y23</f>
        <v>#DIV/0!</v>
      </c>
    </row>
    <row r="26" ht="12.75" customHeight="1">
      <c r="B26" s="161" t="s">
        <v>13</v>
      </c>
      <c r="C26" s="158"/>
      <c r="D26" s="158"/>
      <c r="E26" s="160"/>
      <c r="G26" s="206" t="s">
        <v>14</v>
      </c>
      <c r="H26" s="158"/>
      <c r="I26" s="158"/>
      <c r="J26" s="160"/>
      <c r="L26" s="206" t="s">
        <v>16</v>
      </c>
      <c r="M26" s="158"/>
      <c r="N26" s="158"/>
      <c r="O26" s="160"/>
      <c r="Q26" s="206" t="s">
        <v>17</v>
      </c>
      <c r="R26" s="158"/>
      <c r="S26" s="158"/>
      <c r="T26" s="160"/>
    </row>
    <row r="27" ht="18.0" customHeight="1">
      <c r="B27" s="168"/>
      <c r="C27" s="170" t="s">
        <v>158</v>
      </c>
      <c r="D27" s="170" t="s">
        <v>159</v>
      </c>
      <c r="E27" s="170" t="s">
        <v>160</v>
      </c>
      <c r="G27" s="207"/>
      <c r="H27" s="208"/>
      <c r="I27" s="104" t="s">
        <v>159</v>
      </c>
      <c r="J27" s="104" t="s">
        <v>160</v>
      </c>
      <c r="K27" s="13"/>
      <c r="L27" s="207"/>
      <c r="M27" s="208"/>
      <c r="N27" s="104" t="s">
        <v>159</v>
      </c>
      <c r="O27" s="104" t="s">
        <v>160</v>
      </c>
      <c r="Q27" s="207"/>
      <c r="R27" s="208"/>
      <c r="S27" s="104" t="s">
        <v>159</v>
      </c>
      <c r="T27" s="104" t="s">
        <v>160</v>
      </c>
    </row>
    <row r="28" ht="12.75" customHeight="1">
      <c r="B28" s="97" t="s">
        <v>161</v>
      </c>
      <c r="C28" s="177">
        <f>sumifs(Calculation!$AF$4:$AF994,Calculation!$D$4:$D994,B28,Calculation!$AA$4:$AA994,$B$26)</f>
        <v>0</v>
      </c>
      <c r="D28" s="177">
        <f>C28/110</f>
        <v>0</v>
      </c>
      <c r="E28" s="177">
        <f>C28/150</f>
        <v>0</v>
      </c>
      <c r="G28" s="207" t="s">
        <v>161</v>
      </c>
      <c r="H28" s="208">
        <f>sumifs(Calculation!$AF$4:$AF994,Calculation!$D$4:$D994,G28,Calculation!$AA$4:$AA994,$G$26)</f>
        <v>2</v>
      </c>
      <c r="I28" s="208">
        <f>H28/110</f>
        <v>0.01818181818</v>
      </c>
      <c r="J28" s="208">
        <f>H28/150</f>
        <v>0.01333333333</v>
      </c>
      <c r="K28" s="13"/>
      <c r="L28" s="207" t="s">
        <v>161</v>
      </c>
      <c r="M28" s="208">
        <f>sumifs(Calculation!$AF$4:$AF994,Calculation!$D$4:$D994,L28,Calculation!$AA$4:$AA994,$L$26)</f>
        <v>0</v>
      </c>
      <c r="N28" s="208">
        <f>M28/110</f>
        <v>0</v>
      </c>
      <c r="O28" s="208">
        <f>M28/150</f>
        <v>0</v>
      </c>
      <c r="Q28" s="207" t="s">
        <v>161</v>
      </c>
      <c r="R28" s="208">
        <f>sumifs(Calculation!$AF$4:$AF994,Calculation!$D$4:$D994,Q28,Calculation!$AA$4:$AA994,$Q$26)</f>
        <v>0</v>
      </c>
      <c r="S28" s="208">
        <f>R28/110</f>
        <v>0</v>
      </c>
      <c r="T28" s="208">
        <f>R28/150</f>
        <v>0</v>
      </c>
    </row>
    <row r="29" ht="12.75" customHeight="1">
      <c r="B29" s="119" t="s">
        <v>162</v>
      </c>
      <c r="C29" s="177">
        <f>sumifs(Calculation!$AF$4:$AF994,Calculation!$D$4:$D994,B29,Calculation!$AA$4:$AA994,$B$26)</f>
        <v>184</v>
      </c>
      <c r="D29" s="177">
        <f>C29/50</f>
        <v>3.68</v>
      </c>
      <c r="E29" s="177">
        <f>C29/70</f>
        <v>2.628571429</v>
      </c>
      <c r="G29" s="169" t="s">
        <v>162</v>
      </c>
      <c r="H29" s="208">
        <f>sumifs(Calculation!$AF$4:$AF994,Calculation!$D$4:$D994,G29,Calculation!$AA$4:$AA994,$G$26)</f>
        <v>244</v>
      </c>
      <c r="I29" s="208">
        <f>H29/50</f>
        <v>4.88</v>
      </c>
      <c r="J29" s="208">
        <f>H29/70</f>
        <v>3.485714286</v>
      </c>
      <c r="K29" s="13"/>
      <c r="L29" s="169" t="s">
        <v>162</v>
      </c>
      <c r="M29" s="208">
        <f>sumifs(Calculation!$AF$4:$AF994,Calculation!$D$4:$D994,L29,Calculation!$AA$4:$AA994,$L$26)</f>
        <v>122</v>
      </c>
      <c r="N29" s="208">
        <f>M29/50</f>
        <v>2.44</v>
      </c>
      <c r="O29" s="208">
        <f>M29/70</f>
        <v>1.742857143</v>
      </c>
      <c r="Q29" s="169" t="s">
        <v>162</v>
      </c>
      <c r="R29" s="208">
        <f>sumifs(Calculation!$AF$4:$AF994,Calculation!$D$4:$D994,Q29,Calculation!$AA$4:$AA994,$Q$26)</f>
        <v>132</v>
      </c>
      <c r="S29" s="208">
        <f>R29/50</f>
        <v>2.64</v>
      </c>
      <c r="T29" s="208">
        <f>R29/70</f>
        <v>1.885714286</v>
      </c>
    </row>
    <row r="30" ht="12.75" customHeight="1">
      <c r="B30" s="97" t="s">
        <v>163</v>
      </c>
      <c r="C30" s="177">
        <f>sumifs(Calculation!$AF$4:$AF994,Calculation!$D$4:$D994,B30,Calculation!$AA$4:$AA994,$B$26)</f>
        <v>2</v>
      </c>
      <c r="D30" s="177">
        <f>C30/110</f>
        <v>0.01818181818</v>
      </c>
      <c r="E30" s="177">
        <f>C30/145</f>
        <v>0.01379310345</v>
      </c>
      <c r="G30" s="207" t="s">
        <v>163</v>
      </c>
      <c r="H30" s="208">
        <f>sumifs(Calculation!$AF$4:$AF994,Calculation!$D$4:$D994,G30,Calculation!$AA$4:$AA994,$G$26)</f>
        <v>10</v>
      </c>
      <c r="I30" s="208">
        <f>H30/120</f>
        <v>0.08333333333</v>
      </c>
      <c r="J30" s="208">
        <f>H30/145</f>
        <v>0.06896551724</v>
      </c>
      <c r="K30" s="13"/>
      <c r="L30" s="207" t="s">
        <v>163</v>
      </c>
      <c r="M30" s="208">
        <f>sumifs(Calculation!$AF$4:$AF994,Calculation!$D$4:$D994,L30,Calculation!$AA$4:$AA994,$L$26)</f>
        <v>8</v>
      </c>
      <c r="N30" s="208">
        <f>M30/120</f>
        <v>0.06666666667</v>
      </c>
      <c r="O30" s="208">
        <f>M30/145</f>
        <v>0.05517241379</v>
      </c>
      <c r="Q30" s="207" t="s">
        <v>163</v>
      </c>
      <c r="R30" s="208">
        <f>sumifs(Calculation!$AF$4:$AF994,Calculation!$D$4:$D994,Q30,Calculation!$AA$4:$AA994,$Q$26)</f>
        <v>2</v>
      </c>
      <c r="S30" s="208">
        <f>R30/120</f>
        <v>0.01666666667</v>
      </c>
      <c r="T30" s="208">
        <f>R30/145</f>
        <v>0.01379310345</v>
      </c>
    </row>
    <row r="31" ht="12.75" customHeight="1">
      <c r="B31" s="119" t="s">
        <v>164</v>
      </c>
      <c r="C31" s="177">
        <f>sumifs(Calculation!$AF$4:$AF994,Calculation!$D$4:$D994,B31,Calculation!$AA$4:$AA994,$B$26)</f>
        <v>4</v>
      </c>
      <c r="D31" s="177">
        <f>C31/50</f>
        <v>0.08</v>
      </c>
      <c r="E31" s="177">
        <f>C31/70</f>
        <v>0.05714285714</v>
      </c>
      <c r="G31" s="169" t="s">
        <v>164</v>
      </c>
      <c r="H31" s="208">
        <f>sumifs(Calculation!$AF$4:$AF994,Calculation!$D$4:$D994,G31,Calculation!$AA$4:$AA994,$G$26)</f>
        <v>2</v>
      </c>
      <c r="I31" s="208">
        <f>H31/50</f>
        <v>0.04</v>
      </c>
      <c r="J31" s="208">
        <f>H31/70</f>
        <v>0.02857142857</v>
      </c>
      <c r="K31" s="13"/>
      <c r="L31" s="169" t="s">
        <v>164</v>
      </c>
      <c r="M31" s="208">
        <f>sumifs(Calculation!$AF$4:$AF994,Calculation!$D$4:$D994,L31,Calculation!$AA$4:$AA994,$L$26)</f>
        <v>62</v>
      </c>
      <c r="N31" s="208">
        <f>M31/50</f>
        <v>1.24</v>
      </c>
      <c r="O31" s="208">
        <f>M31/70</f>
        <v>0.8857142857</v>
      </c>
      <c r="Q31" s="169" t="s">
        <v>164</v>
      </c>
      <c r="R31" s="208">
        <f>sumifs(Calculation!$AF$4:$AF994,Calculation!$D$4:$D994,Q31,Calculation!$AA$4:$AA994,$Q$26)</f>
        <v>24</v>
      </c>
      <c r="S31" s="208">
        <f>R31/50</f>
        <v>0.48</v>
      </c>
      <c r="T31" s="208">
        <f>R31/70</f>
        <v>0.3428571429</v>
      </c>
    </row>
    <row r="32" ht="12.75" customHeight="1">
      <c r="B32" s="97" t="s">
        <v>137</v>
      </c>
      <c r="C32" s="177">
        <f>SUMPRODUCT((Calculation!$D$4:$D$759=B32)*(Calculation!$AA$4:$AA$759=B26)*(Calculation!$H$4:$O$759))</f>
        <v>94</v>
      </c>
      <c r="D32" s="177">
        <f>C32/70</f>
        <v>1.342857143</v>
      </c>
      <c r="E32" s="177">
        <f>C32/130</f>
        <v>0.7230769231</v>
      </c>
      <c r="G32" s="207" t="s">
        <v>137</v>
      </c>
      <c r="H32" s="208">
        <f>SUMPRODUCT((Calculation!$D$4:$D$759=G32)*(Calculation!$AA$4:$AA$759=G26)*(Calculation!$H$4:$O$759))</f>
        <v>98</v>
      </c>
      <c r="I32" s="208">
        <f>H32/70</f>
        <v>1.4</v>
      </c>
      <c r="J32" s="208">
        <f>H32/130</f>
        <v>0.7538461538</v>
      </c>
      <c r="K32" s="13"/>
      <c r="L32" s="207" t="s">
        <v>137</v>
      </c>
      <c r="M32" s="208">
        <f>SUMPRODUCT((Calculation!$D$4:$D$759=L32)*(Calculation!$AA$4:$AA$759=L26)*(Calculation!$H$4:$O$759))</f>
        <v>88</v>
      </c>
      <c r="N32" s="208">
        <f>M32/70</f>
        <v>1.257142857</v>
      </c>
      <c r="O32" s="208">
        <f>M32/130</f>
        <v>0.6769230769</v>
      </c>
      <c r="Q32" s="207" t="s">
        <v>137</v>
      </c>
      <c r="R32" s="208">
        <f>SUMPRODUCT((Calculation!$D$4:$D$759=Q32)*(Calculation!$AA$4:$AA$759=Q26)*(Calculation!$H$4:$O$759))</f>
        <v>4</v>
      </c>
      <c r="S32" s="208">
        <f>R32/70</f>
        <v>0.05714285714</v>
      </c>
      <c r="T32" s="208">
        <f>R32/130</f>
        <v>0.03076923077</v>
      </c>
    </row>
    <row r="33" ht="12.75" customHeight="1">
      <c r="B33" s="119" t="s">
        <v>165</v>
      </c>
      <c r="C33" s="177">
        <f>sumifs(Calculation!$AF$4:$AF994,Calculation!$D$4:$D994,B33,Calculation!$AA$4:$AA994,$B$26)</f>
        <v>4</v>
      </c>
      <c r="D33" s="177">
        <f>C33/25</f>
        <v>0.16</v>
      </c>
      <c r="E33" s="177">
        <f>C33/30</f>
        <v>0.1333333333</v>
      </c>
      <c r="G33" s="169" t="s">
        <v>165</v>
      </c>
      <c r="H33" s="208">
        <f>sumifs(Calculation!$AF$4:$AF994,Calculation!$D$4:$D994,G33,Calculation!$AA$4:$AA994,$G$26)</f>
        <v>4</v>
      </c>
      <c r="I33" s="208">
        <f>H33/25</f>
        <v>0.16</v>
      </c>
      <c r="J33" s="208">
        <f>H33/30</f>
        <v>0.1333333333</v>
      </c>
      <c r="K33" s="13"/>
      <c r="L33" s="169" t="s">
        <v>165</v>
      </c>
      <c r="M33" s="208">
        <f>sumifs(Calculation!$AF$4:$AF994,Calculation!$D$4:$D994,L33,Calculation!$AA$4:$AA994,$L$26)</f>
        <v>4</v>
      </c>
      <c r="N33" s="208">
        <f>M33/25</f>
        <v>0.16</v>
      </c>
      <c r="O33" s="208">
        <f>M33/30</f>
        <v>0.1333333333</v>
      </c>
      <c r="Q33" s="169" t="s">
        <v>165</v>
      </c>
      <c r="R33" s="208">
        <f>sumifs(Calculation!$AF$4:$AF994,Calculation!$D$4:$D994,Q33,Calculation!$AA$4:$AA994,$Q$26)</f>
        <v>4</v>
      </c>
      <c r="S33" s="208">
        <f>R33/25</f>
        <v>0.16</v>
      </c>
      <c r="T33" s="208">
        <f>R33/30</f>
        <v>0.1333333333</v>
      </c>
    </row>
    <row r="34" ht="12.75" customHeight="1">
      <c r="B34" s="97" t="s">
        <v>166</v>
      </c>
      <c r="C34" s="177">
        <f>sumifs(Calculation!$AF$4:$AF994,Calculation!$D$4:$D994,B34,Calculation!$AA$4:$AA994,$B$26)</f>
        <v>0</v>
      </c>
      <c r="D34" s="177">
        <f>C34/36</f>
        <v>0</v>
      </c>
      <c r="E34" s="177">
        <f>C34/65</f>
        <v>0</v>
      </c>
      <c r="G34" s="207" t="s">
        <v>166</v>
      </c>
      <c r="H34" s="208">
        <f>sumifs(Calculation!$AF$4:$AF994,Calculation!$D$4:$D994,G34,Calculation!$AA$4:$AA994,$G$26)</f>
        <v>0</v>
      </c>
      <c r="I34" s="208">
        <f>H34/36</f>
        <v>0</v>
      </c>
      <c r="J34" s="208">
        <f>H34/66</f>
        <v>0</v>
      </c>
      <c r="K34" s="13"/>
      <c r="L34" s="207" t="s">
        <v>166</v>
      </c>
      <c r="M34" s="208">
        <f>sumifs(Calculation!$AF$4:$AF994,Calculation!$D$4:$D994,L34,Calculation!$AA$4:$AA994,$L$26)</f>
        <v>0</v>
      </c>
      <c r="N34" s="208">
        <f>M34/36</f>
        <v>0</v>
      </c>
      <c r="O34" s="208">
        <f>M34/66</f>
        <v>0</v>
      </c>
      <c r="Q34" s="207" t="s">
        <v>166</v>
      </c>
      <c r="R34" s="208">
        <f>sumifs(Calculation!$AF$4:$AF994,Calculation!$D$4:$D994,Q34,Calculation!$AA$4:$AA994,$Q$26)</f>
        <v>0</v>
      </c>
      <c r="S34" s="208">
        <f>R34/36</f>
        <v>0</v>
      </c>
      <c r="T34" s="208">
        <f>R34/66</f>
        <v>0</v>
      </c>
    </row>
    <row r="35" ht="12.75" customHeight="1">
      <c r="B35" s="97" t="s">
        <v>168</v>
      </c>
      <c r="C35" s="177">
        <f>sumifs(Calculation!$G$4:$G994,Calculation!$D$4:$D994,B35,Calculation!$AA$4:$AA994,$B$26)</f>
        <v>28</v>
      </c>
      <c r="D35" s="177">
        <f t="shared" ref="D35:D36" si="36">C35/60</f>
        <v>0.4666666667</v>
      </c>
      <c r="E35" s="177">
        <f t="shared" ref="E35:E36" si="37">C35/80</f>
        <v>0.35</v>
      </c>
      <c r="G35" s="207" t="s">
        <v>168</v>
      </c>
      <c r="H35" s="208">
        <f>sumifs(Calculation!$G$4:$G994,Calculation!$D$4:$D994,G35,Calculation!$AA$4:$AA994,$G$26)</f>
        <v>32</v>
      </c>
      <c r="I35" s="208">
        <f t="shared" ref="I35:I36" si="38">H35/60</f>
        <v>0.5333333333</v>
      </c>
      <c r="J35" s="208">
        <f t="shared" ref="J35:J36" si="39">H35/80</f>
        <v>0.4</v>
      </c>
      <c r="K35" s="13"/>
      <c r="L35" s="207" t="s">
        <v>168</v>
      </c>
      <c r="M35" s="208">
        <f>sumifs(Calculation!$G$4:$G994,Calculation!$D$4:$D994,L35,Calculation!$AA$4:$AA994,$L$26)</f>
        <v>22</v>
      </c>
      <c r="N35" s="208">
        <f t="shared" ref="N35:N36" si="40">M35/60</f>
        <v>0.3666666667</v>
      </c>
      <c r="O35" s="208">
        <f t="shared" ref="O35:O36" si="41">M35/80</f>
        <v>0.275</v>
      </c>
      <c r="Q35" s="207" t="s">
        <v>168</v>
      </c>
      <c r="R35" s="208">
        <f>sumifs(Calculation!$G$4:$G994,Calculation!$D$4:$D994,Q35,Calculation!$AA$4:$AA994,$Q$26)</f>
        <v>24</v>
      </c>
      <c r="S35" s="208">
        <f t="shared" ref="S35:S36" si="42">R35/60</f>
        <v>0.4</v>
      </c>
      <c r="T35" s="208">
        <f t="shared" ref="T35:T36" si="43">R35/80</f>
        <v>0.3</v>
      </c>
    </row>
    <row r="36" ht="12.75" customHeight="1">
      <c r="B36" s="182" t="s">
        <v>169</v>
      </c>
      <c r="C36" s="177">
        <f>sumifs(Calculation!$AF$4:$AF994,Calculation!$D$4:$D994,B36,Calculation!$AA$4:$AA994,$B$26)</f>
        <v>0</v>
      </c>
      <c r="D36" s="177">
        <f t="shared" si="36"/>
        <v>0</v>
      </c>
      <c r="E36" s="177">
        <f t="shared" si="37"/>
        <v>0</v>
      </c>
      <c r="G36" s="207" t="s">
        <v>169</v>
      </c>
      <c r="H36" s="208">
        <f>sumifs(Calculation!$AF$4:$AF994,Calculation!$D$4:$D994,G36,Calculation!$AA$4:$AA994,$G$26)</f>
        <v>0</v>
      </c>
      <c r="I36" s="208">
        <f t="shared" si="38"/>
        <v>0</v>
      </c>
      <c r="J36" s="208">
        <f t="shared" si="39"/>
        <v>0</v>
      </c>
      <c r="K36" s="13"/>
      <c r="L36" s="207" t="s">
        <v>169</v>
      </c>
      <c r="M36" s="208">
        <f>sumifs(Calculation!$AF$4:$AF994,Calculation!$D$4:$D994,L36,Calculation!$AA$4:$AA994,$L$26)</f>
        <v>0</v>
      </c>
      <c r="N36" s="208">
        <f t="shared" si="40"/>
        <v>0</v>
      </c>
      <c r="O36" s="208">
        <f t="shared" si="41"/>
        <v>0</v>
      </c>
      <c r="Q36" s="207" t="s">
        <v>169</v>
      </c>
      <c r="R36" s="208">
        <f>sumifs(Calculation!$AF$4:$AF994,Calculation!$D$4:$D994,Q36,Calculation!$AA$4:$AA994,$Q$26)</f>
        <v>0</v>
      </c>
      <c r="S36" s="208">
        <f t="shared" si="42"/>
        <v>0</v>
      </c>
      <c r="T36" s="208">
        <f t="shared" si="43"/>
        <v>0</v>
      </c>
    </row>
    <row r="37" ht="12.75" customHeight="1">
      <c r="B37" s="119" t="s">
        <v>170</v>
      </c>
      <c r="C37" s="177">
        <f>sumifs(Calculation!$AF$4:$AF994,Calculation!$D$4:$D994,B37,Calculation!$AA$4:$AA994,$B$26)</f>
        <v>0</v>
      </c>
      <c r="D37" s="177">
        <f t="shared" ref="D37:D38" si="44">C37/14</f>
        <v>0</v>
      </c>
      <c r="E37" s="177">
        <f t="shared" ref="E37:E38" si="45">C37/26</f>
        <v>0</v>
      </c>
      <c r="G37" s="169" t="s">
        <v>170</v>
      </c>
      <c r="H37" s="208">
        <f>SUMPRODUCT((Calculation!$D$4:$D994=G37)*(Calculation!$AA$4:$AA994=G26)*(Calculation!$G$4:$G994))</f>
        <v>0</v>
      </c>
      <c r="I37" s="208">
        <f t="shared" ref="I37:I38" si="46">H37/14</f>
        <v>0</v>
      </c>
      <c r="J37" s="208">
        <f t="shared" ref="J37:J38" si="47">H37/26</f>
        <v>0</v>
      </c>
      <c r="K37" s="13"/>
      <c r="L37" s="169" t="s">
        <v>170</v>
      </c>
      <c r="M37" s="208">
        <f>sumifs(Calculation!$AF$4:$AF994,Calculation!$D$4:$D994,L37,Calculation!$AA$4:$AA994,$L$26)</f>
        <v>0</v>
      </c>
      <c r="N37" s="208">
        <f t="shared" ref="N37:N38" si="48">M37/14</f>
        <v>0</v>
      </c>
      <c r="O37" s="208">
        <f t="shared" ref="O37:O38" si="49">M37/26</f>
        <v>0</v>
      </c>
      <c r="Q37" s="169" t="s">
        <v>170</v>
      </c>
      <c r="R37" s="208">
        <f>sumifs(Calculation!$AF$4:$AF994,Calculation!$D$4:$D994,Q37,Calculation!$AA$4:$AA994,$Q$26)</f>
        <v>0</v>
      </c>
      <c r="S37" s="208">
        <f t="shared" ref="S37:S38" si="50">R37/14</f>
        <v>0</v>
      </c>
      <c r="T37" s="208">
        <f t="shared" ref="T37:T38" si="51">R37/26</f>
        <v>0</v>
      </c>
    </row>
    <row r="38" ht="12.75" customHeight="1">
      <c r="B38" s="119" t="s">
        <v>171</v>
      </c>
      <c r="C38" s="177">
        <f>sumifs(Calculation!$AF$4:$AF994,Calculation!$D$4:$D994,B38,Calculation!$AA$4:$AA994,$B$26)</f>
        <v>0</v>
      </c>
      <c r="D38" s="177">
        <f t="shared" si="44"/>
        <v>0</v>
      </c>
      <c r="E38" s="177">
        <f t="shared" si="45"/>
        <v>0</v>
      </c>
      <c r="G38" s="169" t="s">
        <v>171</v>
      </c>
      <c r="H38" s="208">
        <f>sumifs(Calculation!$AF$4:$AF994,Calculation!$D$4:$D994,G38,Calculation!$AA$4:$AA994,$G$26)</f>
        <v>0</v>
      </c>
      <c r="I38" s="208">
        <f t="shared" si="46"/>
        <v>0</v>
      </c>
      <c r="J38" s="208">
        <f t="shared" si="47"/>
        <v>0</v>
      </c>
      <c r="K38" s="13"/>
      <c r="L38" s="169" t="s">
        <v>171</v>
      </c>
      <c r="M38" s="208">
        <f>sumifs(Calculation!$AF$4:$AF994,Calculation!$D$4:$D994,L38,Calculation!$AA$4:$AA994,$L$26)</f>
        <v>0</v>
      </c>
      <c r="N38" s="208">
        <f t="shared" si="48"/>
        <v>0</v>
      </c>
      <c r="O38" s="208">
        <f t="shared" si="49"/>
        <v>0</v>
      </c>
      <c r="Q38" s="169" t="s">
        <v>171</v>
      </c>
      <c r="R38" s="208">
        <f>sumifs(Calculation!$AF$4:$AF994,Calculation!$D$4:$D994,Q38,Calculation!$AA$4:$AA994,$Q$26)</f>
        <v>0</v>
      </c>
      <c r="S38" s="208">
        <f t="shared" si="50"/>
        <v>0</v>
      </c>
      <c r="T38" s="208">
        <f t="shared" si="51"/>
        <v>0</v>
      </c>
    </row>
    <row r="39" ht="12.75" customHeight="1">
      <c r="B39" s="119" t="s">
        <v>172</v>
      </c>
      <c r="C39" s="177">
        <f>sumifs(Calculation!$AF$4:$AF994,Calculation!$D$4:$D994,B39,Calculation!$AA$4:$AA994,$B$26)</f>
        <v>0</v>
      </c>
      <c r="D39" s="177">
        <f>C39/16</f>
        <v>0</v>
      </c>
      <c r="E39" s="177">
        <f>C39/27</f>
        <v>0</v>
      </c>
      <c r="G39" s="169" t="s">
        <v>172</v>
      </c>
      <c r="H39" s="208">
        <f>sumifs(Calculation!$AF$4:$AF994,Calculation!$D$4:$D994,G39,Calculation!$AA$4:$AA994,$G$26)</f>
        <v>0</v>
      </c>
      <c r="I39" s="208">
        <f>H39/16</f>
        <v>0</v>
      </c>
      <c r="J39" s="208">
        <f>H39/27</f>
        <v>0</v>
      </c>
      <c r="K39" s="13"/>
      <c r="L39" s="169" t="s">
        <v>172</v>
      </c>
      <c r="M39" s="208">
        <f>sumifs(Calculation!$AF$4:$AF994,Calculation!$D$4:$D994,L39,Calculation!$AA$4:$AA994,$L$26)</f>
        <v>0</v>
      </c>
      <c r="N39" s="208">
        <f>M39/16</f>
        <v>0</v>
      </c>
      <c r="O39" s="208">
        <f>M39/27</f>
        <v>0</v>
      </c>
      <c r="Q39" s="169" t="s">
        <v>172</v>
      </c>
      <c r="R39" s="208">
        <f>sumifs(Calculation!$AF$4:$AF994,Calculation!$D$4:$D994,Q39,Calculation!$AA$4:$AA994,$Q$26)</f>
        <v>0</v>
      </c>
      <c r="S39" s="208">
        <f>R39/16</f>
        <v>0</v>
      </c>
      <c r="T39" s="208">
        <f>R39/27</f>
        <v>0</v>
      </c>
    </row>
    <row r="40" ht="12.75" customHeight="1">
      <c r="B40" s="119" t="s">
        <v>173</v>
      </c>
      <c r="C40" s="177">
        <f>sumifs(Calculation!$AF$4:$AF994,Calculation!$D$4:$D994,B40,Calculation!$AA$4:$AA994,$B$26)</f>
        <v>0</v>
      </c>
      <c r="D40" s="177">
        <f>C40/22</f>
        <v>0</v>
      </c>
      <c r="E40" s="177">
        <f t="shared" ref="E40:E41" si="52">C40/35</f>
        <v>0</v>
      </c>
      <c r="G40" s="169" t="s">
        <v>173</v>
      </c>
      <c r="H40" s="208">
        <f>sumifs(Calculation!$AF$4:$AF994,Calculation!$D$4:$D994,G40,Calculation!$AA$4:$AA994,$G$26)</f>
        <v>0</v>
      </c>
      <c r="I40" s="208">
        <f>H40/22</f>
        <v>0</v>
      </c>
      <c r="J40" s="208">
        <f t="shared" ref="J40:J41" si="53">H40/35</f>
        <v>0</v>
      </c>
      <c r="K40" s="13"/>
      <c r="L40" s="169" t="s">
        <v>173</v>
      </c>
      <c r="M40" s="208">
        <f>sumifs(Calculation!$AF$4:$AF994,Calculation!$D$4:$D994,L40,Calculation!$AA$4:$AA994,$L$26)</f>
        <v>0</v>
      </c>
      <c r="N40" s="208">
        <f>M40/22</f>
        <v>0</v>
      </c>
      <c r="O40" s="208">
        <f t="shared" ref="O40:O41" si="54">M40/35</f>
        <v>0</v>
      </c>
      <c r="Q40" s="169" t="s">
        <v>173</v>
      </c>
      <c r="R40" s="208">
        <f>sumifs(Calculation!$AF$4:$AF994,Calculation!$D$4:$D994,Q40,Calculation!$AA$4:$AA994,$Q$26)</f>
        <v>0</v>
      </c>
      <c r="S40" s="208">
        <f>R40/22</f>
        <v>0</v>
      </c>
      <c r="T40" s="208">
        <f t="shared" ref="T40:T41" si="55">R40/35</f>
        <v>0</v>
      </c>
    </row>
    <row r="41" ht="12.75" customHeight="1">
      <c r="B41" s="97" t="s">
        <v>175</v>
      </c>
      <c r="C41" s="177">
        <f>sumifs(Calculation!$AF$4:$AF994,Calculation!$D$4:$D994,B41,Calculation!$AA$4:$AA994,$B$26)</f>
        <v>0</v>
      </c>
      <c r="D41" s="177">
        <f>C41/20</f>
        <v>0</v>
      </c>
      <c r="E41" s="177">
        <f t="shared" si="52"/>
        <v>0</v>
      </c>
      <c r="G41" s="209" t="s">
        <v>175</v>
      </c>
      <c r="H41" s="208">
        <f>sumifs(Calculation!$AF$4:$AF994,Calculation!$D$4:$D994,G41,Calculation!$AA$4:$AA994,$G$26)</f>
        <v>0</v>
      </c>
      <c r="I41" s="208">
        <f>H41/20</f>
        <v>0</v>
      </c>
      <c r="J41" s="208">
        <f t="shared" si="53"/>
        <v>0</v>
      </c>
      <c r="K41" s="13"/>
      <c r="L41" s="209" t="s">
        <v>175</v>
      </c>
      <c r="M41" s="208">
        <f>sumifs(Calculation!$AF$4:$AF994,Calculation!$D$4:$D994,L41,Calculation!$AA$4:$AA994,$L$26)</f>
        <v>0</v>
      </c>
      <c r="N41" s="208">
        <f>M41/20</f>
        <v>0</v>
      </c>
      <c r="O41" s="208">
        <f t="shared" si="54"/>
        <v>0</v>
      </c>
      <c r="Q41" s="209" t="s">
        <v>175</v>
      </c>
      <c r="R41" s="208">
        <f>sumifs(Calculation!$AF$4:$AF994,Calculation!$D$4:$D994,Q41,Calculation!$AA$4:$AA994,$Q$26)</f>
        <v>0</v>
      </c>
      <c r="S41" s="208">
        <f>R41/20</f>
        <v>0</v>
      </c>
      <c r="T41" s="208">
        <f t="shared" si="55"/>
        <v>0</v>
      </c>
    </row>
    <row r="42" ht="12.75" customHeight="1">
      <c r="B42" s="119" t="s">
        <v>176</v>
      </c>
      <c r="C42" s="177">
        <f>sumifs(Calculation!$G$4:$G994,Calculation!$D$4:$D994,B42,Calculation!$AA$4:$AA994,$B$26)</f>
        <v>22</v>
      </c>
      <c r="D42" s="177">
        <f>C42/84*3</f>
        <v>0.7857142857</v>
      </c>
      <c r="E42" s="177">
        <f>C42/126*3</f>
        <v>0.5238095238</v>
      </c>
      <c r="G42" s="169" t="s">
        <v>176</v>
      </c>
      <c r="H42" s="208">
        <f>sumifs(Calculation!$G$4:$G994,Calculation!$D$4:$D994,G42,Calculation!$AA$4:$AA994,$G$26)</f>
        <v>10</v>
      </c>
      <c r="I42" s="208">
        <f>H42/84*3</f>
        <v>0.3571428571</v>
      </c>
      <c r="J42" s="208">
        <f>H42/126*3</f>
        <v>0.2380952381</v>
      </c>
      <c r="K42" s="13"/>
      <c r="L42" s="169" t="s">
        <v>176</v>
      </c>
      <c r="M42" s="208">
        <f>sumifs(Calculation!$AF$4:$AF994,Calculation!$D$4:$D994,L42,Calculation!$AA$4:$AA994,$L$26)</f>
        <v>42</v>
      </c>
      <c r="N42" s="208">
        <f>M42/84*3</f>
        <v>1.5</v>
      </c>
      <c r="O42" s="208">
        <f>M42/126*3</f>
        <v>1</v>
      </c>
      <c r="Q42" s="169" t="s">
        <v>176</v>
      </c>
      <c r="R42" s="208">
        <f>sumifs(Calculation!$AF$4:$AF994,Calculation!$D$4:$D994,Q42,Calculation!$AA$4:$AA994,$Q$26)</f>
        <v>28</v>
      </c>
      <c r="S42" s="208">
        <f>R42/84*3</f>
        <v>1</v>
      </c>
      <c r="T42" s="208">
        <f>R42/126*3</f>
        <v>0.6666666667</v>
      </c>
    </row>
    <row r="43" ht="12.75" customHeight="1">
      <c r="B43" s="119" t="s">
        <v>177</v>
      </c>
      <c r="C43" s="177">
        <f>sumifs(Calculation!$G$4:$G994,Calculation!$D$4:$D994,B43,Calculation!$AA$4:$AA994,$B$26)</f>
        <v>4</v>
      </c>
      <c r="D43" s="177">
        <f>C43/15</f>
        <v>0.2666666667</v>
      </c>
      <c r="E43" s="177">
        <f>C43/18</f>
        <v>0.2222222222</v>
      </c>
      <c r="G43" s="169" t="s">
        <v>177</v>
      </c>
      <c r="H43" s="208">
        <f>sumifs(Calculation!$G$4:$G994,Calculation!$D$4:$D994,G43,Calculation!$AA$4:$AA994,$G$26)</f>
        <v>24</v>
      </c>
      <c r="I43" s="208">
        <f>H43/15</f>
        <v>1.6</v>
      </c>
      <c r="J43" s="208">
        <f>H43/18</f>
        <v>1.333333333</v>
      </c>
      <c r="K43" s="13"/>
      <c r="L43" s="169" t="s">
        <v>177</v>
      </c>
      <c r="M43" s="208">
        <f>sumifs(Calculation!$AF$4:$AF994,Calculation!$D$4:$D994,L43,Calculation!$AA$4:$AA994,$L$26)</f>
        <v>0</v>
      </c>
      <c r="N43" s="208">
        <f>M43/15</f>
        <v>0</v>
      </c>
      <c r="O43" s="208">
        <f>M43/18</f>
        <v>0</v>
      </c>
      <c r="Q43" s="169" t="s">
        <v>177</v>
      </c>
      <c r="R43" s="208">
        <f>sumifs(Calculation!$AF$4:$AF994,Calculation!$D$4:$D994,Q43,Calculation!$AA$4:$AA994,$Q$26)</f>
        <v>4</v>
      </c>
      <c r="S43" s="208">
        <f>R43/15</f>
        <v>0.2666666667</v>
      </c>
      <c r="T43" s="208">
        <f>R43/18</f>
        <v>0.2222222222</v>
      </c>
    </row>
    <row r="44" ht="12.75" customHeight="1">
      <c r="B44" s="119" t="s">
        <v>178</v>
      </c>
      <c r="C44" s="177">
        <f>sumifs(Calculation!$G$4:$G994,Calculation!$D$4:$D994,B44,Calculation!$AA$4:$AA994,$B$26)</f>
        <v>2</v>
      </c>
      <c r="D44" s="177">
        <f>C44/20*12</f>
        <v>1.2</v>
      </c>
      <c r="E44" s="177">
        <f>C44/30*12</f>
        <v>0.8</v>
      </c>
      <c r="G44" s="169" t="s">
        <v>178</v>
      </c>
      <c r="H44" s="208">
        <f>sumifs(Calculation!$G$4:$G994,Calculation!$D$4:$D994,G44,Calculation!$AA$4:$AA994,$G$26)</f>
        <v>10</v>
      </c>
      <c r="I44" s="208">
        <f>H44/20*12</f>
        <v>6</v>
      </c>
      <c r="J44" s="208">
        <f>H44/30*12</f>
        <v>4</v>
      </c>
      <c r="K44" s="13"/>
      <c r="L44" s="169" t="s">
        <v>178</v>
      </c>
      <c r="M44" s="208">
        <f>sumifs(Calculation!$AF$4:$AF994,Calculation!$D$4:$D994,L44,Calculation!$AA$4:$AA994,$L$26)</f>
        <v>10</v>
      </c>
      <c r="N44" s="208">
        <f>M44/20*12</f>
        <v>6</v>
      </c>
      <c r="O44" s="208">
        <f>M44/30*12</f>
        <v>4</v>
      </c>
      <c r="Q44" s="169" t="s">
        <v>178</v>
      </c>
      <c r="R44" s="208">
        <f>sumifs(Calculation!$AF$4:$AF994,Calculation!$D$4:$D994,Q44,Calculation!$AA$4:$AA994,$Q$26)</f>
        <v>8</v>
      </c>
      <c r="S44" s="208">
        <f>R44/20*12</f>
        <v>4.8</v>
      </c>
      <c r="T44" s="208">
        <f>R44/30*12</f>
        <v>3.2</v>
      </c>
    </row>
    <row r="45" ht="12.75" customHeight="1">
      <c r="B45" s="97" t="s">
        <v>179</v>
      </c>
      <c r="C45" s="177">
        <f>sumifs(Calculation!$G$4:$G994,Calculation!$D$4:$D994,B45,Calculation!$AA$4:$AA994,$B$26)</f>
        <v>4</v>
      </c>
      <c r="D45" s="177">
        <f>C45/45</f>
        <v>0.08888888889</v>
      </c>
      <c r="E45" s="177">
        <f>C45/70*2</f>
        <v>0.1142857143</v>
      </c>
      <c r="G45" s="207" t="s">
        <v>179</v>
      </c>
      <c r="H45" s="208">
        <f>sumifs(Calculation!$G$4:$G994,Calculation!$D$4:$D994,G45,Calculation!$AA$4:$AA994,$G$26)</f>
        <v>8</v>
      </c>
      <c r="I45" s="208">
        <f>H45/45</f>
        <v>0.1777777778</v>
      </c>
      <c r="J45" s="208">
        <f>H45/70</f>
        <v>0.1142857143</v>
      </c>
      <c r="K45" s="13"/>
      <c r="L45" s="207" t="s">
        <v>179</v>
      </c>
      <c r="M45" s="208">
        <f>sumifs(Calculation!$G$4:$G994,Calculation!$D$4:$D994,L45,Calculation!$AA$4:$AA994,$L$26)</f>
        <v>0</v>
      </c>
      <c r="N45" s="208">
        <f>M45/45</f>
        <v>0</v>
      </c>
      <c r="O45" s="208">
        <f>M45/70</f>
        <v>0</v>
      </c>
      <c r="Q45" s="207" t="s">
        <v>179</v>
      </c>
      <c r="R45" s="208">
        <f>sumifs(Calculation!$G$4:$G994,Calculation!$D$4:$D994,Q45,Calculation!$AA$4:$AA994,$Q$26)</f>
        <v>2</v>
      </c>
      <c r="S45" s="208">
        <f>R45/45</f>
        <v>0.04444444444</v>
      </c>
      <c r="T45" s="208">
        <f>R45/70</f>
        <v>0.02857142857</v>
      </c>
    </row>
    <row r="46" ht="12.75" customHeight="1">
      <c r="A46" s="26"/>
      <c r="B46" s="97"/>
      <c r="C46" s="186">
        <f t="shared" ref="C46:E46" si="56">SUM(C28:C45)</f>
        <v>348</v>
      </c>
      <c r="D46" s="187">
        <f t="shared" si="56"/>
        <v>8.088975469</v>
      </c>
      <c r="E46" s="188">
        <f t="shared" si="56"/>
        <v>5.566235106</v>
      </c>
      <c r="G46" s="208"/>
      <c r="H46" s="210">
        <f t="shared" ref="H46:J46" si="57">SUM(H28:H45)</f>
        <v>444</v>
      </c>
      <c r="I46" s="211">
        <f t="shared" si="57"/>
        <v>15.24976912</v>
      </c>
      <c r="J46" s="212">
        <f t="shared" si="57"/>
        <v>10.56947834</v>
      </c>
      <c r="K46" s="12"/>
      <c r="L46" s="208"/>
      <c r="M46" s="210">
        <f t="shared" ref="M46:O46" si="58">SUM(M28:M45)</f>
        <v>358</v>
      </c>
      <c r="N46" s="211">
        <f t="shared" si="58"/>
        <v>13.03047619</v>
      </c>
      <c r="O46" s="212">
        <f t="shared" si="58"/>
        <v>8.769000253</v>
      </c>
      <c r="P46" s="26"/>
      <c r="Q46" s="208"/>
      <c r="R46" s="210">
        <f t="shared" ref="R46:T46" si="59">SUM(R28:R45)</f>
        <v>232</v>
      </c>
      <c r="S46" s="211">
        <f t="shared" si="59"/>
        <v>9.864920635</v>
      </c>
      <c r="T46" s="212">
        <f t="shared" si="59"/>
        <v>6.823927414</v>
      </c>
      <c r="U46" s="26"/>
      <c r="V46" s="26"/>
      <c r="W46" s="26"/>
      <c r="X46" s="26"/>
      <c r="Y46" s="26"/>
      <c r="Z46" s="26"/>
    </row>
    <row r="47" ht="18.0" customHeight="1">
      <c r="A47" s="26"/>
      <c r="B47" s="97"/>
      <c r="C47" s="177"/>
      <c r="D47" s="194">
        <f t="shared" ref="D47:E47" si="60">ROUND(D46,0)</f>
        <v>8</v>
      </c>
      <c r="E47" s="195">
        <f t="shared" si="60"/>
        <v>6</v>
      </c>
      <c r="G47" s="208"/>
      <c r="H47" s="208"/>
      <c r="I47" s="213">
        <f t="shared" ref="I47:J47" si="61">ROUND(I46,0)</f>
        <v>15</v>
      </c>
      <c r="J47" s="214">
        <f t="shared" si="61"/>
        <v>11</v>
      </c>
      <c r="K47" s="12"/>
      <c r="L47" s="208"/>
      <c r="M47" s="208"/>
      <c r="N47" s="213">
        <f t="shared" ref="N47:O47" si="62">ROUND(N46,0)</f>
        <v>13</v>
      </c>
      <c r="O47" s="214">
        <f t="shared" si="62"/>
        <v>9</v>
      </c>
      <c r="P47" s="26"/>
      <c r="Q47" s="208"/>
      <c r="R47" s="208"/>
      <c r="S47" s="213">
        <f t="shared" ref="S47:T47" si="63">ROUND(S46,0)</f>
        <v>10</v>
      </c>
      <c r="T47" s="214">
        <f t="shared" si="63"/>
        <v>7</v>
      </c>
      <c r="U47" s="26"/>
      <c r="V47" s="26"/>
      <c r="W47" s="26"/>
      <c r="X47" s="26"/>
      <c r="Y47" s="26"/>
      <c r="Z47" s="26"/>
    </row>
    <row r="48" ht="12.75" customHeight="1">
      <c r="B48" s="202" t="s">
        <v>180</v>
      </c>
      <c r="C48" s="203"/>
      <c r="D48" s="204">
        <f>sumif(Calculation!$AA$4:$AA994,B26,Calculation!$Q$4:$Q994)*1/1000/D47</f>
        <v>6.088</v>
      </c>
      <c r="E48" s="204">
        <f>sumif(Calculation!$AA$4:$AA994,B26,Calculation!$Q$4:$Q994)*1/1000/E47</f>
        <v>8.117333333</v>
      </c>
      <c r="G48" s="215" t="s">
        <v>180</v>
      </c>
      <c r="H48" s="208"/>
      <c r="I48" s="212">
        <f>sumif(Calculation!$AA$4:$AA994,G26,Calculation!$Q$4:$Q994)*1/1000/I47</f>
        <v>4.898133333</v>
      </c>
      <c r="J48" s="212">
        <f>sumif(Calculation!$AA$4:$AA994,G26,Calculation!$Q$4:$Q994)*1/1000/J47</f>
        <v>6.679272727</v>
      </c>
      <c r="K48" s="13"/>
      <c r="L48" s="215" t="s">
        <v>180</v>
      </c>
      <c r="M48" s="208"/>
      <c r="N48" s="212">
        <f>sumif(Calculation!$AA$4:$AA994,L26,Calculation!$Q$4:$Q994)*1/1000/N47</f>
        <v>4.709846154</v>
      </c>
      <c r="O48" s="212">
        <f>sumif(Calculation!$AA$4:$AA994,L26,Calculation!$Q$4:$Q994)*1/1000/O47</f>
        <v>6.803111111</v>
      </c>
      <c r="Q48" s="215" t="s">
        <v>180</v>
      </c>
      <c r="R48" s="208"/>
      <c r="S48" s="212">
        <f>sumif(Calculation!$AA$4:$AA994,Q26,Calculation!$Q$4:$Q994)*1/1000/S47</f>
        <v>4.224</v>
      </c>
      <c r="T48" s="212">
        <f>sumif(Calculation!$AA$4:$AA994,Q26,Calculation!$Q$4:$Q994)*1/1000/T47</f>
        <v>6.034285714</v>
      </c>
    </row>
    <row r="49" ht="12.75" customHeight="1">
      <c r="B49" s="216"/>
      <c r="C49" s="26"/>
      <c r="D49" s="26"/>
      <c r="E49" s="26"/>
      <c r="F49" s="13"/>
      <c r="H49" s="26"/>
      <c r="I49" s="26"/>
      <c r="J49" s="26"/>
    </row>
    <row r="50" ht="12.75" customHeight="1">
      <c r="C50" s="26"/>
      <c r="D50" s="26"/>
      <c r="E50" s="26"/>
      <c r="F50" s="13"/>
      <c r="H50" s="26"/>
      <c r="I50" s="26"/>
      <c r="J50" s="26"/>
    </row>
    <row r="51" ht="12.75" customHeight="1">
      <c r="B51" s="216"/>
      <c r="C51" s="26"/>
      <c r="D51" s="26"/>
      <c r="E51" s="26"/>
      <c r="F51" s="13"/>
      <c r="G51" s="217" t="s">
        <v>183</v>
      </c>
      <c r="H51" s="26"/>
      <c r="I51" s="4"/>
      <c r="J51" s="26"/>
    </row>
    <row r="52" ht="12.75" customHeight="1">
      <c r="B52" s="218" t="s">
        <v>184</v>
      </c>
      <c r="C52" s="219">
        <f>C22+M22+H22+H46+C46+M46+R46+R22+W22</f>
        <v>2606</v>
      </c>
      <c r="D52" s="26"/>
      <c r="E52" s="26"/>
      <c r="F52" s="13"/>
      <c r="G52" s="220" t="s">
        <v>185</v>
      </c>
      <c r="H52" s="222">
        <f>sum(O23,J47,E23,J23,O47,T47,E47,T23,Y23)</f>
        <v>54</v>
      </c>
      <c r="I52" s="26"/>
      <c r="J52" s="26"/>
    </row>
    <row r="53" ht="12.75" customHeight="1">
      <c r="C53" s="26"/>
      <c r="D53" s="26"/>
      <c r="E53" s="26"/>
      <c r="F53" s="13"/>
      <c r="H53" s="26"/>
      <c r="I53" s="26"/>
      <c r="J53" s="26"/>
    </row>
    <row r="54" ht="12.75" customHeight="1">
      <c r="C54" s="26"/>
      <c r="D54" s="26"/>
      <c r="E54" s="26"/>
      <c r="F54" s="13"/>
      <c r="G54" s="223" t="s">
        <v>186</v>
      </c>
      <c r="H54" s="26"/>
      <c r="I54" s="26"/>
      <c r="J54" s="26"/>
    </row>
    <row r="55" ht="19.5" customHeight="1">
      <c r="C55" s="26"/>
      <c r="D55" s="26"/>
      <c r="E55" s="26"/>
      <c r="F55" s="13"/>
      <c r="G55" s="224" t="s">
        <v>185</v>
      </c>
      <c r="H55" s="225">
        <f>sum(N23,I47,D23,I23,N47,S47,D47)</f>
        <v>77</v>
      </c>
      <c r="I55" s="26"/>
      <c r="J55" s="26"/>
    </row>
    <row r="56" ht="12.75" customHeight="1">
      <c r="C56" s="26"/>
      <c r="D56" s="26"/>
      <c r="E56" s="26"/>
      <c r="F56" s="13"/>
      <c r="H56" s="26"/>
      <c r="I56" s="26"/>
      <c r="J56" s="26"/>
    </row>
    <row r="57" ht="12.75" customHeight="1">
      <c r="C57" s="26"/>
      <c r="D57" s="26"/>
      <c r="E57" s="26"/>
      <c r="F57" s="13"/>
      <c r="H57" s="26"/>
      <c r="I57" s="26"/>
      <c r="J57" s="26"/>
    </row>
    <row r="58" ht="12.75" customHeight="1">
      <c r="C58" s="26"/>
      <c r="D58" s="26"/>
      <c r="E58" s="26"/>
      <c r="F58" s="13"/>
      <c r="H58" s="26"/>
      <c r="I58" s="26"/>
      <c r="J58" s="26"/>
    </row>
    <row r="59" ht="12.75" customHeight="1">
      <c r="C59" s="26"/>
      <c r="D59" s="26"/>
      <c r="E59" s="26"/>
      <c r="F59" s="13"/>
      <c r="H59" s="26"/>
      <c r="I59" s="26"/>
      <c r="J59" s="26"/>
    </row>
    <row r="60" ht="12.75" customHeight="1">
      <c r="C60" s="26"/>
      <c r="D60" s="26"/>
      <c r="E60" s="26"/>
      <c r="F60" s="13"/>
      <c r="H60" s="26"/>
      <c r="I60" s="26"/>
      <c r="J60" s="26"/>
    </row>
    <row r="61" ht="12.75" customHeight="1">
      <c r="C61" s="26"/>
      <c r="D61" s="26"/>
      <c r="E61" s="26"/>
      <c r="F61" s="13"/>
      <c r="H61" s="26"/>
      <c r="I61" s="26"/>
      <c r="J61" s="26"/>
    </row>
    <row r="62" ht="12.75" customHeight="1">
      <c r="C62" s="26"/>
      <c r="D62" s="26"/>
      <c r="E62" s="26"/>
      <c r="F62" s="13"/>
      <c r="H62" s="26"/>
      <c r="I62" s="26"/>
      <c r="J62" s="26"/>
    </row>
    <row r="63" ht="12.75" customHeight="1">
      <c r="C63" s="26"/>
      <c r="D63" s="26"/>
      <c r="E63" s="26"/>
      <c r="F63" s="13"/>
      <c r="H63" s="26"/>
      <c r="I63" s="26"/>
      <c r="J63" s="26"/>
    </row>
    <row r="64" ht="12.75" customHeight="1">
      <c r="C64" s="26"/>
      <c r="D64" s="26"/>
      <c r="E64" s="26"/>
      <c r="F64" s="13"/>
      <c r="H64" s="26"/>
      <c r="I64" s="26"/>
      <c r="J64" s="26"/>
    </row>
    <row r="65" ht="12.75" customHeight="1">
      <c r="C65" s="26"/>
      <c r="D65" s="26"/>
      <c r="E65" s="26"/>
      <c r="H65" s="26"/>
      <c r="I65" s="26"/>
      <c r="J65" s="26"/>
    </row>
    <row r="66" ht="12.75" customHeight="1">
      <c r="C66" s="26"/>
      <c r="D66" s="26"/>
      <c r="E66" s="26"/>
      <c r="H66" s="26"/>
      <c r="I66" s="26"/>
      <c r="J66" s="26"/>
    </row>
    <row r="67" ht="12.75" customHeight="1">
      <c r="C67" s="26"/>
      <c r="D67" s="26"/>
      <c r="E67" s="26"/>
      <c r="H67" s="26"/>
      <c r="I67" s="26"/>
      <c r="J67" s="26"/>
    </row>
    <row r="68" ht="12.75" customHeight="1">
      <c r="C68" s="26"/>
      <c r="D68" s="26"/>
      <c r="E68" s="26"/>
      <c r="H68" s="26"/>
      <c r="I68" s="26"/>
      <c r="J68" s="26"/>
    </row>
    <row r="69" ht="12.75" customHeight="1">
      <c r="C69" s="26"/>
      <c r="D69" s="26"/>
      <c r="E69" s="26"/>
      <c r="H69" s="26"/>
      <c r="I69" s="26"/>
      <c r="J69" s="26"/>
    </row>
    <row r="70" ht="12.75" customHeight="1">
      <c r="C70" s="26"/>
      <c r="D70" s="26"/>
      <c r="E70" s="26"/>
      <c r="H70" s="26"/>
      <c r="I70" s="26"/>
      <c r="J70" s="26"/>
    </row>
    <row r="71" ht="12.75" customHeight="1">
      <c r="C71" s="26"/>
      <c r="D71" s="26"/>
      <c r="E71" s="26"/>
      <c r="H71" s="26"/>
      <c r="I71" s="26"/>
      <c r="J71" s="26"/>
    </row>
    <row r="72" ht="12.75" customHeight="1">
      <c r="C72" s="26"/>
      <c r="D72" s="26"/>
      <c r="E72" s="26"/>
      <c r="H72" s="26"/>
      <c r="I72" s="26"/>
      <c r="J72" s="26"/>
    </row>
    <row r="73" ht="12.75" customHeight="1">
      <c r="C73" s="26"/>
      <c r="D73" s="26"/>
      <c r="E73" s="26"/>
      <c r="H73" s="26"/>
      <c r="I73" s="26"/>
      <c r="J73" s="26"/>
    </row>
    <row r="74" ht="12.75" customHeight="1">
      <c r="C74" s="26"/>
      <c r="D74" s="26"/>
      <c r="E74" s="26"/>
      <c r="H74" s="26"/>
      <c r="I74" s="26"/>
      <c r="J74" s="26"/>
    </row>
    <row r="75" ht="12.75" customHeight="1">
      <c r="C75" s="26"/>
      <c r="D75" s="26"/>
      <c r="E75" s="26"/>
      <c r="H75" s="26"/>
      <c r="I75" s="26"/>
      <c r="J75" s="26"/>
    </row>
    <row r="76" ht="12.75" customHeight="1">
      <c r="C76" s="26"/>
      <c r="D76" s="26"/>
      <c r="E76" s="26"/>
      <c r="H76" s="26"/>
      <c r="I76" s="26"/>
      <c r="J76" s="26"/>
    </row>
    <row r="77" ht="12.75" customHeight="1">
      <c r="C77" s="26"/>
      <c r="D77" s="26"/>
      <c r="E77" s="26"/>
      <c r="H77" s="26"/>
      <c r="I77" s="26"/>
      <c r="J77" s="26"/>
    </row>
    <row r="78" ht="12.75" customHeight="1">
      <c r="C78" s="26"/>
      <c r="D78" s="26"/>
      <c r="E78" s="26"/>
      <c r="H78" s="26"/>
      <c r="I78" s="26"/>
      <c r="J78" s="26"/>
    </row>
    <row r="79" ht="12.75" customHeight="1">
      <c r="C79" s="26"/>
      <c r="D79" s="26"/>
      <c r="E79" s="26"/>
      <c r="H79" s="26"/>
      <c r="I79" s="26"/>
      <c r="J79" s="26"/>
    </row>
    <row r="80" ht="12.75" customHeight="1">
      <c r="C80" s="26"/>
      <c r="D80" s="26"/>
      <c r="E80" s="26"/>
      <c r="H80" s="26"/>
      <c r="I80" s="26"/>
      <c r="J80" s="26"/>
    </row>
    <row r="81" ht="12.75" customHeight="1">
      <c r="C81" s="26"/>
      <c r="D81" s="26"/>
      <c r="E81" s="26"/>
      <c r="H81" s="26"/>
      <c r="I81" s="26"/>
      <c r="J81" s="26"/>
    </row>
    <row r="82" ht="12.75" customHeight="1">
      <c r="C82" s="26"/>
      <c r="D82" s="26"/>
      <c r="E82" s="26"/>
      <c r="H82" s="26"/>
      <c r="I82" s="26"/>
      <c r="J82" s="26"/>
    </row>
    <row r="83" ht="12.75" customHeight="1">
      <c r="C83" s="26"/>
      <c r="D83" s="26"/>
      <c r="E83" s="26"/>
      <c r="H83" s="26"/>
      <c r="I83" s="26"/>
      <c r="J83" s="26"/>
    </row>
    <row r="84" ht="12.75" customHeight="1">
      <c r="C84" s="26"/>
      <c r="D84" s="26"/>
      <c r="E84" s="26"/>
      <c r="H84" s="26"/>
      <c r="I84" s="26"/>
      <c r="J84" s="26"/>
    </row>
    <row r="85" ht="12.75" customHeight="1">
      <c r="C85" s="26"/>
      <c r="D85" s="26"/>
      <c r="E85" s="26"/>
      <c r="H85" s="26"/>
      <c r="I85" s="26"/>
      <c r="J85" s="26"/>
    </row>
    <row r="86" ht="12.75" customHeight="1">
      <c r="C86" s="26"/>
      <c r="D86" s="26"/>
      <c r="E86" s="26"/>
      <c r="H86" s="26"/>
      <c r="I86" s="26"/>
      <c r="J86" s="26"/>
    </row>
    <row r="87" ht="12.75" customHeight="1">
      <c r="C87" s="26"/>
      <c r="D87" s="26"/>
      <c r="E87" s="26"/>
      <c r="H87" s="26"/>
      <c r="I87" s="26"/>
      <c r="J87" s="26"/>
    </row>
    <row r="88" ht="12.75" customHeight="1">
      <c r="C88" s="26"/>
      <c r="D88" s="26"/>
      <c r="E88" s="26"/>
      <c r="H88" s="26"/>
      <c r="I88" s="26"/>
      <c r="J88" s="26"/>
    </row>
    <row r="89" ht="12.75" customHeight="1">
      <c r="C89" s="26"/>
      <c r="D89" s="26"/>
      <c r="E89" s="26"/>
      <c r="H89" s="26"/>
      <c r="I89" s="26"/>
      <c r="J89" s="26"/>
    </row>
    <row r="90" ht="12.75" customHeight="1">
      <c r="C90" s="26"/>
      <c r="D90" s="26"/>
      <c r="E90" s="26"/>
      <c r="H90" s="26"/>
      <c r="I90" s="26"/>
      <c r="J90" s="26"/>
    </row>
    <row r="91" ht="12.75" customHeight="1">
      <c r="C91" s="26"/>
      <c r="D91" s="26"/>
      <c r="E91" s="26"/>
      <c r="H91" s="26"/>
      <c r="I91" s="26"/>
      <c r="J91" s="26"/>
    </row>
    <row r="92" ht="12.75" customHeight="1">
      <c r="C92" s="26"/>
      <c r="D92" s="26"/>
      <c r="E92" s="26"/>
      <c r="H92" s="26"/>
      <c r="I92" s="26"/>
      <c r="J92" s="26"/>
    </row>
    <row r="93" ht="12.75" customHeight="1">
      <c r="C93" s="26"/>
      <c r="D93" s="26"/>
      <c r="E93" s="26"/>
      <c r="H93" s="26"/>
      <c r="I93" s="26"/>
      <c r="J93" s="26"/>
    </row>
    <row r="94" ht="12.75" customHeight="1">
      <c r="C94" s="26"/>
      <c r="D94" s="26"/>
      <c r="E94" s="26"/>
      <c r="H94" s="26"/>
      <c r="I94" s="26"/>
      <c r="J94" s="26"/>
    </row>
    <row r="95" ht="12.75" customHeight="1">
      <c r="C95" s="26"/>
      <c r="D95" s="26"/>
      <c r="E95" s="26"/>
      <c r="H95" s="26"/>
      <c r="I95" s="26"/>
      <c r="J95" s="26"/>
    </row>
    <row r="96" ht="12.75" customHeight="1">
      <c r="C96" s="26"/>
      <c r="D96" s="26"/>
      <c r="E96" s="26"/>
      <c r="H96" s="26"/>
      <c r="I96" s="26"/>
      <c r="J96" s="26"/>
    </row>
    <row r="97" ht="12.75" customHeight="1">
      <c r="C97" s="26"/>
      <c r="D97" s="26"/>
      <c r="E97" s="26"/>
      <c r="H97" s="26"/>
      <c r="I97" s="26"/>
      <c r="J97" s="26"/>
    </row>
    <row r="98" ht="12.75" customHeight="1">
      <c r="C98" s="26"/>
      <c r="D98" s="26"/>
      <c r="E98" s="26"/>
      <c r="H98" s="26"/>
      <c r="I98" s="26"/>
      <c r="J98" s="26"/>
    </row>
    <row r="99" ht="12.75" customHeight="1">
      <c r="C99" s="26"/>
      <c r="D99" s="26"/>
      <c r="E99" s="26"/>
      <c r="H99" s="26"/>
      <c r="I99" s="26"/>
      <c r="J99" s="26"/>
    </row>
    <row r="100" ht="12.75" customHeight="1">
      <c r="C100" s="26"/>
      <c r="D100" s="26"/>
      <c r="E100" s="26"/>
      <c r="H100" s="26"/>
      <c r="I100" s="26"/>
      <c r="J100" s="26"/>
    </row>
    <row r="101" ht="12.75" customHeight="1">
      <c r="C101" s="26"/>
      <c r="D101" s="26"/>
      <c r="E101" s="26"/>
      <c r="H101" s="26"/>
      <c r="I101" s="26"/>
      <c r="J101" s="26"/>
    </row>
    <row r="102" ht="12.75" customHeight="1">
      <c r="C102" s="26"/>
      <c r="D102" s="26"/>
      <c r="E102" s="26"/>
      <c r="H102" s="26"/>
      <c r="I102" s="26"/>
      <c r="J102" s="26"/>
    </row>
    <row r="103" ht="12.75" customHeight="1">
      <c r="C103" s="26"/>
      <c r="D103" s="26"/>
      <c r="E103" s="26"/>
      <c r="H103" s="26"/>
      <c r="I103" s="26"/>
      <c r="J103" s="26"/>
    </row>
    <row r="104" ht="12.75" customHeight="1">
      <c r="C104" s="26"/>
      <c r="D104" s="26"/>
      <c r="E104" s="26"/>
      <c r="H104" s="26"/>
      <c r="I104" s="26"/>
      <c r="J104" s="26"/>
    </row>
    <row r="105" ht="12.75" customHeight="1">
      <c r="C105" s="26"/>
      <c r="D105" s="26"/>
      <c r="E105" s="26"/>
      <c r="H105" s="26"/>
      <c r="I105" s="26"/>
      <c r="J105" s="26"/>
    </row>
    <row r="106" ht="12.75" customHeight="1">
      <c r="C106" s="26"/>
      <c r="D106" s="26"/>
      <c r="E106" s="26"/>
      <c r="H106" s="26"/>
      <c r="I106" s="26"/>
      <c r="J106" s="26"/>
    </row>
    <row r="107" ht="12.75" customHeight="1">
      <c r="C107" s="26"/>
      <c r="D107" s="26"/>
      <c r="E107" s="26"/>
      <c r="H107" s="26"/>
      <c r="I107" s="26"/>
      <c r="J107" s="26"/>
    </row>
    <row r="108" ht="12.75" customHeight="1">
      <c r="C108" s="26"/>
      <c r="D108" s="26"/>
      <c r="E108" s="26"/>
      <c r="H108" s="26"/>
      <c r="I108" s="26"/>
      <c r="J108" s="26"/>
    </row>
    <row r="109" ht="12.75" customHeight="1">
      <c r="C109" s="26"/>
      <c r="D109" s="26"/>
      <c r="E109" s="26"/>
      <c r="H109" s="26"/>
      <c r="I109" s="26"/>
      <c r="J109" s="26"/>
    </row>
    <row r="110" ht="12.75" customHeight="1">
      <c r="C110" s="26"/>
      <c r="D110" s="26"/>
      <c r="E110" s="26"/>
      <c r="H110" s="26"/>
      <c r="I110" s="26"/>
      <c r="J110" s="26"/>
    </row>
    <row r="111" ht="12.75" customHeight="1">
      <c r="C111" s="26"/>
      <c r="D111" s="26"/>
      <c r="E111" s="26"/>
      <c r="H111" s="26"/>
      <c r="I111" s="26"/>
      <c r="J111" s="26"/>
    </row>
    <row r="112" ht="12.75" customHeight="1">
      <c r="C112" s="26"/>
      <c r="D112" s="26"/>
      <c r="E112" s="26"/>
      <c r="H112" s="26"/>
      <c r="I112" s="26"/>
      <c r="J112" s="26"/>
    </row>
    <row r="113" ht="12.75" customHeight="1">
      <c r="C113" s="26"/>
      <c r="D113" s="26"/>
      <c r="E113" s="26"/>
      <c r="H113" s="26"/>
      <c r="I113" s="26"/>
      <c r="J113" s="26"/>
    </row>
    <row r="114" ht="12.75" customHeight="1">
      <c r="C114" s="26"/>
      <c r="D114" s="26"/>
      <c r="E114" s="26"/>
      <c r="H114" s="26"/>
      <c r="I114" s="26"/>
      <c r="J114" s="26"/>
    </row>
    <row r="115" ht="12.75" customHeight="1">
      <c r="C115" s="26"/>
      <c r="D115" s="26"/>
      <c r="E115" s="26"/>
      <c r="H115" s="26"/>
      <c r="I115" s="26"/>
      <c r="J115" s="26"/>
    </row>
    <row r="116" ht="12.75" customHeight="1">
      <c r="C116" s="26"/>
      <c r="D116" s="26"/>
      <c r="E116" s="26"/>
      <c r="H116" s="26"/>
      <c r="I116" s="26"/>
      <c r="J116" s="26"/>
    </row>
    <row r="117" ht="12.75" customHeight="1">
      <c r="C117" s="26"/>
      <c r="D117" s="26"/>
      <c r="E117" s="26"/>
      <c r="H117" s="26"/>
      <c r="I117" s="26"/>
      <c r="J117" s="26"/>
    </row>
    <row r="118" ht="12.75" customHeight="1">
      <c r="C118" s="26"/>
      <c r="D118" s="26"/>
      <c r="E118" s="26"/>
      <c r="H118" s="26"/>
      <c r="I118" s="26"/>
      <c r="J118" s="26"/>
    </row>
    <row r="119" ht="12.75" customHeight="1">
      <c r="C119" s="26"/>
      <c r="D119" s="26"/>
      <c r="E119" s="26"/>
      <c r="H119" s="26"/>
      <c r="I119" s="26"/>
      <c r="J119" s="26"/>
    </row>
    <row r="120" ht="12.75" customHeight="1">
      <c r="C120" s="26"/>
      <c r="D120" s="26"/>
      <c r="E120" s="26"/>
      <c r="H120" s="26"/>
      <c r="I120" s="26"/>
      <c r="J120" s="26"/>
    </row>
    <row r="121" ht="12.75" customHeight="1">
      <c r="C121" s="26"/>
      <c r="D121" s="26"/>
      <c r="E121" s="26"/>
      <c r="H121" s="26"/>
      <c r="I121" s="26"/>
      <c r="J121" s="26"/>
    </row>
    <row r="122" ht="12.75" customHeight="1">
      <c r="C122" s="26"/>
      <c r="D122" s="26"/>
      <c r="E122" s="26"/>
      <c r="H122" s="26"/>
      <c r="I122" s="26"/>
      <c r="J122" s="26"/>
    </row>
    <row r="123" ht="12.75" customHeight="1">
      <c r="C123" s="26"/>
      <c r="D123" s="26"/>
      <c r="E123" s="26"/>
      <c r="H123" s="26"/>
      <c r="I123" s="26"/>
      <c r="J123" s="26"/>
    </row>
    <row r="124" ht="12.75" customHeight="1">
      <c r="C124" s="26"/>
      <c r="D124" s="26"/>
      <c r="E124" s="26"/>
      <c r="H124" s="26"/>
      <c r="I124" s="26"/>
      <c r="J124" s="26"/>
    </row>
    <row r="125" ht="12.75" customHeight="1">
      <c r="C125" s="26"/>
      <c r="D125" s="26"/>
      <c r="E125" s="26"/>
      <c r="H125" s="26"/>
      <c r="I125" s="26"/>
      <c r="J125" s="26"/>
    </row>
    <row r="126" ht="12.75" customHeight="1">
      <c r="C126" s="26"/>
      <c r="D126" s="26"/>
      <c r="E126" s="26"/>
      <c r="H126" s="26"/>
      <c r="I126" s="26"/>
      <c r="J126" s="26"/>
    </row>
    <row r="127" ht="12.75" customHeight="1">
      <c r="C127" s="26"/>
      <c r="D127" s="26"/>
      <c r="E127" s="26"/>
      <c r="H127" s="26"/>
      <c r="I127" s="26"/>
      <c r="J127" s="26"/>
    </row>
    <row r="128" ht="12.75" customHeight="1">
      <c r="C128" s="26"/>
      <c r="D128" s="26"/>
      <c r="E128" s="26"/>
      <c r="H128" s="26"/>
      <c r="I128" s="26"/>
      <c r="J128" s="26"/>
    </row>
    <row r="129" ht="12.75" customHeight="1">
      <c r="C129" s="26"/>
      <c r="D129" s="26"/>
      <c r="E129" s="26"/>
      <c r="H129" s="26"/>
      <c r="I129" s="26"/>
      <c r="J129" s="26"/>
    </row>
    <row r="130" ht="12.75" customHeight="1">
      <c r="C130" s="26"/>
      <c r="D130" s="26"/>
      <c r="E130" s="26"/>
      <c r="H130" s="26"/>
      <c r="I130" s="26"/>
      <c r="J130" s="26"/>
    </row>
    <row r="131" ht="12.75" customHeight="1">
      <c r="C131" s="26"/>
      <c r="D131" s="26"/>
      <c r="E131" s="26"/>
      <c r="H131" s="26"/>
      <c r="I131" s="26"/>
      <c r="J131" s="26"/>
    </row>
    <row r="132" ht="12.75" customHeight="1">
      <c r="C132" s="26"/>
      <c r="D132" s="26"/>
      <c r="E132" s="26"/>
      <c r="H132" s="26"/>
      <c r="I132" s="26"/>
      <c r="J132" s="26"/>
    </row>
    <row r="133" ht="12.75" customHeight="1">
      <c r="C133" s="26"/>
      <c r="D133" s="26"/>
      <c r="E133" s="26"/>
      <c r="H133" s="26"/>
      <c r="I133" s="26"/>
      <c r="J133" s="26"/>
    </row>
    <row r="134" ht="12.75" customHeight="1">
      <c r="C134" s="26"/>
      <c r="D134" s="26"/>
      <c r="E134" s="26"/>
      <c r="H134" s="26"/>
      <c r="I134" s="26"/>
      <c r="J134" s="26"/>
    </row>
    <row r="135" ht="12.75" customHeight="1">
      <c r="C135" s="26"/>
      <c r="D135" s="26"/>
      <c r="E135" s="26"/>
      <c r="H135" s="26"/>
      <c r="I135" s="26"/>
      <c r="J135" s="26"/>
    </row>
    <row r="136" ht="12.75" customHeight="1">
      <c r="C136" s="26"/>
      <c r="D136" s="26"/>
      <c r="E136" s="26"/>
      <c r="H136" s="26"/>
      <c r="I136" s="26"/>
      <c r="J136" s="26"/>
    </row>
    <row r="137" ht="12.75" customHeight="1">
      <c r="C137" s="26"/>
      <c r="D137" s="26"/>
      <c r="E137" s="26"/>
      <c r="H137" s="26"/>
      <c r="I137" s="26"/>
      <c r="J137" s="26"/>
    </row>
    <row r="138" ht="12.75" customHeight="1">
      <c r="C138" s="26"/>
      <c r="D138" s="26"/>
      <c r="E138" s="26"/>
      <c r="H138" s="26"/>
      <c r="I138" s="26"/>
      <c r="J138" s="26"/>
    </row>
    <row r="139" ht="12.75" customHeight="1">
      <c r="C139" s="26"/>
      <c r="D139" s="26"/>
      <c r="E139" s="26"/>
      <c r="H139" s="26"/>
      <c r="I139" s="26"/>
      <c r="J139" s="26"/>
    </row>
    <row r="140" ht="12.75" customHeight="1">
      <c r="C140" s="26"/>
      <c r="D140" s="26"/>
      <c r="E140" s="26"/>
      <c r="H140" s="26"/>
      <c r="I140" s="26"/>
      <c r="J140" s="26"/>
    </row>
    <row r="141" ht="12.75" customHeight="1">
      <c r="C141" s="26"/>
      <c r="D141" s="26"/>
      <c r="E141" s="26"/>
      <c r="H141" s="26"/>
      <c r="I141" s="26"/>
      <c r="J141" s="26"/>
    </row>
    <row r="142" ht="12.75" customHeight="1">
      <c r="C142" s="26"/>
      <c r="D142" s="26"/>
      <c r="E142" s="26"/>
      <c r="H142" s="26"/>
      <c r="I142" s="26"/>
      <c r="J142" s="26"/>
    </row>
    <row r="143" ht="12.75" customHeight="1">
      <c r="C143" s="26"/>
      <c r="D143" s="26"/>
      <c r="E143" s="26"/>
      <c r="H143" s="26"/>
      <c r="I143" s="26"/>
      <c r="J143" s="26"/>
    </row>
    <row r="144" ht="12.75" customHeight="1">
      <c r="C144" s="26"/>
      <c r="D144" s="26"/>
      <c r="E144" s="26"/>
      <c r="H144" s="26"/>
      <c r="I144" s="26"/>
      <c r="J144" s="26"/>
    </row>
    <row r="145" ht="12.75" customHeight="1">
      <c r="C145" s="26"/>
      <c r="D145" s="26"/>
      <c r="E145" s="26"/>
      <c r="H145" s="26"/>
      <c r="I145" s="26"/>
      <c r="J145" s="26"/>
    </row>
    <row r="146" ht="12.75" customHeight="1">
      <c r="C146" s="26"/>
      <c r="D146" s="26"/>
      <c r="E146" s="26"/>
      <c r="H146" s="26"/>
      <c r="I146" s="26"/>
      <c r="J146" s="26"/>
    </row>
    <row r="147" ht="12.75" customHeight="1">
      <c r="C147" s="26"/>
      <c r="D147" s="26"/>
      <c r="E147" s="26"/>
      <c r="H147" s="26"/>
      <c r="I147" s="26"/>
      <c r="J147" s="26"/>
    </row>
    <row r="148" ht="12.75" customHeight="1">
      <c r="C148" s="26"/>
      <c r="D148" s="26"/>
      <c r="E148" s="26"/>
      <c r="H148" s="26"/>
      <c r="I148" s="26"/>
      <c r="J148" s="26"/>
    </row>
    <row r="149" ht="12.75" customHeight="1">
      <c r="C149" s="26"/>
      <c r="D149" s="26"/>
      <c r="E149" s="26"/>
      <c r="H149" s="26"/>
      <c r="I149" s="26"/>
      <c r="J149" s="26"/>
    </row>
    <row r="150" ht="12.75" customHeight="1">
      <c r="C150" s="26"/>
      <c r="D150" s="26"/>
      <c r="E150" s="26"/>
      <c r="H150" s="26"/>
      <c r="I150" s="26"/>
      <c r="J150" s="26"/>
    </row>
    <row r="151" ht="12.75" customHeight="1">
      <c r="C151" s="26"/>
      <c r="D151" s="26"/>
      <c r="E151" s="26"/>
      <c r="H151" s="26"/>
      <c r="I151" s="26"/>
      <c r="J151" s="26"/>
    </row>
    <row r="152" ht="12.75" customHeight="1">
      <c r="C152" s="26"/>
      <c r="D152" s="26"/>
      <c r="E152" s="26"/>
      <c r="H152" s="26"/>
      <c r="I152" s="26"/>
      <c r="J152" s="26"/>
    </row>
    <row r="153" ht="12.75" customHeight="1">
      <c r="C153" s="26"/>
      <c r="D153" s="26"/>
      <c r="E153" s="26"/>
      <c r="H153" s="26"/>
      <c r="I153" s="26"/>
      <c r="J153" s="26"/>
    </row>
    <row r="154" ht="12.75" customHeight="1">
      <c r="C154" s="26"/>
      <c r="D154" s="26"/>
      <c r="E154" s="26"/>
      <c r="H154" s="26"/>
      <c r="I154" s="26"/>
      <c r="J154" s="26"/>
    </row>
    <row r="155" ht="12.75" customHeight="1">
      <c r="C155" s="26"/>
      <c r="D155" s="26"/>
      <c r="E155" s="26"/>
      <c r="H155" s="26"/>
      <c r="I155" s="26"/>
      <c r="J155" s="26"/>
    </row>
    <row r="156" ht="12.75" customHeight="1">
      <c r="C156" s="26"/>
      <c r="D156" s="26"/>
      <c r="E156" s="26"/>
      <c r="H156" s="26"/>
      <c r="I156" s="26"/>
      <c r="J156" s="26"/>
    </row>
    <row r="157" ht="12.75" customHeight="1">
      <c r="C157" s="26"/>
      <c r="D157" s="26"/>
      <c r="E157" s="26"/>
      <c r="H157" s="26"/>
      <c r="I157" s="26"/>
      <c r="J157" s="26"/>
    </row>
    <row r="158" ht="12.75" customHeight="1">
      <c r="C158" s="26"/>
      <c r="D158" s="26"/>
      <c r="E158" s="26"/>
      <c r="H158" s="26"/>
      <c r="I158" s="26"/>
      <c r="J158" s="26"/>
    </row>
    <row r="159" ht="12.75" customHeight="1">
      <c r="C159" s="26"/>
      <c r="D159" s="26"/>
      <c r="E159" s="26"/>
      <c r="H159" s="26"/>
      <c r="I159" s="26"/>
      <c r="J159" s="26"/>
    </row>
    <row r="160" ht="12.75" customHeight="1">
      <c r="C160" s="26"/>
      <c r="D160" s="26"/>
      <c r="E160" s="26"/>
      <c r="H160" s="26"/>
      <c r="I160" s="26"/>
      <c r="J160" s="26"/>
    </row>
    <row r="161" ht="12.75" customHeight="1">
      <c r="C161" s="26"/>
      <c r="D161" s="26"/>
      <c r="E161" s="26"/>
      <c r="H161" s="26"/>
      <c r="I161" s="26"/>
      <c r="J161" s="26"/>
    </row>
    <row r="162" ht="12.75" customHeight="1">
      <c r="C162" s="26"/>
      <c r="D162" s="26"/>
      <c r="E162" s="26"/>
      <c r="H162" s="26"/>
      <c r="I162" s="26"/>
      <c r="J162" s="26"/>
    </row>
    <row r="163" ht="12.75" customHeight="1">
      <c r="C163" s="26"/>
      <c r="D163" s="26"/>
      <c r="E163" s="26"/>
      <c r="H163" s="26"/>
      <c r="I163" s="26"/>
      <c r="J163" s="26"/>
    </row>
    <row r="164" ht="12.75" customHeight="1">
      <c r="C164" s="26"/>
      <c r="D164" s="26"/>
      <c r="E164" s="26"/>
      <c r="H164" s="26"/>
      <c r="I164" s="26"/>
      <c r="J164" s="26"/>
    </row>
    <row r="165" ht="12.75" customHeight="1">
      <c r="C165" s="26"/>
      <c r="D165" s="26"/>
      <c r="E165" s="26"/>
      <c r="H165" s="26"/>
      <c r="I165" s="26"/>
      <c r="J165" s="26"/>
    </row>
    <row r="166" ht="12.75" customHeight="1">
      <c r="C166" s="26"/>
      <c r="D166" s="26"/>
      <c r="E166" s="26"/>
      <c r="H166" s="26"/>
      <c r="I166" s="26"/>
      <c r="J166" s="26"/>
    </row>
    <row r="167" ht="12.75" customHeight="1">
      <c r="C167" s="26"/>
      <c r="D167" s="26"/>
      <c r="E167" s="26"/>
      <c r="H167" s="26"/>
      <c r="I167" s="26"/>
      <c r="J167" s="26"/>
    </row>
    <row r="168" ht="12.75" customHeight="1">
      <c r="C168" s="26"/>
      <c r="D168" s="26"/>
      <c r="E168" s="26"/>
      <c r="H168" s="26"/>
      <c r="I168" s="26"/>
      <c r="J168" s="26"/>
    </row>
    <row r="169" ht="12.75" customHeight="1">
      <c r="C169" s="26"/>
      <c r="D169" s="26"/>
      <c r="E169" s="26"/>
      <c r="H169" s="26"/>
      <c r="I169" s="26"/>
      <c r="J169" s="26"/>
    </row>
    <row r="170" ht="12.75" customHeight="1">
      <c r="C170" s="26"/>
      <c r="D170" s="26"/>
      <c r="E170" s="26"/>
      <c r="H170" s="26"/>
      <c r="I170" s="26"/>
      <c r="J170" s="26"/>
    </row>
    <row r="171" ht="12.75" customHeight="1">
      <c r="C171" s="26"/>
      <c r="D171" s="26"/>
      <c r="E171" s="26"/>
      <c r="H171" s="26"/>
      <c r="I171" s="26"/>
      <c r="J171" s="26"/>
    </row>
    <row r="172" ht="12.75" customHeight="1">
      <c r="C172" s="26"/>
      <c r="D172" s="26"/>
      <c r="E172" s="26"/>
      <c r="H172" s="26"/>
      <c r="I172" s="26"/>
      <c r="J172" s="26"/>
    </row>
    <row r="173" ht="12.75" customHeight="1">
      <c r="C173" s="26"/>
      <c r="D173" s="26"/>
      <c r="E173" s="26"/>
      <c r="H173" s="26"/>
      <c r="I173" s="26"/>
      <c r="J173" s="26"/>
    </row>
    <row r="174" ht="12.75" customHeight="1">
      <c r="C174" s="26"/>
      <c r="D174" s="26"/>
      <c r="E174" s="26"/>
      <c r="H174" s="26"/>
      <c r="I174" s="26"/>
      <c r="J174" s="26"/>
    </row>
    <row r="175" ht="12.75" customHeight="1">
      <c r="C175" s="26"/>
      <c r="D175" s="26"/>
      <c r="E175" s="26"/>
      <c r="H175" s="26"/>
      <c r="I175" s="26"/>
      <c r="J175" s="26"/>
    </row>
    <row r="176" ht="12.75" customHeight="1">
      <c r="C176" s="26"/>
      <c r="D176" s="26"/>
      <c r="E176" s="26"/>
      <c r="H176" s="26"/>
      <c r="I176" s="26"/>
      <c r="J176" s="26"/>
    </row>
    <row r="177" ht="12.75" customHeight="1">
      <c r="C177" s="26"/>
      <c r="D177" s="26"/>
      <c r="E177" s="26"/>
      <c r="H177" s="26"/>
      <c r="I177" s="26"/>
      <c r="J177" s="26"/>
    </row>
    <row r="178" ht="12.75" customHeight="1">
      <c r="C178" s="26"/>
      <c r="D178" s="26"/>
      <c r="E178" s="26"/>
      <c r="H178" s="26"/>
      <c r="I178" s="26"/>
      <c r="J178" s="26"/>
    </row>
    <row r="179" ht="12.75" customHeight="1">
      <c r="C179" s="26"/>
      <c r="D179" s="26"/>
      <c r="E179" s="26"/>
      <c r="H179" s="26"/>
      <c r="I179" s="26"/>
      <c r="J179" s="26"/>
    </row>
    <row r="180" ht="12.75" customHeight="1">
      <c r="C180" s="26"/>
      <c r="D180" s="26"/>
      <c r="E180" s="26"/>
      <c r="H180" s="26"/>
      <c r="I180" s="26"/>
      <c r="J180" s="26"/>
    </row>
    <row r="181" ht="12.75" customHeight="1">
      <c r="C181" s="26"/>
      <c r="D181" s="26"/>
      <c r="E181" s="26"/>
      <c r="H181" s="26"/>
      <c r="I181" s="26"/>
      <c r="J181" s="26"/>
    </row>
    <row r="182" ht="12.75" customHeight="1">
      <c r="C182" s="26"/>
      <c r="D182" s="26"/>
      <c r="E182" s="26"/>
      <c r="H182" s="26"/>
      <c r="I182" s="26"/>
      <c r="J182" s="26"/>
    </row>
    <row r="183" ht="12.75" customHeight="1">
      <c r="C183" s="26"/>
      <c r="D183" s="26"/>
      <c r="E183" s="26"/>
      <c r="H183" s="26"/>
      <c r="I183" s="26"/>
      <c r="J183" s="26"/>
    </row>
    <row r="184" ht="12.75" customHeight="1">
      <c r="C184" s="26"/>
      <c r="D184" s="26"/>
      <c r="E184" s="26"/>
      <c r="H184" s="26"/>
      <c r="I184" s="26"/>
      <c r="J184" s="26"/>
    </row>
    <row r="185" ht="12.75" customHeight="1">
      <c r="C185" s="26"/>
      <c r="D185" s="26"/>
      <c r="E185" s="26"/>
      <c r="H185" s="26"/>
      <c r="I185" s="26"/>
      <c r="J185" s="26"/>
    </row>
    <row r="186" ht="12.75" customHeight="1">
      <c r="C186" s="26"/>
      <c r="D186" s="26"/>
      <c r="E186" s="26"/>
      <c r="H186" s="26"/>
      <c r="I186" s="26"/>
      <c r="J186" s="26"/>
    </row>
    <row r="187" ht="12.75" customHeight="1">
      <c r="C187" s="26"/>
      <c r="D187" s="26"/>
      <c r="E187" s="26"/>
      <c r="H187" s="26"/>
      <c r="I187" s="26"/>
      <c r="J187" s="26"/>
    </row>
    <row r="188" ht="12.75" customHeight="1">
      <c r="C188" s="26"/>
      <c r="D188" s="26"/>
      <c r="E188" s="26"/>
      <c r="H188" s="26"/>
      <c r="I188" s="26"/>
      <c r="J188" s="26"/>
    </row>
    <row r="189" ht="12.75" customHeight="1">
      <c r="C189" s="26"/>
      <c r="D189" s="26"/>
      <c r="E189" s="26"/>
      <c r="H189" s="26"/>
      <c r="I189" s="26"/>
      <c r="J189" s="26"/>
    </row>
    <row r="190" ht="12.75" customHeight="1">
      <c r="C190" s="26"/>
      <c r="D190" s="26"/>
      <c r="E190" s="26"/>
      <c r="H190" s="26"/>
      <c r="I190" s="26"/>
      <c r="J190" s="26"/>
    </row>
    <row r="191" ht="12.75" customHeight="1">
      <c r="C191" s="26"/>
      <c r="D191" s="26"/>
      <c r="E191" s="26"/>
      <c r="H191" s="26"/>
      <c r="I191" s="26"/>
      <c r="J191" s="26"/>
    </row>
    <row r="192" ht="12.75" customHeight="1">
      <c r="C192" s="26"/>
      <c r="D192" s="26"/>
      <c r="E192" s="26"/>
      <c r="H192" s="26"/>
      <c r="I192" s="26"/>
      <c r="J192" s="26"/>
    </row>
    <row r="193" ht="12.75" customHeight="1">
      <c r="C193" s="26"/>
      <c r="D193" s="26"/>
      <c r="E193" s="26"/>
      <c r="H193" s="26"/>
      <c r="I193" s="26"/>
      <c r="J193" s="26"/>
    </row>
    <row r="194" ht="12.75" customHeight="1">
      <c r="C194" s="26"/>
      <c r="D194" s="26"/>
      <c r="E194" s="26"/>
      <c r="H194" s="26"/>
      <c r="I194" s="26"/>
      <c r="J194" s="26"/>
    </row>
    <row r="195" ht="12.75" customHeight="1">
      <c r="C195" s="26"/>
      <c r="D195" s="26"/>
      <c r="E195" s="26"/>
      <c r="H195" s="26"/>
      <c r="I195" s="26"/>
      <c r="J195" s="26"/>
    </row>
    <row r="196" ht="12.75" customHeight="1">
      <c r="C196" s="26"/>
      <c r="D196" s="26"/>
      <c r="E196" s="26"/>
      <c r="H196" s="26"/>
      <c r="I196" s="26"/>
      <c r="J196" s="26"/>
    </row>
    <row r="197" ht="12.75" customHeight="1">
      <c r="C197" s="26"/>
      <c r="D197" s="26"/>
      <c r="E197" s="26"/>
      <c r="H197" s="26"/>
      <c r="I197" s="26"/>
      <c r="J197" s="26"/>
    </row>
    <row r="198" ht="12.75" customHeight="1">
      <c r="C198" s="26"/>
      <c r="D198" s="26"/>
      <c r="E198" s="26"/>
      <c r="H198" s="26"/>
      <c r="I198" s="26"/>
      <c r="J198" s="26"/>
    </row>
    <row r="199" ht="12.75" customHeight="1">
      <c r="C199" s="26"/>
      <c r="D199" s="26"/>
      <c r="E199" s="26"/>
      <c r="H199" s="26"/>
      <c r="I199" s="26"/>
      <c r="J199" s="26"/>
    </row>
    <row r="200" ht="12.75" customHeight="1">
      <c r="C200" s="26"/>
      <c r="D200" s="26"/>
      <c r="E200" s="26"/>
      <c r="H200" s="26"/>
      <c r="I200" s="26"/>
      <c r="J200" s="26"/>
    </row>
    <row r="201" ht="12.75" customHeight="1">
      <c r="C201" s="26"/>
      <c r="D201" s="26"/>
      <c r="E201" s="26"/>
      <c r="H201" s="26"/>
      <c r="I201" s="26"/>
      <c r="J201" s="26"/>
    </row>
    <row r="202" ht="12.75" customHeight="1">
      <c r="C202" s="26"/>
      <c r="D202" s="26"/>
      <c r="E202" s="26"/>
      <c r="H202" s="26"/>
      <c r="I202" s="26"/>
      <c r="J202" s="26"/>
    </row>
    <row r="203" ht="12.75" customHeight="1">
      <c r="C203" s="26"/>
      <c r="D203" s="26"/>
      <c r="E203" s="26"/>
      <c r="H203" s="26"/>
      <c r="I203" s="26"/>
      <c r="J203" s="26"/>
    </row>
    <row r="204" ht="12.75" customHeight="1">
      <c r="C204" s="26"/>
      <c r="D204" s="26"/>
      <c r="E204" s="26"/>
      <c r="H204" s="26"/>
      <c r="I204" s="26"/>
      <c r="J204" s="26"/>
    </row>
    <row r="205" ht="12.75" customHeight="1">
      <c r="C205" s="26"/>
      <c r="D205" s="26"/>
      <c r="E205" s="26"/>
      <c r="H205" s="26"/>
      <c r="I205" s="26"/>
      <c r="J205" s="26"/>
    </row>
    <row r="206" ht="12.75" customHeight="1">
      <c r="C206" s="26"/>
      <c r="D206" s="26"/>
      <c r="E206" s="26"/>
      <c r="H206" s="26"/>
      <c r="I206" s="26"/>
      <c r="J206" s="26"/>
    </row>
    <row r="207" ht="12.75" customHeight="1">
      <c r="C207" s="26"/>
      <c r="D207" s="26"/>
      <c r="E207" s="26"/>
      <c r="H207" s="26"/>
      <c r="I207" s="26"/>
      <c r="J207" s="26"/>
    </row>
    <row r="208" ht="12.75" customHeight="1">
      <c r="C208" s="26"/>
      <c r="D208" s="26"/>
      <c r="E208" s="26"/>
      <c r="H208" s="26"/>
      <c r="I208" s="26"/>
      <c r="J208" s="26"/>
    </row>
    <row r="209" ht="12.75" customHeight="1">
      <c r="C209" s="26"/>
      <c r="D209" s="26"/>
      <c r="E209" s="26"/>
      <c r="H209" s="26"/>
      <c r="I209" s="26"/>
      <c r="J209" s="26"/>
    </row>
    <row r="210" ht="12.75" customHeight="1">
      <c r="C210" s="26"/>
      <c r="D210" s="26"/>
      <c r="E210" s="26"/>
      <c r="H210" s="26"/>
      <c r="I210" s="26"/>
      <c r="J210" s="26"/>
    </row>
    <row r="211" ht="12.75" customHeight="1">
      <c r="C211" s="26"/>
      <c r="D211" s="26"/>
      <c r="E211" s="26"/>
      <c r="H211" s="26"/>
      <c r="I211" s="26"/>
      <c r="J211" s="26"/>
    </row>
    <row r="212" ht="12.75" customHeight="1">
      <c r="C212" s="26"/>
      <c r="D212" s="26"/>
      <c r="E212" s="26"/>
      <c r="H212" s="26"/>
      <c r="I212" s="26"/>
      <c r="J212" s="26"/>
    </row>
    <row r="213" ht="12.75" customHeight="1">
      <c r="C213" s="26"/>
      <c r="D213" s="26"/>
      <c r="E213" s="26"/>
      <c r="H213" s="26"/>
      <c r="I213" s="26"/>
      <c r="J213" s="26"/>
    </row>
    <row r="214" ht="12.75" customHeight="1">
      <c r="C214" s="26"/>
      <c r="D214" s="26"/>
      <c r="E214" s="26"/>
      <c r="H214" s="26"/>
      <c r="I214" s="26"/>
      <c r="J214" s="26"/>
    </row>
    <row r="215" ht="12.75" customHeight="1">
      <c r="C215" s="26"/>
      <c r="D215" s="26"/>
      <c r="E215" s="26"/>
      <c r="H215" s="26"/>
      <c r="I215" s="26"/>
      <c r="J215" s="26"/>
    </row>
    <row r="216" ht="12.75" customHeight="1">
      <c r="C216" s="26"/>
      <c r="D216" s="26"/>
      <c r="E216" s="26"/>
      <c r="H216" s="26"/>
      <c r="I216" s="26"/>
      <c r="J216" s="26"/>
    </row>
    <row r="217" ht="12.75" customHeight="1">
      <c r="C217" s="26"/>
      <c r="D217" s="26"/>
      <c r="E217" s="26"/>
      <c r="H217" s="26"/>
      <c r="I217" s="26"/>
      <c r="J217" s="26"/>
    </row>
    <row r="218" ht="12.75" customHeight="1">
      <c r="C218" s="26"/>
      <c r="D218" s="26"/>
      <c r="E218" s="26"/>
      <c r="H218" s="26"/>
      <c r="I218" s="26"/>
      <c r="J218" s="26"/>
    </row>
    <row r="219" ht="12.75" customHeight="1">
      <c r="C219" s="26"/>
      <c r="D219" s="26"/>
      <c r="E219" s="26"/>
      <c r="H219" s="26"/>
      <c r="I219" s="26"/>
      <c r="J219" s="26"/>
    </row>
    <row r="220" ht="12.75" customHeight="1">
      <c r="C220" s="26"/>
      <c r="D220" s="26"/>
      <c r="E220" s="26"/>
      <c r="H220" s="26"/>
      <c r="I220" s="26"/>
      <c r="J220" s="26"/>
    </row>
    <row r="221" ht="12.75" customHeight="1">
      <c r="C221" s="26"/>
      <c r="D221" s="26"/>
      <c r="E221" s="26"/>
      <c r="H221" s="26"/>
      <c r="I221" s="26"/>
      <c r="J221" s="26"/>
    </row>
    <row r="222" ht="12.75" customHeight="1">
      <c r="C222" s="26"/>
      <c r="D222" s="26"/>
      <c r="E222" s="26"/>
      <c r="H222" s="26"/>
      <c r="I222" s="26"/>
      <c r="J222" s="26"/>
    </row>
    <row r="223" ht="12.75" customHeight="1">
      <c r="C223" s="26"/>
      <c r="D223" s="26"/>
      <c r="E223" s="26"/>
      <c r="H223" s="26"/>
      <c r="I223" s="26"/>
      <c r="J223" s="26"/>
    </row>
    <row r="224" ht="12.75" customHeight="1">
      <c r="C224" s="26"/>
      <c r="D224" s="26"/>
      <c r="E224" s="26"/>
      <c r="H224" s="26"/>
      <c r="I224" s="26"/>
      <c r="J224" s="26"/>
    </row>
    <row r="225" ht="12.75" customHeight="1">
      <c r="C225" s="26"/>
      <c r="D225" s="26"/>
      <c r="E225" s="26"/>
      <c r="H225" s="26"/>
      <c r="I225" s="26"/>
      <c r="J225" s="26"/>
    </row>
    <row r="226" ht="12.75" customHeight="1">
      <c r="C226" s="26"/>
      <c r="D226" s="26"/>
      <c r="E226" s="26"/>
      <c r="H226" s="26"/>
      <c r="I226" s="26"/>
      <c r="J226" s="26"/>
    </row>
    <row r="227" ht="12.75" customHeight="1">
      <c r="C227" s="26"/>
      <c r="D227" s="26"/>
      <c r="E227" s="26"/>
      <c r="H227" s="26"/>
      <c r="I227" s="26"/>
      <c r="J227" s="26"/>
    </row>
    <row r="228" ht="12.75" customHeight="1">
      <c r="C228" s="26"/>
      <c r="D228" s="26"/>
      <c r="E228" s="26"/>
      <c r="H228" s="26"/>
      <c r="I228" s="26"/>
      <c r="J228" s="26"/>
    </row>
    <row r="229" ht="12.75" customHeight="1">
      <c r="C229" s="26"/>
      <c r="D229" s="26"/>
      <c r="E229" s="26"/>
      <c r="H229" s="26"/>
      <c r="I229" s="26"/>
      <c r="J229" s="26"/>
    </row>
    <row r="230" ht="12.75" customHeight="1">
      <c r="C230" s="26"/>
      <c r="D230" s="26"/>
      <c r="E230" s="26"/>
      <c r="H230" s="26"/>
      <c r="I230" s="26"/>
      <c r="J230" s="26"/>
    </row>
    <row r="231" ht="12.75" customHeight="1">
      <c r="C231" s="26"/>
      <c r="D231" s="26"/>
      <c r="E231" s="26"/>
      <c r="H231" s="26"/>
      <c r="I231" s="26"/>
      <c r="J231" s="26"/>
    </row>
    <row r="232" ht="12.75" customHeight="1">
      <c r="C232" s="26"/>
      <c r="D232" s="26"/>
      <c r="E232" s="26"/>
      <c r="H232" s="26"/>
      <c r="I232" s="26"/>
      <c r="J232" s="26"/>
    </row>
    <row r="233" ht="12.75" customHeight="1">
      <c r="C233" s="26"/>
      <c r="D233" s="26"/>
      <c r="E233" s="26"/>
      <c r="H233" s="26"/>
      <c r="I233" s="26"/>
      <c r="J233" s="26"/>
    </row>
    <row r="234" ht="12.75" customHeight="1">
      <c r="C234" s="26"/>
      <c r="D234" s="26"/>
      <c r="E234" s="26"/>
      <c r="H234" s="26"/>
      <c r="I234" s="26"/>
      <c r="J234" s="26"/>
    </row>
    <row r="235" ht="12.75" customHeight="1">
      <c r="C235" s="26"/>
      <c r="D235" s="26"/>
      <c r="E235" s="26"/>
      <c r="H235" s="26"/>
      <c r="I235" s="26"/>
      <c r="J235" s="26"/>
    </row>
    <row r="236" ht="12.75" customHeight="1">
      <c r="C236" s="26"/>
      <c r="D236" s="26"/>
      <c r="E236" s="26"/>
      <c r="H236" s="26"/>
      <c r="I236" s="26"/>
      <c r="J236" s="26"/>
    </row>
    <row r="237" ht="12.75" customHeight="1">
      <c r="C237" s="26"/>
      <c r="D237" s="26"/>
      <c r="E237" s="26"/>
      <c r="H237" s="26"/>
      <c r="I237" s="26"/>
      <c r="J237" s="26"/>
    </row>
    <row r="238" ht="12.75" customHeight="1">
      <c r="C238" s="26"/>
      <c r="D238" s="26"/>
      <c r="E238" s="26"/>
      <c r="H238" s="26"/>
      <c r="I238" s="26"/>
      <c r="J238" s="26"/>
    </row>
    <row r="239" ht="12.75" customHeight="1">
      <c r="C239" s="26"/>
      <c r="D239" s="26"/>
      <c r="E239" s="26"/>
      <c r="H239" s="26"/>
      <c r="I239" s="26"/>
      <c r="J239" s="26"/>
    </row>
    <row r="240" ht="12.75" customHeight="1">
      <c r="C240" s="26"/>
      <c r="D240" s="26"/>
      <c r="E240" s="26"/>
      <c r="H240" s="26"/>
      <c r="I240" s="26"/>
      <c r="J240" s="26"/>
    </row>
    <row r="241" ht="12.75" customHeight="1">
      <c r="C241" s="26"/>
      <c r="D241" s="26"/>
      <c r="E241" s="26"/>
      <c r="H241" s="26"/>
      <c r="I241" s="26"/>
      <c r="J241" s="26"/>
    </row>
    <row r="242" ht="12.75" customHeight="1">
      <c r="C242" s="26"/>
      <c r="D242" s="26"/>
      <c r="E242" s="26"/>
      <c r="H242" s="26"/>
      <c r="I242" s="26"/>
      <c r="J242" s="26"/>
    </row>
    <row r="243" ht="12.75" customHeight="1">
      <c r="C243" s="26"/>
      <c r="D243" s="26"/>
      <c r="E243" s="26"/>
      <c r="H243" s="26"/>
      <c r="I243" s="26"/>
      <c r="J243" s="26"/>
    </row>
    <row r="244" ht="12.75" customHeight="1">
      <c r="C244" s="26"/>
      <c r="D244" s="26"/>
      <c r="E244" s="26"/>
      <c r="H244" s="26"/>
      <c r="I244" s="26"/>
      <c r="J244" s="26"/>
    </row>
    <row r="245" ht="12.75" customHeight="1">
      <c r="C245" s="26"/>
      <c r="D245" s="26"/>
      <c r="E245" s="26"/>
      <c r="H245" s="26"/>
      <c r="I245" s="26"/>
      <c r="J245" s="26"/>
    </row>
    <row r="246" ht="12.75" customHeight="1">
      <c r="C246" s="26"/>
      <c r="D246" s="26"/>
      <c r="E246" s="26"/>
      <c r="H246" s="26"/>
      <c r="I246" s="26"/>
      <c r="J246" s="26"/>
    </row>
    <row r="247" ht="12.75" customHeight="1">
      <c r="C247" s="26"/>
      <c r="D247" s="26"/>
      <c r="E247" s="26"/>
      <c r="H247" s="26"/>
      <c r="I247" s="26"/>
      <c r="J247" s="26"/>
    </row>
    <row r="248" ht="12.75" customHeight="1">
      <c r="C248" s="26"/>
      <c r="D248" s="26"/>
      <c r="E248" s="26"/>
      <c r="H248" s="26"/>
      <c r="I248" s="26"/>
      <c r="J248" s="26"/>
    </row>
    <row r="249" ht="12.75" customHeight="1">
      <c r="C249" s="26"/>
      <c r="D249" s="26"/>
      <c r="E249" s="26"/>
      <c r="H249" s="26"/>
      <c r="I249" s="26"/>
      <c r="J249" s="26"/>
    </row>
    <row r="250" ht="12.75" customHeight="1">
      <c r="C250" s="26"/>
      <c r="D250" s="26"/>
      <c r="E250" s="26"/>
      <c r="H250" s="26"/>
      <c r="I250" s="26"/>
      <c r="J250" s="26"/>
    </row>
    <row r="251" ht="12.75" customHeight="1">
      <c r="C251" s="26"/>
      <c r="D251" s="26"/>
      <c r="E251" s="26"/>
      <c r="H251" s="26"/>
      <c r="I251" s="26"/>
      <c r="J251" s="26"/>
    </row>
    <row r="252" ht="12.75" customHeight="1">
      <c r="C252" s="26"/>
      <c r="D252" s="26"/>
      <c r="E252" s="26"/>
      <c r="H252" s="26"/>
      <c r="I252" s="26"/>
      <c r="J252" s="26"/>
    </row>
    <row r="253" ht="12.75" customHeight="1">
      <c r="C253" s="26"/>
      <c r="D253" s="26"/>
      <c r="E253" s="26"/>
      <c r="H253" s="26"/>
      <c r="I253" s="26"/>
      <c r="J253" s="26"/>
    </row>
    <row r="254" ht="12.75" customHeight="1">
      <c r="C254" s="26"/>
      <c r="D254" s="26"/>
      <c r="E254" s="26"/>
      <c r="H254" s="26"/>
      <c r="I254" s="26"/>
      <c r="J254" s="26"/>
    </row>
    <row r="255" ht="12.75" customHeight="1">
      <c r="C255" s="26"/>
      <c r="D255" s="26"/>
      <c r="E255" s="26"/>
      <c r="H255" s="26"/>
      <c r="I255" s="26"/>
      <c r="J255" s="26"/>
    </row>
    <row r="256" ht="12.75" customHeight="1">
      <c r="C256" s="26"/>
      <c r="D256" s="26"/>
      <c r="E256" s="26"/>
      <c r="H256" s="26"/>
      <c r="I256" s="26"/>
      <c r="J256" s="26"/>
    </row>
    <row r="257" ht="12.75" customHeight="1">
      <c r="C257" s="26"/>
      <c r="D257" s="26"/>
      <c r="E257" s="26"/>
      <c r="H257" s="26"/>
      <c r="I257" s="26"/>
      <c r="J257" s="26"/>
    </row>
    <row r="258" ht="12.75" customHeight="1">
      <c r="C258" s="26"/>
      <c r="D258" s="26"/>
      <c r="E258" s="26"/>
      <c r="H258" s="26"/>
      <c r="I258" s="26"/>
      <c r="J258" s="26"/>
    </row>
    <row r="259" ht="12.75" customHeight="1">
      <c r="C259" s="26"/>
      <c r="D259" s="26"/>
      <c r="E259" s="26"/>
      <c r="H259" s="26"/>
      <c r="I259" s="26"/>
      <c r="J259" s="26"/>
    </row>
    <row r="260" ht="12.75" customHeight="1">
      <c r="C260" s="26"/>
      <c r="D260" s="26"/>
      <c r="E260" s="26"/>
      <c r="H260" s="26"/>
      <c r="I260" s="26"/>
      <c r="J260" s="26"/>
    </row>
    <row r="261" ht="12.75" customHeight="1">
      <c r="C261" s="26"/>
      <c r="D261" s="26"/>
      <c r="E261" s="26"/>
      <c r="H261" s="26"/>
      <c r="I261" s="26"/>
      <c r="J261" s="26"/>
    </row>
    <row r="262" ht="12.75" customHeight="1">
      <c r="C262" s="26"/>
      <c r="D262" s="26"/>
      <c r="E262" s="26"/>
      <c r="H262" s="26"/>
      <c r="I262" s="26"/>
      <c r="J262" s="26"/>
    </row>
    <row r="263" ht="12.75" customHeight="1">
      <c r="C263" s="26"/>
      <c r="D263" s="26"/>
      <c r="E263" s="26"/>
      <c r="H263" s="26"/>
      <c r="I263" s="26"/>
      <c r="J263" s="26"/>
    </row>
    <row r="264" ht="12.75" customHeight="1">
      <c r="C264" s="26"/>
      <c r="D264" s="26"/>
      <c r="E264" s="26"/>
      <c r="H264" s="26"/>
      <c r="I264" s="26"/>
      <c r="J264" s="26"/>
    </row>
    <row r="265" ht="12.75" customHeight="1">
      <c r="C265" s="26"/>
      <c r="D265" s="26"/>
      <c r="E265" s="26"/>
      <c r="H265" s="26"/>
      <c r="I265" s="26"/>
      <c r="J265" s="26"/>
    </row>
    <row r="266" ht="12.75" customHeight="1">
      <c r="C266" s="26"/>
      <c r="D266" s="26"/>
      <c r="E266" s="26"/>
      <c r="H266" s="26"/>
      <c r="I266" s="26"/>
      <c r="J266" s="26"/>
    </row>
    <row r="267" ht="12.75" customHeight="1">
      <c r="C267" s="26"/>
      <c r="D267" s="26"/>
      <c r="E267" s="26"/>
      <c r="H267" s="26"/>
      <c r="I267" s="26"/>
      <c r="J267" s="26"/>
    </row>
    <row r="268" ht="12.75" customHeight="1">
      <c r="C268" s="26"/>
      <c r="D268" s="26"/>
      <c r="E268" s="26"/>
      <c r="H268" s="26"/>
      <c r="I268" s="26"/>
      <c r="J268" s="26"/>
    </row>
    <row r="269" ht="12.75" customHeight="1">
      <c r="C269" s="26"/>
      <c r="D269" s="26"/>
      <c r="E269" s="26"/>
      <c r="H269" s="26"/>
      <c r="I269" s="26"/>
      <c r="J269" s="26"/>
    </row>
    <row r="270" ht="12.75" customHeight="1">
      <c r="C270" s="26"/>
      <c r="D270" s="26"/>
      <c r="E270" s="26"/>
      <c r="H270" s="26"/>
      <c r="I270" s="26"/>
      <c r="J270" s="26"/>
    </row>
    <row r="271" ht="12.75" customHeight="1">
      <c r="C271" s="26"/>
      <c r="D271" s="26"/>
      <c r="E271" s="26"/>
      <c r="H271" s="26"/>
      <c r="I271" s="26"/>
      <c r="J271" s="26"/>
    </row>
    <row r="272" ht="12.75" customHeight="1">
      <c r="C272" s="26"/>
      <c r="D272" s="26"/>
      <c r="E272" s="26"/>
      <c r="H272" s="26"/>
      <c r="I272" s="26"/>
      <c r="J272" s="26"/>
    </row>
    <row r="273" ht="12.75" customHeight="1">
      <c r="C273" s="26"/>
      <c r="D273" s="26"/>
      <c r="E273" s="26"/>
      <c r="H273" s="26"/>
      <c r="I273" s="26"/>
      <c r="J273" s="26"/>
    </row>
    <row r="274" ht="12.75" customHeight="1">
      <c r="C274" s="26"/>
      <c r="D274" s="26"/>
      <c r="E274" s="26"/>
      <c r="H274" s="26"/>
      <c r="I274" s="26"/>
      <c r="J274" s="26"/>
    </row>
    <row r="275" ht="12.75" customHeight="1">
      <c r="C275" s="26"/>
      <c r="D275" s="26"/>
      <c r="E275" s="26"/>
      <c r="H275" s="26"/>
      <c r="I275" s="26"/>
      <c r="J275" s="26"/>
    </row>
    <row r="276" ht="12.75" customHeight="1">
      <c r="C276" s="26"/>
      <c r="D276" s="26"/>
      <c r="E276" s="26"/>
      <c r="H276" s="26"/>
      <c r="I276" s="26"/>
      <c r="J276" s="26"/>
    </row>
    <row r="277" ht="12.75" customHeight="1">
      <c r="C277" s="26"/>
      <c r="D277" s="26"/>
      <c r="E277" s="26"/>
      <c r="H277" s="26"/>
      <c r="I277" s="26"/>
      <c r="J277" s="26"/>
    </row>
    <row r="278" ht="12.75" customHeight="1">
      <c r="C278" s="26"/>
      <c r="D278" s="26"/>
      <c r="E278" s="26"/>
      <c r="H278" s="26"/>
      <c r="I278" s="26"/>
      <c r="J278" s="26"/>
    </row>
    <row r="279" ht="12.75" customHeight="1">
      <c r="C279" s="26"/>
      <c r="D279" s="26"/>
      <c r="E279" s="26"/>
      <c r="H279" s="26"/>
      <c r="I279" s="26"/>
      <c r="J279" s="26"/>
    </row>
    <row r="280" ht="12.75" customHeight="1">
      <c r="C280" s="26"/>
      <c r="D280" s="26"/>
      <c r="E280" s="26"/>
      <c r="H280" s="26"/>
      <c r="I280" s="26"/>
      <c r="J280" s="26"/>
    </row>
    <row r="281" ht="12.75" customHeight="1">
      <c r="C281" s="26"/>
      <c r="D281" s="26"/>
      <c r="E281" s="26"/>
      <c r="H281" s="26"/>
      <c r="I281" s="26"/>
      <c r="J281" s="26"/>
    </row>
    <row r="282" ht="12.75" customHeight="1">
      <c r="C282" s="26"/>
      <c r="D282" s="26"/>
      <c r="E282" s="26"/>
      <c r="H282" s="26"/>
      <c r="I282" s="26"/>
      <c r="J282" s="26"/>
    </row>
    <row r="283" ht="12.75" customHeight="1">
      <c r="C283" s="26"/>
      <c r="D283" s="26"/>
      <c r="E283" s="26"/>
      <c r="H283" s="26"/>
      <c r="I283" s="26"/>
      <c r="J283" s="26"/>
    </row>
    <row r="284" ht="12.75" customHeight="1">
      <c r="C284" s="26"/>
      <c r="D284" s="26"/>
      <c r="E284" s="26"/>
      <c r="H284" s="26"/>
      <c r="I284" s="26"/>
      <c r="J284" s="26"/>
    </row>
    <row r="285" ht="12.75" customHeight="1">
      <c r="C285" s="26"/>
      <c r="D285" s="26"/>
      <c r="E285" s="26"/>
      <c r="H285" s="26"/>
      <c r="I285" s="26"/>
      <c r="J285" s="26"/>
    </row>
    <row r="286" ht="12.75" customHeight="1">
      <c r="C286" s="26"/>
      <c r="D286" s="26"/>
      <c r="E286" s="26"/>
      <c r="H286" s="26"/>
      <c r="I286" s="26"/>
      <c r="J286" s="26"/>
    </row>
    <row r="287" ht="12.75" customHeight="1">
      <c r="C287" s="26"/>
      <c r="D287" s="26"/>
      <c r="E287" s="26"/>
      <c r="H287" s="26"/>
      <c r="I287" s="26"/>
      <c r="J287" s="26"/>
    </row>
    <row r="288" ht="12.75" customHeight="1">
      <c r="C288" s="26"/>
      <c r="D288" s="26"/>
      <c r="E288" s="26"/>
      <c r="H288" s="26"/>
      <c r="I288" s="26"/>
      <c r="J288" s="26"/>
    </row>
    <row r="289" ht="12.75" customHeight="1">
      <c r="C289" s="26"/>
      <c r="D289" s="26"/>
      <c r="E289" s="26"/>
      <c r="H289" s="26"/>
      <c r="I289" s="26"/>
      <c r="J289" s="26"/>
    </row>
    <row r="290" ht="12.75" customHeight="1">
      <c r="C290" s="26"/>
      <c r="D290" s="26"/>
      <c r="E290" s="26"/>
      <c r="H290" s="26"/>
      <c r="I290" s="26"/>
      <c r="J290" s="26"/>
    </row>
    <row r="291" ht="12.75" customHeight="1">
      <c r="C291" s="26"/>
      <c r="D291" s="26"/>
      <c r="E291" s="26"/>
      <c r="H291" s="26"/>
      <c r="I291" s="26"/>
      <c r="J291" s="26"/>
    </row>
    <row r="292" ht="12.75" customHeight="1">
      <c r="C292" s="26"/>
      <c r="D292" s="26"/>
      <c r="E292" s="26"/>
      <c r="H292" s="26"/>
      <c r="I292" s="26"/>
      <c r="J292" s="26"/>
    </row>
    <row r="293" ht="12.75" customHeight="1">
      <c r="C293" s="26"/>
      <c r="D293" s="26"/>
      <c r="E293" s="26"/>
      <c r="H293" s="26"/>
      <c r="I293" s="26"/>
      <c r="J293" s="26"/>
    </row>
    <row r="294" ht="12.75" customHeight="1">
      <c r="C294" s="26"/>
      <c r="D294" s="26"/>
      <c r="E294" s="26"/>
      <c r="H294" s="26"/>
      <c r="I294" s="26"/>
      <c r="J294" s="26"/>
    </row>
    <row r="295" ht="12.75" customHeight="1">
      <c r="C295" s="26"/>
      <c r="D295" s="26"/>
      <c r="E295" s="26"/>
      <c r="H295" s="26"/>
      <c r="I295" s="26"/>
      <c r="J295" s="26"/>
    </row>
    <row r="296" ht="12.75" customHeight="1">
      <c r="C296" s="26"/>
      <c r="D296" s="26"/>
      <c r="E296" s="26"/>
      <c r="H296" s="26"/>
      <c r="I296" s="26"/>
      <c r="J296" s="26"/>
    </row>
    <row r="297" ht="12.75" customHeight="1">
      <c r="C297" s="26"/>
      <c r="D297" s="26"/>
      <c r="E297" s="26"/>
      <c r="H297" s="26"/>
      <c r="I297" s="26"/>
      <c r="J297" s="26"/>
    </row>
    <row r="298" ht="12.75" customHeight="1">
      <c r="C298" s="26"/>
      <c r="D298" s="26"/>
      <c r="E298" s="26"/>
      <c r="H298" s="26"/>
      <c r="I298" s="26"/>
      <c r="J298" s="26"/>
    </row>
    <row r="299" ht="12.75" customHeight="1">
      <c r="C299" s="26"/>
      <c r="D299" s="26"/>
      <c r="E299" s="26"/>
      <c r="H299" s="26"/>
      <c r="I299" s="26"/>
      <c r="J299" s="26"/>
    </row>
    <row r="300" ht="12.75" customHeight="1">
      <c r="C300" s="26"/>
      <c r="D300" s="26"/>
      <c r="E300" s="26"/>
      <c r="H300" s="26"/>
      <c r="I300" s="26"/>
      <c r="J300" s="26"/>
    </row>
    <row r="301" ht="12.75" customHeight="1">
      <c r="C301" s="26"/>
      <c r="D301" s="26"/>
      <c r="E301" s="26"/>
      <c r="H301" s="26"/>
      <c r="I301" s="26"/>
      <c r="J301" s="26"/>
    </row>
    <row r="302" ht="12.75" customHeight="1">
      <c r="C302" s="26"/>
      <c r="D302" s="26"/>
      <c r="E302" s="26"/>
      <c r="H302" s="26"/>
      <c r="I302" s="26"/>
      <c r="J302" s="26"/>
    </row>
    <row r="303" ht="12.75" customHeight="1">
      <c r="C303" s="26"/>
      <c r="D303" s="26"/>
      <c r="E303" s="26"/>
      <c r="H303" s="26"/>
      <c r="I303" s="26"/>
      <c r="J303" s="26"/>
    </row>
    <row r="304" ht="12.75" customHeight="1">
      <c r="C304" s="26"/>
      <c r="D304" s="26"/>
      <c r="E304" s="26"/>
      <c r="H304" s="26"/>
      <c r="I304" s="26"/>
      <c r="J304" s="26"/>
    </row>
    <row r="305" ht="12.75" customHeight="1">
      <c r="C305" s="26"/>
      <c r="D305" s="26"/>
      <c r="E305" s="26"/>
      <c r="H305" s="26"/>
      <c r="I305" s="26"/>
      <c r="J305" s="26"/>
    </row>
    <row r="306" ht="12.75" customHeight="1">
      <c r="C306" s="26"/>
      <c r="D306" s="26"/>
      <c r="E306" s="26"/>
      <c r="H306" s="26"/>
      <c r="I306" s="26"/>
      <c r="J306" s="26"/>
    </row>
    <row r="307" ht="12.75" customHeight="1">
      <c r="C307" s="26"/>
      <c r="D307" s="26"/>
      <c r="E307" s="26"/>
      <c r="H307" s="26"/>
      <c r="I307" s="26"/>
      <c r="J307" s="26"/>
    </row>
    <row r="308" ht="12.75" customHeight="1">
      <c r="C308" s="26"/>
      <c r="D308" s="26"/>
      <c r="E308" s="26"/>
      <c r="H308" s="26"/>
      <c r="I308" s="26"/>
      <c r="J308" s="26"/>
    </row>
    <row r="309" ht="12.75" customHeight="1">
      <c r="C309" s="26"/>
      <c r="D309" s="26"/>
      <c r="E309" s="26"/>
      <c r="H309" s="26"/>
      <c r="I309" s="26"/>
      <c r="J309" s="26"/>
    </row>
    <row r="310" ht="12.75" customHeight="1">
      <c r="C310" s="26"/>
      <c r="D310" s="26"/>
      <c r="E310" s="26"/>
      <c r="H310" s="26"/>
      <c r="I310" s="26"/>
      <c r="J310" s="26"/>
    </row>
    <row r="311" ht="12.75" customHeight="1">
      <c r="C311" s="26"/>
      <c r="D311" s="26"/>
      <c r="E311" s="26"/>
      <c r="H311" s="26"/>
      <c r="I311" s="26"/>
      <c r="J311" s="26"/>
    </row>
    <row r="312" ht="12.75" customHeight="1">
      <c r="C312" s="26"/>
      <c r="D312" s="26"/>
      <c r="E312" s="26"/>
      <c r="H312" s="26"/>
      <c r="I312" s="26"/>
      <c r="J312" s="26"/>
    </row>
    <row r="313" ht="12.75" customHeight="1">
      <c r="C313" s="26"/>
      <c r="D313" s="26"/>
      <c r="E313" s="26"/>
      <c r="H313" s="26"/>
      <c r="I313" s="26"/>
      <c r="J313" s="26"/>
    </row>
    <row r="314" ht="12.75" customHeight="1">
      <c r="C314" s="26"/>
      <c r="D314" s="26"/>
      <c r="E314" s="26"/>
      <c r="H314" s="26"/>
      <c r="I314" s="26"/>
      <c r="J314" s="26"/>
    </row>
    <row r="315" ht="12.75" customHeight="1">
      <c r="C315" s="26"/>
      <c r="D315" s="26"/>
      <c r="E315" s="26"/>
      <c r="H315" s="26"/>
      <c r="I315" s="26"/>
      <c r="J315" s="26"/>
    </row>
    <row r="316" ht="12.75" customHeight="1">
      <c r="C316" s="26"/>
      <c r="D316" s="26"/>
      <c r="E316" s="26"/>
      <c r="H316" s="26"/>
      <c r="I316" s="26"/>
      <c r="J316" s="26"/>
    </row>
    <row r="317" ht="12.75" customHeight="1">
      <c r="C317" s="26"/>
      <c r="D317" s="26"/>
      <c r="E317" s="26"/>
      <c r="H317" s="26"/>
      <c r="I317" s="26"/>
      <c r="J317" s="26"/>
    </row>
    <row r="318" ht="12.75" customHeight="1">
      <c r="C318" s="26"/>
      <c r="D318" s="26"/>
      <c r="E318" s="26"/>
      <c r="H318" s="26"/>
      <c r="I318" s="26"/>
      <c r="J318" s="26"/>
    </row>
    <row r="319" ht="12.75" customHeight="1">
      <c r="C319" s="26"/>
      <c r="D319" s="26"/>
      <c r="E319" s="26"/>
      <c r="H319" s="26"/>
      <c r="I319" s="26"/>
      <c r="J319" s="26"/>
    </row>
    <row r="320" ht="12.75" customHeight="1">
      <c r="C320" s="26"/>
      <c r="D320" s="26"/>
      <c r="E320" s="26"/>
      <c r="H320" s="26"/>
      <c r="I320" s="26"/>
      <c r="J320" s="26"/>
    </row>
    <row r="321" ht="12.75" customHeight="1">
      <c r="C321" s="26"/>
      <c r="D321" s="26"/>
      <c r="E321" s="26"/>
      <c r="H321" s="26"/>
      <c r="I321" s="26"/>
      <c r="J321" s="26"/>
    </row>
    <row r="322" ht="12.75" customHeight="1">
      <c r="C322" s="26"/>
      <c r="D322" s="26"/>
      <c r="E322" s="26"/>
      <c r="H322" s="26"/>
      <c r="I322" s="26"/>
      <c r="J322" s="26"/>
    </row>
    <row r="323" ht="12.75" customHeight="1">
      <c r="C323" s="26"/>
      <c r="D323" s="26"/>
      <c r="E323" s="26"/>
      <c r="H323" s="26"/>
      <c r="I323" s="26"/>
      <c r="J323" s="26"/>
    </row>
    <row r="324" ht="12.75" customHeight="1">
      <c r="C324" s="26"/>
      <c r="D324" s="26"/>
      <c r="E324" s="26"/>
      <c r="H324" s="26"/>
      <c r="I324" s="26"/>
      <c r="J324" s="26"/>
    </row>
    <row r="325" ht="12.75" customHeight="1">
      <c r="C325" s="26"/>
      <c r="D325" s="26"/>
      <c r="E325" s="26"/>
      <c r="H325" s="26"/>
      <c r="I325" s="26"/>
      <c r="J325" s="26"/>
    </row>
    <row r="326" ht="12.75" customHeight="1">
      <c r="C326" s="26"/>
      <c r="D326" s="26"/>
      <c r="E326" s="26"/>
      <c r="H326" s="26"/>
      <c r="I326" s="26"/>
      <c r="J326" s="26"/>
    </row>
    <row r="327" ht="12.75" customHeight="1">
      <c r="C327" s="26"/>
      <c r="D327" s="26"/>
      <c r="E327" s="26"/>
      <c r="H327" s="26"/>
      <c r="I327" s="26"/>
      <c r="J327" s="26"/>
    </row>
    <row r="328" ht="12.75" customHeight="1">
      <c r="C328" s="26"/>
      <c r="D328" s="26"/>
      <c r="E328" s="26"/>
      <c r="H328" s="26"/>
      <c r="I328" s="26"/>
      <c r="J328" s="26"/>
    </row>
    <row r="329" ht="12.75" customHeight="1">
      <c r="C329" s="26"/>
      <c r="D329" s="26"/>
      <c r="E329" s="26"/>
      <c r="H329" s="26"/>
      <c r="I329" s="26"/>
      <c r="J329" s="26"/>
    </row>
    <row r="330" ht="12.75" customHeight="1">
      <c r="C330" s="26"/>
      <c r="D330" s="26"/>
      <c r="E330" s="26"/>
      <c r="H330" s="26"/>
      <c r="I330" s="26"/>
      <c r="J330" s="26"/>
    </row>
    <row r="331" ht="12.75" customHeight="1">
      <c r="C331" s="26"/>
      <c r="D331" s="26"/>
      <c r="E331" s="26"/>
      <c r="H331" s="26"/>
      <c r="I331" s="26"/>
      <c r="J331" s="26"/>
    </row>
    <row r="332" ht="12.75" customHeight="1">
      <c r="C332" s="26"/>
      <c r="D332" s="26"/>
      <c r="E332" s="26"/>
      <c r="H332" s="26"/>
      <c r="I332" s="26"/>
      <c r="J332" s="26"/>
    </row>
    <row r="333" ht="12.75" customHeight="1">
      <c r="C333" s="26"/>
      <c r="D333" s="26"/>
      <c r="E333" s="26"/>
      <c r="H333" s="26"/>
      <c r="I333" s="26"/>
      <c r="J333" s="26"/>
    </row>
    <row r="334" ht="12.75" customHeight="1">
      <c r="C334" s="26"/>
      <c r="D334" s="26"/>
      <c r="E334" s="26"/>
      <c r="H334" s="26"/>
      <c r="I334" s="26"/>
      <c r="J334" s="26"/>
    </row>
    <row r="335" ht="12.75" customHeight="1">
      <c r="C335" s="26"/>
      <c r="D335" s="26"/>
      <c r="E335" s="26"/>
      <c r="H335" s="26"/>
      <c r="I335" s="26"/>
      <c r="J335" s="26"/>
    </row>
    <row r="336" ht="12.75" customHeight="1">
      <c r="C336" s="26"/>
      <c r="D336" s="26"/>
      <c r="E336" s="26"/>
      <c r="H336" s="26"/>
      <c r="I336" s="26"/>
      <c r="J336" s="26"/>
    </row>
    <row r="337" ht="12.75" customHeight="1">
      <c r="C337" s="26"/>
      <c r="D337" s="26"/>
      <c r="E337" s="26"/>
      <c r="H337" s="26"/>
      <c r="I337" s="26"/>
      <c r="J337" s="26"/>
    </row>
    <row r="338" ht="12.75" customHeight="1">
      <c r="C338" s="26"/>
      <c r="D338" s="26"/>
      <c r="E338" s="26"/>
      <c r="H338" s="26"/>
      <c r="I338" s="26"/>
      <c r="J338" s="26"/>
    </row>
    <row r="339" ht="12.75" customHeight="1">
      <c r="C339" s="26"/>
      <c r="D339" s="26"/>
      <c r="E339" s="26"/>
      <c r="H339" s="26"/>
      <c r="I339" s="26"/>
      <c r="J339" s="26"/>
    </row>
    <row r="340" ht="12.75" customHeight="1">
      <c r="C340" s="26"/>
      <c r="D340" s="26"/>
      <c r="E340" s="26"/>
      <c r="H340" s="26"/>
      <c r="I340" s="26"/>
      <c r="J340" s="26"/>
    </row>
    <row r="341" ht="12.75" customHeight="1">
      <c r="C341" s="26"/>
      <c r="D341" s="26"/>
      <c r="E341" s="26"/>
      <c r="H341" s="26"/>
      <c r="I341" s="26"/>
      <c r="J341" s="26"/>
    </row>
    <row r="342" ht="12.75" customHeight="1">
      <c r="C342" s="26"/>
      <c r="D342" s="26"/>
      <c r="E342" s="26"/>
      <c r="H342" s="26"/>
      <c r="I342" s="26"/>
      <c r="J342" s="26"/>
    </row>
    <row r="343" ht="12.75" customHeight="1">
      <c r="C343" s="26"/>
      <c r="D343" s="26"/>
      <c r="E343" s="26"/>
      <c r="H343" s="26"/>
      <c r="I343" s="26"/>
      <c r="J343" s="26"/>
    </row>
    <row r="344" ht="12.75" customHeight="1">
      <c r="C344" s="26"/>
      <c r="D344" s="26"/>
      <c r="E344" s="26"/>
      <c r="H344" s="26"/>
      <c r="I344" s="26"/>
      <c r="J344" s="26"/>
    </row>
    <row r="345" ht="12.75" customHeight="1">
      <c r="C345" s="26"/>
      <c r="D345" s="26"/>
      <c r="E345" s="26"/>
      <c r="H345" s="26"/>
      <c r="I345" s="26"/>
      <c r="J345" s="26"/>
    </row>
    <row r="346" ht="12.75" customHeight="1">
      <c r="C346" s="26"/>
      <c r="D346" s="26"/>
      <c r="E346" s="26"/>
      <c r="H346" s="26"/>
      <c r="I346" s="26"/>
      <c r="J346" s="26"/>
    </row>
    <row r="347" ht="12.75" customHeight="1">
      <c r="C347" s="26"/>
      <c r="D347" s="26"/>
      <c r="E347" s="26"/>
      <c r="H347" s="26"/>
      <c r="I347" s="26"/>
      <c r="J347" s="26"/>
    </row>
    <row r="348" ht="12.75" customHeight="1">
      <c r="C348" s="26"/>
      <c r="D348" s="26"/>
      <c r="E348" s="26"/>
      <c r="H348" s="26"/>
      <c r="I348" s="26"/>
      <c r="J348" s="26"/>
    </row>
    <row r="349" ht="12.75" customHeight="1">
      <c r="C349" s="26"/>
      <c r="D349" s="26"/>
      <c r="E349" s="26"/>
      <c r="H349" s="26"/>
      <c r="I349" s="26"/>
      <c r="J349" s="26"/>
    </row>
    <row r="350" ht="12.75" customHeight="1">
      <c r="C350" s="26"/>
      <c r="D350" s="26"/>
      <c r="E350" s="26"/>
      <c r="H350" s="26"/>
      <c r="I350" s="26"/>
      <c r="J350" s="26"/>
    </row>
    <row r="351" ht="12.75" customHeight="1">
      <c r="C351" s="26"/>
      <c r="D351" s="26"/>
      <c r="E351" s="26"/>
      <c r="H351" s="26"/>
      <c r="I351" s="26"/>
      <c r="J351" s="26"/>
    </row>
    <row r="352" ht="12.75" customHeight="1">
      <c r="C352" s="26"/>
      <c r="D352" s="26"/>
      <c r="E352" s="26"/>
      <c r="H352" s="26"/>
      <c r="I352" s="26"/>
      <c r="J352" s="26"/>
    </row>
    <row r="353" ht="12.75" customHeight="1">
      <c r="C353" s="26"/>
      <c r="D353" s="26"/>
      <c r="E353" s="26"/>
      <c r="H353" s="26"/>
      <c r="I353" s="26"/>
      <c r="J353" s="26"/>
    </row>
    <row r="354" ht="12.75" customHeight="1">
      <c r="C354" s="26"/>
      <c r="D354" s="26"/>
      <c r="E354" s="26"/>
      <c r="H354" s="26"/>
      <c r="I354" s="26"/>
      <c r="J354" s="26"/>
    </row>
    <row r="355" ht="12.75" customHeight="1">
      <c r="C355" s="26"/>
      <c r="D355" s="26"/>
      <c r="E355" s="26"/>
      <c r="H355" s="26"/>
      <c r="I355" s="26"/>
      <c r="J355" s="26"/>
    </row>
    <row r="356" ht="12.75" customHeight="1">
      <c r="C356" s="26"/>
      <c r="D356" s="26"/>
      <c r="E356" s="26"/>
      <c r="H356" s="26"/>
      <c r="I356" s="26"/>
      <c r="J356" s="26"/>
    </row>
    <row r="357" ht="12.75" customHeight="1">
      <c r="C357" s="26"/>
      <c r="D357" s="26"/>
      <c r="E357" s="26"/>
      <c r="H357" s="26"/>
      <c r="I357" s="26"/>
      <c r="J357" s="26"/>
    </row>
    <row r="358" ht="12.75" customHeight="1">
      <c r="C358" s="26"/>
      <c r="D358" s="26"/>
      <c r="E358" s="26"/>
      <c r="H358" s="26"/>
      <c r="I358" s="26"/>
      <c r="J358" s="26"/>
    </row>
    <row r="359" ht="12.75" customHeight="1">
      <c r="C359" s="26"/>
      <c r="D359" s="26"/>
      <c r="E359" s="26"/>
      <c r="H359" s="26"/>
      <c r="I359" s="26"/>
      <c r="J359" s="26"/>
    </row>
    <row r="360" ht="12.75" customHeight="1">
      <c r="C360" s="26"/>
      <c r="D360" s="26"/>
      <c r="E360" s="26"/>
      <c r="H360" s="26"/>
      <c r="I360" s="26"/>
      <c r="J360" s="26"/>
    </row>
    <row r="361" ht="12.75" customHeight="1">
      <c r="C361" s="26"/>
      <c r="D361" s="26"/>
      <c r="E361" s="26"/>
      <c r="H361" s="26"/>
      <c r="I361" s="26"/>
      <c r="J361" s="26"/>
    </row>
    <row r="362" ht="12.75" customHeight="1">
      <c r="C362" s="26"/>
      <c r="D362" s="26"/>
      <c r="E362" s="26"/>
      <c r="H362" s="26"/>
      <c r="I362" s="26"/>
      <c r="J362" s="26"/>
    </row>
    <row r="363" ht="12.75" customHeight="1">
      <c r="C363" s="26"/>
      <c r="D363" s="26"/>
      <c r="E363" s="26"/>
      <c r="H363" s="26"/>
      <c r="I363" s="26"/>
      <c r="J363" s="26"/>
    </row>
    <row r="364" ht="12.75" customHeight="1">
      <c r="C364" s="26"/>
      <c r="D364" s="26"/>
      <c r="E364" s="26"/>
      <c r="H364" s="26"/>
      <c r="I364" s="26"/>
      <c r="J364" s="26"/>
    </row>
    <row r="365" ht="12.75" customHeight="1">
      <c r="C365" s="26"/>
      <c r="D365" s="26"/>
      <c r="E365" s="26"/>
      <c r="H365" s="26"/>
      <c r="I365" s="26"/>
      <c r="J365" s="26"/>
    </row>
    <row r="366" ht="12.75" customHeight="1">
      <c r="C366" s="26"/>
      <c r="D366" s="26"/>
      <c r="E366" s="26"/>
      <c r="H366" s="26"/>
      <c r="I366" s="26"/>
      <c r="J366" s="26"/>
    </row>
    <row r="367" ht="12.75" customHeight="1">
      <c r="C367" s="26"/>
      <c r="D367" s="26"/>
      <c r="E367" s="26"/>
      <c r="H367" s="26"/>
      <c r="I367" s="26"/>
      <c r="J367" s="26"/>
    </row>
    <row r="368" ht="12.75" customHeight="1">
      <c r="C368" s="26"/>
      <c r="D368" s="26"/>
      <c r="E368" s="26"/>
      <c r="H368" s="26"/>
      <c r="I368" s="26"/>
      <c r="J368" s="26"/>
    </row>
    <row r="369" ht="12.75" customHeight="1">
      <c r="C369" s="26"/>
      <c r="D369" s="26"/>
      <c r="E369" s="26"/>
      <c r="H369" s="26"/>
      <c r="I369" s="26"/>
      <c r="J369" s="26"/>
    </row>
    <row r="370" ht="12.75" customHeight="1">
      <c r="C370" s="26"/>
      <c r="D370" s="26"/>
      <c r="E370" s="26"/>
      <c r="H370" s="26"/>
      <c r="I370" s="26"/>
      <c r="J370" s="26"/>
    </row>
    <row r="371" ht="12.75" customHeight="1">
      <c r="C371" s="26"/>
      <c r="D371" s="26"/>
      <c r="E371" s="26"/>
      <c r="H371" s="26"/>
      <c r="I371" s="26"/>
      <c r="J371" s="26"/>
    </row>
    <row r="372" ht="12.75" customHeight="1">
      <c r="C372" s="26"/>
      <c r="D372" s="26"/>
      <c r="E372" s="26"/>
      <c r="H372" s="26"/>
      <c r="I372" s="26"/>
      <c r="J372" s="26"/>
    </row>
    <row r="373" ht="12.75" customHeight="1">
      <c r="C373" s="26"/>
      <c r="D373" s="26"/>
      <c r="E373" s="26"/>
      <c r="H373" s="26"/>
      <c r="I373" s="26"/>
      <c r="J373" s="26"/>
    </row>
    <row r="374" ht="12.75" customHeight="1">
      <c r="C374" s="26"/>
      <c r="D374" s="26"/>
      <c r="E374" s="26"/>
      <c r="H374" s="26"/>
      <c r="I374" s="26"/>
      <c r="J374" s="26"/>
    </row>
    <row r="375" ht="12.75" customHeight="1">
      <c r="C375" s="26"/>
      <c r="D375" s="26"/>
      <c r="E375" s="26"/>
      <c r="H375" s="26"/>
      <c r="I375" s="26"/>
      <c r="J375" s="26"/>
    </row>
    <row r="376" ht="12.75" customHeight="1">
      <c r="C376" s="26"/>
      <c r="D376" s="26"/>
      <c r="E376" s="26"/>
      <c r="H376" s="26"/>
      <c r="I376" s="26"/>
      <c r="J376" s="26"/>
    </row>
    <row r="377" ht="12.75" customHeight="1">
      <c r="C377" s="26"/>
      <c r="D377" s="26"/>
      <c r="E377" s="26"/>
      <c r="H377" s="26"/>
      <c r="I377" s="26"/>
      <c r="J377" s="26"/>
    </row>
    <row r="378" ht="12.75" customHeight="1">
      <c r="C378" s="26"/>
      <c r="D378" s="26"/>
      <c r="E378" s="26"/>
      <c r="H378" s="26"/>
      <c r="I378" s="26"/>
      <c r="J378" s="26"/>
    </row>
    <row r="379" ht="12.75" customHeight="1">
      <c r="C379" s="26"/>
      <c r="D379" s="26"/>
      <c r="E379" s="26"/>
      <c r="H379" s="26"/>
      <c r="I379" s="26"/>
      <c r="J379" s="26"/>
    </row>
    <row r="380" ht="12.75" customHeight="1">
      <c r="C380" s="26"/>
      <c r="D380" s="26"/>
      <c r="E380" s="26"/>
      <c r="H380" s="26"/>
      <c r="I380" s="26"/>
      <c r="J380" s="26"/>
    </row>
    <row r="381" ht="12.75" customHeight="1">
      <c r="C381" s="26"/>
      <c r="D381" s="26"/>
      <c r="E381" s="26"/>
      <c r="H381" s="26"/>
      <c r="I381" s="26"/>
      <c r="J381" s="26"/>
    </row>
    <row r="382" ht="12.75" customHeight="1">
      <c r="C382" s="26"/>
      <c r="D382" s="26"/>
      <c r="E382" s="26"/>
      <c r="H382" s="26"/>
      <c r="I382" s="26"/>
      <c r="J382" s="26"/>
    </row>
    <row r="383" ht="12.75" customHeight="1">
      <c r="C383" s="26"/>
      <c r="D383" s="26"/>
      <c r="E383" s="26"/>
      <c r="H383" s="26"/>
      <c r="I383" s="26"/>
      <c r="J383" s="26"/>
    </row>
    <row r="384" ht="12.75" customHeight="1">
      <c r="C384" s="26"/>
      <c r="D384" s="26"/>
      <c r="E384" s="26"/>
      <c r="H384" s="26"/>
      <c r="I384" s="26"/>
      <c r="J384" s="26"/>
    </row>
    <row r="385" ht="12.75" customHeight="1">
      <c r="C385" s="26"/>
      <c r="D385" s="26"/>
      <c r="E385" s="26"/>
      <c r="H385" s="26"/>
      <c r="I385" s="26"/>
      <c r="J385" s="26"/>
    </row>
    <row r="386" ht="12.75" customHeight="1">
      <c r="C386" s="26"/>
      <c r="D386" s="26"/>
      <c r="E386" s="26"/>
      <c r="H386" s="26"/>
      <c r="I386" s="26"/>
      <c r="J386" s="26"/>
    </row>
    <row r="387" ht="12.75" customHeight="1">
      <c r="C387" s="26"/>
      <c r="D387" s="26"/>
      <c r="E387" s="26"/>
      <c r="H387" s="26"/>
      <c r="I387" s="26"/>
      <c r="J387" s="26"/>
    </row>
    <row r="388" ht="12.75" customHeight="1">
      <c r="C388" s="26"/>
      <c r="D388" s="26"/>
      <c r="E388" s="26"/>
      <c r="H388" s="26"/>
      <c r="I388" s="26"/>
      <c r="J388" s="26"/>
    </row>
    <row r="389" ht="12.75" customHeight="1">
      <c r="C389" s="26"/>
      <c r="D389" s="26"/>
      <c r="E389" s="26"/>
      <c r="H389" s="26"/>
      <c r="I389" s="26"/>
      <c r="J389" s="26"/>
    </row>
    <row r="390" ht="12.75" customHeight="1">
      <c r="C390" s="26"/>
      <c r="D390" s="26"/>
      <c r="E390" s="26"/>
      <c r="H390" s="26"/>
      <c r="I390" s="26"/>
      <c r="J390" s="26"/>
    </row>
    <row r="391" ht="12.75" customHeight="1">
      <c r="C391" s="26"/>
      <c r="D391" s="26"/>
      <c r="E391" s="26"/>
      <c r="H391" s="26"/>
      <c r="I391" s="26"/>
      <c r="J391" s="26"/>
    </row>
    <row r="392" ht="12.75" customHeight="1">
      <c r="C392" s="26"/>
      <c r="D392" s="26"/>
      <c r="E392" s="26"/>
      <c r="H392" s="26"/>
      <c r="I392" s="26"/>
      <c r="J392" s="26"/>
    </row>
    <row r="393" ht="12.75" customHeight="1">
      <c r="C393" s="26"/>
      <c r="D393" s="26"/>
      <c r="E393" s="26"/>
      <c r="H393" s="26"/>
      <c r="I393" s="26"/>
      <c r="J393" s="26"/>
    </row>
    <row r="394" ht="12.75" customHeight="1">
      <c r="C394" s="26"/>
      <c r="D394" s="26"/>
      <c r="E394" s="26"/>
      <c r="H394" s="26"/>
      <c r="I394" s="26"/>
      <c r="J394" s="26"/>
    </row>
    <row r="395" ht="12.75" customHeight="1">
      <c r="C395" s="26"/>
      <c r="D395" s="26"/>
      <c r="E395" s="26"/>
      <c r="H395" s="26"/>
      <c r="I395" s="26"/>
      <c r="J395" s="26"/>
    </row>
    <row r="396" ht="12.75" customHeight="1">
      <c r="C396" s="26"/>
      <c r="D396" s="26"/>
      <c r="E396" s="26"/>
      <c r="H396" s="26"/>
      <c r="I396" s="26"/>
      <c r="J396" s="26"/>
    </row>
    <row r="397" ht="12.75" customHeight="1">
      <c r="C397" s="26"/>
      <c r="D397" s="26"/>
      <c r="E397" s="26"/>
      <c r="H397" s="26"/>
      <c r="I397" s="26"/>
      <c r="J397" s="26"/>
    </row>
    <row r="398" ht="12.75" customHeight="1">
      <c r="C398" s="26"/>
      <c r="D398" s="26"/>
      <c r="E398" s="26"/>
      <c r="H398" s="26"/>
      <c r="I398" s="26"/>
      <c r="J398" s="26"/>
    </row>
    <row r="399" ht="12.75" customHeight="1">
      <c r="C399" s="26"/>
      <c r="D399" s="26"/>
      <c r="E399" s="26"/>
      <c r="H399" s="26"/>
      <c r="I399" s="26"/>
      <c r="J399" s="26"/>
    </row>
    <row r="400" ht="12.75" customHeight="1">
      <c r="C400" s="26"/>
      <c r="D400" s="26"/>
      <c r="E400" s="26"/>
      <c r="H400" s="26"/>
      <c r="I400" s="26"/>
      <c r="J400" s="26"/>
    </row>
    <row r="401" ht="12.75" customHeight="1">
      <c r="C401" s="26"/>
      <c r="D401" s="26"/>
      <c r="E401" s="26"/>
      <c r="H401" s="26"/>
      <c r="I401" s="26"/>
      <c r="J401" s="26"/>
    </row>
    <row r="402" ht="12.75" customHeight="1">
      <c r="C402" s="26"/>
      <c r="D402" s="26"/>
      <c r="E402" s="26"/>
      <c r="H402" s="26"/>
      <c r="I402" s="26"/>
      <c r="J402" s="26"/>
    </row>
    <row r="403" ht="12.75" customHeight="1">
      <c r="C403" s="26"/>
      <c r="D403" s="26"/>
      <c r="E403" s="26"/>
      <c r="H403" s="26"/>
      <c r="I403" s="26"/>
      <c r="J403" s="26"/>
    </row>
    <row r="404" ht="12.75" customHeight="1">
      <c r="C404" s="26"/>
      <c r="D404" s="26"/>
      <c r="E404" s="26"/>
      <c r="H404" s="26"/>
      <c r="I404" s="26"/>
      <c r="J404" s="26"/>
    </row>
    <row r="405" ht="12.75" customHeight="1">
      <c r="C405" s="26"/>
      <c r="D405" s="26"/>
      <c r="E405" s="26"/>
      <c r="H405" s="26"/>
      <c r="I405" s="26"/>
      <c r="J405" s="26"/>
    </row>
    <row r="406" ht="12.75" customHeight="1">
      <c r="C406" s="26"/>
      <c r="D406" s="26"/>
      <c r="E406" s="26"/>
      <c r="H406" s="26"/>
      <c r="I406" s="26"/>
      <c r="J406" s="26"/>
    </row>
    <row r="407" ht="12.75" customHeight="1">
      <c r="C407" s="26"/>
      <c r="D407" s="26"/>
      <c r="E407" s="26"/>
      <c r="H407" s="26"/>
      <c r="I407" s="26"/>
      <c r="J407" s="26"/>
    </row>
    <row r="408" ht="12.75" customHeight="1">
      <c r="C408" s="26"/>
      <c r="D408" s="26"/>
      <c r="E408" s="26"/>
      <c r="H408" s="26"/>
      <c r="I408" s="26"/>
      <c r="J408" s="26"/>
    </row>
    <row r="409" ht="12.75" customHeight="1">
      <c r="C409" s="26"/>
      <c r="D409" s="26"/>
      <c r="E409" s="26"/>
      <c r="H409" s="26"/>
      <c r="I409" s="26"/>
      <c r="J409" s="26"/>
    </row>
    <row r="410" ht="12.75" customHeight="1">
      <c r="C410" s="26"/>
      <c r="D410" s="26"/>
      <c r="E410" s="26"/>
      <c r="H410" s="26"/>
      <c r="I410" s="26"/>
      <c r="J410" s="26"/>
    </row>
    <row r="411" ht="12.75" customHeight="1">
      <c r="C411" s="26"/>
      <c r="D411" s="26"/>
      <c r="E411" s="26"/>
      <c r="H411" s="26"/>
      <c r="I411" s="26"/>
      <c r="J411" s="26"/>
    </row>
    <row r="412" ht="12.75" customHeight="1">
      <c r="C412" s="26"/>
      <c r="D412" s="26"/>
      <c r="E412" s="26"/>
      <c r="H412" s="26"/>
      <c r="I412" s="26"/>
      <c r="J412" s="26"/>
    </row>
    <row r="413" ht="12.75" customHeight="1">
      <c r="C413" s="26"/>
      <c r="D413" s="26"/>
      <c r="E413" s="26"/>
      <c r="H413" s="26"/>
      <c r="I413" s="26"/>
      <c r="J413" s="26"/>
    </row>
    <row r="414" ht="12.75" customHeight="1">
      <c r="C414" s="26"/>
      <c r="D414" s="26"/>
      <c r="E414" s="26"/>
      <c r="H414" s="26"/>
      <c r="I414" s="26"/>
      <c r="J414" s="26"/>
    </row>
    <row r="415" ht="12.75" customHeight="1">
      <c r="C415" s="26"/>
      <c r="D415" s="26"/>
      <c r="E415" s="26"/>
      <c r="H415" s="26"/>
      <c r="I415" s="26"/>
      <c r="J415" s="26"/>
    </row>
    <row r="416" ht="12.75" customHeight="1">
      <c r="C416" s="26"/>
      <c r="D416" s="26"/>
      <c r="E416" s="26"/>
      <c r="H416" s="26"/>
      <c r="I416" s="26"/>
      <c r="J416" s="26"/>
    </row>
    <row r="417" ht="12.75" customHeight="1">
      <c r="C417" s="26"/>
      <c r="D417" s="26"/>
      <c r="E417" s="26"/>
      <c r="H417" s="26"/>
      <c r="I417" s="26"/>
      <c r="J417" s="26"/>
    </row>
    <row r="418" ht="12.75" customHeight="1">
      <c r="C418" s="26"/>
      <c r="D418" s="26"/>
      <c r="E418" s="26"/>
      <c r="H418" s="26"/>
      <c r="I418" s="26"/>
      <c r="J418" s="26"/>
    </row>
    <row r="419" ht="12.75" customHeight="1">
      <c r="C419" s="26"/>
      <c r="D419" s="26"/>
      <c r="E419" s="26"/>
      <c r="H419" s="26"/>
      <c r="I419" s="26"/>
      <c r="J419" s="26"/>
    </row>
    <row r="420" ht="12.75" customHeight="1">
      <c r="C420" s="26"/>
      <c r="D420" s="26"/>
      <c r="E420" s="26"/>
      <c r="H420" s="26"/>
      <c r="I420" s="26"/>
      <c r="J420" s="26"/>
    </row>
    <row r="421" ht="12.75" customHeight="1">
      <c r="C421" s="26"/>
      <c r="D421" s="26"/>
      <c r="E421" s="26"/>
      <c r="H421" s="26"/>
      <c r="I421" s="26"/>
      <c r="J421" s="26"/>
    </row>
    <row r="422" ht="12.75" customHeight="1">
      <c r="C422" s="26"/>
      <c r="D422" s="26"/>
      <c r="E422" s="26"/>
      <c r="H422" s="26"/>
      <c r="I422" s="26"/>
      <c r="J422" s="26"/>
    </row>
    <row r="423" ht="12.75" customHeight="1">
      <c r="C423" s="26"/>
      <c r="D423" s="26"/>
      <c r="E423" s="26"/>
      <c r="H423" s="26"/>
      <c r="I423" s="26"/>
      <c r="J423" s="26"/>
    </row>
    <row r="424" ht="12.75" customHeight="1">
      <c r="C424" s="26"/>
      <c r="D424" s="26"/>
      <c r="E424" s="26"/>
      <c r="H424" s="26"/>
      <c r="I424" s="26"/>
      <c r="J424" s="26"/>
    </row>
    <row r="425" ht="12.75" customHeight="1">
      <c r="C425" s="26"/>
      <c r="D425" s="26"/>
      <c r="E425" s="26"/>
      <c r="H425" s="26"/>
      <c r="I425" s="26"/>
      <c r="J425" s="26"/>
    </row>
    <row r="426" ht="12.75" customHeight="1">
      <c r="C426" s="26"/>
      <c r="D426" s="26"/>
      <c r="E426" s="26"/>
      <c r="H426" s="26"/>
      <c r="I426" s="26"/>
      <c r="J426" s="26"/>
    </row>
    <row r="427" ht="12.75" customHeight="1">
      <c r="C427" s="26"/>
      <c r="D427" s="26"/>
      <c r="E427" s="26"/>
      <c r="H427" s="26"/>
      <c r="I427" s="26"/>
      <c r="J427" s="26"/>
    </row>
    <row r="428" ht="12.75" customHeight="1">
      <c r="C428" s="26"/>
      <c r="D428" s="26"/>
      <c r="E428" s="26"/>
      <c r="H428" s="26"/>
      <c r="I428" s="26"/>
      <c r="J428" s="26"/>
    </row>
    <row r="429" ht="12.75" customHeight="1">
      <c r="C429" s="26"/>
      <c r="D429" s="26"/>
      <c r="E429" s="26"/>
      <c r="H429" s="26"/>
      <c r="I429" s="26"/>
      <c r="J429" s="26"/>
    </row>
    <row r="430" ht="12.75" customHeight="1">
      <c r="C430" s="26"/>
      <c r="D430" s="26"/>
      <c r="E430" s="26"/>
      <c r="H430" s="26"/>
      <c r="I430" s="26"/>
      <c r="J430" s="26"/>
    </row>
    <row r="431" ht="12.75" customHeight="1">
      <c r="C431" s="26"/>
      <c r="D431" s="26"/>
      <c r="E431" s="26"/>
      <c r="H431" s="26"/>
      <c r="I431" s="26"/>
      <c r="J431" s="26"/>
    </row>
    <row r="432" ht="12.75" customHeight="1">
      <c r="C432" s="26"/>
      <c r="D432" s="26"/>
      <c r="E432" s="26"/>
      <c r="H432" s="26"/>
      <c r="I432" s="26"/>
      <c r="J432" s="26"/>
    </row>
    <row r="433" ht="12.75" customHeight="1">
      <c r="C433" s="26"/>
      <c r="D433" s="26"/>
      <c r="E433" s="26"/>
      <c r="H433" s="26"/>
      <c r="I433" s="26"/>
      <c r="J433" s="26"/>
    </row>
    <row r="434" ht="12.75" customHeight="1">
      <c r="C434" s="26"/>
      <c r="D434" s="26"/>
      <c r="E434" s="26"/>
      <c r="H434" s="26"/>
      <c r="I434" s="26"/>
      <c r="J434" s="26"/>
    </row>
    <row r="435" ht="12.75" customHeight="1">
      <c r="C435" s="26"/>
      <c r="D435" s="26"/>
      <c r="E435" s="26"/>
      <c r="H435" s="26"/>
      <c r="I435" s="26"/>
      <c r="J435" s="26"/>
    </row>
    <row r="436" ht="12.75" customHeight="1">
      <c r="C436" s="26"/>
      <c r="D436" s="26"/>
      <c r="E436" s="26"/>
      <c r="H436" s="26"/>
      <c r="I436" s="26"/>
      <c r="J436" s="26"/>
    </row>
    <row r="437" ht="12.75" customHeight="1">
      <c r="C437" s="26"/>
      <c r="D437" s="26"/>
      <c r="E437" s="26"/>
      <c r="H437" s="26"/>
      <c r="I437" s="26"/>
      <c r="J437" s="26"/>
    </row>
    <row r="438" ht="12.75" customHeight="1">
      <c r="C438" s="26"/>
      <c r="D438" s="26"/>
      <c r="E438" s="26"/>
      <c r="H438" s="26"/>
      <c r="I438" s="26"/>
      <c r="J438" s="26"/>
    </row>
    <row r="439" ht="12.75" customHeight="1">
      <c r="C439" s="26"/>
      <c r="D439" s="26"/>
      <c r="E439" s="26"/>
      <c r="H439" s="26"/>
      <c r="I439" s="26"/>
      <c r="J439" s="26"/>
    </row>
    <row r="440" ht="12.75" customHeight="1">
      <c r="C440" s="26"/>
      <c r="D440" s="26"/>
      <c r="E440" s="26"/>
      <c r="H440" s="26"/>
      <c r="I440" s="26"/>
      <c r="J440" s="26"/>
    </row>
    <row r="441" ht="12.75" customHeight="1">
      <c r="C441" s="26"/>
      <c r="D441" s="26"/>
      <c r="E441" s="26"/>
      <c r="H441" s="26"/>
      <c r="I441" s="26"/>
      <c r="J441" s="26"/>
    </row>
    <row r="442" ht="12.75" customHeight="1">
      <c r="C442" s="26"/>
      <c r="D442" s="26"/>
      <c r="E442" s="26"/>
      <c r="H442" s="26"/>
      <c r="I442" s="26"/>
      <c r="J442" s="26"/>
    </row>
    <row r="443" ht="12.75" customHeight="1">
      <c r="C443" s="26"/>
      <c r="D443" s="26"/>
      <c r="E443" s="26"/>
      <c r="H443" s="26"/>
      <c r="I443" s="26"/>
      <c r="J443" s="26"/>
    </row>
    <row r="444" ht="12.75" customHeight="1">
      <c r="C444" s="26"/>
      <c r="D444" s="26"/>
      <c r="E444" s="26"/>
      <c r="H444" s="26"/>
      <c r="I444" s="26"/>
      <c r="J444" s="26"/>
    </row>
    <row r="445" ht="12.75" customHeight="1">
      <c r="C445" s="26"/>
      <c r="D445" s="26"/>
      <c r="E445" s="26"/>
      <c r="H445" s="26"/>
      <c r="I445" s="26"/>
      <c r="J445" s="26"/>
    </row>
    <row r="446" ht="12.75" customHeight="1">
      <c r="C446" s="26"/>
      <c r="D446" s="26"/>
      <c r="E446" s="26"/>
      <c r="H446" s="26"/>
      <c r="I446" s="26"/>
      <c r="J446" s="26"/>
    </row>
    <row r="447" ht="12.75" customHeight="1">
      <c r="C447" s="26"/>
      <c r="D447" s="26"/>
      <c r="E447" s="26"/>
      <c r="H447" s="26"/>
      <c r="I447" s="26"/>
      <c r="J447" s="26"/>
    </row>
    <row r="448" ht="12.75" customHeight="1">
      <c r="C448" s="26"/>
      <c r="D448" s="26"/>
      <c r="E448" s="26"/>
      <c r="H448" s="26"/>
      <c r="I448" s="26"/>
      <c r="J448" s="26"/>
    </row>
    <row r="449" ht="12.75" customHeight="1">
      <c r="C449" s="26"/>
      <c r="D449" s="26"/>
      <c r="E449" s="26"/>
      <c r="H449" s="26"/>
      <c r="I449" s="26"/>
      <c r="J449" s="26"/>
    </row>
    <row r="450" ht="12.75" customHeight="1">
      <c r="C450" s="26"/>
      <c r="D450" s="26"/>
      <c r="E450" s="26"/>
      <c r="H450" s="26"/>
      <c r="I450" s="26"/>
      <c r="J450" s="26"/>
    </row>
    <row r="451" ht="12.75" customHeight="1">
      <c r="C451" s="26"/>
      <c r="D451" s="26"/>
      <c r="E451" s="26"/>
      <c r="H451" s="26"/>
      <c r="I451" s="26"/>
      <c r="J451" s="26"/>
    </row>
    <row r="452" ht="12.75" customHeight="1">
      <c r="C452" s="26"/>
      <c r="D452" s="26"/>
      <c r="E452" s="26"/>
      <c r="H452" s="26"/>
      <c r="I452" s="26"/>
      <c r="J452" s="26"/>
    </row>
    <row r="453" ht="12.75" customHeight="1">
      <c r="C453" s="26"/>
      <c r="D453" s="26"/>
      <c r="E453" s="26"/>
      <c r="H453" s="26"/>
      <c r="I453" s="26"/>
      <c r="J453" s="26"/>
    </row>
    <row r="454" ht="12.75" customHeight="1">
      <c r="C454" s="26"/>
      <c r="D454" s="26"/>
      <c r="E454" s="26"/>
      <c r="H454" s="26"/>
      <c r="I454" s="26"/>
      <c r="J454" s="26"/>
    </row>
    <row r="455" ht="12.75" customHeight="1">
      <c r="C455" s="26"/>
      <c r="D455" s="26"/>
      <c r="E455" s="26"/>
      <c r="H455" s="26"/>
      <c r="I455" s="26"/>
      <c r="J455" s="26"/>
    </row>
    <row r="456" ht="12.75" customHeight="1">
      <c r="C456" s="26"/>
      <c r="D456" s="26"/>
      <c r="E456" s="26"/>
      <c r="H456" s="26"/>
      <c r="I456" s="26"/>
      <c r="J456" s="26"/>
    </row>
    <row r="457" ht="12.75" customHeight="1">
      <c r="C457" s="26"/>
      <c r="D457" s="26"/>
      <c r="E457" s="26"/>
      <c r="H457" s="26"/>
      <c r="I457" s="26"/>
      <c r="J457" s="26"/>
    </row>
    <row r="458" ht="12.75" customHeight="1">
      <c r="C458" s="26"/>
      <c r="D458" s="26"/>
      <c r="E458" s="26"/>
      <c r="H458" s="26"/>
      <c r="I458" s="26"/>
      <c r="J458" s="26"/>
    </row>
    <row r="459" ht="12.75" customHeight="1">
      <c r="C459" s="26"/>
      <c r="D459" s="26"/>
      <c r="E459" s="26"/>
      <c r="H459" s="26"/>
      <c r="I459" s="26"/>
      <c r="J459" s="26"/>
    </row>
    <row r="460" ht="12.75" customHeight="1">
      <c r="C460" s="26"/>
      <c r="D460" s="26"/>
      <c r="E460" s="26"/>
      <c r="H460" s="26"/>
      <c r="I460" s="26"/>
      <c r="J460" s="26"/>
    </row>
    <row r="461" ht="12.75" customHeight="1">
      <c r="C461" s="26"/>
      <c r="D461" s="26"/>
      <c r="E461" s="26"/>
      <c r="H461" s="26"/>
      <c r="I461" s="26"/>
      <c r="J461" s="26"/>
    </row>
    <row r="462" ht="12.75" customHeight="1">
      <c r="C462" s="26"/>
      <c r="D462" s="26"/>
      <c r="E462" s="26"/>
      <c r="H462" s="26"/>
      <c r="I462" s="26"/>
      <c r="J462" s="26"/>
    </row>
    <row r="463" ht="12.75" customHeight="1">
      <c r="C463" s="26"/>
      <c r="D463" s="26"/>
      <c r="E463" s="26"/>
      <c r="H463" s="26"/>
      <c r="I463" s="26"/>
      <c r="J463" s="26"/>
    </row>
    <row r="464" ht="12.75" customHeight="1">
      <c r="C464" s="26"/>
      <c r="D464" s="26"/>
      <c r="E464" s="26"/>
      <c r="H464" s="26"/>
      <c r="I464" s="26"/>
      <c r="J464" s="26"/>
    </row>
    <row r="465" ht="12.75" customHeight="1">
      <c r="C465" s="26"/>
      <c r="D465" s="26"/>
      <c r="E465" s="26"/>
      <c r="H465" s="26"/>
      <c r="I465" s="26"/>
      <c r="J465" s="26"/>
    </row>
    <row r="466" ht="12.75" customHeight="1">
      <c r="C466" s="26"/>
      <c r="D466" s="26"/>
      <c r="E466" s="26"/>
      <c r="H466" s="26"/>
      <c r="I466" s="26"/>
      <c r="J466" s="26"/>
    </row>
    <row r="467" ht="12.75" customHeight="1">
      <c r="C467" s="26"/>
      <c r="D467" s="26"/>
      <c r="E467" s="26"/>
      <c r="H467" s="26"/>
      <c r="I467" s="26"/>
      <c r="J467" s="26"/>
    </row>
    <row r="468" ht="12.75" customHeight="1">
      <c r="C468" s="26"/>
      <c r="D468" s="26"/>
      <c r="E468" s="26"/>
      <c r="H468" s="26"/>
      <c r="I468" s="26"/>
      <c r="J468" s="26"/>
    </row>
    <row r="469" ht="12.75" customHeight="1">
      <c r="C469" s="26"/>
      <c r="D469" s="26"/>
      <c r="E469" s="26"/>
      <c r="H469" s="26"/>
      <c r="I469" s="26"/>
      <c r="J469" s="26"/>
    </row>
    <row r="470" ht="12.75" customHeight="1">
      <c r="C470" s="26"/>
      <c r="D470" s="26"/>
      <c r="E470" s="26"/>
      <c r="H470" s="26"/>
      <c r="I470" s="26"/>
      <c r="J470" s="26"/>
    </row>
    <row r="471" ht="12.75" customHeight="1">
      <c r="C471" s="26"/>
      <c r="D471" s="26"/>
      <c r="E471" s="26"/>
      <c r="H471" s="26"/>
      <c r="I471" s="26"/>
      <c r="J471" s="26"/>
    </row>
    <row r="472" ht="12.75" customHeight="1">
      <c r="C472" s="26"/>
      <c r="D472" s="26"/>
      <c r="E472" s="26"/>
      <c r="H472" s="26"/>
      <c r="I472" s="26"/>
      <c r="J472" s="26"/>
    </row>
    <row r="473" ht="12.75" customHeight="1">
      <c r="C473" s="26"/>
      <c r="D473" s="26"/>
      <c r="E473" s="26"/>
      <c r="H473" s="26"/>
      <c r="I473" s="26"/>
      <c r="J473" s="26"/>
    </row>
    <row r="474" ht="12.75" customHeight="1">
      <c r="C474" s="26"/>
      <c r="D474" s="26"/>
      <c r="E474" s="26"/>
      <c r="H474" s="26"/>
      <c r="I474" s="26"/>
      <c r="J474" s="26"/>
    </row>
    <row r="475" ht="12.75" customHeight="1">
      <c r="C475" s="26"/>
      <c r="D475" s="26"/>
      <c r="E475" s="26"/>
      <c r="H475" s="26"/>
      <c r="I475" s="26"/>
      <c r="J475" s="26"/>
    </row>
    <row r="476" ht="12.75" customHeight="1">
      <c r="C476" s="26"/>
      <c r="D476" s="26"/>
      <c r="E476" s="26"/>
      <c r="H476" s="26"/>
      <c r="I476" s="26"/>
      <c r="J476" s="26"/>
    </row>
    <row r="477" ht="12.75" customHeight="1">
      <c r="C477" s="26"/>
      <c r="D477" s="26"/>
      <c r="E477" s="26"/>
      <c r="H477" s="26"/>
      <c r="I477" s="26"/>
      <c r="J477" s="26"/>
    </row>
    <row r="478" ht="12.75" customHeight="1">
      <c r="C478" s="26"/>
      <c r="D478" s="26"/>
      <c r="E478" s="26"/>
      <c r="H478" s="26"/>
      <c r="I478" s="26"/>
      <c r="J478" s="26"/>
    </row>
    <row r="479" ht="12.75" customHeight="1">
      <c r="C479" s="26"/>
      <c r="D479" s="26"/>
      <c r="E479" s="26"/>
      <c r="H479" s="26"/>
      <c r="I479" s="26"/>
      <c r="J479" s="26"/>
    </row>
    <row r="480" ht="12.75" customHeight="1">
      <c r="C480" s="26"/>
      <c r="D480" s="26"/>
      <c r="E480" s="26"/>
      <c r="H480" s="26"/>
      <c r="I480" s="26"/>
      <c r="J480" s="26"/>
    </row>
    <row r="481" ht="12.75" customHeight="1">
      <c r="C481" s="26"/>
      <c r="D481" s="26"/>
      <c r="E481" s="26"/>
      <c r="H481" s="26"/>
      <c r="I481" s="26"/>
      <c r="J481" s="26"/>
    </row>
    <row r="482" ht="12.75" customHeight="1">
      <c r="C482" s="26"/>
      <c r="D482" s="26"/>
      <c r="E482" s="26"/>
      <c r="H482" s="26"/>
      <c r="I482" s="26"/>
      <c r="J482" s="26"/>
    </row>
    <row r="483" ht="12.75" customHeight="1">
      <c r="C483" s="26"/>
      <c r="D483" s="26"/>
      <c r="E483" s="26"/>
      <c r="H483" s="26"/>
      <c r="I483" s="26"/>
      <c r="J483" s="26"/>
    </row>
    <row r="484" ht="12.75" customHeight="1">
      <c r="C484" s="26"/>
      <c r="D484" s="26"/>
      <c r="E484" s="26"/>
      <c r="H484" s="26"/>
      <c r="I484" s="26"/>
      <c r="J484" s="26"/>
    </row>
    <row r="485" ht="12.75" customHeight="1">
      <c r="C485" s="26"/>
      <c r="D485" s="26"/>
      <c r="E485" s="26"/>
      <c r="H485" s="26"/>
      <c r="I485" s="26"/>
      <c r="J485" s="26"/>
    </row>
    <row r="486" ht="12.75" customHeight="1">
      <c r="C486" s="26"/>
      <c r="D486" s="26"/>
      <c r="E486" s="26"/>
      <c r="H486" s="26"/>
      <c r="I486" s="26"/>
      <c r="J486" s="26"/>
    </row>
    <row r="487" ht="12.75" customHeight="1">
      <c r="C487" s="26"/>
      <c r="D487" s="26"/>
      <c r="E487" s="26"/>
      <c r="H487" s="26"/>
      <c r="I487" s="26"/>
      <c r="J487" s="26"/>
    </row>
    <row r="488" ht="12.75" customHeight="1">
      <c r="C488" s="26"/>
      <c r="D488" s="26"/>
      <c r="E488" s="26"/>
      <c r="H488" s="26"/>
      <c r="I488" s="26"/>
      <c r="J488" s="26"/>
    </row>
    <row r="489" ht="12.75" customHeight="1">
      <c r="C489" s="26"/>
      <c r="D489" s="26"/>
      <c r="E489" s="26"/>
      <c r="H489" s="26"/>
      <c r="I489" s="26"/>
      <c r="J489" s="26"/>
    </row>
    <row r="490" ht="12.75" customHeight="1">
      <c r="C490" s="26"/>
      <c r="D490" s="26"/>
      <c r="E490" s="26"/>
      <c r="H490" s="26"/>
      <c r="I490" s="26"/>
      <c r="J490" s="26"/>
    </row>
    <row r="491" ht="12.75" customHeight="1">
      <c r="C491" s="26"/>
      <c r="D491" s="26"/>
      <c r="E491" s="26"/>
      <c r="H491" s="26"/>
      <c r="I491" s="26"/>
      <c r="J491" s="26"/>
    </row>
    <row r="492" ht="12.75" customHeight="1">
      <c r="C492" s="26"/>
      <c r="D492" s="26"/>
      <c r="E492" s="26"/>
      <c r="H492" s="26"/>
      <c r="I492" s="26"/>
      <c r="J492" s="26"/>
    </row>
    <row r="493" ht="12.75" customHeight="1">
      <c r="C493" s="26"/>
      <c r="D493" s="26"/>
      <c r="E493" s="26"/>
      <c r="H493" s="26"/>
      <c r="I493" s="26"/>
      <c r="J493" s="26"/>
    </row>
    <row r="494" ht="12.75" customHeight="1">
      <c r="C494" s="26"/>
      <c r="D494" s="26"/>
      <c r="E494" s="26"/>
      <c r="H494" s="26"/>
      <c r="I494" s="26"/>
      <c r="J494" s="26"/>
    </row>
    <row r="495" ht="12.75" customHeight="1">
      <c r="C495" s="26"/>
      <c r="D495" s="26"/>
      <c r="E495" s="26"/>
      <c r="H495" s="26"/>
      <c r="I495" s="26"/>
      <c r="J495" s="26"/>
    </row>
    <row r="496" ht="12.75" customHeight="1">
      <c r="C496" s="26"/>
      <c r="D496" s="26"/>
      <c r="E496" s="26"/>
      <c r="H496" s="26"/>
      <c r="I496" s="26"/>
      <c r="J496" s="26"/>
    </row>
    <row r="497" ht="12.75" customHeight="1">
      <c r="C497" s="26"/>
      <c r="D497" s="26"/>
      <c r="E497" s="26"/>
      <c r="H497" s="26"/>
      <c r="I497" s="26"/>
      <c r="J497" s="26"/>
    </row>
    <row r="498" ht="12.75" customHeight="1">
      <c r="C498" s="26"/>
      <c r="D498" s="26"/>
      <c r="E498" s="26"/>
      <c r="H498" s="26"/>
      <c r="I498" s="26"/>
      <c r="J498" s="26"/>
    </row>
    <row r="499" ht="12.75" customHeight="1">
      <c r="C499" s="26"/>
      <c r="D499" s="26"/>
      <c r="E499" s="26"/>
      <c r="H499" s="26"/>
      <c r="I499" s="26"/>
      <c r="J499" s="26"/>
    </row>
    <row r="500" ht="12.75" customHeight="1">
      <c r="C500" s="26"/>
      <c r="D500" s="26"/>
      <c r="E500" s="26"/>
      <c r="H500" s="26"/>
      <c r="I500" s="26"/>
      <c r="J500" s="26"/>
    </row>
    <row r="501" ht="12.75" customHeight="1">
      <c r="C501" s="26"/>
      <c r="D501" s="26"/>
      <c r="E501" s="26"/>
      <c r="H501" s="26"/>
      <c r="I501" s="26"/>
      <c r="J501" s="26"/>
    </row>
    <row r="502" ht="12.75" customHeight="1">
      <c r="C502" s="26"/>
      <c r="D502" s="26"/>
      <c r="E502" s="26"/>
      <c r="H502" s="26"/>
      <c r="I502" s="26"/>
      <c r="J502" s="26"/>
    </row>
    <row r="503" ht="12.75" customHeight="1">
      <c r="C503" s="26"/>
      <c r="D503" s="26"/>
      <c r="E503" s="26"/>
      <c r="H503" s="26"/>
      <c r="I503" s="26"/>
      <c r="J503" s="26"/>
    </row>
    <row r="504" ht="12.75" customHeight="1">
      <c r="C504" s="26"/>
      <c r="D504" s="26"/>
      <c r="E504" s="26"/>
      <c r="H504" s="26"/>
      <c r="I504" s="26"/>
      <c r="J504" s="26"/>
    </row>
    <row r="505" ht="12.75" customHeight="1">
      <c r="C505" s="26"/>
      <c r="D505" s="26"/>
      <c r="E505" s="26"/>
      <c r="H505" s="26"/>
      <c r="I505" s="26"/>
      <c r="J505" s="26"/>
    </row>
    <row r="506" ht="12.75" customHeight="1">
      <c r="C506" s="26"/>
      <c r="D506" s="26"/>
      <c r="E506" s="26"/>
      <c r="H506" s="26"/>
      <c r="I506" s="26"/>
      <c r="J506" s="26"/>
    </row>
    <row r="507" ht="12.75" customHeight="1">
      <c r="C507" s="26"/>
      <c r="D507" s="26"/>
      <c r="E507" s="26"/>
      <c r="H507" s="26"/>
      <c r="I507" s="26"/>
      <c r="J507" s="26"/>
    </row>
    <row r="508" ht="12.75" customHeight="1">
      <c r="C508" s="26"/>
      <c r="D508" s="26"/>
      <c r="E508" s="26"/>
      <c r="H508" s="26"/>
      <c r="I508" s="26"/>
      <c r="J508" s="26"/>
    </row>
    <row r="509" ht="12.75" customHeight="1">
      <c r="C509" s="26"/>
      <c r="D509" s="26"/>
      <c r="E509" s="26"/>
      <c r="H509" s="26"/>
      <c r="I509" s="26"/>
      <c r="J509" s="26"/>
    </row>
    <row r="510" ht="12.75" customHeight="1">
      <c r="C510" s="26"/>
      <c r="D510" s="26"/>
      <c r="E510" s="26"/>
      <c r="H510" s="26"/>
      <c r="I510" s="26"/>
      <c r="J510" s="26"/>
    </row>
    <row r="511" ht="12.75" customHeight="1">
      <c r="C511" s="26"/>
      <c r="D511" s="26"/>
      <c r="E511" s="26"/>
      <c r="H511" s="26"/>
      <c r="I511" s="26"/>
      <c r="J511" s="26"/>
    </row>
    <row r="512" ht="12.75" customHeight="1">
      <c r="C512" s="26"/>
      <c r="D512" s="26"/>
      <c r="E512" s="26"/>
      <c r="H512" s="26"/>
      <c r="I512" s="26"/>
      <c r="J512" s="26"/>
    </row>
    <row r="513" ht="12.75" customHeight="1">
      <c r="C513" s="26"/>
      <c r="D513" s="26"/>
      <c r="E513" s="26"/>
      <c r="H513" s="26"/>
      <c r="I513" s="26"/>
      <c r="J513" s="26"/>
    </row>
    <row r="514" ht="12.75" customHeight="1">
      <c r="C514" s="26"/>
      <c r="D514" s="26"/>
      <c r="E514" s="26"/>
      <c r="H514" s="26"/>
      <c r="I514" s="26"/>
      <c r="J514" s="26"/>
    </row>
    <row r="515" ht="12.75" customHeight="1">
      <c r="C515" s="26"/>
      <c r="D515" s="26"/>
      <c r="E515" s="26"/>
      <c r="H515" s="26"/>
      <c r="I515" s="26"/>
      <c r="J515" s="26"/>
    </row>
    <row r="516" ht="12.75" customHeight="1">
      <c r="C516" s="26"/>
      <c r="D516" s="26"/>
      <c r="E516" s="26"/>
      <c r="H516" s="26"/>
      <c r="I516" s="26"/>
      <c r="J516" s="26"/>
    </row>
    <row r="517" ht="12.75" customHeight="1">
      <c r="C517" s="26"/>
      <c r="D517" s="26"/>
      <c r="E517" s="26"/>
      <c r="H517" s="26"/>
      <c r="I517" s="26"/>
      <c r="J517" s="26"/>
    </row>
    <row r="518" ht="12.75" customHeight="1">
      <c r="C518" s="26"/>
      <c r="D518" s="26"/>
      <c r="E518" s="26"/>
      <c r="H518" s="26"/>
      <c r="I518" s="26"/>
      <c r="J518" s="26"/>
    </row>
    <row r="519" ht="12.75" customHeight="1">
      <c r="C519" s="26"/>
      <c r="D519" s="26"/>
      <c r="E519" s="26"/>
      <c r="H519" s="26"/>
      <c r="I519" s="26"/>
      <c r="J519" s="26"/>
    </row>
    <row r="520" ht="12.75" customHeight="1">
      <c r="C520" s="26"/>
      <c r="D520" s="26"/>
      <c r="E520" s="26"/>
      <c r="H520" s="26"/>
      <c r="I520" s="26"/>
      <c r="J520" s="26"/>
    </row>
    <row r="521" ht="12.75" customHeight="1">
      <c r="C521" s="26"/>
      <c r="D521" s="26"/>
      <c r="E521" s="26"/>
      <c r="H521" s="26"/>
      <c r="I521" s="26"/>
      <c r="J521" s="26"/>
    </row>
    <row r="522" ht="12.75" customHeight="1">
      <c r="C522" s="26"/>
      <c r="D522" s="26"/>
      <c r="E522" s="26"/>
      <c r="H522" s="26"/>
      <c r="I522" s="26"/>
      <c r="J522" s="26"/>
    </row>
    <row r="523" ht="12.75" customHeight="1">
      <c r="C523" s="26"/>
      <c r="D523" s="26"/>
      <c r="E523" s="26"/>
      <c r="H523" s="26"/>
      <c r="I523" s="26"/>
      <c r="J523" s="26"/>
    </row>
    <row r="524" ht="12.75" customHeight="1">
      <c r="C524" s="26"/>
      <c r="D524" s="26"/>
      <c r="E524" s="26"/>
      <c r="H524" s="26"/>
      <c r="I524" s="26"/>
      <c r="J524" s="26"/>
    </row>
    <row r="525" ht="12.75" customHeight="1">
      <c r="C525" s="26"/>
      <c r="D525" s="26"/>
      <c r="E525" s="26"/>
      <c r="H525" s="26"/>
      <c r="I525" s="26"/>
      <c r="J525" s="26"/>
    </row>
    <row r="526" ht="12.75" customHeight="1">
      <c r="C526" s="26"/>
      <c r="D526" s="26"/>
      <c r="E526" s="26"/>
      <c r="H526" s="26"/>
      <c r="I526" s="26"/>
      <c r="J526" s="26"/>
    </row>
    <row r="527" ht="12.75" customHeight="1">
      <c r="C527" s="26"/>
      <c r="D527" s="26"/>
      <c r="E527" s="26"/>
      <c r="H527" s="26"/>
      <c r="I527" s="26"/>
      <c r="J527" s="26"/>
    </row>
    <row r="528" ht="12.75" customHeight="1">
      <c r="C528" s="26"/>
      <c r="D528" s="26"/>
      <c r="E528" s="26"/>
      <c r="H528" s="26"/>
      <c r="I528" s="26"/>
      <c r="J528" s="26"/>
    </row>
    <row r="529" ht="12.75" customHeight="1">
      <c r="C529" s="26"/>
      <c r="D529" s="26"/>
      <c r="E529" s="26"/>
      <c r="H529" s="26"/>
      <c r="I529" s="26"/>
      <c r="J529" s="26"/>
    </row>
    <row r="530" ht="12.75" customHeight="1">
      <c r="C530" s="26"/>
      <c r="D530" s="26"/>
      <c r="E530" s="26"/>
      <c r="H530" s="26"/>
      <c r="I530" s="26"/>
      <c r="J530" s="26"/>
    </row>
    <row r="531" ht="12.75" customHeight="1">
      <c r="C531" s="26"/>
      <c r="D531" s="26"/>
      <c r="E531" s="26"/>
      <c r="H531" s="26"/>
      <c r="I531" s="26"/>
      <c r="J531" s="26"/>
    </row>
    <row r="532" ht="12.75" customHeight="1">
      <c r="C532" s="26"/>
      <c r="D532" s="26"/>
      <c r="E532" s="26"/>
      <c r="H532" s="26"/>
      <c r="I532" s="26"/>
      <c r="J532" s="26"/>
    </row>
    <row r="533" ht="12.75" customHeight="1">
      <c r="C533" s="26"/>
      <c r="D533" s="26"/>
      <c r="E533" s="26"/>
      <c r="H533" s="26"/>
      <c r="I533" s="26"/>
      <c r="J533" s="26"/>
    </row>
    <row r="534" ht="12.75" customHeight="1">
      <c r="C534" s="26"/>
      <c r="D534" s="26"/>
      <c r="E534" s="26"/>
      <c r="H534" s="26"/>
      <c r="I534" s="26"/>
      <c r="J534" s="26"/>
    </row>
    <row r="535" ht="12.75" customHeight="1">
      <c r="C535" s="26"/>
      <c r="D535" s="26"/>
      <c r="E535" s="26"/>
      <c r="H535" s="26"/>
      <c r="I535" s="26"/>
      <c r="J535" s="26"/>
    </row>
    <row r="536" ht="12.75" customHeight="1">
      <c r="C536" s="26"/>
      <c r="D536" s="26"/>
      <c r="E536" s="26"/>
      <c r="H536" s="26"/>
      <c r="I536" s="26"/>
      <c r="J536" s="26"/>
    </row>
    <row r="537" ht="12.75" customHeight="1">
      <c r="C537" s="26"/>
      <c r="D537" s="26"/>
      <c r="E537" s="26"/>
      <c r="H537" s="26"/>
      <c r="I537" s="26"/>
      <c r="J537" s="26"/>
    </row>
    <row r="538" ht="12.75" customHeight="1">
      <c r="C538" s="26"/>
      <c r="D538" s="26"/>
      <c r="E538" s="26"/>
      <c r="H538" s="26"/>
      <c r="I538" s="26"/>
      <c r="J538" s="26"/>
    </row>
    <row r="539" ht="12.75" customHeight="1">
      <c r="C539" s="26"/>
      <c r="D539" s="26"/>
      <c r="E539" s="26"/>
      <c r="H539" s="26"/>
      <c r="I539" s="26"/>
      <c r="J539" s="26"/>
    </row>
    <row r="540" ht="12.75" customHeight="1">
      <c r="C540" s="26"/>
      <c r="D540" s="26"/>
      <c r="E540" s="26"/>
      <c r="H540" s="26"/>
      <c r="I540" s="26"/>
      <c r="J540" s="26"/>
    </row>
    <row r="541" ht="12.75" customHeight="1">
      <c r="C541" s="26"/>
      <c r="D541" s="26"/>
      <c r="E541" s="26"/>
      <c r="H541" s="26"/>
      <c r="I541" s="26"/>
      <c r="J541" s="26"/>
    </row>
    <row r="542" ht="12.75" customHeight="1">
      <c r="C542" s="26"/>
      <c r="D542" s="26"/>
      <c r="E542" s="26"/>
      <c r="H542" s="26"/>
      <c r="I542" s="26"/>
      <c r="J542" s="26"/>
    </row>
    <row r="543" ht="12.75" customHeight="1">
      <c r="C543" s="26"/>
      <c r="D543" s="26"/>
      <c r="E543" s="26"/>
      <c r="H543" s="26"/>
      <c r="I543" s="26"/>
      <c r="J543" s="26"/>
    </row>
    <row r="544" ht="12.75" customHeight="1">
      <c r="C544" s="26"/>
      <c r="D544" s="26"/>
      <c r="E544" s="26"/>
      <c r="H544" s="26"/>
      <c r="I544" s="26"/>
      <c r="J544" s="26"/>
    </row>
    <row r="545" ht="12.75" customHeight="1">
      <c r="C545" s="26"/>
      <c r="D545" s="26"/>
      <c r="E545" s="26"/>
      <c r="H545" s="26"/>
      <c r="I545" s="26"/>
      <c r="J545" s="26"/>
    </row>
    <row r="546" ht="12.75" customHeight="1">
      <c r="C546" s="26"/>
      <c r="D546" s="26"/>
      <c r="E546" s="26"/>
      <c r="H546" s="26"/>
      <c r="I546" s="26"/>
      <c r="J546" s="26"/>
    </row>
    <row r="547" ht="12.75" customHeight="1">
      <c r="C547" s="26"/>
      <c r="D547" s="26"/>
      <c r="E547" s="26"/>
      <c r="H547" s="26"/>
      <c r="I547" s="26"/>
      <c r="J547" s="26"/>
    </row>
    <row r="548" ht="12.75" customHeight="1">
      <c r="C548" s="26"/>
      <c r="D548" s="26"/>
      <c r="E548" s="26"/>
      <c r="H548" s="26"/>
      <c r="I548" s="26"/>
      <c r="J548" s="26"/>
    </row>
    <row r="549" ht="12.75" customHeight="1">
      <c r="C549" s="26"/>
      <c r="D549" s="26"/>
      <c r="E549" s="26"/>
      <c r="H549" s="26"/>
      <c r="I549" s="26"/>
      <c r="J549" s="26"/>
    </row>
    <row r="550" ht="12.75" customHeight="1">
      <c r="C550" s="26"/>
      <c r="D550" s="26"/>
      <c r="E550" s="26"/>
      <c r="H550" s="26"/>
      <c r="I550" s="26"/>
      <c r="J550" s="26"/>
    </row>
    <row r="551" ht="12.75" customHeight="1">
      <c r="C551" s="26"/>
      <c r="D551" s="26"/>
      <c r="E551" s="26"/>
      <c r="H551" s="26"/>
      <c r="I551" s="26"/>
      <c r="J551" s="26"/>
    </row>
    <row r="552" ht="12.75" customHeight="1">
      <c r="C552" s="26"/>
      <c r="D552" s="26"/>
      <c r="E552" s="26"/>
      <c r="H552" s="26"/>
      <c r="I552" s="26"/>
      <c r="J552" s="26"/>
    </row>
    <row r="553" ht="12.75" customHeight="1">
      <c r="C553" s="26"/>
      <c r="D553" s="26"/>
      <c r="E553" s="26"/>
      <c r="H553" s="26"/>
      <c r="I553" s="26"/>
      <c r="J553" s="26"/>
    </row>
    <row r="554" ht="12.75" customHeight="1">
      <c r="C554" s="26"/>
      <c r="D554" s="26"/>
      <c r="E554" s="26"/>
      <c r="H554" s="26"/>
      <c r="I554" s="26"/>
      <c r="J554" s="26"/>
    </row>
    <row r="555" ht="12.75" customHeight="1">
      <c r="C555" s="26"/>
      <c r="D555" s="26"/>
      <c r="E555" s="26"/>
      <c r="H555" s="26"/>
      <c r="I555" s="26"/>
      <c r="J555" s="26"/>
    </row>
    <row r="556" ht="12.75" customHeight="1">
      <c r="C556" s="26"/>
      <c r="D556" s="26"/>
      <c r="E556" s="26"/>
      <c r="H556" s="26"/>
      <c r="I556" s="26"/>
      <c r="J556" s="26"/>
    </row>
    <row r="557" ht="12.75" customHeight="1">
      <c r="C557" s="26"/>
      <c r="D557" s="26"/>
      <c r="E557" s="26"/>
      <c r="H557" s="26"/>
      <c r="I557" s="26"/>
      <c r="J557" s="26"/>
    </row>
    <row r="558" ht="12.75" customHeight="1">
      <c r="C558" s="26"/>
      <c r="D558" s="26"/>
      <c r="E558" s="26"/>
      <c r="H558" s="26"/>
      <c r="I558" s="26"/>
      <c r="J558" s="26"/>
    </row>
    <row r="559" ht="12.75" customHeight="1">
      <c r="C559" s="26"/>
      <c r="D559" s="26"/>
      <c r="E559" s="26"/>
      <c r="H559" s="26"/>
      <c r="I559" s="26"/>
      <c r="J559" s="26"/>
    </row>
    <row r="560" ht="12.75" customHeight="1">
      <c r="C560" s="26"/>
      <c r="D560" s="26"/>
      <c r="E560" s="26"/>
      <c r="H560" s="26"/>
      <c r="I560" s="26"/>
      <c r="J560" s="26"/>
    </row>
    <row r="561" ht="12.75" customHeight="1">
      <c r="C561" s="26"/>
      <c r="D561" s="26"/>
      <c r="E561" s="26"/>
      <c r="H561" s="26"/>
      <c r="I561" s="26"/>
      <c r="J561" s="26"/>
    </row>
    <row r="562" ht="12.75" customHeight="1">
      <c r="C562" s="26"/>
      <c r="D562" s="26"/>
      <c r="E562" s="26"/>
      <c r="H562" s="26"/>
      <c r="I562" s="26"/>
      <c r="J562" s="26"/>
    </row>
    <row r="563" ht="12.75" customHeight="1">
      <c r="C563" s="26"/>
      <c r="D563" s="26"/>
      <c r="E563" s="26"/>
      <c r="H563" s="26"/>
      <c r="I563" s="26"/>
      <c r="J563" s="26"/>
    </row>
    <row r="564" ht="12.75" customHeight="1">
      <c r="C564" s="26"/>
      <c r="D564" s="26"/>
      <c r="E564" s="26"/>
      <c r="H564" s="26"/>
      <c r="I564" s="26"/>
      <c r="J564" s="26"/>
    </row>
    <row r="565" ht="12.75" customHeight="1">
      <c r="C565" s="26"/>
      <c r="D565" s="26"/>
      <c r="E565" s="26"/>
      <c r="H565" s="26"/>
      <c r="I565" s="26"/>
      <c r="J565" s="26"/>
    </row>
    <row r="566" ht="12.75" customHeight="1">
      <c r="C566" s="26"/>
      <c r="D566" s="26"/>
      <c r="E566" s="26"/>
      <c r="H566" s="26"/>
      <c r="I566" s="26"/>
      <c r="J566" s="26"/>
    </row>
    <row r="567" ht="12.75" customHeight="1">
      <c r="C567" s="26"/>
      <c r="D567" s="26"/>
      <c r="E567" s="26"/>
      <c r="H567" s="26"/>
      <c r="I567" s="26"/>
      <c r="J567" s="26"/>
    </row>
    <row r="568" ht="12.75" customHeight="1">
      <c r="C568" s="26"/>
      <c r="D568" s="26"/>
      <c r="E568" s="26"/>
      <c r="H568" s="26"/>
      <c r="I568" s="26"/>
      <c r="J568" s="26"/>
    </row>
    <row r="569" ht="12.75" customHeight="1">
      <c r="C569" s="26"/>
      <c r="D569" s="26"/>
      <c r="E569" s="26"/>
      <c r="H569" s="26"/>
      <c r="I569" s="26"/>
      <c r="J569" s="26"/>
    </row>
    <row r="570" ht="12.75" customHeight="1">
      <c r="C570" s="26"/>
      <c r="D570" s="26"/>
      <c r="E570" s="26"/>
      <c r="H570" s="26"/>
      <c r="I570" s="26"/>
      <c r="J570" s="26"/>
    </row>
    <row r="571" ht="12.75" customHeight="1">
      <c r="C571" s="26"/>
      <c r="D571" s="26"/>
      <c r="E571" s="26"/>
      <c r="H571" s="26"/>
      <c r="I571" s="26"/>
      <c r="J571" s="26"/>
    </row>
    <row r="572" ht="12.75" customHeight="1">
      <c r="C572" s="26"/>
      <c r="D572" s="26"/>
      <c r="E572" s="26"/>
      <c r="H572" s="26"/>
      <c r="I572" s="26"/>
      <c r="J572" s="26"/>
    </row>
    <row r="573" ht="12.75" customHeight="1">
      <c r="C573" s="26"/>
      <c r="D573" s="26"/>
      <c r="E573" s="26"/>
      <c r="H573" s="26"/>
      <c r="I573" s="26"/>
      <c r="J573" s="26"/>
    </row>
    <row r="574" ht="12.75" customHeight="1">
      <c r="C574" s="26"/>
      <c r="D574" s="26"/>
      <c r="E574" s="26"/>
      <c r="H574" s="26"/>
      <c r="I574" s="26"/>
      <c r="J574" s="26"/>
    </row>
    <row r="575" ht="12.75" customHeight="1">
      <c r="C575" s="26"/>
      <c r="D575" s="26"/>
      <c r="E575" s="26"/>
      <c r="H575" s="26"/>
      <c r="I575" s="26"/>
      <c r="J575" s="26"/>
    </row>
    <row r="576" ht="12.75" customHeight="1">
      <c r="C576" s="26"/>
      <c r="D576" s="26"/>
      <c r="E576" s="26"/>
      <c r="H576" s="26"/>
      <c r="I576" s="26"/>
      <c r="J576" s="26"/>
    </row>
    <row r="577" ht="12.75" customHeight="1">
      <c r="C577" s="26"/>
      <c r="D577" s="26"/>
      <c r="E577" s="26"/>
      <c r="H577" s="26"/>
      <c r="I577" s="26"/>
      <c r="J577" s="26"/>
    </row>
    <row r="578" ht="12.75" customHeight="1">
      <c r="C578" s="26"/>
      <c r="D578" s="26"/>
      <c r="E578" s="26"/>
      <c r="H578" s="26"/>
      <c r="I578" s="26"/>
      <c r="J578" s="26"/>
    </row>
    <row r="579" ht="12.75" customHeight="1">
      <c r="C579" s="26"/>
      <c r="D579" s="26"/>
      <c r="E579" s="26"/>
      <c r="H579" s="26"/>
      <c r="I579" s="26"/>
      <c r="J579" s="26"/>
    </row>
    <row r="580" ht="12.75" customHeight="1">
      <c r="C580" s="26"/>
      <c r="D580" s="26"/>
      <c r="E580" s="26"/>
      <c r="H580" s="26"/>
      <c r="I580" s="26"/>
      <c r="J580" s="26"/>
    </row>
    <row r="581" ht="12.75" customHeight="1">
      <c r="C581" s="26"/>
      <c r="D581" s="26"/>
      <c r="E581" s="26"/>
      <c r="H581" s="26"/>
      <c r="I581" s="26"/>
      <c r="J581" s="26"/>
    </row>
    <row r="582" ht="12.75" customHeight="1">
      <c r="C582" s="26"/>
      <c r="D582" s="26"/>
      <c r="E582" s="26"/>
      <c r="H582" s="26"/>
      <c r="I582" s="26"/>
      <c r="J582" s="26"/>
    </row>
    <row r="583" ht="12.75" customHeight="1">
      <c r="C583" s="26"/>
      <c r="D583" s="26"/>
      <c r="E583" s="26"/>
      <c r="H583" s="26"/>
      <c r="I583" s="26"/>
      <c r="J583" s="26"/>
    </row>
    <row r="584" ht="12.75" customHeight="1">
      <c r="C584" s="26"/>
      <c r="D584" s="26"/>
      <c r="E584" s="26"/>
      <c r="H584" s="26"/>
      <c r="I584" s="26"/>
      <c r="J584" s="26"/>
    </row>
    <row r="585" ht="12.75" customHeight="1">
      <c r="C585" s="26"/>
      <c r="D585" s="26"/>
      <c r="E585" s="26"/>
      <c r="H585" s="26"/>
      <c r="I585" s="26"/>
      <c r="J585" s="26"/>
    </row>
    <row r="586" ht="12.75" customHeight="1">
      <c r="C586" s="26"/>
      <c r="D586" s="26"/>
      <c r="E586" s="26"/>
      <c r="H586" s="26"/>
      <c r="I586" s="26"/>
      <c r="J586" s="26"/>
    </row>
    <row r="587" ht="12.75" customHeight="1">
      <c r="C587" s="26"/>
      <c r="D587" s="26"/>
      <c r="E587" s="26"/>
      <c r="H587" s="26"/>
      <c r="I587" s="26"/>
      <c r="J587" s="26"/>
    </row>
    <row r="588" ht="12.75" customHeight="1">
      <c r="C588" s="26"/>
      <c r="D588" s="26"/>
      <c r="E588" s="26"/>
      <c r="H588" s="26"/>
      <c r="I588" s="26"/>
      <c r="J588" s="26"/>
    </row>
    <row r="589" ht="12.75" customHeight="1">
      <c r="C589" s="26"/>
      <c r="D589" s="26"/>
      <c r="E589" s="26"/>
      <c r="H589" s="26"/>
      <c r="I589" s="26"/>
      <c r="J589" s="26"/>
    </row>
    <row r="590" ht="12.75" customHeight="1">
      <c r="C590" s="26"/>
      <c r="D590" s="26"/>
      <c r="E590" s="26"/>
      <c r="H590" s="26"/>
      <c r="I590" s="26"/>
      <c r="J590" s="26"/>
    </row>
    <row r="591" ht="12.75" customHeight="1">
      <c r="C591" s="26"/>
      <c r="D591" s="26"/>
      <c r="E591" s="26"/>
      <c r="H591" s="26"/>
      <c r="I591" s="26"/>
      <c r="J591" s="26"/>
    </row>
    <row r="592" ht="12.75" customHeight="1">
      <c r="C592" s="26"/>
      <c r="D592" s="26"/>
      <c r="E592" s="26"/>
      <c r="H592" s="26"/>
      <c r="I592" s="26"/>
      <c r="J592" s="26"/>
    </row>
    <row r="593" ht="12.75" customHeight="1">
      <c r="C593" s="26"/>
      <c r="D593" s="26"/>
      <c r="E593" s="26"/>
      <c r="H593" s="26"/>
      <c r="I593" s="26"/>
      <c r="J593" s="26"/>
    </row>
    <row r="594" ht="12.75" customHeight="1">
      <c r="C594" s="26"/>
      <c r="D594" s="26"/>
      <c r="E594" s="26"/>
      <c r="H594" s="26"/>
      <c r="I594" s="26"/>
      <c r="J594" s="26"/>
    </row>
    <row r="595" ht="12.75" customHeight="1">
      <c r="C595" s="26"/>
      <c r="D595" s="26"/>
      <c r="E595" s="26"/>
      <c r="H595" s="26"/>
      <c r="I595" s="26"/>
      <c r="J595" s="26"/>
    </row>
    <row r="596" ht="12.75" customHeight="1">
      <c r="C596" s="26"/>
      <c r="D596" s="26"/>
      <c r="E596" s="26"/>
      <c r="H596" s="26"/>
      <c r="I596" s="26"/>
      <c r="J596" s="26"/>
    </row>
    <row r="597" ht="12.75" customHeight="1">
      <c r="C597" s="26"/>
      <c r="D597" s="26"/>
      <c r="E597" s="26"/>
      <c r="H597" s="26"/>
      <c r="I597" s="26"/>
      <c r="J597" s="26"/>
    </row>
    <row r="598" ht="12.75" customHeight="1">
      <c r="C598" s="26"/>
      <c r="D598" s="26"/>
      <c r="E598" s="26"/>
      <c r="H598" s="26"/>
      <c r="I598" s="26"/>
      <c r="J598" s="26"/>
    </row>
    <row r="599" ht="12.75" customHeight="1">
      <c r="C599" s="26"/>
      <c r="D599" s="26"/>
      <c r="E599" s="26"/>
      <c r="H599" s="26"/>
      <c r="I599" s="26"/>
      <c r="J599" s="26"/>
    </row>
    <row r="600" ht="12.75" customHeight="1">
      <c r="C600" s="26"/>
      <c r="D600" s="26"/>
      <c r="E600" s="26"/>
      <c r="H600" s="26"/>
      <c r="I600" s="26"/>
      <c r="J600" s="26"/>
    </row>
    <row r="601" ht="12.75" customHeight="1">
      <c r="C601" s="26"/>
      <c r="D601" s="26"/>
      <c r="E601" s="26"/>
      <c r="H601" s="26"/>
      <c r="I601" s="26"/>
      <c r="J601" s="26"/>
    </row>
    <row r="602" ht="12.75" customHeight="1">
      <c r="C602" s="26"/>
      <c r="D602" s="26"/>
      <c r="E602" s="26"/>
      <c r="H602" s="26"/>
      <c r="I602" s="26"/>
      <c r="J602" s="26"/>
    </row>
    <row r="603" ht="12.75" customHeight="1">
      <c r="C603" s="26"/>
      <c r="D603" s="26"/>
      <c r="E603" s="26"/>
      <c r="H603" s="26"/>
      <c r="I603" s="26"/>
      <c r="J603" s="26"/>
    </row>
    <row r="604" ht="12.75" customHeight="1">
      <c r="C604" s="26"/>
      <c r="D604" s="26"/>
      <c r="E604" s="26"/>
      <c r="H604" s="26"/>
      <c r="I604" s="26"/>
      <c r="J604" s="26"/>
    </row>
    <row r="605" ht="12.75" customHeight="1">
      <c r="C605" s="26"/>
      <c r="D605" s="26"/>
      <c r="E605" s="26"/>
      <c r="H605" s="26"/>
      <c r="I605" s="26"/>
      <c r="J605" s="26"/>
    </row>
    <row r="606" ht="12.75" customHeight="1">
      <c r="C606" s="26"/>
      <c r="D606" s="26"/>
      <c r="E606" s="26"/>
      <c r="H606" s="26"/>
      <c r="I606" s="26"/>
      <c r="J606" s="26"/>
    </row>
    <row r="607" ht="12.75" customHeight="1">
      <c r="C607" s="26"/>
      <c r="D607" s="26"/>
      <c r="E607" s="26"/>
      <c r="H607" s="26"/>
      <c r="I607" s="26"/>
      <c r="J607" s="26"/>
    </row>
    <row r="608" ht="12.75" customHeight="1">
      <c r="C608" s="26"/>
      <c r="D608" s="26"/>
      <c r="E608" s="26"/>
      <c r="H608" s="26"/>
      <c r="I608" s="26"/>
      <c r="J608" s="26"/>
    </row>
    <row r="609" ht="12.75" customHeight="1">
      <c r="C609" s="26"/>
      <c r="D609" s="26"/>
      <c r="E609" s="26"/>
      <c r="H609" s="26"/>
      <c r="I609" s="26"/>
      <c r="J609" s="26"/>
    </row>
    <row r="610" ht="12.75" customHeight="1">
      <c r="C610" s="26"/>
      <c r="D610" s="26"/>
      <c r="E610" s="26"/>
      <c r="H610" s="26"/>
      <c r="I610" s="26"/>
      <c r="J610" s="26"/>
    </row>
    <row r="611" ht="12.75" customHeight="1">
      <c r="C611" s="26"/>
      <c r="D611" s="26"/>
      <c r="E611" s="26"/>
      <c r="H611" s="26"/>
      <c r="I611" s="26"/>
      <c r="J611" s="26"/>
    </row>
    <row r="612" ht="12.75" customHeight="1">
      <c r="C612" s="26"/>
      <c r="D612" s="26"/>
      <c r="E612" s="26"/>
      <c r="H612" s="26"/>
      <c r="I612" s="26"/>
      <c r="J612" s="26"/>
    </row>
    <row r="613" ht="12.75" customHeight="1">
      <c r="C613" s="26"/>
      <c r="D613" s="26"/>
      <c r="E613" s="26"/>
      <c r="H613" s="26"/>
      <c r="I613" s="26"/>
      <c r="J613" s="26"/>
    </row>
    <row r="614" ht="12.75" customHeight="1">
      <c r="C614" s="26"/>
      <c r="D614" s="26"/>
      <c r="E614" s="26"/>
      <c r="H614" s="26"/>
      <c r="I614" s="26"/>
      <c r="J614" s="26"/>
    </row>
    <row r="615" ht="12.75" customHeight="1">
      <c r="C615" s="26"/>
      <c r="D615" s="26"/>
      <c r="E615" s="26"/>
      <c r="H615" s="26"/>
      <c r="I615" s="26"/>
      <c r="J615" s="26"/>
    </row>
    <row r="616" ht="12.75" customHeight="1">
      <c r="C616" s="26"/>
      <c r="D616" s="26"/>
      <c r="E616" s="26"/>
      <c r="H616" s="26"/>
      <c r="I616" s="26"/>
      <c r="J616" s="26"/>
    </row>
    <row r="617" ht="12.75" customHeight="1">
      <c r="C617" s="26"/>
      <c r="D617" s="26"/>
      <c r="E617" s="26"/>
      <c r="H617" s="26"/>
      <c r="I617" s="26"/>
      <c r="J617" s="26"/>
    </row>
    <row r="618" ht="12.75" customHeight="1">
      <c r="C618" s="26"/>
      <c r="D618" s="26"/>
      <c r="E618" s="26"/>
      <c r="H618" s="26"/>
      <c r="I618" s="26"/>
      <c r="J618" s="26"/>
    </row>
    <row r="619" ht="12.75" customHeight="1">
      <c r="C619" s="26"/>
      <c r="D619" s="26"/>
      <c r="E619" s="26"/>
      <c r="H619" s="26"/>
      <c r="I619" s="26"/>
      <c r="J619" s="26"/>
    </row>
    <row r="620" ht="12.75" customHeight="1">
      <c r="C620" s="26"/>
      <c r="D620" s="26"/>
      <c r="E620" s="26"/>
      <c r="H620" s="26"/>
      <c r="I620" s="26"/>
      <c r="J620" s="26"/>
    </row>
    <row r="621" ht="12.75" customHeight="1">
      <c r="C621" s="26"/>
      <c r="D621" s="26"/>
      <c r="E621" s="26"/>
      <c r="H621" s="26"/>
      <c r="I621" s="26"/>
      <c r="J621" s="26"/>
    </row>
    <row r="622" ht="12.75" customHeight="1">
      <c r="C622" s="26"/>
      <c r="D622" s="26"/>
      <c r="E622" s="26"/>
      <c r="H622" s="26"/>
      <c r="I622" s="26"/>
      <c r="J622" s="26"/>
    </row>
    <row r="623" ht="12.75" customHeight="1">
      <c r="C623" s="26"/>
      <c r="D623" s="26"/>
      <c r="E623" s="26"/>
      <c r="H623" s="26"/>
      <c r="I623" s="26"/>
      <c r="J623" s="26"/>
    </row>
    <row r="624" ht="12.75" customHeight="1">
      <c r="C624" s="26"/>
      <c r="D624" s="26"/>
      <c r="E624" s="26"/>
      <c r="H624" s="26"/>
      <c r="I624" s="26"/>
      <c r="J624" s="26"/>
    </row>
    <row r="625" ht="12.75" customHeight="1">
      <c r="C625" s="26"/>
      <c r="D625" s="26"/>
      <c r="E625" s="26"/>
      <c r="H625" s="26"/>
      <c r="I625" s="26"/>
      <c r="J625" s="26"/>
    </row>
    <row r="626" ht="12.75" customHeight="1">
      <c r="C626" s="26"/>
      <c r="D626" s="26"/>
      <c r="E626" s="26"/>
      <c r="H626" s="26"/>
      <c r="I626" s="26"/>
      <c r="J626" s="26"/>
    </row>
    <row r="627" ht="12.75" customHeight="1">
      <c r="C627" s="26"/>
      <c r="D627" s="26"/>
      <c r="E627" s="26"/>
      <c r="H627" s="26"/>
      <c r="I627" s="26"/>
      <c r="J627" s="26"/>
    </row>
    <row r="628" ht="12.75" customHeight="1">
      <c r="C628" s="26"/>
      <c r="D628" s="26"/>
      <c r="E628" s="26"/>
      <c r="H628" s="26"/>
      <c r="I628" s="26"/>
      <c r="J628" s="26"/>
    </row>
    <row r="629" ht="12.75" customHeight="1">
      <c r="C629" s="26"/>
      <c r="D629" s="26"/>
      <c r="E629" s="26"/>
      <c r="H629" s="26"/>
      <c r="I629" s="26"/>
      <c r="J629" s="26"/>
    </row>
    <row r="630" ht="12.75" customHeight="1">
      <c r="C630" s="26"/>
      <c r="D630" s="26"/>
      <c r="E630" s="26"/>
      <c r="H630" s="26"/>
      <c r="I630" s="26"/>
      <c r="J630" s="26"/>
    </row>
    <row r="631" ht="12.75" customHeight="1">
      <c r="C631" s="26"/>
      <c r="D631" s="26"/>
      <c r="E631" s="26"/>
      <c r="H631" s="26"/>
      <c r="I631" s="26"/>
      <c r="J631" s="26"/>
    </row>
    <row r="632" ht="12.75" customHeight="1">
      <c r="C632" s="26"/>
      <c r="D632" s="26"/>
      <c r="E632" s="26"/>
      <c r="H632" s="26"/>
      <c r="I632" s="26"/>
      <c r="J632" s="26"/>
    </row>
    <row r="633" ht="12.75" customHeight="1">
      <c r="C633" s="26"/>
      <c r="D633" s="26"/>
      <c r="E633" s="26"/>
      <c r="H633" s="26"/>
      <c r="I633" s="26"/>
      <c r="J633" s="26"/>
    </row>
    <row r="634" ht="12.75" customHeight="1">
      <c r="C634" s="26"/>
      <c r="D634" s="26"/>
      <c r="E634" s="26"/>
      <c r="H634" s="26"/>
      <c r="I634" s="26"/>
      <c r="J634" s="26"/>
    </row>
    <row r="635" ht="12.75" customHeight="1">
      <c r="C635" s="26"/>
      <c r="D635" s="26"/>
      <c r="E635" s="26"/>
      <c r="H635" s="26"/>
      <c r="I635" s="26"/>
      <c r="J635" s="26"/>
    </row>
    <row r="636" ht="12.75" customHeight="1">
      <c r="C636" s="26"/>
      <c r="D636" s="26"/>
      <c r="E636" s="26"/>
      <c r="H636" s="26"/>
      <c r="I636" s="26"/>
      <c r="J636" s="26"/>
    </row>
    <row r="637" ht="12.75" customHeight="1">
      <c r="C637" s="26"/>
      <c r="D637" s="26"/>
      <c r="E637" s="26"/>
      <c r="H637" s="26"/>
      <c r="I637" s="26"/>
      <c r="J637" s="26"/>
    </row>
    <row r="638" ht="12.75" customHeight="1">
      <c r="C638" s="26"/>
      <c r="D638" s="26"/>
      <c r="E638" s="26"/>
      <c r="H638" s="26"/>
      <c r="I638" s="26"/>
      <c r="J638" s="26"/>
    </row>
    <row r="639" ht="12.75" customHeight="1">
      <c r="C639" s="26"/>
      <c r="D639" s="26"/>
      <c r="E639" s="26"/>
      <c r="H639" s="26"/>
      <c r="I639" s="26"/>
      <c r="J639" s="26"/>
    </row>
    <row r="640" ht="12.75" customHeight="1">
      <c r="C640" s="26"/>
      <c r="D640" s="26"/>
      <c r="E640" s="26"/>
      <c r="H640" s="26"/>
      <c r="I640" s="26"/>
      <c r="J640" s="26"/>
    </row>
    <row r="641" ht="12.75" customHeight="1">
      <c r="C641" s="26"/>
      <c r="D641" s="26"/>
      <c r="E641" s="26"/>
      <c r="H641" s="26"/>
      <c r="I641" s="26"/>
      <c r="J641" s="26"/>
    </row>
    <row r="642" ht="12.75" customHeight="1">
      <c r="C642" s="26"/>
      <c r="D642" s="26"/>
      <c r="E642" s="26"/>
      <c r="H642" s="26"/>
      <c r="I642" s="26"/>
      <c r="J642" s="26"/>
    </row>
    <row r="643" ht="12.75" customHeight="1">
      <c r="C643" s="26"/>
      <c r="D643" s="26"/>
      <c r="E643" s="26"/>
      <c r="H643" s="26"/>
      <c r="I643" s="26"/>
      <c r="J643" s="26"/>
    </row>
    <row r="644" ht="12.75" customHeight="1">
      <c r="C644" s="26"/>
      <c r="D644" s="26"/>
      <c r="E644" s="26"/>
      <c r="H644" s="26"/>
      <c r="I644" s="26"/>
      <c r="J644" s="26"/>
    </row>
    <row r="645" ht="12.75" customHeight="1">
      <c r="C645" s="26"/>
      <c r="D645" s="26"/>
      <c r="E645" s="26"/>
      <c r="H645" s="26"/>
      <c r="I645" s="26"/>
      <c r="J645" s="26"/>
    </row>
    <row r="646" ht="12.75" customHeight="1">
      <c r="C646" s="26"/>
      <c r="D646" s="26"/>
      <c r="E646" s="26"/>
      <c r="H646" s="26"/>
      <c r="I646" s="26"/>
      <c r="J646" s="26"/>
    </row>
    <row r="647" ht="12.75" customHeight="1">
      <c r="C647" s="26"/>
      <c r="D647" s="26"/>
      <c r="E647" s="26"/>
      <c r="H647" s="26"/>
      <c r="I647" s="26"/>
      <c r="J647" s="26"/>
    </row>
    <row r="648" ht="12.75" customHeight="1">
      <c r="C648" s="26"/>
      <c r="D648" s="26"/>
      <c r="E648" s="26"/>
      <c r="H648" s="26"/>
      <c r="I648" s="26"/>
      <c r="J648" s="26"/>
    </row>
    <row r="649" ht="12.75" customHeight="1">
      <c r="C649" s="26"/>
      <c r="D649" s="26"/>
      <c r="E649" s="26"/>
      <c r="H649" s="26"/>
      <c r="I649" s="26"/>
      <c r="J649" s="26"/>
    </row>
    <row r="650" ht="12.75" customHeight="1">
      <c r="C650" s="26"/>
      <c r="D650" s="26"/>
      <c r="E650" s="26"/>
      <c r="H650" s="26"/>
      <c r="I650" s="26"/>
      <c r="J650" s="26"/>
    </row>
    <row r="651" ht="12.75" customHeight="1">
      <c r="C651" s="26"/>
      <c r="D651" s="26"/>
      <c r="E651" s="26"/>
      <c r="H651" s="26"/>
      <c r="I651" s="26"/>
      <c r="J651" s="26"/>
    </row>
    <row r="652" ht="12.75" customHeight="1">
      <c r="C652" s="26"/>
      <c r="D652" s="26"/>
      <c r="E652" s="26"/>
      <c r="H652" s="26"/>
      <c r="I652" s="26"/>
      <c r="J652" s="26"/>
    </row>
    <row r="653" ht="12.75" customHeight="1">
      <c r="C653" s="26"/>
      <c r="D653" s="26"/>
      <c r="E653" s="26"/>
      <c r="H653" s="26"/>
      <c r="I653" s="26"/>
      <c r="J653" s="26"/>
    </row>
    <row r="654" ht="12.75" customHeight="1">
      <c r="C654" s="26"/>
      <c r="D654" s="26"/>
      <c r="E654" s="26"/>
      <c r="H654" s="26"/>
      <c r="I654" s="26"/>
      <c r="J654" s="26"/>
    </row>
    <row r="655" ht="12.75" customHeight="1">
      <c r="C655" s="26"/>
      <c r="D655" s="26"/>
      <c r="E655" s="26"/>
      <c r="H655" s="26"/>
      <c r="I655" s="26"/>
      <c r="J655" s="26"/>
    </row>
    <row r="656" ht="12.75" customHeight="1">
      <c r="C656" s="26"/>
      <c r="D656" s="26"/>
      <c r="E656" s="26"/>
      <c r="H656" s="26"/>
      <c r="I656" s="26"/>
      <c r="J656" s="26"/>
    </row>
    <row r="657" ht="12.75" customHeight="1">
      <c r="C657" s="26"/>
      <c r="D657" s="26"/>
      <c r="E657" s="26"/>
      <c r="H657" s="26"/>
      <c r="I657" s="26"/>
      <c r="J657" s="26"/>
    </row>
    <row r="658" ht="12.75" customHeight="1">
      <c r="C658" s="26"/>
      <c r="D658" s="26"/>
      <c r="E658" s="26"/>
      <c r="H658" s="26"/>
      <c r="I658" s="26"/>
      <c r="J658" s="26"/>
    </row>
    <row r="659" ht="12.75" customHeight="1">
      <c r="C659" s="26"/>
      <c r="D659" s="26"/>
      <c r="E659" s="26"/>
      <c r="H659" s="26"/>
      <c r="I659" s="26"/>
      <c r="J659" s="26"/>
    </row>
    <row r="660" ht="12.75" customHeight="1">
      <c r="C660" s="26"/>
      <c r="D660" s="26"/>
      <c r="E660" s="26"/>
      <c r="H660" s="26"/>
      <c r="I660" s="26"/>
      <c r="J660" s="26"/>
    </row>
    <row r="661" ht="12.75" customHeight="1">
      <c r="C661" s="26"/>
      <c r="D661" s="26"/>
      <c r="E661" s="26"/>
      <c r="H661" s="26"/>
      <c r="I661" s="26"/>
      <c r="J661" s="26"/>
    </row>
    <row r="662" ht="12.75" customHeight="1">
      <c r="C662" s="26"/>
      <c r="D662" s="26"/>
      <c r="E662" s="26"/>
      <c r="H662" s="26"/>
      <c r="I662" s="26"/>
      <c r="J662" s="26"/>
    </row>
    <row r="663" ht="12.75" customHeight="1">
      <c r="C663" s="26"/>
      <c r="D663" s="26"/>
      <c r="E663" s="26"/>
      <c r="H663" s="26"/>
      <c r="I663" s="26"/>
      <c r="J663" s="26"/>
    </row>
    <row r="664" ht="12.75" customHeight="1">
      <c r="C664" s="26"/>
      <c r="D664" s="26"/>
      <c r="E664" s="26"/>
      <c r="H664" s="26"/>
      <c r="I664" s="26"/>
      <c r="J664" s="26"/>
    </row>
    <row r="665" ht="12.75" customHeight="1">
      <c r="C665" s="26"/>
      <c r="D665" s="26"/>
      <c r="E665" s="26"/>
      <c r="H665" s="26"/>
      <c r="I665" s="26"/>
      <c r="J665" s="26"/>
    </row>
    <row r="666" ht="12.75" customHeight="1">
      <c r="C666" s="26"/>
      <c r="D666" s="26"/>
      <c r="E666" s="26"/>
      <c r="H666" s="26"/>
      <c r="I666" s="26"/>
      <c r="J666" s="26"/>
    </row>
    <row r="667" ht="12.75" customHeight="1">
      <c r="C667" s="26"/>
      <c r="D667" s="26"/>
      <c r="E667" s="26"/>
      <c r="H667" s="26"/>
      <c r="I667" s="26"/>
      <c r="J667" s="26"/>
    </row>
    <row r="668" ht="12.75" customHeight="1">
      <c r="C668" s="26"/>
      <c r="D668" s="26"/>
      <c r="E668" s="26"/>
      <c r="H668" s="26"/>
      <c r="I668" s="26"/>
      <c r="J668" s="26"/>
    </row>
    <row r="669" ht="12.75" customHeight="1">
      <c r="C669" s="26"/>
      <c r="D669" s="26"/>
      <c r="E669" s="26"/>
      <c r="H669" s="26"/>
      <c r="I669" s="26"/>
      <c r="J669" s="26"/>
    </row>
    <row r="670" ht="12.75" customHeight="1">
      <c r="C670" s="26"/>
      <c r="D670" s="26"/>
      <c r="E670" s="26"/>
      <c r="H670" s="26"/>
      <c r="I670" s="26"/>
      <c r="J670" s="26"/>
    </row>
    <row r="671" ht="12.75" customHeight="1">
      <c r="C671" s="26"/>
      <c r="D671" s="26"/>
      <c r="E671" s="26"/>
      <c r="H671" s="26"/>
      <c r="I671" s="26"/>
      <c r="J671" s="26"/>
    </row>
    <row r="672" ht="12.75" customHeight="1">
      <c r="C672" s="26"/>
      <c r="D672" s="26"/>
      <c r="E672" s="26"/>
      <c r="H672" s="26"/>
      <c r="I672" s="26"/>
      <c r="J672" s="26"/>
    </row>
    <row r="673" ht="12.75" customHeight="1">
      <c r="C673" s="26"/>
      <c r="D673" s="26"/>
      <c r="E673" s="26"/>
      <c r="H673" s="26"/>
      <c r="I673" s="26"/>
      <c r="J673" s="26"/>
    </row>
    <row r="674" ht="12.75" customHeight="1">
      <c r="C674" s="26"/>
      <c r="D674" s="26"/>
      <c r="E674" s="26"/>
      <c r="H674" s="26"/>
      <c r="I674" s="26"/>
      <c r="J674" s="26"/>
    </row>
    <row r="675" ht="12.75" customHeight="1">
      <c r="C675" s="26"/>
      <c r="D675" s="26"/>
      <c r="E675" s="26"/>
      <c r="H675" s="26"/>
      <c r="I675" s="26"/>
      <c r="J675" s="26"/>
    </row>
    <row r="676" ht="12.75" customHeight="1">
      <c r="C676" s="26"/>
      <c r="D676" s="26"/>
      <c r="E676" s="26"/>
      <c r="H676" s="26"/>
      <c r="I676" s="26"/>
      <c r="J676" s="26"/>
    </row>
    <row r="677" ht="12.75" customHeight="1">
      <c r="C677" s="26"/>
      <c r="D677" s="26"/>
      <c r="E677" s="26"/>
      <c r="H677" s="26"/>
      <c r="I677" s="26"/>
      <c r="J677" s="26"/>
    </row>
    <row r="678" ht="12.75" customHeight="1">
      <c r="C678" s="26"/>
      <c r="D678" s="26"/>
      <c r="E678" s="26"/>
      <c r="H678" s="26"/>
      <c r="I678" s="26"/>
      <c r="J678" s="26"/>
    </row>
    <row r="679" ht="12.75" customHeight="1">
      <c r="C679" s="26"/>
      <c r="D679" s="26"/>
      <c r="E679" s="26"/>
      <c r="H679" s="26"/>
      <c r="I679" s="26"/>
      <c r="J679" s="26"/>
    </row>
    <row r="680" ht="12.75" customHeight="1">
      <c r="C680" s="26"/>
      <c r="D680" s="26"/>
      <c r="E680" s="26"/>
      <c r="H680" s="26"/>
      <c r="I680" s="26"/>
      <c r="J680" s="26"/>
    </row>
    <row r="681" ht="12.75" customHeight="1">
      <c r="C681" s="26"/>
      <c r="D681" s="26"/>
      <c r="E681" s="26"/>
      <c r="H681" s="26"/>
      <c r="I681" s="26"/>
      <c r="J681" s="26"/>
    </row>
    <row r="682" ht="12.75" customHeight="1">
      <c r="C682" s="26"/>
      <c r="D682" s="26"/>
      <c r="E682" s="26"/>
      <c r="H682" s="26"/>
      <c r="I682" s="26"/>
      <c r="J682" s="26"/>
    </row>
    <row r="683" ht="12.75" customHeight="1">
      <c r="C683" s="26"/>
      <c r="D683" s="26"/>
      <c r="E683" s="26"/>
      <c r="H683" s="26"/>
      <c r="I683" s="26"/>
      <c r="J683" s="26"/>
    </row>
    <row r="684" ht="12.75" customHeight="1">
      <c r="C684" s="26"/>
      <c r="D684" s="26"/>
      <c r="E684" s="26"/>
      <c r="H684" s="26"/>
      <c r="I684" s="26"/>
      <c r="J684" s="26"/>
    </row>
    <row r="685" ht="12.75" customHeight="1">
      <c r="C685" s="26"/>
      <c r="D685" s="26"/>
      <c r="E685" s="26"/>
      <c r="H685" s="26"/>
      <c r="I685" s="26"/>
      <c r="J685" s="26"/>
    </row>
    <row r="686" ht="12.75" customHeight="1">
      <c r="C686" s="26"/>
      <c r="D686" s="26"/>
      <c r="E686" s="26"/>
      <c r="H686" s="26"/>
      <c r="I686" s="26"/>
      <c r="J686" s="26"/>
    </row>
    <row r="687" ht="12.75" customHeight="1">
      <c r="C687" s="26"/>
      <c r="D687" s="26"/>
      <c r="E687" s="26"/>
      <c r="H687" s="26"/>
      <c r="I687" s="26"/>
      <c r="J687" s="26"/>
    </row>
    <row r="688" ht="12.75" customHeight="1">
      <c r="C688" s="26"/>
      <c r="D688" s="26"/>
      <c r="E688" s="26"/>
      <c r="H688" s="26"/>
      <c r="I688" s="26"/>
      <c r="J688" s="26"/>
    </row>
    <row r="689" ht="12.75" customHeight="1">
      <c r="C689" s="26"/>
      <c r="D689" s="26"/>
      <c r="E689" s="26"/>
      <c r="H689" s="26"/>
      <c r="I689" s="26"/>
      <c r="J689" s="26"/>
    </row>
    <row r="690" ht="12.75" customHeight="1">
      <c r="C690" s="26"/>
      <c r="D690" s="26"/>
      <c r="E690" s="26"/>
      <c r="H690" s="26"/>
      <c r="I690" s="26"/>
      <c r="J690" s="26"/>
    </row>
    <row r="691" ht="12.75" customHeight="1">
      <c r="C691" s="26"/>
      <c r="D691" s="26"/>
      <c r="E691" s="26"/>
      <c r="H691" s="26"/>
      <c r="I691" s="26"/>
      <c r="J691" s="26"/>
    </row>
    <row r="692" ht="12.75" customHeight="1">
      <c r="C692" s="26"/>
      <c r="D692" s="26"/>
      <c r="E692" s="26"/>
      <c r="H692" s="26"/>
      <c r="I692" s="26"/>
      <c r="J692" s="26"/>
    </row>
    <row r="693" ht="12.75" customHeight="1">
      <c r="C693" s="26"/>
      <c r="D693" s="26"/>
      <c r="E693" s="26"/>
      <c r="H693" s="26"/>
      <c r="I693" s="26"/>
      <c r="J693" s="26"/>
    </row>
    <row r="694" ht="12.75" customHeight="1">
      <c r="C694" s="26"/>
      <c r="D694" s="26"/>
      <c r="E694" s="26"/>
      <c r="H694" s="26"/>
      <c r="I694" s="26"/>
      <c r="J694" s="26"/>
    </row>
    <row r="695" ht="12.75" customHeight="1">
      <c r="C695" s="26"/>
      <c r="D695" s="26"/>
      <c r="E695" s="26"/>
      <c r="H695" s="26"/>
      <c r="I695" s="26"/>
      <c r="J695" s="26"/>
    </row>
    <row r="696" ht="12.75" customHeight="1">
      <c r="C696" s="26"/>
      <c r="D696" s="26"/>
      <c r="E696" s="26"/>
      <c r="H696" s="26"/>
      <c r="I696" s="26"/>
      <c r="J696" s="26"/>
    </row>
    <row r="697" ht="12.75" customHeight="1">
      <c r="C697" s="26"/>
      <c r="D697" s="26"/>
      <c r="E697" s="26"/>
      <c r="H697" s="26"/>
      <c r="I697" s="26"/>
      <c r="J697" s="26"/>
    </row>
    <row r="698" ht="12.75" customHeight="1">
      <c r="C698" s="26"/>
      <c r="D698" s="26"/>
      <c r="E698" s="26"/>
      <c r="H698" s="26"/>
      <c r="I698" s="26"/>
      <c r="J698" s="26"/>
    </row>
    <row r="699" ht="12.75" customHeight="1">
      <c r="C699" s="26"/>
      <c r="D699" s="26"/>
      <c r="E699" s="26"/>
      <c r="H699" s="26"/>
      <c r="I699" s="26"/>
      <c r="J699" s="26"/>
    </row>
    <row r="700" ht="12.75" customHeight="1">
      <c r="C700" s="26"/>
      <c r="D700" s="26"/>
      <c r="E700" s="26"/>
      <c r="H700" s="26"/>
      <c r="I700" s="26"/>
      <c r="J700" s="26"/>
    </row>
    <row r="701" ht="12.75" customHeight="1">
      <c r="C701" s="26"/>
      <c r="D701" s="26"/>
      <c r="E701" s="26"/>
      <c r="H701" s="26"/>
      <c r="I701" s="26"/>
      <c r="J701" s="26"/>
    </row>
    <row r="702" ht="12.75" customHeight="1">
      <c r="C702" s="26"/>
      <c r="D702" s="26"/>
      <c r="E702" s="26"/>
      <c r="H702" s="26"/>
      <c r="I702" s="26"/>
      <c r="J702" s="26"/>
    </row>
    <row r="703" ht="12.75" customHeight="1">
      <c r="C703" s="26"/>
      <c r="D703" s="26"/>
      <c r="E703" s="26"/>
      <c r="H703" s="26"/>
      <c r="I703" s="26"/>
      <c r="J703" s="26"/>
    </row>
    <row r="704" ht="12.75" customHeight="1">
      <c r="C704" s="26"/>
      <c r="D704" s="26"/>
      <c r="E704" s="26"/>
      <c r="H704" s="26"/>
      <c r="I704" s="26"/>
      <c r="J704" s="26"/>
    </row>
    <row r="705" ht="12.75" customHeight="1">
      <c r="C705" s="26"/>
      <c r="D705" s="26"/>
      <c r="E705" s="26"/>
      <c r="H705" s="26"/>
      <c r="I705" s="26"/>
      <c r="J705" s="26"/>
    </row>
    <row r="706" ht="12.75" customHeight="1">
      <c r="C706" s="26"/>
      <c r="D706" s="26"/>
      <c r="E706" s="26"/>
      <c r="H706" s="26"/>
      <c r="I706" s="26"/>
      <c r="J706" s="26"/>
    </row>
    <row r="707" ht="12.75" customHeight="1">
      <c r="C707" s="26"/>
      <c r="D707" s="26"/>
      <c r="E707" s="26"/>
      <c r="H707" s="26"/>
      <c r="I707" s="26"/>
      <c r="J707" s="26"/>
    </row>
    <row r="708" ht="12.75" customHeight="1">
      <c r="C708" s="26"/>
      <c r="D708" s="26"/>
      <c r="E708" s="26"/>
      <c r="H708" s="26"/>
      <c r="I708" s="26"/>
      <c r="J708" s="26"/>
    </row>
    <row r="709" ht="12.75" customHeight="1">
      <c r="C709" s="26"/>
      <c r="D709" s="26"/>
      <c r="E709" s="26"/>
      <c r="H709" s="26"/>
      <c r="I709" s="26"/>
      <c r="J709" s="26"/>
    </row>
    <row r="710" ht="12.75" customHeight="1">
      <c r="C710" s="26"/>
      <c r="D710" s="26"/>
      <c r="E710" s="26"/>
      <c r="H710" s="26"/>
      <c r="I710" s="26"/>
      <c r="J710" s="26"/>
    </row>
    <row r="711" ht="12.75" customHeight="1">
      <c r="C711" s="26"/>
      <c r="D711" s="26"/>
      <c r="E711" s="26"/>
      <c r="H711" s="26"/>
      <c r="I711" s="26"/>
      <c r="J711" s="26"/>
    </row>
    <row r="712" ht="12.75" customHeight="1">
      <c r="C712" s="26"/>
      <c r="D712" s="26"/>
      <c r="E712" s="26"/>
      <c r="H712" s="26"/>
      <c r="I712" s="26"/>
      <c r="J712" s="26"/>
    </row>
    <row r="713" ht="12.75" customHeight="1">
      <c r="C713" s="26"/>
      <c r="D713" s="26"/>
      <c r="E713" s="26"/>
      <c r="H713" s="26"/>
      <c r="I713" s="26"/>
      <c r="J713" s="26"/>
    </row>
    <row r="714" ht="12.75" customHeight="1">
      <c r="C714" s="26"/>
      <c r="D714" s="26"/>
      <c r="E714" s="26"/>
      <c r="H714" s="26"/>
      <c r="I714" s="26"/>
      <c r="J714" s="26"/>
    </row>
    <row r="715" ht="12.75" customHeight="1">
      <c r="C715" s="26"/>
      <c r="D715" s="26"/>
      <c r="E715" s="26"/>
      <c r="H715" s="26"/>
      <c r="I715" s="26"/>
      <c r="J715" s="26"/>
    </row>
    <row r="716" ht="12.75" customHeight="1">
      <c r="C716" s="26"/>
      <c r="D716" s="26"/>
      <c r="E716" s="26"/>
      <c r="H716" s="26"/>
      <c r="I716" s="26"/>
      <c r="J716" s="26"/>
    </row>
    <row r="717" ht="12.75" customHeight="1">
      <c r="C717" s="26"/>
      <c r="D717" s="26"/>
      <c r="E717" s="26"/>
      <c r="H717" s="26"/>
      <c r="I717" s="26"/>
      <c r="J717" s="26"/>
    </row>
    <row r="718" ht="12.75" customHeight="1">
      <c r="C718" s="26"/>
      <c r="D718" s="26"/>
      <c r="E718" s="26"/>
      <c r="H718" s="26"/>
      <c r="I718" s="26"/>
      <c r="J718" s="26"/>
    </row>
    <row r="719" ht="12.75" customHeight="1">
      <c r="C719" s="26"/>
      <c r="D719" s="26"/>
      <c r="E719" s="26"/>
      <c r="H719" s="26"/>
      <c r="I719" s="26"/>
      <c r="J719" s="26"/>
    </row>
    <row r="720" ht="12.75" customHeight="1">
      <c r="C720" s="26"/>
      <c r="D720" s="26"/>
      <c r="E720" s="26"/>
      <c r="H720" s="26"/>
      <c r="I720" s="26"/>
      <c r="J720" s="26"/>
    </row>
    <row r="721" ht="12.75" customHeight="1">
      <c r="C721" s="26"/>
      <c r="D721" s="26"/>
      <c r="E721" s="26"/>
      <c r="H721" s="26"/>
      <c r="I721" s="26"/>
      <c r="J721" s="26"/>
    </row>
    <row r="722" ht="12.75" customHeight="1">
      <c r="C722" s="26"/>
      <c r="D722" s="26"/>
      <c r="E722" s="26"/>
      <c r="H722" s="26"/>
      <c r="I722" s="26"/>
      <c r="J722" s="26"/>
    </row>
    <row r="723" ht="12.75" customHeight="1">
      <c r="C723" s="26"/>
      <c r="D723" s="26"/>
      <c r="E723" s="26"/>
      <c r="H723" s="26"/>
      <c r="I723" s="26"/>
      <c r="J723" s="26"/>
    </row>
    <row r="724" ht="12.75" customHeight="1">
      <c r="C724" s="26"/>
      <c r="D724" s="26"/>
      <c r="E724" s="26"/>
      <c r="H724" s="26"/>
      <c r="I724" s="26"/>
      <c r="J724" s="26"/>
    </row>
    <row r="725" ht="12.75" customHeight="1">
      <c r="C725" s="26"/>
      <c r="D725" s="26"/>
      <c r="E725" s="26"/>
      <c r="H725" s="26"/>
      <c r="I725" s="26"/>
      <c r="J725" s="26"/>
    </row>
    <row r="726" ht="12.75" customHeight="1">
      <c r="C726" s="26"/>
      <c r="D726" s="26"/>
      <c r="E726" s="26"/>
      <c r="H726" s="26"/>
      <c r="I726" s="26"/>
      <c r="J726" s="26"/>
    </row>
    <row r="727" ht="12.75" customHeight="1">
      <c r="C727" s="26"/>
      <c r="D727" s="26"/>
      <c r="E727" s="26"/>
      <c r="H727" s="26"/>
      <c r="I727" s="26"/>
      <c r="J727" s="26"/>
    </row>
    <row r="728" ht="12.75" customHeight="1">
      <c r="C728" s="26"/>
      <c r="D728" s="26"/>
      <c r="E728" s="26"/>
      <c r="H728" s="26"/>
      <c r="I728" s="26"/>
      <c r="J728" s="26"/>
    </row>
    <row r="729" ht="12.75" customHeight="1">
      <c r="C729" s="26"/>
      <c r="D729" s="26"/>
      <c r="E729" s="26"/>
      <c r="H729" s="26"/>
      <c r="I729" s="26"/>
      <c r="J729" s="26"/>
    </row>
    <row r="730" ht="12.75" customHeight="1">
      <c r="C730" s="26"/>
      <c r="D730" s="26"/>
      <c r="E730" s="26"/>
      <c r="H730" s="26"/>
      <c r="I730" s="26"/>
      <c r="J730" s="26"/>
    </row>
    <row r="731" ht="12.75" customHeight="1">
      <c r="C731" s="26"/>
      <c r="D731" s="26"/>
      <c r="E731" s="26"/>
      <c r="H731" s="26"/>
      <c r="I731" s="26"/>
      <c r="J731" s="26"/>
    </row>
    <row r="732" ht="12.75" customHeight="1">
      <c r="C732" s="26"/>
      <c r="D732" s="26"/>
      <c r="E732" s="26"/>
      <c r="H732" s="26"/>
      <c r="I732" s="26"/>
      <c r="J732" s="26"/>
    </row>
    <row r="733" ht="12.75" customHeight="1">
      <c r="C733" s="26"/>
      <c r="D733" s="26"/>
      <c r="E733" s="26"/>
      <c r="H733" s="26"/>
      <c r="I733" s="26"/>
      <c r="J733" s="26"/>
    </row>
    <row r="734" ht="12.75" customHeight="1">
      <c r="C734" s="26"/>
      <c r="D734" s="26"/>
      <c r="E734" s="26"/>
      <c r="H734" s="26"/>
      <c r="I734" s="26"/>
      <c r="J734" s="26"/>
    </row>
    <row r="735" ht="12.75" customHeight="1">
      <c r="C735" s="26"/>
      <c r="D735" s="26"/>
      <c r="E735" s="26"/>
      <c r="H735" s="26"/>
      <c r="I735" s="26"/>
      <c r="J735" s="26"/>
    </row>
    <row r="736" ht="12.75" customHeight="1">
      <c r="C736" s="26"/>
      <c r="D736" s="26"/>
      <c r="E736" s="26"/>
      <c r="H736" s="26"/>
      <c r="I736" s="26"/>
      <c r="J736" s="26"/>
    </row>
    <row r="737" ht="12.75" customHeight="1">
      <c r="C737" s="26"/>
      <c r="D737" s="26"/>
      <c r="E737" s="26"/>
      <c r="H737" s="26"/>
      <c r="I737" s="26"/>
      <c r="J737" s="26"/>
    </row>
    <row r="738" ht="12.75" customHeight="1">
      <c r="C738" s="26"/>
      <c r="D738" s="26"/>
      <c r="E738" s="26"/>
      <c r="H738" s="26"/>
      <c r="I738" s="26"/>
      <c r="J738" s="26"/>
    </row>
    <row r="739" ht="12.75" customHeight="1">
      <c r="C739" s="26"/>
      <c r="D739" s="26"/>
      <c r="E739" s="26"/>
      <c r="H739" s="26"/>
      <c r="I739" s="26"/>
      <c r="J739" s="26"/>
    </row>
    <row r="740" ht="12.75" customHeight="1">
      <c r="C740" s="26"/>
      <c r="D740" s="26"/>
      <c r="E740" s="26"/>
      <c r="H740" s="26"/>
      <c r="I740" s="26"/>
      <c r="J740" s="26"/>
    </row>
    <row r="741" ht="12.75" customHeight="1">
      <c r="C741" s="26"/>
      <c r="D741" s="26"/>
      <c r="E741" s="26"/>
      <c r="H741" s="26"/>
      <c r="I741" s="26"/>
      <c r="J741" s="26"/>
    </row>
    <row r="742" ht="12.75" customHeight="1">
      <c r="C742" s="26"/>
      <c r="D742" s="26"/>
      <c r="E742" s="26"/>
      <c r="H742" s="26"/>
      <c r="I742" s="26"/>
      <c r="J742" s="26"/>
    </row>
    <row r="743" ht="12.75" customHeight="1">
      <c r="C743" s="26"/>
      <c r="D743" s="26"/>
      <c r="E743" s="26"/>
      <c r="H743" s="26"/>
      <c r="I743" s="26"/>
      <c r="J743" s="26"/>
    </row>
    <row r="744" ht="12.75" customHeight="1">
      <c r="C744" s="26"/>
      <c r="D744" s="26"/>
      <c r="E744" s="26"/>
      <c r="H744" s="26"/>
      <c r="I744" s="26"/>
      <c r="J744" s="26"/>
    </row>
    <row r="745" ht="12.75" customHeight="1">
      <c r="C745" s="26"/>
      <c r="D745" s="26"/>
      <c r="E745" s="26"/>
      <c r="H745" s="26"/>
      <c r="I745" s="26"/>
      <c r="J745" s="26"/>
    </row>
    <row r="746" ht="12.75" customHeight="1">
      <c r="C746" s="26"/>
      <c r="D746" s="26"/>
      <c r="E746" s="26"/>
      <c r="H746" s="26"/>
      <c r="I746" s="26"/>
      <c r="J746" s="26"/>
    </row>
    <row r="747" ht="12.75" customHeight="1">
      <c r="C747" s="26"/>
      <c r="D747" s="26"/>
      <c r="E747" s="26"/>
      <c r="H747" s="26"/>
      <c r="I747" s="26"/>
      <c r="J747" s="26"/>
    </row>
    <row r="748" ht="12.75" customHeight="1">
      <c r="C748" s="26"/>
      <c r="D748" s="26"/>
      <c r="E748" s="26"/>
      <c r="H748" s="26"/>
      <c r="I748" s="26"/>
      <c r="J748" s="26"/>
    </row>
    <row r="749" ht="12.75" customHeight="1">
      <c r="C749" s="26"/>
      <c r="D749" s="26"/>
      <c r="E749" s="26"/>
      <c r="H749" s="26"/>
      <c r="I749" s="26"/>
      <c r="J749" s="26"/>
    </row>
    <row r="750" ht="12.75" customHeight="1">
      <c r="C750" s="26"/>
      <c r="D750" s="26"/>
      <c r="E750" s="26"/>
      <c r="H750" s="26"/>
      <c r="I750" s="26"/>
      <c r="J750" s="26"/>
    </row>
    <row r="751" ht="12.75" customHeight="1">
      <c r="C751" s="26"/>
      <c r="D751" s="26"/>
      <c r="E751" s="26"/>
      <c r="H751" s="26"/>
      <c r="I751" s="26"/>
      <c r="J751" s="26"/>
    </row>
    <row r="752" ht="12.75" customHeight="1">
      <c r="C752" s="26"/>
      <c r="D752" s="26"/>
      <c r="E752" s="26"/>
      <c r="H752" s="26"/>
      <c r="I752" s="26"/>
      <c r="J752" s="26"/>
    </row>
    <row r="753" ht="12.75" customHeight="1">
      <c r="C753" s="26"/>
      <c r="D753" s="26"/>
      <c r="E753" s="26"/>
      <c r="H753" s="26"/>
      <c r="I753" s="26"/>
      <c r="J753" s="26"/>
    </row>
    <row r="754" ht="12.75" customHeight="1">
      <c r="C754" s="26"/>
      <c r="D754" s="26"/>
      <c r="E754" s="26"/>
      <c r="H754" s="26"/>
      <c r="I754" s="26"/>
      <c r="J754" s="26"/>
    </row>
    <row r="755" ht="12.75" customHeight="1">
      <c r="C755" s="26"/>
      <c r="D755" s="26"/>
      <c r="E755" s="26"/>
      <c r="H755" s="26"/>
      <c r="I755" s="26"/>
      <c r="J755" s="26"/>
    </row>
    <row r="756" ht="12.75" customHeight="1">
      <c r="C756" s="26"/>
      <c r="D756" s="26"/>
      <c r="E756" s="26"/>
      <c r="H756" s="26"/>
      <c r="I756" s="26"/>
      <c r="J756" s="26"/>
    </row>
    <row r="757" ht="12.75" customHeight="1">
      <c r="C757" s="26"/>
      <c r="D757" s="26"/>
      <c r="E757" s="26"/>
      <c r="H757" s="26"/>
      <c r="I757" s="26"/>
      <c r="J757" s="26"/>
    </row>
    <row r="758" ht="12.75" customHeight="1">
      <c r="C758" s="26"/>
      <c r="D758" s="26"/>
      <c r="E758" s="26"/>
      <c r="H758" s="26"/>
      <c r="I758" s="26"/>
      <c r="J758" s="26"/>
    </row>
    <row r="759" ht="12.75" customHeight="1">
      <c r="C759" s="26"/>
      <c r="D759" s="26"/>
      <c r="E759" s="26"/>
      <c r="H759" s="26"/>
      <c r="I759" s="26"/>
      <c r="J759" s="26"/>
    </row>
    <row r="760" ht="12.75" customHeight="1">
      <c r="C760" s="26"/>
      <c r="D760" s="26"/>
      <c r="E760" s="26"/>
      <c r="H760" s="26"/>
      <c r="I760" s="26"/>
      <c r="J760" s="26"/>
    </row>
    <row r="761" ht="12.75" customHeight="1">
      <c r="C761" s="26"/>
      <c r="D761" s="26"/>
      <c r="E761" s="26"/>
      <c r="H761" s="26"/>
      <c r="I761" s="26"/>
      <c r="J761" s="26"/>
    </row>
    <row r="762" ht="12.75" customHeight="1">
      <c r="C762" s="26"/>
      <c r="D762" s="26"/>
      <c r="E762" s="26"/>
      <c r="H762" s="26"/>
      <c r="I762" s="26"/>
      <c r="J762" s="26"/>
    </row>
    <row r="763" ht="12.75" customHeight="1">
      <c r="C763" s="26"/>
      <c r="D763" s="26"/>
      <c r="E763" s="26"/>
      <c r="H763" s="26"/>
      <c r="I763" s="26"/>
      <c r="J763" s="26"/>
    </row>
    <row r="764" ht="12.75" customHeight="1">
      <c r="C764" s="26"/>
      <c r="D764" s="26"/>
      <c r="E764" s="26"/>
      <c r="H764" s="26"/>
      <c r="I764" s="26"/>
      <c r="J764" s="26"/>
    </row>
    <row r="765" ht="12.75" customHeight="1">
      <c r="C765" s="26"/>
      <c r="D765" s="26"/>
      <c r="E765" s="26"/>
      <c r="H765" s="26"/>
      <c r="I765" s="26"/>
      <c r="J765" s="26"/>
    </row>
    <row r="766" ht="12.75" customHeight="1">
      <c r="C766" s="26"/>
      <c r="D766" s="26"/>
      <c r="E766" s="26"/>
      <c r="H766" s="26"/>
      <c r="I766" s="26"/>
      <c r="J766" s="26"/>
    </row>
    <row r="767" ht="12.75" customHeight="1">
      <c r="C767" s="26"/>
      <c r="D767" s="26"/>
      <c r="E767" s="26"/>
      <c r="H767" s="26"/>
      <c r="I767" s="26"/>
      <c r="J767" s="26"/>
    </row>
    <row r="768" ht="12.75" customHeight="1">
      <c r="C768" s="26"/>
      <c r="D768" s="26"/>
      <c r="E768" s="26"/>
      <c r="H768" s="26"/>
      <c r="I768" s="26"/>
      <c r="J768" s="26"/>
    </row>
    <row r="769" ht="12.75" customHeight="1">
      <c r="C769" s="26"/>
      <c r="D769" s="26"/>
      <c r="E769" s="26"/>
      <c r="H769" s="26"/>
      <c r="I769" s="26"/>
      <c r="J769" s="26"/>
    </row>
    <row r="770" ht="12.75" customHeight="1">
      <c r="C770" s="26"/>
      <c r="D770" s="26"/>
      <c r="E770" s="26"/>
      <c r="H770" s="26"/>
      <c r="I770" s="26"/>
      <c r="J770" s="26"/>
    </row>
    <row r="771" ht="12.75" customHeight="1">
      <c r="C771" s="26"/>
      <c r="D771" s="26"/>
      <c r="E771" s="26"/>
      <c r="H771" s="26"/>
      <c r="I771" s="26"/>
      <c r="J771" s="26"/>
    </row>
    <row r="772" ht="12.75" customHeight="1">
      <c r="C772" s="26"/>
      <c r="D772" s="26"/>
      <c r="E772" s="26"/>
      <c r="H772" s="26"/>
      <c r="I772" s="26"/>
      <c r="J772" s="26"/>
    </row>
    <row r="773" ht="12.75" customHeight="1">
      <c r="C773" s="26"/>
      <c r="D773" s="26"/>
      <c r="E773" s="26"/>
      <c r="H773" s="26"/>
      <c r="I773" s="26"/>
      <c r="J773" s="26"/>
    </row>
    <row r="774" ht="12.75" customHeight="1">
      <c r="C774" s="26"/>
      <c r="D774" s="26"/>
      <c r="E774" s="26"/>
      <c r="H774" s="26"/>
      <c r="I774" s="26"/>
      <c r="J774" s="26"/>
    </row>
    <row r="775" ht="12.75" customHeight="1">
      <c r="C775" s="26"/>
      <c r="D775" s="26"/>
      <c r="E775" s="26"/>
      <c r="H775" s="26"/>
      <c r="I775" s="26"/>
      <c r="J775" s="26"/>
    </row>
    <row r="776" ht="12.75" customHeight="1">
      <c r="C776" s="26"/>
      <c r="D776" s="26"/>
      <c r="E776" s="26"/>
      <c r="H776" s="26"/>
      <c r="I776" s="26"/>
      <c r="J776" s="26"/>
    </row>
    <row r="777" ht="12.75" customHeight="1">
      <c r="C777" s="26"/>
      <c r="D777" s="26"/>
      <c r="E777" s="26"/>
      <c r="H777" s="26"/>
      <c r="I777" s="26"/>
      <c r="J777" s="26"/>
    </row>
    <row r="778" ht="12.75" customHeight="1">
      <c r="C778" s="26"/>
      <c r="D778" s="26"/>
      <c r="E778" s="26"/>
      <c r="H778" s="26"/>
      <c r="I778" s="26"/>
      <c r="J778" s="26"/>
    </row>
    <row r="779" ht="12.75" customHeight="1">
      <c r="C779" s="26"/>
      <c r="D779" s="26"/>
      <c r="E779" s="26"/>
      <c r="H779" s="26"/>
      <c r="I779" s="26"/>
      <c r="J779" s="26"/>
    </row>
    <row r="780" ht="12.75" customHeight="1">
      <c r="C780" s="26"/>
      <c r="D780" s="26"/>
      <c r="E780" s="26"/>
      <c r="H780" s="26"/>
      <c r="I780" s="26"/>
      <c r="J780" s="26"/>
    </row>
    <row r="781" ht="12.75" customHeight="1">
      <c r="C781" s="26"/>
      <c r="D781" s="26"/>
      <c r="E781" s="26"/>
      <c r="H781" s="26"/>
      <c r="I781" s="26"/>
      <c r="J781" s="26"/>
    </row>
    <row r="782" ht="12.75" customHeight="1">
      <c r="C782" s="26"/>
      <c r="D782" s="26"/>
      <c r="E782" s="26"/>
      <c r="H782" s="26"/>
      <c r="I782" s="26"/>
      <c r="J782" s="26"/>
    </row>
    <row r="783" ht="12.75" customHeight="1">
      <c r="C783" s="26"/>
      <c r="D783" s="26"/>
      <c r="E783" s="26"/>
      <c r="H783" s="26"/>
      <c r="I783" s="26"/>
      <c r="J783" s="26"/>
    </row>
    <row r="784" ht="12.75" customHeight="1">
      <c r="C784" s="26"/>
      <c r="D784" s="26"/>
      <c r="E784" s="26"/>
      <c r="H784" s="26"/>
      <c r="I784" s="26"/>
      <c r="J784" s="26"/>
    </row>
    <row r="785" ht="12.75" customHeight="1">
      <c r="C785" s="26"/>
      <c r="D785" s="26"/>
      <c r="E785" s="26"/>
      <c r="H785" s="26"/>
      <c r="I785" s="26"/>
      <c r="J785" s="26"/>
    </row>
    <row r="786" ht="12.75" customHeight="1">
      <c r="C786" s="26"/>
      <c r="D786" s="26"/>
      <c r="E786" s="26"/>
      <c r="H786" s="26"/>
      <c r="I786" s="26"/>
      <c r="J786" s="26"/>
    </row>
    <row r="787" ht="12.75" customHeight="1">
      <c r="C787" s="26"/>
      <c r="D787" s="26"/>
      <c r="E787" s="26"/>
      <c r="H787" s="26"/>
      <c r="I787" s="26"/>
      <c r="J787" s="26"/>
    </row>
    <row r="788" ht="12.75" customHeight="1">
      <c r="C788" s="26"/>
      <c r="D788" s="26"/>
      <c r="E788" s="26"/>
      <c r="H788" s="26"/>
      <c r="I788" s="26"/>
      <c r="J788" s="26"/>
    </row>
    <row r="789" ht="12.75" customHeight="1">
      <c r="C789" s="26"/>
      <c r="D789" s="26"/>
      <c r="E789" s="26"/>
      <c r="H789" s="26"/>
      <c r="I789" s="26"/>
      <c r="J789" s="26"/>
    </row>
    <row r="790" ht="12.75" customHeight="1">
      <c r="C790" s="26"/>
      <c r="D790" s="26"/>
      <c r="E790" s="26"/>
      <c r="H790" s="26"/>
      <c r="I790" s="26"/>
      <c r="J790" s="26"/>
    </row>
    <row r="791" ht="12.75" customHeight="1">
      <c r="C791" s="26"/>
      <c r="D791" s="26"/>
      <c r="E791" s="26"/>
      <c r="H791" s="26"/>
      <c r="I791" s="26"/>
      <c r="J791" s="26"/>
    </row>
    <row r="792" ht="12.75" customHeight="1">
      <c r="C792" s="26"/>
      <c r="D792" s="26"/>
      <c r="E792" s="26"/>
      <c r="H792" s="26"/>
      <c r="I792" s="26"/>
      <c r="J792" s="26"/>
    </row>
    <row r="793" ht="12.75" customHeight="1">
      <c r="C793" s="26"/>
      <c r="D793" s="26"/>
      <c r="E793" s="26"/>
      <c r="H793" s="26"/>
      <c r="I793" s="26"/>
      <c r="J793" s="26"/>
    </row>
    <row r="794" ht="12.75" customHeight="1">
      <c r="C794" s="26"/>
      <c r="D794" s="26"/>
      <c r="E794" s="26"/>
      <c r="H794" s="26"/>
      <c r="I794" s="26"/>
      <c r="J794" s="26"/>
    </row>
    <row r="795" ht="12.75" customHeight="1">
      <c r="C795" s="26"/>
      <c r="D795" s="26"/>
      <c r="E795" s="26"/>
      <c r="H795" s="26"/>
      <c r="I795" s="26"/>
      <c r="J795" s="26"/>
    </row>
    <row r="796" ht="12.75" customHeight="1">
      <c r="C796" s="26"/>
      <c r="D796" s="26"/>
      <c r="E796" s="26"/>
      <c r="H796" s="26"/>
      <c r="I796" s="26"/>
      <c r="J796" s="26"/>
    </row>
    <row r="797" ht="12.75" customHeight="1">
      <c r="C797" s="26"/>
      <c r="D797" s="26"/>
      <c r="E797" s="26"/>
      <c r="H797" s="26"/>
      <c r="I797" s="26"/>
      <c r="J797" s="26"/>
    </row>
    <row r="798" ht="12.75" customHeight="1">
      <c r="C798" s="26"/>
      <c r="D798" s="26"/>
      <c r="E798" s="26"/>
      <c r="H798" s="26"/>
      <c r="I798" s="26"/>
      <c r="J798" s="26"/>
    </row>
    <row r="799" ht="12.75" customHeight="1">
      <c r="C799" s="26"/>
      <c r="D799" s="26"/>
      <c r="E799" s="26"/>
      <c r="H799" s="26"/>
      <c r="I799" s="26"/>
      <c r="J799" s="26"/>
    </row>
    <row r="800" ht="12.75" customHeight="1">
      <c r="C800" s="26"/>
      <c r="D800" s="26"/>
      <c r="E800" s="26"/>
      <c r="H800" s="26"/>
      <c r="I800" s="26"/>
      <c r="J800" s="26"/>
    </row>
    <row r="801" ht="12.75" customHeight="1">
      <c r="C801" s="26"/>
      <c r="D801" s="26"/>
      <c r="E801" s="26"/>
      <c r="H801" s="26"/>
      <c r="I801" s="26"/>
      <c r="J801" s="26"/>
    </row>
    <row r="802" ht="12.75" customHeight="1">
      <c r="C802" s="26"/>
      <c r="D802" s="26"/>
      <c r="E802" s="26"/>
      <c r="H802" s="26"/>
      <c r="I802" s="26"/>
      <c r="J802" s="26"/>
    </row>
    <row r="803" ht="12.75" customHeight="1">
      <c r="C803" s="26"/>
      <c r="D803" s="26"/>
      <c r="E803" s="26"/>
      <c r="H803" s="26"/>
      <c r="I803" s="26"/>
      <c r="J803" s="26"/>
    </row>
    <row r="804" ht="12.75" customHeight="1">
      <c r="C804" s="26"/>
      <c r="D804" s="26"/>
      <c r="E804" s="26"/>
      <c r="H804" s="26"/>
      <c r="I804" s="26"/>
      <c r="J804" s="26"/>
    </row>
    <row r="805" ht="12.75" customHeight="1">
      <c r="C805" s="26"/>
      <c r="D805" s="26"/>
      <c r="E805" s="26"/>
      <c r="H805" s="26"/>
      <c r="I805" s="26"/>
      <c r="J805" s="26"/>
    </row>
    <row r="806" ht="12.75" customHeight="1">
      <c r="C806" s="26"/>
      <c r="D806" s="26"/>
      <c r="E806" s="26"/>
      <c r="H806" s="26"/>
      <c r="I806" s="26"/>
      <c r="J806" s="26"/>
    </row>
    <row r="807" ht="12.75" customHeight="1">
      <c r="C807" s="26"/>
      <c r="D807" s="26"/>
      <c r="E807" s="26"/>
      <c r="H807" s="26"/>
      <c r="I807" s="26"/>
      <c r="J807" s="26"/>
    </row>
    <row r="808" ht="12.75" customHeight="1">
      <c r="C808" s="26"/>
      <c r="D808" s="26"/>
      <c r="E808" s="26"/>
      <c r="H808" s="26"/>
      <c r="I808" s="26"/>
      <c r="J808" s="26"/>
    </row>
    <row r="809" ht="12.75" customHeight="1">
      <c r="C809" s="26"/>
      <c r="D809" s="26"/>
      <c r="E809" s="26"/>
      <c r="H809" s="26"/>
      <c r="I809" s="26"/>
      <c r="J809" s="26"/>
    </row>
    <row r="810" ht="12.75" customHeight="1">
      <c r="C810" s="26"/>
      <c r="D810" s="26"/>
      <c r="E810" s="26"/>
      <c r="H810" s="26"/>
      <c r="I810" s="26"/>
      <c r="J810" s="26"/>
    </row>
    <row r="811" ht="12.75" customHeight="1">
      <c r="C811" s="26"/>
      <c r="D811" s="26"/>
      <c r="E811" s="26"/>
      <c r="H811" s="26"/>
      <c r="I811" s="26"/>
      <c r="J811" s="26"/>
    </row>
    <row r="812" ht="12.75" customHeight="1">
      <c r="C812" s="26"/>
      <c r="D812" s="26"/>
      <c r="E812" s="26"/>
      <c r="H812" s="26"/>
      <c r="I812" s="26"/>
      <c r="J812" s="26"/>
    </row>
    <row r="813" ht="12.75" customHeight="1">
      <c r="C813" s="26"/>
      <c r="D813" s="26"/>
      <c r="E813" s="26"/>
      <c r="H813" s="26"/>
      <c r="I813" s="26"/>
      <c r="J813" s="26"/>
    </row>
    <row r="814" ht="12.75" customHeight="1">
      <c r="C814" s="26"/>
      <c r="D814" s="26"/>
      <c r="E814" s="26"/>
      <c r="H814" s="26"/>
      <c r="I814" s="26"/>
      <c r="J814" s="26"/>
    </row>
    <row r="815" ht="12.75" customHeight="1">
      <c r="C815" s="26"/>
      <c r="D815" s="26"/>
      <c r="E815" s="26"/>
      <c r="H815" s="26"/>
      <c r="I815" s="26"/>
      <c r="J815" s="26"/>
    </row>
    <row r="816" ht="12.75" customHeight="1">
      <c r="C816" s="26"/>
      <c r="D816" s="26"/>
      <c r="E816" s="26"/>
      <c r="H816" s="26"/>
      <c r="I816" s="26"/>
      <c r="J816" s="26"/>
    </row>
    <row r="817" ht="12.75" customHeight="1">
      <c r="C817" s="26"/>
      <c r="D817" s="26"/>
      <c r="E817" s="26"/>
      <c r="H817" s="26"/>
      <c r="I817" s="26"/>
      <c r="J817" s="26"/>
    </row>
    <row r="818" ht="12.75" customHeight="1">
      <c r="C818" s="26"/>
      <c r="D818" s="26"/>
      <c r="E818" s="26"/>
      <c r="H818" s="26"/>
      <c r="I818" s="26"/>
      <c r="J818" s="26"/>
    </row>
    <row r="819" ht="12.75" customHeight="1">
      <c r="C819" s="26"/>
      <c r="D819" s="26"/>
      <c r="E819" s="26"/>
      <c r="H819" s="26"/>
      <c r="I819" s="26"/>
      <c r="J819" s="26"/>
    </row>
    <row r="820" ht="12.75" customHeight="1">
      <c r="C820" s="26"/>
      <c r="D820" s="26"/>
      <c r="E820" s="26"/>
      <c r="H820" s="26"/>
      <c r="I820" s="26"/>
      <c r="J820" s="26"/>
    </row>
    <row r="821" ht="12.75" customHeight="1">
      <c r="C821" s="26"/>
      <c r="D821" s="26"/>
      <c r="E821" s="26"/>
      <c r="H821" s="26"/>
      <c r="I821" s="26"/>
      <c r="J821" s="26"/>
    </row>
    <row r="822" ht="12.75" customHeight="1">
      <c r="C822" s="26"/>
      <c r="D822" s="26"/>
      <c r="E822" s="26"/>
      <c r="H822" s="26"/>
      <c r="I822" s="26"/>
      <c r="J822" s="26"/>
    </row>
    <row r="823" ht="12.75" customHeight="1">
      <c r="C823" s="26"/>
      <c r="D823" s="26"/>
      <c r="E823" s="26"/>
      <c r="H823" s="26"/>
      <c r="I823" s="26"/>
      <c r="J823" s="26"/>
    </row>
    <row r="824" ht="12.75" customHeight="1">
      <c r="C824" s="26"/>
      <c r="D824" s="26"/>
      <c r="E824" s="26"/>
      <c r="H824" s="26"/>
      <c r="I824" s="26"/>
      <c r="J824" s="26"/>
    </row>
    <row r="825" ht="12.75" customHeight="1">
      <c r="C825" s="26"/>
      <c r="D825" s="26"/>
      <c r="E825" s="26"/>
      <c r="H825" s="26"/>
      <c r="I825" s="26"/>
      <c r="J825" s="26"/>
    </row>
    <row r="826" ht="12.75" customHeight="1">
      <c r="C826" s="26"/>
      <c r="D826" s="26"/>
      <c r="E826" s="26"/>
      <c r="H826" s="26"/>
      <c r="I826" s="26"/>
      <c r="J826" s="26"/>
    </row>
    <row r="827" ht="12.75" customHeight="1">
      <c r="C827" s="26"/>
      <c r="D827" s="26"/>
      <c r="E827" s="26"/>
      <c r="H827" s="26"/>
      <c r="I827" s="26"/>
      <c r="J827" s="26"/>
    </row>
    <row r="828" ht="12.75" customHeight="1">
      <c r="C828" s="26"/>
      <c r="D828" s="26"/>
      <c r="E828" s="26"/>
      <c r="H828" s="26"/>
      <c r="I828" s="26"/>
      <c r="J828" s="26"/>
    </row>
    <row r="829" ht="12.75" customHeight="1">
      <c r="C829" s="26"/>
      <c r="D829" s="26"/>
      <c r="E829" s="26"/>
      <c r="H829" s="26"/>
      <c r="I829" s="26"/>
      <c r="J829" s="26"/>
    </row>
    <row r="830" ht="12.75" customHeight="1">
      <c r="C830" s="26"/>
      <c r="D830" s="26"/>
      <c r="E830" s="26"/>
      <c r="H830" s="26"/>
      <c r="I830" s="26"/>
      <c r="J830" s="26"/>
    </row>
    <row r="831" ht="12.75" customHeight="1">
      <c r="C831" s="26"/>
      <c r="D831" s="26"/>
      <c r="E831" s="26"/>
      <c r="H831" s="26"/>
      <c r="I831" s="26"/>
      <c r="J831" s="26"/>
    </row>
    <row r="832" ht="12.75" customHeight="1">
      <c r="C832" s="26"/>
      <c r="D832" s="26"/>
      <c r="E832" s="26"/>
      <c r="H832" s="26"/>
      <c r="I832" s="26"/>
      <c r="J832" s="26"/>
    </row>
    <row r="833" ht="12.75" customHeight="1">
      <c r="C833" s="26"/>
      <c r="D833" s="26"/>
      <c r="E833" s="26"/>
      <c r="H833" s="26"/>
      <c r="I833" s="26"/>
      <c r="J833" s="26"/>
    </row>
    <row r="834" ht="12.75" customHeight="1">
      <c r="C834" s="26"/>
      <c r="D834" s="26"/>
      <c r="E834" s="26"/>
      <c r="H834" s="26"/>
      <c r="I834" s="26"/>
      <c r="J834" s="26"/>
    </row>
    <row r="835" ht="12.75" customHeight="1">
      <c r="C835" s="26"/>
      <c r="D835" s="26"/>
      <c r="E835" s="26"/>
      <c r="H835" s="26"/>
      <c r="I835" s="26"/>
      <c r="J835" s="26"/>
    </row>
    <row r="836" ht="12.75" customHeight="1">
      <c r="C836" s="26"/>
      <c r="D836" s="26"/>
      <c r="E836" s="26"/>
      <c r="H836" s="26"/>
      <c r="I836" s="26"/>
      <c r="J836" s="26"/>
    </row>
    <row r="837" ht="12.75" customHeight="1">
      <c r="C837" s="26"/>
      <c r="D837" s="26"/>
      <c r="E837" s="26"/>
      <c r="H837" s="26"/>
      <c r="I837" s="26"/>
      <c r="J837" s="26"/>
    </row>
    <row r="838" ht="12.75" customHeight="1">
      <c r="C838" s="26"/>
      <c r="D838" s="26"/>
      <c r="E838" s="26"/>
      <c r="H838" s="26"/>
      <c r="I838" s="26"/>
      <c r="J838" s="26"/>
    </row>
    <row r="839" ht="12.75" customHeight="1">
      <c r="C839" s="26"/>
      <c r="D839" s="26"/>
      <c r="E839" s="26"/>
      <c r="H839" s="26"/>
      <c r="I839" s="26"/>
      <c r="J839" s="26"/>
    </row>
    <row r="840" ht="12.75" customHeight="1">
      <c r="C840" s="26"/>
      <c r="D840" s="26"/>
      <c r="E840" s="26"/>
      <c r="H840" s="26"/>
      <c r="I840" s="26"/>
      <c r="J840" s="26"/>
    </row>
    <row r="841" ht="12.75" customHeight="1">
      <c r="C841" s="26"/>
      <c r="D841" s="26"/>
      <c r="E841" s="26"/>
      <c r="H841" s="26"/>
      <c r="I841" s="26"/>
      <c r="J841" s="26"/>
    </row>
    <row r="842" ht="12.75" customHeight="1">
      <c r="C842" s="26"/>
      <c r="D842" s="26"/>
      <c r="E842" s="26"/>
      <c r="H842" s="26"/>
      <c r="I842" s="26"/>
      <c r="J842" s="26"/>
    </row>
    <row r="843" ht="12.75" customHeight="1">
      <c r="C843" s="26"/>
      <c r="D843" s="26"/>
      <c r="E843" s="26"/>
      <c r="H843" s="26"/>
      <c r="I843" s="26"/>
      <c r="J843" s="26"/>
    </row>
    <row r="844" ht="12.75" customHeight="1">
      <c r="C844" s="26"/>
      <c r="D844" s="26"/>
      <c r="E844" s="26"/>
      <c r="H844" s="26"/>
      <c r="I844" s="26"/>
      <c r="J844" s="26"/>
    </row>
    <row r="845" ht="12.75" customHeight="1">
      <c r="C845" s="26"/>
      <c r="D845" s="26"/>
      <c r="E845" s="26"/>
      <c r="H845" s="26"/>
      <c r="I845" s="26"/>
      <c r="J845" s="26"/>
    </row>
    <row r="846" ht="12.75" customHeight="1">
      <c r="C846" s="26"/>
      <c r="D846" s="26"/>
      <c r="E846" s="26"/>
      <c r="H846" s="26"/>
      <c r="I846" s="26"/>
      <c r="J846" s="26"/>
    </row>
    <row r="847" ht="12.75" customHeight="1">
      <c r="C847" s="26"/>
      <c r="D847" s="26"/>
      <c r="E847" s="26"/>
      <c r="H847" s="26"/>
      <c r="I847" s="26"/>
      <c r="J847" s="26"/>
    </row>
    <row r="848" ht="12.75" customHeight="1">
      <c r="C848" s="26"/>
      <c r="D848" s="26"/>
      <c r="E848" s="26"/>
      <c r="H848" s="26"/>
      <c r="I848" s="26"/>
      <c r="J848" s="26"/>
    </row>
    <row r="849" ht="12.75" customHeight="1">
      <c r="C849" s="26"/>
      <c r="D849" s="26"/>
      <c r="E849" s="26"/>
      <c r="H849" s="26"/>
      <c r="I849" s="26"/>
      <c r="J849" s="26"/>
    </row>
    <row r="850" ht="12.75" customHeight="1">
      <c r="C850" s="26"/>
      <c r="D850" s="26"/>
      <c r="E850" s="26"/>
      <c r="H850" s="26"/>
      <c r="I850" s="26"/>
      <c r="J850" s="26"/>
    </row>
    <row r="851" ht="12.75" customHeight="1">
      <c r="C851" s="26"/>
      <c r="D851" s="26"/>
      <c r="E851" s="26"/>
      <c r="H851" s="26"/>
      <c r="I851" s="26"/>
      <c r="J851" s="26"/>
    </row>
    <row r="852" ht="12.75" customHeight="1">
      <c r="C852" s="26"/>
      <c r="D852" s="26"/>
      <c r="E852" s="26"/>
      <c r="H852" s="26"/>
      <c r="I852" s="26"/>
      <c r="J852" s="26"/>
    </row>
    <row r="853" ht="12.75" customHeight="1">
      <c r="C853" s="26"/>
      <c r="D853" s="26"/>
      <c r="E853" s="26"/>
      <c r="H853" s="26"/>
      <c r="I853" s="26"/>
      <c r="J853" s="26"/>
    </row>
    <row r="854" ht="12.75" customHeight="1">
      <c r="C854" s="26"/>
      <c r="D854" s="26"/>
      <c r="E854" s="26"/>
      <c r="H854" s="26"/>
      <c r="I854" s="26"/>
      <c r="J854" s="26"/>
    </row>
    <row r="855" ht="12.75" customHeight="1">
      <c r="C855" s="26"/>
      <c r="D855" s="26"/>
      <c r="E855" s="26"/>
      <c r="H855" s="26"/>
      <c r="I855" s="26"/>
      <c r="J855" s="26"/>
    </row>
    <row r="856" ht="12.75" customHeight="1">
      <c r="C856" s="26"/>
      <c r="D856" s="26"/>
      <c r="E856" s="26"/>
      <c r="H856" s="26"/>
      <c r="I856" s="26"/>
      <c r="J856" s="26"/>
    </row>
    <row r="857" ht="12.75" customHeight="1">
      <c r="C857" s="26"/>
      <c r="D857" s="26"/>
      <c r="E857" s="26"/>
      <c r="H857" s="26"/>
      <c r="I857" s="26"/>
      <c r="J857" s="26"/>
    </row>
    <row r="858" ht="12.75" customHeight="1">
      <c r="C858" s="26"/>
      <c r="D858" s="26"/>
      <c r="E858" s="26"/>
      <c r="H858" s="26"/>
      <c r="I858" s="26"/>
      <c r="J858" s="26"/>
    </row>
    <row r="859" ht="12.75" customHeight="1">
      <c r="C859" s="26"/>
      <c r="D859" s="26"/>
      <c r="E859" s="26"/>
      <c r="H859" s="26"/>
      <c r="I859" s="26"/>
      <c r="J859" s="26"/>
    </row>
    <row r="860" ht="12.75" customHeight="1">
      <c r="C860" s="26"/>
      <c r="D860" s="26"/>
      <c r="E860" s="26"/>
      <c r="H860" s="26"/>
      <c r="I860" s="26"/>
      <c r="J860" s="26"/>
    </row>
    <row r="861" ht="12.75" customHeight="1">
      <c r="C861" s="26"/>
      <c r="D861" s="26"/>
      <c r="E861" s="26"/>
      <c r="H861" s="26"/>
      <c r="I861" s="26"/>
      <c r="J861" s="26"/>
    </row>
    <row r="862" ht="12.75" customHeight="1">
      <c r="C862" s="26"/>
      <c r="D862" s="26"/>
      <c r="E862" s="26"/>
      <c r="H862" s="26"/>
      <c r="I862" s="26"/>
      <c r="J862" s="26"/>
    </row>
    <row r="863" ht="12.75" customHeight="1">
      <c r="C863" s="26"/>
      <c r="D863" s="26"/>
      <c r="E863" s="26"/>
      <c r="H863" s="26"/>
      <c r="I863" s="26"/>
      <c r="J863" s="26"/>
    </row>
    <row r="864" ht="12.75" customHeight="1">
      <c r="C864" s="26"/>
      <c r="D864" s="26"/>
      <c r="E864" s="26"/>
      <c r="H864" s="26"/>
      <c r="I864" s="26"/>
      <c r="J864" s="26"/>
    </row>
    <row r="865" ht="12.75" customHeight="1">
      <c r="C865" s="26"/>
      <c r="D865" s="26"/>
      <c r="E865" s="26"/>
      <c r="H865" s="26"/>
      <c r="I865" s="26"/>
      <c r="J865" s="26"/>
    </row>
    <row r="866" ht="12.75" customHeight="1">
      <c r="C866" s="26"/>
      <c r="D866" s="26"/>
      <c r="E866" s="26"/>
      <c r="H866" s="26"/>
      <c r="I866" s="26"/>
      <c r="J866" s="26"/>
    </row>
    <row r="867" ht="12.75" customHeight="1">
      <c r="C867" s="26"/>
      <c r="D867" s="26"/>
      <c r="E867" s="26"/>
      <c r="H867" s="26"/>
      <c r="I867" s="26"/>
      <c r="J867" s="26"/>
    </row>
    <row r="868" ht="12.75" customHeight="1">
      <c r="C868" s="26"/>
      <c r="D868" s="26"/>
      <c r="E868" s="26"/>
      <c r="H868" s="26"/>
      <c r="I868" s="26"/>
      <c r="J868" s="26"/>
    </row>
    <row r="869" ht="12.75" customHeight="1">
      <c r="C869" s="26"/>
      <c r="D869" s="26"/>
      <c r="E869" s="26"/>
      <c r="H869" s="26"/>
      <c r="I869" s="26"/>
      <c r="J869" s="26"/>
    </row>
    <row r="870" ht="12.75" customHeight="1">
      <c r="C870" s="26"/>
      <c r="D870" s="26"/>
      <c r="E870" s="26"/>
      <c r="H870" s="26"/>
      <c r="I870" s="26"/>
      <c r="J870" s="26"/>
    </row>
    <row r="871" ht="12.75" customHeight="1">
      <c r="C871" s="26"/>
      <c r="D871" s="26"/>
      <c r="E871" s="26"/>
      <c r="H871" s="26"/>
      <c r="I871" s="26"/>
      <c r="J871" s="26"/>
    </row>
    <row r="872" ht="12.75" customHeight="1">
      <c r="C872" s="26"/>
      <c r="D872" s="26"/>
      <c r="E872" s="26"/>
      <c r="H872" s="26"/>
      <c r="I872" s="26"/>
      <c r="J872" s="26"/>
    </row>
    <row r="873" ht="12.75" customHeight="1">
      <c r="C873" s="26"/>
      <c r="D873" s="26"/>
      <c r="E873" s="26"/>
      <c r="H873" s="26"/>
      <c r="I873" s="26"/>
      <c r="J873" s="26"/>
    </row>
    <row r="874" ht="12.75" customHeight="1">
      <c r="C874" s="26"/>
      <c r="D874" s="26"/>
      <c r="E874" s="26"/>
      <c r="H874" s="26"/>
      <c r="I874" s="26"/>
      <c r="J874" s="26"/>
    </row>
    <row r="875" ht="12.75" customHeight="1">
      <c r="C875" s="26"/>
      <c r="D875" s="26"/>
      <c r="E875" s="26"/>
      <c r="H875" s="26"/>
      <c r="I875" s="26"/>
      <c r="J875" s="26"/>
    </row>
    <row r="876" ht="12.75" customHeight="1">
      <c r="C876" s="26"/>
      <c r="D876" s="26"/>
      <c r="E876" s="26"/>
      <c r="H876" s="26"/>
      <c r="I876" s="26"/>
      <c r="J876" s="26"/>
    </row>
    <row r="877" ht="12.75" customHeight="1">
      <c r="C877" s="26"/>
      <c r="D877" s="26"/>
      <c r="E877" s="26"/>
      <c r="H877" s="26"/>
      <c r="I877" s="26"/>
      <c r="J877" s="26"/>
    </row>
    <row r="878" ht="12.75" customHeight="1">
      <c r="C878" s="26"/>
      <c r="D878" s="26"/>
      <c r="E878" s="26"/>
      <c r="H878" s="26"/>
      <c r="I878" s="26"/>
      <c r="J878" s="26"/>
    </row>
    <row r="879" ht="12.75" customHeight="1">
      <c r="C879" s="26"/>
      <c r="D879" s="26"/>
      <c r="E879" s="26"/>
      <c r="H879" s="26"/>
      <c r="I879" s="26"/>
      <c r="J879" s="26"/>
    </row>
    <row r="880" ht="12.75" customHeight="1">
      <c r="C880" s="26"/>
      <c r="D880" s="26"/>
      <c r="E880" s="26"/>
      <c r="H880" s="26"/>
      <c r="I880" s="26"/>
      <c r="J880" s="26"/>
    </row>
    <row r="881" ht="12.75" customHeight="1">
      <c r="C881" s="26"/>
      <c r="D881" s="26"/>
      <c r="E881" s="26"/>
      <c r="H881" s="26"/>
      <c r="I881" s="26"/>
      <c r="J881" s="26"/>
    </row>
    <row r="882" ht="12.75" customHeight="1">
      <c r="C882" s="26"/>
      <c r="D882" s="26"/>
      <c r="E882" s="26"/>
      <c r="H882" s="26"/>
      <c r="I882" s="26"/>
      <c r="J882" s="26"/>
    </row>
    <row r="883" ht="12.75" customHeight="1">
      <c r="C883" s="26"/>
      <c r="D883" s="26"/>
      <c r="E883" s="26"/>
      <c r="H883" s="26"/>
      <c r="I883" s="26"/>
      <c r="J883" s="26"/>
    </row>
    <row r="884" ht="12.75" customHeight="1">
      <c r="C884" s="26"/>
      <c r="D884" s="26"/>
      <c r="E884" s="26"/>
      <c r="H884" s="26"/>
      <c r="I884" s="26"/>
      <c r="J884" s="26"/>
    </row>
    <row r="885" ht="12.75" customHeight="1">
      <c r="C885" s="26"/>
      <c r="D885" s="26"/>
      <c r="E885" s="26"/>
      <c r="H885" s="26"/>
      <c r="I885" s="26"/>
      <c r="J885" s="26"/>
    </row>
    <row r="886" ht="12.75" customHeight="1">
      <c r="C886" s="26"/>
      <c r="D886" s="26"/>
      <c r="E886" s="26"/>
      <c r="H886" s="26"/>
      <c r="I886" s="26"/>
      <c r="J886" s="26"/>
    </row>
    <row r="887" ht="12.75" customHeight="1">
      <c r="C887" s="26"/>
      <c r="D887" s="26"/>
      <c r="E887" s="26"/>
      <c r="H887" s="26"/>
      <c r="I887" s="26"/>
      <c r="J887" s="26"/>
    </row>
    <row r="888" ht="12.75" customHeight="1">
      <c r="C888" s="26"/>
      <c r="D888" s="26"/>
      <c r="E888" s="26"/>
      <c r="H888" s="26"/>
      <c r="I888" s="26"/>
      <c r="J888" s="26"/>
    </row>
    <row r="889" ht="12.75" customHeight="1">
      <c r="C889" s="26"/>
      <c r="D889" s="26"/>
      <c r="E889" s="26"/>
      <c r="H889" s="26"/>
      <c r="I889" s="26"/>
      <c r="J889" s="26"/>
    </row>
    <row r="890" ht="12.75" customHeight="1">
      <c r="C890" s="26"/>
      <c r="D890" s="26"/>
      <c r="E890" s="26"/>
      <c r="H890" s="26"/>
      <c r="I890" s="26"/>
      <c r="J890" s="26"/>
    </row>
    <row r="891" ht="12.75" customHeight="1">
      <c r="C891" s="26"/>
      <c r="D891" s="26"/>
      <c r="E891" s="26"/>
      <c r="H891" s="26"/>
      <c r="I891" s="26"/>
      <c r="J891" s="26"/>
    </row>
    <row r="892" ht="12.75" customHeight="1">
      <c r="C892" s="26"/>
      <c r="D892" s="26"/>
      <c r="E892" s="26"/>
      <c r="H892" s="26"/>
      <c r="I892" s="26"/>
      <c r="J892" s="26"/>
    </row>
    <row r="893" ht="12.75" customHeight="1">
      <c r="C893" s="26"/>
      <c r="D893" s="26"/>
      <c r="E893" s="26"/>
      <c r="H893" s="26"/>
      <c r="I893" s="26"/>
      <c r="J893" s="26"/>
    </row>
    <row r="894" ht="12.75" customHeight="1">
      <c r="C894" s="26"/>
      <c r="D894" s="26"/>
      <c r="E894" s="26"/>
      <c r="H894" s="26"/>
      <c r="I894" s="26"/>
      <c r="J894" s="26"/>
    </row>
    <row r="895" ht="12.75" customHeight="1">
      <c r="C895" s="26"/>
      <c r="D895" s="26"/>
      <c r="E895" s="26"/>
      <c r="H895" s="26"/>
      <c r="I895" s="26"/>
      <c r="J895" s="26"/>
    </row>
    <row r="896" ht="12.75" customHeight="1">
      <c r="C896" s="26"/>
      <c r="D896" s="26"/>
      <c r="E896" s="26"/>
      <c r="H896" s="26"/>
      <c r="I896" s="26"/>
      <c r="J896" s="26"/>
    </row>
    <row r="897" ht="12.75" customHeight="1">
      <c r="C897" s="26"/>
      <c r="D897" s="26"/>
      <c r="E897" s="26"/>
      <c r="H897" s="26"/>
      <c r="I897" s="26"/>
      <c r="J897" s="26"/>
    </row>
    <row r="898" ht="12.75" customHeight="1">
      <c r="C898" s="26"/>
      <c r="D898" s="26"/>
      <c r="E898" s="26"/>
      <c r="H898" s="26"/>
      <c r="I898" s="26"/>
      <c r="J898" s="26"/>
    </row>
    <row r="899" ht="12.75" customHeight="1">
      <c r="C899" s="26"/>
      <c r="D899" s="26"/>
      <c r="E899" s="26"/>
      <c r="H899" s="26"/>
      <c r="I899" s="26"/>
      <c r="J899" s="26"/>
    </row>
    <row r="900" ht="12.75" customHeight="1">
      <c r="C900" s="26"/>
      <c r="D900" s="26"/>
      <c r="E900" s="26"/>
      <c r="H900" s="26"/>
      <c r="I900" s="26"/>
      <c r="J900" s="26"/>
    </row>
    <row r="901" ht="12.75" customHeight="1">
      <c r="C901" s="26"/>
      <c r="D901" s="26"/>
      <c r="E901" s="26"/>
      <c r="H901" s="26"/>
      <c r="I901" s="26"/>
      <c r="J901" s="26"/>
    </row>
    <row r="902" ht="12.75" customHeight="1">
      <c r="C902" s="26"/>
      <c r="D902" s="26"/>
      <c r="E902" s="26"/>
      <c r="H902" s="26"/>
      <c r="I902" s="26"/>
      <c r="J902" s="26"/>
    </row>
    <row r="903" ht="12.75" customHeight="1">
      <c r="C903" s="26"/>
      <c r="D903" s="26"/>
      <c r="E903" s="26"/>
      <c r="H903" s="26"/>
      <c r="I903" s="26"/>
      <c r="J903" s="26"/>
    </row>
    <row r="904" ht="12.75" customHeight="1">
      <c r="C904" s="26"/>
      <c r="D904" s="26"/>
      <c r="E904" s="26"/>
      <c r="H904" s="26"/>
      <c r="I904" s="26"/>
      <c r="J904" s="26"/>
    </row>
    <row r="905" ht="12.75" customHeight="1">
      <c r="C905" s="26"/>
      <c r="D905" s="26"/>
      <c r="E905" s="26"/>
      <c r="H905" s="26"/>
      <c r="I905" s="26"/>
      <c r="J905" s="26"/>
    </row>
    <row r="906" ht="12.75" customHeight="1">
      <c r="C906" s="26"/>
      <c r="D906" s="26"/>
      <c r="E906" s="26"/>
      <c r="H906" s="26"/>
      <c r="I906" s="26"/>
      <c r="J906" s="26"/>
    </row>
    <row r="907" ht="12.75" customHeight="1">
      <c r="C907" s="26"/>
      <c r="D907" s="26"/>
      <c r="E907" s="26"/>
      <c r="H907" s="26"/>
      <c r="I907" s="26"/>
      <c r="J907" s="26"/>
    </row>
    <row r="908" ht="12.75" customHeight="1">
      <c r="C908" s="26"/>
      <c r="D908" s="26"/>
      <c r="E908" s="26"/>
      <c r="H908" s="26"/>
      <c r="I908" s="26"/>
      <c r="J908" s="26"/>
    </row>
    <row r="909" ht="12.75" customHeight="1">
      <c r="C909" s="26"/>
      <c r="D909" s="26"/>
      <c r="E909" s="26"/>
      <c r="H909" s="26"/>
      <c r="I909" s="26"/>
      <c r="J909" s="26"/>
    </row>
    <row r="910" ht="12.75" customHeight="1">
      <c r="C910" s="26"/>
      <c r="D910" s="26"/>
      <c r="E910" s="26"/>
      <c r="H910" s="26"/>
      <c r="I910" s="26"/>
      <c r="J910" s="26"/>
    </row>
    <row r="911" ht="12.75" customHeight="1">
      <c r="C911" s="26"/>
      <c r="D911" s="26"/>
      <c r="E911" s="26"/>
      <c r="H911" s="26"/>
      <c r="I911" s="26"/>
      <c r="J911" s="26"/>
    </row>
    <row r="912" ht="12.75" customHeight="1">
      <c r="C912" s="26"/>
      <c r="D912" s="26"/>
      <c r="E912" s="26"/>
      <c r="H912" s="26"/>
      <c r="I912" s="26"/>
      <c r="J912" s="26"/>
    </row>
    <row r="913" ht="12.75" customHeight="1">
      <c r="C913" s="26"/>
      <c r="D913" s="26"/>
      <c r="E913" s="26"/>
      <c r="H913" s="26"/>
      <c r="I913" s="26"/>
      <c r="J913" s="26"/>
    </row>
    <row r="914" ht="12.75" customHeight="1">
      <c r="C914" s="26"/>
      <c r="D914" s="26"/>
      <c r="E914" s="26"/>
      <c r="H914" s="26"/>
      <c r="I914" s="26"/>
      <c r="J914" s="26"/>
    </row>
    <row r="915" ht="12.75" customHeight="1">
      <c r="C915" s="26"/>
      <c r="D915" s="26"/>
      <c r="E915" s="26"/>
      <c r="H915" s="26"/>
      <c r="I915" s="26"/>
      <c r="J915" s="26"/>
    </row>
    <row r="916" ht="12.75" customHeight="1">
      <c r="C916" s="26"/>
      <c r="D916" s="26"/>
      <c r="E916" s="26"/>
      <c r="H916" s="26"/>
      <c r="I916" s="26"/>
      <c r="J916" s="26"/>
    </row>
    <row r="917" ht="12.75" customHeight="1">
      <c r="C917" s="26"/>
      <c r="D917" s="26"/>
      <c r="E917" s="26"/>
      <c r="H917" s="26"/>
      <c r="I917" s="26"/>
      <c r="J917" s="26"/>
    </row>
    <row r="918" ht="12.75" customHeight="1">
      <c r="C918" s="26"/>
      <c r="D918" s="26"/>
      <c r="E918" s="26"/>
      <c r="H918" s="26"/>
      <c r="I918" s="26"/>
      <c r="J918" s="26"/>
    </row>
    <row r="919" ht="12.75" customHeight="1">
      <c r="C919" s="26"/>
      <c r="D919" s="26"/>
      <c r="E919" s="26"/>
      <c r="H919" s="26"/>
      <c r="I919" s="26"/>
      <c r="J919" s="26"/>
    </row>
    <row r="920" ht="12.75" customHeight="1">
      <c r="C920" s="26"/>
      <c r="D920" s="26"/>
      <c r="E920" s="26"/>
      <c r="H920" s="26"/>
      <c r="I920" s="26"/>
      <c r="J920" s="26"/>
    </row>
    <row r="921" ht="12.75" customHeight="1">
      <c r="C921" s="26"/>
      <c r="D921" s="26"/>
      <c r="E921" s="26"/>
      <c r="H921" s="26"/>
      <c r="I921" s="26"/>
      <c r="J921" s="26"/>
    </row>
    <row r="922" ht="12.75" customHeight="1">
      <c r="C922" s="26"/>
      <c r="D922" s="26"/>
      <c r="E922" s="26"/>
      <c r="H922" s="26"/>
      <c r="I922" s="26"/>
      <c r="J922" s="26"/>
    </row>
    <row r="923" ht="12.75" customHeight="1">
      <c r="C923" s="26"/>
      <c r="D923" s="26"/>
      <c r="E923" s="26"/>
      <c r="H923" s="26"/>
      <c r="I923" s="26"/>
      <c r="J923" s="26"/>
    </row>
    <row r="924" ht="12.75" customHeight="1">
      <c r="C924" s="26"/>
      <c r="D924" s="26"/>
      <c r="E924" s="26"/>
      <c r="H924" s="26"/>
      <c r="I924" s="26"/>
      <c r="J924" s="26"/>
    </row>
    <row r="925" ht="12.75" customHeight="1">
      <c r="C925" s="26"/>
      <c r="D925" s="26"/>
      <c r="E925" s="26"/>
      <c r="H925" s="26"/>
      <c r="I925" s="26"/>
      <c r="J925" s="26"/>
    </row>
    <row r="926" ht="12.75" customHeight="1">
      <c r="C926" s="26"/>
      <c r="D926" s="26"/>
      <c r="E926" s="26"/>
      <c r="H926" s="26"/>
      <c r="I926" s="26"/>
      <c r="J926" s="26"/>
    </row>
    <row r="927" ht="12.75" customHeight="1">
      <c r="C927" s="26"/>
      <c r="D927" s="26"/>
      <c r="E927" s="26"/>
      <c r="H927" s="26"/>
      <c r="I927" s="26"/>
      <c r="J927" s="26"/>
    </row>
    <row r="928" ht="12.75" customHeight="1">
      <c r="C928" s="26"/>
      <c r="D928" s="26"/>
      <c r="E928" s="26"/>
      <c r="H928" s="26"/>
      <c r="I928" s="26"/>
      <c r="J928" s="26"/>
    </row>
    <row r="929" ht="12.75" customHeight="1">
      <c r="C929" s="26"/>
      <c r="D929" s="26"/>
      <c r="E929" s="26"/>
      <c r="H929" s="26"/>
      <c r="I929" s="26"/>
      <c r="J929" s="26"/>
    </row>
    <row r="930" ht="12.75" customHeight="1">
      <c r="C930" s="26"/>
      <c r="D930" s="26"/>
      <c r="E930" s="26"/>
      <c r="H930" s="26"/>
      <c r="I930" s="26"/>
      <c r="J930" s="26"/>
    </row>
    <row r="931" ht="12.75" customHeight="1">
      <c r="C931" s="26"/>
      <c r="D931" s="26"/>
      <c r="E931" s="26"/>
      <c r="H931" s="26"/>
      <c r="I931" s="26"/>
      <c r="J931" s="26"/>
    </row>
    <row r="932" ht="12.75" customHeight="1">
      <c r="C932" s="26"/>
      <c r="D932" s="26"/>
      <c r="E932" s="26"/>
      <c r="H932" s="26"/>
      <c r="I932" s="26"/>
      <c r="J932" s="26"/>
    </row>
    <row r="933" ht="12.75" customHeight="1">
      <c r="C933" s="26"/>
      <c r="D933" s="26"/>
      <c r="E933" s="26"/>
      <c r="H933" s="26"/>
      <c r="I933" s="26"/>
      <c r="J933" s="26"/>
    </row>
    <row r="934" ht="12.75" customHeight="1">
      <c r="C934" s="26"/>
      <c r="D934" s="26"/>
      <c r="E934" s="26"/>
      <c r="H934" s="26"/>
      <c r="I934" s="26"/>
      <c r="J934" s="26"/>
    </row>
    <row r="935" ht="12.75" customHeight="1">
      <c r="C935" s="26"/>
      <c r="D935" s="26"/>
      <c r="E935" s="26"/>
      <c r="H935" s="26"/>
      <c r="I935" s="26"/>
      <c r="J935" s="26"/>
    </row>
    <row r="936" ht="12.75" customHeight="1">
      <c r="C936" s="26"/>
      <c r="D936" s="26"/>
      <c r="E936" s="26"/>
      <c r="H936" s="26"/>
      <c r="I936" s="26"/>
      <c r="J936" s="26"/>
    </row>
    <row r="937" ht="12.75" customHeight="1">
      <c r="C937" s="26"/>
      <c r="D937" s="26"/>
      <c r="E937" s="26"/>
      <c r="H937" s="26"/>
      <c r="I937" s="26"/>
      <c r="J937" s="26"/>
    </row>
    <row r="938" ht="12.75" customHeight="1">
      <c r="C938" s="26"/>
      <c r="D938" s="26"/>
      <c r="E938" s="26"/>
      <c r="H938" s="26"/>
      <c r="I938" s="26"/>
      <c r="J938" s="26"/>
    </row>
    <row r="939" ht="12.75" customHeight="1">
      <c r="C939" s="26"/>
      <c r="D939" s="26"/>
      <c r="E939" s="26"/>
      <c r="H939" s="26"/>
      <c r="I939" s="26"/>
      <c r="J939" s="26"/>
    </row>
    <row r="940" ht="12.75" customHeight="1">
      <c r="C940" s="26"/>
      <c r="D940" s="26"/>
      <c r="E940" s="26"/>
      <c r="H940" s="26"/>
      <c r="I940" s="26"/>
      <c r="J940" s="26"/>
    </row>
    <row r="941" ht="12.75" customHeight="1">
      <c r="C941" s="26"/>
      <c r="D941" s="26"/>
      <c r="E941" s="26"/>
      <c r="H941" s="26"/>
      <c r="I941" s="26"/>
      <c r="J941" s="26"/>
    </row>
    <row r="942" ht="12.75" customHeight="1">
      <c r="C942" s="26"/>
      <c r="D942" s="26"/>
      <c r="E942" s="26"/>
      <c r="H942" s="26"/>
      <c r="I942" s="26"/>
      <c r="J942" s="26"/>
    </row>
    <row r="943" ht="12.75" customHeight="1">
      <c r="C943" s="26"/>
      <c r="D943" s="26"/>
      <c r="E943" s="26"/>
      <c r="H943" s="26"/>
      <c r="I943" s="26"/>
      <c r="J943" s="26"/>
    </row>
    <row r="944" ht="12.75" customHeight="1">
      <c r="C944" s="26"/>
      <c r="D944" s="26"/>
      <c r="E944" s="26"/>
      <c r="H944" s="26"/>
      <c r="I944" s="26"/>
      <c r="J944" s="26"/>
    </row>
    <row r="945" ht="12.75" customHeight="1">
      <c r="C945" s="26"/>
      <c r="D945" s="26"/>
      <c r="E945" s="26"/>
      <c r="H945" s="26"/>
      <c r="I945" s="26"/>
      <c r="J945" s="26"/>
    </row>
    <row r="946" ht="12.75" customHeight="1">
      <c r="C946" s="26"/>
      <c r="D946" s="26"/>
      <c r="E946" s="26"/>
      <c r="H946" s="26"/>
      <c r="I946" s="26"/>
      <c r="J946" s="26"/>
    </row>
    <row r="947" ht="12.75" customHeight="1">
      <c r="C947" s="26"/>
      <c r="D947" s="26"/>
      <c r="E947" s="26"/>
      <c r="H947" s="26"/>
      <c r="I947" s="26"/>
      <c r="J947" s="26"/>
    </row>
    <row r="948" ht="12.75" customHeight="1">
      <c r="C948" s="26"/>
      <c r="D948" s="26"/>
      <c r="E948" s="26"/>
      <c r="H948" s="26"/>
      <c r="I948" s="26"/>
      <c r="J948" s="26"/>
    </row>
    <row r="949" ht="12.75" customHeight="1">
      <c r="C949" s="26"/>
      <c r="D949" s="26"/>
      <c r="E949" s="26"/>
      <c r="H949" s="26"/>
      <c r="I949" s="26"/>
      <c r="J949" s="26"/>
    </row>
    <row r="950" ht="12.75" customHeight="1">
      <c r="C950" s="26"/>
      <c r="D950" s="26"/>
      <c r="E950" s="26"/>
      <c r="H950" s="26"/>
      <c r="I950" s="26"/>
      <c r="J950" s="26"/>
    </row>
    <row r="951" ht="12.75" customHeight="1">
      <c r="C951" s="26"/>
      <c r="D951" s="26"/>
      <c r="E951" s="26"/>
      <c r="H951" s="26"/>
      <c r="I951" s="26"/>
      <c r="J951" s="26"/>
    </row>
    <row r="952" ht="12.75" customHeight="1">
      <c r="C952" s="26"/>
      <c r="D952" s="26"/>
      <c r="E952" s="26"/>
      <c r="H952" s="26"/>
      <c r="I952" s="26"/>
      <c r="J952" s="26"/>
    </row>
    <row r="953" ht="12.75" customHeight="1">
      <c r="C953" s="26"/>
      <c r="D953" s="26"/>
      <c r="E953" s="26"/>
      <c r="H953" s="26"/>
      <c r="I953" s="26"/>
      <c r="J953" s="26"/>
    </row>
    <row r="954" ht="12.75" customHeight="1">
      <c r="C954" s="26"/>
      <c r="D954" s="26"/>
      <c r="E954" s="26"/>
      <c r="H954" s="26"/>
      <c r="I954" s="26"/>
      <c r="J954" s="26"/>
    </row>
    <row r="955" ht="12.75" customHeight="1">
      <c r="C955" s="26"/>
      <c r="D955" s="26"/>
      <c r="E955" s="26"/>
      <c r="H955" s="26"/>
      <c r="I955" s="26"/>
      <c r="J955" s="26"/>
    </row>
    <row r="956" ht="12.75" customHeight="1">
      <c r="C956" s="26"/>
      <c r="D956" s="26"/>
      <c r="E956" s="26"/>
      <c r="H956" s="26"/>
      <c r="I956" s="26"/>
      <c r="J956" s="26"/>
    </row>
    <row r="957" ht="12.75" customHeight="1">
      <c r="C957" s="26"/>
      <c r="D957" s="26"/>
      <c r="E957" s="26"/>
      <c r="H957" s="26"/>
      <c r="I957" s="26"/>
      <c r="J957" s="26"/>
    </row>
    <row r="958" ht="12.75" customHeight="1">
      <c r="C958" s="26"/>
      <c r="D958" s="26"/>
      <c r="E958" s="26"/>
      <c r="H958" s="26"/>
      <c r="I958" s="26"/>
      <c r="J958" s="26"/>
    </row>
    <row r="959" ht="12.75" customHeight="1">
      <c r="C959" s="26"/>
      <c r="D959" s="26"/>
      <c r="E959" s="26"/>
      <c r="H959" s="26"/>
      <c r="I959" s="26"/>
      <c r="J959" s="26"/>
    </row>
    <row r="960" ht="12.75" customHeight="1">
      <c r="C960" s="26"/>
      <c r="D960" s="26"/>
      <c r="E960" s="26"/>
      <c r="H960" s="26"/>
      <c r="I960" s="26"/>
      <c r="J960" s="26"/>
    </row>
    <row r="961" ht="12.75" customHeight="1">
      <c r="C961" s="26"/>
      <c r="D961" s="26"/>
      <c r="E961" s="26"/>
      <c r="H961" s="26"/>
      <c r="I961" s="26"/>
      <c r="J961" s="26"/>
    </row>
    <row r="962" ht="12.75" customHeight="1">
      <c r="C962" s="26"/>
      <c r="D962" s="26"/>
      <c r="E962" s="26"/>
      <c r="H962" s="26"/>
      <c r="I962" s="26"/>
      <c r="J962" s="26"/>
    </row>
    <row r="963" ht="12.75" customHeight="1">
      <c r="C963" s="26"/>
      <c r="D963" s="26"/>
      <c r="E963" s="26"/>
      <c r="H963" s="26"/>
      <c r="I963" s="26"/>
      <c r="J963" s="26"/>
    </row>
    <row r="964" ht="12.75" customHeight="1">
      <c r="C964" s="26"/>
      <c r="D964" s="26"/>
      <c r="E964" s="26"/>
      <c r="H964" s="26"/>
      <c r="I964" s="26"/>
      <c r="J964" s="26"/>
    </row>
    <row r="965" ht="12.75" customHeight="1">
      <c r="C965" s="26"/>
      <c r="D965" s="26"/>
      <c r="E965" s="26"/>
      <c r="H965" s="26"/>
      <c r="I965" s="26"/>
      <c r="J965" s="26"/>
    </row>
    <row r="966" ht="12.75" customHeight="1">
      <c r="C966" s="26"/>
      <c r="D966" s="26"/>
      <c r="E966" s="26"/>
      <c r="H966" s="26"/>
      <c r="I966" s="26"/>
      <c r="J966" s="26"/>
    </row>
    <row r="967" ht="12.75" customHeight="1">
      <c r="C967" s="26"/>
      <c r="D967" s="26"/>
      <c r="E967" s="26"/>
      <c r="H967" s="26"/>
      <c r="I967" s="26"/>
      <c r="J967" s="26"/>
    </row>
    <row r="968" ht="12.75" customHeight="1">
      <c r="C968" s="26"/>
      <c r="D968" s="26"/>
      <c r="E968" s="26"/>
      <c r="H968" s="26"/>
      <c r="I968" s="26"/>
      <c r="J968" s="26"/>
    </row>
    <row r="969" ht="12.75" customHeight="1">
      <c r="C969" s="26"/>
      <c r="D969" s="26"/>
      <c r="E969" s="26"/>
      <c r="H969" s="26"/>
      <c r="I969" s="26"/>
      <c r="J969" s="26"/>
    </row>
    <row r="970" ht="12.75" customHeight="1">
      <c r="C970" s="26"/>
      <c r="D970" s="26"/>
      <c r="E970" s="26"/>
      <c r="H970" s="26"/>
      <c r="I970" s="26"/>
      <c r="J970" s="26"/>
    </row>
    <row r="971" ht="12.75" customHeight="1">
      <c r="C971" s="26"/>
      <c r="D971" s="26"/>
      <c r="E971" s="26"/>
      <c r="H971" s="26"/>
      <c r="I971" s="26"/>
      <c r="J971" s="26"/>
    </row>
    <row r="972" ht="12.75" customHeight="1">
      <c r="C972" s="26"/>
      <c r="D972" s="26"/>
      <c r="E972" s="26"/>
      <c r="H972" s="26"/>
      <c r="I972" s="26"/>
      <c r="J972" s="26"/>
    </row>
    <row r="973" ht="12.75" customHeight="1">
      <c r="C973" s="26"/>
      <c r="D973" s="26"/>
      <c r="E973" s="26"/>
      <c r="H973" s="26"/>
      <c r="I973" s="26"/>
      <c r="J973" s="26"/>
    </row>
    <row r="974" ht="12.75" customHeight="1">
      <c r="C974" s="26"/>
      <c r="D974" s="26"/>
      <c r="E974" s="26"/>
      <c r="H974" s="26"/>
      <c r="I974" s="26"/>
      <c r="J974" s="26"/>
    </row>
    <row r="975" ht="12.75" customHeight="1">
      <c r="C975" s="26"/>
      <c r="D975" s="26"/>
      <c r="E975" s="26"/>
      <c r="H975" s="26"/>
      <c r="I975" s="26"/>
      <c r="J975" s="26"/>
    </row>
    <row r="976" ht="12.75" customHeight="1">
      <c r="C976" s="26"/>
      <c r="D976" s="26"/>
      <c r="E976" s="26"/>
      <c r="H976" s="26"/>
      <c r="I976" s="26"/>
      <c r="J976" s="26"/>
    </row>
    <row r="977" ht="12.75" customHeight="1">
      <c r="C977" s="26"/>
      <c r="D977" s="26"/>
      <c r="E977" s="26"/>
      <c r="H977" s="26"/>
      <c r="I977" s="26"/>
      <c r="J977" s="26"/>
    </row>
    <row r="978" ht="12.75" customHeight="1">
      <c r="C978" s="26"/>
      <c r="D978" s="26"/>
      <c r="E978" s="26"/>
      <c r="H978" s="26"/>
      <c r="I978" s="26"/>
      <c r="J978" s="26"/>
    </row>
    <row r="979" ht="12.75" customHeight="1">
      <c r="C979" s="26"/>
      <c r="D979" s="26"/>
      <c r="E979" s="26"/>
      <c r="H979" s="26"/>
      <c r="I979" s="26"/>
      <c r="J979" s="26"/>
    </row>
    <row r="980" ht="12.75" customHeight="1">
      <c r="C980" s="26"/>
      <c r="D980" s="26"/>
      <c r="E980" s="26"/>
      <c r="H980" s="26"/>
      <c r="I980" s="26"/>
      <c r="J980" s="26"/>
    </row>
    <row r="981" ht="12.75" customHeight="1">
      <c r="C981" s="26"/>
      <c r="D981" s="26"/>
      <c r="E981" s="26"/>
      <c r="H981" s="26"/>
      <c r="I981" s="26"/>
      <c r="J981" s="26"/>
    </row>
    <row r="982" ht="12.75" customHeight="1">
      <c r="C982" s="26"/>
      <c r="D982" s="26"/>
      <c r="E982" s="26"/>
      <c r="H982" s="26"/>
      <c r="I982" s="26"/>
      <c r="J982" s="26"/>
    </row>
    <row r="983" ht="12.75" customHeight="1">
      <c r="C983" s="26"/>
      <c r="D983" s="26"/>
      <c r="E983" s="26"/>
      <c r="H983" s="26"/>
      <c r="I983" s="26"/>
      <c r="J983" s="26"/>
    </row>
    <row r="984" ht="12.75" customHeight="1">
      <c r="C984" s="26"/>
      <c r="D984" s="26"/>
      <c r="E984" s="26"/>
      <c r="H984" s="26"/>
      <c r="I984" s="26"/>
      <c r="J984" s="26"/>
    </row>
    <row r="985" ht="12.75" customHeight="1">
      <c r="C985" s="26"/>
      <c r="D985" s="26"/>
      <c r="E985" s="26"/>
      <c r="H985" s="26"/>
      <c r="I985" s="26"/>
      <c r="J985" s="26"/>
    </row>
    <row r="986" ht="12.75" customHeight="1">
      <c r="C986" s="26"/>
      <c r="D986" s="26"/>
      <c r="E986" s="26"/>
      <c r="H986" s="26"/>
      <c r="I986" s="26"/>
      <c r="J986" s="26"/>
    </row>
    <row r="987" ht="12.75" customHeight="1">
      <c r="C987" s="26"/>
      <c r="D987" s="26"/>
      <c r="E987" s="26"/>
      <c r="H987" s="26"/>
      <c r="I987" s="26"/>
      <c r="J987" s="26"/>
    </row>
    <row r="988" ht="12.75" customHeight="1">
      <c r="C988" s="26"/>
      <c r="D988" s="26"/>
      <c r="E988" s="26"/>
      <c r="H988" s="26"/>
      <c r="I988" s="26"/>
      <c r="J988" s="26"/>
    </row>
    <row r="989" ht="12.75" customHeight="1">
      <c r="C989" s="26"/>
      <c r="D989" s="26"/>
      <c r="E989" s="26"/>
      <c r="H989" s="26"/>
      <c r="I989" s="26"/>
      <c r="J989" s="26"/>
    </row>
    <row r="990" ht="12.75" customHeight="1">
      <c r="C990" s="26"/>
      <c r="D990" s="26"/>
      <c r="E990" s="26"/>
      <c r="H990" s="26"/>
      <c r="I990" s="26"/>
      <c r="J990" s="26"/>
    </row>
    <row r="991" ht="12.75" customHeight="1">
      <c r="C991" s="26"/>
      <c r="D991" s="26"/>
      <c r="E991" s="26"/>
      <c r="H991" s="26"/>
      <c r="I991" s="26"/>
      <c r="J991" s="26"/>
    </row>
    <row r="992" ht="12.75" customHeight="1">
      <c r="C992" s="26"/>
      <c r="D992" s="26"/>
      <c r="E992" s="26"/>
      <c r="H992" s="26"/>
      <c r="I992" s="26"/>
      <c r="J992" s="26"/>
    </row>
    <row r="993" ht="12.75" customHeight="1">
      <c r="C993" s="26"/>
      <c r="D993" s="26"/>
      <c r="E993" s="26"/>
      <c r="H993" s="26"/>
      <c r="I993" s="26"/>
      <c r="J993" s="26"/>
    </row>
    <row r="994" ht="12.75" customHeight="1">
      <c r="C994" s="26"/>
      <c r="D994" s="26"/>
      <c r="E994" s="26"/>
      <c r="H994" s="26"/>
      <c r="I994" s="26"/>
      <c r="J994" s="26"/>
    </row>
  </sheetData>
  <mergeCells count="9">
    <mergeCell ref="L26:O26"/>
    <mergeCell ref="Q26:T26"/>
    <mergeCell ref="B2:E2"/>
    <mergeCell ref="G2:J2"/>
    <mergeCell ref="L2:O2"/>
    <mergeCell ref="Q2:T2"/>
    <mergeCell ref="V2:Y2"/>
    <mergeCell ref="B26:E26"/>
    <mergeCell ref="G26:J26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16.14"/>
    <col customWidth="1" min="3" max="3" width="11.57"/>
    <col customWidth="1" min="4" max="4" width="15.43"/>
    <col customWidth="1" min="5" max="5" width="19.43"/>
    <col customWidth="1" min="6" max="6" width="20.29"/>
    <col customWidth="1" min="7" max="10" width="24.0"/>
    <col customWidth="1" min="11" max="11" width="16.57"/>
    <col customWidth="1" min="12" max="12" width="13.43"/>
    <col customWidth="1" min="13" max="13" width="11.71"/>
    <col customWidth="1" min="14" max="14" width="15.43"/>
    <col customWidth="1" min="15" max="15" width="16.14"/>
    <col customWidth="1" min="16" max="16" width="16.86"/>
    <col customWidth="1" min="17" max="17" width="15.86"/>
    <col customWidth="1" min="18" max="21" width="20.43"/>
    <col customWidth="1" min="22" max="22" width="32.43"/>
    <col customWidth="1" min="23" max="23" width="9.57"/>
    <col customWidth="1" min="24" max="24" width="25.57"/>
    <col customWidth="1" min="25" max="25" width="141.29"/>
    <col customWidth="1" min="26" max="26" width="12.86"/>
    <col customWidth="1" min="27" max="27" width="7.29"/>
    <col customWidth="1" min="28" max="28" width="8.0"/>
    <col customWidth="1" min="29" max="29" width="6.86"/>
    <col customWidth="1" min="30" max="30" width="11.0"/>
    <col customWidth="1" min="31" max="31" width="9.86"/>
    <col customWidth="1" min="32" max="32" width="11.43"/>
    <col customWidth="1" min="33" max="33" width="10.29"/>
    <col customWidth="1" min="34" max="34" width="13.71"/>
    <col customWidth="1" min="35" max="35" width="12.0"/>
    <col customWidth="1" min="36" max="38" width="14.29"/>
    <col customWidth="1" min="39" max="39" width="34.14"/>
    <col customWidth="1" min="40" max="40" width="24.43"/>
    <col customWidth="1" min="41" max="41" width="15.86"/>
    <col customWidth="1" min="42" max="42" width="16.86"/>
    <col customWidth="1" min="43" max="43" width="17.71"/>
    <col customWidth="1" min="44" max="46" width="12.43"/>
    <col customWidth="1" min="47" max="47" width="8.29"/>
    <col customWidth="1" min="48" max="48" width="9.14"/>
    <col customWidth="1" min="49" max="49" width="11.43"/>
    <col customWidth="1" min="50" max="50" width="8.57"/>
    <col customWidth="1" min="51" max="51" width="15.43"/>
    <col customWidth="1" min="52" max="52" width="18.86"/>
    <col customWidth="1" min="53" max="53" width="9.29"/>
    <col customWidth="1" min="54" max="54" width="13.0"/>
    <col customWidth="1" min="55" max="55" width="20.43"/>
    <col customWidth="1" min="56" max="56" width="5.43"/>
    <col customWidth="1" min="57" max="57" width="14.14"/>
    <col customWidth="1" min="58" max="58" width="11.0"/>
  </cols>
  <sheetData>
    <row r="1">
      <c r="A1" s="235" t="s">
        <v>574</v>
      </c>
      <c r="B1" s="235" t="s">
        <v>575</v>
      </c>
      <c r="C1" s="235" t="s">
        <v>576</v>
      </c>
      <c r="D1" s="235" t="s">
        <v>577</v>
      </c>
      <c r="E1" s="235" t="s">
        <v>578</v>
      </c>
      <c r="F1" s="235" t="s">
        <v>579</v>
      </c>
      <c r="G1" s="235" t="s">
        <v>580</v>
      </c>
      <c r="H1" s="235" t="s">
        <v>581</v>
      </c>
      <c r="I1" s="235" t="s">
        <v>582</v>
      </c>
      <c r="J1" s="235" t="s">
        <v>583</v>
      </c>
      <c r="K1" s="235" t="s">
        <v>584</v>
      </c>
      <c r="L1" s="235" t="s">
        <v>585</v>
      </c>
      <c r="M1" s="235" t="s">
        <v>586</v>
      </c>
      <c r="N1" s="235" t="s">
        <v>62</v>
      </c>
      <c r="O1" s="235" t="s">
        <v>69</v>
      </c>
      <c r="P1" s="235" t="s">
        <v>587</v>
      </c>
      <c r="Q1" s="235" t="s">
        <v>588</v>
      </c>
      <c r="R1" s="235" t="s">
        <v>589</v>
      </c>
      <c r="S1" s="235" t="s">
        <v>590</v>
      </c>
      <c r="T1" s="235" t="s">
        <v>591</v>
      </c>
      <c r="U1" s="235" t="s">
        <v>592</v>
      </c>
      <c r="V1" s="235" t="s">
        <v>593</v>
      </c>
      <c r="W1" s="235" t="s">
        <v>594</v>
      </c>
      <c r="X1" s="235" t="s">
        <v>595</v>
      </c>
      <c r="Y1" s="235" t="s">
        <v>597</v>
      </c>
      <c r="Z1" s="235" t="s">
        <v>598</v>
      </c>
      <c r="AA1" s="235" t="s">
        <v>599</v>
      </c>
      <c r="AB1" s="235" t="s">
        <v>600</v>
      </c>
      <c r="AC1" s="235" t="s">
        <v>601</v>
      </c>
      <c r="AD1" s="235" t="s">
        <v>602</v>
      </c>
      <c r="AE1" s="235" t="s">
        <v>603</v>
      </c>
      <c r="AF1" s="235" t="s">
        <v>604</v>
      </c>
      <c r="AG1" s="235" t="s">
        <v>605</v>
      </c>
      <c r="AH1" s="235" t="s">
        <v>606</v>
      </c>
      <c r="AI1" s="235" t="s">
        <v>607</v>
      </c>
      <c r="AJ1" s="235" t="s">
        <v>608</v>
      </c>
      <c r="AK1" s="235" t="s">
        <v>609</v>
      </c>
      <c r="AL1" s="235" t="s">
        <v>610</v>
      </c>
      <c r="AM1" s="235" t="s">
        <v>611</v>
      </c>
      <c r="AN1" s="235" t="s">
        <v>612</v>
      </c>
      <c r="AO1" s="235" t="s">
        <v>613</v>
      </c>
      <c r="AP1" s="235" t="s">
        <v>614</v>
      </c>
      <c r="AQ1" s="235" t="s">
        <v>615</v>
      </c>
      <c r="AR1" s="235" t="s">
        <v>616</v>
      </c>
      <c r="AS1" s="235" t="s">
        <v>617</v>
      </c>
      <c r="AT1" s="235" t="s">
        <v>70</v>
      </c>
      <c r="AU1" s="235" t="s">
        <v>618</v>
      </c>
      <c r="AV1" s="235" t="s">
        <v>619</v>
      </c>
      <c r="AW1" s="227"/>
      <c r="AX1" s="227"/>
      <c r="AY1" s="227"/>
      <c r="AZ1" s="227"/>
      <c r="BA1" s="227"/>
      <c r="BB1" s="227"/>
      <c r="BC1" s="227"/>
      <c r="BD1" s="227"/>
      <c r="BE1" s="227"/>
      <c r="BF1" s="227"/>
    </row>
    <row r="2">
      <c r="A2" s="235" t="s">
        <v>620</v>
      </c>
      <c r="C2" s="235" t="s">
        <v>621</v>
      </c>
      <c r="D2" s="235" t="s">
        <v>622</v>
      </c>
      <c r="E2" s="243">
        <v>6.58E13</v>
      </c>
      <c r="F2" s="244"/>
      <c r="G2" s="235" t="s">
        <v>623</v>
      </c>
      <c r="H2" s="235" t="s">
        <v>624</v>
      </c>
      <c r="I2" s="235" t="s">
        <v>624</v>
      </c>
      <c r="J2" s="235" t="s">
        <v>625</v>
      </c>
      <c r="K2" s="235" t="s">
        <v>626</v>
      </c>
      <c r="N2" s="235" t="s">
        <v>90</v>
      </c>
      <c r="O2" s="235" t="s">
        <v>279</v>
      </c>
      <c r="P2" s="238">
        <v>1.0</v>
      </c>
      <c r="Q2" s="235" t="s">
        <v>627</v>
      </c>
      <c r="R2" s="238">
        <v>246.67</v>
      </c>
      <c r="S2" s="238">
        <v>12.33</v>
      </c>
      <c r="T2" s="238">
        <v>0.0</v>
      </c>
      <c r="U2" s="238">
        <v>0.0</v>
      </c>
      <c r="V2" s="238">
        <v>0.0</v>
      </c>
      <c r="W2" s="238">
        <v>0.0</v>
      </c>
      <c r="X2" s="235" t="s">
        <v>628</v>
      </c>
      <c r="Z2" s="244"/>
      <c r="AA2" s="244"/>
      <c r="AB2" s="244"/>
      <c r="AC2" s="235" t="s">
        <v>629</v>
      </c>
      <c r="AD2" s="235" t="s">
        <v>630</v>
      </c>
      <c r="AE2" s="238">
        <v>201301.0</v>
      </c>
      <c r="AF2" s="235" t="s">
        <v>631</v>
      </c>
      <c r="AG2" s="244"/>
      <c r="AH2" s="244"/>
      <c r="AI2" s="245"/>
      <c r="AJ2" s="245"/>
      <c r="AK2" s="245"/>
      <c r="AL2" s="245"/>
      <c r="AM2" s="244"/>
      <c r="AN2" s="244"/>
      <c r="AO2" s="238">
        <v>0.0</v>
      </c>
      <c r="AP2" s="238">
        <v>0.0</v>
      </c>
      <c r="AQ2" s="235" t="s">
        <v>632</v>
      </c>
      <c r="AR2" s="243">
        <v>1.68E11</v>
      </c>
      <c r="AS2" s="235" t="s">
        <v>633</v>
      </c>
      <c r="AT2" s="235" t="s">
        <v>14</v>
      </c>
      <c r="AU2" s="235" t="s">
        <v>634</v>
      </c>
      <c r="AV2" s="246" t="s">
        <v>635</v>
      </c>
      <c r="AW2" s="242"/>
      <c r="AX2" s="242"/>
      <c r="AY2" s="231"/>
      <c r="AZ2" s="231"/>
      <c r="BA2" s="227"/>
      <c r="BB2" s="231"/>
      <c r="BC2" s="227"/>
      <c r="BD2" s="227"/>
      <c r="BE2" s="227"/>
      <c r="BF2" s="227"/>
    </row>
    <row r="3">
      <c r="A3" s="235" t="s">
        <v>636</v>
      </c>
      <c r="C3" s="235" t="s">
        <v>637</v>
      </c>
      <c r="D3" s="235" t="s">
        <v>638</v>
      </c>
      <c r="E3" s="243">
        <v>6.58E13</v>
      </c>
      <c r="F3" s="244"/>
      <c r="G3" s="235" t="s">
        <v>639</v>
      </c>
      <c r="H3" s="235" t="s">
        <v>640</v>
      </c>
      <c r="I3" s="235" t="s">
        <v>640</v>
      </c>
      <c r="J3" s="235" t="s">
        <v>641</v>
      </c>
      <c r="K3" s="235" t="s">
        <v>642</v>
      </c>
      <c r="N3" s="235" t="s">
        <v>42</v>
      </c>
      <c r="O3" s="235" t="s">
        <v>204</v>
      </c>
      <c r="P3" s="238">
        <v>1.0</v>
      </c>
      <c r="Q3" s="235" t="s">
        <v>627</v>
      </c>
      <c r="R3" s="238">
        <v>237.14</v>
      </c>
      <c r="S3" s="238">
        <v>11.86</v>
      </c>
      <c r="T3" s="238">
        <v>38.1</v>
      </c>
      <c r="U3" s="238">
        <v>1.9</v>
      </c>
      <c r="V3" s="238">
        <v>0.0</v>
      </c>
      <c r="W3" s="238">
        <v>0.0</v>
      </c>
      <c r="X3" s="235" t="s">
        <v>628</v>
      </c>
      <c r="Z3" s="244"/>
      <c r="AA3" s="244"/>
      <c r="AB3" s="244"/>
      <c r="AC3" s="235" t="s">
        <v>644</v>
      </c>
      <c r="AD3" s="235" t="s">
        <v>645</v>
      </c>
      <c r="AE3" s="238">
        <v>680010.0</v>
      </c>
      <c r="AF3" s="235" t="s">
        <v>631</v>
      </c>
      <c r="AG3" s="244"/>
      <c r="AH3" s="244"/>
      <c r="AI3" s="245"/>
      <c r="AJ3" s="245"/>
      <c r="AK3" s="245"/>
      <c r="AL3" s="245"/>
      <c r="AM3" s="244"/>
      <c r="AN3" s="244"/>
      <c r="AO3" s="238">
        <v>0.0</v>
      </c>
      <c r="AP3" s="238">
        <v>-38.1</v>
      </c>
      <c r="AQ3" s="235" t="s">
        <v>632</v>
      </c>
      <c r="AR3" s="243">
        <v>3.71E11</v>
      </c>
      <c r="AS3" s="235" t="s">
        <v>646</v>
      </c>
      <c r="AT3" s="235" t="s">
        <v>11</v>
      </c>
      <c r="AU3" s="235" t="s">
        <v>634</v>
      </c>
      <c r="AV3" s="246" t="s">
        <v>635</v>
      </c>
      <c r="AW3" s="242"/>
      <c r="AX3" s="242"/>
      <c r="AY3" s="231"/>
      <c r="AZ3" s="231"/>
      <c r="BA3" s="227"/>
      <c r="BB3" s="231"/>
      <c r="BC3" s="227"/>
      <c r="BD3" s="227"/>
      <c r="BE3" s="227"/>
      <c r="BF3" s="227"/>
    </row>
    <row r="4">
      <c r="A4" s="235" t="s">
        <v>647</v>
      </c>
      <c r="C4" s="235" t="s">
        <v>648</v>
      </c>
      <c r="D4" s="235" t="s">
        <v>649</v>
      </c>
      <c r="E4" s="243">
        <v>6.57E13</v>
      </c>
      <c r="F4" s="244"/>
      <c r="G4" s="235" t="s">
        <v>650</v>
      </c>
      <c r="H4" s="235" t="s">
        <v>651</v>
      </c>
      <c r="I4" s="235" t="s">
        <v>651</v>
      </c>
      <c r="J4" s="235" t="s">
        <v>652</v>
      </c>
      <c r="K4" s="235" t="s">
        <v>653</v>
      </c>
      <c r="N4" s="235" t="s">
        <v>3</v>
      </c>
      <c r="O4" s="235" t="s">
        <v>654</v>
      </c>
      <c r="P4" s="238">
        <v>1.0</v>
      </c>
      <c r="Q4" s="235" t="s">
        <v>627</v>
      </c>
      <c r="R4" s="238">
        <v>265.71</v>
      </c>
      <c r="S4" s="238">
        <v>13.29</v>
      </c>
      <c r="T4" s="238">
        <v>0.0</v>
      </c>
      <c r="U4" s="238">
        <v>0.0</v>
      </c>
      <c r="V4" s="238">
        <v>0.0</v>
      </c>
      <c r="W4" s="238">
        <v>0.0</v>
      </c>
      <c r="X4" s="235" t="s">
        <v>628</v>
      </c>
      <c r="Z4" s="244"/>
      <c r="AA4" s="244"/>
      <c r="AB4" s="244"/>
      <c r="AC4" s="235" t="s">
        <v>655</v>
      </c>
      <c r="AD4" s="235" t="s">
        <v>645</v>
      </c>
      <c r="AE4" s="238">
        <v>670105.0</v>
      </c>
      <c r="AF4" s="235" t="s">
        <v>631</v>
      </c>
      <c r="AG4" s="244"/>
      <c r="AH4" s="244"/>
      <c r="AI4" s="245"/>
      <c r="AJ4" s="245"/>
      <c r="AK4" s="245"/>
      <c r="AL4" s="245"/>
      <c r="AM4" s="244"/>
      <c r="AN4" s="244"/>
      <c r="AO4" s="238">
        <v>0.0</v>
      </c>
      <c r="AP4" s="238">
        <v>0.0</v>
      </c>
      <c r="AQ4" s="235" t="s">
        <v>632</v>
      </c>
      <c r="AR4" s="243">
        <v>3.71E11</v>
      </c>
      <c r="AS4" s="235" t="s">
        <v>656</v>
      </c>
      <c r="AT4" s="235" t="s">
        <v>155</v>
      </c>
      <c r="AU4" s="235" t="s">
        <v>634</v>
      </c>
      <c r="AV4" s="246" t="s">
        <v>635</v>
      </c>
      <c r="AW4" s="242"/>
      <c r="AX4" s="242"/>
      <c r="AY4" s="231"/>
      <c r="AZ4" s="231"/>
      <c r="BA4" s="227"/>
      <c r="BB4" s="231"/>
      <c r="BC4" s="227"/>
      <c r="BD4" s="227"/>
      <c r="BE4" s="227"/>
      <c r="BF4" s="227"/>
    </row>
    <row r="5">
      <c r="A5" s="235" t="s">
        <v>657</v>
      </c>
      <c r="C5" s="235" t="s">
        <v>658</v>
      </c>
      <c r="D5" s="235" t="s">
        <v>659</v>
      </c>
      <c r="E5" s="243">
        <v>6.58E13</v>
      </c>
      <c r="F5" s="244"/>
      <c r="G5" s="235" t="s">
        <v>660</v>
      </c>
      <c r="H5" s="235" t="s">
        <v>661</v>
      </c>
      <c r="I5" s="235" t="s">
        <v>661</v>
      </c>
      <c r="J5" s="235" t="s">
        <v>662</v>
      </c>
      <c r="K5" s="235" t="s">
        <v>663</v>
      </c>
      <c r="N5" s="235" t="s">
        <v>541</v>
      </c>
      <c r="O5" s="235" t="s">
        <v>664</v>
      </c>
      <c r="P5" s="238">
        <v>1.0</v>
      </c>
      <c r="Q5" s="235" t="s">
        <v>627</v>
      </c>
      <c r="R5" s="238">
        <v>668.64</v>
      </c>
      <c r="S5" s="238">
        <v>117.96</v>
      </c>
      <c r="T5" s="238">
        <v>0.0</v>
      </c>
      <c r="U5" s="238">
        <v>0.0</v>
      </c>
      <c r="V5" s="238">
        <v>0.0</v>
      </c>
      <c r="W5" s="238">
        <v>0.0</v>
      </c>
      <c r="X5" s="235" t="s">
        <v>628</v>
      </c>
      <c r="Z5" s="244"/>
      <c r="AA5" s="244"/>
      <c r="AB5" s="244"/>
      <c r="AC5" s="235" t="s">
        <v>665</v>
      </c>
      <c r="AD5" s="235" t="s">
        <v>666</v>
      </c>
      <c r="AE5" s="238">
        <v>632517.0</v>
      </c>
      <c r="AF5" s="235" t="s">
        <v>631</v>
      </c>
      <c r="AG5" s="244"/>
      <c r="AH5" s="244"/>
      <c r="AI5" s="245"/>
      <c r="AJ5" s="245"/>
      <c r="AK5" s="245"/>
      <c r="AL5" s="245"/>
      <c r="AM5" s="244"/>
      <c r="AN5" s="244"/>
      <c r="AO5" s="238">
        <v>-13.38</v>
      </c>
      <c r="AP5" s="238">
        <v>0.0</v>
      </c>
      <c r="AQ5" s="235" t="s">
        <v>632</v>
      </c>
      <c r="AR5" s="243">
        <v>1.68E11</v>
      </c>
      <c r="AS5" s="235" t="s">
        <v>667</v>
      </c>
      <c r="AT5" s="235" t="s">
        <v>156</v>
      </c>
      <c r="AU5" s="235" t="s">
        <v>634</v>
      </c>
      <c r="AV5" s="246" t="s">
        <v>635</v>
      </c>
      <c r="AW5" s="242"/>
      <c r="AX5" s="242"/>
      <c r="AY5" s="231"/>
      <c r="AZ5" s="231"/>
      <c r="BA5" s="227"/>
      <c r="BB5" s="231"/>
      <c r="BC5" s="227"/>
      <c r="BD5" s="227"/>
      <c r="BE5" s="227"/>
      <c r="BF5" s="227"/>
    </row>
    <row r="6">
      <c r="A6" s="235" t="s">
        <v>668</v>
      </c>
      <c r="C6" s="235" t="s">
        <v>669</v>
      </c>
      <c r="D6" s="235" t="s">
        <v>670</v>
      </c>
      <c r="E6" s="243">
        <v>6.58E13</v>
      </c>
      <c r="F6" s="244"/>
      <c r="G6" s="235" t="s">
        <v>671</v>
      </c>
      <c r="H6" s="235" t="s">
        <v>672</v>
      </c>
      <c r="I6" s="235" t="s">
        <v>672</v>
      </c>
      <c r="J6" s="235" t="s">
        <v>673</v>
      </c>
      <c r="K6" s="235" t="s">
        <v>674</v>
      </c>
      <c r="N6" s="235" t="s">
        <v>138</v>
      </c>
      <c r="O6" s="235" t="s">
        <v>675</v>
      </c>
      <c r="P6" s="238">
        <v>1.0</v>
      </c>
      <c r="Q6" s="235" t="s">
        <v>627</v>
      </c>
      <c r="R6" s="238">
        <v>246.66</v>
      </c>
      <c r="S6" s="238">
        <v>12.34</v>
      </c>
      <c r="T6" s="238">
        <v>0.0</v>
      </c>
      <c r="U6" s="238">
        <v>0.0</v>
      </c>
      <c r="V6" s="238">
        <v>0.0</v>
      </c>
      <c r="W6" s="238">
        <v>0.0</v>
      </c>
      <c r="X6" s="235" t="s">
        <v>628</v>
      </c>
      <c r="Z6" s="244"/>
      <c r="AA6" s="244"/>
      <c r="AB6" s="244"/>
      <c r="AC6" s="235" t="s">
        <v>678</v>
      </c>
      <c r="AD6" s="235" t="s">
        <v>679</v>
      </c>
      <c r="AE6" s="238">
        <v>560066.0</v>
      </c>
      <c r="AF6" s="235" t="s">
        <v>631</v>
      </c>
      <c r="AG6" s="244"/>
      <c r="AH6" s="244"/>
      <c r="AI6" s="245"/>
      <c r="AJ6" s="245"/>
      <c r="AK6" s="245"/>
      <c r="AL6" s="245"/>
      <c r="AM6" s="244"/>
      <c r="AN6" s="244"/>
      <c r="AO6" s="238">
        <v>0.0</v>
      </c>
      <c r="AP6" s="238">
        <v>0.0</v>
      </c>
      <c r="AQ6" s="235" t="s">
        <v>632</v>
      </c>
      <c r="AR6" s="243">
        <v>3.71E11</v>
      </c>
      <c r="AS6" s="235" t="s">
        <v>667</v>
      </c>
      <c r="AT6" s="235" t="s">
        <v>9</v>
      </c>
      <c r="AU6" s="235" t="s">
        <v>634</v>
      </c>
      <c r="AV6" s="246" t="s">
        <v>635</v>
      </c>
      <c r="AW6" s="242"/>
      <c r="AX6" s="242"/>
      <c r="AY6" s="231"/>
      <c r="AZ6" s="231"/>
      <c r="BA6" s="227"/>
      <c r="BB6" s="231"/>
      <c r="BC6" s="227"/>
      <c r="BD6" s="227"/>
      <c r="BE6" s="227"/>
      <c r="BF6" s="227"/>
    </row>
    <row r="7">
      <c r="A7" s="235" t="s">
        <v>680</v>
      </c>
      <c r="C7" s="235" t="s">
        <v>681</v>
      </c>
      <c r="D7" s="235" t="s">
        <v>682</v>
      </c>
      <c r="E7" s="243">
        <v>6.57E13</v>
      </c>
      <c r="F7" s="244"/>
      <c r="G7" s="235" t="s">
        <v>683</v>
      </c>
      <c r="H7" s="235" t="s">
        <v>684</v>
      </c>
      <c r="I7" s="235" t="s">
        <v>684</v>
      </c>
      <c r="J7" s="235" t="s">
        <v>685</v>
      </c>
      <c r="K7" s="235" t="s">
        <v>686</v>
      </c>
      <c r="N7" s="235" t="s">
        <v>144</v>
      </c>
      <c r="O7" s="235" t="s">
        <v>232</v>
      </c>
      <c r="P7" s="238">
        <v>1.0</v>
      </c>
      <c r="Q7" s="235" t="s">
        <v>627</v>
      </c>
      <c r="R7" s="238">
        <v>665.72</v>
      </c>
      <c r="S7" s="238">
        <v>33.28</v>
      </c>
      <c r="T7" s="238">
        <v>0.0</v>
      </c>
      <c r="U7" s="238">
        <v>0.0</v>
      </c>
      <c r="V7" s="238">
        <v>0.0</v>
      </c>
      <c r="W7" s="238">
        <v>0.0</v>
      </c>
      <c r="X7" s="235" t="s">
        <v>628</v>
      </c>
      <c r="Z7" s="244"/>
      <c r="AA7" s="244"/>
      <c r="AB7" s="244"/>
      <c r="AC7" s="235" t="s">
        <v>687</v>
      </c>
      <c r="AD7" s="235" t="s">
        <v>666</v>
      </c>
      <c r="AE7" s="238">
        <v>600048.0</v>
      </c>
      <c r="AF7" s="235" t="s">
        <v>631</v>
      </c>
      <c r="AG7" s="244"/>
      <c r="AH7" s="244"/>
      <c r="AI7" s="245"/>
      <c r="AJ7" s="245"/>
      <c r="AK7" s="245"/>
      <c r="AL7" s="245"/>
      <c r="AM7" s="244"/>
      <c r="AN7" s="244"/>
      <c r="AO7" s="238">
        <v>0.0</v>
      </c>
      <c r="AP7" s="238">
        <v>0.0</v>
      </c>
      <c r="AQ7" s="235" t="s">
        <v>632</v>
      </c>
      <c r="AR7" s="243">
        <v>3.71E11</v>
      </c>
      <c r="AS7" s="235" t="s">
        <v>667</v>
      </c>
      <c r="AT7" s="235" t="s">
        <v>156</v>
      </c>
      <c r="AU7" s="235" t="s">
        <v>634</v>
      </c>
      <c r="AV7" s="246" t="s">
        <v>635</v>
      </c>
      <c r="AW7" s="242"/>
      <c r="AX7" s="242"/>
      <c r="AY7" s="231"/>
      <c r="AZ7" s="231"/>
      <c r="BA7" s="227"/>
      <c r="BB7" s="231"/>
      <c r="BC7" s="227"/>
      <c r="BD7" s="227"/>
      <c r="BE7" s="227"/>
      <c r="BF7" s="227"/>
    </row>
    <row r="8">
      <c r="A8" s="235" t="s">
        <v>689</v>
      </c>
      <c r="C8" s="235" t="s">
        <v>690</v>
      </c>
      <c r="D8" s="235" t="s">
        <v>691</v>
      </c>
      <c r="E8" s="243">
        <v>6.57E13</v>
      </c>
      <c r="F8" s="244"/>
      <c r="G8" s="235" t="s">
        <v>693</v>
      </c>
      <c r="H8" s="235" t="s">
        <v>694</v>
      </c>
      <c r="I8" s="235" t="s">
        <v>694</v>
      </c>
      <c r="J8" s="235" t="s">
        <v>695</v>
      </c>
      <c r="K8" s="235" t="s">
        <v>696</v>
      </c>
      <c r="N8" s="235" t="s">
        <v>43</v>
      </c>
      <c r="O8" s="235" t="s">
        <v>276</v>
      </c>
      <c r="P8" s="238">
        <v>1.0</v>
      </c>
      <c r="Q8" s="235" t="s">
        <v>627</v>
      </c>
      <c r="R8" s="238">
        <v>237.14</v>
      </c>
      <c r="S8" s="238">
        <v>11.86</v>
      </c>
      <c r="T8" s="238">
        <v>0.0</v>
      </c>
      <c r="U8" s="238">
        <v>0.0</v>
      </c>
      <c r="V8" s="238">
        <v>0.0</v>
      </c>
      <c r="W8" s="238">
        <v>0.0</v>
      </c>
      <c r="X8" s="235" t="s">
        <v>628</v>
      </c>
      <c r="Z8" s="244"/>
      <c r="AA8" s="244"/>
      <c r="AB8" s="244"/>
      <c r="AC8" s="235" t="s">
        <v>697</v>
      </c>
      <c r="AD8" s="235" t="s">
        <v>698</v>
      </c>
      <c r="AE8" s="238">
        <v>500090.0</v>
      </c>
      <c r="AF8" s="235" t="s">
        <v>631</v>
      </c>
      <c r="AG8" s="244"/>
      <c r="AH8" s="244"/>
      <c r="AI8" s="245"/>
      <c r="AJ8" s="245"/>
      <c r="AK8" s="245"/>
      <c r="AL8" s="245"/>
      <c r="AM8" s="244"/>
      <c r="AN8" s="244"/>
      <c r="AO8" s="238">
        <v>0.0</v>
      </c>
      <c r="AP8" s="238">
        <v>0.0</v>
      </c>
      <c r="AQ8" s="235" t="s">
        <v>632</v>
      </c>
      <c r="AR8" s="243">
        <v>3.71E11</v>
      </c>
      <c r="AS8" s="235" t="s">
        <v>699</v>
      </c>
      <c r="AT8" s="235" t="s">
        <v>16</v>
      </c>
      <c r="AU8" s="235" t="s">
        <v>634</v>
      </c>
      <c r="AV8" s="246" t="s">
        <v>635</v>
      </c>
      <c r="AW8" s="242"/>
      <c r="AX8" s="242"/>
      <c r="AY8" s="231"/>
      <c r="AZ8" s="231"/>
      <c r="BA8" s="227"/>
      <c r="BB8" s="231"/>
      <c r="BC8" s="227"/>
      <c r="BD8" s="227"/>
      <c r="BE8" s="227"/>
      <c r="BF8" s="227"/>
    </row>
    <row r="9">
      <c r="A9" s="235" t="s">
        <v>700</v>
      </c>
      <c r="C9" s="235" t="s">
        <v>701</v>
      </c>
      <c r="D9" s="235" t="s">
        <v>702</v>
      </c>
      <c r="E9" s="243">
        <v>6.58E13</v>
      </c>
      <c r="F9" s="244"/>
      <c r="G9" s="235" t="s">
        <v>703</v>
      </c>
      <c r="H9" s="235" t="s">
        <v>704</v>
      </c>
      <c r="I9" s="235" t="s">
        <v>704</v>
      </c>
      <c r="J9" s="235" t="s">
        <v>705</v>
      </c>
      <c r="K9" s="235" t="s">
        <v>706</v>
      </c>
      <c r="N9" s="235" t="s">
        <v>130</v>
      </c>
      <c r="O9" s="235" t="s">
        <v>707</v>
      </c>
      <c r="P9" s="238">
        <v>1.0</v>
      </c>
      <c r="Q9" s="235" t="s">
        <v>627</v>
      </c>
      <c r="R9" s="238">
        <v>246.67</v>
      </c>
      <c r="S9" s="238">
        <v>12.33</v>
      </c>
      <c r="T9" s="238">
        <v>38.1</v>
      </c>
      <c r="U9" s="238">
        <v>1.9</v>
      </c>
      <c r="V9" s="238">
        <v>0.0</v>
      </c>
      <c r="W9" s="238">
        <v>0.0</v>
      </c>
      <c r="X9" s="235" t="s">
        <v>628</v>
      </c>
      <c r="Z9" s="244"/>
      <c r="AA9" s="244"/>
      <c r="AB9" s="244"/>
      <c r="AC9" s="235" t="s">
        <v>708</v>
      </c>
      <c r="AD9" s="235" t="s">
        <v>709</v>
      </c>
      <c r="AE9" s="238">
        <v>801109.0</v>
      </c>
      <c r="AF9" s="235" t="s">
        <v>631</v>
      </c>
      <c r="AG9" s="244"/>
      <c r="AH9" s="244"/>
      <c r="AI9" s="245"/>
      <c r="AJ9" s="245"/>
      <c r="AK9" s="245"/>
      <c r="AL9" s="245"/>
      <c r="AM9" s="244"/>
      <c r="AN9" s="244"/>
      <c r="AO9" s="238">
        <v>0.0</v>
      </c>
      <c r="AP9" s="238">
        <v>-38.1</v>
      </c>
      <c r="AQ9" s="235" t="s">
        <v>632</v>
      </c>
      <c r="AR9" s="243">
        <v>3.71E11</v>
      </c>
      <c r="AS9" s="235" t="s">
        <v>699</v>
      </c>
      <c r="AT9" s="235" t="s">
        <v>13</v>
      </c>
      <c r="AU9" s="235" t="s">
        <v>634</v>
      </c>
      <c r="AV9" s="246" t="s">
        <v>635</v>
      </c>
      <c r="AW9" s="242"/>
      <c r="AX9" s="242"/>
      <c r="AY9" s="231"/>
      <c r="AZ9" s="231"/>
      <c r="BA9" s="227"/>
      <c r="BB9" s="231"/>
      <c r="BC9" s="227"/>
      <c r="BD9" s="227"/>
      <c r="BE9" s="227"/>
      <c r="BF9" s="227"/>
    </row>
    <row r="10">
      <c r="A10" s="235" t="s">
        <v>710</v>
      </c>
      <c r="C10" s="235" t="s">
        <v>711</v>
      </c>
      <c r="D10" s="235" t="s">
        <v>712</v>
      </c>
      <c r="E10" s="243">
        <v>6.58E13</v>
      </c>
      <c r="F10" s="244"/>
      <c r="G10" s="235" t="s">
        <v>713</v>
      </c>
      <c r="H10" s="235" t="s">
        <v>714</v>
      </c>
      <c r="I10" s="235" t="s">
        <v>714</v>
      </c>
      <c r="J10" s="235" t="s">
        <v>715</v>
      </c>
      <c r="K10" s="235" t="s">
        <v>716</v>
      </c>
      <c r="N10" s="235" t="s">
        <v>717</v>
      </c>
      <c r="O10" s="235" t="s">
        <v>718</v>
      </c>
      <c r="P10" s="238">
        <v>1.0</v>
      </c>
      <c r="Q10" s="235" t="s">
        <v>627</v>
      </c>
      <c r="R10" s="238">
        <v>456.19</v>
      </c>
      <c r="S10" s="238">
        <v>22.81</v>
      </c>
      <c r="T10" s="238">
        <v>0.0</v>
      </c>
      <c r="U10" s="238">
        <v>0.0</v>
      </c>
      <c r="V10" s="238">
        <v>0.0</v>
      </c>
      <c r="W10" s="238">
        <v>0.0</v>
      </c>
      <c r="X10" s="235" t="s">
        <v>628</v>
      </c>
      <c r="Z10" s="244"/>
      <c r="AA10" s="244"/>
      <c r="AB10" s="244"/>
      <c r="AC10" s="235" t="s">
        <v>629</v>
      </c>
      <c r="AD10" s="235" t="s">
        <v>630</v>
      </c>
      <c r="AE10" s="238">
        <v>201307.0</v>
      </c>
      <c r="AF10" s="235" t="s">
        <v>631</v>
      </c>
      <c r="AG10" s="244"/>
      <c r="AH10" s="244"/>
      <c r="AI10" s="245"/>
      <c r="AJ10" s="245"/>
      <c r="AK10" s="245"/>
      <c r="AL10" s="245"/>
      <c r="AM10" s="244"/>
      <c r="AN10" s="244"/>
      <c r="AO10" s="238">
        <v>0.0</v>
      </c>
      <c r="AP10" s="238">
        <v>0.0</v>
      </c>
      <c r="AQ10" s="235" t="s">
        <v>632</v>
      </c>
      <c r="AR10" s="243">
        <v>1.68E11</v>
      </c>
      <c r="AS10" s="235" t="s">
        <v>633</v>
      </c>
      <c r="AT10" s="235" t="s">
        <v>14</v>
      </c>
      <c r="AU10" s="235" t="s">
        <v>634</v>
      </c>
      <c r="AV10" s="246" t="s">
        <v>635</v>
      </c>
      <c r="AW10" s="242"/>
      <c r="AX10" s="242"/>
      <c r="AY10" s="231"/>
      <c r="AZ10" s="231"/>
      <c r="BA10" s="227"/>
      <c r="BB10" s="231"/>
      <c r="BC10" s="227"/>
      <c r="BD10" s="227"/>
      <c r="BE10" s="227"/>
      <c r="BF10" s="227"/>
    </row>
    <row r="11">
      <c r="A11" s="235" t="s">
        <v>719</v>
      </c>
      <c r="C11" s="235" t="s">
        <v>720</v>
      </c>
      <c r="D11" s="235" t="s">
        <v>721</v>
      </c>
      <c r="E11" s="243">
        <v>6.57E13</v>
      </c>
      <c r="F11" s="244"/>
      <c r="G11" s="235" t="s">
        <v>722</v>
      </c>
      <c r="H11" s="235" t="s">
        <v>723</v>
      </c>
      <c r="I11" s="235" t="s">
        <v>723</v>
      </c>
      <c r="J11" s="235" t="s">
        <v>724</v>
      </c>
      <c r="K11" s="235" t="s">
        <v>725</v>
      </c>
      <c r="N11" s="235" t="s">
        <v>726</v>
      </c>
      <c r="O11" s="235" t="s">
        <v>727</v>
      </c>
      <c r="P11" s="238">
        <v>1.0</v>
      </c>
      <c r="Q11" s="235" t="s">
        <v>627</v>
      </c>
      <c r="R11" s="238">
        <v>246.67</v>
      </c>
      <c r="S11" s="238">
        <v>12.33</v>
      </c>
      <c r="T11" s="238">
        <v>0.0</v>
      </c>
      <c r="U11" s="238">
        <v>0.0</v>
      </c>
      <c r="V11" s="238">
        <v>0.0</v>
      </c>
      <c r="W11" s="238">
        <v>0.0</v>
      </c>
      <c r="X11" s="235" t="s">
        <v>628</v>
      </c>
      <c r="Z11" s="244"/>
      <c r="AA11" s="244"/>
      <c r="AB11" s="244"/>
      <c r="AC11" s="235" t="s">
        <v>730</v>
      </c>
      <c r="AD11" s="235" t="s">
        <v>731</v>
      </c>
      <c r="AE11" s="238">
        <v>782002.0</v>
      </c>
      <c r="AF11" s="235" t="s">
        <v>631</v>
      </c>
      <c r="AG11" s="244"/>
      <c r="AH11" s="244"/>
      <c r="AI11" s="245"/>
      <c r="AJ11" s="245"/>
      <c r="AK11" s="245"/>
      <c r="AL11" s="245"/>
      <c r="AM11" s="244"/>
      <c r="AN11" s="244"/>
      <c r="AO11" s="238">
        <v>0.0</v>
      </c>
      <c r="AP11" s="238">
        <v>0.0</v>
      </c>
      <c r="AQ11" s="235" t="s">
        <v>632</v>
      </c>
      <c r="AR11" s="243">
        <v>3.71E11</v>
      </c>
      <c r="AS11" s="235" t="s">
        <v>646</v>
      </c>
      <c r="AT11" s="235" t="s">
        <v>14</v>
      </c>
      <c r="AU11" s="235" t="s">
        <v>634</v>
      </c>
      <c r="AV11" s="246" t="s">
        <v>635</v>
      </c>
      <c r="AW11" s="242"/>
      <c r="AX11" s="242"/>
      <c r="AY11" s="231"/>
      <c r="AZ11" s="231"/>
      <c r="BA11" s="227"/>
      <c r="BB11" s="231"/>
      <c r="BC11" s="227"/>
      <c r="BD11" s="227"/>
      <c r="BE11" s="227"/>
      <c r="BF11" s="227"/>
    </row>
    <row r="12">
      <c r="A12" s="235" t="s">
        <v>732</v>
      </c>
      <c r="C12" s="235" t="s">
        <v>733</v>
      </c>
      <c r="D12" s="235" t="s">
        <v>734</v>
      </c>
      <c r="E12" s="243">
        <v>6.58E13</v>
      </c>
      <c r="F12" s="244"/>
      <c r="G12" s="235" t="s">
        <v>735</v>
      </c>
      <c r="H12" s="235" t="s">
        <v>736</v>
      </c>
      <c r="I12" s="235" t="s">
        <v>737</v>
      </c>
      <c r="J12" s="235" t="s">
        <v>738</v>
      </c>
      <c r="K12" s="235" t="s">
        <v>739</v>
      </c>
      <c r="N12" s="235" t="s">
        <v>0</v>
      </c>
      <c r="O12" s="235" t="s">
        <v>740</v>
      </c>
      <c r="P12" s="238">
        <v>1.0</v>
      </c>
      <c r="Q12" s="235" t="s">
        <v>627</v>
      </c>
      <c r="R12" s="238">
        <v>265.72</v>
      </c>
      <c r="S12" s="238">
        <v>13.28</v>
      </c>
      <c r="T12" s="238">
        <v>9.04</v>
      </c>
      <c r="U12" s="238">
        <v>0.46</v>
      </c>
      <c r="V12" s="238">
        <v>0.0</v>
      </c>
      <c r="W12" s="238">
        <v>0.0</v>
      </c>
      <c r="X12" s="235" t="s">
        <v>628</v>
      </c>
      <c r="Z12" s="244"/>
      <c r="AA12" s="244"/>
      <c r="AB12" s="244"/>
      <c r="AC12" s="235" t="s">
        <v>678</v>
      </c>
      <c r="AD12" s="235" t="s">
        <v>679</v>
      </c>
      <c r="AE12" s="238">
        <v>560061.0</v>
      </c>
      <c r="AF12" s="235" t="s">
        <v>631</v>
      </c>
      <c r="AG12" s="244"/>
      <c r="AH12" s="244"/>
      <c r="AI12" s="245"/>
      <c r="AJ12" s="245"/>
      <c r="AK12" s="245"/>
      <c r="AL12" s="245"/>
      <c r="AM12" s="244"/>
      <c r="AN12" s="244"/>
      <c r="AO12" s="238">
        <v>0.0</v>
      </c>
      <c r="AP12" s="238">
        <v>-9.04</v>
      </c>
      <c r="AQ12" s="235" t="s">
        <v>632</v>
      </c>
      <c r="AR12" s="243">
        <v>1.68E11</v>
      </c>
      <c r="AS12" s="235" t="s">
        <v>633</v>
      </c>
      <c r="AT12" s="235" t="s">
        <v>9</v>
      </c>
      <c r="AU12" s="235" t="s">
        <v>634</v>
      </c>
      <c r="AV12" s="246" t="s">
        <v>635</v>
      </c>
      <c r="AW12" s="242"/>
      <c r="AX12" s="242"/>
      <c r="AY12" s="231"/>
      <c r="AZ12" s="231"/>
      <c r="BA12" s="227"/>
      <c r="BB12" s="231"/>
      <c r="BC12" s="227"/>
      <c r="BD12" s="227"/>
      <c r="BE12" s="227"/>
      <c r="BF12" s="227"/>
    </row>
    <row r="13">
      <c r="A13" s="235" t="s">
        <v>741</v>
      </c>
      <c r="C13" s="235" t="s">
        <v>742</v>
      </c>
      <c r="D13" s="235" t="s">
        <v>743</v>
      </c>
      <c r="E13" s="243">
        <v>6.58E13</v>
      </c>
      <c r="F13" s="244"/>
      <c r="G13" s="235" t="s">
        <v>744</v>
      </c>
      <c r="H13" s="235" t="s">
        <v>745</v>
      </c>
      <c r="I13" s="235" t="s">
        <v>746</v>
      </c>
      <c r="J13" s="235" t="s">
        <v>747</v>
      </c>
      <c r="K13" s="235" t="s">
        <v>748</v>
      </c>
      <c r="N13" s="235" t="s">
        <v>54</v>
      </c>
      <c r="O13" s="235" t="s">
        <v>294</v>
      </c>
      <c r="P13" s="238">
        <v>1.0</v>
      </c>
      <c r="Q13" s="235" t="s">
        <v>627</v>
      </c>
      <c r="R13" s="238">
        <v>246.67</v>
      </c>
      <c r="S13" s="238">
        <v>12.33</v>
      </c>
      <c r="T13" s="238">
        <v>38.1</v>
      </c>
      <c r="U13" s="238">
        <v>1.9</v>
      </c>
      <c r="V13" s="238">
        <v>0.0</v>
      </c>
      <c r="W13" s="238">
        <v>0.0</v>
      </c>
      <c r="X13" s="235" t="s">
        <v>628</v>
      </c>
      <c r="Z13" s="244"/>
      <c r="AA13" s="244"/>
      <c r="AB13" s="244"/>
      <c r="AC13" s="235" t="s">
        <v>749</v>
      </c>
      <c r="AD13" s="235" t="s">
        <v>630</v>
      </c>
      <c r="AE13" s="238">
        <v>201318.0</v>
      </c>
      <c r="AF13" s="235" t="s">
        <v>631</v>
      </c>
      <c r="AG13" s="244"/>
      <c r="AH13" s="244"/>
      <c r="AI13" s="245"/>
      <c r="AJ13" s="245"/>
      <c r="AK13" s="245"/>
      <c r="AL13" s="245"/>
      <c r="AM13" s="244"/>
      <c r="AN13" s="244"/>
      <c r="AO13" s="238">
        <v>0.0</v>
      </c>
      <c r="AP13" s="238">
        <v>-38.1</v>
      </c>
      <c r="AQ13" s="235" t="s">
        <v>632</v>
      </c>
      <c r="AR13" s="243">
        <v>3.71E11</v>
      </c>
      <c r="AS13" s="235" t="s">
        <v>667</v>
      </c>
      <c r="AT13" s="235" t="s">
        <v>14</v>
      </c>
      <c r="AU13" s="235" t="s">
        <v>634</v>
      </c>
      <c r="AV13" s="246" t="s">
        <v>635</v>
      </c>
      <c r="AW13" s="242"/>
      <c r="AX13" s="242"/>
      <c r="AY13" s="231"/>
      <c r="AZ13" s="231"/>
      <c r="BA13" s="227"/>
      <c r="BB13" s="231"/>
      <c r="BC13" s="227"/>
      <c r="BD13" s="227"/>
      <c r="BE13" s="227"/>
      <c r="BF13" s="227"/>
    </row>
    <row r="14">
      <c r="A14" s="235" t="s">
        <v>750</v>
      </c>
      <c r="C14" s="235" t="s">
        <v>751</v>
      </c>
      <c r="D14" s="235" t="s">
        <v>752</v>
      </c>
      <c r="E14" s="243">
        <v>6.57E13</v>
      </c>
      <c r="F14" s="244"/>
      <c r="G14" s="235" t="s">
        <v>753</v>
      </c>
      <c r="H14" s="235" t="s">
        <v>754</v>
      </c>
      <c r="I14" s="235" t="s">
        <v>754</v>
      </c>
      <c r="J14" s="235" t="s">
        <v>755</v>
      </c>
      <c r="K14" s="235" t="s">
        <v>756</v>
      </c>
      <c r="N14" s="235" t="s">
        <v>49</v>
      </c>
      <c r="O14" s="235" t="s">
        <v>321</v>
      </c>
      <c r="P14" s="238">
        <v>1.0</v>
      </c>
      <c r="Q14" s="235" t="s">
        <v>627</v>
      </c>
      <c r="R14" s="238">
        <v>237.14</v>
      </c>
      <c r="S14" s="238">
        <v>11.86</v>
      </c>
      <c r="T14" s="238">
        <v>38.1</v>
      </c>
      <c r="U14" s="238">
        <v>1.9</v>
      </c>
      <c r="V14" s="238">
        <v>0.0</v>
      </c>
      <c r="W14" s="238">
        <v>0.0</v>
      </c>
      <c r="X14" s="235" t="s">
        <v>628</v>
      </c>
      <c r="Z14" s="244"/>
      <c r="AA14" s="244"/>
      <c r="AB14" s="244"/>
      <c r="AC14" s="235" t="s">
        <v>757</v>
      </c>
      <c r="AD14" s="235" t="s">
        <v>666</v>
      </c>
      <c r="AE14" s="238">
        <v>625007.0</v>
      </c>
      <c r="AF14" s="235" t="s">
        <v>631</v>
      </c>
      <c r="AG14" s="244"/>
      <c r="AH14" s="244"/>
      <c r="AI14" s="245"/>
      <c r="AJ14" s="245"/>
      <c r="AK14" s="245"/>
      <c r="AL14" s="245"/>
      <c r="AM14" s="244"/>
      <c r="AN14" s="244"/>
      <c r="AO14" s="238">
        <v>0.0</v>
      </c>
      <c r="AP14" s="238">
        <v>-38.1</v>
      </c>
      <c r="AQ14" s="235" t="s">
        <v>632</v>
      </c>
      <c r="AR14" s="243">
        <v>3.71E11</v>
      </c>
      <c r="AS14" s="235" t="s">
        <v>758</v>
      </c>
      <c r="AT14" s="235" t="s">
        <v>533</v>
      </c>
      <c r="AU14" s="235" t="s">
        <v>634</v>
      </c>
      <c r="AV14" s="246" t="s">
        <v>635</v>
      </c>
      <c r="AW14" s="242"/>
      <c r="AX14" s="242"/>
      <c r="AY14" s="231"/>
      <c r="AZ14" s="231"/>
      <c r="BA14" s="227"/>
      <c r="BB14" s="231"/>
      <c r="BC14" s="227"/>
      <c r="BD14" s="227"/>
      <c r="BE14" s="227"/>
      <c r="BF14" s="227"/>
    </row>
    <row r="15">
      <c r="A15" s="235" t="s">
        <v>759</v>
      </c>
      <c r="C15" s="235" t="s">
        <v>760</v>
      </c>
      <c r="D15" s="235" t="s">
        <v>761</v>
      </c>
      <c r="E15" s="243">
        <v>6.57E13</v>
      </c>
      <c r="F15" s="244"/>
      <c r="G15" s="235" t="s">
        <v>762</v>
      </c>
      <c r="H15" s="235" t="s">
        <v>763</v>
      </c>
      <c r="I15" s="235" t="s">
        <v>763</v>
      </c>
      <c r="J15" s="235" t="s">
        <v>764</v>
      </c>
      <c r="K15" s="235" t="s">
        <v>765</v>
      </c>
      <c r="N15" s="235" t="s">
        <v>154</v>
      </c>
      <c r="O15" s="235" t="s">
        <v>766</v>
      </c>
      <c r="P15" s="238">
        <v>1.0</v>
      </c>
      <c r="Q15" s="235" t="s">
        <v>627</v>
      </c>
      <c r="R15" s="238">
        <v>465.72</v>
      </c>
      <c r="S15" s="238">
        <v>23.28</v>
      </c>
      <c r="T15" s="238">
        <v>0.0</v>
      </c>
      <c r="U15" s="238">
        <v>0.0</v>
      </c>
      <c r="V15" s="238">
        <v>0.0</v>
      </c>
      <c r="W15" s="238">
        <v>0.0</v>
      </c>
      <c r="X15" s="235" t="s">
        <v>628</v>
      </c>
      <c r="Z15" s="244"/>
      <c r="AA15" s="244"/>
      <c r="AB15" s="244"/>
      <c r="AC15" s="235" t="s">
        <v>767</v>
      </c>
      <c r="AD15" s="235" t="s">
        <v>679</v>
      </c>
      <c r="AE15" s="238">
        <v>562114.0</v>
      </c>
      <c r="AF15" s="235" t="s">
        <v>631</v>
      </c>
      <c r="AG15" s="244"/>
      <c r="AH15" s="244"/>
      <c r="AI15" s="245"/>
      <c r="AJ15" s="245"/>
      <c r="AK15" s="245"/>
      <c r="AL15" s="245"/>
      <c r="AM15" s="244"/>
      <c r="AN15" s="244"/>
      <c r="AO15" s="238">
        <v>0.0</v>
      </c>
      <c r="AP15" s="238">
        <v>0.0</v>
      </c>
      <c r="AQ15" s="235" t="s">
        <v>632</v>
      </c>
      <c r="AR15" s="243">
        <v>1.68E11</v>
      </c>
      <c r="AS15" s="235" t="s">
        <v>633</v>
      </c>
      <c r="AT15" s="235" t="s">
        <v>11</v>
      </c>
      <c r="AU15" s="235" t="s">
        <v>634</v>
      </c>
      <c r="AV15" s="246" t="s">
        <v>635</v>
      </c>
      <c r="AW15" s="242"/>
      <c r="AX15" s="242"/>
      <c r="AY15" s="231"/>
      <c r="AZ15" s="231"/>
      <c r="BA15" s="227"/>
      <c r="BB15" s="231"/>
      <c r="BC15" s="227"/>
      <c r="BD15" s="227"/>
      <c r="BE15" s="227"/>
      <c r="BF15" s="227"/>
    </row>
    <row r="16">
      <c r="A16" s="235" t="s">
        <v>768</v>
      </c>
      <c r="C16" s="235" t="s">
        <v>769</v>
      </c>
      <c r="D16" s="235" t="s">
        <v>770</v>
      </c>
      <c r="E16" s="243">
        <v>6.58E13</v>
      </c>
      <c r="F16" s="244"/>
      <c r="G16" s="235" t="s">
        <v>771</v>
      </c>
      <c r="H16" s="235" t="s">
        <v>772</v>
      </c>
      <c r="I16" s="235" t="s">
        <v>772</v>
      </c>
      <c r="J16" s="235" t="s">
        <v>773</v>
      </c>
      <c r="K16" s="235" t="s">
        <v>774</v>
      </c>
      <c r="N16" s="235" t="s">
        <v>145</v>
      </c>
      <c r="O16" s="235" t="s">
        <v>370</v>
      </c>
      <c r="P16" s="238">
        <v>1.0</v>
      </c>
      <c r="Q16" s="235" t="s">
        <v>627</v>
      </c>
      <c r="R16" s="238">
        <v>1522.86</v>
      </c>
      <c r="S16" s="238">
        <v>76.14</v>
      </c>
      <c r="T16" s="238">
        <v>18.1</v>
      </c>
      <c r="U16" s="238">
        <v>0.9</v>
      </c>
      <c r="V16" s="238">
        <v>0.0</v>
      </c>
      <c r="W16" s="238">
        <v>0.0</v>
      </c>
      <c r="X16" s="235" t="s">
        <v>628</v>
      </c>
      <c r="Z16" s="244"/>
      <c r="AA16" s="244"/>
      <c r="AB16" s="244"/>
      <c r="AC16" s="235" t="s">
        <v>775</v>
      </c>
      <c r="AD16" s="235" t="s">
        <v>679</v>
      </c>
      <c r="AE16" s="238">
        <v>560061.0</v>
      </c>
      <c r="AF16" s="235" t="s">
        <v>631</v>
      </c>
      <c r="AG16" s="244"/>
      <c r="AH16" s="244"/>
      <c r="AI16" s="245"/>
      <c r="AJ16" s="245"/>
      <c r="AK16" s="245"/>
      <c r="AL16" s="245"/>
      <c r="AM16" s="244"/>
      <c r="AN16" s="244"/>
      <c r="AO16" s="238">
        <v>0.0</v>
      </c>
      <c r="AP16" s="238">
        <v>-18.1</v>
      </c>
      <c r="AQ16" s="235" t="s">
        <v>632</v>
      </c>
      <c r="AR16" s="243">
        <v>1.68E11</v>
      </c>
      <c r="AS16" s="235" t="s">
        <v>633</v>
      </c>
      <c r="AT16" s="235" t="s">
        <v>11</v>
      </c>
      <c r="AU16" s="235" t="s">
        <v>634</v>
      </c>
      <c r="AV16" s="246" t="s">
        <v>635</v>
      </c>
      <c r="AW16" s="242"/>
      <c r="AX16" s="242"/>
      <c r="AY16" s="231"/>
      <c r="AZ16" s="231"/>
      <c r="BA16" s="227"/>
      <c r="BB16" s="231"/>
      <c r="BC16" s="227"/>
      <c r="BD16" s="227"/>
      <c r="BE16" s="227"/>
      <c r="BF16" s="227"/>
    </row>
    <row r="17">
      <c r="A17" s="235" t="s">
        <v>776</v>
      </c>
      <c r="C17" s="235" t="s">
        <v>777</v>
      </c>
      <c r="D17" s="235" t="s">
        <v>778</v>
      </c>
      <c r="E17" s="243">
        <v>6.58E13</v>
      </c>
      <c r="F17" s="244"/>
      <c r="G17" s="235" t="s">
        <v>779</v>
      </c>
      <c r="H17" s="235" t="s">
        <v>780</v>
      </c>
      <c r="I17" s="235" t="s">
        <v>781</v>
      </c>
      <c r="J17" s="235" t="s">
        <v>782</v>
      </c>
      <c r="K17" s="235" t="s">
        <v>783</v>
      </c>
      <c r="N17" s="235" t="s">
        <v>71</v>
      </c>
      <c r="O17" s="235" t="s">
        <v>240</v>
      </c>
      <c r="P17" s="238">
        <v>1.0</v>
      </c>
      <c r="Q17" s="235" t="s">
        <v>627</v>
      </c>
      <c r="R17" s="238">
        <v>246.67</v>
      </c>
      <c r="S17" s="238">
        <v>12.33</v>
      </c>
      <c r="T17" s="238">
        <v>0.0</v>
      </c>
      <c r="U17" s="238">
        <v>0.0</v>
      </c>
      <c r="V17" s="238">
        <v>0.0</v>
      </c>
      <c r="W17" s="238">
        <v>0.0</v>
      </c>
      <c r="X17" s="235" t="s">
        <v>628</v>
      </c>
      <c r="Z17" s="244"/>
      <c r="AA17" s="244"/>
      <c r="AB17" s="244"/>
      <c r="AC17" s="235" t="s">
        <v>785</v>
      </c>
      <c r="AD17" s="235" t="s">
        <v>630</v>
      </c>
      <c r="AE17" s="238">
        <v>201019.0</v>
      </c>
      <c r="AF17" s="235" t="s">
        <v>631</v>
      </c>
      <c r="AG17" s="244"/>
      <c r="AH17" s="244"/>
      <c r="AI17" s="245"/>
      <c r="AJ17" s="245"/>
      <c r="AK17" s="245"/>
      <c r="AL17" s="245"/>
      <c r="AM17" s="244"/>
      <c r="AN17" s="244"/>
      <c r="AO17" s="238">
        <v>0.0</v>
      </c>
      <c r="AP17" s="238">
        <v>0.0</v>
      </c>
      <c r="AQ17" s="235" t="s">
        <v>632</v>
      </c>
      <c r="AR17" s="243">
        <v>1.68E11</v>
      </c>
      <c r="AS17" s="235" t="s">
        <v>633</v>
      </c>
      <c r="AT17" s="235" t="s">
        <v>14</v>
      </c>
      <c r="AU17" s="235" t="s">
        <v>634</v>
      </c>
      <c r="AV17" s="246" t="s">
        <v>635</v>
      </c>
      <c r="AW17" s="242"/>
      <c r="AX17" s="242"/>
      <c r="AY17" s="231"/>
      <c r="AZ17" s="231"/>
      <c r="BA17" s="227"/>
      <c r="BB17" s="231"/>
      <c r="BC17" s="227"/>
      <c r="BD17" s="227"/>
      <c r="BE17" s="227"/>
      <c r="BF17" s="227"/>
    </row>
    <row r="18">
      <c r="A18" s="235" t="s">
        <v>787</v>
      </c>
      <c r="C18" s="235" t="s">
        <v>788</v>
      </c>
      <c r="D18" s="235" t="s">
        <v>789</v>
      </c>
      <c r="E18" s="243">
        <v>6.57E13</v>
      </c>
      <c r="F18" s="244"/>
      <c r="G18" s="235" t="s">
        <v>790</v>
      </c>
      <c r="H18" s="235" t="s">
        <v>791</v>
      </c>
      <c r="I18" s="235" t="s">
        <v>791</v>
      </c>
      <c r="J18" s="235" t="s">
        <v>792</v>
      </c>
      <c r="K18" s="235" t="s">
        <v>793</v>
      </c>
      <c r="N18" s="235" t="s">
        <v>127</v>
      </c>
      <c r="O18" s="235" t="s">
        <v>794</v>
      </c>
      <c r="P18" s="238">
        <v>1.0</v>
      </c>
      <c r="Q18" s="235" t="s">
        <v>627</v>
      </c>
      <c r="R18" s="238">
        <v>246.67</v>
      </c>
      <c r="S18" s="238">
        <v>12.33</v>
      </c>
      <c r="T18" s="238">
        <v>38.1</v>
      </c>
      <c r="U18" s="238">
        <v>1.9</v>
      </c>
      <c r="V18" s="238">
        <v>0.0</v>
      </c>
      <c r="W18" s="238">
        <v>0.0</v>
      </c>
      <c r="X18" s="235" t="s">
        <v>628</v>
      </c>
      <c r="Z18" s="244"/>
      <c r="AA18" s="244"/>
      <c r="AB18" s="244"/>
      <c r="AC18" s="235" t="s">
        <v>795</v>
      </c>
      <c r="AD18" s="235" t="s">
        <v>796</v>
      </c>
      <c r="AE18" s="238">
        <v>110088.0</v>
      </c>
      <c r="AF18" s="235" t="s">
        <v>631</v>
      </c>
      <c r="AG18" s="244"/>
      <c r="AH18" s="244"/>
      <c r="AI18" s="245"/>
      <c r="AJ18" s="245"/>
      <c r="AK18" s="245"/>
      <c r="AL18" s="245"/>
      <c r="AM18" s="244"/>
      <c r="AN18" s="244"/>
      <c r="AO18" s="238">
        <v>0.0</v>
      </c>
      <c r="AP18" s="238">
        <v>-38.1</v>
      </c>
      <c r="AQ18" s="235" t="s">
        <v>632</v>
      </c>
      <c r="AR18" s="243">
        <v>2.02E11</v>
      </c>
      <c r="AS18" s="235" t="s">
        <v>656</v>
      </c>
      <c r="AT18" s="235" t="s">
        <v>9</v>
      </c>
      <c r="AU18" s="235" t="s">
        <v>634</v>
      </c>
      <c r="AV18" s="246" t="s">
        <v>635</v>
      </c>
      <c r="AW18" s="242"/>
      <c r="AX18" s="242"/>
      <c r="AY18" s="231"/>
      <c r="AZ18" s="231"/>
      <c r="BA18" s="227"/>
      <c r="BB18" s="231"/>
      <c r="BC18" s="227"/>
      <c r="BD18" s="227"/>
      <c r="BE18" s="227"/>
      <c r="BF18" s="227"/>
    </row>
    <row r="19">
      <c r="A19" s="235" t="s">
        <v>797</v>
      </c>
      <c r="C19" s="235" t="s">
        <v>798</v>
      </c>
      <c r="D19" s="235" t="s">
        <v>799</v>
      </c>
      <c r="E19" s="243">
        <v>6.57E13</v>
      </c>
      <c r="F19" s="244"/>
      <c r="G19" s="235" t="s">
        <v>800</v>
      </c>
      <c r="H19" s="235" t="s">
        <v>801</v>
      </c>
      <c r="I19" s="235" t="s">
        <v>801</v>
      </c>
      <c r="J19" s="235" t="s">
        <v>802</v>
      </c>
      <c r="K19" s="235" t="s">
        <v>803</v>
      </c>
      <c r="N19" s="235" t="s">
        <v>12</v>
      </c>
      <c r="O19" s="235" t="s">
        <v>804</v>
      </c>
      <c r="P19" s="238">
        <v>1.0</v>
      </c>
      <c r="Q19" s="235" t="s">
        <v>627</v>
      </c>
      <c r="R19" s="238">
        <v>265.72</v>
      </c>
      <c r="S19" s="238">
        <v>12.88</v>
      </c>
      <c r="T19" s="238">
        <v>0.0</v>
      </c>
      <c r="U19" s="238">
        <v>0.0</v>
      </c>
      <c r="V19" s="238">
        <v>0.0</v>
      </c>
      <c r="W19" s="238">
        <v>0.0</v>
      </c>
      <c r="X19" s="235" t="s">
        <v>628</v>
      </c>
      <c r="Z19" s="244"/>
      <c r="AA19" s="244"/>
      <c r="AB19" s="244"/>
      <c r="AC19" s="235" t="s">
        <v>678</v>
      </c>
      <c r="AD19" s="235" t="s">
        <v>679</v>
      </c>
      <c r="AE19" s="238">
        <v>560064.0</v>
      </c>
      <c r="AF19" s="235" t="s">
        <v>631</v>
      </c>
      <c r="AG19" s="244"/>
      <c r="AH19" s="244"/>
      <c r="AI19" s="245"/>
      <c r="AJ19" s="245"/>
      <c r="AK19" s="245"/>
      <c r="AL19" s="245"/>
      <c r="AM19" s="244"/>
      <c r="AN19" s="244"/>
      <c r="AO19" s="238">
        <v>-7.97</v>
      </c>
      <c r="AP19" s="238">
        <v>0.0</v>
      </c>
      <c r="AQ19" s="235" t="s">
        <v>632</v>
      </c>
      <c r="AR19" s="243">
        <v>3.71E11</v>
      </c>
      <c r="AS19" s="235" t="s">
        <v>667</v>
      </c>
      <c r="AT19" s="235" t="s">
        <v>11</v>
      </c>
      <c r="AU19" s="235" t="s">
        <v>634</v>
      </c>
      <c r="AV19" s="246" t="s">
        <v>635</v>
      </c>
      <c r="AW19" s="242"/>
      <c r="AX19" s="242"/>
      <c r="AY19" s="231"/>
      <c r="AZ19" s="231"/>
      <c r="BA19" s="227"/>
      <c r="BB19" s="231"/>
      <c r="BC19" s="227"/>
      <c r="BD19" s="227"/>
      <c r="BE19" s="227"/>
      <c r="BF19" s="227"/>
    </row>
    <row r="20">
      <c r="A20" s="235" t="s">
        <v>797</v>
      </c>
      <c r="C20" s="235" t="s">
        <v>798</v>
      </c>
      <c r="D20" s="235" t="s">
        <v>805</v>
      </c>
      <c r="E20" s="243">
        <v>6.57E13</v>
      </c>
      <c r="F20" s="244"/>
      <c r="G20" s="235" t="s">
        <v>800</v>
      </c>
      <c r="H20" s="235" t="s">
        <v>801</v>
      </c>
      <c r="I20" s="235" t="s">
        <v>801</v>
      </c>
      <c r="J20" s="235" t="s">
        <v>802</v>
      </c>
      <c r="K20" s="235" t="s">
        <v>803</v>
      </c>
      <c r="N20" s="235" t="s">
        <v>6</v>
      </c>
      <c r="O20" s="235" t="s">
        <v>806</v>
      </c>
      <c r="P20" s="238">
        <v>1.0</v>
      </c>
      <c r="Q20" s="235" t="s">
        <v>627</v>
      </c>
      <c r="R20" s="238">
        <v>265.72</v>
      </c>
      <c r="S20" s="238">
        <v>12.88</v>
      </c>
      <c r="T20" s="238">
        <v>0.0</v>
      </c>
      <c r="U20" s="238">
        <v>0.0</v>
      </c>
      <c r="V20" s="238">
        <v>0.0</v>
      </c>
      <c r="W20" s="238">
        <v>0.0</v>
      </c>
      <c r="X20" s="235" t="s">
        <v>628</v>
      </c>
      <c r="Z20" s="244"/>
      <c r="AA20" s="244"/>
      <c r="AB20" s="244"/>
      <c r="AC20" s="235" t="s">
        <v>678</v>
      </c>
      <c r="AD20" s="235" t="s">
        <v>679</v>
      </c>
      <c r="AE20" s="238">
        <v>560064.0</v>
      </c>
      <c r="AF20" s="235" t="s">
        <v>631</v>
      </c>
      <c r="AG20" s="244"/>
      <c r="AH20" s="244"/>
      <c r="AI20" s="245"/>
      <c r="AJ20" s="245"/>
      <c r="AK20" s="245"/>
      <c r="AL20" s="245"/>
      <c r="AM20" s="244"/>
      <c r="AN20" s="244"/>
      <c r="AO20" s="238">
        <v>-7.97</v>
      </c>
      <c r="AP20" s="238">
        <v>0.0</v>
      </c>
      <c r="AQ20" s="235" t="s">
        <v>632</v>
      </c>
      <c r="AR20" s="243">
        <v>3.71E11</v>
      </c>
      <c r="AS20" s="235" t="s">
        <v>667</v>
      </c>
      <c r="AT20" s="235" t="s">
        <v>11</v>
      </c>
      <c r="AU20" s="235" t="s">
        <v>634</v>
      </c>
      <c r="AV20" s="246" t="s">
        <v>635</v>
      </c>
      <c r="AW20" s="242"/>
      <c r="AX20" s="242"/>
      <c r="AY20" s="231"/>
      <c r="AZ20" s="231"/>
      <c r="BA20" s="227"/>
      <c r="BB20" s="231"/>
      <c r="BC20" s="227"/>
      <c r="BD20" s="227"/>
      <c r="BE20" s="227"/>
      <c r="BF20" s="227"/>
    </row>
    <row r="21">
      <c r="A21" s="235" t="s">
        <v>807</v>
      </c>
      <c r="C21" s="235" t="s">
        <v>808</v>
      </c>
      <c r="D21" s="235" t="s">
        <v>809</v>
      </c>
      <c r="E21" s="243">
        <v>6.58E13</v>
      </c>
      <c r="F21" s="244"/>
      <c r="G21" s="235" t="s">
        <v>810</v>
      </c>
      <c r="H21" s="235" t="s">
        <v>811</v>
      </c>
      <c r="I21" s="235" t="s">
        <v>811</v>
      </c>
      <c r="J21" s="235" t="s">
        <v>812</v>
      </c>
      <c r="K21" s="235" t="s">
        <v>813</v>
      </c>
      <c r="N21" s="235" t="s">
        <v>47</v>
      </c>
      <c r="O21" s="235" t="s">
        <v>270</v>
      </c>
      <c r="P21" s="238">
        <v>1.0</v>
      </c>
      <c r="Q21" s="235" t="s">
        <v>627</v>
      </c>
      <c r="R21" s="238">
        <v>237.14</v>
      </c>
      <c r="S21" s="238">
        <v>11.86</v>
      </c>
      <c r="T21" s="238">
        <v>0.0</v>
      </c>
      <c r="U21" s="238">
        <v>0.0</v>
      </c>
      <c r="V21" s="238">
        <v>0.0</v>
      </c>
      <c r="W21" s="238">
        <v>0.0</v>
      </c>
      <c r="X21" s="235" t="s">
        <v>628</v>
      </c>
      <c r="Z21" s="244"/>
      <c r="AA21" s="244"/>
      <c r="AB21" s="244"/>
      <c r="AC21" s="235" t="s">
        <v>814</v>
      </c>
      <c r="AD21" s="235" t="s">
        <v>698</v>
      </c>
      <c r="AE21" s="238">
        <v>500007.0</v>
      </c>
      <c r="AF21" s="235" t="s">
        <v>631</v>
      </c>
      <c r="AG21" s="244"/>
      <c r="AH21" s="244"/>
      <c r="AI21" s="245"/>
      <c r="AJ21" s="245"/>
      <c r="AK21" s="245"/>
      <c r="AL21" s="245"/>
      <c r="AM21" s="244"/>
      <c r="AN21" s="244"/>
      <c r="AO21" s="238">
        <v>0.0</v>
      </c>
      <c r="AP21" s="238">
        <v>0.0</v>
      </c>
      <c r="AQ21" s="235" t="s">
        <v>632</v>
      </c>
      <c r="AR21" s="243">
        <v>3.71E11</v>
      </c>
      <c r="AS21" s="235" t="s">
        <v>656</v>
      </c>
      <c r="AT21" s="235" t="s">
        <v>11</v>
      </c>
      <c r="AU21" s="235" t="s">
        <v>634</v>
      </c>
      <c r="AV21" s="246" t="s">
        <v>635</v>
      </c>
      <c r="AW21" s="242"/>
      <c r="AX21" s="242"/>
      <c r="AY21" s="231"/>
      <c r="AZ21" s="231"/>
      <c r="BA21" s="227"/>
      <c r="BB21" s="231"/>
      <c r="BC21" s="227"/>
      <c r="BD21" s="227"/>
      <c r="BE21" s="227"/>
      <c r="BF21" s="227"/>
    </row>
    <row r="22">
      <c r="A22" s="235" t="s">
        <v>815</v>
      </c>
      <c r="C22" s="235" t="s">
        <v>816</v>
      </c>
      <c r="D22" s="235" t="s">
        <v>817</v>
      </c>
      <c r="E22" s="243">
        <v>6.57E13</v>
      </c>
      <c r="F22" s="244"/>
      <c r="G22" s="235" t="s">
        <v>818</v>
      </c>
      <c r="H22" s="235" t="s">
        <v>819</v>
      </c>
      <c r="I22" s="235" t="s">
        <v>819</v>
      </c>
      <c r="J22" s="235" t="s">
        <v>820</v>
      </c>
      <c r="K22" s="235" t="s">
        <v>821</v>
      </c>
      <c r="N22" s="235" t="s">
        <v>154</v>
      </c>
      <c r="O22" s="235" t="s">
        <v>766</v>
      </c>
      <c r="P22" s="238">
        <v>1.0</v>
      </c>
      <c r="Q22" s="235" t="s">
        <v>627</v>
      </c>
      <c r="R22" s="238">
        <v>465.71</v>
      </c>
      <c r="S22" s="238">
        <v>23.29</v>
      </c>
      <c r="T22" s="238">
        <v>0.0</v>
      </c>
      <c r="U22" s="238">
        <v>0.0</v>
      </c>
      <c r="V22" s="238">
        <v>0.0</v>
      </c>
      <c r="W22" s="238">
        <v>0.0</v>
      </c>
      <c r="X22" s="235" t="s">
        <v>628</v>
      </c>
      <c r="Z22" s="244"/>
      <c r="AA22" s="244"/>
      <c r="AB22" s="244"/>
      <c r="AC22" s="235" t="s">
        <v>822</v>
      </c>
      <c r="AD22" s="235" t="s">
        <v>630</v>
      </c>
      <c r="AE22" s="238">
        <v>201301.0</v>
      </c>
      <c r="AF22" s="235" t="s">
        <v>631</v>
      </c>
      <c r="AG22" s="244"/>
      <c r="AH22" s="244"/>
      <c r="AI22" s="245"/>
      <c r="AJ22" s="245"/>
      <c r="AK22" s="245"/>
      <c r="AL22" s="245"/>
      <c r="AM22" s="244"/>
      <c r="AN22" s="244"/>
      <c r="AO22" s="238">
        <v>0.0</v>
      </c>
      <c r="AP22" s="238">
        <v>0.0</v>
      </c>
      <c r="AQ22" s="235" t="s">
        <v>632</v>
      </c>
      <c r="AR22" s="243">
        <v>3.71E11</v>
      </c>
      <c r="AS22" s="235" t="s">
        <v>667</v>
      </c>
      <c r="AT22" s="235" t="s">
        <v>14</v>
      </c>
      <c r="AU22" s="235" t="s">
        <v>634</v>
      </c>
      <c r="AV22" s="246" t="s">
        <v>635</v>
      </c>
      <c r="AW22" s="242"/>
      <c r="AX22" s="242"/>
      <c r="AY22" s="231"/>
      <c r="AZ22" s="231"/>
      <c r="BA22" s="227"/>
      <c r="BB22" s="231"/>
      <c r="BC22" s="227"/>
      <c r="BD22" s="227"/>
      <c r="BE22" s="227"/>
      <c r="BF22" s="227"/>
    </row>
    <row r="23">
      <c r="A23" s="235" t="s">
        <v>823</v>
      </c>
      <c r="C23" s="235" t="s">
        <v>824</v>
      </c>
      <c r="D23" s="235" t="s">
        <v>825</v>
      </c>
      <c r="E23" s="243">
        <v>6.57E13</v>
      </c>
      <c r="F23" s="244"/>
      <c r="G23" s="235" t="s">
        <v>826</v>
      </c>
      <c r="H23" s="235" t="s">
        <v>827</v>
      </c>
      <c r="I23" s="235" t="s">
        <v>827</v>
      </c>
      <c r="J23" s="235" t="s">
        <v>828</v>
      </c>
      <c r="K23" s="235" t="s">
        <v>829</v>
      </c>
      <c r="N23" s="235" t="s">
        <v>43</v>
      </c>
      <c r="O23" s="235" t="s">
        <v>276</v>
      </c>
      <c r="P23" s="238">
        <v>1.0</v>
      </c>
      <c r="Q23" s="235" t="s">
        <v>627</v>
      </c>
      <c r="R23" s="238">
        <v>237.14</v>
      </c>
      <c r="S23" s="238">
        <v>11.62</v>
      </c>
      <c r="T23" s="238">
        <v>38.1</v>
      </c>
      <c r="U23" s="238">
        <v>1.9</v>
      </c>
      <c r="V23" s="238">
        <v>0.0</v>
      </c>
      <c r="W23" s="238">
        <v>0.0</v>
      </c>
      <c r="X23" s="235" t="s">
        <v>628</v>
      </c>
      <c r="Z23" s="244"/>
      <c r="AA23" s="244"/>
      <c r="AB23" s="244"/>
      <c r="AC23" s="235" t="s">
        <v>832</v>
      </c>
      <c r="AD23" s="235" t="s">
        <v>833</v>
      </c>
      <c r="AE23" s="238">
        <v>530016.0</v>
      </c>
      <c r="AF23" s="235" t="s">
        <v>631</v>
      </c>
      <c r="AG23" s="244"/>
      <c r="AH23" s="244"/>
      <c r="AI23" s="245"/>
      <c r="AJ23" s="245"/>
      <c r="AK23" s="245"/>
      <c r="AL23" s="245"/>
      <c r="AM23" s="244"/>
      <c r="AN23" s="244"/>
      <c r="AO23" s="238">
        <v>-4.74</v>
      </c>
      <c r="AP23" s="238">
        <v>-38.1</v>
      </c>
      <c r="AQ23" s="235" t="s">
        <v>632</v>
      </c>
      <c r="AR23" s="243">
        <v>3.71E11</v>
      </c>
      <c r="AS23" s="235" t="s">
        <v>758</v>
      </c>
      <c r="AT23" s="235" t="s">
        <v>13</v>
      </c>
      <c r="AU23" s="235" t="s">
        <v>634</v>
      </c>
      <c r="AV23" s="246" t="s">
        <v>635</v>
      </c>
      <c r="AW23" s="242"/>
      <c r="AX23" s="242"/>
      <c r="AY23" s="231"/>
      <c r="AZ23" s="231"/>
      <c r="BA23" s="227"/>
      <c r="BB23" s="231"/>
      <c r="BC23" s="227"/>
      <c r="BD23" s="227"/>
      <c r="BE23" s="227"/>
      <c r="BF23" s="227"/>
    </row>
    <row r="24">
      <c r="A24" s="235" t="s">
        <v>834</v>
      </c>
      <c r="C24" s="235" t="s">
        <v>835</v>
      </c>
      <c r="D24" s="235" t="s">
        <v>836</v>
      </c>
      <c r="E24" s="243">
        <v>6.57E13</v>
      </c>
      <c r="F24" s="244"/>
      <c r="G24" s="235" t="s">
        <v>837</v>
      </c>
      <c r="H24" s="235" t="s">
        <v>838</v>
      </c>
      <c r="I24" s="235" t="s">
        <v>839</v>
      </c>
      <c r="J24" s="235" t="s">
        <v>840</v>
      </c>
      <c r="K24" s="235" t="s">
        <v>841</v>
      </c>
      <c r="N24" s="235" t="s">
        <v>842</v>
      </c>
      <c r="O24" s="235" t="s">
        <v>843</v>
      </c>
      <c r="P24" s="238">
        <v>1.0</v>
      </c>
      <c r="Q24" s="235" t="s">
        <v>627</v>
      </c>
      <c r="R24" s="238">
        <v>246.66</v>
      </c>
      <c r="S24" s="238">
        <v>12.34</v>
      </c>
      <c r="T24" s="238">
        <v>0.0</v>
      </c>
      <c r="U24" s="238">
        <v>0.0</v>
      </c>
      <c r="V24" s="238">
        <v>0.0</v>
      </c>
      <c r="W24" s="238">
        <v>0.0</v>
      </c>
      <c r="X24" s="235" t="s">
        <v>628</v>
      </c>
      <c r="Z24" s="244"/>
      <c r="AA24" s="244"/>
      <c r="AB24" s="244"/>
      <c r="AC24" s="235" t="s">
        <v>844</v>
      </c>
      <c r="AD24" s="235" t="s">
        <v>845</v>
      </c>
      <c r="AE24" s="238">
        <v>411060.0</v>
      </c>
      <c r="AF24" s="235" t="s">
        <v>631</v>
      </c>
      <c r="AG24" s="244"/>
      <c r="AH24" s="244"/>
      <c r="AI24" s="245"/>
      <c r="AJ24" s="245"/>
      <c r="AK24" s="245"/>
      <c r="AL24" s="245"/>
      <c r="AM24" s="244"/>
      <c r="AN24" s="244"/>
      <c r="AO24" s="238">
        <v>0.0</v>
      </c>
      <c r="AP24" s="238">
        <v>0.0</v>
      </c>
      <c r="AQ24" s="235" t="s">
        <v>632</v>
      </c>
      <c r="AR24" s="243">
        <v>3.71E11</v>
      </c>
      <c r="AS24" s="235" t="s">
        <v>667</v>
      </c>
      <c r="AT24" s="235" t="s">
        <v>546</v>
      </c>
      <c r="AU24" s="235" t="s">
        <v>634</v>
      </c>
      <c r="AV24" s="246" t="s">
        <v>635</v>
      </c>
      <c r="AW24" s="242"/>
      <c r="AX24" s="242"/>
      <c r="AY24" s="231"/>
      <c r="AZ24" s="231"/>
      <c r="BA24" s="227"/>
      <c r="BB24" s="231"/>
      <c r="BC24" s="227"/>
      <c r="BD24" s="227"/>
      <c r="BE24" s="227"/>
      <c r="BF24" s="227"/>
    </row>
    <row r="25">
      <c r="A25" s="235" t="s">
        <v>846</v>
      </c>
      <c r="C25" s="235" t="s">
        <v>847</v>
      </c>
      <c r="D25" s="235" t="s">
        <v>848</v>
      </c>
      <c r="E25" s="243">
        <v>6.58E13</v>
      </c>
      <c r="F25" s="244"/>
      <c r="G25" s="235" t="s">
        <v>849</v>
      </c>
      <c r="H25" s="235" t="s">
        <v>850</v>
      </c>
      <c r="I25" s="235" t="s">
        <v>850</v>
      </c>
      <c r="J25" s="235" t="s">
        <v>851</v>
      </c>
      <c r="K25" s="235" t="s">
        <v>852</v>
      </c>
      <c r="N25" s="235" t="s">
        <v>92</v>
      </c>
      <c r="O25" s="235" t="s">
        <v>248</v>
      </c>
      <c r="P25" s="238">
        <v>1.0</v>
      </c>
      <c r="Q25" s="235" t="s">
        <v>627</v>
      </c>
      <c r="R25" s="238">
        <v>246.67</v>
      </c>
      <c r="S25" s="238">
        <v>12.33</v>
      </c>
      <c r="T25" s="238">
        <v>38.1</v>
      </c>
      <c r="U25" s="238">
        <v>1.9</v>
      </c>
      <c r="V25" s="238">
        <v>0.0</v>
      </c>
      <c r="W25" s="238">
        <v>0.0</v>
      </c>
      <c r="X25" s="235" t="s">
        <v>628</v>
      </c>
      <c r="Z25" s="244"/>
      <c r="AA25" s="244"/>
      <c r="AB25" s="244"/>
      <c r="AC25" s="235" t="s">
        <v>853</v>
      </c>
      <c r="AD25" s="235" t="s">
        <v>854</v>
      </c>
      <c r="AE25" s="238">
        <v>403604.0</v>
      </c>
      <c r="AF25" s="235" t="s">
        <v>631</v>
      </c>
      <c r="AG25" s="244"/>
      <c r="AH25" s="244"/>
      <c r="AI25" s="245"/>
      <c r="AJ25" s="245"/>
      <c r="AK25" s="245"/>
      <c r="AL25" s="245"/>
      <c r="AM25" s="244"/>
      <c r="AN25" s="244"/>
      <c r="AO25" s="238">
        <v>0.0</v>
      </c>
      <c r="AP25" s="238">
        <v>-38.1</v>
      </c>
      <c r="AQ25" s="235" t="s">
        <v>632</v>
      </c>
      <c r="AR25" s="243">
        <v>2.02E11</v>
      </c>
      <c r="AS25" s="235" t="s">
        <v>646</v>
      </c>
      <c r="AT25" s="235" t="s">
        <v>16</v>
      </c>
      <c r="AU25" s="235" t="s">
        <v>634</v>
      </c>
      <c r="AV25" s="246" t="s">
        <v>635</v>
      </c>
      <c r="AW25" s="242"/>
      <c r="AX25" s="242"/>
      <c r="AY25" s="231"/>
      <c r="AZ25" s="231"/>
      <c r="BA25" s="227"/>
      <c r="BB25" s="231"/>
      <c r="BC25" s="227"/>
      <c r="BD25" s="227"/>
      <c r="BE25" s="227"/>
      <c r="BF25" s="227"/>
    </row>
    <row r="26">
      <c r="A26" s="235" t="s">
        <v>857</v>
      </c>
      <c r="C26" s="235" t="s">
        <v>858</v>
      </c>
      <c r="D26" s="235" t="s">
        <v>859</v>
      </c>
      <c r="E26" s="243">
        <v>6.58E13</v>
      </c>
      <c r="F26" s="244"/>
      <c r="G26" s="235" t="s">
        <v>860</v>
      </c>
      <c r="H26" s="235" t="s">
        <v>861</v>
      </c>
      <c r="I26" s="235" t="s">
        <v>861</v>
      </c>
      <c r="J26" s="235" t="s">
        <v>862</v>
      </c>
      <c r="K26" s="235" t="s">
        <v>863</v>
      </c>
      <c r="N26" s="235" t="s">
        <v>717</v>
      </c>
      <c r="O26" s="235" t="s">
        <v>718</v>
      </c>
      <c r="P26" s="238">
        <v>1.0</v>
      </c>
      <c r="Q26" s="235" t="s">
        <v>627</v>
      </c>
      <c r="R26" s="238">
        <v>456.2</v>
      </c>
      <c r="S26" s="238">
        <v>22.8</v>
      </c>
      <c r="T26" s="238">
        <v>9.04</v>
      </c>
      <c r="U26" s="238">
        <v>0.46</v>
      </c>
      <c r="V26" s="238">
        <v>0.0</v>
      </c>
      <c r="W26" s="238">
        <v>0.0</v>
      </c>
      <c r="X26" s="235" t="s">
        <v>628</v>
      </c>
      <c r="Z26" s="244"/>
      <c r="AA26" s="244"/>
      <c r="AB26" s="244"/>
      <c r="AC26" s="235" t="s">
        <v>678</v>
      </c>
      <c r="AD26" s="235" t="s">
        <v>679</v>
      </c>
      <c r="AE26" s="238">
        <v>560097.0</v>
      </c>
      <c r="AF26" s="235" t="s">
        <v>631</v>
      </c>
      <c r="AG26" s="244"/>
      <c r="AH26" s="244"/>
      <c r="AI26" s="245"/>
      <c r="AJ26" s="245"/>
      <c r="AK26" s="245"/>
      <c r="AL26" s="245"/>
      <c r="AM26" s="244"/>
      <c r="AN26" s="244"/>
      <c r="AO26" s="238">
        <v>0.0</v>
      </c>
      <c r="AP26" s="238">
        <v>-9.04</v>
      </c>
      <c r="AQ26" s="235" t="s">
        <v>632</v>
      </c>
      <c r="AR26" s="243">
        <v>1.68E11</v>
      </c>
      <c r="AS26" s="235" t="s">
        <v>633</v>
      </c>
      <c r="AT26" s="235" t="s">
        <v>11</v>
      </c>
      <c r="AU26" s="235" t="s">
        <v>634</v>
      </c>
      <c r="AV26" s="246" t="s">
        <v>635</v>
      </c>
      <c r="AW26" s="242"/>
      <c r="AX26" s="242"/>
      <c r="AY26" s="231"/>
      <c r="AZ26" s="231"/>
      <c r="BA26" s="227"/>
      <c r="BB26" s="231"/>
      <c r="BC26" s="227"/>
      <c r="BD26" s="227"/>
      <c r="BE26" s="227"/>
      <c r="BF26" s="227"/>
    </row>
    <row r="27">
      <c r="A27" s="235" t="s">
        <v>864</v>
      </c>
      <c r="C27" s="235" t="s">
        <v>865</v>
      </c>
      <c r="D27" s="235" t="s">
        <v>866</v>
      </c>
      <c r="E27" s="243">
        <v>6.58E13</v>
      </c>
      <c r="F27" s="244"/>
      <c r="G27" s="235" t="s">
        <v>867</v>
      </c>
      <c r="H27" s="235" t="s">
        <v>868</v>
      </c>
      <c r="I27" s="235" t="s">
        <v>869</v>
      </c>
      <c r="J27" s="235" t="s">
        <v>870</v>
      </c>
      <c r="K27" s="235" t="s">
        <v>871</v>
      </c>
      <c r="N27" s="235" t="s">
        <v>85</v>
      </c>
      <c r="O27" s="235" t="s">
        <v>872</v>
      </c>
      <c r="P27" s="238">
        <v>1.0</v>
      </c>
      <c r="Q27" s="235" t="s">
        <v>627</v>
      </c>
      <c r="R27" s="238">
        <v>246.67</v>
      </c>
      <c r="S27" s="238">
        <v>12.33</v>
      </c>
      <c r="T27" s="238">
        <v>0.0</v>
      </c>
      <c r="U27" s="238">
        <v>0.0</v>
      </c>
      <c r="V27" s="238">
        <v>0.0</v>
      </c>
      <c r="W27" s="238">
        <v>0.0</v>
      </c>
      <c r="X27" s="235" t="s">
        <v>628</v>
      </c>
      <c r="Z27" s="244"/>
      <c r="AA27" s="244"/>
      <c r="AB27" s="244"/>
      <c r="AC27" s="235" t="s">
        <v>697</v>
      </c>
      <c r="AD27" s="235" t="s">
        <v>698</v>
      </c>
      <c r="AE27" s="238">
        <v>500089.0</v>
      </c>
      <c r="AF27" s="235" t="s">
        <v>631</v>
      </c>
      <c r="AG27" s="244"/>
      <c r="AH27" s="244"/>
      <c r="AI27" s="245"/>
      <c r="AJ27" s="245"/>
      <c r="AK27" s="245"/>
      <c r="AL27" s="245"/>
      <c r="AM27" s="244"/>
      <c r="AN27" s="244"/>
      <c r="AO27" s="238">
        <v>0.0</v>
      </c>
      <c r="AP27" s="238">
        <v>0.0</v>
      </c>
      <c r="AQ27" s="235" t="s">
        <v>632</v>
      </c>
      <c r="AR27" s="243">
        <v>2.02E11</v>
      </c>
      <c r="AS27" s="235" t="s">
        <v>667</v>
      </c>
      <c r="AT27" s="235" t="s">
        <v>156</v>
      </c>
      <c r="AU27" s="235" t="s">
        <v>634</v>
      </c>
      <c r="AV27" s="246" t="s">
        <v>635</v>
      </c>
      <c r="AW27" s="242"/>
      <c r="AX27" s="242"/>
      <c r="AY27" s="231"/>
      <c r="AZ27" s="231"/>
      <c r="BA27" s="227"/>
      <c r="BB27" s="231"/>
      <c r="BC27" s="227"/>
      <c r="BD27" s="227"/>
      <c r="BE27" s="227"/>
      <c r="BF27" s="227"/>
    </row>
    <row r="28">
      <c r="A28" s="235" t="s">
        <v>873</v>
      </c>
      <c r="C28" s="235" t="s">
        <v>874</v>
      </c>
      <c r="D28" s="235" t="s">
        <v>875</v>
      </c>
      <c r="E28" s="243">
        <v>6.57E13</v>
      </c>
      <c r="F28" s="244"/>
      <c r="G28" s="235" t="s">
        <v>876</v>
      </c>
      <c r="H28" s="235" t="s">
        <v>877</v>
      </c>
      <c r="I28" s="235" t="s">
        <v>877</v>
      </c>
      <c r="J28" s="235" t="s">
        <v>878</v>
      </c>
      <c r="K28" s="235" t="s">
        <v>879</v>
      </c>
      <c r="N28" s="235" t="s">
        <v>47</v>
      </c>
      <c r="O28" s="235" t="s">
        <v>270</v>
      </c>
      <c r="P28" s="238">
        <v>1.0</v>
      </c>
      <c r="Q28" s="235" t="s">
        <v>627</v>
      </c>
      <c r="R28" s="238">
        <v>237.14</v>
      </c>
      <c r="S28" s="238">
        <v>11.86</v>
      </c>
      <c r="T28" s="238">
        <v>0.0</v>
      </c>
      <c r="U28" s="238">
        <v>0.0</v>
      </c>
      <c r="V28" s="238">
        <v>0.0</v>
      </c>
      <c r="W28" s="238">
        <v>0.0</v>
      </c>
      <c r="X28" s="235" t="s">
        <v>628</v>
      </c>
      <c r="Z28" s="244"/>
      <c r="AA28" s="244"/>
      <c r="AB28" s="244"/>
      <c r="AC28" s="235" t="s">
        <v>880</v>
      </c>
      <c r="AD28" s="235" t="s">
        <v>881</v>
      </c>
      <c r="AE28" s="238">
        <v>751024.0</v>
      </c>
      <c r="AF28" s="235" t="s">
        <v>631</v>
      </c>
      <c r="AG28" s="244"/>
      <c r="AH28" s="244"/>
      <c r="AI28" s="245"/>
      <c r="AJ28" s="245"/>
      <c r="AK28" s="245"/>
      <c r="AL28" s="245"/>
      <c r="AM28" s="244"/>
      <c r="AN28" s="244"/>
      <c r="AO28" s="238">
        <v>0.0</v>
      </c>
      <c r="AP28" s="238">
        <v>0.0</v>
      </c>
      <c r="AQ28" s="235" t="s">
        <v>632</v>
      </c>
      <c r="AR28" s="243">
        <v>2.02E11</v>
      </c>
      <c r="AS28" s="235" t="s">
        <v>667</v>
      </c>
      <c r="AT28" s="235" t="s">
        <v>9</v>
      </c>
      <c r="AU28" s="235" t="s">
        <v>634</v>
      </c>
      <c r="AV28" s="246" t="s">
        <v>635</v>
      </c>
      <c r="AW28" s="242"/>
      <c r="AX28" s="242"/>
      <c r="AY28" s="231"/>
      <c r="AZ28" s="231"/>
      <c r="BA28" s="227"/>
      <c r="BB28" s="231"/>
      <c r="BC28" s="227"/>
      <c r="BD28" s="227"/>
      <c r="BE28" s="227"/>
      <c r="BF28" s="227"/>
    </row>
    <row r="29">
      <c r="A29" s="235" t="s">
        <v>882</v>
      </c>
      <c r="C29" s="235" t="s">
        <v>883</v>
      </c>
      <c r="D29" s="235" t="s">
        <v>884</v>
      </c>
      <c r="E29" s="243">
        <v>6.57E13</v>
      </c>
      <c r="F29" s="244"/>
      <c r="G29" s="235" t="s">
        <v>885</v>
      </c>
      <c r="H29" s="235" t="s">
        <v>886</v>
      </c>
      <c r="I29" s="235" t="s">
        <v>886</v>
      </c>
      <c r="J29" s="235" t="s">
        <v>887</v>
      </c>
      <c r="K29" s="235" t="s">
        <v>888</v>
      </c>
      <c r="N29" s="235" t="s">
        <v>82</v>
      </c>
      <c r="O29" s="235" t="s">
        <v>889</v>
      </c>
      <c r="P29" s="238">
        <v>1.0</v>
      </c>
      <c r="Q29" s="235" t="s">
        <v>627</v>
      </c>
      <c r="R29" s="238">
        <v>246.67</v>
      </c>
      <c r="S29" s="238">
        <v>12.33</v>
      </c>
      <c r="T29" s="238">
        <v>0.0</v>
      </c>
      <c r="U29" s="238">
        <v>0.0</v>
      </c>
      <c r="V29" s="238">
        <v>0.0</v>
      </c>
      <c r="W29" s="238">
        <v>0.0</v>
      </c>
      <c r="X29" s="235" t="s">
        <v>628</v>
      </c>
      <c r="Z29" s="244"/>
      <c r="AA29" s="244"/>
      <c r="AB29" s="244"/>
      <c r="AC29" s="235" t="s">
        <v>890</v>
      </c>
      <c r="AD29" s="235" t="s">
        <v>891</v>
      </c>
      <c r="AE29" s="238">
        <v>609602.0</v>
      </c>
      <c r="AF29" s="235" t="s">
        <v>631</v>
      </c>
      <c r="AG29" s="244"/>
      <c r="AH29" s="244"/>
      <c r="AI29" s="245"/>
      <c r="AJ29" s="245"/>
      <c r="AK29" s="245"/>
      <c r="AL29" s="245"/>
      <c r="AM29" s="244"/>
      <c r="AN29" s="244"/>
      <c r="AO29" s="238">
        <v>0.0</v>
      </c>
      <c r="AP29" s="238">
        <v>0.0</v>
      </c>
      <c r="AQ29" s="235" t="s">
        <v>632</v>
      </c>
      <c r="AR29" s="243">
        <v>1.68E11</v>
      </c>
      <c r="AS29" s="235" t="s">
        <v>656</v>
      </c>
      <c r="AT29" s="235" t="s">
        <v>9</v>
      </c>
      <c r="AU29" s="235" t="s">
        <v>634</v>
      </c>
      <c r="AV29" s="246" t="s">
        <v>635</v>
      </c>
      <c r="AW29" s="242"/>
      <c r="AX29" s="242"/>
      <c r="AY29" s="231"/>
      <c r="AZ29" s="231"/>
      <c r="BA29" s="227"/>
      <c r="BB29" s="231"/>
      <c r="BC29" s="227"/>
      <c r="BD29" s="227"/>
      <c r="BE29" s="227"/>
      <c r="BF29" s="227"/>
    </row>
    <row r="30">
      <c r="A30" s="235" t="s">
        <v>892</v>
      </c>
      <c r="C30" s="235" t="s">
        <v>893</v>
      </c>
      <c r="D30" s="235" t="s">
        <v>894</v>
      </c>
      <c r="E30" s="243">
        <v>6.58E13</v>
      </c>
      <c r="F30" s="244"/>
      <c r="G30" s="235" t="s">
        <v>895</v>
      </c>
      <c r="H30" s="235" t="s">
        <v>896</v>
      </c>
      <c r="I30" s="235" t="s">
        <v>896</v>
      </c>
      <c r="J30" s="235" t="s">
        <v>897</v>
      </c>
      <c r="K30" s="235" t="s">
        <v>898</v>
      </c>
      <c r="N30" s="235" t="s">
        <v>40</v>
      </c>
      <c r="O30" s="235" t="s">
        <v>327</v>
      </c>
      <c r="P30" s="238">
        <v>1.0</v>
      </c>
      <c r="Q30" s="235" t="s">
        <v>627</v>
      </c>
      <c r="R30" s="238">
        <v>237.14</v>
      </c>
      <c r="S30" s="238">
        <v>11.86</v>
      </c>
      <c r="T30" s="238">
        <v>0.0</v>
      </c>
      <c r="U30" s="238">
        <v>0.0</v>
      </c>
      <c r="V30" s="238">
        <v>0.0</v>
      </c>
      <c r="W30" s="238">
        <v>0.0</v>
      </c>
      <c r="X30" s="235" t="s">
        <v>628</v>
      </c>
      <c r="Z30" s="244"/>
      <c r="AA30" s="244"/>
      <c r="AB30" s="244"/>
      <c r="AC30" s="235" t="s">
        <v>899</v>
      </c>
      <c r="AD30" s="235" t="s">
        <v>833</v>
      </c>
      <c r="AE30" s="238">
        <v>517503.0</v>
      </c>
      <c r="AF30" s="235" t="s">
        <v>631</v>
      </c>
      <c r="AG30" s="244"/>
      <c r="AH30" s="244"/>
      <c r="AI30" s="245"/>
      <c r="AJ30" s="245"/>
      <c r="AK30" s="245"/>
      <c r="AL30" s="245"/>
      <c r="AM30" s="244"/>
      <c r="AN30" s="244"/>
      <c r="AO30" s="238">
        <v>0.0</v>
      </c>
      <c r="AP30" s="238">
        <v>0.0</v>
      </c>
      <c r="AQ30" s="235" t="s">
        <v>632</v>
      </c>
      <c r="AR30" s="243">
        <v>3.71E11</v>
      </c>
      <c r="AS30" s="235" t="s">
        <v>667</v>
      </c>
      <c r="AT30" s="235" t="s">
        <v>156</v>
      </c>
      <c r="AU30" s="235" t="s">
        <v>634</v>
      </c>
      <c r="AV30" s="246" t="s">
        <v>635</v>
      </c>
      <c r="AW30" s="242"/>
      <c r="AX30" s="242"/>
      <c r="AY30" s="231"/>
      <c r="AZ30" s="231"/>
      <c r="BA30" s="227"/>
      <c r="BB30" s="231"/>
      <c r="BC30" s="227"/>
      <c r="BD30" s="227"/>
      <c r="BE30" s="227"/>
      <c r="BF30" s="227"/>
    </row>
    <row r="31">
      <c r="A31" s="235" t="s">
        <v>900</v>
      </c>
      <c r="C31" s="235" t="s">
        <v>901</v>
      </c>
      <c r="D31" s="235" t="s">
        <v>902</v>
      </c>
      <c r="E31" s="243">
        <v>6.58E13</v>
      </c>
      <c r="F31" s="244"/>
      <c r="G31" s="235" t="s">
        <v>903</v>
      </c>
      <c r="H31" s="235" t="s">
        <v>904</v>
      </c>
      <c r="I31" s="235" t="s">
        <v>904</v>
      </c>
      <c r="J31" s="235" t="s">
        <v>905</v>
      </c>
      <c r="K31" s="235" t="s">
        <v>906</v>
      </c>
      <c r="N31" s="235" t="s">
        <v>127</v>
      </c>
      <c r="O31" s="235" t="s">
        <v>794</v>
      </c>
      <c r="P31" s="238">
        <v>1.0</v>
      </c>
      <c r="Q31" s="235" t="s">
        <v>627</v>
      </c>
      <c r="R31" s="238">
        <v>246.67</v>
      </c>
      <c r="S31" s="238">
        <v>12.33</v>
      </c>
      <c r="T31" s="238">
        <v>0.0</v>
      </c>
      <c r="U31" s="238">
        <v>0.0</v>
      </c>
      <c r="V31" s="238">
        <v>0.0</v>
      </c>
      <c r="W31" s="238">
        <v>0.0</v>
      </c>
      <c r="X31" s="235" t="s">
        <v>628</v>
      </c>
      <c r="Z31" s="244"/>
      <c r="AA31" s="244"/>
      <c r="AB31" s="244"/>
      <c r="AC31" s="235" t="s">
        <v>907</v>
      </c>
      <c r="AD31" s="235" t="s">
        <v>908</v>
      </c>
      <c r="AE31" s="238">
        <v>248009.0</v>
      </c>
      <c r="AF31" s="235" t="s">
        <v>631</v>
      </c>
      <c r="AG31" s="244"/>
      <c r="AH31" s="244"/>
      <c r="AI31" s="245"/>
      <c r="AJ31" s="245"/>
      <c r="AK31" s="245"/>
      <c r="AL31" s="245"/>
      <c r="AM31" s="244"/>
      <c r="AN31" s="244"/>
      <c r="AO31" s="238">
        <v>0.0</v>
      </c>
      <c r="AP31" s="238">
        <v>0.0</v>
      </c>
      <c r="AQ31" s="235" t="s">
        <v>632</v>
      </c>
      <c r="AR31" s="243">
        <v>3.71E11</v>
      </c>
      <c r="AS31" s="235" t="s">
        <v>656</v>
      </c>
      <c r="AT31" s="235" t="s">
        <v>533</v>
      </c>
      <c r="AU31" s="235" t="s">
        <v>634</v>
      </c>
      <c r="AV31" s="246" t="s">
        <v>635</v>
      </c>
      <c r="AW31" s="242"/>
      <c r="AX31" s="242"/>
      <c r="AY31" s="231"/>
      <c r="AZ31" s="231"/>
      <c r="BA31" s="227"/>
      <c r="BB31" s="231"/>
      <c r="BC31" s="227"/>
      <c r="BD31" s="227"/>
      <c r="BE31" s="227"/>
      <c r="BF31" s="227"/>
    </row>
    <row r="32">
      <c r="A32" s="235" t="s">
        <v>909</v>
      </c>
      <c r="C32" s="235" t="s">
        <v>910</v>
      </c>
      <c r="D32" s="235" t="s">
        <v>911</v>
      </c>
      <c r="E32" s="243">
        <v>6.58E13</v>
      </c>
      <c r="F32" s="244"/>
      <c r="G32" s="235" t="s">
        <v>912</v>
      </c>
      <c r="H32" s="235" t="s">
        <v>913</v>
      </c>
      <c r="I32" s="235" t="s">
        <v>913</v>
      </c>
      <c r="J32" s="235" t="s">
        <v>914</v>
      </c>
      <c r="K32" s="235" t="s">
        <v>915</v>
      </c>
      <c r="N32" s="235" t="s">
        <v>127</v>
      </c>
      <c r="O32" s="235" t="s">
        <v>794</v>
      </c>
      <c r="P32" s="238">
        <v>1.0</v>
      </c>
      <c r="Q32" s="235" t="s">
        <v>627</v>
      </c>
      <c r="R32" s="238">
        <v>246.67</v>
      </c>
      <c r="S32" s="238">
        <v>12.33</v>
      </c>
      <c r="T32" s="238">
        <v>0.0</v>
      </c>
      <c r="U32" s="238">
        <v>0.0</v>
      </c>
      <c r="V32" s="238">
        <v>0.0</v>
      </c>
      <c r="W32" s="238">
        <v>0.0</v>
      </c>
      <c r="X32" s="235" t="s">
        <v>628</v>
      </c>
      <c r="Z32" s="244"/>
      <c r="AA32" s="244"/>
      <c r="AB32" s="244"/>
      <c r="AC32" s="235" t="s">
        <v>916</v>
      </c>
      <c r="AD32" s="235" t="s">
        <v>917</v>
      </c>
      <c r="AE32" s="238">
        <v>324006.0</v>
      </c>
      <c r="AF32" s="235" t="s">
        <v>631</v>
      </c>
      <c r="AG32" s="244"/>
      <c r="AH32" s="244"/>
      <c r="AI32" s="245"/>
      <c r="AJ32" s="245"/>
      <c r="AK32" s="245"/>
      <c r="AL32" s="245"/>
      <c r="AM32" s="244"/>
      <c r="AN32" s="244"/>
      <c r="AO32" s="238">
        <v>0.0</v>
      </c>
      <c r="AP32" s="238">
        <v>0.0</v>
      </c>
      <c r="AQ32" s="235" t="s">
        <v>632</v>
      </c>
      <c r="AR32" s="243">
        <v>3.71E11</v>
      </c>
      <c r="AS32" s="235" t="s">
        <v>656</v>
      </c>
      <c r="AT32" s="235" t="s">
        <v>13</v>
      </c>
      <c r="AU32" s="235" t="s">
        <v>634</v>
      </c>
      <c r="AV32" s="246" t="s">
        <v>635</v>
      </c>
      <c r="AW32" s="242"/>
      <c r="AX32" s="242"/>
      <c r="AY32" s="231"/>
      <c r="AZ32" s="231"/>
      <c r="BA32" s="227"/>
      <c r="BB32" s="231"/>
      <c r="BC32" s="227"/>
      <c r="BD32" s="227"/>
      <c r="BE32" s="227"/>
      <c r="BF32" s="227"/>
    </row>
    <row r="33">
      <c r="A33" s="235" t="s">
        <v>920</v>
      </c>
      <c r="C33" s="235" t="s">
        <v>921</v>
      </c>
      <c r="D33" s="235" t="s">
        <v>922</v>
      </c>
      <c r="E33" s="243">
        <v>6.58E13</v>
      </c>
      <c r="F33" s="244"/>
      <c r="G33" s="235" t="s">
        <v>923</v>
      </c>
      <c r="H33" s="235" t="s">
        <v>924</v>
      </c>
      <c r="I33" s="235" t="s">
        <v>924</v>
      </c>
      <c r="J33" s="235" t="s">
        <v>925</v>
      </c>
      <c r="K33" s="235" t="s">
        <v>926</v>
      </c>
      <c r="N33" s="235" t="s">
        <v>842</v>
      </c>
      <c r="O33" s="235" t="s">
        <v>843</v>
      </c>
      <c r="P33" s="238">
        <v>1.0</v>
      </c>
      <c r="Q33" s="235" t="s">
        <v>627</v>
      </c>
      <c r="R33" s="238">
        <v>246.66</v>
      </c>
      <c r="S33" s="238">
        <v>12.34</v>
      </c>
      <c r="T33" s="238">
        <v>0.0</v>
      </c>
      <c r="U33" s="238">
        <v>0.0</v>
      </c>
      <c r="V33" s="238">
        <v>0.0</v>
      </c>
      <c r="W33" s="238">
        <v>0.0</v>
      </c>
      <c r="X33" s="235" t="s">
        <v>628</v>
      </c>
      <c r="Z33" s="244"/>
      <c r="AA33" s="244"/>
      <c r="AB33" s="244"/>
      <c r="AC33" s="235" t="s">
        <v>927</v>
      </c>
      <c r="AD33" s="235" t="s">
        <v>928</v>
      </c>
      <c r="AE33" s="238">
        <v>124001.0</v>
      </c>
      <c r="AF33" s="235" t="s">
        <v>631</v>
      </c>
      <c r="AG33" s="244"/>
      <c r="AH33" s="244"/>
      <c r="AI33" s="245"/>
      <c r="AJ33" s="245"/>
      <c r="AK33" s="245"/>
      <c r="AL33" s="245"/>
      <c r="AM33" s="244"/>
      <c r="AN33" s="244"/>
      <c r="AO33" s="238">
        <v>0.0</v>
      </c>
      <c r="AP33" s="238">
        <v>0.0</v>
      </c>
      <c r="AQ33" s="235" t="s">
        <v>632</v>
      </c>
      <c r="AR33" s="243">
        <v>3.71E11</v>
      </c>
      <c r="AS33" s="235" t="s">
        <v>667</v>
      </c>
      <c r="AT33" s="235" t="s">
        <v>14</v>
      </c>
      <c r="AU33" s="235" t="s">
        <v>634</v>
      </c>
      <c r="AV33" s="246" t="s">
        <v>635</v>
      </c>
      <c r="AW33" s="242"/>
      <c r="AX33" s="242"/>
      <c r="AY33" s="231"/>
      <c r="AZ33" s="231"/>
      <c r="BA33" s="227"/>
      <c r="BB33" s="231"/>
      <c r="BC33" s="227"/>
      <c r="BD33" s="227"/>
      <c r="BE33" s="227"/>
      <c r="BF33" s="227"/>
    </row>
    <row r="34">
      <c r="A34" s="235" t="s">
        <v>929</v>
      </c>
      <c r="C34" s="235" t="s">
        <v>930</v>
      </c>
      <c r="D34" s="235" t="s">
        <v>931</v>
      </c>
      <c r="E34" s="243">
        <v>6.57E13</v>
      </c>
      <c r="F34" s="244"/>
      <c r="G34" s="235" t="s">
        <v>932</v>
      </c>
      <c r="H34" s="235" t="s">
        <v>933</v>
      </c>
      <c r="I34" s="235" t="s">
        <v>933</v>
      </c>
      <c r="J34" s="235" t="s">
        <v>934</v>
      </c>
      <c r="K34" s="235" t="s">
        <v>935</v>
      </c>
      <c r="N34" s="235" t="s">
        <v>10</v>
      </c>
      <c r="O34" s="235" t="s">
        <v>936</v>
      </c>
      <c r="P34" s="238">
        <v>3.0</v>
      </c>
      <c r="Q34" s="235" t="s">
        <v>627</v>
      </c>
      <c r="R34" s="238">
        <v>797.13</v>
      </c>
      <c r="S34" s="238">
        <v>39.87</v>
      </c>
      <c r="T34" s="238">
        <v>0.0</v>
      </c>
      <c r="U34" s="238">
        <v>0.0</v>
      </c>
      <c r="V34" s="238">
        <v>0.0</v>
      </c>
      <c r="W34" s="238">
        <v>0.0</v>
      </c>
      <c r="X34" s="235" t="s">
        <v>628</v>
      </c>
      <c r="Z34" s="244"/>
      <c r="AA34" s="244"/>
      <c r="AB34" s="244"/>
      <c r="AC34" s="235" t="s">
        <v>937</v>
      </c>
      <c r="AD34" s="235" t="s">
        <v>709</v>
      </c>
      <c r="AE34" s="238">
        <v>800025.0</v>
      </c>
      <c r="AF34" s="235" t="s">
        <v>631</v>
      </c>
      <c r="AG34" s="244"/>
      <c r="AH34" s="244"/>
      <c r="AI34" s="245"/>
      <c r="AJ34" s="245"/>
      <c r="AK34" s="245"/>
      <c r="AL34" s="245"/>
      <c r="AM34" s="244"/>
      <c r="AN34" s="244"/>
      <c r="AO34" s="238">
        <v>0.0</v>
      </c>
      <c r="AP34" s="238">
        <v>0.0</v>
      </c>
      <c r="AQ34" s="235" t="s">
        <v>632</v>
      </c>
      <c r="AR34" s="243">
        <v>1.68E11</v>
      </c>
      <c r="AS34" s="235" t="s">
        <v>656</v>
      </c>
      <c r="AT34" s="235" t="s">
        <v>13</v>
      </c>
      <c r="AU34" s="235" t="s">
        <v>634</v>
      </c>
      <c r="AV34" s="246" t="s">
        <v>635</v>
      </c>
      <c r="AW34" s="242"/>
      <c r="AX34" s="242"/>
      <c r="AY34" s="231"/>
      <c r="AZ34" s="231"/>
      <c r="BA34" s="227"/>
      <c r="BB34" s="231"/>
      <c r="BC34" s="227"/>
      <c r="BD34" s="227"/>
      <c r="BE34" s="227"/>
      <c r="BF34" s="227"/>
    </row>
    <row r="35">
      <c r="A35" s="235" t="s">
        <v>938</v>
      </c>
      <c r="C35" s="235" t="s">
        <v>939</v>
      </c>
      <c r="D35" s="235" t="s">
        <v>940</v>
      </c>
      <c r="E35" s="243">
        <v>6.58E13</v>
      </c>
      <c r="F35" s="244"/>
      <c r="G35" s="235" t="s">
        <v>941</v>
      </c>
      <c r="H35" s="235" t="s">
        <v>942</v>
      </c>
      <c r="I35" s="235" t="s">
        <v>942</v>
      </c>
      <c r="J35" s="235" t="s">
        <v>943</v>
      </c>
      <c r="K35" s="235" t="s">
        <v>944</v>
      </c>
      <c r="N35" s="235" t="s">
        <v>127</v>
      </c>
      <c r="O35" s="235" t="s">
        <v>794</v>
      </c>
      <c r="P35" s="238">
        <v>1.0</v>
      </c>
      <c r="Q35" s="235" t="s">
        <v>627</v>
      </c>
      <c r="R35" s="238">
        <v>246.66</v>
      </c>
      <c r="S35" s="238">
        <v>12.34</v>
      </c>
      <c r="T35" s="238">
        <v>0.0</v>
      </c>
      <c r="U35" s="238">
        <v>0.0</v>
      </c>
      <c r="V35" s="238">
        <v>0.0</v>
      </c>
      <c r="W35" s="238">
        <v>0.0</v>
      </c>
      <c r="X35" s="235" t="s">
        <v>628</v>
      </c>
      <c r="Z35" s="244"/>
      <c r="AA35" s="244"/>
      <c r="AB35" s="244"/>
      <c r="AC35" s="235" t="s">
        <v>687</v>
      </c>
      <c r="AD35" s="235" t="s">
        <v>666</v>
      </c>
      <c r="AE35" s="238">
        <v>600042.0</v>
      </c>
      <c r="AF35" s="235" t="s">
        <v>631</v>
      </c>
      <c r="AG35" s="244"/>
      <c r="AH35" s="244"/>
      <c r="AI35" s="245"/>
      <c r="AJ35" s="245"/>
      <c r="AK35" s="245"/>
      <c r="AL35" s="245"/>
      <c r="AM35" s="244"/>
      <c r="AN35" s="244"/>
      <c r="AO35" s="238">
        <v>0.0</v>
      </c>
      <c r="AP35" s="238">
        <v>0.0</v>
      </c>
      <c r="AQ35" s="235" t="s">
        <v>632</v>
      </c>
      <c r="AR35" s="243">
        <v>1.68E11</v>
      </c>
      <c r="AS35" s="235" t="s">
        <v>633</v>
      </c>
      <c r="AT35" s="235" t="s">
        <v>156</v>
      </c>
      <c r="AU35" s="235" t="s">
        <v>634</v>
      </c>
      <c r="AV35" s="246" t="s">
        <v>635</v>
      </c>
      <c r="AW35" s="242"/>
      <c r="AX35" s="242"/>
      <c r="AY35" s="231"/>
      <c r="AZ35" s="231"/>
      <c r="BA35" s="227"/>
      <c r="BB35" s="231"/>
      <c r="BC35" s="227"/>
      <c r="BD35" s="227"/>
      <c r="BE35" s="227"/>
      <c r="BF35" s="227"/>
    </row>
    <row r="36">
      <c r="A36" s="235" t="s">
        <v>945</v>
      </c>
      <c r="C36" s="235" t="s">
        <v>946</v>
      </c>
      <c r="D36" s="235" t="s">
        <v>947</v>
      </c>
      <c r="E36" s="243">
        <v>6.57E13</v>
      </c>
      <c r="F36" s="244"/>
      <c r="G36" s="235" t="s">
        <v>948</v>
      </c>
      <c r="H36" s="235" t="s">
        <v>949</v>
      </c>
      <c r="I36" s="235" t="s">
        <v>949</v>
      </c>
      <c r="J36" s="235" t="s">
        <v>950</v>
      </c>
      <c r="K36" s="235" t="s">
        <v>951</v>
      </c>
      <c r="N36" s="235" t="s">
        <v>127</v>
      </c>
      <c r="O36" s="235" t="s">
        <v>794</v>
      </c>
      <c r="P36" s="238">
        <v>1.0</v>
      </c>
      <c r="Q36" s="235" t="s">
        <v>627</v>
      </c>
      <c r="R36" s="238">
        <v>246.66</v>
      </c>
      <c r="S36" s="238">
        <v>12.34</v>
      </c>
      <c r="T36" s="238">
        <v>0.0</v>
      </c>
      <c r="U36" s="238">
        <v>0.0</v>
      </c>
      <c r="V36" s="238">
        <v>0.0</v>
      </c>
      <c r="W36" s="238">
        <v>0.0</v>
      </c>
      <c r="X36" s="235" t="s">
        <v>628</v>
      </c>
      <c r="Z36" s="244"/>
      <c r="AA36" s="244"/>
      <c r="AB36" s="244"/>
      <c r="AC36" s="235" t="s">
        <v>952</v>
      </c>
      <c r="AD36" s="235" t="s">
        <v>666</v>
      </c>
      <c r="AE36" s="238">
        <v>600085.0</v>
      </c>
      <c r="AF36" s="235" t="s">
        <v>631</v>
      </c>
      <c r="AG36" s="244"/>
      <c r="AH36" s="244"/>
      <c r="AI36" s="245"/>
      <c r="AJ36" s="245"/>
      <c r="AK36" s="245"/>
      <c r="AL36" s="245"/>
      <c r="AM36" s="244"/>
      <c r="AN36" s="244"/>
      <c r="AO36" s="238">
        <v>0.0</v>
      </c>
      <c r="AP36" s="238">
        <v>0.0</v>
      </c>
      <c r="AQ36" s="235" t="s">
        <v>632</v>
      </c>
      <c r="AR36" s="243">
        <v>1.68E11</v>
      </c>
      <c r="AS36" s="235" t="s">
        <v>633</v>
      </c>
      <c r="AT36" s="235" t="s">
        <v>156</v>
      </c>
      <c r="AU36" s="235" t="s">
        <v>634</v>
      </c>
      <c r="AV36" s="246" t="s">
        <v>635</v>
      </c>
      <c r="AW36" s="242"/>
      <c r="AX36" s="242"/>
      <c r="AY36" s="231"/>
      <c r="AZ36" s="231"/>
      <c r="BA36" s="227"/>
      <c r="BB36" s="231"/>
      <c r="BC36" s="227"/>
      <c r="BD36" s="227"/>
      <c r="BE36" s="227"/>
      <c r="BF36" s="227"/>
    </row>
    <row r="37">
      <c r="A37" s="235" t="s">
        <v>955</v>
      </c>
      <c r="C37" s="235" t="s">
        <v>956</v>
      </c>
      <c r="D37" s="235" t="s">
        <v>957</v>
      </c>
      <c r="E37" s="243">
        <v>6.57E13</v>
      </c>
      <c r="F37" s="244"/>
      <c r="G37" s="235" t="s">
        <v>958</v>
      </c>
      <c r="H37" s="235" t="s">
        <v>959</v>
      </c>
      <c r="I37" s="235" t="s">
        <v>959</v>
      </c>
      <c r="J37" s="235" t="s">
        <v>960</v>
      </c>
      <c r="K37" s="235" t="s">
        <v>961</v>
      </c>
      <c r="N37" s="235" t="s">
        <v>962</v>
      </c>
      <c r="O37" s="235" t="s">
        <v>963</v>
      </c>
      <c r="P37" s="238">
        <v>1.0</v>
      </c>
      <c r="Q37" s="235" t="s">
        <v>627</v>
      </c>
      <c r="R37" s="238">
        <v>246.67</v>
      </c>
      <c r="S37" s="238">
        <v>12.33</v>
      </c>
      <c r="T37" s="238">
        <v>0.0</v>
      </c>
      <c r="U37" s="238">
        <v>0.0</v>
      </c>
      <c r="V37" s="238">
        <v>0.0</v>
      </c>
      <c r="W37" s="238">
        <v>0.0</v>
      </c>
      <c r="X37" s="235" t="s">
        <v>628</v>
      </c>
      <c r="Z37" s="244"/>
      <c r="AA37" s="244"/>
      <c r="AB37" s="244"/>
      <c r="AC37" s="235" t="s">
        <v>964</v>
      </c>
      <c r="AD37" s="235" t="s">
        <v>965</v>
      </c>
      <c r="AE37" s="238">
        <v>174101.0</v>
      </c>
      <c r="AF37" s="235" t="s">
        <v>631</v>
      </c>
      <c r="AG37" s="244"/>
      <c r="AH37" s="244"/>
      <c r="AI37" s="245"/>
      <c r="AJ37" s="245"/>
      <c r="AK37" s="245"/>
      <c r="AL37" s="245"/>
      <c r="AM37" s="244"/>
      <c r="AN37" s="244"/>
      <c r="AO37" s="238">
        <v>0.0</v>
      </c>
      <c r="AP37" s="238">
        <v>0.0</v>
      </c>
      <c r="AQ37" s="235" t="s">
        <v>632</v>
      </c>
      <c r="AR37" s="243">
        <v>3.71E11</v>
      </c>
      <c r="AS37" s="235" t="s">
        <v>656</v>
      </c>
      <c r="AT37" s="235" t="s">
        <v>14</v>
      </c>
      <c r="AU37" s="235" t="s">
        <v>634</v>
      </c>
      <c r="AV37" s="246" t="s">
        <v>635</v>
      </c>
      <c r="AW37" s="242"/>
      <c r="AX37" s="242"/>
      <c r="AY37" s="231"/>
      <c r="AZ37" s="231"/>
      <c r="BA37" s="227"/>
      <c r="BB37" s="231"/>
      <c r="BC37" s="227"/>
      <c r="BD37" s="227"/>
      <c r="BE37" s="227"/>
      <c r="BF37" s="227"/>
    </row>
    <row r="38">
      <c r="A38" s="235" t="s">
        <v>966</v>
      </c>
      <c r="C38" s="235" t="s">
        <v>967</v>
      </c>
      <c r="D38" s="235" t="s">
        <v>968</v>
      </c>
      <c r="E38" s="243">
        <v>6.57E13</v>
      </c>
      <c r="F38" s="244"/>
      <c r="G38" s="235" t="s">
        <v>969</v>
      </c>
      <c r="H38" s="235" t="s">
        <v>970</v>
      </c>
      <c r="I38" s="235" t="s">
        <v>970</v>
      </c>
      <c r="J38" s="235" t="s">
        <v>971</v>
      </c>
      <c r="K38" s="235" t="s">
        <v>972</v>
      </c>
      <c r="N38" s="235" t="s">
        <v>962</v>
      </c>
      <c r="O38" s="235" t="s">
        <v>963</v>
      </c>
      <c r="P38" s="238">
        <v>1.0</v>
      </c>
      <c r="Q38" s="235" t="s">
        <v>627</v>
      </c>
      <c r="R38" s="238">
        <v>246.66</v>
      </c>
      <c r="S38" s="238">
        <v>12.34</v>
      </c>
      <c r="T38" s="238">
        <v>0.0</v>
      </c>
      <c r="U38" s="238">
        <v>0.0</v>
      </c>
      <c r="V38" s="238">
        <v>0.0</v>
      </c>
      <c r="W38" s="238">
        <v>0.0</v>
      </c>
      <c r="X38" s="235" t="s">
        <v>628</v>
      </c>
      <c r="Z38" s="244"/>
      <c r="AA38" s="244"/>
      <c r="AB38" s="244"/>
      <c r="AC38" s="235" t="s">
        <v>687</v>
      </c>
      <c r="AD38" s="235" t="s">
        <v>666</v>
      </c>
      <c r="AE38" s="238">
        <v>600076.0</v>
      </c>
      <c r="AF38" s="235" t="s">
        <v>631</v>
      </c>
      <c r="AG38" s="244"/>
      <c r="AH38" s="244"/>
      <c r="AI38" s="245"/>
      <c r="AJ38" s="245"/>
      <c r="AK38" s="245"/>
      <c r="AL38" s="245"/>
      <c r="AM38" s="244"/>
      <c r="AN38" s="244"/>
      <c r="AO38" s="238">
        <v>0.0</v>
      </c>
      <c r="AP38" s="238">
        <v>0.0</v>
      </c>
      <c r="AQ38" s="235" t="s">
        <v>632</v>
      </c>
      <c r="AR38" s="243">
        <v>1.68E11</v>
      </c>
      <c r="AS38" s="235" t="s">
        <v>633</v>
      </c>
      <c r="AT38" s="235" t="s">
        <v>156</v>
      </c>
      <c r="AU38" s="235" t="s">
        <v>634</v>
      </c>
      <c r="AV38" s="246" t="s">
        <v>635</v>
      </c>
      <c r="AW38" s="242"/>
      <c r="AX38" s="242"/>
      <c r="AY38" s="231"/>
      <c r="AZ38" s="231"/>
      <c r="BA38" s="227"/>
      <c r="BB38" s="231"/>
      <c r="BC38" s="227"/>
      <c r="BD38" s="227"/>
      <c r="BE38" s="227"/>
      <c r="BF38" s="227"/>
    </row>
    <row r="39">
      <c r="A39" s="235" t="s">
        <v>975</v>
      </c>
      <c r="C39" s="235" t="s">
        <v>976</v>
      </c>
      <c r="D39" s="235" t="s">
        <v>977</v>
      </c>
      <c r="E39" s="243">
        <v>6.58E13</v>
      </c>
      <c r="F39" s="244"/>
      <c r="G39" s="235" t="s">
        <v>978</v>
      </c>
      <c r="H39" s="235" t="s">
        <v>979</v>
      </c>
      <c r="I39" s="235" t="s">
        <v>979</v>
      </c>
      <c r="J39" s="235" t="s">
        <v>980</v>
      </c>
      <c r="K39" s="235" t="s">
        <v>981</v>
      </c>
      <c r="N39" s="235" t="s">
        <v>41</v>
      </c>
      <c r="O39" s="235" t="s">
        <v>291</v>
      </c>
      <c r="P39" s="238">
        <v>1.0</v>
      </c>
      <c r="Q39" s="235" t="s">
        <v>627</v>
      </c>
      <c r="R39" s="238">
        <v>237.14</v>
      </c>
      <c r="S39" s="238">
        <v>11.86</v>
      </c>
      <c r="T39" s="238">
        <v>0.0</v>
      </c>
      <c r="U39" s="238">
        <v>0.0</v>
      </c>
      <c r="V39" s="238">
        <v>0.0</v>
      </c>
      <c r="W39" s="238">
        <v>0.0</v>
      </c>
      <c r="X39" s="235" t="s">
        <v>628</v>
      </c>
      <c r="Z39" s="244"/>
      <c r="AA39" s="244"/>
      <c r="AB39" s="244"/>
      <c r="AC39" s="235" t="s">
        <v>687</v>
      </c>
      <c r="AD39" s="235" t="s">
        <v>666</v>
      </c>
      <c r="AE39" s="238">
        <v>600119.0</v>
      </c>
      <c r="AF39" s="235" t="s">
        <v>631</v>
      </c>
      <c r="AG39" s="244"/>
      <c r="AH39" s="244"/>
      <c r="AI39" s="245"/>
      <c r="AJ39" s="245"/>
      <c r="AK39" s="245"/>
      <c r="AL39" s="245"/>
      <c r="AM39" s="244"/>
      <c r="AN39" s="244"/>
      <c r="AO39" s="238">
        <v>0.0</v>
      </c>
      <c r="AP39" s="238">
        <v>0.0</v>
      </c>
      <c r="AQ39" s="235" t="s">
        <v>632</v>
      </c>
      <c r="AR39" s="243">
        <v>3.71E11</v>
      </c>
      <c r="AS39" s="235" t="s">
        <v>667</v>
      </c>
      <c r="AT39" s="235" t="s">
        <v>156</v>
      </c>
      <c r="AU39" s="235" t="s">
        <v>634</v>
      </c>
      <c r="AV39" s="246" t="s">
        <v>635</v>
      </c>
      <c r="AW39" s="242"/>
      <c r="AX39" s="242"/>
      <c r="AY39" s="231"/>
      <c r="AZ39" s="231"/>
      <c r="BA39" s="227"/>
      <c r="BB39" s="231"/>
      <c r="BC39" s="227"/>
      <c r="BD39" s="227"/>
      <c r="BE39" s="227"/>
      <c r="BF39" s="227"/>
    </row>
    <row r="40">
      <c r="A40" s="235" t="s">
        <v>982</v>
      </c>
      <c r="C40" s="235" t="s">
        <v>983</v>
      </c>
      <c r="D40" s="235" t="s">
        <v>984</v>
      </c>
      <c r="E40" s="243">
        <v>6.57E13</v>
      </c>
      <c r="F40" s="244"/>
      <c r="G40" s="235" t="s">
        <v>985</v>
      </c>
      <c r="H40" s="235" t="s">
        <v>986</v>
      </c>
      <c r="I40" s="235" t="s">
        <v>986</v>
      </c>
      <c r="J40" s="235" t="s">
        <v>987</v>
      </c>
      <c r="K40" s="235" t="s">
        <v>988</v>
      </c>
      <c r="N40" s="235" t="s">
        <v>989</v>
      </c>
      <c r="O40" s="235" t="s">
        <v>990</v>
      </c>
      <c r="P40" s="238">
        <v>1.0</v>
      </c>
      <c r="Q40" s="235" t="s">
        <v>627</v>
      </c>
      <c r="R40" s="238">
        <v>256.2</v>
      </c>
      <c r="S40" s="238">
        <v>12.8</v>
      </c>
      <c r="T40" s="238">
        <v>0.0</v>
      </c>
      <c r="U40" s="238">
        <v>0.0</v>
      </c>
      <c r="V40" s="238">
        <v>0.0</v>
      </c>
      <c r="W40" s="238">
        <v>0.0</v>
      </c>
      <c r="X40" s="235" t="s">
        <v>628</v>
      </c>
      <c r="Z40" s="244"/>
      <c r="AA40" s="244"/>
      <c r="AB40" s="244"/>
      <c r="AC40" s="235" t="s">
        <v>991</v>
      </c>
      <c r="AD40" s="235" t="s">
        <v>845</v>
      </c>
      <c r="AE40" s="238">
        <v>416003.0</v>
      </c>
      <c r="AF40" s="235" t="s">
        <v>631</v>
      </c>
      <c r="AG40" s="244"/>
      <c r="AH40" s="244"/>
      <c r="AI40" s="245"/>
      <c r="AJ40" s="245"/>
      <c r="AK40" s="245"/>
      <c r="AL40" s="245"/>
      <c r="AM40" s="244"/>
      <c r="AN40" s="244"/>
      <c r="AO40" s="238">
        <v>0.0</v>
      </c>
      <c r="AP40" s="238">
        <v>0.0</v>
      </c>
      <c r="AQ40" s="235" t="s">
        <v>632</v>
      </c>
      <c r="AR40" s="243">
        <v>3.71E11</v>
      </c>
      <c r="AS40" s="235" t="s">
        <v>656</v>
      </c>
      <c r="AT40" s="235" t="s">
        <v>16</v>
      </c>
      <c r="AU40" s="235" t="s">
        <v>634</v>
      </c>
      <c r="AV40" s="246" t="s">
        <v>635</v>
      </c>
      <c r="AW40" s="242"/>
      <c r="AX40" s="242"/>
      <c r="AY40" s="231"/>
      <c r="AZ40" s="231"/>
      <c r="BA40" s="227"/>
      <c r="BB40" s="231"/>
      <c r="BC40" s="227"/>
      <c r="BD40" s="227"/>
      <c r="BE40" s="227"/>
      <c r="BF40" s="227"/>
    </row>
    <row r="41">
      <c r="A41" s="235" t="s">
        <v>992</v>
      </c>
      <c r="C41" s="235" t="s">
        <v>993</v>
      </c>
      <c r="D41" s="235" t="s">
        <v>994</v>
      </c>
      <c r="E41" s="243">
        <v>6.58E13</v>
      </c>
      <c r="F41" s="244"/>
      <c r="G41" s="235" t="s">
        <v>995</v>
      </c>
      <c r="H41" s="235" t="s">
        <v>996</v>
      </c>
      <c r="I41" s="235" t="s">
        <v>996</v>
      </c>
      <c r="J41" s="235" t="s">
        <v>997</v>
      </c>
      <c r="K41" s="235" t="s">
        <v>998</v>
      </c>
      <c r="N41" s="235" t="s">
        <v>42</v>
      </c>
      <c r="O41" s="235" t="s">
        <v>204</v>
      </c>
      <c r="P41" s="238">
        <v>1.0</v>
      </c>
      <c r="Q41" s="235" t="s">
        <v>627</v>
      </c>
      <c r="R41" s="238">
        <v>237.14</v>
      </c>
      <c r="S41" s="238">
        <v>11.86</v>
      </c>
      <c r="T41" s="238">
        <v>0.0</v>
      </c>
      <c r="U41" s="238">
        <v>0.0</v>
      </c>
      <c r="V41" s="238">
        <v>0.0</v>
      </c>
      <c r="W41" s="238">
        <v>0.0</v>
      </c>
      <c r="X41" s="235" t="s">
        <v>628</v>
      </c>
      <c r="Z41" s="244"/>
      <c r="AA41" s="244"/>
      <c r="AB41" s="244"/>
      <c r="AC41" s="235" t="s">
        <v>687</v>
      </c>
      <c r="AD41" s="235" t="s">
        <v>666</v>
      </c>
      <c r="AE41" s="238">
        <v>600126.0</v>
      </c>
      <c r="AF41" s="235" t="s">
        <v>631</v>
      </c>
      <c r="AG41" s="244"/>
      <c r="AH41" s="244"/>
      <c r="AI41" s="245"/>
      <c r="AJ41" s="245"/>
      <c r="AK41" s="245"/>
      <c r="AL41" s="245"/>
      <c r="AM41" s="244"/>
      <c r="AN41" s="244"/>
      <c r="AO41" s="238">
        <v>0.0</v>
      </c>
      <c r="AP41" s="238">
        <v>0.0</v>
      </c>
      <c r="AQ41" s="235" t="s">
        <v>632</v>
      </c>
      <c r="AR41" s="243">
        <v>3.71E11</v>
      </c>
      <c r="AS41" s="235" t="s">
        <v>667</v>
      </c>
      <c r="AT41" s="235" t="s">
        <v>156</v>
      </c>
      <c r="AU41" s="235" t="s">
        <v>634</v>
      </c>
      <c r="AV41" s="246" t="s">
        <v>635</v>
      </c>
      <c r="AW41" s="242"/>
      <c r="AX41" s="242"/>
      <c r="AY41" s="231"/>
      <c r="AZ41" s="231"/>
      <c r="BA41" s="227"/>
      <c r="BB41" s="231"/>
      <c r="BC41" s="227"/>
      <c r="BD41" s="227"/>
      <c r="BE41" s="227"/>
      <c r="BF41" s="227"/>
    </row>
    <row r="42">
      <c r="A42" s="235" t="s">
        <v>999</v>
      </c>
      <c r="C42" s="235" t="s">
        <v>1000</v>
      </c>
      <c r="D42" s="235" t="s">
        <v>1001</v>
      </c>
      <c r="E42" s="243">
        <v>6.58E13</v>
      </c>
      <c r="F42" s="244"/>
      <c r="G42" s="235" t="s">
        <v>1002</v>
      </c>
      <c r="H42" s="235" t="s">
        <v>1003</v>
      </c>
      <c r="I42" s="235" t="s">
        <v>1003</v>
      </c>
      <c r="J42" s="235" t="s">
        <v>1004</v>
      </c>
      <c r="K42" s="235" t="s">
        <v>1005</v>
      </c>
      <c r="N42" s="235" t="s">
        <v>148</v>
      </c>
      <c r="O42" s="235" t="s">
        <v>1006</v>
      </c>
      <c r="P42" s="238">
        <v>1.0</v>
      </c>
      <c r="Q42" s="235" t="s">
        <v>627</v>
      </c>
      <c r="R42" s="238">
        <v>283.8</v>
      </c>
      <c r="S42" s="238">
        <v>14.2</v>
      </c>
      <c r="T42" s="238">
        <v>75.24</v>
      </c>
      <c r="U42" s="238">
        <v>3.76</v>
      </c>
      <c r="V42" s="238">
        <v>0.0</v>
      </c>
      <c r="W42" s="238">
        <v>0.0</v>
      </c>
      <c r="X42" s="235" t="s">
        <v>628</v>
      </c>
      <c r="Z42" s="244"/>
      <c r="AA42" s="244"/>
      <c r="AB42" s="244"/>
      <c r="AC42" s="235" t="s">
        <v>1007</v>
      </c>
      <c r="AD42" s="235" t="s">
        <v>666</v>
      </c>
      <c r="AE42" s="238">
        <v>614625.0</v>
      </c>
      <c r="AF42" s="235" t="s">
        <v>631</v>
      </c>
      <c r="AG42" s="244"/>
      <c r="AH42" s="244"/>
      <c r="AI42" s="245"/>
      <c r="AJ42" s="245"/>
      <c r="AK42" s="245"/>
      <c r="AL42" s="245"/>
      <c r="AM42" s="244"/>
      <c r="AN42" s="244"/>
      <c r="AO42" s="238">
        <v>0.0</v>
      </c>
      <c r="AP42" s="238">
        <v>0.0</v>
      </c>
      <c r="AQ42" s="235" t="s">
        <v>632</v>
      </c>
      <c r="AR42" s="243">
        <v>3.71E11</v>
      </c>
      <c r="AS42" s="235" t="s">
        <v>667</v>
      </c>
      <c r="AT42" s="235" t="s">
        <v>155</v>
      </c>
      <c r="AU42" s="235" t="s">
        <v>634</v>
      </c>
      <c r="AV42" s="246" t="s">
        <v>635</v>
      </c>
      <c r="AW42" s="242"/>
      <c r="AX42" s="242"/>
      <c r="AY42" s="231"/>
      <c r="AZ42" s="231"/>
      <c r="BA42" s="227"/>
      <c r="BB42" s="231"/>
      <c r="BC42" s="227"/>
      <c r="BD42" s="227"/>
      <c r="BE42" s="227"/>
      <c r="BF42" s="227"/>
    </row>
    <row r="43">
      <c r="A43" s="235" t="s">
        <v>1010</v>
      </c>
      <c r="C43" s="235" t="s">
        <v>1011</v>
      </c>
      <c r="D43" s="235" t="s">
        <v>1012</v>
      </c>
      <c r="E43" s="243">
        <v>6.58E13</v>
      </c>
      <c r="F43" s="244"/>
      <c r="G43" s="235" t="s">
        <v>1013</v>
      </c>
      <c r="H43" s="235" t="s">
        <v>1014</v>
      </c>
      <c r="I43" s="235" t="s">
        <v>1014</v>
      </c>
      <c r="J43" s="235" t="s">
        <v>1015</v>
      </c>
      <c r="K43" s="235" t="s">
        <v>1016</v>
      </c>
      <c r="N43" s="235" t="s">
        <v>92</v>
      </c>
      <c r="O43" s="235" t="s">
        <v>248</v>
      </c>
      <c r="P43" s="238">
        <v>1.0</v>
      </c>
      <c r="Q43" s="235" t="s">
        <v>627</v>
      </c>
      <c r="R43" s="238">
        <v>246.67</v>
      </c>
      <c r="S43" s="238">
        <v>12.33</v>
      </c>
      <c r="T43" s="238">
        <v>0.0</v>
      </c>
      <c r="U43" s="238">
        <v>0.0</v>
      </c>
      <c r="V43" s="238">
        <v>0.0</v>
      </c>
      <c r="W43" s="238">
        <v>0.0</v>
      </c>
      <c r="X43" s="235" t="s">
        <v>628</v>
      </c>
      <c r="Z43" s="244"/>
      <c r="AA43" s="244"/>
      <c r="AB43" s="244"/>
      <c r="AC43" s="235" t="s">
        <v>697</v>
      </c>
      <c r="AD43" s="235" t="s">
        <v>698</v>
      </c>
      <c r="AE43" s="238">
        <v>502032.0</v>
      </c>
      <c r="AF43" s="235" t="s">
        <v>631</v>
      </c>
      <c r="AG43" s="244"/>
      <c r="AH43" s="244"/>
      <c r="AI43" s="245"/>
      <c r="AJ43" s="245"/>
      <c r="AK43" s="245"/>
      <c r="AL43" s="245"/>
      <c r="AM43" s="244"/>
      <c r="AN43" s="244"/>
      <c r="AO43" s="238">
        <v>0.0</v>
      </c>
      <c r="AP43" s="238">
        <v>0.0</v>
      </c>
      <c r="AQ43" s="235" t="s">
        <v>632</v>
      </c>
      <c r="AR43" s="243">
        <v>3.71E11</v>
      </c>
      <c r="AS43" s="235" t="s">
        <v>656</v>
      </c>
      <c r="AT43" s="235" t="s">
        <v>546</v>
      </c>
      <c r="AU43" s="235" t="s">
        <v>634</v>
      </c>
      <c r="AV43" s="246" t="s">
        <v>635</v>
      </c>
      <c r="AW43" s="242"/>
      <c r="AX43" s="242"/>
      <c r="AY43" s="231"/>
      <c r="AZ43" s="231"/>
      <c r="BA43" s="227"/>
      <c r="BB43" s="231"/>
      <c r="BC43" s="227"/>
      <c r="BD43" s="227"/>
      <c r="BE43" s="227"/>
      <c r="BF43" s="227"/>
    </row>
    <row r="44">
      <c r="A44" s="235" t="s">
        <v>1017</v>
      </c>
      <c r="C44" s="235" t="s">
        <v>1018</v>
      </c>
      <c r="D44" s="235" t="s">
        <v>1019</v>
      </c>
      <c r="E44" s="243">
        <v>6.57E13</v>
      </c>
      <c r="F44" s="244"/>
      <c r="G44" s="235" t="s">
        <v>1020</v>
      </c>
      <c r="H44" s="235" t="s">
        <v>1021</v>
      </c>
      <c r="I44" s="235" t="s">
        <v>1022</v>
      </c>
      <c r="J44" s="235" t="s">
        <v>1023</v>
      </c>
      <c r="K44" s="235" t="s">
        <v>1024</v>
      </c>
      <c r="N44" s="235" t="s">
        <v>51</v>
      </c>
      <c r="O44" s="235" t="s">
        <v>273</v>
      </c>
      <c r="P44" s="238">
        <v>1.0</v>
      </c>
      <c r="Q44" s="235" t="s">
        <v>627</v>
      </c>
      <c r="R44" s="238">
        <v>237.14</v>
      </c>
      <c r="S44" s="238">
        <v>11.86</v>
      </c>
      <c r="T44" s="238">
        <v>18.1</v>
      </c>
      <c r="U44" s="238">
        <v>0.9</v>
      </c>
      <c r="V44" s="238">
        <v>0.0</v>
      </c>
      <c r="W44" s="238">
        <v>0.0</v>
      </c>
      <c r="X44" s="235" t="s">
        <v>628</v>
      </c>
      <c r="Z44" s="244"/>
      <c r="AA44" s="244"/>
      <c r="AB44" s="244"/>
      <c r="AC44" s="235" t="s">
        <v>687</v>
      </c>
      <c r="AD44" s="235" t="s">
        <v>666</v>
      </c>
      <c r="AE44" s="238">
        <v>600078.0</v>
      </c>
      <c r="AF44" s="235" t="s">
        <v>631</v>
      </c>
      <c r="AG44" s="244"/>
      <c r="AH44" s="244"/>
      <c r="AI44" s="245"/>
      <c r="AJ44" s="245"/>
      <c r="AK44" s="245"/>
      <c r="AL44" s="245"/>
      <c r="AM44" s="244"/>
      <c r="AN44" s="244"/>
      <c r="AO44" s="238">
        <v>0.0</v>
      </c>
      <c r="AP44" s="238">
        <v>-18.1</v>
      </c>
      <c r="AQ44" s="235" t="s">
        <v>632</v>
      </c>
      <c r="AR44" s="243">
        <v>1.68E11</v>
      </c>
      <c r="AS44" s="235" t="s">
        <v>633</v>
      </c>
      <c r="AT44" s="235" t="s">
        <v>156</v>
      </c>
      <c r="AU44" s="235" t="s">
        <v>634</v>
      </c>
      <c r="AV44" s="246" t="s">
        <v>635</v>
      </c>
      <c r="AW44" s="242"/>
      <c r="AX44" s="242"/>
      <c r="AY44" s="231"/>
      <c r="AZ44" s="231"/>
      <c r="BA44" s="227"/>
      <c r="BB44" s="231"/>
      <c r="BC44" s="227"/>
      <c r="BD44" s="227"/>
      <c r="BE44" s="227"/>
      <c r="BF44" s="227"/>
    </row>
    <row r="45">
      <c r="A45" s="235" t="s">
        <v>1025</v>
      </c>
      <c r="C45" s="235" t="s">
        <v>1026</v>
      </c>
      <c r="D45" s="235" t="s">
        <v>1027</v>
      </c>
      <c r="E45" s="243">
        <v>6.58E13</v>
      </c>
      <c r="F45" s="244"/>
      <c r="G45" s="235" t="s">
        <v>1028</v>
      </c>
      <c r="H45" s="235" t="s">
        <v>1029</v>
      </c>
      <c r="I45" s="235" t="s">
        <v>1029</v>
      </c>
      <c r="J45" s="235" t="s">
        <v>1030</v>
      </c>
      <c r="K45" s="235" t="s">
        <v>1031</v>
      </c>
      <c r="N45" s="235" t="s">
        <v>130</v>
      </c>
      <c r="O45" s="235" t="s">
        <v>707</v>
      </c>
      <c r="P45" s="238">
        <v>1.0</v>
      </c>
      <c r="Q45" s="235" t="s">
        <v>627</v>
      </c>
      <c r="R45" s="238">
        <v>246.67</v>
      </c>
      <c r="S45" s="238">
        <v>12.33</v>
      </c>
      <c r="T45" s="238">
        <v>38.1</v>
      </c>
      <c r="U45" s="238">
        <v>1.9</v>
      </c>
      <c r="V45" s="238">
        <v>0.0</v>
      </c>
      <c r="W45" s="238">
        <v>0.0</v>
      </c>
      <c r="X45" s="235" t="s">
        <v>628</v>
      </c>
      <c r="Z45" s="244"/>
      <c r="AA45" s="244"/>
      <c r="AB45" s="244"/>
      <c r="AC45" s="235" t="s">
        <v>1032</v>
      </c>
      <c r="AD45" s="235" t="s">
        <v>630</v>
      </c>
      <c r="AE45" s="238">
        <v>243003.0</v>
      </c>
      <c r="AF45" s="235" t="s">
        <v>631</v>
      </c>
      <c r="AG45" s="244"/>
      <c r="AH45" s="244"/>
      <c r="AI45" s="245"/>
      <c r="AJ45" s="245"/>
      <c r="AK45" s="245"/>
      <c r="AL45" s="245"/>
      <c r="AM45" s="244"/>
      <c r="AN45" s="244"/>
      <c r="AO45" s="238">
        <v>0.0</v>
      </c>
      <c r="AP45" s="238">
        <v>-38.1</v>
      </c>
      <c r="AQ45" s="235" t="s">
        <v>632</v>
      </c>
      <c r="AR45" s="243">
        <v>3.71E11</v>
      </c>
      <c r="AS45" s="235" t="s">
        <v>656</v>
      </c>
      <c r="AT45" s="235" t="s">
        <v>13</v>
      </c>
      <c r="AU45" s="235" t="s">
        <v>634</v>
      </c>
      <c r="AV45" s="246" t="s">
        <v>635</v>
      </c>
      <c r="AW45" s="242"/>
      <c r="AX45" s="242"/>
      <c r="AY45" s="231"/>
      <c r="AZ45" s="231"/>
      <c r="BA45" s="227"/>
      <c r="BB45" s="231"/>
      <c r="BC45" s="227"/>
      <c r="BD45" s="227"/>
      <c r="BE45" s="227"/>
      <c r="BF45" s="227"/>
    </row>
    <row r="46">
      <c r="A46" s="235" t="s">
        <v>1033</v>
      </c>
      <c r="C46" s="235" t="s">
        <v>1034</v>
      </c>
      <c r="D46" s="235" t="s">
        <v>1035</v>
      </c>
      <c r="E46" s="243">
        <v>6.58E13</v>
      </c>
      <c r="F46" s="244"/>
      <c r="G46" s="235" t="s">
        <v>1036</v>
      </c>
      <c r="H46" s="235" t="s">
        <v>1037</v>
      </c>
      <c r="I46" s="235" t="s">
        <v>1037</v>
      </c>
      <c r="J46" s="235" t="s">
        <v>1038</v>
      </c>
      <c r="K46" s="235" t="s">
        <v>1039</v>
      </c>
      <c r="N46" s="235" t="s">
        <v>90</v>
      </c>
      <c r="O46" s="235" t="s">
        <v>279</v>
      </c>
      <c r="P46" s="238">
        <v>1.0</v>
      </c>
      <c r="Q46" s="235" t="s">
        <v>627</v>
      </c>
      <c r="R46" s="238">
        <v>246.67</v>
      </c>
      <c r="S46" s="238">
        <v>12.33</v>
      </c>
      <c r="T46" s="238">
        <v>0.0</v>
      </c>
      <c r="U46" s="238">
        <v>0.0</v>
      </c>
      <c r="V46" s="238">
        <v>0.0</v>
      </c>
      <c r="W46" s="238">
        <v>0.0</v>
      </c>
      <c r="X46" s="235" t="s">
        <v>628</v>
      </c>
      <c r="Z46" s="244"/>
      <c r="AA46" s="244"/>
      <c r="AB46" s="244"/>
      <c r="AC46" s="235" t="s">
        <v>785</v>
      </c>
      <c r="AD46" s="235" t="s">
        <v>630</v>
      </c>
      <c r="AE46" s="238">
        <v>201016.0</v>
      </c>
      <c r="AF46" s="235" t="s">
        <v>631</v>
      </c>
      <c r="AG46" s="244"/>
      <c r="AH46" s="244"/>
      <c r="AI46" s="245"/>
      <c r="AJ46" s="245"/>
      <c r="AK46" s="245"/>
      <c r="AL46" s="245"/>
      <c r="AM46" s="244"/>
      <c r="AN46" s="244"/>
      <c r="AO46" s="238">
        <v>0.0</v>
      </c>
      <c r="AP46" s="238">
        <v>0.0</v>
      </c>
      <c r="AQ46" s="235" t="s">
        <v>632</v>
      </c>
      <c r="AR46" s="243">
        <v>3.71E11</v>
      </c>
      <c r="AS46" s="235" t="s">
        <v>667</v>
      </c>
      <c r="AT46" s="235" t="s">
        <v>13</v>
      </c>
      <c r="AU46" s="235" t="s">
        <v>634</v>
      </c>
      <c r="AV46" s="246" t="s">
        <v>635</v>
      </c>
      <c r="AW46" s="242"/>
      <c r="AX46" s="242"/>
      <c r="AY46" s="231"/>
      <c r="AZ46" s="231"/>
      <c r="BA46" s="227"/>
      <c r="BB46" s="231"/>
      <c r="BC46" s="227"/>
      <c r="BD46" s="227"/>
      <c r="BE46" s="227"/>
      <c r="BF46" s="227"/>
    </row>
    <row r="47">
      <c r="A47" s="235" t="s">
        <v>1040</v>
      </c>
      <c r="C47" s="235" t="s">
        <v>1041</v>
      </c>
      <c r="D47" s="235" t="s">
        <v>1042</v>
      </c>
      <c r="E47" s="243">
        <v>6.57E13</v>
      </c>
      <c r="F47" s="244"/>
      <c r="G47" s="235" t="s">
        <v>1043</v>
      </c>
      <c r="H47" s="235" t="s">
        <v>1044</v>
      </c>
      <c r="I47" s="235" t="s">
        <v>1044</v>
      </c>
      <c r="J47" s="235" t="s">
        <v>1045</v>
      </c>
      <c r="K47" s="235" t="s">
        <v>1046</v>
      </c>
      <c r="N47" s="235" t="s">
        <v>68</v>
      </c>
      <c r="O47" s="235" t="s">
        <v>208</v>
      </c>
      <c r="P47" s="238">
        <v>1.0</v>
      </c>
      <c r="Q47" s="235" t="s">
        <v>627</v>
      </c>
      <c r="R47" s="238">
        <v>246.66</v>
      </c>
      <c r="S47" s="238">
        <v>12.34</v>
      </c>
      <c r="T47" s="238">
        <v>0.0</v>
      </c>
      <c r="U47" s="238">
        <v>0.0</v>
      </c>
      <c r="V47" s="238">
        <v>0.0</v>
      </c>
      <c r="W47" s="238">
        <v>0.0</v>
      </c>
      <c r="X47" s="235" t="s">
        <v>628</v>
      </c>
      <c r="Z47" s="244"/>
      <c r="AA47" s="244"/>
      <c r="AB47" s="244"/>
      <c r="AC47" s="235" t="s">
        <v>1049</v>
      </c>
      <c r="AD47" s="235" t="s">
        <v>666</v>
      </c>
      <c r="AE47" s="238">
        <v>631006.0</v>
      </c>
      <c r="AF47" s="235" t="s">
        <v>631</v>
      </c>
      <c r="AG47" s="244"/>
      <c r="AH47" s="244"/>
      <c r="AI47" s="245"/>
      <c r="AJ47" s="245"/>
      <c r="AK47" s="245"/>
      <c r="AL47" s="245"/>
      <c r="AM47" s="244"/>
      <c r="AN47" s="244"/>
      <c r="AO47" s="238">
        <v>0.0</v>
      </c>
      <c r="AP47" s="238">
        <v>0.0</v>
      </c>
      <c r="AQ47" s="235" t="s">
        <v>632</v>
      </c>
      <c r="AR47" s="243">
        <v>3.71E11</v>
      </c>
      <c r="AS47" s="235" t="s">
        <v>667</v>
      </c>
      <c r="AT47" s="235" t="s">
        <v>156</v>
      </c>
      <c r="AU47" s="235" t="s">
        <v>634</v>
      </c>
      <c r="AV47" s="246" t="s">
        <v>635</v>
      </c>
      <c r="AW47" s="242"/>
      <c r="AX47" s="242"/>
      <c r="AY47" s="231"/>
      <c r="AZ47" s="231"/>
      <c r="BA47" s="227"/>
      <c r="BB47" s="227"/>
      <c r="BC47" s="227"/>
      <c r="BD47" s="227"/>
      <c r="BE47" s="227"/>
      <c r="BF47" s="227"/>
    </row>
    <row r="48">
      <c r="A48" s="235" t="s">
        <v>1051</v>
      </c>
      <c r="C48" s="235" t="s">
        <v>1052</v>
      </c>
      <c r="D48" s="235" t="s">
        <v>1053</v>
      </c>
      <c r="E48" s="243">
        <v>6.56E13</v>
      </c>
      <c r="F48" s="244"/>
      <c r="G48" s="235" t="s">
        <v>1054</v>
      </c>
      <c r="H48" s="235" t="s">
        <v>1055</v>
      </c>
      <c r="I48" s="235" t="s">
        <v>1055</v>
      </c>
      <c r="J48" s="235" t="s">
        <v>1056</v>
      </c>
      <c r="K48" s="235" t="s">
        <v>1057</v>
      </c>
      <c r="N48" s="235" t="s">
        <v>68</v>
      </c>
      <c r="O48" s="235" t="s">
        <v>208</v>
      </c>
      <c r="P48" s="238">
        <v>1.0</v>
      </c>
      <c r="Q48" s="235" t="s">
        <v>627</v>
      </c>
      <c r="R48" s="238">
        <v>246.66</v>
      </c>
      <c r="S48" s="238">
        <v>12.34</v>
      </c>
      <c r="T48" s="238">
        <v>38.1</v>
      </c>
      <c r="U48" s="238">
        <v>1.9</v>
      </c>
      <c r="V48" s="238">
        <v>0.0</v>
      </c>
      <c r="W48" s="238">
        <v>0.0</v>
      </c>
      <c r="X48" s="235" t="s">
        <v>628</v>
      </c>
      <c r="Z48" s="244"/>
      <c r="AA48" s="244"/>
      <c r="AB48" s="244"/>
      <c r="AC48" s="235" t="s">
        <v>1058</v>
      </c>
      <c r="AD48" s="235" t="s">
        <v>845</v>
      </c>
      <c r="AE48" s="238">
        <v>400053.0</v>
      </c>
      <c r="AF48" s="235" t="s">
        <v>631</v>
      </c>
      <c r="AG48" s="244"/>
      <c r="AH48" s="244"/>
      <c r="AI48" s="245"/>
      <c r="AJ48" s="245"/>
      <c r="AK48" s="245"/>
      <c r="AL48" s="245"/>
      <c r="AM48" s="244"/>
      <c r="AN48" s="244"/>
      <c r="AO48" s="238">
        <v>0.0</v>
      </c>
      <c r="AP48" s="238">
        <v>-38.1</v>
      </c>
      <c r="AQ48" s="235" t="s">
        <v>632</v>
      </c>
      <c r="AR48" s="243">
        <v>3.71E11</v>
      </c>
      <c r="AS48" s="235" t="s">
        <v>667</v>
      </c>
      <c r="AT48" s="235" t="s">
        <v>17</v>
      </c>
      <c r="AU48" s="235" t="s">
        <v>634</v>
      </c>
      <c r="AV48" s="246" t="s">
        <v>635</v>
      </c>
      <c r="AW48" s="242"/>
      <c r="AX48" s="242"/>
      <c r="AY48" s="231"/>
      <c r="AZ48" s="231"/>
      <c r="BA48" s="227"/>
      <c r="BB48" s="231"/>
      <c r="BC48" s="227"/>
      <c r="BD48" s="227"/>
      <c r="BE48" s="227"/>
      <c r="BF48" s="227"/>
    </row>
    <row r="49">
      <c r="A49" s="235" t="s">
        <v>1059</v>
      </c>
      <c r="C49" s="235" t="s">
        <v>1060</v>
      </c>
      <c r="D49" s="235" t="s">
        <v>1061</v>
      </c>
      <c r="E49" s="243">
        <v>6.57E13</v>
      </c>
      <c r="F49" s="244"/>
      <c r="G49" s="235" t="s">
        <v>1062</v>
      </c>
      <c r="H49" s="235" t="s">
        <v>1063</v>
      </c>
      <c r="I49" s="235" t="s">
        <v>1064</v>
      </c>
      <c r="J49" s="235" t="s">
        <v>1065</v>
      </c>
      <c r="K49" s="235" t="s">
        <v>1066</v>
      </c>
      <c r="N49" s="235" t="s">
        <v>130</v>
      </c>
      <c r="O49" s="235" t="s">
        <v>707</v>
      </c>
      <c r="P49" s="238">
        <v>1.0</v>
      </c>
      <c r="Q49" s="235" t="s">
        <v>627</v>
      </c>
      <c r="R49" s="238">
        <v>246.66</v>
      </c>
      <c r="S49" s="238">
        <v>12.34</v>
      </c>
      <c r="T49" s="238">
        <v>0.0</v>
      </c>
      <c r="U49" s="238">
        <v>0.0</v>
      </c>
      <c r="V49" s="238">
        <v>0.0</v>
      </c>
      <c r="W49" s="238">
        <v>0.0</v>
      </c>
      <c r="X49" s="235" t="s">
        <v>628</v>
      </c>
      <c r="Z49" s="244"/>
      <c r="AA49" s="244"/>
      <c r="AB49" s="244"/>
      <c r="AC49" s="235" t="s">
        <v>687</v>
      </c>
      <c r="AD49" s="235" t="s">
        <v>666</v>
      </c>
      <c r="AE49" s="238">
        <v>600128.0</v>
      </c>
      <c r="AF49" s="235" t="s">
        <v>631</v>
      </c>
      <c r="AG49" s="244"/>
      <c r="AH49" s="244"/>
      <c r="AI49" s="245"/>
      <c r="AJ49" s="245"/>
      <c r="AK49" s="245"/>
      <c r="AL49" s="245"/>
      <c r="AM49" s="244"/>
      <c r="AN49" s="244"/>
      <c r="AO49" s="238">
        <v>0.0</v>
      </c>
      <c r="AP49" s="238">
        <v>0.0</v>
      </c>
      <c r="AQ49" s="235" t="s">
        <v>632</v>
      </c>
      <c r="AR49" s="243">
        <v>1.68E11</v>
      </c>
      <c r="AS49" s="235" t="s">
        <v>633</v>
      </c>
      <c r="AT49" s="235" t="s">
        <v>156</v>
      </c>
      <c r="AU49" s="235" t="s">
        <v>634</v>
      </c>
      <c r="AV49" s="246" t="s">
        <v>635</v>
      </c>
      <c r="AW49" s="242"/>
      <c r="AX49" s="242"/>
      <c r="AY49" s="231"/>
      <c r="AZ49" s="231"/>
      <c r="BA49" s="227"/>
      <c r="BB49" s="231"/>
      <c r="BC49" s="227"/>
      <c r="BD49" s="227"/>
      <c r="BE49" s="227"/>
      <c r="BF49" s="227"/>
    </row>
    <row r="50">
      <c r="A50" s="235" t="s">
        <v>1069</v>
      </c>
      <c r="C50" s="235" t="s">
        <v>1070</v>
      </c>
      <c r="D50" s="235" t="s">
        <v>1071</v>
      </c>
      <c r="E50" s="243">
        <v>6.57E13</v>
      </c>
      <c r="F50" s="244"/>
      <c r="G50" s="235" t="s">
        <v>1072</v>
      </c>
      <c r="H50" s="235" t="s">
        <v>1073</v>
      </c>
      <c r="I50" s="235" t="s">
        <v>1073</v>
      </c>
      <c r="J50" s="235" t="s">
        <v>1074</v>
      </c>
      <c r="K50" s="235" t="s">
        <v>1075</v>
      </c>
      <c r="N50" s="235" t="s">
        <v>154</v>
      </c>
      <c r="O50" s="235" t="s">
        <v>766</v>
      </c>
      <c r="P50" s="238">
        <v>1.0</v>
      </c>
      <c r="Q50" s="235" t="s">
        <v>627</v>
      </c>
      <c r="R50" s="238">
        <v>465.71</v>
      </c>
      <c r="S50" s="238">
        <v>23.29</v>
      </c>
      <c r="T50" s="238">
        <v>0.0</v>
      </c>
      <c r="U50" s="238">
        <v>0.0</v>
      </c>
      <c r="V50" s="238">
        <v>0.0</v>
      </c>
      <c r="W50" s="238">
        <v>0.0</v>
      </c>
      <c r="X50" s="235" t="s">
        <v>628</v>
      </c>
      <c r="Z50" s="244"/>
      <c r="AA50" s="244"/>
      <c r="AB50" s="244"/>
      <c r="AC50" s="235" t="s">
        <v>1076</v>
      </c>
      <c r="AD50" s="235" t="s">
        <v>1077</v>
      </c>
      <c r="AE50" s="238">
        <v>360005.0</v>
      </c>
      <c r="AF50" s="235" t="s">
        <v>631</v>
      </c>
      <c r="AG50" s="244"/>
      <c r="AH50" s="244"/>
      <c r="AI50" s="245"/>
      <c r="AJ50" s="245"/>
      <c r="AK50" s="245"/>
      <c r="AL50" s="245"/>
      <c r="AM50" s="244"/>
      <c r="AN50" s="244"/>
      <c r="AO50" s="238">
        <v>0.0</v>
      </c>
      <c r="AP50" s="238">
        <v>0.0</v>
      </c>
      <c r="AQ50" s="235" t="s">
        <v>632</v>
      </c>
      <c r="AR50" s="243">
        <v>1.68E11</v>
      </c>
      <c r="AS50" s="235" t="s">
        <v>758</v>
      </c>
      <c r="AT50" s="235" t="s">
        <v>16</v>
      </c>
      <c r="AU50" s="235" t="s">
        <v>634</v>
      </c>
      <c r="AV50" s="246" t="s">
        <v>635</v>
      </c>
      <c r="AW50" s="242"/>
      <c r="AX50" s="242"/>
      <c r="AY50" s="231"/>
      <c r="AZ50" s="231"/>
      <c r="BA50" s="227"/>
      <c r="BB50" s="231"/>
      <c r="BC50" s="227"/>
      <c r="BD50" s="227"/>
      <c r="BE50" s="227"/>
      <c r="BF50" s="227"/>
    </row>
    <row r="51">
      <c r="A51" s="235" t="s">
        <v>1078</v>
      </c>
      <c r="C51" s="235" t="s">
        <v>1079</v>
      </c>
      <c r="D51" s="235" t="s">
        <v>1080</v>
      </c>
      <c r="E51" s="243">
        <v>6.58E13</v>
      </c>
      <c r="F51" s="244"/>
      <c r="G51" s="235" t="s">
        <v>1081</v>
      </c>
      <c r="H51" s="235" t="s">
        <v>1082</v>
      </c>
      <c r="I51" s="235" t="s">
        <v>1082</v>
      </c>
      <c r="J51" s="235" t="s">
        <v>1083</v>
      </c>
      <c r="K51" s="235" t="s">
        <v>1084</v>
      </c>
      <c r="N51" s="235" t="s">
        <v>127</v>
      </c>
      <c r="O51" s="235" t="s">
        <v>794</v>
      </c>
      <c r="P51" s="238">
        <v>1.0</v>
      </c>
      <c r="Q51" s="235" t="s">
        <v>627</v>
      </c>
      <c r="R51" s="238">
        <v>246.67</v>
      </c>
      <c r="S51" s="238">
        <v>12.33</v>
      </c>
      <c r="T51" s="238">
        <v>75.24</v>
      </c>
      <c r="U51" s="238">
        <v>3.76</v>
      </c>
      <c r="V51" s="238">
        <v>0.0</v>
      </c>
      <c r="W51" s="238">
        <v>0.0</v>
      </c>
      <c r="X51" s="235" t="s">
        <v>628</v>
      </c>
      <c r="Z51" s="244"/>
      <c r="AA51" s="244"/>
      <c r="AB51" s="244"/>
      <c r="AC51" s="235" t="s">
        <v>1085</v>
      </c>
      <c r="AD51" s="235" t="s">
        <v>1086</v>
      </c>
      <c r="AE51" s="238">
        <v>141015.0</v>
      </c>
      <c r="AF51" s="235" t="s">
        <v>631</v>
      </c>
      <c r="AG51" s="244"/>
      <c r="AH51" s="244"/>
      <c r="AI51" s="245"/>
      <c r="AJ51" s="245"/>
      <c r="AK51" s="245"/>
      <c r="AL51" s="245"/>
      <c r="AM51" s="244"/>
      <c r="AN51" s="244"/>
      <c r="AO51" s="238">
        <v>0.0</v>
      </c>
      <c r="AP51" s="238">
        <v>-75.24</v>
      </c>
      <c r="AQ51" s="235" t="s">
        <v>632</v>
      </c>
      <c r="AR51" s="243">
        <v>1.68E11</v>
      </c>
      <c r="AS51" s="235" t="s">
        <v>667</v>
      </c>
      <c r="AT51" s="235" t="s">
        <v>14</v>
      </c>
      <c r="AU51" s="235" t="s">
        <v>634</v>
      </c>
      <c r="AV51" s="246" t="s">
        <v>635</v>
      </c>
      <c r="AW51" s="242"/>
      <c r="AX51" s="242"/>
      <c r="AY51" s="231"/>
      <c r="AZ51" s="231"/>
      <c r="BA51" s="227"/>
      <c r="BB51" s="231"/>
      <c r="BC51" s="227"/>
      <c r="BD51" s="227"/>
      <c r="BE51" s="227"/>
      <c r="BF51" s="227"/>
    </row>
    <row r="52">
      <c r="A52" s="235" t="s">
        <v>1088</v>
      </c>
      <c r="C52" s="235" t="s">
        <v>1089</v>
      </c>
      <c r="D52" s="235" t="s">
        <v>1090</v>
      </c>
      <c r="E52" s="243">
        <v>6.57E13</v>
      </c>
      <c r="F52" s="244"/>
      <c r="G52" s="235" t="s">
        <v>1091</v>
      </c>
      <c r="H52" s="235" t="s">
        <v>1092</v>
      </c>
      <c r="I52" s="235" t="s">
        <v>1092</v>
      </c>
      <c r="J52" s="235" t="s">
        <v>1093</v>
      </c>
      <c r="K52" s="235" t="s">
        <v>1094</v>
      </c>
      <c r="N52" s="235" t="s">
        <v>71</v>
      </c>
      <c r="O52" s="235" t="s">
        <v>240</v>
      </c>
      <c r="P52" s="238">
        <v>1.0</v>
      </c>
      <c r="Q52" s="235" t="s">
        <v>627</v>
      </c>
      <c r="R52" s="238">
        <v>246.66</v>
      </c>
      <c r="S52" s="238">
        <v>12.1</v>
      </c>
      <c r="T52" s="238">
        <v>18.1</v>
      </c>
      <c r="U52" s="238">
        <v>0.9</v>
      </c>
      <c r="V52" s="238">
        <v>0.0</v>
      </c>
      <c r="W52" s="238">
        <v>0.0</v>
      </c>
      <c r="X52" s="235" t="s">
        <v>628</v>
      </c>
      <c r="Z52" s="244"/>
      <c r="AA52" s="244"/>
      <c r="AB52" s="244"/>
      <c r="AC52" s="235" t="s">
        <v>1095</v>
      </c>
      <c r="AD52" s="235" t="s">
        <v>845</v>
      </c>
      <c r="AE52" s="238">
        <v>400706.0</v>
      </c>
      <c r="AF52" s="235" t="s">
        <v>631</v>
      </c>
      <c r="AG52" s="244"/>
      <c r="AH52" s="244"/>
      <c r="AI52" s="245"/>
      <c r="AJ52" s="245"/>
      <c r="AK52" s="245"/>
      <c r="AL52" s="245"/>
      <c r="AM52" s="244"/>
      <c r="AN52" s="244"/>
      <c r="AO52" s="238">
        <v>-4.94</v>
      </c>
      <c r="AP52" s="238">
        <v>-18.1</v>
      </c>
      <c r="AQ52" s="235" t="s">
        <v>632</v>
      </c>
      <c r="AR52" s="243">
        <v>1.68E11</v>
      </c>
      <c r="AS52" s="235" t="s">
        <v>633</v>
      </c>
      <c r="AT52" s="235" t="s">
        <v>16</v>
      </c>
      <c r="AU52" s="235" t="s">
        <v>634</v>
      </c>
      <c r="AV52" s="246" t="s">
        <v>635</v>
      </c>
      <c r="AW52" s="242"/>
      <c r="AX52" s="242"/>
      <c r="AY52" s="231"/>
      <c r="AZ52" s="231"/>
      <c r="BA52" s="227"/>
      <c r="BB52" s="231"/>
      <c r="BC52" s="227"/>
      <c r="BD52" s="227"/>
      <c r="BE52" s="227"/>
      <c r="BF52" s="227"/>
    </row>
    <row r="53">
      <c r="A53" s="235" t="s">
        <v>1097</v>
      </c>
      <c r="C53" s="235" t="s">
        <v>1098</v>
      </c>
      <c r="D53" s="235" t="s">
        <v>1099</v>
      </c>
      <c r="E53" s="243">
        <v>6.57E13</v>
      </c>
      <c r="F53" s="244"/>
      <c r="G53" s="235" t="s">
        <v>1100</v>
      </c>
      <c r="H53" s="235" t="s">
        <v>1101</v>
      </c>
      <c r="I53" s="235" t="s">
        <v>1101</v>
      </c>
      <c r="J53" s="235" t="s">
        <v>1102</v>
      </c>
      <c r="K53" s="235" t="s">
        <v>1103</v>
      </c>
      <c r="N53" s="235" t="s">
        <v>154</v>
      </c>
      <c r="O53" s="235" t="s">
        <v>766</v>
      </c>
      <c r="P53" s="238">
        <v>1.0</v>
      </c>
      <c r="Q53" s="235" t="s">
        <v>627</v>
      </c>
      <c r="R53" s="238">
        <v>465.72</v>
      </c>
      <c r="S53" s="238">
        <v>23.28</v>
      </c>
      <c r="T53" s="238">
        <v>0.0</v>
      </c>
      <c r="U53" s="238">
        <v>0.0</v>
      </c>
      <c r="V53" s="238">
        <v>0.0</v>
      </c>
      <c r="W53" s="238">
        <v>0.0</v>
      </c>
      <c r="X53" s="235" t="s">
        <v>628</v>
      </c>
      <c r="Z53" s="244"/>
      <c r="AA53" s="244"/>
      <c r="AB53" s="244"/>
      <c r="AC53" s="235" t="s">
        <v>1095</v>
      </c>
      <c r="AD53" s="235" t="s">
        <v>845</v>
      </c>
      <c r="AE53" s="238">
        <v>410206.0</v>
      </c>
      <c r="AF53" s="235" t="s">
        <v>631</v>
      </c>
      <c r="AG53" s="244"/>
      <c r="AH53" s="244"/>
      <c r="AI53" s="245"/>
      <c r="AJ53" s="245"/>
      <c r="AK53" s="245"/>
      <c r="AL53" s="245"/>
      <c r="AM53" s="244"/>
      <c r="AN53" s="244"/>
      <c r="AO53" s="238">
        <v>0.0</v>
      </c>
      <c r="AP53" s="238">
        <v>0.0</v>
      </c>
      <c r="AQ53" s="235" t="s">
        <v>632</v>
      </c>
      <c r="AR53" s="243">
        <v>3.71E11</v>
      </c>
      <c r="AS53" s="235" t="s">
        <v>667</v>
      </c>
      <c r="AT53" s="235" t="s">
        <v>16</v>
      </c>
      <c r="AU53" s="235" t="s">
        <v>634</v>
      </c>
      <c r="AV53" s="246" t="s">
        <v>635</v>
      </c>
      <c r="AW53" s="242"/>
      <c r="AX53" s="242"/>
      <c r="AY53" s="231"/>
      <c r="AZ53" s="231"/>
      <c r="BA53" s="227"/>
      <c r="BB53" s="231"/>
      <c r="BC53" s="227"/>
      <c r="BD53" s="227"/>
      <c r="BE53" s="227"/>
      <c r="BF53" s="227"/>
    </row>
    <row r="54">
      <c r="A54" s="235" t="s">
        <v>1104</v>
      </c>
      <c r="C54" s="235" t="s">
        <v>1105</v>
      </c>
      <c r="D54" s="235" t="s">
        <v>1106</v>
      </c>
      <c r="E54" s="243">
        <v>6.58E13</v>
      </c>
      <c r="F54" s="244"/>
      <c r="G54" s="235" t="s">
        <v>1107</v>
      </c>
      <c r="H54" s="235" t="s">
        <v>1108</v>
      </c>
      <c r="I54" s="235" t="s">
        <v>1108</v>
      </c>
      <c r="J54" s="235" t="s">
        <v>1109</v>
      </c>
      <c r="K54" s="235" t="s">
        <v>1110</v>
      </c>
      <c r="N54" s="235" t="s">
        <v>42</v>
      </c>
      <c r="O54" s="235" t="s">
        <v>204</v>
      </c>
      <c r="P54" s="238">
        <v>1.0</v>
      </c>
      <c r="Q54" s="235" t="s">
        <v>627</v>
      </c>
      <c r="R54" s="238">
        <v>237.14</v>
      </c>
      <c r="S54" s="238">
        <v>11.86</v>
      </c>
      <c r="T54" s="238">
        <v>9.04</v>
      </c>
      <c r="U54" s="238">
        <v>0.46</v>
      </c>
      <c r="V54" s="238">
        <v>0.0</v>
      </c>
      <c r="W54" s="238">
        <v>0.0</v>
      </c>
      <c r="X54" s="235" t="s">
        <v>628</v>
      </c>
      <c r="Z54" s="244"/>
      <c r="AA54" s="244"/>
      <c r="AB54" s="244"/>
      <c r="AC54" s="235" t="s">
        <v>687</v>
      </c>
      <c r="AD54" s="235" t="s">
        <v>666</v>
      </c>
      <c r="AE54" s="238">
        <v>600106.0</v>
      </c>
      <c r="AF54" s="235" t="s">
        <v>631</v>
      </c>
      <c r="AG54" s="244"/>
      <c r="AH54" s="244"/>
      <c r="AI54" s="245"/>
      <c r="AJ54" s="245"/>
      <c r="AK54" s="245"/>
      <c r="AL54" s="245"/>
      <c r="AM54" s="244"/>
      <c r="AN54" s="244"/>
      <c r="AO54" s="238">
        <v>0.0</v>
      </c>
      <c r="AP54" s="238">
        <v>-9.04</v>
      </c>
      <c r="AQ54" s="235" t="s">
        <v>632</v>
      </c>
      <c r="AR54" s="243">
        <v>1.68E11</v>
      </c>
      <c r="AS54" s="235" t="s">
        <v>633</v>
      </c>
      <c r="AT54" s="235" t="s">
        <v>156</v>
      </c>
      <c r="AU54" s="235" t="s">
        <v>634</v>
      </c>
      <c r="AV54" s="246" t="s">
        <v>635</v>
      </c>
      <c r="AW54" s="242"/>
      <c r="AX54" s="242"/>
      <c r="AY54" s="231"/>
      <c r="AZ54" s="231"/>
      <c r="BA54" s="227"/>
      <c r="BB54" s="231"/>
      <c r="BC54" s="227"/>
      <c r="BD54" s="227"/>
      <c r="BE54" s="227"/>
      <c r="BF54" s="227"/>
    </row>
    <row r="55">
      <c r="A55" s="235" t="s">
        <v>1112</v>
      </c>
      <c r="C55" s="235" t="s">
        <v>1113</v>
      </c>
      <c r="D55" s="235" t="s">
        <v>1114</v>
      </c>
      <c r="E55" s="243">
        <v>6.57E13</v>
      </c>
      <c r="F55" s="244"/>
      <c r="G55" s="235" t="s">
        <v>1115</v>
      </c>
      <c r="H55" s="235" t="s">
        <v>1116</v>
      </c>
      <c r="I55" s="235" t="s">
        <v>1116</v>
      </c>
      <c r="J55" s="235" t="s">
        <v>1117</v>
      </c>
      <c r="K55" s="235" t="s">
        <v>1118</v>
      </c>
      <c r="N55" s="235" t="s">
        <v>10</v>
      </c>
      <c r="O55" s="235" t="s">
        <v>936</v>
      </c>
      <c r="P55" s="238">
        <v>1.0</v>
      </c>
      <c r="Q55" s="235" t="s">
        <v>627</v>
      </c>
      <c r="R55" s="238">
        <v>265.72</v>
      </c>
      <c r="S55" s="238">
        <v>13.28</v>
      </c>
      <c r="T55" s="238">
        <v>0.0</v>
      </c>
      <c r="U55" s="238">
        <v>0.0</v>
      </c>
      <c r="V55" s="238">
        <v>0.0</v>
      </c>
      <c r="W55" s="238">
        <v>0.0</v>
      </c>
      <c r="X55" s="235" t="s">
        <v>628</v>
      </c>
      <c r="Z55" s="244"/>
      <c r="AA55" s="244"/>
      <c r="AB55" s="244"/>
      <c r="AC55" s="235" t="s">
        <v>1058</v>
      </c>
      <c r="AD55" s="235" t="s">
        <v>845</v>
      </c>
      <c r="AE55" s="238">
        <v>400013.0</v>
      </c>
      <c r="AF55" s="235" t="s">
        <v>631</v>
      </c>
      <c r="AG55" s="244"/>
      <c r="AH55" s="244"/>
      <c r="AI55" s="245"/>
      <c r="AJ55" s="245"/>
      <c r="AK55" s="245"/>
      <c r="AL55" s="245"/>
      <c r="AM55" s="244"/>
      <c r="AN55" s="244"/>
      <c r="AO55" s="238">
        <v>0.0</v>
      </c>
      <c r="AP55" s="238">
        <v>0.0</v>
      </c>
      <c r="AQ55" s="235" t="s">
        <v>632</v>
      </c>
      <c r="AR55" s="243">
        <v>1.68E11</v>
      </c>
      <c r="AS55" s="235" t="s">
        <v>633</v>
      </c>
      <c r="AT55" s="235" t="s">
        <v>16</v>
      </c>
      <c r="AU55" s="235" t="s">
        <v>634</v>
      </c>
      <c r="AV55" s="246" t="s">
        <v>635</v>
      </c>
      <c r="AW55" s="242"/>
      <c r="AX55" s="242"/>
      <c r="AY55" s="231"/>
      <c r="AZ55" s="231"/>
      <c r="BA55" s="227"/>
      <c r="BB55" s="231"/>
      <c r="BC55" s="227"/>
      <c r="BD55" s="227"/>
      <c r="BE55" s="227"/>
      <c r="BF55" s="227"/>
    </row>
    <row r="56">
      <c r="A56" s="235" t="s">
        <v>1119</v>
      </c>
      <c r="C56" s="235" t="s">
        <v>1120</v>
      </c>
      <c r="D56" s="235" t="s">
        <v>1121</v>
      </c>
      <c r="E56" s="243">
        <v>6.57E13</v>
      </c>
      <c r="F56" s="244"/>
      <c r="G56" s="235" t="s">
        <v>1122</v>
      </c>
      <c r="H56" s="235" t="s">
        <v>1123</v>
      </c>
      <c r="I56" s="235" t="s">
        <v>1123</v>
      </c>
      <c r="J56" s="235" t="s">
        <v>1124</v>
      </c>
      <c r="K56" s="235" t="s">
        <v>1125</v>
      </c>
      <c r="N56" s="235" t="s">
        <v>144</v>
      </c>
      <c r="O56" s="235" t="s">
        <v>232</v>
      </c>
      <c r="P56" s="238">
        <v>1.0</v>
      </c>
      <c r="Q56" s="235" t="s">
        <v>627</v>
      </c>
      <c r="R56" s="238">
        <v>665.72</v>
      </c>
      <c r="S56" s="238">
        <v>33.28</v>
      </c>
      <c r="T56" s="238">
        <v>0.0</v>
      </c>
      <c r="U56" s="238">
        <v>0.0</v>
      </c>
      <c r="V56" s="238">
        <v>0.0</v>
      </c>
      <c r="W56" s="238">
        <v>0.0</v>
      </c>
      <c r="X56" s="235" t="s">
        <v>628</v>
      </c>
      <c r="Z56" s="244"/>
      <c r="AA56" s="244"/>
      <c r="AB56" s="244"/>
      <c r="AC56" s="235" t="s">
        <v>1126</v>
      </c>
      <c r="AD56" s="235" t="s">
        <v>666</v>
      </c>
      <c r="AE56" s="238">
        <v>604202.0</v>
      </c>
      <c r="AF56" s="235" t="s">
        <v>631</v>
      </c>
      <c r="AG56" s="244"/>
      <c r="AH56" s="244"/>
      <c r="AI56" s="245"/>
      <c r="AJ56" s="245"/>
      <c r="AK56" s="245"/>
      <c r="AL56" s="245"/>
      <c r="AM56" s="244"/>
      <c r="AN56" s="244"/>
      <c r="AO56" s="238">
        <v>0.0</v>
      </c>
      <c r="AP56" s="238">
        <v>0.0</v>
      </c>
      <c r="AQ56" s="235" t="s">
        <v>632</v>
      </c>
      <c r="AR56" s="243">
        <v>3.71E11</v>
      </c>
      <c r="AS56" s="235" t="s">
        <v>667</v>
      </c>
      <c r="AT56" s="235" t="s">
        <v>156</v>
      </c>
      <c r="AU56" s="235" t="s">
        <v>634</v>
      </c>
      <c r="AV56" s="246" t="s">
        <v>635</v>
      </c>
      <c r="AW56" s="242"/>
      <c r="AX56" s="242"/>
      <c r="AY56" s="231"/>
      <c r="AZ56" s="231"/>
      <c r="BA56" s="227"/>
      <c r="BB56" s="231"/>
      <c r="BC56" s="227"/>
      <c r="BD56" s="227"/>
      <c r="BE56" s="227"/>
      <c r="BF56" s="227"/>
    </row>
    <row r="57">
      <c r="A57" s="235" t="s">
        <v>1127</v>
      </c>
      <c r="C57" s="235" t="s">
        <v>1128</v>
      </c>
      <c r="D57" s="235" t="s">
        <v>1129</v>
      </c>
      <c r="E57" s="243">
        <v>6.57E13</v>
      </c>
      <c r="F57" s="244"/>
      <c r="G57" s="235" t="s">
        <v>1130</v>
      </c>
      <c r="H57" s="235" t="s">
        <v>1131</v>
      </c>
      <c r="I57" s="235" t="s">
        <v>1131</v>
      </c>
      <c r="J57" s="235" t="s">
        <v>1132</v>
      </c>
      <c r="K57" s="235" t="s">
        <v>1133</v>
      </c>
      <c r="N57" s="235" t="s">
        <v>138</v>
      </c>
      <c r="O57" s="235" t="s">
        <v>675</v>
      </c>
      <c r="P57" s="238">
        <v>1.0</v>
      </c>
      <c r="Q57" s="235" t="s">
        <v>627</v>
      </c>
      <c r="R57" s="238">
        <v>246.66</v>
      </c>
      <c r="S57" s="238">
        <v>12.34</v>
      </c>
      <c r="T57" s="238">
        <v>0.0</v>
      </c>
      <c r="U57" s="238">
        <v>0.0</v>
      </c>
      <c r="V57" s="238">
        <v>0.0</v>
      </c>
      <c r="W57" s="238">
        <v>0.0</v>
      </c>
      <c r="X57" s="235" t="s">
        <v>628</v>
      </c>
      <c r="Z57" s="244"/>
      <c r="AA57" s="244"/>
      <c r="AB57" s="244"/>
      <c r="AC57" s="235" t="s">
        <v>1058</v>
      </c>
      <c r="AD57" s="235" t="s">
        <v>845</v>
      </c>
      <c r="AE57" s="238">
        <v>400072.0</v>
      </c>
      <c r="AF57" s="235" t="s">
        <v>631</v>
      </c>
      <c r="AG57" s="244"/>
      <c r="AH57" s="244"/>
      <c r="AI57" s="245"/>
      <c r="AJ57" s="245"/>
      <c r="AK57" s="245"/>
      <c r="AL57" s="245"/>
      <c r="AM57" s="244"/>
      <c r="AN57" s="244"/>
      <c r="AO57" s="238">
        <v>0.0</v>
      </c>
      <c r="AP57" s="238">
        <v>0.0</v>
      </c>
      <c r="AQ57" s="235" t="s">
        <v>632</v>
      </c>
      <c r="AR57" s="243">
        <v>3.71E11</v>
      </c>
      <c r="AS57" s="235" t="s">
        <v>667</v>
      </c>
      <c r="AT57" s="235" t="s">
        <v>17</v>
      </c>
      <c r="AU57" s="235" t="s">
        <v>634</v>
      </c>
      <c r="AV57" s="246" t="s">
        <v>635</v>
      </c>
      <c r="AW57" s="242"/>
      <c r="AX57" s="242"/>
      <c r="AY57" s="231"/>
      <c r="AZ57" s="231"/>
      <c r="BA57" s="227"/>
      <c r="BB57" s="231"/>
      <c r="BC57" s="227"/>
      <c r="BD57" s="227"/>
      <c r="BE57" s="227"/>
      <c r="BF57" s="227"/>
    </row>
    <row r="58">
      <c r="A58" s="235" t="s">
        <v>1134</v>
      </c>
      <c r="C58" s="235" t="s">
        <v>1135</v>
      </c>
      <c r="D58" s="235" t="s">
        <v>1136</v>
      </c>
      <c r="E58" s="243">
        <v>6.58E13</v>
      </c>
      <c r="F58" s="244"/>
      <c r="G58" s="235" t="s">
        <v>1137</v>
      </c>
      <c r="H58" s="235" t="s">
        <v>1138</v>
      </c>
      <c r="I58" s="235" t="s">
        <v>1139</v>
      </c>
      <c r="J58" s="235" t="s">
        <v>1140</v>
      </c>
      <c r="K58" s="235" t="s">
        <v>1141</v>
      </c>
      <c r="N58" s="235" t="s">
        <v>42</v>
      </c>
      <c r="O58" s="235" t="s">
        <v>204</v>
      </c>
      <c r="P58" s="238">
        <v>1.0</v>
      </c>
      <c r="Q58" s="235" t="s">
        <v>627</v>
      </c>
      <c r="R58" s="238">
        <v>237.14</v>
      </c>
      <c r="S58" s="238">
        <v>11.62</v>
      </c>
      <c r="T58" s="238">
        <v>0.0</v>
      </c>
      <c r="U58" s="238">
        <v>0.0</v>
      </c>
      <c r="V58" s="238">
        <v>0.0</v>
      </c>
      <c r="W58" s="238">
        <v>0.0</v>
      </c>
      <c r="X58" s="235" t="s">
        <v>628</v>
      </c>
      <c r="Z58" s="244"/>
      <c r="AA58" s="244"/>
      <c r="AB58" s="244"/>
      <c r="AC58" s="235" t="s">
        <v>814</v>
      </c>
      <c r="AD58" s="235" t="s">
        <v>698</v>
      </c>
      <c r="AE58" s="238">
        <v>500076.0</v>
      </c>
      <c r="AF58" s="235" t="s">
        <v>631</v>
      </c>
      <c r="AG58" s="244"/>
      <c r="AH58" s="244"/>
      <c r="AI58" s="245"/>
      <c r="AJ58" s="245"/>
      <c r="AK58" s="245"/>
      <c r="AL58" s="245"/>
      <c r="AM58" s="244"/>
      <c r="AN58" s="244"/>
      <c r="AO58" s="238">
        <v>-4.74</v>
      </c>
      <c r="AP58" s="238">
        <v>0.0</v>
      </c>
      <c r="AQ58" s="235" t="s">
        <v>632</v>
      </c>
      <c r="AR58" s="243">
        <v>2.02E11</v>
      </c>
      <c r="AS58" s="235" t="s">
        <v>667</v>
      </c>
      <c r="AT58" s="235" t="s">
        <v>156</v>
      </c>
      <c r="AU58" s="235" t="s">
        <v>634</v>
      </c>
      <c r="AV58" s="246" t="s">
        <v>635</v>
      </c>
      <c r="AW58" s="242"/>
      <c r="AX58" s="242"/>
      <c r="AY58" s="231"/>
      <c r="AZ58" s="231"/>
      <c r="BA58" s="227"/>
      <c r="BB58" s="231"/>
      <c r="BC58" s="227"/>
      <c r="BD58" s="227"/>
      <c r="BE58" s="227"/>
      <c r="BF58" s="227"/>
    </row>
    <row r="59">
      <c r="A59" s="235" t="s">
        <v>1142</v>
      </c>
      <c r="C59" s="235" t="s">
        <v>1143</v>
      </c>
      <c r="D59" s="235" t="s">
        <v>1144</v>
      </c>
      <c r="E59" s="243">
        <v>6.58E13</v>
      </c>
      <c r="F59" s="244"/>
      <c r="G59" s="235" t="s">
        <v>1145</v>
      </c>
      <c r="H59" s="235" t="s">
        <v>1139</v>
      </c>
      <c r="I59" s="235" t="s">
        <v>1139</v>
      </c>
      <c r="J59" s="235" t="s">
        <v>1146</v>
      </c>
      <c r="K59" s="235" t="s">
        <v>1147</v>
      </c>
      <c r="N59" s="235" t="s">
        <v>1148</v>
      </c>
      <c r="O59" s="235" t="s">
        <v>1149</v>
      </c>
      <c r="P59" s="238">
        <v>1.0</v>
      </c>
      <c r="Q59" s="235" t="s">
        <v>627</v>
      </c>
      <c r="R59" s="238">
        <v>846.61</v>
      </c>
      <c r="S59" s="238">
        <v>149.34</v>
      </c>
      <c r="T59" s="238">
        <v>0.0</v>
      </c>
      <c r="U59" s="238">
        <v>0.0</v>
      </c>
      <c r="V59" s="238">
        <v>0.0</v>
      </c>
      <c r="W59" s="238">
        <v>0.0</v>
      </c>
      <c r="X59" s="235" t="s">
        <v>628</v>
      </c>
      <c r="Z59" s="244"/>
      <c r="AA59" s="244"/>
      <c r="AB59" s="244"/>
      <c r="AC59" s="235" t="s">
        <v>1150</v>
      </c>
      <c r="AD59" s="235" t="s">
        <v>1151</v>
      </c>
      <c r="AE59" s="238">
        <v>700124.0</v>
      </c>
      <c r="AF59" s="235" t="s">
        <v>631</v>
      </c>
      <c r="AG59" s="244"/>
      <c r="AH59" s="244"/>
      <c r="AI59" s="245"/>
      <c r="AJ59" s="245"/>
      <c r="AK59" s="245"/>
      <c r="AL59" s="245"/>
      <c r="AM59" s="244"/>
      <c r="AN59" s="244"/>
      <c r="AO59" s="238">
        <v>-16.93</v>
      </c>
      <c r="AP59" s="238">
        <v>0.0</v>
      </c>
      <c r="AQ59" s="235" t="s">
        <v>632</v>
      </c>
      <c r="AR59" s="243">
        <v>2.02E11</v>
      </c>
      <c r="AS59" s="235" t="s">
        <v>667</v>
      </c>
      <c r="AT59" s="235" t="s">
        <v>156</v>
      </c>
      <c r="AU59" s="235" t="s">
        <v>634</v>
      </c>
      <c r="AV59" s="246" t="s">
        <v>635</v>
      </c>
      <c r="AW59" s="242"/>
      <c r="AX59" s="242"/>
      <c r="AY59" s="231"/>
      <c r="AZ59" s="231"/>
      <c r="BA59" s="227"/>
      <c r="BB59" s="231"/>
      <c r="BC59" s="227"/>
      <c r="BD59" s="227"/>
      <c r="BE59" s="227"/>
      <c r="BF59" s="227"/>
    </row>
    <row r="60">
      <c r="A60" s="235" t="s">
        <v>1153</v>
      </c>
      <c r="C60" s="235" t="s">
        <v>1154</v>
      </c>
      <c r="D60" s="235" t="s">
        <v>1155</v>
      </c>
      <c r="E60" s="243">
        <v>6.58E13</v>
      </c>
      <c r="F60" s="244"/>
      <c r="G60" s="235" t="s">
        <v>1156</v>
      </c>
      <c r="H60" s="235" t="s">
        <v>1157</v>
      </c>
      <c r="I60" s="235" t="s">
        <v>1157</v>
      </c>
      <c r="J60" s="235" t="s">
        <v>1158</v>
      </c>
      <c r="K60" s="235" t="s">
        <v>1159</v>
      </c>
      <c r="N60" s="235" t="s">
        <v>15</v>
      </c>
      <c r="O60" s="235" t="s">
        <v>856</v>
      </c>
      <c r="P60" s="238">
        <v>1.0</v>
      </c>
      <c r="Q60" s="235" t="s">
        <v>627</v>
      </c>
      <c r="R60" s="238">
        <v>360.95</v>
      </c>
      <c r="S60" s="238">
        <v>17.69</v>
      </c>
      <c r="T60" s="238">
        <v>0.0</v>
      </c>
      <c r="U60" s="238">
        <v>0.0</v>
      </c>
      <c r="V60" s="238">
        <v>0.0</v>
      </c>
      <c r="W60" s="238">
        <v>0.0</v>
      </c>
      <c r="X60" s="235" t="s">
        <v>628</v>
      </c>
      <c r="Z60" s="244"/>
      <c r="AA60" s="244"/>
      <c r="AB60" s="244"/>
      <c r="AC60" s="235" t="s">
        <v>1160</v>
      </c>
      <c r="AD60" s="235" t="s">
        <v>666</v>
      </c>
      <c r="AE60" s="238">
        <v>636807.0</v>
      </c>
      <c r="AF60" s="235" t="s">
        <v>631</v>
      </c>
      <c r="AG60" s="244"/>
      <c r="AH60" s="244"/>
      <c r="AI60" s="245"/>
      <c r="AJ60" s="245"/>
      <c r="AK60" s="245"/>
      <c r="AL60" s="245"/>
      <c r="AM60" s="244"/>
      <c r="AN60" s="244"/>
      <c r="AO60" s="238">
        <v>-7.22</v>
      </c>
      <c r="AP60" s="238">
        <v>0.0</v>
      </c>
      <c r="AQ60" s="235" t="s">
        <v>632</v>
      </c>
      <c r="AR60" s="243">
        <v>3.71E11</v>
      </c>
      <c r="AS60" s="235" t="s">
        <v>667</v>
      </c>
      <c r="AT60" s="235" t="s">
        <v>9</v>
      </c>
      <c r="AU60" s="235" t="s">
        <v>634</v>
      </c>
      <c r="AV60" s="246" t="s">
        <v>635</v>
      </c>
      <c r="AW60" s="242"/>
      <c r="AX60" s="242"/>
      <c r="AY60" s="231"/>
      <c r="AZ60" s="231"/>
      <c r="BA60" s="227"/>
      <c r="BB60" s="231"/>
      <c r="BC60" s="227"/>
      <c r="BD60" s="227"/>
      <c r="BE60" s="227"/>
      <c r="BF60" s="227"/>
    </row>
    <row r="61">
      <c r="A61" s="235" t="s">
        <v>1161</v>
      </c>
      <c r="C61" s="235" t="s">
        <v>1162</v>
      </c>
      <c r="D61" s="235" t="s">
        <v>1163</v>
      </c>
      <c r="E61" s="243">
        <v>6.58E13</v>
      </c>
      <c r="F61" s="244"/>
      <c r="G61" s="235" t="s">
        <v>1164</v>
      </c>
      <c r="H61" s="235" t="s">
        <v>1165</v>
      </c>
      <c r="I61" s="235" t="s">
        <v>1165</v>
      </c>
      <c r="J61" s="235" t="s">
        <v>1166</v>
      </c>
      <c r="K61" s="235" t="s">
        <v>1167</v>
      </c>
      <c r="N61" s="235" t="s">
        <v>962</v>
      </c>
      <c r="O61" s="235" t="s">
        <v>963</v>
      </c>
      <c r="P61" s="238">
        <v>1.0</v>
      </c>
      <c r="Q61" s="235" t="s">
        <v>627</v>
      </c>
      <c r="R61" s="238">
        <v>246.66</v>
      </c>
      <c r="S61" s="238">
        <v>12.34</v>
      </c>
      <c r="T61" s="238">
        <v>0.0</v>
      </c>
      <c r="U61" s="238">
        <v>0.0</v>
      </c>
      <c r="V61" s="238">
        <v>0.0</v>
      </c>
      <c r="W61" s="238">
        <v>0.0</v>
      </c>
      <c r="X61" s="235" t="s">
        <v>628</v>
      </c>
      <c r="Z61" s="244"/>
      <c r="AA61" s="244"/>
      <c r="AB61" s="244"/>
      <c r="AC61" s="235" t="s">
        <v>678</v>
      </c>
      <c r="AD61" s="235" t="s">
        <v>679</v>
      </c>
      <c r="AE61" s="238">
        <v>560032.0</v>
      </c>
      <c r="AF61" s="235" t="s">
        <v>631</v>
      </c>
      <c r="AG61" s="244"/>
      <c r="AH61" s="244"/>
      <c r="AI61" s="245"/>
      <c r="AJ61" s="245"/>
      <c r="AK61" s="245"/>
      <c r="AL61" s="245"/>
      <c r="AM61" s="244"/>
      <c r="AN61" s="244"/>
      <c r="AO61" s="238">
        <v>0.0</v>
      </c>
      <c r="AP61" s="238">
        <v>0.0</v>
      </c>
      <c r="AQ61" s="235" t="s">
        <v>632</v>
      </c>
      <c r="AR61" s="243">
        <v>1.68E11</v>
      </c>
      <c r="AS61" s="235" t="s">
        <v>633</v>
      </c>
      <c r="AT61" s="235" t="s">
        <v>9</v>
      </c>
      <c r="AU61" s="235" t="s">
        <v>634</v>
      </c>
      <c r="AV61" s="246" t="s">
        <v>635</v>
      </c>
      <c r="AW61" s="242"/>
      <c r="AX61" s="242"/>
      <c r="AY61" s="231"/>
      <c r="AZ61" s="231"/>
      <c r="BA61" s="227"/>
      <c r="BB61" s="231"/>
      <c r="BC61" s="227"/>
      <c r="BD61" s="227"/>
      <c r="BE61" s="227"/>
      <c r="BF61" s="227"/>
    </row>
    <row r="62">
      <c r="A62" s="235" t="s">
        <v>1168</v>
      </c>
      <c r="C62" s="235" t="s">
        <v>1169</v>
      </c>
      <c r="D62" s="235" t="s">
        <v>1170</v>
      </c>
      <c r="E62" s="243">
        <v>6.58E13</v>
      </c>
      <c r="F62" s="244"/>
      <c r="G62" s="235" t="s">
        <v>1171</v>
      </c>
      <c r="H62" s="235" t="s">
        <v>1172</v>
      </c>
      <c r="I62" s="235" t="s">
        <v>1173</v>
      </c>
      <c r="J62" s="235" t="s">
        <v>1174</v>
      </c>
      <c r="K62" s="235" t="s">
        <v>1175</v>
      </c>
      <c r="N62" s="235" t="s">
        <v>92</v>
      </c>
      <c r="O62" s="235" t="s">
        <v>248</v>
      </c>
      <c r="P62" s="238">
        <v>1.0</v>
      </c>
      <c r="Q62" s="235" t="s">
        <v>627</v>
      </c>
      <c r="R62" s="238">
        <v>246.67</v>
      </c>
      <c r="S62" s="238">
        <v>12.33</v>
      </c>
      <c r="T62" s="238">
        <v>0.0</v>
      </c>
      <c r="U62" s="238">
        <v>0.0</v>
      </c>
      <c r="V62" s="238">
        <v>0.0</v>
      </c>
      <c r="W62" s="238">
        <v>0.0</v>
      </c>
      <c r="X62" s="235" t="s">
        <v>628</v>
      </c>
      <c r="Z62" s="244"/>
      <c r="AA62" s="244"/>
      <c r="AB62" s="244"/>
      <c r="AC62" s="235" t="s">
        <v>795</v>
      </c>
      <c r="AD62" s="235" t="s">
        <v>796</v>
      </c>
      <c r="AE62" s="238">
        <v>110094.0</v>
      </c>
      <c r="AF62" s="235" t="s">
        <v>631</v>
      </c>
      <c r="AG62" s="244"/>
      <c r="AH62" s="244"/>
      <c r="AI62" s="245"/>
      <c r="AJ62" s="245"/>
      <c r="AK62" s="245"/>
      <c r="AL62" s="245"/>
      <c r="AM62" s="244"/>
      <c r="AN62" s="244"/>
      <c r="AO62" s="238">
        <v>0.0</v>
      </c>
      <c r="AP62" s="238">
        <v>0.0</v>
      </c>
      <c r="AQ62" s="235" t="s">
        <v>632</v>
      </c>
      <c r="AR62" s="243">
        <v>1.68E11</v>
      </c>
      <c r="AS62" s="235" t="s">
        <v>633</v>
      </c>
      <c r="AT62" s="235" t="s">
        <v>14</v>
      </c>
      <c r="AU62" s="235" t="s">
        <v>634</v>
      </c>
      <c r="AV62" s="246" t="s">
        <v>635</v>
      </c>
      <c r="AW62" s="242"/>
      <c r="AX62" s="242"/>
      <c r="AY62" s="231"/>
      <c r="AZ62" s="231"/>
      <c r="BA62" s="227"/>
      <c r="BB62" s="231"/>
      <c r="BC62" s="227"/>
      <c r="BD62" s="227"/>
      <c r="BE62" s="227"/>
      <c r="BF62" s="227"/>
    </row>
    <row r="63">
      <c r="A63" s="235" t="s">
        <v>1176</v>
      </c>
      <c r="C63" s="235" t="s">
        <v>1177</v>
      </c>
      <c r="D63" s="235" t="s">
        <v>1178</v>
      </c>
      <c r="E63" s="243">
        <v>6.58E13</v>
      </c>
      <c r="F63" s="244"/>
      <c r="G63" s="235" t="s">
        <v>1179</v>
      </c>
      <c r="H63" s="235" t="s">
        <v>1173</v>
      </c>
      <c r="I63" s="235" t="s">
        <v>1173</v>
      </c>
      <c r="J63" s="235" t="s">
        <v>1180</v>
      </c>
      <c r="K63" s="235" t="s">
        <v>1181</v>
      </c>
      <c r="N63" s="235" t="s">
        <v>71</v>
      </c>
      <c r="O63" s="235" t="s">
        <v>240</v>
      </c>
      <c r="P63" s="238">
        <v>1.0</v>
      </c>
      <c r="Q63" s="235" t="s">
        <v>627</v>
      </c>
      <c r="R63" s="238">
        <v>246.67</v>
      </c>
      <c r="S63" s="238">
        <v>12.08</v>
      </c>
      <c r="T63" s="238">
        <v>0.0</v>
      </c>
      <c r="U63" s="238">
        <v>0.0</v>
      </c>
      <c r="V63" s="238">
        <v>0.0</v>
      </c>
      <c r="W63" s="238">
        <v>0.0</v>
      </c>
      <c r="X63" s="235" t="s">
        <v>628</v>
      </c>
      <c r="Z63" s="244"/>
      <c r="AA63" s="244"/>
      <c r="AB63" s="244"/>
      <c r="AC63" s="235" t="s">
        <v>1182</v>
      </c>
      <c r="AD63" s="235" t="s">
        <v>833</v>
      </c>
      <c r="AE63" s="238">
        <v>530041.0</v>
      </c>
      <c r="AF63" s="235" t="s">
        <v>631</v>
      </c>
      <c r="AG63" s="244"/>
      <c r="AH63" s="244"/>
      <c r="AI63" s="245"/>
      <c r="AJ63" s="245"/>
      <c r="AK63" s="245"/>
      <c r="AL63" s="245"/>
      <c r="AM63" s="244"/>
      <c r="AN63" s="244"/>
      <c r="AO63" s="238">
        <v>-4.93</v>
      </c>
      <c r="AP63" s="238">
        <v>0.0</v>
      </c>
      <c r="AQ63" s="235" t="s">
        <v>632</v>
      </c>
      <c r="AR63" s="243">
        <v>2.02E11</v>
      </c>
      <c r="AS63" s="235" t="s">
        <v>667</v>
      </c>
      <c r="AT63" s="235" t="s">
        <v>533</v>
      </c>
      <c r="AU63" s="235" t="s">
        <v>634</v>
      </c>
      <c r="AV63" s="246" t="s">
        <v>635</v>
      </c>
      <c r="AW63" s="242"/>
      <c r="AX63" s="242"/>
      <c r="AY63" s="231"/>
      <c r="AZ63" s="231"/>
      <c r="BA63" s="227"/>
      <c r="BB63" s="231"/>
      <c r="BC63" s="227"/>
      <c r="BD63" s="227"/>
      <c r="BE63" s="227"/>
      <c r="BF63" s="227"/>
    </row>
    <row r="64">
      <c r="A64" s="235" t="s">
        <v>1183</v>
      </c>
      <c r="C64" s="235" t="s">
        <v>1184</v>
      </c>
      <c r="D64" s="235" t="s">
        <v>1185</v>
      </c>
      <c r="E64" s="243">
        <v>6.57E13</v>
      </c>
      <c r="F64" s="244"/>
      <c r="G64" s="235" t="s">
        <v>1186</v>
      </c>
      <c r="H64" s="235" t="s">
        <v>1187</v>
      </c>
      <c r="I64" s="235" t="s">
        <v>1187</v>
      </c>
      <c r="J64" s="235" t="s">
        <v>1188</v>
      </c>
      <c r="K64" s="235" t="s">
        <v>1189</v>
      </c>
      <c r="N64" s="235" t="s">
        <v>41</v>
      </c>
      <c r="O64" s="235" t="s">
        <v>291</v>
      </c>
      <c r="P64" s="238">
        <v>1.0</v>
      </c>
      <c r="Q64" s="235" t="s">
        <v>627</v>
      </c>
      <c r="R64" s="238">
        <v>237.14</v>
      </c>
      <c r="S64" s="238">
        <v>11.86</v>
      </c>
      <c r="T64" s="238">
        <v>38.1</v>
      </c>
      <c r="U64" s="238">
        <v>1.9</v>
      </c>
      <c r="V64" s="238">
        <v>0.0</v>
      </c>
      <c r="W64" s="238">
        <v>0.0</v>
      </c>
      <c r="X64" s="235" t="s">
        <v>628</v>
      </c>
      <c r="Z64" s="244"/>
      <c r="AA64" s="244"/>
      <c r="AB64" s="244"/>
      <c r="AC64" s="235" t="s">
        <v>1190</v>
      </c>
      <c r="AD64" s="235" t="s">
        <v>833</v>
      </c>
      <c r="AE64" s="238">
        <v>535002.0</v>
      </c>
      <c r="AF64" s="235" t="s">
        <v>631</v>
      </c>
      <c r="AG64" s="244"/>
      <c r="AH64" s="244"/>
      <c r="AI64" s="245"/>
      <c r="AJ64" s="245"/>
      <c r="AK64" s="245"/>
      <c r="AL64" s="245"/>
      <c r="AM64" s="244"/>
      <c r="AN64" s="244"/>
      <c r="AO64" s="238">
        <v>0.0</v>
      </c>
      <c r="AP64" s="238">
        <v>-38.1</v>
      </c>
      <c r="AQ64" s="235" t="s">
        <v>632</v>
      </c>
      <c r="AR64" s="243">
        <v>3.71E11</v>
      </c>
      <c r="AS64" s="235" t="s">
        <v>699</v>
      </c>
      <c r="AT64" s="235" t="s">
        <v>9</v>
      </c>
      <c r="AU64" s="235" t="s">
        <v>634</v>
      </c>
      <c r="AV64" s="246" t="s">
        <v>635</v>
      </c>
      <c r="AW64" s="242"/>
      <c r="AX64" s="242"/>
      <c r="AY64" s="231"/>
      <c r="AZ64" s="231"/>
      <c r="BA64" s="227"/>
      <c r="BB64" s="231"/>
      <c r="BC64" s="227"/>
      <c r="BD64" s="227"/>
      <c r="BE64" s="227"/>
      <c r="BF64" s="227"/>
    </row>
    <row r="65">
      <c r="A65" s="235" t="s">
        <v>1191</v>
      </c>
      <c r="C65" s="235" t="s">
        <v>1192</v>
      </c>
      <c r="D65" s="235" t="s">
        <v>1193</v>
      </c>
      <c r="E65" s="243">
        <v>6.57E13</v>
      </c>
      <c r="F65" s="244"/>
      <c r="G65" s="235" t="s">
        <v>1194</v>
      </c>
      <c r="H65" s="235" t="s">
        <v>1195</v>
      </c>
      <c r="I65" s="235" t="s">
        <v>1195</v>
      </c>
      <c r="J65" s="235" t="s">
        <v>1196</v>
      </c>
      <c r="K65" s="235" t="s">
        <v>1197</v>
      </c>
      <c r="N65" s="235" t="s">
        <v>92</v>
      </c>
      <c r="O65" s="235" t="s">
        <v>248</v>
      </c>
      <c r="P65" s="238">
        <v>1.0</v>
      </c>
      <c r="Q65" s="235" t="s">
        <v>627</v>
      </c>
      <c r="R65" s="238">
        <v>246.66</v>
      </c>
      <c r="S65" s="238">
        <v>12.34</v>
      </c>
      <c r="T65" s="238">
        <v>0.0</v>
      </c>
      <c r="U65" s="238">
        <v>0.0</v>
      </c>
      <c r="V65" s="238">
        <v>0.0</v>
      </c>
      <c r="W65" s="238">
        <v>0.0</v>
      </c>
      <c r="X65" s="235" t="s">
        <v>628</v>
      </c>
      <c r="Z65" s="244"/>
      <c r="AA65" s="244"/>
      <c r="AB65" s="244"/>
      <c r="AC65" s="235" t="s">
        <v>1198</v>
      </c>
      <c r="AD65" s="235" t="s">
        <v>845</v>
      </c>
      <c r="AE65" s="238">
        <v>410206.0</v>
      </c>
      <c r="AF65" s="235" t="s">
        <v>631</v>
      </c>
      <c r="AG65" s="244"/>
      <c r="AH65" s="244"/>
      <c r="AI65" s="245"/>
      <c r="AJ65" s="245"/>
      <c r="AK65" s="245"/>
      <c r="AL65" s="245"/>
      <c r="AM65" s="244"/>
      <c r="AN65" s="244"/>
      <c r="AO65" s="238">
        <v>0.0</v>
      </c>
      <c r="AP65" s="238">
        <v>0.0</v>
      </c>
      <c r="AQ65" s="235" t="s">
        <v>632</v>
      </c>
      <c r="AR65" s="243">
        <v>3.71E11</v>
      </c>
      <c r="AS65" s="235" t="s">
        <v>667</v>
      </c>
      <c r="AT65" s="235" t="s">
        <v>17</v>
      </c>
      <c r="AU65" s="235" t="s">
        <v>634</v>
      </c>
      <c r="AV65" s="246" t="s">
        <v>635</v>
      </c>
      <c r="AW65" s="242"/>
      <c r="AX65" s="242"/>
      <c r="AY65" s="231"/>
      <c r="AZ65" s="231"/>
      <c r="BA65" s="227"/>
      <c r="BB65" s="231"/>
      <c r="BC65" s="227"/>
      <c r="BD65" s="227"/>
      <c r="BE65" s="227"/>
      <c r="BF65" s="227"/>
    </row>
    <row r="66">
      <c r="A66" s="235" t="s">
        <v>1199</v>
      </c>
      <c r="C66" s="235" t="s">
        <v>1200</v>
      </c>
      <c r="D66" s="235" t="s">
        <v>1201</v>
      </c>
      <c r="E66" s="243">
        <v>6.58E13</v>
      </c>
      <c r="F66" s="244"/>
      <c r="G66" s="235" t="s">
        <v>1202</v>
      </c>
      <c r="H66" s="235" t="s">
        <v>1203</v>
      </c>
      <c r="I66" s="235" t="s">
        <v>1203</v>
      </c>
      <c r="J66" s="235" t="s">
        <v>1204</v>
      </c>
      <c r="K66" s="235" t="s">
        <v>1205</v>
      </c>
      <c r="N66" s="235" t="s">
        <v>154</v>
      </c>
      <c r="O66" s="235" t="s">
        <v>766</v>
      </c>
      <c r="P66" s="238">
        <v>1.0</v>
      </c>
      <c r="Q66" s="235" t="s">
        <v>627</v>
      </c>
      <c r="R66" s="238">
        <v>465.72</v>
      </c>
      <c r="S66" s="238">
        <v>23.28</v>
      </c>
      <c r="T66" s="238">
        <v>6.03</v>
      </c>
      <c r="U66" s="238">
        <v>0.3</v>
      </c>
      <c r="V66" s="238">
        <v>0.0</v>
      </c>
      <c r="W66" s="238">
        <v>0.0</v>
      </c>
      <c r="X66" s="235" t="s">
        <v>628</v>
      </c>
      <c r="Z66" s="244"/>
      <c r="AA66" s="244"/>
      <c r="AB66" s="244"/>
      <c r="AC66" s="235" t="s">
        <v>1206</v>
      </c>
      <c r="AD66" s="235" t="s">
        <v>679</v>
      </c>
      <c r="AE66" s="238">
        <v>560033.0</v>
      </c>
      <c r="AF66" s="235" t="s">
        <v>631</v>
      </c>
      <c r="AG66" s="244"/>
      <c r="AH66" s="244"/>
      <c r="AI66" s="245"/>
      <c r="AJ66" s="245"/>
      <c r="AK66" s="245"/>
      <c r="AL66" s="245"/>
      <c r="AM66" s="244"/>
      <c r="AN66" s="244"/>
      <c r="AO66" s="238">
        <v>0.0</v>
      </c>
      <c r="AP66" s="238">
        <v>-6.03</v>
      </c>
      <c r="AQ66" s="235" t="s">
        <v>632</v>
      </c>
      <c r="AR66" s="243">
        <v>1.68E11</v>
      </c>
      <c r="AS66" s="235" t="s">
        <v>633</v>
      </c>
      <c r="AT66" s="235" t="s">
        <v>11</v>
      </c>
      <c r="AU66" s="235" t="s">
        <v>634</v>
      </c>
      <c r="AV66" s="246" t="s">
        <v>635</v>
      </c>
      <c r="AW66" s="242"/>
      <c r="AX66" s="242"/>
      <c r="AY66" s="231"/>
      <c r="AZ66" s="231"/>
      <c r="BA66" s="227"/>
      <c r="BB66" s="231"/>
      <c r="BC66" s="227"/>
      <c r="BD66" s="227"/>
      <c r="BE66" s="227"/>
      <c r="BF66" s="227"/>
    </row>
    <row r="67">
      <c r="A67" s="235" t="s">
        <v>1208</v>
      </c>
      <c r="C67" s="235" t="s">
        <v>1209</v>
      </c>
      <c r="D67" s="235" t="s">
        <v>1210</v>
      </c>
      <c r="E67" s="243">
        <v>6.57E13</v>
      </c>
      <c r="F67" s="244"/>
      <c r="G67" s="235" t="s">
        <v>1211</v>
      </c>
      <c r="H67" s="235" t="s">
        <v>1212</v>
      </c>
      <c r="I67" s="235" t="s">
        <v>1212</v>
      </c>
      <c r="J67" s="235" t="s">
        <v>1213</v>
      </c>
      <c r="K67" s="235" t="s">
        <v>1214</v>
      </c>
      <c r="N67" s="235" t="s">
        <v>842</v>
      </c>
      <c r="O67" s="235" t="s">
        <v>843</v>
      </c>
      <c r="P67" s="238">
        <v>1.0</v>
      </c>
      <c r="Q67" s="235" t="s">
        <v>627</v>
      </c>
      <c r="R67" s="238">
        <v>246.66</v>
      </c>
      <c r="S67" s="238">
        <v>12.34</v>
      </c>
      <c r="T67" s="238">
        <v>0.0</v>
      </c>
      <c r="U67" s="238">
        <v>0.0</v>
      </c>
      <c r="V67" s="238">
        <v>0.0</v>
      </c>
      <c r="W67" s="238">
        <v>0.0</v>
      </c>
      <c r="X67" s="235" t="s">
        <v>628</v>
      </c>
      <c r="Z67" s="244"/>
      <c r="AA67" s="244"/>
      <c r="AB67" s="244"/>
      <c r="AC67" s="235" t="s">
        <v>687</v>
      </c>
      <c r="AD67" s="235" t="s">
        <v>666</v>
      </c>
      <c r="AE67" s="238">
        <v>600017.0</v>
      </c>
      <c r="AF67" s="235" t="s">
        <v>631</v>
      </c>
      <c r="AG67" s="244"/>
      <c r="AH67" s="244"/>
      <c r="AI67" s="245"/>
      <c r="AJ67" s="245"/>
      <c r="AK67" s="245"/>
      <c r="AL67" s="245"/>
      <c r="AM67" s="244"/>
      <c r="AN67" s="244"/>
      <c r="AO67" s="238">
        <v>0.0</v>
      </c>
      <c r="AP67" s="238">
        <v>0.0</v>
      </c>
      <c r="AQ67" s="235" t="s">
        <v>632</v>
      </c>
      <c r="AR67" s="243">
        <v>3.71E11</v>
      </c>
      <c r="AS67" s="235" t="s">
        <v>667</v>
      </c>
      <c r="AT67" s="235" t="s">
        <v>156</v>
      </c>
      <c r="AU67" s="235" t="s">
        <v>634</v>
      </c>
      <c r="AV67" s="246" t="s">
        <v>635</v>
      </c>
      <c r="AW67" s="242"/>
      <c r="AX67" s="242"/>
      <c r="AY67" s="231"/>
      <c r="AZ67" s="231"/>
      <c r="BA67" s="227"/>
      <c r="BB67" s="231"/>
      <c r="BC67" s="227"/>
      <c r="BD67" s="227"/>
      <c r="BE67" s="227"/>
      <c r="BF67" s="227"/>
    </row>
    <row r="68">
      <c r="A68" s="235" t="s">
        <v>1215</v>
      </c>
      <c r="C68" s="235" t="s">
        <v>1216</v>
      </c>
      <c r="D68" s="235" t="s">
        <v>1217</v>
      </c>
      <c r="E68" s="243">
        <v>6.57E13</v>
      </c>
      <c r="F68" s="244"/>
      <c r="G68" s="235" t="s">
        <v>1218</v>
      </c>
      <c r="H68" s="235" t="s">
        <v>1219</v>
      </c>
      <c r="I68" s="235" t="s">
        <v>1219</v>
      </c>
      <c r="J68" s="235" t="s">
        <v>1220</v>
      </c>
      <c r="K68" s="235" t="s">
        <v>1221</v>
      </c>
      <c r="N68" s="235" t="s">
        <v>71</v>
      </c>
      <c r="O68" s="235" t="s">
        <v>240</v>
      </c>
      <c r="P68" s="238">
        <v>1.0</v>
      </c>
      <c r="Q68" s="235" t="s">
        <v>627</v>
      </c>
      <c r="R68" s="238">
        <v>246.67</v>
      </c>
      <c r="S68" s="238">
        <v>12.33</v>
      </c>
      <c r="T68" s="238">
        <v>18.1</v>
      </c>
      <c r="U68" s="238">
        <v>0.9</v>
      </c>
      <c r="V68" s="238">
        <v>0.0</v>
      </c>
      <c r="W68" s="238">
        <v>0.0</v>
      </c>
      <c r="X68" s="235" t="s">
        <v>628</v>
      </c>
      <c r="Z68" s="244"/>
      <c r="AA68" s="244"/>
      <c r="AB68" s="244"/>
      <c r="AC68" s="235" t="s">
        <v>795</v>
      </c>
      <c r="AD68" s="235" t="s">
        <v>796</v>
      </c>
      <c r="AE68" s="238">
        <v>110084.0</v>
      </c>
      <c r="AF68" s="235" t="s">
        <v>631</v>
      </c>
      <c r="AG68" s="244"/>
      <c r="AH68" s="244"/>
      <c r="AI68" s="245"/>
      <c r="AJ68" s="245"/>
      <c r="AK68" s="245"/>
      <c r="AL68" s="245"/>
      <c r="AM68" s="244"/>
      <c r="AN68" s="244"/>
      <c r="AO68" s="238">
        <v>0.0</v>
      </c>
      <c r="AP68" s="238">
        <v>-18.1</v>
      </c>
      <c r="AQ68" s="235" t="s">
        <v>632</v>
      </c>
      <c r="AR68" s="243">
        <v>1.68E11</v>
      </c>
      <c r="AS68" s="235" t="s">
        <v>633</v>
      </c>
      <c r="AT68" s="235" t="s">
        <v>14</v>
      </c>
      <c r="AU68" s="235" t="s">
        <v>634</v>
      </c>
      <c r="AV68" s="246" t="s">
        <v>635</v>
      </c>
      <c r="AW68" s="242"/>
      <c r="AX68" s="242"/>
      <c r="AY68" s="231"/>
      <c r="AZ68" s="231"/>
      <c r="BA68" s="227"/>
      <c r="BB68" s="231"/>
      <c r="BC68" s="227"/>
      <c r="BD68" s="227"/>
      <c r="BE68" s="227"/>
      <c r="BF68" s="227"/>
    </row>
    <row r="69">
      <c r="A69" s="235" t="s">
        <v>1222</v>
      </c>
      <c r="C69" s="235" t="s">
        <v>1223</v>
      </c>
      <c r="D69" s="235" t="s">
        <v>1224</v>
      </c>
      <c r="E69" s="243">
        <v>6.57E13</v>
      </c>
      <c r="F69" s="244"/>
      <c r="G69" s="235" t="s">
        <v>1225</v>
      </c>
      <c r="H69" s="235" t="s">
        <v>1226</v>
      </c>
      <c r="I69" s="235" t="s">
        <v>1226</v>
      </c>
      <c r="J69" s="235" t="s">
        <v>1227</v>
      </c>
      <c r="K69" s="235" t="s">
        <v>1228</v>
      </c>
      <c r="N69" s="235" t="s">
        <v>148</v>
      </c>
      <c r="O69" s="235" t="s">
        <v>1006</v>
      </c>
      <c r="P69" s="238">
        <v>1.0</v>
      </c>
      <c r="Q69" s="235" t="s">
        <v>627</v>
      </c>
      <c r="R69" s="238">
        <v>283.81</v>
      </c>
      <c r="S69" s="238">
        <v>14.19</v>
      </c>
      <c r="T69" s="238">
        <v>0.0</v>
      </c>
      <c r="U69" s="238">
        <v>0.0</v>
      </c>
      <c r="V69" s="238">
        <v>0.0</v>
      </c>
      <c r="W69" s="238">
        <v>0.0</v>
      </c>
      <c r="X69" s="235" t="s">
        <v>628</v>
      </c>
      <c r="Z69" s="244"/>
      <c r="AA69" s="244"/>
      <c r="AB69" s="244"/>
      <c r="AC69" s="235" t="s">
        <v>1229</v>
      </c>
      <c r="AD69" s="235" t="s">
        <v>645</v>
      </c>
      <c r="AE69" s="238">
        <v>679534.0</v>
      </c>
      <c r="AF69" s="235" t="s">
        <v>631</v>
      </c>
      <c r="AG69" s="244"/>
      <c r="AH69" s="244"/>
      <c r="AI69" s="245"/>
      <c r="AJ69" s="245"/>
      <c r="AK69" s="245"/>
      <c r="AL69" s="245"/>
      <c r="AM69" s="244"/>
      <c r="AN69" s="244"/>
      <c r="AO69" s="238">
        <v>0.0</v>
      </c>
      <c r="AP69" s="238">
        <v>0.0</v>
      </c>
      <c r="AQ69" s="235" t="s">
        <v>632</v>
      </c>
      <c r="AR69" s="243">
        <v>3.71E11</v>
      </c>
      <c r="AS69" s="235" t="s">
        <v>656</v>
      </c>
      <c r="AT69" s="235" t="s">
        <v>155</v>
      </c>
      <c r="AU69" s="235" t="s">
        <v>634</v>
      </c>
      <c r="AV69" s="246" t="s">
        <v>635</v>
      </c>
      <c r="AW69" s="242"/>
      <c r="AX69" s="242"/>
      <c r="AY69" s="231"/>
      <c r="AZ69" s="231"/>
      <c r="BA69" s="227"/>
      <c r="BB69" s="231"/>
      <c r="BC69" s="227"/>
      <c r="BD69" s="227"/>
      <c r="BE69" s="227"/>
      <c r="BF69" s="227"/>
    </row>
    <row r="70">
      <c r="A70" s="235" t="s">
        <v>1230</v>
      </c>
      <c r="C70" s="235" t="s">
        <v>1231</v>
      </c>
      <c r="D70" s="235" t="s">
        <v>1232</v>
      </c>
      <c r="E70" s="243">
        <v>6.57E13</v>
      </c>
      <c r="F70" s="244"/>
      <c r="G70" s="235" t="s">
        <v>1233</v>
      </c>
      <c r="H70" s="235" t="s">
        <v>1234</v>
      </c>
      <c r="I70" s="235" t="s">
        <v>1234</v>
      </c>
      <c r="J70" s="235" t="s">
        <v>1235</v>
      </c>
      <c r="K70" s="235" t="s">
        <v>1236</v>
      </c>
      <c r="N70" s="235" t="s">
        <v>82</v>
      </c>
      <c r="O70" s="235" t="s">
        <v>889</v>
      </c>
      <c r="P70" s="238">
        <v>1.0</v>
      </c>
      <c r="Q70" s="235" t="s">
        <v>627</v>
      </c>
      <c r="R70" s="238">
        <v>246.67</v>
      </c>
      <c r="S70" s="238">
        <v>12.33</v>
      </c>
      <c r="T70" s="238">
        <v>75.24</v>
      </c>
      <c r="U70" s="238">
        <v>3.76</v>
      </c>
      <c r="V70" s="238">
        <v>0.0</v>
      </c>
      <c r="W70" s="238">
        <v>0.0</v>
      </c>
      <c r="X70" s="235" t="s">
        <v>628</v>
      </c>
      <c r="Z70" s="244"/>
      <c r="AA70" s="244"/>
      <c r="AB70" s="244"/>
      <c r="AC70" s="235" t="s">
        <v>1237</v>
      </c>
      <c r="AD70" s="235" t="s">
        <v>917</v>
      </c>
      <c r="AE70" s="238">
        <v>305001.0</v>
      </c>
      <c r="AF70" s="235" t="s">
        <v>631</v>
      </c>
      <c r="AG70" s="244"/>
      <c r="AH70" s="244"/>
      <c r="AI70" s="245"/>
      <c r="AJ70" s="245"/>
      <c r="AK70" s="245"/>
      <c r="AL70" s="245"/>
      <c r="AM70" s="244"/>
      <c r="AN70" s="244"/>
      <c r="AO70" s="238">
        <v>0.0</v>
      </c>
      <c r="AP70" s="238">
        <v>-75.24</v>
      </c>
      <c r="AQ70" s="235" t="s">
        <v>632</v>
      </c>
      <c r="AR70" s="243">
        <v>2.02E11</v>
      </c>
      <c r="AS70" s="235" t="s">
        <v>667</v>
      </c>
      <c r="AT70" s="235" t="s">
        <v>13</v>
      </c>
      <c r="AU70" s="235" t="s">
        <v>634</v>
      </c>
      <c r="AV70" s="246" t="s">
        <v>635</v>
      </c>
      <c r="AW70" s="242"/>
      <c r="AX70" s="242"/>
      <c r="AY70" s="231"/>
      <c r="AZ70" s="231"/>
      <c r="BA70" s="227"/>
      <c r="BB70" s="231"/>
      <c r="BC70" s="227"/>
      <c r="BD70" s="227"/>
      <c r="BE70" s="227"/>
      <c r="BF70" s="227"/>
    </row>
    <row r="71">
      <c r="A71" s="235" t="s">
        <v>1238</v>
      </c>
      <c r="C71" s="235" t="s">
        <v>1239</v>
      </c>
      <c r="D71" s="235" t="s">
        <v>1240</v>
      </c>
      <c r="E71" s="243">
        <v>6.57E13</v>
      </c>
      <c r="F71" s="244"/>
      <c r="G71" s="235" t="s">
        <v>1241</v>
      </c>
      <c r="H71" s="235" t="s">
        <v>1242</v>
      </c>
      <c r="I71" s="235" t="s">
        <v>1242</v>
      </c>
      <c r="J71" s="235" t="s">
        <v>1243</v>
      </c>
      <c r="K71" s="235" t="s">
        <v>1244</v>
      </c>
      <c r="N71" s="235" t="s">
        <v>842</v>
      </c>
      <c r="O71" s="235" t="s">
        <v>843</v>
      </c>
      <c r="P71" s="238">
        <v>1.0</v>
      </c>
      <c r="Q71" s="235" t="s">
        <v>627</v>
      </c>
      <c r="R71" s="238">
        <v>246.66</v>
      </c>
      <c r="S71" s="238">
        <v>12.34</v>
      </c>
      <c r="T71" s="238">
        <v>0.0</v>
      </c>
      <c r="U71" s="238">
        <v>0.0</v>
      </c>
      <c r="V71" s="238">
        <v>0.0</v>
      </c>
      <c r="W71" s="238">
        <v>0.0</v>
      </c>
      <c r="X71" s="235" t="s">
        <v>628</v>
      </c>
      <c r="Z71" s="244"/>
      <c r="AA71" s="244"/>
      <c r="AB71" s="244"/>
      <c r="AC71" s="235" t="s">
        <v>844</v>
      </c>
      <c r="AD71" s="235" t="s">
        <v>845</v>
      </c>
      <c r="AE71" s="238">
        <v>411009.0</v>
      </c>
      <c r="AF71" s="235" t="s">
        <v>631</v>
      </c>
      <c r="AG71" s="244"/>
      <c r="AH71" s="244"/>
      <c r="AI71" s="245"/>
      <c r="AJ71" s="245"/>
      <c r="AK71" s="245"/>
      <c r="AL71" s="245"/>
      <c r="AM71" s="244"/>
      <c r="AN71" s="244"/>
      <c r="AO71" s="238">
        <v>0.0</v>
      </c>
      <c r="AP71" s="238">
        <v>0.0</v>
      </c>
      <c r="AQ71" s="235" t="s">
        <v>632</v>
      </c>
      <c r="AR71" s="243">
        <v>1.68E11</v>
      </c>
      <c r="AS71" s="235" t="s">
        <v>633</v>
      </c>
      <c r="AT71" s="235" t="s">
        <v>546</v>
      </c>
      <c r="AU71" s="235" t="s">
        <v>634</v>
      </c>
      <c r="AV71" s="246" t="s">
        <v>635</v>
      </c>
      <c r="AW71" s="242"/>
      <c r="AX71" s="242"/>
      <c r="AY71" s="231"/>
      <c r="AZ71" s="231"/>
      <c r="BA71" s="227"/>
      <c r="BB71" s="231"/>
      <c r="BC71" s="227"/>
      <c r="BD71" s="227"/>
      <c r="BE71" s="227"/>
      <c r="BF71" s="227"/>
    </row>
    <row r="72">
      <c r="A72" s="235" t="s">
        <v>1247</v>
      </c>
      <c r="C72" s="235" t="s">
        <v>1248</v>
      </c>
      <c r="D72" s="235" t="s">
        <v>1249</v>
      </c>
      <c r="E72" s="243">
        <v>6.58E13</v>
      </c>
      <c r="F72" s="244"/>
      <c r="G72" s="235" t="s">
        <v>1250</v>
      </c>
      <c r="H72" s="235" t="s">
        <v>1251</v>
      </c>
      <c r="I72" s="235" t="s">
        <v>1252</v>
      </c>
      <c r="J72" s="235" t="s">
        <v>1253</v>
      </c>
      <c r="K72" s="235" t="s">
        <v>1254</v>
      </c>
      <c r="N72" s="235" t="s">
        <v>130</v>
      </c>
      <c r="O72" s="235" t="s">
        <v>707</v>
      </c>
      <c r="P72" s="238">
        <v>1.0</v>
      </c>
      <c r="Q72" s="235" t="s">
        <v>627</v>
      </c>
      <c r="R72" s="238">
        <v>246.66</v>
      </c>
      <c r="S72" s="238">
        <v>12.34</v>
      </c>
      <c r="T72" s="238">
        <v>18.1</v>
      </c>
      <c r="U72" s="238">
        <v>0.9</v>
      </c>
      <c r="V72" s="238">
        <v>0.0</v>
      </c>
      <c r="W72" s="238">
        <v>0.0</v>
      </c>
      <c r="X72" s="235" t="s">
        <v>628</v>
      </c>
      <c r="Z72" s="244"/>
      <c r="AA72" s="244"/>
      <c r="AB72" s="244"/>
      <c r="AC72" s="235" t="s">
        <v>1255</v>
      </c>
      <c r="AD72" s="235" t="s">
        <v>845</v>
      </c>
      <c r="AE72" s="238">
        <v>400604.0</v>
      </c>
      <c r="AF72" s="235" t="s">
        <v>631</v>
      </c>
      <c r="AG72" s="244"/>
      <c r="AH72" s="244"/>
      <c r="AI72" s="245"/>
      <c r="AJ72" s="245"/>
      <c r="AK72" s="245"/>
      <c r="AL72" s="245"/>
      <c r="AM72" s="244"/>
      <c r="AN72" s="244"/>
      <c r="AO72" s="238">
        <v>0.0</v>
      </c>
      <c r="AP72" s="238">
        <v>-18.1</v>
      </c>
      <c r="AQ72" s="235" t="s">
        <v>632</v>
      </c>
      <c r="AR72" s="243">
        <v>1.68E11</v>
      </c>
      <c r="AS72" s="235" t="s">
        <v>633</v>
      </c>
      <c r="AT72" s="235" t="s">
        <v>16</v>
      </c>
      <c r="AU72" s="235" t="s">
        <v>634</v>
      </c>
      <c r="AV72" s="246" t="s">
        <v>635</v>
      </c>
      <c r="AW72" s="242"/>
      <c r="AX72" s="242"/>
      <c r="AY72" s="231"/>
      <c r="AZ72" s="231"/>
      <c r="BA72" s="227"/>
      <c r="BB72" s="231"/>
      <c r="BC72" s="227"/>
      <c r="BD72" s="227"/>
      <c r="BE72" s="227"/>
      <c r="BF72" s="227"/>
    </row>
    <row r="73">
      <c r="A73" s="235" t="s">
        <v>1256</v>
      </c>
      <c r="C73" s="235" t="s">
        <v>1257</v>
      </c>
      <c r="D73" s="235" t="s">
        <v>1258</v>
      </c>
      <c r="E73" s="243">
        <v>6.58E13</v>
      </c>
      <c r="F73" s="244"/>
      <c r="G73" s="235" t="s">
        <v>1259</v>
      </c>
      <c r="H73" s="235" t="s">
        <v>1260</v>
      </c>
      <c r="I73" s="235" t="s">
        <v>1261</v>
      </c>
      <c r="J73" s="235" t="s">
        <v>1262</v>
      </c>
      <c r="K73" s="235" t="s">
        <v>1263</v>
      </c>
      <c r="N73" s="235" t="s">
        <v>51</v>
      </c>
      <c r="O73" s="235" t="s">
        <v>273</v>
      </c>
      <c r="P73" s="238">
        <v>1.0</v>
      </c>
      <c r="Q73" s="235" t="s">
        <v>627</v>
      </c>
      <c r="R73" s="238">
        <v>236.19</v>
      </c>
      <c r="S73" s="238">
        <v>11.81</v>
      </c>
      <c r="T73" s="238">
        <v>0.0</v>
      </c>
      <c r="U73" s="238">
        <v>0.0</v>
      </c>
      <c r="V73" s="238">
        <v>0.0</v>
      </c>
      <c r="W73" s="238">
        <v>0.0</v>
      </c>
      <c r="X73" s="235" t="s">
        <v>628</v>
      </c>
      <c r="Z73" s="244"/>
      <c r="AA73" s="244"/>
      <c r="AB73" s="244"/>
      <c r="AC73" s="235" t="s">
        <v>814</v>
      </c>
      <c r="AD73" s="235" t="s">
        <v>698</v>
      </c>
      <c r="AE73" s="238">
        <v>502032.0</v>
      </c>
      <c r="AF73" s="235" t="s">
        <v>631</v>
      </c>
      <c r="AG73" s="244"/>
      <c r="AH73" s="244"/>
      <c r="AI73" s="245"/>
      <c r="AJ73" s="245"/>
      <c r="AK73" s="245"/>
      <c r="AL73" s="245"/>
      <c r="AM73" s="244"/>
      <c r="AN73" s="244"/>
      <c r="AO73" s="238">
        <v>0.0</v>
      </c>
      <c r="AP73" s="238">
        <v>0.0</v>
      </c>
      <c r="AQ73" s="235" t="s">
        <v>632</v>
      </c>
      <c r="AR73" s="243">
        <v>2.02E11</v>
      </c>
      <c r="AS73" s="235" t="s">
        <v>667</v>
      </c>
      <c r="AT73" s="235" t="s">
        <v>546</v>
      </c>
      <c r="AU73" s="235" t="s">
        <v>634</v>
      </c>
      <c r="AV73" s="246" t="s">
        <v>635</v>
      </c>
      <c r="AW73" s="242"/>
      <c r="AX73" s="242"/>
      <c r="AY73" s="231"/>
      <c r="AZ73" s="231"/>
      <c r="BA73" s="227"/>
      <c r="BB73" s="231"/>
      <c r="BC73" s="227"/>
      <c r="BD73" s="227"/>
      <c r="BE73" s="227"/>
      <c r="BF73" s="227"/>
    </row>
    <row r="74">
      <c r="A74" s="235" t="s">
        <v>1264</v>
      </c>
      <c r="C74" s="235" t="s">
        <v>1265</v>
      </c>
      <c r="D74" s="235" t="s">
        <v>1266</v>
      </c>
      <c r="E74" s="243">
        <v>6.58E13</v>
      </c>
      <c r="F74" s="244"/>
      <c r="G74" s="235" t="s">
        <v>1267</v>
      </c>
      <c r="H74" s="235" t="s">
        <v>1268</v>
      </c>
      <c r="I74" s="235" t="s">
        <v>1269</v>
      </c>
      <c r="J74" s="235" t="s">
        <v>1270</v>
      </c>
      <c r="K74" s="235" t="s">
        <v>1271</v>
      </c>
      <c r="N74" s="235" t="s">
        <v>130</v>
      </c>
      <c r="O74" s="235" t="s">
        <v>707</v>
      </c>
      <c r="P74" s="238">
        <v>1.0</v>
      </c>
      <c r="Q74" s="235" t="s">
        <v>627</v>
      </c>
      <c r="R74" s="238">
        <v>246.67</v>
      </c>
      <c r="S74" s="238">
        <v>12.33</v>
      </c>
      <c r="T74" s="238">
        <v>0.0</v>
      </c>
      <c r="U74" s="238">
        <v>0.0</v>
      </c>
      <c r="V74" s="238">
        <v>0.0</v>
      </c>
      <c r="W74" s="238">
        <v>0.0</v>
      </c>
      <c r="X74" s="235" t="s">
        <v>628</v>
      </c>
      <c r="Z74" s="244"/>
      <c r="AA74" s="244"/>
      <c r="AB74" s="244"/>
      <c r="AC74" s="235" t="s">
        <v>795</v>
      </c>
      <c r="AD74" s="235" t="s">
        <v>796</v>
      </c>
      <c r="AE74" s="238">
        <v>110092.0</v>
      </c>
      <c r="AF74" s="235" t="s">
        <v>631</v>
      </c>
      <c r="AG74" s="244"/>
      <c r="AH74" s="244"/>
      <c r="AI74" s="245"/>
      <c r="AJ74" s="245"/>
      <c r="AK74" s="245"/>
      <c r="AL74" s="245"/>
      <c r="AM74" s="244"/>
      <c r="AN74" s="244"/>
      <c r="AO74" s="238">
        <v>0.0</v>
      </c>
      <c r="AP74" s="238">
        <v>0.0</v>
      </c>
      <c r="AQ74" s="235" t="s">
        <v>632</v>
      </c>
      <c r="AR74" s="243">
        <v>1.68E11</v>
      </c>
      <c r="AS74" s="235" t="s">
        <v>633</v>
      </c>
      <c r="AT74" s="235" t="s">
        <v>13</v>
      </c>
      <c r="AU74" s="235" t="s">
        <v>634</v>
      </c>
      <c r="AV74" s="246" t="s">
        <v>635</v>
      </c>
      <c r="AW74" s="242"/>
      <c r="AX74" s="242"/>
      <c r="AY74" s="231"/>
      <c r="AZ74" s="231"/>
      <c r="BA74" s="227"/>
      <c r="BB74" s="231"/>
      <c r="BC74" s="227"/>
      <c r="BD74" s="227"/>
      <c r="BE74" s="227"/>
      <c r="BF74" s="227"/>
    </row>
    <row r="75">
      <c r="A75" s="235" t="s">
        <v>1272</v>
      </c>
      <c r="C75" s="235" t="s">
        <v>1273</v>
      </c>
      <c r="D75" s="235" t="s">
        <v>1274</v>
      </c>
      <c r="E75" s="243">
        <v>6.57E13</v>
      </c>
      <c r="F75" s="244"/>
      <c r="G75" s="235" t="s">
        <v>1275</v>
      </c>
      <c r="H75" s="235" t="s">
        <v>1276</v>
      </c>
      <c r="I75" s="235" t="s">
        <v>1276</v>
      </c>
      <c r="J75" s="235" t="s">
        <v>1277</v>
      </c>
      <c r="K75" s="235" t="s">
        <v>1278</v>
      </c>
      <c r="N75" s="235" t="s">
        <v>141</v>
      </c>
      <c r="O75" s="235" t="s">
        <v>342</v>
      </c>
      <c r="P75" s="238">
        <v>1.0</v>
      </c>
      <c r="Q75" s="235" t="s">
        <v>627</v>
      </c>
      <c r="R75" s="238">
        <v>246.67</v>
      </c>
      <c r="S75" s="238">
        <v>12.33</v>
      </c>
      <c r="T75" s="238">
        <v>0.0</v>
      </c>
      <c r="U75" s="238">
        <v>0.0</v>
      </c>
      <c r="V75" s="238">
        <v>0.0</v>
      </c>
      <c r="W75" s="238">
        <v>0.0</v>
      </c>
      <c r="X75" s="235" t="s">
        <v>628</v>
      </c>
      <c r="Z75" s="244"/>
      <c r="AA75" s="244"/>
      <c r="AB75" s="244"/>
      <c r="AC75" s="235" t="s">
        <v>1279</v>
      </c>
      <c r="AD75" s="235" t="s">
        <v>917</v>
      </c>
      <c r="AE75" s="238">
        <v>302031.0</v>
      </c>
      <c r="AF75" s="235" t="s">
        <v>631</v>
      </c>
      <c r="AG75" s="244"/>
      <c r="AH75" s="244"/>
      <c r="AI75" s="245"/>
      <c r="AJ75" s="245"/>
      <c r="AK75" s="245"/>
      <c r="AL75" s="245"/>
      <c r="AM75" s="244"/>
      <c r="AN75" s="244"/>
      <c r="AO75" s="238">
        <v>0.0</v>
      </c>
      <c r="AP75" s="238">
        <v>0.0</v>
      </c>
      <c r="AQ75" s="235" t="s">
        <v>632</v>
      </c>
      <c r="AR75" s="243">
        <v>1.68E11</v>
      </c>
      <c r="AS75" s="235" t="s">
        <v>667</v>
      </c>
      <c r="AT75" s="235" t="s">
        <v>533</v>
      </c>
      <c r="AU75" s="235" t="s">
        <v>634</v>
      </c>
      <c r="AV75" s="246" t="s">
        <v>635</v>
      </c>
      <c r="AW75" s="242"/>
      <c r="AX75" s="242"/>
      <c r="AY75" s="231"/>
      <c r="AZ75" s="231"/>
      <c r="BA75" s="227"/>
      <c r="BB75" s="231"/>
      <c r="BC75" s="227"/>
      <c r="BD75" s="227"/>
      <c r="BE75" s="227"/>
      <c r="BF75" s="227"/>
    </row>
    <row r="76">
      <c r="A76" s="235" t="s">
        <v>1280</v>
      </c>
      <c r="C76" s="235" t="s">
        <v>1281</v>
      </c>
      <c r="D76" s="235" t="s">
        <v>1282</v>
      </c>
      <c r="E76" s="243">
        <v>6.57E13</v>
      </c>
      <c r="F76" s="244"/>
      <c r="G76" s="235" t="s">
        <v>1283</v>
      </c>
      <c r="H76" s="235" t="s">
        <v>1284</v>
      </c>
      <c r="I76" s="235" t="s">
        <v>1284</v>
      </c>
      <c r="J76" s="235" t="s">
        <v>1285</v>
      </c>
      <c r="K76" s="235" t="s">
        <v>1286</v>
      </c>
      <c r="N76" s="235" t="s">
        <v>726</v>
      </c>
      <c r="O76" s="235" t="s">
        <v>727</v>
      </c>
      <c r="P76" s="238">
        <v>1.0</v>
      </c>
      <c r="Q76" s="235" t="s">
        <v>627</v>
      </c>
      <c r="R76" s="238">
        <v>246.67</v>
      </c>
      <c r="S76" s="238">
        <v>11.96</v>
      </c>
      <c r="T76" s="238">
        <v>0.0</v>
      </c>
      <c r="U76" s="238">
        <v>0.0</v>
      </c>
      <c r="V76" s="238">
        <v>0.0</v>
      </c>
      <c r="W76" s="238">
        <v>0.0</v>
      </c>
      <c r="X76" s="235" t="s">
        <v>628</v>
      </c>
      <c r="Z76" s="244"/>
      <c r="AA76" s="244"/>
      <c r="AB76" s="244"/>
      <c r="AC76" s="235" t="s">
        <v>1287</v>
      </c>
      <c r="AD76" s="235" t="s">
        <v>630</v>
      </c>
      <c r="AE76" s="238">
        <v>201001.0</v>
      </c>
      <c r="AF76" s="235" t="s">
        <v>631</v>
      </c>
      <c r="AG76" s="244"/>
      <c r="AH76" s="244"/>
      <c r="AI76" s="245"/>
      <c r="AJ76" s="245"/>
      <c r="AK76" s="245"/>
      <c r="AL76" s="245"/>
      <c r="AM76" s="244"/>
      <c r="AN76" s="244"/>
      <c r="AO76" s="238">
        <v>-7.4</v>
      </c>
      <c r="AP76" s="238">
        <v>0.0</v>
      </c>
      <c r="AQ76" s="235" t="s">
        <v>632</v>
      </c>
      <c r="AR76" s="243">
        <v>3.71E11</v>
      </c>
      <c r="AS76" s="235" t="s">
        <v>656</v>
      </c>
      <c r="AT76" s="235" t="s">
        <v>533</v>
      </c>
      <c r="AU76" s="235" t="s">
        <v>634</v>
      </c>
      <c r="AV76" s="246" t="s">
        <v>635</v>
      </c>
      <c r="AW76" s="242"/>
      <c r="AX76" s="242"/>
      <c r="AY76" s="231"/>
      <c r="AZ76" s="231"/>
      <c r="BA76" s="227"/>
      <c r="BB76" s="231"/>
      <c r="BC76" s="227"/>
      <c r="BD76" s="227"/>
      <c r="BE76" s="227"/>
      <c r="BF76" s="227"/>
    </row>
    <row r="77">
      <c r="A77" s="235" t="s">
        <v>1280</v>
      </c>
      <c r="C77" s="235" t="s">
        <v>1281</v>
      </c>
      <c r="D77" s="235" t="s">
        <v>1288</v>
      </c>
      <c r="E77" s="243">
        <v>6.57E13</v>
      </c>
      <c r="F77" s="244"/>
      <c r="G77" s="235" t="s">
        <v>1283</v>
      </c>
      <c r="H77" s="235" t="s">
        <v>1284</v>
      </c>
      <c r="I77" s="235" t="s">
        <v>1284</v>
      </c>
      <c r="J77" s="235" t="s">
        <v>1285</v>
      </c>
      <c r="K77" s="235" t="s">
        <v>1286</v>
      </c>
      <c r="N77" s="235" t="s">
        <v>726</v>
      </c>
      <c r="O77" s="235" t="s">
        <v>727</v>
      </c>
      <c r="P77" s="238">
        <v>1.0</v>
      </c>
      <c r="Q77" s="235" t="s">
        <v>627</v>
      </c>
      <c r="R77" s="238">
        <v>246.67</v>
      </c>
      <c r="S77" s="238">
        <v>11.96</v>
      </c>
      <c r="T77" s="238">
        <v>0.0</v>
      </c>
      <c r="U77" s="238">
        <v>0.0</v>
      </c>
      <c r="V77" s="238">
        <v>0.0</v>
      </c>
      <c r="W77" s="238">
        <v>0.0</v>
      </c>
      <c r="X77" s="235" t="s">
        <v>628</v>
      </c>
      <c r="Z77" s="244"/>
      <c r="AA77" s="244"/>
      <c r="AB77" s="244"/>
      <c r="AC77" s="235" t="s">
        <v>1287</v>
      </c>
      <c r="AD77" s="235" t="s">
        <v>630</v>
      </c>
      <c r="AE77" s="238">
        <v>201001.0</v>
      </c>
      <c r="AF77" s="235" t="s">
        <v>631</v>
      </c>
      <c r="AG77" s="244"/>
      <c r="AH77" s="244"/>
      <c r="AI77" s="245"/>
      <c r="AJ77" s="245"/>
      <c r="AK77" s="245"/>
      <c r="AL77" s="245"/>
      <c r="AM77" s="244"/>
      <c r="AN77" s="244"/>
      <c r="AO77" s="238">
        <v>-7.4</v>
      </c>
      <c r="AP77" s="238">
        <v>0.0</v>
      </c>
      <c r="AQ77" s="235" t="s">
        <v>632</v>
      </c>
      <c r="AR77" s="243">
        <v>3.71E11</v>
      </c>
      <c r="AS77" s="235" t="s">
        <v>656</v>
      </c>
      <c r="AT77" s="235" t="s">
        <v>533</v>
      </c>
      <c r="AU77" s="235" t="s">
        <v>634</v>
      </c>
      <c r="AV77" s="246" t="s">
        <v>635</v>
      </c>
      <c r="AW77" s="242"/>
      <c r="AX77" s="242"/>
      <c r="AY77" s="231"/>
      <c r="AZ77" s="231"/>
      <c r="BA77" s="227"/>
      <c r="BB77" s="231"/>
      <c r="BC77" s="227"/>
      <c r="BD77" s="227"/>
      <c r="BE77" s="227"/>
      <c r="BF77" s="227"/>
    </row>
    <row r="78">
      <c r="A78" s="235" t="s">
        <v>1289</v>
      </c>
      <c r="C78" s="235" t="s">
        <v>1290</v>
      </c>
      <c r="D78" s="235" t="s">
        <v>1291</v>
      </c>
      <c r="E78" s="243">
        <v>6.57E13</v>
      </c>
      <c r="F78" s="244"/>
      <c r="G78" s="235" t="s">
        <v>1292</v>
      </c>
      <c r="H78" s="235" t="s">
        <v>1293</v>
      </c>
      <c r="I78" s="235" t="s">
        <v>1293</v>
      </c>
      <c r="J78" s="235" t="s">
        <v>1294</v>
      </c>
      <c r="K78" s="235" t="s">
        <v>1295</v>
      </c>
      <c r="N78" s="235" t="s">
        <v>54</v>
      </c>
      <c r="O78" s="235" t="s">
        <v>294</v>
      </c>
      <c r="P78" s="238">
        <v>1.0</v>
      </c>
      <c r="Q78" s="235" t="s">
        <v>627</v>
      </c>
      <c r="R78" s="238">
        <v>246.66</v>
      </c>
      <c r="S78" s="238">
        <v>12.34</v>
      </c>
      <c r="T78" s="238">
        <v>18.1</v>
      </c>
      <c r="U78" s="238">
        <v>0.9</v>
      </c>
      <c r="V78" s="238">
        <v>0.0</v>
      </c>
      <c r="W78" s="238">
        <v>0.0</v>
      </c>
      <c r="X78" s="235" t="s">
        <v>628</v>
      </c>
      <c r="Z78" s="244"/>
      <c r="AA78" s="244"/>
      <c r="AB78" s="244"/>
      <c r="AC78" s="235" t="s">
        <v>844</v>
      </c>
      <c r="AD78" s="235" t="s">
        <v>845</v>
      </c>
      <c r="AE78" s="238">
        <v>411045.0</v>
      </c>
      <c r="AF78" s="235" t="s">
        <v>631</v>
      </c>
      <c r="AG78" s="244"/>
      <c r="AH78" s="244"/>
      <c r="AI78" s="245"/>
      <c r="AJ78" s="245"/>
      <c r="AK78" s="245"/>
      <c r="AL78" s="245"/>
      <c r="AM78" s="244"/>
      <c r="AN78" s="244"/>
      <c r="AO78" s="238">
        <v>0.0</v>
      </c>
      <c r="AP78" s="238">
        <v>-18.1</v>
      </c>
      <c r="AQ78" s="235" t="s">
        <v>632</v>
      </c>
      <c r="AR78" s="243">
        <v>1.68E11</v>
      </c>
      <c r="AS78" s="235" t="s">
        <v>633</v>
      </c>
      <c r="AT78" s="235" t="s">
        <v>546</v>
      </c>
      <c r="AU78" s="235" t="s">
        <v>634</v>
      </c>
      <c r="AV78" s="246" t="s">
        <v>635</v>
      </c>
      <c r="AW78" s="242"/>
      <c r="AX78" s="242"/>
      <c r="AY78" s="231"/>
      <c r="AZ78" s="231"/>
      <c r="BA78" s="227"/>
      <c r="BB78" s="231"/>
      <c r="BC78" s="227"/>
      <c r="BD78" s="227"/>
      <c r="BE78" s="227"/>
      <c r="BF78" s="227"/>
    </row>
    <row r="79">
      <c r="A79" s="235" t="s">
        <v>1297</v>
      </c>
      <c r="C79" s="235" t="s">
        <v>1298</v>
      </c>
      <c r="D79" s="235" t="s">
        <v>1299</v>
      </c>
      <c r="E79" s="243">
        <v>6.57E13</v>
      </c>
      <c r="F79" s="244"/>
      <c r="G79" s="235" t="s">
        <v>1300</v>
      </c>
      <c r="H79" s="235" t="s">
        <v>1301</v>
      </c>
      <c r="I79" s="235" t="s">
        <v>1301</v>
      </c>
      <c r="J79" s="235" t="s">
        <v>1302</v>
      </c>
      <c r="K79" s="235" t="s">
        <v>1303</v>
      </c>
      <c r="N79" s="235" t="s">
        <v>42</v>
      </c>
      <c r="O79" s="235" t="s">
        <v>204</v>
      </c>
      <c r="P79" s="238">
        <v>1.0</v>
      </c>
      <c r="Q79" s="235" t="s">
        <v>627</v>
      </c>
      <c r="R79" s="238">
        <v>237.14</v>
      </c>
      <c r="S79" s="238">
        <v>11.86</v>
      </c>
      <c r="T79" s="238">
        <v>38.1</v>
      </c>
      <c r="U79" s="238">
        <v>1.9</v>
      </c>
      <c r="V79" s="238">
        <v>0.0</v>
      </c>
      <c r="W79" s="238">
        <v>0.0</v>
      </c>
      <c r="X79" s="235" t="s">
        <v>628</v>
      </c>
      <c r="Z79" s="244"/>
      <c r="AA79" s="244"/>
      <c r="AB79" s="244"/>
      <c r="AC79" s="235" t="s">
        <v>1304</v>
      </c>
      <c r="AD79" s="235" t="s">
        <v>833</v>
      </c>
      <c r="AE79" s="238">
        <v>522501.0</v>
      </c>
      <c r="AF79" s="235" t="s">
        <v>631</v>
      </c>
      <c r="AG79" s="244"/>
      <c r="AH79" s="244"/>
      <c r="AI79" s="245"/>
      <c r="AJ79" s="245"/>
      <c r="AK79" s="245"/>
      <c r="AL79" s="245"/>
      <c r="AM79" s="244"/>
      <c r="AN79" s="244"/>
      <c r="AO79" s="238">
        <v>0.0</v>
      </c>
      <c r="AP79" s="238">
        <v>-38.1</v>
      </c>
      <c r="AQ79" s="235" t="s">
        <v>632</v>
      </c>
      <c r="AR79" s="243">
        <v>3.71E11</v>
      </c>
      <c r="AS79" s="235" t="s">
        <v>656</v>
      </c>
      <c r="AT79" s="235" t="s">
        <v>156</v>
      </c>
      <c r="AU79" s="235" t="s">
        <v>634</v>
      </c>
      <c r="AV79" s="246" t="s">
        <v>635</v>
      </c>
      <c r="AW79" s="242"/>
      <c r="AX79" s="242"/>
      <c r="AY79" s="231"/>
      <c r="AZ79" s="231"/>
      <c r="BA79" s="227"/>
      <c r="BB79" s="231"/>
      <c r="BC79" s="227"/>
      <c r="BD79" s="227"/>
      <c r="BE79" s="227"/>
      <c r="BF79" s="227"/>
    </row>
    <row r="80">
      <c r="A80" s="235" t="s">
        <v>1305</v>
      </c>
      <c r="C80" s="235" t="s">
        <v>1306</v>
      </c>
      <c r="D80" s="235" t="s">
        <v>1307</v>
      </c>
      <c r="E80" s="243">
        <v>6.57E13</v>
      </c>
      <c r="F80" s="244"/>
      <c r="G80" s="235" t="s">
        <v>1308</v>
      </c>
      <c r="H80" s="235" t="s">
        <v>1309</v>
      </c>
      <c r="I80" s="235" t="s">
        <v>1309</v>
      </c>
      <c r="J80" s="235" t="s">
        <v>1310</v>
      </c>
      <c r="K80" s="235" t="s">
        <v>1311</v>
      </c>
      <c r="N80" s="235" t="s">
        <v>82</v>
      </c>
      <c r="O80" s="235" t="s">
        <v>889</v>
      </c>
      <c r="P80" s="238">
        <v>1.0</v>
      </c>
      <c r="Q80" s="235" t="s">
        <v>627</v>
      </c>
      <c r="R80" s="238">
        <v>246.66</v>
      </c>
      <c r="S80" s="238">
        <v>12.34</v>
      </c>
      <c r="T80" s="238">
        <v>0.0</v>
      </c>
      <c r="U80" s="238">
        <v>0.0</v>
      </c>
      <c r="V80" s="238">
        <v>0.0</v>
      </c>
      <c r="W80" s="238">
        <v>0.0</v>
      </c>
      <c r="X80" s="235" t="s">
        <v>628</v>
      </c>
      <c r="Z80" s="244"/>
      <c r="AA80" s="244"/>
      <c r="AB80" s="244"/>
      <c r="AC80" s="235" t="s">
        <v>1095</v>
      </c>
      <c r="AD80" s="235" t="s">
        <v>845</v>
      </c>
      <c r="AE80" s="238">
        <v>410210.0</v>
      </c>
      <c r="AF80" s="235" t="s">
        <v>631</v>
      </c>
      <c r="AG80" s="244"/>
      <c r="AH80" s="244"/>
      <c r="AI80" s="245"/>
      <c r="AJ80" s="245"/>
      <c r="AK80" s="245"/>
      <c r="AL80" s="245"/>
      <c r="AM80" s="244"/>
      <c r="AN80" s="244"/>
      <c r="AO80" s="238">
        <v>0.0</v>
      </c>
      <c r="AP80" s="238">
        <v>0.0</v>
      </c>
      <c r="AQ80" s="235" t="s">
        <v>632</v>
      </c>
      <c r="AR80" s="243">
        <v>3.71E11</v>
      </c>
      <c r="AS80" s="235" t="s">
        <v>667</v>
      </c>
      <c r="AT80" s="235" t="s">
        <v>16</v>
      </c>
      <c r="AU80" s="235" t="s">
        <v>634</v>
      </c>
      <c r="AV80" s="246" t="s">
        <v>635</v>
      </c>
      <c r="AW80" s="242"/>
      <c r="AX80" s="242"/>
      <c r="AY80" s="231"/>
      <c r="AZ80" s="231"/>
      <c r="BA80" s="227"/>
      <c r="BB80" s="231"/>
      <c r="BC80" s="227"/>
      <c r="BD80" s="227"/>
      <c r="BE80" s="227"/>
      <c r="BF80" s="227"/>
    </row>
    <row r="81">
      <c r="A81" s="235" t="s">
        <v>1312</v>
      </c>
      <c r="C81" s="235" t="s">
        <v>1313</v>
      </c>
      <c r="D81" s="235" t="s">
        <v>1314</v>
      </c>
      <c r="E81" s="243">
        <v>6.58E13</v>
      </c>
      <c r="F81" s="244"/>
      <c r="G81" s="235" t="s">
        <v>1315</v>
      </c>
      <c r="H81" s="235" t="s">
        <v>1316</v>
      </c>
      <c r="I81" s="235" t="s">
        <v>1317</v>
      </c>
      <c r="J81" s="235" t="s">
        <v>1318</v>
      </c>
      <c r="K81" s="235" t="s">
        <v>1319</v>
      </c>
      <c r="N81" s="235" t="s">
        <v>40</v>
      </c>
      <c r="O81" s="235" t="s">
        <v>327</v>
      </c>
      <c r="P81" s="238">
        <v>1.0</v>
      </c>
      <c r="Q81" s="235" t="s">
        <v>627</v>
      </c>
      <c r="R81" s="238">
        <v>237.14</v>
      </c>
      <c r="S81" s="238">
        <v>11.86</v>
      </c>
      <c r="T81" s="238">
        <v>0.0</v>
      </c>
      <c r="U81" s="238">
        <v>0.0</v>
      </c>
      <c r="V81" s="238">
        <v>0.0</v>
      </c>
      <c r="W81" s="238">
        <v>0.0</v>
      </c>
      <c r="X81" s="235" t="s">
        <v>628</v>
      </c>
      <c r="Z81" s="244"/>
      <c r="AA81" s="244"/>
      <c r="AB81" s="244"/>
      <c r="AC81" s="235" t="s">
        <v>1320</v>
      </c>
      <c r="AD81" s="235" t="s">
        <v>666</v>
      </c>
      <c r="AE81" s="238">
        <v>600076.0</v>
      </c>
      <c r="AF81" s="235" t="s">
        <v>631</v>
      </c>
      <c r="AG81" s="244"/>
      <c r="AH81" s="244"/>
      <c r="AI81" s="245"/>
      <c r="AJ81" s="245"/>
      <c r="AK81" s="245"/>
      <c r="AL81" s="245"/>
      <c r="AM81" s="244"/>
      <c r="AN81" s="244"/>
      <c r="AO81" s="238">
        <v>0.0</v>
      </c>
      <c r="AP81" s="238">
        <v>0.0</v>
      </c>
      <c r="AQ81" s="235" t="s">
        <v>632</v>
      </c>
      <c r="AR81" s="243">
        <v>1.68E11</v>
      </c>
      <c r="AS81" s="235" t="s">
        <v>633</v>
      </c>
      <c r="AT81" s="235" t="s">
        <v>156</v>
      </c>
      <c r="AU81" s="235" t="s">
        <v>634</v>
      </c>
      <c r="AV81" s="246" t="s">
        <v>635</v>
      </c>
      <c r="AW81" s="242"/>
      <c r="AX81" s="242"/>
      <c r="AY81" s="231"/>
      <c r="AZ81" s="231"/>
      <c r="BA81" s="227"/>
      <c r="BB81" s="231"/>
      <c r="BC81" s="227"/>
      <c r="BD81" s="227"/>
      <c r="BE81" s="227"/>
      <c r="BF81" s="227"/>
    </row>
    <row r="82">
      <c r="A82" s="235" t="s">
        <v>1321</v>
      </c>
      <c r="C82" s="235" t="s">
        <v>1322</v>
      </c>
      <c r="D82" s="235" t="s">
        <v>1323</v>
      </c>
      <c r="E82" s="243">
        <v>6.57E13</v>
      </c>
      <c r="F82" s="244"/>
      <c r="G82" s="235" t="s">
        <v>1324</v>
      </c>
      <c r="H82" s="235" t="s">
        <v>1325</v>
      </c>
      <c r="I82" s="235" t="s">
        <v>1325</v>
      </c>
      <c r="J82" s="235" t="s">
        <v>1326</v>
      </c>
      <c r="K82" s="235" t="s">
        <v>1327</v>
      </c>
      <c r="N82" s="235" t="s">
        <v>82</v>
      </c>
      <c r="O82" s="235" t="s">
        <v>889</v>
      </c>
      <c r="P82" s="238">
        <v>1.0</v>
      </c>
      <c r="Q82" s="235" t="s">
        <v>627</v>
      </c>
      <c r="R82" s="238">
        <v>246.66</v>
      </c>
      <c r="S82" s="238">
        <v>12.34</v>
      </c>
      <c r="T82" s="238">
        <v>0.0</v>
      </c>
      <c r="U82" s="238">
        <v>0.0</v>
      </c>
      <c r="V82" s="238">
        <v>0.0</v>
      </c>
      <c r="W82" s="238">
        <v>0.0</v>
      </c>
      <c r="X82" s="235" t="s">
        <v>628</v>
      </c>
      <c r="Z82" s="244"/>
      <c r="AA82" s="244"/>
      <c r="AB82" s="244"/>
      <c r="AC82" s="235" t="s">
        <v>991</v>
      </c>
      <c r="AD82" s="235" t="s">
        <v>845</v>
      </c>
      <c r="AE82" s="238">
        <v>416205.0</v>
      </c>
      <c r="AF82" s="235" t="s">
        <v>631</v>
      </c>
      <c r="AG82" s="244"/>
      <c r="AH82" s="244"/>
      <c r="AI82" s="245"/>
      <c r="AJ82" s="245"/>
      <c r="AK82" s="245"/>
      <c r="AL82" s="245"/>
      <c r="AM82" s="244"/>
      <c r="AN82" s="244"/>
      <c r="AO82" s="238">
        <v>0.0</v>
      </c>
      <c r="AP82" s="238">
        <v>0.0</v>
      </c>
      <c r="AQ82" s="235" t="s">
        <v>1328</v>
      </c>
      <c r="AR82" s="243">
        <v>1.34E13</v>
      </c>
      <c r="AS82" s="235" t="s">
        <v>1329</v>
      </c>
      <c r="AT82" s="235" t="s">
        <v>16</v>
      </c>
      <c r="AU82" s="235" t="s">
        <v>634</v>
      </c>
      <c r="AV82" s="246" t="s">
        <v>635</v>
      </c>
      <c r="AW82" s="242"/>
      <c r="AX82" s="242"/>
      <c r="AY82" s="231"/>
      <c r="AZ82" s="231"/>
      <c r="BA82" s="227"/>
      <c r="BB82" s="231"/>
      <c r="BC82" s="227"/>
      <c r="BD82" s="227"/>
      <c r="BE82" s="227"/>
      <c r="BF82" s="227"/>
    </row>
    <row r="83">
      <c r="A83" s="235" t="s">
        <v>1330</v>
      </c>
      <c r="C83" s="235" t="s">
        <v>1331</v>
      </c>
      <c r="D83" s="235" t="s">
        <v>1332</v>
      </c>
      <c r="E83" s="243">
        <v>6.57E13</v>
      </c>
      <c r="F83" s="244"/>
      <c r="G83" s="235" t="s">
        <v>1333</v>
      </c>
      <c r="H83" s="235" t="s">
        <v>1334</v>
      </c>
      <c r="I83" s="235" t="s">
        <v>1334</v>
      </c>
      <c r="J83" s="235" t="s">
        <v>1335</v>
      </c>
      <c r="K83" s="235" t="s">
        <v>1336</v>
      </c>
      <c r="N83" s="235" t="s">
        <v>136</v>
      </c>
      <c r="O83" s="235" t="s">
        <v>256</v>
      </c>
      <c r="P83" s="238">
        <v>1.0</v>
      </c>
      <c r="Q83" s="235" t="s">
        <v>627</v>
      </c>
      <c r="R83" s="238">
        <v>246.66</v>
      </c>
      <c r="S83" s="238">
        <v>12.34</v>
      </c>
      <c r="T83" s="238">
        <v>38.1</v>
      </c>
      <c r="U83" s="238">
        <v>1.9</v>
      </c>
      <c r="V83" s="238">
        <v>0.0</v>
      </c>
      <c r="W83" s="238">
        <v>0.0</v>
      </c>
      <c r="X83" s="235" t="s">
        <v>628</v>
      </c>
      <c r="Z83" s="244"/>
      <c r="AA83" s="244"/>
      <c r="AB83" s="244"/>
      <c r="AC83" s="235" t="s">
        <v>844</v>
      </c>
      <c r="AD83" s="235" t="s">
        <v>845</v>
      </c>
      <c r="AE83" s="238">
        <v>411062.0</v>
      </c>
      <c r="AF83" s="235" t="s">
        <v>631</v>
      </c>
      <c r="AG83" s="244"/>
      <c r="AH83" s="244"/>
      <c r="AI83" s="245"/>
      <c r="AJ83" s="245"/>
      <c r="AK83" s="245"/>
      <c r="AL83" s="245"/>
      <c r="AM83" s="244"/>
      <c r="AN83" s="244"/>
      <c r="AO83" s="238">
        <v>0.0</v>
      </c>
      <c r="AP83" s="238">
        <v>-38.1</v>
      </c>
      <c r="AQ83" s="235" t="s">
        <v>632</v>
      </c>
      <c r="AR83" s="243">
        <v>3.71E11</v>
      </c>
      <c r="AS83" s="235" t="s">
        <v>667</v>
      </c>
      <c r="AT83" s="235" t="s">
        <v>546</v>
      </c>
      <c r="AU83" s="235" t="s">
        <v>634</v>
      </c>
      <c r="AV83" s="246" t="s">
        <v>635</v>
      </c>
      <c r="AW83" s="242"/>
      <c r="AX83" s="242"/>
      <c r="AY83" s="231"/>
      <c r="AZ83" s="231"/>
      <c r="BA83" s="227"/>
      <c r="BB83" s="231"/>
      <c r="BC83" s="227"/>
      <c r="BD83" s="227"/>
      <c r="BE83" s="227"/>
      <c r="BF83" s="227"/>
    </row>
    <row r="84">
      <c r="A84" s="235" t="s">
        <v>1338</v>
      </c>
      <c r="C84" s="235" t="s">
        <v>1339</v>
      </c>
      <c r="D84" s="235" t="s">
        <v>1340</v>
      </c>
      <c r="E84" s="243">
        <v>6.57E13</v>
      </c>
      <c r="F84" s="244"/>
      <c r="G84" s="235" t="s">
        <v>1341</v>
      </c>
      <c r="H84" s="235" t="s">
        <v>1342</v>
      </c>
      <c r="I84" s="235" t="s">
        <v>1343</v>
      </c>
      <c r="J84" s="235" t="s">
        <v>1344</v>
      </c>
      <c r="K84" s="235" t="s">
        <v>1345</v>
      </c>
      <c r="N84" s="235" t="s">
        <v>1346</v>
      </c>
      <c r="O84" s="235" t="s">
        <v>1347</v>
      </c>
      <c r="P84" s="238">
        <v>1.0</v>
      </c>
      <c r="Q84" s="235" t="s">
        <v>627</v>
      </c>
      <c r="R84" s="238">
        <v>256.19</v>
      </c>
      <c r="S84" s="238">
        <v>12.81</v>
      </c>
      <c r="T84" s="238">
        <v>0.0</v>
      </c>
      <c r="U84" s="238">
        <v>0.0</v>
      </c>
      <c r="V84" s="238">
        <v>0.0</v>
      </c>
      <c r="W84" s="238">
        <v>0.0</v>
      </c>
      <c r="X84" s="235" t="s">
        <v>628</v>
      </c>
      <c r="Z84" s="244"/>
      <c r="AA84" s="244"/>
      <c r="AB84" s="244"/>
      <c r="AC84" s="235" t="s">
        <v>697</v>
      </c>
      <c r="AD84" s="235" t="s">
        <v>698</v>
      </c>
      <c r="AE84" s="238">
        <v>500072.0</v>
      </c>
      <c r="AF84" s="235" t="s">
        <v>631</v>
      </c>
      <c r="AG84" s="244"/>
      <c r="AH84" s="244"/>
      <c r="AI84" s="245"/>
      <c r="AJ84" s="245"/>
      <c r="AK84" s="245"/>
      <c r="AL84" s="245"/>
      <c r="AM84" s="244"/>
      <c r="AN84" s="244"/>
      <c r="AO84" s="238">
        <v>0.0</v>
      </c>
      <c r="AP84" s="238">
        <v>0.0</v>
      </c>
      <c r="AQ84" s="235" t="s">
        <v>632</v>
      </c>
      <c r="AR84" s="243">
        <v>3.71E11</v>
      </c>
      <c r="AS84" s="235" t="s">
        <v>656</v>
      </c>
      <c r="AT84" s="235" t="s">
        <v>546</v>
      </c>
      <c r="AU84" s="235" t="s">
        <v>634</v>
      </c>
      <c r="AV84" s="246" t="s">
        <v>635</v>
      </c>
      <c r="AW84" s="242"/>
      <c r="AX84" s="242"/>
      <c r="AY84" s="231"/>
      <c r="AZ84" s="231"/>
      <c r="BA84" s="227"/>
      <c r="BB84" s="231"/>
      <c r="BC84" s="227"/>
      <c r="BD84" s="227"/>
      <c r="BE84" s="227"/>
      <c r="BF84" s="227"/>
    </row>
    <row r="85">
      <c r="A85" s="235" t="s">
        <v>1348</v>
      </c>
      <c r="C85" s="235" t="s">
        <v>1349</v>
      </c>
      <c r="D85" s="235" t="s">
        <v>1350</v>
      </c>
      <c r="E85" s="243">
        <v>6.57E13</v>
      </c>
      <c r="F85" s="244"/>
      <c r="G85" s="235" t="s">
        <v>1351</v>
      </c>
      <c r="H85" s="235" t="s">
        <v>1352</v>
      </c>
      <c r="I85" s="235" t="s">
        <v>1352</v>
      </c>
      <c r="J85" s="235" t="s">
        <v>1353</v>
      </c>
      <c r="K85" s="235" t="s">
        <v>1354</v>
      </c>
      <c r="N85" s="235" t="s">
        <v>85</v>
      </c>
      <c r="O85" s="235" t="s">
        <v>872</v>
      </c>
      <c r="P85" s="238">
        <v>1.0</v>
      </c>
      <c r="Q85" s="235" t="s">
        <v>627</v>
      </c>
      <c r="R85" s="238">
        <v>246.67</v>
      </c>
      <c r="S85" s="238">
        <v>12.33</v>
      </c>
      <c r="T85" s="238">
        <v>38.1</v>
      </c>
      <c r="U85" s="238">
        <v>1.9</v>
      </c>
      <c r="V85" s="238">
        <v>0.0</v>
      </c>
      <c r="W85" s="238">
        <v>0.0</v>
      </c>
      <c r="X85" s="235" t="s">
        <v>628</v>
      </c>
      <c r="Z85" s="244"/>
      <c r="AA85" s="244"/>
      <c r="AB85" s="244"/>
      <c r="AC85" s="235" t="s">
        <v>1355</v>
      </c>
      <c r="AD85" s="235" t="s">
        <v>833</v>
      </c>
      <c r="AE85" s="238">
        <v>518217.0</v>
      </c>
      <c r="AF85" s="235" t="s">
        <v>631</v>
      </c>
      <c r="AG85" s="244"/>
      <c r="AH85" s="244"/>
      <c r="AI85" s="245"/>
      <c r="AJ85" s="245"/>
      <c r="AK85" s="245"/>
      <c r="AL85" s="245"/>
      <c r="AM85" s="244"/>
      <c r="AN85" s="244"/>
      <c r="AO85" s="238">
        <v>0.0</v>
      </c>
      <c r="AP85" s="238">
        <v>-38.1</v>
      </c>
      <c r="AQ85" s="235" t="s">
        <v>1356</v>
      </c>
      <c r="AR85" s="247" t="s">
        <v>1357</v>
      </c>
      <c r="AS85" s="235" t="s">
        <v>1358</v>
      </c>
      <c r="AT85" s="235" t="s">
        <v>155</v>
      </c>
      <c r="AU85" s="235" t="s">
        <v>634</v>
      </c>
      <c r="AV85" s="246" t="s">
        <v>635</v>
      </c>
      <c r="AW85" s="242"/>
      <c r="AX85" s="242"/>
      <c r="AY85" s="231"/>
      <c r="AZ85" s="231"/>
      <c r="BA85" s="227"/>
      <c r="BB85" s="231"/>
      <c r="BC85" s="227"/>
      <c r="BD85" s="227"/>
      <c r="BE85" s="227"/>
      <c r="BF85" s="227"/>
    </row>
    <row r="86">
      <c r="A86" s="235" t="s">
        <v>1359</v>
      </c>
      <c r="C86" s="235" t="s">
        <v>1360</v>
      </c>
      <c r="D86" s="235" t="s">
        <v>1361</v>
      </c>
      <c r="E86" s="243">
        <v>6.57E13</v>
      </c>
      <c r="F86" s="244"/>
      <c r="G86" s="235" t="s">
        <v>1362</v>
      </c>
      <c r="H86" s="235" t="s">
        <v>1363</v>
      </c>
      <c r="I86" s="235" t="s">
        <v>1364</v>
      </c>
      <c r="J86" s="235" t="s">
        <v>1365</v>
      </c>
      <c r="K86" s="235" t="s">
        <v>1366</v>
      </c>
      <c r="N86" s="235" t="s">
        <v>90</v>
      </c>
      <c r="O86" s="235" t="s">
        <v>279</v>
      </c>
      <c r="P86" s="238">
        <v>1.0</v>
      </c>
      <c r="Q86" s="235" t="s">
        <v>627</v>
      </c>
      <c r="R86" s="238">
        <v>246.66</v>
      </c>
      <c r="S86" s="238">
        <v>12.34</v>
      </c>
      <c r="T86" s="238">
        <v>0.0</v>
      </c>
      <c r="U86" s="238">
        <v>0.0</v>
      </c>
      <c r="V86" s="238">
        <v>0.0</v>
      </c>
      <c r="W86" s="238">
        <v>0.0</v>
      </c>
      <c r="X86" s="235" t="s">
        <v>628</v>
      </c>
      <c r="Z86" s="244"/>
      <c r="AA86" s="244"/>
      <c r="AB86" s="244"/>
      <c r="AC86" s="235" t="s">
        <v>678</v>
      </c>
      <c r="AD86" s="235" t="s">
        <v>679</v>
      </c>
      <c r="AE86" s="238">
        <v>560097.0</v>
      </c>
      <c r="AF86" s="235" t="s">
        <v>631</v>
      </c>
      <c r="AG86" s="244"/>
      <c r="AH86" s="244"/>
      <c r="AI86" s="245"/>
      <c r="AJ86" s="245"/>
      <c r="AK86" s="245"/>
      <c r="AL86" s="245"/>
      <c r="AM86" s="244"/>
      <c r="AN86" s="244"/>
      <c r="AO86" s="238">
        <v>0.0</v>
      </c>
      <c r="AP86" s="238">
        <v>0.0</v>
      </c>
      <c r="AQ86" s="235" t="s">
        <v>632</v>
      </c>
      <c r="AR86" s="243">
        <v>1.68E11</v>
      </c>
      <c r="AS86" s="235" t="s">
        <v>1367</v>
      </c>
      <c r="AT86" s="235" t="s">
        <v>11</v>
      </c>
      <c r="AU86" s="235" t="s">
        <v>634</v>
      </c>
      <c r="AV86" s="246" t="s">
        <v>635</v>
      </c>
      <c r="AW86" s="242"/>
      <c r="AX86" s="242"/>
      <c r="AY86" s="231"/>
      <c r="AZ86" s="231"/>
      <c r="BA86" s="227"/>
      <c r="BB86" s="231"/>
      <c r="BC86" s="227"/>
      <c r="BD86" s="227"/>
      <c r="BE86" s="227"/>
      <c r="BF86" s="227"/>
    </row>
    <row r="87">
      <c r="A87" s="235" t="s">
        <v>1368</v>
      </c>
      <c r="C87" s="235" t="s">
        <v>1369</v>
      </c>
      <c r="D87" s="235" t="s">
        <v>1370</v>
      </c>
      <c r="E87" s="243">
        <v>6.57E13</v>
      </c>
      <c r="F87" s="244"/>
      <c r="G87" s="235" t="s">
        <v>1371</v>
      </c>
      <c r="H87" s="235" t="s">
        <v>1372</v>
      </c>
      <c r="I87" s="235" t="s">
        <v>1372</v>
      </c>
      <c r="J87" s="235" t="s">
        <v>1373</v>
      </c>
      <c r="K87" s="235" t="s">
        <v>1374</v>
      </c>
      <c r="N87" s="235" t="s">
        <v>42</v>
      </c>
      <c r="O87" s="235" t="s">
        <v>204</v>
      </c>
      <c r="P87" s="238">
        <v>1.0</v>
      </c>
      <c r="Q87" s="235" t="s">
        <v>627</v>
      </c>
      <c r="R87" s="238">
        <v>237.14</v>
      </c>
      <c r="S87" s="238">
        <v>11.86</v>
      </c>
      <c r="T87" s="238">
        <v>0.0</v>
      </c>
      <c r="U87" s="238">
        <v>0.0</v>
      </c>
      <c r="V87" s="238">
        <v>0.0</v>
      </c>
      <c r="W87" s="238">
        <v>0.0</v>
      </c>
      <c r="X87" s="235" t="s">
        <v>628</v>
      </c>
      <c r="Z87" s="244"/>
      <c r="AA87" s="244"/>
      <c r="AB87" s="244"/>
      <c r="AC87" s="235" t="s">
        <v>697</v>
      </c>
      <c r="AD87" s="235" t="s">
        <v>698</v>
      </c>
      <c r="AE87" s="238">
        <v>500097.0</v>
      </c>
      <c r="AF87" s="235" t="s">
        <v>631</v>
      </c>
      <c r="AG87" s="244"/>
      <c r="AH87" s="244"/>
      <c r="AI87" s="245"/>
      <c r="AJ87" s="245"/>
      <c r="AK87" s="245"/>
      <c r="AL87" s="245"/>
      <c r="AM87" s="244"/>
      <c r="AN87" s="244"/>
      <c r="AO87" s="238">
        <v>0.0</v>
      </c>
      <c r="AP87" s="238">
        <v>0.0</v>
      </c>
      <c r="AQ87" s="235" t="s">
        <v>632</v>
      </c>
      <c r="AR87" s="243">
        <v>1.68E11</v>
      </c>
      <c r="AS87" s="235" t="s">
        <v>667</v>
      </c>
      <c r="AT87" s="235" t="s">
        <v>9</v>
      </c>
      <c r="AU87" s="235" t="s">
        <v>634</v>
      </c>
      <c r="AV87" s="246" t="s">
        <v>635</v>
      </c>
      <c r="AW87" s="242"/>
      <c r="AX87" s="242"/>
      <c r="AY87" s="231"/>
      <c r="AZ87" s="231"/>
      <c r="BA87" s="227"/>
      <c r="BB87" s="231"/>
      <c r="BC87" s="227"/>
      <c r="BD87" s="227"/>
      <c r="BE87" s="227"/>
      <c r="BF87" s="227"/>
    </row>
    <row r="88">
      <c r="A88" s="235" t="s">
        <v>1375</v>
      </c>
      <c r="C88" s="235" t="s">
        <v>1376</v>
      </c>
      <c r="D88" s="235" t="s">
        <v>1377</v>
      </c>
      <c r="E88" s="243">
        <v>6.57E13</v>
      </c>
      <c r="F88" s="244"/>
      <c r="G88" s="235" t="s">
        <v>1378</v>
      </c>
      <c r="H88" s="235" t="s">
        <v>1379</v>
      </c>
      <c r="I88" s="235" t="s">
        <v>1379</v>
      </c>
      <c r="J88" s="235" t="s">
        <v>1380</v>
      </c>
      <c r="K88" s="235" t="s">
        <v>1381</v>
      </c>
      <c r="N88" s="235" t="s">
        <v>85</v>
      </c>
      <c r="O88" s="235" t="s">
        <v>872</v>
      </c>
      <c r="P88" s="238">
        <v>1.0</v>
      </c>
      <c r="Q88" s="235" t="s">
        <v>627</v>
      </c>
      <c r="R88" s="238">
        <v>246.66</v>
      </c>
      <c r="S88" s="238">
        <v>12.34</v>
      </c>
      <c r="T88" s="238">
        <v>0.0</v>
      </c>
      <c r="U88" s="238">
        <v>0.0</v>
      </c>
      <c r="V88" s="238">
        <v>0.0</v>
      </c>
      <c r="W88" s="238">
        <v>0.0</v>
      </c>
      <c r="X88" s="235" t="s">
        <v>628</v>
      </c>
      <c r="Z88" s="244"/>
      <c r="AA88" s="244"/>
      <c r="AB88" s="244"/>
      <c r="AC88" s="235" t="s">
        <v>1382</v>
      </c>
      <c r="AD88" s="235" t="s">
        <v>679</v>
      </c>
      <c r="AE88" s="238">
        <v>590010.0</v>
      </c>
      <c r="AF88" s="235" t="s">
        <v>631</v>
      </c>
      <c r="AG88" s="244"/>
      <c r="AH88" s="244"/>
      <c r="AI88" s="245"/>
      <c r="AJ88" s="245"/>
      <c r="AK88" s="245"/>
      <c r="AL88" s="245"/>
      <c r="AM88" s="244"/>
      <c r="AN88" s="244"/>
      <c r="AO88" s="238">
        <v>0.0</v>
      </c>
      <c r="AP88" s="238">
        <v>0.0</v>
      </c>
      <c r="AQ88" s="235" t="s">
        <v>632</v>
      </c>
      <c r="AR88" s="243">
        <v>1.68E11</v>
      </c>
      <c r="AS88" s="235" t="s">
        <v>667</v>
      </c>
      <c r="AT88" s="235" t="s">
        <v>11</v>
      </c>
      <c r="AU88" s="235" t="s">
        <v>634</v>
      </c>
      <c r="AV88" s="246" t="s">
        <v>635</v>
      </c>
      <c r="AW88" s="242"/>
      <c r="AX88" s="242"/>
      <c r="AY88" s="231"/>
      <c r="AZ88" s="231"/>
      <c r="BA88" s="227"/>
      <c r="BB88" s="231"/>
      <c r="BC88" s="227"/>
      <c r="BD88" s="227"/>
      <c r="BE88" s="227"/>
      <c r="BF88" s="227"/>
    </row>
    <row r="89">
      <c r="A89" s="235" t="s">
        <v>1384</v>
      </c>
      <c r="C89" s="235" t="s">
        <v>1385</v>
      </c>
      <c r="D89" s="235" t="s">
        <v>1386</v>
      </c>
      <c r="E89" s="243">
        <v>6.57E13</v>
      </c>
      <c r="F89" s="244"/>
      <c r="G89" s="235" t="s">
        <v>1387</v>
      </c>
      <c r="H89" s="235" t="s">
        <v>1388</v>
      </c>
      <c r="I89" s="235" t="s">
        <v>1388</v>
      </c>
      <c r="J89" s="235" t="s">
        <v>1389</v>
      </c>
      <c r="K89" s="235" t="s">
        <v>1390</v>
      </c>
      <c r="N89" s="235" t="s">
        <v>127</v>
      </c>
      <c r="O89" s="235" t="s">
        <v>794</v>
      </c>
      <c r="P89" s="238">
        <v>1.0</v>
      </c>
      <c r="Q89" s="235" t="s">
        <v>627</v>
      </c>
      <c r="R89" s="238">
        <v>246.67</v>
      </c>
      <c r="S89" s="238">
        <v>12.33</v>
      </c>
      <c r="T89" s="238">
        <v>0.0</v>
      </c>
      <c r="U89" s="238">
        <v>0.0</v>
      </c>
      <c r="V89" s="238">
        <v>0.0</v>
      </c>
      <c r="W89" s="238">
        <v>0.0</v>
      </c>
      <c r="X89" s="235" t="s">
        <v>628</v>
      </c>
      <c r="Z89" s="244"/>
      <c r="AA89" s="244"/>
      <c r="AB89" s="244"/>
      <c r="AC89" s="235" t="s">
        <v>1287</v>
      </c>
      <c r="AD89" s="235" t="s">
        <v>630</v>
      </c>
      <c r="AE89" s="238">
        <v>201003.0</v>
      </c>
      <c r="AF89" s="235" t="s">
        <v>631</v>
      </c>
      <c r="AG89" s="244"/>
      <c r="AH89" s="244"/>
      <c r="AI89" s="245"/>
      <c r="AJ89" s="245"/>
      <c r="AK89" s="245"/>
      <c r="AL89" s="245"/>
      <c r="AM89" s="244"/>
      <c r="AN89" s="244"/>
      <c r="AO89" s="238">
        <v>0.0</v>
      </c>
      <c r="AP89" s="238">
        <v>0.0</v>
      </c>
      <c r="AQ89" s="235" t="s">
        <v>1328</v>
      </c>
      <c r="AR89" s="243">
        <v>1.34E13</v>
      </c>
      <c r="AS89" s="235" t="s">
        <v>1391</v>
      </c>
      <c r="AT89" s="235" t="s">
        <v>14</v>
      </c>
      <c r="AU89" s="235" t="s">
        <v>634</v>
      </c>
      <c r="AV89" s="246" t="s">
        <v>635</v>
      </c>
      <c r="AW89" s="242"/>
      <c r="AX89" s="242"/>
      <c r="AY89" s="231"/>
      <c r="AZ89" s="231"/>
      <c r="BA89" s="227"/>
      <c r="BB89" s="227"/>
      <c r="BC89" s="227"/>
      <c r="BD89" s="227"/>
      <c r="BE89" s="227"/>
      <c r="BF89" s="227"/>
    </row>
    <row r="90">
      <c r="A90" s="235" t="s">
        <v>1392</v>
      </c>
      <c r="C90" s="235" t="s">
        <v>1393</v>
      </c>
      <c r="D90" s="235" t="s">
        <v>1394</v>
      </c>
      <c r="E90" s="243">
        <v>6.57E13</v>
      </c>
      <c r="F90" s="244"/>
      <c r="G90" s="235" t="s">
        <v>1395</v>
      </c>
      <c r="H90" s="235" t="s">
        <v>1396</v>
      </c>
      <c r="I90" s="235" t="s">
        <v>1396</v>
      </c>
      <c r="J90" s="235" t="s">
        <v>1397</v>
      </c>
      <c r="K90" s="235" t="s">
        <v>1398</v>
      </c>
      <c r="N90" s="235" t="s">
        <v>127</v>
      </c>
      <c r="O90" s="235" t="s">
        <v>794</v>
      </c>
      <c r="P90" s="238">
        <v>1.0</v>
      </c>
      <c r="Q90" s="235" t="s">
        <v>627</v>
      </c>
      <c r="R90" s="238">
        <v>246.66</v>
      </c>
      <c r="S90" s="238">
        <v>12.34</v>
      </c>
      <c r="T90" s="238">
        <v>0.0</v>
      </c>
      <c r="U90" s="238">
        <v>0.0</v>
      </c>
      <c r="V90" s="238">
        <v>0.0</v>
      </c>
      <c r="W90" s="238">
        <v>0.0</v>
      </c>
      <c r="X90" s="235" t="s">
        <v>628</v>
      </c>
      <c r="Z90" s="244"/>
      <c r="AA90" s="244"/>
      <c r="AB90" s="244"/>
      <c r="AC90" s="235" t="s">
        <v>687</v>
      </c>
      <c r="AD90" s="235" t="s">
        <v>666</v>
      </c>
      <c r="AE90" s="238">
        <v>600037.0</v>
      </c>
      <c r="AF90" s="235" t="s">
        <v>631</v>
      </c>
      <c r="AG90" s="244"/>
      <c r="AH90" s="244"/>
      <c r="AI90" s="245"/>
      <c r="AJ90" s="245"/>
      <c r="AK90" s="245"/>
      <c r="AL90" s="245"/>
      <c r="AM90" s="244"/>
      <c r="AN90" s="244"/>
      <c r="AO90" s="238">
        <v>0.0</v>
      </c>
      <c r="AP90" s="238">
        <v>0.0</v>
      </c>
      <c r="AQ90" s="235" t="s">
        <v>632</v>
      </c>
      <c r="AR90" s="243">
        <v>1.68E11</v>
      </c>
      <c r="AS90" s="235" t="s">
        <v>1367</v>
      </c>
      <c r="AT90" s="235" t="s">
        <v>156</v>
      </c>
      <c r="AU90" s="235" t="s">
        <v>634</v>
      </c>
      <c r="AV90" s="246" t="s">
        <v>635</v>
      </c>
      <c r="AW90" s="242"/>
      <c r="AX90" s="242"/>
      <c r="AY90" s="231"/>
      <c r="AZ90" s="231"/>
      <c r="BA90" s="227"/>
      <c r="BB90" s="231"/>
      <c r="BC90" s="227"/>
      <c r="BD90" s="227"/>
      <c r="BE90" s="227"/>
      <c r="BF90" s="227"/>
    </row>
    <row r="91">
      <c r="A91" s="235" t="s">
        <v>1399</v>
      </c>
      <c r="C91" s="235" t="s">
        <v>1400</v>
      </c>
      <c r="D91" s="235" t="s">
        <v>1401</v>
      </c>
      <c r="E91" s="243">
        <v>6.57E13</v>
      </c>
      <c r="F91" s="244"/>
      <c r="G91" s="235" t="s">
        <v>1402</v>
      </c>
      <c r="H91" s="235" t="s">
        <v>1403</v>
      </c>
      <c r="I91" s="235" t="s">
        <v>1403</v>
      </c>
      <c r="J91" s="235" t="s">
        <v>1404</v>
      </c>
      <c r="K91" s="235" t="s">
        <v>1405</v>
      </c>
      <c r="N91" s="235" t="s">
        <v>42</v>
      </c>
      <c r="O91" s="235" t="s">
        <v>204</v>
      </c>
      <c r="P91" s="238">
        <v>1.0</v>
      </c>
      <c r="Q91" s="235" t="s">
        <v>627</v>
      </c>
      <c r="R91" s="238">
        <v>237.14</v>
      </c>
      <c r="S91" s="238">
        <v>11.62</v>
      </c>
      <c r="T91" s="238">
        <v>0.0</v>
      </c>
      <c r="U91" s="238">
        <v>0.0</v>
      </c>
      <c r="V91" s="238">
        <v>0.0</v>
      </c>
      <c r="W91" s="238">
        <v>0.0</v>
      </c>
      <c r="X91" s="235" t="s">
        <v>628</v>
      </c>
      <c r="Z91" s="244"/>
      <c r="AA91" s="244"/>
      <c r="AB91" s="244"/>
      <c r="AC91" s="235" t="s">
        <v>1406</v>
      </c>
      <c r="AD91" s="235" t="s">
        <v>854</v>
      </c>
      <c r="AE91" s="238">
        <v>403602.0</v>
      </c>
      <c r="AF91" s="235" t="s">
        <v>631</v>
      </c>
      <c r="AG91" s="244"/>
      <c r="AH91" s="244"/>
      <c r="AI91" s="245"/>
      <c r="AJ91" s="245"/>
      <c r="AK91" s="245"/>
      <c r="AL91" s="245"/>
      <c r="AM91" s="244"/>
      <c r="AN91" s="244"/>
      <c r="AO91" s="238">
        <v>-4.74</v>
      </c>
      <c r="AP91" s="238">
        <v>0.0</v>
      </c>
      <c r="AQ91" s="235" t="s">
        <v>632</v>
      </c>
      <c r="AR91" s="243">
        <v>2.02E11</v>
      </c>
      <c r="AS91" s="235" t="s">
        <v>656</v>
      </c>
      <c r="AT91" s="235" t="s">
        <v>17</v>
      </c>
      <c r="AU91" s="235" t="s">
        <v>634</v>
      </c>
      <c r="AV91" s="246" t="s">
        <v>635</v>
      </c>
      <c r="AW91" s="242"/>
      <c r="AX91" s="242"/>
      <c r="AY91" s="231"/>
      <c r="AZ91" s="231"/>
      <c r="BA91" s="227"/>
      <c r="BB91" s="231"/>
      <c r="BC91" s="227"/>
      <c r="BD91" s="227"/>
      <c r="BE91" s="227"/>
      <c r="BF91" s="227"/>
    </row>
    <row r="92">
      <c r="A92" s="235" t="s">
        <v>1407</v>
      </c>
      <c r="C92" s="235" t="s">
        <v>1408</v>
      </c>
      <c r="D92" s="235" t="s">
        <v>1409</v>
      </c>
      <c r="E92" s="243">
        <v>6.57E13</v>
      </c>
      <c r="F92" s="244"/>
      <c r="G92" s="235" t="s">
        <v>1410</v>
      </c>
      <c r="H92" s="235" t="s">
        <v>1411</v>
      </c>
      <c r="I92" s="235" t="s">
        <v>1412</v>
      </c>
      <c r="J92" s="235" t="s">
        <v>1413</v>
      </c>
      <c r="K92" s="235" t="s">
        <v>1414</v>
      </c>
      <c r="N92" s="235" t="s">
        <v>50</v>
      </c>
      <c r="O92" s="235" t="s">
        <v>367</v>
      </c>
      <c r="P92" s="238">
        <v>1.0</v>
      </c>
      <c r="Q92" s="235" t="s">
        <v>627</v>
      </c>
      <c r="R92" s="238">
        <v>237.14</v>
      </c>
      <c r="S92" s="238">
        <v>11.86</v>
      </c>
      <c r="T92" s="238">
        <v>0.0</v>
      </c>
      <c r="U92" s="238">
        <v>0.0</v>
      </c>
      <c r="V92" s="238">
        <v>0.0</v>
      </c>
      <c r="W92" s="238">
        <v>0.0</v>
      </c>
      <c r="X92" s="235" t="s">
        <v>628</v>
      </c>
      <c r="Z92" s="244"/>
      <c r="AA92" s="244"/>
      <c r="AB92" s="244"/>
      <c r="AC92" s="235" t="s">
        <v>697</v>
      </c>
      <c r="AD92" s="235" t="s">
        <v>698</v>
      </c>
      <c r="AE92" s="238">
        <v>502032.0</v>
      </c>
      <c r="AF92" s="235" t="s">
        <v>631</v>
      </c>
      <c r="AG92" s="244"/>
      <c r="AH92" s="244"/>
      <c r="AI92" s="245"/>
      <c r="AJ92" s="245"/>
      <c r="AK92" s="245"/>
      <c r="AL92" s="245"/>
      <c r="AM92" s="244"/>
      <c r="AN92" s="244"/>
      <c r="AO92" s="238">
        <v>0.0</v>
      </c>
      <c r="AP92" s="238">
        <v>0.0</v>
      </c>
      <c r="AQ92" s="235" t="s">
        <v>632</v>
      </c>
      <c r="AR92" s="243">
        <v>1.68E11</v>
      </c>
      <c r="AS92" s="235" t="s">
        <v>667</v>
      </c>
      <c r="AT92" s="235" t="s">
        <v>156</v>
      </c>
      <c r="AU92" s="235" t="s">
        <v>634</v>
      </c>
      <c r="AV92" s="246" t="s">
        <v>635</v>
      </c>
      <c r="AW92" s="242"/>
      <c r="AX92" s="242"/>
      <c r="AY92" s="231"/>
      <c r="AZ92" s="231"/>
      <c r="BA92" s="227"/>
      <c r="BB92" s="231"/>
      <c r="BC92" s="227"/>
      <c r="BD92" s="227"/>
      <c r="BE92" s="227"/>
      <c r="BF92" s="227"/>
    </row>
    <row r="93">
      <c r="A93" s="235" t="s">
        <v>1415</v>
      </c>
      <c r="C93" s="235" t="s">
        <v>1416</v>
      </c>
      <c r="D93" s="235" t="s">
        <v>1417</v>
      </c>
      <c r="E93" s="243">
        <v>6.57E13</v>
      </c>
      <c r="F93" s="244"/>
      <c r="G93" s="235" t="s">
        <v>1418</v>
      </c>
      <c r="H93" s="235" t="s">
        <v>1419</v>
      </c>
      <c r="I93" s="235" t="s">
        <v>1419</v>
      </c>
      <c r="J93" s="235" t="s">
        <v>1420</v>
      </c>
      <c r="K93" s="235" t="s">
        <v>1421</v>
      </c>
      <c r="N93" s="235" t="s">
        <v>42</v>
      </c>
      <c r="O93" s="235" t="s">
        <v>204</v>
      </c>
      <c r="P93" s="238">
        <v>1.0</v>
      </c>
      <c r="Q93" s="235" t="s">
        <v>627</v>
      </c>
      <c r="R93" s="238">
        <v>237.14</v>
      </c>
      <c r="S93" s="238">
        <v>11.86</v>
      </c>
      <c r="T93" s="238">
        <v>0.0</v>
      </c>
      <c r="U93" s="238">
        <v>0.0</v>
      </c>
      <c r="V93" s="238">
        <v>0.0</v>
      </c>
      <c r="W93" s="238">
        <v>0.0</v>
      </c>
      <c r="X93" s="235" t="s">
        <v>628</v>
      </c>
      <c r="Z93" s="244"/>
      <c r="AA93" s="244"/>
      <c r="AB93" s="244"/>
      <c r="AC93" s="235" t="s">
        <v>1422</v>
      </c>
      <c r="AD93" s="235" t="s">
        <v>833</v>
      </c>
      <c r="AE93" s="238">
        <v>523001.0</v>
      </c>
      <c r="AF93" s="235" t="s">
        <v>631</v>
      </c>
      <c r="AG93" s="244"/>
      <c r="AH93" s="244"/>
      <c r="AI93" s="245"/>
      <c r="AJ93" s="245"/>
      <c r="AK93" s="245"/>
      <c r="AL93" s="245"/>
      <c r="AM93" s="244"/>
      <c r="AN93" s="244"/>
      <c r="AO93" s="238">
        <v>0.0</v>
      </c>
      <c r="AP93" s="238">
        <v>0.0</v>
      </c>
      <c r="AQ93" s="235" t="s">
        <v>632</v>
      </c>
      <c r="AR93" s="243">
        <v>3.71E11</v>
      </c>
      <c r="AS93" s="235" t="s">
        <v>656</v>
      </c>
      <c r="AT93" s="235" t="s">
        <v>156</v>
      </c>
      <c r="AU93" s="235" t="s">
        <v>634</v>
      </c>
      <c r="AV93" s="246" t="s">
        <v>635</v>
      </c>
      <c r="AW93" s="242"/>
      <c r="AX93" s="242"/>
      <c r="AY93" s="231"/>
      <c r="AZ93" s="231"/>
      <c r="BA93" s="227"/>
      <c r="BB93" s="231"/>
      <c r="BC93" s="227"/>
      <c r="BD93" s="227"/>
      <c r="BE93" s="227"/>
      <c r="BF93" s="227"/>
    </row>
    <row r="94">
      <c r="A94" s="235" t="s">
        <v>1423</v>
      </c>
      <c r="C94" s="235" t="s">
        <v>1424</v>
      </c>
      <c r="D94" s="235" t="s">
        <v>1425</v>
      </c>
      <c r="E94" s="243">
        <v>6.57E13</v>
      </c>
      <c r="F94" s="244"/>
      <c r="G94" s="235" t="s">
        <v>1426</v>
      </c>
      <c r="H94" s="235" t="s">
        <v>1427</v>
      </c>
      <c r="I94" s="235" t="s">
        <v>1427</v>
      </c>
      <c r="J94" s="235" t="s">
        <v>1428</v>
      </c>
      <c r="K94" s="235" t="s">
        <v>1429</v>
      </c>
      <c r="N94" s="235" t="s">
        <v>140</v>
      </c>
      <c r="O94" s="235" t="s">
        <v>1430</v>
      </c>
      <c r="P94" s="238">
        <v>1.0</v>
      </c>
      <c r="Q94" s="235" t="s">
        <v>627</v>
      </c>
      <c r="R94" s="238">
        <v>284.76</v>
      </c>
      <c r="S94" s="238">
        <v>14.24</v>
      </c>
      <c r="T94" s="238">
        <v>38.1</v>
      </c>
      <c r="U94" s="238">
        <v>1.9</v>
      </c>
      <c r="V94" s="238">
        <v>0.0</v>
      </c>
      <c r="W94" s="238">
        <v>0.0</v>
      </c>
      <c r="X94" s="235" t="s">
        <v>628</v>
      </c>
      <c r="Z94" s="244"/>
      <c r="AA94" s="244"/>
      <c r="AB94" s="244"/>
      <c r="AC94" s="235" t="s">
        <v>1431</v>
      </c>
      <c r="AD94" s="235" t="s">
        <v>845</v>
      </c>
      <c r="AE94" s="238">
        <v>421204.0</v>
      </c>
      <c r="AF94" s="235" t="s">
        <v>631</v>
      </c>
      <c r="AG94" s="244"/>
      <c r="AH94" s="244"/>
      <c r="AI94" s="245"/>
      <c r="AJ94" s="245"/>
      <c r="AK94" s="245"/>
      <c r="AL94" s="245"/>
      <c r="AM94" s="244"/>
      <c r="AN94" s="244"/>
      <c r="AO94" s="238">
        <v>0.0</v>
      </c>
      <c r="AP94" s="238">
        <v>-38.1</v>
      </c>
      <c r="AQ94" s="235" t="s">
        <v>632</v>
      </c>
      <c r="AR94" s="243">
        <v>3.71E11</v>
      </c>
      <c r="AS94" s="235" t="s">
        <v>667</v>
      </c>
      <c r="AT94" s="235" t="s">
        <v>16</v>
      </c>
      <c r="AU94" s="235" t="s">
        <v>634</v>
      </c>
      <c r="AV94" s="246" t="s">
        <v>635</v>
      </c>
      <c r="AW94" s="242"/>
      <c r="AX94" s="242"/>
      <c r="AY94" s="231"/>
      <c r="AZ94" s="231"/>
      <c r="BA94" s="227"/>
      <c r="BB94" s="231"/>
      <c r="BC94" s="227"/>
      <c r="BD94" s="227"/>
      <c r="BE94" s="227"/>
      <c r="BF94" s="227"/>
    </row>
    <row r="95">
      <c r="A95" s="235" t="s">
        <v>1432</v>
      </c>
      <c r="C95" s="235" t="s">
        <v>1433</v>
      </c>
      <c r="D95" s="235" t="s">
        <v>1434</v>
      </c>
      <c r="E95" s="243">
        <v>6.57E13</v>
      </c>
      <c r="F95" s="244"/>
      <c r="G95" s="235" t="s">
        <v>1435</v>
      </c>
      <c r="H95" s="235" t="s">
        <v>1436</v>
      </c>
      <c r="I95" s="235" t="s">
        <v>1436</v>
      </c>
      <c r="J95" s="235" t="s">
        <v>1437</v>
      </c>
      <c r="K95" s="235" t="s">
        <v>1438</v>
      </c>
      <c r="N95" s="235" t="s">
        <v>0</v>
      </c>
      <c r="O95" s="235" t="s">
        <v>740</v>
      </c>
      <c r="P95" s="238">
        <v>1.0</v>
      </c>
      <c r="Q95" s="235" t="s">
        <v>627</v>
      </c>
      <c r="R95" s="238">
        <v>265.71</v>
      </c>
      <c r="S95" s="238">
        <v>13.29</v>
      </c>
      <c r="T95" s="238">
        <v>0.0</v>
      </c>
      <c r="U95" s="238">
        <v>0.0</v>
      </c>
      <c r="V95" s="238">
        <v>0.0</v>
      </c>
      <c r="W95" s="238">
        <v>0.0</v>
      </c>
      <c r="X95" s="235" t="s">
        <v>628</v>
      </c>
      <c r="Z95" s="244"/>
      <c r="AA95" s="244"/>
      <c r="AB95" s="244"/>
      <c r="AC95" s="235" t="s">
        <v>1439</v>
      </c>
      <c r="AD95" s="235" t="s">
        <v>698</v>
      </c>
      <c r="AE95" s="238">
        <v>507128.0</v>
      </c>
      <c r="AF95" s="235" t="s">
        <v>631</v>
      </c>
      <c r="AG95" s="244"/>
      <c r="AH95" s="244"/>
      <c r="AI95" s="245"/>
      <c r="AJ95" s="245"/>
      <c r="AK95" s="245"/>
      <c r="AL95" s="245"/>
      <c r="AM95" s="244"/>
      <c r="AN95" s="244"/>
      <c r="AO95" s="238">
        <v>0.0</v>
      </c>
      <c r="AP95" s="238">
        <v>0.0</v>
      </c>
      <c r="AQ95" s="235" t="s">
        <v>632</v>
      </c>
      <c r="AR95" s="243">
        <v>3.71E11</v>
      </c>
      <c r="AS95" s="235" t="s">
        <v>656</v>
      </c>
      <c r="AT95" s="235" t="s">
        <v>156</v>
      </c>
      <c r="AU95" s="235" t="s">
        <v>634</v>
      </c>
      <c r="AV95" s="246" t="s">
        <v>635</v>
      </c>
      <c r="AW95" s="242"/>
      <c r="AX95" s="242"/>
      <c r="AY95" s="231"/>
      <c r="AZ95" s="231"/>
      <c r="BA95" s="227"/>
      <c r="BB95" s="231"/>
      <c r="BC95" s="227"/>
      <c r="BD95" s="227"/>
      <c r="BE95" s="227"/>
      <c r="BF95" s="227"/>
    </row>
    <row r="96">
      <c r="A96" s="235" t="s">
        <v>1440</v>
      </c>
      <c r="C96" s="235" t="s">
        <v>1441</v>
      </c>
      <c r="D96" s="235" t="s">
        <v>1442</v>
      </c>
      <c r="E96" s="243">
        <v>6.57E13</v>
      </c>
      <c r="F96" s="244"/>
      <c r="G96" s="235" t="s">
        <v>1443</v>
      </c>
      <c r="H96" s="235" t="s">
        <v>1444</v>
      </c>
      <c r="I96" s="235" t="s">
        <v>1444</v>
      </c>
      <c r="J96" s="235" t="s">
        <v>1445</v>
      </c>
      <c r="K96" s="235" t="s">
        <v>1446</v>
      </c>
      <c r="N96" s="235" t="s">
        <v>54</v>
      </c>
      <c r="O96" s="235" t="s">
        <v>294</v>
      </c>
      <c r="P96" s="238">
        <v>1.0</v>
      </c>
      <c r="Q96" s="235" t="s">
        <v>627</v>
      </c>
      <c r="R96" s="238">
        <v>246.67</v>
      </c>
      <c r="S96" s="238">
        <v>12.33</v>
      </c>
      <c r="T96" s="238">
        <v>38.1</v>
      </c>
      <c r="U96" s="238">
        <v>1.9</v>
      </c>
      <c r="V96" s="238">
        <v>0.0</v>
      </c>
      <c r="W96" s="238">
        <v>0.0</v>
      </c>
      <c r="X96" s="235" t="s">
        <v>628</v>
      </c>
      <c r="Z96" s="244"/>
      <c r="AA96" s="244"/>
      <c r="AB96" s="244"/>
      <c r="AC96" s="235" t="s">
        <v>1447</v>
      </c>
      <c r="AD96" s="235" t="s">
        <v>1077</v>
      </c>
      <c r="AE96" s="238">
        <v>382426.0</v>
      </c>
      <c r="AF96" s="235" t="s">
        <v>631</v>
      </c>
      <c r="AG96" s="244"/>
      <c r="AH96" s="244"/>
      <c r="AI96" s="245"/>
      <c r="AJ96" s="245"/>
      <c r="AK96" s="245"/>
      <c r="AL96" s="245"/>
      <c r="AM96" s="244"/>
      <c r="AN96" s="244"/>
      <c r="AO96" s="238">
        <v>0.0</v>
      </c>
      <c r="AP96" s="238">
        <v>-38.1</v>
      </c>
      <c r="AQ96" s="235" t="s">
        <v>1328</v>
      </c>
      <c r="AR96" s="243">
        <v>1.34E13</v>
      </c>
      <c r="AS96" s="235" t="s">
        <v>758</v>
      </c>
      <c r="AT96" s="235" t="s">
        <v>16</v>
      </c>
      <c r="AU96" s="235" t="s">
        <v>634</v>
      </c>
      <c r="AV96" s="246" t="s">
        <v>635</v>
      </c>
      <c r="AW96" s="242"/>
      <c r="AX96" s="242"/>
      <c r="AY96" s="231"/>
      <c r="AZ96" s="231"/>
      <c r="BA96" s="227"/>
      <c r="BB96" s="231"/>
      <c r="BC96" s="227"/>
      <c r="BD96" s="227"/>
      <c r="BE96" s="227"/>
      <c r="BF96" s="227"/>
    </row>
    <row r="97">
      <c r="A97" s="235" t="s">
        <v>1448</v>
      </c>
      <c r="C97" s="235" t="s">
        <v>1449</v>
      </c>
      <c r="D97" s="235" t="s">
        <v>1450</v>
      </c>
      <c r="E97" s="243">
        <v>6.57E13</v>
      </c>
      <c r="F97" s="244"/>
      <c r="G97" s="235" t="s">
        <v>1451</v>
      </c>
      <c r="H97" s="235" t="s">
        <v>1452</v>
      </c>
      <c r="I97" s="235" t="s">
        <v>1453</v>
      </c>
      <c r="J97" s="235" t="s">
        <v>1454</v>
      </c>
      <c r="K97" s="235" t="s">
        <v>1455</v>
      </c>
      <c r="N97" s="235" t="s">
        <v>0</v>
      </c>
      <c r="O97" s="235" t="s">
        <v>740</v>
      </c>
      <c r="P97" s="238">
        <v>1.0</v>
      </c>
      <c r="Q97" s="235" t="s">
        <v>627</v>
      </c>
      <c r="R97" s="238">
        <v>265.72</v>
      </c>
      <c r="S97" s="238">
        <v>13.02</v>
      </c>
      <c r="T97" s="238">
        <v>0.0</v>
      </c>
      <c r="U97" s="238">
        <v>0.0</v>
      </c>
      <c r="V97" s="238">
        <v>0.0</v>
      </c>
      <c r="W97" s="238">
        <v>0.0</v>
      </c>
      <c r="X97" s="235" t="s">
        <v>628</v>
      </c>
      <c r="Z97" s="244"/>
      <c r="AA97" s="244"/>
      <c r="AB97" s="244"/>
      <c r="AC97" s="235" t="s">
        <v>1456</v>
      </c>
      <c r="AD97" s="235" t="s">
        <v>928</v>
      </c>
      <c r="AE97" s="238">
        <v>122002.0</v>
      </c>
      <c r="AF97" s="235" t="s">
        <v>631</v>
      </c>
      <c r="AG97" s="244"/>
      <c r="AH97" s="244"/>
      <c r="AI97" s="245"/>
      <c r="AJ97" s="245"/>
      <c r="AK97" s="245"/>
      <c r="AL97" s="245"/>
      <c r="AM97" s="244"/>
      <c r="AN97" s="244"/>
      <c r="AO97" s="238">
        <v>-5.32</v>
      </c>
      <c r="AP97" s="238">
        <v>0.0</v>
      </c>
      <c r="AQ97" s="235" t="s">
        <v>632</v>
      </c>
      <c r="AR97" s="243">
        <v>1.68E11</v>
      </c>
      <c r="AS97" s="235" t="s">
        <v>1367</v>
      </c>
      <c r="AT97" s="235" t="s">
        <v>14</v>
      </c>
      <c r="AU97" s="235" t="s">
        <v>634</v>
      </c>
      <c r="AV97" s="246" t="s">
        <v>635</v>
      </c>
      <c r="AW97" s="242"/>
      <c r="AX97" s="242"/>
      <c r="AY97" s="231"/>
      <c r="AZ97" s="231"/>
      <c r="BA97" s="227"/>
      <c r="BB97" s="231"/>
      <c r="BC97" s="227"/>
      <c r="BD97" s="227"/>
      <c r="BE97" s="227"/>
      <c r="BF97" s="227"/>
    </row>
    <row r="98">
      <c r="A98" s="235" t="s">
        <v>1457</v>
      </c>
      <c r="C98" s="235" t="s">
        <v>1458</v>
      </c>
      <c r="D98" s="235" t="s">
        <v>1459</v>
      </c>
      <c r="E98" s="243">
        <v>6.57E13</v>
      </c>
      <c r="F98" s="244"/>
      <c r="G98" s="235" t="s">
        <v>1460</v>
      </c>
      <c r="H98" s="235" t="s">
        <v>1461</v>
      </c>
      <c r="I98" s="235" t="s">
        <v>1461</v>
      </c>
      <c r="J98" s="235" t="s">
        <v>1462</v>
      </c>
      <c r="K98" s="235" t="s">
        <v>1463</v>
      </c>
      <c r="N98" s="235" t="s">
        <v>130</v>
      </c>
      <c r="O98" s="235" t="s">
        <v>707</v>
      </c>
      <c r="P98" s="238">
        <v>1.0</v>
      </c>
      <c r="Q98" s="235" t="s">
        <v>627</v>
      </c>
      <c r="R98" s="238">
        <v>246.67</v>
      </c>
      <c r="S98" s="238">
        <v>12.33</v>
      </c>
      <c r="T98" s="238">
        <v>38.1</v>
      </c>
      <c r="U98" s="238">
        <v>1.9</v>
      </c>
      <c r="V98" s="238">
        <v>0.0</v>
      </c>
      <c r="W98" s="238">
        <v>0.0</v>
      </c>
      <c r="X98" s="235" t="s">
        <v>628</v>
      </c>
      <c r="Z98" s="244"/>
      <c r="AA98" s="244"/>
      <c r="AB98" s="244"/>
      <c r="AC98" s="235" t="s">
        <v>1466</v>
      </c>
      <c r="AD98" s="235" t="s">
        <v>630</v>
      </c>
      <c r="AE98" s="238">
        <v>229001.0</v>
      </c>
      <c r="AF98" s="235" t="s">
        <v>631</v>
      </c>
      <c r="AG98" s="244"/>
      <c r="AH98" s="244"/>
      <c r="AI98" s="245"/>
      <c r="AJ98" s="245"/>
      <c r="AK98" s="245"/>
      <c r="AL98" s="245"/>
      <c r="AM98" s="244"/>
      <c r="AN98" s="244"/>
      <c r="AO98" s="238">
        <v>0.0</v>
      </c>
      <c r="AP98" s="238">
        <v>-38.1</v>
      </c>
      <c r="AQ98" s="235" t="s">
        <v>632</v>
      </c>
      <c r="AR98" s="243">
        <v>3.71E11</v>
      </c>
      <c r="AS98" s="235" t="s">
        <v>656</v>
      </c>
      <c r="AT98" s="235" t="s">
        <v>13</v>
      </c>
      <c r="AU98" s="235" t="s">
        <v>634</v>
      </c>
      <c r="AV98" s="246" t="s">
        <v>635</v>
      </c>
      <c r="AW98" s="242"/>
      <c r="AX98" s="242"/>
      <c r="AY98" s="231"/>
      <c r="AZ98" s="231"/>
      <c r="BA98" s="227"/>
      <c r="BB98" s="231"/>
      <c r="BC98" s="227"/>
      <c r="BD98" s="227"/>
      <c r="BE98" s="227"/>
      <c r="BF98" s="227"/>
    </row>
    <row r="99">
      <c r="A99" s="235" t="s">
        <v>1467</v>
      </c>
      <c r="C99" s="235" t="s">
        <v>1468</v>
      </c>
      <c r="D99" s="235" t="s">
        <v>1469</v>
      </c>
      <c r="E99" s="243">
        <v>6.57E13</v>
      </c>
      <c r="F99" s="244"/>
      <c r="G99" s="235" t="s">
        <v>1470</v>
      </c>
      <c r="H99" s="235" t="s">
        <v>1471</v>
      </c>
      <c r="I99" s="235" t="s">
        <v>1472</v>
      </c>
      <c r="J99" s="235" t="s">
        <v>1473</v>
      </c>
      <c r="K99" s="235" t="s">
        <v>1474</v>
      </c>
      <c r="N99" s="235" t="s">
        <v>136</v>
      </c>
      <c r="O99" s="235" t="s">
        <v>256</v>
      </c>
      <c r="P99" s="238">
        <v>1.0</v>
      </c>
      <c r="Q99" s="235" t="s">
        <v>627</v>
      </c>
      <c r="R99" s="238">
        <v>246.67</v>
      </c>
      <c r="S99" s="238">
        <v>12.33</v>
      </c>
      <c r="T99" s="238">
        <v>0.0</v>
      </c>
      <c r="U99" s="238">
        <v>0.0</v>
      </c>
      <c r="V99" s="238">
        <v>0.0</v>
      </c>
      <c r="W99" s="238">
        <v>0.0</v>
      </c>
      <c r="X99" s="235" t="s">
        <v>628</v>
      </c>
      <c r="Z99" s="244"/>
      <c r="AA99" s="244"/>
      <c r="AB99" s="244"/>
      <c r="AC99" s="235" t="s">
        <v>1475</v>
      </c>
      <c r="AD99" s="235" t="s">
        <v>796</v>
      </c>
      <c r="AE99" s="238">
        <v>110065.0</v>
      </c>
      <c r="AF99" s="235" t="s">
        <v>631</v>
      </c>
      <c r="AG99" s="244"/>
      <c r="AH99" s="244"/>
      <c r="AI99" s="245"/>
      <c r="AJ99" s="245"/>
      <c r="AK99" s="245"/>
      <c r="AL99" s="245"/>
      <c r="AM99" s="244"/>
      <c r="AN99" s="244"/>
      <c r="AO99" s="238">
        <v>0.0</v>
      </c>
      <c r="AP99" s="238">
        <v>0.0</v>
      </c>
      <c r="AQ99" s="235" t="s">
        <v>632</v>
      </c>
      <c r="AR99" s="243">
        <v>1.68E11</v>
      </c>
      <c r="AS99" s="235" t="s">
        <v>1367</v>
      </c>
      <c r="AT99" s="235" t="s">
        <v>13</v>
      </c>
      <c r="AU99" s="235" t="s">
        <v>634</v>
      </c>
      <c r="AV99" s="246" t="s">
        <v>635</v>
      </c>
      <c r="AW99" s="242"/>
      <c r="AX99" s="242"/>
      <c r="AY99" s="231"/>
      <c r="AZ99" s="231"/>
      <c r="BA99" s="227"/>
      <c r="BB99" s="231"/>
      <c r="BC99" s="227"/>
      <c r="BD99" s="227"/>
      <c r="BE99" s="227"/>
      <c r="BF99" s="227"/>
    </row>
    <row r="100">
      <c r="A100" s="235" t="s">
        <v>1476</v>
      </c>
      <c r="C100" s="235" t="s">
        <v>1477</v>
      </c>
      <c r="D100" s="235" t="s">
        <v>1478</v>
      </c>
      <c r="E100" s="243">
        <v>6.57E13</v>
      </c>
      <c r="F100" s="244"/>
      <c r="G100" s="235" t="s">
        <v>1479</v>
      </c>
      <c r="H100" s="235" t="s">
        <v>1480</v>
      </c>
      <c r="I100" s="235" t="s">
        <v>1480</v>
      </c>
      <c r="J100" s="235" t="s">
        <v>1481</v>
      </c>
      <c r="K100" s="235" t="s">
        <v>1482</v>
      </c>
      <c r="N100" s="235" t="s">
        <v>10</v>
      </c>
      <c r="O100" s="235" t="s">
        <v>936</v>
      </c>
      <c r="P100" s="238">
        <v>1.0</v>
      </c>
      <c r="Q100" s="235" t="s">
        <v>627</v>
      </c>
      <c r="R100" s="238">
        <v>265.71</v>
      </c>
      <c r="S100" s="238">
        <v>13.29</v>
      </c>
      <c r="T100" s="238">
        <v>0.0</v>
      </c>
      <c r="U100" s="238">
        <v>0.0</v>
      </c>
      <c r="V100" s="238">
        <v>0.0</v>
      </c>
      <c r="W100" s="238">
        <v>0.0</v>
      </c>
      <c r="X100" s="235" t="s">
        <v>628</v>
      </c>
      <c r="Z100" s="244"/>
      <c r="AA100" s="244"/>
      <c r="AB100" s="244"/>
      <c r="AC100" s="235" t="s">
        <v>1483</v>
      </c>
      <c r="AD100" s="235" t="s">
        <v>854</v>
      </c>
      <c r="AE100" s="238">
        <v>403702.0</v>
      </c>
      <c r="AF100" s="235" t="s">
        <v>631</v>
      </c>
      <c r="AG100" s="244"/>
      <c r="AH100" s="244"/>
      <c r="AI100" s="245"/>
      <c r="AJ100" s="245"/>
      <c r="AK100" s="245"/>
      <c r="AL100" s="245"/>
      <c r="AM100" s="244"/>
      <c r="AN100" s="244"/>
      <c r="AO100" s="238">
        <v>0.0</v>
      </c>
      <c r="AP100" s="238">
        <v>0.0</v>
      </c>
      <c r="AQ100" s="235" t="s">
        <v>632</v>
      </c>
      <c r="AR100" s="243">
        <v>3.71E11</v>
      </c>
      <c r="AS100" s="235" t="s">
        <v>656</v>
      </c>
      <c r="AT100" s="235" t="s">
        <v>11</v>
      </c>
      <c r="AU100" s="235" t="s">
        <v>634</v>
      </c>
      <c r="AV100" s="246" t="s">
        <v>635</v>
      </c>
      <c r="AW100" s="242"/>
      <c r="AX100" s="242"/>
      <c r="AY100" s="231"/>
      <c r="AZ100" s="231"/>
      <c r="BA100" s="227"/>
      <c r="BB100" s="231"/>
      <c r="BC100" s="227"/>
      <c r="BD100" s="227"/>
      <c r="BE100" s="227"/>
      <c r="BF100" s="227"/>
    </row>
    <row r="101">
      <c r="A101" s="235" t="s">
        <v>1484</v>
      </c>
      <c r="C101" s="235" t="s">
        <v>1485</v>
      </c>
      <c r="D101" s="235" t="s">
        <v>1486</v>
      </c>
      <c r="E101" s="243">
        <v>6.56E13</v>
      </c>
      <c r="F101" s="244"/>
      <c r="G101" s="235" t="s">
        <v>1487</v>
      </c>
      <c r="H101" s="235" t="s">
        <v>1488</v>
      </c>
      <c r="I101" s="235" t="s">
        <v>1488</v>
      </c>
      <c r="J101" s="235" t="s">
        <v>1489</v>
      </c>
      <c r="K101" s="235" t="s">
        <v>1490</v>
      </c>
      <c r="N101" s="235" t="s">
        <v>154</v>
      </c>
      <c r="O101" s="235" t="s">
        <v>766</v>
      </c>
      <c r="P101" s="238">
        <v>1.0</v>
      </c>
      <c r="Q101" s="235" t="s">
        <v>627</v>
      </c>
      <c r="R101" s="238">
        <v>461.9</v>
      </c>
      <c r="S101" s="238">
        <v>23.1</v>
      </c>
      <c r="T101" s="238">
        <v>0.0</v>
      </c>
      <c r="U101" s="238">
        <v>0.0</v>
      </c>
      <c r="V101" s="238">
        <v>0.0</v>
      </c>
      <c r="W101" s="238">
        <v>0.0</v>
      </c>
      <c r="X101" s="235" t="s">
        <v>628</v>
      </c>
      <c r="Z101" s="244"/>
      <c r="AA101" s="244"/>
      <c r="AB101" s="244"/>
      <c r="AC101" s="235" t="s">
        <v>1058</v>
      </c>
      <c r="AD101" s="235" t="s">
        <v>845</v>
      </c>
      <c r="AE101" s="238">
        <v>400101.0</v>
      </c>
      <c r="AF101" s="235" t="s">
        <v>631</v>
      </c>
      <c r="AG101" s="244"/>
      <c r="AH101" s="244"/>
      <c r="AI101" s="245"/>
      <c r="AJ101" s="245"/>
      <c r="AK101" s="245"/>
      <c r="AL101" s="245"/>
      <c r="AM101" s="244"/>
      <c r="AN101" s="244"/>
      <c r="AO101" s="238">
        <v>0.0</v>
      </c>
      <c r="AP101" s="238">
        <v>0.0</v>
      </c>
      <c r="AQ101" s="235" t="s">
        <v>632</v>
      </c>
      <c r="AR101" s="243">
        <v>3.71E11</v>
      </c>
      <c r="AS101" s="235" t="s">
        <v>667</v>
      </c>
      <c r="AT101" s="235" t="s">
        <v>16</v>
      </c>
      <c r="AU101" s="235" t="s">
        <v>634</v>
      </c>
      <c r="AV101" s="246" t="s">
        <v>635</v>
      </c>
      <c r="AW101" s="242"/>
      <c r="AX101" s="242"/>
      <c r="AY101" s="231"/>
      <c r="AZ101" s="231"/>
      <c r="BA101" s="227"/>
      <c r="BB101" s="231"/>
      <c r="BC101" s="227"/>
      <c r="BD101" s="227"/>
      <c r="BE101" s="227"/>
      <c r="BF101" s="227"/>
    </row>
    <row r="102">
      <c r="A102" s="235" t="s">
        <v>1491</v>
      </c>
      <c r="C102" s="235" t="s">
        <v>1492</v>
      </c>
      <c r="D102" s="235" t="s">
        <v>1493</v>
      </c>
      <c r="E102" s="243">
        <v>6.57E13</v>
      </c>
      <c r="F102" s="244"/>
      <c r="G102" s="235" t="s">
        <v>1494</v>
      </c>
      <c r="H102" s="235" t="s">
        <v>1495</v>
      </c>
      <c r="I102" s="235" t="s">
        <v>1495</v>
      </c>
      <c r="J102" s="235" t="s">
        <v>1496</v>
      </c>
      <c r="K102" s="235" t="s">
        <v>1497</v>
      </c>
      <c r="N102" s="235" t="s">
        <v>726</v>
      </c>
      <c r="O102" s="235" t="s">
        <v>727</v>
      </c>
      <c r="P102" s="238">
        <v>1.0</v>
      </c>
      <c r="Q102" s="235" t="s">
        <v>627</v>
      </c>
      <c r="R102" s="238">
        <v>246.67</v>
      </c>
      <c r="S102" s="238">
        <v>12.33</v>
      </c>
      <c r="T102" s="238">
        <v>0.0</v>
      </c>
      <c r="U102" s="238">
        <v>0.0</v>
      </c>
      <c r="V102" s="238">
        <v>0.0</v>
      </c>
      <c r="W102" s="238">
        <v>0.0</v>
      </c>
      <c r="X102" s="235" t="s">
        <v>628</v>
      </c>
      <c r="Z102" s="244"/>
      <c r="AA102" s="244"/>
      <c r="AB102" s="244"/>
      <c r="AC102" s="235" t="s">
        <v>1498</v>
      </c>
      <c r="AD102" s="235" t="s">
        <v>1499</v>
      </c>
      <c r="AE102" s="238">
        <v>456001.0</v>
      </c>
      <c r="AF102" s="235" t="s">
        <v>631</v>
      </c>
      <c r="AG102" s="244"/>
      <c r="AH102" s="244"/>
      <c r="AI102" s="245"/>
      <c r="AJ102" s="245"/>
      <c r="AK102" s="245"/>
      <c r="AL102" s="245"/>
      <c r="AM102" s="244"/>
      <c r="AN102" s="244"/>
      <c r="AO102" s="238">
        <v>0.0</v>
      </c>
      <c r="AP102" s="238">
        <v>0.0</v>
      </c>
      <c r="AQ102" s="235" t="s">
        <v>632</v>
      </c>
      <c r="AR102" s="243">
        <v>3.71E11</v>
      </c>
      <c r="AS102" s="235" t="s">
        <v>656</v>
      </c>
      <c r="AT102" s="235" t="s">
        <v>17</v>
      </c>
      <c r="AU102" s="235" t="s">
        <v>634</v>
      </c>
      <c r="AV102" s="246" t="s">
        <v>635</v>
      </c>
      <c r="AW102" s="242"/>
      <c r="AX102" s="242"/>
      <c r="AY102" s="231"/>
      <c r="AZ102" s="231"/>
      <c r="BA102" s="227"/>
      <c r="BB102" s="231"/>
      <c r="BC102" s="227"/>
      <c r="BD102" s="227"/>
      <c r="BE102" s="227"/>
      <c r="BF102" s="227"/>
    </row>
    <row r="103">
      <c r="A103" s="235" t="s">
        <v>1500</v>
      </c>
      <c r="C103" s="235" t="s">
        <v>1501</v>
      </c>
      <c r="D103" s="235" t="s">
        <v>1502</v>
      </c>
      <c r="E103" s="243">
        <v>6.57E13</v>
      </c>
      <c r="F103" s="244"/>
      <c r="G103" s="235" t="s">
        <v>1503</v>
      </c>
      <c r="H103" s="235" t="s">
        <v>1504</v>
      </c>
      <c r="I103" s="235" t="s">
        <v>1504</v>
      </c>
      <c r="J103" s="235" t="s">
        <v>1505</v>
      </c>
      <c r="K103" s="235" t="s">
        <v>1506</v>
      </c>
      <c r="N103" s="235" t="s">
        <v>68</v>
      </c>
      <c r="O103" s="235" t="s">
        <v>208</v>
      </c>
      <c r="P103" s="238">
        <v>1.0</v>
      </c>
      <c r="Q103" s="235" t="s">
        <v>627</v>
      </c>
      <c r="R103" s="238">
        <v>246.67</v>
      </c>
      <c r="S103" s="238">
        <v>12.33</v>
      </c>
      <c r="T103" s="238">
        <v>0.0</v>
      </c>
      <c r="U103" s="238">
        <v>0.0</v>
      </c>
      <c r="V103" s="238">
        <v>0.0</v>
      </c>
      <c r="W103" s="238">
        <v>0.0</v>
      </c>
      <c r="X103" s="235" t="s">
        <v>628</v>
      </c>
      <c r="Z103" s="244"/>
      <c r="AA103" s="244"/>
      <c r="AB103" s="244"/>
      <c r="AC103" s="235" t="s">
        <v>795</v>
      </c>
      <c r="AD103" s="235" t="s">
        <v>796</v>
      </c>
      <c r="AE103" s="238">
        <v>110016.0</v>
      </c>
      <c r="AF103" s="235" t="s">
        <v>631</v>
      </c>
      <c r="AG103" s="244"/>
      <c r="AH103" s="244"/>
      <c r="AI103" s="245"/>
      <c r="AJ103" s="245"/>
      <c r="AK103" s="245"/>
      <c r="AL103" s="245"/>
      <c r="AM103" s="244"/>
      <c r="AN103" s="244"/>
      <c r="AO103" s="238">
        <v>0.0</v>
      </c>
      <c r="AP103" s="238">
        <v>0.0</v>
      </c>
      <c r="AQ103" s="235" t="s">
        <v>632</v>
      </c>
      <c r="AR103" s="243">
        <v>1.68E11</v>
      </c>
      <c r="AS103" s="235" t="s">
        <v>1367</v>
      </c>
      <c r="AT103" s="235" t="s">
        <v>14</v>
      </c>
      <c r="AU103" s="235" t="s">
        <v>634</v>
      </c>
      <c r="AV103" s="246" t="s">
        <v>635</v>
      </c>
      <c r="AW103" s="242"/>
      <c r="AX103" s="242"/>
      <c r="AY103" s="231"/>
      <c r="AZ103" s="231"/>
      <c r="BA103" s="227"/>
      <c r="BB103" s="231"/>
      <c r="BC103" s="227"/>
      <c r="BD103" s="227"/>
      <c r="BE103" s="227"/>
      <c r="BF103" s="227"/>
    </row>
    <row r="104">
      <c r="A104" s="235" t="s">
        <v>1507</v>
      </c>
      <c r="C104" s="235" t="s">
        <v>1508</v>
      </c>
      <c r="D104" s="235" t="s">
        <v>1509</v>
      </c>
      <c r="E104" s="243">
        <v>6.57E13</v>
      </c>
      <c r="F104" s="244"/>
      <c r="G104" s="235" t="s">
        <v>1510</v>
      </c>
      <c r="H104" s="235" t="s">
        <v>1511</v>
      </c>
      <c r="I104" s="235" t="s">
        <v>1511</v>
      </c>
      <c r="J104" s="235" t="s">
        <v>1512</v>
      </c>
      <c r="K104" s="235" t="s">
        <v>1513</v>
      </c>
      <c r="N104" s="235" t="s">
        <v>92</v>
      </c>
      <c r="O104" s="235" t="s">
        <v>248</v>
      </c>
      <c r="P104" s="238">
        <v>1.0</v>
      </c>
      <c r="Q104" s="235" t="s">
        <v>627</v>
      </c>
      <c r="R104" s="238">
        <v>246.67</v>
      </c>
      <c r="S104" s="238">
        <v>12.33</v>
      </c>
      <c r="T104" s="238">
        <v>0.0</v>
      </c>
      <c r="U104" s="238">
        <v>0.0</v>
      </c>
      <c r="V104" s="238">
        <v>0.0</v>
      </c>
      <c r="W104" s="238">
        <v>0.0</v>
      </c>
      <c r="X104" s="235" t="s">
        <v>628</v>
      </c>
      <c r="Z104" s="244"/>
      <c r="AA104" s="244"/>
      <c r="AB104" s="244"/>
      <c r="AC104" s="235" t="s">
        <v>1514</v>
      </c>
      <c r="AD104" s="235" t="s">
        <v>1077</v>
      </c>
      <c r="AE104" s="238">
        <v>382445.0</v>
      </c>
      <c r="AF104" s="235" t="s">
        <v>631</v>
      </c>
      <c r="AG104" s="244"/>
      <c r="AH104" s="244"/>
      <c r="AI104" s="245"/>
      <c r="AJ104" s="245"/>
      <c r="AK104" s="245"/>
      <c r="AL104" s="245"/>
      <c r="AM104" s="244"/>
      <c r="AN104" s="244"/>
      <c r="AO104" s="238">
        <v>0.0</v>
      </c>
      <c r="AP104" s="238">
        <v>0.0</v>
      </c>
      <c r="AQ104" s="235" t="s">
        <v>632</v>
      </c>
      <c r="AR104" s="243">
        <v>2.02E11</v>
      </c>
      <c r="AS104" s="235" t="s">
        <v>656</v>
      </c>
      <c r="AT104" s="235" t="s">
        <v>533</v>
      </c>
      <c r="AU104" s="235" t="s">
        <v>634</v>
      </c>
      <c r="AV104" s="246" t="s">
        <v>635</v>
      </c>
      <c r="AW104" s="242"/>
      <c r="AX104" s="242"/>
      <c r="AY104" s="231"/>
      <c r="AZ104" s="231"/>
      <c r="BA104" s="227"/>
      <c r="BB104" s="231"/>
      <c r="BC104" s="227"/>
      <c r="BD104" s="227"/>
      <c r="BE104" s="227"/>
      <c r="BF104" s="227"/>
    </row>
    <row r="105">
      <c r="A105" s="235" t="s">
        <v>1516</v>
      </c>
      <c r="C105" s="235" t="s">
        <v>1517</v>
      </c>
      <c r="D105" s="235" t="s">
        <v>1518</v>
      </c>
      <c r="E105" s="243">
        <v>6.56E13</v>
      </c>
      <c r="F105" s="244"/>
      <c r="G105" s="235" t="s">
        <v>1519</v>
      </c>
      <c r="H105" s="235" t="s">
        <v>1520</v>
      </c>
      <c r="I105" s="235" t="s">
        <v>1520</v>
      </c>
      <c r="J105" s="235" t="s">
        <v>1521</v>
      </c>
      <c r="K105" s="235" t="s">
        <v>1522</v>
      </c>
      <c r="N105" s="235" t="s">
        <v>47</v>
      </c>
      <c r="O105" s="235" t="s">
        <v>270</v>
      </c>
      <c r="P105" s="238">
        <v>1.0</v>
      </c>
      <c r="Q105" s="235" t="s">
        <v>627</v>
      </c>
      <c r="R105" s="238">
        <v>237.14</v>
      </c>
      <c r="S105" s="238">
        <v>11.86</v>
      </c>
      <c r="T105" s="238">
        <v>38.1</v>
      </c>
      <c r="U105" s="238">
        <v>1.9</v>
      </c>
      <c r="V105" s="238">
        <v>0.0</v>
      </c>
      <c r="W105" s="238">
        <v>0.0</v>
      </c>
      <c r="X105" s="235" t="s">
        <v>628</v>
      </c>
      <c r="Z105" s="244"/>
      <c r="AA105" s="244"/>
      <c r="AB105" s="244"/>
      <c r="AC105" s="235" t="s">
        <v>1058</v>
      </c>
      <c r="AD105" s="235" t="s">
        <v>845</v>
      </c>
      <c r="AE105" s="238">
        <v>400067.0</v>
      </c>
      <c r="AF105" s="235" t="s">
        <v>631</v>
      </c>
      <c r="AG105" s="244"/>
      <c r="AH105" s="244"/>
      <c r="AI105" s="245"/>
      <c r="AJ105" s="245"/>
      <c r="AK105" s="245"/>
      <c r="AL105" s="245"/>
      <c r="AM105" s="244"/>
      <c r="AN105" s="244"/>
      <c r="AO105" s="238">
        <v>0.0</v>
      </c>
      <c r="AP105" s="238">
        <v>-38.1</v>
      </c>
      <c r="AQ105" s="235" t="s">
        <v>632</v>
      </c>
      <c r="AR105" s="243">
        <v>3.71E11</v>
      </c>
      <c r="AS105" s="235" t="s">
        <v>667</v>
      </c>
      <c r="AT105" s="235" t="s">
        <v>17</v>
      </c>
      <c r="AU105" s="235" t="s">
        <v>634</v>
      </c>
      <c r="AV105" s="246" t="s">
        <v>635</v>
      </c>
      <c r="AW105" s="242"/>
      <c r="AX105" s="242"/>
      <c r="AY105" s="231"/>
      <c r="AZ105" s="231"/>
      <c r="BA105" s="227"/>
      <c r="BB105" s="231"/>
      <c r="BC105" s="227"/>
      <c r="BD105" s="227"/>
      <c r="BE105" s="227"/>
      <c r="BF105" s="227"/>
    </row>
    <row r="106">
      <c r="A106" s="235" t="s">
        <v>1523</v>
      </c>
      <c r="C106" s="235" t="s">
        <v>1524</v>
      </c>
      <c r="D106" s="235" t="s">
        <v>1526</v>
      </c>
      <c r="E106" s="243">
        <v>6.57E13</v>
      </c>
      <c r="F106" s="244"/>
      <c r="G106" s="235" t="s">
        <v>1527</v>
      </c>
      <c r="H106" s="235" t="s">
        <v>1528</v>
      </c>
      <c r="I106" s="235" t="s">
        <v>1528</v>
      </c>
      <c r="J106" s="235" t="s">
        <v>1529</v>
      </c>
      <c r="K106" s="235" t="s">
        <v>1530</v>
      </c>
      <c r="N106" s="235" t="s">
        <v>127</v>
      </c>
      <c r="O106" s="235" t="s">
        <v>794</v>
      </c>
      <c r="P106" s="238">
        <v>1.0</v>
      </c>
      <c r="Q106" s="235" t="s">
        <v>627</v>
      </c>
      <c r="R106" s="238">
        <v>246.67</v>
      </c>
      <c r="S106" s="238">
        <v>12.33</v>
      </c>
      <c r="T106" s="238">
        <v>38.1</v>
      </c>
      <c r="U106" s="238">
        <v>1.9</v>
      </c>
      <c r="V106" s="238">
        <v>0.0</v>
      </c>
      <c r="W106" s="238">
        <v>0.0</v>
      </c>
      <c r="X106" s="235" t="s">
        <v>628</v>
      </c>
      <c r="Z106" s="244"/>
      <c r="AA106" s="244"/>
      <c r="AB106" s="244"/>
      <c r="AC106" s="235" t="s">
        <v>1531</v>
      </c>
      <c r="AD106" s="235" t="s">
        <v>1151</v>
      </c>
      <c r="AE106" s="238">
        <v>700151.0</v>
      </c>
      <c r="AF106" s="235" t="s">
        <v>631</v>
      </c>
      <c r="AG106" s="244"/>
      <c r="AH106" s="244"/>
      <c r="AI106" s="245"/>
      <c r="AJ106" s="245"/>
      <c r="AK106" s="245"/>
      <c r="AL106" s="245"/>
      <c r="AM106" s="244"/>
      <c r="AN106" s="244"/>
      <c r="AO106" s="238">
        <v>0.0</v>
      </c>
      <c r="AP106" s="238">
        <v>-38.1</v>
      </c>
      <c r="AQ106" s="235" t="s">
        <v>632</v>
      </c>
      <c r="AR106" s="243">
        <v>3.71E11</v>
      </c>
      <c r="AS106" s="235" t="s">
        <v>646</v>
      </c>
      <c r="AT106" s="235" t="s">
        <v>14</v>
      </c>
      <c r="AU106" s="235" t="s">
        <v>634</v>
      </c>
      <c r="AV106" s="246" t="s">
        <v>635</v>
      </c>
      <c r="AW106" s="242"/>
      <c r="AX106" s="242"/>
      <c r="AY106" s="231"/>
      <c r="AZ106" s="231"/>
      <c r="BA106" s="227"/>
      <c r="BB106" s="231"/>
      <c r="BC106" s="227"/>
      <c r="BD106" s="227"/>
      <c r="BE106" s="227"/>
      <c r="BF106" s="227"/>
    </row>
    <row r="107">
      <c r="A107" s="235" t="s">
        <v>1532</v>
      </c>
      <c r="C107" s="235" t="s">
        <v>1533</v>
      </c>
      <c r="D107" s="235" t="s">
        <v>1534</v>
      </c>
      <c r="E107" s="243">
        <v>6.57E13</v>
      </c>
      <c r="F107" s="244"/>
      <c r="G107" s="235" t="s">
        <v>1535</v>
      </c>
      <c r="H107" s="235" t="s">
        <v>1536</v>
      </c>
      <c r="I107" s="235" t="s">
        <v>1536</v>
      </c>
      <c r="J107" s="235" t="s">
        <v>1537</v>
      </c>
      <c r="K107" s="235" t="s">
        <v>1538</v>
      </c>
      <c r="N107" s="235" t="s">
        <v>42</v>
      </c>
      <c r="O107" s="235" t="s">
        <v>204</v>
      </c>
      <c r="P107" s="238">
        <v>1.0</v>
      </c>
      <c r="Q107" s="235" t="s">
        <v>627</v>
      </c>
      <c r="R107" s="238">
        <v>237.14</v>
      </c>
      <c r="S107" s="238">
        <v>11.86</v>
      </c>
      <c r="T107" s="238">
        <v>38.1</v>
      </c>
      <c r="U107" s="238">
        <v>1.9</v>
      </c>
      <c r="V107" s="238">
        <v>0.0</v>
      </c>
      <c r="W107" s="238">
        <v>0.0</v>
      </c>
      <c r="X107" s="235" t="s">
        <v>628</v>
      </c>
      <c r="Z107" s="244"/>
      <c r="AA107" s="244"/>
      <c r="AB107" s="244"/>
      <c r="AC107" s="235" t="s">
        <v>832</v>
      </c>
      <c r="AD107" s="235" t="s">
        <v>833</v>
      </c>
      <c r="AE107" s="238">
        <v>530009.0</v>
      </c>
      <c r="AF107" s="235" t="s">
        <v>631</v>
      </c>
      <c r="AG107" s="244"/>
      <c r="AH107" s="244"/>
      <c r="AI107" s="245"/>
      <c r="AJ107" s="245"/>
      <c r="AK107" s="245"/>
      <c r="AL107" s="245"/>
      <c r="AM107" s="244"/>
      <c r="AN107" s="244"/>
      <c r="AO107" s="238">
        <v>0.0</v>
      </c>
      <c r="AP107" s="238">
        <v>-38.1</v>
      </c>
      <c r="AQ107" s="235" t="s">
        <v>632</v>
      </c>
      <c r="AR107" s="243">
        <v>3.71E11</v>
      </c>
      <c r="AS107" s="235" t="s">
        <v>646</v>
      </c>
      <c r="AT107" s="235" t="s">
        <v>546</v>
      </c>
      <c r="AU107" s="235" t="s">
        <v>634</v>
      </c>
      <c r="AV107" s="246" t="s">
        <v>635</v>
      </c>
      <c r="AW107" s="242"/>
      <c r="AX107" s="242"/>
      <c r="AY107" s="231"/>
      <c r="AZ107" s="231"/>
      <c r="BA107" s="227"/>
      <c r="BB107" s="231"/>
      <c r="BC107" s="227"/>
      <c r="BD107" s="227"/>
      <c r="BE107" s="227"/>
      <c r="BF107" s="227"/>
    </row>
    <row r="108">
      <c r="A108" s="235" t="s">
        <v>1539</v>
      </c>
      <c r="C108" s="235" t="s">
        <v>1540</v>
      </c>
      <c r="D108" s="235" t="s">
        <v>1541</v>
      </c>
      <c r="E108" s="243">
        <v>6.57E13</v>
      </c>
      <c r="F108" s="244"/>
      <c r="G108" s="235" t="s">
        <v>1542</v>
      </c>
      <c r="H108" s="235" t="s">
        <v>1543</v>
      </c>
      <c r="I108" s="235" t="s">
        <v>1543</v>
      </c>
      <c r="J108" s="235" t="s">
        <v>1544</v>
      </c>
      <c r="K108" s="235" t="s">
        <v>1545</v>
      </c>
      <c r="N108" s="235" t="s">
        <v>726</v>
      </c>
      <c r="O108" s="235" t="s">
        <v>727</v>
      </c>
      <c r="P108" s="238">
        <v>1.0</v>
      </c>
      <c r="Q108" s="235" t="s">
        <v>627</v>
      </c>
      <c r="R108" s="238">
        <v>246.67</v>
      </c>
      <c r="S108" s="238">
        <v>12.33</v>
      </c>
      <c r="T108" s="238">
        <v>0.0</v>
      </c>
      <c r="U108" s="238">
        <v>0.0</v>
      </c>
      <c r="V108" s="238">
        <v>0.0</v>
      </c>
      <c r="W108" s="238">
        <v>0.0</v>
      </c>
      <c r="X108" s="235" t="s">
        <v>628</v>
      </c>
      <c r="Z108" s="244"/>
      <c r="AA108" s="244"/>
      <c r="AB108" s="244"/>
      <c r="AC108" s="235" t="s">
        <v>697</v>
      </c>
      <c r="AD108" s="235" t="s">
        <v>698</v>
      </c>
      <c r="AE108" s="238">
        <v>500076.0</v>
      </c>
      <c r="AF108" s="235" t="s">
        <v>631</v>
      </c>
      <c r="AG108" s="244"/>
      <c r="AH108" s="244"/>
      <c r="AI108" s="245"/>
      <c r="AJ108" s="245"/>
      <c r="AK108" s="245"/>
      <c r="AL108" s="245"/>
      <c r="AM108" s="244"/>
      <c r="AN108" s="244"/>
      <c r="AO108" s="238">
        <v>0.0</v>
      </c>
      <c r="AP108" s="238">
        <v>0.0</v>
      </c>
      <c r="AQ108" s="235" t="s">
        <v>632</v>
      </c>
      <c r="AR108" s="243">
        <v>1.68E11</v>
      </c>
      <c r="AS108" s="235" t="s">
        <v>667</v>
      </c>
      <c r="AT108" s="235" t="s">
        <v>156</v>
      </c>
      <c r="AU108" s="235" t="s">
        <v>634</v>
      </c>
      <c r="AV108" s="246" t="s">
        <v>635</v>
      </c>
      <c r="AW108" s="242"/>
      <c r="AX108" s="242"/>
      <c r="AY108" s="231"/>
      <c r="AZ108" s="231"/>
      <c r="BA108" s="227"/>
      <c r="BB108" s="231"/>
      <c r="BC108" s="227"/>
      <c r="BD108" s="227"/>
      <c r="BE108" s="227"/>
      <c r="BF108" s="227"/>
    </row>
    <row r="109">
      <c r="A109" s="235" t="s">
        <v>1546</v>
      </c>
      <c r="C109" s="235" t="s">
        <v>1547</v>
      </c>
      <c r="D109" s="235" t="s">
        <v>1548</v>
      </c>
      <c r="E109" s="243">
        <v>6.57E13</v>
      </c>
      <c r="F109" s="244"/>
      <c r="G109" s="235" t="s">
        <v>1549</v>
      </c>
      <c r="H109" s="235" t="s">
        <v>1550</v>
      </c>
      <c r="I109" s="235" t="s">
        <v>1550</v>
      </c>
      <c r="J109" s="235" t="s">
        <v>1551</v>
      </c>
      <c r="K109" s="235" t="s">
        <v>1552</v>
      </c>
      <c r="N109" s="235" t="s">
        <v>120</v>
      </c>
      <c r="O109" s="235" t="s">
        <v>324</v>
      </c>
      <c r="P109" s="238">
        <v>1.0</v>
      </c>
      <c r="Q109" s="235" t="s">
        <v>627</v>
      </c>
      <c r="R109" s="238">
        <v>246.66</v>
      </c>
      <c r="S109" s="238">
        <v>12.34</v>
      </c>
      <c r="T109" s="238">
        <v>0.0</v>
      </c>
      <c r="U109" s="238">
        <v>0.0</v>
      </c>
      <c r="V109" s="238">
        <v>0.0</v>
      </c>
      <c r="W109" s="238">
        <v>0.0</v>
      </c>
      <c r="X109" s="235" t="s">
        <v>628</v>
      </c>
      <c r="Z109" s="244"/>
      <c r="AA109" s="244"/>
      <c r="AB109" s="244"/>
      <c r="AC109" s="235" t="s">
        <v>1058</v>
      </c>
      <c r="AD109" s="235" t="s">
        <v>845</v>
      </c>
      <c r="AE109" s="238">
        <v>400011.0</v>
      </c>
      <c r="AF109" s="235" t="s">
        <v>631</v>
      </c>
      <c r="AG109" s="244"/>
      <c r="AH109" s="244"/>
      <c r="AI109" s="245"/>
      <c r="AJ109" s="245"/>
      <c r="AK109" s="245"/>
      <c r="AL109" s="245"/>
      <c r="AM109" s="244"/>
      <c r="AN109" s="244"/>
      <c r="AO109" s="238">
        <v>0.0</v>
      </c>
      <c r="AP109" s="238">
        <v>0.0</v>
      </c>
      <c r="AQ109" s="235" t="s">
        <v>632</v>
      </c>
      <c r="AR109" s="243">
        <v>3.71E11</v>
      </c>
      <c r="AS109" s="235" t="s">
        <v>656</v>
      </c>
      <c r="AT109" s="235" t="s">
        <v>16</v>
      </c>
      <c r="AU109" s="235" t="s">
        <v>634</v>
      </c>
      <c r="AV109" s="246" t="s">
        <v>635</v>
      </c>
      <c r="AW109" s="242"/>
      <c r="AX109" s="242"/>
      <c r="AY109" s="231"/>
      <c r="AZ109" s="231"/>
      <c r="BA109" s="227"/>
      <c r="BB109" s="231"/>
      <c r="BC109" s="227"/>
      <c r="BD109" s="227"/>
      <c r="BE109" s="227"/>
      <c r="BF109" s="227"/>
    </row>
    <row r="110">
      <c r="A110" s="235" t="s">
        <v>1553</v>
      </c>
      <c r="C110" s="235" t="s">
        <v>1554</v>
      </c>
      <c r="D110" s="235" t="s">
        <v>1555</v>
      </c>
      <c r="E110" s="243">
        <v>6.57E13</v>
      </c>
      <c r="F110" s="244"/>
      <c r="G110" s="235" t="s">
        <v>1556</v>
      </c>
      <c r="H110" s="235" t="s">
        <v>1557</v>
      </c>
      <c r="I110" s="235" t="s">
        <v>1557</v>
      </c>
      <c r="J110" s="235" t="s">
        <v>1558</v>
      </c>
      <c r="K110" s="235" t="s">
        <v>1559</v>
      </c>
      <c r="N110" s="235" t="s">
        <v>154</v>
      </c>
      <c r="O110" s="235" t="s">
        <v>766</v>
      </c>
      <c r="P110" s="238">
        <v>1.0</v>
      </c>
      <c r="Q110" s="235" t="s">
        <v>627</v>
      </c>
      <c r="R110" s="238">
        <v>465.72</v>
      </c>
      <c r="S110" s="238">
        <v>23.28</v>
      </c>
      <c r="T110" s="238">
        <v>0.0</v>
      </c>
      <c r="U110" s="238">
        <v>0.0</v>
      </c>
      <c r="V110" s="238">
        <v>0.0</v>
      </c>
      <c r="W110" s="238">
        <v>0.0</v>
      </c>
      <c r="X110" s="235" t="s">
        <v>628</v>
      </c>
      <c r="Z110" s="244"/>
      <c r="AA110" s="244"/>
      <c r="AB110" s="244"/>
      <c r="AC110" s="235" t="s">
        <v>1255</v>
      </c>
      <c r="AD110" s="235" t="s">
        <v>845</v>
      </c>
      <c r="AE110" s="238">
        <v>400610.0</v>
      </c>
      <c r="AF110" s="235" t="s">
        <v>631</v>
      </c>
      <c r="AG110" s="244"/>
      <c r="AH110" s="244"/>
      <c r="AI110" s="245"/>
      <c r="AJ110" s="245"/>
      <c r="AK110" s="245"/>
      <c r="AL110" s="245"/>
      <c r="AM110" s="244"/>
      <c r="AN110" s="244"/>
      <c r="AO110" s="238">
        <v>0.0</v>
      </c>
      <c r="AP110" s="238">
        <v>0.0</v>
      </c>
      <c r="AQ110" s="235" t="s">
        <v>632</v>
      </c>
      <c r="AR110" s="243">
        <v>3.71E11</v>
      </c>
      <c r="AS110" s="235" t="s">
        <v>667</v>
      </c>
      <c r="AT110" s="235" t="s">
        <v>16</v>
      </c>
      <c r="AU110" s="235" t="s">
        <v>634</v>
      </c>
      <c r="AV110" s="246" t="s">
        <v>635</v>
      </c>
      <c r="AW110" s="242"/>
      <c r="AX110" s="242"/>
      <c r="AY110" s="231"/>
      <c r="AZ110" s="231"/>
      <c r="BA110" s="227"/>
      <c r="BB110" s="231"/>
      <c r="BC110" s="227"/>
      <c r="BD110" s="227"/>
      <c r="BE110" s="227"/>
      <c r="BF110" s="227"/>
    </row>
    <row r="111">
      <c r="A111" s="235" t="s">
        <v>1560</v>
      </c>
      <c r="C111" s="235" t="s">
        <v>1561</v>
      </c>
      <c r="D111" s="235" t="s">
        <v>1562</v>
      </c>
      <c r="E111" s="243">
        <v>6.57E13</v>
      </c>
      <c r="F111" s="244"/>
      <c r="G111" s="235" t="s">
        <v>1402</v>
      </c>
      <c r="H111" s="235" t="s">
        <v>1563</v>
      </c>
      <c r="I111" s="235" t="s">
        <v>1564</v>
      </c>
      <c r="J111" s="235" t="s">
        <v>1565</v>
      </c>
      <c r="K111" s="235" t="s">
        <v>1566</v>
      </c>
      <c r="N111" s="235" t="s">
        <v>138</v>
      </c>
      <c r="O111" s="235" t="s">
        <v>675</v>
      </c>
      <c r="P111" s="238">
        <v>1.0</v>
      </c>
      <c r="Q111" s="235" t="s">
        <v>627</v>
      </c>
      <c r="R111" s="238">
        <v>246.67</v>
      </c>
      <c r="S111" s="238">
        <v>12.33</v>
      </c>
      <c r="T111" s="238">
        <v>38.1</v>
      </c>
      <c r="U111" s="238">
        <v>1.9</v>
      </c>
      <c r="V111" s="238">
        <v>0.0</v>
      </c>
      <c r="W111" s="238">
        <v>0.0</v>
      </c>
      <c r="X111" s="235" t="s">
        <v>628</v>
      </c>
      <c r="Z111" s="244"/>
      <c r="AA111" s="244"/>
      <c r="AB111" s="244"/>
      <c r="AC111" s="235" t="s">
        <v>1531</v>
      </c>
      <c r="AD111" s="235" t="s">
        <v>1151</v>
      </c>
      <c r="AE111" s="238">
        <v>700055.0</v>
      </c>
      <c r="AF111" s="235" t="s">
        <v>631</v>
      </c>
      <c r="AG111" s="244"/>
      <c r="AH111" s="244"/>
      <c r="AI111" s="245"/>
      <c r="AJ111" s="245"/>
      <c r="AK111" s="245"/>
      <c r="AL111" s="245"/>
      <c r="AM111" s="244"/>
      <c r="AN111" s="244"/>
      <c r="AO111" s="238">
        <v>0.0</v>
      </c>
      <c r="AP111" s="238">
        <v>-38.1</v>
      </c>
      <c r="AQ111" s="235" t="s">
        <v>632</v>
      </c>
      <c r="AR111" s="243">
        <v>3.71E11</v>
      </c>
      <c r="AS111" s="235" t="s">
        <v>646</v>
      </c>
      <c r="AT111" s="235" t="s">
        <v>14</v>
      </c>
      <c r="AU111" s="235" t="s">
        <v>634</v>
      </c>
      <c r="AV111" s="246" t="s">
        <v>635</v>
      </c>
      <c r="AW111" s="242"/>
      <c r="AX111" s="242"/>
      <c r="AY111" s="231"/>
      <c r="AZ111" s="231"/>
      <c r="BA111" s="227"/>
      <c r="BB111" s="231"/>
      <c r="BC111" s="227"/>
      <c r="BD111" s="227"/>
      <c r="BE111" s="227"/>
      <c r="BF111" s="227"/>
    </row>
    <row r="112">
      <c r="A112" s="235" t="s">
        <v>1567</v>
      </c>
      <c r="C112" s="235" t="s">
        <v>1568</v>
      </c>
      <c r="D112" s="235" t="s">
        <v>1569</v>
      </c>
      <c r="E112" s="243">
        <v>6.57E13</v>
      </c>
      <c r="F112" s="244"/>
      <c r="G112" s="235" t="s">
        <v>1570</v>
      </c>
      <c r="H112" s="235" t="s">
        <v>1571</v>
      </c>
      <c r="I112" s="235" t="s">
        <v>1573</v>
      </c>
      <c r="J112" s="235" t="s">
        <v>1574</v>
      </c>
      <c r="K112" s="235" t="s">
        <v>1575</v>
      </c>
      <c r="N112" s="235" t="s">
        <v>136</v>
      </c>
      <c r="O112" s="235" t="s">
        <v>256</v>
      </c>
      <c r="P112" s="238">
        <v>1.0</v>
      </c>
      <c r="Q112" s="235" t="s">
        <v>627</v>
      </c>
      <c r="R112" s="238">
        <v>246.66</v>
      </c>
      <c r="S112" s="238">
        <v>12.34</v>
      </c>
      <c r="T112" s="238">
        <v>0.0</v>
      </c>
      <c r="U112" s="238">
        <v>0.0</v>
      </c>
      <c r="V112" s="238">
        <v>0.0</v>
      </c>
      <c r="W112" s="238">
        <v>0.0</v>
      </c>
      <c r="X112" s="235" t="s">
        <v>628</v>
      </c>
      <c r="Z112" s="244"/>
      <c r="AA112" s="244"/>
      <c r="AB112" s="244"/>
      <c r="AC112" s="235" t="s">
        <v>1058</v>
      </c>
      <c r="AD112" s="235" t="s">
        <v>845</v>
      </c>
      <c r="AE112" s="238">
        <v>400037.0</v>
      </c>
      <c r="AF112" s="235" t="s">
        <v>631</v>
      </c>
      <c r="AG112" s="244"/>
      <c r="AH112" s="244"/>
      <c r="AI112" s="245"/>
      <c r="AJ112" s="245"/>
      <c r="AK112" s="245"/>
      <c r="AL112" s="245"/>
      <c r="AM112" s="244"/>
      <c r="AN112" s="244"/>
      <c r="AO112" s="238">
        <v>0.0</v>
      </c>
      <c r="AP112" s="238">
        <v>0.0</v>
      </c>
      <c r="AQ112" s="235" t="s">
        <v>632</v>
      </c>
      <c r="AR112" s="243">
        <v>3.71E11</v>
      </c>
      <c r="AS112" s="235" t="s">
        <v>667</v>
      </c>
      <c r="AT112" s="235" t="s">
        <v>16</v>
      </c>
      <c r="AU112" s="235" t="s">
        <v>634</v>
      </c>
      <c r="AV112" s="246" t="s">
        <v>635</v>
      </c>
      <c r="AW112" s="242"/>
      <c r="AX112" s="242"/>
      <c r="AY112" s="231"/>
      <c r="AZ112" s="231"/>
      <c r="BA112" s="227"/>
      <c r="BB112" s="231"/>
      <c r="BC112" s="227"/>
      <c r="BD112" s="227"/>
      <c r="BE112" s="227"/>
      <c r="BF112" s="227"/>
    </row>
    <row r="113">
      <c r="A113" s="235" t="s">
        <v>1576</v>
      </c>
      <c r="C113" s="235" t="s">
        <v>1577</v>
      </c>
      <c r="D113" s="235" t="s">
        <v>1578</v>
      </c>
      <c r="E113" s="243">
        <v>6.57E13</v>
      </c>
      <c r="F113" s="244"/>
      <c r="G113" s="235" t="s">
        <v>1579</v>
      </c>
      <c r="H113" s="235" t="s">
        <v>1580</v>
      </c>
      <c r="I113" s="235" t="s">
        <v>1580</v>
      </c>
      <c r="J113" s="235" t="s">
        <v>1581</v>
      </c>
      <c r="K113" s="235" t="s">
        <v>1582</v>
      </c>
      <c r="N113" s="235" t="s">
        <v>154</v>
      </c>
      <c r="O113" s="235" t="s">
        <v>766</v>
      </c>
      <c r="P113" s="238">
        <v>1.0</v>
      </c>
      <c r="Q113" s="235" t="s">
        <v>627</v>
      </c>
      <c r="R113" s="238">
        <v>465.72</v>
      </c>
      <c r="S113" s="238">
        <v>23.28</v>
      </c>
      <c r="T113" s="238">
        <v>38.1</v>
      </c>
      <c r="U113" s="238">
        <v>1.9</v>
      </c>
      <c r="V113" s="238">
        <v>0.0</v>
      </c>
      <c r="W113" s="238">
        <v>0.0</v>
      </c>
      <c r="X113" s="235" t="s">
        <v>628</v>
      </c>
      <c r="Z113" s="244"/>
      <c r="AA113" s="244"/>
      <c r="AB113" s="244"/>
      <c r="AC113" s="235" t="s">
        <v>1058</v>
      </c>
      <c r="AD113" s="235" t="s">
        <v>845</v>
      </c>
      <c r="AE113" s="238">
        <v>400076.0</v>
      </c>
      <c r="AF113" s="235" t="s">
        <v>631</v>
      </c>
      <c r="AG113" s="244"/>
      <c r="AH113" s="244"/>
      <c r="AI113" s="245"/>
      <c r="AJ113" s="245"/>
      <c r="AK113" s="245"/>
      <c r="AL113" s="245"/>
      <c r="AM113" s="244"/>
      <c r="AN113" s="244"/>
      <c r="AO113" s="238">
        <v>0.0</v>
      </c>
      <c r="AP113" s="238">
        <v>-38.1</v>
      </c>
      <c r="AQ113" s="235" t="s">
        <v>632</v>
      </c>
      <c r="AR113" s="243">
        <v>3.71E11</v>
      </c>
      <c r="AS113" s="235" t="s">
        <v>667</v>
      </c>
      <c r="AT113" s="235" t="s">
        <v>16</v>
      </c>
      <c r="AU113" s="235" t="s">
        <v>634</v>
      </c>
      <c r="AV113" s="246" t="s">
        <v>635</v>
      </c>
      <c r="AW113" s="242"/>
      <c r="AX113" s="242"/>
      <c r="AY113" s="231"/>
      <c r="AZ113" s="231"/>
      <c r="BA113" s="227"/>
      <c r="BB113" s="231"/>
      <c r="BC113" s="227"/>
      <c r="BD113" s="227"/>
      <c r="BE113" s="227"/>
      <c r="BF113" s="227"/>
    </row>
    <row r="114">
      <c r="A114" s="235" t="s">
        <v>1583</v>
      </c>
      <c r="C114" s="235" t="s">
        <v>1584</v>
      </c>
      <c r="D114" s="235" t="s">
        <v>1585</v>
      </c>
      <c r="E114" s="243">
        <v>6.57E13</v>
      </c>
      <c r="F114" s="244"/>
      <c r="G114" s="235" t="s">
        <v>1586</v>
      </c>
      <c r="H114" s="235" t="s">
        <v>1587</v>
      </c>
      <c r="I114" s="235" t="s">
        <v>1587</v>
      </c>
      <c r="J114" s="235" t="s">
        <v>1588</v>
      </c>
      <c r="K114" s="235" t="s">
        <v>1589</v>
      </c>
      <c r="N114" s="235" t="s">
        <v>154</v>
      </c>
      <c r="O114" s="235" t="s">
        <v>766</v>
      </c>
      <c r="P114" s="238">
        <v>1.0</v>
      </c>
      <c r="Q114" s="235" t="s">
        <v>627</v>
      </c>
      <c r="R114" s="238">
        <v>465.72</v>
      </c>
      <c r="S114" s="238">
        <v>23.28</v>
      </c>
      <c r="T114" s="238">
        <v>0.0</v>
      </c>
      <c r="U114" s="238">
        <v>0.0</v>
      </c>
      <c r="V114" s="238">
        <v>0.0</v>
      </c>
      <c r="W114" s="238">
        <v>0.0</v>
      </c>
      <c r="X114" s="235" t="s">
        <v>628</v>
      </c>
      <c r="Z114" s="244"/>
      <c r="AA114" s="244"/>
      <c r="AB114" s="244"/>
      <c r="AC114" s="235" t="s">
        <v>1058</v>
      </c>
      <c r="AD114" s="235" t="s">
        <v>845</v>
      </c>
      <c r="AE114" s="238">
        <v>400101.0</v>
      </c>
      <c r="AF114" s="235" t="s">
        <v>631</v>
      </c>
      <c r="AG114" s="244"/>
      <c r="AH114" s="244"/>
      <c r="AI114" s="245"/>
      <c r="AJ114" s="245"/>
      <c r="AK114" s="245"/>
      <c r="AL114" s="245"/>
      <c r="AM114" s="244"/>
      <c r="AN114" s="244"/>
      <c r="AO114" s="238">
        <v>0.0</v>
      </c>
      <c r="AP114" s="238">
        <v>0.0</v>
      </c>
      <c r="AQ114" s="235" t="s">
        <v>632</v>
      </c>
      <c r="AR114" s="243">
        <v>3.71E11</v>
      </c>
      <c r="AS114" s="235" t="s">
        <v>667</v>
      </c>
      <c r="AT114" s="235" t="s">
        <v>16</v>
      </c>
      <c r="AU114" s="235" t="s">
        <v>634</v>
      </c>
      <c r="AV114" s="246" t="s">
        <v>635</v>
      </c>
      <c r="AW114" s="242"/>
      <c r="AX114" s="242"/>
      <c r="AY114" s="231"/>
      <c r="AZ114" s="231"/>
      <c r="BA114" s="227"/>
      <c r="BB114" s="231"/>
      <c r="BC114" s="227"/>
      <c r="BD114" s="227"/>
      <c r="BE114" s="227"/>
      <c r="BF114" s="227"/>
    </row>
    <row r="115">
      <c r="A115" s="235" t="s">
        <v>1590</v>
      </c>
      <c r="C115" s="235" t="s">
        <v>1591</v>
      </c>
      <c r="D115" s="235" t="s">
        <v>1592</v>
      </c>
      <c r="E115" s="243">
        <v>6.56E13</v>
      </c>
      <c r="F115" s="244"/>
      <c r="G115" s="235" t="s">
        <v>1593</v>
      </c>
      <c r="H115" s="235" t="s">
        <v>1594</v>
      </c>
      <c r="I115" s="235" t="s">
        <v>1594</v>
      </c>
      <c r="J115" s="235" t="s">
        <v>1595</v>
      </c>
      <c r="K115" s="235" t="s">
        <v>1596</v>
      </c>
      <c r="N115" s="235" t="s">
        <v>127</v>
      </c>
      <c r="O115" s="235" t="s">
        <v>794</v>
      </c>
      <c r="P115" s="238">
        <v>1.0</v>
      </c>
      <c r="Q115" s="235" t="s">
        <v>627</v>
      </c>
      <c r="R115" s="238">
        <v>246.66</v>
      </c>
      <c r="S115" s="238">
        <v>12.34</v>
      </c>
      <c r="T115" s="238">
        <v>0.0</v>
      </c>
      <c r="U115" s="238">
        <v>0.0</v>
      </c>
      <c r="V115" s="238">
        <v>0.0</v>
      </c>
      <c r="W115" s="238">
        <v>0.0</v>
      </c>
      <c r="X115" s="235" t="s">
        <v>628</v>
      </c>
      <c r="Z115" s="244"/>
      <c r="AA115" s="244"/>
      <c r="AB115" s="244"/>
      <c r="AC115" s="235" t="s">
        <v>1058</v>
      </c>
      <c r="AD115" s="235" t="s">
        <v>845</v>
      </c>
      <c r="AE115" s="238">
        <v>400056.0</v>
      </c>
      <c r="AF115" s="235" t="s">
        <v>631</v>
      </c>
      <c r="AG115" s="244"/>
      <c r="AH115" s="244"/>
      <c r="AI115" s="245"/>
      <c r="AJ115" s="245"/>
      <c r="AK115" s="245"/>
      <c r="AL115" s="245"/>
      <c r="AM115" s="244"/>
      <c r="AN115" s="244"/>
      <c r="AO115" s="238">
        <v>0.0</v>
      </c>
      <c r="AP115" s="238">
        <v>0.0</v>
      </c>
      <c r="AQ115" s="235" t="s">
        <v>632</v>
      </c>
      <c r="AR115" s="243">
        <v>3.71E11</v>
      </c>
      <c r="AS115" s="235" t="s">
        <v>667</v>
      </c>
      <c r="AT115" s="235" t="s">
        <v>17</v>
      </c>
      <c r="AU115" s="235" t="s">
        <v>634</v>
      </c>
      <c r="AV115" s="246" t="s">
        <v>635</v>
      </c>
      <c r="AW115" s="242"/>
      <c r="AX115" s="242"/>
      <c r="AY115" s="231"/>
      <c r="AZ115" s="231"/>
      <c r="BA115" s="227"/>
      <c r="BB115" s="231"/>
      <c r="BC115" s="227"/>
      <c r="BD115" s="227"/>
      <c r="BE115" s="227"/>
      <c r="BF115" s="227"/>
    </row>
    <row r="116">
      <c r="A116" s="235" t="s">
        <v>1597</v>
      </c>
      <c r="C116" s="235" t="s">
        <v>1598</v>
      </c>
      <c r="D116" s="235" t="s">
        <v>1599</v>
      </c>
      <c r="E116" s="243">
        <v>6.57E13</v>
      </c>
      <c r="F116" s="244"/>
      <c r="G116" s="235" t="s">
        <v>1600</v>
      </c>
      <c r="H116" s="235" t="s">
        <v>1601</v>
      </c>
      <c r="I116" s="235" t="s">
        <v>1601</v>
      </c>
      <c r="J116" s="235" t="s">
        <v>1602</v>
      </c>
      <c r="K116" s="235" t="s">
        <v>1603</v>
      </c>
      <c r="N116" s="235" t="s">
        <v>82</v>
      </c>
      <c r="O116" s="235" t="s">
        <v>889</v>
      </c>
      <c r="P116" s="238">
        <v>1.0</v>
      </c>
      <c r="Q116" s="235" t="s">
        <v>627</v>
      </c>
      <c r="R116" s="238">
        <v>246.66</v>
      </c>
      <c r="S116" s="238">
        <v>12.34</v>
      </c>
      <c r="T116" s="238">
        <v>0.0</v>
      </c>
      <c r="U116" s="238">
        <v>0.0</v>
      </c>
      <c r="V116" s="238">
        <v>0.0</v>
      </c>
      <c r="W116" s="238">
        <v>0.0</v>
      </c>
      <c r="X116" s="235" t="s">
        <v>628</v>
      </c>
      <c r="Z116" s="244"/>
      <c r="AA116" s="244"/>
      <c r="AB116" s="244"/>
      <c r="AC116" s="235" t="s">
        <v>1604</v>
      </c>
      <c r="AD116" s="235" t="s">
        <v>845</v>
      </c>
      <c r="AE116" s="238">
        <v>400066.0</v>
      </c>
      <c r="AF116" s="235" t="s">
        <v>631</v>
      </c>
      <c r="AG116" s="244"/>
      <c r="AH116" s="244"/>
      <c r="AI116" s="245"/>
      <c r="AJ116" s="245"/>
      <c r="AK116" s="245"/>
      <c r="AL116" s="245"/>
      <c r="AM116" s="244"/>
      <c r="AN116" s="244"/>
      <c r="AO116" s="238">
        <v>0.0</v>
      </c>
      <c r="AP116" s="238">
        <v>0.0</v>
      </c>
      <c r="AQ116" s="235" t="s">
        <v>632</v>
      </c>
      <c r="AR116" s="243">
        <v>3.71E11</v>
      </c>
      <c r="AS116" s="235" t="s">
        <v>667</v>
      </c>
      <c r="AT116" s="235" t="s">
        <v>17</v>
      </c>
      <c r="AU116" s="235" t="s">
        <v>634</v>
      </c>
      <c r="AV116" s="246" t="s">
        <v>635</v>
      </c>
      <c r="AW116" s="242"/>
      <c r="AX116" s="242"/>
      <c r="AY116" s="231"/>
      <c r="AZ116" s="231"/>
      <c r="BA116" s="227"/>
      <c r="BB116" s="231"/>
      <c r="BC116" s="227"/>
      <c r="BD116" s="227"/>
      <c r="BE116" s="227"/>
      <c r="BF116" s="227"/>
    </row>
    <row r="117">
      <c r="A117" s="235" t="s">
        <v>1606</v>
      </c>
      <c r="C117" s="235" t="s">
        <v>1607</v>
      </c>
      <c r="D117" s="235" t="s">
        <v>1608</v>
      </c>
      <c r="E117" s="243">
        <v>6.57E13</v>
      </c>
      <c r="F117" s="244"/>
      <c r="G117" s="235" t="s">
        <v>1609</v>
      </c>
      <c r="H117" s="235" t="s">
        <v>1610</v>
      </c>
      <c r="I117" s="235" t="s">
        <v>1610</v>
      </c>
      <c r="J117" s="235" t="s">
        <v>1611</v>
      </c>
      <c r="K117" s="235" t="s">
        <v>1612</v>
      </c>
      <c r="N117" s="235" t="s">
        <v>134</v>
      </c>
      <c r="O117" s="235" t="s">
        <v>314</v>
      </c>
      <c r="P117" s="238">
        <v>1.0</v>
      </c>
      <c r="Q117" s="235" t="s">
        <v>627</v>
      </c>
      <c r="R117" s="238">
        <v>246.67</v>
      </c>
      <c r="S117" s="238">
        <v>12.33</v>
      </c>
      <c r="T117" s="238">
        <v>38.1</v>
      </c>
      <c r="U117" s="238">
        <v>1.9</v>
      </c>
      <c r="V117" s="238">
        <v>0.0</v>
      </c>
      <c r="W117" s="238">
        <v>0.0</v>
      </c>
      <c r="X117" s="235" t="s">
        <v>628</v>
      </c>
      <c r="Z117" s="244"/>
      <c r="AA117" s="244"/>
      <c r="AB117" s="244"/>
      <c r="AC117" s="235" t="s">
        <v>1613</v>
      </c>
      <c r="AD117" s="235" t="s">
        <v>630</v>
      </c>
      <c r="AE117" s="238">
        <v>226013.0</v>
      </c>
      <c r="AF117" s="235" t="s">
        <v>631</v>
      </c>
      <c r="AG117" s="244"/>
      <c r="AH117" s="244"/>
      <c r="AI117" s="245"/>
      <c r="AJ117" s="245"/>
      <c r="AK117" s="245"/>
      <c r="AL117" s="245"/>
      <c r="AM117" s="244"/>
      <c r="AN117" s="244"/>
      <c r="AO117" s="238">
        <v>0.0</v>
      </c>
      <c r="AP117" s="238">
        <v>-38.1</v>
      </c>
      <c r="AQ117" s="235" t="s">
        <v>632</v>
      </c>
      <c r="AR117" s="243">
        <v>3.71E11</v>
      </c>
      <c r="AS117" s="235" t="s">
        <v>656</v>
      </c>
      <c r="AT117" s="235" t="s">
        <v>13</v>
      </c>
      <c r="AU117" s="235" t="s">
        <v>634</v>
      </c>
      <c r="AV117" s="246" t="s">
        <v>635</v>
      </c>
      <c r="AW117" s="242"/>
      <c r="AX117" s="242"/>
      <c r="AY117" s="231"/>
      <c r="AZ117" s="231"/>
      <c r="BA117" s="227"/>
      <c r="BB117" s="231"/>
      <c r="BC117" s="227"/>
      <c r="BD117" s="227"/>
      <c r="BE117" s="227"/>
      <c r="BF117" s="227"/>
    </row>
    <row r="118">
      <c r="A118" s="235" t="s">
        <v>1614</v>
      </c>
      <c r="C118" s="235" t="s">
        <v>1615</v>
      </c>
      <c r="D118" s="235" t="s">
        <v>1616</v>
      </c>
      <c r="E118" s="243">
        <v>6.57E13</v>
      </c>
      <c r="F118" s="244"/>
      <c r="G118" s="235" t="s">
        <v>1617</v>
      </c>
      <c r="H118" s="235" t="s">
        <v>1618</v>
      </c>
      <c r="I118" s="235" t="s">
        <v>1618</v>
      </c>
      <c r="J118" s="235" t="s">
        <v>1619</v>
      </c>
      <c r="K118" s="235" t="s">
        <v>1620</v>
      </c>
      <c r="N118" s="235" t="s">
        <v>22</v>
      </c>
      <c r="O118" s="235" t="s">
        <v>729</v>
      </c>
      <c r="P118" s="238">
        <v>1.0</v>
      </c>
      <c r="Q118" s="235" t="s">
        <v>627</v>
      </c>
      <c r="R118" s="238">
        <v>360.96</v>
      </c>
      <c r="S118" s="238">
        <v>18.04</v>
      </c>
      <c r="T118" s="238">
        <v>38.1</v>
      </c>
      <c r="U118" s="238">
        <v>1.9</v>
      </c>
      <c r="V118" s="238">
        <v>0.0</v>
      </c>
      <c r="W118" s="238">
        <v>0.0</v>
      </c>
      <c r="X118" s="235" t="s">
        <v>628</v>
      </c>
      <c r="Z118" s="244"/>
      <c r="AA118" s="244"/>
      <c r="AB118" s="244"/>
      <c r="AC118" s="235" t="s">
        <v>678</v>
      </c>
      <c r="AD118" s="235" t="s">
        <v>679</v>
      </c>
      <c r="AE118" s="238">
        <v>560060.0</v>
      </c>
      <c r="AF118" s="235" t="s">
        <v>631</v>
      </c>
      <c r="AG118" s="244"/>
      <c r="AH118" s="244"/>
      <c r="AI118" s="245"/>
      <c r="AJ118" s="245"/>
      <c r="AK118" s="245"/>
      <c r="AL118" s="245"/>
      <c r="AM118" s="244"/>
      <c r="AN118" s="244"/>
      <c r="AO118" s="238">
        <v>0.0</v>
      </c>
      <c r="AP118" s="238">
        <v>-38.1</v>
      </c>
      <c r="AQ118" s="235" t="s">
        <v>632</v>
      </c>
      <c r="AR118" s="243">
        <v>3.71E11</v>
      </c>
      <c r="AS118" s="235" t="s">
        <v>667</v>
      </c>
      <c r="AT118" s="235" t="s">
        <v>11</v>
      </c>
      <c r="AU118" s="235" t="s">
        <v>634</v>
      </c>
      <c r="AV118" s="246" t="s">
        <v>635</v>
      </c>
      <c r="AW118" s="242"/>
      <c r="AX118" s="242"/>
      <c r="AY118" s="231"/>
      <c r="AZ118" s="231"/>
      <c r="BA118" s="227"/>
      <c r="BB118" s="231"/>
      <c r="BC118" s="227"/>
      <c r="BD118" s="227"/>
      <c r="BE118" s="227"/>
      <c r="BF118" s="227"/>
    </row>
    <row r="119">
      <c r="A119" s="235" t="s">
        <v>1622</v>
      </c>
      <c r="C119" s="235" t="s">
        <v>1623</v>
      </c>
      <c r="D119" s="235" t="s">
        <v>1624</v>
      </c>
      <c r="E119" s="243">
        <v>6.57E13</v>
      </c>
      <c r="F119" s="244"/>
      <c r="G119" s="235" t="s">
        <v>1625</v>
      </c>
      <c r="H119" s="235" t="s">
        <v>1626</v>
      </c>
      <c r="I119" s="235" t="s">
        <v>1626</v>
      </c>
      <c r="J119" s="235" t="s">
        <v>1627</v>
      </c>
      <c r="K119" s="235" t="s">
        <v>1628</v>
      </c>
      <c r="N119" s="235" t="s">
        <v>127</v>
      </c>
      <c r="O119" s="235" t="s">
        <v>794</v>
      </c>
      <c r="P119" s="238">
        <v>1.0</v>
      </c>
      <c r="Q119" s="235" t="s">
        <v>627</v>
      </c>
      <c r="R119" s="238">
        <v>246.67</v>
      </c>
      <c r="S119" s="238">
        <v>12.33</v>
      </c>
      <c r="T119" s="238">
        <v>0.0</v>
      </c>
      <c r="U119" s="238">
        <v>0.0</v>
      </c>
      <c r="V119" s="238">
        <v>0.0</v>
      </c>
      <c r="W119" s="238">
        <v>0.0</v>
      </c>
      <c r="X119" s="235" t="s">
        <v>628</v>
      </c>
      <c r="Z119" s="244"/>
      <c r="AA119" s="244"/>
      <c r="AB119" s="244"/>
      <c r="AC119" s="235" t="s">
        <v>1531</v>
      </c>
      <c r="AD119" s="235" t="s">
        <v>1151</v>
      </c>
      <c r="AE119" s="238">
        <v>700017.0</v>
      </c>
      <c r="AF119" s="235" t="s">
        <v>631</v>
      </c>
      <c r="AG119" s="244"/>
      <c r="AH119" s="244"/>
      <c r="AI119" s="245"/>
      <c r="AJ119" s="245"/>
      <c r="AK119" s="245"/>
      <c r="AL119" s="245"/>
      <c r="AM119" s="244"/>
      <c r="AN119" s="244"/>
      <c r="AO119" s="238">
        <v>0.0</v>
      </c>
      <c r="AP119" s="238">
        <v>0.0</v>
      </c>
      <c r="AQ119" s="235" t="s">
        <v>632</v>
      </c>
      <c r="AR119" s="243">
        <v>3.71E11</v>
      </c>
      <c r="AS119" s="235" t="s">
        <v>646</v>
      </c>
      <c r="AT119" s="235" t="s">
        <v>14</v>
      </c>
      <c r="AU119" s="235" t="s">
        <v>634</v>
      </c>
      <c r="AV119" s="246" t="s">
        <v>635</v>
      </c>
      <c r="AW119" s="242"/>
      <c r="AX119" s="242"/>
      <c r="AY119" s="231"/>
      <c r="AZ119" s="231"/>
      <c r="BA119" s="227"/>
      <c r="BB119" s="231"/>
      <c r="BC119" s="227"/>
      <c r="BD119" s="227"/>
      <c r="BE119" s="227"/>
      <c r="BF119" s="227"/>
    </row>
    <row r="120">
      <c r="A120" s="235" t="s">
        <v>1629</v>
      </c>
      <c r="C120" s="235" t="s">
        <v>1630</v>
      </c>
      <c r="D120" s="235" t="s">
        <v>1631</v>
      </c>
      <c r="E120" s="243">
        <v>6.57E13</v>
      </c>
      <c r="F120" s="244"/>
      <c r="G120" s="235" t="s">
        <v>1632</v>
      </c>
      <c r="H120" s="235" t="s">
        <v>1633</v>
      </c>
      <c r="I120" s="235" t="s">
        <v>1633</v>
      </c>
      <c r="J120" s="235" t="s">
        <v>1634</v>
      </c>
      <c r="K120" s="235" t="s">
        <v>1635</v>
      </c>
      <c r="N120" s="235" t="s">
        <v>154</v>
      </c>
      <c r="O120" s="235" t="s">
        <v>766</v>
      </c>
      <c r="P120" s="238">
        <v>1.0</v>
      </c>
      <c r="Q120" s="235" t="s">
        <v>627</v>
      </c>
      <c r="R120" s="238">
        <v>465.71</v>
      </c>
      <c r="S120" s="238">
        <v>23.29</v>
      </c>
      <c r="T120" s="238">
        <v>38.1</v>
      </c>
      <c r="U120" s="238">
        <v>1.9</v>
      </c>
      <c r="V120" s="238">
        <v>0.0</v>
      </c>
      <c r="W120" s="238">
        <v>0.0</v>
      </c>
      <c r="X120" s="235" t="s">
        <v>628</v>
      </c>
      <c r="Z120" s="244"/>
      <c r="AA120" s="244"/>
      <c r="AB120" s="244"/>
      <c r="AC120" s="235" t="s">
        <v>1531</v>
      </c>
      <c r="AD120" s="235" t="s">
        <v>1151</v>
      </c>
      <c r="AE120" s="238">
        <v>700033.0</v>
      </c>
      <c r="AF120" s="235" t="s">
        <v>631</v>
      </c>
      <c r="AG120" s="244"/>
      <c r="AH120" s="244"/>
      <c r="AI120" s="245"/>
      <c r="AJ120" s="245"/>
      <c r="AK120" s="245"/>
      <c r="AL120" s="245"/>
      <c r="AM120" s="244"/>
      <c r="AN120" s="244"/>
      <c r="AO120" s="238">
        <v>0.0</v>
      </c>
      <c r="AP120" s="238">
        <v>-38.1</v>
      </c>
      <c r="AQ120" s="235" t="s">
        <v>632</v>
      </c>
      <c r="AR120" s="243">
        <v>3.71E11</v>
      </c>
      <c r="AS120" s="235" t="s">
        <v>699</v>
      </c>
      <c r="AT120" s="235" t="s">
        <v>14</v>
      </c>
      <c r="AU120" s="235" t="s">
        <v>634</v>
      </c>
      <c r="AV120" s="246" t="s">
        <v>635</v>
      </c>
      <c r="AW120" s="242"/>
      <c r="AX120" s="242"/>
      <c r="AY120" s="231"/>
      <c r="AZ120" s="231"/>
      <c r="BA120" s="227"/>
      <c r="BB120" s="231"/>
      <c r="BC120" s="227"/>
      <c r="BD120" s="227"/>
      <c r="BE120" s="227"/>
      <c r="BF120" s="227"/>
    </row>
    <row r="121">
      <c r="A121" s="235" t="s">
        <v>1636</v>
      </c>
      <c r="C121" s="235" t="s">
        <v>1637</v>
      </c>
      <c r="D121" s="235" t="s">
        <v>1638</v>
      </c>
      <c r="E121" s="243">
        <v>6.57E13</v>
      </c>
      <c r="F121" s="244"/>
      <c r="G121" s="235" t="s">
        <v>1640</v>
      </c>
      <c r="H121" s="235" t="s">
        <v>1641</v>
      </c>
      <c r="I121" s="235" t="s">
        <v>1641</v>
      </c>
      <c r="J121" s="235" t="s">
        <v>1642</v>
      </c>
      <c r="K121" s="235" t="s">
        <v>1643</v>
      </c>
      <c r="N121" s="235" t="s">
        <v>104</v>
      </c>
      <c r="O121" s="235" t="s">
        <v>401</v>
      </c>
      <c r="P121" s="238">
        <v>1.0</v>
      </c>
      <c r="Q121" s="235" t="s">
        <v>627</v>
      </c>
      <c r="R121" s="238">
        <v>246.66</v>
      </c>
      <c r="S121" s="238">
        <v>11.97</v>
      </c>
      <c r="T121" s="238">
        <v>0.0</v>
      </c>
      <c r="U121" s="238">
        <v>0.0</v>
      </c>
      <c r="V121" s="238">
        <v>0.0</v>
      </c>
      <c r="W121" s="238">
        <v>0.0</v>
      </c>
      <c r="X121" s="235" t="s">
        <v>628</v>
      </c>
      <c r="Z121" s="244"/>
      <c r="AA121" s="244"/>
      <c r="AB121" s="244"/>
      <c r="AC121" s="235" t="s">
        <v>1644</v>
      </c>
      <c r="AD121" s="235" t="s">
        <v>845</v>
      </c>
      <c r="AE121" s="238">
        <v>415709.0</v>
      </c>
      <c r="AF121" s="235" t="s">
        <v>631</v>
      </c>
      <c r="AG121" s="244"/>
      <c r="AH121" s="244"/>
      <c r="AI121" s="245"/>
      <c r="AJ121" s="245"/>
      <c r="AK121" s="245"/>
      <c r="AL121" s="245"/>
      <c r="AM121" s="244"/>
      <c r="AN121" s="244"/>
      <c r="AO121" s="238">
        <v>-7.4</v>
      </c>
      <c r="AP121" s="238">
        <v>0.0</v>
      </c>
      <c r="AQ121" s="235" t="s">
        <v>632</v>
      </c>
      <c r="AR121" s="243">
        <v>3.71E11</v>
      </c>
      <c r="AS121" s="235" t="s">
        <v>667</v>
      </c>
      <c r="AT121" s="235" t="s">
        <v>546</v>
      </c>
      <c r="AU121" s="235" t="s">
        <v>634</v>
      </c>
      <c r="AV121" s="246" t="s">
        <v>635</v>
      </c>
      <c r="AW121" s="242"/>
      <c r="AX121" s="242"/>
      <c r="AY121" s="231"/>
      <c r="AZ121" s="231"/>
      <c r="BA121" s="227"/>
      <c r="BB121" s="231"/>
      <c r="BC121" s="227"/>
      <c r="BD121" s="227"/>
      <c r="BE121" s="227"/>
      <c r="BF121" s="227"/>
    </row>
    <row r="122">
      <c r="A122" s="235" t="s">
        <v>1636</v>
      </c>
      <c r="C122" s="235" t="s">
        <v>1637</v>
      </c>
      <c r="D122" s="235" t="s">
        <v>1645</v>
      </c>
      <c r="E122" s="243">
        <v>6.57E13</v>
      </c>
      <c r="F122" s="244"/>
      <c r="G122" s="235" t="s">
        <v>1640</v>
      </c>
      <c r="H122" s="235" t="s">
        <v>1641</v>
      </c>
      <c r="I122" s="235" t="s">
        <v>1641</v>
      </c>
      <c r="J122" s="235" t="s">
        <v>1642</v>
      </c>
      <c r="K122" s="235" t="s">
        <v>1643</v>
      </c>
      <c r="N122" s="235" t="s">
        <v>1646</v>
      </c>
      <c r="O122" s="235" t="s">
        <v>1647</v>
      </c>
      <c r="P122" s="238">
        <v>1.0</v>
      </c>
      <c r="Q122" s="235" t="s">
        <v>627</v>
      </c>
      <c r="R122" s="238">
        <v>270.48</v>
      </c>
      <c r="S122" s="238">
        <v>13.12</v>
      </c>
      <c r="T122" s="238">
        <v>0.0</v>
      </c>
      <c r="U122" s="238">
        <v>0.0</v>
      </c>
      <c r="V122" s="238">
        <v>0.0</v>
      </c>
      <c r="W122" s="238">
        <v>0.0</v>
      </c>
      <c r="X122" s="235" t="s">
        <v>628</v>
      </c>
      <c r="Z122" s="244"/>
      <c r="AA122" s="244"/>
      <c r="AB122" s="244"/>
      <c r="AC122" s="235" t="s">
        <v>1644</v>
      </c>
      <c r="AD122" s="235" t="s">
        <v>845</v>
      </c>
      <c r="AE122" s="238">
        <v>415709.0</v>
      </c>
      <c r="AF122" s="235" t="s">
        <v>631</v>
      </c>
      <c r="AG122" s="244"/>
      <c r="AH122" s="244"/>
      <c r="AI122" s="245"/>
      <c r="AJ122" s="245"/>
      <c r="AK122" s="245"/>
      <c r="AL122" s="245"/>
      <c r="AM122" s="244"/>
      <c r="AN122" s="244"/>
      <c r="AO122" s="238">
        <v>-8.12</v>
      </c>
      <c r="AP122" s="238">
        <v>0.0</v>
      </c>
      <c r="AQ122" s="235" t="s">
        <v>632</v>
      </c>
      <c r="AR122" s="243">
        <v>3.71E11</v>
      </c>
      <c r="AS122" s="235" t="s">
        <v>667</v>
      </c>
      <c r="AT122" s="235" t="s">
        <v>546</v>
      </c>
      <c r="AU122" s="235" t="s">
        <v>634</v>
      </c>
      <c r="AV122" s="246" t="s">
        <v>635</v>
      </c>
      <c r="AW122" s="242"/>
      <c r="AX122" s="242"/>
      <c r="AY122" s="231"/>
      <c r="AZ122" s="231"/>
      <c r="BA122" s="227"/>
      <c r="BB122" s="231"/>
      <c r="BC122" s="227"/>
      <c r="BD122" s="227"/>
      <c r="BE122" s="227"/>
      <c r="BF122" s="227"/>
    </row>
    <row r="123">
      <c r="A123" s="235" t="s">
        <v>1648</v>
      </c>
      <c r="C123" s="235" t="s">
        <v>1649</v>
      </c>
      <c r="D123" s="235" t="s">
        <v>1650</v>
      </c>
      <c r="E123" s="243">
        <v>6.57E13</v>
      </c>
      <c r="F123" s="244"/>
      <c r="G123" s="235" t="s">
        <v>1651</v>
      </c>
      <c r="H123" s="235" t="s">
        <v>1652</v>
      </c>
      <c r="I123" s="235" t="s">
        <v>1652</v>
      </c>
      <c r="J123" s="235" t="s">
        <v>1653</v>
      </c>
      <c r="K123" s="235" t="s">
        <v>1654</v>
      </c>
      <c r="N123" s="235" t="s">
        <v>556</v>
      </c>
      <c r="O123" s="235" t="s">
        <v>555</v>
      </c>
      <c r="P123" s="238">
        <v>1.0</v>
      </c>
      <c r="Q123" s="235" t="s">
        <v>627</v>
      </c>
      <c r="R123" s="238">
        <v>246.66</v>
      </c>
      <c r="S123" s="238">
        <v>12.34</v>
      </c>
      <c r="T123" s="238">
        <v>38.1</v>
      </c>
      <c r="U123" s="238">
        <v>1.9</v>
      </c>
      <c r="V123" s="238">
        <v>0.0</v>
      </c>
      <c r="W123" s="238">
        <v>0.0</v>
      </c>
      <c r="X123" s="235" t="s">
        <v>628</v>
      </c>
      <c r="Z123" s="244"/>
      <c r="AA123" s="244"/>
      <c r="AB123" s="244"/>
      <c r="AC123" s="235" t="s">
        <v>678</v>
      </c>
      <c r="AD123" s="235" t="s">
        <v>679</v>
      </c>
      <c r="AE123" s="238">
        <v>560094.0</v>
      </c>
      <c r="AF123" s="235" t="s">
        <v>631</v>
      </c>
      <c r="AG123" s="244"/>
      <c r="AH123" s="244"/>
      <c r="AI123" s="245"/>
      <c r="AJ123" s="245"/>
      <c r="AK123" s="245"/>
      <c r="AL123" s="245"/>
      <c r="AM123" s="244"/>
      <c r="AN123" s="244"/>
      <c r="AO123" s="238">
        <v>0.0</v>
      </c>
      <c r="AP123" s="238">
        <v>-38.1</v>
      </c>
      <c r="AQ123" s="235" t="s">
        <v>632</v>
      </c>
      <c r="AR123" s="243">
        <v>3.71E11</v>
      </c>
      <c r="AS123" s="235" t="s">
        <v>667</v>
      </c>
      <c r="AT123" s="235" t="s">
        <v>11</v>
      </c>
      <c r="AU123" s="235" t="s">
        <v>634</v>
      </c>
      <c r="AV123" s="246" t="s">
        <v>635</v>
      </c>
      <c r="AW123" s="242"/>
      <c r="AX123" s="242"/>
      <c r="AY123" s="231"/>
      <c r="AZ123" s="231"/>
      <c r="BA123" s="227"/>
      <c r="BB123" s="231"/>
      <c r="BC123" s="227"/>
      <c r="BD123" s="227"/>
      <c r="BE123" s="227"/>
      <c r="BF123" s="227"/>
    </row>
    <row r="124">
      <c r="A124" s="235" t="s">
        <v>1656</v>
      </c>
      <c r="C124" s="235" t="s">
        <v>1657</v>
      </c>
      <c r="D124" s="235" t="s">
        <v>1658</v>
      </c>
      <c r="E124" s="243">
        <v>6.57E13</v>
      </c>
      <c r="F124" s="244"/>
      <c r="G124" s="235" t="s">
        <v>1659</v>
      </c>
      <c r="H124" s="235" t="s">
        <v>1660</v>
      </c>
      <c r="I124" s="235" t="s">
        <v>1660</v>
      </c>
      <c r="J124" s="235" t="s">
        <v>1661</v>
      </c>
      <c r="K124" s="235" t="s">
        <v>1662</v>
      </c>
      <c r="N124" s="235" t="s">
        <v>1646</v>
      </c>
      <c r="O124" s="235" t="s">
        <v>1647</v>
      </c>
      <c r="P124" s="238">
        <v>1.0</v>
      </c>
      <c r="Q124" s="235" t="s">
        <v>627</v>
      </c>
      <c r="R124" s="238">
        <v>270.48</v>
      </c>
      <c r="S124" s="238">
        <v>13.52</v>
      </c>
      <c r="T124" s="238">
        <v>38.1</v>
      </c>
      <c r="U124" s="238">
        <v>1.9</v>
      </c>
      <c r="V124" s="238">
        <v>0.0</v>
      </c>
      <c r="W124" s="238">
        <v>0.0</v>
      </c>
      <c r="X124" s="235" t="s">
        <v>628</v>
      </c>
      <c r="Z124" s="244"/>
      <c r="AA124" s="244"/>
      <c r="AB124" s="244"/>
      <c r="AC124" s="235" t="s">
        <v>1663</v>
      </c>
      <c r="AD124" s="235" t="s">
        <v>645</v>
      </c>
      <c r="AE124" s="238">
        <v>678601.0</v>
      </c>
      <c r="AF124" s="235" t="s">
        <v>631</v>
      </c>
      <c r="AG124" s="244"/>
      <c r="AH124" s="244"/>
      <c r="AI124" s="245"/>
      <c r="AJ124" s="245"/>
      <c r="AK124" s="245"/>
      <c r="AL124" s="245"/>
      <c r="AM124" s="244"/>
      <c r="AN124" s="244"/>
      <c r="AO124" s="238">
        <v>0.0</v>
      </c>
      <c r="AP124" s="238">
        <v>-38.1</v>
      </c>
      <c r="AQ124" s="235" t="s">
        <v>1328</v>
      </c>
      <c r="AR124" s="243">
        <v>1.34E13</v>
      </c>
      <c r="AS124" s="235" t="s">
        <v>699</v>
      </c>
      <c r="AT124" s="235" t="s">
        <v>11</v>
      </c>
      <c r="AU124" s="235" t="s">
        <v>634</v>
      </c>
      <c r="AV124" s="246" t="s">
        <v>635</v>
      </c>
      <c r="AW124" s="242"/>
      <c r="AX124" s="242"/>
      <c r="AY124" s="231"/>
      <c r="AZ124" s="231"/>
      <c r="BA124" s="227"/>
      <c r="BB124" s="231"/>
      <c r="BC124" s="227"/>
      <c r="BD124" s="227"/>
      <c r="BE124" s="227"/>
      <c r="BF124" s="227"/>
    </row>
    <row r="125">
      <c r="A125" s="235" t="s">
        <v>1664</v>
      </c>
      <c r="C125" s="235" t="s">
        <v>1665</v>
      </c>
      <c r="D125" s="235" t="s">
        <v>1666</v>
      </c>
      <c r="E125" s="243">
        <v>6.57E13</v>
      </c>
      <c r="F125" s="244"/>
      <c r="G125" s="235" t="s">
        <v>1667</v>
      </c>
      <c r="H125" s="235" t="s">
        <v>1668</v>
      </c>
      <c r="I125" s="235" t="s">
        <v>1668</v>
      </c>
      <c r="J125" s="235" t="s">
        <v>1669</v>
      </c>
      <c r="K125" s="235" t="s">
        <v>1670</v>
      </c>
      <c r="N125" s="235" t="s">
        <v>27</v>
      </c>
      <c r="O125" s="235" t="s">
        <v>573</v>
      </c>
      <c r="P125" s="238">
        <v>1.0</v>
      </c>
      <c r="Q125" s="235" t="s">
        <v>627</v>
      </c>
      <c r="R125" s="238">
        <v>360.96</v>
      </c>
      <c r="S125" s="238">
        <v>18.04</v>
      </c>
      <c r="T125" s="238">
        <v>38.1</v>
      </c>
      <c r="U125" s="238">
        <v>1.9</v>
      </c>
      <c r="V125" s="238">
        <v>0.0</v>
      </c>
      <c r="W125" s="238">
        <v>0.0</v>
      </c>
      <c r="X125" s="235" t="s">
        <v>628</v>
      </c>
      <c r="Z125" s="244"/>
      <c r="AA125" s="244"/>
      <c r="AB125" s="244"/>
      <c r="AC125" s="235" t="s">
        <v>1671</v>
      </c>
      <c r="AD125" s="235" t="s">
        <v>666</v>
      </c>
      <c r="AE125" s="238">
        <v>641006.0</v>
      </c>
      <c r="AF125" s="235" t="s">
        <v>631</v>
      </c>
      <c r="AG125" s="244"/>
      <c r="AH125" s="244"/>
      <c r="AI125" s="245"/>
      <c r="AJ125" s="245"/>
      <c r="AK125" s="245"/>
      <c r="AL125" s="245"/>
      <c r="AM125" s="244"/>
      <c r="AN125" s="244"/>
      <c r="AO125" s="238">
        <v>0.0</v>
      </c>
      <c r="AP125" s="238">
        <v>-38.1</v>
      </c>
      <c r="AQ125" s="235" t="s">
        <v>632</v>
      </c>
      <c r="AR125" s="243">
        <v>3.71E11</v>
      </c>
      <c r="AS125" s="235" t="s">
        <v>667</v>
      </c>
      <c r="AT125" s="235" t="s">
        <v>155</v>
      </c>
      <c r="AU125" s="235" t="s">
        <v>634</v>
      </c>
      <c r="AV125" s="246" t="s">
        <v>635</v>
      </c>
      <c r="AW125" s="242"/>
      <c r="AX125" s="242"/>
      <c r="AY125" s="231"/>
      <c r="AZ125" s="231"/>
      <c r="BA125" s="227"/>
      <c r="BB125" s="231"/>
      <c r="BC125" s="227"/>
      <c r="BD125" s="227"/>
      <c r="BE125" s="227"/>
      <c r="BF125" s="227"/>
    </row>
    <row r="126">
      <c r="A126" s="235" t="s">
        <v>1673</v>
      </c>
      <c r="C126" s="235" t="s">
        <v>1674</v>
      </c>
      <c r="D126" s="235" t="s">
        <v>1675</v>
      </c>
      <c r="E126" s="243">
        <v>6.57E13</v>
      </c>
      <c r="F126" s="244"/>
      <c r="G126" s="235" t="s">
        <v>1676</v>
      </c>
      <c r="H126" s="235" t="s">
        <v>1677</v>
      </c>
      <c r="I126" s="235" t="s">
        <v>1677</v>
      </c>
      <c r="J126" s="235" t="s">
        <v>1678</v>
      </c>
      <c r="K126" s="235" t="s">
        <v>1679</v>
      </c>
      <c r="N126" s="235" t="s">
        <v>141</v>
      </c>
      <c r="O126" s="235" t="s">
        <v>342</v>
      </c>
      <c r="P126" s="238">
        <v>1.0</v>
      </c>
      <c r="Q126" s="235" t="s">
        <v>627</v>
      </c>
      <c r="R126" s="238">
        <v>246.66</v>
      </c>
      <c r="S126" s="238">
        <v>12.34</v>
      </c>
      <c r="T126" s="238">
        <v>38.1</v>
      </c>
      <c r="U126" s="238">
        <v>1.9</v>
      </c>
      <c r="V126" s="238">
        <v>0.0</v>
      </c>
      <c r="W126" s="238">
        <v>0.0</v>
      </c>
      <c r="X126" s="235" t="s">
        <v>628</v>
      </c>
      <c r="Z126" s="244"/>
      <c r="AA126" s="244"/>
      <c r="AB126" s="244"/>
      <c r="AC126" s="235" t="s">
        <v>1680</v>
      </c>
      <c r="AD126" s="235" t="s">
        <v>928</v>
      </c>
      <c r="AE126" s="238">
        <v>132103.0</v>
      </c>
      <c r="AF126" s="235" t="s">
        <v>631</v>
      </c>
      <c r="AG126" s="244"/>
      <c r="AH126" s="244"/>
      <c r="AI126" s="245"/>
      <c r="AJ126" s="245"/>
      <c r="AK126" s="245"/>
      <c r="AL126" s="245"/>
      <c r="AM126" s="244"/>
      <c r="AN126" s="244"/>
      <c r="AO126" s="238">
        <v>0.0</v>
      </c>
      <c r="AP126" s="238">
        <v>-38.1</v>
      </c>
      <c r="AQ126" s="235" t="s">
        <v>632</v>
      </c>
      <c r="AR126" s="243">
        <v>3.71E11</v>
      </c>
      <c r="AS126" s="235" t="s">
        <v>667</v>
      </c>
      <c r="AT126" s="235" t="s">
        <v>14</v>
      </c>
      <c r="AU126" s="235" t="s">
        <v>634</v>
      </c>
      <c r="AV126" s="246" t="s">
        <v>635</v>
      </c>
      <c r="AW126" s="242"/>
      <c r="AX126" s="242"/>
      <c r="AY126" s="231"/>
      <c r="AZ126" s="231"/>
      <c r="BA126" s="227"/>
      <c r="BB126" s="231"/>
      <c r="BC126" s="227"/>
      <c r="BD126" s="227"/>
      <c r="BE126" s="227"/>
      <c r="BF126" s="227"/>
    </row>
    <row r="127">
      <c r="A127" s="235" t="s">
        <v>1681</v>
      </c>
      <c r="C127" s="235" t="s">
        <v>1682</v>
      </c>
      <c r="D127" s="235" t="s">
        <v>1683</v>
      </c>
      <c r="E127" s="243">
        <v>6.57E13</v>
      </c>
      <c r="F127" s="244"/>
      <c r="G127" s="235" t="s">
        <v>1684</v>
      </c>
      <c r="H127" s="235" t="s">
        <v>1685</v>
      </c>
      <c r="I127" s="235" t="s">
        <v>1685</v>
      </c>
      <c r="J127" s="235" t="s">
        <v>1686</v>
      </c>
      <c r="K127" s="235" t="s">
        <v>1687</v>
      </c>
      <c r="N127" s="235" t="s">
        <v>43</v>
      </c>
      <c r="O127" s="235" t="s">
        <v>276</v>
      </c>
      <c r="P127" s="238">
        <v>1.0</v>
      </c>
      <c r="Q127" s="235" t="s">
        <v>627</v>
      </c>
      <c r="R127" s="238">
        <v>237.14</v>
      </c>
      <c r="S127" s="238">
        <v>11.86</v>
      </c>
      <c r="T127" s="238">
        <v>38.1</v>
      </c>
      <c r="U127" s="238">
        <v>1.9</v>
      </c>
      <c r="V127" s="238">
        <v>0.0</v>
      </c>
      <c r="W127" s="238">
        <v>0.0</v>
      </c>
      <c r="X127" s="235" t="s">
        <v>628</v>
      </c>
      <c r="Z127" s="244"/>
      <c r="AA127" s="244"/>
      <c r="AB127" s="244"/>
      <c r="AC127" s="235" t="s">
        <v>697</v>
      </c>
      <c r="AD127" s="235" t="s">
        <v>698</v>
      </c>
      <c r="AE127" s="238">
        <v>500090.0</v>
      </c>
      <c r="AF127" s="235" t="s">
        <v>631</v>
      </c>
      <c r="AG127" s="244"/>
      <c r="AH127" s="244"/>
      <c r="AI127" s="245"/>
      <c r="AJ127" s="245"/>
      <c r="AK127" s="245"/>
      <c r="AL127" s="245"/>
      <c r="AM127" s="244"/>
      <c r="AN127" s="244"/>
      <c r="AO127" s="238">
        <v>0.0</v>
      </c>
      <c r="AP127" s="238">
        <v>-38.1</v>
      </c>
      <c r="AQ127" s="235" t="s">
        <v>632</v>
      </c>
      <c r="AR127" s="243">
        <v>3.71E11</v>
      </c>
      <c r="AS127" s="235" t="s">
        <v>699</v>
      </c>
      <c r="AT127" s="235" t="s">
        <v>14</v>
      </c>
      <c r="AU127" s="235" t="s">
        <v>634</v>
      </c>
      <c r="AV127" s="246" t="s">
        <v>635</v>
      </c>
      <c r="AW127" s="242"/>
      <c r="AX127" s="242"/>
      <c r="AY127" s="231"/>
      <c r="AZ127" s="231"/>
      <c r="BA127" s="227"/>
      <c r="BB127" s="231"/>
      <c r="BC127" s="227"/>
      <c r="BD127" s="227"/>
      <c r="BE127" s="227"/>
      <c r="BF127" s="227"/>
    </row>
    <row r="128">
      <c r="A128" s="235" t="s">
        <v>1688</v>
      </c>
      <c r="C128" s="235" t="s">
        <v>1689</v>
      </c>
      <c r="D128" s="235" t="s">
        <v>1690</v>
      </c>
      <c r="E128" s="243">
        <v>6.57E13</v>
      </c>
      <c r="F128" s="244"/>
      <c r="G128" s="235" t="s">
        <v>1691</v>
      </c>
      <c r="H128" s="235" t="s">
        <v>1692</v>
      </c>
      <c r="I128" s="235" t="s">
        <v>1693</v>
      </c>
      <c r="J128" s="235" t="s">
        <v>1694</v>
      </c>
      <c r="K128" s="235" t="s">
        <v>1695</v>
      </c>
      <c r="N128" s="235" t="s">
        <v>144</v>
      </c>
      <c r="O128" s="235" t="s">
        <v>232</v>
      </c>
      <c r="P128" s="238">
        <v>1.0</v>
      </c>
      <c r="Q128" s="235" t="s">
        <v>627</v>
      </c>
      <c r="R128" s="238">
        <v>665.72</v>
      </c>
      <c r="S128" s="238">
        <v>33.28</v>
      </c>
      <c r="T128" s="238">
        <v>0.0</v>
      </c>
      <c r="U128" s="238">
        <v>0.0</v>
      </c>
      <c r="V128" s="238">
        <v>0.0</v>
      </c>
      <c r="W128" s="238">
        <v>0.0</v>
      </c>
      <c r="X128" s="235" t="s">
        <v>628</v>
      </c>
      <c r="Z128" s="244"/>
      <c r="AA128" s="244"/>
      <c r="AB128" s="244"/>
      <c r="AC128" s="235" t="s">
        <v>1095</v>
      </c>
      <c r="AD128" s="235" t="s">
        <v>845</v>
      </c>
      <c r="AE128" s="238">
        <v>410206.0</v>
      </c>
      <c r="AF128" s="235" t="s">
        <v>631</v>
      </c>
      <c r="AG128" s="244"/>
      <c r="AH128" s="244"/>
      <c r="AI128" s="245"/>
      <c r="AJ128" s="245"/>
      <c r="AK128" s="245"/>
      <c r="AL128" s="245"/>
      <c r="AM128" s="244"/>
      <c r="AN128" s="244"/>
      <c r="AO128" s="238">
        <v>0.0</v>
      </c>
      <c r="AP128" s="238">
        <v>0.0</v>
      </c>
      <c r="AQ128" s="235" t="s">
        <v>632</v>
      </c>
      <c r="AR128" s="243">
        <v>3.71E11</v>
      </c>
      <c r="AS128" s="235" t="s">
        <v>667</v>
      </c>
      <c r="AT128" s="235" t="s">
        <v>16</v>
      </c>
      <c r="AU128" s="235" t="s">
        <v>634</v>
      </c>
      <c r="AV128" s="246" t="s">
        <v>635</v>
      </c>
      <c r="AW128" s="242"/>
      <c r="AX128" s="242"/>
      <c r="AY128" s="231"/>
      <c r="AZ128" s="231"/>
      <c r="BA128" s="227"/>
      <c r="BB128" s="231"/>
      <c r="BC128" s="227"/>
      <c r="BD128" s="227"/>
      <c r="BE128" s="227"/>
      <c r="BF128" s="227"/>
    </row>
    <row r="129">
      <c r="A129" s="235" t="s">
        <v>1696</v>
      </c>
      <c r="C129" s="235" t="s">
        <v>1697</v>
      </c>
      <c r="D129" s="235" t="s">
        <v>1698</v>
      </c>
      <c r="E129" s="243">
        <v>6.57E13</v>
      </c>
      <c r="F129" s="244"/>
      <c r="G129" s="235" t="s">
        <v>1699</v>
      </c>
      <c r="H129" s="235" t="s">
        <v>1700</v>
      </c>
      <c r="I129" s="235" t="s">
        <v>1700</v>
      </c>
      <c r="J129" s="235" t="s">
        <v>1701</v>
      </c>
      <c r="K129" s="235" t="s">
        <v>1702</v>
      </c>
      <c r="N129" s="235" t="s">
        <v>1346</v>
      </c>
      <c r="O129" s="235" t="s">
        <v>1347</v>
      </c>
      <c r="P129" s="238">
        <v>1.0</v>
      </c>
      <c r="Q129" s="235" t="s">
        <v>627</v>
      </c>
      <c r="R129" s="238">
        <v>256.19</v>
      </c>
      <c r="S129" s="238">
        <v>12.81</v>
      </c>
      <c r="T129" s="238">
        <v>38.1</v>
      </c>
      <c r="U129" s="238">
        <v>1.9</v>
      </c>
      <c r="V129" s="238">
        <v>0.0</v>
      </c>
      <c r="W129" s="238">
        <v>0.0</v>
      </c>
      <c r="X129" s="235" t="s">
        <v>628</v>
      </c>
      <c r="Z129" s="244"/>
      <c r="AA129" s="244"/>
      <c r="AB129" s="244"/>
      <c r="AC129" s="235" t="s">
        <v>1703</v>
      </c>
      <c r="AD129" s="235" t="s">
        <v>1151</v>
      </c>
      <c r="AE129" s="238">
        <v>734004.0</v>
      </c>
      <c r="AF129" s="235" t="s">
        <v>631</v>
      </c>
      <c r="AG129" s="244"/>
      <c r="AH129" s="244"/>
      <c r="AI129" s="245"/>
      <c r="AJ129" s="245"/>
      <c r="AK129" s="245"/>
      <c r="AL129" s="245"/>
      <c r="AM129" s="244"/>
      <c r="AN129" s="244"/>
      <c r="AO129" s="238">
        <v>0.0</v>
      </c>
      <c r="AP129" s="238">
        <v>-38.1</v>
      </c>
      <c r="AQ129" s="235" t="s">
        <v>632</v>
      </c>
      <c r="AR129" s="243">
        <v>3.71E11</v>
      </c>
      <c r="AS129" s="235" t="s">
        <v>699</v>
      </c>
      <c r="AT129" s="235" t="s">
        <v>14</v>
      </c>
      <c r="AU129" s="235" t="s">
        <v>634</v>
      </c>
      <c r="AV129" s="246" t="s">
        <v>635</v>
      </c>
      <c r="AW129" s="242"/>
      <c r="AX129" s="242"/>
      <c r="AY129" s="231"/>
      <c r="AZ129" s="231"/>
      <c r="BA129" s="227"/>
      <c r="BB129" s="231"/>
      <c r="BC129" s="227"/>
      <c r="BD129" s="227"/>
      <c r="BE129" s="227"/>
      <c r="BF129" s="227"/>
    </row>
    <row r="130">
      <c r="A130" s="235" t="s">
        <v>1704</v>
      </c>
      <c r="C130" s="235" t="s">
        <v>1705</v>
      </c>
      <c r="D130" s="235" t="s">
        <v>1706</v>
      </c>
      <c r="E130" s="243">
        <v>6.57E13</v>
      </c>
      <c r="F130" s="244"/>
      <c r="G130" s="235" t="s">
        <v>1707</v>
      </c>
      <c r="H130" s="235" t="s">
        <v>1708</v>
      </c>
      <c r="I130" s="235" t="s">
        <v>1708</v>
      </c>
      <c r="J130" s="235" t="s">
        <v>1709</v>
      </c>
      <c r="K130" s="235" t="s">
        <v>1710</v>
      </c>
      <c r="N130" s="235" t="s">
        <v>92</v>
      </c>
      <c r="O130" s="235" t="s">
        <v>248</v>
      </c>
      <c r="P130" s="238">
        <v>1.0</v>
      </c>
      <c r="Q130" s="235" t="s">
        <v>627</v>
      </c>
      <c r="R130" s="238">
        <v>246.67</v>
      </c>
      <c r="S130" s="238">
        <v>12.33</v>
      </c>
      <c r="T130" s="238">
        <v>38.1</v>
      </c>
      <c r="U130" s="238">
        <v>1.9</v>
      </c>
      <c r="V130" s="238">
        <v>0.0</v>
      </c>
      <c r="W130" s="238">
        <v>0.0</v>
      </c>
      <c r="X130" s="235" t="s">
        <v>628</v>
      </c>
      <c r="Z130" s="244"/>
      <c r="AA130" s="244"/>
      <c r="AB130" s="244"/>
      <c r="AC130" s="235" t="s">
        <v>1711</v>
      </c>
      <c r="AD130" s="235" t="s">
        <v>679</v>
      </c>
      <c r="AE130" s="238">
        <v>585318.0</v>
      </c>
      <c r="AF130" s="235" t="s">
        <v>631</v>
      </c>
      <c r="AG130" s="244"/>
      <c r="AH130" s="244"/>
      <c r="AI130" s="245"/>
      <c r="AJ130" s="245"/>
      <c r="AK130" s="245"/>
      <c r="AL130" s="245"/>
      <c r="AM130" s="244"/>
      <c r="AN130" s="244"/>
      <c r="AO130" s="238">
        <v>0.0</v>
      </c>
      <c r="AP130" s="238">
        <v>-38.1</v>
      </c>
      <c r="AQ130" s="235" t="s">
        <v>632</v>
      </c>
      <c r="AR130" s="243">
        <v>3.71E11</v>
      </c>
      <c r="AS130" s="235" t="s">
        <v>646</v>
      </c>
      <c r="AT130" s="235" t="s">
        <v>546</v>
      </c>
      <c r="AU130" s="235" t="s">
        <v>634</v>
      </c>
      <c r="AV130" s="246" t="s">
        <v>635</v>
      </c>
      <c r="AW130" s="242"/>
      <c r="AX130" s="242"/>
      <c r="AY130" s="231"/>
      <c r="AZ130" s="231"/>
      <c r="BA130" s="227"/>
      <c r="BB130" s="231"/>
      <c r="BC130" s="227"/>
      <c r="BD130" s="227"/>
      <c r="BE130" s="227"/>
      <c r="BF130" s="227"/>
    </row>
    <row r="131">
      <c r="A131" s="235" t="s">
        <v>1712</v>
      </c>
      <c r="C131" s="235" t="s">
        <v>1713</v>
      </c>
      <c r="D131" s="235" t="s">
        <v>1714</v>
      </c>
      <c r="E131" s="243">
        <v>6.57E13</v>
      </c>
      <c r="F131" s="244"/>
      <c r="G131" s="235" t="s">
        <v>1715</v>
      </c>
      <c r="H131" s="235" t="s">
        <v>1716</v>
      </c>
      <c r="I131" s="235" t="s">
        <v>1716</v>
      </c>
      <c r="J131" s="235" t="s">
        <v>1717</v>
      </c>
      <c r="K131" s="235" t="s">
        <v>1718</v>
      </c>
      <c r="N131" s="235" t="s">
        <v>90</v>
      </c>
      <c r="O131" s="235" t="s">
        <v>279</v>
      </c>
      <c r="P131" s="238">
        <v>1.0</v>
      </c>
      <c r="Q131" s="235" t="s">
        <v>627</v>
      </c>
      <c r="R131" s="238">
        <v>246.67</v>
      </c>
      <c r="S131" s="238">
        <v>12.33</v>
      </c>
      <c r="T131" s="238">
        <v>38.1</v>
      </c>
      <c r="U131" s="238">
        <v>1.9</v>
      </c>
      <c r="V131" s="238">
        <v>0.0</v>
      </c>
      <c r="W131" s="238">
        <v>0.0</v>
      </c>
      <c r="X131" s="235" t="s">
        <v>628</v>
      </c>
      <c r="Z131" s="244"/>
      <c r="AA131" s="244"/>
      <c r="AB131" s="244"/>
      <c r="AC131" s="235" t="s">
        <v>1720</v>
      </c>
      <c r="AD131" s="235" t="s">
        <v>1086</v>
      </c>
      <c r="AE131" s="238">
        <v>140401.0</v>
      </c>
      <c r="AF131" s="235" t="s">
        <v>631</v>
      </c>
      <c r="AG131" s="244"/>
      <c r="AH131" s="244"/>
      <c r="AI131" s="245"/>
      <c r="AJ131" s="245"/>
      <c r="AK131" s="245"/>
      <c r="AL131" s="245"/>
      <c r="AM131" s="244"/>
      <c r="AN131" s="244"/>
      <c r="AO131" s="238">
        <v>0.0</v>
      </c>
      <c r="AP131" s="238">
        <v>0.0</v>
      </c>
      <c r="AQ131" s="235" t="s">
        <v>632</v>
      </c>
      <c r="AR131" s="243">
        <v>3.71E11</v>
      </c>
      <c r="AS131" s="235" t="s">
        <v>656</v>
      </c>
      <c r="AT131" s="235" t="s">
        <v>13</v>
      </c>
      <c r="AU131" s="235" t="s">
        <v>634</v>
      </c>
      <c r="AV131" s="246" t="s">
        <v>635</v>
      </c>
      <c r="AW131" s="242"/>
      <c r="AX131" s="242"/>
      <c r="AY131" s="231"/>
      <c r="AZ131" s="231"/>
      <c r="BA131" s="227"/>
      <c r="BB131" s="231"/>
      <c r="BC131" s="227"/>
      <c r="BD131" s="227"/>
      <c r="BE131" s="227"/>
      <c r="BF131" s="227"/>
    </row>
    <row r="132">
      <c r="A132" s="235" t="s">
        <v>1721</v>
      </c>
      <c r="C132" s="235" t="s">
        <v>1722</v>
      </c>
      <c r="D132" s="235" t="s">
        <v>1723</v>
      </c>
      <c r="E132" s="243">
        <v>6.57E13</v>
      </c>
      <c r="F132" s="244"/>
      <c r="G132" s="235" t="s">
        <v>1724</v>
      </c>
      <c r="H132" s="235" t="s">
        <v>1725</v>
      </c>
      <c r="I132" s="235" t="s">
        <v>1725</v>
      </c>
      <c r="J132" s="235" t="s">
        <v>1726</v>
      </c>
      <c r="K132" s="235" t="s">
        <v>1727</v>
      </c>
      <c r="N132" s="235" t="s">
        <v>85</v>
      </c>
      <c r="O132" s="235" t="s">
        <v>872</v>
      </c>
      <c r="P132" s="238">
        <v>1.0</v>
      </c>
      <c r="Q132" s="235" t="s">
        <v>627</v>
      </c>
      <c r="R132" s="238">
        <v>246.67</v>
      </c>
      <c r="S132" s="238">
        <v>12.33</v>
      </c>
      <c r="T132" s="238">
        <v>0.0</v>
      </c>
      <c r="U132" s="238">
        <v>0.0</v>
      </c>
      <c r="V132" s="238">
        <v>0.0</v>
      </c>
      <c r="W132" s="238">
        <v>0.0</v>
      </c>
      <c r="X132" s="235" t="s">
        <v>628</v>
      </c>
      <c r="Z132" s="244"/>
      <c r="AA132" s="244"/>
      <c r="AB132" s="244"/>
      <c r="AC132" s="235" t="s">
        <v>1728</v>
      </c>
      <c r="AD132" s="235" t="s">
        <v>630</v>
      </c>
      <c r="AE132" s="238">
        <v>221001.0</v>
      </c>
      <c r="AF132" s="235" t="s">
        <v>631</v>
      </c>
      <c r="AG132" s="244"/>
      <c r="AH132" s="244"/>
      <c r="AI132" s="245"/>
      <c r="AJ132" s="245"/>
      <c r="AK132" s="245"/>
      <c r="AL132" s="245"/>
      <c r="AM132" s="244"/>
      <c r="AN132" s="244"/>
      <c r="AO132" s="238">
        <v>0.0</v>
      </c>
      <c r="AP132" s="238">
        <v>0.0</v>
      </c>
      <c r="AQ132" s="235" t="s">
        <v>632</v>
      </c>
      <c r="AR132" s="243">
        <v>2.02E11</v>
      </c>
      <c r="AS132" s="235" t="s">
        <v>667</v>
      </c>
      <c r="AT132" s="235" t="s">
        <v>533</v>
      </c>
      <c r="AU132" s="235" t="s">
        <v>634</v>
      </c>
      <c r="AV132" s="246" t="s">
        <v>635</v>
      </c>
      <c r="AW132" s="242"/>
      <c r="AX132" s="242"/>
      <c r="AY132" s="231"/>
      <c r="AZ132" s="231"/>
      <c r="BA132" s="227"/>
      <c r="BB132" s="231"/>
      <c r="BC132" s="227"/>
      <c r="BD132" s="227"/>
      <c r="BE132" s="227"/>
      <c r="BF132" s="227"/>
    </row>
    <row r="133">
      <c r="A133" s="235" t="s">
        <v>1729</v>
      </c>
      <c r="C133" s="235" t="s">
        <v>1730</v>
      </c>
      <c r="D133" s="235" t="s">
        <v>1731</v>
      </c>
      <c r="E133" s="243">
        <v>6.57E13</v>
      </c>
      <c r="F133" s="244"/>
      <c r="G133" s="235" t="s">
        <v>1732</v>
      </c>
      <c r="H133" s="235" t="s">
        <v>1733</v>
      </c>
      <c r="I133" s="235" t="s">
        <v>1733</v>
      </c>
      <c r="J133" s="235" t="s">
        <v>1734</v>
      </c>
      <c r="K133" s="235" t="s">
        <v>1735</v>
      </c>
      <c r="N133" s="235" t="s">
        <v>43</v>
      </c>
      <c r="O133" s="235" t="s">
        <v>276</v>
      </c>
      <c r="P133" s="238">
        <v>1.0</v>
      </c>
      <c r="Q133" s="235" t="s">
        <v>627</v>
      </c>
      <c r="R133" s="238">
        <v>237.14</v>
      </c>
      <c r="S133" s="238">
        <v>11.86</v>
      </c>
      <c r="T133" s="238">
        <v>0.0</v>
      </c>
      <c r="U133" s="238">
        <v>0.0</v>
      </c>
      <c r="V133" s="238">
        <v>0.0</v>
      </c>
      <c r="W133" s="238">
        <v>0.0</v>
      </c>
      <c r="X133" s="235" t="s">
        <v>628</v>
      </c>
      <c r="Z133" s="244"/>
      <c r="AA133" s="244"/>
      <c r="AB133" s="244"/>
      <c r="AC133" s="235" t="s">
        <v>697</v>
      </c>
      <c r="AD133" s="235" t="s">
        <v>698</v>
      </c>
      <c r="AE133" s="238">
        <v>500049.0</v>
      </c>
      <c r="AF133" s="235" t="s">
        <v>631</v>
      </c>
      <c r="AG133" s="244"/>
      <c r="AH133" s="244"/>
      <c r="AI133" s="245"/>
      <c r="AJ133" s="245"/>
      <c r="AK133" s="245"/>
      <c r="AL133" s="245"/>
      <c r="AM133" s="244"/>
      <c r="AN133" s="244"/>
      <c r="AO133" s="238">
        <v>0.0</v>
      </c>
      <c r="AP133" s="238">
        <v>0.0</v>
      </c>
      <c r="AQ133" s="235" t="s">
        <v>632</v>
      </c>
      <c r="AR133" s="243">
        <v>3.71E11</v>
      </c>
      <c r="AS133" s="235" t="s">
        <v>699</v>
      </c>
      <c r="AT133" s="235" t="s">
        <v>13</v>
      </c>
      <c r="AU133" s="235" t="s">
        <v>634</v>
      </c>
      <c r="AV133" s="246" t="s">
        <v>635</v>
      </c>
      <c r="AW133" s="242"/>
      <c r="AX133" s="242"/>
      <c r="AY133" s="231"/>
      <c r="AZ133" s="231"/>
      <c r="BA133" s="227"/>
      <c r="BB133" s="231"/>
      <c r="BC133" s="227"/>
      <c r="BD133" s="227"/>
      <c r="BE133" s="227"/>
      <c r="BF133" s="227"/>
    </row>
    <row r="134">
      <c r="A134" s="235" t="s">
        <v>1736</v>
      </c>
      <c r="C134" s="235" t="s">
        <v>1737</v>
      </c>
      <c r="D134" s="235" t="s">
        <v>1738</v>
      </c>
      <c r="E134" s="243">
        <v>6.57E13</v>
      </c>
      <c r="F134" s="244"/>
      <c r="G134" s="235" t="s">
        <v>932</v>
      </c>
      <c r="H134" s="235" t="s">
        <v>1739</v>
      </c>
      <c r="I134" s="235" t="s">
        <v>1739</v>
      </c>
      <c r="J134" s="235" t="s">
        <v>1740</v>
      </c>
      <c r="K134" s="235" t="s">
        <v>1741</v>
      </c>
      <c r="N134" s="235" t="s">
        <v>12</v>
      </c>
      <c r="O134" s="235" t="s">
        <v>804</v>
      </c>
      <c r="P134" s="238">
        <v>1.0</v>
      </c>
      <c r="Q134" s="235" t="s">
        <v>627</v>
      </c>
      <c r="R134" s="238">
        <v>265.72</v>
      </c>
      <c r="S134" s="238">
        <v>13.28</v>
      </c>
      <c r="T134" s="238">
        <v>0.0</v>
      </c>
      <c r="U134" s="238">
        <v>0.0</v>
      </c>
      <c r="V134" s="238">
        <v>0.0</v>
      </c>
      <c r="W134" s="238">
        <v>0.0</v>
      </c>
      <c r="X134" s="235" t="s">
        <v>628</v>
      </c>
      <c r="Z134" s="244"/>
      <c r="AA134" s="244"/>
      <c r="AB134" s="244"/>
      <c r="AC134" s="235" t="s">
        <v>844</v>
      </c>
      <c r="AD134" s="235" t="s">
        <v>845</v>
      </c>
      <c r="AE134" s="238">
        <v>411014.0</v>
      </c>
      <c r="AF134" s="235" t="s">
        <v>631</v>
      </c>
      <c r="AG134" s="244"/>
      <c r="AH134" s="244"/>
      <c r="AI134" s="245"/>
      <c r="AJ134" s="245"/>
      <c r="AK134" s="245"/>
      <c r="AL134" s="245"/>
      <c r="AM134" s="244"/>
      <c r="AN134" s="244"/>
      <c r="AO134" s="238">
        <v>0.0</v>
      </c>
      <c r="AP134" s="238">
        <v>0.0</v>
      </c>
      <c r="AQ134" s="235" t="s">
        <v>632</v>
      </c>
      <c r="AR134" s="243">
        <v>3.71E11</v>
      </c>
      <c r="AS134" s="235" t="s">
        <v>1367</v>
      </c>
      <c r="AT134" s="235" t="s">
        <v>546</v>
      </c>
      <c r="AU134" s="235" t="s">
        <v>634</v>
      </c>
      <c r="AV134" s="246" t="s">
        <v>635</v>
      </c>
      <c r="AW134" s="242"/>
      <c r="AX134" s="242"/>
      <c r="AY134" s="231"/>
      <c r="AZ134" s="231"/>
      <c r="BA134" s="227"/>
      <c r="BB134" s="231"/>
      <c r="BC134" s="227"/>
      <c r="BD134" s="227"/>
      <c r="BE134" s="227"/>
      <c r="BF134" s="227"/>
    </row>
    <row r="135">
      <c r="A135" s="235" t="s">
        <v>1742</v>
      </c>
      <c r="C135" s="235" t="s">
        <v>1743</v>
      </c>
      <c r="D135" s="235" t="s">
        <v>1745</v>
      </c>
      <c r="E135" s="243">
        <v>6.57E13</v>
      </c>
      <c r="F135" s="244"/>
      <c r="G135" s="235" t="s">
        <v>1746</v>
      </c>
      <c r="H135" s="235" t="s">
        <v>1747</v>
      </c>
      <c r="I135" s="235" t="s">
        <v>1747</v>
      </c>
      <c r="J135" s="235" t="s">
        <v>1749</v>
      </c>
      <c r="K135" s="235" t="s">
        <v>1750</v>
      </c>
      <c r="N135" s="235" t="s">
        <v>22</v>
      </c>
      <c r="O135" s="235" t="s">
        <v>729</v>
      </c>
      <c r="P135" s="238">
        <v>1.0</v>
      </c>
      <c r="Q135" s="235" t="s">
        <v>627</v>
      </c>
      <c r="R135" s="238">
        <v>360.96</v>
      </c>
      <c r="S135" s="238">
        <v>17.68</v>
      </c>
      <c r="T135" s="238">
        <v>18.1</v>
      </c>
      <c r="U135" s="238">
        <v>0.9</v>
      </c>
      <c r="V135" s="238">
        <v>0.0</v>
      </c>
      <c r="W135" s="238">
        <v>0.0</v>
      </c>
      <c r="X135" s="235" t="s">
        <v>628</v>
      </c>
      <c r="Z135" s="244"/>
      <c r="AA135" s="244"/>
      <c r="AB135" s="244"/>
      <c r="AC135" s="235" t="s">
        <v>678</v>
      </c>
      <c r="AD135" s="235" t="s">
        <v>679</v>
      </c>
      <c r="AE135" s="238">
        <v>560037.0</v>
      </c>
      <c r="AF135" s="235" t="s">
        <v>631</v>
      </c>
      <c r="AG135" s="244"/>
      <c r="AH135" s="244"/>
      <c r="AI135" s="245"/>
      <c r="AJ135" s="245"/>
      <c r="AK135" s="245"/>
      <c r="AL135" s="245"/>
      <c r="AM135" s="244"/>
      <c r="AN135" s="244"/>
      <c r="AO135" s="238">
        <v>-7.22</v>
      </c>
      <c r="AP135" s="238">
        <v>-18.1</v>
      </c>
      <c r="AQ135" s="235" t="s">
        <v>632</v>
      </c>
      <c r="AR135" s="243">
        <v>1.68E11</v>
      </c>
      <c r="AS135" s="235" t="s">
        <v>1751</v>
      </c>
      <c r="AT135" s="235" t="s">
        <v>9</v>
      </c>
      <c r="AU135" s="235" t="s">
        <v>634</v>
      </c>
      <c r="AV135" s="246" t="s">
        <v>635</v>
      </c>
      <c r="AW135" s="242"/>
      <c r="AX135" s="242"/>
      <c r="AY135" s="231"/>
      <c r="AZ135" s="231"/>
      <c r="BA135" s="227"/>
      <c r="BB135" s="231"/>
      <c r="BC135" s="227"/>
      <c r="BD135" s="227"/>
      <c r="BE135" s="227"/>
      <c r="BF135" s="227"/>
    </row>
    <row r="136">
      <c r="A136" s="235" t="s">
        <v>1752</v>
      </c>
      <c r="C136" s="235" t="s">
        <v>1753</v>
      </c>
      <c r="D136" s="235" t="s">
        <v>1754</v>
      </c>
      <c r="E136" s="243">
        <v>6.57E13</v>
      </c>
      <c r="F136" s="244"/>
      <c r="G136" s="235" t="s">
        <v>1755</v>
      </c>
      <c r="H136" s="235" t="s">
        <v>1756</v>
      </c>
      <c r="I136" s="235" t="s">
        <v>1757</v>
      </c>
      <c r="J136" s="235" t="s">
        <v>1758</v>
      </c>
      <c r="K136" s="235" t="s">
        <v>1759</v>
      </c>
      <c r="N136" s="235" t="s">
        <v>98</v>
      </c>
      <c r="O136" s="235" t="s">
        <v>357</v>
      </c>
      <c r="P136" s="238">
        <v>1.0</v>
      </c>
      <c r="Q136" s="235" t="s">
        <v>627</v>
      </c>
      <c r="R136" s="238">
        <v>246.66</v>
      </c>
      <c r="S136" s="238">
        <v>12.34</v>
      </c>
      <c r="T136" s="238">
        <v>0.0</v>
      </c>
      <c r="U136" s="238">
        <v>0.0</v>
      </c>
      <c r="V136" s="238">
        <v>0.0</v>
      </c>
      <c r="W136" s="238">
        <v>0.0</v>
      </c>
      <c r="X136" s="235" t="s">
        <v>628</v>
      </c>
      <c r="Z136" s="244"/>
      <c r="AA136" s="244"/>
      <c r="AB136" s="244"/>
      <c r="AC136" s="235" t="s">
        <v>1320</v>
      </c>
      <c r="AD136" s="235" t="s">
        <v>666</v>
      </c>
      <c r="AE136" s="238">
        <v>600004.0</v>
      </c>
      <c r="AF136" s="235" t="s">
        <v>631</v>
      </c>
      <c r="AG136" s="244"/>
      <c r="AH136" s="244"/>
      <c r="AI136" s="245"/>
      <c r="AJ136" s="245"/>
      <c r="AK136" s="245"/>
      <c r="AL136" s="245"/>
      <c r="AM136" s="244"/>
      <c r="AN136" s="244"/>
      <c r="AO136" s="238">
        <v>0.0</v>
      </c>
      <c r="AP136" s="238">
        <v>0.0</v>
      </c>
      <c r="AQ136" s="235" t="s">
        <v>632</v>
      </c>
      <c r="AR136" s="243">
        <v>1.68E11</v>
      </c>
      <c r="AS136" s="235" t="s">
        <v>1751</v>
      </c>
      <c r="AT136" s="235" t="s">
        <v>156</v>
      </c>
      <c r="AU136" s="235" t="s">
        <v>634</v>
      </c>
      <c r="AV136" s="246" t="s">
        <v>635</v>
      </c>
      <c r="AW136" s="242"/>
      <c r="AX136" s="242"/>
      <c r="AY136" s="231"/>
      <c r="AZ136" s="231"/>
      <c r="BA136" s="227"/>
      <c r="BB136" s="231"/>
      <c r="BC136" s="227"/>
      <c r="BD136" s="227"/>
      <c r="BE136" s="227"/>
      <c r="BF136" s="227"/>
    </row>
    <row r="137">
      <c r="A137" s="235" t="s">
        <v>1762</v>
      </c>
      <c r="C137" s="235" t="s">
        <v>1763</v>
      </c>
      <c r="D137" s="235" t="s">
        <v>1764</v>
      </c>
      <c r="E137" s="243">
        <v>6.56E13</v>
      </c>
      <c r="F137" s="244"/>
      <c r="G137" s="235" t="s">
        <v>1765</v>
      </c>
      <c r="H137" s="235" t="s">
        <v>1766</v>
      </c>
      <c r="I137" s="235" t="s">
        <v>1766</v>
      </c>
      <c r="J137" s="235" t="s">
        <v>1767</v>
      </c>
      <c r="K137" s="235" t="s">
        <v>1768</v>
      </c>
      <c r="N137" s="235" t="s">
        <v>82</v>
      </c>
      <c r="O137" s="235" t="s">
        <v>889</v>
      </c>
      <c r="P137" s="238">
        <v>1.0</v>
      </c>
      <c r="Q137" s="235" t="s">
        <v>627</v>
      </c>
      <c r="R137" s="238">
        <v>246.66</v>
      </c>
      <c r="S137" s="238">
        <v>12.34</v>
      </c>
      <c r="T137" s="238">
        <v>0.0</v>
      </c>
      <c r="U137" s="238">
        <v>0.0</v>
      </c>
      <c r="V137" s="238">
        <v>0.0</v>
      </c>
      <c r="W137" s="238">
        <v>0.0</v>
      </c>
      <c r="X137" s="235" t="s">
        <v>628</v>
      </c>
      <c r="Z137" s="244"/>
      <c r="AA137" s="244"/>
      <c r="AB137" s="244"/>
      <c r="AC137" s="235" t="s">
        <v>1769</v>
      </c>
      <c r="AD137" s="235" t="s">
        <v>679</v>
      </c>
      <c r="AE137" s="238">
        <v>562160.0</v>
      </c>
      <c r="AF137" s="235" t="s">
        <v>631</v>
      </c>
      <c r="AG137" s="244"/>
      <c r="AH137" s="244"/>
      <c r="AI137" s="245"/>
      <c r="AJ137" s="245"/>
      <c r="AK137" s="245"/>
      <c r="AL137" s="245"/>
      <c r="AM137" s="244"/>
      <c r="AN137" s="244"/>
      <c r="AO137" s="238">
        <v>0.0</v>
      </c>
      <c r="AP137" s="238">
        <v>0.0</v>
      </c>
      <c r="AQ137" s="235" t="s">
        <v>632</v>
      </c>
      <c r="AR137" s="243">
        <v>3.71E11</v>
      </c>
      <c r="AS137" s="235" t="s">
        <v>667</v>
      </c>
      <c r="AT137" s="235" t="s">
        <v>11</v>
      </c>
      <c r="AU137" s="235" t="s">
        <v>634</v>
      </c>
      <c r="AV137" s="246" t="s">
        <v>635</v>
      </c>
      <c r="AW137" s="242"/>
      <c r="AX137" s="242"/>
      <c r="AY137" s="231"/>
      <c r="AZ137" s="231"/>
      <c r="BA137" s="227"/>
      <c r="BB137" s="231"/>
      <c r="BC137" s="227"/>
      <c r="BD137" s="227"/>
      <c r="BE137" s="227"/>
      <c r="BF137" s="227"/>
    </row>
    <row r="138">
      <c r="A138" s="235" t="s">
        <v>1770</v>
      </c>
      <c r="C138" s="235" t="s">
        <v>1771</v>
      </c>
      <c r="D138" s="235" t="s">
        <v>1772</v>
      </c>
      <c r="E138" s="243">
        <v>6.57E13</v>
      </c>
      <c r="F138" s="244"/>
      <c r="G138" s="235" t="s">
        <v>1773</v>
      </c>
      <c r="H138" s="235" t="s">
        <v>1774</v>
      </c>
      <c r="I138" s="235" t="s">
        <v>1774</v>
      </c>
      <c r="J138" s="235" t="s">
        <v>1775</v>
      </c>
      <c r="K138" s="235" t="s">
        <v>1776</v>
      </c>
      <c r="N138" s="235" t="s">
        <v>42</v>
      </c>
      <c r="O138" s="235" t="s">
        <v>204</v>
      </c>
      <c r="P138" s="238">
        <v>1.0</v>
      </c>
      <c r="Q138" s="235" t="s">
        <v>627</v>
      </c>
      <c r="R138" s="238">
        <v>237.14</v>
      </c>
      <c r="S138" s="238">
        <v>11.86</v>
      </c>
      <c r="T138" s="238">
        <v>18.1</v>
      </c>
      <c r="U138" s="238">
        <v>0.9</v>
      </c>
      <c r="V138" s="238">
        <v>0.0</v>
      </c>
      <c r="W138" s="238">
        <v>0.0</v>
      </c>
      <c r="X138" s="235" t="s">
        <v>628</v>
      </c>
      <c r="Z138" s="244"/>
      <c r="AA138" s="244"/>
      <c r="AB138" s="244"/>
      <c r="AC138" s="235" t="s">
        <v>678</v>
      </c>
      <c r="AD138" s="235" t="s">
        <v>679</v>
      </c>
      <c r="AE138" s="238">
        <v>560016.0</v>
      </c>
      <c r="AF138" s="235" t="s">
        <v>631</v>
      </c>
      <c r="AG138" s="244"/>
      <c r="AH138" s="244"/>
      <c r="AI138" s="245"/>
      <c r="AJ138" s="245"/>
      <c r="AK138" s="245"/>
      <c r="AL138" s="245"/>
      <c r="AM138" s="244"/>
      <c r="AN138" s="244"/>
      <c r="AO138" s="238">
        <v>0.0</v>
      </c>
      <c r="AP138" s="238">
        <v>-18.1</v>
      </c>
      <c r="AQ138" s="235" t="s">
        <v>632</v>
      </c>
      <c r="AR138" s="243">
        <v>1.68E11</v>
      </c>
      <c r="AS138" s="235" t="s">
        <v>1751</v>
      </c>
      <c r="AT138" s="235" t="s">
        <v>11</v>
      </c>
      <c r="AU138" s="235" t="s">
        <v>634</v>
      </c>
      <c r="AV138" s="246" t="s">
        <v>635</v>
      </c>
      <c r="AW138" s="242"/>
      <c r="AX138" s="242"/>
      <c r="AY138" s="231"/>
      <c r="AZ138" s="231"/>
      <c r="BA138" s="227"/>
      <c r="BB138" s="231"/>
      <c r="BC138" s="227"/>
      <c r="BD138" s="227"/>
      <c r="BE138" s="227"/>
      <c r="BF138" s="227"/>
    </row>
    <row r="139">
      <c r="A139" s="235" t="s">
        <v>1777</v>
      </c>
      <c r="C139" s="235" t="s">
        <v>1778</v>
      </c>
      <c r="D139" s="235" t="s">
        <v>1779</v>
      </c>
      <c r="E139" s="243">
        <v>6.57E13</v>
      </c>
      <c r="F139" s="244"/>
      <c r="G139" s="235" t="s">
        <v>1780</v>
      </c>
      <c r="H139" s="235" t="s">
        <v>1781</v>
      </c>
      <c r="I139" s="235" t="s">
        <v>1781</v>
      </c>
      <c r="J139" s="235" t="s">
        <v>1782</v>
      </c>
      <c r="K139" s="235" t="s">
        <v>1783</v>
      </c>
      <c r="N139" s="235" t="s">
        <v>962</v>
      </c>
      <c r="O139" s="235" t="s">
        <v>963</v>
      </c>
      <c r="P139" s="238">
        <v>1.0</v>
      </c>
      <c r="Q139" s="235" t="s">
        <v>627</v>
      </c>
      <c r="R139" s="238">
        <v>246.67</v>
      </c>
      <c r="S139" s="238">
        <v>12.33</v>
      </c>
      <c r="T139" s="238">
        <v>0.0</v>
      </c>
      <c r="U139" s="238">
        <v>0.0</v>
      </c>
      <c r="V139" s="238">
        <v>0.0</v>
      </c>
      <c r="W139" s="238">
        <v>0.0</v>
      </c>
      <c r="X139" s="235" t="s">
        <v>628</v>
      </c>
      <c r="Z139" s="244"/>
      <c r="AA139" s="244"/>
      <c r="AB139" s="244"/>
      <c r="AC139" s="235" t="s">
        <v>795</v>
      </c>
      <c r="AD139" s="235" t="s">
        <v>796</v>
      </c>
      <c r="AE139" s="238">
        <v>110078.0</v>
      </c>
      <c r="AF139" s="235" t="s">
        <v>631</v>
      </c>
      <c r="AG139" s="244"/>
      <c r="AH139" s="244"/>
      <c r="AI139" s="245"/>
      <c r="AJ139" s="245"/>
      <c r="AK139" s="245"/>
      <c r="AL139" s="245"/>
      <c r="AM139" s="244"/>
      <c r="AN139" s="244"/>
      <c r="AO139" s="238">
        <v>0.0</v>
      </c>
      <c r="AP139" s="238">
        <v>0.0</v>
      </c>
      <c r="AQ139" s="235" t="s">
        <v>632</v>
      </c>
      <c r="AR139" s="243">
        <v>1.68E11</v>
      </c>
      <c r="AS139" s="235" t="s">
        <v>1751</v>
      </c>
      <c r="AT139" s="235" t="s">
        <v>533</v>
      </c>
      <c r="AU139" s="235" t="s">
        <v>634</v>
      </c>
      <c r="AV139" s="246" t="s">
        <v>635</v>
      </c>
      <c r="AW139" s="242"/>
      <c r="AX139" s="242"/>
      <c r="AY139" s="231"/>
      <c r="AZ139" s="231"/>
      <c r="BA139" s="227"/>
      <c r="BB139" s="231"/>
      <c r="BC139" s="227"/>
      <c r="BD139" s="227"/>
      <c r="BE139" s="227"/>
      <c r="BF139" s="227"/>
    </row>
    <row r="140">
      <c r="A140" s="235" t="s">
        <v>1784</v>
      </c>
      <c r="C140" s="235" t="s">
        <v>1785</v>
      </c>
      <c r="D140" s="235" t="s">
        <v>1786</v>
      </c>
      <c r="E140" s="243">
        <v>6.57E13</v>
      </c>
      <c r="F140" s="244"/>
      <c r="G140" s="235" t="s">
        <v>1787</v>
      </c>
      <c r="H140" s="235" t="s">
        <v>1788</v>
      </c>
      <c r="I140" s="235" t="s">
        <v>1788</v>
      </c>
      <c r="J140" s="235" t="s">
        <v>1789</v>
      </c>
      <c r="K140" s="235" t="s">
        <v>1790</v>
      </c>
      <c r="N140" s="235" t="s">
        <v>4</v>
      </c>
      <c r="O140" s="235" t="s">
        <v>1791</v>
      </c>
      <c r="P140" s="238">
        <v>1.0</v>
      </c>
      <c r="Q140" s="235" t="s">
        <v>627</v>
      </c>
      <c r="R140" s="238">
        <v>265.71</v>
      </c>
      <c r="S140" s="238">
        <v>13.29</v>
      </c>
      <c r="T140" s="238">
        <v>38.1</v>
      </c>
      <c r="U140" s="238">
        <v>1.9</v>
      </c>
      <c r="V140" s="238">
        <v>0.0</v>
      </c>
      <c r="W140" s="238">
        <v>0.0</v>
      </c>
      <c r="X140" s="235" t="s">
        <v>628</v>
      </c>
      <c r="Z140" s="244"/>
      <c r="AA140" s="244"/>
      <c r="AB140" s="244"/>
      <c r="AC140" s="235" t="s">
        <v>1792</v>
      </c>
      <c r="AD140" s="235" t="s">
        <v>1077</v>
      </c>
      <c r="AE140" s="238">
        <v>390023.0</v>
      </c>
      <c r="AF140" s="235" t="s">
        <v>631</v>
      </c>
      <c r="AG140" s="244"/>
      <c r="AH140" s="244"/>
      <c r="AI140" s="245"/>
      <c r="AJ140" s="245"/>
      <c r="AK140" s="245"/>
      <c r="AL140" s="245"/>
      <c r="AM140" s="244"/>
      <c r="AN140" s="244"/>
      <c r="AO140" s="238">
        <v>0.0</v>
      </c>
      <c r="AP140" s="238">
        <v>-38.1</v>
      </c>
      <c r="AQ140" s="235" t="s">
        <v>632</v>
      </c>
      <c r="AR140" s="243">
        <v>1.68E11</v>
      </c>
      <c r="AS140" s="235" t="s">
        <v>1329</v>
      </c>
      <c r="AT140" s="235" t="s">
        <v>16</v>
      </c>
      <c r="AU140" s="235" t="s">
        <v>634</v>
      </c>
      <c r="AV140" s="246" t="s">
        <v>635</v>
      </c>
      <c r="AW140" s="242"/>
      <c r="AX140" s="242"/>
      <c r="AY140" s="231"/>
      <c r="AZ140" s="231"/>
      <c r="BA140" s="227"/>
      <c r="BB140" s="231"/>
      <c r="BC140" s="227"/>
      <c r="BD140" s="227"/>
      <c r="BE140" s="227"/>
      <c r="BF140" s="227"/>
    </row>
    <row r="141">
      <c r="A141" s="235" t="s">
        <v>1793</v>
      </c>
      <c r="C141" s="235" t="s">
        <v>1794</v>
      </c>
      <c r="D141" s="235" t="s">
        <v>1795</v>
      </c>
      <c r="E141" s="243">
        <v>6.57E13</v>
      </c>
      <c r="F141" s="244"/>
      <c r="G141" s="235" t="s">
        <v>1796</v>
      </c>
      <c r="H141" s="235" t="s">
        <v>1797</v>
      </c>
      <c r="I141" s="235" t="s">
        <v>1797</v>
      </c>
      <c r="J141" s="235" t="s">
        <v>1798</v>
      </c>
      <c r="K141" s="235" t="s">
        <v>1799</v>
      </c>
      <c r="N141" s="235" t="s">
        <v>136</v>
      </c>
      <c r="O141" s="235" t="s">
        <v>256</v>
      </c>
      <c r="P141" s="238">
        <v>1.0</v>
      </c>
      <c r="Q141" s="235" t="s">
        <v>627</v>
      </c>
      <c r="R141" s="238">
        <v>246.66</v>
      </c>
      <c r="S141" s="238">
        <v>12.34</v>
      </c>
      <c r="T141" s="238">
        <v>0.0</v>
      </c>
      <c r="U141" s="238">
        <v>0.0</v>
      </c>
      <c r="V141" s="238">
        <v>0.0</v>
      </c>
      <c r="W141" s="238">
        <v>0.0</v>
      </c>
      <c r="X141" s="235" t="s">
        <v>628</v>
      </c>
      <c r="Z141" s="244"/>
      <c r="AA141" s="244"/>
      <c r="AB141" s="244"/>
      <c r="AC141" s="235" t="s">
        <v>1800</v>
      </c>
      <c r="AD141" s="235" t="s">
        <v>845</v>
      </c>
      <c r="AE141" s="238">
        <v>421302.0</v>
      </c>
      <c r="AF141" s="235" t="s">
        <v>631</v>
      </c>
      <c r="AG141" s="244"/>
      <c r="AH141" s="244"/>
      <c r="AI141" s="245"/>
      <c r="AJ141" s="245"/>
      <c r="AK141" s="245"/>
      <c r="AL141" s="245"/>
      <c r="AM141" s="244"/>
      <c r="AN141" s="244"/>
      <c r="AO141" s="238">
        <v>0.0</v>
      </c>
      <c r="AP141" s="238">
        <v>0.0</v>
      </c>
      <c r="AQ141" s="235" t="s">
        <v>632</v>
      </c>
      <c r="AR141" s="243">
        <v>3.71E11</v>
      </c>
      <c r="AS141" s="235" t="s">
        <v>1367</v>
      </c>
      <c r="AT141" s="235" t="s">
        <v>16</v>
      </c>
      <c r="AU141" s="235" t="s">
        <v>634</v>
      </c>
      <c r="AV141" s="246" t="s">
        <v>635</v>
      </c>
      <c r="AW141" s="242"/>
      <c r="AX141" s="242"/>
      <c r="AY141" s="231"/>
      <c r="AZ141" s="231"/>
      <c r="BA141" s="227"/>
      <c r="BB141" s="231"/>
      <c r="BC141" s="227"/>
      <c r="BD141" s="227"/>
      <c r="BE141" s="227"/>
      <c r="BF141" s="227"/>
    </row>
    <row r="142">
      <c r="A142" s="235" t="s">
        <v>1801</v>
      </c>
      <c r="C142" s="235" t="s">
        <v>1802</v>
      </c>
      <c r="D142" s="235" t="s">
        <v>1803</v>
      </c>
      <c r="E142" s="243">
        <v>6.57E13</v>
      </c>
      <c r="F142" s="244"/>
      <c r="G142" s="235" t="s">
        <v>1804</v>
      </c>
      <c r="H142" s="235" t="s">
        <v>1805</v>
      </c>
      <c r="I142" s="235" t="s">
        <v>1805</v>
      </c>
      <c r="J142" s="235" t="s">
        <v>1806</v>
      </c>
      <c r="K142" s="235" t="s">
        <v>1807</v>
      </c>
      <c r="N142" s="235" t="s">
        <v>42</v>
      </c>
      <c r="O142" s="235" t="s">
        <v>204</v>
      </c>
      <c r="P142" s="238">
        <v>1.0</v>
      </c>
      <c r="Q142" s="235" t="s">
        <v>627</v>
      </c>
      <c r="R142" s="238">
        <v>237.14</v>
      </c>
      <c r="S142" s="238">
        <v>11.86</v>
      </c>
      <c r="T142" s="238">
        <v>38.1</v>
      </c>
      <c r="U142" s="238">
        <v>1.9</v>
      </c>
      <c r="V142" s="238">
        <v>0.0</v>
      </c>
      <c r="W142" s="238">
        <v>0.0</v>
      </c>
      <c r="X142" s="235" t="s">
        <v>628</v>
      </c>
      <c r="Z142" s="244"/>
      <c r="AA142" s="244"/>
      <c r="AB142" s="244"/>
      <c r="AC142" s="235" t="s">
        <v>1809</v>
      </c>
      <c r="AD142" s="235" t="s">
        <v>698</v>
      </c>
      <c r="AE142" s="238">
        <v>507209.0</v>
      </c>
      <c r="AF142" s="235" t="s">
        <v>631</v>
      </c>
      <c r="AG142" s="244"/>
      <c r="AH142" s="244"/>
      <c r="AI142" s="245"/>
      <c r="AJ142" s="245"/>
      <c r="AK142" s="245"/>
      <c r="AL142" s="245"/>
      <c r="AM142" s="244"/>
      <c r="AN142" s="244"/>
      <c r="AO142" s="238">
        <v>0.0</v>
      </c>
      <c r="AP142" s="238">
        <v>-38.1</v>
      </c>
      <c r="AQ142" s="235" t="s">
        <v>632</v>
      </c>
      <c r="AR142" s="243">
        <v>3.71E11</v>
      </c>
      <c r="AS142" s="235" t="s">
        <v>656</v>
      </c>
      <c r="AT142" s="235" t="s">
        <v>156</v>
      </c>
      <c r="AU142" s="235" t="s">
        <v>634</v>
      </c>
      <c r="AV142" s="246" t="s">
        <v>635</v>
      </c>
      <c r="AW142" s="242"/>
      <c r="AX142" s="242"/>
      <c r="AY142" s="231"/>
      <c r="AZ142" s="231"/>
      <c r="BA142" s="227"/>
      <c r="BB142" s="231"/>
      <c r="BC142" s="227"/>
      <c r="BD142" s="227"/>
      <c r="BE142" s="227"/>
      <c r="BF142" s="227"/>
    </row>
    <row r="143">
      <c r="A143" s="235" t="s">
        <v>1812</v>
      </c>
      <c r="C143" s="235" t="s">
        <v>1813</v>
      </c>
      <c r="D143" s="235" t="s">
        <v>1814</v>
      </c>
      <c r="E143" s="243">
        <v>6.57E13</v>
      </c>
      <c r="F143" s="244"/>
      <c r="G143" s="235" t="s">
        <v>1815</v>
      </c>
      <c r="H143" s="235" t="s">
        <v>1816</v>
      </c>
      <c r="I143" s="235" t="s">
        <v>1816</v>
      </c>
      <c r="J143" s="235" t="s">
        <v>1817</v>
      </c>
      <c r="K143" s="235" t="s">
        <v>1818</v>
      </c>
      <c r="N143" s="235" t="s">
        <v>127</v>
      </c>
      <c r="O143" s="235" t="s">
        <v>794</v>
      </c>
      <c r="P143" s="238">
        <v>1.0</v>
      </c>
      <c r="Q143" s="235" t="s">
        <v>627</v>
      </c>
      <c r="R143" s="238">
        <v>246.66</v>
      </c>
      <c r="S143" s="238">
        <v>12.34</v>
      </c>
      <c r="T143" s="238">
        <v>0.0</v>
      </c>
      <c r="U143" s="238">
        <v>0.0</v>
      </c>
      <c r="V143" s="238">
        <v>0.0</v>
      </c>
      <c r="W143" s="238">
        <v>0.0</v>
      </c>
      <c r="X143" s="235" t="s">
        <v>628</v>
      </c>
      <c r="Z143" s="244"/>
      <c r="AA143" s="244"/>
      <c r="AB143" s="244"/>
      <c r="AC143" s="235" t="s">
        <v>678</v>
      </c>
      <c r="AD143" s="235" t="s">
        <v>679</v>
      </c>
      <c r="AE143" s="238">
        <v>560077.0</v>
      </c>
      <c r="AF143" s="235" t="s">
        <v>631</v>
      </c>
      <c r="AG143" s="244"/>
      <c r="AH143" s="244"/>
      <c r="AI143" s="245"/>
      <c r="AJ143" s="245"/>
      <c r="AK143" s="245"/>
      <c r="AL143" s="245"/>
      <c r="AM143" s="244"/>
      <c r="AN143" s="244"/>
      <c r="AO143" s="238">
        <v>0.0</v>
      </c>
      <c r="AP143" s="238">
        <v>0.0</v>
      </c>
      <c r="AQ143" s="235" t="s">
        <v>632</v>
      </c>
      <c r="AR143" s="243">
        <v>1.68E11</v>
      </c>
      <c r="AS143" s="235" t="s">
        <v>1751</v>
      </c>
      <c r="AT143" s="235" t="s">
        <v>11</v>
      </c>
      <c r="AU143" s="235" t="s">
        <v>634</v>
      </c>
      <c r="AV143" s="246" t="s">
        <v>635</v>
      </c>
      <c r="AW143" s="242"/>
      <c r="AX143" s="242"/>
      <c r="AY143" s="231"/>
      <c r="AZ143" s="231"/>
      <c r="BA143" s="227"/>
      <c r="BB143" s="231"/>
      <c r="BC143" s="227"/>
      <c r="BD143" s="227"/>
      <c r="BE143" s="227"/>
      <c r="BF143" s="227"/>
    </row>
    <row r="144">
      <c r="A144" s="235" t="s">
        <v>1819</v>
      </c>
      <c r="C144" s="235" t="s">
        <v>1820</v>
      </c>
      <c r="D144" s="235" t="s">
        <v>1821</v>
      </c>
      <c r="E144" s="243">
        <v>6.57E13</v>
      </c>
      <c r="F144" s="244"/>
      <c r="G144" s="235" t="s">
        <v>1822</v>
      </c>
      <c r="H144" s="235" t="s">
        <v>1823</v>
      </c>
      <c r="I144" s="235" t="s">
        <v>1823</v>
      </c>
      <c r="J144" s="235" t="s">
        <v>1824</v>
      </c>
      <c r="K144" s="235" t="s">
        <v>1825</v>
      </c>
      <c r="N144" s="235" t="s">
        <v>120</v>
      </c>
      <c r="O144" s="235" t="s">
        <v>324</v>
      </c>
      <c r="P144" s="238">
        <v>1.0</v>
      </c>
      <c r="Q144" s="235" t="s">
        <v>627</v>
      </c>
      <c r="R144" s="238">
        <v>246.66</v>
      </c>
      <c r="S144" s="238">
        <v>12.34</v>
      </c>
      <c r="T144" s="238">
        <v>0.0</v>
      </c>
      <c r="U144" s="238">
        <v>0.0</v>
      </c>
      <c r="V144" s="238">
        <v>0.0</v>
      </c>
      <c r="W144" s="238">
        <v>0.0</v>
      </c>
      <c r="X144" s="235" t="s">
        <v>628</v>
      </c>
      <c r="Z144" s="244"/>
      <c r="AA144" s="244"/>
      <c r="AB144" s="244"/>
      <c r="AC144" s="235" t="s">
        <v>844</v>
      </c>
      <c r="AD144" s="235" t="s">
        <v>845</v>
      </c>
      <c r="AE144" s="238">
        <v>411045.0</v>
      </c>
      <c r="AF144" s="235" t="s">
        <v>631</v>
      </c>
      <c r="AG144" s="244"/>
      <c r="AH144" s="244"/>
      <c r="AI144" s="245"/>
      <c r="AJ144" s="245"/>
      <c r="AK144" s="245"/>
      <c r="AL144" s="245"/>
      <c r="AM144" s="244"/>
      <c r="AN144" s="244"/>
      <c r="AO144" s="238">
        <v>0.0</v>
      </c>
      <c r="AP144" s="238">
        <v>0.0</v>
      </c>
      <c r="AQ144" s="235" t="s">
        <v>632</v>
      </c>
      <c r="AR144" s="243">
        <v>3.71E11</v>
      </c>
      <c r="AS144" s="235" t="s">
        <v>1367</v>
      </c>
      <c r="AT144" s="235" t="s">
        <v>546</v>
      </c>
      <c r="AU144" s="235" t="s">
        <v>634</v>
      </c>
      <c r="AV144" s="246" t="s">
        <v>635</v>
      </c>
      <c r="AW144" s="242"/>
      <c r="AX144" s="242"/>
      <c r="AY144" s="231"/>
      <c r="AZ144" s="231"/>
      <c r="BA144" s="227"/>
      <c r="BB144" s="231"/>
      <c r="BC144" s="227"/>
      <c r="BD144" s="227"/>
      <c r="BE144" s="227"/>
      <c r="BF144" s="227"/>
    </row>
    <row r="145">
      <c r="A145" s="235" t="s">
        <v>1826</v>
      </c>
      <c r="C145" s="235" t="s">
        <v>1827</v>
      </c>
      <c r="D145" s="235" t="s">
        <v>1828</v>
      </c>
      <c r="E145" s="243">
        <v>6.57E13</v>
      </c>
      <c r="F145" s="244"/>
      <c r="G145" s="235" t="s">
        <v>1829</v>
      </c>
      <c r="H145" s="235" t="s">
        <v>1830</v>
      </c>
      <c r="I145" s="235" t="s">
        <v>1831</v>
      </c>
      <c r="J145" s="235" t="s">
        <v>1832</v>
      </c>
      <c r="K145" s="235" t="s">
        <v>1833</v>
      </c>
      <c r="N145" s="235" t="s">
        <v>566</v>
      </c>
      <c r="O145" s="235" t="s">
        <v>1834</v>
      </c>
      <c r="P145" s="238">
        <v>1.0</v>
      </c>
      <c r="Q145" s="235" t="s">
        <v>627</v>
      </c>
      <c r="R145" s="238">
        <v>422.88</v>
      </c>
      <c r="S145" s="238">
        <v>74.6</v>
      </c>
      <c r="T145" s="238">
        <v>16.1</v>
      </c>
      <c r="U145" s="238">
        <v>2.9</v>
      </c>
      <c r="V145" s="238">
        <v>0.0</v>
      </c>
      <c r="W145" s="238">
        <v>0.0</v>
      </c>
      <c r="X145" s="235" t="s">
        <v>628</v>
      </c>
      <c r="Z145" s="244"/>
      <c r="AA145" s="244"/>
      <c r="AB145" s="244"/>
      <c r="AC145" s="235" t="s">
        <v>678</v>
      </c>
      <c r="AD145" s="235" t="s">
        <v>679</v>
      </c>
      <c r="AE145" s="238">
        <v>560086.0</v>
      </c>
      <c r="AF145" s="235" t="s">
        <v>631</v>
      </c>
      <c r="AG145" s="244"/>
      <c r="AH145" s="244"/>
      <c r="AI145" s="245"/>
      <c r="AJ145" s="245"/>
      <c r="AK145" s="245"/>
      <c r="AL145" s="245"/>
      <c r="AM145" s="244"/>
      <c r="AN145" s="244"/>
      <c r="AO145" s="238">
        <v>-8.46</v>
      </c>
      <c r="AP145" s="238">
        <v>-16.1</v>
      </c>
      <c r="AQ145" s="235" t="s">
        <v>632</v>
      </c>
      <c r="AR145" s="243">
        <v>1.68E11</v>
      </c>
      <c r="AS145" s="235" t="s">
        <v>1751</v>
      </c>
      <c r="AT145" s="235" t="s">
        <v>11</v>
      </c>
      <c r="AU145" s="235" t="s">
        <v>634</v>
      </c>
      <c r="AV145" s="246" t="s">
        <v>635</v>
      </c>
      <c r="AW145" s="242"/>
      <c r="AX145" s="242"/>
      <c r="AY145" s="231"/>
      <c r="AZ145" s="231"/>
      <c r="BA145" s="227"/>
      <c r="BB145" s="231"/>
      <c r="BC145" s="227"/>
      <c r="BD145" s="227"/>
      <c r="BE145" s="227"/>
      <c r="BF145" s="227"/>
    </row>
    <row r="146">
      <c r="A146" s="235" t="s">
        <v>1836</v>
      </c>
      <c r="C146" s="235" t="s">
        <v>1837</v>
      </c>
      <c r="D146" s="235" t="s">
        <v>1838</v>
      </c>
      <c r="E146" s="243">
        <v>6.57E13</v>
      </c>
      <c r="F146" s="244"/>
      <c r="G146" s="235" t="s">
        <v>1839</v>
      </c>
      <c r="H146" s="235" t="s">
        <v>1840</v>
      </c>
      <c r="I146" s="235" t="s">
        <v>1840</v>
      </c>
      <c r="J146" s="235" t="s">
        <v>1841</v>
      </c>
      <c r="K146" s="235" t="s">
        <v>1842</v>
      </c>
      <c r="N146" s="235" t="s">
        <v>25</v>
      </c>
      <c r="O146" s="235" t="s">
        <v>919</v>
      </c>
      <c r="P146" s="238">
        <v>1.0</v>
      </c>
      <c r="Q146" s="235" t="s">
        <v>627</v>
      </c>
      <c r="R146" s="238">
        <v>360.95</v>
      </c>
      <c r="S146" s="238">
        <v>18.05</v>
      </c>
      <c r="T146" s="238">
        <v>0.0</v>
      </c>
      <c r="U146" s="238">
        <v>0.0</v>
      </c>
      <c r="V146" s="238">
        <v>0.0</v>
      </c>
      <c r="W146" s="238">
        <v>0.0</v>
      </c>
      <c r="X146" s="235" t="s">
        <v>628</v>
      </c>
      <c r="Z146" s="244"/>
      <c r="AA146" s="244"/>
      <c r="AB146" s="244"/>
      <c r="AC146" s="235" t="s">
        <v>1843</v>
      </c>
      <c r="AD146" s="235" t="s">
        <v>645</v>
      </c>
      <c r="AE146" s="238">
        <v>691013.0</v>
      </c>
      <c r="AF146" s="235" t="s">
        <v>631</v>
      </c>
      <c r="AG146" s="244"/>
      <c r="AH146" s="244"/>
      <c r="AI146" s="245"/>
      <c r="AJ146" s="245"/>
      <c r="AK146" s="245"/>
      <c r="AL146" s="245"/>
      <c r="AM146" s="244"/>
      <c r="AN146" s="244"/>
      <c r="AO146" s="238">
        <v>0.0</v>
      </c>
      <c r="AP146" s="238">
        <v>0.0</v>
      </c>
      <c r="AQ146" s="235" t="s">
        <v>632</v>
      </c>
      <c r="AR146" s="243">
        <v>1.68E11</v>
      </c>
      <c r="AS146" s="235" t="s">
        <v>667</v>
      </c>
      <c r="AT146" s="235" t="s">
        <v>155</v>
      </c>
      <c r="AU146" s="235" t="s">
        <v>634</v>
      </c>
      <c r="AV146" s="246" t="s">
        <v>635</v>
      </c>
      <c r="AW146" s="242"/>
      <c r="AX146" s="242"/>
      <c r="AY146" s="231"/>
      <c r="AZ146" s="231"/>
      <c r="BA146" s="227"/>
      <c r="BB146" s="231"/>
      <c r="BC146" s="227"/>
      <c r="BD146" s="227"/>
      <c r="BE146" s="227"/>
      <c r="BF146" s="227"/>
    </row>
    <row r="147">
      <c r="A147" s="235" t="s">
        <v>1844</v>
      </c>
      <c r="C147" s="235" t="s">
        <v>1845</v>
      </c>
      <c r="D147" s="235" t="s">
        <v>1846</v>
      </c>
      <c r="E147" s="243">
        <v>6.56E13</v>
      </c>
      <c r="F147" s="244"/>
      <c r="G147" s="235" t="s">
        <v>1847</v>
      </c>
      <c r="H147" s="235" t="s">
        <v>1848</v>
      </c>
      <c r="I147" s="235" t="s">
        <v>1848</v>
      </c>
      <c r="J147" s="235" t="s">
        <v>1849</v>
      </c>
      <c r="K147" s="235" t="s">
        <v>1850</v>
      </c>
      <c r="N147" s="235" t="s">
        <v>71</v>
      </c>
      <c r="O147" s="235" t="s">
        <v>240</v>
      </c>
      <c r="P147" s="238">
        <v>1.0</v>
      </c>
      <c r="Q147" s="235" t="s">
        <v>627</v>
      </c>
      <c r="R147" s="238">
        <v>246.67</v>
      </c>
      <c r="S147" s="238">
        <v>11.96</v>
      </c>
      <c r="T147" s="238">
        <v>38.1</v>
      </c>
      <c r="U147" s="238">
        <v>1.9</v>
      </c>
      <c r="V147" s="238">
        <v>0.0</v>
      </c>
      <c r="W147" s="238">
        <v>0.0</v>
      </c>
      <c r="X147" s="235" t="s">
        <v>628</v>
      </c>
      <c r="Z147" s="244"/>
      <c r="AA147" s="244"/>
      <c r="AB147" s="244"/>
      <c r="AC147" s="235" t="s">
        <v>1851</v>
      </c>
      <c r="AD147" s="235" t="s">
        <v>1077</v>
      </c>
      <c r="AE147" s="238">
        <v>382445.0</v>
      </c>
      <c r="AF147" s="235" t="s">
        <v>631</v>
      </c>
      <c r="AG147" s="244"/>
      <c r="AH147" s="244"/>
      <c r="AI147" s="245"/>
      <c r="AJ147" s="245"/>
      <c r="AK147" s="245"/>
      <c r="AL147" s="245"/>
      <c r="AM147" s="244"/>
      <c r="AN147" s="244"/>
      <c r="AO147" s="238">
        <v>-7.4</v>
      </c>
      <c r="AP147" s="238">
        <v>-38.1</v>
      </c>
      <c r="AQ147" s="235" t="s">
        <v>632</v>
      </c>
      <c r="AR147" s="243">
        <v>3.71E11</v>
      </c>
      <c r="AS147" s="235" t="s">
        <v>656</v>
      </c>
      <c r="AT147" s="235" t="s">
        <v>13</v>
      </c>
      <c r="AU147" s="235" t="s">
        <v>634</v>
      </c>
      <c r="AV147" s="246" t="s">
        <v>635</v>
      </c>
      <c r="AW147" s="242"/>
      <c r="AX147" s="242"/>
      <c r="AY147" s="231"/>
      <c r="AZ147" s="231"/>
      <c r="BA147" s="227"/>
      <c r="BB147" s="231"/>
      <c r="BC147" s="227"/>
      <c r="BD147" s="227"/>
      <c r="BE147" s="227"/>
      <c r="BF147" s="227"/>
    </row>
    <row r="148">
      <c r="A148" s="235" t="s">
        <v>1844</v>
      </c>
      <c r="C148" s="235" t="s">
        <v>1845</v>
      </c>
      <c r="D148" s="235" t="s">
        <v>1852</v>
      </c>
      <c r="E148" s="243">
        <v>6.56E13</v>
      </c>
      <c r="F148" s="244"/>
      <c r="G148" s="235" t="s">
        <v>1847</v>
      </c>
      <c r="H148" s="235" t="s">
        <v>1848</v>
      </c>
      <c r="I148" s="235" t="s">
        <v>1848</v>
      </c>
      <c r="J148" s="235" t="s">
        <v>1849</v>
      </c>
      <c r="K148" s="235" t="s">
        <v>1850</v>
      </c>
      <c r="N148" s="235" t="s">
        <v>71</v>
      </c>
      <c r="O148" s="235" t="s">
        <v>240</v>
      </c>
      <c r="P148" s="238">
        <v>1.0</v>
      </c>
      <c r="Q148" s="235" t="s">
        <v>627</v>
      </c>
      <c r="R148" s="238">
        <v>246.67</v>
      </c>
      <c r="S148" s="238">
        <v>11.96</v>
      </c>
      <c r="T148" s="238">
        <v>38.1</v>
      </c>
      <c r="U148" s="238">
        <v>1.9</v>
      </c>
      <c r="V148" s="238">
        <v>0.0</v>
      </c>
      <c r="W148" s="238">
        <v>0.0</v>
      </c>
      <c r="X148" s="235" t="s">
        <v>628</v>
      </c>
      <c r="Z148" s="244"/>
      <c r="AA148" s="244"/>
      <c r="AB148" s="244"/>
      <c r="AC148" s="235" t="s">
        <v>1851</v>
      </c>
      <c r="AD148" s="235" t="s">
        <v>1077</v>
      </c>
      <c r="AE148" s="238">
        <v>382445.0</v>
      </c>
      <c r="AF148" s="235" t="s">
        <v>631</v>
      </c>
      <c r="AG148" s="244"/>
      <c r="AH148" s="244"/>
      <c r="AI148" s="245"/>
      <c r="AJ148" s="245"/>
      <c r="AK148" s="245"/>
      <c r="AL148" s="245"/>
      <c r="AM148" s="244"/>
      <c r="AN148" s="244"/>
      <c r="AO148" s="238">
        <v>-7.4</v>
      </c>
      <c r="AP148" s="238">
        <v>-38.1</v>
      </c>
      <c r="AQ148" s="235" t="s">
        <v>632</v>
      </c>
      <c r="AR148" s="243">
        <v>3.71E11</v>
      </c>
      <c r="AS148" s="235" t="s">
        <v>656</v>
      </c>
      <c r="AT148" s="235" t="s">
        <v>13</v>
      </c>
      <c r="AU148" s="235" t="s">
        <v>634</v>
      </c>
      <c r="AV148" s="246" t="s">
        <v>635</v>
      </c>
      <c r="AW148" s="242"/>
      <c r="AX148" s="242"/>
      <c r="AY148" s="231"/>
      <c r="AZ148" s="231"/>
      <c r="BA148" s="227"/>
      <c r="BB148" s="231"/>
      <c r="BC148" s="227"/>
      <c r="BD148" s="227"/>
      <c r="BE148" s="227"/>
      <c r="BF148" s="227"/>
    </row>
    <row r="149">
      <c r="A149" s="235" t="s">
        <v>1854</v>
      </c>
      <c r="C149" s="235" t="s">
        <v>1855</v>
      </c>
      <c r="D149" s="235" t="s">
        <v>1856</v>
      </c>
      <c r="E149" s="243">
        <v>6.57E13</v>
      </c>
      <c r="F149" s="244"/>
      <c r="G149" s="235" t="s">
        <v>1857</v>
      </c>
      <c r="H149" s="235" t="s">
        <v>1858</v>
      </c>
      <c r="I149" s="235" t="s">
        <v>1859</v>
      </c>
      <c r="J149" s="235" t="s">
        <v>1860</v>
      </c>
      <c r="K149" s="235" t="s">
        <v>1861</v>
      </c>
      <c r="N149" s="235" t="s">
        <v>47</v>
      </c>
      <c r="O149" s="235" t="s">
        <v>270</v>
      </c>
      <c r="P149" s="238">
        <v>1.0</v>
      </c>
      <c r="Q149" s="235" t="s">
        <v>627</v>
      </c>
      <c r="R149" s="238">
        <v>237.14</v>
      </c>
      <c r="S149" s="238">
        <v>11.62</v>
      </c>
      <c r="T149" s="238">
        <v>0.0</v>
      </c>
      <c r="U149" s="238">
        <v>0.0</v>
      </c>
      <c r="V149" s="238">
        <v>0.0</v>
      </c>
      <c r="W149" s="238">
        <v>0.0</v>
      </c>
      <c r="X149" s="235" t="s">
        <v>628</v>
      </c>
      <c r="Z149" s="244"/>
      <c r="AA149" s="244"/>
      <c r="AB149" s="244"/>
      <c r="AC149" s="235" t="s">
        <v>687</v>
      </c>
      <c r="AD149" s="235" t="s">
        <v>666</v>
      </c>
      <c r="AE149" s="238">
        <v>600062.0</v>
      </c>
      <c r="AF149" s="235" t="s">
        <v>631</v>
      </c>
      <c r="AG149" s="244"/>
      <c r="AH149" s="244"/>
      <c r="AI149" s="245"/>
      <c r="AJ149" s="245"/>
      <c r="AK149" s="245"/>
      <c r="AL149" s="245"/>
      <c r="AM149" s="244"/>
      <c r="AN149" s="244"/>
      <c r="AO149" s="238">
        <v>-4.74</v>
      </c>
      <c r="AP149" s="238">
        <v>0.0</v>
      </c>
      <c r="AQ149" s="235" t="s">
        <v>632</v>
      </c>
      <c r="AR149" s="243">
        <v>3.71E11</v>
      </c>
      <c r="AS149" s="235" t="s">
        <v>1367</v>
      </c>
      <c r="AT149" s="235" t="s">
        <v>156</v>
      </c>
      <c r="AU149" s="235" t="s">
        <v>634</v>
      </c>
      <c r="AV149" s="246" t="s">
        <v>635</v>
      </c>
      <c r="AW149" s="242"/>
      <c r="AX149" s="242"/>
      <c r="AY149" s="231"/>
      <c r="AZ149" s="231"/>
      <c r="BA149" s="227"/>
      <c r="BB149" s="231"/>
      <c r="BC149" s="227"/>
      <c r="BD149" s="227"/>
      <c r="BE149" s="227"/>
      <c r="BF149" s="227"/>
    </row>
    <row r="150">
      <c r="A150" s="235" t="s">
        <v>1862</v>
      </c>
      <c r="C150" s="235" t="s">
        <v>1863</v>
      </c>
      <c r="D150" s="235" t="s">
        <v>1864</v>
      </c>
      <c r="E150" s="243">
        <v>6.56E13</v>
      </c>
      <c r="F150" s="244"/>
      <c r="G150" s="235" t="s">
        <v>1865</v>
      </c>
      <c r="H150" s="235" t="s">
        <v>1866</v>
      </c>
      <c r="I150" s="235" t="s">
        <v>1866</v>
      </c>
      <c r="J150" s="235" t="s">
        <v>1867</v>
      </c>
      <c r="K150" s="235" t="s">
        <v>1868</v>
      </c>
      <c r="N150" s="235" t="s">
        <v>138</v>
      </c>
      <c r="O150" s="235" t="s">
        <v>675</v>
      </c>
      <c r="P150" s="238">
        <v>1.0</v>
      </c>
      <c r="Q150" s="235" t="s">
        <v>627</v>
      </c>
      <c r="R150" s="238">
        <v>246.67</v>
      </c>
      <c r="S150" s="238">
        <v>12.33</v>
      </c>
      <c r="T150" s="238">
        <v>0.0</v>
      </c>
      <c r="U150" s="238">
        <v>0.0</v>
      </c>
      <c r="V150" s="238">
        <v>0.0</v>
      </c>
      <c r="W150" s="238">
        <v>0.0</v>
      </c>
      <c r="X150" s="235" t="s">
        <v>628</v>
      </c>
      <c r="Z150" s="244"/>
      <c r="AA150" s="244"/>
      <c r="AB150" s="244"/>
      <c r="AC150" s="235" t="s">
        <v>1869</v>
      </c>
      <c r="AD150" s="235" t="s">
        <v>854</v>
      </c>
      <c r="AE150" s="238">
        <v>403521.0</v>
      </c>
      <c r="AF150" s="235" t="s">
        <v>631</v>
      </c>
      <c r="AG150" s="244"/>
      <c r="AH150" s="244"/>
      <c r="AI150" s="245"/>
      <c r="AJ150" s="245"/>
      <c r="AK150" s="245"/>
      <c r="AL150" s="245"/>
      <c r="AM150" s="244"/>
      <c r="AN150" s="244"/>
      <c r="AO150" s="238">
        <v>0.0</v>
      </c>
      <c r="AP150" s="238">
        <v>0.0</v>
      </c>
      <c r="AQ150" s="235" t="s">
        <v>632</v>
      </c>
      <c r="AR150" s="243">
        <v>3.71E11</v>
      </c>
      <c r="AS150" s="235" t="s">
        <v>656</v>
      </c>
      <c r="AT150" s="235" t="s">
        <v>11</v>
      </c>
      <c r="AU150" s="235" t="s">
        <v>634</v>
      </c>
      <c r="AV150" s="246" t="s">
        <v>635</v>
      </c>
      <c r="AW150" s="242"/>
      <c r="AX150" s="242"/>
      <c r="AY150" s="231"/>
      <c r="AZ150" s="231"/>
      <c r="BA150" s="227"/>
      <c r="BB150" s="231"/>
      <c r="BC150" s="227"/>
      <c r="BD150" s="227"/>
      <c r="BE150" s="227"/>
      <c r="BF150" s="227"/>
    </row>
    <row r="151">
      <c r="A151" s="235" t="s">
        <v>1870</v>
      </c>
      <c r="C151" s="235" t="s">
        <v>1871</v>
      </c>
      <c r="D151" s="235" t="s">
        <v>1872</v>
      </c>
      <c r="E151" s="243">
        <v>6.57E13</v>
      </c>
      <c r="F151" s="244"/>
      <c r="G151" s="235" t="s">
        <v>1873</v>
      </c>
      <c r="H151" s="235" t="s">
        <v>1874</v>
      </c>
      <c r="I151" s="235" t="s">
        <v>1875</v>
      </c>
      <c r="J151" s="235" t="s">
        <v>1876</v>
      </c>
      <c r="K151" s="235" t="s">
        <v>1877</v>
      </c>
      <c r="N151" s="235" t="s">
        <v>726</v>
      </c>
      <c r="O151" s="235" t="s">
        <v>727</v>
      </c>
      <c r="P151" s="238">
        <v>1.0</v>
      </c>
      <c r="Q151" s="235" t="s">
        <v>627</v>
      </c>
      <c r="R151" s="238">
        <v>246.67</v>
      </c>
      <c r="S151" s="238">
        <v>12.33</v>
      </c>
      <c r="T151" s="238">
        <v>0.0</v>
      </c>
      <c r="U151" s="238">
        <v>0.0</v>
      </c>
      <c r="V151" s="238">
        <v>0.0</v>
      </c>
      <c r="W151" s="238">
        <v>0.0</v>
      </c>
      <c r="X151" s="235" t="s">
        <v>628</v>
      </c>
      <c r="Z151" s="244"/>
      <c r="AA151" s="244"/>
      <c r="AB151" s="244"/>
      <c r="AC151" s="235" t="s">
        <v>1878</v>
      </c>
      <c r="AD151" s="235" t="s">
        <v>645</v>
      </c>
      <c r="AE151" s="238">
        <v>680006.0</v>
      </c>
      <c r="AF151" s="235" t="s">
        <v>631</v>
      </c>
      <c r="AG151" s="244"/>
      <c r="AH151" s="244"/>
      <c r="AI151" s="245"/>
      <c r="AJ151" s="245"/>
      <c r="AK151" s="245"/>
      <c r="AL151" s="245"/>
      <c r="AM151" s="244"/>
      <c r="AN151" s="244"/>
      <c r="AO151" s="238">
        <v>0.0</v>
      </c>
      <c r="AP151" s="238">
        <v>0.0</v>
      </c>
      <c r="AQ151" s="235" t="s">
        <v>632</v>
      </c>
      <c r="AR151" s="243">
        <v>1.68E11</v>
      </c>
      <c r="AS151" s="235" t="s">
        <v>1751</v>
      </c>
      <c r="AT151" s="235" t="s">
        <v>155</v>
      </c>
      <c r="AU151" s="235" t="s">
        <v>634</v>
      </c>
      <c r="AV151" s="246" t="s">
        <v>635</v>
      </c>
      <c r="AW151" s="242"/>
      <c r="AX151" s="242"/>
      <c r="AY151" s="231"/>
      <c r="AZ151" s="231"/>
      <c r="BA151" s="227"/>
      <c r="BB151" s="231"/>
      <c r="BC151" s="227"/>
      <c r="BD151" s="227"/>
      <c r="BE151" s="227"/>
      <c r="BF151" s="227"/>
    </row>
    <row r="152">
      <c r="A152" s="235" t="s">
        <v>1879</v>
      </c>
      <c r="C152" s="235" t="s">
        <v>1880</v>
      </c>
      <c r="D152" s="235" t="s">
        <v>1881</v>
      </c>
      <c r="E152" s="243">
        <v>6.57E13</v>
      </c>
      <c r="F152" s="244"/>
      <c r="G152" s="235" t="s">
        <v>1882</v>
      </c>
      <c r="H152" s="235" t="s">
        <v>1883</v>
      </c>
      <c r="I152" s="235" t="s">
        <v>1884</v>
      </c>
      <c r="J152" s="235" t="s">
        <v>1885</v>
      </c>
      <c r="K152" s="235" t="s">
        <v>1886</v>
      </c>
      <c r="N152" s="235" t="s">
        <v>962</v>
      </c>
      <c r="O152" s="235" t="s">
        <v>963</v>
      </c>
      <c r="P152" s="238">
        <v>1.0</v>
      </c>
      <c r="Q152" s="235" t="s">
        <v>627</v>
      </c>
      <c r="R152" s="238">
        <v>246.66</v>
      </c>
      <c r="S152" s="238">
        <v>12.34</v>
      </c>
      <c r="T152" s="238">
        <v>0.0</v>
      </c>
      <c r="U152" s="238">
        <v>0.0</v>
      </c>
      <c r="V152" s="238">
        <v>0.0</v>
      </c>
      <c r="W152" s="238">
        <v>0.0</v>
      </c>
      <c r="X152" s="235" t="s">
        <v>628</v>
      </c>
      <c r="Z152" s="244"/>
      <c r="AA152" s="244"/>
      <c r="AB152" s="244"/>
      <c r="AC152" s="235" t="s">
        <v>1887</v>
      </c>
      <c r="AD152" s="235" t="s">
        <v>679</v>
      </c>
      <c r="AE152" s="238">
        <v>560066.0</v>
      </c>
      <c r="AF152" s="235" t="s">
        <v>631</v>
      </c>
      <c r="AG152" s="244"/>
      <c r="AH152" s="244"/>
      <c r="AI152" s="245"/>
      <c r="AJ152" s="245"/>
      <c r="AK152" s="245"/>
      <c r="AL152" s="245"/>
      <c r="AM152" s="244"/>
      <c r="AN152" s="244"/>
      <c r="AO152" s="238">
        <v>0.0</v>
      </c>
      <c r="AP152" s="238">
        <v>0.0</v>
      </c>
      <c r="AQ152" s="235" t="s">
        <v>632</v>
      </c>
      <c r="AR152" s="243">
        <v>1.68E11</v>
      </c>
      <c r="AS152" s="235" t="s">
        <v>1751</v>
      </c>
      <c r="AT152" s="235" t="s">
        <v>11</v>
      </c>
      <c r="AU152" s="235" t="s">
        <v>634</v>
      </c>
      <c r="AV152" s="246" t="s">
        <v>635</v>
      </c>
      <c r="AW152" s="242"/>
      <c r="AX152" s="242"/>
      <c r="AY152" s="231"/>
      <c r="AZ152" s="231"/>
      <c r="BA152" s="227"/>
      <c r="BB152" s="231"/>
      <c r="BC152" s="227"/>
      <c r="BD152" s="227"/>
      <c r="BE152" s="227"/>
      <c r="BF152" s="227"/>
    </row>
    <row r="153">
      <c r="A153" s="235" t="s">
        <v>1888</v>
      </c>
      <c r="C153" s="235" t="s">
        <v>1889</v>
      </c>
      <c r="D153" s="235" t="s">
        <v>1890</v>
      </c>
      <c r="E153" s="243">
        <v>6.57E13</v>
      </c>
      <c r="F153" s="244"/>
      <c r="G153" s="235" t="s">
        <v>1891</v>
      </c>
      <c r="H153" s="235" t="s">
        <v>1892</v>
      </c>
      <c r="I153" s="235" t="s">
        <v>1892</v>
      </c>
      <c r="J153" s="235" t="s">
        <v>1893</v>
      </c>
      <c r="K153" s="235" t="s">
        <v>1894</v>
      </c>
      <c r="N153" s="235" t="s">
        <v>54</v>
      </c>
      <c r="O153" s="235" t="s">
        <v>294</v>
      </c>
      <c r="P153" s="238">
        <v>1.0</v>
      </c>
      <c r="Q153" s="235" t="s">
        <v>627</v>
      </c>
      <c r="R153" s="238">
        <v>246.67</v>
      </c>
      <c r="S153" s="238">
        <v>12.33</v>
      </c>
      <c r="T153" s="238">
        <v>0.0</v>
      </c>
      <c r="U153" s="238">
        <v>0.0</v>
      </c>
      <c r="V153" s="238">
        <v>0.0</v>
      </c>
      <c r="W153" s="238">
        <v>0.0</v>
      </c>
      <c r="X153" s="235" t="s">
        <v>628</v>
      </c>
      <c r="Z153" s="244"/>
      <c r="AA153" s="244"/>
      <c r="AB153" s="244"/>
      <c r="AC153" s="235" t="s">
        <v>697</v>
      </c>
      <c r="AD153" s="235" t="s">
        <v>698</v>
      </c>
      <c r="AE153" s="238">
        <v>500090.0</v>
      </c>
      <c r="AF153" s="235" t="s">
        <v>631</v>
      </c>
      <c r="AG153" s="244"/>
      <c r="AH153" s="244"/>
      <c r="AI153" s="245"/>
      <c r="AJ153" s="245"/>
      <c r="AK153" s="245"/>
      <c r="AL153" s="245"/>
      <c r="AM153" s="244"/>
      <c r="AN153" s="244"/>
      <c r="AO153" s="238">
        <v>0.0</v>
      </c>
      <c r="AP153" s="238">
        <v>0.0</v>
      </c>
      <c r="AQ153" s="235" t="s">
        <v>632</v>
      </c>
      <c r="AR153" s="243">
        <v>3.71E11</v>
      </c>
      <c r="AS153" s="235" t="s">
        <v>667</v>
      </c>
      <c r="AT153" s="235" t="s">
        <v>11</v>
      </c>
      <c r="AU153" s="235" t="s">
        <v>634</v>
      </c>
      <c r="AV153" s="246" t="s">
        <v>635</v>
      </c>
      <c r="AW153" s="242"/>
      <c r="AX153" s="242"/>
      <c r="AY153" s="231"/>
      <c r="AZ153" s="231"/>
      <c r="BA153" s="227"/>
      <c r="BB153" s="231"/>
      <c r="BC153" s="227"/>
      <c r="BD153" s="227"/>
      <c r="BE153" s="227"/>
      <c r="BF153" s="227"/>
    </row>
    <row r="154">
      <c r="A154" s="235" t="s">
        <v>1895</v>
      </c>
      <c r="C154" s="235" t="s">
        <v>1896</v>
      </c>
      <c r="D154" s="235" t="s">
        <v>1897</v>
      </c>
      <c r="E154" s="243">
        <v>6.57E13</v>
      </c>
      <c r="F154" s="244"/>
      <c r="G154" s="235" t="s">
        <v>1898</v>
      </c>
      <c r="H154" s="235" t="s">
        <v>1900</v>
      </c>
      <c r="I154" s="235" t="s">
        <v>1900</v>
      </c>
      <c r="J154" s="235" t="s">
        <v>1901</v>
      </c>
      <c r="K154" s="235" t="s">
        <v>1902</v>
      </c>
      <c r="N154" s="235" t="s">
        <v>42</v>
      </c>
      <c r="O154" s="235" t="s">
        <v>204</v>
      </c>
      <c r="P154" s="238">
        <v>1.0</v>
      </c>
      <c r="Q154" s="235" t="s">
        <v>627</v>
      </c>
      <c r="R154" s="238">
        <v>237.14</v>
      </c>
      <c r="S154" s="238">
        <v>11.86</v>
      </c>
      <c r="T154" s="238">
        <v>0.0</v>
      </c>
      <c r="U154" s="238">
        <v>0.0</v>
      </c>
      <c r="V154" s="238">
        <v>0.0</v>
      </c>
      <c r="W154" s="238">
        <v>0.0</v>
      </c>
      <c r="X154" s="235" t="s">
        <v>628</v>
      </c>
      <c r="Z154" s="244"/>
      <c r="AA154" s="244"/>
      <c r="AB154" s="244"/>
      <c r="AC154" s="235" t="s">
        <v>697</v>
      </c>
      <c r="AD154" s="235" t="s">
        <v>698</v>
      </c>
      <c r="AE154" s="238">
        <v>501218.0</v>
      </c>
      <c r="AF154" s="235" t="s">
        <v>631</v>
      </c>
      <c r="AG154" s="244"/>
      <c r="AH154" s="244"/>
      <c r="AI154" s="245"/>
      <c r="AJ154" s="245"/>
      <c r="AK154" s="245"/>
      <c r="AL154" s="245"/>
      <c r="AM154" s="244"/>
      <c r="AN154" s="244"/>
      <c r="AO154" s="238">
        <v>0.0</v>
      </c>
      <c r="AP154" s="238">
        <v>0.0</v>
      </c>
      <c r="AQ154" s="235" t="s">
        <v>632</v>
      </c>
      <c r="AR154" s="243">
        <v>3.71E11</v>
      </c>
      <c r="AS154" s="235" t="s">
        <v>667</v>
      </c>
      <c r="AT154" s="235" t="s">
        <v>11</v>
      </c>
      <c r="AU154" s="235" t="s">
        <v>634</v>
      </c>
      <c r="AV154" s="246" t="s">
        <v>635</v>
      </c>
      <c r="AW154" s="242"/>
      <c r="AX154" s="242"/>
      <c r="AY154" s="231"/>
      <c r="AZ154" s="231"/>
      <c r="BA154" s="227"/>
      <c r="BB154" s="231"/>
      <c r="BC154" s="227"/>
      <c r="BD154" s="227"/>
      <c r="BE154" s="227"/>
      <c r="BF154" s="227"/>
    </row>
    <row r="155">
      <c r="A155" s="235" t="s">
        <v>1903</v>
      </c>
      <c r="C155" s="235" t="s">
        <v>1904</v>
      </c>
      <c r="D155" s="235" t="s">
        <v>1905</v>
      </c>
      <c r="E155" s="243">
        <v>6.57E13</v>
      </c>
      <c r="F155" s="244"/>
      <c r="G155" s="235" t="s">
        <v>1906</v>
      </c>
      <c r="H155" s="235" t="s">
        <v>1907</v>
      </c>
      <c r="I155" s="235" t="s">
        <v>1907</v>
      </c>
      <c r="J155" s="235" t="s">
        <v>1908</v>
      </c>
      <c r="K155" s="235" t="s">
        <v>1909</v>
      </c>
      <c r="N155" s="235" t="s">
        <v>154</v>
      </c>
      <c r="O155" s="235" t="s">
        <v>766</v>
      </c>
      <c r="P155" s="238">
        <v>1.0</v>
      </c>
      <c r="Q155" s="235" t="s">
        <v>627</v>
      </c>
      <c r="R155" s="238">
        <v>465.72</v>
      </c>
      <c r="S155" s="238">
        <v>23.28</v>
      </c>
      <c r="T155" s="238">
        <v>9.04</v>
      </c>
      <c r="U155" s="238">
        <v>0.46</v>
      </c>
      <c r="V155" s="238">
        <v>0.0</v>
      </c>
      <c r="W155" s="238">
        <v>0.0</v>
      </c>
      <c r="X155" s="235" t="s">
        <v>628</v>
      </c>
      <c r="Z155" s="244"/>
      <c r="AA155" s="244"/>
      <c r="AB155" s="244"/>
      <c r="AC155" s="235" t="s">
        <v>1910</v>
      </c>
      <c r="AD155" s="235" t="s">
        <v>928</v>
      </c>
      <c r="AE155" s="238">
        <v>122002.0</v>
      </c>
      <c r="AF155" s="235" t="s">
        <v>631</v>
      </c>
      <c r="AG155" s="244"/>
      <c r="AH155" s="244"/>
      <c r="AI155" s="245"/>
      <c r="AJ155" s="245"/>
      <c r="AK155" s="245"/>
      <c r="AL155" s="245"/>
      <c r="AM155" s="244"/>
      <c r="AN155" s="244"/>
      <c r="AO155" s="238">
        <v>0.0</v>
      </c>
      <c r="AP155" s="238">
        <v>-9.04</v>
      </c>
      <c r="AQ155" s="235" t="s">
        <v>632</v>
      </c>
      <c r="AR155" s="243">
        <v>1.68E11</v>
      </c>
      <c r="AS155" s="235" t="s">
        <v>1751</v>
      </c>
      <c r="AT155" s="235" t="s">
        <v>13</v>
      </c>
      <c r="AU155" s="235" t="s">
        <v>634</v>
      </c>
      <c r="AV155" s="246" t="s">
        <v>635</v>
      </c>
      <c r="AW155" s="242"/>
      <c r="AX155" s="242"/>
      <c r="AY155" s="231"/>
      <c r="AZ155" s="231"/>
      <c r="BA155" s="227"/>
      <c r="BB155" s="231"/>
      <c r="BC155" s="227"/>
      <c r="BD155" s="227"/>
      <c r="BE155" s="227"/>
      <c r="BF155" s="227"/>
    </row>
    <row r="156">
      <c r="A156" s="235" t="s">
        <v>1911</v>
      </c>
      <c r="C156" s="235" t="s">
        <v>1912</v>
      </c>
      <c r="D156" s="235" t="s">
        <v>1913</v>
      </c>
      <c r="E156" s="243">
        <v>6.57E13</v>
      </c>
      <c r="F156" s="244"/>
      <c r="G156" s="235" t="s">
        <v>1914</v>
      </c>
      <c r="H156" s="235" t="s">
        <v>1915</v>
      </c>
      <c r="I156" s="235" t="s">
        <v>1915</v>
      </c>
      <c r="J156" s="235" t="s">
        <v>1916</v>
      </c>
      <c r="K156" s="235" t="s">
        <v>1918</v>
      </c>
      <c r="N156" s="235" t="s">
        <v>82</v>
      </c>
      <c r="O156" s="235" t="s">
        <v>889</v>
      </c>
      <c r="P156" s="238">
        <v>1.0</v>
      </c>
      <c r="Q156" s="235" t="s">
        <v>627</v>
      </c>
      <c r="R156" s="238">
        <v>246.67</v>
      </c>
      <c r="S156" s="238">
        <v>12.33</v>
      </c>
      <c r="T156" s="238">
        <v>38.1</v>
      </c>
      <c r="U156" s="238">
        <v>1.9</v>
      </c>
      <c r="V156" s="238">
        <v>0.0</v>
      </c>
      <c r="W156" s="238">
        <v>0.0</v>
      </c>
      <c r="X156" s="235" t="s">
        <v>628</v>
      </c>
      <c r="Z156" s="244"/>
      <c r="AA156" s="244"/>
      <c r="AB156" s="244"/>
      <c r="AC156" s="235" t="s">
        <v>1920</v>
      </c>
      <c r="AD156" s="235" t="s">
        <v>833</v>
      </c>
      <c r="AE156" s="238">
        <v>522034.0</v>
      </c>
      <c r="AF156" s="235" t="s">
        <v>631</v>
      </c>
      <c r="AG156" s="244"/>
      <c r="AH156" s="244"/>
      <c r="AI156" s="245"/>
      <c r="AJ156" s="245"/>
      <c r="AK156" s="245"/>
      <c r="AL156" s="245"/>
      <c r="AM156" s="244"/>
      <c r="AN156" s="244"/>
      <c r="AO156" s="238">
        <v>0.0</v>
      </c>
      <c r="AP156" s="238">
        <v>-38.1</v>
      </c>
      <c r="AQ156" s="235" t="s">
        <v>632</v>
      </c>
      <c r="AR156" s="243">
        <v>3.71E11</v>
      </c>
      <c r="AS156" s="235" t="s">
        <v>656</v>
      </c>
      <c r="AT156" s="235" t="s">
        <v>156</v>
      </c>
      <c r="AU156" s="235" t="s">
        <v>634</v>
      </c>
      <c r="AV156" s="246" t="s">
        <v>635</v>
      </c>
      <c r="AW156" s="242"/>
      <c r="AX156" s="242"/>
      <c r="AY156" s="231"/>
      <c r="AZ156" s="231"/>
      <c r="BA156" s="227"/>
      <c r="BB156" s="231"/>
      <c r="BC156" s="227"/>
      <c r="BD156" s="227"/>
      <c r="BE156" s="227"/>
      <c r="BF156" s="227"/>
    </row>
    <row r="157">
      <c r="A157" s="235" t="s">
        <v>1921</v>
      </c>
      <c r="C157" s="235" t="s">
        <v>1922</v>
      </c>
      <c r="D157" s="235" t="s">
        <v>1923</v>
      </c>
      <c r="E157" s="243">
        <v>6.57E13</v>
      </c>
      <c r="F157" s="244"/>
      <c r="G157" s="235" t="s">
        <v>1924</v>
      </c>
      <c r="H157" s="235" t="s">
        <v>1925</v>
      </c>
      <c r="I157" s="235" t="s">
        <v>1925</v>
      </c>
      <c r="J157" s="235" t="s">
        <v>1926</v>
      </c>
      <c r="K157" s="235" t="s">
        <v>1927</v>
      </c>
      <c r="N157" s="235" t="s">
        <v>43</v>
      </c>
      <c r="O157" s="235" t="s">
        <v>276</v>
      </c>
      <c r="P157" s="238">
        <v>1.0</v>
      </c>
      <c r="Q157" s="235" t="s">
        <v>627</v>
      </c>
      <c r="R157" s="238">
        <v>237.14</v>
      </c>
      <c r="S157" s="238">
        <v>11.86</v>
      </c>
      <c r="T157" s="238">
        <v>38.1</v>
      </c>
      <c r="U157" s="238">
        <v>1.9</v>
      </c>
      <c r="V157" s="238">
        <v>0.0</v>
      </c>
      <c r="W157" s="238">
        <v>0.0</v>
      </c>
      <c r="X157" s="235" t="s">
        <v>628</v>
      </c>
      <c r="Z157" s="244"/>
      <c r="AA157" s="244"/>
      <c r="AB157" s="244"/>
      <c r="AC157" s="235" t="s">
        <v>687</v>
      </c>
      <c r="AD157" s="235" t="s">
        <v>666</v>
      </c>
      <c r="AE157" s="238">
        <v>600107.0</v>
      </c>
      <c r="AF157" s="235" t="s">
        <v>631</v>
      </c>
      <c r="AG157" s="244"/>
      <c r="AH157" s="244"/>
      <c r="AI157" s="245"/>
      <c r="AJ157" s="245"/>
      <c r="AK157" s="245"/>
      <c r="AL157" s="245"/>
      <c r="AM157" s="244"/>
      <c r="AN157" s="244"/>
      <c r="AO157" s="238">
        <v>0.0</v>
      </c>
      <c r="AP157" s="238">
        <v>0.0</v>
      </c>
      <c r="AQ157" s="235" t="s">
        <v>632</v>
      </c>
      <c r="AR157" s="243">
        <v>3.71E11</v>
      </c>
      <c r="AS157" s="235" t="s">
        <v>699</v>
      </c>
      <c r="AT157" s="235" t="s">
        <v>13</v>
      </c>
      <c r="AU157" s="235" t="s">
        <v>634</v>
      </c>
      <c r="AV157" s="246" t="s">
        <v>635</v>
      </c>
      <c r="AW157" s="242"/>
      <c r="AX157" s="242"/>
      <c r="AY157" s="231"/>
      <c r="AZ157" s="231"/>
      <c r="BA157" s="227"/>
      <c r="BB157" s="231"/>
      <c r="BC157" s="227"/>
      <c r="BD157" s="227"/>
      <c r="BE157" s="227"/>
      <c r="BF157" s="227"/>
    </row>
    <row r="158">
      <c r="A158" s="235" t="s">
        <v>1928</v>
      </c>
      <c r="C158" s="235" t="s">
        <v>1929</v>
      </c>
      <c r="D158" s="235" t="s">
        <v>1930</v>
      </c>
      <c r="E158" s="243">
        <v>6.57E13</v>
      </c>
      <c r="F158" s="244"/>
      <c r="G158" s="235" t="s">
        <v>1931</v>
      </c>
      <c r="H158" s="235" t="s">
        <v>1932</v>
      </c>
      <c r="I158" s="235" t="s">
        <v>1932</v>
      </c>
      <c r="J158" s="235" t="s">
        <v>1933</v>
      </c>
      <c r="K158" s="235" t="s">
        <v>1934</v>
      </c>
      <c r="N158" s="235" t="s">
        <v>90</v>
      </c>
      <c r="O158" s="235" t="s">
        <v>279</v>
      </c>
      <c r="P158" s="238">
        <v>1.0</v>
      </c>
      <c r="Q158" s="235" t="s">
        <v>627</v>
      </c>
      <c r="R158" s="238">
        <v>246.67</v>
      </c>
      <c r="S158" s="238">
        <v>12.33</v>
      </c>
      <c r="T158" s="238">
        <v>56.19</v>
      </c>
      <c r="U158" s="238">
        <v>2.81</v>
      </c>
      <c r="V158" s="238">
        <v>0.0</v>
      </c>
      <c r="W158" s="238">
        <v>0.0</v>
      </c>
      <c r="X158" s="235" t="s">
        <v>628</v>
      </c>
      <c r="Z158" s="244"/>
      <c r="AA158" s="244"/>
      <c r="AB158" s="244"/>
      <c r="AC158" s="235" t="s">
        <v>1935</v>
      </c>
      <c r="AD158" s="235" t="s">
        <v>630</v>
      </c>
      <c r="AE158" s="238">
        <v>282010.0</v>
      </c>
      <c r="AF158" s="235" t="s">
        <v>631</v>
      </c>
      <c r="AG158" s="244"/>
      <c r="AH158" s="244"/>
      <c r="AI158" s="245"/>
      <c r="AJ158" s="245"/>
      <c r="AK158" s="245"/>
      <c r="AL158" s="245"/>
      <c r="AM158" s="244"/>
      <c r="AN158" s="244"/>
      <c r="AO158" s="238">
        <v>0.0</v>
      </c>
      <c r="AP158" s="238">
        <v>-56.19</v>
      </c>
      <c r="AQ158" s="235" t="s">
        <v>632</v>
      </c>
      <c r="AR158" s="243">
        <v>3.71E11</v>
      </c>
      <c r="AS158" s="235" t="s">
        <v>667</v>
      </c>
      <c r="AT158" s="235" t="s">
        <v>13</v>
      </c>
      <c r="AU158" s="235" t="s">
        <v>634</v>
      </c>
      <c r="AV158" s="246" t="s">
        <v>635</v>
      </c>
      <c r="AW158" s="242"/>
      <c r="AX158" s="242"/>
      <c r="AY158" s="231"/>
      <c r="AZ158" s="231"/>
      <c r="BA158" s="227"/>
      <c r="BB158" s="231"/>
      <c r="BC158" s="227"/>
      <c r="BD158" s="227"/>
      <c r="BE158" s="227"/>
      <c r="BF158" s="227"/>
    </row>
    <row r="159">
      <c r="A159" s="235" t="s">
        <v>1936</v>
      </c>
      <c r="C159" s="235" t="s">
        <v>1937</v>
      </c>
      <c r="D159" s="235" t="s">
        <v>1938</v>
      </c>
      <c r="E159" s="243">
        <v>6.57E13</v>
      </c>
      <c r="F159" s="244"/>
      <c r="G159" s="235" t="s">
        <v>1939</v>
      </c>
      <c r="H159" s="235" t="s">
        <v>1940</v>
      </c>
      <c r="I159" s="235" t="s">
        <v>1940</v>
      </c>
      <c r="J159" s="235" t="s">
        <v>1941</v>
      </c>
      <c r="K159" s="235" t="s">
        <v>1942</v>
      </c>
      <c r="N159" s="235" t="s">
        <v>127</v>
      </c>
      <c r="O159" s="235" t="s">
        <v>794</v>
      </c>
      <c r="P159" s="238">
        <v>1.0</v>
      </c>
      <c r="Q159" s="235" t="s">
        <v>627</v>
      </c>
      <c r="R159" s="238">
        <v>246.66</v>
      </c>
      <c r="S159" s="238">
        <v>12.34</v>
      </c>
      <c r="T159" s="238">
        <v>9.04</v>
      </c>
      <c r="U159" s="238">
        <v>0.46</v>
      </c>
      <c r="V159" s="238">
        <v>0.0</v>
      </c>
      <c r="W159" s="238">
        <v>0.0</v>
      </c>
      <c r="X159" s="235" t="s">
        <v>628</v>
      </c>
      <c r="Z159" s="244"/>
      <c r="AA159" s="244"/>
      <c r="AB159" s="244"/>
      <c r="AC159" s="235" t="s">
        <v>678</v>
      </c>
      <c r="AD159" s="235" t="s">
        <v>679</v>
      </c>
      <c r="AE159" s="238">
        <v>560100.0</v>
      </c>
      <c r="AF159" s="235" t="s">
        <v>631</v>
      </c>
      <c r="AG159" s="244"/>
      <c r="AH159" s="244"/>
      <c r="AI159" s="245"/>
      <c r="AJ159" s="245"/>
      <c r="AK159" s="245"/>
      <c r="AL159" s="245"/>
      <c r="AM159" s="244"/>
      <c r="AN159" s="244"/>
      <c r="AO159" s="238">
        <v>0.0</v>
      </c>
      <c r="AP159" s="238">
        <v>-9.04</v>
      </c>
      <c r="AQ159" s="235" t="s">
        <v>632</v>
      </c>
      <c r="AR159" s="243">
        <v>1.68E11</v>
      </c>
      <c r="AS159" s="235" t="s">
        <v>1751</v>
      </c>
      <c r="AT159" s="235" t="s">
        <v>9</v>
      </c>
      <c r="AU159" s="235" t="s">
        <v>634</v>
      </c>
      <c r="AV159" s="246" t="s">
        <v>635</v>
      </c>
      <c r="AW159" s="242"/>
      <c r="AX159" s="242"/>
      <c r="AY159" s="231"/>
      <c r="AZ159" s="231"/>
      <c r="BA159" s="227"/>
      <c r="BB159" s="231"/>
      <c r="BC159" s="227"/>
      <c r="BD159" s="227"/>
      <c r="BE159" s="227"/>
      <c r="BF159" s="227"/>
    </row>
    <row r="160">
      <c r="A160" s="235" t="s">
        <v>1944</v>
      </c>
      <c r="C160" s="235" t="s">
        <v>1945</v>
      </c>
      <c r="D160" s="235" t="s">
        <v>1946</v>
      </c>
      <c r="E160" s="243">
        <v>6.57E13</v>
      </c>
      <c r="F160" s="244"/>
      <c r="G160" s="235" t="s">
        <v>1947</v>
      </c>
      <c r="H160" s="235" t="s">
        <v>1948</v>
      </c>
      <c r="I160" s="235" t="s">
        <v>1949</v>
      </c>
      <c r="J160" s="235" t="s">
        <v>1950</v>
      </c>
      <c r="K160" s="235" t="s">
        <v>1951</v>
      </c>
      <c r="N160" s="235" t="s">
        <v>962</v>
      </c>
      <c r="O160" s="235" t="s">
        <v>963</v>
      </c>
      <c r="P160" s="238">
        <v>1.0</v>
      </c>
      <c r="Q160" s="235" t="s">
        <v>627</v>
      </c>
      <c r="R160" s="238">
        <v>246.66</v>
      </c>
      <c r="S160" s="238">
        <v>12.34</v>
      </c>
      <c r="T160" s="238">
        <v>0.0</v>
      </c>
      <c r="U160" s="238">
        <v>0.0</v>
      </c>
      <c r="V160" s="238">
        <v>0.0</v>
      </c>
      <c r="W160" s="238">
        <v>0.0</v>
      </c>
      <c r="X160" s="235" t="s">
        <v>628</v>
      </c>
      <c r="Z160" s="244"/>
      <c r="AA160" s="244"/>
      <c r="AB160" s="244"/>
      <c r="AC160" s="235" t="s">
        <v>1952</v>
      </c>
      <c r="AD160" s="235" t="s">
        <v>666</v>
      </c>
      <c r="AE160" s="238">
        <v>641687.0</v>
      </c>
      <c r="AF160" s="235" t="s">
        <v>631</v>
      </c>
      <c r="AG160" s="244"/>
      <c r="AH160" s="244"/>
      <c r="AI160" s="245"/>
      <c r="AJ160" s="245"/>
      <c r="AK160" s="245"/>
      <c r="AL160" s="245"/>
      <c r="AM160" s="244"/>
      <c r="AN160" s="244"/>
      <c r="AO160" s="238">
        <v>0.0</v>
      </c>
      <c r="AP160" s="238">
        <v>0.0</v>
      </c>
      <c r="AQ160" s="235" t="s">
        <v>632</v>
      </c>
      <c r="AR160" s="243">
        <v>3.71E11</v>
      </c>
      <c r="AS160" s="235" t="s">
        <v>1367</v>
      </c>
      <c r="AT160" s="235" t="s">
        <v>155</v>
      </c>
      <c r="AU160" s="235" t="s">
        <v>634</v>
      </c>
      <c r="AV160" s="246" t="s">
        <v>635</v>
      </c>
      <c r="AW160" s="242"/>
      <c r="AX160" s="242"/>
      <c r="AY160" s="231"/>
      <c r="AZ160" s="231"/>
      <c r="BA160" s="227"/>
      <c r="BB160" s="231"/>
      <c r="BC160" s="227"/>
      <c r="BD160" s="227"/>
      <c r="BE160" s="227"/>
      <c r="BF160" s="227"/>
    </row>
    <row r="161">
      <c r="A161" s="235" t="s">
        <v>1953</v>
      </c>
      <c r="C161" s="235" t="s">
        <v>1954</v>
      </c>
      <c r="D161" s="235" t="s">
        <v>1955</v>
      </c>
      <c r="E161" s="243">
        <v>6.57E13</v>
      </c>
      <c r="F161" s="244"/>
      <c r="G161" s="235" t="s">
        <v>1956</v>
      </c>
      <c r="H161" s="235" t="s">
        <v>1957</v>
      </c>
      <c r="I161" s="235" t="s">
        <v>1958</v>
      </c>
      <c r="J161" s="235" t="s">
        <v>1959</v>
      </c>
      <c r="K161" s="235" t="s">
        <v>1960</v>
      </c>
      <c r="N161" s="235" t="s">
        <v>138</v>
      </c>
      <c r="O161" s="235" t="s">
        <v>675</v>
      </c>
      <c r="P161" s="238">
        <v>1.0</v>
      </c>
      <c r="Q161" s="235" t="s">
        <v>627</v>
      </c>
      <c r="R161" s="238">
        <v>246.66</v>
      </c>
      <c r="S161" s="238">
        <v>12.34</v>
      </c>
      <c r="T161" s="238">
        <v>18.1</v>
      </c>
      <c r="U161" s="238">
        <v>0.9</v>
      </c>
      <c r="V161" s="238">
        <v>0.0</v>
      </c>
      <c r="W161" s="238">
        <v>0.0</v>
      </c>
      <c r="X161" s="235" t="s">
        <v>628</v>
      </c>
      <c r="Z161" s="244"/>
      <c r="AA161" s="244"/>
      <c r="AB161" s="244"/>
      <c r="AC161" s="235" t="s">
        <v>1961</v>
      </c>
      <c r="AD161" s="235" t="s">
        <v>845</v>
      </c>
      <c r="AE161" s="238">
        <v>411061.0</v>
      </c>
      <c r="AF161" s="235" t="s">
        <v>631</v>
      </c>
      <c r="AG161" s="244"/>
      <c r="AH161" s="244"/>
      <c r="AI161" s="245"/>
      <c r="AJ161" s="245"/>
      <c r="AK161" s="245"/>
      <c r="AL161" s="245"/>
      <c r="AM161" s="244"/>
      <c r="AN161" s="244"/>
      <c r="AO161" s="238">
        <v>0.0</v>
      </c>
      <c r="AP161" s="238">
        <v>-18.1</v>
      </c>
      <c r="AQ161" s="235" t="s">
        <v>632</v>
      </c>
      <c r="AR161" s="243">
        <v>1.68E11</v>
      </c>
      <c r="AS161" s="235" t="s">
        <v>1751</v>
      </c>
      <c r="AT161" s="235" t="s">
        <v>546</v>
      </c>
      <c r="AU161" s="235" t="s">
        <v>634</v>
      </c>
      <c r="AV161" s="246" t="s">
        <v>635</v>
      </c>
      <c r="AW161" s="242"/>
      <c r="AX161" s="242"/>
      <c r="AY161" s="231"/>
      <c r="AZ161" s="231"/>
      <c r="BA161" s="227"/>
      <c r="BB161" s="231"/>
      <c r="BC161" s="227"/>
      <c r="BD161" s="227"/>
      <c r="BE161" s="227"/>
      <c r="BF161" s="227"/>
    </row>
    <row r="162">
      <c r="A162" s="235" t="s">
        <v>1962</v>
      </c>
      <c r="C162" s="235" t="s">
        <v>1963</v>
      </c>
      <c r="D162" s="235" t="s">
        <v>1964</v>
      </c>
      <c r="E162" s="243">
        <v>6.57E13</v>
      </c>
      <c r="F162" s="244"/>
      <c r="G162" s="235" t="s">
        <v>1965</v>
      </c>
      <c r="H162" s="235" t="s">
        <v>1966</v>
      </c>
      <c r="I162" s="235" t="s">
        <v>1966</v>
      </c>
      <c r="J162" s="235" t="s">
        <v>1967</v>
      </c>
      <c r="K162" s="235" t="s">
        <v>1968</v>
      </c>
      <c r="N162" s="235" t="s">
        <v>1346</v>
      </c>
      <c r="O162" s="235" t="s">
        <v>1347</v>
      </c>
      <c r="P162" s="238">
        <v>1.0</v>
      </c>
      <c r="Q162" s="235" t="s">
        <v>627</v>
      </c>
      <c r="R162" s="238">
        <v>256.19</v>
      </c>
      <c r="S162" s="238">
        <v>12.81</v>
      </c>
      <c r="T162" s="238">
        <v>0.0</v>
      </c>
      <c r="U162" s="238">
        <v>0.0</v>
      </c>
      <c r="V162" s="238">
        <v>0.0</v>
      </c>
      <c r="W162" s="238">
        <v>0.0</v>
      </c>
      <c r="X162" s="235" t="s">
        <v>628</v>
      </c>
      <c r="Z162" s="244"/>
      <c r="AA162" s="244"/>
      <c r="AB162" s="244"/>
      <c r="AC162" s="235" t="s">
        <v>795</v>
      </c>
      <c r="AD162" s="235" t="s">
        <v>796</v>
      </c>
      <c r="AE162" s="238">
        <v>110075.0</v>
      </c>
      <c r="AF162" s="235" t="s">
        <v>631</v>
      </c>
      <c r="AG162" s="244"/>
      <c r="AH162" s="244"/>
      <c r="AI162" s="245"/>
      <c r="AJ162" s="245"/>
      <c r="AK162" s="245"/>
      <c r="AL162" s="245"/>
      <c r="AM162" s="244"/>
      <c r="AN162" s="244"/>
      <c r="AO162" s="238">
        <v>0.0</v>
      </c>
      <c r="AP162" s="238">
        <v>0.0</v>
      </c>
      <c r="AQ162" s="235" t="s">
        <v>632</v>
      </c>
      <c r="AR162" s="243">
        <v>1.68E11</v>
      </c>
      <c r="AS162" s="235" t="s">
        <v>1751</v>
      </c>
      <c r="AT162" s="235" t="s">
        <v>533</v>
      </c>
      <c r="AU162" s="235" t="s">
        <v>634</v>
      </c>
      <c r="AV162" s="246" t="s">
        <v>635</v>
      </c>
      <c r="AW162" s="242"/>
      <c r="AX162" s="242"/>
      <c r="AY162" s="231"/>
      <c r="AZ162" s="231"/>
      <c r="BA162" s="227"/>
      <c r="BB162" s="231"/>
      <c r="BC162" s="227"/>
      <c r="BD162" s="227"/>
      <c r="BE162" s="227"/>
      <c r="BF162" s="227"/>
    </row>
    <row r="163">
      <c r="A163" s="235" t="s">
        <v>1969</v>
      </c>
      <c r="C163" s="235" t="s">
        <v>1970</v>
      </c>
      <c r="D163" s="235" t="s">
        <v>1971</v>
      </c>
      <c r="E163" s="243">
        <v>6.57E13</v>
      </c>
      <c r="F163" s="244"/>
      <c r="G163" s="235" t="s">
        <v>1972</v>
      </c>
      <c r="H163" s="235" t="s">
        <v>1973</v>
      </c>
      <c r="I163" s="235" t="s">
        <v>1973</v>
      </c>
      <c r="J163" s="235" t="s">
        <v>1974</v>
      </c>
      <c r="K163" s="235" t="s">
        <v>1975</v>
      </c>
      <c r="N163" s="235" t="s">
        <v>90</v>
      </c>
      <c r="O163" s="235" t="s">
        <v>279</v>
      </c>
      <c r="P163" s="238">
        <v>1.0</v>
      </c>
      <c r="Q163" s="235" t="s">
        <v>627</v>
      </c>
      <c r="R163" s="238">
        <v>246.66</v>
      </c>
      <c r="S163" s="238">
        <v>12.34</v>
      </c>
      <c r="T163" s="238">
        <v>2.59</v>
      </c>
      <c r="U163" s="238">
        <v>0.12</v>
      </c>
      <c r="V163" s="238">
        <v>0.0</v>
      </c>
      <c r="W163" s="238">
        <v>0.0</v>
      </c>
      <c r="X163" s="235" t="s">
        <v>628</v>
      </c>
      <c r="Z163" s="244"/>
      <c r="AA163" s="244"/>
      <c r="AB163" s="244"/>
      <c r="AC163" s="235" t="s">
        <v>678</v>
      </c>
      <c r="AD163" s="235" t="s">
        <v>679</v>
      </c>
      <c r="AE163" s="238">
        <v>560097.0</v>
      </c>
      <c r="AF163" s="235" t="s">
        <v>631</v>
      </c>
      <c r="AG163" s="244"/>
      <c r="AH163" s="244"/>
      <c r="AI163" s="245"/>
      <c r="AJ163" s="245"/>
      <c r="AK163" s="245"/>
      <c r="AL163" s="245"/>
      <c r="AM163" s="244"/>
      <c r="AN163" s="244"/>
      <c r="AO163" s="238">
        <v>0.0</v>
      </c>
      <c r="AP163" s="238">
        <v>-2.59</v>
      </c>
      <c r="AQ163" s="235" t="s">
        <v>632</v>
      </c>
      <c r="AR163" s="243">
        <v>1.68E11</v>
      </c>
      <c r="AS163" s="235" t="s">
        <v>1751</v>
      </c>
      <c r="AT163" s="235" t="s">
        <v>11</v>
      </c>
      <c r="AU163" s="235" t="s">
        <v>634</v>
      </c>
      <c r="AV163" s="246" t="s">
        <v>635</v>
      </c>
      <c r="AW163" s="242"/>
      <c r="AX163" s="242"/>
      <c r="AY163" s="231"/>
      <c r="AZ163" s="231"/>
      <c r="BA163" s="227"/>
      <c r="BB163" s="231"/>
      <c r="BC163" s="227"/>
      <c r="BD163" s="227"/>
      <c r="BE163" s="227"/>
      <c r="BF163" s="227"/>
    </row>
    <row r="164">
      <c r="A164" s="235" t="s">
        <v>1976</v>
      </c>
      <c r="C164" s="235" t="s">
        <v>1977</v>
      </c>
      <c r="D164" s="235" t="s">
        <v>1978</v>
      </c>
      <c r="E164" s="243">
        <v>6.57E13</v>
      </c>
      <c r="F164" s="244"/>
      <c r="G164" s="235" t="s">
        <v>1979</v>
      </c>
      <c r="H164" s="235" t="s">
        <v>1980</v>
      </c>
      <c r="I164" s="235" t="s">
        <v>1980</v>
      </c>
      <c r="J164" s="235" t="s">
        <v>1981</v>
      </c>
      <c r="K164" s="235" t="s">
        <v>1982</v>
      </c>
      <c r="N164" s="235" t="s">
        <v>92</v>
      </c>
      <c r="O164" s="235" t="s">
        <v>248</v>
      </c>
      <c r="P164" s="238">
        <v>1.0</v>
      </c>
      <c r="Q164" s="235" t="s">
        <v>627</v>
      </c>
      <c r="R164" s="238">
        <v>246.67</v>
      </c>
      <c r="S164" s="238">
        <v>12.33</v>
      </c>
      <c r="T164" s="238">
        <v>38.1</v>
      </c>
      <c r="U164" s="238">
        <v>1.9</v>
      </c>
      <c r="V164" s="238">
        <v>0.0</v>
      </c>
      <c r="W164" s="238">
        <v>0.0</v>
      </c>
      <c r="X164" s="235" t="s">
        <v>628</v>
      </c>
      <c r="Z164" s="244"/>
      <c r="AA164" s="244"/>
      <c r="AB164" s="244"/>
      <c r="AC164" s="235" t="s">
        <v>1287</v>
      </c>
      <c r="AD164" s="235" t="s">
        <v>630</v>
      </c>
      <c r="AE164" s="238">
        <v>201001.0</v>
      </c>
      <c r="AF164" s="235" t="s">
        <v>631</v>
      </c>
      <c r="AG164" s="244"/>
      <c r="AH164" s="244"/>
      <c r="AI164" s="245"/>
      <c r="AJ164" s="245"/>
      <c r="AK164" s="245"/>
      <c r="AL164" s="245"/>
      <c r="AM164" s="244"/>
      <c r="AN164" s="244"/>
      <c r="AO164" s="238">
        <v>0.0</v>
      </c>
      <c r="AP164" s="238">
        <v>-38.1</v>
      </c>
      <c r="AQ164" s="235" t="s">
        <v>632</v>
      </c>
      <c r="AR164" s="243">
        <v>3.71E11</v>
      </c>
      <c r="AS164" s="235" t="s">
        <v>667</v>
      </c>
      <c r="AT164" s="235" t="s">
        <v>533</v>
      </c>
      <c r="AU164" s="235" t="s">
        <v>634</v>
      </c>
      <c r="AV164" s="246" t="s">
        <v>635</v>
      </c>
      <c r="AW164" s="242"/>
      <c r="AX164" s="242"/>
      <c r="AY164" s="231"/>
      <c r="AZ164" s="231"/>
      <c r="BA164" s="227"/>
      <c r="BB164" s="231"/>
      <c r="BC164" s="227"/>
      <c r="BD164" s="227"/>
      <c r="BE164" s="227"/>
      <c r="BF164" s="227"/>
    </row>
    <row r="165">
      <c r="A165" s="235" t="s">
        <v>1983</v>
      </c>
      <c r="C165" s="235" t="s">
        <v>1984</v>
      </c>
      <c r="D165" s="235" t="s">
        <v>1985</v>
      </c>
      <c r="E165" s="243">
        <v>6.57E13</v>
      </c>
      <c r="F165" s="244"/>
      <c r="G165" s="235" t="s">
        <v>1986</v>
      </c>
      <c r="H165" s="235" t="s">
        <v>1987</v>
      </c>
      <c r="I165" s="235" t="s">
        <v>1987</v>
      </c>
      <c r="J165" s="235" t="s">
        <v>1988</v>
      </c>
      <c r="K165" s="235" t="s">
        <v>1989</v>
      </c>
      <c r="N165" s="235" t="s">
        <v>71</v>
      </c>
      <c r="O165" s="235" t="s">
        <v>240</v>
      </c>
      <c r="P165" s="238">
        <v>1.0</v>
      </c>
      <c r="Q165" s="235" t="s">
        <v>627</v>
      </c>
      <c r="R165" s="238">
        <v>246.66</v>
      </c>
      <c r="S165" s="238">
        <v>12.1</v>
      </c>
      <c r="T165" s="238">
        <v>0.0</v>
      </c>
      <c r="U165" s="238">
        <v>0.0</v>
      </c>
      <c r="V165" s="238">
        <v>0.0</v>
      </c>
      <c r="W165" s="238">
        <v>0.0</v>
      </c>
      <c r="X165" s="235" t="s">
        <v>628</v>
      </c>
      <c r="Z165" s="244"/>
      <c r="AA165" s="244"/>
      <c r="AB165" s="244"/>
      <c r="AC165" s="235" t="s">
        <v>1320</v>
      </c>
      <c r="AD165" s="235" t="s">
        <v>666</v>
      </c>
      <c r="AE165" s="238">
        <v>600042.0</v>
      </c>
      <c r="AF165" s="235" t="s">
        <v>631</v>
      </c>
      <c r="AG165" s="244"/>
      <c r="AH165" s="244"/>
      <c r="AI165" s="245"/>
      <c r="AJ165" s="245"/>
      <c r="AK165" s="245"/>
      <c r="AL165" s="245"/>
      <c r="AM165" s="244"/>
      <c r="AN165" s="244"/>
      <c r="AO165" s="238">
        <v>-4.94</v>
      </c>
      <c r="AP165" s="238">
        <v>0.0</v>
      </c>
      <c r="AQ165" s="235" t="s">
        <v>632</v>
      </c>
      <c r="AR165" s="243">
        <v>1.68E11</v>
      </c>
      <c r="AS165" s="235" t="s">
        <v>1751</v>
      </c>
      <c r="AT165" s="235" t="s">
        <v>156</v>
      </c>
      <c r="AU165" s="235" t="s">
        <v>634</v>
      </c>
      <c r="AV165" s="246" t="s">
        <v>635</v>
      </c>
      <c r="AW165" s="242"/>
      <c r="AX165" s="242"/>
      <c r="AY165" s="231"/>
      <c r="AZ165" s="231"/>
      <c r="BA165" s="227"/>
      <c r="BB165" s="231"/>
      <c r="BC165" s="227"/>
      <c r="BD165" s="227"/>
      <c r="BE165" s="227"/>
      <c r="BF165" s="227"/>
    </row>
    <row r="166">
      <c r="A166" s="235" t="s">
        <v>1991</v>
      </c>
      <c r="C166" s="235" t="s">
        <v>1992</v>
      </c>
      <c r="D166" s="235" t="s">
        <v>1993</v>
      </c>
      <c r="E166" s="243">
        <v>6.57E13</v>
      </c>
      <c r="F166" s="244"/>
      <c r="G166" s="235" t="s">
        <v>1994</v>
      </c>
      <c r="H166" s="235" t="s">
        <v>1995</v>
      </c>
      <c r="I166" s="235" t="s">
        <v>1995</v>
      </c>
      <c r="J166" s="235" t="s">
        <v>1996</v>
      </c>
      <c r="K166" s="235" t="s">
        <v>1997</v>
      </c>
      <c r="N166" s="235" t="s">
        <v>138</v>
      </c>
      <c r="O166" s="235" t="s">
        <v>675</v>
      </c>
      <c r="P166" s="238">
        <v>1.0</v>
      </c>
      <c r="Q166" s="235" t="s">
        <v>627</v>
      </c>
      <c r="R166" s="238">
        <v>246.66</v>
      </c>
      <c r="S166" s="238">
        <v>12.34</v>
      </c>
      <c r="T166" s="238">
        <v>0.0</v>
      </c>
      <c r="U166" s="238">
        <v>0.0</v>
      </c>
      <c r="V166" s="238">
        <v>0.0</v>
      </c>
      <c r="W166" s="238">
        <v>0.0</v>
      </c>
      <c r="X166" s="235" t="s">
        <v>628</v>
      </c>
      <c r="Z166" s="244"/>
      <c r="AA166" s="244"/>
      <c r="AB166" s="244"/>
      <c r="AC166" s="235" t="s">
        <v>1998</v>
      </c>
      <c r="AD166" s="235" t="s">
        <v>928</v>
      </c>
      <c r="AE166" s="238">
        <v>121003.0</v>
      </c>
      <c r="AF166" s="235" t="s">
        <v>631</v>
      </c>
      <c r="AG166" s="244"/>
      <c r="AH166" s="244"/>
      <c r="AI166" s="245"/>
      <c r="AJ166" s="245"/>
      <c r="AK166" s="245"/>
      <c r="AL166" s="245"/>
      <c r="AM166" s="244"/>
      <c r="AN166" s="244"/>
      <c r="AO166" s="238">
        <v>0.0</v>
      </c>
      <c r="AP166" s="238">
        <v>0.0</v>
      </c>
      <c r="AQ166" s="235" t="s">
        <v>632</v>
      </c>
      <c r="AR166" s="243">
        <v>3.71E11</v>
      </c>
      <c r="AS166" s="235" t="s">
        <v>1367</v>
      </c>
      <c r="AT166" s="235" t="s">
        <v>533</v>
      </c>
      <c r="AU166" s="235" t="s">
        <v>634</v>
      </c>
      <c r="AV166" s="246" t="s">
        <v>635</v>
      </c>
      <c r="AW166" s="242"/>
      <c r="AX166" s="242"/>
      <c r="AY166" s="231"/>
      <c r="AZ166" s="231"/>
      <c r="BA166" s="227"/>
      <c r="BB166" s="231"/>
      <c r="BC166" s="227"/>
      <c r="BD166" s="227"/>
      <c r="BE166" s="227"/>
      <c r="BF166" s="227"/>
    </row>
    <row r="167">
      <c r="A167" s="235" t="s">
        <v>1999</v>
      </c>
      <c r="C167" s="235" t="s">
        <v>2000</v>
      </c>
      <c r="D167" s="235" t="s">
        <v>2001</v>
      </c>
      <c r="E167" s="243">
        <v>6.57E13</v>
      </c>
      <c r="F167" s="244"/>
      <c r="G167" s="235" t="s">
        <v>2002</v>
      </c>
      <c r="H167" s="235" t="s">
        <v>2003</v>
      </c>
      <c r="I167" s="235" t="s">
        <v>2003</v>
      </c>
      <c r="J167" s="235" t="s">
        <v>2004</v>
      </c>
      <c r="K167" s="235" t="s">
        <v>2005</v>
      </c>
      <c r="N167" s="235" t="s">
        <v>68</v>
      </c>
      <c r="O167" s="235" t="s">
        <v>208</v>
      </c>
      <c r="P167" s="238">
        <v>1.0</v>
      </c>
      <c r="Q167" s="235" t="s">
        <v>627</v>
      </c>
      <c r="R167" s="238">
        <v>246.67</v>
      </c>
      <c r="S167" s="238">
        <v>12.33</v>
      </c>
      <c r="T167" s="238">
        <v>0.0</v>
      </c>
      <c r="U167" s="238">
        <v>0.0</v>
      </c>
      <c r="V167" s="238">
        <v>0.0</v>
      </c>
      <c r="W167" s="238">
        <v>0.0</v>
      </c>
      <c r="X167" s="235" t="s">
        <v>628</v>
      </c>
      <c r="Z167" s="244"/>
      <c r="AA167" s="244"/>
      <c r="AB167" s="244"/>
      <c r="AC167" s="235" t="s">
        <v>697</v>
      </c>
      <c r="AD167" s="235" t="s">
        <v>698</v>
      </c>
      <c r="AE167" s="238">
        <v>500075.0</v>
      </c>
      <c r="AF167" s="235" t="s">
        <v>631</v>
      </c>
      <c r="AG167" s="244"/>
      <c r="AH167" s="244"/>
      <c r="AI167" s="245"/>
      <c r="AJ167" s="245"/>
      <c r="AK167" s="245"/>
      <c r="AL167" s="245"/>
      <c r="AM167" s="244"/>
      <c r="AN167" s="244"/>
      <c r="AO167" s="238">
        <v>0.0</v>
      </c>
      <c r="AP167" s="238">
        <v>0.0</v>
      </c>
      <c r="AQ167" s="235" t="s">
        <v>632</v>
      </c>
      <c r="AR167" s="243">
        <v>3.71E11</v>
      </c>
      <c r="AS167" s="235" t="s">
        <v>667</v>
      </c>
      <c r="AT167" s="235" t="s">
        <v>11</v>
      </c>
      <c r="AU167" s="235" t="s">
        <v>634</v>
      </c>
      <c r="AV167" s="246" t="s">
        <v>635</v>
      </c>
      <c r="AW167" s="242"/>
      <c r="AX167" s="242"/>
      <c r="AY167" s="231"/>
      <c r="AZ167" s="231"/>
      <c r="BA167" s="227"/>
      <c r="BB167" s="231"/>
      <c r="BC167" s="227"/>
      <c r="BD167" s="227"/>
      <c r="BE167" s="227"/>
      <c r="BF167" s="227"/>
    </row>
    <row r="168">
      <c r="A168" s="235" t="s">
        <v>2006</v>
      </c>
      <c r="C168" s="235" t="s">
        <v>2007</v>
      </c>
      <c r="D168" s="235" t="s">
        <v>2008</v>
      </c>
      <c r="E168" s="243">
        <v>6.57E13</v>
      </c>
      <c r="F168" s="244"/>
      <c r="G168" s="235" t="s">
        <v>2009</v>
      </c>
      <c r="H168" s="235" t="s">
        <v>2010</v>
      </c>
      <c r="I168" s="235" t="s">
        <v>2010</v>
      </c>
      <c r="J168" s="235" t="s">
        <v>2011</v>
      </c>
      <c r="K168" s="235" t="s">
        <v>2012</v>
      </c>
      <c r="N168" s="235" t="s">
        <v>98</v>
      </c>
      <c r="O168" s="235" t="s">
        <v>357</v>
      </c>
      <c r="P168" s="238">
        <v>1.0</v>
      </c>
      <c r="Q168" s="235" t="s">
        <v>627</v>
      </c>
      <c r="R168" s="238">
        <v>0.0</v>
      </c>
      <c r="S168" s="238">
        <v>0.0</v>
      </c>
      <c r="T168" s="238">
        <v>0.0</v>
      </c>
      <c r="U168" s="238">
        <v>0.0</v>
      </c>
      <c r="V168" s="238">
        <v>0.0</v>
      </c>
      <c r="W168" s="238">
        <v>0.0</v>
      </c>
      <c r="X168" s="235" t="s">
        <v>628</v>
      </c>
      <c r="Z168" s="244"/>
      <c r="AA168" s="244"/>
      <c r="AB168" s="244"/>
      <c r="AC168" s="235" t="s">
        <v>1998</v>
      </c>
      <c r="AD168" s="235" t="s">
        <v>928</v>
      </c>
      <c r="AE168" s="238">
        <v>121002.0</v>
      </c>
      <c r="AF168" s="235" t="s">
        <v>631</v>
      </c>
      <c r="AG168" s="244"/>
      <c r="AH168" s="244"/>
      <c r="AI168" s="245"/>
      <c r="AJ168" s="245"/>
      <c r="AK168" s="245"/>
      <c r="AL168" s="245"/>
      <c r="AM168" s="244"/>
      <c r="AN168" s="244"/>
      <c r="AO168" s="238">
        <v>0.0</v>
      </c>
      <c r="AP168" s="238">
        <v>0.0</v>
      </c>
      <c r="AQ168" s="235" t="s">
        <v>632</v>
      </c>
      <c r="AR168" s="243">
        <v>3.71E11</v>
      </c>
      <c r="AS168" s="235" t="s">
        <v>1367</v>
      </c>
      <c r="AT168" s="235" t="s">
        <v>14</v>
      </c>
      <c r="AU168" s="235" t="s">
        <v>634</v>
      </c>
      <c r="AV168" s="246" t="s">
        <v>635</v>
      </c>
      <c r="AW168" s="242"/>
      <c r="AX168" s="242"/>
      <c r="AY168" s="231"/>
      <c r="AZ168" s="231"/>
      <c r="BA168" s="227"/>
      <c r="BB168" s="231"/>
      <c r="BC168" s="227"/>
      <c r="BD168" s="227"/>
      <c r="BE168" s="227"/>
      <c r="BF168" s="227"/>
    </row>
    <row r="169">
      <c r="A169" s="235" t="s">
        <v>2013</v>
      </c>
      <c r="C169" s="235" t="s">
        <v>2014</v>
      </c>
      <c r="D169" s="235" t="s">
        <v>2015</v>
      </c>
      <c r="E169" s="243">
        <v>6.57E13</v>
      </c>
      <c r="F169" s="244"/>
      <c r="G169" s="235" t="s">
        <v>2016</v>
      </c>
      <c r="H169" s="235" t="s">
        <v>2017</v>
      </c>
      <c r="I169" s="235" t="s">
        <v>2017</v>
      </c>
      <c r="J169" s="235" t="s">
        <v>2018</v>
      </c>
      <c r="K169" s="235" t="s">
        <v>2019</v>
      </c>
      <c r="N169" s="235" t="s">
        <v>127</v>
      </c>
      <c r="O169" s="235" t="s">
        <v>794</v>
      </c>
      <c r="P169" s="238">
        <v>1.0</v>
      </c>
      <c r="Q169" s="235" t="s">
        <v>627</v>
      </c>
      <c r="R169" s="238">
        <v>246.66</v>
      </c>
      <c r="S169" s="238">
        <v>12.34</v>
      </c>
      <c r="T169" s="238">
        <v>18.1</v>
      </c>
      <c r="U169" s="238">
        <v>0.9</v>
      </c>
      <c r="V169" s="238">
        <v>0.0</v>
      </c>
      <c r="W169" s="238">
        <v>0.0</v>
      </c>
      <c r="X169" s="235" t="s">
        <v>628</v>
      </c>
      <c r="Z169" s="244"/>
      <c r="AA169" s="244"/>
      <c r="AB169" s="244"/>
      <c r="AC169" s="235" t="s">
        <v>844</v>
      </c>
      <c r="AD169" s="235" t="s">
        <v>845</v>
      </c>
      <c r="AE169" s="238">
        <v>411045.0</v>
      </c>
      <c r="AF169" s="235" t="s">
        <v>631</v>
      </c>
      <c r="AG169" s="244"/>
      <c r="AH169" s="244"/>
      <c r="AI169" s="245"/>
      <c r="AJ169" s="245"/>
      <c r="AK169" s="245"/>
      <c r="AL169" s="245"/>
      <c r="AM169" s="244"/>
      <c r="AN169" s="244"/>
      <c r="AO169" s="238">
        <v>0.0</v>
      </c>
      <c r="AP169" s="238">
        <v>-18.1</v>
      </c>
      <c r="AQ169" s="235" t="s">
        <v>632</v>
      </c>
      <c r="AR169" s="243">
        <v>1.68E11</v>
      </c>
      <c r="AS169" s="235" t="s">
        <v>1751</v>
      </c>
      <c r="AT169" s="235" t="s">
        <v>546</v>
      </c>
      <c r="AU169" s="235" t="s">
        <v>634</v>
      </c>
      <c r="AV169" s="246" t="s">
        <v>635</v>
      </c>
      <c r="AW169" s="242"/>
      <c r="AX169" s="242"/>
      <c r="AY169" s="231"/>
      <c r="AZ169" s="231"/>
      <c r="BA169" s="227"/>
      <c r="BB169" s="231"/>
      <c r="BC169" s="227"/>
      <c r="BD169" s="227"/>
      <c r="BE169" s="227"/>
      <c r="BF169" s="227"/>
    </row>
    <row r="170">
      <c r="A170" s="235" t="s">
        <v>2020</v>
      </c>
      <c r="C170" s="235" t="s">
        <v>2021</v>
      </c>
      <c r="D170" s="235" t="s">
        <v>2022</v>
      </c>
      <c r="E170" s="243">
        <v>6.57E13</v>
      </c>
      <c r="F170" s="244"/>
      <c r="G170" s="235" t="s">
        <v>2023</v>
      </c>
      <c r="H170" s="235" t="s">
        <v>2024</v>
      </c>
      <c r="I170" s="235" t="s">
        <v>2024</v>
      </c>
      <c r="J170" s="235" t="s">
        <v>2025</v>
      </c>
      <c r="K170" s="235" t="s">
        <v>2026</v>
      </c>
      <c r="N170" s="235" t="s">
        <v>842</v>
      </c>
      <c r="O170" s="235" t="s">
        <v>843</v>
      </c>
      <c r="P170" s="238">
        <v>1.0</v>
      </c>
      <c r="Q170" s="235" t="s">
        <v>627</v>
      </c>
      <c r="R170" s="238">
        <v>246.67</v>
      </c>
      <c r="S170" s="238">
        <v>12.33</v>
      </c>
      <c r="T170" s="238">
        <v>94.29</v>
      </c>
      <c r="U170" s="238">
        <v>4.71</v>
      </c>
      <c r="V170" s="238">
        <v>0.0</v>
      </c>
      <c r="W170" s="238">
        <v>0.0</v>
      </c>
      <c r="X170" s="235" t="s">
        <v>628</v>
      </c>
      <c r="Z170" s="244"/>
      <c r="AA170" s="244"/>
      <c r="AB170" s="244"/>
      <c r="AC170" s="235" t="s">
        <v>795</v>
      </c>
      <c r="AD170" s="235" t="s">
        <v>796</v>
      </c>
      <c r="AE170" s="238">
        <v>110019.0</v>
      </c>
      <c r="AF170" s="235" t="s">
        <v>631</v>
      </c>
      <c r="AG170" s="244"/>
      <c r="AH170" s="244"/>
      <c r="AI170" s="245"/>
      <c r="AJ170" s="245"/>
      <c r="AK170" s="245"/>
      <c r="AL170" s="245"/>
      <c r="AM170" s="244"/>
      <c r="AN170" s="244"/>
      <c r="AO170" s="238">
        <v>0.0</v>
      </c>
      <c r="AP170" s="238">
        <v>-94.29</v>
      </c>
      <c r="AQ170" s="235" t="s">
        <v>632</v>
      </c>
      <c r="AR170" s="243">
        <v>1.68E11</v>
      </c>
      <c r="AS170" s="235" t="s">
        <v>1751</v>
      </c>
      <c r="AT170" s="235" t="s">
        <v>533</v>
      </c>
      <c r="AU170" s="235" t="s">
        <v>634</v>
      </c>
      <c r="AV170" s="246" t="s">
        <v>635</v>
      </c>
      <c r="AW170" s="242"/>
      <c r="AX170" s="242"/>
      <c r="AY170" s="231"/>
      <c r="AZ170" s="231"/>
      <c r="BA170" s="227"/>
      <c r="BB170" s="231"/>
      <c r="BC170" s="227"/>
      <c r="BD170" s="227"/>
      <c r="BE170" s="227"/>
      <c r="BF170" s="227"/>
    </row>
    <row r="171">
      <c r="A171" s="235" t="s">
        <v>2028</v>
      </c>
      <c r="C171" s="235" t="s">
        <v>2029</v>
      </c>
      <c r="D171" s="235" t="s">
        <v>2030</v>
      </c>
      <c r="E171" s="243">
        <v>6.57E13</v>
      </c>
      <c r="F171" s="244"/>
      <c r="G171" s="235" t="s">
        <v>2031</v>
      </c>
      <c r="H171" s="235" t="s">
        <v>2032</v>
      </c>
      <c r="I171" s="235" t="s">
        <v>2032</v>
      </c>
      <c r="J171" s="235" t="s">
        <v>2033</v>
      </c>
      <c r="K171" s="235" t="s">
        <v>2034</v>
      </c>
      <c r="N171" s="235" t="s">
        <v>98</v>
      </c>
      <c r="O171" s="235" t="s">
        <v>357</v>
      </c>
      <c r="P171" s="238">
        <v>1.0</v>
      </c>
      <c r="Q171" s="235" t="s">
        <v>627</v>
      </c>
      <c r="R171" s="238">
        <v>246.67</v>
      </c>
      <c r="S171" s="238">
        <v>12.33</v>
      </c>
      <c r="T171" s="238">
        <v>38.1</v>
      </c>
      <c r="U171" s="238">
        <v>1.9</v>
      </c>
      <c r="V171" s="238">
        <v>0.0</v>
      </c>
      <c r="W171" s="238">
        <v>0.0</v>
      </c>
      <c r="X171" s="235" t="s">
        <v>628</v>
      </c>
      <c r="Z171" s="244"/>
      <c r="AA171" s="244"/>
      <c r="AB171" s="244"/>
      <c r="AC171" s="235" t="s">
        <v>795</v>
      </c>
      <c r="AD171" s="235" t="s">
        <v>796</v>
      </c>
      <c r="AE171" s="238">
        <v>110085.0</v>
      </c>
      <c r="AF171" s="235" t="s">
        <v>631</v>
      </c>
      <c r="AG171" s="244"/>
      <c r="AH171" s="244"/>
      <c r="AI171" s="245"/>
      <c r="AJ171" s="245"/>
      <c r="AK171" s="245"/>
      <c r="AL171" s="245"/>
      <c r="AM171" s="244"/>
      <c r="AN171" s="244"/>
      <c r="AO171" s="238">
        <v>0.0</v>
      </c>
      <c r="AP171" s="238">
        <v>-38.1</v>
      </c>
      <c r="AQ171" s="235" t="s">
        <v>632</v>
      </c>
      <c r="AR171" s="243">
        <v>2.02E11</v>
      </c>
      <c r="AS171" s="235" t="s">
        <v>1367</v>
      </c>
      <c r="AT171" s="235" t="s">
        <v>9</v>
      </c>
      <c r="AU171" s="235" t="s">
        <v>634</v>
      </c>
      <c r="AV171" s="246" t="s">
        <v>635</v>
      </c>
      <c r="AW171" s="242"/>
      <c r="AX171" s="242"/>
      <c r="AY171" s="231"/>
      <c r="AZ171" s="231"/>
      <c r="BA171" s="227"/>
      <c r="BB171" s="231"/>
      <c r="BC171" s="227"/>
      <c r="BD171" s="227"/>
      <c r="BE171" s="227"/>
      <c r="BF171" s="227"/>
    </row>
    <row r="172">
      <c r="A172" s="235" t="s">
        <v>2035</v>
      </c>
      <c r="C172" s="235" t="s">
        <v>2036</v>
      </c>
      <c r="D172" s="235" t="s">
        <v>2037</v>
      </c>
      <c r="E172" s="243">
        <v>6.56E13</v>
      </c>
      <c r="F172" s="244"/>
      <c r="G172" s="235" t="s">
        <v>2038</v>
      </c>
      <c r="H172" s="235" t="s">
        <v>2039</v>
      </c>
      <c r="I172" s="235" t="s">
        <v>2039</v>
      </c>
      <c r="J172" s="235" t="s">
        <v>2040</v>
      </c>
      <c r="K172" s="235" t="s">
        <v>2041</v>
      </c>
      <c r="N172" s="235" t="s">
        <v>154</v>
      </c>
      <c r="O172" s="235" t="s">
        <v>766</v>
      </c>
      <c r="P172" s="238">
        <v>1.0</v>
      </c>
      <c r="Q172" s="235" t="s">
        <v>627</v>
      </c>
      <c r="R172" s="238">
        <v>465.71</v>
      </c>
      <c r="S172" s="238">
        <v>23.29</v>
      </c>
      <c r="T172" s="238">
        <v>0.0</v>
      </c>
      <c r="U172" s="238">
        <v>0.0</v>
      </c>
      <c r="V172" s="238">
        <v>0.0</v>
      </c>
      <c r="W172" s="238">
        <v>0.0</v>
      </c>
      <c r="X172" s="235" t="s">
        <v>628</v>
      </c>
      <c r="Z172" s="244"/>
      <c r="AA172" s="244"/>
      <c r="AB172" s="244"/>
      <c r="AC172" s="235" t="s">
        <v>1613</v>
      </c>
      <c r="AD172" s="235" t="s">
        <v>630</v>
      </c>
      <c r="AE172" s="238">
        <v>226010.0</v>
      </c>
      <c r="AF172" s="235" t="s">
        <v>631</v>
      </c>
      <c r="AG172" s="244"/>
      <c r="AH172" s="244"/>
      <c r="AI172" s="245"/>
      <c r="AJ172" s="245"/>
      <c r="AK172" s="245"/>
      <c r="AL172" s="245"/>
      <c r="AM172" s="244"/>
      <c r="AN172" s="244"/>
      <c r="AO172" s="238">
        <v>0.0</v>
      </c>
      <c r="AP172" s="238">
        <v>0.0</v>
      </c>
      <c r="AQ172" s="235" t="s">
        <v>632</v>
      </c>
      <c r="AR172" s="243">
        <v>2.02E11</v>
      </c>
      <c r="AS172" s="235" t="s">
        <v>1367</v>
      </c>
      <c r="AT172" s="235" t="s">
        <v>533</v>
      </c>
      <c r="AU172" s="235" t="s">
        <v>634</v>
      </c>
      <c r="AV172" s="246" t="s">
        <v>635</v>
      </c>
      <c r="AW172" s="242"/>
      <c r="AX172" s="242"/>
      <c r="AY172" s="231"/>
      <c r="AZ172" s="231"/>
      <c r="BA172" s="227"/>
      <c r="BB172" s="231"/>
      <c r="BC172" s="227"/>
      <c r="BD172" s="227"/>
      <c r="BE172" s="227"/>
      <c r="BF172" s="227"/>
    </row>
    <row r="173">
      <c r="A173" s="235" t="s">
        <v>2042</v>
      </c>
      <c r="C173" s="235" t="s">
        <v>2043</v>
      </c>
      <c r="D173" s="235" t="s">
        <v>2044</v>
      </c>
      <c r="E173" s="243">
        <v>6.57E13</v>
      </c>
      <c r="F173" s="244"/>
      <c r="G173" s="235" t="s">
        <v>2045</v>
      </c>
      <c r="H173" s="235" t="s">
        <v>2046</v>
      </c>
      <c r="I173" s="235" t="s">
        <v>2047</v>
      </c>
      <c r="J173" s="235" t="s">
        <v>2048</v>
      </c>
      <c r="K173" s="235" t="s">
        <v>2049</v>
      </c>
      <c r="N173" s="235" t="s">
        <v>43</v>
      </c>
      <c r="O173" s="235" t="s">
        <v>276</v>
      </c>
      <c r="P173" s="238">
        <v>1.0</v>
      </c>
      <c r="Q173" s="235" t="s">
        <v>627</v>
      </c>
      <c r="R173" s="238">
        <v>237.14</v>
      </c>
      <c r="S173" s="238">
        <v>11.86</v>
      </c>
      <c r="T173" s="238">
        <v>0.0</v>
      </c>
      <c r="U173" s="238">
        <v>0.0</v>
      </c>
      <c r="V173" s="238">
        <v>0.0</v>
      </c>
      <c r="W173" s="238">
        <v>0.0</v>
      </c>
      <c r="X173" s="235" t="s">
        <v>628</v>
      </c>
      <c r="Z173" s="244"/>
      <c r="AA173" s="244"/>
      <c r="AB173" s="244"/>
      <c r="AC173" s="235" t="s">
        <v>697</v>
      </c>
      <c r="AD173" s="235" t="s">
        <v>698</v>
      </c>
      <c r="AE173" s="238">
        <v>500032.0</v>
      </c>
      <c r="AF173" s="235" t="s">
        <v>631</v>
      </c>
      <c r="AG173" s="244"/>
      <c r="AH173" s="244"/>
      <c r="AI173" s="245"/>
      <c r="AJ173" s="245"/>
      <c r="AK173" s="245"/>
      <c r="AL173" s="245"/>
      <c r="AM173" s="244"/>
      <c r="AN173" s="244"/>
      <c r="AO173" s="238">
        <v>0.0</v>
      </c>
      <c r="AP173" s="238">
        <v>0.0</v>
      </c>
      <c r="AQ173" s="235" t="s">
        <v>632</v>
      </c>
      <c r="AR173" s="243">
        <v>2.02E11</v>
      </c>
      <c r="AS173" s="235" t="s">
        <v>1367</v>
      </c>
      <c r="AT173" s="235" t="s">
        <v>13</v>
      </c>
      <c r="AU173" s="235" t="s">
        <v>634</v>
      </c>
      <c r="AV173" s="246" t="s">
        <v>635</v>
      </c>
      <c r="AW173" s="242"/>
      <c r="AX173" s="242"/>
      <c r="AY173" s="231"/>
      <c r="AZ173" s="231"/>
      <c r="BA173" s="227"/>
      <c r="BB173" s="231"/>
      <c r="BC173" s="227"/>
      <c r="BD173" s="227"/>
      <c r="BE173" s="227"/>
      <c r="BF173" s="227"/>
    </row>
    <row r="174">
      <c r="A174" s="235" t="s">
        <v>2050</v>
      </c>
      <c r="C174" s="235" t="s">
        <v>2051</v>
      </c>
      <c r="D174" s="235" t="s">
        <v>2052</v>
      </c>
      <c r="E174" s="243">
        <v>6.57E13</v>
      </c>
      <c r="F174" s="244"/>
      <c r="G174" s="235" t="s">
        <v>2053</v>
      </c>
      <c r="H174" s="235" t="s">
        <v>2054</v>
      </c>
      <c r="I174" s="235" t="s">
        <v>2054</v>
      </c>
      <c r="J174" s="235" t="s">
        <v>2055</v>
      </c>
      <c r="K174" s="235" t="s">
        <v>2056</v>
      </c>
      <c r="N174" s="235" t="s">
        <v>726</v>
      </c>
      <c r="O174" s="235" t="s">
        <v>727</v>
      </c>
      <c r="P174" s="238">
        <v>1.0</v>
      </c>
      <c r="Q174" s="235" t="s">
        <v>627</v>
      </c>
      <c r="R174" s="238">
        <v>246.67</v>
      </c>
      <c r="S174" s="238">
        <v>12.33</v>
      </c>
      <c r="T174" s="238">
        <v>0.0</v>
      </c>
      <c r="U174" s="238">
        <v>0.0</v>
      </c>
      <c r="V174" s="238">
        <v>0.0</v>
      </c>
      <c r="W174" s="238">
        <v>0.0</v>
      </c>
      <c r="X174" s="235" t="s">
        <v>628</v>
      </c>
      <c r="Z174" s="244"/>
      <c r="AA174" s="244"/>
      <c r="AB174" s="244"/>
      <c r="AC174" s="235" t="s">
        <v>2057</v>
      </c>
      <c r="AD174" s="235" t="s">
        <v>698</v>
      </c>
      <c r="AE174" s="238">
        <v>500026.0</v>
      </c>
      <c r="AF174" s="235" t="s">
        <v>631</v>
      </c>
      <c r="AG174" s="244"/>
      <c r="AH174" s="244"/>
      <c r="AI174" s="245"/>
      <c r="AJ174" s="245"/>
      <c r="AK174" s="245"/>
      <c r="AL174" s="245"/>
      <c r="AM174" s="244"/>
      <c r="AN174" s="244"/>
      <c r="AO174" s="238">
        <v>0.0</v>
      </c>
      <c r="AP174" s="238">
        <v>0.0</v>
      </c>
      <c r="AQ174" s="235" t="s">
        <v>632</v>
      </c>
      <c r="AR174" s="243">
        <v>2.02E11</v>
      </c>
      <c r="AS174" s="235" t="s">
        <v>1367</v>
      </c>
      <c r="AT174" s="235" t="s">
        <v>156</v>
      </c>
      <c r="AU174" s="235" t="s">
        <v>634</v>
      </c>
      <c r="AV174" s="246" t="s">
        <v>635</v>
      </c>
      <c r="AW174" s="242"/>
      <c r="AX174" s="242"/>
      <c r="AY174" s="231"/>
      <c r="AZ174" s="231"/>
      <c r="BA174" s="227"/>
      <c r="BB174" s="231"/>
      <c r="BC174" s="227"/>
      <c r="BD174" s="227"/>
      <c r="BE174" s="227"/>
      <c r="BF174" s="227"/>
    </row>
    <row r="175">
      <c r="A175" s="235" t="s">
        <v>2058</v>
      </c>
      <c r="C175" s="235" t="s">
        <v>2059</v>
      </c>
      <c r="D175" s="235" t="s">
        <v>2060</v>
      </c>
      <c r="E175" s="243">
        <v>6.57E13</v>
      </c>
      <c r="F175" s="244"/>
      <c r="G175" s="235" t="s">
        <v>2061</v>
      </c>
      <c r="H175" s="235" t="s">
        <v>2062</v>
      </c>
      <c r="I175" s="235" t="s">
        <v>2062</v>
      </c>
      <c r="J175" s="235" t="s">
        <v>2063</v>
      </c>
      <c r="K175" s="235" t="s">
        <v>2064</v>
      </c>
      <c r="N175" s="235" t="s">
        <v>4</v>
      </c>
      <c r="O175" s="235" t="s">
        <v>1791</v>
      </c>
      <c r="P175" s="238">
        <v>1.0</v>
      </c>
      <c r="Q175" s="235" t="s">
        <v>627</v>
      </c>
      <c r="R175" s="238">
        <v>265.71</v>
      </c>
      <c r="S175" s="238">
        <v>13.29</v>
      </c>
      <c r="T175" s="238">
        <v>38.1</v>
      </c>
      <c r="U175" s="238">
        <v>1.9</v>
      </c>
      <c r="V175" s="238">
        <v>0.0</v>
      </c>
      <c r="W175" s="238">
        <v>0.0</v>
      </c>
      <c r="X175" s="235" t="s">
        <v>628</v>
      </c>
      <c r="Z175" s="244"/>
      <c r="AA175" s="244"/>
      <c r="AB175" s="244"/>
      <c r="AC175" s="235" t="s">
        <v>2066</v>
      </c>
      <c r="AD175" s="235" t="s">
        <v>2067</v>
      </c>
      <c r="AE175" s="238">
        <v>828402.0</v>
      </c>
      <c r="AF175" s="235" t="s">
        <v>631</v>
      </c>
      <c r="AG175" s="244"/>
      <c r="AH175" s="244"/>
      <c r="AI175" s="245"/>
      <c r="AJ175" s="245"/>
      <c r="AK175" s="245"/>
      <c r="AL175" s="245"/>
      <c r="AM175" s="244"/>
      <c r="AN175" s="244"/>
      <c r="AO175" s="238">
        <v>0.0</v>
      </c>
      <c r="AP175" s="238">
        <v>-38.1</v>
      </c>
      <c r="AQ175" s="235" t="s">
        <v>632</v>
      </c>
      <c r="AR175" s="243">
        <v>3.71E11</v>
      </c>
      <c r="AS175" s="235" t="s">
        <v>1329</v>
      </c>
      <c r="AT175" s="235" t="s">
        <v>13</v>
      </c>
      <c r="AU175" s="235" t="s">
        <v>634</v>
      </c>
      <c r="AV175" s="246" t="s">
        <v>635</v>
      </c>
      <c r="AW175" s="242"/>
      <c r="AX175" s="242"/>
      <c r="AY175" s="231"/>
      <c r="AZ175" s="231"/>
      <c r="BA175" s="227"/>
      <c r="BB175" s="231"/>
      <c r="BC175" s="227"/>
      <c r="BD175" s="227"/>
      <c r="BE175" s="227"/>
      <c r="BF175" s="227"/>
    </row>
    <row r="176">
      <c r="A176" s="235" t="s">
        <v>2068</v>
      </c>
      <c r="C176" s="235" t="s">
        <v>2069</v>
      </c>
      <c r="D176" s="235" t="s">
        <v>2070</v>
      </c>
      <c r="E176" s="243">
        <v>6.57E13</v>
      </c>
      <c r="F176" s="244"/>
      <c r="G176" s="235" t="s">
        <v>2071</v>
      </c>
      <c r="H176" s="235" t="s">
        <v>2072</v>
      </c>
      <c r="I176" s="235" t="s">
        <v>2072</v>
      </c>
      <c r="J176" s="235" t="s">
        <v>2073</v>
      </c>
      <c r="K176" s="235" t="s">
        <v>2074</v>
      </c>
      <c r="N176" s="235" t="s">
        <v>154</v>
      </c>
      <c r="O176" s="235" t="s">
        <v>766</v>
      </c>
      <c r="P176" s="238">
        <v>1.0</v>
      </c>
      <c r="Q176" s="235" t="s">
        <v>627</v>
      </c>
      <c r="R176" s="238">
        <v>465.72</v>
      </c>
      <c r="S176" s="238">
        <v>23.28</v>
      </c>
      <c r="T176" s="238">
        <v>0.0</v>
      </c>
      <c r="U176" s="238">
        <v>0.0</v>
      </c>
      <c r="V176" s="238">
        <v>0.0</v>
      </c>
      <c r="W176" s="238">
        <v>0.0</v>
      </c>
      <c r="X176" s="235" t="s">
        <v>628</v>
      </c>
      <c r="Z176" s="244"/>
      <c r="AA176" s="244"/>
      <c r="AB176" s="244"/>
      <c r="AC176" s="235" t="s">
        <v>1320</v>
      </c>
      <c r="AD176" s="235" t="s">
        <v>666</v>
      </c>
      <c r="AE176" s="238">
        <v>600125.0</v>
      </c>
      <c r="AF176" s="235" t="s">
        <v>631</v>
      </c>
      <c r="AG176" s="244"/>
      <c r="AH176" s="244"/>
      <c r="AI176" s="245"/>
      <c r="AJ176" s="245"/>
      <c r="AK176" s="245"/>
      <c r="AL176" s="245"/>
      <c r="AM176" s="244"/>
      <c r="AN176" s="244"/>
      <c r="AO176" s="238">
        <v>0.0</v>
      </c>
      <c r="AP176" s="238">
        <v>0.0</v>
      </c>
      <c r="AQ176" s="235" t="s">
        <v>632</v>
      </c>
      <c r="AR176" s="243">
        <v>3.71E11</v>
      </c>
      <c r="AS176" s="235" t="s">
        <v>667</v>
      </c>
      <c r="AT176" s="235" t="s">
        <v>156</v>
      </c>
      <c r="AU176" s="235" t="s">
        <v>634</v>
      </c>
      <c r="AV176" s="246" t="s">
        <v>635</v>
      </c>
      <c r="AW176" s="242"/>
      <c r="AX176" s="242"/>
      <c r="AY176" s="231"/>
      <c r="AZ176" s="231"/>
      <c r="BA176" s="227"/>
      <c r="BB176" s="231"/>
      <c r="BC176" s="227"/>
      <c r="BD176" s="227"/>
      <c r="BE176" s="227"/>
      <c r="BF176" s="227"/>
    </row>
    <row r="177">
      <c r="A177" s="235" t="s">
        <v>2075</v>
      </c>
      <c r="C177" s="235" t="s">
        <v>2076</v>
      </c>
      <c r="D177" s="235" t="s">
        <v>2077</v>
      </c>
      <c r="E177" s="243">
        <v>6.57E13</v>
      </c>
      <c r="F177" s="244"/>
      <c r="G177" s="235" t="s">
        <v>2078</v>
      </c>
      <c r="H177" s="235" t="s">
        <v>2079</v>
      </c>
      <c r="I177" s="235" t="s">
        <v>2079</v>
      </c>
      <c r="J177" s="235" t="s">
        <v>2080</v>
      </c>
      <c r="K177" s="235" t="s">
        <v>2081</v>
      </c>
      <c r="N177" s="235" t="s">
        <v>726</v>
      </c>
      <c r="O177" s="235" t="s">
        <v>727</v>
      </c>
      <c r="P177" s="238">
        <v>1.0</v>
      </c>
      <c r="Q177" s="235" t="s">
        <v>627</v>
      </c>
      <c r="R177" s="238">
        <v>246.66</v>
      </c>
      <c r="S177" s="238">
        <v>12.34</v>
      </c>
      <c r="T177" s="238">
        <v>18.1</v>
      </c>
      <c r="U177" s="238">
        <v>0.9</v>
      </c>
      <c r="V177" s="238">
        <v>0.0</v>
      </c>
      <c r="W177" s="238">
        <v>0.0</v>
      </c>
      <c r="X177" s="235" t="s">
        <v>628</v>
      </c>
      <c r="Z177" s="244"/>
      <c r="AA177" s="244"/>
      <c r="AB177" s="244"/>
      <c r="AC177" s="235" t="s">
        <v>1058</v>
      </c>
      <c r="AD177" s="235" t="s">
        <v>845</v>
      </c>
      <c r="AE177" s="238">
        <v>400072.0</v>
      </c>
      <c r="AF177" s="235" t="s">
        <v>631</v>
      </c>
      <c r="AG177" s="244"/>
      <c r="AH177" s="244"/>
      <c r="AI177" s="245"/>
      <c r="AJ177" s="245"/>
      <c r="AK177" s="245"/>
      <c r="AL177" s="245"/>
      <c r="AM177" s="244"/>
      <c r="AN177" s="244"/>
      <c r="AO177" s="238">
        <v>0.0</v>
      </c>
      <c r="AP177" s="238">
        <v>-18.1</v>
      </c>
      <c r="AQ177" s="235" t="s">
        <v>632</v>
      </c>
      <c r="AR177" s="243">
        <v>1.68E11</v>
      </c>
      <c r="AS177" s="235" t="s">
        <v>1751</v>
      </c>
      <c r="AT177" s="235" t="s">
        <v>16</v>
      </c>
      <c r="AU177" s="235" t="s">
        <v>634</v>
      </c>
      <c r="AV177" s="246" t="s">
        <v>635</v>
      </c>
      <c r="AW177" s="242"/>
      <c r="AX177" s="242"/>
      <c r="AY177" s="231"/>
      <c r="AZ177" s="231"/>
      <c r="BA177" s="227"/>
      <c r="BB177" s="231"/>
      <c r="BC177" s="227"/>
      <c r="BD177" s="227"/>
      <c r="BE177" s="227"/>
      <c r="BF177" s="227"/>
    </row>
    <row r="178">
      <c r="A178" s="235" t="s">
        <v>2082</v>
      </c>
      <c r="C178" s="235" t="s">
        <v>2083</v>
      </c>
      <c r="D178" s="235" t="s">
        <v>2084</v>
      </c>
      <c r="E178" s="243">
        <v>6.57E13</v>
      </c>
      <c r="F178" s="244"/>
      <c r="G178" s="235" t="s">
        <v>2086</v>
      </c>
      <c r="H178" s="235" t="s">
        <v>2087</v>
      </c>
      <c r="I178" s="235" t="s">
        <v>2088</v>
      </c>
      <c r="J178" s="235" t="s">
        <v>2089</v>
      </c>
      <c r="K178" s="235" t="s">
        <v>2090</v>
      </c>
      <c r="N178" s="235" t="s">
        <v>139</v>
      </c>
      <c r="O178" s="235" t="s">
        <v>2091</v>
      </c>
      <c r="P178" s="238">
        <v>1.0</v>
      </c>
      <c r="Q178" s="235" t="s">
        <v>627</v>
      </c>
      <c r="R178" s="238">
        <v>246.66</v>
      </c>
      <c r="S178" s="238">
        <v>12.34</v>
      </c>
      <c r="T178" s="238">
        <v>0.0</v>
      </c>
      <c r="U178" s="238">
        <v>0.0</v>
      </c>
      <c r="V178" s="238">
        <v>0.0</v>
      </c>
      <c r="W178" s="238">
        <v>0.0</v>
      </c>
      <c r="X178" s="235" t="s">
        <v>628</v>
      </c>
      <c r="Z178" s="244"/>
      <c r="AA178" s="244"/>
      <c r="AB178" s="244"/>
      <c r="AC178" s="235" t="s">
        <v>2092</v>
      </c>
      <c r="AD178" s="235" t="s">
        <v>845</v>
      </c>
      <c r="AE178" s="238">
        <v>412207.0</v>
      </c>
      <c r="AF178" s="235" t="s">
        <v>631</v>
      </c>
      <c r="AG178" s="244"/>
      <c r="AH178" s="244"/>
      <c r="AI178" s="245"/>
      <c r="AJ178" s="245"/>
      <c r="AK178" s="245"/>
      <c r="AL178" s="245"/>
      <c r="AM178" s="244"/>
      <c r="AN178" s="244"/>
      <c r="AO178" s="238">
        <v>0.0</v>
      </c>
      <c r="AP178" s="238">
        <v>0.0</v>
      </c>
      <c r="AQ178" s="235" t="s">
        <v>632</v>
      </c>
      <c r="AR178" s="243">
        <v>1.68E11</v>
      </c>
      <c r="AS178" s="235" t="s">
        <v>1751</v>
      </c>
      <c r="AT178" s="235" t="s">
        <v>546</v>
      </c>
      <c r="AU178" s="235" t="s">
        <v>634</v>
      </c>
      <c r="AV178" s="246" t="s">
        <v>635</v>
      </c>
      <c r="AW178" s="242"/>
      <c r="AX178" s="242"/>
      <c r="AY178" s="231"/>
      <c r="AZ178" s="231"/>
      <c r="BA178" s="227"/>
      <c r="BB178" s="231"/>
      <c r="BC178" s="227"/>
      <c r="BD178" s="227"/>
      <c r="BE178" s="227"/>
      <c r="BF178" s="227"/>
    </row>
    <row r="179">
      <c r="A179" s="235" t="s">
        <v>2093</v>
      </c>
      <c r="C179" s="235" t="s">
        <v>2094</v>
      </c>
      <c r="D179" s="235" t="s">
        <v>2095</v>
      </c>
      <c r="E179" s="243">
        <v>6.57E13</v>
      </c>
      <c r="F179" s="244"/>
      <c r="G179" s="235" t="s">
        <v>2096</v>
      </c>
      <c r="H179" s="235" t="s">
        <v>2097</v>
      </c>
      <c r="I179" s="235" t="s">
        <v>2097</v>
      </c>
      <c r="J179" s="235" t="s">
        <v>2098</v>
      </c>
      <c r="K179" s="235" t="s">
        <v>2099</v>
      </c>
      <c r="N179" s="235" t="s">
        <v>92</v>
      </c>
      <c r="O179" s="235" t="s">
        <v>248</v>
      </c>
      <c r="P179" s="238">
        <v>1.0</v>
      </c>
      <c r="Q179" s="235" t="s">
        <v>627</v>
      </c>
      <c r="R179" s="238">
        <v>246.66</v>
      </c>
      <c r="S179" s="238">
        <v>12.34</v>
      </c>
      <c r="T179" s="238">
        <v>0.0</v>
      </c>
      <c r="U179" s="238">
        <v>0.0</v>
      </c>
      <c r="V179" s="238">
        <v>0.0</v>
      </c>
      <c r="W179" s="238">
        <v>0.0</v>
      </c>
      <c r="X179" s="235" t="s">
        <v>628</v>
      </c>
      <c r="Z179" s="244"/>
      <c r="AA179" s="244"/>
      <c r="AB179" s="244"/>
      <c r="AC179" s="235" t="s">
        <v>678</v>
      </c>
      <c r="AD179" s="235" t="s">
        <v>679</v>
      </c>
      <c r="AE179" s="238">
        <v>560068.0</v>
      </c>
      <c r="AF179" s="235" t="s">
        <v>631</v>
      </c>
      <c r="AG179" s="244"/>
      <c r="AH179" s="244"/>
      <c r="AI179" s="245"/>
      <c r="AJ179" s="245"/>
      <c r="AK179" s="245"/>
      <c r="AL179" s="245"/>
      <c r="AM179" s="244"/>
      <c r="AN179" s="244"/>
      <c r="AO179" s="238">
        <v>0.0</v>
      </c>
      <c r="AP179" s="238">
        <v>0.0</v>
      </c>
      <c r="AQ179" s="235" t="s">
        <v>632</v>
      </c>
      <c r="AR179" s="243">
        <v>1.68E11</v>
      </c>
      <c r="AS179" s="235" t="s">
        <v>1751</v>
      </c>
      <c r="AT179" s="235" t="s">
        <v>11</v>
      </c>
      <c r="AU179" s="235" t="s">
        <v>634</v>
      </c>
      <c r="AV179" s="246" t="s">
        <v>635</v>
      </c>
      <c r="AW179" s="242"/>
      <c r="AX179" s="242"/>
      <c r="AY179" s="231"/>
      <c r="AZ179" s="231"/>
      <c r="BA179" s="227"/>
      <c r="BB179" s="231"/>
      <c r="BC179" s="227"/>
      <c r="BD179" s="227"/>
      <c r="BE179" s="227"/>
      <c r="BF179" s="227"/>
    </row>
    <row r="180">
      <c r="A180" s="235" t="s">
        <v>2100</v>
      </c>
      <c r="C180" s="235" t="s">
        <v>2101</v>
      </c>
      <c r="D180" s="235" t="s">
        <v>2102</v>
      </c>
      <c r="E180" s="243">
        <v>6.57E13</v>
      </c>
      <c r="F180" s="244"/>
      <c r="G180" s="235" t="s">
        <v>2103</v>
      </c>
      <c r="H180" s="235" t="s">
        <v>2104</v>
      </c>
      <c r="I180" s="235" t="s">
        <v>2104</v>
      </c>
      <c r="J180" s="235" t="s">
        <v>2105</v>
      </c>
      <c r="K180" s="235" t="s">
        <v>2106</v>
      </c>
      <c r="N180" s="235" t="s">
        <v>51</v>
      </c>
      <c r="O180" s="235" t="s">
        <v>273</v>
      </c>
      <c r="P180" s="238">
        <v>1.0</v>
      </c>
      <c r="Q180" s="235" t="s">
        <v>627</v>
      </c>
      <c r="R180" s="238">
        <v>237.14</v>
      </c>
      <c r="S180" s="238">
        <v>11.86</v>
      </c>
      <c r="T180" s="238">
        <v>0.0</v>
      </c>
      <c r="U180" s="238">
        <v>0.0</v>
      </c>
      <c r="V180" s="238">
        <v>0.0</v>
      </c>
      <c r="W180" s="238">
        <v>0.0</v>
      </c>
      <c r="X180" s="235" t="s">
        <v>628</v>
      </c>
      <c r="Z180" s="244"/>
      <c r="AA180" s="244"/>
      <c r="AB180" s="244"/>
      <c r="AC180" s="235" t="s">
        <v>697</v>
      </c>
      <c r="AD180" s="235" t="s">
        <v>698</v>
      </c>
      <c r="AE180" s="238">
        <v>500089.0</v>
      </c>
      <c r="AF180" s="235" t="s">
        <v>631</v>
      </c>
      <c r="AG180" s="244"/>
      <c r="AH180" s="244"/>
      <c r="AI180" s="245"/>
      <c r="AJ180" s="245"/>
      <c r="AK180" s="245"/>
      <c r="AL180" s="245"/>
      <c r="AM180" s="244"/>
      <c r="AN180" s="244"/>
      <c r="AO180" s="238">
        <v>0.0</v>
      </c>
      <c r="AP180" s="238">
        <v>0.0</v>
      </c>
      <c r="AQ180" s="235" t="s">
        <v>632</v>
      </c>
      <c r="AR180" s="243">
        <v>2.02E11</v>
      </c>
      <c r="AS180" s="235" t="s">
        <v>1367</v>
      </c>
      <c r="AT180" s="235" t="s">
        <v>156</v>
      </c>
      <c r="AU180" s="235" t="s">
        <v>634</v>
      </c>
      <c r="AV180" s="246" t="s">
        <v>635</v>
      </c>
      <c r="AW180" s="242"/>
      <c r="AX180" s="242"/>
      <c r="AY180" s="231"/>
      <c r="AZ180" s="231"/>
      <c r="BA180" s="227"/>
      <c r="BB180" s="231"/>
      <c r="BC180" s="227"/>
      <c r="BD180" s="227"/>
      <c r="BE180" s="227"/>
      <c r="BF180" s="227"/>
    </row>
    <row r="181">
      <c r="A181" s="235" t="s">
        <v>2109</v>
      </c>
      <c r="C181" s="235" t="s">
        <v>2110</v>
      </c>
      <c r="D181" s="235" t="s">
        <v>2111</v>
      </c>
      <c r="E181" s="243">
        <v>6.57E13</v>
      </c>
      <c r="F181" s="244"/>
      <c r="G181" s="235" t="s">
        <v>2112</v>
      </c>
      <c r="H181" s="235" t="s">
        <v>2113</v>
      </c>
      <c r="I181" s="235" t="s">
        <v>2114</v>
      </c>
      <c r="J181" s="235" t="s">
        <v>2115</v>
      </c>
      <c r="K181" s="235" t="s">
        <v>2116</v>
      </c>
      <c r="N181" s="235" t="s">
        <v>139</v>
      </c>
      <c r="O181" s="235" t="s">
        <v>2091</v>
      </c>
      <c r="P181" s="238">
        <v>1.0</v>
      </c>
      <c r="Q181" s="235" t="s">
        <v>627</v>
      </c>
      <c r="R181" s="238">
        <v>246.66</v>
      </c>
      <c r="S181" s="238">
        <v>12.34</v>
      </c>
      <c r="T181" s="238">
        <v>0.0</v>
      </c>
      <c r="U181" s="238">
        <v>0.0</v>
      </c>
      <c r="V181" s="238">
        <v>0.0</v>
      </c>
      <c r="W181" s="238">
        <v>0.0</v>
      </c>
      <c r="X181" s="235" t="s">
        <v>628</v>
      </c>
      <c r="Z181" s="244"/>
      <c r="AA181" s="244"/>
      <c r="AB181" s="244"/>
      <c r="AC181" s="235" t="s">
        <v>1206</v>
      </c>
      <c r="AD181" s="235" t="s">
        <v>679</v>
      </c>
      <c r="AE181" s="238">
        <v>560024.0</v>
      </c>
      <c r="AF181" s="235" t="s">
        <v>631</v>
      </c>
      <c r="AG181" s="244"/>
      <c r="AH181" s="244"/>
      <c r="AI181" s="245"/>
      <c r="AJ181" s="245"/>
      <c r="AK181" s="245"/>
      <c r="AL181" s="245"/>
      <c r="AM181" s="244"/>
      <c r="AN181" s="244"/>
      <c r="AO181" s="238">
        <v>0.0</v>
      </c>
      <c r="AP181" s="238">
        <v>0.0</v>
      </c>
      <c r="AQ181" s="235" t="s">
        <v>632</v>
      </c>
      <c r="AR181" s="243">
        <v>3.71E11</v>
      </c>
      <c r="AS181" s="235" t="s">
        <v>1367</v>
      </c>
      <c r="AT181" s="235" t="s">
        <v>11</v>
      </c>
      <c r="AU181" s="235" t="s">
        <v>634</v>
      </c>
      <c r="AV181" s="246" t="s">
        <v>635</v>
      </c>
      <c r="AW181" s="242"/>
      <c r="AX181" s="242"/>
      <c r="AY181" s="231"/>
      <c r="AZ181" s="231"/>
      <c r="BA181" s="227"/>
      <c r="BB181" s="231"/>
      <c r="BC181" s="227"/>
      <c r="BD181" s="227"/>
      <c r="BE181" s="227"/>
      <c r="BF181" s="227"/>
    </row>
    <row r="182">
      <c r="A182" s="235" t="s">
        <v>2117</v>
      </c>
      <c r="C182" s="235" t="s">
        <v>2118</v>
      </c>
      <c r="D182" s="235" t="s">
        <v>2119</v>
      </c>
      <c r="E182" s="243">
        <v>6.57E13</v>
      </c>
      <c r="F182" s="244"/>
      <c r="G182" s="235" t="s">
        <v>2120</v>
      </c>
      <c r="H182" s="235" t="s">
        <v>2121</v>
      </c>
      <c r="I182" s="235" t="s">
        <v>2121</v>
      </c>
      <c r="J182" s="235" t="s">
        <v>2122</v>
      </c>
      <c r="K182" s="235" t="s">
        <v>2123</v>
      </c>
      <c r="N182" s="235" t="s">
        <v>92</v>
      </c>
      <c r="O182" s="235" t="s">
        <v>248</v>
      </c>
      <c r="P182" s="238">
        <v>1.0</v>
      </c>
      <c r="Q182" s="235" t="s">
        <v>627</v>
      </c>
      <c r="R182" s="238">
        <v>246.67</v>
      </c>
      <c r="S182" s="238">
        <v>12.33</v>
      </c>
      <c r="T182" s="238">
        <v>38.1</v>
      </c>
      <c r="U182" s="238">
        <v>1.9</v>
      </c>
      <c r="V182" s="238">
        <v>0.0</v>
      </c>
      <c r="W182" s="238">
        <v>0.0</v>
      </c>
      <c r="X182" s="235" t="s">
        <v>628</v>
      </c>
      <c r="Z182" s="244"/>
      <c r="AA182" s="244"/>
      <c r="AB182" s="244"/>
      <c r="AC182" s="235" t="s">
        <v>2124</v>
      </c>
      <c r="AD182" s="235" t="s">
        <v>965</v>
      </c>
      <c r="AE182" s="238">
        <v>176061.0</v>
      </c>
      <c r="AF182" s="235" t="s">
        <v>631</v>
      </c>
      <c r="AG182" s="244"/>
      <c r="AH182" s="244"/>
      <c r="AI182" s="245"/>
      <c r="AJ182" s="245"/>
      <c r="AK182" s="245"/>
      <c r="AL182" s="245"/>
      <c r="AM182" s="244"/>
      <c r="AN182" s="244"/>
      <c r="AO182" s="238">
        <v>0.0</v>
      </c>
      <c r="AP182" s="238">
        <v>-38.1</v>
      </c>
      <c r="AQ182" s="235" t="s">
        <v>632</v>
      </c>
      <c r="AR182" s="243">
        <v>3.71E11</v>
      </c>
      <c r="AS182" s="235" t="s">
        <v>667</v>
      </c>
      <c r="AT182" s="235" t="s">
        <v>14</v>
      </c>
      <c r="AU182" s="235" t="s">
        <v>634</v>
      </c>
      <c r="AV182" s="246" t="s">
        <v>635</v>
      </c>
      <c r="AW182" s="242"/>
      <c r="AX182" s="242"/>
      <c r="AY182" s="231"/>
      <c r="AZ182" s="231"/>
      <c r="BA182" s="227"/>
      <c r="BB182" s="231"/>
      <c r="BC182" s="227"/>
      <c r="BD182" s="227"/>
      <c r="BE182" s="227"/>
      <c r="BF182" s="227"/>
    </row>
    <row r="183">
      <c r="A183" s="235" t="s">
        <v>2125</v>
      </c>
      <c r="C183" s="235" t="s">
        <v>2126</v>
      </c>
      <c r="D183" s="235" t="s">
        <v>2127</v>
      </c>
      <c r="E183" s="243">
        <v>6.57E13</v>
      </c>
      <c r="F183" s="244"/>
      <c r="G183" s="235" t="s">
        <v>2128</v>
      </c>
      <c r="H183" s="235" t="s">
        <v>2129</v>
      </c>
      <c r="I183" s="235" t="s">
        <v>2130</v>
      </c>
      <c r="J183" s="235" t="s">
        <v>2131</v>
      </c>
      <c r="K183" s="235" t="s">
        <v>2132</v>
      </c>
      <c r="N183" s="235" t="s">
        <v>127</v>
      </c>
      <c r="O183" s="235" t="s">
        <v>794</v>
      </c>
      <c r="P183" s="238">
        <v>1.0</v>
      </c>
      <c r="Q183" s="235" t="s">
        <v>627</v>
      </c>
      <c r="R183" s="238">
        <v>246.67</v>
      </c>
      <c r="S183" s="238">
        <v>12.33</v>
      </c>
      <c r="T183" s="238">
        <v>0.0</v>
      </c>
      <c r="U183" s="238">
        <v>0.0</v>
      </c>
      <c r="V183" s="238">
        <v>0.0</v>
      </c>
      <c r="W183" s="238">
        <v>0.0</v>
      </c>
      <c r="X183" s="235" t="s">
        <v>628</v>
      </c>
      <c r="Z183" s="244"/>
      <c r="AA183" s="244"/>
      <c r="AB183" s="244"/>
      <c r="AC183" s="235" t="s">
        <v>749</v>
      </c>
      <c r="AD183" s="235" t="s">
        <v>630</v>
      </c>
      <c r="AE183" s="238">
        <v>201318.0</v>
      </c>
      <c r="AF183" s="235" t="s">
        <v>631</v>
      </c>
      <c r="AG183" s="244"/>
      <c r="AH183" s="244"/>
      <c r="AI183" s="245"/>
      <c r="AJ183" s="245"/>
      <c r="AK183" s="245"/>
      <c r="AL183" s="245"/>
      <c r="AM183" s="244"/>
      <c r="AN183" s="244"/>
      <c r="AO183" s="238">
        <v>0.0</v>
      </c>
      <c r="AP183" s="238">
        <v>0.0</v>
      </c>
      <c r="AQ183" s="235" t="s">
        <v>632</v>
      </c>
      <c r="AR183" s="243">
        <v>1.68E11</v>
      </c>
      <c r="AS183" s="235" t="s">
        <v>1751</v>
      </c>
      <c r="AT183" s="235" t="s">
        <v>14</v>
      </c>
      <c r="AU183" s="235" t="s">
        <v>634</v>
      </c>
      <c r="AV183" s="246" t="s">
        <v>635</v>
      </c>
      <c r="AW183" s="242"/>
      <c r="AX183" s="242"/>
      <c r="AY183" s="231"/>
      <c r="AZ183" s="231"/>
      <c r="BA183" s="227"/>
      <c r="BB183" s="231"/>
      <c r="BC183" s="227"/>
      <c r="BD183" s="227"/>
      <c r="BE183" s="227"/>
      <c r="BF183" s="227"/>
    </row>
    <row r="184">
      <c r="A184" s="235" t="s">
        <v>2133</v>
      </c>
      <c r="C184" s="235" t="s">
        <v>2134</v>
      </c>
      <c r="D184" s="235" t="s">
        <v>2135</v>
      </c>
      <c r="E184" s="243">
        <v>6.57E13</v>
      </c>
      <c r="F184" s="244"/>
      <c r="G184" s="235" t="s">
        <v>2136</v>
      </c>
      <c r="H184" s="235" t="s">
        <v>2137</v>
      </c>
      <c r="I184" s="235" t="s">
        <v>2137</v>
      </c>
      <c r="J184" s="235" t="s">
        <v>2138</v>
      </c>
      <c r="K184" s="235" t="s">
        <v>2139</v>
      </c>
      <c r="N184" s="235" t="s">
        <v>127</v>
      </c>
      <c r="O184" s="235" t="s">
        <v>794</v>
      </c>
      <c r="P184" s="238">
        <v>1.0</v>
      </c>
      <c r="Q184" s="235" t="s">
        <v>627</v>
      </c>
      <c r="R184" s="238">
        <v>246.67</v>
      </c>
      <c r="S184" s="238">
        <v>12.33</v>
      </c>
      <c r="T184" s="238">
        <v>94.29</v>
      </c>
      <c r="U184" s="238">
        <v>4.71</v>
      </c>
      <c r="V184" s="238">
        <v>0.0</v>
      </c>
      <c r="W184" s="238">
        <v>0.0</v>
      </c>
      <c r="X184" s="235" t="s">
        <v>628</v>
      </c>
      <c r="Z184" s="244"/>
      <c r="AA184" s="244"/>
      <c r="AB184" s="244"/>
      <c r="AC184" s="235" t="s">
        <v>795</v>
      </c>
      <c r="AD184" s="235" t="s">
        <v>796</v>
      </c>
      <c r="AE184" s="238">
        <v>110094.0</v>
      </c>
      <c r="AF184" s="235" t="s">
        <v>631</v>
      </c>
      <c r="AG184" s="244"/>
      <c r="AH184" s="244"/>
      <c r="AI184" s="245"/>
      <c r="AJ184" s="245"/>
      <c r="AK184" s="245"/>
      <c r="AL184" s="245"/>
      <c r="AM184" s="244"/>
      <c r="AN184" s="244"/>
      <c r="AO184" s="238">
        <v>0.0</v>
      </c>
      <c r="AP184" s="238">
        <v>-94.29</v>
      </c>
      <c r="AQ184" s="235" t="s">
        <v>632</v>
      </c>
      <c r="AR184" s="243">
        <v>1.68E11</v>
      </c>
      <c r="AS184" s="235" t="s">
        <v>1751</v>
      </c>
      <c r="AT184" s="235" t="s">
        <v>13</v>
      </c>
      <c r="AU184" s="235" t="s">
        <v>634</v>
      </c>
      <c r="AV184" s="246" t="s">
        <v>635</v>
      </c>
      <c r="AW184" s="242"/>
      <c r="AX184" s="242"/>
      <c r="AY184" s="231"/>
      <c r="AZ184" s="231"/>
      <c r="BA184" s="227"/>
      <c r="BB184" s="231"/>
      <c r="BC184" s="227"/>
      <c r="BD184" s="227"/>
      <c r="BE184" s="227"/>
      <c r="BF184" s="227"/>
    </row>
    <row r="185">
      <c r="A185" s="235" t="s">
        <v>2140</v>
      </c>
      <c r="C185" s="235" t="s">
        <v>2141</v>
      </c>
      <c r="D185" s="235" t="s">
        <v>2142</v>
      </c>
      <c r="E185" s="243">
        <v>6.57E13</v>
      </c>
      <c r="F185" s="244"/>
      <c r="G185" s="235" t="s">
        <v>2143</v>
      </c>
      <c r="H185" s="235" t="s">
        <v>2144</v>
      </c>
      <c r="I185" s="235" t="s">
        <v>2144</v>
      </c>
      <c r="J185" s="235" t="s">
        <v>2145</v>
      </c>
      <c r="K185" s="235" t="s">
        <v>2146</v>
      </c>
      <c r="N185" s="235" t="s">
        <v>43</v>
      </c>
      <c r="O185" s="235" t="s">
        <v>276</v>
      </c>
      <c r="P185" s="238">
        <v>1.0</v>
      </c>
      <c r="Q185" s="235" t="s">
        <v>627</v>
      </c>
      <c r="R185" s="238">
        <v>237.14</v>
      </c>
      <c r="S185" s="238">
        <v>11.86</v>
      </c>
      <c r="T185" s="238">
        <v>0.0</v>
      </c>
      <c r="U185" s="238">
        <v>0.0</v>
      </c>
      <c r="V185" s="238">
        <v>0.0</v>
      </c>
      <c r="W185" s="238">
        <v>0.0</v>
      </c>
      <c r="X185" s="235" t="s">
        <v>628</v>
      </c>
      <c r="Z185" s="244"/>
      <c r="AA185" s="244"/>
      <c r="AB185" s="244"/>
      <c r="AC185" s="235" t="s">
        <v>697</v>
      </c>
      <c r="AD185" s="235" t="s">
        <v>698</v>
      </c>
      <c r="AE185" s="238">
        <v>500089.0</v>
      </c>
      <c r="AF185" s="235" t="s">
        <v>631</v>
      </c>
      <c r="AG185" s="244"/>
      <c r="AH185" s="244"/>
      <c r="AI185" s="245"/>
      <c r="AJ185" s="245"/>
      <c r="AK185" s="245"/>
      <c r="AL185" s="245"/>
      <c r="AM185" s="244"/>
      <c r="AN185" s="244"/>
      <c r="AO185" s="238">
        <v>0.0</v>
      </c>
      <c r="AP185" s="238">
        <v>0.0</v>
      </c>
      <c r="AQ185" s="235" t="s">
        <v>632</v>
      </c>
      <c r="AR185" s="243">
        <v>2.02E11</v>
      </c>
      <c r="AS185" s="235" t="s">
        <v>1367</v>
      </c>
      <c r="AT185" s="235" t="s">
        <v>533</v>
      </c>
      <c r="AU185" s="235" t="s">
        <v>634</v>
      </c>
      <c r="AV185" s="246" t="s">
        <v>635</v>
      </c>
      <c r="AW185" s="242"/>
      <c r="AX185" s="242"/>
      <c r="AY185" s="231"/>
      <c r="AZ185" s="231"/>
      <c r="BA185" s="227"/>
      <c r="BB185" s="231"/>
      <c r="BC185" s="227"/>
      <c r="BD185" s="227"/>
      <c r="BE185" s="227"/>
      <c r="BF185" s="227"/>
    </row>
    <row r="186">
      <c r="A186" s="235" t="s">
        <v>2149</v>
      </c>
      <c r="C186" s="235" t="s">
        <v>2150</v>
      </c>
      <c r="D186" s="235" t="s">
        <v>2151</v>
      </c>
      <c r="E186" s="243">
        <v>6.57E13</v>
      </c>
      <c r="F186" s="244"/>
      <c r="G186" s="235" t="s">
        <v>2152</v>
      </c>
      <c r="H186" s="235" t="s">
        <v>2153</v>
      </c>
      <c r="I186" s="235" t="s">
        <v>2153</v>
      </c>
      <c r="J186" s="235" t="s">
        <v>2154</v>
      </c>
      <c r="K186" s="235" t="s">
        <v>2155</v>
      </c>
      <c r="N186" s="235" t="s">
        <v>126</v>
      </c>
      <c r="O186" s="235" t="s">
        <v>407</v>
      </c>
      <c r="P186" s="238">
        <v>1.0</v>
      </c>
      <c r="Q186" s="235" t="s">
        <v>627</v>
      </c>
      <c r="R186" s="238">
        <v>237.14</v>
      </c>
      <c r="S186" s="238">
        <v>11.86</v>
      </c>
      <c r="T186" s="238">
        <v>0.0</v>
      </c>
      <c r="U186" s="238">
        <v>0.0</v>
      </c>
      <c r="V186" s="238">
        <v>0.0</v>
      </c>
      <c r="W186" s="238">
        <v>0.0</v>
      </c>
      <c r="X186" s="235" t="s">
        <v>628</v>
      </c>
      <c r="Z186" s="244"/>
      <c r="AA186" s="244"/>
      <c r="AB186" s="244"/>
      <c r="AC186" s="235" t="s">
        <v>822</v>
      </c>
      <c r="AD186" s="235" t="s">
        <v>630</v>
      </c>
      <c r="AE186" s="238">
        <v>201304.0</v>
      </c>
      <c r="AF186" s="235" t="s">
        <v>631</v>
      </c>
      <c r="AG186" s="244"/>
      <c r="AH186" s="244"/>
      <c r="AI186" s="245"/>
      <c r="AJ186" s="245"/>
      <c r="AK186" s="245"/>
      <c r="AL186" s="245"/>
      <c r="AM186" s="244"/>
      <c r="AN186" s="244"/>
      <c r="AO186" s="238">
        <v>0.0</v>
      </c>
      <c r="AP186" s="238">
        <v>0.0</v>
      </c>
      <c r="AQ186" s="235" t="s">
        <v>632</v>
      </c>
      <c r="AR186" s="243">
        <v>1.68E11</v>
      </c>
      <c r="AS186" s="235" t="s">
        <v>1751</v>
      </c>
      <c r="AT186" s="235" t="s">
        <v>14</v>
      </c>
      <c r="AU186" s="235" t="s">
        <v>634</v>
      </c>
      <c r="AV186" s="246" t="s">
        <v>635</v>
      </c>
      <c r="AW186" s="242"/>
      <c r="AX186" s="242"/>
      <c r="AY186" s="231"/>
      <c r="AZ186" s="231"/>
      <c r="BA186" s="227"/>
      <c r="BB186" s="231"/>
      <c r="BC186" s="227"/>
      <c r="BD186" s="227"/>
      <c r="BE186" s="227"/>
      <c r="BF186" s="227"/>
    </row>
    <row r="187">
      <c r="A187" s="235" t="s">
        <v>2156</v>
      </c>
      <c r="C187" s="235" t="s">
        <v>2157</v>
      </c>
      <c r="D187" s="235" t="s">
        <v>2158</v>
      </c>
      <c r="E187" s="243">
        <v>6.57E13</v>
      </c>
      <c r="F187" s="244"/>
      <c r="G187" s="235" t="s">
        <v>2159</v>
      </c>
      <c r="H187" s="235" t="s">
        <v>2160</v>
      </c>
      <c r="I187" s="235" t="s">
        <v>2160</v>
      </c>
      <c r="J187" s="235" t="s">
        <v>2161</v>
      </c>
      <c r="K187" s="235" t="s">
        <v>2162</v>
      </c>
      <c r="N187" s="235" t="s">
        <v>2163</v>
      </c>
      <c r="O187" s="235" t="s">
        <v>2164</v>
      </c>
      <c r="P187" s="238">
        <v>1.0</v>
      </c>
      <c r="Q187" s="235" t="s">
        <v>627</v>
      </c>
      <c r="R187" s="238">
        <v>246.66</v>
      </c>
      <c r="S187" s="238">
        <v>12.34</v>
      </c>
      <c r="T187" s="238">
        <v>0.0</v>
      </c>
      <c r="U187" s="238">
        <v>0.0</v>
      </c>
      <c r="V187" s="238">
        <v>0.0</v>
      </c>
      <c r="W187" s="238">
        <v>0.0</v>
      </c>
      <c r="X187" s="235" t="s">
        <v>628</v>
      </c>
      <c r="Z187" s="244"/>
      <c r="AA187" s="244"/>
      <c r="AB187" s="244"/>
      <c r="AC187" s="235" t="s">
        <v>2165</v>
      </c>
      <c r="AD187" s="235" t="s">
        <v>928</v>
      </c>
      <c r="AE187" s="238">
        <v>121014.0</v>
      </c>
      <c r="AF187" s="235" t="s">
        <v>631</v>
      </c>
      <c r="AG187" s="244"/>
      <c r="AH187" s="244"/>
      <c r="AI187" s="245"/>
      <c r="AJ187" s="245"/>
      <c r="AK187" s="245"/>
      <c r="AL187" s="245"/>
      <c r="AM187" s="244"/>
      <c r="AN187" s="244"/>
      <c r="AO187" s="238">
        <v>0.0</v>
      </c>
      <c r="AP187" s="238">
        <v>0.0</v>
      </c>
      <c r="AQ187" s="235" t="s">
        <v>632</v>
      </c>
      <c r="AR187" s="243">
        <v>3.71E11</v>
      </c>
      <c r="AS187" s="235" t="s">
        <v>1367</v>
      </c>
      <c r="AT187" s="235" t="s">
        <v>14</v>
      </c>
      <c r="AU187" s="235" t="s">
        <v>634</v>
      </c>
      <c r="AV187" s="246" t="s">
        <v>635</v>
      </c>
      <c r="AW187" s="242"/>
      <c r="AX187" s="242"/>
      <c r="AY187" s="231"/>
      <c r="AZ187" s="231"/>
      <c r="BA187" s="227"/>
      <c r="BB187" s="231"/>
      <c r="BC187" s="227"/>
      <c r="BD187" s="227"/>
      <c r="BE187" s="227"/>
      <c r="BF187" s="227"/>
    </row>
    <row r="188">
      <c r="A188" s="235" t="s">
        <v>2166</v>
      </c>
      <c r="C188" s="235" t="s">
        <v>2167</v>
      </c>
      <c r="D188" s="235" t="s">
        <v>2168</v>
      </c>
      <c r="E188" s="243">
        <v>6.57E13</v>
      </c>
      <c r="F188" s="244"/>
      <c r="G188" s="235" t="s">
        <v>2169</v>
      </c>
      <c r="H188" s="235" t="s">
        <v>2170</v>
      </c>
      <c r="I188" s="235" t="s">
        <v>2170</v>
      </c>
      <c r="J188" s="235" t="s">
        <v>2171</v>
      </c>
      <c r="K188" s="235" t="s">
        <v>2172</v>
      </c>
      <c r="N188" s="235" t="s">
        <v>82</v>
      </c>
      <c r="O188" s="235" t="s">
        <v>889</v>
      </c>
      <c r="P188" s="238">
        <v>1.0</v>
      </c>
      <c r="Q188" s="235" t="s">
        <v>627</v>
      </c>
      <c r="R188" s="238">
        <v>246.67</v>
      </c>
      <c r="S188" s="238">
        <v>12.33</v>
      </c>
      <c r="T188" s="238">
        <v>0.0</v>
      </c>
      <c r="U188" s="238">
        <v>0.0</v>
      </c>
      <c r="V188" s="238">
        <v>0.0</v>
      </c>
      <c r="W188" s="238">
        <v>0.0</v>
      </c>
      <c r="X188" s="235" t="s">
        <v>628</v>
      </c>
      <c r="Z188" s="244"/>
      <c r="AA188" s="244"/>
      <c r="AB188" s="244"/>
      <c r="AC188" s="235" t="s">
        <v>697</v>
      </c>
      <c r="AD188" s="235" t="s">
        <v>698</v>
      </c>
      <c r="AE188" s="238">
        <v>500027.0</v>
      </c>
      <c r="AF188" s="235" t="s">
        <v>631</v>
      </c>
      <c r="AG188" s="244"/>
      <c r="AH188" s="244"/>
      <c r="AI188" s="245"/>
      <c r="AJ188" s="245"/>
      <c r="AK188" s="245"/>
      <c r="AL188" s="245"/>
      <c r="AM188" s="244"/>
      <c r="AN188" s="244"/>
      <c r="AO188" s="238">
        <v>0.0</v>
      </c>
      <c r="AP188" s="238">
        <v>0.0</v>
      </c>
      <c r="AQ188" s="235" t="s">
        <v>632</v>
      </c>
      <c r="AR188" s="243">
        <v>2.02E11</v>
      </c>
      <c r="AS188" s="235" t="s">
        <v>1367</v>
      </c>
      <c r="AT188" s="235" t="s">
        <v>156</v>
      </c>
      <c r="AU188" s="235" t="s">
        <v>634</v>
      </c>
      <c r="AV188" s="246" t="s">
        <v>635</v>
      </c>
      <c r="AW188" s="242"/>
      <c r="AX188" s="242"/>
      <c r="AY188" s="231"/>
      <c r="AZ188" s="231"/>
      <c r="BA188" s="227"/>
      <c r="BB188" s="231"/>
      <c r="BC188" s="227"/>
      <c r="BD188" s="227"/>
      <c r="BE188" s="227"/>
      <c r="BF188" s="227"/>
    </row>
    <row r="189">
      <c r="A189" s="235" t="s">
        <v>2174</v>
      </c>
      <c r="C189" s="235" t="s">
        <v>2175</v>
      </c>
      <c r="D189" s="235" t="s">
        <v>2176</v>
      </c>
      <c r="E189" s="243">
        <v>6.57E13</v>
      </c>
      <c r="F189" s="244"/>
      <c r="G189" s="235" t="s">
        <v>2177</v>
      </c>
      <c r="H189" s="235" t="s">
        <v>2178</v>
      </c>
      <c r="I189" s="235" t="s">
        <v>2178</v>
      </c>
      <c r="J189" s="235" t="s">
        <v>2179</v>
      </c>
      <c r="K189" s="235" t="s">
        <v>2180</v>
      </c>
      <c r="N189" s="235" t="s">
        <v>154</v>
      </c>
      <c r="O189" s="235" t="s">
        <v>766</v>
      </c>
      <c r="P189" s="238">
        <v>1.0</v>
      </c>
      <c r="Q189" s="235" t="s">
        <v>627</v>
      </c>
      <c r="R189" s="238">
        <v>465.71</v>
      </c>
      <c r="S189" s="238">
        <v>23.29</v>
      </c>
      <c r="T189" s="238">
        <v>0.0</v>
      </c>
      <c r="U189" s="238">
        <v>0.0</v>
      </c>
      <c r="V189" s="238">
        <v>0.0</v>
      </c>
      <c r="W189" s="238">
        <v>0.0</v>
      </c>
      <c r="X189" s="235" t="s">
        <v>628</v>
      </c>
      <c r="Z189" s="244"/>
      <c r="AA189" s="244"/>
      <c r="AB189" s="244"/>
      <c r="AC189" s="235" t="s">
        <v>697</v>
      </c>
      <c r="AD189" s="235" t="s">
        <v>698</v>
      </c>
      <c r="AE189" s="238">
        <v>500062.0</v>
      </c>
      <c r="AF189" s="235" t="s">
        <v>631</v>
      </c>
      <c r="AG189" s="244"/>
      <c r="AH189" s="244"/>
      <c r="AI189" s="245"/>
      <c r="AJ189" s="245"/>
      <c r="AK189" s="245"/>
      <c r="AL189" s="245"/>
      <c r="AM189" s="244"/>
      <c r="AN189" s="244"/>
      <c r="AO189" s="238">
        <v>0.0</v>
      </c>
      <c r="AP189" s="238">
        <v>0.0</v>
      </c>
      <c r="AQ189" s="235" t="s">
        <v>632</v>
      </c>
      <c r="AR189" s="243">
        <v>2.02E11</v>
      </c>
      <c r="AS189" s="235" t="s">
        <v>1367</v>
      </c>
      <c r="AT189" s="235" t="s">
        <v>156</v>
      </c>
      <c r="AU189" s="235" t="s">
        <v>634</v>
      </c>
      <c r="AV189" s="246" t="s">
        <v>635</v>
      </c>
      <c r="AW189" s="242"/>
      <c r="AX189" s="242"/>
      <c r="AY189" s="231"/>
      <c r="AZ189" s="231"/>
      <c r="BA189" s="227"/>
      <c r="BB189" s="231"/>
      <c r="BC189" s="227"/>
      <c r="BD189" s="227"/>
      <c r="BE189" s="227"/>
      <c r="BF189" s="227"/>
    </row>
    <row r="190">
      <c r="A190" s="235" t="s">
        <v>2181</v>
      </c>
      <c r="C190" s="235" t="s">
        <v>2182</v>
      </c>
      <c r="D190" s="235" t="s">
        <v>2183</v>
      </c>
      <c r="E190" s="243">
        <v>6.57E13</v>
      </c>
      <c r="F190" s="244"/>
      <c r="G190" s="235" t="s">
        <v>2184</v>
      </c>
      <c r="H190" s="235" t="s">
        <v>2185</v>
      </c>
      <c r="I190" s="235" t="s">
        <v>2185</v>
      </c>
      <c r="J190" s="235" t="s">
        <v>2186</v>
      </c>
      <c r="K190" s="235" t="s">
        <v>2187</v>
      </c>
      <c r="N190" s="235" t="s">
        <v>127</v>
      </c>
      <c r="O190" s="235" t="s">
        <v>794</v>
      </c>
      <c r="P190" s="238">
        <v>1.0</v>
      </c>
      <c r="Q190" s="235" t="s">
        <v>627</v>
      </c>
      <c r="R190" s="238">
        <v>246.67</v>
      </c>
      <c r="S190" s="238">
        <v>12.33</v>
      </c>
      <c r="T190" s="238">
        <v>38.1</v>
      </c>
      <c r="U190" s="238">
        <v>1.9</v>
      </c>
      <c r="V190" s="238">
        <v>0.0</v>
      </c>
      <c r="W190" s="238">
        <v>0.0</v>
      </c>
      <c r="X190" s="235" t="s">
        <v>628</v>
      </c>
      <c r="Z190" s="244"/>
      <c r="AA190" s="244"/>
      <c r="AB190" s="244"/>
      <c r="AC190" s="235" t="s">
        <v>2188</v>
      </c>
      <c r="AD190" s="235" t="s">
        <v>1499</v>
      </c>
      <c r="AE190" s="238">
        <v>475005.0</v>
      </c>
      <c r="AF190" s="235" t="s">
        <v>631</v>
      </c>
      <c r="AG190" s="244"/>
      <c r="AH190" s="244"/>
      <c r="AI190" s="245"/>
      <c r="AJ190" s="245"/>
      <c r="AK190" s="245"/>
      <c r="AL190" s="245"/>
      <c r="AM190" s="244"/>
      <c r="AN190" s="244"/>
      <c r="AO190" s="238">
        <v>0.0</v>
      </c>
      <c r="AP190" s="238">
        <v>-38.1</v>
      </c>
      <c r="AQ190" s="235" t="s">
        <v>632</v>
      </c>
      <c r="AR190" s="243">
        <v>3.71E11</v>
      </c>
      <c r="AS190" s="235" t="s">
        <v>656</v>
      </c>
      <c r="AT190" s="235" t="s">
        <v>14</v>
      </c>
      <c r="AU190" s="235" t="s">
        <v>634</v>
      </c>
      <c r="AV190" s="246" t="s">
        <v>635</v>
      </c>
      <c r="AW190" s="242"/>
      <c r="AX190" s="242"/>
      <c r="AY190" s="231"/>
      <c r="AZ190" s="231"/>
      <c r="BA190" s="227"/>
      <c r="BB190" s="231"/>
      <c r="BC190" s="227"/>
      <c r="BD190" s="227"/>
      <c r="BE190" s="227"/>
      <c r="BF190" s="227"/>
    </row>
    <row r="191">
      <c r="A191" s="235" t="s">
        <v>2189</v>
      </c>
      <c r="C191" s="235" t="s">
        <v>2190</v>
      </c>
      <c r="D191" s="235" t="s">
        <v>2191</v>
      </c>
      <c r="E191" s="243">
        <v>6.57E13</v>
      </c>
      <c r="F191" s="244"/>
      <c r="G191" s="235" t="s">
        <v>2192</v>
      </c>
      <c r="H191" s="235" t="s">
        <v>2193</v>
      </c>
      <c r="I191" s="235" t="s">
        <v>2193</v>
      </c>
      <c r="J191" s="235" t="s">
        <v>2194</v>
      </c>
      <c r="K191" s="235" t="s">
        <v>2195</v>
      </c>
      <c r="N191" s="235" t="s">
        <v>154</v>
      </c>
      <c r="O191" s="235" t="s">
        <v>766</v>
      </c>
      <c r="P191" s="238">
        <v>1.0</v>
      </c>
      <c r="Q191" s="235" t="s">
        <v>627</v>
      </c>
      <c r="R191" s="238">
        <v>465.71</v>
      </c>
      <c r="S191" s="238">
        <v>23.29</v>
      </c>
      <c r="T191" s="238">
        <v>0.0</v>
      </c>
      <c r="U191" s="238">
        <v>0.0</v>
      </c>
      <c r="V191" s="238">
        <v>0.0</v>
      </c>
      <c r="W191" s="238">
        <v>0.0</v>
      </c>
      <c r="X191" s="235" t="s">
        <v>628</v>
      </c>
      <c r="Z191" s="244"/>
      <c r="AA191" s="244"/>
      <c r="AB191" s="244"/>
      <c r="AC191" s="235" t="s">
        <v>1475</v>
      </c>
      <c r="AD191" s="235" t="s">
        <v>796</v>
      </c>
      <c r="AE191" s="238">
        <v>110017.0</v>
      </c>
      <c r="AF191" s="235" t="s">
        <v>631</v>
      </c>
      <c r="AG191" s="244"/>
      <c r="AH191" s="244"/>
      <c r="AI191" s="245"/>
      <c r="AJ191" s="245"/>
      <c r="AK191" s="245"/>
      <c r="AL191" s="245"/>
      <c r="AM191" s="244"/>
      <c r="AN191" s="244"/>
      <c r="AO191" s="238">
        <v>0.0</v>
      </c>
      <c r="AP191" s="238">
        <v>0.0</v>
      </c>
      <c r="AQ191" s="235" t="s">
        <v>632</v>
      </c>
      <c r="AR191" s="243">
        <v>1.68E11</v>
      </c>
      <c r="AS191" s="235" t="s">
        <v>1751</v>
      </c>
      <c r="AT191" s="235" t="s">
        <v>14</v>
      </c>
      <c r="AU191" s="235" t="s">
        <v>634</v>
      </c>
      <c r="AV191" s="246" t="s">
        <v>635</v>
      </c>
      <c r="AW191" s="242"/>
      <c r="AX191" s="242"/>
      <c r="AY191" s="231"/>
      <c r="AZ191" s="231"/>
      <c r="BA191" s="227"/>
      <c r="BB191" s="231"/>
      <c r="BC191" s="227"/>
      <c r="BD191" s="227"/>
      <c r="BE191" s="227"/>
      <c r="BF191" s="227"/>
    </row>
    <row r="192">
      <c r="A192" s="235" t="s">
        <v>2196</v>
      </c>
      <c r="C192" s="235" t="s">
        <v>2197</v>
      </c>
      <c r="D192" s="235" t="s">
        <v>2198</v>
      </c>
      <c r="E192" s="243">
        <v>6.56E13</v>
      </c>
      <c r="F192" s="244"/>
      <c r="G192" s="235" t="s">
        <v>2199</v>
      </c>
      <c r="H192" s="235" t="s">
        <v>2200</v>
      </c>
      <c r="I192" s="235" t="s">
        <v>2200</v>
      </c>
      <c r="J192" s="235" t="s">
        <v>2201</v>
      </c>
      <c r="K192" s="235" t="s">
        <v>2202</v>
      </c>
      <c r="N192" s="235" t="s">
        <v>42</v>
      </c>
      <c r="O192" s="235" t="s">
        <v>204</v>
      </c>
      <c r="P192" s="238">
        <v>1.0</v>
      </c>
      <c r="Q192" s="235" t="s">
        <v>627</v>
      </c>
      <c r="R192" s="238">
        <v>237.14</v>
      </c>
      <c r="S192" s="238">
        <v>11.86</v>
      </c>
      <c r="T192" s="238">
        <v>38.1</v>
      </c>
      <c r="U192" s="238">
        <v>1.9</v>
      </c>
      <c r="V192" s="238">
        <v>0.0</v>
      </c>
      <c r="W192" s="238">
        <v>0.0</v>
      </c>
      <c r="X192" s="235" t="s">
        <v>628</v>
      </c>
      <c r="Z192" s="244"/>
      <c r="AA192" s="244"/>
      <c r="AB192" s="244"/>
      <c r="AC192" s="235" t="s">
        <v>1671</v>
      </c>
      <c r="AD192" s="235" t="s">
        <v>666</v>
      </c>
      <c r="AE192" s="238">
        <v>641035.0</v>
      </c>
      <c r="AF192" s="235" t="s">
        <v>631</v>
      </c>
      <c r="AG192" s="244"/>
      <c r="AH192" s="244"/>
      <c r="AI192" s="245"/>
      <c r="AJ192" s="245"/>
      <c r="AK192" s="245"/>
      <c r="AL192" s="245"/>
      <c r="AM192" s="244"/>
      <c r="AN192" s="244"/>
      <c r="AO192" s="238">
        <v>0.0</v>
      </c>
      <c r="AP192" s="238">
        <v>-38.1</v>
      </c>
      <c r="AQ192" s="235" t="s">
        <v>632</v>
      </c>
      <c r="AR192" s="243">
        <v>3.71E11</v>
      </c>
      <c r="AS192" s="235" t="s">
        <v>1367</v>
      </c>
      <c r="AT192" s="235" t="s">
        <v>9</v>
      </c>
      <c r="AU192" s="235" t="s">
        <v>634</v>
      </c>
      <c r="AV192" s="246" t="s">
        <v>635</v>
      </c>
      <c r="AW192" s="242"/>
      <c r="AX192" s="242"/>
      <c r="AY192" s="231"/>
      <c r="AZ192" s="231"/>
      <c r="BA192" s="227"/>
      <c r="BB192" s="231"/>
      <c r="BC192" s="227"/>
      <c r="BD192" s="227"/>
      <c r="BE192" s="227"/>
      <c r="BF192" s="227"/>
    </row>
    <row r="193">
      <c r="A193" s="235" t="s">
        <v>2204</v>
      </c>
      <c r="C193" s="235" t="s">
        <v>2205</v>
      </c>
      <c r="D193" s="235" t="s">
        <v>2206</v>
      </c>
      <c r="E193" s="243">
        <v>6.57E13</v>
      </c>
      <c r="F193" s="244"/>
      <c r="G193" s="235" t="s">
        <v>2207</v>
      </c>
      <c r="H193" s="235" t="s">
        <v>2208</v>
      </c>
      <c r="I193" s="235" t="s">
        <v>2208</v>
      </c>
      <c r="J193" s="235" t="s">
        <v>2209</v>
      </c>
      <c r="K193" s="235" t="s">
        <v>2210</v>
      </c>
      <c r="N193" s="235" t="s">
        <v>42</v>
      </c>
      <c r="O193" s="235" t="s">
        <v>204</v>
      </c>
      <c r="P193" s="238">
        <v>1.0</v>
      </c>
      <c r="Q193" s="235" t="s">
        <v>627</v>
      </c>
      <c r="R193" s="238">
        <v>236.2</v>
      </c>
      <c r="S193" s="238">
        <v>11.8</v>
      </c>
      <c r="T193" s="238">
        <v>0.0</v>
      </c>
      <c r="U193" s="238">
        <v>0.0</v>
      </c>
      <c r="V193" s="238">
        <v>0.0</v>
      </c>
      <c r="W193" s="238">
        <v>0.0</v>
      </c>
      <c r="X193" s="235" t="s">
        <v>628</v>
      </c>
      <c r="Z193" s="244"/>
      <c r="AA193" s="244"/>
      <c r="AB193" s="244"/>
      <c r="AC193" s="235" t="s">
        <v>1604</v>
      </c>
      <c r="AD193" s="235" t="s">
        <v>845</v>
      </c>
      <c r="AE193" s="238">
        <v>400072.0</v>
      </c>
      <c r="AF193" s="235" t="s">
        <v>631</v>
      </c>
      <c r="AG193" s="244"/>
      <c r="AH193" s="244"/>
      <c r="AI193" s="245"/>
      <c r="AJ193" s="245"/>
      <c r="AK193" s="245"/>
      <c r="AL193" s="245"/>
      <c r="AM193" s="244"/>
      <c r="AN193" s="244"/>
      <c r="AO193" s="238">
        <v>0.0</v>
      </c>
      <c r="AP193" s="238">
        <v>0.0</v>
      </c>
      <c r="AQ193" s="235" t="s">
        <v>632</v>
      </c>
      <c r="AR193" s="243">
        <v>3.71E11</v>
      </c>
      <c r="AS193" s="235" t="s">
        <v>667</v>
      </c>
      <c r="AT193" s="235" t="s">
        <v>16</v>
      </c>
      <c r="AU193" s="235" t="s">
        <v>634</v>
      </c>
      <c r="AV193" s="246" t="s">
        <v>635</v>
      </c>
      <c r="AW193" s="242"/>
      <c r="AX193" s="242"/>
      <c r="AY193" s="231"/>
      <c r="AZ193" s="231"/>
      <c r="BA193" s="227"/>
      <c r="BB193" s="231"/>
      <c r="BC193" s="227"/>
      <c r="BD193" s="227"/>
      <c r="BE193" s="227"/>
      <c r="BF193" s="227"/>
    </row>
    <row r="194">
      <c r="A194" s="235" t="s">
        <v>2211</v>
      </c>
      <c r="C194" s="235" t="s">
        <v>2212</v>
      </c>
      <c r="D194" s="235" t="s">
        <v>2213</v>
      </c>
      <c r="E194" s="243">
        <v>6.56E13</v>
      </c>
      <c r="F194" s="244"/>
      <c r="G194" s="235" t="s">
        <v>2214</v>
      </c>
      <c r="H194" s="235" t="s">
        <v>2215</v>
      </c>
      <c r="I194" s="235" t="s">
        <v>2215</v>
      </c>
      <c r="J194" s="235" t="s">
        <v>2216</v>
      </c>
      <c r="K194" s="235" t="s">
        <v>2217</v>
      </c>
      <c r="N194" s="235" t="s">
        <v>71</v>
      </c>
      <c r="O194" s="235" t="s">
        <v>240</v>
      </c>
      <c r="P194" s="238">
        <v>1.0</v>
      </c>
      <c r="Q194" s="235" t="s">
        <v>627</v>
      </c>
      <c r="R194" s="238">
        <v>246.66</v>
      </c>
      <c r="S194" s="238">
        <v>11.97</v>
      </c>
      <c r="T194" s="238">
        <v>0.0</v>
      </c>
      <c r="U194" s="238">
        <v>0.0</v>
      </c>
      <c r="V194" s="238">
        <v>0.0</v>
      </c>
      <c r="W194" s="238">
        <v>0.0</v>
      </c>
      <c r="X194" s="235" t="s">
        <v>628</v>
      </c>
      <c r="Z194" s="244"/>
      <c r="AA194" s="244"/>
      <c r="AB194" s="244"/>
      <c r="AC194" s="235" t="s">
        <v>1058</v>
      </c>
      <c r="AD194" s="235" t="s">
        <v>845</v>
      </c>
      <c r="AE194" s="238">
        <v>400004.0</v>
      </c>
      <c r="AF194" s="235" t="s">
        <v>631</v>
      </c>
      <c r="AG194" s="244"/>
      <c r="AH194" s="244"/>
      <c r="AI194" s="245"/>
      <c r="AJ194" s="245"/>
      <c r="AK194" s="245"/>
      <c r="AL194" s="245"/>
      <c r="AM194" s="244"/>
      <c r="AN194" s="244"/>
      <c r="AO194" s="238">
        <v>-7.4</v>
      </c>
      <c r="AP194" s="238">
        <v>0.0</v>
      </c>
      <c r="AQ194" s="235" t="s">
        <v>632</v>
      </c>
      <c r="AR194" s="243">
        <v>3.71E11</v>
      </c>
      <c r="AS194" s="235" t="s">
        <v>667</v>
      </c>
      <c r="AT194" s="235" t="s">
        <v>16</v>
      </c>
      <c r="AU194" s="235" t="s">
        <v>634</v>
      </c>
      <c r="AV194" s="246" t="s">
        <v>635</v>
      </c>
      <c r="AW194" s="242"/>
      <c r="AX194" s="242"/>
      <c r="AY194" s="231"/>
      <c r="AZ194" s="231"/>
      <c r="BA194" s="227"/>
      <c r="BB194" s="231"/>
      <c r="BC194" s="227"/>
      <c r="BD194" s="227"/>
      <c r="BE194" s="227"/>
      <c r="BF194" s="227"/>
    </row>
    <row r="195">
      <c r="A195" s="235" t="s">
        <v>2211</v>
      </c>
      <c r="C195" s="235" t="s">
        <v>2212</v>
      </c>
      <c r="D195" s="235" t="s">
        <v>2220</v>
      </c>
      <c r="E195" s="243">
        <v>6.56E13</v>
      </c>
      <c r="F195" s="244"/>
      <c r="G195" s="235" t="s">
        <v>2214</v>
      </c>
      <c r="H195" s="235" t="s">
        <v>2215</v>
      </c>
      <c r="I195" s="235" t="s">
        <v>2215</v>
      </c>
      <c r="J195" s="235" t="s">
        <v>2216</v>
      </c>
      <c r="K195" s="235" t="s">
        <v>2217</v>
      </c>
      <c r="N195" s="235" t="s">
        <v>68</v>
      </c>
      <c r="O195" s="235" t="s">
        <v>208</v>
      </c>
      <c r="P195" s="238">
        <v>1.0</v>
      </c>
      <c r="Q195" s="235" t="s">
        <v>627</v>
      </c>
      <c r="R195" s="238">
        <v>246.66</v>
      </c>
      <c r="S195" s="238">
        <v>11.97</v>
      </c>
      <c r="T195" s="238">
        <v>0.0</v>
      </c>
      <c r="U195" s="238">
        <v>0.0</v>
      </c>
      <c r="V195" s="238">
        <v>0.0</v>
      </c>
      <c r="W195" s="238">
        <v>0.0</v>
      </c>
      <c r="X195" s="235" t="s">
        <v>628</v>
      </c>
      <c r="Z195" s="244"/>
      <c r="AA195" s="244"/>
      <c r="AB195" s="244"/>
      <c r="AC195" s="235" t="s">
        <v>1058</v>
      </c>
      <c r="AD195" s="235" t="s">
        <v>845</v>
      </c>
      <c r="AE195" s="238">
        <v>400004.0</v>
      </c>
      <c r="AF195" s="235" t="s">
        <v>631</v>
      </c>
      <c r="AG195" s="244"/>
      <c r="AH195" s="244"/>
      <c r="AI195" s="245"/>
      <c r="AJ195" s="245"/>
      <c r="AK195" s="245"/>
      <c r="AL195" s="245"/>
      <c r="AM195" s="244"/>
      <c r="AN195" s="244"/>
      <c r="AO195" s="238">
        <v>-7.4</v>
      </c>
      <c r="AP195" s="238">
        <v>0.0</v>
      </c>
      <c r="AQ195" s="235" t="s">
        <v>632</v>
      </c>
      <c r="AR195" s="243">
        <v>3.71E11</v>
      </c>
      <c r="AS195" s="235" t="s">
        <v>667</v>
      </c>
      <c r="AT195" s="235" t="s">
        <v>16</v>
      </c>
      <c r="AU195" s="235" t="s">
        <v>634</v>
      </c>
      <c r="AV195" s="246" t="s">
        <v>635</v>
      </c>
      <c r="AW195" s="242"/>
      <c r="AX195" s="242"/>
      <c r="AY195" s="231"/>
      <c r="AZ195" s="231"/>
      <c r="BA195" s="227"/>
      <c r="BB195" s="231"/>
      <c r="BC195" s="227"/>
      <c r="BD195" s="227"/>
      <c r="BE195" s="227"/>
      <c r="BF195" s="227"/>
    </row>
    <row r="196">
      <c r="A196" s="235" t="s">
        <v>2221</v>
      </c>
      <c r="C196" s="235" t="s">
        <v>2222</v>
      </c>
      <c r="D196" s="235" t="s">
        <v>2223</v>
      </c>
      <c r="E196" s="243">
        <v>6.57E13</v>
      </c>
      <c r="F196" s="244"/>
      <c r="G196" s="235" t="s">
        <v>2224</v>
      </c>
      <c r="H196" s="235" t="s">
        <v>2225</v>
      </c>
      <c r="I196" s="235" t="s">
        <v>2225</v>
      </c>
      <c r="J196" s="235" t="s">
        <v>2226</v>
      </c>
      <c r="K196" s="235" t="s">
        <v>2227</v>
      </c>
      <c r="N196" s="235" t="s">
        <v>68</v>
      </c>
      <c r="O196" s="235" t="s">
        <v>208</v>
      </c>
      <c r="P196" s="238">
        <v>1.0</v>
      </c>
      <c r="Q196" s="235" t="s">
        <v>627</v>
      </c>
      <c r="R196" s="238">
        <v>246.67</v>
      </c>
      <c r="S196" s="238">
        <v>12.33</v>
      </c>
      <c r="T196" s="238">
        <v>0.0</v>
      </c>
      <c r="U196" s="238">
        <v>0.0</v>
      </c>
      <c r="V196" s="238">
        <v>0.0</v>
      </c>
      <c r="W196" s="238">
        <v>0.0</v>
      </c>
      <c r="X196" s="235" t="s">
        <v>628</v>
      </c>
      <c r="Z196" s="244"/>
      <c r="AA196" s="244"/>
      <c r="AB196" s="244"/>
      <c r="AC196" s="235" t="s">
        <v>2228</v>
      </c>
      <c r="AD196" s="235" t="s">
        <v>1151</v>
      </c>
      <c r="AE196" s="238">
        <v>700135.0</v>
      </c>
      <c r="AF196" s="235" t="s">
        <v>631</v>
      </c>
      <c r="AG196" s="244"/>
      <c r="AH196" s="244"/>
      <c r="AI196" s="245"/>
      <c r="AJ196" s="245"/>
      <c r="AK196" s="245"/>
      <c r="AL196" s="245"/>
      <c r="AM196" s="244"/>
      <c r="AN196" s="244"/>
      <c r="AO196" s="238">
        <v>0.0</v>
      </c>
      <c r="AP196" s="238">
        <v>0.0</v>
      </c>
      <c r="AQ196" s="235" t="s">
        <v>632</v>
      </c>
      <c r="AR196" s="243">
        <v>2.02E11</v>
      </c>
      <c r="AS196" s="235" t="s">
        <v>1367</v>
      </c>
      <c r="AT196" s="235" t="s">
        <v>13</v>
      </c>
      <c r="AU196" s="235" t="s">
        <v>634</v>
      </c>
      <c r="AV196" s="246" t="s">
        <v>635</v>
      </c>
      <c r="AW196" s="242"/>
      <c r="AX196" s="242"/>
      <c r="AY196" s="231"/>
      <c r="AZ196" s="231"/>
      <c r="BA196" s="227"/>
      <c r="BB196" s="231"/>
      <c r="BC196" s="227"/>
      <c r="BD196" s="227"/>
      <c r="BE196" s="227"/>
      <c r="BF196" s="227"/>
    </row>
    <row r="197">
      <c r="A197" s="235" t="s">
        <v>2229</v>
      </c>
      <c r="C197" s="235" t="s">
        <v>2230</v>
      </c>
      <c r="D197" s="235" t="s">
        <v>2231</v>
      </c>
      <c r="E197" s="243">
        <v>6.57E13</v>
      </c>
      <c r="F197" s="244"/>
      <c r="G197" s="235" t="s">
        <v>2232</v>
      </c>
      <c r="H197" s="235" t="s">
        <v>2233</v>
      </c>
      <c r="I197" s="235" t="s">
        <v>2233</v>
      </c>
      <c r="J197" s="235" t="s">
        <v>2234</v>
      </c>
      <c r="K197" s="235" t="s">
        <v>2235</v>
      </c>
      <c r="N197" s="235" t="s">
        <v>92</v>
      </c>
      <c r="O197" s="235" t="s">
        <v>248</v>
      </c>
      <c r="P197" s="238">
        <v>1.0</v>
      </c>
      <c r="Q197" s="235" t="s">
        <v>627</v>
      </c>
      <c r="R197" s="238">
        <v>246.66</v>
      </c>
      <c r="S197" s="238">
        <v>12.34</v>
      </c>
      <c r="T197" s="238">
        <v>0.0</v>
      </c>
      <c r="U197" s="238">
        <v>0.0</v>
      </c>
      <c r="V197" s="238">
        <v>0.0</v>
      </c>
      <c r="W197" s="238">
        <v>0.0</v>
      </c>
      <c r="X197" s="235" t="s">
        <v>628</v>
      </c>
      <c r="Z197" s="244"/>
      <c r="AA197" s="244"/>
      <c r="AB197" s="244"/>
      <c r="AC197" s="235" t="s">
        <v>2236</v>
      </c>
      <c r="AD197" s="235" t="s">
        <v>666</v>
      </c>
      <c r="AE197" s="238">
        <v>641008.0</v>
      </c>
      <c r="AF197" s="235" t="s">
        <v>631</v>
      </c>
      <c r="AG197" s="244"/>
      <c r="AH197" s="244"/>
      <c r="AI197" s="245"/>
      <c r="AJ197" s="245"/>
      <c r="AK197" s="245"/>
      <c r="AL197" s="245"/>
      <c r="AM197" s="244"/>
      <c r="AN197" s="244"/>
      <c r="AO197" s="238">
        <v>0.0</v>
      </c>
      <c r="AP197" s="238">
        <v>0.0</v>
      </c>
      <c r="AQ197" s="235" t="s">
        <v>632</v>
      </c>
      <c r="AR197" s="243">
        <v>1.68E11</v>
      </c>
      <c r="AS197" s="235" t="s">
        <v>1751</v>
      </c>
      <c r="AT197" s="235" t="s">
        <v>155</v>
      </c>
      <c r="AU197" s="235" t="s">
        <v>634</v>
      </c>
      <c r="AV197" s="246" t="s">
        <v>635</v>
      </c>
      <c r="AW197" s="242"/>
      <c r="AX197" s="242"/>
      <c r="AY197" s="231"/>
      <c r="AZ197" s="231"/>
      <c r="BA197" s="227"/>
      <c r="BB197" s="231"/>
      <c r="BC197" s="227"/>
      <c r="BD197" s="227"/>
      <c r="BE197" s="227"/>
      <c r="BF197" s="227"/>
    </row>
    <row r="198">
      <c r="A198" s="235" t="s">
        <v>2237</v>
      </c>
      <c r="C198" s="235" t="s">
        <v>2238</v>
      </c>
      <c r="D198" s="235" t="s">
        <v>2239</v>
      </c>
      <c r="E198" s="243">
        <v>6.57E13</v>
      </c>
      <c r="F198" s="244"/>
      <c r="G198" s="235" t="s">
        <v>2240</v>
      </c>
      <c r="H198" s="235" t="s">
        <v>2241</v>
      </c>
      <c r="I198" s="235" t="s">
        <v>2241</v>
      </c>
      <c r="J198" s="235" t="s">
        <v>2242</v>
      </c>
      <c r="K198" s="235" t="s">
        <v>2243</v>
      </c>
      <c r="N198" s="235" t="s">
        <v>42</v>
      </c>
      <c r="O198" s="235" t="s">
        <v>204</v>
      </c>
      <c r="P198" s="238">
        <v>1.0</v>
      </c>
      <c r="Q198" s="235" t="s">
        <v>627</v>
      </c>
      <c r="R198" s="238">
        <v>237.14</v>
      </c>
      <c r="S198" s="238">
        <v>11.62</v>
      </c>
      <c r="T198" s="238">
        <v>0.0</v>
      </c>
      <c r="U198" s="238">
        <v>0.0</v>
      </c>
      <c r="V198" s="238">
        <v>0.0</v>
      </c>
      <c r="W198" s="238">
        <v>0.0</v>
      </c>
      <c r="X198" s="235" t="s">
        <v>628</v>
      </c>
      <c r="Z198" s="244"/>
      <c r="AA198" s="244"/>
      <c r="AB198" s="244"/>
      <c r="AC198" s="235" t="s">
        <v>697</v>
      </c>
      <c r="AD198" s="235" t="s">
        <v>698</v>
      </c>
      <c r="AE198" s="238">
        <v>500072.0</v>
      </c>
      <c r="AF198" s="235" t="s">
        <v>631</v>
      </c>
      <c r="AG198" s="244"/>
      <c r="AH198" s="244"/>
      <c r="AI198" s="245"/>
      <c r="AJ198" s="245"/>
      <c r="AK198" s="245"/>
      <c r="AL198" s="245"/>
      <c r="AM198" s="244"/>
      <c r="AN198" s="244"/>
      <c r="AO198" s="238">
        <v>-4.74</v>
      </c>
      <c r="AP198" s="238">
        <v>0.0</v>
      </c>
      <c r="AQ198" s="235" t="s">
        <v>632</v>
      </c>
      <c r="AR198" s="243">
        <v>2.02E11</v>
      </c>
      <c r="AS198" s="235" t="s">
        <v>1367</v>
      </c>
      <c r="AT198" s="235" t="s">
        <v>546</v>
      </c>
      <c r="AU198" s="235" t="s">
        <v>634</v>
      </c>
      <c r="AV198" s="246" t="s">
        <v>635</v>
      </c>
      <c r="AW198" s="242"/>
      <c r="AX198" s="242"/>
      <c r="AY198" s="231"/>
      <c r="AZ198" s="231"/>
      <c r="BA198" s="227"/>
      <c r="BB198" s="231"/>
      <c r="BC198" s="227"/>
      <c r="BD198" s="227"/>
      <c r="BE198" s="227"/>
      <c r="BF198" s="227"/>
    </row>
    <row r="199">
      <c r="A199" s="235" t="s">
        <v>2244</v>
      </c>
      <c r="C199" s="235" t="s">
        <v>2245</v>
      </c>
      <c r="D199" s="235" t="s">
        <v>2246</v>
      </c>
      <c r="E199" s="243">
        <v>6.56E13</v>
      </c>
      <c r="F199" s="244"/>
      <c r="G199" s="235" t="s">
        <v>2247</v>
      </c>
      <c r="H199" s="235" t="s">
        <v>2248</v>
      </c>
      <c r="I199" s="235" t="s">
        <v>2248</v>
      </c>
      <c r="J199" s="235" t="s">
        <v>2250</v>
      </c>
      <c r="K199" s="235" t="s">
        <v>2210</v>
      </c>
      <c r="N199" s="235" t="s">
        <v>92</v>
      </c>
      <c r="O199" s="235" t="s">
        <v>248</v>
      </c>
      <c r="P199" s="238">
        <v>1.0</v>
      </c>
      <c r="Q199" s="235" t="s">
        <v>627</v>
      </c>
      <c r="R199" s="238">
        <v>243.8</v>
      </c>
      <c r="S199" s="238">
        <v>12.2</v>
      </c>
      <c r="T199" s="238">
        <v>0.0</v>
      </c>
      <c r="U199" s="238">
        <v>0.0</v>
      </c>
      <c r="V199" s="238">
        <v>0.0</v>
      </c>
      <c r="W199" s="238">
        <v>0.0</v>
      </c>
      <c r="X199" s="235" t="s">
        <v>628</v>
      </c>
      <c r="Z199" s="244"/>
      <c r="AA199" s="244"/>
      <c r="AB199" s="244"/>
      <c r="AC199" s="235" t="s">
        <v>1604</v>
      </c>
      <c r="AD199" s="235" t="s">
        <v>845</v>
      </c>
      <c r="AE199" s="238">
        <v>400072.0</v>
      </c>
      <c r="AF199" s="235" t="s">
        <v>631</v>
      </c>
      <c r="AG199" s="244"/>
      <c r="AH199" s="244"/>
      <c r="AI199" s="245"/>
      <c r="AJ199" s="245"/>
      <c r="AK199" s="245"/>
      <c r="AL199" s="245"/>
      <c r="AM199" s="244"/>
      <c r="AN199" s="244"/>
      <c r="AO199" s="238">
        <v>0.0</v>
      </c>
      <c r="AP199" s="238">
        <v>0.0</v>
      </c>
      <c r="AQ199" s="235" t="s">
        <v>632</v>
      </c>
      <c r="AR199" s="243">
        <v>3.71E11</v>
      </c>
      <c r="AS199" s="235" t="s">
        <v>667</v>
      </c>
      <c r="AT199" s="235" t="s">
        <v>16</v>
      </c>
      <c r="AU199" s="235" t="s">
        <v>634</v>
      </c>
      <c r="AV199" s="246" t="s">
        <v>635</v>
      </c>
      <c r="AW199" s="242"/>
      <c r="AX199" s="242"/>
      <c r="AY199" s="231"/>
      <c r="AZ199" s="231"/>
      <c r="BA199" s="227"/>
      <c r="BB199" s="231"/>
      <c r="BC199" s="227"/>
      <c r="BD199" s="227"/>
      <c r="BE199" s="227"/>
      <c r="BF199" s="227"/>
    </row>
    <row r="200">
      <c r="A200" s="235" t="s">
        <v>2251</v>
      </c>
      <c r="C200" s="235" t="s">
        <v>2252</v>
      </c>
      <c r="D200" s="235" t="s">
        <v>2253</v>
      </c>
      <c r="E200" s="243">
        <v>6.57E13</v>
      </c>
      <c r="F200" s="244"/>
      <c r="G200" s="235" t="s">
        <v>2254</v>
      </c>
      <c r="H200" s="235" t="s">
        <v>2255</v>
      </c>
      <c r="I200" s="235" t="s">
        <v>2256</v>
      </c>
      <c r="J200" s="235" t="s">
        <v>2257</v>
      </c>
      <c r="K200" s="235" t="s">
        <v>2258</v>
      </c>
      <c r="N200" s="235" t="s">
        <v>541</v>
      </c>
      <c r="O200" s="235" t="s">
        <v>664</v>
      </c>
      <c r="P200" s="238">
        <v>1.0</v>
      </c>
      <c r="Q200" s="235" t="s">
        <v>627</v>
      </c>
      <c r="R200" s="238">
        <v>668.64</v>
      </c>
      <c r="S200" s="238">
        <v>120.36</v>
      </c>
      <c r="T200" s="238">
        <v>0.0</v>
      </c>
      <c r="U200" s="238">
        <v>0.0</v>
      </c>
      <c r="V200" s="238">
        <v>0.0</v>
      </c>
      <c r="W200" s="238">
        <v>0.0</v>
      </c>
      <c r="X200" s="235" t="s">
        <v>628</v>
      </c>
      <c r="Z200" s="244"/>
      <c r="AA200" s="244"/>
      <c r="AB200" s="244"/>
      <c r="AC200" s="235" t="s">
        <v>2260</v>
      </c>
      <c r="AD200" s="235" t="s">
        <v>630</v>
      </c>
      <c r="AE200" s="238">
        <v>273013.0</v>
      </c>
      <c r="AF200" s="235" t="s">
        <v>631</v>
      </c>
      <c r="AG200" s="244"/>
      <c r="AH200" s="244"/>
      <c r="AI200" s="245"/>
      <c r="AJ200" s="245"/>
      <c r="AK200" s="245"/>
      <c r="AL200" s="245"/>
      <c r="AM200" s="244"/>
      <c r="AN200" s="244"/>
      <c r="AO200" s="238">
        <v>0.0</v>
      </c>
      <c r="AP200" s="238">
        <v>0.0</v>
      </c>
      <c r="AQ200" s="235" t="s">
        <v>632</v>
      </c>
      <c r="AR200" s="243">
        <v>3.71E11</v>
      </c>
      <c r="AS200" s="235" t="s">
        <v>699</v>
      </c>
      <c r="AT200" s="235" t="s">
        <v>533</v>
      </c>
      <c r="AU200" s="235" t="s">
        <v>634</v>
      </c>
      <c r="AV200" s="246" t="s">
        <v>635</v>
      </c>
      <c r="AW200" s="242"/>
      <c r="AX200" s="242"/>
      <c r="AY200" s="231"/>
      <c r="AZ200" s="231"/>
      <c r="BA200" s="227"/>
      <c r="BB200" s="231"/>
      <c r="BC200" s="227"/>
      <c r="BD200" s="227"/>
      <c r="BE200" s="227"/>
      <c r="BF200" s="227"/>
    </row>
    <row r="201">
      <c r="A201" s="235" t="s">
        <v>2261</v>
      </c>
      <c r="C201" s="235" t="s">
        <v>2262</v>
      </c>
      <c r="D201" s="235" t="s">
        <v>2263</v>
      </c>
      <c r="E201" s="243">
        <v>6.57E13</v>
      </c>
      <c r="F201" s="244"/>
      <c r="G201" s="235" t="s">
        <v>2264</v>
      </c>
      <c r="H201" s="235" t="s">
        <v>2265</v>
      </c>
      <c r="I201" s="235" t="s">
        <v>2265</v>
      </c>
      <c r="J201" s="235" t="s">
        <v>2266</v>
      </c>
      <c r="K201" s="235" t="s">
        <v>2267</v>
      </c>
      <c r="N201" s="235" t="s">
        <v>726</v>
      </c>
      <c r="O201" s="235" t="s">
        <v>727</v>
      </c>
      <c r="P201" s="238">
        <v>1.0</v>
      </c>
      <c r="Q201" s="235" t="s">
        <v>627</v>
      </c>
      <c r="R201" s="238">
        <v>246.67</v>
      </c>
      <c r="S201" s="238">
        <v>12.33</v>
      </c>
      <c r="T201" s="238">
        <v>0.0</v>
      </c>
      <c r="U201" s="238">
        <v>0.0</v>
      </c>
      <c r="V201" s="238">
        <v>0.0</v>
      </c>
      <c r="W201" s="238">
        <v>0.0</v>
      </c>
      <c r="X201" s="235" t="s">
        <v>628</v>
      </c>
      <c r="Z201" s="244"/>
      <c r="AA201" s="244"/>
      <c r="AB201" s="244"/>
      <c r="AC201" s="235" t="s">
        <v>2268</v>
      </c>
      <c r="AD201" s="235" t="s">
        <v>845</v>
      </c>
      <c r="AE201" s="238">
        <v>440018.0</v>
      </c>
      <c r="AF201" s="235" t="s">
        <v>631</v>
      </c>
      <c r="AG201" s="244"/>
      <c r="AH201" s="244"/>
      <c r="AI201" s="245"/>
      <c r="AJ201" s="245"/>
      <c r="AK201" s="245"/>
      <c r="AL201" s="245"/>
      <c r="AM201" s="244"/>
      <c r="AN201" s="244"/>
      <c r="AO201" s="238">
        <v>0.0</v>
      </c>
      <c r="AP201" s="238">
        <v>0.0</v>
      </c>
      <c r="AQ201" s="235" t="s">
        <v>632</v>
      </c>
      <c r="AR201" s="243">
        <v>2.02E11</v>
      </c>
      <c r="AS201" s="235" t="s">
        <v>1367</v>
      </c>
      <c r="AT201" s="235" t="s">
        <v>14</v>
      </c>
      <c r="AU201" s="235" t="s">
        <v>634</v>
      </c>
      <c r="AV201" s="246" t="s">
        <v>635</v>
      </c>
      <c r="AW201" s="242"/>
      <c r="AX201" s="242"/>
      <c r="AY201" s="231"/>
      <c r="AZ201" s="231"/>
      <c r="BA201" s="227"/>
      <c r="BB201" s="231"/>
      <c r="BC201" s="227"/>
      <c r="BD201" s="227"/>
      <c r="BE201" s="227"/>
      <c r="BF201" s="227"/>
    </row>
    <row r="202">
      <c r="A202" s="235" t="s">
        <v>2269</v>
      </c>
      <c r="C202" s="235" t="s">
        <v>2270</v>
      </c>
      <c r="D202" s="235" t="s">
        <v>2271</v>
      </c>
      <c r="E202" s="243">
        <v>6.57E13</v>
      </c>
      <c r="F202" s="244"/>
      <c r="G202" s="235" t="s">
        <v>2272</v>
      </c>
      <c r="H202" s="235" t="s">
        <v>2273</v>
      </c>
      <c r="I202" s="235" t="s">
        <v>2273</v>
      </c>
      <c r="J202" s="235" t="s">
        <v>2274</v>
      </c>
      <c r="K202" s="235" t="s">
        <v>2275</v>
      </c>
      <c r="N202" s="235" t="s">
        <v>71</v>
      </c>
      <c r="O202" s="235" t="s">
        <v>240</v>
      </c>
      <c r="P202" s="238">
        <v>1.0</v>
      </c>
      <c r="Q202" s="235" t="s">
        <v>627</v>
      </c>
      <c r="R202" s="238">
        <v>246.66</v>
      </c>
      <c r="S202" s="238">
        <v>12.34</v>
      </c>
      <c r="T202" s="238">
        <v>94.28</v>
      </c>
      <c r="U202" s="238">
        <v>4.72</v>
      </c>
      <c r="V202" s="238">
        <v>0.0</v>
      </c>
      <c r="W202" s="238">
        <v>0.0</v>
      </c>
      <c r="X202" s="235" t="s">
        <v>628</v>
      </c>
      <c r="Z202" s="244"/>
      <c r="AA202" s="244"/>
      <c r="AB202" s="244"/>
      <c r="AC202" s="235" t="s">
        <v>1671</v>
      </c>
      <c r="AD202" s="235" t="s">
        <v>666</v>
      </c>
      <c r="AE202" s="238">
        <v>641026.0</v>
      </c>
      <c r="AF202" s="235" t="s">
        <v>631</v>
      </c>
      <c r="AG202" s="244"/>
      <c r="AH202" s="244"/>
      <c r="AI202" s="245"/>
      <c r="AJ202" s="245"/>
      <c r="AK202" s="245"/>
      <c r="AL202" s="245"/>
      <c r="AM202" s="244"/>
      <c r="AN202" s="244"/>
      <c r="AO202" s="238">
        <v>0.0</v>
      </c>
      <c r="AP202" s="238">
        <v>0.0</v>
      </c>
      <c r="AQ202" s="235" t="s">
        <v>632</v>
      </c>
      <c r="AR202" s="243">
        <v>1.68E11</v>
      </c>
      <c r="AS202" s="235" t="s">
        <v>2276</v>
      </c>
      <c r="AT202" s="235" t="s">
        <v>155</v>
      </c>
      <c r="AU202" s="235" t="s">
        <v>634</v>
      </c>
      <c r="AV202" s="246" t="s">
        <v>635</v>
      </c>
      <c r="AW202" s="242"/>
      <c r="AX202" s="242"/>
      <c r="AY202" s="231"/>
      <c r="AZ202" s="231"/>
      <c r="BA202" s="227"/>
      <c r="BB202" s="231"/>
      <c r="BC202" s="227"/>
      <c r="BD202" s="227"/>
      <c r="BE202" s="227"/>
      <c r="BF202" s="227"/>
    </row>
    <row r="203">
      <c r="A203" s="235" t="s">
        <v>2277</v>
      </c>
      <c r="C203" s="235" t="s">
        <v>2278</v>
      </c>
      <c r="D203" s="235" t="s">
        <v>2279</v>
      </c>
      <c r="E203" s="243">
        <v>6.57E13</v>
      </c>
      <c r="F203" s="244"/>
      <c r="G203" s="235" t="s">
        <v>2281</v>
      </c>
      <c r="H203" s="235" t="s">
        <v>2282</v>
      </c>
      <c r="I203" s="235" t="s">
        <v>2282</v>
      </c>
      <c r="J203" s="235" t="s">
        <v>2283</v>
      </c>
      <c r="K203" s="235" t="s">
        <v>2284</v>
      </c>
      <c r="N203" s="235" t="s">
        <v>85</v>
      </c>
      <c r="O203" s="235" t="s">
        <v>872</v>
      </c>
      <c r="P203" s="238">
        <v>1.0</v>
      </c>
      <c r="Q203" s="235" t="s">
        <v>627</v>
      </c>
      <c r="R203" s="238">
        <v>246.66</v>
      </c>
      <c r="S203" s="238">
        <v>12.34</v>
      </c>
      <c r="T203" s="238">
        <v>75.24</v>
      </c>
      <c r="U203" s="238">
        <v>3.76</v>
      </c>
      <c r="V203" s="238">
        <v>0.0</v>
      </c>
      <c r="W203" s="238">
        <v>0.0</v>
      </c>
      <c r="X203" s="235" t="s">
        <v>628</v>
      </c>
      <c r="Z203" s="244"/>
      <c r="AA203" s="244"/>
      <c r="AB203" s="244"/>
      <c r="AC203" s="235" t="s">
        <v>2285</v>
      </c>
      <c r="AD203" s="235" t="s">
        <v>679</v>
      </c>
      <c r="AE203" s="238">
        <v>583102.0</v>
      </c>
      <c r="AF203" s="235" t="s">
        <v>631</v>
      </c>
      <c r="AG203" s="244"/>
      <c r="AH203" s="244"/>
      <c r="AI203" s="245"/>
      <c r="AJ203" s="245"/>
      <c r="AK203" s="245"/>
      <c r="AL203" s="245"/>
      <c r="AM203" s="244"/>
      <c r="AN203" s="244"/>
      <c r="AO203" s="238">
        <v>0.0</v>
      </c>
      <c r="AP203" s="238">
        <v>-75.24</v>
      </c>
      <c r="AQ203" s="235" t="s">
        <v>632</v>
      </c>
      <c r="AR203" s="243">
        <v>1.68E11</v>
      </c>
      <c r="AS203" s="235" t="s">
        <v>1367</v>
      </c>
      <c r="AT203" s="235" t="s">
        <v>9</v>
      </c>
      <c r="AU203" s="235" t="s">
        <v>634</v>
      </c>
      <c r="AV203" s="246" t="s">
        <v>635</v>
      </c>
      <c r="AW203" s="242"/>
      <c r="AX203" s="242"/>
      <c r="AY203" s="231"/>
      <c r="AZ203" s="231"/>
      <c r="BA203" s="227"/>
      <c r="BB203" s="231"/>
      <c r="BC203" s="227"/>
      <c r="BD203" s="227"/>
      <c r="BE203" s="227"/>
      <c r="BF203" s="227"/>
    </row>
    <row r="204">
      <c r="A204" s="235" t="s">
        <v>2286</v>
      </c>
      <c r="C204" s="235" t="s">
        <v>2287</v>
      </c>
      <c r="D204" s="235" t="s">
        <v>2288</v>
      </c>
      <c r="E204" s="243">
        <v>6.56E13</v>
      </c>
      <c r="F204" s="244"/>
      <c r="G204" s="235" t="s">
        <v>2289</v>
      </c>
      <c r="H204" s="235" t="s">
        <v>2290</v>
      </c>
      <c r="I204" s="235" t="s">
        <v>2290</v>
      </c>
      <c r="J204" s="235" t="s">
        <v>2291</v>
      </c>
      <c r="K204" s="235" t="s">
        <v>2292</v>
      </c>
      <c r="N204" s="235" t="s">
        <v>90</v>
      </c>
      <c r="O204" s="235" t="s">
        <v>279</v>
      </c>
      <c r="P204" s="238">
        <v>1.0</v>
      </c>
      <c r="Q204" s="235" t="s">
        <v>627</v>
      </c>
      <c r="R204" s="238">
        <v>246.66</v>
      </c>
      <c r="S204" s="238">
        <v>12.34</v>
      </c>
      <c r="T204" s="238">
        <v>38.1</v>
      </c>
      <c r="U204" s="238">
        <v>1.9</v>
      </c>
      <c r="V204" s="238">
        <v>0.0</v>
      </c>
      <c r="W204" s="238">
        <v>0.0</v>
      </c>
      <c r="X204" s="235" t="s">
        <v>628</v>
      </c>
      <c r="Z204" s="244"/>
      <c r="AA204" s="244"/>
      <c r="AB204" s="244"/>
      <c r="AC204" s="235" t="s">
        <v>2293</v>
      </c>
      <c r="AD204" s="235" t="s">
        <v>845</v>
      </c>
      <c r="AE204" s="238">
        <v>431122.0</v>
      </c>
      <c r="AF204" s="235" t="s">
        <v>631</v>
      </c>
      <c r="AG204" s="244"/>
      <c r="AH204" s="244"/>
      <c r="AI204" s="245"/>
      <c r="AJ204" s="245"/>
      <c r="AK204" s="245"/>
      <c r="AL204" s="245"/>
      <c r="AM204" s="244"/>
      <c r="AN204" s="244"/>
      <c r="AO204" s="238">
        <v>0.0</v>
      </c>
      <c r="AP204" s="238">
        <v>-38.1</v>
      </c>
      <c r="AQ204" s="235" t="s">
        <v>632</v>
      </c>
      <c r="AR204" s="243">
        <v>3.71E11</v>
      </c>
      <c r="AS204" s="235" t="s">
        <v>667</v>
      </c>
      <c r="AT204" s="235" t="s">
        <v>546</v>
      </c>
      <c r="AU204" s="235" t="s">
        <v>634</v>
      </c>
      <c r="AV204" s="246" t="s">
        <v>635</v>
      </c>
      <c r="AW204" s="242"/>
      <c r="AX204" s="242"/>
      <c r="AY204" s="231"/>
      <c r="AZ204" s="231"/>
      <c r="BA204" s="227"/>
      <c r="BB204" s="231"/>
      <c r="BC204" s="227"/>
      <c r="BD204" s="227"/>
      <c r="BE204" s="227"/>
      <c r="BF204" s="227"/>
    </row>
    <row r="205">
      <c r="A205" s="235" t="s">
        <v>2294</v>
      </c>
      <c r="C205" s="235" t="s">
        <v>2295</v>
      </c>
      <c r="D205" s="235" t="s">
        <v>2296</v>
      </c>
      <c r="E205" s="243">
        <v>6.57E13</v>
      </c>
      <c r="F205" s="244"/>
      <c r="G205" s="235" t="s">
        <v>2297</v>
      </c>
      <c r="H205" s="235" t="s">
        <v>2298</v>
      </c>
      <c r="I205" s="235" t="s">
        <v>2298</v>
      </c>
      <c r="J205" s="235" t="s">
        <v>2299</v>
      </c>
      <c r="K205" s="235" t="s">
        <v>2300</v>
      </c>
      <c r="N205" s="235" t="s">
        <v>42</v>
      </c>
      <c r="O205" s="235" t="s">
        <v>204</v>
      </c>
      <c r="P205" s="238">
        <v>1.0</v>
      </c>
      <c r="Q205" s="235" t="s">
        <v>627</v>
      </c>
      <c r="R205" s="238">
        <v>237.14</v>
      </c>
      <c r="S205" s="238">
        <v>11.86</v>
      </c>
      <c r="T205" s="238">
        <v>0.0</v>
      </c>
      <c r="U205" s="238">
        <v>0.0</v>
      </c>
      <c r="V205" s="238">
        <v>0.0</v>
      </c>
      <c r="W205" s="238">
        <v>0.0</v>
      </c>
      <c r="X205" s="235" t="s">
        <v>628</v>
      </c>
      <c r="Z205" s="244"/>
      <c r="AA205" s="244"/>
      <c r="AB205" s="244"/>
      <c r="AC205" s="235" t="s">
        <v>2301</v>
      </c>
      <c r="AD205" s="235" t="s">
        <v>833</v>
      </c>
      <c r="AE205" s="238">
        <v>524201.0</v>
      </c>
      <c r="AF205" s="235" t="s">
        <v>631</v>
      </c>
      <c r="AG205" s="244"/>
      <c r="AH205" s="244"/>
      <c r="AI205" s="245"/>
      <c r="AJ205" s="245"/>
      <c r="AK205" s="245"/>
      <c r="AL205" s="245"/>
      <c r="AM205" s="244"/>
      <c r="AN205" s="244"/>
      <c r="AO205" s="238">
        <v>0.0</v>
      </c>
      <c r="AP205" s="238">
        <v>0.0</v>
      </c>
      <c r="AQ205" s="235" t="s">
        <v>632</v>
      </c>
      <c r="AR205" s="243">
        <v>3.71E11</v>
      </c>
      <c r="AS205" s="235" t="s">
        <v>667</v>
      </c>
      <c r="AT205" s="235" t="s">
        <v>11</v>
      </c>
      <c r="AU205" s="235" t="s">
        <v>634</v>
      </c>
      <c r="AV205" s="246" t="s">
        <v>635</v>
      </c>
      <c r="AW205" s="242"/>
      <c r="AX205" s="242"/>
      <c r="AY205" s="231"/>
      <c r="AZ205" s="231"/>
      <c r="BA205" s="227"/>
      <c r="BB205" s="231"/>
      <c r="BC205" s="227"/>
      <c r="BD205" s="227"/>
      <c r="BE205" s="227"/>
      <c r="BF205" s="227"/>
    </row>
    <row r="206">
      <c r="A206" s="235" t="s">
        <v>2302</v>
      </c>
      <c r="C206" s="235" t="s">
        <v>2303</v>
      </c>
      <c r="D206" s="235" t="s">
        <v>2304</v>
      </c>
      <c r="E206" s="243">
        <v>6.57E13</v>
      </c>
      <c r="F206" s="244"/>
      <c r="G206" s="235" t="s">
        <v>2305</v>
      </c>
      <c r="H206" s="235" t="s">
        <v>2306</v>
      </c>
      <c r="I206" s="235" t="s">
        <v>2306</v>
      </c>
      <c r="J206" s="235" t="s">
        <v>2307</v>
      </c>
      <c r="K206" s="235" t="s">
        <v>2308</v>
      </c>
      <c r="N206" s="235" t="s">
        <v>1646</v>
      </c>
      <c r="O206" s="235" t="s">
        <v>1647</v>
      </c>
      <c r="P206" s="238">
        <v>1.0</v>
      </c>
      <c r="Q206" s="235" t="s">
        <v>627</v>
      </c>
      <c r="R206" s="238">
        <v>270.48</v>
      </c>
      <c r="S206" s="238">
        <v>13.52</v>
      </c>
      <c r="T206" s="238">
        <v>38.1</v>
      </c>
      <c r="U206" s="238">
        <v>1.9</v>
      </c>
      <c r="V206" s="238">
        <v>0.0</v>
      </c>
      <c r="W206" s="238">
        <v>0.0</v>
      </c>
      <c r="X206" s="235" t="s">
        <v>628</v>
      </c>
      <c r="Z206" s="244"/>
      <c r="AA206" s="244"/>
      <c r="AB206" s="244"/>
      <c r="AC206" s="235" t="s">
        <v>2309</v>
      </c>
      <c r="AD206" s="235" t="s">
        <v>833</v>
      </c>
      <c r="AE206" s="238">
        <v>516105.0</v>
      </c>
      <c r="AF206" s="235" t="s">
        <v>631</v>
      </c>
      <c r="AG206" s="244"/>
      <c r="AH206" s="244"/>
      <c r="AI206" s="245"/>
      <c r="AJ206" s="245"/>
      <c r="AK206" s="245"/>
      <c r="AL206" s="245"/>
      <c r="AM206" s="244"/>
      <c r="AN206" s="244"/>
      <c r="AO206" s="238">
        <v>0.0</v>
      </c>
      <c r="AP206" s="238">
        <v>-38.1</v>
      </c>
      <c r="AQ206" s="235" t="s">
        <v>632</v>
      </c>
      <c r="AR206" s="243">
        <v>3.71E11</v>
      </c>
      <c r="AS206" s="235" t="s">
        <v>667</v>
      </c>
      <c r="AT206" s="235" t="s">
        <v>11</v>
      </c>
      <c r="AU206" s="235" t="s">
        <v>634</v>
      </c>
      <c r="AV206" s="246" t="s">
        <v>635</v>
      </c>
      <c r="AW206" s="242"/>
      <c r="AX206" s="242"/>
      <c r="AY206" s="231"/>
      <c r="AZ206" s="231"/>
      <c r="BA206" s="227"/>
      <c r="BB206" s="231"/>
      <c r="BC206" s="227"/>
      <c r="BD206" s="227"/>
      <c r="BE206" s="227"/>
      <c r="BF206" s="227"/>
    </row>
    <row r="207">
      <c r="A207" s="235" t="s">
        <v>2310</v>
      </c>
      <c r="C207" s="235" t="s">
        <v>2311</v>
      </c>
      <c r="D207" s="235" t="s">
        <v>2312</v>
      </c>
      <c r="E207" s="243">
        <v>6.57E13</v>
      </c>
      <c r="F207" s="244"/>
      <c r="G207" s="235" t="s">
        <v>2313</v>
      </c>
      <c r="H207" s="235" t="s">
        <v>2314</v>
      </c>
      <c r="I207" s="235" t="s">
        <v>2314</v>
      </c>
      <c r="J207" s="235" t="s">
        <v>2315</v>
      </c>
      <c r="K207" s="235" t="s">
        <v>2316</v>
      </c>
      <c r="N207" s="235" t="s">
        <v>134</v>
      </c>
      <c r="O207" s="235" t="s">
        <v>314</v>
      </c>
      <c r="P207" s="238">
        <v>1.0</v>
      </c>
      <c r="Q207" s="235" t="s">
        <v>627</v>
      </c>
      <c r="R207" s="238">
        <v>246.66</v>
      </c>
      <c r="S207" s="238">
        <v>12.34</v>
      </c>
      <c r="T207" s="238">
        <v>38.1</v>
      </c>
      <c r="U207" s="238">
        <v>1.9</v>
      </c>
      <c r="V207" s="238">
        <v>0.0</v>
      </c>
      <c r="W207" s="238">
        <v>0.0</v>
      </c>
      <c r="X207" s="235" t="s">
        <v>628</v>
      </c>
      <c r="Z207" s="244"/>
      <c r="AA207" s="244"/>
      <c r="AB207" s="244"/>
      <c r="AC207" s="235" t="s">
        <v>678</v>
      </c>
      <c r="AD207" s="235" t="s">
        <v>679</v>
      </c>
      <c r="AE207" s="238">
        <v>560043.0</v>
      </c>
      <c r="AF207" s="235" t="s">
        <v>631</v>
      </c>
      <c r="AG207" s="244"/>
      <c r="AH207" s="244"/>
      <c r="AI207" s="245"/>
      <c r="AJ207" s="245"/>
      <c r="AK207" s="245"/>
      <c r="AL207" s="245"/>
      <c r="AM207" s="244"/>
      <c r="AN207" s="244"/>
      <c r="AO207" s="238">
        <v>0.0</v>
      </c>
      <c r="AP207" s="238">
        <v>-38.1</v>
      </c>
      <c r="AQ207" s="235" t="s">
        <v>632</v>
      </c>
      <c r="AR207" s="243">
        <v>3.71E11</v>
      </c>
      <c r="AS207" s="235" t="s">
        <v>1367</v>
      </c>
      <c r="AT207" s="235" t="s">
        <v>9</v>
      </c>
      <c r="AU207" s="235" t="s">
        <v>634</v>
      </c>
      <c r="AV207" s="246" t="s">
        <v>635</v>
      </c>
      <c r="AW207" s="242"/>
      <c r="AX207" s="242"/>
      <c r="AY207" s="231"/>
      <c r="AZ207" s="231"/>
      <c r="BA207" s="227"/>
      <c r="BB207" s="231"/>
      <c r="BC207" s="227"/>
      <c r="BD207" s="227"/>
      <c r="BE207" s="227"/>
      <c r="BF207" s="227"/>
    </row>
    <row r="208">
      <c r="A208" s="235" t="s">
        <v>2318</v>
      </c>
      <c r="C208" s="235" t="s">
        <v>2319</v>
      </c>
      <c r="D208" s="235" t="s">
        <v>2320</v>
      </c>
      <c r="E208" s="243">
        <v>6.57E13</v>
      </c>
      <c r="F208" s="244"/>
      <c r="G208" s="235" t="s">
        <v>2321</v>
      </c>
      <c r="H208" s="235" t="s">
        <v>2322</v>
      </c>
      <c r="I208" s="235" t="s">
        <v>2322</v>
      </c>
      <c r="J208" s="235" t="s">
        <v>2323</v>
      </c>
      <c r="K208" s="235" t="s">
        <v>2324</v>
      </c>
      <c r="N208" s="235" t="s">
        <v>566</v>
      </c>
      <c r="O208" s="235" t="s">
        <v>1834</v>
      </c>
      <c r="P208" s="238">
        <v>1.0</v>
      </c>
      <c r="Q208" s="235" t="s">
        <v>627</v>
      </c>
      <c r="R208" s="238">
        <v>422.88</v>
      </c>
      <c r="S208" s="238">
        <v>76.12</v>
      </c>
      <c r="T208" s="238">
        <v>0.0</v>
      </c>
      <c r="U208" s="238">
        <v>0.0</v>
      </c>
      <c r="V208" s="238">
        <v>0.0</v>
      </c>
      <c r="W208" s="238">
        <v>0.0</v>
      </c>
      <c r="X208" s="235" t="s">
        <v>628</v>
      </c>
      <c r="Z208" s="244"/>
      <c r="AA208" s="244"/>
      <c r="AB208" s="244"/>
      <c r="AC208" s="235" t="s">
        <v>2325</v>
      </c>
      <c r="AD208" s="235" t="s">
        <v>645</v>
      </c>
      <c r="AE208" s="238">
        <v>682025.0</v>
      </c>
      <c r="AF208" s="235" t="s">
        <v>631</v>
      </c>
      <c r="AG208" s="244"/>
      <c r="AH208" s="244"/>
      <c r="AI208" s="245"/>
      <c r="AJ208" s="245"/>
      <c r="AK208" s="245"/>
      <c r="AL208" s="245"/>
      <c r="AM208" s="244"/>
      <c r="AN208" s="244"/>
      <c r="AO208" s="238">
        <v>0.0</v>
      </c>
      <c r="AP208" s="238">
        <v>0.0</v>
      </c>
      <c r="AQ208" s="235" t="s">
        <v>632</v>
      </c>
      <c r="AR208" s="243">
        <v>3.71E11</v>
      </c>
      <c r="AS208" s="235" t="s">
        <v>1367</v>
      </c>
      <c r="AT208" s="235" t="s">
        <v>155</v>
      </c>
      <c r="AU208" s="235" t="s">
        <v>634</v>
      </c>
      <c r="AV208" s="246" t="s">
        <v>635</v>
      </c>
      <c r="AW208" s="242"/>
      <c r="AX208" s="242"/>
      <c r="AY208" s="231"/>
      <c r="AZ208" s="231"/>
      <c r="BA208" s="227"/>
      <c r="BB208" s="231"/>
      <c r="BC208" s="227"/>
      <c r="BD208" s="227"/>
      <c r="BE208" s="227"/>
      <c r="BF208" s="227"/>
    </row>
    <row r="209">
      <c r="A209" s="235" t="s">
        <v>2326</v>
      </c>
      <c r="C209" s="235" t="s">
        <v>2327</v>
      </c>
      <c r="D209" s="235" t="s">
        <v>2328</v>
      </c>
      <c r="E209" s="243">
        <v>6.57E13</v>
      </c>
      <c r="F209" s="244"/>
      <c r="G209" s="235" t="s">
        <v>2329</v>
      </c>
      <c r="H209" s="235" t="s">
        <v>2330</v>
      </c>
      <c r="I209" s="235" t="s">
        <v>2330</v>
      </c>
      <c r="J209" s="235" t="s">
        <v>2331</v>
      </c>
      <c r="K209" s="235" t="s">
        <v>2332</v>
      </c>
      <c r="N209" s="235" t="s">
        <v>127</v>
      </c>
      <c r="O209" s="235" t="s">
        <v>794</v>
      </c>
      <c r="P209" s="238">
        <v>1.0</v>
      </c>
      <c r="Q209" s="235" t="s">
        <v>627</v>
      </c>
      <c r="R209" s="238">
        <v>246.67</v>
      </c>
      <c r="S209" s="238">
        <v>12.33</v>
      </c>
      <c r="T209" s="238">
        <v>0.0</v>
      </c>
      <c r="U209" s="238">
        <v>0.0</v>
      </c>
      <c r="V209" s="238">
        <v>0.0</v>
      </c>
      <c r="W209" s="238">
        <v>0.0</v>
      </c>
      <c r="X209" s="235" t="s">
        <v>628</v>
      </c>
      <c r="Z209" s="244"/>
      <c r="AA209" s="244"/>
      <c r="AB209" s="244"/>
      <c r="AC209" s="235" t="s">
        <v>2333</v>
      </c>
      <c r="AD209" s="235" t="s">
        <v>645</v>
      </c>
      <c r="AE209" s="238">
        <v>689614.0</v>
      </c>
      <c r="AF209" s="235" t="s">
        <v>631</v>
      </c>
      <c r="AG209" s="244"/>
      <c r="AH209" s="244"/>
      <c r="AI209" s="245"/>
      <c r="AJ209" s="245"/>
      <c r="AK209" s="245"/>
      <c r="AL209" s="245"/>
      <c r="AM209" s="244"/>
      <c r="AN209" s="244"/>
      <c r="AO209" s="238">
        <v>0.0</v>
      </c>
      <c r="AP209" s="238">
        <v>0.0</v>
      </c>
      <c r="AQ209" s="235" t="s">
        <v>632</v>
      </c>
      <c r="AR209" s="243">
        <v>3.71E11</v>
      </c>
      <c r="AS209" s="235" t="s">
        <v>667</v>
      </c>
      <c r="AT209" s="235" t="s">
        <v>155</v>
      </c>
      <c r="AU209" s="235" t="s">
        <v>634</v>
      </c>
      <c r="AV209" s="246" t="s">
        <v>635</v>
      </c>
      <c r="AW209" s="242"/>
      <c r="AX209" s="242"/>
      <c r="AY209" s="231"/>
      <c r="AZ209" s="231"/>
      <c r="BA209" s="227"/>
      <c r="BB209" s="231"/>
      <c r="BC209" s="227"/>
      <c r="BD209" s="227"/>
      <c r="BE209" s="227"/>
      <c r="BF209" s="227"/>
    </row>
    <row r="210">
      <c r="A210" s="235" t="s">
        <v>2334</v>
      </c>
      <c r="C210" s="235" t="s">
        <v>2335</v>
      </c>
      <c r="D210" s="235" t="s">
        <v>2336</v>
      </c>
      <c r="E210" s="243">
        <v>6.57E13</v>
      </c>
      <c r="F210" s="244"/>
      <c r="G210" s="235" t="s">
        <v>2337</v>
      </c>
      <c r="H210" s="235" t="s">
        <v>2338</v>
      </c>
      <c r="I210" s="235" t="s">
        <v>2338</v>
      </c>
      <c r="J210" s="235" t="s">
        <v>2339</v>
      </c>
      <c r="K210" s="235" t="s">
        <v>2340</v>
      </c>
      <c r="N210" s="235" t="s">
        <v>41</v>
      </c>
      <c r="O210" s="235" t="s">
        <v>291</v>
      </c>
      <c r="P210" s="238">
        <v>1.0</v>
      </c>
      <c r="Q210" s="235" t="s">
        <v>627</v>
      </c>
      <c r="R210" s="238">
        <v>237.14</v>
      </c>
      <c r="S210" s="238">
        <v>11.62</v>
      </c>
      <c r="T210" s="238">
        <v>0.0</v>
      </c>
      <c r="U210" s="238">
        <v>0.0</v>
      </c>
      <c r="V210" s="238">
        <v>0.0</v>
      </c>
      <c r="W210" s="238">
        <v>0.0</v>
      </c>
      <c r="X210" s="235" t="s">
        <v>628</v>
      </c>
      <c r="Z210" s="244"/>
      <c r="AA210" s="244"/>
      <c r="AB210" s="244"/>
      <c r="AC210" s="235" t="s">
        <v>2341</v>
      </c>
      <c r="AD210" s="235" t="s">
        <v>928</v>
      </c>
      <c r="AE210" s="238">
        <v>122003.0</v>
      </c>
      <c r="AF210" s="235" t="s">
        <v>631</v>
      </c>
      <c r="AG210" s="244"/>
      <c r="AH210" s="244"/>
      <c r="AI210" s="245"/>
      <c r="AJ210" s="245"/>
      <c r="AK210" s="245"/>
      <c r="AL210" s="245"/>
      <c r="AM210" s="244"/>
      <c r="AN210" s="244"/>
      <c r="AO210" s="238">
        <v>-4.74</v>
      </c>
      <c r="AP210" s="238">
        <v>0.0</v>
      </c>
      <c r="AQ210" s="235" t="s">
        <v>632</v>
      </c>
      <c r="AR210" s="243">
        <v>2.02E11</v>
      </c>
      <c r="AS210" s="235" t="s">
        <v>1367</v>
      </c>
      <c r="AT210" s="235" t="s">
        <v>9</v>
      </c>
      <c r="AU210" s="235" t="s">
        <v>634</v>
      </c>
      <c r="AV210" s="246" t="s">
        <v>635</v>
      </c>
      <c r="AW210" s="242"/>
      <c r="AX210" s="242"/>
      <c r="AY210" s="231"/>
      <c r="AZ210" s="231"/>
      <c r="BA210" s="227"/>
      <c r="BB210" s="231"/>
      <c r="BC210" s="227"/>
      <c r="BD210" s="227"/>
      <c r="BE210" s="227"/>
      <c r="BF210" s="227"/>
    </row>
    <row r="211">
      <c r="A211" s="235" t="s">
        <v>2342</v>
      </c>
      <c r="C211" s="235" t="s">
        <v>2343</v>
      </c>
      <c r="D211" s="235" t="s">
        <v>2344</v>
      </c>
      <c r="E211" s="243">
        <v>6.57E13</v>
      </c>
      <c r="F211" s="244"/>
      <c r="G211" s="235" t="s">
        <v>2345</v>
      </c>
      <c r="H211" s="235" t="s">
        <v>2346</v>
      </c>
      <c r="I211" s="235" t="s">
        <v>2347</v>
      </c>
      <c r="J211" s="235" t="s">
        <v>2348</v>
      </c>
      <c r="K211" s="235" t="s">
        <v>2349</v>
      </c>
      <c r="N211" s="235" t="s">
        <v>31</v>
      </c>
      <c r="O211" s="235" t="s">
        <v>954</v>
      </c>
      <c r="P211" s="238">
        <v>1.0</v>
      </c>
      <c r="Q211" s="235" t="s">
        <v>627</v>
      </c>
      <c r="R211" s="238">
        <v>446.67</v>
      </c>
      <c r="S211" s="238">
        <v>22.33</v>
      </c>
      <c r="T211" s="238">
        <v>0.0</v>
      </c>
      <c r="U211" s="238">
        <v>0.0</v>
      </c>
      <c r="V211" s="238">
        <v>0.0</v>
      </c>
      <c r="W211" s="238">
        <v>0.0</v>
      </c>
      <c r="X211" s="235" t="s">
        <v>628</v>
      </c>
      <c r="Z211" s="244"/>
      <c r="AA211" s="244"/>
      <c r="AB211" s="244"/>
      <c r="AC211" s="235" t="s">
        <v>2350</v>
      </c>
      <c r="AD211" s="235" t="s">
        <v>917</v>
      </c>
      <c r="AE211" s="238">
        <v>342005.0</v>
      </c>
      <c r="AF211" s="235" t="s">
        <v>631</v>
      </c>
      <c r="AG211" s="244"/>
      <c r="AH211" s="244"/>
      <c r="AI211" s="245"/>
      <c r="AJ211" s="245"/>
      <c r="AK211" s="245"/>
      <c r="AL211" s="245"/>
      <c r="AM211" s="244"/>
      <c r="AN211" s="244"/>
      <c r="AO211" s="238">
        <v>0.0</v>
      </c>
      <c r="AP211" s="238">
        <v>0.0</v>
      </c>
      <c r="AQ211" s="235" t="s">
        <v>632</v>
      </c>
      <c r="AR211" s="243">
        <v>3.71E11</v>
      </c>
      <c r="AS211" s="235" t="s">
        <v>667</v>
      </c>
      <c r="AT211" s="235" t="s">
        <v>13</v>
      </c>
      <c r="AU211" s="235" t="s">
        <v>634</v>
      </c>
      <c r="AV211" s="246" t="s">
        <v>635</v>
      </c>
      <c r="AW211" s="242"/>
      <c r="AX211" s="242"/>
      <c r="AY211" s="231"/>
      <c r="AZ211" s="231"/>
      <c r="BA211" s="227"/>
      <c r="BB211" s="231"/>
      <c r="BC211" s="227"/>
      <c r="BD211" s="227"/>
      <c r="BE211" s="227"/>
      <c r="BF211" s="227"/>
    </row>
    <row r="212">
      <c r="A212" s="235" t="s">
        <v>2351</v>
      </c>
      <c r="C212" s="235" t="s">
        <v>2352</v>
      </c>
      <c r="D212" s="235" t="s">
        <v>2353</v>
      </c>
      <c r="E212" s="243">
        <v>6.57E13</v>
      </c>
      <c r="F212" s="244"/>
      <c r="G212" s="235" t="s">
        <v>2354</v>
      </c>
      <c r="H212" s="235" t="s">
        <v>2355</v>
      </c>
      <c r="I212" s="235" t="s">
        <v>2355</v>
      </c>
      <c r="J212" s="235" t="s">
        <v>2356</v>
      </c>
      <c r="K212" s="235" t="s">
        <v>2349</v>
      </c>
      <c r="N212" s="235" t="s">
        <v>33</v>
      </c>
      <c r="O212" s="235" t="s">
        <v>1009</v>
      </c>
      <c r="P212" s="238">
        <v>1.0</v>
      </c>
      <c r="Q212" s="235" t="s">
        <v>627</v>
      </c>
      <c r="R212" s="238">
        <v>446.67</v>
      </c>
      <c r="S212" s="238">
        <v>21.66</v>
      </c>
      <c r="T212" s="238">
        <v>0.0</v>
      </c>
      <c r="U212" s="238">
        <v>0.0</v>
      </c>
      <c r="V212" s="238">
        <v>0.0</v>
      </c>
      <c r="W212" s="238">
        <v>0.0</v>
      </c>
      <c r="X212" s="235" t="s">
        <v>628</v>
      </c>
      <c r="Z212" s="244"/>
      <c r="AA212" s="244"/>
      <c r="AB212" s="244"/>
      <c r="AC212" s="235" t="s">
        <v>2350</v>
      </c>
      <c r="AD212" s="235" t="s">
        <v>917</v>
      </c>
      <c r="AE212" s="238">
        <v>342005.0</v>
      </c>
      <c r="AF212" s="235" t="s">
        <v>631</v>
      </c>
      <c r="AG212" s="244"/>
      <c r="AH212" s="244"/>
      <c r="AI212" s="245"/>
      <c r="AJ212" s="245"/>
      <c r="AK212" s="245"/>
      <c r="AL212" s="245"/>
      <c r="AM212" s="244"/>
      <c r="AN212" s="244"/>
      <c r="AO212" s="238">
        <v>-13.4</v>
      </c>
      <c r="AP212" s="238">
        <v>0.0</v>
      </c>
      <c r="AQ212" s="235" t="s">
        <v>632</v>
      </c>
      <c r="AR212" s="243">
        <v>3.71E11</v>
      </c>
      <c r="AS212" s="235" t="s">
        <v>667</v>
      </c>
      <c r="AT212" s="235" t="s">
        <v>13</v>
      </c>
      <c r="AU212" s="235" t="s">
        <v>634</v>
      </c>
      <c r="AV212" s="246" t="s">
        <v>635</v>
      </c>
      <c r="AW212" s="242"/>
      <c r="AX212" s="242"/>
      <c r="AY212" s="231"/>
      <c r="AZ212" s="231"/>
      <c r="BA212" s="227"/>
      <c r="BB212" s="231"/>
      <c r="BC212" s="227"/>
      <c r="BD212" s="227"/>
      <c r="BE212" s="227"/>
      <c r="BF212" s="227"/>
    </row>
    <row r="213">
      <c r="A213" s="235" t="s">
        <v>2358</v>
      </c>
      <c r="C213" s="235" t="s">
        <v>2359</v>
      </c>
      <c r="D213" s="235" t="s">
        <v>2360</v>
      </c>
      <c r="E213" s="243">
        <v>6.57E13</v>
      </c>
      <c r="F213" s="244"/>
      <c r="G213" s="235" t="s">
        <v>2361</v>
      </c>
      <c r="H213" s="235" t="s">
        <v>2362</v>
      </c>
      <c r="I213" s="235" t="s">
        <v>2362</v>
      </c>
      <c r="J213" s="235" t="s">
        <v>2363</v>
      </c>
      <c r="K213" s="235" t="s">
        <v>2364</v>
      </c>
      <c r="N213" s="235" t="s">
        <v>42</v>
      </c>
      <c r="O213" s="235" t="s">
        <v>204</v>
      </c>
      <c r="P213" s="238">
        <v>1.0</v>
      </c>
      <c r="Q213" s="235" t="s">
        <v>627</v>
      </c>
      <c r="R213" s="238">
        <v>237.14</v>
      </c>
      <c r="S213" s="238">
        <v>11.86</v>
      </c>
      <c r="T213" s="238">
        <v>0.0</v>
      </c>
      <c r="U213" s="238">
        <v>0.0</v>
      </c>
      <c r="V213" s="238">
        <v>0.0</v>
      </c>
      <c r="W213" s="238">
        <v>0.0</v>
      </c>
      <c r="X213" s="235" t="s">
        <v>628</v>
      </c>
      <c r="Z213" s="244"/>
      <c r="AA213" s="244"/>
      <c r="AB213" s="244"/>
      <c r="AC213" s="235" t="s">
        <v>678</v>
      </c>
      <c r="AD213" s="235" t="s">
        <v>679</v>
      </c>
      <c r="AE213" s="238">
        <v>560066.0</v>
      </c>
      <c r="AF213" s="235" t="s">
        <v>631</v>
      </c>
      <c r="AG213" s="244"/>
      <c r="AH213" s="244"/>
      <c r="AI213" s="245"/>
      <c r="AJ213" s="245"/>
      <c r="AK213" s="245"/>
      <c r="AL213" s="245"/>
      <c r="AM213" s="244"/>
      <c r="AN213" s="244"/>
      <c r="AO213" s="238">
        <v>0.0</v>
      </c>
      <c r="AP213" s="238">
        <v>0.0</v>
      </c>
      <c r="AQ213" s="235" t="s">
        <v>632</v>
      </c>
      <c r="AR213" s="243">
        <v>1.68E11</v>
      </c>
      <c r="AS213" s="235" t="s">
        <v>2276</v>
      </c>
      <c r="AT213" s="235" t="s">
        <v>11</v>
      </c>
      <c r="AU213" s="235" t="s">
        <v>634</v>
      </c>
      <c r="AV213" s="246" t="s">
        <v>635</v>
      </c>
      <c r="AW213" s="242"/>
      <c r="AX213" s="242"/>
      <c r="AY213" s="231"/>
      <c r="AZ213" s="231"/>
      <c r="BA213" s="227"/>
      <c r="BB213" s="231"/>
      <c r="BC213" s="227"/>
      <c r="BD213" s="227"/>
      <c r="BE213" s="227"/>
      <c r="BF213" s="227"/>
    </row>
    <row r="214">
      <c r="A214" s="235" t="s">
        <v>2365</v>
      </c>
      <c r="C214" s="235" t="s">
        <v>2366</v>
      </c>
      <c r="D214" s="235" t="s">
        <v>2367</v>
      </c>
      <c r="E214" s="243">
        <v>6.57E13</v>
      </c>
      <c r="F214" s="244"/>
      <c r="G214" s="235" t="s">
        <v>2368</v>
      </c>
      <c r="H214" s="235" t="s">
        <v>2369</v>
      </c>
      <c r="I214" s="235" t="s">
        <v>2369</v>
      </c>
      <c r="J214" s="235" t="s">
        <v>2370</v>
      </c>
      <c r="K214" s="235" t="s">
        <v>2371</v>
      </c>
      <c r="N214" s="235" t="s">
        <v>47</v>
      </c>
      <c r="O214" s="235" t="s">
        <v>270</v>
      </c>
      <c r="P214" s="238">
        <v>1.0</v>
      </c>
      <c r="Q214" s="235" t="s">
        <v>627</v>
      </c>
      <c r="R214" s="238">
        <v>237.14</v>
      </c>
      <c r="S214" s="238">
        <v>11.86</v>
      </c>
      <c r="T214" s="238">
        <v>38.1</v>
      </c>
      <c r="U214" s="238">
        <v>1.9</v>
      </c>
      <c r="V214" s="238">
        <v>0.0</v>
      </c>
      <c r="W214" s="238">
        <v>0.0</v>
      </c>
      <c r="X214" s="235" t="s">
        <v>628</v>
      </c>
      <c r="Z214" s="244"/>
      <c r="AA214" s="244"/>
      <c r="AB214" s="244"/>
      <c r="AC214" s="235" t="s">
        <v>687</v>
      </c>
      <c r="AD214" s="235" t="s">
        <v>666</v>
      </c>
      <c r="AE214" s="238">
        <v>600048.0</v>
      </c>
      <c r="AF214" s="235" t="s">
        <v>631</v>
      </c>
      <c r="AG214" s="244"/>
      <c r="AH214" s="244"/>
      <c r="AI214" s="245"/>
      <c r="AJ214" s="245"/>
      <c r="AK214" s="245"/>
      <c r="AL214" s="245"/>
      <c r="AM214" s="244"/>
      <c r="AN214" s="244"/>
      <c r="AO214" s="238">
        <v>0.0</v>
      </c>
      <c r="AP214" s="238">
        <v>-38.1</v>
      </c>
      <c r="AQ214" s="235" t="s">
        <v>632</v>
      </c>
      <c r="AR214" s="243">
        <v>3.71E11</v>
      </c>
      <c r="AS214" s="235" t="s">
        <v>1367</v>
      </c>
      <c r="AT214" s="235" t="s">
        <v>156</v>
      </c>
      <c r="AU214" s="235" t="s">
        <v>634</v>
      </c>
      <c r="AV214" s="246" t="s">
        <v>635</v>
      </c>
      <c r="AW214" s="242"/>
      <c r="AX214" s="242"/>
      <c r="AY214" s="231"/>
      <c r="AZ214" s="231"/>
      <c r="BA214" s="227"/>
      <c r="BB214" s="231"/>
      <c r="BC214" s="227"/>
      <c r="BD214" s="227"/>
      <c r="BE214" s="227"/>
      <c r="BF214" s="227"/>
    </row>
    <row r="215">
      <c r="A215" s="235" t="s">
        <v>2372</v>
      </c>
      <c r="C215" s="235" t="s">
        <v>2373</v>
      </c>
      <c r="D215" s="235" t="s">
        <v>2374</v>
      </c>
      <c r="E215" s="243">
        <v>6.57E13</v>
      </c>
      <c r="F215" s="244"/>
      <c r="G215" s="235" t="s">
        <v>2375</v>
      </c>
      <c r="H215" s="235" t="s">
        <v>2376</v>
      </c>
      <c r="I215" s="235" t="s">
        <v>2376</v>
      </c>
      <c r="J215" s="235" t="s">
        <v>2377</v>
      </c>
      <c r="K215" s="235" t="s">
        <v>2378</v>
      </c>
      <c r="N215" s="235" t="s">
        <v>139</v>
      </c>
      <c r="O215" s="235" t="s">
        <v>2091</v>
      </c>
      <c r="P215" s="238">
        <v>1.0</v>
      </c>
      <c r="Q215" s="235" t="s">
        <v>627</v>
      </c>
      <c r="R215" s="238">
        <v>246.67</v>
      </c>
      <c r="S215" s="238">
        <v>12.33</v>
      </c>
      <c r="T215" s="238">
        <v>0.0</v>
      </c>
      <c r="U215" s="238">
        <v>0.0</v>
      </c>
      <c r="V215" s="238">
        <v>0.0</v>
      </c>
      <c r="W215" s="238">
        <v>0.0</v>
      </c>
      <c r="X215" s="235" t="s">
        <v>628</v>
      </c>
      <c r="Z215" s="244"/>
      <c r="AA215" s="244"/>
      <c r="AB215" s="244"/>
      <c r="AC215" s="235" t="s">
        <v>2379</v>
      </c>
      <c r="AD215" s="235" t="s">
        <v>630</v>
      </c>
      <c r="AE215" s="238">
        <v>211002.0</v>
      </c>
      <c r="AF215" s="235" t="s">
        <v>631</v>
      </c>
      <c r="AG215" s="244"/>
      <c r="AH215" s="244"/>
      <c r="AI215" s="245"/>
      <c r="AJ215" s="245"/>
      <c r="AK215" s="245"/>
      <c r="AL215" s="245"/>
      <c r="AM215" s="244"/>
      <c r="AN215" s="244"/>
      <c r="AO215" s="238">
        <v>0.0</v>
      </c>
      <c r="AP215" s="238">
        <v>0.0</v>
      </c>
      <c r="AQ215" s="235" t="s">
        <v>632</v>
      </c>
      <c r="AR215" s="243">
        <v>3.71E11</v>
      </c>
      <c r="AS215" s="235" t="s">
        <v>699</v>
      </c>
      <c r="AT215" s="235" t="s">
        <v>533</v>
      </c>
      <c r="AU215" s="235" t="s">
        <v>634</v>
      </c>
      <c r="AV215" s="246" t="s">
        <v>635</v>
      </c>
      <c r="AW215" s="242"/>
      <c r="AX215" s="242"/>
      <c r="AY215" s="231"/>
      <c r="AZ215" s="231"/>
      <c r="BA215" s="227"/>
      <c r="BB215" s="231"/>
      <c r="BC215" s="227"/>
      <c r="BD215" s="227"/>
      <c r="BE215" s="227"/>
      <c r="BF215" s="227"/>
    </row>
    <row r="216">
      <c r="A216" s="235" t="s">
        <v>2380</v>
      </c>
      <c r="C216" s="235" t="s">
        <v>2381</v>
      </c>
      <c r="D216" s="235" t="s">
        <v>2382</v>
      </c>
      <c r="E216" s="243">
        <v>6.57E13</v>
      </c>
      <c r="F216" s="244"/>
      <c r="G216" s="235" t="s">
        <v>2383</v>
      </c>
      <c r="H216" s="235" t="s">
        <v>2384</v>
      </c>
      <c r="I216" s="235" t="s">
        <v>2384</v>
      </c>
      <c r="J216" s="235" t="s">
        <v>2385</v>
      </c>
      <c r="K216" s="235" t="s">
        <v>2386</v>
      </c>
      <c r="N216" s="235" t="s">
        <v>989</v>
      </c>
      <c r="O216" s="235" t="s">
        <v>990</v>
      </c>
      <c r="P216" s="238">
        <v>1.0</v>
      </c>
      <c r="Q216" s="235" t="s">
        <v>627</v>
      </c>
      <c r="R216" s="238">
        <v>256.2</v>
      </c>
      <c r="S216" s="238">
        <v>12.8</v>
      </c>
      <c r="T216" s="238">
        <v>0.0</v>
      </c>
      <c r="U216" s="238">
        <v>0.0</v>
      </c>
      <c r="V216" s="238">
        <v>0.0</v>
      </c>
      <c r="W216" s="238">
        <v>0.0</v>
      </c>
      <c r="X216" s="235" t="s">
        <v>628</v>
      </c>
      <c r="Z216" s="244"/>
      <c r="AA216" s="244"/>
      <c r="AB216" s="244"/>
      <c r="AC216" s="235" t="s">
        <v>1058</v>
      </c>
      <c r="AD216" s="235" t="s">
        <v>845</v>
      </c>
      <c r="AE216" s="238">
        <v>400093.0</v>
      </c>
      <c r="AF216" s="235" t="s">
        <v>631</v>
      </c>
      <c r="AG216" s="244"/>
      <c r="AH216" s="244"/>
      <c r="AI216" s="245"/>
      <c r="AJ216" s="245"/>
      <c r="AK216" s="245"/>
      <c r="AL216" s="245"/>
      <c r="AM216" s="244"/>
      <c r="AN216" s="244"/>
      <c r="AO216" s="238">
        <v>0.0</v>
      </c>
      <c r="AP216" s="238">
        <v>0.0</v>
      </c>
      <c r="AQ216" s="235" t="s">
        <v>632</v>
      </c>
      <c r="AR216" s="243">
        <v>3.71E11</v>
      </c>
      <c r="AS216" s="235" t="s">
        <v>1367</v>
      </c>
      <c r="AT216" s="235" t="s">
        <v>17</v>
      </c>
      <c r="AU216" s="235" t="s">
        <v>634</v>
      </c>
      <c r="AV216" s="246" t="s">
        <v>635</v>
      </c>
      <c r="AW216" s="242"/>
      <c r="AX216" s="242"/>
      <c r="AY216" s="231"/>
      <c r="AZ216" s="231"/>
      <c r="BA216" s="227"/>
      <c r="BB216" s="231"/>
      <c r="BC216" s="227"/>
      <c r="BD216" s="227"/>
      <c r="BE216" s="227"/>
      <c r="BF216" s="227"/>
    </row>
    <row r="217">
      <c r="A217" s="235" t="s">
        <v>2387</v>
      </c>
      <c r="C217" s="235" t="s">
        <v>2388</v>
      </c>
      <c r="D217" s="235" t="s">
        <v>2389</v>
      </c>
      <c r="E217" s="243">
        <v>6.57E13</v>
      </c>
      <c r="F217" s="244"/>
      <c r="G217" s="235" t="s">
        <v>2390</v>
      </c>
      <c r="H217" s="235" t="s">
        <v>2391</v>
      </c>
      <c r="I217" s="235" t="s">
        <v>2391</v>
      </c>
      <c r="J217" s="235" t="s">
        <v>2392</v>
      </c>
      <c r="K217" s="235" t="s">
        <v>2393</v>
      </c>
      <c r="N217" s="235" t="s">
        <v>136</v>
      </c>
      <c r="O217" s="235" t="s">
        <v>256</v>
      </c>
      <c r="P217" s="238">
        <v>1.0</v>
      </c>
      <c r="Q217" s="235" t="s">
        <v>627</v>
      </c>
      <c r="R217" s="238">
        <v>246.67</v>
      </c>
      <c r="S217" s="238">
        <v>12.33</v>
      </c>
      <c r="T217" s="238">
        <v>0.0</v>
      </c>
      <c r="U217" s="238">
        <v>0.0</v>
      </c>
      <c r="V217" s="238">
        <v>0.0</v>
      </c>
      <c r="W217" s="238">
        <v>0.0</v>
      </c>
      <c r="X217" s="235" t="s">
        <v>628</v>
      </c>
      <c r="Z217" s="244"/>
      <c r="AA217" s="244"/>
      <c r="AB217" s="244"/>
      <c r="AC217" s="235" t="s">
        <v>2394</v>
      </c>
      <c r="AD217" s="235" t="s">
        <v>854</v>
      </c>
      <c r="AE217" s="238">
        <v>403002.0</v>
      </c>
      <c r="AF217" s="235" t="s">
        <v>631</v>
      </c>
      <c r="AG217" s="244"/>
      <c r="AH217" s="244"/>
      <c r="AI217" s="245"/>
      <c r="AJ217" s="245"/>
      <c r="AK217" s="245"/>
      <c r="AL217" s="245"/>
      <c r="AM217" s="244"/>
      <c r="AN217" s="244"/>
      <c r="AO217" s="238">
        <v>0.0</v>
      </c>
      <c r="AP217" s="238">
        <v>0.0</v>
      </c>
      <c r="AQ217" s="235" t="s">
        <v>632</v>
      </c>
      <c r="AR217" s="243">
        <v>2.02E11</v>
      </c>
      <c r="AS217" s="235" t="s">
        <v>1367</v>
      </c>
      <c r="AT217" s="235" t="s">
        <v>11</v>
      </c>
      <c r="AU217" s="235" t="s">
        <v>634</v>
      </c>
      <c r="AV217" s="246" t="s">
        <v>635</v>
      </c>
      <c r="AW217" s="242"/>
      <c r="AX217" s="242"/>
      <c r="AY217" s="231"/>
      <c r="AZ217" s="231"/>
      <c r="BA217" s="227"/>
      <c r="BB217" s="231"/>
      <c r="BC217" s="227"/>
      <c r="BD217" s="227"/>
      <c r="BE217" s="227"/>
      <c r="BF217" s="227"/>
    </row>
    <row r="218">
      <c r="A218" s="235" t="s">
        <v>2395</v>
      </c>
      <c r="C218" s="235" t="s">
        <v>2396</v>
      </c>
      <c r="D218" s="235" t="s">
        <v>2397</v>
      </c>
      <c r="E218" s="243">
        <v>6.57E13</v>
      </c>
      <c r="F218" s="244"/>
      <c r="G218" s="235" t="s">
        <v>2398</v>
      </c>
      <c r="H218" s="235" t="s">
        <v>2399</v>
      </c>
      <c r="I218" s="235" t="s">
        <v>2399</v>
      </c>
      <c r="J218" s="235" t="s">
        <v>2400</v>
      </c>
      <c r="K218" s="235" t="s">
        <v>2401</v>
      </c>
      <c r="N218" s="235" t="s">
        <v>139</v>
      </c>
      <c r="O218" s="235" t="s">
        <v>2091</v>
      </c>
      <c r="P218" s="238">
        <v>1.0</v>
      </c>
      <c r="Q218" s="235" t="s">
        <v>627</v>
      </c>
      <c r="R218" s="238">
        <v>246.67</v>
      </c>
      <c r="S218" s="238">
        <v>12.33</v>
      </c>
      <c r="T218" s="238">
        <v>38.1</v>
      </c>
      <c r="U218" s="238">
        <v>1.9</v>
      </c>
      <c r="V218" s="238">
        <v>0.0</v>
      </c>
      <c r="W218" s="238">
        <v>0.0</v>
      </c>
      <c r="X218" s="235" t="s">
        <v>628</v>
      </c>
      <c r="Z218" s="244"/>
      <c r="AA218" s="244"/>
      <c r="AB218" s="244"/>
      <c r="AC218" s="235" t="s">
        <v>2402</v>
      </c>
      <c r="AD218" s="235" t="s">
        <v>630</v>
      </c>
      <c r="AE218" s="238">
        <v>209732.0</v>
      </c>
      <c r="AF218" s="235" t="s">
        <v>631</v>
      </c>
      <c r="AG218" s="244"/>
      <c r="AH218" s="244"/>
      <c r="AI218" s="245"/>
      <c r="AJ218" s="245"/>
      <c r="AK218" s="245"/>
      <c r="AL218" s="245"/>
      <c r="AM218" s="244"/>
      <c r="AN218" s="244"/>
      <c r="AO218" s="238">
        <v>0.0</v>
      </c>
      <c r="AP218" s="238">
        <v>-38.1</v>
      </c>
      <c r="AQ218" s="235" t="s">
        <v>632</v>
      </c>
      <c r="AR218" s="243">
        <v>3.71E11</v>
      </c>
      <c r="AS218" s="235" t="s">
        <v>656</v>
      </c>
      <c r="AT218" s="235" t="s">
        <v>533</v>
      </c>
      <c r="AU218" s="235" t="s">
        <v>634</v>
      </c>
      <c r="AV218" s="246" t="s">
        <v>635</v>
      </c>
      <c r="AW218" s="242"/>
      <c r="AX218" s="242"/>
      <c r="AY218" s="231"/>
      <c r="AZ218" s="231"/>
      <c r="BA218" s="227"/>
      <c r="BB218" s="231"/>
      <c r="BC218" s="227"/>
      <c r="BD218" s="227"/>
      <c r="BE218" s="227"/>
      <c r="BF218" s="227"/>
    </row>
    <row r="219">
      <c r="A219" s="235" t="s">
        <v>2403</v>
      </c>
      <c r="C219" s="235" t="s">
        <v>2404</v>
      </c>
      <c r="D219" s="235" t="s">
        <v>2405</v>
      </c>
      <c r="E219" s="243">
        <v>6.57E13</v>
      </c>
      <c r="F219" s="244"/>
      <c r="G219" s="235" t="s">
        <v>2406</v>
      </c>
      <c r="H219" s="235" t="s">
        <v>2407</v>
      </c>
      <c r="I219" s="235" t="s">
        <v>2407</v>
      </c>
      <c r="J219" s="235" t="s">
        <v>2408</v>
      </c>
      <c r="K219" s="235" t="s">
        <v>2409</v>
      </c>
      <c r="N219" s="235" t="s">
        <v>47</v>
      </c>
      <c r="O219" s="235" t="s">
        <v>270</v>
      </c>
      <c r="P219" s="238">
        <v>1.0</v>
      </c>
      <c r="Q219" s="235" t="s">
        <v>627</v>
      </c>
      <c r="R219" s="238">
        <v>237.14</v>
      </c>
      <c r="S219" s="238">
        <v>11.86</v>
      </c>
      <c r="T219" s="238">
        <v>0.0</v>
      </c>
      <c r="U219" s="238">
        <v>0.0</v>
      </c>
      <c r="V219" s="238">
        <v>0.0</v>
      </c>
      <c r="W219" s="238">
        <v>0.0</v>
      </c>
      <c r="X219" s="235" t="s">
        <v>628</v>
      </c>
      <c r="Z219" s="244"/>
      <c r="AA219" s="244"/>
      <c r="AB219" s="244"/>
      <c r="AC219" s="235" t="s">
        <v>697</v>
      </c>
      <c r="AD219" s="235" t="s">
        <v>698</v>
      </c>
      <c r="AE219" s="238">
        <v>500036.0</v>
      </c>
      <c r="AF219" s="235" t="s">
        <v>631</v>
      </c>
      <c r="AG219" s="244"/>
      <c r="AH219" s="244"/>
      <c r="AI219" s="245"/>
      <c r="AJ219" s="245"/>
      <c r="AK219" s="245"/>
      <c r="AL219" s="245"/>
      <c r="AM219" s="244"/>
      <c r="AN219" s="244"/>
      <c r="AO219" s="238">
        <v>0.0</v>
      </c>
      <c r="AP219" s="238">
        <v>0.0</v>
      </c>
      <c r="AQ219" s="235" t="s">
        <v>632</v>
      </c>
      <c r="AR219" s="243">
        <v>1.68E11</v>
      </c>
      <c r="AS219" s="235" t="s">
        <v>1367</v>
      </c>
      <c r="AT219" s="235" t="s">
        <v>9</v>
      </c>
      <c r="AU219" s="235" t="s">
        <v>634</v>
      </c>
      <c r="AV219" s="246" t="s">
        <v>635</v>
      </c>
      <c r="AW219" s="242"/>
      <c r="AX219" s="242"/>
      <c r="AY219" s="231"/>
      <c r="AZ219" s="231"/>
      <c r="BA219" s="227"/>
      <c r="BB219" s="231"/>
      <c r="BC219" s="227"/>
      <c r="BD219" s="227"/>
      <c r="BE219" s="227"/>
      <c r="BF219" s="227"/>
    </row>
    <row r="220">
      <c r="A220" s="235" t="s">
        <v>2411</v>
      </c>
      <c r="C220" s="235" t="s">
        <v>2412</v>
      </c>
      <c r="D220" s="235" t="s">
        <v>2413</v>
      </c>
      <c r="E220" s="243">
        <v>6.57E13</v>
      </c>
      <c r="F220" s="244"/>
      <c r="G220" s="235" t="s">
        <v>2414</v>
      </c>
      <c r="H220" s="235" t="s">
        <v>2415</v>
      </c>
      <c r="I220" s="235" t="s">
        <v>2415</v>
      </c>
      <c r="J220" s="235" t="s">
        <v>2416</v>
      </c>
      <c r="K220" s="235" t="s">
        <v>2417</v>
      </c>
      <c r="N220" s="235" t="s">
        <v>138</v>
      </c>
      <c r="O220" s="235" t="s">
        <v>675</v>
      </c>
      <c r="P220" s="238">
        <v>1.0</v>
      </c>
      <c r="Q220" s="235" t="s">
        <v>627</v>
      </c>
      <c r="R220" s="238">
        <v>246.67</v>
      </c>
      <c r="S220" s="238">
        <v>12.33</v>
      </c>
      <c r="T220" s="238">
        <v>0.0</v>
      </c>
      <c r="U220" s="238">
        <v>0.0</v>
      </c>
      <c r="V220" s="238">
        <v>0.0</v>
      </c>
      <c r="W220" s="238">
        <v>0.0</v>
      </c>
      <c r="X220" s="235" t="s">
        <v>628</v>
      </c>
      <c r="Z220" s="244"/>
      <c r="AA220" s="244"/>
      <c r="AB220" s="244"/>
      <c r="AC220" s="235" t="s">
        <v>814</v>
      </c>
      <c r="AD220" s="235" t="s">
        <v>698</v>
      </c>
      <c r="AE220" s="238">
        <v>500068.0</v>
      </c>
      <c r="AF220" s="235" t="s">
        <v>631</v>
      </c>
      <c r="AG220" s="244"/>
      <c r="AH220" s="244"/>
      <c r="AI220" s="245"/>
      <c r="AJ220" s="245"/>
      <c r="AK220" s="245"/>
      <c r="AL220" s="245"/>
      <c r="AM220" s="244"/>
      <c r="AN220" s="244"/>
      <c r="AO220" s="238">
        <v>0.0</v>
      </c>
      <c r="AP220" s="238">
        <v>0.0</v>
      </c>
      <c r="AQ220" s="235" t="s">
        <v>632</v>
      </c>
      <c r="AR220" s="243">
        <v>1.68E11</v>
      </c>
      <c r="AS220" s="235" t="s">
        <v>1367</v>
      </c>
      <c r="AT220" s="235" t="s">
        <v>9</v>
      </c>
      <c r="AU220" s="235" t="s">
        <v>634</v>
      </c>
      <c r="AV220" s="246" t="s">
        <v>635</v>
      </c>
      <c r="AW220" s="242"/>
      <c r="AX220" s="242"/>
      <c r="AY220" s="231"/>
      <c r="AZ220" s="231"/>
      <c r="BA220" s="227"/>
      <c r="BB220" s="231"/>
      <c r="BC220" s="227"/>
      <c r="BD220" s="227"/>
      <c r="BE220" s="227"/>
      <c r="BF220" s="227"/>
    </row>
    <row r="221">
      <c r="A221" s="235" t="s">
        <v>2418</v>
      </c>
      <c r="C221" s="235" t="s">
        <v>2419</v>
      </c>
      <c r="D221" s="235" t="s">
        <v>2420</v>
      </c>
      <c r="E221" s="243">
        <v>6.57E13</v>
      </c>
      <c r="F221" s="244"/>
      <c r="G221" s="235" t="s">
        <v>2421</v>
      </c>
      <c r="H221" s="235" t="s">
        <v>2422</v>
      </c>
      <c r="I221" s="235" t="s">
        <v>2423</v>
      </c>
      <c r="J221" s="235" t="s">
        <v>2424</v>
      </c>
      <c r="K221" s="235" t="s">
        <v>2425</v>
      </c>
      <c r="N221" s="235" t="s">
        <v>42</v>
      </c>
      <c r="O221" s="235" t="s">
        <v>204</v>
      </c>
      <c r="P221" s="238">
        <v>1.0</v>
      </c>
      <c r="Q221" s="235" t="s">
        <v>627</v>
      </c>
      <c r="R221" s="238">
        <v>237.14</v>
      </c>
      <c r="S221" s="238">
        <v>11.62</v>
      </c>
      <c r="T221" s="238">
        <v>0.0</v>
      </c>
      <c r="U221" s="238">
        <v>0.0</v>
      </c>
      <c r="V221" s="238">
        <v>0.0</v>
      </c>
      <c r="W221" s="238">
        <v>0.0</v>
      </c>
      <c r="X221" s="235" t="s">
        <v>628</v>
      </c>
      <c r="Z221" s="244"/>
      <c r="AA221" s="244"/>
      <c r="AB221" s="244"/>
      <c r="AC221" s="235" t="s">
        <v>697</v>
      </c>
      <c r="AD221" s="235" t="s">
        <v>698</v>
      </c>
      <c r="AE221" s="238">
        <v>500072.0</v>
      </c>
      <c r="AF221" s="235" t="s">
        <v>631</v>
      </c>
      <c r="AG221" s="244"/>
      <c r="AH221" s="244"/>
      <c r="AI221" s="245"/>
      <c r="AJ221" s="245"/>
      <c r="AK221" s="245"/>
      <c r="AL221" s="245"/>
      <c r="AM221" s="244"/>
      <c r="AN221" s="244"/>
      <c r="AO221" s="238">
        <v>-4.74</v>
      </c>
      <c r="AP221" s="238">
        <v>0.0</v>
      </c>
      <c r="AQ221" s="235" t="s">
        <v>632</v>
      </c>
      <c r="AR221" s="243">
        <v>2.02E11</v>
      </c>
      <c r="AS221" s="235" t="s">
        <v>1367</v>
      </c>
      <c r="AT221" s="235" t="s">
        <v>546</v>
      </c>
      <c r="AU221" s="235" t="s">
        <v>634</v>
      </c>
      <c r="AV221" s="246" t="s">
        <v>635</v>
      </c>
      <c r="AW221" s="242"/>
      <c r="AX221" s="242"/>
      <c r="AY221" s="231"/>
      <c r="AZ221" s="231"/>
      <c r="BA221" s="227"/>
      <c r="BB221" s="231"/>
      <c r="BC221" s="227"/>
      <c r="BD221" s="227"/>
      <c r="BE221" s="227"/>
      <c r="BF221" s="227"/>
    </row>
    <row r="222">
      <c r="A222" s="235" t="s">
        <v>2426</v>
      </c>
      <c r="C222" s="235" t="s">
        <v>2427</v>
      </c>
      <c r="D222" s="235" t="s">
        <v>2428</v>
      </c>
      <c r="E222" s="243">
        <v>6.57E13</v>
      </c>
      <c r="F222" s="244"/>
      <c r="G222" s="235" t="s">
        <v>2429</v>
      </c>
      <c r="H222" s="235" t="s">
        <v>2430</v>
      </c>
      <c r="I222" s="235" t="s">
        <v>2430</v>
      </c>
      <c r="J222" s="235" t="s">
        <v>2431</v>
      </c>
      <c r="K222" s="235" t="s">
        <v>2432</v>
      </c>
      <c r="N222" s="235" t="s">
        <v>1646</v>
      </c>
      <c r="O222" s="235" t="s">
        <v>1647</v>
      </c>
      <c r="P222" s="238">
        <v>1.0</v>
      </c>
      <c r="Q222" s="235" t="s">
        <v>627</v>
      </c>
      <c r="R222" s="238">
        <v>0.0</v>
      </c>
      <c r="S222" s="238">
        <v>0.0</v>
      </c>
      <c r="T222" s="238">
        <v>0.0</v>
      </c>
      <c r="U222" s="238">
        <v>0.0</v>
      </c>
      <c r="V222" s="238">
        <v>0.0</v>
      </c>
      <c r="W222" s="238">
        <v>0.0</v>
      </c>
      <c r="X222" s="235" t="s">
        <v>2433</v>
      </c>
      <c r="Y222" s="244"/>
      <c r="Z222" s="244"/>
      <c r="AA222" s="244"/>
      <c r="AB222" s="244"/>
      <c r="AC222" s="235" t="s">
        <v>2434</v>
      </c>
      <c r="AD222" s="235" t="s">
        <v>698</v>
      </c>
      <c r="AE222" s="238">
        <v>509202.0</v>
      </c>
      <c r="AF222" s="235" t="s">
        <v>631</v>
      </c>
      <c r="AG222" s="244"/>
      <c r="AH222" s="244"/>
      <c r="AI222" s="245"/>
      <c r="AJ222" s="245"/>
      <c r="AK222" s="245"/>
      <c r="AL222" s="245"/>
      <c r="AM222" s="244"/>
      <c r="AN222" s="244"/>
      <c r="AO222" s="238">
        <v>0.0</v>
      </c>
      <c r="AP222" s="238">
        <v>0.0</v>
      </c>
      <c r="AQ222" s="235" t="s">
        <v>632</v>
      </c>
      <c r="AR222" s="243">
        <v>3.71E11</v>
      </c>
      <c r="AS222" s="235" t="s">
        <v>667</v>
      </c>
      <c r="AT222" s="235" t="s">
        <v>546</v>
      </c>
      <c r="AU222" s="235" t="s">
        <v>634</v>
      </c>
      <c r="AV222" s="246" t="s">
        <v>635</v>
      </c>
      <c r="AW222" s="242"/>
      <c r="AX222" s="242"/>
      <c r="AY222" s="231"/>
      <c r="AZ222" s="231"/>
      <c r="BA222" s="227"/>
      <c r="BB222" s="231"/>
      <c r="BC222" s="227"/>
      <c r="BD222" s="227"/>
      <c r="BE222" s="227"/>
      <c r="BF222" s="227"/>
    </row>
    <row r="223">
      <c r="A223" s="235" t="s">
        <v>2435</v>
      </c>
      <c r="C223" s="235" t="s">
        <v>2436</v>
      </c>
      <c r="D223" s="235" t="s">
        <v>2437</v>
      </c>
      <c r="E223" s="243">
        <v>6.57E13</v>
      </c>
      <c r="F223" s="244"/>
      <c r="G223" s="235" t="s">
        <v>2438</v>
      </c>
      <c r="H223" s="235" t="s">
        <v>2439</v>
      </c>
      <c r="I223" s="235" t="s">
        <v>2439</v>
      </c>
      <c r="J223" s="235" t="s">
        <v>2440</v>
      </c>
      <c r="K223" s="235" t="s">
        <v>2441</v>
      </c>
      <c r="N223" s="235" t="s">
        <v>71</v>
      </c>
      <c r="O223" s="235" t="s">
        <v>240</v>
      </c>
      <c r="P223" s="238">
        <v>1.0</v>
      </c>
      <c r="Q223" s="235" t="s">
        <v>627</v>
      </c>
      <c r="R223" s="238">
        <v>246.66</v>
      </c>
      <c r="S223" s="238">
        <v>12.1</v>
      </c>
      <c r="T223" s="238">
        <v>0.0</v>
      </c>
      <c r="U223" s="238">
        <v>0.0</v>
      </c>
      <c r="V223" s="238">
        <v>0.0</v>
      </c>
      <c r="W223" s="238">
        <v>0.0</v>
      </c>
      <c r="X223" s="235" t="s">
        <v>628</v>
      </c>
      <c r="Z223" s="244"/>
      <c r="AA223" s="244"/>
      <c r="AB223" s="244"/>
      <c r="AC223" s="235" t="s">
        <v>687</v>
      </c>
      <c r="AD223" s="235" t="s">
        <v>666</v>
      </c>
      <c r="AE223" s="238">
        <v>600097.0</v>
      </c>
      <c r="AF223" s="235" t="s">
        <v>631</v>
      </c>
      <c r="AG223" s="244"/>
      <c r="AH223" s="244"/>
      <c r="AI223" s="245"/>
      <c r="AJ223" s="245"/>
      <c r="AK223" s="245"/>
      <c r="AL223" s="245"/>
      <c r="AM223" s="244"/>
      <c r="AN223" s="244"/>
      <c r="AO223" s="238">
        <v>-4.94</v>
      </c>
      <c r="AP223" s="238">
        <v>0.0</v>
      </c>
      <c r="AQ223" s="235" t="s">
        <v>632</v>
      </c>
      <c r="AR223" s="243">
        <v>1.68E11</v>
      </c>
      <c r="AS223" s="235" t="s">
        <v>2276</v>
      </c>
      <c r="AT223" s="235" t="s">
        <v>156</v>
      </c>
      <c r="AU223" s="235" t="s">
        <v>634</v>
      </c>
      <c r="AV223" s="246" t="s">
        <v>635</v>
      </c>
      <c r="AW223" s="242"/>
      <c r="AX223" s="242"/>
      <c r="AY223" s="231"/>
      <c r="AZ223" s="231"/>
      <c r="BA223" s="227"/>
      <c r="BB223" s="231"/>
      <c r="BC223" s="227"/>
      <c r="BD223" s="227"/>
      <c r="BE223" s="227"/>
      <c r="BF223" s="227"/>
    </row>
    <row r="224">
      <c r="A224" s="235" t="s">
        <v>2443</v>
      </c>
      <c r="C224" s="235" t="s">
        <v>2444</v>
      </c>
      <c r="D224" s="235" t="s">
        <v>2445</v>
      </c>
      <c r="E224" s="243">
        <v>6.57E13</v>
      </c>
      <c r="F224" s="244"/>
      <c r="G224" s="235" t="s">
        <v>2446</v>
      </c>
      <c r="H224" s="235" t="s">
        <v>2448</v>
      </c>
      <c r="I224" s="235" t="s">
        <v>2449</v>
      </c>
      <c r="J224" s="235" t="s">
        <v>2450</v>
      </c>
      <c r="K224" s="235" t="s">
        <v>2451</v>
      </c>
      <c r="N224" s="235" t="s">
        <v>154</v>
      </c>
      <c r="O224" s="235" t="s">
        <v>766</v>
      </c>
      <c r="P224" s="238">
        <v>1.0</v>
      </c>
      <c r="Q224" s="235" t="s">
        <v>627</v>
      </c>
      <c r="R224" s="238">
        <v>465.71</v>
      </c>
      <c r="S224" s="238">
        <v>23.29</v>
      </c>
      <c r="T224" s="238">
        <v>0.0</v>
      </c>
      <c r="U224" s="238">
        <v>0.0</v>
      </c>
      <c r="V224" s="238">
        <v>0.0</v>
      </c>
      <c r="W224" s="238">
        <v>0.0</v>
      </c>
      <c r="X224" s="235" t="s">
        <v>628</v>
      </c>
      <c r="Z224" s="244"/>
      <c r="AA224" s="244"/>
      <c r="AB224" s="244"/>
      <c r="AC224" s="235" t="s">
        <v>2452</v>
      </c>
      <c r="AD224" s="235" t="s">
        <v>1151</v>
      </c>
      <c r="AE224" s="238">
        <v>700064.0</v>
      </c>
      <c r="AF224" s="235" t="s">
        <v>631</v>
      </c>
      <c r="AG224" s="244"/>
      <c r="AH224" s="244"/>
      <c r="AI224" s="245"/>
      <c r="AJ224" s="245"/>
      <c r="AK224" s="245"/>
      <c r="AL224" s="245"/>
      <c r="AM224" s="244"/>
      <c r="AN224" s="244"/>
      <c r="AO224" s="238">
        <v>0.0</v>
      </c>
      <c r="AP224" s="238">
        <v>0.0</v>
      </c>
      <c r="AQ224" s="235" t="s">
        <v>632</v>
      </c>
      <c r="AR224" s="243">
        <v>2.02E11</v>
      </c>
      <c r="AS224" s="235" t="s">
        <v>1367</v>
      </c>
      <c r="AT224" s="235" t="s">
        <v>13</v>
      </c>
      <c r="AU224" s="235" t="s">
        <v>634</v>
      </c>
      <c r="AV224" s="246" t="s">
        <v>635</v>
      </c>
      <c r="AW224" s="242"/>
      <c r="AX224" s="242"/>
      <c r="AY224" s="231"/>
      <c r="AZ224" s="231"/>
      <c r="BA224" s="227"/>
      <c r="BB224" s="231"/>
      <c r="BC224" s="227"/>
      <c r="BD224" s="227"/>
      <c r="BE224" s="227"/>
      <c r="BF224" s="227"/>
    </row>
    <row r="225">
      <c r="A225" s="235" t="s">
        <v>2453</v>
      </c>
      <c r="C225" s="235" t="s">
        <v>2454</v>
      </c>
      <c r="D225" s="235" t="s">
        <v>2455</v>
      </c>
      <c r="E225" s="243">
        <v>6.57E13</v>
      </c>
      <c r="F225" s="244"/>
      <c r="G225" s="235" t="s">
        <v>2456</v>
      </c>
      <c r="H225" s="235" t="s">
        <v>2457</v>
      </c>
      <c r="I225" s="235" t="s">
        <v>2458</v>
      </c>
      <c r="J225" s="235" t="s">
        <v>2459</v>
      </c>
      <c r="K225" s="235" t="s">
        <v>2460</v>
      </c>
      <c r="N225" s="235" t="s">
        <v>144</v>
      </c>
      <c r="O225" s="235" t="s">
        <v>232</v>
      </c>
      <c r="P225" s="238">
        <v>1.0</v>
      </c>
      <c r="Q225" s="235" t="s">
        <v>627</v>
      </c>
      <c r="R225" s="238">
        <v>665.72</v>
      </c>
      <c r="S225" s="238">
        <v>33.28</v>
      </c>
      <c r="T225" s="238">
        <v>0.0</v>
      </c>
      <c r="U225" s="238">
        <v>0.0</v>
      </c>
      <c r="V225" s="238">
        <v>0.0</v>
      </c>
      <c r="W225" s="238">
        <v>0.0</v>
      </c>
      <c r="X225" s="235" t="s">
        <v>628</v>
      </c>
      <c r="Z225" s="244"/>
      <c r="AA225" s="244"/>
      <c r="AB225" s="244"/>
      <c r="AC225" s="235" t="s">
        <v>2461</v>
      </c>
      <c r="AD225" s="235" t="s">
        <v>845</v>
      </c>
      <c r="AE225" s="238">
        <v>415523.0</v>
      </c>
      <c r="AF225" s="235" t="s">
        <v>631</v>
      </c>
      <c r="AG225" s="244"/>
      <c r="AH225" s="244"/>
      <c r="AI225" s="245"/>
      <c r="AJ225" s="245"/>
      <c r="AK225" s="245"/>
      <c r="AL225" s="245"/>
      <c r="AM225" s="244"/>
      <c r="AN225" s="244"/>
      <c r="AO225" s="238">
        <v>0.0</v>
      </c>
      <c r="AP225" s="238">
        <v>0.0</v>
      </c>
      <c r="AQ225" s="235" t="s">
        <v>632</v>
      </c>
      <c r="AR225" s="243">
        <v>3.71E11</v>
      </c>
      <c r="AS225" s="235" t="s">
        <v>667</v>
      </c>
      <c r="AT225" s="235" t="s">
        <v>546</v>
      </c>
      <c r="AU225" s="235" t="s">
        <v>634</v>
      </c>
      <c r="AV225" s="246" t="s">
        <v>635</v>
      </c>
      <c r="AW225" s="242"/>
      <c r="AX225" s="242"/>
      <c r="AY225" s="231"/>
      <c r="AZ225" s="231"/>
      <c r="BA225" s="227"/>
      <c r="BB225" s="231"/>
      <c r="BC225" s="227"/>
      <c r="BD225" s="227"/>
      <c r="BE225" s="227"/>
      <c r="BF225" s="227"/>
    </row>
    <row r="226">
      <c r="A226" s="235" t="s">
        <v>2462</v>
      </c>
      <c r="C226" s="235" t="s">
        <v>2463</v>
      </c>
      <c r="D226" s="235" t="s">
        <v>2464</v>
      </c>
      <c r="E226" s="243">
        <v>6.57E13</v>
      </c>
      <c r="F226" s="244"/>
      <c r="G226" s="235" t="s">
        <v>2465</v>
      </c>
      <c r="H226" s="235" t="s">
        <v>2466</v>
      </c>
      <c r="I226" s="235" t="s">
        <v>2466</v>
      </c>
      <c r="J226" s="235" t="s">
        <v>2467</v>
      </c>
      <c r="K226" s="235" t="s">
        <v>2468</v>
      </c>
      <c r="N226" s="235" t="s">
        <v>92</v>
      </c>
      <c r="O226" s="235" t="s">
        <v>248</v>
      </c>
      <c r="P226" s="238">
        <v>1.0</v>
      </c>
      <c r="Q226" s="235" t="s">
        <v>627</v>
      </c>
      <c r="R226" s="238">
        <v>246.67</v>
      </c>
      <c r="S226" s="238">
        <v>12.33</v>
      </c>
      <c r="T226" s="238">
        <v>0.0</v>
      </c>
      <c r="U226" s="238">
        <v>0.0</v>
      </c>
      <c r="V226" s="238">
        <v>0.0</v>
      </c>
      <c r="W226" s="238">
        <v>0.0</v>
      </c>
      <c r="X226" s="235" t="s">
        <v>628</v>
      </c>
      <c r="Z226" s="244"/>
      <c r="AA226" s="244"/>
      <c r="AB226" s="244"/>
      <c r="AC226" s="235" t="s">
        <v>2469</v>
      </c>
      <c r="AD226" s="235" t="s">
        <v>666</v>
      </c>
      <c r="AE226" s="238">
        <v>624612.0</v>
      </c>
      <c r="AF226" s="235" t="s">
        <v>631</v>
      </c>
      <c r="AG226" s="244"/>
      <c r="AH226" s="244"/>
      <c r="AI226" s="245"/>
      <c r="AJ226" s="245"/>
      <c r="AK226" s="245"/>
      <c r="AL226" s="245"/>
      <c r="AM226" s="244"/>
      <c r="AN226" s="244"/>
      <c r="AO226" s="238">
        <v>0.0</v>
      </c>
      <c r="AP226" s="238">
        <v>0.0</v>
      </c>
      <c r="AQ226" s="235" t="s">
        <v>1328</v>
      </c>
      <c r="AR226" s="243">
        <v>1.34E13</v>
      </c>
      <c r="AS226" s="235" t="s">
        <v>646</v>
      </c>
      <c r="AT226" s="235" t="s">
        <v>9</v>
      </c>
      <c r="AU226" s="235" t="s">
        <v>634</v>
      </c>
      <c r="AV226" s="246" t="s">
        <v>635</v>
      </c>
      <c r="AW226" s="242"/>
      <c r="AX226" s="242"/>
      <c r="AY226" s="231"/>
      <c r="AZ226" s="231"/>
      <c r="BA226" s="227"/>
      <c r="BB226" s="231"/>
      <c r="BC226" s="227"/>
      <c r="BD226" s="227"/>
      <c r="BE226" s="227"/>
      <c r="BF226" s="227"/>
    </row>
    <row r="227">
      <c r="A227" s="235" t="s">
        <v>2470</v>
      </c>
      <c r="C227" s="235" t="s">
        <v>2471</v>
      </c>
      <c r="D227" s="235" t="s">
        <v>2472</v>
      </c>
      <c r="E227" s="243">
        <v>6.57E13</v>
      </c>
      <c r="F227" s="244"/>
      <c r="G227" s="235" t="s">
        <v>2473</v>
      </c>
      <c r="H227" s="235" t="s">
        <v>2474</v>
      </c>
      <c r="I227" s="235" t="s">
        <v>2474</v>
      </c>
      <c r="J227" s="235" t="s">
        <v>2475</v>
      </c>
      <c r="K227" s="235" t="s">
        <v>2476</v>
      </c>
      <c r="N227" s="235" t="s">
        <v>90</v>
      </c>
      <c r="O227" s="235" t="s">
        <v>279</v>
      </c>
      <c r="P227" s="238">
        <v>1.0</v>
      </c>
      <c r="Q227" s="235" t="s">
        <v>627</v>
      </c>
      <c r="R227" s="238">
        <v>246.67</v>
      </c>
      <c r="S227" s="238">
        <v>12.33</v>
      </c>
      <c r="T227" s="238">
        <v>38.1</v>
      </c>
      <c r="U227" s="238">
        <v>1.9</v>
      </c>
      <c r="V227" s="238">
        <v>0.0</v>
      </c>
      <c r="W227" s="238">
        <v>0.0</v>
      </c>
      <c r="X227" s="235" t="s">
        <v>628</v>
      </c>
      <c r="Z227" s="244"/>
      <c r="AA227" s="244"/>
      <c r="AB227" s="244"/>
      <c r="AC227" s="235" t="s">
        <v>2477</v>
      </c>
      <c r="AD227" s="235" t="s">
        <v>630</v>
      </c>
      <c r="AE227" s="238">
        <v>225301.0</v>
      </c>
      <c r="AF227" s="235" t="s">
        <v>631</v>
      </c>
      <c r="AG227" s="244"/>
      <c r="AH227" s="244"/>
      <c r="AI227" s="245"/>
      <c r="AJ227" s="245"/>
      <c r="AK227" s="245"/>
      <c r="AL227" s="245"/>
      <c r="AM227" s="244"/>
      <c r="AN227" s="244"/>
      <c r="AO227" s="238">
        <v>0.0</v>
      </c>
      <c r="AP227" s="238">
        <v>-38.1</v>
      </c>
      <c r="AQ227" s="235" t="s">
        <v>632</v>
      </c>
      <c r="AR227" s="243">
        <v>3.71E11</v>
      </c>
      <c r="AS227" s="235" t="s">
        <v>667</v>
      </c>
      <c r="AT227" s="235" t="s">
        <v>13</v>
      </c>
      <c r="AU227" s="235" t="s">
        <v>634</v>
      </c>
      <c r="AV227" s="246" t="s">
        <v>635</v>
      </c>
      <c r="AW227" s="242"/>
      <c r="AX227" s="242"/>
      <c r="AY227" s="231"/>
      <c r="AZ227" s="231"/>
      <c r="BA227" s="227"/>
      <c r="BB227" s="231"/>
      <c r="BC227" s="227"/>
      <c r="BD227" s="227"/>
      <c r="BE227" s="227"/>
      <c r="BF227" s="227"/>
    </row>
    <row r="228">
      <c r="A228" s="235" t="s">
        <v>2478</v>
      </c>
      <c r="C228" s="235" t="s">
        <v>2479</v>
      </c>
      <c r="D228" s="235" t="s">
        <v>2480</v>
      </c>
      <c r="E228" s="243">
        <v>6.57E13</v>
      </c>
      <c r="F228" s="244"/>
      <c r="G228" s="235" t="s">
        <v>2481</v>
      </c>
      <c r="H228" s="235" t="s">
        <v>2482</v>
      </c>
      <c r="I228" s="235" t="s">
        <v>2483</v>
      </c>
      <c r="J228" s="235" t="s">
        <v>2484</v>
      </c>
      <c r="K228" s="235" t="s">
        <v>2485</v>
      </c>
      <c r="N228" s="235" t="s">
        <v>962</v>
      </c>
      <c r="O228" s="235" t="s">
        <v>963</v>
      </c>
      <c r="P228" s="238">
        <v>1.0</v>
      </c>
      <c r="Q228" s="235" t="s">
        <v>627</v>
      </c>
      <c r="R228" s="238">
        <v>246.67</v>
      </c>
      <c r="S228" s="238">
        <v>12.33</v>
      </c>
      <c r="T228" s="238">
        <v>38.1</v>
      </c>
      <c r="U228" s="238">
        <v>1.9</v>
      </c>
      <c r="V228" s="238">
        <v>0.0</v>
      </c>
      <c r="W228" s="238">
        <v>0.0</v>
      </c>
      <c r="X228" s="235" t="s">
        <v>628</v>
      </c>
      <c r="Z228" s="244"/>
      <c r="AA228" s="244"/>
      <c r="AB228" s="244"/>
      <c r="AC228" s="235" t="s">
        <v>1085</v>
      </c>
      <c r="AD228" s="235" t="s">
        <v>1086</v>
      </c>
      <c r="AE228" s="238">
        <v>141001.0</v>
      </c>
      <c r="AF228" s="235" t="s">
        <v>631</v>
      </c>
      <c r="AG228" s="244"/>
      <c r="AH228" s="244"/>
      <c r="AI228" s="245"/>
      <c r="AJ228" s="245"/>
      <c r="AK228" s="245"/>
      <c r="AL228" s="245"/>
      <c r="AM228" s="244"/>
      <c r="AN228" s="244"/>
      <c r="AO228" s="238">
        <v>0.0</v>
      </c>
      <c r="AP228" s="238">
        <v>-38.1</v>
      </c>
      <c r="AQ228" s="235" t="s">
        <v>632</v>
      </c>
      <c r="AR228" s="243">
        <v>3.71E11</v>
      </c>
      <c r="AS228" s="235" t="s">
        <v>667</v>
      </c>
      <c r="AT228" s="235" t="s">
        <v>14</v>
      </c>
      <c r="AU228" s="235" t="s">
        <v>634</v>
      </c>
      <c r="AV228" s="246" t="s">
        <v>635</v>
      </c>
      <c r="AW228" s="242"/>
      <c r="AX228" s="242"/>
      <c r="AY228" s="231"/>
      <c r="AZ228" s="231"/>
      <c r="BA228" s="227"/>
      <c r="BB228" s="231"/>
      <c r="BC228" s="227"/>
      <c r="BD228" s="227"/>
      <c r="BE228" s="227"/>
      <c r="BF228" s="227"/>
    </row>
    <row r="229">
      <c r="A229" s="235" t="s">
        <v>2486</v>
      </c>
      <c r="C229" s="235" t="s">
        <v>2487</v>
      </c>
      <c r="D229" s="235" t="s">
        <v>2488</v>
      </c>
      <c r="E229" s="243">
        <v>6.57E13</v>
      </c>
      <c r="F229" s="244"/>
      <c r="G229" s="235" t="s">
        <v>2489</v>
      </c>
      <c r="H229" s="235" t="s">
        <v>2490</v>
      </c>
      <c r="I229" s="235" t="s">
        <v>2490</v>
      </c>
      <c r="J229" s="235" t="s">
        <v>2491</v>
      </c>
      <c r="K229" s="235" t="s">
        <v>2492</v>
      </c>
      <c r="N229" s="235" t="s">
        <v>71</v>
      </c>
      <c r="O229" s="235" t="s">
        <v>240</v>
      </c>
      <c r="P229" s="238">
        <v>1.0</v>
      </c>
      <c r="Q229" s="235" t="s">
        <v>627</v>
      </c>
      <c r="R229" s="238">
        <v>246.67</v>
      </c>
      <c r="S229" s="238">
        <v>12.33</v>
      </c>
      <c r="T229" s="238">
        <v>0.0</v>
      </c>
      <c r="U229" s="238">
        <v>0.0</v>
      </c>
      <c r="V229" s="238">
        <v>0.0</v>
      </c>
      <c r="W229" s="238">
        <v>0.0</v>
      </c>
      <c r="X229" s="235" t="s">
        <v>628</v>
      </c>
      <c r="Z229" s="244"/>
      <c r="AA229" s="244"/>
      <c r="AB229" s="244"/>
      <c r="AC229" s="235" t="s">
        <v>2493</v>
      </c>
      <c r="AD229" s="235" t="s">
        <v>833</v>
      </c>
      <c r="AE229" s="238">
        <v>521101.0</v>
      </c>
      <c r="AF229" s="235" t="s">
        <v>631</v>
      </c>
      <c r="AG229" s="244"/>
      <c r="AH229" s="244"/>
      <c r="AI229" s="245"/>
      <c r="AJ229" s="245"/>
      <c r="AK229" s="245"/>
      <c r="AL229" s="245"/>
      <c r="AM229" s="244"/>
      <c r="AN229" s="244"/>
      <c r="AO229" s="238">
        <v>0.0</v>
      </c>
      <c r="AP229" s="238">
        <v>0.0</v>
      </c>
      <c r="AQ229" s="235" t="s">
        <v>632</v>
      </c>
      <c r="AR229" s="243">
        <v>1.68E11</v>
      </c>
      <c r="AS229" s="235" t="s">
        <v>1367</v>
      </c>
      <c r="AT229" s="235" t="s">
        <v>156</v>
      </c>
      <c r="AU229" s="235" t="s">
        <v>634</v>
      </c>
      <c r="AV229" s="246" t="s">
        <v>635</v>
      </c>
      <c r="AW229" s="242"/>
      <c r="AX229" s="242"/>
      <c r="AY229" s="231"/>
      <c r="AZ229" s="231"/>
      <c r="BA229" s="227"/>
      <c r="BB229" s="231"/>
      <c r="BC229" s="227"/>
      <c r="BD229" s="227"/>
      <c r="BE229" s="227"/>
      <c r="BF229" s="227"/>
    </row>
    <row r="230">
      <c r="A230" s="235" t="s">
        <v>2494</v>
      </c>
      <c r="C230" s="235" t="s">
        <v>2495</v>
      </c>
      <c r="D230" s="235" t="s">
        <v>2496</v>
      </c>
      <c r="E230" s="243">
        <v>6.57E13</v>
      </c>
      <c r="F230" s="244"/>
      <c r="G230" s="235" t="s">
        <v>2498</v>
      </c>
      <c r="H230" s="235" t="s">
        <v>2499</v>
      </c>
      <c r="I230" s="235" t="s">
        <v>2499</v>
      </c>
      <c r="J230" s="235" t="s">
        <v>2500</v>
      </c>
      <c r="K230" s="235" t="s">
        <v>2501</v>
      </c>
      <c r="N230" s="235" t="s">
        <v>43</v>
      </c>
      <c r="O230" s="235" t="s">
        <v>276</v>
      </c>
      <c r="P230" s="238">
        <v>1.0</v>
      </c>
      <c r="Q230" s="235" t="s">
        <v>627</v>
      </c>
      <c r="R230" s="238">
        <v>237.14</v>
      </c>
      <c r="S230" s="238">
        <v>11.86</v>
      </c>
      <c r="T230" s="238">
        <v>38.1</v>
      </c>
      <c r="U230" s="238">
        <v>1.9</v>
      </c>
      <c r="V230" s="238">
        <v>0.0</v>
      </c>
      <c r="W230" s="238">
        <v>0.0</v>
      </c>
      <c r="X230" s="235" t="s">
        <v>628</v>
      </c>
      <c r="Z230" s="244"/>
      <c r="AA230" s="244"/>
      <c r="AB230" s="244"/>
      <c r="AC230" s="235" t="s">
        <v>757</v>
      </c>
      <c r="AD230" s="235" t="s">
        <v>666</v>
      </c>
      <c r="AE230" s="238">
        <v>625001.0</v>
      </c>
      <c r="AF230" s="235" t="s">
        <v>631</v>
      </c>
      <c r="AG230" s="244"/>
      <c r="AH230" s="244"/>
      <c r="AI230" s="245"/>
      <c r="AJ230" s="245"/>
      <c r="AK230" s="245"/>
      <c r="AL230" s="245"/>
      <c r="AM230" s="244"/>
      <c r="AN230" s="244"/>
      <c r="AO230" s="238">
        <v>0.0</v>
      </c>
      <c r="AP230" s="238">
        <v>-38.1</v>
      </c>
      <c r="AQ230" s="235" t="s">
        <v>632</v>
      </c>
      <c r="AR230" s="243">
        <v>3.71E11</v>
      </c>
      <c r="AS230" s="235" t="s">
        <v>699</v>
      </c>
      <c r="AT230" s="235" t="s">
        <v>14</v>
      </c>
      <c r="AU230" s="235" t="s">
        <v>634</v>
      </c>
      <c r="AV230" s="246" t="s">
        <v>635</v>
      </c>
      <c r="AW230" s="242"/>
      <c r="AX230" s="242"/>
      <c r="AY230" s="231"/>
      <c r="AZ230" s="231"/>
      <c r="BA230" s="227"/>
      <c r="BB230" s="231"/>
      <c r="BC230" s="227"/>
      <c r="BD230" s="227"/>
      <c r="BE230" s="227"/>
      <c r="BF230" s="227"/>
    </row>
    <row r="231">
      <c r="A231" s="235" t="s">
        <v>2502</v>
      </c>
      <c r="C231" s="235" t="s">
        <v>2503</v>
      </c>
      <c r="D231" s="235" t="s">
        <v>2504</v>
      </c>
      <c r="E231" s="243">
        <v>6.57E13</v>
      </c>
      <c r="F231" s="244"/>
      <c r="G231" s="235" t="s">
        <v>2505</v>
      </c>
      <c r="H231" s="235" t="s">
        <v>2506</v>
      </c>
      <c r="I231" s="235" t="s">
        <v>2507</v>
      </c>
      <c r="J231" s="235" t="s">
        <v>2508</v>
      </c>
      <c r="K231" s="235" t="s">
        <v>2509</v>
      </c>
      <c r="N231" s="235" t="s">
        <v>4</v>
      </c>
      <c r="O231" s="235" t="s">
        <v>1791</v>
      </c>
      <c r="P231" s="238">
        <v>1.0</v>
      </c>
      <c r="Q231" s="235" t="s">
        <v>627</v>
      </c>
      <c r="R231" s="238">
        <v>265.71</v>
      </c>
      <c r="S231" s="238">
        <v>13.29</v>
      </c>
      <c r="T231" s="238">
        <v>38.1</v>
      </c>
      <c r="U231" s="238">
        <v>1.9</v>
      </c>
      <c r="V231" s="238">
        <v>0.0</v>
      </c>
      <c r="W231" s="238">
        <v>0.0</v>
      </c>
      <c r="X231" s="235" t="s">
        <v>628</v>
      </c>
      <c r="Z231" s="244"/>
      <c r="AA231" s="244"/>
      <c r="AB231" s="244"/>
      <c r="AC231" s="235" t="s">
        <v>814</v>
      </c>
      <c r="AD231" s="235" t="s">
        <v>698</v>
      </c>
      <c r="AE231" s="238">
        <v>500100.0</v>
      </c>
      <c r="AF231" s="235" t="s">
        <v>631</v>
      </c>
      <c r="AG231" s="244"/>
      <c r="AH231" s="244"/>
      <c r="AI231" s="245"/>
      <c r="AJ231" s="245"/>
      <c r="AK231" s="245"/>
      <c r="AL231" s="245"/>
      <c r="AM231" s="244"/>
      <c r="AN231" s="244"/>
      <c r="AO231" s="238">
        <v>0.0</v>
      </c>
      <c r="AP231" s="238">
        <v>-38.1</v>
      </c>
      <c r="AQ231" s="235" t="s">
        <v>632</v>
      </c>
      <c r="AR231" s="243">
        <v>3.71E11</v>
      </c>
      <c r="AS231" s="235" t="s">
        <v>667</v>
      </c>
      <c r="AT231" s="235" t="s">
        <v>11</v>
      </c>
      <c r="AU231" s="235" t="s">
        <v>634</v>
      </c>
      <c r="AV231" s="246" t="s">
        <v>635</v>
      </c>
      <c r="AW231" s="242"/>
      <c r="AX231" s="242"/>
      <c r="AY231" s="231"/>
      <c r="AZ231" s="231"/>
      <c r="BA231" s="227"/>
      <c r="BB231" s="231"/>
      <c r="BC231" s="227"/>
      <c r="BD231" s="227"/>
      <c r="BE231" s="227"/>
      <c r="BF231" s="227"/>
    </row>
    <row r="232">
      <c r="A232" s="235" t="s">
        <v>2510</v>
      </c>
      <c r="C232" s="235" t="s">
        <v>2511</v>
      </c>
      <c r="D232" s="235" t="s">
        <v>2512</v>
      </c>
      <c r="E232" s="243">
        <v>6.57E13</v>
      </c>
      <c r="F232" s="244"/>
      <c r="G232" s="235" t="s">
        <v>2513</v>
      </c>
      <c r="H232" s="235" t="s">
        <v>2514</v>
      </c>
      <c r="I232" s="235" t="s">
        <v>2515</v>
      </c>
      <c r="J232" s="235" t="s">
        <v>2516</v>
      </c>
      <c r="K232" s="235" t="s">
        <v>2517</v>
      </c>
      <c r="N232" s="235" t="s">
        <v>1346</v>
      </c>
      <c r="O232" s="235" t="s">
        <v>1347</v>
      </c>
      <c r="P232" s="238">
        <v>1.0</v>
      </c>
      <c r="Q232" s="235" t="s">
        <v>627</v>
      </c>
      <c r="R232" s="238">
        <v>256.19</v>
      </c>
      <c r="S232" s="238">
        <v>12.81</v>
      </c>
      <c r="T232" s="238">
        <v>0.0</v>
      </c>
      <c r="U232" s="238">
        <v>0.0</v>
      </c>
      <c r="V232" s="238">
        <v>0.0</v>
      </c>
      <c r="W232" s="238">
        <v>0.0</v>
      </c>
      <c r="X232" s="235" t="s">
        <v>628</v>
      </c>
      <c r="Z232" s="244"/>
      <c r="AA232" s="244"/>
      <c r="AB232" s="244"/>
      <c r="AC232" s="235" t="s">
        <v>2518</v>
      </c>
      <c r="AD232" s="235" t="s">
        <v>709</v>
      </c>
      <c r="AE232" s="238">
        <v>848117.0</v>
      </c>
      <c r="AF232" s="235" t="s">
        <v>631</v>
      </c>
      <c r="AG232" s="244"/>
      <c r="AH232" s="244"/>
      <c r="AI232" s="245"/>
      <c r="AJ232" s="245"/>
      <c r="AK232" s="245"/>
      <c r="AL232" s="245"/>
      <c r="AM232" s="244"/>
      <c r="AN232" s="244"/>
      <c r="AO232" s="238">
        <v>0.0</v>
      </c>
      <c r="AP232" s="238">
        <v>0.0</v>
      </c>
      <c r="AQ232" s="235" t="s">
        <v>632</v>
      </c>
      <c r="AR232" s="243">
        <v>3.71E11</v>
      </c>
      <c r="AS232" s="235" t="s">
        <v>656</v>
      </c>
      <c r="AT232" s="235" t="s">
        <v>533</v>
      </c>
      <c r="AU232" s="235" t="s">
        <v>634</v>
      </c>
      <c r="AV232" s="246" t="s">
        <v>635</v>
      </c>
      <c r="AW232" s="242"/>
      <c r="AX232" s="242"/>
      <c r="AY232" s="231"/>
      <c r="AZ232" s="231"/>
      <c r="BA232" s="227"/>
      <c r="BB232" s="231"/>
      <c r="BC232" s="227"/>
      <c r="BD232" s="227"/>
      <c r="BE232" s="227"/>
      <c r="BF232" s="227"/>
    </row>
    <row r="233">
      <c r="A233" s="235" t="s">
        <v>2519</v>
      </c>
      <c r="C233" s="235" t="s">
        <v>2520</v>
      </c>
      <c r="D233" s="235" t="s">
        <v>2521</v>
      </c>
      <c r="E233" s="243">
        <v>6.57E13</v>
      </c>
      <c r="F233" s="244"/>
      <c r="G233" s="235" t="s">
        <v>2522</v>
      </c>
      <c r="H233" s="235" t="s">
        <v>2523</v>
      </c>
      <c r="I233" s="235" t="s">
        <v>2523</v>
      </c>
      <c r="J233" s="235" t="s">
        <v>2524</v>
      </c>
      <c r="K233" s="235" t="s">
        <v>2525</v>
      </c>
      <c r="N233" s="235" t="s">
        <v>136</v>
      </c>
      <c r="O233" s="235" t="s">
        <v>256</v>
      </c>
      <c r="P233" s="238">
        <v>1.0</v>
      </c>
      <c r="Q233" s="235" t="s">
        <v>627</v>
      </c>
      <c r="R233" s="238">
        <v>246.66</v>
      </c>
      <c r="S233" s="238">
        <v>12.34</v>
      </c>
      <c r="T233" s="238">
        <v>38.1</v>
      </c>
      <c r="U233" s="238">
        <v>1.9</v>
      </c>
      <c r="V233" s="238">
        <v>0.0</v>
      </c>
      <c r="W233" s="238">
        <v>0.0</v>
      </c>
      <c r="X233" s="235" t="s">
        <v>628</v>
      </c>
      <c r="Z233" s="244"/>
      <c r="AA233" s="244"/>
      <c r="AB233" s="244"/>
      <c r="AC233" s="235" t="s">
        <v>1456</v>
      </c>
      <c r="AD233" s="235" t="s">
        <v>928</v>
      </c>
      <c r="AE233" s="238">
        <v>122004.0</v>
      </c>
      <c r="AF233" s="235" t="s">
        <v>631</v>
      </c>
      <c r="AG233" s="244"/>
      <c r="AH233" s="244"/>
      <c r="AI233" s="245"/>
      <c r="AJ233" s="245"/>
      <c r="AK233" s="245"/>
      <c r="AL233" s="245"/>
      <c r="AM233" s="244"/>
      <c r="AN233" s="244"/>
      <c r="AO233" s="238">
        <v>0.0</v>
      </c>
      <c r="AP233" s="238">
        <v>-38.1</v>
      </c>
      <c r="AQ233" s="235" t="s">
        <v>632</v>
      </c>
      <c r="AR233" s="243">
        <v>3.71E11</v>
      </c>
      <c r="AS233" s="235" t="s">
        <v>1367</v>
      </c>
      <c r="AT233" s="235" t="s">
        <v>533</v>
      </c>
      <c r="AU233" s="235" t="s">
        <v>634</v>
      </c>
      <c r="AV233" s="246" t="s">
        <v>635</v>
      </c>
      <c r="AW233" s="242"/>
      <c r="AX233" s="242"/>
      <c r="AY233" s="231"/>
      <c r="AZ233" s="231"/>
      <c r="BA233" s="227"/>
      <c r="BB233" s="231"/>
      <c r="BC233" s="227"/>
      <c r="BD233" s="227"/>
      <c r="BE233" s="227"/>
      <c r="BF233" s="227"/>
    </row>
    <row r="234">
      <c r="A234" s="235" t="s">
        <v>2526</v>
      </c>
      <c r="C234" s="235" t="s">
        <v>2527</v>
      </c>
      <c r="D234" s="235" t="s">
        <v>2528</v>
      </c>
      <c r="E234" s="243">
        <v>6.57E13</v>
      </c>
      <c r="F234" s="244"/>
      <c r="G234" s="235" t="s">
        <v>2529</v>
      </c>
      <c r="H234" s="235" t="s">
        <v>2530</v>
      </c>
      <c r="I234" s="235" t="s">
        <v>2530</v>
      </c>
      <c r="J234" s="235" t="s">
        <v>2531</v>
      </c>
      <c r="K234" s="235" t="s">
        <v>2532</v>
      </c>
      <c r="N234" s="235" t="s">
        <v>130</v>
      </c>
      <c r="O234" s="235" t="s">
        <v>707</v>
      </c>
      <c r="P234" s="238">
        <v>1.0</v>
      </c>
      <c r="Q234" s="235" t="s">
        <v>627</v>
      </c>
      <c r="R234" s="238">
        <v>246.66</v>
      </c>
      <c r="S234" s="238">
        <v>12.34</v>
      </c>
      <c r="T234" s="238">
        <v>38.1</v>
      </c>
      <c r="U234" s="238">
        <v>1.9</v>
      </c>
      <c r="V234" s="238">
        <v>0.0</v>
      </c>
      <c r="W234" s="238">
        <v>0.0</v>
      </c>
      <c r="X234" s="235" t="s">
        <v>628</v>
      </c>
      <c r="Z234" s="244"/>
      <c r="AA234" s="244"/>
      <c r="AB234" s="244"/>
      <c r="AC234" s="235" t="s">
        <v>2533</v>
      </c>
      <c r="AD234" s="235" t="s">
        <v>845</v>
      </c>
      <c r="AE234" s="238">
        <v>425310.0</v>
      </c>
      <c r="AF234" s="235" t="s">
        <v>631</v>
      </c>
      <c r="AG234" s="244"/>
      <c r="AH234" s="244"/>
      <c r="AI234" s="245"/>
      <c r="AJ234" s="245"/>
      <c r="AK234" s="245"/>
      <c r="AL234" s="245"/>
      <c r="AM234" s="244"/>
      <c r="AN234" s="244"/>
      <c r="AO234" s="238">
        <v>0.0</v>
      </c>
      <c r="AP234" s="238">
        <v>-38.1</v>
      </c>
      <c r="AQ234" s="235" t="s">
        <v>1328</v>
      </c>
      <c r="AR234" s="243">
        <v>1.34E13</v>
      </c>
      <c r="AS234" s="235" t="s">
        <v>1329</v>
      </c>
      <c r="AT234" s="235" t="s">
        <v>546</v>
      </c>
      <c r="AU234" s="235" t="s">
        <v>634</v>
      </c>
      <c r="AV234" s="246" t="s">
        <v>635</v>
      </c>
      <c r="AW234" s="242"/>
      <c r="AX234" s="242"/>
      <c r="AY234" s="231"/>
      <c r="AZ234" s="231"/>
      <c r="BA234" s="227"/>
      <c r="BB234" s="231"/>
      <c r="BC234" s="227"/>
      <c r="BD234" s="227"/>
      <c r="BE234" s="227"/>
      <c r="BF234" s="227"/>
    </row>
    <row r="235">
      <c r="A235" s="235" t="s">
        <v>2534</v>
      </c>
      <c r="C235" s="235" t="s">
        <v>2535</v>
      </c>
      <c r="D235" s="235" t="s">
        <v>2536</v>
      </c>
      <c r="E235" s="243">
        <v>6.57E13</v>
      </c>
      <c r="F235" s="244"/>
      <c r="G235" s="235" t="s">
        <v>2537</v>
      </c>
      <c r="H235" s="235" t="s">
        <v>2538</v>
      </c>
      <c r="I235" s="235" t="s">
        <v>2538</v>
      </c>
      <c r="J235" s="235" t="s">
        <v>2539</v>
      </c>
      <c r="K235" s="235" t="s">
        <v>2540</v>
      </c>
      <c r="N235" s="235" t="s">
        <v>10</v>
      </c>
      <c r="O235" s="235" t="s">
        <v>936</v>
      </c>
      <c r="P235" s="238">
        <v>1.0</v>
      </c>
      <c r="Q235" s="235" t="s">
        <v>627</v>
      </c>
      <c r="R235" s="238">
        <v>265.72</v>
      </c>
      <c r="S235" s="238">
        <v>13.28</v>
      </c>
      <c r="T235" s="238">
        <v>0.0</v>
      </c>
      <c r="U235" s="238">
        <v>0.0</v>
      </c>
      <c r="V235" s="238">
        <v>0.0</v>
      </c>
      <c r="W235" s="238">
        <v>0.0</v>
      </c>
      <c r="X235" s="235" t="s">
        <v>628</v>
      </c>
      <c r="Z235" s="244"/>
      <c r="AA235" s="244"/>
      <c r="AB235" s="244"/>
      <c r="AC235" s="235" t="s">
        <v>1887</v>
      </c>
      <c r="AD235" s="235" t="s">
        <v>679</v>
      </c>
      <c r="AE235" s="238">
        <v>560103.0</v>
      </c>
      <c r="AF235" s="235" t="s">
        <v>631</v>
      </c>
      <c r="AG235" s="244"/>
      <c r="AH235" s="244"/>
      <c r="AI235" s="245"/>
      <c r="AJ235" s="245"/>
      <c r="AK235" s="245"/>
      <c r="AL235" s="245"/>
      <c r="AM235" s="244"/>
      <c r="AN235" s="244"/>
      <c r="AO235" s="238">
        <v>0.0</v>
      </c>
      <c r="AP235" s="238">
        <v>0.0</v>
      </c>
      <c r="AQ235" s="235" t="s">
        <v>632</v>
      </c>
      <c r="AR235" s="243">
        <v>1.68E11</v>
      </c>
      <c r="AS235" s="235" t="s">
        <v>2276</v>
      </c>
      <c r="AT235" s="235" t="s">
        <v>11</v>
      </c>
      <c r="AU235" s="235" t="s">
        <v>634</v>
      </c>
      <c r="AV235" s="246" t="s">
        <v>635</v>
      </c>
      <c r="AW235" s="242"/>
      <c r="AX235" s="242"/>
      <c r="AY235" s="231"/>
      <c r="AZ235" s="231"/>
      <c r="BA235" s="227"/>
      <c r="BB235" s="231"/>
      <c r="BC235" s="227"/>
      <c r="BD235" s="227"/>
      <c r="BE235" s="227"/>
      <c r="BF235" s="227"/>
    </row>
    <row r="236">
      <c r="A236" s="235" t="s">
        <v>2541</v>
      </c>
      <c r="C236" s="235" t="s">
        <v>2542</v>
      </c>
      <c r="D236" s="235" t="s">
        <v>2543</v>
      </c>
      <c r="E236" s="243">
        <v>6.57E13</v>
      </c>
      <c r="F236" s="244"/>
      <c r="G236" s="235" t="s">
        <v>2544</v>
      </c>
      <c r="H236" s="235" t="s">
        <v>2545</v>
      </c>
      <c r="I236" s="235" t="s">
        <v>2545</v>
      </c>
      <c r="J236" s="235" t="s">
        <v>2546</v>
      </c>
      <c r="K236" s="235" t="s">
        <v>2547</v>
      </c>
      <c r="N236" s="235" t="s">
        <v>127</v>
      </c>
      <c r="O236" s="235" t="s">
        <v>794</v>
      </c>
      <c r="P236" s="238">
        <v>1.0</v>
      </c>
      <c r="Q236" s="235" t="s">
        <v>627</v>
      </c>
      <c r="R236" s="238">
        <v>246.67</v>
      </c>
      <c r="S236" s="238">
        <v>12.33</v>
      </c>
      <c r="T236" s="238">
        <v>38.1</v>
      </c>
      <c r="U236" s="238">
        <v>1.9</v>
      </c>
      <c r="V236" s="238">
        <v>0.0</v>
      </c>
      <c r="W236" s="238">
        <v>0.0</v>
      </c>
      <c r="X236" s="235" t="s">
        <v>628</v>
      </c>
      <c r="Z236" s="244"/>
      <c r="AA236" s="244"/>
      <c r="AB236" s="244"/>
      <c r="AC236" s="235" t="s">
        <v>2057</v>
      </c>
      <c r="AD236" s="235" t="s">
        <v>698</v>
      </c>
      <c r="AE236" s="238">
        <v>500017.0</v>
      </c>
      <c r="AF236" s="235" t="s">
        <v>631</v>
      </c>
      <c r="AG236" s="244"/>
      <c r="AH236" s="244"/>
      <c r="AI236" s="245"/>
      <c r="AJ236" s="245"/>
      <c r="AK236" s="245"/>
      <c r="AL236" s="245"/>
      <c r="AM236" s="244"/>
      <c r="AN236" s="244"/>
      <c r="AO236" s="238">
        <v>0.0</v>
      </c>
      <c r="AP236" s="238">
        <v>-38.1</v>
      </c>
      <c r="AQ236" s="235" t="s">
        <v>632</v>
      </c>
      <c r="AR236" s="243">
        <v>3.71E11</v>
      </c>
      <c r="AS236" s="235" t="s">
        <v>667</v>
      </c>
      <c r="AT236" s="235" t="s">
        <v>11</v>
      </c>
      <c r="AU236" s="235" t="s">
        <v>634</v>
      </c>
      <c r="AV236" s="246" t="s">
        <v>635</v>
      </c>
      <c r="AW236" s="242"/>
      <c r="AX236" s="242"/>
      <c r="AY236" s="231"/>
      <c r="AZ236" s="231"/>
      <c r="BA236" s="227"/>
      <c r="BB236" s="231"/>
      <c r="BC236" s="227"/>
      <c r="BD236" s="227"/>
      <c r="BE236" s="227"/>
      <c r="BF236" s="227"/>
    </row>
    <row r="237">
      <c r="A237" s="235" t="s">
        <v>2548</v>
      </c>
      <c r="C237" s="235" t="s">
        <v>2549</v>
      </c>
      <c r="D237" s="235" t="s">
        <v>2550</v>
      </c>
      <c r="E237" s="243">
        <v>6.57E13</v>
      </c>
      <c r="F237" s="244"/>
      <c r="G237" s="235" t="s">
        <v>2551</v>
      </c>
      <c r="H237" s="235" t="s">
        <v>2552</v>
      </c>
      <c r="I237" s="235" t="s">
        <v>2553</v>
      </c>
      <c r="J237" s="235" t="s">
        <v>2554</v>
      </c>
      <c r="K237" s="235" t="s">
        <v>2555</v>
      </c>
      <c r="N237" s="235" t="s">
        <v>989</v>
      </c>
      <c r="O237" s="235" t="s">
        <v>990</v>
      </c>
      <c r="P237" s="238">
        <v>1.0</v>
      </c>
      <c r="Q237" s="235" t="s">
        <v>627</v>
      </c>
      <c r="R237" s="238">
        <v>256.2</v>
      </c>
      <c r="S237" s="238">
        <v>12.8</v>
      </c>
      <c r="T237" s="238">
        <v>0.0</v>
      </c>
      <c r="U237" s="238">
        <v>0.0</v>
      </c>
      <c r="V237" s="238">
        <v>0.0</v>
      </c>
      <c r="W237" s="238">
        <v>0.0</v>
      </c>
      <c r="X237" s="235" t="s">
        <v>628</v>
      </c>
      <c r="Z237" s="244"/>
      <c r="AA237" s="244"/>
      <c r="AB237" s="244"/>
      <c r="AC237" s="235" t="s">
        <v>678</v>
      </c>
      <c r="AD237" s="235" t="s">
        <v>679</v>
      </c>
      <c r="AE237" s="238">
        <v>560061.0</v>
      </c>
      <c r="AF237" s="235" t="s">
        <v>631</v>
      </c>
      <c r="AG237" s="244"/>
      <c r="AH237" s="244"/>
      <c r="AI237" s="245"/>
      <c r="AJ237" s="245"/>
      <c r="AK237" s="245"/>
      <c r="AL237" s="245"/>
      <c r="AM237" s="244"/>
      <c r="AN237" s="244"/>
      <c r="AO237" s="238">
        <v>0.0</v>
      </c>
      <c r="AP237" s="238">
        <v>0.0</v>
      </c>
      <c r="AQ237" s="235" t="s">
        <v>632</v>
      </c>
      <c r="AR237" s="243">
        <v>1.68E11</v>
      </c>
      <c r="AS237" s="235" t="s">
        <v>2276</v>
      </c>
      <c r="AT237" s="235" t="s">
        <v>9</v>
      </c>
      <c r="AU237" s="235" t="s">
        <v>634</v>
      </c>
      <c r="AV237" s="246" t="s">
        <v>635</v>
      </c>
      <c r="AW237" s="242"/>
      <c r="AX237" s="242"/>
      <c r="AY237" s="231"/>
      <c r="AZ237" s="231"/>
      <c r="BA237" s="227"/>
      <c r="BB237" s="231"/>
      <c r="BC237" s="227"/>
      <c r="BD237" s="227"/>
      <c r="BE237" s="227"/>
      <c r="BF237" s="227"/>
    </row>
    <row r="238">
      <c r="A238" s="235" t="s">
        <v>2557</v>
      </c>
      <c r="C238" s="235" t="s">
        <v>2558</v>
      </c>
      <c r="D238" s="235" t="s">
        <v>2559</v>
      </c>
      <c r="E238" s="243">
        <v>6.57E13</v>
      </c>
      <c r="F238" s="244"/>
      <c r="G238" s="235" t="s">
        <v>2561</v>
      </c>
      <c r="H238" s="235" t="s">
        <v>2562</v>
      </c>
      <c r="I238" s="235" t="s">
        <v>2562</v>
      </c>
      <c r="J238" s="235" t="s">
        <v>2563</v>
      </c>
      <c r="K238" s="235" t="s">
        <v>2564</v>
      </c>
      <c r="N238" s="235" t="s">
        <v>110</v>
      </c>
      <c r="O238" s="235" t="s">
        <v>364</v>
      </c>
      <c r="P238" s="238">
        <v>1.0</v>
      </c>
      <c r="Q238" s="235" t="s">
        <v>627</v>
      </c>
      <c r="R238" s="238">
        <v>246.67</v>
      </c>
      <c r="S238" s="238">
        <v>12.33</v>
      </c>
      <c r="T238" s="238">
        <v>0.0</v>
      </c>
      <c r="U238" s="238">
        <v>0.0</v>
      </c>
      <c r="V238" s="238">
        <v>0.0</v>
      </c>
      <c r="W238" s="238">
        <v>0.0</v>
      </c>
      <c r="X238" s="235" t="s">
        <v>628</v>
      </c>
      <c r="Z238" s="244"/>
      <c r="AA238" s="244"/>
      <c r="AB238" s="244"/>
      <c r="AC238" s="235" t="s">
        <v>1531</v>
      </c>
      <c r="AD238" s="235" t="s">
        <v>1151</v>
      </c>
      <c r="AE238" s="238">
        <v>700048.0</v>
      </c>
      <c r="AF238" s="235" t="s">
        <v>631</v>
      </c>
      <c r="AG238" s="244"/>
      <c r="AH238" s="244"/>
      <c r="AI238" s="245"/>
      <c r="AJ238" s="245"/>
      <c r="AK238" s="245"/>
      <c r="AL238" s="245"/>
      <c r="AM238" s="244"/>
      <c r="AN238" s="244"/>
      <c r="AO238" s="238">
        <v>0.0</v>
      </c>
      <c r="AP238" s="238">
        <v>0.0</v>
      </c>
      <c r="AQ238" s="235" t="s">
        <v>632</v>
      </c>
      <c r="AR238" s="243">
        <v>2.02E11</v>
      </c>
      <c r="AS238" s="235" t="s">
        <v>1367</v>
      </c>
      <c r="AT238" s="235" t="s">
        <v>14</v>
      </c>
      <c r="AU238" s="235" t="s">
        <v>634</v>
      </c>
      <c r="AV238" s="246" t="s">
        <v>635</v>
      </c>
      <c r="AW238" s="242"/>
      <c r="AX238" s="242"/>
      <c r="AY238" s="231"/>
      <c r="AZ238" s="231"/>
      <c r="BA238" s="227"/>
      <c r="BB238" s="231"/>
      <c r="BC238" s="227"/>
      <c r="BD238" s="227"/>
      <c r="BE238" s="227"/>
      <c r="BF238" s="227"/>
    </row>
    <row r="239">
      <c r="A239" s="235" t="s">
        <v>2565</v>
      </c>
      <c r="C239" s="235" t="s">
        <v>2566</v>
      </c>
      <c r="D239" s="235" t="s">
        <v>2567</v>
      </c>
      <c r="E239" s="243">
        <v>6.57E13</v>
      </c>
      <c r="F239" s="244"/>
      <c r="G239" s="235" t="s">
        <v>2568</v>
      </c>
      <c r="H239" s="235" t="s">
        <v>2569</v>
      </c>
      <c r="I239" s="235" t="s">
        <v>2569</v>
      </c>
      <c r="J239" s="235" t="s">
        <v>2570</v>
      </c>
      <c r="K239" s="235" t="s">
        <v>2571</v>
      </c>
      <c r="N239" s="235" t="s">
        <v>962</v>
      </c>
      <c r="O239" s="235" t="s">
        <v>963</v>
      </c>
      <c r="P239" s="238">
        <v>1.0</v>
      </c>
      <c r="Q239" s="235" t="s">
        <v>627</v>
      </c>
      <c r="R239" s="238">
        <v>246.67</v>
      </c>
      <c r="S239" s="238">
        <v>12.33</v>
      </c>
      <c r="T239" s="238">
        <v>0.0</v>
      </c>
      <c r="U239" s="238">
        <v>0.0</v>
      </c>
      <c r="V239" s="238">
        <v>0.0</v>
      </c>
      <c r="W239" s="238">
        <v>0.0</v>
      </c>
      <c r="X239" s="235" t="s">
        <v>628</v>
      </c>
      <c r="Z239" s="244"/>
      <c r="AA239" s="244"/>
      <c r="AB239" s="244"/>
      <c r="AC239" s="235" t="s">
        <v>2572</v>
      </c>
      <c r="AD239" s="235" t="s">
        <v>645</v>
      </c>
      <c r="AE239" s="238">
        <v>682306.0</v>
      </c>
      <c r="AF239" s="235" t="s">
        <v>631</v>
      </c>
      <c r="AG239" s="244"/>
      <c r="AH239" s="244"/>
      <c r="AI239" s="245"/>
      <c r="AJ239" s="245"/>
      <c r="AK239" s="245"/>
      <c r="AL239" s="245"/>
      <c r="AM239" s="244"/>
      <c r="AN239" s="244"/>
      <c r="AO239" s="238">
        <v>0.0</v>
      </c>
      <c r="AP239" s="238">
        <v>0.0</v>
      </c>
      <c r="AQ239" s="235" t="s">
        <v>632</v>
      </c>
      <c r="AR239" s="243">
        <v>1.68E11</v>
      </c>
      <c r="AS239" s="235" t="s">
        <v>1367</v>
      </c>
      <c r="AT239" s="235" t="s">
        <v>11</v>
      </c>
      <c r="AU239" s="235" t="s">
        <v>634</v>
      </c>
      <c r="AV239" s="246" t="s">
        <v>635</v>
      </c>
      <c r="AW239" s="242"/>
      <c r="AX239" s="242"/>
      <c r="AY239" s="231"/>
      <c r="AZ239" s="231"/>
      <c r="BA239" s="227"/>
      <c r="BB239" s="231"/>
      <c r="BC239" s="227"/>
      <c r="BD239" s="227"/>
      <c r="BE239" s="227"/>
      <c r="BF239" s="227"/>
    </row>
    <row r="240">
      <c r="A240" s="235" t="s">
        <v>2573</v>
      </c>
      <c r="C240" s="235" t="s">
        <v>2574</v>
      </c>
      <c r="D240" s="235" t="s">
        <v>2575</v>
      </c>
      <c r="E240" s="243">
        <v>6.57E13</v>
      </c>
      <c r="F240" s="244"/>
      <c r="G240" s="235" t="s">
        <v>2576</v>
      </c>
      <c r="H240" s="235" t="s">
        <v>2577</v>
      </c>
      <c r="I240" s="235" t="s">
        <v>2577</v>
      </c>
      <c r="J240" s="235" t="s">
        <v>2578</v>
      </c>
      <c r="K240" s="235" t="s">
        <v>2579</v>
      </c>
      <c r="N240" s="235" t="s">
        <v>126</v>
      </c>
      <c r="O240" s="235" t="s">
        <v>407</v>
      </c>
      <c r="P240" s="238">
        <v>1.0</v>
      </c>
      <c r="Q240" s="235" t="s">
        <v>627</v>
      </c>
      <c r="R240" s="238">
        <v>237.14</v>
      </c>
      <c r="S240" s="238">
        <v>11.86</v>
      </c>
      <c r="T240" s="238">
        <v>0.0</v>
      </c>
      <c r="U240" s="238">
        <v>0.0</v>
      </c>
      <c r="V240" s="238">
        <v>0.0</v>
      </c>
      <c r="W240" s="238">
        <v>0.0</v>
      </c>
      <c r="X240" s="235" t="s">
        <v>628</v>
      </c>
      <c r="Z240" s="244"/>
      <c r="AA240" s="244"/>
      <c r="AB240" s="244"/>
      <c r="AC240" s="235" t="s">
        <v>2580</v>
      </c>
      <c r="AD240" s="235" t="s">
        <v>1077</v>
      </c>
      <c r="AE240" s="238">
        <v>395003.0</v>
      </c>
      <c r="AF240" s="235" t="s">
        <v>631</v>
      </c>
      <c r="AG240" s="244"/>
      <c r="AH240" s="244"/>
      <c r="AI240" s="245"/>
      <c r="AJ240" s="245"/>
      <c r="AK240" s="245"/>
      <c r="AL240" s="245"/>
      <c r="AM240" s="244"/>
      <c r="AN240" s="244"/>
      <c r="AO240" s="238">
        <v>0.0</v>
      </c>
      <c r="AP240" s="238">
        <v>0.0</v>
      </c>
      <c r="AQ240" s="235" t="s">
        <v>2581</v>
      </c>
      <c r="AR240" s="247" t="s">
        <v>2582</v>
      </c>
      <c r="AS240" s="235" t="s">
        <v>646</v>
      </c>
      <c r="AT240" s="235" t="s">
        <v>16</v>
      </c>
      <c r="AU240" s="235" t="s">
        <v>634</v>
      </c>
      <c r="AV240" s="246" t="s">
        <v>635</v>
      </c>
      <c r="AW240" s="242"/>
      <c r="AX240" s="242"/>
      <c r="AY240" s="231"/>
      <c r="AZ240" s="231"/>
      <c r="BA240" s="227"/>
      <c r="BB240" s="231"/>
      <c r="BC240" s="227"/>
      <c r="BD240" s="227"/>
      <c r="BE240" s="227"/>
      <c r="BF240" s="227"/>
    </row>
    <row r="241">
      <c r="A241" s="235" t="s">
        <v>2583</v>
      </c>
      <c r="C241" s="235" t="s">
        <v>2584</v>
      </c>
      <c r="D241" s="235" t="s">
        <v>2585</v>
      </c>
      <c r="E241" s="243">
        <v>6.57E13</v>
      </c>
      <c r="F241" s="244"/>
      <c r="G241" s="235" t="s">
        <v>2586</v>
      </c>
      <c r="H241" s="235" t="s">
        <v>2587</v>
      </c>
      <c r="I241" s="235" t="s">
        <v>2588</v>
      </c>
      <c r="J241" s="235" t="s">
        <v>2589</v>
      </c>
      <c r="K241" s="235" t="s">
        <v>2590</v>
      </c>
      <c r="N241" s="235" t="s">
        <v>82</v>
      </c>
      <c r="O241" s="235" t="s">
        <v>889</v>
      </c>
      <c r="P241" s="238">
        <v>1.0</v>
      </c>
      <c r="Q241" s="235" t="s">
        <v>627</v>
      </c>
      <c r="R241" s="238">
        <v>246.67</v>
      </c>
      <c r="S241" s="238">
        <v>12.33</v>
      </c>
      <c r="T241" s="238">
        <v>0.0</v>
      </c>
      <c r="U241" s="238">
        <v>0.0</v>
      </c>
      <c r="V241" s="238">
        <v>0.0</v>
      </c>
      <c r="W241" s="238">
        <v>0.0</v>
      </c>
      <c r="X241" s="235" t="s">
        <v>628</v>
      </c>
      <c r="Z241" s="244"/>
      <c r="AA241" s="244"/>
      <c r="AB241" s="244"/>
      <c r="AC241" s="235" t="s">
        <v>697</v>
      </c>
      <c r="AD241" s="235" t="s">
        <v>698</v>
      </c>
      <c r="AE241" s="238">
        <v>501510.0</v>
      </c>
      <c r="AF241" s="235" t="s">
        <v>631</v>
      </c>
      <c r="AG241" s="244"/>
      <c r="AH241" s="244"/>
      <c r="AI241" s="245"/>
      <c r="AJ241" s="245"/>
      <c r="AK241" s="245"/>
      <c r="AL241" s="245"/>
      <c r="AM241" s="244"/>
      <c r="AN241" s="244"/>
      <c r="AO241" s="238">
        <v>0.0</v>
      </c>
      <c r="AP241" s="238">
        <v>0.0</v>
      </c>
      <c r="AQ241" s="235" t="s">
        <v>632</v>
      </c>
      <c r="AR241" s="243">
        <v>3.71E11</v>
      </c>
      <c r="AS241" s="235" t="s">
        <v>667</v>
      </c>
      <c r="AT241" s="235" t="s">
        <v>546</v>
      </c>
      <c r="AU241" s="235" t="s">
        <v>634</v>
      </c>
      <c r="AV241" s="246" t="s">
        <v>635</v>
      </c>
      <c r="AW241" s="242"/>
      <c r="AX241" s="242"/>
      <c r="AY241" s="231"/>
      <c r="AZ241" s="231"/>
      <c r="BA241" s="227"/>
      <c r="BB241" s="231"/>
      <c r="BC241" s="227"/>
      <c r="BD241" s="227"/>
      <c r="BE241" s="227"/>
      <c r="BF241" s="227"/>
    </row>
    <row r="242">
      <c r="A242" s="235" t="s">
        <v>2591</v>
      </c>
      <c r="C242" s="235" t="s">
        <v>2592</v>
      </c>
      <c r="D242" s="235" t="s">
        <v>2593</v>
      </c>
      <c r="E242" s="243">
        <v>6.57E13</v>
      </c>
      <c r="F242" s="244"/>
      <c r="G242" s="235" t="s">
        <v>2594</v>
      </c>
      <c r="H242" s="235" t="s">
        <v>2595</v>
      </c>
      <c r="I242" s="235" t="s">
        <v>2596</v>
      </c>
      <c r="J242" s="235" t="s">
        <v>2597</v>
      </c>
      <c r="K242" s="235" t="s">
        <v>2598</v>
      </c>
      <c r="N242" s="235" t="s">
        <v>41</v>
      </c>
      <c r="O242" s="235" t="s">
        <v>291</v>
      </c>
      <c r="P242" s="238">
        <v>1.0</v>
      </c>
      <c r="Q242" s="235" t="s">
        <v>627</v>
      </c>
      <c r="R242" s="238">
        <v>237.14</v>
      </c>
      <c r="S242" s="238">
        <v>11.86</v>
      </c>
      <c r="T242" s="238">
        <v>0.0</v>
      </c>
      <c r="U242" s="238">
        <v>0.0</v>
      </c>
      <c r="V242" s="238">
        <v>0.0</v>
      </c>
      <c r="W242" s="238">
        <v>0.0</v>
      </c>
      <c r="X242" s="235" t="s">
        <v>628</v>
      </c>
      <c r="Z242" s="244"/>
      <c r="AA242" s="244"/>
      <c r="AB242" s="244"/>
      <c r="AC242" s="235" t="s">
        <v>697</v>
      </c>
      <c r="AD242" s="235" t="s">
        <v>698</v>
      </c>
      <c r="AE242" s="238">
        <v>500097.0</v>
      </c>
      <c r="AF242" s="235" t="s">
        <v>631</v>
      </c>
      <c r="AG242" s="244"/>
      <c r="AH242" s="244"/>
      <c r="AI242" s="245"/>
      <c r="AJ242" s="245"/>
      <c r="AK242" s="245"/>
      <c r="AL242" s="245"/>
      <c r="AM242" s="244"/>
      <c r="AN242" s="244"/>
      <c r="AO242" s="238">
        <v>0.0</v>
      </c>
      <c r="AP242" s="238">
        <v>0.0</v>
      </c>
      <c r="AQ242" s="235" t="s">
        <v>632</v>
      </c>
      <c r="AR242" s="243">
        <v>3.71E11</v>
      </c>
      <c r="AS242" s="235" t="s">
        <v>667</v>
      </c>
      <c r="AT242" s="235" t="s">
        <v>156</v>
      </c>
      <c r="AU242" s="235" t="s">
        <v>634</v>
      </c>
      <c r="AV242" s="246" t="s">
        <v>635</v>
      </c>
      <c r="AW242" s="242"/>
      <c r="AX242" s="242"/>
      <c r="AY242" s="231"/>
      <c r="AZ242" s="231"/>
      <c r="BA242" s="227"/>
      <c r="BB242" s="231"/>
      <c r="BC242" s="227"/>
      <c r="BD242" s="227"/>
      <c r="BE242" s="227"/>
      <c r="BF242" s="227"/>
    </row>
    <row r="243">
      <c r="A243" s="235" t="s">
        <v>2599</v>
      </c>
      <c r="C243" s="235" t="s">
        <v>2600</v>
      </c>
      <c r="D243" s="235" t="s">
        <v>2601</v>
      </c>
      <c r="E243" s="243">
        <v>6.56E13</v>
      </c>
      <c r="F243" s="244"/>
      <c r="G243" s="235" t="s">
        <v>2602</v>
      </c>
      <c r="H243" s="235" t="s">
        <v>2603</v>
      </c>
      <c r="I243" s="235" t="s">
        <v>2603</v>
      </c>
      <c r="J243" s="235" t="s">
        <v>2604</v>
      </c>
      <c r="K243" s="235" t="s">
        <v>2605</v>
      </c>
      <c r="N243" s="235" t="s">
        <v>1346</v>
      </c>
      <c r="O243" s="235" t="s">
        <v>1347</v>
      </c>
      <c r="P243" s="238">
        <v>1.0</v>
      </c>
      <c r="Q243" s="235" t="s">
        <v>627</v>
      </c>
      <c r="R243" s="238">
        <v>0.0</v>
      </c>
      <c r="S243" s="238">
        <v>0.0</v>
      </c>
      <c r="T243" s="238">
        <v>0.0</v>
      </c>
      <c r="U243" s="238">
        <v>0.0</v>
      </c>
      <c r="V243" s="238">
        <v>0.0</v>
      </c>
      <c r="W243" s="238">
        <v>0.0</v>
      </c>
      <c r="X243" s="235" t="s">
        <v>628</v>
      </c>
      <c r="Z243" s="244"/>
      <c r="AA243" s="244"/>
      <c r="AB243" s="244"/>
      <c r="AC243" s="235" t="s">
        <v>844</v>
      </c>
      <c r="AD243" s="235" t="s">
        <v>845</v>
      </c>
      <c r="AE243" s="238">
        <v>411005.0</v>
      </c>
      <c r="AF243" s="235" t="s">
        <v>631</v>
      </c>
      <c r="AG243" s="244"/>
      <c r="AH243" s="244"/>
      <c r="AI243" s="245"/>
      <c r="AJ243" s="245"/>
      <c r="AK243" s="245"/>
      <c r="AL243" s="245"/>
      <c r="AM243" s="244"/>
      <c r="AN243" s="244"/>
      <c r="AO243" s="238">
        <v>0.0</v>
      </c>
      <c r="AP243" s="238">
        <v>0.0</v>
      </c>
      <c r="AQ243" s="235" t="s">
        <v>632</v>
      </c>
      <c r="AR243" s="243">
        <v>3.71E11</v>
      </c>
      <c r="AS243" s="235" t="s">
        <v>1367</v>
      </c>
      <c r="AT243" s="235" t="s">
        <v>546</v>
      </c>
      <c r="AU243" s="235" t="s">
        <v>634</v>
      </c>
      <c r="AV243" s="246" t="s">
        <v>635</v>
      </c>
      <c r="AW243" s="242"/>
      <c r="AX243" s="242"/>
      <c r="AY243" s="231"/>
      <c r="AZ243" s="231"/>
      <c r="BA243" s="227"/>
      <c r="BB243" s="231"/>
      <c r="BC243" s="227"/>
      <c r="BD243" s="227"/>
      <c r="BE243" s="227"/>
      <c r="BF243" s="227"/>
    </row>
    <row r="244">
      <c r="A244" s="235" t="s">
        <v>2606</v>
      </c>
      <c r="C244" s="235" t="s">
        <v>2607</v>
      </c>
      <c r="D244" s="235" t="s">
        <v>2608</v>
      </c>
      <c r="E244" s="243">
        <v>6.57E13</v>
      </c>
      <c r="F244" s="244"/>
      <c r="G244" s="235" t="s">
        <v>2609</v>
      </c>
      <c r="H244" s="235" t="s">
        <v>2610</v>
      </c>
      <c r="I244" s="235" t="s">
        <v>2610</v>
      </c>
      <c r="J244" s="235" t="s">
        <v>2611</v>
      </c>
      <c r="K244" s="235" t="s">
        <v>2612</v>
      </c>
      <c r="N244" s="235" t="s">
        <v>127</v>
      </c>
      <c r="O244" s="235" t="s">
        <v>794</v>
      </c>
      <c r="P244" s="238">
        <v>1.0</v>
      </c>
      <c r="Q244" s="235" t="s">
        <v>627</v>
      </c>
      <c r="R244" s="238">
        <v>246.67</v>
      </c>
      <c r="S244" s="238">
        <v>12.33</v>
      </c>
      <c r="T244" s="238">
        <v>0.0</v>
      </c>
      <c r="U244" s="238">
        <v>0.0</v>
      </c>
      <c r="V244" s="238">
        <v>0.0</v>
      </c>
      <c r="W244" s="238">
        <v>0.0</v>
      </c>
      <c r="X244" s="235" t="s">
        <v>628</v>
      </c>
      <c r="Z244" s="244"/>
      <c r="AA244" s="244"/>
      <c r="AB244" s="244"/>
      <c r="AC244" s="235" t="s">
        <v>2615</v>
      </c>
      <c r="AD244" s="235" t="s">
        <v>1499</v>
      </c>
      <c r="AE244" s="238">
        <v>452020.0</v>
      </c>
      <c r="AF244" s="235" t="s">
        <v>631</v>
      </c>
      <c r="AG244" s="244"/>
      <c r="AH244" s="244"/>
      <c r="AI244" s="245"/>
      <c r="AJ244" s="245"/>
      <c r="AK244" s="245"/>
      <c r="AL244" s="245"/>
      <c r="AM244" s="244"/>
      <c r="AN244" s="244"/>
      <c r="AO244" s="238">
        <v>0.0</v>
      </c>
      <c r="AP244" s="238">
        <v>0.0</v>
      </c>
      <c r="AQ244" s="235" t="s">
        <v>632</v>
      </c>
      <c r="AR244" s="243">
        <v>1.68E11</v>
      </c>
      <c r="AS244" s="235" t="s">
        <v>1367</v>
      </c>
      <c r="AT244" s="235" t="s">
        <v>533</v>
      </c>
      <c r="AU244" s="235" t="s">
        <v>634</v>
      </c>
      <c r="AV244" s="246" t="s">
        <v>635</v>
      </c>
      <c r="AW244" s="242"/>
      <c r="AX244" s="242"/>
      <c r="AY244" s="231"/>
      <c r="AZ244" s="231"/>
      <c r="BA244" s="227"/>
      <c r="BB244" s="231"/>
      <c r="BC244" s="227"/>
      <c r="BD244" s="227"/>
      <c r="BE244" s="227"/>
      <c r="BF244" s="227"/>
    </row>
    <row r="245">
      <c r="A245" s="235" t="s">
        <v>2620</v>
      </c>
      <c r="C245" s="235" t="s">
        <v>2621</v>
      </c>
      <c r="D245" s="235" t="s">
        <v>2623</v>
      </c>
      <c r="E245" s="243">
        <v>6.57E13</v>
      </c>
      <c r="F245" s="244"/>
      <c r="G245" s="235" t="s">
        <v>2626</v>
      </c>
      <c r="H245" s="235" t="s">
        <v>2627</v>
      </c>
      <c r="I245" s="235" t="s">
        <v>2627</v>
      </c>
      <c r="J245" s="235" t="s">
        <v>2629</v>
      </c>
      <c r="K245" s="235" t="s">
        <v>2630</v>
      </c>
      <c r="N245" s="235" t="s">
        <v>136</v>
      </c>
      <c r="O245" s="235" t="s">
        <v>256</v>
      </c>
      <c r="P245" s="238">
        <v>1.0</v>
      </c>
      <c r="Q245" s="235" t="s">
        <v>627</v>
      </c>
      <c r="R245" s="238">
        <v>246.67</v>
      </c>
      <c r="S245" s="238">
        <v>12.33</v>
      </c>
      <c r="T245" s="238">
        <v>0.0</v>
      </c>
      <c r="U245" s="238">
        <v>0.0</v>
      </c>
      <c r="V245" s="238">
        <v>0.0</v>
      </c>
      <c r="W245" s="238">
        <v>0.0</v>
      </c>
      <c r="X245" s="235" t="s">
        <v>628</v>
      </c>
      <c r="Z245" s="244"/>
      <c r="AA245" s="244"/>
      <c r="AB245" s="244"/>
      <c r="AC245" s="235" t="s">
        <v>832</v>
      </c>
      <c r="AD245" s="235" t="s">
        <v>833</v>
      </c>
      <c r="AE245" s="238">
        <v>530040.0</v>
      </c>
      <c r="AF245" s="235" t="s">
        <v>631</v>
      </c>
      <c r="AG245" s="244"/>
      <c r="AH245" s="244"/>
      <c r="AI245" s="245"/>
      <c r="AJ245" s="245"/>
      <c r="AK245" s="245"/>
      <c r="AL245" s="245"/>
      <c r="AM245" s="244"/>
      <c r="AN245" s="244"/>
      <c r="AO245" s="238">
        <v>0.0</v>
      </c>
      <c r="AP245" s="238">
        <v>0.0</v>
      </c>
      <c r="AQ245" s="235" t="s">
        <v>632</v>
      </c>
      <c r="AR245" s="243">
        <v>3.71E11</v>
      </c>
      <c r="AS245" s="235" t="s">
        <v>656</v>
      </c>
      <c r="AT245" s="235" t="s">
        <v>156</v>
      </c>
      <c r="AU245" s="235" t="s">
        <v>634</v>
      </c>
      <c r="AV245" s="246" t="s">
        <v>635</v>
      </c>
      <c r="AW245" s="242"/>
      <c r="AX245" s="242"/>
      <c r="AY245" s="231"/>
      <c r="AZ245" s="231"/>
      <c r="BA245" s="227"/>
      <c r="BB245" s="231"/>
      <c r="BC245" s="227"/>
      <c r="BD245" s="227"/>
      <c r="BE245" s="227"/>
      <c r="BF245" s="227"/>
    </row>
    <row r="246">
      <c r="A246" s="235" t="s">
        <v>2631</v>
      </c>
      <c r="C246" s="235" t="s">
        <v>2632</v>
      </c>
      <c r="D246" s="235" t="s">
        <v>2633</v>
      </c>
      <c r="E246" s="243">
        <v>6.57E13</v>
      </c>
      <c r="F246" s="244"/>
      <c r="G246" s="235" t="s">
        <v>2635</v>
      </c>
      <c r="H246" s="235" t="s">
        <v>2636</v>
      </c>
      <c r="I246" s="235" t="s">
        <v>2636</v>
      </c>
      <c r="J246" s="235" t="s">
        <v>2637</v>
      </c>
      <c r="K246" s="235" t="s">
        <v>2638</v>
      </c>
      <c r="N246" s="235" t="s">
        <v>0</v>
      </c>
      <c r="O246" s="235" t="s">
        <v>740</v>
      </c>
      <c r="P246" s="238">
        <v>1.0</v>
      </c>
      <c r="Q246" s="235" t="s">
        <v>627</v>
      </c>
      <c r="R246" s="238">
        <v>265.71</v>
      </c>
      <c r="S246" s="238">
        <v>13.29</v>
      </c>
      <c r="T246" s="238">
        <v>38.1</v>
      </c>
      <c r="U246" s="238">
        <v>1.9</v>
      </c>
      <c r="V246" s="238">
        <v>0.0</v>
      </c>
      <c r="W246" s="238">
        <v>0.0</v>
      </c>
      <c r="X246" s="235" t="s">
        <v>628</v>
      </c>
      <c r="Z246" s="244"/>
      <c r="AA246" s="244"/>
      <c r="AB246" s="244"/>
      <c r="AC246" s="235" t="s">
        <v>2639</v>
      </c>
      <c r="AD246" s="235" t="s">
        <v>630</v>
      </c>
      <c r="AE246" s="238">
        <v>201306.0</v>
      </c>
      <c r="AF246" s="235" t="s">
        <v>631</v>
      </c>
      <c r="AG246" s="244"/>
      <c r="AH246" s="244"/>
      <c r="AI246" s="245"/>
      <c r="AJ246" s="245"/>
      <c r="AK246" s="245"/>
      <c r="AL246" s="245"/>
      <c r="AM246" s="244"/>
      <c r="AN246" s="244"/>
      <c r="AO246" s="238">
        <v>0.0</v>
      </c>
      <c r="AP246" s="238">
        <v>-38.1</v>
      </c>
      <c r="AQ246" s="235" t="s">
        <v>632</v>
      </c>
      <c r="AR246" s="243">
        <v>3.71E11</v>
      </c>
      <c r="AS246" s="235" t="s">
        <v>1367</v>
      </c>
      <c r="AT246" s="235" t="s">
        <v>13</v>
      </c>
      <c r="AU246" s="235" t="s">
        <v>634</v>
      </c>
      <c r="AV246" s="246" t="s">
        <v>635</v>
      </c>
      <c r="AW246" s="242"/>
      <c r="AX246" s="242"/>
      <c r="AY246" s="231"/>
      <c r="AZ246" s="231"/>
      <c r="BA246" s="227"/>
      <c r="BB246" s="231"/>
      <c r="BC246" s="227"/>
      <c r="BD246" s="227"/>
      <c r="BE246" s="227"/>
      <c r="BF246" s="227"/>
    </row>
    <row r="247">
      <c r="A247" s="235" t="s">
        <v>2640</v>
      </c>
      <c r="C247" s="235" t="s">
        <v>2641</v>
      </c>
      <c r="D247" s="235" t="s">
        <v>2642</v>
      </c>
      <c r="E247" s="243">
        <v>6.57E13</v>
      </c>
      <c r="F247" s="244"/>
      <c r="G247" s="235" t="s">
        <v>2643</v>
      </c>
      <c r="H247" s="235" t="s">
        <v>2644</v>
      </c>
      <c r="I247" s="235" t="s">
        <v>2644</v>
      </c>
      <c r="J247" s="235" t="s">
        <v>2645</v>
      </c>
      <c r="K247" s="235" t="s">
        <v>2646</v>
      </c>
      <c r="N247" s="235" t="s">
        <v>54</v>
      </c>
      <c r="O247" s="235" t="s">
        <v>294</v>
      </c>
      <c r="P247" s="238">
        <v>1.0</v>
      </c>
      <c r="Q247" s="235" t="s">
        <v>627</v>
      </c>
      <c r="R247" s="238">
        <v>246.66</v>
      </c>
      <c r="S247" s="238">
        <v>11.97</v>
      </c>
      <c r="T247" s="238">
        <v>0.0</v>
      </c>
      <c r="U247" s="238">
        <v>0.0</v>
      </c>
      <c r="V247" s="238">
        <v>0.0</v>
      </c>
      <c r="W247" s="238">
        <v>0.0</v>
      </c>
      <c r="X247" s="235" t="s">
        <v>628</v>
      </c>
      <c r="Z247" s="244"/>
      <c r="AA247" s="244"/>
      <c r="AB247" s="244"/>
      <c r="AC247" s="235" t="s">
        <v>2647</v>
      </c>
      <c r="AD247" s="235" t="s">
        <v>845</v>
      </c>
      <c r="AE247" s="238">
        <v>400604.0</v>
      </c>
      <c r="AF247" s="235" t="s">
        <v>631</v>
      </c>
      <c r="AG247" s="244"/>
      <c r="AH247" s="244"/>
      <c r="AI247" s="245"/>
      <c r="AJ247" s="245"/>
      <c r="AK247" s="245"/>
      <c r="AL247" s="245"/>
      <c r="AM247" s="244"/>
      <c r="AN247" s="244"/>
      <c r="AO247" s="238">
        <v>-7.4</v>
      </c>
      <c r="AP247" s="238">
        <v>0.0</v>
      </c>
      <c r="AQ247" s="235" t="s">
        <v>632</v>
      </c>
      <c r="AR247" s="243">
        <v>3.71E11</v>
      </c>
      <c r="AS247" s="235" t="s">
        <v>667</v>
      </c>
      <c r="AT247" s="235" t="s">
        <v>16</v>
      </c>
      <c r="AU247" s="235" t="s">
        <v>634</v>
      </c>
      <c r="AV247" s="246" t="s">
        <v>635</v>
      </c>
      <c r="AW247" s="242"/>
      <c r="AX247" s="242"/>
      <c r="AY247" s="231"/>
      <c r="AZ247" s="231"/>
      <c r="BA247" s="227"/>
      <c r="BB247" s="231"/>
      <c r="BC247" s="227"/>
      <c r="BD247" s="227"/>
      <c r="BE247" s="227"/>
      <c r="BF247" s="227"/>
    </row>
    <row r="248">
      <c r="A248" s="235" t="s">
        <v>2640</v>
      </c>
      <c r="C248" s="235" t="s">
        <v>2641</v>
      </c>
      <c r="D248" s="235" t="s">
        <v>2648</v>
      </c>
      <c r="E248" s="243">
        <v>6.57E13</v>
      </c>
      <c r="F248" s="244"/>
      <c r="G248" s="235" t="s">
        <v>2643</v>
      </c>
      <c r="H248" s="235" t="s">
        <v>2644</v>
      </c>
      <c r="I248" s="235" t="s">
        <v>2644</v>
      </c>
      <c r="J248" s="235" t="s">
        <v>2645</v>
      </c>
      <c r="K248" s="235" t="s">
        <v>2646</v>
      </c>
      <c r="N248" s="235" t="s">
        <v>54</v>
      </c>
      <c r="O248" s="235" t="s">
        <v>294</v>
      </c>
      <c r="P248" s="238">
        <v>1.0</v>
      </c>
      <c r="Q248" s="235" t="s">
        <v>627</v>
      </c>
      <c r="R248" s="238">
        <v>246.66</v>
      </c>
      <c r="S248" s="238">
        <v>11.97</v>
      </c>
      <c r="T248" s="238">
        <v>0.0</v>
      </c>
      <c r="U248" s="238">
        <v>0.0</v>
      </c>
      <c r="V248" s="238">
        <v>0.0</v>
      </c>
      <c r="W248" s="238">
        <v>0.0</v>
      </c>
      <c r="X248" s="235" t="s">
        <v>628</v>
      </c>
      <c r="Z248" s="244"/>
      <c r="AA248" s="244"/>
      <c r="AB248" s="244"/>
      <c r="AC248" s="235" t="s">
        <v>2647</v>
      </c>
      <c r="AD248" s="235" t="s">
        <v>845</v>
      </c>
      <c r="AE248" s="238">
        <v>400604.0</v>
      </c>
      <c r="AF248" s="235" t="s">
        <v>631</v>
      </c>
      <c r="AG248" s="244"/>
      <c r="AH248" s="244"/>
      <c r="AI248" s="245"/>
      <c r="AJ248" s="245"/>
      <c r="AK248" s="245"/>
      <c r="AL248" s="245"/>
      <c r="AM248" s="244"/>
      <c r="AN248" s="244"/>
      <c r="AO248" s="238">
        <v>-7.4</v>
      </c>
      <c r="AP248" s="238">
        <v>0.0</v>
      </c>
      <c r="AQ248" s="235" t="s">
        <v>632</v>
      </c>
      <c r="AR248" s="243">
        <v>3.71E11</v>
      </c>
      <c r="AS248" s="235" t="s">
        <v>667</v>
      </c>
      <c r="AT248" s="235" t="s">
        <v>16</v>
      </c>
      <c r="AU248" s="235" t="s">
        <v>634</v>
      </c>
      <c r="AV248" s="246" t="s">
        <v>635</v>
      </c>
      <c r="AW248" s="242"/>
      <c r="AX248" s="242"/>
      <c r="AY248" s="231"/>
      <c r="AZ248" s="231"/>
      <c r="BA248" s="227"/>
      <c r="BB248" s="231"/>
      <c r="BC248" s="227"/>
      <c r="BD248" s="227"/>
      <c r="BE248" s="227"/>
      <c r="BF248" s="227"/>
    </row>
    <row r="249">
      <c r="A249" s="235" t="s">
        <v>2650</v>
      </c>
      <c r="C249" s="235" t="s">
        <v>2651</v>
      </c>
      <c r="D249" s="235" t="s">
        <v>2652</v>
      </c>
      <c r="E249" s="243">
        <v>6.57E13</v>
      </c>
      <c r="F249" s="244"/>
      <c r="G249" s="235" t="s">
        <v>2653</v>
      </c>
      <c r="H249" s="235" t="s">
        <v>2654</v>
      </c>
      <c r="I249" s="235" t="s">
        <v>2654</v>
      </c>
      <c r="J249" s="235" t="s">
        <v>2655</v>
      </c>
      <c r="K249" s="235" t="s">
        <v>2656</v>
      </c>
      <c r="N249" s="235" t="s">
        <v>42</v>
      </c>
      <c r="O249" s="235" t="s">
        <v>204</v>
      </c>
      <c r="P249" s="238">
        <v>1.0</v>
      </c>
      <c r="Q249" s="235" t="s">
        <v>627</v>
      </c>
      <c r="R249" s="238">
        <v>237.14</v>
      </c>
      <c r="S249" s="238">
        <v>11.86</v>
      </c>
      <c r="T249" s="238">
        <v>38.1</v>
      </c>
      <c r="U249" s="238">
        <v>1.9</v>
      </c>
      <c r="V249" s="238">
        <v>0.0</v>
      </c>
      <c r="W249" s="238">
        <v>0.0</v>
      </c>
      <c r="X249" s="235" t="s">
        <v>628</v>
      </c>
      <c r="Z249" s="244"/>
      <c r="AA249" s="244"/>
      <c r="AB249" s="244"/>
      <c r="AC249" s="235" t="s">
        <v>2657</v>
      </c>
      <c r="AD249" s="235" t="s">
        <v>833</v>
      </c>
      <c r="AE249" s="238">
        <v>534007.0</v>
      </c>
      <c r="AF249" s="235" t="s">
        <v>631</v>
      </c>
      <c r="AG249" s="244"/>
      <c r="AH249" s="244"/>
      <c r="AI249" s="245"/>
      <c r="AJ249" s="245"/>
      <c r="AK249" s="245"/>
      <c r="AL249" s="245"/>
      <c r="AM249" s="244"/>
      <c r="AN249" s="244"/>
      <c r="AO249" s="238">
        <v>0.0</v>
      </c>
      <c r="AP249" s="238">
        <v>-38.1</v>
      </c>
      <c r="AQ249" s="235" t="s">
        <v>632</v>
      </c>
      <c r="AR249" s="243">
        <v>3.71E11</v>
      </c>
      <c r="AS249" s="235" t="s">
        <v>656</v>
      </c>
      <c r="AT249" s="235" t="s">
        <v>546</v>
      </c>
      <c r="AU249" s="235" t="s">
        <v>634</v>
      </c>
      <c r="AV249" s="246" t="s">
        <v>635</v>
      </c>
      <c r="AW249" s="242"/>
      <c r="AX249" s="242"/>
      <c r="AY249" s="231"/>
      <c r="AZ249" s="231"/>
      <c r="BA249" s="227"/>
      <c r="BB249" s="231"/>
      <c r="BC249" s="227"/>
      <c r="BD249" s="227"/>
      <c r="BE249" s="227"/>
      <c r="BF249" s="227"/>
    </row>
    <row r="250">
      <c r="A250" s="235" t="s">
        <v>2658</v>
      </c>
      <c r="C250" s="235" t="s">
        <v>2659</v>
      </c>
      <c r="D250" s="235" t="s">
        <v>2660</v>
      </c>
      <c r="E250" s="243">
        <v>6.57E13</v>
      </c>
      <c r="F250" s="244"/>
      <c r="G250" s="235" t="s">
        <v>2661</v>
      </c>
      <c r="H250" s="235" t="s">
        <v>2662</v>
      </c>
      <c r="I250" s="235" t="s">
        <v>2662</v>
      </c>
      <c r="J250" s="235" t="s">
        <v>2663</v>
      </c>
      <c r="K250" s="235" t="s">
        <v>2664</v>
      </c>
      <c r="N250" s="235" t="s">
        <v>130</v>
      </c>
      <c r="O250" s="235" t="s">
        <v>707</v>
      </c>
      <c r="P250" s="238">
        <v>1.0</v>
      </c>
      <c r="Q250" s="235" t="s">
        <v>627</v>
      </c>
      <c r="R250" s="238">
        <v>246.66</v>
      </c>
      <c r="S250" s="238">
        <v>12.34</v>
      </c>
      <c r="T250" s="238">
        <v>38.1</v>
      </c>
      <c r="U250" s="238">
        <v>1.9</v>
      </c>
      <c r="V250" s="238">
        <v>0.0</v>
      </c>
      <c r="W250" s="238">
        <v>0.0</v>
      </c>
      <c r="X250" s="235" t="s">
        <v>628</v>
      </c>
      <c r="Z250" s="244"/>
      <c r="AA250" s="244"/>
      <c r="AB250" s="244"/>
      <c r="AC250" s="235" t="s">
        <v>1160</v>
      </c>
      <c r="AD250" s="235" t="s">
        <v>666</v>
      </c>
      <c r="AE250" s="238">
        <v>636705.0</v>
      </c>
      <c r="AF250" s="235" t="s">
        <v>631</v>
      </c>
      <c r="AG250" s="244"/>
      <c r="AH250" s="244"/>
      <c r="AI250" s="245"/>
      <c r="AJ250" s="245"/>
      <c r="AK250" s="245"/>
      <c r="AL250" s="245"/>
      <c r="AM250" s="244"/>
      <c r="AN250" s="244"/>
      <c r="AO250" s="238">
        <v>0.0</v>
      </c>
      <c r="AP250" s="238">
        <v>-38.1</v>
      </c>
      <c r="AQ250" s="235" t="s">
        <v>632</v>
      </c>
      <c r="AR250" s="243">
        <v>3.71E11</v>
      </c>
      <c r="AS250" s="235" t="s">
        <v>1367</v>
      </c>
      <c r="AT250" s="235" t="s">
        <v>155</v>
      </c>
      <c r="AU250" s="235" t="s">
        <v>634</v>
      </c>
      <c r="AV250" s="246" t="s">
        <v>635</v>
      </c>
      <c r="AW250" s="242"/>
      <c r="AX250" s="242"/>
      <c r="AY250" s="231"/>
      <c r="AZ250" s="231"/>
      <c r="BA250" s="227"/>
      <c r="BB250" s="231"/>
      <c r="BC250" s="227"/>
      <c r="BD250" s="227"/>
      <c r="BE250" s="227"/>
      <c r="BF250" s="227"/>
    </row>
    <row r="251">
      <c r="A251" s="235" t="s">
        <v>2665</v>
      </c>
      <c r="C251" s="235" t="s">
        <v>2666</v>
      </c>
      <c r="D251" s="235" t="s">
        <v>2667</v>
      </c>
      <c r="E251" s="243">
        <v>6.57E13</v>
      </c>
      <c r="F251" s="244"/>
      <c r="G251" s="235" t="s">
        <v>2668</v>
      </c>
      <c r="H251" s="235" t="s">
        <v>2669</v>
      </c>
      <c r="I251" s="235" t="s">
        <v>2669</v>
      </c>
      <c r="J251" s="235" t="s">
        <v>2670</v>
      </c>
      <c r="K251" s="235" t="s">
        <v>2671</v>
      </c>
      <c r="N251" s="235" t="s">
        <v>989</v>
      </c>
      <c r="O251" s="235" t="s">
        <v>990</v>
      </c>
      <c r="P251" s="238">
        <v>1.0</v>
      </c>
      <c r="Q251" s="235" t="s">
        <v>627</v>
      </c>
      <c r="R251" s="238">
        <v>256.19</v>
      </c>
      <c r="S251" s="238">
        <v>12.81</v>
      </c>
      <c r="T251" s="238">
        <v>0.0</v>
      </c>
      <c r="U251" s="238">
        <v>0.0</v>
      </c>
      <c r="V251" s="238">
        <v>0.0</v>
      </c>
      <c r="W251" s="238">
        <v>0.0</v>
      </c>
      <c r="X251" s="235" t="s">
        <v>628</v>
      </c>
      <c r="Z251" s="244"/>
      <c r="AA251" s="244"/>
      <c r="AB251" s="244"/>
      <c r="AC251" s="235" t="s">
        <v>2672</v>
      </c>
      <c r="AD251" s="235" t="s">
        <v>630</v>
      </c>
      <c r="AE251" s="238">
        <v>208025.0</v>
      </c>
      <c r="AF251" s="235" t="s">
        <v>631</v>
      </c>
      <c r="AG251" s="244"/>
      <c r="AH251" s="244"/>
      <c r="AI251" s="245"/>
      <c r="AJ251" s="245"/>
      <c r="AK251" s="245"/>
      <c r="AL251" s="245"/>
      <c r="AM251" s="244"/>
      <c r="AN251" s="244"/>
      <c r="AO251" s="238">
        <v>0.0</v>
      </c>
      <c r="AP251" s="238">
        <v>0.0</v>
      </c>
      <c r="AQ251" s="235" t="s">
        <v>632</v>
      </c>
      <c r="AR251" s="243">
        <v>1.68E11</v>
      </c>
      <c r="AS251" s="235" t="s">
        <v>1367</v>
      </c>
      <c r="AT251" s="235" t="s">
        <v>13</v>
      </c>
      <c r="AU251" s="235" t="s">
        <v>634</v>
      </c>
      <c r="AV251" s="246" t="s">
        <v>635</v>
      </c>
      <c r="AW251" s="242"/>
      <c r="AX251" s="242"/>
      <c r="AY251" s="231"/>
      <c r="AZ251" s="231"/>
      <c r="BA251" s="227"/>
      <c r="BB251" s="231"/>
      <c r="BC251" s="227"/>
      <c r="BD251" s="227"/>
      <c r="BE251" s="227"/>
      <c r="BF251" s="227"/>
    </row>
    <row r="252">
      <c r="A252" s="235" t="s">
        <v>2673</v>
      </c>
      <c r="C252" s="235" t="s">
        <v>2674</v>
      </c>
      <c r="D252" s="235" t="s">
        <v>2675</v>
      </c>
      <c r="E252" s="243">
        <v>6.57E13</v>
      </c>
      <c r="F252" s="244"/>
      <c r="G252" s="235" t="s">
        <v>2676</v>
      </c>
      <c r="H252" s="235" t="s">
        <v>2677</v>
      </c>
      <c r="I252" s="235" t="s">
        <v>2677</v>
      </c>
      <c r="J252" s="235" t="s">
        <v>2678</v>
      </c>
      <c r="K252" s="235" t="s">
        <v>2679</v>
      </c>
      <c r="N252" s="235" t="s">
        <v>1346</v>
      </c>
      <c r="O252" s="235" t="s">
        <v>1347</v>
      </c>
      <c r="P252" s="238">
        <v>1.0</v>
      </c>
      <c r="Q252" s="235" t="s">
        <v>627</v>
      </c>
      <c r="R252" s="238">
        <v>256.19</v>
      </c>
      <c r="S252" s="238">
        <v>12.81</v>
      </c>
      <c r="T252" s="238">
        <v>0.0</v>
      </c>
      <c r="U252" s="238">
        <v>0.0</v>
      </c>
      <c r="V252" s="238">
        <v>0.0</v>
      </c>
      <c r="W252" s="238">
        <v>0.0</v>
      </c>
      <c r="X252" s="235" t="s">
        <v>628</v>
      </c>
      <c r="Z252" s="244"/>
      <c r="AA252" s="244"/>
      <c r="AB252" s="244"/>
      <c r="AC252" s="235" t="s">
        <v>1382</v>
      </c>
      <c r="AD252" s="235" t="s">
        <v>679</v>
      </c>
      <c r="AE252" s="238">
        <v>590010.0</v>
      </c>
      <c r="AF252" s="235" t="s">
        <v>631</v>
      </c>
      <c r="AG252" s="244"/>
      <c r="AH252" s="244"/>
      <c r="AI252" s="245"/>
      <c r="AJ252" s="245"/>
      <c r="AK252" s="245"/>
      <c r="AL252" s="245"/>
      <c r="AM252" s="244"/>
      <c r="AN252" s="244"/>
      <c r="AO252" s="238">
        <v>0.0</v>
      </c>
      <c r="AP252" s="238">
        <v>0.0</v>
      </c>
      <c r="AQ252" s="235" t="s">
        <v>632</v>
      </c>
      <c r="AR252" s="243">
        <v>3.71E11</v>
      </c>
      <c r="AS252" s="235" t="s">
        <v>667</v>
      </c>
      <c r="AT252" s="235" t="s">
        <v>546</v>
      </c>
      <c r="AU252" s="235" t="s">
        <v>634</v>
      </c>
      <c r="AV252" s="246" t="s">
        <v>635</v>
      </c>
      <c r="AW252" s="242"/>
      <c r="AX252" s="242"/>
      <c r="AY252" s="231"/>
      <c r="AZ252" s="231"/>
      <c r="BA252" s="227"/>
      <c r="BB252" s="231"/>
      <c r="BC252" s="227"/>
      <c r="BD252" s="227"/>
      <c r="BE252" s="227"/>
      <c r="BF252" s="227"/>
    </row>
    <row r="253">
      <c r="A253" s="235" t="s">
        <v>2680</v>
      </c>
      <c r="C253" s="235" t="s">
        <v>2681</v>
      </c>
      <c r="D253" s="235" t="s">
        <v>2682</v>
      </c>
      <c r="E253" s="243">
        <v>6.55E13</v>
      </c>
      <c r="F253" s="244"/>
      <c r="G253" s="235" t="s">
        <v>2683</v>
      </c>
      <c r="H253" s="235" t="s">
        <v>2684</v>
      </c>
      <c r="I253" s="235" t="s">
        <v>2684</v>
      </c>
      <c r="J253" s="235" t="s">
        <v>2685</v>
      </c>
      <c r="K253" s="235" t="s">
        <v>2686</v>
      </c>
      <c r="N253" s="235" t="s">
        <v>139</v>
      </c>
      <c r="O253" s="235" t="s">
        <v>2091</v>
      </c>
      <c r="P253" s="238">
        <v>1.0</v>
      </c>
      <c r="Q253" s="235" t="s">
        <v>627</v>
      </c>
      <c r="R253" s="238">
        <v>246.67</v>
      </c>
      <c r="S253" s="238">
        <v>12.33</v>
      </c>
      <c r="T253" s="238">
        <v>38.1</v>
      </c>
      <c r="U253" s="238">
        <v>1.9</v>
      </c>
      <c r="V253" s="238">
        <v>0.0</v>
      </c>
      <c r="W253" s="238">
        <v>0.0</v>
      </c>
      <c r="X253" s="235" t="s">
        <v>628</v>
      </c>
      <c r="Z253" s="244"/>
      <c r="AA253" s="244"/>
      <c r="AB253" s="244"/>
      <c r="AC253" s="235" t="s">
        <v>2687</v>
      </c>
      <c r="AD253" s="235" t="s">
        <v>2688</v>
      </c>
      <c r="AE253" s="238">
        <v>180003.0</v>
      </c>
      <c r="AF253" s="235" t="s">
        <v>631</v>
      </c>
      <c r="AG253" s="244"/>
      <c r="AH253" s="244"/>
      <c r="AI253" s="245"/>
      <c r="AJ253" s="245"/>
      <c r="AK253" s="245"/>
      <c r="AL253" s="245"/>
      <c r="AM253" s="244"/>
      <c r="AN253" s="244"/>
      <c r="AO253" s="238">
        <v>0.0</v>
      </c>
      <c r="AP253" s="238">
        <v>-38.1</v>
      </c>
      <c r="AQ253" s="235" t="s">
        <v>632</v>
      </c>
      <c r="AR253" s="243">
        <v>3.71E11</v>
      </c>
      <c r="AS253" s="235" t="s">
        <v>667</v>
      </c>
      <c r="AT253" s="235" t="s">
        <v>533</v>
      </c>
      <c r="AU253" s="235" t="s">
        <v>634</v>
      </c>
      <c r="AV253" s="246" t="s">
        <v>635</v>
      </c>
      <c r="AW253" s="242"/>
      <c r="AX253" s="242"/>
      <c r="AY253" s="231"/>
      <c r="AZ253" s="231"/>
      <c r="BA253" s="227"/>
      <c r="BB253" s="231"/>
      <c r="BC253" s="227"/>
      <c r="BD253" s="227"/>
      <c r="BE253" s="227"/>
      <c r="BF253" s="227"/>
    </row>
    <row r="254">
      <c r="A254" s="235" t="s">
        <v>2689</v>
      </c>
      <c r="C254" s="235" t="s">
        <v>2690</v>
      </c>
      <c r="D254" s="235" t="s">
        <v>2691</v>
      </c>
      <c r="E254" s="243">
        <v>6.57E13</v>
      </c>
      <c r="F254" s="244"/>
      <c r="G254" s="235" t="s">
        <v>2692</v>
      </c>
      <c r="H254" s="235" t="s">
        <v>2693</v>
      </c>
      <c r="I254" s="235" t="s">
        <v>2693</v>
      </c>
      <c r="J254" s="235" t="s">
        <v>2694</v>
      </c>
      <c r="K254" s="235" t="s">
        <v>2695</v>
      </c>
      <c r="N254" s="235" t="s">
        <v>2696</v>
      </c>
      <c r="O254" s="235" t="s">
        <v>2697</v>
      </c>
      <c r="P254" s="238">
        <v>1.0</v>
      </c>
      <c r="Q254" s="235" t="s">
        <v>627</v>
      </c>
      <c r="R254" s="238">
        <v>246.67</v>
      </c>
      <c r="S254" s="238">
        <v>12.33</v>
      </c>
      <c r="T254" s="238">
        <v>0.0</v>
      </c>
      <c r="U254" s="238">
        <v>0.0</v>
      </c>
      <c r="V254" s="238">
        <v>0.0</v>
      </c>
      <c r="W254" s="238">
        <v>0.0</v>
      </c>
      <c r="X254" s="235" t="s">
        <v>628</v>
      </c>
      <c r="Z254" s="244"/>
      <c r="AA254" s="244"/>
      <c r="AB254" s="244"/>
      <c r="AC254" s="235" t="s">
        <v>2698</v>
      </c>
      <c r="AD254" s="235" t="s">
        <v>666</v>
      </c>
      <c r="AE254" s="238">
        <v>606001.0</v>
      </c>
      <c r="AF254" s="235" t="s">
        <v>631</v>
      </c>
      <c r="AG254" s="244"/>
      <c r="AH254" s="244"/>
      <c r="AI254" s="245"/>
      <c r="AJ254" s="245"/>
      <c r="AK254" s="245"/>
      <c r="AL254" s="245"/>
      <c r="AM254" s="244"/>
      <c r="AN254" s="244"/>
      <c r="AO254" s="238">
        <v>0.0</v>
      </c>
      <c r="AP254" s="238">
        <v>0.0</v>
      </c>
      <c r="AQ254" s="235" t="s">
        <v>632</v>
      </c>
      <c r="AR254" s="243">
        <v>3.71E11</v>
      </c>
      <c r="AS254" s="235" t="s">
        <v>656</v>
      </c>
      <c r="AT254" s="235" t="s">
        <v>16</v>
      </c>
      <c r="AU254" s="235" t="s">
        <v>634</v>
      </c>
      <c r="AV254" s="246" t="s">
        <v>635</v>
      </c>
      <c r="AW254" s="242"/>
      <c r="AX254" s="242"/>
      <c r="AY254" s="231"/>
      <c r="AZ254" s="231"/>
      <c r="BA254" s="227"/>
      <c r="BB254" s="231"/>
      <c r="BC254" s="227"/>
      <c r="BD254" s="227"/>
      <c r="BE254" s="227"/>
      <c r="BF254" s="227"/>
    </row>
    <row r="255">
      <c r="A255" s="235" t="s">
        <v>2699</v>
      </c>
      <c r="C255" s="235" t="s">
        <v>2700</v>
      </c>
      <c r="D255" s="235" t="s">
        <v>2701</v>
      </c>
      <c r="E255" s="243">
        <v>6.56E13</v>
      </c>
      <c r="F255" s="244"/>
      <c r="G255" s="235" t="s">
        <v>2702</v>
      </c>
      <c r="H255" s="235" t="s">
        <v>2703</v>
      </c>
      <c r="I255" s="235" t="s">
        <v>2703</v>
      </c>
      <c r="J255" s="235" t="s">
        <v>2704</v>
      </c>
      <c r="K255" s="235" t="s">
        <v>2705</v>
      </c>
      <c r="N255" s="235" t="s">
        <v>2706</v>
      </c>
      <c r="O255" s="235" t="s">
        <v>2707</v>
      </c>
      <c r="P255" s="238">
        <v>1.0</v>
      </c>
      <c r="Q255" s="235" t="s">
        <v>627</v>
      </c>
      <c r="R255" s="238">
        <v>761.86</v>
      </c>
      <c r="S255" s="238">
        <v>134.4</v>
      </c>
      <c r="T255" s="238">
        <v>33.9</v>
      </c>
      <c r="U255" s="238">
        <v>6.1</v>
      </c>
      <c r="V255" s="238">
        <v>0.0</v>
      </c>
      <c r="W255" s="238">
        <v>0.0</v>
      </c>
      <c r="X255" s="235" t="s">
        <v>628</v>
      </c>
      <c r="Z255" s="244"/>
      <c r="AA255" s="244"/>
      <c r="AB255" s="244"/>
      <c r="AC255" s="235" t="s">
        <v>2709</v>
      </c>
      <c r="AD255" s="235" t="s">
        <v>709</v>
      </c>
      <c r="AE255" s="238">
        <v>800008.0</v>
      </c>
      <c r="AF255" s="235" t="s">
        <v>631</v>
      </c>
      <c r="AG255" s="244"/>
      <c r="AH255" s="244"/>
      <c r="AI255" s="245"/>
      <c r="AJ255" s="245"/>
      <c r="AK255" s="245"/>
      <c r="AL255" s="245"/>
      <c r="AM255" s="244"/>
      <c r="AN255" s="244"/>
      <c r="AO255" s="238">
        <v>-15.24</v>
      </c>
      <c r="AP255" s="238">
        <v>-33.9</v>
      </c>
      <c r="AQ255" s="235" t="s">
        <v>632</v>
      </c>
      <c r="AR255" s="243">
        <v>1.68E11</v>
      </c>
      <c r="AS255" s="235" t="s">
        <v>667</v>
      </c>
      <c r="AT255" s="235" t="s">
        <v>13</v>
      </c>
      <c r="AU255" s="235" t="s">
        <v>634</v>
      </c>
      <c r="AV255" s="246" t="s">
        <v>635</v>
      </c>
      <c r="AW255" s="242"/>
      <c r="AX255" s="242"/>
      <c r="AY255" s="231"/>
      <c r="AZ255" s="231"/>
      <c r="BA255" s="227"/>
      <c r="BB255" s="231"/>
      <c r="BC255" s="227"/>
      <c r="BD255" s="227"/>
      <c r="BE255" s="227"/>
      <c r="BF255" s="227"/>
    </row>
    <row r="256">
      <c r="A256" s="235" t="s">
        <v>2711</v>
      </c>
      <c r="C256" s="235" t="s">
        <v>2712</v>
      </c>
      <c r="D256" s="235" t="s">
        <v>2713</v>
      </c>
      <c r="E256" s="243">
        <v>6.57E13</v>
      </c>
      <c r="F256" s="244"/>
      <c r="G256" s="235" t="s">
        <v>2714</v>
      </c>
      <c r="H256" s="235" t="s">
        <v>2715</v>
      </c>
      <c r="I256" s="235" t="s">
        <v>2715</v>
      </c>
      <c r="J256" s="235" t="s">
        <v>2716</v>
      </c>
      <c r="K256" s="235" t="s">
        <v>1319</v>
      </c>
      <c r="N256" s="235" t="s">
        <v>40</v>
      </c>
      <c r="O256" s="235" t="s">
        <v>327</v>
      </c>
      <c r="P256" s="238">
        <v>1.0</v>
      </c>
      <c r="Q256" s="235" t="s">
        <v>627</v>
      </c>
      <c r="R256" s="238">
        <v>237.14</v>
      </c>
      <c r="S256" s="238">
        <v>11.86</v>
      </c>
      <c r="T256" s="238">
        <v>0.0</v>
      </c>
      <c r="U256" s="238">
        <v>0.0</v>
      </c>
      <c r="V256" s="238">
        <v>0.0</v>
      </c>
      <c r="W256" s="238">
        <v>0.0</v>
      </c>
      <c r="X256" s="235" t="s">
        <v>628</v>
      </c>
      <c r="Z256" s="244"/>
      <c r="AA256" s="244"/>
      <c r="AB256" s="244"/>
      <c r="AC256" s="235" t="s">
        <v>1320</v>
      </c>
      <c r="AD256" s="235" t="s">
        <v>666</v>
      </c>
      <c r="AE256" s="238">
        <v>600076.0</v>
      </c>
      <c r="AF256" s="235" t="s">
        <v>631</v>
      </c>
      <c r="AG256" s="244"/>
      <c r="AH256" s="244"/>
      <c r="AI256" s="245"/>
      <c r="AJ256" s="245"/>
      <c r="AK256" s="245"/>
      <c r="AL256" s="245"/>
      <c r="AM256" s="244"/>
      <c r="AN256" s="244"/>
      <c r="AO256" s="238">
        <v>0.0</v>
      </c>
      <c r="AP256" s="238">
        <v>0.0</v>
      </c>
      <c r="AQ256" s="235" t="s">
        <v>632</v>
      </c>
      <c r="AR256" s="243">
        <v>1.68E11</v>
      </c>
      <c r="AS256" s="235" t="s">
        <v>2717</v>
      </c>
      <c r="AT256" s="235" t="s">
        <v>156</v>
      </c>
      <c r="AU256" s="235" t="s">
        <v>634</v>
      </c>
      <c r="AV256" s="246" t="s">
        <v>635</v>
      </c>
      <c r="AW256" s="242"/>
      <c r="AX256" s="242"/>
      <c r="AY256" s="231"/>
      <c r="AZ256" s="231"/>
      <c r="BA256" s="227"/>
      <c r="BB256" s="231"/>
      <c r="BC256" s="227"/>
      <c r="BD256" s="227"/>
      <c r="BE256" s="227"/>
      <c r="BF256" s="227"/>
    </row>
    <row r="257">
      <c r="A257" s="235" t="s">
        <v>2718</v>
      </c>
      <c r="C257" s="235" t="s">
        <v>2719</v>
      </c>
      <c r="D257" s="235" t="s">
        <v>2720</v>
      </c>
      <c r="E257" s="243">
        <v>6.57E13</v>
      </c>
      <c r="F257" s="244"/>
      <c r="G257" s="235" t="s">
        <v>2721</v>
      </c>
      <c r="H257" s="235" t="s">
        <v>2722</v>
      </c>
      <c r="I257" s="235" t="s">
        <v>2722</v>
      </c>
      <c r="J257" s="235" t="s">
        <v>2716</v>
      </c>
      <c r="K257" s="235" t="s">
        <v>2723</v>
      </c>
      <c r="N257" s="235" t="s">
        <v>154</v>
      </c>
      <c r="O257" s="235" t="s">
        <v>766</v>
      </c>
      <c r="P257" s="238">
        <v>1.0</v>
      </c>
      <c r="Q257" s="235" t="s">
        <v>627</v>
      </c>
      <c r="R257" s="238">
        <v>465.72</v>
      </c>
      <c r="S257" s="238">
        <v>23.28</v>
      </c>
      <c r="T257" s="238">
        <v>0.0</v>
      </c>
      <c r="U257" s="238">
        <v>0.0</v>
      </c>
      <c r="V257" s="238">
        <v>0.0</v>
      </c>
      <c r="W257" s="238">
        <v>0.0</v>
      </c>
      <c r="X257" s="235" t="s">
        <v>628</v>
      </c>
      <c r="Z257" s="244"/>
      <c r="AA257" s="244"/>
      <c r="AB257" s="244"/>
      <c r="AC257" s="235" t="s">
        <v>687</v>
      </c>
      <c r="AD257" s="235" t="s">
        <v>666</v>
      </c>
      <c r="AE257" s="238">
        <v>600072.0</v>
      </c>
      <c r="AF257" s="235" t="s">
        <v>631</v>
      </c>
      <c r="AG257" s="244"/>
      <c r="AH257" s="244"/>
      <c r="AI257" s="245"/>
      <c r="AJ257" s="245"/>
      <c r="AK257" s="245"/>
      <c r="AL257" s="245"/>
      <c r="AM257" s="244"/>
      <c r="AN257" s="244"/>
      <c r="AO257" s="238">
        <v>0.0</v>
      </c>
      <c r="AP257" s="238">
        <v>0.0</v>
      </c>
      <c r="AQ257" s="235" t="s">
        <v>632</v>
      </c>
      <c r="AR257" s="243">
        <v>1.68E11</v>
      </c>
      <c r="AS257" s="235" t="s">
        <v>2717</v>
      </c>
      <c r="AT257" s="235" t="s">
        <v>156</v>
      </c>
      <c r="AU257" s="235" t="s">
        <v>634</v>
      </c>
      <c r="AV257" s="246" t="s">
        <v>635</v>
      </c>
      <c r="AW257" s="242"/>
      <c r="AX257" s="242"/>
      <c r="AY257" s="231"/>
      <c r="AZ257" s="231"/>
      <c r="BA257" s="227"/>
      <c r="BB257" s="231"/>
      <c r="BC257" s="227"/>
      <c r="BD257" s="227"/>
      <c r="BE257" s="227"/>
      <c r="BF257" s="227"/>
    </row>
    <row r="258">
      <c r="A258" s="235" t="s">
        <v>2724</v>
      </c>
      <c r="C258" s="235" t="s">
        <v>2725</v>
      </c>
      <c r="D258" s="235" t="s">
        <v>2726</v>
      </c>
      <c r="E258" s="243">
        <v>6.57E13</v>
      </c>
      <c r="F258" s="244"/>
      <c r="G258" s="235" t="s">
        <v>2727</v>
      </c>
      <c r="H258" s="235" t="s">
        <v>2728</v>
      </c>
      <c r="I258" s="235" t="s">
        <v>2728</v>
      </c>
      <c r="J258" s="235" t="s">
        <v>2729</v>
      </c>
      <c r="K258" s="235" t="s">
        <v>2730</v>
      </c>
      <c r="N258" s="235" t="s">
        <v>143</v>
      </c>
      <c r="O258" s="235" t="s">
        <v>220</v>
      </c>
      <c r="P258" s="238">
        <v>1.0</v>
      </c>
      <c r="Q258" s="235" t="s">
        <v>627</v>
      </c>
      <c r="R258" s="238">
        <v>246.66</v>
      </c>
      <c r="S258" s="238">
        <v>12.34</v>
      </c>
      <c r="T258" s="238">
        <v>0.0</v>
      </c>
      <c r="U258" s="238">
        <v>0.0</v>
      </c>
      <c r="V258" s="238">
        <v>0.0</v>
      </c>
      <c r="W258" s="238">
        <v>0.0</v>
      </c>
      <c r="X258" s="235" t="s">
        <v>628</v>
      </c>
      <c r="Z258" s="244"/>
      <c r="AA258" s="244"/>
      <c r="AB258" s="244"/>
      <c r="AC258" s="235" t="s">
        <v>2731</v>
      </c>
      <c r="AD258" s="235" t="s">
        <v>666</v>
      </c>
      <c r="AE258" s="238">
        <v>635001.0</v>
      </c>
      <c r="AF258" s="235" t="s">
        <v>631</v>
      </c>
      <c r="AG258" s="244"/>
      <c r="AH258" s="244"/>
      <c r="AI258" s="245"/>
      <c r="AJ258" s="245"/>
      <c r="AK258" s="245"/>
      <c r="AL258" s="245"/>
      <c r="AM258" s="244"/>
      <c r="AN258" s="244"/>
      <c r="AO258" s="238">
        <v>0.0</v>
      </c>
      <c r="AP258" s="238">
        <v>0.0</v>
      </c>
      <c r="AQ258" s="235" t="s">
        <v>632</v>
      </c>
      <c r="AR258" s="243">
        <v>1.68E11</v>
      </c>
      <c r="AS258" s="235" t="s">
        <v>2276</v>
      </c>
      <c r="AT258" s="235" t="s">
        <v>155</v>
      </c>
      <c r="AU258" s="235" t="s">
        <v>634</v>
      </c>
      <c r="AV258" s="246" t="s">
        <v>635</v>
      </c>
      <c r="AW258" s="242"/>
      <c r="AX258" s="242"/>
      <c r="AY258" s="231"/>
      <c r="AZ258" s="231"/>
      <c r="BA258" s="227"/>
      <c r="BB258" s="231"/>
      <c r="BC258" s="227"/>
      <c r="BD258" s="227"/>
      <c r="BE258" s="227"/>
      <c r="BF258" s="227"/>
    </row>
    <row r="259">
      <c r="A259" s="235" t="s">
        <v>2732</v>
      </c>
      <c r="C259" s="235" t="s">
        <v>2733</v>
      </c>
      <c r="D259" s="235" t="s">
        <v>2734</v>
      </c>
      <c r="E259" s="243">
        <v>6.57E13</v>
      </c>
      <c r="F259" s="244"/>
      <c r="G259" s="235" t="s">
        <v>2735</v>
      </c>
      <c r="H259" s="235" t="s">
        <v>2736</v>
      </c>
      <c r="I259" s="235" t="s">
        <v>2736</v>
      </c>
      <c r="J259" s="235" t="s">
        <v>2737</v>
      </c>
      <c r="K259" s="235" t="s">
        <v>2738</v>
      </c>
      <c r="N259" s="235" t="s">
        <v>1346</v>
      </c>
      <c r="O259" s="235" t="s">
        <v>1347</v>
      </c>
      <c r="P259" s="238">
        <v>1.0</v>
      </c>
      <c r="Q259" s="235" t="s">
        <v>627</v>
      </c>
      <c r="R259" s="238">
        <v>256.2</v>
      </c>
      <c r="S259" s="238">
        <v>12.8</v>
      </c>
      <c r="T259" s="238">
        <v>0.0</v>
      </c>
      <c r="U259" s="238">
        <v>0.0</v>
      </c>
      <c r="V259" s="238">
        <v>0.0</v>
      </c>
      <c r="W259" s="238">
        <v>0.0</v>
      </c>
      <c r="X259" s="235" t="s">
        <v>628</v>
      </c>
      <c r="Z259" s="244"/>
      <c r="AA259" s="244"/>
      <c r="AB259" s="244"/>
      <c r="AC259" s="235" t="s">
        <v>687</v>
      </c>
      <c r="AD259" s="235" t="s">
        <v>666</v>
      </c>
      <c r="AE259" s="238">
        <v>600122.0</v>
      </c>
      <c r="AF259" s="235" t="s">
        <v>631</v>
      </c>
      <c r="AG259" s="244"/>
      <c r="AH259" s="244"/>
      <c r="AI259" s="245"/>
      <c r="AJ259" s="245"/>
      <c r="AK259" s="245"/>
      <c r="AL259" s="245"/>
      <c r="AM259" s="244"/>
      <c r="AN259" s="244"/>
      <c r="AO259" s="238">
        <v>0.0</v>
      </c>
      <c r="AP259" s="238">
        <v>0.0</v>
      </c>
      <c r="AQ259" s="235" t="s">
        <v>632</v>
      </c>
      <c r="AR259" s="243">
        <v>1.68E11</v>
      </c>
      <c r="AS259" s="235" t="s">
        <v>2717</v>
      </c>
      <c r="AT259" s="235" t="s">
        <v>156</v>
      </c>
      <c r="AU259" s="235" t="s">
        <v>634</v>
      </c>
      <c r="AV259" s="246" t="s">
        <v>635</v>
      </c>
      <c r="AW259" s="242"/>
      <c r="AX259" s="242"/>
      <c r="AY259" s="231"/>
      <c r="AZ259" s="231"/>
      <c r="BA259" s="227"/>
      <c r="BB259" s="231"/>
      <c r="BC259" s="227"/>
      <c r="BD259" s="227"/>
      <c r="BE259" s="227"/>
      <c r="BF259" s="227"/>
    </row>
    <row r="260">
      <c r="A260" s="235" t="s">
        <v>2739</v>
      </c>
      <c r="C260" s="235" t="s">
        <v>2740</v>
      </c>
      <c r="D260" s="235" t="s">
        <v>2741</v>
      </c>
      <c r="E260" s="243">
        <v>6.57E13</v>
      </c>
      <c r="F260" s="244"/>
      <c r="G260" s="235" t="s">
        <v>2742</v>
      </c>
      <c r="H260" s="235" t="s">
        <v>2743</v>
      </c>
      <c r="I260" s="235" t="s">
        <v>2743</v>
      </c>
      <c r="J260" s="235" t="s">
        <v>2744</v>
      </c>
      <c r="K260" s="235" t="s">
        <v>2745</v>
      </c>
      <c r="N260" s="235" t="s">
        <v>145</v>
      </c>
      <c r="O260" s="235" t="s">
        <v>370</v>
      </c>
      <c r="P260" s="238">
        <v>1.0</v>
      </c>
      <c r="Q260" s="235" t="s">
        <v>627</v>
      </c>
      <c r="R260" s="238">
        <v>1522.86</v>
      </c>
      <c r="S260" s="238">
        <v>76.14</v>
      </c>
      <c r="T260" s="238">
        <v>0.0</v>
      </c>
      <c r="U260" s="238">
        <v>0.0</v>
      </c>
      <c r="V260" s="238">
        <v>0.0</v>
      </c>
      <c r="W260" s="238">
        <v>0.0</v>
      </c>
      <c r="X260" s="235" t="s">
        <v>628</v>
      </c>
      <c r="Z260" s="244"/>
      <c r="AA260" s="244"/>
      <c r="AB260" s="244"/>
      <c r="AC260" s="235" t="s">
        <v>1255</v>
      </c>
      <c r="AD260" s="235" t="s">
        <v>845</v>
      </c>
      <c r="AE260" s="238">
        <v>400615.0</v>
      </c>
      <c r="AF260" s="235" t="s">
        <v>631</v>
      </c>
      <c r="AG260" s="244"/>
      <c r="AH260" s="244"/>
      <c r="AI260" s="245"/>
      <c r="AJ260" s="245"/>
      <c r="AK260" s="245"/>
      <c r="AL260" s="245"/>
      <c r="AM260" s="244"/>
      <c r="AN260" s="244"/>
      <c r="AO260" s="238">
        <v>0.0</v>
      </c>
      <c r="AP260" s="238">
        <v>0.0</v>
      </c>
      <c r="AQ260" s="235" t="s">
        <v>632</v>
      </c>
      <c r="AR260" s="243">
        <v>3.71E11</v>
      </c>
      <c r="AS260" s="235" t="s">
        <v>1367</v>
      </c>
      <c r="AT260" s="235" t="s">
        <v>16</v>
      </c>
      <c r="AU260" s="235" t="s">
        <v>634</v>
      </c>
      <c r="AV260" s="246" t="s">
        <v>635</v>
      </c>
      <c r="AW260" s="242"/>
      <c r="AX260" s="242"/>
      <c r="AY260" s="231"/>
      <c r="AZ260" s="231"/>
      <c r="BA260" s="227"/>
      <c r="BB260" s="231"/>
      <c r="BC260" s="227"/>
      <c r="BD260" s="227"/>
      <c r="BE260" s="227"/>
      <c r="BF260" s="227"/>
    </row>
    <row r="261">
      <c r="A261" s="235" t="s">
        <v>2746</v>
      </c>
      <c r="C261" s="235" t="s">
        <v>2747</v>
      </c>
      <c r="D261" s="235" t="s">
        <v>2748</v>
      </c>
      <c r="E261" s="243">
        <v>6.57E13</v>
      </c>
      <c r="F261" s="244"/>
      <c r="G261" s="235" t="s">
        <v>2749</v>
      </c>
      <c r="H261" s="235" t="s">
        <v>2750</v>
      </c>
      <c r="I261" s="235" t="s">
        <v>2750</v>
      </c>
      <c r="J261" s="235" t="s">
        <v>2751</v>
      </c>
      <c r="K261" s="235" t="s">
        <v>2752</v>
      </c>
      <c r="N261" s="235" t="s">
        <v>154</v>
      </c>
      <c r="O261" s="235" t="s">
        <v>766</v>
      </c>
      <c r="P261" s="238">
        <v>1.0</v>
      </c>
      <c r="Q261" s="235" t="s">
        <v>627</v>
      </c>
      <c r="R261" s="238">
        <v>465.72</v>
      </c>
      <c r="S261" s="238">
        <v>23.28</v>
      </c>
      <c r="T261" s="238">
        <v>0.0</v>
      </c>
      <c r="U261" s="238">
        <v>0.0</v>
      </c>
      <c r="V261" s="238">
        <v>0.0</v>
      </c>
      <c r="W261" s="238">
        <v>0.0</v>
      </c>
      <c r="X261" s="235" t="s">
        <v>628</v>
      </c>
      <c r="Z261" s="244"/>
      <c r="AA261" s="244"/>
      <c r="AB261" s="244"/>
      <c r="AC261" s="235" t="s">
        <v>687</v>
      </c>
      <c r="AD261" s="235" t="s">
        <v>666</v>
      </c>
      <c r="AE261" s="238">
        <v>600041.0</v>
      </c>
      <c r="AF261" s="235" t="s">
        <v>631</v>
      </c>
      <c r="AG261" s="244"/>
      <c r="AH261" s="244"/>
      <c r="AI261" s="245"/>
      <c r="AJ261" s="245"/>
      <c r="AK261" s="245"/>
      <c r="AL261" s="245"/>
      <c r="AM261" s="244"/>
      <c r="AN261" s="244"/>
      <c r="AO261" s="238">
        <v>0.0</v>
      </c>
      <c r="AP261" s="238">
        <v>0.0</v>
      </c>
      <c r="AQ261" s="235" t="s">
        <v>632</v>
      </c>
      <c r="AR261" s="243">
        <v>1.68E11</v>
      </c>
      <c r="AS261" s="235" t="s">
        <v>2717</v>
      </c>
      <c r="AT261" s="235" t="s">
        <v>156</v>
      </c>
      <c r="AU261" s="235" t="s">
        <v>634</v>
      </c>
      <c r="AV261" s="246" t="s">
        <v>635</v>
      </c>
      <c r="AW261" s="242"/>
      <c r="AX261" s="242"/>
      <c r="AY261" s="231"/>
      <c r="AZ261" s="231"/>
      <c r="BA261" s="227"/>
      <c r="BB261" s="231"/>
      <c r="BC261" s="227"/>
      <c r="BD261" s="227"/>
      <c r="BE261" s="227"/>
      <c r="BF261" s="227"/>
    </row>
    <row r="262">
      <c r="A262" s="235" t="s">
        <v>2754</v>
      </c>
      <c r="C262" s="235" t="s">
        <v>2755</v>
      </c>
      <c r="D262" s="235" t="s">
        <v>2756</v>
      </c>
      <c r="E262" s="243">
        <v>6.57E13</v>
      </c>
      <c r="F262" s="244"/>
      <c r="G262" s="235" t="s">
        <v>2757</v>
      </c>
      <c r="H262" s="235" t="s">
        <v>2758</v>
      </c>
      <c r="I262" s="235" t="s">
        <v>2758</v>
      </c>
      <c r="J262" s="235" t="s">
        <v>2759</v>
      </c>
      <c r="K262" s="235" t="s">
        <v>2760</v>
      </c>
      <c r="N262" s="235" t="s">
        <v>1346</v>
      </c>
      <c r="O262" s="235" t="s">
        <v>1347</v>
      </c>
      <c r="P262" s="238">
        <v>1.0</v>
      </c>
      <c r="Q262" s="235" t="s">
        <v>627</v>
      </c>
      <c r="R262" s="238">
        <v>256.19</v>
      </c>
      <c r="S262" s="238">
        <v>12.81</v>
      </c>
      <c r="T262" s="238">
        <v>0.0</v>
      </c>
      <c r="U262" s="238">
        <v>0.0</v>
      </c>
      <c r="V262" s="238">
        <v>0.0</v>
      </c>
      <c r="W262" s="238">
        <v>0.0</v>
      </c>
      <c r="X262" s="235" t="s">
        <v>628</v>
      </c>
      <c r="Z262" s="244"/>
      <c r="AA262" s="244"/>
      <c r="AB262" s="244"/>
      <c r="AC262" s="235" t="s">
        <v>2761</v>
      </c>
      <c r="AD262" s="235" t="s">
        <v>630</v>
      </c>
      <c r="AE262" s="238">
        <v>224122.0</v>
      </c>
      <c r="AF262" s="235" t="s">
        <v>631</v>
      </c>
      <c r="AG262" s="244"/>
      <c r="AH262" s="244"/>
      <c r="AI262" s="245"/>
      <c r="AJ262" s="245"/>
      <c r="AK262" s="245"/>
      <c r="AL262" s="245"/>
      <c r="AM262" s="244"/>
      <c r="AN262" s="244"/>
      <c r="AO262" s="238">
        <v>0.0</v>
      </c>
      <c r="AP262" s="238">
        <v>0.0</v>
      </c>
      <c r="AQ262" s="235" t="s">
        <v>632</v>
      </c>
      <c r="AR262" s="243">
        <v>3.71E11</v>
      </c>
      <c r="AS262" s="235" t="s">
        <v>1329</v>
      </c>
      <c r="AT262" s="235" t="s">
        <v>13</v>
      </c>
      <c r="AU262" s="235" t="s">
        <v>634</v>
      </c>
      <c r="AV262" s="246" t="s">
        <v>635</v>
      </c>
      <c r="AW262" s="242"/>
      <c r="AX262" s="242"/>
      <c r="AY262" s="231"/>
      <c r="AZ262" s="231"/>
      <c r="BA262" s="227"/>
      <c r="BB262" s="231"/>
      <c r="BC262" s="227"/>
      <c r="BD262" s="227"/>
      <c r="BE262" s="227"/>
      <c r="BF262" s="227"/>
    </row>
    <row r="263">
      <c r="A263" s="235" t="s">
        <v>2762</v>
      </c>
      <c r="C263" s="235" t="s">
        <v>2763</v>
      </c>
      <c r="D263" s="235" t="s">
        <v>2764</v>
      </c>
      <c r="E263" s="243">
        <v>6.57E13</v>
      </c>
      <c r="F263" s="244"/>
      <c r="G263" s="235" t="s">
        <v>2765</v>
      </c>
      <c r="H263" s="235" t="s">
        <v>2766</v>
      </c>
      <c r="I263" s="235" t="s">
        <v>2766</v>
      </c>
      <c r="J263" s="235" t="s">
        <v>2767</v>
      </c>
      <c r="K263" s="235" t="s">
        <v>2768</v>
      </c>
      <c r="N263" s="235" t="s">
        <v>78</v>
      </c>
      <c r="O263" s="235" t="s">
        <v>360</v>
      </c>
      <c r="P263" s="238">
        <v>1.0</v>
      </c>
      <c r="Q263" s="235" t="s">
        <v>627</v>
      </c>
      <c r="R263" s="238">
        <v>360.95</v>
      </c>
      <c r="S263" s="238">
        <v>18.05</v>
      </c>
      <c r="T263" s="238">
        <v>0.0</v>
      </c>
      <c r="U263" s="238">
        <v>0.0</v>
      </c>
      <c r="V263" s="238">
        <v>0.0</v>
      </c>
      <c r="W263" s="238">
        <v>0.0</v>
      </c>
      <c r="X263" s="235" t="s">
        <v>628</v>
      </c>
      <c r="Z263" s="244"/>
      <c r="AA263" s="244"/>
      <c r="AB263" s="244"/>
      <c r="AC263" s="235" t="s">
        <v>2769</v>
      </c>
      <c r="AD263" s="235" t="s">
        <v>666</v>
      </c>
      <c r="AE263" s="238">
        <v>610001.0</v>
      </c>
      <c r="AF263" s="235" t="s">
        <v>631</v>
      </c>
      <c r="AG263" s="244"/>
      <c r="AH263" s="244"/>
      <c r="AI263" s="245"/>
      <c r="AJ263" s="245"/>
      <c r="AK263" s="245"/>
      <c r="AL263" s="245"/>
      <c r="AM263" s="244"/>
      <c r="AN263" s="244"/>
      <c r="AO263" s="238">
        <v>0.0</v>
      </c>
      <c r="AP263" s="238">
        <v>0.0</v>
      </c>
      <c r="AQ263" s="235" t="s">
        <v>632</v>
      </c>
      <c r="AR263" s="243">
        <v>3.71E11</v>
      </c>
      <c r="AS263" s="235" t="s">
        <v>1367</v>
      </c>
      <c r="AT263" s="235" t="s">
        <v>9</v>
      </c>
      <c r="AU263" s="235" t="s">
        <v>634</v>
      </c>
      <c r="AV263" s="246" t="s">
        <v>635</v>
      </c>
      <c r="AW263" s="242"/>
      <c r="AX263" s="242"/>
      <c r="AY263" s="231"/>
      <c r="AZ263" s="231"/>
      <c r="BA263" s="227"/>
      <c r="BB263" s="231"/>
      <c r="BC263" s="227"/>
      <c r="BD263" s="227"/>
      <c r="BE263" s="227"/>
      <c r="BF263" s="227"/>
    </row>
    <row r="264">
      <c r="A264" s="235" t="s">
        <v>2770</v>
      </c>
      <c r="C264" s="235" t="s">
        <v>2771</v>
      </c>
      <c r="D264" s="235" t="s">
        <v>2772</v>
      </c>
      <c r="E264" s="243">
        <v>6.57E13</v>
      </c>
      <c r="F264" s="244"/>
      <c r="G264" s="235" t="s">
        <v>2773</v>
      </c>
      <c r="H264" s="235" t="s">
        <v>2774</v>
      </c>
      <c r="I264" s="235" t="s">
        <v>2774</v>
      </c>
      <c r="J264" s="235" t="s">
        <v>2775</v>
      </c>
      <c r="K264" s="235" t="s">
        <v>2776</v>
      </c>
      <c r="N264" s="235" t="s">
        <v>78</v>
      </c>
      <c r="O264" s="235" t="s">
        <v>360</v>
      </c>
      <c r="P264" s="238">
        <v>1.0</v>
      </c>
      <c r="Q264" s="235" t="s">
        <v>627</v>
      </c>
      <c r="R264" s="238">
        <v>360.96</v>
      </c>
      <c r="S264" s="238">
        <v>18.04</v>
      </c>
      <c r="T264" s="238">
        <v>0.0</v>
      </c>
      <c r="U264" s="238">
        <v>0.0</v>
      </c>
      <c r="V264" s="238">
        <v>0.0</v>
      </c>
      <c r="W264" s="238">
        <v>0.0</v>
      </c>
      <c r="X264" s="235" t="s">
        <v>628</v>
      </c>
      <c r="Z264" s="244"/>
      <c r="AA264" s="244"/>
      <c r="AB264" s="244"/>
      <c r="AC264" s="235" t="s">
        <v>2777</v>
      </c>
      <c r="AD264" s="235" t="s">
        <v>928</v>
      </c>
      <c r="AE264" s="238">
        <v>135102.0</v>
      </c>
      <c r="AF264" s="235" t="s">
        <v>631</v>
      </c>
      <c r="AG264" s="244"/>
      <c r="AH264" s="244"/>
      <c r="AI264" s="245"/>
      <c r="AJ264" s="245"/>
      <c r="AK264" s="245"/>
      <c r="AL264" s="245"/>
      <c r="AM264" s="244"/>
      <c r="AN264" s="244"/>
      <c r="AO264" s="238">
        <v>0.0</v>
      </c>
      <c r="AP264" s="238">
        <v>0.0</v>
      </c>
      <c r="AQ264" s="235" t="s">
        <v>2778</v>
      </c>
      <c r="AR264" s="243">
        <v>7.64E10</v>
      </c>
      <c r="AS264" s="235" t="s">
        <v>1358</v>
      </c>
      <c r="AT264" s="235" t="s">
        <v>13</v>
      </c>
      <c r="AU264" s="235" t="s">
        <v>634</v>
      </c>
      <c r="AV264" s="246" t="s">
        <v>635</v>
      </c>
      <c r="AW264" s="242"/>
      <c r="AX264" s="242"/>
      <c r="AY264" s="231"/>
      <c r="AZ264" s="231"/>
      <c r="BA264" s="227"/>
      <c r="BB264" s="231"/>
      <c r="BC264" s="227"/>
      <c r="BD264" s="227"/>
      <c r="BE264" s="227"/>
      <c r="BF264" s="227"/>
    </row>
    <row r="265">
      <c r="A265" s="235" t="s">
        <v>2779</v>
      </c>
      <c r="C265" s="235" t="s">
        <v>2780</v>
      </c>
      <c r="D265" s="235" t="s">
        <v>2781</v>
      </c>
      <c r="E265" s="243">
        <v>6.57E13</v>
      </c>
      <c r="F265" s="244"/>
      <c r="G265" s="235" t="s">
        <v>2782</v>
      </c>
      <c r="H265" s="235" t="s">
        <v>2783</v>
      </c>
      <c r="I265" s="235" t="s">
        <v>2783</v>
      </c>
      <c r="J265" s="235" t="s">
        <v>2784</v>
      </c>
      <c r="K265" s="235" t="s">
        <v>2785</v>
      </c>
      <c r="N265" s="235" t="s">
        <v>42</v>
      </c>
      <c r="O265" s="235" t="s">
        <v>204</v>
      </c>
      <c r="P265" s="238">
        <v>1.0</v>
      </c>
      <c r="Q265" s="235" t="s">
        <v>627</v>
      </c>
      <c r="R265" s="238">
        <v>237.14</v>
      </c>
      <c r="S265" s="238">
        <v>11.62</v>
      </c>
      <c r="T265" s="238">
        <v>0.0</v>
      </c>
      <c r="U265" s="238">
        <v>0.0</v>
      </c>
      <c r="V265" s="238">
        <v>0.0</v>
      </c>
      <c r="W265" s="238">
        <v>0.0</v>
      </c>
      <c r="X265" s="235" t="s">
        <v>628</v>
      </c>
      <c r="Z265" s="244"/>
      <c r="AA265" s="244"/>
      <c r="AB265" s="244"/>
      <c r="AC265" s="235" t="s">
        <v>1671</v>
      </c>
      <c r="AD265" s="235" t="s">
        <v>666</v>
      </c>
      <c r="AE265" s="238">
        <v>641010.0</v>
      </c>
      <c r="AF265" s="235" t="s">
        <v>631</v>
      </c>
      <c r="AG265" s="244"/>
      <c r="AH265" s="244"/>
      <c r="AI265" s="245"/>
      <c r="AJ265" s="245"/>
      <c r="AK265" s="245"/>
      <c r="AL265" s="245"/>
      <c r="AM265" s="244"/>
      <c r="AN265" s="244"/>
      <c r="AO265" s="238">
        <v>-4.74</v>
      </c>
      <c r="AP265" s="238">
        <v>0.0</v>
      </c>
      <c r="AQ265" s="235" t="s">
        <v>632</v>
      </c>
      <c r="AR265" s="243">
        <v>3.71E11</v>
      </c>
      <c r="AS265" s="235" t="s">
        <v>2276</v>
      </c>
      <c r="AT265" s="235" t="s">
        <v>155</v>
      </c>
      <c r="AU265" s="235" t="s">
        <v>634</v>
      </c>
      <c r="AV265" s="246" t="s">
        <v>635</v>
      </c>
      <c r="AW265" s="242"/>
      <c r="AX265" s="242"/>
      <c r="AY265" s="231"/>
      <c r="AZ265" s="231"/>
      <c r="BA265" s="227"/>
      <c r="BB265" s="231"/>
      <c r="BC265" s="227"/>
      <c r="BD265" s="227"/>
      <c r="BE265" s="227"/>
      <c r="BF265" s="227"/>
    </row>
    <row r="266">
      <c r="A266" s="235" t="s">
        <v>2786</v>
      </c>
      <c r="C266" s="235" t="s">
        <v>2787</v>
      </c>
      <c r="D266" s="235" t="s">
        <v>2788</v>
      </c>
      <c r="E266" s="243">
        <v>6.57E13</v>
      </c>
      <c r="F266" s="244"/>
      <c r="G266" s="235" t="s">
        <v>2789</v>
      </c>
      <c r="H266" s="235" t="s">
        <v>2790</v>
      </c>
      <c r="I266" s="235" t="s">
        <v>2790</v>
      </c>
      <c r="J266" s="235" t="s">
        <v>2791</v>
      </c>
      <c r="K266" s="235" t="s">
        <v>2792</v>
      </c>
      <c r="N266" s="235" t="s">
        <v>40</v>
      </c>
      <c r="O266" s="235" t="s">
        <v>327</v>
      </c>
      <c r="P266" s="238">
        <v>1.0</v>
      </c>
      <c r="Q266" s="235" t="s">
        <v>627</v>
      </c>
      <c r="R266" s="238">
        <v>237.14</v>
      </c>
      <c r="S266" s="238">
        <v>11.86</v>
      </c>
      <c r="T266" s="238">
        <v>0.0</v>
      </c>
      <c r="U266" s="238">
        <v>0.0</v>
      </c>
      <c r="V266" s="238">
        <v>0.0</v>
      </c>
      <c r="W266" s="238">
        <v>0.0</v>
      </c>
      <c r="X266" s="235" t="s">
        <v>628</v>
      </c>
      <c r="Z266" s="244"/>
      <c r="AA266" s="244"/>
      <c r="AB266" s="244"/>
      <c r="AC266" s="235" t="s">
        <v>1887</v>
      </c>
      <c r="AD266" s="235" t="s">
        <v>679</v>
      </c>
      <c r="AE266" s="238">
        <v>560024.0</v>
      </c>
      <c r="AF266" s="235" t="s">
        <v>631</v>
      </c>
      <c r="AG266" s="244"/>
      <c r="AH266" s="244"/>
      <c r="AI266" s="245"/>
      <c r="AJ266" s="245"/>
      <c r="AK266" s="245"/>
      <c r="AL266" s="245"/>
      <c r="AM266" s="244"/>
      <c r="AN266" s="244"/>
      <c r="AO266" s="238">
        <v>0.0</v>
      </c>
      <c r="AP266" s="238">
        <v>0.0</v>
      </c>
      <c r="AQ266" s="235" t="s">
        <v>632</v>
      </c>
      <c r="AR266" s="243">
        <v>1.68E11</v>
      </c>
      <c r="AS266" s="235" t="s">
        <v>2717</v>
      </c>
      <c r="AT266" s="235" t="s">
        <v>9</v>
      </c>
      <c r="AU266" s="235" t="s">
        <v>634</v>
      </c>
      <c r="AV266" s="246" t="s">
        <v>635</v>
      </c>
      <c r="AW266" s="242"/>
      <c r="AX266" s="242"/>
      <c r="AY266" s="231"/>
      <c r="AZ266" s="231"/>
      <c r="BA266" s="227"/>
      <c r="BB266" s="231"/>
      <c r="BC266" s="227"/>
      <c r="BD266" s="227"/>
      <c r="BE266" s="227"/>
      <c r="BF266" s="227"/>
    </row>
    <row r="267">
      <c r="A267" s="235" t="s">
        <v>2793</v>
      </c>
      <c r="C267" s="235" t="s">
        <v>2794</v>
      </c>
      <c r="D267" s="235" t="s">
        <v>2795</v>
      </c>
      <c r="E267" s="243">
        <v>6.57E13</v>
      </c>
      <c r="F267" s="244"/>
      <c r="G267" s="235" t="s">
        <v>2796</v>
      </c>
      <c r="H267" s="235" t="s">
        <v>2797</v>
      </c>
      <c r="I267" s="235" t="s">
        <v>2798</v>
      </c>
      <c r="J267" s="235" t="s">
        <v>2799</v>
      </c>
      <c r="K267" s="235" t="s">
        <v>2800</v>
      </c>
      <c r="N267" s="235" t="s">
        <v>117</v>
      </c>
      <c r="O267" s="235" t="s">
        <v>334</v>
      </c>
      <c r="P267" s="238">
        <v>1.0</v>
      </c>
      <c r="Q267" s="235" t="s">
        <v>627</v>
      </c>
      <c r="R267" s="238">
        <v>237.14</v>
      </c>
      <c r="S267" s="238">
        <v>11.86</v>
      </c>
      <c r="T267" s="238">
        <v>0.0</v>
      </c>
      <c r="U267" s="238">
        <v>0.0</v>
      </c>
      <c r="V267" s="238">
        <v>0.0</v>
      </c>
      <c r="W267" s="238">
        <v>0.0</v>
      </c>
      <c r="X267" s="235" t="s">
        <v>628</v>
      </c>
      <c r="Z267" s="244"/>
      <c r="AA267" s="244"/>
      <c r="AB267" s="244"/>
      <c r="AC267" s="235" t="s">
        <v>678</v>
      </c>
      <c r="AD267" s="235" t="s">
        <v>679</v>
      </c>
      <c r="AE267" s="238">
        <v>560056.0</v>
      </c>
      <c r="AF267" s="235" t="s">
        <v>631</v>
      </c>
      <c r="AG267" s="244"/>
      <c r="AH267" s="244"/>
      <c r="AI267" s="245"/>
      <c r="AJ267" s="245"/>
      <c r="AK267" s="245"/>
      <c r="AL267" s="245"/>
      <c r="AM267" s="244"/>
      <c r="AN267" s="244"/>
      <c r="AO267" s="238">
        <v>0.0</v>
      </c>
      <c r="AP267" s="238">
        <v>0.0</v>
      </c>
      <c r="AQ267" s="235" t="s">
        <v>632</v>
      </c>
      <c r="AR267" s="243">
        <v>3.71E11</v>
      </c>
      <c r="AS267" s="235" t="s">
        <v>2276</v>
      </c>
      <c r="AT267" s="235" t="s">
        <v>9</v>
      </c>
      <c r="AU267" s="235" t="s">
        <v>634</v>
      </c>
      <c r="AV267" s="246" t="s">
        <v>635</v>
      </c>
      <c r="AW267" s="242"/>
      <c r="AX267" s="242"/>
      <c r="AY267" s="231"/>
      <c r="AZ267" s="231"/>
      <c r="BA267" s="227"/>
      <c r="BB267" s="231"/>
      <c r="BC267" s="227"/>
      <c r="BD267" s="227"/>
      <c r="BE267" s="227"/>
      <c r="BF267" s="227"/>
    </row>
    <row r="268">
      <c r="A268" s="235" t="s">
        <v>2801</v>
      </c>
      <c r="C268" s="235" t="s">
        <v>2802</v>
      </c>
      <c r="D268" s="235" t="s">
        <v>2803</v>
      </c>
      <c r="E268" s="243">
        <v>6.57E13</v>
      </c>
      <c r="F268" s="244"/>
      <c r="G268" s="235" t="s">
        <v>2804</v>
      </c>
      <c r="H268" s="235" t="s">
        <v>2805</v>
      </c>
      <c r="I268" s="235" t="s">
        <v>2805</v>
      </c>
      <c r="J268" s="235" t="s">
        <v>2806</v>
      </c>
      <c r="K268" s="235" t="s">
        <v>2807</v>
      </c>
      <c r="N268" s="235" t="s">
        <v>726</v>
      </c>
      <c r="O268" s="235" t="s">
        <v>727</v>
      </c>
      <c r="P268" s="238">
        <v>1.0</v>
      </c>
      <c r="Q268" s="235" t="s">
        <v>627</v>
      </c>
      <c r="R268" s="238">
        <v>246.67</v>
      </c>
      <c r="S268" s="238">
        <v>12.33</v>
      </c>
      <c r="T268" s="238">
        <v>0.0</v>
      </c>
      <c r="U268" s="238">
        <v>0.0</v>
      </c>
      <c r="V268" s="238">
        <v>0.0</v>
      </c>
      <c r="W268" s="238">
        <v>0.0</v>
      </c>
      <c r="X268" s="235" t="s">
        <v>628</v>
      </c>
      <c r="Z268" s="244"/>
      <c r="AA268" s="244"/>
      <c r="AB268" s="244"/>
      <c r="AC268" s="235" t="s">
        <v>1287</v>
      </c>
      <c r="AD268" s="235" t="s">
        <v>630</v>
      </c>
      <c r="AE268" s="238">
        <v>201014.0</v>
      </c>
      <c r="AF268" s="235" t="s">
        <v>631</v>
      </c>
      <c r="AG268" s="244"/>
      <c r="AH268" s="244"/>
      <c r="AI268" s="245"/>
      <c r="AJ268" s="245"/>
      <c r="AK268" s="245"/>
      <c r="AL268" s="245"/>
      <c r="AM268" s="244"/>
      <c r="AN268" s="244"/>
      <c r="AO268" s="238">
        <v>0.0</v>
      </c>
      <c r="AP268" s="238">
        <v>0.0</v>
      </c>
      <c r="AQ268" s="235" t="s">
        <v>632</v>
      </c>
      <c r="AR268" s="243">
        <v>1.68E11</v>
      </c>
      <c r="AS268" s="235" t="s">
        <v>2717</v>
      </c>
      <c r="AT268" s="235" t="s">
        <v>14</v>
      </c>
      <c r="AU268" s="235" t="s">
        <v>634</v>
      </c>
      <c r="AV268" s="246" t="s">
        <v>635</v>
      </c>
      <c r="AW268" s="242"/>
      <c r="AX268" s="242"/>
      <c r="AY268" s="231"/>
      <c r="AZ268" s="231"/>
      <c r="BA268" s="227"/>
      <c r="BB268" s="231"/>
      <c r="BC268" s="227"/>
      <c r="BD268" s="227"/>
      <c r="BE268" s="227"/>
      <c r="BF268" s="227"/>
    </row>
    <row r="269">
      <c r="A269" s="235" t="s">
        <v>2808</v>
      </c>
      <c r="C269" s="235" t="s">
        <v>2809</v>
      </c>
      <c r="D269" s="235" t="s">
        <v>2810</v>
      </c>
      <c r="E269" s="243">
        <v>6.57E13</v>
      </c>
      <c r="F269" s="244"/>
      <c r="G269" s="235" t="s">
        <v>2811</v>
      </c>
      <c r="H269" s="235" t="s">
        <v>2812</v>
      </c>
      <c r="I269" s="235" t="s">
        <v>2812</v>
      </c>
      <c r="J269" s="235" t="s">
        <v>2813</v>
      </c>
      <c r="K269" s="235" t="s">
        <v>2814</v>
      </c>
      <c r="N269" s="235" t="s">
        <v>85</v>
      </c>
      <c r="O269" s="235" t="s">
        <v>872</v>
      </c>
      <c r="P269" s="238">
        <v>1.0</v>
      </c>
      <c r="Q269" s="235" t="s">
        <v>627</v>
      </c>
      <c r="R269" s="238">
        <v>242.86</v>
      </c>
      <c r="S269" s="238">
        <v>12.14</v>
      </c>
      <c r="T269" s="238">
        <v>38.1</v>
      </c>
      <c r="U269" s="238">
        <v>1.9</v>
      </c>
      <c r="V269" s="238">
        <v>0.0</v>
      </c>
      <c r="W269" s="238">
        <v>0.0</v>
      </c>
      <c r="X269" s="235" t="s">
        <v>628</v>
      </c>
      <c r="Z269" s="244"/>
      <c r="AA269" s="244"/>
      <c r="AB269" s="244"/>
      <c r="AC269" s="235" t="s">
        <v>2816</v>
      </c>
      <c r="AD269" s="235" t="s">
        <v>645</v>
      </c>
      <c r="AE269" s="238">
        <v>683565.0</v>
      </c>
      <c r="AF269" s="235" t="s">
        <v>631</v>
      </c>
      <c r="AG269" s="244"/>
      <c r="AH269" s="244"/>
      <c r="AI269" s="245"/>
      <c r="AJ269" s="245"/>
      <c r="AK269" s="245"/>
      <c r="AL269" s="245"/>
      <c r="AM269" s="244"/>
      <c r="AN269" s="244"/>
      <c r="AO269" s="238">
        <v>0.0</v>
      </c>
      <c r="AP269" s="238">
        <v>0.0</v>
      </c>
      <c r="AQ269" s="235" t="s">
        <v>632</v>
      </c>
      <c r="AR269" s="243">
        <v>3.71E11</v>
      </c>
      <c r="AS269" s="235" t="s">
        <v>1367</v>
      </c>
      <c r="AT269" s="235" t="s">
        <v>155</v>
      </c>
      <c r="AU269" s="235" t="s">
        <v>634</v>
      </c>
      <c r="AV269" s="246" t="s">
        <v>635</v>
      </c>
      <c r="AW269" s="242"/>
      <c r="AX269" s="242"/>
      <c r="AY269" s="231"/>
      <c r="AZ269" s="231"/>
      <c r="BA269" s="227"/>
      <c r="BB269" s="231"/>
      <c r="BC269" s="227"/>
      <c r="BD269" s="227"/>
      <c r="BE269" s="227"/>
      <c r="BF269" s="227"/>
    </row>
    <row r="270">
      <c r="A270" s="235" t="s">
        <v>2817</v>
      </c>
      <c r="C270" s="235" t="s">
        <v>2818</v>
      </c>
      <c r="D270" s="235" t="s">
        <v>2819</v>
      </c>
      <c r="E270" s="243">
        <v>6.57E13</v>
      </c>
      <c r="F270" s="244"/>
      <c r="G270" s="235" t="s">
        <v>2820</v>
      </c>
      <c r="H270" s="235" t="s">
        <v>2821</v>
      </c>
      <c r="I270" s="235" t="s">
        <v>2821</v>
      </c>
      <c r="J270" s="235" t="s">
        <v>2822</v>
      </c>
      <c r="K270" s="235" t="s">
        <v>2823</v>
      </c>
      <c r="N270" s="235" t="s">
        <v>127</v>
      </c>
      <c r="O270" s="235" t="s">
        <v>794</v>
      </c>
      <c r="P270" s="238">
        <v>1.0</v>
      </c>
      <c r="Q270" s="235" t="s">
        <v>627</v>
      </c>
      <c r="R270" s="238">
        <v>246.67</v>
      </c>
      <c r="S270" s="238">
        <v>12.33</v>
      </c>
      <c r="T270" s="238">
        <v>0.0</v>
      </c>
      <c r="U270" s="238">
        <v>0.0</v>
      </c>
      <c r="V270" s="238">
        <v>0.0</v>
      </c>
      <c r="W270" s="238">
        <v>0.0</v>
      </c>
      <c r="X270" s="235" t="s">
        <v>628</v>
      </c>
      <c r="Z270" s="244"/>
      <c r="AA270" s="244"/>
      <c r="AB270" s="244"/>
      <c r="AC270" s="235" t="s">
        <v>795</v>
      </c>
      <c r="AD270" s="235" t="s">
        <v>796</v>
      </c>
      <c r="AE270" s="238">
        <v>110059.0</v>
      </c>
      <c r="AF270" s="235" t="s">
        <v>631</v>
      </c>
      <c r="AG270" s="244"/>
      <c r="AH270" s="244"/>
      <c r="AI270" s="245"/>
      <c r="AJ270" s="245"/>
      <c r="AK270" s="245"/>
      <c r="AL270" s="245"/>
      <c r="AM270" s="244"/>
      <c r="AN270" s="244"/>
      <c r="AO270" s="238">
        <v>0.0</v>
      </c>
      <c r="AP270" s="238">
        <v>0.0</v>
      </c>
      <c r="AQ270" s="235" t="s">
        <v>632</v>
      </c>
      <c r="AR270" s="243">
        <v>1.68E11</v>
      </c>
      <c r="AS270" s="235" t="s">
        <v>2717</v>
      </c>
      <c r="AT270" s="235" t="s">
        <v>13</v>
      </c>
      <c r="AU270" s="235" t="s">
        <v>634</v>
      </c>
      <c r="AV270" s="246" t="s">
        <v>635</v>
      </c>
      <c r="AW270" s="242"/>
      <c r="AX270" s="242"/>
      <c r="AY270" s="231"/>
      <c r="AZ270" s="231"/>
      <c r="BA270" s="227"/>
      <c r="BB270" s="231"/>
      <c r="BC270" s="227"/>
      <c r="BD270" s="227"/>
      <c r="BE270" s="227"/>
      <c r="BF270" s="227"/>
    </row>
    <row r="271">
      <c r="A271" s="235" t="s">
        <v>2826</v>
      </c>
      <c r="C271" s="235" t="s">
        <v>2827</v>
      </c>
      <c r="D271" s="235" t="s">
        <v>2828</v>
      </c>
      <c r="E271" s="243">
        <v>6.57E13</v>
      </c>
      <c r="F271" s="244"/>
      <c r="G271" s="235" t="s">
        <v>2829</v>
      </c>
      <c r="H271" s="235" t="s">
        <v>2830</v>
      </c>
      <c r="I271" s="235" t="s">
        <v>2830</v>
      </c>
      <c r="J271" s="235" t="s">
        <v>2831</v>
      </c>
      <c r="K271" s="235" t="s">
        <v>2832</v>
      </c>
      <c r="N271" s="235" t="s">
        <v>27</v>
      </c>
      <c r="O271" s="235" t="s">
        <v>573</v>
      </c>
      <c r="P271" s="238">
        <v>1.0</v>
      </c>
      <c r="Q271" s="235" t="s">
        <v>627</v>
      </c>
      <c r="R271" s="238">
        <v>360.95</v>
      </c>
      <c r="S271" s="238">
        <v>18.05</v>
      </c>
      <c r="T271" s="238">
        <v>38.1</v>
      </c>
      <c r="U271" s="238">
        <v>1.9</v>
      </c>
      <c r="V271" s="238">
        <v>0.0</v>
      </c>
      <c r="W271" s="238">
        <v>0.0</v>
      </c>
      <c r="X271" s="235" t="s">
        <v>628</v>
      </c>
      <c r="Z271" s="244"/>
      <c r="AA271" s="244"/>
      <c r="AB271" s="244"/>
      <c r="AC271" s="235" t="s">
        <v>2833</v>
      </c>
      <c r="AD271" s="235" t="s">
        <v>1499</v>
      </c>
      <c r="AE271" s="238">
        <v>450001.0</v>
      </c>
      <c r="AF271" s="235" t="s">
        <v>631</v>
      </c>
      <c r="AG271" s="244"/>
      <c r="AH271" s="244"/>
      <c r="AI271" s="245"/>
      <c r="AJ271" s="245"/>
      <c r="AK271" s="245"/>
      <c r="AL271" s="245"/>
      <c r="AM271" s="244"/>
      <c r="AN271" s="244"/>
      <c r="AO271" s="238">
        <v>0.0</v>
      </c>
      <c r="AP271" s="238">
        <v>-38.1</v>
      </c>
      <c r="AQ271" s="235" t="s">
        <v>632</v>
      </c>
      <c r="AR271" s="243">
        <v>3.71E11</v>
      </c>
      <c r="AS271" s="235" t="s">
        <v>656</v>
      </c>
      <c r="AT271" s="235" t="s">
        <v>16</v>
      </c>
      <c r="AU271" s="235" t="s">
        <v>634</v>
      </c>
      <c r="AV271" s="246" t="s">
        <v>635</v>
      </c>
      <c r="AW271" s="242"/>
      <c r="AX271" s="242"/>
      <c r="AY271" s="231"/>
      <c r="AZ271" s="231"/>
      <c r="BA271" s="227"/>
      <c r="BB271" s="231"/>
      <c r="BC271" s="227"/>
      <c r="BD271" s="227"/>
      <c r="BE271" s="227"/>
      <c r="BF271" s="227"/>
    </row>
    <row r="272">
      <c r="A272" s="235" t="s">
        <v>2834</v>
      </c>
      <c r="C272" s="235" t="s">
        <v>2835</v>
      </c>
      <c r="D272" s="235" t="s">
        <v>2836</v>
      </c>
      <c r="E272" s="243">
        <v>6.57E13</v>
      </c>
      <c r="F272" s="244"/>
      <c r="G272" s="235" t="s">
        <v>2837</v>
      </c>
      <c r="H272" s="235" t="s">
        <v>2838</v>
      </c>
      <c r="I272" s="235" t="s">
        <v>2838</v>
      </c>
      <c r="J272" s="235" t="s">
        <v>2831</v>
      </c>
      <c r="K272" s="235" t="s">
        <v>2839</v>
      </c>
      <c r="N272" s="235" t="s">
        <v>50</v>
      </c>
      <c r="O272" s="235" t="s">
        <v>367</v>
      </c>
      <c r="P272" s="238">
        <v>1.0</v>
      </c>
      <c r="Q272" s="235" t="s">
        <v>627</v>
      </c>
      <c r="R272" s="238">
        <v>237.14</v>
      </c>
      <c r="S272" s="238">
        <v>11.62</v>
      </c>
      <c r="T272" s="238">
        <v>18.1</v>
      </c>
      <c r="U272" s="238">
        <v>0.9</v>
      </c>
      <c r="V272" s="238">
        <v>0.0</v>
      </c>
      <c r="W272" s="238">
        <v>0.0</v>
      </c>
      <c r="X272" s="235" t="s">
        <v>628</v>
      </c>
      <c r="Z272" s="244"/>
      <c r="AA272" s="244"/>
      <c r="AB272" s="244"/>
      <c r="AC272" s="235" t="s">
        <v>687</v>
      </c>
      <c r="AD272" s="235" t="s">
        <v>666</v>
      </c>
      <c r="AE272" s="238">
        <v>600100.0</v>
      </c>
      <c r="AF272" s="235" t="s">
        <v>631</v>
      </c>
      <c r="AG272" s="244"/>
      <c r="AH272" s="244"/>
      <c r="AI272" s="245"/>
      <c r="AJ272" s="245"/>
      <c r="AK272" s="245"/>
      <c r="AL272" s="245"/>
      <c r="AM272" s="244"/>
      <c r="AN272" s="244"/>
      <c r="AO272" s="238">
        <v>-4.74</v>
      </c>
      <c r="AP272" s="238">
        <v>-18.1</v>
      </c>
      <c r="AQ272" s="235" t="s">
        <v>632</v>
      </c>
      <c r="AR272" s="243">
        <v>1.68E11</v>
      </c>
      <c r="AS272" s="235" t="s">
        <v>2717</v>
      </c>
      <c r="AT272" s="235" t="s">
        <v>156</v>
      </c>
      <c r="AU272" s="235" t="s">
        <v>634</v>
      </c>
      <c r="AV272" s="246" t="s">
        <v>635</v>
      </c>
      <c r="AW272" s="242"/>
      <c r="AX272" s="242"/>
      <c r="AY272" s="231"/>
      <c r="AZ272" s="231"/>
      <c r="BA272" s="227"/>
      <c r="BB272" s="231"/>
      <c r="BC272" s="227"/>
      <c r="BD272" s="227"/>
      <c r="BE272" s="227"/>
      <c r="BF272" s="227"/>
    </row>
    <row r="273">
      <c r="A273" s="235" t="s">
        <v>2841</v>
      </c>
      <c r="C273" s="235" t="s">
        <v>2842</v>
      </c>
      <c r="D273" s="235" t="s">
        <v>2843</v>
      </c>
      <c r="E273" s="243">
        <v>6.57E13</v>
      </c>
      <c r="F273" s="244"/>
      <c r="G273" s="235" t="s">
        <v>2844</v>
      </c>
      <c r="H273" s="235" t="s">
        <v>2845</v>
      </c>
      <c r="I273" s="235" t="s">
        <v>2845</v>
      </c>
      <c r="J273" s="235" t="s">
        <v>2846</v>
      </c>
      <c r="K273" s="235" t="s">
        <v>2847</v>
      </c>
      <c r="N273" s="235" t="s">
        <v>2848</v>
      </c>
      <c r="O273" s="235" t="s">
        <v>2849</v>
      </c>
      <c r="P273" s="238">
        <v>1.0</v>
      </c>
      <c r="Q273" s="235" t="s">
        <v>627</v>
      </c>
      <c r="R273" s="238">
        <v>246.66</v>
      </c>
      <c r="S273" s="238">
        <v>12.34</v>
      </c>
      <c r="T273" s="238">
        <v>18.1</v>
      </c>
      <c r="U273" s="238">
        <v>0.9</v>
      </c>
      <c r="V273" s="238">
        <v>0.0</v>
      </c>
      <c r="W273" s="238">
        <v>0.0</v>
      </c>
      <c r="X273" s="235" t="s">
        <v>628</v>
      </c>
      <c r="Z273" s="244"/>
      <c r="AA273" s="244"/>
      <c r="AB273" s="244"/>
      <c r="AC273" s="235" t="s">
        <v>678</v>
      </c>
      <c r="AD273" s="235" t="s">
        <v>679</v>
      </c>
      <c r="AE273" s="238">
        <v>560067.0</v>
      </c>
      <c r="AF273" s="235" t="s">
        <v>631</v>
      </c>
      <c r="AG273" s="244"/>
      <c r="AH273" s="244"/>
      <c r="AI273" s="245"/>
      <c r="AJ273" s="245"/>
      <c r="AK273" s="245"/>
      <c r="AL273" s="245"/>
      <c r="AM273" s="244"/>
      <c r="AN273" s="244"/>
      <c r="AO273" s="238">
        <v>0.0</v>
      </c>
      <c r="AP273" s="238">
        <v>-18.1</v>
      </c>
      <c r="AQ273" s="235" t="s">
        <v>632</v>
      </c>
      <c r="AR273" s="243">
        <v>1.68E11</v>
      </c>
      <c r="AS273" s="235" t="s">
        <v>2717</v>
      </c>
      <c r="AT273" s="235" t="s">
        <v>9</v>
      </c>
      <c r="AU273" s="235" t="s">
        <v>634</v>
      </c>
      <c r="AV273" s="246" t="s">
        <v>635</v>
      </c>
      <c r="AW273" s="242"/>
      <c r="AX273" s="242"/>
      <c r="AY273" s="231"/>
      <c r="AZ273" s="231"/>
      <c r="BA273" s="227"/>
      <c r="BB273" s="231"/>
      <c r="BC273" s="227"/>
      <c r="BD273" s="227"/>
      <c r="BE273" s="227"/>
      <c r="BF273" s="227"/>
    </row>
    <row r="274">
      <c r="A274" s="235" t="s">
        <v>2850</v>
      </c>
      <c r="C274" s="235" t="s">
        <v>2851</v>
      </c>
      <c r="D274" s="235" t="s">
        <v>2852</v>
      </c>
      <c r="E274" s="243">
        <v>6.56E13</v>
      </c>
      <c r="F274" s="244"/>
      <c r="G274" s="235" t="s">
        <v>2853</v>
      </c>
      <c r="H274" s="235" t="s">
        <v>2854</v>
      </c>
      <c r="I274" s="235" t="s">
        <v>2854</v>
      </c>
      <c r="J274" s="235" t="s">
        <v>2855</v>
      </c>
      <c r="K274" s="235" t="s">
        <v>2856</v>
      </c>
      <c r="N274" s="235" t="s">
        <v>82</v>
      </c>
      <c r="O274" s="235" t="s">
        <v>889</v>
      </c>
      <c r="P274" s="238">
        <v>1.0</v>
      </c>
      <c r="Q274" s="235" t="s">
        <v>627</v>
      </c>
      <c r="R274" s="238">
        <v>246.66</v>
      </c>
      <c r="S274" s="238">
        <v>12.34</v>
      </c>
      <c r="T274" s="238">
        <v>38.1</v>
      </c>
      <c r="U274" s="238">
        <v>1.9</v>
      </c>
      <c r="V274" s="238">
        <v>0.0</v>
      </c>
      <c r="W274" s="238">
        <v>0.0</v>
      </c>
      <c r="X274" s="235" t="s">
        <v>628</v>
      </c>
      <c r="Z274" s="244"/>
      <c r="AA274" s="244"/>
      <c r="AB274" s="244"/>
      <c r="AC274" s="235" t="s">
        <v>2857</v>
      </c>
      <c r="AD274" s="235" t="s">
        <v>666</v>
      </c>
      <c r="AE274" s="238">
        <v>629002.0</v>
      </c>
      <c r="AF274" s="235" t="s">
        <v>631</v>
      </c>
      <c r="AG274" s="244"/>
      <c r="AH274" s="244"/>
      <c r="AI274" s="245"/>
      <c r="AJ274" s="245"/>
      <c r="AK274" s="245"/>
      <c r="AL274" s="245"/>
      <c r="AM274" s="244"/>
      <c r="AN274" s="244"/>
      <c r="AO274" s="238">
        <v>0.0</v>
      </c>
      <c r="AP274" s="238">
        <v>0.0</v>
      </c>
      <c r="AQ274" s="235" t="s">
        <v>632</v>
      </c>
      <c r="AR274" s="243">
        <v>3.71E11</v>
      </c>
      <c r="AS274" s="235" t="s">
        <v>667</v>
      </c>
      <c r="AT274" s="235" t="s">
        <v>155</v>
      </c>
      <c r="AU274" s="235" t="s">
        <v>634</v>
      </c>
      <c r="AV274" s="246" t="s">
        <v>635</v>
      </c>
      <c r="AW274" s="242"/>
      <c r="AX274" s="242"/>
      <c r="AY274" s="231"/>
      <c r="AZ274" s="231"/>
      <c r="BA274" s="227"/>
      <c r="BB274" s="231"/>
      <c r="BC274" s="227"/>
      <c r="BD274" s="227"/>
      <c r="BE274" s="227"/>
      <c r="BF274" s="227"/>
    </row>
    <row r="275">
      <c r="A275" s="235" t="s">
        <v>2858</v>
      </c>
      <c r="C275" s="235" t="s">
        <v>2859</v>
      </c>
      <c r="D275" s="235" t="s">
        <v>2860</v>
      </c>
      <c r="E275" s="243">
        <v>6.57E13</v>
      </c>
      <c r="F275" s="244"/>
      <c r="G275" s="235" t="s">
        <v>2861</v>
      </c>
      <c r="H275" s="235" t="s">
        <v>2862</v>
      </c>
      <c r="I275" s="235" t="s">
        <v>2863</v>
      </c>
      <c r="J275" s="235" t="s">
        <v>2864</v>
      </c>
      <c r="K275" s="235" t="s">
        <v>2012</v>
      </c>
      <c r="N275" s="235" t="s">
        <v>98</v>
      </c>
      <c r="O275" s="235" t="s">
        <v>357</v>
      </c>
      <c r="P275" s="238">
        <v>1.0</v>
      </c>
      <c r="Q275" s="235" t="s">
        <v>627</v>
      </c>
      <c r="R275" s="238">
        <v>246.66</v>
      </c>
      <c r="S275" s="238">
        <v>12.34</v>
      </c>
      <c r="T275" s="238">
        <v>0.0</v>
      </c>
      <c r="U275" s="238">
        <v>0.0</v>
      </c>
      <c r="V275" s="238">
        <v>0.0</v>
      </c>
      <c r="W275" s="238">
        <v>0.0</v>
      </c>
      <c r="X275" s="235" t="s">
        <v>628</v>
      </c>
      <c r="Z275" s="244"/>
      <c r="AA275" s="244"/>
      <c r="AB275" s="244"/>
      <c r="AC275" s="235" t="s">
        <v>1998</v>
      </c>
      <c r="AD275" s="235" t="s">
        <v>928</v>
      </c>
      <c r="AE275" s="238">
        <v>121002.0</v>
      </c>
      <c r="AF275" s="235" t="s">
        <v>631</v>
      </c>
      <c r="AG275" s="244"/>
      <c r="AH275" s="244"/>
      <c r="AI275" s="245"/>
      <c r="AJ275" s="245"/>
      <c r="AK275" s="245"/>
      <c r="AL275" s="245"/>
      <c r="AM275" s="244"/>
      <c r="AN275" s="244"/>
      <c r="AO275" s="238">
        <v>0.0</v>
      </c>
      <c r="AP275" s="238">
        <v>0.0</v>
      </c>
      <c r="AQ275" s="235" t="s">
        <v>632</v>
      </c>
      <c r="AR275" s="243">
        <v>1.68E11</v>
      </c>
      <c r="AS275" s="235" t="s">
        <v>2717</v>
      </c>
      <c r="AT275" s="235" t="s">
        <v>533</v>
      </c>
      <c r="AU275" s="235" t="s">
        <v>634</v>
      </c>
      <c r="AV275" s="246" t="s">
        <v>635</v>
      </c>
      <c r="AW275" s="242"/>
      <c r="AX275" s="242"/>
      <c r="AY275" s="231"/>
      <c r="AZ275" s="231"/>
      <c r="BA275" s="227"/>
      <c r="BB275" s="231"/>
      <c r="BC275" s="227"/>
      <c r="BD275" s="227"/>
      <c r="BE275" s="227"/>
      <c r="BF275" s="227"/>
    </row>
    <row r="276">
      <c r="A276" s="235" t="s">
        <v>2865</v>
      </c>
      <c r="C276" s="235" t="s">
        <v>2866</v>
      </c>
      <c r="D276" s="235" t="s">
        <v>2867</v>
      </c>
      <c r="E276" s="243">
        <v>6.57E13</v>
      </c>
      <c r="F276" s="244"/>
      <c r="G276" s="235" t="s">
        <v>2868</v>
      </c>
      <c r="H276" s="235" t="s">
        <v>2869</v>
      </c>
      <c r="I276" s="235" t="s">
        <v>2869</v>
      </c>
      <c r="J276" s="235" t="s">
        <v>2870</v>
      </c>
      <c r="K276" s="235" t="s">
        <v>2871</v>
      </c>
      <c r="N276" s="235" t="s">
        <v>82</v>
      </c>
      <c r="O276" s="235" t="s">
        <v>889</v>
      </c>
      <c r="P276" s="238">
        <v>1.0</v>
      </c>
      <c r="Q276" s="235" t="s">
        <v>627</v>
      </c>
      <c r="R276" s="238">
        <v>246.66</v>
      </c>
      <c r="S276" s="238">
        <v>12.34</v>
      </c>
      <c r="T276" s="238">
        <v>0.0</v>
      </c>
      <c r="U276" s="238">
        <v>0.0</v>
      </c>
      <c r="V276" s="238">
        <v>0.0</v>
      </c>
      <c r="W276" s="238">
        <v>0.0</v>
      </c>
      <c r="X276" s="235" t="s">
        <v>628</v>
      </c>
      <c r="Z276" s="244"/>
      <c r="AA276" s="244"/>
      <c r="AB276" s="244"/>
      <c r="AC276" s="235" t="s">
        <v>2873</v>
      </c>
      <c r="AD276" s="235" t="s">
        <v>845</v>
      </c>
      <c r="AE276" s="238">
        <v>444602.0</v>
      </c>
      <c r="AF276" s="235" t="s">
        <v>631</v>
      </c>
      <c r="AG276" s="244"/>
      <c r="AH276" s="244"/>
      <c r="AI276" s="245"/>
      <c r="AJ276" s="245"/>
      <c r="AK276" s="245"/>
      <c r="AL276" s="245"/>
      <c r="AM276" s="244"/>
      <c r="AN276" s="244"/>
      <c r="AO276" s="238">
        <v>0.0</v>
      </c>
      <c r="AP276" s="238">
        <v>0.0</v>
      </c>
      <c r="AQ276" s="235" t="s">
        <v>632</v>
      </c>
      <c r="AR276" s="243">
        <v>3.71E11</v>
      </c>
      <c r="AS276" s="235" t="s">
        <v>656</v>
      </c>
      <c r="AT276" s="235" t="s">
        <v>16</v>
      </c>
      <c r="AU276" s="235" t="s">
        <v>634</v>
      </c>
      <c r="AV276" s="246" t="s">
        <v>635</v>
      </c>
      <c r="AW276" s="242"/>
      <c r="AX276" s="242"/>
      <c r="AY276" s="231"/>
      <c r="AZ276" s="231"/>
      <c r="BA276" s="227"/>
      <c r="BB276" s="231"/>
      <c r="BC276" s="227"/>
      <c r="BD276" s="227"/>
      <c r="BE276" s="227"/>
      <c r="BF276" s="227"/>
    </row>
    <row r="277">
      <c r="A277" s="235" t="s">
        <v>2875</v>
      </c>
      <c r="C277" s="235" t="s">
        <v>2876</v>
      </c>
      <c r="D277" s="235" t="s">
        <v>2877</v>
      </c>
      <c r="E277" s="243">
        <v>6.57E13</v>
      </c>
      <c r="F277" s="244"/>
      <c r="G277" s="235" t="s">
        <v>2878</v>
      </c>
      <c r="H277" s="235" t="s">
        <v>2879</v>
      </c>
      <c r="I277" s="235" t="s">
        <v>2879</v>
      </c>
      <c r="J277" s="235" t="s">
        <v>2880</v>
      </c>
      <c r="K277" s="235" t="s">
        <v>2881</v>
      </c>
      <c r="N277" s="235" t="s">
        <v>962</v>
      </c>
      <c r="O277" s="235" t="s">
        <v>963</v>
      </c>
      <c r="P277" s="238">
        <v>1.0</v>
      </c>
      <c r="Q277" s="235" t="s">
        <v>627</v>
      </c>
      <c r="R277" s="238">
        <v>246.67</v>
      </c>
      <c r="S277" s="238">
        <v>12.33</v>
      </c>
      <c r="T277" s="238">
        <v>0.0</v>
      </c>
      <c r="U277" s="238">
        <v>0.0</v>
      </c>
      <c r="V277" s="238">
        <v>0.0</v>
      </c>
      <c r="W277" s="238">
        <v>0.0</v>
      </c>
      <c r="X277" s="235" t="s">
        <v>628</v>
      </c>
      <c r="Z277" s="244"/>
      <c r="AA277" s="244"/>
      <c r="AB277" s="244"/>
      <c r="AC277" s="235" t="s">
        <v>1279</v>
      </c>
      <c r="AD277" s="235" t="s">
        <v>917</v>
      </c>
      <c r="AE277" s="238">
        <v>302012.0</v>
      </c>
      <c r="AF277" s="235" t="s">
        <v>631</v>
      </c>
      <c r="AG277" s="244"/>
      <c r="AH277" s="244"/>
      <c r="AI277" s="245"/>
      <c r="AJ277" s="245"/>
      <c r="AK277" s="245"/>
      <c r="AL277" s="245"/>
      <c r="AM277" s="244"/>
      <c r="AN277" s="244"/>
      <c r="AO277" s="238">
        <v>0.0</v>
      </c>
      <c r="AP277" s="238">
        <v>0.0</v>
      </c>
      <c r="AQ277" s="235" t="s">
        <v>632</v>
      </c>
      <c r="AR277" s="243">
        <v>1.68E11</v>
      </c>
      <c r="AS277" s="235" t="s">
        <v>2276</v>
      </c>
      <c r="AT277" s="235" t="s">
        <v>14</v>
      </c>
      <c r="AU277" s="235" t="s">
        <v>634</v>
      </c>
      <c r="AV277" s="246" t="s">
        <v>635</v>
      </c>
      <c r="AW277" s="242"/>
      <c r="AX277" s="242"/>
      <c r="AY277" s="231"/>
      <c r="AZ277" s="231"/>
      <c r="BA277" s="227"/>
      <c r="BB277" s="231"/>
      <c r="BC277" s="227"/>
      <c r="BD277" s="227"/>
      <c r="BE277" s="227"/>
      <c r="BF277" s="227"/>
    </row>
    <row r="278">
      <c r="A278" s="235" t="s">
        <v>2883</v>
      </c>
      <c r="C278" s="235" t="s">
        <v>2884</v>
      </c>
      <c r="D278" s="235" t="s">
        <v>2885</v>
      </c>
      <c r="E278" s="243">
        <v>6.57E13</v>
      </c>
      <c r="F278" s="244"/>
      <c r="G278" s="235" t="s">
        <v>2886</v>
      </c>
      <c r="H278" s="235" t="s">
        <v>2887</v>
      </c>
      <c r="I278" s="235" t="s">
        <v>2888</v>
      </c>
      <c r="J278" s="235" t="s">
        <v>2889</v>
      </c>
      <c r="K278" s="235" t="s">
        <v>2890</v>
      </c>
      <c r="N278" s="235" t="s">
        <v>842</v>
      </c>
      <c r="O278" s="235" t="s">
        <v>843</v>
      </c>
      <c r="P278" s="238">
        <v>1.0</v>
      </c>
      <c r="Q278" s="235" t="s">
        <v>627</v>
      </c>
      <c r="R278" s="238">
        <v>246.66</v>
      </c>
      <c r="S278" s="238">
        <v>12.34</v>
      </c>
      <c r="T278" s="238">
        <v>0.0</v>
      </c>
      <c r="U278" s="238">
        <v>0.0</v>
      </c>
      <c r="V278" s="238">
        <v>0.0</v>
      </c>
      <c r="W278" s="238">
        <v>0.0</v>
      </c>
      <c r="X278" s="235" t="s">
        <v>628</v>
      </c>
      <c r="Z278" s="244"/>
      <c r="AA278" s="244"/>
      <c r="AB278" s="244"/>
      <c r="AC278" s="235" t="s">
        <v>687</v>
      </c>
      <c r="AD278" s="235" t="s">
        <v>666</v>
      </c>
      <c r="AE278" s="238">
        <v>600060.0</v>
      </c>
      <c r="AF278" s="235" t="s">
        <v>631</v>
      </c>
      <c r="AG278" s="244"/>
      <c r="AH278" s="244"/>
      <c r="AI278" s="245"/>
      <c r="AJ278" s="245"/>
      <c r="AK278" s="245"/>
      <c r="AL278" s="245"/>
      <c r="AM278" s="244"/>
      <c r="AN278" s="244"/>
      <c r="AO278" s="238">
        <v>0.0</v>
      </c>
      <c r="AP278" s="238">
        <v>0.0</v>
      </c>
      <c r="AQ278" s="235" t="s">
        <v>632</v>
      </c>
      <c r="AR278" s="243">
        <v>1.68E11</v>
      </c>
      <c r="AS278" s="235" t="s">
        <v>2717</v>
      </c>
      <c r="AT278" s="235" t="s">
        <v>156</v>
      </c>
      <c r="AU278" s="235" t="s">
        <v>634</v>
      </c>
      <c r="AV278" s="246" t="s">
        <v>635</v>
      </c>
      <c r="AW278" s="242"/>
      <c r="AX278" s="242"/>
      <c r="AY278" s="231"/>
      <c r="AZ278" s="231"/>
      <c r="BA278" s="227"/>
      <c r="BB278" s="231"/>
      <c r="BC278" s="227"/>
      <c r="BD278" s="227"/>
      <c r="BE278" s="227"/>
      <c r="BF278" s="227"/>
    </row>
    <row r="279">
      <c r="A279" s="235" t="s">
        <v>2891</v>
      </c>
      <c r="C279" s="235" t="s">
        <v>2892</v>
      </c>
      <c r="D279" s="235" t="s">
        <v>2893</v>
      </c>
      <c r="E279" s="243">
        <v>6.57E13</v>
      </c>
      <c r="F279" s="244"/>
      <c r="G279" s="235" t="s">
        <v>2894</v>
      </c>
      <c r="H279" s="235" t="s">
        <v>2895</v>
      </c>
      <c r="I279" s="235" t="s">
        <v>2895</v>
      </c>
      <c r="J279" s="235" t="s">
        <v>2896</v>
      </c>
      <c r="K279" s="235" t="s">
        <v>2897</v>
      </c>
      <c r="N279" s="235" t="s">
        <v>41</v>
      </c>
      <c r="O279" s="235" t="s">
        <v>291</v>
      </c>
      <c r="P279" s="238">
        <v>1.0</v>
      </c>
      <c r="Q279" s="235" t="s">
        <v>627</v>
      </c>
      <c r="R279" s="238">
        <v>237.14</v>
      </c>
      <c r="S279" s="238">
        <v>11.86</v>
      </c>
      <c r="T279" s="238">
        <v>0.0</v>
      </c>
      <c r="U279" s="238">
        <v>0.0</v>
      </c>
      <c r="V279" s="238">
        <v>0.0</v>
      </c>
      <c r="W279" s="238">
        <v>0.0</v>
      </c>
      <c r="X279" s="235" t="s">
        <v>628</v>
      </c>
      <c r="Z279" s="244"/>
      <c r="AA279" s="244"/>
      <c r="AB279" s="244"/>
      <c r="AC279" s="235" t="s">
        <v>678</v>
      </c>
      <c r="AD279" s="235" t="s">
        <v>679</v>
      </c>
      <c r="AE279" s="238">
        <v>560095.0</v>
      </c>
      <c r="AF279" s="235" t="s">
        <v>631</v>
      </c>
      <c r="AG279" s="244"/>
      <c r="AH279" s="244"/>
      <c r="AI279" s="245"/>
      <c r="AJ279" s="245"/>
      <c r="AK279" s="245"/>
      <c r="AL279" s="245"/>
      <c r="AM279" s="244"/>
      <c r="AN279" s="244"/>
      <c r="AO279" s="238">
        <v>0.0</v>
      </c>
      <c r="AP279" s="238">
        <v>0.0</v>
      </c>
      <c r="AQ279" s="235" t="s">
        <v>632</v>
      </c>
      <c r="AR279" s="243">
        <v>3.71E11</v>
      </c>
      <c r="AS279" s="235" t="s">
        <v>2276</v>
      </c>
      <c r="AT279" s="235" t="s">
        <v>11</v>
      </c>
      <c r="AU279" s="235" t="s">
        <v>634</v>
      </c>
      <c r="AV279" s="246" t="s">
        <v>635</v>
      </c>
      <c r="AW279" s="242"/>
      <c r="AX279" s="242"/>
      <c r="AY279" s="231"/>
      <c r="AZ279" s="231"/>
      <c r="BA279" s="227"/>
      <c r="BB279" s="231"/>
      <c r="BC279" s="227"/>
      <c r="BD279" s="227"/>
      <c r="BE279" s="227"/>
      <c r="BF279" s="227"/>
    </row>
    <row r="280">
      <c r="A280" s="235" t="s">
        <v>2898</v>
      </c>
      <c r="C280" s="235" t="s">
        <v>2899</v>
      </c>
      <c r="D280" s="235" t="s">
        <v>2900</v>
      </c>
      <c r="E280" s="243">
        <v>6.56E13</v>
      </c>
      <c r="F280" s="244"/>
      <c r="G280" s="235" t="s">
        <v>2901</v>
      </c>
      <c r="H280" s="235" t="s">
        <v>2902</v>
      </c>
      <c r="I280" s="235" t="s">
        <v>2902</v>
      </c>
      <c r="J280" s="235" t="s">
        <v>2903</v>
      </c>
      <c r="K280" s="235" t="s">
        <v>2904</v>
      </c>
      <c r="N280" s="235" t="s">
        <v>127</v>
      </c>
      <c r="O280" s="235" t="s">
        <v>794</v>
      </c>
      <c r="P280" s="238">
        <v>1.0</v>
      </c>
      <c r="Q280" s="235" t="s">
        <v>627</v>
      </c>
      <c r="R280" s="238">
        <v>246.67</v>
      </c>
      <c r="S280" s="238">
        <v>12.33</v>
      </c>
      <c r="T280" s="238">
        <v>0.0</v>
      </c>
      <c r="U280" s="238">
        <v>0.0</v>
      </c>
      <c r="V280" s="238">
        <v>0.0</v>
      </c>
      <c r="W280" s="238">
        <v>0.0</v>
      </c>
      <c r="X280" s="235" t="s">
        <v>628</v>
      </c>
      <c r="Z280" s="244"/>
      <c r="AA280" s="244"/>
      <c r="AB280" s="244"/>
      <c r="AC280" s="235" t="s">
        <v>2905</v>
      </c>
      <c r="AD280" s="235" t="s">
        <v>908</v>
      </c>
      <c r="AE280" s="238">
        <v>249403.0</v>
      </c>
      <c r="AF280" s="235" t="s">
        <v>631</v>
      </c>
      <c r="AG280" s="244"/>
      <c r="AH280" s="244"/>
      <c r="AI280" s="245"/>
      <c r="AJ280" s="245"/>
      <c r="AK280" s="245"/>
      <c r="AL280" s="245"/>
      <c r="AM280" s="244"/>
      <c r="AN280" s="244"/>
      <c r="AO280" s="238">
        <v>0.0</v>
      </c>
      <c r="AP280" s="238">
        <v>0.0</v>
      </c>
      <c r="AQ280" s="235" t="s">
        <v>632</v>
      </c>
      <c r="AR280" s="243">
        <v>1.68E11</v>
      </c>
      <c r="AS280" s="235" t="s">
        <v>1367</v>
      </c>
      <c r="AT280" s="235" t="s">
        <v>533</v>
      </c>
      <c r="AU280" s="235" t="s">
        <v>634</v>
      </c>
      <c r="AV280" s="246" t="s">
        <v>635</v>
      </c>
      <c r="AW280" s="242"/>
      <c r="AX280" s="242"/>
      <c r="AY280" s="231"/>
      <c r="AZ280" s="231"/>
      <c r="BA280" s="227"/>
      <c r="BB280" s="231"/>
      <c r="BC280" s="227"/>
      <c r="BD280" s="227"/>
      <c r="BE280" s="227"/>
      <c r="BF280" s="227"/>
    </row>
    <row r="281">
      <c r="A281" s="235" t="s">
        <v>2906</v>
      </c>
      <c r="C281" s="235" t="s">
        <v>2907</v>
      </c>
      <c r="D281" s="235" t="s">
        <v>2908</v>
      </c>
      <c r="E281" s="243">
        <v>6.57E13</v>
      </c>
      <c r="F281" s="244"/>
      <c r="G281" s="235" t="s">
        <v>2909</v>
      </c>
      <c r="H281" s="235" t="s">
        <v>2910</v>
      </c>
      <c r="I281" s="235" t="s">
        <v>2910</v>
      </c>
      <c r="J281" s="235" t="s">
        <v>2911</v>
      </c>
      <c r="K281" s="235" t="s">
        <v>2912</v>
      </c>
      <c r="N281" s="235" t="s">
        <v>726</v>
      </c>
      <c r="O281" s="235" t="s">
        <v>727</v>
      </c>
      <c r="P281" s="238">
        <v>1.0</v>
      </c>
      <c r="Q281" s="235" t="s">
        <v>627</v>
      </c>
      <c r="R281" s="238">
        <v>246.66</v>
      </c>
      <c r="S281" s="238">
        <v>12.34</v>
      </c>
      <c r="T281" s="238">
        <v>18.1</v>
      </c>
      <c r="U281" s="238">
        <v>0.9</v>
      </c>
      <c r="V281" s="238">
        <v>0.0</v>
      </c>
      <c r="W281" s="238">
        <v>0.0</v>
      </c>
      <c r="X281" s="235" t="s">
        <v>628</v>
      </c>
      <c r="Z281" s="244"/>
      <c r="AA281" s="244"/>
      <c r="AB281" s="244"/>
      <c r="AC281" s="235" t="s">
        <v>1604</v>
      </c>
      <c r="AD281" s="235" t="s">
        <v>845</v>
      </c>
      <c r="AE281" s="238">
        <v>400080.0</v>
      </c>
      <c r="AF281" s="235" t="s">
        <v>631</v>
      </c>
      <c r="AG281" s="244"/>
      <c r="AH281" s="244"/>
      <c r="AI281" s="245"/>
      <c r="AJ281" s="245"/>
      <c r="AK281" s="245"/>
      <c r="AL281" s="245"/>
      <c r="AM281" s="244"/>
      <c r="AN281" s="244"/>
      <c r="AO281" s="238">
        <v>0.0</v>
      </c>
      <c r="AP281" s="238">
        <v>-18.1</v>
      </c>
      <c r="AQ281" s="235" t="s">
        <v>632</v>
      </c>
      <c r="AR281" s="243">
        <v>1.68E11</v>
      </c>
      <c r="AS281" s="235" t="s">
        <v>2717</v>
      </c>
      <c r="AT281" s="235" t="s">
        <v>17</v>
      </c>
      <c r="AU281" s="235" t="s">
        <v>634</v>
      </c>
      <c r="AV281" s="246" t="s">
        <v>635</v>
      </c>
      <c r="AW281" s="242"/>
      <c r="AX281" s="242"/>
      <c r="AY281" s="231"/>
      <c r="AZ281" s="231"/>
      <c r="BA281" s="227"/>
      <c r="BB281" s="231"/>
      <c r="BC281" s="227"/>
      <c r="BD281" s="227"/>
      <c r="BE281" s="227"/>
      <c r="BF281" s="227"/>
    </row>
    <row r="282">
      <c r="A282" s="235" t="s">
        <v>2913</v>
      </c>
      <c r="C282" s="235" t="s">
        <v>2914</v>
      </c>
      <c r="D282" s="235" t="s">
        <v>2915</v>
      </c>
      <c r="E282" s="243">
        <v>6.56E13</v>
      </c>
      <c r="F282" s="244"/>
      <c r="G282" s="235" t="s">
        <v>2916</v>
      </c>
      <c r="H282" s="235" t="s">
        <v>2917</v>
      </c>
      <c r="I282" s="235" t="s">
        <v>2917</v>
      </c>
      <c r="J282" s="235" t="s">
        <v>2918</v>
      </c>
      <c r="K282" s="235" t="s">
        <v>2919</v>
      </c>
      <c r="N282" s="235" t="s">
        <v>1346</v>
      </c>
      <c r="O282" s="235" t="s">
        <v>1347</v>
      </c>
      <c r="P282" s="238">
        <v>1.0</v>
      </c>
      <c r="Q282" s="235" t="s">
        <v>627</v>
      </c>
      <c r="R282" s="238">
        <v>256.19</v>
      </c>
      <c r="S282" s="238">
        <v>12.81</v>
      </c>
      <c r="T282" s="238">
        <v>0.0</v>
      </c>
      <c r="U282" s="238">
        <v>0.0</v>
      </c>
      <c r="V282" s="238">
        <v>0.0</v>
      </c>
      <c r="W282" s="238">
        <v>0.0</v>
      </c>
      <c r="X282" s="235" t="s">
        <v>628</v>
      </c>
      <c r="Z282" s="244"/>
      <c r="AA282" s="244"/>
      <c r="AB282" s="244"/>
      <c r="AC282" s="235" t="s">
        <v>1058</v>
      </c>
      <c r="AD282" s="235" t="s">
        <v>845</v>
      </c>
      <c r="AE282" s="238">
        <v>400019.0</v>
      </c>
      <c r="AF282" s="235" t="s">
        <v>631</v>
      </c>
      <c r="AG282" s="244"/>
      <c r="AH282" s="244"/>
      <c r="AI282" s="245"/>
      <c r="AJ282" s="245"/>
      <c r="AK282" s="245"/>
      <c r="AL282" s="245"/>
      <c r="AM282" s="244"/>
      <c r="AN282" s="244"/>
      <c r="AO282" s="238">
        <v>0.0</v>
      </c>
      <c r="AP282" s="238">
        <v>0.0</v>
      </c>
      <c r="AQ282" s="235" t="s">
        <v>632</v>
      </c>
      <c r="AR282" s="243">
        <v>3.71E11</v>
      </c>
      <c r="AS282" s="235" t="s">
        <v>656</v>
      </c>
      <c r="AT282" s="235" t="s">
        <v>14</v>
      </c>
      <c r="AU282" s="235" t="s">
        <v>634</v>
      </c>
      <c r="AV282" s="246" t="s">
        <v>635</v>
      </c>
      <c r="AW282" s="242"/>
      <c r="AX282" s="242"/>
      <c r="AY282" s="231"/>
      <c r="AZ282" s="231"/>
      <c r="BA282" s="227"/>
      <c r="BB282" s="231"/>
      <c r="BC282" s="227"/>
      <c r="BD282" s="227"/>
      <c r="BE282" s="227"/>
      <c r="BF282" s="227"/>
    </row>
    <row r="283">
      <c r="A283" s="235" t="s">
        <v>2920</v>
      </c>
      <c r="C283" s="235" t="s">
        <v>2921</v>
      </c>
      <c r="D283" s="235" t="s">
        <v>2922</v>
      </c>
      <c r="E283" s="243">
        <v>6.57E13</v>
      </c>
      <c r="F283" s="244"/>
      <c r="G283" s="235" t="s">
        <v>2923</v>
      </c>
      <c r="H283" s="235" t="s">
        <v>2924</v>
      </c>
      <c r="I283" s="235" t="s">
        <v>2924</v>
      </c>
      <c r="J283" s="235" t="s">
        <v>2925</v>
      </c>
      <c r="K283" s="235" t="s">
        <v>2926</v>
      </c>
      <c r="N283" s="235" t="s">
        <v>42</v>
      </c>
      <c r="O283" s="235" t="s">
        <v>204</v>
      </c>
      <c r="P283" s="238">
        <v>1.0</v>
      </c>
      <c r="Q283" s="235" t="s">
        <v>627</v>
      </c>
      <c r="R283" s="238">
        <v>237.14</v>
      </c>
      <c r="S283" s="238">
        <v>11.86</v>
      </c>
      <c r="T283" s="238">
        <v>9.04</v>
      </c>
      <c r="U283" s="238">
        <v>0.46</v>
      </c>
      <c r="V283" s="238">
        <v>0.0</v>
      </c>
      <c r="W283" s="238">
        <v>0.0</v>
      </c>
      <c r="X283" s="235" t="s">
        <v>628</v>
      </c>
      <c r="Z283" s="244"/>
      <c r="AA283" s="244"/>
      <c r="AB283" s="244"/>
      <c r="AC283" s="235" t="s">
        <v>678</v>
      </c>
      <c r="AD283" s="235" t="s">
        <v>679</v>
      </c>
      <c r="AE283" s="238">
        <v>560097.0</v>
      </c>
      <c r="AF283" s="235" t="s">
        <v>631</v>
      </c>
      <c r="AG283" s="244"/>
      <c r="AH283" s="244"/>
      <c r="AI283" s="245"/>
      <c r="AJ283" s="245"/>
      <c r="AK283" s="245"/>
      <c r="AL283" s="245"/>
      <c r="AM283" s="244"/>
      <c r="AN283" s="244"/>
      <c r="AO283" s="238">
        <v>0.0</v>
      </c>
      <c r="AP283" s="238">
        <v>-9.04</v>
      </c>
      <c r="AQ283" s="235" t="s">
        <v>632</v>
      </c>
      <c r="AR283" s="243">
        <v>1.68E11</v>
      </c>
      <c r="AS283" s="235" t="s">
        <v>2717</v>
      </c>
      <c r="AT283" s="235" t="s">
        <v>11</v>
      </c>
      <c r="AU283" s="235" t="s">
        <v>634</v>
      </c>
      <c r="AV283" s="246" t="s">
        <v>635</v>
      </c>
      <c r="AW283" s="242"/>
      <c r="AX283" s="242"/>
      <c r="AY283" s="231"/>
      <c r="AZ283" s="231"/>
      <c r="BA283" s="227"/>
      <c r="BB283" s="231"/>
      <c r="BC283" s="227"/>
      <c r="BD283" s="227"/>
      <c r="BE283" s="227"/>
      <c r="BF283" s="227"/>
    </row>
    <row r="284">
      <c r="A284" s="235" t="s">
        <v>2928</v>
      </c>
      <c r="C284" s="235" t="s">
        <v>2929</v>
      </c>
      <c r="D284" s="235" t="s">
        <v>2930</v>
      </c>
      <c r="E284" s="243">
        <v>6.57E13</v>
      </c>
      <c r="F284" s="244"/>
      <c r="G284" s="235" t="s">
        <v>2931</v>
      </c>
      <c r="H284" s="235" t="s">
        <v>2932</v>
      </c>
      <c r="I284" s="235" t="s">
        <v>2932</v>
      </c>
      <c r="J284" s="235" t="s">
        <v>2933</v>
      </c>
      <c r="K284" s="235" t="s">
        <v>2934</v>
      </c>
      <c r="N284" s="235" t="s">
        <v>43</v>
      </c>
      <c r="O284" s="235" t="s">
        <v>276</v>
      </c>
      <c r="P284" s="238">
        <v>1.0</v>
      </c>
      <c r="Q284" s="235" t="s">
        <v>627</v>
      </c>
      <c r="R284" s="238">
        <v>237.14</v>
      </c>
      <c r="S284" s="238">
        <v>11.86</v>
      </c>
      <c r="T284" s="238">
        <v>0.0</v>
      </c>
      <c r="U284" s="238">
        <v>0.0</v>
      </c>
      <c r="V284" s="238">
        <v>0.0</v>
      </c>
      <c r="W284" s="238">
        <v>0.0</v>
      </c>
      <c r="X284" s="235" t="s">
        <v>628</v>
      </c>
      <c r="Z284" s="244"/>
      <c r="AA284" s="244"/>
      <c r="AB284" s="244"/>
      <c r="AC284" s="235" t="s">
        <v>844</v>
      </c>
      <c r="AD284" s="235" t="s">
        <v>845</v>
      </c>
      <c r="AE284" s="238">
        <v>411014.0</v>
      </c>
      <c r="AF284" s="235" t="s">
        <v>631</v>
      </c>
      <c r="AG284" s="244"/>
      <c r="AH284" s="244"/>
      <c r="AI284" s="245"/>
      <c r="AJ284" s="245"/>
      <c r="AK284" s="245"/>
      <c r="AL284" s="245"/>
      <c r="AM284" s="244"/>
      <c r="AN284" s="244"/>
      <c r="AO284" s="238">
        <v>0.0</v>
      </c>
      <c r="AP284" s="238">
        <v>0.0</v>
      </c>
      <c r="AQ284" s="235" t="s">
        <v>632</v>
      </c>
      <c r="AR284" s="243">
        <v>3.71E11</v>
      </c>
      <c r="AS284" s="235" t="s">
        <v>2276</v>
      </c>
      <c r="AT284" s="235" t="s">
        <v>546</v>
      </c>
      <c r="AU284" s="235" t="s">
        <v>634</v>
      </c>
      <c r="AV284" s="246" t="s">
        <v>635</v>
      </c>
      <c r="AW284" s="242"/>
      <c r="AX284" s="242"/>
      <c r="AY284" s="231"/>
      <c r="AZ284" s="231"/>
      <c r="BA284" s="227"/>
      <c r="BB284" s="231"/>
      <c r="BC284" s="227"/>
      <c r="BD284" s="227"/>
      <c r="BE284" s="227"/>
      <c r="BF284" s="227"/>
    </row>
    <row r="285">
      <c r="A285" s="235" t="s">
        <v>2935</v>
      </c>
      <c r="C285" s="235" t="s">
        <v>2936</v>
      </c>
      <c r="D285" s="235" t="s">
        <v>2937</v>
      </c>
      <c r="E285" s="243">
        <v>6.57E13</v>
      </c>
      <c r="F285" s="244"/>
      <c r="G285" s="235" t="s">
        <v>2938</v>
      </c>
      <c r="H285" s="235" t="s">
        <v>2939</v>
      </c>
      <c r="I285" s="235" t="s">
        <v>2940</v>
      </c>
      <c r="J285" s="235" t="s">
        <v>2941</v>
      </c>
      <c r="K285" s="235" t="s">
        <v>2942</v>
      </c>
      <c r="N285" s="235" t="s">
        <v>71</v>
      </c>
      <c r="O285" s="235" t="s">
        <v>240</v>
      </c>
      <c r="P285" s="238">
        <v>1.0</v>
      </c>
      <c r="Q285" s="235" t="s">
        <v>627</v>
      </c>
      <c r="R285" s="238">
        <v>246.66</v>
      </c>
      <c r="S285" s="238">
        <v>12.34</v>
      </c>
      <c r="T285" s="238">
        <v>0.0</v>
      </c>
      <c r="U285" s="238">
        <v>0.0</v>
      </c>
      <c r="V285" s="238">
        <v>0.0</v>
      </c>
      <c r="W285" s="238">
        <v>0.0</v>
      </c>
      <c r="X285" s="235" t="s">
        <v>628</v>
      </c>
      <c r="Z285" s="244"/>
      <c r="AA285" s="244"/>
      <c r="AB285" s="244"/>
      <c r="AC285" s="235" t="s">
        <v>1456</v>
      </c>
      <c r="AD285" s="235" t="s">
        <v>928</v>
      </c>
      <c r="AE285" s="238">
        <v>122004.0</v>
      </c>
      <c r="AF285" s="235" t="s">
        <v>631</v>
      </c>
      <c r="AG285" s="244"/>
      <c r="AH285" s="244"/>
      <c r="AI285" s="245"/>
      <c r="AJ285" s="245"/>
      <c r="AK285" s="245"/>
      <c r="AL285" s="245"/>
      <c r="AM285" s="244"/>
      <c r="AN285" s="244"/>
      <c r="AO285" s="238">
        <v>0.0</v>
      </c>
      <c r="AP285" s="238">
        <v>0.0</v>
      </c>
      <c r="AQ285" s="235" t="s">
        <v>632</v>
      </c>
      <c r="AR285" s="243">
        <v>1.68E11</v>
      </c>
      <c r="AS285" s="235" t="s">
        <v>2717</v>
      </c>
      <c r="AT285" s="235" t="s">
        <v>13</v>
      </c>
      <c r="AU285" s="235" t="s">
        <v>634</v>
      </c>
      <c r="AV285" s="246" t="s">
        <v>635</v>
      </c>
      <c r="AW285" s="242"/>
      <c r="AX285" s="242"/>
      <c r="AY285" s="231"/>
      <c r="AZ285" s="231"/>
      <c r="BA285" s="227"/>
      <c r="BB285" s="231"/>
      <c r="BC285" s="227"/>
      <c r="BD285" s="227"/>
      <c r="BE285" s="227"/>
      <c r="BF285" s="227"/>
    </row>
    <row r="286">
      <c r="A286" s="235" t="s">
        <v>2943</v>
      </c>
      <c r="C286" s="235" t="s">
        <v>2944</v>
      </c>
      <c r="D286" s="235" t="s">
        <v>2945</v>
      </c>
      <c r="E286" s="243">
        <v>6.57E13</v>
      </c>
      <c r="F286" s="244"/>
      <c r="G286" s="235" t="s">
        <v>2946</v>
      </c>
      <c r="H286" s="235" t="s">
        <v>2947</v>
      </c>
      <c r="I286" s="235" t="s">
        <v>2947</v>
      </c>
      <c r="J286" s="235" t="s">
        <v>2948</v>
      </c>
      <c r="K286" s="235" t="s">
        <v>2949</v>
      </c>
      <c r="N286" s="235" t="s">
        <v>54</v>
      </c>
      <c r="O286" s="235" t="s">
        <v>294</v>
      </c>
      <c r="P286" s="238">
        <v>1.0</v>
      </c>
      <c r="Q286" s="235" t="s">
        <v>627</v>
      </c>
      <c r="R286" s="238">
        <v>246.67</v>
      </c>
      <c r="S286" s="238">
        <v>12.33</v>
      </c>
      <c r="T286" s="238">
        <v>0.0</v>
      </c>
      <c r="U286" s="238">
        <v>0.0</v>
      </c>
      <c r="V286" s="238">
        <v>0.0</v>
      </c>
      <c r="W286" s="238">
        <v>0.0</v>
      </c>
      <c r="X286" s="235" t="s">
        <v>628</v>
      </c>
      <c r="Z286" s="244"/>
      <c r="AA286" s="244"/>
      <c r="AB286" s="244"/>
      <c r="AC286" s="235" t="s">
        <v>1475</v>
      </c>
      <c r="AD286" s="235" t="s">
        <v>796</v>
      </c>
      <c r="AE286" s="238">
        <v>110077.0</v>
      </c>
      <c r="AF286" s="235" t="s">
        <v>631</v>
      </c>
      <c r="AG286" s="244"/>
      <c r="AH286" s="244"/>
      <c r="AI286" s="245"/>
      <c r="AJ286" s="245"/>
      <c r="AK286" s="245"/>
      <c r="AL286" s="245"/>
      <c r="AM286" s="244"/>
      <c r="AN286" s="244"/>
      <c r="AO286" s="238">
        <v>0.0</v>
      </c>
      <c r="AP286" s="238">
        <v>0.0</v>
      </c>
      <c r="AQ286" s="235" t="s">
        <v>632</v>
      </c>
      <c r="AR286" s="243">
        <v>1.68E11</v>
      </c>
      <c r="AS286" s="235" t="s">
        <v>2717</v>
      </c>
      <c r="AT286" s="235" t="s">
        <v>13</v>
      </c>
      <c r="AU286" s="235" t="s">
        <v>634</v>
      </c>
      <c r="AV286" s="246" t="s">
        <v>635</v>
      </c>
      <c r="AW286" s="242"/>
      <c r="AX286" s="242"/>
      <c r="AY286" s="231"/>
      <c r="AZ286" s="231"/>
      <c r="BA286" s="227"/>
      <c r="BB286" s="231"/>
      <c r="BC286" s="227"/>
      <c r="BD286" s="227"/>
      <c r="BE286" s="227"/>
      <c r="BF286" s="227"/>
    </row>
    <row r="287">
      <c r="A287" s="235" t="s">
        <v>2950</v>
      </c>
      <c r="C287" s="235" t="s">
        <v>2951</v>
      </c>
      <c r="D287" s="235" t="s">
        <v>2952</v>
      </c>
      <c r="E287" s="243">
        <v>6.57E13</v>
      </c>
      <c r="F287" s="244"/>
      <c r="G287" s="235" t="s">
        <v>2953</v>
      </c>
      <c r="H287" s="235" t="s">
        <v>2954</v>
      </c>
      <c r="I287" s="235" t="s">
        <v>2954</v>
      </c>
      <c r="J287" s="235" t="s">
        <v>2955</v>
      </c>
      <c r="K287" s="235" t="s">
        <v>2956</v>
      </c>
      <c r="N287" s="235" t="s">
        <v>42</v>
      </c>
      <c r="O287" s="235" t="s">
        <v>204</v>
      </c>
      <c r="P287" s="238">
        <v>1.0</v>
      </c>
      <c r="Q287" s="235" t="s">
        <v>627</v>
      </c>
      <c r="R287" s="238">
        <v>237.14</v>
      </c>
      <c r="S287" s="238">
        <v>11.62</v>
      </c>
      <c r="T287" s="238">
        <v>18.1</v>
      </c>
      <c r="U287" s="238">
        <v>0.9</v>
      </c>
      <c r="V287" s="238">
        <v>0.0</v>
      </c>
      <c r="W287" s="238">
        <v>0.0</v>
      </c>
      <c r="X287" s="235" t="s">
        <v>628</v>
      </c>
      <c r="Z287" s="244"/>
      <c r="AA287" s="244"/>
      <c r="AB287" s="244"/>
      <c r="AC287" s="235" t="s">
        <v>775</v>
      </c>
      <c r="AD287" s="235" t="s">
        <v>679</v>
      </c>
      <c r="AE287" s="238">
        <v>560100.0</v>
      </c>
      <c r="AF287" s="235" t="s">
        <v>631</v>
      </c>
      <c r="AG287" s="244"/>
      <c r="AH287" s="244"/>
      <c r="AI287" s="245"/>
      <c r="AJ287" s="245"/>
      <c r="AK287" s="245"/>
      <c r="AL287" s="245"/>
      <c r="AM287" s="244"/>
      <c r="AN287" s="244"/>
      <c r="AO287" s="238">
        <v>-4.74</v>
      </c>
      <c r="AP287" s="238">
        <v>-18.1</v>
      </c>
      <c r="AQ287" s="235" t="s">
        <v>632</v>
      </c>
      <c r="AR287" s="243">
        <v>1.68E11</v>
      </c>
      <c r="AS287" s="235" t="s">
        <v>2717</v>
      </c>
      <c r="AT287" s="235" t="s">
        <v>11</v>
      </c>
      <c r="AU287" s="235" t="s">
        <v>634</v>
      </c>
      <c r="AV287" s="246" t="s">
        <v>635</v>
      </c>
      <c r="AW287" s="242"/>
      <c r="AX287" s="242"/>
      <c r="AY287" s="231"/>
      <c r="AZ287" s="231"/>
      <c r="BA287" s="227"/>
      <c r="BB287" s="231"/>
      <c r="BC287" s="227"/>
      <c r="BD287" s="227"/>
      <c r="BE287" s="227"/>
      <c r="BF287" s="227"/>
    </row>
    <row r="288">
      <c r="A288" s="235" t="s">
        <v>2957</v>
      </c>
      <c r="C288" s="235" t="s">
        <v>2958</v>
      </c>
      <c r="D288" s="235" t="s">
        <v>2959</v>
      </c>
      <c r="E288" s="243">
        <v>6.57E13</v>
      </c>
      <c r="F288" s="244"/>
      <c r="G288" s="235" t="s">
        <v>2960</v>
      </c>
      <c r="H288" s="235" t="s">
        <v>2961</v>
      </c>
      <c r="I288" s="235" t="s">
        <v>2961</v>
      </c>
      <c r="J288" s="235" t="s">
        <v>2962</v>
      </c>
      <c r="K288" s="235" t="s">
        <v>2963</v>
      </c>
      <c r="N288" s="235" t="s">
        <v>2964</v>
      </c>
      <c r="O288" s="235" t="s">
        <v>2965</v>
      </c>
      <c r="P288" s="238">
        <v>1.0</v>
      </c>
      <c r="Q288" s="235" t="s">
        <v>627</v>
      </c>
      <c r="R288" s="238">
        <v>246.67</v>
      </c>
      <c r="S288" s="238">
        <v>11.96</v>
      </c>
      <c r="T288" s="238">
        <v>0.0</v>
      </c>
      <c r="U288" s="238">
        <v>0.0</v>
      </c>
      <c r="V288" s="238">
        <v>0.0</v>
      </c>
      <c r="W288" s="238">
        <v>0.0</v>
      </c>
      <c r="X288" s="235" t="s">
        <v>628</v>
      </c>
      <c r="Z288" s="244"/>
      <c r="AA288" s="244"/>
      <c r="AB288" s="244"/>
      <c r="AC288" s="235" t="s">
        <v>2236</v>
      </c>
      <c r="AD288" s="235" t="s">
        <v>666</v>
      </c>
      <c r="AE288" s="238">
        <v>641048.0</v>
      </c>
      <c r="AF288" s="235" t="s">
        <v>631</v>
      </c>
      <c r="AG288" s="244"/>
      <c r="AH288" s="244"/>
      <c r="AI288" s="245"/>
      <c r="AJ288" s="245"/>
      <c r="AK288" s="245"/>
      <c r="AL288" s="245"/>
      <c r="AM288" s="244"/>
      <c r="AN288" s="244"/>
      <c r="AO288" s="238">
        <v>-7.4</v>
      </c>
      <c r="AP288" s="238">
        <v>0.0</v>
      </c>
      <c r="AQ288" s="235" t="s">
        <v>632</v>
      </c>
      <c r="AR288" s="243">
        <v>3.71E11</v>
      </c>
      <c r="AS288" s="235" t="s">
        <v>656</v>
      </c>
      <c r="AT288" s="235" t="s">
        <v>17</v>
      </c>
      <c r="AU288" s="235" t="s">
        <v>634</v>
      </c>
      <c r="AV288" s="246" t="s">
        <v>635</v>
      </c>
      <c r="AW288" s="242"/>
      <c r="AX288" s="242"/>
      <c r="AY288" s="231"/>
      <c r="AZ288" s="231"/>
      <c r="BA288" s="227"/>
      <c r="BB288" s="231"/>
      <c r="BC288" s="227"/>
      <c r="BD288" s="227"/>
      <c r="BE288" s="227"/>
      <c r="BF288" s="227"/>
    </row>
    <row r="289">
      <c r="A289" s="235" t="s">
        <v>2966</v>
      </c>
      <c r="C289" s="235" t="s">
        <v>2967</v>
      </c>
      <c r="D289" s="235" t="s">
        <v>2968</v>
      </c>
      <c r="E289" s="243">
        <v>6.57E13</v>
      </c>
      <c r="F289" s="244"/>
      <c r="G289" s="235" t="s">
        <v>2969</v>
      </c>
      <c r="H289" s="235" t="s">
        <v>2970</v>
      </c>
      <c r="I289" s="235" t="s">
        <v>2970</v>
      </c>
      <c r="J289" s="235" t="s">
        <v>2971</v>
      </c>
      <c r="K289" s="235" t="s">
        <v>2972</v>
      </c>
      <c r="N289" s="235" t="s">
        <v>127</v>
      </c>
      <c r="O289" s="235" t="s">
        <v>794</v>
      </c>
      <c r="P289" s="238">
        <v>1.0</v>
      </c>
      <c r="Q289" s="235" t="s">
        <v>627</v>
      </c>
      <c r="R289" s="238">
        <v>246.66</v>
      </c>
      <c r="S289" s="238">
        <v>12.34</v>
      </c>
      <c r="T289" s="238">
        <v>0.0</v>
      </c>
      <c r="U289" s="238">
        <v>0.0</v>
      </c>
      <c r="V289" s="238">
        <v>0.0</v>
      </c>
      <c r="W289" s="238">
        <v>0.0</v>
      </c>
      <c r="X289" s="235" t="s">
        <v>628</v>
      </c>
      <c r="Z289" s="244"/>
      <c r="AA289" s="244"/>
      <c r="AB289" s="244"/>
      <c r="AC289" s="235" t="s">
        <v>1961</v>
      </c>
      <c r="AD289" s="235" t="s">
        <v>845</v>
      </c>
      <c r="AE289" s="238">
        <v>411027.0</v>
      </c>
      <c r="AF289" s="235" t="s">
        <v>631</v>
      </c>
      <c r="AG289" s="244"/>
      <c r="AH289" s="244"/>
      <c r="AI289" s="245"/>
      <c r="AJ289" s="245"/>
      <c r="AK289" s="245"/>
      <c r="AL289" s="245"/>
      <c r="AM289" s="244"/>
      <c r="AN289" s="244"/>
      <c r="AO289" s="238">
        <v>0.0</v>
      </c>
      <c r="AP289" s="238">
        <v>0.0</v>
      </c>
      <c r="AQ289" s="235" t="s">
        <v>632</v>
      </c>
      <c r="AR289" s="243">
        <v>3.71E11</v>
      </c>
      <c r="AS289" s="235" t="s">
        <v>2276</v>
      </c>
      <c r="AT289" s="235" t="s">
        <v>546</v>
      </c>
      <c r="AU289" s="235" t="s">
        <v>634</v>
      </c>
      <c r="AV289" s="246" t="s">
        <v>635</v>
      </c>
      <c r="AW289" s="242"/>
      <c r="AX289" s="242"/>
      <c r="AY289" s="231"/>
      <c r="AZ289" s="231"/>
      <c r="BA289" s="227"/>
      <c r="BB289" s="231"/>
      <c r="BC289" s="227"/>
      <c r="BD289" s="227"/>
      <c r="BE289" s="227"/>
      <c r="BF289" s="227"/>
    </row>
    <row r="290">
      <c r="A290" s="235" t="s">
        <v>2973</v>
      </c>
      <c r="C290" s="235" t="s">
        <v>2974</v>
      </c>
      <c r="D290" s="235" t="s">
        <v>2975</v>
      </c>
      <c r="E290" s="243">
        <v>6.56E13</v>
      </c>
      <c r="F290" s="244"/>
      <c r="G290" s="235" t="s">
        <v>2976</v>
      </c>
      <c r="H290" s="235" t="s">
        <v>2977</v>
      </c>
      <c r="I290" s="235" t="s">
        <v>2977</v>
      </c>
      <c r="J290" s="235" t="s">
        <v>2978</v>
      </c>
      <c r="K290" s="235" t="s">
        <v>2979</v>
      </c>
      <c r="N290" s="235" t="s">
        <v>1346</v>
      </c>
      <c r="O290" s="235" t="s">
        <v>1347</v>
      </c>
      <c r="P290" s="238">
        <v>1.0</v>
      </c>
      <c r="Q290" s="235" t="s">
        <v>627</v>
      </c>
      <c r="R290" s="238">
        <v>256.19</v>
      </c>
      <c r="S290" s="238">
        <v>12.81</v>
      </c>
      <c r="T290" s="238">
        <v>38.1</v>
      </c>
      <c r="U290" s="238">
        <v>1.9</v>
      </c>
      <c r="V290" s="238">
        <v>0.0</v>
      </c>
      <c r="W290" s="238">
        <v>0.0</v>
      </c>
      <c r="X290" s="235" t="s">
        <v>628</v>
      </c>
      <c r="Z290" s="244"/>
      <c r="AA290" s="244"/>
      <c r="AB290" s="244"/>
      <c r="AC290" s="235" t="s">
        <v>2980</v>
      </c>
      <c r="AD290" s="235" t="s">
        <v>666</v>
      </c>
      <c r="AE290" s="238">
        <v>606206.0</v>
      </c>
      <c r="AF290" s="235" t="s">
        <v>631</v>
      </c>
      <c r="AG290" s="244"/>
      <c r="AH290" s="244"/>
      <c r="AI290" s="245"/>
      <c r="AJ290" s="245"/>
      <c r="AK290" s="245"/>
      <c r="AL290" s="245"/>
      <c r="AM290" s="244"/>
      <c r="AN290" s="244"/>
      <c r="AO290" s="238">
        <v>0.0</v>
      </c>
      <c r="AP290" s="238">
        <v>-38.1</v>
      </c>
      <c r="AQ290" s="235" t="s">
        <v>632</v>
      </c>
      <c r="AR290" s="243">
        <v>3.71E11</v>
      </c>
      <c r="AS290" s="235" t="s">
        <v>1367</v>
      </c>
      <c r="AT290" s="235" t="s">
        <v>11</v>
      </c>
      <c r="AU290" s="235" t="s">
        <v>634</v>
      </c>
      <c r="AV290" s="246" t="s">
        <v>635</v>
      </c>
      <c r="AW290" s="242"/>
      <c r="AX290" s="242"/>
      <c r="AY290" s="231"/>
      <c r="AZ290" s="231"/>
      <c r="BA290" s="227"/>
      <c r="BB290" s="231"/>
      <c r="BC290" s="227"/>
      <c r="BD290" s="227"/>
      <c r="BE290" s="227"/>
      <c r="BF290" s="227"/>
    </row>
    <row r="291">
      <c r="A291" s="235" t="s">
        <v>2981</v>
      </c>
      <c r="C291" s="235" t="s">
        <v>2982</v>
      </c>
      <c r="D291" s="235" t="s">
        <v>2983</v>
      </c>
      <c r="E291" s="243">
        <v>6.57E13</v>
      </c>
      <c r="F291" s="244"/>
      <c r="G291" s="235" t="s">
        <v>2984</v>
      </c>
      <c r="H291" s="235" t="s">
        <v>2985</v>
      </c>
      <c r="I291" s="235" t="s">
        <v>2985</v>
      </c>
      <c r="J291" s="235" t="s">
        <v>2986</v>
      </c>
      <c r="K291" s="235" t="s">
        <v>2987</v>
      </c>
      <c r="N291" s="235" t="s">
        <v>127</v>
      </c>
      <c r="O291" s="235" t="s">
        <v>794</v>
      </c>
      <c r="P291" s="238">
        <v>1.0</v>
      </c>
      <c r="Q291" s="235" t="s">
        <v>627</v>
      </c>
      <c r="R291" s="238">
        <v>243.81</v>
      </c>
      <c r="S291" s="238">
        <v>12.19</v>
      </c>
      <c r="T291" s="238">
        <v>0.0</v>
      </c>
      <c r="U291" s="238">
        <v>0.0</v>
      </c>
      <c r="V291" s="238">
        <v>0.0</v>
      </c>
      <c r="W291" s="238">
        <v>0.0</v>
      </c>
      <c r="X291" s="235" t="s">
        <v>628</v>
      </c>
      <c r="Z291" s="244"/>
      <c r="AA291" s="244"/>
      <c r="AB291" s="244"/>
      <c r="AC291" s="235" t="s">
        <v>1531</v>
      </c>
      <c r="AD291" s="235" t="s">
        <v>1151</v>
      </c>
      <c r="AE291" s="238">
        <v>700102.0</v>
      </c>
      <c r="AF291" s="235" t="s">
        <v>631</v>
      </c>
      <c r="AG291" s="244"/>
      <c r="AH291" s="244"/>
      <c r="AI291" s="245"/>
      <c r="AJ291" s="245"/>
      <c r="AK291" s="245"/>
      <c r="AL291" s="245"/>
      <c r="AM291" s="244"/>
      <c r="AN291" s="244"/>
      <c r="AO291" s="238">
        <v>0.0</v>
      </c>
      <c r="AP291" s="238">
        <v>0.0</v>
      </c>
      <c r="AQ291" s="235" t="s">
        <v>632</v>
      </c>
      <c r="AR291" s="243">
        <v>2.02E11</v>
      </c>
      <c r="AS291" s="235" t="s">
        <v>1367</v>
      </c>
      <c r="AT291" s="235" t="s">
        <v>14</v>
      </c>
      <c r="AU291" s="235" t="s">
        <v>634</v>
      </c>
      <c r="AV291" s="246" t="s">
        <v>635</v>
      </c>
      <c r="AW291" s="242"/>
      <c r="AX291" s="242"/>
      <c r="AY291" s="231"/>
      <c r="AZ291" s="231"/>
      <c r="BA291" s="227"/>
      <c r="BB291" s="231"/>
      <c r="BC291" s="227"/>
      <c r="BD291" s="227"/>
      <c r="BE291" s="227"/>
      <c r="BF291" s="227"/>
    </row>
    <row r="292">
      <c r="A292" s="235" t="s">
        <v>2988</v>
      </c>
      <c r="C292" s="235" t="s">
        <v>2989</v>
      </c>
      <c r="D292" s="235" t="s">
        <v>2990</v>
      </c>
      <c r="E292" s="243">
        <v>6.57E13</v>
      </c>
      <c r="F292" s="244"/>
      <c r="G292" s="235" t="s">
        <v>2991</v>
      </c>
      <c r="H292" s="235" t="s">
        <v>2992</v>
      </c>
      <c r="I292" s="235" t="s">
        <v>2992</v>
      </c>
      <c r="J292" s="235" t="s">
        <v>2993</v>
      </c>
      <c r="K292" s="235" t="s">
        <v>2994</v>
      </c>
      <c r="N292" s="235" t="s">
        <v>90</v>
      </c>
      <c r="O292" s="235" t="s">
        <v>279</v>
      </c>
      <c r="P292" s="238">
        <v>1.0</v>
      </c>
      <c r="Q292" s="235" t="s">
        <v>627</v>
      </c>
      <c r="R292" s="238">
        <v>246.66</v>
      </c>
      <c r="S292" s="238">
        <v>12.34</v>
      </c>
      <c r="T292" s="238">
        <v>0.0</v>
      </c>
      <c r="U292" s="238">
        <v>0.0</v>
      </c>
      <c r="V292" s="238">
        <v>0.0</v>
      </c>
      <c r="W292" s="238">
        <v>0.0</v>
      </c>
      <c r="X292" s="235" t="s">
        <v>628</v>
      </c>
      <c r="Z292" s="244"/>
      <c r="AA292" s="244"/>
      <c r="AB292" s="244"/>
      <c r="AC292" s="235" t="s">
        <v>687</v>
      </c>
      <c r="AD292" s="235" t="s">
        <v>666</v>
      </c>
      <c r="AE292" s="238">
        <v>600039.0</v>
      </c>
      <c r="AF292" s="235" t="s">
        <v>631</v>
      </c>
      <c r="AG292" s="244"/>
      <c r="AH292" s="244"/>
      <c r="AI292" s="245"/>
      <c r="AJ292" s="245"/>
      <c r="AK292" s="245"/>
      <c r="AL292" s="245"/>
      <c r="AM292" s="244"/>
      <c r="AN292" s="244"/>
      <c r="AO292" s="238">
        <v>0.0</v>
      </c>
      <c r="AP292" s="238">
        <v>0.0</v>
      </c>
      <c r="AQ292" s="235" t="s">
        <v>632</v>
      </c>
      <c r="AR292" s="243">
        <v>1.68E11</v>
      </c>
      <c r="AS292" s="235" t="s">
        <v>2717</v>
      </c>
      <c r="AT292" s="235" t="s">
        <v>156</v>
      </c>
      <c r="AU292" s="235" t="s">
        <v>634</v>
      </c>
      <c r="AV292" s="246" t="s">
        <v>635</v>
      </c>
      <c r="AW292" s="242"/>
      <c r="AX292" s="242"/>
      <c r="AY292" s="231"/>
      <c r="AZ292" s="231"/>
      <c r="BA292" s="227"/>
      <c r="BB292" s="231"/>
      <c r="BC292" s="227"/>
      <c r="BD292" s="227"/>
      <c r="BE292" s="227"/>
      <c r="BF292" s="227"/>
    </row>
    <row r="293">
      <c r="A293" s="235" t="s">
        <v>2997</v>
      </c>
      <c r="C293" s="235" t="s">
        <v>2998</v>
      </c>
      <c r="D293" s="235" t="s">
        <v>2999</v>
      </c>
      <c r="E293" s="243">
        <v>6.57E13</v>
      </c>
      <c r="F293" s="244"/>
      <c r="G293" s="235" t="s">
        <v>3000</v>
      </c>
      <c r="H293" s="235" t="s">
        <v>3001</v>
      </c>
      <c r="I293" s="235" t="s">
        <v>3001</v>
      </c>
      <c r="J293" s="235" t="s">
        <v>3002</v>
      </c>
      <c r="K293" s="235" t="s">
        <v>3003</v>
      </c>
      <c r="N293" s="235" t="s">
        <v>154</v>
      </c>
      <c r="O293" s="235" t="s">
        <v>766</v>
      </c>
      <c r="P293" s="238">
        <v>1.0</v>
      </c>
      <c r="Q293" s="235" t="s">
        <v>627</v>
      </c>
      <c r="R293" s="238">
        <v>465.72</v>
      </c>
      <c r="S293" s="238">
        <v>23.28</v>
      </c>
      <c r="T293" s="238">
        <v>0.0</v>
      </c>
      <c r="U293" s="238">
        <v>0.0</v>
      </c>
      <c r="V293" s="238">
        <v>0.0</v>
      </c>
      <c r="W293" s="238">
        <v>0.0</v>
      </c>
      <c r="X293" s="235" t="s">
        <v>628</v>
      </c>
      <c r="Z293" s="244"/>
      <c r="AA293" s="244"/>
      <c r="AB293" s="244"/>
      <c r="AC293" s="235" t="s">
        <v>3004</v>
      </c>
      <c r="AD293" s="235" t="s">
        <v>679</v>
      </c>
      <c r="AE293" s="238">
        <v>573201.0</v>
      </c>
      <c r="AF293" s="235" t="s">
        <v>631</v>
      </c>
      <c r="AG293" s="244"/>
      <c r="AH293" s="244"/>
      <c r="AI293" s="245"/>
      <c r="AJ293" s="245"/>
      <c r="AK293" s="245"/>
      <c r="AL293" s="245"/>
      <c r="AM293" s="244"/>
      <c r="AN293" s="244"/>
      <c r="AO293" s="238">
        <v>0.0</v>
      </c>
      <c r="AP293" s="238">
        <v>0.0</v>
      </c>
      <c r="AQ293" s="235" t="s">
        <v>632</v>
      </c>
      <c r="AR293" s="243">
        <v>1.68E11</v>
      </c>
      <c r="AS293" s="235" t="s">
        <v>2276</v>
      </c>
      <c r="AT293" s="235" t="s">
        <v>11</v>
      </c>
      <c r="AU293" s="235" t="s">
        <v>634</v>
      </c>
      <c r="AV293" s="246" t="s">
        <v>635</v>
      </c>
      <c r="AW293" s="242"/>
      <c r="AX293" s="242"/>
      <c r="AY293" s="231"/>
      <c r="AZ293" s="231"/>
      <c r="BA293" s="227"/>
      <c r="BB293" s="231"/>
      <c r="BC293" s="227"/>
      <c r="BD293" s="227"/>
      <c r="BE293" s="227"/>
      <c r="BF293" s="227"/>
    </row>
    <row r="294">
      <c r="A294" s="235" t="s">
        <v>3005</v>
      </c>
      <c r="C294" s="235" t="s">
        <v>3006</v>
      </c>
      <c r="D294" s="235" t="s">
        <v>3007</v>
      </c>
      <c r="E294" s="243">
        <v>6.57E13</v>
      </c>
      <c r="F294" s="244"/>
      <c r="G294" s="235" t="s">
        <v>3008</v>
      </c>
      <c r="H294" s="235" t="s">
        <v>3009</v>
      </c>
      <c r="I294" s="235" t="s">
        <v>3009</v>
      </c>
      <c r="J294" s="235" t="s">
        <v>3010</v>
      </c>
      <c r="K294" s="235" t="s">
        <v>3011</v>
      </c>
      <c r="N294" s="235" t="s">
        <v>75</v>
      </c>
      <c r="O294" s="235" t="s">
        <v>2108</v>
      </c>
      <c r="P294" s="238">
        <v>1.0</v>
      </c>
      <c r="Q294" s="235" t="s">
        <v>627</v>
      </c>
      <c r="R294" s="238">
        <v>360.96</v>
      </c>
      <c r="S294" s="238">
        <v>18.04</v>
      </c>
      <c r="T294" s="238">
        <v>18.1</v>
      </c>
      <c r="U294" s="238">
        <v>0.9</v>
      </c>
      <c r="V294" s="238">
        <v>0.0</v>
      </c>
      <c r="W294" s="238">
        <v>0.0</v>
      </c>
      <c r="X294" s="235" t="s">
        <v>628</v>
      </c>
      <c r="Z294" s="244"/>
      <c r="AA294" s="244"/>
      <c r="AB294" s="244"/>
      <c r="AC294" s="235" t="s">
        <v>2092</v>
      </c>
      <c r="AD294" s="235" t="s">
        <v>845</v>
      </c>
      <c r="AE294" s="238">
        <v>411036.0</v>
      </c>
      <c r="AF294" s="235" t="s">
        <v>631</v>
      </c>
      <c r="AG294" s="244"/>
      <c r="AH294" s="244"/>
      <c r="AI294" s="245"/>
      <c r="AJ294" s="245"/>
      <c r="AK294" s="245"/>
      <c r="AL294" s="245"/>
      <c r="AM294" s="244"/>
      <c r="AN294" s="244"/>
      <c r="AO294" s="238">
        <v>0.0</v>
      </c>
      <c r="AP294" s="238">
        <v>-18.1</v>
      </c>
      <c r="AQ294" s="235" t="s">
        <v>632</v>
      </c>
      <c r="AR294" s="243">
        <v>1.68E11</v>
      </c>
      <c r="AS294" s="235" t="s">
        <v>2717</v>
      </c>
      <c r="AT294" s="235" t="s">
        <v>546</v>
      </c>
      <c r="AU294" s="235" t="s">
        <v>634</v>
      </c>
      <c r="AV294" s="246" t="s">
        <v>635</v>
      </c>
      <c r="AW294" s="242"/>
      <c r="AX294" s="242"/>
      <c r="AY294" s="231"/>
      <c r="AZ294" s="231"/>
      <c r="BA294" s="227"/>
      <c r="BB294" s="231"/>
      <c r="BC294" s="227"/>
      <c r="BD294" s="227"/>
      <c r="BE294" s="227"/>
      <c r="BF294" s="227"/>
    </row>
    <row r="295">
      <c r="A295" s="235" t="s">
        <v>3012</v>
      </c>
      <c r="C295" s="235" t="s">
        <v>3013</v>
      </c>
      <c r="D295" s="235" t="s">
        <v>3014</v>
      </c>
      <c r="E295" s="243">
        <v>6.57E13</v>
      </c>
      <c r="F295" s="244"/>
      <c r="G295" s="235" t="s">
        <v>3015</v>
      </c>
      <c r="H295" s="235" t="s">
        <v>3016</v>
      </c>
      <c r="I295" s="235" t="s">
        <v>3016</v>
      </c>
      <c r="J295" s="235" t="s">
        <v>3017</v>
      </c>
      <c r="K295" s="235" t="s">
        <v>3018</v>
      </c>
      <c r="N295" s="235" t="s">
        <v>120</v>
      </c>
      <c r="O295" s="235" t="s">
        <v>324</v>
      </c>
      <c r="P295" s="238">
        <v>1.0</v>
      </c>
      <c r="Q295" s="235" t="s">
        <v>627</v>
      </c>
      <c r="R295" s="238">
        <v>246.67</v>
      </c>
      <c r="S295" s="238">
        <v>12.33</v>
      </c>
      <c r="T295" s="238">
        <v>38.1</v>
      </c>
      <c r="U295" s="238">
        <v>1.9</v>
      </c>
      <c r="V295" s="238">
        <v>0.0</v>
      </c>
      <c r="W295" s="238">
        <v>0.0</v>
      </c>
      <c r="X295" s="235" t="s">
        <v>628</v>
      </c>
      <c r="Z295" s="244"/>
      <c r="AA295" s="244"/>
      <c r="AB295" s="244"/>
      <c r="AC295" s="235" t="s">
        <v>3019</v>
      </c>
      <c r="AD295" s="235" t="s">
        <v>1086</v>
      </c>
      <c r="AE295" s="238">
        <v>141401.0</v>
      </c>
      <c r="AF295" s="235" t="s">
        <v>631</v>
      </c>
      <c r="AG295" s="244"/>
      <c r="AH295" s="244"/>
      <c r="AI295" s="245"/>
      <c r="AJ295" s="245"/>
      <c r="AK295" s="245"/>
      <c r="AL295" s="245"/>
      <c r="AM295" s="244"/>
      <c r="AN295" s="244"/>
      <c r="AO295" s="238">
        <v>0.0</v>
      </c>
      <c r="AP295" s="238">
        <v>-38.1</v>
      </c>
      <c r="AQ295" s="235" t="s">
        <v>632</v>
      </c>
      <c r="AR295" s="243">
        <v>3.71E11</v>
      </c>
      <c r="AS295" s="235" t="s">
        <v>667</v>
      </c>
      <c r="AT295" s="235" t="s">
        <v>14</v>
      </c>
      <c r="AU295" s="235" t="s">
        <v>634</v>
      </c>
      <c r="AV295" s="246" t="s">
        <v>635</v>
      </c>
      <c r="AW295" s="242"/>
      <c r="AX295" s="242"/>
      <c r="AY295" s="231"/>
      <c r="AZ295" s="231"/>
      <c r="BA295" s="227"/>
      <c r="BB295" s="231"/>
      <c r="BC295" s="227"/>
      <c r="BD295" s="227"/>
      <c r="BE295" s="227"/>
      <c r="BF295" s="227"/>
    </row>
    <row r="296">
      <c r="A296" s="235" t="s">
        <v>3020</v>
      </c>
      <c r="C296" s="235" t="s">
        <v>3021</v>
      </c>
      <c r="D296" s="235" t="s">
        <v>3022</v>
      </c>
      <c r="E296" s="243">
        <v>6.57E13</v>
      </c>
      <c r="F296" s="244"/>
      <c r="G296" s="235" t="s">
        <v>3023</v>
      </c>
      <c r="H296" s="235" t="s">
        <v>3024</v>
      </c>
      <c r="I296" s="235" t="s">
        <v>3024</v>
      </c>
      <c r="J296" s="235" t="s">
        <v>3025</v>
      </c>
      <c r="K296" s="235" t="s">
        <v>3026</v>
      </c>
      <c r="N296" s="235" t="s">
        <v>127</v>
      </c>
      <c r="O296" s="235" t="s">
        <v>794</v>
      </c>
      <c r="P296" s="238">
        <v>1.0</v>
      </c>
      <c r="Q296" s="235" t="s">
        <v>627</v>
      </c>
      <c r="R296" s="238">
        <v>246.67</v>
      </c>
      <c r="S296" s="238">
        <v>12.33</v>
      </c>
      <c r="T296" s="238">
        <v>38.1</v>
      </c>
      <c r="U296" s="238">
        <v>1.9</v>
      </c>
      <c r="V296" s="238">
        <v>0.0</v>
      </c>
      <c r="W296" s="238">
        <v>0.0</v>
      </c>
      <c r="X296" s="235" t="s">
        <v>628</v>
      </c>
      <c r="Z296" s="244"/>
      <c r="AA296" s="244"/>
      <c r="AB296" s="244"/>
      <c r="AC296" s="235" t="s">
        <v>3027</v>
      </c>
      <c r="AD296" s="235" t="s">
        <v>1077</v>
      </c>
      <c r="AE296" s="238">
        <v>388260.0</v>
      </c>
      <c r="AF296" s="235" t="s">
        <v>631</v>
      </c>
      <c r="AG296" s="244"/>
      <c r="AH296" s="244"/>
      <c r="AI296" s="245"/>
      <c r="AJ296" s="245"/>
      <c r="AK296" s="245"/>
      <c r="AL296" s="245"/>
      <c r="AM296" s="244"/>
      <c r="AN296" s="244"/>
      <c r="AO296" s="238">
        <v>0.0</v>
      </c>
      <c r="AP296" s="238">
        <v>-38.1</v>
      </c>
      <c r="AQ296" s="235" t="s">
        <v>1328</v>
      </c>
      <c r="AR296" s="243">
        <v>1.34E13</v>
      </c>
      <c r="AS296" s="235" t="s">
        <v>1329</v>
      </c>
      <c r="AT296" s="235" t="s">
        <v>16</v>
      </c>
      <c r="AU296" s="235" t="s">
        <v>634</v>
      </c>
      <c r="AV296" s="246" t="s">
        <v>635</v>
      </c>
      <c r="AW296" s="242"/>
      <c r="AX296" s="242"/>
      <c r="AY296" s="231"/>
      <c r="AZ296" s="231"/>
      <c r="BA296" s="227"/>
      <c r="BB296" s="231"/>
      <c r="BC296" s="227"/>
      <c r="BD296" s="227"/>
      <c r="BE296" s="227"/>
      <c r="BF296" s="227"/>
    </row>
    <row r="297">
      <c r="A297" s="235" t="s">
        <v>3028</v>
      </c>
      <c r="C297" s="235" t="s">
        <v>3029</v>
      </c>
      <c r="D297" s="235" t="s">
        <v>3030</v>
      </c>
      <c r="E297" s="243">
        <v>6.57E13</v>
      </c>
      <c r="F297" s="244"/>
      <c r="G297" s="235" t="s">
        <v>3031</v>
      </c>
      <c r="H297" s="235" t="s">
        <v>3032</v>
      </c>
      <c r="I297" s="235" t="s">
        <v>3032</v>
      </c>
      <c r="J297" s="235" t="s">
        <v>3033</v>
      </c>
      <c r="K297" s="235" t="s">
        <v>3034</v>
      </c>
      <c r="N297" s="235" t="s">
        <v>92</v>
      </c>
      <c r="O297" s="235" t="s">
        <v>248</v>
      </c>
      <c r="P297" s="238">
        <v>1.0</v>
      </c>
      <c r="Q297" s="235" t="s">
        <v>627</v>
      </c>
      <c r="R297" s="238">
        <v>246.66</v>
      </c>
      <c r="S297" s="238">
        <v>12.34</v>
      </c>
      <c r="T297" s="238">
        <v>18.1</v>
      </c>
      <c r="U297" s="238">
        <v>0.9</v>
      </c>
      <c r="V297" s="238">
        <v>0.0</v>
      </c>
      <c r="W297" s="238">
        <v>0.0</v>
      </c>
      <c r="X297" s="235" t="s">
        <v>628</v>
      </c>
      <c r="Z297" s="244"/>
      <c r="AA297" s="244"/>
      <c r="AB297" s="244"/>
      <c r="AC297" s="235" t="s">
        <v>678</v>
      </c>
      <c r="AD297" s="235" t="s">
        <v>679</v>
      </c>
      <c r="AE297" s="238">
        <v>560043.0</v>
      </c>
      <c r="AF297" s="235" t="s">
        <v>631</v>
      </c>
      <c r="AG297" s="244"/>
      <c r="AH297" s="244"/>
      <c r="AI297" s="245"/>
      <c r="AJ297" s="245"/>
      <c r="AK297" s="245"/>
      <c r="AL297" s="245"/>
      <c r="AM297" s="244"/>
      <c r="AN297" s="244"/>
      <c r="AO297" s="238">
        <v>0.0</v>
      </c>
      <c r="AP297" s="238">
        <v>-18.1</v>
      </c>
      <c r="AQ297" s="235" t="s">
        <v>632</v>
      </c>
      <c r="AR297" s="243">
        <v>1.68E11</v>
      </c>
      <c r="AS297" s="235" t="s">
        <v>2717</v>
      </c>
      <c r="AT297" s="235" t="s">
        <v>11</v>
      </c>
      <c r="AU297" s="235" t="s">
        <v>634</v>
      </c>
      <c r="AV297" s="246" t="s">
        <v>635</v>
      </c>
      <c r="AW297" s="242"/>
      <c r="AX297" s="242"/>
      <c r="AY297" s="231"/>
      <c r="AZ297" s="231"/>
      <c r="BA297" s="227"/>
      <c r="BB297" s="231"/>
      <c r="BC297" s="227"/>
      <c r="BD297" s="227"/>
      <c r="BE297" s="227"/>
      <c r="BF297" s="227"/>
    </row>
    <row r="298">
      <c r="A298" s="235" t="s">
        <v>3035</v>
      </c>
      <c r="C298" s="235" t="s">
        <v>3036</v>
      </c>
      <c r="D298" s="235" t="s">
        <v>3037</v>
      </c>
      <c r="E298" s="243">
        <v>6.57E13</v>
      </c>
      <c r="F298" s="244"/>
      <c r="G298" s="235" t="s">
        <v>3038</v>
      </c>
      <c r="H298" s="235" t="s">
        <v>3039</v>
      </c>
      <c r="I298" s="235" t="s">
        <v>3040</v>
      </c>
      <c r="J298" s="235" t="s">
        <v>3041</v>
      </c>
      <c r="K298" s="235" t="s">
        <v>3042</v>
      </c>
      <c r="N298" s="235" t="s">
        <v>138</v>
      </c>
      <c r="O298" s="235" t="s">
        <v>675</v>
      </c>
      <c r="P298" s="238">
        <v>1.0</v>
      </c>
      <c r="Q298" s="235" t="s">
        <v>627</v>
      </c>
      <c r="R298" s="238">
        <v>246.67</v>
      </c>
      <c r="S298" s="238">
        <v>12.33</v>
      </c>
      <c r="T298" s="238">
        <v>0.0</v>
      </c>
      <c r="U298" s="238">
        <v>0.0</v>
      </c>
      <c r="V298" s="238">
        <v>0.0</v>
      </c>
      <c r="W298" s="238">
        <v>0.0</v>
      </c>
      <c r="X298" s="235" t="s">
        <v>628</v>
      </c>
      <c r="Z298" s="244"/>
      <c r="AA298" s="244"/>
      <c r="AB298" s="244"/>
      <c r="AC298" s="235" t="s">
        <v>814</v>
      </c>
      <c r="AD298" s="235" t="s">
        <v>698</v>
      </c>
      <c r="AE298" s="238">
        <v>500075.0</v>
      </c>
      <c r="AF298" s="235" t="s">
        <v>631</v>
      </c>
      <c r="AG298" s="244"/>
      <c r="AH298" s="244"/>
      <c r="AI298" s="245"/>
      <c r="AJ298" s="245"/>
      <c r="AK298" s="245"/>
      <c r="AL298" s="245"/>
      <c r="AM298" s="244"/>
      <c r="AN298" s="244"/>
      <c r="AO298" s="238">
        <v>0.0</v>
      </c>
      <c r="AP298" s="238">
        <v>0.0</v>
      </c>
      <c r="AQ298" s="235" t="s">
        <v>632</v>
      </c>
      <c r="AR298" s="243">
        <v>3.71E11</v>
      </c>
      <c r="AS298" s="235" t="s">
        <v>1367</v>
      </c>
      <c r="AT298" s="235" t="s">
        <v>546</v>
      </c>
      <c r="AU298" s="235" t="s">
        <v>634</v>
      </c>
      <c r="AV298" s="246" t="s">
        <v>635</v>
      </c>
      <c r="AW298" s="242"/>
      <c r="AX298" s="242"/>
      <c r="AY298" s="231"/>
      <c r="AZ298" s="231"/>
      <c r="BA298" s="227"/>
      <c r="BB298" s="231"/>
      <c r="BC298" s="227"/>
      <c r="BD298" s="227"/>
      <c r="BE298" s="227"/>
      <c r="BF298" s="227"/>
    </row>
    <row r="299">
      <c r="A299" s="235" t="s">
        <v>3045</v>
      </c>
      <c r="C299" s="235" t="s">
        <v>3046</v>
      </c>
      <c r="D299" s="235" t="s">
        <v>3047</v>
      </c>
      <c r="E299" s="243">
        <v>6.57E13</v>
      </c>
      <c r="F299" s="244"/>
      <c r="G299" s="235" t="s">
        <v>3048</v>
      </c>
      <c r="H299" s="235" t="s">
        <v>3049</v>
      </c>
      <c r="I299" s="235" t="s">
        <v>3049</v>
      </c>
      <c r="J299" s="235" t="s">
        <v>3050</v>
      </c>
      <c r="K299" s="235" t="s">
        <v>3051</v>
      </c>
      <c r="N299" s="235" t="s">
        <v>64</v>
      </c>
      <c r="O299" s="235" t="s">
        <v>378</v>
      </c>
      <c r="P299" s="238">
        <v>1.0</v>
      </c>
      <c r="Q299" s="235" t="s">
        <v>627</v>
      </c>
      <c r="R299" s="238">
        <v>360.95</v>
      </c>
      <c r="S299" s="238">
        <v>18.05</v>
      </c>
      <c r="T299" s="238">
        <v>0.0</v>
      </c>
      <c r="U299" s="238">
        <v>0.0</v>
      </c>
      <c r="V299" s="238">
        <v>0.0</v>
      </c>
      <c r="W299" s="238">
        <v>0.0</v>
      </c>
      <c r="X299" s="235" t="s">
        <v>628</v>
      </c>
      <c r="Z299" s="244"/>
      <c r="AA299" s="244"/>
      <c r="AB299" s="244"/>
      <c r="AC299" s="235" t="s">
        <v>697</v>
      </c>
      <c r="AD299" s="235" t="s">
        <v>698</v>
      </c>
      <c r="AE299" s="238">
        <v>500033.0</v>
      </c>
      <c r="AF299" s="235" t="s">
        <v>631</v>
      </c>
      <c r="AG299" s="244"/>
      <c r="AH299" s="244"/>
      <c r="AI299" s="245"/>
      <c r="AJ299" s="245"/>
      <c r="AK299" s="245"/>
      <c r="AL299" s="245"/>
      <c r="AM299" s="244"/>
      <c r="AN299" s="244"/>
      <c r="AO299" s="238">
        <v>0.0</v>
      </c>
      <c r="AP299" s="238">
        <v>0.0</v>
      </c>
      <c r="AQ299" s="235" t="s">
        <v>632</v>
      </c>
      <c r="AR299" s="243">
        <v>2.02E11</v>
      </c>
      <c r="AS299" s="235" t="s">
        <v>2276</v>
      </c>
      <c r="AT299" s="235" t="s">
        <v>156</v>
      </c>
      <c r="AU299" s="235" t="s">
        <v>634</v>
      </c>
      <c r="AV299" s="246" t="s">
        <v>635</v>
      </c>
      <c r="AW299" s="242"/>
      <c r="AX299" s="242"/>
      <c r="AY299" s="231"/>
      <c r="AZ299" s="231"/>
      <c r="BA299" s="227"/>
      <c r="BB299" s="231"/>
      <c r="BC299" s="227"/>
      <c r="BD299" s="227"/>
      <c r="BE299" s="227"/>
      <c r="BF299" s="227"/>
    </row>
    <row r="300">
      <c r="A300" s="235" t="s">
        <v>3052</v>
      </c>
      <c r="C300" s="235" t="s">
        <v>3053</v>
      </c>
      <c r="D300" s="235" t="s">
        <v>3054</v>
      </c>
      <c r="E300" s="243">
        <v>6.57E13</v>
      </c>
      <c r="F300" s="244"/>
      <c r="G300" s="235" t="s">
        <v>2960</v>
      </c>
      <c r="H300" s="235" t="s">
        <v>3055</v>
      </c>
      <c r="I300" s="235" t="s">
        <v>3055</v>
      </c>
      <c r="J300" s="235" t="s">
        <v>3056</v>
      </c>
      <c r="K300" s="235" t="s">
        <v>2963</v>
      </c>
      <c r="N300" s="235" t="s">
        <v>842</v>
      </c>
      <c r="O300" s="235" t="s">
        <v>843</v>
      </c>
      <c r="P300" s="238">
        <v>1.0</v>
      </c>
      <c r="Q300" s="235" t="s">
        <v>627</v>
      </c>
      <c r="R300" s="238">
        <v>246.66</v>
      </c>
      <c r="S300" s="238">
        <v>11.97</v>
      </c>
      <c r="T300" s="238">
        <v>0.0</v>
      </c>
      <c r="U300" s="238">
        <v>0.0</v>
      </c>
      <c r="V300" s="238">
        <v>0.0</v>
      </c>
      <c r="W300" s="238">
        <v>0.0</v>
      </c>
      <c r="X300" s="235" t="s">
        <v>628</v>
      </c>
      <c r="Z300" s="244"/>
      <c r="AA300" s="244"/>
      <c r="AB300" s="244"/>
      <c r="AC300" s="235" t="s">
        <v>2236</v>
      </c>
      <c r="AD300" s="235" t="s">
        <v>666</v>
      </c>
      <c r="AE300" s="238">
        <v>641048.0</v>
      </c>
      <c r="AF300" s="235" t="s">
        <v>631</v>
      </c>
      <c r="AG300" s="244"/>
      <c r="AH300" s="244"/>
      <c r="AI300" s="245"/>
      <c r="AJ300" s="245"/>
      <c r="AK300" s="245"/>
      <c r="AL300" s="245"/>
      <c r="AM300" s="244"/>
      <c r="AN300" s="244"/>
      <c r="AO300" s="238">
        <v>-7.4</v>
      </c>
      <c r="AP300" s="238">
        <v>0.0</v>
      </c>
      <c r="AQ300" s="235" t="s">
        <v>632</v>
      </c>
      <c r="AR300" s="243">
        <v>3.71E11</v>
      </c>
      <c r="AS300" s="235" t="s">
        <v>2276</v>
      </c>
      <c r="AT300" s="235" t="s">
        <v>155</v>
      </c>
      <c r="AU300" s="235" t="s">
        <v>634</v>
      </c>
      <c r="AV300" s="246" t="s">
        <v>635</v>
      </c>
      <c r="AW300" s="242"/>
      <c r="AX300" s="242"/>
      <c r="AY300" s="231"/>
      <c r="AZ300" s="231"/>
      <c r="BA300" s="227"/>
      <c r="BB300" s="231"/>
      <c r="BC300" s="227"/>
      <c r="BD300" s="227"/>
      <c r="BE300" s="227"/>
      <c r="BF300" s="227"/>
    </row>
    <row r="301">
      <c r="A301" s="235" t="s">
        <v>3057</v>
      </c>
      <c r="C301" s="235" t="s">
        <v>3058</v>
      </c>
      <c r="D301" s="235" t="s">
        <v>3059</v>
      </c>
      <c r="E301" s="243">
        <v>6.57E13</v>
      </c>
      <c r="F301" s="244"/>
      <c r="G301" s="235" t="s">
        <v>3060</v>
      </c>
      <c r="H301" s="235" t="s">
        <v>3061</v>
      </c>
      <c r="I301" s="235" t="s">
        <v>3061</v>
      </c>
      <c r="J301" s="235" t="s">
        <v>3062</v>
      </c>
      <c r="K301" s="235" t="s">
        <v>3063</v>
      </c>
      <c r="N301" s="235" t="s">
        <v>54</v>
      </c>
      <c r="O301" s="235" t="s">
        <v>294</v>
      </c>
      <c r="P301" s="238">
        <v>1.0</v>
      </c>
      <c r="Q301" s="235" t="s">
        <v>627</v>
      </c>
      <c r="R301" s="238">
        <v>246.66</v>
      </c>
      <c r="S301" s="238">
        <v>12.34</v>
      </c>
      <c r="T301" s="238">
        <v>18.1</v>
      </c>
      <c r="U301" s="238">
        <v>0.9</v>
      </c>
      <c r="V301" s="238">
        <v>0.0</v>
      </c>
      <c r="W301" s="238">
        <v>0.0</v>
      </c>
      <c r="X301" s="235" t="s">
        <v>628</v>
      </c>
      <c r="Z301" s="244"/>
      <c r="AA301" s="244"/>
      <c r="AB301" s="244"/>
      <c r="AC301" s="235" t="s">
        <v>687</v>
      </c>
      <c r="AD301" s="235" t="s">
        <v>666</v>
      </c>
      <c r="AE301" s="238">
        <v>600117.0</v>
      </c>
      <c r="AF301" s="235" t="s">
        <v>631</v>
      </c>
      <c r="AG301" s="244"/>
      <c r="AH301" s="244"/>
      <c r="AI301" s="245"/>
      <c r="AJ301" s="245"/>
      <c r="AK301" s="245"/>
      <c r="AL301" s="245"/>
      <c r="AM301" s="244"/>
      <c r="AN301" s="244"/>
      <c r="AO301" s="238">
        <v>0.0</v>
      </c>
      <c r="AP301" s="238">
        <v>-18.1</v>
      </c>
      <c r="AQ301" s="235" t="s">
        <v>632</v>
      </c>
      <c r="AR301" s="243">
        <v>1.68E11</v>
      </c>
      <c r="AS301" s="235" t="s">
        <v>2717</v>
      </c>
      <c r="AT301" s="235" t="s">
        <v>156</v>
      </c>
      <c r="AU301" s="235" t="s">
        <v>634</v>
      </c>
      <c r="AV301" s="246" t="s">
        <v>635</v>
      </c>
      <c r="AW301" s="242"/>
      <c r="AX301" s="242"/>
      <c r="AY301" s="231"/>
      <c r="AZ301" s="231"/>
      <c r="BA301" s="227"/>
      <c r="BB301" s="231"/>
      <c r="BC301" s="227"/>
      <c r="BD301" s="227"/>
      <c r="BE301" s="227"/>
      <c r="BF301" s="227"/>
    </row>
    <row r="302">
      <c r="A302" s="235" t="s">
        <v>3064</v>
      </c>
      <c r="C302" s="235" t="s">
        <v>3065</v>
      </c>
      <c r="D302" s="235" t="s">
        <v>3066</v>
      </c>
      <c r="E302" s="243">
        <v>6.55E13</v>
      </c>
      <c r="F302" s="244"/>
      <c r="G302" s="235" t="s">
        <v>3067</v>
      </c>
      <c r="H302" s="235" t="s">
        <v>3068</v>
      </c>
      <c r="I302" s="235" t="s">
        <v>3068</v>
      </c>
      <c r="J302" s="235" t="s">
        <v>3069</v>
      </c>
      <c r="K302" s="235" t="s">
        <v>3070</v>
      </c>
      <c r="N302" s="235" t="s">
        <v>42</v>
      </c>
      <c r="O302" s="235" t="s">
        <v>204</v>
      </c>
      <c r="P302" s="238">
        <v>1.0</v>
      </c>
      <c r="Q302" s="235" t="s">
        <v>627</v>
      </c>
      <c r="R302" s="238">
        <v>237.14</v>
      </c>
      <c r="S302" s="238">
        <v>11.86</v>
      </c>
      <c r="T302" s="238">
        <v>38.1</v>
      </c>
      <c r="U302" s="238">
        <v>1.9</v>
      </c>
      <c r="V302" s="238">
        <v>0.0</v>
      </c>
      <c r="W302" s="238">
        <v>0.0</v>
      </c>
      <c r="X302" s="235" t="s">
        <v>628</v>
      </c>
      <c r="Z302" s="244"/>
      <c r="AA302" s="244"/>
      <c r="AB302" s="244"/>
      <c r="AC302" s="235" t="s">
        <v>3071</v>
      </c>
      <c r="AD302" s="235" t="s">
        <v>666</v>
      </c>
      <c r="AE302" s="238">
        <v>641664.0</v>
      </c>
      <c r="AF302" s="235" t="s">
        <v>631</v>
      </c>
      <c r="AG302" s="244"/>
      <c r="AH302" s="244"/>
      <c r="AI302" s="245"/>
      <c r="AJ302" s="245"/>
      <c r="AK302" s="245"/>
      <c r="AL302" s="245"/>
      <c r="AM302" s="244"/>
      <c r="AN302" s="244"/>
      <c r="AO302" s="238">
        <v>0.0</v>
      </c>
      <c r="AP302" s="238">
        <v>-38.1</v>
      </c>
      <c r="AQ302" s="235" t="s">
        <v>632</v>
      </c>
      <c r="AR302" s="243">
        <v>3.71E11</v>
      </c>
      <c r="AS302" s="235" t="s">
        <v>1367</v>
      </c>
      <c r="AT302" s="235" t="s">
        <v>9</v>
      </c>
      <c r="AU302" s="235" t="s">
        <v>634</v>
      </c>
      <c r="AV302" s="246" t="s">
        <v>635</v>
      </c>
      <c r="AW302" s="242"/>
      <c r="AX302" s="242"/>
      <c r="AY302" s="231"/>
      <c r="AZ302" s="231"/>
      <c r="BA302" s="227"/>
      <c r="BB302" s="231"/>
      <c r="BC302" s="227"/>
      <c r="BD302" s="227"/>
      <c r="BE302" s="227"/>
      <c r="BF302" s="227"/>
    </row>
    <row r="303">
      <c r="A303" s="235" t="s">
        <v>3072</v>
      </c>
      <c r="C303" s="235" t="s">
        <v>3073</v>
      </c>
      <c r="D303" s="235" t="s">
        <v>3074</v>
      </c>
      <c r="E303" s="243">
        <v>6.57E13</v>
      </c>
      <c r="F303" s="244"/>
      <c r="G303" s="235" t="s">
        <v>3075</v>
      </c>
      <c r="H303" s="235" t="s">
        <v>3076</v>
      </c>
      <c r="I303" s="235" t="s">
        <v>3076</v>
      </c>
      <c r="J303" s="235" t="s">
        <v>3077</v>
      </c>
      <c r="K303" s="235" t="s">
        <v>3078</v>
      </c>
      <c r="N303" s="235" t="s">
        <v>138</v>
      </c>
      <c r="O303" s="235" t="s">
        <v>675</v>
      </c>
      <c r="P303" s="238">
        <v>1.0</v>
      </c>
      <c r="Q303" s="235" t="s">
        <v>627</v>
      </c>
      <c r="R303" s="238">
        <v>246.66</v>
      </c>
      <c r="S303" s="238">
        <v>12.34</v>
      </c>
      <c r="T303" s="238">
        <v>0.0</v>
      </c>
      <c r="U303" s="238">
        <v>0.0</v>
      </c>
      <c r="V303" s="238">
        <v>0.0</v>
      </c>
      <c r="W303" s="238">
        <v>0.0</v>
      </c>
      <c r="X303" s="235" t="s">
        <v>628</v>
      </c>
      <c r="Z303" s="244"/>
      <c r="AA303" s="244"/>
      <c r="AB303" s="244"/>
      <c r="AC303" s="235" t="s">
        <v>3079</v>
      </c>
      <c r="AD303" s="235" t="s">
        <v>845</v>
      </c>
      <c r="AE303" s="238">
        <v>431602.0</v>
      </c>
      <c r="AF303" s="235" t="s">
        <v>631</v>
      </c>
      <c r="AG303" s="244"/>
      <c r="AH303" s="244"/>
      <c r="AI303" s="245"/>
      <c r="AJ303" s="245"/>
      <c r="AK303" s="245"/>
      <c r="AL303" s="245"/>
      <c r="AM303" s="244"/>
      <c r="AN303" s="244"/>
      <c r="AO303" s="238">
        <v>0.0</v>
      </c>
      <c r="AP303" s="238">
        <v>0.0</v>
      </c>
      <c r="AQ303" s="235" t="s">
        <v>632</v>
      </c>
      <c r="AR303" s="243">
        <v>3.71E11</v>
      </c>
      <c r="AS303" s="235" t="s">
        <v>667</v>
      </c>
      <c r="AT303" s="235" t="s">
        <v>546</v>
      </c>
      <c r="AU303" s="235" t="s">
        <v>634</v>
      </c>
      <c r="AV303" s="246" t="s">
        <v>635</v>
      </c>
      <c r="AW303" s="242"/>
      <c r="AX303" s="242"/>
      <c r="AY303" s="231"/>
      <c r="AZ303" s="231"/>
      <c r="BA303" s="227"/>
      <c r="BB303" s="231"/>
      <c r="BC303" s="227"/>
      <c r="BD303" s="227"/>
      <c r="BE303" s="227"/>
      <c r="BF303" s="227"/>
    </row>
    <row r="304">
      <c r="A304" s="235" t="s">
        <v>3080</v>
      </c>
      <c r="C304" s="235" t="s">
        <v>3081</v>
      </c>
      <c r="D304" s="235" t="s">
        <v>3082</v>
      </c>
      <c r="E304" s="243">
        <v>6.57E13</v>
      </c>
      <c r="F304" s="244"/>
      <c r="G304" s="235" t="s">
        <v>3083</v>
      </c>
      <c r="H304" s="235" t="s">
        <v>3084</v>
      </c>
      <c r="I304" s="235" t="s">
        <v>3085</v>
      </c>
      <c r="J304" s="235" t="s">
        <v>3086</v>
      </c>
      <c r="K304" s="235" t="s">
        <v>3087</v>
      </c>
      <c r="N304" s="235" t="s">
        <v>1346</v>
      </c>
      <c r="O304" s="235" t="s">
        <v>1347</v>
      </c>
      <c r="P304" s="238">
        <v>1.0</v>
      </c>
      <c r="Q304" s="235" t="s">
        <v>627</v>
      </c>
      <c r="R304" s="238">
        <v>256.19</v>
      </c>
      <c r="S304" s="238">
        <v>12.81</v>
      </c>
      <c r="T304" s="238">
        <v>38.1</v>
      </c>
      <c r="U304" s="238">
        <v>1.9</v>
      </c>
      <c r="V304" s="238">
        <v>0.0</v>
      </c>
      <c r="W304" s="238">
        <v>0.0</v>
      </c>
      <c r="X304" s="235" t="s">
        <v>628</v>
      </c>
      <c r="Z304" s="244"/>
      <c r="AA304" s="244"/>
      <c r="AB304" s="244"/>
      <c r="AC304" s="235" t="s">
        <v>3088</v>
      </c>
      <c r="AD304" s="235" t="s">
        <v>1151</v>
      </c>
      <c r="AE304" s="238">
        <v>722142.0</v>
      </c>
      <c r="AF304" s="235" t="s">
        <v>631</v>
      </c>
      <c r="AG304" s="244"/>
      <c r="AH304" s="244"/>
      <c r="AI304" s="245"/>
      <c r="AJ304" s="245"/>
      <c r="AK304" s="245"/>
      <c r="AL304" s="245"/>
      <c r="AM304" s="244"/>
      <c r="AN304" s="244"/>
      <c r="AO304" s="238">
        <v>0.0</v>
      </c>
      <c r="AP304" s="238">
        <v>0.0</v>
      </c>
      <c r="AQ304" s="235" t="s">
        <v>632</v>
      </c>
      <c r="AR304" s="243">
        <v>3.71E11</v>
      </c>
      <c r="AS304" s="235" t="s">
        <v>656</v>
      </c>
      <c r="AT304" s="235" t="s">
        <v>14</v>
      </c>
      <c r="AU304" s="235" t="s">
        <v>634</v>
      </c>
      <c r="AV304" s="246" t="s">
        <v>635</v>
      </c>
      <c r="AW304" s="242"/>
      <c r="AX304" s="242"/>
      <c r="AY304" s="231"/>
      <c r="AZ304" s="231"/>
      <c r="BA304" s="227"/>
      <c r="BB304" s="231"/>
      <c r="BC304" s="227"/>
      <c r="BD304" s="227"/>
      <c r="BE304" s="227"/>
      <c r="BF304" s="227"/>
    </row>
    <row r="305">
      <c r="A305" s="235" t="s">
        <v>3089</v>
      </c>
      <c r="C305" s="235" t="s">
        <v>3090</v>
      </c>
      <c r="D305" s="235" t="s">
        <v>3091</v>
      </c>
      <c r="E305" s="243">
        <v>6.57E13</v>
      </c>
      <c r="F305" s="244"/>
      <c r="G305" s="235" t="s">
        <v>3093</v>
      </c>
      <c r="H305" s="235" t="s">
        <v>3094</v>
      </c>
      <c r="I305" s="235" t="s">
        <v>3094</v>
      </c>
      <c r="J305" s="235" t="s">
        <v>3095</v>
      </c>
      <c r="K305" s="235" t="s">
        <v>3096</v>
      </c>
      <c r="N305" s="235" t="s">
        <v>717</v>
      </c>
      <c r="O305" s="235" t="s">
        <v>718</v>
      </c>
      <c r="P305" s="238">
        <v>1.0</v>
      </c>
      <c r="Q305" s="235" t="s">
        <v>627</v>
      </c>
      <c r="R305" s="238">
        <v>456.19</v>
      </c>
      <c r="S305" s="238">
        <v>22.81</v>
      </c>
      <c r="T305" s="238">
        <v>0.0</v>
      </c>
      <c r="U305" s="238">
        <v>0.0</v>
      </c>
      <c r="V305" s="238">
        <v>0.0</v>
      </c>
      <c r="W305" s="238">
        <v>0.0</v>
      </c>
      <c r="X305" s="235" t="s">
        <v>628</v>
      </c>
      <c r="Z305" s="244"/>
      <c r="AA305" s="244"/>
      <c r="AB305" s="244"/>
      <c r="AC305" s="235" t="s">
        <v>687</v>
      </c>
      <c r="AD305" s="235" t="s">
        <v>666</v>
      </c>
      <c r="AE305" s="238">
        <v>600101.0</v>
      </c>
      <c r="AF305" s="235" t="s">
        <v>631</v>
      </c>
      <c r="AG305" s="244"/>
      <c r="AH305" s="244"/>
      <c r="AI305" s="245"/>
      <c r="AJ305" s="245"/>
      <c r="AK305" s="245"/>
      <c r="AL305" s="245"/>
      <c r="AM305" s="244"/>
      <c r="AN305" s="244"/>
      <c r="AO305" s="238">
        <v>0.0</v>
      </c>
      <c r="AP305" s="238">
        <v>0.0</v>
      </c>
      <c r="AQ305" s="235" t="s">
        <v>632</v>
      </c>
      <c r="AR305" s="243">
        <v>1.68E11</v>
      </c>
      <c r="AS305" s="235" t="s">
        <v>2276</v>
      </c>
      <c r="AT305" s="235" t="s">
        <v>11</v>
      </c>
      <c r="AU305" s="235" t="s">
        <v>634</v>
      </c>
      <c r="AV305" s="246" t="s">
        <v>635</v>
      </c>
      <c r="AW305" s="242"/>
      <c r="AX305" s="242"/>
      <c r="AY305" s="231"/>
      <c r="AZ305" s="231"/>
      <c r="BA305" s="227"/>
      <c r="BB305" s="231"/>
      <c r="BC305" s="227"/>
      <c r="BD305" s="227"/>
      <c r="BE305" s="227"/>
      <c r="BF305" s="227"/>
    </row>
    <row r="306">
      <c r="A306" s="235" t="s">
        <v>3097</v>
      </c>
      <c r="C306" s="235" t="s">
        <v>3098</v>
      </c>
      <c r="D306" s="235" t="s">
        <v>3099</v>
      </c>
      <c r="E306" s="243">
        <v>6.57E13</v>
      </c>
      <c r="F306" s="244"/>
      <c r="G306" s="235" t="s">
        <v>3100</v>
      </c>
      <c r="H306" s="235" t="s">
        <v>3101</v>
      </c>
      <c r="I306" s="235" t="s">
        <v>2692</v>
      </c>
      <c r="J306" s="235" t="s">
        <v>3102</v>
      </c>
      <c r="K306" s="235" t="s">
        <v>3103</v>
      </c>
      <c r="N306" s="235" t="s">
        <v>726</v>
      </c>
      <c r="O306" s="235" t="s">
        <v>727</v>
      </c>
      <c r="P306" s="238">
        <v>1.0</v>
      </c>
      <c r="Q306" s="235" t="s">
        <v>627</v>
      </c>
      <c r="R306" s="238">
        <v>246.66</v>
      </c>
      <c r="S306" s="238">
        <v>12.34</v>
      </c>
      <c r="T306" s="238">
        <v>18.1</v>
      </c>
      <c r="U306" s="238">
        <v>0.9</v>
      </c>
      <c r="V306" s="238">
        <v>0.0</v>
      </c>
      <c r="W306" s="238">
        <v>0.0</v>
      </c>
      <c r="X306" s="235" t="s">
        <v>628</v>
      </c>
      <c r="Z306" s="244"/>
      <c r="AA306" s="244"/>
      <c r="AB306" s="244"/>
      <c r="AC306" s="235" t="s">
        <v>1456</v>
      </c>
      <c r="AD306" s="235" t="s">
        <v>928</v>
      </c>
      <c r="AE306" s="238">
        <v>122018.0</v>
      </c>
      <c r="AF306" s="235" t="s">
        <v>631</v>
      </c>
      <c r="AG306" s="244"/>
      <c r="AH306" s="244"/>
      <c r="AI306" s="245"/>
      <c r="AJ306" s="245"/>
      <c r="AK306" s="245"/>
      <c r="AL306" s="245"/>
      <c r="AM306" s="244"/>
      <c r="AN306" s="244"/>
      <c r="AO306" s="238">
        <v>0.0</v>
      </c>
      <c r="AP306" s="238">
        <v>-18.1</v>
      </c>
      <c r="AQ306" s="235" t="s">
        <v>632</v>
      </c>
      <c r="AR306" s="243">
        <v>1.68E11</v>
      </c>
      <c r="AS306" s="235" t="s">
        <v>2717</v>
      </c>
      <c r="AT306" s="235" t="s">
        <v>533</v>
      </c>
      <c r="AU306" s="235" t="s">
        <v>634</v>
      </c>
      <c r="AV306" s="246" t="s">
        <v>635</v>
      </c>
      <c r="AW306" s="242"/>
      <c r="AX306" s="242"/>
      <c r="AY306" s="231"/>
      <c r="AZ306" s="231"/>
      <c r="BA306" s="227"/>
      <c r="BB306" s="231"/>
      <c r="BC306" s="227"/>
      <c r="BD306" s="227"/>
      <c r="BE306" s="227"/>
      <c r="BF306" s="227"/>
    </row>
    <row r="307">
      <c r="A307" s="235" t="s">
        <v>3104</v>
      </c>
      <c r="C307" s="235" t="s">
        <v>3105</v>
      </c>
      <c r="D307" s="235" t="s">
        <v>3106</v>
      </c>
      <c r="E307" s="243">
        <v>6.57E13</v>
      </c>
      <c r="F307" s="244"/>
      <c r="G307" s="235" t="s">
        <v>3107</v>
      </c>
      <c r="H307" s="235" t="s">
        <v>3108</v>
      </c>
      <c r="I307" s="235" t="s">
        <v>3109</v>
      </c>
      <c r="J307" s="235" t="s">
        <v>3110</v>
      </c>
      <c r="K307" s="235" t="s">
        <v>3111</v>
      </c>
      <c r="N307" s="235" t="s">
        <v>90</v>
      </c>
      <c r="O307" s="235" t="s">
        <v>279</v>
      </c>
      <c r="P307" s="238">
        <v>1.0</v>
      </c>
      <c r="Q307" s="235" t="s">
        <v>627</v>
      </c>
      <c r="R307" s="238">
        <v>246.67</v>
      </c>
      <c r="S307" s="238">
        <v>11.96</v>
      </c>
      <c r="T307" s="238">
        <v>0.0</v>
      </c>
      <c r="U307" s="238">
        <v>0.0</v>
      </c>
      <c r="V307" s="238">
        <v>0.0</v>
      </c>
      <c r="W307" s="238">
        <v>0.0</v>
      </c>
      <c r="X307" s="235" t="s">
        <v>628</v>
      </c>
      <c r="Z307" s="244"/>
      <c r="AA307" s="244"/>
      <c r="AB307" s="244"/>
      <c r="AC307" s="235" t="s">
        <v>3112</v>
      </c>
      <c r="AD307" s="235" t="s">
        <v>3113</v>
      </c>
      <c r="AE307" s="238">
        <v>491337.0</v>
      </c>
      <c r="AF307" s="235" t="s">
        <v>631</v>
      </c>
      <c r="AG307" s="244"/>
      <c r="AH307" s="244"/>
      <c r="AI307" s="245"/>
      <c r="AJ307" s="245"/>
      <c r="AK307" s="245"/>
      <c r="AL307" s="245"/>
      <c r="AM307" s="244"/>
      <c r="AN307" s="244"/>
      <c r="AO307" s="238">
        <v>-7.4</v>
      </c>
      <c r="AP307" s="238">
        <v>0.0</v>
      </c>
      <c r="AQ307" s="235" t="s">
        <v>632</v>
      </c>
      <c r="AR307" s="243">
        <v>3.71E11</v>
      </c>
      <c r="AS307" s="235" t="s">
        <v>656</v>
      </c>
      <c r="AT307" s="235" t="s">
        <v>9</v>
      </c>
      <c r="AU307" s="235" t="s">
        <v>634</v>
      </c>
      <c r="AV307" s="246" t="s">
        <v>635</v>
      </c>
      <c r="AW307" s="242"/>
      <c r="AX307" s="242"/>
      <c r="AY307" s="231"/>
      <c r="AZ307" s="231"/>
      <c r="BA307" s="227"/>
      <c r="BB307" s="231"/>
      <c r="BC307" s="227"/>
      <c r="BD307" s="227"/>
      <c r="BE307" s="227"/>
      <c r="BF307" s="227"/>
    </row>
    <row r="308">
      <c r="A308" s="235" t="s">
        <v>3104</v>
      </c>
      <c r="C308" s="235" t="s">
        <v>3105</v>
      </c>
      <c r="D308" s="235" t="s">
        <v>3114</v>
      </c>
      <c r="E308" s="243">
        <v>6.57E13</v>
      </c>
      <c r="F308" s="244"/>
      <c r="G308" s="235" t="s">
        <v>3107</v>
      </c>
      <c r="H308" s="235" t="s">
        <v>3108</v>
      </c>
      <c r="I308" s="235" t="s">
        <v>3109</v>
      </c>
      <c r="J308" s="235" t="s">
        <v>3110</v>
      </c>
      <c r="K308" s="235" t="s">
        <v>3111</v>
      </c>
      <c r="N308" s="235" t="s">
        <v>1646</v>
      </c>
      <c r="O308" s="235" t="s">
        <v>1647</v>
      </c>
      <c r="P308" s="238">
        <v>1.0</v>
      </c>
      <c r="Q308" s="235" t="s">
        <v>627</v>
      </c>
      <c r="R308" s="238">
        <v>270.48</v>
      </c>
      <c r="S308" s="238">
        <v>13.11</v>
      </c>
      <c r="T308" s="238">
        <v>0.0</v>
      </c>
      <c r="U308" s="238">
        <v>0.0</v>
      </c>
      <c r="V308" s="238">
        <v>0.0</v>
      </c>
      <c r="W308" s="238">
        <v>0.0</v>
      </c>
      <c r="X308" s="235" t="s">
        <v>628</v>
      </c>
      <c r="Z308" s="244"/>
      <c r="AA308" s="244"/>
      <c r="AB308" s="244"/>
      <c r="AC308" s="235" t="s">
        <v>3112</v>
      </c>
      <c r="AD308" s="235" t="s">
        <v>3113</v>
      </c>
      <c r="AE308" s="238">
        <v>491337.0</v>
      </c>
      <c r="AF308" s="235" t="s">
        <v>631</v>
      </c>
      <c r="AG308" s="244"/>
      <c r="AH308" s="244"/>
      <c r="AI308" s="245"/>
      <c r="AJ308" s="245"/>
      <c r="AK308" s="245"/>
      <c r="AL308" s="245"/>
      <c r="AM308" s="244"/>
      <c r="AN308" s="244"/>
      <c r="AO308" s="238">
        <v>-8.11</v>
      </c>
      <c r="AP308" s="238">
        <v>0.0</v>
      </c>
      <c r="AQ308" s="235" t="s">
        <v>632</v>
      </c>
      <c r="AR308" s="243">
        <v>3.71E11</v>
      </c>
      <c r="AS308" s="235" t="s">
        <v>656</v>
      </c>
      <c r="AT308" s="235" t="s">
        <v>9</v>
      </c>
      <c r="AU308" s="235" t="s">
        <v>634</v>
      </c>
      <c r="AV308" s="246" t="s">
        <v>635</v>
      </c>
      <c r="AW308" s="242"/>
      <c r="AX308" s="242"/>
      <c r="AY308" s="231"/>
      <c r="AZ308" s="231"/>
      <c r="BA308" s="227"/>
      <c r="BB308" s="231"/>
      <c r="BC308" s="227"/>
      <c r="BD308" s="227"/>
      <c r="BE308" s="227"/>
      <c r="BF308" s="227"/>
    </row>
    <row r="309">
      <c r="A309" s="235" t="s">
        <v>3115</v>
      </c>
      <c r="C309" s="235" t="s">
        <v>3116</v>
      </c>
      <c r="D309" s="235" t="s">
        <v>3117</v>
      </c>
      <c r="E309" s="243">
        <v>6.57E13</v>
      </c>
      <c r="F309" s="244"/>
      <c r="G309" s="235" t="s">
        <v>3118</v>
      </c>
      <c r="H309" s="235" t="s">
        <v>3119</v>
      </c>
      <c r="I309" s="235" t="s">
        <v>3119</v>
      </c>
      <c r="J309" s="235" t="s">
        <v>3120</v>
      </c>
      <c r="K309" s="235" t="s">
        <v>3121</v>
      </c>
      <c r="N309" s="235" t="s">
        <v>82</v>
      </c>
      <c r="O309" s="235" t="s">
        <v>889</v>
      </c>
      <c r="P309" s="238">
        <v>1.0</v>
      </c>
      <c r="Q309" s="235" t="s">
        <v>627</v>
      </c>
      <c r="R309" s="238">
        <v>246.67</v>
      </c>
      <c r="S309" s="238">
        <v>12.33</v>
      </c>
      <c r="T309" s="238">
        <v>0.0</v>
      </c>
      <c r="U309" s="238">
        <v>0.0</v>
      </c>
      <c r="V309" s="238">
        <v>0.0</v>
      </c>
      <c r="W309" s="238">
        <v>0.0</v>
      </c>
      <c r="X309" s="235" t="s">
        <v>628</v>
      </c>
      <c r="Z309" s="244"/>
      <c r="AA309" s="244"/>
      <c r="AB309" s="244"/>
      <c r="AC309" s="235" t="s">
        <v>1279</v>
      </c>
      <c r="AD309" s="235" t="s">
        <v>917</v>
      </c>
      <c r="AE309" s="238">
        <v>302024.0</v>
      </c>
      <c r="AF309" s="235" t="s">
        <v>631</v>
      </c>
      <c r="AG309" s="244"/>
      <c r="AH309" s="244"/>
      <c r="AI309" s="245"/>
      <c r="AJ309" s="245"/>
      <c r="AK309" s="245"/>
      <c r="AL309" s="245"/>
      <c r="AM309" s="244"/>
      <c r="AN309" s="244"/>
      <c r="AO309" s="238">
        <v>0.0</v>
      </c>
      <c r="AP309" s="238">
        <v>0.0</v>
      </c>
      <c r="AQ309" s="235" t="s">
        <v>632</v>
      </c>
      <c r="AR309" s="243">
        <v>3.71E11</v>
      </c>
      <c r="AS309" s="235" t="s">
        <v>667</v>
      </c>
      <c r="AT309" s="235" t="s">
        <v>14</v>
      </c>
      <c r="AU309" s="235" t="s">
        <v>634</v>
      </c>
      <c r="AV309" s="246" t="s">
        <v>635</v>
      </c>
      <c r="AW309" s="242"/>
      <c r="AX309" s="242"/>
      <c r="AY309" s="231"/>
      <c r="AZ309" s="231"/>
      <c r="BA309" s="227"/>
      <c r="BB309" s="231"/>
      <c r="BC309" s="227"/>
      <c r="BD309" s="227"/>
      <c r="BE309" s="227"/>
      <c r="BF309" s="227"/>
    </row>
    <row r="310">
      <c r="A310" s="235" t="s">
        <v>3122</v>
      </c>
      <c r="C310" s="235" t="s">
        <v>3123</v>
      </c>
      <c r="D310" s="235" t="s">
        <v>3124</v>
      </c>
      <c r="E310" s="243">
        <v>6.57E13</v>
      </c>
      <c r="F310" s="244"/>
      <c r="G310" s="235" t="s">
        <v>3125</v>
      </c>
      <c r="H310" s="235" t="s">
        <v>3126</v>
      </c>
      <c r="I310" s="235" t="s">
        <v>3126</v>
      </c>
      <c r="J310" s="235" t="s">
        <v>3127</v>
      </c>
      <c r="K310" s="235" t="s">
        <v>3128</v>
      </c>
      <c r="N310" s="235" t="s">
        <v>127</v>
      </c>
      <c r="O310" s="235" t="s">
        <v>794</v>
      </c>
      <c r="P310" s="238">
        <v>1.0</v>
      </c>
      <c r="Q310" s="235" t="s">
        <v>627</v>
      </c>
      <c r="R310" s="238">
        <v>246.66</v>
      </c>
      <c r="S310" s="238">
        <v>12.34</v>
      </c>
      <c r="T310" s="238">
        <v>3.01</v>
      </c>
      <c r="U310" s="238">
        <v>0.16</v>
      </c>
      <c r="V310" s="238">
        <v>0.0</v>
      </c>
      <c r="W310" s="238">
        <v>0.0</v>
      </c>
      <c r="X310" s="235" t="s">
        <v>628</v>
      </c>
      <c r="Z310" s="244"/>
      <c r="AA310" s="244"/>
      <c r="AB310" s="244"/>
      <c r="AC310" s="235" t="s">
        <v>678</v>
      </c>
      <c r="AD310" s="235" t="s">
        <v>679</v>
      </c>
      <c r="AE310" s="238">
        <v>560040.0</v>
      </c>
      <c r="AF310" s="235" t="s">
        <v>631</v>
      </c>
      <c r="AG310" s="244"/>
      <c r="AH310" s="244"/>
      <c r="AI310" s="245"/>
      <c r="AJ310" s="245"/>
      <c r="AK310" s="245"/>
      <c r="AL310" s="245"/>
      <c r="AM310" s="244"/>
      <c r="AN310" s="244"/>
      <c r="AO310" s="238">
        <v>0.0</v>
      </c>
      <c r="AP310" s="238">
        <v>-3.01</v>
      </c>
      <c r="AQ310" s="235" t="s">
        <v>632</v>
      </c>
      <c r="AR310" s="243">
        <v>1.68E11</v>
      </c>
      <c r="AS310" s="235" t="s">
        <v>2717</v>
      </c>
      <c r="AT310" s="235" t="s">
        <v>11</v>
      </c>
      <c r="AU310" s="235" t="s">
        <v>634</v>
      </c>
      <c r="AV310" s="246" t="s">
        <v>635</v>
      </c>
      <c r="AW310" s="242"/>
      <c r="AX310" s="242"/>
      <c r="AY310" s="231"/>
      <c r="AZ310" s="231"/>
      <c r="BA310" s="227"/>
      <c r="BB310" s="231"/>
      <c r="BC310" s="227"/>
      <c r="BD310" s="227"/>
      <c r="BE310" s="227"/>
      <c r="BF310" s="227"/>
    </row>
    <row r="311">
      <c r="A311" s="235" t="s">
        <v>3129</v>
      </c>
      <c r="C311" s="235" t="s">
        <v>3130</v>
      </c>
      <c r="D311" s="235" t="s">
        <v>3131</v>
      </c>
      <c r="E311" s="243">
        <v>6.57E13</v>
      </c>
      <c r="F311" s="244"/>
      <c r="G311" s="235" t="s">
        <v>3132</v>
      </c>
      <c r="H311" s="235" t="s">
        <v>3133</v>
      </c>
      <c r="I311" s="235" t="s">
        <v>3133</v>
      </c>
      <c r="J311" s="235" t="s">
        <v>3134</v>
      </c>
      <c r="K311" s="235" t="s">
        <v>3135</v>
      </c>
      <c r="N311" s="235" t="s">
        <v>40</v>
      </c>
      <c r="O311" s="235" t="s">
        <v>327</v>
      </c>
      <c r="P311" s="238">
        <v>1.0</v>
      </c>
      <c r="Q311" s="235" t="s">
        <v>627</v>
      </c>
      <c r="R311" s="238">
        <v>237.14</v>
      </c>
      <c r="S311" s="238">
        <v>11.86</v>
      </c>
      <c r="T311" s="238">
        <v>0.0</v>
      </c>
      <c r="U311" s="238">
        <v>0.0</v>
      </c>
      <c r="V311" s="238">
        <v>0.0</v>
      </c>
      <c r="W311" s="238">
        <v>0.0</v>
      </c>
      <c r="X311" s="235" t="s">
        <v>628</v>
      </c>
      <c r="Z311" s="244"/>
      <c r="AA311" s="244"/>
      <c r="AB311" s="244"/>
      <c r="AC311" s="235" t="s">
        <v>3136</v>
      </c>
      <c r="AD311" s="235" t="s">
        <v>666</v>
      </c>
      <c r="AE311" s="238">
        <v>604407.0</v>
      </c>
      <c r="AF311" s="235" t="s">
        <v>631</v>
      </c>
      <c r="AG311" s="244"/>
      <c r="AH311" s="244"/>
      <c r="AI311" s="245"/>
      <c r="AJ311" s="245"/>
      <c r="AK311" s="245"/>
      <c r="AL311" s="245"/>
      <c r="AM311" s="244"/>
      <c r="AN311" s="244"/>
      <c r="AO311" s="238">
        <v>0.0</v>
      </c>
      <c r="AP311" s="238">
        <v>0.0</v>
      </c>
      <c r="AQ311" s="235" t="s">
        <v>632</v>
      </c>
      <c r="AR311" s="243">
        <v>3.71E11</v>
      </c>
      <c r="AS311" s="235" t="s">
        <v>2276</v>
      </c>
      <c r="AT311" s="235" t="s">
        <v>156</v>
      </c>
      <c r="AU311" s="235" t="s">
        <v>634</v>
      </c>
      <c r="AV311" s="246" t="s">
        <v>635</v>
      </c>
      <c r="AW311" s="242"/>
      <c r="AX311" s="242"/>
      <c r="AY311" s="231"/>
      <c r="AZ311" s="231"/>
      <c r="BA311" s="227"/>
      <c r="BB311" s="231"/>
      <c r="BC311" s="227"/>
      <c r="BD311" s="227"/>
      <c r="BE311" s="227"/>
      <c r="BF311" s="227"/>
    </row>
    <row r="312">
      <c r="A312" s="235" t="s">
        <v>3137</v>
      </c>
      <c r="C312" s="235" t="s">
        <v>3138</v>
      </c>
      <c r="D312" s="235" t="s">
        <v>3139</v>
      </c>
      <c r="E312" s="243">
        <v>6.57E13</v>
      </c>
      <c r="F312" s="244"/>
      <c r="G312" s="235" t="s">
        <v>3140</v>
      </c>
      <c r="H312" s="235" t="s">
        <v>3141</v>
      </c>
      <c r="I312" s="235" t="s">
        <v>3142</v>
      </c>
      <c r="J312" s="235" t="s">
        <v>3143</v>
      </c>
      <c r="K312" s="235" t="s">
        <v>3144</v>
      </c>
      <c r="N312" s="235" t="s">
        <v>92</v>
      </c>
      <c r="O312" s="235" t="s">
        <v>248</v>
      </c>
      <c r="P312" s="238">
        <v>1.0</v>
      </c>
      <c r="Q312" s="235" t="s">
        <v>627</v>
      </c>
      <c r="R312" s="238">
        <v>246.66</v>
      </c>
      <c r="S312" s="238">
        <v>12.34</v>
      </c>
      <c r="T312" s="238">
        <v>0.0</v>
      </c>
      <c r="U312" s="238">
        <v>0.0</v>
      </c>
      <c r="V312" s="238">
        <v>0.0</v>
      </c>
      <c r="W312" s="238">
        <v>0.0</v>
      </c>
      <c r="X312" s="235" t="s">
        <v>628</v>
      </c>
      <c r="Z312" s="244"/>
      <c r="AA312" s="244"/>
      <c r="AB312" s="244"/>
      <c r="AC312" s="235" t="s">
        <v>1255</v>
      </c>
      <c r="AD312" s="235" t="s">
        <v>845</v>
      </c>
      <c r="AE312" s="238">
        <v>400612.0</v>
      </c>
      <c r="AF312" s="235" t="s">
        <v>631</v>
      </c>
      <c r="AG312" s="244"/>
      <c r="AH312" s="244"/>
      <c r="AI312" s="245"/>
      <c r="AJ312" s="245"/>
      <c r="AK312" s="245"/>
      <c r="AL312" s="245"/>
      <c r="AM312" s="244"/>
      <c r="AN312" s="244"/>
      <c r="AO312" s="238">
        <v>0.0</v>
      </c>
      <c r="AP312" s="238">
        <v>0.0</v>
      </c>
      <c r="AQ312" s="235" t="s">
        <v>1356</v>
      </c>
      <c r="AR312" s="247" t="s">
        <v>3145</v>
      </c>
      <c r="AS312" s="235" t="s">
        <v>1329</v>
      </c>
      <c r="AT312" s="235" t="s">
        <v>17</v>
      </c>
      <c r="AU312" s="235" t="s">
        <v>634</v>
      </c>
      <c r="AV312" s="246" t="s">
        <v>635</v>
      </c>
      <c r="AW312" s="242"/>
      <c r="AX312" s="242"/>
      <c r="AY312" s="231"/>
      <c r="AZ312" s="231"/>
      <c r="BA312" s="227"/>
      <c r="BB312" s="231"/>
      <c r="BC312" s="227"/>
      <c r="BD312" s="227"/>
      <c r="BE312" s="227"/>
      <c r="BF312" s="227"/>
    </row>
    <row r="313">
      <c r="A313" s="235" t="s">
        <v>3146</v>
      </c>
      <c r="C313" s="235" t="s">
        <v>3147</v>
      </c>
      <c r="D313" s="235" t="s">
        <v>3148</v>
      </c>
      <c r="E313" s="243">
        <v>6.57E13</v>
      </c>
      <c r="F313" s="244"/>
      <c r="G313" s="235" t="s">
        <v>3149</v>
      </c>
      <c r="H313" s="235" t="s">
        <v>3150</v>
      </c>
      <c r="I313" s="235" t="s">
        <v>3150</v>
      </c>
      <c r="J313" s="235" t="s">
        <v>3151</v>
      </c>
      <c r="K313" s="235" t="s">
        <v>3152</v>
      </c>
      <c r="N313" s="235" t="s">
        <v>154</v>
      </c>
      <c r="O313" s="235" t="s">
        <v>766</v>
      </c>
      <c r="P313" s="238">
        <v>1.0</v>
      </c>
      <c r="Q313" s="235" t="s">
        <v>627</v>
      </c>
      <c r="R313" s="238">
        <v>465.71</v>
      </c>
      <c r="S313" s="238">
        <v>23.29</v>
      </c>
      <c r="T313" s="238">
        <v>0.0</v>
      </c>
      <c r="U313" s="238">
        <v>0.0</v>
      </c>
      <c r="V313" s="238">
        <v>0.0</v>
      </c>
      <c r="W313" s="238">
        <v>0.0</v>
      </c>
      <c r="X313" s="235" t="s">
        <v>628</v>
      </c>
      <c r="Z313" s="244"/>
      <c r="AA313" s="244"/>
      <c r="AB313" s="244"/>
      <c r="AC313" s="235" t="s">
        <v>697</v>
      </c>
      <c r="AD313" s="235" t="s">
        <v>698</v>
      </c>
      <c r="AE313" s="238">
        <v>502032.0</v>
      </c>
      <c r="AF313" s="235" t="s">
        <v>631</v>
      </c>
      <c r="AG313" s="244"/>
      <c r="AH313" s="244"/>
      <c r="AI313" s="245"/>
      <c r="AJ313" s="245"/>
      <c r="AK313" s="245"/>
      <c r="AL313" s="245"/>
      <c r="AM313" s="244"/>
      <c r="AN313" s="244"/>
      <c r="AO313" s="238">
        <v>0.0</v>
      </c>
      <c r="AP313" s="238">
        <v>0.0</v>
      </c>
      <c r="AQ313" s="235" t="s">
        <v>632</v>
      </c>
      <c r="AR313" s="243">
        <v>3.71E11</v>
      </c>
      <c r="AS313" s="235" t="s">
        <v>1367</v>
      </c>
      <c r="AT313" s="235" t="s">
        <v>546</v>
      </c>
      <c r="AU313" s="235" t="s">
        <v>634</v>
      </c>
      <c r="AV313" s="246" t="s">
        <v>635</v>
      </c>
      <c r="AW313" s="242"/>
      <c r="AX313" s="242"/>
      <c r="AY313" s="231"/>
      <c r="AZ313" s="231"/>
      <c r="BA313" s="227"/>
      <c r="BB313" s="231"/>
      <c r="BC313" s="227"/>
      <c r="BD313" s="227"/>
      <c r="BE313" s="227"/>
      <c r="BF313" s="227"/>
    </row>
    <row r="314">
      <c r="A314" s="235" t="s">
        <v>3155</v>
      </c>
      <c r="C314" s="235" t="s">
        <v>3156</v>
      </c>
      <c r="D314" s="235" t="s">
        <v>3157</v>
      </c>
      <c r="E314" s="243">
        <v>6.57E13</v>
      </c>
      <c r="F314" s="244"/>
      <c r="G314" s="235" t="s">
        <v>3158</v>
      </c>
      <c r="H314" s="235" t="s">
        <v>3159</v>
      </c>
      <c r="I314" s="235" t="s">
        <v>3159</v>
      </c>
      <c r="J314" s="235" t="s">
        <v>3160</v>
      </c>
      <c r="K314" s="235" t="s">
        <v>3161</v>
      </c>
      <c r="N314" s="235" t="s">
        <v>120</v>
      </c>
      <c r="O314" s="235" t="s">
        <v>324</v>
      </c>
      <c r="P314" s="238">
        <v>1.0</v>
      </c>
      <c r="Q314" s="235" t="s">
        <v>627</v>
      </c>
      <c r="R314" s="238">
        <v>246.67</v>
      </c>
      <c r="S314" s="238">
        <v>12.33</v>
      </c>
      <c r="T314" s="238">
        <v>0.0</v>
      </c>
      <c r="U314" s="238">
        <v>0.0</v>
      </c>
      <c r="V314" s="238">
        <v>0.0</v>
      </c>
      <c r="W314" s="238">
        <v>0.0</v>
      </c>
      <c r="X314" s="235" t="s">
        <v>628</v>
      </c>
      <c r="Z314" s="244"/>
      <c r="AA314" s="244"/>
      <c r="AB314" s="244"/>
      <c r="AC314" s="235" t="s">
        <v>687</v>
      </c>
      <c r="AD314" s="235" t="s">
        <v>666</v>
      </c>
      <c r="AE314" s="238">
        <v>600130.0</v>
      </c>
      <c r="AF314" s="235" t="s">
        <v>631</v>
      </c>
      <c r="AG314" s="244"/>
      <c r="AH314" s="244"/>
      <c r="AI314" s="245"/>
      <c r="AJ314" s="245"/>
      <c r="AK314" s="245"/>
      <c r="AL314" s="245"/>
      <c r="AM314" s="244"/>
      <c r="AN314" s="244"/>
      <c r="AO314" s="238">
        <v>0.0</v>
      </c>
      <c r="AP314" s="238">
        <v>0.0</v>
      </c>
      <c r="AQ314" s="235" t="s">
        <v>632</v>
      </c>
      <c r="AR314" s="243">
        <v>1.68E11</v>
      </c>
      <c r="AS314" s="235" t="s">
        <v>2276</v>
      </c>
      <c r="AT314" s="235" t="s">
        <v>11</v>
      </c>
      <c r="AU314" s="235" t="s">
        <v>634</v>
      </c>
      <c r="AV314" s="246" t="s">
        <v>635</v>
      </c>
      <c r="AW314" s="242"/>
      <c r="AX314" s="242"/>
      <c r="AY314" s="231"/>
      <c r="AZ314" s="231"/>
      <c r="BA314" s="227"/>
      <c r="BB314" s="231"/>
      <c r="BC314" s="227"/>
      <c r="BD314" s="227"/>
      <c r="BE314" s="227"/>
      <c r="BF314" s="227"/>
    </row>
    <row r="315">
      <c r="A315" s="235" t="s">
        <v>3162</v>
      </c>
      <c r="C315" s="235" t="s">
        <v>3163</v>
      </c>
      <c r="D315" s="235" t="s">
        <v>3164</v>
      </c>
      <c r="E315" s="243">
        <v>6.57E13</v>
      </c>
      <c r="F315" s="244"/>
      <c r="G315" s="235" t="s">
        <v>3165</v>
      </c>
      <c r="H315" s="235" t="s">
        <v>3166</v>
      </c>
      <c r="I315" s="235" t="s">
        <v>3166</v>
      </c>
      <c r="J315" s="235" t="s">
        <v>3167</v>
      </c>
      <c r="K315" s="235" t="s">
        <v>3168</v>
      </c>
      <c r="N315" s="235" t="s">
        <v>120</v>
      </c>
      <c r="O315" s="235" t="s">
        <v>324</v>
      </c>
      <c r="P315" s="238">
        <v>1.0</v>
      </c>
      <c r="Q315" s="235" t="s">
        <v>627</v>
      </c>
      <c r="R315" s="238">
        <v>246.67</v>
      </c>
      <c r="S315" s="238">
        <v>12.33</v>
      </c>
      <c r="T315" s="238">
        <v>0.0</v>
      </c>
      <c r="U315" s="238">
        <v>0.0</v>
      </c>
      <c r="V315" s="238">
        <v>0.0</v>
      </c>
      <c r="W315" s="238">
        <v>0.0</v>
      </c>
      <c r="X315" s="235" t="s">
        <v>628</v>
      </c>
      <c r="Z315" s="244"/>
      <c r="AA315" s="244"/>
      <c r="AB315" s="244"/>
      <c r="AC315" s="235" t="s">
        <v>3169</v>
      </c>
      <c r="AD315" s="235" t="s">
        <v>854</v>
      </c>
      <c r="AE315" s="238">
        <v>403713.0</v>
      </c>
      <c r="AF315" s="235" t="s">
        <v>631</v>
      </c>
      <c r="AG315" s="244"/>
      <c r="AH315" s="244"/>
      <c r="AI315" s="245"/>
      <c r="AJ315" s="245"/>
      <c r="AK315" s="245"/>
      <c r="AL315" s="245"/>
      <c r="AM315" s="244"/>
      <c r="AN315" s="244"/>
      <c r="AO315" s="238">
        <v>0.0</v>
      </c>
      <c r="AP315" s="238">
        <v>0.0</v>
      </c>
      <c r="AQ315" s="235" t="s">
        <v>632</v>
      </c>
      <c r="AR315" s="243">
        <v>3.71E11</v>
      </c>
      <c r="AS315" s="235" t="s">
        <v>1367</v>
      </c>
      <c r="AT315" s="235" t="s">
        <v>11</v>
      </c>
      <c r="AU315" s="235" t="s">
        <v>634</v>
      </c>
      <c r="AV315" s="246" t="s">
        <v>635</v>
      </c>
      <c r="AW315" s="242"/>
      <c r="AX315" s="242"/>
      <c r="AY315" s="231"/>
      <c r="AZ315" s="231"/>
      <c r="BA315" s="227"/>
      <c r="BB315" s="231"/>
      <c r="BC315" s="227"/>
      <c r="BD315" s="227"/>
      <c r="BE315" s="227"/>
      <c r="BF315" s="227"/>
    </row>
    <row r="316">
      <c r="A316" s="235" t="s">
        <v>3170</v>
      </c>
      <c r="C316" s="235" t="s">
        <v>3171</v>
      </c>
      <c r="D316" s="235" t="s">
        <v>3172</v>
      </c>
      <c r="E316" s="243">
        <v>6.57E13</v>
      </c>
      <c r="F316" s="244"/>
      <c r="G316" s="235" t="s">
        <v>3173</v>
      </c>
      <c r="H316" s="235" t="s">
        <v>3174</v>
      </c>
      <c r="I316" s="235" t="s">
        <v>3174</v>
      </c>
      <c r="J316" s="235" t="s">
        <v>3175</v>
      </c>
      <c r="K316" s="235" t="s">
        <v>3176</v>
      </c>
      <c r="N316" s="235" t="s">
        <v>566</v>
      </c>
      <c r="O316" s="235" t="s">
        <v>1834</v>
      </c>
      <c r="P316" s="238">
        <v>1.0</v>
      </c>
      <c r="Q316" s="235" t="s">
        <v>627</v>
      </c>
      <c r="R316" s="238">
        <v>422.88</v>
      </c>
      <c r="S316" s="238">
        <v>74.6</v>
      </c>
      <c r="T316" s="238">
        <v>0.0</v>
      </c>
      <c r="U316" s="238">
        <v>0.0</v>
      </c>
      <c r="V316" s="238">
        <v>0.0</v>
      </c>
      <c r="W316" s="238">
        <v>0.0</v>
      </c>
      <c r="X316" s="235" t="s">
        <v>628</v>
      </c>
      <c r="Z316" s="244"/>
      <c r="AA316" s="244"/>
      <c r="AB316" s="244"/>
      <c r="AC316" s="235" t="s">
        <v>1456</v>
      </c>
      <c r="AD316" s="235" t="s">
        <v>928</v>
      </c>
      <c r="AE316" s="238">
        <v>122101.0</v>
      </c>
      <c r="AF316" s="235" t="s">
        <v>631</v>
      </c>
      <c r="AG316" s="244"/>
      <c r="AH316" s="244"/>
      <c r="AI316" s="245"/>
      <c r="AJ316" s="245"/>
      <c r="AK316" s="245"/>
      <c r="AL316" s="245"/>
      <c r="AM316" s="244"/>
      <c r="AN316" s="244"/>
      <c r="AO316" s="238">
        <v>-8.46</v>
      </c>
      <c r="AP316" s="238">
        <v>0.0</v>
      </c>
      <c r="AQ316" s="235" t="s">
        <v>632</v>
      </c>
      <c r="AR316" s="243">
        <v>3.71E11</v>
      </c>
      <c r="AS316" s="235" t="s">
        <v>656</v>
      </c>
      <c r="AT316" s="235" t="s">
        <v>156</v>
      </c>
      <c r="AU316" s="235" t="s">
        <v>634</v>
      </c>
      <c r="AV316" s="246" t="s">
        <v>635</v>
      </c>
      <c r="AW316" s="242"/>
      <c r="AX316" s="242"/>
      <c r="AY316" s="231"/>
      <c r="AZ316" s="231"/>
      <c r="BA316" s="227"/>
      <c r="BB316" s="231"/>
      <c r="BC316" s="227"/>
      <c r="BD316" s="227"/>
      <c r="BE316" s="227"/>
      <c r="BF316" s="227"/>
    </row>
    <row r="317">
      <c r="A317" s="235" t="s">
        <v>3177</v>
      </c>
      <c r="C317" s="235" t="s">
        <v>3178</v>
      </c>
      <c r="D317" s="235" t="s">
        <v>3179</v>
      </c>
      <c r="E317" s="243">
        <v>6.57E13</v>
      </c>
      <c r="F317" s="244"/>
      <c r="G317" s="235" t="s">
        <v>3180</v>
      </c>
      <c r="H317" s="235" t="s">
        <v>3181</v>
      </c>
      <c r="I317" s="235" t="s">
        <v>3182</v>
      </c>
      <c r="J317" s="235" t="s">
        <v>3183</v>
      </c>
      <c r="K317" s="235" t="s">
        <v>3184</v>
      </c>
      <c r="N317" s="235" t="s">
        <v>1346</v>
      </c>
      <c r="O317" s="235" t="s">
        <v>1347</v>
      </c>
      <c r="P317" s="238">
        <v>1.0</v>
      </c>
      <c r="Q317" s="235" t="s">
        <v>627</v>
      </c>
      <c r="R317" s="238">
        <v>256.19</v>
      </c>
      <c r="S317" s="238">
        <v>12.81</v>
      </c>
      <c r="T317" s="238">
        <v>0.0</v>
      </c>
      <c r="U317" s="238">
        <v>0.0</v>
      </c>
      <c r="V317" s="238">
        <v>0.0</v>
      </c>
      <c r="W317" s="238">
        <v>0.0</v>
      </c>
      <c r="X317" s="235" t="s">
        <v>628</v>
      </c>
      <c r="Z317" s="244"/>
      <c r="AA317" s="244"/>
      <c r="AB317" s="244"/>
      <c r="AC317" s="235" t="s">
        <v>3185</v>
      </c>
      <c r="AD317" s="235" t="s">
        <v>1086</v>
      </c>
      <c r="AE317" s="238">
        <v>147002.0</v>
      </c>
      <c r="AF317" s="235" t="s">
        <v>631</v>
      </c>
      <c r="AG317" s="244"/>
      <c r="AH317" s="244"/>
      <c r="AI317" s="245"/>
      <c r="AJ317" s="245"/>
      <c r="AK317" s="245"/>
      <c r="AL317" s="245"/>
      <c r="AM317" s="244"/>
      <c r="AN317" s="244"/>
      <c r="AO317" s="238">
        <v>0.0</v>
      </c>
      <c r="AP317" s="238">
        <v>0.0</v>
      </c>
      <c r="AQ317" s="235" t="s">
        <v>632</v>
      </c>
      <c r="AR317" s="243">
        <v>1.68E11</v>
      </c>
      <c r="AS317" s="235" t="s">
        <v>2276</v>
      </c>
      <c r="AT317" s="235" t="s">
        <v>533</v>
      </c>
      <c r="AU317" s="235" t="s">
        <v>634</v>
      </c>
      <c r="AV317" s="246" t="s">
        <v>635</v>
      </c>
      <c r="AW317" s="242"/>
      <c r="AX317" s="242"/>
      <c r="AY317" s="231"/>
      <c r="AZ317" s="231"/>
      <c r="BA317" s="227"/>
      <c r="BB317" s="231"/>
      <c r="BC317" s="227"/>
      <c r="BD317" s="227"/>
      <c r="BE317" s="227"/>
      <c r="BF317" s="227"/>
    </row>
    <row r="318">
      <c r="A318" s="235" t="s">
        <v>3186</v>
      </c>
      <c r="C318" s="235" t="s">
        <v>3187</v>
      </c>
      <c r="D318" s="235" t="s">
        <v>3189</v>
      </c>
      <c r="E318" s="243">
        <v>6.57E13</v>
      </c>
      <c r="F318" s="244"/>
      <c r="G318" s="235" t="s">
        <v>3190</v>
      </c>
      <c r="H318" s="235" t="s">
        <v>3191</v>
      </c>
      <c r="I318" s="235" t="s">
        <v>3191</v>
      </c>
      <c r="J318" s="235" t="s">
        <v>3193</v>
      </c>
      <c r="K318" s="235" t="s">
        <v>3194</v>
      </c>
      <c r="N318" s="235" t="s">
        <v>90</v>
      </c>
      <c r="O318" s="235" t="s">
        <v>279</v>
      </c>
      <c r="P318" s="238">
        <v>1.0</v>
      </c>
      <c r="Q318" s="235" t="s">
        <v>627</v>
      </c>
      <c r="R318" s="238">
        <v>246.67</v>
      </c>
      <c r="S318" s="238">
        <v>12.33</v>
      </c>
      <c r="T318" s="238">
        <v>0.0</v>
      </c>
      <c r="U318" s="238">
        <v>0.0</v>
      </c>
      <c r="V318" s="238">
        <v>0.0</v>
      </c>
      <c r="W318" s="238">
        <v>0.0</v>
      </c>
      <c r="X318" s="235" t="s">
        <v>628</v>
      </c>
      <c r="Z318" s="244"/>
      <c r="AA318" s="244"/>
      <c r="AB318" s="244"/>
      <c r="AC318" s="235" t="s">
        <v>3195</v>
      </c>
      <c r="AD318" s="235" t="s">
        <v>881</v>
      </c>
      <c r="AE318" s="238">
        <v>751024.0</v>
      </c>
      <c r="AF318" s="235" t="s">
        <v>631</v>
      </c>
      <c r="AG318" s="244"/>
      <c r="AH318" s="244"/>
      <c r="AI318" s="245"/>
      <c r="AJ318" s="245"/>
      <c r="AK318" s="245"/>
      <c r="AL318" s="245"/>
      <c r="AM318" s="244"/>
      <c r="AN318" s="244"/>
      <c r="AO318" s="238">
        <v>0.0</v>
      </c>
      <c r="AP318" s="238">
        <v>0.0</v>
      </c>
      <c r="AQ318" s="235" t="s">
        <v>632</v>
      </c>
      <c r="AR318" s="243">
        <v>3.71E11</v>
      </c>
      <c r="AS318" s="235" t="s">
        <v>656</v>
      </c>
      <c r="AT318" s="235" t="s">
        <v>533</v>
      </c>
      <c r="AU318" s="235" t="s">
        <v>634</v>
      </c>
      <c r="AV318" s="246" t="s">
        <v>635</v>
      </c>
      <c r="AW318" s="242"/>
      <c r="AX318" s="242"/>
      <c r="AY318" s="231"/>
      <c r="AZ318" s="231"/>
      <c r="BA318" s="227"/>
      <c r="BB318" s="231"/>
      <c r="BC318" s="227"/>
      <c r="BD318" s="227"/>
      <c r="BE318" s="227"/>
      <c r="BF318" s="227"/>
    </row>
    <row r="319">
      <c r="A319" s="235" t="s">
        <v>3196</v>
      </c>
      <c r="C319" s="235" t="s">
        <v>3197</v>
      </c>
      <c r="D319" s="235" t="s">
        <v>3198</v>
      </c>
      <c r="E319" s="243">
        <v>6.57E13</v>
      </c>
      <c r="F319" s="244"/>
      <c r="G319" s="235" t="s">
        <v>3199</v>
      </c>
      <c r="H319" s="235" t="s">
        <v>3200</v>
      </c>
      <c r="I319" s="235" t="s">
        <v>3200</v>
      </c>
      <c r="J319" s="235" t="s">
        <v>3201</v>
      </c>
      <c r="K319" s="235" t="s">
        <v>3202</v>
      </c>
      <c r="N319" s="235" t="s">
        <v>154</v>
      </c>
      <c r="O319" s="235" t="s">
        <v>766</v>
      </c>
      <c r="P319" s="238">
        <v>1.0</v>
      </c>
      <c r="Q319" s="235" t="s">
        <v>627</v>
      </c>
      <c r="R319" s="238">
        <v>465.72</v>
      </c>
      <c r="S319" s="238">
        <v>23.28</v>
      </c>
      <c r="T319" s="238">
        <v>0.0</v>
      </c>
      <c r="U319" s="238">
        <v>0.0</v>
      </c>
      <c r="V319" s="238">
        <v>0.0</v>
      </c>
      <c r="W319" s="238">
        <v>0.0</v>
      </c>
      <c r="X319" s="235" t="s">
        <v>628</v>
      </c>
      <c r="Z319" s="244"/>
      <c r="AA319" s="244"/>
      <c r="AB319" s="244"/>
      <c r="AC319" s="235" t="s">
        <v>1095</v>
      </c>
      <c r="AD319" s="235" t="s">
        <v>845</v>
      </c>
      <c r="AE319" s="238">
        <v>410206.0</v>
      </c>
      <c r="AF319" s="235" t="s">
        <v>631</v>
      </c>
      <c r="AG319" s="244"/>
      <c r="AH319" s="244"/>
      <c r="AI319" s="245"/>
      <c r="AJ319" s="245"/>
      <c r="AK319" s="245"/>
      <c r="AL319" s="245"/>
      <c r="AM319" s="244"/>
      <c r="AN319" s="244"/>
      <c r="AO319" s="238">
        <v>0.0</v>
      </c>
      <c r="AP319" s="238">
        <v>0.0</v>
      </c>
      <c r="AQ319" s="235" t="s">
        <v>632</v>
      </c>
      <c r="AR319" s="243">
        <v>3.71E11</v>
      </c>
      <c r="AS319" s="235" t="s">
        <v>2276</v>
      </c>
      <c r="AT319" s="235" t="s">
        <v>16</v>
      </c>
      <c r="AU319" s="235" t="s">
        <v>634</v>
      </c>
      <c r="AV319" s="246" t="s">
        <v>635</v>
      </c>
      <c r="AW319" s="242"/>
      <c r="AX319" s="242"/>
      <c r="AY319" s="231"/>
      <c r="AZ319" s="231"/>
      <c r="BA319" s="227"/>
      <c r="BB319" s="231"/>
      <c r="BC319" s="227"/>
      <c r="BD319" s="227"/>
      <c r="BE319" s="227"/>
      <c r="BF319" s="227"/>
    </row>
    <row r="320">
      <c r="A320" s="235" t="s">
        <v>3203</v>
      </c>
      <c r="C320" s="235" t="s">
        <v>3204</v>
      </c>
      <c r="D320" s="235" t="s">
        <v>3205</v>
      </c>
      <c r="E320" s="243">
        <v>6.57E13</v>
      </c>
      <c r="F320" s="244"/>
      <c r="G320" s="235" t="s">
        <v>3206</v>
      </c>
      <c r="H320" s="235" t="s">
        <v>3207</v>
      </c>
      <c r="I320" s="235" t="s">
        <v>3207</v>
      </c>
      <c r="J320" s="235" t="s">
        <v>3208</v>
      </c>
      <c r="K320" s="235" t="s">
        <v>3209</v>
      </c>
      <c r="N320" s="235" t="s">
        <v>42</v>
      </c>
      <c r="O320" s="235" t="s">
        <v>204</v>
      </c>
      <c r="P320" s="238">
        <v>1.0</v>
      </c>
      <c r="Q320" s="235" t="s">
        <v>627</v>
      </c>
      <c r="R320" s="238">
        <v>237.14</v>
      </c>
      <c r="S320" s="238">
        <v>11.86</v>
      </c>
      <c r="T320" s="238">
        <v>0.0</v>
      </c>
      <c r="U320" s="238">
        <v>0.0</v>
      </c>
      <c r="V320" s="238">
        <v>0.0</v>
      </c>
      <c r="W320" s="238">
        <v>0.0</v>
      </c>
      <c r="X320" s="235" t="s">
        <v>628</v>
      </c>
      <c r="Z320" s="244"/>
      <c r="AA320" s="244"/>
      <c r="AB320" s="244"/>
      <c r="AC320" s="235" t="s">
        <v>814</v>
      </c>
      <c r="AD320" s="235" t="s">
        <v>698</v>
      </c>
      <c r="AE320" s="238">
        <v>500043.0</v>
      </c>
      <c r="AF320" s="235" t="s">
        <v>631</v>
      </c>
      <c r="AG320" s="244"/>
      <c r="AH320" s="244"/>
      <c r="AI320" s="245"/>
      <c r="AJ320" s="245"/>
      <c r="AK320" s="245"/>
      <c r="AL320" s="245"/>
      <c r="AM320" s="244"/>
      <c r="AN320" s="244"/>
      <c r="AO320" s="238">
        <v>0.0</v>
      </c>
      <c r="AP320" s="238">
        <v>0.0</v>
      </c>
      <c r="AQ320" s="235" t="s">
        <v>632</v>
      </c>
      <c r="AR320" s="243">
        <v>3.71E11</v>
      </c>
      <c r="AS320" s="235" t="s">
        <v>1367</v>
      </c>
      <c r="AT320" s="235" t="s">
        <v>546</v>
      </c>
      <c r="AU320" s="235" t="s">
        <v>634</v>
      </c>
      <c r="AV320" s="246" t="s">
        <v>635</v>
      </c>
      <c r="AW320" s="242"/>
      <c r="AX320" s="242"/>
      <c r="AY320" s="231"/>
      <c r="AZ320" s="231"/>
      <c r="BA320" s="227"/>
      <c r="BB320" s="231"/>
      <c r="BC320" s="227"/>
      <c r="BD320" s="227"/>
      <c r="BE320" s="227"/>
      <c r="BF320" s="227"/>
    </row>
    <row r="321">
      <c r="A321" s="235" t="s">
        <v>3211</v>
      </c>
      <c r="C321" s="235" t="s">
        <v>3212</v>
      </c>
      <c r="D321" s="235" t="s">
        <v>3213</v>
      </c>
      <c r="E321" s="243">
        <v>6.57E13</v>
      </c>
      <c r="F321" s="244"/>
      <c r="G321" s="235" t="s">
        <v>3214</v>
      </c>
      <c r="H321" s="235" t="s">
        <v>3215</v>
      </c>
      <c r="I321" s="235" t="s">
        <v>3215</v>
      </c>
      <c r="J321" s="235" t="s">
        <v>3216</v>
      </c>
      <c r="K321" s="235" t="s">
        <v>3217</v>
      </c>
      <c r="N321" s="235" t="s">
        <v>104</v>
      </c>
      <c r="O321" s="235" t="s">
        <v>401</v>
      </c>
      <c r="P321" s="238">
        <v>1.0</v>
      </c>
      <c r="Q321" s="235" t="s">
        <v>627</v>
      </c>
      <c r="R321" s="238">
        <v>246.66</v>
      </c>
      <c r="S321" s="238">
        <v>12.34</v>
      </c>
      <c r="T321" s="238">
        <v>38.1</v>
      </c>
      <c r="U321" s="238">
        <v>1.9</v>
      </c>
      <c r="V321" s="238">
        <v>0.0</v>
      </c>
      <c r="W321" s="238">
        <v>0.0</v>
      </c>
      <c r="X321" s="235" t="s">
        <v>628</v>
      </c>
      <c r="Z321" s="244"/>
      <c r="AA321" s="244"/>
      <c r="AB321" s="244"/>
      <c r="AC321" s="235" t="s">
        <v>3218</v>
      </c>
      <c r="AD321" s="235" t="s">
        <v>666</v>
      </c>
      <c r="AE321" s="238">
        <v>635307.0</v>
      </c>
      <c r="AF321" s="235" t="s">
        <v>631</v>
      </c>
      <c r="AG321" s="244"/>
      <c r="AH321" s="244"/>
      <c r="AI321" s="245"/>
      <c r="AJ321" s="245"/>
      <c r="AK321" s="245"/>
      <c r="AL321" s="245"/>
      <c r="AM321" s="244"/>
      <c r="AN321" s="244"/>
      <c r="AO321" s="238">
        <v>0.0</v>
      </c>
      <c r="AP321" s="238">
        <v>-38.1</v>
      </c>
      <c r="AQ321" s="235" t="s">
        <v>632</v>
      </c>
      <c r="AR321" s="243">
        <v>3.71E11</v>
      </c>
      <c r="AS321" s="235" t="s">
        <v>656</v>
      </c>
      <c r="AT321" s="235" t="s">
        <v>155</v>
      </c>
      <c r="AU321" s="235" t="s">
        <v>634</v>
      </c>
      <c r="AV321" s="246" t="s">
        <v>635</v>
      </c>
      <c r="AW321" s="242"/>
      <c r="AX321" s="242"/>
      <c r="AY321" s="231"/>
      <c r="AZ321" s="231"/>
      <c r="BA321" s="227"/>
      <c r="BB321" s="231"/>
      <c r="BC321" s="227"/>
      <c r="BD321" s="227"/>
      <c r="BE321" s="227"/>
      <c r="BF321" s="227"/>
    </row>
    <row r="322">
      <c r="A322" s="235" t="s">
        <v>3219</v>
      </c>
      <c r="C322" s="235" t="s">
        <v>3220</v>
      </c>
      <c r="D322" s="235" t="s">
        <v>3221</v>
      </c>
      <c r="E322" s="243">
        <v>6.57E13</v>
      </c>
      <c r="F322" s="244"/>
      <c r="G322" s="235" t="s">
        <v>3222</v>
      </c>
      <c r="H322" s="235" t="s">
        <v>3223</v>
      </c>
      <c r="I322" s="235" t="s">
        <v>3223</v>
      </c>
      <c r="J322" s="235" t="s">
        <v>3224</v>
      </c>
      <c r="K322" s="235" t="s">
        <v>3225</v>
      </c>
      <c r="N322" s="235" t="s">
        <v>68</v>
      </c>
      <c r="O322" s="235" t="s">
        <v>208</v>
      </c>
      <c r="P322" s="238">
        <v>1.0</v>
      </c>
      <c r="Q322" s="235" t="s">
        <v>627</v>
      </c>
      <c r="R322" s="238">
        <v>246.66</v>
      </c>
      <c r="S322" s="238">
        <v>12.34</v>
      </c>
      <c r="T322" s="238">
        <v>0.0</v>
      </c>
      <c r="U322" s="238">
        <v>0.0</v>
      </c>
      <c r="V322" s="238">
        <v>0.0</v>
      </c>
      <c r="W322" s="238">
        <v>0.0</v>
      </c>
      <c r="X322" s="235" t="s">
        <v>628</v>
      </c>
      <c r="Z322" s="244"/>
      <c r="AA322" s="244"/>
      <c r="AB322" s="244"/>
      <c r="AC322" s="235" t="s">
        <v>3226</v>
      </c>
      <c r="AD322" s="235" t="s">
        <v>928</v>
      </c>
      <c r="AE322" s="238">
        <v>121003.0</v>
      </c>
      <c r="AF322" s="235" t="s">
        <v>631</v>
      </c>
      <c r="AG322" s="244"/>
      <c r="AH322" s="244"/>
      <c r="AI322" s="245"/>
      <c r="AJ322" s="245"/>
      <c r="AK322" s="245"/>
      <c r="AL322" s="245"/>
      <c r="AM322" s="244"/>
      <c r="AN322" s="244"/>
      <c r="AO322" s="238">
        <v>0.0</v>
      </c>
      <c r="AP322" s="238">
        <v>0.0</v>
      </c>
      <c r="AQ322" s="235" t="s">
        <v>632</v>
      </c>
      <c r="AR322" s="243">
        <v>1.68E11</v>
      </c>
      <c r="AS322" s="235" t="s">
        <v>2717</v>
      </c>
      <c r="AT322" s="235" t="s">
        <v>533</v>
      </c>
      <c r="AU322" s="235" t="s">
        <v>634</v>
      </c>
      <c r="AV322" s="246" t="s">
        <v>635</v>
      </c>
      <c r="AW322" s="242"/>
      <c r="AX322" s="242"/>
      <c r="AY322" s="231"/>
      <c r="AZ322" s="231"/>
      <c r="BA322" s="227"/>
      <c r="BB322" s="231"/>
      <c r="BC322" s="227"/>
      <c r="BD322" s="227"/>
      <c r="BE322" s="227"/>
      <c r="BF322" s="227"/>
    </row>
    <row r="323">
      <c r="A323" s="235" t="s">
        <v>3227</v>
      </c>
      <c r="C323" s="235" t="s">
        <v>3228</v>
      </c>
      <c r="D323" s="235" t="s">
        <v>3229</v>
      </c>
      <c r="E323" s="243">
        <v>6.57E13</v>
      </c>
      <c r="F323" s="244"/>
      <c r="G323" s="235" t="s">
        <v>3230</v>
      </c>
      <c r="H323" s="235" t="s">
        <v>3231</v>
      </c>
      <c r="I323" s="235" t="s">
        <v>3231</v>
      </c>
      <c r="J323" s="235" t="s">
        <v>3232</v>
      </c>
      <c r="K323" s="235" t="s">
        <v>3233</v>
      </c>
      <c r="N323" s="235" t="s">
        <v>51</v>
      </c>
      <c r="O323" s="235" t="s">
        <v>273</v>
      </c>
      <c r="P323" s="238">
        <v>1.0</v>
      </c>
      <c r="Q323" s="235" t="s">
        <v>627</v>
      </c>
      <c r="R323" s="238">
        <v>237.14</v>
      </c>
      <c r="S323" s="238">
        <v>11.86</v>
      </c>
      <c r="T323" s="238">
        <v>0.0</v>
      </c>
      <c r="U323" s="238">
        <v>0.0</v>
      </c>
      <c r="V323" s="238">
        <v>0.0</v>
      </c>
      <c r="W323" s="238">
        <v>0.0</v>
      </c>
      <c r="X323" s="235" t="s">
        <v>628</v>
      </c>
      <c r="Z323" s="244"/>
      <c r="AA323" s="244"/>
      <c r="AB323" s="244"/>
      <c r="AC323" s="235" t="s">
        <v>3234</v>
      </c>
      <c r="AD323" s="235" t="s">
        <v>666</v>
      </c>
      <c r="AE323" s="238">
        <v>639001.0</v>
      </c>
      <c r="AF323" s="235" t="s">
        <v>631</v>
      </c>
      <c r="AG323" s="244"/>
      <c r="AH323" s="244"/>
      <c r="AI323" s="245"/>
      <c r="AJ323" s="245"/>
      <c r="AK323" s="245"/>
      <c r="AL323" s="245"/>
      <c r="AM323" s="244"/>
      <c r="AN323" s="244"/>
      <c r="AO323" s="238">
        <v>0.0</v>
      </c>
      <c r="AP323" s="238">
        <v>0.0</v>
      </c>
      <c r="AQ323" s="235" t="s">
        <v>632</v>
      </c>
      <c r="AR323" s="243">
        <v>3.71E11</v>
      </c>
      <c r="AS323" s="235" t="s">
        <v>2276</v>
      </c>
      <c r="AT323" s="235" t="s">
        <v>9</v>
      </c>
      <c r="AU323" s="235" t="s">
        <v>634</v>
      </c>
      <c r="AV323" s="246" t="s">
        <v>635</v>
      </c>
      <c r="AW323" s="242"/>
      <c r="AX323" s="242"/>
      <c r="AY323" s="231"/>
      <c r="AZ323" s="231"/>
      <c r="BA323" s="227"/>
      <c r="BB323" s="231"/>
      <c r="BC323" s="227"/>
      <c r="BD323" s="227"/>
      <c r="BE323" s="227"/>
      <c r="BF323" s="227"/>
    </row>
    <row r="324">
      <c r="A324" s="235" t="s">
        <v>3235</v>
      </c>
      <c r="C324" s="235" t="s">
        <v>3236</v>
      </c>
      <c r="D324" s="235" t="s">
        <v>3237</v>
      </c>
      <c r="E324" s="243">
        <v>6.57E13</v>
      </c>
      <c r="F324" s="244"/>
      <c r="G324" s="235" t="s">
        <v>3238</v>
      </c>
      <c r="H324" s="235" t="s">
        <v>3239</v>
      </c>
      <c r="I324" s="235" t="s">
        <v>3239</v>
      </c>
      <c r="J324" s="235" t="s">
        <v>3240</v>
      </c>
      <c r="K324" s="235" t="s">
        <v>3241</v>
      </c>
      <c r="N324" s="235" t="s">
        <v>726</v>
      </c>
      <c r="O324" s="235" t="s">
        <v>727</v>
      </c>
      <c r="P324" s="238">
        <v>1.0</v>
      </c>
      <c r="Q324" s="235" t="s">
        <v>627</v>
      </c>
      <c r="R324" s="238">
        <v>246.67</v>
      </c>
      <c r="S324" s="238">
        <v>12.33</v>
      </c>
      <c r="T324" s="238">
        <v>0.0</v>
      </c>
      <c r="U324" s="238">
        <v>0.0</v>
      </c>
      <c r="V324" s="238">
        <v>0.0</v>
      </c>
      <c r="W324" s="238">
        <v>0.0</v>
      </c>
      <c r="X324" s="235" t="s">
        <v>628</v>
      </c>
      <c r="Z324" s="244"/>
      <c r="AA324" s="244"/>
      <c r="AB324" s="244"/>
      <c r="AC324" s="235" t="s">
        <v>3242</v>
      </c>
      <c r="AD324" s="235" t="s">
        <v>881</v>
      </c>
      <c r="AE324" s="238">
        <v>754208.0</v>
      </c>
      <c r="AF324" s="235" t="s">
        <v>631</v>
      </c>
      <c r="AG324" s="244"/>
      <c r="AH324" s="244"/>
      <c r="AI324" s="245"/>
      <c r="AJ324" s="245"/>
      <c r="AK324" s="245"/>
      <c r="AL324" s="245"/>
      <c r="AM324" s="244"/>
      <c r="AN324" s="244"/>
      <c r="AO324" s="238">
        <v>0.0</v>
      </c>
      <c r="AP324" s="238">
        <v>0.0</v>
      </c>
      <c r="AQ324" s="235" t="s">
        <v>632</v>
      </c>
      <c r="AR324" s="243">
        <v>3.71E11</v>
      </c>
      <c r="AS324" s="235" t="s">
        <v>656</v>
      </c>
      <c r="AT324" s="235" t="s">
        <v>9</v>
      </c>
      <c r="AU324" s="235" t="s">
        <v>634</v>
      </c>
      <c r="AV324" s="246" t="s">
        <v>635</v>
      </c>
      <c r="AW324" s="242"/>
      <c r="AX324" s="242"/>
      <c r="AY324" s="231"/>
      <c r="AZ324" s="231"/>
      <c r="BA324" s="227"/>
      <c r="BB324" s="231"/>
      <c r="BC324" s="227"/>
      <c r="BD324" s="227"/>
      <c r="BE324" s="227"/>
      <c r="BF324" s="227"/>
    </row>
    <row r="325">
      <c r="A325" s="235" t="s">
        <v>3243</v>
      </c>
      <c r="C325" s="235" t="s">
        <v>3244</v>
      </c>
      <c r="D325" s="235" t="s">
        <v>3245</v>
      </c>
      <c r="E325" s="243">
        <v>6.56E13</v>
      </c>
      <c r="F325" s="244"/>
      <c r="G325" s="235" t="s">
        <v>3246</v>
      </c>
      <c r="H325" s="235" t="s">
        <v>3247</v>
      </c>
      <c r="I325" s="235" t="s">
        <v>3248</v>
      </c>
      <c r="J325" s="235" t="s">
        <v>3249</v>
      </c>
      <c r="K325" s="235" t="s">
        <v>3250</v>
      </c>
      <c r="N325" s="235" t="s">
        <v>1646</v>
      </c>
      <c r="O325" s="235" t="s">
        <v>1647</v>
      </c>
      <c r="P325" s="238">
        <v>1.0</v>
      </c>
      <c r="Q325" s="235" t="s">
        <v>627</v>
      </c>
      <c r="R325" s="238">
        <v>270.48</v>
      </c>
      <c r="S325" s="238">
        <v>13.52</v>
      </c>
      <c r="T325" s="238">
        <v>38.1</v>
      </c>
      <c r="U325" s="238">
        <v>1.9</v>
      </c>
      <c r="V325" s="238">
        <v>0.0</v>
      </c>
      <c r="W325" s="238">
        <v>0.0</v>
      </c>
      <c r="X325" s="235" t="s">
        <v>628</v>
      </c>
      <c r="Z325" s="244"/>
      <c r="AA325" s="244"/>
      <c r="AB325" s="244"/>
      <c r="AC325" s="235" t="s">
        <v>3251</v>
      </c>
      <c r="AD325" s="235" t="s">
        <v>1077</v>
      </c>
      <c r="AE325" s="238">
        <v>382435.0</v>
      </c>
      <c r="AF325" s="235" t="s">
        <v>631</v>
      </c>
      <c r="AG325" s="244"/>
      <c r="AH325" s="244"/>
      <c r="AI325" s="245"/>
      <c r="AJ325" s="245"/>
      <c r="AK325" s="245"/>
      <c r="AL325" s="245"/>
      <c r="AM325" s="244"/>
      <c r="AN325" s="244"/>
      <c r="AO325" s="238">
        <v>0.0</v>
      </c>
      <c r="AP325" s="238">
        <v>-38.1</v>
      </c>
      <c r="AQ325" s="235" t="s">
        <v>1328</v>
      </c>
      <c r="AR325" s="243">
        <v>1.34E13</v>
      </c>
      <c r="AS325" s="235" t="s">
        <v>646</v>
      </c>
      <c r="AT325" s="235" t="s">
        <v>16</v>
      </c>
      <c r="AU325" s="235" t="s">
        <v>634</v>
      </c>
      <c r="AV325" s="246" t="s">
        <v>635</v>
      </c>
      <c r="AW325" s="242"/>
      <c r="AX325" s="242"/>
      <c r="AY325" s="231"/>
      <c r="AZ325" s="231"/>
      <c r="BA325" s="227"/>
      <c r="BB325" s="231"/>
      <c r="BC325" s="227"/>
      <c r="BD325" s="227"/>
      <c r="BE325" s="227"/>
      <c r="BF325" s="227"/>
    </row>
    <row r="326">
      <c r="A326" s="235" t="s">
        <v>3252</v>
      </c>
      <c r="C326" s="235" t="s">
        <v>3253</v>
      </c>
      <c r="D326" s="235" t="s">
        <v>3254</v>
      </c>
      <c r="E326" s="243">
        <v>6.57E13</v>
      </c>
      <c r="F326" s="244"/>
      <c r="G326" s="235" t="s">
        <v>3255</v>
      </c>
      <c r="H326" s="235" t="s">
        <v>3256</v>
      </c>
      <c r="I326" s="235" t="s">
        <v>3256</v>
      </c>
      <c r="J326" s="235" t="s">
        <v>3257</v>
      </c>
      <c r="K326" s="235" t="s">
        <v>3258</v>
      </c>
      <c r="N326" s="235" t="s">
        <v>154</v>
      </c>
      <c r="O326" s="235" t="s">
        <v>766</v>
      </c>
      <c r="P326" s="238">
        <v>1.0</v>
      </c>
      <c r="Q326" s="235" t="s">
        <v>627</v>
      </c>
      <c r="R326" s="238">
        <v>465.71</v>
      </c>
      <c r="S326" s="238">
        <v>23.29</v>
      </c>
      <c r="T326" s="238">
        <v>0.0</v>
      </c>
      <c r="U326" s="238">
        <v>0.0</v>
      </c>
      <c r="V326" s="238">
        <v>0.0</v>
      </c>
      <c r="W326" s="238">
        <v>0.0</v>
      </c>
      <c r="X326" s="235" t="s">
        <v>628</v>
      </c>
      <c r="Z326" s="244"/>
      <c r="AA326" s="244"/>
      <c r="AB326" s="244"/>
      <c r="AC326" s="235" t="s">
        <v>697</v>
      </c>
      <c r="AD326" s="235" t="s">
        <v>698</v>
      </c>
      <c r="AE326" s="238">
        <v>500045.0</v>
      </c>
      <c r="AF326" s="235" t="s">
        <v>631</v>
      </c>
      <c r="AG326" s="244"/>
      <c r="AH326" s="244"/>
      <c r="AI326" s="245"/>
      <c r="AJ326" s="245"/>
      <c r="AK326" s="245"/>
      <c r="AL326" s="245"/>
      <c r="AM326" s="244"/>
      <c r="AN326" s="244"/>
      <c r="AO326" s="238">
        <v>0.0</v>
      </c>
      <c r="AP326" s="238">
        <v>0.0</v>
      </c>
      <c r="AQ326" s="235" t="s">
        <v>632</v>
      </c>
      <c r="AR326" s="243">
        <v>3.71E11</v>
      </c>
      <c r="AS326" s="235" t="s">
        <v>1367</v>
      </c>
      <c r="AT326" s="235" t="s">
        <v>11</v>
      </c>
      <c r="AU326" s="235" t="s">
        <v>634</v>
      </c>
      <c r="AV326" s="246" t="s">
        <v>635</v>
      </c>
      <c r="AW326" s="242"/>
      <c r="AX326" s="242"/>
      <c r="AY326" s="231"/>
      <c r="AZ326" s="231"/>
      <c r="BA326" s="227"/>
      <c r="BB326" s="231"/>
      <c r="BC326" s="227"/>
      <c r="BD326" s="227"/>
      <c r="BE326" s="227"/>
      <c r="BF326" s="227"/>
    </row>
    <row r="327">
      <c r="A327" s="235" t="s">
        <v>3260</v>
      </c>
      <c r="C327" s="235" t="s">
        <v>3261</v>
      </c>
      <c r="D327" s="235" t="s">
        <v>3262</v>
      </c>
      <c r="E327" s="243">
        <v>6.57E13</v>
      </c>
      <c r="F327" s="244"/>
      <c r="G327" s="235" t="s">
        <v>3263</v>
      </c>
      <c r="H327" s="235" t="s">
        <v>3264</v>
      </c>
      <c r="I327" s="235" t="s">
        <v>3264</v>
      </c>
      <c r="J327" s="235" t="s">
        <v>3265</v>
      </c>
      <c r="K327" s="235" t="s">
        <v>3266</v>
      </c>
      <c r="N327" s="235" t="s">
        <v>111</v>
      </c>
      <c r="O327" s="235" t="s">
        <v>464</v>
      </c>
      <c r="P327" s="238">
        <v>1.0</v>
      </c>
      <c r="Q327" s="235" t="s">
        <v>627</v>
      </c>
      <c r="R327" s="238">
        <v>246.67</v>
      </c>
      <c r="S327" s="238">
        <v>12.33</v>
      </c>
      <c r="T327" s="238">
        <v>0.0</v>
      </c>
      <c r="U327" s="238">
        <v>0.0</v>
      </c>
      <c r="V327" s="238">
        <v>0.0</v>
      </c>
      <c r="W327" s="238">
        <v>0.0</v>
      </c>
      <c r="X327" s="235" t="s">
        <v>628</v>
      </c>
      <c r="Z327" s="244"/>
      <c r="AA327" s="244"/>
      <c r="AB327" s="244"/>
      <c r="AC327" s="235" t="s">
        <v>678</v>
      </c>
      <c r="AD327" s="235" t="s">
        <v>679</v>
      </c>
      <c r="AE327" s="238">
        <v>560064.0</v>
      </c>
      <c r="AF327" s="235" t="s">
        <v>631</v>
      </c>
      <c r="AG327" s="244"/>
      <c r="AH327" s="244"/>
      <c r="AI327" s="245"/>
      <c r="AJ327" s="245"/>
      <c r="AK327" s="245"/>
      <c r="AL327" s="245"/>
      <c r="AM327" s="244"/>
      <c r="AN327" s="244"/>
      <c r="AO327" s="238">
        <v>0.0</v>
      </c>
      <c r="AP327" s="238">
        <v>0.0</v>
      </c>
      <c r="AQ327" s="235" t="s">
        <v>632</v>
      </c>
      <c r="AR327" s="243">
        <v>2.02E11</v>
      </c>
      <c r="AS327" s="235" t="s">
        <v>2276</v>
      </c>
      <c r="AT327" s="235" t="s">
        <v>546</v>
      </c>
      <c r="AU327" s="235" t="s">
        <v>634</v>
      </c>
      <c r="AV327" s="246" t="s">
        <v>635</v>
      </c>
      <c r="AW327" s="242"/>
      <c r="AX327" s="242"/>
      <c r="AY327" s="231"/>
      <c r="AZ327" s="231"/>
      <c r="BA327" s="227"/>
      <c r="BB327" s="231"/>
      <c r="BC327" s="227"/>
      <c r="BD327" s="227"/>
      <c r="BE327" s="227"/>
      <c r="BF327" s="227"/>
    </row>
    <row r="328">
      <c r="A328" s="235" t="s">
        <v>3267</v>
      </c>
      <c r="C328" s="235" t="s">
        <v>3268</v>
      </c>
      <c r="D328" s="235" t="s">
        <v>3269</v>
      </c>
      <c r="E328" s="243">
        <v>6.57E13</v>
      </c>
      <c r="F328" s="244"/>
      <c r="G328" s="235" t="s">
        <v>3270</v>
      </c>
      <c r="H328" s="235" t="s">
        <v>3271</v>
      </c>
      <c r="I328" s="235" t="s">
        <v>3271</v>
      </c>
      <c r="J328" s="235" t="s">
        <v>3272</v>
      </c>
      <c r="K328" s="235" t="s">
        <v>3273</v>
      </c>
      <c r="N328" s="235" t="s">
        <v>106</v>
      </c>
      <c r="O328" s="235" t="s">
        <v>338</v>
      </c>
      <c r="P328" s="238">
        <v>1.0</v>
      </c>
      <c r="Q328" s="235" t="s">
        <v>627</v>
      </c>
      <c r="R328" s="238">
        <v>246.67</v>
      </c>
      <c r="S328" s="238">
        <v>12.33</v>
      </c>
      <c r="T328" s="238">
        <v>0.0</v>
      </c>
      <c r="U328" s="238">
        <v>0.0</v>
      </c>
      <c r="V328" s="238">
        <v>0.0</v>
      </c>
      <c r="W328" s="238">
        <v>0.0</v>
      </c>
      <c r="X328" s="235" t="s">
        <v>628</v>
      </c>
      <c r="Z328" s="244"/>
      <c r="AA328" s="244"/>
      <c r="AB328" s="244"/>
      <c r="AC328" s="235" t="s">
        <v>3274</v>
      </c>
      <c r="AD328" s="235" t="s">
        <v>698</v>
      </c>
      <c r="AE328" s="238">
        <v>500084.0</v>
      </c>
      <c r="AF328" s="235" t="s">
        <v>631</v>
      </c>
      <c r="AG328" s="244"/>
      <c r="AH328" s="244"/>
      <c r="AI328" s="245"/>
      <c r="AJ328" s="245"/>
      <c r="AK328" s="245"/>
      <c r="AL328" s="245"/>
      <c r="AM328" s="244"/>
      <c r="AN328" s="244"/>
      <c r="AO328" s="238">
        <v>0.0</v>
      </c>
      <c r="AP328" s="238">
        <v>0.0</v>
      </c>
      <c r="AQ328" s="235" t="s">
        <v>632</v>
      </c>
      <c r="AR328" s="243">
        <v>2.02E11</v>
      </c>
      <c r="AS328" s="235" t="s">
        <v>2276</v>
      </c>
      <c r="AT328" s="235" t="s">
        <v>16</v>
      </c>
      <c r="AU328" s="235" t="s">
        <v>634</v>
      </c>
      <c r="AV328" s="246" t="s">
        <v>635</v>
      </c>
      <c r="AW328" s="242"/>
      <c r="AX328" s="242"/>
      <c r="AY328" s="231"/>
      <c r="AZ328" s="231"/>
      <c r="BA328" s="227"/>
      <c r="BB328" s="231"/>
      <c r="BC328" s="227"/>
      <c r="BD328" s="227"/>
      <c r="BE328" s="227"/>
      <c r="BF328" s="227"/>
    </row>
    <row r="329">
      <c r="A329" s="235" t="s">
        <v>3275</v>
      </c>
      <c r="C329" s="235" t="s">
        <v>3276</v>
      </c>
      <c r="D329" s="235" t="s">
        <v>3277</v>
      </c>
      <c r="E329" s="243">
        <v>6.57E13</v>
      </c>
      <c r="F329" s="244"/>
      <c r="G329" s="235" t="s">
        <v>3278</v>
      </c>
      <c r="H329" s="235" t="s">
        <v>3279</v>
      </c>
      <c r="I329" s="235" t="s">
        <v>3279</v>
      </c>
      <c r="J329" s="235" t="s">
        <v>3280</v>
      </c>
      <c r="K329" s="235" t="s">
        <v>3281</v>
      </c>
      <c r="N329" s="235" t="s">
        <v>68</v>
      </c>
      <c r="O329" s="235" t="s">
        <v>208</v>
      </c>
      <c r="P329" s="238">
        <v>1.0</v>
      </c>
      <c r="Q329" s="235" t="s">
        <v>627</v>
      </c>
      <c r="R329" s="238">
        <v>246.66</v>
      </c>
      <c r="S329" s="238">
        <v>11.97</v>
      </c>
      <c r="T329" s="238">
        <v>0.0</v>
      </c>
      <c r="U329" s="238">
        <v>0.0</v>
      </c>
      <c r="V329" s="238">
        <v>0.0</v>
      </c>
      <c r="W329" s="238">
        <v>0.0</v>
      </c>
      <c r="X329" s="235" t="s">
        <v>628</v>
      </c>
      <c r="Z329" s="244"/>
      <c r="AA329" s="244"/>
      <c r="AB329" s="244"/>
      <c r="AC329" s="235" t="s">
        <v>687</v>
      </c>
      <c r="AD329" s="235" t="s">
        <v>666</v>
      </c>
      <c r="AE329" s="238">
        <v>600099.0</v>
      </c>
      <c r="AF329" s="235" t="s">
        <v>631</v>
      </c>
      <c r="AG329" s="244"/>
      <c r="AH329" s="244"/>
      <c r="AI329" s="245"/>
      <c r="AJ329" s="245"/>
      <c r="AK329" s="245"/>
      <c r="AL329" s="245"/>
      <c r="AM329" s="244"/>
      <c r="AN329" s="244"/>
      <c r="AO329" s="238">
        <v>-7.4</v>
      </c>
      <c r="AP329" s="238">
        <v>0.0</v>
      </c>
      <c r="AQ329" s="235" t="s">
        <v>632</v>
      </c>
      <c r="AR329" s="243">
        <v>1.68E11</v>
      </c>
      <c r="AS329" s="235" t="s">
        <v>3284</v>
      </c>
      <c r="AT329" s="235" t="s">
        <v>156</v>
      </c>
      <c r="AU329" s="235" t="s">
        <v>634</v>
      </c>
      <c r="AV329" s="246" t="s">
        <v>635</v>
      </c>
      <c r="AW329" s="242"/>
      <c r="AX329" s="242"/>
      <c r="AY329" s="231"/>
      <c r="AZ329" s="231"/>
      <c r="BA329" s="227"/>
      <c r="BB329" s="231"/>
      <c r="BC329" s="227"/>
      <c r="BD329" s="227"/>
      <c r="BE329" s="227"/>
      <c r="BF329" s="227"/>
    </row>
    <row r="330">
      <c r="A330" s="235" t="s">
        <v>3275</v>
      </c>
      <c r="C330" s="235" t="s">
        <v>3276</v>
      </c>
      <c r="D330" s="235" t="s">
        <v>3285</v>
      </c>
      <c r="E330" s="243">
        <v>6.57E13</v>
      </c>
      <c r="F330" s="244"/>
      <c r="G330" s="235" t="s">
        <v>3278</v>
      </c>
      <c r="H330" s="235" t="s">
        <v>3279</v>
      </c>
      <c r="I330" s="235" t="s">
        <v>3279</v>
      </c>
      <c r="J330" s="235" t="s">
        <v>3280</v>
      </c>
      <c r="K330" s="235" t="s">
        <v>3281</v>
      </c>
      <c r="N330" s="235" t="s">
        <v>68</v>
      </c>
      <c r="O330" s="235" t="s">
        <v>208</v>
      </c>
      <c r="P330" s="238">
        <v>1.0</v>
      </c>
      <c r="Q330" s="235" t="s">
        <v>627</v>
      </c>
      <c r="R330" s="238">
        <v>246.66</v>
      </c>
      <c r="S330" s="238">
        <v>11.97</v>
      </c>
      <c r="T330" s="238">
        <v>0.0</v>
      </c>
      <c r="U330" s="238">
        <v>0.0</v>
      </c>
      <c r="V330" s="238">
        <v>0.0</v>
      </c>
      <c r="W330" s="238">
        <v>0.0</v>
      </c>
      <c r="X330" s="235" t="s">
        <v>628</v>
      </c>
      <c r="Z330" s="244"/>
      <c r="AA330" s="244"/>
      <c r="AB330" s="244"/>
      <c r="AC330" s="235" t="s">
        <v>687</v>
      </c>
      <c r="AD330" s="235" t="s">
        <v>666</v>
      </c>
      <c r="AE330" s="238">
        <v>600099.0</v>
      </c>
      <c r="AF330" s="235" t="s">
        <v>631</v>
      </c>
      <c r="AG330" s="244"/>
      <c r="AH330" s="244"/>
      <c r="AI330" s="245"/>
      <c r="AJ330" s="245"/>
      <c r="AK330" s="245"/>
      <c r="AL330" s="245"/>
      <c r="AM330" s="244"/>
      <c r="AN330" s="244"/>
      <c r="AO330" s="238">
        <v>-7.4</v>
      </c>
      <c r="AP330" s="238">
        <v>0.0</v>
      </c>
      <c r="AQ330" s="235" t="s">
        <v>632</v>
      </c>
      <c r="AR330" s="243">
        <v>1.68E11</v>
      </c>
      <c r="AS330" s="235" t="s">
        <v>3284</v>
      </c>
      <c r="AT330" s="235" t="s">
        <v>156</v>
      </c>
      <c r="AU330" s="235" t="s">
        <v>634</v>
      </c>
      <c r="AV330" s="246" t="s">
        <v>635</v>
      </c>
      <c r="AW330" s="242"/>
      <c r="AX330" s="242"/>
      <c r="AY330" s="231"/>
      <c r="AZ330" s="231"/>
      <c r="BA330" s="227"/>
      <c r="BB330" s="231"/>
      <c r="BC330" s="227"/>
      <c r="BD330" s="227"/>
      <c r="BE330" s="227"/>
      <c r="BF330" s="227"/>
    </row>
    <row r="331">
      <c r="A331" s="235" t="s">
        <v>3286</v>
      </c>
      <c r="C331" s="235" t="s">
        <v>3287</v>
      </c>
      <c r="D331" s="235" t="s">
        <v>3288</v>
      </c>
      <c r="E331" s="243">
        <v>6.57E13</v>
      </c>
      <c r="F331" s="244"/>
      <c r="G331" s="235" t="s">
        <v>3289</v>
      </c>
      <c r="H331" s="235" t="s">
        <v>3290</v>
      </c>
      <c r="I331" s="235" t="s">
        <v>3290</v>
      </c>
      <c r="J331" s="235" t="s">
        <v>3291</v>
      </c>
      <c r="K331" s="235" t="s">
        <v>3292</v>
      </c>
      <c r="N331" s="235" t="s">
        <v>42</v>
      </c>
      <c r="O331" s="235" t="s">
        <v>204</v>
      </c>
      <c r="P331" s="238">
        <v>1.0</v>
      </c>
      <c r="Q331" s="235" t="s">
        <v>627</v>
      </c>
      <c r="R331" s="238">
        <v>0.0</v>
      </c>
      <c r="S331" s="238">
        <v>0.0</v>
      </c>
      <c r="T331" s="238">
        <v>0.0</v>
      </c>
      <c r="U331" s="238">
        <v>0.0</v>
      </c>
      <c r="V331" s="238">
        <v>0.0</v>
      </c>
      <c r="W331" s="238">
        <v>0.0</v>
      </c>
      <c r="X331" s="235" t="s">
        <v>628</v>
      </c>
      <c r="Z331" s="244"/>
      <c r="AA331" s="244"/>
      <c r="AB331" s="244"/>
      <c r="AC331" s="235" t="s">
        <v>1531</v>
      </c>
      <c r="AD331" s="235" t="s">
        <v>1151</v>
      </c>
      <c r="AE331" s="238">
        <v>700032.0</v>
      </c>
      <c r="AF331" s="235" t="s">
        <v>631</v>
      </c>
      <c r="AG331" s="244"/>
      <c r="AH331" s="244"/>
      <c r="AI331" s="245"/>
      <c r="AJ331" s="245"/>
      <c r="AK331" s="245"/>
      <c r="AL331" s="245"/>
      <c r="AM331" s="244"/>
      <c r="AN331" s="244"/>
      <c r="AO331" s="238">
        <v>0.0</v>
      </c>
      <c r="AP331" s="238">
        <v>0.0</v>
      </c>
      <c r="AQ331" s="235" t="s">
        <v>632</v>
      </c>
      <c r="AR331" s="243">
        <v>2.02E11</v>
      </c>
      <c r="AS331" s="235" t="s">
        <v>2276</v>
      </c>
      <c r="AT331" s="235" t="s">
        <v>156</v>
      </c>
      <c r="AU331" s="235" t="s">
        <v>634</v>
      </c>
      <c r="AV331" s="246" t="s">
        <v>635</v>
      </c>
      <c r="AW331" s="242"/>
      <c r="AX331" s="242"/>
      <c r="AY331" s="231"/>
      <c r="AZ331" s="231"/>
      <c r="BA331" s="227"/>
      <c r="BB331" s="231"/>
      <c r="BC331" s="227"/>
      <c r="BD331" s="227"/>
      <c r="BE331" s="227"/>
      <c r="BF331" s="227"/>
    </row>
    <row r="332">
      <c r="A332" s="235" t="s">
        <v>3293</v>
      </c>
      <c r="C332" s="235" t="s">
        <v>3294</v>
      </c>
      <c r="D332" s="235" t="s">
        <v>3295</v>
      </c>
      <c r="E332" s="243">
        <v>6.57E13</v>
      </c>
      <c r="F332" s="244"/>
      <c r="G332" s="235" t="s">
        <v>3296</v>
      </c>
      <c r="H332" s="235" t="s">
        <v>3297</v>
      </c>
      <c r="I332" s="235" t="s">
        <v>3297</v>
      </c>
      <c r="J332" s="235" t="s">
        <v>3298</v>
      </c>
      <c r="K332" s="235" t="s">
        <v>3299</v>
      </c>
      <c r="N332" s="235" t="s">
        <v>127</v>
      </c>
      <c r="O332" s="235" t="s">
        <v>794</v>
      </c>
      <c r="P332" s="238">
        <v>1.0</v>
      </c>
      <c r="Q332" s="235" t="s">
        <v>627</v>
      </c>
      <c r="R332" s="238">
        <v>246.67</v>
      </c>
      <c r="S332" s="238">
        <v>12.33</v>
      </c>
      <c r="T332" s="238">
        <v>0.0</v>
      </c>
      <c r="U332" s="238">
        <v>0.0</v>
      </c>
      <c r="V332" s="238">
        <v>0.0</v>
      </c>
      <c r="W332" s="238">
        <v>0.0</v>
      </c>
      <c r="X332" s="235" t="s">
        <v>628</v>
      </c>
      <c r="Z332" s="244"/>
      <c r="AA332" s="244"/>
      <c r="AB332" s="244"/>
      <c r="AC332" s="235" t="s">
        <v>814</v>
      </c>
      <c r="AD332" s="235" t="s">
        <v>698</v>
      </c>
      <c r="AE332" s="238">
        <v>500008.0</v>
      </c>
      <c r="AF332" s="235" t="s">
        <v>631</v>
      </c>
      <c r="AG332" s="244"/>
      <c r="AH332" s="244"/>
      <c r="AI332" s="245"/>
      <c r="AJ332" s="245"/>
      <c r="AK332" s="245"/>
      <c r="AL332" s="245"/>
      <c r="AM332" s="244"/>
      <c r="AN332" s="244"/>
      <c r="AO332" s="238">
        <v>0.0</v>
      </c>
      <c r="AP332" s="238">
        <v>0.0</v>
      </c>
      <c r="AQ332" s="235" t="s">
        <v>632</v>
      </c>
      <c r="AR332" s="243">
        <v>2.02E11</v>
      </c>
      <c r="AS332" s="235" t="s">
        <v>2276</v>
      </c>
      <c r="AT332" s="235" t="s">
        <v>156</v>
      </c>
      <c r="AU332" s="235" t="s">
        <v>634</v>
      </c>
      <c r="AV332" s="246" t="s">
        <v>635</v>
      </c>
      <c r="AW332" s="242"/>
      <c r="AX332" s="242"/>
      <c r="AY332" s="231"/>
      <c r="AZ332" s="231"/>
      <c r="BA332" s="227"/>
      <c r="BB332" s="231"/>
      <c r="BC332" s="227"/>
      <c r="BD332" s="227"/>
      <c r="BE332" s="227"/>
      <c r="BF332" s="227"/>
    </row>
    <row r="333">
      <c r="A333" s="235" t="s">
        <v>3300</v>
      </c>
      <c r="C333" s="235" t="s">
        <v>3301</v>
      </c>
      <c r="D333" s="235" t="s">
        <v>3302</v>
      </c>
      <c r="E333" s="243">
        <v>6.57E13</v>
      </c>
      <c r="F333" s="244"/>
      <c r="G333" s="235" t="s">
        <v>3303</v>
      </c>
      <c r="H333" s="235" t="s">
        <v>3304</v>
      </c>
      <c r="I333" s="235" t="s">
        <v>3304</v>
      </c>
      <c r="J333" s="235" t="s">
        <v>3305</v>
      </c>
      <c r="K333" s="235" t="s">
        <v>3306</v>
      </c>
      <c r="N333" s="235" t="s">
        <v>130</v>
      </c>
      <c r="O333" s="235" t="s">
        <v>707</v>
      </c>
      <c r="P333" s="238">
        <v>1.0</v>
      </c>
      <c r="Q333" s="235" t="s">
        <v>627</v>
      </c>
      <c r="R333" s="238">
        <v>246.67</v>
      </c>
      <c r="S333" s="238">
        <v>12.33</v>
      </c>
      <c r="T333" s="238">
        <v>38.1</v>
      </c>
      <c r="U333" s="238">
        <v>1.9</v>
      </c>
      <c r="V333" s="238">
        <v>0.0</v>
      </c>
      <c r="W333" s="238">
        <v>0.0</v>
      </c>
      <c r="X333" s="235" t="s">
        <v>628</v>
      </c>
      <c r="Z333" s="244"/>
      <c r="AA333" s="244"/>
      <c r="AB333" s="244"/>
      <c r="AC333" s="235" t="s">
        <v>3307</v>
      </c>
      <c r="AD333" s="235" t="s">
        <v>1086</v>
      </c>
      <c r="AE333" s="238">
        <v>141123.0</v>
      </c>
      <c r="AF333" s="235" t="s">
        <v>631</v>
      </c>
      <c r="AG333" s="244"/>
      <c r="AH333" s="244"/>
      <c r="AI333" s="245"/>
      <c r="AJ333" s="245"/>
      <c r="AK333" s="245"/>
      <c r="AL333" s="245"/>
      <c r="AM333" s="244"/>
      <c r="AN333" s="244"/>
      <c r="AO333" s="238">
        <v>0.0</v>
      </c>
      <c r="AP333" s="238">
        <v>-38.1</v>
      </c>
      <c r="AQ333" s="235" t="s">
        <v>632</v>
      </c>
      <c r="AR333" s="243">
        <v>3.71E11</v>
      </c>
      <c r="AS333" s="235" t="s">
        <v>1367</v>
      </c>
      <c r="AT333" s="235" t="s">
        <v>13</v>
      </c>
      <c r="AU333" s="235" t="s">
        <v>634</v>
      </c>
      <c r="AV333" s="246" t="s">
        <v>635</v>
      </c>
      <c r="AW333" s="242"/>
      <c r="AX333" s="242"/>
      <c r="AY333" s="231"/>
      <c r="AZ333" s="231"/>
      <c r="BA333" s="227"/>
      <c r="BB333" s="231"/>
      <c r="BC333" s="227"/>
      <c r="BD333" s="227"/>
      <c r="BE333" s="227"/>
      <c r="BF333" s="227"/>
    </row>
    <row r="334">
      <c r="A334" s="235" t="s">
        <v>3308</v>
      </c>
      <c r="C334" s="235" t="s">
        <v>3309</v>
      </c>
      <c r="D334" s="235" t="s">
        <v>3310</v>
      </c>
      <c r="E334" s="243">
        <v>6.57E13</v>
      </c>
      <c r="F334" s="244"/>
      <c r="G334" s="235" t="s">
        <v>3311</v>
      </c>
      <c r="H334" s="235" t="s">
        <v>3304</v>
      </c>
      <c r="I334" s="235" t="s">
        <v>3304</v>
      </c>
      <c r="J334" s="235" t="s">
        <v>3305</v>
      </c>
      <c r="K334" s="235" t="s">
        <v>3312</v>
      </c>
      <c r="N334" s="235" t="s">
        <v>71</v>
      </c>
      <c r="O334" s="235" t="s">
        <v>240</v>
      </c>
      <c r="P334" s="238">
        <v>1.0</v>
      </c>
      <c r="Q334" s="235" t="s">
        <v>627</v>
      </c>
      <c r="R334" s="238">
        <v>246.67</v>
      </c>
      <c r="S334" s="238">
        <v>12.33</v>
      </c>
      <c r="T334" s="238">
        <v>38.1</v>
      </c>
      <c r="U334" s="238">
        <v>1.9</v>
      </c>
      <c r="V334" s="238">
        <v>0.0</v>
      </c>
      <c r="W334" s="238">
        <v>0.0</v>
      </c>
      <c r="X334" s="235" t="s">
        <v>628</v>
      </c>
      <c r="Z334" s="244"/>
      <c r="AA334" s="244"/>
      <c r="AB334" s="244"/>
      <c r="AC334" s="235" t="s">
        <v>3313</v>
      </c>
      <c r="AD334" s="235" t="s">
        <v>645</v>
      </c>
      <c r="AE334" s="238">
        <v>673004.0</v>
      </c>
      <c r="AF334" s="235" t="s">
        <v>631</v>
      </c>
      <c r="AG334" s="244"/>
      <c r="AH334" s="244"/>
      <c r="AI334" s="245"/>
      <c r="AJ334" s="245"/>
      <c r="AK334" s="245"/>
      <c r="AL334" s="245"/>
      <c r="AM334" s="244"/>
      <c r="AN334" s="244"/>
      <c r="AO334" s="238">
        <v>0.0</v>
      </c>
      <c r="AP334" s="238">
        <v>-38.1</v>
      </c>
      <c r="AQ334" s="235" t="s">
        <v>632</v>
      </c>
      <c r="AR334" s="243">
        <v>3.71E11</v>
      </c>
      <c r="AS334" s="235" t="s">
        <v>2276</v>
      </c>
      <c r="AT334" s="235" t="s">
        <v>155</v>
      </c>
      <c r="AU334" s="235" t="s">
        <v>634</v>
      </c>
      <c r="AV334" s="246" t="s">
        <v>635</v>
      </c>
      <c r="AW334" s="242"/>
      <c r="AX334" s="242"/>
      <c r="AY334" s="231"/>
      <c r="AZ334" s="231"/>
      <c r="BA334" s="227"/>
      <c r="BB334" s="231"/>
      <c r="BC334" s="227"/>
      <c r="BD334" s="227"/>
      <c r="BE334" s="227"/>
      <c r="BF334" s="227"/>
    </row>
    <row r="335">
      <c r="A335" s="235" t="s">
        <v>3314</v>
      </c>
      <c r="C335" s="235" t="s">
        <v>3315</v>
      </c>
      <c r="D335" s="235" t="s">
        <v>3316</v>
      </c>
      <c r="E335" s="243">
        <v>6.57E13</v>
      </c>
      <c r="F335" s="244"/>
      <c r="G335" s="235" t="s">
        <v>3317</v>
      </c>
      <c r="H335" s="235" t="s">
        <v>3318</v>
      </c>
      <c r="I335" s="235" t="s">
        <v>3318</v>
      </c>
      <c r="J335" s="235" t="s">
        <v>3319</v>
      </c>
      <c r="K335" s="235" t="s">
        <v>3320</v>
      </c>
      <c r="N335" s="235" t="s">
        <v>144</v>
      </c>
      <c r="O335" s="235" t="s">
        <v>232</v>
      </c>
      <c r="P335" s="238">
        <v>1.0</v>
      </c>
      <c r="Q335" s="235" t="s">
        <v>627</v>
      </c>
      <c r="R335" s="238">
        <v>665.72</v>
      </c>
      <c r="S335" s="238">
        <v>33.28</v>
      </c>
      <c r="T335" s="238">
        <v>75.24</v>
      </c>
      <c r="U335" s="238">
        <v>3.76</v>
      </c>
      <c r="V335" s="238">
        <v>0.0</v>
      </c>
      <c r="W335" s="238">
        <v>0.0</v>
      </c>
      <c r="X335" s="235" t="s">
        <v>628</v>
      </c>
      <c r="Z335" s="244"/>
      <c r="AA335" s="244"/>
      <c r="AB335" s="244"/>
      <c r="AC335" s="235" t="s">
        <v>3321</v>
      </c>
      <c r="AD335" s="235" t="s">
        <v>845</v>
      </c>
      <c r="AE335" s="238">
        <v>425001.0</v>
      </c>
      <c r="AF335" s="235" t="s">
        <v>631</v>
      </c>
      <c r="AG335" s="244"/>
      <c r="AH335" s="244"/>
      <c r="AI335" s="245"/>
      <c r="AJ335" s="245"/>
      <c r="AK335" s="245"/>
      <c r="AL335" s="245"/>
      <c r="AM335" s="244"/>
      <c r="AN335" s="244"/>
      <c r="AO335" s="238">
        <v>0.0</v>
      </c>
      <c r="AP335" s="238">
        <v>-75.24</v>
      </c>
      <c r="AQ335" s="235" t="s">
        <v>632</v>
      </c>
      <c r="AR335" s="243">
        <v>1.68E11</v>
      </c>
      <c r="AS335" s="235" t="s">
        <v>2276</v>
      </c>
      <c r="AT335" s="235" t="s">
        <v>17</v>
      </c>
      <c r="AU335" s="235" t="s">
        <v>634</v>
      </c>
      <c r="AV335" s="246" t="s">
        <v>635</v>
      </c>
      <c r="AW335" s="242"/>
      <c r="AX335" s="242"/>
      <c r="AY335" s="231"/>
      <c r="AZ335" s="231"/>
      <c r="BA335" s="227"/>
      <c r="BB335" s="231"/>
      <c r="BC335" s="227"/>
      <c r="BD335" s="227"/>
      <c r="BE335" s="227"/>
      <c r="BF335" s="227"/>
    </row>
    <row r="336">
      <c r="A336" s="235" t="s">
        <v>3322</v>
      </c>
      <c r="C336" s="235" t="s">
        <v>3323</v>
      </c>
      <c r="D336" s="235" t="s">
        <v>3324</v>
      </c>
      <c r="E336" s="243">
        <v>6.57E13</v>
      </c>
      <c r="F336" s="244"/>
      <c r="G336" s="235" t="s">
        <v>3325</v>
      </c>
      <c r="H336" s="235" t="s">
        <v>3326</v>
      </c>
      <c r="I336" s="235" t="s">
        <v>3326</v>
      </c>
      <c r="J336" s="235" t="s">
        <v>3327</v>
      </c>
      <c r="K336" s="235" t="s">
        <v>3328</v>
      </c>
      <c r="N336" s="235" t="s">
        <v>127</v>
      </c>
      <c r="O336" s="235" t="s">
        <v>794</v>
      </c>
      <c r="P336" s="238">
        <v>1.0</v>
      </c>
      <c r="Q336" s="235" t="s">
        <v>627</v>
      </c>
      <c r="R336" s="238">
        <v>246.66</v>
      </c>
      <c r="S336" s="238">
        <v>12.34</v>
      </c>
      <c r="T336" s="238">
        <v>0.0</v>
      </c>
      <c r="U336" s="238">
        <v>0.0</v>
      </c>
      <c r="V336" s="238">
        <v>0.0</v>
      </c>
      <c r="W336" s="238">
        <v>0.0</v>
      </c>
      <c r="X336" s="235" t="s">
        <v>628</v>
      </c>
      <c r="Z336" s="244"/>
      <c r="AA336" s="244"/>
      <c r="AB336" s="244"/>
      <c r="AC336" s="235" t="s">
        <v>3329</v>
      </c>
      <c r="AD336" s="235" t="s">
        <v>666</v>
      </c>
      <c r="AE336" s="238">
        <v>625017.0</v>
      </c>
      <c r="AF336" s="235" t="s">
        <v>631</v>
      </c>
      <c r="AG336" s="244"/>
      <c r="AH336" s="244"/>
      <c r="AI336" s="245"/>
      <c r="AJ336" s="245"/>
      <c r="AK336" s="245"/>
      <c r="AL336" s="245"/>
      <c r="AM336" s="244"/>
      <c r="AN336" s="244"/>
      <c r="AO336" s="238">
        <v>0.0</v>
      </c>
      <c r="AP336" s="238">
        <v>0.0</v>
      </c>
      <c r="AQ336" s="235" t="s">
        <v>632</v>
      </c>
      <c r="AR336" s="243">
        <v>3.71E11</v>
      </c>
      <c r="AS336" s="235" t="s">
        <v>2276</v>
      </c>
      <c r="AT336" s="235" t="s">
        <v>155</v>
      </c>
      <c r="AU336" s="235" t="s">
        <v>634</v>
      </c>
      <c r="AV336" s="246" t="s">
        <v>635</v>
      </c>
      <c r="AW336" s="242"/>
      <c r="AX336" s="242"/>
      <c r="AY336" s="231"/>
      <c r="AZ336" s="231"/>
      <c r="BA336" s="227"/>
      <c r="BB336" s="231"/>
      <c r="BC336" s="227"/>
      <c r="BD336" s="227"/>
      <c r="BE336" s="227"/>
      <c r="BF336" s="227"/>
    </row>
    <row r="337">
      <c r="A337" s="235" t="s">
        <v>3332</v>
      </c>
      <c r="C337" s="235" t="s">
        <v>3333</v>
      </c>
      <c r="D337" s="235" t="s">
        <v>3334</v>
      </c>
      <c r="E337" s="243">
        <v>6.57E13</v>
      </c>
      <c r="F337" s="244"/>
      <c r="G337" s="235" t="s">
        <v>3335</v>
      </c>
      <c r="H337" s="235" t="s">
        <v>3336</v>
      </c>
      <c r="I337" s="235" t="s">
        <v>3338</v>
      </c>
      <c r="J337" s="235" t="s">
        <v>3339</v>
      </c>
      <c r="K337" s="235" t="s">
        <v>3340</v>
      </c>
      <c r="N337" s="235" t="s">
        <v>90</v>
      </c>
      <c r="O337" s="235" t="s">
        <v>279</v>
      </c>
      <c r="P337" s="238">
        <v>1.0</v>
      </c>
      <c r="Q337" s="235" t="s">
        <v>627</v>
      </c>
      <c r="R337" s="238">
        <v>246.67</v>
      </c>
      <c r="S337" s="238">
        <v>12.33</v>
      </c>
      <c r="T337" s="238">
        <v>0.0</v>
      </c>
      <c r="U337" s="238">
        <v>0.0</v>
      </c>
      <c r="V337" s="238">
        <v>0.0</v>
      </c>
      <c r="W337" s="238">
        <v>0.0</v>
      </c>
      <c r="X337" s="235" t="s">
        <v>628</v>
      </c>
      <c r="Z337" s="244"/>
      <c r="AA337" s="244"/>
      <c r="AB337" s="244"/>
      <c r="AC337" s="235" t="s">
        <v>1279</v>
      </c>
      <c r="AD337" s="235" t="s">
        <v>917</v>
      </c>
      <c r="AE337" s="238">
        <v>302029.0</v>
      </c>
      <c r="AF337" s="235" t="s">
        <v>631</v>
      </c>
      <c r="AG337" s="244"/>
      <c r="AH337" s="244"/>
      <c r="AI337" s="245"/>
      <c r="AJ337" s="245"/>
      <c r="AK337" s="245"/>
      <c r="AL337" s="245"/>
      <c r="AM337" s="244"/>
      <c r="AN337" s="244"/>
      <c r="AO337" s="238">
        <v>0.0</v>
      </c>
      <c r="AP337" s="238">
        <v>0.0</v>
      </c>
      <c r="AQ337" s="235" t="s">
        <v>632</v>
      </c>
      <c r="AR337" s="243">
        <v>3.71E11</v>
      </c>
      <c r="AS337" s="235" t="s">
        <v>1367</v>
      </c>
      <c r="AT337" s="235" t="s">
        <v>13</v>
      </c>
      <c r="AU337" s="235" t="s">
        <v>634</v>
      </c>
      <c r="AV337" s="246" t="s">
        <v>635</v>
      </c>
      <c r="AW337" s="242"/>
      <c r="AX337" s="242"/>
      <c r="AY337" s="231"/>
      <c r="AZ337" s="231"/>
      <c r="BA337" s="227"/>
      <c r="BB337" s="231"/>
      <c r="BC337" s="227"/>
      <c r="BD337" s="227"/>
      <c r="BE337" s="227"/>
      <c r="BF337" s="227"/>
    </row>
    <row r="338">
      <c r="A338" s="235" t="s">
        <v>3343</v>
      </c>
      <c r="C338" s="235" t="s">
        <v>3344</v>
      </c>
      <c r="D338" s="235" t="s">
        <v>3345</v>
      </c>
      <c r="E338" s="243">
        <v>6.57E13</v>
      </c>
      <c r="F338" s="244"/>
      <c r="G338" s="235" t="s">
        <v>3346</v>
      </c>
      <c r="H338" s="235" t="s">
        <v>3347</v>
      </c>
      <c r="I338" s="235" t="s">
        <v>3348</v>
      </c>
      <c r="J338" s="235" t="s">
        <v>3349</v>
      </c>
      <c r="K338" s="235" t="s">
        <v>3350</v>
      </c>
      <c r="N338" s="235" t="s">
        <v>128</v>
      </c>
      <c r="O338" s="235" t="s">
        <v>2710</v>
      </c>
      <c r="P338" s="238">
        <v>1.0</v>
      </c>
      <c r="Q338" s="235" t="s">
        <v>627</v>
      </c>
      <c r="R338" s="238">
        <v>246.67</v>
      </c>
      <c r="S338" s="238">
        <v>12.33</v>
      </c>
      <c r="T338" s="238">
        <v>0.0</v>
      </c>
      <c r="U338" s="238">
        <v>0.0</v>
      </c>
      <c r="V338" s="238">
        <v>0.0</v>
      </c>
      <c r="W338" s="238">
        <v>0.0</v>
      </c>
      <c r="X338" s="235" t="s">
        <v>628</v>
      </c>
      <c r="Z338" s="244"/>
      <c r="AA338" s="244"/>
      <c r="AB338" s="244"/>
      <c r="AC338" s="235" t="s">
        <v>3351</v>
      </c>
      <c r="AD338" s="235" t="s">
        <v>1499</v>
      </c>
      <c r="AE338" s="238">
        <v>462039.0</v>
      </c>
      <c r="AF338" s="235" t="s">
        <v>631</v>
      </c>
      <c r="AG338" s="244"/>
      <c r="AH338" s="244"/>
      <c r="AI338" s="245"/>
      <c r="AJ338" s="245"/>
      <c r="AK338" s="245"/>
      <c r="AL338" s="245"/>
      <c r="AM338" s="244"/>
      <c r="AN338" s="244"/>
      <c r="AO338" s="238">
        <v>0.0</v>
      </c>
      <c r="AP338" s="238">
        <v>0.0</v>
      </c>
      <c r="AQ338" s="235" t="s">
        <v>632</v>
      </c>
      <c r="AR338" s="243">
        <v>3.71E11</v>
      </c>
      <c r="AS338" s="235" t="s">
        <v>1367</v>
      </c>
      <c r="AT338" s="235" t="s">
        <v>17</v>
      </c>
      <c r="AU338" s="235" t="s">
        <v>634</v>
      </c>
      <c r="AV338" s="246" t="s">
        <v>635</v>
      </c>
      <c r="AW338" s="242"/>
      <c r="AX338" s="242"/>
      <c r="AY338" s="231"/>
      <c r="AZ338" s="231"/>
      <c r="BA338" s="227"/>
      <c r="BB338" s="231"/>
      <c r="BC338" s="227"/>
      <c r="BD338" s="227"/>
      <c r="BE338" s="227"/>
      <c r="BF338" s="227"/>
    </row>
    <row r="339">
      <c r="A339" s="235" t="s">
        <v>3352</v>
      </c>
      <c r="C339" s="235" t="s">
        <v>3353</v>
      </c>
      <c r="D339" s="235" t="s">
        <v>3354</v>
      </c>
      <c r="E339" s="243">
        <v>6.56E13</v>
      </c>
      <c r="F339" s="244"/>
      <c r="G339" s="235" t="s">
        <v>3355</v>
      </c>
      <c r="H339" s="235" t="s">
        <v>3356</v>
      </c>
      <c r="I339" s="235" t="s">
        <v>3356</v>
      </c>
      <c r="J339" s="235" t="s">
        <v>3357</v>
      </c>
      <c r="K339" s="235" t="s">
        <v>3358</v>
      </c>
      <c r="N339" s="235" t="s">
        <v>566</v>
      </c>
      <c r="O339" s="235" t="s">
        <v>1834</v>
      </c>
      <c r="P339" s="238">
        <v>1.0</v>
      </c>
      <c r="Q339" s="235" t="s">
        <v>627</v>
      </c>
      <c r="R339" s="238">
        <v>422.88</v>
      </c>
      <c r="S339" s="238">
        <v>76.12</v>
      </c>
      <c r="T339" s="238">
        <v>0.0</v>
      </c>
      <c r="U339" s="238">
        <v>0.0</v>
      </c>
      <c r="V339" s="238">
        <v>0.0</v>
      </c>
      <c r="W339" s="238">
        <v>0.0</v>
      </c>
      <c r="X339" s="235" t="s">
        <v>628</v>
      </c>
      <c r="Z339" s="244"/>
      <c r="AA339" s="244"/>
      <c r="AB339" s="244"/>
      <c r="AC339" s="235" t="s">
        <v>3359</v>
      </c>
      <c r="AD339" s="235" t="s">
        <v>1077</v>
      </c>
      <c r="AE339" s="238">
        <v>382421.0</v>
      </c>
      <c r="AF339" s="235" t="s">
        <v>631</v>
      </c>
      <c r="AG339" s="244"/>
      <c r="AH339" s="244"/>
      <c r="AI339" s="245"/>
      <c r="AJ339" s="245"/>
      <c r="AK339" s="245"/>
      <c r="AL339" s="245"/>
      <c r="AM339" s="244"/>
      <c r="AN339" s="244"/>
      <c r="AO339" s="238">
        <v>0.0</v>
      </c>
      <c r="AP339" s="238">
        <v>0.0</v>
      </c>
      <c r="AQ339" s="235" t="s">
        <v>632</v>
      </c>
      <c r="AR339" s="243">
        <v>3.71E11</v>
      </c>
      <c r="AS339" s="235" t="s">
        <v>656</v>
      </c>
      <c r="AT339" s="235" t="s">
        <v>11</v>
      </c>
      <c r="AU339" s="235" t="s">
        <v>634</v>
      </c>
      <c r="AV339" s="246" t="s">
        <v>635</v>
      </c>
      <c r="AW339" s="242"/>
      <c r="AX339" s="242"/>
      <c r="AY339" s="231"/>
      <c r="AZ339" s="231"/>
      <c r="BA339" s="227"/>
      <c r="BB339" s="231"/>
      <c r="BC339" s="227"/>
      <c r="BD339" s="227"/>
      <c r="BE339" s="227"/>
      <c r="BF339" s="227"/>
    </row>
    <row r="340">
      <c r="A340" s="235" t="s">
        <v>3360</v>
      </c>
      <c r="C340" s="235" t="s">
        <v>3361</v>
      </c>
      <c r="D340" s="235" t="s">
        <v>3362</v>
      </c>
      <c r="E340" s="243">
        <v>6.57E13</v>
      </c>
      <c r="F340" s="244"/>
      <c r="G340" s="235" t="s">
        <v>3363</v>
      </c>
      <c r="H340" s="235" t="s">
        <v>3364</v>
      </c>
      <c r="I340" s="235" t="s">
        <v>3364</v>
      </c>
      <c r="J340" s="235" t="s">
        <v>3365</v>
      </c>
      <c r="K340" s="235" t="s">
        <v>3366</v>
      </c>
      <c r="N340" s="235" t="s">
        <v>85</v>
      </c>
      <c r="O340" s="235" t="s">
        <v>872</v>
      </c>
      <c r="P340" s="238">
        <v>1.0</v>
      </c>
      <c r="Q340" s="235" t="s">
        <v>627</v>
      </c>
      <c r="R340" s="238">
        <v>246.67</v>
      </c>
      <c r="S340" s="238">
        <v>12.33</v>
      </c>
      <c r="T340" s="238">
        <v>0.0</v>
      </c>
      <c r="U340" s="238">
        <v>0.0</v>
      </c>
      <c r="V340" s="238">
        <v>0.0</v>
      </c>
      <c r="W340" s="238">
        <v>0.0</v>
      </c>
      <c r="X340" s="235" t="s">
        <v>628</v>
      </c>
      <c r="Z340" s="244"/>
      <c r="AA340" s="244"/>
      <c r="AB340" s="244"/>
      <c r="AC340" s="235" t="s">
        <v>832</v>
      </c>
      <c r="AD340" s="235" t="s">
        <v>833</v>
      </c>
      <c r="AE340" s="238">
        <v>530016.0</v>
      </c>
      <c r="AF340" s="235" t="s">
        <v>631</v>
      </c>
      <c r="AG340" s="244"/>
      <c r="AH340" s="244"/>
      <c r="AI340" s="245"/>
      <c r="AJ340" s="245"/>
      <c r="AK340" s="245"/>
      <c r="AL340" s="245"/>
      <c r="AM340" s="244"/>
      <c r="AN340" s="244"/>
      <c r="AO340" s="238">
        <v>0.0</v>
      </c>
      <c r="AP340" s="238">
        <v>0.0</v>
      </c>
      <c r="AQ340" s="235" t="s">
        <v>632</v>
      </c>
      <c r="AR340" s="243">
        <v>3.71E11</v>
      </c>
      <c r="AS340" s="235" t="s">
        <v>667</v>
      </c>
      <c r="AT340" s="235" t="s">
        <v>546</v>
      </c>
      <c r="AU340" s="235" t="s">
        <v>634</v>
      </c>
      <c r="AV340" s="246" t="s">
        <v>635</v>
      </c>
      <c r="AW340" s="242"/>
      <c r="AX340" s="242"/>
      <c r="AY340" s="231"/>
      <c r="AZ340" s="231"/>
      <c r="BA340" s="227"/>
      <c r="BB340" s="231"/>
      <c r="BC340" s="227"/>
      <c r="BD340" s="227"/>
      <c r="BE340" s="227"/>
      <c r="BF340" s="227"/>
    </row>
    <row r="341">
      <c r="A341" s="235" t="s">
        <v>3367</v>
      </c>
      <c r="C341" s="235" t="s">
        <v>3368</v>
      </c>
      <c r="D341" s="235" t="s">
        <v>3369</v>
      </c>
      <c r="E341" s="243">
        <v>6.57E13</v>
      </c>
      <c r="F341" s="244"/>
      <c r="G341" s="235" t="s">
        <v>3370</v>
      </c>
      <c r="H341" s="235" t="s">
        <v>3371</v>
      </c>
      <c r="I341" s="235" t="s">
        <v>3371</v>
      </c>
      <c r="J341" s="235" t="s">
        <v>3372</v>
      </c>
      <c r="K341" s="235" t="s">
        <v>3373</v>
      </c>
      <c r="N341" s="235" t="s">
        <v>42</v>
      </c>
      <c r="O341" s="235" t="s">
        <v>204</v>
      </c>
      <c r="P341" s="238">
        <v>1.0</v>
      </c>
      <c r="Q341" s="235" t="s">
        <v>627</v>
      </c>
      <c r="R341" s="238">
        <v>237.14</v>
      </c>
      <c r="S341" s="238">
        <v>11.86</v>
      </c>
      <c r="T341" s="238">
        <v>0.0</v>
      </c>
      <c r="U341" s="238">
        <v>0.0</v>
      </c>
      <c r="V341" s="238">
        <v>0.0</v>
      </c>
      <c r="W341" s="238">
        <v>0.0</v>
      </c>
      <c r="X341" s="235" t="s">
        <v>628</v>
      </c>
      <c r="Z341" s="244"/>
      <c r="AA341" s="244"/>
      <c r="AB341" s="244"/>
      <c r="AC341" s="235" t="s">
        <v>3374</v>
      </c>
      <c r="AD341" s="235" t="s">
        <v>645</v>
      </c>
      <c r="AE341" s="238">
        <v>695002.0</v>
      </c>
      <c r="AF341" s="235" t="s">
        <v>631</v>
      </c>
      <c r="AG341" s="244"/>
      <c r="AH341" s="244"/>
      <c r="AI341" s="245"/>
      <c r="AJ341" s="245"/>
      <c r="AK341" s="245"/>
      <c r="AL341" s="245"/>
      <c r="AM341" s="244"/>
      <c r="AN341" s="244"/>
      <c r="AO341" s="238">
        <v>0.0</v>
      </c>
      <c r="AP341" s="238">
        <v>0.0</v>
      </c>
      <c r="AQ341" s="235" t="s">
        <v>632</v>
      </c>
      <c r="AR341" s="243">
        <v>3.71E11</v>
      </c>
      <c r="AS341" s="235" t="s">
        <v>2276</v>
      </c>
      <c r="AT341" s="235" t="s">
        <v>155</v>
      </c>
      <c r="AU341" s="235" t="s">
        <v>634</v>
      </c>
      <c r="AV341" s="246" t="s">
        <v>635</v>
      </c>
      <c r="AW341" s="242"/>
      <c r="AX341" s="242"/>
      <c r="AY341" s="231"/>
      <c r="AZ341" s="231"/>
      <c r="BA341" s="227"/>
      <c r="BB341" s="227"/>
      <c r="BC341" s="227"/>
      <c r="BD341" s="227"/>
      <c r="BE341" s="227"/>
      <c r="BF341" s="227"/>
    </row>
    <row r="342">
      <c r="A342" s="235" t="s">
        <v>3375</v>
      </c>
      <c r="C342" s="235" t="s">
        <v>3376</v>
      </c>
      <c r="D342" s="235" t="s">
        <v>3377</v>
      </c>
      <c r="E342" s="243">
        <v>6.57E13</v>
      </c>
      <c r="F342" s="244"/>
      <c r="G342" s="235" t="s">
        <v>3378</v>
      </c>
      <c r="H342" s="235" t="s">
        <v>3379</v>
      </c>
      <c r="I342" s="235" t="s">
        <v>3379</v>
      </c>
      <c r="J342" s="235" t="s">
        <v>3380</v>
      </c>
      <c r="K342" s="235" t="s">
        <v>3381</v>
      </c>
      <c r="N342" s="235" t="s">
        <v>1346</v>
      </c>
      <c r="O342" s="235" t="s">
        <v>1347</v>
      </c>
      <c r="P342" s="238">
        <v>1.0</v>
      </c>
      <c r="Q342" s="235" t="s">
        <v>627</v>
      </c>
      <c r="R342" s="238">
        <v>256.19</v>
      </c>
      <c r="S342" s="238">
        <v>12.81</v>
      </c>
      <c r="T342" s="238">
        <v>38.1</v>
      </c>
      <c r="U342" s="238">
        <v>1.9</v>
      </c>
      <c r="V342" s="238">
        <v>0.0</v>
      </c>
      <c r="W342" s="238">
        <v>0.0</v>
      </c>
      <c r="X342" s="235" t="s">
        <v>628</v>
      </c>
      <c r="Z342" s="244"/>
      <c r="AA342" s="244"/>
      <c r="AB342" s="244"/>
      <c r="AC342" s="235" t="s">
        <v>3382</v>
      </c>
      <c r="AD342" s="235" t="s">
        <v>1086</v>
      </c>
      <c r="AE342" s="238">
        <v>144629.0</v>
      </c>
      <c r="AF342" s="235" t="s">
        <v>631</v>
      </c>
      <c r="AG342" s="244"/>
      <c r="AH342" s="244"/>
      <c r="AI342" s="245"/>
      <c r="AJ342" s="245"/>
      <c r="AK342" s="245"/>
      <c r="AL342" s="245"/>
      <c r="AM342" s="244"/>
      <c r="AN342" s="244"/>
      <c r="AO342" s="238">
        <v>0.0</v>
      </c>
      <c r="AP342" s="238">
        <v>-38.1</v>
      </c>
      <c r="AQ342" s="235" t="s">
        <v>632</v>
      </c>
      <c r="AR342" s="243">
        <v>3.71E11</v>
      </c>
      <c r="AS342" s="235" t="s">
        <v>667</v>
      </c>
      <c r="AT342" s="235" t="s">
        <v>14</v>
      </c>
      <c r="AU342" s="235" t="s">
        <v>634</v>
      </c>
      <c r="AV342" s="246" t="s">
        <v>635</v>
      </c>
      <c r="AW342" s="242"/>
      <c r="AX342" s="242"/>
      <c r="AY342" s="231"/>
      <c r="AZ342" s="231"/>
      <c r="BA342" s="227"/>
      <c r="BB342" s="231"/>
      <c r="BC342" s="227"/>
      <c r="BD342" s="227"/>
      <c r="BE342" s="227"/>
      <c r="BF342" s="227"/>
    </row>
    <row r="343">
      <c r="A343" s="235" t="s">
        <v>3383</v>
      </c>
      <c r="C343" s="235" t="s">
        <v>3384</v>
      </c>
      <c r="D343" s="235" t="s">
        <v>3385</v>
      </c>
      <c r="E343" s="243">
        <v>6.57E13</v>
      </c>
      <c r="F343" s="244"/>
      <c r="G343" s="235" t="s">
        <v>3386</v>
      </c>
      <c r="H343" s="235" t="s">
        <v>3387</v>
      </c>
      <c r="I343" s="235" t="s">
        <v>3387</v>
      </c>
      <c r="J343" s="235" t="s">
        <v>3388</v>
      </c>
      <c r="K343" s="235" t="s">
        <v>3389</v>
      </c>
      <c r="N343" s="235" t="s">
        <v>42</v>
      </c>
      <c r="O343" s="235" t="s">
        <v>204</v>
      </c>
      <c r="P343" s="238">
        <v>1.0</v>
      </c>
      <c r="Q343" s="235" t="s">
        <v>627</v>
      </c>
      <c r="R343" s="238">
        <v>0.0</v>
      </c>
      <c r="S343" s="238">
        <v>0.0</v>
      </c>
      <c r="T343" s="238">
        <v>0.0</v>
      </c>
      <c r="U343" s="238">
        <v>0.0</v>
      </c>
      <c r="V343" s="238">
        <v>0.0</v>
      </c>
      <c r="W343" s="238">
        <v>0.0</v>
      </c>
      <c r="X343" s="235" t="s">
        <v>628</v>
      </c>
      <c r="Z343" s="244"/>
      <c r="AA343" s="244"/>
      <c r="AB343" s="244"/>
      <c r="AC343" s="235" t="s">
        <v>3390</v>
      </c>
      <c r="AD343" s="235" t="s">
        <v>833</v>
      </c>
      <c r="AE343" s="238">
        <v>530045.0</v>
      </c>
      <c r="AF343" s="235" t="s">
        <v>631</v>
      </c>
      <c r="AG343" s="244"/>
      <c r="AH343" s="244"/>
      <c r="AI343" s="245"/>
      <c r="AJ343" s="245"/>
      <c r="AK343" s="245"/>
      <c r="AL343" s="245"/>
      <c r="AM343" s="244"/>
      <c r="AN343" s="244"/>
      <c r="AO343" s="238">
        <v>0.0</v>
      </c>
      <c r="AP343" s="238">
        <v>0.0</v>
      </c>
      <c r="AQ343" s="235" t="s">
        <v>632</v>
      </c>
      <c r="AR343" s="243">
        <v>2.02E11</v>
      </c>
      <c r="AS343" s="235" t="s">
        <v>2276</v>
      </c>
      <c r="AT343" s="235" t="s">
        <v>11</v>
      </c>
      <c r="AU343" s="235" t="s">
        <v>634</v>
      </c>
      <c r="AV343" s="246" t="s">
        <v>635</v>
      </c>
      <c r="AW343" s="242"/>
      <c r="AX343" s="242"/>
      <c r="AY343" s="231"/>
      <c r="AZ343" s="231"/>
      <c r="BA343" s="227"/>
      <c r="BB343" s="231"/>
      <c r="BC343" s="227"/>
      <c r="BD343" s="227"/>
      <c r="BE343" s="227"/>
      <c r="BF343" s="227"/>
    </row>
    <row r="344">
      <c r="A344" s="235" t="s">
        <v>3391</v>
      </c>
      <c r="C344" s="235" t="s">
        <v>3392</v>
      </c>
      <c r="D344" s="235" t="s">
        <v>3393</v>
      </c>
      <c r="E344" s="243">
        <v>6.57E13</v>
      </c>
      <c r="F344" s="244"/>
      <c r="G344" s="235" t="s">
        <v>3394</v>
      </c>
      <c r="H344" s="235" t="s">
        <v>3395</v>
      </c>
      <c r="I344" s="235" t="s">
        <v>3395</v>
      </c>
      <c r="J344" s="235" t="s">
        <v>3396</v>
      </c>
      <c r="K344" s="235" t="s">
        <v>3397</v>
      </c>
      <c r="N344" s="235" t="s">
        <v>154</v>
      </c>
      <c r="O344" s="235" t="s">
        <v>766</v>
      </c>
      <c r="P344" s="238">
        <v>1.0</v>
      </c>
      <c r="Q344" s="235" t="s">
        <v>627</v>
      </c>
      <c r="R344" s="238">
        <v>461.9</v>
      </c>
      <c r="S344" s="238">
        <v>23.1</v>
      </c>
      <c r="T344" s="238">
        <v>0.0</v>
      </c>
      <c r="U344" s="238">
        <v>0.0</v>
      </c>
      <c r="V344" s="238">
        <v>0.0</v>
      </c>
      <c r="W344" s="238">
        <v>0.0</v>
      </c>
      <c r="X344" s="235" t="s">
        <v>628</v>
      </c>
      <c r="Z344" s="244"/>
      <c r="AA344" s="244"/>
      <c r="AB344" s="244"/>
      <c r="AC344" s="235" t="s">
        <v>3398</v>
      </c>
      <c r="AD344" s="235" t="s">
        <v>698</v>
      </c>
      <c r="AE344" s="238">
        <v>500094.0</v>
      </c>
      <c r="AF344" s="235" t="s">
        <v>631</v>
      </c>
      <c r="AG344" s="244"/>
      <c r="AH344" s="244"/>
      <c r="AI344" s="245"/>
      <c r="AJ344" s="245"/>
      <c r="AK344" s="245"/>
      <c r="AL344" s="245"/>
      <c r="AM344" s="244"/>
      <c r="AN344" s="244"/>
      <c r="AO344" s="238">
        <v>0.0</v>
      </c>
      <c r="AP344" s="238">
        <v>0.0</v>
      </c>
      <c r="AQ344" s="235" t="s">
        <v>632</v>
      </c>
      <c r="AR344" s="243">
        <v>1.68E11</v>
      </c>
      <c r="AS344" s="235" t="s">
        <v>2276</v>
      </c>
      <c r="AT344" s="235" t="s">
        <v>9</v>
      </c>
      <c r="AU344" s="235" t="s">
        <v>634</v>
      </c>
      <c r="AV344" s="246" t="s">
        <v>635</v>
      </c>
      <c r="AW344" s="242"/>
      <c r="AX344" s="242"/>
      <c r="AY344" s="231"/>
      <c r="AZ344" s="231"/>
      <c r="BA344" s="227"/>
      <c r="BB344" s="231"/>
      <c r="BC344" s="227"/>
      <c r="BD344" s="227"/>
      <c r="BE344" s="227"/>
      <c r="BF344" s="227"/>
    </row>
    <row r="345">
      <c r="A345" s="235" t="s">
        <v>3399</v>
      </c>
      <c r="C345" s="235" t="s">
        <v>3400</v>
      </c>
      <c r="D345" s="235" t="s">
        <v>3401</v>
      </c>
      <c r="E345" s="243">
        <v>6.57E13</v>
      </c>
      <c r="F345" s="244"/>
      <c r="G345" s="235" t="s">
        <v>3402</v>
      </c>
      <c r="H345" s="235" t="s">
        <v>3403</v>
      </c>
      <c r="I345" s="235" t="s">
        <v>3403</v>
      </c>
      <c r="J345" s="235" t="s">
        <v>3404</v>
      </c>
      <c r="K345" s="235" t="s">
        <v>3405</v>
      </c>
      <c r="N345" s="235" t="s">
        <v>85</v>
      </c>
      <c r="O345" s="235" t="s">
        <v>872</v>
      </c>
      <c r="P345" s="238">
        <v>1.0</v>
      </c>
      <c r="Q345" s="235" t="s">
        <v>627</v>
      </c>
      <c r="R345" s="238">
        <v>246.67</v>
      </c>
      <c r="S345" s="238">
        <v>12.33</v>
      </c>
      <c r="T345" s="238">
        <v>0.0</v>
      </c>
      <c r="U345" s="238">
        <v>0.0</v>
      </c>
      <c r="V345" s="238">
        <v>0.0</v>
      </c>
      <c r="W345" s="238">
        <v>0.0</v>
      </c>
      <c r="X345" s="235" t="s">
        <v>628</v>
      </c>
      <c r="Z345" s="244"/>
      <c r="AA345" s="244"/>
      <c r="AB345" s="244"/>
      <c r="AC345" s="235" t="s">
        <v>3406</v>
      </c>
      <c r="AD345" s="235" t="s">
        <v>666</v>
      </c>
      <c r="AE345" s="238">
        <v>614014.0</v>
      </c>
      <c r="AF345" s="235" t="s">
        <v>631</v>
      </c>
      <c r="AG345" s="244"/>
      <c r="AH345" s="244"/>
      <c r="AI345" s="245"/>
      <c r="AJ345" s="245"/>
      <c r="AK345" s="245"/>
      <c r="AL345" s="245"/>
      <c r="AM345" s="244"/>
      <c r="AN345" s="244"/>
      <c r="AO345" s="238">
        <v>0.0</v>
      </c>
      <c r="AP345" s="238">
        <v>0.0</v>
      </c>
      <c r="AQ345" s="235" t="s">
        <v>632</v>
      </c>
      <c r="AR345" s="243">
        <v>3.71E11</v>
      </c>
      <c r="AS345" s="235" t="s">
        <v>1367</v>
      </c>
      <c r="AT345" s="235" t="s">
        <v>9</v>
      </c>
      <c r="AU345" s="235" t="s">
        <v>634</v>
      </c>
      <c r="AV345" s="246" t="s">
        <v>635</v>
      </c>
      <c r="AW345" s="242"/>
      <c r="AX345" s="242"/>
      <c r="AY345" s="231"/>
      <c r="AZ345" s="231"/>
      <c r="BA345" s="227"/>
      <c r="BB345" s="231"/>
      <c r="BC345" s="227"/>
      <c r="BD345" s="227"/>
      <c r="BE345" s="227"/>
      <c r="BF345" s="227"/>
    </row>
    <row r="346">
      <c r="A346" s="235" t="s">
        <v>3407</v>
      </c>
      <c r="C346" s="235" t="s">
        <v>3408</v>
      </c>
      <c r="D346" s="235" t="s">
        <v>3409</v>
      </c>
      <c r="E346" s="243">
        <v>6.57E13</v>
      </c>
      <c r="F346" s="244"/>
      <c r="G346" s="235" t="s">
        <v>3410</v>
      </c>
      <c r="H346" s="235" t="s">
        <v>3411</v>
      </c>
      <c r="I346" s="235" t="s">
        <v>3411</v>
      </c>
      <c r="J346" s="235" t="s">
        <v>3412</v>
      </c>
      <c r="K346" s="235" t="s">
        <v>3413</v>
      </c>
      <c r="N346" s="235" t="s">
        <v>842</v>
      </c>
      <c r="O346" s="235" t="s">
        <v>843</v>
      </c>
      <c r="P346" s="238">
        <v>1.0</v>
      </c>
      <c r="Q346" s="235" t="s">
        <v>627</v>
      </c>
      <c r="R346" s="238">
        <v>246.67</v>
      </c>
      <c r="S346" s="238">
        <v>12.33</v>
      </c>
      <c r="T346" s="238">
        <v>38.1</v>
      </c>
      <c r="U346" s="238">
        <v>1.9</v>
      </c>
      <c r="V346" s="238">
        <v>0.0</v>
      </c>
      <c r="W346" s="238">
        <v>0.0</v>
      </c>
      <c r="X346" s="235" t="s">
        <v>628</v>
      </c>
      <c r="Z346" s="244"/>
      <c r="AA346" s="244"/>
      <c r="AB346" s="244"/>
      <c r="AC346" s="235" t="s">
        <v>3414</v>
      </c>
      <c r="AD346" s="235" t="s">
        <v>2688</v>
      </c>
      <c r="AE346" s="238">
        <v>191101.0</v>
      </c>
      <c r="AF346" s="235" t="s">
        <v>631</v>
      </c>
      <c r="AG346" s="244"/>
      <c r="AH346" s="244"/>
      <c r="AI346" s="245"/>
      <c r="AJ346" s="245"/>
      <c r="AK346" s="245"/>
      <c r="AL346" s="245"/>
      <c r="AM346" s="244"/>
      <c r="AN346" s="244"/>
      <c r="AO346" s="238">
        <v>0.0</v>
      </c>
      <c r="AP346" s="238">
        <v>0.0</v>
      </c>
      <c r="AQ346" s="235" t="s">
        <v>632</v>
      </c>
      <c r="AR346" s="243">
        <v>3.71E11</v>
      </c>
      <c r="AS346" s="235" t="s">
        <v>646</v>
      </c>
      <c r="AT346" s="235" t="s">
        <v>13</v>
      </c>
      <c r="AU346" s="235" t="s">
        <v>634</v>
      </c>
      <c r="AV346" s="246" t="s">
        <v>635</v>
      </c>
      <c r="AW346" s="242"/>
      <c r="AX346" s="242"/>
      <c r="AY346" s="231"/>
      <c r="AZ346" s="231"/>
      <c r="BA346" s="227"/>
      <c r="BB346" s="231"/>
      <c r="BC346" s="227"/>
      <c r="BD346" s="227"/>
      <c r="BE346" s="227"/>
      <c r="BF346" s="227"/>
    </row>
    <row r="347">
      <c r="A347" s="235" t="s">
        <v>3417</v>
      </c>
      <c r="C347" s="235" t="s">
        <v>3418</v>
      </c>
      <c r="D347" s="235" t="s">
        <v>3419</v>
      </c>
      <c r="E347" s="243">
        <v>6.57E13</v>
      </c>
      <c r="F347" s="244"/>
      <c r="G347" s="235" t="s">
        <v>3420</v>
      </c>
      <c r="H347" s="235" t="s">
        <v>3421</v>
      </c>
      <c r="I347" s="235" t="s">
        <v>3422</v>
      </c>
      <c r="J347" s="235" t="s">
        <v>3423</v>
      </c>
      <c r="K347" s="235" t="s">
        <v>3424</v>
      </c>
      <c r="N347" s="235" t="s">
        <v>842</v>
      </c>
      <c r="O347" s="235" t="s">
        <v>843</v>
      </c>
      <c r="P347" s="238">
        <v>1.0</v>
      </c>
      <c r="Q347" s="235" t="s">
        <v>627</v>
      </c>
      <c r="R347" s="238">
        <v>246.67</v>
      </c>
      <c r="S347" s="238">
        <v>12.33</v>
      </c>
      <c r="T347" s="238">
        <v>0.0</v>
      </c>
      <c r="U347" s="238">
        <v>0.0</v>
      </c>
      <c r="V347" s="238">
        <v>0.0</v>
      </c>
      <c r="W347" s="238">
        <v>0.0</v>
      </c>
      <c r="X347" s="235" t="s">
        <v>628</v>
      </c>
      <c r="Z347" s="244"/>
      <c r="AA347" s="244"/>
      <c r="AB347" s="244"/>
      <c r="AC347" s="235" t="s">
        <v>3425</v>
      </c>
      <c r="AD347" s="235" t="s">
        <v>2067</v>
      </c>
      <c r="AE347" s="238">
        <v>826001.0</v>
      </c>
      <c r="AF347" s="235" t="s">
        <v>631</v>
      </c>
      <c r="AG347" s="244"/>
      <c r="AH347" s="244"/>
      <c r="AI347" s="245"/>
      <c r="AJ347" s="245"/>
      <c r="AK347" s="245"/>
      <c r="AL347" s="245"/>
      <c r="AM347" s="244"/>
      <c r="AN347" s="244"/>
      <c r="AO347" s="238">
        <v>0.0</v>
      </c>
      <c r="AP347" s="238">
        <v>0.0</v>
      </c>
      <c r="AQ347" s="235" t="s">
        <v>632</v>
      </c>
      <c r="AR347" s="243">
        <v>3.71E11</v>
      </c>
      <c r="AS347" s="235" t="s">
        <v>646</v>
      </c>
      <c r="AT347" s="235" t="s">
        <v>14</v>
      </c>
      <c r="AU347" s="235" t="s">
        <v>634</v>
      </c>
      <c r="AV347" s="246" t="s">
        <v>635</v>
      </c>
      <c r="AW347" s="242"/>
      <c r="AX347" s="242"/>
      <c r="AY347" s="231"/>
      <c r="AZ347" s="231"/>
      <c r="BA347" s="227"/>
      <c r="BB347" s="231"/>
      <c r="BC347" s="227"/>
      <c r="BD347" s="227"/>
      <c r="BE347" s="227"/>
      <c r="BF347" s="227"/>
    </row>
    <row r="348">
      <c r="A348" s="235" t="s">
        <v>3426</v>
      </c>
      <c r="C348" s="235" t="s">
        <v>3427</v>
      </c>
      <c r="D348" s="235" t="s">
        <v>3428</v>
      </c>
      <c r="E348" s="243">
        <v>6.57E13</v>
      </c>
      <c r="F348" s="244"/>
      <c r="G348" s="235" t="s">
        <v>3429</v>
      </c>
      <c r="H348" s="235" t="s">
        <v>3430</v>
      </c>
      <c r="I348" s="235" t="s">
        <v>3431</v>
      </c>
      <c r="J348" s="235" t="s">
        <v>3432</v>
      </c>
      <c r="K348" s="235" t="s">
        <v>3433</v>
      </c>
      <c r="N348" s="235" t="s">
        <v>139</v>
      </c>
      <c r="O348" s="235" t="s">
        <v>2091</v>
      </c>
      <c r="P348" s="238">
        <v>1.0</v>
      </c>
      <c r="Q348" s="235" t="s">
        <v>627</v>
      </c>
      <c r="R348" s="238">
        <v>246.67</v>
      </c>
      <c r="S348" s="238">
        <v>12.33</v>
      </c>
      <c r="T348" s="238">
        <v>0.0</v>
      </c>
      <c r="U348" s="238">
        <v>0.0</v>
      </c>
      <c r="V348" s="238">
        <v>0.0</v>
      </c>
      <c r="W348" s="238">
        <v>0.0</v>
      </c>
      <c r="X348" s="235" t="s">
        <v>628</v>
      </c>
      <c r="Z348" s="244"/>
      <c r="AA348" s="244"/>
      <c r="AB348" s="244"/>
      <c r="AC348" s="235" t="s">
        <v>2816</v>
      </c>
      <c r="AD348" s="235" t="s">
        <v>645</v>
      </c>
      <c r="AE348" s="238">
        <v>683562.0</v>
      </c>
      <c r="AF348" s="235" t="s">
        <v>631</v>
      </c>
      <c r="AG348" s="244"/>
      <c r="AH348" s="244"/>
      <c r="AI348" s="245"/>
      <c r="AJ348" s="245"/>
      <c r="AK348" s="245"/>
      <c r="AL348" s="245"/>
      <c r="AM348" s="244"/>
      <c r="AN348" s="244"/>
      <c r="AO348" s="238">
        <v>0.0</v>
      </c>
      <c r="AP348" s="238">
        <v>0.0</v>
      </c>
      <c r="AQ348" s="235" t="s">
        <v>632</v>
      </c>
      <c r="AR348" s="243">
        <v>3.71E11</v>
      </c>
      <c r="AS348" s="235" t="s">
        <v>2276</v>
      </c>
      <c r="AT348" s="235" t="s">
        <v>155</v>
      </c>
      <c r="AU348" s="235" t="s">
        <v>634</v>
      </c>
      <c r="AV348" s="246" t="s">
        <v>635</v>
      </c>
      <c r="AW348" s="242"/>
      <c r="AX348" s="242"/>
      <c r="AY348" s="231"/>
      <c r="AZ348" s="231"/>
      <c r="BA348" s="227"/>
      <c r="BB348" s="231"/>
      <c r="BC348" s="227"/>
      <c r="BD348" s="227"/>
      <c r="BE348" s="227"/>
      <c r="BF348" s="227"/>
    </row>
    <row r="349">
      <c r="A349" s="235" t="s">
        <v>3434</v>
      </c>
      <c r="C349" s="235" t="s">
        <v>3435</v>
      </c>
      <c r="D349" s="235" t="s">
        <v>3436</v>
      </c>
      <c r="E349" s="243">
        <v>6.57E13</v>
      </c>
      <c r="F349" s="244"/>
      <c r="G349" s="235" t="s">
        <v>3437</v>
      </c>
      <c r="H349" s="235" t="s">
        <v>3438</v>
      </c>
      <c r="I349" s="235" t="s">
        <v>3438</v>
      </c>
      <c r="J349" s="235" t="s">
        <v>3439</v>
      </c>
      <c r="K349" s="235" t="s">
        <v>3440</v>
      </c>
      <c r="N349" s="235" t="s">
        <v>127</v>
      </c>
      <c r="O349" s="235" t="s">
        <v>794</v>
      </c>
      <c r="P349" s="238">
        <v>1.0</v>
      </c>
      <c r="Q349" s="235" t="s">
        <v>627</v>
      </c>
      <c r="R349" s="238">
        <v>246.67</v>
      </c>
      <c r="S349" s="238">
        <v>12.33</v>
      </c>
      <c r="T349" s="238">
        <v>0.0</v>
      </c>
      <c r="U349" s="238">
        <v>0.0</v>
      </c>
      <c r="V349" s="238">
        <v>0.0</v>
      </c>
      <c r="W349" s="238">
        <v>0.0</v>
      </c>
      <c r="X349" s="235" t="s">
        <v>628</v>
      </c>
      <c r="Z349" s="244"/>
      <c r="AA349" s="244"/>
      <c r="AB349" s="244"/>
      <c r="AC349" s="235" t="s">
        <v>3441</v>
      </c>
      <c r="AD349" s="235" t="s">
        <v>630</v>
      </c>
      <c r="AE349" s="238">
        <v>224001.0</v>
      </c>
      <c r="AF349" s="235" t="s">
        <v>631</v>
      </c>
      <c r="AG349" s="244"/>
      <c r="AH349" s="244"/>
      <c r="AI349" s="245"/>
      <c r="AJ349" s="245"/>
      <c r="AK349" s="245"/>
      <c r="AL349" s="245"/>
      <c r="AM349" s="244"/>
      <c r="AN349" s="244"/>
      <c r="AO349" s="238">
        <v>0.0</v>
      </c>
      <c r="AP349" s="238">
        <v>0.0</v>
      </c>
      <c r="AQ349" s="235" t="s">
        <v>632</v>
      </c>
      <c r="AR349" s="243">
        <v>3.71E11</v>
      </c>
      <c r="AS349" s="235" t="s">
        <v>1367</v>
      </c>
      <c r="AT349" s="235" t="s">
        <v>13</v>
      </c>
      <c r="AU349" s="235" t="s">
        <v>634</v>
      </c>
      <c r="AV349" s="246" t="s">
        <v>635</v>
      </c>
      <c r="AW349" s="242"/>
      <c r="AX349" s="242"/>
      <c r="AY349" s="231"/>
      <c r="AZ349" s="231"/>
      <c r="BA349" s="227"/>
      <c r="BB349" s="231"/>
      <c r="BC349" s="227"/>
      <c r="BD349" s="227"/>
      <c r="BE349" s="227"/>
      <c r="BF349" s="227"/>
    </row>
    <row r="350">
      <c r="A350" s="235" t="s">
        <v>3442</v>
      </c>
      <c r="C350" s="235" t="s">
        <v>3443</v>
      </c>
      <c r="D350" s="235" t="s">
        <v>3444</v>
      </c>
      <c r="E350" s="243">
        <v>6.57E13</v>
      </c>
      <c r="F350" s="244"/>
      <c r="G350" s="235" t="s">
        <v>3445</v>
      </c>
      <c r="H350" s="235" t="s">
        <v>3446</v>
      </c>
      <c r="I350" s="235" t="s">
        <v>3446</v>
      </c>
      <c r="J350" s="235" t="s">
        <v>3447</v>
      </c>
      <c r="K350" s="235" t="s">
        <v>3448</v>
      </c>
      <c r="N350" s="235" t="s">
        <v>842</v>
      </c>
      <c r="O350" s="235" t="s">
        <v>843</v>
      </c>
      <c r="P350" s="238">
        <v>1.0</v>
      </c>
      <c r="Q350" s="235" t="s">
        <v>627</v>
      </c>
      <c r="R350" s="238">
        <v>246.67</v>
      </c>
      <c r="S350" s="238">
        <v>12.33</v>
      </c>
      <c r="T350" s="238">
        <v>0.0</v>
      </c>
      <c r="U350" s="238">
        <v>0.0</v>
      </c>
      <c r="V350" s="238">
        <v>0.0</v>
      </c>
      <c r="W350" s="238">
        <v>0.0</v>
      </c>
      <c r="X350" s="235" t="s">
        <v>628</v>
      </c>
      <c r="Z350" s="244"/>
      <c r="AA350" s="244"/>
      <c r="AB350" s="244"/>
      <c r="AC350" s="235" t="s">
        <v>3449</v>
      </c>
      <c r="AD350" s="235" t="s">
        <v>833</v>
      </c>
      <c r="AE350" s="238">
        <v>533293.0</v>
      </c>
      <c r="AF350" s="235" t="s">
        <v>631</v>
      </c>
      <c r="AG350" s="244"/>
      <c r="AH350" s="244"/>
      <c r="AI350" s="245"/>
      <c r="AJ350" s="245"/>
      <c r="AK350" s="245"/>
      <c r="AL350" s="245"/>
      <c r="AM350" s="244"/>
      <c r="AN350" s="244"/>
      <c r="AO350" s="238">
        <v>0.0</v>
      </c>
      <c r="AP350" s="238">
        <v>0.0</v>
      </c>
      <c r="AQ350" s="235" t="s">
        <v>632</v>
      </c>
      <c r="AR350" s="243">
        <v>3.71E11</v>
      </c>
      <c r="AS350" s="235" t="s">
        <v>1367</v>
      </c>
      <c r="AT350" s="235" t="s">
        <v>156</v>
      </c>
      <c r="AU350" s="235" t="s">
        <v>634</v>
      </c>
      <c r="AV350" s="246" t="s">
        <v>635</v>
      </c>
      <c r="AW350" s="242"/>
      <c r="AX350" s="242"/>
      <c r="AY350" s="231"/>
      <c r="AZ350" s="231"/>
      <c r="BA350" s="227"/>
      <c r="BB350" s="231"/>
      <c r="BC350" s="227"/>
      <c r="BD350" s="227"/>
      <c r="BE350" s="227"/>
      <c r="BF350" s="227"/>
    </row>
    <row r="351">
      <c r="A351" s="235" t="s">
        <v>3450</v>
      </c>
      <c r="C351" s="235" t="s">
        <v>3451</v>
      </c>
      <c r="D351" s="235" t="s">
        <v>3452</v>
      </c>
      <c r="E351" s="243">
        <v>6.57E13</v>
      </c>
      <c r="F351" s="244"/>
      <c r="G351" s="235" t="s">
        <v>3453</v>
      </c>
      <c r="H351" s="235" t="s">
        <v>3454</v>
      </c>
      <c r="I351" s="235" t="s">
        <v>3454</v>
      </c>
      <c r="J351" s="235" t="s">
        <v>3455</v>
      </c>
      <c r="K351" s="235" t="s">
        <v>3456</v>
      </c>
      <c r="N351" s="235" t="s">
        <v>50</v>
      </c>
      <c r="O351" s="235" t="s">
        <v>367</v>
      </c>
      <c r="P351" s="238">
        <v>1.0</v>
      </c>
      <c r="Q351" s="235" t="s">
        <v>627</v>
      </c>
      <c r="R351" s="238">
        <v>237.14</v>
      </c>
      <c r="S351" s="238">
        <v>11.86</v>
      </c>
      <c r="T351" s="238">
        <v>0.0</v>
      </c>
      <c r="U351" s="238">
        <v>0.0</v>
      </c>
      <c r="V351" s="238">
        <v>0.0</v>
      </c>
      <c r="W351" s="238">
        <v>0.0</v>
      </c>
      <c r="X351" s="235" t="s">
        <v>628</v>
      </c>
      <c r="Z351" s="244"/>
      <c r="AA351" s="244"/>
      <c r="AB351" s="244"/>
      <c r="AC351" s="235" t="s">
        <v>3457</v>
      </c>
      <c r="AD351" s="235" t="s">
        <v>698</v>
      </c>
      <c r="AE351" s="238">
        <v>509381.0</v>
      </c>
      <c r="AF351" s="235" t="s">
        <v>631</v>
      </c>
      <c r="AG351" s="244"/>
      <c r="AH351" s="244"/>
      <c r="AI351" s="245"/>
      <c r="AJ351" s="245"/>
      <c r="AK351" s="245"/>
      <c r="AL351" s="245"/>
      <c r="AM351" s="244"/>
      <c r="AN351" s="244"/>
      <c r="AO351" s="238">
        <v>0.0</v>
      </c>
      <c r="AP351" s="238">
        <v>0.0</v>
      </c>
      <c r="AQ351" s="235" t="s">
        <v>632</v>
      </c>
      <c r="AR351" s="243">
        <v>3.71E11</v>
      </c>
      <c r="AS351" s="235" t="s">
        <v>1367</v>
      </c>
      <c r="AT351" s="235" t="s">
        <v>546</v>
      </c>
      <c r="AU351" s="235" t="s">
        <v>634</v>
      </c>
      <c r="AV351" s="246" t="s">
        <v>635</v>
      </c>
      <c r="AW351" s="242"/>
      <c r="AX351" s="242"/>
      <c r="AY351" s="231"/>
      <c r="AZ351" s="231"/>
      <c r="BA351" s="227"/>
      <c r="BB351" s="231"/>
      <c r="BC351" s="227"/>
      <c r="BD351" s="227"/>
      <c r="BE351" s="227"/>
      <c r="BF351" s="227"/>
    </row>
    <row r="352">
      <c r="A352" s="235" t="s">
        <v>3458</v>
      </c>
      <c r="C352" s="235" t="s">
        <v>3459</v>
      </c>
      <c r="D352" s="235" t="s">
        <v>3460</v>
      </c>
      <c r="E352" s="243">
        <v>6.57E13</v>
      </c>
      <c r="F352" s="244"/>
      <c r="G352" s="235" t="s">
        <v>3461</v>
      </c>
      <c r="H352" s="235" t="s">
        <v>3462</v>
      </c>
      <c r="I352" s="235" t="s">
        <v>3462</v>
      </c>
      <c r="J352" s="235" t="s">
        <v>3463</v>
      </c>
      <c r="K352" s="235" t="s">
        <v>3464</v>
      </c>
      <c r="N352" s="235" t="s">
        <v>25</v>
      </c>
      <c r="O352" s="235" t="s">
        <v>919</v>
      </c>
      <c r="P352" s="238">
        <v>1.0</v>
      </c>
      <c r="Q352" s="235" t="s">
        <v>627</v>
      </c>
      <c r="R352" s="238">
        <v>360.95</v>
      </c>
      <c r="S352" s="238">
        <v>18.05</v>
      </c>
      <c r="T352" s="238">
        <v>0.0</v>
      </c>
      <c r="U352" s="238">
        <v>0.0</v>
      </c>
      <c r="V352" s="238">
        <v>0.0</v>
      </c>
      <c r="W352" s="238">
        <v>0.0</v>
      </c>
      <c r="X352" s="235" t="s">
        <v>628</v>
      </c>
      <c r="Z352" s="244"/>
      <c r="AA352" s="244"/>
      <c r="AB352" s="244"/>
      <c r="AC352" s="235" t="s">
        <v>3469</v>
      </c>
      <c r="AD352" s="235" t="s">
        <v>833</v>
      </c>
      <c r="AE352" s="238">
        <v>516293.0</v>
      </c>
      <c r="AF352" s="235" t="s">
        <v>631</v>
      </c>
      <c r="AG352" s="244"/>
      <c r="AH352" s="244"/>
      <c r="AI352" s="245"/>
      <c r="AJ352" s="245"/>
      <c r="AK352" s="245"/>
      <c r="AL352" s="245"/>
      <c r="AM352" s="244"/>
      <c r="AN352" s="244"/>
      <c r="AO352" s="238">
        <v>0.0</v>
      </c>
      <c r="AP352" s="238">
        <v>0.0</v>
      </c>
      <c r="AQ352" s="235" t="s">
        <v>632</v>
      </c>
      <c r="AR352" s="243">
        <v>3.71E11</v>
      </c>
      <c r="AS352" s="235" t="s">
        <v>2276</v>
      </c>
      <c r="AT352" s="235" t="s">
        <v>156</v>
      </c>
      <c r="AU352" s="235" t="s">
        <v>634</v>
      </c>
      <c r="AV352" s="246" t="s">
        <v>635</v>
      </c>
      <c r="AW352" s="242"/>
      <c r="AX352" s="242"/>
      <c r="AY352" s="231"/>
      <c r="AZ352" s="231"/>
      <c r="BA352" s="227"/>
      <c r="BB352" s="231"/>
      <c r="BC352" s="227"/>
      <c r="BD352" s="227"/>
      <c r="BE352" s="227"/>
      <c r="BF352" s="227"/>
    </row>
    <row r="353">
      <c r="A353" s="235" t="s">
        <v>3472</v>
      </c>
      <c r="C353" s="235" t="s">
        <v>3473</v>
      </c>
      <c r="D353" s="235" t="s">
        <v>3474</v>
      </c>
      <c r="E353" s="243">
        <v>6.57E13</v>
      </c>
      <c r="F353" s="244"/>
      <c r="G353" s="235" t="s">
        <v>3475</v>
      </c>
      <c r="H353" s="235" t="s">
        <v>3476</v>
      </c>
      <c r="I353" s="235" t="s">
        <v>3477</v>
      </c>
      <c r="J353" s="235" t="s">
        <v>3478</v>
      </c>
      <c r="K353" s="235" t="s">
        <v>3479</v>
      </c>
      <c r="N353" s="235" t="s">
        <v>154</v>
      </c>
      <c r="O353" s="235" t="s">
        <v>766</v>
      </c>
      <c r="P353" s="238">
        <v>1.0</v>
      </c>
      <c r="Q353" s="235" t="s">
        <v>627</v>
      </c>
      <c r="R353" s="238">
        <v>465.72</v>
      </c>
      <c r="S353" s="238">
        <v>23.28</v>
      </c>
      <c r="T353" s="238">
        <v>0.0</v>
      </c>
      <c r="U353" s="238">
        <v>0.0</v>
      </c>
      <c r="V353" s="238">
        <v>0.0</v>
      </c>
      <c r="W353" s="238">
        <v>0.0</v>
      </c>
      <c r="X353" s="235" t="s">
        <v>628</v>
      </c>
      <c r="Z353" s="244"/>
      <c r="AA353" s="244"/>
      <c r="AB353" s="244"/>
      <c r="AC353" s="235" t="s">
        <v>678</v>
      </c>
      <c r="AD353" s="235" t="s">
        <v>679</v>
      </c>
      <c r="AE353" s="238">
        <v>560102.0</v>
      </c>
      <c r="AF353" s="235" t="s">
        <v>631</v>
      </c>
      <c r="AG353" s="244"/>
      <c r="AH353" s="244"/>
      <c r="AI353" s="245"/>
      <c r="AJ353" s="245"/>
      <c r="AK353" s="245"/>
      <c r="AL353" s="245"/>
      <c r="AM353" s="244"/>
      <c r="AN353" s="244"/>
      <c r="AO353" s="238">
        <v>0.0</v>
      </c>
      <c r="AP353" s="238">
        <v>0.0</v>
      </c>
      <c r="AQ353" s="235" t="s">
        <v>632</v>
      </c>
      <c r="AR353" s="243">
        <v>1.68E11</v>
      </c>
      <c r="AS353" s="235" t="s">
        <v>3284</v>
      </c>
      <c r="AT353" s="235" t="s">
        <v>11</v>
      </c>
      <c r="AU353" s="235" t="s">
        <v>634</v>
      </c>
      <c r="AV353" s="246" t="s">
        <v>635</v>
      </c>
      <c r="AW353" s="242"/>
      <c r="AX353" s="242"/>
      <c r="AY353" s="231"/>
      <c r="AZ353" s="231"/>
      <c r="BA353" s="227"/>
      <c r="BB353" s="231"/>
      <c r="BC353" s="227"/>
      <c r="BD353" s="227"/>
      <c r="BE353" s="227"/>
      <c r="BF353" s="227"/>
    </row>
    <row r="354">
      <c r="A354" s="235" t="s">
        <v>3482</v>
      </c>
      <c r="C354" s="235" t="s">
        <v>3483</v>
      </c>
      <c r="D354" s="235" t="s">
        <v>3484</v>
      </c>
      <c r="E354" s="243">
        <v>6.57E13</v>
      </c>
      <c r="F354" s="244"/>
      <c r="G354" s="235" t="s">
        <v>3485</v>
      </c>
      <c r="H354" s="235" t="s">
        <v>3486</v>
      </c>
      <c r="I354" s="235" t="s">
        <v>3486</v>
      </c>
      <c r="J354" s="235" t="s">
        <v>3487</v>
      </c>
      <c r="K354" s="235" t="s">
        <v>3488</v>
      </c>
      <c r="N354" s="235" t="s">
        <v>127</v>
      </c>
      <c r="O354" s="235" t="s">
        <v>794</v>
      </c>
      <c r="P354" s="238">
        <v>1.0</v>
      </c>
      <c r="Q354" s="235" t="s">
        <v>627</v>
      </c>
      <c r="R354" s="238">
        <v>246.67</v>
      </c>
      <c r="S354" s="238">
        <v>12.33</v>
      </c>
      <c r="T354" s="238">
        <v>75.24</v>
      </c>
      <c r="U354" s="238">
        <v>3.76</v>
      </c>
      <c r="V354" s="238">
        <v>0.0</v>
      </c>
      <c r="W354" s="238">
        <v>0.0</v>
      </c>
      <c r="X354" s="235" t="s">
        <v>628</v>
      </c>
      <c r="Z354" s="244"/>
      <c r="AA354" s="244"/>
      <c r="AB354" s="244"/>
      <c r="AC354" s="235" t="s">
        <v>697</v>
      </c>
      <c r="AD354" s="235" t="s">
        <v>698</v>
      </c>
      <c r="AE354" s="238">
        <v>500006.0</v>
      </c>
      <c r="AF354" s="235" t="s">
        <v>631</v>
      </c>
      <c r="AG354" s="244"/>
      <c r="AH354" s="244"/>
      <c r="AI354" s="245"/>
      <c r="AJ354" s="245"/>
      <c r="AK354" s="245"/>
      <c r="AL354" s="245"/>
      <c r="AM354" s="244"/>
      <c r="AN354" s="244"/>
      <c r="AO354" s="238">
        <v>0.0</v>
      </c>
      <c r="AP354" s="238">
        <v>0.0</v>
      </c>
      <c r="AQ354" s="235" t="s">
        <v>632</v>
      </c>
      <c r="AR354" s="243">
        <v>1.68E11</v>
      </c>
      <c r="AS354" s="235" t="s">
        <v>2276</v>
      </c>
      <c r="AT354" s="235" t="s">
        <v>9</v>
      </c>
      <c r="AU354" s="235" t="s">
        <v>634</v>
      </c>
      <c r="AV354" s="246" t="s">
        <v>635</v>
      </c>
      <c r="AW354" s="242"/>
      <c r="AX354" s="242"/>
      <c r="AY354" s="231"/>
      <c r="AZ354" s="231"/>
      <c r="BA354" s="227"/>
      <c r="BB354" s="231"/>
      <c r="BC354" s="227"/>
      <c r="BD354" s="227"/>
      <c r="BE354" s="227"/>
      <c r="BF354" s="227"/>
    </row>
    <row r="355">
      <c r="A355" s="235" t="s">
        <v>3489</v>
      </c>
      <c r="C355" s="235" t="s">
        <v>3490</v>
      </c>
      <c r="D355" s="235" t="s">
        <v>3491</v>
      </c>
      <c r="E355" s="243">
        <v>6.56E13</v>
      </c>
      <c r="F355" s="244"/>
      <c r="G355" s="235" t="s">
        <v>3492</v>
      </c>
      <c r="H355" s="235" t="s">
        <v>3493</v>
      </c>
      <c r="I355" s="235" t="s">
        <v>3493</v>
      </c>
      <c r="J355" s="235" t="s">
        <v>3494</v>
      </c>
      <c r="K355" s="235" t="s">
        <v>3495</v>
      </c>
      <c r="N355" s="235" t="s">
        <v>127</v>
      </c>
      <c r="O355" s="235" t="s">
        <v>794</v>
      </c>
      <c r="P355" s="238">
        <v>1.0</v>
      </c>
      <c r="Q355" s="235" t="s">
        <v>627</v>
      </c>
      <c r="R355" s="238">
        <v>246.67</v>
      </c>
      <c r="S355" s="238">
        <v>12.33</v>
      </c>
      <c r="T355" s="238">
        <v>56.19</v>
      </c>
      <c r="U355" s="238">
        <v>2.81</v>
      </c>
      <c r="V355" s="238">
        <v>0.0</v>
      </c>
      <c r="W355" s="238">
        <v>0.0</v>
      </c>
      <c r="X355" s="235" t="s">
        <v>628</v>
      </c>
      <c r="Z355" s="244"/>
      <c r="AA355" s="244"/>
      <c r="AB355" s="244"/>
      <c r="AC355" s="235" t="s">
        <v>1728</v>
      </c>
      <c r="AD355" s="235" t="s">
        <v>630</v>
      </c>
      <c r="AE355" s="238">
        <v>221002.0</v>
      </c>
      <c r="AF355" s="235" t="s">
        <v>631</v>
      </c>
      <c r="AG355" s="244"/>
      <c r="AH355" s="244"/>
      <c r="AI355" s="245"/>
      <c r="AJ355" s="245"/>
      <c r="AK355" s="245"/>
      <c r="AL355" s="245"/>
      <c r="AM355" s="244"/>
      <c r="AN355" s="244"/>
      <c r="AO355" s="238">
        <v>0.0</v>
      </c>
      <c r="AP355" s="238">
        <v>-56.19</v>
      </c>
      <c r="AQ355" s="235" t="s">
        <v>632</v>
      </c>
      <c r="AR355" s="243">
        <v>2.02E11</v>
      </c>
      <c r="AS355" s="235" t="s">
        <v>2276</v>
      </c>
      <c r="AT355" s="235" t="s">
        <v>533</v>
      </c>
      <c r="AU355" s="235" t="s">
        <v>634</v>
      </c>
      <c r="AV355" s="246" t="s">
        <v>635</v>
      </c>
      <c r="AW355" s="242"/>
      <c r="AX355" s="242"/>
      <c r="AY355" s="231"/>
      <c r="AZ355" s="231"/>
      <c r="BA355" s="227"/>
      <c r="BB355" s="231"/>
      <c r="BC355" s="227"/>
      <c r="BD355" s="227"/>
      <c r="BE355" s="227"/>
      <c r="BF355" s="227"/>
    </row>
    <row r="356">
      <c r="A356" s="235" t="s">
        <v>3496</v>
      </c>
      <c r="C356" s="235" t="s">
        <v>3497</v>
      </c>
      <c r="D356" s="235" t="s">
        <v>3498</v>
      </c>
      <c r="E356" s="243">
        <v>6.56E13</v>
      </c>
      <c r="F356" s="244"/>
      <c r="G356" s="235" t="s">
        <v>3499</v>
      </c>
      <c r="H356" s="235" t="s">
        <v>3500</v>
      </c>
      <c r="I356" s="235" t="s">
        <v>3500</v>
      </c>
      <c r="J356" s="235" t="s">
        <v>3501</v>
      </c>
      <c r="K356" s="235" t="s">
        <v>3502</v>
      </c>
      <c r="N356" s="235" t="s">
        <v>130</v>
      </c>
      <c r="O356" s="235" t="s">
        <v>707</v>
      </c>
      <c r="P356" s="238">
        <v>1.0</v>
      </c>
      <c r="Q356" s="235" t="s">
        <v>627</v>
      </c>
      <c r="R356" s="238">
        <v>246.67</v>
      </c>
      <c r="S356" s="238">
        <v>12.33</v>
      </c>
      <c r="T356" s="238">
        <v>0.0</v>
      </c>
      <c r="U356" s="238">
        <v>0.0</v>
      </c>
      <c r="V356" s="238">
        <v>0.0</v>
      </c>
      <c r="W356" s="238">
        <v>0.0</v>
      </c>
      <c r="X356" s="235" t="s">
        <v>628</v>
      </c>
      <c r="Z356" s="244"/>
      <c r="AA356" s="244"/>
      <c r="AB356" s="244"/>
      <c r="AC356" s="235" t="s">
        <v>3503</v>
      </c>
      <c r="AD356" s="235" t="s">
        <v>630</v>
      </c>
      <c r="AE356" s="238">
        <v>244901.0</v>
      </c>
      <c r="AF356" s="235" t="s">
        <v>631</v>
      </c>
      <c r="AG356" s="244"/>
      <c r="AH356" s="244"/>
      <c r="AI356" s="245"/>
      <c r="AJ356" s="245"/>
      <c r="AK356" s="245"/>
      <c r="AL356" s="245"/>
      <c r="AM356" s="244"/>
      <c r="AN356" s="244"/>
      <c r="AO356" s="238">
        <v>0.0</v>
      </c>
      <c r="AP356" s="238">
        <v>0.0</v>
      </c>
      <c r="AQ356" s="235" t="s">
        <v>632</v>
      </c>
      <c r="AR356" s="243">
        <v>3.71E11</v>
      </c>
      <c r="AS356" s="235" t="s">
        <v>656</v>
      </c>
      <c r="AT356" s="235" t="s">
        <v>533</v>
      </c>
      <c r="AU356" s="235" t="s">
        <v>634</v>
      </c>
      <c r="AV356" s="246" t="s">
        <v>635</v>
      </c>
      <c r="AW356" s="242"/>
      <c r="AX356" s="242"/>
      <c r="AY356" s="231"/>
      <c r="AZ356" s="231"/>
      <c r="BA356" s="227"/>
      <c r="BB356" s="231"/>
      <c r="BC356" s="227"/>
      <c r="BD356" s="227"/>
      <c r="BE356" s="227"/>
      <c r="BF356" s="227"/>
    </row>
    <row r="357">
      <c r="A357" s="235" t="s">
        <v>3504</v>
      </c>
      <c r="C357" s="235" t="s">
        <v>3505</v>
      </c>
      <c r="D357" s="235" t="s">
        <v>3506</v>
      </c>
      <c r="E357" s="243">
        <v>6.57E13</v>
      </c>
      <c r="F357" s="244"/>
      <c r="G357" s="235" t="s">
        <v>3507</v>
      </c>
      <c r="H357" s="235" t="s">
        <v>3508</v>
      </c>
      <c r="I357" s="235" t="s">
        <v>3508</v>
      </c>
      <c r="J357" s="235" t="s">
        <v>3509</v>
      </c>
      <c r="K357" s="235" t="s">
        <v>3510</v>
      </c>
      <c r="N357" s="235" t="s">
        <v>42</v>
      </c>
      <c r="O357" s="235" t="s">
        <v>204</v>
      </c>
      <c r="P357" s="238">
        <v>1.0</v>
      </c>
      <c r="Q357" s="235" t="s">
        <v>627</v>
      </c>
      <c r="R357" s="238">
        <v>237.14</v>
      </c>
      <c r="S357" s="238">
        <v>11.62</v>
      </c>
      <c r="T357" s="238">
        <v>0.0</v>
      </c>
      <c r="U357" s="238">
        <v>0.0</v>
      </c>
      <c r="V357" s="238">
        <v>0.0</v>
      </c>
      <c r="W357" s="238">
        <v>0.0</v>
      </c>
      <c r="X357" s="235" t="s">
        <v>628</v>
      </c>
      <c r="Z357" s="244"/>
      <c r="AA357" s="244"/>
      <c r="AB357" s="244"/>
      <c r="AC357" s="235" t="s">
        <v>687</v>
      </c>
      <c r="AD357" s="235" t="s">
        <v>666</v>
      </c>
      <c r="AE357" s="238">
        <v>600128.0</v>
      </c>
      <c r="AF357" s="235" t="s">
        <v>631</v>
      </c>
      <c r="AG357" s="244"/>
      <c r="AH357" s="244"/>
      <c r="AI357" s="245"/>
      <c r="AJ357" s="245"/>
      <c r="AK357" s="245"/>
      <c r="AL357" s="245"/>
      <c r="AM357" s="244"/>
      <c r="AN357" s="244"/>
      <c r="AO357" s="238">
        <v>-4.74</v>
      </c>
      <c r="AP357" s="238">
        <v>0.0</v>
      </c>
      <c r="AQ357" s="235" t="s">
        <v>632</v>
      </c>
      <c r="AR357" s="243">
        <v>1.68E11</v>
      </c>
      <c r="AS357" s="235" t="s">
        <v>3284</v>
      </c>
      <c r="AT357" s="235" t="s">
        <v>156</v>
      </c>
      <c r="AU357" s="235" t="s">
        <v>634</v>
      </c>
      <c r="AV357" s="246" t="s">
        <v>635</v>
      </c>
      <c r="AW357" s="242"/>
      <c r="AX357" s="242"/>
      <c r="AY357" s="231"/>
      <c r="AZ357" s="231"/>
      <c r="BA357" s="227"/>
      <c r="BB357" s="231"/>
      <c r="BC357" s="227"/>
      <c r="BD357" s="227"/>
      <c r="BE357" s="227"/>
      <c r="BF357" s="227"/>
    </row>
    <row r="358">
      <c r="A358" s="235" t="s">
        <v>3511</v>
      </c>
      <c r="C358" s="235" t="s">
        <v>3512</v>
      </c>
      <c r="D358" s="235" t="s">
        <v>3513</v>
      </c>
      <c r="E358" s="243">
        <v>6.57E13</v>
      </c>
      <c r="F358" s="244"/>
      <c r="G358" s="235" t="s">
        <v>3514</v>
      </c>
      <c r="H358" s="235" t="s">
        <v>3515</v>
      </c>
      <c r="I358" s="235" t="s">
        <v>3516</v>
      </c>
      <c r="J358" s="235" t="s">
        <v>3517</v>
      </c>
      <c r="K358" s="235" t="s">
        <v>3518</v>
      </c>
      <c r="N358" s="235" t="s">
        <v>42</v>
      </c>
      <c r="O358" s="235" t="s">
        <v>204</v>
      </c>
      <c r="P358" s="238">
        <v>1.0</v>
      </c>
      <c r="Q358" s="235" t="s">
        <v>627</v>
      </c>
      <c r="R358" s="238">
        <v>237.14</v>
      </c>
      <c r="S358" s="238">
        <v>11.86</v>
      </c>
      <c r="T358" s="238">
        <v>0.0</v>
      </c>
      <c r="U358" s="238">
        <v>0.0</v>
      </c>
      <c r="V358" s="238">
        <v>0.0</v>
      </c>
      <c r="W358" s="238">
        <v>0.0</v>
      </c>
      <c r="X358" s="235" t="s">
        <v>628</v>
      </c>
      <c r="Z358" s="244"/>
      <c r="AA358" s="244"/>
      <c r="AB358" s="244"/>
      <c r="AC358" s="235" t="s">
        <v>3519</v>
      </c>
      <c r="AD358" s="235" t="s">
        <v>698</v>
      </c>
      <c r="AE358" s="238">
        <v>509103.0</v>
      </c>
      <c r="AF358" s="235" t="s">
        <v>631</v>
      </c>
      <c r="AG358" s="244"/>
      <c r="AH358" s="244"/>
      <c r="AI358" s="245"/>
      <c r="AJ358" s="245"/>
      <c r="AK358" s="245"/>
      <c r="AL358" s="245"/>
      <c r="AM358" s="244"/>
      <c r="AN358" s="244"/>
      <c r="AO358" s="238">
        <v>0.0</v>
      </c>
      <c r="AP358" s="238">
        <v>0.0</v>
      </c>
      <c r="AQ358" s="235" t="s">
        <v>632</v>
      </c>
      <c r="AR358" s="243">
        <v>3.71E11</v>
      </c>
      <c r="AS358" s="235" t="s">
        <v>1367</v>
      </c>
      <c r="AT358" s="235" t="s">
        <v>16</v>
      </c>
      <c r="AU358" s="235" t="s">
        <v>634</v>
      </c>
      <c r="AV358" s="246" t="s">
        <v>635</v>
      </c>
      <c r="AW358" s="242"/>
      <c r="AX358" s="242"/>
      <c r="AY358" s="231"/>
      <c r="AZ358" s="231"/>
      <c r="BA358" s="227"/>
      <c r="BB358" s="231"/>
      <c r="BC358" s="227"/>
      <c r="BD358" s="227"/>
      <c r="BE358" s="227"/>
      <c r="BF358" s="227"/>
    </row>
    <row r="359">
      <c r="A359" s="235" t="s">
        <v>3520</v>
      </c>
      <c r="C359" s="235" t="s">
        <v>3521</v>
      </c>
      <c r="D359" s="235" t="s">
        <v>3522</v>
      </c>
      <c r="E359" s="243">
        <v>6.56E13</v>
      </c>
      <c r="F359" s="244"/>
      <c r="G359" s="235" t="s">
        <v>3523</v>
      </c>
      <c r="H359" s="235" t="s">
        <v>3524</v>
      </c>
      <c r="I359" s="235" t="s">
        <v>3524</v>
      </c>
      <c r="J359" s="235" t="s">
        <v>3525</v>
      </c>
      <c r="K359" s="235" t="s">
        <v>3526</v>
      </c>
      <c r="N359" s="235" t="s">
        <v>82</v>
      </c>
      <c r="O359" s="235" t="s">
        <v>889</v>
      </c>
      <c r="P359" s="238">
        <v>1.0</v>
      </c>
      <c r="Q359" s="235" t="s">
        <v>627</v>
      </c>
      <c r="R359" s="238">
        <v>246.66</v>
      </c>
      <c r="S359" s="238">
        <v>12.34</v>
      </c>
      <c r="T359" s="238">
        <v>38.1</v>
      </c>
      <c r="U359" s="238">
        <v>1.9</v>
      </c>
      <c r="V359" s="238">
        <v>0.0</v>
      </c>
      <c r="W359" s="238">
        <v>0.0</v>
      </c>
      <c r="X359" s="235" t="s">
        <v>628</v>
      </c>
      <c r="Z359" s="244"/>
      <c r="AA359" s="244"/>
      <c r="AB359" s="244"/>
      <c r="AC359" s="235" t="s">
        <v>3527</v>
      </c>
      <c r="AD359" s="235" t="s">
        <v>845</v>
      </c>
      <c r="AE359" s="238">
        <v>431001.0</v>
      </c>
      <c r="AF359" s="235" t="s">
        <v>631</v>
      </c>
      <c r="AG359" s="244"/>
      <c r="AH359" s="244"/>
      <c r="AI359" s="245"/>
      <c r="AJ359" s="245"/>
      <c r="AK359" s="245"/>
      <c r="AL359" s="245"/>
      <c r="AM359" s="244"/>
      <c r="AN359" s="244"/>
      <c r="AO359" s="238">
        <v>0.0</v>
      </c>
      <c r="AP359" s="238">
        <v>-38.1</v>
      </c>
      <c r="AQ359" s="235" t="s">
        <v>632</v>
      </c>
      <c r="AR359" s="243">
        <v>3.71E11</v>
      </c>
      <c r="AS359" s="235" t="s">
        <v>1367</v>
      </c>
      <c r="AT359" s="235" t="s">
        <v>546</v>
      </c>
      <c r="AU359" s="235" t="s">
        <v>634</v>
      </c>
      <c r="AV359" s="246" t="s">
        <v>635</v>
      </c>
      <c r="AW359" s="242"/>
      <c r="AX359" s="242"/>
      <c r="AY359" s="231"/>
      <c r="AZ359" s="231"/>
      <c r="BA359" s="227"/>
      <c r="BB359" s="231"/>
      <c r="BC359" s="227"/>
      <c r="BD359" s="227"/>
      <c r="BE359" s="227"/>
      <c r="BF359" s="227"/>
    </row>
    <row r="360">
      <c r="A360" s="235" t="s">
        <v>3528</v>
      </c>
      <c r="C360" s="235" t="s">
        <v>3529</v>
      </c>
      <c r="D360" s="235" t="s">
        <v>3530</v>
      </c>
      <c r="E360" s="243">
        <v>6.57E13</v>
      </c>
      <c r="F360" s="244"/>
      <c r="G360" s="235" t="s">
        <v>3531</v>
      </c>
      <c r="H360" s="235" t="s">
        <v>3532</v>
      </c>
      <c r="I360" s="235" t="s">
        <v>3532</v>
      </c>
      <c r="J360" s="235" t="s">
        <v>3533</v>
      </c>
      <c r="K360" s="235" t="s">
        <v>3534</v>
      </c>
      <c r="N360" s="235" t="s">
        <v>82</v>
      </c>
      <c r="O360" s="235" t="s">
        <v>889</v>
      </c>
      <c r="P360" s="238">
        <v>1.0</v>
      </c>
      <c r="Q360" s="235" t="s">
        <v>627</v>
      </c>
      <c r="R360" s="238">
        <v>246.66</v>
      </c>
      <c r="S360" s="238">
        <v>12.34</v>
      </c>
      <c r="T360" s="238">
        <v>75.24</v>
      </c>
      <c r="U360" s="238">
        <v>3.76</v>
      </c>
      <c r="V360" s="238">
        <v>0.0</v>
      </c>
      <c r="W360" s="238">
        <v>0.0</v>
      </c>
      <c r="X360" s="235" t="s">
        <v>628</v>
      </c>
      <c r="Z360" s="244"/>
      <c r="AA360" s="244"/>
      <c r="AB360" s="244"/>
      <c r="AC360" s="235" t="s">
        <v>3535</v>
      </c>
      <c r="AD360" s="235" t="s">
        <v>679</v>
      </c>
      <c r="AE360" s="238">
        <v>563114.0</v>
      </c>
      <c r="AF360" s="235" t="s">
        <v>631</v>
      </c>
      <c r="AG360" s="244"/>
      <c r="AH360" s="244"/>
      <c r="AI360" s="245"/>
      <c r="AJ360" s="245"/>
      <c r="AK360" s="245"/>
      <c r="AL360" s="245"/>
      <c r="AM360" s="244"/>
      <c r="AN360" s="244"/>
      <c r="AO360" s="238">
        <v>0.0</v>
      </c>
      <c r="AP360" s="238">
        <v>-75.24</v>
      </c>
      <c r="AQ360" s="235" t="s">
        <v>632</v>
      </c>
      <c r="AR360" s="243">
        <v>3.71E11</v>
      </c>
      <c r="AS360" s="235" t="s">
        <v>2276</v>
      </c>
      <c r="AT360" s="235" t="s">
        <v>11</v>
      </c>
      <c r="AU360" s="235" t="s">
        <v>634</v>
      </c>
      <c r="AV360" s="246" t="s">
        <v>635</v>
      </c>
      <c r="AW360" s="242"/>
      <c r="AX360" s="242"/>
      <c r="AY360" s="231"/>
      <c r="AZ360" s="231"/>
      <c r="BA360" s="227"/>
      <c r="BB360" s="231"/>
      <c r="BC360" s="227"/>
      <c r="BD360" s="227"/>
      <c r="BE360" s="227"/>
      <c r="BF360" s="227"/>
    </row>
    <row r="361">
      <c r="A361" s="235" t="s">
        <v>3539</v>
      </c>
      <c r="C361" s="235" t="s">
        <v>3540</v>
      </c>
      <c r="D361" s="235" t="s">
        <v>3541</v>
      </c>
      <c r="E361" s="243">
        <v>6.57E13</v>
      </c>
      <c r="F361" s="244"/>
      <c r="G361" s="235" t="s">
        <v>3542</v>
      </c>
      <c r="H361" s="235" t="s">
        <v>3543</v>
      </c>
      <c r="I361" s="235" t="s">
        <v>3543</v>
      </c>
      <c r="J361" s="235" t="s">
        <v>3544</v>
      </c>
      <c r="K361" s="235" t="s">
        <v>3545</v>
      </c>
      <c r="N361" s="235" t="s">
        <v>51</v>
      </c>
      <c r="O361" s="235" t="s">
        <v>273</v>
      </c>
      <c r="P361" s="238">
        <v>1.0</v>
      </c>
      <c r="Q361" s="235" t="s">
        <v>627</v>
      </c>
      <c r="R361" s="238">
        <v>237.14</v>
      </c>
      <c r="S361" s="238">
        <v>11.86</v>
      </c>
      <c r="T361" s="238">
        <v>0.0</v>
      </c>
      <c r="U361" s="238">
        <v>0.0</v>
      </c>
      <c r="V361" s="238">
        <v>0.0</v>
      </c>
      <c r="W361" s="238">
        <v>0.0</v>
      </c>
      <c r="X361" s="235" t="s">
        <v>628</v>
      </c>
      <c r="Z361" s="244"/>
      <c r="AA361" s="244"/>
      <c r="AB361" s="244"/>
      <c r="AC361" s="235" t="s">
        <v>3546</v>
      </c>
      <c r="AD361" s="235" t="s">
        <v>833</v>
      </c>
      <c r="AE361" s="238">
        <v>522001.0</v>
      </c>
      <c r="AF361" s="235" t="s">
        <v>631</v>
      </c>
      <c r="AG361" s="244"/>
      <c r="AH361" s="244"/>
      <c r="AI361" s="245"/>
      <c r="AJ361" s="245"/>
      <c r="AK361" s="245"/>
      <c r="AL361" s="245"/>
      <c r="AM361" s="244"/>
      <c r="AN361" s="244"/>
      <c r="AO361" s="238">
        <v>0.0</v>
      </c>
      <c r="AP361" s="238">
        <v>0.0</v>
      </c>
      <c r="AQ361" s="235" t="s">
        <v>632</v>
      </c>
      <c r="AR361" s="243">
        <v>1.68E11</v>
      </c>
      <c r="AS361" s="235" t="s">
        <v>2276</v>
      </c>
      <c r="AT361" s="235" t="s">
        <v>156</v>
      </c>
      <c r="AU361" s="235" t="s">
        <v>634</v>
      </c>
      <c r="AV361" s="246" t="s">
        <v>635</v>
      </c>
      <c r="AW361" s="242"/>
      <c r="AX361" s="242"/>
      <c r="AY361" s="231"/>
      <c r="AZ361" s="231"/>
      <c r="BA361" s="227"/>
      <c r="BB361" s="231"/>
      <c r="BC361" s="227"/>
      <c r="BD361" s="227"/>
      <c r="BE361" s="227"/>
      <c r="BF361" s="227"/>
    </row>
    <row r="362">
      <c r="A362" s="235" t="s">
        <v>3547</v>
      </c>
      <c r="C362" s="235" t="s">
        <v>3548</v>
      </c>
      <c r="D362" s="235" t="s">
        <v>3549</v>
      </c>
      <c r="E362" s="243">
        <v>6.57E13</v>
      </c>
      <c r="F362" s="244"/>
      <c r="G362" s="235" t="s">
        <v>3550</v>
      </c>
      <c r="H362" s="235" t="s">
        <v>3551</v>
      </c>
      <c r="I362" s="235" t="s">
        <v>3552</v>
      </c>
      <c r="J362" s="235" t="s">
        <v>3553</v>
      </c>
      <c r="K362" s="235" t="s">
        <v>3554</v>
      </c>
      <c r="N362" s="235" t="s">
        <v>42</v>
      </c>
      <c r="O362" s="235" t="s">
        <v>204</v>
      </c>
      <c r="P362" s="238">
        <v>1.0</v>
      </c>
      <c r="Q362" s="235" t="s">
        <v>627</v>
      </c>
      <c r="R362" s="238">
        <v>237.14</v>
      </c>
      <c r="S362" s="238">
        <v>11.86</v>
      </c>
      <c r="T362" s="238">
        <v>0.0</v>
      </c>
      <c r="U362" s="238">
        <v>0.0</v>
      </c>
      <c r="V362" s="238">
        <v>0.0</v>
      </c>
      <c r="W362" s="238">
        <v>0.0</v>
      </c>
      <c r="X362" s="235" t="s">
        <v>628</v>
      </c>
      <c r="Z362" s="244"/>
      <c r="AA362" s="244"/>
      <c r="AB362" s="244"/>
      <c r="AC362" s="235" t="s">
        <v>1320</v>
      </c>
      <c r="AD362" s="235" t="s">
        <v>666</v>
      </c>
      <c r="AE362" s="238">
        <v>600129.0</v>
      </c>
      <c r="AF362" s="235" t="s">
        <v>631</v>
      </c>
      <c r="AG362" s="244"/>
      <c r="AH362" s="244"/>
      <c r="AI362" s="245"/>
      <c r="AJ362" s="245"/>
      <c r="AK362" s="245"/>
      <c r="AL362" s="245"/>
      <c r="AM362" s="244"/>
      <c r="AN362" s="244"/>
      <c r="AO362" s="238">
        <v>0.0</v>
      </c>
      <c r="AP362" s="238">
        <v>0.0</v>
      </c>
      <c r="AQ362" s="235" t="s">
        <v>632</v>
      </c>
      <c r="AR362" s="243">
        <v>1.68E11</v>
      </c>
      <c r="AS362" s="235" t="s">
        <v>3284</v>
      </c>
      <c r="AT362" s="235" t="s">
        <v>156</v>
      </c>
      <c r="AU362" s="235" t="s">
        <v>634</v>
      </c>
      <c r="AV362" s="246" t="s">
        <v>635</v>
      </c>
      <c r="AW362" s="242"/>
      <c r="AX362" s="242"/>
      <c r="AY362" s="231"/>
      <c r="AZ362" s="231"/>
      <c r="BA362" s="227"/>
      <c r="BB362" s="231"/>
      <c r="BC362" s="227"/>
      <c r="BD362" s="227"/>
      <c r="BE362" s="227"/>
      <c r="BF362" s="227"/>
    </row>
    <row r="363">
      <c r="A363" s="235" t="s">
        <v>3555</v>
      </c>
      <c r="C363" s="235" t="s">
        <v>3556</v>
      </c>
      <c r="D363" s="235" t="s">
        <v>3557</v>
      </c>
      <c r="E363" s="243">
        <v>6.57E13</v>
      </c>
      <c r="F363" s="244"/>
      <c r="G363" s="235" t="s">
        <v>3558</v>
      </c>
      <c r="H363" s="235" t="s">
        <v>3559</v>
      </c>
      <c r="I363" s="235" t="s">
        <v>3559</v>
      </c>
      <c r="J363" s="235" t="s">
        <v>3560</v>
      </c>
      <c r="K363" s="235" t="s">
        <v>3562</v>
      </c>
      <c r="N363" s="235" t="s">
        <v>85</v>
      </c>
      <c r="O363" s="235" t="s">
        <v>872</v>
      </c>
      <c r="P363" s="238">
        <v>1.0</v>
      </c>
      <c r="Q363" s="235" t="s">
        <v>627</v>
      </c>
      <c r="R363" s="238">
        <v>246.67</v>
      </c>
      <c r="S363" s="238">
        <v>12.33</v>
      </c>
      <c r="T363" s="238">
        <v>0.0</v>
      </c>
      <c r="U363" s="238">
        <v>0.0</v>
      </c>
      <c r="V363" s="238">
        <v>0.0</v>
      </c>
      <c r="W363" s="238">
        <v>0.0</v>
      </c>
      <c r="X363" s="235" t="s">
        <v>628</v>
      </c>
      <c r="Z363" s="244"/>
      <c r="AA363" s="244"/>
      <c r="AB363" s="244"/>
      <c r="AC363" s="235" t="s">
        <v>697</v>
      </c>
      <c r="AD363" s="235" t="s">
        <v>698</v>
      </c>
      <c r="AE363" s="238">
        <v>500072.0</v>
      </c>
      <c r="AF363" s="235" t="s">
        <v>631</v>
      </c>
      <c r="AG363" s="244"/>
      <c r="AH363" s="244"/>
      <c r="AI363" s="245"/>
      <c r="AJ363" s="245"/>
      <c r="AK363" s="245"/>
      <c r="AL363" s="245"/>
      <c r="AM363" s="244"/>
      <c r="AN363" s="244"/>
      <c r="AO363" s="238">
        <v>0.0</v>
      </c>
      <c r="AP363" s="238">
        <v>0.0</v>
      </c>
      <c r="AQ363" s="235" t="s">
        <v>632</v>
      </c>
      <c r="AR363" s="243">
        <v>1.68E11</v>
      </c>
      <c r="AS363" s="235" t="s">
        <v>2276</v>
      </c>
      <c r="AT363" s="235" t="s">
        <v>156</v>
      </c>
      <c r="AU363" s="235" t="s">
        <v>634</v>
      </c>
      <c r="AV363" s="246" t="s">
        <v>635</v>
      </c>
      <c r="AW363" s="242"/>
      <c r="AX363" s="242"/>
      <c r="AY363" s="231"/>
      <c r="AZ363" s="231"/>
      <c r="BA363" s="227"/>
      <c r="BB363" s="231"/>
      <c r="BC363" s="227"/>
      <c r="BD363" s="227"/>
      <c r="BE363" s="227"/>
      <c r="BF363" s="227"/>
    </row>
    <row r="364">
      <c r="A364" s="235" t="s">
        <v>3570</v>
      </c>
      <c r="C364" s="235" t="s">
        <v>3571</v>
      </c>
      <c r="D364" s="235" t="s">
        <v>3572</v>
      </c>
      <c r="E364" s="243">
        <v>6.57E13</v>
      </c>
      <c r="F364" s="244"/>
      <c r="G364" s="235" t="s">
        <v>3573</v>
      </c>
      <c r="H364" s="235" t="s">
        <v>3574</v>
      </c>
      <c r="I364" s="235" t="s">
        <v>3574</v>
      </c>
      <c r="J364" s="235" t="s">
        <v>3575</v>
      </c>
      <c r="K364" s="235" t="s">
        <v>3576</v>
      </c>
      <c r="N364" s="235" t="s">
        <v>85</v>
      </c>
      <c r="O364" s="235" t="s">
        <v>872</v>
      </c>
      <c r="P364" s="238">
        <v>1.0</v>
      </c>
      <c r="Q364" s="235" t="s">
        <v>627</v>
      </c>
      <c r="R364" s="238">
        <v>246.67</v>
      </c>
      <c r="S364" s="238">
        <v>12.33</v>
      </c>
      <c r="T364" s="238">
        <v>38.1</v>
      </c>
      <c r="U364" s="238">
        <v>1.9</v>
      </c>
      <c r="V364" s="238">
        <v>0.0</v>
      </c>
      <c r="W364" s="238">
        <v>0.0</v>
      </c>
      <c r="X364" s="235" t="s">
        <v>628</v>
      </c>
      <c r="Z364" s="244"/>
      <c r="AA364" s="244"/>
      <c r="AB364" s="244"/>
      <c r="AC364" s="235" t="s">
        <v>3577</v>
      </c>
      <c r="AD364" s="235" t="s">
        <v>854</v>
      </c>
      <c r="AE364" s="238">
        <v>403707.0</v>
      </c>
      <c r="AF364" s="235" t="s">
        <v>631</v>
      </c>
      <c r="AG364" s="244"/>
      <c r="AH364" s="244"/>
      <c r="AI364" s="245"/>
      <c r="AJ364" s="245"/>
      <c r="AK364" s="245"/>
      <c r="AL364" s="245"/>
      <c r="AM364" s="244"/>
      <c r="AN364" s="244"/>
      <c r="AO364" s="238">
        <v>0.0</v>
      </c>
      <c r="AP364" s="238">
        <v>-38.1</v>
      </c>
      <c r="AQ364" s="235" t="s">
        <v>632</v>
      </c>
      <c r="AR364" s="243">
        <v>1.68E11</v>
      </c>
      <c r="AS364" s="235" t="s">
        <v>1367</v>
      </c>
      <c r="AT364" s="235" t="s">
        <v>546</v>
      </c>
      <c r="AU364" s="235" t="s">
        <v>634</v>
      </c>
      <c r="AV364" s="246" t="s">
        <v>635</v>
      </c>
      <c r="AW364" s="242"/>
      <c r="AX364" s="242"/>
      <c r="AY364" s="231"/>
      <c r="AZ364" s="231"/>
      <c r="BA364" s="227"/>
      <c r="BB364" s="231"/>
      <c r="BC364" s="227"/>
      <c r="BD364" s="227"/>
      <c r="BE364" s="227"/>
      <c r="BF364" s="227"/>
    </row>
    <row r="365">
      <c r="A365" s="235" t="s">
        <v>3579</v>
      </c>
      <c r="C365" s="235" t="s">
        <v>3581</v>
      </c>
      <c r="D365" s="235" t="s">
        <v>3582</v>
      </c>
      <c r="E365" s="243">
        <v>6.56E13</v>
      </c>
      <c r="F365" s="244"/>
      <c r="G365" s="235" t="s">
        <v>3585</v>
      </c>
      <c r="H365" s="235" t="s">
        <v>3586</v>
      </c>
      <c r="I365" s="235" t="s">
        <v>3586</v>
      </c>
      <c r="J365" s="235" t="s">
        <v>3587</v>
      </c>
      <c r="K365" s="235" t="s">
        <v>3588</v>
      </c>
      <c r="N365" s="235" t="s">
        <v>134</v>
      </c>
      <c r="O365" s="235" t="s">
        <v>314</v>
      </c>
      <c r="P365" s="238">
        <v>1.0</v>
      </c>
      <c r="Q365" s="235" t="s">
        <v>627</v>
      </c>
      <c r="R365" s="238">
        <v>246.66</v>
      </c>
      <c r="S365" s="238">
        <v>12.34</v>
      </c>
      <c r="T365" s="238">
        <v>0.0</v>
      </c>
      <c r="U365" s="238">
        <v>0.0</v>
      </c>
      <c r="V365" s="238">
        <v>0.0</v>
      </c>
      <c r="W365" s="238">
        <v>0.0</v>
      </c>
      <c r="X365" s="235" t="s">
        <v>628</v>
      </c>
      <c r="Z365" s="244"/>
      <c r="AA365" s="244"/>
      <c r="AB365" s="244"/>
      <c r="AC365" s="235" t="s">
        <v>1255</v>
      </c>
      <c r="AD365" s="235" t="s">
        <v>845</v>
      </c>
      <c r="AE365" s="238">
        <v>400607.0</v>
      </c>
      <c r="AF365" s="235" t="s">
        <v>631</v>
      </c>
      <c r="AG365" s="244"/>
      <c r="AH365" s="244"/>
      <c r="AI365" s="245"/>
      <c r="AJ365" s="245"/>
      <c r="AK365" s="245"/>
      <c r="AL365" s="245"/>
      <c r="AM365" s="244"/>
      <c r="AN365" s="244"/>
      <c r="AO365" s="238">
        <v>0.0</v>
      </c>
      <c r="AP365" s="238">
        <v>0.0</v>
      </c>
      <c r="AQ365" s="235" t="s">
        <v>632</v>
      </c>
      <c r="AR365" s="243">
        <v>3.71E11</v>
      </c>
      <c r="AS365" s="235" t="s">
        <v>2276</v>
      </c>
      <c r="AT365" s="235" t="s">
        <v>16</v>
      </c>
      <c r="AU365" s="235" t="s">
        <v>634</v>
      </c>
      <c r="AV365" s="246" t="s">
        <v>635</v>
      </c>
      <c r="AW365" s="242"/>
      <c r="AX365" s="242"/>
      <c r="AY365" s="231"/>
      <c r="AZ365" s="231"/>
      <c r="BA365" s="227"/>
      <c r="BB365" s="231"/>
      <c r="BC365" s="227"/>
      <c r="BD365" s="227"/>
      <c r="BE365" s="227"/>
      <c r="BF365" s="227"/>
    </row>
    <row r="366">
      <c r="A366" s="235" t="s">
        <v>3589</v>
      </c>
      <c r="C366" s="235" t="s">
        <v>3590</v>
      </c>
      <c r="D366" s="235" t="s">
        <v>3591</v>
      </c>
      <c r="E366" s="243">
        <v>6.57E13</v>
      </c>
      <c r="F366" s="244"/>
      <c r="G366" s="235" t="s">
        <v>3592</v>
      </c>
      <c r="H366" s="235" t="s">
        <v>3593</v>
      </c>
      <c r="I366" s="235" t="s">
        <v>3593</v>
      </c>
      <c r="J366" s="235" t="s">
        <v>3594</v>
      </c>
      <c r="K366" s="235" t="s">
        <v>3595</v>
      </c>
      <c r="N366" s="235" t="s">
        <v>138</v>
      </c>
      <c r="O366" s="235" t="s">
        <v>675</v>
      </c>
      <c r="P366" s="238">
        <v>1.0</v>
      </c>
      <c r="Q366" s="235" t="s">
        <v>627</v>
      </c>
      <c r="R366" s="238">
        <v>246.67</v>
      </c>
      <c r="S366" s="238">
        <v>12.33</v>
      </c>
      <c r="T366" s="238">
        <v>0.0</v>
      </c>
      <c r="U366" s="238">
        <v>0.0</v>
      </c>
      <c r="V366" s="238">
        <v>0.0</v>
      </c>
      <c r="W366" s="238">
        <v>0.0</v>
      </c>
      <c r="X366" s="235" t="s">
        <v>628</v>
      </c>
      <c r="Z366" s="244"/>
      <c r="AA366" s="244"/>
      <c r="AB366" s="244"/>
      <c r="AC366" s="235" t="s">
        <v>814</v>
      </c>
      <c r="AD366" s="235" t="s">
        <v>698</v>
      </c>
      <c r="AE366" s="238">
        <v>500038.0</v>
      </c>
      <c r="AF366" s="235" t="s">
        <v>631</v>
      </c>
      <c r="AG366" s="244"/>
      <c r="AH366" s="244"/>
      <c r="AI366" s="245"/>
      <c r="AJ366" s="245"/>
      <c r="AK366" s="245"/>
      <c r="AL366" s="245"/>
      <c r="AM366" s="244"/>
      <c r="AN366" s="244"/>
      <c r="AO366" s="238">
        <v>0.0</v>
      </c>
      <c r="AP366" s="238">
        <v>0.0</v>
      </c>
      <c r="AQ366" s="235" t="s">
        <v>632</v>
      </c>
      <c r="AR366" s="243">
        <v>1.68E11</v>
      </c>
      <c r="AS366" s="235" t="s">
        <v>2276</v>
      </c>
      <c r="AT366" s="235" t="s">
        <v>156</v>
      </c>
      <c r="AU366" s="235" t="s">
        <v>634</v>
      </c>
      <c r="AV366" s="246" t="s">
        <v>635</v>
      </c>
      <c r="AW366" s="242"/>
      <c r="AX366" s="242"/>
      <c r="AY366" s="231"/>
      <c r="AZ366" s="231"/>
      <c r="BA366" s="227"/>
      <c r="BB366" s="231"/>
      <c r="BC366" s="227"/>
      <c r="BD366" s="227"/>
      <c r="BE366" s="227"/>
      <c r="BF366" s="227"/>
    </row>
    <row r="367">
      <c r="A367" s="235" t="s">
        <v>3598</v>
      </c>
      <c r="C367" s="235" t="s">
        <v>3599</v>
      </c>
      <c r="D367" s="235" t="s">
        <v>3600</v>
      </c>
      <c r="E367" s="243">
        <v>6.57E13</v>
      </c>
      <c r="F367" s="244"/>
      <c r="G367" s="235" t="s">
        <v>3601</v>
      </c>
      <c r="H367" s="235" t="s">
        <v>3602</v>
      </c>
      <c r="I367" s="235" t="s">
        <v>3602</v>
      </c>
      <c r="J367" s="235" t="s">
        <v>3603</v>
      </c>
      <c r="K367" s="235" t="s">
        <v>3604</v>
      </c>
      <c r="N367" s="235" t="s">
        <v>51</v>
      </c>
      <c r="O367" s="235" t="s">
        <v>273</v>
      </c>
      <c r="P367" s="238">
        <v>1.0</v>
      </c>
      <c r="Q367" s="235" t="s">
        <v>627</v>
      </c>
      <c r="R367" s="238">
        <v>237.14</v>
      </c>
      <c r="S367" s="238">
        <v>11.86</v>
      </c>
      <c r="T367" s="238">
        <v>56.19</v>
      </c>
      <c r="U367" s="238">
        <v>2.81</v>
      </c>
      <c r="V367" s="238">
        <v>0.0</v>
      </c>
      <c r="W367" s="238">
        <v>0.0</v>
      </c>
      <c r="X367" s="235" t="s">
        <v>628</v>
      </c>
      <c r="Z367" s="244"/>
      <c r="AA367" s="244"/>
      <c r="AB367" s="244"/>
      <c r="AC367" s="235" t="s">
        <v>3605</v>
      </c>
      <c r="AD367" s="235" t="s">
        <v>833</v>
      </c>
      <c r="AE367" s="238">
        <v>521001.0</v>
      </c>
      <c r="AF367" s="235" t="s">
        <v>631</v>
      </c>
      <c r="AG367" s="244"/>
      <c r="AH367" s="244"/>
      <c r="AI367" s="245"/>
      <c r="AJ367" s="245"/>
      <c r="AK367" s="245"/>
      <c r="AL367" s="245"/>
      <c r="AM367" s="244"/>
      <c r="AN367" s="244"/>
      <c r="AO367" s="238">
        <v>0.0</v>
      </c>
      <c r="AP367" s="238">
        <v>-56.19</v>
      </c>
      <c r="AQ367" s="235" t="s">
        <v>632</v>
      </c>
      <c r="AR367" s="243">
        <v>3.71E11</v>
      </c>
      <c r="AS367" s="235" t="s">
        <v>1367</v>
      </c>
      <c r="AT367" s="235" t="s">
        <v>156</v>
      </c>
      <c r="AU367" s="235" t="s">
        <v>634</v>
      </c>
      <c r="AV367" s="246" t="s">
        <v>635</v>
      </c>
      <c r="AW367" s="242"/>
      <c r="AX367" s="242"/>
      <c r="AY367" s="231"/>
      <c r="AZ367" s="231"/>
      <c r="BA367" s="227"/>
      <c r="BB367" s="231"/>
      <c r="BC367" s="227"/>
      <c r="BD367" s="227"/>
      <c r="BE367" s="227"/>
      <c r="BF367" s="227"/>
    </row>
    <row r="368">
      <c r="A368" s="235" t="s">
        <v>3606</v>
      </c>
      <c r="C368" s="235" t="s">
        <v>3607</v>
      </c>
      <c r="D368" s="235" t="s">
        <v>3608</v>
      </c>
      <c r="E368" s="243">
        <v>6.57E13</v>
      </c>
      <c r="F368" s="244"/>
      <c r="G368" s="235" t="s">
        <v>3609</v>
      </c>
      <c r="H368" s="235" t="s">
        <v>3610</v>
      </c>
      <c r="I368" s="235" t="s">
        <v>3610</v>
      </c>
      <c r="J368" s="235" t="s">
        <v>3611</v>
      </c>
      <c r="K368" s="235" t="s">
        <v>3612</v>
      </c>
      <c r="N368" s="235" t="s">
        <v>126</v>
      </c>
      <c r="O368" s="235" t="s">
        <v>407</v>
      </c>
      <c r="P368" s="238">
        <v>1.0</v>
      </c>
      <c r="Q368" s="235" t="s">
        <v>627</v>
      </c>
      <c r="R368" s="238">
        <v>0.0</v>
      </c>
      <c r="S368" s="238">
        <v>0.0</v>
      </c>
      <c r="T368" s="238">
        <v>0.0</v>
      </c>
      <c r="U368" s="238">
        <v>0.0</v>
      </c>
      <c r="V368" s="238">
        <v>0.0</v>
      </c>
      <c r="W368" s="238">
        <v>0.0</v>
      </c>
      <c r="X368" s="235" t="s">
        <v>2433</v>
      </c>
      <c r="Y368" s="244"/>
      <c r="Z368" s="244"/>
      <c r="AA368" s="244"/>
      <c r="AB368" s="244"/>
      <c r="AC368" s="235" t="s">
        <v>697</v>
      </c>
      <c r="AD368" s="235" t="s">
        <v>698</v>
      </c>
      <c r="AE368" s="238">
        <v>500091.0</v>
      </c>
      <c r="AF368" s="235" t="s">
        <v>631</v>
      </c>
      <c r="AG368" s="244"/>
      <c r="AH368" s="244"/>
      <c r="AI368" s="245"/>
      <c r="AJ368" s="245"/>
      <c r="AK368" s="245"/>
      <c r="AL368" s="245"/>
      <c r="AM368" s="244"/>
      <c r="AN368" s="244"/>
      <c r="AO368" s="238">
        <v>0.0</v>
      </c>
      <c r="AP368" s="238">
        <v>0.0</v>
      </c>
      <c r="AQ368" s="235" t="s">
        <v>632</v>
      </c>
      <c r="AR368" s="243">
        <v>3.71E11</v>
      </c>
      <c r="AS368" s="235" t="s">
        <v>1367</v>
      </c>
      <c r="AT368" s="235" t="s">
        <v>17</v>
      </c>
      <c r="AU368" s="235" t="s">
        <v>634</v>
      </c>
      <c r="AV368" s="246" t="s">
        <v>635</v>
      </c>
      <c r="AW368" s="242"/>
      <c r="AX368" s="242"/>
      <c r="AY368" s="231"/>
      <c r="AZ368" s="231"/>
      <c r="BA368" s="227"/>
      <c r="BB368" s="231"/>
      <c r="BC368" s="227"/>
      <c r="BD368" s="227"/>
      <c r="BE368" s="227"/>
      <c r="BF368" s="227"/>
    </row>
    <row r="369">
      <c r="A369" s="235" t="s">
        <v>3613</v>
      </c>
      <c r="C369" s="235" t="s">
        <v>3614</v>
      </c>
      <c r="D369" s="235" t="s">
        <v>3615</v>
      </c>
      <c r="E369" s="243">
        <v>6.57E13</v>
      </c>
      <c r="F369" s="244"/>
      <c r="G369" s="235" t="s">
        <v>3616</v>
      </c>
      <c r="H369" s="235" t="s">
        <v>3617</v>
      </c>
      <c r="I369" s="235" t="s">
        <v>3617</v>
      </c>
      <c r="J369" s="235" t="s">
        <v>3618</v>
      </c>
      <c r="K369" s="235" t="s">
        <v>3619</v>
      </c>
      <c r="N369" s="235" t="s">
        <v>138</v>
      </c>
      <c r="O369" s="235" t="s">
        <v>675</v>
      </c>
      <c r="P369" s="238">
        <v>1.0</v>
      </c>
      <c r="Q369" s="235" t="s">
        <v>627</v>
      </c>
      <c r="R369" s="238">
        <v>246.67</v>
      </c>
      <c r="S369" s="238">
        <v>12.33</v>
      </c>
      <c r="T369" s="238">
        <v>0.0</v>
      </c>
      <c r="U369" s="238">
        <v>0.0</v>
      </c>
      <c r="V369" s="238">
        <v>0.0</v>
      </c>
      <c r="W369" s="238">
        <v>0.0</v>
      </c>
      <c r="X369" s="235" t="s">
        <v>628</v>
      </c>
      <c r="Z369" s="244"/>
      <c r="AA369" s="244"/>
      <c r="AB369" s="244"/>
      <c r="AC369" s="235" t="s">
        <v>3620</v>
      </c>
      <c r="AD369" s="235" t="s">
        <v>645</v>
      </c>
      <c r="AE369" s="238">
        <v>670307.0</v>
      </c>
      <c r="AF369" s="235" t="s">
        <v>631</v>
      </c>
      <c r="AG369" s="244"/>
      <c r="AH369" s="244"/>
      <c r="AI369" s="245"/>
      <c r="AJ369" s="245"/>
      <c r="AK369" s="245"/>
      <c r="AL369" s="245"/>
      <c r="AM369" s="244"/>
      <c r="AN369" s="244"/>
      <c r="AO369" s="238">
        <v>0.0</v>
      </c>
      <c r="AP369" s="238">
        <v>0.0</v>
      </c>
      <c r="AQ369" s="235" t="s">
        <v>632</v>
      </c>
      <c r="AR369" s="243">
        <v>3.71E11</v>
      </c>
      <c r="AS369" s="235" t="s">
        <v>1367</v>
      </c>
      <c r="AT369" s="235" t="s">
        <v>9</v>
      </c>
      <c r="AU369" s="235" t="s">
        <v>634</v>
      </c>
      <c r="AV369" s="246" t="s">
        <v>635</v>
      </c>
      <c r="AW369" s="242"/>
      <c r="AX369" s="242"/>
      <c r="AY369" s="231"/>
      <c r="AZ369" s="231"/>
      <c r="BA369" s="227"/>
      <c r="BB369" s="231"/>
      <c r="BC369" s="227"/>
      <c r="BD369" s="227"/>
      <c r="BE369" s="227"/>
      <c r="BF369" s="227"/>
    </row>
    <row r="370">
      <c r="A370" s="235" t="s">
        <v>3621</v>
      </c>
      <c r="C370" s="235" t="s">
        <v>3622</v>
      </c>
      <c r="D370" s="235" t="s">
        <v>3623</v>
      </c>
      <c r="E370" s="243">
        <v>6.56E13</v>
      </c>
      <c r="F370" s="244"/>
      <c r="G370" s="235" t="s">
        <v>3624</v>
      </c>
      <c r="H370" s="235" t="s">
        <v>3625</v>
      </c>
      <c r="I370" s="235" t="s">
        <v>3625</v>
      </c>
      <c r="J370" s="235" t="s">
        <v>3627</v>
      </c>
      <c r="K370" s="235" t="s">
        <v>3629</v>
      </c>
      <c r="N370" s="235" t="s">
        <v>154</v>
      </c>
      <c r="O370" s="235" t="s">
        <v>766</v>
      </c>
      <c r="P370" s="238">
        <v>1.0</v>
      </c>
      <c r="Q370" s="235" t="s">
        <v>627</v>
      </c>
      <c r="R370" s="238">
        <v>465.71</v>
      </c>
      <c r="S370" s="238">
        <v>23.29</v>
      </c>
      <c r="T370" s="238">
        <v>0.0</v>
      </c>
      <c r="U370" s="238">
        <v>0.0</v>
      </c>
      <c r="V370" s="238">
        <v>0.0</v>
      </c>
      <c r="W370" s="238">
        <v>0.0</v>
      </c>
      <c r="X370" s="235" t="s">
        <v>628</v>
      </c>
      <c r="Z370" s="244"/>
      <c r="AA370" s="244"/>
      <c r="AB370" s="244"/>
      <c r="AC370" s="235" t="s">
        <v>1531</v>
      </c>
      <c r="AD370" s="235" t="s">
        <v>1151</v>
      </c>
      <c r="AE370" s="238">
        <v>700084.0</v>
      </c>
      <c r="AF370" s="235" t="s">
        <v>631</v>
      </c>
      <c r="AG370" s="244"/>
      <c r="AH370" s="244"/>
      <c r="AI370" s="245"/>
      <c r="AJ370" s="245"/>
      <c r="AK370" s="245"/>
      <c r="AL370" s="245"/>
      <c r="AM370" s="244"/>
      <c r="AN370" s="244"/>
      <c r="AO370" s="238">
        <v>0.0</v>
      </c>
      <c r="AP370" s="238">
        <v>0.0</v>
      </c>
      <c r="AQ370" s="235" t="s">
        <v>632</v>
      </c>
      <c r="AR370" s="243">
        <v>3.71E11</v>
      </c>
      <c r="AS370" s="235" t="s">
        <v>667</v>
      </c>
      <c r="AT370" s="235" t="s">
        <v>14</v>
      </c>
      <c r="AU370" s="235" t="s">
        <v>634</v>
      </c>
      <c r="AV370" s="246" t="s">
        <v>635</v>
      </c>
      <c r="AW370" s="242"/>
      <c r="AX370" s="242"/>
      <c r="AY370" s="231"/>
      <c r="AZ370" s="231"/>
      <c r="BA370" s="227"/>
      <c r="BB370" s="231"/>
      <c r="BC370" s="227"/>
      <c r="BD370" s="227"/>
      <c r="BE370" s="227"/>
      <c r="BF370" s="227"/>
    </row>
    <row r="371">
      <c r="A371" s="235" t="s">
        <v>3630</v>
      </c>
      <c r="C371" s="235" t="s">
        <v>3631</v>
      </c>
      <c r="D371" s="235" t="s">
        <v>3632</v>
      </c>
      <c r="E371" s="243">
        <v>6.57E13</v>
      </c>
      <c r="F371" s="244"/>
      <c r="G371" s="235" t="s">
        <v>3633</v>
      </c>
      <c r="H371" s="235" t="s">
        <v>3634</v>
      </c>
      <c r="I371" s="235" t="s">
        <v>3634</v>
      </c>
      <c r="J371" s="235" t="s">
        <v>3635</v>
      </c>
      <c r="K371" s="235" t="s">
        <v>3636</v>
      </c>
      <c r="N371" s="235" t="s">
        <v>88</v>
      </c>
      <c r="O371" s="235" t="s">
        <v>1748</v>
      </c>
      <c r="P371" s="238">
        <v>1.0</v>
      </c>
      <c r="Q371" s="235" t="s">
        <v>627</v>
      </c>
      <c r="R371" s="238">
        <v>246.66</v>
      </c>
      <c r="S371" s="238">
        <v>12.34</v>
      </c>
      <c r="T371" s="238">
        <v>0.0</v>
      </c>
      <c r="U371" s="238">
        <v>0.0</v>
      </c>
      <c r="V371" s="238">
        <v>0.0</v>
      </c>
      <c r="W371" s="238">
        <v>0.0</v>
      </c>
      <c r="X371" s="235" t="s">
        <v>628</v>
      </c>
      <c r="Z371" s="244"/>
      <c r="AA371" s="244"/>
      <c r="AB371" s="244"/>
      <c r="AC371" s="235" t="s">
        <v>3637</v>
      </c>
      <c r="AD371" s="235" t="s">
        <v>679</v>
      </c>
      <c r="AE371" s="238">
        <v>574151.0</v>
      </c>
      <c r="AF371" s="235" t="s">
        <v>631</v>
      </c>
      <c r="AG371" s="244"/>
      <c r="AH371" s="244"/>
      <c r="AI371" s="245"/>
      <c r="AJ371" s="245"/>
      <c r="AK371" s="245"/>
      <c r="AL371" s="245"/>
      <c r="AM371" s="244"/>
      <c r="AN371" s="244"/>
      <c r="AO371" s="238">
        <v>0.0</v>
      </c>
      <c r="AP371" s="238">
        <v>0.0</v>
      </c>
      <c r="AQ371" s="235" t="s">
        <v>632</v>
      </c>
      <c r="AR371" s="243">
        <v>3.71E11</v>
      </c>
      <c r="AS371" s="235" t="s">
        <v>1367</v>
      </c>
      <c r="AT371" s="235" t="s">
        <v>11</v>
      </c>
      <c r="AU371" s="235" t="s">
        <v>634</v>
      </c>
      <c r="AV371" s="246" t="s">
        <v>635</v>
      </c>
      <c r="AW371" s="242"/>
      <c r="AX371" s="242"/>
      <c r="AY371" s="231"/>
      <c r="AZ371" s="231"/>
      <c r="BA371" s="227"/>
      <c r="BB371" s="231"/>
      <c r="BC371" s="227"/>
      <c r="BD371" s="227"/>
      <c r="BE371" s="227"/>
      <c r="BF371" s="227"/>
    </row>
    <row r="372">
      <c r="A372" s="235" t="s">
        <v>3638</v>
      </c>
      <c r="C372" s="235" t="s">
        <v>3639</v>
      </c>
      <c r="D372" s="235" t="s">
        <v>3640</v>
      </c>
      <c r="E372" s="243">
        <v>6.57E13</v>
      </c>
      <c r="F372" s="244"/>
      <c r="G372" s="235" t="s">
        <v>3641</v>
      </c>
      <c r="H372" s="235" t="s">
        <v>3642</v>
      </c>
      <c r="I372" s="235" t="s">
        <v>3642</v>
      </c>
      <c r="J372" s="235" t="s">
        <v>3643</v>
      </c>
      <c r="K372" s="235" t="s">
        <v>3644</v>
      </c>
      <c r="N372" s="235" t="s">
        <v>154</v>
      </c>
      <c r="O372" s="235" t="s">
        <v>766</v>
      </c>
      <c r="P372" s="238">
        <v>1.0</v>
      </c>
      <c r="Q372" s="235" t="s">
        <v>627</v>
      </c>
      <c r="R372" s="238">
        <v>465.71</v>
      </c>
      <c r="S372" s="238">
        <v>23.29</v>
      </c>
      <c r="T372" s="238">
        <v>0.0</v>
      </c>
      <c r="U372" s="238">
        <v>0.0</v>
      </c>
      <c r="V372" s="238">
        <v>0.0</v>
      </c>
      <c r="W372" s="238">
        <v>0.0</v>
      </c>
      <c r="X372" s="235" t="s">
        <v>628</v>
      </c>
      <c r="Z372" s="244"/>
      <c r="AA372" s="244"/>
      <c r="AB372" s="244"/>
      <c r="AC372" s="235" t="s">
        <v>3645</v>
      </c>
      <c r="AD372" s="235" t="s">
        <v>833</v>
      </c>
      <c r="AE372" s="238">
        <v>522101.0</v>
      </c>
      <c r="AF372" s="235" t="s">
        <v>631</v>
      </c>
      <c r="AG372" s="244"/>
      <c r="AH372" s="244"/>
      <c r="AI372" s="245"/>
      <c r="AJ372" s="245"/>
      <c r="AK372" s="245"/>
      <c r="AL372" s="245"/>
      <c r="AM372" s="244"/>
      <c r="AN372" s="244"/>
      <c r="AO372" s="238">
        <v>0.0</v>
      </c>
      <c r="AP372" s="238">
        <v>0.0</v>
      </c>
      <c r="AQ372" s="235" t="s">
        <v>632</v>
      </c>
      <c r="AR372" s="243">
        <v>1.68E11</v>
      </c>
      <c r="AS372" s="235" t="s">
        <v>2276</v>
      </c>
      <c r="AT372" s="235" t="s">
        <v>156</v>
      </c>
      <c r="AU372" s="235" t="s">
        <v>634</v>
      </c>
      <c r="AV372" s="246" t="s">
        <v>635</v>
      </c>
      <c r="AW372" s="242"/>
      <c r="AX372" s="242"/>
      <c r="AY372" s="231"/>
      <c r="AZ372" s="231"/>
      <c r="BA372" s="227"/>
      <c r="BB372" s="231"/>
      <c r="BC372" s="227"/>
      <c r="BD372" s="227"/>
      <c r="BE372" s="227"/>
      <c r="BF372" s="227"/>
    </row>
    <row r="373">
      <c r="A373" s="235" t="s">
        <v>3646</v>
      </c>
      <c r="C373" s="235" t="s">
        <v>3647</v>
      </c>
      <c r="D373" s="235" t="s">
        <v>3648</v>
      </c>
      <c r="E373" s="243">
        <v>6.56E13</v>
      </c>
      <c r="F373" s="244"/>
      <c r="G373" s="235" t="s">
        <v>3649</v>
      </c>
      <c r="H373" s="235" t="s">
        <v>3650</v>
      </c>
      <c r="I373" s="235" t="s">
        <v>3650</v>
      </c>
      <c r="J373" s="235" t="s">
        <v>3651</v>
      </c>
      <c r="K373" s="235" t="s">
        <v>3652</v>
      </c>
      <c r="N373" s="235" t="s">
        <v>127</v>
      </c>
      <c r="O373" s="235" t="s">
        <v>794</v>
      </c>
      <c r="P373" s="238">
        <v>1.0</v>
      </c>
      <c r="Q373" s="235" t="s">
        <v>627</v>
      </c>
      <c r="R373" s="238">
        <v>246.67</v>
      </c>
      <c r="S373" s="238">
        <v>12.33</v>
      </c>
      <c r="T373" s="238">
        <v>0.0</v>
      </c>
      <c r="U373" s="238">
        <v>0.0</v>
      </c>
      <c r="V373" s="238">
        <v>0.0</v>
      </c>
      <c r="W373" s="238">
        <v>0.0</v>
      </c>
      <c r="X373" s="235" t="s">
        <v>628</v>
      </c>
      <c r="Z373" s="244"/>
      <c r="AA373" s="244"/>
      <c r="AB373" s="244"/>
      <c r="AC373" s="235" t="s">
        <v>3019</v>
      </c>
      <c r="AD373" s="235" t="s">
        <v>1086</v>
      </c>
      <c r="AE373" s="238">
        <v>141401.0</v>
      </c>
      <c r="AF373" s="235" t="s">
        <v>631</v>
      </c>
      <c r="AG373" s="244"/>
      <c r="AH373" s="244"/>
      <c r="AI373" s="245"/>
      <c r="AJ373" s="245"/>
      <c r="AK373" s="245"/>
      <c r="AL373" s="245"/>
      <c r="AM373" s="244"/>
      <c r="AN373" s="244"/>
      <c r="AO373" s="238">
        <v>0.0</v>
      </c>
      <c r="AP373" s="238">
        <v>0.0</v>
      </c>
      <c r="AQ373" s="235" t="s">
        <v>632</v>
      </c>
      <c r="AR373" s="243">
        <v>3.71E11</v>
      </c>
      <c r="AS373" s="235" t="s">
        <v>1367</v>
      </c>
      <c r="AT373" s="235" t="s">
        <v>14</v>
      </c>
      <c r="AU373" s="235" t="s">
        <v>634</v>
      </c>
      <c r="AV373" s="246" t="s">
        <v>635</v>
      </c>
      <c r="AW373" s="242"/>
      <c r="AX373" s="242"/>
      <c r="AY373" s="231"/>
      <c r="AZ373" s="231"/>
      <c r="BA373" s="227"/>
      <c r="BB373" s="231"/>
      <c r="BC373" s="227"/>
      <c r="BD373" s="227"/>
      <c r="BE373" s="227"/>
      <c r="BF373" s="227"/>
    </row>
    <row r="374">
      <c r="A374" s="235" t="s">
        <v>3653</v>
      </c>
      <c r="C374" s="235" t="s">
        <v>3654</v>
      </c>
      <c r="D374" s="235" t="s">
        <v>3655</v>
      </c>
      <c r="E374" s="243">
        <v>6.56E13</v>
      </c>
      <c r="F374" s="244"/>
      <c r="G374" s="235" t="s">
        <v>3656</v>
      </c>
      <c r="H374" s="235" t="s">
        <v>3657</v>
      </c>
      <c r="I374" s="235" t="s">
        <v>3658</v>
      </c>
      <c r="J374" s="235" t="s">
        <v>3659</v>
      </c>
      <c r="K374" s="235" t="s">
        <v>3660</v>
      </c>
      <c r="N374" s="235" t="s">
        <v>145</v>
      </c>
      <c r="O374" s="235" t="s">
        <v>370</v>
      </c>
      <c r="P374" s="238">
        <v>1.0</v>
      </c>
      <c r="Q374" s="235" t="s">
        <v>627</v>
      </c>
      <c r="R374" s="238">
        <v>1522.86</v>
      </c>
      <c r="S374" s="238">
        <v>76.14</v>
      </c>
      <c r="T374" s="238">
        <v>0.0</v>
      </c>
      <c r="U374" s="238">
        <v>0.0</v>
      </c>
      <c r="V374" s="238">
        <v>0.0</v>
      </c>
      <c r="W374" s="238">
        <v>0.0</v>
      </c>
      <c r="X374" s="235" t="s">
        <v>628</v>
      </c>
      <c r="Z374" s="244"/>
      <c r="AA374" s="244"/>
      <c r="AB374" s="244"/>
      <c r="AC374" s="235" t="s">
        <v>1531</v>
      </c>
      <c r="AD374" s="235" t="s">
        <v>1151</v>
      </c>
      <c r="AE374" s="238">
        <v>700105.0</v>
      </c>
      <c r="AF374" s="235" t="s">
        <v>631</v>
      </c>
      <c r="AG374" s="244"/>
      <c r="AH374" s="244"/>
      <c r="AI374" s="245"/>
      <c r="AJ374" s="245"/>
      <c r="AK374" s="245"/>
      <c r="AL374" s="245"/>
      <c r="AM374" s="244"/>
      <c r="AN374" s="244"/>
      <c r="AO374" s="238">
        <v>0.0</v>
      </c>
      <c r="AP374" s="238">
        <v>0.0</v>
      </c>
      <c r="AQ374" s="235" t="s">
        <v>632</v>
      </c>
      <c r="AR374" s="243">
        <v>2.02E11</v>
      </c>
      <c r="AS374" s="235" t="s">
        <v>2276</v>
      </c>
      <c r="AT374" s="235" t="s">
        <v>9</v>
      </c>
      <c r="AU374" s="235" t="s">
        <v>634</v>
      </c>
      <c r="AV374" s="246" t="s">
        <v>635</v>
      </c>
      <c r="AW374" s="242"/>
      <c r="AX374" s="242"/>
      <c r="AY374" s="231"/>
      <c r="AZ374" s="231"/>
      <c r="BA374" s="227"/>
      <c r="BB374" s="231"/>
      <c r="BC374" s="227"/>
      <c r="BD374" s="227"/>
      <c r="BE374" s="227"/>
      <c r="BF374" s="227"/>
    </row>
    <row r="375">
      <c r="A375" s="235" t="s">
        <v>3661</v>
      </c>
      <c r="C375" s="235" t="s">
        <v>3662</v>
      </c>
      <c r="D375" s="235" t="s">
        <v>3663</v>
      </c>
      <c r="E375" s="243">
        <v>6.56E13</v>
      </c>
      <c r="F375" s="244"/>
      <c r="G375" s="235" t="s">
        <v>3664</v>
      </c>
      <c r="H375" s="235" t="s">
        <v>3665</v>
      </c>
      <c r="I375" s="235" t="s">
        <v>3665</v>
      </c>
      <c r="J375" s="235" t="s">
        <v>3666</v>
      </c>
      <c r="K375" s="235" t="s">
        <v>3667</v>
      </c>
      <c r="N375" s="235" t="s">
        <v>47</v>
      </c>
      <c r="O375" s="235" t="s">
        <v>270</v>
      </c>
      <c r="P375" s="238">
        <v>1.0</v>
      </c>
      <c r="Q375" s="235" t="s">
        <v>627</v>
      </c>
      <c r="R375" s="238">
        <v>237.14</v>
      </c>
      <c r="S375" s="238">
        <v>11.86</v>
      </c>
      <c r="T375" s="238">
        <v>38.1</v>
      </c>
      <c r="U375" s="238">
        <v>1.9</v>
      </c>
      <c r="V375" s="238">
        <v>0.0</v>
      </c>
      <c r="W375" s="238">
        <v>0.0</v>
      </c>
      <c r="X375" s="235" t="s">
        <v>628</v>
      </c>
      <c r="Z375" s="244"/>
      <c r="AA375" s="244"/>
      <c r="AB375" s="244"/>
      <c r="AC375" s="235" t="s">
        <v>687</v>
      </c>
      <c r="AD375" s="235" t="s">
        <v>666</v>
      </c>
      <c r="AE375" s="238">
        <v>600064.0</v>
      </c>
      <c r="AF375" s="235" t="s">
        <v>631</v>
      </c>
      <c r="AG375" s="244"/>
      <c r="AH375" s="244"/>
      <c r="AI375" s="245"/>
      <c r="AJ375" s="245"/>
      <c r="AK375" s="245"/>
      <c r="AL375" s="245"/>
      <c r="AM375" s="244"/>
      <c r="AN375" s="244"/>
      <c r="AO375" s="238">
        <v>0.0</v>
      </c>
      <c r="AP375" s="238">
        <v>-38.1</v>
      </c>
      <c r="AQ375" s="235" t="s">
        <v>632</v>
      </c>
      <c r="AR375" s="243">
        <v>3.71E11</v>
      </c>
      <c r="AS375" s="235" t="s">
        <v>2276</v>
      </c>
      <c r="AT375" s="235" t="s">
        <v>156</v>
      </c>
      <c r="AU375" s="235" t="s">
        <v>634</v>
      </c>
      <c r="AV375" s="246" t="s">
        <v>635</v>
      </c>
      <c r="AW375" s="242"/>
      <c r="AX375" s="242"/>
      <c r="AY375" s="231"/>
      <c r="AZ375" s="231"/>
      <c r="BA375" s="227"/>
      <c r="BB375" s="231"/>
      <c r="BC375" s="227"/>
      <c r="BD375" s="227"/>
      <c r="BE375" s="227"/>
      <c r="BF375" s="227"/>
    </row>
    <row r="376">
      <c r="A376" s="235" t="s">
        <v>3668</v>
      </c>
      <c r="C376" s="235" t="s">
        <v>3669</v>
      </c>
      <c r="D376" s="235" t="s">
        <v>3670</v>
      </c>
      <c r="E376" s="243">
        <v>6.56E13</v>
      </c>
      <c r="F376" s="244"/>
      <c r="G376" s="235" t="s">
        <v>3671</v>
      </c>
      <c r="H376" s="235" t="s">
        <v>3672</v>
      </c>
      <c r="I376" s="235" t="s">
        <v>3672</v>
      </c>
      <c r="J376" s="235" t="s">
        <v>3673</v>
      </c>
      <c r="K376" s="235" t="s">
        <v>3674</v>
      </c>
      <c r="N376" s="235" t="s">
        <v>962</v>
      </c>
      <c r="O376" s="235" t="s">
        <v>963</v>
      </c>
      <c r="P376" s="238">
        <v>1.0</v>
      </c>
      <c r="Q376" s="235" t="s">
        <v>627</v>
      </c>
      <c r="R376" s="238">
        <v>246.67</v>
      </c>
      <c r="S376" s="238">
        <v>12.33</v>
      </c>
      <c r="T376" s="238">
        <v>38.1</v>
      </c>
      <c r="U376" s="238">
        <v>1.9</v>
      </c>
      <c r="V376" s="238">
        <v>0.0</v>
      </c>
      <c r="W376" s="238">
        <v>0.0</v>
      </c>
      <c r="X376" s="235" t="s">
        <v>628</v>
      </c>
      <c r="Z376" s="244"/>
      <c r="AA376" s="244"/>
      <c r="AB376" s="244"/>
      <c r="AC376" s="235" t="s">
        <v>3675</v>
      </c>
      <c r="AD376" s="235" t="s">
        <v>645</v>
      </c>
      <c r="AE376" s="238">
        <v>689541.0</v>
      </c>
      <c r="AF376" s="235" t="s">
        <v>631</v>
      </c>
      <c r="AG376" s="244"/>
      <c r="AH376" s="244"/>
      <c r="AI376" s="245"/>
      <c r="AJ376" s="245"/>
      <c r="AK376" s="245"/>
      <c r="AL376" s="245"/>
      <c r="AM376" s="244"/>
      <c r="AN376" s="244"/>
      <c r="AO376" s="238">
        <v>0.0</v>
      </c>
      <c r="AP376" s="238">
        <v>-38.1</v>
      </c>
      <c r="AQ376" s="235" t="s">
        <v>632</v>
      </c>
      <c r="AR376" s="243">
        <v>3.71E11</v>
      </c>
      <c r="AS376" s="235" t="s">
        <v>2276</v>
      </c>
      <c r="AT376" s="235" t="s">
        <v>155</v>
      </c>
      <c r="AU376" s="235" t="s">
        <v>634</v>
      </c>
      <c r="AV376" s="246" t="s">
        <v>635</v>
      </c>
      <c r="AW376" s="242"/>
      <c r="AX376" s="242"/>
      <c r="AY376" s="231"/>
      <c r="AZ376" s="231"/>
      <c r="BA376" s="227"/>
      <c r="BB376" s="231"/>
      <c r="BC376" s="227"/>
      <c r="BD376" s="227"/>
      <c r="BE376" s="227"/>
      <c r="BF376" s="227"/>
    </row>
    <row r="377">
      <c r="A377" s="235" t="s">
        <v>3680</v>
      </c>
      <c r="C377" s="235" t="s">
        <v>3681</v>
      </c>
      <c r="D377" s="235" t="s">
        <v>3682</v>
      </c>
      <c r="E377" s="243">
        <v>6.56E13</v>
      </c>
      <c r="F377" s="245"/>
      <c r="G377" s="235" t="s">
        <v>3683</v>
      </c>
      <c r="H377" s="235" t="s">
        <v>3684</v>
      </c>
      <c r="I377" s="235" t="s">
        <v>3684</v>
      </c>
      <c r="J377" s="235" t="s">
        <v>3685</v>
      </c>
      <c r="K377" s="235" t="s">
        <v>3686</v>
      </c>
      <c r="N377" s="235" t="s">
        <v>104</v>
      </c>
      <c r="O377" s="235" t="s">
        <v>401</v>
      </c>
      <c r="P377" s="238">
        <v>1.0</v>
      </c>
      <c r="Q377" s="235" t="s">
        <v>627</v>
      </c>
      <c r="R377" s="238">
        <v>246.66</v>
      </c>
      <c r="S377" s="238">
        <v>12.34</v>
      </c>
      <c r="T377" s="238">
        <v>0.0</v>
      </c>
      <c r="U377" s="238">
        <v>0.0</v>
      </c>
      <c r="V377" s="238">
        <v>0.0</v>
      </c>
      <c r="W377" s="238">
        <v>0.0</v>
      </c>
      <c r="X377" s="235" t="s">
        <v>628</v>
      </c>
      <c r="Z377" s="244"/>
      <c r="AA377" s="244"/>
      <c r="AB377" s="244"/>
      <c r="AC377" s="235" t="s">
        <v>1255</v>
      </c>
      <c r="AD377" s="235" t="s">
        <v>845</v>
      </c>
      <c r="AE377" s="238">
        <v>400607.0</v>
      </c>
      <c r="AF377" s="235" t="s">
        <v>631</v>
      </c>
      <c r="AG377" s="244"/>
      <c r="AH377" s="244"/>
      <c r="AI377" s="245"/>
      <c r="AJ377" s="245"/>
      <c r="AK377" s="245"/>
      <c r="AL377" s="245"/>
      <c r="AM377" s="244"/>
      <c r="AN377" s="244"/>
      <c r="AO377" s="238">
        <v>0.0</v>
      </c>
      <c r="AP377" s="238">
        <v>0.0</v>
      </c>
      <c r="AQ377" s="235" t="s">
        <v>632</v>
      </c>
      <c r="AR377" s="243">
        <v>3.71E11</v>
      </c>
      <c r="AS377" s="235" t="s">
        <v>2276</v>
      </c>
      <c r="AT377" s="235" t="s">
        <v>16</v>
      </c>
      <c r="AU377" s="235" t="s">
        <v>634</v>
      </c>
      <c r="AV377" s="246" t="s">
        <v>635</v>
      </c>
      <c r="AW377" s="242"/>
      <c r="AX377" s="242"/>
      <c r="AY377" s="231"/>
      <c r="AZ377" s="231"/>
      <c r="BA377" s="227"/>
      <c r="BB377" s="231"/>
      <c r="BC377" s="227"/>
      <c r="BD377" s="227"/>
      <c r="BE377" s="227"/>
      <c r="BF377" s="227"/>
    </row>
    <row r="378">
      <c r="A378" s="235" t="s">
        <v>3691</v>
      </c>
      <c r="C378" s="235" t="s">
        <v>3692</v>
      </c>
      <c r="D378" s="235" t="s">
        <v>3693</v>
      </c>
      <c r="E378" s="243">
        <v>6.57E13</v>
      </c>
      <c r="F378" s="245"/>
      <c r="G378" s="235" t="s">
        <v>3695</v>
      </c>
      <c r="H378" s="235" t="s">
        <v>3697</v>
      </c>
      <c r="I378" s="235" t="s">
        <v>3697</v>
      </c>
      <c r="J378" s="235" t="s">
        <v>3698</v>
      </c>
      <c r="K378" s="235" t="s">
        <v>3699</v>
      </c>
      <c r="N378" s="235" t="s">
        <v>41</v>
      </c>
      <c r="O378" s="235" t="s">
        <v>291</v>
      </c>
      <c r="P378" s="238">
        <v>1.0</v>
      </c>
      <c r="Q378" s="235" t="s">
        <v>627</v>
      </c>
      <c r="R378" s="238">
        <v>237.14</v>
      </c>
      <c r="S378" s="238">
        <v>11.62</v>
      </c>
      <c r="T378" s="238">
        <v>0.0</v>
      </c>
      <c r="U378" s="238">
        <v>0.0</v>
      </c>
      <c r="V378" s="238">
        <v>0.0</v>
      </c>
      <c r="W378" s="238">
        <v>0.0</v>
      </c>
      <c r="X378" s="235" t="s">
        <v>628</v>
      </c>
      <c r="Z378" s="244"/>
      <c r="AA378" s="244"/>
      <c r="AB378" s="244"/>
      <c r="AC378" s="235" t="s">
        <v>2057</v>
      </c>
      <c r="AD378" s="235" t="s">
        <v>698</v>
      </c>
      <c r="AE378" s="238">
        <v>500011.0</v>
      </c>
      <c r="AF378" s="235" t="s">
        <v>631</v>
      </c>
      <c r="AG378" s="244"/>
      <c r="AH378" s="244"/>
      <c r="AI378" s="245"/>
      <c r="AJ378" s="245"/>
      <c r="AK378" s="245"/>
      <c r="AL378" s="245"/>
      <c r="AM378" s="244"/>
      <c r="AN378" s="244"/>
      <c r="AO378" s="238">
        <v>-4.74</v>
      </c>
      <c r="AP378" s="238">
        <v>0.0</v>
      </c>
      <c r="AQ378" s="235" t="s">
        <v>632</v>
      </c>
      <c r="AR378" s="243">
        <v>1.68E11</v>
      </c>
      <c r="AS378" s="235" t="s">
        <v>2276</v>
      </c>
      <c r="AT378" s="235" t="s">
        <v>156</v>
      </c>
      <c r="AU378" s="235" t="s">
        <v>634</v>
      </c>
      <c r="AV378" s="246" t="s">
        <v>635</v>
      </c>
      <c r="AW378" s="242"/>
      <c r="AX378" s="242"/>
      <c r="AY378" s="231"/>
      <c r="AZ378" s="231"/>
      <c r="BA378" s="227"/>
      <c r="BB378" s="231"/>
      <c r="BC378" s="227"/>
      <c r="BD378" s="227"/>
      <c r="BE378" s="227"/>
      <c r="BF378" s="227"/>
    </row>
    <row r="379">
      <c r="A379" s="235" t="s">
        <v>3700</v>
      </c>
      <c r="C379" s="235" t="s">
        <v>3701</v>
      </c>
      <c r="D379" s="235" t="s">
        <v>3702</v>
      </c>
      <c r="E379" s="243">
        <v>6.56E13</v>
      </c>
      <c r="F379" s="245"/>
      <c r="G379" s="235" t="s">
        <v>3703</v>
      </c>
      <c r="H379" s="235" t="s">
        <v>3704</v>
      </c>
      <c r="I379" s="235" t="s">
        <v>3704</v>
      </c>
      <c r="J379" s="235" t="s">
        <v>3705</v>
      </c>
      <c r="K379" s="235" t="s">
        <v>3706</v>
      </c>
      <c r="N379" s="235" t="s">
        <v>90</v>
      </c>
      <c r="O379" s="235" t="s">
        <v>279</v>
      </c>
      <c r="P379" s="238">
        <v>1.0</v>
      </c>
      <c r="Q379" s="235" t="s">
        <v>627</v>
      </c>
      <c r="R379" s="238">
        <v>246.67</v>
      </c>
      <c r="S379" s="238">
        <v>12.33</v>
      </c>
      <c r="T379" s="238">
        <v>38.1</v>
      </c>
      <c r="U379" s="238">
        <v>1.9</v>
      </c>
      <c r="V379" s="238">
        <v>0.0</v>
      </c>
      <c r="W379" s="238">
        <v>0.0</v>
      </c>
      <c r="X379" s="235" t="s">
        <v>628</v>
      </c>
      <c r="Z379" s="244"/>
      <c r="AA379" s="244"/>
      <c r="AB379" s="244"/>
      <c r="AC379" s="235" t="s">
        <v>3707</v>
      </c>
      <c r="AD379" s="235" t="s">
        <v>630</v>
      </c>
      <c r="AE379" s="238">
        <v>262701.0</v>
      </c>
      <c r="AF379" s="235" t="s">
        <v>631</v>
      </c>
      <c r="AG379" s="244"/>
      <c r="AH379" s="244"/>
      <c r="AI379" s="245"/>
      <c r="AJ379" s="245"/>
      <c r="AK379" s="245"/>
      <c r="AL379" s="245"/>
      <c r="AM379" s="244"/>
      <c r="AN379" s="244"/>
      <c r="AO379" s="238">
        <v>0.0</v>
      </c>
      <c r="AP379" s="238">
        <v>-38.1</v>
      </c>
      <c r="AQ379" s="235" t="s">
        <v>632</v>
      </c>
      <c r="AR379" s="243">
        <v>3.71E11</v>
      </c>
      <c r="AS379" s="235" t="s">
        <v>667</v>
      </c>
      <c r="AT379" s="235" t="s">
        <v>13</v>
      </c>
      <c r="AU379" s="235" t="s">
        <v>634</v>
      </c>
      <c r="AV379" s="246" t="s">
        <v>635</v>
      </c>
      <c r="AW379" s="242"/>
      <c r="AX379" s="242"/>
      <c r="AY379" s="231"/>
      <c r="AZ379" s="231"/>
      <c r="BA379" s="227"/>
      <c r="BB379" s="231"/>
      <c r="BC379" s="227"/>
      <c r="BD379" s="227"/>
      <c r="BE379" s="227"/>
      <c r="BF379" s="227"/>
    </row>
    <row r="380">
      <c r="A380" s="235" t="s">
        <v>3708</v>
      </c>
      <c r="C380" s="235" t="s">
        <v>3709</v>
      </c>
      <c r="D380" s="235" t="s">
        <v>3710</v>
      </c>
      <c r="E380" s="243">
        <v>6.56E13</v>
      </c>
      <c r="F380" s="245"/>
      <c r="G380" s="235" t="s">
        <v>3711</v>
      </c>
      <c r="H380" s="235" t="s">
        <v>3712</v>
      </c>
      <c r="I380" s="235" t="s">
        <v>3712</v>
      </c>
      <c r="J380" s="235" t="s">
        <v>3713</v>
      </c>
      <c r="K380" s="235" t="s">
        <v>3714</v>
      </c>
      <c r="N380" s="235" t="s">
        <v>127</v>
      </c>
      <c r="O380" s="235" t="s">
        <v>794</v>
      </c>
      <c r="P380" s="238">
        <v>1.0</v>
      </c>
      <c r="Q380" s="235" t="s">
        <v>627</v>
      </c>
      <c r="R380" s="238">
        <v>246.66</v>
      </c>
      <c r="S380" s="238">
        <v>12.34</v>
      </c>
      <c r="T380" s="238">
        <v>0.0</v>
      </c>
      <c r="U380" s="238">
        <v>0.0</v>
      </c>
      <c r="V380" s="238">
        <v>0.0</v>
      </c>
      <c r="W380" s="238">
        <v>0.0</v>
      </c>
      <c r="X380" s="235" t="s">
        <v>628</v>
      </c>
      <c r="Z380" s="244"/>
      <c r="AA380" s="244"/>
      <c r="AB380" s="244"/>
      <c r="AC380" s="235" t="s">
        <v>3527</v>
      </c>
      <c r="AD380" s="235" t="s">
        <v>845</v>
      </c>
      <c r="AE380" s="238">
        <v>431001.0</v>
      </c>
      <c r="AF380" s="235" t="s">
        <v>631</v>
      </c>
      <c r="AG380" s="244"/>
      <c r="AH380" s="244"/>
      <c r="AI380" s="245"/>
      <c r="AJ380" s="245"/>
      <c r="AK380" s="245"/>
      <c r="AL380" s="245"/>
      <c r="AM380" s="244"/>
      <c r="AN380" s="244"/>
      <c r="AO380" s="238">
        <v>0.0</v>
      </c>
      <c r="AP380" s="238">
        <v>0.0</v>
      </c>
      <c r="AQ380" s="235" t="s">
        <v>632</v>
      </c>
      <c r="AR380" s="243">
        <v>1.68E11</v>
      </c>
      <c r="AS380" s="235" t="s">
        <v>2276</v>
      </c>
      <c r="AT380" s="235" t="s">
        <v>546</v>
      </c>
      <c r="AU380" s="235" t="s">
        <v>634</v>
      </c>
      <c r="AV380" s="246" t="s">
        <v>635</v>
      </c>
      <c r="AW380" s="242"/>
      <c r="AX380" s="242"/>
      <c r="AY380" s="231"/>
      <c r="AZ380" s="231"/>
      <c r="BA380" s="227"/>
      <c r="BB380" s="231"/>
      <c r="BC380" s="227"/>
      <c r="BD380" s="227"/>
      <c r="BE380" s="227"/>
      <c r="BF380" s="227"/>
    </row>
    <row r="381">
      <c r="A381" s="235" t="s">
        <v>3715</v>
      </c>
      <c r="C381" s="235" t="s">
        <v>3716</v>
      </c>
      <c r="D381" s="235" t="s">
        <v>3717</v>
      </c>
      <c r="E381" s="243">
        <v>6.56E13</v>
      </c>
      <c r="F381" s="245"/>
      <c r="G381" s="235" t="s">
        <v>3718</v>
      </c>
      <c r="H381" s="235" t="s">
        <v>3719</v>
      </c>
      <c r="I381" s="235" t="s">
        <v>3719</v>
      </c>
      <c r="J381" s="235" t="s">
        <v>3720</v>
      </c>
      <c r="K381" s="235" t="s">
        <v>3721</v>
      </c>
      <c r="N381" s="235" t="s">
        <v>51</v>
      </c>
      <c r="O381" s="235" t="s">
        <v>273</v>
      </c>
      <c r="P381" s="238">
        <v>1.0</v>
      </c>
      <c r="Q381" s="235" t="s">
        <v>627</v>
      </c>
      <c r="R381" s="238">
        <v>237.14</v>
      </c>
      <c r="S381" s="238">
        <v>11.86</v>
      </c>
      <c r="T381" s="238">
        <v>38.1</v>
      </c>
      <c r="U381" s="238">
        <v>1.9</v>
      </c>
      <c r="V381" s="238">
        <v>0.0</v>
      </c>
      <c r="W381" s="238">
        <v>0.0</v>
      </c>
      <c r="X381" s="235" t="s">
        <v>628</v>
      </c>
      <c r="Z381" s="244"/>
      <c r="AA381" s="244"/>
      <c r="AB381" s="244"/>
      <c r="AC381" s="235" t="s">
        <v>3722</v>
      </c>
      <c r="AD381" s="235" t="s">
        <v>833</v>
      </c>
      <c r="AE381" s="238">
        <v>521230.0</v>
      </c>
      <c r="AF381" s="235" t="s">
        <v>631</v>
      </c>
      <c r="AG381" s="244"/>
      <c r="AH381" s="244"/>
      <c r="AI381" s="245"/>
      <c r="AJ381" s="245"/>
      <c r="AK381" s="245"/>
      <c r="AL381" s="245"/>
      <c r="AM381" s="244"/>
      <c r="AN381" s="244"/>
      <c r="AO381" s="238">
        <v>0.0</v>
      </c>
      <c r="AP381" s="238">
        <v>-38.1</v>
      </c>
      <c r="AQ381" s="235" t="s">
        <v>632</v>
      </c>
      <c r="AR381" s="243">
        <v>3.71E11</v>
      </c>
      <c r="AS381" s="235" t="s">
        <v>1367</v>
      </c>
      <c r="AT381" s="235" t="s">
        <v>156</v>
      </c>
      <c r="AU381" s="235" t="s">
        <v>634</v>
      </c>
      <c r="AV381" s="246" t="s">
        <v>635</v>
      </c>
      <c r="AW381" s="242"/>
      <c r="AX381" s="242"/>
      <c r="AY381" s="231"/>
      <c r="AZ381" s="231"/>
      <c r="BA381" s="227"/>
      <c r="BB381" s="231"/>
      <c r="BC381" s="227"/>
      <c r="BD381" s="227"/>
      <c r="BE381" s="227"/>
      <c r="BF381" s="227"/>
    </row>
    <row r="382">
      <c r="A382" s="235" t="s">
        <v>3723</v>
      </c>
      <c r="C382" s="235" t="s">
        <v>3724</v>
      </c>
      <c r="D382" s="235" t="s">
        <v>3725</v>
      </c>
      <c r="E382" s="243">
        <v>6.56E13</v>
      </c>
      <c r="F382" s="245"/>
      <c r="G382" s="235" t="s">
        <v>3726</v>
      </c>
      <c r="H382" s="235" t="s">
        <v>3727</v>
      </c>
      <c r="I382" s="235" t="s">
        <v>3727</v>
      </c>
      <c r="J382" s="235" t="s">
        <v>3728</v>
      </c>
      <c r="K382" s="235" t="s">
        <v>3729</v>
      </c>
      <c r="N382" s="235" t="s">
        <v>154</v>
      </c>
      <c r="O382" s="235" t="s">
        <v>766</v>
      </c>
      <c r="P382" s="238">
        <v>1.0</v>
      </c>
      <c r="Q382" s="235" t="s">
        <v>627</v>
      </c>
      <c r="R382" s="238">
        <v>465.72</v>
      </c>
      <c r="S382" s="238">
        <v>23.28</v>
      </c>
      <c r="T382" s="238">
        <v>0.0</v>
      </c>
      <c r="U382" s="238">
        <v>0.0</v>
      </c>
      <c r="V382" s="238">
        <v>0.0</v>
      </c>
      <c r="W382" s="238">
        <v>0.0</v>
      </c>
      <c r="X382" s="235" t="s">
        <v>628</v>
      </c>
      <c r="Z382" s="244"/>
      <c r="AA382" s="244"/>
      <c r="AB382" s="244"/>
      <c r="AC382" s="235" t="s">
        <v>1058</v>
      </c>
      <c r="AD382" s="235" t="s">
        <v>845</v>
      </c>
      <c r="AE382" s="238">
        <v>400068.0</v>
      </c>
      <c r="AF382" s="235" t="s">
        <v>631</v>
      </c>
      <c r="AG382" s="244"/>
      <c r="AH382" s="244"/>
      <c r="AI382" s="245"/>
      <c r="AJ382" s="245"/>
      <c r="AK382" s="245"/>
      <c r="AL382" s="245"/>
      <c r="AM382" s="244"/>
      <c r="AN382" s="244"/>
      <c r="AO382" s="238">
        <v>0.0</v>
      </c>
      <c r="AP382" s="238">
        <v>0.0</v>
      </c>
      <c r="AQ382" s="235" t="s">
        <v>632</v>
      </c>
      <c r="AR382" s="243">
        <v>3.71E11</v>
      </c>
      <c r="AS382" s="235" t="s">
        <v>2276</v>
      </c>
      <c r="AT382" s="235" t="s">
        <v>16</v>
      </c>
      <c r="AU382" s="235" t="s">
        <v>634</v>
      </c>
      <c r="AV382" s="246" t="s">
        <v>635</v>
      </c>
      <c r="AW382" s="242"/>
      <c r="AX382" s="242"/>
      <c r="AY382" s="231"/>
      <c r="AZ382" s="231"/>
      <c r="BA382" s="227"/>
      <c r="BB382" s="231"/>
      <c r="BC382" s="227"/>
      <c r="BD382" s="227"/>
      <c r="BE382" s="227"/>
      <c r="BF382" s="227"/>
    </row>
    <row r="383">
      <c r="A383" s="235" t="s">
        <v>3730</v>
      </c>
      <c r="C383" s="235" t="s">
        <v>3731</v>
      </c>
      <c r="D383" s="235" t="s">
        <v>3732</v>
      </c>
      <c r="E383" s="243">
        <v>6.56E13</v>
      </c>
      <c r="F383" s="245"/>
      <c r="G383" s="235" t="s">
        <v>3733</v>
      </c>
      <c r="H383" s="235" t="s">
        <v>3734</v>
      </c>
      <c r="I383" s="235" t="s">
        <v>3734</v>
      </c>
      <c r="J383" s="235" t="s">
        <v>3735</v>
      </c>
      <c r="K383" s="235" t="s">
        <v>3736</v>
      </c>
      <c r="N383" s="235" t="s">
        <v>78</v>
      </c>
      <c r="O383" s="235" t="s">
        <v>360</v>
      </c>
      <c r="P383" s="238">
        <v>1.0</v>
      </c>
      <c r="Q383" s="235" t="s">
        <v>627</v>
      </c>
      <c r="R383" s="238">
        <v>360.96</v>
      </c>
      <c r="S383" s="238">
        <v>18.04</v>
      </c>
      <c r="T383" s="238">
        <v>38.1</v>
      </c>
      <c r="U383" s="238">
        <v>1.9</v>
      </c>
      <c r="V383" s="238">
        <v>0.0</v>
      </c>
      <c r="W383" s="238">
        <v>0.0</v>
      </c>
      <c r="X383" s="235" t="s">
        <v>628</v>
      </c>
      <c r="Z383" s="244"/>
      <c r="AA383" s="244"/>
      <c r="AB383" s="244"/>
      <c r="AC383" s="235" t="s">
        <v>678</v>
      </c>
      <c r="AD383" s="235" t="s">
        <v>679</v>
      </c>
      <c r="AE383" s="238">
        <v>560001.0</v>
      </c>
      <c r="AF383" s="235" t="s">
        <v>631</v>
      </c>
      <c r="AG383" s="244"/>
      <c r="AH383" s="244"/>
      <c r="AI383" s="245"/>
      <c r="AJ383" s="245"/>
      <c r="AK383" s="245"/>
      <c r="AL383" s="245"/>
      <c r="AM383" s="244"/>
      <c r="AN383" s="244"/>
      <c r="AO383" s="238">
        <v>0.0</v>
      </c>
      <c r="AP383" s="238">
        <v>0.0</v>
      </c>
      <c r="AQ383" s="235" t="s">
        <v>632</v>
      </c>
      <c r="AR383" s="243">
        <v>3.71E11</v>
      </c>
      <c r="AS383" s="235" t="s">
        <v>2276</v>
      </c>
      <c r="AT383" s="235" t="s">
        <v>11</v>
      </c>
      <c r="AU383" s="235" t="s">
        <v>634</v>
      </c>
      <c r="AV383" s="246" t="s">
        <v>635</v>
      </c>
      <c r="AW383" s="242"/>
      <c r="AX383" s="242"/>
      <c r="AY383" s="231"/>
      <c r="AZ383" s="231"/>
      <c r="BA383" s="227"/>
      <c r="BB383" s="231"/>
      <c r="BC383" s="227"/>
      <c r="BD383" s="227"/>
      <c r="BE383" s="227"/>
      <c r="BF383" s="227"/>
    </row>
    <row r="384">
      <c r="A384" s="235" t="s">
        <v>3741</v>
      </c>
      <c r="C384" s="235" t="s">
        <v>3742</v>
      </c>
      <c r="D384" s="235" t="s">
        <v>3743</v>
      </c>
      <c r="E384" s="243">
        <v>6.57E13</v>
      </c>
      <c r="F384" s="245"/>
      <c r="G384" s="235" t="s">
        <v>3744</v>
      </c>
      <c r="H384" s="235" t="s">
        <v>3745</v>
      </c>
      <c r="I384" s="235" t="s">
        <v>3746</v>
      </c>
      <c r="J384" s="235" t="s">
        <v>3747</v>
      </c>
      <c r="K384" s="235" t="s">
        <v>3748</v>
      </c>
      <c r="N384" s="235" t="s">
        <v>43</v>
      </c>
      <c r="O384" s="235" t="s">
        <v>276</v>
      </c>
      <c r="P384" s="238">
        <v>1.0</v>
      </c>
      <c r="Q384" s="235" t="s">
        <v>627</v>
      </c>
      <c r="R384" s="238">
        <v>237.14</v>
      </c>
      <c r="S384" s="238">
        <v>11.86</v>
      </c>
      <c r="T384" s="238">
        <v>0.0</v>
      </c>
      <c r="U384" s="238">
        <v>0.0</v>
      </c>
      <c r="V384" s="238">
        <v>0.0</v>
      </c>
      <c r="W384" s="238">
        <v>0.0</v>
      </c>
      <c r="X384" s="235" t="s">
        <v>628</v>
      </c>
      <c r="Z384" s="244"/>
      <c r="AA384" s="244"/>
      <c r="AB384" s="244"/>
      <c r="AC384" s="235" t="s">
        <v>687</v>
      </c>
      <c r="AD384" s="235" t="s">
        <v>666</v>
      </c>
      <c r="AE384" s="238">
        <v>600107.0</v>
      </c>
      <c r="AF384" s="235" t="s">
        <v>631</v>
      </c>
      <c r="AG384" s="244"/>
      <c r="AH384" s="244"/>
      <c r="AI384" s="245"/>
      <c r="AJ384" s="245"/>
      <c r="AK384" s="245"/>
      <c r="AL384" s="245"/>
      <c r="AM384" s="244"/>
      <c r="AN384" s="244"/>
      <c r="AO384" s="238">
        <v>0.0</v>
      </c>
      <c r="AP384" s="238">
        <v>0.0</v>
      </c>
      <c r="AQ384" s="235" t="s">
        <v>632</v>
      </c>
      <c r="AR384" s="243">
        <v>2.02E11</v>
      </c>
      <c r="AS384" s="235" t="s">
        <v>2276</v>
      </c>
      <c r="AT384" s="235" t="s">
        <v>533</v>
      </c>
      <c r="AU384" s="235" t="s">
        <v>634</v>
      </c>
      <c r="AV384" s="246" t="s">
        <v>635</v>
      </c>
      <c r="AW384" s="242"/>
      <c r="AX384" s="242"/>
      <c r="AY384" s="231"/>
      <c r="AZ384" s="231"/>
      <c r="BA384" s="227"/>
      <c r="BB384" s="231"/>
      <c r="BC384" s="227"/>
      <c r="BD384" s="227"/>
      <c r="BE384" s="227"/>
      <c r="BF384" s="227"/>
    </row>
    <row r="385">
      <c r="A385" s="235" t="s">
        <v>3749</v>
      </c>
      <c r="C385" s="235" t="s">
        <v>3750</v>
      </c>
      <c r="D385" s="235" t="s">
        <v>3751</v>
      </c>
      <c r="E385" s="243">
        <v>6.56E13</v>
      </c>
      <c r="F385" s="245"/>
      <c r="G385" s="235" t="s">
        <v>3752</v>
      </c>
      <c r="H385" s="235" t="s">
        <v>3753</v>
      </c>
      <c r="I385" s="235" t="s">
        <v>3753</v>
      </c>
      <c r="J385" s="235" t="s">
        <v>3754</v>
      </c>
      <c r="K385" s="235" t="s">
        <v>3755</v>
      </c>
      <c r="N385" s="235" t="s">
        <v>127</v>
      </c>
      <c r="O385" s="235" t="s">
        <v>794</v>
      </c>
      <c r="P385" s="238">
        <v>1.0</v>
      </c>
      <c r="Q385" s="235" t="s">
        <v>627</v>
      </c>
      <c r="R385" s="238">
        <v>246.67</v>
      </c>
      <c r="S385" s="238">
        <v>12.33</v>
      </c>
      <c r="T385" s="238">
        <v>0.0</v>
      </c>
      <c r="U385" s="238">
        <v>0.0</v>
      </c>
      <c r="V385" s="238">
        <v>0.0</v>
      </c>
      <c r="W385" s="238">
        <v>0.0</v>
      </c>
      <c r="X385" s="235" t="s">
        <v>628</v>
      </c>
      <c r="Z385" s="244"/>
      <c r="AA385" s="244"/>
      <c r="AB385" s="244"/>
      <c r="AC385" s="235" t="s">
        <v>697</v>
      </c>
      <c r="AD385" s="235" t="s">
        <v>698</v>
      </c>
      <c r="AE385" s="238">
        <v>500004.0</v>
      </c>
      <c r="AF385" s="235" t="s">
        <v>631</v>
      </c>
      <c r="AG385" s="244"/>
      <c r="AH385" s="244"/>
      <c r="AI385" s="245"/>
      <c r="AJ385" s="245"/>
      <c r="AK385" s="245"/>
      <c r="AL385" s="245"/>
      <c r="AM385" s="244"/>
      <c r="AN385" s="244"/>
      <c r="AO385" s="238">
        <v>0.0</v>
      </c>
      <c r="AP385" s="238">
        <v>0.0</v>
      </c>
      <c r="AQ385" s="235" t="s">
        <v>632</v>
      </c>
      <c r="AR385" s="243">
        <v>3.71E11</v>
      </c>
      <c r="AS385" s="235" t="s">
        <v>1367</v>
      </c>
      <c r="AT385" s="235" t="s">
        <v>11</v>
      </c>
      <c r="AU385" s="235" t="s">
        <v>634</v>
      </c>
      <c r="AV385" s="246" t="s">
        <v>635</v>
      </c>
      <c r="AW385" s="242"/>
      <c r="AX385" s="242"/>
      <c r="AY385" s="231"/>
      <c r="AZ385" s="231"/>
      <c r="BA385" s="227"/>
      <c r="BB385" s="231"/>
      <c r="BC385" s="227"/>
      <c r="BD385" s="227"/>
      <c r="BE385" s="227"/>
      <c r="BF385" s="227"/>
    </row>
    <row r="386">
      <c r="A386" s="235" t="s">
        <v>3760</v>
      </c>
      <c r="C386" s="235" t="s">
        <v>3761</v>
      </c>
      <c r="D386" s="235" t="s">
        <v>3762</v>
      </c>
      <c r="E386" s="243">
        <v>6.56E13</v>
      </c>
      <c r="F386" s="245"/>
      <c r="G386" s="235" t="s">
        <v>3763</v>
      </c>
      <c r="H386" s="235" t="s">
        <v>3764</v>
      </c>
      <c r="I386" s="235" t="s">
        <v>3765</v>
      </c>
      <c r="J386" s="235" t="s">
        <v>3766</v>
      </c>
      <c r="K386" s="235" t="s">
        <v>3767</v>
      </c>
      <c r="N386" s="235" t="s">
        <v>130</v>
      </c>
      <c r="O386" s="235" t="s">
        <v>707</v>
      </c>
      <c r="P386" s="238">
        <v>1.0</v>
      </c>
      <c r="Q386" s="235" t="s">
        <v>627</v>
      </c>
      <c r="R386" s="238">
        <v>246.67</v>
      </c>
      <c r="S386" s="238">
        <v>12.33</v>
      </c>
      <c r="T386" s="238">
        <v>0.0</v>
      </c>
      <c r="U386" s="238">
        <v>0.0</v>
      </c>
      <c r="V386" s="238">
        <v>0.0</v>
      </c>
      <c r="W386" s="238">
        <v>0.0</v>
      </c>
      <c r="X386" s="235" t="s">
        <v>628</v>
      </c>
      <c r="Z386" s="244"/>
      <c r="AA386" s="244"/>
      <c r="AB386" s="244"/>
      <c r="AC386" s="235" t="s">
        <v>3768</v>
      </c>
      <c r="AD386" s="235" t="s">
        <v>854</v>
      </c>
      <c r="AE386" s="238">
        <v>403001.0</v>
      </c>
      <c r="AF386" s="235" t="s">
        <v>631</v>
      </c>
      <c r="AG386" s="244"/>
      <c r="AH386" s="244"/>
      <c r="AI386" s="245"/>
      <c r="AJ386" s="245"/>
      <c r="AK386" s="245"/>
      <c r="AL386" s="245"/>
      <c r="AM386" s="244"/>
      <c r="AN386" s="244"/>
      <c r="AO386" s="238">
        <v>0.0</v>
      </c>
      <c r="AP386" s="238">
        <v>0.0</v>
      </c>
      <c r="AQ386" s="235" t="s">
        <v>632</v>
      </c>
      <c r="AR386" s="243">
        <v>3.71E11</v>
      </c>
      <c r="AS386" s="235" t="s">
        <v>1367</v>
      </c>
      <c r="AT386" s="235" t="s">
        <v>11</v>
      </c>
      <c r="AU386" s="235" t="s">
        <v>634</v>
      </c>
      <c r="AV386" s="246" t="s">
        <v>635</v>
      </c>
      <c r="AW386" s="242"/>
      <c r="AX386" s="242"/>
      <c r="AY386" s="231"/>
      <c r="AZ386" s="231"/>
      <c r="BA386" s="227"/>
      <c r="BB386" s="231"/>
      <c r="BC386" s="227"/>
      <c r="BD386" s="227"/>
      <c r="BE386" s="227"/>
      <c r="BF386" s="227"/>
    </row>
    <row r="387">
      <c r="A387" s="235" t="s">
        <v>3770</v>
      </c>
      <c r="C387" s="235" t="s">
        <v>3771</v>
      </c>
      <c r="D387" s="235" t="s">
        <v>3772</v>
      </c>
      <c r="E387" s="243">
        <v>6.57E13</v>
      </c>
      <c r="F387" s="245"/>
      <c r="G387" s="235" t="s">
        <v>3773</v>
      </c>
      <c r="H387" s="235" t="s">
        <v>3774</v>
      </c>
      <c r="I387" s="235" t="s">
        <v>3774</v>
      </c>
      <c r="J387" s="235" t="s">
        <v>3775</v>
      </c>
      <c r="K387" s="235" t="s">
        <v>3776</v>
      </c>
      <c r="N387" s="235" t="s">
        <v>962</v>
      </c>
      <c r="O387" s="235" t="s">
        <v>963</v>
      </c>
      <c r="P387" s="238">
        <v>1.0</v>
      </c>
      <c r="Q387" s="235" t="s">
        <v>627</v>
      </c>
      <c r="R387" s="238">
        <v>246.66</v>
      </c>
      <c r="S387" s="238">
        <v>12.34</v>
      </c>
      <c r="T387" s="238">
        <v>0.0</v>
      </c>
      <c r="U387" s="238">
        <v>0.0</v>
      </c>
      <c r="V387" s="238">
        <v>0.0</v>
      </c>
      <c r="W387" s="238">
        <v>0.0</v>
      </c>
      <c r="X387" s="235" t="s">
        <v>628</v>
      </c>
      <c r="Z387" s="244"/>
      <c r="AA387" s="244"/>
      <c r="AB387" s="244"/>
      <c r="AC387" s="235" t="s">
        <v>678</v>
      </c>
      <c r="AD387" s="235" t="s">
        <v>679</v>
      </c>
      <c r="AE387" s="238">
        <v>560035.0</v>
      </c>
      <c r="AF387" s="235" t="s">
        <v>631</v>
      </c>
      <c r="AG387" s="244"/>
      <c r="AH387" s="244"/>
      <c r="AI387" s="245"/>
      <c r="AJ387" s="245"/>
      <c r="AK387" s="245"/>
      <c r="AL387" s="245"/>
      <c r="AM387" s="244"/>
      <c r="AN387" s="244"/>
      <c r="AO387" s="238">
        <v>0.0</v>
      </c>
      <c r="AP387" s="238">
        <v>0.0</v>
      </c>
      <c r="AQ387" s="235" t="s">
        <v>632</v>
      </c>
      <c r="AR387" s="243">
        <v>1.68E11</v>
      </c>
      <c r="AS387" s="235" t="s">
        <v>3284</v>
      </c>
      <c r="AT387" s="235" t="s">
        <v>11</v>
      </c>
      <c r="AU387" s="235" t="s">
        <v>634</v>
      </c>
      <c r="AV387" s="246" t="s">
        <v>635</v>
      </c>
      <c r="AW387" s="242"/>
      <c r="AX387" s="242"/>
      <c r="AY387" s="231"/>
      <c r="AZ387" s="231"/>
      <c r="BA387" s="227"/>
      <c r="BB387" s="231"/>
      <c r="BC387" s="227"/>
      <c r="BD387" s="227"/>
      <c r="BE387" s="227"/>
      <c r="BF387" s="227"/>
    </row>
    <row r="388">
      <c r="A388" s="235" t="s">
        <v>3777</v>
      </c>
      <c r="C388" s="235" t="s">
        <v>3778</v>
      </c>
      <c r="D388" s="235" t="s">
        <v>3779</v>
      </c>
      <c r="E388" s="243">
        <v>6.56E13</v>
      </c>
      <c r="F388" s="245"/>
      <c r="G388" s="235" t="s">
        <v>3780</v>
      </c>
      <c r="H388" s="235" t="s">
        <v>3781</v>
      </c>
      <c r="I388" s="235" t="s">
        <v>3782</v>
      </c>
      <c r="J388" s="235" t="s">
        <v>3783</v>
      </c>
      <c r="K388" s="235" t="s">
        <v>3784</v>
      </c>
      <c r="N388" s="235" t="s">
        <v>136</v>
      </c>
      <c r="O388" s="235" t="s">
        <v>256</v>
      </c>
      <c r="P388" s="238">
        <v>1.0</v>
      </c>
      <c r="Q388" s="235" t="s">
        <v>627</v>
      </c>
      <c r="R388" s="238">
        <v>242.86</v>
      </c>
      <c r="S388" s="238">
        <v>12.14</v>
      </c>
      <c r="T388" s="238">
        <v>38.1</v>
      </c>
      <c r="U388" s="238">
        <v>1.9</v>
      </c>
      <c r="V388" s="238">
        <v>0.0</v>
      </c>
      <c r="W388" s="238">
        <v>0.0</v>
      </c>
      <c r="X388" s="235" t="s">
        <v>628</v>
      </c>
      <c r="Z388" s="244"/>
      <c r="AA388" s="244"/>
      <c r="AB388" s="244"/>
      <c r="AC388" s="235" t="s">
        <v>678</v>
      </c>
      <c r="AD388" s="235" t="s">
        <v>679</v>
      </c>
      <c r="AE388" s="238">
        <v>560036.0</v>
      </c>
      <c r="AF388" s="235" t="s">
        <v>631</v>
      </c>
      <c r="AG388" s="244"/>
      <c r="AH388" s="244"/>
      <c r="AI388" s="245"/>
      <c r="AJ388" s="245"/>
      <c r="AK388" s="245"/>
      <c r="AL388" s="245"/>
      <c r="AM388" s="244"/>
      <c r="AN388" s="244"/>
      <c r="AO388" s="238">
        <v>0.0</v>
      </c>
      <c r="AP388" s="238">
        <v>-38.1</v>
      </c>
      <c r="AQ388" s="235" t="s">
        <v>632</v>
      </c>
      <c r="AR388" s="243">
        <v>1.68E11</v>
      </c>
      <c r="AS388" s="235" t="s">
        <v>2276</v>
      </c>
      <c r="AT388" s="235" t="s">
        <v>155</v>
      </c>
      <c r="AU388" s="235" t="s">
        <v>634</v>
      </c>
      <c r="AV388" s="246" t="s">
        <v>635</v>
      </c>
      <c r="AW388" s="242"/>
      <c r="AX388" s="242"/>
      <c r="AY388" s="231"/>
      <c r="AZ388" s="231"/>
      <c r="BA388" s="227"/>
      <c r="BB388" s="231"/>
      <c r="BC388" s="227"/>
      <c r="BD388" s="227"/>
      <c r="BE388" s="227"/>
      <c r="BF388" s="227"/>
    </row>
    <row r="389">
      <c r="A389" s="235" t="s">
        <v>3785</v>
      </c>
      <c r="C389" s="235" t="s">
        <v>3786</v>
      </c>
      <c r="D389" s="235" t="s">
        <v>3787</v>
      </c>
      <c r="E389" s="243">
        <v>6.56E13</v>
      </c>
      <c r="F389" s="245"/>
      <c r="G389" s="235" t="s">
        <v>3788</v>
      </c>
      <c r="H389" s="235" t="s">
        <v>3789</v>
      </c>
      <c r="I389" s="235" t="s">
        <v>3789</v>
      </c>
      <c r="J389" s="235" t="s">
        <v>3790</v>
      </c>
      <c r="K389" s="235" t="s">
        <v>3791</v>
      </c>
      <c r="N389" s="235" t="s">
        <v>42</v>
      </c>
      <c r="O389" s="235" t="s">
        <v>204</v>
      </c>
      <c r="P389" s="238">
        <v>1.0</v>
      </c>
      <c r="Q389" s="235" t="s">
        <v>627</v>
      </c>
      <c r="R389" s="238">
        <v>237.14</v>
      </c>
      <c r="S389" s="238">
        <v>11.86</v>
      </c>
      <c r="T389" s="238">
        <v>38.1</v>
      </c>
      <c r="U389" s="238">
        <v>1.9</v>
      </c>
      <c r="V389" s="238">
        <v>0.0</v>
      </c>
      <c r="W389" s="238">
        <v>0.0</v>
      </c>
      <c r="X389" s="235" t="s">
        <v>628</v>
      </c>
      <c r="Z389" s="244"/>
      <c r="AA389" s="244"/>
      <c r="AB389" s="244"/>
      <c r="AC389" s="235" t="s">
        <v>3792</v>
      </c>
      <c r="AD389" s="235" t="s">
        <v>881</v>
      </c>
      <c r="AE389" s="238">
        <v>761200.0</v>
      </c>
      <c r="AF389" s="235" t="s">
        <v>631</v>
      </c>
      <c r="AG389" s="244"/>
      <c r="AH389" s="244"/>
      <c r="AI389" s="245"/>
      <c r="AJ389" s="245"/>
      <c r="AK389" s="245"/>
      <c r="AL389" s="245"/>
      <c r="AM389" s="244"/>
      <c r="AN389" s="244"/>
      <c r="AO389" s="238">
        <v>0.0</v>
      </c>
      <c r="AP389" s="238">
        <v>-38.1</v>
      </c>
      <c r="AQ389" s="235" t="s">
        <v>632</v>
      </c>
      <c r="AR389" s="243">
        <v>3.71E11</v>
      </c>
      <c r="AS389" s="235" t="s">
        <v>646</v>
      </c>
      <c r="AT389" s="235" t="s">
        <v>16</v>
      </c>
      <c r="AU389" s="235" t="s">
        <v>634</v>
      </c>
      <c r="AV389" s="246" t="s">
        <v>635</v>
      </c>
      <c r="AW389" s="242"/>
      <c r="AX389" s="242"/>
      <c r="AY389" s="231"/>
      <c r="AZ389" s="231"/>
      <c r="BA389" s="227"/>
      <c r="BB389" s="231"/>
      <c r="BC389" s="227"/>
      <c r="BD389" s="227"/>
      <c r="BE389" s="227"/>
      <c r="BF389" s="227"/>
    </row>
    <row r="390">
      <c r="A390" s="235" t="s">
        <v>3799</v>
      </c>
      <c r="C390" s="235" t="s">
        <v>3800</v>
      </c>
      <c r="D390" s="235" t="s">
        <v>3801</v>
      </c>
      <c r="E390" s="243">
        <v>6.56E13</v>
      </c>
      <c r="F390" s="245"/>
      <c r="G390" s="235" t="s">
        <v>3802</v>
      </c>
      <c r="H390" s="235" t="s">
        <v>3803</v>
      </c>
      <c r="I390" s="235" t="s">
        <v>3803</v>
      </c>
      <c r="J390" s="235" t="s">
        <v>3804</v>
      </c>
      <c r="K390" s="235" t="s">
        <v>3805</v>
      </c>
      <c r="N390" s="235" t="s">
        <v>141</v>
      </c>
      <c r="O390" s="235" t="s">
        <v>342</v>
      </c>
      <c r="P390" s="238">
        <v>1.0</v>
      </c>
      <c r="Q390" s="235" t="s">
        <v>627</v>
      </c>
      <c r="R390" s="238">
        <v>246.67</v>
      </c>
      <c r="S390" s="238">
        <v>12.33</v>
      </c>
      <c r="T390" s="238">
        <v>38.1</v>
      </c>
      <c r="U390" s="238">
        <v>1.9</v>
      </c>
      <c r="V390" s="238">
        <v>0.0</v>
      </c>
      <c r="W390" s="238">
        <v>0.0</v>
      </c>
      <c r="X390" s="235" t="s">
        <v>628</v>
      </c>
      <c r="Z390" s="244"/>
      <c r="AA390" s="244"/>
      <c r="AB390" s="244"/>
      <c r="AC390" s="235" t="s">
        <v>3806</v>
      </c>
      <c r="AD390" s="235" t="s">
        <v>881</v>
      </c>
      <c r="AE390" s="238">
        <v>753004.0</v>
      </c>
      <c r="AF390" s="235" t="s">
        <v>631</v>
      </c>
      <c r="AG390" s="244"/>
      <c r="AH390" s="244"/>
      <c r="AI390" s="245"/>
      <c r="AJ390" s="245"/>
      <c r="AK390" s="245"/>
      <c r="AL390" s="245"/>
      <c r="AM390" s="244"/>
      <c r="AN390" s="244"/>
      <c r="AO390" s="238">
        <v>0.0</v>
      </c>
      <c r="AP390" s="238">
        <v>-38.1</v>
      </c>
      <c r="AQ390" s="235" t="s">
        <v>632</v>
      </c>
      <c r="AR390" s="243">
        <v>3.71E11</v>
      </c>
      <c r="AS390" s="235" t="s">
        <v>656</v>
      </c>
      <c r="AT390" s="235" t="s">
        <v>11</v>
      </c>
      <c r="AU390" s="235" t="s">
        <v>634</v>
      </c>
      <c r="AV390" s="246" t="s">
        <v>635</v>
      </c>
      <c r="AW390" s="242"/>
      <c r="AX390" s="242"/>
      <c r="AY390" s="231"/>
      <c r="AZ390" s="231"/>
      <c r="BA390" s="227"/>
      <c r="BB390" s="231"/>
      <c r="BC390" s="227"/>
      <c r="BD390" s="227"/>
      <c r="BE390" s="227"/>
      <c r="BF390" s="227"/>
    </row>
    <row r="391">
      <c r="A391" s="235" t="s">
        <v>3807</v>
      </c>
      <c r="C391" s="235" t="s">
        <v>3808</v>
      </c>
      <c r="D391" s="235" t="s">
        <v>3809</v>
      </c>
      <c r="E391" s="243">
        <v>6.57E13</v>
      </c>
      <c r="F391" s="245"/>
      <c r="G391" s="235" t="s">
        <v>3810</v>
      </c>
      <c r="H391" s="235" t="s">
        <v>3811</v>
      </c>
      <c r="I391" s="235" t="s">
        <v>3811</v>
      </c>
      <c r="J391" s="235" t="s">
        <v>3812</v>
      </c>
      <c r="K391" s="235" t="s">
        <v>3813</v>
      </c>
      <c r="N391" s="235" t="s">
        <v>113</v>
      </c>
      <c r="O391" s="235" t="s">
        <v>452</v>
      </c>
      <c r="P391" s="238">
        <v>1.0</v>
      </c>
      <c r="Q391" s="235" t="s">
        <v>627</v>
      </c>
      <c r="R391" s="238">
        <v>246.67</v>
      </c>
      <c r="S391" s="238">
        <v>12.33</v>
      </c>
      <c r="T391" s="238">
        <v>0.0</v>
      </c>
      <c r="U391" s="238">
        <v>0.0</v>
      </c>
      <c r="V391" s="238">
        <v>0.0</v>
      </c>
      <c r="W391" s="238">
        <v>0.0</v>
      </c>
      <c r="X391" s="235" t="s">
        <v>628</v>
      </c>
      <c r="Z391" s="244"/>
      <c r="AA391" s="244"/>
      <c r="AB391" s="244"/>
      <c r="AC391" s="235" t="s">
        <v>678</v>
      </c>
      <c r="AD391" s="235" t="s">
        <v>679</v>
      </c>
      <c r="AE391" s="238">
        <v>562125.0</v>
      </c>
      <c r="AF391" s="235" t="s">
        <v>631</v>
      </c>
      <c r="AG391" s="244"/>
      <c r="AH391" s="244"/>
      <c r="AI391" s="245"/>
      <c r="AJ391" s="245"/>
      <c r="AK391" s="245"/>
      <c r="AL391" s="245"/>
      <c r="AM391" s="244"/>
      <c r="AN391" s="244"/>
      <c r="AO391" s="238">
        <v>0.0</v>
      </c>
      <c r="AP391" s="238">
        <v>0.0</v>
      </c>
      <c r="AQ391" s="235" t="s">
        <v>632</v>
      </c>
      <c r="AR391" s="243">
        <v>3.71E11</v>
      </c>
      <c r="AS391" s="235" t="s">
        <v>1367</v>
      </c>
      <c r="AT391" s="235" t="s">
        <v>156</v>
      </c>
      <c r="AU391" s="235" t="s">
        <v>634</v>
      </c>
      <c r="AV391" s="246" t="s">
        <v>635</v>
      </c>
      <c r="AW391" s="242"/>
      <c r="AX391" s="242"/>
      <c r="AY391" s="231"/>
      <c r="AZ391" s="231"/>
      <c r="BA391" s="227"/>
      <c r="BB391" s="231"/>
      <c r="BC391" s="227"/>
      <c r="BD391" s="227"/>
      <c r="BE391" s="227"/>
      <c r="BF391" s="227"/>
    </row>
    <row r="392">
      <c r="A392" s="235" t="s">
        <v>3816</v>
      </c>
      <c r="C392" s="235" t="s">
        <v>3817</v>
      </c>
      <c r="D392" s="235" t="s">
        <v>3818</v>
      </c>
      <c r="E392" s="243">
        <v>6.56E13</v>
      </c>
      <c r="F392" s="245"/>
      <c r="G392" s="235" t="s">
        <v>3819</v>
      </c>
      <c r="H392" s="235" t="s">
        <v>3820</v>
      </c>
      <c r="I392" s="235" t="s">
        <v>3821</v>
      </c>
      <c r="J392" s="235" t="s">
        <v>3822</v>
      </c>
      <c r="K392" s="235" t="s">
        <v>3823</v>
      </c>
      <c r="N392" s="235" t="s">
        <v>127</v>
      </c>
      <c r="O392" s="235" t="s">
        <v>794</v>
      </c>
      <c r="P392" s="238">
        <v>1.0</v>
      </c>
      <c r="Q392" s="235" t="s">
        <v>627</v>
      </c>
      <c r="R392" s="238">
        <v>246.67</v>
      </c>
      <c r="S392" s="238">
        <v>12.33</v>
      </c>
      <c r="T392" s="238">
        <v>0.0</v>
      </c>
      <c r="U392" s="238">
        <v>0.0</v>
      </c>
      <c r="V392" s="238">
        <v>0.0</v>
      </c>
      <c r="W392" s="238">
        <v>0.0</v>
      </c>
      <c r="X392" s="235" t="s">
        <v>628</v>
      </c>
      <c r="Z392" s="244"/>
      <c r="AA392" s="244"/>
      <c r="AB392" s="244"/>
      <c r="AC392" s="235" t="s">
        <v>3824</v>
      </c>
      <c r="AD392" s="235" t="s">
        <v>3825</v>
      </c>
      <c r="AE392" s="238">
        <v>695014.0</v>
      </c>
      <c r="AF392" s="235" t="s">
        <v>631</v>
      </c>
      <c r="AG392" s="244"/>
      <c r="AH392" s="244"/>
      <c r="AI392" s="245"/>
      <c r="AJ392" s="245"/>
      <c r="AK392" s="245"/>
      <c r="AL392" s="245"/>
      <c r="AM392" s="244"/>
      <c r="AN392" s="244"/>
      <c r="AO392" s="238">
        <v>0.0</v>
      </c>
      <c r="AP392" s="238">
        <v>0.0</v>
      </c>
      <c r="AQ392" s="235" t="s">
        <v>632</v>
      </c>
      <c r="AR392" s="243">
        <v>3.71E11</v>
      </c>
      <c r="AS392" s="235" t="s">
        <v>2276</v>
      </c>
      <c r="AT392" s="235" t="s">
        <v>155</v>
      </c>
      <c r="AU392" s="235" t="s">
        <v>634</v>
      </c>
      <c r="AV392" s="246" t="s">
        <v>635</v>
      </c>
      <c r="AW392" s="242"/>
      <c r="AX392" s="242"/>
      <c r="AY392" s="231"/>
      <c r="AZ392" s="231"/>
      <c r="BA392" s="227"/>
      <c r="BB392" s="231"/>
      <c r="BC392" s="227"/>
      <c r="BD392" s="227"/>
      <c r="BE392" s="227"/>
      <c r="BF392" s="227"/>
    </row>
    <row r="393">
      <c r="A393" s="235" t="s">
        <v>3826</v>
      </c>
      <c r="C393" s="235" t="s">
        <v>3827</v>
      </c>
      <c r="D393" s="235" t="s">
        <v>3828</v>
      </c>
      <c r="E393" s="243">
        <v>6.56E13</v>
      </c>
      <c r="F393" s="245"/>
      <c r="G393" s="235" t="s">
        <v>3829</v>
      </c>
      <c r="H393" s="235" t="s">
        <v>3830</v>
      </c>
      <c r="I393" s="235" t="s">
        <v>3830</v>
      </c>
      <c r="J393" s="235" t="s">
        <v>3831</v>
      </c>
      <c r="K393" s="235" t="s">
        <v>3832</v>
      </c>
      <c r="N393" s="235" t="s">
        <v>47</v>
      </c>
      <c r="O393" s="235" t="s">
        <v>270</v>
      </c>
      <c r="P393" s="238">
        <v>1.0</v>
      </c>
      <c r="Q393" s="235" t="s">
        <v>627</v>
      </c>
      <c r="R393" s="238">
        <v>237.14</v>
      </c>
      <c r="S393" s="238">
        <v>11.86</v>
      </c>
      <c r="T393" s="238">
        <v>38.1</v>
      </c>
      <c r="U393" s="238">
        <v>1.9</v>
      </c>
      <c r="V393" s="238">
        <v>0.0</v>
      </c>
      <c r="W393" s="238">
        <v>0.0</v>
      </c>
      <c r="X393" s="235" t="s">
        <v>628</v>
      </c>
      <c r="Z393" s="244"/>
      <c r="AA393" s="244"/>
      <c r="AB393" s="244"/>
      <c r="AC393" s="235" t="s">
        <v>1920</v>
      </c>
      <c r="AD393" s="235" t="s">
        <v>833</v>
      </c>
      <c r="AE393" s="238">
        <v>522002.0</v>
      </c>
      <c r="AF393" s="235" t="s">
        <v>631</v>
      </c>
      <c r="AG393" s="244"/>
      <c r="AH393" s="244"/>
      <c r="AI393" s="245"/>
      <c r="AJ393" s="245"/>
      <c r="AK393" s="245"/>
      <c r="AL393" s="245"/>
      <c r="AM393" s="244"/>
      <c r="AN393" s="244"/>
      <c r="AO393" s="238">
        <v>0.0</v>
      </c>
      <c r="AP393" s="238">
        <v>-38.1</v>
      </c>
      <c r="AQ393" s="235" t="s">
        <v>632</v>
      </c>
      <c r="AR393" s="243">
        <v>1.68E11</v>
      </c>
      <c r="AS393" s="235" t="s">
        <v>2276</v>
      </c>
      <c r="AT393" s="235" t="s">
        <v>156</v>
      </c>
      <c r="AU393" s="235" t="s">
        <v>634</v>
      </c>
      <c r="AV393" s="246" t="s">
        <v>635</v>
      </c>
      <c r="AW393" s="242"/>
      <c r="AX393" s="242"/>
      <c r="AY393" s="231"/>
      <c r="AZ393" s="231"/>
      <c r="BA393" s="227"/>
      <c r="BB393" s="231"/>
      <c r="BC393" s="227"/>
      <c r="BD393" s="227"/>
      <c r="BE393" s="227"/>
      <c r="BF393" s="227"/>
    </row>
    <row r="394">
      <c r="A394" s="235" t="s">
        <v>3833</v>
      </c>
      <c r="C394" s="235" t="s">
        <v>3834</v>
      </c>
      <c r="D394" s="235" t="s">
        <v>3835</v>
      </c>
      <c r="E394" s="243">
        <v>6.57E13</v>
      </c>
      <c r="F394" s="245"/>
      <c r="G394" s="235" t="s">
        <v>3836</v>
      </c>
      <c r="H394" s="235" t="s">
        <v>3837</v>
      </c>
      <c r="I394" s="235" t="s">
        <v>3837</v>
      </c>
      <c r="J394" s="235" t="s">
        <v>3838</v>
      </c>
      <c r="K394" s="235" t="s">
        <v>3839</v>
      </c>
      <c r="N394" s="235" t="s">
        <v>127</v>
      </c>
      <c r="O394" s="235" t="s">
        <v>794</v>
      </c>
      <c r="P394" s="238">
        <v>1.0</v>
      </c>
      <c r="Q394" s="235" t="s">
        <v>627</v>
      </c>
      <c r="R394" s="238">
        <v>246.67</v>
      </c>
      <c r="S394" s="238">
        <v>12.33</v>
      </c>
      <c r="T394" s="238">
        <v>38.1</v>
      </c>
      <c r="U394" s="238">
        <v>1.9</v>
      </c>
      <c r="V394" s="238">
        <v>0.0</v>
      </c>
      <c r="W394" s="238">
        <v>0.0</v>
      </c>
      <c r="X394" s="235" t="s">
        <v>628</v>
      </c>
      <c r="Z394" s="244"/>
      <c r="AA394" s="244"/>
      <c r="AB394" s="244"/>
      <c r="AC394" s="235" t="s">
        <v>3840</v>
      </c>
      <c r="AD394" s="235" t="s">
        <v>1499</v>
      </c>
      <c r="AE394" s="238">
        <v>456224.0</v>
      </c>
      <c r="AF394" s="235" t="s">
        <v>631</v>
      </c>
      <c r="AG394" s="244"/>
      <c r="AH394" s="244"/>
      <c r="AI394" s="245"/>
      <c r="AJ394" s="245"/>
      <c r="AK394" s="245"/>
      <c r="AL394" s="245"/>
      <c r="AM394" s="244"/>
      <c r="AN394" s="244"/>
      <c r="AO394" s="238">
        <v>0.0</v>
      </c>
      <c r="AP394" s="238">
        <v>-38.1</v>
      </c>
      <c r="AQ394" s="235" t="s">
        <v>632</v>
      </c>
      <c r="AR394" s="243">
        <v>3.71E11</v>
      </c>
      <c r="AS394" s="235" t="s">
        <v>667</v>
      </c>
      <c r="AT394" s="235" t="s">
        <v>17</v>
      </c>
      <c r="AU394" s="235" t="s">
        <v>634</v>
      </c>
      <c r="AV394" s="246" t="s">
        <v>635</v>
      </c>
      <c r="AW394" s="242"/>
      <c r="AX394" s="242"/>
      <c r="AY394" s="231"/>
      <c r="AZ394" s="231"/>
      <c r="BA394" s="227"/>
      <c r="BB394" s="231"/>
      <c r="BC394" s="227"/>
      <c r="BD394" s="227"/>
      <c r="BE394" s="227"/>
      <c r="BF394" s="227"/>
    </row>
    <row r="395">
      <c r="A395" s="235" t="s">
        <v>3841</v>
      </c>
      <c r="C395" s="235" t="s">
        <v>3842</v>
      </c>
      <c r="D395" s="235" t="s">
        <v>3843</v>
      </c>
      <c r="E395" s="243">
        <v>6.56E13</v>
      </c>
      <c r="F395" s="245"/>
      <c r="G395" s="235" t="s">
        <v>3844</v>
      </c>
      <c r="H395" s="235" t="s">
        <v>3845</v>
      </c>
      <c r="I395" s="235" t="s">
        <v>3846</v>
      </c>
      <c r="J395" s="235" t="s">
        <v>3847</v>
      </c>
      <c r="K395" s="235" t="s">
        <v>3848</v>
      </c>
      <c r="N395" s="235" t="s">
        <v>726</v>
      </c>
      <c r="O395" s="235" t="s">
        <v>727</v>
      </c>
      <c r="P395" s="238">
        <v>1.0</v>
      </c>
      <c r="Q395" s="235" t="s">
        <v>627</v>
      </c>
      <c r="R395" s="238">
        <v>246.67</v>
      </c>
      <c r="S395" s="238">
        <v>12.33</v>
      </c>
      <c r="T395" s="238">
        <v>0.0</v>
      </c>
      <c r="U395" s="238">
        <v>0.0</v>
      </c>
      <c r="V395" s="238">
        <v>0.0</v>
      </c>
      <c r="W395" s="238">
        <v>0.0</v>
      </c>
      <c r="X395" s="235" t="s">
        <v>628</v>
      </c>
      <c r="Z395" s="244"/>
      <c r="AA395" s="244"/>
      <c r="AB395" s="244"/>
      <c r="AC395" s="235" t="s">
        <v>3351</v>
      </c>
      <c r="AD395" s="235" t="s">
        <v>1499</v>
      </c>
      <c r="AE395" s="238">
        <v>462026.0</v>
      </c>
      <c r="AF395" s="235" t="s">
        <v>631</v>
      </c>
      <c r="AG395" s="244"/>
      <c r="AH395" s="244"/>
      <c r="AI395" s="245"/>
      <c r="AJ395" s="245"/>
      <c r="AK395" s="245"/>
      <c r="AL395" s="245"/>
      <c r="AM395" s="244"/>
      <c r="AN395" s="244"/>
      <c r="AO395" s="238">
        <v>0.0</v>
      </c>
      <c r="AP395" s="238">
        <v>0.0</v>
      </c>
      <c r="AQ395" s="235" t="s">
        <v>632</v>
      </c>
      <c r="AR395" s="243">
        <v>3.71E11</v>
      </c>
      <c r="AS395" s="235" t="s">
        <v>1367</v>
      </c>
      <c r="AT395" s="235" t="s">
        <v>16</v>
      </c>
      <c r="AU395" s="235" t="s">
        <v>634</v>
      </c>
      <c r="AV395" s="246" t="s">
        <v>635</v>
      </c>
      <c r="AW395" s="242"/>
      <c r="AX395" s="242"/>
      <c r="AY395" s="231"/>
      <c r="AZ395" s="231"/>
      <c r="BA395" s="227"/>
      <c r="BB395" s="231"/>
      <c r="BC395" s="227"/>
      <c r="BD395" s="227"/>
      <c r="BE395" s="227"/>
      <c r="BF395" s="227"/>
    </row>
    <row r="396">
      <c r="A396" s="235" t="s">
        <v>3849</v>
      </c>
      <c r="C396" s="235" t="s">
        <v>3850</v>
      </c>
      <c r="D396" s="235" t="s">
        <v>3851</v>
      </c>
      <c r="E396" s="243">
        <v>6.56E13</v>
      </c>
      <c r="F396" s="245"/>
      <c r="G396" s="235" t="s">
        <v>3852</v>
      </c>
      <c r="H396" s="235" t="s">
        <v>3853</v>
      </c>
      <c r="I396" s="235" t="s">
        <v>3853</v>
      </c>
      <c r="J396" s="235" t="s">
        <v>3854</v>
      </c>
      <c r="K396" s="235" t="s">
        <v>3855</v>
      </c>
      <c r="N396" s="235" t="s">
        <v>82</v>
      </c>
      <c r="O396" s="235" t="s">
        <v>889</v>
      </c>
      <c r="P396" s="238">
        <v>1.0</v>
      </c>
      <c r="Q396" s="235" t="s">
        <v>627</v>
      </c>
      <c r="R396" s="238">
        <v>246.66</v>
      </c>
      <c r="S396" s="238">
        <v>12.34</v>
      </c>
      <c r="T396" s="238">
        <v>0.0</v>
      </c>
      <c r="U396" s="238">
        <v>0.0</v>
      </c>
      <c r="V396" s="238">
        <v>0.0</v>
      </c>
      <c r="W396" s="238">
        <v>0.0</v>
      </c>
      <c r="X396" s="235" t="s">
        <v>628</v>
      </c>
      <c r="Z396" s="244"/>
      <c r="AA396" s="244"/>
      <c r="AB396" s="244"/>
      <c r="AC396" s="235" t="s">
        <v>1095</v>
      </c>
      <c r="AD396" s="235" t="s">
        <v>845</v>
      </c>
      <c r="AE396" s="238">
        <v>400703.0</v>
      </c>
      <c r="AF396" s="235" t="s">
        <v>631</v>
      </c>
      <c r="AG396" s="244"/>
      <c r="AH396" s="244"/>
      <c r="AI396" s="245"/>
      <c r="AJ396" s="245"/>
      <c r="AK396" s="245"/>
      <c r="AL396" s="245"/>
      <c r="AM396" s="244"/>
      <c r="AN396" s="244"/>
      <c r="AO396" s="238">
        <v>0.0</v>
      </c>
      <c r="AP396" s="238">
        <v>0.0</v>
      </c>
      <c r="AQ396" s="235" t="s">
        <v>632</v>
      </c>
      <c r="AR396" s="243">
        <v>3.71E11</v>
      </c>
      <c r="AS396" s="235" t="s">
        <v>2276</v>
      </c>
      <c r="AT396" s="235" t="s">
        <v>17</v>
      </c>
      <c r="AU396" s="235" t="s">
        <v>634</v>
      </c>
      <c r="AV396" s="246" t="s">
        <v>635</v>
      </c>
      <c r="AW396" s="242"/>
      <c r="AX396" s="242"/>
      <c r="AY396" s="231"/>
      <c r="AZ396" s="231"/>
      <c r="BA396" s="227"/>
      <c r="BB396" s="227"/>
      <c r="BC396" s="227"/>
      <c r="BD396" s="227"/>
      <c r="BE396" s="227"/>
      <c r="BF396" s="227"/>
    </row>
    <row r="397">
      <c r="A397" s="235" t="s">
        <v>3860</v>
      </c>
      <c r="C397" s="235" t="s">
        <v>3861</v>
      </c>
      <c r="D397" s="235" t="s">
        <v>3862</v>
      </c>
      <c r="E397" s="243">
        <v>6.56E13</v>
      </c>
      <c r="F397" s="245"/>
      <c r="G397" s="235" t="s">
        <v>3866</v>
      </c>
      <c r="H397" s="235" t="s">
        <v>3868</v>
      </c>
      <c r="I397" s="235" t="s">
        <v>3869</v>
      </c>
      <c r="J397" s="235" t="s">
        <v>3870</v>
      </c>
      <c r="K397" s="235" t="s">
        <v>3871</v>
      </c>
      <c r="N397" s="235" t="s">
        <v>120</v>
      </c>
      <c r="O397" s="235" t="s">
        <v>324</v>
      </c>
      <c r="P397" s="238">
        <v>1.0</v>
      </c>
      <c r="Q397" s="235" t="s">
        <v>627</v>
      </c>
      <c r="R397" s="238">
        <v>246.66</v>
      </c>
      <c r="S397" s="238">
        <v>12.34</v>
      </c>
      <c r="T397" s="238">
        <v>38.1</v>
      </c>
      <c r="U397" s="238">
        <v>1.9</v>
      </c>
      <c r="V397" s="238">
        <v>0.0</v>
      </c>
      <c r="W397" s="238">
        <v>0.0</v>
      </c>
      <c r="X397" s="235" t="s">
        <v>628</v>
      </c>
      <c r="Z397" s="244"/>
      <c r="AA397" s="244"/>
      <c r="AB397" s="244"/>
      <c r="AC397" s="235" t="s">
        <v>3872</v>
      </c>
      <c r="AD397" s="235" t="s">
        <v>666</v>
      </c>
      <c r="AE397" s="238">
        <v>601301.0</v>
      </c>
      <c r="AF397" s="235" t="s">
        <v>631</v>
      </c>
      <c r="AG397" s="244"/>
      <c r="AH397" s="244"/>
      <c r="AI397" s="245"/>
      <c r="AJ397" s="245"/>
      <c r="AK397" s="245"/>
      <c r="AL397" s="245"/>
      <c r="AM397" s="244"/>
      <c r="AN397" s="244"/>
      <c r="AO397" s="238">
        <v>0.0</v>
      </c>
      <c r="AP397" s="238">
        <v>-38.1</v>
      </c>
      <c r="AQ397" s="235" t="s">
        <v>1356</v>
      </c>
      <c r="AR397" s="247" t="s">
        <v>3877</v>
      </c>
      <c r="AS397" s="235" t="s">
        <v>699</v>
      </c>
      <c r="AT397" s="235" t="s">
        <v>156</v>
      </c>
      <c r="AU397" s="235" t="s">
        <v>634</v>
      </c>
      <c r="AV397" s="246" t="s">
        <v>635</v>
      </c>
      <c r="AW397" s="242"/>
      <c r="AX397" s="242"/>
      <c r="AY397" s="231"/>
      <c r="AZ397" s="231"/>
      <c r="BA397" s="227"/>
      <c r="BB397" s="231"/>
      <c r="BC397" s="227"/>
      <c r="BD397" s="227"/>
      <c r="BE397" s="227"/>
      <c r="BF397" s="227"/>
    </row>
    <row r="398">
      <c r="A398" s="235" t="s">
        <v>3878</v>
      </c>
      <c r="C398" s="235" t="s">
        <v>3879</v>
      </c>
      <c r="D398" s="235" t="s">
        <v>3880</v>
      </c>
      <c r="E398" s="243">
        <v>6.56E13</v>
      </c>
      <c r="F398" s="245"/>
      <c r="G398" s="235" t="s">
        <v>3881</v>
      </c>
      <c r="H398" s="235" t="s">
        <v>3882</v>
      </c>
      <c r="I398" s="235" t="s">
        <v>3882</v>
      </c>
      <c r="J398" s="235" t="s">
        <v>3883</v>
      </c>
      <c r="K398" s="235" t="s">
        <v>3884</v>
      </c>
      <c r="N398" s="235" t="s">
        <v>144</v>
      </c>
      <c r="O398" s="235" t="s">
        <v>232</v>
      </c>
      <c r="P398" s="238">
        <v>1.0</v>
      </c>
      <c r="Q398" s="235" t="s">
        <v>627</v>
      </c>
      <c r="R398" s="238">
        <v>665.72</v>
      </c>
      <c r="S398" s="238">
        <v>33.28</v>
      </c>
      <c r="T398" s="238">
        <v>0.0</v>
      </c>
      <c r="U398" s="238">
        <v>0.0</v>
      </c>
      <c r="V398" s="238">
        <v>0.0</v>
      </c>
      <c r="W398" s="238">
        <v>0.0</v>
      </c>
      <c r="X398" s="235" t="s">
        <v>628</v>
      </c>
      <c r="Z398" s="244"/>
      <c r="AA398" s="244"/>
      <c r="AB398" s="244"/>
      <c r="AC398" s="235" t="s">
        <v>1058</v>
      </c>
      <c r="AD398" s="235" t="s">
        <v>845</v>
      </c>
      <c r="AE398" s="238">
        <v>400093.0</v>
      </c>
      <c r="AF398" s="235" t="s">
        <v>631</v>
      </c>
      <c r="AG398" s="244"/>
      <c r="AH398" s="244"/>
      <c r="AI398" s="245"/>
      <c r="AJ398" s="245"/>
      <c r="AK398" s="245"/>
      <c r="AL398" s="245"/>
      <c r="AM398" s="244"/>
      <c r="AN398" s="244"/>
      <c r="AO398" s="238">
        <v>0.0</v>
      </c>
      <c r="AP398" s="238">
        <v>0.0</v>
      </c>
      <c r="AQ398" s="235" t="s">
        <v>632</v>
      </c>
      <c r="AR398" s="243">
        <v>3.71E11</v>
      </c>
      <c r="AS398" s="235" t="s">
        <v>2276</v>
      </c>
      <c r="AT398" s="235" t="s">
        <v>17</v>
      </c>
      <c r="AU398" s="235" t="s">
        <v>634</v>
      </c>
      <c r="AV398" s="246" t="s">
        <v>635</v>
      </c>
      <c r="AW398" s="242"/>
      <c r="AX398" s="242"/>
      <c r="AY398" s="231"/>
      <c r="AZ398" s="231"/>
      <c r="BA398" s="227"/>
      <c r="BB398" s="231"/>
      <c r="BC398" s="227"/>
      <c r="BD398" s="227"/>
      <c r="BE398" s="227"/>
      <c r="BF398" s="227"/>
    </row>
    <row r="399">
      <c r="A399" s="235" t="s">
        <v>3885</v>
      </c>
      <c r="C399" s="235" t="s">
        <v>3886</v>
      </c>
      <c r="D399" s="235" t="s">
        <v>3887</v>
      </c>
      <c r="E399" s="243">
        <v>6.56E13</v>
      </c>
      <c r="F399" s="245"/>
      <c r="G399" s="235" t="s">
        <v>3888</v>
      </c>
      <c r="H399" s="235" t="s">
        <v>3889</v>
      </c>
      <c r="I399" s="235" t="s">
        <v>3889</v>
      </c>
      <c r="J399" s="235" t="s">
        <v>3890</v>
      </c>
      <c r="K399" s="235" t="s">
        <v>3891</v>
      </c>
      <c r="N399" s="235" t="s">
        <v>92</v>
      </c>
      <c r="O399" s="235" t="s">
        <v>248</v>
      </c>
      <c r="P399" s="238">
        <v>1.0</v>
      </c>
      <c r="Q399" s="235" t="s">
        <v>627</v>
      </c>
      <c r="R399" s="238">
        <v>246.67</v>
      </c>
      <c r="S399" s="238">
        <v>12.33</v>
      </c>
      <c r="T399" s="238">
        <v>38.1</v>
      </c>
      <c r="U399" s="238">
        <v>1.9</v>
      </c>
      <c r="V399" s="238">
        <v>0.0</v>
      </c>
      <c r="W399" s="238">
        <v>0.0</v>
      </c>
      <c r="X399" s="235" t="s">
        <v>628</v>
      </c>
      <c r="Z399" s="244"/>
      <c r="AA399" s="244"/>
      <c r="AB399" s="244"/>
      <c r="AC399" s="235" t="s">
        <v>3892</v>
      </c>
      <c r="AD399" s="235" t="s">
        <v>833</v>
      </c>
      <c r="AE399" s="238">
        <v>534201.0</v>
      </c>
      <c r="AF399" s="235" t="s">
        <v>631</v>
      </c>
      <c r="AG399" s="244"/>
      <c r="AH399" s="244"/>
      <c r="AI399" s="245"/>
      <c r="AJ399" s="245"/>
      <c r="AK399" s="245"/>
      <c r="AL399" s="245"/>
      <c r="AM399" s="244"/>
      <c r="AN399" s="244"/>
      <c r="AO399" s="238">
        <v>0.0</v>
      </c>
      <c r="AP399" s="238">
        <v>-38.1</v>
      </c>
      <c r="AQ399" s="235" t="s">
        <v>632</v>
      </c>
      <c r="AR399" s="243">
        <v>3.71E11</v>
      </c>
      <c r="AS399" s="235" t="s">
        <v>1367</v>
      </c>
      <c r="AT399" s="235" t="s">
        <v>156</v>
      </c>
      <c r="AU399" s="235" t="s">
        <v>634</v>
      </c>
      <c r="AV399" s="246" t="s">
        <v>635</v>
      </c>
      <c r="AW399" s="242"/>
      <c r="AX399" s="242"/>
      <c r="AY399" s="231"/>
      <c r="AZ399" s="231"/>
      <c r="BA399" s="227"/>
      <c r="BB399" s="231"/>
      <c r="BC399" s="227"/>
      <c r="BD399" s="227"/>
      <c r="BE399" s="227"/>
      <c r="BF399" s="227"/>
    </row>
    <row r="400">
      <c r="A400" s="235" t="s">
        <v>3893</v>
      </c>
      <c r="C400" s="235" t="s">
        <v>3894</v>
      </c>
      <c r="D400" s="235" t="s">
        <v>3895</v>
      </c>
      <c r="E400" s="243">
        <v>6.57E13</v>
      </c>
      <c r="F400" s="245"/>
      <c r="G400" s="235" t="s">
        <v>3896</v>
      </c>
      <c r="H400" s="235" t="s">
        <v>3897</v>
      </c>
      <c r="I400" s="235" t="s">
        <v>3897</v>
      </c>
      <c r="J400" s="235" t="s">
        <v>3898</v>
      </c>
      <c r="K400" s="235" t="s">
        <v>3899</v>
      </c>
      <c r="N400" s="235" t="s">
        <v>68</v>
      </c>
      <c r="O400" s="235" t="s">
        <v>208</v>
      </c>
      <c r="P400" s="238">
        <v>1.0</v>
      </c>
      <c r="Q400" s="235" t="s">
        <v>627</v>
      </c>
      <c r="R400" s="238">
        <v>246.67</v>
      </c>
      <c r="S400" s="238">
        <v>12.33</v>
      </c>
      <c r="T400" s="238">
        <v>38.1</v>
      </c>
      <c r="U400" s="238">
        <v>1.9</v>
      </c>
      <c r="V400" s="238">
        <v>0.0</v>
      </c>
      <c r="W400" s="238">
        <v>0.0</v>
      </c>
      <c r="X400" s="235" t="s">
        <v>628</v>
      </c>
      <c r="Z400" s="244"/>
      <c r="AA400" s="244"/>
      <c r="AB400" s="244"/>
      <c r="AC400" s="235" t="s">
        <v>3900</v>
      </c>
      <c r="AD400" s="235" t="s">
        <v>698</v>
      </c>
      <c r="AE400" s="238">
        <v>505001.0</v>
      </c>
      <c r="AF400" s="235" t="s">
        <v>631</v>
      </c>
      <c r="AG400" s="244"/>
      <c r="AH400" s="244"/>
      <c r="AI400" s="245"/>
      <c r="AJ400" s="245"/>
      <c r="AK400" s="245"/>
      <c r="AL400" s="245"/>
      <c r="AM400" s="244"/>
      <c r="AN400" s="244"/>
      <c r="AO400" s="238">
        <v>0.0</v>
      </c>
      <c r="AP400" s="238">
        <v>-38.1</v>
      </c>
      <c r="AQ400" s="235" t="s">
        <v>632</v>
      </c>
      <c r="AR400" s="243">
        <v>3.71E11</v>
      </c>
      <c r="AS400" s="235" t="s">
        <v>1367</v>
      </c>
      <c r="AT400" s="235" t="s">
        <v>17</v>
      </c>
      <c r="AU400" s="235" t="s">
        <v>634</v>
      </c>
      <c r="AV400" s="246" t="s">
        <v>635</v>
      </c>
      <c r="AW400" s="242"/>
      <c r="AX400" s="242"/>
      <c r="AY400" s="231"/>
      <c r="AZ400" s="231"/>
      <c r="BA400" s="227"/>
      <c r="BB400" s="231"/>
      <c r="BC400" s="227"/>
      <c r="BD400" s="227"/>
      <c r="BE400" s="227"/>
      <c r="BF400" s="227"/>
    </row>
    <row r="401">
      <c r="A401" s="235" t="s">
        <v>3905</v>
      </c>
      <c r="C401" s="235" t="s">
        <v>3906</v>
      </c>
      <c r="D401" s="235" t="s">
        <v>3907</v>
      </c>
      <c r="E401" s="243">
        <v>6.56E13</v>
      </c>
      <c r="F401" s="245"/>
      <c r="G401" s="235" t="s">
        <v>3908</v>
      </c>
      <c r="H401" s="235" t="s">
        <v>3909</v>
      </c>
      <c r="I401" s="235" t="s">
        <v>3909</v>
      </c>
      <c r="J401" s="235" t="s">
        <v>3910</v>
      </c>
      <c r="K401" s="235" t="s">
        <v>3911</v>
      </c>
      <c r="N401" s="235" t="s">
        <v>68</v>
      </c>
      <c r="O401" s="235" t="s">
        <v>208</v>
      </c>
      <c r="P401" s="238">
        <v>1.0</v>
      </c>
      <c r="Q401" s="235" t="s">
        <v>627</v>
      </c>
      <c r="R401" s="238">
        <v>246.67</v>
      </c>
      <c r="S401" s="238">
        <v>12.33</v>
      </c>
      <c r="T401" s="238">
        <v>38.1</v>
      </c>
      <c r="U401" s="238">
        <v>1.9</v>
      </c>
      <c r="V401" s="238">
        <v>0.0</v>
      </c>
      <c r="W401" s="238">
        <v>0.0</v>
      </c>
      <c r="X401" s="235" t="s">
        <v>628</v>
      </c>
      <c r="Z401" s="244"/>
      <c r="AA401" s="244"/>
      <c r="AB401" s="244"/>
      <c r="AC401" s="235" t="s">
        <v>3912</v>
      </c>
      <c r="AD401" s="235" t="s">
        <v>3913</v>
      </c>
      <c r="AE401" s="238">
        <v>797112.0</v>
      </c>
      <c r="AF401" s="235" t="s">
        <v>631</v>
      </c>
      <c r="AG401" s="244"/>
      <c r="AH401" s="244"/>
      <c r="AI401" s="245"/>
      <c r="AJ401" s="245"/>
      <c r="AK401" s="245"/>
      <c r="AL401" s="245"/>
      <c r="AM401" s="244"/>
      <c r="AN401" s="244"/>
      <c r="AO401" s="238">
        <v>0.0</v>
      </c>
      <c r="AP401" s="238">
        <v>0.0</v>
      </c>
      <c r="AQ401" s="235" t="s">
        <v>632</v>
      </c>
      <c r="AR401" s="243">
        <v>3.71E11</v>
      </c>
      <c r="AS401" s="235" t="s">
        <v>667</v>
      </c>
      <c r="AT401" s="235" t="s">
        <v>13</v>
      </c>
      <c r="AU401" s="235" t="s">
        <v>634</v>
      </c>
      <c r="AV401" s="246" t="s">
        <v>635</v>
      </c>
      <c r="AW401" s="242"/>
      <c r="AX401" s="242"/>
      <c r="AY401" s="231"/>
      <c r="AZ401" s="231"/>
      <c r="BA401" s="227"/>
      <c r="BB401" s="231"/>
      <c r="BC401" s="227"/>
      <c r="BD401" s="227"/>
      <c r="BE401" s="227"/>
      <c r="BF401" s="227"/>
    </row>
    <row r="402">
      <c r="A402" s="235" t="s">
        <v>3916</v>
      </c>
      <c r="C402" s="235" t="s">
        <v>3917</v>
      </c>
      <c r="D402" s="235" t="s">
        <v>3918</v>
      </c>
      <c r="E402" s="243">
        <v>6.57E13</v>
      </c>
      <c r="F402" s="245"/>
      <c r="G402" s="235" t="s">
        <v>3919</v>
      </c>
      <c r="H402" s="235" t="s">
        <v>3920</v>
      </c>
      <c r="I402" s="235" t="s">
        <v>3921</v>
      </c>
      <c r="J402" s="235" t="s">
        <v>3922</v>
      </c>
      <c r="K402" s="235" t="s">
        <v>3923</v>
      </c>
      <c r="N402" s="235" t="s">
        <v>110</v>
      </c>
      <c r="O402" s="235" t="s">
        <v>364</v>
      </c>
      <c r="P402" s="238">
        <v>1.0</v>
      </c>
      <c r="Q402" s="235" t="s">
        <v>627</v>
      </c>
      <c r="R402" s="238">
        <v>246.67</v>
      </c>
      <c r="S402" s="238">
        <v>12.33</v>
      </c>
      <c r="T402" s="238">
        <v>38.1</v>
      </c>
      <c r="U402" s="238">
        <v>1.9</v>
      </c>
      <c r="V402" s="238">
        <v>0.0</v>
      </c>
      <c r="W402" s="238">
        <v>0.0</v>
      </c>
      <c r="X402" s="235" t="s">
        <v>628</v>
      </c>
      <c r="Z402" s="244"/>
      <c r="AA402" s="244"/>
      <c r="AB402" s="244"/>
      <c r="AC402" s="235" t="s">
        <v>3924</v>
      </c>
      <c r="AD402" s="235" t="s">
        <v>698</v>
      </c>
      <c r="AE402" s="238">
        <v>502103.0</v>
      </c>
      <c r="AF402" s="235" t="s">
        <v>631</v>
      </c>
      <c r="AG402" s="244"/>
      <c r="AH402" s="244"/>
      <c r="AI402" s="245"/>
      <c r="AJ402" s="245"/>
      <c r="AK402" s="245"/>
      <c r="AL402" s="245"/>
      <c r="AM402" s="244"/>
      <c r="AN402" s="244"/>
      <c r="AO402" s="238">
        <v>0.0</v>
      </c>
      <c r="AP402" s="238">
        <v>-38.1</v>
      </c>
      <c r="AQ402" s="235" t="s">
        <v>632</v>
      </c>
      <c r="AR402" s="243">
        <v>3.71E11</v>
      </c>
      <c r="AS402" s="235" t="s">
        <v>1367</v>
      </c>
      <c r="AT402" s="235" t="s">
        <v>9</v>
      </c>
      <c r="AU402" s="235" t="s">
        <v>634</v>
      </c>
      <c r="AV402" s="246" t="s">
        <v>635</v>
      </c>
      <c r="AW402" s="242"/>
      <c r="AX402" s="242"/>
      <c r="AY402" s="231"/>
      <c r="AZ402" s="231"/>
      <c r="BA402" s="227"/>
      <c r="BB402" s="231"/>
      <c r="BC402" s="227"/>
      <c r="BD402" s="227"/>
      <c r="BE402" s="227"/>
      <c r="BF402" s="227"/>
    </row>
    <row r="403">
      <c r="A403" s="235" t="s">
        <v>3925</v>
      </c>
      <c r="C403" s="235" t="s">
        <v>3926</v>
      </c>
      <c r="D403" s="235" t="s">
        <v>3927</v>
      </c>
      <c r="E403" s="243">
        <v>6.56E13</v>
      </c>
      <c r="F403" s="245"/>
      <c r="G403" s="235" t="s">
        <v>3928</v>
      </c>
      <c r="H403" s="235" t="s">
        <v>3929</v>
      </c>
      <c r="I403" s="235" t="s">
        <v>3930</v>
      </c>
      <c r="J403" s="235" t="s">
        <v>3931</v>
      </c>
      <c r="K403" s="235" t="s">
        <v>3932</v>
      </c>
      <c r="N403" s="235" t="s">
        <v>1346</v>
      </c>
      <c r="O403" s="235" t="s">
        <v>1347</v>
      </c>
      <c r="P403" s="238">
        <v>1.0</v>
      </c>
      <c r="Q403" s="235" t="s">
        <v>627</v>
      </c>
      <c r="R403" s="238">
        <v>252.38</v>
      </c>
      <c r="S403" s="238">
        <v>12.62</v>
      </c>
      <c r="T403" s="238">
        <v>38.1</v>
      </c>
      <c r="U403" s="238">
        <v>1.9</v>
      </c>
      <c r="V403" s="238">
        <v>0.0</v>
      </c>
      <c r="W403" s="238">
        <v>0.0</v>
      </c>
      <c r="X403" s="235" t="s">
        <v>628</v>
      </c>
      <c r="Z403" s="244"/>
      <c r="AA403" s="244"/>
      <c r="AB403" s="244"/>
      <c r="AC403" s="235" t="s">
        <v>3933</v>
      </c>
      <c r="AD403" s="235" t="s">
        <v>928</v>
      </c>
      <c r="AE403" s="238">
        <v>132103.0</v>
      </c>
      <c r="AF403" s="235" t="s">
        <v>631</v>
      </c>
      <c r="AG403" s="244"/>
      <c r="AH403" s="244"/>
      <c r="AI403" s="245"/>
      <c r="AJ403" s="245"/>
      <c r="AK403" s="245"/>
      <c r="AL403" s="245"/>
      <c r="AM403" s="244"/>
      <c r="AN403" s="244"/>
      <c r="AO403" s="238">
        <v>0.0</v>
      </c>
      <c r="AP403" s="238">
        <v>-38.1</v>
      </c>
      <c r="AQ403" s="235" t="s">
        <v>632</v>
      </c>
      <c r="AR403" s="243">
        <v>3.71E11</v>
      </c>
      <c r="AS403" s="235" t="s">
        <v>2276</v>
      </c>
      <c r="AT403" s="235" t="s">
        <v>533</v>
      </c>
      <c r="AU403" s="235" t="s">
        <v>634</v>
      </c>
      <c r="AV403" s="246" t="s">
        <v>635</v>
      </c>
      <c r="AW403" s="242"/>
      <c r="AX403" s="242"/>
      <c r="AY403" s="231"/>
      <c r="AZ403" s="231"/>
      <c r="BA403" s="227"/>
      <c r="BB403" s="231"/>
      <c r="BC403" s="227"/>
      <c r="BD403" s="227"/>
      <c r="BE403" s="227"/>
      <c r="BF403" s="227"/>
    </row>
    <row r="404">
      <c r="A404" s="235" t="s">
        <v>3934</v>
      </c>
      <c r="C404" s="235" t="s">
        <v>3935</v>
      </c>
      <c r="D404" s="235" t="s">
        <v>3936</v>
      </c>
      <c r="E404" s="243">
        <v>6.56E13</v>
      </c>
      <c r="F404" s="245"/>
      <c r="G404" s="235" t="s">
        <v>3937</v>
      </c>
      <c r="H404" s="235" t="s">
        <v>3938</v>
      </c>
      <c r="I404" s="235" t="s">
        <v>3938</v>
      </c>
      <c r="J404" s="235" t="s">
        <v>3939</v>
      </c>
      <c r="K404" s="235" t="s">
        <v>3940</v>
      </c>
      <c r="N404" s="235" t="s">
        <v>153</v>
      </c>
      <c r="O404" s="235" t="s">
        <v>390</v>
      </c>
      <c r="P404" s="238">
        <v>2.0</v>
      </c>
      <c r="Q404" s="235" t="s">
        <v>627</v>
      </c>
      <c r="R404" s="238">
        <v>981.36</v>
      </c>
      <c r="S404" s="238">
        <v>171.34</v>
      </c>
      <c r="T404" s="238">
        <v>67.8</v>
      </c>
      <c r="U404" s="238">
        <v>12.2</v>
      </c>
      <c r="V404" s="238">
        <v>0.0</v>
      </c>
      <c r="W404" s="238">
        <v>0.0</v>
      </c>
      <c r="X404" s="235" t="s">
        <v>628</v>
      </c>
      <c r="Z404" s="244"/>
      <c r="AA404" s="244"/>
      <c r="AB404" s="244"/>
      <c r="AC404" s="235" t="s">
        <v>3941</v>
      </c>
      <c r="AD404" s="235" t="s">
        <v>1499</v>
      </c>
      <c r="AE404" s="238">
        <v>451332.0</v>
      </c>
      <c r="AF404" s="235" t="s">
        <v>631</v>
      </c>
      <c r="AG404" s="244"/>
      <c r="AH404" s="244"/>
      <c r="AI404" s="245"/>
      <c r="AJ404" s="245"/>
      <c r="AK404" s="245"/>
      <c r="AL404" s="245"/>
      <c r="AM404" s="244"/>
      <c r="AN404" s="244"/>
      <c r="AO404" s="238">
        <v>-29.44</v>
      </c>
      <c r="AP404" s="238">
        <v>-67.8</v>
      </c>
      <c r="AQ404" s="235" t="s">
        <v>1328</v>
      </c>
      <c r="AR404" s="243">
        <v>1.34E13</v>
      </c>
      <c r="AS404" s="235" t="s">
        <v>699</v>
      </c>
      <c r="AT404" s="235" t="s">
        <v>5</v>
      </c>
      <c r="AU404" s="235" t="s">
        <v>634</v>
      </c>
      <c r="AV404" s="246" t="s">
        <v>635</v>
      </c>
      <c r="AW404" s="242"/>
      <c r="AX404" s="242"/>
      <c r="AY404" s="231"/>
      <c r="AZ404" s="231"/>
      <c r="BA404" s="227"/>
      <c r="BB404" s="231"/>
      <c r="BC404" s="227"/>
      <c r="BD404" s="227"/>
      <c r="BE404" s="227"/>
      <c r="BF404" s="227"/>
    </row>
    <row r="405">
      <c r="A405" s="235" t="s">
        <v>3942</v>
      </c>
      <c r="C405" s="235" t="s">
        <v>3943</v>
      </c>
      <c r="D405" s="235" t="s">
        <v>3944</v>
      </c>
      <c r="E405" s="243">
        <v>6.56E13</v>
      </c>
      <c r="F405" s="245"/>
      <c r="G405" s="235" t="s">
        <v>3945</v>
      </c>
      <c r="H405" s="235" t="s">
        <v>3946</v>
      </c>
      <c r="I405" s="235" t="s">
        <v>3946</v>
      </c>
      <c r="J405" s="235" t="s">
        <v>3947</v>
      </c>
      <c r="K405" s="235" t="s">
        <v>3948</v>
      </c>
      <c r="N405" s="235" t="s">
        <v>42</v>
      </c>
      <c r="O405" s="235" t="s">
        <v>204</v>
      </c>
      <c r="P405" s="238">
        <v>1.0</v>
      </c>
      <c r="Q405" s="235" t="s">
        <v>627</v>
      </c>
      <c r="R405" s="238">
        <v>237.14</v>
      </c>
      <c r="S405" s="238">
        <v>11.62</v>
      </c>
      <c r="T405" s="238">
        <v>38.1</v>
      </c>
      <c r="U405" s="238">
        <v>1.9</v>
      </c>
      <c r="V405" s="238">
        <v>0.0</v>
      </c>
      <c r="W405" s="238">
        <v>0.0</v>
      </c>
      <c r="X405" s="235" t="s">
        <v>628</v>
      </c>
      <c r="Z405" s="244"/>
      <c r="AA405" s="244"/>
      <c r="AB405" s="244"/>
      <c r="AC405" s="235" t="s">
        <v>697</v>
      </c>
      <c r="AD405" s="235" t="s">
        <v>698</v>
      </c>
      <c r="AE405" s="238">
        <v>500094.0</v>
      </c>
      <c r="AF405" s="235" t="s">
        <v>631</v>
      </c>
      <c r="AG405" s="244"/>
      <c r="AH405" s="244"/>
      <c r="AI405" s="245"/>
      <c r="AJ405" s="245"/>
      <c r="AK405" s="245"/>
      <c r="AL405" s="245"/>
      <c r="AM405" s="244"/>
      <c r="AN405" s="244"/>
      <c r="AO405" s="238">
        <v>-4.74</v>
      </c>
      <c r="AP405" s="238">
        <v>-38.1</v>
      </c>
      <c r="AQ405" s="235" t="s">
        <v>632</v>
      </c>
      <c r="AR405" s="243">
        <v>3.71E11</v>
      </c>
      <c r="AS405" s="235" t="s">
        <v>1367</v>
      </c>
      <c r="AT405" s="235" t="s">
        <v>16</v>
      </c>
      <c r="AU405" s="235" t="s">
        <v>634</v>
      </c>
      <c r="AV405" s="246" t="s">
        <v>635</v>
      </c>
      <c r="AW405" s="242"/>
      <c r="AX405" s="242"/>
      <c r="AY405" s="231"/>
      <c r="AZ405" s="231"/>
      <c r="BA405" s="227"/>
      <c r="BB405" s="231"/>
      <c r="BC405" s="227"/>
      <c r="BD405" s="227"/>
      <c r="BE405" s="227"/>
      <c r="BF405" s="227"/>
    </row>
    <row r="406">
      <c r="A406" s="235" t="s">
        <v>3953</v>
      </c>
      <c r="C406" s="235" t="s">
        <v>3954</v>
      </c>
      <c r="D406" s="235" t="s">
        <v>3955</v>
      </c>
      <c r="E406" s="243">
        <v>6.57E13</v>
      </c>
      <c r="F406" s="245"/>
      <c r="G406" s="235" t="s">
        <v>3956</v>
      </c>
      <c r="H406" s="235" t="s">
        <v>3957</v>
      </c>
      <c r="I406" s="235" t="s">
        <v>3957</v>
      </c>
      <c r="J406" s="235" t="s">
        <v>3958</v>
      </c>
      <c r="K406" s="235" t="s">
        <v>3959</v>
      </c>
      <c r="N406" s="235" t="s">
        <v>41</v>
      </c>
      <c r="O406" s="235" t="s">
        <v>291</v>
      </c>
      <c r="P406" s="238">
        <v>1.0</v>
      </c>
      <c r="Q406" s="235" t="s">
        <v>627</v>
      </c>
      <c r="R406" s="238">
        <v>237.14</v>
      </c>
      <c r="S406" s="238">
        <v>11.62</v>
      </c>
      <c r="T406" s="238">
        <v>18.1</v>
      </c>
      <c r="U406" s="238">
        <v>0.9</v>
      </c>
      <c r="V406" s="238">
        <v>0.0</v>
      </c>
      <c r="W406" s="238">
        <v>0.0</v>
      </c>
      <c r="X406" s="235" t="s">
        <v>628</v>
      </c>
      <c r="Z406" s="244"/>
      <c r="AA406" s="244"/>
      <c r="AB406" s="244"/>
      <c r="AC406" s="235" t="s">
        <v>687</v>
      </c>
      <c r="AD406" s="235" t="s">
        <v>666</v>
      </c>
      <c r="AE406" s="238">
        <v>600107.0</v>
      </c>
      <c r="AF406" s="235" t="s">
        <v>631</v>
      </c>
      <c r="AG406" s="244"/>
      <c r="AH406" s="244"/>
      <c r="AI406" s="245"/>
      <c r="AJ406" s="245"/>
      <c r="AK406" s="245"/>
      <c r="AL406" s="245"/>
      <c r="AM406" s="244"/>
      <c r="AN406" s="244"/>
      <c r="AO406" s="238">
        <v>-4.74</v>
      </c>
      <c r="AP406" s="238">
        <v>-18.1</v>
      </c>
      <c r="AQ406" s="235" t="s">
        <v>632</v>
      </c>
      <c r="AR406" s="243">
        <v>1.68E11</v>
      </c>
      <c r="AS406" s="235" t="s">
        <v>3964</v>
      </c>
      <c r="AT406" s="235" t="s">
        <v>156</v>
      </c>
      <c r="AU406" s="235" t="s">
        <v>634</v>
      </c>
      <c r="AV406" s="246" t="s">
        <v>635</v>
      </c>
      <c r="AW406" s="242"/>
      <c r="AX406" s="242"/>
      <c r="AY406" s="231"/>
      <c r="AZ406" s="231"/>
      <c r="BA406" s="227"/>
      <c r="BB406" s="231"/>
      <c r="BC406" s="227"/>
      <c r="BD406" s="227"/>
      <c r="BE406" s="227"/>
      <c r="BF406" s="227"/>
    </row>
    <row r="407">
      <c r="A407" s="235" t="s">
        <v>3965</v>
      </c>
      <c r="C407" s="235" t="s">
        <v>3966</v>
      </c>
      <c r="D407" s="235" t="s">
        <v>3967</v>
      </c>
      <c r="E407" s="243">
        <v>6.56E13</v>
      </c>
      <c r="F407" s="245"/>
      <c r="G407" s="235" t="s">
        <v>3968</v>
      </c>
      <c r="H407" s="235" t="s">
        <v>3969</v>
      </c>
      <c r="I407" s="235" t="s">
        <v>3969</v>
      </c>
      <c r="J407" s="235" t="s">
        <v>3970</v>
      </c>
      <c r="K407" s="235" t="s">
        <v>3971</v>
      </c>
      <c r="N407" s="235" t="s">
        <v>138</v>
      </c>
      <c r="O407" s="235" t="s">
        <v>675</v>
      </c>
      <c r="P407" s="238">
        <v>1.0</v>
      </c>
      <c r="Q407" s="235" t="s">
        <v>627</v>
      </c>
      <c r="R407" s="238">
        <v>246.67</v>
      </c>
      <c r="S407" s="238">
        <v>12.33</v>
      </c>
      <c r="T407" s="238">
        <v>0.0</v>
      </c>
      <c r="U407" s="238">
        <v>0.0</v>
      </c>
      <c r="V407" s="238">
        <v>0.0</v>
      </c>
      <c r="W407" s="238">
        <v>0.0</v>
      </c>
      <c r="X407" s="235" t="s">
        <v>628</v>
      </c>
      <c r="Z407" s="244"/>
      <c r="AA407" s="244"/>
      <c r="AB407" s="244"/>
      <c r="AC407" s="235" t="s">
        <v>3972</v>
      </c>
      <c r="AD407" s="235" t="s">
        <v>645</v>
      </c>
      <c r="AE407" s="238">
        <v>679534.0</v>
      </c>
      <c r="AF407" s="235" t="s">
        <v>631</v>
      </c>
      <c r="AG407" s="244"/>
      <c r="AH407" s="244"/>
      <c r="AI407" s="245"/>
      <c r="AJ407" s="245"/>
      <c r="AK407" s="245"/>
      <c r="AL407" s="245"/>
      <c r="AM407" s="244"/>
      <c r="AN407" s="244"/>
      <c r="AO407" s="238">
        <v>0.0</v>
      </c>
      <c r="AP407" s="238">
        <v>0.0</v>
      </c>
      <c r="AQ407" s="235" t="s">
        <v>632</v>
      </c>
      <c r="AR407" s="243">
        <v>3.71E11</v>
      </c>
      <c r="AS407" s="235" t="s">
        <v>667</v>
      </c>
      <c r="AT407" s="235" t="s">
        <v>11</v>
      </c>
      <c r="AU407" s="235" t="s">
        <v>634</v>
      </c>
      <c r="AV407" s="246" t="s">
        <v>635</v>
      </c>
      <c r="AW407" s="242"/>
      <c r="AX407" s="242"/>
      <c r="AY407" s="231"/>
      <c r="AZ407" s="231"/>
      <c r="BA407" s="227"/>
      <c r="BB407" s="231"/>
      <c r="BC407" s="227"/>
      <c r="BD407" s="227"/>
      <c r="BE407" s="227"/>
      <c r="BF407" s="227"/>
    </row>
    <row r="408">
      <c r="A408" s="235" t="s">
        <v>3974</v>
      </c>
      <c r="C408" s="235" t="s">
        <v>3975</v>
      </c>
      <c r="D408" s="235" t="s">
        <v>3976</v>
      </c>
      <c r="E408" s="243">
        <v>6.56E13</v>
      </c>
      <c r="F408" s="245"/>
      <c r="G408" s="235" t="s">
        <v>3977</v>
      </c>
      <c r="H408" s="235" t="s">
        <v>3978</v>
      </c>
      <c r="I408" s="235" t="s">
        <v>3978</v>
      </c>
      <c r="J408" s="235" t="s">
        <v>3979</v>
      </c>
      <c r="K408" s="235" t="s">
        <v>3980</v>
      </c>
      <c r="N408" s="235" t="s">
        <v>1148</v>
      </c>
      <c r="O408" s="235" t="s">
        <v>1149</v>
      </c>
      <c r="P408" s="238">
        <v>1.0</v>
      </c>
      <c r="Q408" s="235" t="s">
        <v>627</v>
      </c>
      <c r="R408" s="238">
        <v>846.62</v>
      </c>
      <c r="S408" s="238">
        <v>149.34</v>
      </c>
      <c r="T408" s="238">
        <v>33.9</v>
      </c>
      <c r="U408" s="238">
        <v>6.1</v>
      </c>
      <c r="V408" s="238">
        <v>0.0</v>
      </c>
      <c r="W408" s="238">
        <v>0.0</v>
      </c>
      <c r="X408" s="235" t="s">
        <v>628</v>
      </c>
      <c r="Z408" s="244"/>
      <c r="AA408" s="244"/>
      <c r="AB408" s="244"/>
      <c r="AC408" s="235" t="s">
        <v>2647</v>
      </c>
      <c r="AD408" s="235" t="s">
        <v>845</v>
      </c>
      <c r="AE408" s="238">
        <v>400615.0</v>
      </c>
      <c r="AF408" s="235" t="s">
        <v>631</v>
      </c>
      <c r="AG408" s="244"/>
      <c r="AH408" s="244"/>
      <c r="AI408" s="245"/>
      <c r="AJ408" s="245"/>
      <c r="AK408" s="245"/>
      <c r="AL408" s="245"/>
      <c r="AM408" s="244"/>
      <c r="AN408" s="244"/>
      <c r="AO408" s="238">
        <v>-16.94</v>
      </c>
      <c r="AP408" s="238">
        <v>-33.9</v>
      </c>
      <c r="AQ408" s="235" t="s">
        <v>632</v>
      </c>
      <c r="AR408" s="243">
        <v>3.71E11</v>
      </c>
      <c r="AS408" s="235" t="s">
        <v>2276</v>
      </c>
      <c r="AT408" s="235" t="s">
        <v>17</v>
      </c>
      <c r="AU408" s="235" t="s">
        <v>634</v>
      </c>
      <c r="AV408" s="246" t="s">
        <v>635</v>
      </c>
      <c r="AW408" s="242"/>
      <c r="AX408" s="242"/>
      <c r="AY408" s="231"/>
      <c r="AZ408" s="231"/>
      <c r="BA408" s="227"/>
      <c r="BB408" s="231"/>
      <c r="BC408" s="227"/>
      <c r="BD408" s="227"/>
      <c r="BE408" s="227"/>
      <c r="BF408" s="227"/>
    </row>
    <row r="409">
      <c r="A409" s="235" t="s">
        <v>3981</v>
      </c>
      <c r="C409" s="235" t="s">
        <v>3982</v>
      </c>
      <c r="D409" s="235" t="s">
        <v>3983</v>
      </c>
      <c r="E409" s="243">
        <v>6.56E13</v>
      </c>
      <c r="F409" s="245"/>
      <c r="G409" s="235" t="s">
        <v>3984</v>
      </c>
      <c r="H409" s="235" t="s">
        <v>3985</v>
      </c>
      <c r="I409" s="235" t="s">
        <v>3985</v>
      </c>
      <c r="J409" s="235" t="s">
        <v>3986</v>
      </c>
      <c r="K409" s="235" t="s">
        <v>3987</v>
      </c>
      <c r="N409" s="235" t="s">
        <v>566</v>
      </c>
      <c r="O409" s="235" t="s">
        <v>1834</v>
      </c>
      <c r="P409" s="238">
        <v>1.0</v>
      </c>
      <c r="Q409" s="235" t="s">
        <v>627</v>
      </c>
      <c r="R409" s="238">
        <v>422.88</v>
      </c>
      <c r="S409" s="238">
        <v>76.12</v>
      </c>
      <c r="T409" s="238">
        <v>33.9</v>
      </c>
      <c r="U409" s="238">
        <v>6.1</v>
      </c>
      <c r="V409" s="238">
        <v>0.0</v>
      </c>
      <c r="W409" s="238">
        <v>0.0</v>
      </c>
      <c r="X409" s="235" t="s">
        <v>628</v>
      </c>
      <c r="Z409" s="244"/>
      <c r="AA409" s="244"/>
      <c r="AB409" s="244"/>
      <c r="AC409" s="235" t="s">
        <v>3824</v>
      </c>
      <c r="AD409" s="235" t="s">
        <v>645</v>
      </c>
      <c r="AE409" s="238">
        <v>695030.0</v>
      </c>
      <c r="AF409" s="235" t="s">
        <v>631</v>
      </c>
      <c r="AG409" s="244"/>
      <c r="AH409" s="244"/>
      <c r="AI409" s="245"/>
      <c r="AJ409" s="245"/>
      <c r="AK409" s="245"/>
      <c r="AL409" s="245"/>
      <c r="AM409" s="244"/>
      <c r="AN409" s="244"/>
      <c r="AO409" s="238">
        <v>0.0</v>
      </c>
      <c r="AP409" s="238">
        <v>-33.9</v>
      </c>
      <c r="AQ409" s="235" t="s">
        <v>632</v>
      </c>
      <c r="AR409" s="243">
        <v>3.71E11</v>
      </c>
      <c r="AS409" s="235" t="s">
        <v>2276</v>
      </c>
      <c r="AT409" s="235" t="s">
        <v>155</v>
      </c>
      <c r="AU409" s="235" t="s">
        <v>634</v>
      </c>
      <c r="AV409" s="246" t="s">
        <v>635</v>
      </c>
      <c r="AW409" s="242"/>
      <c r="AX409" s="242"/>
      <c r="AY409" s="231"/>
      <c r="AZ409" s="231"/>
      <c r="BA409" s="227"/>
      <c r="BB409" s="231"/>
      <c r="BC409" s="227"/>
      <c r="BD409" s="227"/>
      <c r="BE409" s="227"/>
      <c r="BF409" s="227"/>
    </row>
    <row r="410">
      <c r="A410" s="235" t="s">
        <v>3988</v>
      </c>
      <c r="C410" s="235" t="s">
        <v>3989</v>
      </c>
      <c r="D410" s="235" t="s">
        <v>3990</v>
      </c>
      <c r="E410" s="243">
        <v>6.56E13</v>
      </c>
      <c r="F410" s="245"/>
      <c r="G410" s="235" t="s">
        <v>3991</v>
      </c>
      <c r="H410" s="235" t="s">
        <v>3992</v>
      </c>
      <c r="I410" s="235" t="s">
        <v>3992</v>
      </c>
      <c r="J410" s="235" t="s">
        <v>3993</v>
      </c>
      <c r="K410" s="235" t="s">
        <v>3994</v>
      </c>
      <c r="N410" s="235" t="s">
        <v>566</v>
      </c>
      <c r="O410" s="235" t="s">
        <v>1834</v>
      </c>
      <c r="P410" s="238">
        <v>2.0</v>
      </c>
      <c r="Q410" s="235" t="s">
        <v>627</v>
      </c>
      <c r="R410" s="238">
        <v>845.76</v>
      </c>
      <c r="S410" s="238">
        <v>147.68</v>
      </c>
      <c r="T410" s="238">
        <v>0.0</v>
      </c>
      <c r="U410" s="238">
        <v>0.0</v>
      </c>
      <c r="V410" s="238">
        <v>0.0</v>
      </c>
      <c r="W410" s="238">
        <v>0.0</v>
      </c>
      <c r="X410" s="235" t="s">
        <v>628</v>
      </c>
      <c r="Z410" s="244"/>
      <c r="AA410" s="244"/>
      <c r="AB410" s="244"/>
      <c r="AC410" s="235" t="s">
        <v>3995</v>
      </c>
      <c r="AD410" s="235" t="s">
        <v>833</v>
      </c>
      <c r="AE410" s="238">
        <v>534112.0</v>
      </c>
      <c r="AF410" s="235" t="s">
        <v>631</v>
      </c>
      <c r="AG410" s="244"/>
      <c r="AH410" s="244"/>
      <c r="AI410" s="245"/>
      <c r="AJ410" s="245"/>
      <c r="AK410" s="245"/>
      <c r="AL410" s="245"/>
      <c r="AM410" s="244"/>
      <c r="AN410" s="244"/>
      <c r="AO410" s="238">
        <v>-25.38</v>
      </c>
      <c r="AP410" s="238">
        <v>0.0</v>
      </c>
      <c r="AQ410" s="235" t="s">
        <v>632</v>
      </c>
      <c r="AR410" s="243">
        <v>3.71E11</v>
      </c>
      <c r="AS410" s="235" t="s">
        <v>1367</v>
      </c>
      <c r="AT410" s="235" t="s">
        <v>156</v>
      </c>
      <c r="AU410" s="235" t="s">
        <v>634</v>
      </c>
      <c r="AV410" s="246" t="s">
        <v>635</v>
      </c>
      <c r="AW410" s="242"/>
      <c r="AX410" s="242"/>
      <c r="AY410" s="231"/>
      <c r="AZ410" s="231"/>
      <c r="BA410" s="227"/>
      <c r="BB410" s="231"/>
      <c r="BC410" s="227"/>
      <c r="BD410" s="227"/>
      <c r="BE410" s="227"/>
      <c r="BF410" s="227"/>
    </row>
    <row r="411">
      <c r="A411" s="235" t="s">
        <v>3996</v>
      </c>
      <c r="C411" s="235" t="s">
        <v>3997</v>
      </c>
      <c r="D411" s="235" t="s">
        <v>3998</v>
      </c>
      <c r="E411" s="243">
        <v>6.57E13</v>
      </c>
      <c r="F411" s="245"/>
      <c r="G411" s="235" t="s">
        <v>3999</v>
      </c>
      <c r="H411" s="235" t="s">
        <v>4000</v>
      </c>
      <c r="I411" s="235" t="s">
        <v>4001</v>
      </c>
      <c r="J411" s="235" t="s">
        <v>4002</v>
      </c>
      <c r="K411" s="235" t="s">
        <v>4003</v>
      </c>
      <c r="N411" s="235" t="s">
        <v>50</v>
      </c>
      <c r="O411" s="235" t="s">
        <v>367</v>
      </c>
      <c r="P411" s="238">
        <v>1.0</v>
      </c>
      <c r="Q411" s="235" t="s">
        <v>627</v>
      </c>
      <c r="R411" s="238">
        <v>237.14</v>
      </c>
      <c r="S411" s="238">
        <v>11.86</v>
      </c>
      <c r="T411" s="238">
        <v>0.0</v>
      </c>
      <c r="U411" s="238">
        <v>0.0</v>
      </c>
      <c r="V411" s="238">
        <v>0.0</v>
      </c>
      <c r="W411" s="238">
        <v>0.0</v>
      </c>
      <c r="X411" s="235" t="s">
        <v>628</v>
      </c>
      <c r="Z411" s="244"/>
      <c r="AA411" s="244"/>
      <c r="AB411" s="244"/>
      <c r="AC411" s="235" t="s">
        <v>2092</v>
      </c>
      <c r="AD411" s="235" t="s">
        <v>845</v>
      </c>
      <c r="AE411" s="238">
        <v>411057.0</v>
      </c>
      <c r="AF411" s="235" t="s">
        <v>631</v>
      </c>
      <c r="AG411" s="244"/>
      <c r="AH411" s="244"/>
      <c r="AI411" s="245"/>
      <c r="AJ411" s="245"/>
      <c r="AK411" s="245"/>
      <c r="AL411" s="245"/>
      <c r="AM411" s="244"/>
      <c r="AN411" s="244"/>
      <c r="AO411" s="238">
        <v>0.0</v>
      </c>
      <c r="AP411" s="238">
        <v>0.0</v>
      </c>
      <c r="AQ411" s="235" t="s">
        <v>632</v>
      </c>
      <c r="AR411" s="243">
        <v>3.71E11</v>
      </c>
      <c r="AS411" s="235" t="s">
        <v>3284</v>
      </c>
      <c r="AT411" s="235" t="s">
        <v>546</v>
      </c>
      <c r="AU411" s="235" t="s">
        <v>634</v>
      </c>
      <c r="AV411" s="246" t="s">
        <v>635</v>
      </c>
      <c r="AW411" s="242"/>
      <c r="AX411" s="242"/>
      <c r="AY411" s="231"/>
      <c r="AZ411" s="231"/>
      <c r="BA411" s="227"/>
      <c r="BB411" s="231"/>
      <c r="BC411" s="227"/>
      <c r="BD411" s="227"/>
      <c r="BE411" s="227"/>
      <c r="BF411" s="227"/>
    </row>
    <row r="412">
      <c r="A412" s="235" t="s">
        <v>4004</v>
      </c>
      <c r="C412" s="235" t="s">
        <v>4005</v>
      </c>
      <c r="D412" s="235" t="s">
        <v>4006</v>
      </c>
      <c r="E412" s="243">
        <v>6.57E13</v>
      </c>
      <c r="F412" s="245"/>
      <c r="G412" s="235" t="s">
        <v>4007</v>
      </c>
      <c r="H412" s="235" t="s">
        <v>4008</v>
      </c>
      <c r="I412" s="235" t="s">
        <v>4009</v>
      </c>
      <c r="J412" s="235" t="s">
        <v>4010</v>
      </c>
      <c r="K412" s="235" t="s">
        <v>4011</v>
      </c>
      <c r="N412" s="235" t="s">
        <v>962</v>
      </c>
      <c r="O412" s="235" t="s">
        <v>963</v>
      </c>
      <c r="P412" s="238">
        <v>1.0</v>
      </c>
      <c r="Q412" s="235" t="s">
        <v>627</v>
      </c>
      <c r="R412" s="238">
        <v>246.66</v>
      </c>
      <c r="S412" s="238">
        <v>12.34</v>
      </c>
      <c r="T412" s="238">
        <v>0.0</v>
      </c>
      <c r="U412" s="238">
        <v>0.0</v>
      </c>
      <c r="V412" s="238">
        <v>0.0</v>
      </c>
      <c r="W412" s="238">
        <v>0.0</v>
      </c>
      <c r="X412" s="235" t="s">
        <v>628</v>
      </c>
      <c r="Z412" s="244"/>
      <c r="AA412" s="244"/>
      <c r="AB412" s="244"/>
      <c r="AC412" s="235" t="s">
        <v>678</v>
      </c>
      <c r="AD412" s="235" t="s">
        <v>679</v>
      </c>
      <c r="AE412" s="238">
        <v>560064.0</v>
      </c>
      <c r="AF412" s="235" t="s">
        <v>631</v>
      </c>
      <c r="AG412" s="244"/>
      <c r="AH412" s="244"/>
      <c r="AI412" s="245"/>
      <c r="AJ412" s="245"/>
      <c r="AK412" s="245"/>
      <c r="AL412" s="245"/>
      <c r="AM412" s="244"/>
      <c r="AN412" s="244"/>
      <c r="AO412" s="238">
        <v>0.0</v>
      </c>
      <c r="AP412" s="238">
        <v>0.0</v>
      </c>
      <c r="AQ412" s="235" t="s">
        <v>632</v>
      </c>
      <c r="AR412" s="243">
        <v>1.68E11</v>
      </c>
      <c r="AS412" s="235" t="s">
        <v>3964</v>
      </c>
      <c r="AT412" s="235" t="s">
        <v>11</v>
      </c>
      <c r="AU412" s="235" t="s">
        <v>634</v>
      </c>
      <c r="AV412" s="246" t="s">
        <v>635</v>
      </c>
      <c r="AW412" s="242"/>
      <c r="AX412" s="242"/>
      <c r="AY412" s="231"/>
      <c r="AZ412" s="231"/>
      <c r="BA412" s="227"/>
      <c r="BB412" s="231"/>
      <c r="BC412" s="227"/>
      <c r="BD412" s="227"/>
      <c r="BE412" s="227"/>
      <c r="BF412" s="227"/>
    </row>
    <row r="413">
      <c r="A413" s="235" t="s">
        <v>4013</v>
      </c>
      <c r="C413" s="235" t="s">
        <v>4014</v>
      </c>
      <c r="D413" s="235" t="s">
        <v>4015</v>
      </c>
      <c r="E413" s="243">
        <v>6.56E13</v>
      </c>
      <c r="F413" s="245"/>
      <c r="G413" s="235" t="s">
        <v>4016</v>
      </c>
      <c r="H413" s="235" t="s">
        <v>4017</v>
      </c>
      <c r="I413" s="235" t="s">
        <v>4017</v>
      </c>
      <c r="J413" s="235" t="s">
        <v>4018</v>
      </c>
      <c r="K413" s="235" t="s">
        <v>4019</v>
      </c>
      <c r="N413" s="235" t="s">
        <v>127</v>
      </c>
      <c r="O413" s="235" t="s">
        <v>794</v>
      </c>
      <c r="P413" s="238">
        <v>1.0</v>
      </c>
      <c r="Q413" s="235" t="s">
        <v>627</v>
      </c>
      <c r="R413" s="238">
        <v>246.66</v>
      </c>
      <c r="S413" s="238">
        <v>12.34</v>
      </c>
      <c r="T413" s="238">
        <v>0.0</v>
      </c>
      <c r="U413" s="238">
        <v>0.0</v>
      </c>
      <c r="V413" s="238">
        <v>0.0</v>
      </c>
      <c r="W413" s="238">
        <v>0.0</v>
      </c>
      <c r="X413" s="235" t="s">
        <v>628</v>
      </c>
      <c r="Z413" s="244"/>
      <c r="AA413" s="244"/>
      <c r="AB413" s="244"/>
      <c r="AC413" s="235" t="s">
        <v>687</v>
      </c>
      <c r="AD413" s="235" t="s">
        <v>666</v>
      </c>
      <c r="AE413" s="238">
        <v>600049.0</v>
      </c>
      <c r="AF413" s="235" t="s">
        <v>631</v>
      </c>
      <c r="AG413" s="244"/>
      <c r="AH413" s="244"/>
      <c r="AI413" s="245"/>
      <c r="AJ413" s="245"/>
      <c r="AK413" s="245"/>
      <c r="AL413" s="245"/>
      <c r="AM413" s="244"/>
      <c r="AN413" s="244"/>
      <c r="AO413" s="238">
        <v>0.0</v>
      </c>
      <c r="AP413" s="238">
        <v>0.0</v>
      </c>
      <c r="AQ413" s="235" t="s">
        <v>632</v>
      </c>
      <c r="AR413" s="243">
        <v>1.68E11</v>
      </c>
      <c r="AS413" s="235" t="s">
        <v>3964</v>
      </c>
      <c r="AT413" s="235" t="s">
        <v>156</v>
      </c>
      <c r="AU413" s="235" t="s">
        <v>634</v>
      </c>
      <c r="AV413" s="246" t="s">
        <v>635</v>
      </c>
      <c r="AW413" s="242"/>
      <c r="AX413" s="242"/>
      <c r="AY413" s="231"/>
      <c r="AZ413" s="231"/>
      <c r="BA413" s="227"/>
      <c r="BB413" s="231"/>
      <c r="BC413" s="227"/>
      <c r="BD413" s="227"/>
      <c r="BE413" s="227"/>
      <c r="BF413" s="227"/>
    </row>
    <row r="414">
      <c r="A414" s="235" t="s">
        <v>4020</v>
      </c>
      <c r="C414" s="235" t="s">
        <v>4021</v>
      </c>
      <c r="D414" s="235" t="s">
        <v>4022</v>
      </c>
      <c r="E414" s="243">
        <v>6.56E13</v>
      </c>
      <c r="F414" s="245"/>
      <c r="G414" s="235" t="s">
        <v>4023</v>
      </c>
      <c r="H414" s="235" t="s">
        <v>4024</v>
      </c>
      <c r="I414" s="235" t="s">
        <v>4024</v>
      </c>
      <c r="J414" s="235" t="s">
        <v>4025</v>
      </c>
      <c r="K414" s="235" t="s">
        <v>4026</v>
      </c>
      <c r="N414" s="235" t="s">
        <v>68</v>
      </c>
      <c r="O414" s="235" t="s">
        <v>208</v>
      </c>
      <c r="P414" s="238">
        <v>1.0</v>
      </c>
      <c r="Q414" s="235" t="s">
        <v>627</v>
      </c>
      <c r="R414" s="238">
        <v>242.86</v>
      </c>
      <c r="S414" s="238">
        <v>11.9</v>
      </c>
      <c r="T414" s="238">
        <v>38.1</v>
      </c>
      <c r="U414" s="238">
        <v>1.9</v>
      </c>
      <c r="V414" s="238">
        <v>0.0</v>
      </c>
      <c r="W414" s="238">
        <v>0.0</v>
      </c>
      <c r="X414" s="235" t="s">
        <v>628</v>
      </c>
      <c r="Z414" s="244"/>
      <c r="AA414" s="244"/>
      <c r="AB414" s="244"/>
      <c r="AC414" s="235" t="s">
        <v>687</v>
      </c>
      <c r="AD414" s="235" t="s">
        <v>666</v>
      </c>
      <c r="AE414" s="238">
        <v>600077.0</v>
      </c>
      <c r="AF414" s="235" t="s">
        <v>631</v>
      </c>
      <c r="AG414" s="244"/>
      <c r="AH414" s="244"/>
      <c r="AI414" s="245"/>
      <c r="AJ414" s="245"/>
      <c r="AK414" s="245"/>
      <c r="AL414" s="245"/>
      <c r="AM414" s="244"/>
      <c r="AN414" s="244"/>
      <c r="AO414" s="238">
        <v>-4.86</v>
      </c>
      <c r="AP414" s="238">
        <v>-38.1</v>
      </c>
      <c r="AQ414" s="235" t="s">
        <v>632</v>
      </c>
      <c r="AR414" s="243">
        <v>3.71E11</v>
      </c>
      <c r="AS414" s="235" t="s">
        <v>3284</v>
      </c>
      <c r="AT414" s="235" t="s">
        <v>156</v>
      </c>
      <c r="AU414" s="235" t="s">
        <v>634</v>
      </c>
      <c r="AV414" s="246" t="s">
        <v>635</v>
      </c>
      <c r="AW414" s="242"/>
      <c r="AX414" s="242"/>
      <c r="AY414" s="231"/>
      <c r="AZ414" s="231"/>
      <c r="BA414" s="227"/>
      <c r="BB414" s="231"/>
      <c r="BC414" s="227"/>
      <c r="BD414" s="227"/>
      <c r="BE414" s="227"/>
      <c r="BF414" s="227"/>
    </row>
    <row r="415">
      <c r="A415" s="235" t="s">
        <v>4027</v>
      </c>
      <c r="C415" s="235" t="s">
        <v>4028</v>
      </c>
      <c r="D415" s="235" t="s">
        <v>4029</v>
      </c>
      <c r="E415" s="243">
        <v>6.56E13</v>
      </c>
      <c r="F415" s="245"/>
      <c r="G415" s="235" t="s">
        <v>4030</v>
      </c>
      <c r="H415" s="235" t="s">
        <v>4031</v>
      </c>
      <c r="I415" s="235" t="s">
        <v>4031</v>
      </c>
      <c r="J415" s="235" t="s">
        <v>4032</v>
      </c>
      <c r="K415" s="235" t="s">
        <v>4033</v>
      </c>
      <c r="N415" s="235" t="s">
        <v>92</v>
      </c>
      <c r="O415" s="235" t="s">
        <v>248</v>
      </c>
      <c r="P415" s="238">
        <v>1.0</v>
      </c>
      <c r="Q415" s="235" t="s">
        <v>627</v>
      </c>
      <c r="R415" s="238">
        <v>246.66</v>
      </c>
      <c r="S415" s="238">
        <v>12.34</v>
      </c>
      <c r="T415" s="238">
        <v>0.0</v>
      </c>
      <c r="U415" s="238">
        <v>0.0</v>
      </c>
      <c r="V415" s="238">
        <v>0.0</v>
      </c>
      <c r="W415" s="238">
        <v>0.0</v>
      </c>
      <c r="X415" s="235" t="s">
        <v>628</v>
      </c>
      <c r="Z415" s="244"/>
      <c r="AA415" s="244"/>
      <c r="AB415" s="244"/>
      <c r="AC415" s="235" t="s">
        <v>678</v>
      </c>
      <c r="AD415" s="235" t="s">
        <v>679</v>
      </c>
      <c r="AE415" s="238">
        <v>560085.0</v>
      </c>
      <c r="AF415" s="235" t="s">
        <v>631</v>
      </c>
      <c r="AG415" s="244"/>
      <c r="AH415" s="244"/>
      <c r="AI415" s="245"/>
      <c r="AJ415" s="245"/>
      <c r="AK415" s="245"/>
      <c r="AL415" s="245"/>
      <c r="AM415" s="244"/>
      <c r="AN415" s="244"/>
      <c r="AO415" s="238">
        <v>0.0</v>
      </c>
      <c r="AP415" s="238">
        <v>0.0</v>
      </c>
      <c r="AQ415" s="235" t="s">
        <v>632</v>
      </c>
      <c r="AR415" s="243">
        <v>1.68E11</v>
      </c>
      <c r="AS415" s="235" t="s">
        <v>3964</v>
      </c>
      <c r="AT415" s="235" t="s">
        <v>9</v>
      </c>
      <c r="AU415" s="235" t="s">
        <v>634</v>
      </c>
      <c r="AV415" s="246" t="s">
        <v>635</v>
      </c>
      <c r="AW415" s="242"/>
      <c r="AX415" s="242"/>
      <c r="AY415" s="231"/>
      <c r="AZ415" s="231"/>
      <c r="BA415" s="227"/>
      <c r="BB415" s="231"/>
      <c r="BC415" s="227"/>
      <c r="BD415" s="227"/>
      <c r="BE415" s="227"/>
      <c r="BF415" s="227"/>
    </row>
    <row r="416">
      <c r="A416" s="235" t="s">
        <v>4034</v>
      </c>
      <c r="C416" s="235" t="s">
        <v>4035</v>
      </c>
      <c r="D416" s="235" t="s">
        <v>4036</v>
      </c>
      <c r="E416" s="243">
        <v>6.56E13</v>
      </c>
      <c r="F416" s="245"/>
      <c r="G416" s="235" t="s">
        <v>4037</v>
      </c>
      <c r="H416" s="235" t="s">
        <v>4038</v>
      </c>
      <c r="I416" s="235" t="s">
        <v>4038</v>
      </c>
      <c r="J416" s="235" t="s">
        <v>4039</v>
      </c>
      <c r="K416" s="235" t="s">
        <v>4040</v>
      </c>
      <c r="N416" s="235" t="s">
        <v>30</v>
      </c>
      <c r="O416" s="235" t="s">
        <v>692</v>
      </c>
      <c r="P416" s="238">
        <v>1.0</v>
      </c>
      <c r="Q416" s="235" t="s">
        <v>627</v>
      </c>
      <c r="R416" s="238">
        <v>446.66</v>
      </c>
      <c r="S416" s="238">
        <v>22.34</v>
      </c>
      <c r="T416" s="238">
        <v>2.01</v>
      </c>
      <c r="U416" s="238">
        <v>0.1</v>
      </c>
      <c r="V416" s="238">
        <v>0.0</v>
      </c>
      <c r="W416" s="238">
        <v>0.0</v>
      </c>
      <c r="X416" s="235" t="s">
        <v>628</v>
      </c>
      <c r="Z416" s="244"/>
      <c r="AA416" s="244"/>
      <c r="AB416" s="244"/>
      <c r="AC416" s="235" t="s">
        <v>1456</v>
      </c>
      <c r="AD416" s="235" t="s">
        <v>928</v>
      </c>
      <c r="AE416" s="238">
        <v>122001.0</v>
      </c>
      <c r="AF416" s="235" t="s">
        <v>631</v>
      </c>
      <c r="AG416" s="244"/>
      <c r="AH416" s="244"/>
      <c r="AI416" s="245"/>
      <c r="AJ416" s="245"/>
      <c r="AK416" s="245"/>
      <c r="AL416" s="245"/>
      <c r="AM416" s="244"/>
      <c r="AN416" s="244"/>
      <c r="AO416" s="238">
        <v>0.0</v>
      </c>
      <c r="AP416" s="238">
        <v>-2.01</v>
      </c>
      <c r="AQ416" s="235" t="s">
        <v>632</v>
      </c>
      <c r="AR416" s="243">
        <v>1.68E11</v>
      </c>
      <c r="AS416" s="235" t="s">
        <v>3964</v>
      </c>
      <c r="AT416" s="235" t="s">
        <v>13</v>
      </c>
      <c r="AU416" s="235" t="s">
        <v>634</v>
      </c>
      <c r="AV416" s="246" t="s">
        <v>635</v>
      </c>
      <c r="AW416" s="242"/>
      <c r="AX416" s="242"/>
      <c r="AY416" s="231"/>
      <c r="AZ416" s="231"/>
      <c r="BA416" s="227"/>
      <c r="BB416" s="231"/>
      <c r="BC416" s="227"/>
      <c r="BD416" s="227"/>
      <c r="BE416" s="227"/>
      <c r="BF416" s="227"/>
    </row>
    <row r="417">
      <c r="A417" s="235" t="s">
        <v>4041</v>
      </c>
      <c r="C417" s="235" t="s">
        <v>4042</v>
      </c>
      <c r="D417" s="235" t="s">
        <v>4043</v>
      </c>
      <c r="E417" s="243">
        <v>6.56E13</v>
      </c>
      <c r="F417" s="245"/>
      <c r="G417" s="235" t="s">
        <v>4044</v>
      </c>
      <c r="H417" s="235" t="s">
        <v>4045</v>
      </c>
      <c r="I417" s="235" t="s">
        <v>4045</v>
      </c>
      <c r="J417" s="235" t="s">
        <v>4046</v>
      </c>
      <c r="K417" s="235" t="s">
        <v>4047</v>
      </c>
      <c r="N417" s="235" t="s">
        <v>144</v>
      </c>
      <c r="O417" s="235" t="s">
        <v>232</v>
      </c>
      <c r="P417" s="238">
        <v>1.0</v>
      </c>
      <c r="Q417" s="235" t="s">
        <v>627</v>
      </c>
      <c r="R417" s="238">
        <v>656.19</v>
      </c>
      <c r="S417" s="238">
        <v>32.81</v>
      </c>
      <c r="T417" s="238">
        <v>0.0</v>
      </c>
      <c r="U417" s="238">
        <v>0.0</v>
      </c>
      <c r="V417" s="238">
        <v>0.0</v>
      </c>
      <c r="W417" s="238">
        <v>0.0</v>
      </c>
      <c r="X417" s="235" t="s">
        <v>628</v>
      </c>
      <c r="Z417" s="244"/>
      <c r="AA417" s="244"/>
      <c r="AB417" s="244"/>
      <c r="AC417" s="235" t="s">
        <v>795</v>
      </c>
      <c r="AD417" s="235" t="s">
        <v>796</v>
      </c>
      <c r="AE417" s="238">
        <v>110048.0</v>
      </c>
      <c r="AF417" s="235" t="s">
        <v>631</v>
      </c>
      <c r="AG417" s="244"/>
      <c r="AH417" s="244"/>
      <c r="AI417" s="245"/>
      <c r="AJ417" s="245"/>
      <c r="AK417" s="245"/>
      <c r="AL417" s="245"/>
      <c r="AM417" s="244"/>
      <c r="AN417" s="244"/>
      <c r="AO417" s="238">
        <v>0.0</v>
      </c>
      <c r="AP417" s="238">
        <v>0.0</v>
      </c>
      <c r="AQ417" s="235" t="s">
        <v>632</v>
      </c>
      <c r="AR417" s="243">
        <v>1.68E11</v>
      </c>
      <c r="AS417" s="235" t="s">
        <v>3964</v>
      </c>
      <c r="AT417" s="235" t="s">
        <v>14</v>
      </c>
      <c r="AU417" s="235" t="s">
        <v>634</v>
      </c>
      <c r="AV417" s="246" t="s">
        <v>635</v>
      </c>
      <c r="AW417" s="242"/>
      <c r="AX417" s="242"/>
      <c r="AY417" s="231"/>
      <c r="AZ417" s="231"/>
      <c r="BA417" s="227"/>
      <c r="BB417" s="231"/>
      <c r="BC417" s="227"/>
      <c r="BD417" s="227"/>
      <c r="BE417" s="227"/>
      <c r="BF417" s="227"/>
    </row>
    <row r="418">
      <c r="A418" s="235" t="s">
        <v>4049</v>
      </c>
      <c r="C418" s="235" t="s">
        <v>4050</v>
      </c>
      <c r="D418" s="235" t="s">
        <v>4051</v>
      </c>
      <c r="E418" s="243">
        <v>6.56E13</v>
      </c>
      <c r="F418" s="245"/>
      <c r="G418" s="235" t="s">
        <v>4052</v>
      </c>
      <c r="H418" s="235" t="s">
        <v>4053</v>
      </c>
      <c r="I418" s="235" t="s">
        <v>4053</v>
      </c>
      <c r="J418" s="235" t="s">
        <v>4054</v>
      </c>
      <c r="K418" s="235" t="s">
        <v>4055</v>
      </c>
      <c r="N418" s="235" t="s">
        <v>541</v>
      </c>
      <c r="O418" s="235" t="s">
        <v>664</v>
      </c>
      <c r="P418" s="238">
        <v>2.0</v>
      </c>
      <c r="Q418" s="235" t="s">
        <v>627</v>
      </c>
      <c r="R418" s="238">
        <v>1337.28</v>
      </c>
      <c r="S418" s="238">
        <v>233.5</v>
      </c>
      <c r="T418" s="238">
        <v>0.0</v>
      </c>
      <c r="U418" s="238">
        <v>0.0</v>
      </c>
      <c r="V418" s="238">
        <v>0.0</v>
      </c>
      <c r="W418" s="238">
        <v>0.0</v>
      </c>
      <c r="X418" s="235" t="s">
        <v>628</v>
      </c>
      <c r="Z418" s="244"/>
      <c r="AA418" s="244"/>
      <c r="AB418" s="244"/>
      <c r="AC418" s="235" t="s">
        <v>3374</v>
      </c>
      <c r="AD418" s="235" t="s">
        <v>645</v>
      </c>
      <c r="AE418" s="238">
        <v>695010.0</v>
      </c>
      <c r="AF418" s="235" t="s">
        <v>631</v>
      </c>
      <c r="AG418" s="244"/>
      <c r="AH418" s="244"/>
      <c r="AI418" s="245"/>
      <c r="AJ418" s="245"/>
      <c r="AK418" s="245"/>
      <c r="AL418" s="245"/>
      <c r="AM418" s="244"/>
      <c r="AN418" s="244"/>
      <c r="AO418" s="238">
        <v>-40.12</v>
      </c>
      <c r="AP418" s="238">
        <v>0.0</v>
      </c>
      <c r="AQ418" s="235" t="s">
        <v>632</v>
      </c>
      <c r="AR418" s="243">
        <v>3.71E11</v>
      </c>
      <c r="AS418" s="235" t="s">
        <v>2276</v>
      </c>
      <c r="AT418" s="235" t="s">
        <v>155</v>
      </c>
      <c r="AU418" s="235" t="s">
        <v>634</v>
      </c>
      <c r="AV418" s="246" t="s">
        <v>635</v>
      </c>
      <c r="AW418" s="242"/>
      <c r="AX418" s="242"/>
      <c r="AY418" s="231"/>
      <c r="AZ418" s="231"/>
      <c r="BA418" s="227"/>
      <c r="BB418" s="231"/>
      <c r="BC418" s="227"/>
      <c r="BD418" s="227"/>
      <c r="BE418" s="227"/>
      <c r="BF418" s="227"/>
    </row>
    <row r="419">
      <c r="A419" s="235" t="s">
        <v>4056</v>
      </c>
      <c r="C419" s="235" t="s">
        <v>4057</v>
      </c>
      <c r="D419" s="235" t="s">
        <v>4058</v>
      </c>
      <c r="E419" s="243">
        <v>6.56E13</v>
      </c>
      <c r="F419" s="245"/>
      <c r="G419" s="235" t="s">
        <v>4059</v>
      </c>
      <c r="H419" s="235" t="s">
        <v>4060</v>
      </c>
      <c r="I419" s="235" t="s">
        <v>4060</v>
      </c>
      <c r="J419" s="235" t="s">
        <v>4061</v>
      </c>
      <c r="K419" s="235" t="s">
        <v>4062</v>
      </c>
      <c r="N419" s="235" t="s">
        <v>82</v>
      </c>
      <c r="O419" s="235" t="s">
        <v>889</v>
      </c>
      <c r="P419" s="238">
        <v>1.0</v>
      </c>
      <c r="Q419" s="235" t="s">
        <v>627</v>
      </c>
      <c r="R419" s="238">
        <v>246.66</v>
      </c>
      <c r="S419" s="238">
        <v>12.34</v>
      </c>
      <c r="T419" s="238">
        <v>38.1</v>
      </c>
      <c r="U419" s="238">
        <v>1.9</v>
      </c>
      <c r="V419" s="238">
        <v>0.0</v>
      </c>
      <c r="W419" s="238">
        <v>0.0</v>
      </c>
      <c r="X419" s="235" t="s">
        <v>628</v>
      </c>
      <c r="Z419" s="244"/>
      <c r="AA419" s="244"/>
      <c r="AB419" s="244"/>
      <c r="AC419" s="235" t="s">
        <v>4063</v>
      </c>
      <c r="AD419" s="235" t="s">
        <v>679</v>
      </c>
      <c r="AE419" s="238">
        <v>583232.0</v>
      </c>
      <c r="AF419" s="235" t="s">
        <v>631</v>
      </c>
      <c r="AG419" s="244"/>
      <c r="AH419" s="244"/>
      <c r="AI419" s="245"/>
      <c r="AJ419" s="245"/>
      <c r="AK419" s="245"/>
      <c r="AL419" s="245"/>
      <c r="AM419" s="244"/>
      <c r="AN419" s="244"/>
      <c r="AO419" s="238">
        <v>0.0</v>
      </c>
      <c r="AP419" s="238">
        <v>-38.1</v>
      </c>
      <c r="AQ419" s="235" t="s">
        <v>1328</v>
      </c>
      <c r="AR419" s="243">
        <v>1.34E13</v>
      </c>
      <c r="AS419" s="235" t="s">
        <v>656</v>
      </c>
      <c r="AT419" s="235" t="s">
        <v>9</v>
      </c>
      <c r="AU419" s="235" t="s">
        <v>634</v>
      </c>
      <c r="AV419" s="246" t="s">
        <v>635</v>
      </c>
      <c r="AW419" s="242"/>
      <c r="AX419" s="242"/>
      <c r="AY419" s="231"/>
      <c r="AZ419" s="231"/>
      <c r="BA419" s="227"/>
      <c r="BB419" s="231"/>
      <c r="BC419" s="227"/>
      <c r="BD419" s="227"/>
      <c r="BE419" s="227"/>
      <c r="BF419" s="227"/>
    </row>
    <row r="420">
      <c r="A420" s="235" t="s">
        <v>4064</v>
      </c>
      <c r="C420" s="235" t="s">
        <v>4065</v>
      </c>
      <c r="D420" s="235" t="s">
        <v>4066</v>
      </c>
      <c r="E420" s="243">
        <v>6.56E13</v>
      </c>
      <c r="F420" s="245"/>
      <c r="G420" s="235" t="s">
        <v>4067</v>
      </c>
      <c r="H420" s="235" t="s">
        <v>4068</v>
      </c>
      <c r="I420" s="235" t="s">
        <v>4068</v>
      </c>
      <c r="J420" s="235" t="s">
        <v>4069</v>
      </c>
      <c r="K420" s="235" t="s">
        <v>4070</v>
      </c>
      <c r="N420" s="235" t="s">
        <v>145</v>
      </c>
      <c r="O420" s="235" t="s">
        <v>370</v>
      </c>
      <c r="P420" s="238">
        <v>1.0</v>
      </c>
      <c r="Q420" s="235" t="s">
        <v>627</v>
      </c>
      <c r="R420" s="238">
        <v>1522.86</v>
      </c>
      <c r="S420" s="238">
        <v>76.14</v>
      </c>
      <c r="T420" s="238">
        <v>6.03</v>
      </c>
      <c r="U420" s="238">
        <v>0.3</v>
      </c>
      <c r="V420" s="238">
        <v>0.0</v>
      </c>
      <c r="W420" s="238">
        <v>0.0</v>
      </c>
      <c r="X420" s="235" t="s">
        <v>628</v>
      </c>
      <c r="Z420" s="244"/>
      <c r="AA420" s="244"/>
      <c r="AB420" s="244"/>
      <c r="AC420" s="235" t="s">
        <v>4071</v>
      </c>
      <c r="AD420" s="235" t="s">
        <v>928</v>
      </c>
      <c r="AE420" s="238">
        <v>122002.0</v>
      </c>
      <c r="AF420" s="235" t="s">
        <v>631</v>
      </c>
      <c r="AG420" s="244"/>
      <c r="AH420" s="244"/>
      <c r="AI420" s="245"/>
      <c r="AJ420" s="245"/>
      <c r="AK420" s="245"/>
      <c r="AL420" s="245"/>
      <c r="AM420" s="244"/>
      <c r="AN420" s="244"/>
      <c r="AO420" s="238">
        <v>0.0</v>
      </c>
      <c r="AP420" s="238">
        <v>-6.03</v>
      </c>
      <c r="AQ420" s="235" t="s">
        <v>632</v>
      </c>
      <c r="AR420" s="243">
        <v>1.68E11</v>
      </c>
      <c r="AS420" s="235" t="s">
        <v>3964</v>
      </c>
      <c r="AT420" s="235" t="s">
        <v>533</v>
      </c>
      <c r="AU420" s="235" t="s">
        <v>634</v>
      </c>
      <c r="AV420" s="246" t="s">
        <v>635</v>
      </c>
      <c r="AW420" s="242"/>
      <c r="AX420" s="242"/>
      <c r="AY420" s="231"/>
      <c r="AZ420" s="231"/>
      <c r="BA420" s="227"/>
      <c r="BB420" s="231"/>
      <c r="BC420" s="227"/>
      <c r="BD420" s="227"/>
      <c r="BE420" s="227"/>
      <c r="BF420" s="227"/>
    </row>
    <row r="421">
      <c r="A421" s="235" t="s">
        <v>4072</v>
      </c>
      <c r="C421" s="235" t="s">
        <v>4073</v>
      </c>
      <c r="D421" s="235" t="s">
        <v>4074</v>
      </c>
      <c r="E421" s="243">
        <v>6.57E13</v>
      </c>
      <c r="F421" s="245"/>
      <c r="G421" s="235" t="s">
        <v>4075</v>
      </c>
      <c r="H421" s="235" t="s">
        <v>4076</v>
      </c>
      <c r="I421" s="235" t="s">
        <v>4076</v>
      </c>
      <c r="J421" s="235" t="s">
        <v>4077</v>
      </c>
      <c r="K421" s="235" t="s">
        <v>4078</v>
      </c>
      <c r="N421" s="235" t="s">
        <v>68</v>
      </c>
      <c r="O421" s="235" t="s">
        <v>208</v>
      </c>
      <c r="P421" s="238">
        <v>1.0</v>
      </c>
      <c r="Q421" s="235" t="s">
        <v>627</v>
      </c>
      <c r="R421" s="238">
        <v>242.86</v>
      </c>
      <c r="S421" s="238">
        <v>12.14</v>
      </c>
      <c r="T421" s="238">
        <v>94.28</v>
      </c>
      <c r="U421" s="238">
        <v>4.72</v>
      </c>
      <c r="V421" s="238">
        <v>0.0</v>
      </c>
      <c r="W421" s="238">
        <v>0.0</v>
      </c>
      <c r="X421" s="235" t="s">
        <v>628</v>
      </c>
      <c r="Z421" s="244"/>
      <c r="AA421" s="244"/>
      <c r="AB421" s="244"/>
      <c r="AC421" s="235" t="s">
        <v>1961</v>
      </c>
      <c r="AD421" s="235" t="s">
        <v>845</v>
      </c>
      <c r="AE421" s="238">
        <v>411034.0</v>
      </c>
      <c r="AF421" s="235" t="s">
        <v>631</v>
      </c>
      <c r="AG421" s="244"/>
      <c r="AH421" s="244"/>
      <c r="AI421" s="245"/>
      <c r="AJ421" s="245"/>
      <c r="AK421" s="245"/>
      <c r="AL421" s="245"/>
      <c r="AM421" s="244"/>
      <c r="AN421" s="244"/>
      <c r="AO421" s="238">
        <v>0.0</v>
      </c>
      <c r="AP421" s="238">
        <v>0.0</v>
      </c>
      <c r="AQ421" s="235" t="s">
        <v>632</v>
      </c>
      <c r="AR421" s="243">
        <v>1.68E11</v>
      </c>
      <c r="AS421" s="235" t="s">
        <v>3284</v>
      </c>
      <c r="AT421" s="235" t="s">
        <v>16</v>
      </c>
      <c r="AU421" s="235" t="s">
        <v>634</v>
      </c>
      <c r="AV421" s="246" t="s">
        <v>635</v>
      </c>
      <c r="AW421" s="242"/>
      <c r="AX421" s="242"/>
      <c r="AY421" s="231"/>
      <c r="AZ421" s="231"/>
      <c r="BA421" s="227"/>
      <c r="BB421" s="231"/>
      <c r="BC421" s="227"/>
      <c r="BD421" s="227"/>
      <c r="BE421" s="227"/>
      <c r="BF421" s="227"/>
    </row>
    <row r="422">
      <c r="A422" s="235" t="s">
        <v>4080</v>
      </c>
      <c r="C422" s="235" t="s">
        <v>4081</v>
      </c>
      <c r="D422" s="235" t="s">
        <v>4082</v>
      </c>
      <c r="E422" s="243">
        <v>6.57E13</v>
      </c>
      <c r="F422" s="245"/>
      <c r="G422" s="235" t="s">
        <v>4083</v>
      </c>
      <c r="H422" s="235" t="s">
        <v>4084</v>
      </c>
      <c r="I422" s="235" t="s">
        <v>4084</v>
      </c>
      <c r="J422" s="235" t="s">
        <v>4085</v>
      </c>
      <c r="K422" s="235" t="s">
        <v>4086</v>
      </c>
      <c r="N422" s="235" t="s">
        <v>113</v>
      </c>
      <c r="O422" s="235" t="s">
        <v>452</v>
      </c>
      <c r="P422" s="238">
        <v>1.0</v>
      </c>
      <c r="Q422" s="235" t="s">
        <v>627</v>
      </c>
      <c r="R422" s="238">
        <v>246.67</v>
      </c>
      <c r="S422" s="238">
        <v>12.33</v>
      </c>
      <c r="T422" s="238">
        <v>0.0</v>
      </c>
      <c r="U422" s="238">
        <v>0.0</v>
      </c>
      <c r="V422" s="238">
        <v>0.0</v>
      </c>
      <c r="W422" s="238">
        <v>0.0</v>
      </c>
      <c r="X422" s="235" t="s">
        <v>628</v>
      </c>
      <c r="Z422" s="244"/>
      <c r="AA422" s="244"/>
      <c r="AB422" s="244"/>
      <c r="AC422" s="235" t="s">
        <v>629</v>
      </c>
      <c r="AD422" s="235" t="s">
        <v>630</v>
      </c>
      <c r="AE422" s="238">
        <v>201304.0</v>
      </c>
      <c r="AF422" s="235" t="s">
        <v>631</v>
      </c>
      <c r="AG422" s="244"/>
      <c r="AH422" s="244"/>
      <c r="AI422" s="245"/>
      <c r="AJ422" s="245"/>
      <c r="AK422" s="245"/>
      <c r="AL422" s="245"/>
      <c r="AM422" s="244"/>
      <c r="AN422" s="244"/>
      <c r="AO422" s="238">
        <v>0.0</v>
      </c>
      <c r="AP422" s="238">
        <v>0.0</v>
      </c>
      <c r="AQ422" s="235" t="s">
        <v>632</v>
      </c>
      <c r="AR422" s="243">
        <v>1.68E11</v>
      </c>
      <c r="AS422" s="235" t="s">
        <v>3964</v>
      </c>
      <c r="AT422" s="235" t="s">
        <v>14</v>
      </c>
      <c r="AU422" s="235" t="s">
        <v>634</v>
      </c>
      <c r="AV422" s="246" t="s">
        <v>635</v>
      </c>
      <c r="AW422" s="242"/>
      <c r="AX422" s="242"/>
      <c r="AY422" s="231"/>
      <c r="AZ422" s="231"/>
      <c r="BA422" s="227"/>
      <c r="BB422" s="231"/>
      <c r="BC422" s="227"/>
      <c r="BD422" s="227"/>
      <c r="BE422" s="227"/>
      <c r="BF422" s="227"/>
    </row>
    <row r="423">
      <c r="A423" s="235" t="s">
        <v>4087</v>
      </c>
      <c r="C423" s="235" t="s">
        <v>4088</v>
      </c>
      <c r="D423" s="235" t="s">
        <v>4089</v>
      </c>
      <c r="E423" s="243">
        <v>6.56E13</v>
      </c>
      <c r="F423" s="245"/>
      <c r="G423" s="235" t="s">
        <v>4090</v>
      </c>
      <c r="H423" s="235" t="s">
        <v>4091</v>
      </c>
      <c r="I423" s="235" t="s">
        <v>4091</v>
      </c>
      <c r="J423" s="235" t="s">
        <v>4092</v>
      </c>
      <c r="K423" s="235" t="s">
        <v>4093</v>
      </c>
      <c r="N423" s="235" t="s">
        <v>58</v>
      </c>
      <c r="O423" s="235" t="s">
        <v>349</v>
      </c>
      <c r="P423" s="238">
        <v>1.0</v>
      </c>
      <c r="Q423" s="235" t="s">
        <v>627</v>
      </c>
      <c r="R423" s="238">
        <v>627.62</v>
      </c>
      <c r="S423" s="238">
        <v>31.38</v>
      </c>
      <c r="T423" s="238">
        <v>38.1</v>
      </c>
      <c r="U423" s="238">
        <v>1.9</v>
      </c>
      <c r="V423" s="238">
        <v>0.0</v>
      </c>
      <c r="W423" s="238">
        <v>0.0</v>
      </c>
      <c r="X423" s="235" t="s">
        <v>628</v>
      </c>
      <c r="Z423" s="244"/>
      <c r="AA423" s="244"/>
      <c r="AB423" s="244"/>
      <c r="AC423" s="235" t="s">
        <v>678</v>
      </c>
      <c r="AD423" s="235" t="s">
        <v>679</v>
      </c>
      <c r="AE423" s="238">
        <v>560038.0</v>
      </c>
      <c r="AF423" s="235" t="s">
        <v>631</v>
      </c>
      <c r="AG423" s="244"/>
      <c r="AH423" s="244"/>
      <c r="AI423" s="245"/>
      <c r="AJ423" s="245"/>
      <c r="AK423" s="245"/>
      <c r="AL423" s="245"/>
      <c r="AM423" s="244"/>
      <c r="AN423" s="244"/>
      <c r="AO423" s="238">
        <v>0.0</v>
      </c>
      <c r="AP423" s="238">
        <v>-38.1</v>
      </c>
      <c r="AQ423" s="235" t="s">
        <v>632</v>
      </c>
      <c r="AR423" s="243">
        <v>3.71E11</v>
      </c>
      <c r="AS423" s="235" t="s">
        <v>3284</v>
      </c>
      <c r="AT423" s="235" t="s">
        <v>11</v>
      </c>
      <c r="AU423" s="235" t="s">
        <v>634</v>
      </c>
      <c r="AV423" s="246" t="s">
        <v>635</v>
      </c>
      <c r="AW423" s="242"/>
      <c r="AX423" s="242"/>
      <c r="AY423" s="231"/>
      <c r="AZ423" s="231"/>
      <c r="BA423" s="227"/>
      <c r="BB423" s="231"/>
      <c r="BC423" s="227"/>
      <c r="BD423" s="227"/>
      <c r="BE423" s="227"/>
      <c r="BF423" s="227"/>
    </row>
    <row r="424">
      <c r="A424" s="235" t="s">
        <v>4094</v>
      </c>
      <c r="C424" s="235" t="s">
        <v>4095</v>
      </c>
      <c r="D424" s="235" t="s">
        <v>4096</v>
      </c>
      <c r="E424" s="243">
        <v>6.57E13</v>
      </c>
      <c r="F424" s="245"/>
      <c r="G424" s="235" t="s">
        <v>4097</v>
      </c>
      <c r="H424" s="235" t="s">
        <v>4098</v>
      </c>
      <c r="I424" s="235" t="s">
        <v>4098</v>
      </c>
      <c r="J424" s="235" t="s">
        <v>4099</v>
      </c>
      <c r="K424" s="235" t="s">
        <v>4100</v>
      </c>
      <c r="N424" s="235" t="s">
        <v>10</v>
      </c>
      <c r="O424" s="235" t="s">
        <v>936</v>
      </c>
      <c r="P424" s="238">
        <v>1.0</v>
      </c>
      <c r="Q424" s="235" t="s">
        <v>627</v>
      </c>
      <c r="R424" s="238">
        <v>265.71</v>
      </c>
      <c r="S424" s="238">
        <v>13.29</v>
      </c>
      <c r="T424" s="238">
        <v>0.0</v>
      </c>
      <c r="U424" s="238">
        <v>0.0</v>
      </c>
      <c r="V424" s="238">
        <v>0.0</v>
      </c>
      <c r="W424" s="238">
        <v>0.0</v>
      </c>
      <c r="X424" s="235" t="s">
        <v>628</v>
      </c>
      <c r="Z424" s="244"/>
      <c r="AA424" s="244"/>
      <c r="AB424" s="244"/>
      <c r="AC424" s="235" t="s">
        <v>4101</v>
      </c>
      <c r="AD424" s="235" t="s">
        <v>630</v>
      </c>
      <c r="AE424" s="238">
        <v>201308.0</v>
      </c>
      <c r="AF424" s="235" t="s">
        <v>631</v>
      </c>
      <c r="AG424" s="244"/>
      <c r="AH424" s="244"/>
      <c r="AI424" s="245"/>
      <c r="AJ424" s="245"/>
      <c r="AK424" s="245"/>
      <c r="AL424" s="245"/>
      <c r="AM424" s="244"/>
      <c r="AN424" s="244"/>
      <c r="AO424" s="238">
        <v>0.0</v>
      </c>
      <c r="AP424" s="238">
        <v>0.0</v>
      </c>
      <c r="AQ424" s="235" t="s">
        <v>632</v>
      </c>
      <c r="AR424" s="243">
        <v>3.71E11</v>
      </c>
      <c r="AS424" s="235" t="s">
        <v>3284</v>
      </c>
      <c r="AT424" s="235" t="s">
        <v>14</v>
      </c>
      <c r="AU424" s="235" t="s">
        <v>634</v>
      </c>
      <c r="AV424" s="246" t="s">
        <v>635</v>
      </c>
      <c r="AW424" s="242"/>
      <c r="AX424" s="242"/>
      <c r="AY424" s="231"/>
      <c r="AZ424" s="231"/>
      <c r="BA424" s="227"/>
      <c r="BB424" s="231"/>
      <c r="BC424" s="227"/>
      <c r="BD424" s="227"/>
      <c r="BE424" s="227"/>
      <c r="BF424" s="227"/>
    </row>
    <row r="425">
      <c r="A425" s="235" t="s">
        <v>4102</v>
      </c>
      <c r="C425" s="235" t="s">
        <v>4103</v>
      </c>
      <c r="D425" s="235" t="s">
        <v>4104</v>
      </c>
      <c r="E425" s="243">
        <v>6.56E13</v>
      </c>
      <c r="F425" s="245"/>
      <c r="G425" s="235" t="s">
        <v>4105</v>
      </c>
      <c r="H425" s="235" t="s">
        <v>4106</v>
      </c>
      <c r="I425" s="235" t="s">
        <v>4106</v>
      </c>
      <c r="J425" s="235" t="s">
        <v>4107</v>
      </c>
      <c r="K425" s="235" t="s">
        <v>4108</v>
      </c>
      <c r="N425" s="235" t="s">
        <v>51</v>
      </c>
      <c r="O425" s="235" t="s">
        <v>273</v>
      </c>
      <c r="P425" s="238">
        <v>1.0</v>
      </c>
      <c r="Q425" s="235" t="s">
        <v>627</v>
      </c>
      <c r="R425" s="238">
        <v>237.14</v>
      </c>
      <c r="S425" s="238">
        <v>11.86</v>
      </c>
      <c r="T425" s="238">
        <v>6.03</v>
      </c>
      <c r="U425" s="238">
        <v>0.3</v>
      </c>
      <c r="V425" s="238">
        <v>0.0</v>
      </c>
      <c r="W425" s="238">
        <v>0.0</v>
      </c>
      <c r="X425" s="235" t="s">
        <v>628</v>
      </c>
      <c r="Z425" s="244"/>
      <c r="AA425" s="244"/>
      <c r="AB425" s="244"/>
      <c r="AC425" s="235" t="s">
        <v>687</v>
      </c>
      <c r="AD425" s="235" t="s">
        <v>666</v>
      </c>
      <c r="AE425" s="238">
        <v>600107.0</v>
      </c>
      <c r="AF425" s="235" t="s">
        <v>631</v>
      </c>
      <c r="AG425" s="244"/>
      <c r="AH425" s="244"/>
      <c r="AI425" s="245"/>
      <c r="AJ425" s="245"/>
      <c r="AK425" s="245"/>
      <c r="AL425" s="245"/>
      <c r="AM425" s="244"/>
      <c r="AN425" s="244"/>
      <c r="AO425" s="238">
        <v>0.0</v>
      </c>
      <c r="AP425" s="238">
        <v>-6.03</v>
      </c>
      <c r="AQ425" s="235" t="s">
        <v>632</v>
      </c>
      <c r="AR425" s="243">
        <v>1.68E11</v>
      </c>
      <c r="AS425" s="235" t="s">
        <v>3964</v>
      </c>
      <c r="AT425" s="235" t="s">
        <v>156</v>
      </c>
      <c r="AU425" s="235" t="s">
        <v>634</v>
      </c>
      <c r="AV425" s="246" t="s">
        <v>635</v>
      </c>
      <c r="AW425" s="242"/>
      <c r="AX425" s="242"/>
      <c r="AY425" s="231"/>
      <c r="AZ425" s="231"/>
      <c r="BA425" s="227"/>
      <c r="BB425" s="231"/>
      <c r="BC425" s="227"/>
      <c r="BD425" s="227"/>
      <c r="BE425" s="227"/>
      <c r="BF425" s="227"/>
    </row>
    <row r="426">
      <c r="A426" s="235" t="s">
        <v>4109</v>
      </c>
      <c r="C426" s="235" t="s">
        <v>4110</v>
      </c>
      <c r="D426" s="235" t="s">
        <v>4111</v>
      </c>
      <c r="E426" s="243">
        <v>6.56E13</v>
      </c>
      <c r="F426" s="245"/>
      <c r="G426" s="235" t="s">
        <v>4112</v>
      </c>
      <c r="H426" s="235" t="s">
        <v>4113</v>
      </c>
      <c r="I426" s="235" t="s">
        <v>4113</v>
      </c>
      <c r="J426" s="235" t="s">
        <v>4114</v>
      </c>
      <c r="K426" s="235" t="s">
        <v>4115</v>
      </c>
      <c r="N426" s="235" t="s">
        <v>51</v>
      </c>
      <c r="O426" s="235" t="s">
        <v>273</v>
      </c>
      <c r="P426" s="238">
        <v>1.0</v>
      </c>
      <c r="Q426" s="235" t="s">
        <v>627</v>
      </c>
      <c r="R426" s="238">
        <v>237.14</v>
      </c>
      <c r="S426" s="238">
        <v>11.62</v>
      </c>
      <c r="T426" s="238">
        <v>0.0</v>
      </c>
      <c r="U426" s="238">
        <v>0.0</v>
      </c>
      <c r="V426" s="238">
        <v>0.0</v>
      </c>
      <c r="W426" s="238">
        <v>0.0</v>
      </c>
      <c r="X426" s="235" t="s">
        <v>628</v>
      </c>
      <c r="Z426" s="244"/>
      <c r="AA426" s="244"/>
      <c r="AB426" s="244"/>
      <c r="AC426" s="235" t="s">
        <v>678</v>
      </c>
      <c r="AD426" s="235" t="s">
        <v>679</v>
      </c>
      <c r="AE426" s="238">
        <v>560105.0</v>
      </c>
      <c r="AF426" s="235" t="s">
        <v>631</v>
      </c>
      <c r="AG426" s="244"/>
      <c r="AH426" s="244"/>
      <c r="AI426" s="245"/>
      <c r="AJ426" s="245"/>
      <c r="AK426" s="245"/>
      <c r="AL426" s="245"/>
      <c r="AM426" s="244"/>
      <c r="AN426" s="244"/>
      <c r="AO426" s="238">
        <v>-4.74</v>
      </c>
      <c r="AP426" s="238">
        <v>0.0</v>
      </c>
      <c r="AQ426" s="235" t="s">
        <v>632</v>
      </c>
      <c r="AR426" s="243">
        <v>3.71E11</v>
      </c>
      <c r="AS426" s="235" t="s">
        <v>3284</v>
      </c>
      <c r="AT426" s="235" t="s">
        <v>11</v>
      </c>
      <c r="AU426" s="235" t="s">
        <v>634</v>
      </c>
      <c r="AV426" s="246" t="s">
        <v>635</v>
      </c>
      <c r="AW426" s="242"/>
      <c r="AX426" s="242"/>
      <c r="AY426" s="231"/>
      <c r="AZ426" s="231"/>
      <c r="BA426" s="227"/>
      <c r="BB426" s="231"/>
      <c r="BC426" s="227"/>
      <c r="BD426" s="227"/>
      <c r="BE426" s="227"/>
      <c r="BF426" s="227"/>
    </row>
    <row r="427">
      <c r="A427" s="235" t="s">
        <v>4117</v>
      </c>
      <c r="C427" s="235" t="s">
        <v>4118</v>
      </c>
      <c r="D427" s="235" t="s">
        <v>4119</v>
      </c>
      <c r="E427" s="243">
        <v>6.56E13</v>
      </c>
      <c r="F427" s="245"/>
      <c r="G427" s="235" t="s">
        <v>4120</v>
      </c>
      <c r="H427" s="235" t="s">
        <v>4121</v>
      </c>
      <c r="I427" s="235" t="s">
        <v>4121</v>
      </c>
      <c r="J427" s="235" t="s">
        <v>4122</v>
      </c>
      <c r="K427" s="235" t="s">
        <v>4123</v>
      </c>
      <c r="N427" s="235" t="s">
        <v>47</v>
      </c>
      <c r="O427" s="235" t="s">
        <v>270</v>
      </c>
      <c r="P427" s="238">
        <v>1.0</v>
      </c>
      <c r="Q427" s="235" t="s">
        <v>627</v>
      </c>
      <c r="R427" s="238">
        <v>237.14</v>
      </c>
      <c r="S427" s="238">
        <v>11.86</v>
      </c>
      <c r="T427" s="238">
        <v>0.0</v>
      </c>
      <c r="U427" s="238">
        <v>0.0</v>
      </c>
      <c r="V427" s="238">
        <v>0.0</v>
      </c>
      <c r="W427" s="238">
        <v>0.0</v>
      </c>
      <c r="X427" s="235" t="s">
        <v>628</v>
      </c>
      <c r="Z427" s="244"/>
      <c r="AA427" s="244"/>
      <c r="AB427" s="244"/>
      <c r="AC427" s="235" t="s">
        <v>678</v>
      </c>
      <c r="AD427" s="235" t="s">
        <v>679</v>
      </c>
      <c r="AE427" s="238">
        <v>560021.0</v>
      </c>
      <c r="AF427" s="235" t="s">
        <v>631</v>
      </c>
      <c r="AG427" s="244"/>
      <c r="AH427" s="244"/>
      <c r="AI427" s="245"/>
      <c r="AJ427" s="245"/>
      <c r="AK427" s="245"/>
      <c r="AL427" s="245"/>
      <c r="AM427" s="244"/>
      <c r="AN427" s="244"/>
      <c r="AO427" s="238">
        <v>0.0</v>
      </c>
      <c r="AP427" s="238">
        <v>0.0</v>
      </c>
      <c r="AQ427" s="235" t="s">
        <v>632</v>
      </c>
      <c r="AR427" s="243">
        <v>1.68E11</v>
      </c>
      <c r="AS427" s="235" t="s">
        <v>3964</v>
      </c>
      <c r="AT427" s="235" t="s">
        <v>11</v>
      </c>
      <c r="AU427" s="235" t="s">
        <v>634</v>
      </c>
      <c r="AV427" s="246" t="s">
        <v>635</v>
      </c>
      <c r="AW427" s="242"/>
      <c r="AX427" s="242"/>
      <c r="AY427" s="231"/>
      <c r="AZ427" s="231"/>
      <c r="BA427" s="227"/>
      <c r="BB427" s="231"/>
      <c r="BC427" s="227"/>
      <c r="BD427" s="227"/>
      <c r="BE427" s="227"/>
      <c r="BF427" s="227"/>
    </row>
    <row r="428">
      <c r="A428" s="235" t="s">
        <v>4125</v>
      </c>
      <c r="C428" s="235" t="s">
        <v>4126</v>
      </c>
      <c r="D428" s="235" t="s">
        <v>4127</v>
      </c>
      <c r="E428" s="243">
        <v>6.57E13</v>
      </c>
      <c r="F428" s="245"/>
      <c r="G428" s="235" t="s">
        <v>4128</v>
      </c>
      <c r="H428" s="235" t="s">
        <v>4129</v>
      </c>
      <c r="I428" s="235" t="s">
        <v>4129</v>
      </c>
      <c r="J428" s="235" t="s">
        <v>4130</v>
      </c>
      <c r="K428" s="235" t="s">
        <v>4131</v>
      </c>
      <c r="N428" s="235" t="s">
        <v>54</v>
      </c>
      <c r="O428" s="235" t="s">
        <v>294</v>
      </c>
      <c r="P428" s="238">
        <v>1.0</v>
      </c>
      <c r="Q428" s="235" t="s">
        <v>627</v>
      </c>
      <c r="R428" s="238">
        <v>246.66</v>
      </c>
      <c r="S428" s="238">
        <v>12.34</v>
      </c>
      <c r="T428" s="238">
        <v>6.03</v>
      </c>
      <c r="U428" s="238">
        <v>0.3</v>
      </c>
      <c r="V428" s="238">
        <v>0.0</v>
      </c>
      <c r="W428" s="238">
        <v>0.0</v>
      </c>
      <c r="X428" s="235" t="s">
        <v>628</v>
      </c>
      <c r="Z428" s="244"/>
      <c r="AA428" s="244"/>
      <c r="AB428" s="244"/>
      <c r="AC428" s="235" t="s">
        <v>678</v>
      </c>
      <c r="AD428" s="235" t="s">
        <v>679</v>
      </c>
      <c r="AE428" s="238">
        <v>560103.0</v>
      </c>
      <c r="AF428" s="235" t="s">
        <v>631</v>
      </c>
      <c r="AG428" s="244"/>
      <c r="AH428" s="244"/>
      <c r="AI428" s="245"/>
      <c r="AJ428" s="245"/>
      <c r="AK428" s="245"/>
      <c r="AL428" s="245"/>
      <c r="AM428" s="244"/>
      <c r="AN428" s="244"/>
      <c r="AO428" s="238">
        <v>0.0</v>
      </c>
      <c r="AP428" s="238">
        <v>-6.03</v>
      </c>
      <c r="AQ428" s="235" t="s">
        <v>632</v>
      </c>
      <c r="AR428" s="243">
        <v>1.68E11</v>
      </c>
      <c r="AS428" s="235" t="s">
        <v>3964</v>
      </c>
      <c r="AT428" s="235" t="s">
        <v>11</v>
      </c>
      <c r="AU428" s="235" t="s">
        <v>634</v>
      </c>
      <c r="AV428" s="246" t="s">
        <v>635</v>
      </c>
      <c r="AW428" s="242"/>
      <c r="AX428" s="242"/>
      <c r="AY428" s="231"/>
      <c r="AZ428" s="231"/>
      <c r="BA428" s="227"/>
      <c r="BB428" s="231"/>
      <c r="BC428" s="227"/>
      <c r="BD428" s="227"/>
      <c r="BE428" s="227"/>
      <c r="BF428" s="227"/>
    </row>
    <row r="429">
      <c r="A429" s="235" t="s">
        <v>4132</v>
      </c>
      <c r="C429" s="235" t="s">
        <v>4133</v>
      </c>
      <c r="D429" s="235" t="s">
        <v>4134</v>
      </c>
      <c r="E429" s="243">
        <v>6.56E13</v>
      </c>
      <c r="F429" s="245"/>
      <c r="G429" s="235" t="s">
        <v>4135</v>
      </c>
      <c r="H429" s="235" t="s">
        <v>4136</v>
      </c>
      <c r="I429" s="235" t="s">
        <v>4136</v>
      </c>
      <c r="J429" s="235" t="s">
        <v>4137</v>
      </c>
      <c r="K429" s="235" t="s">
        <v>4138</v>
      </c>
      <c r="N429" s="235" t="s">
        <v>139</v>
      </c>
      <c r="O429" s="235" t="s">
        <v>2091</v>
      </c>
      <c r="P429" s="238">
        <v>1.0</v>
      </c>
      <c r="Q429" s="235" t="s">
        <v>627</v>
      </c>
      <c r="R429" s="238">
        <v>246.67</v>
      </c>
      <c r="S429" s="238">
        <v>12.33</v>
      </c>
      <c r="T429" s="238">
        <v>38.1</v>
      </c>
      <c r="U429" s="238">
        <v>1.9</v>
      </c>
      <c r="V429" s="238">
        <v>0.0</v>
      </c>
      <c r="W429" s="238">
        <v>0.0</v>
      </c>
      <c r="X429" s="235" t="s">
        <v>628</v>
      </c>
      <c r="Z429" s="244"/>
      <c r="AA429" s="244"/>
      <c r="AB429" s="244"/>
      <c r="AC429" s="235" t="s">
        <v>4139</v>
      </c>
      <c r="AD429" s="235" t="s">
        <v>796</v>
      </c>
      <c r="AE429" s="238">
        <v>110023.0</v>
      </c>
      <c r="AF429" s="235" t="s">
        <v>631</v>
      </c>
      <c r="AG429" s="244"/>
      <c r="AH429" s="244"/>
      <c r="AI429" s="245"/>
      <c r="AJ429" s="245"/>
      <c r="AK429" s="245"/>
      <c r="AL429" s="245"/>
      <c r="AM429" s="244"/>
      <c r="AN429" s="244"/>
      <c r="AO429" s="238">
        <v>0.0</v>
      </c>
      <c r="AP429" s="238">
        <v>-38.1</v>
      </c>
      <c r="AQ429" s="235" t="s">
        <v>632</v>
      </c>
      <c r="AR429" s="243">
        <v>3.71E11</v>
      </c>
      <c r="AS429" s="235" t="s">
        <v>2276</v>
      </c>
      <c r="AT429" s="235" t="s">
        <v>533</v>
      </c>
      <c r="AU429" s="235" t="s">
        <v>634</v>
      </c>
      <c r="AV429" s="246" t="s">
        <v>635</v>
      </c>
      <c r="AW429" s="242"/>
      <c r="AX429" s="242"/>
      <c r="AY429" s="231"/>
      <c r="AZ429" s="231"/>
      <c r="BA429" s="227"/>
      <c r="BB429" s="231"/>
      <c r="BC429" s="227"/>
      <c r="BD429" s="227"/>
      <c r="BE429" s="227"/>
      <c r="BF429" s="227"/>
    </row>
    <row r="430">
      <c r="A430" s="235" t="s">
        <v>4140</v>
      </c>
      <c r="C430" s="235" t="s">
        <v>4141</v>
      </c>
      <c r="D430" s="235" t="s">
        <v>4142</v>
      </c>
      <c r="E430" s="243">
        <v>6.56E13</v>
      </c>
      <c r="F430" s="245"/>
      <c r="G430" s="235" t="s">
        <v>4143</v>
      </c>
      <c r="H430" s="235" t="s">
        <v>4144</v>
      </c>
      <c r="I430" s="235" t="s">
        <v>4144</v>
      </c>
      <c r="J430" s="235" t="s">
        <v>4145</v>
      </c>
      <c r="K430" s="235" t="s">
        <v>4146</v>
      </c>
      <c r="N430" s="235" t="s">
        <v>130</v>
      </c>
      <c r="O430" s="235" t="s">
        <v>707</v>
      </c>
      <c r="P430" s="238">
        <v>1.0</v>
      </c>
      <c r="Q430" s="235" t="s">
        <v>627</v>
      </c>
      <c r="R430" s="238">
        <v>246.66</v>
      </c>
      <c r="S430" s="238">
        <v>12.34</v>
      </c>
      <c r="T430" s="238">
        <v>38.1</v>
      </c>
      <c r="U430" s="238">
        <v>1.9</v>
      </c>
      <c r="V430" s="238">
        <v>0.0</v>
      </c>
      <c r="W430" s="238">
        <v>0.0</v>
      </c>
      <c r="X430" s="235" t="s">
        <v>628</v>
      </c>
      <c r="Z430" s="244"/>
      <c r="AA430" s="244"/>
      <c r="AB430" s="244"/>
      <c r="AC430" s="235" t="s">
        <v>4147</v>
      </c>
      <c r="AD430" s="235" t="s">
        <v>845</v>
      </c>
      <c r="AE430" s="238">
        <v>416507.0</v>
      </c>
      <c r="AF430" s="235" t="s">
        <v>631</v>
      </c>
      <c r="AG430" s="244"/>
      <c r="AH430" s="244"/>
      <c r="AI430" s="245"/>
      <c r="AJ430" s="245"/>
      <c r="AK430" s="245"/>
      <c r="AL430" s="245"/>
      <c r="AM430" s="244"/>
      <c r="AN430" s="244"/>
      <c r="AO430" s="238">
        <v>0.0</v>
      </c>
      <c r="AP430" s="238">
        <v>-38.1</v>
      </c>
      <c r="AQ430" s="235" t="s">
        <v>1328</v>
      </c>
      <c r="AR430" s="243">
        <v>1.34E13</v>
      </c>
      <c r="AS430" s="235" t="s">
        <v>646</v>
      </c>
      <c r="AT430" s="235" t="s">
        <v>17</v>
      </c>
      <c r="AU430" s="235" t="s">
        <v>634</v>
      </c>
      <c r="AV430" s="246" t="s">
        <v>635</v>
      </c>
      <c r="AW430" s="242"/>
      <c r="AX430" s="242"/>
      <c r="AY430" s="231"/>
      <c r="AZ430" s="231"/>
      <c r="BA430" s="227"/>
      <c r="BB430" s="231"/>
      <c r="BC430" s="227"/>
      <c r="BD430" s="227"/>
      <c r="BE430" s="227"/>
      <c r="BF430" s="227"/>
    </row>
    <row r="431">
      <c r="A431" s="235" t="s">
        <v>4148</v>
      </c>
      <c r="C431" s="235" t="s">
        <v>4149</v>
      </c>
      <c r="D431" s="235" t="s">
        <v>4150</v>
      </c>
      <c r="E431" s="243">
        <v>6.56E13</v>
      </c>
      <c r="F431" s="245"/>
      <c r="G431" s="235" t="s">
        <v>4151</v>
      </c>
      <c r="H431" s="235" t="s">
        <v>4152</v>
      </c>
      <c r="I431" s="235" t="s">
        <v>4152</v>
      </c>
      <c r="J431" s="235" t="s">
        <v>4153</v>
      </c>
      <c r="K431" s="235" t="s">
        <v>4154</v>
      </c>
      <c r="N431" s="235" t="s">
        <v>92</v>
      </c>
      <c r="O431" s="235" t="s">
        <v>248</v>
      </c>
      <c r="P431" s="238">
        <v>1.0</v>
      </c>
      <c r="Q431" s="235" t="s">
        <v>627</v>
      </c>
      <c r="R431" s="238">
        <v>246.67</v>
      </c>
      <c r="S431" s="238">
        <v>12.33</v>
      </c>
      <c r="T431" s="238">
        <v>0.0</v>
      </c>
      <c r="U431" s="238">
        <v>0.0</v>
      </c>
      <c r="V431" s="238">
        <v>0.0</v>
      </c>
      <c r="W431" s="238">
        <v>0.0</v>
      </c>
      <c r="X431" s="235" t="s">
        <v>628</v>
      </c>
      <c r="Z431" s="244"/>
      <c r="AA431" s="244"/>
      <c r="AB431" s="244"/>
      <c r="AC431" s="235" t="s">
        <v>1085</v>
      </c>
      <c r="AD431" s="235" t="s">
        <v>1086</v>
      </c>
      <c r="AE431" s="238">
        <v>141003.0</v>
      </c>
      <c r="AF431" s="235" t="s">
        <v>631</v>
      </c>
      <c r="AG431" s="244"/>
      <c r="AH431" s="244"/>
      <c r="AI431" s="245"/>
      <c r="AJ431" s="245"/>
      <c r="AK431" s="245"/>
      <c r="AL431" s="245"/>
      <c r="AM431" s="244"/>
      <c r="AN431" s="244"/>
      <c r="AO431" s="238">
        <v>0.0</v>
      </c>
      <c r="AP431" s="238">
        <v>0.0</v>
      </c>
      <c r="AQ431" s="235" t="s">
        <v>632</v>
      </c>
      <c r="AR431" s="243">
        <v>3.71E11</v>
      </c>
      <c r="AS431" s="235" t="s">
        <v>667</v>
      </c>
      <c r="AT431" s="235" t="s">
        <v>533</v>
      </c>
      <c r="AU431" s="235" t="s">
        <v>634</v>
      </c>
      <c r="AV431" s="246" t="s">
        <v>635</v>
      </c>
      <c r="AW431" s="242"/>
      <c r="AX431" s="242"/>
      <c r="AY431" s="231"/>
      <c r="AZ431" s="231"/>
      <c r="BA431" s="227"/>
      <c r="BB431" s="231"/>
      <c r="BC431" s="227"/>
      <c r="BD431" s="227"/>
      <c r="BE431" s="227"/>
      <c r="BF431" s="227"/>
    </row>
    <row r="432">
      <c r="A432" s="235" t="s">
        <v>4155</v>
      </c>
      <c r="C432" s="235" t="s">
        <v>4156</v>
      </c>
      <c r="D432" s="235" t="s">
        <v>4157</v>
      </c>
      <c r="E432" s="243">
        <v>6.56E13</v>
      </c>
      <c r="F432" s="245"/>
      <c r="G432" s="235" t="s">
        <v>4158</v>
      </c>
      <c r="H432" s="235" t="s">
        <v>4159</v>
      </c>
      <c r="I432" s="235" t="s">
        <v>4159</v>
      </c>
      <c r="J432" s="235" t="s">
        <v>4160</v>
      </c>
      <c r="K432" s="235" t="s">
        <v>4161</v>
      </c>
      <c r="N432" s="235" t="s">
        <v>141</v>
      </c>
      <c r="O432" s="235" t="s">
        <v>342</v>
      </c>
      <c r="P432" s="238">
        <v>1.0</v>
      </c>
      <c r="Q432" s="235" t="s">
        <v>627</v>
      </c>
      <c r="R432" s="238">
        <v>246.66</v>
      </c>
      <c r="S432" s="238">
        <v>12.34</v>
      </c>
      <c r="T432" s="238">
        <v>18.1</v>
      </c>
      <c r="U432" s="238">
        <v>0.9</v>
      </c>
      <c r="V432" s="238">
        <v>0.0</v>
      </c>
      <c r="W432" s="238">
        <v>0.0</v>
      </c>
      <c r="X432" s="235" t="s">
        <v>628</v>
      </c>
      <c r="Z432" s="244"/>
      <c r="AA432" s="244"/>
      <c r="AB432" s="244"/>
      <c r="AC432" s="235" t="s">
        <v>1910</v>
      </c>
      <c r="AD432" s="235" t="s">
        <v>928</v>
      </c>
      <c r="AE432" s="238">
        <v>122002.0</v>
      </c>
      <c r="AF432" s="235" t="s">
        <v>631</v>
      </c>
      <c r="AG432" s="244"/>
      <c r="AH432" s="244"/>
      <c r="AI432" s="245"/>
      <c r="AJ432" s="245"/>
      <c r="AK432" s="245"/>
      <c r="AL432" s="245"/>
      <c r="AM432" s="244"/>
      <c r="AN432" s="244"/>
      <c r="AO432" s="238">
        <v>0.0</v>
      </c>
      <c r="AP432" s="238">
        <v>-18.1</v>
      </c>
      <c r="AQ432" s="235" t="s">
        <v>632</v>
      </c>
      <c r="AR432" s="243">
        <v>1.68E11</v>
      </c>
      <c r="AS432" s="235" t="s">
        <v>3964</v>
      </c>
      <c r="AT432" s="235" t="s">
        <v>14</v>
      </c>
      <c r="AU432" s="235" t="s">
        <v>634</v>
      </c>
      <c r="AV432" s="246" t="s">
        <v>635</v>
      </c>
      <c r="AW432" s="242"/>
      <c r="AX432" s="242"/>
      <c r="AY432" s="231"/>
      <c r="AZ432" s="231"/>
      <c r="BA432" s="227"/>
      <c r="BB432" s="231"/>
      <c r="BC432" s="227"/>
      <c r="BD432" s="227"/>
      <c r="BE432" s="227"/>
      <c r="BF432" s="227"/>
    </row>
    <row r="433">
      <c r="A433" s="235" t="s">
        <v>4162</v>
      </c>
      <c r="C433" s="235" t="s">
        <v>4163</v>
      </c>
      <c r="D433" s="235" t="s">
        <v>4164</v>
      </c>
      <c r="E433" s="243">
        <v>6.57E13</v>
      </c>
      <c r="F433" s="245"/>
      <c r="G433" s="235" t="s">
        <v>4165</v>
      </c>
      <c r="H433" s="235" t="s">
        <v>4166</v>
      </c>
      <c r="I433" s="235" t="s">
        <v>4166</v>
      </c>
      <c r="J433" s="235" t="s">
        <v>4167</v>
      </c>
      <c r="K433" s="235" t="s">
        <v>4168</v>
      </c>
      <c r="N433" s="235" t="s">
        <v>3</v>
      </c>
      <c r="O433" s="235" t="s">
        <v>654</v>
      </c>
      <c r="P433" s="238">
        <v>1.0</v>
      </c>
      <c r="Q433" s="235" t="s">
        <v>627</v>
      </c>
      <c r="R433" s="238">
        <v>265.72</v>
      </c>
      <c r="S433" s="238">
        <v>12.62</v>
      </c>
      <c r="T433" s="238">
        <v>0.0</v>
      </c>
      <c r="U433" s="238">
        <v>0.0</v>
      </c>
      <c r="V433" s="238">
        <v>0.0</v>
      </c>
      <c r="W433" s="238">
        <v>0.0</v>
      </c>
      <c r="X433" s="235" t="s">
        <v>628</v>
      </c>
      <c r="Z433" s="244"/>
      <c r="AA433" s="244"/>
      <c r="AB433" s="244"/>
      <c r="AC433" s="235" t="s">
        <v>678</v>
      </c>
      <c r="AD433" s="235" t="s">
        <v>679</v>
      </c>
      <c r="AE433" s="238">
        <v>560068.0</v>
      </c>
      <c r="AF433" s="235" t="s">
        <v>631</v>
      </c>
      <c r="AG433" s="244"/>
      <c r="AH433" s="244"/>
      <c r="AI433" s="245"/>
      <c r="AJ433" s="245"/>
      <c r="AK433" s="245"/>
      <c r="AL433" s="245"/>
      <c r="AM433" s="244"/>
      <c r="AN433" s="244"/>
      <c r="AO433" s="238">
        <v>-13.29</v>
      </c>
      <c r="AP433" s="238">
        <v>0.0</v>
      </c>
      <c r="AQ433" s="235" t="s">
        <v>632</v>
      </c>
      <c r="AR433" s="243">
        <v>1.68E11</v>
      </c>
      <c r="AS433" s="235" t="s">
        <v>3964</v>
      </c>
      <c r="AT433" s="235" t="s">
        <v>11</v>
      </c>
      <c r="AU433" s="235" t="s">
        <v>634</v>
      </c>
      <c r="AV433" s="246" t="s">
        <v>635</v>
      </c>
      <c r="AW433" s="242"/>
      <c r="AX433" s="242"/>
      <c r="AY433" s="231"/>
      <c r="AZ433" s="231"/>
      <c r="BA433" s="227"/>
      <c r="BB433" s="231"/>
      <c r="BC433" s="227"/>
      <c r="BD433" s="227"/>
      <c r="BE433" s="227"/>
      <c r="BF433" s="227"/>
    </row>
    <row r="434">
      <c r="A434" s="235" t="s">
        <v>4162</v>
      </c>
      <c r="C434" s="235" t="s">
        <v>4163</v>
      </c>
      <c r="D434" s="235" t="s">
        <v>4169</v>
      </c>
      <c r="E434" s="243">
        <v>6.57E13</v>
      </c>
      <c r="F434" s="245"/>
      <c r="G434" s="235" t="s">
        <v>4165</v>
      </c>
      <c r="H434" s="235" t="s">
        <v>4166</v>
      </c>
      <c r="I434" s="235" t="s">
        <v>4166</v>
      </c>
      <c r="J434" s="235" t="s">
        <v>4167</v>
      </c>
      <c r="K434" s="235" t="s">
        <v>4168</v>
      </c>
      <c r="N434" s="235" t="s">
        <v>3</v>
      </c>
      <c r="O434" s="235" t="s">
        <v>654</v>
      </c>
      <c r="P434" s="238">
        <v>1.0</v>
      </c>
      <c r="Q434" s="235" t="s">
        <v>627</v>
      </c>
      <c r="R434" s="238">
        <v>265.72</v>
      </c>
      <c r="S434" s="238">
        <v>12.62</v>
      </c>
      <c r="T434" s="238">
        <v>0.0</v>
      </c>
      <c r="U434" s="238">
        <v>0.0</v>
      </c>
      <c r="V434" s="238">
        <v>0.0</v>
      </c>
      <c r="W434" s="238">
        <v>0.0</v>
      </c>
      <c r="X434" s="235" t="s">
        <v>628</v>
      </c>
      <c r="Z434" s="244"/>
      <c r="AA434" s="244"/>
      <c r="AB434" s="244"/>
      <c r="AC434" s="235" t="s">
        <v>678</v>
      </c>
      <c r="AD434" s="235" t="s">
        <v>679</v>
      </c>
      <c r="AE434" s="238">
        <v>560068.0</v>
      </c>
      <c r="AF434" s="235" t="s">
        <v>631</v>
      </c>
      <c r="AG434" s="244"/>
      <c r="AH434" s="244"/>
      <c r="AI434" s="245"/>
      <c r="AJ434" s="245"/>
      <c r="AK434" s="245"/>
      <c r="AL434" s="245"/>
      <c r="AM434" s="244"/>
      <c r="AN434" s="244"/>
      <c r="AO434" s="238">
        <v>-13.29</v>
      </c>
      <c r="AP434" s="238">
        <v>0.0</v>
      </c>
      <c r="AQ434" s="235" t="s">
        <v>632</v>
      </c>
      <c r="AR434" s="243">
        <v>1.68E11</v>
      </c>
      <c r="AS434" s="235" t="s">
        <v>3964</v>
      </c>
      <c r="AT434" s="235" t="s">
        <v>11</v>
      </c>
      <c r="AU434" s="235" t="s">
        <v>634</v>
      </c>
      <c r="AV434" s="246" t="s">
        <v>635</v>
      </c>
      <c r="AW434" s="242"/>
      <c r="AX434" s="242"/>
      <c r="AY434" s="231"/>
      <c r="AZ434" s="231"/>
      <c r="BA434" s="227"/>
      <c r="BB434" s="231"/>
      <c r="BC434" s="227"/>
      <c r="BD434" s="227"/>
      <c r="BE434" s="227"/>
      <c r="BF434" s="227"/>
    </row>
    <row r="435">
      <c r="A435" s="235" t="s">
        <v>4162</v>
      </c>
      <c r="C435" s="235" t="s">
        <v>4163</v>
      </c>
      <c r="D435" s="235" t="s">
        <v>4170</v>
      </c>
      <c r="E435" s="243">
        <v>6.57E13</v>
      </c>
      <c r="F435" s="245"/>
      <c r="G435" s="235" t="s">
        <v>4165</v>
      </c>
      <c r="H435" s="235" t="s">
        <v>4166</v>
      </c>
      <c r="I435" s="235" t="s">
        <v>4166</v>
      </c>
      <c r="J435" s="235" t="s">
        <v>4167</v>
      </c>
      <c r="K435" s="235" t="s">
        <v>4168</v>
      </c>
      <c r="N435" s="235" t="s">
        <v>3</v>
      </c>
      <c r="O435" s="235" t="s">
        <v>654</v>
      </c>
      <c r="P435" s="238">
        <v>3.0</v>
      </c>
      <c r="Q435" s="235" t="s">
        <v>627</v>
      </c>
      <c r="R435" s="238">
        <v>797.16</v>
      </c>
      <c r="S435" s="238">
        <v>37.86</v>
      </c>
      <c r="T435" s="238">
        <v>0.0</v>
      </c>
      <c r="U435" s="238">
        <v>0.0</v>
      </c>
      <c r="V435" s="238">
        <v>0.0</v>
      </c>
      <c r="W435" s="238">
        <v>0.0</v>
      </c>
      <c r="X435" s="235" t="s">
        <v>628</v>
      </c>
      <c r="Z435" s="244"/>
      <c r="AA435" s="244"/>
      <c r="AB435" s="244"/>
      <c r="AC435" s="235" t="s">
        <v>678</v>
      </c>
      <c r="AD435" s="235" t="s">
        <v>679</v>
      </c>
      <c r="AE435" s="238">
        <v>560068.0</v>
      </c>
      <c r="AF435" s="235" t="s">
        <v>631</v>
      </c>
      <c r="AG435" s="244"/>
      <c r="AH435" s="244"/>
      <c r="AI435" s="245"/>
      <c r="AJ435" s="245"/>
      <c r="AK435" s="245"/>
      <c r="AL435" s="245"/>
      <c r="AM435" s="244"/>
      <c r="AN435" s="244"/>
      <c r="AO435" s="238">
        <v>-39.87</v>
      </c>
      <c r="AP435" s="238">
        <v>0.0</v>
      </c>
      <c r="AQ435" s="235" t="s">
        <v>632</v>
      </c>
      <c r="AR435" s="243">
        <v>1.68E11</v>
      </c>
      <c r="AS435" s="235" t="s">
        <v>3964</v>
      </c>
      <c r="AT435" s="235" t="s">
        <v>11</v>
      </c>
      <c r="AU435" s="235" t="s">
        <v>634</v>
      </c>
      <c r="AV435" s="246" t="s">
        <v>635</v>
      </c>
      <c r="AW435" s="242"/>
      <c r="AX435" s="242"/>
      <c r="AY435" s="231"/>
      <c r="AZ435" s="231"/>
      <c r="BA435" s="227"/>
      <c r="BB435" s="231"/>
      <c r="BC435" s="227"/>
      <c r="BD435" s="227"/>
      <c r="BE435" s="227"/>
      <c r="BF435" s="227"/>
    </row>
    <row r="436">
      <c r="A436" s="235" t="s">
        <v>4162</v>
      </c>
      <c r="C436" s="235" t="s">
        <v>4163</v>
      </c>
      <c r="D436" s="235" t="s">
        <v>4171</v>
      </c>
      <c r="E436" s="243">
        <v>6.57E13</v>
      </c>
      <c r="F436" s="245"/>
      <c r="G436" s="235" t="s">
        <v>4165</v>
      </c>
      <c r="H436" s="235" t="s">
        <v>4166</v>
      </c>
      <c r="I436" s="235" t="s">
        <v>4166</v>
      </c>
      <c r="J436" s="235" t="s">
        <v>4167</v>
      </c>
      <c r="K436" s="235" t="s">
        <v>4168</v>
      </c>
      <c r="N436" s="235" t="s">
        <v>3</v>
      </c>
      <c r="O436" s="235" t="s">
        <v>654</v>
      </c>
      <c r="P436" s="238">
        <v>1.0</v>
      </c>
      <c r="Q436" s="235" t="s">
        <v>627</v>
      </c>
      <c r="R436" s="238">
        <v>265.72</v>
      </c>
      <c r="S436" s="238">
        <v>12.62</v>
      </c>
      <c r="T436" s="238">
        <v>0.0</v>
      </c>
      <c r="U436" s="238">
        <v>0.0</v>
      </c>
      <c r="V436" s="238">
        <v>0.0</v>
      </c>
      <c r="W436" s="238">
        <v>0.0</v>
      </c>
      <c r="X436" s="235" t="s">
        <v>628</v>
      </c>
      <c r="Z436" s="244"/>
      <c r="AA436" s="244"/>
      <c r="AB436" s="244"/>
      <c r="AC436" s="235" t="s">
        <v>678</v>
      </c>
      <c r="AD436" s="235" t="s">
        <v>679</v>
      </c>
      <c r="AE436" s="238">
        <v>560068.0</v>
      </c>
      <c r="AF436" s="235" t="s">
        <v>631</v>
      </c>
      <c r="AG436" s="244"/>
      <c r="AH436" s="244"/>
      <c r="AI436" s="245"/>
      <c r="AJ436" s="245"/>
      <c r="AK436" s="245"/>
      <c r="AL436" s="245"/>
      <c r="AM436" s="244"/>
      <c r="AN436" s="244"/>
      <c r="AO436" s="238">
        <v>-13.29</v>
      </c>
      <c r="AP436" s="238">
        <v>0.0</v>
      </c>
      <c r="AQ436" s="235" t="s">
        <v>632</v>
      </c>
      <c r="AR436" s="243">
        <v>1.68E11</v>
      </c>
      <c r="AS436" s="235" t="s">
        <v>3964</v>
      </c>
      <c r="AT436" s="235" t="s">
        <v>11</v>
      </c>
      <c r="AU436" s="235" t="s">
        <v>634</v>
      </c>
      <c r="AV436" s="246" t="s">
        <v>635</v>
      </c>
      <c r="AW436" s="242"/>
      <c r="AX436" s="242"/>
      <c r="AY436" s="231"/>
      <c r="AZ436" s="231"/>
      <c r="BA436" s="227"/>
      <c r="BB436" s="231"/>
      <c r="BC436" s="227"/>
      <c r="BD436" s="227"/>
      <c r="BE436" s="227"/>
      <c r="BF436" s="227"/>
    </row>
    <row r="437">
      <c r="A437" s="235" t="s">
        <v>4172</v>
      </c>
      <c r="C437" s="235" t="s">
        <v>4173</v>
      </c>
      <c r="D437" s="235" t="s">
        <v>4174</v>
      </c>
      <c r="E437" s="243">
        <v>6.56E13</v>
      </c>
      <c r="F437" s="245"/>
      <c r="G437" s="235" t="s">
        <v>4175</v>
      </c>
      <c r="H437" s="235" t="s">
        <v>4176</v>
      </c>
      <c r="I437" s="235" t="s">
        <v>4176</v>
      </c>
      <c r="J437" s="235" t="s">
        <v>4177</v>
      </c>
      <c r="K437" s="235" t="s">
        <v>4178</v>
      </c>
      <c r="N437" s="235" t="s">
        <v>51</v>
      </c>
      <c r="O437" s="235" t="s">
        <v>273</v>
      </c>
      <c r="P437" s="238">
        <v>1.0</v>
      </c>
      <c r="Q437" s="235" t="s">
        <v>627</v>
      </c>
      <c r="R437" s="238">
        <v>237.14</v>
      </c>
      <c r="S437" s="238">
        <v>11.86</v>
      </c>
      <c r="T437" s="238">
        <v>38.1</v>
      </c>
      <c r="U437" s="238">
        <v>1.9</v>
      </c>
      <c r="V437" s="238">
        <v>0.0</v>
      </c>
      <c r="W437" s="238">
        <v>0.0</v>
      </c>
      <c r="X437" s="235" t="s">
        <v>628</v>
      </c>
      <c r="Z437" s="244"/>
      <c r="AA437" s="244"/>
      <c r="AB437" s="244"/>
      <c r="AC437" s="235" t="s">
        <v>4179</v>
      </c>
      <c r="AD437" s="235" t="s">
        <v>666</v>
      </c>
      <c r="AE437" s="238">
        <v>641668.0</v>
      </c>
      <c r="AF437" s="235" t="s">
        <v>631</v>
      </c>
      <c r="AG437" s="244"/>
      <c r="AH437" s="244"/>
      <c r="AI437" s="245"/>
      <c r="AJ437" s="245"/>
      <c r="AK437" s="245"/>
      <c r="AL437" s="245"/>
      <c r="AM437" s="244"/>
      <c r="AN437" s="244"/>
      <c r="AO437" s="238">
        <v>0.0</v>
      </c>
      <c r="AP437" s="238">
        <v>-38.1</v>
      </c>
      <c r="AQ437" s="235" t="s">
        <v>632</v>
      </c>
      <c r="AR437" s="243">
        <v>3.71E11</v>
      </c>
      <c r="AS437" s="235" t="s">
        <v>1367</v>
      </c>
      <c r="AT437" s="235" t="s">
        <v>9</v>
      </c>
      <c r="AU437" s="235" t="s">
        <v>634</v>
      </c>
      <c r="AV437" s="246" t="s">
        <v>635</v>
      </c>
      <c r="AW437" s="242"/>
      <c r="AX437" s="242"/>
      <c r="AY437" s="231"/>
      <c r="AZ437" s="231"/>
      <c r="BA437" s="227"/>
      <c r="BB437" s="231"/>
      <c r="BC437" s="227"/>
      <c r="BD437" s="227"/>
      <c r="BE437" s="227"/>
      <c r="BF437" s="227"/>
    </row>
    <row r="438">
      <c r="A438" s="235" t="s">
        <v>4180</v>
      </c>
      <c r="C438" s="235" t="s">
        <v>4181</v>
      </c>
      <c r="D438" s="235" t="s">
        <v>4182</v>
      </c>
      <c r="E438" s="243">
        <v>6.56E13</v>
      </c>
      <c r="F438" s="245"/>
      <c r="G438" s="235" t="s">
        <v>4183</v>
      </c>
      <c r="H438" s="235" t="s">
        <v>4184</v>
      </c>
      <c r="I438" s="235" t="s">
        <v>4184</v>
      </c>
      <c r="J438" s="235" t="s">
        <v>4185</v>
      </c>
      <c r="K438" s="235" t="s">
        <v>4186</v>
      </c>
      <c r="N438" s="235" t="s">
        <v>154</v>
      </c>
      <c r="O438" s="235" t="s">
        <v>766</v>
      </c>
      <c r="P438" s="238">
        <v>1.0</v>
      </c>
      <c r="Q438" s="235" t="s">
        <v>627</v>
      </c>
      <c r="R438" s="238">
        <v>465.72</v>
      </c>
      <c r="S438" s="238">
        <v>23.28</v>
      </c>
      <c r="T438" s="238">
        <v>0.0</v>
      </c>
      <c r="U438" s="238">
        <v>0.0</v>
      </c>
      <c r="V438" s="238">
        <v>0.0</v>
      </c>
      <c r="W438" s="238">
        <v>0.0</v>
      </c>
      <c r="X438" s="235" t="s">
        <v>628</v>
      </c>
      <c r="Z438" s="244"/>
      <c r="AA438" s="244"/>
      <c r="AB438" s="244"/>
      <c r="AC438" s="235" t="s">
        <v>1320</v>
      </c>
      <c r="AD438" s="235" t="s">
        <v>666</v>
      </c>
      <c r="AE438" s="238">
        <v>600028.0</v>
      </c>
      <c r="AF438" s="235" t="s">
        <v>631</v>
      </c>
      <c r="AG438" s="244"/>
      <c r="AH438" s="244"/>
      <c r="AI438" s="245"/>
      <c r="AJ438" s="245"/>
      <c r="AK438" s="245"/>
      <c r="AL438" s="245"/>
      <c r="AM438" s="244"/>
      <c r="AN438" s="244"/>
      <c r="AO438" s="238">
        <v>0.0</v>
      </c>
      <c r="AP438" s="238">
        <v>0.0</v>
      </c>
      <c r="AQ438" s="235" t="s">
        <v>632</v>
      </c>
      <c r="AR438" s="243">
        <v>1.68E11</v>
      </c>
      <c r="AS438" s="235" t="s">
        <v>3964</v>
      </c>
      <c r="AT438" s="235" t="s">
        <v>156</v>
      </c>
      <c r="AU438" s="235" t="s">
        <v>634</v>
      </c>
      <c r="AV438" s="246" t="s">
        <v>635</v>
      </c>
      <c r="AW438" s="242"/>
      <c r="AX438" s="242"/>
      <c r="AY438" s="231"/>
      <c r="AZ438" s="231"/>
      <c r="BA438" s="227"/>
      <c r="BB438" s="231"/>
      <c r="BC438" s="227"/>
      <c r="BD438" s="227"/>
      <c r="BE438" s="227"/>
      <c r="BF438" s="227"/>
    </row>
    <row r="439">
      <c r="A439" s="235" t="s">
        <v>4187</v>
      </c>
      <c r="C439" s="235" t="s">
        <v>4188</v>
      </c>
      <c r="D439" s="235" t="s">
        <v>4189</v>
      </c>
      <c r="E439" s="243">
        <v>6.56E13</v>
      </c>
      <c r="F439" s="245"/>
      <c r="G439" s="235" t="s">
        <v>4190</v>
      </c>
      <c r="H439" s="235" t="s">
        <v>4191</v>
      </c>
      <c r="I439" s="235" t="s">
        <v>4191</v>
      </c>
      <c r="J439" s="235" t="s">
        <v>4192</v>
      </c>
      <c r="K439" s="235" t="s">
        <v>4193</v>
      </c>
      <c r="N439" s="235" t="s">
        <v>68</v>
      </c>
      <c r="O439" s="235" t="s">
        <v>208</v>
      </c>
      <c r="P439" s="238">
        <v>1.0</v>
      </c>
      <c r="Q439" s="235" t="s">
        <v>627</v>
      </c>
      <c r="R439" s="238">
        <v>246.67</v>
      </c>
      <c r="S439" s="238">
        <v>12.33</v>
      </c>
      <c r="T439" s="238">
        <v>0.0</v>
      </c>
      <c r="U439" s="238">
        <v>0.0</v>
      </c>
      <c r="V439" s="238">
        <v>0.0</v>
      </c>
      <c r="W439" s="238">
        <v>0.0</v>
      </c>
      <c r="X439" s="235" t="s">
        <v>628</v>
      </c>
      <c r="Z439" s="244"/>
      <c r="AA439" s="244"/>
      <c r="AB439" s="244"/>
      <c r="AC439" s="235" t="s">
        <v>3374</v>
      </c>
      <c r="AD439" s="235" t="s">
        <v>645</v>
      </c>
      <c r="AE439" s="238">
        <v>695014.0</v>
      </c>
      <c r="AF439" s="235" t="s">
        <v>631</v>
      </c>
      <c r="AG439" s="244"/>
      <c r="AH439" s="244"/>
      <c r="AI439" s="245"/>
      <c r="AJ439" s="245"/>
      <c r="AK439" s="245"/>
      <c r="AL439" s="245"/>
      <c r="AM439" s="244"/>
      <c r="AN439" s="244"/>
      <c r="AO439" s="238">
        <v>0.0</v>
      </c>
      <c r="AP439" s="238">
        <v>0.0</v>
      </c>
      <c r="AQ439" s="235" t="s">
        <v>632</v>
      </c>
      <c r="AR439" s="243">
        <v>1.68E11</v>
      </c>
      <c r="AS439" s="235" t="s">
        <v>2276</v>
      </c>
      <c r="AT439" s="235" t="s">
        <v>11</v>
      </c>
      <c r="AU439" s="235" t="s">
        <v>634</v>
      </c>
      <c r="AV439" s="246" t="s">
        <v>635</v>
      </c>
      <c r="AW439" s="242"/>
      <c r="AX439" s="242"/>
      <c r="AY439" s="231"/>
      <c r="AZ439" s="231"/>
      <c r="BA439" s="227"/>
      <c r="BB439" s="231"/>
      <c r="BC439" s="227"/>
      <c r="BD439" s="227"/>
      <c r="BE439" s="227"/>
      <c r="BF439" s="227"/>
    </row>
    <row r="440">
      <c r="A440" s="235" t="s">
        <v>4194</v>
      </c>
      <c r="C440" s="235" t="s">
        <v>4195</v>
      </c>
      <c r="D440" s="235" t="s">
        <v>4196</v>
      </c>
      <c r="E440" s="243">
        <v>6.57E13</v>
      </c>
      <c r="F440" s="245"/>
      <c r="G440" s="235" t="s">
        <v>4197</v>
      </c>
      <c r="H440" s="235" t="s">
        <v>4198</v>
      </c>
      <c r="I440" s="235" t="s">
        <v>4198</v>
      </c>
      <c r="J440" s="235" t="s">
        <v>4199</v>
      </c>
      <c r="K440" s="235" t="s">
        <v>4200</v>
      </c>
      <c r="N440" s="235" t="s">
        <v>92</v>
      </c>
      <c r="O440" s="235" t="s">
        <v>248</v>
      </c>
      <c r="P440" s="238">
        <v>1.0</v>
      </c>
      <c r="Q440" s="235" t="s">
        <v>627</v>
      </c>
      <c r="R440" s="238">
        <v>243.81</v>
      </c>
      <c r="S440" s="238">
        <v>12.19</v>
      </c>
      <c r="T440" s="238">
        <v>0.0</v>
      </c>
      <c r="U440" s="238">
        <v>0.0</v>
      </c>
      <c r="V440" s="238">
        <v>0.0</v>
      </c>
      <c r="W440" s="238">
        <v>0.0</v>
      </c>
      <c r="X440" s="235" t="s">
        <v>628</v>
      </c>
      <c r="Z440" s="244"/>
      <c r="AA440" s="244"/>
      <c r="AB440" s="244"/>
      <c r="AC440" s="235" t="s">
        <v>697</v>
      </c>
      <c r="AD440" s="235" t="s">
        <v>698</v>
      </c>
      <c r="AE440" s="238">
        <v>500072.0</v>
      </c>
      <c r="AF440" s="235" t="s">
        <v>631</v>
      </c>
      <c r="AG440" s="244"/>
      <c r="AH440" s="244"/>
      <c r="AI440" s="245"/>
      <c r="AJ440" s="245"/>
      <c r="AK440" s="245"/>
      <c r="AL440" s="245"/>
      <c r="AM440" s="244"/>
      <c r="AN440" s="244"/>
      <c r="AO440" s="238">
        <v>0.0</v>
      </c>
      <c r="AP440" s="238">
        <v>0.0</v>
      </c>
      <c r="AQ440" s="235" t="s">
        <v>632</v>
      </c>
      <c r="AR440" s="243">
        <v>3.71E11</v>
      </c>
      <c r="AS440" s="235" t="s">
        <v>2276</v>
      </c>
      <c r="AT440" s="235" t="s">
        <v>11</v>
      </c>
      <c r="AU440" s="235" t="s">
        <v>634</v>
      </c>
      <c r="AV440" s="246" t="s">
        <v>635</v>
      </c>
      <c r="AW440" s="242"/>
      <c r="AX440" s="242"/>
      <c r="AY440" s="231"/>
      <c r="AZ440" s="231"/>
      <c r="BA440" s="227"/>
      <c r="BB440" s="231"/>
      <c r="BC440" s="227"/>
      <c r="BD440" s="227"/>
      <c r="BE440" s="227"/>
      <c r="BF440" s="227"/>
    </row>
    <row r="441">
      <c r="A441" s="235" t="s">
        <v>4201</v>
      </c>
      <c r="C441" s="235" t="s">
        <v>4202</v>
      </c>
      <c r="D441" s="235" t="s">
        <v>4203</v>
      </c>
      <c r="E441" s="243">
        <v>6.56E13</v>
      </c>
      <c r="F441" s="245"/>
      <c r="G441" s="235" t="s">
        <v>4204</v>
      </c>
      <c r="H441" s="235" t="s">
        <v>4205</v>
      </c>
      <c r="I441" s="235" t="s">
        <v>4205</v>
      </c>
      <c r="J441" s="235" t="s">
        <v>4206</v>
      </c>
      <c r="K441" s="235" t="s">
        <v>4207</v>
      </c>
      <c r="N441" s="235" t="s">
        <v>47</v>
      </c>
      <c r="O441" s="235" t="s">
        <v>270</v>
      </c>
      <c r="P441" s="238">
        <v>1.0</v>
      </c>
      <c r="Q441" s="235" t="s">
        <v>627</v>
      </c>
      <c r="R441" s="238">
        <v>237.14</v>
      </c>
      <c r="S441" s="238">
        <v>11.86</v>
      </c>
      <c r="T441" s="238">
        <v>38.1</v>
      </c>
      <c r="U441" s="238">
        <v>1.9</v>
      </c>
      <c r="V441" s="238">
        <v>0.0</v>
      </c>
      <c r="W441" s="238">
        <v>0.0</v>
      </c>
      <c r="X441" s="235" t="s">
        <v>628</v>
      </c>
      <c r="Z441" s="244"/>
      <c r="AA441" s="244"/>
      <c r="AB441" s="244"/>
      <c r="AC441" s="235" t="s">
        <v>4208</v>
      </c>
      <c r="AD441" s="235" t="s">
        <v>645</v>
      </c>
      <c r="AE441" s="238">
        <v>695123.0</v>
      </c>
      <c r="AF441" s="235" t="s">
        <v>631</v>
      </c>
      <c r="AG441" s="244"/>
      <c r="AH441" s="244"/>
      <c r="AI441" s="245"/>
      <c r="AJ441" s="245"/>
      <c r="AK441" s="245"/>
      <c r="AL441" s="245"/>
      <c r="AM441" s="244"/>
      <c r="AN441" s="244"/>
      <c r="AO441" s="238">
        <v>0.0</v>
      </c>
      <c r="AP441" s="238">
        <v>-38.1</v>
      </c>
      <c r="AQ441" s="235" t="s">
        <v>632</v>
      </c>
      <c r="AR441" s="243">
        <v>3.71E11</v>
      </c>
      <c r="AS441" s="235" t="s">
        <v>1367</v>
      </c>
      <c r="AT441" s="235" t="s">
        <v>155</v>
      </c>
      <c r="AU441" s="235" t="s">
        <v>634</v>
      </c>
      <c r="AV441" s="246" t="s">
        <v>635</v>
      </c>
      <c r="AW441" s="242"/>
      <c r="AX441" s="242"/>
      <c r="AY441" s="231"/>
      <c r="AZ441" s="231"/>
      <c r="BA441" s="227"/>
      <c r="BB441" s="231"/>
      <c r="BC441" s="227"/>
      <c r="BD441" s="227"/>
      <c r="BE441" s="227"/>
      <c r="BF441" s="227"/>
    </row>
    <row r="442">
      <c r="A442" s="235" t="s">
        <v>4209</v>
      </c>
      <c r="C442" s="235" t="s">
        <v>4210</v>
      </c>
      <c r="D442" s="235" t="s">
        <v>4211</v>
      </c>
      <c r="E442" s="243">
        <v>6.56E13</v>
      </c>
      <c r="F442" s="245"/>
      <c r="G442" s="235" t="s">
        <v>4212</v>
      </c>
      <c r="H442" s="235" t="s">
        <v>4213</v>
      </c>
      <c r="I442" s="235" t="s">
        <v>4213</v>
      </c>
      <c r="J442" s="235" t="s">
        <v>4214</v>
      </c>
      <c r="K442" s="235" t="s">
        <v>4215</v>
      </c>
      <c r="N442" s="235" t="s">
        <v>136</v>
      </c>
      <c r="O442" s="235" t="s">
        <v>256</v>
      </c>
      <c r="P442" s="238">
        <v>1.0</v>
      </c>
      <c r="Q442" s="235" t="s">
        <v>627</v>
      </c>
      <c r="R442" s="238">
        <v>246.66</v>
      </c>
      <c r="S442" s="238">
        <v>12.34</v>
      </c>
      <c r="T442" s="238">
        <v>9.04</v>
      </c>
      <c r="U442" s="238">
        <v>0.46</v>
      </c>
      <c r="V442" s="238">
        <v>0.0</v>
      </c>
      <c r="W442" s="238">
        <v>0.0</v>
      </c>
      <c r="X442" s="235" t="s">
        <v>628</v>
      </c>
      <c r="Z442" s="244"/>
      <c r="AA442" s="244"/>
      <c r="AB442" s="244"/>
      <c r="AC442" s="235" t="s">
        <v>678</v>
      </c>
      <c r="AD442" s="235" t="s">
        <v>679</v>
      </c>
      <c r="AE442" s="238">
        <v>560067.0</v>
      </c>
      <c r="AF442" s="235" t="s">
        <v>631</v>
      </c>
      <c r="AG442" s="244"/>
      <c r="AH442" s="244"/>
      <c r="AI442" s="245"/>
      <c r="AJ442" s="245"/>
      <c r="AK442" s="245"/>
      <c r="AL442" s="245"/>
      <c r="AM442" s="244"/>
      <c r="AN442" s="244"/>
      <c r="AO442" s="238">
        <v>0.0</v>
      </c>
      <c r="AP442" s="238">
        <v>-9.04</v>
      </c>
      <c r="AQ442" s="235" t="s">
        <v>632</v>
      </c>
      <c r="AR442" s="243">
        <v>1.68E11</v>
      </c>
      <c r="AS442" s="235" t="s">
        <v>3964</v>
      </c>
      <c r="AT442" s="235" t="s">
        <v>9</v>
      </c>
      <c r="AU442" s="235" t="s">
        <v>634</v>
      </c>
      <c r="AV442" s="246" t="s">
        <v>635</v>
      </c>
      <c r="AW442" s="242"/>
      <c r="AX442" s="242"/>
      <c r="AY442" s="231"/>
      <c r="AZ442" s="231"/>
      <c r="BA442" s="227"/>
      <c r="BB442" s="231"/>
      <c r="BC442" s="227"/>
      <c r="BD442" s="227"/>
      <c r="BE442" s="227"/>
      <c r="BF442" s="227"/>
    </row>
    <row r="443">
      <c r="A443" s="235" t="s">
        <v>4216</v>
      </c>
      <c r="C443" s="235" t="s">
        <v>4217</v>
      </c>
      <c r="D443" s="235" t="s">
        <v>4218</v>
      </c>
      <c r="E443" s="243">
        <v>6.56E13</v>
      </c>
      <c r="F443" s="245"/>
      <c r="G443" s="235" t="s">
        <v>4219</v>
      </c>
      <c r="H443" s="235" t="s">
        <v>4220</v>
      </c>
      <c r="I443" s="235" t="s">
        <v>4220</v>
      </c>
      <c r="J443" s="235" t="s">
        <v>4221</v>
      </c>
      <c r="K443" s="235" t="s">
        <v>4222</v>
      </c>
      <c r="N443" s="235" t="s">
        <v>71</v>
      </c>
      <c r="O443" s="235" t="s">
        <v>240</v>
      </c>
      <c r="P443" s="238">
        <v>1.0</v>
      </c>
      <c r="Q443" s="235" t="s">
        <v>627</v>
      </c>
      <c r="R443" s="238">
        <v>246.66</v>
      </c>
      <c r="S443" s="238">
        <v>11.97</v>
      </c>
      <c r="T443" s="238">
        <v>0.0</v>
      </c>
      <c r="U443" s="238">
        <v>0.0</v>
      </c>
      <c r="V443" s="238">
        <v>0.0</v>
      </c>
      <c r="W443" s="238">
        <v>0.0</v>
      </c>
      <c r="X443" s="235" t="s">
        <v>628</v>
      </c>
      <c r="Z443" s="244"/>
      <c r="AA443" s="244"/>
      <c r="AB443" s="244"/>
      <c r="AC443" s="235" t="s">
        <v>678</v>
      </c>
      <c r="AD443" s="235" t="s">
        <v>679</v>
      </c>
      <c r="AE443" s="238">
        <v>560045.0</v>
      </c>
      <c r="AF443" s="235" t="s">
        <v>631</v>
      </c>
      <c r="AG443" s="244"/>
      <c r="AH443" s="244"/>
      <c r="AI443" s="245"/>
      <c r="AJ443" s="245"/>
      <c r="AK443" s="245"/>
      <c r="AL443" s="245"/>
      <c r="AM443" s="244"/>
      <c r="AN443" s="244"/>
      <c r="AO443" s="238">
        <v>-7.4</v>
      </c>
      <c r="AP443" s="238">
        <v>0.0</v>
      </c>
      <c r="AQ443" s="235" t="s">
        <v>632</v>
      </c>
      <c r="AR443" s="243">
        <v>1.68E11</v>
      </c>
      <c r="AS443" s="235" t="s">
        <v>3964</v>
      </c>
      <c r="AT443" s="235" t="s">
        <v>11</v>
      </c>
      <c r="AU443" s="235" t="s">
        <v>634</v>
      </c>
      <c r="AV443" s="246" t="s">
        <v>635</v>
      </c>
      <c r="AW443" s="242"/>
      <c r="AX443" s="242"/>
      <c r="AY443" s="231"/>
      <c r="AZ443" s="231"/>
      <c r="BA443" s="227"/>
      <c r="BB443" s="231"/>
      <c r="BC443" s="227"/>
      <c r="BD443" s="227"/>
      <c r="BE443" s="227"/>
      <c r="BF443" s="227"/>
    </row>
    <row r="444">
      <c r="A444" s="235" t="s">
        <v>4216</v>
      </c>
      <c r="C444" s="235" t="s">
        <v>4217</v>
      </c>
      <c r="D444" s="235" t="s">
        <v>4223</v>
      </c>
      <c r="E444" s="243">
        <v>6.56E13</v>
      </c>
      <c r="F444" s="245"/>
      <c r="G444" s="235" t="s">
        <v>4219</v>
      </c>
      <c r="H444" s="235" t="s">
        <v>4220</v>
      </c>
      <c r="I444" s="235" t="s">
        <v>4220</v>
      </c>
      <c r="J444" s="235" t="s">
        <v>4221</v>
      </c>
      <c r="K444" s="235" t="s">
        <v>4222</v>
      </c>
      <c r="N444" s="235" t="s">
        <v>71</v>
      </c>
      <c r="O444" s="235" t="s">
        <v>240</v>
      </c>
      <c r="P444" s="238">
        <v>1.0</v>
      </c>
      <c r="Q444" s="235" t="s">
        <v>627</v>
      </c>
      <c r="R444" s="238">
        <v>246.66</v>
      </c>
      <c r="S444" s="238">
        <v>11.97</v>
      </c>
      <c r="T444" s="238">
        <v>0.0</v>
      </c>
      <c r="U444" s="238">
        <v>0.0</v>
      </c>
      <c r="V444" s="238">
        <v>0.0</v>
      </c>
      <c r="W444" s="238">
        <v>0.0</v>
      </c>
      <c r="X444" s="235" t="s">
        <v>628</v>
      </c>
      <c r="Z444" s="244"/>
      <c r="AA444" s="244"/>
      <c r="AB444" s="244"/>
      <c r="AC444" s="235" t="s">
        <v>678</v>
      </c>
      <c r="AD444" s="235" t="s">
        <v>679</v>
      </c>
      <c r="AE444" s="238">
        <v>560045.0</v>
      </c>
      <c r="AF444" s="235" t="s">
        <v>631</v>
      </c>
      <c r="AG444" s="244"/>
      <c r="AH444" s="244"/>
      <c r="AI444" s="245"/>
      <c r="AJ444" s="245"/>
      <c r="AK444" s="245"/>
      <c r="AL444" s="245"/>
      <c r="AM444" s="244"/>
      <c r="AN444" s="244"/>
      <c r="AO444" s="238">
        <v>-7.4</v>
      </c>
      <c r="AP444" s="238">
        <v>0.0</v>
      </c>
      <c r="AQ444" s="235" t="s">
        <v>632</v>
      </c>
      <c r="AR444" s="243">
        <v>1.68E11</v>
      </c>
      <c r="AS444" s="235" t="s">
        <v>3964</v>
      </c>
      <c r="AT444" s="235" t="s">
        <v>11</v>
      </c>
      <c r="AU444" s="235" t="s">
        <v>634</v>
      </c>
      <c r="AV444" s="246" t="s">
        <v>635</v>
      </c>
      <c r="AW444" s="242"/>
      <c r="AX444" s="242"/>
      <c r="AY444" s="231"/>
      <c r="AZ444" s="231"/>
      <c r="BA444" s="227"/>
      <c r="BB444" s="231"/>
      <c r="BC444" s="227"/>
      <c r="BD444" s="227"/>
      <c r="BE444" s="227"/>
      <c r="BF444" s="227"/>
    </row>
    <row r="445">
      <c r="A445" s="235" t="s">
        <v>4216</v>
      </c>
      <c r="C445" s="235" t="s">
        <v>4217</v>
      </c>
      <c r="D445" s="235" t="s">
        <v>4224</v>
      </c>
      <c r="E445" s="243">
        <v>6.56E13</v>
      </c>
      <c r="F445" s="245"/>
      <c r="G445" s="235" t="s">
        <v>4219</v>
      </c>
      <c r="H445" s="235" t="s">
        <v>4220</v>
      </c>
      <c r="I445" s="235" t="s">
        <v>4220</v>
      </c>
      <c r="J445" s="235" t="s">
        <v>4221</v>
      </c>
      <c r="K445" s="235" t="s">
        <v>4222</v>
      </c>
      <c r="N445" s="235" t="s">
        <v>71</v>
      </c>
      <c r="O445" s="235" t="s">
        <v>240</v>
      </c>
      <c r="P445" s="238">
        <v>1.0</v>
      </c>
      <c r="Q445" s="235" t="s">
        <v>627</v>
      </c>
      <c r="R445" s="238">
        <v>246.66</v>
      </c>
      <c r="S445" s="238">
        <v>11.97</v>
      </c>
      <c r="T445" s="238">
        <v>0.0</v>
      </c>
      <c r="U445" s="238">
        <v>0.0</v>
      </c>
      <c r="V445" s="238">
        <v>0.0</v>
      </c>
      <c r="W445" s="238">
        <v>0.0</v>
      </c>
      <c r="X445" s="235" t="s">
        <v>628</v>
      </c>
      <c r="Z445" s="244"/>
      <c r="AA445" s="244"/>
      <c r="AB445" s="244"/>
      <c r="AC445" s="235" t="s">
        <v>678</v>
      </c>
      <c r="AD445" s="235" t="s">
        <v>679</v>
      </c>
      <c r="AE445" s="238">
        <v>560045.0</v>
      </c>
      <c r="AF445" s="235" t="s">
        <v>631</v>
      </c>
      <c r="AG445" s="244"/>
      <c r="AH445" s="244"/>
      <c r="AI445" s="245"/>
      <c r="AJ445" s="245"/>
      <c r="AK445" s="245"/>
      <c r="AL445" s="245"/>
      <c r="AM445" s="244"/>
      <c r="AN445" s="244"/>
      <c r="AO445" s="238">
        <v>-7.4</v>
      </c>
      <c r="AP445" s="238">
        <v>0.0</v>
      </c>
      <c r="AQ445" s="235" t="s">
        <v>632</v>
      </c>
      <c r="AR445" s="243">
        <v>1.68E11</v>
      </c>
      <c r="AS445" s="235" t="s">
        <v>3964</v>
      </c>
      <c r="AT445" s="235" t="s">
        <v>11</v>
      </c>
      <c r="AU445" s="235" t="s">
        <v>634</v>
      </c>
      <c r="AV445" s="246" t="s">
        <v>635</v>
      </c>
      <c r="AW445" s="242"/>
      <c r="AX445" s="242"/>
      <c r="AY445" s="231"/>
      <c r="AZ445" s="231"/>
      <c r="BA445" s="227"/>
      <c r="BB445" s="231"/>
      <c r="BC445" s="227"/>
      <c r="BD445" s="227"/>
      <c r="BE445" s="227"/>
      <c r="BF445" s="227"/>
    </row>
    <row r="446">
      <c r="A446" s="235" t="s">
        <v>4225</v>
      </c>
      <c r="C446" s="235" t="s">
        <v>4226</v>
      </c>
      <c r="D446" s="235" t="s">
        <v>4227</v>
      </c>
      <c r="E446" s="243">
        <v>6.57E13</v>
      </c>
      <c r="F446" s="245"/>
      <c r="G446" s="235" t="s">
        <v>4228</v>
      </c>
      <c r="H446" s="235" t="s">
        <v>4229</v>
      </c>
      <c r="I446" s="235" t="s">
        <v>4229</v>
      </c>
      <c r="J446" s="235" t="s">
        <v>4230</v>
      </c>
      <c r="K446" s="235" t="s">
        <v>4231</v>
      </c>
      <c r="N446" s="235" t="s">
        <v>154</v>
      </c>
      <c r="O446" s="235" t="s">
        <v>766</v>
      </c>
      <c r="P446" s="238">
        <v>1.0</v>
      </c>
      <c r="Q446" s="235" t="s">
        <v>627</v>
      </c>
      <c r="R446" s="238">
        <v>465.71</v>
      </c>
      <c r="S446" s="238">
        <v>23.29</v>
      </c>
      <c r="T446" s="238">
        <v>0.0</v>
      </c>
      <c r="U446" s="238">
        <v>0.0</v>
      </c>
      <c r="V446" s="238">
        <v>0.0</v>
      </c>
      <c r="W446" s="238">
        <v>0.0</v>
      </c>
      <c r="X446" s="235" t="s">
        <v>628</v>
      </c>
      <c r="Z446" s="244"/>
      <c r="AA446" s="244"/>
      <c r="AB446" s="244"/>
      <c r="AC446" s="235" t="s">
        <v>4232</v>
      </c>
      <c r="AD446" s="235" t="s">
        <v>645</v>
      </c>
      <c r="AE446" s="238">
        <v>676122.0</v>
      </c>
      <c r="AF446" s="235" t="s">
        <v>631</v>
      </c>
      <c r="AG446" s="244"/>
      <c r="AH446" s="244"/>
      <c r="AI446" s="245"/>
      <c r="AJ446" s="245"/>
      <c r="AK446" s="245"/>
      <c r="AL446" s="245"/>
      <c r="AM446" s="244"/>
      <c r="AN446" s="244"/>
      <c r="AO446" s="238">
        <v>0.0</v>
      </c>
      <c r="AP446" s="238">
        <v>0.0</v>
      </c>
      <c r="AQ446" s="235" t="s">
        <v>632</v>
      </c>
      <c r="AR446" s="243">
        <v>3.71E11</v>
      </c>
      <c r="AS446" s="235" t="s">
        <v>3284</v>
      </c>
      <c r="AT446" s="235" t="s">
        <v>155</v>
      </c>
      <c r="AU446" s="235" t="s">
        <v>634</v>
      </c>
      <c r="AV446" s="246" t="s">
        <v>635</v>
      </c>
      <c r="AW446" s="242"/>
      <c r="AX446" s="242"/>
      <c r="AY446" s="231"/>
      <c r="AZ446" s="231"/>
      <c r="BA446" s="227"/>
      <c r="BB446" s="231"/>
      <c r="BC446" s="227"/>
      <c r="BD446" s="227"/>
      <c r="BE446" s="227"/>
      <c r="BF446" s="227"/>
    </row>
    <row r="447">
      <c r="A447" s="235" t="s">
        <v>4233</v>
      </c>
      <c r="C447" s="235" t="s">
        <v>4234</v>
      </c>
      <c r="D447" s="235" t="s">
        <v>4235</v>
      </c>
      <c r="E447" s="243">
        <v>6.56E13</v>
      </c>
      <c r="F447" s="245"/>
      <c r="G447" s="235" t="s">
        <v>4236</v>
      </c>
      <c r="H447" s="235" t="s">
        <v>4237</v>
      </c>
      <c r="I447" s="235" t="s">
        <v>4237</v>
      </c>
      <c r="J447" s="235" t="s">
        <v>4238</v>
      </c>
      <c r="K447" s="235" t="s">
        <v>4239</v>
      </c>
      <c r="N447" s="235" t="s">
        <v>127</v>
      </c>
      <c r="O447" s="235" t="s">
        <v>794</v>
      </c>
      <c r="P447" s="238">
        <v>1.0</v>
      </c>
      <c r="Q447" s="235" t="s">
        <v>627</v>
      </c>
      <c r="R447" s="238">
        <v>243.8</v>
      </c>
      <c r="S447" s="238">
        <v>12.2</v>
      </c>
      <c r="T447" s="238">
        <v>0.0</v>
      </c>
      <c r="U447" s="238">
        <v>0.0</v>
      </c>
      <c r="V447" s="238">
        <v>0.0</v>
      </c>
      <c r="W447" s="238">
        <v>0.0</v>
      </c>
      <c r="X447" s="235" t="s">
        <v>628</v>
      </c>
      <c r="Z447" s="244"/>
      <c r="AA447" s="244"/>
      <c r="AB447" s="244"/>
      <c r="AC447" s="235" t="s">
        <v>1961</v>
      </c>
      <c r="AD447" s="235" t="s">
        <v>4240</v>
      </c>
      <c r="AE447" s="238">
        <v>412105.0</v>
      </c>
      <c r="AF447" s="235" t="s">
        <v>631</v>
      </c>
      <c r="AG447" s="244"/>
      <c r="AH447" s="244"/>
      <c r="AI447" s="245"/>
      <c r="AJ447" s="245"/>
      <c r="AK447" s="245"/>
      <c r="AL447" s="245"/>
      <c r="AM447" s="244"/>
      <c r="AN447" s="244"/>
      <c r="AO447" s="238">
        <v>0.0</v>
      </c>
      <c r="AP447" s="238">
        <v>0.0</v>
      </c>
      <c r="AQ447" s="235" t="s">
        <v>632</v>
      </c>
      <c r="AR447" s="243">
        <v>1.68E11</v>
      </c>
      <c r="AS447" s="235" t="s">
        <v>3964</v>
      </c>
      <c r="AT447" s="235" t="s">
        <v>546</v>
      </c>
      <c r="AU447" s="235" t="s">
        <v>634</v>
      </c>
      <c r="AV447" s="246" t="s">
        <v>635</v>
      </c>
      <c r="AW447" s="242"/>
      <c r="AX447" s="242"/>
      <c r="AY447" s="231"/>
      <c r="AZ447" s="231"/>
      <c r="BA447" s="227"/>
      <c r="BB447" s="231"/>
      <c r="BC447" s="227"/>
      <c r="BD447" s="227"/>
      <c r="BE447" s="227"/>
      <c r="BF447" s="227"/>
    </row>
    <row r="448">
      <c r="A448" s="235" t="s">
        <v>4241</v>
      </c>
      <c r="C448" s="235" t="s">
        <v>4242</v>
      </c>
      <c r="D448" s="235" t="s">
        <v>4243</v>
      </c>
      <c r="E448" s="243">
        <v>6.56E13</v>
      </c>
      <c r="F448" s="245"/>
      <c r="G448" s="235" t="s">
        <v>4244</v>
      </c>
      <c r="H448" s="235" t="s">
        <v>4245</v>
      </c>
      <c r="I448" s="235" t="s">
        <v>4246</v>
      </c>
      <c r="J448" s="235" t="s">
        <v>4247</v>
      </c>
      <c r="K448" s="235" t="s">
        <v>4248</v>
      </c>
      <c r="N448" s="235" t="s">
        <v>55</v>
      </c>
      <c r="O448" s="235" t="s">
        <v>244</v>
      </c>
      <c r="P448" s="238">
        <v>1.0</v>
      </c>
      <c r="Q448" s="235" t="s">
        <v>627</v>
      </c>
      <c r="R448" s="238">
        <v>246.66</v>
      </c>
      <c r="S448" s="238">
        <v>12.1</v>
      </c>
      <c r="T448" s="238">
        <v>18.1</v>
      </c>
      <c r="U448" s="238">
        <v>0.9</v>
      </c>
      <c r="V448" s="238">
        <v>0.0</v>
      </c>
      <c r="W448" s="238">
        <v>0.0</v>
      </c>
      <c r="X448" s="235" t="s">
        <v>628</v>
      </c>
      <c r="Z448" s="244"/>
      <c r="AA448" s="244"/>
      <c r="AB448" s="244"/>
      <c r="AC448" s="235" t="s">
        <v>678</v>
      </c>
      <c r="AD448" s="235" t="s">
        <v>679</v>
      </c>
      <c r="AE448" s="238">
        <v>560008.0</v>
      </c>
      <c r="AF448" s="235" t="s">
        <v>631</v>
      </c>
      <c r="AG448" s="244"/>
      <c r="AH448" s="244"/>
      <c r="AI448" s="245"/>
      <c r="AJ448" s="245"/>
      <c r="AK448" s="245"/>
      <c r="AL448" s="245"/>
      <c r="AM448" s="244"/>
      <c r="AN448" s="244"/>
      <c r="AO448" s="238">
        <v>-4.94</v>
      </c>
      <c r="AP448" s="238">
        <v>-18.1</v>
      </c>
      <c r="AQ448" s="235" t="s">
        <v>632</v>
      </c>
      <c r="AR448" s="243">
        <v>1.68E11</v>
      </c>
      <c r="AS448" s="235" t="s">
        <v>3964</v>
      </c>
      <c r="AT448" s="235" t="s">
        <v>11</v>
      </c>
      <c r="AU448" s="235" t="s">
        <v>634</v>
      </c>
      <c r="AV448" s="246" t="s">
        <v>635</v>
      </c>
      <c r="AW448" s="242"/>
      <c r="AX448" s="242"/>
      <c r="AY448" s="231"/>
      <c r="AZ448" s="231"/>
      <c r="BA448" s="227"/>
      <c r="BB448" s="231"/>
      <c r="BC448" s="227"/>
      <c r="BD448" s="227"/>
      <c r="BE448" s="227"/>
      <c r="BF448" s="227"/>
    </row>
    <row r="449">
      <c r="A449" s="235" t="s">
        <v>4250</v>
      </c>
      <c r="C449" s="235" t="s">
        <v>4251</v>
      </c>
      <c r="D449" s="235" t="s">
        <v>4252</v>
      </c>
      <c r="E449" s="243">
        <v>6.57E13</v>
      </c>
      <c r="F449" s="245"/>
      <c r="G449" s="235" t="s">
        <v>4253</v>
      </c>
      <c r="H449" s="235" t="s">
        <v>4254</v>
      </c>
      <c r="I449" s="235" t="s">
        <v>4254</v>
      </c>
      <c r="J449" s="235" t="s">
        <v>4255</v>
      </c>
      <c r="K449" s="235" t="s">
        <v>4256</v>
      </c>
      <c r="N449" s="235" t="s">
        <v>42</v>
      </c>
      <c r="O449" s="235" t="s">
        <v>204</v>
      </c>
      <c r="P449" s="238">
        <v>1.0</v>
      </c>
      <c r="Q449" s="235" t="s">
        <v>627</v>
      </c>
      <c r="R449" s="238">
        <v>237.14</v>
      </c>
      <c r="S449" s="238">
        <v>11.62</v>
      </c>
      <c r="T449" s="238">
        <v>0.0</v>
      </c>
      <c r="U449" s="238">
        <v>0.0</v>
      </c>
      <c r="V449" s="238">
        <v>0.0</v>
      </c>
      <c r="W449" s="238">
        <v>0.0</v>
      </c>
      <c r="X449" s="235" t="s">
        <v>628</v>
      </c>
      <c r="Z449" s="244"/>
      <c r="AA449" s="244"/>
      <c r="AB449" s="244"/>
      <c r="AC449" s="235" t="s">
        <v>1671</v>
      </c>
      <c r="AD449" s="235" t="s">
        <v>666</v>
      </c>
      <c r="AE449" s="238">
        <v>641062.0</v>
      </c>
      <c r="AF449" s="235" t="s">
        <v>631</v>
      </c>
      <c r="AG449" s="244"/>
      <c r="AH449" s="244"/>
      <c r="AI449" s="245"/>
      <c r="AJ449" s="245"/>
      <c r="AK449" s="245"/>
      <c r="AL449" s="245"/>
      <c r="AM449" s="244"/>
      <c r="AN449" s="244"/>
      <c r="AO449" s="238">
        <v>-4.74</v>
      </c>
      <c r="AP449" s="238">
        <v>0.0</v>
      </c>
      <c r="AQ449" s="235" t="s">
        <v>632</v>
      </c>
      <c r="AR449" s="243">
        <v>3.71E11</v>
      </c>
      <c r="AS449" s="235" t="s">
        <v>3284</v>
      </c>
      <c r="AT449" s="235" t="s">
        <v>155</v>
      </c>
      <c r="AU449" s="235" t="s">
        <v>634</v>
      </c>
      <c r="AV449" s="246" t="s">
        <v>635</v>
      </c>
      <c r="AW449" s="242"/>
      <c r="AX449" s="242"/>
      <c r="AY449" s="231"/>
      <c r="AZ449" s="231"/>
      <c r="BA449" s="227"/>
      <c r="BB449" s="231"/>
      <c r="BC449" s="227"/>
      <c r="BD449" s="227"/>
      <c r="BE449" s="227"/>
      <c r="BF449" s="227"/>
    </row>
    <row r="450">
      <c r="A450" s="235" t="s">
        <v>4257</v>
      </c>
      <c r="C450" s="235" t="s">
        <v>4258</v>
      </c>
      <c r="D450" s="235" t="s">
        <v>4259</v>
      </c>
      <c r="E450" s="243">
        <v>6.56E13</v>
      </c>
      <c r="F450" s="245"/>
      <c r="G450" s="235" t="s">
        <v>4260</v>
      </c>
      <c r="H450" s="235" t="s">
        <v>4261</v>
      </c>
      <c r="I450" s="235" t="s">
        <v>4261</v>
      </c>
      <c r="J450" s="235" t="s">
        <v>4262</v>
      </c>
      <c r="K450" s="235" t="s">
        <v>4263</v>
      </c>
      <c r="N450" s="235" t="s">
        <v>92</v>
      </c>
      <c r="O450" s="235" t="s">
        <v>248</v>
      </c>
      <c r="P450" s="238">
        <v>1.0</v>
      </c>
      <c r="Q450" s="235" t="s">
        <v>627</v>
      </c>
      <c r="R450" s="238">
        <v>246.66</v>
      </c>
      <c r="S450" s="238">
        <v>12.34</v>
      </c>
      <c r="T450" s="238">
        <v>0.0</v>
      </c>
      <c r="U450" s="238">
        <v>0.0</v>
      </c>
      <c r="V450" s="238">
        <v>0.0</v>
      </c>
      <c r="W450" s="238">
        <v>0.0</v>
      </c>
      <c r="X450" s="235" t="s">
        <v>628</v>
      </c>
      <c r="Z450" s="244"/>
      <c r="AA450" s="244"/>
      <c r="AB450" s="244"/>
      <c r="AC450" s="235" t="s">
        <v>1998</v>
      </c>
      <c r="AD450" s="235" t="s">
        <v>928</v>
      </c>
      <c r="AE450" s="238">
        <v>121006.0</v>
      </c>
      <c r="AF450" s="235" t="s">
        <v>631</v>
      </c>
      <c r="AG450" s="244"/>
      <c r="AH450" s="244"/>
      <c r="AI450" s="245"/>
      <c r="AJ450" s="245"/>
      <c r="AK450" s="245"/>
      <c r="AL450" s="245"/>
      <c r="AM450" s="244"/>
      <c r="AN450" s="244"/>
      <c r="AO450" s="238">
        <v>0.0</v>
      </c>
      <c r="AP450" s="238">
        <v>0.0</v>
      </c>
      <c r="AQ450" s="235" t="s">
        <v>632</v>
      </c>
      <c r="AR450" s="243">
        <v>1.68E11</v>
      </c>
      <c r="AS450" s="235" t="s">
        <v>3964</v>
      </c>
      <c r="AT450" s="235" t="s">
        <v>14</v>
      </c>
      <c r="AU450" s="235" t="s">
        <v>634</v>
      </c>
      <c r="AV450" s="246" t="s">
        <v>635</v>
      </c>
      <c r="AW450" s="242"/>
      <c r="AX450" s="242"/>
      <c r="AY450" s="231"/>
      <c r="AZ450" s="231"/>
      <c r="BA450" s="227"/>
      <c r="BB450" s="231"/>
      <c r="BC450" s="227"/>
      <c r="BD450" s="227"/>
      <c r="BE450" s="227"/>
      <c r="BF450" s="227"/>
    </row>
    <row r="451">
      <c r="A451" s="235" t="s">
        <v>4264</v>
      </c>
      <c r="C451" s="235" t="s">
        <v>4265</v>
      </c>
      <c r="D451" s="235" t="s">
        <v>4266</v>
      </c>
      <c r="E451" s="243">
        <v>6.56E13</v>
      </c>
      <c r="F451" s="245"/>
      <c r="G451" s="235" t="s">
        <v>4267</v>
      </c>
      <c r="H451" s="235" t="s">
        <v>4268</v>
      </c>
      <c r="I451" s="235" t="s">
        <v>4268</v>
      </c>
      <c r="J451" s="235" t="s">
        <v>4269</v>
      </c>
      <c r="K451" s="235" t="s">
        <v>4270</v>
      </c>
      <c r="N451" s="235" t="s">
        <v>136</v>
      </c>
      <c r="O451" s="235" t="s">
        <v>256</v>
      </c>
      <c r="P451" s="238">
        <v>1.0</v>
      </c>
      <c r="Q451" s="235" t="s">
        <v>627</v>
      </c>
      <c r="R451" s="238">
        <v>246.66</v>
      </c>
      <c r="S451" s="238">
        <v>12.34</v>
      </c>
      <c r="T451" s="238">
        <v>0.0</v>
      </c>
      <c r="U451" s="238">
        <v>0.0</v>
      </c>
      <c r="V451" s="238">
        <v>0.0</v>
      </c>
      <c r="W451" s="238">
        <v>0.0</v>
      </c>
      <c r="X451" s="235" t="s">
        <v>628</v>
      </c>
      <c r="Z451" s="244"/>
      <c r="AA451" s="244"/>
      <c r="AB451" s="244"/>
      <c r="AC451" s="235" t="s">
        <v>1320</v>
      </c>
      <c r="AD451" s="235" t="s">
        <v>666</v>
      </c>
      <c r="AE451" s="238">
        <v>600020.0</v>
      </c>
      <c r="AF451" s="235" t="s">
        <v>631</v>
      </c>
      <c r="AG451" s="244"/>
      <c r="AH451" s="244"/>
      <c r="AI451" s="245"/>
      <c r="AJ451" s="245"/>
      <c r="AK451" s="245"/>
      <c r="AL451" s="245"/>
      <c r="AM451" s="244"/>
      <c r="AN451" s="244"/>
      <c r="AO451" s="238">
        <v>0.0</v>
      </c>
      <c r="AP451" s="238">
        <v>0.0</v>
      </c>
      <c r="AQ451" s="235" t="s">
        <v>632</v>
      </c>
      <c r="AR451" s="243">
        <v>1.68E11</v>
      </c>
      <c r="AS451" s="235" t="s">
        <v>3964</v>
      </c>
      <c r="AT451" s="235" t="s">
        <v>156</v>
      </c>
      <c r="AU451" s="235" t="s">
        <v>634</v>
      </c>
      <c r="AV451" s="246" t="s">
        <v>635</v>
      </c>
      <c r="AW451" s="242"/>
      <c r="AX451" s="242"/>
      <c r="AY451" s="231"/>
      <c r="AZ451" s="231"/>
      <c r="BA451" s="227"/>
      <c r="BB451" s="231"/>
      <c r="BC451" s="227"/>
      <c r="BD451" s="227"/>
      <c r="BE451" s="227"/>
      <c r="BF451" s="227"/>
    </row>
    <row r="452">
      <c r="A452" s="235" t="s">
        <v>4271</v>
      </c>
      <c r="C452" s="235" t="s">
        <v>4272</v>
      </c>
      <c r="D452" s="235" t="s">
        <v>4273</v>
      </c>
      <c r="E452" s="243">
        <v>6.56E13</v>
      </c>
      <c r="F452" s="245"/>
      <c r="G452" s="235" t="s">
        <v>4274</v>
      </c>
      <c r="H452" s="235" t="s">
        <v>4275</v>
      </c>
      <c r="I452" s="235" t="s">
        <v>4276</v>
      </c>
      <c r="J452" s="235" t="s">
        <v>4277</v>
      </c>
      <c r="K452" s="235" t="s">
        <v>4278</v>
      </c>
      <c r="N452" s="235" t="s">
        <v>47</v>
      </c>
      <c r="O452" s="235" t="s">
        <v>270</v>
      </c>
      <c r="P452" s="238">
        <v>1.0</v>
      </c>
      <c r="Q452" s="235" t="s">
        <v>627</v>
      </c>
      <c r="R452" s="238">
        <v>237.14</v>
      </c>
      <c r="S452" s="238">
        <v>11.86</v>
      </c>
      <c r="T452" s="238">
        <v>0.0</v>
      </c>
      <c r="U452" s="238">
        <v>0.0</v>
      </c>
      <c r="V452" s="238">
        <v>0.0</v>
      </c>
      <c r="W452" s="238">
        <v>0.0</v>
      </c>
      <c r="X452" s="235" t="s">
        <v>628</v>
      </c>
      <c r="Z452" s="244"/>
      <c r="AA452" s="244"/>
      <c r="AB452" s="244"/>
      <c r="AC452" s="235" t="s">
        <v>814</v>
      </c>
      <c r="AD452" s="235" t="s">
        <v>698</v>
      </c>
      <c r="AE452" s="238">
        <v>500055.0</v>
      </c>
      <c r="AF452" s="235" t="s">
        <v>631</v>
      </c>
      <c r="AG452" s="244"/>
      <c r="AH452" s="244"/>
      <c r="AI452" s="245"/>
      <c r="AJ452" s="245"/>
      <c r="AK452" s="245"/>
      <c r="AL452" s="245"/>
      <c r="AM452" s="244"/>
      <c r="AN452" s="244"/>
      <c r="AO452" s="238">
        <v>0.0</v>
      </c>
      <c r="AP452" s="238">
        <v>0.0</v>
      </c>
      <c r="AQ452" s="235" t="s">
        <v>632</v>
      </c>
      <c r="AR452" s="243">
        <v>3.71E11</v>
      </c>
      <c r="AS452" s="235" t="s">
        <v>2276</v>
      </c>
      <c r="AT452" s="235" t="s">
        <v>546</v>
      </c>
      <c r="AU452" s="235" t="s">
        <v>634</v>
      </c>
      <c r="AV452" s="246" t="s">
        <v>635</v>
      </c>
      <c r="AW452" s="242"/>
      <c r="AX452" s="242"/>
      <c r="AY452" s="231"/>
      <c r="AZ452" s="231"/>
      <c r="BA452" s="227"/>
      <c r="BB452" s="231"/>
      <c r="BC452" s="227"/>
      <c r="BD452" s="227"/>
      <c r="BE452" s="227"/>
      <c r="BF452" s="227"/>
    </row>
    <row r="453">
      <c r="A453" s="235" t="s">
        <v>4279</v>
      </c>
      <c r="C453" s="235" t="s">
        <v>4280</v>
      </c>
      <c r="D453" s="235" t="s">
        <v>4281</v>
      </c>
      <c r="E453" s="243">
        <v>6.57E13</v>
      </c>
      <c r="F453" s="245"/>
      <c r="G453" s="235" t="s">
        <v>4282</v>
      </c>
      <c r="H453" s="235" t="s">
        <v>4283</v>
      </c>
      <c r="I453" s="235" t="s">
        <v>4283</v>
      </c>
      <c r="J453" s="235" t="s">
        <v>4284</v>
      </c>
      <c r="K453" s="235" t="s">
        <v>4285</v>
      </c>
      <c r="N453" s="235" t="s">
        <v>49</v>
      </c>
      <c r="O453" s="235" t="s">
        <v>321</v>
      </c>
      <c r="P453" s="238">
        <v>1.0</v>
      </c>
      <c r="Q453" s="235" t="s">
        <v>627</v>
      </c>
      <c r="R453" s="238">
        <v>0.0</v>
      </c>
      <c r="S453" s="238">
        <v>0.0</v>
      </c>
      <c r="T453" s="238">
        <v>0.0</v>
      </c>
      <c r="U453" s="238">
        <v>0.0</v>
      </c>
      <c r="V453" s="238">
        <v>0.0</v>
      </c>
      <c r="W453" s="238">
        <v>0.0</v>
      </c>
      <c r="X453" s="235" t="s">
        <v>628</v>
      </c>
      <c r="Z453" s="244"/>
      <c r="AA453" s="244"/>
      <c r="AB453" s="244"/>
      <c r="AC453" s="235" t="s">
        <v>697</v>
      </c>
      <c r="AD453" s="235" t="s">
        <v>698</v>
      </c>
      <c r="AE453" s="238">
        <v>502300.0</v>
      </c>
      <c r="AF453" s="235" t="s">
        <v>631</v>
      </c>
      <c r="AG453" s="244"/>
      <c r="AH453" s="244"/>
      <c r="AI453" s="245"/>
      <c r="AJ453" s="245"/>
      <c r="AK453" s="245"/>
      <c r="AL453" s="245"/>
      <c r="AM453" s="244"/>
      <c r="AN453" s="244"/>
      <c r="AO453" s="238">
        <v>0.0</v>
      </c>
      <c r="AP453" s="238">
        <v>0.0</v>
      </c>
      <c r="AQ453" s="235" t="s">
        <v>632</v>
      </c>
      <c r="AR453" s="243">
        <v>3.71E11</v>
      </c>
      <c r="AS453" s="235" t="s">
        <v>2276</v>
      </c>
      <c r="AT453" s="235" t="s">
        <v>546</v>
      </c>
      <c r="AU453" s="235" t="s">
        <v>634</v>
      </c>
      <c r="AV453" s="246" t="s">
        <v>635</v>
      </c>
      <c r="AW453" s="242"/>
      <c r="AX453" s="242"/>
      <c r="AY453" s="231"/>
      <c r="AZ453" s="231"/>
      <c r="BA453" s="227"/>
      <c r="BB453" s="231"/>
      <c r="BC453" s="227"/>
      <c r="BD453" s="227"/>
      <c r="BE453" s="227"/>
      <c r="BF453" s="227"/>
    </row>
    <row r="454">
      <c r="A454" s="235" t="s">
        <v>4286</v>
      </c>
      <c r="C454" s="235" t="s">
        <v>4287</v>
      </c>
      <c r="D454" s="235" t="s">
        <v>4288</v>
      </c>
      <c r="E454" s="243">
        <v>6.56E13</v>
      </c>
      <c r="F454" s="245"/>
      <c r="G454" s="235" t="s">
        <v>4289</v>
      </c>
      <c r="H454" s="235" t="s">
        <v>4290</v>
      </c>
      <c r="I454" s="235" t="s">
        <v>4291</v>
      </c>
      <c r="J454" s="235" t="s">
        <v>4292</v>
      </c>
      <c r="K454" s="235" t="s">
        <v>4293</v>
      </c>
      <c r="N454" s="235" t="s">
        <v>42</v>
      </c>
      <c r="O454" s="235" t="s">
        <v>204</v>
      </c>
      <c r="P454" s="238">
        <v>1.0</v>
      </c>
      <c r="Q454" s="235" t="s">
        <v>627</v>
      </c>
      <c r="R454" s="238">
        <v>237.14</v>
      </c>
      <c r="S454" s="238">
        <v>11.62</v>
      </c>
      <c r="T454" s="238">
        <v>0.0</v>
      </c>
      <c r="U454" s="238">
        <v>0.0</v>
      </c>
      <c r="V454" s="238">
        <v>0.0</v>
      </c>
      <c r="W454" s="238">
        <v>0.0</v>
      </c>
      <c r="X454" s="235" t="s">
        <v>628</v>
      </c>
      <c r="Z454" s="244"/>
      <c r="AA454" s="244"/>
      <c r="AB454" s="244"/>
      <c r="AC454" s="235" t="s">
        <v>4294</v>
      </c>
      <c r="AD454" s="235" t="s">
        <v>666</v>
      </c>
      <c r="AE454" s="238">
        <v>641607.0</v>
      </c>
      <c r="AF454" s="235" t="s">
        <v>631</v>
      </c>
      <c r="AG454" s="244"/>
      <c r="AH454" s="244"/>
      <c r="AI454" s="245"/>
      <c r="AJ454" s="245"/>
      <c r="AK454" s="245"/>
      <c r="AL454" s="245"/>
      <c r="AM454" s="244"/>
      <c r="AN454" s="244"/>
      <c r="AO454" s="238">
        <v>-4.74</v>
      </c>
      <c r="AP454" s="238">
        <v>0.0</v>
      </c>
      <c r="AQ454" s="235" t="s">
        <v>632</v>
      </c>
      <c r="AR454" s="243">
        <v>3.71E11</v>
      </c>
      <c r="AS454" s="235" t="s">
        <v>3284</v>
      </c>
      <c r="AT454" s="235" t="s">
        <v>155</v>
      </c>
      <c r="AU454" s="235" t="s">
        <v>634</v>
      </c>
      <c r="AV454" s="246" t="s">
        <v>635</v>
      </c>
      <c r="AW454" s="242"/>
      <c r="AX454" s="242"/>
      <c r="AY454" s="231"/>
      <c r="AZ454" s="231"/>
      <c r="BA454" s="227"/>
      <c r="BB454" s="231"/>
      <c r="BC454" s="227"/>
      <c r="BD454" s="227"/>
      <c r="BE454" s="227"/>
      <c r="BF454" s="227"/>
    </row>
    <row r="455">
      <c r="A455" s="235" t="s">
        <v>4295</v>
      </c>
      <c r="C455" s="235" t="s">
        <v>4296</v>
      </c>
      <c r="D455" s="235" t="s">
        <v>4297</v>
      </c>
      <c r="E455" s="243">
        <v>6.56E13</v>
      </c>
      <c r="F455" s="245"/>
      <c r="G455" s="235" t="s">
        <v>4298</v>
      </c>
      <c r="H455" s="235" t="s">
        <v>4299</v>
      </c>
      <c r="I455" s="235" t="s">
        <v>4299</v>
      </c>
      <c r="J455" s="235" t="s">
        <v>4300</v>
      </c>
      <c r="K455" s="235" t="s">
        <v>4301</v>
      </c>
      <c r="N455" s="235" t="s">
        <v>85</v>
      </c>
      <c r="O455" s="235" t="s">
        <v>872</v>
      </c>
      <c r="P455" s="238">
        <v>1.0</v>
      </c>
      <c r="Q455" s="235" t="s">
        <v>627</v>
      </c>
      <c r="R455" s="238">
        <v>246.66</v>
      </c>
      <c r="S455" s="238">
        <v>12.34</v>
      </c>
      <c r="T455" s="238">
        <v>0.0</v>
      </c>
      <c r="U455" s="238">
        <v>0.0</v>
      </c>
      <c r="V455" s="238">
        <v>0.0</v>
      </c>
      <c r="W455" s="238">
        <v>0.0</v>
      </c>
      <c r="X455" s="235" t="s">
        <v>628</v>
      </c>
      <c r="Z455" s="244"/>
      <c r="AA455" s="244"/>
      <c r="AB455" s="244"/>
      <c r="AC455" s="235" t="s">
        <v>4302</v>
      </c>
      <c r="AD455" s="235" t="s">
        <v>1077</v>
      </c>
      <c r="AE455" s="238">
        <v>370465.0</v>
      </c>
      <c r="AF455" s="235" t="s">
        <v>631</v>
      </c>
      <c r="AG455" s="244"/>
      <c r="AH455" s="244"/>
      <c r="AI455" s="245"/>
      <c r="AJ455" s="245"/>
      <c r="AK455" s="245"/>
      <c r="AL455" s="245"/>
      <c r="AM455" s="244"/>
      <c r="AN455" s="244"/>
      <c r="AO455" s="238">
        <v>0.0</v>
      </c>
      <c r="AP455" s="238">
        <v>0.0</v>
      </c>
      <c r="AQ455" s="235" t="s">
        <v>632</v>
      </c>
      <c r="AR455" s="243">
        <v>3.71E11</v>
      </c>
      <c r="AS455" s="235" t="s">
        <v>1367</v>
      </c>
      <c r="AT455" s="235" t="s">
        <v>5</v>
      </c>
      <c r="AU455" s="235" t="s">
        <v>634</v>
      </c>
      <c r="AV455" s="246" t="s">
        <v>635</v>
      </c>
      <c r="AW455" s="242"/>
      <c r="AX455" s="242"/>
      <c r="AY455" s="231"/>
      <c r="AZ455" s="231"/>
      <c r="BA455" s="227"/>
      <c r="BB455" s="231"/>
      <c r="BC455" s="227"/>
      <c r="BD455" s="227"/>
      <c r="BE455" s="227"/>
      <c r="BF455" s="227"/>
    </row>
    <row r="456">
      <c r="A456" s="235" t="s">
        <v>4303</v>
      </c>
      <c r="C456" s="235" t="s">
        <v>4304</v>
      </c>
      <c r="D456" s="235" t="s">
        <v>4305</v>
      </c>
      <c r="E456" s="243">
        <v>6.56E13</v>
      </c>
      <c r="F456" s="245"/>
      <c r="G456" s="235" t="s">
        <v>4306</v>
      </c>
      <c r="H456" s="235" t="s">
        <v>4307</v>
      </c>
      <c r="I456" s="235" t="s">
        <v>4307</v>
      </c>
      <c r="J456" s="235" t="s">
        <v>4308</v>
      </c>
      <c r="K456" s="235" t="s">
        <v>4309</v>
      </c>
      <c r="N456" s="235" t="s">
        <v>85</v>
      </c>
      <c r="O456" s="235" t="s">
        <v>872</v>
      </c>
      <c r="P456" s="238">
        <v>1.0</v>
      </c>
      <c r="Q456" s="235" t="s">
        <v>627</v>
      </c>
      <c r="R456" s="238">
        <v>246.66</v>
      </c>
      <c r="S456" s="238">
        <v>12.34</v>
      </c>
      <c r="T456" s="238">
        <v>0.0</v>
      </c>
      <c r="U456" s="238">
        <v>0.0</v>
      </c>
      <c r="V456" s="238">
        <v>0.0</v>
      </c>
      <c r="W456" s="238">
        <v>0.0</v>
      </c>
      <c r="X456" s="235" t="s">
        <v>628</v>
      </c>
      <c r="Z456" s="244"/>
      <c r="AA456" s="244"/>
      <c r="AB456" s="244"/>
      <c r="AC456" s="235" t="s">
        <v>4310</v>
      </c>
      <c r="AD456" s="235" t="s">
        <v>679</v>
      </c>
      <c r="AE456" s="238">
        <v>562101.0</v>
      </c>
      <c r="AF456" s="235" t="s">
        <v>631</v>
      </c>
      <c r="AG456" s="244"/>
      <c r="AH456" s="244"/>
      <c r="AI456" s="245"/>
      <c r="AJ456" s="245"/>
      <c r="AK456" s="245"/>
      <c r="AL456" s="245"/>
      <c r="AM456" s="244"/>
      <c r="AN456" s="244"/>
      <c r="AO456" s="238">
        <v>0.0</v>
      </c>
      <c r="AP456" s="238">
        <v>0.0</v>
      </c>
      <c r="AQ456" s="235" t="s">
        <v>632</v>
      </c>
      <c r="AR456" s="243">
        <v>1.68E11</v>
      </c>
      <c r="AS456" s="235" t="s">
        <v>3284</v>
      </c>
      <c r="AT456" s="235" t="s">
        <v>11</v>
      </c>
      <c r="AU456" s="235" t="s">
        <v>634</v>
      </c>
      <c r="AV456" s="246" t="s">
        <v>635</v>
      </c>
      <c r="AW456" s="242"/>
      <c r="AX456" s="242"/>
      <c r="AY456" s="231"/>
      <c r="AZ456" s="231"/>
      <c r="BA456" s="227"/>
      <c r="BB456" s="231"/>
      <c r="BC456" s="227"/>
      <c r="BD456" s="227"/>
      <c r="BE456" s="227"/>
      <c r="BF456" s="227"/>
    </row>
    <row r="457">
      <c r="A457" s="235" t="s">
        <v>4311</v>
      </c>
      <c r="C457" s="235" t="s">
        <v>4312</v>
      </c>
      <c r="D457" s="235" t="s">
        <v>4313</v>
      </c>
      <c r="E457" s="243">
        <v>6.56E13</v>
      </c>
      <c r="F457" s="245"/>
      <c r="G457" s="235" t="s">
        <v>3656</v>
      </c>
      <c r="H457" s="235" t="s">
        <v>4314</v>
      </c>
      <c r="I457" s="235" t="s">
        <v>4315</v>
      </c>
      <c r="J457" s="235" t="s">
        <v>4316</v>
      </c>
      <c r="K457" s="235" t="s">
        <v>3660</v>
      </c>
      <c r="N457" s="235" t="s">
        <v>3583</v>
      </c>
      <c r="O457" s="235" t="s">
        <v>3584</v>
      </c>
      <c r="P457" s="238">
        <v>1.0</v>
      </c>
      <c r="Q457" s="235" t="s">
        <v>627</v>
      </c>
      <c r="R457" s="238">
        <v>856.19</v>
      </c>
      <c r="S457" s="238">
        <v>41.53</v>
      </c>
      <c r="T457" s="238">
        <v>0.0</v>
      </c>
      <c r="U457" s="238">
        <v>0.0</v>
      </c>
      <c r="V457" s="238">
        <v>0.0</v>
      </c>
      <c r="W457" s="238">
        <v>0.0</v>
      </c>
      <c r="X457" s="235" t="s">
        <v>628</v>
      </c>
      <c r="Z457" s="244"/>
      <c r="AA457" s="244"/>
      <c r="AB457" s="244"/>
      <c r="AC457" s="235" t="s">
        <v>1531</v>
      </c>
      <c r="AD457" s="235" t="s">
        <v>1151</v>
      </c>
      <c r="AE457" s="238">
        <v>700105.0</v>
      </c>
      <c r="AF457" s="235" t="s">
        <v>631</v>
      </c>
      <c r="AG457" s="244"/>
      <c r="AH457" s="244"/>
      <c r="AI457" s="245"/>
      <c r="AJ457" s="245"/>
      <c r="AK457" s="245"/>
      <c r="AL457" s="245"/>
      <c r="AM457" s="244"/>
      <c r="AN457" s="244"/>
      <c r="AO457" s="238">
        <v>-25.69</v>
      </c>
      <c r="AP457" s="238">
        <v>0.0</v>
      </c>
      <c r="AQ457" s="235" t="s">
        <v>632</v>
      </c>
      <c r="AR457" s="243">
        <v>3.71E11</v>
      </c>
      <c r="AS457" s="235" t="s">
        <v>667</v>
      </c>
      <c r="AT457" s="235" t="s">
        <v>14</v>
      </c>
      <c r="AU457" s="235" t="s">
        <v>634</v>
      </c>
      <c r="AV457" s="246" t="s">
        <v>635</v>
      </c>
      <c r="AW457" s="242"/>
      <c r="AX457" s="242"/>
      <c r="AY457" s="231"/>
      <c r="AZ457" s="231"/>
      <c r="BA457" s="227"/>
      <c r="BB457" s="231"/>
      <c r="BC457" s="227"/>
      <c r="BD457" s="227"/>
      <c r="BE457" s="227"/>
      <c r="BF457" s="227"/>
    </row>
    <row r="458">
      <c r="A458" s="235" t="s">
        <v>4311</v>
      </c>
      <c r="C458" s="235" t="s">
        <v>4317</v>
      </c>
      <c r="D458" s="235" t="s">
        <v>4318</v>
      </c>
      <c r="E458" s="243">
        <v>6.56E13</v>
      </c>
      <c r="F458" s="245"/>
      <c r="G458" s="235" t="s">
        <v>3656</v>
      </c>
      <c r="H458" s="235" t="s">
        <v>4319</v>
      </c>
      <c r="I458" s="235" t="s">
        <v>4320</v>
      </c>
      <c r="J458" s="235" t="s">
        <v>4321</v>
      </c>
      <c r="K458" s="235" t="s">
        <v>3660</v>
      </c>
      <c r="N458" s="235" t="s">
        <v>3583</v>
      </c>
      <c r="O458" s="235" t="s">
        <v>3584</v>
      </c>
      <c r="P458" s="238">
        <v>1.0</v>
      </c>
      <c r="Q458" s="235" t="s">
        <v>627</v>
      </c>
      <c r="R458" s="238">
        <v>856.19</v>
      </c>
      <c r="S458" s="238">
        <v>41.53</v>
      </c>
      <c r="T458" s="238">
        <v>0.0</v>
      </c>
      <c r="U458" s="238">
        <v>0.0</v>
      </c>
      <c r="V458" s="238">
        <v>0.0</v>
      </c>
      <c r="W458" s="238">
        <v>0.0</v>
      </c>
      <c r="X458" s="235" t="s">
        <v>628</v>
      </c>
      <c r="Z458" s="244"/>
      <c r="AA458" s="244"/>
      <c r="AB458" s="244"/>
      <c r="AC458" s="235" t="s">
        <v>1531</v>
      </c>
      <c r="AD458" s="235" t="s">
        <v>1151</v>
      </c>
      <c r="AE458" s="238">
        <v>700105.0</v>
      </c>
      <c r="AF458" s="235" t="s">
        <v>631</v>
      </c>
      <c r="AG458" s="244"/>
      <c r="AH458" s="244"/>
      <c r="AI458" s="245"/>
      <c r="AJ458" s="245"/>
      <c r="AK458" s="245"/>
      <c r="AL458" s="245"/>
      <c r="AM458" s="244"/>
      <c r="AN458" s="244"/>
      <c r="AO458" s="238">
        <v>-25.69</v>
      </c>
      <c r="AP458" s="238">
        <v>0.0</v>
      </c>
      <c r="AQ458" s="235" t="s">
        <v>632</v>
      </c>
      <c r="AR458" s="243">
        <v>3.71E11</v>
      </c>
      <c r="AS458" s="235" t="s">
        <v>667</v>
      </c>
      <c r="AT458" s="235" t="s">
        <v>14</v>
      </c>
      <c r="AU458" s="235" t="s">
        <v>634</v>
      </c>
      <c r="AV458" s="246" t="s">
        <v>635</v>
      </c>
      <c r="AW458" s="242"/>
      <c r="AX458" s="242"/>
      <c r="AY458" s="231"/>
      <c r="AZ458" s="231"/>
      <c r="BA458" s="227"/>
      <c r="BB458" s="231"/>
      <c r="BC458" s="227"/>
      <c r="BD458" s="227"/>
      <c r="BE458" s="227"/>
      <c r="BF458" s="227"/>
    </row>
    <row r="459">
      <c r="A459" s="235" t="s">
        <v>4322</v>
      </c>
      <c r="C459" s="235" t="s">
        <v>4323</v>
      </c>
      <c r="D459" s="235" t="s">
        <v>4324</v>
      </c>
      <c r="E459" s="243">
        <v>6.56E13</v>
      </c>
      <c r="F459" s="245"/>
      <c r="G459" s="235" t="s">
        <v>4325</v>
      </c>
      <c r="H459" s="235" t="s">
        <v>4326</v>
      </c>
      <c r="I459" s="235" t="s">
        <v>4326</v>
      </c>
      <c r="J459" s="235" t="s">
        <v>4327</v>
      </c>
      <c r="K459" s="235" t="s">
        <v>4328</v>
      </c>
      <c r="N459" s="235" t="s">
        <v>92</v>
      </c>
      <c r="O459" s="235" t="s">
        <v>248</v>
      </c>
      <c r="P459" s="238">
        <v>1.0</v>
      </c>
      <c r="Q459" s="235" t="s">
        <v>627</v>
      </c>
      <c r="R459" s="238">
        <v>246.67</v>
      </c>
      <c r="S459" s="238">
        <v>12.33</v>
      </c>
      <c r="T459" s="238">
        <v>38.1</v>
      </c>
      <c r="U459" s="238">
        <v>1.9</v>
      </c>
      <c r="V459" s="238">
        <v>0.0</v>
      </c>
      <c r="W459" s="238">
        <v>0.0</v>
      </c>
      <c r="X459" s="235" t="s">
        <v>628</v>
      </c>
      <c r="Z459" s="244"/>
      <c r="AA459" s="244"/>
      <c r="AB459" s="244"/>
      <c r="AC459" s="235" t="s">
        <v>2333</v>
      </c>
      <c r="AD459" s="235" t="s">
        <v>645</v>
      </c>
      <c r="AE459" s="238">
        <v>689585.0</v>
      </c>
      <c r="AF459" s="235" t="s">
        <v>631</v>
      </c>
      <c r="AG459" s="244"/>
      <c r="AH459" s="244"/>
      <c r="AI459" s="245"/>
      <c r="AJ459" s="245"/>
      <c r="AK459" s="245"/>
      <c r="AL459" s="245"/>
      <c r="AM459" s="244"/>
      <c r="AN459" s="244"/>
      <c r="AO459" s="238">
        <v>0.0</v>
      </c>
      <c r="AP459" s="238">
        <v>-38.1</v>
      </c>
      <c r="AQ459" s="235" t="s">
        <v>632</v>
      </c>
      <c r="AR459" s="243">
        <v>3.71E11</v>
      </c>
      <c r="AS459" s="235" t="s">
        <v>2276</v>
      </c>
      <c r="AT459" s="235" t="s">
        <v>155</v>
      </c>
      <c r="AU459" s="235" t="s">
        <v>634</v>
      </c>
      <c r="AV459" s="246" t="s">
        <v>635</v>
      </c>
      <c r="AW459" s="242"/>
      <c r="AX459" s="242"/>
      <c r="AY459" s="231"/>
      <c r="AZ459" s="231"/>
      <c r="BA459" s="227"/>
      <c r="BB459" s="231"/>
      <c r="BC459" s="227"/>
      <c r="BD459" s="227"/>
      <c r="BE459" s="227"/>
      <c r="BF459" s="227"/>
    </row>
    <row r="460">
      <c r="A460" s="235" t="s">
        <v>4329</v>
      </c>
      <c r="C460" s="235" t="s">
        <v>4330</v>
      </c>
      <c r="D460" s="235" t="s">
        <v>4331</v>
      </c>
      <c r="E460" s="243">
        <v>6.56E13</v>
      </c>
      <c r="F460" s="245"/>
      <c r="G460" s="235" t="s">
        <v>4332</v>
      </c>
      <c r="H460" s="235" t="s">
        <v>4333</v>
      </c>
      <c r="I460" s="235" t="s">
        <v>4333</v>
      </c>
      <c r="J460" s="235" t="s">
        <v>4334</v>
      </c>
      <c r="K460" s="235" t="s">
        <v>4335</v>
      </c>
      <c r="N460" s="235" t="s">
        <v>143</v>
      </c>
      <c r="O460" s="235" t="s">
        <v>220</v>
      </c>
      <c r="P460" s="238">
        <v>1.0</v>
      </c>
      <c r="Q460" s="235" t="s">
        <v>627</v>
      </c>
      <c r="R460" s="238">
        <v>246.67</v>
      </c>
      <c r="S460" s="238">
        <v>12.33</v>
      </c>
      <c r="T460" s="238">
        <v>0.0</v>
      </c>
      <c r="U460" s="238">
        <v>0.0</v>
      </c>
      <c r="V460" s="238">
        <v>0.0</v>
      </c>
      <c r="W460" s="238">
        <v>0.0</v>
      </c>
      <c r="X460" s="235" t="s">
        <v>628</v>
      </c>
      <c r="Z460" s="244"/>
      <c r="AA460" s="244"/>
      <c r="AB460" s="244"/>
      <c r="AC460" s="235" t="s">
        <v>814</v>
      </c>
      <c r="AD460" s="235" t="s">
        <v>698</v>
      </c>
      <c r="AE460" s="238">
        <v>500058.0</v>
      </c>
      <c r="AF460" s="235" t="s">
        <v>631</v>
      </c>
      <c r="AG460" s="244"/>
      <c r="AH460" s="244"/>
      <c r="AI460" s="245"/>
      <c r="AJ460" s="245"/>
      <c r="AK460" s="245"/>
      <c r="AL460" s="245"/>
      <c r="AM460" s="244"/>
      <c r="AN460" s="244"/>
      <c r="AO460" s="238">
        <v>0.0</v>
      </c>
      <c r="AP460" s="238">
        <v>0.0</v>
      </c>
      <c r="AQ460" s="235" t="s">
        <v>632</v>
      </c>
      <c r="AR460" s="243">
        <v>2.02E11</v>
      </c>
      <c r="AS460" s="235" t="s">
        <v>3284</v>
      </c>
      <c r="AT460" s="235" t="s">
        <v>156</v>
      </c>
      <c r="AU460" s="235" t="s">
        <v>634</v>
      </c>
      <c r="AV460" s="246" t="s">
        <v>635</v>
      </c>
      <c r="AW460" s="242"/>
      <c r="AX460" s="242"/>
      <c r="AY460" s="231"/>
      <c r="AZ460" s="231"/>
      <c r="BA460" s="227"/>
      <c r="BB460" s="231"/>
      <c r="BC460" s="227"/>
      <c r="BD460" s="227"/>
      <c r="BE460" s="227"/>
      <c r="BF460" s="227"/>
    </row>
    <row r="461">
      <c r="A461" s="235" t="s">
        <v>4336</v>
      </c>
      <c r="C461" s="235" t="s">
        <v>4337</v>
      </c>
      <c r="D461" s="235" t="s">
        <v>4338</v>
      </c>
      <c r="E461" s="243">
        <v>6.56E13</v>
      </c>
      <c r="F461" s="245"/>
      <c r="G461" s="235" t="s">
        <v>4339</v>
      </c>
      <c r="H461" s="235" t="s">
        <v>4340</v>
      </c>
      <c r="I461" s="235" t="s">
        <v>4340</v>
      </c>
      <c r="J461" s="235" t="s">
        <v>4341</v>
      </c>
      <c r="K461" s="235" t="s">
        <v>4342</v>
      </c>
      <c r="N461" s="235" t="s">
        <v>141</v>
      </c>
      <c r="O461" s="235" t="s">
        <v>342</v>
      </c>
      <c r="P461" s="238">
        <v>1.0</v>
      </c>
      <c r="Q461" s="235" t="s">
        <v>627</v>
      </c>
      <c r="R461" s="238">
        <v>246.66</v>
      </c>
      <c r="S461" s="238">
        <v>12.34</v>
      </c>
      <c r="T461" s="238">
        <v>75.24</v>
      </c>
      <c r="U461" s="238">
        <v>3.76</v>
      </c>
      <c r="V461" s="238">
        <v>0.0</v>
      </c>
      <c r="W461" s="238">
        <v>0.0</v>
      </c>
      <c r="X461" s="235" t="s">
        <v>628</v>
      </c>
      <c r="Z461" s="244"/>
      <c r="AA461" s="244"/>
      <c r="AB461" s="244"/>
      <c r="AC461" s="235" t="s">
        <v>4343</v>
      </c>
      <c r="AD461" s="235" t="s">
        <v>845</v>
      </c>
      <c r="AE461" s="238">
        <v>413002.0</v>
      </c>
      <c r="AF461" s="235" t="s">
        <v>631</v>
      </c>
      <c r="AG461" s="244"/>
      <c r="AH461" s="244"/>
      <c r="AI461" s="245"/>
      <c r="AJ461" s="245"/>
      <c r="AK461" s="245"/>
      <c r="AL461" s="245"/>
      <c r="AM461" s="244"/>
      <c r="AN461" s="244"/>
      <c r="AO461" s="238">
        <v>0.0</v>
      </c>
      <c r="AP461" s="238">
        <v>-75.24</v>
      </c>
      <c r="AQ461" s="235" t="s">
        <v>632</v>
      </c>
      <c r="AR461" s="243">
        <v>1.68E11</v>
      </c>
      <c r="AS461" s="235" t="s">
        <v>3284</v>
      </c>
      <c r="AT461" s="235" t="s">
        <v>546</v>
      </c>
      <c r="AU461" s="235" t="s">
        <v>634</v>
      </c>
      <c r="AV461" s="246" t="s">
        <v>635</v>
      </c>
      <c r="AW461" s="242"/>
      <c r="AX461" s="242"/>
      <c r="AY461" s="231"/>
      <c r="AZ461" s="231"/>
      <c r="BA461" s="227"/>
      <c r="BB461" s="231"/>
      <c r="BC461" s="227"/>
      <c r="BD461" s="227"/>
      <c r="BE461" s="227"/>
      <c r="BF461" s="227"/>
    </row>
    <row r="462">
      <c r="A462" s="235" t="s">
        <v>4344</v>
      </c>
      <c r="C462" s="235" t="s">
        <v>4345</v>
      </c>
      <c r="D462" s="235" t="s">
        <v>4346</v>
      </c>
      <c r="E462" s="243">
        <v>6.56E13</v>
      </c>
      <c r="F462" s="245"/>
      <c r="G462" s="235" t="s">
        <v>4347</v>
      </c>
      <c r="H462" s="235" t="s">
        <v>4348</v>
      </c>
      <c r="I462" s="235" t="s">
        <v>4348</v>
      </c>
      <c r="J462" s="235" t="s">
        <v>4349</v>
      </c>
      <c r="K462" s="235" t="s">
        <v>4350</v>
      </c>
      <c r="N462" s="235" t="s">
        <v>82</v>
      </c>
      <c r="O462" s="235" t="s">
        <v>889</v>
      </c>
      <c r="P462" s="238">
        <v>1.0</v>
      </c>
      <c r="Q462" s="235" t="s">
        <v>627</v>
      </c>
      <c r="R462" s="238">
        <v>246.67</v>
      </c>
      <c r="S462" s="238">
        <v>12.33</v>
      </c>
      <c r="T462" s="238">
        <v>0.0</v>
      </c>
      <c r="U462" s="238">
        <v>0.0</v>
      </c>
      <c r="V462" s="238">
        <v>0.0</v>
      </c>
      <c r="W462" s="238">
        <v>0.0</v>
      </c>
      <c r="X462" s="235" t="s">
        <v>628</v>
      </c>
      <c r="Z462" s="244"/>
      <c r="AA462" s="244"/>
      <c r="AB462" s="244"/>
      <c r="AC462" s="235" t="s">
        <v>1792</v>
      </c>
      <c r="AD462" s="235" t="s">
        <v>1077</v>
      </c>
      <c r="AE462" s="238">
        <v>390019.0</v>
      </c>
      <c r="AF462" s="235" t="s">
        <v>631</v>
      </c>
      <c r="AG462" s="244"/>
      <c r="AH462" s="244"/>
      <c r="AI462" s="245"/>
      <c r="AJ462" s="245"/>
      <c r="AK462" s="245"/>
      <c r="AL462" s="245"/>
      <c r="AM462" s="244"/>
      <c r="AN462" s="244"/>
      <c r="AO462" s="238">
        <v>0.0</v>
      </c>
      <c r="AP462" s="238">
        <v>0.0</v>
      </c>
      <c r="AQ462" s="235" t="s">
        <v>632</v>
      </c>
      <c r="AR462" s="243">
        <v>1.68E11</v>
      </c>
      <c r="AS462" s="235" t="s">
        <v>2276</v>
      </c>
      <c r="AT462" s="235" t="s">
        <v>17</v>
      </c>
      <c r="AU462" s="235" t="s">
        <v>634</v>
      </c>
      <c r="AV462" s="246" t="s">
        <v>635</v>
      </c>
      <c r="AW462" s="242"/>
      <c r="AX462" s="242"/>
      <c r="AY462" s="231"/>
      <c r="AZ462" s="231"/>
      <c r="BA462" s="227"/>
      <c r="BB462" s="231"/>
      <c r="BC462" s="227"/>
      <c r="BD462" s="227"/>
      <c r="BE462" s="227"/>
      <c r="BF462" s="227"/>
    </row>
    <row r="463">
      <c r="A463" s="235" t="s">
        <v>4351</v>
      </c>
      <c r="C463" s="235" t="s">
        <v>4352</v>
      </c>
      <c r="D463" s="235" t="s">
        <v>4353</v>
      </c>
      <c r="E463" s="243">
        <v>6.56E13</v>
      </c>
      <c r="F463" s="245"/>
      <c r="G463" s="235" t="s">
        <v>4354</v>
      </c>
      <c r="H463" s="235" t="s">
        <v>4355</v>
      </c>
      <c r="I463" s="235" t="s">
        <v>4355</v>
      </c>
      <c r="J463" s="235" t="s">
        <v>4356</v>
      </c>
      <c r="K463" s="235" t="s">
        <v>3202</v>
      </c>
      <c r="N463" s="235" t="s">
        <v>154</v>
      </c>
      <c r="O463" s="235" t="s">
        <v>766</v>
      </c>
      <c r="P463" s="238">
        <v>1.0</v>
      </c>
      <c r="Q463" s="235" t="s">
        <v>627</v>
      </c>
      <c r="R463" s="238">
        <v>465.72</v>
      </c>
      <c r="S463" s="238">
        <v>23.28</v>
      </c>
      <c r="T463" s="238">
        <v>0.0</v>
      </c>
      <c r="U463" s="238">
        <v>0.0</v>
      </c>
      <c r="V463" s="238">
        <v>0.0</v>
      </c>
      <c r="W463" s="238">
        <v>0.0</v>
      </c>
      <c r="X463" s="235" t="s">
        <v>628</v>
      </c>
      <c r="Z463" s="244"/>
      <c r="AA463" s="244"/>
      <c r="AB463" s="244"/>
      <c r="AC463" s="235" t="s">
        <v>1095</v>
      </c>
      <c r="AD463" s="235" t="s">
        <v>845</v>
      </c>
      <c r="AE463" s="238">
        <v>410206.0</v>
      </c>
      <c r="AF463" s="235" t="s">
        <v>631</v>
      </c>
      <c r="AG463" s="244"/>
      <c r="AH463" s="244"/>
      <c r="AI463" s="245"/>
      <c r="AJ463" s="245"/>
      <c r="AK463" s="245"/>
      <c r="AL463" s="245"/>
      <c r="AM463" s="244"/>
      <c r="AN463" s="244"/>
      <c r="AO463" s="238">
        <v>0.0</v>
      </c>
      <c r="AP463" s="238">
        <v>0.0</v>
      </c>
      <c r="AQ463" s="235" t="s">
        <v>632</v>
      </c>
      <c r="AR463" s="243">
        <v>3.71E11</v>
      </c>
      <c r="AS463" s="235" t="s">
        <v>3284</v>
      </c>
      <c r="AT463" s="235" t="s">
        <v>16</v>
      </c>
      <c r="AU463" s="235" t="s">
        <v>634</v>
      </c>
      <c r="AV463" s="246" t="s">
        <v>635</v>
      </c>
      <c r="AW463" s="242"/>
      <c r="AX463" s="242"/>
      <c r="AY463" s="231"/>
      <c r="AZ463" s="231"/>
      <c r="BA463" s="227"/>
      <c r="BB463" s="231"/>
      <c r="BC463" s="227"/>
      <c r="BD463" s="227"/>
      <c r="BE463" s="227"/>
      <c r="BF463" s="227"/>
    </row>
    <row r="464">
      <c r="A464" s="235" t="s">
        <v>4357</v>
      </c>
      <c r="C464" s="235" t="s">
        <v>4358</v>
      </c>
      <c r="D464" s="235" t="s">
        <v>4359</v>
      </c>
      <c r="E464" s="243">
        <v>6.56E13</v>
      </c>
      <c r="F464" s="245"/>
      <c r="G464" s="235" t="s">
        <v>4360</v>
      </c>
      <c r="H464" s="235" t="s">
        <v>4361</v>
      </c>
      <c r="I464" s="235" t="s">
        <v>4361</v>
      </c>
      <c r="J464" s="235" t="s">
        <v>4362</v>
      </c>
      <c r="K464" s="235" t="s">
        <v>4363</v>
      </c>
      <c r="N464" s="235" t="s">
        <v>82</v>
      </c>
      <c r="O464" s="235" t="s">
        <v>889</v>
      </c>
      <c r="P464" s="238">
        <v>1.0</v>
      </c>
      <c r="Q464" s="235" t="s">
        <v>627</v>
      </c>
      <c r="R464" s="238">
        <v>246.66</v>
      </c>
      <c r="S464" s="238">
        <v>12.34</v>
      </c>
      <c r="T464" s="238">
        <v>0.0</v>
      </c>
      <c r="U464" s="238">
        <v>0.0</v>
      </c>
      <c r="V464" s="238">
        <v>0.0</v>
      </c>
      <c r="W464" s="238">
        <v>0.0</v>
      </c>
      <c r="X464" s="235" t="s">
        <v>628</v>
      </c>
      <c r="Z464" s="244"/>
      <c r="AA464" s="244"/>
      <c r="AB464" s="244"/>
      <c r="AC464" s="235" t="s">
        <v>4364</v>
      </c>
      <c r="AD464" s="235" t="s">
        <v>845</v>
      </c>
      <c r="AE464" s="238">
        <v>410201.0</v>
      </c>
      <c r="AF464" s="235" t="s">
        <v>631</v>
      </c>
      <c r="AG464" s="244"/>
      <c r="AH464" s="244"/>
      <c r="AI464" s="245"/>
      <c r="AJ464" s="245"/>
      <c r="AK464" s="245"/>
      <c r="AL464" s="245"/>
      <c r="AM464" s="244"/>
      <c r="AN464" s="244"/>
      <c r="AO464" s="238">
        <v>0.0</v>
      </c>
      <c r="AP464" s="238">
        <v>0.0</v>
      </c>
      <c r="AQ464" s="235" t="s">
        <v>632</v>
      </c>
      <c r="AR464" s="243">
        <v>1.68E11</v>
      </c>
      <c r="AS464" s="235" t="s">
        <v>3284</v>
      </c>
      <c r="AT464" s="235" t="s">
        <v>16</v>
      </c>
      <c r="AU464" s="235" t="s">
        <v>634</v>
      </c>
      <c r="AV464" s="246" t="s">
        <v>635</v>
      </c>
      <c r="AW464" s="242"/>
      <c r="AX464" s="242"/>
      <c r="AY464" s="231"/>
      <c r="AZ464" s="231"/>
      <c r="BA464" s="227"/>
      <c r="BB464" s="231"/>
      <c r="BC464" s="227"/>
      <c r="BD464" s="227"/>
      <c r="BE464" s="227"/>
      <c r="BF464" s="227"/>
    </row>
    <row r="465">
      <c r="A465" s="235" t="s">
        <v>4365</v>
      </c>
      <c r="C465" s="235" t="s">
        <v>4366</v>
      </c>
      <c r="D465" s="235" t="s">
        <v>4367</v>
      </c>
      <c r="E465" s="243">
        <v>6.57E13</v>
      </c>
      <c r="F465" s="245"/>
      <c r="G465" s="235" t="s">
        <v>4368</v>
      </c>
      <c r="H465" s="235" t="s">
        <v>4007</v>
      </c>
      <c r="I465" s="235" t="s">
        <v>4007</v>
      </c>
      <c r="J465" s="235" t="s">
        <v>4369</v>
      </c>
      <c r="K465" s="235" t="s">
        <v>4370</v>
      </c>
      <c r="N465" s="235" t="s">
        <v>1346</v>
      </c>
      <c r="O465" s="235" t="s">
        <v>1347</v>
      </c>
      <c r="P465" s="238">
        <v>1.0</v>
      </c>
      <c r="Q465" s="235" t="s">
        <v>627</v>
      </c>
      <c r="R465" s="238">
        <v>256.19</v>
      </c>
      <c r="S465" s="238">
        <v>12.81</v>
      </c>
      <c r="T465" s="238">
        <v>0.0</v>
      </c>
      <c r="U465" s="238">
        <v>0.0</v>
      </c>
      <c r="V465" s="238">
        <v>0.0</v>
      </c>
      <c r="W465" s="238">
        <v>0.0</v>
      </c>
      <c r="X465" s="235" t="s">
        <v>628</v>
      </c>
      <c r="Z465" s="244"/>
      <c r="AA465" s="244"/>
      <c r="AB465" s="244"/>
      <c r="AC465" s="235" t="s">
        <v>697</v>
      </c>
      <c r="AD465" s="235" t="s">
        <v>698</v>
      </c>
      <c r="AE465" s="238">
        <v>500023.0</v>
      </c>
      <c r="AF465" s="235" t="s">
        <v>631</v>
      </c>
      <c r="AG465" s="244"/>
      <c r="AH465" s="244"/>
      <c r="AI465" s="245"/>
      <c r="AJ465" s="245"/>
      <c r="AK465" s="245"/>
      <c r="AL465" s="245"/>
      <c r="AM465" s="244"/>
      <c r="AN465" s="244"/>
      <c r="AO465" s="238">
        <v>0.0</v>
      </c>
      <c r="AP465" s="238">
        <v>0.0</v>
      </c>
      <c r="AQ465" s="235" t="s">
        <v>632</v>
      </c>
      <c r="AR465" s="243">
        <v>2.02E11</v>
      </c>
      <c r="AS465" s="235" t="s">
        <v>3284</v>
      </c>
      <c r="AT465" s="235" t="s">
        <v>156</v>
      </c>
      <c r="AU465" s="235" t="s">
        <v>634</v>
      </c>
      <c r="AV465" s="246" t="s">
        <v>635</v>
      </c>
      <c r="AW465" s="242"/>
      <c r="AX465" s="242"/>
      <c r="AY465" s="231"/>
      <c r="AZ465" s="231"/>
      <c r="BA465" s="227"/>
      <c r="BB465" s="231"/>
      <c r="BC465" s="227"/>
      <c r="BD465" s="227"/>
      <c r="BE465" s="227"/>
      <c r="BF465" s="227"/>
    </row>
    <row r="466">
      <c r="A466" s="235" t="s">
        <v>4371</v>
      </c>
      <c r="C466" s="235" t="s">
        <v>4372</v>
      </c>
      <c r="D466" s="235" t="s">
        <v>4373</v>
      </c>
      <c r="E466" s="243">
        <v>6.56E13</v>
      </c>
      <c r="F466" s="245"/>
      <c r="G466" s="235" t="s">
        <v>4374</v>
      </c>
      <c r="H466" s="235" t="s">
        <v>4375</v>
      </c>
      <c r="I466" s="235" t="s">
        <v>4376</v>
      </c>
      <c r="J466" s="235" t="s">
        <v>4377</v>
      </c>
      <c r="K466" s="235" t="s">
        <v>4378</v>
      </c>
      <c r="N466" s="235" t="s">
        <v>144</v>
      </c>
      <c r="O466" s="235" t="s">
        <v>232</v>
      </c>
      <c r="P466" s="238">
        <v>1.0</v>
      </c>
      <c r="Q466" s="235" t="s">
        <v>627</v>
      </c>
      <c r="R466" s="238">
        <v>665.72</v>
      </c>
      <c r="S466" s="238">
        <v>33.28</v>
      </c>
      <c r="T466" s="238">
        <v>0.0</v>
      </c>
      <c r="U466" s="238">
        <v>0.0</v>
      </c>
      <c r="V466" s="238">
        <v>0.0</v>
      </c>
      <c r="W466" s="238">
        <v>0.0</v>
      </c>
      <c r="X466" s="235" t="s">
        <v>628</v>
      </c>
      <c r="Z466" s="244"/>
      <c r="AA466" s="244"/>
      <c r="AB466" s="244"/>
      <c r="AC466" s="235" t="s">
        <v>1255</v>
      </c>
      <c r="AD466" s="235" t="s">
        <v>845</v>
      </c>
      <c r="AE466" s="238">
        <v>400606.0</v>
      </c>
      <c r="AF466" s="235" t="s">
        <v>631</v>
      </c>
      <c r="AG466" s="244"/>
      <c r="AH466" s="244"/>
      <c r="AI466" s="245"/>
      <c r="AJ466" s="245"/>
      <c r="AK466" s="245"/>
      <c r="AL466" s="245"/>
      <c r="AM466" s="244"/>
      <c r="AN466" s="244"/>
      <c r="AO466" s="238">
        <v>0.0</v>
      </c>
      <c r="AP466" s="238">
        <v>0.0</v>
      </c>
      <c r="AQ466" s="235" t="s">
        <v>632</v>
      </c>
      <c r="AR466" s="243">
        <v>3.71E11</v>
      </c>
      <c r="AS466" s="235" t="s">
        <v>3284</v>
      </c>
      <c r="AT466" s="235" t="s">
        <v>16</v>
      </c>
      <c r="AU466" s="235" t="s">
        <v>634</v>
      </c>
      <c r="AV466" s="246" t="s">
        <v>635</v>
      </c>
      <c r="AW466" s="242"/>
      <c r="AX466" s="242"/>
      <c r="AY466" s="231"/>
      <c r="AZ466" s="231"/>
      <c r="BA466" s="227"/>
      <c r="BB466" s="231"/>
      <c r="BC466" s="227"/>
      <c r="BD466" s="227"/>
      <c r="BE466" s="227"/>
      <c r="BF466" s="227"/>
    </row>
    <row r="467">
      <c r="A467" s="235" t="s">
        <v>4379</v>
      </c>
      <c r="C467" s="235" t="s">
        <v>4380</v>
      </c>
      <c r="D467" s="235" t="s">
        <v>4381</v>
      </c>
      <c r="E467" s="243">
        <v>6.56E13</v>
      </c>
      <c r="F467" s="245"/>
      <c r="G467" s="235" t="s">
        <v>4382</v>
      </c>
      <c r="H467" s="235" t="s">
        <v>4383</v>
      </c>
      <c r="I467" s="235" t="s">
        <v>4384</v>
      </c>
      <c r="J467" s="235" t="s">
        <v>4385</v>
      </c>
      <c r="K467" s="235" t="s">
        <v>4386</v>
      </c>
      <c r="N467" s="235" t="s">
        <v>134</v>
      </c>
      <c r="O467" s="235" t="s">
        <v>314</v>
      </c>
      <c r="P467" s="238">
        <v>1.0</v>
      </c>
      <c r="Q467" s="235" t="s">
        <v>627</v>
      </c>
      <c r="R467" s="238">
        <v>246.66</v>
      </c>
      <c r="S467" s="238">
        <v>12.34</v>
      </c>
      <c r="T467" s="238">
        <v>0.0</v>
      </c>
      <c r="U467" s="238">
        <v>0.0</v>
      </c>
      <c r="V467" s="238">
        <v>0.0</v>
      </c>
      <c r="W467" s="238">
        <v>0.0</v>
      </c>
      <c r="X467" s="235" t="s">
        <v>628</v>
      </c>
      <c r="Z467" s="244"/>
      <c r="AA467" s="244"/>
      <c r="AB467" s="244"/>
      <c r="AC467" s="235" t="s">
        <v>4387</v>
      </c>
      <c r="AD467" s="235" t="s">
        <v>845</v>
      </c>
      <c r="AE467" s="238">
        <v>421301.0</v>
      </c>
      <c r="AF467" s="235" t="s">
        <v>631</v>
      </c>
      <c r="AG467" s="244"/>
      <c r="AH467" s="244"/>
      <c r="AI467" s="245"/>
      <c r="AJ467" s="245"/>
      <c r="AK467" s="245"/>
      <c r="AL467" s="245"/>
      <c r="AM467" s="244"/>
      <c r="AN467" s="244"/>
      <c r="AO467" s="238">
        <v>0.0</v>
      </c>
      <c r="AP467" s="238">
        <v>0.0</v>
      </c>
      <c r="AQ467" s="235" t="s">
        <v>632</v>
      </c>
      <c r="AR467" s="243">
        <v>3.71E11</v>
      </c>
      <c r="AS467" s="235" t="s">
        <v>3284</v>
      </c>
      <c r="AT467" s="235" t="s">
        <v>16</v>
      </c>
      <c r="AU467" s="235" t="s">
        <v>634</v>
      </c>
      <c r="AV467" s="246" t="s">
        <v>635</v>
      </c>
      <c r="AW467" s="242"/>
      <c r="AX467" s="242"/>
      <c r="AY467" s="231"/>
      <c r="AZ467" s="231"/>
      <c r="BA467" s="227"/>
      <c r="BB467" s="231"/>
      <c r="BC467" s="227"/>
      <c r="BD467" s="227"/>
      <c r="BE467" s="227"/>
      <c r="BF467" s="227"/>
    </row>
    <row r="468">
      <c r="A468" s="235" t="s">
        <v>4390</v>
      </c>
      <c r="C468" s="235" t="s">
        <v>4391</v>
      </c>
      <c r="D468" s="235" t="s">
        <v>4392</v>
      </c>
      <c r="E468" s="243">
        <v>6.56E13</v>
      </c>
      <c r="F468" s="245"/>
      <c r="G468" s="235" t="s">
        <v>4393</v>
      </c>
      <c r="H468" s="235" t="s">
        <v>4394</v>
      </c>
      <c r="I468" s="235" t="s">
        <v>4394</v>
      </c>
      <c r="J468" s="235" t="s">
        <v>4395</v>
      </c>
      <c r="K468" s="235" t="s">
        <v>4396</v>
      </c>
      <c r="N468" s="235" t="s">
        <v>566</v>
      </c>
      <c r="O468" s="235" t="s">
        <v>1834</v>
      </c>
      <c r="P468" s="238">
        <v>1.0</v>
      </c>
      <c r="Q468" s="235" t="s">
        <v>627</v>
      </c>
      <c r="R468" s="238">
        <v>422.88</v>
      </c>
      <c r="S468" s="238">
        <v>76.12</v>
      </c>
      <c r="T468" s="238">
        <v>33.9</v>
      </c>
      <c r="U468" s="238">
        <v>6.1</v>
      </c>
      <c r="V468" s="238">
        <v>0.0</v>
      </c>
      <c r="W468" s="238">
        <v>0.0</v>
      </c>
      <c r="X468" s="235" t="s">
        <v>628</v>
      </c>
      <c r="Z468" s="244"/>
      <c r="AA468" s="244"/>
      <c r="AB468" s="244"/>
      <c r="AC468" s="235" t="s">
        <v>4397</v>
      </c>
      <c r="AD468" s="235" t="s">
        <v>1151</v>
      </c>
      <c r="AE468" s="238">
        <v>700136.0</v>
      </c>
      <c r="AF468" s="235" t="s">
        <v>631</v>
      </c>
      <c r="AG468" s="244"/>
      <c r="AH468" s="244"/>
      <c r="AI468" s="245"/>
      <c r="AJ468" s="245"/>
      <c r="AK468" s="245"/>
      <c r="AL468" s="245"/>
      <c r="AM468" s="244"/>
      <c r="AN468" s="244"/>
      <c r="AO468" s="238">
        <v>0.0</v>
      </c>
      <c r="AP468" s="238">
        <v>-33.9</v>
      </c>
      <c r="AQ468" s="235" t="s">
        <v>632</v>
      </c>
      <c r="AR468" s="243">
        <v>3.71E11</v>
      </c>
      <c r="AS468" s="235" t="s">
        <v>667</v>
      </c>
      <c r="AT468" s="235" t="s">
        <v>11</v>
      </c>
      <c r="AU468" s="235" t="s">
        <v>634</v>
      </c>
      <c r="AV468" s="246" t="s">
        <v>635</v>
      </c>
      <c r="AW468" s="242"/>
      <c r="AX468" s="242"/>
      <c r="AY468" s="231"/>
      <c r="AZ468" s="231"/>
      <c r="BA468" s="227"/>
      <c r="BB468" s="231"/>
      <c r="BC468" s="227"/>
      <c r="BD468" s="227"/>
      <c r="BE468" s="227"/>
      <c r="BF468" s="227"/>
    </row>
    <row r="469">
      <c r="A469" s="235" t="s">
        <v>4398</v>
      </c>
      <c r="C469" s="235" t="s">
        <v>4399</v>
      </c>
      <c r="D469" s="235" t="s">
        <v>4400</v>
      </c>
      <c r="E469" s="243">
        <v>6.56E13</v>
      </c>
      <c r="F469" s="245"/>
      <c r="G469" s="235" t="s">
        <v>4401</v>
      </c>
      <c r="H469" s="235" t="s">
        <v>4402</v>
      </c>
      <c r="I469" s="235" t="s">
        <v>4402</v>
      </c>
      <c r="J469" s="235" t="s">
        <v>4403</v>
      </c>
      <c r="K469" s="235" t="s">
        <v>4404</v>
      </c>
      <c r="N469" s="235" t="s">
        <v>962</v>
      </c>
      <c r="O469" s="235" t="s">
        <v>963</v>
      </c>
      <c r="P469" s="238">
        <v>1.0</v>
      </c>
      <c r="Q469" s="235" t="s">
        <v>627</v>
      </c>
      <c r="R469" s="238">
        <v>246.66</v>
      </c>
      <c r="S469" s="238">
        <v>12.34</v>
      </c>
      <c r="T469" s="238">
        <v>0.0</v>
      </c>
      <c r="U469" s="238">
        <v>0.0</v>
      </c>
      <c r="V469" s="238">
        <v>0.0</v>
      </c>
      <c r="W469" s="238">
        <v>0.0</v>
      </c>
      <c r="X469" s="235" t="s">
        <v>628</v>
      </c>
      <c r="Z469" s="244"/>
      <c r="AA469" s="244"/>
      <c r="AB469" s="244"/>
      <c r="AC469" s="235" t="s">
        <v>757</v>
      </c>
      <c r="AD469" s="235" t="s">
        <v>666</v>
      </c>
      <c r="AE469" s="238">
        <v>625002.0</v>
      </c>
      <c r="AF469" s="235" t="s">
        <v>631</v>
      </c>
      <c r="AG469" s="244"/>
      <c r="AH469" s="244"/>
      <c r="AI469" s="245"/>
      <c r="AJ469" s="245"/>
      <c r="AK469" s="245"/>
      <c r="AL469" s="245"/>
      <c r="AM469" s="244"/>
      <c r="AN469" s="244"/>
      <c r="AO469" s="238">
        <v>0.0</v>
      </c>
      <c r="AP469" s="238">
        <v>0.0</v>
      </c>
      <c r="AQ469" s="235" t="s">
        <v>632</v>
      </c>
      <c r="AR469" s="243">
        <v>3.71E11</v>
      </c>
      <c r="AS469" s="235" t="s">
        <v>3284</v>
      </c>
      <c r="AT469" s="235" t="s">
        <v>155</v>
      </c>
      <c r="AU469" s="235" t="s">
        <v>634</v>
      </c>
      <c r="AV469" s="246" t="s">
        <v>635</v>
      </c>
      <c r="AW469" s="242"/>
      <c r="AX469" s="242"/>
      <c r="AY469" s="231"/>
      <c r="AZ469" s="231"/>
      <c r="BA469" s="227"/>
      <c r="BB469" s="231"/>
      <c r="BC469" s="227"/>
      <c r="BD469" s="227"/>
      <c r="BE469" s="227"/>
      <c r="BF469" s="227"/>
    </row>
    <row r="470">
      <c r="A470" s="235" t="s">
        <v>4405</v>
      </c>
      <c r="C470" s="235" t="s">
        <v>4406</v>
      </c>
      <c r="D470" s="235" t="s">
        <v>4407</v>
      </c>
      <c r="E470" s="243">
        <v>6.56E13</v>
      </c>
      <c r="F470" s="245"/>
      <c r="G470" s="235" t="s">
        <v>4408</v>
      </c>
      <c r="H470" s="235" t="s">
        <v>4409</v>
      </c>
      <c r="I470" s="235" t="s">
        <v>4409</v>
      </c>
      <c r="J470" s="235" t="s">
        <v>4410</v>
      </c>
      <c r="K470" s="235" t="s">
        <v>4411</v>
      </c>
      <c r="N470" s="235" t="s">
        <v>85</v>
      </c>
      <c r="O470" s="235" t="s">
        <v>872</v>
      </c>
      <c r="P470" s="238">
        <v>1.0</v>
      </c>
      <c r="Q470" s="235" t="s">
        <v>627</v>
      </c>
      <c r="R470" s="238">
        <v>246.67</v>
      </c>
      <c r="S470" s="238">
        <v>12.33</v>
      </c>
      <c r="T470" s="238">
        <v>38.1</v>
      </c>
      <c r="U470" s="238">
        <v>1.9</v>
      </c>
      <c r="V470" s="238">
        <v>0.0</v>
      </c>
      <c r="W470" s="238">
        <v>0.0</v>
      </c>
      <c r="X470" s="235" t="s">
        <v>628</v>
      </c>
      <c r="Z470" s="244"/>
      <c r="AA470" s="244"/>
      <c r="AB470" s="244"/>
      <c r="AC470" s="235" t="s">
        <v>4412</v>
      </c>
      <c r="AD470" s="235" t="s">
        <v>666</v>
      </c>
      <c r="AE470" s="238">
        <v>621804.0</v>
      </c>
      <c r="AF470" s="235" t="s">
        <v>631</v>
      </c>
      <c r="AG470" s="244"/>
      <c r="AH470" s="244"/>
      <c r="AI470" s="245"/>
      <c r="AJ470" s="245"/>
      <c r="AK470" s="245"/>
      <c r="AL470" s="245"/>
      <c r="AM470" s="244"/>
      <c r="AN470" s="244"/>
      <c r="AO470" s="238">
        <v>0.0</v>
      </c>
      <c r="AP470" s="238">
        <v>-38.1</v>
      </c>
      <c r="AQ470" s="235" t="s">
        <v>632</v>
      </c>
      <c r="AR470" s="243">
        <v>3.71E11</v>
      </c>
      <c r="AS470" s="235" t="s">
        <v>1367</v>
      </c>
      <c r="AT470" s="235" t="s">
        <v>9</v>
      </c>
      <c r="AU470" s="235" t="s">
        <v>634</v>
      </c>
      <c r="AV470" s="246" t="s">
        <v>635</v>
      </c>
      <c r="AW470" s="242"/>
      <c r="AX470" s="242"/>
      <c r="AY470" s="231"/>
      <c r="AZ470" s="231"/>
      <c r="BA470" s="227"/>
      <c r="BB470" s="231"/>
      <c r="BC470" s="227"/>
      <c r="BD470" s="227"/>
      <c r="BE470" s="227"/>
      <c r="BF470" s="227"/>
    </row>
    <row r="471">
      <c r="A471" s="235" t="s">
        <v>4413</v>
      </c>
      <c r="C471" s="235" t="s">
        <v>4414</v>
      </c>
      <c r="D471" s="235" t="s">
        <v>4415</v>
      </c>
      <c r="E471" s="243">
        <v>6.56E13</v>
      </c>
      <c r="F471" s="245"/>
      <c r="G471" s="235" t="s">
        <v>4416</v>
      </c>
      <c r="H471" s="235" t="s">
        <v>4417</v>
      </c>
      <c r="I471" s="235" t="s">
        <v>4417</v>
      </c>
      <c r="J471" s="235" t="s">
        <v>4418</v>
      </c>
      <c r="K471" s="235" t="s">
        <v>4419</v>
      </c>
      <c r="N471" s="235" t="s">
        <v>842</v>
      </c>
      <c r="O471" s="235" t="s">
        <v>843</v>
      </c>
      <c r="P471" s="238">
        <v>1.0</v>
      </c>
      <c r="Q471" s="235" t="s">
        <v>627</v>
      </c>
      <c r="R471" s="238">
        <v>246.67</v>
      </c>
      <c r="S471" s="238">
        <v>12.33</v>
      </c>
      <c r="T471" s="238">
        <v>0.0</v>
      </c>
      <c r="U471" s="238">
        <v>0.0</v>
      </c>
      <c r="V471" s="238">
        <v>0.0</v>
      </c>
      <c r="W471" s="238">
        <v>0.0</v>
      </c>
      <c r="X471" s="235" t="s">
        <v>628</v>
      </c>
      <c r="Z471" s="244"/>
      <c r="AA471" s="244"/>
      <c r="AB471" s="244"/>
      <c r="AC471" s="235" t="s">
        <v>4420</v>
      </c>
      <c r="AD471" s="235" t="s">
        <v>630</v>
      </c>
      <c r="AE471" s="238">
        <v>208007.0</v>
      </c>
      <c r="AF471" s="235" t="s">
        <v>631</v>
      </c>
      <c r="AG471" s="244"/>
      <c r="AH471" s="244"/>
      <c r="AI471" s="245"/>
      <c r="AJ471" s="245"/>
      <c r="AK471" s="245"/>
      <c r="AL471" s="245"/>
      <c r="AM471" s="244"/>
      <c r="AN471" s="244"/>
      <c r="AO471" s="238">
        <v>0.0</v>
      </c>
      <c r="AP471" s="238">
        <v>0.0</v>
      </c>
      <c r="AQ471" s="235" t="s">
        <v>632</v>
      </c>
      <c r="AR471" s="243">
        <v>3.71E11</v>
      </c>
      <c r="AS471" s="235" t="s">
        <v>2276</v>
      </c>
      <c r="AT471" s="235" t="s">
        <v>13</v>
      </c>
      <c r="AU471" s="235" t="s">
        <v>634</v>
      </c>
      <c r="AV471" s="246" t="s">
        <v>635</v>
      </c>
      <c r="AW471" s="242"/>
      <c r="AX471" s="242"/>
      <c r="AY471" s="231"/>
      <c r="AZ471" s="231"/>
      <c r="BA471" s="227"/>
      <c r="BB471" s="231"/>
      <c r="BC471" s="227"/>
      <c r="BD471" s="227"/>
      <c r="BE471" s="227"/>
      <c r="BF471" s="227"/>
    </row>
    <row r="472">
      <c r="A472" s="235" t="s">
        <v>4421</v>
      </c>
      <c r="C472" s="235" t="s">
        <v>4422</v>
      </c>
      <c r="D472" s="235" t="s">
        <v>4423</v>
      </c>
      <c r="E472" s="243">
        <v>6.56E13</v>
      </c>
      <c r="F472" s="245"/>
      <c r="G472" s="235" t="s">
        <v>4424</v>
      </c>
      <c r="H472" s="235" t="s">
        <v>4425</v>
      </c>
      <c r="I472" s="235" t="s">
        <v>4426</v>
      </c>
      <c r="J472" s="235" t="s">
        <v>4427</v>
      </c>
      <c r="K472" s="235" t="s">
        <v>4428</v>
      </c>
      <c r="N472" s="235" t="s">
        <v>127</v>
      </c>
      <c r="O472" s="235" t="s">
        <v>794</v>
      </c>
      <c r="P472" s="238">
        <v>1.0</v>
      </c>
      <c r="Q472" s="235" t="s">
        <v>627</v>
      </c>
      <c r="R472" s="238">
        <v>246.67</v>
      </c>
      <c r="S472" s="238">
        <v>12.33</v>
      </c>
      <c r="T472" s="238">
        <v>0.0</v>
      </c>
      <c r="U472" s="238">
        <v>0.0</v>
      </c>
      <c r="V472" s="238">
        <v>0.0</v>
      </c>
      <c r="W472" s="238">
        <v>0.0</v>
      </c>
      <c r="X472" s="235" t="s">
        <v>628</v>
      </c>
      <c r="Z472" s="244"/>
      <c r="AA472" s="244"/>
      <c r="AB472" s="244"/>
      <c r="AC472" s="235" t="s">
        <v>1085</v>
      </c>
      <c r="AD472" s="235" t="s">
        <v>1086</v>
      </c>
      <c r="AE472" s="238">
        <v>141003.0</v>
      </c>
      <c r="AF472" s="235" t="s">
        <v>631</v>
      </c>
      <c r="AG472" s="244"/>
      <c r="AH472" s="244"/>
      <c r="AI472" s="245"/>
      <c r="AJ472" s="245"/>
      <c r="AK472" s="245"/>
      <c r="AL472" s="245"/>
      <c r="AM472" s="244"/>
      <c r="AN472" s="244"/>
      <c r="AO472" s="238">
        <v>0.0</v>
      </c>
      <c r="AP472" s="238">
        <v>0.0</v>
      </c>
      <c r="AQ472" s="235" t="s">
        <v>632</v>
      </c>
      <c r="AR472" s="243">
        <v>1.68E11</v>
      </c>
      <c r="AS472" s="235" t="s">
        <v>3284</v>
      </c>
      <c r="AT472" s="235" t="s">
        <v>14</v>
      </c>
      <c r="AU472" s="235" t="s">
        <v>634</v>
      </c>
      <c r="AV472" s="246" t="s">
        <v>635</v>
      </c>
      <c r="AW472" s="242"/>
      <c r="AX472" s="242"/>
      <c r="AY472" s="231"/>
      <c r="AZ472" s="231"/>
      <c r="BA472" s="227"/>
      <c r="BB472" s="231"/>
      <c r="BC472" s="227"/>
      <c r="BD472" s="227"/>
      <c r="BE472" s="227"/>
      <c r="BF472" s="227"/>
    </row>
    <row r="473">
      <c r="A473" s="235" t="s">
        <v>4429</v>
      </c>
      <c r="C473" s="235" t="s">
        <v>4430</v>
      </c>
      <c r="D473" s="235" t="s">
        <v>4431</v>
      </c>
      <c r="E473" s="243">
        <v>6.56E13</v>
      </c>
      <c r="F473" s="245"/>
      <c r="G473" s="235" t="s">
        <v>4432</v>
      </c>
      <c r="H473" s="235" t="s">
        <v>4433</v>
      </c>
      <c r="I473" s="235" t="s">
        <v>4433</v>
      </c>
      <c r="J473" s="235" t="s">
        <v>4434</v>
      </c>
      <c r="K473" s="235" t="s">
        <v>4435</v>
      </c>
      <c r="N473" s="235" t="s">
        <v>138</v>
      </c>
      <c r="O473" s="235" t="s">
        <v>675</v>
      </c>
      <c r="P473" s="238">
        <v>1.0</v>
      </c>
      <c r="Q473" s="235" t="s">
        <v>627</v>
      </c>
      <c r="R473" s="238">
        <v>246.67</v>
      </c>
      <c r="S473" s="238">
        <v>12.33</v>
      </c>
      <c r="T473" s="238">
        <v>38.1</v>
      </c>
      <c r="U473" s="238">
        <v>1.9</v>
      </c>
      <c r="V473" s="238">
        <v>0.0</v>
      </c>
      <c r="W473" s="238">
        <v>0.0</v>
      </c>
      <c r="X473" s="235" t="s">
        <v>628</v>
      </c>
      <c r="Z473" s="244"/>
      <c r="AA473" s="244"/>
      <c r="AB473" s="244"/>
      <c r="AC473" s="235" t="s">
        <v>1531</v>
      </c>
      <c r="AD473" s="235" t="s">
        <v>1151</v>
      </c>
      <c r="AE473" s="238">
        <v>700070.0</v>
      </c>
      <c r="AF473" s="235" t="s">
        <v>631</v>
      </c>
      <c r="AG473" s="244"/>
      <c r="AH473" s="244"/>
      <c r="AI473" s="245"/>
      <c r="AJ473" s="245"/>
      <c r="AK473" s="245"/>
      <c r="AL473" s="245"/>
      <c r="AM473" s="244"/>
      <c r="AN473" s="244"/>
      <c r="AO473" s="238">
        <v>0.0</v>
      </c>
      <c r="AP473" s="238">
        <v>-38.1</v>
      </c>
      <c r="AQ473" s="235" t="s">
        <v>632</v>
      </c>
      <c r="AR473" s="243">
        <v>3.71E11</v>
      </c>
      <c r="AS473" s="235" t="s">
        <v>667</v>
      </c>
      <c r="AT473" s="235" t="s">
        <v>14</v>
      </c>
      <c r="AU473" s="235" t="s">
        <v>634</v>
      </c>
      <c r="AV473" s="246" t="s">
        <v>635</v>
      </c>
      <c r="AW473" s="242"/>
      <c r="AX473" s="242"/>
      <c r="AY473" s="231"/>
      <c r="AZ473" s="231"/>
      <c r="BA473" s="227"/>
      <c r="BB473" s="231"/>
      <c r="BC473" s="227"/>
      <c r="BD473" s="227"/>
      <c r="BE473" s="227"/>
      <c r="BF473" s="227"/>
    </row>
    <row r="474">
      <c r="A474" s="235" t="s">
        <v>4436</v>
      </c>
      <c r="C474" s="235" t="s">
        <v>4437</v>
      </c>
      <c r="D474" s="235" t="s">
        <v>4438</v>
      </c>
      <c r="E474" s="243">
        <v>6.56E13</v>
      </c>
      <c r="F474" s="245"/>
      <c r="G474" s="235" t="s">
        <v>4439</v>
      </c>
      <c r="H474" s="235" t="s">
        <v>4440</v>
      </c>
      <c r="I474" s="235" t="s">
        <v>4441</v>
      </c>
      <c r="J474" s="235" t="s">
        <v>4442</v>
      </c>
      <c r="K474" s="235" t="s">
        <v>4443</v>
      </c>
      <c r="N474" s="235" t="s">
        <v>154</v>
      </c>
      <c r="O474" s="235" t="s">
        <v>766</v>
      </c>
      <c r="P474" s="238">
        <v>1.0</v>
      </c>
      <c r="Q474" s="235" t="s">
        <v>627</v>
      </c>
      <c r="R474" s="238">
        <v>465.72</v>
      </c>
      <c r="S474" s="238">
        <v>23.28</v>
      </c>
      <c r="T474" s="238">
        <v>9.04</v>
      </c>
      <c r="U474" s="238">
        <v>0.46</v>
      </c>
      <c r="V474" s="238">
        <v>0.0</v>
      </c>
      <c r="W474" s="238">
        <v>0.0</v>
      </c>
      <c r="X474" s="235" t="s">
        <v>628</v>
      </c>
      <c r="Z474" s="244"/>
      <c r="AA474" s="244"/>
      <c r="AB474" s="244"/>
      <c r="AC474" s="235" t="s">
        <v>687</v>
      </c>
      <c r="AD474" s="235" t="s">
        <v>666</v>
      </c>
      <c r="AE474" s="238">
        <v>600017.0</v>
      </c>
      <c r="AF474" s="235" t="s">
        <v>631</v>
      </c>
      <c r="AG474" s="244"/>
      <c r="AH474" s="244"/>
      <c r="AI474" s="245"/>
      <c r="AJ474" s="245"/>
      <c r="AK474" s="245"/>
      <c r="AL474" s="245"/>
      <c r="AM474" s="244"/>
      <c r="AN474" s="244"/>
      <c r="AO474" s="238">
        <v>0.0</v>
      </c>
      <c r="AP474" s="238">
        <v>-9.04</v>
      </c>
      <c r="AQ474" s="235" t="s">
        <v>632</v>
      </c>
      <c r="AR474" s="243">
        <v>1.68E11</v>
      </c>
      <c r="AS474" s="235" t="s">
        <v>3964</v>
      </c>
      <c r="AT474" s="235" t="s">
        <v>156</v>
      </c>
      <c r="AU474" s="235" t="s">
        <v>634</v>
      </c>
      <c r="AV474" s="246" t="s">
        <v>635</v>
      </c>
      <c r="AW474" s="242"/>
      <c r="AX474" s="242"/>
      <c r="AY474" s="231"/>
      <c r="AZ474" s="231"/>
      <c r="BA474" s="227"/>
      <c r="BB474" s="231"/>
      <c r="BC474" s="227"/>
      <c r="BD474" s="227"/>
      <c r="BE474" s="227"/>
      <c r="BF474" s="227"/>
    </row>
    <row r="475">
      <c r="A475" s="235" t="s">
        <v>4444</v>
      </c>
      <c r="C475" s="235" t="s">
        <v>4445</v>
      </c>
      <c r="D475" s="235" t="s">
        <v>4446</v>
      </c>
      <c r="E475" s="243">
        <v>6.56E13</v>
      </c>
      <c r="F475" s="245"/>
      <c r="G475" s="235" t="s">
        <v>4447</v>
      </c>
      <c r="H475" s="235" t="s">
        <v>4448</v>
      </c>
      <c r="I475" s="235" t="s">
        <v>4448</v>
      </c>
      <c r="J475" s="235" t="s">
        <v>4449</v>
      </c>
      <c r="K475" s="235" t="s">
        <v>4450</v>
      </c>
      <c r="N475" s="235" t="s">
        <v>141</v>
      </c>
      <c r="O475" s="235" t="s">
        <v>342</v>
      </c>
      <c r="P475" s="238">
        <v>1.0</v>
      </c>
      <c r="Q475" s="235" t="s">
        <v>627</v>
      </c>
      <c r="R475" s="238">
        <v>246.66</v>
      </c>
      <c r="S475" s="238">
        <v>12.34</v>
      </c>
      <c r="T475" s="238">
        <v>0.0</v>
      </c>
      <c r="U475" s="238">
        <v>0.0</v>
      </c>
      <c r="V475" s="238">
        <v>0.0</v>
      </c>
      <c r="W475" s="238">
        <v>0.0</v>
      </c>
      <c r="X475" s="235" t="s">
        <v>628</v>
      </c>
      <c r="Z475" s="244"/>
      <c r="AA475" s="244"/>
      <c r="AB475" s="244"/>
      <c r="AC475" s="235" t="s">
        <v>687</v>
      </c>
      <c r="AD475" s="235" t="s">
        <v>666</v>
      </c>
      <c r="AE475" s="238">
        <v>600041.0</v>
      </c>
      <c r="AF475" s="235" t="s">
        <v>631</v>
      </c>
      <c r="AG475" s="244"/>
      <c r="AH475" s="244"/>
      <c r="AI475" s="245"/>
      <c r="AJ475" s="245"/>
      <c r="AK475" s="245"/>
      <c r="AL475" s="245"/>
      <c r="AM475" s="244"/>
      <c r="AN475" s="244"/>
      <c r="AO475" s="238">
        <v>0.0</v>
      </c>
      <c r="AP475" s="238">
        <v>0.0</v>
      </c>
      <c r="AQ475" s="235" t="s">
        <v>632</v>
      </c>
      <c r="AR475" s="243">
        <v>1.68E11</v>
      </c>
      <c r="AS475" s="235" t="s">
        <v>3964</v>
      </c>
      <c r="AT475" s="235" t="s">
        <v>156</v>
      </c>
      <c r="AU475" s="235" t="s">
        <v>634</v>
      </c>
      <c r="AV475" s="246" t="s">
        <v>635</v>
      </c>
      <c r="AW475" s="242"/>
      <c r="AX475" s="242"/>
      <c r="AY475" s="231"/>
      <c r="AZ475" s="231"/>
      <c r="BA475" s="227"/>
      <c r="BB475" s="231"/>
      <c r="BC475" s="227"/>
      <c r="BD475" s="227"/>
      <c r="BE475" s="227"/>
      <c r="BF475" s="227"/>
    </row>
    <row r="476">
      <c r="A476" s="235" t="s">
        <v>4451</v>
      </c>
      <c r="C476" s="235" t="s">
        <v>4452</v>
      </c>
      <c r="D476" s="235" t="s">
        <v>4453</v>
      </c>
      <c r="E476" s="243">
        <v>6.56E13</v>
      </c>
      <c r="F476" s="245"/>
      <c r="G476" s="235" t="s">
        <v>4454</v>
      </c>
      <c r="H476" s="235" t="s">
        <v>4455</v>
      </c>
      <c r="I476" s="235" t="s">
        <v>4455</v>
      </c>
      <c r="J476" s="235" t="s">
        <v>4456</v>
      </c>
      <c r="K476" s="235" t="s">
        <v>4457</v>
      </c>
      <c r="N476" s="235" t="s">
        <v>148</v>
      </c>
      <c r="O476" s="235" t="s">
        <v>1006</v>
      </c>
      <c r="P476" s="238">
        <v>1.0</v>
      </c>
      <c r="Q476" s="235" t="s">
        <v>627</v>
      </c>
      <c r="R476" s="238">
        <v>283.8</v>
      </c>
      <c r="S476" s="238">
        <v>14.2</v>
      </c>
      <c r="T476" s="238">
        <v>75.24</v>
      </c>
      <c r="U476" s="238">
        <v>3.76</v>
      </c>
      <c r="V476" s="238">
        <v>0.0</v>
      </c>
      <c r="W476" s="238">
        <v>0.0</v>
      </c>
      <c r="X476" s="235" t="s">
        <v>628</v>
      </c>
      <c r="Z476" s="244"/>
      <c r="AA476" s="244"/>
      <c r="AB476" s="244"/>
      <c r="AC476" s="235" t="s">
        <v>4387</v>
      </c>
      <c r="AD476" s="235" t="s">
        <v>845</v>
      </c>
      <c r="AE476" s="238">
        <v>421202.0</v>
      </c>
      <c r="AF476" s="235" t="s">
        <v>631</v>
      </c>
      <c r="AG476" s="244"/>
      <c r="AH476" s="244"/>
      <c r="AI476" s="245"/>
      <c r="AJ476" s="245"/>
      <c r="AK476" s="245"/>
      <c r="AL476" s="245"/>
      <c r="AM476" s="244"/>
      <c r="AN476" s="244"/>
      <c r="AO476" s="238">
        <v>0.0</v>
      </c>
      <c r="AP476" s="238">
        <v>-75.24</v>
      </c>
      <c r="AQ476" s="235" t="s">
        <v>632</v>
      </c>
      <c r="AR476" s="243">
        <v>3.71E11</v>
      </c>
      <c r="AS476" s="235" t="s">
        <v>3284</v>
      </c>
      <c r="AT476" s="235" t="s">
        <v>17</v>
      </c>
      <c r="AU476" s="235" t="s">
        <v>634</v>
      </c>
      <c r="AV476" s="246" t="s">
        <v>635</v>
      </c>
      <c r="AW476" s="242"/>
      <c r="AX476" s="242"/>
      <c r="AY476" s="231"/>
      <c r="AZ476" s="231"/>
      <c r="BA476" s="227"/>
      <c r="BB476" s="231"/>
      <c r="BC476" s="227"/>
      <c r="BD476" s="227"/>
      <c r="BE476" s="227"/>
      <c r="BF476" s="227"/>
    </row>
    <row r="477">
      <c r="A477" s="235" t="s">
        <v>4458</v>
      </c>
      <c r="C477" s="235" t="s">
        <v>4459</v>
      </c>
      <c r="D477" s="235" t="s">
        <v>4460</v>
      </c>
      <c r="E477" s="243">
        <v>6.56E13</v>
      </c>
      <c r="F477" s="245"/>
      <c r="G477" s="235" t="s">
        <v>4461</v>
      </c>
      <c r="H477" s="235" t="s">
        <v>4462</v>
      </c>
      <c r="I477" s="235" t="s">
        <v>4462</v>
      </c>
      <c r="J477" s="235" t="s">
        <v>4463</v>
      </c>
      <c r="K477" s="235" t="s">
        <v>4464</v>
      </c>
      <c r="N477" s="235" t="s">
        <v>127</v>
      </c>
      <c r="O477" s="235" t="s">
        <v>794</v>
      </c>
      <c r="P477" s="238">
        <v>1.0</v>
      </c>
      <c r="Q477" s="235" t="s">
        <v>627</v>
      </c>
      <c r="R477" s="238">
        <v>246.67</v>
      </c>
      <c r="S477" s="238">
        <v>12.33</v>
      </c>
      <c r="T477" s="238">
        <v>0.0</v>
      </c>
      <c r="U477" s="238">
        <v>0.0</v>
      </c>
      <c r="V477" s="238">
        <v>0.0</v>
      </c>
      <c r="W477" s="238">
        <v>0.0</v>
      </c>
      <c r="X477" s="235" t="s">
        <v>628</v>
      </c>
      <c r="Z477" s="244"/>
      <c r="AA477" s="244"/>
      <c r="AB477" s="244"/>
      <c r="AC477" s="235" t="s">
        <v>4465</v>
      </c>
      <c r="AD477" s="235" t="s">
        <v>630</v>
      </c>
      <c r="AE477" s="238">
        <v>247001.0</v>
      </c>
      <c r="AF477" s="235" t="s">
        <v>631</v>
      </c>
      <c r="AG477" s="244"/>
      <c r="AH477" s="244"/>
      <c r="AI477" s="245"/>
      <c r="AJ477" s="245"/>
      <c r="AK477" s="245"/>
      <c r="AL477" s="245"/>
      <c r="AM477" s="244"/>
      <c r="AN477" s="244"/>
      <c r="AO477" s="238">
        <v>0.0</v>
      </c>
      <c r="AP477" s="238">
        <v>0.0</v>
      </c>
      <c r="AQ477" s="235" t="s">
        <v>632</v>
      </c>
      <c r="AR477" s="243">
        <v>3.71E11</v>
      </c>
      <c r="AS477" s="235" t="s">
        <v>2276</v>
      </c>
      <c r="AT477" s="235" t="s">
        <v>14</v>
      </c>
      <c r="AU477" s="235" t="s">
        <v>634</v>
      </c>
      <c r="AV477" s="246" t="s">
        <v>635</v>
      </c>
      <c r="AW477" s="242"/>
      <c r="AX477" s="242"/>
      <c r="AY477" s="231"/>
      <c r="AZ477" s="231"/>
      <c r="BA477" s="227"/>
      <c r="BB477" s="231"/>
      <c r="BC477" s="227"/>
      <c r="BD477" s="227"/>
      <c r="BE477" s="227"/>
      <c r="BF477" s="227"/>
    </row>
    <row r="478">
      <c r="A478" s="235" t="s">
        <v>4311</v>
      </c>
      <c r="C478" s="235" t="s">
        <v>4466</v>
      </c>
      <c r="D478" s="235" t="s">
        <v>4467</v>
      </c>
      <c r="E478" s="243">
        <v>6.56E13</v>
      </c>
      <c r="F478" s="245"/>
      <c r="G478" s="235" t="s">
        <v>3656</v>
      </c>
      <c r="H478" s="235" t="s">
        <v>4468</v>
      </c>
      <c r="I478" s="235" t="s">
        <v>4469</v>
      </c>
      <c r="J478" s="235" t="s">
        <v>4470</v>
      </c>
      <c r="K478" s="235" t="s">
        <v>3660</v>
      </c>
      <c r="N478" s="235" t="s">
        <v>3583</v>
      </c>
      <c r="O478" s="235" t="s">
        <v>3584</v>
      </c>
      <c r="P478" s="238">
        <v>1.0</v>
      </c>
      <c r="Q478" s="235" t="s">
        <v>627</v>
      </c>
      <c r="R478" s="238">
        <v>856.19</v>
      </c>
      <c r="S478" s="238">
        <v>41.53</v>
      </c>
      <c r="T478" s="238">
        <v>0.0</v>
      </c>
      <c r="U478" s="238">
        <v>0.0</v>
      </c>
      <c r="V478" s="238">
        <v>0.0</v>
      </c>
      <c r="W478" s="238">
        <v>0.0</v>
      </c>
      <c r="X478" s="235" t="s">
        <v>628</v>
      </c>
      <c r="Z478" s="244"/>
      <c r="AA478" s="244"/>
      <c r="AB478" s="244"/>
      <c r="AC478" s="235" t="s">
        <v>1531</v>
      </c>
      <c r="AD478" s="235" t="s">
        <v>1151</v>
      </c>
      <c r="AE478" s="238">
        <v>700105.0</v>
      </c>
      <c r="AF478" s="235" t="s">
        <v>631</v>
      </c>
      <c r="AG478" s="244"/>
      <c r="AH478" s="244"/>
      <c r="AI478" s="245"/>
      <c r="AJ478" s="245"/>
      <c r="AK478" s="245"/>
      <c r="AL478" s="245"/>
      <c r="AM478" s="244"/>
      <c r="AN478" s="244"/>
      <c r="AO478" s="238">
        <v>-25.69</v>
      </c>
      <c r="AP478" s="238">
        <v>0.0</v>
      </c>
      <c r="AQ478" s="235" t="s">
        <v>632</v>
      </c>
      <c r="AR478" s="243">
        <v>3.71E11</v>
      </c>
      <c r="AS478" s="235" t="s">
        <v>667</v>
      </c>
      <c r="AT478" s="235" t="s">
        <v>14</v>
      </c>
      <c r="AU478" s="235" t="s">
        <v>634</v>
      </c>
      <c r="AV478" s="246" t="s">
        <v>635</v>
      </c>
      <c r="AW478" s="242"/>
      <c r="AX478" s="242"/>
      <c r="AY478" s="231"/>
      <c r="AZ478" s="231"/>
      <c r="BA478" s="227"/>
      <c r="BB478" s="231"/>
      <c r="BC478" s="227"/>
      <c r="BD478" s="227"/>
      <c r="BE478" s="227"/>
      <c r="BF478" s="227"/>
    </row>
    <row r="479">
      <c r="A479" s="235" t="s">
        <v>4471</v>
      </c>
      <c r="C479" s="235" t="s">
        <v>4472</v>
      </c>
      <c r="D479" s="235" t="s">
        <v>4473</v>
      </c>
      <c r="E479" s="243">
        <v>6.56E13</v>
      </c>
      <c r="F479" s="245"/>
      <c r="G479" s="235" t="s">
        <v>4474</v>
      </c>
      <c r="H479" s="235" t="s">
        <v>4475</v>
      </c>
      <c r="I479" s="235" t="s">
        <v>4476</v>
      </c>
      <c r="J479" s="235" t="s">
        <v>4477</v>
      </c>
      <c r="K479" s="235" t="s">
        <v>4478</v>
      </c>
      <c r="N479" s="235" t="s">
        <v>42</v>
      </c>
      <c r="O479" s="235" t="s">
        <v>204</v>
      </c>
      <c r="P479" s="238">
        <v>1.0</v>
      </c>
      <c r="Q479" s="235" t="s">
        <v>627</v>
      </c>
      <c r="R479" s="238">
        <v>237.14</v>
      </c>
      <c r="S479" s="238">
        <v>11.62</v>
      </c>
      <c r="T479" s="238">
        <v>0.0</v>
      </c>
      <c r="U479" s="238">
        <v>0.0</v>
      </c>
      <c r="V479" s="238">
        <v>0.0</v>
      </c>
      <c r="W479" s="238">
        <v>0.0</v>
      </c>
      <c r="X479" s="235" t="s">
        <v>628</v>
      </c>
      <c r="Z479" s="244"/>
      <c r="AA479" s="244"/>
      <c r="AB479" s="244"/>
      <c r="AC479" s="235" t="s">
        <v>4479</v>
      </c>
      <c r="AD479" s="235" t="s">
        <v>679</v>
      </c>
      <c r="AE479" s="238">
        <v>570004.0</v>
      </c>
      <c r="AF479" s="235" t="s">
        <v>631</v>
      </c>
      <c r="AG479" s="244"/>
      <c r="AH479" s="244"/>
      <c r="AI479" s="245"/>
      <c r="AJ479" s="245"/>
      <c r="AK479" s="245"/>
      <c r="AL479" s="245"/>
      <c r="AM479" s="244"/>
      <c r="AN479" s="244"/>
      <c r="AO479" s="238">
        <v>-4.74</v>
      </c>
      <c r="AP479" s="238">
        <v>0.0</v>
      </c>
      <c r="AQ479" s="235" t="s">
        <v>632</v>
      </c>
      <c r="AR479" s="243">
        <v>3.71E11</v>
      </c>
      <c r="AS479" s="235" t="s">
        <v>3284</v>
      </c>
      <c r="AT479" s="235" t="s">
        <v>11</v>
      </c>
      <c r="AU479" s="235" t="s">
        <v>634</v>
      </c>
      <c r="AV479" s="246" t="s">
        <v>635</v>
      </c>
      <c r="AW479" s="242"/>
      <c r="AX479" s="242"/>
      <c r="AY479" s="231"/>
      <c r="AZ479" s="231"/>
      <c r="BA479" s="227"/>
      <c r="BB479" s="231"/>
      <c r="BC479" s="227"/>
      <c r="BD479" s="227"/>
      <c r="BE479" s="227"/>
      <c r="BF479" s="227"/>
    </row>
    <row r="480">
      <c r="A480" s="235" t="s">
        <v>4480</v>
      </c>
      <c r="C480" s="235" t="s">
        <v>4481</v>
      </c>
      <c r="D480" s="235" t="s">
        <v>4482</v>
      </c>
      <c r="E480" s="243">
        <v>6.56E13</v>
      </c>
      <c r="F480" s="245"/>
      <c r="G480" s="235" t="s">
        <v>4483</v>
      </c>
      <c r="H480" s="235" t="s">
        <v>4484</v>
      </c>
      <c r="I480" s="235" t="s">
        <v>4484</v>
      </c>
      <c r="J480" s="235" t="s">
        <v>4485</v>
      </c>
      <c r="K480" s="235" t="s">
        <v>4486</v>
      </c>
      <c r="N480" s="235" t="s">
        <v>42</v>
      </c>
      <c r="O480" s="235" t="s">
        <v>204</v>
      </c>
      <c r="P480" s="238">
        <v>1.0</v>
      </c>
      <c r="Q480" s="235" t="s">
        <v>627</v>
      </c>
      <c r="R480" s="238">
        <v>237.14</v>
      </c>
      <c r="S480" s="238">
        <v>11.86</v>
      </c>
      <c r="T480" s="238">
        <v>0.0</v>
      </c>
      <c r="U480" s="238">
        <v>0.0</v>
      </c>
      <c r="V480" s="238">
        <v>0.0</v>
      </c>
      <c r="W480" s="238">
        <v>0.0</v>
      </c>
      <c r="X480" s="235" t="s">
        <v>628</v>
      </c>
      <c r="Z480" s="244"/>
      <c r="AA480" s="244"/>
      <c r="AB480" s="244"/>
      <c r="AC480" s="235" t="s">
        <v>899</v>
      </c>
      <c r="AD480" s="235" t="s">
        <v>833</v>
      </c>
      <c r="AE480" s="238">
        <v>517507.0</v>
      </c>
      <c r="AF480" s="235" t="s">
        <v>631</v>
      </c>
      <c r="AG480" s="244"/>
      <c r="AH480" s="244"/>
      <c r="AI480" s="245"/>
      <c r="AJ480" s="245"/>
      <c r="AK480" s="245"/>
      <c r="AL480" s="245"/>
      <c r="AM480" s="244"/>
      <c r="AN480" s="244"/>
      <c r="AO480" s="238">
        <v>0.0</v>
      </c>
      <c r="AP480" s="238">
        <v>0.0</v>
      </c>
      <c r="AQ480" s="235" t="s">
        <v>632</v>
      </c>
      <c r="AR480" s="243">
        <v>3.71E11</v>
      </c>
      <c r="AS480" s="235" t="s">
        <v>3284</v>
      </c>
      <c r="AT480" s="235" t="s">
        <v>156</v>
      </c>
      <c r="AU480" s="235" t="s">
        <v>634</v>
      </c>
      <c r="AV480" s="246" t="s">
        <v>635</v>
      </c>
      <c r="AW480" s="242"/>
      <c r="AX480" s="242"/>
      <c r="AY480" s="231"/>
      <c r="AZ480" s="231"/>
      <c r="BA480" s="227"/>
      <c r="BB480" s="231"/>
      <c r="BC480" s="227"/>
      <c r="BD480" s="227"/>
      <c r="BE480" s="227"/>
      <c r="BF480" s="227"/>
    </row>
    <row r="481">
      <c r="A481" s="235" t="s">
        <v>4487</v>
      </c>
      <c r="C481" s="235" t="s">
        <v>4488</v>
      </c>
      <c r="D481" s="235" t="s">
        <v>4489</v>
      </c>
      <c r="E481" s="243">
        <v>6.56E13</v>
      </c>
      <c r="F481" s="245"/>
      <c r="G481" s="235" t="s">
        <v>4490</v>
      </c>
      <c r="H481" s="235" t="s">
        <v>4491</v>
      </c>
      <c r="I481" s="235" t="s">
        <v>4491</v>
      </c>
      <c r="J481" s="235" t="s">
        <v>4492</v>
      </c>
      <c r="K481" s="235" t="s">
        <v>4493</v>
      </c>
      <c r="N481" s="235" t="s">
        <v>130</v>
      </c>
      <c r="O481" s="235" t="s">
        <v>707</v>
      </c>
      <c r="P481" s="238">
        <v>1.0</v>
      </c>
      <c r="Q481" s="235" t="s">
        <v>627</v>
      </c>
      <c r="R481" s="238">
        <v>246.66</v>
      </c>
      <c r="S481" s="238">
        <v>12.34</v>
      </c>
      <c r="T481" s="238">
        <v>38.1</v>
      </c>
      <c r="U481" s="238">
        <v>1.9</v>
      </c>
      <c r="V481" s="238">
        <v>0.0</v>
      </c>
      <c r="W481" s="238">
        <v>0.0</v>
      </c>
      <c r="X481" s="235" t="s">
        <v>628</v>
      </c>
      <c r="Z481" s="244"/>
      <c r="AA481" s="244"/>
      <c r="AB481" s="244"/>
      <c r="AC481" s="235" t="s">
        <v>4494</v>
      </c>
      <c r="AD481" s="235" t="s">
        <v>845</v>
      </c>
      <c r="AE481" s="238">
        <v>416122.0</v>
      </c>
      <c r="AF481" s="235" t="s">
        <v>631</v>
      </c>
      <c r="AG481" s="244"/>
      <c r="AH481" s="244"/>
      <c r="AI481" s="245"/>
      <c r="AJ481" s="245"/>
      <c r="AK481" s="245"/>
      <c r="AL481" s="245"/>
      <c r="AM481" s="244"/>
      <c r="AN481" s="244"/>
      <c r="AO481" s="238">
        <v>0.0</v>
      </c>
      <c r="AP481" s="238">
        <v>-38.1</v>
      </c>
      <c r="AQ481" s="235" t="s">
        <v>632</v>
      </c>
      <c r="AR481" s="243">
        <v>3.71E11</v>
      </c>
      <c r="AS481" s="235" t="s">
        <v>2276</v>
      </c>
      <c r="AT481" s="235" t="s">
        <v>16</v>
      </c>
      <c r="AU481" s="235" t="s">
        <v>634</v>
      </c>
      <c r="AV481" s="246" t="s">
        <v>635</v>
      </c>
      <c r="AW481" s="242"/>
      <c r="AX481" s="242"/>
      <c r="AY481" s="231"/>
      <c r="AZ481" s="231"/>
      <c r="BA481" s="227"/>
      <c r="BB481" s="231"/>
      <c r="BC481" s="227"/>
      <c r="BD481" s="227"/>
      <c r="BE481" s="227"/>
      <c r="BF481" s="227"/>
    </row>
    <row r="482">
      <c r="A482" s="235" t="s">
        <v>4495</v>
      </c>
      <c r="C482" s="235" t="s">
        <v>4496</v>
      </c>
      <c r="D482" s="235" t="s">
        <v>4497</v>
      </c>
      <c r="E482" s="243">
        <v>6.56E13</v>
      </c>
      <c r="F482" s="245"/>
      <c r="G482" s="235" t="s">
        <v>4498</v>
      </c>
      <c r="H482" s="235" t="s">
        <v>4499</v>
      </c>
      <c r="I482" s="235" t="s">
        <v>4499</v>
      </c>
      <c r="J482" s="235" t="s">
        <v>4500</v>
      </c>
      <c r="K482" s="235" t="s">
        <v>4501</v>
      </c>
      <c r="N482" s="235" t="s">
        <v>143</v>
      </c>
      <c r="O482" s="235" t="s">
        <v>220</v>
      </c>
      <c r="P482" s="238">
        <v>1.0</v>
      </c>
      <c r="Q482" s="235" t="s">
        <v>627</v>
      </c>
      <c r="R482" s="238">
        <v>242.86</v>
      </c>
      <c r="S482" s="238">
        <v>12.14</v>
      </c>
      <c r="T482" s="238">
        <v>38.1</v>
      </c>
      <c r="U482" s="238">
        <v>1.9</v>
      </c>
      <c r="V482" s="238">
        <v>0.0</v>
      </c>
      <c r="W482" s="238">
        <v>0.0</v>
      </c>
      <c r="X482" s="235" t="s">
        <v>628</v>
      </c>
      <c r="Z482" s="244"/>
      <c r="AA482" s="244"/>
      <c r="AB482" s="244"/>
      <c r="AC482" s="235" t="s">
        <v>1456</v>
      </c>
      <c r="AD482" s="235" t="s">
        <v>928</v>
      </c>
      <c r="AE482" s="238">
        <v>122003.0</v>
      </c>
      <c r="AF482" s="235" t="s">
        <v>631</v>
      </c>
      <c r="AG482" s="244"/>
      <c r="AH482" s="244"/>
      <c r="AI482" s="245"/>
      <c r="AJ482" s="245"/>
      <c r="AK482" s="245"/>
      <c r="AL482" s="245"/>
      <c r="AM482" s="244"/>
      <c r="AN482" s="244"/>
      <c r="AO482" s="238">
        <v>0.0</v>
      </c>
      <c r="AP482" s="238">
        <v>-38.1</v>
      </c>
      <c r="AQ482" s="235" t="s">
        <v>632</v>
      </c>
      <c r="AR482" s="243">
        <v>3.71E11</v>
      </c>
      <c r="AS482" s="235" t="s">
        <v>3284</v>
      </c>
      <c r="AT482" s="235" t="s">
        <v>14</v>
      </c>
      <c r="AU482" s="235" t="s">
        <v>634</v>
      </c>
      <c r="AV482" s="246" t="s">
        <v>635</v>
      </c>
      <c r="AW482" s="242"/>
      <c r="AX482" s="242"/>
      <c r="AY482" s="231"/>
      <c r="AZ482" s="231"/>
      <c r="BA482" s="227"/>
      <c r="BB482" s="231"/>
      <c r="BC482" s="227"/>
      <c r="BD482" s="227"/>
      <c r="BE482" s="227"/>
      <c r="BF482" s="227"/>
    </row>
    <row r="483">
      <c r="A483" s="235" t="s">
        <v>4502</v>
      </c>
      <c r="C483" s="235" t="s">
        <v>4503</v>
      </c>
      <c r="D483" s="235" t="s">
        <v>4504</v>
      </c>
      <c r="E483" s="243">
        <v>6.56E13</v>
      </c>
      <c r="F483" s="245"/>
      <c r="G483" s="235" t="s">
        <v>4505</v>
      </c>
      <c r="H483" s="235" t="s">
        <v>4506</v>
      </c>
      <c r="I483" s="235" t="s">
        <v>4506</v>
      </c>
      <c r="J483" s="235" t="s">
        <v>4507</v>
      </c>
      <c r="K483" s="235" t="s">
        <v>4508</v>
      </c>
      <c r="N483" s="235" t="s">
        <v>154</v>
      </c>
      <c r="O483" s="235" t="s">
        <v>766</v>
      </c>
      <c r="P483" s="238">
        <v>1.0</v>
      </c>
      <c r="Q483" s="235" t="s">
        <v>627</v>
      </c>
      <c r="R483" s="238">
        <v>465.71</v>
      </c>
      <c r="S483" s="238">
        <v>22.59</v>
      </c>
      <c r="T483" s="238">
        <v>0.0</v>
      </c>
      <c r="U483" s="238">
        <v>0.0</v>
      </c>
      <c r="V483" s="238">
        <v>0.0</v>
      </c>
      <c r="W483" s="238">
        <v>0.0</v>
      </c>
      <c r="X483" s="235" t="s">
        <v>628</v>
      </c>
      <c r="Z483" s="244"/>
      <c r="AA483" s="244"/>
      <c r="AB483" s="244"/>
      <c r="AC483" s="235" t="s">
        <v>697</v>
      </c>
      <c r="AD483" s="235" t="s">
        <v>698</v>
      </c>
      <c r="AE483" s="238">
        <v>500033.0</v>
      </c>
      <c r="AF483" s="235" t="s">
        <v>631</v>
      </c>
      <c r="AG483" s="244"/>
      <c r="AH483" s="244"/>
      <c r="AI483" s="245"/>
      <c r="AJ483" s="245"/>
      <c r="AK483" s="245"/>
      <c r="AL483" s="245"/>
      <c r="AM483" s="244"/>
      <c r="AN483" s="244"/>
      <c r="AO483" s="238">
        <v>-13.97</v>
      </c>
      <c r="AP483" s="238">
        <v>0.0</v>
      </c>
      <c r="AQ483" s="235" t="s">
        <v>632</v>
      </c>
      <c r="AR483" s="243">
        <v>2.02E11</v>
      </c>
      <c r="AS483" s="235" t="s">
        <v>3284</v>
      </c>
      <c r="AT483" s="235" t="s">
        <v>156</v>
      </c>
      <c r="AU483" s="235" t="s">
        <v>634</v>
      </c>
      <c r="AV483" s="246" t="s">
        <v>635</v>
      </c>
      <c r="AW483" s="242"/>
      <c r="AX483" s="242"/>
      <c r="AY483" s="231"/>
      <c r="AZ483" s="231"/>
      <c r="BA483" s="227"/>
      <c r="BB483" s="231"/>
      <c r="BC483" s="227"/>
      <c r="BD483" s="227"/>
      <c r="BE483" s="227"/>
      <c r="BF483" s="227"/>
    </row>
    <row r="484">
      <c r="A484" s="235" t="s">
        <v>4502</v>
      </c>
      <c r="C484" s="235" t="s">
        <v>4503</v>
      </c>
      <c r="D484" s="235" t="s">
        <v>4509</v>
      </c>
      <c r="E484" s="243">
        <v>6.56E13</v>
      </c>
      <c r="F484" s="245"/>
      <c r="G484" s="235" t="s">
        <v>4505</v>
      </c>
      <c r="H484" s="235" t="s">
        <v>4506</v>
      </c>
      <c r="I484" s="235" t="s">
        <v>4506</v>
      </c>
      <c r="J484" s="235" t="s">
        <v>4507</v>
      </c>
      <c r="K484" s="235" t="s">
        <v>4508</v>
      </c>
      <c r="N484" s="235" t="s">
        <v>145</v>
      </c>
      <c r="O484" s="235" t="s">
        <v>370</v>
      </c>
      <c r="P484" s="238">
        <v>1.0</v>
      </c>
      <c r="Q484" s="235" t="s">
        <v>627</v>
      </c>
      <c r="R484" s="238">
        <v>1522.86</v>
      </c>
      <c r="S484" s="238">
        <v>73.86</v>
      </c>
      <c r="T484" s="238">
        <v>0.0</v>
      </c>
      <c r="U484" s="238">
        <v>0.0</v>
      </c>
      <c r="V484" s="238">
        <v>0.0</v>
      </c>
      <c r="W484" s="238">
        <v>0.0</v>
      </c>
      <c r="X484" s="235" t="s">
        <v>628</v>
      </c>
      <c r="Z484" s="244"/>
      <c r="AA484" s="244"/>
      <c r="AB484" s="244"/>
      <c r="AC484" s="235" t="s">
        <v>697</v>
      </c>
      <c r="AD484" s="235" t="s">
        <v>698</v>
      </c>
      <c r="AE484" s="238">
        <v>500033.0</v>
      </c>
      <c r="AF484" s="235" t="s">
        <v>631</v>
      </c>
      <c r="AG484" s="244"/>
      <c r="AH484" s="244"/>
      <c r="AI484" s="245"/>
      <c r="AJ484" s="245"/>
      <c r="AK484" s="245"/>
      <c r="AL484" s="245"/>
      <c r="AM484" s="244"/>
      <c r="AN484" s="244"/>
      <c r="AO484" s="238">
        <v>-45.69</v>
      </c>
      <c r="AP484" s="238">
        <v>0.0</v>
      </c>
      <c r="AQ484" s="235" t="s">
        <v>632</v>
      </c>
      <c r="AR484" s="243">
        <v>2.02E11</v>
      </c>
      <c r="AS484" s="235" t="s">
        <v>3284</v>
      </c>
      <c r="AT484" s="235" t="s">
        <v>156</v>
      </c>
      <c r="AU484" s="235" t="s">
        <v>634</v>
      </c>
      <c r="AV484" s="246" t="s">
        <v>635</v>
      </c>
      <c r="AW484" s="242"/>
      <c r="AX484" s="242"/>
      <c r="AY484" s="231"/>
      <c r="AZ484" s="231"/>
      <c r="BA484" s="227"/>
      <c r="BB484" s="231"/>
      <c r="BC484" s="227"/>
      <c r="BD484" s="227"/>
      <c r="BE484" s="227"/>
      <c r="BF484" s="227"/>
    </row>
    <row r="485">
      <c r="A485" s="235" t="s">
        <v>4510</v>
      </c>
      <c r="C485" s="235" t="s">
        <v>4511</v>
      </c>
      <c r="D485" s="235" t="s">
        <v>4512</v>
      </c>
      <c r="E485" s="243">
        <v>6.56E13</v>
      </c>
      <c r="F485" s="245"/>
      <c r="G485" s="235" t="s">
        <v>4513</v>
      </c>
      <c r="H485" s="235" t="s">
        <v>4514</v>
      </c>
      <c r="I485" s="235" t="s">
        <v>4514</v>
      </c>
      <c r="J485" s="235" t="s">
        <v>4515</v>
      </c>
      <c r="K485" s="235" t="s">
        <v>4516</v>
      </c>
      <c r="N485" s="235" t="s">
        <v>2696</v>
      </c>
      <c r="O485" s="235" t="s">
        <v>2697</v>
      </c>
      <c r="P485" s="238">
        <v>1.0</v>
      </c>
      <c r="Q485" s="235" t="s">
        <v>627</v>
      </c>
      <c r="R485" s="238">
        <v>246.66</v>
      </c>
      <c r="S485" s="238">
        <v>12.34</v>
      </c>
      <c r="T485" s="238">
        <v>0.0</v>
      </c>
      <c r="U485" s="238">
        <v>0.0</v>
      </c>
      <c r="V485" s="238">
        <v>0.0</v>
      </c>
      <c r="W485" s="238">
        <v>0.0</v>
      </c>
      <c r="X485" s="235" t="s">
        <v>628</v>
      </c>
      <c r="Z485" s="244"/>
      <c r="AA485" s="244"/>
      <c r="AB485" s="244"/>
      <c r="AC485" s="235" t="s">
        <v>687</v>
      </c>
      <c r="AD485" s="235" t="s">
        <v>666</v>
      </c>
      <c r="AE485" s="238">
        <v>600095.0</v>
      </c>
      <c r="AF485" s="235" t="s">
        <v>631</v>
      </c>
      <c r="AG485" s="244"/>
      <c r="AH485" s="244"/>
      <c r="AI485" s="245"/>
      <c r="AJ485" s="245"/>
      <c r="AK485" s="245"/>
      <c r="AL485" s="245"/>
      <c r="AM485" s="244"/>
      <c r="AN485" s="244"/>
      <c r="AO485" s="238">
        <v>0.0</v>
      </c>
      <c r="AP485" s="238">
        <v>0.0</v>
      </c>
      <c r="AQ485" s="235" t="s">
        <v>632</v>
      </c>
      <c r="AR485" s="243">
        <v>3.71E11</v>
      </c>
      <c r="AS485" s="235" t="s">
        <v>3284</v>
      </c>
      <c r="AT485" s="235" t="s">
        <v>156</v>
      </c>
      <c r="AU485" s="235" t="s">
        <v>634</v>
      </c>
      <c r="AV485" s="246" t="s">
        <v>635</v>
      </c>
      <c r="AW485" s="242"/>
      <c r="AX485" s="242"/>
      <c r="AY485" s="231"/>
      <c r="AZ485" s="231"/>
      <c r="BA485" s="227"/>
      <c r="BB485" s="231"/>
      <c r="BC485" s="227"/>
      <c r="BD485" s="227"/>
      <c r="BE485" s="227"/>
      <c r="BF485" s="227"/>
    </row>
    <row r="486">
      <c r="A486" s="235" t="s">
        <v>4517</v>
      </c>
      <c r="C486" s="235" t="s">
        <v>4518</v>
      </c>
      <c r="D486" s="235" t="s">
        <v>4519</v>
      </c>
      <c r="E486" s="243">
        <v>6.56E13</v>
      </c>
      <c r="F486" s="245"/>
      <c r="G486" s="235" t="s">
        <v>4520</v>
      </c>
      <c r="H486" s="235" t="s">
        <v>4521</v>
      </c>
      <c r="I486" s="235" t="s">
        <v>4522</v>
      </c>
      <c r="J486" s="235" t="s">
        <v>4523</v>
      </c>
      <c r="K486" s="235" t="s">
        <v>4524</v>
      </c>
      <c r="N486" s="235" t="s">
        <v>1346</v>
      </c>
      <c r="O486" s="235" t="s">
        <v>1347</v>
      </c>
      <c r="P486" s="238">
        <v>1.0</v>
      </c>
      <c r="Q486" s="235" t="s">
        <v>627</v>
      </c>
      <c r="R486" s="238">
        <v>256.2</v>
      </c>
      <c r="S486" s="238">
        <v>12.8</v>
      </c>
      <c r="T486" s="238">
        <v>56.2</v>
      </c>
      <c r="U486" s="238">
        <v>2.8</v>
      </c>
      <c r="V486" s="238">
        <v>0.0</v>
      </c>
      <c r="W486" s="238">
        <v>0.0</v>
      </c>
      <c r="X486" s="235" t="s">
        <v>628</v>
      </c>
      <c r="Z486" s="244"/>
      <c r="AA486" s="244"/>
      <c r="AB486" s="244"/>
      <c r="AC486" s="235" t="s">
        <v>4525</v>
      </c>
      <c r="AD486" s="235" t="s">
        <v>679</v>
      </c>
      <c r="AE486" s="238">
        <v>560060.0</v>
      </c>
      <c r="AF486" s="235" t="s">
        <v>631</v>
      </c>
      <c r="AG486" s="244"/>
      <c r="AH486" s="244"/>
      <c r="AI486" s="245"/>
      <c r="AJ486" s="245"/>
      <c r="AK486" s="245"/>
      <c r="AL486" s="245"/>
      <c r="AM486" s="244"/>
      <c r="AN486" s="244"/>
      <c r="AO486" s="238">
        <v>0.0</v>
      </c>
      <c r="AP486" s="238">
        <v>-56.2</v>
      </c>
      <c r="AQ486" s="235" t="s">
        <v>632</v>
      </c>
      <c r="AR486" s="243">
        <v>3.71E11</v>
      </c>
      <c r="AS486" s="235" t="s">
        <v>3284</v>
      </c>
      <c r="AT486" s="235" t="s">
        <v>11</v>
      </c>
      <c r="AU486" s="235" t="s">
        <v>634</v>
      </c>
      <c r="AV486" s="246" t="s">
        <v>635</v>
      </c>
      <c r="AW486" s="242"/>
      <c r="AX486" s="242"/>
      <c r="AY486" s="231"/>
      <c r="AZ486" s="231"/>
      <c r="BA486" s="227"/>
      <c r="BB486" s="231"/>
      <c r="BC486" s="227"/>
      <c r="BD486" s="227"/>
      <c r="BE486" s="227"/>
      <c r="BF486" s="227"/>
    </row>
    <row r="487">
      <c r="A487" s="235" t="s">
        <v>4526</v>
      </c>
      <c r="C487" s="235" t="s">
        <v>4527</v>
      </c>
      <c r="D487" s="235" t="s">
        <v>4528</v>
      </c>
      <c r="E487" s="243">
        <v>6.56E13</v>
      </c>
      <c r="F487" s="245"/>
      <c r="G487" s="235" t="s">
        <v>4529</v>
      </c>
      <c r="H487" s="235" t="s">
        <v>4530</v>
      </c>
      <c r="I487" s="235" t="s">
        <v>4530</v>
      </c>
      <c r="J487" s="235" t="s">
        <v>4531</v>
      </c>
      <c r="K487" s="235" t="s">
        <v>4532</v>
      </c>
      <c r="N487" s="235" t="s">
        <v>22</v>
      </c>
      <c r="O487" s="235" t="s">
        <v>729</v>
      </c>
      <c r="P487" s="238">
        <v>1.0</v>
      </c>
      <c r="Q487" s="235" t="s">
        <v>627</v>
      </c>
      <c r="R487" s="238">
        <v>360.95</v>
      </c>
      <c r="S487" s="238">
        <v>18.05</v>
      </c>
      <c r="T487" s="238">
        <v>0.0</v>
      </c>
      <c r="U487" s="238">
        <v>0.0</v>
      </c>
      <c r="V487" s="238">
        <v>0.0</v>
      </c>
      <c r="W487" s="238">
        <v>0.0</v>
      </c>
      <c r="X487" s="235" t="s">
        <v>628</v>
      </c>
      <c r="Z487" s="244"/>
      <c r="AA487" s="244"/>
      <c r="AB487" s="244"/>
      <c r="AC487" s="235" t="s">
        <v>4533</v>
      </c>
      <c r="AD487" s="235" t="s">
        <v>833</v>
      </c>
      <c r="AE487" s="238">
        <v>517001.0</v>
      </c>
      <c r="AF487" s="235" t="s">
        <v>631</v>
      </c>
      <c r="AG487" s="244"/>
      <c r="AH487" s="244"/>
      <c r="AI487" s="245"/>
      <c r="AJ487" s="245"/>
      <c r="AK487" s="245"/>
      <c r="AL487" s="245"/>
      <c r="AM487" s="244"/>
      <c r="AN487" s="244"/>
      <c r="AO487" s="238">
        <v>0.0</v>
      </c>
      <c r="AP487" s="238">
        <v>0.0</v>
      </c>
      <c r="AQ487" s="235" t="s">
        <v>632</v>
      </c>
      <c r="AR487" s="243">
        <v>3.71E11</v>
      </c>
      <c r="AS487" s="235" t="s">
        <v>3284</v>
      </c>
      <c r="AT487" s="235" t="s">
        <v>156</v>
      </c>
      <c r="AU487" s="235" t="s">
        <v>634</v>
      </c>
      <c r="AV487" s="246" t="s">
        <v>635</v>
      </c>
      <c r="AW487" s="242"/>
      <c r="AX487" s="242"/>
      <c r="AY487" s="231"/>
      <c r="AZ487" s="231"/>
      <c r="BA487" s="227"/>
      <c r="BB487" s="231"/>
      <c r="BC487" s="227"/>
      <c r="BD487" s="227"/>
      <c r="BE487" s="227"/>
      <c r="BF487" s="227"/>
    </row>
    <row r="488">
      <c r="A488" s="235" t="s">
        <v>4535</v>
      </c>
      <c r="C488" s="235" t="s">
        <v>4536</v>
      </c>
      <c r="D488" s="235" t="s">
        <v>4537</v>
      </c>
      <c r="E488" s="243">
        <v>6.56E13</v>
      </c>
      <c r="F488" s="245"/>
      <c r="G488" s="235" t="s">
        <v>4538</v>
      </c>
      <c r="H488" s="235" t="s">
        <v>4539</v>
      </c>
      <c r="I488" s="235" t="s">
        <v>4539</v>
      </c>
      <c r="J488" s="235" t="s">
        <v>4540</v>
      </c>
      <c r="K488" s="235" t="s">
        <v>4541</v>
      </c>
      <c r="N488" s="235" t="s">
        <v>127</v>
      </c>
      <c r="O488" s="235" t="s">
        <v>794</v>
      </c>
      <c r="P488" s="238">
        <v>1.0</v>
      </c>
      <c r="Q488" s="235" t="s">
        <v>627</v>
      </c>
      <c r="R488" s="238">
        <v>246.66</v>
      </c>
      <c r="S488" s="238">
        <v>12.34</v>
      </c>
      <c r="T488" s="238">
        <v>0.0</v>
      </c>
      <c r="U488" s="238">
        <v>0.0</v>
      </c>
      <c r="V488" s="238">
        <v>0.0</v>
      </c>
      <c r="W488" s="238">
        <v>0.0</v>
      </c>
      <c r="X488" s="235" t="s">
        <v>628</v>
      </c>
      <c r="Z488" s="244"/>
      <c r="AA488" s="244"/>
      <c r="AB488" s="244"/>
      <c r="AC488" s="235" t="s">
        <v>844</v>
      </c>
      <c r="AD488" s="235" t="s">
        <v>845</v>
      </c>
      <c r="AE488" s="238">
        <v>411047.0</v>
      </c>
      <c r="AF488" s="235" t="s">
        <v>631</v>
      </c>
      <c r="AG488" s="244"/>
      <c r="AH488" s="244"/>
      <c r="AI488" s="245"/>
      <c r="AJ488" s="245"/>
      <c r="AK488" s="245"/>
      <c r="AL488" s="245"/>
      <c r="AM488" s="244"/>
      <c r="AN488" s="244"/>
      <c r="AO488" s="238">
        <v>0.0</v>
      </c>
      <c r="AP488" s="238">
        <v>0.0</v>
      </c>
      <c r="AQ488" s="235" t="s">
        <v>632</v>
      </c>
      <c r="AR488" s="243">
        <v>1.68E11</v>
      </c>
      <c r="AS488" s="235" t="s">
        <v>3964</v>
      </c>
      <c r="AT488" s="235" t="s">
        <v>546</v>
      </c>
      <c r="AU488" s="235" t="s">
        <v>634</v>
      </c>
      <c r="AV488" s="246" t="s">
        <v>635</v>
      </c>
      <c r="AW488" s="242"/>
      <c r="AX488" s="242"/>
      <c r="AY488" s="231"/>
      <c r="AZ488" s="231"/>
      <c r="BA488" s="227"/>
      <c r="BB488" s="231"/>
      <c r="BC488" s="227"/>
      <c r="BD488" s="227"/>
      <c r="BE488" s="227"/>
      <c r="BF488" s="227"/>
    </row>
    <row r="489">
      <c r="A489" s="235" t="s">
        <v>4545</v>
      </c>
      <c r="C489" s="235" t="s">
        <v>4546</v>
      </c>
      <c r="D489" s="235" t="s">
        <v>4547</v>
      </c>
      <c r="E489" s="243">
        <v>6.56E13</v>
      </c>
      <c r="F489" s="245"/>
      <c r="G489" s="235" t="s">
        <v>4548</v>
      </c>
      <c r="H489" s="235" t="s">
        <v>4549</v>
      </c>
      <c r="I489" s="235" t="s">
        <v>4549</v>
      </c>
      <c r="J489" s="235" t="s">
        <v>4550</v>
      </c>
      <c r="K489" s="235" t="s">
        <v>4551</v>
      </c>
      <c r="N489" s="235" t="s">
        <v>51</v>
      </c>
      <c r="O489" s="235" t="s">
        <v>273</v>
      </c>
      <c r="P489" s="238">
        <v>1.0</v>
      </c>
      <c r="Q489" s="235" t="s">
        <v>627</v>
      </c>
      <c r="R489" s="238">
        <v>237.14</v>
      </c>
      <c r="S489" s="238">
        <v>11.62</v>
      </c>
      <c r="T489" s="238">
        <v>18.1</v>
      </c>
      <c r="U489" s="238">
        <v>0.9</v>
      </c>
      <c r="V489" s="238">
        <v>0.0</v>
      </c>
      <c r="W489" s="238">
        <v>0.0</v>
      </c>
      <c r="X489" s="235" t="s">
        <v>628</v>
      </c>
      <c r="Z489" s="244"/>
      <c r="AA489" s="244"/>
      <c r="AB489" s="244"/>
      <c r="AC489" s="235" t="s">
        <v>1887</v>
      </c>
      <c r="AD489" s="235" t="s">
        <v>679</v>
      </c>
      <c r="AE489" s="238">
        <v>560100.0</v>
      </c>
      <c r="AF489" s="235" t="s">
        <v>631</v>
      </c>
      <c r="AG489" s="244"/>
      <c r="AH489" s="244"/>
      <c r="AI489" s="245"/>
      <c r="AJ489" s="245"/>
      <c r="AK489" s="245"/>
      <c r="AL489" s="245"/>
      <c r="AM489" s="244"/>
      <c r="AN489" s="244"/>
      <c r="AO489" s="238">
        <v>-4.74</v>
      </c>
      <c r="AP489" s="238">
        <v>-18.1</v>
      </c>
      <c r="AQ489" s="235" t="s">
        <v>632</v>
      </c>
      <c r="AR489" s="243">
        <v>1.68E11</v>
      </c>
      <c r="AS489" s="235" t="s">
        <v>3964</v>
      </c>
      <c r="AT489" s="235" t="s">
        <v>11</v>
      </c>
      <c r="AU489" s="235" t="s">
        <v>634</v>
      </c>
      <c r="AV489" s="246" t="s">
        <v>635</v>
      </c>
      <c r="AW489" s="242"/>
      <c r="AX489" s="242"/>
      <c r="AY489" s="231"/>
      <c r="AZ489" s="231"/>
      <c r="BA489" s="227"/>
      <c r="BB489" s="231"/>
      <c r="BC489" s="227"/>
      <c r="BD489" s="227"/>
      <c r="BE489" s="227"/>
      <c r="BF489" s="227"/>
    </row>
    <row r="490">
      <c r="A490" s="235" t="s">
        <v>4555</v>
      </c>
      <c r="C490" s="235" t="s">
        <v>4556</v>
      </c>
      <c r="D490" s="235" t="s">
        <v>4557</v>
      </c>
      <c r="E490" s="243">
        <v>6.56E13</v>
      </c>
      <c r="F490" s="245"/>
      <c r="G490" s="235" t="s">
        <v>4558</v>
      </c>
      <c r="H490" s="235" t="s">
        <v>4559</v>
      </c>
      <c r="I490" s="235" t="s">
        <v>4560</v>
      </c>
      <c r="J490" s="235" t="s">
        <v>4561</v>
      </c>
      <c r="K490" s="235" t="s">
        <v>4563</v>
      </c>
      <c r="N490" s="235" t="s">
        <v>82</v>
      </c>
      <c r="O490" s="235" t="s">
        <v>889</v>
      </c>
      <c r="P490" s="238">
        <v>1.0</v>
      </c>
      <c r="Q490" s="235" t="s">
        <v>627</v>
      </c>
      <c r="R490" s="238">
        <v>246.67</v>
      </c>
      <c r="S490" s="238">
        <v>12.33</v>
      </c>
      <c r="T490" s="238">
        <v>0.0</v>
      </c>
      <c r="U490" s="238">
        <v>0.0</v>
      </c>
      <c r="V490" s="238">
        <v>0.0</v>
      </c>
      <c r="W490" s="238">
        <v>0.0</v>
      </c>
      <c r="X490" s="235" t="s">
        <v>628</v>
      </c>
      <c r="Z490" s="244"/>
      <c r="AA490" s="244"/>
      <c r="AB490" s="244"/>
      <c r="AC490" s="235" t="s">
        <v>1878</v>
      </c>
      <c r="AD490" s="235" t="s">
        <v>645</v>
      </c>
      <c r="AE490" s="238">
        <v>680006.0</v>
      </c>
      <c r="AF490" s="235" t="s">
        <v>631</v>
      </c>
      <c r="AG490" s="244"/>
      <c r="AH490" s="244"/>
      <c r="AI490" s="245"/>
      <c r="AJ490" s="245"/>
      <c r="AK490" s="245"/>
      <c r="AL490" s="245"/>
      <c r="AM490" s="244"/>
      <c r="AN490" s="244"/>
      <c r="AO490" s="238">
        <v>0.0</v>
      </c>
      <c r="AP490" s="238">
        <v>0.0</v>
      </c>
      <c r="AQ490" s="235" t="s">
        <v>632</v>
      </c>
      <c r="AR490" s="243">
        <v>1.68E11</v>
      </c>
      <c r="AS490" s="235" t="s">
        <v>3964</v>
      </c>
      <c r="AT490" s="235" t="s">
        <v>155</v>
      </c>
      <c r="AU490" s="235" t="s">
        <v>634</v>
      </c>
      <c r="AV490" s="246" t="s">
        <v>635</v>
      </c>
      <c r="AW490" s="242"/>
      <c r="AX490" s="242"/>
      <c r="AY490" s="231"/>
      <c r="AZ490" s="231"/>
      <c r="BA490" s="227"/>
      <c r="BB490" s="231"/>
      <c r="BC490" s="227"/>
      <c r="BD490" s="227"/>
      <c r="BE490" s="227"/>
      <c r="BF490" s="227"/>
    </row>
    <row r="491">
      <c r="A491" s="235" t="s">
        <v>4565</v>
      </c>
      <c r="C491" s="235" t="s">
        <v>4566</v>
      </c>
      <c r="D491" s="235" t="s">
        <v>4567</v>
      </c>
      <c r="E491" s="243">
        <v>6.56E13</v>
      </c>
      <c r="F491" s="245"/>
      <c r="G491" s="235" t="s">
        <v>4568</v>
      </c>
      <c r="H491" s="235" t="s">
        <v>4569</v>
      </c>
      <c r="I491" s="235" t="s">
        <v>4569</v>
      </c>
      <c r="J491" s="235" t="s">
        <v>4570</v>
      </c>
      <c r="K491" s="235" t="s">
        <v>4571</v>
      </c>
      <c r="N491" s="235" t="s">
        <v>842</v>
      </c>
      <c r="O491" s="235" t="s">
        <v>843</v>
      </c>
      <c r="P491" s="238">
        <v>1.0</v>
      </c>
      <c r="Q491" s="235" t="s">
        <v>627</v>
      </c>
      <c r="R491" s="238">
        <v>246.66</v>
      </c>
      <c r="S491" s="238">
        <v>12.34</v>
      </c>
      <c r="T491" s="238">
        <v>0.0</v>
      </c>
      <c r="U491" s="238">
        <v>0.0</v>
      </c>
      <c r="V491" s="238">
        <v>0.0</v>
      </c>
      <c r="W491" s="238">
        <v>0.0</v>
      </c>
      <c r="X491" s="235" t="s">
        <v>628</v>
      </c>
      <c r="Z491" s="244"/>
      <c r="AA491" s="244"/>
      <c r="AB491" s="244"/>
      <c r="AC491" s="235" t="s">
        <v>678</v>
      </c>
      <c r="AD491" s="235" t="s">
        <v>679</v>
      </c>
      <c r="AE491" s="238">
        <v>562130.0</v>
      </c>
      <c r="AF491" s="235" t="s">
        <v>631</v>
      </c>
      <c r="AG491" s="244"/>
      <c r="AH491" s="244"/>
      <c r="AI491" s="245"/>
      <c r="AJ491" s="245"/>
      <c r="AK491" s="245"/>
      <c r="AL491" s="245"/>
      <c r="AM491" s="244"/>
      <c r="AN491" s="244"/>
      <c r="AO491" s="238">
        <v>0.0</v>
      </c>
      <c r="AP491" s="238">
        <v>0.0</v>
      </c>
      <c r="AQ491" s="235" t="s">
        <v>632</v>
      </c>
      <c r="AR491" s="243">
        <v>3.71E11</v>
      </c>
      <c r="AS491" s="235" t="s">
        <v>3284</v>
      </c>
      <c r="AT491" s="235" t="s">
        <v>9</v>
      </c>
      <c r="AU491" s="235" t="s">
        <v>634</v>
      </c>
      <c r="AV491" s="246" t="s">
        <v>635</v>
      </c>
      <c r="AW491" s="242"/>
      <c r="AX491" s="242"/>
      <c r="AY491" s="231"/>
      <c r="AZ491" s="231"/>
      <c r="BA491" s="227"/>
      <c r="BB491" s="231"/>
      <c r="BC491" s="227"/>
      <c r="BD491" s="227"/>
      <c r="BE491" s="227"/>
      <c r="BF491" s="227"/>
    </row>
    <row r="492">
      <c r="A492" s="235" t="s">
        <v>4574</v>
      </c>
      <c r="C492" s="235" t="s">
        <v>4575</v>
      </c>
      <c r="D492" s="235" t="s">
        <v>4576</v>
      </c>
      <c r="E492" s="243">
        <v>6.56E13</v>
      </c>
      <c r="F492" s="245"/>
      <c r="G492" s="235" t="s">
        <v>4577</v>
      </c>
      <c r="H492" s="235" t="s">
        <v>4578</v>
      </c>
      <c r="I492" s="235" t="s">
        <v>4578</v>
      </c>
      <c r="J492" s="235" t="s">
        <v>4579</v>
      </c>
      <c r="K492" s="235" t="s">
        <v>4580</v>
      </c>
      <c r="N492" s="235" t="s">
        <v>10</v>
      </c>
      <c r="O492" s="235" t="s">
        <v>936</v>
      </c>
      <c r="P492" s="238">
        <v>1.0</v>
      </c>
      <c r="Q492" s="235" t="s">
        <v>627</v>
      </c>
      <c r="R492" s="238">
        <v>265.71</v>
      </c>
      <c r="S492" s="238">
        <v>13.29</v>
      </c>
      <c r="T492" s="238">
        <v>0.0</v>
      </c>
      <c r="U492" s="238">
        <v>0.0</v>
      </c>
      <c r="V492" s="238">
        <v>0.0</v>
      </c>
      <c r="W492" s="238">
        <v>0.0</v>
      </c>
      <c r="X492" s="235" t="s">
        <v>628</v>
      </c>
      <c r="Z492" s="244"/>
      <c r="AA492" s="244"/>
      <c r="AB492" s="244"/>
      <c r="AC492" s="235" t="s">
        <v>1279</v>
      </c>
      <c r="AD492" s="235" t="s">
        <v>917</v>
      </c>
      <c r="AE492" s="238">
        <v>302006.0</v>
      </c>
      <c r="AF492" s="235" t="s">
        <v>631</v>
      </c>
      <c r="AG492" s="244"/>
      <c r="AH492" s="244"/>
      <c r="AI492" s="245"/>
      <c r="AJ492" s="245"/>
      <c r="AK492" s="245"/>
      <c r="AL492" s="245"/>
      <c r="AM492" s="244"/>
      <c r="AN492" s="244"/>
      <c r="AO492" s="238">
        <v>0.0</v>
      </c>
      <c r="AP492" s="238">
        <v>0.0</v>
      </c>
      <c r="AQ492" s="235" t="s">
        <v>632</v>
      </c>
      <c r="AR492" s="243">
        <v>1.68E11</v>
      </c>
      <c r="AS492" s="235" t="s">
        <v>3284</v>
      </c>
      <c r="AT492" s="235" t="s">
        <v>13</v>
      </c>
      <c r="AU492" s="235" t="s">
        <v>634</v>
      </c>
      <c r="AV492" s="246" t="s">
        <v>635</v>
      </c>
      <c r="AW492" s="242"/>
      <c r="AX492" s="242"/>
      <c r="AY492" s="231"/>
      <c r="AZ492" s="231"/>
      <c r="BA492" s="227"/>
      <c r="BB492" s="231"/>
      <c r="BC492" s="227"/>
      <c r="BD492" s="227"/>
      <c r="BE492" s="227"/>
      <c r="BF492" s="227"/>
    </row>
    <row r="493">
      <c r="A493" s="235" t="s">
        <v>4581</v>
      </c>
      <c r="C493" s="235" t="s">
        <v>4582</v>
      </c>
      <c r="D493" s="235" t="s">
        <v>4583</v>
      </c>
      <c r="E493" s="243">
        <v>6.56E13</v>
      </c>
      <c r="F493" s="245"/>
      <c r="G493" s="235" t="s">
        <v>4584</v>
      </c>
      <c r="H493" s="235" t="s">
        <v>4585</v>
      </c>
      <c r="I493" s="235" t="s">
        <v>4586</v>
      </c>
      <c r="J493" s="235" t="s">
        <v>4587</v>
      </c>
      <c r="K493" s="235" t="s">
        <v>4588</v>
      </c>
      <c r="N493" s="235" t="s">
        <v>42</v>
      </c>
      <c r="O493" s="235" t="s">
        <v>204</v>
      </c>
      <c r="P493" s="238">
        <v>1.0</v>
      </c>
      <c r="Q493" s="235" t="s">
        <v>627</v>
      </c>
      <c r="R493" s="238">
        <v>237.14</v>
      </c>
      <c r="S493" s="238">
        <v>11.86</v>
      </c>
      <c r="T493" s="238">
        <v>38.1</v>
      </c>
      <c r="U493" s="238">
        <v>1.9</v>
      </c>
      <c r="V493" s="238">
        <v>0.0</v>
      </c>
      <c r="W493" s="238">
        <v>0.0</v>
      </c>
      <c r="X493" s="235" t="s">
        <v>628</v>
      </c>
      <c r="Z493" s="244"/>
      <c r="AA493" s="244"/>
      <c r="AB493" s="244"/>
      <c r="AC493" s="235" t="s">
        <v>697</v>
      </c>
      <c r="AD493" s="235" t="s">
        <v>698</v>
      </c>
      <c r="AE493" s="238">
        <v>500090.0</v>
      </c>
      <c r="AF493" s="235" t="s">
        <v>631</v>
      </c>
      <c r="AG493" s="244"/>
      <c r="AH493" s="244"/>
      <c r="AI493" s="245"/>
      <c r="AJ493" s="245"/>
      <c r="AK493" s="245"/>
      <c r="AL493" s="245"/>
      <c r="AM493" s="244"/>
      <c r="AN493" s="244"/>
      <c r="AO493" s="238">
        <v>0.0</v>
      </c>
      <c r="AP493" s="238">
        <v>-38.1</v>
      </c>
      <c r="AQ493" s="235" t="s">
        <v>632</v>
      </c>
      <c r="AR493" s="243">
        <v>3.71E11</v>
      </c>
      <c r="AS493" s="235" t="s">
        <v>1367</v>
      </c>
      <c r="AT493" s="235" t="s">
        <v>16</v>
      </c>
      <c r="AU493" s="235" t="s">
        <v>634</v>
      </c>
      <c r="AV493" s="246" t="s">
        <v>635</v>
      </c>
      <c r="AW493" s="242"/>
      <c r="AX493" s="242"/>
      <c r="AY493" s="231"/>
      <c r="AZ493" s="231"/>
      <c r="BA493" s="227"/>
      <c r="BB493" s="231"/>
      <c r="BC493" s="227"/>
      <c r="BD493" s="227"/>
      <c r="BE493" s="227"/>
      <c r="BF493" s="227"/>
    </row>
    <row r="494">
      <c r="A494" s="235" t="s">
        <v>4589</v>
      </c>
      <c r="C494" s="235" t="s">
        <v>4590</v>
      </c>
      <c r="D494" s="235" t="s">
        <v>4591</v>
      </c>
      <c r="E494" s="243">
        <v>6.56E13</v>
      </c>
      <c r="F494" s="245"/>
      <c r="G494" s="235" t="s">
        <v>4592</v>
      </c>
      <c r="H494" s="235" t="s">
        <v>4593</v>
      </c>
      <c r="I494" s="235" t="s">
        <v>4593</v>
      </c>
      <c r="J494" s="235" t="s">
        <v>4594</v>
      </c>
      <c r="K494" s="235" t="s">
        <v>4595</v>
      </c>
      <c r="N494" s="235" t="s">
        <v>842</v>
      </c>
      <c r="O494" s="235" t="s">
        <v>843</v>
      </c>
      <c r="P494" s="238">
        <v>1.0</v>
      </c>
      <c r="Q494" s="235" t="s">
        <v>627</v>
      </c>
      <c r="R494" s="238">
        <v>246.67</v>
      </c>
      <c r="S494" s="238">
        <v>12.33</v>
      </c>
      <c r="T494" s="238">
        <v>38.1</v>
      </c>
      <c r="U494" s="238">
        <v>1.9</v>
      </c>
      <c r="V494" s="238">
        <v>0.0</v>
      </c>
      <c r="W494" s="238">
        <v>0.0</v>
      </c>
      <c r="X494" s="235" t="s">
        <v>628</v>
      </c>
      <c r="Z494" s="244"/>
      <c r="AA494" s="244"/>
      <c r="AB494" s="244"/>
      <c r="AC494" s="235" t="s">
        <v>4596</v>
      </c>
      <c r="AD494" s="235" t="s">
        <v>833</v>
      </c>
      <c r="AE494" s="238">
        <v>532407.0</v>
      </c>
      <c r="AF494" s="235" t="s">
        <v>631</v>
      </c>
      <c r="AG494" s="244"/>
      <c r="AH494" s="244"/>
      <c r="AI494" s="245"/>
      <c r="AJ494" s="245"/>
      <c r="AK494" s="245"/>
      <c r="AL494" s="245"/>
      <c r="AM494" s="244"/>
      <c r="AN494" s="244"/>
      <c r="AO494" s="238">
        <v>0.0</v>
      </c>
      <c r="AP494" s="238">
        <v>-38.1</v>
      </c>
      <c r="AQ494" s="235" t="s">
        <v>632</v>
      </c>
      <c r="AR494" s="243">
        <v>3.71E11</v>
      </c>
      <c r="AS494" s="235" t="s">
        <v>667</v>
      </c>
      <c r="AT494" s="235" t="s">
        <v>546</v>
      </c>
      <c r="AU494" s="235" t="s">
        <v>634</v>
      </c>
      <c r="AV494" s="246" t="s">
        <v>635</v>
      </c>
      <c r="AW494" s="242"/>
      <c r="AX494" s="242"/>
      <c r="AY494" s="231"/>
      <c r="AZ494" s="231"/>
      <c r="BA494" s="227"/>
      <c r="BB494" s="231"/>
      <c r="BC494" s="227"/>
      <c r="BD494" s="227"/>
      <c r="BE494" s="227"/>
      <c r="BF494" s="227"/>
    </row>
    <row r="495">
      <c r="A495" s="235" t="s">
        <v>4597</v>
      </c>
      <c r="C495" s="235" t="s">
        <v>4598</v>
      </c>
      <c r="D495" s="235" t="s">
        <v>4599</v>
      </c>
      <c r="E495" s="243">
        <v>6.56E13</v>
      </c>
      <c r="F495" s="245"/>
      <c r="G495" s="235" t="s">
        <v>4600</v>
      </c>
      <c r="H495" s="235" t="s">
        <v>4601</v>
      </c>
      <c r="I495" s="235" t="s">
        <v>4601</v>
      </c>
      <c r="J495" s="235" t="s">
        <v>4602</v>
      </c>
      <c r="K495" s="235" t="s">
        <v>4603</v>
      </c>
      <c r="N495" s="235" t="s">
        <v>130</v>
      </c>
      <c r="O495" s="235" t="s">
        <v>707</v>
      </c>
      <c r="P495" s="238">
        <v>1.0</v>
      </c>
      <c r="Q495" s="235" t="s">
        <v>627</v>
      </c>
      <c r="R495" s="238">
        <v>246.66</v>
      </c>
      <c r="S495" s="238">
        <v>12.34</v>
      </c>
      <c r="T495" s="238">
        <v>0.0</v>
      </c>
      <c r="U495" s="238">
        <v>0.0</v>
      </c>
      <c r="V495" s="238">
        <v>0.0</v>
      </c>
      <c r="W495" s="238">
        <v>0.0</v>
      </c>
      <c r="X495" s="235" t="s">
        <v>628</v>
      </c>
      <c r="Z495" s="244"/>
      <c r="AA495" s="244"/>
      <c r="AB495" s="244"/>
      <c r="AC495" s="235" t="s">
        <v>687</v>
      </c>
      <c r="AD495" s="235" t="s">
        <v>666</v>
      </c>
      <c r="AE495" s="238">
        <v>600006.0</v>
      </c>
      <c r="AF495" s="235" t="s">
        <v>631</v>
      </c>
      <c r="AG495" s="244"/>
      <c r="AH495" s="244"/>
      <c r="AI495" s="245"/>
      <c r="AJ495" s="245"/>
      <c r="AK495" s="245"/>
      <c r="AL495" s="245"/>
      <c r="AM495" s="244"/>
      <c r="AN495" s="244"/>
      <c r="AO495" s="238">
        <v>0.0</v>
      </c>
      <c r="AP495" s="238">
        <v>0.0</v>
      </c>
      <c r="AQ495" s="235" t="s">
        <v>632</v>
      </c>
      <c r="AR495" s="243">
        <v>1.68E11</v>
      </c>
      <c r="AS495" s="235" t="s">
        <v>3964</v>
      </c>
      <c r="AT495" s="235" t="s">
        <v>156</v>
      </c>
      <c r="AU495" s="235" t="s">
        <v>634</v>
      </c>
      <c r="AV495" s="246" t="s">
        <v>635</v>
      </c>
      <c r="AW495" s="242"/>
      <c r="AX495" s="242"/>
      <c r="AY495" s="231"/>
      <c r="AZ495" s="231"/>
      <c r="BA495" s="227"/>
      <c r="BB495" s="231"/>
      <c r="BC495" s="227"/>
      <c r="BD495" s="227"/>
      <c r="BE495" s="227"/>
      <c r="BF495" s="227"/>
    </row>
    <row r="496">
      <c r="A496" s="235" t="s">
        <v>4604</v>
      </c>
      <c r="C496" s="235" t="s">
        <v>4605</v>
      </c>
      <c r="D496" s="235" t="s">
        <v>4606</v>
      </c>
      <c r="E496" s="243">
        <v>6.56E13</v>
      </c>
      <c r="F496" s="245"/>
      <c r="G496" s="235" t="s">
        <v>4607</v>
      </c>
      <c r="H496" s="235" t="s">
        <v>4608</v>
      </c>
      <c r="I496" s="235" t="s">
        <v>4608</v>
      </c>
      <c r="J496" s="235" t="s">
        <v>4609</v>
      </c>
      <c r="K496" s="235" t="s">
        <v>4610</v>
      </c>
      <c r="N496" s="235" t="s">
        <v>90</v>
      </c>
      <c r="O496" s="235" t="s">
        <v>279</v>
      </c>
      <c r="P496" s="238">
        <v>1.0</v>
      </c>
      <c r="Q496" s="235" t="s">
        <v>627</v>
      </c>
      <c r="R496" s="238">
        <v>0.0</v>
      </c>
      <c r="S496" s="238">
        <v>0.0</v>
      </c>
      <c r="T496" s="238">
        <v>0.0</v>
      </c>
      <c r="U496" s="238">
        <v>0.0</v>
      </c>
      <c r="V496" s="238">
        <v>0.0</v>
      </c>
      <c r="W496" s="238">
        <v>0.0</v>
      </c>
      <c r="X496" s="235" t="s">
        <v>628</v>
      </c>
      <c r="Z496" s="244"/>
      <c r="AA496" s="244"/>
      <c r="AB496" s="244"/>
      <c r="AC496" s="235" t="s">
        <v>1456</v>
      </c>
      <c r="AD496" s="235" t="s">
        <v>928</v>
      </c>
      <c r="AE496" s="238">
        <v>122001.0</v>
      </c>
      <c r="AF496" s="235" t="s">
        <v>631</v>
      </c>
      <c r="AG496" s="244"/>
      <c r="AH496" s="244"/>
      <c r="AI496" s="245"/>
      <c r="AJ496" s="245"/>
      <c r="AK496" s="245"/>
      <c r="AL496" s="245"/>
      <c r="AM496" s="244"/>
      <c r="AN496" s="244"/>
      <c r="AO496" s="238">
        <v>0.0</v>
      </c>
      <c r="AP496" s="238">
        <v>0.0</v>
      </c>
      <c r="AQ496" s="235" t="s">
        <v>632</v>
      </c>
      <c r="AR496" s="243">
        <v>3.71E11</v>
      </c>
      <c r="AS496" s="235" t="s">
        <v>3284</v>
      </c>
      <c r="AT496" s="235" t="s">
        <v>533</v>
      </c>
      <c r="AU496" s="235" t="s">
        <v>634</v>
      </c>
      <c r="AV496" s="246" t="s">
        <v>635</v>
      </c>
      <c r="AW496" s="242"/>
      <c r="AX496" s="242"/>
      <c r="AY496" s="231"/>
      <c r="AZ496" s="231"/>
      <c r="BA496" s="227"/>
      <c r="BB496" s="231"/>
      <c r="BC496" s="227"/>
      <c r="BD496" s="227"/>
      <c r="BE496" s="227"/>
      <c r="BF496" s="227"/>
    </row>
    <row r="497">
      <c r="A497" s="235" t="s">
        <v>4611</v>
      </c>
      <c r="C497" s="235" t="s">
        <v>4612</v>
      </c>
      <c r="D497" s="235" t="s">
        <v>4613</v>
      </c>
      <c r="E497" s="243">
        <v>6.56E13</v>
      </c>
      <c r="F497" s="245"/>
      <c r="G497" s="235" t="s">
        <v>4614</v>
      </c>
      <c r="H497" s="235" t="s">
        <v>4615</v>
      </c>
      <c r="I497" s="235" t="s">
        <v>4616</v>
      </c>
      <c r="J497" s="235" t="s">
        <v>4617</v>
      </c>
      <c r="K497" s="235" t="s">
        <v>4618</v>
      </c>
      <c r="N497" s="235" t="s">
        <v>2163</v>
      </c>
      <c r="O497" s="235" t="s">
        <v>2164</v>
      </c>
      <c r="P497" s="238">
        <v>1.0</v>
      </c>
      <c r="Q497" s="235" t="s">
        <v>627</v>
      </c>
      <c r="R497" s="238">
        <v>246.66</v>
      </c>
      <c r="S497" s="238">
        <v>12.34</v>
      </c>
      <c r="T497" s="238">
        <v>0.0</v>
      </c>
      <c r="U497" s="238">
        <v>0.0</v>
      </c>
      <c r="V497" s="238">
        <v>0.0</v>
      </c>
      <c r="W497" s="238">
        <v>0.0</v>
      </c>
      <c r="X497" s="235" t="s">
        <v>628</v>
      </c>
      <c r="Z497" s="244"/>
      <c r="AA497" s="244"/>
      <c r="AB497" s="244"/>
      <c r="AC497" s="235" t="s">
        <v>678</v>
      </c>
      <c r="AD497" s="235" t="s">
        <v>679</v>
      </c>
      <c r="AE497" s="238">
        <v>560064.0</v>
      </c>
      <c r="AF497" s="235" t="s">
        <v>631</v>
      </c>
      <c r="AG497" s="244"/>
      <c r="AH497" s="244"/>
      <c r="AI497" s="245"/>
      <c r="AJ497" s="245"/>
      <c r="AK497" s="245"/>
      <c r="AL497" s="245"/>
      <c r="AM497" s="244"/>
      <c r="AN497" s="244"/>
      <c r="AO497" s="238">
        <v>0.0</v>
      </c>
      <c r="AP497" s="238">
        <v>0.0</v>
      </c>
      <c r="AQ497" s="235" t="s">
        <v>632</v>
      </c>
      <c r="AR497" s="243">
        <v>1.68E11</v>
      </c>
      <c r="AS497" s="235" t="s">
        <v>3964</v>
      </c>
      <c r="AT497" s="235" t="s">
        <v>11</v>
      </c>
      <c r="AU497" s="235" t="s">
        <v>634</v>
      </c>
      <c r="AV497" s="246" t="s">
        <v>635</v>
      </c>
      <c r="AW497" s="242"/>
      <c r="AX497" s="242"/>
      <c r="AY497" s="231"/>
      <c r="AZ497" s="231"/>
      <c r="BA497" s="227"/>
      <c r="BB497" s="231"/>
      <c r="BC497" s="227"/>
      <c r="BD497" s="227"/>
      <c r="BE497" s="227"/>
      <c r="BF497" s="227"/>
    </row>
    <row r="498">
      <c r="A498" s="235" t="s">
        <v>4619</v>
      </c>
      <c r="C498" s="235" t="s">
        <v>4620</v>
      </c>
      <c r="D498" s="235" t="s">
        <v>4621</v>
      </c>
      <c r="E498" s="243">
        <v>6.56E13</v>
      </c>
      <c r="F498" s="245"/>
      <c r="G498" s="235" t="s">
        <v>4622</v>
      </c>
      <c r="H498" s="235" t="s">
        <v>4623</v>
      </c>
      <c r="I498" s="235" t="s">
        <v>4623</v>
      </c>
      <c r="J498" s="235" t="s">
        <v>4624</v>
      </c>
      <c r="K498" s="235" t="s">
        <v>4625</v>
      </c>
      <c r="N498" s="235" t="s">
        <v>68</v>
      </c>
      <c r="O498" s="235" t="s">
        <v>208</v>
      </c>
      <c r="P498" s="238">
        <v>1.0</v>
      </c>
      <c r="Q498" s="235" t="s">
        <v>627</v>
      </c>
      <c r="R498" s="238">
        <v>246.67</v>
      </c>
      <c r="S498" s="238">
        <v>12.08</v>
      </c>
      <c r="T498" s="238">
        <v>0.0</v>
      </c>
      <c r="U498" s="238">
        <v>0.0</v>
      </c>
      <c r="V498" s="238">
        <v>0.0</v>
      </c>
      <c r="W498" s="238">
        <v>0.0</v>
      </c>
      <c r="X498" s="235" t="s">
        <v>628</v>
      </c>
      <c r="Z498" s="244"/>
      <c r="AA498" s="244"/>
      <c r="AB498" s="244"/>
      <c r="AC498" s="235" t="s">
        <v>4626</v>
      </c>
      <c r="AD498" s="235" t="s">
        <v>2688</v>
      </c>
      <c r="AE498" s="238">
        <v>190007.0</v>
      </c>
      <c r="AF498" s="235" t="s">
        <v>631</v>
      </c>
      <c r="AG498" s="244"/>
      <c r="AH498" s="244"/>
      <c r="AI498" s="245"/>
      <c r="AJ498" s="245"/>
      <c r="AK498" s="245"/>
      <c r="AL498" s="245"/>
      <c r="AM498" s="244"/>
      <c r="AN498" s="244"/>
      <c r="AO498" s="238">
        <v>-4.93</v>
      </c>
      <c r="AP498" s="238">
        <v>0.0</v>
      </c>
      <c r="AQ498" s="235" t="s">
        <v>632</v>
      </c>
      <c r="AR498" s="243">
        <v>3.71E11</v>
      </c>
      <c r="AS498" s="235" t="s">
        <v>667</v>
      </c>
      <c r="AT498" s="235" t="s">
        <v>533</v>
      </c>
      <c r="AU498" s="235" t="s">
        <v>634</v>
      </c>
      <c r="AV498" s="246" t="s">
        <v>635</v>
      </c>
      <c r="AW498" s="242"/>
      <c r="AX498" s="242"/>
      <c r="AY498" s="231"/>
      <c r="AZ498" s="231"/>
      <c r="BA498" s="227"/>
      <c r="BB498" s="231"/>
      <c r="BC498" s="227"/>
      <c r="BD498" s="227"/>
      <c r="BE498" s="227"/>
      <c r="BF498" s="227"/>
    </row>
    <row r="499">
      <c r="A499" s="235" t="s">
        <v>4627</v>
      </c>
      <c r="C499" s="235" t="s">
        <v>4628</v>
      </c>
      <c r="D499" s="235" t="s">
        <v>4629</v>
      </c>
      <c r="E499" s="243">
        <v>6.56E13</v>
      </c>
      <c r="F499" s="245"/>
      <c r="G499" s="235" t="s">
        <v>4630</v>
      </c>
      <c r="H499" s="235" t="s">
        <v>4631</v>
      </c>
      <c r="I499" s="235" t="s">
        <v>4631</v>
      </c>
      <c r="J499" s="235" t="s">
        <v>4632</v>
      </c>
      <c r="K499" s="235" t="s">
        <v>4633</v>
      </c>
      <c r="N499" s="235" t="s">
        <v>1346</v>
      </c>
      <c r="O499" s="235" t="s">
        <v>1347</v>
      </c>
      <c r="P499" s="238">
        <v>1.0</v>
      </c>
      <c r="Q499" s="235" t="s">
        <v>627</v>
      </c>
      <c r="R499" s="238">
        <v>256.2</v>
      </c>
      <c r="S499" s="238">
        <v>12.8</v>
      </c>
      <c r="T499" s="238">
        <v>18.1</v>
      </c>
      <c r="U499" s="238">
        <v>0.9</v>
      </c>
      <c r="V499" s="238">
        <v>0.0</v>
      </c>
      <c r="W499" s="238">
        <v>0.0</v>
      </c>
      <c r="X499" s="235" t="s">
        <v>628</v>
      </c>
      <c r="Z499" s="244"/>
      <c r="AA499" s="244"/>
      <c r="AB499" s="244"/>
      <c r="AC499" s="235" t="s">
        <v>1887</v>
      </c>
      <c r="AD499" s="235" t="s">
        <v>679</v>
      </c>
      <c r="AE499" s="238">
        <v>560100.0</v>
      </c>
      <c r="AF499" s="235" t="s">
        <v>631</v>
      </c>
      <c r="AG499" s="244"/>
      <c r="AH499" s="244"/>
      <c r="AI499" s="245"/>
      <c r="AJ499" s="245"/>
      <c r="AK499" s="245"/>
      <c r="AL499" s="245"/>
      <c r="AM499" s="244"/>
      <c r="AN499" s="244"/>
      <c r="AO499" s="238">
        <v>0.0</v>
      </c>
      <c r="AP499" s="238">
        <v>-18.1</v>
      </c>
      <c r="AQ499" s="235" t="s">
        <v>632</v>
      </c>
      <c r="AR499" s="243">
        <v>1.68E11</v>
      </c>
      <c r="AS499" s="235" t="s">
        <v>3964</v>
      </c>
      <c r="AT499" s="235" t="s">
        <v>11</v>
      </c>
      <c r="AU499" s="235" t="s">
        <v>634</v>
      </c>
      <c r="AV499" s="246" t="s">
        <v>635</v>
      </c>
      <c r="AW499" s="242"/>
      <c r="AX499" s="242"/>
      <c r="AY499" s="231"/>
      <c r="AZ499" s="231"/>
      <c r="BA499" s="227"/>
      <c r="BB499" s="231"/>
      <c r="BC499" s="227"/>
      <c r="BD499" s="227"/>
      <c r="BE499" s="227"/>
      <c r="BF499" s="227"/>
    </row>
    <row r="500">
      <c r="A500" s="235" t="s">
        <v>4634</v>
      </c>
      <c r="C500" s="235" t="s">
        <v>4635</v>
      </c>
      <c r="D500" s="235" t="s">
        <v>4636</v>
      </c>
      <c r="E500" s="243">
        <v>6.56E13</v>
      </c>
      <c r="F500" s="245"/>
      <c r="G500" s="235" t="s">
        <v>4637</v>
      </c>
      <c r="H500" s="235" t="s">
        <v>4638</v>
      </c>
      <c r="I500" s="235" t="s">
        <v>4638</v>
      </c>
      <c r="J500" s="235" t="s">
        <v>4639</v>
      </c>
      <c r="K500" s="235" t="s">
        <v>4640</v>
      </c>
      <c r="N500" s="235" t="s">
        <v>144</v>
      </c>
      <c r="O500" s="235" t="s">
        <v>232</v>
      </c>
      <c r="P500" s="238">
        <v>1.0</v>
      </c>
      <c r="Q500" s="235" t="s">
        <v>627</v>
      </c>
      <c r="R500" s="238">
        <v>665.72</v>
      </c>
      <c r="S500" s="238">
        <v>33.28</v>
      </c>
      <c r="T500" s="238">
        <v>0.0</v>
      </c>
      <c r="U500" s="238">
        <v>0.0</v>
      </c>
      <c r="V500" s="238">
        <v>0.0</v>
      </c>
      <c r="W500" s="238">
        <v>0.0</v>
      </c>
      <c r="X500" s="235" t="s">
        <v>628</v>
      </c>
      <c r="Z500" s="244"/>
      <c r="AA500" s="244"/>
      <c r="AB500" s="244"/>
      <c r="AC500" s="235" t="s">
        <v>678</v>
      </c>
      <c r="AD500" s="235" t="s">
        <v>679</v>
      </c>
      <c r="AE500" s="238">
        <v>560035.0</v>
      </c>
      <c r="AF500" s="235" t="s">
        <v>631</v>
      </c>
      <c r="AG500" s="244"/>
      <c r="AH500" s="244"/>
      <c r="AI500" s="245"/>
      <c r="AJ500" s="245"/>
      <c r="AK500" s="245"/>
      <c r="AL500" s="245"/>
      <c r="AM500" s="244"/>
      <c r="AN500" s="244"/>
      <c r="AO500" s="238">
        <v>0.0</v>
      </c>
      <c r="AP500" s="238">
        <v>0.0</v>
      </c>
      <c r="AQ500" s="235" t="s">
        <v>632</v>
      </c>
      <c r="AR500" s="243">
        <v>1.68E11</v>
      </c>
      <c r="AS500" s="235" t="s">
        <v>3964</v>
      </c>
      <c r="AT500" s="235" t="s">
        <v>9</v>
      </c>
      <c r="AU500" s="235" t="s">
        <v>634</v>
      </c>
      <c r="AV500" s="246" t="s">
        <v>635</v>
      </c>
      <c r="AW500" s="242"/>
      <c r="AX500" s="242"/>
      <c r="AY500" s="231"/>
      <c r="AZ500" s="231"/>
      <c r="BA500" s="227"/>
      <c r="BB500" s="231"/>
      <c r="BC500" s="227"/>
      <c r="BD500" s="227"/>
      <c r="BE500" s="227"/>
      <c r="BF500" s="227"/>
    </row>
    <row r="501">
      <c r="A501" s="235" t="s">
        <v>4641</v>
      </c>
      <c r="C501" s="235" t="s">
        <v>4642</v>
      </c>
      <c r="D501" s="235" t="s">
        <v>4643</v>
      </c>
      <c r="E501" s="243">
        <v>6.56E13</v>
      </c>
      <c r="F501" s="245"/>
      <c r="G501" s="235" t="s">
        <v>4644</v>
      </c>
      <c r="H501" s="235" t="s">
        <v>4645</v>
      </c>
      <c r="I501" s="235" t="s">
        <v>4646</v>
      </c>
      <c r="J501" s="235" t="s">
        <v>4647</v>
      </c>
      <c r="K501" s="235" t="s">
        <v>4648</v>
      </c>
      <c r="N501" s="235" t="s">
        <v>130</v>
      </c>
      <c r="O501" s="235" t="s">
        <v>707</v>
      </c>
      <c r="P501" s="238">
        <v>1.0</v>
      </c>
      <c r="Q501" s="235" t="s">
        <v>627</v>
      </c>
      <c r="R501" s="238">
        <v>246.66</v>
      </c>
      <c r="S501" s="238">
        <v>12.34</v>
      </c>
      <c r="T501" s="238">
        <v>0.0</v>
      </c>
      <c r="U501" s="238">
        <v>0.0</v>
      </c>
      <c r="V501" s="238">
        <v>0.0</v>
      </c>
      <c r="W501" s="238">
        <v>0.0</v>
      </c>
      <c r="X501" s="235" t="s">
        <v>628</v>
      </c>
      <c r="Z501" s="244"/>
      <c r="AA501" s="244"/>
      <c r="AB501" s="244"/>
      <c r="AC501" s="235" t="s">
        <v>678</v>
      </c>
      <c r="AD501" s="235" t="s">
        <v>679</v>
      </c>
      <c r="AE501" s="238">
        <v>560076.0</v>
      </c>
      <c r="AF501" s="235" t="s">
        <v>631</v>
      </c>
      <c r="AG501" s="244"/>
      <c r="AH501" s="244"/>
      <c r="AI501" s="245"/>
      <c r="AJ501" s="245"/>
      <c r="AK501" s="245"/>
      <c r="AL501" s="245"/>
      <c r="AM501" s="244"/>
      <c r="AN501" s="244"/>
      <c r="AO501" s="238">
        <v>0.0</v>
      </c>
      <c r="AP501" s="238">
        <v>0.0</v>
      </c>
      <c r="AQ501" s="235" t="s">
        <v>632</v>
      </c>
      <c r="AR501" s="243">
        <v>1.68E11</v>
      </c>
      <c r="AS501" s="235" t="s">
        <v>3964</v>
      </c>
      <c r="AT501" s="235" t="s">
        <v>11</v>
      </c>
      <c r="AU501" s="235" t="s">
        <v>634</v>
      </c>
      <c r="AV501" s="246" t="s">
        <v>635</v>
      </c>
      <c r="AW501" s="242"/>
      <c r="AX501" s="242"/>
      <c r="AY501" s="231"/>
      <c r="AZ501" s="231"/>
      <c r="BA501" s="227"/>
      <c r="BB501" s="231"/>
      <c r="BC501" s="227"/>
      <c r="BD501" s="227"/>
      <c r="BE501" s="227"/>
      <c r="BF501" s="227"/>
    </row>
    <row r="502">
      <c r="A502" s="235" t="s">
        <v>4649</v>
      </c>
      <c r="C502" s="235" t="s">
        <v>4650</v>
      </c>
      <c r="D502" s="235" t="s">
        <v>4651</v>
      </c>
      <c r="E502" s="243">
        <v>6.56E13</v>
      </c>
      <c r="F502" s="245"/>
      <c r="G502" s="235" t="s">
        <v>4652</v>
      </c>
      <c r="H502" s="235" t="s">
        <v>4653</v>
      </c>
      <c r="I502" s="235" t="s">
        <v>4653</v>
      </c>
      <c r="J502" s="235" t="s">
        <v>4654</v>
      </c>
      <c r="K502" s="235" t="s">
        <v>4655</v>
      </c>
      <c r="N502" s="235" t="s">
        <v>50</v>
      </c>
      <c r="O502" s="235" t="s">
        <v>367</v>
      </c>
      <c r="P502" s="238">
        <v>1.0</v>
      </c>
      <c r="Q502" s="235" t="s">
        <v>627</v>
      </c>
      <c r="R502" s="238">
        <v>237.14</v>
      </c>
      <c r="S502" s="238">
        <v>11.86</v>
      </c>
      <c r="T502" s="238">
        <v>0.0</v>
      </c>
      <c r="U502" s="238">
        <v>0.0</v>
      </c>
      <c r="V502" s="238">
        <v>0.0</v>
      </c>
      <c r="W502" s="238">
        <v>0.0</v>
      </c>
      <c r="X502" s="235" t="s">
        <v>628</v>
      </c>
      <c r="Z502" s="244"/>
      <c r="AA502" s="244"/>
      <c r="AB502" s="244"/>
      <c r="AC502" s="235" t="s">
        <v>4656</v>
      </c>
      <c r="AD502" s="235" t="s">
        <v>833</v>
      </c>
      <c r="AE502" s="238">
        <v>533006.0</v>
      </c>
      <c r="AF502" s="235" t="s">
        <v>631</v>
      </c>
      <c r="AG502" s="244"/>
      <c r="AH502" s="244"/>
      <c r="AI502" s="245"/>
      <c r="AJ502" s="245"/>
      <c r="AK502" s="245"/>
      <c r="AL502" s="245"/>
      <c r="AM502" s="244"/>
      <c r="AN502" s="244"/>
      <c r="AO502" s="238">
        <v>0.0</v>
      </c>
      <c r="AP502" s="238">
        <v>0.0</v>
      </c>
      <c r="AQ502" s="235" t="s">
        <v>632</v>
      </c>
      <c r="AR502" s="243">
        <v>3.71E11</v>
      </c>
      <c r="AS502" s="235" t="s">
        <v>667</v>
      </c>
      <c r="AT502" s="235" t="s">
        <v>17</v>
      </c>
      <c r="AU502" s="235" t="s">
        <v>634</v>
      </c>
      <c r="AV502" s="246" t="s">
        <v>635</v>
      </c>
      <c r="AW502" s="242"/>
      <c r="AX502" s="242"/>
      <c r="AY502" s="231"/>
      <c r="AZ502" s="231"/>
      <c r="BA502" s="227"/>
      <c r="BB502" s="231"/>
      <c r="BC502" s="227"/>
      <c r="BD502" s="227"/>
      <c r="BE502" s="227"/>
      <c r="BF502" s="227"/>
    </row>
    <row r="503">
      <c r="A503" s="235" t="s">
        <v>4657</v>
      </c>
      <c r="C503" s="235" t="s">
        <v>4658</v>
      </c>
      <c r="D503" s="235" t="s">
        <v>4659</v>
      </c>
      <c r="E503" s="243">
        <v>6.56E13</v>
      </c>
      <c r="F503" s="245"/>
      <c r="G503" s="235" t="s">
        <v>4660</v>
      </c>
      <c r="H503" s="235" t="s">
        <v>4661</v>
      </c>
      <c r="I503" s="235" t="s">
        <v>4661</v>
      </c>
      <c r="J503" s="235" t="s">
        <v>4662</v>
      </c>
      <c r="K503" s="235" t="s">
        <v>4663</v>
      </c>
      <c r="N503" s="235" t="s">
        <v>54</v>
      </c>
      <c r="O503" s="235" t="s">
        <v>294</v>
      </c>
      <c r="P503" s="238">
        <v>1.0</v>
      </c>
      <c r="Q503" s="235" t="s">
        <v>627</v>
      </c>
      <c r="R503" s="238">
        <v>246.67</v>
      </c>
      <c r="S503" s="238">
        <v>12.33</v>
      </c>
      <c r="T503" s="238">
        <v>0.0</v>
      </c>
      <c r="U503" s="238">
        <v>0.0</v>
      </c>
      <c r="V503" s="238">
        <v>0.0</v>
      </c>
      <c r="W503" s="238">
        <v>0.0</v>
      </c>
      <c r="X503" s="235" t="s">
        <v>628</v>
      </c>
      <c r="Z503" s="244"/>
      <c r="AA503" s="244"/>
      <c r="AB503" s="244"/>
      <c r="AC503" s="235" t="s">
        <v>4664</v>
      </c>
      <c r="AD503" s="235" t="s">
        <v>698</v>
      </c>
      <c r="AE503" s="238">
        <v>506001.0</v>
      </c>
      <c r="AF503" s="235" t="s">
        <v>631</v>
      </c>
      <c r="AG503" s="244"/>
      <c r="AH503" s="244"/>
      <c r="AI503" s="245"/>
      <c r="AJ503" s="245"/>
      <c r="AK503" s="245"/>
      <c r="AL503" s="245"/>
      <c r="AM503" s="244"/>
      <c r="AN503" s="244"/>
      <c r="AO503" s="238">
        <v>0.0</v>
      </c>
      <c r="AP503" s="238">
        <v>0.0</v>
      </c>
      <c r="AQ503" s="235" t="s">
        <v>632</v>
      </c>
      <c r="AR503" s="243">
        <v>3.71E11</v>
      </c>
      <c r="AS503" s="235" t="s">
        <v>1367</v>
      </c>
      <c r="AT503" s="235" t="s">
        <v>156</v>
      </c>
      <c r="AU503" s="235" t="s">
        <v>634</v>
      </c>
      <c r="AV503" s="246" t="s">
        <v>635</v>
      </c>
      <c r="AW503" s="242"/>
      <c r="AX503" s="242"/>
      <c r="AY503" s="231"/>
      <c r="AZ503" s="231"/>
      <c r="BA503" s="227"/>
      <c r="BB503" s="231"/>
      <c r="BC503" s="227"/>
      <c r="BD503" s="227"/>
      <c r="BE503" s="227"/>
      <c r="BF503" s="227"/>
    </row>
    <row r="504">
      <c r="A504" s="235" t="s">
        <v>4665</v>
      </c>
      <c r="C504" s="235" t="s">
        <v>4666</v>
      </c>
      <c r="D504" s="235" t="s">
        <v>4667</v>
      </c>
      <c r="E504" s="243">
        <v>6.56E13</v>
      </c>
      <c r="F504" s="245"/>
      <c r="G504" s="235" t="s">
        <v>4668</v>
      </c>
      <c r="H504" s="235" t="s">
        <v>4669</v>
      </c>
      <c r="I504" s="235" t="s">
        <v>4669</v>
      </c>
      <c r="J504" s="235" t="s">
        <v>4670</v>
      </c>
      <c r="K504" s="235" t="s">
        <v>4671</v>
      </c>
      <c r="N504" s="235" t="s">
        <v>54</v>
      </c>
      <c r="O504" s="235" t="s">
        <v>294</v>
      </c>
      <c r="P504" s="238">
        <v>1.0</v>
      </c>
      <c r="Q504" s="235" t="s">
        <v>627</v>
      </c>
      <c r="R504" s="238">
        <v>242.86</v>
      </c>
      <c r="S504" s="238">
        <v>12.14</v>
      </c>
      <c r="T504" s="238">
        <v>0.0</v>
      </c>
      <c r="U504" s="238">
        <v>0.0</v>
      </c>
      <c r="V504" s="238">
        <v>0.0</v>
      </c>
      <c r="W504" s="238">
        <v>0.0</v>
      </c>
      <c r="X504" s="235" t="s">
        <v>628</v>
      </c>
      <c r="Z504" s="244"/>
      <c r="AA504" s="244"/>
      <c r="AB504" s="244"/>
      <c r="AC504" s="235" t="s">
        <v>4672</v>
      </c>
      <c r="AD504" s="235" t="s">
        <v>630</v>
      </c>
      <c r="AE504" s="238">
        <v>221101.0</v>
      </c>
      <c r="AF504" s="235" t="s">
        <v>631</v>
      </c>
      <c r="AG504" s="244"/>
      <c r="AH504" s="244"/>
      <c r="AI504" s="245"/>
      <c r="AJ504" s="245"/>
      <c r="AK504" s="245"/>
      <c r="AL504" s="245"/>
      <c r="AM504" s="244"/>
      <c r="AN504" s="244"/>
      <c r="AO504" s="238">
        <v>0.0</v>
      </c>
      <c r="AP504" s="238">
        <v>0.0</v>
      </c>
      <c r="AQ504" s="235" t="s">
        <v>632</v>
      </c>
      <c r="AR504" s="243">
        <v>3.71E11</v>
      </c>
      <c r="AS504" s="235" t="s">
        <v>646</v>
      </c>
      <c r="AT504" s="235" t="s">
        <v>546</v>
      </c>
      <c r="AU504" s="235" t="s">
        <v>634</v>
      </c>
      <c r="AV504" s="246" t="s">
        <v>635</v>
      </c>
      <c r="AW504" s="242"/>
      <c r="AX504" s="242"/>
      <c r="AY504" s="231"/>
      <c r="AZ504" s="231"/>
      <c r="BA504" s="227"/>
      <c r="BB504" s="231"/>
      <c r="BC504" s="227"/>
      <c r="BD504" s="227"/>
      <c r="BE504" s="227"/>
      <c r="BF504" s="227"/>
    </row>
    <row r="505">
      <c r="A505" s="235" t="s">
        <v>4673</v>
      </c>
      <c r="C505" s="235" t="s">
        <v>4674</v>
      </c>
      <c r="D505" s="235" t="s">
        <v>4675</v>
      </c>
      <c r="E505" s="243">
        <v>6.56E13</v>
      </c>
      <c r="F505" s="245"/>
      <c r="G505" s="235" t="s">
        <v>4676</v>
      </c>
      <c r="H505" s="235" t="s">
        <v>4677</v>
      </c>
      <c r="I505" s="235" t="s">
        <v>4677</v>
      </c>
      <c r="J505" s="235" t="s">
        <v>4678</v>
      </c>
      <c r="K505" s="235" t="s">
        <v>4679</v>
      </c>
      <c r="N505" s="235" t="s">
        <v>50</v>
      </c>
      <c r="O505" s="235" t="s">
        <v>367</v>
      </c>
      <c r="P505" s="238">
        <v>1.0</v>
      </c>
      <c r="Q505" s="235" t="s">
        <v>627</v>
      </c>
      <c r="R505" s="238">
        <v>237.14</v>
      </c>
      <c r="S505" s="238">
        <v>11.86</v>
      </c>
      <c r="T505" s="238">
        <v>38.1</v>
      </c>
      <c r="U505" s="238">
        <v>1.9</v>
      </c>
      <c r="V505" s="238">
        <v>0.0</v>
      </c>
      <c r="W505" s="238">
        <v>0.0</v>
      </c>
      <c r="X505" s="235" t="s">
        <v>628</v>
      </c>
      <c r="Z505" s="244"/>
      <c r="AA505" s="244"/>
      <c r="AB505" s="244"/>
      <c r="AC505" s="235" t="s">
        <v>2057</v>
      </c>
      <c r="AD505" s="235" t="s">
        <v>698</v>
      </c>
      <c r="AE505" s="238">
        <v>500011.0</v>
      </c>
      <c r="AF505" s="235" t="s">
        <v>631</v>
      </c>
      <c r="AG505" s="244"/>
      <c r="AH505" s="244"/>
      <c r="AI505" s="245"/>
      <c r="AJ505" s="245"/>
      <c r="AK505" s="245"/>
      <c r="AL505" s="245"/>
      <c r="AM505" s="244"/>
      <c r="AN505" s="244"/>
      <c r="AO505" s="238">
        <v>0.0</v>
      </c>
      <c r="AP505" s="238">
        <v>-38.1</v>
      </c>
      <c r="AQ505" s="235" t="s">
        <v>632</v>
      </c>
      <c r="AR505" s="243">
        <v>3.71E11</v>
      </c>
      <c r="AS505" s="235" t="s">
        <v>2276</v>
      </c>
      <c r="AT505" s="235" t="s">
        <v>156</v>
      </c>
      <c r="AU505" s="235" t="s">
        <v>634</v>
      </c>
      <c r="AV505" s="246" t="s">
        <v>635</v>
      </c>
      <c r="AW505" s="242"/>
      <c r="AX505" s="242"/>
      <c r="AY505" s="231"/>
      <c r="AZ505" s="231"/>
      <c r="BA505" s="227"/>
      <c r="BB505" s="231"/>
      <c r="BC505" s="227"/>
      <c r="BD505" s="227"/>
      <c r="BE505" s="227"/>
      <c r="BF505" s="227"/>
    </row>
    <row r="506">
      <c r="A506" s="235" t="s">
        <v>4680</v>
      </c>
      <c r="C506" s="235" t="s">
        <v>4681</v>
      </c>
      <c r="D506" s="235" t="s">
        <v>4682</v>
      </c>
      <c r="E506" s="243">
        <v>6.56E13</v>
      </c>
      <c r="F506" s="245"/>
      <c r="G506" s="235" t="s">
        <v>4683</v>
      </c>
      <c r="H506" s="235" t="s">
        <v>4684</v>
      </c>
      <c r="I506" s="235" t="s">
        <v>4684</v>
      </c>
      <c r="J506" s="235" t="s">
        <v>4685</v>
      </c>
      <c r="K506" s="235" t="s">
        <v>4686</v>
      </c>
      <c r="N506" s="235" t="s">
        <v>154</v>
      </c>
      <c r="O506" s="235" t="s">
        <v>766</v>
      </c>
      <c r="P506" s="238">
        <v>1.0</v>
      </c>
      <c r="Q506" s="235" t="s">
        <v>627</v>
      </c>
      <c r="R506" s="238">
        <v>465.71</v>
      </c>
      <c r="S506" s="238">
        <v>23.29</v>
      </c>
      <c r="T506" s="238">
        <v>0.0</v>
      </c>
      <c r="U506" s="238">
        <v>0.0</v>
      </c>
      <c r="V506" s="238">
        <v>0.0</v>
      </c>
      <c r="W506" s="238">
        <v>0.0</v>
      </c>
      <c r="X506" s="235" t="s">
        <v>628</v>
      </c>
      <c r="Z506" s="244"/>
      <c r="AA506" s="244"/>
      <c r="AB506" s="244"/>
      <c r="AC506" s="235" t="s">
        <v>4687</v>
      </c>
      <c r="AD506" s="235" t="s">
        <v>645</v>
      </c>
      <c r="AE506" s="238">
        <v>673637.0</v>
      </c>
      <c r="AF506" s="235" t="s">
        <v>631</v>
      </c>
      <c r="AG506" s="244"/>
      <c r="AH506" s="244"/>
      <c r="AI506" s="245"/>
      <c r="AJ506" s="245"/>
      <c r="AK506" s="245"/>
      <c r="AL506" s="245"/>
      <c r="AM506" s="244"/>
      <c r="AN506" s="244"/>
      <c r="AO506" s="238">
        <v>0.0</v>
      </c>
      <c r="AP506" s="238">
        <v>0.0</v>
      </c>
      <c r="AQ506" s="235" t="s">
        <v>632</v>
      </c>
      <c r="AR506" s="243">
        <v>3.71E11</v>
      </c>
      <c r="AS506" s="235" t="s">
        <v>3284</v>
      </c>
      <c r="AT506" s="235" t="s">
        <v>155</v>
      </c>
      <c r="AU506" s="235" t="s">
        <v>634</v>
      </c>
      <c r="AV506" s="246" t="s">
        <v>635</v>
      </c>
      <c r="AW506" s="242"/>
      <c r="AX506" s="242"/>
      <c r="AY506" s="231"/>
      <c r="AZ506" s="231"/>
      <c r="BA506" s="227"/>
      <c r="BB506" s="231"/>
      <c r="BC506" s="227"/>
      <c r="BD506" s="227"/>
      <c r="BE506" s="227"/>
      <c r="BF506" s="227"/>
    </row>
    <row r="507">
      <c r="A507" s="235" t="s">
        <v>4688</v>
      </c>
      <c r="C507" s="235" t="s">
        <v>4689</v>
      </c>
      <c r="D507" s="235" t="s">
        <v>4690</v>
      </c>
      <c r="E507" s="243">
        <v>6.56E13</v>
      </c>
      <c r="F507" s="245"/>
      <c r="G507" s="235" t="s">
        <v>4691</v>
      </c>
      <c r="H507" s="235" t="s">
        <v>4692</v>
      </c>
      <c r="I507" s="235" t="s">
        <v>4693</v>
      </c>
      <c r="J507" s="235" t="s">
        <v>4694</v>
      </c>
      <c r="K507" s="235" t="s">
        <v>4695</v>
      </c>
      <c r="N507" s="235" t="s">
        <v>842</v>
      </c>
      <c r="O507" s="235" t="s">
        <v>843</v>
      </c>
      <c r="P507" s="238">
        <v>1.0</v>
      </c>
      <c r="Q507" s="235" t="s">
        <v>627</v>
      </c>
      <c r="R507" s="238">
        <v>246.66</v>
      </c>
      <c r="S507" s="238">
        <v>12.34</v>
      </c>
      <c r="T507" s="238">
        <v>0.0</v>
      </c>
      <c r="U507" s="238">
        <v>0.0</v>
      </c>
      <c r="V507" s="238">
        <v>0.0</v>
      </c>
      <c r="W507" s="238">
        <v>0.0</v>
      </c>
      <c r="X507" s="235" t="s">
        <v>628</v>
      </c>
      <c r="Z507" s="244"/>
      <c r="AA507" s="244"/>
      <c r="AB507" s="244"/>
      <c r="AC507" s="235" t="s">
        <v>4696</v>
      </c>
      <c r="AD507" s="235" t="s">
        <v>666</v>
      </c>
      <c r="AE507" s="238">
        <v>600095.0</v>
      </c>
      <c r="AF507" s="235" t="s">
        <v>631</v>
      </c>
      <c r="AG507" s="244"/>
      <c r="AH507" s="244"/>
      <c r="AI507" s="245"/>
      <c r="AJ507" s="245"/>
      <c r="AK507" s="245"/>
      <c r="AL507" s="245"/>
      <c r="AM507" s="244"/>
      <c r="AN507" s="244"/>
      <c r="AO507" s="238">
        <v>0.0</v>
      </c>
      <c r="AP507" s="238">
        <v>0.0</v>
      </c>
      <c r="AQ507" s="235" t="s">
        <v>632</v>
      </c>
      <c r="AR507" s="243">
        <v>1.68E11</v>
      </c>
      <c r="AS507" s="235" t="s">
        <v>4697</v>
      </c>
      <c r="AT507" s="235" t="s">
        <v>156</v>
      </c>
      <c r="AU507" s="235" t="s">
        <v>634</v>
      </c>
      <c r="AV507" s="246" t="s">
        <v>635</v>
      </c>
      <c r="AW507" s="242"/>
      <c r="AX507" s="242"/>
      <c r="AY507" s="231"/>
      <c r="AZ507" s="231"/>
      <c r="BA507" s="227"/>
      <c r="BB507" s="231"/>
      <c r="BC507" s="227"/>
      <c r="BD507" s="227"/>
      <c r="BE507" s="227"/>
      <c r="BF507" s="227"/>
    </row>
    <row r="508">
      <c r="A508" s="235" t="s">
        <v>4698</v>
      </c>
      <c r="C508" s="235" t="s">
        <v>4699</v>
      </c>
      <c r="D508" s="235" t="s">
        <v>4700</v>
      </c>
      <c r="E508" s="243">
        <v>6.56E13</v>
      </c>
      <c r="F508" s="245"/>
      <c r="G508" s="235" t="s">
        <v>4701</v>
      </c>
      <c r="H508" s="235" t="s">
        <v>4702</v>
      </c>
      <c r="I508" s="235" t="s">
        <v>4702</v>
      </c>
      <c r="J508" s="235" t="s">
        <v>4703</v>
      </c>
      <c r="K508" s="235" t="s">
        <v>4704</v>
      </c>
      <c r="N508" s="235" t="s">
        <v>145</v>
      </c>
      <c r="O508" s="235" t="s">
        <v>370</v>
      </c>
      <c r="P508" s="238">
        <v>1.0</v>
      </c>
      <c r="Q508" s="235" t="s">
        <v>627</v>
      </c>
      <c r="R508" s="238">
        <v>1522.86</v>
      </c>
      <c r="S508" s="238">
        <v>76.14</v>
      </c>
      <c r="T508" s="238">
        <v>0.0</v>
      </c>
      <c r="U508" s="238">
        <v>0.0</v>
      </c>
      <c r="V508" s="238">
        <v>0.0</v>
      </c>
      <c r="W508" s="238">
        <v>0.0</v>
      </c>
      <c r="X508" s="235" t="s">
        <v>628</v>
      </c>
      <c r="Z508" s="244"/>
      <c r="AA508" s="244"/>
      <c r="AB508" s="244"/>
      <c r="AC508" s="235" t="s">
        <v>697</v>
      </c>
      <c r="AD508" s="235" t="s">
        <v>698</v>
      </c>
      <c r="AE508" s="238">
        <v>500032.0</v>
      </c>
      <c r="AF508" s="235" t="s">
        <v>631</v>
      </c>
      <c r="AG508" s="244"/>
      <c r="AH508" s="244"/>
      <c r="AI508" s="245"/>
      <c r="AJ508" s="245"/>
      <c r="AK508" s="245"/>
      <c r="AL508" s="245"/>
      <c r="AM508" s="244"/>
      <c r="AN508" s="244"/>
      <c r="AO508" s="238">
        <v>0.0</v>
      </c>
      <c r="AP508" s="238">
        <v>0.0</v>
      </c>
      <c r="AQ508" s="235" t="s">
        <v>632</v>
      </c>
      <c r="AR508" s="243">
        <v>2.02E11</v>
      </c>
      <c r="AS508" s="235" t="s">
        <v>3284</v>
      </c>
      <c r="AT508" s="235" t="s">
        <v>16</v>
      </c>
      <c r="AU508" s="235" t="s">
        <v>634</v>
      </c>
      <c r="AV508" s="246" t="s">
        <v>635</v>
      </c>
      <c r="AW508" s="242"/>
      <c r="AX508" s="242"/>
      <c r="AY508" s="231"/>
      <c r="AZ508" s="231"/>
      <c r="BA508" s="227"/>
      <c r="BB508" s="231"/>
      <c r="BC508" s="227"/>
      <c r="BD508" s="227"/>
      <c r="BE508" s="227"/>
      <c r="BF508" s="227"/>
    </row>
    <row r="509">
      <c r="A509" s="235" t="s">
        <v>4705</v>
      </c>
      <c r="C509" s="235" t="s">
        <v>4706</v>
      </c>
      <c r="D509" s="235" t="s">
        <v>4707</v>
      </c>
      <c r="E509" s="243">
        <v>6.56E13</v>
      </c>
      <c r="F509" s="245"/>
      <c r="G509" s="235" t="s">
        <v>4708</v>
      </c>
      <c r="H509" s="235" t="s">
        <v>4709</v>
      </c>
      <c r="I509" s="235" t="s">
        <v>4709</v>
      </c>
      <c r="J509" s="235" t="s">
        <v>4710</v>
      </c>
      <c r="K509" s="235" t="s">
        <v>4711</v>
      </c>
      <c r="N509" s="235" t="s">
        <v>94</v>
      </c>
      <c r="O509" s="235" t="s">
        <v>509</v>
      </c>
      <c r="P509" s="238">
        <v>1.0</v>
      </c>
      <c r="Q509" s="235" t="s">
        <v>627</v>
      </c>
      <c r="R509" s="238">
        <v>246.67</v>
      </c>
      <c r="S509" s="238">
        <v>12.33</v>
      </c>
      <c r="T509" s="238">
        <v>0.0</v>
      </c>
      <c r="U509" s="238">
        <v>0.0</v>
      </c>
      <c r="V509" s="238">
        <v>0.0</v>
      </c>
      <c r="W509" s="238">
        <v>0.0</v>
      </c>
      <c r="X509" s="235" t="s">
        <v>628</v>
      </c>
      <c r="Z509" s="244"/>
      <c r="AA509" s="244"/>
      <c r="AB509" s="244"/>
      <c r="AC509" s="235" t="s">
        <v>4712</v>
      </c>
      <c r="AD509" s="235" t="s">
        <v>1499</v>
      </c>
      <c r="AE509" s="238">
        <v>456010.0</v>
      </c>
      <c r="AF509" s="235" t="s">
        <v>631</v>
      </c>
      <c r="AG509" s="244"/>
      <c r="AH509" s="244"/>
      <c r="AI509" s="245"/>
      <c r="AJ509" s="245"/>
      <c r="AK509" s="245"/>
      <c r="AL509" s="245"/>
      <c r="AM509" s="244"/>
      <c r="AN509" s="244"/>
      <c r="AO509" s="238">
        <v>0.0</v>
      </c>
      <c r="AP509" s="238">
        <v>0.0</v>
      </c>
      <c r="AQ509" s="235" t="s">
        <v>632</v>
      </c>
      <c r="AR509" s="243">
        <v>3.71E11</v>
      </c>
      <c r="AS509" s="235" t="s">
        <v>2276</v>
      </c>
      <c r="AT509" s="235" t="s">
        <v>5</v>
      </c>
      <c r="AU509" s="235" t="s">
        <v>634</v>
      </c>
      <c r="AV509" s="246" t="s">
        <v>635</v>
      </c>
      <c r="AW509" s="242"/>
      <c r="AX509" s="242"/>
      <c r="AY509" s="231"/>
      <c r="AZ509" s="231"/>
      <c r="BA509" s="227"/>
      <c r="BB509" s="231"/>
      <c r="BC509" s="227"/>
      <c r="BD509" s="227"/>
      <c r="BE509" s="227"/>
      <c r="BF509" s="227"/>
    </row>
    <row r="510">
      <c r="A510" s="235" t="s">
        <v>4713</v>
      </c>
      <c r="C510" s="235" t="s">
        <v>4714</v>
      </c>
      <c r="D510" s="235" t="s">
        <v>4715</v>
      </c>
      <c r="E510" s="243">
        <v>6.56E13</v>
      </c>
      <c r="F510" s="245"/>
      <c r="G510" s="235" t="s">
        <v>4716</v>
      </c>
      <c r="H510" s="235" t="s">
        <v>4717</v>
      </c>
      <c r="I510" s="235" t="s">
        <v>4717</v>
      </c>
      <c r="J510" s="235" t="s">
        <v>4718</v>
      </c>
      <c r="K510" s="235" t="s">
        <v>4719</v>
      </c>
      <c r="N510" s="235" t="s">
        <v>154</v>
      </c>
      <c r="O510" s="235" t="s">
        <v>766</v>
      </c>
      <c r="P510" s="238">
        <v>1.0</v>
      </c>
      <c r="Q510" s="235" t="s">
        <v>627</v>
      </c>
      <c r="R510" s="238">
        <v>465.71</v>
      </c>
      <c r="S510" s="238">
        <v>23.29</v>
      </c>
      <c r="T510" s="238">
        <v>0.0</v>
      </c>
      <c r="U510" s="238">
        <v>0.0</v>
      </c>
      <c r="V510" s="238">
        <v>0.0</v>
      </c>
      <c r="W510" s="238">
        <v>0.0</v>
      </c>
      <c r="X510" s="235" t="s">
        <v>628</v>
      </c>
      <c r="Z510" s="244"/>
      <c r="AA510" s="244"/>
      <c r="AB510" s="244"/>
      <c r="AC510" s="235" t="s">
        <v>697</v>
      </c>
      <c r="AD510" s="235" t="s">
        <v>698</v>
      </c>
      <c r="AE510" s="238">
        <v>500013.0</v>
      </c>
      <c r="AF510" s="235" t="s">
        <v>631</v>
      </c>
      <c r="AG510" s="244"/>
      <c r="AH510" s="244"/>
      <c r="AI510" s="245"/>
      <c r="AJ510" s="245"/>
      <c r="AK510" s="245"/>
      <c r="AL510" s="245"/>
      <c r="AM510" s="244"/>
      <c r="AN510" s="244"/>
      <c r="AO510" s="238">
        <v>0.0</v>
      </c>
      <c r="AP510" s="238">
        <v>0.0</v>
      </c>
      <c r="AQ510" s="235" t="s">
        <v>632</v>
      </c>
      <c r="AR510" s="243">
        <v>3.71E11</v>
      </c>
      <c r="AS510" s="235" t="s">
        <v>2276</v>
      </c>
      <c r="AT510" s="235" t="s">
        <v>156</v>
      </c>
      <c r="AU510" s="235" t="s">
        <v>634</v>
      </c>
      <c r="AV510" s="246" t="s">
        <v>635</v>
      </c>
      <c r="AW510" s="242"/>
      <c r="AX510" s="242"/>
      <c r="AY510" s="231"/>
      <c r="AZ510" s="231"/>
      <c r="BA510" s="227"/>
      <c r="BB510" s="231"/>
      <c r="BC510" s="227"/>
      <c r="BD510" s="227"/>
      <c r="BE510" s="227"/>
      <c r="BF510" s="227"/>
    </row>
    <row r="511">
      <c r="A511" s="235" t="s">
        <v>4720</v>
      </c>
      <c r="C511" s="235" t="s">
        <v>4721</v>
      </c>
      <c r="D511" s="235" t="s">
        <v>4722</v>
      </c>
      <c r="E511" s="243">
        <v>6.56E13</v>
      </c>
      <c r="F511" s="245"/>
      <c r="G511" s="235" t="s">
        <v>4723</v>
      </c>
      <c r="H511" s="235" t="s">
        <v>4724</v>
      </c>
      <c r="I511" s="235" t="s">
        <v>4724</v>
      </c>
      <c r="J511" s="235" t="s">
        <v>4725</v>
      </c>
      <c r="K511" s="235" t="s">
        <v>4726</v>
      </c>
      <c r="N511" s="235" t="s">
        <v>127</v>
      </c>
      <c r="O511" s="235" t="s">
        <v>794</v>
      </c>
      <c r="P511" s="238">
        <v>1.0</v>
      </c>
      <c r="Q511" s="235" t="s">
        <v>627</v>
      </c>
      <c r="R511" s="238">
        <v>246.67</v>
      </c>
      <c r="S511" s="238">
        <v>12.33</v>
      </c>
      <c r="T511" s="238">
        <v>38.1</v>
      </c>
      <c r="U511" s="238">
        <v>1.9</v>
      </c>
      <c r="V511" s="238">
        <v>0.0</v>
      </c>
      <c r="W511" s="238">
        <v>0.0</v>
      </c>
      <c r="X511" s="235" t="s">
        <v>628</v>
      </c>
      <c r="Z511" s="244"/>
      <c r="AA511" s="244"/>
      <c r="AB511" s="244"/>
      <c r="AC511" s="235" t="s">
        <v>2333</v>
      </c>
      <c r="AD511" s="235" t="s">
        <v>645</v>
      </c>
      <c r="AE511" s="238">
        <v>689503.0</v>
      </c>
      <c r="AF511" s="235" t="s">
        <v>631</v>
      </c>
      <c r="AG511" s="244"/>
      <c r="AH511" s="244"/>
      <c r="AI511" s="245"/>
      <c r="AJ511" s="245"/>
      <c r="AK511" s="245"/>
      <c r="AL511" s="245"/>
      <c r="AM511" s="244"/>
      <c r="AN511" s="244"/>
      <c r="AO511" s="238">
        <v>0.0</v>
      </c>
      <c r="AP511" s="238">
        <v>-38.1</v>
      </c>
      <c r="AQ511" s="235" t="s">
        <v>632</v>
      </c>
      <c r="AR511" s="243">
        <v>3.71E11</v>
      </c>
      <c r="AS511" s="235" t="s">
        <v>2276</v>
      </c>
      <c r="AT511" s="235" t="s">
        <v>155</v>
      </c>
      <c r="AU511" s="235" t="s">
        <v>634</v>
      </c>
      <c r="AV511" s="246" t="s">
        <v>635</v>
      </c>
      <c r="AW511" s="242"/>
      <c r="AX511" s="242"/>
      <c r="AY511" s="231"/>
      <c r="AZ511" s="231"/>
      <c r="BA511" s="227"/>
      <c r="BB511" s="231"/>
      <c r="BC511" s="227"/>
      <c r="BD511" s="227"/>
      <c r="BE511" s="227"/>
      <c r="BF511" s="227"/>
    </row>
    <row r="512">
      <c r="A512" s="235" t="s">
        <v>4727</v>
      </c>
      <c r="C512" s="235" t="s">
        <v>4728</v>
      </c>
      <c r="D512" s="235" t="s">
        <v>4729</v>
      </c>
      <c r="E512" s="243">
        <v>6.56E13</v>
      </c>
      <c r="F512" s="245"/>
      <c r="G512" s="235" t="s">
        <v>4730</v>
      </c>
      <c r="H512" s="235" t="s">
        <v>4731</v>
      </c>
      <c r="I512" s="235" t="s">
        <v>4731</v>
      </c>
      <c r="J512" s="235" t="s">
        <v>4732</v>
      </c>
      <c r="K512" s="235" t="s">
        <v>4733</v>
      </c>
      <c r="N512" s="235" t="s">
        <v>68</v>
      </c>
      <c r="O512" s="235" t="s">
        <v>208</v>
      </c>
      <c r="P512" s="238">
        <v>1.0</v>
      </c>
      <c r="Q512" s="235" t="s">
        <v>627</v>
      </c>
      <c r="R512" s="238">
        <v>246.66</v>
      </c>
      <c r="S512" s="238">
        <v>12.34</v>
      </c>
      <c r="T512" s="238">
        <v>18.1</v>
      </c>
      <c r="U512" s="238">
        <v>0.9</v>
      </c>
      <c r="V512" s="238">
        <v>0.0</v>
      </c>
      <c r="W512" s="238">
        <v>0.0</v>
      </c>
      <c r="X512" s="235" t="s">
        <v>628</v>
      </c>
      <c r="Z512" s="244"/>
      <c r="AA512" s="244"/>
      <c r="AB512" s="244"/>
      <c r="AC512" s="235" t="s">
        <v>1961</v>
      </c>
      <c r="AD512" s="235" t="s">
        <v>845</v>
      </c>
      <c r="AE512" s="238">
        <v>411027.0</v>
      </c>
      <c r="AF512" s="235" t="s">
        <v>631</v>
      </c>
      <c r="AG512" s="244"/>
      <c r="AH512" s="244"/>
      <c r="AI512" s="245"/>
      <c r="AJ512" s="245"/>
      <c r="AK512" s="245"/>
      <c r="AL512" s="245"/>
      <c r="AM512" s="244"/>
      <c r="AN512" s="244"/>
      <c r="AO512" s="238">
        <v>0.0</v>
      </c>
      <c r="AP512" s="238">
        <v>-18.1</v>
      </c>
      <c r="AQ512" s="235" t="s">
        <v>632</v>
      </c>
      <c r="AR512" s="243">
        <v>1.68E11</v>
      </c>
      <c r="AS512" s="235" t="s">
        <v>3964</v>
      </c>
      <c r="AT512" s="235" t="s">
        <v>546</v>
      </c>
      <c r="AU512" s="235" t="s">
        <v>634</v>
      </c>
      <c r="AV512" s="246" t="s">
        <v>635</v>
      </c>
      <c r="AW512" s="242"/>
      <c r="AX512" s="242"/>
      <c r="AY512" s="231"/>
      <c r="AZ512" s="231"/>
      <c r="BA512" s="227"/>
      <c r="BB512" s="231"/>
      <c r="BC512" s="227"/>
      <c r="BD512" s="227"/>
      <c r="BE512" s="227"/>
      <c r="BF512" s="227"/>
    </row>
    <row r="513">
      <c r="A513" s="235" t="s">
        <v>4735</v>
      </c>
      <c r="C513" s="235" t="s">
        <v>4736</v>
      </c>
      <c r="D513" s="235" t="s">
        <v>4737</v>
      </c>
      <c r="E513" s="243">
        <v>6.56E13</v>
      </c>
      <c r="F513" s="245"/>
      <c r="G513" s="235" t="s">
        <v>4738</v>
      </c>
      <c r="H513" s="235" t="s">
        <v>4739</v>
      </c>
      <c r="I513" s="235" t="s">
        <v>4740</v>
      </c>
      <c r="J513" s="235" t="s">
        <v>4741</v>
      </c>
      <c r="K513" s="235" t="s">
        <v>4742</v>
      </c>
      <c r="N513" s="235" t="s">
        <v>117</v>
      </c>
      <c r="O513" s="235" t="s">
        <v>334</v>
      </c>
      <c r="P513" s="238">
        <v>1.0</v>
      </c>
      <c r="Q513" s="235" t="s">
        <v>627</v>
      </c>
      <c r="R513" s="238">
        <v>237.14</v>
      </c>
      <c r="S513" s="238">
        <v>11.86</v>
      </c>
      <c r="T513" s="238">
        <v>38.1</v>
      </c>
      <c r="U513" s="238">
        <v>1.9</v>
      </c>
      <c r="V513" s="238">
        <v>0.0</v>
      </c>
      <c r="W513" s="238">
        <v>0.0</v>
      </c>
      <c r="X513" s="235" t="s">
        <v>628</v>
      </c>
      <c r="Z513" s="244"/>
      <c r="AA513" s="244"/>
      <c r="AB513" s="244"/>
      <c r="AC513" s="235" t="s">
        <v>687</v>
      </c>
      <c r="AD513" s="235" t="s">
        <v>666</v>
      </c>
      <c r="AE513" s="238">
        <v>600124.0</v>
      </c>
      <c r="AF513" s="235" t="s">
        <v>631</v>
      </c>
      <c r="AG513" s="244"/>
      <c r="AH513" s="244"/>
      <c r="AI513" s="245"/>
      <c r="AJ513" s="245"/>
      <c r="AK513" s="245"/>
      <c r="AL513" s="245"/>
      <c r="AM513" s="244"/>
      <c r="AN513" s="244"/>
      <c r="AO513" s="238">
        <v>0.0</v>
      </c>
      <c r="AP513" s="238">
        <v>-38.1</v>
      </c>
      <c r="AQ513" s="235" t="s">
        <v>632</v>
      </c>
      <c r="AR513" s="243">
        <v>3.71E11</v>
      </c>
      <c r="AS513" s="235" t="s">
        <v>667</v>
      </c>
      <c r="AT513" s="235" t="s">
        <v>16</v>
      </c>
      <c r="AU513" s="235" t="s">
        <v>634</v>
      </c>
      <c r="AV513" s="246" t="s">
        <v>635</v>
      </c>
      <c r="AW513" s="242"/>
      <c r="AX513" s="242"/>
      <c r="AY513" s="231"/>
      <c r="AZ513" s="231"/>
      <c r="BA513" s="227"/>
      <c r="BB513" s="231"/>
      <c r="BC513" s="227"/>
      <c r="BD513" s="227"/>
      <c r="BE513" s="227"/>
      <c r="BF513" s="227"/>
    </row>
    <row r="514">
      <c r="A514" s="235" t="s">
        <v>4743</v>
      </c>
      <c r="C514" s="235" t="s">
        <v>4744</v>
      </c>
      <c r="D514" s="235" t="s">
        <v>4745</v>
      </c>
      <c r="E514" s="243">
        <v>6.56E13</v>
      </c>
      <c r="F514" s="245"/>
      <c r="G514" s="235" t="s">
        <v>4746</v>
      </c>
      <c r="H514" s="235" t="s">
        <v>4747</v>
      </c>
      <c r="I514" s="235" t="s">
        <v>4747</v>
      </c>
      <c r="J514" s="235" t="s">
        <v>4748</v>
      </c>
      <c r="K514" s="235" t="s">
        <v>4749</v>
      </c>
      <c r="N514" s="235" t="s">
        <v>92</v>
      </c>
      <c r="O514" s="235" t="s">
        <v>248</v>
      </c>
      <c r="P514" s="238">
        <v>1.0</v>
      </c>
      <c r="Q514" s="235" t="s">
        <v>627</v>
      </c>
      <c r="R514" s="238">
        <v>246.67</v>
      </c>
      <c r="S514" s="238">
        <v>12.33</v>
      </c>
      <c r="T514" s="238">
        <v>38.1</v>
      </c>
      <c r="U514" s="238">
        <v>1.9</v>
      </c>
      <c r="V514" s="238">
        <v>0.0</v>
      </c>
      <c r="W514" s="238">
        <v>0.0</v>
      </c>
      <c r="X514" s="235" t="s">
        <v>628</v>
      </c>
      <c r="Z514" s="244"/>
      <c r="AA514" s="244"/>
      <c r="AB514" s="244"/>
      <c r="AC514" s="235" t="s">
        <v>2639</v>
      </c>
      <c r="AD514" s="235" t="s">
        <v>630</v>
      </c>
      <c r="AE514" s="238">
        <v>201306.0</v>
      </c>
      <c r="AF514" s="235" t="s">
        <v>631</v>
      </c>
      <c r="AG514" s="244"/>
      <c r="AH514" s="244"/>
      <c r="AI514" s="245"/>
      <c r="AJ514" s="245"/>
      <c r="AK514" s="245"/>
      <c r="AL514" s="245"/>
      <c r="AM514" s="244"/>
      <c r="AN514" s="244"/>
      <c r="AO514" s="238">
        <v>0.0</v>
      </c>
      <c r="AP514" s="238">
        <v>-38.1</v>
      </c>
      <c r="AQ514" s="235" t="s">
        <v>632</v>
      </c>
      <c r="AR514" s="243">
        <v>3.71E11</v>
      </c>
      <c r="AS514" s="235" t="s">
        <v>3284</v>
      </c>
      <c r="AT514" s="235" t="s">
        <v>14</v>
      </c>
      <c r="AU514" s="235" t="s">
        <v>634</v>
      </c>
      <c r="AV514" s="246" t="s">
        <v>635</v>
      </c>
      <c r="AW514" s="242"/>
      <c r="AX514" s="242"/>
      <c r="AY514" s="231"/>
      <c r="AZ514" s="231"/>
      <c r="BA514" s="227"/>
      <c r="BB514" s="231"/>
      <c r="BC514" s="227"/>
      <c r="BD514" s="227"/>
      <c r="BE514" s="227"/>
      <c r="BF514" s="227"/>
    </row>
    <row r="515">
      <c r="A515" s="235" t="s">
        <v>4750</v>
      </c>
      <c r="C515" s="235" t="s">
        <v>4751</v>
      </c>
      <c r="D515" s="235" t="s">
        <v>4752</v>
      </c>
      <c r="E515" s="243">
        <v>6.56E13</v>
      </c>
      <c r="F515" s="245"/>
      <c r="G515" s="235" t="s">
        <v>4753</v>
      </c>
      <c r="H515" s="235" t="s">
        <v>4754</v>
      </c>
      <c r="I515" s="235" t="s">
        <v>4754</v>
      </c>
      <c r="J515" s="235" t="s">
        <v>4755</v>
      </c>
      <c r="K515" s="235" t="s">
        <v>4756</v>
      </c>
      <c r="N515" s="235" t="s">
        <v>85</v>
      </c>
      <c r="O515" s="235" t="s">
        <v>872</v>
      </c>
      <c r="P515" s="238">
        <v>1.0</v>
      </c>
      <c r="Q515" s="235" t="s">
        <v>627</v>
      </c>
      <c r="R515" s="238">
        <v>242.86</v>
      </c>
      <c r="S515" s="238">
        <v>12.14</v>
      </c>
      <c r="T515" s="238">
        <v>0.0</v>
      </c>
      <c r="U515" s="238">
        <v>0.0</v>
      </c>
      <c r="V515" s="238">
        <v>0.0</v>
      </c>
      <c r="W515" s="238">
        <v>0.0</v>
      </c>
      <c r="X515" s="235" t="s">
        <v>628</v>
      </c>
      <c r="Z515" s="244"/>
      <c r="AA515" s="244"/>
      <c r="AB515" s="244"/>
      <c r="AC515" s="235" t="s">
        <v>1058</v>
      </c>
      <c r="AD515" s="235" t="s">
        <v>845</v>
      </c>
      <c r="AE515" s="238">
        <v>400020.0</v>
      </c>
      <c r="AF515" s="235" t="s">
        <v>631</v>
      </c>
      <c r="AG515" s="244"/>
      <c r="AH515" s="244"/>
      <c r="AI515" s="245"/>
      <c r="AJ515" s="245"/>
      <c r="AK515" s="245"/>
      <c r="AL515" s="245"/>
      <c r="AM515" s="244"/>
      <c r="AN515" s="244"/>
      <c r="AO515" s="238">
        <v>0.0</v>
      </c>
      <c r="AP515" s="238">
        <v>0.0</v>
      </c>
      <c r="AQ515" s="235" t="s">
        <v>632</v>
      </c>
      <c r="AR515" s="243">
        <v>3.71E11</v>
      </c>
      <c r="AS515" s="235" t="s">
        <v>3284</v>
      </c>
      <c r="AT515" s="235" t="s">
        <v>16</v>
      </c>
      <c r="AU515" s="235" t="s">
        <v>634</v>
      </c>
      <c r="AV515" s="246" t="s">
        <v>635</v>
      </c>
      <c r="AW515" s="242"/>
      <c r="AX515" s="242"/>
      <c r="AY515" s="231"/>
      <c r="AZ515" s="231"/>
      <c r="BA515" s="227"/>
      <c r="BB515" s="231"/>
      <c r="BC515" s="227"/>
      <c r="BD515" s="227"/>
      <c r="BE515" s="227"/>
      <c r="BF515" s="227"/>
    </row>
    <row r="516">
      <c r="A516" s="235" t="s">
        <v>4757</v>
      </c>
      <c r="C516" s="235" t="s">
        <v>4758</v>
      </c>
      <c r="D516" s="235" t="s">
        <v>4759</v>
      </c>
      <c r="E516" s="243">
        <v>6.56E13</v>
      </c>
      <c r="F516" s="245"/>
      <c r="G516" s="235" t="s">
        <v>4760</v>
      </c>
      <c r="H516" s="235" t="s">
        <v>4761</v>
      </c>
      <c r="I516" s="235" t="s">
        <v>4762</v>
      </c>
      <c r="J516" s="235" t="s">
        <v>4763</v>
      </c>
      <c r="K516" s="235" t="s">
        <v>4764</v>
      </c>
      <c r="N516" s="235" t="s">
        <v>154</v>
      </c>
      <c r="O516" s="235" t="s">
        <v>766</v>
      </c>
      <c r="P516" s="238">
        <v>1.0</v>
      </c>
      <c r="Q516" s="235" t="s">
        <v>627</v>
      </c>
      <c r="R516" s="238">
        <v>465.71</v>
      </c>
      <c r="S516" s="238">
        <v>23.29</v>
      </c>
      <c r="T516" s="238">
        <v>0.0</v>
      </c>
      <c r="U516" s="238">
        <v>0.0</v>
      </c>
      <c r="V516" s="238">
        <v>0.0</v>
      </c>
      <c r="W516" s="238">
        <v>0.0</v>
      </c>
      <c r="X516" s="235" t="s">
        <v>628</v>
      </c>
      <c r="Z516" s="244"/>
      <c r="AA516" s="244"/>
      <c r="AB516" s="244"/>
      <c r="AC516" s="235" t="s">
        <v>4765</v>
      </c>
      <c r="AD516" s="235" t="s">
        <v>645</v>
      </c>
      <c r="AE516" s="238">
        <v>686007.0</v>
      </c>
      <c r="AF516" s="235" t="s">
        <v>631</v>
      </c>
      <c r="AG516" s="244"/>
      <c r="AH516" s="244"/>
      <c r="AI516" s="245"/>
      <c r="AJ516" s="245"/>
      <c r="AK516" s="245"/>
      <c r="AL516" s="245"/>
      <c r="AM516" s="244"/>
      <c r="AN516" s="244"/>
      <c r="AO516" s="238">
        <v>0.0</v>
      </c>
      <c r="AP516" s="238">
        <v>0.0</v>
      </c>
      <c r="AQ516" s="235" t="s">
        <v>632</v>
      </c>
      <c r="AR516" s="243">
        <v>3.71E11</v>
      </c>
      <c r="AS516" s="235" t="s">
        <v>3284</v>
      </c>
      <c r="AT516" s="235" t="s">
        <v>155</v>
      </c>
      <c r="AU516" s="235" t="s">
        <v>634</v>
      </c>
      <c r="AV516" s="246" t="s">
        <v>635</v>
      </c>
      <c r="AW516" s="242"/>
      <c r="AX516" s="242"/>
      <c r="AY516" s="231"/>
      <c r="AZ516" s="231"/>
      <c r="BA516" s="227"/>
      <c r="BB516" s="231"/>
      <c r="BC516" s="227"/>
      <c r="BD516" s="227"/>
      <c r="BE516" s="227"/>
      <c r="BF516" s="227"/>
    </row>
    <row r="517">
      <c r="A517" s="235" t="s">
        <v>4766</v>
      </c>
      <c r="C517" s="235" t="s">
        <v>4767</v>
      </c>
      <c r="D517" s="235" t="s">
        <v>4768</v>
      </c>
      <c r="E517" s="243">
        <v>6.56E13</v>
      </c>
      <c r="F517" s="245"/>
      <c r="G517" s="235" t="s">
        <v>4769</v>
      </c>
      <c r="H517" s="235" t="s">
        <v>4770</v>
      </c>
      <c r="I517" s="235" t="s">
        <v>4771</v>
      </c>
      <c r="J517" s="235" t="s">
        <v>4772</v>
      </c>
      <c r="K517" s="235" t="s">
        <v>4773</v>
      </c>
      <c r="N517" s="235" t="s">
        <v>92</v>
      </c>
      <c r="O517" s="235" t="s">
        <v>248</v>
      </c>
      <c r="P517" s="238">
        <v>1.0</v>
      </c>
      <c r="Q517" s="235" t="s">
        <v>627</v>
      </c>
      <c r="R517" s="238">
        <v>246.67</v>
      </c>
      <c r="S517" s="238">
        <v>12.33</v>
      </c>
      <c r="T517" s="238">
        <v>0.0</v>
      </c>
      <c r="U517" s="238">
        <v>0.0</v>
      </c>
      <c r="V517" s="238">
        <v>0.0</v>
      </c>
      <c r="W517" s="238">
        <v>0.0</v>
      </c>
      <c r="X517" s="235" t="s">
        <v>628</v>
      </c>
      <c r="Z517" s="244"/>
      <c r="AA517" s="244"/>
      <c r="AB517" s="244"/>
      <c r="AC517" s="235" t="s">
        <v>3374</v>
      </c>
      <c r="AD517" s="235" t="s">
        <v>645</v>
      </c>
      <c r="AE517" s="238">
        <v>695573.0</v>
      </c>
      <c r="AF517" s="235" t="s">
        <v>631</v>
      </c>
      <c r="AG517" s="244"/>
      <c r="AH517" s="244"/>
      <c r="AI517" s="245"/>
      <c r="AJ517" s="245"/>
      <c r="AK517" s="245"/>
      <c r="AL517" s="245"/>
      <c r="AM517" s="244"/>
      <c r="AN517" s="244"/>
      <c r="AO517" s="238">
        <v>0.0</v>
      </c>
      <c r="AP517" s="238">
        <v>0.0</v>
      </c>
      <c r="AQ517" s="235" t="s">
        <v>632</v>
      </c>
      <c r="AR517" s="243">
        <v>3.71E11</v>
      </c>
      <c r="AS517" s="235" t="s">
        <v>3284</v>
      </c>
      <c r="AT517" s="235" t="s">
        <v>155</v>
      </c>
      <c r="AU517" s="235" t="s">
        <v>634</v>
      </c>
      <c r="AV517" s="246" t="s">
        <v>635</v>
      </c>
      <c r="AW517" s="242"/>
      <c r="AX517" s="242"/>
      <c r="AY517" s="231"/>
      <c r="AZ517" s="231"/>
      <c r="BA517" s="227"/>
      <c r="BB517" s="231"/>
      <c r="BC517" s="227"/>
      <c r="BD517" s="227"/>
      <c r="BE517" s="227"/>
      <c r="BF517" s="227"/>
    </row>
    <row r="518">
      <c r="A518" s="235" t="s">
        <v>4774</v>
      </c>
      <c r="C518" s="235" t="s">
        <v>4775</v>
      </c>
      <c r="D518" s="235" t="s">
        <v>4776</v>
      </c>
      <c r="E518" s="243">
        <v>6.56E13</v>
      </c>
      <c r="F518" s="245"/>
      <c r="G518" s="235" t="s">
        <v>4777</v>
      </c>
      <c r="H518" s="235" t="s">
        <v>4778</v>
      </c>
      <c r="I518" s="235" t="s">
        <v>4778</v>
      </c>
      <c r="J518" s="235" t="s">
        <v>4779</v>
      </c>
      <c r="K518" s="235" t="s">
        <v>4780</v>
      </c>
      <c r="N518" s="235" t="s">
        <v>4781</v>
      </c>
      <c r="O518" s="235" t="s">
        <v>4782</v>
      </c>
      <c r="P518" s="238">
        <v>1.0</v>
      </c>
      <c r="Q518" s="235" t="s">
        <v>627</v>
      </c>
      <c r="R518" s="238">
        <v>0.0</v>
      </c>
      <c r="S518" s="238">
        <v>0.0</v>
      </c>
      <c r="T518" s="238">
        <v>0.0</v>
      </c>
      <c r="U518" s="238">
        <v>0.0</v>
      </c>
      <c r="V518" s="238">
        <v>0.0</v>
      </c>
      <c r="W518" s="238">
        <v>0.0</v>
      </c>
      <c r="X518" s="235" t="s">
        <v>628</v>
      </c>
      <c r="Z518" s="244"/>
      <c r="AA518" s="244"/>
      <c r="AB518" s="244"/>
      <c r="AC518" s="235" t="s">
        <v>678</v>
      </c>
      <c r="AD518" s="235" t="s">
        <v>679</v>
      </c>
      <c r="AE518" s="238">
        <v>560068.0</v>
      </c>
      <c r="AF518" s="235" t="s">
        <v>631</v>
      </c>
      <c r="AG518" s="244"/>
      <c r="AH518" s="244"/>
      <c r="AI518" s="245"/>
      <c r="AJ518" s="245"/>
      <c r="AK518" s="245"/>
      <c r="AL518" s="245"/>
      <c r="AM518" s="244"/>
      <c r="AN518" s="244"/>
      <c r="AO518" s="238">
        <v>0.0</v>
      </c>
      <c r="AP518" s="238">
        <v>0.0</v>
      </c>
      <c r="AQ518" s="235" t="s">
        <v>632</v>
      </c>
      <c r="AR518" s="243">
        <v>2.02E11</v>
      </c>
      <c r="AS518" s="235" t="s">
        <v>3284</v>
      </c>
      <c r="AT518" s="235" t="s">
        <v>16</v>
      </c>
      <c r="AU518" s="235" t="s">
        <v>634</v>
      </c>
      <c r="AV518" s="246" t="s">
        <v>635</v>
      </c>
      <c r="AW518" s="242"/>
      <c r="AX518" s="242"/>
      <c r="AY518" s="231"/>
      <c r="AZ518" s="231"/>
      <c r="BA518" s="227"/>
      <c r="BB518" s="231"/>
      <c r="BC518" s="227"/>
      <c r="BD518" s="227"/>
      <c r="BE518" s="227"/>
      <c r="BF518" s="227"/>
    </row>
    <row r="519">
      <c r="A519" s="235" t="s">
        <v>4783</v>
      </c>
      <c r="C519" s="235" t="s">
        <v>4784</v>
      </c>
      <c r="D519" s="235" t="s">
        <v>4785</v>
      </c>
      <c r="E519" s="243">
        <v>6.56E13</v>
      </c>
      <c r="F519" s="245"/>
      <c r="G519" s="235" t="s">
        <v>4786</v>
      </c>
      <c r="H519" s="235" t="s">
        <v>4787</v>
      </c>
      <c r="I519" s="235" t="s">
        <v>4787</v>
      </c>
      <c r="J519" s="235" t="s">
        <v>4788</v>
      </c>
      <c r="K519" s="235" t="s">
        <v>4789</v>
      </c>
      <c r="N519" s="235" t="s">
        <v>962</v>
      </c>
      <c r="O519" s="235" t="s">
        <v>963</v>
      </c>
      <c r="P519" s="238">
        <v>1.0</v>
      </c>
      <c r="Q519" s="235" t="s">
        <v>627</v>
      </c>
      <c r="R519" s="238">
        <v>0.0</v>
      </c>
      <c r="S519" s="238">
        <v>0.0</v>
      </c>
      <c r="T519" s="238">
        <v>0.0</v>
      </c>
      <c r="U519" s="238">
        <v>0.0</v>
      </c>
      <c r="V519" s="238">
        <v>0.0</v>
      </c>
      <c r="W519" s="238">
        <v>0.0</v>
      </c>
      <c r="X519" s="235" t="s">
        <v>628</v>
      </c>
      <c r="Z519" s="244"/>
      <c r="AA519" s="244"/>
      <c r="AB519" s="244"/>
      <c r="AC519" s="235" t="s">
        <v>4790</v>
      </c>
      <c r="AD519" s="235" t="s">
        <v>1086</v>
      </c>
      <c r="AE519" s="238">
        <v>151001.0</v>
      </c>
      <c r="AF519" s="235" t="s">
        <v>631</v>
      </c>
      <c r="AG519" s="244"/>
      <c r="AH519" s="244"/>
      <c r="AI519" s="245"/>
      <c r="AJ519" s="245"/>
      <c r="AK519" s="245"/>
      <c r="AL519" s="245"/>
      <c r="AM519" s="244"/>
      <c r="AN519" s="244"/>
      <c r="AO519" s="238">
        <v>0.0</v>
      </c>
      <c r="AP519" s="238">
        <v>0.0</v>
      </c>
      <c r="AQ519" s="235" t="s">
        <v>632</v>
      </c>
      <c r="AR519" s="243">
        <v>1.68E11</v>
      </c>
      <c r="AS519" s="235" t="s">
        <v>3284</v>
      </c>
      <c r="AT519" s="235" t="s">
        <v>14</v>
      </c>
      <c r="AU519" s="235" t="s">
        <v>634</v>
      </c>
      <c r="AV519" s="246" t="s">
        <v>635</v>
      </c>
      <c r="AW519" s="242"/>
      <c r="AX519" s="242"/>
      <c r="AY519" s="231"/>
      <c r="AZ519" s="231"/>
      <c r="BA519" s="227"/>
      <c r="BB519" s="231"/>
      <c r="BC519" s="227"/>
      <c r="BD519" s="227"/>
      <c r="BE519" s="227"/>
      <c r="BF519" s="227"/>
    </row>
    <row r="520">
      <c r="A520" s="235" t="s">
        <v>4791</v>
      </c>
      <c r="C520" s="235" t="s">
        <v>4792</v>
      </c>
      <c r="D520" s="235" t="s">
        <v>4793</v>
      </c>
      <c r="E520" s="243">
        <v>6.56E13</v>
      </c>
      <c r="F520" s="245"/>
      <c r="G520" s="235" t="s">
        <v>4794</v>
      </c>
      <c r="H520" s="235" t="s">
        <v>4795</v>
      </c>
      <c r="I520" s="235" t="s">
        <v>4796</v>
      </c>
      <c r="J520" s="235" t="s">
        <v>4797</v>
      </c>
      <c r="K520" s="235" t="s">
        <v>4798</v>
      </c>
      <c r="N520" s="235" t="s">
        <v>42</v>
      </c>
      <c r="O520" s="235" t="s">
        <v>204</v>
      </c>
      <c r="P520" s="238">
        <v>1.0</v>
      </c>
      <c r="Q520" s="235" t="s">
        <v>627</v>
      </c>
      <c r="R520" s="238">
        <v>237.14</v>
      </c>
      <c r="S520" s="238">
        <v>11.86</v>
      </c>
      <c r="T520" s="238">
        <v>0.0</v>
      </c>
      <c r="U520" s="238">
        <v>0.0</v>
      </c>
      <c r="V520" s="238">
        <v>0.0</v>
      </c>
      <c r="W520" s="238">
        <v>0.0</v>
      </c>
      <c r="X520" s="235" t="s">
        <v>628</v>
      </c>
      <c r="Z520" s="244"/>
      <c r="AA520" s="244"/>
      <c r="AB520" s="244"/>
      <c r="AC520" s="235" t="s">
        <v>697</v>
      </c>
      <c r="AD520" s="235" t="s">
        <v>698</v>
      </c>
      <c r="AE520" s="238">
        <v>501359.0</v>
      </c>
      <c r="AF520" s="235" t="s">
        <v>631</v>
      </c>
      <c r="AG520" s="244"/>
      <c r="AH520" s="244"/>
      <c r="AI520" s="245"/>
      <c r="AJ520" s="245"/>
      <c r="AK520" s="245"/>
      <c r="AL520" s="245"/>
      <c r="AM520" s="244"/>
      <c r="AN520" s="244"/>
      <c r="AO520" s="238">
        <v>0.0</v>
      </c>
      <c r="AP520" s="238">
        <v>0.0</v>
      </c>
      <c r="AQ520" s="235" t="s">
        <v>632</v>
      </c>
      <c r="AR520" s="243">
        <v>3.71E11</v>
      </c>
      <c r="AS520" s="235" t="s">
        <v>2276</v>
      </c>
      <c r="AT520" s="235" t="s">
        <v>17</v>
      </c>
      <c r="AU520" s="235" t="s">
        <v>634</v>
      </c>
      <c r="AV520" s="246" t="s">
        <v>635</v>
      </c>
      <c r="AW520" s="242"/>
      <c r="AX520" s="242"/>
      <c r="AY520" s="231"/>
      <c r="AZ520" s="231"/>
      <c r="BA520" s="227"/>
      <c r="BB520" s="231"/>
      <c r="BC520" s="227"/>
      <c r="BD520" s="227"/>
      <c r="BE520" s="227"/>
      <c r="BF520" s="227"/>
    </row>
    <row r="521">
      <c r="A521" s="235" t="s">
        <v>4799</v>
      </c>
      <c r="C521" s="235" t="s">
        <v>4800</v>
      </c>
      <c r="D521" s="235" t="s">
        <v>4801</v>
      </c>
      <c r="E521" s="243">
        <v>6.56E13</v>
      </c>
      <c r="F521" s="245"/>
      <c r="G521" s="235" t="s">
        <v>4802</v>
      </c>
      <c r="H521" s="235" t="s">
        <v>4803</v>
      </c>
      <c r="I521" s="235" t="s">
        <v>4803</v>
      </c>
      <c r="J521" s="235" t="s">
        <v>4804</v>
      </c>
      <c r="K521" s="235" t="s">
        <v>4805</v>
      </c>
      <c r="N521" s="235" t="s">
        <v>1346</v>
      </c>
      <c r="O521" s="235" t="s">
        <v>1347</v>
      </c>
      <c r="P521" s="238">
        <v>1.0</v>
      </c>
      <c r="Q521" s="235" t="s">
        <v>627</v>
      </c>
      <c r="R521" s="238">
        <v>256.19</v>
      </c>
      <c r="S521" s="238">
        <v>12.81</v>
      </c>
      <c r="T521" s="238">
        <v>0.0</v>
      </c>
      <c r="U521" s="238">
        <v>0.0</v>
      </c>
      <c r="V521" s="238">
        <v>0.0</v>
      </c>
      <c r="W521" s="238">
        <v>0.0</v>
      </c>
      <c r="X521" s="235" t="s">
        <v>628</v>
      </c>
      <c r="Z521" s="244"/>
      <c r="AA521" s="244"/>
      <c r="AB521" s="244"/>
      <c r="AC521" s="235" t="s">
        <v>4806</v>
      </c>
      <c r="AD521" s="235" t="s">
        <v>1151</v>
      </c>
      <c r="AE521" s="238">
        <v>742101.0</v>
      </c>
      <c r="AF521" s="235" t="s">
        <v>631</v>
      </c>
      <c r="AG521" s="244"/>
      <c r="AH521" s="244"/>
      <c r="AI521" s="245"/>
      <c r="AJ521" s="245"/>
      <c r="AK521" s="245"/>
      <c r="AL521" s="245"/>
      <c r="AM521" s="244"/>
      <c r="AN521" s="244"/>
      <c r="AO521" s="238">
        <v>0.0</v>
      </c>
      <c r="AP521" s="238">
        <v>0.0</v>
      </c>
      <c r="AQ521" s="235" t="s">
        <v>632</v>
      </c>
      <c r="AR521" s="243">
        <v>3.71E11</v>
      </c>
      <c r="AS521" s="235" t="s">
        <v>667</v>
      </c>
      <c r="AT521" s="235" t="s">
        <v>14</v>
      </c>
      <c r="AU521" s="235" t="s">
        <v>634</v>
      </c>
      <c r="AV521" s="246" t="s">
        <v>635</v>
      </c>
      <c r="AW521" s="242"/>
      <c r="AX521" s="242"/>
      <c r="AY521" s="231"/>
      <c r="AZ521" s="231"/>
      <c r="BA521" s="227"/>
      <c r="BB521" s="231"/>
      <c r="BC521" s="227"/>
      <c r="BD521" s="227"/>
      <c r="BE521" s="227"/>
      <c r="BF521" s="227"/>
    </row>
    <row r="522">
      <c r="A522" s="235" t="s">
        <v>4807</v>
      </c>
      <c r="C522" s="235" t="s">
        <v>4808</v>
      </c>
      <c r="D522" s="235" t="s">
        <v>4809</v>
      </c>
      <c r="E522" s="243">
        <v>6.56E13</v>
      </c>
      <c r="F522" s="245"/>
      <c r="G522" s="235" t="s">
        <v>4810</v>
      </c>
      <c r="H522" s="235" t="s">
        <v>4811</v>
      </c>
      <c r="I522" s="235" t="s">
        <v>4812</v>
      </c>
      <c r="J522" s="235" t="s">
        <v>4813</v>
      </c>
      <c r="K522" s="235" t="s">
        <v>4814</v>
      </c>
      <c r="N522" s="235" t="s">
        <v>138</v>
      </c>
      <c r="O522" s="235" t="s">
        <v>675</v>
      </c>
      <c r="P522" s="238">
        <v>1.0</v>
      </c>
      <c r="Q522" s="235" t="s">
        <v>627</v>
      </c>
      <c r="R522" s="238">
        <v>246.67</v>
      </c>
      <c r="S522" s="238">
        <v>12.33</v>
      </c>
      <c r="T522" s="238">
        <v>0.0</v>
      </c>
      <c r="U522" s="238">
        <v>0.0</v>
      </c>
      <c r="V522" s="238">
        <v>0.0</v>
      </c>
      <c r="W522" s="238">
        <v>0.0</v>
      </c>
      <c r="X522" s="235" t="s">
        <v>628</v>
      </c>
      <c r="Z522" s="244"/>
      <c r="AA522" s="244"/>
      <c r="AB522" s="244"/>
      <c r="AC522" s="235" t="s">
        <v>4815</v>
      </c>
      <c r="AD522" s="235" t="s">
        <v>645</v>
      </c>
      <c r="AE522" s="238">
        <v>690514.0</v>
      </c>
      <c r="AF522" s="235" t="s">
        <v>631</v>
      </c>
      <c r="AG522" s="244"/>
      <c r="AH522" s="244"/>
      <c r="AI522" s="245"/>
      <c r="AJ522" s="245"/>
      <c r="AK522" s="245"/>
      <c r="AL522" s="245"/>
      <c r="AM522" s="244"/>
      <c r="AN522" s="244"/>
      <c r="AO522" s="238">
        <v>0.0</v>
      </c>
      <c r="AP522" s="238">
        <v>0.0</v>
      </c>
      <c r="AQ522" s="235" t="s">
        <v>632</v>
      </c>
      <c r="AR522" s="243">
        <v>3.71E11</v>
      </c>
      <c r="AS522" s="235" t="s">
        <v>2276</v>
      </c>
      <c r="AT522" s="235" t="s">
        <v>9</v>
      </c>
      <c r="AU522" s="235" t="s">
        <v>634</v>
      </c>
      <c r="AV522" s="246" t="s">
        <v>635</v>
      </c>
      <c r="AW522" s="242"/>
      <c r="AX522" s="242"/>
      <c r="AY522" s="231"/>
      <c r="AZ522" s="231"/>
      <c r="BA522" s="227"/>
      <c r="BB522" s="231"/>
      <c r="BC522" s="227"/>
      <c r="BD522" s="227"/>
      <c r="BE522" s="227"/>
      <c r="BF522" s="227"/>
    </row>
    <row r="523">
      <c r="A523" s="235" t="s">
        <v>4816</v>
      </c>
      <c r="C523" s="235" t="s">
        <v>4817</v>
      </c>
      <c r="D523" s="235" t="s">
        <v>4818</v>
      </c>
      <c r="E523" s="243">
        <v>6.56E13</v>
      </c>
      <c r="F523" s="245"/>
      <c r="G523" s="235" t="s">
        <v>4819</v>
      </c>
      <c r="H523" s="235" t="s">
        <v>4820</v>
      </c>
      <c r="I523" s="235" t="s">
        <v>4821</v>
      </c>
      <c r="J523" s="235" t="s">
        <v>4822</v>
      </c>
      <c r="K523" s="235" t="s">
        <v>4823</v>
      </c>
      <c r="N523" s="235" t="s">
        <v>51</v>
      </c>
      <c r="O523" s="235" t="s">
        <v>273</v>
      </c>
      <c r="P523" s="238">
        <v>1.0</v>
      </c>
      <c r="Q523" s="235" t="s">
        <v>627</v>
      </c>
      <c r="R523" s="238">
        <v>237.14</v>
      </c>
      <c r="S523" s="238">
        <v>11.86</v>
      </c>
      <c r="T523" s="238">
        <v>0.0</v>
      </c>
      <c r="U523" s="238">
        <v>0.0</v>
      </c>
      <c r="V523" s="238">
        <v>0.0</v>
      </c>
      <c r="W523" s="238">
        <v>0.0</v>
      </c>
      <c r="X523" s="235" t="s">
        <v>628</v>
      </c>
      <c r="Z523" s="244"/>
      <c r="AA523" s="244"/>
      <c r="AB523" s="244"/>
      <c r="AC523" s="235" t="s">
        <v>697</v>
      </c>
      <c r="AD523" s="235" t="s">
        <v>698</v>
      </c>
      <c r="AE523" s="238">
        <v>500097.0</v>
      </c>
      <c r="AF523" s="235" t="s">
        <v>631</v>
      </c>
      <c r="AG523" s="244"/>
      <c r="AH523" s="244"/>
      <c r="AI523" s="245"/>
      <c r="AJ523" s="245"/>
      <c r="AK523" s="245"/>
      <c r="AL523" s="245"/>
      <c r="AM523" s="244"/>
      <c r="AN523" s="244"/>
      <c r="AO523" s="238">
        <v>0.0</v>
      </c>
      <c r="AP523" s="238">
        <v>0.0</v>
      </c>
      <c r="AQ523" s="235" t="s">
        <v>632</v>
      </c>
      <c r="AR523" s="243">
        <v>1.68E11</v>
      </c>
      <c r="AS523" s="235" t="s">
        <v>3284</v>
      </c>
      <c r="AT523" s="235" t="s">
        <v>9</v>
      </c>
      <c r="AU523" s="235" t="s">
        <v>634</v>
      </c>
      <c r="AV523" s="246" t="s">
        <v>635</v>
      </c>
      <c r="AW523" s="242"/>
      <c r="AX523" s="242"/>
      <c r="AY523" s="231"/>
      <c r="AZ523" s="231"/>
      <c r="BA523" s="227"/>
      <c r="BB523" s="231"/>
      <c r="BC523" s="227"/>
      <c r="BD523" s="227"/>
      <c r="BE523" s="227"/>
      <c r="BF523" s="227"/>
    </row>
    <row r="524">
      <c r="A524" s="235" t="s">
        <v>4824</v>
      </c>
      <c r="C524" s="235" t="s">
        <v>4825</v>
      </c>
      <c r="D524" s="235" t="s">
        <v>4826</v>
      </c>
      <c r="E524" s="243">
        <v>6.56E13</v>
      </c>
      <c r="F524" s="245"/>
      <c r="G524" s="235" t="s">
        <v>4827</v>
      </c>
      <c r="H524" s="235" t="s">
        <v>4828</v>
      </c>
      <c r="I524" s="235" t="s">
        <v>4828</v>
      </c>
      <c r="J524" s="235" t="s">
        <v>4829</v>
      </c>
      <c r="K524" s="235" t="s">
        <v>4830</v>
      </c>
      <c r="N524" s="235" t="s">
        <v>42</v>
      </c>
      <c r="O524" s="235" t="s">
        <v>204</v>
      </c>
      <c r="P524" s="238">
        <v>1.0</v>
      </c>
      <c r="Q524" s="235" t="s">
        <v>627</v>
      </c>
      <c r="R524" s="238">
        <v>237.14</v>
      </c>
      <c r="S524" s="238">
        <v>11.86</v>
      </c>
      <c r="T524" s="238">
        <v>0.0</v>
      </c>
      <c r="U524" s="238">
        <v>0.0</v>
      </c>
      <c r="V524" s="238">
        <v>0.0</v>
      </c>
      <c r="W524" s="238">
        <v>0.0</v>
      </c>
      <c r="X524" s="235" t="s">
        <v>628</v>
      </c>
      <c r="Z524" s="244"/>
      <c r="AA524" s="244"/>
      <c r="AB524" s="244"/>
      <c r="AC524" s="235" t="s">
        <v>832</v>
      </c>
      <c r="AD524" s="235" t="s">
        <v>833</v>
      </c>
      <c r="AE524" s="238">
        <v>530012.0</v>
      </c>
      <c r="AF524" s="235" t="s">
        <v>631</v>
      </c>
      <c r="AG524" s="244"/>
      <c r="AH524" s="244"/>
      <c r="AI524" s="245"/>
      <c r="AJ524" s="245"/>
      <c r="AK524" s="245"/>
      <c r="AL524" s="245"/>
      <c r="AM524" s="244"/>
      <c r="AN524" s="244"/>
      <c r="AO524" s="238">
        <v>0.0</v>
      </c>
      <c r="AP524" s="238">
        <v>0.0</v>
      </c>
      <c r="AQ524" s="235" t="s">
        <v>632</v>
      </c>
      <c r="AR524" s="243">
        <v>3.71E11</v>
      </c>
      <c r="AS524" s="235" t="s">
        <v>1367</v>
      </c>
      <c r="AT524" s="235" t="s">
        <v>17</v>
      </c>
      <c r="AU524" s="235" t="s">
        <v>634</v>
      </c>
      <c r="AV524" s="246" t="s">
        <v>635</v>
      </c>
      <c r="AW524" s="242"/>
      <c r="AX524" s="242"/>
      <c r="AY524" s="231"/>
      <c r="AZ524" s="231"/>
      <c r="BA524" s="227"/>
      <c r="BB524" s="231"/>
      <c r="BC524" s="227"/>
      <c r="BD524" s="227"/>
      <c r="BE524" s="227"/>
      <c r="BF524" s="227"/>
    </row>
    <row r="525">
      <c r="A525" s="235" t="s">
        <v>4831</v>
      </c>
      <c r="C525" s="235" t="s">
        <v>4832</v>
      </c>
      <c r="D525" s="235" t="s">
        <v>4833</v>
      </c>
      <c r="E525" s="243">
        <v>6.56E13</v>
      </c>
      <c r="F525" s="245"/>
      <c r="G525" s="235" t="s">
        <v>4834</v>
      </c>
      <c r="H525" s="235" t="s">
        <v>4835</v>
      </c>
      <c r="I525" s="235" t="s">
        <v>4835</v>
      </c>
      <c r="J525" s="235" t="s">
        <v>4836</v>
      </c>
      <c r="K525" s="235" t="s">
        <v>4837</v>
      </c>
      <c r="N525" s="235" t="s">
        <v>68</v>
      </c>
      <c r="O525" s="235" t="s">
        <v>208</v>
      </c>
      <c r="P525" s="238">
        <v>1.0</v>
      </c>
      <c r="Q525" s="235" t="s">
        <v>627</v>
      </c>
      <c r="R525" s="238">
        <v>246.67</v>
      </c>
      <c r="S525" s="238">
        <v>12.33</v>
      </c>
      <c r="T525" s="238">
        <v>0.0</v>
      </c>
      <c r="U525" s="238">
        <v>0.0</v>
      </c>
      <c r="V525" s="238">
        <v>0.0</v>
      </c>
      <c r="W525" s="238">
        <v>0.0</v>
      </c>
      <c r="X525" s="235" t="s">
        <v>628</v>
      </c>
      <c r="Z525" s="244"/>
      <c r="AA525" s="244"/>
      <c r="AB525" s="244"/>
      <c r="AC525" s="235" t="s">
        <v>697</v>
      </c>
      <c r="AD525" s="235" t="s">
        <v>698</v>
      </c>
      <c r="AE525" s="238">
        <v>500062.0</v>
      </c>
      <c r="AF525" s="235" t="s">
        <v>631</v>
      </c>
      <c r="AG525" s="244"/>
      <c r="AH525" s="244"/>
      <c r="AI525" s="245"/>
      <c r="AJ525" s="245"/>
      <c r="AK525" s="245"/>
      <c r="AL525" s="245"/>
      <c r="AM525" s="244"/>
      <c r="AN525" s="244"/>
      <c r="AO525" s="238">
        <v>0.0</v>
      </c>
      <c r="AP525" s="238">
        <v>0.0</v>
      </c>
      <c r="AQ525" s="235" t="s">
        <v>632</v>
      </c>
      <c r="AR525" s="243">
        <v>1.68E11</v>
      </c>
      <c r="AS525" s="235" t="s">
        <v>3284</v>
      </c>
      <c r="AT525" s="235" t="s">
        <v>9</v>
      </c>
      <c r="AU525" s="235" t="s">
        <v>634</v>
      </c>
      <c r="AV525" s="246" t="s">
        <v>635</v>
      </c>
      <c r="AW525" s="242"/>
      <c r="AX525" s="242"/>
      <c r="AY525" s="231"/>
      <c r="AZ525" s="231"/>
      <c r="BA525" s="227"/>
      <c r="BB525" s="231"/>
      <c r="BC525" s="227"/>
      <c r="BD525" s="227"/>
      <c r="BE525" s="227"/>
      <c r="BF525" s="227"/>
    </row>
    <row r="526">
      <c r="A526" s="235" t="s">
        <v>4838</v>
      </c>
      <c r="C526" s="235" t="s">
        <v>4839</v>
      </c>
      <c r="D526" s="235" t="s">
        <v>4840</v>
      </c>
      <c r="E526" s="243">
        <v>6.56E13</v>
      </c>
      <c r="F526" s="245"/>
      <c r="G526" s="235" t="s">
        <v>4841</v>
      </c>
      <c r="H526" s="235" t="s">
        <v>4842</v>
      </c>
      <c r="I526" s="235" t="s">
        <v>4842</v>
      </c>
      <c r="J526" s="235" t="s">
        <v>4843</v>
      </c>
      <c r="K526" s="235" t="s">
        <v>4844</v>
      </c>
      <c r="N526" s="235" t="s">
        <v>78</v>
      </c>
      <c r="O526" s="235" t="s">
        <v>360</v>
      </c>
      <c r="P526" s="238">
        <v>1.0</v>
      </c>
      <c r="Q526" s="235" t="s">
        <v>627</v>
      </c>
      <c r="R526" s="238">
        <v>360.95</v>
      </c>
      <c r="S526" s="238">
        <v>18.05</v>
      </c>
      <c r="T526" s="238">
        <v>38.1</v>
      </c>
      <c r="U526" s="238">
        <v>1.9</v>
      </c>
      <c r="V526" s="238">
        <v>0.0</v>
      </c>
      <c r="W526" s="238">
        <v>0.0</v>
      </c>
      <c r="X526" s="235" t="s">
        <v>628</v>
      </c>
      <c r="Z526" s="244"/>
      <c r="AA526" s="244"/>
      <c r="AB526" s="244"/>
      <c r="AC526" s="235" t="s">
        <v>4845</v>
      </c>
      <c r="AD526" s="235" t="s">
        <v>1086</v>
      </c>
      <c r="AE526" s="238">
        <v>144001.0</v>
      </c>
      <c r="AF526" s="235" t="s">
        <v>631</v>
      </c>
      <c r="AG526" s="244"/>
      <c r="AH526" s="244"/>
      <c r="AI526" s="245"/>
      <c r="AJ526" s="245"/>
      <c r="AK526" s="245"/>
      <c r="AL526" s="245"/>
      <c r="AM526" s="244"/>
      <c r="AN526" s="244"/>
      <c r="AO526" s="238">
        <v>0.0</v>
      </c>
      <c r="AP526" s="238">
        <v>-38.1</v>
      </c>
      <c r="AQ526" s="235" t="s">
        <v>632</v>
      </c>
      <c r="AR526" s="243">
        <v>3.71E11</v>
      </c>
      <c r="AS526" s="235" t="s">
        <v>2276</v>
      </c>
      <c r="AT526" s="235" t="s">
        <v>533</v>
      </c>
      <c r="AU526" s="235" t="s">
        <v>634</v>
      </c>
      <c r="AV526" s="246" t="s">
        <v>635</v>
      </c>
      <c r="AW526" s="242"/>
      <c r="AX526" s="242"/>
      <c r="AY526" s="231"/>
      <c r="AZ526" s="231"/>
      <c r="BA526" s="227"/>
      <c r="BB526" s="231"/>
      <c r="BC526" s="227"/>
      <c r="BD526" s="227"/>
      <c r="BE526" s="227"/>
      <c r="BF526" s="227"/>
    </row>
    <row r="527">
      <c r="A527" s="235" t="s">
        <v>4846</v>
      </c>
      <c r="C527" s="235" t="s">
        <v>4847</v>
      </c>
      <c r="D527" s="235" t="s">
        <v>4848</v>
      </c>
      <c r="E527" s="243">
        <v>6.56E13</v>
      </c>
      <c r="F527" s="245"/>
      <c r="G527" s="235" t="s">
        <v>4849</v>
      </c>
      <c r="H527" s="235" t="s">
        <v>4850</v>
      </c>
      <c r="I527" s="235" t="s">
        <v>4851</v>
      </c>
      <c r="J527" s="235" t="s">
        <v>4852</v>
      </c>
      <c r="K527" s="235" t="s">
        <v>4853</v>
      </c>
      <c r="N527" s="235" t="s">
        <v>962</v>
      </c>
      <c r="O527" s="235" t="s">
        <v>963</v>
      </c>
      <c r="P527" s="238">
        <v>1.0</v>
      </c>
      <c r="Q527" s="235" t="s">
        <v>627</v>
      </c>
      <c r="R527" s="238">
        <v>246.67</v>
      </c>
      <c r="S527" s="238">
        <v>12.33</v>
      </c>
      <c r="T527" s="238">
        <v>0.0</v>
      </c>
      <c r="U527" s="238">
        <v>0.0</v>
      </c>
      <c r="V527" s="238">
        <v>0.0</v>
      </c>
      <c r="W527" s="238">
        <v>0.0</v>
      </c>
      <c r="X527" s="235" t="s">
        <v>628</v>
      </c>
      <c r="Z527" s="244"/>
      <c r="AA527" s="244"/>
      <c r="AB527" s="244"/>
      <c r="AC527" s="235" t="s">
        <v>4854</v>
      </c>
      <c r="AD527" s="235" t="s">
        <v>854</v>
      </c>
      <c r="AE527" s="238">
        <v>403516.0</v>
      </c>
      <c r="AF527" s="235" t="s">
        <v>631</v>
      </c>
      <c r="AG527" s="244"/>
      <c r="AH527" s="244"/>
      <c r="AI527" s="245"/>
      <c r="AJ527" s="245"/>
      <c r="AK527" s="245"/>
      <c r="AL527" s="245"/>
      <c r="AM527" s="244"/>
      <c r="AN527" s="244"/>
      <c r="AO527" s="238">
        <v>0.0</v>
      </c>
      <c r="AP527" s="238">
        <v>0.0</v>
      </c>
      <c r="AQ527" s="235" t="s">
        <v>632</v>
      </c>
      <c r="AR527" s="243">
        <v>3.71E11</v>
      </c>
      <c r="AS527" s="235" t="s">
        <v>2276</v>
      </c>
      <c r="AT527" s="235" t="s">
        <v>11</v>
      </c>
      <c r="AU527" s="235" t="s">
        <v>634</v>
      </c>
      <c r="AV527" s="246" t="s">
        <v>635</v>
      </c>
      <c r="AW527" s="242"/>
      <c r="AX527" s="242"/>
      <c r="AY527" s="231"/>
      <c r="AZ527" s="231"/>
      <c r="BA527" s="227"/>
      <c r="BB527" s="231"/>
      <c r="BC527" s="227"/>
      <c r="BD527" s="227"/>
      <c r="BE527" s="227"/>
      <c r="BF527" s="227"/>
    </row>
    <row r="528">
      <c r="A528" s="235" t="s">
        <v>4855</v>
      </c>
      <c r="C528" s="235" t="s">
        <v>4856</v>
      </c>
      <c r="D528" s="235" t="s">
        <v>4857</v>
      </c>
      <c r="E528" s="243">
        <v>6.56E13</v>
      </c>
      <c r="F528" s="245"/>
      <c r="G528" s="235" t="s">
        <v>4858</v>
      </c>
      <c r="H528" s="235" t="s">
        <v>4859</v>
      </c>
      <c r="I528" s="235" t="s">
        <v>4859</v>
      </c>
      <c r="J528" s="235" t="s">
        <v>4860</v>
      </c>
      <c r="K528" s="235" t="s">
        <v>4861</v>
      </c>
      <c r="N528" s="235" t="s">
        <v>145</v>
      </c>
      <c r="O528" s="235" t="s">
        <v>370</v>
      </c>
      <c r="P528" s="238">
        <v>1.0</v>
      </c>
      <c r="Q528" s="235" t="s">
        <v>627</v>
      </c>
      <c r="R528" s="238">
        <v>1522.86</v>
      </c>
      <c r="S528" s="238">
        <v>76.14</v>
      </c>
      <c r="T528" s="238">
        <v>0.0</v>
      </c>
      <c r="U528" s="238">
        <v>0.0</v>
      </c>
      <c r="V528" s="238">
        <v>0.0</v>
      </c>
      <c r="W528" s="238">
        <v>0.0</v>
      </c>
      <c r="X528" s="235" t="s">
        <v>628</v>
      </c>
      <c r="Z528" s="244"/>
      <c r="AA528" s="244"/>
      <c r="AB528" s="244"/>
      <c r="AC528" s="235" t="s">
        <v>1058</v>
      </c>
      <c r="AD528" s="235" t="s">
        <v>845</v>
      </c>
      <c r="AE528" s="238">
        <v>400072.0</v>
      </c>
      <c r="AF528" s="235" t="s">
        <v>631</v>
      </c>
      <c r="AG528" s="244"/>
      <c r="AH528" s="244"/>
      <c r="AI528" s="245"/>
      <c r="AJ528" s="245"/>
      <c r="AK528" s="245"/>
      <c r="AL528" s="245"/>
      <c r="AM528" s="244"/>
      <c r="AN528" s="244"/>
      <c r="AO528" s="238">
        <v>0.0</v>
      </c>
      <c r="AP528" s="238">
        <v>0.0</v>
      </c>
      <c r="AQ528" s="235" t="s">
        <v>632</v>
      </c>
      <c r="AR528" s="243">
        <v>3.71E11</v>
      </c>
      <c r="AS528" s="235" t="s">
        <v>3284</v>
      </c>
      <c r="AT528" s="235" t="s">
        <v>16</v>
      </c>
      <c r="AU528" s="235" t="s">
        <v>634</v>
      </c>
      <c r="AV528" s="246" t="s">
        <v>635</v>
      </c>
      <c r="AW528" s="242"/>
      <c r="AX528" s="242"/>
      <c r="AY528" s="231"/>
      <c r="AZ528" s="231"/>
      <c r="BA528" s="227"/>
      <c r="BB528" s="231"/>
      <c r="BC528" s="227"/>
      <c r="BD528" s="227"/>
      <c r="BE528" s="227"/>
      <c r="BF528" s="227"/>
    </row>
    <row r="529">
      <c r="A529" s="235" t="s">
        <v>4862</v>
      </c>
      <c r="C529" s="235" t="s">
        <v>4863</v>
      </c>
      <c r="D529" s="235" t="s">
        <v>4864</v>
      </c>
      <c r="E529" s="243">
        <v>6.56E13</v>
      </c>
      <c r="F529" s="245"/>
      <c r="G529" s="235" t="s">
        <v>4865</v>
      </c>
      <c r="H529" s="235" t="s">
        <v>4866</v>
      </c>
      <c r="I529" s="235" t="s">
        <v>4866</v>
      </c>
      <c r="J529" s="235" t="s">
        <v>4867</v>
      </c>
      <c r="K529" s="235" t="s">
        <v>4868</v>
      </c>
      <c r="N529" s="235" t="s">
        <v>130</v>
      </c>
      <c r="O529" s="235" t="s">
        <v>707</v>
      </c>
      <c r="P529" s="238">
        <v>1.0</v>
      </c>
      <c r="Q529" s="235" t="s">
        <v>627</v>
      </c>
      <c r="R529" s="238">
        <v>246.67</v>
      </c>
      <c r="S529" s="238">
        <v>12.33</v>
      </c>
      <c r="T529" s="238">
        <v>38.1</v>
      </c>
      <c r="U529" s="238">
        <v>1.9</v>
      </c>
      <c r="V529" s="238">
        <v>0.0</v>
      </c>
      <c r="W529" s="238">
        <v>0.0</v>
      </c>
      <c r="X529" s="235" t="s">
        <v>628</v>
      </c>
      <c r="Z529" s="244"/>
      <c r="AA529" s="244"/>
      <c r="AB529" s="244"/>
      <c r="AC529" s="235" t="s">
        <v>4869</v>
      </c>
      <c r="AD529" s="235" t="s">
        <v>881</v>
      </c>
      <c r="AE529" s="238">
        <v>768001.0</v>
      </c>
      <c r="AF529" s="235" t="s">
        <v>631</v>
      </c>
      <c r="AG529" s="244"/>
      <c r="AH529" s="244"/>
      <c r="AI529" s="245"/>
      <c r="AJ529" s="245"/>
      <c r="AK529" s="245"/>
      <c r="AL529" s="245"/>
      <c r="AM529" s="244"/>
      <c r="AN529" s="244"/>
      <c r="AO529" s="238">
        <v>0.0</v>
      </c>
      <c r="AP529" s="238">
        <v>-38.1</v>
      </c>
      <c r="AQ529" s="235" t="s">
        <v>632</v>
      </c>
      <c r="AR529" s="243">
        <v>3.71E11</v>
      </c>
      <c r="AS529" s="235" t="s">
        <v>667</v>
      </c>
      <c r="AT529" s="235" t="s">
        <v>533</v>
      </c>
      <c r="AU529" s="235" t="s">
        <v>634</v>
      </c>
      <c r="AV529" s="246" t="s">
        <v>635</v>
      </c>
      <c r="AW529" s="242"/>
      <c r="AX529" s="242"/>
      <c r="AY529" s="231"/>
      <c r="AZ529" s="231"/>
      <c r="BA529" s="227"/>
      <c r="BB529" s="231"/>
      <c r="BC529" s="227"/>
      <c r="BD529" s="227"/>
      <c r="BE529" s="227"/>
      <c r="BF529" s="227"/>
    </row>
    <row r="530">
      <c r="A530" s="235" t="s">
        <v>4870</v>
      </c>
      <c r="C530" s="235" t="s">
        <v>4871</v>
      </c>
      <c r="D530" s="235" t="s">
        <v>4872</v>
      </c>
      <c r="E530" s="243">
        <v>6.56E13</v>
      </c>
      <c r="F530" s="245"/>
      <c r="G530" s="235" t="s">
        <v>4873</v>
      </c>
      <c r="H530" s="235" t="s">
        <v>4874</v>
      </c>
      <c r="I530" s="235" t="s">
        <v>4874</v>
      </c>
      <c r="J530" s="235" t="s">
        <v>4875</v>
      </c>
      <c r="K530" s="235" t="s">
        <v>4876</v>
      </c>
      <c r="N530" s="235" t="s">
        <v>842</v>
      </c>
      <c r="O530" s="235" t="s">
        <v>843</v>
      </c>
      <c r="P530" s="238">
        <v>1.0</v>
      </c>
      <c r="Q530" s="235" t="s">
        <v>627</v>
      </c>
      <c r="R530" s="238">
        <v>242.86</v>
      </c>
      <c r="S530" s="238">
        <v>12.14</v>
      </c>
      <c r="T530" s="238">
        <v>38.1</v>
      </c>
      <c r="U530" s="238">
        <v>1.9</v>
      </c>
      <c r="V530" s="238">
        <v>0.0</v>
      </c>
      <c r="W530" s="238">
        <v>0.0</v>
      </c>
      <c r="X530" s="235" t="s">
        <v>628</v>
      </c>
      <c r="Z530" s="244"/>
      <c r="AA530" s="244"/>
      <c r="AB530" s="244"/>
      <c r="AC530" s="235" t="s">
        <v>678</v>
      </c>
      <c r="AD530" s="235" t="s">
        <v>679</v>
      </c>
      <c r="AE530" s="238">
        <v>560043.0</v>
      </c>
      <c r="AF530" s="235" t="s">
        <v>631</v>
      </c>
      <c r="AG530" s="244"/>
      <c r="AH530" s="244"/>
      <c r="AI530" s="245"/>
      <c r="AJ530" s="245"/>
      <c r="AK530" s="245"/>
      <c r="AL530" s="245"/>
      <c r="AM530" s="244"/>
      <c r="AN530" s="244"/>
      <c r="AO530" s="238">
        <v>0.0</v>
      </c>
      <c r="AP530" s="238">
        <v>-38.1</v>
      </c>
      <c r="AQ530" s="235" t="s">
        <v>632</v>
      </c>
      <c r="AR530" s="243">
        <v>3.71E11</v>
      </c>
      <c r="AS530" s="235" t="s">
        <v>3284</v>
      </c>
      <c r="AT530" s="235" t="s">
        <v>11</v>
      </c>
      <c r="AU530" s="235" t="s">
        <v>634</v>
      </c>
      <c r="AV530" s="246" t="s">
        <v>635</v>
      </c>
      <c r="AW530" s="242"/>
      <c r="AX530" s="242"/>
      <c r="AY530" s="231"/>
      <c r="AZ530" s="231"/>
      <c r="BA530" s="227"/>
      <c r="BB530" s="231"/>
      <c r="BC530" s="227"/>
      <c r="BD530" s="227"/>
      <c r="BE530" s="227"/>
      <c r="BF530" s="227"/>
    </row>
    <row r="531">
      <c r="A531" s="235" t="s">
        <v>4877</v>
      </c>
      <c r="C531" s="235" t="s">
        <v>4878</v>
      </c>
      <c r="D531" s="235" t="s">
        <v>4879</v>
      </c>
      <c r="E531" s="243">
        <v>6.56E13</v>
      </c>
      <c r="F531" s="245"/>
      <c r="G531" s="235" t="s">
        <v>4880</v>
      </c>
      <c r="H531" s="235" t="s">
        <v>4881</v>
      </c>
      <c r="I531" s="235" t="s">
        <v>4881</v>
      </c>
      <c r="J531" s="235" t="s">
        <v>4882</v>
      </c>
      <c r="K531" s="235" t="s">
        <v>4883</v>
      </c>
      <c r="N531" s="235" t="s">
        <v>42</v>
      </c>
      <c r="O531" s="235" t="s">
        <v>204</v>
      </c>
      <c r="P531" s="238">
        <v>1.0</v>
      </c>
      <c r="Q531" s="235" t="s">
        <v>627</v>
      </c>
      <c r="R531" s="238">
        <v>237.14</v>
      </c>
      <c r="S531" s="238">
        <v>11.62</v>
      </c>
      <c r="T531" s="238">
        <v>0.0</v>
      </c>
      <c r="U531" s="238">
        <v>0.0</v>
      </c>
      <c r="V531" s="238">
        <v>0.0</v>
      </c>
      <c r="W531" s="238">
        <v>0.0</v>
      </c>
      <c r="X531" s="235" t="s">
        <v>628</v>
      </c>
      <c r="Z531" s="244"/>
      <c r="AA531" s="244"/>
      <c r="AB531" s="244"/>
      <c r="AC531" s="235" t="s">
        <v>1320</v>
      </c>
      <c r="AD531" s="235" t="s">
        <v>666</v>
      </c>
      <c r="AE531" s="238">
        <v>600087.0</v>
      </c>
      <c r="AF531" s="235" t="s">
        <v>631</v>
      </c>
      <c r="AG531" s="244"/>
      <c r="AH531" s="244"/>
      <c r="AI531" s="245"/>
      <c r="AJ531" s="245"/>
      <c r="AK531" s="245"/>
      <c r="AL531" s="245"/>
      <c r="AM531" s="244"/>
      <c r="AN531" s="244"/>
      <c r="AO531" s="238">
        <v>-4.74</v>
      </c>
      <c r="AP531" s="238">
        <v>0.0</v>
      </c>
      <c r="AQ531" s="235" t="s">
        <v>632</v>
      </c>
      <c r="AR531" s="243">
        <v>1.68E11</v>
      </c>
      <c r="AS531" s="235" t="s">
        <v>4697</v>
      </c>
      <c r="AT531" s="235" t="s">
        <v>156</v>
      </c>
      <c r="AU531" s="235" t="s">
        <v>634</v>
      </c>
      <c r="AV531" s="246" t="s">
        <v>635</v>
      </c>
      <c r="AW531" s="242"/>
      <c r="AX531" s="242"/>
      <c r="AY531" s="231"/>
      <c r="AZ531" s="231"/>
      <c r="BA531" s="227"/>
      <c r="BB531" s="231"/>
      <c r="BC531" s="227"/>
      <c r="BD531" s="227"/>
      <c r="BE531" s="227"/>
      <c r="BF531" s="227"/>
    </row>
    <row r="532">
      <c r="A532" s="235" t="s">
        <v>4884</v>
      </c>
      <c r="C532" s="235" t="s">
        <v>4885</v>
      </c>
      <c r="D532" s="235" t="s">
        <v>4886</v>
      </c>
      <c r="E532" s="243">
        <v>6.56E13</v>
      </c>
      <c r="F532" s="245"/>
      <c r="G532" s="235" t="s">
        <v>4887</v>
      </c>
      <c r="H532" s="235" t="s">
        <v>4888</v>
      </c>
      <c r="I532" s="235" t="s">
        <v>4888</v>
      </c>
      <c r="J532" s="235" t="s">
        <v>4889</v>
      </c>
      <c r="K532" s="235" t="s">
        <v>4890</v>
      </c>
      <c r="N532" s="235" t="s">
        <v>50</v>
      </c>
      <c r="O532" s="235" t="s">
        <v>367</v>
      </c>
      <c r="P532" s="238">
        <v>1.0</v>
      </c>
      <c r="Q532" s="235" t="s">
        <v>627</v>
      </c>
      <c r="R532" s="238">
        <v>232.38</v>
      </c>
      <c r="S532" s="238">
        <v>11.39</v>
      </c>
      <c r="T532" s="238">
        <v>0.0</v>
      </c>
      <c r="U532" s="238">
        <v>0.0</v>
      </c>
      <c r="V532" s="238">
        <v>0.0</v>
      </c>
      <c r="W532" s="238">
        <v>0.0</v>
      </c>
      <c r="X532" s="235" t="s">
        <v>628</v>
      </c>
      <c r="Z532" s="244"/>
      <c r="AA532" s="244"/>
      <c r="AB532" s="244"/>
      <c r="AC532" s="235" t="s">
        <v>4891</v>
      </c>
      <c r="AD532" s="235" t="s">
        <v>833</v>
      </c>
      <c r="AE532" s="238">
        <v>523155.0</v>
      </c>
      <c r="AF532" s="235" t="s">
        <v>631</v>
      </c>
      <c r="AG532" s="244"/>
      <c r="AH532" s="244"/>
      <c r="AI532" s="245"/>
      <c r="AJ532" s="245"/>
      <c r="AK532" s="245"/>
      <c r="AL532" s="245"/>
      <c r="AM532" s="244"/>
      <c r="AN532" s="244"/>
      <c r="AO532" s="238">
        <v>-4.65</v>
      </c>
      <c r="AP532" s="238">
        <v>0.0</v>
      </c>
      <c r="AQ532" s="235" t="s">
        <v>632</v>
      </c>
      <c r="AR532" s="243">
        <v>1.68E11</v>
      </c>
      <c r="AS532" s="235" t="s">
        <v>3284</v>
      </c>
      <c r="AT532" s="235" t="s">
        <v>156</v>
      </c>
      <c r="AU532" s="235" t="s">
        <v>634</v>
      </c>
      <c r="AV532" s="246" t="s">
        <v>635</v>
      </c>
      <c r="AW532" s="242"/>
      <c r="AX532" s="242"/>
      <c r="AY532" s="231"/>
      <c r="AZ532" s="231"/>
      <c r="BA532" s="227"/>
      <c r="BB532" s="231"/>
      <c r="BC532" s="227"/>
      <c r="BD532" s="227"/>
      <c r="BE532" s="227"/>
      <c r="BF532" s="227"/>
    </row>
    <row r="533">
      <c r="A533" s="235" t="s">
        <v>4892</v>
      </c>
      <c r="C533" s="235" t="s">
        <v>4893</v>
      </c>
      <c r="D533" s="235" t="s">
        <v>4894</v>
      </c>
      <c r="E533" s="243">
        <v>6.56E13</v>
      </c>
      <c r="F533" s="245"/>
      <c r="G533" s="235" t="s">
        <v>4895</v>
      </c>
      <c r="H533" s="235" t="s">
        <v>4896</v>
      </c>
      <c r="I533" s="235" t="s">
        <v>4896</v>
      </c>
      <c r="J533" s="235" t="s">
        <v>4897</v>
      </c>
      <c r="K533" s="235" t="s">
        <v>4898</v>
      </c>
      <c r="N533" s="235" t="s">
        <v>43</v>
      </c>
      <c r="O533" s="235" t="s">
        <v>276</v>
      </c>
      <c r="P533" s="238">
        <v>1.0</v>
      </c>
      <c r="Q533" s="235" t="s">
        <v>627</v>
      </c>
      <c r="R533" s="238">
        <v>237.14</v>
      </c>
      <c r="S533" s="238">
        <v>11.86</v>
      </c>
      <c r="T533" s="238">
        <v>0.0</v>
      </c>
      <c r="U533" s="238">
        <v>0.0</v>
      </c>
      <c r="V533" s="238">
        <v>0.0</v>
      </c>
      <c r="W533" s="238">
        <v>0.0</v>
      </c>
      <c r="X533" s="235" t="s">
        <v>628</v>
      </c>
      <c r="Z533" s="244"/>
      <c r="AA533" s="244"/>
      <c r="AB533" s="244"/>
      <c r="AC533" s="235" t="s">
        <v>697</v>
      </c>
      <c r="AD533" s="235" t="s">
        <v>698</v>
      </c>
      <c r="AE533" s="238">
        <v>500032.0</v>
      </c>
      <c r="AF533" s="235" t="s">
        <v>631</v>
      </c>
      <c r="AG533" s="244"/>
      <c r="AH533" s="244"/>
      <c r="AI533" s="245"/>
      <c r="AJ533" s="245"/>
      <c r="AK533" s="245"/>
      <c r="AL533" s="245"/>
      <c r="AM533" s="244"/>
      <c r="AN533" s="244"/>
      <c r="AO533" s="238">
        <v>0.0</v>
      </c>
      <c r="AP533" s="238">
        <v>0.0</v>
      </c>
      <c r="AQ533" s="235" t="s">
        <v>632</v>
      </c>
      <c r="AR533" s="243">
        <v>2.02E11</v>
      </c>
      <c r="AS533" s="235" t="s">
        <v>3284</v>
      </c>
      <c r="AT533" s="235" t="s">
        <v>546</v>
      </c>
      <c r="AU533" s="235" t="s">
        <v>634</v>
      </c>
      <c r="AV533" s="246" t="s">
        <v>635</v>
      </c>
      <c r="AW533" s="242"/>
      <c r="AX533" s="242"/>
      <c r="AY533" s="231"/>
      <c r="AZ533" s="231"/>
      <c r="BA533" s="227"/>
      <c r="BB533" s="231"/>
      <c r="BC533" s="227"/>
      <c r="BD533" s="227"/>
      <c r="BE533" s="227"/>
      <c r="BF533" s="227"/>
    </row>
    <row r="534">
      <c r="A534" s="235" t="s">
        <v>4899</v>
      </c>
      <c r="C534" s="235" t="s">
        <v>4900</v>
      </c>
      <c r="D534" s="235" t="s">
        <v>4901</v>
      </c>
      <c r="E534" s="243">
        <v>6.56E13</v>
      </c>
      <c r="F534" s="245"/>
      <c r="G534" s="235" t="s">
        <v>4902</v>
      </c>
      <c r="H534" s="235" t="s">
        <v>4903</v>
      </c>
      <c r="I534" s="235" t="s">
        <v>4903</v>
      </c>
      <c r="J534" s="235" t="s">
        <v>4904</v>
      </c>
      <c r="K534" s="235" t="s">
        <v>4905</v>
      </c>
      <c r="N534" s="235" t="s">
        <v>85</v>
      </c>
      <c r="O534" s="235" t="s">
        <v>872</v>
      </c>
      <c r="P534" s="238">
        <v>1.0</v>
      </c>
      <c r="Q534" s="235" t="s">
        <v>627</v>
      </c>
      <c r="R534" s="238">
        <v>242.86</v>
      </c>
      <c r="S534" s="238">
        <v>12.14</v>
      </c>
      <c r="T534" s="238">
        <v>0.0</v>
      </c>
      <c r="U534" s="238">
        <v>0.0</v>
      </c>
      <c r="V534" s="238">
        <v>0.0</v>
      </c>
      <c r="W534" s="238">
        <v>0.0</v>
      </c>
      <c r="X534" s="235" t="s">
        <v>628</v>
      </c>
      <c r="Z534" s="244"/>
      <c r="AA534" s="244"/>
      <c r="AB534" s="244"/>
      <c r="AC534" s="235" t="s">
        <v>1058</v>
      </c>
      <c r="AD534" s="235" t="s">
        <v>845</v>
      </c>
      <c r="AE534" s="238">
        <v>400028.0</v>
      </c>
      <c r="AF534" s="235" t="s">
        <v>631</v>
      </c>
      <c r="AG534" s="244"/>
      <c r="AH534" s="244"/>
      <c r="AI534" s="245"/>
      <c r="AJ534" s="245"/>
      <c r="AK534" s="245"/>
      <c r="AL534" s="245"/>
      <c r="AM534" s="244"/>
      <c r="AN534" s="244"/>
      <c r="AO534" s="238">
        <v>0.0</v>
      </c>
      <c r="AP534" s="238">
        <v>0.0</v>
      </c>
      <c r="AQ534" s="235" t="s">
        <v>632</v>
      </c>
      <c r="AR534" s="243">
        <v>3.71E11</v>
      </c>
      <c r="AS534" s="235" t="s">
        <v>3284</v>
      </c>
      <c r="AT534" s="235" t="s">
        <v>16</v>
      </c>
      <c r="AU534" s="235" t="s">
        <v>634</v>
      </c>
      <c r="AV534" s="246" t="s">
        <v>635</v>
      </c>
      <c r="AW534" s="242"/>
      <c r="AX534" s="242"/>
      <c r="AY534" s="231"/>
      <c r="AZ534" s="231"/>
      <c r="BA534" s="227"/>
      <c r="BB534" s="227"/>
      <c r="BC534" s="227"/>
      <c r="BD534" s="227"/>
      <c r="BE534" s="227"/>
      <c r="BF534" s="227"/>
    </row>
    <row r="535">
      <c r="A535" s="235" t="s">
        <v>4907</v>
      </c>
      <c r="C535" s="235" t="s">
        <v>4908</v>
      </c>
      <c r="D535" s="235" t="s">
        <v>4909</v>
      </c>
      <c r="E535" s="243">
        <v>6.56E13</v>
      </c>
      <c r="F535" s="245"/>
      <c r="G535" s="235" t="s">
        <v>4910</v>
      </c>
      <c r="H535" s="235" t="s">
        <v>4911</v>
      </c>
      <c r="I535" s="235" t="s">
        <v>4911</v>
      </c>
      <c r="J535" s="235" t="s">
        <v>4912</v>
      </c>
      <c r="K535" s="235" t="s">
        <v>4913</v>
      </c>
      <c r="N535" s="235" t="s">
        <v>82</v>
      </c>
      <c r="O535" s="235" t="s">
        <v>889</v>
      </c>
      <c r="P535" s="238">
        <v>1.0</v>
      </c>
      <c r="Q535" s="235" t="s">
        <v>627</v>
      </c>
      <c r="R535" s="238">
        <v>246.66</v>
      </c>
      <c r="S535" s="238">
        <v>12.34</v>
      </c>
      <c r="T535" s="238">
        <v>38.1</v>
      </c>
      <c r="U535" s="238">
        <v>1.9</v>
      </c>
      <c r="V535" s="238">
        <v>28.58</v>
      </c>
      <c r="W535" s="238">
        <v>1.42</v>
      </c>
      <c r="X535" s="235" t="s">
        <v>628</v>
      </c>
      <c r="Z535" s="244"/>
      <c r="AA535" s="244"/>
      <c r="AB535" s="244"/>
      <c r="AC535" s="235" t="s">
        <v>4914</v>
      </c>
      <c r="AD535" s="235" t="s">
        <v>1077</v>
      </c>
      <c r="AE535" s="238">
        <v>389230.0</v>
      </c>
      <c r="AF535" s="235" t="s">
        <v>631</v>
      </c>
      <c r="AG535" s="244"/>
      <c r="AH535" s="244"/>
      <c r="AI535" s="245"/>
      <c r="AJ535" s="245"/>
      <c r="AK535" s="245"/>
      <c r="AL535" s="245"/>
      <c r="AM535" s="244"/>
      <c r="AN535" s="244"/>
      <c r="AO535" s="238">
        <v>0.0</v>
      </c>
      <c r="AP535" s="238">
        <v>0.0</v>
      </c>
      <c r="AQ535" s="235" t="s">
        <v>632</v>
      </c>
      <c r="AR535" s="243">
        <v>3.71E11</v>
      </c>
      <c r="AS535" s="235" t="s">
        <v>2276</v>
      </c>
      <c r="AT535" s="235" t="s">
        <v>5</v>
      </c>
      <c r="AU535" s="235" t="s">
        <v>634</v>
      </c>
      <c r="AV535" s="246" t="s">
        <v>635</v>
      </c>
      <c r="AW535" s="242"/>
      <c r="AX535" s="242"/>
      <c r="AY535" s="231"/>
      <c r="AZ535" s="231"/>
      <c r="BA535" s="227"/>
      <c r="BB535" s="231"/>
      <c r="BC535" s="227"/>
      <c r="BD535" s="227"/>
      <c r="BE535" s="227"/>
      <c r="BF535" s="227"/>
    </row>
    <row r="536">
      <c r="A536" s="235" t="s">
        <v>4915</v>
      </c>
      <c r="C536" s="235" t="s">
        <v>4916</v>
      </c>
      <c r="D536" s="235" t="s">
        <v>4917</v>
      </c>
      <c r="E536" s="243">
        <v>6.56E13</v>
      </c>
      <c r="F536" s="245"/>
      <c r="G536" s="235" t="s">
        <v>4918</v>
      </c>
      <c r="H536" s="235" t="s">
        <v>4919</v>
      </c>
      <c r="I536" s="235" t="s">
        <v>4920</v>
      </c>
      <c r="J536" s="235" t="s">
        <v>4921</v>
      </c>
      <c r="K536" s="235" t="s">
        <v>4922</v>
      </c>
      <c r="N536" s="235" t="s">
        <v>136</v>
      </c>
      <c r="O536" s="235" t="s">
        <v>256</v>
      </c>
      <c r="P536" s="238">
        <v>1.0</v>
      </c>
      <c r="Q536" s="235" t="s">
        <v>627</v>
      </c>
      <c r="R536" s="238">
        <v>246.66</v>
      </c>
      <c r="S536" s="238">
        <v>12.34</v>
      </c>
      <c r="T536" s="238">
        <v>0.0</v>
      </c>
      <c r="U536" s="238">
        <v>0.0</v>
      </c>
      <c r="V536" s="238">
        <v>0.0</v>
      </c>
      <c r="W536" s="238">
        <v>0.0</v>
      </c>
      <c r="X536" s="235" t="s">
        <v>628</v>
      </c>
      <c r="Z536" s="244"/>
      <c r="AA536" s="244"/>
      <c r="AB536" s="244"/>
      <c r="AC536" s="235" t="s">
        <v>1998</v>
      </c>
      <c r="AD536" s="235" t="s">
        <v>928</v>
      </c>
      <c r="AE536" s="238">
        <v>121002.0</v>
      </c>
      <c r="AF536" s="235" t="s">
        <v>631</v>
      </c>
      <c r="AG536" s="244"/>
      <c r="AH536" s="244"/>
      <c r="AI536" s="245"/>
      <c r="AJ536" s="245"/>
      <c r="AK536" s="245"/>
      <c r="AL536" s="245"/>
      <c r="AM536" s="244"/>
      <c r="AN536" s="244"/>
      <c r="AO536" s="238">
        <v>0.0</v>
      </c>
      <c r="AP536" s="238">
        <v>0.0</v>
      </c>
      <c r="AQ536" s="235" t="s">
        <v>632</v>
      </c>
      <c r="AR536" s="243">
        <v>1.68E11</v>
      </c>
      <c r="AS536" s="235" t="s">
        <v>4697</v>
      </c>
      <c r="AT536" s="235" t="s">
        <v>13</v>
      </c>
      <c r="AU536" s="235" t="s">
        <v>634</v>
      </c>
      <c r="AV536" s="246" t="s">
        <v>635</v>
      </c>
      <c r="AW536" s="242"/>
      <c r="AX536" s="242"/>
      <c r="AY536" s="231"/>
      <c r="AZ536" s="231"/>
      <c r="BA536" s="227"/>
      <c r="BB536" s="231"/>
      <c r="BC536" s="227"/>
      <c r="BD536" s="227"/>
      <c r="BE536" s="227"/>
      <c r="BF536" s="227"/>
    </row>
    <row r="537">
      <c r="A537" s="235" t="s">
        <v>4923</v>
      </c>
      <c r="C537" s="235" t="s">
        <v>4924</v>
      </c>
      <c r="D537" s="235" t="s">
        <v>4925</v>
      </c>
      <c r="E537" s="243">
        <v>6.56E13</v>
      </c>
      <c r="F537" s="245"/>
      <c r="G537" s="235" t="s">
        <v>4926</v>
      </c>
      <c r="H537" s="235" t="s">
        <v>4927</v>
      </c>
      <c r="I537" s="235" t="s">
        <v>4927</v>
      </c>
      <c r="J537" s="235" t="s">
        <v>4928</v>
      </c>
      <c r="K537" s="235" t="s">
        <v>4929</v>
      </c>
      <c r="N537" s="235" t="s">
        <v>1346</v>
      </c>
      <c r="O537" s="235" t="s">
        <v>1347</v>
      </c>
      <c r="P537" s="238">
        <v>1.0</v>
      </c>
      <c r="Q537" s="235" t="s">
        <v>627</v>
      </c>
      <c r="R537" s="238">
        <v>256.19</v>
      </c>
      <c r="S537" s="238">
        <v>12.81</v>
      </c>
      <c r="T537" s="238">
        <v>38.1</v>
      </c>
      <c r="U537" s="238">
        <v>1.9</v>
      </c>
      <c r="V537" s="238">
        <v>0.0</v>
      </c>
      <c r="W537" s="238">
        <v>0.0</v>
      </c>
      <c r="X537" s="235" t="s">
        <v>628</v>
      </c>
      <c r="Z537" s="244"/>
      <c r="AA537" s="244"/>
      <c r="AB537" s="244"/>
      <c r="AC537" s="235" t="s">
        <v>3374</v>
      </c>
      <c r="AD537" s="235" t="s">
        <v>645</v>
      </c>
      <c r="AE537" s="238">
        <v>695019.0</v>
      </c>
      <c r="AF537" s="235" t="s">
        <v>631</v>
      </c>
      <c r="AG537" s="244"/>
      <c r="AH537" s="244"/>
      <c r="AI537" s="245"/>
      <c r="AJ537" s="245"/>
      <c r="AK537" s="245"/>
      <c r="AL537" s="245"/>
      <c r="AM537" s="244"/>
      <c r="AN537" s="244"/>
      <c r="AO537" s="238">
        <v>0.0</v>
      </c>
      <c r="AP537" s="238">
        <v>-38.1</v>
      </c>
      <c r="AQ537" s="235" t="s">
        <v>632</v>
      </c>
      <c r="AR537" s="243">
        <v>1.68E11</v>
      </c>
      <c r="AS537" s="235" t="s">
        <v>3284</v>
      </c>
      <c r="AT537" s="235" t="s">
        <v>156</v>
      </c>
      <c r="AU537" s="235" t="s">
        <v>634</v>
      </c>
      <c r="AV537" s="246" t="s">
        <v>635</v>
      </c>
      <c r="AW537" s="242"/>
      <c r="AX537" s="242"/>
      <c r="AY537" s="231"/>
      <c r="AZ537" s="231"/>
      <c r="BA537" s="227"/>
      <c r="BB537" s="231"/>
      <c r="BC537" s="227"/>
      <c r="BD537" s="227"/>
      <c r="BE537" s="227"/>
      <c r="BF537" s="227"/>
    </row>
    <row r="538">
      <c r="A538" s="235" t="s">
        <v>4930</v>
      </c>
      <c r="C538" s="235" t="s">
        <v>4931</v>
      </c>
      <c r="D538" s="235" t="s">
        <v>4932</v>
      </c>
      <c r="E538" s="243">
        <v>6.56E13</v>
      </c>
      <c r="F538" s="245"/>
      <c r="G538" s="235" t="s">
        <v>4933</v>
      </c>
      <c r="H538" s="235" t="s">
        <v>4934</v>
      </c>
      <c r="I538" s="235" t="s">
        <v>4934</v>
      </c>
      <c r="J538" s="235" t="s">
        <v>4935</v>
      </c>
      <c r="K538" s="235" t="s">
        <v>4936</v>
      </c>
      <c r="N538" s="235" t="s">
        <v>154</v>
      </c>
      <c r="O538" s="235" t="s">
        <v>766</v>
      </c>
      <c r="P538" s="238">
        <v>1.0</v>
      </c>
      <c r="Q538" s="235" t="s">
        <v>627</v>
      </c>
      <c r="R538" s="238">
        <v>465.71</v>
      </c>
      <c r="S538" s="238">
        <v>23.29</v>
      </c>
      <c r="T538" s="238">
        <v>0.0</v>
      </c>
      <c r="U538" s="238">
        <v>0.0</v>
      </c>
      <c r="V538" s="238">
        <v>0.0</v>
      </c>
      <c r="W538" s="238">
        <v>0.0</v>
      </c>
      <c r="X538" s="235" t="s">
        <v>628</v>
      </c>
      <c r="Z538" s="244"/>
      <c r="AA538" s="244"/>
      <c r="AB538" s="244"/>
      <c r="AC538" s="235" t="s">
        <v>822</v>
      </c>
      <c r="AD538" s="235" t="s">
        <v>630</v>
      </c>
      <c r="AE538" s="238">
        <v>201305.0</v>
      </c>
      <c r="AF538" s="235" t="s">
        <v>631</v>
      </c>
      <c r="AG538" s="244"/>
      <c r="AH538" s="244"/>
      <c r="AI538" s="245"/>
      <c r="AJ538" s="245"/>
      <c r="AK538" s="245"/>
      <c r="AL538" s="245"/>
      <c r="AM538" s="244"/>
      <c r="AN538" s="244"/>
      <c r="AO538" s="238">
        <v>0.0</v>
      </c>
      <c r="AP538" s="238">
        <v>0.0</v>
      </c>
      <c r="AQ538" s="235" t="s">
        <v>632</v>
      </c>
      <c r="AR538" s="243">
        <v>1.68E11</v>
      </c>
      <c r="AS538" s="235" t="s">
        <v>4697</v>
      </c>
      <c r="AT538" s="235" t="s">
        <v>13</v>
      </c>
      <c r="AU538" s="235" t="s">
        <v>634</v>
      </c>
      <c r="AV538" s="246" t="s">
        <v>635</v>
      </c>
      <c r="AW538" s="242"/>
      <c r="AX538" s="242"/>
      <c r="AY538" s="231"/>
      <c r="AZ538" s="231"/>
      <c r="BA538" s="227"/>
      <c r="BB538" s="231"/>
      <c r="BC538" s="227"/>
      <c r="BD538" s="227"/>
      <c r="BE538" s="227"/>
      <c r="BF538" s="227"/>
    </row>
    <row r="539">
      <c r="A539" s="235" t="s">
        <v>4937</v>
      </c>
      <c r="C539" s="235" t="s">
        <v>4938</v>
      </c>
      <c r="D539" s="235" t="s">
        <v>4939</v>
      </c>
      <c r="E539" s="243">
        <v>6.56E13</v>
      </c>
      <c r="F539" s="245"/>
      <c r="G539" s="235" t="s">
        <v>4940</v>
      </c>
      <c r="H539" s="235" t="s">
        <v>4941</v>
      </c>
      <c r="I539" s="235" t="s">
        <v>4941</v>
      </c>
      <c r="J539" s="235" t="s">
        <v>4942</v>
      </c>
      <c r="K539" s="235" t="s">
        <v>4943</v>
      </c>
      <c r="N539" s="235" t="s">
        <v>127</v>
      </c>
      <c r="O539" s="235" t="s">
        <v>794</v>
      </c>
      <c r="P539" s="238">
        <v>1.0</v>
      </c>
      <c r="Q539" s="235" t="s">
        <v>627</v>
      </c>
      <c r="R539" s="238">
        <v>246.66</v>
      </c>
      <c r="S539" s="238">
        <v>12.34</v>
      </c>
      <c r="T539" s="238">
        <v>38.1</v>
      </c>
      <c r="U539" s="238">
        <v>1.9</v>
      </c>
      <c r="V539" s="238">
        <v>0.0</v>
      </c>
      <c r="W539" s="238">
        <v>0.0</v>
      </c>
      <c r="X539" s="235" t="s">
        <v>628</v>
      </c>
      <c r="Z539" s="244"/>
      <c r="AA539" s="244"/>
      <c r="AB539" s="244"/>
      <c r="AC539" s="235" t="s">
        <v>844</v>
      </c>
      <c r="AD539" s="235" t="s">
        <v>845</v>
      </c>
      <c r="AE539" s="238">
        <v>411046.0</v>
      </c>
      <c r="AF539" s="235" t="s">
        <v>631</v>
      </c>
      <c r="AG539" s="244"/>
      <c r="AH539" s="244"/>
      <c r="AI539" s="245"/>
      <c r="AJ539" s="245"/>
      <c r="AK539" s="245"/>
      <c r="AL539" s="245"/>
      <c r="AM539" s="244"/>
      <c r="AN539" s="244"/>
      <c r="AO539" s="238">
        <v>0.0</v>
      </c>
      <c r="AP539" s="238">
        <v>-38.1</v>
      </c>
      <c r="AQ539" s="235" t="s">
        <v>632</v>
      </c>
      <c r="AR539" s="243">
        <v>3.71E11</v>
      </c>
      <c r="AS539" s="235" t="s">
        <v>3284</v>
      </c>
      <c r="AT539" s="235" t="s">
        <v>546</v>
      </c>
      <c r="AU539" s="235" t="s">
        <v>634</v>
      </c>
      <c r="AV539" s="246" t="s">
        <v>635</v>
      </c>
      <c r="AW539" s="242"/>
      <c r="AX539" s="242"/>
      <c r="AY539" s="231"/>
      <c r="AZ539" s="231"/>
      <c r="BA539" s="227"/>
      <c r="BB539" s="231"/>
      <c r="BC539" s="227"/>
      <c r="BD539" s="227"/>
      <c r="BE539" s="227"/>
      <c r="BF539" s="227"/>
    </row>
    <row r="540">
      <c r="A540" s="235" t="s">
        <v>4944</v>
      </c>
      <c r="C540" s="235" t="s">
        <v>4945</v>
      </c>
      <c r="D540" s="235" t="s">
        <v>4946</v>
      </c>
      <c r="E540" s="243">
        <v>6.56E13</v>
      </c>
      <c r="F540" s="245"/>
      <c r="G540" s="235" t="s">
        <v>4947</v>
      </c>
      <c r="H540" s="235" t="s">
        <v>4948</v>
      </c>
      <c r="I540" s="235" t="s">
        <v>4949</v>
      </c>
      <c r="J540" s="235" t="s">
        <v>4950</v>
      </c>
      <c r="K540" s="235" t="s">
        <v>4951</v>
      </c>
      <c r="N540" s="235" t="s">
        <v>144</v>
      </c>
      <c r="O540" s="235" t="s">
        <v>232</v>
      </c>
      <c r="P540" s="238">
        <v>1.0</v>
      </c>
      <c r="Q540" s="235" t="s">
        <v>627</v>
      </c>
      <c r="R540" s="238">
        <v>665.71</v>
      </c>
      <c r="S540" s="238">
        <v>33.29</v>
      </c>
      <c r="T540" s="238">
        <v>38.1</v>
      </c>
      <c r="U540" s="238">
        <v>1.9</v>
      </c>
      <c r="V540" s="238">
        <v>0.0</v>
      </c>
      <c r="W540" s="238">
        <v>0.0</v>
      </c>
      <c r="X540" s="235" t="s">
        <v>628</v>
      </c>
      <c r="Z540" s="244"/>
      <c r="AA540" s="244"/>
      <c r="AB540" s="244"/>
      <c r="AC540" s="235" t="s">
        <v>697</v>
      </c>
      <c r="AD540" s="235" t="s">
        <v>698</v>
      </c>
      <c r="AE540" s="238">
        <v>500096.0</v>
      </c>
      <c r="AF540" s="235" t="s">
        <v>631</v>
      </c>
      <c r="AG540" s="244"/>
      <c r="AH540" s="244"/>
      <c r="AI540" s="245"/>
      <c r="AJ540" s="245"/>
      <c r="AK540" s="245"/>
      <c r="AL540" s="245"/>
      <c r="AM540" s="244"/>
      <c r="AN540" s="244"/>
      <c r="AO540" s="238">
        <v>0.0</v>
      </c>
      <c r="AP540" s="238">
        <v>-38.1</v>
      </c>
      <c r="AQ540" s="235" t="s">
        <v>632</v>
      </c>
      <c r="AR540" s="243">
        <v>3.71E11</v>
      </c>
      <c r="AS540" s="235" t="s">
        <v>2276</v>
      </c>
      <c r="AT540" s="235" t="s">
        <v>11</v>
      </c>
      <c r="AU540" s="235" t="s">
        <v>634</v>
      </c>
      <c r="AV540" s="246" t="s">
        <v>635</v>
      </c>
      <c r="AW540" s="242"/>
      <c r="AX540" s="242"/>
      <c r="AY540" s="231"/>
      <c r="AZ540" s="231"/>
      <c r="BA540" s="227"/>
      <c r="BB540" s="231"/>
      <c r="BC540" s="227"/>
      <c r="BD540" s="227"/>
      <c r="BE540" s="227"/>
      <c r="BF540" s="227"/>
    </row>
    <row r="541">
      <c r="A541" s="235" t="s">
        <v>4952</v>
      </c>
      <c r="C541" s="235" t="s">
        <v>4953</v>
      </c>
      <c r="D541" s="235" t="s">
        <v>4954</v>
      </c>
      <c r="E541" s="243">
        <v>6.56E13</v>
      </c>
      <c r="F541" s="245"/>
      <c r="G541" s="235" t="s">
        <v>4955</v>
      </c>
      <c r="H541" s="235" t="s">
        <v>4956</v>
      </c>
      <c r="I541" s="235" t="s">
        <v>4957</v>
      </c>
      <c r="J541" s="235" t="s">
        <v>4958</v>
      </c>
      <c r="K541" s="235" t="s">
        <v>4959</v>
      </c>
      <c r="N541" s="235" t="s">
        <v>141</v>
      </c>
      <c r="O541" s="235" t="s">
        <v>342</v>
      </c>
      <c r="P541" s="238">
        <v>1.0</v>
      </c>
      <c r="Q541" s="235" t="s">
        <v>627</v>
      </c>
      <c r="R541" s="238">
        <v>246.67</v>
      </c>
      <c r="S541" s="238">
        <v>12.33</v>
      </c>
      <c r="T541" s="238">
        <v>38.1</v>
      </c>
      <c r="U541" s="238">
        <v>1.9</v>
      </c>
      <c r="V541" s="238">
        <v>0.0</v>
      </c>
      <c r="W541" s="238">
        <v>0.0</v>
      </c>
      <c r="X541" s="235" t="s">
        <v>628</v>
      </c>
      <c r="Z541" s="244"/>
      <c r="AA541" s="244"/>
      <c r="AB541" s="244"/>
      <c r="AC541" s="235" t="s">
        <v>1032</v>
      </c>
      <c r="AD541" s="235" t="s">
        <v>630</v>
      </c>
      <c r="AE541" s="238">
        <v>243006.0</v>
      </c>
      <c r="AF541" s="235" t="s">
        <v>631</v>
      </c>
      <c r="AG541" s="244"/>
      <c r="AH541" s="244"/>
      <c r="AI541" s="245"/>
      <c r="AJ541" s="245"/>
      <c r="AK541" s="245"/>
      <c r="AL541" s="245"/>
      <c r="AM541" s="244"/>
      <c r="AN541" s="244"/>
      <c r="AO541" s="238">
        <v>0.0</v>
      </c>
      <c r="AP541" s="238">
        <v>-38.1</v>
      </c>
      <c r="AQ541" s="235" t="s">
        <v>632</v>
      </c>
      <c r="AR541" s="243">
        <v>3.71E11</v>
      </c>
      <c r="AS541" s="235" t="s">
        <v>2276</v>
      </c>
      <c r="AT541" s="235" t="s">
        <v>13</v>
      </c>
      <c r="AU541" s="235" t="s">
        <v>634</v>
      </c>
      <c r="AV541" s="246" t="s">
        <v>635</v>
      </c>
      <c r="AW541" s="242"/>
      <c r="AX541" s="242"/>
      <c r="AY541" s="231"/>
      <c r="AZ541" s="231"/>
      <c r="BA541" s="227"/>
      <c r="BB541" s="231"/>
      <c r="BC541" s="227"/>
      <c r="BD541" s="227"/>
      <c r="BE541" s="227"/>
      <c r="BF541" s="227"/>
    </row>
    <row r="542">
      <c r="A542" s="235" t="s">
        <v>4960</v>
      </c>
      <c r="C542" s="235" t="s">
        <v>4961</v>
      </c>
      <c r="D542" s="235" t="s">
        <v>4962</v>
      </c>
      <c r="E542" s="243">
        <v>6.56E13</v>
      </c>
      <c r="F542" s="245"/>
      <c r="G542" s="235" t="s">
        <v>4963</v>
      </c>
      <c r="H542" s="235" t="s">
        <v>4964</v>
      </c>
      <c r="I542" s="235" t="s">
        <v>4964</v>
      </c>
      <c r="J542" s="235" t="s">
        <v>4965</v>
      </c>
      <c r="K542" s="235" t="s">
        <v>4966</v>
      </c>
      <c r="N542" s="235" t="s">
        <v>134</v>
      </c>
      <c r="O542" s="235" t="s">
        <v>314</v>
      </c>
      <c r="P542" s="238">
        <v>1.0</v>
      </c>
      <c r="Q542" s="235" t="s">
        <v>627</v>
      </c>
      <c r="R542" s="238">
        <v>246.66</v>
      </c>
      <c r="S542" s="238">
        <v>12.34</v>
      </c>
      <c r="T542" s="238">
        <v>0.0</v>
      </c>
      <c r="U542" s="238">
        <v>0.0</v>
      </c>
      <c r="V542" s="238">
        <v>0.0</v>
      </c>
      <c r="W542" s="238">
        <v>0.0</v>
      </c>
      <c r="X542" s="235" t="s">
        <v>628</v>
      </c>
      <c r="Z542" s="244"/>
      <c r="AA542" s="244"/>
      <c r="AB542" s="244"/>
      <c r="AC542" s="235" t="s">
        <v>1320</v>
      </c>
      <c r="AD542" s="235" t="s">
        <v>666</v>
      </c>
      <c r="AE542" s="238">
        <v>603103.0</v>
      </c>
      <c r="AF542" s="235" t="s">
        <v>631</v>
      </c>
      <c r="AG542" s="244"/>
      <c r="AH542" s="244"/>
      <c r="AI542" s="245"/>
      <c r="AJ542" s="245"/>
      <c r="AK542" s="245"/>
      <c r="AL542" s="245"/>
      <c r="AM542" s="244"/>
      <c r="AN542" s="244"/>
      <c r="AO542" s="238">
        <v>0.0</v>
      </c>
      <c r="AP542" s="238">
        <v>0.0</v>
      </c>
      <c r="AQ542" s="235" t="s">
        <v>632</v>
      </c>
      <c r="AR542" s="243">
        <v>1.68E11</v>
      </c>
      <c r="AS542" s="235" t="s">
        <v>3964</v>
      </c>
      <c r="AT542" s="235" t="s">
        <v>156</v>
      </c>
      <c r="AU542" s="235" t="s">
        <v>634</v>
      </c>
      <c r="AV542" s="246" t="s">
        <v>635</v>
      </c>
      <c r="AW542" s="242"/>
      <c r="AX542" s="242"/>
      <c r="AY542" s="231"/>
      <c r="AZ542" s="231"/>
      <c r="BA542" s="227"/>
      <c r="BB542" s="231"/>
      <c r="BC542" s="227"/>
      <c r="BD542" s="227"/>
      <c r="BE542" s="227"/>
      <c r="BF542" s="227"/>
    </row>
    <row r="543">
      <c r="A543" s="235" t="s">
        <v>4967</v>
      </c>
      <c r="C543" s="235" t="s">
        <v>4968</v>
      </c>
      <c r="D543" s="235" t="s">
        <v>4969</v>
      </c>
      <c r="E543" s="243">
        <v>6.56E13</v>
      </c>
      <c r="F543" s="245"/>
      <c r="G543" s="235" t="s">
        <v>4970</v>
      </c>
      <c r="H543" s="235" t="s">
        <v>4971</v>
      </c>
      <c r="I543" s="235" t="s">
        <v>4971</v>
      </c>
      <c r="J543" s="235" t="s">
        <v>4972</v>
      </c>
      <c r="K543" s="235" t="s">
        <v>4973</v>
      </c>
      <c r="N543" s="235" t="s">
        <v>145</v>
      </c>
      <c r="O543" s="235" t="s">
        <v>370</v>
      </c>
      <c r="P543" s="238">
        <v>1.0</v>
      </c>
      <c r="Q543" s="235" t="s">
        <v>627</v>
      </c>
      <c r="R543" s="238">
        <v>1522.86</v>
      </c>
      <c r="S543" s="238">
        <v>76.14</v>
      </c>
      <c r="T543" s="238">
        <v>0.0</v>
      </c>
      <c r="U543" s="238">
        <v>0.0</v>
      </c>
      <c r="V543" s="238">
        <v>0.0</v>
      </c>
      <c r="W543" s="238">
        <v>0.0</v>
      </c>
      <c r="X543" s="235" t="s">
        <v>628</v>
      </c>
      <c r="Z543" s="244"/>
      <c r="AA543" s="244"/>
      <c r="AB543" s="244"/>
      <c r="AC543" s="235" t="s">
        <v>795</v>
      </c>
      <c r="AD543" s="235" t="s">
        <v>796</v>
      </c>
      <c r="AE543" s="238">
        <v>110019.0</v>
      </c>
      <c r="AF543" s="235" t="s">
        <v>631</v>
      </c>
      <c r="AG543" s="244"/>
      <c r="AH543" s="244"/>
      <c r="AI543" s="245"/>
      <c r="AJ543" s="245"/>
      <c r="AK543" s="245"/>
      <c r="AL543" s="245"/>
      <c r="AM543" s="244"/>
      <c r="AN543" s="244"/>
      <c r="AO543" s="238">
        <v>0.0</v>
      </c>
      <c r="AP543" s="238">
        <v>0.0</v>
      </c>
      <c r="AQ543" s="235" t="s">
        <v>632</v>
      </c>
      <c r="AR543" s="243">
        <v>1.68E11</v>
      </c>
      <c r="AS543" s="235" t="s">
        <v>4697</v>
      </c>
      <c r="AT543" s="235" t="s">
        <v>14</v>
      </c>
      <c r="AU543" s="235" t="s">
        <v>634</v>
      </c>
      <c r="AV543" s="246" t="s">
        <v>635</v>
      </c>
      <c r="AW543" s="242"/>
      <c r="AX543" s="242"/>
      <c r="AY543" s="231"/>
      <c r="AZ543" s="231"/>
      <c r="BA543" s="227"/>
      <c r="BB543" s="231"/>
      <c r="BC543" s="227"/>
      <c r="BD543" s="227"/>
      <c r="BE543" s="227"/>
      <c r="BF543" s="227"/>
    </row>
    <row r="544">
      <c r="A544" s="235" t="s">
        <v>4974</v>
      </c>
      <c r="C544" s="235" t="s">
        <v>4975</v>
      </c>
      <c r="D544" s="235" t="s">
        <v>4976</v>
      </c>
      <c r="E544" s="243">
        <v>6.56E13</v>
      </c>
      <c r="F544" s="245"/>
      <c r="G544" s="235" t="s">
        <v>4977</v>
      </c>
      <c r="H544" s="235" t="s">
        <v>4978</v>
      </c>
      <c r="I544" s="235" t="s">
        <v>4978</v>
      </c>
      <c r="J544" s="235" t="s">
        <v>4979</v>
      </c>
      <c r="K544" s="235" t="s">
        <v>4980</v>
      </c>
      <c r="N544" s="235" t="s">
        <v>43</v>
      </c>
      <c r="O544" s="235" t="s">
        <v>276</v>
      </c>
      <c r="P544" s="238">
        <v>1.0</v>
      </c>
      <c r="Q544" s="235" t="s">
        <v>627</v>
      </c>
      <c r="R544" s="238">
        <v>237.14</v>
      </c>
      <c r="S544" s="238">
        <v>11.86</v>
      </c>
      <c r="T544" s="238">
        <v>38.1</v>
      </c>
      <c r="U544" s="238">
        <v>1.9</v>
      </c>
      <c r="V544" s="238">
        <v>0.0</v>
      </c>
      <c r="W544" s="238">
        <v>0.0</v>
      </c>
      <c r="X544" s="235" t="s">
        <v>628</v>
      </c>
      <c r="Z544" s="244"/>
      <c r="AA544" s="244"/>
      <c r="AB544" s="244"/>
      <c r="AC544" s="235" t="s">
        <v>697</v>
      </c>
      <c r="AD544" s="235" t="s">
        <v>698</v>
      </c>
      <c r="AE544" s="238">
        <v>500085.0</v>
      </c>
      <c r="AF544" s="235" t="s">
        <v>631</v>
      </c>
      <c r="AG544" s="244"/>
      <c r="AH544" s="244"/>
      <c r="AI544" s="245"/>
      <c r="AJ544" s="245"/>
      <c r="AK544" s="245"/>
      <c r="AL544" s="245"/>
      <c r="AM544" s="244"/>
      <c r="AN544" s="244"/>
      <c r="AO544" s="238">
        <v>0.0</v>
      </c>
      <c r="AP544" s="238">
        <v>-38.1</v>
      </c>
      <c r="AQ544" s="235" t="s">
        <v>632</v>
      </c>
      <c r="AR544" s="243">
        <v>3.71E11</v>
      </c>
      <c r="AS544" s="235" t="s">
        <v>2276</v>
      </c>
      <c r="AT544" s="235" t="s">
        <v>546</v>
      </c>
      <c r="AU544" s="235" t="s">
        <v>634</v>
      </c>
      <c r="AV544" s="246" t="s">
        <v>635</v>
      </c>
      <c r="AW544" s="242"/>
      <c r="AX544" s="242"/>
      <c r="AY544" s="231"/>
      <c r="AZ544" s="231"/>
      <c r="BA544" s="227"/>
      <c r="BB544" s="231"/>
      <c r="BC544" s="227"/>
      <c r="BD544" s="227"/>
      <c r="BE544" s="227"/>
      <c r="BF544" s="227"/>
    </row>
    <row r="545">
      <c r="A545" s="235" t="s">
        <v>4981</v>
      </c>
      <c r="C545" s="235" t="s">
        <v>4982</v>
      </c>
      <c r="D545" s="235" t="s">
        <v>4983</v>
      </c>
      <c r="E545" s="243">
        <v>6.56E13</v>
      </c>
      <c r="F545" s="245"/>
      <c r="G545" s="235" t="s">
        <v>4984</v>
      </c>
      <c r="H545" s="235" t="s">
        <v>4985</v>
      </c>
      <c r="I545" s="235" t="s">
        <v>4985</v>
      </c>
      <c r="J545" s="235" t="s">
        <v>4986</v>
      </c>
      <c r="K545" s="235" t="s">
        <v>4987</v>
      </c>
      <c r="N545" s="235" t="s">
        <v>92</v>
      </c>
      <c r="O545" s="235" t="s">
        <v>248</v>
      </c>
      <c r="P545" s="238">
        <v>1.0</v>
      </c>
      <c r="Q545" s="235" t="s">
        <v>627</v>
      </c>
      <c r="R545" s="238">
        <v>246.67</v>
      </c>
      <c r="S545" s="238">
        <v>12.33</v>
      </c>
      <c r="T545" s="238">
        <v>0.0</v>
      </c>
      <c r="U545" s="238">
        <v>0.0</v>
      </c>
      <c r="V545" s="238">
        <v>0.0</v>
      </c>
      <c r="W545" s="238">
        <v>0.0</v>
      </c>
      <c r="X545" s="235" t="s">
        <v>628</v>
      </c>
      <c r="Z545" s="244"/>
      <c r="AA545" s="244"/>
      <c r="AB545" s="244"/>
      <c r="AC545" s="235" t="s">
        <v>4988</v>
      </c>
      <c r="AD545" s="235" t="s">
        <v>630</v>
      </c>
      <c r="AE545" s="238">
        <v>226007.0</v>
      </c>
      <c r="AF545" s="235" t="s">
        <v>631</v>
      </c>
      <c r="AG545" s="244"/>
      <c r="AH545" s="244"/>
      <c r="AI545" s="245"/>
      <c r="AJ545" s="245"/>
      <c r="AK545" s="245"/>
      <c r="AL545" s="245"/>
      <c r="AM545" s="244"/>
      <c r="AN545" s="244"/>
      <c r="AO545" s="238">
        <v>0.0</v>
      </c>
      <c r="AP545" s="238">
        <v>0.0</v>
      </c>
      <c r="AQ545" s="235" t="s">
        <v>632</v>
      </c>
      <c r="AR545" s="243">
        <v>2.02E11</v>
      </c>
      <c r="AS545" s="235" t="s">
        <v>3284</v>
      </c>
      <c r="AT545" s="235" t="s">
        <v>533</v>
      </c>
      <c r="AU545" s="235" t="s">
        <v>634</v>
      </c>
      <c r="AV545" s="246" t="s">
        <v>635</v>
      </c>
      <c r="AW545" s="242"/>
      <c r="AX545" s="242"/>
      <c r="AY545" s="231"/>
      <c r="AZ545" s="231"/>
      <c r="BA545" s="227"/>
      <c r="BB545" s="231"/>
      <c r="BC545" s="227"/>
      <c r="BD545" s="227"/>
      <c r="BE545" s="227"/>
      <c r="BF545" s="227"/>
    </row>
    <row r="546">
      <c r="A546" s="235" t="s">
        <v>4989</v>
      </c>
      <c r="C546" s="235" t="s">
        <v>4990</v>
      </c>
      <c r="D546" s="235" t="s">
        <v>4991</v>
      </c>
      <c r="E546" s="243">
        <v>6.56E13</v>
      </c>
      <c r="F546" s="245"/>
      <c r="G546" s="235" t="s">
        <v>4992</v>
      </c>
      <c r="H546" s="235" t="s">
        <v>4993</v>
      </c>
      <c r="I546" s="235" t="s">
        <v>4993</v>
      </c>
      <c r="J546" s="235" t="s">
        <v>4994</v>
      </c>
      <c r="K546" s="235" t="s">
        <v>4995</v>
      </c>
      <c r="N546" s="235" t="s">
        <v>136</v>
      </c>
      <c r="O546" s="235" t="s">
        <v>256</v>
      </c>
      <c r="P546" s="238">
        <v>1.0</v>
      </c>
      <c r="Q546" s="235" t="s">
        <v>627</v>
      </c>
      <c r="R546" s="238">
        <v>246.67</v>
      </c>
      <c r="S546" s="238">
        <v>12.33</v>
      </c>
      <c r="T546" s="238">
        <v>0.0</v>
      </c>
      <c r="U546" s="238">
        <v>0.0</v>
      </c>
      <c r="V546" s="238">
        <v>0.0</v>
      </c>
      <c r="W546" s="238">
        <v>0.0</v>
      </c>
      <c r="X546" s="235" t="s">
        <v>628</v>
      </c>
      <c r="Z546" s="244"/>
      <c r="AA546" s="244"/>
      <c r="AB546" s="244"/>
      <c r="AC546" s="235" t="s">
        <v>697</v>
      </c>
      <c r="AD546" s="235" t="s">
        <v>698</v>
      </c>
      <c r="AE546" s="238">
        <v>502300.0</v>
      </c>
      <c r="AF546" s="235" t="s">
        <v>631</v>
      </c>
      <c r="AG546" s="244"/>
      <c r="AH546" s="244"/>
      <c r="AI546" s="245"/>
      <c r="AJ546" s="245"/>
      <c r="AK546" s="245"/>
      <c r="AL546" s="245"/>
      <c r="AM546" s="244"/>
      <c r="AN546" s="244"/>
      <c r="AO546" s="238">
        <v>0.0</v>
      </c>
      <c r="AP546" s="238">
        <v>0.0</v>
      </c>
      <c r="AQ546" s="235" t="s">
        <v>632</v>
      </c>
      <c r="AR546" s="243">
        <v>3.71E11</v>
      </c>
      <c r="AS546" s="235" t="s">
        <v>2276</v>
      </c>
      <c r="AT546" s="235" t="s">
        <v>156</v>
      </c>
      <c r="AU546" s="235" t="s">
        <v>634</v>
      </c>
      <c r="AV546" s="246" t="s">
        <v>635</v>
      </c>
      <c r="AW546" s="242"/>
      <c r="AX546" s="242"/>
      <c r="AY546" s="231"/>
      <c r="AZ546" s="231"/>
      <c r="BA546" s="227"/>
      <c r="BB546" s="231"/>
      <c r="BC546" s="227"/>
      <c r="BD546" s="227"/>
      <c r="BE546" s="227"/>
      <c r="BF546" s="227"/>
    </row>
    <row r="547">
      <c r="A547" s="235" t="s">
        <v>4996</v>
      </c>
      <c r="C547" s="235" t="s">
        <v>4997</v>
      </c>
      <c r="D547" s="235" t="s">
        <v>4998</v>
      </c>
      <c r="E547" s="243">
        <v>6.56E13</v>
      </c>
      <c r="F547" s="245"/>
      <c r="G547" s="235" t="s">
        <v>4999</v>
      </c>
      <c r="H547" s="235" t="s">
        <v>5000</v>
      </c>
      <c r="I547" s="235" t="s">
        <v>5000</v>
      </c>
      <c r="J547" s="235" t="s">
        <v>5001</v>
      </c>
      <c r="K547" s="235" t="s">
        <v>5002</v>
      </c>
      <c r="N547" s="235" t="s">
        <v>566</v>
      </c>
      <c r="O547" s="235" t="s">
        <v>1834</v>
      </c>
      <c r="P547" s="238">
        <v>7.0</v>
      </c>
      <c r="Q547" s="235" t="s">
        <v>627</v>
      </c>
      <c r="R547" s="238">
        <v>2847.46</v>
      </c>
      <c r="S547" s="238">
        <v>497.14</v>
      </c>
      <c r="T547" s="238">
        <v>0.0</v>
      </c>
      <c r="U547" s="238">
        <v>0.0</v>
      </c>
      <c r="V547" s="238">
        <v>0.0</v>
      </c>
      <c r="W547" s="238">
        <v>0.0</v>
      </c>
      <c r="X547" s="235" t="s">
        <v>628</v>
      </c>
      <c r="Z547" s="244"/>
      <c r="AA547" s="244"/>
      <c r="AB547" s="244"/>
      <c r="AC547" s="235" t="s">
        <v>5003</v>
      </c>
      <c r="AD547" s="235" t="s">
        <v>645</v>
      </c>
      <c r="AE547" s="238">
        <v>683585.0</v>
      </c>
      <c r="AF547" s="235" t="s">
        <v>631</v>
      </c>
      <c r="AG547" s="244"/>
      <c r="AH547" s="244"/>
      <c r="AI547" s="245"/>
      <c r="AJ547" s="245"/>
      <c r="AK547" s="245"/>
      <c r="AL547" s="245"/>
      <c r="AM547" s="244"/>
      <c r="AN547" s="244"/>
      <c r="AO547" s="238">
        <v>-85.4</v>
      </c>
      <c r="AP547" s="238">
        <v>0.0</v>
      </c>
      <c r="AQ547" s="235" t="s">
        <v>632</v>
      </c>
      <c r="AR547" s="243">
        <v>3.71E11</v>
      </c>
      <c r="AS547" s="235" t="s">
        <v>3284</v>
      </c>
      <c r="AT547" s="235" t="s">
        <v>155</v>
      </c>
      <c r="AU547" s="235" t="s">
        <v>634</v>
      </c>
      <c r="AV547" s="246" t="s">
        <v>635</v>
      </c>
      <c r="AW547" s="242"/>
      <c r="AX547" s="242"/>
      <c r="AY547" s="231"/>
      <c r="AZ547" s="231"/>
      <c r="BA547" s="227"/>
      <c r="BB547" s="231"/>
      <c r="BC547" s="227"/>
      <c r="BD547" s="227"/>
      <c r="BE547" s="227"/>
      <c r="BF547" s="227"/>
    </row>
    <row r="548">
      <c r="A548" s="235" t="s">
        <v>4996</v>
      </c>
      <c r="C548" s="235" t="s">
        <v>4997</v>
      </c>
      <c r="D548" s="235" t="s">
        <v>5004</v>
      </c>
      <c r="E548" s="243">
        <v>6.56E13</v>
      </c>
      <c r="F548" s="245"/>
      <c r="G548" s="235" t="s">
        <v>4999</v>
      </c>
      <c r="H548" s="235" t="s">
        <v>5000</v>
      </c>
      <c r="I548" s="235" t="s">
        <v>5000</v>
      </c>
      <c r="J548" s="235" t="s">
        <v>5001</v>
      </c>
      <c r="K548" s="235" t="s">
        <v>5002</v>
      </c>
      <c r="N548" s="235" t="s">
        <v>566</v>
      </c>
      <c r="O548" s="235" t="s">
        <v>1834</v>
      </c>
      <c r="P548" s="238">
        <v>3.0</v>
      </c>
      <c r="Q548" s="235" t="s">
        <v>627</v>
      </c>
      <c r="R548" s="238">
        <v>1220.34</v>
      </c>
      <c r="S548" s="238">
        <v>213.06</v>
      </c>
      <c r="T548" s="238">
        <v>0.0</v>
      </c>
      <c r="U548" s="238">
        <v>0.0</v>
      </c>
      <c r="V548" s="238">
        <v>0.0</v>
      </c>
      <c r="W548" s="238">
        <v>0.0</v>
      </c>
      <c r="X548" s="235" t="s">
        <v>628</v>
      </c>
      <c r="Z548" s="244"/>
      <c r="AA548" s="244"/>
      <c r="AB548" s="244"/>
      <c r="AC548" s="235" t="s">
        <v>5003</v>
      </c>
      <c r="AD548" s="235" t="s">
        <v>645</v>
      </c>
      <c r="AE548" s="238">
        <v>683585.0</v>
      </c>
      <c r="AF548" s="235" t="s">
        <v>631</v>
      </c>
      <c r="AG548" s="244"/>
      <c r="AH548" s="244"/>
      <c r="AI548" s="245"/>
      <c r="AJ548" s="245"/>
      <c r="AK548" s="245"/>
      <c r="AL548" s="245"/>
      <c r="AM548" s="244"/>
      <c r="AN548" s="244"/>
      <c r="AO548" s="238">
        <v>-36.6</v>
      </c>
      <c r="AP548" s="238">
        <v>0.0</v>
      </c>
      <c r="AQ548" s="235" t="s">
        <v>632</v>
      </c>
      <c r="AR548" s="243">
        <v>3.71E11</v>
      </c>
      <c r="AS548" s="235" t="s">
        <v>3284</v>
      </c>
      <c r="AT548" s="235" t="s">
        <v>155</v>
      </c>
      <c r="AU548" s="235" t="s">
        <v>634</v>
      </c>
      <c r="AV548" s="246" t="s">
        <v>635</v>
      </c>
      <c r="AW548" s="242"/>
      <c r="AX548" s="242"/>
      <c r="AY548" s="231"/>
      <c r="AZ548" s="231"/>
      <c r="BA548" s="227"/>
      <c r="BB548" s="231"/>
      <c r="BC548" s="227"/>
      <c r="BD548" s="227"/>
      <c r="BE548" s="227"/>
      <c r="BF548" s="227"/>
    </row>
    <row r="549">
      <c r="A549" s="235" t="s">
        <v>5006</v>
      </c>
      <c r="C549" s="235" t="s">
        <v>5007</v>
      </c>
      <c r="D549" s="235" t="s">
        <v>5008</v>
      </c>
      <c r="E549" s="243">
        <v>6.56E13</v>
      </c>
      <c r="F549" s="245"/>
      <c r="G549" s="235" t="s">
        <v>5009</v>
      </c>
      <c r="H549" s="235" t="s">
        <v>5010</v>
      </c>
      <c r="I549" s="235" t="s">
        <v>5010</v>
      </c>
      <c r="J549" s="235" t="s">
        <v>5011</v>
      </c>
      <c r="K549" s="235" t="s">
        <v>5012</v>
      </c>
      <c r="N549" s="235" t="s">
        <v>144</v>
      </c>
      <c r="O549" s="235" t="s">
        <v>232</v>
      </c>
      <c r="P549" s="238">
        <v>1.0</v>
      </c>
      <c r="Q549" s="235" t="s">
        <v>627</v>
      </c>
      <c r="R549" s="238">
        <v>665.72</v>
      </c>
      <c r="S549" s="238">
        <v>33.28</v>
      </c>
      <c r="T549" s="238">
        <v>0.0</v>
      </c>
      <c r="U549" s="238">
        <v>0.0</v>
      </c>
      <c r="V549" s="238">
        <v>0.0</v>
      </c>
      <c r="W549" s="238">
        <v>0.0</v>
      </c>
      <c r="X549" s="235" t="s">
        <v>628</v>
      </c>
      <c r="Z549" s="244"/>
      <c r="AA549" s="244"/>
      <c r="AB549" s="244"/>
      <c r="AC549" s="235" t="s">
        <v>2647</v>
      </c>
      <c r="AD549" s="235" t="s">
        <v>845</v>
      </c>
      <c r="AE549" s="238">
        <v>400607.0</v>
      </c>
      <c r="AF549" s="235" t="s">
        <v>631</v>
      </c>
      <c r="AG549" s="244"/>
      <c r="AH549" s="244"/>
      <c r="AI549" s="245"/>
      <c r="AJ549" s="245"/>
      <c r="AK549" s="245"/>
      <c r="AL549" s="245"/>
      <c r="AM549" s="244"/>
      <c r="AN549" s="244"/>
      <c r="AO549" s="238">
        <v>0.0</v>
      </c>
      <c r="AP549" s="238">
        <v>0.0</v>
      </c>
      <c r="AQ549" s="235" t="s">
        <v>632</v>
      </c>
      <c r="AR549" s="243">
        <v>3.71E11</v>
      </c>
      <c r="AS549" s="235" t="s">
        <v>3284</v>
      </c>
      <c r="AT549" s="235" t="s">
        <v>16</v>
      </c>
      <c r="AU549" s="235" t="s">
        <v>634</v>
      </c>
      <c r="AV549" s="246" t="s">
        <v>635</v>
      </c>
      <c r="AW549" s="242"/>
      <c r="AX549" s="242"/>
      <c r="AY549" s="231"/>
      <c r="AZ549" s="231"/>
      <c r="BA549" s="227"/>
      <c r="BB549" s="231"/>
      <c r="BC549" s="227"/>
      <c r="BD549" s="227"/>
      <c r="BE549" s="227"/>
      <c r="BF549" s="227"/>
    </row>
    <row r="550">
      <c r="A550" s="235" t="s">
        <v>5013</v>
      </c>
      <c r="C550" s="235" t="s">
        <v>5014</v>
      </c>
      <c r="D550" s="235" t="s">
        <v>5015</v>
      </c>
      <c r="E550" s="243">
        <v>6.56E13</v>
      </c>
      <c r="F550" s="245"/>
      <c r="G550" s="235" t="s">
        <v>5016</v>
      </c>
      <c r="H550" s="235" t="s">
        <v>5017</v>
      </c>
      <c r="I550" s="235" t="s">
        <v>5017</v>
      </c>
      <c r="J550" s="235" t="s">
        <v>5018</v>
      </c>
      <c r="K550" s="235" t="s">
        <v>5019</v>
      </c>
      <c r="N550" s="235" t="s">
        <v>104</v>
      </c>
      <c r="O550" s="235" t="s">
        <v>401</v>
      </c>
      <c r="P550" s="238">
        <v>1.0</v>
      </c>
      <c r="Q550" s="235" t="s">
        <v>627</v>
      </c>
      <c r="R550" s="238">
        <v>246.67</v>
      </c>
      <c r="S550" s="238">
        <v>12.33</v>
      </c>
      <c r="T550" s="238">
        <v>0.0</v>
      </c>
      <c r="U550" s="238">
        <v>0.0</v>
      </c>
      <c r="V550" s="238">
        <v>0.0</v>
      </c>
      <c r="W550" s="238">
        <v>0.0</v>
      </c>
      <c r="X550" s="235" t="s">
        <v>628</v>
      </c>
      <c r="Z550" s="244"/>
      <c r="AA550" s="244"/>
      <c r="AB550" s="244"/>
      <c r="AC550" s="235" t="s">
        <v>785</v>
      </c>
      <c r="AD550" s="235" t="s">
        <v>630</v>
      </c>
      <c r="AE550" s="238">
        <v>201014.0</v>
      </c>
      <c r="AF550" s="235" t="s">
        <v>631</v>
      </c>
      <c r="AG550" s="244"/>
      <c r="AH550" s="244"/>
      <c r="AI550" s="245"/>
      <c r="AJ550" s="245"/>
      <c r="AK550" s="245"/>
      <c r="AL550" s="245"/>
      <c r="AM550" s="244"/>
      <c r="AN550" s="244"/>
      <c r="AO550" s="238">
        <v>0.0</v>
      </c>
      <c r="AP550" s="238">
        <v>0.0</v>
      </c>
      <c r="AQ550" s="235" t="s">
        <v>632</v>
      </c>
      <c r="AR550" s="243">
        <v>1.68E11</v>
      </c>
      <c r="AS550" s="235" t="s">
        <v>4697</v>
      </c>
      <c r="AT550" s="235" t="s">
        <v>14</v>
      </c>
      <c r="AU550" s="235" t="s">
        <v>634</v>
      </c>
      <c r="AV550" s="246" t="s">
        <v>635</v>
      </c>
      <c r="AW550" s="242"/>
      <c r="AX550" s="242"/>
      <c r="AY550" s="231"/>
      <c r="AZ550" s="231"/>
      <c r="BA550" s="227"/>
      <c r="BB550" s="231"/>
      <c r="BC550" s="227"/>
      <c r="BD550" s="227"/>
      <c r="BE550" s="227"/>
      <c r="BF550" s="227"/>
    </row>
    <row r="551">
      <c r="A551" s="235" t="s">
        <v>5020</v>
      </c>
      <c r="C551" s="235" t="s">
        <v>5021</v>
      </c>
      <c r="D551" s="235" t="s">
        <v>5022</v>
      </c>
      <c r="E551" s="243">
        <v>6.56E13</v>
      </c>
      <c r="F551" s="245"/>
      <c r="G551" s="235" t="s">
        <v>5023</v>
      </c>
      <c r="H551" s="235" t="s">
        <v>5024</v>
      </c>
      <c r="I551" s="235" t="s">
        <v>5024</v>
      </c>
      <c r="J551" s="235" t="s">
        <v>5025</v>
      </c>
      <c r="K551" s="235" t="s">
        <v>5026</v>
      </c>
      <c r="N551" s="235" t="s">
        <v>541</v>
      </c>
      <c r="O551" s="235" t="s">
        <v>664</v>
      </c>
      <c r="P551" s="238">
        <v>1.0</v>
      </c>
      <c r="Q551" s="235" t="s">
        <v>627</v>
      </c>
      <c r="R551" s="238">
        <v>668.64</v>
      </c>
      <c r="S551" s="238">
        <v>120.36</v>
      </c>
      <c r="T551" s="238">
        <v>33.9</v>
      </c>
      <c r="U551" s="238">
        <v>6.1</v>
      </c>
      <c r="V551" s="238">
        <v>0.0</v>
      </c>
      <c r="W551" s="238">
        <v>0.0</v>
      </c>
      <c r="X551" s="235" t="s">
        <v>628</v>
      </c>
      <c r="Z551" s="244"/>
      <c r="AA551" s="244"/>
      <c r="AB551" s="244"/>
      <c r="AC551" s="235" t="s">
        <v>5027</v>
      </c>
      <c r="AD551" s="235" t="s">
        <v>1077</v>
      </c>
      <c r="AE551" s="238">
        <v>362266.0</v>
      </c>
      <c r="AF551" s="235" t="s">
        <v>631</v>
      </c>
      <c r="AG551" s="244"/>
      <c r="AH551" s="244"/>
      <c r="AI551" s="245"/>
      <c r="AJ551" s="245"/>
      <c r="AK551" s="245"/>
      <c r="AL551" s="245"/>
      <c r="AM551" s="244"/>
      <c r="AN551" s="244"/>
      <c r="AO551" s="238">
        <v>0.0</v>
      </c>
      <c r="AP551" s="238">
        <v>-33.9</v>
      </c>
      <c r="AQ551" s="235" t="s">
        <v>632</v>
      </c>
      <c r="AR551" s="243">
        <v>3.71E11</v>
      </c>
      <c r="AS551" s="235" t="s">
        <v>2276</v>
      </c>
      <c r="AT551" s="235" t="s">
        <v>5</v>
      </c>
      <c r="AU551" s="235" t="s">
        <v>634</v>
      </c>
      <c r="AV551" s="246" t="s">
        <v>635</v>
      </c>
      <c r="AW551" s="242"/>
      <c r="AX551" s="242"/>
      <c r="AY551" s="231"/>
      <c r="AZ551" s="231"/>
      <c r="BA551" s="227"/>
      <c r="BB551" s="231"/>
      <c r="BC551" s="227"/>
      <c r="BD551" s="227"/>
      <c r="BE551" s="227"/>
      <c r="BF551" s="227"/>
    </row>
    <row r="552">
      <c r="A552" s="235" t="s">
        <v>5028</v>
      </c>
      <c r="C552" s="235" t="s">
        <v>5029</v>
      </c>
      <c r="D552" s="235" t="s">
        <v>5030</v>
      </c>
      <c r="E552" s="243">
        <v>6.56E13</v>
      </c>
      <c r="F552" s="245"/>
      <c r="G552" s="235" t="s">
        <v>5031</v>
      </c>
      <c r="H552" s="235" t="s">
        <v>5032</v>
      </c>
      <c r="I552" s="235" t="s">
        <v>5032</v>
      </c>
      <c r="J552" s="235" t="s">
        <v>5033</v>
      </c>
      <c r="K552" s="235" t="s">
        <v>5034</v>
      </c>
      <c r="N552" s="235" t="s">
        <v>138</v>
      </c>
      <c r="O552" s="235" t="s">
        <v>675</v>
      </c>
      <c r="P552" s="238">
        <v>1.0</v>
      </c>
      <c r="Q552" s="235" t="s">
        <v>627</v>
      </c>
      <c r="R552" s="238">
        <v>246.67</v>
      </c>
      <c r="S552" s="238">
        <v>12.33</v>
      </c>
      <c r="T552" s="238">
        <v>0.0</v>
      </c>
      <c r="U552" s="238">
        <v>0.0</v>
      </c>
      <c r="V552" s="238">
        <v>0.0</v>
      </c>
      <c r="W552" s="238">
        <v>0.0</v>
      </c>
      <c r="X552" s="235" t="s">
        <v>628</v>
      </c>
      <c r="Z552" s="244"/>
      <c r="AA552" s="244"/>
      <c r="AB552" s="244"/>
      <c r="AC552" s="235" t="s">
        <v>5035</v>
      </c>
      <c r="AD552" s="235" t="s">
        <v>881</v>
      </c>
      <c r="AE552" s="238">
        <v>760001.0</v>
      </c>
      <c r="AF552" s="235" t="s">
        <v>631</v>
      </c>
      <c r="AG552" s="244"/>
      <c r="AH552" s="244"/>
      <c r="AI552" s="245"/>
      <c r="AJ552" s="245"/>
      <c r="AK552" s="245"/>
      <c r="AL552" s="245"/>
      <c r="AM552" s="244"/>
      <c r="AN552" s="244"/>
      <c r="AO552" s="238">
        <v>0.0</v>
      </c>
      <c r="AP552" s="238">
        <v>0.0</v>
      </c>
      <c r="AQ552" s="235" t="s">
        <v>632</v>
      </c>
      <c r="AR552" s="243">
        <v>3.71E11</v>
      </c>
      <c r="AS552" s="235" t="s">
        <v>667</v>
      </c>
      <c r="AT552" s="235" t="s">
        <v>9</v>
      </c>
      <c r="AU552" s="235" t="s">
        <v>634</v>
      </c>
      <c r="AV552" s="246" t="s">
        <v>635</v>
      </c>
      <c r="AW552" s="242"/>
      <c r="AX552" s="242"/>
      <c r="AY552" s="231"/>
      <c r="AZ552" s="231"/>
      <c r="BA552" s="227"/>
      <c r="BB552" s="231"/>
      <c r="BC552" s="227"/>
      <c r="BD552" s="227"/>
      <c r="BE552" s="227"/>
      <c r="BF552" s="227"/>
    </row>
    <row r="553">
      <c r="A553" s="235" t="s">
        <v>5036</v>
      </c>
      <c r="C553" s="235" t="s">
        <v>5037</v>
      </c>
      <c r="D553" s="235" t="s">
        <v>5038</v>
      </c>
      <c r="E553" s="243">
        <v>6.54E13</v>
      </c>
      <c r="F553" s="245"/>
      <c r="G553" s="235" t="s">
        <v>5039</v>
      </c>
      <c r="H553" s="235" t="s">
        <v>5040</v>
      </c>
      <c r="I553" s="235" t="s">
        <v>5040</v>
      </c>
      <c r="J553" s="235" t="s">
        <v>5041</v>
      </c>
      <c r="K553" s="235" t="s">
        <v>5042</v>
      </c>
      <c r="N553" s="235" t="s">
        <v>54</v>
      </c>
      <c r="O553" s="235" t="s">
        <v>294</v>
      </c>
      <c r="P553" s="238">
        <v>1.0</v>
      </c>
      <c r="Q553" s="235" t="s">
        <v>627</v>
      </c>
      <c r="R553" s="238">
        <v>242.86</v>
      </c>
      <c r="S553" s="238">
        <v>12.14</v>
      </c>
      <c r="T553" s="238">
        <v>38.1</v>
      </c>
      <c r="U553" s="238">
        <v>1.9</v>
      </c>
      <c r="V553" s="238">
        <v>0.0</v>
      </c>
      <c r="W553" s="238">
        <v>0.0</v>
      </c>
      <c r="X553" s="235" t="s">
        <v>628</v>
      </c>
      <c r="Z553" s="244"/>
      <c r="AA553" s="244"/>
      <c r="AB553" s="244"/>
      <c r="AC553" s="235" t="s">
        <v>844</v>
      </c>
      <c r="AD553" s="235" t="s">
        <v>845</v>
      </c>
      <c r="AE553" s="238">
        <v>411001.0</v>
      </c>
      <c r="AF553" s="235" t="s">
        <v>631</v>
      </c>
      <c r="AG553" s="244"/>
      <c r="AH553" s="244"/>
      <c r="AI553" s="245"/>
      <c r="AJ553" s="245"/>
      <c r="AK553" s="245"/>
      <c r="AL553" s="245"/>
      <c r="AM553" s="244"/>
      <c r="AN553" s="244"/>
      <c r="AO553" s="238">
        <v>0.0</v>
      </c>
      <c r="AP553" s="238">
        <v>-38.1</v>
      </c>
      <c r="AQ553" s="235" t="s">
        <v>632</v>
      </c>
      <c r="AR553" s="243">
        <v>3.71E11</v>
      </c>
      <c r="AS553" s="235" t="s">
        <v>667</v>
      </c>
      <c r="AT553" s="235" t="s">
        <v>13</v>
      </c>
      <c r="AU553" s="235" t="s">
        <v>634</v>
      </c>
      <c r="AV553" s="246" t="s">
        <v>635</v>
      </c>
      <c r="AW553" s="242"/>
      <c r="AX553" s="242"/>
      <c r="AY553" s="231"/>
      <c r="AZ553" s="231"/>
      <c r="BA553" s="227"/>
      <c r="BB553" s="231"/>
      <c r="BC553" s="227"/>
      <c r="BD553" s="227"/>
      <c r="BE553" s="227"/>
      <c r="BF553" s="227"/>
    </row>
    <row r="554">
      <c r="A554" s="235" t="s">
        <v>5043</v>
      </c>
      <c r="C554" s="235" t="s">
        <v>5044</v>
      </c>
      <c r="D554" s="235" t="s">
        <v>5045</v>
      </c>
      <c r="E554" s="243">
        <v>6.56E13</v>
      </c>
      <c r="F554" s="245"/>
      <c r="G554" s="235" t="s">
        <v>5047</v>
      </c>
      <c r="H554" s="235" t="s">
        <v>5048</v>
      </c>
      <c r="I554" s="235" t="s">
        <v>5049</v>
      </c>
      <c r="J554" s="235" t="s">
        <v>5050</v>
      </c>
      <c r="K554" s="235" t="s">
        <v>5051</v>
      </c>
      <c r="N554" s="235" t="s">
        <v>127</v>
      </c>
      <c r="O554" s="235" t="s">
        <v>794</v>
      </c>
      <c r="P554" s="238">
        <v>1.0</v>
      </c>
      <c r="Q554" s="235" t="s">
        <v>627</v>
      </c>
      <c r="R554" s="238">
        <v>246.67</v>
      </c>
      <c r="S554" s="238">
        <v>12.33</v>
      </c>
      <c r="T554" s="238">
        <v>38.1</v>
      </c>
      <c r="U554" s="238">
        <v>1.9</v>
      </c>
      <c r="V554" s="238">
        <v>0.0</v>
      </c>
      <c r="W554" s="238">
        <v>0.0</v>
      </c>
      <c r="X554" s="235" t="s">
        <v>628</v>
      </c>
      <c r="Z554" s="244"/>
      <c r="AA554" s="244"/>
      <c r="AB554" s="244"/>
      <c r="AC554" s="235" t="s">
        <v>749</v>
      </c>
      <c r="AD554" s="235" t="s">
        <v>630</v>
      </c>
      <c r="AE554" s="238">
        <v>201301.0</v>
      </c>
      <c r="AF554" s="235" t="s">
        <v>631</v>
      </c>
      <c r="AG554" s="244"/>
      <c r="AH554" s="244"/>
      <c r="AI554" s="245"/>
      <c r="AJ554" s="245"/>
      <c r="AK554" s="245"/>
      <c r="AL554" s="245"/>
      <c r="AM554" s="244"/>
      <c r="AN554" s="244"/>
      <c r="AO554" s="238">
        <v>0.0</v>
      </c>
      <c r="AP554" s="238">
        <v>-38.1</v>
      </c>
      <c r="AQ554" s="235" t="s">
        <v>632</v>
      </c>
      <c r="AR554" s="243">
        <v>3.71E11</v>
      </c>
      <c r="AS554" s="235" t="s">
        <v>3284</v>
      </c>
      <c r="AT554" s="235" t="s">
        <v>13</v>
      </c>
      <c r="AU554" s="235" t="s">
        <v>634</v>
      </c>
      <c r="AV554" s="246" t="s">
        <v>635</v>
      </c>
      <c r="AW554" s="242"/>
      <c r="AX554" s="242"/>
      <c r="AY554" s="231"/>
      <c r="AZ554" s="231"/>
      <c r="BA554" s="227"/>
      <c r="BB554" s="231"/>
      <c r="BC554" s="227"/>
      <c r="BD554" s="227"/>
      <c r="BE554" s="227"/>
      <c r="BF554" s="227"/>
    </row>
    <row r="555">
      <c r="A555" s="235" t="s">
        <v>5052</v>
      </c>
      <c r="C555" s="235" t="s">
        <v>5053</v>
      </c>
      <c r="D555" s="235" t="s">
        <v>5054</v>
      </c>
      <c r="E555" s="243">
        <v>6.56E13</v>
      </c>
      <c r="F555" s="245"/>
      <c r="G555" s="235" t="s">
        <v>5055</v>
      </c>
      <c r="H555" s="235" t="s">
        <v>5056</v>
      </c>
      <c r="I555" s="235" t="s">
        <v>5057</v>
      </c>
      <c r="J555" s="235" t="s">
        <v>5058</v>
      </c>
      <c r="K555" s="235" t="s">
        <v>5059</v>
      </c>
      <c r="N555" s="235" t="s">
        <v>128</v>
      </c>
      <c r="O555" s="235" t="s">
        <v>2710</v>
      </c>
      <c r="P555" s="238">
        <v>1.0</v>
      </c>
      <c r="Q555" s="235" t="s">
        <v>627</v>
      </c>
      <c r="R555" s="238">
        <v>246.67</v>
      </c>
      <c r="S555" s="238">
        <v>12.33</v>
      </c>
      <c r="T555" s="238">
        <v>38.1</v>
      </c>
      <c r="U555" s="238">
        <v>1.9</v>
      </c>
      <c r="V555" s="238">
        <v>0.0</v>
      </c>
      <c r="W555" s="238">
        <v>0.0</v>
      </c>
      <c r="X555" s="235" t="s">
        <v>628</v>
      </c>
      <c r="Z555" s="244"/>
      <c r="AA555" s="244"/>
      <c r="AB555" s="244"/>
      <c r="AC555" s="235" t="s">
        <v>697</v>
      </c>
      <c r="AD555" s="235" t="s">
        <v>698</v>
      </c>
      <c r="AE555" s="238">
        <v>500089.0</v>
      </c>
      <c r="AF555" s="235" t="s">
        <v>631</v>
      </c>
      <c r="AG555" s="244"/>
      <c r="AH555" s="244"/>
      <c r="AI555" s="245"/>
      <c r="AJ555" s="245"/>
      <c r="AK555" s="245"/>
      <c r="AL555" s="245"/>
      <c r="AM555" s="244"/>
      <c r="AN555" s="244"/>
      <c r="AO555" s="238">
        <v>0.0</v>
      </c>
      <c r="AP555" s="238">
        <v>-38.1</v>
      </c>
      <c r="AQ555" s="235" t="s">
        <v>632</v>
      </c>
      <c r="AR555" s="243">
        <v>3.71E11</v>
      </c>
      <c r="AS555" s="235" t="s">
        <v>2276</v>
      </c>
      <c r="AT555" s="235" t="s">
        <v>156</v>
      </c>
      <c r="AU555" s="235" t="s">
        <v>634</v>
      </c>
      <c r="AV555" s="246" t="s">
        <v>635</v>
      </c>
      <c r="AW555" s="242"/>
      <c r="AX555" s="242"/>
      <c r="AY555" s="231"/>
      <c r="AZ555" s="231"/>
      <c r="BA555" s="227"/>
      <c r="BB555" s="231"/>
      <c r="BC555" s="227"/>
      <c r="BD555" s="227"/>
      <c r="BE555" s="227"/>
      <c r="BF555" s="227"/>
    </row>
    <row r="556">
      <c r="A556" s="235" t="s">
        <v>5060</v>
      </c>
      <c r="C556" s="235" t="s">
        <v>5061</v>
      </c>
      <c r="D556" s="235" t="s">
        <v>5063</v>
      </c>
      <c r="E556" s="243">
        <v>6.56E13</v>
      </c>
      <c r="F556" s="245"/>
      <c r="G556" s="235" t="s">
        <v>5064</v>
      </c>
      <c r="H556" s="235" t="s">
        <v>5065</v>
      </c>
      <c r="I556" s="235" t="s">
        <v>5065</v>
      </c>
      <c r="J556" s="235" t="s">
        <v>5066</v>
      </c>
      <c r="K556" s="235" t="s">
        <v>5067</v>
      </c>
      <c r="N556" s="235" t="s">
        <v>111</v>
      </c>
      <c r="O556" s="235" t="s">
        <v>464</v>
      </c>
      <c r="P556" s="238">
        <v>1.0</v>
      </c>
      <c r="Q556" s="235" t="s">
        <v>627</v>
      </c>
      <c r="R556" s="238">
        <v>246.67</v>
      </c>
      <c r="S556" s="238">
        <v>12.33</v>
      </c>
      <c r="T556" s="238">
        <v>0.0</v>
      </c>
      <c r="U556" s="238">
        <v>0.0</v>
      </c>
      <c r="V556" s="238">
        <v>0.0</v>
      </c>
      <c r="W556" s="238">
        <v>0.0</v>
      </c>
      <c r="X556" s="235" t="s">
        <v>628</v>
      </c>
      <c r="Z556" s="244"/>
      <c r="AA556" s="244"/>
      <c r="AB556" s="244"/>
      <c r="AC556" s="235" t="s">
        <v>687</v>
      </c>
      <c r="AD556" s="235" t="s">
        <v>666</v>
      </c>
      <c r="AE556" s="238">
        <v>600095.0</v>
      </c>
      <c r="AF556" s="235" t="s">
        <v>631</v>
      </c>
      <c r="AG556" s="244"/>
      <c r="AH556" s="244"/>
      <c r="AI556" s="245"/>
      <c r="AJ556" s="245"/>
      <c r="AK556" s="245"/>
      <c r="AL556" s="245"/>
      <c r="AM556" s="244"/>
      <c r="AN556" s="244"/>
      <c r="AO556" s="238">
        <v>0.0</v>
      </c>
      <c r="AP556" s="238">
        <v>0.0</v>
      </c>
      <c r="AQ556" s="235" t="s">
        <v>632</v>
      </c>
      <c r="AR556" s="243">
        <v>2.02E11</v>
      </c>
      <c r="AS556" s="235" t="s">
        <v>3284</v>
      </c>
      <c r="AT556" s="235" t="s">
        <v>533</v>
      </c>
      <c r="AU556" s="235" t="s">
        <v>634</v>
      </c>
      <c r="AV556" s="246" t="s">
        <v>635</v>
      </c>
      <c r="AW556" s="242"/>
      <c r="AX556" s="242"/>
      <c r="AY556" s="231"/>
      <c r="AZ556" s="231"/>
      <c r="BA556" s="227"/>
      <c r="BB556" s="231"/>
      <c r="BC556" s="227"/>
      <c r="BD556" s="227"/>
      <c r="BE556" s="227"/>
      <c r="BF556" s="227"/>
    </row>
    <row r="557">
      <c r="A557" s="235" t="s">
        <v>5070</v>
      </c>
      <c r="C557" s="235" t="s">
        <v>5071</v>
      </c>
      <c r="D557" s="235" t="s">
        <v>5072</v>
      </c>
      <c r="E557" s="243">
        <v>6.56E13</v>
      </c>
      <c r="F557" s="245"/>
      <c r="G557" s="235" t="s">
        <v>5073</v>
      </c>
      <c r="H557" s="235" t="s">
        <v>5074</v>
      </c>
      <c r="I557" s="235" t="s">
        <v>5074</v>
      </c>
      <c r="J557" s="235" t="s">
        <v>5075</v>
      </c>
      <c r="K557" s="235" t="s">
        <v>5076</v>
      </c>
      <c r="N557" s="235" t="s">
        <v>85</v>
      </c>
      <c r="O557" s="235" t="s">
        <v>872</v>
      </c>
      <c r="P557" s="238">
        <v>1.0</v>
      </c>
      <c r="Q557" s="235" t="s">
        <v>627</v>
      </c>
      <c r="R557" s="238">
        <v>246.67</v>
      </c>
      <c r="S557" s="238">
        <v>12.33</v>
      </c>
      <c r="T557" s="238">
        <v>38.1</v>
      </c>
      <c r="U557" s="238">
        <v>1.9</v>
      </c>
      <c r="V557" s="238">
        <v>0.0</v>
      </c>
      <c r="W557" s="238">
        <v>0.0</v>
      </c>
      <c r="X557" s="235" t="s">
        <v>628</v>
      </c>
      <c r="Z557" s="244"/>
      <c r="AA557" s="244"/>
      <c r="AB557" s="244"/>
      <c r="AC557" s="235" t="s">
        <v>697</v>
      </c>
      <c r="AD557" s="235" t="s">
        <v>698</v>
      </c>
      <c r="AE557" s="238">
        <v>500010.0</v>
      </c>
      <c r="AF557" s="235" t="s">
        <v>631</v>
      </c>
      <c r="AG557" s="244"/>
      <c r="AH557" s="244"/>
      <c r="AI557" s="245"/>
      <c r="AJ557" s="245"/>
      <c r="AK557" s="245"/>
      <c r="AL557" s="245"/>
      <c r="AM557" s="244"/>
      <c r="AN557" s="244"/>
      <c r="AO557" s="238">
        <v>0.0</v>
      </c>
      <c r="AP557" s="238">
        <v>-38.1</v>
      </c>
      <c r="AQ557" s="235" t="s">
        <v>632</v>
      </c>
      <c r="AR557" s="243">
        <v>1.68E11</v>
      </c>
      <c r="AS557" s="235" t="s">
        <v>3284</v>
      </c>
      <c r="AT557" s="235" t="s">
        <v>9</v>
      </c>
      <c r="AU557" s="235" t="s">
        <v>634</v>
      </c>
      <c r="AV557" s="246" t="s">
        <v>635</v>
      </c>
      <c r="AW557" s="242"/>
      <c r="AX557" s="242"/>
      <c r="AY557" s="231"/>
      <c r="AZ557" s="231"/>
      <c r="BA557" s="227"/>
      <c r="BB557" s="231"/>
      <c r="BC557" s="227"/>
      <c r="BD557" s="227"/>
      <c r="BE557" s="227"/>
      <c r="BF557" s="227"/>
    </row>
    <row r="558">
      <c r="A558" s="235" t="s">
        <v>5077</v>
      </c>
      <c r="C558" s="235" t="s">
        <v>5078</v>
      </c>
      <c r="D558" s="235" t="s">
        <v>5079</v>
      </c>
      <c r="E558" s="243">
        <v>6.56E13</v>
      </c>
      <c r="F558" s="245"/>
      <c r="G558" s="235" t="s">
        <v>5080</v>
      </c>
      <c r="H558" s="235" t="s">
        <v>5081</v>
      </c>
      <c r="I558" s="235" t="s">
        <v>5081</v>
      </c>
      <c r="J558" s="235" t="s">
        <v>5082</v>
      </c>
      <c r="K558" s="235" t="s">
        <v>5083</v>
      </c>
      <c r="N558" s="235" t="s">
        <v>127</v>
      </c>
      <c r="O558" s="235" t="s">
        <v>794</v>
      </c>
      <c r="P558" s="238">
        <v>1.0</v>
      </c>
      <c r="Q558" s="235" t="s">
        <v>627</v>
      </c>
      <c r="R558" s="238">
        <v>246.66</v>
      </c>
      <c r="S558" s="238">
        <v>12.34</v>
      </c>
      <c r="T558" s="238">
        <v>38.1</v>
      </c>
      <c r="U558" s="238">
        <v>1.9</v>
      </c>
      <c r="V558" s="238">
        <v>0.0</v>
      </c>
      <c r="W558" s="238">
        <v>0.0</v>
      </c>
      <c r="X558" s="235" t="s">
        <v>628</v>
      </c>
      <c r="Z558" s="244"/>
      <c r="AA558" s="244"/>
      <c r="AB558" s="244"/>
      <c r="AC558" s="235" t="s">
        <v>1680</v>
      </c>
      <c r="AD558" s="235" t="s">
        <v>928</v>
      </c>
      <c r="AE558" s="238">
        <v>132103.0</v>
      </c>
      <c r="AF558" s="235" t="s">
        <v>631</v>
      </c>
      <c r="AG558" s="244"/>
      <c r="AH558" s="244"/>
      <c r="AI558" s="245"/>
      <c r="AJ558" s="245"/>
      <c r="AK558" s="245"/>
      <c r="AL558" s="245"/>
      <c r="AM558" s="244"/>
      <c r="AN558" s="244"/>
      <c r="AO558" s="238">
        <v>0.0</v>
      </c>
      <c r="AP558" s="238">
        <v>-38.1</v>
      </c>
      <c r="AQ558" s="235" t="s">
        <v>632</v>
      </c>
      <c r="AR558" s="243">
        <v>3.71E11</v>
      </c>
      <c r="AS558" s="235" t="s">
        <v>3284</v>
      </c>
      <c r="AT558" s="235" t="s">
        <v>14</v>
      </c>
      <c r="AU558" s="235" t="s">
        <v>634</v>
      </c>
      <c r="AV558" s="246" t="s">
        <v>635</v>
      </c>
      <c r="AW558" s="242"/>
      <c r="AX558" s="242"/>
      <c r="AY558" s="231"/>
      <c r="AZ558" s="231"/>
      <c r="BA558" s="227"/>
      <c r="BB558" s="231"/>
      <c r="BC558" s="227"/>
      <c r="BD558" s="227"/>
      <c r="BE558" s="227"/>
      <c r="BF558" s="227"/>
    </row>
    <row r="559">
      <c r="A559" s="235" t="s">
        <v>5084</v>
      </c>
      <c r="C559" s="235" t="s">
        <v>5085</v>
      </c>
      <c r="D559" s="235" t="s">
        <v>5086</v>
      </c>
      <c r="E559" s="243">
        <v>6.56E13</v>
      </c>
      <c r="F559" s="245"/>
      <c r="G559" s="235" t="s">
        <v>5087</v>
      </c>
      <c r="H559" s="235" t="s">
        <v>5088</v>
      </c>
      <c r="I559" s="235" t="s">
        <v>5088</v>
      </c>
      <c r="J559" s="235" t="s">
        <v>5089</v>
      </c>
      <c r="K559" s="235" t="s">
        <v>5090</v>
      </c>
      <c r="N559" s="235" t="s">
        <v>92</v>
      </c>
      <c r="O559" s="235" t="s">
        <v>248</v>
      </c>
      <c r="P559" s="238">
        <v>1.0</v>
      </c>
      <c r="Q559" s="235" t="s">
        <v>627</v>
      </c>
      <c r="R559" s="238">
        <v>246.66</v>
      </c>
      <c r="S559" s="238">
        <v>12.34</v>
      </c>
      <c r="T559" s="238">
        <v>0.0</v>
      </c>
      <c r="U559" s="238">
        <v>0.0</v>
      </c>
      <c r="V559" s="238">
        <v>0.0</v>
      </c>
      <c r="W559" s="238">
        <v>0.0</v>
      </c>
      <c r="X559" s="235" t="s">
        <v>628</v>
      </c>
      <c r="Z559" s="244"/>
      <c r="AA559" s="244"/>
      <c r="AB559" s="244"/>
      <c r="AC559" s="235" t="s">
        <v>5091</v>
      </c>
      <c r="AD559" s="235" t="s">
        <v>845</v>
      </c>
      <c r="AE559" s="238">
        <v>440022.0</v>
      </c>
      <c r="AF559" s="235" t="s">
        <v>631</v>
      </c>
      <c r="AG559" s="244"/>
      <c r="AH559" s="244"/>
      <c r="AI559" s="245"/>
      <c r="AJ559" s="245"/>
      <c r="AK559" s="245"/>
      <c r="AL559" s="245"/>
      <c r="AM559" s="244"/>
      <c r="AN559" s="244"/>
      <c r="AO559" s="238">
        <v>0.0</v>
      </c>
      <c r="AP559" s="238">
        <v>0.0</v>
      </c>
      <c r="AQ559" s="235" t="s">
        <v>632</v>
      </c>
      <c r="AR559" s="243">
        <v>1.68E11</v>
      </c>
      <c r="AS559" s="235" t="s">
        <v>3284</v>
      </c>
      <c r="AT559" s="235" t="s">
        <v>17</v>
      </c>
      <c r="AU559" s="235" t="s">
        <v>634</v>
      </c>
      <c r="AV559" s="246" t="s">
        <v>635</v>
      </c>
      <c r="AW559" s="242"/>
      <c r="AX559" s="242"/>
      <c r="AY559" s="231"/>
      <c r="AZ559" s="231"/>
      <c r="BA559" s="227"/>
      <c r="BB559" s="231"/>
      <c r="BC559" s="227"/>
      <c r="BD559" s="227"/>
      <c r="BE559" s="227"/>
      <c r="BF559" s="227"/>
    </row>
    <row r="560">
      <c r="A560" s="235" t="s">
        <v>5092</v>
      </c>
      <c r="C560" s="235" t="s">
        <v>5093</v>
      </c>
      <c r="D560" s="235" t="s">
        <v>5094</v>
      </c>
      <c r="E560" s="243">
        <v>6.56E13</v>
      </c>
      <c r="F560" s="245"/>
      <c r="G560" s="235" t="s">
        <v>5095</v>
      </c>
      <c r="H560" s="235" t="s">
        <v>5096</v>
      </c>
      <c r="I560" s="235" t="s">
        <v>5097</v>
      </c>
      <c r="J560" s="235" t="s">
        <v>5098</v>
      </c>
      <c r="K560" s="235" t="s">
        <v>5099</v>
      </c>
      <c r="N560" s="235" t="s">
        <v>2964</v>
      </c>
      <c r="O560" s="235" t="s">
        <v>2965</v>
      </c>
      <c r="P560" s="238">
        <v>1.0</v>
      </c>
      <c r="Q560" s="235" t="s">
        <v>627</v>
      </c>
      <c r="R560" s="238">
        <v>246.67</v>
      </c>
      <c r="S560" s="238">
        <v>12.33</v>
      </c>
      <c r="T560" s="238">
        <v>0.0</v>
      </c>
      <c r="U560" s="238">
        <v>0.0</v>
      </c>
      <c r="V560" s="238">
        <v>0.0</v>
      </c>
      <c r="W560" s="238">
        <v>0.0</v>
      </c>
      <c r="X560" s="235" t="s">
        <v>628</v>
      </c>
      <c r="Z560" s="244"/>
      <c r="AA560" s="244"/>
      <c r="AB560" s="244"/>
      <c r="AC560" s="235" t="s">
        <v>5100</v>
      </c>
      <c r="AD560" s="235" t="s">
        <v>666</v>
      </c>
      <c r="AE560" s="238">
        <v>603202.0</v>
      </c>
      <c r="AF560" s="235" t="s">
        <v>631</v>
      </c>
      <c r="AG560" s="244"/>
      <c r="AH560" s="244"/>
      <c r="AI560" s="245"/>
      <c r="AJ560" s="245"/>
      <c r="AK560" s="245"/>
      <c r="AL560" s="245"/>
      <c r="AM560" s="244"/>
      <c r="AN560" s="244"/>
      <c r="AO560" s="238">
        <v>0.0</v>
      </c>
      <c r="AP560" s="238">
        <v>0.0</v>
      </c>
      <c r="AQ560" s="235" t="s">
        <v>632</v>
      </c>
      <c r="AR560" s="243">
        <v>1.68E11</v>
      </c>
      <c r="AS560" s="235" t="s">
        <v>3284</v>
      </c>
      <c r="AT560" s="235" t="s">
        <v>11</v>
      </c>
      <c r="AU560" s="235" t="s">
        <v>634</v>
      </c>
      <c r="AV560" s="246" t="s">
        <v>635</v>
      </c>
      <c r="AW560" s="242"/>
      <c r="AX560" s="242"/>
      <c r="AY560" s="231"/>
      <c r="AZ560" s="231"/>
      <c r="BA560" s="227"/>
      <c r="BB560" s="231"/>
      <c r="BC560" s="227"/>
      <c r="BD560" s="227"/>
      <c r="BE560" s="227"/>
      <c r="BF560" s="227"/>
    </row>
    <row r="561">
      <c r="A561" s="235" t="s">
        <v>5102</v>
      </c>
      <c r="C561" s="235" t="s">
        <v>5103</v>
      </c>
      <c r="D561" s="235" t="s">
        <v>5104</v>
      </c>
      <c r="E561" s="243">
        <v>6.56E13</v>
      </c>
      <c r="F561" s="245"/>
      <c r="G561" s="235" t="s">
        <v>5105</v>
      </c>
      <c r="H561" s="235" t="s">
        <v>5106</v>
      </c>
      <c r="I561" s="235" t="s">
        <v>5107</v>
      </c>
      <c r="J561" s="235" t="s">
        <v>5108</v>
      </c>
      <c r="K561" s="235" t="s">
        <v>5109</v>
      </c>
      <c r="N561" s="235" t="s">
        <v>127</v>
      </c>
      <c r="O561" s="235" t="s">
        <v>794</v>
      </c>
      <c r="P561" s="238">
        <v>1.0</v>
      </c>
      <c r="Q561" s="235" t="s">
        <v>627</v>
      </c>
      <c r="R561" s="238">
        <v>246.67</v>
      </c>
      <c r="S561" s="238">
        <v>12.33</v>
      </c>
      <c r="T561" s="238">
        <v>0.0</v>
      </c>
      <c r="U561" s="238">
        <v>0.0</v>
      </c>
      <c r="V561" s="238">
        <v>0.0</v>
      </c>
      <c r="W561" s="238">
        <v>0.0</v>
      </c>
      <c r="X561" s="235" t="s">
        <v>628</v>
      </c>
      <c r="Z561" s="244"/>
      <c r="AA561" s="244"/>
      <c r="AB561" s="244"/>
      <c r="AC561" s="235" t="s">
        <v>795</v>
      </c>
      <c r="AD561" s="235" t="s">
        <v>796</v>
      </c>
      <c r="AE561" s="238">
        <v>110052.0</v>
      </c>
      <c r="AF561" s="235" t="s">
        <v>631</v>
      </c>
      <c r="AG561" s="244"/>
      <c r="AH561" s="244"/>
      <c r="AI561" s="245"/>
      <c r="AJ561" s="245"/>
      <c r="AK561" s="245"/>
      <c r="AL561" s="245"/>
      <c r="AM561" s="244"/>
      <c r="AN561" s="244"/>
      <c r="AO561" s="238">
        <v>0.0</v>
      </c>
      <c r="AP561" s="238">
        <v>0.0</v>
      </c>
      <c r="AQ561" s="235" t="s">
        <v>632</v>
      </c>
      <c r="AR561" s="243">
        <v>2.02E11</v>
      </c>
      <c r="AS561" s="235" t="s">
        <v>3284</v>
      </c>
      <c r="AT561" s="235" t="s">
        <v>11</v>
      </c>
      <c r="AU561" s="235" t="s">
        <v>634</v>
      </c>
      <c r="AV561" s="246" t="s">
        <v>635</v>
      </c>
      <c r="AW561" s="242"/>
      <c r="AX561" s="242"/>
      <c r="AY561" s="231"/>
      <c r="AZ561" s="231"/>
      <c r="BA561" s="227"/>
      <c r="BB561" s="231"/>
      <c r="BC561" s="227"/>
      <c r="BD561" s="227"/>
      <c r="BE561" s="227"/>
      <c r="BF561" s="227"/>
    </row>
    <row r="562">
      <c r="A562" s="235" t="s">
        <v>5110</v>
      </c>
      <c r="C562" s="235" t="s">
        <v>5111</v>
      </c>
      <c r="D562" s="235" t="s">
        <v>5112</v>
      </c>
      <c r="E562" s="243">
        <v>6.56E13</v>
      </c>
      <c r="F562" s="245"/>
      <c r="G562" s="235" t="s">
        <v>5113</v>
      </c>
      <c r="H562" s="235" t="s">
        <v>5114</v>
      </c>
      <c r="I562" s="235" t="s">
        <v>5114</v>
      </c>
      <c r="J562" s="235" t="s">
        <v>5115</v>
      </c>
      <c r="K562" s="235" t="s">
        <v>5116</v>
      </c>
      <c r="N562" s="235" t="s">
        <v>120</v>
      </c>
      <c r="O562" s="235" t="s">
        <v>324</v>
      </c>
      <c r="P562" s="238">
        <v>1.0</v>
      </c>
      <c r="Q562" s="235" t="s">
        <v>627</v>
      </c>
      <c r="R562" s="238">
        <v>246.67</v>
      </c>
      <c r="S562" s="238">
        <v>12.33</v>
      </c>
      <c r="T562" s="238">
        <v>38.1</v>
      </c>
      <c r="U562" s="238">
        <v>1.9</v>
      </c>
      <c r="V562" s="238">
        <v>0.0</v>
      </c>
      <c r="W562" s="238">
        <v>0.0</v>
      </c>
      <c r="X562" s="235" t="s">
        <v>628</v>
      </c>
      <c r="Z562" s="244"/>
      <c r="AA562" s="244"/>
      <c r="AB562" s="244"/>
      <c r="AC562" s="235" t="s">
        <v>5117</v>
      </c>
      <c r="AD562" s="235" t="s">
        <v>666</v>
      </c>
      <c r="AE562" s="238">
        <v>625107.0</v>
      </c>
      <c r="AF562" s="235" t="s">
        <v>631</v>
      </c>
      <c r="AG562" s="244"/>
      <c r="AH562" s="244"/>
      <c r="AI562" s="245"/>
      <c r="AJ562" s="245"/>
      <c r="AK562" s="245"/>
      <c r="AL562" s="245"/>
      <c r="AM562" s="244"/>
      <c r="AN562" s="244"/>
      <c r="AO562" s="238">
        <v>0.0</v>
      </c>
      <c r="AP562" s="238">
        <v>-38.1</v>
      </c>
      <c r="AQ562" s="235" t="s">
        <v>632</v>
      </c>
      <c r="AR562" s="243">
        <v>3.71E11</v>
      </c>
      <c r="AS562" s="235" t="s">
        <v>3284</v>
      </c>
      <c r="AT562" s="235" t="s">
        <v>9</v>
      </c>
      <c r="AU562" s="235" t="s">
        <v>634</v>
      </c>
      <c r="AV562" s="246" t="s">
        <v>635</v>
      </c>
      <c r="AW562" s="242"/>
      <c r="AX562" s="242"/>
      <c r="AY562" s="231"/>
      <c r="AZ562" s="231"/>
      <c r="BA562" s="227"/>
      <c r="BB562" s="231"/>
      <c r="BC562" s="227"/>
      <c r="BD562" s="227"/>
      <c r="BE562" s="227"/>
      <c r="BF562" s="227"/>
    </row>
    <row r="563">
      <c r="A563" s="235" t="s">
        <v>5119</v>
      </c>
      <c r="C563" s="235" t="s">
        <v>5120</v>
      </c>
      <c r="D563" s="235" t="s">
        <v>5121</v>
      </c>
      <c r="E563" s="243">
        <v>6.56E13</v>
      </c>
      <c r="F563" s="245"/>
      <c r="G563" s="235" t="s">
        <v>5123</v>
      </c>
      <c r="H563" s="235" t="s">
        <v>5124</v>
      </c>
      <c r="I563" s="235" t="s">
        <v>5124</v>
      </c>
      <c r="J563" s="235" t="s">
        <v>5125</v>
      </c>
      <c r="K563" s="235" t="s">
        <v>5126</v>
      </c>
      <c r="N563" s="235" t="s">
        <v>127</v>
      </c>
      <c r="O563" s="235" t="s">
        <v>794</v>
      </c>
      <c r="P563" s="238">
        <v>1.0</v>
      </c>
      <c r="Q563" s="235" t="s">
        <v>627</v>
      </c>
      <c r="R563" s="238">
        <v>246.67</v>
      </c>
      <c r="S563" s="238">
        <v>12.33</v>
      </c>
      <c r="T563" s="238">
        <v>0.0</v>
      </c>
      <c r="U563" s="238">
        <v>0.0</v>
      </c>
      <c r="V563" s="238">
        <v>0.0</v>
      </c>
      <c r="W563" s="238">
        <v>0.0</v>
      </c>
      <c r="X563" s="235" t="s">
        <v>628</v>
      </c>
      <c r="Z563" s="244"/>
      <c r="AA563" s="244"/>
      <c r="AB563" s="244"/>
      <c r="AC563" s="235" t="s">
        <v>697</v>
      </c>
      <c r="AD563" s="235" t="s">
        <v>698</v>
      </c>
      <c r="AE563" s="238">
        <v>500019.0</v>
      </c>
      <c r="AF563" s="235" t="s">
        <v>631</v>
      </c>
      <c r="AG563" s="244"/>
      <c r="AH563" s="244"/>
      <c r="AI563" s="245"/>
      <c r="AJ563" s="245"/>
      <c r="AK563" s="245"/>
      <c r="AL563" s="245"/>
      <c r="AM563" s="244"/>
      <c r="AN563" s="244"/>
      <c r="AO563" s="238">
        <v>0.0</v>
      </c>
      <c r="AP563" s="238">
        <v>0.0</v>
      </c>
      <c r="AQ563" s="235" t="s">
        <v>632</v>
      </c>
      <c r="AR563" s="243">
        <v>1.68E11</v>
      </c>
      <c r="AS563" s="235" t="s">
        <v>3284</v>
      </c>
      <c r="AT563" s="235" t="s">
        <v>9</v>
      </c>
      <c r="AU563" s="235" t="s">
        <v>634</v>
      </c>
      <c r="AV563" s="246" t="s">
        <v>635</v>
      </c>
      <c r="AW563" s="242"/>
      <c r="AX563" s="242"/>
      <c r="AY563" s="231"/>
      <c r="AZ563" s="231"/>
      <c r="BA563" s="227"/>
      <c r="BB563" s="231"/>
      <c r="BC563" s="227"/>
      <c r="BD563" s="227"/>
      <c r="BE563" s="227"/>
      <c r="BF563" s="227"/>
    </row>
    <row r="564">
      <c r="A564" s="235" t="s">
        <v>5129</v>
      </c>
      <c r="C564" s="235" t="s">
        <v>5130</v>
      </c>
      <c r="D564" s="235" t="s">
        <v>5131</v>
      </c>
      <c r="E564" s="243">
        <v>6.56E13</v>
      </c>
      <c r="F564" s="245"/>
      <c r="G564" s="235" t="s">
        <v>5133</v>
      </c>
      <c r="H564" s="235" t="s">
        <v>5134</v>
      </c>
      <c r="I564" s="235" t="s">
        <v>5134</v>
      </c>
      <c r="J564" s="235" t="s">
        <v>5135</v>
      </c>
      <c r="K564" s="235" t="s">
        <v>5136</v>
      </c>
      <c r="N564" s="235" t="s">
        <v>51</v>
      </c>
      <c r="O564" s="235" t="s">
        <v>273</v>
      </c>
      <c r="P564" s="238">
        <v>1.0</v>
      </c>
      <c r="Q564" s="235" t="s">
        <v>627</v>
      </c>
      <c r="R564" s="238">
        <v>237.14</v>
      </c>
      <c r="S564" s="238">
        <v>11.86</v>
      </c>
      <c r="T564" s="238">
        <v>38.1</v>
      </c>
      <c r="U564" s="238">
        <v>1.9</v>
      </c>
      <c r="V564" s="238">
        <v>0.0</v>
      </c>
      <c r="W564" s="238">
        <v>0.0</v>
      </c>
      <c r="X564" s="235" t="s">
        <v>628</v>
      </c>
      <c r="Z564" s="244"/>
      <c r="AA564" s="244"/>
      <c r="AB564" s="244"/>
      <c r="AC564" s="235" t="s">
        <v>5138</v>
      </c>
      <c r="AD564" s="235" t="s">
        <v>833</v>
      </c>
      <c r="AE564" s="238">
        <v>524004.0</v>
      </c>
      <c r="AF564" s="235" t="s">
        <v>631</v>
      </c>
      <c r="AG564" s="244"/>
      <c r="AH564" s="244"/>
      <c r="AI564" s="245"/>
      <c r="AJ564" s="245"/>
      <c r="AK564" s="245"/>
      <c r="AL564" s="245"/>
      <c r="AM564" s="244"/>
      <c r="AN564" s="244"/>
      <c r="AO564" s="238">
        <v>0.0</v>
      </c>
      <c r="AP564" s="238">
        <v>-38.1</v>
      </c>
      <c r="AQ564" s="235" t="s">
        <v>632</v>
      </c>
      <c r="AR564" s="243">
        <v>3.71E11</v>
      </c>
      <c r="AS564" s="235" t="s">
        <v>2276</v>
      </c>
      <c r="AT564" s="235" t="s">
        <v>9</v>
      </c>
      <c r="AU564" s="235" t="s">
        <v>634</v>
      </c>
      <c r="AV564" s="246" t="s">
        <v>635</v>
      </c>
      <c r="AW564" s="242"/>
      <c r="AX564" s="242"/>
      <c r="AY564" s="231"/>
      <c r="AZ564" s="231"/>
      <c r="BA564" s="227"/>
      <c r="BB564" s="231"/>
      <c r="BC564" s="227"/>
      <c r="BD564" s="227"/>
      <c r="BE564" s="227"/>
      <c r="BF564" s="227"/>
    </row>
    <row r="565">
      <c r="A565" s="235" t="s">
        <v>5140</v>
      </c>
      <c r="C565" s="235" t="s">
        <v>5141</v>
      </c>
      <c r="D565" s="235" t="s">
        <v>5142</v>
      </c>
      <c r="E565" s="243">
        <v>6.56E13</v>
      </c>
      <c r="F565" s="245"/>
      <c r="G565" s="235" t="s">
        <v>5143</v>
      </c>
      <c r="H565" s="235" t="s">
        <v>5144</v>
      </c>
      <c r="I565" s="235" t="s">
        <v>5144</v>
      </c>
      <c r="J565" s="235" t="s">
        <v>5145</v>
      </c>
      <c r="K565" s="235" t="s">
        <v>5146</v>
      </c>
      <c r="N565" s="235" t="s">
        <v>43</v>
      </c>
      <c r="O565" s="235" t="s">
        <v>276</v>
      </c>
      <c r="P565" s="238">
        <v>1.0</v>
      </c>
      <c r="Q565" s="235" t="s">
        <v>627</v>
      </c>
      <c r="R565" s="238">
        <v>237.14</v>
      </c>
      <c r="S565" s="238">
        <v>11.86</v>
      </c>
      <c r="T565" s="238">
        <v>0.0</v>
      </c>
      <c r="U565" s="238">
        <v>0.0</v>
      </c>
      <c r="V565" s="238">
        <v>0.0</v>
      </c>
      <c r="W565" s="238">
        <v>0.0</v>
      </c>
      <c r="X565" s="235" t="s">
        <v>628</v>
      </c>
      <c r="Z565" s="244"/>
      <c r="AA565" s="244"/>
      <c r="AB565" s="244"/>
      <c r="AC565" s="235" t="s">
        <v>697</v>
      </c>
      <c r="AD565" s="235" t="s">
        <v>698</v>
      </c>
      <c r="AE565" s="238">
        <v>500068.0</v>
      </c>
      <c r="AF565" s="235" t="s">
        <v>631</v>
      </c>
      <c r="AG565" s="244"/>
      <c r="AH565" s="244"/>
      <c r="AI565" s="245"/>
      <c r="AJ565" s="245"/>
      <c r="AK565" s="245"/>
      <c r="AL565" s="245"/>
      <c r="AM565" s="244"/>
      <c r="AN565" s="244"/>
      <c r="AO565" s="238">
        <v>0.0</v>
      </c>
      <c r="AP565" s="238">
        <v>0.0</v>
      </c>
      <c r="AQ565" s="235" t="s">
        <v>632</v>
      </c>
      <c r="AR565" s="243">
        <v>2.02E11</v>
      </c>
      <c r="AS565" s="235" t="s">
        <v>3284</v>
      </c>
      <c r="AT565" s="235" t="s">
        <v>17</v>
      </c>
      <c r="AU565" s="235" t="s">
        <v>634</v>
      </c>
      <c r="AV565" s="246" t="s">
        <v>635</v>
      </c>
      <c r="AW565" s="242"/>
      <c r="AX565" s="242"/>
      <c r="AY565" s="231"/>
      <c r="AZ565" s="231"/>
      <c r="BA565" s="227"/>
      <c r="BB565" s="231"/>
      <c r="BC565" s="227"/>
      <c r="BD565" s="227"/>
      <c r="BE565" s="227"/>
      <c r="BF565" s="227"/>
    </row>
    <row r="566">
      <c r="A566" s="235" t="s">
        <v>5149</v>
      </c>
      <c r="C566" s="235" t="s">
        <v>5150</v>
      </c>
      <c r="D566" s="235" t="s">
        <v>5151</v>
      </c>
      <c r="E566" s="243">
        <v>6.56E13</v>
      </c>
      <c r="F566" s="245"/>
      <c r="G566" s="235" t="s">
        <v>5152</v>
      </c>
      <c r="H566" s="235" t="s">
        <v>5153</v>
      </c>
      <c r="I566" s="235" t="s">
        <v>5153</v>
      </c>
      <c r="J566" s="235" t="s">
        <v>5155</v>
      </c>
      <c r="K566" s="235" t="s">
        <v>5156</v>
      </c>
      <c r="N566" s="235" t="s">
        <v>842</v>
      </c>
      <c r="O566" s="235" t="s">
        <v>843</v>
      </c>
      <c r="P566" s="238">
        <v>1.0</v>
      </c>
      <c r="Q566" s="235" t="s">
        <v>627</v>
      </c>
      <c r="R566" s="238">
        <v>246.67</v>
      </c>
      <c r="S566" s="238">
        <v>12.33</v>
      </c>
      <c r="T566" s="238">
        <v>0.0</v>
      </c>
      <c r="U566" s="238">
        <v>0.0</v>
      </c>
      <c r="V566" s="238">
        <v>0.0</v>
      </c>
      <c r="W566" s="238">
        <v>0.0</v>
      </c>
      <c r="X566" s="235" t="s">
        <v>628</v>
      </c>
      <c r="Z566" s="244"/>
      <c r="AA566" s="244"/>
      <c r="AB566" s="244"/>
      <c r="AC566" s="235" t="s">
        <v>5158</v>
      </c>
      <c r="AD566" s="235" t="s">
        <v>833</v>
      </c>
      <c r="AE566" s="238">
        <v>515001.0</v>
      </c>
      <c r="AF566" s="235" t="s">
        <v>631</v>
      </c>
      <c r="AG566" s="244"/>
      <c r="AH566" s="244"/>
      <c r="AI566" s="245"/>
      <c r="AJ566" s="245"/>
      <c r="AK566" s="245"/>
      <c r="AL566" s="245"/>
      <c r="AM566" s="244"/>
      <c r="AN566" s="244"/>
      <c r="AO566" s="238">
        <v>0.0</v>
      </c>
      <c r="AP566" s="238">
        <v>0.0</v>
      </c>
      <c r="AQ566" s="235" t="s">
        <v>632</v>
      </c>
      <c r="AR566" s="243">
        <v>3.71E11</v>
      </c>
      <c r="AS566" s="235" t="s">
        <v>3284</v>
      </c>
      <c r="AT566" s="235" t="s">
        <v>11</v>
      </c>
      <c r="AU566" s="235" t="s">
        <v>634</v>
      </c>
      <c r="AV566" s="246" t="s">
        <v>635</v>
      </c>
      <c r="AW566" s="242"/>
      <c r="AX566" s="242"/>
      <c r="AY566" s="231"/>
      <c r="AZ566" s="231"/>
      <c r="BA566" s="227"/>
      <c r="BB566" s="231"/>
      <c r="BC566" s="227"/>
      <c r="BD566" s="227"/>
      <c r="BE566" s="227"/>
      <c r="BF566" s="227"/>
    </row>
    <row r="567">
      <c r="A567" s="235" t="s">
        <v>5160</v>
      </c>
      <c r="C567" s="235" t="s">
        <v>5161</v>
      </c>
      <c r="D567" s="235" t="s">
        <v>5162</v>
      </c>
      <c r="E567" s="243">
        <v>6.56E13</v>
      </c>
      <c r="F567" s="245"/>
      <c r="G567" s="235" t="s">
        <v>5163</v>
      </c>
      <c r="H567" s="235" t="s">
        <v>5164</v>
      </c>
      <c r="I567" s="235" t="s">
        <v>5164</v>
      </c>
      <c r="J567" s="235" t="s">
        <v>5165</v>
      </c>
      <c r="K567" s="235" t="s">
        <v>5166</v>
      </c>
      <c r="N567" s="235" t="s">
        <v>145</v>
      </c>
      <c r="O567" s="235" t="s">
        <v>370</v>
      </c>
      <c r="P567" s="238">
        <v>1.0</v>
      </c>
      <c r="Q567" s="235" t="s">
        <v>627</v>
      </c>
      <c r="R567" s="238">
        <v>1522.86</v>
      </c>
      <c r="S567" s="238">
        <v>76.14</v>
      </c>
      <c r="T567" s="238">
        <v>38.1</v>
      </c>
      <c r="U567" s="238">
        <v>1.9</v>
      </c>
      <c r="V567" s="238">
        <v>0.0</v>
      </c>
      <c r="W567" s="238">
        <v>0.0</v>
      </c>
      <c r="X567" s="235" t="s">
        <v>628</v>
      </c>
      <c r="Z567" s="244"/>
      <c r="AA567" s="244"/>
      <c r="AB567" s="244"/>
      <c r="AC567" s="235" t="s">
        <v>5168</v>
      </c>
      <c r="AD567" s="235" t="s">
        <v>1077</v>
      </c>
      <c r="AE567" s="238">
        <v>382421.0</v>
      </c>
      <c r="AF567" s="235" t="s">
        <v>631</v>
      </c>
      <c r="AG567" s="244"/>
      <c r="AH567" s="244"/>
      <c r="AI567" s="245"/>
      <c r="AJ567" s="245"/>
      <c r="AK567" s="245"/>
      <c r="AL567" s="245"/>
      <c r="AM567" s="244"/>
      <c r="AN567" s="244"/>
      <c r="AO567" s="238">
        <v>0.0</v>
      </c>
      <c r="AP567" s="238">
        <v>-38.1</v>
      </c>
      <c r="AQ567" s="235" t="s">
        <v>632</v>
      </c>
      <c r="AR567" s="243">
        <v>3.71E11</v>
      </c>
      <c r="AS567" s="235" t="s">
        <v>2276</v>
      </c>
      <c r="AT567" s="235" t="s">
        <v>5</v>
      </c>
      <c r="AU567" s="235" t="s">
        <v>634</v>
      </c>
      <c r="AV567" s="246" t="s">
        <v>635</v>
      </c>
      <c r="AW567" s="242"/>
      <c r="AX567" s="242"/>
      <c r="AY567" s="231"/>
      <c r="AZ567" s="231"/>
      <c r="BA567" s="227"/>
      <c r="BB567" s="231"/>
      <c r="BC567" s="227"/>
      <c r="BD567" s="227"/>
      <c r="BE567" s="227"/>
      <c r="BF567" s="227"/>
    </row>
    <row r="568">
      <c r="A568" s="235" t="s">
        <v>5171</v>
      </c>
      <c r="C568" s="235" t="s">
        <v>5172</v>
      </c>
      <c r="D568" s="235" t="s">
        <v>5173</v>
      </c>
      <c r="E568" s="243">
        <v>6.56E13</v>
      </c>
      <c r="F568" s="245"/>
      <c r="G568" s="235" t="s">
        <v>5174</v>
      </c>
      <c r="H568" s="235" t="s">
        <v>5175</v>
      </c>
      <c r="I568" s="235" t="s">
        <v>5175</v>
      </c>
      <c r="J568" s="235" t="s">
        <v>5176</v>
      </c>
      <c r="K568" s="235" t="s">
        <v>5178</v>
      </c>
      <c r="N568" s="235" t="s">
        <v>42</v>
      </c>
      <c r="O568" s="235" t="s">
        <v>204</v>
      </c>
      <c r="P568" s="238">
        <v>1.0</v>
      </c>
      <c r="Q568" s="235" t="s">
        <v>627</v>
      </c>
      <c r="R568" s="238">
        <v>0.0</v>
      </c>
      <c r="S568" s="238">
        <v>0.0</v>
      </c>
      <c r="T568" s="238">
        <v>0.0</v>
      </c>
      <c r="U568" s="238">
        <v>0.0</v>
      </c>
      <c r="V568" s="238">
        <v>0.0</v>
      </c>
      <c r="W568" s="238">
        <v>0.0</v>
      </c>
      <c r="X568" s="235" t="s">
        <v>2433</v>
      </c>
      <c r="Y568" s="244"/>
      <c r="Z568" s="244"/>
      <c r="AA568" s="244"/>
      <c r="AB568" s="244"/>
      <c r="AC568" s="235" t="s">
        <v>678</v>
      </c>
      <c r="AD568" s="235" t="s">
        <v>679</v>
      </c>
      <c r="AE568" s="238">
        <v>560058.0</v>
      </c>
      <c r="AF568" s="235" t="s">
        <v>631</v>
      </c>
      <c r="AG568" s="244"/>
      <c r="AH568" s="244"/>
      <c r="AI568" s="245"/>
      <c r="AJ568" s="245"/>
      <c r="AK568" s="245"/>
      <c r="AL568" s="245"/>
      <c r="AM568" s="244"/>
      <c r="AN568" s="244"/>
      <c r="AO568" s="238">
        <v>0.0</v>
      </c>
      <c r="AP568" s="238">
        <v>0.0</v>
      </c>
      <c r="AQ568" s="235" t="s">
        <v>632</v>
      </c>
      <c r="AR568" s="243">
        <v>3.71E11</v>
      </c>
      <c r="AS568" s="235" t="s">
        <v>3284</v>
      </c>
      <c r="AT568" s="235" t="s">
        <v>11</v>
      </c>
      <c r="AU568" s="235" t="s">
        <v>634</v>
      </c>
      <c r="AV568" s="246" t="s">
        <v>635</v>
      </c>
      <c r="AW568" s="242"/>
      <c r="AX568" s="242"/>
      <c r="AY568" s="231"/>
      <c r="AZ568" s="231"/>
      <c r="BA568" s="227"/>
      <c r="BB568" s="231"/>
      <c r="BC568" s="227"/>
      <c r="BD568" s="227"/>
      <c r="BE568" s="227"/>
      <c r="BF568" s="227"/>
    </row>
    <row r="569">
      <c r="A569" s="235" t="s">
        <v>5181</v>
      </c>
      <c r="C569" s="235" t="s">
        <v>5182</v>
      </c>
      <c r="D569" s="235" t="s">
        <v>5183</v>
      </c>
      <c r="E569" s="243">
        <v>6.56E13</v>
      </c>
      <c r="F569" s="245"/>
      <c r="G569" s="235" t="s">
        <v>5185</v>
      </c>
      <c r="H569" s="235" t="s">
        <v>5186</v>
      </c>
      <c r="I569" s="235" t="s">
        <v>5186</v>
      </c>
      <c r="J569" s="235" t="s">
        <v>5187</v>
      </c>
      <c r="K569" s="235" t="s">
        <v>5188</v>
      </c>
      <c r="N569" s="235" t="s">
        <v>138</v>
      </c>
      <c r="O569" s="235" t="s">
        <v>675</v>
      </c>
      <c r="P569" s="238">
        <v>1.0</v>
      </c>
      <c r="Q569" s="235" t="s">
        <v>627</v>
      </c>
      <c r="R569" s="238">
        <v>246.67</v>
      </c>
      <c r="S569" s="238">
        <v>12.33</v>
      </c>
      <c r="T569" s="238">
        <v>38.1</v>
      </c>
      <c r="U569" s="238">
        <v>1.9</v>
      </c>
      <c r="V569" s="238">
        <v>0.0</v>
      </c>
      <c r="W569" s="238">
        <v>0.0</v>
      </c>
      <c r="X569" s="235" t="s">
        <v>628</v>
      </c>
      <c r="Z569" s="244"/>
      <c r="AA569" s="244"/>
      <c r="AB569" s="244"/>
      <c r="AC569" s="235" t="s">
        <v>5190</v>
      </c>
      <c r="AD569" s="235" t="s">
        <v>645</v>
      </c>
      <c r="AE569" s="238">
        <v>673527.0</v>
      </c>
      <c r="AF569" s="235" t="s">
        <v>631</v>
      </c>
      <c r="AG569" s="244"/>
      <c r="AH569" s="244"/>
      <c r="AI569" s="245"/>
      <c r="AJ569" s="245"/>
      <c r="AK569" s="245"/>
      <c r="AL569" s="245"/>
      <c r="AM569" s="244"/>
      <c r="AN569" s="244"/>
      <c r="AO569" s="238">
        <v>0.0</v>
      </c>
      <c r="AP569" s="238">
        <v>-38.1</v>
      </c>
      <c r="AQ569" s="235" t="s">
        <v>1328</v>
      </c>
      <c r="AR569" s="243">
        <v>1.34E13</v>
      </c>
      <c r="AS569" s="235" t="s">
        <v>667</v>
      </c>
      <c r="AT569" s="235" t="s">
        <v>9</v>
      </c>
      <c r="AU569" s="235" t="s">
        <v>634</v>
      </c>
      <c r="AV569" s="246" t="s">
        <v>635</v>
      </c>
      <c r="AW569" s="242"/>
      <c r="AX569" s="242"/>
      <c r="AY569" s="231"/>
      <c r="AZ569" s="231"/>
      <c r="BA569" s="227"/>
      <c r="BB569" s="231"/>
      <c r="BC569" s="227"/>
      <c r="BD569" s="227"/>
      <c r="BE569" s="227"/>
      <c r="BF569" s="227"/>
    </row>
    <row r="570">
      <c r="A570" s="235" t="s">
        <v>5193</v>
      </c>
      <c r="C570" s="235" t="s">
        <v>5194</v>
      </c>
      <c r="D570" s="235" t="s">
        <v>5195</v>
      </c>
      <c r="E570" s="243">
        <v>6.56E13</v>
      </c>
      <c r="F570" s="245"/>
      <c r="G570" s="235" t="s">
        <v>5196</v>
      </c>
      <c r="H570" s="235" t="s">
        <v>5197</v>
      </c>
      <c r="I570" s="235" t="s">
        <v>5198</v>
      </c>
      <c r="J570" s="235" t="s">
        <v>5199</v>
      </c>
      <c r="K570" s="235" t="s">
        <v>5200</v>
      </c>
      <c r="N570" s="235" t="s">
        <v>98</v>
      </c>
      <c r="O570" s="235" t="s">
        <v>357</v>
      </c>
      <c r="P570" s="238">
        <v>1.0</v>
      </c>
      <c r="Q570" s="235" t="s">
        <v>627</v>
      </c>
      <c r="R570" s="238">
        <v>246.67</v>
      </c>
      <c r="S570" s="238">
        <v>12.33</v>
      </c>
      <c r="T570" s="238">
        <v>38.1</v>
      </c>
      <c r="U570" s="238">
        <v>1.9</v>
      </c>
      <c r="V570" s="238">
        <v>0.0</v>
      </c>
      <c r="W570" s="238">
        <v>0.0</v>
      </c>
      <c r="X570" s="235" t="s">
        <v>628</v>
      </c>
      <c r="Z570" s="244"/>
      <c r="AA570" s="244"/>
      <c r="AB570" s="244"/>
      <c r="AC570" s="235" t="s">
        <v>5203</v>
      </c>
      <c r="AD570" s="235" t="s">
        <v>666</v>
      </c>
      <c r="AE570" s="238">
        <v>636016.0</v>
      </c>
      <c r="AF570" s="235" t="s">
        <v>631</v>
      </c>
      <c r="AG570" s="244"/>
      <c r="AH570" s="244"/>
      <c r="AI570" s="245"/>
      <c r="AJ570" s="245"/>
      <c r="AK570" s="245"/>
      <c r="AL570" s="245"/>
      <c r="AM570" s="244"/>
      <c r="AN570" s="244"/>
      <c r="AO570" s="238">
        <v>0.0</v>
      </c>
      <c r="AP570" s="238">
        <v>-38.1</v>
      </c>
      <c r="AQ570" s="235" t="s">
        <v>632</v>
      </c>
      <c r="AR570" s="243">
        <v>3.71E11</v>
      </c>
      <c r="AS570" s="235" t="s">
        <v>3284</v>
      </c>
      <c r="AT570" s="235" t="s">
        <v>11</v>
      </c>
      <c r="AU570" s="235" t="s">
        <v>634</v>
      </c>
      <c r="AV570" s="246" t="s">
        <v>635</v>
      </c>
      <c r="AW570" s="242"/>
      <c r="AX570" s="242"/>
      <c r="AY570" s="231"/>
      <c r="AZ570" s="231"/>
      <c r="BA570" s="227"/>
      <c r="BB570" s="231"/>
      <c r="BC570" s="227"/>
      <c r="BD570" s="227"/>
      <c r="BE570" s="227"/>
      <c r="BF570" s="227"/>
    </row>
    <row r="571">
      <c r="A571" s="235" t="s">
        <v>5206</v>
      </c>
      <c r="C571" s="235" t="s">
        <v>5207</v>
      </c>
      <c r="D571" s="235" t="s">
        <v>5208</v>
      </c>
      <c r="E571" s="243">
        <v>6.56E13</v>
      </c>
      <c r="F571" s="245"/>
      <c r="G571" s="235" t="s">
        <v>5209</v>
      </c>
      <c r="H571" s="235" t="s">
        <v>5210</v>
      </c>
      <c r="I571" s="235" t="s">
        <v>5210</v>
      </c>
      <c r="J571" s="235" t="s">
        <v>5211</v>
      </c>
      <c r="K571" s="235" t="s">
        <v>5212</v>
      </c>
      <c r="N571" s="235" t="s">
        <v>842</v>
      </c>
      <c r="O571" s="235" t="s">
        <v>843</v>
      </c>
      <c r="P571" s="238">
        <v>1.0</v>
      </c>
      <c r="Q571" s="235" t="s">
        <v>627</v>
      </c>
      <c r="R571" s="238">
        <v>246.67</v>
      </c>
      <c r="S571" s="238">
        <v>12.33</v>
      </c>
      <c r="T571" s="238">
        <v>0.0</v>
      </c>
      <c r="U571" s="238">
        <v>0.0</v>
      </c>
      <c r="V571" s="238">
        <v>0.0</v>
      </c>
      <c r="W571" s="238">
        <v>0.0</v>
      </c>
      <c r="X571" s="235" t="s">
        <v>628</v>
      </c>
      <c r="Z571" s="244"/>
      <c r="AA571" s="244"/>
      <c r="AB571" s="244"/>
      <c r="AC571" s="235" t="s">
        <v>5214</v>
      </c>
      <c r="AD571" s="235" t="s">
        <v>5215</v>
      </c>
      <c r="AE571" s="238">
        <v>522303.0</v>
      </c>
      <c r="AF571" s="235" t="s">
        <v>631</v>
      </c>
      <c r="AG571" s="244"/>
      <c r="AH571" s="244"/>
      <c r="AI571" s="245"/>
      <c r="AJ571" s="245"/>
      <c r="AK571" s="245"/>
      <c r="AL571" s="245"/>
      <c r="AM571" s="244"/>
      <c r="AN571" s="244"/>
      <c r="AO571" s="238">
        <v>0.0</v>
      </c>
      <c r="AP571" s="238">
        <v>0.0</v>
      </c>
      <c r="AQ571" s="235" t="s">
        <v>632</v>
      </c>
      <c r="AR571" s="243">
        <v>3.71E11</v>
      </c>
      <c r="AS571" s="235" t="s">
        <v>2276</v>
      </c>
      <c r="AT571" s="235" t="s">
        <v>156</v>
      </c>
      <c r="AU571" s="235" t="s">
        <v>634</v>
      </c>
      <c r="AV571" s="246" t="s">
        <v>635</v>
      </c>
      <c r="AW571" s="242"/>
      <c r="AX571" s="242"/>
      <c r="AY571" s="231"/>
      <c r="AZ571" s="231"/>
      <c r="BA571" s="227"/>
      <c r="BB571" s="231"/>
      <c r="BC571" s="227"/>
      <c r="BD571" s="227"/>
      <c r="BE571" s="227"/>
      <c r="BF571" s="227"/>
    </row>
    <row r="572">
      <c r="A572" s="235" t="s">
        <v>5218</v>
      </c>
      <c r="C572" s="235" t="s">
        <v>5219</v>
      </c>
      <c r="D572" s="235" t="s">
        <v>5220</v>
      </c>
      <c r="E572" s="243">
        <v>6.56E13</v>
      </c>
      <c r="F572" s="245"/>
      <c r="G572" s="235" t="s">
        <v>5221</v>
      </c>
      <c r="H572" s="235" t="s">
        <v>5222</v>
      </c>
      <c r="I572" s="235" t="s">
        <v>5222</v>
      </c>
      <c r="J572" s="235" t="s">
        <v>5224</v>
      </c>
      <c r="K572" s="235" t="s">
        <v>5225</v>
      </c>
      <c r="N572" s="235" t="s">
        <v>51</v>
      </c>
      <c r="O572" s="235" t="s">
        <v>273</v>
      </c>
      <c r="P572" s="238">
        <v>1.0</v>
      </c>
      <c r="Q572" s="235" t="s">
        <v>627</v>
      </c>
      <c r="R572" s="238">
        <v>237.14</v>
      </c>
      <c r="S572" s="238">
        <v>11.86</v>
      </c>
      <c r="T572" s="238">
        <v>38.1</v>
      </c>
      <c r="U572" s="238">
        <v>1.9</v>
      </c>
      <c r="V572" s="238">
        <v>0.0</v>
      </c>
      <c r="W572" s="238">
        <v>0.0</v>
      </c>
      <c r="X572" s="235" t="s">
        <v>628</v>
      </c>
      <c r="Z572" s="244"/>
      <c r="AA572" s="244"/>
      <c r="AB572" s="244"/>
      <c r="AC572" s="235" t="s">
        <v>757</v>
      </c>
      <c r="AD572" s="235" t="s">
        <v>666</v>
      </c>
      <c r="AE572" s="238">
        <v>625010.0</v>
      </c>
      <c r="AF572" s="235" t="s">
        <v>631</v>
      </c>
      <c r="AG572" s="244"/>
      <c r="AH572" s="244"/>
      <c r="AI572" s="245"/>
      <c r="AJ572" s="245"/>
      <c r="AK572" s="245"/>
      <c r="AL572" s="245"/>
      <c r="AM572" s="244"/>
      <c r="AN572" s="244"/>
      <c r="AO572" s="238">
        <v>0.0</v>
      </c>
      <c r="AP572" s="238">
        <v>-38.1</v>
      </c>
      <c r="AQ572" s="235" t="s">
        <v>632</v>
      </c>
      <c r="AR572" s="243">
        <v>3.71E11</v>
      </c>
      <c r="AS572" s="235" t="s">
        <v>3284</v>
      </c>
      <c r="AT572" s="235" t="s">
        <v>155</v>
      </c>
      <c r="AU572" s="235" t="s">
        <v>634</v>
      </c>
      <c r="AV572" s="246" t="s">
        <v>635</v>
      </c>
      <c r="AW572" s="242"/>
      <c r="AX572" s="242"/>
      <c r="AY572" s="231"/>
      <c r="AZ572" s="231"/>
      <c r="BA572" s="227"/>
      <c r="BB572" s="231"/>
      <c r="BC572" s="227"/>
      <c r="BD572" s="227"/>
      <c r="BE572" s="227"/>
      <c r="BF572" s="227"/>
    </row>
    <row r="573">
      <c r="A573" s="235" t="s">
        <v>5228</v>
      </c>
      <c r="C573" s="235" t="s">
        <v>5229</v>
      </c>
      <c r="D573" s="235" t="s">
        <v>5231</v>
      </c>
      <c r="E573" s="243">
        <v>6.56E13</v>
      </c>
      <c r="F573" s="245"/>
      <c r="G573" s="235" t="s">
        <v>5232</v>
      </c>
      <c r="H573" s="235" t="s">
        <v>5233</v>
      </c>
      <c r="I573" s="235" t="s">
        <v>5234</v>
      </c>
      <c r="J573" s="235" t="s">
        <v>5235</v>
      </c>
      <c r="K573" s="235" t="s">
        <v>5236</v>
      </c>
      <c r="N573" s="235" t="s">
        <v>962</v>
      </c>
      <c r="O573" s="235" t="s">
        <v>963</v>
      </c>
      <c r="P573" s="238">
        <v>1.0</v>
      </c>
      <c r="Q573" s="235" t="s">
        <v>627</v>
      </c>
      <c r="R573" s="238">
        <v>246.67</v>
      </c>
      <c r="S573" s="238">
        <v>12.33</v>
      </c>
      <c r="T573" s="238">
        <v>0.0</v>
      </c>
      <c r="U573" s="238">
        <v>0.0</v>
      </c>
      <c r="V573" s="238">
        <v>0.0</v>
      </c>
      <c r="W573" s="238">
        <v>0.0</v>
      </c>
      <c r="X573" s="235" t="s">
        <v>628</v>
      </c>
      <c r="Z573" s="244"/>
      <c r="AA573" s="244"/>
      <c r="AB573" s="244"/>
      <c r="AC573" s="235" t="s">
        <v>891</v>
      </c>
      <c r="AD573" s="235" t="s">
        <v>891</v>
      </c>
      <c r="AE573" s="238">
        <v>605004.0</v>
      </c>
      <c r="AF573" s="235" t="s">
        <v>631</v>
      </c>
      <c r="AG573" s="244"/>
      <c r="AH573" s="244"/>
      <c r="AI573" s="245"/>
      <c r="AJ573" s="245"/>
      <c r="AK573" s="245"/>
      <c r="AL573" s="245"/>
      <c r="AM573" s="244"/>
      <c r="AN573" s="244"/>
      <c r="AO573" s="238">
        <v>0.0</v>
      </c>
      <c r="AP573" s="238">
        <v>0.0</v>
      </c>
      <c r="AQ573" s="235" t="s">
        <v>632</v>
      </c>
      <c r="AR573" s="243">
        <v>3.71E11</v>
      </c>
      <c r="AS573" s="235" t="s">
        <v>3284</v>
      </c>
      <c r="AT573" s="235" t="s">
        <v>156</v>
      </c>
      <c r="AU573" s="235" t="s">
        <v>634</v>
      </c>
      <c r="AV573" s="246" t="s">
        <v>635</v>
      </c>
      <c r="AW573" s="242"/>
      <c r="AX573" s="242"/>
      <c r="AY573" s="231"/>
      <c r="AZ573" s="231"/>
      <c r="BA573" s="227"/>
      <c r="BB573" s="231"/>
      <c r="BC573" s="227"/>
      <c r="BD573" s="227"/>
      <c r="BE573" s="227"/>
      <c r="BF573" s="227"/>
    </row>
    <row r="574">
      <c r="A574" s="235" t="s">
        <v>5240</v>
      </c>
      <c r="C574" s="235" t="s">
        <v>5241</v>
      </c>
      <c r="D574" s="235" t="s">
        <v>5242</v>
      </c>
      <c r="E574" s="243">
        <v>6.56E13</v>
      </c>
      <c r="F574" s="245"/>
      <c r="G574" s="235" t="s">
        <v>5243</v>
      </c>
      <c r="H574" s="235" t="s">
        <v>5244</v>
      </c>
      <c r="I574" s="235" t="s">
        <v>5244</v>
      </c>
      <c r="J574" s="235" t="s">
        <v>5245</v>
      </c>
      <c r="K574" s="235" t="s">
        <v>5247</v>
      </c>
      <c r="N574" s="235" t="s">
        <v>3467</v>
      </c>
      <c r="O574" s="235" t="s">
        <v>3468</v>
      </c>
      <c r="P574" s="238">
        <v>1.0</v>
      </c>
      <c r="Q574" s="235" t="s">
        <v>627</v>
      </c>
      <c r="R574" s="238">
        <v>246.67</v>
      </c>
      <c r="S574" s="238">
        <v>12.33</v>
      </c>
      <c r="T574" s="238">
        <v>0.0</v>
      </c>
      <c r="U574" s="238">
        <v>0.0</v>
      </c>
      <c r="V574" s="238">
        <v>0.0</v>
      </c>
      <c r="W574" s="238">
        <v>0.0</v>
      </c>
      <c r="X574" s="235" t="s">
        <v>628</v>
      </c>
      <c r="Z574" s="244"/>
      <c r="AA574" s="244"/>
      <c r="AB574" s="244"/>
      <c r="AC574" s="235" t="s">
        <v>697</v>
      </c>
      <c r="AD574" s="235" t="s">
        <v>698</v>
      </c>
      <c r="AE574" s="238">
        <v>500049.0</v>
      </c>
      <c r="AF574" s="235" t="s">
        <v>631</v>
      </c>
      <c r="AG574" s="244"/>
      <c r="AH574" s="244"/>
      <c r="AI574" s="245"/>
      <c r="AJ574" s="245"/>
      <c r="AK574" s="245"/>
      <c r="AL574" s="245"/>
      <c r="AM574" s="244"/>
      <c r="AN574" s="244"/>
      <c r="AO574" s="238">
        <v>0.0</v>
      </c>
      <c r="AP574" s="238">
        <v>0.0</v>
      </c>
      <c r="AQ574" s="235" t="s">
        <v>632</v>
      </c>
      <c r="AR574" s="243">
        <v>1.68E11</v>
      </c>
      <c r="AS574" s="235" t="s">
        <v>3284</v>
      </c>
      <c r="AT574" s="235" t="s">
        <v>156</v>
      </c>
      <c r="AU574" s="235" t="s">
        <v>634</v>
      </c>
      <c r="AV574" s="246" t="s">
        <v>635</v>
      </c>
      <c r="AW574" s="242"/>
      <c r="AX574" s="242"/>
      <c r="AY574" s="231"/>
      <c r="AZ574" s="231"/>
      <c r="BA574" s="227"/>
      <c r="BB574" s="231"/>
      <c r="BC574" s="227"/>
      <c r="BD574" s="227"/>
      <c r="BE574" s="227"/>
      <c r="BF574" s="227"/>
    </row>
    <row r="575">
      <c r="A575" s="235" t="s">
        <v>5251</v>
      </c>
      <c r="C575" s="235" t="s">
        <v>5252</v>
      </c>
      <c r="D575" s="235" t="s">
        <v>5253</v>
      </c>
      <c r="E575" s="243">
        <v>6.56E13</v>
      </c>
      <c r="F575" s="245"/>
      <c r="G575" s="235" t="s">
        <v>5254</v>
      </c>
      <c r="H575" s="235" t="s">
        <v>5255</v>
      </c>
      <c r="I575" s="235" t="s">
        <v>5256</v>
      </c>
      <c r="J575" s="235" t="s">
        <v>5257</v>
      </c>
      <c r="K575" s="235" t="s">
        <v>5258</v>
      </c>
      <c r="N575" s="235" t="s">
        <v>68</v>
      </c>
      <c r="O575" s="235" t="s">
        <v>208</v>
      </c>
      <c r="P575" s="238">
        <v>1.0</v>
      </c>
      <c r="Q575" s="235" t="s">
        <v>627</v>
      </c>
      <c r="R575" s="238">
        <v>246.67</v>
      </c>
      <c r="S575" s="238">
        <v>12.08</v>
      </c>
      <c r="T575" s="238">
        <v>0.0</v>
      </c>
      <c r="U575" s="238">
        <v>0.0</v>
      </c>
      <c r="V575" s="238">
        <v>0.0</v>
      </c>
      <c r="W575" s="238">
        <v>0.0</v>
      </c>
      <c r="X575" s="235" t="s">
        <v>628</v>
      </c>
      <c r="Z575" s="244"/>
      <c r="AA575" s="244"/>
      <c r="AB575" s="244"/>
      <c r="AC575" s="235" t="s">
        <v>5260</v>
      </c>
      <c r="AD575" s="235" t="s">
        <v>5260</v>
      </c>
      <c r="AE575" s="238">
        <v>160022.0</v>
      </c>
      <c r="AF575" s="235" t="s">
        <v>631</v>
      </c>
      <c r="AG575" s="244"/>
      <c r="AH575" s="244"/>
      <c r="AI575" s="245"/>
      <c r="AJ575" s="245"/>
      <c r="AK575" s="245"/>
      <c r="AL575" s="245"/>
      <c r="AM575" s="244"/>
      <c r="AN575" s="244"/>
      <c r="AO575" s="238">
        <v>-4.93</v>
      </c>
      <c r="AP575" s="238">
        <v>0.0</v>
      </c>
      <c r="AQ575" s="235" t="s">
        <v>632</v>
      </c>
      <c r="AR575" s="243">
        <v>3.71E11</v>
      </c>
      <c r="AS575" s="235" t="s">
        <v>3284</v>
      </c>
      <c r="AT575" s="235" t="s">
        <v>14</v>
      </c>
      <c r="AU575" s="235" t="s">
        <v>634</v>
      </c>
      <c r="AV575" s="246" t="s">
        <v>635</v>
      </c>
      <c r="AW575" s="242"/>
      <c r="AX575" s="242"/>
      <c r="AY575" s="231"/>
      <c r="AZ575" s="231"/>
      <c r="BA575" s="227"/>
      <c r="BB575" s="231"/>
      <c r="BC575" s="227"/>
      <c r="BD575" s="227"/>
      <c r="BE575" s="227"/>
      <c r="BF575" s="227"/>
    </row>
    <row r="576">
      <c r="A576" s="235" t="s">
        <v>5263</v>
      </c>
      <c r="C576" s="235" t="s">
        <v>5264</v>
      </c>
      <c r="D576" s="235" t="s">
        <v>5265</v>
      </c>
      <c r="E576" s="243">
        <v>6.56E13</v>
      </c>
      <c r="F576" s="245"/>
      <c r="G576" s="235" t="s">
        <v>5266</v>
      </c>
      <c r="H576" s="235" t="s">
        <v>5268</v>
      </c>
      <c r="I576" s="235" t="s">
        <v>5268</v>
      </c>
      <c r="J576" s="235" t="s">
        <v>5269</v>
      </c>
      <c r="K576" s="235" t="s">
        <v>5270</v>
      </c>
      <c r="N576" s="235" t="s">
        <v>51</v>
      </c>
      <c r="O576" s="235" t="s">
        <v>273</v>
      </c>
      <c r="P576" s="238">
        <v>1.0</v>
      </c>
      <c r="Q576" s="235" t="s">
        <v>627</v>
      </c>
      <c r="R576" s="238">
        <v>237.14</v>
      </c>
      <c r="S576" s="238">
        <v>11.62</v>
      </c>
      <c r="T576" s="238">
        <v>0.0</v>
      </c>
      <c r="U576" s="238">
        <v>0.0</v>
      </c>
      <c r="V576" s="238">
        <v>0.0</v>
      </c>
      <c r="W576" s="238">
        <v>0.0</v>
      </c>
      <c r="X576" s="235" t="s">
        <v>628</v>
      </c>
      <c r="Z576" s="244"/>
      <c r="AA576" s="244"/>
      <c r="AB576" s="244"/>
      <c r="AC576" s="235" t="s">
        <v>697</v>
      </c>
      <c r="AD576" s="235" t="s">
        <v>698</v>
      </c>
      <c r="AE576" s="238">
        <v>500089.0</v>
      </c>
      <c r="AF576" s="235" t="s">
        <v>631</v>
      </c>
      <c r="AG576" s="244"/>
      <c r="AH576" s="244"/>
      <c r="AI576" s="245"/>
      <c r="AJ576" s="245"/>
      <c r="AK576" s="245"/>
      <c r="AL576" s="245"/>
      <c r="AM576" s="244"/>
      <c r="AN576" s="244"/>
      <c r="AO576" s="238">
        <v>-4.74</v>
      </c>
      <c r="AP576" s="238">
        <v>0.0</v>
      </c>
      <c r="AQ576" s="235" t="s">
        <v>632</v>
      </c>
      <c r="AR576" s="243">
        <v>1.68E11</v>
      </c>
      <c r="AS576" s="235" t="s">
        <v>3284</v>
      </c>
      <c r="AT576" s="235" t="s">
        <v>9</v>
      </c>
      <c r="AU576" s="235" t="s">
        <v>634</v>
      </c>
      <c r="AV576" s="246" t="s">
        <v>635</v>
      </c>
      <c r="AW576" s="242"/>
      <c r="AX576" s="242"/>
      <c r="AY576" s="231"/>
      <c r="AZ576" s="231"/>
      <c r="BA576" s="227"/>
      <c r="BB576" s="231"/>
      <c r="BC576" s="227"/>
      <c r="BD576" s="227"/>
      <c r="BE576" s="227"/>
      <c r="BF576" s="227"/>
    </row>
    <row r="577">
      <c r="A577" s="235" t="s">
        <v>5273</v>
      </c>
      <c r="C577" s="235" t="s">
        <v>5274</v>
      </c>
      <c r="D577" s="235" t="s">
        <v>5276</v>
      </c>
      <c r="E577" s="243">
        <v>6.56E13</v>
      </c>
      <c r="F577" s="245"/>
      <c r="G577" s="235" t="s">
        <v>5277</v>
      </c>
      <c r="H577" s="235" t="s">
        <v>5278</v>
      </c>
      <c r="I577" s="235" t="s">
        <v>5278</v>
      </c>
      <c r="J577" s="235" t="s">
        <v>5279</v>
      </c>
      <c r="K577" s="235" t="s">
        <v>5280</v>
      </c>
      <c r="N577" s="235" t="s">
        <v>0</v>
      </c>
      <c r="O577" s="235" t="s">
        <v>740</v>
      </c>
      <c r="P577" s="238">
        <v>1.0</v>
      </c>
      <c r="Q577" s="235" t="s">
        <v>627</v>
      </c>
      <c r="R577" s="238">
        <v>265.72</v>
      </c>
      <c r="S577" s="238">
        <v>13.28</v>
      </c>
      <c r="T577" s="238">
        <v>38.1</v>
      </c>
      <c r="U577" s="238">
        <v>1.9</v>
      </c>
      <c r="V577" s="238">
        <v>0.0</v>
      </c>
      <c r="W577" s="238">
        <v>0.0</v>
      </c>
      <c r="X577" s="235" t="s">
        <v>628</v>
      </c>
      <c r="Z577" s="244"/>
      <c r="AA577" s="244"/>
      <c r="AB577" s="244"/>
      <c r="AC577" s="235" t="s">
        <v>5282</v>
      </c>
      <c r="AD577" s="235" t="s">
        <v>679</v>
      </c>
      <c r="AE577" s="238">
        <v>571602.0</v>
      </c>
      <c r="AF577" s="235" t="s">
        <v>631</v>
      </c>
      <c r="AG577" s="244"/>
      <c r="AH577" s="244"/>
      <c r="AI577" s="245"/>
      <c r="AJ577" s="245"/>
      <c r="AK577" s="245"/>
      <c r="AL577" s="245"/>
      <c r="AM577" s="244"/>
      <c r="AN577" s="244"/>
      <c r="AO577" s="238">
        <v>0.0</v>
      </c>
      <c r="AP577" s="238">
        <v>-38.1</v>
      </c>
      <c r="AQ577" s="235" t="s">
        <v>632</v>
      </c>
      <c r="AR577" s="243">
        <v>3.71E11</v>
      </c>
      <c r="AS577" s="235" t="s">
        <v>3284</v>
      </c>
      <c r="AT577" s="235" t="s">
        <v>9</v>
      </c>
      <c r="AU577" s="235" t="s">
        <v>634</v>
      </c>
      <c r="AV577" s="246" t="s">
        <v>635</v>
      </c>
      <c r="AW577" s="242"/>
      <c r="AX577" s="242"/>
      <c r="AY577" s="231"/>
      <c r="AZ577" s="231"/>
      <c r="BA577" s="227"/>
      <c r="BB577" s="231"/>
      <c r="BC577" s="227"/>
      <c r="BD577" s="227"/>
      <c r="BE577" s="227"/>
      <c r="BF577" s="227"/>
    </row>
    <row r="578">
      <c r="A578" s="235" t="s">
        <v>5284</v>
      </c>
      <c r="C578" s="235" t="s">
        <v>5285</v>
      </c>
      <c r="D578" s="235" t="s">
        <v>5286</v>
      </c>
      <c r="E578" s="243">
        <v>6.56E13</v>
      </c>
      <c r="F578" s="245"/>
      <c r="G578" s="235" t="s">
        <v>5287</v>
      </c>
      <c r="H578" s="235" t="s">
        <v>5289</v>
      </c>
      <c r="I578" s="235" t="s">
        <v>5289</v>
      </c>
      <c r="J578" s="235" t="s">
        <v>5290</v>
      </c>
      <c r="K578" s="235" t="s">
        <v>5291</v>
      </c>
      <c r="N578" s="235" t="s">
        <v>53</v>
      </c>
      <c r="O578" s="235" t="s">
        <v>512</v>
      </c>
      <c r="P578" s="238">
        <v>1.0</v>
      </c>
      <c r="Q578" s="235" t="s">
        <v>627</v>
      </c>
      <c r="R578" s="238">
        <v>237.14</v>
      </c>
      <c r="S578" s="238">
        <v>11.86</v>
      </c>
      <c r="T578" s="238">
        <v>38.1</v>
      </c>
      <c r="U578" s="238">
        <v>1.9</v>
      </c>
      <c r="V578" s="238">
        <v>0.0</v>
      </c>
      <c r="W578" s="238">
        <v>0.0</v>
      </c>
      <c r="X578" s="235" t="s">
        <v>628</v>
      </c>
      <c r="Z578" s="244"/>
      <c r="AA578" s="244"/>
      <c r="AB578" s="244"/>
      <c r="AC578" s="235" t="s">
        <v>5203</v>
      </c>
      <c r="AD578" s="235" t="s">
        <v>666</v>
      </c>
      <c r="AE578" s="238">
        <v>636003.0</v>
      </c>
      <c r="AF578" s="235" t="s">
        <v>631</v>
      </c>
      <c r="AG578" s="244"/>
      <c r="AH578" s="244"/>
      <c r="AI578" s="245"/>
      <c r="AJ578" s="245"/>
      <c r="AK578" s="245"/>
      <c r="AL578" s="245"/>
      <c r="AM578" s="244"/>
      <c r="AN578" s="244"/>
      <c r="AO578" s="238">
        <v>0.0</v>
      </c>
      <c r="AP578" s="238">
        <v>-38.1</v>
      </c>
      <c r="AQ578" s="235" t="s">
        <v>632</v>
      </c>
      <c r="AR578" s="243">
        <v>3.71E11</v>
      </c>
      <c r="AS578" s="235" t="s">
        <v>3284</v>
      </c>
      <c r="AT578" s="235" t="s">
        <v>9</v>
      </c>
      <c r="AU578" s="235" t="s">
        <v>634</v>
      </c>
      <c r="AV578" s="246" t="s">
        <v>635</v>
      </c>
      <c r="AW578" s="242"/>
      <c r="AX578" s="242"/>
      <c r="AY578" s="231"/>
      <c r="AZ578" s="231"/>
      <c r="BA578" s="227"/>
      <c r="BB578" s="231"/>
      <c r="BC578" s="227"/>
      <c r="BD578" s="227"/>
      <c r="BE578" s="227"/>
      <c r="BF578" s="227"/>
    </row>
    <row r="579">
      <c r="A579" s="235" t="s">
        <v>5294</v>
      </c>
      <c r="C579" s="235" t="s">
        <v>5295</v>
      </c>
      <c r="D579" s="235" t="s">
        <v>5296</v>
      </c>
      <c r="E579" s="243">
        <v>6.56E13</v>
      </c>
      <c r="F579" s="245"/>
      <c r="G579" s="235" t="s">
        <v>5298</v>
      </c>
      <c r="H579" s="235" t="s">
        <v>5299</v>
      </c>
      <c r="I579" s="235" t="s">
        <v>5299</v>
      </c>
      <c r="J579" s="235" t="s">
        <v>5301</v>
      </c>
      <c r="K579" s="235" t="s">
        <v>5302</v>
      </c>
      <c r="N579" s="235" t="s">
        <v>726</v>
      </c>
      <c r="O579" s="235" t="s">
        <v>727</v>
      </c>
      <c r="P579" s="238">
        <v>1.0</v>
      </c>
      <c r="Q579" s="235" t="s">
        <v>627</v>
      </c>
      <c r="R579" s="238">
        <v>246.66</v>
      </c>
      <c r="S579" s="238">
        <v>12.34</v>
      </c>
      <c r="T579" s="238">
        <v>0.0</v>
      </c>
      <c r="U579" s="238">
        <v>0.0</v>
      </c>
      <c r="V579" s="238">
        <v>0.0</v>
      </c>
      <c r="W579" s="238">
        <v>0.0</v>
      </c>
      <c r="X579" s="235" t="s">
        <v>628</v>
      </c>
      <c r="Z579" s="244"/>
      <c r="AA579" s="244"/>
      <c r="AB579" s="244"/>
      <c r="AC579" s="235" t="s">
        <v>3527</v>
      </c>
      <c r="AD579" s="235" t="s">
        <v>845</v>
      </c>
      <c r="AE579" s="238">
        <v>431003.0</v>
      </c>
      <c r="AF579" s="235" t="s">
        <v>631</v>
      </c>
      <c r="AG579" s="244"/>
      <c r="AH579" s="244"/>
      <c r="AI579" s="245"/>
      <c r="AJ579" s="245"/>
      <c r="AK579" s="245"/>
      <c r="AL579" s="245"/>
      <c r="AM579" s="244"/>
      <c r="AN579" s="244"/>
      <c r="AO579" s="238">
        <v>0.0</v>
      </c>
      <c r="AP579" s="238">
        <v>0.0</v>
      </c>
      <c r="AQ579" s="235" t="s">
        <v>632</v>
      </c>
      <c r="AR579" s="243">
        <v>1.68E11</v>
      </c>
      <c r="AS579" s="235" t="s">
        <v>3284</v>
      </c>
      <c r="AT579" s="235" t="s">
        <v>546</v>
      </c>
      <c r="AU579" s="235" t="s">
        <v>634</v>
      </c>
      <c r="AV579" s="246" t="s">
        <v>635</v>
      </c>
      <c r="AW579" s="242"/>
      <c r="AX579" s="242"/>
      <c r="AY579" s="231"/>
      <c r="AZ579" s="231"/>
      <c r="BA579" s="227"/>
      <c r="BB579" s="231"/>
      <c r="BC579" s="227"/>
      <c r="BD579" s="227"/>
      <c r="BE579" s="227"/>
      <c r="BF579" s="227"/>
    </row>
    <row r="580">
      <c r="A580" s="235" t="s">
        <v>5305</v>
      </c>
      <c r="C580" s="235" t="s">
        <v>5306</v>
      </c>
      <c r="D580" s="235" t="s">
        <v>5307</v>
      </c>
      <c r="E580" s="243">
        <v>6.56E13</v>
      </c>
      <c r="F580" s="245"/>
      <c r="G580" s="235" t="s">
        <v>5309</v>
      </c>
      <c r="H580" s="235" t="s">
        <v>5310</v>
      </c>
      <c r="I580" s="235" t="s">
        <v>5310</v>
      </c>
      <c r="J580" s="235" t="s">
        <v>5311</v>
      </c>
      <c r="K580" s="235" t="s">
        <v>5312</v>
      </c>
      <c r="N580" s="235" t="s">
        <v>138</v>
      </c>
      <c r="O580" s="235" t="s">
        <v>675</v>
      </c>
      <c r="P580" s="238">
        <v>1.0</v>
      </c>
      <c r="Q580" s="235" t="s">
        <v>627</v>
      </c>
      <c r="R580" s="238">
        <v>246.67</v>
      </c>
      <c r="S580" s="238">
        <v>12.33</v>
      </c>
      <c r="T580" s="238">
        <v>0.0</v>
      </c>
      <c r="U580" s="238">
        <v>0.0</v>
      </c>
      <c r="V580" s="238">
        <v>0.0</v>
      </c>
      <c r="W580" s="238">
        <v>0.0</v>
      </c>
      <c r="X580" s="235" t="s">
        <v>628</v>
      </c>
      <c r="Z580" s="244"/>
      <c r="AA580" s="244"/>
      <c r="AB580" s="244"/>
      <c r="AC580" s="235" t="s">
        <v>3374</v>
      </c>
      <c r="AD580" s="235" t="s">
        <v>645</v>
      </c>
      <c r="AE580" s="238">
        <v>695035.0</v>
      </c>
      <c r="AF580" s="235" t="s">
        <v>631</v>
      </c>
      <c r="AG580" s="244"/>
      <c r="AH580" s="244"/>
      <c r="AI580" s="245"/>
      <c r="AJ580" s="245"/>
      <c r="AK580" s="245"/>
      <c r="AL580" s="245"/>
      <c r="AM580" s="244"/>
      <c r="AN580" s="244"/>
      <c r="AO580" s="238">
        <v>0.0</v>
      </c>
      <c r="AP580" s="238">
        <v>0.0</v>
      </c>
      <c r="AQ580" s="235" t="s">
        <v>632</v>
      </c>
      <c r="AR580" s="243">
        <v>1.68E11</v>
      </c>
      <c r="AS580" s="235" t="s">
        <v>3284</v>
      </c>
      <c r="AT580" s="235" t="s">
        <v>9</v>
      </c>
      <c r="AU580" s="235" t="s">
        <v>634</v>
      </c>
      <c r="AV580" s="246" t="s">
        <v>635</v>
      </c>
      <c r="AW580" s="242"/>
      <c r="AX580" s="242"/>
      <c r="AY580" s="231"/>
      <c r="AZ580" s="231"/>
      <c r="BA580" s="227"/>
      <c r="BB580" s="231"/>
      <c r="BC580" s="227"/>
      <c r="BD580" s="227"/>
      <c r="BE580" s="227"/>
      <c r="BF580" s="227"/>
    </row>
    <row r="581">
      <c r="A581" s="235" t="s">
        <v>5315</v>
      </c>
      <c r="C581" s="235" t="s">
        <v>5316</v>
      </c>
      <c r="D581" s="235" t="s">
        <v>5318</v>
      </c>
      <c r="E581" s="243">
        <v>6.56E13</v>
      </c>
      <c r="F581" s="245"/>
      <c r="G581" s="235" t="s">
        <v>5319</v>
      </c>
      <c r="H581" s="235" t="s">
        <v>5320</v>
      </c>
      <c r="I581" s="235" t="s">
        <v>5321</v>
      </c>
      <c r="J581" s="235" t="s">
        <v>5322</v>
      </c>
      <c r="K581" s="235" t="s">
        <v>5323</v>
      </c>
      <c r="N581" s="235" t="s">
        <v>42</v>
      </c>
      <c r="O581" s="235" t="s">
        <v>204</v>
      </c>
      <c r="P581" s="238">
        <v>1.0</v>
      </c>
      <c r="Q581" s="235" t="s">
        <v>627</v>
      </c>
      <c r="R581" s="238">
        <v>237.14</v>
      </c>
      <c r="S581" s="238">
        <v>11.62</v>
      </c>
      <c r="T581" s="238">
        <v>38.1</v>
      </c>
      <c r="U581" s="238">
        <v>1.9</v>
      </c>
      <c r="V581" s="238">
        <v>0.0</v>
      </c>
      <c r="W581" s="238">
        <v>0.0</v>
      </c>
      <c r="X581" s="235" t="s">
        <v>628</v>
      </c>
      <c r="Z581" s="244"/>
      <c r="AA581" s="244"/>
      <c r="AB581" s="244"/>
      <c r="AC581" s="235" t="s">
        <v>697</v>
      </c>
      <c r="AD581" s="235" t="s">
        <v>698</v>
      </c>
      <c r="AE581" s="238">
        <v>500059.0</v>
      </c>
      <c r="AF581" s="235" t="s">
        <v>631</v>
      </c>
      <c r="AG581" s="244"/>
      <c r="AH581" s="244"/>
      <c r="AI581" s="245"/>
      <c r="AJ581" s="245"/>
      <c r="AK581" s="245"/>
      <c r="AL581" s="245"/>
      <c r="AM581" s="244"/>
      <c r="AN581" s="244"/>
      <c r="AO581" s="238">
        <v>-4.74</v>
      </c>
      <c r="AP581" s="238">
        <v>-38.1</v>
      </c>
      <c r="AQ581" s="235" t="s">
        <v>632</v>
      </c>
      <c r="AR581" s="243">
        <v>3.71E11</v>
      </c>
      <c r="AS581" s="235" t="s">
        <v>2276</v>
      </c>
      <c r="AT581" s="235" t="s">
        <v>546</v>
      </c>
      <c r="AU581" s="235" t="s">
        <v>634</v>
      </c>
      <c r="AV581" s="246" t="s">
        <v>635</v>
      </c>
      <c r="AW581" s="242"/>
      <c r="AX581" s="242"/>
      <c r="AY581" s="231"/>
      <c r="AZ581" s="231"/>
      <c r="BA581" s="227"/>
      <c r="BB581" s="231"/>
      <c r="BC581" s="227"/>
      <c r="BD581" s="227"/>
      <c r="BE581" s="227"/>
      <c r="BF581" s="227"/>
    </row>
    <row r="582">
      <c r="A582" s="235" t="s">
        <v>5326</v>
      </c>
      <c r="C582" s="235" t="s">
        <v>5327</v>
      </c>
      <c r="D582" s="235" t="s">
        <v>5329</v>
      </c>
      <c r="E582" s="243">
        <v>6.56E13</v>
      </c>
      <c r="F582" s="245"/>
      <c r="G582" s="235" t="s">
        <v>5330</v>
      </c>
      <c r="H582" s="235" t="s">
        <v>5331</v>
      </c>
      <c r="I582" s="235" t="s">
        <v>5331</v>
      </c>
      <c r="J582" s="235" t="s">
        <v>5332</v>
      </c>
      <c r="K582" s="235" t="s">
        <v>5333</v>
      </c>
      <c r="N582" s="235" t="s">
        <v>138</v>
      </c>
      <c r="O582" s="235" t="s">
        <v>675</v>
      </c>
      <c r="P582" s="238">
        <v>1.0</v>
      </c>
      <c r="Q582" s="235" t="s">
        <v>627</v>
      </c>
      <c r="R582" s="238">
        <v>242.86</v>
      </c>
      <c r="S582" s="238">
        <v>12.14</v>
      </c>
      <c r="T582" s="238">
        <v>38.1</v>
      </c>
      <c r="U582" s="238">
        <v>1.9</v>
      </c>
      <c r="V582" s="238">
        <v>0.0</v>
      </c>
      <c r="W582" s="238">
        <v>0.0</v>
      </c>
      <c r="X582" s="235" t="s">
        <v>628</v>
      </c>
      <c r="Z582" s="244"/>
      <c r="AA582" s="244"/>
      <c r="AB582" s="244"/>
      <c r="AC582" s="235" t="s">
        <v>5335</v>
      </c>
      <c r="AD582" s="235" t="s">
        <v>833</v>
      </c>
      <c r="AE582" s="238">
        <v>521212.0</v>
      </c>
      <c r="AF582" s="235" t="s">
        <v>631</v>
      </c>
      <c r="AG582" s="244"/>
      <c r="AH582" s="244"/>
      <c r="AI582" s="245"/>
      <c r="AJ582" s="245"/>
      <c r="AK582" s="245"/>
      <c r="AL582" s="245"/>
      <c r="AM582" s="244"/>
      <c r="AN582" s="244"/>
      <c r="AO582" s="238">
        <v>0.0</v>
      </c>
      <c r="AP582" s="238">
        <v>-38.1</v>
      </c>
      <c r="AQ582" s="235" t="s">
        <v>632</v>
      </c>
      <c r="AR582" s="243">
        <v>3.71E11</v>
      </c>
      <c r="AS582" s="235" t="s">
        <v>2276</v>
      </c>
      <c r="AT582" s="235" t="s">
        <v>156</v>
      </c>
      <c r="AU582" s="235" t="s">
        <v>634</v>
      </c>
      <c r="AV582" s="246" t="s">
        <v>635</v>
      </c>
      <c r="AW582" s="242"/>
      <c r="AX582" s="242"/>
      <c r="AY582" s="231"/>
      <c r="AZ582" s="231"/>
      <c r="BA582" s="227"/>
      <c r="BB582" s="231"/>
      <c r="BC582" s="227"/>
      <c r="BD582" s="227"/>
      <c r="BE582" s="227"/>
      <c r="BF582" s="227"/>
    </row>
    <row r="583">
      <c r="A583" s="235" t="s">
        <v>5337</v>
      </c>
      <c r="C583" s="235" t="s">
        <v>5339</v>
      </c>
      <c r="D583" s="235" t="s">
        <v>5340</v>
      </c>
      <c r="E583" s="243">
        <v>6.56E13</v>
      </c>
      <c r="F583" s="245"/>
      <c r="G583" s="235" t="s">
        <v>5341</v>
      </c>
      <c r="H583" s="235" t="s">
        <v>5342</v>
      </c>
      <c r="I583" s="235" t="s">
        <v>5342</v>
      </c>
      <c r="J583" s="235" t="s">
        <v>5343</v>
      </c>
      <c r="K583" s="235" t="s">
        <v>5344</v>
      </c>
      <c r="N583" s="235" t="s">
        <v>1646</v>
      </c>
      <c r="O583" s="235" t="s">
        <v>1647</v>
      </c>
      <c r="P583" s="238">
        <v>1.0</v>
      </c>
      <c r="Q583" s="235" t="s">
        <v>627</v>
      </c>
      <c r="R583" s="238">
        <v>270.48</v>
      </c>
      <c r="S583" s="238">
        <v>13.52</v>
      </c>
      <c r="T583" s="238">
        <v>38.1</v>
      </c>
      <c r="U583" s="238">
        <v>1.9</v>
      </c>
      <c r="V583" s="238">
        <v>0.0</v>
      </c>
      <c r="W583" s="238">
        <v>0.0</v>
      </c>
      <c r="X583" s="235" t="s">
        <v>628</v>
      </c>
      <c r="Z583" s="244"/>
      <c r="AA583" s="244"/>
      <c r="AB583" s="244"/>
      <c r="AC583" s="235" t="s">
        <v>5346</v>
      </c>
      <c r="AD583" s="235" t="s">
        <v>630</v>
      </c>
      <c r="AE583" s="238">
        <v>209726.0</v>
      </c>
      <c r="AF583" s="235" t="s">
        <v>631</v>
      </c>
      <c r="AG583" s="244"/>
      <c r="AH583" s="244"/>
      <c r="AI583" s="245"/>
      <c r="AJ583" s="245"/>
      <c r="AK583" s="245"/>
      <c r="AL583" s="245"/>
      <c r="AM583" s="244"/>
      <c r="AN583" s="244"/>
      <c r="AO583" s="238">
        <v>0.0</v>
      </c>
      <c r="AP583" s="238">
        <v>-38.1</v>
      </c>
      <c r="AQ583" s="235" t="s">
        <v>632</v>
      </c>
      <c r="AR583" s="243">
        <v>3.71E11</v>
      </c>
      <c r="AS583" s="235" t="s">
        <v>2276</v>
      </c>
      <c r="AT583" s="235" t="s">
        <v>13</v>
      </c>
      <c r="AU583" s="235" t="s">
        <v>634</v>
      </c>
      <c r="AV583" s="246" t="s">
        <v>635</v>
      </c>
      <c r="AW583" s="242"/>
      <c r="AX583" s="242"/>
      <c r="AY583" s="231"/>
      <c r="AZ583" s="231"/>
      <c r="BA583" s="227"/>
      <c r="BB583" s="231"/>
      <c r="BC583" s="227"/>
      <c r="BD583" s="227"/>
      <c r="BE583" s="227"/>
      <c r="BF583" s="227"/>
    </row>
    <row r="584">
      <c r="A584" s="235" t="s">
        <v>5349</v>
      </c>
      <c r="C584" s="235" t="s">
        <v>5350</v>
      </c>
      <c r="D584" s="235" t="s">
        <v>5351</v>
      </c>
      <c r="E584" s="243">
        <v>6.56E13</v>
      </c>
      <c r="F584" s="245"/>
      <c r="G584" s="235" t="s">
        <v>5352</v>
      </c>
      <c r="H584" s="235" t="s">
        <v>5353</v>
      </c>
      <c r="I584" s="235" t="s">
        <v>5353</v>
      </c>
      <c r="J584" s="235" t="s">
        <v>5354</v>
      </c>
      <c r="K584" s="235" t="s">
        <v>5355</v>
      </c>
      <c r="N584" s="235" t="s">
        <v>47</v>
      </c>
      <c r="O584" s="235" t="s">
        <v>270</v>
      </c>
      <c r="P584" s="238">
        <v>1.0</v>
      </c>
      <c r="Q584" s="235" t="s">
        <v>627</v>
      </c>
      <c r="R584" s="238">
        <v>237.14</v>
      </c>
      <c r="S584" s="238">
        <v>11.86</v>
      </c>
      <c r="T584" s="238">
        <v>38.1</v>
      </c>
      <c r="U584" s="238">
        <v>1.9</v>
      </c>
      <c r="V584" s="238">
        <v>0.0</v>
      </c>
      <c r="W584" s="238">
        <v>0.0</v>
      </c>
      <c r="X584" s="235" t="s">
        <v>628</v>
      </c>
      <c r="Z584" s="244"/>
      <c r="AA584" s="244"/>
      <c r="AB584" s="244"/>
      <c r="AC584" s="235" t="s">
        <v>5357</v>
      </c>
      <c r="AD584" s="235" t="s">
        <v>666</v>
      </c>
      <c r="AE584" s="238">
        <v>641104.0</v>
      </c>
      <c r="AF584" s="235" t="s">
        <v>631</v>
      </c>
      <c r="AG584" s="244"/>
      <c r="AH584" s="244"/>
      <c r="AI584" s="245"/>
      <c r="AJ584" s="245"/>
      <c r="AK584" s="245"/>
      <c r="AL584" s="245"/>
      <c r="AM584" s="244"/>
      <c r="AN584" s="244"/>
      <c r="AO584" s="238">
        <v>0.0</v>
      </c>
      <c r="AP584" s="238">
        <v>-38.1</v>
      </c>
      <c r="AQ584" s="235" t="s">
        <v>632</v>
      </c>
      <c r="AR584" s="243">
        <v>3.71E11</v>
      </c>
      <c r="AS584" s="235" t="s">
        <v>3284</v>
      </c>
      <c r="AT584" s="235" t="s">
        <v>9</v>
      </c>
      <c r="AU584" s="235" t="s">
        <v>634</v>
      </c>
      <c r="AV584" s="246" t="s">
        <v>635</v>
      </c>
      <c r="AW584" s="242"/>
      <c r="AX584" s="242"/>
      <c r="AY584" s="231"/>
      <c r="AZ584" s="231"/>
      <c r="BA584" s="227"/>
      <c r="BB584" s="231"/>
      <c r="BC584" s="227"/>
      <c r="BD584" s="227"/>
      <c r="BE584" s="227"/>
      <c r="BF584" s="227"/>
    </row>
    <row r="585">
      <c r="A585" s="235" t="s">
        <v>5360</v>
      </c>
      <c r="C585" s="235" t="s">
        <v>5361</v>
      </c>
      <c r="D585" s="235" t="s">
        <v>5362</v>
      </c>
      <c r="E585" s="243">
        <v>6.56E13</v>
      </c>
      <c r="F585" s="245"/>
      <c r="G585" s="235" t="s">
        <v>5363</v>
      </c>
      <c r="H585" s="235" t="s">
        <v>5364</v>
      </c>
      <c r="I585" s="235" t="s">
        <v>5364</v>
      </c>
      <c r="J585" s="235" t="s">
        <v>5365</v>
      </c>
      <c r="K585" s="235" t="s">
        <v>5366</v>
      </c>
      <c r="N585" s="235" t="s">
        <v>0</v>
      </c>
      <c r="O585" s="235" t="s">
        <v>740</v>
      </c>
      <c r="P585" s="238">
        <v>1.0</v>
      </c>
      <c r="Q585" s="235" t="s">
        <v>627</v>
      </c>
      <c r="R585" s="238">
        <v>265.71</v>
      </c>
      <c r="S585" s="238">
        <v>12.89</v>
      </c>
      <c r="T585" s="238">
        <v>0.0</v>
      </c>
      <c r="U585" s="238">
        <v>0.0</v>
      </c>
      <c r="V585" s="238">
        <v>0.0</v>
      </c>
      <c r="W585" s="238">
        <v>0.0</v>
      </c>
      <c r="X585" s="235" t="s">
        <v>628</v>
      </c>
      <c r="Z585" s="244"/>
      <c r="AA585" s="244"/>
      <c r="AB585" s="244"/>
      <c r="AC585" s="235" t="s">
        <v>5369</v>
      </c>
      <c r="AD585" s="235" t="s">
        <v>854</v>
      </c>
      <c r="AE585" s="238">
        <v>403511.0</v>
      </c>
      <c r="AF585" s="235" t="s">
        <v>631</v>
      </c>
      <c r="AG585" s="244"/>
      <c r="AH585" s="244"/>
      <c r="AI585" s="245"/>
      <c r="AJ585" s="245"/>
      <c r="AK585" s="245"/>
      <c r="AL585" s="245"/>
      <c r="AM585" s="244"/>
      <c r="AN585" s="244"/>
      <c r="AO585" s="238">
        <v>-7.97</v>
      </c>
      <c r="AP585" s="238">
        <v>0.0</v>
      </c>
      <c r="AQ585" s="235" t="s">
        <v>632</v>
      </c>
      <c r="AR585" s="243">
        <v>1.68E11</v>
      </c>
      <c r="AS585" s="235" t="s">
        <v>2276</v>
      </c>
      <c r="AT585" s="235" t="s">
        <v>546</v>
      </c>
      <c r="AU585" s="235" t="s">
        <v>634</v>
      </c>
      <c r="AV585" s="246" t="s">
        <v>635</v>
      </c>
      <c r="AW585" s="242"/>
      <c r="AX585" s="242"/>
      <c r="AY585" s="231"/>
      <c r="AZ585" s="231"/>
      <c r="BA585" s="227"/>
      <c r="BB585" s="231"/>
      <c r="BC585" s="227"/>
      <c r="BD585" s="227"/>
      <c r="BE585" s="227"/>
      <c r="BF585" s="227"/>
    </row>
    <row r="586">
      <c r="A586" s="235" t="s">
        <v>5360</v>
      </c>
      <c r="C586" s="235" t="s">
        <v>5361</v>
      </c>
      <c r="D586" s="235" t="s">
        <v>5372</v>
      </c>
      <c r="E586" s="243">
        <v>6.56E13</v>
      </c>
      <c r="F586" s="245"/>
      <c r="G586" s="235" t="s">
        <v>5363</v>
      </c>
      <c r="H586" s="235" t="s">
        <v>5364</v>
      </c>
      <c r="I586" s="235" t="s">
        <v>5364</v>
      </c>
      <c r="J586" s="235" t="s">
        <v>5365</v>
      </c>
      <c r="K586" s="235" t="s">
        <v>5366</v>
      </c>
      <c r="N586" s="235" t="s">
        <v>0</v>
      </c>
      <c r="O586" s="235" t="s">
        <v>740</v>
      </c>
      <c r="P586" s="238">
        <v>1.0</v>
      </c>
      <c r="Q586" s="235" t="s">
        <v>627</v>
      </c>
      <c r="R586" s="238">
        <v>265.71</v>
      </c>
      <c r="S586" s="238">
        <v>12.89</v>
      </c>
      <c r="T586" s="238">
        <v>0.0</v>
      </c>
      <c r="U586" s="238">
        <v>0.0</v>
      </c>
      <c r="V586" s="238">
        <v>0.0</v>
      </c>
      <c r="W586" s="238">
        <v>0.0</v>
      </c>
      <c r="X586" s="235" t="s">
        <v>628</v>
      </c>
      <c r="Z586" s="244"/>
      <c r="AA586" s="244"/>
      <c r="AB586" s="244"/>
      <c r="AC586" s="235" t="s">
        <v>5369</v>
      </c>
      <c r="AD586" s="235" t="s">
        <v>854</v>
      </c>
      <c r="AE586" s="238">
        <v>403511.0</v>
      </c>
      <c r="AF586" s="235" t="s">
        <v>631</v>
      </c>
      <c r="AG586" s="244"/>
      <c r="AH586" s="244"/>
      <c r="AI586" s="245"/>
      <c r="AJ586" s="245"/>
      <c r="AK586" s="245"/>
      <c r="AL586" s="245"/>
      <c r="AM586" s="244"/>
      <c r="AN586" s="244"/>
      <c r="AO586" s="238">
        <v>-7.97</v>
      </c>
      <c r="AP586" s="238">
        <v>0.0</v>
      </c>
      <c r="AQ586" s="235" t="s">
        <v>632</v>
      </c>
      <c r="AR586" s="243">
        <v>1.68E11</v>
      </c>
      <c r="AS586" s="235" t="s">
        <v>2276</v>
      </c>
      <c r="AT586" s="235" t="s">
        <v>546</v>
      </c>
      <c r="AU586" s="235" t="s">
        <v>634</v>
      </c>
      <c r="AV586" s="246" t="s">
        <v>635</v>
      </c>
      <c r="AW586" s="242"/>
      <c r="AX586" s="242"/>
      <c r="AY586" s="231"/>
      <c r="AZ586" s="231"/>
      <c r="BA586" s="227"/>
      <c r="BB586" s="231"/>
      <c r="BC586" s="227"/>
      <c r="BD586" s="227"/>
      <c r="BE586" s="227"/>
      <c r="BF586" s="227"/>
    </row>
    <row r="587">
      <c r="A587" s="235" t="s">
        <v>5360</v>
      </c>
      <c r="C587" s="235" t="s">
        <v>5361</v>
      </c>
      <c r="D587" s="235" t="s">
        <v>5376</v>
      </c>
      <c r="E587" s="243">
        <v>6.56E13</v>
      </c>
      <c r="F587" s="245"/>
      <c r="G587" s="235" t="s">
        <v>5363</v>
      </c>
      <c r="H587" s="235" t="s">
        <v>5364</v>
      </c>
      <c r="I587" s="235" t="s">
        <v>5364</v>
      </c>
      <c r="J587" s="235" t="s">
        <v>5365</v>
      </c>
      <c r="K587" s="235" t="s">
        <v>5366</v>
      </c>
      <c r="N587" s="235" t="s">
        <v>0</v>
      </c>
      <c r="O587" s="235" t="s">
        <v>740</v>
      </c>
      <c r="P587" s="238">
        <v>1.0</v>
      </c>
      <c r="Q587" s="235" t="s">
        <v>627</v>
      </c>
      <c r="R587" s="238">
        <v>265.71</v>
      </c>
      <c r="S587" s="238">
        <v>12.89</v>
      </c>
      <c r="T587" s="238">
        <v>0.0</v>
      </c>
      <c r="U587" s="238">
        <v>0.0</v>
      </c>
      <c r="V587" s="238">
        <v>0.0</v>
      </c>
      <c r="W587" s="238">
        <v>0.0</v>
      </c>
      <c r="X587" s="235" t="s">
        <v>628</v>
      </c>
      <c r="Z587" s="244"/>
      <c r="AA587" s="244"/>
      <c r="AB587" s="244"/>
      <c r="AC587" s="235" t="s">
        <v>5369</v>
      </c>
      <c r="AD587" s="235" t="s">
        <v>854</v>
      </c>
      <c r="AE587" s="238">
        <v>403511.0</v>
      </c>
      <c r="AF587" s="235" t="s">
        <v>631</v>
      </c>
      <c r="AG587" s="244"/>
      <c r="AH587" s="244"/>
      <c r="AI587" s="245"/>
      <c r="AJ587" s="245"/>
      <c r="AK587" s="245"/>
      <c r="AL587" s="245"/>
      <c r="AM587" s="244"/>
      <c r="AN587" s="244"/>
      <c r="AO587" s="238">
        <v>-7.97</v>
      </c>
      <c r="AP587" s="238">
        <v>0.0</v>
      </c>
      <c r="AQ587" s="235" t="s">
        <v>632</v>
      </c>
      <c r="AR587" s="243">
        <v>1.68E11</v>
      </c>
      <c r="AS587" s="235" t="s">
        <v>2276</v>
      </c>
      <c r="AT587" s="235" t="s">
        <v>546</v>
      </c>
      <c r="AU587" s="235" t="s">
        <v>634</v>
      </c>
      <c r="AV587" s="246" t="s">
        <v>635</v>
      </c>
      <c r="AW587" s="242"/>
      <c r="AX587" s="242"/>
      <c r="AY587" s="231"/>
      <c r="AZ587" s="231"/>
      <c r="BA587" s="227"/>
      <c r="BB587" s="231"/>
      <c r="BC587" s="227"/>
      <c r="BD587" s="227"/>
      <c r="BE587" s="227"/>
      <c r="BF587" s="227"/>
    </row>
    <row r="588">
      <c r="A588" s="235" t="s">
        <v>5360</v>
      </c>
      <c r="C588" s="235" t="s">
        <v>5361</v>
      </c>
      <c r="D588" s="235" t="s">
        <v>5379</v>
      </c>
      <c r="E588" s="243">
        <v>6.56E13</v>
      </c>
      <c r="F588" s="245"/>
      <c r="G588" s="235" t="s">
        <v>5363</v>
      </c>
      <c r="H588" s="235" t="s">
        <v>5364</v>
      </c>
      <c r="I588" s="235" t="s">
        <v>5364</v>
      </c>
      <c r="J588" s="235" t="s">
        <v>5365</v>
      </c>
      <c r="K588" s="235" t="s">
        <v>5366</v>
      </c>
      <c r="N588" s="235" t="s">
        <v>0</v>
      </c>
      <c r="O588" s="235" t="s">
        <v>740</v>
      </c>
      <c r="P588" s="238">
        <v>1.0</v>
      </c>
      <c r="Q588" s="235" t="s">
        <v>627</v>
      </c>
      <c r="R588" s="238">
        <v>265.71</v>
      </c>
      <c r="S588" s="238">
        <v>12.89</v>
      </c>
      <c r="T588" s="238">
        <v>0.0</v>
      </c>
      <c r="U588" s="238">
        <v>0.0</v>
      </c>
      <c r="V588" s="238">
        <v>0.0</v>
      </c>
      <c r="W588" s="238">
        <v>0.0</v>
      </c>
      <c r="X588" s="235" t="s">
        <v>628</v>
      </c>
      <c r="Z588" s="244"/>
      <c r="AA588" s="244"/>
      <c r="AB588" s="244"/>
      <c r="AC588" s="235" t="s">
        <v>5369</v>
      </c>
      <c r="AD588" s="235" t="s">
        <v>854</v>
      </c>
      <c r="AE588" s="238">
        <v>403511.0</v>
      </c>
      <c r="AF588" s="235" t="s">
        <v>631</v>
      </c>
      <c r="AG588" s="244"/>
      <c r="AH588" s="244"/>
      <c r="AI588" s="245"/>
      <c r="AJ588" s="245"/>
      <c r="AK588" s="245"/>
      <c r="AL588" s="245"/>
      <c r="AM588" s="244"/>
      <c r="AN588" s="244"/>
      <c r="AO588" s="238">
        <v>-7.97</v>
      </c>
      <c r="AP588" s="238">
        <v>0.0</v>
      </c>
      <c r="AQ588" s="235" t="s">
        <v>632</v>
      </c>
      <c r="AR588" s="243">
        <v>1.68E11</v>
      </c>
      <c r="AS588" s="235" t="s">
        <v>2276</v>
      </c>
      <c r="AT588" s="235" t="s">
        <v>546</v>
      </c>
      <c r="AU588" s="235" t="s">
        <v>634</v>
      </c>
      <c r="AV588" s="246" t="s">
        <v>635</v>
      </c>
      <c r="AW588" s="242"/>
      <c r="AX588" s="242"/>
      <c r="AY588" s="231"/>
      <c r="AZ588" s="231"/>
      <c r="BA588" s="227"/>
      <c r="BB588" s="231"/>
      <c r="BC588" s="227"/>
      <c r="BD588" s="227"/>
      <c r="BE588" s="227"/>
      <c r="BF588" s="227"/>
    </row>
    <row r="589">
      <c r="A589" s="235" t="s">
        <v>5383</v>
      </c>
      <c r="C589" s="235" t="s">
        <v>5384</v>
      </c>
      <c r="D589" s="235" t="s">
        <v>5385</v>
      </c>
      <c r="E589" s="243">
        <v>6.56E13</v>
      </c>
      <c r="F589" s="245"/>
      <c r="G589" s="235" t="s">
        <v>5386</v>
      </c>
      <c r="H589" s="235" t="s">
        <v>5387</v>
      </c>
      <c r="I589" s="235" t="s">
        <v>5387</v>
      </c>
      <c r="J589" s="235" t="s">
        <v>5389</v>
      </c>
      <c r="K589" s="235" t="s">
        <v>1687</v>
      </c>
      <c r="N589" s="235" t="s">
        <v>43</v>
      </c>
      <c r="O589" s="235" t="s">
        <v>276</v>
      </c>
      <c r="P589" s="238">
        <v>1.0</v>
      </c>
      <c r="Q589" s="235" t="s">
        <v>627</v>
      </c>
      <c r="R589" s="238">
        <v>237.14</v>
      </c>
      <c r="S589" s="238">
        <v>11.86</v>
      </c>
      <c r="T589" s="238">
        <v>38.1</v>
      </c>
      <c r="U589" s="238">
        <v>1.9</v>
      </c>
      <c r="V589" s="238">
        <v>0.0</v>
      </c>
      <c r="W589" s="238">
        <v>0.0</v>
      </c>
      <c r="X589" s="235" t="s">
        <v>628</v>
      </c>
      <c r="Z589" s="244"/>
      <c r="AA589" s="244"/>
      <c r="AB589" s="244"/>
      <c r="AC589" s="235" t="s">
        <v>697</v>
      </c>
      <c r="AD589" s="235" t="s">
        <v>698</v>
      </c>
      <c r="AE589" s="238">
        <v>500090.0</v>
      </c>
      <c r="AF589" s="235" t="s">
        <v>631</v>
      </c>
      <c r="AG589" s="244"/>
      <c r="AH589" s="244"/>
      <c r="AI589" s="245"/>
      <c r="AJ589" s="245"/>
      <c r="AK589" s="245"/>
      <c r="AL589" s="245"/>
      <c r="AM589" s="244"/>
      <c r="AN589" s="244"/>
      <c r="AO589" s="238">
        <v>0.0</v>
      </c>
      <c r="AP589" s="238">
        <v>-38.1</v>
      </c>
      <c r="AQ589" s="235" t="s">
        <v>632</v>
      </c>
      <c r="AR589" s="243">
        <v>3.71E11</v>
      </c>
      <c r="AS589" s="235" t="s">
        <v>2276</v>
      </c>
      <c r="AT589" s="235" t="s">
        <v>546</v>
      </c>
      <c r="AU589" s="235" t="s">
        <v>634</v>
      </c>
      <c r="AV589" s="246" t="s">
        <v>635</v>
      </c>
      <c r="AW589" s="242"/>
      <c r="AX589" s="242"/>
      <c r="AY589" s="231"/>
      <c r="AZ589" s="231"/>
      <c r="BA589" s="227"/>
      <c r="BB589" s="231"/>
      <c r="BC589" s="227"/>
      <c r="BD589" s="227"/>
      <c r="BE589" s="227"/>
      <c r="BF589" s="227"/>
    </row>
    <row r="590">
      <c r="A590" s="235" t="s">
        <v>5392</v>
      </c>
      <c r="C590" s="235" t="s">
        <v>5393</v>
      </c>
      <c r="D590" s="235" t="s">
        <v>5394</v>
      </c>
      <c r="E590" s="243">
        <v>6.56E13</v>
      </c>
      <c r="F590" s="245"/>
      <c r="G590" s="235" t="s">
        <v>5395</v>
      </c>
      <c r="H590" s="235" t="s">
        <v>5396</v>
      </c>
      <c r="I590" s="235" t="s">
        <v>5396</v>
      </c>
      <c r="J590" s="235" t="s">
        <v>5397</v>
      </c>
      <c r="K590" s="235" t="s">
        <v>5398</v>
      </c>
      <c r="N590" s="235" t="s">
        <v>54</v>
      </c>
      <c r="O590" s="235" t="s">
        <v>294</v>
      </c>
      <c r="P590" s="238">
        <v>1.0</v>
      </c>
      <c r="Q590" s="235" t="s">
        <v>627</v>
      </c>
      <c r="R590" s="238">
        <v>246.66</v>
      </c>
      <c r="S590" s="238">
        <v>12.34</v>
      </c>
      <c r="T590" s="238">
        <v>38.1</v>
      </c>
      <c r="U590" s="238">
        <v>1.9</v>
      </c>
      <c r="V590" s="238">
        <v>0.0</v>
      </c>
      <c r="W590" s="238">
        <v>0.0</v>
      </c>
      <c r="X590" s="235" t="s">
        <v>628</v>
      </c>
      <c r="Z590" s="244"/>
      <c r="AA590" s="244"/>
      <c r="AB590" s="244"/>
      <c r="AC590" s="235" t="s">
        <v>5400</v>
      </c>
      <c r="AD590" s="235" t="s">
        <v>679</v>
      </c>
      <c r="AE590" s="238">
        <v>575022.0</v>
      </c>
      <c r="AF590" s="235" t="s">
        <v>631</v>
      </c>
      <c r="AG590" s="244"/>
      <c r="AH590" s="244"/>
      <c r="AI590" s="245"/>
      <c r="AJ590" s="245"/>
      <c r="AK590" s="245"/>
      <c r="AL590" s="245"/>
      <c r="AM590" s="244"/>
      <c r="AN590" s="244"/>
      <c r="AO590" s="238">
        <v>0.0</v>
      </c>
      <c r="AP590" s="238">
        <v>-38.1</v>
      </c>
      <c r="AQ590" s="235" t="s">
        <v>632</v>
      </c>
      <c r="AR590" s="243">
        <v>3.71E11</v>
      </c>
      <c r="AS590" s="235" t="s">
        <v>3284</v>
      </c>
      <c r="AT590" s="235" t="s">
        <v>11</v>
      </c>
      <c r="AU590" s="235" t="s">
        <v>634</v>
      </c>
      <c r="AV590" s="246" t="s">
        <v>635</v>
      </c>
      <c r="AW590" s="242"/>
      <c r="AX590" s="242"/>
      <c r="AY590" s="231"/>
      <c r="AZ590" s="231"/>
      <c r="BA590" s="227"/>
      <c r="BB590" s="231"/>
      <c r="BC590" s="227"/>
      <c r="BD590" s="227"/>
      <c r="BE590" s="227"/>
      <c r="BF590" s="227"/>
    </row>
    <row r="591">
      <c r="A591" s="235" t="s">
        <v>5403</v>
      </c>
      <c r="C591" s="235" t="s">
        <v>5404</v>
      </c>
      <c r="D591" s="235" t="s">
        <v>5405</v>
      </c>
      <c r="E591" s="243">
        <v>6.56E13</v>
      </c>
      <c r="F591" s="245"/>
      <c r="G591" s="235" t="s">
        <v>5406</v>
      </c>
      <c r="H591" s="235" t="s">
        <v>5407</v>
      </c>
      <c r="I591" s="235" t="s">
        <v>5407</v>
      </c>
      <c r="J591" s="235" t="s">
        <v>5408</v>
      </c>
      <c r="K591" s="235" t="s">
        <v>5409</v>
      </c>
      <c r="N591" s="235" t="s">
        <v>153</v>
      </c>
      <c r="O591" s="235" t="s">
        <v>390</v>
      </c>
      <c r="P591" s="238">
        <v>1.0</v>
      </c>
      <c r="Q591" s="235" t="s">
        <v>627</v>
      </c>
      <c r="R591" s="238">
        <v>490.68</v>
      </c>
      <c r="S591" s="238">
        <v>86.55</v>
      </c>
      <c r="T591" s="238">
        <v>0.0</v>
      </c>
      <c r="U591" s="238">
        <v>0.0</v>
      </c>
      <c r="V591" s="238">
        <v>0.0</v>
      </c>
      <c r="W591" s="238">
        <v>0.0</v>
      </c>
      <c r="X591" s="235" t="s">
        <v>628</v>
      </c>
      <c r="Z591" s="244"/>
      <c r="AA591" s="244"/>
      <c r="AB591" s="244"/>
      <c r="AC591" s="235" t="s">
        <v>5412</v>
      </c>
      <c r="AD591" s="235" t="s">
        <v>908</v>
      </c>
      <c r="AE591" s="238">
        <v>263153.0</v>
      </c>
      <c r="AF591" s="235" t="s">
        <v>631</v>
      </c>
      <c r="AG591" s="244"/>
      <c r="AH591" s="244"/>
      <c r="AI591" s="245"/>
      <c r="AJ591" s="245"/>
      <c r="AK591" s="245"/>
      <c r="AL591" s="245"/>
      <c r="AM591" s="244"/>
      <c r="AN591" s="244"/>
      <c r="AO591" s="238">
        <v>-9.81</v>
      </c>
      <c r="AP591" s="238">
        <v>0.0</v>
      </c>
      <c r="AQ591" s="235" t="s">
        <v>632</v>
      </c>
      <c r="AR591" s="243">
        <v>3.71E11</v>
      </c>
      <c r="AS591" s="235" t="s">
        <v>1367</v>
      </c>
      <c r="AT591" s="235" t="s">
        <v>533</v>
      </c>
      <c r="AU591" s="235" t="s">
        <v>634</v>
      </c>
      <c r="AV591" s="246" t="s">
        <v>635</v>
      </c>
      <c r="AW591" s="242"/>
      <c r="AX591" s="242"/>
      <c r="AY591" s="231"/>
      <c r="AZ591" s="231"/>
      <c r="BA591" s="227"/>
      <c r="BB591" s="231"/>
      <c r="BC591" s="227"/>
      <c r="BD591" s="227"/>
      <c r="BE591" s="227"/>
      <c r="BF591" s="227"/>
    </row>
    <row r="592">
      <c r="A592" s="235" t="s">
        <v>5414</v>
      </c>
      <c r="C592" s="235" t="s">
        <v>5416</v>
      </c>
      <c r="D592" s="235" t="s">
        <v>5417</v>
      </c>
      <c r="E592" s="243">
        <v>6.56E13</v>
      </c>
      <c r="F592" s="245"/>
      <c r="G592" s="235" t="s">
        <v>5418</v>
      </c>
      <c r="H592" s="235" t="s">
        <v>5419</v>
      </c>
      <c r="I592" s="235" t="s">
        <v>5419</v>
      </c>
      <c r="J592" s="235" t="s">
        <v>5420</v>
      </c>
      <c r="K592" s="235" t="s">
        <v>5421</v>
      </c>
      <c r="N592" s="235" t="s">
        <v>90</v>
      </c>
      <c r="O592" s="235" t="s">
        <v>279</v>
      </c>
      <c r="P592" s="238">
        <v>1.0</v>
      </c>
      <c r="Q592" s="235" t="s">
        <v>627</v>
      </c>
      <c r="R592" s="238">
        <v>246.67</v>
      </c>
      <c r="S592" s="238">
        <v>12.33</v>
      </c>
      <c r="T592" s="238">
        <v>0.0</v>
      </c>
      <c r="U592" s="238">
        <v>0.0</v>
      </c>
      <c r="V592" s="238">
        <v>0.0</v>
      </c>
      <c r="W592" s="238">
        <v>0.0</v>
      </c>
      <c r="X592" s="235" t="s">
        <v>628</v>
      </c>
      <c r="Z592" s="244"/>
      <c r="AA592" s="244"/>
      <c r="AB592" s="244"/>
      <c r="AC592" s="235" t="s">
        <v>2493</v>
      </c>
      <c r="AD592" s="235" t="s">
        <v>833</v>
      </c>
      <c r="AE592" s="238">
        <v>520004.0</v>
      </c>
      <c r="AF592" s="235" t="s">
        <v>631</v>
      </c>
      <c r="AG592" s="244"/>
      <c r="AH592" s="244"/>
      <c r="AI592" s="245"/>
      <c r="AJ592" s="245"/>
      <c r="AK592" s="245"/>
      <c r="AL592" s="245"/>
      <c r="AM592" s="244"/>
      <c r="AN592" s="244"/>
      <c r="AO592" s="238">
        <v>0.0</v>
      </c>
      <c r="AP592" s="238">
        <v>0.0</v>
      </c>
      <c r="AQ592" s="235" t="s">
        <v>632</v>
      </c>
      <c r="AR592" s="243">
        <v>1.68E11</v>
      </c>
      <c r="AS592" s="235" t="s">
        <v>3284</v>
      </c>
      <c r="AT592" s="235" t="s">
        <v>156</v>
      </c>
      <c r="AU592" s="235" t="s">
        <v>634</v>
      </c>
      <c r="AV592" s="246" t="s">
        <v>635</v>
      </c>
      <c r="AW592" s="242"/>
      <c r="AX592" s="242"/>
      <c r="AY592" s="231"/>
      <c r="AZ592" s="231"/>
      <c r="BA592" s="227"/>
      <c r="BB592" s="231"/>
      <c r="BC592" s="227"/>
      <c r="BD592" s="227"/>
      <c r="BE592" s="227"/>
      <c r="BF592" s="227"/>
    </row>
    <row r="593">
      <c r="A593" s="235" t="s">
        <v>5424</v>
      </c>
      <c r="C593" s="235" t="s">
        <v>5425</v>
      </c>
      <c r="D593" s="235" t="s">
        <v>5426</v>
      </c>
      <c r="E593" s="243">
        <v>6.56E13</v>
      </c>
      <c r="F593" s="245"/>
      <c r="G593" s="235" t="s">
        <v>5427</v>
      </c>
      <c r="H593" s="235" t="s">
        <v>5428</v>
      </c>
      <c r="I593" s="235" t="s">
        <v>5428</v>
      </c>
      <c r="J593" s="235" t="s">
        <v>5429</v>
      </c>
      <c r="K593" s="235" t="s">
        <v>5431</v>
      </c>
      <c r="N593" s="235" t="s">
        <v>39</v>
      </c>
      <c r="O593" s="235" t="s">
        <v>291</v>
      </c>
      <c r="P593" s="238">
        <v>1.0</v>
      </c>
      <c r="Q593" s="235" t="s">
        <v>627</v>
      </c>
      <c r="R593" s="238">
        <v>270.48</v>
      </c>
      <c r="S593" s="238">
        <v>13.52</v>
      </c>
      <c r="T593" s="238">
        <v>0.0</v>
      </c>
      <c r="U593" s="238">
        <v>0.0</v>
      </c>
      <c r="V593" s="238">
        <v>0.0</v>
      </c>
      <c r="W593" s="238">
        <v>0.0</v>
      </c>
      <c r="X593" s="235" t="s">
        <v>628</v>
      </c>
      <c r="Z593" s="244"/>
      <c r="AA593" s="244"/>
      <c r="AB593" s="244"/>
      <c r="AC593" s="235" t="s">
        <v>5432</v>
      </c>
      <c r="AD593" s="235" t="s">
        <v>1077</v>
      </c>
      <c r="AE593" s="238">
        <v>382042.0</v>
      </c>
      <c r="AF593" s="235" t="s">
        <v>631</v>
      </c>
      <c r="AG593" s="244"/>
      <c r="AH593" s="244"/>
      <c r="AI593" s="245"/>
      <c r="AJ593" s="245"/>
      <c r="AK593" s="245"/>
      <c r="AL593" s="245"/>
      <c r="AM593" s="244"/>
      <c r="AN593" s="244"/>
      <c r="AO593" s="238">
        <v>0.0</v>
      </c>
      <c r="AP593" s="238">
        <v>0.0</v>
      </c>
      <c r="AQ593" s="235" t="s">
        <v>632</v>
      </c>
      <c r="AR593" s="243">
        <v>3.71E11</v>
      </c>
      <c r="AS593" s="235" t="s">
        <v>4697</v>
      </c>
      <c r="AT593" s="235" t="s">
        <v>5</v>
      </c>
      <c r="AU593" s="235" t="s">
        <v>634</v>
      </c>
      <c r="AV593" s="246" t="s">
        <v>635</v>
      </c>
      <c r="AW593" s="242"/>
      <c r="AX593" s="242"/>
      <c r="AY593" s="231"/>
      <c r="AZ593" s="231"/>
      <c r="BA593" s="227"/>
      <c r="BB593" s="231"/>
      <c r="BC593" s="227"/>
      <c r="BD593" s="227"/>
      <c r="BE593" s="227"/>
      <c r="BF593" s="227"/>
    </row>
    <row r="594">
      <c r="A594" s="235" t="s">
        <v>5435</v>
      </c>
      <c r="C594" s="235" t="s">
        <v>5436</v>
      </c>
      <c r="D594" s="235" t="s">
        <v>5437</v>
      </c>
      <c r="E594" s="243">
        <v>6.56E13</v>
      </c>
      <c r="F594" s="245"/>
      <c r="G594" s="235" t="s">
        <v>5438</v>
      </c>
      <c r="H594" s="235" t="s">
        <v>5439</v>
      </c>
      <c r="I594" s="235" t="s">
        <v>5439</v>
      </c>
      <c r="J594" s="235" t="s">
        <v>5440</v>
      </c>
      <c r="K594" s="235" t="s">
        <v>5442</v>
      </c>
      <c r="N594" s="235" t="s">
        <v>22</v>
      </c>
      <c r="O594" s="235" t="s">
        <v>729</v>
      </c>
      <c r="P594" s="238">
        <v>2.0</v>
      </c>
      <c r="Q594" s="235" t="s">
        <v>627</v>
      </c>
      <c r="R594" s="238">
        <v>721.9</v>
      </c>
      <c r="S594" s="238">
        <v>35.02</v>
      </c>
      <c r="T594" s="238">
        <v>0.0</v>
      </c>
      <c r="U594" s="238">
        <v>0.0</v>
      </c>
      <c r="V594" s="238">
        <v>0.0</v>
      </c>
      <c r="W594" s="238">
        <v>0.0</v>
      </c>
      <c r="X594" s="235" t="s">
        <v>628</v>
      </c>
      <c r="Z594" s="244"/>
      <c r="AA594" s="244"/>
      <c r="AB594" s="244"/>
      <c r="AC594" s="235" t="s">
        <v>5444</v>
      </c>
      <c r="AD594" s="235" t="s">
        <v>645</v>
      </c>
      <c r="AE594" s="238">
        <v>680541.0</v>
      </c>
      <c r="AF594" s="235" t="s">
        <v>631</v>
      </c>
      <c r="AG594" s="244"/>
      <c r="AH594" s="244"/>
      <c r="AI594" s="245"/>
      <c r="AJ594" s="245"/>
      <c r="AK594" s="245"/>
      <c r="AL594" s="245"/>
      <c r="AM594" s="244"/>
      <c r="AN594" s="244"/>
      <c r="AO594" s="238">
        <v>-21.66</v>
      </c>
      <c r="AP594" s="238">
        <v>0.0</v>
      </c>
      <c r="AQ594" s="235" t="s">
        <v>632</v>
      </c>
      <c r="AR594" s="243">
        <v>3.71E11</v>
      </c>
      <c r="AS594" s="235" t="s">
        <v>4697</v>
      </c>
      <c r="AT594" s="235" t="s">
        <v>155</v>
      </c>
      <c r="AU594" s="235" t="s">
        <v>634</v>
      </c>
      <c r="AV594" s="246" t="s">
        <v>635</v>
      </c>
      <c r="AW594" s="242"/>
      <c r="AX594" s="242"/>
      <c r="AY594" s="231"/>
      <c r="AZ594" s="231"/>
      <c r="BA594" s="227"/>
      <c r="BB594" s="231"/>
      <c r="BC594" s="227"/>
      <c r="BD594" s="227"/>
      <c r="BE594" s="227"/>
      <c r="BF594" s="227"/>
    </row>
    <row r="595">
      <c r="A595" s="235" t="s">
        <v>5447</v>
      </c>
      <c r="C595" s="235" t="s">
        <v>5448</v>
      </c>
      <c r="D595" s="235" t="s">
        <v>5449</v>
      </c>
      <c r="E595" s="243">
        <v>6.56E13</v>
      </c>
      <c r="F595" s="245"/>
      <c r="G595" s="235" t="s">
        <v>5450</v>
      </c>
      <c r="H595" s="235" t="s">
        <v>5451</v>
      </c>
      <c r="I595" s="235" t="s">
        <v>5451</v>
      </c>
      <c r="J595" s="235" t="s">
        <v>5452</v>
      </c>
      <c r="K595" s="235" t="s">
        <v>5453</v>
      </c>
      <c r="N595" s="235" t="s">
        <v>42</v>
      </c>
      <c r="O595" s="235" t="s">
        <v>204</v>
      </c>
      <c r="P595" s="238">
        <v>1.0</v>
      </c>
      <c r="Q595" s="235" t="s">
        <v>627</v>
      </c>
      <c r="R595" s="238">
        <v>237.14</v>
      </c>
      <c r="S595" s="238">
        <v>11.86</v>
      </c>
      <c r="T595" s="238">
        <v>0.0</v>
      </c>
      <c r="U595" s="238">
        <v>0.0</v>
      </c>
      <c r="V595" s="238">
        <v>0.0</v>
      </c>
      <c r="W595" s="238">
        <v>0.0</v>
      </c>
      <c r="X595" s="235" t="s">
        <v>628</v>
      </c>
      <c r="Z595" s="244"/>
      <c r="AA595" s="244"/>
      <c r="AB595" s="244"/>
      <c r="AC595" s="235" t="s">
        <v>687</v>
      </c>
      <c r="AD595" s="235" t="s">
        <v>666</v>
      </c>
      <c r="AE595" s="238">
        <v>600042.0</v>
      </c>
      <c r="AF595" s="235" t="s">
        <v>631</v>
      </c>
      <c r="AG595" s="244"/>
      <c r="AH595" s="244"/>
      <c r="AI595" s="245"/>
      <c r="AJ595" s="245"/>
      <c r="AK595" s="245"/>
      <c r="AL595" s="245"/>
      <c r="AM595" s="244"/>
      <c r="AN595" s="244"/>
      <c r="AO595" s="238">
        <v>0.0</v>
      </c>
      <c r="AP595" s="238">
        <v>0.0</v>
      </c>
      <c r="AQ595" s="235" t="s">
        <v>632</v>
      </c>
      <c r="AR595" s="243">
        <v>3.71E11</v>
      </c>
      <c r="AS595" s="235" t="s">
        <v>4697</v>
      </c>
      <c r="AT595" s="235" t="s">
        <v>156</v>
      </c>
      <c r="AU595" s="235" t="s">
        <v>634</v>
      </c>
      <c r="AV595" s="246" t="s">
        <v>635</v>
      </c>
      <c r="AW595" s="242"/>
      <c r="AX595" s="242"/>
      <c r="AY595" s="231"/>
      <c r="AZ595" s="231"/>
      <c r="BA595" s="227"/>
      <c r="BB595" s="231"/>
      <c r="BC595" s="227"/>
      <c r="BD595" s="227"/>
      <c r="BE595" s="227"/>
      <c r="BF595" s="227"/>
    </row>
    <row r="596">
      <c r="A596" s="235" t="s">
        <v>5457</v>
      </c>
      <c r="C596" s="235" t="s">
        <v>5458</v>
      </c>
      <c r="D596" s="235" t="s">
        <v>5459</v>
      </c>
      <c r="E596" s="243">
        <v>6.56E13</v>
      </c>
      <c r="F596" s="245"/>
      <c r="G596" s="235" t="s">
        <v>5460</v>
      </c>
      <c r="H596" s="235" t="s">
        <v>5461</v>
      </c>
      <c r="I596" s="235" t="s">
        <v>5461</v>
      </c>
      <c r="J596" s="235" t="s">
        <v>5462</v>
      </c>
      <c r="K596" s="235" t="s">
        <v>5464</v>
      </c>
      <c r="N596" s="235" t="s">
        <v>82</v>
      </c>
      <c r="O596" s="235" t="s">
        <v>889</v>
      </c>
      <c r="P596" s="238">
        <v>1.0</v>
      </c>
      <c r="Q596" s="235" t="s">
        <v>627</v>
      </c>
      <c r="R596" s="238">
        <v>246.66</v>
      </c>
      <c r="S596" s="238">
        <v>12.34</v>
      </c>
      <c r="T596" s="238">
        <v>75.24</v>
      </c>
      <c r="U596" s="238">
        <v>3.76</v>
      </c>
      <c r="V596" s="238">
        <v>0.0</v>
      </c>
      <c r="W596" s="238">
        <v>0.0</v>
      </c>
      <c r="X596" s="235" t="s">
        <v>628</v>
      </c>
      <c r="Z596" s="244"/>
      <c r="AA596" s="244"/>
      <c r="AB596" s="244"/>
      <c r="AC596" s="235" t="s">
        <v>5466</v>
      </c>
      <c r="AD596" s="235" t="s">
        <v>845</v>
      </c>
      <c r="AE596" s="238">
        <v>401107.0</v>
      </c>
      <c r="AF596" s="235" t="s">
        <v>631</v>
      </c>
      <c r="AG596" s="244"/>
      <c r="AH596" s="244"/>
      <c r="AI596" s="245"/>
      <c r="AJ596" s="245"/>
      <c r="AK596" s="245"/>
      <c r="AL596" s="245"/>
      <c r="AM596" s="244"/>
      <c r="AN596" s="244"/>
      <c r="AO596" s="238">
        <v>0.0</v>
      </c>
      <c r="AP596" s="238">
        <v>0.0</v>
      </c>
      <c r="AQ596" s="235" t="s">
        <v>632</v>
      </c>
      <c r="AR596" s="243">
        <v>3.71E11</v>
      </c>
      <c r="AS596" s="235" t="s">
        <v>3284</v>
      </c>
      <c r="AT596" s="235" t="s">
        <v>17</v>
      </c>
      <c r="AU596" s="235" t="s">
        <v>634</v>
      </c>
      <c r="AV596" s="246" t="s">
        <v>635</v>
      </c>
      <c r="AW596" s="242"/>
      <c r="AX596" s="242"/>
      <c r="AY596" s="231"/>
      <c r="AZ596" s="231"/>
      <c r="BA596" s="227"/>
      <c r="BB596" s="231"/>
      <c r="BC596" s="227"/>
      <c r="BD596" s="227"/>
      <c r="BE596" s="227"/>
      <c r="BF596" s="227"/>
    </row>
    <row r="597">
      <c r="A597" s="235" t="s">
        <v>5468</v>
      </c>
      <c r="C597" s="235" t="s">
        <v>5470</v>
      </c>
      <c r="D597" s="235" t="s">
        <v>5471</v>
      </c>
      <c r="E597" s="243">
        <v>6.56E13</v>
      </c>
      <c r="F597" s="245"/>
      <c r="G597" s="235" t="s">
        <v>5472</v>
      </c>
      <c r="H597" s="235" t="s">
        <v>5473</v>
      </c>
      <c r="I597" s="235" t="s">
        <v>5473</v>
      </c>
      <c r="J597" s="235" t="s">
        <v>5474</v>
      </c>
      <c r="K597" s="235" t="s">
        <v>5475</v>
      </c>
      <c r="N597" s="235" t="s">
        <v>3467</v>
      </c>
      <c r="O597" s="235" t="s">
        <v>3468</v>
      </c>
      <c r="P597" s="238">
        <v>1.0</v>
      </c>
      <c r="Q597" s="235" t="s">
        <v>627</v>
      </c>
      <c r="R597" s="238">
        <v>246.67</v>
      </c>
      <c r="S597" s="238">
        <v>12.33</v>
      </c>
      <c r="T597" s="238">
        <v>0.0</v>
      </c>
      <c r="U597" s="238">
        <v>0.0</v>
      </c>
      <c r="V597" s="238">
        <v>0.0</v>
      </c>
      <c r="W597" s="238">
        <v>0.0</v>
      </c>
      <c r="X597" s="235" t="s">
        <v>628</v>
      </c>
      <c r="Z597" s="244"/>
      <c r="AA597" s="244"/>
      <c r="AB597" s="244"/>
      <c r="AC597" s="235" t="s">
        <v>1058</v>
      </c>
      <c r="AD597" s="235" t="s">
        <v>845</v>
      </c>
      <c r="AE597" s="238">
        <v>400101.0</v>
      </c>
      <c r="AF597" s="235" t="s">
        <v>631</v>
      </c>
      <c r="AG597" s="244"/>
      <c r="AH597" s="244"/>
      <c r="AI597" s="245"/>
      <c r="AJ597" s="245"/>
      <c r="AK597" s="245"/>
      <c r="AL597" s="245"/>
      <c r="AM597" s="244"/>
      <c r="AN597" s="244"/>
      <c r="AO597" s="238">
        <v>0.0</v>
      </c>
      <c r="AP597" s="238">
        <v>0.0</v>
      </c>
      <c r="AQ597" s="235" t="s">
        <v>632</v>
      </c>
      <c r="AR597" s="243">
        <v>3.71E11</v>
      </c>
      <c r="AS597" s="235" t="s">
        <v>1367</v>
      </c>
      <c r="AT597" s="235" t="s">
        <v>9</v>
      </c>
      <c r="AU597" s="235" t="s">
        <v>634</v>
      </c>
      <c r="AV597" s="246" t="s">
        <v>635</v>
      </c>
      <c r="AW597" s="242"/>
      <c r="AX597" s="242"/>
      <c r="AY597" s="231"/>
      <c r="AZ597" s="231"/>
      <c r="BA597" s="227"/>
      <c r="BB597" s="231"/>
      <c r="BC597" s="227"/>
      <c r="BD597" s="227"/>
      <c r="BE597" s="227"/>
      <c r="BF597" s="227"/>
    </row>
    <row r="598">
      <c r="A598" s="235" t="s">
        <v>5478</v>
      </c>
      <c r="C598" s="235" t="s">
        <v>5479</v>
      </c>
      <c r="D598" s="235" t="s">
        <v>5480</v>
      </c>
      <c r="E598" s="243">
        <v>6.56E13</v>
      </c>
      <c r="F598" s="245"/>
      <c r="G598" s="235" t="s">
        <v>5482</v>
      </c>
      <c r="H598" s="235" t="s">
        <v>5483</v>
      </c>
      <c r="I598" s="235" t="s">
        <v>5483</v>
      </c>
      <c r="J598" s="235" t="s">
        <v>5484</v>
      </c>
      <c r="K598" s="235" t="s">
        <v>5485</v>
      </c>
      <c r="N598" s="235" t="s">
        <v>42</v>
      </c>
      <c r="O598" s="235" t="s">
        <v>204</v>
      </c>
      <c r="P598" s="238">
        <v>1.0</v>
      </c>
      <c r="Q598" s="235" t="s">
        <v>627</v>
      </c>
      <c r="R598" s="238">
        <v>237.14</v>
      </c>
      <c r="S598" s="238">
        <v>11.5</v>
      </c>
      <c r="T598" s="238">
        <v>0.0</v>
      </c>
      <c r="U598" s="238">
        <v>0.0</v>
      </c>
      <c r="V598" s="238">
        <v>0.0</v>
      </c>
      <c r="W598" s="238">
        <v>0.0</v>
      </c>
      <c r="X598" s="235" t="s">
        <v>628</v>
      </c>
      <c r="Z598" s="244"/>
      <c r="AA598" s="244"/>
      <c r="AB598" s="244"/>
      <c r="AC598" s="235" t="s">
        <v>687</v>
      </c>
      <c r="AD598" s="235" t="s">
        <v>666</v>
      </c>
      <c r="AE598" s="238">
        <v>600001.0</v>
      </c>
      <c r="AF598" s="235" t="s">
        <v>631</v>
      </c>
      <c r="AG598" s="244"/>
      <c r="AH598" s="244"/>
      <c r="AI598" s="245"/>
      <c r="AJ598" s="245"/>
      <c r="AK598" s="245"/>
      <c r="AL598" s="245"/>
      <c r="AM598" s="244"/>
      <c r="AN598" s="244"/>
      <c r="AO598" s="238">
        <v>-7.11</v>
      </c>
      <c r="AP598" s="238">
        <v>0.0</v>
      </c>
      <c r="AQ598" s="235" t="s">
        <v>632</v>
      </c>
      <c r="AR598" s="243">
        <v>3.71E11</v>
      </c>
      <c r="AS598" s="235" t="s">
        <v>4697</v>
      </c>
      <c r="AT598" s="235" t="s">
        <v>156</v>
      </c>
      <c r="AU598" s="235" t="s">
        <v>634</v>
      </c>
      <c r="AV598" s="246" t="s">
        <v>635</v>
      </c>
      <c r="AW598" s="242"/>
      <c r="AX598" s="242"/>
      <c r="AY598" s="231"/>
      <c r="AZ598" s="231"/>
      <c r="BA598" s="227"/>
      <c r="BB598" s="231"/>
      <c r="BC598" s="227"/>
      <c r="BD598" s="227"/>
      <c r="BE598" s="227"/>
      <c r="BF598" s="227"/>
    </row>
    <row r="599">
      <c r="A599" s="235" t="s">
        <v>5478</v>
      </c>
      <c r="C599" s="235" t="s">
        <v>5479</v>
      </c>
      <c r="D599" s="235" t="s">
        <v>5488</v>
      </c>
      <c r="E599" s="243">
        <v>6.56E13</v>
      </c>
      <c r="F599" s="245"/>
      <c r="G599" s="235" t="s">
        <v>5482</v>
      </c>
      <c r="H599" s="235" t="s">
        <v>5483</v>
      </c>
      <c r="I599" s="235" t="s">
        <v>5483</v>
      </c>
      <c r="J599" s="235" t="s">
        <v>5484</v>
      </c>
      <c r="K599" s="235" t="s">
        <v>5485</v>
      </c>
      <c r="N599" s="235" t="s">
        <v>42</v>
      </c>
      <c r="O599" s="235" t="s">
        <v>204</v>
      </c>
      <c r="P599" s="238">
        <v>1.0</v>
      </c>
      <c r="Q599" s="235" t="s">
        <v>627</v>
      </c>
      <c r="R599" s="238">
        <v>237.14</v>
      </c>
      <c r="S599" s="238">
        <v>11.5</v>
      </c>
      <c r="T599" s="238">
        <v>0.0</v>
      </c>
      <c r="U599" s="238">
        <v>0.0</v>
      </c>
      <c r="V599" s="238">
        <v>0.0</v>
      </c>
      <c r="W599" s="238">
        <v>0.0</v>
      </c>
      <c r="X599" s="235" t="s">
        <v>628</v>
      </c>
      <c r="Z599" s="244"/>
      <c r="AA599" s="244"/>
      <c r="AB599" s="244"/>
      <c r="AC599" s="235" t="s">
        <v>687</v>
      </c>
      <c r="AD599" s="235" t="s">
        <v>666</v>
      </c>
      <c r="AE599" s="238">
        <v>600001.0</v>
      </c>
      <c r="AF599" s="235" t="s">
        <v>631</v>
      </c>
      <c r="AG599" s="244"/>
      <c r="AH599" s="244"/>
      <c r="AI599" s="245"/>
      <c r="AJ599" s="245"/>
      <c r="AK599" s="245"/>
      <c r="AL599" s="245"/>
      <c r="AM599" s="244"/>
      <c r="AN599" s="244"/>
      <c r="AO599" s="238">
        <v>-7.11</v>
      </c>
      <c r="AP599" s="238">
        <v>0.0</v>
      </c>
      <c r="AQ599" s="235" t="s">
        <v>632</v>
      </c>
      <c r="AR599" s="243">
        <v>3.71E11</v>
      </c>
      <c r="AS599" s="235" t="s">
        <v>4697</v>
      </c>
      <c r="AT599" s="235" t="s">
        <v>156</v>
      </c>
      <c r="AU599" s="235" t="s">
        <v>634</v>
      </c>
      <c r="AV599" s="246" t="s">
        <v>635</v>
      </c>
      <c r="AW599" s="242"/>
      <c r="AX599" s="242"/>
      <c r="AY599" s="231"/>
      <c r="AZ599" s="231"/>
      <c r="BA599" s="227"/>
      <c r="BB599" s="231"/>
      <c r="BC599" s="227"/>
      <c r="BD599" s="227"/>
      <c r="BE599" s="227"/>
      <c r="BF599" s="227"/>
    </row>
    <row r="600">
      <c r="A600" s="235" t="s">
        <v>5492</v>
      </c>
      <c r="C600" s="235" t="s">
        <v>5493</v>
      </c>
      <c r="D600" s="235" t="s">
        <v>5494</v>
      </c>
      <c r="E600" s="243">
        <v>6.56E13</v>
      </c>
      <c r="F600" s="245"/>
      <c r="G600" s="235" t="s">
        <v>5495</v>
      </c>
      <c r="H600" s="235" t="s">
        <v>5496</v>
      </c>
      <c r="I600" s="235" t="s">
        <v>5496</v>
      </c>
      <c r="J600" s="235" t="s">
        <v>5497</v>
      </c>
      <c r="K600" s="235" t="s">
        <v>5498</v>
      </c>
      <c r="N600" s="235" t="s">
        <v>962</v>
      </c>
      <c r="O600" s="235" t="s">
        <v>963</v>
      </c>
      <c r="P600" s="238">
        <v>1.0</v>
      </c>
      <c r="Q600" s="235" t="s">
        <v>627</v>
      </c>
      <c r="R600" s="238">
        <v>246.67</v>
      </c>
      <c r="S600" s="238">
        <v>12.33</v>
      </c>
      <c r="T600" s="238">
        <v>0.0</v>
      </c>
      <c r="U600" s="238">
        <v>0.0</v>
      </c>
      <c r="V600" s="238">
        <v>0.0</v>
      </c>
      <c r="W600" s="238">
        <v>0.0</v>
      </c>
      <c r="X600" s="235" t="s">
        <v>628</v>
      </c>
      <c r="Z600" s="244"/>
      <c r="AA600" s="244"/>
      <c r="AB600" s="244"/>
      <c r="AC600" s="235" t="s">
        <v>5499</v>
      </c>
      <c r="AD600" s="235" t="s">
        <v>630</v>
      </c>
      <c r="AE600" s="238">
        <v>211002.0</v>
      </c>
      <c r="AF600" s="235" t="s">
        <v>631</v>
      </c>
      <c r="AG600" s="244"/>
      <c r="AH600" s="244"/>
      <c r="AI600" s="245"/>
      <c r="AJ600" s="245"/>
      <c r="AK600" s="245"/>
      <c r="AL600" s="245"/>
      <c r="AM600" s="244"/>
      <c r="AN600" s="244"/>
      <c r="AO600" s="238">
        <v>0.0</v>
      </c>
      <c r="AP600" s="238">
        <v>0.0</v>
      </c>
      <c r="AQ600" s="235" t="s">
        <v>632</v>
      </c>
      <c r="AR600" s="243">
        <v>3.71E11</v>
      </c>
      <c r="AS600" s="235" t="s">
        <v>656</v>
      </c>
      <c r="AT600" s="235" t="s">
        <v>13</v>
      </c>
      <c r="AU600" s="235" t="s">
        <v>634</v>
      </c>
      <c r="AV600" s="246" t="s">
        <v>635</v>
      </c>
      <c r="AW600" s="242"/>
      <c r="AX600" s="242"/>
      <c r="AY600" s="231"/>
      <c r="AZ600" s="231"/>
      <c r="BA600" s="227"/>
      <c r="BB600" s="231"/>
      <c r="BC600" s="227"/>
      <c r="BD600" s="227"/>
      <c r="BE600" s="227"/>
      <c r="BF600" s="227"/>
    </row>
    <row r="601">
      <c r="A601" s="235" t="s">
        <v>5506</v>
      </c>
      <c r="C601" s="235" t="s">
        <v>5508</v>
      </c>
      <c r="D601" s="235" t="s">
        <v>5509</v>
      </c>
      <c r="E601" s="243">
        <v>6.56E13</v>
      </c>
      <c r="F601" s="245"/>
      <c r="G601" s="235" t="s">
        <v>5511</v>
      </c>
      <c r="H601" s="235" t="s">
        <v>5512</v>
      </c>
      <c r="I601" s="235" t="s">
        <v>5513</v>
      </c>
      <c r="J601" s="235" t="s">
        <v>5514</v>
      </c>
      <c r="K601" s="235" t="s">
        <v>5515</v>
      </c>
      <c r="N601" s="235" t="s">
        <v>2163</v>
      </c>
      <c r="O601" s="235" t="s">
        <v>2164</v>
      </c>
      <c r="P601" s="238">
        <v>1.0</v>
      </c>
      <c r="Q601" s="235" t="s">
        <v>627</v>
      </c>
      <c r="R601" s="238">
        <v>246.66</v>
      </c>
      <c r="S601" s="238">
        <v>12.34</v>
      </c>
      <c r="T601" s="238">
        <v>18.1</v>
      </c>
      <c r="U601" s="238">
        <v>0.9</v>
      </c>
      <c r="V601" s="238">
        <v>0.0</v>
      </c>
      <c r="W601" s="238">
        <v>0.0</v>
      </c>
      <c r="X601" s="235" t="s">
        <v>628</v>
      </c>
      <c r="Z601" s="244"/>
      <c r="AA601" s="244"/>
      <c r="AB601" s="244"/>
      <c r="AC601" s="235" t="s">
        <v>678</v>
      </c>
      <c r="AD601" s="235" t="s">
        <v>679</v>
      </c>
      <c r="AE601" s="238">
        <v>560067.0</v>
      </c>
      <c r="AF601" s="235" t="s">
        <v>631</v>
      </c>
      <c r="AG601" s="244"/>
      <c r="AH601" s="244"/>
      <c r="AI601" s="245"/>
      <c r="AJ601" s="245"/>
      <c r="AK601" s="245"/>
      <c r="AL601" s="245"/>
      <c r="AM601" s="244"/>
      <c r="AN601" s="244"/>
      <c r="AO601" s="238">
        <v>0.0</v>
      </c>
      <c r="AP601" s="238">
        <v>-18.1</v>
      </c>
      <c r="AQ601" s="235" t="s">
        <v>632</v>
      </c>
      <c r="AR601" s="243">
        <v>1.68E11</v>
      </c>
      <c r="AS601" s="235" t="s">
        <v>5516</v>
      </c>
      <c r="AT601" s="235" t="s">
        <v>9</v>
      </c>
      <c r="AU601" s="235" t="s">
        <v>634</v>
      </c>
      <c r="AV601" s="246" t="s">
        <v>635</v>
      </c>
      <c r="AW601" s="242"/>
      <c r="AX601" s="242"/>
      <c r="AY601" s="231"/>
      <c r="AZ601" s="231"/>
      <c r="BA601" s="227"/>
      <c r="BB601" s="231"/>
      <c r="BC601" s="227"/>
      <c r="BD601" s="227"/>
      <c r="BE601" s="227"/>
      <c r="BF601" s="227"/>
    </row>
    <row r="602">
      <c r="A602" s="235" t="s">
        <v>5517</v>
      </c>
      <c r="C602" s="235" t="s">
        <v>5518</v>
      </c>
      <c r="D602" s="235" t="s">
        <v>5519</v>
      </c>
      <c r="E602" s="243">
        <v>6.56E13</v>
      </c>
      <c r="F602" s="245"/>
      <c r="G602" s="235" t="s">
        <v>5520</v>
      </c>
      <c r="H602" s="235" t="s">
        <v>5521</v>
      </c>
      <c r="I602" s="235" t="s">
        <v>5521</v>
      </c>
      <c r="J602" s="235" t="s">
        <v>5522</v>
      </c>
      <c r="K602" s="235" t="s">
        <v>5523</v>
      </c>
      <c r="N602" s="235" t="s">
        <v>717</v>
      </c>
      <c r="O602" s="235" t="s">
        <v>718</v>
      </c>
      <c r="P602" s="238">
        <v>1.0</v>
      </c>
      <c r="Q602" s="235" t="s">
        <v>627</v>
      </c>
      <c r="R602" s="238">
        <v>456.19</v>
      </c>
      <c r="S602" s="238">
        <v>22.81</v>
      </c>
      <c r="T602" s="238">
        <v>0.0</v>
      </c>
      <c r="U602" s="238">
        <v>0.0</v>
      </c>
      <c r="V602" s="238">
        <v>0.0</v>
      </c>
      <c r="W602" s="238">
        <v>0.0</v>
      </c>
      <c r="X602" s="235" t="s">
        <v>628</v>
      </c>
      <c r="Z602" s="244"/>
      <c r="AA602" s="244"/>
      <c r="AB602" s="244"/>
      <c r="AC602" s="235" t="s">
        <v>2350</v>
      </c>
      <c r="AD602" s="235" t="s">
        <v>917</v>
      </c>
      <c r="AE602" s="238">
        <v>342001.0</v>
      </c>
      <c r="AF602" s="235" t="s">
        <v>631</v>
      </c>
      <c r="AG602" s="244"/>
      <c r="AH602" s="244"/>
      <c r="AI602" s="245"/>
      <c r="AJ602" s="245"/>
      <c r="AK602" s="245"/>
      <c r="AL602" s="245"/>
      <c r="AM602" s="244"/>
      <c r="AN602" s="244"/>
      <c r="AO602" s="238">
        <v>0.0</v>
      </c>
      <c r="AP602" s="238">
        <v>0.0</v>
      </c>
      <c r="AQ602" s="235" t="s">
        <v>632</v>
      </c>
      <c r="AR602" s="243">
        <v>3.71E11</v>
      </c>
      <c r="AS602" s="235" t="s">
        <v>3284</v>
      </c>
      <c r="AT602" s="235" t="s">
        <v>14</v>
      </c>
      <c r="AU602" s="235" t="s">
        <v>634</v>
      </c>
      <c r="AV602" s="246" t="s">
        <v>635</v>
      </c>
      <c r="AW602" s="242"/>
      <c r="AX602" s="242"/>
      <c r="AY602" s="231"/>
      <c r="AZ602" s="231"/>
      <c r="BA602" s="227"/>
      <c r="BB602" s="231"/>
      <c r="BC602" s="227"/>
      <c r="BD602" s="227"/>
      <c r="BE602" s="227"/>
      <c r="BF602" s="227"/>
    </row>
    <row r="603">
      <c r="A603" s="235" t="s">
        <v>5528</v>
      </c>
      <c r="C603" s="235" t="s">
        <v>5529</v>
      </c>
      <c r="D603" s="235" t="s">
        <v>5530</v>
      </c>
      <c r="E603" s="243">
        <v>6.56E13</v>
      </c>
      <c r="F603" s="245"/>
      <c r="G603" s="235" t="s">
        <v>5532</v>
      </c>
      <c r="H603" s="235" t="s">
        <v>5533</v>
      </c>
      <c r="I603" s="235" t="s">
        <v>5533</v>
      </c>
      <c r="J603" s="235" t="s">
        <v>5534</v>
      </c>
      <c r="K603" s="235" t="s">
        <v>5535</v>
      </c>
      <c r="N603" s="235" t="s">
        <v>1346</v>
      </c>
      <c r="O603" s="235" t="s">
        <v>1347</v>
      </c>
      <c r="P603" s="238">
        <v>1.0</v>
      </c>
      <c r="Q603" s="235" t="s">
        <v>627</v>
      </c>
      <c r="R603" s="238">
        <v>256.2</v>
      </c>
      <c r="S603" s="238">
        <v>12.8</v>
      </c>
      <c r="T603" s="238">
        <v>18.1</v>
      </c>
      <c r="U603" s="238">
        <v>0.9</v>
      </c>
      <c r="V603" s="238">
        <v>0.0</v>
      </c>
      <c r="W603" s="238">
        <v>0.0</v>
      </c>
      <c r="X603" s="235" t="s">
        <v>628</v>
      </c>
      <c r="Z603" s="244"/>
      <c r="AA603" s="244"/>
      <c r="AB603" s="244"/>
      <c r="AC603" s="235" t="s">
        <v>678</v>
      </c>
      <c r="AD603" s="235" t="s">
        <v>679</v>
      </c>
      <c r="AE603" s="238">
        <v>560093.0</v>
      </c>
      <c r="AF603" s="235" t="s">
        <v>631</v>
      </c>
      <c r="AG603" s="244"/>
      <c r="AH603" s="244"/>
      <c r="AI603" s="245"/>
      <c r="AJ603" s="245"/>
      <c r="AK603" s="245"/>
      <c r="AL603" s="245"/>
      <c r="AM603" s="244"/>
      <c r="AN603" s="244"/>
      <c r="AO603" s="238">
        <v>0.0</v>
      </c>
      <c r="AP603" s="238">
        <v>-18.1</v>
      </c>
      <c r="AQ603" s="235" t="s">
        <v>632</v>
      </c>
      <c r="AR603" s="243">
        <v>1.68E11</v>
      </c>
      <c r="AS603" s="235" t="s">
        <v>5516</v>
      </c>
      <c r="AT603" s="235" t="s">
        <v>11</v>
      </c>
      <c r="AU603" s="235" t="s">
        <v>634</v>
      </c>
      <c r="AV603" s="246" t="s">
        <v>635</v>
      </c>
      <c r="AW603" s="242"/>
      <c r="AX603" s="242"/>
      <c r="AY603" s="231"/>
      <c r="AZ603" s="231"/>
      <c r="BA603" s="227"/>
      <c r="BB603" s="231"/>
      <c r="BC603" s="227"/>
      <c r="BD603" s="227"/>
      <c r="BE603" s="227"/>
      <c r="BF603" s="227"/>
    </row>
    <row r="604">
      <c r="A604" s="235" t="s">
        <v>5536</v>
      </c>
      <c r="C604" s="235" t="s">
        <v>5537</v>
      </c>
      <c r="D604" s="235" t="s">
        <v>5538</v>
      </c>
      <c r="E604" s="243">
        <v>6.56E13</v>
      </c>
      <c r="F604" s="245"/>
      <c r="G604" s="235" t="s">
        <v>5539</v>
      </c>
      <c r="H604" s="235" t="s">
        <v>5540</v>
      </c>
      <c r="I604" s="235" t="s">
        <v>5540</v>
      </c>
      <c r="J604" s="235" t="s">
        <v>5541</v>
      </c>
      <c r="K604" s="235" t="s">
        <v>5542</v>
      </c>
      <c r="N604" s="235" t="s">
        <v>566</v>
      </c>
      <c r="O604" s="235" t="s">
        <v>1834</v>
      </c>
      <c r="P604" s="238">
        <v>1.0</v>
      </c>
      <c r="Q604" s="235" t="s">
        <v>627</v>
      </c>
      <c r="R604" s="238">
        <v>422.88</v>
      </c>
      <c r="S604" s="238">
        <v>73.84</v>
      </c>
      <c r="T604" s="238">
        <v>0.0</v>
      </c>
      <c r="U604" s="238">
        <v>0.0</v>
      </c>
      <c r="V604" s="238">
        <v>0.0</v>
      </c>
      <c r="W604" s="238">
        <v>0.0</v>
      </c>
      <c r="X604" s="235" t="s">
        <v>628</v>
      </c>
      <c r="Z604" s="244"/>
      <c r="AA604" s="244"/>
      <c r="AB604" s="244"/>
      <c r="AC604" s="235" t="s">
        <v>678</v>
      </c>
      <c r="AD604" s="235" t="s">
        <v>679</v>
      </c>
      <c r="AE604" s="238">
        <v>560076.0</v>
      </c>
      <c r="AF604" s="235" t="s">
        <v>631</v>
      </c>
      <c r="AG604" s="244"/>
      <c r="AH604" s="244"/>
      <c r="AI604" s="245"/>
      <c r="AJ604" s="245"/>
      <c r="AK604" s="245"/>
      <c r="AL604" s="245"/>
      <c r="AM604" s="244"/>
      <c r="AN604" s="244"/>
      <c r="AO604" s="238">
        <v>-12.69</v>
      </c>
      <c r="AP604" s="238">
        <v>0.0</v>
      </c>
      <c r="AQ604" s="235" t="s">
        <v>632</v>
      </c>
      <c r="AR604" s="243">
        <v>1.68E11</v>
      </c>
      <c r="AS604" s="235" t="s">
        <v>5516</v>
      </c>
      <c r="AT604" s="235" t="s">
        <v>11</v>
      </c>
      <c r="AU604" s="235" t="s">
        <v>634</v>
      </c>
      <c r="AV604" s="246" t="s">
        <v>635</v>
      </c>
      <c r="AW604" s="242"/>
      <c r="AX604" s="242"/>
      <c r="AY604" s="231"/>
      <c r="AZ604" s="231"/>
      <c r="BA604" s="227"/>
      <c r="BB604" s="231"/>
      <c r="BC604" s="227"/>
      <c r="BD604" s="227"/>
      <c r="BE604" s="227"/>
      <c r="BF604" s="227"/>
    </row>
    <row r="605">
      <c r="A605" s="235" t="s">
        <v>5536</v>
      </c>
      <c r="C605" s="235" t="s">
        <v>5537</v>
      </c>
      <c r="D605" s="235" t="s">
        <v>5551</v>
      </c>
      <c r="E605" s="243">
        <v>6.56E13</v>
      </c>
      <c r="F605" s="245"/>
      <c r="G605" s="235" t="s">
        <v>5539</v>
      </c>
      <c r="H605" s="235" t="s">
        <v>5540</v>
      </c>
      <c r="I605" s="235" t="s">
        <v>5540</v>
      </c>
      <c r="J605" s="235" t="s">
        <v>5541</v>
      </c>
      <c r="K605" s="235" t="s">
        <v>5542</v>
      </c>
      <c r="N605" s="235" t="s">
        <v>566</v>
      </c>
      <c r="O605" s="235" t="s">
        <v>1834</v>
      </c>
      <c r="P605" s="238">
        <v>1.0</v>
      </c>
      <c r="Q605" s="235" t="s">
        <v>627</v>
      </c>
      <c r="R605" s="238">
        <v>422.88</v>
      </c>
      <c r="S605" s="238">
        <v>73.84</v>
      </c>
      <c r="T605" s="238">
        <v>0.0</v>
      </c>
      <c r="U605" s="238">
        <v>0.0</v>
      </c>
      <c r="V605" s="238">
        <v>0.0</v>
      </c>
      <c r="W605" s="238">
        <v>0.0</v>
      </c>
      <c r="X605" s="235" t="s">
        <v>628</v>
      </c>
      <c r="Z605" s="244"/>
      <c r="AA605" s="244"/>
      <c r="AB605" s="244"/>
      <c r="AC605" s="235" t="s">
        <v>678</v>
      </c>
      <c r="AD605" s="235" t="s">
        <v>679</v>
      </c>
      <c r="AE605" s="238">
        <v>560076.0</v>
      </c>
      <c r="AF605" s="235" t="s">
        <v>631</v>
      </c>
      <c r="AG605" s="244"/>
      <c r="AH605" s="244"/>
      <c r="AI605" s="245"/>
      <c r="AJ605" s="245"/>
      <c r="AK605" s="245"/>
      <c r="AL605" s="245"/>
      <c r="AM605" s="244"/>
      <c r="AN605" s="244"/>
      <c r="AO605" s="238">
        <v>-12.69</v>
      </c>
      <c r="AP605" s="238">
        <v>0.0</v>
      </c>
      <c r="AQ605" s="235" t="s">
        <v>632</v>
      </c>
      <c r="AR605" s="243">
        <v>1.68E11</v>
      </c>
      <c r="AS605" s="235" t="s">
        <v>5516</v>
      </c>
      <c r="AT605" s="235" t="s">
        <v>11</v>
      </c>
      <c r="AU605" s="235" t="s">
        <v>634</v>
      </c>
      <c r="AV605" s="246" t="s">
        <v>635</v>
      </c>
      <c r="AW605" s="242"/>
      <c r="AX605" s="242"/>
      <c r="AY605" s="231"/>
      <c r="AZ605" s="231"/>
      <c r="BA605" s="227"/>
      <c r="BB605" s="231"/>
      <c r="BC605" s="227"/>
      <c r="BD605" s="227"/>
      <c r="BE605" s="227"/>
      <c r="BF605" s="227"/>
    </row>
    <row r="606">
      <c r="A606" s="235" t="s">
        <v>5559</v>
      </c>
      <c r="C606" s="235" t="s">
        <v>5560</v>
      </c>
      <c r="D606" s="235" t="s">
        <v>5561</v>
      </c>
      <c r="E606" s="243">
        <v>6.56E13</v>
      </c>
      <c r="F606" s="245"/>
      <c r="G606" s="235" t="s">
        <v>5562</v>
      </c>
      <c r="H606" s="235" t="s">
        <v>5563</v>
      </c>
      <c r="I606" s="235" t="s">
        <v>5563</v>
      </c>
      <c r="J606" s="235" t="s">
        <v>5564</v>
      </c>
      <c r="K606" s="235" t="s">
        <v>5565</v>
      </c>
      <c r="N606" s="235" t="s">
        <v>12</v>
      </c>
      <c r="O606" s="235" t="s">
        <v>804</v>
      </c>
      <c r="P606" s="238">
        <v>1.0</v>
      </c>
      <c r="Q606" s="235" t="s">
        <v>627</v>
      </c>
      <c r="R606" s="238">
        <v>265.71</v>
      </c>
      <c r="S606" s="238">
        <v>13.29</v>
      </c>
      <c r="T606" s="238">
        <v>0.0</v>
      </c>
      <c r="U606" s="238">
        <v>0.0</v>
      </c>
      <c r="V606" s="238">
        <v>0.0</v>
      </c>
      <c r="W606" s="238">
        <v>0.0</v>
      </c>
      <c r="X606" s="235" t="s">
        <v>628</v>
      </c>
      <c r="Z606" s="244"/>
      <c r="AA606" s="244"/>
      <c r="AB606" s="244"/>
      <c r="AC606" s="235" t="s">
        <v>822</v>
      </c>
      <c r="AD606" s="235" t="s">
        <v>630</v>
      </c>
      <c r="AE606" s="238">
        <v>201301.0</v>
      </c>
      <c r="AF606" s="235" t="s">
        <v>631</v>
      </c>
      <c r="AG606" s="244"/>
      <c r="AH606" s="244"/>
      <c r="AI606" s="245"/>
      <c r="AJ606" s="245"/>
      <c r="AK606" s="245"/>
      <c r="AL606" s="245"/>
      <c r="AM606" s="244"/>
      <c r="AN606" s="244"/>
      <c r="AO606" s="238">
        <v>0.0</v>
      </c>
      <c r="AP606" s="238">
        <v>0.0</v>
      </c>
      <c r="AQ606" s="235" t="s">
        <v>632</v>
      </c>
      <c r="AR606" s="243">
        <v>1.68E11</v>
      </c>
      <c r="AS606" s="235" t="s">
        <v>5516</v>
      </c>
      <c r="AT606" s="235" t="s">
        <v>13</v>
      </c>
      <c r="AU606" s="235" t="s">
        <v>634</v>
      </c>
      <c r="AV606" s="246" t="s">
        <v>635</v>
      </c>
      <c r="AW606" s="242"/>
      <c r="AX606" s="242"/>
      <c r="AY606" s="231"/>
      <c r="AZ606" s="231"/>
      <c r="BA606" s="227"/>
      <c r="BB606" s="231"/>
      <c r="BC606" s="227"/>
      <c r="BD606" s="227"/>
      <c r="BE606" s="227"/>
      <c r="BF606" s="227"/>
    </row>
    <row r="607">
      <c r="A607" s="235" t="s">
        <v>5567</v>
      </c>
      <c r="C607" s="235" t="s">
        <v>5568</v>
      </c>
      <c r="D607" s="235" t="s">
        <v>5569</v>
      </c>
      <c r="E607" s="243">
        <v>6.56E13</v>
      </c>
      <c r="F607" s="245"/>
      <c r="G607" s="235" t="s">
        <v>5570</v>
      </c>
      <c r="H607" s="235" t="s">
        <v>5571</v>
      </c>
      <c r="I607" s="235" t="s">
        <v>5571</v>
      </c>
      <c r="J607" s="235" t="s">
        <v>5572</v>
      </c>
      <c r="K607" s="235" t="s">
        <v>5573</v>
      </c>
      <c r="N607" s="235" t="s">
        <v>154</v>
      </c>
      <c r="O607" s="235" t="s">
        <v>766</v>
      </c>
      <c r="P607" s="238">
        <v>1.0</v>
      </c>
      <c r="Q607" s="235" t="s">
        <v>627</v>
      </c>
      <c r="R607" s="238">
        <v>465.72</v>
      </c>
      <c r="S607" s="238">
        <v>23.28</v>
      </c>
      <c r="T607" s="238">
        <v>0.0</v>
      </c>
      <c r="U607" s="238">
        <v>0.0</v>
      </c>
      <c r="V607" s="238">
        <v>0.0</v>
      </c>
      <c r="W607" s="238">
        <v>0.0</v>
      </c>
      <c r="X607" s="235" t="s">
        <v>628</v>
      </c>
      <c r="Z607" s="244"/>
      <c r="AA607" s="244"/>
      <c r="AB607" s="244"/>
      <c r="AC607" s="235" t="s">
        <v>687</v>
      </c>
      <c r="AD607" s="235" t="s">
        <v>666</v>
      </c>
      <c r="AE607" s="238">
        <v>603108.0</v>
      </c>
      <c r="AF607" s="235" t="s">
        <v>631</v>
      </c>
      <c r="AG607" s="244"/>
      <c r="AH607" s="244"/>
      <c r="AI607" s="245"/>
      <c r="AJ607" s="245"/>
      <c r="AK607" s="245"/>
      <c r="AL607" s="245"/>
      <c r="AM607" s="244"/>
      <c r="AN607" s="244"/>
      <c r="AO607" s="238">
        <v>0.0</v>
      </c>
      <c r="AP607" s="238">
        <v>0.0</v>
      </c>
      <c r="AQ607" s="235" t="s">
        <v>632</v>
      </c>
      <c r="AR607" s="243">
        <v>3.71E11</v>
      </c>
      <c r="AS607" s="235" t="s">
        <v>4697</v>
      </c>
      <c r="AT607" s="235" t="s">
        <v>156</v>
      </c>
      <c r="AU607" s="235" t="s">
        <v>634</v>
      </c>
      <c r="AV607" s="246" t="s">
        <v>635</v>
      </c>
      <c r="AW607" s="242"/>
      <c r="AX607" s="242"/>
      <c r="AY607" s="231"/>
      <c r="AZ607" s="231"/>
      <c r="BA607" s="227"/>
      <c r="BB607" s="231"/>
      <c r="BC607" s="227"/>
      <c r="BD607" s="227"/>
      <c r="BE607" s="227"/>
      <c r="BF607" s="227"/>
    </row>
    <row r="608">
      <c r="A608" s="235" t="s">
        <v>5574</v>
      </c>
      <c r="C608" s="235" t="s">
        <v>5575</v>
      </c>
      <c r="D608" s="235" t="s">
        <v>5576</v>
      </c>
      <c r="E608" s="243">
        <v>6.56E13</v>
      </c>
      <c r="F608" s="245"/>
      <c r="G608" s="235" t="s">
        <v>5577</v>
      </c>
      <c r="H608" s="235" t="s">
        <v>5578</v>
      </c>
      <c r="I608" s="235" t="s">
        <v>5578</v>
      </c>
      <c r="J608" s="235" t="s">
        <v>5579</v>
      </c>
      <c r="K608" s="235" t="s">
        <v>5580</v>
      </c>
      <c r="N608" s="235" t="s">
        <v>55</v>
      </c>
      <c r="O608" s="235" t="s">
        <v>244</v>
      </c>
      <c r="P608" s="238">
        <v>1.0</v>
      </c>
      <c r="Q608" s="235" t="s">
        <v>627</v>
      </c>
      <c r="R608" s="238">
        <v>246.66</v>
      </c>
      <c r="S608" s="238">
        <v>12.34</v>
      </c>
      <c r="T608" s="238">
        <v>9.04</v>
      </c>
      <c r="U608" s="238">
        <v>0.46</v>
      </c>
      <c r="V608" s="238">
        <v>0.0</v>
      </c>
      <c r="W608" s="238">
        <v>0.0</v>
      </c>
      <c r="X608" s="235" t="s">
        <v>628</v>
      </c>
      <c r="Z608" s="244"/>
      <c r="AA608" s="244"/>
      <c r="AB608" s="244"/>
      <c r="AC608" s="235" t="s">
        <v>687</v>
      </c>
      <c r="AD608" s="235" t="s">
        <v>666</v>
      </c>
      <c r="AE608" s="238">
        <v>600043.0</v>
      </c>
      <c r="AF608" s="235" t="s">
        <v>631</v>
      </c>
      <c r="AG608" s="244"/>
      <c r="AH608" s="244"/>
      <c r="AI608" s="245"/>
      <c r="AJ608" s="245"/>
      <c r="AK608" s="245"/>
      <c r="AL608" s="245"/>
      <c r="AM608" s="244"/>
      <c r="AN608" s="244"/>
      <c r="AO608" s="238">
        <v>0.0</v>
      </c>
      <c r="AP608" s="238">
        <v>-9.04</v>
      </c>
      <c r="AQ608" s="235" t="s">
        <v>632</v>
      </c>
      <c r="AR608" s="243">
        <v>1.68E11</v>
      </c>
      <c r="AS608" s="235" t="s">
        <v>5516</v>
      </c>
      <c r="AT608" s="235" t="s">
        <v>156</v>
      </c>
      <c r="AU608" s="235" t="s">
        <v>634</v>
      </c>
      <c r="AV608" s="246" t="s">
        <v>635</v>
      </c>
      <c r="AW608" s="242"/>
      <c r="AX608" s="242"/>
      <c r="AY608" s="231"/>
      <c r="AZ608" s="231"/>
      <c r="BA608" s="227"/>
      <c r="BB608" s="231"/>
      <c r="BC608" s="227"/>
      <c r="BD608" s="227"/>
      <c r="BE608" s="227"/>
      <c r="BF608" s="227"/>
    </row>
    <row r="609">
      <c r="A609" s="235" t="s">
        <v>5581</v>
      </c>
      <c r="C609" s="235" t="s">
        <v>5582</v>
      </c>
      <c r="D609" s="235" t="s">
        <v>5583</v>
      </c>
      <c r="E609" s="243">
        <v>6.56E13</v>
      </c>
      <c r="F609" s="245"/>
      <c r="G609" s="235" t="s">
        <v>5584</v>
      </c>
      <c r="H609" s="235" t="s">
        <v>5585</v>
      </c>
      <c r="I609" s="235" t="s">
        <v>5585</v>
      </c>
      <c r="J609" s="235" t="s">
        <v>5586</v>
      </c>
      <c r="K609" s="235" t="s">
        <v>5587</v>
      </c>
      <c r="N609" s="235" t="s">
        <v>68</v>
      </c>
      <c r="O609" s="235" t="s">
        <v>208</v>
      </c>
      <c r="P609" s="238">
        <v>1.0</v>
      </c>
      <c r="Q609" s="235" t="s">
        <v>627</v>
      </c>
      <c r="R609" s="238">
        <v>246.67</v>
      </c>
      <c r="S609" s="238">
        <v>12.08</v>
      </c>
      <c r="T609" s="238">
        <v>38.1</v>
      </c>
      <c r="U609" s="238">
        <v>1.9</v>
      </c>
      <c r="V609" s="238">
        <v>0.0</v>
      </c>
      <c r="W609" s="238">
        <v>0.0</v>
      </c>
      <c r="X609" s="235" t="s">
        <v>628</v>
      </c>
      <c r="Z609" s="244"/>
      <c r="AA609" s="244"/>
      <c r="AB609" s="244"/>
      <c r="AC609" s="235" t="s">
        <v>5588</v>
      </c>
      <c r="AD609" s="235" t="s">
        <v>854</v>
      </c>
      <c r="AE609" s="238">
        <v>403001.0</v>
      </c>
      <c r="AF609" s="235" t="s">
        <v>631</v>
      </c>
      <c r="AG609" s="244"/>
      <c r="AH609" s="244"/>
      <c r="AI609" s="245"/>
      <c r="AJ609" s="245"/>
      <c r="AK609" s="245"/>
      <c r="AL609" s="245"/>
      <c r="AM609" s="244"/>
      <c r="AN609" s="244"/>
      <c r="AO609" s="238">
        <v>-4.93</v>
      </c>
      <c r="AP609" s="238">
        <v>-38.1</v>
      </c>
      <c r="AQ609" s="235" t="s">
        <v>632</v>
      </c>
      <c r="AR609" s="243">
        <v>1.68E11</v>
      </c>
      <c r="AS609" s="235" t="s">
        <v>667</v>
      </c>
      <c r="AT609" s="235" t="s">
        <v>546</v>
      </c>
      <c r="AU609" s="235" t="s">
        <v>634</v>
      </c>
      <c r="AV609" s="246" t="s">
        <v>635</v>
      </c>
      <c r="AW609" s="242"/>
      <c r="AX609" s="242"/>
      <c r="AY609" s="231"/>
      <c r="AZ609" s="231"/>
      <c r="BA609" s="227"/>
      <c r="BB609" s="231"/>
      <c r="BC609" s="227"/>
      <c r="BD609" s="227"/>
      <c r="BE609" s="227"/>
      <c r="BF609" s="227"/>
    </row>
    <row r="610">
      <c r="A610" s="235" t="s">
        <v>5589</v>
      </c>
      <c r="C610" s="235" t="s">
        <v>5590</v>
      </c>
      <c r="D610" s="235" t="s">
        <v>5591</v>
      </c>
      <c r="E610" s="243">
        <v>6.56E13</v>
      </c>
      <c r="F610" s="245"/>
      <c r="G610" s="235" t="s">
        <v>5592</v>
      </c>
      <c r="H610" s="235" t="s">
        <v>5593</v>
      </c>
      <c r="I610" s="235" t="s">
        <v>5593</v>
      </c>
      <c r="J610" s="235" t="s">
        <v>5594</v>
      </c>
      <c r="K610" s="235" t="s">
        <v>5595</v>
      </c>
      <c r="N610" s="235" t="s">
        <v>127</v>
      </c>
      <c r="O610" s="235" t="s">
        <v>794</v>
      </c>
      <c r="P610" s="238">
        <v>1.0</v>
      </c>
      <c r="Q610" s="235" t="s">
        <v>627</v>
      </c>
      <c r="R610" s="238">
        <v>246.66</v>
      </c>
      <c r="S610" s="238">
        <v>12.34</v>
      </c>
      <c r="T610" s="238">
        <v>75.24</v>
      </c>
      <c r="U610" s="238">
        <v>3.76</v>
      </c>
      <c r="V610" s="238">
        <v>0.0</v>
      </c>
      <c r="W610" s="238">
        <v>0.0</v>
      </c>
      <c r="X610" s="235" t="s">
        <v>628</v>
      </c>
      <c r="Z610" s="244"/>
      <c r="AA610" s="244"/>
      <c r="AB610" s="244"/>
      <c r="AC610" s="235" t="s">
        <v>5596</v>
      </c>
      <c r="AD610" s="235" t="s">
        <v>845</v>
      </c>
      <c r="AE610" s="238">
        <v>421501.0</v>
      </c>
      <c r="AF610" s="235" t="s">
        <v>631</v>
      </c>
      <c r="AG610" s="244"/>
      <c r="AH610" s="244"/>
      <c r="AI610" s="245"/>
      <c r="AJ610" s="245"/>
      <c r="AK610" s="245"/>
      <c r="AL610" s="245"/>
      <c r="AM610" s="244"/>
      <c r="AN610" s="244"/>
      <c r="AO610" s="238">
        <v>0.0</v>
      </c>
      <c r="AP610" s="238">
        <v>0.0</v>
      </c>
      <c r="AQ610" s="235" t="s">
        <v>632</v>
      </c>
      <c r="AR610" s="243">
        <v>3.71E11</v>
      </c>
      <c r="AS610" s="235" t="s">
        <v>4697</v>
      </c>
      <c r="AT610" s="235" t="s">
        <v>16</v>
      </c>
      <c r="AU610" s="235" t="s">
        <v>634</v>
      </c>
      <c r="AV610" s="246" t="s">
        <v>635</v>
      </c>
      <c r="AW610" s="242"/>
      <c r="AX610" s="242"/>
      <c r="AY610" s="231"/>
      <c r="AZ610" s="231"/>
      <c r="BA610" s="227"/>
      <c r="BB610" s="231"/>
      <c r="BC610" s="227"/>
      <c r="BD610" s="227"/>
      <c r="BE610" s="227"/>
      <c r="BF610" s="227"/>
    </row>
    <row r="611">
      <c r="A611" s="235" t="s">
        <v>5597</v>
      </c>
      <c r="C611" s="235" t="s">
        <v>5598</v>
      </c>
      <c r="D611" s="235" t="s">
        <v>5599</v>
      </c>
      <c r="E611" s="243">
        <v>6.56E13</v>
      </c>
      <c r="F611" s="245"/>
      <c r="G611" s="235" t="s">
        <v>5600</v>
      </c>
      <c r="H611" s="235" t="s">
        <v>5601</v>
      </c>
      <c r="I611" s="235" t="s">
        <v>5601</v>
      </c>
      <c r="J611" s="235" t="s">
        <v>5602</v>
      </c>
      <c r="K611" s="235" t="s">
        <v>5603</v>
      </c>
      <c r="N611" s="235" t="s">
        <v>47</v>
      </c>
      <c r="O611" s="235" t="s">
        <v>270</v>
      </c>
      <c r="P611" s="238">
        <v>1.0</v>
      </c>
      <c r="Q611" s="235" t="s">
        <v>627</v>
      </c>
      <c r="R611" s="238">
        <v>237.14</v>
      </c>
      <c r="S611" s="238">
        <v>11.62</v>
      </c>
      <c r="T611" s="238">
        <v>0.0</v>
      </c>
      <c r="U611" s="238">
        <v>0.0</v>
      </c>
      <c r="V611" s="238">
        <v>0.0</v>
      </c>
      <c r="W611" s="238">
        <v>0.0</v>
      </c>
      <c r="X611" s="235" t="s">
        <v>628</v>
      </c>
      <c r="Z611" s="244"/>
      <c r="AA611" s="244"/>
      <c r="AB611" s="244"/>
      <c r="AC611" s="235" t="s">
        <v>5604</v>
      </c>
      <c r="AD611" s="235" t="s">
        <v>679</v>
      </c>
      <c r="AE611" s="238">
        <v>570008.0</v>
      </c>
      <c r="AF611" s="235" t="s">
        <v>631</v>
      </c>
      <c r="AG611" s="244"/>
      <c r="AH611" s="244"/>
      <c r="AI611" s="245"/>
      <c r="AJ611" s="245"/>
      <c r="AK611" s="245"/>
      <c r="AL611" s="245"/>
      <c r="AM611" s="244"/>
      <c r="AN611" s="244"/>
      <c r="AO611" s="238">
        <v>-4.74</v>
      </c>
      <c r="AP611" s="238">
        <v>0.0</v>
      </c>
      <c r="AQ611" s="235" t="s">
        <v>632</v>
      </c>
      <c r="AR611" s="243">
        <v>3.71E11</v>
      </c>
      <c r="AS611" s="235" t="s">
        <v>4697</v>
      </c>
      <c r="AT611" s="235" t="s">
        <v>11</v>
      </c>
      <c r="AU611" s="235" t="s">
        <v>634</v>
      </c>
      <c r="AV611" s="246" t="s">
        <v>635</v>
      </c>
      <c r="AW611" s="242"/>
      <c r="AX611" s="242"/>
      <c r="AY611" s="231"/>
      <c r="AZ611" s="231"/>
      <c r="BA611" s="227"/>
      <c r="BB611" s="231"/>
      <c r="BC611" s="227"/>
      <c r="BD611" s="227"/>
      <c r="BE611" s="227"/>
      <c r="BF611" s="227"/>
    </row>
    <row r="612">
      <c r="A612" s="235" t="s">
        <v>5605</v>
      </c>
      <c r="C612" s="235" t="s">
        <v>5606</v>
      </c>
      <c r="D612" s="235" t="s">
        <v>5607</v>
      </c>
      <c r="E612" s="243">
        <v>6.56E13</v>
      </c>
      <c r="F612" s="245"/>
      <c r="G612" s="235" t="s">
        <v>5608</v>
      </c>
      <c r="H612" s="235" t="s">
        <v>5609</v>
      </c>
      <c r="I612" s="235" t="s">
        <v>5609</v>
      </c>
      <c r="J612" s="235" t="s">
        <v>5610</v>
      </c>
      <c r="K612" s="235" t="s">
        <v>5611</v>
      </c>
      <c r="N612" s="235" t="s">
        <v>127</v>
      </c>
      <c r="O612" s="235" t="s">
        <v>794</v>
      </c>
      <c r="P612" s="238">
        <v>1.0</v>
      </c>
      <c r="Q612" s="235" t="s">
        <v>627</v>
      </c>
      <c r="R612" s="238">
        <v>246.66</v>
      </c>
      <c r="S612" s="238">
        <v>12.34</v>
      </c>
      <c r="T612" s="238">
        <v>18.1</v>
      </c>
      <c r="U612" s="238">
        <v>0.9</v>
      </c>
      <c r="V612" s="238">
        <v>0.0</v>
      </c>
      <c r="W612" s="238">
        <v>0.0</v>
      </c>
      <c r="X612" s="235" t="s">
        <v>628</v>
      </c>
      <c r="Z612" s="244"/>
      <c r="AA612" s="244"/>
      <c r="AB612" s="244"/>
      <c r="AC612" s="235" t="s">
        <v>1456</v>
      </c>
      <c r="AD612" s="235" t="s">
        <v>928</v>
      </c>
      <c r="AE612" s="238">
        <v>122001.0</v>
      </c>
      <c r="AF612" s="235" t="s">
        <v>631</v>
      </c>
      <c r="AG612" s="244"/>
      <c r="AH612" s="244"/>
      <c r="AI612" s="245"/>
      <c r="AJ612" s="245"/>
      <c r="AK612" s="245"/>
      <c r="AL612" s="245"/>
      <c r="AM612" s="244"/>
      <c r="AN612" s="244"/>
      <c r="AO612" s="238">
        <v>0.0</v>
      </c>
      <c r="AP612" s="238">
        <v>-18.1</v>
      </c>
      <c r="AQ612" s="235" t="s">
        <v>632</v>
      </c>
      <c r="AR612" s="243">
        <v>1.68E11</v>
      </c>
      <c r="AS612" s="235" t="s">
        <v>5516</v>
      </c>
      <c r="AT612" s="235" t="s">
        <v>533</v>
      </c>
      <c r="AU612" s="235" t="s">
        <v>634</v>
      </c>
      <c r="AV612" s="246" t="s">
        <v>635</v>
      </c>
      <c r="AW612" s="242"/>
      <c r="AX612" s="242"/>
      <c r="AY612" s="231"/>
      <c r="AZ612" s="231"/>
      <c r="BA612" s="227"/>
      <c r="BB612" s="231"/>
      <c r="BC612" s="227"/>
      <c r="BD612" s="227"/>
      <c r="BE612" s="227"/>
      <c r="BF612" s="227"/>
    </row>
    <row r="613">
      <c r="A613" s="235" t="s">
        <v>5612</v>
      </c>
      <c r="C613" s="235" t="s">
        <v>5613</v>
      </c>
      <c r="D613" s="235" t="s">
        <v>5614</v>
      </c>
      <c r="E613" s="243">
        <v>6.56E13</v>
      </c>
      <c r="F613" s="245"/>
      <c r="G613" s="235" t="s">
        <v>5615</v>
      </c>
      <c r="H613" s="235" t="s">
        <v>5616</v>
      </c>
      <c r="I613" s="235" t="s">
        <v>5616</v>
      </c>
      <c r="J613" s="235" t="s">
        <v>5617</v>
      </c>
      <c r="K613" s="235" t="s">
        <v>5618</v>
      </c>
      <c r="N613" s="235" t="s">
        <v>110</v>
      </c>
      <c r="O613" s="235" t="s">
        <v>364</v>
      </c>
      <c r="P613" s="238">
        <v>1.0</v>
      </c>
      <c r="Q613" s="235" t="s">
        <v>627</v>
      </c>
      <c r="R613" s="238">
        <v>246.67</v>
      </c>
      <c r="S613" s="238">
        <v>12.33</v>
      </c>
      <c r="T613" s="238">
        <v>38.1</v>
      </c>
      <c r="U613" s="238">
        <v>1.9</v>
      </c>
      <c r="V613" s="238">
        <v>0.0</v>
      </c>
      <c r="W613" s="238">
        <v>0.0</v>
      </c>
      <c r="X613" s="235" t="s">
        <v>628</v>
      </c>
      <c r="Z613" s="244"/>
      <c r="AA613" s="244"/>
      <c r="AB613" s="244"/>
      <c r="AC613" s="235" t="s">
        <v>1058</v>
      </c>
      <c r="AD613" s="235" t="s">
        <v>845</v>
      </c>
      <c r="AE613" s="238">
        <v>400006.0</v>
      </c>
      <c r="AF613" s="235" t="s">
        <v>631</v>
      </c>
      <c r="AG613" s="244"/>
      <c r="AH613" s="244"/>
      <c r="AI613" s="245"/>
      <c r="AJ613" s="245"/>
      <c r="AK613" s="245"/>
      <c r="AL613" s="245"/>
      <c r="AM613" s="244"/>
      <c r="AN613" s="244"/>
      <c r="AO613" s="238">
        <v>0.0</v>
      </c>
      <c r="AP613" s="238">
        <v>-38.1</v>
      </c>
      <c r="AQ613" s="235" t="s">
        <v>632</v>
      </c>
      <c r="AR613" s="243">
        <v>3.71E11</v>
      </c>
      <c r="AS613" s="235" t="s">
        <v>1367</v>
      </c>
      <c r="AT613" s="235" t="s">
        <v>11</v>
      </c>
      <c r="AU613" s="235" t="s">
        <v>634</v>
      </c>
      <c r="AV613" s="246" t="s">
        <v>635</v>
      </c>
      <c r="AW613" s="242"/>
      <c r="AX613" s="242"/>
      <c r="AY613" s="231"/>
      <c r="AZ613" s="231"/>
      <c r="BA613" s="227"/>
      <c r="BB613" s="231"/>
      <c r="BC613" s="227"/>
      <c r="BD613" s="227"/>
      <c r="BE613" s="227"/>
      <c r="BF613" s="227"/>
    </row>
    <row r="614">
      <c r="A614" s="235" t="s">
        <v>5619</v>
      </c>
      <c r="C614" s="235" t="s">
        <v>5620</v>
      </c>
      <c r="D614" s="235" t="s">
        <v>5621</v>
      </c>
      <c r="E614" s="243">
        <v>6.55E13</v>
      </c>
      <c r="F614" s="245"/>
      <c r="G614" s="235" t="s">
        <v>5622</v>
      </c>
      <c r="H614" s="235" t="s">
        <v>5623</v>
      </c>
      <c r="I614" s="235" t="s">
        <v>5623</v>
      </c>
      <c r="J614" s="235" t="s">
        <v>5624</v>
      </c>
      <c r="K614" s="235" t="s">
        <v>5625</v>
      </c>
      <c r="N614" s="235" t="s">
        <v>154</v>
      </c>
      <c r="O614" s="235" t="s">
        <v>766</v>
      </c>
      <c r="P614" s="238">
        <v>1.0</v>
      </c>
      <c r="Q614" s="235" t="s">
        <v>627</v>
      </c>
      <c r="R614" s="238">
        <v>465.72</v>
      </c>
      <c r="S614" s="238">
        <v>23.28</v>
      </c>
      <c r="T614" s="238">
        <v>0.0</v>
      </c>
      <c r="U614" s="238">
        <v>0.0</v>
      </c>
      <c r="V614" s="238">
        <v>0.0</v>
      </c>
      <c r="W614" s="238">
        <v>0.0</v>
      </c>
      <c r="X614" s="235" t="s">
        <v>628</v>
      </c>
      <c r="Z614" s="244"/>
      <c r="AA614" s="244"/>
      <c r="AB614" s="244"/>
      <c r="AC614" s="235" t="s">
        <v>5626</v>
      </c>
      <c r="AD614" s="235" t="s">
        <v>845</v>
      </c>
      <c r="AE614" s="238">
        <v>410501.0</v>
      </c>
      <c r="AF614" s="235" t="s">
        <v>631</v>
      </c>
      <c r="AG614" s="244"/>
      <c r="AH614" s="244"/>
      <c r="AI614" s="245"/>
      <c r="AJ614" s="245"/>
      <c r="AK614" s="245"/>
      <c r="AL614" s="245"/>
      <c r="AM614" s="244"/>
      <c r="AN614" s="244"/>
      <c r="AO614" s="238">
        <v>0.0</v>
      </c>
      <c r="AP614" s="238">
        <v>0.0</v>
      </c>
      <c r="AQ614" s="235" t="s">
        <v>632</v>
      </c>
      <c r="AR614" s="243">
        <v>3.71E11</v>
      </c>
      <c r="AS614" s="235" t="s">
        <v>3284</v>
      </c>
      <c r="AT614" s="235" t="s">
        <v>16</v>
      </c>
      <c r="AU614" s="235" t="s">
        <v>634</v>
      </c>
      <c r="AV614" s="246" t="s">
        <v>635</v>
      </c>
      <c r="AW614" s="242"/>
      <c r="AX614" s="242"/>
      <c r="AY614" s="231"/>
      <c r="AZ614" s="231"/>
      <c r="BA614" s="227"/>
      <c r="BB614" s="231"/>
      <c r="BC614" s="227"/>
      <c r="BD614" s="227"/>
      <c r="BE614" s="227"/>
      <c r="BF614" s="227"/>
    </row>
    <row r="615">
      <c r="A615" s="235" t="s">
        <v>5627</v>
      </c>
      <c r="C615" s="235" t="s">
        <v>5628</v>
      </c>
      <c r="D615" s="235" t="s">
        <v>5629</v>
      </c>
      <c r="E615" s="243">
        <v>6.56E13</v>
      </c>
      <c r="F615" s="245"/>
      <c r="G615" s="235" t="s">
        <v>5630</v>
      </c>
      <c r="H615" s="235" t="s">
        <v>5631</v>
      </c>
      <c r="I615" s="235" t="s">
        <v>5631</v>
      </c>
      <c r="J615" s="235" t="s">
        <v>5632</v>
      </c>
      <c r="K615" s="235" t="s">
        <v>5633</v>
      </c>
      <c r="N615" s="235" t="s">
        <v>138</v>
      </c>
      <c r="O615" s="235" t="s">
        <v>675</v>
      </c>
      <c r="P615" s="238">
        <v>1.0</v>
      </c>
      <c r="Q615" s="235" t="s">
        <v>627</v>
      </c>
      <c r="R615" s="238">
        <v>246.67</v>
      </c>
      <c r="S615" s="238">
        <v>12.33</v>
      </c>
      <c r="T615" s="238">
        <v>0.0</v>
      </c>
      <c r="U615" s="238">
        <v>0.0</v>
      </c>
      <c r="V615" s="238">
        <v>0.0</v>
      </c>
      <c r="W615" s="238">
        <v>0.0</v>
      </c>
      <c r="X615" s="235" t="s">
        <v>628</v>
      </c>
      <c r="Z615" s="244"/>
      <c r="AA615" s="244"/>
      <c r="AB615" s="244"/>
      <c r="AC615" s="235" t="s">
        <v>795</v>
      </c>
      <c r="AD615" s="235" t="s">
        <v>796</v>
      </c>
      <c r="AE615" s="238">
        <v>110077.0</v>
      </c>
      <c r="AF615" s="235" t="s">
        <v>631</v>
      </c>
      <c r="AG615" s="244"/>
      <c r="AH615" s="244"/>
      <c r="AI615" s="245"/>
      <c r="AJ615" s="245"/>
      <c r="AK615" s="245"/>
      <c r="AL615" s="245"/>
      <c r="AM615" s="244"/>
      <c r="AN615" s="244"/>
      <c r="AO615" s="238">
        <v>0.0</v>
      </c>
      <c r="AP615" s="238">
        <v>0.0</v>
      </c>
      <c r="AQ615" s="235" t="s">
        <v>632</v>
      </c>
      <c r="AR615" s="243">
        <v>1.68E11</v>
      </c>
      <c r="AS615" s="235" t="s">
        <v>5516</v>
      </c>
      <c r="AT615" s="235" t="s">
        <v>533</v>
      </c>
      <c r="AU615" s="235" t="s">
        <v>634</v>
      </c>
      <c r="AV615" s="246" t="s">
        <v>635</v>
      </c>
      <c r="AW615" s="242"/>
      <c r="AX615" s="242"/>
      <c r="AY615" s="231"/>
      <c r="AZ615" s="231"/>
      <c r="BA615" s="227"/>
      <c r="BB615" s="231"/>
      <c r="BC615" s="227"/>
      <c r="BD615" s="227"/>
      <c r="BE615" s="227"/>
      <c r="BF615" s="227"/>
    </row>
    <row r="616">
      <c r="A616" s="235" t="s">
        <v>5634</v>
      </c>
      <c r="C616" s="235" t="s">
        <v>5635</v>
      </c>
      <c r="D616" s="235" t="s">
        <v>5636</v>
      </c>
      <c r="E616" s="243">
        <v>6.56E13</v>
      </c>
      <c r="F616" s="245"/>
      <c r="G616" s="235" t="s">
        <v>5637</v>
      </c>
      <c r="H616" s="235" t="s">
        <v>5638</v>
      </c>
      <c r="I616" s="235" t="s">
        <v>5638</v>
      </c>
      <c r="J616" s="235" t="s">
        <v>5639</v>
      </c>
      <c r="K616" s="235" t="s">
        <v>5640</v>
      </c>
      <c r="N616" s="235" t="s">
        <v>127</v>
      </c>
      <c r="O616" s="235" t="s">
        <v>794</v>
      </c>
      <c r="P616" s="238">
        <v>1.0</v>
      </c>
      <c r="Q616" s="235" t="s">
        <v>627</v>
      </c>
      <c r="R616" s="238">
        <v>246.67</v>
      </c>
      <c r="S616" s="238">
        <v>12.33</v>
      </c>
      <c r="T616" s="238">
        <v>0.0</v>
      </c>
      <c r="U616" s="238">
        <v>0.0</v>
      </c>
      <c r="V616" s="238">
        <v>0.0</v>
      </c>
      <c r="W616" s="238">
        <v>0.0</v>
      </c>
      <c r="X616" s="235" t="s">
        <v>628</v>
      </c>
      <c r="Z616" s="244"/>
      <c r="AA616" s="244"/>
      <c r="AB616" s="244"/>
      <c r="AC616" s="235" t="s">
        <v>1279</v>
      </c>
      <c r="AD616" s="235" t="s">
        <v>917</v>
      </c>
      <c r="AE616" s="238">
        <v>302006.0</v>
      </c>
      <c r="AF616" s="235" t="s">
        <v>631</v>
      </c>
      <c r="AG616" s="244"/>
      <c r="AH616" s="244"/>
      <c r="AI616" s="245"/>
      <c r="AJ616" s="245"/>
      <c r="AK616" s="245"/>
      <c r="AL616" s="245"/>
      <c r="AM616" s="244"/>
      <c r="AN616" s="244"/>
      <c r="AO616" s="238">
        <v>0.0</v>
      </c>
      <c r="AP616" s="238">
        <v>0.0</v>
      </c>
      <c r="AQ616" s="235" t="s">
        <v>632</v>
      </c>
      <c r="AR616" s="243">
        <v>1.68E11</v>
      </c>
      <c r="AS616" s="235" t="s">
        <v>4697</v>
      </c>
      <c r="AT616" s="235" t="s">
        <v>13</v>
      </c>
      <c r="AU616" s="235" t="s">
        <v>634</v>
      </c>
      <c r="AV616" s="246" t="s">
        <v>635</v>
      </c>
      <c r="AW616" s="242"/>
      <c r="AX616" s="242"/>
      <c r="AY616" s="231"/>
      <c r="AZ616" s="231"/>
      <c r="BA616" s="227"/>
      <c r="BB616" s="231"/>
      <c r="BC616" s="227"/>
      <c r="BD616" s="227"/>
      <c r="BE616" s="227"/>
      <c r="BF616" s="227"/>
    </row>
    <row r="617">
      <c r="A617" s="235" t="s">
        <v>5641</v>
      </c>
      <c r="C617" s="235" t="s">
        <v>5642</v>
      </c>
      <c r="D617" s="235" t="s">
        <v>5643</v>
      </c>
      <c r="E617" s="243">
        <v>6.56E13</v>
      </c>
      <c r="F617" s="245"/>
      <c r="G617" s="235" t="s">
        <v>5644</v>
      </c>
      <c r="H617" s="235" t="s">
        <v>5645</v>
      </c>
      <c r="I617" s="235" t="s">
        <v>5645</v>
      </c>
      <c r="J617" s="235" t="s">
        <v>5646</v>
      </c>
      <c r="K617" s="235" t="s">
        <v>5647</v>
      </c>
      <c r="N617" s="235" t="s">
        <v>71</v>
      </c>
      <c r="O617" s="235" t="s">
        <v>240</v>
      </c>
      <c r="P617" s="238">
        <v>1.0</v>
      </c>
      <c r="Q617" s="235" t="s">
        <v>627</v>
      </c>
      <c r="R617" s="238">
        <v>246.66</v>
      </c>
      <c r="S617" s="238">
        <v>12.34</v>
      </c>
      <c r="T617" s="238">
        <v>18.1</v>
      </c>
      <c r="U617" s="238">
        <v>0.9</v>
      </c>
      <c r="V617" s="238">
        <v>0.0</v>
      </c>
      <c r="W617" s="238">
        <v>0.0</v>
      </c>
      <c r="X617" s="235" t="s">
        <v>628</v>
      </c>
      <c r="Z617" s="244"/>
      <c r="AA617" s="244"/>
      <c r="AB617" s="244"/>
      <c r="AC617" s="235" t="s">
        <v>1887</v>
      </c>
      <c r="AD617" s="235" t="s">
        <v>679</v>
      </c>
      <c r="AE617" s="238">
        <v>560075.0</v>
      </c>
      <c r="AF617" s="235" t="s">
        <v>631</v>
      </c>
      <c r="AG617" s="244"/>
      <c r="AH617" s="244"/>
      <c r="AI617" s="245"/>
      <c r="AJ617" s="245"/>
      <c r="AK617" s="245"/>
      <c r="AL617" s="245"/>
      <c r="AM617" s="244"/>
      <c r="AN617" s="244"/>
      <c r="AO617" s="238">
        <v>0.0</v>
      </c>
      <c r="AP617" s="238">
        <v>-18.1</v>
      </c>
      <c r="AQ617" s="235" t="s">
        <v>632</v>
      </c>
      <c r="AR617" s="243">
        <v>1.68E11</v>
      </c>
      <c r="AS617" s="235" t="s">
        <v>5516</v>
      </c>
      <c r="AT617" s="235" t="s">
        <v>9</v>
      </c>
      <c r="AU617" s="235" t="s">
        <v>634</v>
      </c>
      <c r="AV617" s="246" t="s">
        <v>635</v>
      </c>
      <c r="AW617" s="242"/>
      <c r="AX617" s="242"/>
      <c r="AY617" s="231"/>
      <c r="AZ617" s="231"/>
      <c r="BA617" s="227"/>
      <c r="BB617" s="231"/>
      <c r="BC617" s="227"/>
      <c r="BD617" s="227"/>
      <c r="BE617" s="227"/>
      <c r="BF617" s="227"/>
    </row>
    <row r="618">
      <c r="A618" s="235" t="s">
        <v>5648</v>
      </c>
      <c r="C618" s="235" t="s">
        <v>5649</v>
      </c>
      <c r="D618" s="235" t="s">
        <v>5650</v>
      </c>
      <c r="E618" s="243">
        <v>6.56E13</v>
      </c>
      <c r="F618" s="245"/>
      <c r="G618" s="235" t="s">
        <v>5651</v>
      </c>
      <c r="H618" s="235" t="s">
        <v>5652</v>
      </c>
      <c r="I618" s="235" t="s">
        <v>5652</v>
      </c>
      <c r="J618" s="235" t="s">
        <v>5653</v>
      </c>
      <c r="K618" s="235" t="s">
        <v>5654</v>
      </c>
      <c r="N618" s="235" t="s">
        <v>128</v>
      </c>
      <c r="O618" s="235" t="s">
        <v>2710</v>
      </c>
      <c r="P618" s="238">
        <v>1.0</v>
      </c>
      <c r="Q618" s="235" t="s">
        <v>627</v>
      </c>
      <c r="R618" s="238">
        <v>246.66</v>
      </c>
      <c r="S618" s="238">
        <v>12.34</v>
      </c>
      <c r="T618" s="238">
        <v>0.0</v>
      </c>
      <c r="U618" s="238">
        <v>0.0</v>
      </c>
      <c r="V618" s="238">
        <v>0.0</v>
      </c>
      <c r="W618" s="238">
        <v>0.0</v>
      </c>
      <c r="X618" s="235" t="s">
        <v>628</v>
      </c>
      <c r="Z618" s="244"/>
      <c r="AA618" s="244"/>
      <c r="AB618" s="244"/>
      <c r="AC618" s="235" t="s">
        <v>678</v>
      </c>
      <c r="AD618" s="235" t="s">
        <v>679</v>
      </c>
      <c r="AE618" s="238">
        <v>560102.0</v>
      </c>
      <c r="AF618" s="235" t="s">
        <v>631</v>
      </c>
      <c r="AG618" s="244"/>
      <c r="AH618" s="244"/>
      <c r="AI618" s="245"/>
      <c r="AJ618" s="245"/>
      <c r="AK618" s="245"/>
      <c r="AL618" s="245"/>
      <c r="AM618" s="244"/>
      <c r="AN618" s="244"/>
      <c r="AO618" s="238">
        <v>0.0</v>
      </c>
      <c r="AP618" s="238">
        <v>0.0</v>
      </c>
      <c r="AQ618" s="235" t="s">
        <v>632</v>
      </c>
      <c r="AR618" s="243">
        <v>3.71E11</v>
      </c>
      <c r="AS618" s="235" t="s">
        <v>4697</v>
      </c>
      <c r="AT618" s="235" t="s">
        <v>11</v>
      </c>
      <c r="AU618" s="235" t="s">
        <v>634</v>
      </c>
      <c r="AV618" s="246" t="s">
        <v>635</v>
      </c>
      <c r="AW618" s="242"/>
      <c r="AX618" s="242"/>
      <c r="AY618" s="231"/>
      <c r="AZ618" s="231"/>
      <c r="BA618" s="227"/>
      <c r="BB618" s="231"/>
      <c r="BC618" s="227"/>
      <c r="BD618" s="227"/>
      <c r="BE618" s="227"/>
      <c r="BF618" s="227"/>
    </row>
    <row r="619">
      <c r="A619" s="235" t="s">
        <v>5655</v>
      </c>
      <c r="C619" s="235" t="s">
        <v>5656</v>
      </c>
      <c r="D619" s="235" t="s">
        <v>5657</v>
      </c>
      <c r="E619" s="243">
        <v>6.56E13</v>
      </c>
      <c r="F619" s="245"/>
      <c r="G619" s="235" t="s">
        <v>5658</v>
      </c>
      <c r="H619" s="235" t="s">
        <v>5659</v>
      </c>
      <c r="I619" s="235" t="s">
        <v>5660</v>
      </c>
      <c r="J619" s="235" t="s">
        <v>5661</v>
      </c>
      <c r="K619" s="235" t="s">
        <v>5662</v>
      </c>
      <c r="N619" s="235" t="s">
        <v>117</v>
      </c>
      <c r="O619" s="235" t="s">
        <v>334</v>
      </c>
      <c r="P619" s="238">
        <v>1.0</v>
      </c>
      <c r="Q619" s="235" t="s">
        <v>627</v>
      </c>
      <c r="R619" s="238">
        <v>237.14</v>
      </c>
      <c r="S619" s="238">
        <v>11.86</v>
      </c>
      <c r="T619" s="238">
        <v>0.0</v>
      </c>
      <c r="U619" s="238">
        <v>0.0</v>
      </c>
      <c r="V619" s="238">
        <v>0.0</v>
      </c>
      <c r="W619" s="238">
        <v>0.0</v>
      </c>
      <c r="X619" s="235" t="s">
        <v>628</v>
      </c>
      <c r="Z619" s="244"/>
      <c r="AA619" s="244"/>
      <c r="AB619" s="244"/>
      <c r="AC619" s="235" t="s">
        <v>1456</v>
      </c>
      <c r="AD619" s="235" t="s">
        <v>928</v>
      </c>
      <c r="AE619" s="238">
        <v>122017.0</v>
      </c>
      <c r="AF619" s="235" t="s">
        <v>631</v>
      </c>
      <c r="AG619" s="244"/>
      <c r="AH619" s="244"/>
      <c r="AI619" s="245"/>
      <c r="AJ619" s="245"/>
      <c r="AK619" s="245"/>
      <c r="AL619" s="245"/>
      <c r="AM619" s="244"/>
      <c r="AN619" s="244"/>
      <c r="AO619" s="238">
        <v>0.0</v>
      </c>
      <c r="AP619" s="238">
        <v>0.0</v>
      </c>
      <c r="AQ619" s="235" t="s">
        <v>632</v>
      </c>
      <c r="AR619" s="243">
        <v>1.68E11</v>
      </c>
      <c r="AS619" s="235" t="s">
        <v>5516</v>
      </c>
      <c r="AT619" s="235" t="s">
        <v>13</v>
      </c>
      <c r="AU619" s="235" t="s">
        <v>634</v>
      </c>
      <c r="AV619" s="246" t="s">
        <v>635</v>
      </c>
      <c r="AW619" s="242"/>
      <c r="AX619" s="242"/>
      <c r="AY619" s="231"/>
      <c r="AZ619" s="231"/>
      <c r="BA619" s="227"/>
      <c r="BB619" s="231"/>
      <c r="BC619" s="227"/>
      <c r="BD619" s="227"/>
      <c r="BE619" s="227"/>
      <c r="BF619" s="227"/>
    </row>
    <row r="620">
      <c r="A620" s="235" t="s">
        <v>5663</v>
      </c>
      <c r="C620" s="235" t="s">
        <v>5664</v>
      </c>
      <c r="D620" s="235" t="s">
        <v>5665</v>
      </c>
      <c r="E620" s="243">
        <v>6.56E13</v>
      </c>
      <c r="F620" s="245"/>
      <c r="G620" s="235" t="s">
        <v>5666</v>
      </c>
      <c r="H620" s="235" t="s">
        <v>5667</v>
      </c>
      <c r="I620" s="235" t="s">
        <v>5668</v>
      </c>
      <c r="J620" s="235" t="s">
        <v>5669</v>
      </c>
      <c r="K620" s="235" t="s">
        <v>5670</v>
      </c>
      <c r="N620" s="235" t="s">
        <v>117</v>
      </c>
      <c r="O620" s="235" t="s">
        <v>334</v>
      </c>
      <c r="P620" s="238">
        <v>1.0</v>
      </c>
      <c r="Q620" s="235" t="s">
        <v>627</v>
      </c>
      <c r="R620" s="238">
        <v>237.14</v>
      </c>
      <c r="S620" s="238">
        <v>11.86</v>
      </c>
      <c r="T620" s="238">
        <v>0.0</v>
      </c>
      <c r="U620" s="238">
        <v>0.0</v>
      </c>
      <c r="V620" s="238">
        <v>0.0</v>
      </c>
      <c r="W620" s="238">
        <v>0.0</v>
      </c>
      <c r="X620" s="235" t="s">
        <v>628</v>
      </c>
      <c r="Z620" s="244"/>
      <c r="AA620" s="244"/>
      <c r="AB620" s="244"/>
      <c r="AC620" s="235" t="s">
        <v>1456</v>
      </c>
      <c r="AD620" s="235" t="s">
        <v>928</v>
      </c>
      <c r="AE620" s="238">
        <v>122505.0</v>
      </c>
      <c r="AF620" s="235" t="s">
        <v>631</v>
      </c>
      <c r="AG620" s="244"/>
      <c r="AH620" s="244"/>
      <c r="AI620" s="245"/>
      <c r="AJ620" s="245"/>
      <c r="AK620" s="245"/>
      <c r="AL620" s="245"/>
      <c r="AM620" s="244"/>
      <c r="AN620" s="244"/>
      <c r="AO620" s="238">
        <v>0.0</v>
      </c>
      <c r="AP620" s="238">
        <v>0.0</v>
      </c>
      <c r="AQ620" s="235" t="s">
        <v>632</v>
      </c>
      <c r="AR620" s="243">
        <v>3.71E11</v>
      </c>
      <c r="AS620" s="235" t="s">
        <v>4697</v>
      </c>
      <c r="AT620" s="235" t="s">
        <v>13</v>
      </c>
      <c r="AU620" s="235" t="s">
        <v>634</v>
      </c>
      <c r="AV620" s="246" t="s">
        <v>635</v>
      </c>
      <c r="AW620" s="242"/>
      <c r="AX620" s="242"/>
      <c r="AY620" s="231"/>
      <c r="AZ620" s="231"/>
      <c r="BA620" s="227"/>
      <c r="BB620" s="231"/>
      <c r="BC620" s="227"/>
      <c r="BD620" s="227"/>
      <c r="BE620" s="227"/>
      <c r="BF620" s="227"/>
    </row>
    <row r="621">
      <c r="A621" s="235" t="s">
        <v>5671</v>
      </c>
      <c r="C621" s="235" t="s">
        <v>5672</v>
      </c>
      <c r="D621" s="235" t="s">
        <v>5673</v>
      </c>
      <c r="E621" s="243">
        <v>6.56E13</v>
      </c>
      <c r="F621" s="245"/>
      <c r="G621" s="235" t="s">
        <v>5674</v>
      </c>
      <c r="H621" s="235" t="s">
        <v>5675</v>
      </c>
      <c r="I621" s="235" t="s">
        <v>5676</v>
      </c>
      <c r="J621" s="235" t="s">
        <v>5677</v>
      </c>
      <c r="K621" s="235" t="s">
        <v>5678</v>
      </c>
      <c r="N621" s="235" t="s">
        <v>75</v>
      </c>
      <c r="O621" s="235" t="s">
        <v>2108</v>
      </c>
      <c r="P621" s="238">
        <v>1.0</v>
      </c>
      <c r="Q621" s="235" t="s">
        <v>627</v>
      </c>
      <c r="R621" s="238">
        <v>360.96</v>
      </c>
      <c r="S621" s="238">
        <v>18.04</v>
      </c>
      <c r="T621" s="238">
        <v>0.0</v>
      </c>
      <c r="U621" s="238">
        <v>0.0</v>
      </c>
      <c r="V621" s="238">
        <v>0.0</v>
      </c>
      <c r="W621" s="238">
        <v>0.0</v>
      </c>
      <c r="X621" s="235" t="s">
        <v>628</v>
      </c>
      <c r="Z621" s="244"/>
      <c r="AA621" s="244"/>
      <c r="AB621" s="244"/>
      <c r="AC621" s="235" t="s">
        <v>5679</v>
      </c>
      <c r="AD621" s="235" t="s">
        <v>679</v>
      </c>
      <c r="AE621" s="238">
        <v>570023.0</v>
      </c>
      <c r="AF621" s="235" t="s">
        <v>631</v>
      </c>
      <c r="AG621" s="244"/>
      <c r="AH621" s="244"/>
      <c r="AI621" s="245"/>
      <c r="AJ621" s="245"/>
      <c r="AK621" s="245"/>
      <c r="AL621" s="245"/>
      <c r="AM621" s="244"/>
      <c r="AN621" s="244"/>
      <c r="AO621" s="238">
        <v>0.0</v>
      </c>
      <c r="AP621" s="238">
        <v>0.0</v>
      </c>
      <c r="AQ621" s="235" t="s">
        <v>632</v>
      </c>
      <c r="AR621" s="243">
        <v>1.68E11</v>
      </c>
      <c r="AS621" s="235" t="s">
        <v>5516</v>
      </c>
      <c r="AT621" s="235" t="s">
        <v>11</v>
      </c>
      <c r="AU621" s="235" t="s">
        <v>634</v>
      </c>
      <c r="AV621" s="246" t="s">
        <v>635</v>
      </c>
      <c r="AW621" s="242"/>
      <c r="AX621" s="242"/>
      <c r="AY621" s="231"/>
      <c r="AZ621" s="231"/>
      <c r="BA621" s="227"/>
      <c r="BB621" s="231"/>
      <c r="BC621" s="227"/>
      <c r="BD621" s="227"/>
      <c r="BE621" s="227"/>
      <c r="BF621" s="227"/>
    </row>
    <row r="622">
      <c r="A622" s="235" t="s">
        <v>5680</v>
      </c>
      <c r="C622" s="235" t="s">
        <v>5681</v>
      </c>
      <c r="D622" s="235" t="s">
        <v>5682</v>
      </c>
      <c r="E622" s="243">
        <v>6.56E13</v>
      </c>
      <c r="F622" s="245"/>
      <c r="G622" s="235" t="s">
        <v>5683</v>
      </c>
      <c r="H622" s="235" t="s">
        <v>5684</v>
      </c>
      <c r="I622" s="235" t="s">
        <v>5685</v>
      </c>
      <c r="J622" s="235" t="s">
        <v>5686</v>
      </c>
      <c r="K622" s="235" t="s">
        <v>5687</v>
      </c>
      <c r="N622" s="235" t="s">
        <v>566</v>
      </c>
      <c r="O622" s="235" t="s">
        <v>1834</v>
      </c>
      <c r="P622" s="238">
        <v>1.0</v>
      </c>
      <c r="Q622" s="235" t="s">
        <v>627</v>
      </c>
      <c r="R622" s="238">
        <v>422.88</v>
      </c>
      <c r="S622" s="238">
        <v>74.6</v>
      </c>
      <c r="T622" s="238">
        <v>0.0</v>
      </c>
      <c r="U622" s="238">
        <v>0.0</v>
      </c>
      <c r="V622" s="238">
        <v>0.0</v>
      </c>
      <c r="W622" s="238">
        <v>0.0</v>
      </c>
      <c r="X622" s="235" t="s">
        <v>628</v>
      </c>
      <c r="Z622" s="244"/>
      <c r="AA622" s="244"/>
      <c r="AB622" s="244"/>
      <c r="AC622" s="235" t="s">
        <v>5688</v>
      </c>
      <c r="AD622" s="235" t="s">
        <v>645</v>
      </c>
      <c r="AE622" s="238">
        <v>695027.0</v>
      </c>
      <c r="AF622" s="235" t="s">
        <v>631</v>
      </c>
      <c r="AG622" s="244"/>
      <c r="AH622" s="244"/>
      <c r="AI622" s="245"/>
      <c r="AJ622" s="245"/>
      <c r="AK622" s="245"/>
      <c r="AL622" s="245"/>
      <c r="AM622" s="244"/>
      <c r="AN622" s="244"/>
      <c r="AO622" s="238">
        <v>-8.46</v>
      </c>
      <c r="AP622" s="238">
        <v>0.0</v>
      </c>
      <c r="AQ622" s="235" t="s">
        <v>632</v>
      </c>
      <c r="AR622" s="243">
        <v>3.71E11</v>
      </c>
      <c r="AS622" s="235" t="s">
        <v>3284</v>
      </c>
      <c r="AT622" s="235" t="s">
        <v>155</v>
      </c>
      <c r="AU622" s="235" t="s">
        <v>634</v>
      </c>
      <c r="AV622" s="246" t="s">
        <v>635</v>
      </c>
      <c r="AW622" s="242"/>
      <c r="AX622" s="242"/>
      <c r="AY622" s="231"/>
      <c r="AZ622" s="231"/>
      <c r="BA622" s="227"/>
      <c r="BB622" s="231"/>
      <c r="BC622" s="227"/>
      <c r="BD622" s="227"/>
      <c r="BE622" s="227"/>
      <c r="BF622" s="227"/>
    </row>
    <row r="623">
      <c r="A623" s="235" t="s">
        <v>5689</v>
      </c>
      <c r="C623" s="235" t="s">
        <v>5690</v>
      </c>
      <c r="D623" s="235" t="s">
        <v>5691</v>
      </c>
      <c r="E623" s="243">
        <v>6.56E13</v>
      </c>
      <c r="F623" s="245"/>
      <c r="G623" s="235" t="s">
        <v>5692</v>
      </c>
      <c r="H623" s="235" t="s">
        <v>5693</v>
      </c>
      <c r="I623" s="235" t="s">
        <v>5693</v>
      </c>
      <c r="J623" s="235" t="s">
        <v>5694</v>
      </c>
      <c r="K623" s="235" t="s">
        <v>5695</v>
      </c>
      <c r="N623" s="235" t="s">
        <v>144</v>
      </c>
      <c r="O623" s="235" t="s">
        <v>232</v>
      </c>
      <c r="P623" s="238">
        <v>1.0</v>
      </c>
      <c r="Q623" s="235" t="s">
        <v>627</v>
      </c>
      <c r="R623" s="238">
        <v>665.72</v>
      </c>
      <c r="S623" s="238">
        <v>33.28</v>
      </c>
      <c r="T623" s="238">
        <v>6.03</v>
      </c>
      <c r="U623" s="238">
        <v>0.3</v>
      </c>
      <c r="V623" s="238">
        <v>0.0</v>
      </c>
      <c r="W623" s="238">
        <v>0.0</v>
      </c>
      <c r="X623" s="235" t="s">
        <v>628</v>
      </c>
      <c r="Z623" s="244"/>
      <c r="AA623" s="244"/>
      <c r="AB623" s="244"/>
      <c r="AC623" s="235" t="s">
        <v>1456</v>
      </c>
      <c r="AD623" s="235" t="s">
        <v>928</v>
      </c>
      <c r="AE623" s="238">
        <v>122022.0</v>
      </c>
      <c r="AF623" s="235" t="s">
        <v>631</v>
      </c>
      <c r="AG623" s="244"/>
      <c r="AH623" s="244"/>
      <c r="AI623" s="245"/>
      <c r="AJ623" s="245"/>
      <c r="AK623" s="245"/>
      <c r="AL623" s="245"/>
      <c r="AM623" s="244"/>
      <c r="AN623" s="244"/>
      <c r="AO623" s="238">
        <v>0.0</v>
      </c>
      <c r="AP623" s="238">
        <v>-6.03</v>
      </c>
      <c r="AQ623" s="235" t="s">
        <v>632</v>
      </c>
      <c r="AR623" s="243">
        <v>1.68E11</v>
      </c>
      <c r="AS623" s="235" t="s">
        <v>5516</v>
      </c>
      <c r="AT623" s="235" t="s">
        <v>533</v>
      </c>
      <c r="AU623" s="235" t="s">
        <v>634</v>
      </c>
      <c r="AV623" s="246" t="s">
        <v>635</v>
      </c>
      <c r="AW623" s="242"/>
      <c r="AX623" s="242"/>
      <c r="AY623" s="231"/>
      <c r="AZ623" s="231"/>
      <c r="BA623" s="227"/>
      <c r="BB623" s="231"/>
      <c r="BC623" s="227"/>
      <c r="BD623" s="227"/>
      <c r="BE623" s="227"/>
      <c r="BF623" s="227"/>
    </row>
    <row r="624">
      <c r="A624" s="235" t="s">
        <v>5696</v>
      </c>
      <c r="C624" s="235" t="s">
        <v>5697</v>
      </c>
      <c r="D624" s="235" t="s">
        <v>5698</v>
      </c>
      <c r="E624" s="243">
        <v>6.56E13</v>
      </c>
      <c r="F624" s="245"/>
      <c r="G624" s="235" t="s">
        <v>5699</v>
      </c>
      <c r="H624" s="235" t="s">
        <v>5700</v>
      </c>
      <c r="I624" s="235" t="s">
        <v>5700</v>
      </c>
      <c r="J624" s="235" t="s">
        <v>5701</v>
      </c>
      <c r="K624" s="235" t="s">
        <v>5702</v>
      </c>
      <c r="N624" s="235" t="s">
        <v>717</v>
      </c>
      <c r="O624" s="235" t="s">
        <v>718</v>
      </c>
      <c r="P624" s="238">
        <v>2.0</v>
      </c>
      <c r="Q624" s="235" t="s">
        <v>627</v>
      </c>
      <c r="R624" s="238">
        <v>912.4</v>
      </c>
      <c r="S624" s="238">
        <v>44.24</v>
      </c>
      <c r="T624" s="238">
        <v>0.0</v>
      </c>
      <c r="U624" s="238">
        <v>0.0</v>
      </c>
      <c r="V624" s="238">
        <v>0.0</v>
      </c>
      <c r="W624" s="238">
        <v>0.0</v>
      </c>
      <c r="X624" s="235" t="s">
        <v>628</v>
      </c>
      <c r="Z624" s="244"/>
      <c r="AA624" s="244"/>
      <c r="AB624" s="244"/>
      <c r="AC624" s="235" t="s">
        <v>687</v>
      </c>
      <c r="AD624" s="235" t="s">
        <v>666</v>
      </c>
      <c r="AE624" s="238">
        <v>600083.0</v>
      </c>
      <c r="AF624" s="235" t="s">
        <v>631</v>
      </c>
      <c r="AG624" s="244"/>
      <c r="AH624" s="244"/>
      <c r="AI624" s="245"/>
      <c r="AJ624" s="245"/>
      <c r="AK624" s="245"/>
      <c r="AL624" s="245"/>
      <c r="AM624" s="244"/>
      <c r="AN624" s="244"/>
      <c r="AO624" s="238">
        <v>-27.38</v>
      </c>
      <c r="AP624" s="238">
        <v>0.0</v>
      </c>
      <c r="AQ624" s="235" t="s">
        <v>632</v>
      </c>
      <c r="AR624" s="243">
        <v>1.68E11</v>
      </c>
      <c r="AS624" s="235" t="s">
        <v>5516</v>
      </c>
      <c r="AT624" s="235" t="s">
        <v>156</v>
      </c>
      <c r="AU624" s="235" t="s">
        <v>634</v>
      </c>
      <c r="AV624" s="246" t="s">
        <v>635</v>
      </c>
      <c r="AW624" s="242"/>
      <c r="AX624" s="242"/>
      <c r="AY624" s="231"/>
      <c r="AZ624" s="231"/>
      <c r="BA624" s="227"/>
      <c r="BB624" s="231"/>
      <c r="BC624" s="227"/>
      <c r="BD624" s="227"/>
      <c r="BE624" s="227"/>
      <c r="BF624" s="227"/>
    </row>
    <row r="625">
      <c r="A625" s="235" t="s">
        <v>5703</v>
      </c>
      <c r="C625" s="235" t="s">
        <v>5704</v>
      </c>
      <c r="D625" s="235" t="s">
        <v>5705</v>
      </c>
      <c r="E625" s="243">
        <v>6.56E13</v>
      </c>
      <c r="F625" s="245"/>
      <c r="G625" s="235" t="s">
        <v>5706</v>
      </c>
      <c r="H625" s="235" t="s">
        <v>5707</v>
      </c>
      <c r="I625" s="235" t="s">
        <v>5707</v>
      </c>
      <c r="J625" s="235" t="s">
        <v>5708</v>
      </c>
      <c r="K625" s="235" t="s">
        <v>5709</v>
      </c>
      <c r="N625" s="235" t="s">
        <v>145</v>
      </c>
      <c r="O625" s="235" t="s">
        <v>370</v>
      </c>
      <c r="P625" s="238">
        <v>1.0</v>
      </c>
      <c r="Q625" s="235" t="s">
        <v>627</v>
      </c>
      <c r="R625" s="238">
        <v>1522.86</v>
      </c>
      <c r="S625" s="238">
        <v>76.14</v>
      </c>
      <c r="T625" s="238">
        <v>0.0</v>
      </c>
      <c r="U625" s="238">
        <v>0.0</v>
      </c>
      <c r="V625" s="238">
        <v>0.0</v>
      </c>
      <c r="W625" s="238">
        <v>0.0</v>
      </c>
      <c r="X625" s="235" t="s">
        <v>628</v>
      </c>
      <c r="Z625" s="244"/>
      <c r="AA625" s="244"/>
      <c r="AB625" s="244"/>
      <c r="AC625" s="235" t="s">
        <v>1514</v>
      </c>
      <c r="AD625" s="235" t="s">
        <v>1077</v>
      </c>
      <c r="AE625" s="238">
        <v>380061.0</v>
      </c>
      <c r="AF625" s="235" t="s">
        <v>631</v>
      </c>
      <c r="AG625" s="244"/>
      <c r="AH625" s="244"/>
      <c r="AI625" s="245"/>
      <c r="AJ625" s="245"/>
      <c r="AK625" s="245"/>
      <c r="AL625" s="245"/>
      <c r="AM625" s="244"/>
      <c r="AN625" s="244"/>
      <c r="AO625" s="238">
        <v>0.0</v>
      </c>
      <c r="AP625" s="238">
        <v>0.0</v>
      </c>
      <c r="AQ625" s="235" t="s">
        <v>632</v>
      </c>
      <c r="AR625" s="243">
        <v>3.71E11</v>
      </c>
      <c r="AS625" s="235" t="s">
        <v>4697</v>
      </c>
      <c r="AT625" s="235" t="s">
        <v>5</v>
      </c>
      <c r="AU625" s="235" t="s">
        <v>634</v>
      </c>
      <c r="AV625" s="246" t="s">
        <v>635</v>
      </c>
      <c r="AW625" s="242"/>
      <c r="AX625" s="242"/>
      <c r="AY625" s="231"/>
      <c r="AZ625" s="231"/>
      <c r="BA625" s="227"/>
      <c r="BB625" s="231"/>
      <c r="BC625" s="227"/>
      <c r="BD625" s="227"/>
      <c r="BE625" s="227"/>
      <c r="BF625" s="227"/>
    </row>
    <row r="626">
      <c r="A626" s="235" t="s">
        <v>5710</v>
      </c>
      <c r="C626" s="235" t="s">
        <v>5711</v>
      </c>
      <c r="D626" s="235" t="s">
        <v>5712</v>
      </c>
      <c r="E626" s="243">
        <v>6.56E13</v>
      </c>
      <c r="F626" s="245"/>
      <c r="G626" s="235" t="s">
        <v>5713</v>
      </c>
      <c r="H626" s="235" t="s">
        <v>5714</v>
      </c>
      <c r="I626" s="235" t="s">
        <v>5714</v>
      </c>
      <c r="J626" s="235" t="s">
        <v>5715</v>
      </c>
      <c r="K626" s="235" t="s">
        <v>5716</v>
      </c>
      <c r="N626" s="235" t="s">
        <v>143</v>
      </c>
      <c r="O626" s="235" t="s">
        <v>220</v>
      </c>
      <c r="P626" s="238">
        <v>1.0</v>
      </c>
      <c r="Q626" s="235" t="s">
        <v>627</v>
      </c>
      <c r="R626" s="238">
        <v>246.66</v>
      </c>
      <c r="S626" s="238">
        <v>12.34</v>
      </c>
      <c r="T626" s="238">
        <v>0.0</v>
      </c>
      <c r="U626" s="238">
        <v>0.0</v>
      </c>
      <c r="V626" s="238">
        <v>0.0</v>
      </c>
      <c r="W626" s="238">
        <v>0.0</v>
      </c>
      <c r="X626" s="235" t="s">
        <v>628</v>
      </c>
      <c r="Z626" s="244"/>
      <c r="AA626" s="244"/>
      <c r="AB626" s="244"/>
      <c r="AC626" s="235" t="s">
        <v>1320</v>
      </c>
      <c r="AD626" s="235" t="s">
        <v>666</v>
      </c>
      <c r="AE626" s="238">
        <v>600077.0</v>
      </c>
      <c r="AF626" s="235" t="s">
        <v>631</v>
      </c>
      <c r="AG626" s="244"/>
      <c r="AH626" s="244"/>
      <c r="AI626" s="245"/>
      <c r="AJ626" s="245"/>
      <c r="AK626" s="245"/>
      <c r="AL626" s="245"/>
      <c r="AM626" s="244"/>
      <c r="AN626" s="244"/>
      <c r="AO626" s="238">
        <v>0.0</v>
      </c>
      <c r="AP626" s="238">
        <v>0.0</v>
      </c>
      <c r="AQ626" s="235" t="s">
        <v>632</v>
      </c>
      <c r="AR626" s="243">
        <v>3.71E11</v>
      </c>
      <c r="AS626" s="235" t="s">
        <v>4697</v>
      </c>
      <c r="AT626" s="235" t="s">
        <v>156</v>
      </c>
      <c r="AU626" s="235" t="s">
        <v>634</v>
      </c>
      <c r="AV626" s="246" t="s">
        <v>635</v>
      </c>
      <c r="AW626" s="242"/>
      <c r="AX626" s="242"/>
      <c r="AY626" s="231"/>
      <c r="AZ626" s="231"/>
      <c r="BA626" s="227"/>
      <c r="BB626" s="231"/>
      <c r="BC626" s="227"/>
      <c r="BD626" s="227"/>
      <c r="BE626" s="227"/>
      <c r="BF626" s="227"/>
    </row>
    <row r="627">
      <c r="A627" s="235" t="s">
        <v>5717</v>
      </c>
      <c r="C627" s="235" t="s">
        <v>5718</v>
      </c>
      <c r="D627" s="235" t="s">
        <v>5719</v>
      </c>
      <c r="E627" s="243">
        <v>6.56E13</v>
      </c>
      <c r="F627" s="245"/>
      <c r="G627" s="235" t="s">
        <v>5720</v>
      </c>
      <c r="H627" s="235" t="s">
        <v>5721</v>
      </c>
      <c r="I627" s="235" t="s">
        <v>5721</v>
      </c>
      <c r="J627" s="235" t="s">
        <v>5722</v>
      </c>
      <c r="K627" s="235" t="s">
        <v>5723</v>
      </c>
      <c r="N627" s="235" t="s">
        <v>120</v>
      </c>
      <c r="O627" s="235" t="s">
        <v>324</v>
      </c>
      <c r="P627" s="238">
        <v>1.0</v>
      </c>
      <c r="Q627" s="235" t="s">
        <v>627</v>
      </c>
      <c r="R627" s="238">
        <v>246.67</v>
      </c>
      <c r="S627" s="238">
        <v>12.33</v>
      </c>
      <c r="T627" s="238">
        <v>0.0</v>
      </c>
      <c r="U627" s="238">
        <v>0.0</v>
      </c>
      <c r="V627" s="238">
        <v>0.0</v>
      </c>
      <c r="W627" s="238">
        <v>0.0</v>
      </c>
      <c r="X627" s="235" t="s">
        <v>628</v>
      </c>
      <c r="Z627" s="244"/>
      <c r="AA627" s="244"/>
      <c r="AB627" s="244"/>
      <c r="AC627" s="235" t="s">
        <v>749</v>
      </c>
      <c r="AD627" s="235" t="s">
        <v>630</v>
      </c>
      <c r="AE627" s="238">
        <v>201009.0</v>
      </c>
      <c r="AF627" s="235" t="s">
        <v>631</v>
      </c>
      <c r="AG627" s="244"/>
      <c r="AH627" s="244"/>
      <c r="AI627" s="245"/>
      <c r="AJ627" s="245"/>
      <c r="AK627" s="245"/>
      <c r="AL627" s="245"/>
      <c r="AM627" s="244"/>
      <c r="AN627" s="244"/>
      <c r="AO627" s="238">
        <v>0.0</v>
      </c>
      <c r="AP627" s="238">
        <v>0.0</v>
      </c>
      <c r="AQ627" s="235" t="s">
        <v>632</v>
      </c>
      <c r="AR627" s="243">
        <v>1.68E11</v>
      </c>
      <c r="AS627" s="235" t="s">
        <v>5516</v>
      </c>
      <c r="AT627" s="235" t="s">
        <v>13</v>
      </c>
      <c r="AU627" s="235" t="s">
        <v>634</v>
      </c>
      <c r="AV627" s="246" t="s">
        <v>635</v>
      </c>
      <c r="AW627" s="242"/>
      <c r="AX627" s="242"/>
      <c r="AY627" s="231"/>
      <c r="AZ627" s="231"/>
      <c r="BA627" s="227"/>
      <c r="BB627" s="231"/>
      <c r="BC627" s="227"/>
      <c r="BD627" s="227"/>
      <c r="BE627" s="227"/>
      <c r="BF627" s="227"/>
    </row>
    <row r="628">
      <c r="A628" s="235" t="s">
        <v>5725</v>
      </c>
      <c r="C628" s="235" t="s">
        <v>5726</v>
      </c>
      <c r="D628" s="235" t="s">
        <v>5727</v>
      </c>
      <c r="E628" s="243">
        <v>6.56E13</v>
      </c>
      <c r="F628" s="245"/>
      <c r="G628" s="235" t="s">
        <v>5728</v>
      </c>
      <c r="H628" s="235" t="s">
        <v>5729</v>
      </c>
      <c r="I628" s="235" t="s">
        <v>5729</v>
      </c>
      <c r="J628" s="235" t="s">
        <v>5730</v>
      </c>
      <c r="K628" s="235" t="s">
        <v>5731</v>
      </c>
      <c r="N628" s="235" t="s">
        <v>71</v>
      </c>
      <c r="O628" s="235" t="s">
        <v>240</v>
      </c>
      <c r="P628" s="238">
        <v>1.0</v>
      </c>
      <c r="Q628" s="235" t="s">
        <v>627</v>
      </c>
      <c r="R628" s="238">
        <v>246.67</v>
      </c>
      <c r="S628" s="238">
        <v>12.08</v>
      </c>
      <c r="T628" s="238">
        <v>38.1</v>
      </c>
      <c r="U628" s="238">
        <v>1.9</v>
      </c>
      <c r="V628" s="238">
        <v>0.0</v>
      </c>
      <c r="W628" s="238">
        <v>0.0</v>
      </c>
      <c r="X628" s="235" t="s">
        <v>628</v>
      </c>
      <c r="Z628" s="244"/>
      <c r="AA628" s="244"/>
      <c r="AB628" s="244"/>
      <c r="AC628" s="235" t="s">
        <v>5732</v>
      </c>
      <c r="AD628" s="235" t="s">
        <v>2688</v>
      </c>
      <c r="AE628" s="238">
        <v>190009.0</v>
      </c>
      <c r="AF628" s="235" t="s">
        <v>631</v>
      </c>
      <c r="AG628" s="244"/>
      <c r="AH628" s="244"/>
      <c r="AI628" s="245"/>
      <c r="AJ628" s="245"/>
      <c r="AK628" s="245"/>
      <c r="AL628" s="245"/>
      <c r="AM628" s="244"/>
      <c r="AN628" s="244"/>
      <c r="AO628" s="238">
        <v>-4.93</v>
      </c>
      <c r="AP628" s="238">
        <v>-38.1</v>
      </c>
      <c r="AQ628" s="235" t="s">
        <v>632</v>
      </c>
      <c r="AR628" s="243">
        <v>3.71E11</v>
      </c>
      <c r="AS628" s="235" t="s">
        <v>667</v>
      </c>
      <c r="AT628" s="235" t="s">
        <v>14</v>
      </c>
      <c r="AU628" s="235" t="s">
        <v>634</v>
      </c>
      <c r="AV628" s="246" t="s">
        <v>635</v>
      </c>
      <c r="AW628" s="242"/>
      <c r="AX628" s="242"/>
      <c r="AY628" s="231"/>
      <c r="AZ628" s="231"/>
      <c r="BA628" s="227"/>
      <c r="BB628" s="231"/>
      <c r="BC628" s="227"/>
      <c r="BD628" s="227"/>
      <c r="BE628" s="227"/>
      <c r="BF628" s="227"/>
    </row>
    <row r="629">
      <c r="A629" s="235" t="s">
        <v>5733</v>
      </c>
      <c r="C629" s="235" t="s">
        <v>5734</v>
      </c>
      <c r="D629" s="235" t="s">
        <v>5735</v>
      </c>
      <c r="E629" s="243">
        <v>6.56E13</v>
      </c>
      <c r="F629" s="245"/>
      <c r="G629" s="235" t="s">
        <v>5736</v>
      </c>
      <c r="H629" s="235" t="s">
        <v>5737</v>
      </c>
      <c r="I629" s="235" t="s">
        <v>5737</v>
      </c>
      <c r="J629" s="235" t="s">
        <v>5738</v>
      </c>
      <c r="K629" s="235" t="s">
        <v>5739</v>
      </c>
      <c r="N629" s="235" t="s">
        <v>85</v>
      </c>
      <c r="O629" s="235" t="s">
        <v>872</v>
      </c>
      <c r="P629" s="238">
        <v>1.0</v>
      </c>
      <c r="Q629" s="235" t="s">
        <v>627</v>
      </c>
      <c r="R629" s="238">
        <v>246.66</v>
      </c>
      <c r="S629" s="238">
        <v>12.34</v>
      </c>
      <c r="T629" s="238">
        <v>38.1</v>
      </c>
      <c r="U629" s="238">
        <v>1.9</v>
      </c>
      <c r="V629" s="238">
        <v>0.0</v>
      </c>
      <c r="W629" s="238">
        <v>0.0</v>
      </c>
      <c r="X629" s="235" t="s">
        <v>628</v>
      </c>
      <c r="Z629" s="244"/>
      <c r="AA629" s="244"/>
      <c r="AB629" s="244"/>
      <c r="AC629" s="235" t="s">
        <v>5740</v>
      </c>
      <c r="AD629" s="235" t="s">
        <v>845</v>
      </c>
      <c r="AE629" s="238">
        <v>413114.0</v>
      </c>
      <c r="AF629" s="235" t="s">
        <v>631</v>
      </c>
      <c r="AG629" s="244"/>
      <c r="AH629" s="244"/>
      <c r="AI629" s="245"/>
      <c r="AJ629" s="245"/>
      <c r="AK629" s="245"/>
      <c r="AL629" s="245"/>
      <c r="AM629" s="244"/>
      <c r="AN629" s="244"/>
      <c r="AO629" s="238">
        <v>0.0</v>
      </c>
      <c r="AP629" s="238">
        <v>-38.1</v>
      </c>
      <c r="AQ629" s="235" t="s">
        <v>632</v>
      </c>
      <c r="AR629" s="243">
        <v>3.71E11</v>
      </c>
      <c r="AS629" s="235" t="s">
        <v>1367</v>
      </c>
      <c r="AT629" s="235" t="s">
        <v>16</v>
      </c>
      <c r="AU629" s="235" t="s">
        <v>634</v>
      </c>
      <c r="AV629" s="246" t="s">
        <v>635</v>
      </c>
      <c r="AW629" s="242"/>
      <c r="AX629" s="242"/>
      <c r="AY629" s="231"/>
      <c r="AZ629" s="231"/>
      <c r="BA629" s="227"/>
      <c r="BB629" s="231"/>
      <c r="BC629" s="227"/>
      <c r="BD629" s="227"/>
      <c r="BE629" s="227"/>
      <c r="BF629" s="227"/>
    </row>
    <row r="630">
      <c r="A630" s="235" t="s">
        <v>5741</v>
      </c>
      <c r="C630" s="235" t="s">
        <v>5742</v>
      </c>
      <c r="D630" s="235" t="s">
        <v>5743</v>
      </c>
      <c r="E630" s="243">
        <v>6.56E13</v>
      </c>
      <c r="F630" s="245"/>
      <c r="G630" s="235" t="s">
        <v>5744</v>
      </c>
      <c r="H630" s="235" t="s">
        <v>5745</v>
      </c>
      <c r="I630" s="235" t="s">
        <v>5745</v>
      </c>
      <c r="J630" s="235" t="s">
        <v>5746</v>
      </c>
      <c r="K630" s="235" t="s">
        <v>5747</v>
      </c>
      <c r="N630" s="235" t="s">
        <v>726</v>
      </c>
      <c r="O630" s="235" t="s">
        <v>727</v>
      </c>
      <c r="P630" s="238">
        <v>1.0</v>
      </c>
      <c r="Q630" s="235" t="s">
        <v>627</v>
      </c>
      <c r="R630" s="238">
        <v>246.66</v>
      </c>
      <c r="S630" s="238">
        <v>12.34</v>
      </c>
      <c r="T630" s="238">
        <v>0.0</v>
      </c>
      <c r="U630" s="238">
        <v>0.0</v>
      </c>
      <c r="V630" s="238">
        <v>0.0</v>
      </c>
      <c r="W630" s="238">
        <v>0.0</v>
      </c>
      <c r="X630" s="235" t="s">
        <v>628</v>
      </c>
      <c r="Z630" s="244"/>
      <c r="AA630" s="244"/>
      <c r="AB630" s="244"/>
      <c r="AC630" s="235" t="s">
        <v>687</v>
      </c>
      <c r="AD630" s="235" t="s">
        <v>666</v>
      </c>
      <c r="AE630" s="238">
        <v>600127.0</v>
      </c>
      <c r="AF630" s="235" t="s">
        <v>631</v>
      </c>
      <c r="AG630" s="244"/>
      <c r="AH630" s="244"/>
      <c r="AI630" s="245"/>
      <c r="AJ630" s="245"/>
      <c r="AK630" s="245"/>
      <c r="AL630" s="245"/>
      <c r="AM630" s="244"/>
      <c r="AN630" s="244"/>
      <c r="AO630" s="238">
        <v>0.0</v>
      </c>
      <c r="AP630" s="238">
        <v>0.0</v>
      </c>
      <c r="AQ630" s="235" t="s">
        <v>632</v>
      </c>
      <c r="AR630" s="243">
        <v>3.71E11</v>
      </c>
      <c r="AS630" s="235" t="s">
        <v>4697</v>
      </c>
      <c r="AT630" s="235" t="s">
        <v>156</v>
      </c>
      <c r="AU630" s="235" t="s">
        <v>634</v>
      </c>
      <c r="AV630" s="246" t="s">
        <v>635</v>
      </c>
      <c r="AW630" s="242"/>
      <c r="AX630" s="242"/>
      <c r="AY630" s="231"/>
      <c r="AZ630" s="231"/>
      <c r="BA630" s="227"/>
      <c r="BB630" s="231"/>
      <c r="BC630" s="227"/>
      <c r="BD630" s="227"/>
      <c r="BE630" s="227"/>
      <c r="BF630" s="227"/>
    </row>
    <row r="631">
      <c r="A631" s="235" t="s">
        <v>5749</v>
      </c>
      <c r="C631" s="235" t="s">
        <v>5750</v>
      </c>
      <c r="D631" s="235" t="s">
        <v>5752</v>
      </c>
      <c r="E631" s="243">
        <v>6.56E13</v>
      </c>
      <c r="F631" s="245"/>
      <c r="G631" s="235" t="s">
        <v>5753</v>
      </c>
      <c r="H631" s="235" t="s">
        <v>5754</v>
      </c>
      <c r="I631" s="235" t="s">
        <v>5755</v>
      </c>
      <c r="J631" s="235" t="s">
        <v>5756</v>
      </c>
      <c r="K631" s="235" t="s">
        <v>5757</v>
      </c>
      <c r="N631" s="235" t="s">
        <v>42</v>
      </c>
      <c r="O631" s="235" t="s">
        <v>204</v>
      </c>
      <c r="P631" s="238">
        <v>1.0</v>
      </c>
      <c r="Q631" s="235" t="s">
        <v>627</v>
      </c>
      <c r="R631" s="238">
        <v>237.14</v>
      </c>
      <c r="S631" s="238">
        <v>11.86</v>
      </c>
      <c r="T631" s="238">
        <v>0.0</v>
      </c>
      <c r="U631" s="238">
        <v>0.0</v>
      </c>
      <c r="V631" s="238">
        <v>0.0</v>
      </c>
      <c r="W631" s="238">
        <v>0.0</v>
      </c>
      <c r="X631" s="235" t="s">
        <v>628</v>
      </c>
      <c r="Z631" s="244"/>
      <c r="AA631" s="244"/>
      <c r="AB631" s="244"/>
      <c r="AC631" s="235" t="s">
        <v>3398</v>
      </c>
      <c r="AD631" s="235" t="s">
        <v>698</v>
      </c>
      <c r="AE631" s="238">
        <v>500011.0</v>
      </c>
      <c r="AF631" s="235" t="s">
        <v>631</v>
      </c>
      <c r="AG631" s="244"/>
      <c r="AH631" s="244"/>
      <c r="AI631" s="245"/>
      <c r="AJ631" s="245"/>
      <c r="AK631" s="245"/>
      <c r="AL631" s="245"/>
      <c r="AM631" s="244"/>
      <c r="AN631" s="244"/>
      <c r="AO631" s="238">
        <v>0.0</v>
      </c>
      <c r="AP631" s="238">
        <v>0.0</v>
      </c>
      <c r="AQ631" s="235" t="s">
        <v>632</v>
      </c>
      <c r="AR631" s="243">
        <v>2.02E11</v>
      </c>
      <c r="AS631" s="235" t="s">
        <v>4697</v>
      </c>
      <c r="AT631" s="235" t="s">
        <v>546</v>
      </c>
      <c r="AU631" s="235" t="s">
        <v>634</v>
      </c>
      <c r="AV631" s="246" t="s">
        <v>635</v>
      </c>
      <c r="AW631" s="242"/>
      <c r="AX631" s="242"/>
      <c r="AY631" s="231"/>
      <c r="AZ631" s="231"/>
      <c r="BA631" s="227"/>
      <c r="BB631" s="231"/>
      <c r="BC631" s="227"/>
      <c r="BD631" s="227"/>
      <c r="BE631" s="227"/>
      <c r="BF631" s="227"/>
    </row>
    <row r="632">
      <c r="A632" s="235" t="s">
        <v>5763</v>
      </c>
      <c r="C632" s="235" t="s">
        <v>5765</v>
      </c>
      <c r="D632" s="235" t="s">
        <v>5766</v>
      </c>
      <c r="E632" s="243">
        <v>6.56E13</v>
      </c>
      <c r="F632" s="245"/>
      <c r="G632" s="235" t="s">
        <v>5767</v>
      </c>
      <c r="H632" s="235" t="s">
        <v>5768</v>
      </c>
      <c r="I632" s="235" t="s">
        <v>5768</v>
      </c>
      <c r="J632" s="235" t="s">
        <v>5770</v>
      </c>
      <c r="K632" s="235" t="s">
        <v>5771</v>
      </c>
      <c r="N632" s="235" t="s">
        <v>4</v>
      </c>
      <c r="O632" s="235" t="s">
        <v>1791</v>
      </c>
      <c r="P632" s="238">
        <v>1.0</v>
      </c>
      <c r="Q632" s="235" t="s">
        <v>627</v>
      </c>
      <c r="R632" s="238">
        <v>265.72</v>
      </c>
      <c r="S632" s="238">
        <v>13.02</v>
      </c>
      <c r="T632" s="238">
        <v>0.0</v>
      </c>
      <c r="U632" s="238">
        <v>0.0</v>
      </c>
      <c r="V632" s="238">
        <v>0.0</v>
      </c>
      <c r="W632" s="238">
        <v>0.0</v>
      </c>
      <c r="X632" s="235" t="s">
        <v>628</v>
      </c>
      <c r="Z632" s="244"/>
      <c r="AA632" s="244"/>
      <c r="AB632" s="244"/>
      <c r="AC632" s="235" t="s">
        <v>1255</v>
      </c>
      <c r="AD632" s="235" t="s">
        <v>845</v>
      </c>
      <c r="AE632" s="238">
        <v>401107.0</v>
      </c>
      <c r="AF632" s="235" t="s">
        <v>631</v>
      </c>
      <c r="AG632" s="244"/>
      <c r="AH632" s="244"/>
      <c r="AI632" s="245"/>
      <c r="AJ632" s="245"/>
      <c r="AK632" s="245"/>
      <c r="AL632" s="245"/>
      <c r="AM632" s="244"/>
      <c r="AN632" s="244"/>
      <c r="AO632" s="238">
        <v>-5.32</v>
      </c>
      <c r="AP632" s="238">
        <v>0.0</v>
      </c>
      <c r="AQ632" s="235" t="s">
        <v>632</v>
      </c>
      <c r="AR632" s="243">
        <v>3.71E11</v>
      </c>
      <c r="AS632" s="235" t="s">
        <v>4697</v>
      </c>
      <c r="AT632" s="235" t="s">
        <v>17</v>
      </c>
      <c r="AU632" s="235" t="s">
        <v>634</v>
      </c>
      <c r="AV632" s="246" t="s">
        <v>635</v>
      </c>
      <c r="AW632" s="242"/>
      <c r="AX632" s="242"/>
      <c r="AY632" s="231"/>
      <c r="AZ632" s="231"/>
      <c r="BA632" s="227"/>
      <c r="BB632" s="231"/>
      <c r="BC632" s="227"/>
      <c r="BD632" s="227"/>
      <c r="BE632" s="227"/>
      <c r="BF632" s="227"/>
    </row>
    <row r="633">
      <c r="A633" s="235" t="s">
        <v>5777</v>
      </c>
      <c r="C633" s="235" t="s">
        <v>5778</v>
      </c>
      <c r="D633" s="235" t="s">
        <v>5779</v>
      </c>
      <c r="E633" s="243">
        <v>6.56E13</v>
      </c>
      <c r="F633" s="245"/>
      <c r="G633" s="235" t="s">
        <v>5781</v>
      </c>
      <c r="H633" s="235" t="s">
        <v>5782</v>
      </c>
      <c r="I633" s="235" t="s">
        <v>5782</v>
      </c>
      <c r="J633" s="235" t="s">
        <v>5783</v>
      </c>
      <c r="K633" s="235" t="s">
        <v>5784</v>
      </c>
      <c r="N633" s="235" t="s">
        <v>154</v>
      </c>
      <c r="O633" s="235" t="s">
        <v>766</v>
      </c>
      <c r="P633" s="238">
        <v>1.0</v>
      </c>
      <c r="Q633" s="235" t="s">
        <v>627</v>
      </c>
      <c r="R633" s="238">
        <v>465.72</v>
      </c>
      <c r="S633" s="238">
        <v>23.28</v>
      </c>
      <c r="T633" s="238">
        <v>0.0</v>
      </c>
      <c r="U633" s="238">
        <v>0.0</v>
      </c>
      <c r="V633" s="238">
        <v>0.0</v>
      </c>
      <c r="W633" s="238">
        <v>0.0</v>
      </c>
      <c r="X633" s="235" t="s">
        <v>628</v>
      </c>
      <c r="Z633" s="244"/>
      <c r="AA633" s="244"/>
      <c r="AB633" s="244"/>
      <c r="AC633" s="235" t="s">
        <v>1058</v>
      </c>
      <c r="AD633" s="235" t="s">
        <v>845</v>
      </c>
      <c r="AE633" s="238">
        <v>400008.0</v>
      </c>
      <c r="AF633" s="235" t="s">
        <v>631</v>
      </c>
      <c r="AG633" s="244"/>
      <c r="AH633" s="244"/>
      <c r="AI633" s="245"/>
      <c r="AJ633" s="245"/>
      <c r="AK633" s="245"/>
      <c r="AL633" s="245"/>
      <c r="AM633" s="244"/>
      <c r="AN633" s="244"/>
      <c r="AO633" s="238">
        <v>0.0</v>
      </c>
      <c r="AP633" s="238">
        <v>0.0</v>
      </c>
      <c r="AQ633" s="235" t="s">
        <v>632</v>
      </c>
      <c r="AR633" s="243">
        <v>3.71E11</v>
      </c>
      <c r="AS633" s="235" t="s">
        <v>4697</v>
      </c>
      <c r="AT633" s="235" t="s">
        <v>16</v>
      </c>
      <c r="AU633" s="235" t="s">
        <v>634</v>
      </c>
      <c r="AV633" s="246" t="s">
        <v>635</v>
      </c>
      <c r="AW633" s="242"/>
      <c r="AX633" s="242"/>
      <c r="AY633" s="231"/>
      <c r="AZ633" s="231"/>
      <c r="BA633" s="227"/>
      <c r="BB633" s="231"/>
      <c r="BC633" s="227"/>
      <c r="BD633" s="227"/>
      <c r="BE633" s="227"/>
      <c r="BF633" s="227"/>
    </row>
    <row r="634">
      <c r="A634" s="235" t="s">
        <v>5786</v>
      </c>
      <c r="C634" s="235" t="s">
        <v>5787</v>
      </c>
      <c r="D634" s="235" t="s">
        <v>5788</v>
      </c>
      <c r="E634" s="243">
        <v>6.56E13</v>
      </c>
      <c r="F634" s="245"/>
      <c r="G634" s="235" t="s">
        <v>5789</v>
      </c>
      <c r="H634" s="235" t="s">
        <v>5790</v>
      </c>
      <c r="I634" s="235" t="s">
        <v>5791</v>
      </c>
      <c r="J634" s="235" t="s">
        <v>5792</v>
      </c>
      <c r="K634" s="235" t="s">
        <v>4610</v>
      </c>
      <c r="N634" s="235" t="s">
        <v>85</v>
      </c>
      <c r="O634" s="235" t="s">
        <v>872</v>
      </c>
      <c r="P634" s="238">
        <v>1.0</v>
      </c>
      <c r="Q634" s="235" t="s">
        <v>627</v>
      </c>
      <c r="R634" s="238">
        <v>246.66</v>
      </c>
      <c r="S634" s="238">
        <v>11.97</v>
      </c>
      <c r="T634" s="238">
        <v>9.04</v>
      </c>
      <c r="U634" s="238">
        <v>0.46</v>
      </c>
      <c r="V634" s="238">
        <v>0.0</v>
      </c>
      <c r="W634" s="238">
        <v>0.0</v>
      </c>
      <c r="X634" s="235" t="s">
        <v>628</v>
      </c>
      <c r="Z634" s="244"/>
      <c r="AA634" s="244"/>
      <c r="AB634" s="244"/>
      <c r="AC634" s="235" t="s">
        <v>1456</v>
      </c>
      <c r="AD634" s="235" t="s">
        <v>928</v>
      </c>
      <c r="AE634" s="238">
        <v>122001.0</v>
      </c>
      <c r="AF634" s="235" t="s">
        <v>631</v>
      </c>
      <c r="AG634" s="244"/>
      <c r="AH634" s="244"/>
      <c r="AI634" s="245"/>
      <c r="AJ634" s="245"/>
      <c r="AK634" s="245"/>
      <c r="AL634" s="245"/>
      <c r="AM634" s="244"/>
      <c r="AN634" s="244"/>
      <c r="AO634" s="238">
        <v>-7.4</v>
      </c>
      <c r="AP634" s="238">
        <v>-9.04</v>
      </c>
      <c r="AQ634" s="235" t="s">
        <v>632</v>
      </c>
      <c r="AR634" s="243">
        <v>1.68E11</v>
      </c>
      <c r="AS634" s="235" t="s">
        <v>5516</v>
      </c>
      <c r="AT634" s="235" t="s">
        <v>14</v>
      </c>
      <c r="AU634" s="235" t="s">
        <v>634</v>
      </c>
      <c r="AV634" s="246" t="s">
        <v>635</v>
      </c>
      <c r="AW634" s="242"/>
      <c r="AX634" s="242"/>
      <c r="AY634" s="231"/>
      <c r="AZ634" s="231"/>
      <c r="BA634" s="227"/>
      <c r="BB634" s="231"/>
      <c r="BC634" s="227"/>
      <c r="BD634" s="227"/>
      <c r="BE634" s="227"/>
      <c r="BF634" s="227"/>
    </row>
    <row r="635">
      <c r="A635" s="235" t="s">
        <v>5786</v>
      </c>
      <c r="C635" s="235" t="s">
        <v>5787</v>
      </c>
      <c r="D635" s="235" t="s">
        <v>5793</v>
      </c>
      <c r="E635" s="243">
        <v>6.56E13</v>
      </c>
      <c r="F635" s="245"/>
      <c r="G635" s="235" t="s">
        <v>5789</v>
      </c>
      <c r="H635" s="235" t="s">
        <v>5790</v>
      </c>
      <c r="I635" s="235" t="s">
        <v>5791</v>
      </c>
      <c r="J635" s="235" t="s">
        <v>5792</v>
      </c>
      <c r="K635" s="235" t="s">
        <v>4610</v>
      </c>
      <c r="N635" s="235" t="s">
        <v>90</v>
      </c>
      <c r="O635" s="235" t="s">
        <v>279</v>
      </c>
      <c r="P635" s="238">
        <v>1.0</v>
      </c>
      <c r="Q635" s="235" t="s">
        <v>627</v>
      </c>
      <c r="R635" s="238">
        <v>246.66</v>
      </c>
      <c r="S635" s="238">
        <v>11.97</v>
      </c>
      <c r="T635" s="238">
        <v>9.04</v>
      </c>
      <c r="U635" s="238">
        <v>0.46</v>
      </c>
      <c r="V635" s="238">
        <v>0.0</v>
      </c>
      <c r="W635" s="238">
        <v>0.0</v>
      </c>
      <c r="X635" s="235" t="s">
        <v>628</v>
      </c>
      <c r="Z635" s="244"/>
      <c r="AA635" s="244"/>
      <c r="AB635" s="244"/>
      <c r="AC635" s="235" t="s">
        <v>1456</v>
      </c>
      <c r="AD635" s="235" t="s">
        <v>928</v>
      </c>
      <c r="AE635" s="238">
        <v>122001.0</v>
      </c>
      <c r="AF635" s="235" t="s">
        <v>631</v>
      </c>
      <c r="AG635" s="244"/>
      <c r="AH635" s="244"/>
      <c r="AI635" s="245"/>
      <c r="AJ635" s="245"/>
      <c r="AK635" s="245"/>
      <c r="AL635" s="245"/>
      <c r="AM635" s="244"/>
      <c r="AN635" s="244"/>
      <c r="AO635" s="238">
        <v>-7.4</v>
      </c>
      <c r="AP635" s="238">
        <v>-9.04</v>
      </c>
      <c r="AQ635" s="235" t="s">
        <v>632</v>
      </c>
      <c r="AR635" s="243">
        <v>1.68E11</v>
      </c>
      <c r="AS635" s="235" t="s">
        <v>5516</v>
      </c>
      <c r="AT635" s="235" t="s">
        <v>14</v>
      </c>
      <c r="AU635" s="235" t="s">
        <v>634</v>
      </c>
      <c r="AV635" s="246" t="s">
        <v>635</v>
      </c>
      <c r="AW635" s="242"/>
      <c r="AX635" s="242"/>
      <c r="AY635" s="231"/>
      <c r="AZ635" s="231"/>
      <c r="BA635" s="227"/>
      <c r="BB635" s="231"/>
      <c r="BC635" s="227"/>
      <c r="BD635" s="227"/>
      <c r="BE635" s="227"/>
      <c r="BF635" s="227"/>
    </row>
    <row r="636">
      <c r="A636" s="235" t="s">
        <v>5794</v>
      </c>
      <c r="C636" s="235" t="s">
        <v>5795</v>
      </c>
      <c r="D636" s="235" t="s">
        <v>5796</v>
      </c>
      <c r="E636" s="243">
        <v>6.56E13</v>
      </c>
      <c r="F636" s="245"/>
      <c r="G636" s="235" t="s">
        <v>5797</v>
      </c>
      <c r="H636" s="235" t="s">
        <v>5798</v>
      </c>
      <c r="I636" s="235" t="s">
        <v>5798</v>
      </c>
      <c r="J636" s="235" t="s">
        <v>5799</v>
      </c>
      <c r="K636" s="235" t="s">
        <v>5800</v>
      </c>
      <c r="N636" s="235" t="s">
        <v>47</v>
      </c>
      <c r="O636" s="235" t="s">
        <v>270</v>
      </c>
      <c r="P636" s="238">
        <v>1.0</v>
      </c>
      <c r="Q636" s="235" t="s">
        <v>627</v>
      </c>
      <c r="R636" s="238">
        <v>237.14</v>
      </c>
      <c r="S636" s="238">
        <v>11.62</v>
      </c>
      <c r="T636" s="238">
        <v>0.0</v>
      </c>
      <c r="U636" s="238">
        <v>0.0</v>
      </c>
      <c r="V636" s="238">
        <v>0.0</v>
      </c>
      <c r="W636" s="238">
        <v>0.0</v>
      </c>
      <c r="X636" s="235" t="s">
        <v>628</v>
      </c>
      <c r="Z636" s="244"/>
      <c r="AA636" s="244"/>
      <c r="AB636" s="244"/>
      <c r="AC636" s="235" t="s">
        <v>890</v>
      </c>
      <c r="AD636" s="235" t="s">
        <v>891</v>
      </c>
      <c r="AE636" s="238">
        <v>609605.0</v>
      </c>
      <c r="AF636" s="235" t="s">
        <v>631</v>
      </c>
      <c r="AG636" s="244"/>
      <c r="AH636" s="244"/>
      <c r="AI636" s="245"/>
      <c r="AJ636" s="245"/>
      <c r="AK636" s="245"/>
      <c r="AL636" s="245"/>
      <c r="AM636" s="244"/>
      <c r="AN636" s="244"/>
      <c r="AO636" s="238">
        <v>-4.74</v>
      </c>
      <c r="AP636" s="238">
        <v>0.0</v>
      </c>
      <c r="AQ636" s="235" t="s">
        <v>632</v>
      </c>
      <c r="AR636" s="243">
        <v>1.68E11</v>
      </c>
      <c r="AS636" s="235" t="s">
        <v>3284</v>
      </c>
      <c r="AT636" s="235" t="s">
        <v>11</v>
      </c>
      <c r="AU636" s="235" t="s">
        <v>634</v>
      </c>
      <c r="AV636" s="246" t="s">
        <v>635</v>
      </c>
      <c r="AW636" s="242"/>
      <c r="AX636" s="242"/>
      <c r="AY636" s="231"/>
      <c r="AZ636" s="231"/>
      <c r="BA636" s="227"/>
      <c r="BB636" s="231"/>
      <c r="BC636" s="227"/>
      <c r="BD636" s="227"/>
      <c r="BE636" s="227"/>
      <c r="BF636" s="227"/>
    </row>
    <row r="637">
      <c r="A637" s="235" t="s">
        <v>5801</v>
      </c>
      <c r="C637" s="235" t="s">
        <v>5802</v>
      </c>
      <c r="D637" s="235" t="s">
        <v>5803</v>
      </c>
      <c r="E637" s="243">
        <v>6.56E13</v>
      </c>
      <c r="F637" s="245"/>
      <c r="G637" s="235" t="s">
        <v>5804</v>
      </c>
      <c r="H637" s="235" t="s">
        <v>5805</v>
      </c>
      <c r="I637" s="235" t="s">
        <v>5805</v>
      </c>
      <c r="J637" s="235" t="s">
        <v>5806</v>
      </c>
      <c r="K637" s="235" t="s">
        <v>5807</v>
      </c>
      <c r="N637" s="235" t="s">
        <v>2706</v>
      </c>
      <c r="O637" s="235" t="s">
        <v>2707</v>
      </c>
      <c r="P637" s="238">
        <v>1.0</v>
      </c>
      <c r="Q637" s="235" t="s">
        <v>627</v>
      </c>
      <c r="R637" s="238">
        <v>761.86</v>
      </c>
      <c r="S637" s="238">
        <v>134.4</v>
      </c>
      <c r="T637" s="238">
        <v>0.0</v>
      </c>
      <c r="U637" s="238">
        <v>0.0</v>
      </c>
      <c r="V637" s="238">
        <v>0.0</v>
      </c>
      <c r="W637" s="238">
        <v>0.0</v>
      </c>
      <c r="X637" s="235" t="s">
        <v>628</v>
      </c>
      <c r="Z637" s="244"/>
      <c r="AA637" s="244"/>
      <c r="AB637" s="244"/>
      <c r="AC637" s="235" t="s">
        <v>1514</v>
      </c>
      <c r="AD637" s="235" t="s">
        <v>1077</v>
      </c>
      <c r="AE637" s="238">
        <v>380015.0</v>
      </c>
      <c r="AF637" s="235" t="s">
        <v>631</v>
      </c>
      <c r="AG637" s="244"/>
      <c r="AH637" s="244"/>
      <c r="AI637" s="245"/>
      <c r="AJ637" s="245"/>
      <c r="AK637" s="245"/>
      <c r="AL637" s="245"/>
      <c r="AM637" s="244"/>
      <c r="AN637" s="244"/>
      <c r="AO637" s="238">
        <v>-15.24</v>
      </c>
      <c r="AP637" s="238">
        <v>0.0</v>
      </c>
      <c r="AQ637" s="235" t="s">
        <v>632</v>
      </c>
      <c r="AR637" s="243">
        <v>2.02E11</v>
      </c>
      <c r="AS637" s="235" t="s">
        <v>4697</v>
      </c>
      <c r="AT637" s="235" t="s">
        <v>11</v>
      </c>
      <c r="AU637" s="235" t="s">
        <v>634</v>
      </c>
      <c r="AV637" s="246" t="s">
        <v>635</v>
      </c>
      <c r="AW637" s="242"/>
      <c r="AX637" s="242"/>
      <c r="AY637" s="231"/>
      <c r="AZ637" s="231"/>
      <c r="BA637" s="227"/>
      <c r="BB637" s="231"/>
      <c r="BC637" s="227"/>
      <c r="BD637" s="227"/>
      <c r="BE637" s="227"/>
      <c r="BF637" s="227"/>
    </row>
    <row r="638">
      <c r="A638" s="235" t="s">
        <v>5808</v>
      </c>
      <c r="C638" s="235" t="s">
        <v>5809</v>
      </c>
      <c r="D638" s="235" t="s">
        <v>5810</v>
      </c>
      <c r="E638" s="243">
        <v>6.56E13</v>
      </c>
      <c r="F638" s="245"/>
      <c r="G638" s="235" t="s">
        <v>5811</v>
      </c>
      <c r="H638" s="235" t="s">
        <v>5812</v>
      </c>
      <c r="I638" s="235" t="s">
        <v>5813</v>
      </c>
      <c r="J638" s="235" t="s">
        <v>5814</v>
      </c>
      <c r="K638" s="235" t="s">
        <v>5815</v>
      </c>
      <c r="N638" s="235" t="s">
        <v>127</v>
      </c>
      <c r="O638" s="235" t="s">
        <v>794</v>
      </c>
      <c r="P638" s="238">
        <v>1.0</v>
      </c>
      <c r="Q638" s="235" t="s">
        <v>627</v>
      </c>
      <c r="R638" s="238">
        <v>246.66</v>
      </c>
      <c r="S638" s="238">
        <v>12.34</v>
      </c>
      <c r="T638" s="238">
        <v>0.0</v>
      </c>
      <c r="U638" s="238">
        <v>0.0</v>
      </c>
      <c r="V638" s="238">
        <v>0.0</v>
      </c>
      <c r="W638" s="238">
        <v>0.0</v>
      </c>
      <c r="X638" s="235" t="s">
        <v>628</v>
      </c>
      <c r="Z638" s="244"/>
      <c r="AA638" s="244"/>
      <c r="AB638" s="244"/>
      <c r="AC638" s="235" t="s">
        <v>1058</v>
      </c>
      <c r="AD638" s="235" t="s">
        <v>845</v>
      </c>
      <c r="AE638" s="238">
        <v>400072.0</v>
      </c>
      <c r="AF638" s="235" t="s">
        <v>631</v>
      </c>
      <c r="AG638" s="244"/>
      <c r="AH638" s="244"/>
      <c r="AI638" s="245"/>
      <c r="AJ638" s="245"/>
      <c r="AK638" s="245"/>
      <c r="AL638" s="245"/>
      <c r="AM638" s="244"/>
      <c r="AN638" s="244"/>
      <c r="AO638" s="238">
        <v>0.0</v>
      </c>
      <c r="AP638" s="238">
        <v>0.0</v>
      </c>
      <c r="AQ638" s="235" t="s">
        <v>1356</v>
      </c>
      <c r="AR638" s="247" t="s">
        <v>5816</v>
      </c>
      <c r="AS638" s="235" t="s">
        <v>656</v>
      </c>
      <c r="AT638" s="235" t="s">
        <v>17</v>
      </c>
      <c r="AU638" s="235" t="s">
        <v>634</v>
      </c>
      <c r="AV638" s="246" t="s">
        <v>635</v>
      </c>
      <c r="AW638" s="242"/>
      <c r="AX638" s="242"/>
      <c r="AY638" s="231"/>
      <c r="AZ638" s="231"/>
      <c r="BA638" s="227"/>
      <c r="BB638" s="231"/>
      <c r="BC638" s="227"/>
      <c r="BD638" s="227"/>
      <c r="BE638" s="227"/>
      <c r="BF638" s="227"/>
    </row>
    <row r="639">
      <c r="A639" s="235" t="s">
        <v>5817</v>
      </c>
      <c r="C639" s="235" t="s">
        <v>5818</v>
      </c>
      <c r="D639" s="235" t="s">
        <v>5819</v>
      </c>
      <c r="E639" s="243">
        <v>6.56E13</v>
      </c>
      <c r="F639" s="245"/>
      <c r="G639" s="235" t="s">
        <v>5820</v>
      </c>
      <c r="H639" s="235" t="s">
        <v>5821</v>
      </c>
      <c r="I639" s="235" t="s">
        <v>5822</v>
      </c>
      <c r="J639" s="235" t="s">
        <v>5823</v>
      </c>
      <c r="K639" s="235" t="s">
        <v>5824</v>
      </c>
      <c r="N639" s="235" t="s">
        <v>154</v>
      </c>
      <c r="O639" s="235" t="s">
        <v>766</v>
      </c>
      <c r="P639" s="238">
        <v>1.0</v>
      </c>
      <c r="Q639" s="235" t="s">
        <v>627</v>
      </c>
      <c r="R639" s="238">
        <v>465.71</v>
      </c>
      <c r="S639" s="238">
        <v>23.29</v>
      </c>
      <c r="T639" s="238">
        <v>38.1</v>
      </c>
      <c r="U639" s="238">
        <v>1.9</v>
      </c>
      <c r="V639" s="238">
        <v>0.0</v>
      </c>
      <c r="W639" s="238">
        <v>0.0</v>
      </c>
      <c r="X639" s="235" t="s">
        <v>628</v>
      </c>
      <c r="Z639" s="244"/>
      <c r="AA639" s="244"/>
      <c r="AB639" s="244"/>
      <c r="AC639" s="235" t="s">
        <v>5825</v>
      </c>
      <c r="AD639" s="235" t="s">
        <v>881</v>
      </c>
      <c r="AE639" s="238">
        <v>768017.0</v>
      </c>
      <c r="AF639" s="235" t="s">
        <v>631</v>
      </c>
      <c r="AG639" s="244"/>
      <c r="AH639" s="244"/>
      <c r="AI639" s="245"/>
      <c r="AJ639" s="245"/>
      <c r="AK639" s="245"/>
      <c r="AL639" s="245"/>
      <c r="AM639" s="244"/>
      <c r="AN639" s="244"/>
      <c r="AO639" s="238">
        <v>0.0</v>
      </c>
      <c r="AP639" s="238">
        <v>-38.1</v>
      </c>
      <c r="AQ639" s="235" t="s">
        <v>632</v>
      </c>
      <c r="AR639" s="243">
        <v>3.71E11</v>
      </c>
      <c r="AS639" s="235" t="s">
        <v>667</v>
      </c>
      <c r="AT639" s="235" t="s">
        <v>533</v>
      </c>
      <c r="AU639" s="235" t="s">
        <v>634</v>
      </c>
      <c r="AV639" s="246" t="s">
        <v>635</v>
      </c>
      <c r="AW639" s="242"/>
      <c r="AX639" s="242"/>
      <c r="AY639" s="231"/>
      <c r="AZ639" s="231"/>
      <c r="BA639" s="227"/>
      <c r="BB639" s="231"/>
      <c r="BC639" s="227"/>
      <c r="BD639" s="227"/>
      <c r="BE639" s="227"/>
      <c r="BF639" s="227"/>
    </row>
    <row r="640">
      <c r="A640" s="235" t="s">
        <v>5826</v>
      </c>
      <c r="C640" s="235" t="s">
        <v>5827</v>
      </c>
      <c r="D640" s="235" t="s">
        <v>5828</v>
      </c>
      <c r="E640" s="243">
        <v>6.56E13</v>
      </c>
      <c r="F640" s="245"/>
      <c r="G640" s="235" t="s">
        <v>5829</v>
      </c>
      <c r="H640" s="235" t="s">
        <v>5830</v>
      </c>
      <c r="I640" s="235" t="s">
        <v>5830</v>
      </c>
      <c r="J640" s="235" t="s">
        <v>5831</v>
      </c>
      <c r="K640" s="235" t="s">
        <v>5832</v>
      </c>
      <c r="N640" s="235" t="s">
        <v>144</v>
      </c>
      <c r="O640" s="235" t="s">
        <v>232</v>
      </c>
      <c r="P640" s="238">
        <v>1.0</v>
      </c>
      <c r="Q640" s="235" t="s">
        <v>627</v>
      </c>
      <c r="R640" s="238">
        <v>665.72</v>
      </c>
      <c r="S640" s="238">
        <v>33.28</v>
      </c>
      <c r="T640" s="238">
        <v>18.1</v>
      </c>
      <c r="U640" s="238">
        <v>0.9</v>
      </c>
      <c r="V640" s="238">
        <v>0.0</v>
      </c>
      <c r="W640" s="238">
        <v>0.0</v>
      </c>
      <c r="X640" s="235" t="s">
        <v>628</v>
      </c>
      <c r="Z640" s="244"/>
      <c r="AA640" s="244"/>
      <c r="AB640" s="244"/>
      <c r="AC640" s="235" t="s">
        <v>678</v>
      </c>
      <c r="AD640" s="235" t="s">
        <v>679</v>
      </c>
      <c r="AE640" s="238">
        <v>560099.0</v>
      </c>
      <c r="AF640" s="235" t="s">
        <v>631</v>
      </c>
      <c r="AG640" s="244"/>
      <c r="AH640" s="244"/>
      <c r="AI640" s="245"/>
      <c r="AJ640" s="245"/>
      <c r="AK640" s="245"/>
      <c r="AL640" s="245"/>
      <c r="AM640" s="244"/>
      <c r="AN640" s="244"/>
      <c r="AO640" s="238">
        <v>0.0</v>
      </c>
      <c r="AP640" s="238">
        <v>-18.1</v>
      </c>
      <c r="AQ640" s="235" t="s">
        <v>632</v>
      </c>
      <c r="AR640" s="243">
        <v>1.68E11</v>
      </c>
      <c r="AS640" s="235" t="s">
        <v>5516</v>
      </c>
      <c r="AT640" s="235" t="s">
        <v>9</v>
      </c>
      <c r="AU640" s="235" t="s">
        <v>634</v>
      </c>
      <c r="AV640" s="246" t="s">
        <v>635</v>
      </c>
      <c r="AW640" s="242"/>
      <c r="AX640" s="242"/>
      <c r="AY640" s="231"/>
      <c r="AZ640" s="231"/>
      <c r="BA640" s="227"/>
      <c r="BB640" s="231"/>
      <c r="BC640" s="227"/>
      <c r="BD640" s="227"/>
      <c r="BE640" s="227"/>
      <c r="BF640" s="227"/>
    </row>
    <row r="641">
      <c r="A641" s="235" t="s">
        <v>5833</v>
      </c>
      <c r="C641" s="235" t="s">
        <v>5834</v>
      </c>
      <c r="D641" s="235" t="s">
        <v>5835</v>
      </c>
      <c r="E641" s="243">
        <v>6.56E13</v>
      </c>
      <c r="F641" s="245"/>
      <c r="G641" s="235" t="s">
        <v>5836</v>
      </c>
      <c r="H641" s="235" t="s">
        <v>5837</v>
      </c>
      <c r="I641" s="235" t="s">
        <v>5838</v>
      </c>
      <c r="J641" s="235" t="s">
        <v>5839</v>
      </c>
      <c r="K641" s="235" t="s">
        <v>5840</v>
      </c>
      <c r="N641" s="235" t="s">
        <v>962</v>
      </c>
      <c r="O641" s="235" t="s">
        <v>963</v>
      </c>
      <c r="P641" s="238">
        <v>1.0</v>
      </c>
      <c r="Q641" s="235" t="s">
        <v>627</v>
      </c>
      <c r="R641" s="238">
        <v>246.66</v>
      </c>
      <c r="S641" s="238">
        <v>12.34</v>
      </c>
      <c r="T641" s="238">
        <v>0.0</v>
      </c>
      <c r="U641" s="238">
        <v>0.0</v>
      </c>
      <c r="V641" s="238">
        <v>0.0</v>
      </c>
      <c r="W641" s="238">
        <v>0.0</v>
      </c>
      <c r="X641" s="235" t="s">
        <v>628</v>
      </c>
      <c r="Z641" s="244"/>
      <c r="AA641" s="244"/>
      <c r="AB641" s="244"/>
      <c r="AC641" s="235" t="s">
        <v>1058</v>
      </c>
      <c r="AD641" s="235" t="s">
        <v>845</v>
      </c>
      <c r="AE641" s="238">
        <v>400063.0</v>
      </c>
      <c r="AF641" s="235" t="s">
        <v>631</v>
      </c>
      <c r="AG641" s="244"/>
      <c r="AH641" s="244"/>
      <c r="AI641" s="245"/>
      <c r="AJ641" s="245"/>
      <c r="AK641" s="245"/>
      <c r="AL641" s="245"/>
      <c r="AM641" s="244"/>
      <c r="AN641" s="244"/>
      <c r="AO641" s="238">
        <v>0.0</v>
      </c>
      <c r="AP641" s="238">
        <v>0.0</v>
      </c>
      <c r="AQ641" s="235" t="s">
        <v>1356</v>
      </c>
      <c r="AR641" s="247" t="s">
        <v>5841</v>
      </c>
      <c r="AS641" s="235" t="s">
        <v>667</v>
      </c>
      <c r="AT641" s="235" t="s">
        <v>16</v>
      </c>
      <c r="AU641" s="235" t="s">
        <v>634</v>
      </c>
      <c r="AV641" s="246" t="s">
        <v>635</v>
      </c>
      <c r="AW641" s="242"/>
      <c r="AX641" s="242"/>
      <c r="AY641" s="231"/>
      <c r="AZ641" s="231"/>
      <c r="BA641" s="227"/>
      <c r="BB641" s="231"/>
      <c r="BC641" s="227"/>
      <c r="BD641" s="227"/>
      <c r="BE641" s="227"/>
      <c r="BF641" s="227"/>
    </row>
    <row r="642">
      <c r="A642" s="235" t="s">
        <v>5842</v>
      </c>
      <c r="C642" s="235" t="s">
        <v>5843</v>
      </c>
      <c r="D642" s="235" t="s">
        <v>5844</v>
      </c>
      <c r="E642" s="243">
        <v>6.56E13</v>
      </c>
      <c r="F642" s="245"/>
      <c r="G642" s="235" t="s">
        <v>5845</v>
      </c>
      <c r="H642" s="235" t="s">
        <v>5846</v>
      </c>
      <c r="I642" s="235" t="s">
        <v>5846</v>
      </c>
      <c r="J642" s="235" t="s">
        <v>5847</v>
      </c>
      <c r="K642" s="235" t="s">
        <v>5848</v>
      </c>
      <c r="N642" s="235" t="s">
        <v>82</v>
      </c>
      <c r="O642" s="235" t="s">
        <v>889</v>
      </c>
      <c r="P642" s="238">
        <v>1.0</v>
      </c>
      <c r="Q642" s="235" t="s">
        <v>627</v>
      </c>
      <c r="R642" s="238">
        <v>246.66</v>
      </c>
      <c r="S642" s="238">
        <v>12.34</v>
      </c>
      <c r="T642" s="238">
        <v>38.1</v>
      </c>
      <c r="U642" s="238">
        <v>1.9</v>
      </c>
      <c r="V642" s="238">
        <v>0.0</v>
      </c>
      <c r="W642" s="238">
        <v>0.0</v>
      </c>
      <c r="X642" s="235" t="s">
        <v>628</v>
      </c>
      <c r="Z642" s="244"/>
      <c r="AA642" s="244"/>
      <c r="AB642" s="244"/>
      <c r="AC642" s="235" t="s">
        <v>952</v>
      </c>
      <c r="AD642" s="235" t="s">
        <v>666</v>
      </c>
      <c r="AE642" s="238">
        <v>600051.0</v>
      </c>
      <c r="AF642" s="235" t="s">
        <v>631</v>
      </c>
      <c r="AG642" s="244"/>
      <c r="AH642" s="244"/>
      <c r="AI642" s="245"/>
      <c r="AJ642" s="245"/>
      <c r="AK642" s="245"/>
      <c r="AL642" s="245"/>
      <c r="AM642" s="244"/>
      <c r="AN642" s="244"/>
      <c r="AO642" s="238">
        <v>0.0</v>
      </c>
      <c r="AP642" s="238">
        <v>-38.1</v>
      </c>
      <c r="AQ642" s="235" t="s">
        <v>632</v>
      </c>
      <c r="AR642" s="243">
        <v>3.71E11</v>
      </c>
      <c r="AS642" s="235" t="s">
        <v>4697</v>
      </c>
      <c r="AT642" s="235" t="s">
        <v>156</v>
      </c>
      <c r="AU642" s="235" t="s">
        <v>634</v>
      </c>
      <c r="AV642" s="246" t="s">
        <v>635</v>
      </c>
      <c r="AW642" s="242"/>
      <c r="AX642" s="242"/>
      <c r="AY642" s="231"/>
      <c r="AZ642" s="231"/>
      <c r="BA642" s="227"/>
      <c r="BB642" s="231"/>
      <c r="BC642" s="227"/>
      <c r="BD642" s="227"/>
      <c r="BE642" s="227"/>
      <c r="BF642" s="227"/>
    </row>
    <row r="643">
      <c r="A643" s="235" t="s">
        <v>5849</v>
      </c>
      <c r="C643" s="235" t="s">
        <v>5850</v>
      </c>
      <c r="D643" s="235" t="s">
        <v>5851</v>
      </c>
      <c r="E643" s="243">
        <v>6.56E13</v>
      </c>
      <c r="F643" s="245"/>
      <c r="G643" s="235" t="s">
        <v>5852</v>
      </c>
      <c r="H643" s="235" t="s">
        <v>5853</v>
      </c>
      <c r="I643" s="235" t="s">
        <v>5853</v>
      </c>
      <c r="J643" s="235" t="s">
        <v>5854</v>
      </c>
      <c r="K643" s="235" t="s">
        <v>5855</v>
      </c>
      <c r="N643" s="235" t="s">
        <v>1346</v>
      </c>
      <c r="O643" s="235" t="s">
        <v>1347</v>
      </c>
      <c r="P643" s="238">
        <v>1.0</v>
      </c>
      <c r="Q643" s="235" t="s">
        <v>627</v>
      </c>
      <c r="R643" s="238">
        <v>256.19</v>
      </c>
      <c r="S643" s="238">
        <v>12.81</v>
      </c>
      <c r="T643" s="238">
        <v>38.1</v>
      </c>
      <c r="U643" s="238">
        <v>1.9</v>
      </c>
      <c r="V643" s="238">
        <v>0.0</v>
      </c>
      <c r="W643" s="238">
        <v>0.0</v>
      </c>
      <c r="X643" s="235" t="s">
        <v>628</v>
      </c>
      <c r="Z643" s="244"/>
      <c r="AA643" s="244"/>
      <c r="AB643" s="244"/>
      <c r="AC643" s="235" t="s">
        <v>5856</v>
      </c>
      <c r="AD643" s="235" t="s">
        <v>845</v>
      </c>
      <c r="AE643" s="238">
        <v>402106.0</v>
      </c>
      <c r="AF643" s="235" t="s">
        <v>631</v>
      </c>
      <c r="AG643" s="244"/>
      <c r="AH643" s="244"/>
      <c r="AI643" s="245"/>
      <c r="AJ643" s="245"/>
      <c r="AK643" s="245"/>
      <c r="AL643" s="245"/>
      <c r="AM643" s="244"/>
      <c r="AN643" s="244"/>
      <c r="AO643" s="238">
        <v>0.0</v>
      </c>
      <c r="AP643" s="238">
        <v>-38.1</v>
      </c>
      <c r="AQ643" s="235" t="s">
        <v>632</v>
      </c>
      <c r="AR643" s="243">
        <v>3.71E11</v>
      </c>
      <c r="AS643" s="235" t="s">
        <v>667</v>
      </c>
      <c r="AT643" s="235" t="s">
        <v>533</v>
      </c>
      <c r="AU643" s="235" t="s">
        <v>634</v>
      </c>
      <c r="AV643" s="246" t="s">
        <v>635</v>
      </c>
      <c r="AW643" s="242"/>
      <c r="AX643" s="242"/>
      <c r="AY643" s="231"/>
      <c r="AZ643" s="231"/>
      <c r="BA643" s="227"/>
      <c r="BB643" s="231"/>
      <c r="BC643" s="227"/>
      <c r="BD643" s="227"/>
      <c r="BE643" s="227"/>
      <c r="BF643" s="227"/>
    </row>
    <row r="644">
      <c r="A644" s="235" t="s">
        <v>5857</v>
      </c>
      <c r="C644" s="235" t="s">
        <v>5858</v>
      </c>
      <c r="D644" s="235" t="s">
        <v>5859</v>
      </c>
      <c r="E644" s="243">
        <v>6.56E13</v>
      </c>
      <c r="F644" s="245"/>
      <c r="G644" s="235" t="s">
        <v>5860</v>
      </c>
      <c r="H644" s="235" t="s">
        <v>5861</v>
      </c>
      <c r="I644" s="235" t="s">
        <v>5861</v>
      </c>
      <c r="J644" s="235" t="s">
        <v>5862</v>
      </c>
      <c r="K644" s="235" t="s">
        <v>5863</v>
      </c>
      <c r="N644" s="235" t="s">
        <v>842</v>
      </c>
      <c r="O644" s="235" t="s">
        <v>843</v>
      </c>
      <c r="P644" s="238">
        <v>1.0</v>
      </c>
      <c r="Q644" s="235" t="s">
        <v>627</v>
      </c>
      <c r="R644" s="238">
        <v>246.67</v>
      </c>
      <c r="S644" s="238">
        <v>12.33</v>
      </c>
      <c r="T644" s="238">
        <v>0.0</v>
      </c>
      <c r="U644" s="238">
        <v>0.0</v>
      </c>
      <c r="V644" s="238">
        <v>0.0</v>
      </c>
      <c r="W644" s="238">
        <v>0.0</v>
      </c>
      <c r="X644" s="235" t="s">
        <v>628</v>
      </c>
      <c r="Z644" s="244"/>
      <c r="AA644" s="244"/>
      <c r="AB644" s="244"/>
      <c r="AC644" s="235" t="s">
        <v>4420</v>
      </c>
      <c r="AD644" s="235" t="s">
        <v>630</v>
      </c>
      <c r="AE644" s="238">
        <v>208005.0</v>
      </c>
      <c r="AF644" s="235" t="s">
        <v>631</v>
      </c>
      <c r="AG644" s="244"/>
      <c r="AH644" s="244"/>
      <c r="AI644" s="245"/>
      <c r="AJ644" s="245"/>
      <c r="AK644" s="245"/>
      <c r="AL644" s="245"/>
      <c r="AM644" s="244"/>
      <c r="AN644" s="244"/>
      <c r="AO644" s="238">
        <v>0.0</v>
      </c>
      <c r="AP644" s="238">
        <v>0.0</v>
      </c>
      <c r="AQ644" s="235" t="s">
        <v>632</v>
      </c>
      <c r="AR644" s="243">
        <v>3.71E11</v>
      </c>
      <c r="AS644" s="235" t="s">
        <v>3284</v>
      </c>
      <c r="AT644" s="235" t="s">
        <v>13</v>
      </c>
      <c r="AU644" s="235" t="s">
        <v>634</v>
      </c>
      <c r="AV644" s="246" t="s">
        <v>635</v>
      </c>
      <c r="AW644" s="242"/>
      <c r="AX644" s="242"/>
      <c r="AY644" s="231"/>
      <c r="AZ644" s="231"/>
      <c r="BA644" s="227"/>
      <c r="BB644" s="231"/>
      <c r="BC644" s="227"/>
      <c r="BD644" s="227"/>
      <c r="BE644" s="227"/>
      <c r="BF644" s="227"/>
    </row>
    <row r="645">
      <c r="A645" s="235" t="s">
        <v>5864</v>
      </c>
      <c r="C645" s="235" t="s">
        <v>5865</v>
      </c>
      <c r="D645" s="235" t="s">
        <v>5866</v>
      </c>
      <c r="E645" s="243">
        <v>6.56E13</v>
      </c>
      <c r="F645" s="245"/>
      <c r="G645" s="235" t="s">
        <v>5867</v>
      </c>
      <c r="H645" s="235" t="s">
        <v>5868</v>
      </c>
      <c r="I645" s="235" t="s">
        <v>5868</v>
      </c>
      <c r="J645" s="235" t="s">
        <v>5869</v>
      </c>
      <c r="K645" s="235" t="s">
        <v>5870</v>
      </c>
      <c r="N645" s="235" t="s">
        <v>4</v>
      </c>
      <c r="O645" s="235" t="s">
        <v>1791</v>
      </c>
      <c r="P645" s="238">
        <v>1.0</v>
      </c>
      <c r="Q645" s="235" t="s">
        <v>627</v>
      </c>
      <c r="R645" s="238">
        <v>265.71</v>
      </c>
      <c r="S645" s="238">
        <v>13.29</v>
      </c>
      <c r="T645" s="238">
        <v>0.0</v>
      </c>
      <c r="U645" s="238">
        <v>0.0</v>
      </c>
      <c r="V645" s="238">
        <v>0.0</v>
      </c>
      <c r="W645" s="238">
        <v>0.0</v>
      </c>
      <c r="X645" s="235" t="s">
        <v>628</v>
      </c>
      <c r="Z645" s="244"/>
      <c r="AA645" s="244"/>
      <c r="AB645" s="244"/>
      <c r="AC645" s="235" t="s">
        <v>795</v>
      </c>
      <c r="AD645" s="235" t="s">
        <v>796</v>
      </c>
      <c r="AE645" s="238">
        <v>110011.0</v>
      </c>
      <c r="AF645" s="235" t="s">
        <v>631</v>
      </c>
      <c r="AG645" s="244"/>
      <c r="AH645" s="244"/>
      <c r="AI645" s="245"/>
      <c r="AJ645" s="245"/>
      <c r="AK645" s="245"/>
      <c r="AL645" s="245"/>
      <c r="AM645" s="244"/>
      <c r="AN645" s="244"/>
      <c r="AO645" s="238">
        <v>0.0</v>
      </c>
      <c r="AP645" s="238">
        <v>0.0</v>
      </c>
      <c r="AQ645" s="235" t="s">
        <v>632</v>
      </c>
      <c r="AR645" s="243">
        <v>3.71E11</v>
      </c>
      <c r="AS645" s="235" t="s">
        <v>4697</v>
      </c>
      <c r="AT645" s="235" t="s">
        <v>533</v>
      </c>
      <c r="AU645" s="235" t="s">
        <v>634</v>
      </c>
      <c r="AV645" s="246" t="s">
        <v>635</v>
      </c>
      <c r="AW645" s="242"/>
      <c r="AX645" s="242"/>
      <c r="AY645" s="231"/>
      <c r="AZ645" s="231"/>
      <c r="BA645" s="227"/>
      <c r="BB645" s="231"/>
      <c r="BC645" s="227"/>
      <c r="BD645" s="227"/>
      <c r="BE645" s="227"/>
      <c r="BF645" s="227"/>
    </row>
    <row r="646">
      <c r="A646" s="235" t="s">
        <v>5871</v>
      </c>
      <c r="C646" s="235" t="s">
        <v>5872</v>
      </c>
      <c r="D646" s="235" t="s">
        <v>5873</v>
      </c>
      <c r="E646" s="243">
        <v>6.56E13</v>
      </c>
      <c r="F646" s="245"/>
      <c r="G646" s="235" t="s">
        <v>5874</v>
      </c>
      <c r="H646" s="235" t="s">
        <v>5875</v>
      </c>
      <c r="I646" s="235" t="s">
        <v>5875</v>
      </c>
      <c r="J646" s="235" t="s">
        <v>5876</v>
      </c>
      <c r="K646" s="235" t="s">
        <v>5877</v>
      </c>
      <c r="N646" s="235" t="s">
        <v>1646</v>
      </c>
      <c r="O646" s="235" t="s">
        <v>1647</v>
      </c>
      <c r="P646" s="238">
        <v>1.0</v>
      </c>
      <c r="Q646" s="235" t="s">
        <v>627</v>
      </c>
      <c r="R646" s="238">
        <v>0.0</v>
      </c>
      <c r="S646" s="238">
        <v>0.0</v>
      </c>
      <c r="T646" s="238">
        <v>0.0</v>
      </c>
      <c r="U646" s="238">
        <v>0.0</v>
      </c>
      <c r="V646" s="238">
        <v>0.0</v>
      </c>
      <c r="W646" s="238">
        <v>0.0</v>
      </c>
      <c r="X646" s="235" t="s">
        <v>628</v>
      </c>
      <c r="Z646" s="244"/>
      <c r="AA646" s="244"/>
      <c r="AB646" s="244"/>
      <c r="AC646" s="235" t="s">
        <v>687</v>
      </c>
      <c r="AD646" s="235" t="s">
        <v>666</v>
      </c>
      <c r="AE646" s="238">
        <v>600052.0</v>
      </c>
      <c r="AF646" s="235" t="s">
        <v>631</v>
      </c>
      <c r="AG646" s="244"/>
      <c r="AH646" s="244"/>
      <c r="AI646" s="245"/>
      <c r="AJ646" s="245"/>
      <c r="AK646" s="245"/>
      <c r="AL646" s="245"/>
      <c r="AM646" s="244"/>
      <c r="AN646" s="244"/>
      <c r="AO646" s="238">
        <v>0.0</v>
      </c>
      <c r="AP646" s="238">
        <v>0.0</v>
      </c>
      <c r="AQ646" s="235" t="s">
        <v>632</v>
      </c>
      <c r="AR646" s="243">
        <v>3.71E11</v>
      </c>
      <c r="AS646" s="235" t="s">
        <v>3284</v>
      </c>
      <c r="AT646" s="235" t="s">
        <v>156</v>
      </c>
      <c r="AU646" s="235" t="s">
        <v>634</v>
      </c>
      <c r="AV646" s="246" t="s">
        <v>635</v>
      </c>
      <c r="AW646" s="242"/>
      <c r="AX646" s="242"/>
      <c r="AY646" s="231"/>
      <c r="AZ646" s="231"/>
      <c r="BA646" s="227"/>
      <c r="BB646" s="231"/>
      <c r="BC646" s="227"/>
      <c r="BD646" s="227"/>
      <c r="BE646" s="227"/>
      <c r="BF646" s="227"/>
    </row>
    <row r="647">
      <c r="A647" s="235" t="s">
        <v>5878</v>
      </c>
      <c r="C647" s="235" t="s">
        <v>5879</v>
      </c>
      <c r="D647" s="235" t="s">
        <v>5880</v>
      </c>
      <c r="E647" s="243">
        <v>6.56E13</v>
      </c>
      <c r="F647" s="245"/>
      <c r="G647" s="235" t="s">
        <v>5881</v>
      </c>
      <c r="H647" s="235" t="s">
        <v>5882</v>
      </c>
      <c r="I647" s="235" t="s">
        <v>5883</v>
      </c>
      <c r="J647" s="235" t="s">
        <v>5884</v>
      </c>
      <c r="K647" s="235" t="s">
        <v>5885</v>
      </c>
      <c r="N647" s="235" t="s">
        <v>92</v>
      </c>
      <c r="O647" s="235" t="s">
        <v>248</v>
      </c>
      <c r="P647" s="238">
        <v>1.0</v>
      </c>
      <c r="Q647" s="235" t="s">
        <v>627</v>
      </c>
      <c r="R647" s="238">
        <v>243.8</v>
      </c>
      <c r="S647" s="238">
        <v>12.2</v>
      </c>
      <c r="T647" s="238">
        <v>0.0</v>
      </c>
      <c r="U647" s="238">
        <v>0.0</v>
      </c>
      <c r="V647" s="238">
        <v>0.0</v>
      </c>
      <c r="W647" s="238">
        <v>0.0</v>
      </c>
      <c r="X647" s="235" t="s">
        <v>628</v>
      </c>
      <c r="Z647" s="244"/>
      <c r="AA647" s="244"/>
      <c r="AB647" s="244"/>
      <c r="AC647" s="235" t="s">
        <v>687</v>
      </c>
      <c r="AD647" s="235" t="s">
        <v>666</v>
      </c>
      <c r="AE647" s="238">
        <v>600062.0</v>
      </c>
      <c r="AF647" s="235" t="s">
        <v>631</v>
      </c>
      <c r="AG647" s="244"/>
      <c r="AH647" s="244"/>
      <c r="AI647" s="245"/>
      <c r="AJ647" s="245"/>
      <c r="AK647" s="245"/>
      <c r="AL647" s="245"/>
      <c r="AM647" s="244"/>
      <c r="AN647" s="244"/>
      <c r="AO647" s="238">
        <v>0.0</v>
      </c>
      <c r="AP647" s="238">
        <v>0.0</v>
      </c>
      <c r="AQ647" s="235" t="s">
        <v>632</v>
      </c>
      <c r="AR647" s="243">
        <v>3.71E11</v>
      </c>
      <c r="AS647" s="235" t="s">
        <v>4697</v>
      </c>
      <c r="AT647" s="235" t="s">
        <v>156</v>
      </c>
      <c r="AU647" s="235" t="s">
        <v>634</v>
      </c>
      <c r="AV647" s="246" t="s">
        <v>635</v>
      </c>
      <c r="AW647" s="242"/>
      <c r="AX647" s="242"/>
      <c r="AY647" s="231"/>
      <c r="AZ647" s="231"/>
      <c r="BA647" s="227"/>
      <c r="BB647" s="231"/>
      <c r="BC647" s="227"/>
      <c r="BD647" s="227"/>
      <c r="BE647" s="227"/>
      <c r="BF647" s="227"/>
    </row>
    <row r="648">
      <c r="A648" s="235" t="s">
        <v>5886</v>
      </c>
      <c r="C648" s="235" t="s">
        <v>5887</v>
      </c>
      <c r="D648" s="235" t="s">
        <v>5888</v>
      </c>
      <c r="E648" s="243">
        <v>6.56E13</v>
      </c>
      <c r="F648" s="245"/>
      <c r="G648" s="235" t="s">
        <v>5889</v>
      </c>
      <c r="H648" s="235" t="s">
        <v>5890</v>
      </c>
      <c r="I648" s="235" t="s">
        <v>5890</v>
      </c>
      <c r="J648" s="235" t="s">
        <v>5891</v>
      </c>
      <c r="K648" s="235" t="s">
        <v>5892</v>
      </c>
      <c r="N648" s="235" t="s">
        <v>71</v>
      </c>
      <c r="O648" s="235" t="s">
        <v>240</v>
      </c>
      <c r="P648" s="238">
        <v>1.0</v>
      </c>
      <c r="Q648" s="235" t="s">
        <v>627</v>
      </c>
      <c r="R648" s="238">
        <v>242.86</v>
      </c>
      <c r="S648" s="238">
        <v>12.14</v>
      </c>
      <c r="T648" s="238">
        <v>38.1</v>
      </c>
      <c r="U648" s="238">
        <v>1.9</v>
      </c>
      <c r="V648" s="238">
        <v>0.0</v>
      </c>
      <c r="W648" s="238">
        <v>0.0</v>
      </c>
      <c r="X648" s="235" t="s">
        <v>628</v>
      </c>
      <c r="Z648" s="244"/>
      <c r="AA648" s="244"/>
      <c r="AB648" s="244"/>
      <c r="AC648" s="235" t="s">
        <v>1531</v>
      </c>
      <c r="AD648" s="235" t="s">
        <v>5893</v>
      </c>
      <c r="AE648" s="238">
        <v>700001.0</v>
      </c>
      <c r="AF648" s="235" t="s">
        <v>631</v>
      </c>
      <c r="AG648" s="244"/>
      <c r="AH648" s="244"/>
      <c r="AI648" s="245"/>
      <c r="AJ648" s="245"/>
      <c r="AK648" s="245"/>
      <c r="AL648" s="245"/>
      <c r="AM648" s="244"/>
      <c r="AN648" s="244"/>
      <c r="AO648" s="238">
        <v>0.0</v>
      </c>
      <c r="AP648" s="238">
        <v>-38.1</v>
      </c>
      <c r="AQ648" s="235" t="s">
        <v>632</v>
      </c>
      <c r="AR648" s="243">
        <v>3.71E11</v>
      </c>
      <c r="AS648" s="235" t="s">
        <v>667</v>
      </c>
      <c r="AT648" s="235" t="s">
        <v>13</v>
      </c>
      <c r="AU648" s="235" t="s">
        <v>634</v>
      </c>
      <c r="AV648" s="246" t="s">
        <v>635</v>
      </c>
      <c r="AW648" s="242"/>
      <c r="AX648" s="242"/>
      <c r="AY648" s="231"/>
      <c r="AZ648" s="231"/>
      <c r="BA648" s="227"/>
      <c r="BB648" s="231"/>
      <c r="BC648" s="227"/>
      <c r="BD648" s="227"/>
      <c r="BE648" s="227"/>
      <c r="BF648" s="227"/>
    </row>
    <row r="649">
      <c r="A649" s="235" t="s">
        <v>5894</v>
      </c>
      <c r="C649" s="235" t="s">
        <v>5895</v>
      </c>
      <c r="D649" s="235" t="s">
        <v>5896</v>
      </c>
      <c r="E649" s="243">
        <v>6.56E13</v>
      </c>
      <c r="F649" s="245"/>
      <c r="G649" s="235" t="s">
        <v>5897</v>
      </c>
      <c r="H649" s="235" t="s">
        <v>5898</v>
      </c>
      <c r="I649" s="235" t="s">
        <v>5898</v>
      </c>
      <c r="J649" s="235" t="s">
        <v>5899</v>
      </c>
      <c r="K649" s="235" t="s">
        <v>5900</v>
      </c>
      <c r="N649" s="235" t="s">
        <v>85</v>
      </c>
      <c r="O649" s="235" t="s">
        <v>872</v>
      </c>
      <c r="P649" s="238">
        <v>1.0</v>
      </c>
      <c r="Q649" s="235" t="s">
        <v>627</v>
      </c>
      <c r="R649" s="238">
        <v>246.66</v>
      </c>
      <c r="S649" s="238">
        <v>12.34</v>
      </c>
      <c r="T649" s="238">
        <v>0.0</v>
      </c>
      <c r="U649" s="238">
        <v>0.0</v>
      </c>
      <c r="V649" s="238">
        <v>0.0</v>
      </c>
      <c r="W649" s="238">
        <v>0.0</v>
      </c>
      <c r="X649" s="235" t="s">
        <v>628</v>
      </c>
      <c r="Z649" s="244"/>
      <c r="AA649" s="244"/>
      <c r="AB649" s="244"/>
      <c r="AC649" s="235" t="s">
        <v>1095</v>
      </c>
      <c r="AD649" s="235" t="s">
        <v>845</v>
      </c>
      <c r="AE649" s="238">
        <v>410210.0</v>
      </c>
      <c r="AF649" s="235" t="s">
        <v>631</v>
      </c>
      <c r="AG649" s="244"/>
      <c r="AH649" s="244"/>
      <c r="AI649" s="245"/>
      <c r="AJ649" s="245"/>
      <c r="AK649" s="245"/>
      <c r="AL649" s="245"/>
      <c r="AM649" s="244"/>
      <c r="AN649" s="244"/>
      <c r="AO649" s="238">
        <v>0.0</v>
      </c>
      <c r="AP649" s="238">
        <v>0.0</v>
      </c>
      <c r="AQ649" s="235" t="s">
        <v>632</v>
      </c>
      <c r="AR649" s="243">
        <v>3.71E11</v>
      </c>
      <c r="AS649" s="235" t="s">
        <v>4697</v>
      </c>
      <c r="AT649" s="235" t="s">
        <v>16</v>
      </c>
      <c r="AU649" s="235" t="s">
        <v>634</v>
      </c>
      <c r="AV649" s="246" t="s">
        <v>635</v>
      </c>
      <c r="AW649" s="242"/>
      <c r="AX649" s="242"/>
      <c r="AY649" s="231"/>
      <c r="AZ649" s="231"/>
      <c r="BA649" s="227"/>
      <c r="BB649" s="231"/>
      <c r="BC649" s="227"/>
      <c r="BD649" s="227"/>
      <c r="BE649" s="227"/>
      <c r="BF649" s="227"/>
    </row>
    <row r="650">
      <c r="A650" s="235" t="s">
        <v>5901</v>
      </c>
      <c r="C650" s="235" t="s">
        <v>5902</v>
      </c>
      <c r="D650" s="235" t="s">
        <v>5903</v>
      </c>
      <c r="E650" s="243">
        <v>6.56E13</v>
      </c>
      <c r="F650" s="245"/>
      <c r="G650" s="235" t="s">
        <v>5904</v>
      </c>
      <c r="H650" s="235" t="s">
        <v>5905</v>
      </c>
      <c r="I650" s="235" t="s">
        <v>5905</v>
      </c>
      <c r="J650" s="235" t="s">
        <v>5906</v>
      </c>
      <c r="K650" s="235" t="s">
        <v>5907</v>
      </c>
      <c r="N650" s="235" t="s">
        <v>2163</v>
      </c>
      <c r="O650" s="235" t="s">
        <v>2164</v>
      </c>
      <c r="P650" s="238">
        <v>1.0</v>
      </c>
      <c r="Q650" s="235" t="s">
        <v>627</v>
      </c>
      <c r="R650" s="238">
        <v>246.67</v>
      </c>
      <c r="S650" s="238">
        <v>12.33</v>
      </c>
      <c r="T650" s="238">
        <v>38.1</v>
      </c>
      <c r="U650" s="238">
        <v>1.9</v>
      </c>
      <c r="V650" s="238">
        <v>0.0</v>
      </c>
      <c r="W650" s="238">
        <v>0.0</v>
      </c>
      <c r="X650" s="235" t="s">
        <v>628</v>
      </c>
      <c r="Z650" s="244"/>
      <c r="AA650" s="244"/>
      <c r="AB650" s="244"/>
      <c r="AC650" s="235" t="s">
        <v>5908</v>
      </c>
      <c r="AD650" s="235" t="s">
        <v>833</v>
      </c>
      <c r="AE650" s="238">
        <v>534301.0</v>
      </c>
      <c r="AF650" s="235" t="s">
        <v>631</v>
      </c>
      <c r="AG650" s="244"/>
      <c r="AH650" s="244"/>
      <c r="AI650" s="245"/>
      <c r="AJ650" s="245"/>
      <c r="AK650" s="245"/>
      <c r="AL650" s="245"/>
      <c r="AM650" s="244"/>
      <c r="AN650" s="244"/>
      <c r="AO650" s="238">
        <v>0.0</v>
      </c>
      <c r="AP650" s="238">
        <v>-38.1</v>
      </c>
      <c r="AQ650" s="235" t="s">
        <v>632</v>
      </c>
      <c r="AR650" s="243">
        <v>3.71E11</v>
      </c>
      <c r="AS650" s="235" t="s">
        <v>2276</v>
      </c>
      <c r="AT650" s="235" t="s">
        <v>156</v>
      </c>
      <c r="AU650" s="235" t="s">
        <v>634</v>
      </c>
      <c r="AV650" s="246" t="s">
        <v>635</v>
      </c>
      <c r="AW650" s="242"/>
      <c r="AX650" s="242"/>
      <c r="AY650" s="231"/>
      <c r="AZ650" s="231"/>
      <c r="BA650" s="227"/>
      <c r="BB650" s="231"/>
      <c r="BC650" s="227"/>
      <c r="BD650" s="227"/>
      <c r="BE650" s="227"/>
      <c r="BF650" s="227"/>
    </row>
    <row r="651">
      <c r="A651" s="235" t="s">
        <v>5909</v>
      </c>
      <c r="C651" s="235" t="s">
        <v>5910</v>
      </c>
      <c r="D651" s="235" t="s">
        <v>5911</v>
      </c>
      <c r="E651" s="243">
        <v>6.56E13</v>
      </c>
      <c r="F651" s="245"/>
      <c r="G651" s="235" t="s">
        <v>5912</v>
      </c>
      <c r="H651" s="235" t="s">
        <v>5913</v>
      </c>
      <c r="I651" s="235" t="s">
        <v>5913</v>
      </c>
      <c r="J651" s="235" t="s">
        <v>5914</v>
      </c>
      <c r="K651" s="235" t="s">
        <v>5915</v>
      </c>
      <c r="N651" s="235" t="s">
        <v>94</v>
      </c>
      <c r="O651" s="235" t="s">
        <v>509</v>
      </c>
      <c r="P651" s="238">
        <v>1.0</v>
      </c>
      <c r="Q651" s="235" t="s">
        <v>627</v>
      </c>
      <c r="R651" s="238">
        <v>246.67</v>
      </c>
      <c r="S651" s="238">
        <v>12.33</v>
      </c>
      <c r="T651" s="238">
        <v>38.1</v>
      </c>
      <c r="U651" s="238">
        <v>1.9</v>
      </c>
      <c r="V651" s="238">
        <v>0.0</v>
      </c>
      <c r="W651" s="238">
        <v>0.0</v>
      </c>
      <c r="X651" s="235" t="s">
        <v>628</v>
      </c>
      <c r="Z651" s="244"/>
      <c r="AA651" s="244"/>
      <c r="AB651" s="244"/>
      <c r="AC651" s="235" t="s">
        <v>2260</v>
      </c>
      <c r="AD651" s="235" t="s">
        <v>630</v>
      </c>
      <c r="AE651" s="238">
        <v>273004.0</v>
      </c>
      <c r="AF651" s="235" t="s">
        <v>631</v>
      </c>
      <c r="AG651" s="244"/>
      <c r="AH651" s="244"/>
      <c r="AI651" s="245"/>
      <c r="AJ651" s="245"/>
      <c r="AK651" s="245"/>
      <c r="AL651" s="245"/>
      <c r="AM651" s="244"/>
      <c r="AN651" s="244"/>
      <c r="AO651" s="238">
        <v>0.0</v>
      </c>
      <c r="AP651" s="238">
        <v>-38.1</v>
      </c>
      <c r="AQ651" s="235" t="s">
        <v>632</v>
      </c>
      <c r="AR651" s="243">
        <v>1.68E11</v>
      </c>
      <c r="AS651" s="235" t="s">
        <v>2276</v>
      </c>
      <c r="AT651" s="235" t="s">
        <v>14</v>
      </c>
      <c r="AU651" s="235" t="s">
        <v>634</v>
      </c>
      <c r="AV651" s="246" t="s">
        <v>635</v>
      </c>
      <c r="AW651" s="242"/>
      <c r="AX651" s="242"/>
      <c r="AY651" s="231"/>
      <c r="AZ651" s="231"/>
      <c r="BA651" s="227"/>
      <c r="BB651" s="231"/>
      <c r="BC651" s="227"/>
      <c r="BD651" s="227"/>
      <c r="BE651" s="227"/>
      <c r="BF651" s="227"/>
    </row>
    <row r="652">
      <c r="A652" s="235" t="s">
        <v>5916</v>
      </c>
      <c r="C652" s="235" t="s">
        <v>5917</v>
      </c>
      <c r="D652" s="235" t="s">
        <v>5918</v>
      </c>
      <c r="E652" s="243">
        <v>6.56E13</v>
      </c>
      <c r="F652" s="245"/>
      <c r="G652" s="235" t="s">
        <v>5919</v>
      </c>
      <c r="H652" s="235" t="s">
        <v>5920</v>
      </c>
      <c r="I652" s="235" t="s">
        <v>5920</v>
      </c>
      <c r="J652" s="235" t="s">
        <v>5921</v>
      </c>
      <c r="K652" s="235" t="s">
        <v>5922</v>
      </c>
      <c r="N652" s="235" t="s">
        <v>68</v>
      </c>
      <c r="O652" s="235" t="s">
        <v>208</v>
      </c>
      <c r="P652" s="238">
        <v>1.0</v>
      </c>
      <c r="Q652" s="235" t="s">
        <v>627</v>
      </c>
      <c r="R652" s="238">
        <v>246.66</v>
      </c>
      <c r="S652" s="238">
        <v>12.1</v>
      </c>
      <c r="T652" s="238">
        <v>0.0</v>
      </c>
      <c r="U652" s="238">
        <v>0.0</v>
      </c>
      <c r="V652" s="238">
        <v>0.0</v>
      </c>
      <c r="W652" s="238">
        <v>0.0</v>
      </c>
      <c r="X652" s="235" t="s">
        <v>628</v>
      </c>
      <c r="Z652" s="244"/>
      <c r="AA652" s="244"/>
      <c r="AB652" s="244"/>
      <c r="AC652" s="235" t="s">
        <v>5923</v>
      </c>
      <c r="AD652" s="235" t="s">
        <v>666</v>
      </c>
      <c r="AE652" s="238">
        <v>620001.0</v>
      </c>
      <c r="AF652" s="235" t="s">
        <v>631</v>
      </c>
      <c r="AG652" s="244"/>
      <c r="AH652" s="244"/>
      <c r="AI652" s="245"/>
      <c r="AJ652" s="245"/>
      <c r="AK652" s="245"/>
      <c r="AL652" s="245"/>
      <c r="AM652" s="244"/>
      <c r="AN652" s="244"/>
      <c r="AO652" s="238">
        <v>-4.94</v>
      </c>
      <c r="AP652" s="238">
        <v>0.0</v>
      </c>
      <c r="AQ652" s="235" t="s">
        <v>632</v>
      </c>
      <c r="AR652" s="243">
        <v>3.71E11</v>
      </c>
      <c r="AS652" s="235" t="s">
        <v>4697</v>
      </c>
      <c r="AT652" s="235" t="s">
        <v>155</v>
      </c>
      <c r="AU652" s="235" t="s">
        <v>634</v>
      </c>
      <c r="AV652" s="246" t="s">
        <v>635</v>
      </c>
      <c r="AW652" s="242"/>
      <c r="AX652" s="242"/>
      <c r="AY652" s="231"/>
      <c r="AZ652" s="231"/>
      <c r="BA652" s="227"/>
      <c r="BB652" s="231"/>
      <c r="BC652" s="227"/>
      <c r="BD652" s="227"/>
      <c r="BE652" s="227"/>
      <c r="BF652" s="227"/>
    </row>
    <row r="653">
      <c r="A653" s="235" t="s">
        <v>5924</v>
      </c>
      <c r="C653" s="235" t="s">
        <v>5925</v>
      </c>
      <c r="D653" s="235" t="s">
        <v>5926</v>
      </c>
      <c r="E653" s="243">
        <v>6.56E13</v>
      </c>
      <c r="F653" s="245"/>
      <c r="G653" s="235" t="s">
        <v>5927</v>
      </c>
      <c r="H653" s="235" t="s">
        <v>5928</v>
      </c>
      <c r="I653" s="235" t="s">
        <v>5928</v>
      </c>
      <c r="J653" s="235" t="s">
        <v>5929</v>
      </c>
      <c r="K653" s="235" t="s">
        <v>5930</v>
      </c>
      <c r="N653" s="235" t="s">
        <v>130</v>
      </c>
      <c r="O653" s="235" t="s">
        <v>707</v>
      </c>
      <c r="P653" s="238">
        <v>1.0</v>
      </c>
      <c r="Q653" s="235" t="s">
        <v>627</v>
      </c>
      <c r="R653" s="238">
        <v>246.66</v>
      </c>
      <c r="S653" s="238">
        <v>12.34</v>
      </c>
      <c r="T653" s="238">
        <v>0.0</v>
      </c>
      <c r="U653" s="238">
        <v>0.0</v>
      </c>
      <c r="V653" s="238">
        <v>0.0</v>
      </c>
      <c r="W653" s="238">
        <v>0.0</v>
      </c>
      <c r="X653" s="235" t="s">
        <v>628</v>
      </c>
      <c r="Z653" s="244"/>
      <c r="AA653" s="244"/>
      <c r="AB653" s="244"/>
      <c r="AC653" s="235" t="s">
        <v>1320</v>
      </c>
      <c r="AD653" s="235" t="s">
        <v>666</v>
      </c>
      <c r="AE653" s="238">
        <v>600116.0</v>
      </c>
      <c r="AF653" s="235" t="s">
        <v>631</v>
      </c>
      <c r="AG653" s="244"/>
      <c r="AH653" s="244"/>
      <c r="AI653" s="245"/>
      <c r="AJ653" s="245"/>
      <c r="AK653" s="245"/>
      <c r="AL653" s="245"/>
      <c r="AM653" s="244"/>
      <c r="AN653" s="244"/>
      <c r="AO653" s="238">
        <v>0.0</v>
      </c>
      <c r="AP653" s="238">
        <v>0.0</v>
      </c>
      <c r="AQ653" s="235" t="s">
        <v>632</v>
      </c>
      <c r="AR653" s="243">
        <v>3.71E11</v>
      </c>
      <c r="AS653" s="235" t="s">
        <v>4697</v>
      </c>
      <c r="AT653" s="235" t="s">
        <v>156</v>
      </c>
      <c r="AU653" s="235" t="s">
        <v>634</v>
      </c>
      <c r="AV653" s="246" t="s">
        <v>635</v>
      </c>
      <c r="AW653" s="242"/>
      <c r="AX653" s="242"/>
      <c r="AY653" s="231"/>
      <c r="AZ653" s="231"/>
      <c r="BA653" s="227"/>
      <c r="BB653" s="231"/>
      <c r="BC653" s="227"/>
      <c r="BD653" s="227"/>
      <c r="BE653" s="227"/>
      <c r="BF653" s="227"/>
    </row>
    <row r="654">
      <c r="A654" s="235" t="s">
        <v>5931</v>
      </c>
      <c r="C654" s="235" t="s">
        <v>5932</v>
      </c>
      <c r="D654" s="235" t="s">
        <v>5933</v>
      </c>
      <c r="E654" s="243">
        <v>6.56E13</v>
      </c>
      <c r="F654" s="245"/>
      <c r="G654" s="235" t="s">
        <v>5934</v>
      </c>
      <c r="H654" s="235" t="s">
        <v>5935</v>
      </c>
      <c r="I654" s="235" t="s">
        <v>5936</v>
      </c>
      <c r="J654" s="235" t="s">
        <v>5937</v>
      </c>
      <c r="K654" s="235" t="s">
        <v>3389</v>
      </c>
      <c r="N654" s="235" t="s">
        <v>42</v>
      </c>
      <c r="O654" s="235" t="s">
        <v>204</v>
      </c>
      <c r="P654" s="238">
        <v>1.0</v>
      </c>
      <c r="Q654" s="235" t="s">
        <v>627</v>
      </c>
      <c r="R654" s="238">
        <v>237.14</v>
      </c>
      <c r="S654" s="238">
        <v>11.62</v>
      </c>
      <c r="T654" s="238">
        <v>0.0</v>
      </c>
      <c r="U654" s="238">
        <v>0.0</v>
      </c>
      <c r="V654" s="238">
        <v>0.0</v>
      </c>
      <c r="W654" s="238">
        <v>0.0</v>
      </c>
      <c r="X654" s="235" t="s">
        <v>628</v>
      </c>
      <c r="Z654" s="244"/>
      <c r="AA654" s="244"/>
      <c r="AB654" s="244"/>
      <c r="AC654" s="235" t="s">
        <v>3390</v>
      </c>
      <c r="AD654" s="235" t="s">
        <v>833</v>
      </c>
      <c r="AE654" s="238">
        <v>530045.0</v>
      </c>
      <c r="AF654" s="235" t="s">
        <v>631</v>
      </c>
      <c r="AG654" s="244"/>
      <c r="AH654" s="244"/>
      <c r="AI654" s="245"/>
      <c r="AJ654" s="245"/>
      <c r="AK654" s="245"/>
      <c r="AL654" s="245"/>
      <c r="AM654" s="244"/>
      <c r="AN654" s="244"/>
      <c r="AO654" s="238">
        <v>-4.74</v>
      </c>
      <c r="AP654" s="238">
        <v>0.0</v>
      </c>
      <c r="AQ654" s="235" t="s">
        <v>632</v>
      </c>
      <c r="AR654" s="243">
        <v>2.02E11</v>
      </c>
      <c r="AS654" s="235" t="s">
        <v>4697</v>
      </c>
      <c r="AT654" s="235" t="s">
        <v>11</v>
      </c>
      <c r="AU654" s="235" t="s">
        <v>634</v>
      </c>
      <c r="AV654" s="246" t="s">
        <v>635</v>
      </c>
      <c r="AW654" s="242"/>
      <c r="AX654" s="242"/>
      <c r="AY654" s="231"/>
      <c r="AZ654" s="231"/>
      <c r="BA654" s="227"/>
      <c r="BB654" s="231"/>
      <c r="BC654" s="227"/>
      <c r="BD654" s="227"/>
      <c r="BE654" s="227"/>
      <c r="BF654" s="227"/>
    </row>
    <row r="655">
      <c r="A655" s="235" t="s">
        <v>5938</v>
      </c>
      <c r="C655" s="235" t="s">
        <v>5939</v>
      </c>
      <c r="D655" s="235" t="s">
        <v>5940</v>
      </c>
      <c r="E655" s="243">
        <v>6.56E13</v>
      </c>
      <c r="F655" s="245"/>
      <c r="G655" s="235" t="s">
        <v>5941</v>
      </c>
      <c r="H655" s="235" t="s">
        <v>5942</v>
      </c>
      <c r="I655" s="235" t="s">
        <v>5942</v>
      </c>
      <c r="J655" s="235" t="s">
        <v>5943</v>
      </c>
      <c r="K655" s="235" t="s">
        <v>5944</v>
      </c>
      <c r="N655" s="235" t="s">
        <v>42</v>
      </c>
      <c r="O655" s="235" t="s">
        <v>204</v>
      </c>
      <c r="P655" s="238">
        <v>1.0</v>
      </c>
      <c r="Q655" s="235" t="s">
        <v>627</v>
      </c>
      <c r="R655" s="238">
        <v>237.14</v>
      </c>
      <c r="S655" s="238">
        <v>11.86</v>
      </c>
      <c r="T655" s="238">
        <v>38.1</v>
      </c>
      <c r="U655" s="238">
        <v>1.9</v>
      </c>
      <c r="V655" s="238">
        <v>0.0</v>
      </c>
      <c r="W655" s="238">
        <v>0.0</v>
      </c>
      <c r="X655" s="235" t="s">
        <v>628</v>
      </c>
      <c r="Z655" s="244"/>
      <c r="AA655" s="244"/>
      <c r="AB655" s="244"/>
      <c r="AC655" s="235" t="s">
        <v>687</v>
      </c>
      <c r="AD655" s="235" t="s">
        <v>666</v>
      </c>
      <c r="AE655" s="238">
        <v>600033.0</v>
      </c>
      <c r="AF655" s="235" t="s">
        <v>631</v>
      </c>
      <c r="AG655" s="244"/>
      <c r="AH655" s="244"/>
      <c r="AI655" s="245"/>
      <c r="AJ655" s="245"/>
      <c r="AK655" s="245"/>
      <c r="AL655" s="245"/>
      <c r="AM655" s="244"/>
      <c r="AN655" s="244"/>
      <c r="AO655" s="238">
        <v>0.0</v>
      </c>
      <c r="AP655" s="238">
        <v>-38.1</v>
      </c>
      <c r="AQ655" s="235" t="s">
        <v>632</v>
      </c>
      <c r="AR655" s="243">
        <v>3.71E11</v>
      </c>
      <c r="AS655" s="235" t="s">
        <v>3284</v>
      </c>
      <c r="AT655" s="235" t="s">
        <v>9</v>
      </c>
      <c r="AU655" s="235" t="s">
        <v>634</v>
      </c>
      <c r="AV655" s="246" t="s">
        <v>635</v>
      </c>
      <c r="AW655" s="242"/>
      <c r="AX655" s="242"/>
      <c r="AY655" s="231"/>
      <c r="AZ655" s="231"/>
      <c r="BA655" s="227"/>
      <c r="BB655" s="231"/>
      <c r="BC655" s="227"/>
      <c r="BD655" s="227"/>
      <c r="BE655" s="227"/>
      <c r="BF655" s="227"/>
    </row>
    <row r="656">
      <c r="A656" s="235" t="s">
        <v>5945</v>
      </c>
      <c r="C656" s="235" t="s">
        <v>5946</v>
      </c>
      <c r="D656" s="235" t="s">
        <v>5947</v>
      </c>
      <c r="E656" s="243">
        <v>6.56E13</v>
      </c>
      <c r="F656" s="245"/>
      <c r="G656" s="235" t="s">
        <v>5948</v>
      </c>
      <c r="H656" s="235" t="s">
        <v>5949</v>
      </c>
      <c r="I656" s="235" t="s">
        <v>5949</v>
      </c>
      <c r="J656" s="235" t="s">
        <v>5950</v>
      </c>
      <c r="K656" s="235" t="s">
        <v>5951</v>
      </c>
      <c r="N656" s="235" t="s">
        <v>127</v>
      </c>
      <c r="O656" s="235" t="s">
        <v>794</v>
      </c>
      <c r="P656" s="238">
        <v>1.0</v>
      </c>
      <c r="Q656" s="235" t="s">
        <v>627</v>
      </c>
      <c r="R656" s="238">
        <v>246.66</v>
      </c>
      <c r="S656" s="238">
        <v>12.34</v>
      </c>
      <c r="T656" s="238">
        <v>18.1</v>
      </c>
      <c r="U656" s="238">
        <v>0.9</v>
      </c>
      <c r="V656" s="238">
        <v>0.0</v>
      </c>
      <c r="W656" s="238">
        <v>0.0</v>
      </c>
      <c r="X656" s="235" t="s">
        <v>628</v>
      </c>
      <c r="Z656" s="244"/>
      <c r="AA656" s="244"/>
      <c r="AB656" s="244"/>
      <c r="AC656" s="235" t="s">
        <v>5952</v>
      </c>
      <c r="AD656" s="235" t="s">
        <v>5953</v>
      </c>
      <c r="AE656" s="238">
        <v>562107.0</v>
      </c>
      <c r="AF656" s="235" t="s">
        <v>631</v>
      </c>
      <c r="AG656" s="244"/>
      <c r="AH656" s="244"/>
      <c r="AI656" s="245"/>
      <c r="AJ656" s="245"/>
      <c r="AK656" s="245"/>
      <c r="AL656" s="245"/>
      <c r="AM656" s="244"/>
      <c r="AN656" s="244"/>
      <c r="AO656" s="238">
        <v>0.0</v>
      </c>
      <c r="AP656" s="238">
        <v>-18.1</v>
      </c>
      <c r="AQ656" s="235" t="s">
        <v>632</v>
      </c>
      <c r="AR656" s="243">
        <v>1.68E11</v>
      </c>
      <c r="AS656" s="235" t="s">
        <v>5516</v>
      </c>
      <c r="AT656" s="235" t="s">
        <v>9</v>
      </c>
      <c r="AU656" s="235" t="s">
        <v>634</v>
      </c>
      <c r="AV656" s="246" t="s">
        <v>635</v>
      </c>
      <c r="AW656" s="242"/>
      <c r="AX656" s="242"/>
      <c r="AY656" s="231"/>
      <c r="AZ656" s="231"/>
      <c r="BA656" s="227"/>
      <c r="BB656" s="231"/>
      <c r="BC656" s="227"/>
      <c r="BD656" s="227"/>
      <c r="BE656" s="227"/>
      <c r="BF656" s="227"/>
    </row>
    <row r="657">
      <c r="A657" s="235" t="s">
        <v>5954</v>
      </c>
      <c r="C657" s="235" t="s">
        <v>5955</v>
      </c>
      <c r="D657" s="235" t="s">
        <v>5956</v>
      </c>
      <c r="E657" s="243">
        <v>6.56E13</v>
      </c>
      <c r="F657" s="245"/>
      <c r="G657" s="235" t="s">
        <v>5957</v>
      </c>
      <c r="H657" s="235" t="s">
        <v>5958</v>
      </c>
      <c r="I657" s="235" t="s">
        <v>5958</v>
      </c>
      <c r="J657" s="235" t="s">
        <v>5959</v>
      </c>
      <c r="K657" s="235" t="s">
        <v>5960</v>
      </c>
      <c r="N657" s="235" t="s">
        <v>127</v>
      </c>
      <c r="O657" s="235" t="s">
        <v>794</v>
      </c>
      <c r="P657" s="238">
        <v>1.0</v>
      </c>
      <c r="Q657" s="235" t="s">
        <v>627</v>
      </c>
      <c r="R657" s="238">
        <v>246.66</v>
      </c>
      <c r="S657" s="238">
        <v>12.34</v>
      </c>
      <c r="T657" s="238">
        <v>0.0</v>
      </c>
      <c r="U657" s="238">
        <v>0.0</v>
      </c>
      <c r="V657" s="238">
        <v>0.0</v>
      </c>
      <c r="W657" s="238">
        <v>0.0</v>
      </c>
      <c r="X657" s="235" t="s">
        <v>628</v>
      </c>
      <c r="Z657" s="244"/>
      <c r="AA657" s="244"/>
      <c r="AB657" s="244"/>
      <c r="AC657" s="235" t="s">
        <v>678</v>
      </c>
      <c r="AD657" s="235" t="s">
        <v>679</v>
      </c>
      <c r="AE657" s="238">
        <v>560024.0</v>
      </c>
      <c r="AF657" s="235" t="s">
        <v>631</v>
      </c>
      <c r="AG657" s="244"/>
      <c r="AH657" s="244"/>
      <c r="AI657" s="245"/>
      <c r="AJ657" s="245"/>
      <c r="AK657" s="245"/>
      <c r="AL657" s="245"/>
      <c r="AM657" s="244"/>
      <c r="AN657" s="244"/>
      <c r="AO657" s="238">
        <v>0.0</v>
      </c>
      <c r="AP657" s="238">
        <v>0.0</v>
      </c>
      <c r="AQ657" s="235" t="s">
        <v>632</v>
      </c>
      <c r="AR657" s="243">
        <v>1.68E11</v>
      </c>
      <c r="AS657" s="235" t="s">
        <v>5516</v>
      </c>
      <c r="AT657" s="235" t="s">
        <v>9</v>
      </c>
      <c r="AU657" s="235" t="s">
        <v>634</v>
      </c>
      <c r="AV657" s="246" t="s">
        <v>635</v>
      </c>
      <c r="AW657" s="242"/>
      <c r="AX657" s="242"/>
      <c r="AY657" s="231"/>
      <c r="AZ657" s="231"/>
      <c r="BA657" s="227"/>
      <c r="BB657" s="231"/>
      <c r="BC657" s="227"/>
      <c r="BD657" s="227"/>
      <c r="BE657" s="227"/>
      <c r="BF657" s="227"/>
    </row>
    <row r="658">
      <c r="A658" s="235" t="s">
        <v>5961</v>
      </c>
      <c r="C658" s="235" t="s">
        <v>5962</v>
      </c>
      <c r="D658" s="235" t="s">
        <v>5963</v>
      </c>
      <c r="E658" s="243">
        <v>6.56E13</v>
      </c>
      <c r="F658" s="245"/>
      <c r="G658" s="235" t="s">
        <v>5964</v>
      </c>
      <c r="H658" s="235" t="s">
        <v>5965</v>
      </c>
      <c r="I658" s="235" t="s">
        <v>5965</v>
      </c>
      <c r="J658" s="235" t="s">
        <v>5966</v>
      </c>
      <c r="K658" s="235" t="s">
        <v>5967</v>
      </c>
      <c r="N658" s="235" t="s">
        <v>42</v>
      </c>
      <c r="O658" s="235" t="s">
        <v>204</v>
      </c>
      <c r="P658" s="238">
        <v>1.0</v>
      </c>
      <c r="Q658" s="235" t="s">
        <v>627</v>
      </c>
      <c r="R658" s="238">
        <v>237.14</v>
      </c>
      <c r="S658" s="238">
        <v>11.86</v>
      </c>
      <c r="T658" s="238">
        <v>0.0</v>
      </c>
      <c r="U658" s="238">
        <v>0.0</v>
      </c>
      <c r="V658" s="238">
        <v>0.0</v>
      </c>
      <c r="W658" s="238">
        <v>0.0</v>
      </c>
      <c r="X658" s="235" t="s">
        <v>628</v>
      </c>
      <c r="Z658" s="244"/>
      <c r="AA658" s="244"/>
      <c r="AB658" s="244"/>
      <c r="AC658" s="235" t="s">
        <v>5968</v>
      </c>
      <c r="AD658" s="235" t="s">
        <v>679</v>
      </c>
      <c r="AE658" s="238">
        <v>586101.0</v>
      </c>
      <c r="AF658" s="235" t="s">
        <v>631</v>
      </c>
      <c r="AG658" s="244"/>
      <c r="AH658" s="244"/>
      <c r="AI658" s="245"/>
      <c r="AJ658" s="245"/>
      <c r="AK658" s="245"/>
      <c r="AL658" s="245"/>
      <c r="AM658" s="244"/>
      <c r="AN658" s="244"/>
      <c r="AO658" s="238">
        <v>0.0</v>
      </c>
      <c r="AP658" s="238">
        <v>0.0</v>
      </c>
      <c r="AQ658" s="235" t="s">
        <v>632</v>
      </c>
      <c r="AR658" s="243">
        <v>3.71E11</v>
      </c>
      <c r="AS658" s="235" t="s">
        <v>2276</v>
      </c>
      <c r="AT658" s="235" t="s">
        <v>11</v>
      </c>
      <c r="AU658" s="235" t="s">
        <v>634</v>
      </c>
      <c r="AV658" s="246" t="s">
        <v>635</v>
      </c>
      <c r="AW658" s="242"/>
      <c r="AX658" s="242"/>
      <c r="AY658" s="231"/>
      <c r="AZ658" s="231"/>
      <c r="BA658" s="227"/>
      <c r="BB658" s="231"/>
      <c r="BC658" s="227"/>
      <c r="BD658" s="227"/>
      <c r="BE658" s="227"/>
      <c r="BF658" s="227"/>
    </row>
    <row r="659">
      <c r="A659" s="235" t="s">
        <v>5969</v>
      </c>
      <c r="C659" s="235" t="s">
        <v>5970</v>
      </c>
      <c r="D659" s="235" t="s">
        <v>5971</v>
      </c>
      <c r="E659" s="243">
        <v>6.56E13</v>
      </c>
      <c r="F659" s="245"/>
      <c r="G659" s="235" t="s">
        <v>5972</v>
      </c>
      <c r="H659" s="235" t="s">
        <v>5973</v>
      </c>
      <c r="I659" s="235" t="s">
        <v>5973</v>
      </c>
      <c r="J659" s="235" t="s">
        <v>5974</v>
      </c>
      <c r="K659" s="235" t="s">
        <v>5975</v>
      </c>
      <c r="N659" s="235" t="s">
        <v>22</v>
      </c>
      <c r="O659" s="235" t="s">
        <v>729</v>
      </c>
      <c r="P659" s="238">
        <v>1.0</v>
      </c>
      <c r="Q659" s="235" t="s">
        <v>627</v>
      </c>
      <c r="R659" s="238">
        <v>360.96</v>
      </c>
      <c r="S659" s="238">
        <v>18.04</v>
      </c>
      <c r="T659" s="238">
        <v>38.1</v>
      </c>
      <c r="U659" s="238">
        <v>1.9</v>
      </c>
      <c r="V659" s="238">
        <v>0.0</v>
      </c>
      <c r="W659" s="238">
        <v>0.0</v>
      </c>
      <c r="X659" s="235" t="s">
        <v>628</v>
      </c>
      <c r="Z659" s="244"/>
      <c r="AA659" s="244"/>
      <c r="AB659" s="244"/>
      <c r="AC659" s="235" t="s">
        <v>5976</v>
      </c>
      <c r="AD659" s="235" t="s">
        <v>666</v>
      </c>
      <c r="AE659" s="238">
        <v>641654.0</v>
      </c>
      <c r="AF659" s="235" t="s">
        <v>631</v>
      </c>
      <c r="AG659" s="244"/>
      <c r="AH659" s="244"/>
      <c r="AI659" s="245"/>
      <c r="AJ659" s="245"/>
      <c r="AK659" s="245"/>
      <c r="AL659" s="245"/>
      <c r="AM659" s="244"/>
      <c r="AN659" s="244"/>
      <c r="AO659" s="238">
        <v>0.0</v>
      </c>
      <c r="AP659" s="238">
        <v>-38.1</v>
      </c>
      <c r="AQ659" s="235" t="s">
        <v>632</v>
      </c>
      <c r="AR659" s="243">
        <v>3.71E11</v>
      </c>
      <c r="AS659" s="235" t="s">
        <v>4697</v>
      </c>
      <c r="AT659" s="235" t="s">
        <v>155</v>
      </c>
      <c r="AU659" s="235" t="s">
        <v>634</v>
      </c>
      <c r="AV659" s="246" t="s">
        <v>635</v>
      </c>
      <c r="AW659" s="242"/>
      <c r="AX659" s="242"/>
      <c r="AY659" s="231"/>
      <c r="AZ659" s="231"/>
      <c r="BA659" s="227"/>
      <c r="BB659" s="231"/>
      <c r="BC659" s="227"/>
      <c r="BD659" s="227"/>
      <c r="BE659" s="227"/>
      <c r="BF659" s="227"/>
    </row>
    <row r="660">
      <c r="A660" s="235" t="s">
        <v>5977</v>
      </c>
      <c r="C660" s="235" t="s">
        <v>5978</v>
      </c>
      <c r="D660" s="235" t="s">
        <v>5979</v>
      </c>
      <c r="E660" s="243">
        <v>6.56E13</v>
      </c>
      <c r="F660" s="245"/>
      <c r="G660" s="235" t="s">
        <v>5980</v>
      </c>
      <c r="H660" s="235" t="s">
        <v>5981</v>
      </c>
      <c r="I660" s="235" t="s">
        <v>5981</v>
      </c>
      <c r="J660" s="235" t="s">
        <v>5982</v>
      </c>
      <c r="K660" s="235" t="s">
        <v>2432</v>
      </c>
      <c r="N660" s="235" t="s">
        <v>962</v>
      </c>
      <c r="O660" s="235" t="s">
        <v>963</v>
      </c>
      <c r="P660" s="238">
        <v>1.0</v>
      </c>
      <c r="Q660" s="235" t="s">
        <v>627</v>
      </c>
      <c r="R660" s="238">
        <v>246.67</v>
      </c>
      <c r="S660" s="238">
        <v>11.96</v>
      </c>
      <c r="T660" s="238">
        <v>38.1</v>
      </c>
      <c r="U660" s="238">
        <v>1.9</v>
      </c>
      <c r="V660" s="238">
        <v>0.0</v>
      </c>
      <c r="W660" s="238">
        <v>0.0</v>
      </c>
      <c r="X660" s="235" t="s">
        <v>628</v>
      </c>
      <c r="Z660" s="244"/>
      <c r="AA660" s="244"/>
      <c r="AB660" s="244"/>
      <c r="AC660" s="235" t="s">
        <v>2434</v>
      </c>
      <c r="AD660" s="235" t="s">
        <v>698</v>
      </c>
      <c r="AE660" s="238">
        <v>509202.0</v>
      </c>
      <c r="AF660" s="235" t="s">
        <v>631</v>
      </c>
      <c r="AG660" s="244"/>
      <c r="AH660" s="244"/>
      <c r="AI660" s="245"/>
      <c r="AJ660" s="245"/>
      <c r="AK660" s="245"/>
      <c r="AL660" s="245"/>
      <c r="AM660" s="244"/>
      <c r="AN660" s="244"/>
      <c r="AO660" s="238">
        <v>-7.4</v>
      </c>
      <c r="AP660" s="238">
        <v>-38.1</v>
      </c>
      <c r="AQ660" s="235" t="s">
        <v>632</v>
      </c>
      <c r="AR660" s="243">
        <v>3.71E11</v>
      </c>
      <c r="AS660" s="235" t="s">
        <v>3284</v>
      </c>
      <c r="AT660" s="235" t="s">
        <v>11</v>
      </c>
      <c r="AU660" s="235" t="s">
        <v>634</v>
      </c>
      <c r="AV660" s="246" t="s">
        <v>635</v>
      </c>
      <c r="AW660" s="242"/>
      <c r="AX660" s="242"/>
      <c r="AY660" s="231"/>
      <c r="AZ660" s="231"/>
      <c r="BA660" s="227"/>
      <c r="BB660" s="231"/>
      <c r="BC660" s="227"/>
      <c r="BD660" s="227"/>
      <c r="BE660" s="227"/>
      <c r="BF660" s="227"/>
    </row>
    <row r="661">
      <c r="A661" s="235" t="s">
        <v>5977</v>
      </c>
      <c r="C661" s="235" t="s">
        <v>5978</v>
      </c>
      <c r="D661" s="235" t="s">
        <v>5983</v>
      </c>
      <c r="E661" s="243">
        <v>6.56E13</v>
      </c>
      <c r="F661" s="245"/>
      <c r="G661" s="235" t="s">
        <v>5980</v>
      </c>
      <c r="H661" s="235" t="s">
        <v>5981</v>
      </c>
      <c r="I661" s="235" t="s">
        <v>5981</v>
      </c>
      <c r="J661" s="235" t="s">
        <v>5982</v>
      </c>
      <c r="K661" s="235" t="s">
        <v>2432</v>
      </c>
      <c r="N661" s="235" t="s">
        <v>1646</v>
      </c>
      <c r="O661" s="235" t="s">
        <v>1647</v>
      </c>
      <c r="P661" s="238">
        <v>1.0</v>
      </c>
      <c r="Q661" s="235" t="s">
        <v>627</v>
      </c>
      <c r="R661" s="238">
        <v>270.48</v>
      </c>
      <c r="S661" s="238">
        <v>13.11</v>
      </c>
      <c r="T661" s="238">
        <v>38.1</v>
      </c>
      <c r="U661" s="238">
        <v>1.9</v>
      </c>
      <c r="V661" s="238">
        <v>0.0</v>
      </c>
      <c r="W661" s="238">
        <v>0.0</v>
      </c>
      <c r="X661" s="235" t="s">
        <v>628</v>
      </c>
      <c r="Z661" s="244"/>
      <c r="AA661" s="244"/>
      <c r="AB661" s="244"/>
      <c r="AC661" s="235" t="s">
        <v>2434</v>
      </c>
      <c r="AD661" s="235" t="s">
        <v>698</v>
      </c>
      <c r="AE661" s="238">
        <v>509202.0</v>
      </c>
      <c r="AF661" s="235" t="s">
        <v>631</v>
      </c>
      <c r="AG661" s="244"/>
      <c r="AH661" s="244"/>
      <c r="AI661" s="245"/>
      <c r="AJ661" s="245"/>
      <c r="AK661" s="245"/>
      <c r="AL661" s="245"/>
      <c r="AM661" s="244"/>
      <c r="AN661" s="244"/>
      <c r="AO661" s="238">
        <v>-8.11</v>
      </c>
      <c r="AP661" s="238">
        <v>-38.1</v>
      </c>
      <c r="AQ661" s="235" t="s">
        <v>632</v>
      </c>
      <c r="AR661" s="243">
        <v>3.71E11</v>
      </c>
      <c r="AS661" s="235" t="s">
        <v>3284</v>
      </c>
      <c r="AT661" s="235" t="s">
        <v>11</v>
      </c>
      <c r="AU661" s="235" t="s">
        <v>634</v>
      </c>
      <c r="AV661" s="246" t="s">
        <v>635</v>
      </c>
      <c r="AW661" s="242"/>
      <c r="AX661" s="242"/>
      <c r="AY661" s="231"/>
      <c r="AZ661" s="231"/>
      <c r="BA661" s="227"/>
      <c r="BB661" s="231"/>
      <c r="BC661" s="227"/>
      <c r="BD661" s="227"/>
      <c r="BE661" s="227"/>
      <c r="BF661" s="227"/>
    </row>
    <row r="662">
      <c r="A662" s="235" t="s">
        <v>5984</v>
      </c>
      <c r="C662" s="235" t="s">
        <v>5985</v>
      </c>
      <c r="D662" s="235" t="s">
        <v>5986</v>
      </c>
      <c r="E662" s="243">
        <v>6.56E13</v>
      </c>
      <c r="F662" s="245"/>
      <c r="G662" s="235" t="s">
        <v>5987</v>
      </c>
      <c r="H662" s="235" t="s">
        <v>5988</v>
      </c>
      <c r="I662" s="235" t="s">
        <v>5988</v>
      </c>
      <c r="J662" s="235" t="s">
        <v>5989</v>
      </c>
      <c r="K662" s="235" t="s">
        <v>5990</v>
      </c>
      <c r="N662" s="235" t="s">
        <v>127</v>
      </c>
      <c r="O662" s="235" t="s">
        <v>794</v>
      </c>
      <c r="P662" s="238">
        <v>1.0</v>
      </c>
      <c r="Q662" s="235" t="s">
        <v>627</v>
      </c>
      <c r="R662" s="238">
        <v>246.67</v>
      </c>
      <c r="S662" s="238">
        <v>12.33</v>
      </c>
      <c r="T662" s="238">
        <v>0.0</v>
      </c>
      <c r="U662" s="238">
        <v>0.0</v>
      </c>
      <c r="V662" s="238">
        <v>0.0</v>
      </c>
      <c r="W662" s="238">
        <v>0.0</v>
      </c>
      <c r="X662" s="235" t="s">
        <v>628</v>
      </c>
      <c r="Z662" s="244"/>
      <c r="AA662" s="244"/>
      <c r="AB662" s="244"/>
      <c r="AC662" s="235" t="s">
        <v>5991</v>
      </c>
      <c r="AD662" s="235" t="s">
        <v>1086</v>
      </c>
      <c r="AE662" s="238">
        <v>144103.0</v>
      </c>
      <c r="AF662" s="235" t="s">
        <v>631</v>
      </c>
      <c r="AG662" s="244"/>
      <c r="AH662" s="244"/>
      <c r="AI662" s="245"/>
      <c r="AJ662" s="245"/>
      <c r="AK662" s="245"/>
      <c r="AL662" s="245"/>
      <c r="AM662" s="244"/>
      <c r="AN662" s="244"/>
      <c r="AO662" s="238">
        <v>0.0</v>
      </c>
      <c r="AP662" s="238">
        <v>0.0</v>
      </c>
      <c r="AQ662" s="235" t="s">
        <v>632</v>
      </c>
      <c r="AR662" s="243">
        <v>3.71E11</v>
      </c>
      <c r="AS662" s="235" t="s">
        <v>3284</v>
      </c>
      <c r="AT662" s="235" t="s">
        <v>13</v>
      </c>
      <c r="AU662" s="235" t="s">
        <v>634</v>
      </c>
      <c r="AV662" s="246" t="s">
        <v>635</v>
      </c>
      <c r="AW662" s="242"/>
      <c r="AX662" s="242"/>
      <c r="AY662" s="231"/>
      <c r="AZ662" s="231"/>
      <c r="BA662" s="227"/>
      <c r="BB662" s="231"/>
      <c r="BC662" s="227"/>
      <c r="BD662" s="227"/>
      <c r="BE662" s="227"/>
      <c r="BF662" s="227"/>
    </row>
    <row r="663">
      <c r="A663" s="235" t="s">
        <v>5992</v>
      </c>
      <c r="C663" s="235" t="s">
        <v>5993</v>
      </c>
      <c r="D663" s="235" t="s">
        <v>5994</v>
      </c>
      <c r="E663" s="243">
        <v>6.56E13</v>
      </c>
      <c r="F663" s="245"/>
      <c r="G663" s="235" t="s">
        <v>5995</v>
      </c>
      <c r="H663" s="235" t="s">
        <v>5996</v>
      </c>
      <c r="I663" s="235" t="s">
        <v>5996</v>
      </c>
      <c r="J663" s="235" t="s">
        <v>5997</v>
      </c>
      <c r="K663" s="235" t="s">
        <v>5998</v>
      </c>
      <c r="N663" s="235" t="s">
        <v>141</v>
      </c>
      <c r="O663" s="235" t="s">
        <v>342</v>
      </c>
      <c r="P663" s="238">
        <v>1.0</v>
      </c>
      <c r="Q663" s="235" t="s">
        <v>627</v>
      </c>
      <c r="R663" s="238">
        <v>246.67</v>
      </c>
      <c r="S663" s="238">
        <v>12.33</v>
      </c>
      <c r="T663" s="238">
        <v>38.1</v>
      </c>
      <c r="U663" s="238">
        <v>1.9</v>
      </c>
      <c r="V663" s="238">
        <v>0.0</v>
      </c>
      <c r="W663" s="238">
        <v>0.0</v>
      </c>
      <c r="X663" s="235" t="s">
        <v>628</v>
      </c>
      <c r="Z663" s="244"/>
      <c r="AA663" s="244"/>
      <c r="AB663" s="244"/>
      <c r="AC663" s="235" t="s">
        <v>5999</v>
      </c>
      <c r="AD663" s="235" t="s">
        <v>917</v>
      </c>
      <c r="AE663" s="238">
        <v>345001.0</v>
      </c>
      <c r="AF663" s="235" t="s">
        <v>631</v>
      </c>
      <c r="AG663" s="244"/>
      <c r="AH663" s="244"/>
      <c r="AI663" s="245"/>
      <c r="AJ663" s="245"/>
      <c r="AK663" s="245"/>
      <c r="AL663" s="245"/>
      <c r="AM663" s="244"/>
      <c r="AN663" s="244"/>
      <c r="AO663" s="238">
        <v>0.0</v>
      </c>
      <c r="AP663" s="238">
        <v>-38.1</v>
      </c>
      <c r="AQ663" s="235" t="s">
        <v>632</v>
      </c>
      <c r="AR663" s="243">
        <v>3.71E11</v>
      </c>
      <c r="AS663" s="235" t="s">
        <v>2276</v>
      </c>
      <c r="AT663" s="235" t="s">
        <v>13</v>
      </c>
      <c r="AU663" s="235" t="s">
        <v>634</v>
      </c>
      <c r="AV663" s="246" t="s">
        <v>635</v>
      </c>
      <c r="AW663" s="242"/>
      <c r="AX663" s="242"/>
      <c r="AY663" s="231"/>
      <c r="AZ663" s="231"/>
      <c r="BA663" s="227"/>
      <c r="BB663" s="231"/>
      <c r="BC663" s="227"/>
      <c r="BD663" s="227"/>
      <c r="BE663" s="227"/>
      <c r="BF663" s="227"/>
    </row>
    <row r="664">
      <c r="A664" s="235" t="s">
        <v>6000</v>
      </c>
      <c r="C664" s="235" t="s">
        <v>6001</v>
      </c>
      <c r="D664" s="235" t="s">
        <v>6002</v>
      </c>
      <c r="E664" s="243">
        <v>6.56E13</v>
      </c>
      <c r="F664" s="245"/>
      <c r="G664" s="235" t="s">
        <v>6003</v>
      </c>
      <c r="H664" s="235" t="s">
        <v>6004</v>
      </c>
      <c r="I664" s="235" t="s">
        <v>6004</v>
      </c>
      <c r="J664" s="235" t="s">
        <v>6005</v>
      </c>
      <c r="K664" s="235" t="s">
        <v>6006</v>
      </c>
      <c r="N664" s="235" t="s">
        <v>85</v>
      </c>
      <c r="O664" s="235" t="s">
        <v>872</v>
      </c>
      <c r="P664" s="238">
        <v>1.0</v>
      </c>
      <c r="Q664" s="235" t="s">
        <v>627</v>
      </c>
      <c r="R664" s="238">
        <v>242.86</v>
      </c>
      <c r="S664" s="238">
        <v>12.14</v>
      </c>
      <c r="T664" s="238">
        <v>0.0</v>
      </c>
      <c r="U664" s="238">
        <v>0.0</v>
      </c>
      <c r="V664" s="238">
        <v>0.0</v>
      </c>
      <c r="W664" s="238">
        <v>0.0</v>
      </c>
      <c r="X664" s="235" t="s">
        <v>628</v>
      </c>
      <c r="Z664" s="244"/>
      <c r="AA664" s="244"/>
      <c r="AB664" s="244"/>
      <c r="AC664" s="235" t="s">
        <v>687</v>
      </c>
      <c r="AD664" s="235" t="s">
        <v>666</v>
      </c>
      <c r="AE664" s="238">
        <v>600083.0</v>
      </c>
      <c r="AF664" s="235" t="s">
        <v>631</v>
      </c>
      <c r="AG664" s="244"/>
      <c r="AH664" s="244"/>
      <c r="AI664" s="245"/>
      <c r="AJ664" s="245"/>
      <c r="AK664" s="245"/>
      <c r="AL664" s="245"/>
      <c r="AM664" s="244"/>
      <c r="AN664" s="244"/>
      <c r="AO664" s="238">
        <v>0.0</v>
      </c>
      <c r="AP664" s="238">
        <v>0.0</v>
      </c>
      <c r="AQ664" s="235" t="s">
        <v>632</v>
      </c>
      <c r="AR664" s="243">
        <v>1.68E11</v>
      </c>
      <c r="AS664" s="235" t="s">
        <v>5516</v>
      </c>
      <c r="AT664" s="235" t="s">
        <v>156</v>
      </c>
      <c r="AU664" s="235" t="s">
        <v>634</v>
      </c>
      <c r="AV664" s="246" t="s">
        <v>635</v>
      </c>
      <c r="AW664" s="242"/>
      <c r="AX664" s="242"/>
      <c r="AY664" s="231"/>
      <c r="AZ664" s="231"/>
      <c r="BA664" s="227"/>
      <c r="BB664" s="231"/>
      <c r="BC664" s="227"/>
      <c r="BD664" s="227"/>
      <c r="BE664" s="227"/>
      <c r="BF664" s="227"/>
    </row>
    <row r="665">
      <c r="A665" s="235" t="s">
        <v>6007</v>
      </c>
      <c r="C665" s="235" t="s">
        <v>6008</v>
      </c>
      <c r="D665" s="235" t="s">
        <v>6009</v>
      </c>
      <c r="E665" s="243">
        <v>6.56E13</v>
      </c>
      <c r="F665" s="245"/>
      <c r="G665" s="235" t="s">
        <v>6010</v>
      </c>
      <c r="H665" s="235" t="s">
        <v>6011</v>
      </c>
      <c r="I665" s="235" t="s">
        <v>6011</v>
      </c>
      <c r="J665" s="235" t="s">
        <v>6012</v>
      </c>
      <c r="K665" s="235" t="s">
        <v>6013</v>
      </c>
      <c r="N665" s="235" t="s">
        <v>127</v>
      </c>
      <c r="O665" s="235" t="s">
        <v>794</v>
      </c>
      <c r="P665" s="238">
        <v>1.0</v>
      </c>
      <c r="Q665" s="235" t="s">
        <v>627</v>
      </c>
      <c r="R665" s="238">
        <v>246.66</v>
      </c>
      <c r="S665" s="238">
        <v>12.34</v>
      </c>
      <c r="T665" s="238">
        <v>0.0</v>
      </c>
      <c r="U665" s="238">
        <v>0.0</v>
      </c>
      <c r="V665" s="238">
        <v>0.0</v>
      </c>
      <c r="W665" s="238">
        <v>0.0</v>
      </c>
      <c r="X665" s="235" t="s">
        <v>628</v>
      </c>
      <c r="Z665" s="244"/>
      <c r="AA665" s="244"/>
      <c r="AB665" s="244"/>
      <c r="AC665" s="235" t="s">
        <v>687</v>
      </c>
      <c r="AD665" s="235" t="s">
        <v>666</v>
      </c>
      <c r="AE665" s="238">
        <v>600053.0</v>
      </c>
      <c r="AF665" s="235" t="s">
        <v>631</v>
      </c>
      <c r="AG665" s="244"/>
      <c r="AH665" s="244"/>
      <c r="AI665" s="245"/>
      <c r="AJ665" s="245"/>
      <c r="AK665" s="245"/>
      <c r="AL665" s="245"/>
      <c r="AM665" s="244"/>
      <c r="AN665" s="244"/>
      <c r="AO665" s="238">
        <v>0.0</v>
      </c>
      <c r="AP665" s="238">
        <v>0.0</v>
      </c>
      <c r="AQ665" s="235" t="s">
        <v>632</v>
      </c>
      <c r="AR665" s="243">
        <v>1.68E11</v>
      </c>
      <c r="AS665" s="235" t="s">
        <v>5516</v>
      </c>
      <c r="AT665" s="235" t="s">
        <v>156</v>
      </c>
      <c r="AU665" s="235" t="s">
        <v>634</v>
      </c>
      <c r="AV665" s="246" t="s">
        <v>635</v>
      </c>
      <c r="AW665" s="242"/>
      <c r="AX665" s="242"/>
      <c r="AY665" s="231"/>
      <c r="AZ665" s="231"/>
      <c r="BA665" s="227"/>
      <c r="BB665" s="231"/>
      <c r="BC665" s="227"/>
      <c r="BD665" s="227"/>
      <c r="BE665" s="227"/>
      <c r="BF665" s="227"/>
    </row>
    <row r="666">
      <c r="A666" s="235" t="s">
        <v>6014</v>
      </c>
      <c r="C666" s="235" t="s">
        <v>6015</v>
      </c>
      <c r="D666" s="235" t="s">
        <v>6016</v>
      </c>
      <c r="E666" s="243">
        <v>6.56E13</v>
      </c>
      <c r="F666" s="245"/>
      <c r="G666" s="235" t="s">
        <v>6017</v>
      </c>
      <c r="H666" s="235" t="s">
        <v>6018</v>
      </c>
      <c r="I666" s="235" t="s">
        <v>6018</v>
      </c>
      <c r="J666" s="235" t="s">
        <v>6019</v>
      </c>
      <c r="K666" s="235" t="s">
        <v>6020</v>
      </c>
      <c r="N666" s="235" t="s">
        <v>127</v>
      </c>
      <c r="O666" s="235" t="s">
        <v>794</v>
      </c>
      <c r="P666" s="238">
        <v>1.0</v>
      </c>
      <c r="Q666" s="235" t="s">
        <v>627</v>
      </c>
      <c r="R666" s="238">
        <v>246.67</v>
      </c>
      <c r="S666" s="238">
        <v>12.33</v>
      </c>
      <c r="T666" s="238">
        <v>0.0</v>
      </c>
      <c r="U666" s="238">
        <v>0.0</v>
      </c>
      <c r="V666" s="238">
        <v>0.0</v>
      </c>
      <c r="W666" s="238">
        <v>0.0</v>
      </c>
      <c r="X666" s="235" t="s">
        <v>628</v>
      </c>
      <c r="Z666" s="244"/>
      <c r="AA666" s="244"/>
      <c r="AB666" s="244"/>
      <c r="AC666" s="235" t="s">
        <v>1279</v>
      </c>
      <c r="AD666" s="235" t="s">
        <v>917</v>
      </c>
      <c r="AE666" s="238">
        <v>302017.0</v>
      </c>
      <c r="AF666" s="235" t="s">
        <v>631</v>
      </c>
      <c r="AG666" s="244"/>
      <c r="AH666" s="244"/>
      <c r="AI666" s="245"/>
      <c r="AJ666" s="245"/>
      <c r="AK666" s="245"/>
      <c r="AL666" s="245"/>
      <c r="AM666" s="244"/>
      <c r="AN666" s="244"/>
      <c r="AO666" s="238">
        <v>0.0</v>
      </c>
      <c r="AP666" s="238">
        <v>0.0</v>
      </c>
      <c r="AQ666" s="235" t="s">
        <v>1356</v>
      </c>
      <c r="AR666" s="247" t="s">
        <v>6021</v>
      </c>
      <c r="AS666" s="235" t="s">
        <v>667</v>
      </c>
      <c r="AT666" s="235" t="s">
        <v>13</v>
      </c>
      <c r="AU666" s="235" t="s">
        <v>634</v>
      </c>
      <c r="AV666" s="246" t="s">
        <v>635</v>
      </c>
      <c r="AW666" s="242"/>
      <c r="AX666" s="242"/>
      <c r="AY666" s="231"/>
      <c r="AZ666" s="231"/>
      <c r="BA666" s="227"/>
      <c r="BB666" s="231"/>
      <c r="BC666" s="227"/>
      <c r="BD666" s="227"/>
      <c r="BE666" s="227"/>
      <c r="BF666" s="227"/>
    </row>
    <row r="667">
      <c r="A667" s="235" t="s">
        <v>6022</v>
      </c>
      <c r="C667" s="235" t="s">
        <v>6023</v>
      </c>
      <c r="D667" s="235" t="s">
        <v>6024</v>
      </c>
      <c r="E667" s="243">
        <v>6.56E13</v>
      </c>
      <c r="F667" s="245"/>
      <c r="G667" s="235" t="s">
        <v>6025</v>
      </c>
      <c r="H667" s="235" t="s">
        <v>6026</v>
      </c>
      <c r="I667" s="235" t="s">
        <v>6026</v>
      </c>
      <c r="J667" s="235" t="s">
        <v>6027</v>
      </c>
      <c r="K667" s="235" t="s">
        <v>6028</v>
      </c>
      <c r="N667" s="235" t="s">
        <v>127</v>
      </c>
      <c r="O667" s="235" t="s">
        <v>794</v>
      </c>
      <c r="P667" s="238">
        <v>1.0</v>
      </c>
      <c r="Q667" s="235" t="s">
        <v>627</v>
      </c>
      <c r="R667" s="238">
        <v>246.67</v>
      </c>
      <c r="S667" s="238">
        <v>12.33</v>
      </c>
      <c r="T667" s="238">
        <v>38.1</v>
      </c>
      <c r="U667" s="238">
        <v>1.9</v>
      </c>
      <c r="V667" s="238">
        <v>0.0</v>
      </c>
      <c r="W667" s="238">
        <v>0.0</v>
      </c>
      <c r="X667" s="235" t="s">
        <v>628</v>
      </c>
      <c r="Z667" s="244"/>
      <c r="AA667" s="244"/>
      <c r="AB667" s="244"/>
      <c r="AC667" s="235" t="s">
        <v>891</v>
      </c>
      <c r="AD667" s="235" t="s">
        <v>891</v>
      </c>
      <c r="AE667" s="238">
        <v>605011.0</v>
      </c>
      <c r="AF667" s="235" t="s">
        <v>631</v>
      </c>
      <c r="AG667" s="244"/>
      <c r="AH667" s="244"/>
      <c r="AI667" s="245"/>
      <c r="AJ667" s="245"/>
      <c r="AK667" s="245"/>
      <c r="AL667" s="245"/>
      <c r="AM667" s="244"/>
      <c r="AN667" s="244"/>
      <c r="AO667" s="238">
        <v>0.0</v>
      </c>
      <c r="AP667" s="238">
        <v>-38.1</v>
      </c>
      <c r="AQ667" s="235" t="s">
        <v>632</v>
      </c>
      <c r="AR667" s="243">
        <v>3.71E11</v>
      </c>
      <c r="AS667" s="235" t="s">
        <v>4697</v>
      </c>
      <c r="AT667" s="235" t="s">
        <v>156</v>
      </c>
      <c r="AU667" s="235" t="s">
        <v>634</v>
      </c>
      <c r="AV667" s="246" t="s">
        <v>635</v>
      </c>
      <c r="AW667" s="242"/>
      <c r="AX667" s="242"/>
      <c r="AY667" s="231"/>
      <c r="AZ667" s="231"/>
      <c r="BA667" s="227"/>
      <c r="BB667" s="231"/>
      <c r="BC667" s="227"/>
      <c r="BD667" s="227"/>
      <c r="BE667" s="227"/>
      <c r="BF667" s="227"/>
    </row>
    <row r="668">
      <c r="A668" s="235" t="s">
        <v>6029</v>
      </c>
      <c r="C668" s="235" t="s">
        <v>6030</v>
      </c>
      <c r="D668" s="235" t="s">
        <v>6031</v>
      </c>
      <c r="E668" s="243">
        <v>6.56E13</v>
      </c>
      <c r="F668" s="245"/>
      <c r="G668" s="235" t="s">
        <v>6032</v>
      </c>
      <c r="H668" s="235" t="s">
        <v>6033</v>
      </c>
      <c r="I668" s="235" t="s">
        <v>6034</v>
      </c>
      <c r="J668" s="235" t="s">
        <v>6035</v>
      </c>
      <c r="K668" s="235" t="s">
        <v>6036</v>
      </c>
      <c r="N668" s="235" t="s">
        <v>842</v>
      </c>
      <c r="O668" s="235" t="s">
        <v>843</v>
      </c>
      <c r="P668" s="238">
        <v>1.0</v>
      </c>
      <c r="Q668" s="235" t="s">
        <v>627</v>
      </c>
      <c r="R668" s="238">
        <v>246.66</v>
      </c>
      <c r="S668" s="238">
        <v>12.34</v>
      </c>
      <c r="T668" s="238">
        <v>38.1</v>
      </c>
      <c r="U668" s="238">
        <v>1.9</v>
      </c>
      <c r="V668" s="238">
        <v>0.0</v>
      </c>
      <c r="W668" s="238">
        <v>0.0</v>
      </c>
      <c r="X668" s="235" t="s">
        <v>628</v>
      </c>
      <c r="Z668" s="244"/>
      <c r="AA668" s="244"/>
      <c r="AB668" s="244"/>
      <c r="AC668" s="235" t="s">
        <v>678</v>
      </c>
      <c r="AD668" s="235" t="s">
        <v>679</v>
      </c>
      <c r="AE668" s="238">
        <v>560049.0</v>
      </c>
      <c r="AF668" s="235" t="s">
        <v>631</v>
      </c>
      <c r="AG668" s="244"/>
      <c r="AH668" s="244"/>
      <c r="AI668" s="245"/>
      <c r="AJ668" s="245"/>
      <c r="AK668" s="245"/>
      <c r="AL668" s="245"/>
      <c r="AM668" s="244"/>
      <c r="AN668" s="244"/>
      <c r="AO668" s="238">
        <v>0.0</v>
      </c>
      <c r="AP668" s="238">
        <v>-38.1</v>
      </c>
      <c r="AQ668" s="235" t="s">
        <v>1328</v>
      </c>
      <c r="AR668" s="243">
        <v>1.34E13</v>
      </c>
      <c r="AS668" s="235" t="s">
        <v>2276</v>
      </c>
      <c r="AT668" s="235" t="s">
        <v>9</v>
      </c>
      <c r="AU668" s="235" t="s">
        <v>634</v>
      </c>
      <c r="AV668" s="246" t="s">
        <v>635</v>
      </c>
      <c r="AW668" s="242"/>
      <c r="AX668" s="242"/>
      <c r="AY668" s="231"/>
      <c r="AZ668" s="231"/>
      <c r="BA668" s="227"/>
      <c r="BB668" s="231"/>
      <c r="BC668" s="227"/>
      <c r="BD668" s="227"/>
      <c r="BE668" s="227"/>
      <c r="BF668" s="227"/>
    </row>
    <row r="669">
      <c r="A669" s="235" t="s">
        <v>6037</v>
      </c>
      <c r="C669" s="235" t="s">
        <v>6038</v>
      </c>
      <c r="D669" s="235" t="s">
        <v>6039</v>
      </c>
      <c r="E669" s="243">
        <v>6.55E13</v>
      </c>
      <c r="F669" s="245"/>
      <c r="G669" s="235" t="s">
        <v>6040</v>
      </c>
      <c r="H669" s="235" t="s">
        <v>6041</v>
      </c>
      <c r="I669" s="235" t="s">
        <v>6041</v>
      </c>
      <c r="J669" s="235" t="s">
        <v>6042</v>
      </c>
      <c r="K669" s="235" t="s">
        <v>6043</v>
      </c>
      <c r="N669" s="235" t="s">
        <v>42</v>
      </c>
      <c r="O669" s="235" t="s">
        <v>204</v>
      </c>
      <c r="P669" s="238">
        <v>1.0</v>
      </c>
      <c r="Q669" s="235" t="s">
        <v>627</v>
      </c>
      <c r="R669" s="238">
        <v>237.14</v>
      </c>
      <c r="S669" s="238">
        <v>11.86</v>
      </c>
      <c r="T669" s="238">
        <v>38.1</v>
      </c>
      <c r="U669" s="238">
        <v>1.9</v>
      </c>
      <c r="V669" s="238">
        <v>0.0</v>
      </c>
      <c r="W669" s="238">
        <v>0.0</v>
      </c>
      <c r="X669" s="235" t="s">
        <v>628</v>
      </c>
      <c r="Z669" s="244"/>
      <c r="AA669" s="244"/>
      <c r="AB669" s="244"/>
      <c r="AC669" s="235" t="s">
        <v>3071</v>
      </c>
      <c r="AD669" s="235" t="s">
        <v>666</v>
      </c>
      <c r="AE669" s="238">
        <v>641664.0</v>
      </c>
      <c r="AF669" s="235" t="s">
        <v>631</v>
      </c>
      <c r="AG669" s="244"/>
      <c r="AH669" s="244"/>
      <c r="AI669" s="245"/>
      <c r="AJ669" s="245"/>
      <c r="AK669" s="245"/>
      <c r="AL669" s="245"/>
      <c r="AM669" s="244"/>
      <c r="AN669" s="244"/>
      <c r="AO669" s="238">
        <v>0.0</v>
      </c>
      <c r="AP669" s="238">
        <v>-38.1</v>
      </c>
      <c r="AQ669" s="235" t="s">
        <v>632</v>
      </c>
      <c r="AR669" s="243">
        <v>3.71E11</v>
      </c>
      <c r="AS669" s="235" t="s">
        <v>3284</v>
      </c>
      <c r="AT669" s="235" t="s">
        <v>9</v>
      </c>
      <c r="AU669" s="235" t="s">
        <v>634</v>
      </c>
      <c r="AV669" s="246" t="s">
        <v>635</v>
      </c>
      <c r="AW669" s="242"/>
      <c r="AX669" s="242"/>
      <c r="AY669" s="231"/>
      <c r="AZ669" s="231"/>
      <c r="BA669" s="227"/>
      <c r="BB669" s="231"/>
      <c r="BC669" s="227"/>
      <c r="BD669" s="227"/>
      <c r="BE669" s="227"/>
      <c r="BF669" s="227"/>
    </row>
    <row r="670">
      <c r="A670" s="235" t="s">
        <v>6044</v>
      </c>
      <c r="C670" s="235" t="s">
        <v>6045</v>
      </c>
      <c r="D670" s="235" t="s">
        <v>6046</v>
      </c>
      <c r="E670" s="243">
        <v>6.56E13</v>
      </c>
      <c r="F670" s="245"/>
      <c r="G670" s="235" t="s">
        <v>6047</v>
      </c>
      <c r="H670" s="235" t="s">
        <v>6048</v>
      </c>
      <c r="I670" s="235" t="s">
        <v>6048</v>
      </c>
      <c r="J670" s="235" t="s">
        <v>6049</v>
      </c>
      <c r="K670" s="235" t="s">
        <v>6050</v>
      </c>
      <c r="N670" s="235" t="s">
        <v>127</v>
      </c>
      <c r="O670" s="235" t="s">
        <v>794</v>
      </c>
      <c r="P670" s="238">
        <v>1.0</v>
      </c>
      <c r="Q670" s="235" t="s">
        <v>627</v>
      </c>
      <c r="R670" s="238">
        <v>246.66</v>
      </c>
      <c r="S670" s="238">
        <v>12.34</v>
      </c>
      <c r="T670" s="238">
        <v>0.0</v>
      </c>
      <c r="U670" s="238">
        <v>0.0</v>
      </c>
      <c r="V670" s="238">
        <v>0.0</v>
      </c>
      <c r="W670" s="238">
        <v>0.0</v>
      </c>
      <c r="X670" s="235" t="s">
        <v>628</v>
      </c>
      <c r="Z670" s="244"/>
      <c r="AA670" s="244"/>
      <c r="AB670" s="244"/>
      <c r="AC670" s="235" t="s">
        <v>6051</v>
      </c>
      <c r="AD670" s="235" t="s">
        <v>666</v>
      </c>
      <c r="AE670" s="238">
        <v>628008.0</v>
      </c>
      <c r="AF670" s="235" t="s">
        <v>631</v>
      </c>
      <c r="AG670" s="244"/>
      <c r="AH670" s="244"/>
      <c r="AI670" s="245"/>
      <c r="AJ670" s="245"/>
      <c r="AK670" s="245"/>
      <c r="AL670" s="245"/>
      <c r="AM670" s="244"/>
      <c r="AN670" s="244"/>
      <c r="AO670" s="238">
        <v>0.0</v>
      </c>
      <c r="AP670" s="238">
        <v>0.0</v>
      </c>
      <c r="AQ670" s="235" t="s">
        <v>632</v>
      </c>
      <c r="AR670" s="243">
        <v>3.71E11</v>
      </c>
      <c r="AS670" s="235" t="s">
        <v>4697</v>
      </c>
      <c r="AT670" s="235" t="s">
        <v>155</v>
      </c>
      <c r="AU670" s="235" t="s">
        <v>634</v>
      </c>
      <c r="AV670" s="246" t="s">
        <v>635</v>
      </c>
      <c r="AW670" s="242"/>
      <c r="AX670" s="242"/>
      <c r="AY670" s="231"/>
      <c r="AZ670" s="231"/>
      <c r="BA670" s="227"/>
      <c r="BB670" s="231"/>
      <c r="BC670" s="227"/>
      <c r="BD670" s="227"/>
      <c r="BE670" s="227"/>
      <c r="BF670" s="227"/>
    </row>
    <row r="671">
      <c r="A671" s="235" t="s">
        <v>6052</v>
      </c>
      <c r="C671" s="235" t="s">
        <v>6053</v>
      </c>
      <c r="D671" s="235" t="s">
        <v>6054</v>
      </c>
      <c r="E671" s="243">
        <v>6.56E13</v>
      </c>
      <c r="F671" s="245"/>
      <c r="G671" s="235" t="s">
        <v>6055</v>
      </c>
      <c r="H671" s="235" t="s">
        <v>6056</v>
      </c>
      <c r="I671" s="235" t="s">
        <v>6057</v>
      </c>
      <c r="J671" s="235" t="s">
        <v>6058</v>
      </c>
      <c r="K671" s="235" t="s">
        <v>6059</v>
      </c>
      <c r="N671" s="235" t="s">
        <v>92</v>
      </c>
      <c r="O671" s="235" t="s">
        <v>248</v>
      </c>
      <c r="P671" s="238">
        <v>1.0</v>
      </c>
      <c r="Q671" s="235" t="s">
        <v>627</v>
      </c>
      <c r="R671" s="238">
        <v>246.67</v>
      </c>
      <c r="S671" s="238">
        <v>12.33</v>
      </c>
      <c r="T671" s="238">
        <v>38.1</v>
      </c>
      <c r="U671" s="238">
        <v>1.9</v>
      </c>
      <c r="V671" s="238">
        <v>0.0</v>
      </c>
      <c r="W671" s="238">
        <v>0.0</v>
      </c>
      <c r="X671" s="235" t="s">
        <v>628</v>
      </c>
      <c r="Z671" s="244"/>
      <c r="AA671" s="244"/>
      <c r="AB671" s="244"/>
      <c r="AC671" s="235" t="s">
        <v>6060</v>
      </c>
      <c r="AD671" s="235" t="s">
        <v>666</v>
      </c>
      <c r="AE671" s="238">
        <v>613001.0</v>
      </c>
      <c r="AF671" s="235" t="s">
        <v>631</v>
      </c>
      <c r="AG671" s="244"/>
      <c r="AH671" s="244"/>
      <c r="AI671" s="245"/>
      <c r="AJ671" s="245"/>
      <c r="AK671" s="245"/>
      <c r="AL671" s="245"/>
      <c r="AM671" s="244"/>
      <c r="AN671" s="244"/>
      <c r="AO671" s="238">
        <v>0.0</v>
      </c>
      <c r="AP671" s="238">
        <v>-38.1</v>
      </c>
      <c r="AQ671" s="235" t="s">
        <v>632</v>
      </c>
      <c r="AR671" s="243">
        <v>3.71E11</v>
      </c>
      <c r="AS671" s="235" t="s">
        <v>3284</v>
      </c>
      <c r="AT671" s="235" t="s">
        <v>11</v>
      </c>
      <c r="AU671" s="235" t="s">
        <v>634</v>
      </c>
      <c r="AV671" s="246" t="s">
        <v>635</v>
      </c>
      <c r="AW671" s="242"/>
      <c r="AX671" s="242"/>
      <c r="AY671" s="231"/>
      <c r="AZ671" s="231"/>
      <c r="BA671" s="227"/>
      <c r="BB671" s="231"/>
      <c r="BC671" s="227"/>
      <c r="BD671" s="227"/>
      <c r="BE671" s="227"/>
      <c r="BF671" s="227"/>
    </row>
    <row r="672">
      <c r="A672" s="235" t="s">
        <v>6061</v>
      </c>
      <c r="C672" s="235" t="s">
        <v>6062</v>
      </c>
      <c r="D672" s="235" t="s">
        <v>6063</v>
      </c>
      <c r="E672" s="243">
        <v>6.56E13</v>
      </c>
      <c r="F672" s="245"/>
      <c r="G672" s="235" t="s">
        <v>6064</v>
      </c>
      <c r="H672" s="235" t="s">
        <v>6065</v>
      </c>
      <c r="I672" s="235" t="s">
        <v>6065</v>
      </c>
      <c r="J672" s="235" t="s">
        <v>6066</v>
      </c>
      <c r="K672" s="235" t="s">
        <v>6067</v>
      </c>
      <c r="N672" s="235" t="s">
        <v>842</v>
      </c>
      <c r="O672" s="235" t="s">
        <v>843</v>
      </c>
      <c r="P672" s="238">
        <v>1.0</v>
      </c>
      <c r="Q672" s="235" t="s">
        <v>627</v>
      </c>
      <c r="R672" s="238">
        <v>246.66</v>
      </c>
      <c r="S672" s="238">
        <v>12.34</v>
      </c>
      <c r="T672" s="238">
        <v>0.0</v>
      </c>
      <c r="U672" s="238">
        <v>0.0</v>
      </c>
      <c r="V672" s="238">
        <v>0.0</v>
      </c>
      <c r="W672" s="238">
        <v>0.0</v>
      </c>
      <c r="X672" s="235" t="s">
        <v>628</v>
      </c>
      <c r="Z672" s="244"/>
      <c r="AA672" s="244"/>
      <c r="AB672" s="244"/>
      <c r="AC672" s="235" t="s">
        <v>844</v>
      </c>
      <c r="AD672" s="235" t="s">
        <v>845</v>
      </c>
      <c r="AE672" s="238">
        <v>411057.0</v>
      </c>
      <c r="AF672" s="235" t="s">
        <v>631</v>
      </c>
      <c r="AG672" s="244"/>
      <c r="AH672" s="244"/>
      <c r="AI672" s="245"/>
      <c r="AJ672" s="245"/>
      <c r="AK672" s="245"/>
      <c r="AL672" s="245"/>
      <c r="AM672" s="244"/>
      <c r="AN672" s="244"/>
      <c r="AO672" s="238">
        <v>0.0</v>
      </c>
      <c r="AP672" s="238">
        <v>0.0</v>
      </c>
      <c r="AQ672" s="235" t="s">
        <v>632</v>
      </c>
      <c r="AR672" s="243">
        <v>1.68E11</v>
      </c>
      <c r="AS672" s="235" t="s">
        <v>5516</v>
      </c>
      <c r="AT672" s="235" t="s">
        <v>546</v>
      </c>
      <c r="AU672" s="235" t="s">
        <v>634</v>
      </c>
      <c r="AV672" s="246" t="s">
        <v>635</v>
      </c>
      <c r="AW672" s="242"/>
      <c r="AX672" s="242"/>
      <c r="AY672" s="231"/>
      <c r="AZ672" s="231"/>
      <c r="BA672" s="227"/>
      <c r="BB672" s="231"/>
      <c r="BC672" s="227"/>
      <c r="BD672" s="227"/>
      <c r="BE672" s="227"/>
      <c r="BF672" s="227"/>
    </row>
    <row r="673">
      <c r="A673" s="235" t="s">
        <v>6068</v>
      </c>
      <c r="C673" s="235" t="s">
        <v>6069</v>
      </c>
      <c r="D673" s="235" t="s">
        <v>6070</v>
      </c>
      <c r="E673" s="243">
        <v>6.56E13</v>
      </c>
      <c r="F673" s="245"/>
      <c r="G673" s="235" t="s">
        <v>6071</v>
      </c>
      <c r="H673" s="235" t="s">
        <v>6072</v>
      </c>
      <c r="I673" s="235" t="s">
        <v>6072</v>
      </c>
      <c r="J673" s="235" t="s">
        <v>6073</v>
      </c>
      <c r="K673" s="235" t="s">
        <v>6074</v>
      </c>
      <c r="N673" s="235" t="s">
        <v>154</v>
      </c>
      <c r="O673" s="235" t="s">
        <v>766</v>
      </c>
      <c r="P673" s="238">
        <v>1.0</v>
      </c>
      <c r="Q673" s="235" t="s">
        <v>627</v>
      </c>
      <c r="R673" s="238">
        <v>465.71</v>
      </c>
      <c r="S673" s="238">
        <v>23.29</v>
      </c>
      <c r="T673" s="238">
        <v>38.1</v>
      </c>
      <c r="U673" s="238">
        <v>1.9</v>
      </c>
      <c r="V673" s="238">
        <v>0.0</v>
      </c>
      <c r="W673" s="238">
        <v>0.0</v>
      </c>
      <c r="X673" s="235" t="s">
        <v>628</v>
      </c>
      <c r="Z673" s="244"/>
      <c r="AA673" s="244"/>
      <c r="AB673" s="244"/>
      <c r="AC673" s="235" t="s">
        <v>785</v>
      </c>
      <c r="AD673" s="235" t="s">
        <v>630</v>
      </c>
      <c r="AE673" s="238">
        <v>201002.0</v>
      </c>
      <c r="AF673" s="235" t="s">
        <v>631</v>
      </c>
      <c r="AG673" s="244"/>
      <c r="AH673" s="244"/>
      <c r="AI673" s="245"/>
      <c r="AJ673" s="245"/>
      <c r="AK673" s="245"/>
      <c r="AL673" s="245"/>
      <c r="AM673" s="244"/>
      <c r="AN673" s="244"/>
      <c r="AO673" s="238">
        <v>0.0</v>
      </c>
      <c r="AP673" s="238">
        <v>-38.1</v>
      </c>
      <c r="AQ673" s="235" t="s">
        <v>632</v>
      </c>
      <c r="AR673" s="243">
        <v>3.71E11</v>
      </c>
      <c r="AS673" s="235" t="s">
        <v>4697</v>
      </c>
      <c r="AT673" s="235" t="s">
        <v>13</v>
      </c>
      <c r="AU673" s="235" t="s">
        <v>634</v>
      </c>
      <c r="AV673" s="246" t="s">
        <v>635</v>
      </c>
      <c r="AW673" s="242"/>
      <c r="AX673" s="242"/>
      <c r="AY673" s="231"/>
      <c r="AZ673" s="231"/>
      <c r="BA673" s="227"/>
      <c r="BB673" s="231"/>
      <c r="BC673" s="227"/>
      <c r="BD673" s="227"/>
      <c r="BE673" s="227"/>
      <c r="BF673" s="227"/>
    </row>
    <row r="674">
      <c r="A674" s="235" t="s">
        <v>6075</v>
      </c>
      <c r="C674" s="235" t="s">
        <v>6076</v>
      </c>
      <c r="D674" s="235" t="s">
        <v>6077</v>
      </c>
      <c r="E674" s="243">
        <v>6.56E13</v>
      </c>
      <c r="F674" s="245"/>
      <c r="G674" s="235" t="s">
        <v>6078</v>
      </c>
      <c r="H674" s="235" t="s">
        <v>6079</v>
      </c>
      <c r="I674" s="235" t="s">
        <v>6079</v>
      </c>
      <c r="J674" s="235" t="s">
        <v>6080</v>
      </c>
      <c r="K674" s="235" t="s">
        <v>6081</v>
      </c>
      <c r="N674" s="235" t="s">
        <v>47</v>
      </c>
      <c r="O674" s="235" t="s">
        <v>270</v>
      </c>
      <c r="P674" s="238">
        <v>1.0</v>
      </c>
      <c r="Q674" s="235" t="s">
        <v>627</v>
      </c>
      <c r="R674" s="238">
        <v>237.14</v>
      </c>
      <c r="S674" s="238">
        <v>11.62</v>
      </c>
      <c r="T674" s="238">
        <v>75.24</v>
      </c>
      <c r="U674" s="238">
        <v>3.76</v>
      </c>
      <c r="V674" s="238">
        <v>0.0</v>
      </c>
      <c r="W674" s="238">
        <v>0.0</v>
      </c>
      <c r="X674" s="235" t="s">
        <v>628</v>
      </c>
      <c r="Z674" s="244"/>
      <c r="AA674" s="244"/>
      <c r="AB674" s="244"/>
      <c r="AC674" s="235" t="s">
        <v>814</v>
      </c>
      <c r="AD674" s="235" t="s">
        <v>698</v>
      </c>
      <c r="AE674" s="238">
        <v>500050.0</v>
      </c>
      <c r="AF674" s="235" t="s">
        <v>631</v>
      </c>
      <c r="AG674" s="244"/>
      <c r="AH674" s="244"/>
      <c r="AI674" s="245"/>
      <c r="AJ674" s="245"/>
      <c r="AK674" s="245"/>
      <c r="AL674" s="245"/>
      <c r="AM674" s="244"/>
      <c r="AN674" s="244"/>
      <c r="AO674" s="238">
        <v>-4.74</v>
      </c>
      <c r="AP674" s="238">
        <v>-75.24</v>
      </c>
      <c r="AQ674" s="235" t="s">
        <v>632</v>
      </c>
      <c r="AR674" s="243">
        <v>2.02E11</v>
      </c>
      <c r="AS674" s="235" t="s">
        <v>4697</v>
      </c>
      <c r="AT674" s="235" t="s">
        <v>156</v>
      </c>
      <c r="AU674" s="235" t="s">
        <v>634</v>
      </c>
      <c r="AV674" s="246" t="s">
        <v>635</v>
      </c>
      <c r="AW674" s="242"/>
      <c r="AX674" s="242"/>
      <c r="AY674" s="231"/>
      <c r="AZ674" s="231"/>
      <c r="BA674" s="227"/>
      <c r="BB674" s="231"/>
      <c r="BC674" s="227"/>
      <c r="BD674" s="227"/>
      <c r="BE674" s="227"/>
      <c r="BF674" s="227"/>
    </row>
    <row r="675">
      <c r="A675" s="235" t="s">
        <v>6082</v>
      </c>
      <c r="C675" s="235" t="s">
        <v>6083</v>
      </c>
      <c r="D675" s="235" t="s">
        <v>6084</v>
      </c>
      <c r="E675" s="243">
        <v>6.56E13</v>
      </c>
      <c r="F675" s="245"/>
      <c r="G675" s="235" t="s">
        <v>6085</v>
      </c>
      <c r="H675" s="235" t="s">
        <v>6086</v>
      </c>
      <c r="I675" s="235" t="s">
        <v>6086</v>
      </c>
      <c r="J675" s="235" t="s">
        <v>6087</v>
      </c>
      <c r="K675" s="235" t="s">
        <v>6088</v>
      </c>
      <c r="N675" s="235" t="s">
        <v>726</v>
      </c>
      <c r="O675" s="235" t="s">
        <v>727</v>
      </c>
      <c r="P675" s="238">
        <v>1.0</v>
      </c>
      <c r="Q675" s="235" t="s">
        <v>627</v>
      </c>
      <c r="R675" s="238">
        <v>246.67</v>
      </c>
      <c r="S675" s="238">
        <v>12.33</v>
      </c>
      <c r="T675" s="238">
        <v>0.0</v>
      </c>
      <c r="U675" s="238">
        <v>0.0</v>
      </c>
      <c r="V675" s="238">
        <v>0.0</v>
      </c>
      <c r="W675" s="238">
        <v>0.0</v>
      </c>
      <c r="X675" s="235" t="s">
        <v>628</v>
      </c>
      <c r="Z675" s="244"/>
      <c r="AA675" s="244"/>
      <c r="AB675" s="244"/>
      <c r="AC675" s="235" t="s">
        <v>1728</v>
      </c>
      <c r="AD675" s="235" t="s">
        <v>630</v>
      </c>
      <c r="AE675" s="238">
        <v>221106.0</v>
      </c>
      <c r="AF675" s="235" t="s">
        <v>631</v>
      </c>
      <c r="AG675" s="244"/>
      <c r="AH675" s="244"/>
      <c r="AI675" s="245"/>
      <c r="AJ675" s="245"/>
      <c r="AK675" s="245"/>
      <c r="AL675" s="245"/>
      <c r="AM675" s="244"/>
      <c r="AN675" s="244"/>
      <c r="AO675" s="238">
        <v>0.0</v>
      </c>
      <c r="AP675" s="238">
        <v>0.0</v>
      </c>
      <c r="AQ675" s="235" t="s">
        <v>632</v>
      </c>
      <c r="AR675" s="243">
        <v>2.02E11</v>
      </c>
      <c r="AS675" s="235" t="s">
        <v>4697</v>
      </c>
      <c r="AT675" s="235" t="s">
        <v>14</v>
      </c>
      <c r="AU675" s="235" t="s">
        <v>634</v>
      </c>
      <c r="AV675" s="246" t="s">
        <v>635</v>
      </c>
      <c r="AW675" s="242"/>
      <c r="AX675" s="242"/>
      <c r="AY675" s="231"/>
      <c r="AZ675" s="231"/>
      <c r="BA675" s="227"/>
      <c r="BB675" s="231"/>
      <c r="BC675" s="227"/>
      <c r="BD675" s="227"/>
      <c r="BE675" s="227"/>
      <c r="BF675" s="227"/>
    </row>
    <row r="676">
      <c r="A676" s="235" t="s">
        <v>6089</v>
      </c>
      <c r="C676" s="235" t="s">
        <v>6090</v>
      </c>
      <c r="D676" s="235" t="s">
        <v>6091</v>
      </c>
      <c r="E676" s="243">
        <v>6.56E13</v>
      </c>
      <c r="F676" s="245"/>
      <c r="G676" s="235" t="s">
        <v>6092</v>
      </c>
      <c r="H676" s="235" t="s">
        <v>6093</v>
      </c>
      <c r="I676" s="235" t="s">
        <v>6093</v>
      </c>
      <c r="J676" s="235" t="s">
        <v>6094</v>
      </c>
      <c r="K676" s="235" t="s">
        <v>6095</v>
      </c>
      <c r="N676" s="235" t="s">
        <v>22</v>
      </c>
      <c r="O676" s="235" t="s">
        <v>729</v>
      </c>
      <c r="P676" s="238">
        <v>1.0</v>
      </c>
      <c r="Q676" s="235" t="s">
        <v>627</v>
      </c>
      <c r="R676" s="238">
        <v>360.95</v>
      </c>
      <c r="S676" s="238">
        <v>18.05</v>
      </c>
      <c r="T676" s="238">
        <v>0.0</v>
      </c>
      <c r="U676" s="238">
        <v>0.0</v>
      </c>
      <c r="V676" s="238">
        <v>0.0</v>
      </c>
      <c r="W676" s="238">
        <v>0.0</v>
      </c>
      <c r="X676" s="235" t="s">
        <v>628</v>
      </c>
      <c r="Z676" s="244"/>
      <c r="AA676" s="244"/>
      <c r="AB676" s="244"/>
      <c r="AC676" s="235" t="s">
        <v>6096</v>
      </c>
      <c r="AD676" s="235" t="s">
        <v>6097</v>
      </c>
      <c r="AE676" s="238">
        <v>737126.0</v>
      </c>
      <c r="AF676" s="235" t="s">
        <v>631</v>
      </c>
      <c r="AG676" s="244"/>
      <c r="AH676" s="244"/>
      <c r="AI676" s="245"/>
      <c r="AJ676" s="245"/>
      <c r="AK676" s="245"/>
      <c r="AL676" s="245"/>
      <c r="AM676" s="244"/>
      <c r="AN676" s="244"/>
      <c r="AO676" s="238">
        <v>0.0</v>
      </c>
      <c r="AP676" s="238">
        <v>0.0</v>
      </c>
      <c r="AQ676" s="235" t="s">
        <v>632</v>
      </c>
      <c r="AR676" s="243">
        <v>3.71E11</v>
      </c>
      <c r="AS676" s="235" t="s">
        <v>667</v>
      </c>
      <c r="AT676" s="235" t="s">
        <v>533</v>
      </c>
      <c r="AU676" s="235" t="s">
        <v>634</v>
      </c>
      <c r="AV676" s="246" t="s">
        <v>635</v>
      </c>
      <c r="AW676" s="242"/>
      <c r="AX676" s="242"/>
      <c r="AY676" s="231"/>
      <c r="AZ676" s="231"/>
      <c r="BA676" s="227"/>
      <c r="BB676" s="231"/>
      <c r="BC676" s="227"/>
      <c r="BD676" s="227"/>
      <c r="BE676" s="227"/>
      <c r="BF676" s="227"/>
    </row>
    <row r="677">
      <c r="A677" s="235" t="s">
        <v>6098</v>
      </c>
      <c r="C677" s="235" t="s">
        <v>6099</v>
      </c>
      <c r="D677" s="235" t="s">
        <v>6100</v>
      </c>
      <c r="E677" s="243">
        <v>6.56E13</v>
      </c>
      <c r="F677" s="245"/>
      <c r="G677" s="235" t="s">
        <v>6101</v>
      </c>
      <c r="H677" s="235" t="s">
        <v>6102</v>
      </c>
      <c r="I677" s="235" t="s">
        <v>6103</v>
      </c>
      <c r="J677" s="235" t="s">
        <v>6104</v>
      </c>
      <c r="K677" s="235" t="s">
        <v>6105</v>
      </c>
      <c r="N677" s="235" t="s">
        <v>42</v>
      </c>
      <c r="O677" s="235" t="s">
        <v>204</v>
      </c>
      <c r="P677" s="238">
        <v>1.0</v>
      </c>
      <c r="Q677" s="235" t="s">
        <v>627</v>
      </c>
      <c r="R677" s="238">
        <v>237.14</v>
      </c>
      <c r="S677" s="238">
        <v>11.62</v>
      </c>
      <c r="T677" s="238">
        <v>0.0</v>
      </c>
      <c r="U677" s="238">
        <v>0.0</v>
      </c>
      <c r="V677" s="238">
        <v>0.0</v>
      </c>
      <c r="W677" s="238">
        <v>0.0</v>
      </c>
      <c r="X677" s="235" t="s">
        <v>628</v>
      </c>
      <c r="Z677" s="244"/>
      <c r="AA677" s="244"/>
      <c r="AB677" s="244"/>
      <c r="AC677" s="235" t="s">
        <v>6106</v>
      </c>
      <c r="AD677" s="235" t="s">
        <v>833</v>
      </c>
      <c r="AE677" s="238">
        <v>521101.0</v>
      </c>
      <c r="AF677" s="235" t="s">
        <v>631</v>
      </c>
      <c r="AG677" s="244"/>
      <c r="AH677" s="244"/>
      <c r="AI677" s="245"/>
      <c r="AJ677" s="245"/>
      <c r="AK677" s="245"/>
      <c r="AL677" s="245"/>
      <c r="AM677" s="244"/>
      <c r="AN677" s="244"/>
      <c r="AO677" s="238">
        <v>-4.74</v>
      </c>
      <c r="AP677" s="238">
        <v>0.0</v>
      </c>
      <c r="AQ677" s="235" t="s">
        <v>632</v>
      </c>
      <c r="AR677" s="243">
        <v>1.68E11</v>
      </c>
      <c r="AS677" s="235" t="s">
        <v>4697</v>
      </c>
      <c r="AT677" s="235" t="s">
        <v>156</v>
      </c>
      <c r="AU677" s="235" t="s">
        <v>634</v>
      </c>
      <c r="AV677" s="246" t="s">
        <v>635</v>
      </c>
      <c r="AW677" s="242"/>
      <c r="AX677" s="242"/>
      <c r="AY677" s="231"/>
      <c r="AZ677" s="231"/>
      <c r="BA677" s="227"/>
      <c r="BB677" s="231"/>
      <c r="BC677" s="227"/>
      <c r="BD677" s="227"/>
      <c r="BE677" s="227"/>
      <c r="BF677" s="227"/>
    </row>
    <row r="678">
      <c r="A678" s="235" t="s">
        <v>6107</v>
      </c>
      <c r="C678" s="235" t="s">
        <v>6108</v>
      </c>
      <c r="D678" s="235" t="s">
        <v>6109</v>
      </c>
      <c r="E678" s="243">
        <v>6.56E13</v>
      </c>
      <c r="F678" s="245"/>
      <c r="G678" s="235" t="s">
        <v>6110</v>
      </c>
      <c r="H678" s="235" t="s">
        <v>6111</v>
      </c>
      <c r="I678" s="235" t="s">
        <v>6111</v>
      </c>
      <c r="J678" s="235" t="s">
        <v>6112</v>
      </c>
      <c r="K678" s="235" t="s">
        <v>2210</v>
      </c>
      <c r="N678" s="235" t="s">
        <v>82</v>
      </c>
      <c r="O678" s="235" t="s">
        <v>889</v>
      </c>
      <c r="P678" s="238">
        <v>1.0</v>
      </c>
      <c r="Q678" s="235" t="s">
        <v>627</v>
      </c>
      <c r="R678" s="238">
        <v>242.86</v>
      </c>
      <c r="S678" s="238">
        <v>12.14</v>
      </c>
      <c r="T678" s="238">
        <v>0.0</v>
      </c>
      <c r="U678" s="238">
        <v>0.0</v>
      </c>
      <c r="V678" s="238">
        <v>0.0</v>
      </c>
      <c r="W678" s="238">
        <v>0.0</v>
      </c>
      <c r="X678" s="235" t="s">
        <v>628</v>
      </c>
      <c r="Z678" s="244"/>
      <c r="AA678" s="244"/>
      <c r="AB678" s="244"/>
      <c r="AC678" s="235" t="s">
        <v>1604</v>
      </c>
      <c r="AD678" s="235" t="s">
        <v>845</v>
      </c>
      <c r="AE678" s="238">
        <v>400072.0</v>
      </c>
      <c r="AF678" s="235" t="s">
        <v>631</v>
      </c>
      <c r="AG678" s="244"/>
      <c r="AH678" s="244"/>
      <c r="AI678" s="245"/>
      <c r="AJ678" s="245"/>
      <c r="AK678" s="245"/>
      <c r="AL678" s="245"/>
      <c r="AM678" s="244"/>
      <c r="AN678" s="244"/>
      <c r="AO678" s="238">
        <v>0.0</v>
      </c>
      <c r="AP678" s="238">
        <v>0.0</v>
      </c>
      <c r="AQ678" s="235" t="s">
        <v>632</v>
      </c>
      <c r="AR678" s="243">
        <v>3.71E11</v>
      </c>
      <c r="AS678" s="235" t="s">
        <v>4697</v>
      </c>
      <c r="AT678" s="235" t="s">
        <v>16</v>
      </c>
      <c r="AU678" s="235" t="s">
        <v>634</v>
      </c>
      <c r="AV678" s="246" t="s">
        <v>635</v>
      </c>
      <c r="AW678" s="242"/>
      <c r="AX678" s="242"/>
      <c r="AY678" s="231"/>
      <c r="AZ678" s="231"/>
      <c r="BA678" s="227"/>
      <c r="BB678" s="231"/>
      <c r="BC678" s="227"/>
      <c r="BD678" s="227"/>
      <c r="BE678" s="227"/>
      <c r="BF678" s="227"/>
    </row>
    <row r="679">
      <c r="A679" s="235" t="s">
        <v>6113</v>
      </c>
      <c r="C679" s="235" t="s">
        <v>6114</v>
      </c>
      <c r="D679" s="235" t="s">
        <v>6115</v>
      </c>
      <c r="E679" s="243">
        <v>6.56E13</v>
      </c>
      <c r="F679" s="245"/>
      <c r="G679" s="235" t="s">
        <v>6116</v>
      </c>
      <c r="H679" s="235" t="s">
        <v>6117</v>
      </c>
      <c r="I679" s="235" t="s">
        <v>6117</v>
      </c>
      <c r="J679" s="235" t="s">
        <v>6118</v>
      </c>
      <c r="K679" s="235" t="s">
        <v>6119</v>
      </c>
      <c r="N679" s="235" t="s">
        <v>42</v>
      </c>
      <c r="O679" s="235" t="s">
        <v>204</v>
      </c>
      <c r="P679" s="238">
        <v>1.0</v>
      </c>
      <c r="Q679" s="235" t="s">
        <v>627</v>
      </c>
      <c r="R679" s="238">
        <v>237.14</v>
      </c>
      <c r="S679" s="238">
        <v>11.86</v>
      </c>
      <c r="T679" s="238">
        <v>38.1</v>
      </c>
      <c r="U679" s="238">
        <v>1.9</v>
      </c>
      <c r="V679" s="238">
        <v>0.0</v>
      </c>
      <c r="W679" s="238">
        <v>0.0</v>
      </c>
      <c r="X679" s="235" t="s">
        <v>628</v>
      </c>
      <c r="Z679" s="244"/>
      <c r="AA679" s="244"/>
      <c r="AB679" s="244"/>
      <c r="AC679" s="235" t="s">
        <v>1809</v>
      </c>
      <c r="AD679" s="235" t="s">
        <v>698</v>
      </c>
      <c r="AE679" s="238">
        <v>507002.0</v>
      </c>
      <c r="AF679" s="235" t="s">
        <v>631</v>
      </c>
      <c r="AG679" s="244"/>
      <c r="AH679" s="244"/>
      <c r="AI679" s="245"/>
      <c r="AJ679" s="245"/>
      <c r="AK679" s="245"/>
      <c r="AL679" s="245"/>
      <c r="AM679" s="244"/>
      <c r="AN679" s="244"/>
      <c r="AO679" s="238">
        <v>0.0</v>
      </c>
      <c r="AP679" s="238">
        <v>-38.1</v>
      </c>
      <c r="AQ679" s="235" t="s">
        <v>632</v>
      </c>
      <c r="AR679" s="243">
        <v>3.71E11</v>
      </c>
      <c r="AS679" s="235" t="s">
        <v>2276</v>
      </c>
      <c r="AT679" s="235" t="s">
        <v>17</v>
      </c>
      <c r="AU679" s="235" t="s">
        <v>634</v>
      </c>
      <c r="AV679" s="246" t="s">
        <v>635</v>
      </c>
      <c r="AW679" s="242"/>
      <c r="AX679" s="242"/>
      <c r="AY679" s="231"/>
      <c r="AZ679" s="231"/>
      <c r="BA679" s="227"/>
      <c r="BB679" s="231"/>
      <c r="BC679" s="227"/>
      <c r="BD679" s="227"/>
      <c r="BE679" s="227"/>
      <c r="BF679" s="227"/>
    </row>
    <row r="680">
      <c r="A680" s="235" t="s">
        <v>6120</v>
      </c>
      <c r="C680" s="235" t="s">
        <v>6121</v>
      </c>
      <c r="D680" s="235" t="s">
        <v>6122</v>
      </c>
      <c r="E680" s="243">
        <v>6.56E13</v>
      </c>
      <c r="F680" s="245"/>
      <c r="G680" s="235" t="s">
        <v>6123</v>
      </c>
      <c r="H680" s="235" t="s">
        <v>6124</v>
      </c>
      <c r="I680" s="235" t="s">
        <v>6124</v>
      </c>
      <c r="J680" s="235" t="s">
        <v>6125</v>
      </c>
      <c r="K680" s="235" t="s">
        <v>6126</v>
      </c>
      <c r="N680" s="235" t="s">
        <v>92</v>
      </c>
      <c r="O680" s="235" t="s">
        <v>248</v>
      </c>
      <c r="P680" s="238">
        <v>1.0</v>
      </c>
      <c r="Q680" s="235" t="s">
        <v>627</v>
      </c>
      <c r="R680" s="238">
        <v>246.67</v>
      </c>
      <c r="S680" s="238">
        <v>12.33</v>
      </c>
      <c r="T680" s="238">
        <v>0.0</v>
      </c>
      <c r="U680" s="238">
        <v>0.0</v>
      </c>
      <c r="V680" s="238">
        <v>0.0</v>
      </c>
      <c r="W680" s="238">
        <v>0.0</v>
      </c>
      <c r="X680" s="235" t="s">
        <v>628</v>
      </c>
      <c r="Z680" s="244"/>
      <c r="AA680" s="244"/>
      <c r="AB680" s="244"/>
      <c r="AC680" s="235" t="s">
        <v>6127</v>
      </c>
      <c r="AD680" s="235" t="s">
        <v>645</v>
      </c>
      <c r="AE680" s="238">
        <v>683101.0</v>
      </c>
      <c r="AF680" s="235" t="s">
        <v>631</v>
      </c>
      <c r="AG680" s="244"/>
      <c r="AH680" s="244"/>
      <c r="AI680" s="245"/>
      <c r="AJ680" s="245"/>
      <c r="AK680" s="245"/>
      <c r="AL680" s="245"/>
      <c r="AM680" s="244"/>
      <c r="AN680" s="244"/>
      <c r="AO680" s="238">
        <v>0.0</v>
      </c>
      <c r="AP680" s="238">
        <v>0.0</v>
      </c>
      <c r="AQ680" s="235" t="s">
        <v>632</v>
      </c>
      <c r="AR680" s="243">
        <v>1.68E11</v>
      </c>
      <c r="AS680" s="235" t="s">
        <v>4697</v>
      </c>
      <c r="AT680" s="235" t="s">
        <v>11</v>
      </c>
      <c r="AU680" s="235" t="s">
        <v>634</v>
      </c>
      <c r="AV680" s="246" t="s">
        <v>635</v>
      </c>
      <c r="AW680" s="242"/>
      <c r="AX680" s="242"/>
      <c r="AY680" s="231"/>
      <c r="AZ680" s="231"/>
      <c r="BA680" s="227"/>
      <c r="BB680" s="231"/>
      <c r="BC680" s="227"/>
      <c r="BD680" s="227"/>
      <c r="BE680" s="227"/>
      <c r="BF680" s="227"/>
    </row>
    <row r="681">
      <c r="A681" s="235" t="s">
        <v>6128</v>
      </c>
      <c r="C681" s="235" t="s">
        <v>6129</v>
      </c>
      <c r="D681" s="235" t="s">
        <v>6130</v>
      </c>
      <c r="E681" s="243">
        <v>6.56E13</v>
      </c>
      <c r="F681" s="245"/>
      <c r="G681" s="235" t="s">
        <v>6131</v>
      </c>
      <c r="H681" s="235" t="s">
        <v>6132</v>
      </c>
      <c r="I681" s="235" t="s">
        <v>6132</v>
      </c>
      <c r="J681" s="235" t="s">
        <v>6133</v>
      </c>
      <c r="K681" s="235" t="s">
        <v>6134</v>
      </c>
      <c r="N681" s="235" t="s">
        <v>71</v>
      </c>
      <c r="O681" s="235" t="s">
        <v>240</v>
      </c>
      <c r="P681" s="238">
        <v>1.0</v>
      </c>
      <c r="Q681" s="235" t="s">
        <v>627</v>
      </c>
      <c r="R681" s="238">
        <v>246.67</v>
      </c>
      <c r="S681" s="238">
        <v>12.33</v>
      </c>
      <c r="T681" s="238">
        <v>0.0</v>
      </c>
      <c r="U681" s="238">
        <v>0.0</v>
      </c>
      <c r="V681" s="238">
        <v>0.0</v>
      </c>
      <c r="W681" s="238">
        <v>0.0</v>
      </c>
      <c r="X681" s="235" t="s">
        <v>628</v>
      </c>
      <c r="Z681" s="244"/>
      <c r="AA681" s="244"/>
      <c r="AB681" s="244"/>
      <c r="AC681" s="235" t="s">
        <v>697</v>
      </c>
      <c r="AD681" s="235" t="s">
        <v>698</v>
      </c>
      <c r="AE681" s="238">
        <v>500051.0</v>
      </c>
      <c r="AF681" s="235" t="s">
        <v>631</v>
      </c>
      <c r="AG681" s="244"/>
      <c r="AH681" s="244"/>
      <c r="AI681" s="245"/>
      <c r="AJ681" s="245"/>
      <c r="AK681" s="245"/>
      <c r="AL681" s="245"/>
      <c r="AM681" s="244"/>
      <c r="AN681" s="244"/>
      <c r="AO681" s="238">
        <v>0.0</v>
      </c>
      <c r="AP681" s="238">
        <v>0.0</v>
      </c>
      <c r="AQ681" s="235" t="s">
        <v>632</v>
      </c>
      <c r="AR681" s="243">
        <v>1.68E11</v>
      </c>
      <c r="AS681" s="235" t="s">
        <v>4697</v>
      </c>
      <c r="AT681" s="235" t="s">
        <v>9</v>
      </c>
      <c r="AU681" s="235" t="s">
        <v>634</v>
      </c>
      <c r="AV681" s="246" t="s">
        <v>635</v>
      </c>
      <c r="AW681" s="242"/>
      <c r="AX681" s="242"/>
      <c r="AY681" s="231"/>
      <c r="AZ681" s="231"/>
      <c r="BA681" s="227"/>
      <c r="BB681" s="231"/>
      <c r="BC681" s="227"/>
      <c r="BD681" s="227"/>
      <c r="BE681" s="227"/>
      <c r="BF681" s="227"/>
    </row>
    <row r="682">
      <c r="A682" s="235" t="s">
        <v>6135</v>
      </c>
      <c r="C682" s="235" t="s">
        <v>6136</v>
      </c>
      <c r="D682" s="235" t="s">
        <v>6137</v>
      </c>
      <c r="E682" s="243">
        <v>6.56E13</v>
      </c>
      <c r="F682" s="245"/>
      <c r="G682" s="235" t="s">
        <v>6138</v>
      </c>
      <c r="H682" s="235" t="s">
        <v>6139</v>
      </c>
      <c r="I682" s="235" t="s">
        <v>6139</v>
      </c>
      <c r="J682" s="235" t="s">
        <v>6140</v>
      </c>
      <c r="K682" s="235" t="s">
        <v>6141</v>
      </c>
      <c r="N682" s="235" t="s">
        <v>541</v>
      </c>
      <c r="O682" s="235" t="s">
        <v>664</v>
      </c>
      <c r="P682" s="238">
        <v>1.0</v>
      </c>
      <c r="Q682" s="235" t="s">
        <v>627</v>
      </c>
      <c r="R682" s="238">
        <v>668.64</v>
      </c>
      <c r="S682" s="238">
        <v>120.36</v>
      </c>
      <c r="T682" s="238">
        <v>0.0</v>
      </c>
      <c r="U682" s="238">
        <v>0.0</v>
      </c>
      <c r="V682" s="238">
        <v>0.0</v>
      </c>
      <c r="W682" s="238">
        <v>0.0</v>
      </c>
      <c r="X682" s="235" t="s">
        <v>628</v>
      </c>
      <c r="Z682" s="244"/>
      <c r="AA682" s="244"/>
      <c r="AB682" s="244"/>
      <c r="AC682" s="235" t="s">
        <v>6142</v>
      </c>
      <c r="AD682" s="235" t="s">
        <v>645</v>
      </c>
      <c r="AE682" s="238">
        <v>682037.0</v>
      </c>
      <c r="AF682" s="235" t="s">
        <v>631</v>
      </c>
      <c r="AG682" s="244"/>
      <c r="AH682" s="244"/>
      <c r="AI682" s="245"/>
      <c r="AJ682" s="245"/>
      <c r="AK682" s="245"/>
      <c r="AL682" s="245"/>
      <c r="AM682" s="244"/>
      <c r="AN682" s="244"/>
      <c r="AO682" s="238">
        <v>0.0</v>
      </c>
      <c r="AP682" s="238">
        <v>0.0</v>
      </c>
      <c r="AQ682" s="235" t="s">
        <v>632</v>
      </c>
      <c r="AR682" s="243">
        <v>3.71E11</v>
      </c>
      <c r="AS682" s="235" t="s">
        <v>4697</v>
      </c>
      <c r="AT682" s="235" t="s">
        <v>155</v>
      </c>
      <c r="AU682" s="235" t="s">
        <v>634</v>
      </c>
      <c r="AV682" s="246" t="s">
        <v>635</v>
      </c>
      <c r="AW682" s="242"/>
      <c r="AX682" s="242"/>
      <c r="AY682" s="231"/>
      <c r="AZ682" s="231"/>
      <c r="BA682" s="227"/>
      <c r="BB682" s="231"/>
      <c r="BC682" s="227"/>
      <c r="BD682" s="227"/>
      <c r="BE682" s="227"/>
      <c r="BF682" s="227"/>
    </row>
    <row r="683">
      <c r="A683" s="235" t="s">
        <v>6143</v>
      </c>
      <c r="C683" s="235" t="s">
        <v>6144</v>
      </c>
      <c r="D683" s="235" t="s">
        <v>6145</v>
      </c>
      <c r="E683" s="243">
        <v>6.56E13</v>
      </c>
      <c r="F683" s="245"/>
      <c r="G683" s="235" t="s">
        <v>6146</v>
      </c>
      <c r="H683" s="235" t="s">
        <v>6147</v>
      </c>
      <c r="I683" s="235" t="s">
        <v>6147</v>
      </c>
      <c r="J683" s="235" t="s">
        <v>6148</v>
      </c>
      <c r="K683" s="235" t="s">
        <v>6149</v>
      </c>
      <c r="N683" s="235" t="s">
        <v>154</v>
      </c>
      <c r="O683" s="235" t="s">
        <v>766</v>
      </c>
      <c r="P683" s="238">
        <v>1.0</v>
      </c>
      <c r="Q683" s="235" t="s">
        <v>627</v>
      </c>
      <c r="R683" s="238">
        <v>465.71</v>
      </c>
      <c r="S683" s="238">
        <v>23.29</v>
      </c>
      <c r="T683" s="238">
        <v>0.0</v>
      </c>
      <c r="U683" s="238">
        <v>0.0</v>
      </c>
      <c r="V683" s="238">
        <v>0.0</v>
      </c>
      <c r="W683" s="238">
        <v>0.0</v>
      </c>
      <c r="X683" s="235" t="s">
        <v>628</v>
      </c>
      <c r="Z683" s="244"/>
      <c r="AA683" s="244"/>
      <c r="AB683" s="244"/>
      <c r="AC683" s="235" t="s">
        <v>697</v>
      </c>
      <c r="AD683" s="235" t="s">
        <v>698</v>
      </c>
      <c r="AE683" s="238">
        <v>500062.0</v>
      </c>
      <c r="AF683" s="235" t="s">
        <v>631</v>
      </c>
      <c r="AG683" s="244"/>
      <c r="AH683" s="244"/>
      <c r="AI683" s="245"/>
      <c r="AJ683" s="245"/>
      <c r="AK683" s="245"/>
      <c r="AL683" s="245"/>
      <c r="AM683" s="244"/>
      <c r="AN683" s="244"/>
      <c r="AO683" s="238">
        <v>0.0</v>
      </c>
      <c r="AP683" s="238">
        <v>0.0</v>
      </c>
      <c r="AQ683" s="235" t="s">
        <v>632</v>
      </c>
      <c r="AR683" s="243">
        <v>1.68E11</v>
      </c>
      <c r="AS683" s="235" t="s">
        <v>4697</v>
      </c>
      <c r="AT683" s="235" t="s">
        <v>9</v>
      </c>
      <c r="AU683" s="235" t="s">
        <v>634</v>
      </c>
      <c r="AV683" s="246" t="s">
        <v>635</v>
      </c>
      <c r="AW683" s="242"/>
      <c r="AX683" s="242"/>
      <c r="AY683" s="231"/>
      <c r="AZ683" s="231"/>
      <c r="BA683" s="227"/>
      <c r="BB683" s="231"/>
      <c r="BC683" s="227"/>
      <c r="BD683" s="227"/>
      <c r="BE683" s="227"/>
      <c r="BF683" s="227"/>
    </row>
    <row r="684">
      <c r="A684" s="235" t="s">
        <v>6150</v>
      </c>
      <c r="C684" s="235" t="s">
        <v>6151</v>
      </c>
      <c r="D684" s="235" t="s">
        <v>6152</v>
      </c>
      <c r="E684" s="243">
        <v>6.56E13</v>
      </c>
      <c r="F684" s="245"/>
      <c r="G684" s="235" t="s">
        <v>6153</v>
      </c>
      <c r="H684" s="235" t="s">
        <v>6154</v>
      </c>
      <c r="I684" s="235" t="s">
        <v>6154</v>
      </c>
      <c r="J684" s="235" t="s">
        <v>6155</v>
      </c>
      <c r="K684" s="235" t="s">
        <v>6156</v>
      </c>
      <c r="N684" s="235" t="s">
        <v>842</v>
      </c>
      <c r="O684" s="235" t="s">
        <v>843</v>
      </c>
      <c r="P684" s="238">
        <v>1.0</v>
      </c>
      <c r="Q684" s="235" t="s">
        <v>627</v>
      </c>
      <c r="R684" s="238">
        <v>246.66</v>
      </c>
      <c r="S684" s="238">
        <v>12.34</v>
      </c>
      <c r="T684" s="238">
        <v>75.24</v>
      </c>
      <c r="U684" s="238">
        <v>3.76</v>
      </c>
      <c r="V684" s="238">
        <v>0.0</v>
      </c>
      <c r="W684" s="238">
        <v>0.0</v>
      </c>
      <c r="X684" s="235" t="s">
        <v>628</v>
      </c>
      <c r="Z684" s="244"/>
      <c r="AA684" s="244"/>
      <c r="AB684" s="244"/>
      <c r="AC684" s="235" t="s">
        <v>1382</v>
      </c>
      <c r="AD684" s="235" t="s">
        <v>679</v>
      </c>
      <c r="AE684" s="238">
        <v>590016.0</v>
      </c>
      <c r="AF684" s="235" t="s">
        <v>631</v>
      </c>
      <c r="AG684" s="244"/>
      <c r="AH684" s="244"/>
      <c r="AI684" s="245"/>
      <c r="AJ684" s="245"/>
      <c r="AK684" s="245"/>
      <c r="AL684" s="245"/>
      <c r="AM684" s="244"/>
      <c r="AN684" s="244"/>
      <c r="AO684" s="238">
        <v>0.0</v>
      </c>
      <c r="AP684" s="238">
        <v>-75.24</v>
      </c>
      <c r="AQ684" s="235" t="s">
        <v>632</v>
      </c>
      <c r="AR684" s="243">
        <v>1.68E11</v>
      </c>
      <c r="AS684" s="235" t="s">
        <v>4697</v>
      </c>
      <c r="AT684" s="235" t="s">
        <v>9</v>
      </c>
      <c r="AU684" s="235" t="s">
        <v>634</v>
      </c>
      <c r="AV684" s="246" t="s">
        <v>635</v>
      </c>
      <c r="AW684" s="242"/>
      <c r="AX684" s="242"/>
      <c r="AY684" s="231"/>
      <c r="AZ684" s="231"/>
      <c r="BA684" s="227"/>
      <c r="BB684" s="231"/>
      <c r="BC684" s="227"/>
      <c r="BD684" s="227"/>
      <c r="BE684" s="227"/>
      <c r="BF684" s="227"/>
    </row>
    <row r="685">
      <c r="A685" s="235" t="s">
        <v>6157</v>
      </c>
      <c r="C685" s="235" t="s">
        <v>6158</v>
      </c>
      <c r="D685" s="235" t="s">
        <v>6159</v>
      </c>
      <c r="E685" s="243">
        <v>6.56E13</v>
      </c>
      <c r="F685" s="245"/>
      <c r="G685" s="235" t="s">
        <v>6160</v>
      </c>
      <c r="H685" s="235" t="s">
        <v>6161</v>
      </c>
      <c r="I685" s="235" t="s">
        <v>6161</v>
      </c>
      <c r="J685" s="235" t="s">
        <v>6162</v>
      </c>
      <c r="K685" s="235" t="s">
        <v>6163</v>
      </c>
      <c r="N685" s="235" t="s">
        <v>55</v>
      </c>
      <c r="O685" s="235" t="s">
        <v>244</v>
      </c>
      <c r="P685" s="238">
        <v>1.0</v>
      </c>
      <c r="Q685" s="235" t="s">
        <v>627</v>
      </c>
      <c r="R685" s="238">
        <v>246.66</v>
      </c>
      <c r="S685" s="238">
        <v>12.1</v>
      </c>
      <c r="T685" s="238">
        <v>0.0</v>
      </c>
      <c r="U685" s="238">
        <v>0.0</v>
      </c>
      <c r="V685" s="238">
        <v>0.0</v>
      </c>
      <c r="W685" s="238">
        <v>0.0</v>
      </c>
      <c r="X685" s="235" t="s">
        <v>628</v>
      </c>
      <c r="Z685" s="244"/>
      <c r="AA685" s="244"/>
      <c r="AB685" s="244"/>
      <c r="AC685" s="235" t="s">
        <v>5432</v>
      </c>
      <c r="AD685" s="235" t="s">
        <v>1077</v>
      </c>
      <c r="AE685" s="238">
        <v>382006.0</v>
      </c>
      <c r="AF685" s="235" t="s">
        <v>631</v>
      </c>
      <c r="AG685" s="244"/>
      <c r="AH685" s="244"/>
      <c r="AI685" s="245"/>
      <c r="AJ685" s="245"/>
      <c r="AK685" s="245"/>
      <c r="AL685" s="245"/>
      <c r="AM685" s="244"/>
      <c r="AN685" s="244"/>
      <c r="AO685" s="238">
        <v>-4.94</v>
      </c>
      <c r="AP685" s="238">
        <v>0.0</v>
      </c>
      <c r="AQ685" s="235" t="s">
        <v>632</v>
      </c>
      <c r="AR685" s="243">
        <v>1.68E11</v>
      </c>
      <c r="AS685" s="235" t="s">
        <v>6164</v>
      </c>
      <c r="AT685" s="235" t="s">
        <v>5</v>
      </c>
      <c r="AU685" s="235" t="s">
        <v>634</v>
      </c>
      <c r="AV685" s="246" t="s">
        <v>635</v>
      </c>
      <c r="AW685" s="242"/>
      <c r="AX685" s="242"/>
      <c r="AY685" s="231"/>
      <c r="AZ685" s="231"/>
      <c r="BA685" s="227"/>
      <c r="BB685" s="231"/>
      <c r="BC685" s="227"/>
      <c r="BD685" s="227"/>
      <c r="BE685" s="227"/>
      <c r="BF685" s="227"/>
    </row>
    <row r="686">
      <c r="A686" s="235" t="s">
        <v>6165</v>
      </c>
      <c r="C686" s="235" t="s">
        <v>6166</v>
      </c>
      <c r="D686" s="235" t="s">
        <v>6167</v>
      </c>
      <c r="E686" s="243">
        <v>6.56E13</v>
      </c>
      <c r="F686" s="245"/>
      <c r="G686" s="235" t="s">
        <v>6168</v>
      </c>
      <c r="H686" s="235" t="s">
        <v>6169</v>
      </c>
      <c r="I686" s="235" t="s">
        <v>6169</v>
      </c>
      <c r="J686" s="235" t="s">
        <v>6170</v>
      </c>
      <c r="K686" s="235" t="s">
        <v>6171</v>
      </c>
      <c r="N686" s="235" t="s">
        <v>153</v>
      </c>
      <c r="O686" s="235" t="s">
        <v>390</v>
      </c>
      <c r="P686" s="238">
        <v>1.0</v>
      </c>
      <c r="Q686" s="235" t="s">
        <v>627</v>
      </c>
      <c r="R686" s="238">
        <v>490.68</v>
      </c>
      <c r="S686" s="238">
        <v>88.32</v>
      </c>
      <c r="T686" s="238">
        <v>0.0</v>
      </c>
      <c r="U686" s="238">
        <v>0.0</v>
      </c>
      <c r="V686" s="238">
        <v>0.0</v>
      </c>
      <c r="W686" s="238">
        <v>0.0</v>
      </c>
      <c r="X686" s="235" t="s">
        <v>628</v>
      </c>
      <c r="Z686" s="244"/>
      <c r="AA686" s="244"/>
      <c r="AB686" s="244"/>
      <c r="AC686" s="235" t="s">
        <v>6172</v>
      </c>
      <c r="AD686" s="235" t="s">
        <v>6173</v>
      </c>
      <c r="AE686" s="238">
        <v>396230.0</v>
      </c>
      <c r="AF686" s="235" t="s">
        <v>631</v>
      </c>
      <c r="AG686" s="244"/>
      <c r="AH686" s="244"/>
      <c r="AI686" s="245"/>
      <c r="AJ686" s="245"/>
      <c r="AK686" s="245"/>
      <c r="AL686" s="245"/>
      <c r="AM686" s="244"/>
      <c r="AN686" s="244"/>
      <c r="AO686" s="238">
        <v>0.0</v>
      </c>
      <c r="AP686" s="238">
        <v>0.0</v>
      </c>
      <c r="AQ686" s="235" t="s">
        <v>632</v>
      </c>
      <c r="AR686" s="243">
        <v>3.71E11</v>
      </c>
      <c r="AS686" s="235" t="s">
        <v>2276</v>
      </c>
      <c r="AT686" s="235" t="s">
        <v>5</v>
      </c>
      <c r="AU686" s="235" t="s">
        <v>634</v>
      </c>
      <c r="AV686" s="246" t="s">
        <v>635</v>
      </c>
      <c r="AW686" s="242"/>
      <c r="AX686" s="242"/>
      <c r="AY686" s="231"/>
      <c r="AZ686" s="231"/>
      <c r="BA686" s="227"/>
      <c r="BB686" s="231"/>
      <c r="BC686" s="227"/>
      <c r="BD686" s="227"/>
      <c r="BE686" s="227"/>
      <c r="BF686" s="227"/>
    </row>
    <row r="687">
      <c r="A687" s="235" t="s">
        <v>6174</v>
      </c>
      <c r="C687" s="235" t="s">
        <v>6175</v>
      </c>
      <c r="D687" s="235" t="s">
        <v>6176</v>
      </c>
      <c r="E687" s="243">
        <v>6.56E13</v>
      </c>
      <c r="F687" s="245"/>
      <c r="G687" s="235" t="s">
        <v>6177</v>
      </c>
      <c r="H687" s="235" t="s">
        <v>6178</v>
      </c>
      <c r="I687" s="235" t="s">
        <v>6179</v>
      </c>
      <c r="J687" s="235" t="s">
        <v>6180</v>
      </c>
      <c r="K687" s="235" t="s">
        <v>6181</v>
      </c>
      <c r="N687" s="235" t="s">
        <v>962</v>
      </c>
      <c r="O687" s="235" t="s">
        <v>963</v>
      </c>
      <c r="P687" s="238">
        <v>1.0</v>
      </c>
      <c r="Q687" s="235" t="s">
        <v>627</v>
      </c>
      <c r="R687" s="238">
        <v>246.66</v>
      </c>
      <c r="S687" s="238">
        <v>12.34</v>
      </c>
      <c r="T687" s="238">
        <v>0.0</v>
      </c>
      <c r="U687" s="238">
        <v>0.0</v>
      </c>
      <c r="V687" s="238">
        <v>0.0</v>
      </c>
      <c r="W687" s="238">
        <v>0.0</v>
      </c>
      <c r="X687" s="235" t="s">
        <v>628</v>
      </c>
      <c r="Z687" s="244"/>
      <c r="AA687" s="244"/>
      <c r="AB687" s="244"/>
      <c r="AC687" s="235" t="s">
        <v>6182</v>
      </c>
      <c r="AD687" s="235" t="s">
        <v>845</v>
      </c>
      <c r="AE687" s="238">
        <v>401208.0</v>
      </c>
      <c r="AF687" s="235" t="s">
        <v>631</v>
      </c>
      <c r="AG687" s="244"/>
      <c r="AH687" s="244"/>
      <c r="AI687" s="245"/>
      <c r="AJ687" s="245"/>
      <c r="AK687" s="245"/>
      <c r="AL687" s="245"/>
      <c r="AM687" s="244"/>
      <c r="AN687" s="244"/>
      <c r="AO687" s="238">
        <v>0.0</v>
      </c>
      <c r="AP687" s="238">
        <v>0.0</v>
      </c>
      <c r="AQ687" s="235" t="s">
        <v>632</v>
      </c>
      <c r="AR687" s="243">
        <v>3.71E11</v>
      </c>
      <c r="AS687" s="235" t="s">
        <v>4697</v>
      </c>
      <c r="AT687" s="235" t="s">
        <v>16</v>
      </c>
      <c r="AU687" s="235" t="s">
        <v>634</v>
      </c>
      <c r="AV687" s="246" t="s">
        <v>635</v>
      </c>
      <c r="AW687" s="242"/>
      <c r="AX687" s="242"/>
      <c r="AY687" s="231"/>
      <c r="AZ687" s="231"/>
      <c r="BA687" s="227"/>
      <c r="BB687" s="231"/>
      <c r="BC687" s="227"/>
      <c r="BD687" s="227"/>
      <c r="BE687" s="227"/>
      <c r="BF687" s="227"/>
    </row>
    <row r="688">
      <c r="A688" s="235" t="s">
        <v>6183</v>
      </c>
      <c r="C688" s="235" t="s">
        <v>6184</v>
      </c>
      <c r="D688" s="235" t="s">
        <v>6185</v>
      </c>
      <c r="E688" s="243">
        <v>6.56E13</v>
      </c>
      <c r="F688" s="245"/>
      <c r="G688" s="235" t="s">
        <v>6186</v>
      </c>
      <c r="H688" s="235" t="s">
        <v>6187</v>
      </c>
      <c r="I688" s="235" t="s">
        <v>6187</v>
      </c>
      <c r="J688" s="235" t="s">
        <v>6188</v>
      </c>
      <c r="K688" s="235" t="s">
        <v>6189</v>
      </c>
      <c r="N688" s="235" t="s">
        <v>4</v>
      </c>
      <c r="O688" s="235" t="s">
        <v>1791</v>
      </c>
      <c r="P688" s="238">
        <v>4.0</v>
      </c>
      <c r="Q688" s="235" t="s">
        <v>627</v>
      </c>
      <c r="R688" s="238">
        <v>1062.84</v>
      </c>
      <c r="S688" s="238">
        <v>51.56</v>
      </c>
      <c r="T688" s="238">
        <v>0.0</v>
      </c>
      <c r="U688" s="238">
        <v>0.0</v>
      </c>
      <c r="V688" s="238">
        <v>0.0</v>
      </c>
      <c r="W688" s="238">
        <v>0.0</v>
      </c>
      <c r="X688" s="235" t="s">
        <v>628</v>
      </c>
      <c r="Z688" s="244"/>
      <c r="AA688" s="244"/>
      <c r="AB688" s="244"/>
      <c r="AC688" s="235" t="s">
        <v>2493</v>
      </c>
      <c r="AD688" s="235" t="s">
        <v>833</v>
      </c>
      <c r="AE688" s="238">
        <v>520007.0</v>
      </c>
      <c r="AF688" s="235" t="s">
        <v>631</v>
      </c>
      <c r="AG688" s="244"/>
      <c r="AH688" s="244"/>
      <c r="AI688" s="245"/>
      <c r="AJ688" s="245"/>
      <c r="AK688" s="245"/>
      <c r="AL688" s="245"/>
      <c r="AM688" s="244"/>
      <c r="AN688" s="244"/>
      <c r="AO688" s="238">
        <v>-31.88</v>
      </c>
      <c r="AP688" s="238">
        <v>0.0</v>
      </c>
      <c r="AQ688" s="235" t="s">
        <v>632</v>
      </c>
      <c r="AR688" s="243">
        <v>1.68E11</v>
      </c>
      <c r="AS688" s="235" t="s">
        <v>4697</v>
      </c>
      <c r="AT688" s="235" t="s">
        <v>156</v>
      </c>
      <c r="AU688" s="235" t="s">
        <v>634</v>
      </c>
      <c r="AV688" s="246" t="s">
        <v>635</v>
      </c>
      <c r="AW688" s="242"/>
      <c r="AX688" s="242"/>
      <c r="AY688" s="231"/>
      <c r="AZ688" s="231"/>
      <c r="BA688" s="227"/>
      <c r="BB688" s="231"/>
      <c r="BC688" s="227"/>
      <c r="BD688" s="227"/>
      <c r="BE688" s="227"/>
      <c r="BF688" s="227"/>
    </row>
    <row r="689">
      <c r="A689" s="235" t="s">
        <v>6190</v>
      </c>
      <c r="C689" s="235" t="s">
        <v>6191</v>
      </c>
      <c r="D689" s="235" t="s">
        <v>6192</v>
      </c>
      <c r="E689" s="243">
        <v>6.56E13</v>
      </c>
      <c r="F689" s="245"/>
      <c r="G689" s="235" t="s">
        <v>6193</v>
      </c>
      <c r="H689" s="235" t="s">
        <v>6194</v>
      </c>
      <c r="I689" s="235" t="s">
        <v>6194</v>
      </c>
      <c r="J689" s="235" t="s">
        <v>6195</v>
      </c>
      <c r="K689" s="235" t="s">
        <v>6196</v>
      </c>
      <c r="N689" s="235" t="s">
        <v>138</v>
      </c>
      <c r="O689" s="235" t="s">
        <v>675</v>
      </c>
      <c r="P689" s="238">
        <v>1.0</v>
      </c>
      <c r="Q689" s="235" t="s">
        <v>627</v>
      </c>
      <c r="R689" s="238">
        <v>246.67</v>
      </c>
      <c r="S689" s="238">
        <v>12.33</v>
      </c>
      <c r="T689" s="238">
        <v>0.0</v>
      </c>
      <c r="U689" s="238">
        <v>0.0</v>
      </c>
      <c r="V689" s="238">
        <v>0.0</v>
      </c>
      <c r="W689" s="238">
        <v>0.0</v>
      </c>
      <c r="X689" s="235" t="s">
        <v>628</v>
      </c>
      <c r="Z689" s="244"/>
      <c r="AA689" s="244"/>
      <c r="AB689" s="244"/>
      <c r="AC689" s="235" t="s">
        <v>6197</v>
      </c>
      <c r="AD689" s="235" t="s">
        <v>666</v>
      </c>
      <c r="AE689" s="238">
        <v>641107.0</v>
      </c>
      <c r="AF689" s="235" t="s">
        <v>631</v>
      </c>
      <c r="AG689" s="244"/>
      <c r="AH689" s="244"/>
      <c r="AI689" s="245"/>
      <c r="AJ689" s="245"/>
      <c r="AK689" s="245"/>
      <c r="AL689" s="245"/>
      <c r="AM689" s="244"/>
      <c r="AN689" s="244"/>
      <c r="AO689" s="238">
        <v>0.0</v>
      </c>
      <c r="AP689" s="238">
        <v>0.0</v>
      </c>
      <c r="AQ689" s="235" t="s">
        <v>632</v>
      </c>
      <c r="AR689" s="243">
        <v>1.68E11</v>
      </c>
      <c r="AS689" s="235" t="s">
        <v>4697</v>
      </c>
      <c r="AT689" s="235" t="s">
        <v>9</v>
      </c>
      <c r="AU689" s="235" t="s">
        <v>634</v>
      </c>
      <c r="AV689" s="246" t="s">
        <v>635</v>
      </c>
      <c r="AW689" s="242"/>
      <c r="AX689" s="242"/>
      <c r="AY689" s="231"/>
      <c r="AZ689" s="231"/>
      <c r="BA689" s="227"/>
      <c r="BB689" s="231"/>
      <c r="BC689" s="227"/>
      <c r="BD689" s="227"/>
      <c r="BE689" s="227"/>
      <c r="BF689" s="227"/>
    </row>
    <row r="690">
      <c r="A690" s="235" t="s">
        <v>6198</v>
      </c>
      <c r="C690" s="235" t="s">
        <v>6199</v>
      </c>
      <c r="D690" s="235" t="s">
        <v>6200</v>
      </c>
      <c r="E690" s="243">
        <v>6.55E13</v>
      </c>
      <c r="F690" s="245"/>
      <c r="G690" s="235" t="s">
        <v>6201</v>
      </c>
      <c r="H690" s="235" t="s">
        <v>6202</v>
      </c>
      <c r="I690" s="235" t="s">
        <v>6202</v>
      </c>
      <c r="J690" s="235" t="s">
        <v>6203</v>
      </c>
      <c r="K690" s="235" t="s">
        <v>6204</v>
      </c>
      <c r="N690" s="235" t="s">
        <v>51</v>
      </c>
      <c r="O690" s="235" t="s">
        <v>273</v>
      </c>
      <c r="P690" s="238">
        <v>1.0</v>
      </c>
      <c r="Q690" s="235" t="s">
        <v>627</v>
      </c>
      <c r="R690" s="238">
        <v>237.14</v>
      </c>
      <c r="S690" s="238">
        <v>11.86</v>
      </c>
      <c r="T690" s="238">
        <v>38.1</v>
      </c>
      <c r="U690" s="238">
        <v>1.9</v>
      </c>
      <c r="V690" s="238">
        <v>0.0</v>
      </c>
      <c r="W690" s="238">
        <v>0.0</v>
      </c>
      <c r="X690" s="235" t="s">
        <v>628</v>
      </c>
      <c r="Z690" s="244"/>
      <c r="AA690" s="244"/>
      <c r="AB690" s="244"/>
      <c r="AC690" s="235" t="s">
        <v>687</v>
      </c>
      <c r="AD690" s="235" t="s">
        <v>666</v>
      </c>
      <c r="AE690" s="238">
        <v>600002.0</v>
      </c>
      <c r="AF690" s="235" t="s">
        <v>631</v>
      </c>
      <c r="AG690" s="244"/>
      <c r="AH690" s="244"/>
      <c r="AI690" s="245"/>
      <c r="AJ690" s="245"/>
      <c r="AK690" s="245"/>
      <c r="AL690" s="245"/>
      <c r="AM690" s="244"/>
      <c r="AN690" s="244"/>
      <c r="AO690" s="238">
        <v>0.0</v>
      </c>
      <c r="AP690" s="238">
        <v>-38.1</v>
      </c>
      <c r="AQ690" s="235" t="s">
        <v>632</v>
      </c>
      <c r="AR690" s="243">
        <v>3.71E11</v>
      </c>
      <c r="AS690" s="235" t="s">
        <v>4697</v>
      </c>
      <c r="AT690" s="235" t="s">
        <v>156</v>
      </c>
      <c r="AU690" s="235" t="s">
        <v>634</v>
      </c>
      <c r="AV690" s="246" t="s">
        <v>635</v>
      </c>
      <c r="AW690" s="242"/>
      <c r="AX690" s="242"/>
      <c r="AY690" s="231"/>
      <c r="AZ690" s="231"/>
      <c r="BA690" s="227"/>
      <c r="BB690" s="231"/>
      <c r="BC690" s="227"/>
      <c r="BD690" s="227"/>
      <c r="BE690" s="227"/>
      <c r="BF690" s="227"/>
    </row>
    <row r="691">
      <c r="A691" s="235" t="s">
        <v>6205</v>
      </c>
      <c r="C691" s="235" t="s">
        <v>6206</v>
      </c>
      <c r="D691" s="235" t="s">
        <v>6207</v>
      </c>
      <c r="E691" s="243">
        <v>6.56E13</v>
      </c>
      <c r="F691" s="245"/>
      <c r="G691" s="235" t="s">
        <v>6208</v>
      </c>
      <c r="H691" s="235" t="s">
        <v>6209</v>
      </c>
      <c r="I691" s="235" t="s">
        <v>6209</v>
      </c>
      <c r="J691" s="235" t="s">
        <v>6210</v>
      </c>
      <c r="K691" s="235" t="s">
        <v>6211</v>
      </c>
      <c r="N691" s="235" t="s">
        <v>144</v>
      </c>
      <c r="O691" s="235" t="s">
        <v>232</v>
      </c>
      <c r="P691" s="238">
        <v>1.0</v>
      </c>
      <c r="Q691" s="235" t="s">
        <v>627</v>
      </c>
      <c r="R691" s="238">
        <v>665.72</v>
      </c>
      <c r="S691" s="238">
        <v>33.28</v>
      </c>
      <c r="T691" s="238">
        <v>38.1</v>
      </c>
      <c r="U691" s="238">
        <v>1.9</v>
      </c>
      <c r="V691" s="238">
        <v>0.0</v>
      </c>
      <c r="W691" s="238">
        <v>0.0</v>
      </c>
      <c r="X691" s="235" t="s">
        <v>628</v>
      </c>
      <c r="Z691" s="244"/>
      <c r="AA691" s="244"/>
      <c r="AB691" s="244"/>
      <c r="AC691" s="235" t="s">
        <v>1382</v>
      </c>
      <c r="AD691" s="235" t="s">
        <v>679</v>
      </c>
      <c r="AE691" s="238">
        <v>590016.0</v>
      </c>
      <c r="AF691" s="235" t="s">
        <v>631</v>
      </c>
      <c r="AG691" s="244"/>
      <c r="AH691" s="244"/>
      <c r="AI691" s="245"/>
      <c r="AJ691" s="245"/>
      <c r="AK691" s="245"/>
      <c r="AL691" s="245"/>
      <c r="AM691" s="244"/>
      <c r="AN691" s="244"/>
      <c r="AO691" s="238">
        <v>0.0</v>
      </c>
      <c r="AP691" s="238">
        <v>-38.1</v>
      </c>
      <c r="AQ691" s="235" t="s">
        <v>632</v>
      </c>
      <c r="AR691" s="243">
        <v>1.68E11</v>
      </c>
      <c r="AS691" s="235" t="s">
        <v>4697</v>
      </c>
      <c r="AT691" s="235" t="s">
        <v>9</v>
      </c>
      <c r="AU691" s="235" t="s">
        <v>634</v>
      </c>
      <c r="AV691" s="246" t="s">
        <v>635</v>
      </c>
      <c r="AW691" s="242"/>
      <c r="AX691" s="242"/>
      <c r="AY691" s="231"/>
      <c r="AZ691" s="231"/>
      <c r="BA691" s="227"/>
      <c r="BB691" s="231"/>
      <c r="BC691" s="227"/>
      <c r="BD691" s="227"/>
      <c r="BE691" s="227"/>
      <c r="BF691" s="227"/>
    </row>
    <row r="692">
      <c r="A692" s="235" t="s">
        <v>6212</v>
      </c>
      <c r="C692" s="235" t="s">
        <v>6213</v>
      </c>
      <c r="D692" s="235" t="s">
        <v>6214</v>
      </c>
      <c r="E692" s="243">
        <v>6.56E13</v>
      </c>
      <c r="F692" s="245"/>
      <c r="G692" s="235" t="s">
        <v>6215</v>
      </c>
      <c r="H692" s="235" t="s">
        <v>6216</v>
      </c>
      <c r="I692" s="235" t="s">
        <v>6216</v>
      </c>
      <c r="J692" s="235" t="s">
        <v>6217</v>
      </c>
      <c r="K692" s="235" t="s">
        <v>6218</v>
      </c>
      <c r="N692" s="235" t="s">
        <v>92</v>
      </c>
      <c r="O692" s="235" t="s">
        <v>248</v>
      </c>
      <c r="P692" s="238">
        <v>1.0</v>
      </c>
      <c r="Q692" s="235" t="s">
        <v>627</v>
      </c>
      <c r="R692" s="238">
        <v>246.67</v>
      </c>
      <c r="S692" s="238">
        <v>12.33</v>
      </c>
      <c r="T692" s="238">
        <v>38.1</v>
      </c>
      <c r="U692" s="238">
        <v>1.9</v>
      </c>
      <c r="V692" s="238">
        <v>0.0</v>
      </c>
      <c r="W692" s="238">
        <v>0.0</v>
      </c>
      <c r="X692" s="235" t="s">
        <v>628</v>
      </c>
      <c r="Z692" s="244"/>
      <c r="AA692" s="244"/>
      <c r="AB692" s="244"/>
      <c r="AC692" s="235" t="s">
        <v>891</v>
      </c>
      <c r="AD692" s="235" t="s">
        <v>891</v>
      </c>
      <c r="AE692" s="238">
        <v>605110.0</v>
      </c>
      <c r="AF692" s="235" t="s">
        <v>631</v>
      </c>
      <c r="AG692" s="244"/>
      <c r="AH692" s="244"/>
      <c r="AI692" s="245"/>
      <c r="AJ692" s="245"/>
      <c r="AK692" s="245"/>
      <c r="AL692" s="245"/>
      <c r="AM692" s="244"/>
      <c r="AN692" s="244"/>
      <c r="AO692" s="238">
        <v>0.0</v>
      </c>
      <c r="AP692" s="238">
        <v>-38.1</v>
      </c>
      <c r="AQ692" s="235" t="s">
        <v>632</v>
      </c>
      <c r="AR692" s="243">
        <v>3.71E11</v>
      </c>
      <c r="AS692" s="235" t="s">
        <v>4697</v>
      </c>
      <c r="AT692" s="235" t="s">
        <v>156</v>
      </c>
      <c r="AU692" s="235" t="s">
        <v>634</v>
      </c>
      <c r="AV692" s="246" t="s">
        <v>635</v>
      </c>
      <c r="AW692" s="242"/>
      <c r="AX692" s="242"/>
      <c r="AY692" s="231"/>
      <c r="AZ692" s="231"/>
      <c r="BA692" s="227"/>
      <c r="BB692" s="231"/>
      <c r="BC692" s="227"/>
      <c r="BD692" s="227"/>
      <c r="BE692" s="227"/>
      <c r="BF692" s="227"/>
    </row>
    <row r="693">
      <c r="A693" s="235" t="s">
        <v>6219</v>
      </c>
      <c r="C693" s="235" t="s">
        <v>6220</v>
      </c>
      <c r="D693" s="235" t="s">
        <v>6221</v>
      </c>
      <c r="E693" s="243">
        <v>6.56E13</v>
      </c>
      <c r="F693" s="245"/>
      <c r="G693" s="235" t="s">
        <v>6222</v>
      </c>
      <c r="H693" s="235" t="s">
        <v>6223</v>
      </c>
      <c r="I693" s="235" t="s">
        <v>6223</v>
      </c>
      <c r="J693" s="235" t="s">
        <v>6224</v>
      </c>
      <c r="K693" s="235" t="s">
        <v>6225</v>
      </c>
      <c r="N693" s="235" t="s">
        <v>92</v>
      </c>
      <c r="O693" s="235" t="s">
        <v>248</v>
      </c>
      <c r="P693" s="238">
        <v>1.0</v>
      </c>
      <c r="Q693" s="235" t="s">
        <v>627</v>
      </c>
      <c r="R693" s="238">
        <v>246.67</v>
      </c>
      <c r="S693" s="238">
        <v>12.33</v>
      </c>
      <c r="T693" s="238">
        <v>0.0</v>
      </c>
      <c r="U693" s="238">
        <v>0.0</v>
      </c>
      <c r="V693" s="238">
        <v>0.0</v>
      </c>
      <c r="W693" s="238">
        <v>0.0</v>
      </c>
      <c r="X693" s="235" t="s">
        <v>628</v>
      </c>
      <c r="Z693" s="244"/>
      <c r="AA693" s="244"/>
      <c r="AB693" s="244"/>
      <c r="AC693" s="235" t="s">
        <v>6060</v>
      </c>
      <c r="AD693" s="235" t="s">
        <v>666</v>
      </c>
      <c r="AE693" s="238">
        <v>613002.0</v>
      </c>
      <c r="AF693" s="235" t="s">
        <v>631</v>
      </c>
      <c r="AG693" s="244"/>
      <c r="AH693" s="244"/>
      <c r="AI693" s="245"/>
      <c r="AJ693" s="245"/>
      <c r="AK693" s="245"/>
      <c r="AL693" s="245"/>
      <c r="AM693" s="244"/>
      <c r="AN693" s="244"/>
      <c r="AO693" s="238">
        <v>0.0</v>
      </c>
      <c r="AP693" s="238">
        <v>0.0</v>
      </c>
      <c r="AQ693" s="235" t="s">
        <v>632</v>
      </c>
      <c r="AR693" s="243">
        <v>1.68E11</v>
      </c>
      <c r="AS693" s="235" t="s">
        <v>4697</v>
      </c>
      <c r="AT693" s="235" t="s">
        <v>9</v>
      </c>
      <c r="AU693" s="235" t="s">
        <v>634</v>
      </c>
      <c r="AV693" s="246" t="s">
        <v>635</v>
      </c>
      <c r="AW693" s="242"/>
      <c r="AX693" s="242"/>
      <c r="AY693" s="231"/>
      <c r="AZ693" s="231"/>
      <c r="BA693" s="227"/>
      <c r="BB693" s="231"/>
      <c r="BC693" s="227"/>
      <c r="BD693" s="227"/>
      <c r="BE693" s="227"/>
      <c r="BF693" s="227"/>
    </row>
    <row r="694">
      <c r="A694" s="235" t="s">
        <v>6226</v>
      </c>
      <c r="C694" s="235" t="s">
        <v>6227</v>
      </c>
      <c r="D694" s="235" t="s">
        <v>6228</v>
      </c>
      <c r="E694" s="243">
        <v>6.54E13</v>
      </c>
      <c r="F694" s="245"/>
      <c r="G694" s="235" t="s">
        <v>6229</v>
      </c>
      <c r="H694" s="235" t="s">
        <v>6230</v>
      </c>
      <c r="I694" s="235" t="s">
        <v>6231</v>
      </c>
      <c r="J694" s="235" t="s">
        <v>6232</v>
      </c>
      <c r="K694" s="235" t="s">
        <v>6233</v>
      </c>
      <c r="N694" s="235" t="s">
        <v>144</v>
      </c>
      <c r="O694" s="235" t="s">
        <v>232</v>
      </c>
      <c r="P694" s="238">
        <v>1.0</v>
      </c>
      <c r="Q694" s="235" t="s">
        <v>627</v>
      </c>
      <c r="R694" s="238">
        <v>665.72</v>
      </c>
      <c r="S694" s="238">
        <v>32.62</v>
      </c>
      <c r="T694" s="238">
        <v>0.0</v>
      </c>
      <c r="U694" s="238">
        <v>0.0</v>
      </c>
      <c r="V694" s="238">
        <v>0.0</v>
      </c>
      <c r="W694" s="238">
        <v>0.0</v>
      </c>
      <c r="X694" s="235" t="s">
        <v>628</v>
      </c>
      <c r="Z694" s="244"/>
      <c r="AA694" s="244"/>
      <c r="AB694" s="244"/>
      <c r="AC694" s="235" t="s">
        <v>844</v>
      </c>
      <c r="AD694" s="235" t="s">
        <v>845</v>
      </c>
      <c r="AE694" s="238">
        <v>411057.0</v>
      </c>
      <c r="AF694" s="235" t="s">
        <v>631</v>
      </c>
      <c r="AG694" s="244"/>
      <c r="AH694" s="244"/>
      <c r="AI694" s="245"/>
      <c r="AJ694" s="245"/>
      <c r="AK694" s="245"/>
      <c r="AL694" s="245"/>
      <c r="AM694" s="244"/>
      <c r="AN694" s="244"/>
      <c r="AO694" s="238">
        <v>-13.32</v>
      </c>
      <c r="AP694" s="238">
        <v>0.0</v>
      </c>
      <c r="AQ694" s="235" t="s">
        <v>632</v>
      </c>
      <c r="AR694" s="243">
        <v>3.71E11</v>
      </c>
      <c r="AS694" s="235" t="s">
        <v>4697</v>
      </c>
      <c r="AT694" s="235" t="s">
        <v>546</v>
      </c>
      <c r="AU694" s="235" t="s">
        <v>634</v>
      </c>
      <c r="AV694" s="246" t="s">
        <v>635</v>
      </c>
      <c r="AW694" s="242"/>
      <c r="AX694" s="242"/>
      <c r="AY694" s="231"/>
      <c r="AZ694" s="231"/>
      <c r="BA694" s="227"/>
      <c r="BB694" s="231"/>
      <c r="BC694" s="227"/>
      <c r="BD694" s="227"/>
      <c r="BE694" s="227"/>
      <c r="BF694" s="227"/>
    </row>
    <row r="695">
      <c r="A695" s="235" t="s">
        <v>6234</v>
      </c>
      <c r="C695" s="235" t="s">
        <v>6235</v>
      </c>
      <c r="D695" s="235" t="s">
        <v>6236</v>
      </c>
      <c r="E695" s="243">
        <v>6.56E13</v>
      </c>
      <c r="F695" s="245"/>
      <c r="G695" s="235" t="s">
        <v>6237</v>
      </c>
      <c r="H695" s="235" t="s">
        <v>6238</v>
      </c>
      <c r="I695" s="235" t="s">
        <v>6238</v>
      </c>
      <c r="J695" s="235" t="s">
        <v>6239</v>
      </c>
      <c r="K695" s="235" t="s">
        <v>6240</v>
      </c>
      <c r="N695" s="235" t="s">
        <v>54</v>
      </c>
      <c r="O695" s="235" t="s">
        <v>294</v>
      </c>
      <c r="P695" s="238">
        <v>1.0</v>
      </c>
      <c r="Q695" s="235" t="s">
        <v>627</v>
      </c>
      <c r="R695" s="238">
        <v>242.86</v>
      </c>
      <c r="S695" s="238">
        <v>12.14</v>
      </c>
      <c r="T695" s="238">
        <v>0.0</v>
      </c>
      <c r="U695" s="238">
        <v>0.0</v>
      </c>
      <c r="V695" s="238">
        <v>0.0</v>
      </c>
      <c r="W695" s="238">
        <v>0.0</v>
      </c>
      <c r="X695" s="235" t="s">
        <v>628</v>
      </c>
      <c r="Z695" s="244"/>
      <c r="AA695" s="244"/>
      <c r="AB695" s="244"/>
      <c r="AC695" s="235" t="s">
        <v>697</v>
      </c>
      <c r="AD695" s="235" t="s">
        <v>698</v>
      </c>
      <c r="AE695" s="238">
        <v>500084.0</v>
      </c>
      <c r="AF695" s="235" t="s">
        <v>631</v>
      </c>
      <c r="AG695" s="244"/>
      <c r="AH695" s="244"/>
      <c r="AI695" s="245"/>
      <c r="AJ695" s="245"/>
      <c r="AK695" s="245"/>
      <c r="AL695" s="245"/>
      <c r="AM695" s="244"/>
      <c r="AN695" s="244"/>
      <c r="AO695" s="238">
        <v>0.0</v>
      </c>
      <c r="AP695" s="238">
        <v>0.0</v>
      </c>
      <c r="AQ695" s="235" t="s">
        <v>632</v>
      </c>
      <c r="AR695" s="243">
        <v>1.68E11</v>
      </c>
      <c r="AS695" s="235" t="s">
        <v>4697</v>
      </c>
      <c r="AT695" s="235" t="s">
        <v>9</v>
      </c>
      <c r="AU695" s="235" t="s">
        <v>634</v>
      </c>
      <c r="AV695" s="246" t="s">
        <v>635</v>
      </c>
      <c r="AW695" s="242"/>
      <c r="AX695" s="242"/>
      <c r="AY695" s="231"/>
      <c r="AZ695" s="231"/>
      <c r="BA695" s="227"/>
      <c r="BB695" s="231"/>
      <c r="BC695" s="227"/>
      <c r="BD695" s="227"/>
      <c r="BE695" s="227"/>
      <c r="BF695" s="227"/>
    </row>
    <row r="696">
      <c r="A696" s="235" t="s">
        <v>6241</v>
      </c>
      <c r="C696" s="235" t="s">
        <v>6242</v>
      </c>
      <c r="D696" s="235" t="s">
        <v>6243</v>
      </c>
      <c r="E696" s="243">
        <v>6.55E13</v>
      </c>
      <c r="F696" s="245"/>
      <c r="G696" s="235" t="s">
        <v>6244</v>
      </c>
      <c r="H696" s="235" t="s">
        <v>6245</v>
      </c>
      <c r="I696" s="235" t="s">
        <v>6245</v>
      </c>
      <c r="J696" s="235" t="s">
        <v>6246</v>
      </c>
      <c r="K696" s="235" t="s">
        <v>6247</v>
      </c>
      <c r="N696" s="235" t="s">
        <v>92</v>
      </c>
      <c r="O696" s="235" t="s">
        <v>248</v>
      </c>
      <c r="P696" s="238">
        <v>1.0</v>
      </c>
      <c r="Q696" s="235" t="s">
        <v>627</v>
      </c>
      <c r="R696" s="238">
        <v>246.66</v>
      </c>
      <c r="S696" s="238">
        <v>12.34</v>
      </c>
      <c r="T696" s="238">
        <v>38.1</v>
      </c>
      <c r="U696" s="238">
        <v>1.9</v>
      </c>
      <c r="V696" s="238">
        <v>0.0</v>
      </c>
      <c r="W696" s="238">
        <v>0.0</v>
      </c>
      <c r="X696" s="235" t="s">
        <v>628</v>
      </c>
      <c r="Z696" s="244"/>
      <c r="AA696" s="244"/>
      <c r="AB696" s="244"/>
      <c r="AC696" s="235" t="s">
        <v>844</v>
      </c>
      <c r="AD696" s="235" t="s">
        <v>845</v>
      </c>
      <c r="AE696" s="238">
        <v>411046.0</v>
      </c>
      <c r="AF696" s="235" t="s">
        <v>631</v>
      </c>
      <c r="AG696" s="244"/>
      <c r="AH696" s="244"/>
      <c r="AI696" s="245"/>
      <c r="AJ696" s="245"/>
      <c r="AK696" s="245"/>
      <c r="AL696" s="245"/>
      <c r="AM696" s="244"/>
      <c r="AN696" s="244"/>
      <c r="AO696" s="238">
        <v>0.0</v>
      </c>
      <c r="AP696" s="238">
        <v>-38.1</v>
      </c>
      <c r="AQ696" s="235" t="s">
        <v>632</v>
      </c>
      <c r="AR696" s="243">
        <v>3.71E11</v>
      </c>
      <c r="AS696" s="235" t="s">
        <v>4697</v>
      </c>
      <c r="AT696" s="235" t="s">
        <v>546</v>
      </c>
      <c r="AU696" s="235" t="s">
        <v>634</v>
      </c>
      <c r="AV696" s="246" t="s">
        <v>635</v>
      </c>
      <c r="AW696" s="242"/>
      <c r="AX696" s="242"/>
      <c r="AY696" s="231"/>
      <c r="AZ696" s="231"/>
      <c r="BA696" s="227"/>
      <c r="BB696" s="231"/>
      <c r="BC696" s="227"/>
      <c r="BD696" s="227"/>
      <c r="BE696" s="227"/>
      <c r="BF696" s="227"/>
    </row>
    <row r="697">
      <c r="A697" s="235" t="s">
        <v>6248</v>
      </c>
      <c r="C697" s="235" t="s">
        <v>6249</v>
      </c>
      <c r="D697" s="235" t="s">
        <v>6250</v>
      </c>
      <c r="E697" s="243">
        <v>6.56E13</v>
      </c>
      <c r="F697" s="245"/>
      <c r="G697" s="235" t="s">
        <v>6251</v>
      </c>
      <c r="H697" s="235" t="s">
        <v>6252</v>
      </c>
      <c r="I697" s="235" t="s">
        <v>6252</v>
      </c>
      <c r="J697" s="235" t="s">
        <v>6253</v>
      </c>
      <c r="K697" s="235" t="s">
        <v>6254</v>
      </c>
      <c r="N697" s="235" t="s">
        <v>51</v>
      </c>
      <c r="O697" s="235" t="s">
        <v>273</v>
      </c>
      <c r="P697" s="238">
        <v>1.0</v>
      </c>
      <c r="Q697" s="235" t="s">
        <v>627</v>
      </c>
      <c r="R697" s="238">
        <v>237.14</v>
      </c>
      <c r="S697" s="238">
        <v>11.86</v>
      </c>
      <c r="T697" s="238">
        <v>38.1</v>
      </c>
      <c r="U697" s="238">
        <v>1.9</v>
      </c>
      <c r="V697" s="238">
        <v>0.0</v>
      </c>
      <c r="W697" s="238">
        <v>0.0</v>
      </c>
      <c r="X697" s="235" t="s">
        <v>628</v>
      </c>
      <c r="Z697" s="244"/>
      <c r="AA697" s="244"/>
      <c r="AB697" s="244"/>
      <c r="AC697" s="235" t="s">
        <v>687</v>
      </c>
      <c r="AD697" s="235" t="s">
        <v>666</v>
      </c>
      <c r="AE697" s="238">
        <v>600071.0</v>
      </c>
      <c r="AF697" s="235" t="s">
        <v>631</v>
      </c>
      <c r="AG697" s="244"/>
      <c r="AH697" s="244"/>
      <c r="AI697" s="245"/>
      <c r="AJ697" s="245"/>
      <c r="AK697" s="245"/>
      <c r="AL697" s="245"/>
      <c r="AM697" s="244"/>
      <c r="AN697" s="244"/>
      <c r="AO697" s="238">
        <v>0.0</v>
      </c>
      <c r="AP697" s="238">
        <v>-38.1</v>
      </c>
      <c r="AQ697" s="235" t="s">
        <v>632</v>
      </c>
      <c r="AR697" s="243">
        <v>3.71E11</v>
      </c>
      <c r="AS697" s="235" t="s">
        <v>4697</v>
      </c>
      <c r="AT697" s="235" t="s">
        <v>156</v>
      </c>
      <c r="AU697" s="235" t="s">
        <v>634</v>
      </c>
      <c r="AV697" s="246" t="s">
        <v>635</v>
      </c>
      <c r="AW697" s="242"/>
      <c r="AX697" s="242"/>
      <c r="AY697" s="231"/>
      <c r="AZ697" s="231"/>
      <c r="BA697" s="227"/>
      <c r="BB697" s="231"/>
      <c r="BC697" s="227"/>
      <c r="BD697" s="227"/>
      <c r="BE697" s="227"/>
      <c r="BF697" s="227"/>
    </row>
    <row r="698">
      <c r="A698" s="235" t="s">
        <v>6255</v>
      </c>
      <c r="C698" s="235" t="s">
        <v>6256</v>
      </c>
      <c r="D698" s="235" t="s">
        <v>6257</v>
      </c>
      <c r="E698" s="243">
        <v>6.56E13</v>
      </c>
      <c r="F698" s="245"/>
      <c r="G698" s="235" t="s">
        <v>6258</v>
      </c>
      <c r="H698" s="235" t="s">
        <v>6259</v>
      </c>
      <c r="I698" s="235" t="s">
        <v>6259</v>
      </c>
      <c r="J698" s="235" t="s">
        <v>6260</v>
      </c>
      <c r="K698" s="235" t="s">
        <v>6261</v>
      </c>
      <c r="N698" s="235" t="s">
        <v>51</v>
      </c>
      <c r="O698" s="235" t="s">
        <v>273</v>
      </c>
      <c r="P698" s="238">
        <v>1.0</v>
      </c>
      <c r="Q698" s="235" t="s">
        <v>627</v>
      </c>
      <c r="R698" s="238">
        <v>237.14</v>
      </c>
      <c r="S698" s="238">
        <v>11.86</v>
      </c>
      <c r="T698" s="238">
        <v>0.0</v>
      </c>
      <c r="U698" s="238">
        <v>0.0</v>
      </c>
      <c r="V698" s="238">
        <v>0.0</v>
      </c>
      <c r="W698" s="238">
        <v>0.0</v>
      </c>
      <c r="X698" s="235" t="s">
        <v>628</v>
      </c>
      <c r="Z698" s="244"/>
      <c r="AA698" s="244"/>
      <c r="AB698" s="244"/>
      <c r="AC698" s="235" t="s">
        <v>1320</v>
      </c>
      <c r="AD698" s="235" t="s">
        <v>666</v>
      </c>
      <c r="AE698" s="238">
        <v>600110.0</v>
      </c>
      <c r="AF698" s="235" t="s">
        <v>631</v>
      </c>
      <c r="AG698" s="244"/>
      <c r="AH698" s="244"/>
      <c r="AI698" s="245"/>
      <c r="AJ698" s="245"/>
      <c r="AK698" s="245"/>
      <c r="AL698" s="245"/>
      <c r="AM698" s="244"/>
      <c r="AN698" s="244"/>
      <c r="AO698" s="238">
        <v>0.0</v>
      </c>
      <c r="AP698" s="238">
        <v>0.0</v>
      </c>
      <c r="AQ698" s="235" t="s">
        <v>632</v>
      </c>
      <c r="AR698" s="243">
        <v>1.68E11</v>
      </c>
      <c r="AS698" s="235" t="s">
        <v>6164</v>
      </c>
      <c r="AT698" s="235" t="s">
        <v>156</v>
      </c>
      <c r="AU698" s="235" t="s">
        <v>634</v>
      </c>
      <c r="AV698" s="246" t="s">
        <v>635</v>
      </c>
      <c r="AW698" s="242"/>
      <c r="AX698" s="242"/>
      <c r="AY698" s="231"/>
      <c r="AZ698" s="231"/>
      <c r="BA698" s="227"/>
      <c r="BB698" s="231"/>
      <c r="BC698" s="227"/>
      <c r="BD698" s="227"/>
      <c r="BE698" s="227"/>
      <c r="BF698" s="227"/>
    </row>
    <row r="699">
      <c r="A699" s="235" t="s">
        <v>6262</v>
      </c>
      <c r="C699" s="235" t="s">
        <v>6263</v>
      </c>
      <c r="D699" s="235" t="s">
        <v>6264</v>
      </c>
      <c r="E699" s="243">
        <v>6.56E13</v>
      </c>
      <c r="F699" s="245"/>
      <c r="G699" s="235" t="s">
        <v>6265</v>
      </c>
      <c r="H699" s="235" t="s">
        <v>6266</v>
      </c>
      <c r="I699" s="235" t="s">
        <v>6266</v>
      </c>
      <c r="J699" s="235" t="s">
        <v>6267</v>
      </c>
      <c r="K699" s="235" t="s">
        <v>6268</v>
      </c>
      <c r="N699" s="235" t="s">
        <v>541</v>
      </c>
      <c r="O699" s="235" t="s">
        <v>664</v>
      </c>
      <c r="P699" s="238">
        <v>1.0</v>
      </c>
      <c r="Q699" s="235" t="s">
        <v>627</v>
      </c>
      <c r="R699" s="238">
        <v>668.64</v>
      </c>
      <c r="S699" s="238">
        <v>120.36</v>
      </c>
      <c r="T699" s="238">
        <v>0.0</v>
      </c>
      <c r="U699" s="238">
        <v>0.0</v>
      </c>
      <c r="V699" s="238">
        <v>0.0</v>
      </c>
      <c r="W699" s="238">
        <v>0.0</v>
      </c>
      <c r="X699" s="235" t="s">
        <v>628</v>
      </c>
      <c r="Z699" s="244"/>
      <c r="AA699" s="244"/>
      <c r="AB699" s="244"/>
      <c r="AC699" s="235" t="s">
        <v>1851</v>
      </c>
      <c r="AD699" s="235" t="s">
        <v>1077</v>
      </c>
      <c r="AE699" s="238">
        <v>380015.0</v>
      </c>
      <c r="AF699" s="235" t="s">
        <v>631</v>
      </c>
      <c r="AG699" s="244"/>
      <c r="AH699" s="244"/>
      <c r="AI699" s="245"/>
      <c r="AJ699" s="245"/>
      <c r="AK699" s="245"/>
      <c r="AL699" s="245"/>
      <c r="AM699" s="244"/>
      <c r="AN699" s="244"/>
      <c r="AO699" s="238">
        <v>0.0</v>
      </c>
      <c r="AP699" s="238">
        <v>0.0</v>
      </c>
      <c r="AQ699" s="235" t="s">
        <v>632</v>
      </c>
      <c r="AR699" s="243">
        <v>1.68E11</v>
      </c>
      <c r="AS699" s="235" t="s">
        <v>6164</v>
      </c>
      <c r="AT699" s="235" t="s">
        <v>5</v>
      </c>
      <c r="AU699" s="235" t="s">
        <v>634</v>
      </c>
      <c r="AV699" s="246" t="s">
        <v>635</v>
      </c>
      <c r="AW699" s="242"/>
      <c r="AX699" s="242"/>
      <c r="AY699" s="231"/>
      <c r="AZ699" s="231"/>
      <c r="BA699" s="227"/>
      <c r="BB699" s="231"/>
      <c r="BC699" s="227"/>
      <c r="BD699" s="227"/>
      <c r="BE699" s="227"/>
      <c r="BF699" s="227"/>
    </row>
    <row r="700">
      <c r="A700" s="235" t="s">
        <v>6269</v>
      </c>
      <c r="C700" s="235" t="s">
        <v>6270</v>
      </c>
      <c r="D700" s="235" t="s">
        <v>6271</v>
      </c>
      <c r="E700" s="243">
        <v>6.56E13</v>
      </c>
      <c r="F700" s="245"/>
      <c r="G700" s="235" t="s">
        <v>6272</v>
      </c>
      <c r="H700" s="235" t="s">
        <v>6273</v>
      </c>
      <c r="I700" s="235" t="s">
        <v>6273</v>
      </c>
      <c r="J700" s="235" t="s">
        <v>6274</v>
      </c>
      <c r="K700" s="235" t="s">
        <v>6275</v>
      </c>
      <c r="N700" s="235" t="s">
        <v>141</v>
      </c>
      <c r="O700" s="235" t="s">
        <v>342</v>
      </c>
      <c r="P700" s="238">
        <v>1.0</v>
      </c>
      <c r="Q700" s="235" t="s">
        <v>627</v>
      </c>
      <c r="R700" s="238">
        <v>246.67</v>
      </c>
      <c r="S700" s="238">
        <v>12.33</v>
      </c>
      <c r="T700" s="238">
        <v>0.0</v>
      </c>
      <c r="U700" s="238">
        <v>0.0</v>
      </c>
      <c r="V700" s="238">
        <v>0.0</v>
      </c>
      <c r="W700" s="238">
        <v>0.0</v>
      </c>
      <c r="X700" s="235" t="s">
        <v>628</v>
      </c>
      <c r="Z700" s="244"/>
      <c r="AA700" s="244"/>
      <c r="AB700" s="244"/>
      <c r="AC700" s="235" t="s">
        <v>6276</v>
      </c>
      <c r="AD700" s="235" t="s">
        <v>1086</v>
      </c>
      <c r="AE700" s="238">
        <v>140604.0</v>
      </c>
      <c r="AF700" s="235" t="s">
        <v>631</v>
      </c>
      <c r="AG700" s="244"/>
      <c r="AH700" s="244"/>
      <c r="AI700" s="245"/>
      <c r="AJ700" s="245"/>
      <c r="AK700" s="245"/>
      <c r="AL700" s="245"/>
      <c r="AM700" s="244"/>
      <c r="AN700" s="244"/>
      <c r="AO700" s="238">
        <v>0.0</v>
      </c>
      <c r="AP700" s="238">
        <v>0.0</v>
      </c>
      <c r="AQ700" s="235" t="s">
        <v>632</v>
      </c>
      <c r="AR700" s="243">
        <v>1.68E11</v>
      </c>
      <c r="AS700" s="235" t="s">
        <v>4697</v>
      </c>
      <c r="AT700" s="235" t="s">
        <v>14</v>
      </c>
      <c r="AU700" s="235" t="s">
        <v>634</v>
      </c>
      <c r="AV700" s="246" t="s">
        <v>635</v>
      </c>
      <c r="AW700" s="242"/>
      <c r="AX700" s="242"/>
      <c r="AY700" s="231"/>
      <c r="AZ700" s="231"/>
      <c r="BA700" s="227"/>
      <c r="BB700" s="231"/>
      <c r="BC700" s="227"/>
      <c r="BD700" s="227"/>
      <c r="BE700" s="227"/>
      <c r="BF700" s="227"/>
    </row>
    <row r="701">
      <c r="A701" s="235" t="s">
        <v>6277</v>
      </c>
      <c r="C701" s="235" t="s">
        <v>6278</v>
      </c>
      <c r="D701" s="235" t="s">
        <v>6279</v>
      </c>
      <c r="E701" s="243">
        <v>6.56E13</v>
      </c>
      <c r="F701" s="245"/>
      <c r="G701" s="235" t="s">
        <v>6280</v>
      </c>
      <c r="H701" s="235" t="s">
        <v>6281</v>
      </c>
      <c r="I701" s="235" t="s">
        <v>6281</v>
      </c>
      <c r="J701" s="235" t="s">
        <v>6282</v>
      </c>
      <c r="K701" s="235" t="s">
        <v>6283</v>
      </c>
      <c r="N701" s="235" t="s">
        <v>1346</v>
      </c>
      <c r="O701" s="235" t="s">
        <v>1347</v>
      </c>
      <c r="P701" s="238">
        <v>1.0</v>
      </c>
      <c r="Q701" s="235" t="s">
        <v>627</v>
      </c>
      <c r="R701" s="238">
        <v>256.19</v>
      </c>
      <c r="S701" s="238">
        <v>12.81</v>
      </c>
      <c r="T701" s="238">
        <v>0.0</v>
      </c>
      <c r="U701" s="238">
        <v>0.0</v>
      </c>
      <c r="V701" s="238">
        <v>0.0</v>
      </c>
      <c r="W701" s="238">
        <v>0.0</v>
      </c>
      <c r="X701" s="235" t="s">
        <v>628</v>
      </c>
      <c r="Z701" s="244"/>
      <c r="AA701" s="244"/>
      <c r="AB701" s="244"/>
      <c r="AC701" s="235" t="s">
        <v>1531</v>
      </c>
      <c r="AD701" s="235" t="s">
        <v>1151</v>
      </c>
      <c r="AE701" s="238">
        <v>700099.0</v>
      </c>
      <c r="AF701" s="235" t="s">
        <v>631</v>
      </c>
      <c r="AG701" s="244"/>
      <c r="AH701" s="244"/>
      <c r="AI701" s="245"/>
      <c r="AJ701" s="245"/>
      <c r="AK701" s="245"/>
      <c r="AL701" s="245"/>
      <c r="AM701" s="244"/>
      <c r="AN701" s="244"/>
      <c r="AO701" s="238">
        <v>0.0</v>
      </c>
      <c r="AP701" s="238">
        <v>0.0</v>
      </c>
      <c r="AQ701" s="235" t="s">
        <v>632</v>
      </c>
      <c r="AR701" s="243">
        <v>3.71E11</v>
      </c>
      <c r="AS701" s="235" t="s">
        <v>2276</v>
      </c>
      <c r="AT701" s="235" t="s">
        <v>14</v>
      </c>
      <c r="AU701" s="235" t="s">
        <v>634</v>
      </c>
      <c r="AV701" s="246" t="s">
        <v>635</v>
      </c>
      <c r="AW701" s="242"/>
      <c r="AX701" s="242"/>
      <c r="AY701" s="231"/>
      <c r="AZ701" s="231"/>
      <c r="BA701" s="227"/>
      <c r="BB701" s="231"/>
      <c r="BC701" s="227"/>
      <c r="BD701" s="227"/>
      <c r="BE701" s="227"/>
      <c r="BF701" s="227"/>
    </row>
    <row r="702">
      <c r="A702" s="235" t="s">
        <v>6284</v>
      </c>
      <c r="C702" s="235" t="s">
        <v>6285</v>
      </c>
      <c r="D702" s="235" t="s">
        <v>6286</v>
      </c>
      <c r="E702" s="243">
        <v>6.56E13</v>
      </c>
      <c r="F702" s="245"/>
      <c r="G702" s="235" t="s">
        <v>6287</v>
      </c>
      <c r="H702" s="235" t="s">
        <v>6288</v>
      </c>
      <c r="I702" s="235" t="s">
        <v>6288</v>
      </c>
      <c r="J702" s="235" t="s">
        <v>6289</v>
      </c>
      <c r="K702" s="235" t="s">
        <v>6290</v>
      </c>
      <c r="N702" s="235" t="s">
        <v>136</v>
      </c>
      <c r="O702" s="235" t="s">
        <v>256</v>
      </c>
      <c r="P702" s="238">
        <v>1.0</v>
      </c>
      <c r="Q702" s="235" t="s">
        <v>627</v>
      </c>
      <c r="R702" s="238">
        <v>246.67</v>
      </c>
      <c r="S702" s="238">
        <v>12.33</v>
      </c>
      <c r="T702" s="238">
        <v>0.0</v>
      </c>
      <c r="U702" s="238">
        <v>0.0</v>
      </c>
      <c r="V702" s="238">
        <v>0.0</v>
      </c>
      <c r="W702" s="238">
        <v>0.0</v>
      </c>
      <c r="X702" s="235" t="s">
        <v>628</v>
      </c>
      <c r="Z702" s="244"/>
      <c r="AA702" s="244"/>
      <c r="AB702" s="244"/>
      <c r="AC702" s="235" t="s">
        <v>4397</v>
      </c>
      <c r="AD702" s="235" t="s">
        <v>1151</v>
      </c>
      <c r="AE702" s="238">
        <v>700103.0</v>
      </c>
      <c r="AF702" s="235" t="s">
        <v>631</v>
      </c>
      <c r="AG702" s="244"/>
      <c r="AH702" s="244"/>
      <c r="AI702" s="245"/>
      <c r="AJ702" s="245"/>
      <c r="AK702" s="245"/>
      <c r="AL702" s="245"/>
      <c r="AM702" s="244"/>
      <c r="AN702" s="244"/>
      <c r="AO702" s="238">
        <v>0.0</v>
      </c>
      <c r="AP702" s="238">
        <v>0.0</v>
      </c>
      <c r="AQ702" s="235" t="s">
        <v>632</v>
      </c>
      <c r="AR702" s="243">
        <v>2.02E11</v>
      </c>
      <c r="AS702" s="235" t="s">
        <v>4697</v>
      </c>
      <c r="AT702" s="235" t="s">
        <v>14</v>
      </c>
      <c r="AU702" s="235" t="s">
        <v>634</v>
      </c>
      <c r="AV702" s="246" t="s">
        <v>635</v>
      </c>
      <c r="AW702" s="242"/>
      <c r="AX702" s="242"/>
      <c r="AY702" s="231"/>
      <c r="AZ702" s="231"/>
      <c r="BA702" s="227"/>
      <c r="BB702" s="231"/>
      <c r="BC702" s="227"/>
      <c r="BD702" s="227"/>
      <c r="BE702" s="227"/>
      <c r="BF702" s="227"/>
    </row>
    <row r="703">
      <c r="A703" s="235" t="s">
        <v>6291</v>
      </c>
      <c r="C703" s="235" t="s">
        <v>6292</v>
      </c>
      <c r="D703" s="235" t="s">
        <v>6293</v>
      </c>
      <c r="E703" s="243">
        <v>6.56E13</v>
      </c>
      <c r="F703" s="245"/>
      <c r="G703" s="235" t="s">
        <v>6294</v>
      </c>
      <c r="H703" s="235" t="s">
        <v>6295</v>
      </c>
      <c r="I703" s="235" t="s">
        <v>6296</v>
      </c>
      <c r="J703" s="235" t="s">
        <v>6297</v>
      </c>
      <c r="K703" s="235" t="s">
        <v>6298</v>
      </c>
      <c r="N703" s="235" t="s">
        <v>92</v>
      </c>
      <c r="O703" s="235" t="s">
        <v>248</v>
      </c>
      <c r="P703" s="238">
        <v>1.0</v>
      </c>
      <c r="Q703" s="235" t="s">
        <v>627</v>
      </c>
      <c r="R703" s="238">
        <v>246.67</v>
      </c>
      <c r="S703" s="238">
        <v>12.33</v>
      </c>
      <c r="T703" s="238">
        <v>38.1</v>
      </c>
      <c r="U703" s="238">
        <v>1.9</v>
      </c>
      <c r="V703" s="238">
        <v>0.0</v>
      </c>
      <c r="W703" s="238">
        <v>0.0</v>
      </c>
      <c r="X703" s="235" t="s">
        <v>628</v>
      </c>
      <c r="Z703" s="244"/>
      <c r="AA703" s="244"/>
      <c r="AB703" s="244"/>
      <c r="AC703" s="235" t="s">
        <v>6299</v>
      </c>
      <c r="AD703" s="235" t="s">
        <v>1499</v>
      </c>
      <c r="AE703" s="238">
        <v>451881.0</v>
      </c>
      <c r="AF703" s="235" t="s">
        <v>631</v>
      </c>
      <c r="AG703" s="244"/>
      <c r="AH703" s="244"/>
      <c r="AI703" s="245"/>
      <c r="AJ703" s="245"/>
      <c r="AK703" s="245"/>
      <c r="AL703" s="245"/>
      <c r="AM703" s="244"/>
      <c r="AN703" s="244"/>
      <c r="AO703" s="238">
        <v>0.0</v>
      </c>
      <c r="AP703" s="238">
        <v>-38.1</v>
      </c>
      <c r="AQ703" s="235" t="s">
        <v>1328</v>
      </c>
      <c r="AR703" s="243">
        <v>1.34E13</v>
      </c>
      <c r="AS703" s="235" t="s">
        <v>667</v>
      </c>
      <c r="AT703" s="235" t="s">
        <v>16</v>
      </c>
      <c r="AU703" s="235" t="s">
        <v>634</v>
      </c>
      <c r="AV703" s="246" t="s">
        <v>635</v>
      </c>
      <c r="AW703" s="242"/>
      <c r="AX703" s="242"/>
      <c r="AY703" s="231"/>
      <c r="AZ703" s="231"/>
      <c r="BA703" s="227"/>
      <c r="BB703" s="231"/>
      <c r="BC703" s="227"/>
      <c r="BD703" s="227"/>
      <c r="BE703" s="227"/>
      <c r="BF703" s="227"/>
    </row>
    <row r="704">
      <c r="A704" s="235" t="s">
        <v>6300</v>
      </c>
      <c r="C704" s="235" t="s">
        <v>6301</v>
      </c>
      <c r="D704" s="235" t="s">
        <v>6302</v>
      </c>
      <c r="E704" s="243">
        <v>6.56E13</v>
      </c>
      <c r="F704" s="245"/>
      <c r="G704" s="235" t="s">
        <v>6303</v>
      </c>
      <c r="H704" s="235" t="s">
        <v>6304</v>
      </c>
      <c r="I704" s="235" t="s">
        <v>6304</v>
      </c>
      <c r="J704" s="235" t="s">
        <v>6305</v>
      </c>
      <c r="K704" s="235" t="s">
        <v>6306</v>
      </c>
      <c r="N704" s="235" t="s">
        <v>49</v>
      </c>
      <c r="O704" s="235" t="s">
        <v>321</v>
      </c>
      <c r="P704" s="238">
        <v>1.0</v>
      </c>
      <c r="Q704" s="235" t="s">
        <v>627</v>
      </c>
      <c r="R704" s="238">
        <v>237.14</v>
      </c>
      <c r="S704" s="238">
        <v>11.62</v>
      </c>
      <c r="T704" s="238">
        <v>0.0</v>
      </c>
      <c r="U704" s="238">
        <v>0.0</v>
      </c>
      <c r="V704" s="238">
        <v>0.0</v>
      </c>
      <c r="W704" s="238">
        <v>0.0</v>
      </c>
      <c r="X704" s="235" t="s">
        <v>628</v>
      </c>
      <c r="Z704" s="244"/>
      <c r="AA704" s="244"/>
      <c r="AB704" s="244"/>
      <c r="AC704" s="235" t="s">
        <v>6307</v>
      </c>
      <c r="AD704" s="235" t="s">
        <v>881</v>
      </c>
      <c r="AE704" s="238">
        <v>769015.0</v>
      </c>
      <c r="AF704" s="235" t="s">
        <v>631</v>
      </c>
      <c r="AG704" s="244"/>
      <c r="AH704" s="244"/>
      <c r="AI704" s="245"/>
      <c r="AJ704" s="245"/>
      <c r="AK704" s="245"/>
      <c r="AL704" s="245"/>
      <c r="AM704" s="244"/>
      <c r="AN704" s="244"/>
      <c r="AO704" s="238">
        <v>-4.74</v>
      </c>
      <c r="AP704" s="238">
        <v>0.0</v>
      </c>
      <c r="AQ704" s="235" t="s">
        <v>632</v>
      </c>
      <c r="AR704" s="243">
        <v>3.71E11</v>
      </c>
      <c r="AS704" s="235" t="s">
        <v>667</v>
      </c>
      <c r="AT704" s="235" t="s">
        <v>533</v>
      </c>
      <c r="AU704" s="235" t="s">
        <v>634</v>
      </c>
      <c r="AV704" s="246" t="s">
        <v>635</v>
      </c>
      <c r="AW704" s="242"/>
      <c r="AX704" s="242"/>
      <c r="AY704" s="231"/>
      <c r="AZ704" s="231"/>
      <c r="BA704" s="227"/>
      <c r="BB704" s="231"/>
      <c r="BC704" s="227"/>
      <c r="BD704" s="227"/>
      <c r="BE704" s="227"/>
      <c r="BF704" s="227"/>
    </row>
    <row r="705">
      <c r="A705" s="235" t="s">
        <v>6308</v>
      </c>
      <c r="C705" s="235" t="s">
        <v>6309</v>
      </c>
      <c r="D705" s="235" t="s">
        <v>6310</v>
      </c>
      <c r="E705" s="243">
        <v>6.56E13</v>
      </c>
      <c r="F705" s="245"/>
      <c r="G705" s="235" t="s">
        <v>6311</v>
      </c>
      <c r="H705" s="235" t="s">
        <v>6312</v>
      </c>
      <c r="I705" s="235" t="s">
        <v>6313</v>
      </c>
      <c r="J705" s="235" t="s">
        <v>6314</v>
      </c>
      <c r="K705" s="235" t="s">
        <v>6315</v>
      </c>
      <c r="N705" s="235" t="s">
        <v>42</v>
      </c>
      <c r="O705" s="235" t="s">
        <v>204</v>
      </c>
      <c r="P705" s="238">
        <v>1.0</v>
      </c>
      <c r="Q705" s="235" t="s">
        <v>627</v>
      </c>
      <c r="R705" s="238">
        <v>237.14</v>
      </c>
      <c r="S705" s="238">
        <v>11.62</v>
      </c>
      <c r="T705" s="238">
        <v>0.0</v>
      </c>
      <c r="U705" s="238">
        <v>0.0</v>
      </c>
      <c r="V705" s="238">
        <v>0.0</v>
      </c>
      <c r="W705" s="238">
        <v>0.0</v>
      </c>
      <c r="X705" s="235" t="s">
        <v>628</v>
      </c>
      <c r="Z705" s="244"/>
      <c r="AA705" s="244"/>
      <c r="AB705" s="244"/>
      <c r="AC705" s="235" t="s">
        <v>6316</v>
      </c>
      <c r="AD705" s="235" t="s">
        <v>833</v>
      </c>
      <c r="AE705" s="238">
        <v>518501.0</v>
      </c>
      <c r="AF705" s="235" t="s">
        <v>631</v>
      </c>
      <c r="AG705" s="244"/>
      <c r="AH705" s="244"/>
      <c r="AI705" s="245"/>
      <c r="AJ705" s="245"/>
      <c r="AK705" s="245"/>
      <c r="AL705" s="245"/>
      <c r="AM705" s="244"/>
      <c r="AN705" s="244"/>
      <c r="AO705" s="238">
        <v>-4.74</v>
      </c>
      <c r="AP705" s="238">
        <v>0.0</v>
      </c>
      <c r="AQ705" s="235" t="s">
        <v>632</v>
      </c>
      <c r="AR705" s="243">
        <v>3.71E11</v>
      </c>
      <c r="AS705" s="235" t="s">
        <v>3284</v>
      </c>
      <c r="AT705" s="235" t="s">
        <v>9</v>
      </c>
      <c r="AU705" s="235" t="s">
        <v>634</v>
      </c>
      <c r="AV705" s="246" t="s">
        <v>635</v>
      </c>
      <c r="AW705" s="242"/>
      <c r="AX705" s="242"/>
      <c r="AY705" s="231"/>
      <c r="AZ705" s="231"/>
      <c r="BA705" s="227"/>
      <c r="BB705" s="231"/>
      <c r="BC705" s="227"/>
      <c r="BD705" s="227"/>
      <c r="BE705" s="227"/>
      <c r="BF705" s="227"/>
    </row>
    <row r="706">
      <c r="A706" s="235" t="s">
        <v>6317</v>
      </c>
      <c r="C706" s="235" t="s">
        <v>6318</v>
      </c>
      <c r="D706" s="235" t="s">
        <v>6319</v>
      </c>
      <c r="E706" s="243">
        <v>6.56E13</v>
      </c>
      <c r="F706" s="245"/>
      <c r="G706" s="235" t="s">
        <v>6320</v>
      </c>
      <c r="H706" s="235" t="s">
        <v>6321</v>
      </c>
      <c r="I706" s="235" t="s">
        <v>6321</v>
      </c>
      <c r="J706" s="235" t="s">
        <v>6322</v>
      </c>
      <c r="K706" s="235" t="s">
        <v>6323</v>
      </c>
      <c r="N706" s="235" t="s">
        <v>153</v>
      </c>
      <c r="O706" s="235" t="s">
        <v>390</v>
      </c>
      <c r="P706" s="238">
        <v>1.0</v>
      </c>
      <c r="Q706" s="235" t="s">
        <v>627</v>
      </c>
      <c r="R706" s="238">
        <v>490.68</v>
      </c>
      <c r="S706" s="238">
        <v>88.32</v>
      </c>
      <c r="T706" s="238">
        <v>0.0</v>
      </c>
      <c r="U706" s="238">
        <v>0.0</v>
      </c>
      <c r="V706" s="238">
        <v>0.0</v>
      </c>
      <c r="W706" s="238">
        <v>0.0</v>
      </c>
      <c r="X706" s="235" t="s">
        <v>628</v>
      </c>
      <c r="Z706" s="244"/>
      <c r="AA706" s="244"/>
      <c r="AB706" s="244"/>
      <c r="AC706" s="235" t="s">
        <v>795</v>
      </c>
      <c r="AD706" s="235" t="s">
        <v>796</v>
      </c>
      <c r="AE706" s="238">
        <v>110058.0</v>
      </c>
      <c r="AF706" s="235" t="s">
        <v>631</v>
      </c>
      <c r="AG706" s="244"/>
      <c r="AH706" s="244"/>
      <c r="AI706" s="245"/>
      <c r="AJ706" s="245"/>
      <c r="AK706" s="245"/>
      <c r="AL706" s="245"/>
      <c r="AM706" s="244"/>
      <c r="AN706" s="244"/>
      <c r="AO706" s="238">
        <v>0.0</v>
      </c>
      <c r="AP706" s="238">
        <v>0.0</v>
      </c>
      <c r="AQ706" s="235" t="s">
        <v>632</v>
      </c>
      <c r="AR706" s="243">
        <v>1.68E11</v>
      </c>
      <c r="AS706" s="235" t="s">
        <v>6164</v>
      </c>
      <c r="AT706" s="235" t="s">
        <v>13</v>
      </c>
      <c r="AU706" s="235" t="s">
        <v>634</v>
      </c>
      <c r="AV706" s="246" t="s">
        <v>635</v>
      </c>
      <c r="AW706" s="242"/>
      <c r="AX706" s="242"/>
      <c r="AY706" s="231"/>
      <c r="AZ706" s="231"/>
      <c r="BA706" s="227"/>
      <c r="BB706" s="231"/>
      <c r="BC706" s="227"/>
      <c r="BD706" s="227"/>
      <c r="BE706" s="227"/>
      <c r="BF706" s="227"/>
    </row>
    <row r="707">
      <c r="A707" s="235" t="s">
        <v>6324</v>
      </c>
      <c r="C707" s="235" t="s">
        <v>6325</v>
      </c>
      <c r="D707" s="235" t="s">
        <v>6326</v>
      </c>
      <c r="E707" s="243">
        <v>6.55E13</v>
      </c>
      <c r="F707" s="245"/>
      <c r="G707" s="235" t="s">
        <v>6327</v>
      </c>
      <c r="H707" s="235" t="s">
        <v>6328</v>
      </c>
      <c r="I707" s="235" t="s">
        <v>6328</v>
      </c>
      <c r="J707" s="235" t="s">
        <v>6329</v>
      </c>
      <c r="K707" s="235" t="s">
        <v>6330</v>
      </c>
      <c r="N707" s="235" t="s">
        <v>154</v>
      </c>
      <c r="O707" s="235" t="s">
        <v>766</v>
      </c>
      <c r="P707" s="238">
        <v>1.0</v>
      </c>
      <c r="Q707" s="235" t="s">
        <v>627</v>
      </c>
      <c r="R707" s="238">
        <v>465.72</v>
      </c>
      <c r="S707" s="238">
        <v>23.28</v>
      </c>
      <c r="T707" s="238">
        <v>38.1</v>
      </c>
      <c r="U707" s="238">
        <v>1.9</v>
      </c>
      <c r="V707" s="238">
        <v>0.0</v>
      </c>
      <c r="W707" s="238">
        <v>0.0</v>
      </c>
      <c r="X707" s="235" t="s">
        <v>628</v>
      </c>
      <c r="Z707" s="244"/>
      <c r="AA707" s="244"/>
      <c r="AB707" s="244"/>
      <c r="AC707" s="235" t="s">
        <v>1604</v>
      </c>
      <c r="AD707" s="235" t="s">
        <v>845</v>
      </c>
      <c r="AE707" s="238">
        <v>401107.0</v>
      </c>
      <c r="AF707" s="235" t="s">
        <v>631</v>
      </c>
      <c r="AG707" s="244"/>
      <c r="AH707" s="244"/>
      <c r="AI707" s="245"/>
      <c r="AJ707" s="245"/>
      <c r="AK707" s="245"/>
      <c r="AL707" s="245"/>
      <c r="AM707" s="244"/>
      <c r="AN707" s="244"/>
      <c r="AO707" s="238">
        <v>0.0</v>
      </c>
      <c r="AP707" s="238">
        <v>-38.1</v>
      </c>
      <c r="AQ707" s="235" t="s">
        <v>632</v>
      </c>
      <c r="AR707" s="243">
        <v>3.71E11</v>
      </c>
      <c r="AS707" s="235" t="s">
        <v>4697</v>
      </c>
      <c r="AT707" s="235" t="s">
        <v>16</v>
      </c>
      <c r="AU707" s="235" t="s">
        <v>634</v>
      </c>
      <c r="AV707" s="246" t="s">
        <v>635</v>
      </c>
      <c r="AW707" s="242"/>
      <c r="AX707" s="242"/>
      <c r="AY707" s="231"/>
      <c r="AZ707" s="231"/>
      <c r="BA707" s="227"/>
      <c r="BB707" s="231"/>
      <c r="BC707" s="227"/>
      <c r="BD707" s="227"/>
      <c r="BE707" s="227"/>
      <c r="BF707" s="227"/>
    </row>
    <row r="708">
      <c r="A708" s="235" t="s">
        <v>6333</v>
      </c>
      <c r="C708" s="235" t="s">
        <v>6334</v>
      </c>
      <c r="D708" s="235" t="s">
        <v>6335</v>
      </c>
      <c r="E708" s="243">
        <v>6.56E13</v>
      </c>
      <c r="F708" s="245"/>
      <c r="G708" s="235" t="s">
        <v>6336</v>
      </c>
      <c r="H708" s="235" t="s">
        <v>6337</v>
      </c>
      <c r="I708" s="235" t="s">
        <v>6337</v>
      </c>
      <c r="J708" s="235" t="s">
        <v>6338</v>
      </c>
      <c r="K708" s="235" t="s">
        <v>6339</v>
      </c>
      <c r="N708" s="235" t="s">
        <v>144</v>
      </c>
      <c r="O708" s="235" t="s">
        <v>232</v>
      </c>
      <c r="P708" s="238">
        <v>1.0</v>
      </c>
      <c r="Q708" s="235" t="s">
        <v>627</v>
      </c>
      <c r="R708" s="238">
        <v>665.71</v>
      </c>
      <c r="S708" s="238">
        <v>33.29</v>
      </c>
      <c r="T708" s="238">
        <v>38.1</v>
      </c>
      <c r="U708" s="238">
        <v>1.9</v>
      </c>
      <c r="V708" s="238">
        <v>0.0</v>
      </c>
      <c r="W708" s="238">
        <v>0.0</v>
      </c>
      <c r="X708" s="235" t="s">
        <v>628</v>
      </c>
      <c r="Z708" s="244"/>
      <c r="AA708" s="244"/>
      <c r="AB708" s="244"/>
      <c r="AC708" s="235" t="s">
        <v>6172</v>
      </c>
      <c r="AD708" s="235" t="s">
        <v>6173</v>
      </c>
      <c r="AE708" s="238">
        <v>396230.0</v>
      </c>
      <c r="AF708" s="235" t="s">
        <v>631</v>
      </c>
      <c r="AG708" s="244"/>
      <c r="AH708" s="244"/>
      <c r="AI708" s="245"/>
      <c r="AJ708" s="245"/>
      <c r="AK708" s="245"/>
      <c r="AL708" s="245"/>
      <c r="AM708" s="244"/>
      <c r="AN708" s="244"/>
      <c r="AO708" s="238">
        <v>0.0</v>
      </c>
      <c r="AP708" s="238">
        <v>-38.1</v>
      </c>
      <c r="AQ708" s="235" t="s">
        <v>632</v>
      </c>
      <c r="AR708" s="243">
        <v>3.71E11</v>
      </c>
      <c r="AS708" s="235" t="s">
        <v>2276</v>
      </c>
      <c r="AT708" s="235" t="s">
        <v>16</v>
      </c>
      <c r="AU708" s="235" t="s">
        <v>634</v>
      </c>
      <c r="AV708" s="246" t="s">
        <v>635</v>
      </c>
      <c r="AW708" s="242"/>
      <c r="AX708" s="242"/>
      <c r="AY708" s="231"/>
      <c r="AZ708" s="231"/>
      <c r="BA708" s="227"/>
      <c r="BB708" s="231"/>
      <c r="BC708" s="227"/>
      <c r="BD708" s="227"/>
      <c r="BE708" s="227"/>
      <c r="BF708" s="227"/>
    </row>
    <row r="709">
      <c r="A709" s="235" t="s">
        <v>6340</v>
      </c>
      <c r="C709" s="235" t="s">
        <v>6341</v>
      </c>
      <c r="D709" s="235" t="s">
        <v>6342</v>
      </c>
      <c r="E709" s="243">
        <v>6.56E13</v>
      </c>
      <c r="F709" s="245"/>
      <c r="G709" s="235" t="s">
        <v>6343</v>
      </c>
      <c r="H709" s="235" t="s">
        <v>6344</v>
      </c>
      <c r="I709" s="235" t="s">
        <v>6344</v>
      </c>
      <c r="J709" s="235" t="s">
        <v>6345</v>
      </c>
      <c r="K709" s="235" t="s">
        <v>3292</v>
      </c>
      <c r="N709" s="235" t="s">
        <v>42</v>
      </c>
      <c r="O709" s="235" t="s">
        <v>204</v>
      </c>
      <c r="P709" s="238">
        <v>1.0</v>
      </c>
      <c r="Q709" s="235" t="s">
        <v>627</v>
      </c>
      <c r="R709" s="238">
        <v>237.14</v>
      </c>
      <c r="S709" s="238">
        <v>11.86</v>
      </c>
      <c r="T709" s="238">
        <v>0.0</v>
      </c>
      <c r="U709" s="238">
        <v>0.0</v>
      </c>
      <c r="V709" s="238">
        <v>0.0</v>
      </c>
      <c r="W709" s="238">
        <v>0.0</v>
      </c>
      <c r="X709" s="235" t="s">
        <v>628</v>
      </c>
      <c r="Z709" s="244"/>
      <c r="AA709" s="244"/>
      <c r="AB709" s="244"/>
      <c r="AC709" s="235" t="s">
        <v>1531</v>
      </c>
      <c r="AD709" s="235" t="s">
        <v>1151</v>
      </c>
      <c r="AE709" s="238">
        <v>700032.0</v>
      </c>
      <c r="AF709" s="235" t="s">
        <v>631</v>
      </c>
      <c r="AG709" s="244"/>
      <c r="AH709" s="244"/>
      <c r="AI709" s="245"/>
      <c r="AJ709" s="245"/>
      <c r="AK709" s="245"/>
      <c r="AL709" s="245"/>
      <c r="AM709" s="244"/>
      <c r="AN709" s="244"/>
      <c r="AO709" s="238">
        <v>0.0</v>
      </c>
      <c r="AP709" s="238">
        <v>0.0</v>
      </c>
      <c r="AQ709" s="235" t="s">
        <v>632</v>
      </c>
      <c r="AR709" s="243">
        <v>2.02E11</v>
      </c>
      <c r="AS709" s="235" t="s">
        <v>4697</v>
      </c>
      <c r="AT709" s="235" t="s">
        <v>14</v>
      </c>
      <c r="AU709" s="235" t="s">
        <v>634</v>
      </c>
      <c r="AV709" s="246" t="s">
        <v>635</v>
      </c>
      <c r="AW709" s="242"/>
      <c r="AX709" s="242"/>
      <c r="AY709" s="231"/>
      <c r="AZ709" s="231"/>
      <c r="BA709" s="227"/>
      <c r="BB709" s="231"/>
      <c r="BC709" s="227"/>
      <c r="BD709" s="227"/>
      <c r="BE709" s="227"/>
      <c r="BF709" s="227"/>
    </row>
    <row r="710">
      <c r="A710" s="235" t="s">
        <v>6346</v>
      </c>
      <c r="C710" s="235" t="s">
        <v>6347</v>
      </c>
      <c r="D710" s="235" t="s">
        <v>6348</v>
      </c>
      <c r="E710" s="243">
        <v>6.53E13</v>
      </c>
      <c r="F710" s="245"/>
      <c r="G710" s="235" t="s">
        <v>6349</v>
      </c>
      <c r="H710" s="235" t="s">
        <v>6350</v>
      </c>
      <c r="I710" s="235" t="s">
        <v>6350</v>
      </c>
      <c r="J710" s="235" t="s">
        <v>6351</v>
      </c>
      <c r="K710" s="235" t="s">
        <v>6352</v>
      </c>
      <c r="N710" s="235" t="s">
        <v>117</v>
      </c>
      <c r="O710" s="235" t="s">
        <v>334</v>
      </c>
      <c r="P710" s="238">
        <v>1.0</v>
      </c>
      <c r="Q710" s="235" t="s">
        <v>627</v>
      </c>
      <c r="R710" s="238">
        <v>270.48</v>
      </c>
      <c r="S710" s="238">
        <v>13.52</v>
      </c>
      <c r="T710" s="238">
        <v>0.0</v>
      </c>
      <c r="U710" s="238">
        <v>0.0</v>
      </c>
      <c r="V710" s="238">
        <v>0.0</v>
      </c>
      <c r="W710" s="238">
        <v>0.0</v>
      </c>
      <c r="X710" s="235" t="s">
        <v>628</v>
      </c>
      <c r="Z710" s="244"/>
      <c r="AA710" s="244"/>
      <c r="AB710" s="244"/>
      <c r="AC710" s="235" t="s">
        <v>844</v>
      </c>
      <c r="AD710" s="235" t="s">
        <v>845</v>
      </c>
      <c r="AE710" s="238">
        <v>411047.0</v>
      </c>
      <c r="AF710" s="235" t="s">
        <v>631</v>
      </c>
      <c r="AG710" s="244"/>
      <c r="AH710" s="244"/>
      <c r="AI710" s="245"/>
      <c r="AJ710" s="245"/>
      <c r="AK710" s="245"/>
      <c r="AL710" s="245"/>
      <c r="AM710" s="244"/>
      <c r="AN710" s="244"/>
      <c r="AO710" s="238">
        <v>0.0</v>
      </c>
      <c r="AP710" s="238">
        <v>0.0</v>
      </c>
      <c r="AQ710" s="235" t="s">
        <v>632</v>
      </c>
      <c r="AR710" s="243">
        <v>3.71E11</v>
      </c>
      <c r="AS710" s="235" t="s">
        <v>4697</v>
      </c>
      <c r="AT710" s="235" t="s">
        <v>546</v>
      </c>
      <c r="AU710" s="235" t="s">
        <v>634</v>
      </c>
      <c r="AV710" s="246" t="s">
        <v>635</v>
      </c>
      <c r="AW710" s="242"/>
      <c r="AX710" s="242"/>
      <c r="AY710" s="231"/>
      <c r="AZ710" s="231"/>
      <c r="BA710" s="227"/>
      <c r="BB710" s="231"/>
      <c r="BC710" s="227"/>
      <c r="BD710" s="227"/>
      <c r="BE710" s="227"/>
      <c r="BF710" s="227"/>
    </row>
    <row r="711">
      <c r="A711" s="235" t="s">
        <v>6353</v>
      </c>
      <c r="C711" s="235" t="s">
        <v>6354</v>
      </c>
      <c r="D711" s="235" t="s">
        <v>6355</v>
      </c>
      <c r="E711" s="243">
        <v>6.56E13</v>
      </c>
      <c r="F711" s="245"/>
      <c r="G711" s="235" t="s">
        <v>6356</v>
      </c>
      <c r="H711" s="235" t="s">
        <v>6357</v>
      </c>
      <c r="I711" s="235" t="s">
        <v>6357</v>
      </c>
      <c r="J711" s="235" t="s">
        <v>6358</v>
      </c>
      <c r="K711" s="235" t="s">
        <v>6359</v>
      </c>
      <c r="N711" s="235" t="s">
        <v>42</v>
      </c>
      <c r="O711" s="235" t="s">
        <v>204</v>
      </c>
      <c r="P711" s="238">
        <v>1.0</v>
      </c>
      <c r="Q711" s="235" t="s">
        <v>627</v>
      </c>
      <c r="R711" s="238">
        <v>237.14</v>
      </c>
      <c r="S711" s="238">
        <v>11.62</v>
      </c>
      <c r="T711" s="238">
        <v>0.0</v>
      </c>
      <c r="U711" s="238">
        <v>0.0</v>
      </c>
      <c r="V711" s="238">
        <v>0.0</v>
      </c>
      <c r="W711" s="238">
        <v>0.0</v>
      </c>
      <c r="X711" s="235" t="s">
        <v>628</v>
      </c>
      <c r="Z711" s="244"/>
      <c r="AA711" s="244"/>
      <c r="AB711" s="244"/>
      <c r="AC711" s="235" t="s">
        <v>678</v>
      </c>
      <c r="AD711" s="235" t="s">
        <v>679</v>
      </c>
      <c r="AE711" s="238">
        <v>560054.0</v>
      </c>
      <c r="AF711" s="235" t="s">
        <v>631</v>
      </c>
      <c r="AG711" s="244"/>
      <c r="AH711" s="244"/>
      <c r="AI711" s="245"/>
      <c r="AJ711" s="245"/>
      <c r="AK711" s="245"/>
      <c r="AL711" s="245"/>
      <c r="AM711" s="244"/>
      <c r="AN711" s="244"/>
      <c r="AO711" s="238">
        <v>-4.74</v>
      </c>
      <c r="AP711" s="238">
        <v>0.0</v>
      </c>
      <c r="AQ711" s="235" t="s">
        <v>632</v>
      </c>
      <c r="AR711" s="243">
        <v>1.68E11</v>
      </c>
      <c r="AS711" s="235" t="s">
        <v>6164</v>
      </c>
      <c r="AT711" s="235" t="s">
        <v>11</v>
      </c>
      <c r="AU711" s="235" t="s">
        <v>634</v>
      </c>
      <c r="AV711" s="246" t="s">
        <v>635</v>
      </c>
      <c r="AW711" s="242"/>
      <c r="AX711" s="242"/>
      <c r="AY711" s="231"/>
      <c r="AZ711" s="231"/>
      <c r="BA711" s="227"/>
      <c r="BB711" s="231"/>
      <c r="BC711" s="227"/>
      <c r="BD711" s="227"/>
      <c r="BE711" s="227"/>
      <c r="BF711" s="227"/>
    </row>
    <row r="712">
      <c r="A712" s="235" t="s">
        <v>6360</v>
      </c>
      <c r="C712" s="235" t="s">
        <v>6361</v>
      </c>
      <c r="D712" s="235" t="s">
        <v>6362</v>
      </c>
      <c r="E712" s="243">
        <v>6.56E13</v>
      </c>
      <c r="F712" s="245"/>
      <c r="G712" s="235" t="s">
        <v>6363</v>
      </c>
      <c r="H712" s="235" t="s">
        <v>6364</v>
      </c>
      <c r="I712" s="235" t="s">
        <v>6365</v>
      </c>
      <c r="J712" s="235" t="s">
        <v>6366</v>
      </c>
      <c r="K712" s="235" t="s">
        <v>6367</v>
      </c>
      <c r="N712" s="235" t="s">
        <v>27</v>
      </c>
      <c r="O712" s="235" t="s">
        <v>573</v>
      </c>
      <c r="P712" s="238">
        <v>1.0</v>
      </c>
      <c r="Q712" s="235" t="s">
        <v>627</v>
      </c>
      <c r="R712" s="238">
        <v>360.95</v>
      </c>
      <c r="S712" s="238">
        <v>18.05</v>
      </c>
      <c r="T712" s="238">
        <v>0.0</v>
      </c>
      <c r="U712" s="238">
        <v>0.0</v>
      </c>
      <c r="V712" s="238">
        <v>0.0</v>
      </c>
      <c r="W712" s="238">
        <v>0.0</v>
      </c>
      <c r="X712" s="235" t="s">
        <v>628</v>
      </c>
      <c r="Z712" s="244"/>
      <c r="AA712" s="244"/>
      <c r="AB712" s="244"/>
      <c r="AC712" s="235" t="s">
        <v>6368</v>
      </c>
      <c r="AD712" s="235" t="s">
        <v>645</v>
      </c>
      <c r="AE712" s="238">
        <v>695123.0</v>
      </c>
      <c r="AF712" s="235" t="s">
        <v>631</v>
      </c>
      <c r="AG712" s="244"/>
      <c r="AH712" s="244"/>
      <c r="AI712" s="245"/>
      <c r="AJ712" s="245"/>
      <c r="AK712" s="245"/>
      <c r="AL712" s="245"/>
      <c r="AM712" s="244"/>
      <c r="AN712" s="244"/>
      <c r="AO712" s="238">
        <v>0.0</v>
      </c>
      <c r="AP712" s="238">
        <v>0.0</v>
      </c>
      <c r="AQ712" s="235" t="s">
        <v>632</v>
      </c>
      <c r="AR712" s="243">
        <v>3.71E11</v>
      </c>
      <c r="AS712" s="235" t="s">
        <v>3284</v>
      </c>
      <c r="AT712" s="235" t="s">
        <v>155</v>
      </c>
      <c r="AU712" s="235" t="s">
        <v>634</v>
      </c>
      <c r="AV712" s="246" t="s">
        <v>635</v>
      </c>
      <c r="AW712" s="242"/>
      <c r="AX712" s="242"/>
      <c r="AY712" s="231"/>
      <c r="AZ712" s="231"/>
      <c r="BA712" s="227"/>
      <c r="BB712" s="231"/>
      <c r="BC712" s="227"/>
      <c r="BD712" s="227"/>
      <c r="BE712" s="227"/>
      <c r="BF712" s="227"/>
    </row>
    <row r="713">
      <c r="A713" s="235" t="s">
        <v>6369</v>
      </c>
      <c r="C713" s="235" t="s">
        <v>6370</v>
      </c>
      <c r="D713" s="235" t="s">
        <v>6371</v>
      </c>
      <c r="E713" s="243">
        <v>6.55E13</v>
      </c>
      <c r="F713" s="245"/>
      <c r="G713" s="235" t="s">
        <v>6372</v>
      </c>
      <c r="H713" s="235" t="s">
        <v>6373</v>
      </c>
      <c r="I713" s="235" t="s">
        <v>6373</v>
      </c>
      <c r="J713" s="235" t="s">
        <v>6374</v>
      </c>
      <c r="K713" s="235" t="s">
        <v>6375</v>
      </c>
      <c r="N713" s="235" t="s">
        <v>136</v>
      </c>
      <c r="O713" s="235" t="s">
        <v>256</v>
      </c>
      <c r="P713" s="238">
        <v>1.0</v>
      </c>
      <c r="Q713" s="235" t="s">
        <v>627</v>
      </c>
      <c r="R713" s="238">
        <v>246.66</v>
      </c>
      <c r="S713" s="238">
        <v>12.34</v>
      </c>
      <c r="T713" s="238">
        <v>0.0</v>
      </c>
      <c r="U713" s="238">
        <v>0.0</v>
      </c>
      <c r="V713" s="238">
        <v>0.0</v>
      </c>
      <c r="W713" s="238">
        <v>0.0</v>
      </c>
      <c r="X713" s="235" t="s">
        <v>628</v>
      </c>
      <c r="Z713" s="244"/>
      <c r="AA713" s="244"/>
      <c r="AB713" s="244"/>
      <c r="AC713" s="235" t="s">
        <v>687</v>
      </c>
      <c r="AD713" s="235" t="s">
        <v>666</v>
      </c>
      <c r="AE713" s="238">
        <v>600069.0</v>
      </c>
      <c r="AF713" s="235" t="s">
        <v>631</v>
      </c>
      <c r="AG713" s="244"/>
      <c r="AH713" s="244"/>
      <c r="AI713" s="245"/>
      <c r="AJ713" s="245"/>
      <c r="AK713" s="245"/>
      <c r="AL713" s="245"/>
      <c r="AM713" s="244"/>
      <c r="AN713" s="244"/>
      <c r="AO713" s="238">
        <v>0.0</v>
      </c>
      <c r="AP713" s="238">
        <v>0.0</v>
      </c>
      <c r="AQ713" s="235" t="s">
        <v>1356</v>
      </c>
      <c r="AR713" s="247" t="s">
        <v>6376</v>
      </c>
      <c r="AS713" s="235" t="s">
        <v>758</v>
      </c>
      <c r="AT713" s="235" t="s">
        <v>156</v>
      </c>
      <c r="AU713" s="235" t="s">
        <v>634</v>
      </c>
      <c r="AV713" s="246" t="s">
        <v>635</v>
      </c>
      <c r="AW713" s="242"/>
      <c r="AX713" s="242"/>
      <c r="AY713" s="231"/>
      <c r="AZ713" s="231"/>
      <c r="BA713" s="227"/>
      <c r="BB713" s="231"/>
      <c r="BC713" s="227"/>
      <c r="BD713" s="227"/>
      <c r="BE713" s="227"/>
      <c r="BF713" s="227"/>
    </row>
    <row r="714">
      <c r="A714" s="235" t="s">
        <v>6377</v>
      </c>
      <c r="C714" s="235" t="s">
        <v>6378</v>
      </c>
      <c r="D714" s="235" t="s">
        <v>6379</v>
      </c>
      <c r="E714" s="243">
        <v>6.53E13</v>
      </c>
      <c r="F714" s="245"/>
      <c r="G714" s="235" t="s">
        <v>6380</v>
      </c>
      <c r="H714" s="235" t="s">
        <v>6381</v>
      </c>
      <c r="I714" s="235" t="s">
        <v>6381</v>
      </c>
      <c r="J714" s="235" t="s">
        <v>6382</v>
      </c>
      <c r="K714" s="235" t="s">
        <v>6383</v>
      </c>
      <c r="N714" s="235" t="s">
        <v>138</v>
      </c>
      <c r="O714" s="235" t="s">
        <v>675</v>
      </c>
      <c r="P714" s="238">
        <v>1.0</v>
      </c>
      <c r="Q714" s="235" t="s">
        <v>627</v>
      </c>
      <c r="R714" s="238">
        <v>243.8</v>
      </c>
      <c r="S714" s="238">
        <v>12.2</v>
      </c>
      <c r="T714" s="238">
        <v>0.0</v>
      </c>
      <c r="U714" s="238">
        <v>0.0</v>
      </c>
      <c r="V714" s="238">
        <v>0.0</v>
      </c>
      <c r="W714" s="238">
        <v>0.0</v>
      </c>
      <c r="X714" s="235" t="s">
        <v>628</v>
      </c>
      <c r="Z714" s="244"/>
      <c r="AA714" s="244"/>
      <c r="AB714" s="244"/>
      <c r="AC714" s="235" t="s">
        <v>844</v>
      </c>
      <c r="AD714" s="235" t="s">
        <v>845</v>
      </c>
      <c r="AE714" s="238">
        <v>411041.0</v>
      </c>
      <c r="AF714" s="235" t="s">
        <v>631</v>
      </c>
      <c r="AG714" s="244"/>
      <c r="AH714" s="244"/>
      <c r="AI714" s="245"/>
      <c r="AJ714" s="245"/>
      <c r="AK714" s="245"/>
      <c r="AL714" s="245"/>
      <c r="AM714" s="244"/>
      <c r="AN714" s="244"/>
      <c r="AO714" s="238">
        <v>0.0</v>
      </c>
      <c r="AP714" s="238">
        <v>0.0</v>
      </c>
      <c r="AQ714" s="235" t="s">
        <v>632</v>
      </c>
      <c r="AR714" s="243">
        <v>3.71E11</v>
      </c>
      <c r="AS714" s="235" t="s">
        <v>4697</v>
      </c>
      <c r="AT714" s="235" t="s">
        <v>546</v>
      </c>
      <c r="AU714" s="235" t="s">
        <v>634</v>
      </c>
      <c r="AV714" s="246" t="s">
        <v>635</v>
      </c>
      <c r="AW714" s="242"/>
      <c r="AX714" s="242"/>
      <c r="AY714" s="231"/>
      <c r="AZ714" s="231"/>
      <c r="BA714" s="227"/>
      <c r="BB714" s="231"/>
      <c r="BC714" s="227"/>
      <c r="BD714" s="227"/>
      <c r="BE714" s="227"/>
      <c r="BF714" s="227"/>
    </row>
    <row r="715">
      <c r="A715" s="235" t="s">
        <v>6384</v>
      </c>
      <c r="C715" s="235" t="s">
        <v>6385</v>
      </c>
      <c r="D715" s="235" t="s">
        <v>6386</v>
      </c>
      <c r="E715" s="243">
        <v>6.56E13</v>
      </c>
      <c r="F715" s="245"/>
      <c r="G715" s="235" t="s">
        <v>6387</v>
      </c>
      <c r="H715" s="235" t="s">
        <v>6388</v>
      </c>
      <c r="I715" s="235" t="s">
        <v>6388</v>
      </c>
      <c r="J715" s="235" t="s">
        <v>6389</v>
      </c>
      <c r="K715" s="235" t="s">
        <v>6390</v>
      </c>
      <c r="N715" s="235" t="s">
        <v>41</v>
      </c>
      <c r="O715" s="235" t="s">
        <v>291</v>
      </c>
      <c r="P715" s="238">
        <v>1.0</v>
      </c>
      <c r="Q715" s="235" t="s">
        <v>627</v>
      </c>
      <c r="R715" s="238">
        <v>237.14</v>
      </c>
      <c r="S715" s="238">
        <v>11.86</v>
      </c>
      <c r="T715" s="238">
        <v>38.1</v>
      </c>
      <c r="U715" s="238">
        <v>1.9</v>
      </c>
      <c r="V715" s="238">
        <v>0.0</v>
      </c>
      <c r="W715" s="238">
        <v>0.0</v>
      </c>
      <c r="X715" s="235" t="s">
        <v>628</v>
      </c>
      <c r="Z715" s="244"/>
      <c r="AA715" s="244"/>
      <c r="AB715" s="244"/>
      <c r="AC715" s="235" t="s">
        <v>1920</v>
      </c>
      <c r="AD715" s="235" t="s">
        <v>833</v>
      </c>
      <c r="AE715" s="238">
        <v>522001.0</v>
      </c>
      <c r="AF715" s="235" t="s">
        <v>631</v>
      </c>
      <c r="AG715" s="244"/>
      <c r="AH715" s="244"/>
      <c r="AI715" s="245"/>
      <c r="AJ715" s="245"/>
      <c r="AK715" s="245"/>
      <c r="AL715" s="245"/>
      <c r="AM715" s="244"/>
      <c r="AN715" s="244"/>
      <c r="AO715" s="238">
        <v>0.0</v>
      </c>
      <c r="AP715" s="238">
        <v>-38.1</v>
      </c>
      <c r="AQ715" s="235" t="s">
        <v>632</v>
      </c>
      <c r="AR715" s="243">
        <v>3.71E11</v>
      </c>
      <c r="AS715" s="235" t="s">
        <v>3284</v>
      </c>
      <c r="AT715" s="235" t="s">
        <v>156</v>
      </c>
      <c r="AU715" s="235" t="s">
        <v>634</v>
      </c>
      <c r="AV715" s="246" t="s">
        <v>635</v>
      </c>
      <c r="AW715" s="242"/>
      <c r="AX715" s="242"/>
      <c r="AY715" s="231"/>
      <c r="AZ715" s="231"/>
      <c r="BA715" s="227"/>
      <c r="BB715" s="231"/>
      <c r="BC715" s="227"/>
      <c r="BD715" s="227"/>
      <c r="BE715" s="227"/>
      <c r="BF715" s="227"/>
    </row>
    <row r="716">
      <c r="A716" s="235" t="s">
        <v>6391</v>
      </c>
      <c r="C716" s="235" t="s">
        <v>6392</v>
      </c>
      <c r="D716" s="235" t="s">
        <v>6393</v>
      </c>
      <c r="E716" s="243">
        <v>6.56E13</v>
      </c>
      <c r="F716" s="245"/>
      <c r="G716" s="235" t="s">
        <v>6394</v>
      </c>
      <c r="H716" s="235" t="s">
        <v>6395</v>
      </c>
      <c r="I716" s="235" t="s">
        <v>6395</v>
      </c>
      <c r="J716" s="235" t="s">
        <v>6396</v>
      </c>
      <c r="K716" s="235" t="s">
        <v>6397</v>
      </c>
      <c r="N716" s="235" t="s">
        <v>42</v>
      </c>
      <c r="O716" s="235" t="s">
        <v>204</v>
      </c>
      <c r="P716" s="238">
        <v>1.0</v>
      </c>
      <c r="Q716" s="235" t="s">
        <v>627</v>
      </c>
      <c r="R716" s="238">
        <v>237.14</v>
      </c>
      <c r="S716" s="238">
        <v>11.62</v>
      </c>
      <c r="T716" s="238">
        <v>0.0</v>
      </c>
      <c r="U716" s="238">
        <v>0.0</v>
      </c>
      <c r="V716" s="238">
        <v>0.0</v>
      </c>
      <c r="W716" s="238">
        <v>0.0</v>
      </c>
      <c r="X716" s="235" t="s">
        <v>628</v>
      </c>
      <c r="Z716" s="244"/>
      <c r="AA716" s="244"/>
      <c r="AB716" s="244"/>
      <c r="AC716" s="235" t="s">
        <v>6398</v>
      </c>
      <c r="AD716" s="235" t="s">
        <v>833</v>
      </c>
      <c r="AE716" s="238">
        <v>523292.0</v>
      </c>
      <c r="AF716" s="235" t="s">
        <v>631</v>
      </c>
      <c r="AG716" s="244"/>
      <c r="AH716" s="244"/>
      <c r="AI716" s="245"/>
      <c r="AJ716" s="245"/>
      <c r="AK716" s="245"/>
      <c r="AL716" s="245"/>
      <c r="AM716" s="244"/>
      <c r="AN716" s="244"/>
      <c r="AO716" s="238">
        <v>-4.74</v>
      </c>
      <c r="AP716" s="238">
        <v>0.0</v>
      </c>
      <c r="AQ716" s="235" t="s">
        <v>632</v>
      </c>
      <c r="AR716" s="243">
        <v>3.71E11</v>
      </c>
      <c r="AS716" s="235" t="s">
        <v>3284</v>
      </c>
      <c r="AT716" s="235" t="s">
        <v>156</v>
      </c>
      <c r="AU716" s="235" t="s">
        <v>634</v>
      </c>
      <c r="AV716" s="246" t="s">
        <v>635</v>
      </c>
      <c r="AW716" s="242"/>
      <c r="AX716" s="242"/>
      <c r="AY716" s="231"/>
      <c r="AZ716" s="231"/>
      <c r="BA716" s="227"/>
      <c r="BB716" s="231"/>
      <c r="BC716" s="227"/>
      <c r="BD716" s="227"/>
      <c r="BE716" s="227"/>
      <c r="BF716" s="227"/>
    </row>
    <row r="717">
      <c r="A717" s="235" t="s">
        <v>6399</v>
      </c>
      <c r="C717" s="235" t="s">
        <v>6400</v>
      </c>
      <c r="D717" s="235" t="s">
        <v>6401</v>
      </c>
      <c r="E717" s="243">
        <v>6.56E13</v>
      </c>
      <c r="F717" s="245"/>
      <c r="G717" s="235" t="s">
        <v>6402</v>
      </c>
      <c r="H717" s="235" t="s">
        <v>6403</v>
      </c>
      <c r="I717" s="235" t="s">
        <v>6404</v>
      </c>
      <c r="J717" s="235" t="s">
        <v>6405</v>
      </c>
      <c r="K717" s="235" t="s">
        <v>6406</v>
      </c>
      <c r="N717" s="235" t="s">
        <v>2163</v>
      </c>
      <c r="O717" s="235" t="s">
        <v>2164</v>
      </c>
      <c r="P717" s="238">
        <v>1.0</v>
      </c>
      <c r="Q717" s="235" t="s">
        <v>627</v>
      </c>
      <c r="R717" s="238">
        <v>246.67</v>
      </c>
      <c r="S717" s="238">
        <v>12.33</v>
      </c>
      <c r="T717" s="238">
        <v>0.0</v>
      </c>
      <c r="U717" s="238">
        <v>0.0</v>
      </c>
      <c r="V717" s="238">
        <v>0.0</v>
      </c>
      <c r="W717" s="238">
        <v>0.0</v>
      </c>
      <c r="X717" s="235" t="s">
        <v>628</v>
      </c>
      <c r="Z717" s="244"/>
      <c r="AA717" s="244"/>
      <c r="AB717" s="244"/>
      <c r="AC717" s="235" t="s">
        <v>814</v>
      </c>
      <c r="AD717" s="235" t="s">
        <v>698</v>
      </c>
      <c r="AE717" s="238">
        <v>500020.0</v>
      </c>
      <c r="AF717" s="235" t="s">
        <v>631</v>
      </c>
      <c r="AG717" s="244"/>
      <c r="AH717" s="244"/>
      <c r="AI717" s="245"/>
      <c r="AJ717" s="245"/>
      <c r="AK717" s="245"/>
      <c r="AL717" s="245"/>
      <c r="AM717" s="244"/>
      <c r="AN717" s="244"/>
      <c r="AO717" s="238">
        <v>0.0</v>
      </c>
      <c r="AP717" s="238">
        <v>0.0</v>
      </c>
      <c r="AQ717" s="235" t="s">
        <v>632</v>
      </c>
      <c r="AR717" s="243">
        <v>2.02E11</v>
      </c>
      <c r="AS717" s="235" t="s">
        <v>4697</v>
      </c>
      <c r="AT717" s="235" t="s">
        <v>16</v>
      </c>
      <c r="AU717" s="235" t="s">
        <v>634</v>
      </c>
      <c r="AV717" s="246" t="s">
        <v>635</v>
      </c>
      <c r="AW717" s="242"/>
      <c r="AX717" s="242"/>
      <c r="AY717" s="231"/>
      <c r="AZ717" s="231"/>
      <c r="BA717" s="227"/>
      <c r="BB717" s="231"/>
      <c r="BC717" s="227"/>
      <c r="BD717" s="227"/>
      <c r="BE717" s="227"/>
      <c r="BF717" s="227"/>
    </row>
    <row r="718">
      <c r="A718" s="235" t="s">
        <v>6407</v>
      </c>
      <c r="C718" s="235" t="s">
        <v>6408</v>
      </c>
      <c r="D718" s="235" t="s">
        <v>6409</v>
      </c>
      <c r="E718" s="243">
        <v>6.56E13</v>
      </c>
      <c r="F718" s="245"/>
      <c r="G718" s="235" t="s">
        <v>6410</v>
      </c>
      <c r="H718" s="235" t="s">
        <v>6411</v>
      </c>
      <c r="I718" s="235" t="s">
        <v>6411</v>
      </c>
      <c r="J718" s="235" t="s">
        <v>6412</v>
      </c>
      <c r="K718" s="235" t="s">
        <v>6413</v>
      </c>
      <c r="N718" s="235" t="s">
        <v>51</v>
      </c>
      <c r="O718" s="235" t="s">
        <v>273</v>
      </c>
      <c r="P718" s="238">
        <v>1.0</v>
      </c>
      <c r="Q718" s="235" t="s">
        <v>627</v>
      </c>
      <c r="R718" s="238">
        <v>237.14</v>
      </c>
      <c r="S718" s="238">
        <v>11.86</v>
      </c>
      <c r="T718" s="238">
        <v>38.1</v>
      </c>
      <c r="U718" s="238">
        <v>1.9</v>
      </c>
      <c r="V718" s="238">
        <v>0.0</v>
      </c>
      <c r="W718" s="238">
        <v>0.0</v>
      </c>
      <c r="X718" s="235" t="s">
        <v>628</v>
      </c>
      <c r="Z718" s="244"/>
      <c r="AA718" s="244"/>
      <c r="AB718" s="244"/>
      <c r="AC718" s="235" t="s">
        <v>6414</v>
      </c>
      <c r="AD718" s="235" t="s">
        <v>645</v>
      </c>
      <c r="AE718" s="238">
        <v>678631.0</v>
      </c>
      <c r="AF718" s="235" t="s">
        <v>631</v>
      </c>
      <c r="AG718" s="244"/>
      <c r="AH718" s="244"/>
      <c r="AI718" s="245"/>
      <c r="AJ718" s="245"/>
      <c r="AK718" s="245"/>
      <c r="AL718" s="245"/>
      <c r="AM718" s="244"/>
      <c r="AN718" s="244"/>
      <c r="AO718" s="238">
        <v>0.0</v>
      </c>
      <c r="AP718" s="238">
        <v>-38.1</v>
      </c>
      <c r="AQ718" s="235" t="s">
        <v>632</v>
      </c>
      <c r="AR718" s="243">
        <v>3.71E11</v>
      </c>
      <c r="AS718" s="235" t="s">
        <v>3284</v>
      </c>
      <c r="AT718" s="235" t="s">
        <v>11</v>
      </c>
      <c r="AU718" s="235" t="s">
        <v>634</v>
      </c>
      <c r="AV718" s="246" t="s">
        <v>635</v>
      </c>
      <c r="AW718" s="242"/>
      <c r="AX718" s="242"/>
      <c r="AY718" s="231"/>
      <c r="AZ718" s="231"/>
      <c r="BA718" s="227"/>
      <c r="BB718" s="231"/>
      <c r="BC718" s="227"/>
      <c r="BD718" s="227"/>
      <c r="BE718" s="227"/>
      <c r="BF718" s="227"/>
    </row>
    <row r="719">
      <c r="A719" s="235" t="s">
        <v>6415</v>
      </c>
      <c r="C719" s="235" t="s">
        <v>6416</v>
      </c>
      <c r="D719" s="235" t="s">
        <v>6417</v>
      </c>
      <c r="E719" s="243">
        <v>6.55E13</v>
      </c>
      <c r="F719" s="245"/>
      <c r="G719" s="235" t="s">
        <v>6418</v>
      </c>
      <c r="H719" s="235" t="s">
        <v>6419</v>
      </c>
      <c r="I719" s="235" t="s">
        <v>6419</v>
      </c>
      <c r="J719" s="235" t="s">
        <v>6420</v>
      </c>
      <c r="K719" s="235" t="s">
        <v>6421</v>
      </c>
      <c r="N719" s="235" t="s">
        <v>144</v>
      </c>
      <c r="O719" s="235" t="s">
        <v>232</v>
      </c>
      <c r="P719" s="238">
        <v>1.0</v>
      </c>
      <c r="Q719" s="235" t="s">
        <v>627</v>
      </c>
      <c r="R719" s="238">
        <v>665.72</v>
      </c>
      <c r="S719" s="238">
        <v>33.28</v>
      </c>
      <c r="T719" s="238">
        <v>38.1</v>
      </c>
      <c r="U719" s="238">
        <v>1.9</v>
      </c>
      <c r="V719" s="238">
        <v>0.0</v>
      </c>
      <c r="W719" s="238">
        <v>0.0</v>
      </c>
      <c r="X719" s="235" t="s">
        <v>628</v>
      </c>
      <c r="Z719" s="244"/>
      <c r="AA719" s="244"/>
      <c r="AB719" s="244"/>
      <c r="AC719" s="235" t="s">
        <v>678</v>
      </c>
      <c r="AD719" s="235" t="s">
        <v>679</v>
      </c>
      <c r="AE719" s="238">
        <v>560066.0</v>
      </c>
      <c r="AF719" s="235" t="s">
        <v>631</v>
      </c>
      <c r="AG719" s="244"/>
      <c r="AH719" s="244"/>
      <c r="AI719" s="245"/>
      <c r="AJ719" s="245"/>
      <c r="AK719" s="245"/>
      <c r="AL719" s="245"/>
      <c r="AM719" s="244"/>
      <c r="AN719" s="244"/>
      <c r="AO719" s="238">
        <v>0.0</v>
      </c>
      <c r="AP719" s="238">
        <v>-38.1</v>
      </c>
      <c r="AQ719" s="235" t="s">
        <v>632</v>
      </c>
      <c r="AR719" s="243">
        <v>3.71E11</v>
      </c>
      <c r="AS719" s="235" t="s">
        <v>4697</v>
      </c>
      <c r="AT719" s="235" t="s">
        <v>11</v>
      </c>
      <c r="AU719" s="235" t="s">
        <v>634</v>
      </c>
      <c r="AV719" s="246" t="s">
        <v>635</v>
      </c>
      <c r="AW719" s="242"/>
      <c r="AX719" s="242"/>
      <c r="AY719" s="231"/>
      <c r="AZ719" s="231"/>
      <c r="BA719" s="227"/>
      <c r="BB719" s="231"/>
      <c r="BC719" s="227"/>
      <c r="BD719" s="227"/>
      <c r="BE719" s="227"/>
      <c r="BF719" s="227"/>
    </row>
    <row r="720">
      <c r="A720" s="235" t="s">
        <v>6422</v>
      </c>
      <c r="C720" s="235" t="s">
        <v>6423</v>
      </c>
      <c r="D720" s="235" t="s">
        <v>6424</v>
      </c>
      <c r="E720" s="243">
        <v>6.56E13</v>
      </c>
      <c r="F720" s="245"/>
      <c r="G720" s="235" t="s">
        <v>6425</v>
      </c>
      <c r="H720" s="235" t="s">
        <v>6426</v>
      </c>
      <c r="I720" s="235" t="s">
        <v>6426</v>
      </c>
      <c r="J720" s="235" t="s">
        <v>6427</v>
      </c>
      <c r="K720" s="235" t="s">
        <v>6428</v>
      </c>
      <c r="N720" s="235" t="s">
        <v>51</v>
      </c>
      <c r="O720" s="235" t="s">
        <v>273</v>
      </c>
      <c r="P720" s="238">
        <v>1.0</v>
      </c>
      <c r="Q720" s="235" t="s">
        <v>627</v>
      </c>
      <c r="R720" s="238">
        <v>237.14</v>
      </c>
      <c r="S720" s="238">
        <v>11.86</v>
      </c>
      <c r="T720" s="238">
        <v>0.0</v>
      </c>
      <c r="U720" s="238">
        <v>0.0</v>
      </c>
      <c r="V720" s="238">
        <v>0.0</v>
      </c>
      <c r="W720" s="238">
        <v>0.0</v>
      </c>
      <c r="X720" s="235" t="s">
        <v>628</v>
      </c>
      <c r="Z720" s="244"/>
      <c r="AA720" s="244"/>
      <c r="AB720" s="244"/>
      <c r="AC720" s="235" t="s">
        <v>2657</v>
      </c>
      <c r="AD720" s="235" t="s">
        <v>833</v>
      </c>
      <c r="AE720" s="238">
        <v>534001.0</v>
      </c>
      <c r="AF720" s="235" t="s">
        <v>631</v>
      </c>
      <c r="AG720" s="244"/>
      <c r="AH720" s="244"/>
      <c r="AI720" s="245"/>
      <c r="AJ720" s="245"/>
      <c r="AK720" s="245"/>
      <c r="AL720" s="245"/>
      <c r="AM720" s="244"/>
      <c r="AN720" s="244"/>
      <c r="AO720" s="238">
        <v>0.0</v>
      </c>
      <c r="AP720" s="238">
        <v>0.0</v>
      </c>
      <c r="AQ720" s="235" t="s">
        <v>632</v>
      </c>
      <c r="AR720" s="243">
        <v>3.71E11</v>
      </c>
      <c r="AS720" s="235" t="s">
        <v>3284</v>
      </c>
      <c r="AT720" s="235" t="s">
        <v>156</v>
      </c>
      <c r="AU720" s="235" t="s">
        <v>634</v>
      </c>
      <c r="AV720" s="246" t="s">
        <v>635</v>
      </c>
      <c r="AW720" s="242"/>
      <c r="AX720" s="242"/>
      <c r="AY720" s="231"/>
      <c r="AZ720" s="231"/>
      <c r="BA720" s="227"/>
      <c r="BB720" s="231"/>
      <c r="BC720" s="227"/>
      <c r="BD720" s="227"/>
      <c r="BE720" s="227"/>
      <c r="BF720" s="227"/>
    </row>
    <row r="721">
      <c r="A721" s="235" t="s">
        <v>6429</v>
      </c>
      <c r="C721" s="235" t="s">
        <v>6430</v>
      </c>
      <c r="D721" s="235" t="s">
        <v>6431</v>
      </c>
      <c r="E721" s="243">
        <v>6.56E13</v>
      </c>
      <c r="F721" s="245"/>
      <c r="G721" s="235" t="s">
        <v>6432</v>
      </c>
      <c r="H721" s="235" t="s">
        <v>6433</v>
      </c>
      <c r="I721" s="235" t="s">
        <v>6433</v>
      </c>
      <c r="J721" s="235" t="s">
        <v>6434</v>
      </c>
      <c r="K721" s="235" t="s">
        <v>6435</v>
      </c>
      <c r="N721" s="235" t="s">
        <v>154</v>
      </c>
      <c r="O721" s="235" t="s">
        <v>766</v>
      </c>
      <c r="P721" s="238">
        <v>1.0</v>
      </c>
      <c r="Q721" s="235" t="s">
        <v>627</v>
      </c>
      <c r="R721" s="238">
        <v>465.71</v>
      </c>
      <c r="S721" s="238">
        <v>23.29</v>
      </c>
      <c r="T721" s="238">
        <v>38.1</v>
      </c>
      <c r="U721" s="238">
        <v>1.9</v>
      </c>
      <c r="V721" s="238">
        <v>0.0</v>
      </c>
      <c r="W721" s="238">
        <v>0.0</v>
      </c>
      <c r="X721" s="235" t="s">
        <v>628</v>
      </c>
      <c r="Z721" s="244"/>
      <c r="AA721" s="244"/>
      <c r="AB721" s="244"/>
      <c r="AC721" s="235" t="s">
        <v>6436</v>
      </c>
      <c r="AD721" s="235" t="s">
        <v>1499</v>
      </c>
      <c r="AE721" s="238">
        <v>452010.0</v>
      </c>
      <c r="AF721" s="235" t="s">
        <v>631</v>
      </c>
      <c r="AG721" s="244"/>
      <c r="AH721" s="244"/>
      <c r="AI721" s="245"/>
      <c r="AJ721" s="245"/>
      <c r="AK721" s="245"/>
      <c r="AL721" s="245"/>
      <c r="AM721" s="244"/>
      <c r="AN721" s="244"/>
      <c r="AO721" s="238">
        <v>0.0</v>
      </c>
      <c r="AP721" s="238">
        <v>-38.1</v>
      </c>
      <c r="AQ721" s="235" t="s">
        <v>632</v>
      </c>
      <c r="AR721" s="243">
        <v>3.71E11</v>
      </c>
      <c r="AS721" s="235" t="s">
        <v>3284</v>
      </c>
      <c r="AT721" s="235" t="s">
        <v>5</v>
      </c>
      <c r="AU721" s="235" t="s">
        <v>634</v>
      </c>
      <c r="AV721" s="246" t="s">
        <v>635</v>
      </c>
      <c r="AW721" s="242"/>
      <c r="AX721" s="242"/>
      <c r="AY721" s="231"/>
      <c r="AZ721" s="231"/>
      <c r="BA721" s="227"/>
      <c r="BB721" s="231"/>
      <c r="BC721" s="227"/>
      <c r="BD721" s="227"/>
      <c r="BE721" s="227"/>
      <c r="BF721" s="227"/>
    </row>
    <row r="722">
      <c r="A722" s="235" t="s">
        <v>6437</v>
      </c>
      <c r="C722" s="235" t="s">
        <v>6438</v>
      </c>
      <c r="D722" s="235" t="s">
        <v>6439</v>
      </c>
      <c r="E722" s="243">
        <v>6.56E13</v>
      </c>
      <c r="F722" s="245"/>
      <c r="G722" s="235" t="s">
        <v>6440</v>
      </c>
      <c r="H722" s="235" t="s">
        <v>6441</v>
      </c>
      <c r="I722" s="235" t="s">
        <v>6441</v>
      </c>
      <c r="J722" s="235" t="s">
        <v>6442</v>
      </c>
      <c r="K722" s="235" t="s">
        <v>6443</v>
      </c>
      <c r="N722" s="235" t="s">
        <v>86</v>
      </c>
      <c r="O722" s="235" t="s">
        <v>1811</v>
      </c>
      <c r="P722" s="238">
        <v>1.0</v>
      </c>
      <c r="Q722" s="235" t="s">
        <v>627</v>
      </c>
      <c r="R722" s="238">
        <v>246.66</v>
      </c>
      <c r="S722" s="238">
        <v>12.34</v>
      </c>
      <c r="T722" s="238">
        <v>38.1</v>
      </c>
      <c r="U722" s="238">
        <v>1.9</v>
      </c>
      <c r="V722" s="238">
        <v>0.0</v>
      </c>
      <c r="W722" s="238">
        <v>0.0</v>
      </c>
      <c r="X722" s="235" t="s">
        <v>628</v>
      </c>
      <c r="Z722" s="244"/>
      <c r="AA722" s="244"/>
      <c r="AB722" s="244"/>
      <c r="AC722" s="235" t="s">
        <v>678</v>
      </c>
      <c r="AD722" s="235" t="s">
        <v>679</v>
      </c>
      <c r="AE722" s="238">
        <v>560008.0</v>
      </c>
      <c r="AF722" s="235" t="s">
        <v>631</v>
      </c>
      <c r="AG722" s="244"/>
      <c r="AH722" s="244"/>
      <c r="AI722" s="245"/>
      <c r="AJ722" s="245"/>
      <c r="AK722" s="245"/>
      <c r="AL722" s="245"/>
      <c r="AM722" s="244"/>
      <c r="AN722" s="244"/>
      <c r="AO722" s="238">
        <v>0.0</v>
      </c>
      <c r="AP722" s="238">
        <v>-38.1</v>
      </c>
      <c r="AQ722" s="235" t="s">
        <v>632</v>
      </c>
      <c r="AR722" s="243">
        <v>3.71E11</v>
      </c>
      <c r="AS722" s="235" t="s">
        <v>4697</v>
      </c>
      <c r="AT722" s="235" t="s">
        <v>9</v>
      </c>
      <c r="AU722" s="235" t="s">
        <v>634</v>
      </c>
      <c r="AV722" s="246" t="s">
        <v>635</v>
      </c>
      <c r="AW722" s="242"/>
      <c r="AX722" s="242"/>
      <c r="AY722" s="231"/>
      <c r="AZ722" s="231"/>
      <c r="BA722" s="227"/>
      <c r="BB722" s="231"/>
      <c r="BC722" s="227"/>
      <c r="BD722" s="227"/>
      <c r="BE722" s="227"/>
      <c r="BF722" s="227"/>
    </row>
    <row r="723">
      <c r="A723" s="235" t="s">
        <v>6444</v>
      </c>
      <c r="C723" s="235" t="s">
        <v>6445</v>
      </c>
      <c r="D723" s="235" t="s">
        <v>6446</v>
      </c>
      <c r="E723" s="243">
        <v>6.56E13</v>
      </c>
      <c r="F723" s="245"/>
      <c r="G723" s="235" t="s">
        <v>6447</v>
      </c>
      <c r="H723" s="235" t="s">
        <v>6448</v>
      </c>
      <c r="I723" s="235" t="s">
        <v>6448</v>
      </c>
      <c r="J723" s="235" t="s">
        <v>6449</v>
      </c>
      <c r="K723" s="235" t="s">
        <v>6450</v>
      </c>
      <c r="N723" s="235" t="s">
        <v>0</v>
      </c>
      <c r="O723" s="235" t="s">
        <v>740</v>
      </c>
      <c r="P723" s="238">
        <v>1.0</v>
      </c>
      <c r="Q723" s="235" t="s">
        <v>627</v>
      </c>
      <c r="R723" s="238">
        <v>265.71</v>
      </c>
      <c r="S723" s="238">
        <v>13.29</v>
      </c>
      <c r="T723" s="238">
        <v>38.1</v>
      </c>
      <c r="U723" s="238">
        <v>1.9</v>
      </c>
      <c r="V723" s="238">
        <v>0.0</v>
      </c>
      <c r="W723" s="238">
        <v>0.0</v>
      </c>
      <c r="X723" s="235" t="s">
        <v>628</v>
      </c>
      <c r="Z723" s="244"/>
      <c r="AA723" s="244"/>
      <c r="AB723" s="244"/>
      <c r="AC723" s="235" t="s">
        <v>6451</v>
      </c>
      <c r="AD723" s="235" t="s">
        <v>630</v>
      </c>
      <c r="AE723" s="238">
        <v>273305.0</v>
      </c>
      <c r="AF723" s="235" t="s">
        <v>631</v>
      </c>
      <c r="AG723" s="244"/>
      <c r="AH723" s="244"/>
      <c r="AI723" s="245"/>
      <c r="AJ723" s="245"/>
      <c r="AK723" s="245"/>
      <c r="AL723" s="245"/>
      <c r="AM723" s="244"/>
      <c r="AN723" s="244"/>
      <c r="AO723" s="238">
        <v>0.0</v>
      </c>
      <c r="AP723" s="238">
        <v>-38.1</v>
      </c>
      <c r="AQ723" s="235" t="s">
        <v>1328</v>
      </c>
      <c r="AR723" s="243">
        <v>1.34E13</v>
      </c>
      <c r="AS723" s="235" t="s">
        <v>667</v>
      </c>
      <c r="AT723" s="235" t="s">
        <v>13</v>
      </c>
      <c r="AU723" s="235" t="s">
        <v>634</v>
      </c>
      <c r="AV723" s="246" t="s">
        <v>635</v>
      </c>
      <c r="AW723" s="242"/>
      <c r="AX723" s="242"/>
      <c r="AY723" s="231"/>
      <c r="AZ723" s="231"/>
      <c r="BA723" s="227"/>
      <c r="BB723" s="231"/>
      <c r="BC723" s="227"/>
      <c r="BD723" s="227"/>
      <c r="BE723" s="227"/>
      <c r="BF723" s="227"/>
    </row>
    <row r="724">
      <c r="A724" s="235" t="s">
        <v>6452</v>
      </c>
      <c r="C724" s="235" t="s">
        <v>6453</v>
      </c>
      <c r="D724" s="235" t="s">
        <v>6454</v>
      </c>
      <c r="E724" s="243">
        <v>6.55E13</v>
      </c>
      <c r="F724" s="245"/>
      <c r="G724" s="235" t="s">
        <v>6455</v>
      </c>
      <c r="H724" s="235" t="s">
        <v>6456</v>
      </c>
      <c r="I724" s="235" t="s">
        <v>6456</v>
      </c>
      <c r="J724" s="235" t="s">
        <v>6457</v>
      </c>
      <c r="K724" s="235" t="s">
        <v>6458</v>
      </c>
      <c r="N724" s="235" t="s">
        <v>82</v>
      </c>
      <c r="O724" s="235" t="s">
        <v>889</v>
      </c>
      <c r="P724" s="238">
        <v>1.0</v>
      </c>
      <c r="Q724" s="235" t="s">
        <v>627</v>
      </c>
      <c r="R724" s="238">
        <v>246.66</v>
      </c>
      <c r="S724" s="238">
        <v>12.34</v>
      </c>
      <c r="T724" s="238">
        <v>38.1</v>
      </c>
      <c r="U724" s="238">
        <v>1.9</v>
      </c>
      <c r="V724" s="238">
        <v>0.0</v>
      </c>
      <c r="W724" s="238">
        <v>0.0</v>
      </c>
      <c r="X724" s="235" t="s">
        <v>628</v>
      </c>
      <c r="Z724" s="244"/>
      <c r="AA724" s="244"/>
      <c r="AB724" s="244"/>
      <c r="AC724" s="235" t="s">
        <v>6459</v>
      </c>
      <c r="AD724" s="235" t="s">
        <v>679</v>
      </c>
      <c r="AE724" s="238">
        <v>563101.0</v>
      </c>
      <c r="AF724" s="235" t="s">
        <v>631</v>
      </c>
      <c r="AG724" s="244"/>
      <c r="AH724" s="244"/>
      <c r="AI724" s="245"/>
      <c r="AJ724" s="245"/>
      <c r="AK724" s="245"/>
      <c r="AL724" s="245"/>
      <c r="AM724" s="244"/>
      <c r="AN724" s="244"/>
      <c r="AO724" s="238">
        <v>0.0</v>
      </c>
      <c r="AP724" s="238">
        <v>-38.1</v>
      </c>
      <c r="AQ724" s="235" t="s">
        <v>632</v>
      </c>
      <c r="AR724" s="243">
        <v>3.71E11</v>
      </c>
      <c r="AS724" s="235" t="s">
        <v>4697</v>
      </c>
      <c r="AT724" s="235" t="s">
        <v>9</v>
      </c>
      <c r="AU724" s="235" t="s">
        <v>634</v>
      </c>
      <c r="AV724" s="246" t="s">
        <v>635</v>
      </c>
      <c r="AW724" s="242"/>
      <c r="AX724" s="242"/>
      <c r="AY724" s="231"/>
      <c r="AZ724" s="231"/>
      <c r="BA724" s="227"/>
      <c r="BB724" s="231"/>
      <c r="BC724" s="227"/>
      <c r="BD724" s="227"/>
      <c r="BE724" s="227"/>
      <c r="BF724" s="227"/>
    </row>
    <row r="725">
      <c r="A725" s="235" t="s">
        <v>6460</v>
      </c>
      <c r="C725" s="235" t="s">
        <v>6461</v>
      </c>
      <c r="D725" s="235" t="s">
        <v>6462</v>
      </c>
      <c r="E725" s="243">
        <v>6.56E13</v>
      </c>
      <c r="F725" s="245"/>
      <c r="G725" s="235" t="s">
        <v>6463</v>
      </c>
      <c r="H725" s="235" t="s">
        <v>6464</v>
      </c>
      <c r="I725" s="235" t="s">
        <v>6465</v>
      </c>
      <c r="J725" s="235" t="s">
        <v>6466</v>
      </c>
      <c r="K725" s="235" t="s">
        <v>6467</v>
      </c>
      <c r="N725" s="235" t="s">
        <v>92</v>
      </c>
      <c r="O725" s="235" t="s">
        <v>248</v>
      </c>
      <c r="P725" s="238">
        <v>1.0</v>
      </c>
      <c r="Q725" s="235" t="s">
        <v>627</v>
      </c>
      <c r="R725" s="238">
        <v>246.67</v>
      </c>
      <c r="S725" s="238">
        <v>12.33</v>
      </c>
      <c r="T725" s="238">
        <v>0.0</v>
      </c>
      <c r="U725" s="238">
        <v>0.0</v>
      </c>
      <c r="V725" s="238">
        <v>0.0</v>
      </c>
      <c r="W725" s="238">
        <v>0.0</v>
      </c>
      <c r="X725" s="235" t="s">
        <v>628</v>
      </c>
      <c r="Z725" s="244"/>
      <c r="AA725" s="244"/>
      <c r="AB725" s="244"/>
      <c r="AC725" s="235" t="s">
        <v>6468</v>
      </c>
      <c r="AD725" s="235" t="s">
        <v>908</v>
      </c>
      <c r="AE725" s="238">
        <v>248001.0</v>
      </c>
      <c r="AF725" s="235" t="s">
        <v>631</v>
      </c>
      <c r="AG725" s="244"/>
      <c r="AH725" s="244"/>
      <c r="AI725" s="245"/>
      <c r="AJ725" s="245"/>
      <c r="AK725" s="245"/>
      <c r="AL725" s="245"/>
      <c r="AM725" s="244"/>
      <c r="AN725" s="244"/>
      <c r="AO725" s="238">
        <v>0.0</v>
      </c>
      <c r="AP725" s="238">
        <v>0.0</v>
      </c>
      <c r="AQ725" s="235" t="s">
        <v>632</v>
      </c>
      <c r="AR725" s="243">
        <v>1.68E11</v>
      </c>
      <c r="AS725" s="235" t="s">
        <v>3284</v>
      </c>
      <c r="AT725" s="235" t="s">
        <v>14</v>
      </c>
      <c r="AU725" s="235" t="s">
        <v>634</v>
      </c>
      <c r="AV725" s="246" t="s">
        <v>635</v>
      </c>
      <c r="AW725" s="242"/>
      <c r="AX725" s="242"/>
      <c r="AY725" s="231"/>
      <c r="AZ725" s="231"/>
      <c r="BA725" s="227"/>
      <c r="BB725" s="231"/>
      <c r="BC725" s="227"/>
      <c r="BD725" s="227"/>
      <c r="BE725" s="227"/>
      <c r="BF725" s="227"/>
    </row>
    <row r="726">
      <c r="A726" s="235" t="s">
        <v>6469</v>
      </c>
      <c r="C726" s="235" t="s">
        <v>6470</v>
      </c>
      <c r="D726" s="235" t="s">
        <v>6471</v>
      </c>
      <c r="E726" s="243">
        <v>6.56E13</v>
      </c>
      <c r="F726" s="245"/>
      <c r="G726" s="235" t="s">
        <v>6472</v>
      </c>
      <c r="H726" s="235" t="s">
        <v>6473</v>
      </c>
      <c r="I726" s="235" t="s">
        <v>6474</v>
      </c>
      <c r="J726" s="235" t="s">
        <v>6475</v>
      </c>
      <c r="K726" s="235" t="s">
        <v>6476</v>
      </c>
      <c r="N726" s="235" t="s">
        <v>842</v>
      </c>
      <c r="O726" s="235" t="s">
        <v>843</v>
      </c>
      <c r="P726" s="238">
        <v>1.0</v>
      </c>
      <c r="Q726" s="235" t="s">
        <v>627</v>
      </c>
      <c r="R726" s="238">
        <v>246.66</v>
      </c>
      <c r="S726" s="238">
        <v>12.34</v>
      </c>
      <c r="T726" s="238">
        <v>0.0</v>
      </c>
      <c r="U726" s="238">
        <v>0.0</v>
      </c>
      <c r="V726" s="238">
        <v>0.0</v>
      </c>
      <c r="W726" s="238">
        <v>0.0</v>
      </c>
      <c r="X726" s="235" t="s">
        <v>628</v>
      </c>
      <c r="Z726" s="244"/>
      <c r="AA726" s="244"/>
      <c r="AB726" s="244"/>
      <c r="AC726" s="235" t="s">
        <v>2268</v>
      </c>
      <c r="AD726" s="235" t="s">
        <v>845</v>
      </c>
      <c r="AE726" s="238">
        <v>441108.0</v>
      </c>
      <c r="AF726" s="235" t="s">
        <v>631</v>
      </c>
      <c r="AG726" s="244"/>
      <c r="AH726" s="244"/>
      <c r="AI726" s="245"/>
      <c r="AJ726" s="245"/>
      <c r="AK726" s="245"/>
      <c r="AL726" s="245"/>
      <c r="AM726" s="244"/>
      <c r="AN726" s="244"/>
      <c r="AO726" s="238">
        <v>0.0</v>
      </c>
      <c r="AP726" s="238">
        <v>0.0</v>
      </c>
      <c r="AQ726" s="235" t="s">
        <v>632</v>
      </c>
      <c r="AR726" s="243">
        <v>3.71E11</v>
      </c>
      <c r="AS726" s="235" t="s">
        <v>3284</v>
      </c>
      <c r="AT726" s="235" t="s">
        <v>17</v>
      </c>
      <c r="AU726" s="235" t="s">
        <v>634</v>
      </c>
      <c r="AV726" s="246" t="s">
        <v>635</v>
      </c>
      <c r="AW726" s="242"/>
      <c r="AX726" s="242"/>
      <c r="AY726" s="231"/>
      <c r="AZ726" s="231"/>
      <c r="BA726" s="227"/>
      <c r="BB726" s="231"/>
      <c r="BC726" s="227"/>
      <c r="BD726" s="227"/>
      <c r="BE726" s="227"/>
      <c r="BF726" s="227"/>
    </row>
    <row r="727">
      <c r="A727" s="235" t="s">
        <v>6477</v>
      </c>
      <c r="C727" s="235" t="s">
        <v>6478</v>
      </c>
      <c r="D727" s="235" t="s">
        <v>6479</v>
      </c>
      <c r="E727" s="243">
        <v>6.56E13</v>
      </c>
      <c r="F727" s="245"/>
      <c r="G727" s="235" t="s">
        <v>6480</v>
      </c>
      <c r="H727" s="235" t="s">
        <v>6481</v>
      </c>
      <c r="I727" s="235" t="s">
        <v>6481</v>
      </c>
      <c r="J727" s="235" t="s">
        <v>6482</v>
      </c>
      <c r="K727" s="235" t="s">
        <v>6483</v>
      </c>
      <c r="N727" s="235" t="s">
        <v>90</v>
      </c>
      <c r="O727" s="235" t="s">
        <v>279</v>
      </c>
      <c r="P727" s="238">
        <v>1.0</v>
      </c>
      <c r="Q727" s="235" t="s">
        <v>627</v>
      </c>
      <c r="R727" s="238">
        <v>246.66</v>
      </c>
      <c r="S727" s="238">
        <v>12.34</v>
      </c>
      <c r="T727" s="238">
        <v>0.0</v>
      </c>
      <c r="U727" s="238">
        <v>0.0</v>
      </c>
      <c r="V727" s="238">
        <v>0.0</v>
      </c>
      <c r="W727" s="238">
        <v>0.0</v>
      </c>
      <c r="X727" s="235" t="s">
        <v>628</v>
      </c>
      <c r="Z727" s="244"/>
      <c r="AA727" s="244"/>
      <c r="AB727" s="244"/>
      <c r="AC727" s="235" t="s">
        <v>6484</v>
      </c>
      <c r="AD727" s="235" t="s">
        <v>845</v>
      </c>
      <c r="AE727" s="238">
        <v>413132.0</v>
      </c>
      <c r="AF727" s="235" t="s">
        <v>631</v>
      </c>
      <c r="AG727" s="244"/>
      <c r="AH727" s="244"/>
      <c r="AI727" s="245"/>
      <c r="AJ727" s="245"/>
      <c r="AK727" s="245"/>
      <c r="AL727" s="245"/>
      <c r="AM727" s="244"/>
      <c r="AN727" s="244"/>
      <c r="AO727" s="238">
        <v>0.0</v>
      </c>
      <c r="AP727" s="238">
        <v>0.0</v>
      </c>
      <c r="AQ727" s="235" t="s">
        <v>632</v>
      </c>
      <c r="AR727" s="243">
        <v>3.71E11</v>
      </c>
      <c r="AS727" s="235" t="s">
        <v>3284</v>
      </c>
      <c r="AT727" s="235" t="s">
        <v>546</v>
      </c>
      <c r="AU727" s="235" t="s">
        <v>634</v>
      </c>
      <c r="AV727" s="246" t="s">
        <v>635</v>
      </c>
      <c r="AW727" s="242"/>
      <c r="AX727" s="242"/>
      <c r="AY727" s="231"/>
      <c r="AZ727" s="231"/>
      <c r="BA727" s="227"/>
      <c r="BB727" s="227"/>
      <c r="BC727" s="227"/>
      <c r="BD727" s="227"/>
      <c r="BE727" s="227"/>
      <c r="BF727" s="227"/>
    </row>
    <row r="728">
      <c r="A728" s="235" t="s">
        <v>6485</v>
      </c>
      <c r="C728" s="235" t="s">
        <v>6486</v>
      </c>
      <c r="D728" s="235" t="s">
        <v>6487</v>
      </c>
      <c r="E728" s="243">
        <v>6.56E13</v>
      </c>
      <c r="F728" s="245"/>
      <c r="G728" s="235" t="s">
        <v>6488</v>
      </c>
      <c r="H728" s="235" t="s">
        <v>6489</v>
      </c>
      <c r="I728" s="235" t="s">
        <v>6489</v>
      </c>
      <c r="J728" s="235" t="s">
        <v>6490</v>
      </c>
      <c r="K728" s="235" t="s">
        <v>6491</v>
      </c>
      <c r="N728" s="235" t="s">
        <v>42</v>
      </c>
      <c r="O728" s="235" t="s">
        <v>204</v>
      </c>
      <c r="P728" s="238">
        <v>1.0</v>
      </c>
      <c r="Q728" s="235" t="s">
        <v>627</v>
      </c>
      <c r="R728" s="238">
        <v>237.14</v>
      </c>
      <c r="S728" s="238">
        <v>11.86</v>
      </c>
      <c r="T728" s="238">
        <v>0.0</v>
      </c>
      <c r="U728" s="238">
        <v>0.0</v>
      </c>
      <c r="V728" s="238">
        <v>0.0</v>
      </c>
      <c r="W728" s="238">
        <v>0.0</v>
      </c>
      <c r="X728" s="235" t="s">
        <v>628</v>
      </c>
      <c r="Z728" s="244"/>
      <c r="AA728" s="244"/>
      <c r="AB728" s="244"/>
      <c r="AC728" s="235" t="s">
        <v>2493</v>
      </c>
      <c r="AD728" s="235" t="s">
        <v>833</v>
      </c>
      <c r="AE728" s="238">
        <v>522501.0</v>
      </c>
      <c r="AF728" s="235" t="s">
        <v>631</v>
      </c>
      <c r="AG728" s="244"/>
      <c r="AH728" s="244"/>
      <c r="AI728" s="245"/>
      <c r="AJ728" s="245"/>
      <c r="AK728" s="245"/>
      <c r="AL728" s="245"/>
      <c r="AM728" s="244"/>
      <c r="AN728" s="244"/>
      <c r="AO728" s="238">
        <v>0.0</v>
      </c>
      <c r="AP728" s="238">
        <v>0.0</v>
      </c>
      <c r="AQ728" s="235" t="s">
        <v>632</v>
      </c>
      <c r="AR728" s="243">
        <v>1.68E11</v>
      </c>
      <c r="AS728" s="235" t="s">
        <v>4697</v>
      </c>
      <c r="AT728" s="235" t="s">
        <v>156</v>
      </c>
      <c r="AU728" s="235" t="s">
        <v>634</v>
      </c>
      <c r="AV728" s="246" t="s">
        <v>635</v>
      </c>
      <c r="AW728" s="242"/>
      <c r="AX728" s="242"/>
      <c r="AY728" s="231"/>
      <c r="AZ728" s="231"/>
      <c r="BA728" s="227"/>
      <c r="BB728" s="231"/>
      <c r="BC728" s="227"/>
      <c r="BD728" s="227"/>
      <c r="BE728" s="227"/>
      <c r="BF728" s="227"/>
    </row>
    <row r="729">
      <c r="A729" s="235" t="s">
        <v>6492</v>
      </c>
      <c r="C729" s="235" t="s">
        <v>6493</v>
      </c>
      <c r="D729" s="235" t="s">
        <v>6494</v>
      </c>
      <c r="E729" s="243">
        <v>6.56E13</v>
      </c>
      <c r="F729" s="245"/>
      <c r="G729" s="235" t="s">
        <v>6495</v>
      </c>
      <c r="H729" s="235" t="s">
        <v>6496</v>
      </c>
      <c r="I729" s="235" t="s">
        <v>6496</v>
      </c>
      <c r="J729" s="235" t="s">
        <v>6497</v>
      </c>
      <c r="K729" s="235" t="s">
        <v>6498</v>
      </c>
      <c r="N729" s="235" t="s">
        <v>144</v>
      </c>
      <c r="O729" s="235" t="s">
        <v>232</v>
      </c>
      <c r="P729" s="238">
        <v>1.0</v>
      </c>
      <c r="Q729" s="235" t="s">
        <v>627</v>
      </c>
      <c r="R729" s="238">
        <v>665.71</v>
      </c>
      <c r="S729" s="238">
        <v>33.29</v>
      </c>
      <c r="T729" s="238">
        <v>0.0</v>
      </c>
      <c r="U729" s="238">
        <v>0.0</v>
      </c>
      <c r="V729" s="238">
        <v>0.0</v>
      </c>
      <c r="W729" s="238">
        <v>0.0</v>
      </c>
      <c r="X729" s="235" t="s">
        <v>628</v>
      </c>
      <c r="Z729" s="244"/>
      <c r="AA729" s="244"/>
      <c r="AB729" s="244"/>
      <c r="AC729" s="235" t="s">
        <v>2833</v>
      </c>
      <c r="AD729" s="235" t="s">
        <v>1499</v>
      </c>
      <c r="AE729" s="238">
        <v>450001.0</v>
      </c>
      <c r="AF729" s="235" t="s">
        <v>631</v>
      </c>
      <c r="AG729" s="244"/>
      <c r="AH729" s="244"/>
      <c r="AI729" s="245"/>
      <c r="AJ729" s="245"/>
      <c r="AK729" s="245"/>
      <c r="AL729" s="245"/>
      <c r="AM729" s="244"/>
      <c r="AN729" s="244"/>
      <c r="AO729" s="238">
        <v>0.0</v>
      </c>
      <c r="AP729" s="238">
        <v>0.0</v>
      </c>
      <c r="AQ729" s="235" t="s">
        <v>632</v>
      </c>
      <c r="AR729" s="243">
        <v>3.71E11</v>
      </c>
      <c r="AS729" s="235" t="s">
        <v>2276</v>
      </c>
      <c r="AT729" s="235" t="s">
        <v>5</v>
      </c>
      <c r="AU729" s="235" t="s">
        <v>634</v>
      </c>
      <c r="AV729" s="246" t="s">
        <v>635</v>
      </c>
      <c r="AW729" s="242"/>
      <c r="AX729" s="242"/>
      <c r="AY729" s="231"/>
      <c r="AZ729" s="231"/>
      <c r="BA729" s="227"/>
      <c r="BB729" s="231"/>
      <c r="BC729" s="227"/>
      <c r="BD729" s="227"/>
      <c r="BE729" s="227"/>
      <c r="BF729" s="227"/>
    </row>
    <row r="730">
      <c r="A730" s="235" t="s">
        <v>6499</v>
      </c>
      <c r="C730" s="235" t="s">
        <v>6500</v>
      </c>
      <c r="D730" s="235" t="s">
        <v>6501</v>
      </c>
      <c r="E730" s="243">
        <v>6.56E13</v>
      </c>
      <c r="F730" s="245"/>
      <c r="G730" s="235" t="s">
        <v>6502</v>
      </c>
      <c r="H730" s="235" t="s">
        <v>6503</v>
      </c>
      <c r="I730" s="235" t="s">
        <v>6503</v>
      </c>
      <c r="J730" s="235" t="s">
        <v>6504</v>
      </c>
      <c r="K730" s="235" t="s">
        <v>6505</v>
      </c>
      <c r="N730" s="235" t="s">
        <v>726</v>
      </c>
      <c r="O730" s="235" t="s">
        <v>727</v>
      </c>
      <c r="P730" s="238">
        <v>1.0</v>
      </c>
      <c r="Q730" s="235" t="s">
        <v>627</v>
      </c>
      <c r="R730" s="238">
        <v>246.67</v>
      </c>
      <c r="S730" s="238">
        <v>12.33</v>
      </c>
      <c r="T730" s="238">
        <v>38.1</v>
      </c>
      <c r="U730" s="238">
        <v>1.9</v>
      </c>
      <c r="V730" s="238">
        <v>0.0</v>
      </c>
      <c r="W730" s="238">
        <v>0.0</v>
      </c>
      <c r="X730" s="235" t="s">
        <v>628</v>
      </c>
      <c r="Z730" s="244"/>
      <c r="AA730" s="244"/>
      <c r="AB730" s="244"/>
      <c r="AC730" s="235" t="s">
        <v>6506</v>
      </c>
      <c r="AD730" s="235" t="s">
        <v>1086</v>
      </c>
      <c r="AE730" s="238">
        <v>144515.0</v>
      </c>
      <c r="AF730" s="235" t="s">
        <v>631</v>
      </c>
      <c r="AG730" s="244"/>
      <c r="AH730" s="244"/>
      <c r="AI730" s="245"/>
      <c r="AJ730" s="245"/>
      <c r="AK730" s="245"/>
      <c r="AL730" s="245"/>
      <c r="AM730" s="244"/>
      <c r="AN730" s="244"/>
      <c r="AO730" s="238">
        <v>0.0</v>
      </c>
      <c r="AP730" s="238">
        <v>-38.1</v>
      </c>
      <c r="AQ730" s="235" t="s">
        <v>632</v>
      </c>
      <c r="AR730" s="243">
        <v>3.71E11</v>
      </c>
      <c r="AS730" s="235" t="s">
        <v>3284</v>
      </c>
      <c r="AT730" s="235" t="s">
        <v>14</v>
      </c>
      <c r="AU730" s="235" t="s">
        <v>634</v>
      </c>
      <c r="AV730" s="246" t="s">
        <v>635</v>
      </c>
      <c r="AW730" s="242"/>
      <c r="AX730" s="242"/>
      <c r="AY730" s="231"/>
      <c r="AZ730" s="231"/>
      <c r="BA730" s="227"/>
      <c r="BB730" s="231"/>
      <c r="BC730" s="227"/>
      <c r="BD730" s="227"/>
      <c r="BE730" s="227"/>
      <c r="BF730" s="227"/>
    </row>
    <row r="731">
      <c r="A731" s="235" t="s">
        <v>6507</v>
      </c>
      <c r="C731" s="235" t="s">
        <v>6508</v>
      </c>
      <c r="D731" s="235" t="s">
        <v>6509</v>
      </c>
      <c r="E731" s="243">
        <v>6.56E13</v>
      </c>
      <c r="F731" s="245"/>
      <c r="G731" s="235" t="s">
        <v>6510</v>
      </c>
      <c r="H731" s="235" t="s">
        <v>6511</v>
      </c>
      <c r="I731" s="235" t="s">
        <v>6511</v>
      </c>
      <c r="J731" s="235" t="s">
        <v>6512</v>
      </c>
      <c r="K731" s="235" t="s">
        <v>6513</v>
      </c>
      <c r="N731" s="235" t="s">
        <v>85</v>
      </c>
      <c r="O731" s="235" t="s">
        <v>872</v>
      </c>
      <c r="P731" s="238">
        <v>1.0</v>
      </c>
      <c r="Q731" s="235" t="s">
        <v>627</v>
      </c>
      <c r="R731" s="238">
        <v>246.66</v>
      </c>
      <c r="S731" s="238">
        <v>12.34</v>
      </c>
      <c r="T731" s="238">
        <v>38.1</v>
      </c>
      <c r="U731" s="238">
        <v>1.9</v>
      </c>
      <c r="V731" s="238">
        <v>0.0</v>
      </c>
      <c r="W731" s="238">
        <v>0.0</v>
      </c>
      <c r="X731" s="235" t="s">
        <v>628</v>
      </c>
      <c r="Z731" s="244"/>
      <c r="AA731" s="244"/>
      <c r="AB731" s="244"/>
      <c r="AC731" s="235" t="s">
        <v>687</v>
      </c>
      <c r="AD731" s="235" t="s">
        <v>666</v>
      </c>
      <c r="AE731" s="238">
        <v>600100.0</v>
      </c>
      <c r="AF731" s="235" t="s">
        <v>631</v>
      </c>
      <c r="AG731" s="244"/>
      <c r="AH731" s="244"/>
      <c r="AI731" s="245"/>
      <c r="AJ731" s="245"/>
      <c r="AK731" s="245"/>
      <c r="AL731" s="245"/>
      <c r="AM731" s="244"/>
      <c r="AN731" s="244"/>
      <c r="AO731" s="238">
        <v>0.0</v>
      </c>
      <c r="AP731" s="238">
        <v>-38.1</v>
      </c>
      <c r="AQ731" s="235" t="s">
        <v>632</v>
      </c>
      <c r="AR731" s="243">
        <v>3.71E11</v>
      </c>
      <c r="AS731" s="235" t="s">
        <v>4697</v>
      </c>
      <c r="AT731" s="235" t="s">
        <v>156</v>
      </c>
      <c r="AU731" s="235" t="s">
        <v>634</v>
      </c>
      <c r="AV731" s="246" t="s">
        <v>635</v>
      </c>
      <c r="AW731" s="242"/>
      <c r="AX731" s="242"/>
      <c r="AY731" s="231"/>
      <c r="AZ731" s="231"/>
      <c r="BA731" s="227"/>
      <c r="BB731" s="231"/>
      <c r="BC731" s="227"/>
      <c r="BD731" s="227"/>
      <c r="BE731" s="227"/>
      <c r="BF731" s="227"/>
    </row>
    <row r="732">
      <c r="A732" s="235" t="s">
        <v>6514</v>
      </c>
      <c r="C732" s="235" t="s">
        <v>6515</v>
      </c>
      <c r="D732" s="235" t="s">
        <v>6516</v>
      </c>
      <c r="E732" s="243">
        <v>6.56E13</v>
      </c>
      <c r="F732" s="245"/>
      <c r="G732" s="235" t="s">
        <v>6517</v>
      </c>
      <c r="H732" s="235" t="s">
        <v>6518</v>
      </c>
      <c r="I732" s="235" t="s">
        <v>6518</v>
      </c>
      <c r="J732" s="235" t="s">
        <v>6519</v>
      </c>
      <c r="K732" s="235" t="s">
        <v>6520</v>
      </c>
      <c r="N732" s="235" t="s">
        <v>43</v>
      </c>
      <c r="O732" s="235" t="s">
        <v>276</v>
      </c>
      <c r="P732" s="238">
        <v>1.0</v>
      </c>
      <c r="Q732" s="235" t="s">
        <v>627</v>
      </c>
      <c r="R732" s="238">
        <v>237.14</v>
      </c>
      <c r="S732" s="238">
        <v>11.62</v>
      </c>
      <c r="T732" s="238">
        <v>0.0</v>
      </c>
      <c r="U732" s="238">
        <v>0.0</v>
      </c>
      <c r="V732" s="238">
        <v>0.0</v>
      </c>
      <c r="W732" s="238">
        <v>0.0</v>
      </c>
      <c r="X732" s="235" t="s">
        <v>628</v>
      </c>
      <c r="Z732" s="244"/>
      <c r="AA732" s="244"/>
      <c r="AB732" s="244"/>
      <c r="AC732" s="235" t="s">
        <v>6521</v>
      </c>
      <c r="AD732" s="235" t="s">
        <v>1151</v>
      </c>
      <c r="AE732" s="238">
        <v>711305.0</v>
      </c>
      <c r="AF732" s="235" t="s">
        <v>631</v>
      </c>
      <c r="AG732" s="244"/>
      <c r="AH732" s="244"/>
      <c r="AI732" s="245"/>
      <c r="AJ732" s="245"/>
      <c r="AK732" s="245"/>
      <c r="AL732" s="245"/>
      <c r="AM732" s="244"/>
      <c r="AN732" s="244"/>
      <c r="AO732" s="238">
        <v>-4.74</v>
      </c>
      <c r="AP732" s="238">
        <v>0.0</v>
      </c>
      <c r="AQ732" s="235" t="s">
        <v>1328</v>
      </c>
      <c r="AR732" s="243">
        <v>1.34E13</v>
      </c>
      <c r="AS732" s="235" t="s">
        <v>667</v>
      </c>
      <c r="AT732" s="235" t="s">
        <v>14</v>
      </c>
      <c r="AU732" s="235" t="s">
        <v>634</v>
      </c>
      <c r="AV732" s="246" t="s">
        <v>635</v>
      </c>
      <c r="AW732" s="242"/>
      <c r="AX732" s="242"/>
      <c r="AY732" s="231"/>
      <c r="AZ732" s="231"/>
      <c r="BA732" s="227"/>
      <c r="BB732" s="231"/>
      <c r="BC732" s="227"/>
      <c r="BD732" s="227"/>
      <c r="BE732" s="227"/>
      <c r="BF732" s="227"/>
    </row>
    <row r="733">
      <c r="A733" s="235" t="s">
        <v>6522</v>
      </c>
      <c r="C733" s="235" t="s">
        <v>6523</v>
      </c>
      <c r="D733" s="235" t="s">
        <v>6524</v>
      </c>
      <c r="E733" s="243">
        <v>6.56E13</v>
      </c>
      <c r="F733" s="245"/>
      <c r="G733" s="235" t="s">
        <v>6525</v>
      </c>
      <c r="H733" s="235" t="s">
        <v>6526</v>
      </c>
      <c r="I733" s="235" t="s">
        <v>6526</v>
      </c>
      <c r="J733" s="235" t="s">
        <v>6527</v>
      </c>
      <c r="K733" s="235" t="s">
        <v>6528</v>
      </c>
      <c r="N733" s="235" t="s">
        <v>127</v>
      </c>
      <c r="O733" s="235" t="s">
        <v>794</v>
      </c>
      <c r="P733" s="238">
        <v>1.0</v>
      </c>
      <c r="Q733" s="235" t="s">
        <v>627</v>
      </c>
      <c r="R733" s="238">
        <v>246.67</v>
      </c>
      <c r="S733" s="238">
        <v>12.33</v>
      </c>
      <c r="T733" s="238">
        <v>0.0</v>
      </c>
      <c r="U733" s="238">
        <v>0.0</v>
      </c>
      <c r="V733" s="238">
        <v>0.0</v>
      </c>
      <c r="W733" s="238">
        <v>0.0</v>
      </c>
      <c r="X733" s="235" t="s">
        <v>628</v>
      </c>
      <c r="Z733" s="244"/>
      <c r="AA733" s="244"/>
      <c r="AB733" s="244"/>
      <c r="AC733" s="235" t="s">
        <v>814</v>
      </c>
      <c r="AD733" s="235" t="s">
        <v>698</v>
      </c>
      <c r="AE733" s="238">
        <v>500028.0</v>
      </c>
      <c r="AF733" s="235" t="s">
        <v>631</v>
      </c>
      <c r="AG733" s="244"/>
      <c r="AH733" s="244"/>
      <c r="AI733" s="245"/>
      <c r="AJ733" s="245"/>
      <c r="AK733" s="245"/>
      <c r="AL733" s="245"/>
      <c r="AM733" s="244"/>
      <c r="AN733" s="244"/>
      <c r="AO733" s="238">
        <v>0.0</v>
      </c>
      <c r="AP733" s="238">
        <v>0.0</v>
      </c>
      <c r="AQ733" s="235" t="s">
        <v>632</v>
      </c>
      <c r="AR733" s="243">
        <v>2.02E11</v>
      </c>
      <c r="AS733" s="235" t="s">
        <v>4697</v>
      </c>
      <c r="AT733" s="235" t="s">
        <v>16</v>
      </c>
      <c r="AU733" s="235" t="s">
        <v>634</v>
      </c>
      <c r="AV733" s="246" t="s">
        <v>635</v>
      </c>
      <c r="AW733" s="242"/>
      <c r="AX733" s="242"/>
      <c r="AY733" s="231"/>
      <c r="AZ733" s="231"/>
      <c r="BA733" s="227"/>
      <c r="BB733" s="231"/>
      <c r="BC733" s="227"/>
      <c r="BD733" s="227"/>
      <c r="BE733" s="227"/>
      <c r="BF733" s="227"/>
    </row>
    <row r="734">
      <c r="A734" s="235" t="s">
        <v>6529</v>
      </c>
      <c r="C734" s="235" t="s">
        <v>6530</v>
      </c>
      <c r="D734" s="235" t="s">
        <v>6531</v>
      </c>
      <c r="E734" s="243">
        <v>6.56E13</v>
      </c>
      <c r="F734" s="245"/>
      <c r="G734" s="235" t="s">
        <v>6532</v>
      </c>
      <c r="H734" s="235" t="s">
        <v>6533</v>
      </c>
      <c r="I734" s="235" t="s">
        <v>6534</v>
      </c>
      <c r="J734" s="235" t="s">
        <v>6535</v>
      </c>
      <c r="K734" s="235" t="s">
        <v>6536</v>
      </c>
      <c r="N734" s="235" t="s">
        <v>127</v>
      </c>
      <c r="O734" s="235" t="s">
        <v>794</v>
      </c>
      <c r="P734" s="238">
        <v>1.0</v>
      </c>
      <c r="Q734" s="235" t="s">
        <v>627</v>
      </c>
      <c r="R734" s="238">
        <v>246.66</v>
      </c>
      <c r="S734" s="238">
        <v>12.34</v>
      </c>
      <c r="T734" s="238">
        <v>38.1</v>
      </c>
      <c r="U734" s="238">
        <v>1.9</v>
      </c>
      <c r="V734" s="238">
        <v>0.0</v>
      </c>
      <c r="W734" s="238">
        <v>0.0</v>
      </c>
      <c r="X734" s="235" t="s">
        <v>628</v>
      </c>
      <c r="Z734" s="244"/>
      <c r="AA734" s="244"/>
      <c r="AB734" s="244"/>
      <c r="AC734" s="235" t="s">
        <v>1058</v>
      </c>
      <c r="AD734" s="235" t="s">
        <v>845</v>
      </c>
      <c r="AE734" s="238">
        <v>400078.0</v>
      </c>
      <c r="AF734" s="235" t="s">
        <v>631</v>
      </c>
      <c r="AG734" s="244"/>
      <c r="AH734" s="244"/>
      <c r="AI734" s="245"/>
      <c r="AJ734" s="245"/>
      <c r="AK734" s="245"/>
      <c r="AL734" s="245"/>
      <c r="AM734" s="244"/>
      <c r="AN734" s="244"/>
      <c r="AO734" s="238">
        <v>0.0</v>
      </c>
      <c r="AP734" s="238">
        <v>-38.1</v>
      </c>
      <c r="AQ734" s="235" t="s">
        <v>632</v>
      </c>
      <c r="AR734" s="243">
        <v>3.71E11</v>
      </c>
      <c r="AS734" s="235" t="s">
        <v>4697</v>
      </c>
      <c r="AT734" s="235" t="s">
        <v>17</v>
      </c>
      <c r="AU734" s="235" t="s">
        <v>634</v>
      </c>
      <c r="AV734" s="246" t="s">
        <v>635</v>
      </c>
      <c r="AW734" s="242"/>
      <c r="AX734" s="242"/>
      <c r="AY734" s="231"/>
      <c r="AZ734" s="231"/>
      <c r="BA734" s="227"/>
      <c r="BB734" s="231"/>
      <c r="BC734" s="227"/>
      <c r="BD734" s="227"/>
      <c r="BE734" s="227"/>
      <c r="BF734" s="227"/>
    </row>
    <row r="735">
      <c r="A735" s="235" t="s">
        <v>6537</v>
      </c>
      <c r="C735" s="235" t="s">
        <v>6538</v>
      </c>
      <c r="D735" s="235" t="s">
        <v>6540</v>
      </c>
      <c r="E735" s="243">
        <v>6.56E13</v>
      </c>
      <c r="F735" s="245"/>
      <c r="G735" s="235" t="s">
        <v>6542</v>
      </c>
      <c r="H735" s="235" t="s">
        <v>6543</v>
      </c>
      <c r="I735" s="235" t="s">
        <v>6544</v>
      </c>
      <c r="J735" s="235" t="s">
        <v>6545</v>
      </c>
      <c r="K735" s="235" t="s">
        <v>6546</v>
      </c>
      <c r="N735" s="235" t="s">
        <v>127</v>
      </c>
      <c r="O735" s="235" t="s">
        <v>794</v>
      </c>
      <c r="P735" s="238">
        <v>1.0</v>
      </c>
      <c r="Q735" s="235" t="s">
        <v>627</v>
      </c>
      <c r="R735" s="238">
        <v>246.67</v>
      </c>
      <c r="S735" s="238">
        <v>12.33</v>
      </c>
      <c r="T735" s="238">
        <v>0.0</v>
      </c>
      <c r="U735" s="238">
        <v>0.0</v>
      </c>
      <c r="V735" s="238">
        <v>0.0</v>
      </c>
      <c r="W735" s="238">
        <v>0.0</v>
      </c>
      <c r="X735" s="235" t="s">
        <v>628</v>
      </c>
      <c r="Z735" s="244"/>
      <c r="AA735" s="244"/>
      <c r="AB735" s="244"/>
      <c r="AC735" s="235" t="s">
        <v>6547</v>
      </c>
      <c r="AD735" s="235" t="s">
        <v>645</v>
      </c>
      <c r="AE735" s="238">
        <v>683548.0</v>
      </c>
      <c r="AF735" s="235" t="s">
        <v>631</v>
      </c>
      <c r="AG735" s="244"/>
      <c r="AH735" s="244"/>
      <c r="AI735" s="245"/>
      <c r="AJ735" s="245"/>
      <c r="AK735" s="245"/>
      <c r="AL735" s="245"/>
      <c r="AM735" s="244"/>
      <c r="AN735" s="244"/>
      <c r="AO735" s="238">
        <v>0.0</v>
      </c>
      <c r="AP735" s="238">
        <v>0.0</v>
      </c>
      <c r="AQ735" s="235" t="s">
        <v>632</v>
      </c>
      <c r="AR735" s="243">
        <v>3.71E11</v>
      </c>
      <c r="AS735" s="235" t="s">
        <v>4697</v>
      </c>
      <c r="AT735" s="235" t="s">
        <v>155</v>
      </c>
      <c r="AU735" s="235" t="s">
        <v>634</v>
      </c>
      <c r="AV735" s="246" t="s">
        <v>635</v>
      </c>
      <c r="AW735" s="242"/>
      <c r="AX735" s="242"/>
      <c r="AY735" s="231"/>
      <c r="AZ735" s="231"/>
      <c r="BA735" s="227"/>
      <c r="BB735" s="231"/>
      <c r="BC735" s="227"/>
      <c r="BD735" s="227"/>
      <c r="BE735" s="227"/>
      <c r="BF735" s="227"/>
    </row>
    <row r="736">
      <c r="A736" s="235" t="s">
        <v>6548</v>
      </c>
      <c r="C736" s="235" t="s">
        <v>6549</v>
      </c>
      <c r="D736" s="235" t="s">
        <v>6550</v>
      </c>
      <c r="E736" s="243">
        <v>6.56E13</v>
      </c>
      <c r="F736" s="245"/>
      <c r="G736" s="235" t="s">
        <v>6551</v>
      </c>
      <c r="H736" s="235" t="s">
        <v>6552</v>
      </c>
      <c r="I736" s="235" t="s">
        <v>6552</v>
      </c>
      <c r="J736" s="235" t="s">
        <v>6553</v>
      </c>
      <c r="K736" s="235" t="s">
        <v>6554</v>
      </c>
      <c r="N736" s="235" t="s">
        <v>92</v>
      </c>
      <c r="O736" s="235" t="s">
        <v>248</v>
      </c>
      <c r="P736" s="238">
        <v>1.0</v>
      </c>
      <c r="Q736" s="235" t="s">
        <v>627</v>
      </c>
      <c r="R736" s="238">
        <v>246.66</v>
      </c>
      <c r="S736" s="238">
        <v>12.34</v>
      </c>
      <c r="T736" s="238">
        <v>0.0</v>
      </c>
      <c r="U736" s="238">
        <v>0.0</v>
      </c>
      <c r="V736" s="238">
        <v>0.0</v>
      </c>
      <c r="W736" s="238">
        <v>0.0</v>
      </c>
      <c r="X736" s="235" t="s">
        <v>628</v>
      </c>
      <c r="Z736" s="244"/>
      <c r="AA736" s="244"/>
      <c r="AB736" s="244"/>
      <c r="AC736" s="235" t="s">
        <v>6555</v>
      </c>
      <c r="AD736" s="235" t="s">
        <v>679</v>
      </c>
      <c r="AE736" s="238">
        <v>575015.0</v>
      </c>
      <c r="AF736" s="235" t="s">
        <v>631</v>
      </c>
      <c r="AG736" s="244"/>
      <c r="AH736" s="244"/>
      <c r="AI736" s="245"/>
      <c r="AJ736" s="245"/>
      <c r="AK736" s="245"/>
      <c r="AL736" s="245"/>
      <c r="AM736" s="244"/>
      <c r="AN736" s="244"/>
      <c r="AO736" s="238">
        <v>0.0</v>
      </c>
      <c r="AP736" s="238">
        <v>0.0</v>
      </c>
      <c r="AQ736" s="235" t="s">
        <v>632</v>
      </c>
      <c r="AR736" s="243">
        <v>3.71E11</v>
      </c>
      <c r="AS736" s="235" t="s">
        <v>3284</v>
      </c>
      <c r="AT736" s="235" t="s">
        <v>11</v>
      </c>
      <c r="AU736" s="235" t="s">
        <v>634</v>
      </c>
      <c r="AV736" s="246" t="s">
        <v>635</v>
      </c>
      <c r="AW736" s="242"/>
      <c r="AX736" s="242"/>
      <c r="AY736" s="231"/>
      <c r="AZ736" s="231"/>
      <c r="BA736" s="227"/>
      <c r="BB736" s="231"/>
      <c r="BC736" s="227"/>
      <c r="BD736" s="227"/>
      <c r="BE736" s="227"/>
      <c r="BF736" s="227"/>
    </row>
    <row r="737">
      <c r="A737" s="235" t="s">
        <v>6556</v>
      </c>
      <c r="C737" s="235" t="s">
        <v>6557</v>
      </c>
      <c r="D737" s="235" t="s">
        <v>6558</v>
      </c>
      <c r="E737" s="243">
        <v>6.56E13</v>
      </c>
      <c r="F737" s="245"/>
      <c r="G737" s="235" t="s">
        <v>6559</v>
      </c>
      <c r="H737" s="235" t="s">
        <v>6560</v>
      </c>
      <c r="I737" s="235" t="s">
        <v>6560</v>
      </c>
      <c r="J737" s="235" t="s">
        <v>6561</v>
      </c>
      <c r="K737" s="235" t="s">
        <v>6562</v>
      </c>
      <c r="N737" s="235" t="s">
        <v>92</v>
      </c>
      <c r="O737" s="235" t="s">
        <v>248</v>
      </c>
      <c r="P737" s="238">
        <v>1.0</v>
      </c>
      <c r="Q737" s="235" t="s">
        <v>627</v>
      </c>
      <c r="R737" s="238">
        <v>246.67</v>
      </c>
      <c r="S737" s="238">
        <v>12.33</v>
      </c>
      <c r="T737" s="238">
        <v>0.0</v>
      </c>
      <c r="U737" s="238">
        <v>0.0</v>
      </c>
      <c r="V737" s="238">
        <v>0.0</v>
      </c>
      <c r="W737" s="238">
        <v>0.0</v>
      </c>
      <c r="X737" s="235" t="s">
        <v>628</v>
      </c>
      <c r="Z737" s="244"/>
      <c r="AA737" s="244"/>
      <c r="AB737" s="244"/>
      <c r="AC737" s="235" t="s">
        <v>6563</v>
      </c>
      <c r="AD737" s="235" t="s">
        <v>645</v>
      </c>
      <c r="AE737" s="238">
        <v>680523.0</v>
      </c>
      <c r="AF737" s="235" t="s">
        <v>631</v>
      </c>
      <c r="AG737" s="244"/>
      <c r="AH737" s="244"/>
      <c r="AI737" s="245"/>
      <c r="AJ737" s="245"/>
      <c r="AK737" s="245"/>
      <c r="AL737" s="245"/>
      <c r="AM737" s="244"/>
      <c r="AN737" s="244"/>
      <c r="AO737" s="238">
        <v>0.0</v>
      </c>
      <c r="AP737" s="238">
        <v>0.0</v>
      </c>
      <c r="AQ737" s="235" t="s">
        <v>632</v>
      </c>
      <c r="AR737" s="243">
        <v>3.71E11</v>
      </c>
      <c r="AS737" s="235" t="s">
        <v>3284</v>
      </c>
      <c r="AT737" s="235" t="s">
        <v>11</v>
      </c>
      <c r="AU737" s="235" t="s">
        <v>634</v>
      </c>
      <c r="AV737" s="246" t="s">
        <v>635</v>
      </c>
      <c r="AW737" s="242"/>
      <c r="AX737" s="242"/>
      <c r="AY737" s="231"/>
      <c r="AZ737" s="231"/>
      <c r="BA737" s="227"/>
      <c r="BB737" s="231"/>
      <c r="BC737" s="227"/>
      <c r="BD737" s="227"/>
      <c r="BE737" s="227"/>
      <c r="BF737" s="227"/>
    </row>
    <row r="738">
      <c r="A738" s="235" t="s">
        <v>6564</v>
      </c>
      <c r="C738" s="235" t="s">
        <v>6565</v>
      </c>
      <c r="D738" s="235" t="s">
        <v>6566</v>
      </c>
      <c r="E738" s="243">
        <v>6.56E13</v>
      </c>
      <c r="F738" s="245"/>
      <c r="G738" s="235" t="s">
        <v>6567</v>
      </c>
      <c r="H738" s="235" t="s">
        <v>6568</v>
      </c>
      <c r="I738" s="235" t="s">
        <v>6568</v>
      </c>
      <c r="J738" s="235" t="s">
        <v>6569</v>
      </c>
      <c r="K738" s="235" t="s">
        <v>6570</v>
      </c>
      <c r="N738" s="235" t="s">
        <v>82</v>
      </c>
      <c r="O738" s="235" t="s">
        <v>889</v>
      </c>
      <c r="P738" s="238">
        <v>1.0</v>
      </c>
      <c r="Q738" s="235" t="s">
        <v>627</v>
      </c>
      <c r="R738" s="238">
        <v>246.67</v>
      </c>
      <c r="S738" s="238">
        <v>12.33</v>
      </c>
      <c r="T738" s="238">
        <v>38.1</v>
      </c>
      <c r="U738" s="238">
        <v>1.9</v>
      </c>
      <c r="V738" s="238">
        <v>0.0</v>
      </c>
      <c r="W738" s="238">
        <v>0.0</v>
      </c>
      <c r="X738" s="235" t="s">
        <v>628</v>
      </c>
      <c r="Z738" s="244"/>
      <c r="AA738" s="244"/>
      <c r="AB738" s="244"/>
      <c r="AC738" s="235" t="s">
        <v>6571</v>
      </c>
      <c r="AD738" s="235" t="s">
        <v>731</v>
      </c>
      <c r="AE738" s="238">
        <v>781036.0</v>
      </c>
      <c r="AF738" s="235" t="s">
        <v>631</v>
      </c>
      <c r="AG738" s="244"/>
      <c r="AH738" s="244"/>
      <c r="AI738" s="245"/>
      <c r="AJ738" s="245"/>
      <c r="AK738" s="245"/>
      <c r="AL738" s="245"/>
      <c r="AM738" s="244"/>
      <c r="AN738" s="244"/>
      <c r="AO738" s="238">
        <v>0.0</v>
      </c>
      <c r="AP738" s="238">
        <v>-38.1</v>
      </c>
      <c r="AQ738" s="235" t="s">
        <v>632</v>
      </c>
      <c r="AR738" s="243">
        <v>3.71E11</v>
      </c>
      <c r="AS738" s="235" t="s">
        <v>1367</v>
      </c>
      <c r="AT738" s="235" t="s">
        <v>13</v>
      </c>
      <c r="AU738" s="235" t="s">
        <v>634</v>
      </c>
      <c r="AV738" s="246" t="s">
        <v>635</v>
      </c>
      <c r="AW738" s="242"/>
      <c r="AX738" s="242"/>
      <c r="AY738" s="231"/>
      <c r="AZ738" s="231"/>
      <c r="BA738" s="227"/>
      <c r="BB738" s="231"/>
      <c r="BC738" s="227"/>
      <c r="BD738" s="227"/>
      <c r="BE738" s="227"/>
      <c r="BF738" s="227"/>
    </row>
    <row r="739">
      <c r="A739" s="235" t="s">
        <v>6572</v>
      </c>
      <c r="C739" s="235" t="s">
        <v>6573</v>
      </c>
      <c r="D739" s="235" t="s">
        <v>6574</v>
      </c>
      <c r="E739" s="243">
        <v>6.56E13</v>
      </c>
      <c r="F739" s="245"/>
      <c r="G739" s="235" t="s">
        <v>6575</v>
      </c>
      <c r="H739" s="235" t="s">
        <v>6576</v>
      </c>
      <c r="I739" s="235" t="s">
        <v>6577</v>
      </c>
      <c r="J739" s="235" t="s">
        <v>6578</v>
      </c>
      <c r="K739" s="235" t="s">
        <v>6579</v>
      </c>
      <c r="N739" s="235" t="s">
        <v>41</v>
      </c>
      <c r="O739" s="235" t="s">
        <v>291</v>
      </c>
      <c r="P739" s="238">
        <v>1.0</v>
      </c>
      <c r="Q739" s="235" t="s">
        <v>627</v>
      </c>
      <c r="R739" s="238">
        <v>237.14</v>
      </c>
      <c r="S739" s="238">
        <v>11.62</v>
      </c>
      <c r="T739" s="238">
        <v>0.0</v>
      </c>
      <c r="U739" s="238">
        <v>0.0</v>
      </c>
      <c r="V739" s="238">
        <v>0.0</v>
      </c>
      <c r="W739" s="238">
        <v>0.0</v>
      </c>
      <c r="X739" s="235" t="s">
        <v>628</v>
      </c>
      <c r="Z739" s="244"/>
      <c r="AA739" s="244"/>
      <c r="AB739" s="244"/>
      <c r="AC739" s="235" t="s">
        <v>697</v>
      </c>
      <c r="AD739" s="235" t="s">
        <v>698</v>
      </c>
      <c r="AE739" s="238">
        <v>500048.0</v>
      </c>
      <c r="AF739" s="235" t="s">
        <v>631</v>
      </c>
      <c r="AG739" s="244"/>
      <c r="AH739" s="244"/>
      <c r="AI739" s="245"/>
      <c r="AJ739" s="245"/>
      <c r="AK739" s="245"/>
      <c r="AL739" s="245"/>
      <c r="AM739" s="244"/>
      <c r="AN739" s="244"/>
      <c r="AO739" s="238">
        <v>-4.74</v>
      </c>
      <c r="AP739" s="238">
        <v>0.0</v>
      </c>
      <c r="AQ739" s="235" t="s">
        <v>632</v>
      </c>
      <c r="AR739" s="243">
        <v>1.68E11</v>
      </c>
      <c r="AS739" s="235" t="s">
        <v>4697</v>
      </c>
      <c r="AT739" s="235" t="s">
        <v>9</v>
      </c>
      <c r="AU739" s="235" t="s">
        <v>634</v>
      </c>
      <c r="AV739" s="246" t="s">
        <v>635</v>
      </c>
      <c r="AW739" s="242"/>
      <c r="AX739" s="242"/>
      <c r="AY739" s="231"/>
      <c r="AZ739" s="231"/>
      <c r="BA739" s="227"/>
      <c r="BB739" s="231"/>
      <c r="BC739" s="227"/>
      <c r="BD739" s="227"/>
      <c r="BE739" s="227"/>
      <c r="BF739" s="227"/>
    </row>
    <row r="740">
      <c r="A740" s="235" t="s">
        <v>6580</v>
      </c>
      <c r="C740" s="235" t="s">
        <v>6581</v>
      </c>
      <c r="D740" s="235" t="s">
        <v>6582</v>
      </c>
      <c r="E740" s="243">
        <v>6.56E13</v>
      </c>
      <c r="F740" s="245"/>
      <c r="G740" s="235" t="s">
        <v>6583</v>
      </c>
      <c r="H740" s="235" t="s">
        <v>6584</v>
      </c>
      <c r="I740" s="235" t="s">
        <v>6584</v>
      </c>
      <c r="J740" s="235" t="s">
        <v>6585</v>
      </c>
      <c r="K740" s="235" t="s">
        <v>6586</v>
      </c>
      <c r="N740" s="235" t="s">
        <v>42</v>
      </c>
      <c r="O740" s="235" t="s">
        <v>204</v>
      </c>
      <c r="P740" s="238">
        <v>1.0</v>
      </c>
      <c r="Q740" s="235" t="s">
        <v>627</v>
      </c>
      <c r="R740" s="238">
        <v>237.14</v>
      </c>
      <c r="S740" s="238">
        <v>11.86</v>
      </c>
      <c r="T740" s="238">
        <v>0.0</v>
      </c>
      <c r="U740" s="238">
        <v>0.0</v>
      </c>
      <c r="V740" s="238">
        <v>0.0</v>
      </c>
      <c r="W740" s="238">
        <v>0.0</v>
      </c>
      <c r="X740" s="235" t="s">
        <v>628</v>
      </c>
      <c r="Z740" s="244"/>
      <c r="AA740" s="244"/>
      <c r="AB740" s="244"/>
      <c r="AC740" s="235" t="s">
        <v>1671</v>
      </c>
      <c r="AD740" s="235" t="s">
        <v>666</v>
      </c>
      <c r="AE740" s="238">
        <v>641032.0</v>
      </c>
      <c r="AF740" s="235" t="s">
        <v>631</v>
      </c>
      <c r="AG740" s="244"/>
      <c r="AH740" s="244"/>
      <c r="AI740" s="245"/>
      <c r="AJ740" s="245"/>
      <c r="AK740" s="245"/>
      <c r="AL740" s="245"/>
      <c r="AM740" s="244"/>
      <c r="AN740" s="244"/>
      <c r="AO740" s="238">
        <v>0.0</v>
      </c>
      <c r="AP740" s="238">
        <v>0.0</v>
      </c>
      <c r="AQ740" s="235" t="s">
        <v>632</v>
      </c>
      <c r="AR740" s="243">
        <v>3.71E11</v>
      </c>
      <c r="AS740" s="235" t="s">
        <v>6164</v>
      </c>
      <c r="AT740" s="235" t="s">
        <v>155</v>
      </c>
      <c r="AU740" s="235" t="s">
        <v>634</v>
      </c>
      <c r="AV740" s="246" t="s">
        <v>635</v>
      </c>
      <c r="AW740" s="242"/>
      <c r="AX740" s="242"/>
      <c r="AY740" s="231"/>
      <c r="AZ740" s="231"/>
      <c r="BA740" s="227"/>
      <c r="BB740" s="231"/>
      <c r="BC740" s="227"/>
      <c r="BD740" s="227"/>
      <c r="BE740" s="227"/>
      <c r="BF740" s="227"/>
    </row>
    <row r="741">
      <c r="A741" s="235" t="s">
        <v>6587</v>
      </c>
      <c r="C741" s="235" t="s">
        <v>6588</v>
      </c>
      <c r="D741" s="235" t="s">
        <v>6589</v>
      </c>
      <c r="E741" s="243">
        <v>6.56E13</v>
      </c>
      <c r="F741" s="245"/>
      <c r="G741" s="235" t="s">
        <v>6590</v>
      </c>
      <c r="H741" s="235" t="s">
        <v>6591</v>
      </c>
      <c r="I741" s="235" t="s">
        <v>6591</v>
      </c>
      <c r="J741" s="235" t="s">
        <v>6592</v>
      </c>
      <c r="K741" s="235" t="s">
        <v>6593</v>
      </c>
      <c r="N741" s="235" t="s">
        <v>139</v>
      </c>
      <c r="O741" s="235" t="s">
        <v>2091</v>
      </c>
      <c r="P741" s="238">
        <v>1.0</v>
      </c>
      <c r="Q741" s="235" t="s">
        <v>627</v>
      </c>
      <c r="R741" s="238">
        <v>246.66</v>
      </c>
      <c r="S741" s="238">
        <v>12.34</v>
      </c>
      <c r="T741" s="238">
        <v>94.28</v>
      </c>
      <c r="U741" s="238">
        <v>4.72</v>
      </c>
      <c r="V741" s="238">
        <v>0.0</v>
      </c>
      <c r="W741" s="238">
        <v>0.0</v>
      </c>
      <c r="X741" s="235" t="s">
        <v>628</v>
      </c>
      <c r="Z741" s="244"/>
      <c r="AA741" s="244"/>
      <c r="AB741" s="244"/>
      <c r="AC741" s="235" t="s">
        <v>1998</v>
      </c>
      <c r="AD741" s="235" t="s">
        <v>928</v>
      </c>
      <c r="AE741" s="238">
        <v>121003.0</v>
      </c>
      <c r="AF741" s="235" t="s">
        <v>631</v>
      </c>
      <c r="AG741" s="244"/>
      <c r="AH741" s="244"/>
      <c r="AI741" s="245"/>
      <c r="AJ741" s="245"/>
      <c r="AK741" s="245"/>
      <c r="AL741" s="245"/>
      <c r="AM741" s="244"/>
      <c r="AN741" s="244"/>
      <c r="AO741" s="238">
        <v>0.0</v>
      </c>
      <c r="AP741" s="238">
        <v>0.0</v>
      </c>
      <c r="AQ741" s="235" t="s">
        <v>632</v>
      </c>
      <c r="AR741" s="243">
        <v>1.68E11</v>
      </c>
      <c r="AS741" s="235" t="s">
        <v>6164</v>
      </c>
      <c r="AT741" s="235" t="s">
        <v>533</v>
      </c>
      <c r="AU741" s="235" t="s">
        <v>634</v>
      </c>
      <c r="AV741" s="246" t="s">
        <v>635</v>
      </c>
      <c r="AW741" s="242"/>
      <c r="AX741" s="242"/>
      <c r="AY741" s="231"/>
      <c r="AZ741" s="231"/>
      <c r="BA741" s="227"/>
      <c r="BB741" s="231"/>
      <c r="BC741" s="227"/>
      <c r="BD741" s="227"/>
      <c r="BE741" s="227"/>
      <c r="BF741" s="227"/>
    </row>
    <row r="742">
      <c r="A742" s="235" t="s">
        <v>6594</v>
      </c>
      <c r="C742" s="235" t="s">
        <v>6595</v>
      </c>
      <c r="D742" s="235" t="s">
        <v>6596</v>
      </c>
      <c r="E742" s="243">
        <v>6.56E13</v>
      </c>
      <c r="F742" s="245"/>
      <c r="G742" s="235" t="s">
        <v>6597</v>
      </c>
      <c r="H742" s="235" t="s">
        <v>6598</v>
      </c>
      <c r="I742" s="235" t="s">
        <v>6598</v>
      </c>
      <c r="J742" s="235" t="s">
        <v>6599</v>
      </c>
      <c r="K742" s="235" t="s">
        <v>6600</v>
      </c>
      <c r="N742" s="235" t="s">
        <v>104</v>
      </c>
      <c r="O742" s="235" t="s">
        <v>401</v>
      </c>
      <c r="P742" s="238">
        <v>1.0</v>
      </c>
      <c r="Q742" s="235" t="s">
        <v>627</v>
      </c>
      <c r="R742" s="238">
        <v>246.67</v>
      </c>
      <c r="S742" s="238">
        <v>12.33</v>
      </c>
      <c r="T742" s="238">
        <v>0.0</v>
      </c>
      <c r="U742" s="238">
        <v>0.0</v>
      </c>
      <c r="V742" s="238">
        <v>0.0</v>
      </c>
      <c r="W742" s="238">
        <v>0.0</v>
      </c>
      <c r="X742" s="235" t="s">
        <v>628</v>
      </c>
      <c r="Z742" s="244"/>
      <c r="AA742" s="244"/>
      <c r="AB742" s="244"/>
      <c r="AC742" s="235" t="s">
        <v>4765</v>
      </c>
      <c r="AD742" s="235" t="s">
        <v>3825</v>
      </c>
      <c r="AE742" s="238">
        <v>686001.0</v>
      </c>
      <c r="AF742" s="235" t="s">
        <v>631</v>
      </c>
      <c r="AG742" s="244"/>
      <c r="AH742" s="244"/>
      <c r="AI742" s="245"/>
      <c r="AJ742" s="245"/>
      <c r="AK742" s="245"/>
      <c r="AL742" s="245"/>
      <c r="AM742" s="244"/>
      <c r="AN742" s="244"/>
      <c r="AO742" s="238">
        <v>0.0</v>
      </c>
      <c r="AP742" s="238">
        <v>0.0</v>
      </c>
      <c r="AQ742" s="235" t="s">
        <v>632</v>
      </c>
      <c r="AR742" s="243">
        <v>3.71E11</v>
      </c>
      <c r="AS742" s="235" t="s">
        <v>4697</v>
      </c>
      <c r="AT742" s="235" t="s">
        <v>155</v>
      </c>
      <c r="AU742" s="235" t="s">
        <v>634</v>
      </c>
      <c r="AV742" s="246" t="s">
        <v>635</v>
      </c>
      <c r="AW742" s="242"/>
      <c r="AX742" s="242"/>
      <c r="AY742" s="231"/>
      <c r="AZ742" s="231"/>
      <c r="BA742" s="227"/>
      <c r="BB742" s="231"/>
      <c r="BC742" s="227"/>
      <c r="BD742" s="227"/>
      <c r="BE742" s="227"/>
      <c r="BF742" s="227"/>
    </row>
    <row r="743">
      <c r="A743" s="235" t="s">
        <v>6601</v>
      </c>
      <c r="C743" s="235" t="s">
        <v>6602</v>
      </c>
      <c r="D743" s="235" t="s">
        <v>6603</v>
      </c>
      <c r="E743" s="243">
        <v>6.56E13</v>
      </c>
      <c r="F743" s="245"/>
      <c r="G743" s="235" t="s">
        <v>6604</v>
      </c>
      <c r="H743" s="235" t="s">
        <v>6605</v>
      </c>
      <c r="I743" s="235" t="s">
        <v>6605</v>
      </c>
      <c r="J743" s="235" t="s">
        <v>6606</v>
      </c>
      <c r="K743" s="235" t="s">
        <v>6607</v>
      </c>
      <c r="N743" s="235" t="s">
        <v>85</v>
      </c>
      <c r="O743" s="235" t="s">
        <v>872</v>
      </c>
      <c r="P743" s="238">
        <v>1.0</v>
      </c>
      <c r="Q743" s="235" t="s">
        <v>627</v>
      </c>
      <c r="R743" s="238">
        <v>246.66</v>
      </c>
      <c r="S743" s="238">
        <v>12.34</v>
      </c>
      <c r="T743" s="238">
        <v>0.0</v>
      </c>
      <c r="U743" s="238">
        <v>0.0</v>
      </c>
      <c r="V743" s="238">
        <v>0.0</v>
      </c>
      <c r="W743" s="238">
        <v>0.0</v>
      </c>
      <c r="X743" s="235" t="s">
        <v>628</v>
      </c>
      <c r="Z743" s="244"/>
      <c r="AA743" s="244"/>
      <c r="AB743" s="244"/>
      <c r="AC743" s="235" t="s">
        <v>1514</v>
      </c>
      <c r="AD743" s="235" t="s">
        <v>1077</v>
      </c>
      <c r="AE743" s="238">
        <v>380006.0</v>
      </c>
      <c r="AF743" s="235" t="s">
        <v>631</v>
      </c>
      <c r="AG743" s="244"/>
      <c r="AH743" s="244"/>
      <c r="AI743" s="245"/>
      <c r="AJ743" s="245"/>
      <c r="AK743" s="245"/>
      <c r="AL743" s="245"/>
      <c r="AM743" s="244"/>
      <c r="AN743" s="244"/>
      <c r="AO743" s="238">
        <v>0.0</v>
      </c>
      <c r="AP743" s="238">
        <v>0.0</v>
      </c>
      <c r="AQ743" s="235" t="s">
        <v>632</v>
      </c>
      <c r="AR743" s="243">
        <v>1.68E11</v>
      </c>
      <c r="AS743" s="235" t="s">
        <v>6608</v>
      </c>
      <c r="AT743" s="235" t="s">
        <v>5</v>
      </c>
      <c r="AU743" s="235" t="s">
        <v>634</v>
      </c>
      <c r="AV743" s="246" t="s">
        <v>635</v>
      </c>
      <c r="AW743" s="242"/>
      <c r="AX743" s="242"/>
      <c r="AY743" s="231"/>
      <c r="AZ743" s="231"/>
      <c r="BA743" s="227"/>
      <c r="BB743" s="231"/>
      <c r="BC743" s="227"/>
      <c r="BD743" s="227"/>
      <c r="BE743" s="227"/>
      <c r="BF743" s="227"/>
    </row>
    <row r="744">
      <c r="A744" s="235" t="s">
        <v>6609</v>
      </c>
      <c r="C744" s="235" t="s">
        <v>6610</v>
      </c>
      <c r="D744" s="235" t="s">
        <v>6611</v>
      </c>
      <c r="E744" s="243">
        <v>6.56E13</v>
      </c>
      <c r="F744" s="245"/>
      <c r="G744" s="235" t="s">
        <v>6612</v>
      </c>
      <c r="H744" s="235" t="s">
        <v>6613</v>
      </c>
      <c r="I744" s="235" t="s">
        <v>6614</v>
      </c>
      <c r="J744" s="235" t="s">
        <v>6615</v>
      </c>
      <c r="K744" s="235" t="s">
        <v>6616</v>
      </c>
      <c r="N744" s="235" t="s">
        <v>127</v>
      </c>
      <c r="O744" s="235" t="s">
        <v>794</v>
      </c>
      <c r="P744" s="238">
        <v>1.0</v>
      </c>
      <c r="Q744" s="235" t="s">
        <v>627</v>
      </c>
      <c r="R744" s="238">
        <v>246.66</v>
      </c>
      <c r="S744" s="238">
        <v>12.34</v>
      </c>
      <c r="T744" s="238">
        <v>0.0</v>
      </c>
      <c r="U744" s="238">
        <v>0.0</v>
      </c>
      <c r="V744" s="238">
        <v>0.0</v>
      </c>
      <c r="W744" s="238">
        <v>0.0</v>
      </c>
      <c r="X744" s="235" t="s">
        <v>628</v>
      </c>
      <c r="Z744" s="244"/>
      <c r="AA744" s="244"/>
      <c r="AB744" s="244"/>
      <c r="AC744" s="235" t="s">
        <v>687</v>
      </c>
      <c r="AD744" s="235" t="s">
        <v>666</v>
      </c>
      <c r="AE744" s="238">
        <v>600040.0</v>
      </c>
      <c r="AF744" s="235" t="s">
        <v>631</v>
      </c>
      <c r="AG744" s="244"/>
      <c r="AH744" s="244"/>
      <c r="AI744" s="245"/>
      <c r="AJ744" s="245"/>
      <c r="AK744" s="245"/>
      <c r="AL744" s="245"/>
      <c r="AM744" s="244"/>
      <c r="AN744" s="244"/>
      <c r="AO744" s="238">
        <v>0.0</v>
      </c>
      <c r="AP744" s="238">
        <v>0.0</v>
      </c>
      <c r="AQ744" s="235" t="s">
        <v>632</v>
      </c>
      <c r="AR744" s="243">
        <v>1.68E11</v>
      </c>
      <c r="AS744" s="235" t="s">
        <v>6608</v>
      </c>
      <c r="AT744" s="235" t="s">
        <v>156</v>
      </c>
      <c r="AU744" s="235" t="s">
        <v>634</v>
      </c>
      <c r="AV744" s="246" t="s">
        <v>635</v>
      </c>
      <c r="AW744" s="242"/>
      <c r="AX744" s="242"/>
      <c r="AY744" s="231"/>
      <c r="AZ744" s="231"/>
      <c r="BA744" s="227"/>
      <c r="BB744" s="231"/>
      <c r="BC744" s="227"/>
      <c r="BD744" s="227"/>
      <c r="BE744" s="227"/>
      <c r="BF744" s="227"/>
    </row>
    <row r="745">
      <c r="A745" s="235" t="s">
        <v>6617</v>
      </c>
      <c r="C745" s="235" t="s">
        <v>6618</v>
      </c>
      <c r="D745" s="235" t="s">
        <v>6619</v>
      </c>
      <c r="E745" s="243">
        <v>6.56E13</v>
      </c>
      <c r="F745" s="245"/>
      <c r="G745" s="235" t="s">
        <v>6620</v>
      </c>
      <c r="H745" s="235" t="s">
        <v>6621</v>
      </c>
      <c r="I745" s="235" t="s">
        <v>6621</v>
      </c>
      <c r="J745" s="235" t="s">
        <v>6622</v>
      </c>
      <c r="K745" s="235" t="s">
        <v>6623</v>
      </c>
      <c r="N745" s="235" t="s">
        <v>127</v>
      </c>
      <c r="O745" s="235" t="s">
        <v>794</v>
      </c>
      <c r="P745" s="238">
        <v>1.0</v>
      </c>
      <c r="Q745" s="235" t="s">
        <v>627</v>
      </c>
      <c r="R745" s="238">
        <v>246.66</v>
      </c>
      <c r="S745" s="238">
        <v>12.34</v>
      </c>
      <c r="T745" s="238">
        <v>18.1</v>
      </c>
      <c r="U745" s="238">
        <v>0.9</v>
      </c>
      <c r="V745" s="238">
        <v>0.0</v>
      </c>
      <c r="W745" s="238">
        <v>0.0</v>
      </c>
      <c r="X745" s="235" t="s">
        <v>628</v>
      </c>
      <c r="Z745" s="244"/>
      <c r="AA745" s="244"/>
      <c r="AB745" s="244"/>
      <c r="AC745" s="235" t="s">
        <v>687</v>
      </c>
      <c r="AD745" s="235" t="s">
        <v>666</v>
      </c>
      <c r="AE745" s="238">
        <v>600059.0</v>
      </c>
      <c r="AF745" s="235" t="s">
        <v>631</v>
      </c>
      <c r="AG745" s="244"/>
      <c r="AH745" s="244"/>
      <c r="AI745" s="245"/>
      <c r="AJ745" s="245"/>
      <c r="AK745" s="245"/>
      <c r="AL745" s="245"/>
      <c r="AM745" s="244"/>
      <c r="AN745" s="244"/>
      <c r="AO745" s="238">
        <v>0.0</v>
      </c>
      <c r="AP745" s="238">
        <v>-18.1</v>
      </c>
      <c r="AQ745" s="235" t="s">
        <v>632</v>
      </c>
      <c r="AR745" s="243">
        <v>1.68E11</v>
      </c>
      <c r="AS745" s="235" t="s">
        <v>6608</v>
      </c>
      <c r="AT745" s="235" t="s">
        <v>156</v>
      </c>
      <c r="AU745" s="235" t="s">
        <v>634</v>
      </c>
      <c r="AV745" s="246" t="s">
        <v>635</v>
      </c>
      <c r="AW745" s="242"/>
      <c r="AX745" s="242"/>
      <c r="AY745" s="231"/>
      <c r="AZ745" s="231"/>
      <c r="BA745" s="227"/>
      <c r="BB745" s="231"/>
      <c r="BC745" s="227"/>
      <c r="BD745" s="227"/>
      <c r="BE745" s="227"/>
      <c r="BF745" s="227"/>
    </row>
    <row r="746">
      <c r="A746" s="235" t="s">
        <v>6624</v>
      </c>
      <c r="C746" s="235" t="s">
        <v>6625</v>
      </c>
      <c r="D746" s="235" t="s">
        <v>6626</v>
      </c>
      <c r="E746" s="243">
        <v>6.56E13</v>
      </c>
      <c r="F746" s="245"/>
      <c r="G746" s="235" t="s">
        <v>6627</v>
      </c>
      <c r="H746" s="235" t="s">
        <v>6628</v>
      </c>
      <c r="I746" s="235" t="s">
        <v>6628</v>
      </c>
      <c r="J746" s="235" t="s">
        <v>6629</v>
      </c>
      <c r="K746" s="235" t="s">
        <v>6630</v>
      </c>
      <c r="N746" s="235" t="s">
        <v>117</v>
      </c>
      <c r="O746" s="235" t="s">
        <v>334</v>
      </c>
      <c r="P746" s="238">
        <v>1.0</v>
      </c>
      <c r="Q746" s="235" t="s">
        <v>627</v>
      </c>
      <c r="R746" s="238">
        <v>237.14</v>
      </c>
      <c r="S746" s="238">
        <v>11.86</v>
      </c>
      <c r="T746" s="238">
        <v>0.0</v>
      </c>
      <c r="U746" s="238">
        <v>0.0</v>
      </c>
      <c r="V746" s="238">
        <v>0.0</v>
      </c>
      <c r="W746" s="238">
        <v>0.0</v>
      </c>
      <c r="X746" s="235" t="s">
        <v>628</v>
      </c>
      <c r="Z746" s="244"/>
      <c r="AA746" s="244"/>
      <c r="AB746" s="244"/>
      <c r="AC746" s="235" t="s">
        <v>6631</v>
      </c>
      <c r="AD746" s="235" t="s">
        <v>1077</v>
      </c>
      <c r="AE746" s="238">
        <v>383345.0</v>
      </c>
      <c r="AF746" s="235" t="s">
        <v>631</v>
      </c>
      <c r="AG746" s="244"/>
      <c r="AH746" s="244"/>
      <c r="AI746" s="245"/>
      <c r="AJ746" s="245"/>
      <c r="AK746" s="245"/>
      <c r="AL746" s="245"/>
      <c r="AM746" s="244"/>
      <c r="AN746" s="244"/>
      <c r="AO746" s="238">
        <v>0.0</v>
      </c>
      <c r="AP746" s="238">
        <v>0.0</v>
      </c>
      <c r="AQ746" s="235" t="s">
        <v>1328</v>
      </c>
      <c r="AR746" s="243">
        <v>1.34E13</v>
      </c>
      <c r="AS746" s="235" t="s">
        <v>667</v>
      </c>
      <c r="AT746" s="235" t="s">
        <v>16</v>
      </c>
      <c r="AU746" s="235" t="s">
        <v>634</v>
      </c>
      <c r="AV746" s="246" t="s">
        <v>635</v>
      </c>
      <c r="AW746" s="242"/>
      <c r="AX746" s="242"/>
      <c r="AY746" s="231"/>
      <c r="AZ746" s="231"/>
      <c r="BA746" s="227"/>
      <c r="BB746" s="231"/>
      <c r="BC746" s="227"/>
      <c r="BD746" s="227"/>
      <c r="BE746" s="227"/>
      <c r="BF746" s="227"/>
    </row>
    <row r="747">
      <c r="A747" s="235" t="s">
        <v>6632</v>
      </c>
      <c r="C747" s="235" t="s">
        <v>6633</v>
      </c>
      <c r="D747" s="235" t="s">
        <v>6634</v>
      </c>
      <c r="E747" s="243">
        <v>6.56E13</v>
      </c>
      <c r="F747" s="245"/>
      <c r="G747" s="235" t="s">
        <v>6635</v>
      </c>
      <c r="H747" s="235" t="s">
        <v>6636</v>
      </c>
      <c r="I747" s="235" t="s">
        <v>6636</v>
      </c>
      <c r="J747" s="235" t="s">
        <v>6637</v>
      </c>
      <c r="K747" s="235" t="s">
        <v>6638</v>
      </c>
      <c r="N747" s="235" t="s">
        <v>131</v>
      </c>
      <c r="O747" s="235" t="s">
        <v>2148</v>
      </c>
      <c r="P747" s="238">
        <v>1.0</v>
      </c>
      <c r="Q747" s="235" t="s">
        <v>627</v>
      </c>
      <c r="R747" s="238">
        <v>246.67</v>
      </c>
      <c r="S747" s="238">
        <v>12.33</v>
      </c>
      <c r="T747" s="238">
        <v>38.1</v>
      </c>
      <c r="U747" s="238">
        <v>1.9</v>
      </c>
      <c r="V747" s="238">
        <v>0.0</v>
      </c>
      <c r="W747" s="238">
        <v>0.0</v>
      </c>
      <c r="X747" s="235" t="s">
        <v>628</v>
      </c>
      <c r="Z747" s="244"/>
      <c r="AA747" s="244"/>
      <c r="AB747" s="244"/>
      <c r="AC747" s="235" t="s">
        <v>1728</v>
      </c>
      <c r="AD747" s="235" t="s">
        <v>630</v>
      </c>
      <c r="AE747" s="238">
        <v>221003.0</v>
      </c>
      <c r="AF747" s="235" t="s">
        <v>631</v>
      </c>
      <c r="AG747" s="244"/>
      <c r="AH747" s="244"/>
      <c r="AI747" s="245"/>
      <c r="AJ747" s="245"/>
      <c r="AK747" s="245"/>
      <c r="AL747" s="245"/>
      <c r="AM747" s="244"/>
      <c r="AN747" s="244"/>
      <c r="AO747" s="238">
        <v>0.0</v>
      </c>
      <c r="AP747" s="238">
        <v>-38.1</v>
      </c>
      <c r="AQ747" s="235" t="s">
        <v>2778</v>
      </c>
      <c r="AR747" s="243">
        <v>7.64E10</v>
      </c>
      <c r="AS747" s="235" t="s">
        <v>656</v>
      </c>
      <c r="AT747" s="235" t="s">
        <v>5</v>
      </c>
      <c r="AU747" s="235" t="s">
        <v>634</v>
      </c>
      <c r="AV747" s="246" t="s">
        <v>635</v>
      </c>
      <c r="AW747" s="242"/>
      <c r="AX747" s="242"/>
      <c r="AY747" s="231"/>
      <c r="AZ747" s="231"/>
      <c r="BA747" s="227"/>
      <c r="BB747" s="231"/>
      <c r="BC747" s="227"/>
      <c r="BD747" s="227"/>
      <c r="BE747" s="227"/>
      <c r="BF747" s="227"/>
    </row>
    <row r="748">
      <c r="A748" s="235" t="s">
        <v>6639</v>
      </c>
      <c r="C748" s="235" t="s">
        <v>6640</v>
      </c>
      <c r="D748" s="235" t="s">
        <v>6641</v>
      </c>
      <c r="E748" s="243">
        <v>6.56E13</v>
      </c>
      <c r="F748" s="245"/>
      <c r="G748" s="235" t="s">
        <v>6642</v>
      </c>
      <c r="H748" s="235" t="s">
        <v>6643</v>
      </c>
      <c r="I748" s="235" t="s">
        <v>6643</v>
      </c>
      <c r="J748" s="235" t="s">
        <v>6644</v>
      </c>
      <c r="K748" s="235" t="s">
        <v>6645</v>
      </c>
      <c r="N748" s="235" t="s">
        <v>92</v>
      </c>
      <c r="O748" s="235" t="s">
        <v>248</v>
      </c>
      <c r="P748" s="238">
        <v>1.0</v>
      </c>
      <c r="Q748" s="235" t="s">
        <v>627</v>
      </c>
      <c r="R748" s="238">
        <v>246.66</v>
      </c>
      <c r="S748" s="238">
        <v>12.34</v>
      </c>
      <c r="T748" s="238">
        <v>0.0</v>
      </c>
      <c r="U748" s="238">
        <v>0.0</v>
      </c>
      <c r="V748" s="238">
        <v>0.0</v>
      </c>
      <c r="W748" s="238">
        <v>0.0</v>
      </c>
      <c r="X748" s="235" t="s">
        <v>628</v>
      </c>
      <c r="Z748" s="244"/>
      <c r="AA748" s="244"/>
      <c r="AB748" s="244"/>
      <c r="AC748" s="235" t="s">
        <v>6646</v>
      </c>
      <c r="AD748" s="235" t="s">
        <v>845</v>
      </c>
      <c r="AE748" s="238">
        <v>425405.0</v>
      </c>
      <c r="AF748" s="235" t="s">
        <v>631</v>
      </c>
      <c r="AG748" s="244"/>
      <c r="AH748" s="244"/>
      <c r="AI748" s="245"/>
      <c r="AJ748" s="245"/>
      <c r="AK748" s="245"/>
      <c r="AL748" s="245"/>
      <c r="AM748" s="244"/>
      <c r="AN748" s="244"/>
      <c r="AO748" s="238">
        <v>0.0</v>
      </c>
      <c r="AP748" s="238">
        <v>0.0</v>
      </c>
      <c r="AQ748" s="235" t="s">
        <v>632</v>
      </c>
      <c r="AR748" s="243">
        <v>1.68E11</v>
      </c>
      <c r="AS748" s="235" t="s">
        <v>4697</v>
      </c>
      <c r="AT748" s="235" t="s">
        <v>17</v>
      </c>
      <c r="AU748" s="235" t="s">
        <v>634</v>
      </c>
      <c r="AV748" s="246" t="s">
        <v>635</v>
      </c>
      <c r="AW748" s="242"/>
      <c r="AX748" s="242"/>
      <c r="AY748" s="231"/>
      <c r="AZ748" s="231"/>
      <c r="BA748" s="227"/>
      <c r="BB748" s="231"/>
      <c r="BC748" s="227"/>
      <c r="BD748" s="227"/>
      <c r="BE748" s="227"/>
      <c r="BF748" s="227"/>
    </row>
    <row r="749">
      <c r="A749" s="235" t="s">
        <v>6647</v>
      </c>
      <c r="C749" s="235" t="s">
        <v>6648</v>
      </c>
      <c r="D749" s="235" t="s">
        <v>6649</v>
      </c>
      <c r="E749" s="243">
        <v>6.56E13</v>
      </c>
      <c r="F749" s="245"/>
      <c r="G749" s="235" t="s">
        <v>6650</v>
      </c>
      <c r="H749" s="235" t="s">
        <v>6651</v>
      </c>
      <c r="I749" s="235" t="s">
        <v>6651</v>
      </c>
      <c r="J749" s="235" t="s">
        <v>6652</v>
      </c>
      <c r="K749" s="235" t="s">
        <v>6653</v>
      </c>
      <c r="N749" s="235" t="s">
        <v>85</v>
      </c>
      <c r="O749" s="235" t="s">
        <v>872</v>
      </c>
      <c r="P749" s="238">
        <v>1.0</v>
      </c>
      <c r="Q749" s="235" t="s">
        <v>627</v>
      </c>
      <c r="R749" s="238">
        <v>246.66</v>
      </c>
      <c r="S749" s="238">
        <v>12.34</v>
      </c>
      <c r="T749" s="238">
        <v>56.2</v>
      </c>
      <c r="U749" s="238">
        <v>2.8</v>
      </c>
      <c r="V749" s="238">
        <v>0.0</v>
      </c>
      <c r="W749" s="238">
        <v>0.0</v>
      </c>
      <c r="X749" s="235" t="s">
        <v>628</v>
      </c>
      <c r="Z749" s="244"/>
      <c r="AA749" s="244"/>
      <c r="AB749" s="244"/>
      <c r="AC749" s="235" t="s">
        <v>6654</v>
      </c>
      <c r="AD749" s="235" t="s">
        <v>666</v>
      </c>
      <c r="AE749" s="238">
        <v>627351.0</v>
      </c>
      <c r="AF749" s="235" t="s">
        <v>631</v>
      </c>
      <c r="AG749" s="244"/>
      <c r="AH749" s="244"/>
      <c r="AI749" s="245"/>
      <c r="AJ749" s="245"/>
      <c r="AK749" s="245"/>
      <c r="AL749" s="245"/>
      <c r="AM749" s="244"/>
      <c r="AN749" s="244"/>
      <c r="AO749" s="238">
        <v>0.0</v>
      </c>
      <c r="AP749" s="238">
        <v>-56.2</v>
      </c>
      <c r="AQ749" s="235" t="s">
        <v>632</v>
      </c>
      <c r="AR749" s="243">
        <v>3.71E11</v>
      </c>
      <c r="AS749" s="235" t="s">
        <v>4697</v>
      </c>
      <c r="AT749" s="235" t="s">
        <v>155</v>
      </c>
      <c r="AU749" s="235" t="s">
        <v>634</v>
      </c>
      <c r="AV749" s="246" t="s">
        <v>635</v>
      </c>
      <c r="AW749" s="242"/>
      <c r="AX749" s="242"/>
      <c r="AY749" s="231"/>
      <c r="AZ749" s="231"/>
      <c r="BA749" s="227"/>
      <c r="BB749" s="231"/>
      <c r="BC749" s="227"/>
      <c r="BD749" s="227"/>
      <c r="BE749" s="227"/>
      <c r="BF749" s="227"/>
    </row>
    <row r="750">
      <c r="A750" s="235" t="s">
        <v>6655</v>
      </c>
      <c r="C750" s="235" t="s">
        <v>6656</v>
      </c>
      <c r="D750" s="235" t="s">
        <v>6657</v>
      </c>
      <c r="E750" s="243">
        <v>6.56E13</v>
      </c>
      <c r="F750" s="245"/>
      <c r="G750" s="235" t="s">
        <v>6658</v>
      </c>
      <c r="H750" s="235" t="s">
        <v>6659</v>
      </c>
      <c r="I750" s="235" t="s">
        <v>6659</v>
      </c>
      <c r="J750" s="235" t="s">
        <v>6660</v>
      </c>
      <c r="K750" s="235" t="s">
        <v>6661</v>
      </c>
      <c r="N750" s="235" t="s">
        <v>127</v>
      </c>
      <c r="O750" s="235" t="s">
        <v>794</v>
      </c>
      <c r="P750" s="238">
        <v>1.0</v>
      </c>
      <c r="Q750" s="235" t="s">
        <v>627</v>
      </c>
      <c r="R750" s="238">
        <v>246.66</v>
      </c>
      <c r="S750" s="238">
        <v>12.34</v>
      </c>
      <c r="T750" s="238">
        <v>18.1</v>
      </c>
      <c r="U750" s="238">
        <v>0.9</v>
      </c>
      <c r="V750" s="238">
        <v>0.0</v>
      </c>
      <c r="W750" s="238">
        <v>0.0</v>
      </c>
      <c r="X750" s="235" t="s">
        <v>628</v>
      </c>
      <c r="Z750" s="244"/>
      <c r="AA750" s="244"/>
      <c r="AB750" s="244"/>
      <c r="AC750" s="235" t="s">
        <v>1887</v>
      </c>
      <c r="AD750" s="235" t="s">
        <v>679</v>
      </c>
      <c r="AE750" s="238">
        <v>560087.0</v>
      </c>
      <c r="AF750" s="235" t="s">
        <v>631</v>
      </c>
      <c r="AG750" s="244"/>
      <c r="AH750" s="244"/>
      <c r="AI750" s="245"/>
      <c r="AJ750" s="245"/>
      <c r="AK750" s="245"/>
      <c r="AL750" s="245"/>
      <c r="AM750" s="244"/>
      <c r="AN750" s="244"/>
      <c r="AO750" s="238">
        <v>0.0</v>
      </c>
      <c r="AP750" s="238">
        <v>-18.1</v>
      </c>
      <c r="AQ750" s="235" t="s">
        <v>632</v>
      </c>
      <c r="AR750" s="243">
        <v>1.68E11</v>
      </c>
      <c r="AS750" s="235" t="s">
        <v>6608</v>
      </c>
      <c r="AT750" s="235" t="s">
        <v>11</v>
      </c>
      <c r="AU750" s="235" t="s">
        <v>634</v>
      </c>
      <c r="AV750" s="246" t="s">
        <v>635</v>
      </c>
      <c r="AW750" s="242"/>
      <c r="AX750" s="242"/>
      <c r="AY750" s="231"/>
      <c r="AZ750" s="231"/>
      <c r="BA750" s="227"/>
      <c r="BB750" s="231"/>
      <c r="BC750" s="227"/>
      <c r="BD750" s="227"/>
      <c r="BE750" s="227"/>
      <c r="BF750" s="227"/>
    </row>
    <row r="751">
      <c r="A751" s="235" t="s">
        <v>6662</v>
      </c>
      <c r="C751" s="235" t="s">
        <v>6663</v>
      </c>
      <c r="D751" s="235" t="s">
        <v>6664</v>
      </c>
      <c r="E751" s="243">
        <v>6.56E13</v>
      </c>
      <c r="F751" s="245"/>
      <c r="G751" s="235" t="s">
        <v>6665</v>
      </c>
      <c r="H751" s="235" t="s">
        <v>6666</v>
      </c>
      <c r="I751" s="235" t="s">
        <v>6667</v>
      </c>
      <c r="J751" s="235" t="s">
        <v>6668</v>
      </c>
      <c r="K751" s="235" t="s">
        <v>6669</v>
      </c>
      <c r="N751" s="235" t="s">
        <v>68</v>
      </c>
      <c r="O751" s="235" t="s">
        <v>208</v>
      </c>
      <c r="P751" s="238">
        <v>1.0</v>
      </c>
      <c r="Q751" s="235" t="s">
        <v>627</v>
      </c>
      <c r="R751" s="238">
        <v>246.66</v>
      </c>
      <c r="S751" s="238">
        <v>12.1</v>
      </c>
      <c r="T751" s="238">
        <v>0.0</v>
      </c>
      <c r="U751" s="238">
        <v>0.0</v>
      </c>
      <c r="V751" s="238">
        <v>0.0</v>
      </c>
      <c r="W751" s="238">
        <v>0.0</v>
      </c>
      <c r="X751" s="235" t="s">
        <v>628</v>
      </c>
      <c r="Z751" s="244"/>
      <c r="AA751" s="244"/>
      <c r="AB751" s="244"/>
      <c r="AC751" s="235" t="s">
        <v>678</v>
      </c>
      <c r="AD751" s="235" t="s">
        <v>679</v>
      </c>
      <c r="AE751" s="238">
        <v>560004.0</v>
      </c>
      <c r="AF751" s="235" t="s">
        <v>631</v>
      </c>
      <c r="AG751" s="244"/>
      <c r="AH751" s="244"/>
      <c r="AI751" s="245"/>
      <c r="AJ751" s="245"/>
      <c r="AK751" s="245"/>
      <c r="AL751" s="245"/>
      <c r="AM751" s="244"/>
      <c r="AN751" s="244"/>
      <c r="AO751" s="238">
        <v>-4.94</v>
      </c>
      <c r="AP751" s="238">
        <v>0.0</v>
      </c>
      <c r="AQ751" s="235" t="s">
        <v>632</v>
      </c>
      <c r="AR751" s="243">
        <v>1.68E11</v>
      </c>
      <c r="AS751" s="235" t="s">
        <v>6608</v>
      </c>
      <c r="AT751" s="235" t="s">
        <v>9</v>
      </c>
      <c r="AU751" s="235" t="s">
        <v>634</v>
      </c>
      <c r="AV751" s="246" t="s">
        <v>635</v>
      </c>
      <c r="AW751" s="242"/>
      <c r="AX751" s="242"/>
      <c r="AY751" s="231"/>
      <c r="AZ751" s="231"/>
      <c r="BA751" s="227"/>
      <c r="BB751" s="231"/>
      <c r="BC751" s="227"/>
      <c r="BD751" s="227"/>
      <c r="BE751" s="227"/>
      <c r="BF751" s="227"/>
    </row>
    <row r="752">
      <c r="A752" s="235" t="s">
        <v>6670</v>
      </c>
      <c r="C752" s="235" t="s">
        <v>6671</v>
      </c>
      <c r="D752" s="235" t="s">
        <v>6672</v>
      </c>
      <c r="E752" s="243">
        <v>6.56E13</v>
      </c>
      <c r="F752" s="245"/>
      <c r="G752" s="235" t="s">
        <v>6673</v>
      </c>
      <c r="H752" s="235" t="s">
        <v>6674</v>
      </c>
      <c r="I752" s="235" t="s">
        <v>6674</v>
      </c>
      <c r="J752" s="235" t="s">
        <v>6675</v>
      </c>
      <c r="K752" s="235" t="s">
        <v>6676</v>
      </c>
      <c r="N752" s="235" t="s">
        <v>726</v>
      </c>
      <c r="O752" s="235" t="s">
        <v>727</v>
      </c>
      <c r="P752" s="238">
        <v>1.0</v>
      </c>
      <c r="Q752" s="235" t="s">
        <v>627</v>
      </c>
      <c r="R752" s="238">
        <v>242.86</v>
      </c>
      <c r="S752" s="238">
        <v>12.14</v>
      </c>
      <c r="T752" s="238">
        <v>0.0</v>
      </c>
      <c r="U752" s="238">
        <v>0.0</v>
      </c>
      <c r="V752" s="238">
        <v>0.0</v>
      </c>
      <c r="W752" s="238">
        <v>0.0</v>
      </c>
      <c r="X752" s="235" t="s">
        <v>628</v>
      </c>
      <c r="Z752" s="244"/>
      <c r="AA752" s="244"/>
      <c r="AB752" s="244"/>
      <c r="AC752" s="235" t="s">
        <v>687</v>
      </c>
      <c r="AD752" s="235" t="s">
        <v>6677</v>
      </c>
      <c r="AE752" s="238">
        <v>600100.0</v>
      </c>
      <c r="AF752" s="235" t="s">
        <v>631</v>
      </c>
      <c r="AG752" s="244"/>
      <c r="AH752" s="244"/>
      <c r="AI752" s="245"/>
      <c r="AJ752" s="245"/>
      <c r="AK752" s="245"/>
      <c r="AL752" s="245"/>
      <c r="AM752" s="244"/>
      <c r="AN752" s="244"/>
      <c r="AO752" s="238">
        <v>0.0</v>
      </c>
      <c r="AP752" s="238">
        <v>0.0</v>
      </c>
      <c r="AQ752" s="235" t="s">
        <v>632</v>
      </c>
      <c r="AR752" s="243">
        <v>1.68E11</v>
      </c>
      <c r="AS752" s="235" t="s">
        <v>4697</v>
      </c>
      <c r="AT752" s="235" t="s">
        <v>11</v>
      </c>
      <c r="AU752" s="235" t="s">
        <v>634</v>
      </c>
      <c r="AV752" s="246" t="s">
        <v>635</v>
      </c>
      <c r="AW752" s="242"/>
      <c r="AX752" s="242"/>
      <c r="AY752" s="231"/>
      <c r="AZ752" s="231"/>
      <c r="BA752" s="227"/>
      <c r="BB752" s="231"/>
      <c r="BC752" s="227"/>
      <c r="BD752" s="227"/>
      <c r="BE752" s="227"/>
      <c r="BF752" s="227"/>
    </row>
    <row r="753">
      <c r="A753" s="235" t="s">
        <v>6678</v>
      </c>
      <c r="C753" s="235" t="s">
        <v>6679</v>
      </c>
      <c r="D753" s="235" t="s">
        <v>6680</v>
      </c>
      <c r="E753" s="243">
        <v>6.56E13</v>
      </c>
      <c r="F753" s="245"/>
      <c r="G753" s="235" t="s">
        <v>6681</v>
      </c>
      <c r="H753" s="235" t="s">
        <v>6682</v>
      </c>
      <c r="I753" s="235" t="s">
        <v>6682</v>
      </c>
      <c r="J753" s="235" t="s">
        <v>6683</v>
      </c>
      <c r="K753" s="235" t="s">
        <v>5702</v>
      </c>
      <c r="N753" s="235" t="s">
        <v>154</v>
      </c>
      <c r="O753" s="235" t="s">
        <v>766</v>
      </c>
      <c r="P753" s="238">
        <v>1.0</v>
      </c>
      <c r="Q753" s="235" t="s">
        <v>627</v>
      </c>
      <c r="R753" s="238">
        <v>465.72</v>
      </c>
      <c r="S753" s="238">
        <v>23.28</v>
      </c>
      <c r="T753" s="238">
        <v>0.0</v>
      </c>
      <c r="U753" s="238">
        <v>0.0</v>
      </c>
      <c r="V753" s="238">
        <v>0.0</v>
      </c>
      <c r="W753" s="238">
        <v>0.0</v>
      </c>
      <c r="X753" s="235" t="s">
        <v>628</v>
      </c>
      <c r="Z753" s="244"/>
      <c r="AA753" s="244"/>
      <c r="AB753" s="244"/>
      <c r="AC753" s="235" t="s">
        <v>687</v>
      </c>
      <c r="AD753" s="235" t="s">
        <v>666</v>
      </c>
      <c r="AE753" s="238">
        <v>600083.0</v>
      </c>
      <c r="AF753" s="235" t="s">
        <v>631</v>
      </c>
      <c r="AG753" s="244"/>
      <c r="AH753" s="244"/>
      <c r="AI753" s="245"/>
      <c r="AJ753" s="245"/>
      <c r="AK753" s="245"/>
      <c r="AL753" s="245"/>
      <c r="AM753" s="244"/>
      <c r="AN753" s="244"/>
      <c r="AO753" s="238">
        <v>0.0</v>
      </c>
      <c r="AP753" s="238">
        <v>0.0</v>
      </c>
      <c r="AQ753" s="235" t="s">
        <v>632</v>
      </c>
      <c r="AR753" s="243">
        <v>1.68E11</v>
      </c>
      <c r="AS753" s="235" t="s">
        <v>6608</v>
      </c>
      <c r="AT753" s="235" t="s">
        <v>156</v>
      </c>
      <c r="AU753" s="235" t="s">
        <v>634</v>
      </c>
      <c r="AV753" s="246" t="s">
        <v>635</v>
      </c>
      <c r="AW753" s="242"/>
      <c r="AX753" s="242"/>
      <c r="AY753" s="231"/>
      <c r="AZ753" s="231"/>
      <c r="BA753" s="227"/>
      <c r="BB753" s="231"/>
      <c r="BC753" s="227"/>
      <c r="BD753" s="227"/>
      <c r="BE753" s="227"/>
      <c r="BF753" s="227"/>
    </row>
    <row r="754">
      <c r="A754" s="235" t="s">
        <v>6684</v>
      </c>
      <c r="C754" s="235" t="s">
        <v>6685</v>
      </c>
      <c r="D754" s="235" t="s">
        <v>6686</v>
      </c>
      <c r="E754" s="243">
        <v>6.56E13</v>
      </c>
      <c r="F754" s="245"/>
      <c r="G754" s="235" t="s">
        <v>6687</v>
      </c>
      <c r="H754" s="235" t="s">
        <v>6688</v>
      </c>
      <c r="I754" s="235" t="s">
        <v>6689</v>
      </c>
      <c r="J754" s="235" t="s">
        <v>6690</v>
      </c>
      <c r="K754" s="235" t="s">
        <v>4563</v>
      </c>
      <c r="N754" s="235" t="s">
        <v>82</v>
      </c>
      <c r="O754" s="235" t="s">
        <v>889</v>
      </c>
      <c r="P754" s="238">
        <v>1.0</v>
      </c>
      <c r="Q754" s="235" t="s">
        <v>627</v>
      </c>
      <c r="R754" s="238">
        <v>246.67</v>
      </c>
      <c r="S754" s="238">
        <v>12.33</v>
      </c>
      <c r="T754" s="238">
        <v>0.0</v>
      </c>
      <c r="U754" s="238">
        <v>0.0</v>
      </c>
      <c r="V754" s="238">
        <v>0.0</v>
      </c>
      <c r="W754" s="238">
        <v>0.0</v>
      </c>
      <c r="X754" s="235" t="s">
        <v>628</v>
      </c>
      <c r="Z754" s="244"/>
      <c r="AA754" s="244"/>
      <c r="AB754" s="244"/>
      <c r="AC754" s="235" t="s">
        <v>1878</v>
      </c>
      <c r="AD754" s="235" t="s">
        <v>645</v>
      </c>
      <c r="AE754" s="238">
        <v>680006.0</v>
      </c>
      <c r="AF754" s="235" t="s">
        <v>631</v>
      </c>
      <c r="AG754" s="244"/>
      <c r="AH754" s="244"/>
      <c r="AI754" s="245"/>
      <c r="AJ754" s="245"/>
      <c r="AK754" s="245"/>
      <c r="AL754" s="245"/>
      <c r="AM754" s="244"/>
      <c r="AN754" s="244"/>
      <c r="AO754" s="238">
        <v>0.0</v>
      </c>
      <c r="AP754" s="238">
        <v>0.0</v>
      </c>
      <c r="AQ754" s="235" t="s">
        <v>632</v>
      </c>
      <c r="AR754" s="243">
        <v>1.68E11</v>
      </c>
      <c r="AS754" s="235" t="s">
        <v>6608</v>
      </c>
      <c r="AT754" s="235" t="s">
        <v>155</v>
      </c>
      <c r="AU754" s="235" t="s">
        <v>634</v>
      </c>
      <c r="AV754" s="246" t="s">
        <v>635</v>
      </c>
      <c r="AW754" s="242"/>
      <c r="AX754" s="242"/>
      <c r="AY754" s="231"/>
      <c r="AZ754" s="231"/>
      <c r="BA754" s="227"/>
      <c r="BB754" s="231"/>
      <c r="BC754" s="227"/>
      <c r="BD754" s="227"/>
      <c r="BE754" s="227"/>
      <c r="BF754" s="227"/>
    </row>
    <row r="755">
      <c r="A755" s="235" t="s">
        <v>6691</v>
      </c>
      <c r="C755" s="235" t="s">
        <v>6692</v>
      </c>
      <c r="D755" s="235" t="s">
        <v>6693</v>
      </c>
      <c r="E755" s="243">
        <v>6.56E13</v>
      </c>
      <c r="F755" s="245"/>
      <c r="G755" s="235" t="s">
        <v>6694</v>
      </c>
      <c r="H755" s="235" t="s">
        <v>6695</v>
      </c>
      <c r="I755" s="235" t="s">
        <v>6696</v>
      </c>
      <c r="J755" s="235" t="s">
        <v>6697</v>
      </c>
      <c r="K755" s="235" t="s">
        <v>6698</v>
      </c>
      <c r="N755" s="235" t="s">
        <v>154</v>
      </c>
      <c r="O755" s="235" t="s">
        <v>766</v>
      </c>
      <c r="P755" s="238">
        <v>1.0</v>
      </c>
      <c r="Q755" s="235" t="s">
        <v>627</v>
      </c>
      <c r="R755" s="238">
        <v>465.72</v>
      </c>
      <c r="S755" s="238">
        <v>23.28</v>
      </c>
      <c r="T755" s="238">
        <v>0.0</v>
      </c>
      <c r="U755" s="238">
        <v>0.0</v>
      </c>
      <c r="V755" s="238">
        <v>0.0</v>
      </c>
      <c r="W755" s="238">
        <v>0.0</v>
      </c>
      <c r="X755" s="235" t="s">
        <v>628</v>
      </c>
      <c r="Z755" s="244"/>
      <c r="AA755" s="244"/>
      <c r="AB755" s="244"/>
      <c r="AC755" s="235" t="s">
        <v>678</v>
      </c>
      <c r="AD755" s="235" t="s">
        <v>679</v>
      </c>
      <c r="AE755" s="238">
        <v>560078.0</v>
      </c>
      <c r="AF755" s="235" t="s">
        <v>631</v>
      </c>
      <c r="AG755" s="244"/>
      <c r="AH755" s="244"/>
      <c r="AI755" s="245"/>
      <c r="AJ755" s="245"/>
      <c r="AK755" s="245"/>
      <c r="AL755" s="245"/>
      <c r="AM755" s="244"/>
      <c r="AN755" s="244"/>
      <c r="AO755" s="238">
        <v>0.0</v>
      </c>
      <c r="AP755" s="238">
        <v>0.0</v>
      </c>
      <c r="AQ755" s="235" t="s">
        <v>632</v>
      </c>
      <c r="AR755" s="243">
        <v>1.68E11</v>
      </c>
      <c r="AS755" s="235" t="s">
        <v>6608</v>
      </c>
      <c r="AT755" s="235" t="s">
        <v>9</v>
      </c>
      <c r="AU755" s="235" t="s">
        <v>634</v>
      </c>
      <c r="AV755" s="246" t="s">
        <v>635</v>
      </c>
      <c r="AW755" s="242"/>
      <c r="AX755" s="242"/>
      <c r="AY755" s="231"/>
      <c r="AZ755" s="231"/>
      <c r="BA755" s="227"/>
      <c r="BB755" s="231"/>
      <c r="BC755" s="227"/>
      <c r="BD755" s="227"/>
      <c r="BE755" s="227"/>
      <c r="BF755" s="227"/>
    </row>
    <row r="756">
      <c r="A756" s="235" t="s">
        <v>6699</v>
      </c>
      <c r="C756" s="235" t="s">
        <v>6700</v>
      </c>
      <c r="D756" s="235" t="s">
        <v>6701</v>
      </c>
      <c r="E756" s="243">
        <v>6.56E13</v>
      </c>
      <c r="F756" s="245"/>
      <c r="G756" s="235" t="s">
        <v>6702</v>
      </c>
      <c r="H756" s="235" t="s">
        <v>6703</v>
      </c>
      <c r="I756" s="235" t="s">
        <v>6703</v>
      </c>
      <c r="J756" s="235" t="s">
        <v>6704</v>
      </c>
      <c r="K756" s="235" t="s">
        <v>6705</v>
      </c>
      <c r="N756" s="235" t="s">
        <v>99</v>
      </c>
      <c r="O756" s="235" t="s">
        <v>470</v>
      </c>
      <c r="P756" s="238">
        <v>1.0</v>
      </c>
      <c r="Q756" s="235" t="s">
        <v>627</v>
      </c>
      <c r="R756" s="238">
        <v>246.66</v>
      </c>
      <c r="S756" s="238">
        <v>12.34</v>
      </c>
      <c r="T756" s="238">
        <v>0.0</v>
      </c>
      <c r="U756" s="238">
        <v>0.0</v>
      </c>
      <c r="V756" s="238">
        <v>0.0</v>
      </c>
      <c r="W756" s="238">
        <v>0.0</v>
      </c>
      <c r="X756" s="235" t="s">
        <v>628</v>
      </c>
      <c r="Z756" s="244"/>
      <c r="AA756" s="244"/>
      <c r="AB756" s="244"/>
      <c r="AC756" s="235" t="s">
        <v>1320</v>
      </c>
      <c r="AD756" s="235" t="s">
        <v>666</v>
      </c>
      <c r="AE756" s="238">
        <v>600020.0</v>
      </c>
      <c r="AF756" s="235" t="s">
        <v>631</v>
      </c>
      <c r="AG756" s="244"/>
      <c r="AH756" s="244"/>
      <c r="AI756" s="245"/>
      <c r="AJ756" s="245"/>
      <c r="AK756" s="245"/>
      <c r="AL756" s="245"/>
      <c r="AM756" s="244"/>
      <c r="AN756" s="244"/>
      <c r="AO756" s="238">
        <v>0.0</v>
      </c>
      <c r="AP756" s="238">
        <v>0.0</v>
      </c>
      <c r="AQ756" s="235" t="s">
        <v>632</v>
      </c>
      <c r="AR756" s="243">
        <v>1.68E11</v>
      </c>
      <c r="AS756" s="235" t="s">
        <v>6608</v>
      </c>
      <c r="AT756" s="235" t="s">
        <v>156</v>
      </c>
      <c r="AU756" s="235" t="s">
        <v>634</v>
      </c>
      <c r="AV756" s="246" t="s">
        <v>635</v>
      </c>
      <c r="AW756" s="242"/>
      <c r="AX756" s="242"/>
      <c r="AY756" s="231"/>
      <c r="AZ756" s="231"/>
      <c r="BA756" s="227"/>
      <c r="BB756" s="231"/>
      <c r="BC756" s="227"/>
      <c r="BD756" s="227"/>
      <c r="BE756" s="227"/>
      <c r="BF756" s="227"/>
    </row>
    <row r="757">
      <c r="A757" s="235" t="s">
        <v>6706</v>
      </c>
      <c r="C757" s="235" t="s">
        <v>6707</v>
      </c>
      <c r="D757" s="235" t="s">
        <v>6708</v>
      </c>
      <c r="E757" s="243">
        <v>6.56E13</v>
      </c>
      <c r="F757" s="245"/>
      <c r="G757" s="235" t="s">
        <v>6709</v>
      </c>
      <c r="H757" s="235" t="s">
        <v>6710</v>
      </c>
      <c r="I757" s="235" t="s">
        <v>6710</v>
      </c>
      <c r="J757" s="235" t="s">
        <v>6711</v>
      </c>
      <c r="K757" s="235" t="s">
        <v>6712</v>
      </c>
      <c r="N757" s="235" t="s">
        <v>136</v>
      </c>
      <c r="O757" s="235" t="s">
        <v>256</v>
      </c>
      <c r="P757" s="238">
        <v>1.0</v>
      </c>
      <c r="Q757" s="235" t="s">
        <v>627</v>
      </c>
      <c r="R757" s="238">
        <v>246.66</v>
      </c>
      <c r="S757" s="238">
        <v>12.34</v>
      </c>
      <c r="T757" s="238">
        <v>18.1</v>
      </c>
      <c r="U757" s="238">
        <v>0.9</v>
      </c>
      <c r="V757" s="238">
        <v>0.0</v>
      </c>
      <c r="W757" s="238">
        <v>0.0</v>
      </c>
      <c r="X757" s="235" t="s">
        <v>628</v>
      </c>
      <c r="Z757" s="244"/>
      <c r="AA757" s="244"/>
      <c r="AB757" s="244"/>
      <c r="AC757" s="235" t="s">
        <v>687</v>
      </c>
      <c r="AD757" s="235" t="s">
        <v>666</v>
      </c>
      <c r="AE757" s="238">
        <v>600125.0</v>
      </c>
      <c r="AF757" s="235" t="s">
        <v>631</v>
      </c>
      <c r="AG757" s="244"/>
      <c r="AH757" s="244"/>
      <c r="AI757" s="245"/>
      <c r="AJ757" s="245"/>
      <c r="AK757" s="245"/>
      <c r="AL757" s="245"/>
      <c r="AM757" s="244"/>
      <c r="AN757" s="244"/>
      <c r="AO757" s="238">
        <v>0.0</v>
      </c>
      <c r="AP757" s="238">
        <v>-18.1</v>
      </c>
      <c r="AQ757" s="235" t="s">
        <v>632</v>
      </c>
      <c r="AR757" s="243">
        <v>1.68E11</v>
      </c>
      <c r="AS757" s="235" t="s">
        <v>6608</v>
      </c>
      <c r="AT757" s="235" t="s">
        <v>156</v>
      </c>
      <c r="AU757" s="235" t="s">
        <v>634</v>
      </c>
      <c r="AV757" s="246" t="s">
        <v>635</v>
      </c>
      <c r="AW757" s="242"/>
      <c r="AX757" s="242"/>
      <c r="AY757" s="231"/>
      <c r="AZ757" s="231"/>
      <c r="BA757" s="227"/>
      <c r="BB757" s="231"/>
      <c r="BC757" s="227"/>
      <c r="BD757" s="227"/>
      <c r="BE757" s="227"/>
      <c r="BF757" s="227"/>
    </row>
    <row r="758">
      <c r="A758" s="235" t="s">
        <v>6713</v>
      </c>
      <c r="C758" s="235" t="s">
        <v>6714</v>
      </c>
      <c r="D758" s="235" t="s">
        <v>6715</v>
      </c>
      <c r="E758" s="243">
        <v>6.56E13</v>
      </c>
      <c r="F758" s="245"/>
      <c r="G758" s="235" t="s">
        <v>6717</v>
      </c>
      <c r="H758" s="235" t="s">
        <v>6718</v>
      </c>
      <c r="I758" s="235" t="s">
        <v>6718</v>
      </c>
      <c r="J758" s="235" t="s">
        <v>6719</v>
      </c>
      <c r="K758" s="235" t="s">
        <v>6720</v>
      </c>
      <c r="N758" s="235" t="s">
        <v>49</v>
      </c>
      <c r="O758" s="235" t="s">
        <v>321</v>
      </c>
      <c r="P758" s="238">
        <v>1.0</v>
      </c>
      <c r="Q758" s="235" t="s">
        <v>627</v>
      </c>
      <c r="R758" s="238">
        <v>237.14</v>
      </c>
      <c r="S758" s="238">
        <v>11.62</v>
      </c>
      <c r="T758" s="238">
        <v>0.0</v>
      </c>
      <c r="U758" s="238">
        <v>0.0</v>
      </c>
      <c r="V758" s="238">
        <v>0.0</v>
      </c>
      <c r="W758" s="238">
        <v>0.0</v>
      </c>
      <c r="X758" s="235" t="s">
        <v>628</v>
      </c>
      <c r="Z758" s="244"/>
      <c r="AA758" s="244"/>
      <c r="AB758" s="244"/>
      <c r="AC758" s="235" t="s">
        <v>795</v>
      </c>
      <c r="AD758" s="235" t="s">
        <v>796</v>
      </c>
      <c r="AE758" s="238">
        <v>110078.0</v>
      </c>
      <c r="AF758" s="235" t="s">
        <v>631</v>
      </c>
      <c r="AG758" s="244"/>
      <c r="AH758" s="244"/>
      <c r="AI758" s="245"/>
      <c r="AJ758" s="245"/>
      <c r="AK758" s="245"/>
      <c r="AL758" s="245"/>
      <c r="AM758" s="244"/>
      <c r="AN758" s="244"/>
      <c r="AO758" s="238">
        <v>-4.74</v>
      </c>
      <c r="AP758" s="238">
        <v>0.0</v>
      </c>
      <c r="AQ758" s="235" t="s">
        <v>632</v>
      </c>
      <c r="AR758" s="243">
        <v>3.71E11</v>
      </c>
      <c r="AS758" s="235" t="s">
        <v>6164</v>
      </c>
      <c r="AT758" s="235" t="s">
        <v>14</v>
      </c>
      <c r="AU758" s="235" t="s">
        <v>634</v>
      </c>
      <c r="AV758" s="246" t="s">
        <v>635</v>
      </c>
      <c r="AW758" s="242"/>
      <c r="AX758" s="242"/>
      <c r="AY758" s="231"/>
      <c r="AZ758" s="231"/>
      <c r="BA758" s="227"/>
      <c r="BB758" s="231"/>
      <c r="BC758" s="227"/>
      <c r="BD758" s="227"/>
      <c r="BE758" s="227"/>
      <c r="BF758" s="227"/>
    </row>
    <row r="759">
      <c r="A759" s="235" t="s">
        <v>6721</v>
      </c>
      <c r="C759" s="235" t="s">
        <v>6722</v>
      </c>
      <c r="D759" s="235" t="s">
        <v>6723</v>
      </c>
      <c r="E759" s="243">
        <v>6.56E13</v>
      </c>
      <c r="F759" s="245"/>
      <c r="G759" s="235" t="s">
        <v>6724</v>
      </c>
      <c r="H759" s="235" t="s">
        <v>6725</v>
      </c>
      <c r="I759" s="235" t="s">
        <v>6725</v>
      </c>
      <c r="J759" s="235" t="s">
        <v>6726</v>
      </c>
      <c r="K759" s="235" t="s">
        <v>5178</v>
      </c>
      <c r="N759" s="235" t="s">
        <v>42</v>
      </c>
      <c r="O759" s="235" t="s">
        <v>204</v>
      </c>
      <c r="P759" s="238">
        <v>1.0</v>
      </c>
      <c r="Q759" s="235" t="s">
        <v>627</v>
      </c>
      <c r="R759" s="238">
        <v>237.14</v>
      </c>
      <c r="S759" s="238">
        <v>11.86</v>
      </c>
      <c r="T759" s="238">
        <v>94.28</v>
      </c>
      <c r="U759" s="238">
        <v>4.72</v>
      </c>
      <c r="V759" s="238">
        <v>0.0</v>
      </c>
      <c r="W759" s="238">
        <v>0.0</v>
      </c>
      <c r="X759" s="235" t="s">
        <v>628</v>
      </c>
      <c r="Z759" s="244"/>
      <c r="AA759" s="244"/>
      <c r="AB759" s="244"/>
      <c r="AC759" s="235" t="s">
        <v>678</v>
      </c>
      <c r="AD759" s="235" t="s">
        <v>679</v>
      </c>
      <c r="AE759" s="238">
        <v>560058.0</v>
      </c>
      <c r="AF759" s="235" t="s">
        <v>631</v>
      </c>
      <c r="AG759" s="244"/>
      <c r="AH759" s="244"/>
      <c r="AI759" s="245"/>
      <c r="AJ759" s="245"/>
      <c r="AK759" s="245"/>
      <c r="AL759" s="245"/>
      <c r="AM759" s="244"/>
      <c r="AN759" s="244"/>
      <c r="AO759" s="238">
        <v>0.0</v>
      </c>
      <c r="AP759" s="238">
        <v>0.0</v>
      </c>
      <c r="AQ759" s="235" t="s">
        <v>632</v>
      </c>
      <c r="AR759" s="243">
        <v>1.68E11</v>
      </c>
      <c r="AS759" s="235" t="s">
        <v>6608</v>
      </c>
      <c r="AT759" s="235" t="s">
        <v>9</v>
      </c>
      <c r="AU759" s="235" t="s">
        <v>634</v>
      </c>
      <c r="AV759" s="246" t="s">
        <v>635</v>
      </c>
      <c r="AW759" s="242"/>
      <c r="AX759" s="242"/>
      <c r="AY759" s="231"/>
      <c r="AZ759" s="231"/>
      <c r="BA759" s="227"/>
      <c r="BB759" s="231"/>
      <c r="BC759" s="227"/>
      <c r="BD759" s="227"/>
      <c r="BE759" s="227"/>
      <c r="BF759" s="227"/>
    </row>
    <row r="760">
      <c r="A760" s="235" t="s">
        <v>6727</v>
      </c>
      <c r="C760" s="235" t="s">
        <v>6728</v>
      </c>
      <c r="D760" s="235" t="s">
        <v>6729</v>
      </c>
      <c r="E760" s="243">
        <v>6.56E13</v>
      </c>
      <c r="F760" s="245"/>
      <c r="G760" s="235" t="s">
        <v>6730</v>
      </c>
      <c r="H760" s="235" t="s">
        <v>6731</v>
      </c>
      <c r="I760" s="235" t="s">
        <v>6732</v>
      </c>
      <c r="J760" s="235" t="s">
        <v>6733</v>
      </c>
      <c r="K760" s="235" t="s">
        <v>6734</v>
      </c>
      <c r="N760" s="235" t="s">
        <v>127</v>
      </c>
      <c r="O760" s="235" t="s">
        <v>794</v>
      </c>
      <c r="P760" s="238">
        <v>1.0</v>
      </c>
      <c r="Q760" s="235" t="s">
        <v>627</v>
      </c>
      <c r="R760" s="238">
        <v>246.66</v>
      </c>
      <c r="S760" s="238">
        <v>12.34</v>
      </c>
      <c r="T760" s="238">
        <v>0.0</v>
      </c>
      <c r="U760" s="238">
        <v>0.0</v>
      </c>
      <c r="V760" s="238">
        <v>0.0</v>
      </c>
      <c r="W760" s="238">
        <v>0.0</v>
      </c>
      <c r="X760" s="235" t="s">
        <v>628</v>
      </c>
      <c r="Z760" s="244"/>
      <c r="AA760" s="244"/>
      <c r="AB760" s="244"/>
      <c r="AC760" s="235" t="s">
        <v>1058</v>
      </c>
      <c r="AD760" s="235" t="s">
        <v>845</v>
      </c>
      <c r="AE760" s="238">
        <v>400064.0</v>
      </c>
      <c r="AF760" s="235" t="s">
        <v>631</v>
      </c>
      <c r="AG760" s="244"/>
      <c r="AH760" s="244"/>
      <c r="AI760" s="245"/>
      <c r="AJ760" s="245"/>
      <c r="AK760" s="245"/>
      <c r="AL760" s="245"/>
      <c r="AM760" s="244"/>
      <c r="AN760" s="244"/>
      <c r="AO760" s="238">
        <v>0.0</v>
      </c>
      <c r="AP760" s="238">
        <v>0.0</v>
      </c>
      <c r="AQ760" s="235" t="s">
        <v>632</v>
      </c>
      <c r="AR760" s="243">
        <v>3.71E11</v>
      </c>
      <c r="AS760" s="235" t="s">
        <v>4697</v>
      </c>
      <c r="AT760" s="235" t="s">
        <v>17</v>
      </c>
      <c r="AU760" s="235" t="s">
        <v>634</v>
      </c>
      <c r="AV760" s="246" t="s">
        <v>635</v>
      </c>
      <c r="AW760" s="242"/>
      <c r="AX760" s="242"/>
      <c r="AY760" s="231"/>
      <c r="AZ760" s="231"/>
      <c r="BA760" s="227"/>
      <c r="BB760" s="231"/>
      <c r="BC760" s="227"/>
      <c r="BD760" s="227"/>
      <c r="BE760" s="227"/>
      <c r="BF760" s="227"/>
    </row>
    <row r="761">
      <c r="A761" s="235" t="s">
        <v>6735</v>
      </c>
      <c r="C761" s="235" t="s">
        <v>6736</v>
      </c>
      <c r="D761" s="235" t="s">
        <v>6737</v>
      </c>
      <c r="E761" s="243">
        <v>6.56E13</v>
      </c>
      <c r="F761" s="245"/>
      <c r="G761" s="235" t="s">
        <v>6738</v>
      </c>
      <c r="H761" s="235" t="s">
        <v>6739</v>
      </c>
      <c r="I761" s="235" t="s">
        <v>6740</v>
      </c>
      <c r="J761" s="235" t="s">
        <v>6741</v>
      </c>
      <c r="K761" s="235" t="s">
        <v>6742</v>
      </c>
      <c r="N761" s="235" t="s">
        <v>55</v>
      </c>
      <c r="O761" s="235" t="s">
        <v>244</v>
      </c>
      <c r="P761" s="238">
        <v>1.0</v>
      </c>
      <c r="Q761" s="235" t="s">
        <v>627</v>
      </c>
      <c r="R761" s="238">
        <v>246.67</v>
      </c>
      <c r="S761" s="238">
        <v>12.33</v>
      </c>
      <c r="T761" s="238">
        <v>0.0</v>
      </c>
      <c r="U761" s="238">
        <v>0.0</v>
      </c>
      <c r="V761" s="238">
        <v>0.0</v>
      </c>
      <c r="W761" s="238">
        <v>0.0</v>
      </c>
      <c r="X761" s="235" t="s">
        <v>628</v>
      </c>
      <c r="Z761" s="244"/>
      <c r="AA761" s="244"/>
      <c r="AB761" s="244"/>
      <c r="AC761" s="235" t="s">
        <v>1475</v>
      </c>
      <c r="AD761" s="235" t="s">
        <v>796</v>
      </c>
      <c r="AE761" s="238">
        <v>110049.0</v>
      </c>
      <c r="AF761" s="235" t="s">
        <v>631</v>
      </c>
      <c r="AG761" s="244"/>
      <c r="AH761" s="244"/>
      <c r="AI761" s="245"/>
      <c r="AJ761" s="245"/>
      <c r="AK761" s="245"/>
      <c r="AL761" s="245"/>
      <c r="AM761" s="244"/>
      <c r="AN761" s="244"/>
      <c r="AO761" s="238">
        <v>0.0</v>
      </c>
      <c r="AP761" s="238">
        <v>0.0</v>
      </c>
      <c r="AQ761" s="235" t="s">
        <v>632</v>
      </c>
      <c r="AR761" s="243">
        <v>1.68E11</v>
      </c>
      <c r="AS761" s="235" t="s">
        <v>6608</v>
      </c>
      <c r="AT761" s="235" t="s">
        <v>533</v>
      </c>
      <c r="AU761" s="235" t="s">
        <v>634</v>
      </c>
      <c r="AV761" s="246" t="s">
        <v>635</v>
      </c>
      <c r="AW761" s="242"/>
      <c r="AX761" s="242"/>
      <c r="AY761" s="231"/>
      <c r="AZ761" s="231"/>
      <c r="BA761" s="227"/>
      <c r="BB761" s="231"/>
      <c r="BC761" s="227"/>
      <c r="BD761" s="227"/>
      <c r="BE761" s="227"/>
      <c r="BF761" s="227"/>
    </row>
    <row r="762">
      <c r="A762" s="235" t="s">
        <v>6743</v>
      </c>
      <c r="C762" s="235" t="s">
        <v>6744</v>
      </c>
      <c r="D762" s="235" t="s">
        <v>6745</v>
      </c>
      <c r="E762" s="243">
        <v>6.56E13</v>
      </c>
      <c r="F762" s="245"/>
      <c r="G762" s="235" t="s">
        <v>6746</v>
      </c>
      <c r="H762" s="235" t="s">
        <v>6747</v>
      </c>
      <c r="I762" s="235" t="s">
        <v>6748</v>
      </c>
      <c r="J762" s="235" t="s">
        <v>6749</v>
      </c>
      <c r="K762" s="235" t="s">
        <v>6750</v>
      </c>
      <c r="N762" s="235" t="s">
        <v>989</v>
      </c>
      <c r="O762" s="235" t="s">
        <v>990</v>
      </c>
      <c r="P762" s="238">
        <v>1.0</v>
      </c>
      <c r="Q762" s="235" t="s">
        <v>627</v>
      </c>
      <c r="R762" s="238">
        <v>256.19</v>
      </c>
      <c r="S762" s="238">
        <v>12.81</v>
      </c>
      <c r="T762" s="238">
        <v>0.0</v>
      </c>
      <c r="U762" s="238">
        <v>0.0</v>
      </c>
      <c r="V762" s="238">
        <v>0.0</v>
      </c>
      <c r="W762" s="238">
        <v>0.0</v>
      </c>
      <c r="X762" s="235" t="s">
        <v>628</v>
      </c>
      <c r="Z762" s="244"/>
      <c r="AA762" s="244"/>
      <c r="AB762" s="244"/>
      <c r="AC762" s="235" t="s">
        <v>687</v>
      </c>
      <c r="AD762" s="235" t="s">
        <v>666</v>
      </c>
      <c r="AE762" s="238">
        <v>600126.0</v>
      </c>
      <c r="AF762" s="235" t="s">
        <v>631</v>
      </c>
      <c r="AG762" s="244"/>
      <c r="AH762" s="244"/>
      <c r="AI762" s="245"/>
      <c r="AJ762" s="245"/>
      <c r="AK762" s="245"/>
      <c r="AL762" s="245"/>
      <c r="AM762" s="244"/>
      <c r="AN762" s="244"/>
      <c r="AO762" s="238">
        <v>0.0</v>
      </c>
      <c r="AP762" s="238">
        <v>0.0</v>
      </c>
      <c r="AQ762" s="235" t="s">
        <v>632</v>
      </c>
      <c r="AR762" s="243">
        <v>3.71E11</v>
      </c>
      <c r="AS762" s="235" t="s">
        <v>4697</v>
      </c>
      <c r="AT762" s="235" t="s">
        <v>9</v>
      </c>
      <c r="AU762" s="235" t="s">
        <v>634</v>
      </c>
      <c r="AV762" s="246" t="s">
        <v>635</v>
      </c>
      <c r="AW762" s="242"/>
      <c r="AX762" s="242"/>
      <c r="AY762" s="231"/>
      <c r="AZ762" s="231"/>
      <c r="BA762" s="227"/>
      <c r="BB762" s="231"/>
      <c r="BC762" s="227"/>
      <c r="BD762" s="227"/>
      <c r="BE762" s="227"/>
      <c r="BF762" s="227"/>
    </row>
    <row r="763">
      <c r="A763" s="235" t="s">
        <v>6751</v>
      </c>
      <c r="C763" s="235" t="s">
        <v>6752</v>
      </c>
      <c r="D763" s="235" t="s">
        <v>6753</v>
      </c>
      <c r="E763" s="243">
        <v>6.56E13</v>
      </c>
      <c r="F763" s="245"/>
      <c r="G763" s="235" t="s">
        <v>6754</v>
      </c>
      <c r="H763" s="235" t="s">
        <v>6755</v>
      </c>
      <c r="I763" s="235" t="s">
        <v>6755</v>
      </c>
      <c r="J763" s="235" t="s">
        <v>6756</v>
      </c>
      <c r="K763" s="235" t="s">
        <v>6757</v>
      </c>
      <c r="N763" s="235" t="s">
        <v>1346</v>
      </c>
      <c r="O763" s="235" t="s">
        <v>1347</v>
      </c>
      <c r="P763" s="238">
        <v>1.0</v>
      </c>
      <c r="Q763" s="235" t="s">
        <v>627</v>
      </c>
      <c r="R763" s="238">
        <v>252.38</v>
      </c>
      <c r="S763" s="238">
        <v>12.62</v>
      </c>
      <c r="T763" s="238">
        <v>0.0</v>
      </c>
      <c r="U763" s="238">
        <v>0.0</v>
      </c>
      <c r="V763" s="238">
        <v>0.0</v>
      </c>
      <c r="W763" s="238">
        <v>0.0</v>
      </c>
      <c r="X763" s="235" t="s">
        <v>628</v>
      </c>
      <c r="Z763" s="244"/>
      <c r="AA763" s="244"/>
      <c r="AB763" s="244"/>
      <c r="AC763" s="235" t="s">
        <v>1287</v>
      </c>
      <c r="AD763" s="235" t="s">
        <v>630</v>
      </c>
      <c r="AE763" s="238">
        <v>201005.0</v>
      </c>
      <c r="AF763" s="235" t="s">
        <v>631</v>
      </c>
      <c r="AG763" s="244"/>
      <c r="AH763" s="244"/>
      <c r="AI763" s="245"/>
      <c r="AJ763" s="245"/>
      <c r="AK763" s="245"/>
      <c r="AL763" s="245"/>
      <c r="AM763" s="244"/>
      <c r="AN763" s="244"/>
      <c r="AO763" s="238">
        <v>0.0</v>
      </c>
      <c r="AP763" s="238">
        <v>0.0</v>
      </c>
      <c r="AQ763" s="235" t="s">
        <v>632</v>
      </c>
      <c r="AR763" s="243">
        <v>1.68E11</v>
      </c>
      <c r="AS763" s="235" t="s">
        <v>6608</v>
      </c>
      <c r="AT763" s="235" t="s">
        <v>14</v>
      </c>
      <c r="AU763" s="235" t="s">
        <v>634</v>
      </c>
      <c r="AV763" s="246" t="s">
        <v>635</v>
      </c>
      <c r="AW763" s="242"/>
      <c r="AX763" s="242"/>
      <c r="AY763" s="231"/>
      <c r="AZ763" s="231"/>
      <c r="BA763" s="227"/>
      <c r="BB763" s="231"/>
      <c r="BC763" s="227"/>
      <c r="BD763" s="227"/>
      <c r="BE763" s="227"/>
      <c r="BF763" s="227"/>
    </row>
    <row r="764">
      <c r="A764" s="235" t="s">
        <v>6758</v>
      </c>
      <c r="C764" s="235" t="s">
        <v>6759</v>
      </c>
      <c r="D764" s="235" t="s">
        <v>6760</v>
      </c>
      <c r="E764" s="243">
        <v>6.56E13</v>
      </c>
      <c r="F764" s="245"/>
      <c r="G764" s="235" t="s">
        <v>6761</v>
      </c>
      <c r="H764" s="235" t="s">
        <v>6762</v>
      </c>
      <c r="I764" s="235" t="s">
        <v>6762</v>
      </c>
      <c r="J764" s="235" t="s">
        <v>6763</v>
      </c>
      <c r="K764" s="235" t="s">
        <v>6764</v>
      </c>
      <c r="N764" s="235" t="s">
        <v>130</v>
      </c>
      <c r="O764" s="235" t="s">
        <v>707</v>
      </c>
      <c r="P764" s="238">
        <v>1.0</v>
      </c>
      <c r="Q764" s="235" t="s">
        <v>627</v>
      </c>
      <c r="R764" s="238">
        <v>246.67</v>
      </c>
      <c r="S764" s="238">
        <v>12.33</v>
      </c>
      <c r="T764" s="238">
        <v>0.0</v>
      </c>
      <c r="U764" s="238">
        <v>0.0</v>
      </c>
      <c r="V764" s="238">
        <v>0.0</v>
      </c>
      <c r="W764" s="238">
        <v>0.0</v>
      </c>
      <c r="X764" s="235" t="s">
        <v>628</v>
      </c>
      <c r="Z764" s="244"/>
      <c r="AA764" s="244"/>
      <c r="AB764" s="244"/>
      <c r="AC764" s="235" t="s">
        <v>6765</v>
      </c>
      <c r="AD764" s="235" t="s">
        <v>833</v>
      </c>
      <c r="AE764" s="238">
        <v>515001.0</v>
      </c>
      <c r="AF764" s="235" t="s">
        <v>631</v>
      </c>
      <c r="AG764" s="244"/>
      <c r="AH764" s="244"/>
      <c r="AI764" s="245"/>
      <c r="AJ764" s="245"/>
      <c r="AK764" s="245"/>
      <c r="AL764" s="245"/>
      <c r="AM764" s="244"/>
      <c r="AN764" s="244"/>
      <c r="AO764" s="238">
        <v>0.0</v>
      </c>
      <c r="AP764" s="238">
        <v>0.0</v>
      </c>
      <c r="AQ764" s="235" t="s">
        <v>632</v>
      </c>
      <c r="AR764" s="243">
        <v>3.71E11</v>
      </c>
      <c r="AS764" s="235" t="s">
        <v>6164</v>
      </c>
      <c r="AT764" s="235" t="s">
        <v>11</v>
      </c>
      <c r="AU764" s="235" t="s">
        <v>634</v>
      </c>
      <c r="AV764" s="246" t="s">
        <v>635</v>
      </c>
      <c r="AW764" s="242"/>
      <c r="AX764" s="242"/>
      <c r="AY764" s="231"/>
      <c r="AZ764" s="231"/>
      <c r="BA764" s="227"/>
      <c r="BB764" s="231"/>
      <c r="BC764" s="227"/>
      <c r="BD764" s="227"/>
      <c r="BE764" s="227"/>
      <c r="BF764" s="227"/>
    </row>
    <row r="765">
      <c r="A765" s="235" t="s">
        <v>6766</v>
      </c>
      <c r="C765" s="235" t="s">
        <v>6767</v>
      </c>
      <c r="D765" s="235" t="s">
        <v>6768</v>
      </c>
      <c r="E765" s="243">
        <v>6.56E13</v>
      </c>
      <c r="F765" s="245"/>
      <c r="G765" s="235" t="s">
        <v>6769</v>
      </c>
      <c r="H765" s="235" t="s">
        <v>6770</v>
      </c>
      <c r="I765" s="235" t="s">
        <v>6770</v>
      </c>
      <c r="J765" s="235" t="s">
        <v>6771</v>
      </c>
      <c r="K765" s="235" t="s">
        <v>6772</v>
      </c>
      <c r="N765" s="235" t="s">
        <v>962</v>
      </c>
      <c r="O765" s="235" t="s">
        <v>963</v>
      </c>
      <c r="P765" s="238">
        <v>1.0</v>
      </c>
      <c r="Q765" s="235" t="s">
        <v>627</v>
      </c>
      <c r="R765" s="238">
        <v>246.67</v>
      </c>
      <c r="S765" s="238">
        <v>12.33</v>
      </c>
      <c r="T765" s="238">
        <v>0.0</v>
      </c>
      <c r="U765" s="238">
        <v>0.0</v>
      </c>
      <c r="V765" s="238">
        <v>0.0</v>
      </c>
      <c r="W765" s="238">
        <v>0.0</v>
      </c>
      <c r="X765" s="235" t="s">
        <v>628</v>
      </c>
      <c r="Z765" s="244"/>
      <c r="AA765" s="244"/>
      <c r="AB765" s="244"/>
      <c r="AC765" s="235" t="s">
        <v>6773</v>
      </c>
      <c r="AD765" s="235" t="s">
        <v>833</v>
      </c>
      <c r="AE765" s="238">
        <v>517001.0</v>
      </c>
      <c r="AF765" s="235" t="s">
        <v>631</v>
      </c>
      <c r="AG765" s="244"/>
      <c r="AH765" s="244"/>
      <c r="AI765" s="245"/>
      <c r="AJ765" s="245"/>
      <c r="AK765" s="245"/>
      <c r="AL765" s="245"/>
      <c r="AM765" s="244"/>
      <c r="AN765" s="244"/>
      <c r="AO765" s="238">
        <v>0.0</v>
      </c>
      <c r="AP765" s="238">
        <v>0.0</v>
      </c>
      <c r="AQ765" s="235" t="s">
        <v>632</v>
      </c>
      <c r="AR765" s="243">
        <v>1.68E11</v>
      </c>
      <c r="AS765" s="235" t="s">
        <v>6164</v>
      </c>
      <c r="AT765" s="235" t="s">
        <v>156</v>
      </c>
      <c r="AU765" s="235" t="s">
        <v>634</v>
      </c>
      <c r="AV765" s="246" t="s">
        <v>635</v>
      </c>
      <c r="AW765" s="242"/>
      <c r="AX765" s="242"/>
      <c r="AY765" s="231"/>
      <c r="AZ765" s="231"/>
      <c r="BA765" s="227"/>
      <c r="BB765" s="231"/>
      <c r="BC765" s="227"/>
      <c r="BD765" s="227"/>
      <c r="BE765" s="227"/>
      <c r="BF765" s="227"/>
    </row>
    <row r="766">
      <c r="A766" s="235" t="s">
        <v>6774</v>
      </c>
      <c r="C766" s="235" t="s">
        <v>6775</v>
      </c>
      <c r="D766" s="235" t="s">
        <v>6776</v>
      </c>
      <c r="E766" s="243">
        <v>6.56E13</v>
      </c>
      <c r="F766" s="245"/>
      <c r="G766" s="235" t="s">
        <v>6777</v>
      </c>
      <c r="H766" s="235" t="s">
        <v>6778</v>
      </c>
      <c r="I766" s="235" t="s">
        <v>6778</v>
      </c>
      <c r="J766" s="235" t="s">
        <v>6779</v>
      </c>
      <c r="K766" s="235" t="s">
        <v>6780</v>
      </c>
      <c r="N766" s="235" t="s">
        <v>1346</v>
      </c>
      <c r="O766" s="235" t="s">
        <v>1347</v>
      </c>
      <c r="P766" s="238">
        <v>1.0</v>
      </c>
      <c r="Q766" s="235" t="s">
        <v>627</v>
      </c>
      <c r="R766" s="238">
        <v>256.19</v>
      </c>
      <c r="S766" s="238">
        <v>12.81</v>
      </c>
      <c r="T766" s="238">
        <v>0.0</v>
      </c>
      <c r="U766" s="238">
        <v>0.0</v>
      </c>
      <c r="V766" s="238">
        <v>0.0</v>
      </c>
      <c r="W766" s="238">
        <v>0.0</v>
      </c>
      <c r="X766" s="235" t="s">
        <v>628</v>
      </c>
      <c r="Z766" s="244"/>
      <c r="AA766" s="244"/>
      <c r="AB766" s="244"/>
      <c r="AC766" s="235" t="s">
        <v>697</v>
      </c>
      <c r="AD766" s="235" t="s">
        <v>698</v>
      </c>
      <c r="AE766" s="238">
        <v>500043.0</v>
      </c>
      <c r="AF766" s="235" t="s">
        <v>631</v>
      </c>
      <c r="AG766" s="244"/>
      <c r="AH766" s="244"/>
      <c r="AI766" s="245"/>
      <c r="AJ766" s="245"/>
      <c r="AK766" s="245"/>
      <c r="AL766" s="245"/>
      <c r="AM766" s="244"/>
      <c r="AN766" s="244"/>
      <c r="AO766" s="238">
        <v>0.0</v>
      </c>
      <c r="AP766" s="238">
        <v>0.0</v>
      </c>
      <c r="AQ766" s="235" t="s">
        <v>632</v>
      </c>
      <c r="AR766" s="243">
        <v>3.71E11</v>
      </c>
      <c r="AS766" s="235" t="s">
        <v>3284</v>
      </c>
      <c r="AT766" s="235" t="s">
        <v>17</v>
      </c>
      <c r="AU766" s="235" t="s">
        <v>634</v>
      </c>
      <c r="AV766" s="246" t="s">
        <v>635</v>
      </c>
      <c r="AW766" s="242"/>
      <c r="AX766" s="242"/>
      <c r="AY766" s="231"/>
      <c r="AZ766" s="231"/>
      <c r="BA766" s="227"/>
      <c r="BB766" s="231"/>
      <c r="BC766" s="227"/>
      <c r="BD766" s="227"/>
      <c r="BE766" s="227"/>
      <c r="BF766" s="227"/>
    </row>
    <row r="767">
      <c r="A767" s="235" t="s">
        <v>6781</v>
      </c>
      <c r="C767" s="235" t="s">
        <v>6782</v>
      </c>
      <c r="D767" s="235" t="s">
        <v>6783</v>
      </c>
      <c r="E767" s="243">
        <v>6.56E13</v>
      </c>
      <c r="F767" s="245"/>
      <c r="G767" s="235" t="s">
        <v>6784</v>
      </c>
      <c r="H767" s="235" t="s">
        <v>6785</v>
      </c>
      <c r="I767" s="235" t="s">
        <v>6785</v>
      </c>
      <c r="J767" s="235" t="s">
        <v>6786</v>
      </c>
      <c r="K767" s="235" t="s">
        <v>6787</v>
      </c>
      <c r="N767" s="235" t="s">
        <v>51</v>
      </c>
      <c r="O767" s="235" t="s">
        <v>273</v>
      </c>
      <c r="P767" s="238">
        <v>1.0</v>
      </c>
      <c r="Q767" s="235" t="s">
        <v>627</v>
      </c>
      <c r="R767" s="238">
        <v>237.14</v>
      </c>
      <c r="S767" s="238">
        <v>11.86</v>
      </c>
      <c r="T767" s="238">
        <v>0.0</v>
      </c>
      <c r="U767" s="238">
        <v>0.0</v>
      </c>
      <c r="V767" s="238">
        <v>0.0</v>
      </c>
      <c r="W767" s="238">
        <v>0.0</v>
      </c>
      <c r="X767" s="235" t="s">
        <v>628</v>
      </c>
      <c r="Z767" s="244"/>
      <c r="AA767" s="244"/>
      <c r="AB767" s="244"/>
      <c r="AC767" s="235" t="s">
        <v>678</v>
      </c>
      <c r="AD767" s="235" t="s">
        <v>679</v>
      </c>
      <c r="AE767" s="238">
        <v>560076.0</v>
      </c>
      <c r="AF767" s="235" t="s">
        <v>631</v>
      </c>
      <c r="AG767" s="244"/>
      <c r="AH767" s="244"/>
      <c r="AI767" s="245"/>
      <c r="AJ767" s="245"/>
      <c r="AK767" s="245"/>
      <c r="AL767" s="245"/>
      <c r="AM767" s="244"/>
      <c r="AN767" s="244"/>
      <c r="AO767" s="238">
        <v>0.0</v>
      </c>
      <c r="AP767" s="238">
        <v>0.0</v>
      </c>
      <c r="AQ767" s="235" t="s">
        <v>632</v>
      </c>
      <c r="AR767" s="243">
        <v>1.68E11</v>
      </c>
      <c r="AS767" s="235" t="s">
        <v>6608</v>
      </c>
      <c r="AT767" s="235" t="s">
        <v>11</v>
      </c>
      <c r="AU767" s="235" t="s">
        <v>634</v>
      </c>
      <c r="AV767" s="246" t="s">
        <v>635</v>
      </c>
      <c r="AW767" s="242"/>
      <c r="AX767" s="242"/>
      <c r="AY767" s="231"/>
      <c r="AZ767" s="231"/>
      <c r="BA767" s="227"/>
      <c r="BB767" s="231"/>
      <c r="BC767" s="227"/>
      <c r="BD767" s="227"/>
      <c r="BE767" s="227"/>
      <c r="BF767" s="227"/>
    </row>
    <row r="768">
      <c r="A768" s="235" t="s">
        <v>6788</v>
      </c>
      <c r="C768" s="235" t="s">
        <v>6789</v>
      </c>
      <c r="D768" s="235" t="s">
        <v>6790</v>
      </c>
      <c r="E768" s="243">
        <v>6.56E13</v>
      </c>
      <c r="F768" s="245"/>
      <c r="G768" s="235" t="s">
        <v>6791</v>
      </c>
      <c r="H768" s="235" t="s">
        <v>6792</v>
      </c>
      <c r="I768" s="235" t="s">
        <v>6792</v>
      </c>
      <c r="J768" s="235" t="s">
        <v>6793</v>
      </c>
      <c r="K768" s="235" t="s">
        <v>6794</v>
      </c>
      <c r="N768" s="235" t="s">
        <v>82</v>
      </c>
      <c r="O768" s="235" t="s">
        <v>889</v>
      </c>
      <c r="P768" s="238">
        <v>1.0</v>
      </c>
      <c r="Q768" s="235" t="s">
        <v>627</v>
      </c>
      <c r="R768" s="238">
        <v>246.67</v>
      </c>
      <c r="S768" s="238">
        <v>12.33</v>
      </c>
      <c r="T768" s="238">
        <v>0.0</v>
      </c>
      <c r="U768" s="238">
        <v>0.0</v>
      </c>
      <c r="V768" s="238">
        <v>0.0</v>
      </c>
      <c r="W768" s="238">
        <v>0.0</v>
      </c>
      <c r="X768" s="235" t="s">
        <v>628</v>
      </c>
      <c r="Z768" s="244"/>
      <c r="AA768" s="244"/>
      <c r="AB768" s="244"/>
      <c r="AC768" s="235" t="s">
        <v>6795</v>
      </c>
      <c r="AD768" s="235" t="s">
        <v>833</v>
      </c>
      <c r="AE768" s="238">
        <v>515865.0</v>
      </c>
      <c r="AF768" s="235" t="s">
        <v>631</v>
      </c>
      <c r="AG768" s="244"/>
      <c r="AH768" s="244"/>
      <c r="AI768" s="245"/>
      <c r="AJ768" s="245"/>
      <c r="AK768" s="245"/>
      <c r="AL768" s="245"/>
      <c r="AM768" s="244"/>
      <c r="AN768" s="244"/>
      <c r="AO768" s="238">
        <v>0.0</v>
      </c>
      <c r="AP768" s="238">
        <v>0.0</v>
      </c>
      <c r="AQ768" s="235" t="s">
        <v>632</v>
      </c>
      <c r="AR768" s="243">
        <v>3.71E11</v>
      </c>
      <c r="AS768" s="235" t="s">
        <v>6164</v>
      </c>
      <c r="AT768" s="235" t="s">
        <v>11</v>
      </c>
      <c r="AU768" s="235" t="s">
        <v>634</v>
      </c>
      <c r="AV768" s="246" t="s">
        <v>635</v>
      </c>
      <c r="AW768" s="242"/>
      <c r="AX768" s="242"/>
      <c r="AY768" s="231"/>
      <c r="AZ768" s="231"/>
      <c r="BA768" s="227"/>
      <c r="BB768" s="231"/>
      <c r="BC768" s="227"/>
      <c r="BD768" s="227"/>
      <c r="BE768" s="227"/>
      <c r="BF768" s="227"/>
    </row>
    <row r="769">
      <c r="A769" s="235" t="s">
        <v>6796</v>
      </c>
      <c r="C769" s="235" t="s">
        <v>6797</v>
      </c>
      <c r="D769" s="235" t="s">
        <v>6798</v>
      </c>
      <c r="E769" s="243">
        <v>6.56E13</v>
      </c>
      <c r="F769" s="245"/>
      <c r="G769" s="235" t="s">
        <v>6799</v>
      </c>
      <c r="H769" s="235" t="s">
        <v>6800</v>
      </c>
      <c r="I769" s="235" t="s">
        <v>6801</v>
      </c>
      <c r="J769" s="235" t="s">
        <v>6802</v>
      </c>
      <c r="K769" s="235" t="s">
        <v>6803</v>
      </c>
      <c r="N769" s="235" t="s">
        <v>962</v>
      </c>
      <c r="O769" s="235" t="s">
        <v>963</v>
      </c>
      <c r="P769" s="238">
        <v>1.0</v>
      </c>
      <c r="Q769" s="235" t="s">
        <v>627</v>
      </c>
      <c r="R769" s="238">
        <v>246.66</v>
      </c>
      <c r="S769" s="238">
        <v>12.34</v>
      </c>
      <c r="T769" s="238">
        <v>0.0</v>
      </c>
      <c r="U769" s="238">
        <v>0.0</v>
      </c>
      <c r="V769" s="238">
        <v>0.0</v>
      </c>
      <c r="W769" s="238">
        <v>0.0</v>
      </c>
      <c r="X769" s="235" t="s">
        <v>628</v>
      </c>
      <c r="Z769" s="244"/>
      <c r="AA769" s="244"/>
      <c r="AB769" s="244"/>
      <c r="AC769" s="235" t="s">
        <v>6804</v>
      </c>
      <c r="AD769" s="235" t="s">
        <v>666</v>
      </c>
      <c r="AE769" s="238">
        <v>624002.0</v>
      </c>
      <c r="AF769" s="235" t="s">
        <v>631</v>
      </c>
      <c r="AG769" s="244"/>
      <c r="AH769" s="244"/>
      <c r="AI769" s="245"/>
      <c r="AJ769" s="245"/>
      <c r="AK769" s="245"/>
      <c r="AL769" s="245"/>
      <c r="AM769" s="244"/>
      <c r="AN769" s="244"/>
      <c r="AO769" s="238">
        <v>0.0</v>
      </c>
      <c r="AP769" s="238">
        <v>0.0</v>
      </c>
      <c r="AQ769" s="235" t="s">
        <v>632</v>
      </c>
      <c r="AR769" s="243">
        <v>3.71E11</v>
      </c>
      <c r="AS769" s="235" t="s">
        <v>6164</v>
      </c>
      <c r="AT769" s="235" t="s">
        <v>155</v>
      </c>
      <c r="AU769" s="235" t="s">
        <v>634</v>
      </c>
      <c r="AV769" s="246" t="s">
        <v>635</v>
      </c>
      <c r="AW769" s="242"/>
      <c r="AX769" s="242"/>
      <c r="AY769" s="231"/>
      <c r="AZ769" s="231"/>
      <c r="BA769" s="227"/>
      <c r="BB769" s="231"/>
      <c r="BC769" s="227"/>
      <c r="BD769" s="227"/>
      <c r="BE769" s="227"/>
      <c r="BF769" s="227"/>
    </row>
    <row r="770">
      <c r="A770" s="235" t="s">
        <v>6805</v>
      </c>
      <c r="C770" s="235" t="s">
        <v>6806</v>
      </c>
      <c r="D770" s="235" t="s">
        <v>6807</v>
      </c>
      <c r="E770" s="243">
        <v>6.56E13</v>
      </c>
      <c r="F770" s="245"/>
      <c r="G770" s="235" t="s">
        <v>6808</v>
      </c>
      <c r="H770" s="235" t="s">
        <v>6809</v>
      </c>
      <c r="I770" s="235" t="s">
        <v>6809</v>
      </c>
      <c r="J770" s="235" t="s">
        <v>6810</v>
      </c>
      <c r="K770" s="235" t="s">
        <v>6811</v>
      </c>
      <c r="N770" s="235" t="s">
        <v>42</v>
      </c>
      <c r="O770" s="235" t="s">
        <v>204</v>
      </c>
      <c r="P770" s="238">
        <v>1.0</v>
      </c>
      <c r="Q770" s="235" t="s">
        <v>627</v>
      </c>
      <c r="R770" s="238">
        <v>237.14</v>
      </c>
      <c r="S770" s="238">
        <v>11.5</v>
      </c>
      <c r="T770" s="238">
        <v>0.0</v>
      </c>
      <c r="U770" s="238">
        <v>0.0</v>
      </c>
      <c r="V770" s="238">
        <v>0.0</v>
      </c>
      <c r="W770" s="238">
        <v>0.0</v>
      </c>
      <c r="X770" s="235" t="s">
        <v>628</v>
      </c>
      <c r="Z770" s="244"/>
      <c r="AA770" s="244"/>
      <c r="AB770" s="244"/>
      <c r="AC770" s="235" t="s">
        <v>687</v>
      </c>
      <c r="AD770" s="235" t="s">
        <v>666</v>
      </c>
      <c r="AE770" s="238">
        <v>600097.0</v>
      </c>
      <c r="AF770" s="235" t="s">
        <v>631</v>
      </c>
      <c r="AG770" s="244"/>
      <c r="AH770" s="244"/>
      <c r="AI770" s="245"/>
      <c r="AJ770" s="245"/>
      <c r="AK770" s="245"/>
      <c r="AL770" s="245"/>
      <c r="AM770" s="244"/>
      <c r="AN770" s="244"/>
      <c r="AO770" s="238">
        <v>-7.11</v>
      </c>
      <c r="AP770" s="238">
        <v>0.0</v>
      </c>
      <c r="AQ770" s="235" t="s">
        <v>632</v>
      </c>
      <c r="AR770" s="243">
        <v>1.68E11</v>
      </c>
      <c r="AS770" s="235" t="s">
        <v>6608</v>
      </c>
      <c r="AT770" s="235" t="s">
        <v>156</v>
      </c>
      <c r="AU770" s="235" t="s">
        <v>634</v>
      </c>
      <c r="AV770" s="246" t="s">
        <v>635</v>
      </c>
      <c r="AW770" s="242"/>
      <c r="AX770" s="242"/>
      <c r="AY770" s="231"/>
      <c r="AZ770" s="231"/>
      <c r="BA770" s="227"/>
      <c r="BB770" s="231"/>
      <c r="BC770" s="227"/>
      <c r="BD770" s="227"/>
      <c r="BE770" s="227"/>
      <c r="BF770" s="227"/>
    </row>
    <row r="771">
      <c r="A771" s="235" t="s">
        <v>6805</v>
      </c>
      <c r="C771" s="235" t="s">
        <v>6806</v>
      </c>
      <c r="D771" s="235" t="s">
        <v>6812</v>
      </c>
      <c r="E771" s="243">
        <v>6.56E13</v>
      </c>
      <c r="F771" s="245"/>
      <c r="G771" s="235" t="s">
        <v>6808</v>
      </c>
      <c r="H771" s="235" t="s">
        <v>6809</v>
      </c>
      <c r="I771" s="235" t="s">
        <v>6809</v>
      </c>
      <c r="J771" s="235" t="s">
        <v>6810</v>
      </c>
      <c r="K771" s="235" t="s">
        <v>6811</v>
      </c>
      <c r="N771" s="235" t="s">
        <v>42</v>
      </c>
      <c r="O771" s="235" t="s">
        <v>204</v>
      </c>
      <c r="P771" s="238">
        <v>1.0</v>
      </c>
      <c r="Q771" s="235" t="s">
        <v>627</v>
      </c>
      <c r="R771" s="238">
        <v>237.14</v>
      </c>
      <c r="S771" s="238">
        <v>11.5</v>
      </c>
      <c r="T771" s="238">
        <v>0.0</v>
      </c>
      <c r="U771" s="238">
        <v>0.0</v>
      </c>
      <c r="V771" s="238">
        <v>0.0</v>
      </c>
      <c r="W771" s="238">
        <v>0.0</v>
      </c>
      <c r="X771" s="235" t="s">
        <v>628</v>
      </c>
      <c r="Z771" s="244"/>
      <c r="AA771" s="244"/>
      <c r="AB771" s="244"/>
      <c r="AC771" s="235" t="s">
        <v>687</v>
      </c>
      <c r="AD771" s="235" t="s">
        <v>666</v>
      </c>
      <c r="AE771" s="238">
        <v>600097.0</v>
      </c>
      <c r="AF771" s="235" t="s">
        <v>631</v>
      </c>
      <c r="AG771" s="244"/>
      <c r="AH771" s="244"/>
      <c r="AI771" s="245"/>
      <c r="AJ771" s="245"/>
      <c r="AK771" s="245"/>
      <c r="AL771" s="245"/>
      <c r="AM771" s="244"/>
      <c r="AN771" s="244"/>
      <c r="AO771" s="238">
        <v>-7.11</v>
      </c>
      <c r="AP771" s="238">
        <v>0.0</v>
      </c>
      <c r="AQ771" s="235" t="s">
        <v>632</v>
      </c>
      <c r="AR771" s="243">
        <v>1.68E11</v>
      </c>
      <c r="AS771" s="235" t="s">
        <v>6608</v>
      </c>
      <c r="AT771" s="235" t="s">
        <v>156</v>
      </c>
      <c r="AU771" s="235" t="s">
        <v>634</v>
      </c>
      <c r="AV771" s="246" t="s">
        <v>635</v>
      </c>
      <c r="AW771" s="242"/>
      <c r="AX771" s="242"/>
      <c r="AY771" s="231"/>
      <c r="AZ771" s="231"/>
      <c r="BA771" s="227"/>
      <c r="BB771" s="231"/>
      <c r="BC771" s="227"/>
      <c r="BD771" s="227"/>
      <c r="BE771" s="227"/>
      <c r="BF771" s="227"/>
    </row>
    <row r="772">
      <c r="A772" s="235" t="s">
        <v>6813</v>
      </c>
      <c r="C772" s="235" t="s">
        <v>6814</v>
      </c>
      <c r="D772" s="235" t="s">
        <v>6815</v>
      </c>
      <c r="E772" s="243">
        <v>6.56E13</v>
      </c>
      <c r="F772" s="245"/>
      <c r="G772" s="235" t="s">
        <v>6816</v>
      </c>
      <c r="H772" s="235" t="s">
        <v>6817</v>
      </c>
      <c r="I772" s="235" t="s">
        <v>6817</v>
      </c>
      <c r="J772" s="235" t="s">
        <v>6818</v>
      </c>
      <c r="K772" s="235" t="s">
        <v>6819</v>
      </c>
      <c r="N772" s="235" t="s">
        <v>47</v>
      </c>
      <c r="O772" s="235" t="s">
        <v>270</v>
      </c>
      <c r="P772" s="238">
        <v>1.0</v>
      </c>
      <c r="Q772" s="235" t="s">
        <v>627</v>
      </c>
      <c r="R772" s="238">
        <v>0.0</v>
      </c>
      <c r="S772" s="238">
        <v>0.0</v>
      </c>
      <c r="T772" s="238">
        <v>0.0</v>
      </c>
      <c r="U772" s="238">
        <v>0.0</v>
      </c>
      <c r="V772" s="238">
        <v>0.0</v>
      </c>
      <c r="W772" s="238">
        <v>0.0</v>
      </c>
      <c r="X772" s="235" t="s">
        <v>628</v>
      </c>
      <c r="Z772" s="244"/>
      <c r="AA772" s="244"/>
      <c r="AB772" s="244"/>
      <c r="AC772" s="235" t="s">
        <v>6820</v>
      </c>
      <c r="AD772" s="235" t="s">
        <v>698</v>
      </c>
      <c r="AE772" s="238">
        <v>508207.0</v>
      </c>
      <c r="AF772" s="235" t="s">
        <v>631</v>
      </c>
      <c r="AG772" s="244"/>
      <c r="AH772" s="244"/>
      <c r="AI772" s="245"/>
      <c r="AJ772" s="245"/>
      <c r="AK772" s="245"/>
      <c r="AL772" s="245"/>
      <c r="AM772" s="244"/>
      <c r="AN772" s="244"/>
      <c r="AO772" s="238">
        <v>0.0</v>
      </c>
      <c r="AP772" s="238">
        <v>0.0</v>
      </c>
      <c r="AQ772" s="235" t="s">
        <v>632</v>
      </c>
      <c r="AR772" s="243">
        <v>3.71E11</v>
      </c>
      <c r="AS772" s="235" t="s">
        <v>4697</v>
      </c>
      <c r="AT772" s="235" t="s">
        <v>546</v>
      </c>
      <c r="AU772" s="235" t="s">
        <v>634</v>
      </c>
      <c r="AV772" s="246" t="s">
        <v>635</v>
      </c>
      <c r="AW772" s="242"/>
      <c r="AX772" s="242"/>
      <c r="AY772" s="231"/>
      <c r="AZ772" s="231"/>
      <c r="BA772" s="227"/>
      <c r="BB772" s="231"/>
      <c r="BC772" s="227"/>
      <c r="BD772" s="227"/>
      <c r="BE772" s="227"/>
      <c r="BF772" s="227"/>
    </row>
    <row r="773">
      <c r="A773" s="235" t="s">
        <v>6821</v>
      </c>
      <c r="C773" s="235" t="s">
        <v>6822</v>
      </c>
      <c r="D773" s="235" t="s">
        <v>6823</v>
      </c>
      <c r="E773" s="243">
        <v>6.56E13</v>
      </c>
      <c r="F773" s="245"/>
      <c r="G773" s="235" t="s">
        <v>6824</v>
      </c>
      <c r="H773" s="235" t="s">
        <v>6825</v>
      </c>
      <c r="I773" s="235" t="s">
        <v>6825</v>
      </c>
      <c r="J773" s="235" t="s">
        <v>6826</v>
      </c>
      <c r="K773" s="235" t="s">
        <v>6827</v>
      </c>
      <c r="N773" s="235" t="s">
        <v>92</v>
      </c>
      <c r="O773" s="235" t="s">
        <v>248</v>
      </c>
      <c r="P773" s="238">
        <v>1.0</v>
      </c>
      <c r="Q773" s="235" t="s">
        <v>627</v>
      </c>
      <c r="R773" s="238">
        <v>246.66</v>
      </c>
      <c r="S773" s="238">
        <v>12.34</v>
      </c>
      <c r="T773" s="238">
        <v>0.0</v>
      </c>
      <c r="U773" s="238">
        <v>0.0</v>
      </c>
      <c r="V773" s="238">
        <v>0.0</v>
      </c>
      <c r="W773" s="238">
        <v>0.0</v>
      </c>
      <c r="X773" s="235" t="s">
        <v>628</v>
      </c>
      <c r="Z773" s="244"/>
      <c r="AA773" s="244"/>
      <c r="AB773" s="244"/>
      <c r="AC773" s="235" t="s">
        <v>687</v>
      </c>
      <c r="AD773" s="235" t="s">
        <v>666</v>
      </c>
      <c r="AE773" s="238">
        <v>600038.0</v>
      </c>
      <c r="AF773" s="235" t="s">
        <v>631</v>
      </c>
      <c r="AG773" s="244"/>
      <c r="AH773" s="244"/>
      <c r="AI773" s="245"/>
      <c r="AJ773" s="245"/>
      <c r="AK773" s="245"/>
      <c r="AL773" s="245"/>
      <c r="AM773" s="244"/>
      <c r="AN773" s="244"/>
      <c r="AO773" s="238">
        <v>0.0</v>
      </c>
      <c r="AP773" s="238">
        <v>0.0</v>
      </c>
      <c r="AQ773" s="235" t="s">
        <v>632</v>
      </c>
      <c r="AR773" s="243">
        <v>1.68E11</v>
      </c>
      <c r="AS773" s="235" t="s">
        <v>6608</v>
      </c>
      <c r="AT773" s="235" t="s">
        <v>156</v>
      </c>
      <c r="AU773" s="235" t="s">
        <v>634</v>
      </c>
      <c r="AV773" s="246" t="s">
        <v>635</v>
      </c>
      <c r="AW773" s="242"/>
      <c r="AX773" s="242"/>
      <c r="AY773" s="231"/>
      <c r="AZ773" s="231"/>
      <c r="BA773" s="227"/>
      <c r="BB773" s="231"/>
      <c r="BC773" s="227"/>
      <c r="BD773" s="227"/>
      <c r="BE773" s="227"/>
      <c r="BF773" s="227"/>
    </row>
    <row r="774">
      <c r="A774" s="235" t="s">
        <v>6828</v>
      </c>
      <c r="C774" s="235" t="s">
        <v>6829</v>
      </c>
      <c r="D774" s="235" t="s">
        <v>6830</v>
      </c>
      <c r="E774" s="243">
        <v>6.56E13</v>
      </c>
      <c r="F774" s="245"/>
      <c r="G774" s="235" t="s">
        <v>6831</v>
      </c>
      <c r="H774" s="235" t="s">
        <v>6832</v>
      </c>
      <c r="I774" s="235" t="s">
        <v>6833</v>
      </c>
      <c r="J774" s="235" t="s">
        <v>6834</v>
      </c>
      <c r="K774" s="235" t="s">
        <v>6835</v>
      </c>
      <c r="N774" s="235" t="s">
        <v>110</v>
      </c>
      <c r="O774" s="235" t="s">
        <v>364</v>
      </c>
      <c r="P774" s="238">
        <v>1.0</v>
      </c>
      <c r="Q774" s="235" t="s">
        <v>627</v>
      </c>
      <c r="R774" s="238">
        <v>246.66</v>
      </c>
      <c r="S774" s="238">
        <v>12.34</v>
      </c>
      <c r="T774" s="238">
        <v>0.0</v>
      </c>
      <c r="U774" s="238">
        <v>0.0</v>
      </c>
      <c r="V774" s="238">
        <v>0.0</v>
      </c>
      <c r="W774" s="238">
        <v>0.0</v>
      </c>
      <c r="X774" s="235" t="s">
        <v>628</v>
      </c>
      <c r="Z774" s="244"/>
      <c r="AA774" s="244"/>
      <c r="AB774" s="244"/>
      <c r="AC774" s="235" t="s">
        <v>687</v>
      </c>
      <c r="AD774" s="235" t="s">
        <v>666</v>
      </c>
      <c r="AE774" s="238">
        <v>600119.0</v>
      </c>
      <c r="AF774" s="235" t="s">
        <v>631</v>
      </c>
      <c r="AG774" s="244"/>
      <c r="AH774" s="244"/>
      <c r="AI774" s="245"/>
      <c r="AJ774" s="245"/>
      <c r="AK774" s="245"/>
      <c r="AL774" s="245"/>
      <c r="AM774" s="244"/>
      <c r="AN774" s="244"/>
      <c r="AO774" s="238">
        <v>0.0</v>
      </c>
      <c r="AP774" s="238">
        <v>0.0</v>
      </c>
      <c r="AQ774" s="235" t="s">
        <v>632</v>
      </c>
      <c r="AR774" s="243">
        <v>3.71E11</v>
      </c>
      <c r="AS774" s="235" t="s">
        <v>6164</v>
      </c>
      <c r="AT774" s="235" t="s">
        <v>156</v>
      </c>
      <c r="AU774" s="235" t="s">
        <v>634</v>
      </c>
      <c r="AV774" s="246" t="s">
        <v>635</v>
      </c>
      <c r="AW774" s="242"/>
      <c r="AX774" s="242"/>
      <c r="AY774" s="231"/>
      <c r="AZ774" s="231"/>
      <c r="BA774" s="227"/>
      <c r="BB774" s="231"/>
      <c r="BC774" s="227"/>
      <c r="BD774" s="227"/>
      <c r="BE774" s="227"/>
      <c r="BF774" s="227"/>
    </row>
    <row r="775">
      <c r="A775" s="235" t="s">
        <v>6836</v>
      </c>
      <c r="C775" s="235" t="s">
        <v>6837</v>
      </c>
      <c r="D775" s="235" t="s">
        <v>6838</v>
      </c>
      <c r="E775" s="243">
        <v>6.56E13</v>
      </c>
      <c r="F775" s="245"/>
      <c r="G775" s="235" t="s">
        <v>6839</v>
      </c>
      <c r="H775" s="235" t="s">
        <v>6840</v>
      </c>
      <c r="I775" s="235" t="s">
        <v>6840</v>
      </c>
      <c r="J775" s="235" t="s">
        <v>6841</v>
      </c>
      <c r="K775" s="235" t="s">
        <v>6842</v>
      </c>
      <c r="N775" s="235" t="s">
        <v>127</v>
      </c>
      <c r="O775" s="235" t="s">
        <v>794</v>
      </c>
      <c r="P775" s="238">
        <v>1.0</v>
      </c>
      <c r="Q775" s="235" t="s">
        <v>627</v>
      </c>
      <c r="R775" s="238">
        <v>246.66</v>
      </c>
      <c r="S775" s="238">
        <v>12.34</v>
      </c>
      <c r="T775" s="238">
        <v>0.0</v>
      </c>
      <c r="U775" s="238">
        <v>0.0</v>
      </c>
      <c r="V775" s="238">
        <v>0.0</v>
      </c>
      <c r="W775" s="238">
        <v>0.0</v>
      </c>
      <c r="X775" s="235" t="s">
        <v>628</v>
      </c>
      <c r="Z775" s="244"/>
      <c r="AA775" s="244"/>
      <c r="AB775" s="244"/>
      <c r="AC775" s="235" t="s">
        <v>687</v>
      </c>
      <c r="AD775" s="235" t="s">
        <v>666</v>
      </c>
      <c r="AE775" s="238">
        <v>600130.0</v>
      </c>
      <c r="AF775" s="235" t="s">
        <v>631</v>
      </c>
      <c r="AG775" s="244"/>
      <c r="AH775" s="244"/>
      <c r="AI775" s="245"/>
      <c r="AJ775" s="245"/>
      <c r="AK775" s="245"/>
      <c r="AL775" s="245"/>
      <c r="AM775" s="244"/>
      <c r="AN775" s="244"/>
      <c r="AO775" s="238">
        <v>0.0</v>
      </c>
      <c r="AP775" s="238">
        <v>0.0</v>
      </c>
      <c r="AQ775" s="235" t="s">
        <v>632</v>
      </c>
      <c r="AR775" s="243">
        <v>3.71E11</v>
      </c>
      <c r="AS775" s="235" t="s">
        <v>6164</v>
      </c>
      <c r="AT775" s="235" t="s">
        <v>156</v>
      </c>
      <c r="AU775" s="235" t="s">
        <v>634</v>
      </c>
      <c r="AV775" s="246" t="s">
        <v>635</v>
      </c>
      <c r="AW775" s="242"/>
      <c r="AX775" s="242"/>
      <c r="AY775" s="231"/>
      <c r="AZ775" s="231"/>
      <c r="BA775" s="227"/>
      <c r="BB775" s="231"/>
      <c r="BC775" s="227"/>
      <c r="BD775" s="227"/>
      <c r="BE775" s="227"/>
      <c r="BF775" s="227"/>
    </row>
    <row r="776">
      <c r="A776" s="235" t="s">
        <v>6843</v>
      </c>
      <c r="C776" s="235" t="s">
        <v>6844</v>
      </c>
      <c r="D776" s="235" t="s">
        <v>6845</v>
      </c>
      <c r="E776" s="243">
        <v>6.56E13</v>
      </c>
      <c r="F776" s="245"/>
      <c r="G776" s="235" t="s">
        <v>6846</v>
      </c>
      <c r="H776" s="235" t="s">
        <v>6847</v>
      </c>
      <c r="I776" s="235" t="s">
        <v>6848</v>
      </c>
      <c r="J776" s="235" t="s">
        <v>6849</v>
      </c>
      <c r="K776" s="235" t="s">
        <v>6850</v>
      </c>
      <c r="N776" s="235" t="s">
        <v>47</v>
      </c>
      <c r="O776" s="235" t="s">
        <v>270</v>
      </c>
      <c r="P776" s="238">
        <v>1.0</v>
      </c>
      <c r="Q776" s="235" t="s">
        <v>627</v>
      </c>
      <c r="R776" s="238">
        <v>237.14</v>
      </c>
      <c r="S776" s="238">
        <v>11.86</v>
      </c>
      <c r="T776" s="238">
        <v>38.1</v>
      </c>
      <c r="U776" s="238">
        <v>1.9</v>
      </c>
      <c r="V776" s="238">
        <v>0.0</v>
      </c>
      <c r="W776" s="238">
        <v>0.0</v>
      </c>
      <c r="X776" s="235" t="s">
        <v>628</v>
      </c>
      <c r="Z776" s="244"/>
      <c r="AA776" s="244"/>
      <c r="AB776" s="244"/>
      <c r="AC776" s="235" t="s">
        <v>678</v>
      </c>
      <c r="AD776" s="235" t="s">
        <v>679</v>
      </c>
      <c r="AE776" s="238">
        <v>560073.0</v>
      </c>
      <c r="AF776" s="235" t="s">
        <v>631</v>
      </c>
      <c r="AG776" s="244"/>
      <c r="AH776" s="244"/>
      <c r="AI776" s="245"/>
      <c r="AJ776" s="245"/>
      <c r="AK776" s="245"/>
      <c r="AL776" s="245"/>
      <c r="AM776" s="244"/>
      <c r="AN776" s="244"/>
      <c r="AO776" s="238">
        <v>0.0</v>
      </c>
      <c r="AP776" s="238">
        <v>-38.1</v>
      </c>
      <c r="AQ776" s="235" t="s">
        <v>632</v>
      </c>
      <c r="AR776" s="243">
        <v>3.71E11</v>
      </c>
      <c r="AS776" s="235" t="s">
        <v>3284</v>
      </c>
      <c r="AT776" s="235" t="s">
        <v>156</v>
      </c>
      <c r="AU776" s="235" t="s">
        <v>634</v>
      </c>
      <c r="AV776" s="246" t="s">
        <v>635</v>
      </c>
      <c r="AW776" s="242"/>
      <c r="AX776" s="242"/>
      <c r="AY776" s="231"/>
      <c r="AZ776" s="231"/>
      <c r="BA776" s="227"/>
      <c r="BB776" s="231"/>
      <c r="BC776" s="227"/>
      <c r="BD776" s="227"/>
      <c r="BE776" s="227"/>
      <c r="BF776" s="227"/>
    </row>
    <row r="777">
      <c r="A777" s="235" t="s">
        <v>6851</v>
      </c>
      <c r="C777" s="235" t="s">
        <v>6852</v>
      </c>
      <c r="D777" s="235" t="s">
        <v>6853</v>
      </c>
      <c r="E777" s="243">
        <v>6.56E13</v>
      </c>
      <c r="F777" s="245"/>
      <c r="G777" s="235" t="s">
        <v>6854</v>
      </c>
      <c r="H777" s="235" t="s">
        <v>6855</v>
      </c>
      <c r="I777" s="235" t="s">
        <v>6855</v>
      </c>
      <c r="J777" s="235" t="s">
        <v>6856</v>
      </c>
      <c r="K777" s="235" t="s">
        <v>6857</v>
      </c>
      <c r="N777" s="235" t="s">
        <v>47</v>
      </c>
      <c r="O777" s="235" t="s">
        <v>270</v>
      </c>
      <c r="P777" s="238">
        <v>1.0</v>
      </c>
      <c r="Q777" s="235" t="s">
        <v>627</v>
      </c>
      <c r="R777" s="238">
        <v>237.14</v>
      </c>
      <c r="S777" s="238">
        <v>11.86</v>
      </c>
      <c r="T777" s="238">
        <v>0.0</v>
      </c>
      <c r="U777" s="238">
        <v>0.0</v>
      </c>
      <c r="V777" s="238">
        <v>0.0</v>
      </c>
      <c r="W777" s="238">
        <v>0.0</v>
      </c>
      <c r="X777" s="235" t="s">
        <v>628</v>
      </c>
      <c r="Z777" s="244"/>
      <c r="AA777" s="244"/>
      <c r="AB777" s="244"/>
      <c r="AC777" s="235" t="s">
        <v>687</v>
      </c>
      <c r="AD777" s="235" t="s">
        <v>666</v>
      </c>
      <c r="AE777" s="238">
        <v>600130.0</v>
      </c>
      <c r="AF777" s="235" t="s">
        <v>631</v>
      </c>
      <c r="AG777" s="244"/>
      <c r="AH777" s="244"/>
      <c r="AI777" s="245"/>
      <c r="AJ777" s="245"/>
      <c r="AK777" s="245"/>
      <c r="AL777" s="245"/>
      <c r="AM777" s="244"/>
      <c r="AN777" s="244"/>
      <c r="AO777" s="238">
        <v>0.0</v>
      </c>
      <c r="AP777" s="238">
        <v>0.0</v>
      </c>
      <c r="AQ777" s="235" t="s">
        <v>632</v>
      </c>
      <c r="AR777" s="243">
        <v>3.71E11</v>
      </c>
      <c r="AS777" s="235" t="s">
        <v>6164</v>
      </c>
      <c r="AT777" s="235" t="s">
        <v>156</v>
      </c>
      <c r="AU777" s="235" t="s">
        <v>634</v>
      </c>
      <c r="AV777" s="246" t="s">
        <v>635</v>
      </c>
      <c r="AW777" s="242"/>
      <c r="AX777" s="242"/>
      <c r="AY777" s="231"/>
      <c r="AZ777" s="231"/>
      <c r="BA777" s="227"/>
      <c r="BB777" s="231"/>
      <c r="BC777" s="227"/>
      <c r="BD777" s="227"/>
      <c r="BE777" s="227"/>
      <c r="BF777" s="227"/>
    </row>
    <row r="778">
      <c r="A778" s="235" t="s">
        <v>6858</v>
      </c>
      <c r="C778" s="235" t="s">
        <v>6859</v>
      </c>
      <c r="D778" s="235" t="s">
        <v>6860</v>
      </c>
      <c r="E778" s="243">
        <v>6.56E13</v>
      </c>
      <c r="F778" s="245"/>
      <c r="G778" s="235" t="s">
        <v>6861</v>
      </c>
      <c r="H778" s="235" t="s">
        <v>6862</v>
      </c>
      <c r="I778" s="235" t="s">
        <v>6862</v>
      </c>
      <c r="J778" s="235" t="s">
        <v>6863</v>
      </c>
      <c r="K778" s="235" t="s">
        <v>6864</v>
      </c>
      <c r="N778" s="235" t="s">
        <v>127</v>
      </c>
      <c r="O778" s="235" t="s">
        <v>794</v>
      </c>
      <c r="P778" s="238">
        <v>1.0</v>
      </c>
      <c r="Q778" s="235" t="s">
        <v>627</v>
      </c>
      <c r="R778" s="238">
        <v>246.66</v>
      </c>
      <c r="S778" s="238">
        <v>12.34</v>
      </c>
      <c r="T778" s="238">
        <v>18.1</v>
      </c>
      <c r="U778" s="238">
        <v>0.9</v>
      </c>
      <c r="V778" s="238">
        <v>0.0</v>
      </c>
      <c r="W778" s="238">
        <v>0.0</v>
      </c>
      <c r="X778" s="235" t="s">
        <v>628</v>
      </c>
      <c r="Z778" s="244"/>
      <c r="AA778" s="244"/>
      <c r="AB778" s="244"/>
      <c r="AC778" s="235" t="s">
        <v>687</v>
      </c>
      <c r="AD778" s="235" t="s">
        <v>666</v>
      </c>
      <c r="AE778" s="238">
        <v>600100.0</v>
      </c>
      <c r="AF778" s="235" t="s">
        <v>631</v>
      </c>
      <c r="AG778" s="244"/>
      <c r="AH778" s="244"/>
      <c r="AI778" s="245"/>
      <c r="AJ778" s="245"/>
      <c r="AK778" s="245"/>
      <c r="AL778" s="245"/>
      <c r="AM778" s="244"/>
      <c r="AN778" s="244"/>
      <c r="AO778" s="238">
        <v>0.0</v>
      </c>
      <c r="AP778" s="238">
        <v>-18.1</v>
      </c>
      <c r="AQ778" s="235" t="s">
        <v>632</v>
      </c>
      <c r="AR778" s="243">
        <v>1.68E11</v>
      </c>
      <c r="AS778" s="235" t="s">
        <v>6608</v>
      </c>
      <c r="AT778" s="235" t="s">
        <v>156</v>
      </c>
      <c r="AU778" s="235" t="s">
        <v>634</v>
      </c>
      <c r="AV778" s="246" t="s">
        <v>635</v>
      </c>
      <c r="AW778" s="242"/>
      <c r="AX778" s="242"/>
      <c r="AY778" s="231"/>
      <c r="AZ778" s="231"/>
      <c r="BA778" s="227"/>
      <c r="BB778" s="231"/>
      <c r="BC778" s="227"/>
      <c r="BD778" s="227"/>
      <c r="BE778" s="227"/>
      <c r="BF778" s="227"/>
    </row>
    <row r="779">
      <c r="A779" s="235" t="s">
        <v>6865</v>
      </c>
      <c r="C779" s="235" t="s">
        <v>6866</v>
      </c>
      <c r="D779" s="235" t="s">
        <v>6867</v>
      </c>
      <c r="E779" s="243">
        <v>6.56E13</v>
      </c>
      <c r="F779" s="245"/>
      <c r="G779" s="235" t="s">
        <v>6868</v>
      </c>
      <c r="H779" s="235" t="s">
        <v>6869</v>
      </c>
      <c r="I779" s="235" t="s">
        <v>6869</v>
      </c>
      <c r="J779" s="235" t="s">
        <v>6870</v>
      </c>
      <c r="K779" s="235" t="s">
        <v>6871</v>
      </c>
      <c r="N779" s="235" t="s">
        <v>29</v>
      </c>
      <c r="O779" s="235" t="s">
        <v>677</v>
      </c>
      <c r="P779" s="238">
        <v>1.0</v>
      </c>
      <c r="Q779" s="235" t="s">
        <v>627</v>
      </c>
      <c r="R779" s="238">
        <v>446.67</v>
      </c>
      <c r="S779" s="238">
        <v>22.33</v>
      </c>
      <c r="T779" s="238">
        <v>0.0</v>
      </c>
      <c r="U779" s="238">
        <v>0.0</v>
      </c>
      <c r="V779" s="238">
        <v>0.0</v>
      </c>
      <c r="W779" s="238">
        <v>0.0</v>
      </c>
      <c r="X779" s="235" t="s">
        <v>628</v>
      </c>
      <c r="Z779" s="244"/>
      <c r="AA779" s="244"/>
      <c r="AB779" s="244"/>
      <c r="AC779" s="235" t="s">
        <v>822</v>
      </c>
      <c r="AD779" s="235" t="s">
        <v>630</v>
      </c>
      <c r="AE779" s="238">
        <v>201301.0</v>
      </c>
      <c r="AF779" s="235" t="s">
        <v>631</v>
      </c>
      <c r="AG779" s="244"/>
      <c r="AH779" s="244"/>
      <c r="AI779" s="245"/>
      <c r="AJ779" s="245"/>
      <c r="AK779" s="245"/>
      <c r="AL779" s="245"/>
      <c r="AM779" s="244"/>
      <c r="AN779" s="244"/>
      <c r="AO779" s="238">
        <v>0.0</v>
      </c>
      <c r="AP779" s="238">
        <v>0.0</v>
      </c>
      <c r="AQ779" s="235" t="s">
        <v>632</v>
      </c>
      <c r="AR779" s="243">
        <v>3.71E11</v>
      </c>
      <c r="AS779" s="235" t="s">
        <v>3284</v>
      </c>
      <c r="AT779" s="235" t="s">
        <v>16</v>
      </c>
      <c r="AU779" s="235" t="s">
        <v>634</v>
      </c>
      <c r="AV779" s="246" t="s">
        <v>635</v>
      </c>
      <c r="AW779" s="242"/>
      <c r="AX779" s="242"/>
      <c r="AY779" s="231"/>
      <c r="AZ779" s="231"/>
      <c r="BA779" s="227"/>
      <c r="BB779" s="231"/>
      <c r="BC779" s="227"/>
      <c r="BD779" s="227"/>
      <c r="BE779" s="227"/>
      <c r="BF779" s="227"/>
    </row>
    <row r="780">
      <c r="A780" s="235" t="s">
        <v>6872</v>
      </c>
      <c r="C780" s="235" t="s">
        <v>6873</v>
      </c>
      <c r="D780" s="235" t="s">
        <v>6874</v>
      </c>
      <c r="E780" s="243">
        <v>6.56E13</v>
      </c>
      <c r="F780" s="245"/>
      <c r="G780" s="235" t="s">
        <v>6875</v>
      </c>
      <c r="H780" s="235" t="s">
        <v>6876</v>
      </c>
      <c r="I780" s="235" t="s">
        <v>6877</v>
      </c>
      <c r="J780" s="235" t="s">
        <v>6878</v>
      </c>
      <c r="K780" s="235" t="s">
        <v>6879</v>
      </c>
      <c r="N780" s="235" t="s">
        <v>42</v>
      </c>
      <c r="O780" s="235" t="s">
        <v>204</v>
      </c>
      <c r="P780" s="238">
        <v>1.0</v>
      </c>
      <c r="Q780" s="235" t="s">
        <v>627</v>
      </c>
      <c r="R780" s="238">
        <v>237.14</v>
      </c>
      <c r="S780" s="238">
        <v>11.86</v>
      </c>
      <c r="T780" s="238">
        <v>0.0</v>
      </c>
      <c r="U780" s="238">
        <v>0.0</v>
      </c>
      <c r="V780" s="238">
        <v>0.0</v>
      </c>
      <c r="W780" s="238">
        <v>0.0</v>
      </c>
      <c r="X780" s="235" t="s">
        <v>628</v>
      </c>
      <c r="Z780" s="244"/>
      <c r="AA780" s="244"/>
      <c r="AB780" s="244"/>
      <c r="AC780" s="235" t="s">
        <v>697</v>
      </c>
      <c r="AD780" s="235" t="s">
        <v>698</v>
      </c>
      <c r="AE780" s="238">
        <v>500072.0</v>
      </c>
      <c r="AF780" s="235" t="s">
        <v>631</v>
      </c>
      <c r="AG780" s="244"/>
      <c r="AH780" s="244"/>
      <c r="AI780" s="245"/>
      <c r="AJ780" s="245"/>
      <c r="AK780" s="245"/>
      <c r="AL780" s="245"/>
      <c r="AM780" s="244"/>
      <c r="AN780" s="244"/>
      <c r="AO780" s="238">
        <v>0.0</v>
      </c>
      <c r="AP780" s="238">
        <v>0.0</v>
      </c>
      <c r="AQ780" s="235" t="s">
        <v>632</v>
      </c>
      <c r="AR780" s="243">
        <v>3.71E11</v>
      </c>
      <c r="AS780" s="235" t="s">
        <v>4697</v>
      </c>
      <c r="AT780" s="235" t="s">
        <v>546</v>
      </c>
      <c r="AU780" s="235" t="s">
        <v>634</v>
      </c>
      <c r="AV780" s="246" t="s">
        <v>635</v>
      </c>
      <c r="AW780" s="242"/>
      <c r="AX780" s="242"/>
      <c r="AY780" s="231"/>
      <c r="AZ780" s="231"/>
      <c r="BA780" s="227"/>
      <c r="BB780" s="231"/>
      <c r="BC780" s="227"/>
      <c r="BD780" s="227"/>
      <c r="BE780" s="227"/>
      <c r="BF780" s="227"/>
    </row>
    <row r="781">
      <c r="A781" s="235" t="s">
        <v>6881</v>
      </c>
      <c r="C781" s="235" t="s">
        <v>6882</v>
      </c>
      <c r="D781" s="235" t="s">
        <v>6883</v>
      </c>
      <c r="E781" s="243">
        <v>6.56E13</v>
      </c>
      <c r="F781" s="245"/>
      <c r="G781" s="235" t="s">
        <v>6884</v>
      </c>
      <c r="H781" s="235" t="s">
        <v>6885</v>
      </c>
      <c r="I781" s="235" t="s">
        <v>6885</v>
      </c>
      <c r="J781" s="235" t="s">
        <v>6886</v>
      </c>
      <c r="K781" s="235" t="s">
        <v>6887</v>
      </c>
      <c r="N781" s="235" t="s">
        <v>85</v>
      </c>
      <c r="O781" s="235" t="s">
        <v>872</v>
      </c>
      <c r="P781" s="238">
        <v>1.0</v>
      </c>
      <c r="Q781" s="235" t="s">
        <v>627</v>
      </c>
      <c r="R781" s="238">
        <v>246.67</v>
      </c>
      <c r="S781" s="238">
        <v>12.33</v>
      </c>
      <c r="T781" s="238">
        <v>38.1</v>
      </c>
      <c r="U781" s="238">
        <v>1.9</v>
      </c>
      <c r="V781" s="238">
        <v>0.0</v>
      </c>
      <c r="W781" s="238">
        <v>0.0</v>
      </c>
      <c r="X781" s="235" t="s">
        <v>628</v>
      </c>
      <c r="Z781" s="244"/>
      <c r="AA781" s="244"/>
      <c r="AB781" s="244"/>
      <c r="AC781" s="235" t="s">
        <v>832</v>
      </c>
      <c r="AD781" s="235" t="s">
        <v>833</v>
      </c>
      <c r="AE781" s="238">
        <v>531035.0</v>
      </c>
      <c r="AF781" s="235" t="s">
        <v>631</v>
      </c>
      <c r="AG781" s="244"/>
      <c r="AH781" s="244"/>
      <c r="AI781" s="245"/>
      <c r="AJ781" s="245"/>
      <c r="AK781" s="245"/>
      <c r="AL781" s="245"/>
      <c r="AM781" s="244"/>
      <c r="AN781" s="244"/>
      <c r="AO781" s="238">
        <v>0.0</v>
      </c>
      <c r="AP781" s="238">
        <v>-38.1</v>
      </c>
      <c r="AQ781" s="235" t="s">
        <v>632</v>
      </c>
      <c r="AR781" s="243">
        <v>3.71E11</v>
      </c>
      <c r="AS781" s="235" t="s">
        <v>2276</v>
      </c>
      <c r="AT781" s="235" t="s">
        <v>16</v>
      </c>
      <c r="AU781" s="235" t="s">
        <v>634</v>
      </c>
      <c r="AV781" s="246" t="s">
        <v>635</v>
      </c>
      <c r="AW781" s="242"/>
      <c r="AX781" s="242"/>
      <c r="AY781" s="231"/>
      <c r="AZ781" s="231"/>
      <c r="BA781" s="227"/>
      <c r="BB781" s="231"/>
      <c r="BC781" s="227"/>
      <c r="BD781" s="227"/>
      <c r="BE781" s="227"/>
      <c r="BF781" s="227"/>
    </row>
    <row r="782">
      <c r="A782" s="235" t="s">
        <v>6888</v>
      </c>
      <c r="C782" s="235" t="s">
        <v>6889</v>
      </c>
      <c r="D782" s="235" t="s">
        <v>6890</v>
      </c>
      <c r="E782" s="243">
        <v>6.56E13</v>
      </c>
      <c r="F782" s="245"/>
      <c r="G782" s="235" t="s">
        <v>6891</v>
      </c>
      <c r="H782" s="235" t="s">
        <v>6892</v>
      </c>
      <c r="I782" s="235" t="s">
        <v>6893</v>
      </c>
      <c r="J782" s="235" t="s">
        <v>6894</v>
      </c>
      <c r="K782" s="235" t="s">
        <v>6895</v>
      </c>
      <c r="N782" s="235" t="s">
        <v>47</v>
      </c>
      <c r="O782" s="235" t="s">
        <v>270</v>
      </c>
      <c r="P782" s="238">
        <v>1.0</v>
      </c>
      <c r="Q782" s="235" t="s">
        <v>627</v>
      </c>
      <c r="R782" s="238">
        <v>237.14</v>
      </c>
      <c r="S782" s="238">
        <v>11.86</v>
      </c>
      <c r="T782" s="238">
        <v>0.0</v>
      </c>
      <c r="U782" s="238">
        <v>0.0</v>
      </c>
      <c r="V782" s="238">
        <v>0.0</v>
      </c>
      <c r="W782" s="238">
        <v>0.0</v>
      </c>
      <c r="X782" s="235" t="s">
        <v>628</v>
      </c>
      <c r="Z782" s="244"/>
      <c r="AA782" s="244"/>
      <c r="AB782" s="244"/>
      <c r="AC782" s="235" t="s">
        <v>6896</v>
      </c>
      <c r="AD782" s="235" t="s">
        <v>833</v>
      </c>
      <c r="AE782" s="238">
        <v>533003.0</v>
      </c>
      <c r="AF782" s="235" t="s">
        <v>631</v>
      </c>
      <c r="AG782" s="244"/>
      <c r="AH782" s="244"/>
      <c r="AI782" s="245"/>
      <c r="AJ782" s="245"/>
      <c r="AK782" s="245"/>
      <c r="AL782" s="245"/>
      <c r="AM782" s="244"/>
      <c r="AN782" s="244"/>
      <c r="AO782" s="238">
        <v>0.0</v>
      </c>
      <c r="AP782" s="238">
        <v>0.0</v>
      </c>
      <c r="AQ782" s="235" t="s">
        <v>632</v>
      </c>
      <c r="AR782" s="243">
        <v>3.71E11</v>
      </c>
      <c r="AS782" s="235" t="s">
        <v>1367</v>
      </c>
      <c r="AT782" s="235" t="s">
        <v>16</v>
      </c>
      <c r="AU782" s="235" t="s">
        <v>634</v>
      </c>
      <c r="AV782" s="246" t="s">
        <v>635</v>
      </c>
      <c r="AW782" s="242"/>
      <c r="AX782" s="242"/>
      <c r="AY782" s="231"/>
      <c r="AZ782" s="231"/>
      <c r="BA782" s="227"/>
      <c r="BB782" s="231"/>
      <c r="BC782" s="227"/>
      <c r="BD782" s="227"/>
      <c r="BE782" s="227"/>
      <c r="BF782" s="227"/>
    </row>
    <row r="783">
      <c r="A783" s="235" t="s">
        <v>6897</v>
      </c>
      <c r="C783" s="235" t="s">
        <v>6898</v>
      </c>
      <c r="D783" s="235" t="s">
        <v>6899</v>
      </c>
      <c r="E783" s="243">
        <v>6.56E13</v>
      </c>
      <c r="F783" s="245"/>
      <c r="G783" s="235" t="s">
        <v>6900</v>
      </c>
      <c r="H783" s="235" t="s">
        <v>6901</v>
      </c>
      <c r="I783" s="235" t="s">
        <v>6902</v>
      </c>
      <c r="J783" s="235" t="s">
        <v>6903</v>
      </c>
      <c r="K783" s="235" t="s">
        <v>6904</v>
      </c>
      <c r="N783" s="235" t="s">
        <v>47</v>
      </c>
      <c r="O783" s="235" t="s">
        <v>270</v>
      </c>
      <c r="P783" s="238">
        <v>1.0</v>
      </c>
      <c r="Q783" s="235" t="s">
        <v>627</v>
      </c>
      <c r="R783" s="238">
        <v>237.14</v>
      </c>
      <c r="S783" s="238">
        <v>11.86</v>
      </c>
      <c r="T783" s="238">
        <v>0.0</v>
      </c>
      <c r="U783" s="238">
        <v>0.0</v>
      </c>
      <c r="V783" s="238">
        <v>0.0</v>
      </c>
      <c r="W783" s="238">
        <v>0.0</v>
      </c>
      <c r="X783" s="235" t="s">
        <v>628</v>
      </c>
      <c r="Z783" s="244"/>
      <c r="AA783" s="244"/>
      <c r="AB783" s="244"/>
      <c r="AC783" s="235" t="s">
        <v>687</v>
      </c>
      <c r="AD783" s="235" t="s">
        <v>666</v>
      </c>
      <c r="AE783" s="238">
        <v>600099.0</v>
      </c>
      <c r="AF783" s="235" t="s">
        <v>631</v>
      </c>
      <c r="AG783" s="244"/>
      <c r="AH783" s="244"/>
      <c r="AI783" s="245"/>
      <c r="AJ783" s="245"/>
      <c r="AK783" s="245"/>
      <c r="AL783" s="245"/>
      <c r="AM783" s="244"/>
      <c r="AN783" s="244"/>
      <c r="AO783" s="238">
        <v>0.0</v>
      </c>
      <c r="AP783" s="238">
        <v>0.0</v>
      </c>
      <c r="AQ783" s="235" t="s">
        <v>632</v>
      </c>
      <c r="AR783" s="243">
        <v>1.68E11</v>
      </c>
      <c r="AS783" s="235" t="s">
        <v>6608</v>
      </c>
      <c r="AT783" s="235" t="s">
        <v>156</v>
      </c>
      <c r="AU783" s="235" t="s">
        <v>634</v>
      </c>
      <c r="AV783" s="246" t="s">
        <v>635</v>
      </c>
      <c r="AW783" s="242"/>
      <c r="AX783" s="242"/>
      <c r="AY783" s="231"/>
      <c r="AZ783" s="231"/>
      <c r="BA783" s="227"/>
      <c r="BB783" s="231"/>
      <c r="BC783" s="227"/>
      <c r="BD783" s="227"/>
      <c r="BE783" s="227"/>
      <c r="BF783" s="227"/>
    </row>
    <row r="784">
      <c r="A784" s="235" t="s">
        <v>6905</v>
      </c>
      <c r="C784" s="235" t="s">
        <v>6906</v>
      </c>
      <c r="D784" s="235" t="s">
        <v>6907</v>
      </c>
      <c r="E784" s="243">
        <v>6.56E13</v>
      </c>
      <c r="F784" s="245"/>
      <c r="G784" s="235" t="s">
        <v>6908</v>
      </c>
      <c r="H784" s="235" t="s">
        <v>6909</v>
      </c>
      <c r="I784" s="235" t="s">
        <v>6909</v>
      </c>
      <c r="J784" s="235" t="s">
        <v>6910</v>
      </c>
      <c r="K784" s="235" t="s">
        <v>6911</v>
      </c>
      <c r="N784" s="235" t="s">
        <v>68</v>
      </c>
      <c r="O784" s="235" t="s">
        <v>208</v>
      </c>
      <c r="P784" s="238">
        <v>1.0</v>
      </c>
      <c r="Q784" s="235" t="s">
        <v>627</v>
      </c>
      <c r="R784" s="238">
        <v>246.66</v>
      </c>
      <c r="S784" s="238">
        <v>12.1</v>
      </c>
      <c r="T784" s="238">
        <v>0.0</v>
      </c>
      <c r="U784" s="238">
        <v>0.0</v>
      </c>
      <c r="V784" s="238">
        <v>0.0</v>
      </c>
      <c r="W784" s="238">
        <v>0.0</v>
      </c>
      <c r="X784" s="235" t="s">
        <v>628</v>
      </c>
      <c r="Z784" s="244"/>
      <c r="AA784" s="244"/>
      <c r="AB784" s="244"/>
      <c r="AC784" s="235" t="s">
        <v>6912</v>
      </c>
      <c r="AD784" s="235" t="s">
        <v>845</v>
      </c>
      <c r="AE784" s="238">
        <v>410210.0</v>
      </c>
      <c r="AF784" s="235" t="s">
        <v>631</v>
      </c>
      <c r="AG784" s="244"/>
      <c r="AH784" s="244"/>
      <c r="AI784" s="245"/>
      <c r="AJ784" s="245"/>
      <c r="AK784" s="245"/>
      <c r="AL784" s="245"/>
      <c r="AM784" s="244"/>
      <c r="AN784" s="244"/>
      <c r="AO784" s="238">
        <v>-4.94</v>
      </c>
      <c r="AP784" s="238">
        <v>0.0</v>
      </c>
      <c r="AQ784" s="235" t="s">
        <v>632</v>
      </c>
      <c r="AR784" s="243">
        <v>3.71E11</v>
      </c>
      <c r="AS784" s="235" t="s">
        <v>6164</v>
      </c>
      <c r="AT784" s="235" t="s">
        <v>17</v>
      </c>
      <c r="AU784" s="235" t="s">
        <v>634</v>
      </c>
      <c r="AV784" s="246" t="s">
        <v>635</v>
      </c>
      <c r="AW784" s="242"/>
      <c r="AX784" s="242"/>
      <c r="AY784" s="231"/>
      <c r="AZ784" s="231"/>
      <c r="BA784" s="227"/>
      <c r="BB784" s="231"/>
      <c r="BC784" s="227"/>
      <c r="BD784" s="227"/>
      <c r="BE784" s="227"/>
      <c r="BF784" s="227"/>
    </row>
    <row r="785">
      <c r="A785" s="235" t="s">
        <v>6913</v>
      </c>
      <c r="C785" s="235" t="s">
        <v>6914</v>
      </c>
      <c r="D785" s="235" t="s">
        <v>6915</v>
      </c>
      <c r="E785" s="243">
        <v>6.56E13</v>
      </c>
      <c r="F785" s="245"/>
      <c r="G785" s="235" t="s">
        <v>6916</v>
      </c>
      <c r="H785" s="235" t="s">
        <v>6917</v>
      </c>
      <c r="I785" s="235" t="s">
        <v>6918</v>
      </c>
      <c r="J785" s="235" t="s">
        <v>6919</v>
      </c>
      <c r="K785" s="235" t="s">
        <v>6920</v>
      </c>
      <c r="N785" s="235" t="s">
        <v>42</v>
      </c>
      <c r="O785" s="235" t="s">
        <v>204</v>
      </c>
      <c r="P785" s="238">
        <v>1.0</v>
      </c>
      <c r="Q785" s="235" t="s">
        <v>627</v>
      </c>
      <c r="R785" s="238">
        <v>237.14</v>
      </c>
      <c r="S785" s="238">
        <v>11.62</v>
      </c>
      <c r="T785" s="238">
        <v>0.0</v>
      </c>
      <c r="U785" s="238">
        <v>0.0</v>
      </c>
      <c r="V785" s="238">
        <v>0.0</v>
      </c>
      <c r="W785" s="238">
        <v>0.0</v>
      </c>
      <c r="X785" s="235" t="s">
        <v>628</v>
      </c>
      <c r="Z785" s="244"/>
      <c r="AA785" s="244"/>
      <c r="AB785" s="244"/>
      <c r="AC785" s="235" t="s">
        <v>6921</v>
      </c>
      <c r="AD785" s="235" t="s">
        <v>698</v>
      </c>
      <c r="AE785" s="238">
        <v>500062.0</v>
      </c>
      <c r="AF785" s="235" t="s">
        <v>631</v>
      </c>
      <c r="AG785" s="244"/>
      <c r="AH785" s="244"/>
      <c r="AI785" s="245"/>
      <c r="AJ785" s="245"/>
      <c r="AK785" s="245"/>
      <c r="AL785" s="245"/>
      <c r="AM785" s="244"/>
      <c r="AN785" s="244"/>
      <c r="AO785" s="238">
        <v>-4.74</v>
      </c>
      <c r="AP785" s="238">
        <v>0.0</v>
      </c>
      <c r="AQ785" s="235" t="s">
        <v>632</v>
      </c>
      <c r="AR785" s="243">
        <v>3.71E11</v>
      </c>
      <c r="AS785" s="235" t="s">
        <v>4697</v>
      </c>
      <c r="AT785" s="235" t="s">
        <v>546</v>
      </c>
      <c r="AU785" s="235" t="s">
        <v>634</v>
      </c>
      <c r="AV785" s="246" t="s">
        <v>635</v>
      </c>
      <c r="AW785" s="242"/>
      <c r="AX785" s="242"/>
      <c r="AY785" s="231"/>
      <c r="AZ785" s="231"/>
      <c r="BA785" s="227"/>
      <c r="BB785" s="231"/>
      <c r="BC785" s="227"/>
      <c r="BD785" s="227"/>
      <c r="BE785" s="227"/>
      <c r="BF785" s="227"/>
    </row>
    <row r="786">
      <c r="A786" s="235" t="s">
        <v>6922</v>
      </c>
      <c r="C786" s="235" t="s">
        <v>6923</v>
      </c>
      <c r="D786" s="235" t="s">
        <v>6924</v>
      </c>
      <c r="E786" s="243">
        <v>6.56E13</v>
      </c>
      <c r="F786" s="245"/>
      <c r="G786" s="235" t="s">
        <v>6925</v>
      </c>
      <c r="H786" s="235" t="s">
        <v>6926</v>
      </c>
      <c r="I786" s="235" t="s">
        <v>6926</v>
      </c>
      <c r="J786" s="235" t="s">
        <v>6927</v>
      </c>
      <c r="K786" s="235" t="s">
        <v>6928</v>
      </c>
      <c r="N786" s="235" t="s">
        <v>1346</v>
      </c>
      <c r="O786" s="235" t="s">
        <v>1347</v>
      </c>
      <c r="P786" s="238">
        <v>1.0</v>
      </c>
      <c r="Q786" s="235" t="s">
        <v>627</v>
      </c>
      <c r="R786" s="238">
        <v>256.19</v>
      </c>
      <c r="S786" s="238">
        <v>12.81</v>
      </c>
      <c r="T786" s="238">
        <v>0.0</v>
      </c>
      <c r="U786" s="238">
        <v>0.0</v>
      </c>
      <c r="V786" s="238">
        <v>0.0</v>
      </c>
      <c r="W786" s="238">
        <v>0.0</v>
      </c>
      <c r="X786" s="235" t="s">
        <v>628</v>
      </c>
      <c r="Z786" s="244"/>
      <c r="AA786" s="244"/>
      <c r="AB786" s="244"/>
      <c r="AC786" s="235" t="s">
        <v>1475</v>
      </c>
      <c r="AD786" s="235" t="s">
        <v>796</v>
      </c>
      <c r="AE786" s="238">
        <v>110078.0</v>
      </c>
      <c r="AF786" s="235" t="s">
        <v>631</v>
      </c>
      <c r="AG786" s="244"/>
      <c r="AH786" s="244"/>
      <c r="AI786" s="245"/>
      <c r="AJ786" s="245"/>
      <c r="AK786" s="245"/>
      <c r="AL786" s="245"/>
      <c r="AM786" s="244"/>
      <c r="AN786" s="244"/>
      <c r="AO786" s="238">
        <v>0.0</v>
      </c>
      <c r="AP786" s="238">
        <v>0.0</v>
      </c>
      <c r="AQ786" s="235" t="s">
        <v>632</v>
      </c>
      <c r="AR786" s="243">
        <v>1.68E11</v>
      </c>
      <c r="AS786" s="235" t="s">
        <v>6608</v>
      </c>
      <c r="AT786" s="235" t="s">
        <v>533</v>
      </c>
      <c r="AU786" s="235" t="s">
        <v>634</v>
      </c>
      <c r="AV786" s="246" t="s">
        <v>635</v>
      </c>
      <c r="AW786" s="242"/>
      <c r="AX786" s="242"/>
      <c r="AY786" s="231"/>
      <c r="AZ786" s="231"/>
      <c r="BA786" s="227"/>
      <c r="BB786" s="231"/>
      <c r="BC786" s="227"/>
      <c r="BD786" s="227"/>
      <c r="BE786" s="227"/>
      <c r="BF786" s="227"/>
    </row>
    <row r="787">
      <c r="A787" s="235" t="s">
        <v>6929</v>
      </c>
      <c r="C787" s="235" t="s">
        <v>6930</v>
      </c>
      <c r="D787" s="235" t="s">
        <v>6931</v>
      </c>
      <c r="E787" s="243">
        <v>6.56E13</v>
      </c>
      <c r="F787" s="245"/>
      <c r="G787" s="235" t="s">
        <v>6932</v>
      </c>
      <c r="H787" s="235" t="s">
        <v>6933</v>
      </c>
      <c r="I787" s="235" t="s">
        <v>6933</v>
      </c>
      <c r="J787" s="235" t="s">
        <v>6934</v>
      </c>
      <c r="K787" s="235" t="s">
        <v>6935</v>
      </c>
      <c r="N787" s="235" t="s">
        <v>566</v>
      </c>
      <c r="O787" s="235" t="s">
        <v>1834</v>
      </c>
      <c r="P787" s="238">
        <v>1.0</v>
      </c>
      <c r="Q787" s="235" t="s">
        <v>627</v>
      </c>
      <c r="R787" s="238">
        <v>422.88</v>
      </c>
      <c r="S787" s="238">
        <v>76.12</v>
      </c>
      <c r="T787" s="238">
        <v>0.0</v>
      </c>
      <c r="U787" s="238">
        <v>0.0</v>
      </c>
      <c r="V787" s="238">
        <v>0.0</v>
      </c>
      <c r="W787" s="238">
        <v>0.0</v>
      </c>
      <c r="X787" s="235" t="s">
        <v>628</v>
      </c>
      <c r="Z787" s="244"/>
      <c r="AA787" s="244"/>
      <c r="AB787" s="244"/>
      <c r="AC787" s="235" t="s">
        <v>937</v>
      </c>
      <c r="AD787" s="235" t="s">
        <v>709</v>
      </c>
      <c r="AE787" s="238">
        <v>800025.0</v>
      </c>
      <c r="AF787" s="235" t="s">
        <v>631</v>
      </c>
      <c r="AG787" s="244"/>
      <c r="AH787" s="244"/>
      <c r="AI787" s="245"/>
      <c r="AJ787" s="245"/>
      <c r="AK787" s="245"/>
      <c r="AL787" s="245"/>
      <c r="AM787" s="244"/>
      <c r="AN787" s="244"/>
      <c r="AO787" s="238">
        <v>0.0</v>
      </c>
      <c r="AP787" s="238">
        <v>0.0</v>
      </c>
      <c r="AQ787" s="235" t="s">
        <v>632</v>
      </c>
      <c r="AR787" s="243">
        <v>3.71E11</v>
      </c>
      <c r="AS787" s="235" t="s">
        <v>2276</v>
      </c>
      <c r="AT787" s="235" t="s">
        <v>533</v>
      </c>
      <c r="AU787" s="235" t="s">
        <v>634</v>
      </c>
      <c r="AV787" s="246" t="s">
        <v>635</v>
      </c>
      <c r="AW787" s="242"/>
      <c r="AX787" s="242"/>
      <c r="AY787" s="231"/>
      <c r="AZ787" s="231"/>
      <c r="BA787" s="227"/>
      <c r="BB787" s="231"/>
      <c r="BC787" s="227"/>
      <c r="BD787" s="227"/>
      <c r="BE787" s="227"/>
      <c r="BF787" s="227"/>
    </row>
    <row r="788">
      <c r="A788" s="235" t="s">
        <v>6936</v>
      </c>
      <c r="C788" s="235" t="s">
        <v>6937</v>
      </c>
      <c r="D788" s="235" t="s">
        <v>6938</v>
      </c>
      <c r="E788" s="243">
        <v>6.56E13</v>
      </c>
      <c r="F788" s="245"/>
      <c r="G788" s="235" t="s">
        <v>6939</v>
      </c>
      <c r="H788" s="235" t="s">
        <v>6940</v>
      </c>
      <c r="I788" s="235" t="s">
        <v>6940</v>
      </c>
      <c r="J788" s="235" t="s">
        <v>6941</v>
      </c>
      <c r="K788" s="235" t="s">
        <v>6942</v>
      </c>
      <c r="N788" s="235" t="s">
        <v>90</v>
      </c>
      <c r="O788" s="235" t="s">
        <v>279</v>
      </c>
      <c r="P788" s="238">
        <v>1.0</v>
      </c>
      <c r="Q788" s="235" t="s">
        <v>627</v>
      </c>
      <c r="R788" s="238">
        <v>246.67</v>
      </c>
      <c r="S788" s="238">
        <v>11.96</v>
      </c>
      <c r="T788" s="238">
        <v>38.1</v>
      </c>
      <c r="U788" s="238">
        <v>1.9</v>
      </c>
      <c r="V788" s="238">
        <v>0.0</v>
      </c>
      <c r="W788" s="238">
        <v>0.0</v>
      </c>
      <c r="X788" s="235" t="s">
        <v>628</v>
      </c>
      <c r="Z788" s="244"/>
      <c r="AA788" s="244"/>
      <c r="AB788" s="244"/>
      <c r="AC788" s="235" t="s">
        <v>6943</v>
      </c>
      <c r="AD788" s="235" t="s">
        <v>666</v>
      </c>
      <c r="AE788" s="238">
        <v>641659.0</v>
      </c>
      <c r="AF788" s="235" t="s">
        <v>631</v>
      </c>
      <c r="AG788" s="244"/>
      <c r="AH788" s="244"/>
      <c r="AI788" s="245"/>
      <c r="AJ788" s="245"/>
      <c r="AK788" s="245"/>
      <c r="AL788" s="245"/>
      <c r="AM788" s="244"/>
      <c r="AN788" s="244"/>
      <c r="AO788" s="238">
        <v>-7.4</v>
      </c>
      <c r="AP788" s="238">
        <v>-38.1</v>
      </c>
      <c r="AQ788" s="235" t="s">
        <v>632</v>
      </c>
      <c r="AR788" s="243">
        <v>3.71E11</v>
      </c>
      <c r="AS788" s="235" t="s">
        <v>3284</v>
      </c>
      <c r="AT788" s="235" t="s">
        <v>9</v>
      </c>
      <c r="AU788" s="235" t="s">
        <v>634</v>
      </c>
      <c r="AV788" s="246" t="s">
        <v>635</v>
      </c>
      <c r="AW788" s="242"/>
      <c r="AX788" s="242"/>
      <c r="AY788" s="231"/>
      <c r="AZ788" s="231"/>
      <c r="BA788" s="227"/>
      <c r="BB788" s="231"/>
      <c r="BC788" s="227"/>
      <c r="BD788" s="227"/>
      <c r="BE788" s="227"/>
      <c r="BF788" s="227"/>
    </row>
    <row r="789">
      <c r="A789" s="235" t="s">
        <v>6936</v>
      </c>
      <c r="C789" s="235" t="s">
        <v>6937</v>
      </c>
      <c r="D789" s="235" t="s">
        <v>6944</v>
      </c>
      <c r="E789" s="243">
        <v>6.56E13</v>
      </c>
      <c r="F789" s="245"/>
      <c r="G789" s="235" t="s">
        <v>6939</v>
      </c>
      <c r="H789" s="235" t="s">
        <v>6940</v>
      </c>
      <c r="I789" s="235" t="s">
        <v>6940</v>
      </c>
      <c r="J789" s="235" t="s">
        <v>6941</v>
      </c>
      <c r="K789" s="235" t="s">
        <v>6942</v>
      </c>
      <c r="N789" s="235" t="s">
        <v>90</v>
      </c>
      <c r="O789" s="235" t="s">
        <v>279</v>
      </c>
      <c r="P789" s="238">
        <v>1.0</v>
      </c>
      <c r="Q789" s="235" t="s">
        <v>627</v>
      </c>
      <c r="R789" s="238">
        <v>246.67</v>
      </c>
      <c r="S789" s="238">
        <v>11.96</v>
      </c>
      <c r="T789" s="238">
        <v>38.1</v>
      </c>
      <c r="U789" s="238">
        <v>1.9</v>
      </c>
      <c r="V789" s="238">
        <v>0.0</v>
      </c>
      <c r="W789" s="238">
        <v>0.0</v>
      </c>
      <c r="X789" s="235" t="s">
        <v>628</v>
      </c>
      <c r="Z789" s="244"/>
      <c r="AA789" s="244"/>
      <c r="AB789" s="244"/>
      <c r="AC789" s="235" t="s">
        <v>6943</v>
      </c>
      <c r="AD789" s="235" t="s">
        <v>666</v>
      </c>
      <c r="AE789" s="238">
        <v>641659.0</v>
      </c>
      <c r="AF789" s="235" t="s">
        <v>631</v>
      </c>
      <c r="AG789" s="244"/>
      <c r="AH789" s="244"/>
      <c r="AI789" s="245"/>
      <c r="AJ789" s="245"/>
      <c r="AK789" s="245"/>
      <c r="AL789" s="245"/>
      <c r="AM789" s="244"/>
      <c r="AN789" s="244"/>
      <c r="AO789" s="238">
        <v>-7.4</v>
      </c>
      <c r="AP789" s="238">
        <v>-38.1</v>
      </c>
      <c r="AQ789" s="235" t="s">
        <v>632</v>
      </c>
      <c r="AR789" s="243">
        <v>3.71E11</v>
      </c>
      <c r="AS789" s="235" t="s">
        <v>3284</v>
      </c>
      <c r="AT789" s="235" t="s">
        <v>9</v>
      </c>
      <c r="AU789" s="235" t="s">
        <v>634</v>
      </c>
      <c r="AV789" s="246" t="s">
        <v>635</v>
      </c>
      <c r="AW789" s="242"/>
      <c r="AX789" s="242"/>
      <c r="AY789" s="231"/>
      <c r="AZ789" s="231"/>
      <c r="BA789" s="227"/>
      <c r="BB789" s="231"/>
      <c r="BC789" s="227"/>
      <c r="BD789" s="227"/>
      <c r="BE789" s="227"/>
      <c r="BF789" s="227"/>
    </row>
    <row r="790">
      <c r="A790" s="235" t="s">
        <v>6945</v>
      </c>
      <c r="C790" s="235" t="s">
        <v>6946</v>
      </c>
      <c r="D790" s="235" t="s">
        <v>6947</v>
      </c>
      <c r="E790" s="243">
        <v>6.56E13</v>
      </c>
      <c r="F790" s="245"/>
      <c r="G790" s="235" t="s">
        <v>6948</v>
      </c>
      <c r="H790" s="235" t="s">
        <v>6949</v>
      </c>
      <c r="I790" s="235" t="s">
        <v>6949</v>
      </c>
      <c r="J790" s="235" t="s">
        <v>6950</v>
      </c>
      <c r="K790" s="235" t="s">
        <v>6951</v>
      </c>
      <c r="N790" s="235" t="s">
        <v>99</v>
      </c>
      <c r="O790" s="235" t="s">
        <v>470</v>
      </c>
      <c r="P790" s="238">
        <v>1.0</v>
      </c>
      <c r="Q790" s="235" t="s">
        <v>627</v>
      </c>
      <c r="R790" s="238">
        <v>246.67</v>
      </c>
      <c r="S790" s="238">
        <v>12.33</v>
      </c>
      <c r="T790" s="238">
        <v>0.0</v>
      </c>
      <c r="U790" s="238">
        <v>0.0</v>
      </c>
      <c r="V790" s="238">
        <v>0.0</v>
      </c>
      <c r="W790" s="238">
        <v>0.0</v>
      </c>
      <c r="X790" s="235" t="s">
        <v>628</v>
      </c>
      <c r="Z790" s="244"/>
      <c r="AA790" s="244"/>
      <c r="AB790" s="244"/>
      <c r="AC790" s="235" t="s">
        <v>3313</v>
      </c>
      <c r="AD790" s="235" t="s">
        <v>645</v>
      </c>
      <c r="AE790" s="238">
        <v>673009.0</v>
      </c>
      <c r="AF790" s="235" t="s">
        <v>631</v>
      </c>
      <c r="AG790" s="244"/>
      <c r="AH790" s="244"/>
      <c r="AI790" s="245"/>
      <c r="AJ790" s="245"/>
      <c r="AK790" s="245"/>
      <c r="AL790" s="245"/>
      <c r="AM790" s="244"/>
      <c r="AN790" s="244"/>
      <c r="AO790" s="238">
        <v>0.0</v>
      </c>
      <c r="AP790" s="238">
        <v>0.0</v>
      </c>
      <c r="AQ790" s="235" t="s">
        <v>632</v>
      </c>
      <c r="AR790" s="243">
        <v>3.71E11</v>
      </c>
      <c r="AS790" s="235" t="s">
        <v>6164</v>
      </c>
      <c r="AT790" s="235" t="s">
        <v>155</v>
      </c>
      <c r="AU790" s="235" t="s">
        <v>634</v>
      </c>
      <c r="AV790" s="246" t="s">
        <v>635</v>
      </c>
      <c r="AW790" s="242"/>
      <c r="AX790" s="242"/>
      <c r="AY790" s="231"/>
      <c r="AZ790" s="231"/>
      <c r="BA790" s="227"/>
      <c r="BB790" s="231"/>
      <c r="BC790" s="227"/>
      <c r="BD790" s="227"/>
      <c r="BE790" s="227"/>
      <c r="BF790" s="227"/>
    </row>
    <row r="791">
      <c r="A791" s="235" t="s">
        <v>6952</v>
      </c>
      <c r="C791" s="235" t="s">
        <v>6953</v>
      </c>
      <c r="D791" s="235" t="s">
        <v>6954</v>
      </c>
      <c r="E791" s="243">
        <v>6.56E13</v>
      </c>
      <c r="F791" s="245"/>
      <c r="G791" s="235" t="s">
        <v>6955</v>
      </c>
      <c r="H791" s="235" t="s">
        <v>6956</v>
      </c>
      <c r="I791" s="235" t="s">
        <v>6956</v>
      </c>
      <c r="J791" s="235" t="s">
        <v>6957</v>
      </c>
      <c r="K791" s="235" t="s">
        <v>6958</v>
      </c>
      <c r="N791" s="235" t="s">
        <v>92</v>
      </c>
      <c r="O791" s="235" t="s">
        <v>248</v>
      </c>
      <c r="P791" s="238">
        <v>1.0</v>
      </c>
      <c r="Q791" s="235" t="s">
        <v>627</v>
      </c>
      <c r="R791" s="238">
        <v>246.67</v>
      </c>
      <c r="S791" s="238">
        <v>12.33</v>
      </c>
      <c r="T791" s="238">
        <v>38.1</v>
      </c>
      <c r="U791" s="238">
        <v>1.9</v>
      </c>
      <c r="V791" s="238">
        <v>0.0</v>
      </c>
      <c r="W791" s="238">
        <v>0.0</v>
      </c>
      <c r="X791" s="235" t="s">
        <v>628</v>
      </c>
      <c r="Z791" s="244"/>
      <c r="AA791" s="244"/>
      <c r="AB791" s="244"/>
      <c r="AC791" s="235" t="s">
        <v>6959</v>
      </c>
      <c r="AD791" s="235" t="s">
        <v>666</v>
      </c>
      <c r="AE791" s="238">
        <v>636903.0</v>
      </c>
      <c r="AF791" s="235" t="s">
        <v>631</v>
      </c>
      <c r="AG791" s="244"/>
      <c r="AH791" s="244"/>
      <c r="AI791" s="245"/>
      <c r="AJ791" s="245"/>
      <c r="AK791" s="245"/>
      <c r="AL791" s="245"/>
      <c r="AM791" s="244"/>
      <c r="AN791" s="244"/>
      <c r="AO791" s="238">
        <v>0.0</v>
      </c>
      <c r="AP791" s="238">
        <v>-38.1</v>
      </c>
      <c r="AQ791" s="235" t="s">
        <v>1356</v>
      </c>
      <c r="AR791" s="247" t="s">
        <v>6960</v>
      </c>
      <c r="AS791" s="235" t="s">
        <v>3284</v>
      </c>
      <c r="AT791" s="235" t="s">
        <v>9</v>
      </c>
      <c r="AU791" s="235" t="s">
        <v>634</v>
      </c>
      <c r="AV791" s="246" t="s">
        <v>635</v>
      </c>
      <c r="AW791" s="242"/>
      <c r="AX791" s="242"/>
      <c r="AY791" s="231"/>
      <c r="AZ791" s="231"/>
      <c r="BA791" s="227"/>
      <c r="BB791" s="231"/>
      <c r="BC791" s="227"/>
      <c r="BD791" s="227"/>
      <c r="BE791" s="227"/>
      <c r="BF791" s="227"/>
    </row>
    <row r="792">
      <c r="A792" s="235" t="s">
        <v>6961</v>
      </c>
      <c r="C792" s="235" t="s">
        <v>6962</v>
      </c>
      <c r="D792" s="235" t="s">
        <v>6963</v>
      </c>
      <c r="E792" s="243">
        <v>6.56E13</v>
      </c>
      <c r="F792" s="245"/>
      <c r="G792" s="235" t="s">
        <v>6964</v>
      </c>
      <c r="H792" s="235" t="s">
        <v>6965</v>
      </c>
      <c r="I792" s="235" t="s">
        <v>6965</v>
      </c>
      <c r="J792" s="235" t="s">
        <v>6966</v>
      </c>
      <c r="K792" s="235" t="s">
        <v>6967</v>
      </c>
      <c r="N792" s="235" t="s">
        <v>43</v>
      </c>
      <c r="O792" s="235" t="s">
        <v>276</v>
      </c>
      <c r="P792" s="238">
        <v>1.0</v>
      </c>
      <c r="Q792" s="235" t="s">
        <v>627</v>
      </c>
      <c r="R792" s="238">
        <v>237.14</v>
      </c>
      <c r="S792" s="238">
        <v>11.62</v>
      </c>
      <c r="T792" s="238">
        <v>0.0</v>
      </c>
      <c r="U792" s="238">
        <v>0.0</v>
      </c>
      <c r="V792" s="238">
        <v>0.0</v>
      </c>
      <c r="W792" s="238">
        <v>0.0</v>
      </c>
      <c r="X792" s="235" t="s">
        <v>628</v>
      </c>
      <c r="Z792" s="244"/>
      <c r="AA792" s="244"/>
      <c r="AB792" s="244"/>
      <c r="AC792" s="235" t="s">
        <v>6968</v>
      </c>
      <c r="AD792" s="235" t="s">
        <v>833</v>
      </c>
      <c r="AE792" s="238">
        <v>517102.0</v>
      </c>
      <c r="AF792" s="235" t="s">
        <v>631</v>
      </c>
      <c r="AG792" s="244"/>
      <c r="AH792" s="244"/>
      <c r="AI792" s="245"/>
      <c r="AJ792" s="245"/>
      <c r="AK792" s="245"/>
      <c r="AL792" s="245"/>
      <c r="AM792" s="244"/>
      <c r="AN792" s="244"/>
      <c r="AO792" s="238">
        <v>-4.74</v>
      </c>
      <c r="AP792" s="238">
        <v>0.0</v>
      </c>
      <c r="AQ792" s="235" t="s">
        <v>632</v>
      </c>
      <c r="AR792" s="243">
        <v>3.71E11</v>
      </c>
      <c r="AS792" s="235" t="s">
        <v>2276</v>
      </c>
      <c r="AT792" s="235" t="s">
        <v>546</v>
      </c>
      <c r="AU792" s="235" t="s">
        <v>634</v>
      </c>
      <c r="AV792" s="246" t="s">
        <v>635</v>
      </c>
      <c r="AW792" s="242"/>
      <c r="AX792" s="242"/>
      <c r="AY792" s="231"/>
      <c r="AZ792" s="231"/>
      <c r="BA792" s="227"/>
      <c r="BB792" s="231"/>
      <c r="BC792" s="227"/>
      <c r="BD792" s="227"/>
      <c r="BE792" s="227"/>
      <c r="BF792" s="227"/>
    </row>
    <row r="793">
      <c r="A793" s="235" t="s">
        <v>6969</v>
      </c>
      <c r="C793" s="235" t="s">
        <v>6970</v>
      </c>
      <c r="D793" s="235" t="s">
        <v>6971</v>
      </c>
      <c r="E793" s="243">
        <v>6.56E13</v>
      </c>
      <c r="F793" s="245"/>
      <c r="G793" s="235" t="s">
        <v>6972</v>
      </c>
      <c r="H793" s="235" t="s">
        <v>6973</v>
      </c>
      <c r="I793" s="235" t="s">
        <v>6973</v>
      </c>
      <c r="J793" s="235" t="s">
        <v>6974</v>
      </c>
      <c r="K793" s="235" t="s">
        <v>6975</v>
      </c>
      <c r="N793" s="235" t="s">
        <v>138</v>
      </c>
      <c r="O793" s="235" t="s">
        <v>675</v>
      </c>
      <c r="P793" s="238">
        <v>2.0</v>
      </c>
      <c r="Q793" s="235" t="s">
        <v>627</v>
      </c>
      <c r="R793" s="238">
        <v>493.32</v>
      </c>
      <c r="S793" s="238">
        <v>23.94</v>
      </c>
      <c r="T793" s="238">
        <v>0.0</v>
      </c>
      <c r="U793" s="238">
        <v>0.0</v>
      </c>
      <c r="V793" s="238">
        <v>0.0</v>
      </c>
      <c r="W793" s="238">
        <v>0.0</v>
      </c>
      <c r="X793" s="235" t="s">
        <v>628</v>
      </c>
      <c r="Z793" s="244"/>
      <c r="AA793" s="244"/>
      <c r="AB793" s="244"/>
      <c r="AC793" s="235" t="s">
        <v>678</v>
      </c>
      <c r="AD793" s="235" t="s">
        <v>679</v>
      </c>
      <c r="AE793" s="238">
        <v>560070.0</v>
      </c>
      <c r="AF793" s="235" t="s">
        <v>631</v>
      </c>
      <c r="AG793" s="244"/>
      <c r="AH793" s="244"/>
      <c r="AI793" s="245"/>
      <c r="AJ793" s="245"/>
      <c r="AK793" s="245"/>
      <c r="AL793" s="245"/>
      <c r="AM793" s="244"/>
      <c r="AN793" s="244"/>
      <c r="AO793" s="238">
        <v>-14.8</v>
      </c>
      <c r="AP793" s="238">
        <v>0.0</v>
      </c>
      <c r="AQ793" s="235" t="s">
        <v>632</v>
      </c>
      <c r="AR793" s="243">
        <v>1.68E11</v>
      </c>
      <c r="AS793" s="235" t="s">
        <v>6608</v>
      </c>
      <c r="AT793" s="235" t="s">
        <v>9</v>
      </c>
      <c r="AU793" s="235" t="s">
        <v>634</v>
      </c>
      <c r="AV793" s="246" t="s">
        <v>635</v>
      </c>
      <c r="AW793" s="242"/>
      <c r="AX793" s="242"/>
      <c r="AY793" s="231"/>
      <c r="AZ793" s="231"/>
      <c r="BA793" s="227"/>
      <c r="BB793" s="231"/>
      <c r="BC793" s="227"/>
      <c r="BD793" s="227"/>
      <c r="BE793" s="227"/>
      <c r="BF793" s="227"/>
    </row>
    <row r="794">
      <c r="A794" s="235" t="s">
        <v>6976</v>
      </c>
      <c r="C794" s="235" t="s">
        <v>6977</v>
      </c>
      <c r="D794" s="235" t="s">
        <v>6978</v>
      </c>
      <c r="E794" s="243">
        <v>6.56E13</v>
      </c>
      <c r="F794" s="245"/>
      <c r="G794" s="235" t="s">
        <v>6979</v>
      </c>
      <c r="H794" s="235" t="s">
        <v>6980</v>
      </c>
      <c r="I794" s="235" t="s">
        <v>6980</v>
      </c>
      <c r="J794" s="235" t="s">
        <v>6974</v>
      </c>
      <c r="K794" s="235" t="s">
        <v>6981</v>
      </c>
      <c r="N794" s="235" t="s">
        <v>136</v>
      </c>
      <c r="O794" s="235" t="s">
        <v>256</v>
      </c>
      <c r="P794" s="238">
        <v>1.0</v>
      </c>
      <c r="Q794" s="235" t="s">
        <v>627</v>
      </c>
      <c r="R794" s="238">
        <v>246.67</v>
      </c>
      <c r="S794" s="238">
        <v>12.33</v>
      </c>
      <c r="T794" s="238">
        <v>0.0</v>
      </c>
      <c r="U794" s="238">
        <v>0.0</v>
      </c>
      <c r="V794" s="238">
        <v>0.0</v>
      </c>
      <c r="W794" s="238">
        <v>0.0</v>
      </c>
      <c r="X794" s="235" t="s">
        <v>628</v>
      </c>
      <c r="Z794" s="244"/>
      <c r="AA794" s="244"/>
      <c r="AB794" s="244"/>
      <c r="AC794" s="235" t="s">
        <v>832</v>
      </c>
      <c r="AD794" s="235" t="s">
        <v>833</v>
      </c>
      <c r="AE794" s="238">
        <v>530018.0</v>
      </c>
      <c r="AF794" s="235" t="s">
        <v>631</v>
      </c>
      <c r="AG794" s="244"/>
      <c r="AH794" s="244"/>
      <c r="AI794" s="245"/>
      <c r="AJ794" s="245"/>
      <c r="AK794" s="245"/>
      <c r="AL794" s="245"/>
      <c r="AM794" s="244"/>
      <c r="AN794" s="244"/>
      <c r="AO794" s="238">
        <v>0.0</v>
      </c>
      <c r="AP794" s="238">
        <v>0.0</v>
      </c>
      <c r="AQ794" s="235" t="s">
        <v>632</v>
      </c>
      <c r="AR794" s="243">
        <v>3.71E11</v>
      </c>
      <c r="AS794" s="235" t="s">
        <v>3284</v>
      </c>
      <c r="AT794" s="235" t="s">
        <v>546</v>
      </c>
      <c r="AU794" s="235" t="s">
        <v>634</v>
      </c>
      <c r="AV794" s="246" t="s">
        <v>635</v>
      </c>
      <c r="AW794" s="242"/>
      <c r="AX794" s="242"/>
      <c r="AY794" s="231"/>
      <c r="AZ794" s="231"/>
      <c r="BA794" s="227"/>
      <c r="BB794" s="231"/>
      <c r="BC794" s="227"/>
      <c r="BD794" s="227"/>
      <c r="BE794" s="227"/>
      <c r="BF794" s="227"/>
    </row>
    <row r="795">
      <c r="A795" s="235" t="s">
        <v>6982</v>
      </c>
      <c r="C795" s="235" t="s">
        <v>6983</v>
      </c>
      <c r="D795" s="235" t="s">
        <v>6984</v>
      </c>
      <c r="E795" s="243">
        <v>6.56E13</v>
      </c>
      <c r="F795" s="245"/>
      <c r="G795" s="235" t="s">
        <v>6985</v>
      </c>
      <c r="H795" s="235" t="s">
        <v>6986</v>
      </c>
      <c r="I795" s="235" t="s">
        <v>6987</v>
      </c>
      <c r="J795" s="235" t="s">
        <v>6988</v>
      </c>
      <c r="K795" s="235" t="s">
        <v>6989</v>
      </c>
      <c r="N795" s="235" t="s">
        <v>154</v>
      </c>
      <c r="O795" s="235" t="s">
        <v>766</v>
      </c>
      <c r="P795" s="238">
        <v>1.0</v>
      </c>
      <c r="Q795" s="235" t="s">
        <v>627</v>
      </c>
      <c r="R795" s="238">
        <v>465.71</v>
      </c>
      <c r="S795" s="238">
        <v>23.29</v>
      </c>
      <c r="T795" s="238">
        <v>0.0</v>
      </c>
      <c r="U795" s="238">
        <v>0.0</v>
      </c>
      <c r="V795" s="238">
        <v>0.0</v>
      </c>
      <c r="W795" s="238">
        <v>0.0</v>
      </c>
      <c r="X795" s="235" t="s">
        <v>628</v>
      </c>
      <c r="Z795" s="244"/>
      <c r="AA795" s="244"/>
      <c r="AB795" s="244"/>
      <c r="AC795" s="235" t="s">
        <v>6990</v>
      </c>
      <c r="AD795" s="235" t="s">
        <v>1151</v>
      </c>
      <c r="AE795" s="238">
        <v>711315.0</v>
      </c>
      <c r="AF795" s="235" t="s">
        <v>631</v>
      </c>
      <c r="AG795" s="244"/>
      <c r="AH795" s="244"/>
      <c r="AI795" s="245"/>
      <c r="AJ795" s="245"/>
      <c r="AK795" s="245"/>
      <c r="AL795" s="245"/>
      <c r="AM795" s="244"/>
      <c r="AN795" s="244"/>
      <c r="AO795" s="238">
        <v>0.0</v>
      </c>
      <c r="AP795" s="238">
        <v>0.0</v>
      </c>
      <c r="AQ795" s="235" t="s">
        <v>632</v>
      </c>
      <c r="AR795" s="243">
        <v>3.71E11</v>
      </c>
      <c r="AS795" s="235" t="s">
        <v>3284</v>
      </c>
      <c r="AT795" s="235" t="s">
        <v>13</v>
      </c>
      <c r="AU795" s="235" t="s">
        <v>634</v>
      </c>
      <c r="AV795" s="246" t="s">
        <v>635</v>
      </c>
      <c r="AW795" s="242"/>
      <c r="AX795" s="242"/>
      <c r="AY795" s="231"/>
      <c r="AZ795" s="231"/>
      <c r="BA795" s="227"/>
      <c r="BB795" s="231"/>
      <c r="BC795" s="227"/>
      <c r="BD795" s="227"/>
      <c r="BE795" s="227"/>
      <c r="BF795" s="227"/>
    </row>
    <row r="796">
      <c r="A796" s="235" t="s">
        <v>6991</v>
      </c>
      <c r="C796" s="235" t="s">
        <v>6992</v>
      </c>
      <c r="D796" s="235" t="s">
        <v>6993</v>
      </c>
      <c r="E796" s="243">
        <v>6.56E13</v>
      </c>
      <c r="F796" s="245"/>
      <c r="G796" s="235" t="s">
        <v>6994</v>
      </c>
      <c r="H796" s="235" t="s">
        <v>6995</v>
      </c>
      <c r="I796" s="235" t="s">
        <v>6995</v>
      </c>
      <c r="J796" s="235" t="s">
        <v>6996</v>
      </c>
      <c r="K796" s="235" t="s">
        <v>6997</v>
      </c>
      <c r="N796" s="235" t="s">
        <v>127</v>
      </c>
      <c r="O796" s="235" t="s">
        <v>794</v>
      </c>
      <c r="P796" s="238">
        <v>1.0</v>
      </c>
      <c r="Q796" s="235" t="s">
        <v>627</v>
      </c>
      <c r="R796" s="238">
        <v>246.66</v>
      </c>
      <c r="S796" s="238">
        <v>12.34</v>
      </c>
      <c r="T796" s="238">
        <v>18.1</v>
      </c>
      <c r="U796" s="238">
        <v>0.9</v>
      </c>
      <c r="V796" s="238">
        <v>0.0</v>
      </c>
      <c r="W796" s="238">
        <v>0.0</v>
      </c>
      <c r="X796" s="235" t="s">
        <v>628</v>
      </c>
      <c r="Z796" s="244"/>
      <c r="AA796" s="244"/>
      <c r="AB796" s="244"/>
      <c r="AC796" s="235" t="s">
        <v>687</v>
      </c>
      <c r="AD796" s="235" t="s">
        <v>666</v>
      </c>
      <c r="AE796" s="238">
        <v>600017.0</v>
      </c>
      <c r="AF796" s="235" t="s">
        <v>631</v>
      </c>
      <c r="AG796" s="244"/>
      <c r="AH796" s="244"/>
      <c r="AI796" s="245"/>
      <c r="AJ796" s="245"/>
      <c r="AK796" s="245"/>
      <c r="AL796" s="245"/>
      <c r="AM796" s="244"/>
      <c r="AN796" s="244"/>
      <c r="AO796" s="238">
        <v>0.0</v>
      </c>
      <c r="AP796" s="238">
        <v>-18.1</v>
      </c>
      <c r="AQ796" s="235" t="s">
        <v>632</v>
      </c>
      <c r="AR796" s="243">
        <v>1.68E11</v>
      </c>
      <c r="AS796" s="235" t="s">
        <v>6608</v>
      </c>
      <c r="AT796" s="235" t="s">
        <v>156</v>
      </c>
      <c r="AU796" s="235" t="s">
        <v>634</v>
      </c>
      <c r="AV796" s="246" t="s">
        <v>635</v>
      </c>
      <c r="AW796" s="242"/>
      <c r="AX796" s="242"/>
      <c r="AY796" s="231"/>
      <c r="AZ796" s="231"/>
      <c r="BA796" s="227"/>
      <c r="BB796" s="231"/>
      <c r="BC796" s="227"/>
      <c r="BD796" s="227"/>
      <c r="BE796" s="227"/>
      <c r="BF796" s="227"/>
    </row>
    <row r="797">
      <c r="A797" s="235" t="s">
        <v>6998</v>
      </c>
      <c r="C797" s="235" t="s">
        <v>6999</v>
      </c>
      <c r="D797" s="235" t="s">
        <v>7000</v>
      </c>
      <c r="E797" s="243">
        <v>6.56E13</v>
      </c>
      <c r="F797" s="245"/>
      <c r="G797" s="235" t="s">
        <v>7001</v>
      </c>
      <c r="H797" s="235" t="s">
        <v>7002</v>
      </c>
      <c r="I797" s="235" t="s">
        <v>7002</v>
      </c>
      <c r="J797" s="235" t="s">
        <v>7003</v>
      </c>
      <c r="K797" s="235" t="s">
        <v>7004</v>
      </c>
      <c r="N797" s="235" t="s">
        <v>47</v>
      </c>
      <c r="O797" s="235" t="s">
        <v>270</v>
      </c>
      <c r="P797" s="238">
        <v>1.0</v>
      </c>
      <c r="Q797" s="235" t="s">
        <v>627</v>
      </c>
      <c r="R797" s="238">
        <v>237.14</v>
      </c>
      <c r="S797" s="238">
        <v>11.86</v>
      </c>
      <c r="T797" s="238">
        <v>38.1</v>
      </c>
      <c r="U797" s="238">
        <v>1.9</v>
      </c>
      <c r="V797" s="238">
        <v>0.0</v>
      </c>
      <c r="W797" s="238">
        <v>0.0</v>
      </c>
      <c r="X797" s="235" t="s">
        <v>628</v>
      </c>
      <c r="Z797" s="244"/>
      <c r="AA797" s="244"/>
      <c r="AB797" s="244"/>
      <c r="AC797" s="235" t="s">
        <v>5923</v>
      </c>
      <c r="AD797" s="235" t="s">
        <v>666</v>
      </c>
      <c r="AE797" s="238">
        <v>620005.0</v>
      </c>
      <c r="AF797" s="235" t="s">
        <v>631</v>
      </c>
      <c r="AG797" s="244"/>
      <c r="AH797" s="244"/>
      <c r="AI797" s="245"/>
      <c r="AJ797" s="245"/>
      <c r="AK797" s="245"/>
      <c r="AL797" s="245"/>
      <c r="AM797" s="244"/>
      <c r="AN797" s="244"/>
      <c r="AO797" s="238">
        <v>0.0</v>
      </c>
      <c r="AP797" s="238">
        <v>-38.1</v>
      </c>
      <c r="AQ797" s="235" t="s">
        <v>632</v>
      </c>
      <c r="AR797" s="243">
        <v>3.71E11</v>
      </c>
      <c r="AS797" s="235" t="s">
        <v>4697</v>
      </c>
      <c r="AT797" s="235" t="s">
        <v>155</v>
      </c>
      <c r="AU797" s="235" t="s">
        <v>634</v>
      </c>
      <c r="AV797" s="246" t="s">
        <v>635</v>
      </c>
      <c r="AW797" s="242"/>
      <c r="AX797" s="242"/>
      <c r="AY797" s="231"/>
      <c r="AZ797" s="231"/>
      <c r="BA797" s="227"/>
      <c r="BB797" s="231"/>
      <c r="BC797" s="227"/>
      <c r="BD797" s="227"/>
      <c r="BE797" s="227"/>
      <c r="BF797" s="227"/>
    </row>
    <row r="798">
      <c r="A798" s="235" t="s">
        <v>7005</v>
      </c>
      <c r="C798" s="235" t="s">
        <v>7006</v>
      </c>
      <c r="D798" s="235" t="s">
        <v>7007</v>
      </c>
      <c r="E798" s="243">
        <v>6.56E13</v>
      </c>
      <c r="F798" s="245"/>
      <c r="G798" s="235" t="s">
        <v>7008</v>
      </c>
      <c r="H798" s="235" t="s">
        <v>7009</v>
      </c>
      <c r="I798" s="235" t="s">
        <v>7009</v>
      </c>
      <c r="J798" s="235" t="s">
        <v>7010</v>
      </c>
      <c r="K798" s="235" t="s">
        <v>7011</v>
      </c>
      <c r="N798" s="235" t="s">
        <v>104</v>
      </c>
      <c r="O798" s="235" t="s">
        <v>401</v>
      </c>
      <c r="P798" s="238">
        <v>1.0</v>
      </c>
      <c r="Q798" s="235" t="s">
        <v>627</v>
      </c>
      <c r="R798" s="238">
        <v>246.67</v>
      </c>
      <c r="S798" s="238">
        <v>12.33</v>
      </c>
      <c r="T798" s="238">
        <v>0.0</v>
      </c>
      <c r="U798" s="238">
        <v>0.0</v>
      </c>
      <c r="V798" s="238">
        <v>0.0</v>
      </c>
      <c r="W798" s="238">
        <v>0.0</v>
      </c>
      <c r="X798" s="235" t="s">
        <v>628</v>
      </c>
      <c r="Z798" s="244"/>
      <c r="AA798" s="244"/>
      <c r="AB798" s="244"/>
      <c r="AC798" s="235" t="s">
        <v>795</v>
      </c>
      <c r="AD798" s="235" t="s">
        <v>796</v>
      </c>
      <c r="AE798" s="238">
        <v>110045.0</v>
      </c>
      <c r="AF798" s="235" t="s">
        <v>631</v>
      </c>
      <c r="AG798" s="244"/>
      <c r="AH798" s="244"/>
      <c r="AI798" s="245"/>
      <c r="AJ798" s="245"/>
      <c r="AK798" s="245"/>
      <c r="AL798" s="245"/>
      <c r="AM798" s="244"/>
      <c r="AN798" s="244"/>
      <c r="AO798" s="238">
        <v>0.0</v>
      </c>
      <c r="AP798" s="238">
        <v>0.0</v>
      </c>
      <c r="AQ798" s="235" t="s">
        <v>632</v>
      </c>
      <c r="AR798" s="243">
        <v>1.68E11</v>
      </c>
      <c r="AS798" s="235" t="s">
        <v>6608</v>
      </c>
      <c r="AT798" s="235" t="s">
        <v>533</v>
      </c>
      <c r="AU798" s="235" t="s">
        <v>634</v>
      </c>
      <c r="AV798" s="246" t="s">
        <v>635</v>
      </c>
      <c r="AW798" s="242"/>
      <c r="AX798" s="242"/>
      <c r="AY798" s="231"/>
      <c r="AZ798" s="231"/>
      <c r="BA798" s="227"/>
      <c r="BB798" s="231"/>
      <c r="BC798" s="227"/>
      <c r="BD798" s="227"/>
      <c r="BE798" s="227"/>
      <c r="BF798" s="227"/>
    </row>
    <row r="799">
      <c r="A799" s="235" t="s">
        <v>7012</v>
      </c>
      <c r="C799" s="235" t="s">
        <v>7013</v>
      </c>
      <c r="D799" s="235" t="s">
        <v>7014</v>
      </c>
      <c r="E799" s="243">
        <v>6.56E13</v>
      </c>
      <c r="F799" s="245"/>
      <c r="G799" s="235" t="s">
        <v>7015</v>
      </c>
      <c r="H799" s="235" t="s">
        <v>7016</v>
      </c>
      <c r="I799" s="235" t="s">
        <v>7016</v>
      </c>
      <c r="J799" s="235" t="s">
        <v>7017</v>
      </c>
      <c r="K799" s="235" t="s">
        <v>7018</v>
      </c>
      <c r="N799" s="235" t="s">
        <v>127</v>
      </c>
      <c r="O799" s="235" t="s">
        <v>794</v>
      </c>
      <c r="P799" s="238">
        <v>1.0</v>
      </c>
      <c r="Q799" s="235" t="s">
        <v>627</v>
      </c>
      <c r="R799" s="238">
        <v>246.67</v>
      </c>
      <c r="S799" s="238">
        <v>12.33</v>
      </c>
      <c r="T799" s="238">
        <v>0.0</v>
      </c>
      <c r="U799" s="238">
        <v>0.0</v>
      </c>
      <c r="V799" s="238">
        <v>0.0</v>
      </c>
      <c r="W799" s="238">
        <v>0.0</v>
      </c>
      <c r="X799" s="235" t="s">
        <v>628</v>
      </c>
      <c r="Z799" s="244"/>
      <c r="AA799" s="244"/>
      <c r="AB799" s="244"/>
      <c r="AC799" s="235" t="s">
        <v>7019</v>
      </c>
      <c r="AD799" s="235" t="s">
        <v>1086</v>
      </c>
      <c r="AE799" s="238">
        <v>144024.0</v>
      </c>
      <c r="AF799" s="235" t="s">
        <v>631</v>
      </c>
      <c r="AG799" s="244"/>
      <c r="AH799" s="244"/>
      <c r="AI799" s="245"/>
      <c r="AJ799" s="245"/>
      <c r="AK799" s="245"/>
      <c r="AL799" s="245"/>
      <c r="AM799" s="244"/>
      <c r="AN799" s="244"/>
      <c r="AO799" s="238">
        <v>0.0</v>
      </c>
      <c r="AP799" s="238">
        <v>0.0</v>
      </c>
      <c r="AQ799" s="235" t="s">
        <v>632</v>
      </c>
      <c r="AR799" s="243">
        <v>3.71E11</v>
      </c>
      <c r="AS799" s="235" t="s">
        <v>4697</v>
      </c>
      <c r="AT799" s="235" t="s">
        <v>14</v>
      </c>
      <c r="AU799" s="235" t="s">
        <v>634</v>
      </c>
      <c r="AV799" s="246" t="s">
        <v>635</v>
      </c>
      <c r="AW799" s="242"/>
      <c r="AX799" s="242"/>
      <c r="AY799" s="231"/>
      <c r="AZ799" s="231"/>
      <c r="BA799" s="227"/>
      <c r="BB799" s="231"/>
      <c r="BC799" s="227"/>
      <c r="BD799" s="227"/>
      <c r="BE799" s="227"/>
      <c r="BF799" s="227"/>
    </row>
    <row r="800">
      <c r="A800" s="235" t="s">
        <v>7020</v>
      </c>
      <c r="C800" s="235" t="s">
        <v>7021</v>
      </c>
      <c r="D800" s="235" t="s">
        <v>7022</v>
      </c>
      <c r="E800" s="243">
        <v>6.56E13</v>
      </c>
      <c r="F800" s="245"/>
      <c r="G800" s="235" t="s">
        <v>7023</v>
      </c>
      <c r="H800" s="235" t="s">
        <v>7024</v>
      </c>
      <c r="I800" s="235" t="s">
        <v>7024</v>
      </c>
      <c r="J800" s="235" t="s">
        <v>7025</v>
      </c>
      <c r="K800" s="235" t="s">
        <v>7026</v>
      </c>
      <c r="N800" s="235" t="s">
        <v>154</v>
      </c>
      <c r="O800" s="235" t="s">
        <v>766</v>
      </c>
      <c r="P800" s="238">
        <v>1.0</v>
      </c>
      <c r="Q800" s="235" t="s">
        <v>627</v>
      </c>
      <c r="R800" s="238">
        <v>465.72</v>
      </c>
      <c r="S800" s="238">
        <v>23.28</v>
      </c>
      <c r="T800" s="238">
        <v>0.0</v>
      </c>
      <c r="U800" s="238">
        <v>0.0</v>
      </c>
      <c r="V800" s="238">
        <v>0.0</v>
      </c>
      <c r="W800" s="238">
        <v>0.0</v>
      </c>
      <c r="X800" s="235" t="s">
        <v>628</v>
      </c>
      <c r="Z800" s="244"/>
      <c r="AA800" s="244"/>
      <c r="AB800" s="244"/>
      <c r="AC800" s="235" t="s">
        <v>844</v>
      </c>
      <c r="AD800" s="235" t="s">
        <v>845</v>
      </c>
      <c r="AE800" s="238">
        <v>411052.0</v>
      </c>
      <c r="AF800" s="235" t="s">
        <v>631</v>
      </c>
      <c r="AG800" s="244"/>
      <c r="AH800" s="244"/>
      <c r="AI800" s="245"/>
      <c r="AJ800" s="245"/>
      <c r="AK800" s="245"/>
      <c r="AL800" s="245"/>
      <c r="AM800" s="244"/>
      <c r="AN800" s="244"/>
      <c r="AO800" s="238">
        <v>0.0</v>
      </c>
      <c r="AP800" s="238">
        <v>0.0</v>
      </c>
      <c r="AQ800" s="235" t="s">
        <v>632</v>
      </c>
      <c r="AR800" s="243">
        <v>1.68E11</v>
      </c>
      <c r="AS800" s="235" t="s">
        <v>6164</v>
      </c>
      <c r="AT800" s="235" t="s">
        <v>16</v>
      </c>
      <c r="AU800" s="235" t="s">
        <v>634</v>
      </c>
      <c r="AV800" s="246" t="s">
        <v>635</v>
      </c>
      <c r="AW800" s="242"/>
      <c r="AX800" s="242"/>
      <c r="AY800" s="231"/>
      <c r="AZ800" s="231"/>
      <c r="BA800" s="227"/>
      <c r="BB800" s="231"/>
      <c r="BC800" s="227"/>
      <c r="BD800" s="227"/>
      <c r="BE800" s="227"/>
      <c r="BF800" s="227"/>
    </row>
    <row r="801">
      <c r="A801" s="235" t="s">
        <v>7029</v>
      </c>
      <c r="C801" s="235" t="s">
        <v>7030</v>
      </c>
      <c r="D801" s="235" t="s">
        <v>7031</v>
      </c>
      <c r="E801" s="243">
        <v>6.56E13</v>
      </c>
      <c r="F801" s="245"/>
      <c r="G801" s="235" t="s">
        <v>7032</v>
      </c>
      <c r="H801" s="235" t="s">
        <v>7033</v>
      </c>
      <c r="I801" s="235" t="s">
        <v>7033</v>
      </c>
      <c r="J801" s="235" t="s">
        <v>7034</v>
      </c>
      <c r="K801" s="235" t="s">
        <v>7035</v>
      </c>
      <c r="N801" s="235" t="s">
        <v>154</v>
      </c>
      <c r="O801" s="235" t="s">
        <v>766</v>
      </c>
      <c r="P801" s="238">
        <v>1.0</v>
      </c>
      <c r="Q801" s="235" t="s">
        <v>627</v>
      </c>
      <c r="R801" s="238">
        <v>465.72</v>
      </c>
      <c r="S801" s="238">
        <v>23.28</v>
      </c>
      <c r="T801" s="238">
        <v>0.0</v>
      </c>
      <c r="U801" s="238">
        <v>0.0</v>
      </c>
      <c r="V801" s="238">
        <v>0.0</v>
      </c>
      <c r="W801" s="238">
        <v>0.0</v>
      </c>
      <c r="X801" s="235" t="s">
        <v>628</v>
      </c>
      <c r="Z801" s="244"/>
      <c r="AA801" s="244"/>
      <c r="AB801" s="244"/>
      <c r="AC801" s="235" t="s">
        <v>1800</v>
      </c>
      <c r="AD801" s="235" t="s">
        <v>845</v>
      </c>
      <c r="AE801" s="238">
        <v>421302.0</v>
      </c>
      <c r="AF801" s="235" t="s">
        <v>631</v>
      </c>
      <c r="AG801" s="244"/>
      <c r="AH801" s="244"/>
      <c r="AI801" s="245"/>
      <c r="AJ801" s="245"/>
      <c r="AK801" s="245"/>
      <c r="AL801" s="245"/>
      <c r="AM801" s="244"/>
      <c r="AN801" s="244"/>
      <c r="AO801" s="238">
        <v>0.0</v>
      </c>
      <c r="AP801" s="238">
        <v>0.0</v>
      </c>
      <c r="AQ801" s="235" t="s">
        <v>632</v>
      </c>
      <c r="AR801" s="243">
        <v>3.71E11</v>
      </c>
      <c r="AS801" s="235" t="s">
        <v>6164</v>
      </c>
      <c r="AT801" s="235" t="s">
        <v>16</v>
      </c>
      <c r="AU801" s="235" t="s">
        <v>634</v>
      </c>
      <c r="AV801" s="246" t="s">
        <v>635</v>
      </c>
      <c r="AW801" s="242"/>
      <c r="AX801" s="242"/>
      <c r="AY801" s="231"/>
      <c r="AZ801" s="231"/>
      <c r="BA801" s="227"/>
      <c r="BB801" s="231"/>
      <c r="BC801" s="227"/>
      <c r="BD801" s="227"/>
      <c r="BE801" s="227"/>
      <c r="BF801" s="227"/>
    </row>
    <row r="802">
      <c r="A802" s="235" t="s">
        <v>7036</v>
      </c>
      <c r="C802" s="235" t="s">
        <v>7037</v>
      </c>
      <c r="D802" s="235" t="s">
        <v>7038</v>
      </c>
      <c r="E802" s="243">
        <v>6.55E13</v>
      </c>
      <c r="F802" s="245"/>
      <c r="G802" s="235" t="s">
        <v>7039</v>
      </c>
      <c r="H802" s="235" t="s">
        <v>7040</v>
      </c>
      <c r="I802" s="235" t="s">
        <v>7040</v>
      </c>
      <c r="J802" s="235" t="s">
        <v>7041</v>
      </c>
      <c r="K802" s="235" t="s">
        <v>7042</v>
      </c>
      <c r="N802" s="235" t="s">
        <v>144</v>
      </c>
      <c r="O802" s="235" t="s">
        <v>232</v>
      </c>
      <c r="P802" s="238">
        <v>1.0</v>
      </c>
      <c r="Q802" s="235" t="s">
        <v>627</v>
      </c>
      <c r="R802" s="238">
        <v>665.72</v>
      </c>
      <c r="S802" s="238">
        <v>33.28</v>
      </c>
      <c r="T802" s="238">
        <v>38.1</v>
      </c>
      <c r="U802" s="238">
        <v>1.9</v>
      </c>
      <c r="V802" s="238">
        <v>0.0</v>
      </c>
      <c r="W802" s="238">
        <v>0.0</v>
      </c>
      <c r="X802" s="235" t="s">
        <v>628</v>
      </c>
      <c r="Z802" s="244"/>
      <c r="AA802" s="244"/>
      <c r="AB802" s="244"/>
      <c r="AC802" s="235" t="s">
        <v>7043</v>
      </c>
      <c r="AD802" s="235" t="s">
        <v>845</v>
      </c>
      <c r="AE802" s="238">
        <v>400049.0</v>
      </c>
      <c r="AF802" s="235" t="s">
        <v>631</v>
      </c>
      <c r="AG802" s="244"/>
      <c r="AH802" s="244"/>
      <c r="AI802" s="245"/>
      <c r="AJ802" s="245"/>
      <c r="AK802" s="245"/>
      <c r="AL802" s="245"/>
      <c r="AM802" s="244"/>
      <c r="AN802" s="244"/>
      <c r="AO802" s="238">
        <v>0.0</v>
      </c>
      <c r="AP802" s="238">
        <v>-38.1</v>
      </c>
      <c r="AQ802" s="235" t="s">
        <v>632</v>
      </c>
      <c r="AR802" s="243">
        <v>3.71E11</v>
      </c>
      <c r="AS802" s="235" t="s">
        <v>6164</v>
      </c>
      <c r="AT802" s="235" t="s">
        <v>16</v>
      </c>
      <c r="AU802" s="235" t="s">
        <v>634</v>
      </c>
      <c r="AV802" s="246" t="s">
        <v>635</v>
      </c>
      <c r="AW802" s="242"/>
      <c r="AX802" s="242"/>
      <c r="AY802" s="231"/>
      <c r="AZ802" s="231"/>
      <c r="BA802" s="227"/>
      <c r="BB802" s="231"/>
      <c r="BC802" s="227"/>
      <c r="BD802" s="227"/>
      <c r="BE802" s="227"/>
      <c r="BF802" s="227"/>
    </row>
    <row r="803">
      <c r="A803" s="235" t="s">
        <v>7044</v>
      </c>
      <c r="C803" s="235" t="s">
        <v>7045</v>
      </c>
      <c r="D803" s="235" t="s">
        <v>7046</v>
      </c>
      <c r="E803" s="243">
        <v>6.56E13</v>
      </c>
      <c r="F803" s="245"/>
      <c r="G803" s="235" t="s">
        <v>7047</v>
      </c>
      <c r="H803" s="235" t="s">
        <v>7048</v>
      </c>
      <c r="I803" s="235" t="s">
        <v>7048</v>
      </c>
      <c r="J803" s="235" t="s">
        <v>7049</v>
      </c>
      <c r="K803" s="235" t="s">
        <v>7050</v>
      </c>
      <c r="N803" s="235" t="s">
        <v>12</v>
      </c>
      <c r="O803" s="235" t="s">
        <v>804</v>
      </c>
      <c r="P803" s="238">
        <v>1.0</v>
      </c>
      <c r="Q803" s="235" t="s">
        <v>627</v>
      </c>
      <c r="R803" s="238">
        <v>265.71</v>
      </c>
      <c r="S803" s="238">
        <v>13.29</v>
      </c>
      <c r="T803" s="238">
        <v>38.1</v>
      </c>
      <c r="U803" s="238">
        <v>1.9</v>
      </c>
      <c r="V803" s="238">
        <v>0.0</v>
      </c>
      <c r="W803" s="238">
        <v>0.0</v>
      </c>
      <c r="X803" s="235" t="s">
        <v>628</v>
      </c>
      <c r="Z803" s="244"/>
      <c r="AA803" s="244"/>
      <c r="AB803" s="244"/>
      <c r="AC803" s="235" t="s">
        <v>3912</v>
      </c>
      <c r="AD803" s="235" t="s">
        <v>3913</v>
      </c>
      <c r="AE803" s="238">
        <v>797112.0</v>
      </c>
      <c r="AF803" s="235" t="s">
        <v>631</v>
      </c>
      <c r="AG803" s="244"/>
      <c r="AH803" s="244"/>
      <c r="AI803" s="245"/>
      <c r="AJ803" s="245"/>
      <c r="AK803" s="245"/>
      <c r="AL803" s="245"/>
      <c r="AM803" s="244"/>
      <c r="AN803" s="244"/>
      <c r="AO803" s="238">
        <v>0.0</v>
      </c>
      <c r="AP803" s="238">
        <v>-38.1</v>
      </c>
      <c r="AQ803" s="235" t="s">
        <v>632</v>
      </c>
      <c r="AR803" s="243">
        <v>3.71E11</v>
      </c>
      <c r="AS803" s="235" t="s">
        <v>667</v>
      </c>
      <c r="AT803" s="235" t="s">
        <v>533</v>
      </c>
      <c r="AU803" s="235" t="s">
        <v>634</v>
      </c>
      <c r="AV803" s="246" t="s">
        <v>635</v>
      </c>
      <c r="AW803" s="242"/>
      <c r="AX803" s="242"/>
      <c r="AY803" s="231"/>
      <c r="AZ803" s="231"/>
      <c r="BA803" s="227"/>
      <c r="BB803" s="231"/>
      <c r="BC803" s="227"/>
      <c r="BD803" s="227"/>
      <c r="BE803" s="227"/>
      <c r="BF803" s="227"/>
    </row>
    <row r="804">
      <c r="A804" s="235" t="s">
        <v>7051</v>
      </c>
      <c r="C804" s="235" t="s">
        <v>7052</v>
      </c>
      <c r="D804" s="235" t="s">
        <v>7053</v>
      </c>
      <c r="E804" s="243">
        <v>6.56E13</v>
      </c>
      <c r="F804" s="245"/>
      <c r="G804" s="235" t="s">
        <v>7054</v>
      </c>
      <c r="H804" s="235" t="s">
        <v>7055</v>
      </c>
      <c r="I804" s="235" t="s">
        <v>7055</v>
      </c>
      <c r="J804" s="235" t="s">
        <v>7056</v>
      </c>
      <c r="K804" s="235" t="s">
        <v>7057</v>
      </c>
      <c r="N804" s="235" t="s">
        <v>42</v>
      </c>
      <c r="O804" s="235" t="s">
        <v>204</v>
      </c>
      <c r="P804" s="238">
        <v>1.0</v>
      </c>
      <c r="Q804" s="235" t="s">
        <v>627</v>
      </c>
      <c r="R804" s="238">
        <v>237.14</v>
      </c>
      <c r="S804" s="238">
        <v>11.86</v>
      </c>
      <c r="T804" s="238">
        <v>38.1</v>
      </c>
      <c r="U804" s="238">
        <v>1.9</v>
      </c>
      <c r="V804" s="238">
        <v>0.0</v>
      </c>
      <c r="W804" s="238">
        <v>0.0</v>
      </c>
      <c r="X804" s="235" t="s">
        <v>628</v>
      </c>
      <c r="Z804" s="244"/>
      <c r="AA804" s="244"/>
      <c r="AB804" s="244"/>
      <c r="AC804" s="235" t="s">
        <v>687</v>
      </c>
      <c r="AD804" s="235" t="s">
        <v>666</v>
      </c>
      <c r="AE804" s="238">
        <v>600071.0</v>
      </c>
      <c r="AF804" s="235" t="s">
        <v>631</v>
      </c>
      <c r="AG804" s="244"/>
      <c r="AH804" s="244"/>
      <c r="AI804" s="245"/>
      <c r="AJ804" s="245"/>
      <c r="AK804" s="245"/>
      <c r="AL804" s="245"/>
      <c r="AM804" s="244"/>
      <c r="AN804" s="244"/>
      <c r="AO804" s="238">
        <v>0.0</v>
      </c>
      <c r="AP804" s="238">
        <v>-38.1</v>
      </c>
      <c r="AQ804" s="235" t="s">
        <v>632</v>
      </c>
      <c r="AR804" s="243">
        <v>3.71E11</v>
      </c>
      <c r="AS804" s="235" t="s">
        <v>6164</v>
      </c>
      <c r="AT804" s="235" t="s">
        <v>156</v>
      </c>
      <c r="AU804" s="235" t="s">
        <v>634</v>
      </c>
      <c r="AV804" s="246" t="s">
        <v>635</v>
      </c>
      <c r="AW804" s="242"/>
      <c r="AX804" s="242"/>
      <c r="AY804" s="231"/>
      <c r="AZ804" s="231"/>
      <c r="BA804" s="227"/>
      <c r="BB804" s="231"/>
      <c r="BC804" s="227"/>
      <c r="BD804" s="227"/>
      <c r="BE804" s="227"/>
      <c r="BF804" s="227"/>
    </row>
    <row r="805">
      <c r="A805" s="235" t="s">
        <v>7058</v>
      </c>
      <c r="C805" s="235" t="s">
        <v>7059</v>
      </c>
      <c r="D805" s="235" t="s">
        <v>7060</v>
      </c>
      <c r="E805" s="243">
        <v>6.56E13</v>
      </c>
      <c r="F805" s="245"/>
      <c r="G805" s="235" t="s">
        <v>7061</v>
      </c>
      <c r="H805" s="235" t="s">
        <v>7062</v>
      </c>
      <c r="I805" s="235" t="s">
        <v>7062</v>
      </c>
      <c r="J805" s="235" t="s">
        <v>7063</v>
      </c>
      <c r="K805" s="235" t="s">
        <v>7064</v>
      </c>
      <c r="N805" s="235" t="s">
        <v>82</v>
      </c>
      <c r="O805" s="235" t="s">
        <v>889</v>
      </c>
      <c r="P805" s="238">
        <v>1.0</v>
      </c>
      <c r="Q805" s="235" t="s">
        <v>627</v>
      </c>
      <c r="R805" s="238">
        <v>246.67</v>
      </c>
      <c r="S805" s="238">
        <v>12.33</v>
      </c>
      <c r="T805" s="238">
        <v>38.1</v>
      </c>
      <c r="U805" s="238">
        <v>1.9</v>
      </c>
      <c r="V805" s="238">
        <v>0.0</v>
      </c>
      <c r="W805" s="238">
        <v>0.0</v>
      </c>
      <c r="X805" s="235" t="s">
        <v>628</v>
      </c>
      <c r="Z805" s="244"/>
      <c r="AA805" s="244"/>
      <c r="AB805" s="244"/>
      <c r="AC805" s="235" t="s">
        <v>7065</v>
      </c>
      <c r="AD805" s="235" t="s">
        <v>908</v>
      </c>
      <c r="AE805" s="238">
        <v>249204.0</v>
      </c>
      <c r="AF805" s="235" t="s">
        <v>631</v>
      </c>
      <c r="AG805" s="244"/>
      <c r="AH805" s="244"/>
      <c r="AI805" s="245"/>
      <c r="AJ805" s="245"/>
      <c r="AK805" s="245"/>
      <c r="AL805" s="245"/>
      <c r="AM805" s="244"/>
      <c r="AN805" s="244"/>
      <c r="AO805" s="238">
        <v>0.0</v>
      </c>
      <c r="AP805" s="238">
        <v>-38.1</v>
      </c>
      <c r="AQ805" s="235" t="s">
        <v>632</v>
      </c>
      <c r="AR805" s="243">
        <v>3.71E11</v>
      </c>
      <c r="AS805" s="235" t="s">
        <v>3284</v>
      </c>
      <c r="AT805" s="235" t="s">
        <v>13</v>
      </c>
      <c r="AU805" s="235" t="s">
        <v>634</v>
      </c>
      <c r="AV805" s="246" t="s">
        <v>635</v>
      </c>
      <c r="AW805" s="242"/>
      <c r="AX805" s="242"/>
      <c r="AY805" s="231"/>
      <c r="AZ805" s="231"/>
      <c r="BA805" s="227"/>
      <c r="BB805" s="231"/>
      <c r="BC805" s="227"/>
      <c r="BD805" s="227"/>
      <c r="BE805" s="227"/>
      <c r="BF805" s="227"/>
    </row>
    <row r="806">
      <c r="A806" s="235" t="s">
        <v>7066</v>
      </c>
      <c r="C806" s="235" t="s">
        <v>7067</v>
      </c>
      <c r="D806" s="235" t="s">
        <v>7068</v>
      </c>
      <c r="E806" s="243">
        <v>6.56E13</v>
      </c>
      <c r="F806" s="245"/>
      <c r="G806" s="235" t="s">
        <v>7069</v>
      </c>
      <c r="H806" s="235" t="s">
        <v>7070</v>
      </c>
      <c r="I806" s="235" t="s">
        <v>7070</v>
      </c>
      <c r="J806" s="235" t="s">
        <v>7071</v>
      </c>
      <c r="K806" s="235" t="s">
        <v>7072</v>
      </c>
      <c r="N806" s="235" t="s">
        <v>1346</v>
      </c>
      <c r="O806" s="235" t="s">
        <v>1347</v>
      </c>
      <c r="P806" s="238">
        <v>1.0</v>
      </c>
      <c r="Q806" s="235" t="s">
        <v>627</v>
      </c>
      <c r="R806" s="238">
        <v>256.19</v>
      </c>
      <c r="S806" s="238">
        <v>12.81</v>
      </c>
      <c r="T806" s="238">
        <v>38.1</v>
      </c>
      <c r="U806" s="238">
        <v>1.9</v>
      </c>
      <c r="V806" s="238">
        <v>0.0</v>
      </c>
      <c r="W806" s="238">
        <v>0.0</v>
      </c>
      <c r="X806" s="235" t="s">
        <v>628</v>
      </c>
      <c r="Z806" s="244"/>
      <c r="AA806" s="244"/>
      <c r="AB806" s="244"/>
      <c r="AC806" s="235" t="s">
        <v>7073</v>
      </c>
      <c r="AD806" s="235" t="s">
        <v>965</v>
      </c>
      <c r="AE806" s="238">
        <v>176215.0</v>
      </c>
      <c r="AF806" s="235" t="s">
        <v>631</v>
      </c>
      <c r="AG806" s="244"/>
      <c r="AH806" s="244"/>
      <c r="AI806" s="245"/>
      <c r="AJ806" s="245"/>
      <c r="AK806" s="245"/>
      <c r="AL806" s="245"/>
      <c r="AM806" s="244"/>
      <c r="AN806" s="244"/>
      <c r="AO806" s="238">
        <v>0.0</v>
      </c>
      <c r="AP806" s="238">
        <v>-38.1</v>
      </c>
      <c r="AQ806" s="235" t="s">
        <v>632</v>
      </c>
      <c r="AR806" s="243">
        <v>3.71E11</v>
      </c>
      <c r="AS806" s="235" t="s">
        <v>4697</v>
      </c>
      <c r="AT806" s="235" t="s">
        <v>14</v>
      </c>
      <c r="AU806" s="235" t="s">
        <v>634</v>
      </c>
      <c r="AV806" s="246" t="s">
        <v>635</v>
      </c>
      <c r="AW806" s="242"/>
      <c r="AX806" s="242"/>
      <c r="AY806" s="231"/>
      <c r="AZ806" s="231"/>
      <c r="BA806" s="227"/>
      <c r="BB806" s="231"/>
      <c r="BC806" s="227"/>
      <c r="BD806" s="227"/>
      <c r="BE806" s="227"/>
      <c r="BF806" s="227"/>
    </row>
    <row r="807">
      <c r="A807" s="235" t="s">
        <v>7074</v>
      </c>
      <c r="C807" s="235" t="s">
        <v>7075</v>
      </c>
      <c r="D807" s="235" t="s">
        <v>7076</v>
      </c>
      <c r="E807" s="243">
        <v>6.56E13</v>
      </c>
      <c r="F807" s="245"/>
      <c r="G807" s="235" t="s">
        <v>7077</v>
      </c>
      <c r="H807" s="235" t="s">
        <v>7078</v>
      </c>
      <c r="I807" s="235" t="s">
        <v>7078</v>
      </c>
      <c r="J807" s="235" t="s">
        <v>7079</v>
      </c>
      <c r="K807" s="235" t="s">
        <v>7080</v>
      </c>
      <c r="N807" s="235" t="s">
        <v>68</v>
      </c>
      <c r="O807" s="235" t="s">
        <v>208</v>
      </c>
      <c r="P807" s="238">
        <v>1.0</v>
      </c>
      <c r="Q807" s="235" t="s">
        <v>627</v>
      </c>
      <c r="R807" s="238">
        <v>242.86</v>
      </c>
      <c r="S807" s="238">
        <v>12.14</v>
      </c>
      <c r="T807" s="238">
        <v>0.0</v>
      </c>
      <c r="U807" s="238">
        <v>0.0</v>
      </c>
      <c r="V807" s="238">
        <v>0.0</v>
      </c>
      <c r="W807" s="238">
        <v>0.0</v>
      </c>
      <c r="X807" s="235" t="s">
        <v>628</v>
      </c>
      <c r="Z807" s="244"/>
      <c r="AA807" s="244"/>
      <c r="AB807" s="244"/>
      <c r="AC807" s="235" t="s">
        <v>1279</v>
      </c>
      <c r="AD807" s="235" t="s">
        <v>917</v>
      </c>
      <c r="AE807" s="238">
        <v>302021.0</v>
      </c>
      <c r="AF807" s="235" t="s">
        <v>631</v>
      </c>
      <c r="AG807" s="244"/>
      <c r="AH807" s="244"/>
      <c r="AI807" s="245"/>
      <c r="AJ807" s="245"/>
      <c r="AK807" s="245"/>
      <c r="AL807" s="245"/>
      <c r="AM807" s="244"/>
      <c r="AN807" s="244"/>
      <c r="AO807" s="238">
        <v>0.0</v>
      </c>
      <c r="AP807" s="238">
        <v>0.0</v>
      </c>
      <c r="AQ807" s="235" t="s">
        <v>632</v>
      </c>
      <c r="AR807" s="243">
        <v>1.68E11</v>
      </c>
      <c r="AS807" s="235" t="s">
        <v>6164</v>
      </c>
      <c r="AT807" s="235" t="s">
        <v>14</v>
      </c>
      <c r="AU807" s="235" t="s">
        <v>634</v>
      </c>
      <c r="AV807" s="246" t="s">
        <v>635</v>
      </c>
      <c r="AW807" s="242"/>
      <c r="AX807" s="242"/>
      <c r="AY807" s="231"/>
      <c r="AZ807" s="231"/>
      <c r="BA807" s="227"/>
      <c r="BB807" s="231"/>
      <c r="BC807" s="227"/>
      <c r="BD807" s="227"/>
      <c r="BE807" s="227"/>
      <c r="BF807" s="227"/>
    </row>
    <row r="808">
      <c r="A808" s="235" t="s">
        <v>7081</v>
      </c>
      <c r="C808" s="235" t="s">
        <v>7082</v>
      </c>
      <c r="D808" s="235" t="s">
        <v>7083</v>
      </c>
      <c r="E808" s="243">
        <v>6.56E13</v>
      </c>
      <c r="F808" s="245"/>
      <c r="G808" s="235" t="s">
        <v>7084</v>
      </c>
      <c r="H808" s="235" t="s">
        <v>7085</v>
      </c>
      <c r="I808" s="235" t="s">
        <v>7085</v>
      </c>
      <c r="J808" s="235" t="s">
        <v>7086</v>
      </c>
      <c r="K808" s="235" t="s">
        <v>7087</v>
      </c>
      <c r="N808" s="235" t="s">
        <v>962</v>
      </c>
      <c r="O808" s="235" t="s">
        <v>963</v>
      </c>
      <c r="P808" s="238">
        <v>1.0</v>
      </c>
      <c r="Q808" s="235" t="s">
        <v>627</v>
      </c>
      <c r="R808" s="238">
        <v>246.67</v>
      </c>
      <c r="S808" s="238">
        <v>12.33</v>
      </c>
      <c r="T808" s="238">
        <v>0.0</v>
      </c>
      <c r="U808" s="238">
        <v>0.0</v>
      </c>
      <c r="V808" s="238">
        <v>0.0</v>
      </c>
      <c r="W808" s="238">
        <v>0.0</v>
      </c>
      <c r="X808" s="235" t="s">
        <v>628</v>
      </c>
      <c r="Z808" s="244"/>
      <c r="AA808" s="244"/>
      <c r="AB808" s="244"/>
      <c r="AC808" s="235" t="s">
        <v>7088</v>
      </c>
      <c r="AD808" s="235" t="s">
        <v>630</v>
      </c>
      <c r="AE808" s="238">
        <v>201317.0</v>
      </c>
      <c r="AF808" s="235" t="s">
        <v>631</v>
      </c>
      <c r="AG808" s="244"/>
      <c r="AH808" s="244"/>
      <c r="AI808" s="245"/>
      <c r="AJ808" s="245"/>
      <c r="AK808" s="245"/>
      <c r="AL808" s="245"/>
      <c r="AM808" s="244"/>
      <c r="AN808" s="244"/>
      <c r="AO808" s="238">
        <v>0.0</v>
      </c>
      <c r="AP808" s="238">
        <v>0.0</v>
      </c>
      <c r="AQ808" s="235" t="s">
        <v>632</v>
      </c>
      <c r="AR808" s="243">
        <v>3.71E11</v>
      </c>
      <c r="AS808" s="235" t="s">
        <v>6164</v>
      </c>
      <c r="AT808" s="235" t="s">
        <v>14</v>
      </c>
      <c r="AU808" s="235" t="s">
        <v>634</v>
      </c>
      <c r="AV808" s="246" t="s">
        <v>635</v>
      </c>
      <c r="AW808" s="242"/>
      <c r="AX808" s="242"/>
      <c r="AY808" s="231"/>
      <c r="AZ808" s="231"/>
      <c r="BA808" s="227"/>
      <c r="BB808" s="231"/>
      <c r="BC808" s="227"/>
      <c r="BD808" s="227"/>
      <c r="BE808" s="227"/>
      <c r="BF808" s="227"/>
    </row>
    <row r="809">
      <c r="A809" s="235" t="s">
        <v>7089</v>
      </c>
      <c r="C809" s="235" t="s">
        <v>7090</v>
      </c>
      <c r="D809" s="235" t="s">
        <v>7091</v>
      </c>
      <c r="E809" s="243">
        <v>6.56E13</v>
      </c>
      <c r="F809" s="245"/>
      <c r="G809" s="235" t="s">
        <v>7092</v>
      </c>
      <c r="H809" s="235" t="s">
        <v>7093</v>
      </c>
      <c r="I809" s="235" t="s">
        <v>7093</v>
      </c>
      <c r="J809" s="235" t="s">
        <v>7094</v>
      </c>
      <c r="K809" s="235" t="s">
        <v>7095</v>
      </c>
      <c r="N809" s="235" t="s">
        <v>99</v>
      </c>
      <c r="O809" s="235" t="s">
        <v>470</v>
      </c>
      <c r="P809" s="238">
        <v>1.0</v>
      </c>
      <c r="Q809" s="235" t="s">
        <v>627</v>
      </c>
      <c r="R809" s="238">
        <v>246.66</v>
      </c>
      <c r="S809" s="238">
        <v>12.34</v>
      </c>
      <c r="T809" s="238">
        <v>0.0</v>
      </c>
      <c r="U809" s="238">
        <v>0.0</v>
      </c>
      <c r="V809" s="238">
        <v>0.0</v>
      </c>
      <c r="W809" s="238">
        <v>0.0</v>
      </c>
      <c r="X809" s="235" t="s">
        <v>628</v>
      </c>
      <c r="Z809" s="244"/>
      <c r="AA809" s="244"/>
      <c r="AB809" s="244"/>
      <c r="AC809" s="235" t="s">
        <v>2236</v>
      </c>
      <c r="AD809" s="235" t="s">
        <v>666</v>
      </c>
      <c r="AE809" s="238">
        <v>641004.0</v>
      </c>
      <c r="AF809" s="235" t="s">
        <v>631</v>
      </c>
      <c r="AG809" s="244"/>
      <c r="AH809" s="244"/>
      <c r="AI809" s="245"/>
      <c r="AJ809" s="245"/>
      <c r="AK809" s="245"/>
      <c r="AL809" s="245"/>
      <c r="AM809" s="244"/>
      <c r="AN809" s="244"/>
      <c r="AO809" s="238">
        <v>0.0</v>
      </c>
      <c r="AP809" s="238">
        <v>0.0</v>
      </c>
      <c r="AQ809" s="235" t="s">
        <v>632</v>
      </c>
      <c r="AR809" s="243">
        <v>1.68E11</v>
      </c>
      <c r="AS809" s="235" t="s">
        <v>6608</v>
      </c>
      <c r="AT809" s="235" t="s">
        <v>155</v>
      </c>
      <c r="AU809" s="235" t="s">
        <v>634</v>
      </c>
      <c r="AV809" s="246" t="s">
        <v>635</v>
      </c>
      <c r="AW809" s="242"/>
      <c r="AX809" s="242"/>
      <c r="AY809" s="231"/>
      <c r="AZ809" s="231"/>
      <c r="BA809" s="227"/>
      <c r="BB809" s="231"/>
      <c r="BC809" s="227"/>
      <c r="BD809" s="227"/>
      <c r="BE809" s="227"/>
      <c r="BF809" s="227"/>
    </row>
    <row r="810">
      <c r="A810" s="235" t="s">
        <v>7096</v>
      </c>
      <c r="C810" s="235" t="s">
        <v>7097</v>
      </c>
      <c r="D810" s="235" t="s">
        <v>7098</v>
      </c>
      <c r="E810" s="243">
        <v>6.56E13</v>
      </c>
      <c r="F810" s="245"/>
      <c r="G810" s="235" t="s">
        <v>7099</v>
      </c>
      <c r="H810" s="235" t="s">
        <v>7100</v>
      </c>
      <c r="I810" s="235" t="s">
        <v>7100</v>
      </c>
      <c r="J810" s="235" t="s">
        <v>7101</v>
      </c>
      <c r="K810" s="235" t="s">
        <v>7102</v>
      </c>
      <c r="N810" s="235" t="s">
        <v>50</v>
      </c>
      <c r="O810" s="235" t="s">
        <v>367</v>
      </c>
      <c r="P810" s="238">
        <v>1.0</v>
      </c>
      <c r="Q810" s="235" t="s">
        <v>627</v>
      </c>
      <c r="R810" s="238">
        <v>237.14</v>
      </c>
      <c r="S810" s="238">
        <v>11.86</v>
      </c>
      <c r="T810" s="238">
        <v>0.0</v>
      </c>
      <c r="U810" s="238">
        <v>0.0</v>
      </c>
      <c r="V810" s="238">
        <v>0.0</v>
      </c>
      <c r="W810" s="238">
        <v>0.0</v>
      </c>
      <c r="X810" s="235" t="s">
        <v>628</v>
      </c>
      <c r="Z810" s="244"/>
      <c r="AA810" s="244"/>
      <c r="AB810" s="244"/>
      <c r="AC810" s="235" t="s">
        <v>7103</v>
      </c>
      <c r="AD810" s="235" t="s">
        <v>645</v>
      </c>
      <c r="AE810" s="238">
        <v>680561.0</v>
      </c>
      <c r="AF810" s="235" t="s">
        <v>631</v>
      </c>
      <c r="AG810" s="244"/>
      <c r="AH810" s="244"/>
      <c r="AI810" s="245"/>
      <c r="AJ810" s="245"/>
      <c r="AK810" s="245"/>
      <c r="AL810" s="245"/>
      <c r="AM810" s="244"/>
      <c r="AN810" s="244"/>
      <c r="AO810" s="238">
        <v>0.0</v>
      </c>
      <c r="AP810" s="238">
        <v>0.0</v>
      </c>
      <c r="AQ810" s="235" t="s">
        <v>632</v>
      </c>
      <c r="AR810" s="243">
        <v>3.71E11</v>
      </c>
      <c r="AS810" s="235" t="s">
        <v>6164</v>
      </c>
      <c r="AT810" s="235" t="s">
        <v>155</v>
      </c>
      <c r="AU810" s="235" t="s">
        <v>634</v>
      </c>
      <c r="AV810" s="246" t="s">
        <v>635</v>
      </c>
      <c r="AW810" s="242"/>
      <c r="AX810" s="242"/>
      <c r="AY810" s="231"/>
      <c r="AZ810" s="231"/>
      <c r="BA810" s="227"/>
      <c r="BB810" s="231"/>
      <c r="BC810" s="227"/>
      <c r="BD810" s="227"/>
      <c r="BE810" s="227"/>
      <c r="BF810" s="227"/>
    </row>
    <row r="811">
      <c r="A811" s="235" t="s">
        <v>7104</v>
      </c>
      <c r="C811" s="235" t="s">
        <v>7105</v>
      </c>
      <c r="D811" s="235" t="s">
        <v>7106</v>
      </c>
      <c r="E811" s="243">
        <v>6.56E13</v>
      </c>
      <c r="F811" s="245"/>
      <c r="G811" s="235" t="s">
        <v>7107</v>
      </c>
      <c r="H811" s="235" t="s">
        <v>7108</v>
      </c>
      <c r="I811" s="235" t="s">
        <v>7108</v>
      </c>
      <c r="J811" s="235" t="s">
        <v>7109</v>
      </c>
      <c r="K811" s="235" t="s">
        <v>7110</v>
      </c>
      <c r="N811" s="235" t="s">
        <v>51</v>
      </c>
      <c r="O811" s="235" t="s">
        <v>273</v>
      </c>
      <c r="P811" s="238">
        <v>1.0</v>
      </c>
      <c r="Q811" s="235" t="s">
        <v>627</v>
      </c>
      <c r="R811" s="238">
        <v>237.14</v>
      </c>
      <c r="S811" s="238">
        <v>11.86</v>
      </c>
      <c r="T811" s="238">
        <v>0.0</v>
      </c>
      <c r="U811" s="238">
        <v>0.0</v>
      </c>
      <c r="V811" s="238">
        <v>0.0</v>
      </c>
      <c r="W811" s="238">
        <v>0.0</v>
      </c>
      <c r="X811" s="235" t="s">
        <v>628</v>
      </c>
      <c r="Z811" s="244"/>
      <c r="AA811" s="244"/>
      <c r="AB811" s="244"/>
      <c r="AC811" s="235" t="s">
        <v>1671</v>
      </c>
      <c r="AD811" s="235" t="s">
        <v>666</v>
      </c>
      <c r="AE811" s="238">
        <v>641008.0</v>
      </c>
      <c r="AF811" s="235" t="s">
        <v>631</v>
      </c>
      <c r="AG811" s="244"/>
      <c r="AH811" s="244"/>
      <c r="AI811" s="245"/>
      <c r="AJ811" s="245"/>
      <c r="AK811" s="245"/>
      <c r="AL811" s="245"/>
      <c r="AM811" s="244"/>
      <c r="AN811" s="244"/>
      <c r="AO811" s="238">
        <v>0.0</v>
      </c>
      <c r="AP811" s="238">
        <v>0.0</v>
      </c>
      <c r="AQ811" s="235" t="s">
        <v>632</v>
      </c>
      <c r="AR811" s="243">
        <v>3.71E11</v>
      </c>
      <c r="AS811" s="235" t="s">
        <v>6164</v>
      </c>
      <c r="AT811" s="235" t="s">
        <v>155</v>
      </c>
      <c r="AU811" s="235" t="s">
        <v>634</v>
      </c>
      <c r="AV811" s="246" t="s">
        <v>635</v>
      </c>
      <c r="AW811" s="242"/>
      <c r="AX811" s="242"/>
      <c r="AY811" s="231"/>
      <c r="AZ811" s="231"/>
      <c r="BA811" s="227"/>
      <c r="BB811" s="231"/>
      <c r="BC811" s="227"/>
      <c r="BD811" s="227"/>
      <c r="BE811" s="227"/>
      <c r="BF811" s="227"/>
    </row>
    <row r="812">
      <c r="A812" s="235" t="s">
        <v>7111</v>
      </c>
      <c r="C812" s="235" t="s">
        <v>7112</v>
      </c>
      <c r="D812" s="235" t="s">
        <v>7113</v>
      </c>
      <c r="E812" s="243">
        <v>6.56E13</v>
      </c>
      <c r="F812" s="245"/>
      <c r="G812" s="235" t="s">
        <v>7114</v>
      </c>
      <c r="H812" s="235" t="s">
        <v>7115</v>
      </c>
      <c r="I812" s="235" t="s">
        <v>7115</v>
      </c>
      <c r="J812" s="235" t="s">
        <v>7116</v>
      </c>
      <c r="K812" s="235" t="s">
        <v>7117</v>
      </c>
      <c r="N812" s="235" t="s">
        <v>51</v>
      </c>
      <c r="O812" s="235" t="s">
        <v>273</v>
      </c>
      <c r="P812" s="238">
        <v>1.0</v>
      </c>
      <c r="Q812" s="235" t="s">
        <v>627</v>
      </c>
      <c r="R812" s="238">
        <v>237.14</v>
      </c>
      <c r="S812" s="238">
        <v>11.62</v>
      </c>
      <c r="T812" s="238">
        <v>38.1</v>
      </c>
      <c r="U812" s="238">
        <v>1.9</v>
      </c>
      <c r="V812" s="238">
        <v>0.0</v>
      </c>
      <c r="W812" s="238">
        <v>0.0</v>
      </c>
      <c r="X812" s="235" t="s">
        <v>628</v>
      </c>
      <c r="Z812" s="244"/>
      <c r="AA812" s="244"/>
      <c r="AB812" s="244"/>
      <c r="AC812" s="235" t="s">
        <v>7118</v>
      </c>
      <c r="AD812" s="235" t="s">
        <v>833</v>
      </c>
      <c r="AE812" s="238">
        <v>534002.0</v>
      </c>
      <c r="AF812" s="235" t="s">
        <v>631</v>
      </c>
      <c r="AG812" s="244"/>
      <c r="AH812" s="244"/>
      <c r="AI812" s="245"/>
      <c r="AJ812" s="245"/>
      <c r="AK812" s="245"/>
      <c r="AL812" s="245"/>
      <c r="AM812" s="244"/>
      <c r="AN812" s="244"/>
      <c r="AO812" s="238">
        <v>-4.74</v>
      </c>
      <c r="AP812" s="238">
        <v>-38.1</v>
      </c>
      <c r="AQ812" s="235" t="s">
        <v>632</v>
      </c>
      <c r="AR812" s="243">
        <v>3.71E11</v>
      </c>
      <c r="AS812" s="235" t="s">
        <v>3284</v>
      </c>
      <c r="AT812" s="235" t="s">
        <v>156</v>
      </c>
      <c r="AU812" s="235" t="s">
        <v>634</v>
      </c>
      <c r="AV812" s="246" t="s">
        <v>635</v>
      </c>
      <c r="AW812" s="242"/>
      <c r="AX812" s="242"/>
      <c r="AY812" s="231"/>
      <c r="AZ812" s="231"/>
      <c r="BA812" s="227"/>
      <c r="BB812" s="231"/>
      <c r="BC812" s="227"/>
      <c r="BD812" s="227"/>
      <c r="BE812" s="227"/>
      <c r="BF812" s="227"/>
    </row>
    <row r="813">
      <c r="A813" s="235" t="s">
        <v>7119</v>
      </c>
      <c r="C813" s="235" t="s">
        <v>7120</v>
      </c>
      <c r="D813" s="235" t="s">
        <v>7121</v>
      </c>
      <c r="E813" s="243">
        <v>6.56E13</v>
      </c>
      <c r="F813" s="245"/>
      <c r="G813" s="235" t="s">
        <v>7122</v>
      </c>
      <c r="H813" s="235" t="s">
        <v>7123</v>
      </c>
      <c r="I813" s="235" t="s">
        <v>7123</v>
      </c>
      <c r="J813" s="235" t="s">
        <v>7124</v>
      </c>
      <c r="K813" s="235" t="s">
        <v>7125</v>
      </c>
      <c r="N813" s="235" t="s">
        <v>138</v>
      </c>
      <c r="O813" s="235" t="s">
        <v>675</v>
      </c>
      <c r="P813" s="238">
        <v>1.0</v>
      </c>
      <c r="Q813" s="235" t="s">
        <v>627</v>
      </c>
      <c r="R813" s="238">
        <v>246.66</v>
      </c>
      <c r="S813" s="238">
        <v>12.34</v>
      </c>
      <c r="T813" s="238">
        <v>0.0</v>
      </c>
      <c r="U813" s="238">
        <v>0.0</v>
      </c>
      <c r="V813" s="238">
        <v>0.0</v>
      </c>
      <c r="W813" s="238">
        <v>0.0</v>
      </c>
      <c r="X813" s="235" t="s">
        <v>628</v>
      </c>
      <c r="Z813" s="244"/>
      <c r="AA813" s="244"/>
      <c r="AB813" s="244"/>
      <c r="AC813" s="235" t="s">
        <v>687</v>
      </c>
      <c r="AD813" s="235" t="s">
        <v>666</v>
      </c>
      <c r="AE813" s="238">
        <v>600013.0</v>
      </c>
      <c r="AF813" s="235" t="s">
        <v>631</v>
      </c>
      <c r="AG813" s="244"/>
      <c r="AH813" s="244"/>
      <c r="AI813" s="245"/>
      <c r="AJ813" s="245"/>
      <c r="AK813" s="245"/>
      <c r="AL813" s="245"/>
      <c r="AM813" s="244"/>
      <c r="AN813" s="244"/>
      <c r="AO813" s="238">
        <v>0.0</v>
      </c>
      <c r="AP813" s="238">
        <v>0.0</v>
      </c>
      <c r="AQ813" s="235" t="s">
        <v>632</v>
      </c>
      <c r="AR813" s="243">
        <v>1.68E11</v>
      </c>
      <c r="AS813" s="235" t="s">
        <v>6608</v>
      </c>
      <c r="AT813" s="235" t="s">
        <v>156</v>
      </c>
      <c r="AU813" s="235" t="s">
        <v>634</v>
      </c>
      <c r="AV813" s="246" t="s">
        <v>635</v>
      </c>
      <c r="AW813" s="242"/>
      <c r="AX813" s="242"/>
      <c r="AY813" s="231"/>
      <c r="AZ813" s="231"/>
      <c r="BA813" s="227"/>
      <c r="BB813" s="231"/>
      <c r="BC813" s="227"/>
      <c r="BD813" s="227"/>
      <c r="BE813" s="227"/>
      <c r="BF813" s="227"/>
    </row>
    <row r="814">
      <c r="A814" s="235" t="s">
        <v>7126</v>
      </c>
      <c r="C814" s="235" t="s">
        <v>7127</v>
      </c>
      <c r="D814" s="235" t="s">
        <v>7128</v>
      </c>
      <c r="E814" s="243">
        <v>6.56E13</v>
      </c>
      <c r="F814" s="245"/>
      <c r="G814" s="235" t="s">
        <v>7129</v>
      </c>
      <c r="H814" s="235" t="s">
        <v>7130</v>
      </c>
      <c r="I814" s="235" t="s">
        <v>7130</v>
      </c>
      <c r="J814" s="235" t="s">
        <v>7131</v>
      </c>
      <c r="K814" s="235" t="s">
        <v>7132</v>
      </c>
      <c r="N814" s="235" t="s">
        <v>842</v>
      </c>
      <c r="O814" s="235" t="s">
        <v>843</v>
      </c>
      <c r="P814" s="238">
        <v>1.0</v>
      </c>
      <c r="Q814" s="235" t="s">
        <v>627</v>
      </c>
      <c r="R814" s="238">
        <v>246.67</v>
      </c>
      <c r="S814" s="238">
        <v>12.33</v>
      </c>
      <c r="T814" s="238">
        <v>0.0</v>
      </c>
      <c r="U814" s="238">
        <v>0.0</v>
      </c>
      <c r="V814" s="238">
        <v>0.0</v>
      </c>
      <c r="W814" s="238">
        <v>0.0</v>
      </c>
      <c r="X814" s="235" t="s">
        <v>628</v>
      </c>
      <c r="Z814" s="244"/>
      <c r="AA814" s="244"/>
      <c r="AB814" s="244"/>
      <c r="AC814" s="235" t="s">
        <v>1279</v>
      </c>
      <c r="AD814" s="235" t="s">
        <v>917</v>
      </c>
      <c r="AE814" s="238">
        <v>302004.0</v>
      </c>
      <c r="AF814" s="235" t="s">
        <v>631</v>
      </c>
      <c r="AG814" s="244"/>
      <c r="AH814" s="244"/>
      <c r="AI814" s="245"/>
      <c r="AJ814" s="245"/>
      <c r="AK814" s="245"/>
      <c r="AL814" s="245"/>
      <c r="AM814" s="244"/>
      <c r="AN814" s="244"/>
      <c r="AO814" s="238">
        <v>0.0</v>
      </c>
      <c r="AP814" s="238">
        <v>0.0</v>
      </c>
      <c r="AQ814" s="235" t="s">
        <v>632</v>
      </c>
      <c r="AR814" s="243">
        <v>1.68E11</v>
      </c>
      <c r="AS814" s="235" t="s">
        <v>6164</v>
      </c>
      <c r="AT814" s="235" t="s">
        <v>14</v>
      </c>
      <c r="AU814" s="235" t="s">
        <v>634</v>
      </c>
      <c r="AV814" s="246" t="s">
        <v>635</v>
      </c>
      <c r="AW814" s="242"/>
      <c r="AX814" s="242"/>
      <c r="AY814" s="231"/>
      <c r="AZ814" s="231"/>
      <c r="BA814" s="227"/>
      <c r="BB814" s="231"/>
      <c r="BC814" s="227"/>
      <c r="BD814" s="227"/>
      <c r="BE814" s="227"/>
      <c r="BF814" s="227"/>
    </row>
    <row r="815">
      <c r="A815" s="235" t="s">
        <v>7133</v>
      </c>
      <c r="C815" s="235" t="s">
        <v>7134</v>
      </c>
      <c r="D815" s="235" t="s">
        <v>7135</v>
      </c>
      <c r="E815" s="243">
        <v>6.56E13</v>
      </c>
      <c r="F815" s="245"/>
      <c r="G815" s="235" t="s">
        <v>7136</v>
      </c>
      <c r="H815" s="235" t="s">
        <v>7137</v>
      </c>
      <c r="I815" s="235" t="s">
        <v>7137</v>
      </c>
      <c r="J815" s="235" t="s">
        <v>7138</v>
      </c>
      <c r="K815" s="235" t="s">
        <v>7139</v>
      </c>
      <c r="N815" s="235" t="s">
        <v>141</v>
      </c>
      <c r="O815" s="235" t="s">
        <v>342</v>
      </c>
      <c r="P815" s="238">
        <v>1.0</v>
      </c>
      <c r="Q815" s="235" t="s">
        <v>627</v>
      </c>
      <c r="R815" s="238">
        <v>246.67</v>
      </c>
      <c r="S815" s="238">
        <v>12.33</v>
      </c>
      <c r="T815" s="238">
        <v>38.1</v>
      </c>
      <c r="U815" s="238">
        <v>1.9</v>
      </c>
      <c r="V815" s="238">
        <v>0.0</v>
      </c>
      <c r="W815" s="238">
        <v>0.0</v>
      </c>
      <c r="X815" s="235" t="s">
        <v>628</v>
      </c>
      <c r="Z815" s="244"/>
      <c r="AA815" s="244"/>
      <c r="AB815" s="244"/>
      <c r="AC815" s="235" t="s">
        <v>1255</v>
      </c>
      <c r="AD815" s="235" t="s">
        <v>845</v>
      </c>
      <c r="AE815" s="238">
        <v>400607.0</v>
      </c>
      <c r="AF815" s="235" t="s">
        <v>631</v>
      </c>
      <c r="AG815" s="244"/>
      <c r="AH815" s="244"/>
      <c r="AI815" s="245"/>
      <c r="AJ815" s="245"/>
      <c r="AK815" s="245"/>
      <c r="AL815" s="245"/>
      <c r="AM815" s="244"/>
      <c r="AN815" s="244"/>
      <c r="AO815" s="238">
        <v>0.0</v>
      </c>
      <c r="AP815" s="238">
        <v>-38.1</v>
      </c>
      <c r="AQ815" s="235" t="s">
        <v>1356</v>
      </c>
      <c r="AR815" s="247" t="s">
        <v>7140</v>
      </c>
      <c r="AS815" s="235" t="s">
        <v>656</v>
      </c>
      <c r="AT815" s="235" t="s">
        <v>5</v>
      </c>
      <c r="AU815" s="235" t="s">
        <v>634</v>
      </c>
      <c r="AV815" s="246" t="s">
        <v>635</v>
      </c>
      <c r="AW815" s="242"/>
      <c r="AX815" s="242"/>
      <c r="AY815" s="231"/>
      <c r="AZ815" s="231"/>
      <c r="BA815" s="227"/>
      <c r="BB815" s="231"/>
      <c r="BC815" s="227"/>
      <c r="BD815" s="227"/>
      <c r="BE815" s="227"/>
      <c r="BF815" s="227"/>
    </row>
    <row r="816">
      <c r="A816" s="235" t="s">
        <v>7141</v>
      </c>
      <c r="C816" s="235" t="s">
        <v>7142</v>
      </c>
      <c r="D816" s="235" t="s">
        <v>7143</v>
      </c>
      <c r="E816" s="243">
        <v>6.56E13</v>
      </c>
      <c r="F816" s="245"/>
      <c r="G816" s="235" t="s">
        <v>7144</v>
      </c>
      <c r="H816" s="235" t="s">
        <v>7145</v>
      </c>
      <c r="I816" s="235" t="s">
        <v>7145</v>
      </c>
      <c r="J816" s="235" t="s">
        <v>7146</v>
      </c>
      <c r="K816" s="235" t="s">
        <v>7147</v>
      </c>
      <c r="N816" s="235" t="s">
        <v>962</v>
      </c>
      <c r="O816" s="235" t="s">
        <v>963</v>
      </c>
      <c r="P816" s="238">
        <v>1.0</v>
      </c>
      <c r="Q816" s="235" t="s">
        <v>627</v>
      </c>
      <c r="R816" s="238">
        <v>246.66</v>
      </c>
      <c r="S816" s="238">
        <v>12.34</v>
      </c>
      <c r="T816" s="238">
        <v>9.04</v>
      </c>
      <c r="U816" s="238">
        <v>0.46</v>
      </c>
      <c r="V816" s="238">
        <v>0.0</v>
      </c>
      <c r="W816" s="238">
        <v>0.0</v>
      </c>
      <c r="X816" s="235" t="s">
        <v>628</v>
      </c>
      <c r="Z816" s="244"/>
      <c r="AA816" s="244"/>
      <c r="AB816" s="244"/>
      <c r="AC816" s="235" t="s">
        <v>1255</v>
      </c>
      <c r="AD816" s="235" t="s">
        <v>845</v>
      </c>
      <c r="AE816" s="238">
        <v>401107.0</v>
      </c>
      <c r="AF816" s="235" t="s">
        <v>631</v>
      </c>
      <c r="AG816" s="244"/>
      <c r="AH816" s="244"/>
      <c r="AI816" s="245"/>
      <c r="AJ816" s="245"/>
      <c r="AK816" s="245"/>
      <c r="AL816" s="245"/>
      <c r="AM816" s="244"/>
      <c r="AN816" s="244"/>
      <c r="AO816" s="238">
        <v>0.0</v>
      </c>
      <c r="AP816" s="238">
        <v>-9.04</v>
      </c>
      <c r="AQ816" s="235" t="s">
        <v>632</v>
      </c>
      <c r="AR816" s="243">
        <v>1.68E11</v>
      </c>
      <c r="AS816" s="235" t="s">
        <v>6608</v>
      </c>
      <c r="AT816" s="235" t="s">
        <v>17</v>
      </c>
      <c r="AU816" s="235" t="s">
        <v>634</v>
      </c>
      <c r="AV816" s="246" t="s">
        <v>635</v>
      </c>
      <c r="AW816" s="242"/>
      <c r="AX816" s="242"/>
      <c r="AY816" s="231"/>
      <c r="AZ816" s="231"/>
      <c r="BA816" s="227"/>
      <c r="BB816" s="231"/>
      <c r="BC816" s="227"/>
      <c r="BD816" s="227"/>
      <c r="BE816" s="227"/>
      <c r="BF816" s="227"/>
    </row>
    <row r="817">
      <c r="A817" s="235" t="s">
        <v>7150</v>
      </c>
      <c r="C817" s="235" t="s">
        <v>7151</v>
      </c>
      <c r="D817" s="235" t="s">
        <v>7152</v>
      </c>
      <c r="E817" s="243">
        <v>6.56E13</v>
      </c>
      <c r="F817" s="245"/>
      <c r="G817" s="235" t="s">
        <v>7153</v>
      </c>
      <c r="H817" s="235" t="s">
        <v>7154</v>
      </c>
      <c r="I817" s="235" t="s">
        <v>7154</v>
      </c>
      <c r="J817" s="235" t="s">
        <v>7155</v>
      </c>
      <c r="K817" s="235" t="s">
        <v>7156</v>
      </c>
      <c r="N817" s="235" t="s">
        <v>138</v>
      </c>
      <c r="O817" s="235" t="s">
        <v>675</v>
      </c>
      <c r="P817" s="238">
        <v>1.0</v>
      </c>
      <c r="Q817" s="235" t="s">
        <v>627</v>
      </c>
      <c r="R817" s="238">
        <v>246.67</v>
      </c>
      <c r="S817" s="238">
        <v>12.33</v>
      </c>
      <c r="T817" s="238">
        <v>0.0</v>
      </c>
      <c r="U817" s="238">
        <v>0.0</v>
      </c>
      <c r="V817" s="238">
        <v>0.0</v>
      </c>
      <c r="W817" s="238">
        <v>0.0</v>
      </c>
      <c r="X817" s="235" t="s">
        <v>628</v>
      </c>
      <c r="Z817" s="244"/>
      <c r="AA817" s="244"/>
      <c r="AB817" s="244"/>
      <c r="AC817" s="235" t="s">
        <v>795</v>
      </c>
      <c r="AD817" s="235" t="s">
        <v>796</v>
      </c>
      <c r="AE817" s="238">
        <v>110006.0</v>
      </c>
      <c r="AF817" s="235" t="s">
        <v>631</v>
      </c>
      <c r="AG817" s="244"/>
      <c r="AH817" s="244"/>
      <c r="AI817" s="245"/>
      <c r="AJ817" s="245"/>
      <c r="AK817" s="245"/>
      <c r="AL817" s="245"/>
      <c r="AM817" s="244"/>
      <c r="AN817" s="244"/>
      <c r="AO817" s="238">
        <v>0.0</v>
      </c>
      <c r="AP817" s="238">
        <v>0.0</v>
      </c>
      <c r="AQ817" s="235" t="s">
        <v>632</v>
      </c>
      <c r="AR817" s="243">
        <v>3.71E11</v>
      </c>
      <c r="AS817" s="235" t="s">
        <v>6164</v>
      </c>
      <c r="AT817" s="235" t="s">
        <v>533</v>
      </c>
      <c r="AU817" s="235" t="s">
        <v>634</v>
      </c>
      <c r="AV817" s="246" t="s">
        <v>635</v>
      </c>
      <c r="AW817" s="242"/>
      <c r="AX817" s="242"/>
      <c r="AY817" s="231"/>
      <c r="AZ817" s="231"/>
      <c r="BA817" s="227"/>
      <c r="BB817" s="231"/>
      <c r="BC817" s="227"/>
      <c r="BD817" s="227"/>
      <c r="BE817" s="227"/>
      <c r="BF817" s="227"/>
    </row>
    <row r="818">
      <c r="A818" s="235" t="s">
        <v>7157</v>
      </c>
      <c r="C818" s="235" t="s">
        <v>7158</v>
      </c>
      <c r="D818" s="235" t="s">
        <v>7159</v>
      </c>
      <c r="E818" s="243">
        <v>6.56E13</v>
      </c>
      <c r="F818" s="245"/>
      <c r="G818" s="235" t="s">
        <v>7160</v>
      </c>
      <c r="H818" s="235" t="s">
        <v>7161</v>
      </c>
      <c r="I818" s="235" t="s">
        <v>7161</v>
      </c>
      <c r="J818" s="235" t="s">
        <v>7162</v>
      </c>
      <c r="K818" s="235" t="s">
        <v>7163</v>
      </c>
      <c r="N818" s="235" t="s">
        <v>1646</v>
      </c>
      <c r="O818" s="235" t="s">
        <v>1647</v>
      </c>
      <c r="P818" s="238">
        <v>1.0</v>
      </c>
      <c r="Q818" s="235" t="s">
        <v>627</v>
      </c>
      <c r="R818" s="238">
        <v>270.48</v>
      </c>
      <c r="S818" s="238">
        <v>13.52</v>
      </c>
      <c r="T818" s="238">
        <v>9.04</v>
      </c>
      <c r="U818" s="238">
        <v>0.46</v>
      </c>
      <c r="V818" s="238">
        <v>0.0</v>
      </c>
      <c r="W818" s="238">
        <v>0.0</v>
      </c>
      <c r="X818" s="235" t="s">
        <v>628</v>
      </c>
      <c r="Z818" s="244"/>
      <c r="AA818" s="244"/>
      <c r="AB818" s="244"/>
      <c r="AC818" s="235" t="s">
        <v>7164</v>
      </c>
      <c r="AD818" s="235" t="s">
        <v>845</v>
      </c>
      <c r="AE818" s="238">
        <v>400607.0</v>
      </c>
      <c r="AF818" s="235" t="s">
        <v>631</v>
      </c>
      <c r="AG818" s="244"/>
      <c r="AH818" s="244"/>
      <c r="AI818" s="245"/>
      <c r="AJ818" s="245"/>
      <c r="AK818" s="245"/>
      <c r="AL818" s="245"/>
      <c r="AM818" s="244"/>
      <c r="AN818" s="244"/>
      <c r="AO818" s="238">
        <v>0.0</v>
      </c>
      <c r="AP818" s="238">
        <v>-9.04</v>
      </c>
      <c r="AQ818" s="235" t="s">
        <v>632</v>
      </c>
      <c r="AR818" s="243">
        <v>1.68E11</v>
      </c>
      <c r="AS818" s="235" t="s">
        <v>6608</v>
      </c>
      <c r="AT818" s="235" t="s">
        <v>17</v>
      </c>
      <c r="AU818" s="235" t="s">
        <v>634</v>
      </c>
      <c r="AV818" s="246" t="s">
        <v>635</v>
      </c>
      <c r="AW818" s="242"/>
      <c r="AX818" s="242"/>
      <c r="AY818" s="231"/>
      <c r="AZ818" s="231"/>
      <c r="BA818" s="227"/>
      <c r="BB818" s="231"/>
      <c r="BC818" s="227"/>
      <c r="BD818" s="227"/>
      <c r="BE818" s="227"/>
      <c r="BF818" s="227"/>
    </row>
    <row r="819">
      <c r="A819" s="235" t="s">
        <v>7165</v>
      </c>
      <c r="C819" s="235" t="s">
        <v>7166</v>
      </c>
      <c r="D819" s="235" t="s">
        <v>7167</v>
      </c>
      <c r="E819" s="243">
        <v>6.56E13</v>
      </c>
      <c r="F819" s="245"/>
      <c r="G819" s="235" t="s">
        <v>7168</v>
      </c>
      <c r="H819" s="235" t="s">
        <v>7169</v>
      </c>
      <c r="I819" s="235" t="s">
        <v>7170</v>
      </c>
      <c r="J819" s="235" t="s">
        <v>6650</v>
      </c>
      <c r="K819" s="235" t="s">
        <v>7171</v>
      </c>
      <c r="N819" s="235" t="s">
        <v>126</v>
      </c>
      <c r="O819" s="235" t="s">
        <v>407</v>
      </c>
      <c r="P819" s="238">
        <v>1.0</v>
      </c>
      <c r="Q819" s="235" t="s">
        <v>627</v>
      </c>
      <c r="R819" s="238">
        <v>237.14</v>
      </c>
      <c r="S819" s="238">
        <v>11.86</v>
      </c>
      <c r="T819" s="238">
        <v>0.0</v>
      </c>
      <c r="U819" s="238">
        <v>0.0</v>
      </c>
      <c r="V819" s="238">
        <v>0.0</v>
      </c>
      <c r="W819" s="238">
        <v>0.0</v>
      </c>
      <c r="X819" s="235" t="s">
        <v>628</v>
      </c>
      <c r="Z819" s="244"/>
      <c r="AA819" s="244"/>
      <c r="AB819" s="244"/>
      <c r="AC819" s="235" t="s">
        <v>678</v>
      </c>
      <c r="AD819" s="235" t="s">
        <v>679</v>
      </c>
      <c r="AE819" s="238">
        <v>560070.0</v>
      </c>
      <c r="AF819" s="235" t="s">
        <v>631</v>
      </c>
      <c r="AG819" s="244"/>
      <c r="AH819" s="244"/>
      <c r="AI819" s="245"/>
      <c r="AJ819" s="245"/>
      <c r="AK819" s="245"/>
      <c r="AL819" s="245"/>
      <c r="AM819" s="244"/>
      <c r="AN819" s="244"/>
      <c r="AO819" s="238">
        <v>0.0</v>
      </c>
      <c r="AP819" s="238">
        <v>0.0</v>
      </c>
      <c r="AQ819" s="235" t="s">
        <v>632</v>
      </c>
      <c r="AR819" s="243">
        <v>1.68E11</v>
      </c>
      <c r="AS819" s="235" t="s">
        <v>6608</v>
      </c>
      <c r="AT819" s="235" t="s">
        <v>9</v>
      </c>
      <c r="AU819" s="235" t="s">
        <v>634</v>
      </c>
      <c r="AV819" s="246" t="s">
        <v>635</v>
      </c>
      <c r="AW819" s="242"/>
      <c r="AX819" s="242"/>
      <c r="AY819" s="231"/>
      <c r="AZ819" s="231"/>
      <c r="BA819" s="227"/>
      <c r="BB819" s="231"/>
      <c r="BC819" s="227"/>
      <c r="BD819" s="227"/>
      <c r="BE819" s="227"/>
      <c r="BF819" s="227"/>
    </row>
    <row r="820">
      <c r="A820" s="235" t="s">
        <v>7172</v>
      </c>
      <c r="C820" s="235" t="s">
        <v>7173</v>
      </c>
      <c r="D820" s="235" t="s">
        <v>7174</v>
      </c>
      <c r="E820" s="243">
        <v>6.55E13</v>
      </c>
      <c r="F820" s="245"/>
      <c r="G820" s="235" t="s">
        <v>7175</v>
      </c>
      <c r="H820" s="235" t="s">
        <v>7176</v>
      </c>
      <c r="I820" s="235" t="s">
        <v>7176</v>
      </c>
      <c r="J820" s="235" t="s">
        <v>7177</v>
      </c>
      <c r="K820" s="235" t="s">
        <v>7178</v>
      </c>
      <c r="N820" s="235" t="s">
        <v>2848</v>
      </c>
      <c r="O820" s="235" t="s">
        <v>2849</v>
      </c>
      <c r="P820" s="238">
        <v>1.0</v>
      </c>
      <c r="Q820" s="235" t="s">
        <v>627</v>
      </c>
      <c r="R820" s="238">
        <v>246.66</v>
      </c>
      <c r="S820" s="238">
        <v>12.34</v>
      </c>
      <c r="T820" s="238">
        <v>38.1</v>
      </c>
      <c r="U820" s="238">
        <v>1.9</v>
      </c>
      <c r="V820" s="238">
        <v>0.0</v>
      </c>
      <c r="W820" s="238">
        <v>0.0</v>
      </c>
      <c r="X820" s="235" t="s">
        <v>628</v>
      </c>
      <c r="Z820" s="244"/>
      <c r="AA820" s="244"/>
      <c r="AB820" s="244"/>
      <c r="AC820" s="235" t="s">
        <v>7179</v>
      </c>
      <c r="AD820" s="235" t="s">
        <v>845</v>
      </c>
      <c r="AE820" s="238">
        <v>400054.0</v>
      </c>
      <c r="AF820" s="235" t="s">
        <v>631</v>
      </c>
      <c r="AG820" s="244"/>
      <c r="AH820" s="244"/>
      <c r="AI820" s="245"/>
      <c r="AJ820" s="245"/>
      <c r="AK820" s="245"/>
      <c r="AL820" s="245"/>
      <c r="AM820" s="244"/>
      <c r="AN820" s="244"/>
      <c r="AO820" s="238">
        <v>0.0</v>
      </c>
      <c r="AP820" s="238">
        <v>-38.1</v>
      </c>
      <c r="AQ820" s="235" t="s">
        <v>632</v>
      </c>
      <c r="AR820" s="243">
        <v>3.71E11</v>
      </c>
      <c r="AS820" s="235" t="s">
        <v>3284</v>
      </c>
      <c r="AT820" s="235" t="s">
        <v>546</v>
      </c>
      <c r="AU820" s="235" t="s">
        <v>634</v>
      </c>
      <c r="AV820" s="246" t="s">
        <v>635</v>
      </c>
      <c r="AW820" s="242"/>
      <c r="AX820" s="242"/>
      <c r="AY820" s="231"/>
      <c r="AZ820" s="231"/>
      <c r="BA820" s="227"/>
      <c r="BB820" s="231"/>
      <c r="BC820" s="227"/>
      <c r="BD820" s="227"/>
      <c r="BE820" s="227"/>
      <c r="BF820" s="227"/>
    </row>
    <row r="821">
      <c r="A821" s="235" t="s">
        <v>7180</v>
      </c>
      <c r="C821" s="235" t="s">
        <v>7181</v>
      </c>
      <c r="D821" s="235" t="s">
        <v>7182</v>
      </c>
      <c r="E821" s="243">
        <v>6.56E13</v>
      </c>
      <c r="F821" s="245"/>
      <c r="G821" s="235" t="s">
        <v>7183</v>
      </c>
      <c r="H821" s="235" t="s">
        <v>7184</v>
      </c>
      <c r="I821" s="235" t="s">
        <v>7184</v>
      </c>
      <c r="J821" s="235" t="s">
        <v>7185</v>
      </c>
      <c r="K821" s="235" t="s">
        <v>7186</v>
      </c>
      <c r="N821" s="235" t="s">
        <v>962</v>
      </c>
      <c r="O821" s="235" t="s">
        <v>963</v>
      </c>
      <c r="P821" s="238">
        <v>1.0</v>
      </c>
      <c r="Q821" s="235" t="s">
        <v>627</v>
      </c>
      <c r="R821" s="238">
        <v>246.66</v>
      </c>
      <c r="S821" s="238">
        <v>12.34</v>
      </c>
      <c r="T821" s="238">
        <v>0.0</v>
      </c>
      <c r="U821" s="238">
        <v>0.0</v>
      </c>
      <c r="V821" s="238">
        <v>0.0</v>
      </c>
      <c r="W821" s="238">
        <v>0.0</v>
      </c>
      <c r="X821" s="235" t="s">
        <v>628</v>
      </c>
      <c r="Z821" s="244"/>
      <c r="AA821" s="244"/>
      <c r="AB821" s="244"/>
      <c r="AC821" s="235" t="s">
        <v>844</v>
      </c>
      <c r="AD821" s="235" t="s">
        <v>845</v>
      </c>
      <c r="AE821" s="238">
        <v>411014.0</v>
      </c>
      <c r="AF821" s="235" t="s">
        <v>631</v>
      </c>
      <c r="AG821" s="244"/>
      <c r="AH821" s="244"/>
      <c r="AI821" s="245"/>
      <c r="AJ821" s="245"/>
      <c r="AK821" s="245"/>
      <c r="AL821" s="245"/>
      <c r="AM821" s="244"/>
      <c r="AN821" s="244"/>
      <c r="AO821" s="238">
        <v>0.0</v>
      </c>
      <c r="AP821" s="238">
        <v>0.0</v>
      </c>
      <c r="AQ821" s="235" t="s">
        <v>632</v>
      </c>
      <c r="AR821" s="243">
        <v>1.68E11</v>
      </c>
      <c r="AS821" s="235" t="s">
        <v>6164</v>
      </c>
      <c r="AT821" s="235" t="s">
        <v>17</v>
      </c>
      <c r="AU821" s="235" t="s">
        <v>634</v>
      </c>
      <c r="AV821" s="246" t="s">
        <v>635</v>
      </c>
      <c r="AW821" s="242"/>
      <c r="AX821" s="242"/>
      <c r="AY821" s="231"/>
      <c r="AZ821" s="231"/>
      <c r="BA821" s="227"/>
      <c r="BB821" s="231"/>
      <c r="BC821" s="227"/>
      <c r="BD821" s="227"/>
      <c r="BE821" s="227"/>
      <c r="BF821" s="227"/>
    </row>
    <row r="822">
      <c r="A822" s="235" t="s">
        <v>7187</v>
      </c>
      <c r="C822" s="235" t="s">
        <v>7188</v>
      </c>
      <c r="D822" s="235" t="s">
        <v>7189</v>
      </c>
      <c r="E822" s="243">
        <v>6.56E13</v>
      </c>
      <c r="F822" s="245"/>
      <c r="G822" s="235" t="s">
        <v>7190</v>
      </c>
      <c r="H822" s="235" t="s">
        <v>7191</v>
      </c>
      <c r="I822" s="235" t="s">
        <v>7191</v>
      </c>
      <c r="J822" s="235" t="s">
        <v>7192</v>
      </c>
      <c r="K822" s="235" t="s">
        <v>7193</v>
      </c>
      <c r="N822" s="235" t="s">
        <v>92</v>
      </c>
      <c r="O822" s="235" t="s">
        <v>248</v>
      </c>
      <c r="P822" s="238">
        <v>1.0</v>
      </c>
      <c r="Q822" s="235" t="s">
        <v>627</v>
      </c>
      <c r="R822" s="238">
        <v>246.67</v>
      </c>
      <c r="S822" s="238">
        <v>12.33</v>
      </c>
      <c r="T822" s="238">
        <v>38.1</v>
      </c>
      <c r="U822" s="238">
        <v>1.9</v>
      </c>
      <c r="V822" s="238">
        <v>0.0</v>
      </c>
      <c r="W822" s="238">
        <v>0.0</v>
      </c>
      <c r="X822" s="235" t="s">
        <v>628</v>
      </c>
      <c r="Z822" s="244"/>
      <c r="AA822" s="244"/>
      <c r="AB822" s="244"/>
      <c r="AC822" s="235" t="s">
        <v>1671</v>
      </c>
      <c r="AD822" s="235" t="s">
        <v>666</v>
      </c>
      <c r="AE822" s="238">
        <v>641025.0</v>
      </c>
      <c r="AF822" s="235" t="s">
        <v>631</v>
      </c>
      <c r="AG822" s="244"/>
      <c r="AH822" s="244"/>
      <c r="AI822" s="245"/>
      <c r="AJ822" s="245"/>
      <c r="AK822" s="245"/>
      <c r="AL822" s="245"/>
      <c r="AM822" s="244"/>
      <c r="AN822" s="244"/>
      <c r="AO822" s="238">
        <v>0.0</v>
      </c>
      <c r="AP822" s="238">
        <v>-38.1</v>
      </c>
      <c r="AQ822" s="235" t="s">
        <v>632</v>
      </c>
      <c r="AR822" s="243">
        <v>3.71E11</v>
      </c>
      <c r="AS822" s="235" t="s">
        <v>6164</v>
      </c>
      <c r="AT822" s="235" t="s">
        <v>9</v>
      </c>
      <c r="AU822" s="235" t="s">
        <v>634</v>
      </c>
      <c r="AV822" s="246" t="s">
        <v>635</v>
      </c>
      <c r="AW822" s="242"/>
      <c r="AX822" s="242"/>
      <c r="AY822" s="231"/>
      <c r="AZ822" s="231"/>
      <c r="BA822" s="227"/>
      <c r="BB822" s="231"/>
      <c r="BC822" s="227"/>
      <c r="BD822" s="227"/>
      <c r="BE822" s="227"/>
      <c r="BF822" s="227"/>
    </row>
    <row r="823">
      <c r="A823" s="235" t="s">
        <v>7194</v>
      </c>
      <c r="C823" s="235" t="s">
        <v>7195</v>
      </c>
      <c r="D823" s="235" t="s">
        <v>7196</v>
      </c>
      <c r="E823" s="243">
        <v>6.56E13</v>
      </c>
      <c r="F823" s="245"/>
      <c r="G823" s="235" t="s">
        <v>7197</v>
      </c>
      <c r="H823" s="235" t="s">
        <v>7198</v>
      </c>
      <c r="I823" s="235" t="s">
        <v>7198</v>
      </c>
      <c r="J823" s="235" t="s">
        <v>7199</v>
      </c>
      <c r="K823" s="235" t="s">
        <v>7200</v>
      </c>
      <c r="N823" s="235" t="s">
        <v>127</v>
      </c>
      <c r="O823" s="235" t="s">
        <v>794</v>
      </c>
      <c r="P823" s="238">
        <v>1.0</v>
      </c>
      <c r="Q823" s="235" t="s">
        <v>627</v>
      </c>
      <c r="R823" s="238">
        <v>246.66</v>
      </c>
      <c r="S823" s="238">
        <v>12.34</v>
      </c>
      <c r="T823" s="238">
        <v>38.1</v>
      </c>
      <c r="U823" s="238">
        <v>1.9</v>
      </c>
      <c r="V823" s="238">
        <v>0.0</v>
      </c>
      <c r="W823" s="238">
        <v>0.0</v>
      </c>
      <c r="X823" s="235" t="s">
        <v>628</v>
      </c>
      <c r="Z823" s="244"/>
      <c r="AA823" s="244"/>
      <c r="AB823" s="244"/>
      <c r="AC823" s="235" t="s">
        <v>1887</v>
      </c>
      <c r="AD823" s="235" t="s">
        <v>679</v>
      </c>
      <c r="AE823" s="238">
        <v>560076.0</v>
      </c>
      <c r="AF823" s="235" t="s">
        <v>631</v>
      </c>
      <c r="AG823" s="244"/>
      <c r="AH823" s="244"/>
      <c r="AI823" s="245"/>
      <c r="AJ823" s="245"/>
      <c r="AK823" s="245"/>
      <c r="AL823" s="245"/>
      <c r="AM823" s="244"/>
      <c r="AN823" s="244"/>
      <c r="AO823" s="238">
        <v>0.0</v>
      </c>
      <c r="AP823" s="238">
        <v>-38.1</v>
      </c>
      <c r="AQ823" s="235" t="s">
        <v>632</v>
      </c>
      <c r="AR823" s="243">
        <v>3.71E11</v>
      </c>
      <c r="AS823" s="235" t="s">
        <v>6164</v>
      </c>
      <c r="AT823" s="235" t="s">
        <v>11</v>
      </c>
      <c r="AU823" s="235" t="s">
        <v>634</v>
      </c>
      <c r="AV823" s="246" t="s">
        <v>635</v>
      </c>
      <c r="AW823" s="242"/>
      <c r="AX823" s="242"/>
      <c r="AY823" s="231"/>
      <c r="AZ823" s="231"/>
      <c r="BA823" s="227"/>
      <c r="BB823" s="231"/>
      <c r="BC823" s="227"/>
      <c r="BD823" s="227"/>
      <c r="BE823" s="227"/>
      <c r="BF823" s="227"/>
    </row>
    <row r="824">
      <c r="A824" s="235" t="s">
        <v>7201</v>
      </c>
      <c r="C824" s="235" t="s">
        <v>7202</v>
      </c>
      <c r="D824" s="235" t="s">
        <v>7203</v>
      </c>
      <c r="E824" s="243">
        <v>6.56E13</v>
      </c>
      <c r="F824" s="245"/>
      <c r="G824" s="235" t="s">
        <v>7204</v>
      </c>
      <c r="H824" s="235" t="s">
        <v>7205</v>
      </c>
      <c r="I824" s="235" t="s">
        <v>7205</v>
      </c>
      <c r="J824" s="235" t="s">
        <v>7206</v>
      </c>
      <c r="K824" s="235" t="s">
        <v>7207</v>
      </c>
      <c r="N824" s="235" t="s">
        <v>12</v>
      </c>
      <c r="O824" s="235" t="s">
        <v>804</v>
      </c>
      <c r="P824" s="238">
        <v>1.0</v>
      </c>
      <c r="Q824" s="235" t="s">
        <v>627</v>
      </c>
      <c r="R824" s="238">
        <v>265.71</v>
      </c>
      <c r="S824" s="238">
        <v>13.29</v>
      </c>
      <c r="T824" s="238">
        <v>0.0</v>
      </c>
      <c r="U824" s="238">
        <v>0.0</v>
      </c>
      <c r="V824" s="238">
        <v>0.0</v>
      </c>
      <c r="W824" s="238">
        <v>0.0</v>
      </c>
      <c r="X824" s="235" t="s">
        <v>628</v>
      </c>
      <c r="Z824" s="244"/>
      <c r="AA824" s="244"/>
      <c r="AB824" s="244"/>
      <c r="AC824" s="235" t="s">
        <v>2057</v>
      </c>
      <c r="AD824" s="235" t="s">
        <v>698</v>
      </c>
      <c r="AE824" s="238">
        <v>500110.0</v>
      </c>
      <c r="AF824" s="235" t="s">
        <v>631</v>
      </c>
      <c r="AG824" s="244"/>
      <c r="AH824" s="244"/>
      <c r="AI824" s="245"/>
      <c r="AJ824" s="245"/>
      <c r="AK824" s="245"/>
      <c r="AL824" s="245"/>
      <c r="AM824" s="244"/>
      <c r="AN824" s="244"/>
      <c r="AO824" s="238">
        <v>0.0</v>
      </c>
      <c r="AP824" s="238">
        <v>0.0</v>
      </c>
      <c r="AQ824" s="235" t="s">
        <v>632</v>
      </c>
      <c r="AR824" s="243">
        <v>2.02E11</v>
      </c>
      <c r="AS824" s="235" t="s">
        <v>6164</v>
      </c>
      <c r="AT824" s="235" t="s">
        <v>9</v>
      </c>
      <c r="AU824" s="235" t="s">
        <v>634</v>
      </c>
      <c r="AV824" s="246" t="s">
        <v>635</v>
      </c>
      <c r="AW824" s="242"/>
      <c r="AX824" s="242"/>
      <c r="AY824" s="231"/>
      <c r="AZ824" s="231"/>
      <c r="BA824" s="227"/>
      <c r="BB824" s="231"/>
      <c r="BC824" s="227"/>
      <c r="BD824" s="227"/>
      <c r="BE824" s="227"/>
      <c r="BF824" s="227"/>
    </row>
    <row r="825">
      <c r="A825" s="235" t="s">
        <v>7208</v>
      </c>
      <c r="C825" s="235" t="s">
        <v>7209</v>
      </c>
      <c r="D825" s="235" t="s">
        <v>7210</v>
      </c>
      <c r="E825" s="243">
        <v>6.56E13</v>
      </c>
      <c r="F825" s="245"/>
      <c r="G825" s="235" t="s">
        <v>7211</v>
      </c>
      <c r="H825" s="235" t="s">
        <v>7212</v>
      </c>
      <c r="I825" s="235" t="s">
        <v>7212</v>
      </c>
      <c r="J825" s="235" t="s">
        <v>7213</v>
      </c>
      <c r="K825" s="235" t="s">
        <v>7214</v>
      </c>
      <c r="N825" s="235" t="s">
        <v>144</v>
      </c>
      <c r="O825" s="235" t="s">
        <v>232</v>
      </c>
      <c r="P825" s="238">
        <v>1.0</v>
      </c>
      <c r="Q825" s="235" t="s">
        <v>627</v>
      </c>
      <c r="R825" s="238">
        <v>665.71</v>
      </c>
      <c r="S825" s="238">
        <v>33.29</v>
      </c>
      <c r="T825" s="238">
        <v>38.1</v>
      </c>
      <c r="U825" s="238">
        <v>1.9</v>
      </c>
      <c r="V825" s="238">
        <v>0.0</v>
      </c>
      <c r="W825" s="238">
        <v>0.0</v>
      </c>
      <c r="X825" s="235" t="s">
        <v>628</v>
      </c>
      <c r="Z825" s="244"/>
      <c r="AA825" s="244"/>
      <c r="AB825" s="244"/>
      <c r="AC825" s="235" t="s">
        <v>7215</v>
      </c>
      <c r="AD825" s="235" t="s">
        <v>630</v>
      </c>
      <c r="AE825" s="238">
        <v>230144.0</v>
      </c>
      <c r="AF825" s="235" t="s">
        <v>631</v>
      </c>
      <c r="AG825" s="244"/>
      <c r="AH825" s="244"/>
      <c r="AI825" s="245"/>
      <c r="AJ825" s="245"/>
      <c r="AK825" s="245"/>
      <c r="AL825" s="245"/>
      <c r="AM825" s="244"/>
      <c r="AN825" s="244"/>
      <c r="AO825" s="238">
        <v>0.0</v>
      </c>
      <c r="AP825" s="238">
        <v>-38.1</v>
      </c>
      <c r="AQ825" s="235" t="s">
        <v>632</v>
      </c>
      <c r="AR825" s="243">
        <v>3.71E11</v>
      </c>
      <c r="AS825" s="235" t="s">
        <v>2276</v>
      </c>
      <c r="AT825" s="235" t="s">
        <v>14</v>
      </c>
      <c r="AU825" s="235" t="s">
        <v>634</v>
      </c>
      <c r="AV825" s="246" t="s">
        <v>635</v>
      </c>
      <c r="AW825" s="242"/>
      <c r="AX825" s="242"/>
      <c r="AY825" s="231"/>
      <c r="AZ825" s="231"/>
      <c r="BA825" s="227"/>
      <c r="BB825" s="231"/>
      <c r="BC825" s="227"/>
      <c r="BD825" s="227"/>
      <c r="BE825" s="227"/>
      <c r="BF825" s="227"/>
    </row>
    <row r="826">
      <c r="A826" s="235" t="s">
        <v>7216</v>
      </c>
      <c r="C826" s="235" t="s">
        <v>7217</v>
      </c>
      <c r="D826" s="235" t="s">
        <v>7218</v>
      </c>
      <c r="E826" s="243">
        <v>6.56E13</v>
      </c>
      <c r="F826" s="245"/>
      <c r="G826" s="235" t="s">
        <v>7219</v>
      </c>
      <c r="H826" s="235" t="s">
        <v>7220</v>
      </c>
      <c r="I826" s="235" t="s">
        <v>7220</v>
      </c>
      <c r="J826" s="235" t="s">
        <v>7221</v>
      </c>
      <c r="K826" s="235" t="s">
        <v>7222</v>
      </c>
      <c r="N826" s="235" t="s">
        <v>85</v>
      </c>
      <c r="O826" s="235" t="s">
        <v>872</v>
      </c>
      <c r="P826" s="238">
        <v>1.0</v>
      </c>
      <c r="Q826" s="235" t="s">
        <v>627</v>
      </c>
      <c r="R826" s="238">
        <v>246.67</v>
      </c>
      <c r="S826" s="238">
        <v>12.33</v>
      </c>
      <c r="T826" s="238">
        <v>38.1</v>
      </c>
      <c r="U826" s="238">
        <v>1.9</v>
      </c>
      <c r="V826" s="238">
        <v>0.0</v>
      </c>
      <c r="W826" s="238">
        <v>0.0</v>
      </c>
      <c r="X826" s="235" t="s">
        <v>628</v>
      </c>
      <c r="Z826" s="244"/>
      <c r="AA826" s="244"/>
      <c r="AB826" s="244"/>
      <c r="AC826" s="235" t="s">
        <v>7223</v>
      </c>
      <c r="AD826" s="235" t="s">
        <v>731</v>
      </c>
      <c r="AE826" s="238">
        <v>788025.0</v>
      </c>
      <c r="AF826" s="235" t="s">
        <v>631</v>
      </c>
      <c r="AG826" s="244"/>
      <c r="AH826" s="244"/>
      <c r="AI826" s="245"/>
      <c r="AJ826" s="245"/>
      <c r="AK826" s="245"/>
      <c r="AL826" s="245"/>
      <c r="AM826" s="244"/>
      <c r="AN826" s="244"/>
      <c r="AO826" s="238">
        <v>0.0</v>
      </c>
      <c r="AP826" s="238">
        <v>-38.1</v>
      </c>
      <c r="AQ826" s="235" t="s">
        <v>632</v>
      </c>
      <c r="AR826" s="243">
        <v>3.71E11</v>
      </c>
      <c r="AS826" s="235" t="s">
        <v>656</v>
      </c>
      <c r="AT826" s="235" t="s">
        <v>13</v>
      </c>
      <c r="AU826" s="235" t="s">
        <v>634</v>
      </c>
      <c r="AV826" s="246" t="s">
        <v>635</v>
      </c>
      <c r="AW826" s="242"/>
      <c r="AX826" s="242"/>
      <c r="AY826" s="231"/>
      <c r="AZ826" s="231"/>
      <c r="BA826" s="227"/>
      <c r="BB826" s="231"/>
      <c r="BC826" s="227"/>
      <c r="BD826" s="227"/>
      <c r="BE826" s="227"/>
      <c r="BF826" s="227"/>
    </row>
    <row r="827">
      <c r="A827" s="235" t="s">
        <v>7224</v>
      </c>
      <c r="C827" s="235" t="s">
        <v>7225</v>
      </c>
      <c r="D827" s="235" t="s">
        <v>7226</v>
      </c>
      <c r="E827" s="243">
        <v>6.56E13</v>
      </c>
      <c r="F827" s="245"/>
      <c r="G827" s="235" t="s">
        <v>7227</v>
      </c>
      <c r="H827" s="235" t="s">
        <v>7228</v>
      </c>
      <c r="I827" s="235" t="s">
        <v>7228</v>
      </c>
      <c r="J827" s="235" t="s">
        <v>7229</v>
      </c>
      <c r="K827" s="235" t="s">
        <v>7230</v>
      </c>
      <c r="N827" s="235" t="s">
        <v>106</v>
      </c>
      <c r="O827" s="235" t="s">
        <v>338</v>
      </c>
      <c r="P827" s="238">
        <v>1.0</v>
      </c>
      <c r="Q827" s="235" t="s">
        <v>627</v>
      </c>
      <c r="R827" s="238">
        <v>246.67</v>
      </c>
      <c r="S827" s="238">
        <v>12.33</v>
      </c>
      <c r="T827" s="238">
        <v>0.0</v>
      </c>
      <c r="U827" s="238">
        <v>0.0</v>
      </c>
      <c r="V827" s="238">
        <v>0.0</v>
      </c>
      <c r="W827" s="238">
        <v>0.0</v>
      </c>
      <c r="X827" s="235" t="s">
        <v>628</v>
      </c>
      <c r="Z827" s="244"/>
      <c r="AA827" s="244"/>
      <c r="AB827" s="244"/>
      <c r="AC827" s="235" t="s">
        <v>1887</v>
      </c>
      <c r="AD827" s="235" t="s">
        <v>679</v>
      </c>
      <c r="AE827" s="238">
        <v>560048.0</v>
      </c>
      <c r="AF827" s="235" t="s">
        <v>631</v>
      </c>
      <c r="AG827" s="244"/>
      <c r="AH827" s="244"/>
      <c r="AI827" s="245"/>
      <c r="AJ827" s="245"/>
      <c r="AK827" s="245"/>
      <c r="AL827" s="245"/>
      <c r="AM827" s="244"/>
      <c r="AN827" s="244"/>
      <c r="AO827" s="238">
        <v>0.0</v>
      </c>
      <c r="AP827" s="238">
        <v>0.0</v>
      </c>
      <c r="AQ827" s="235" t="s">
        <v>632</v>
      </c>
      <c r="AR827" s="243">
        <v>2.02E11</v>
      </c>
      <c r="AS827" s="235" t="s">
        <v>6164</v>
      </c>
      <c r="AT827" s="235" t="s">
        <v>16</v>
      </c>
      <c r="AU827" s="235" t="s">
        <v>634</v>
      </c>
      <c r="AV827" s="246" t="s">
        <v>635</v>
      </c>
      <c r="AW827" s="242"/>
      <c r="AX827" s="242"/>
      <c r="AY827" s="231"/>
      <c r="AZ827" s="231"/>
      <c r="BA827" s="227"/>
      <c r="BB827" s="231"/>
      <c r="BC827" s="227"/>
      <c r="BD827" s="227"/>
      <c r="BE827" s="227"/>
      <c r="BF827" s="227"/>
    </row>
    <row r="828">
      <c r="A828" s="235" t="s">
        <v>7231</v>
      </c>
      <c r="C828" s="235" t="s">
        <v>7232</v>
      </c>
      <c r="D828" s="235" t="s">
        <v>7233</v>
      </c>
      <c r="E828" s="243">
        <v>6.56E13</v>
      </c>
      <c r="F828" s="245"/>
      <c r="G828" s="235" t="s">
        <v>7234</v>
      </c>
      <c r="H828" s="235" t="s">
        <v>7235</v>
      </c>
      <c r="I828" s="235" t="s">
        <v>7235</v>
      </c>
      <c r="J828" s="235" t="s">
        <v>7236</v>
      </c>
      <c r="K828" s="235" t="s">
        <v>7237</v>
      </c>
      <c r="N828" s="235" t="s">
        <v>42</v>
      </c>
      <c r="O828" s="235" t="s">
        <v>204</v>
      </c>
      <c r="P828" s="238">
        <v>1.0</v>
      </c>
      <c r="Q828" s="235" t="s">
        <v>627</v>
      </c>
      <c r="R828" s="238">
        <v>237.14</v>
      </c>
      <c r="S828" s="238">
        <v>11.86</v>
      </c>
      <c r="T828" s="238">
        <v>0.0</v>
      </c>
      <c r="U828" s="238">
        <v>0.0</v>
      </c>
      <c r="V828" s="238">
        <v>0.0</v>
      </c>
      <c r="W828" s="238">
        <v>0.0</v>
      </c>
      <c r="X828" s="235" t="s">
        <v>628</v>
      </c>
      <c r="Z828" s="244"/>
      <c r="AA828" s="244"/>
      <c r="AB828" s="244"/>
      <c r="AC828" s="235" t="s">
        <v>1961</v>
      </c>
      <c r="AD828" s="235" t="s">
        <v>845</v>
      </c>
      <c r="AE828" s="238">
        <v>411027.0</v>
      </c>
      <c r="AF828" s="235" t="s">
        <v>631</v>
      </c>
      <c r="AG828" s="244"/>
      <c r="AH828" s="244"/>
      <c r="AI828" s="245"/>
      <c r="AJ828" s="245"/>
      <c r="AK828" s="245"/>
      <c r="AL828" s="245"/>
      <c r="AM828" s="244"/>
      <c r="AN828" s="244"/>
      <c r="AO828" s="238">
        <v>0.0</v>
      </c>
      <c r="AP828" s="238">
        <v>0.0</v>
      </c>
      <c r="AQ828" s="235" t="s">
        <v>632</v>
      </c>
      <c r="AR828" s="243">
        <v>1.68E11</v>
      </c>
      <c r="AS828" s="235" t="s">
        <v>6164</v>
      </c>
      <c r="AT828" s="235" t="s">
        <v>16</v>
      </c>
      <c r="AU828" s="235" t="s">
        <v>634</v>
      </c>
      <c r="AV828" s="246" t="s">
        <v>635</v>
      </c>
      <c r="AW828" s="242"/>
      <c r="AX828" s="242"/>
      <c r="AY828" s="231"/>
      <c r="AZ828" s="231"/>
      <c r="BA828" s="227"/>
      <c r="BB828" s="231"/>
      <c r="BC828" s="227"/>
      <c r="BD828" s="227"/>
      <c r="BE828" s="227"/>
      <c r="BF828" s="227"/>
    </row>
    <row r="829">
      <c r="A829" s="235" t="s">
        <v>7238</v>
      </c>
      <c r="C829" s="235" t="s">
        <v>7239</v>
      </c>
      <c r="D829" s="235" t="s">
        <v>7240</v>
      </c>
      <c r="E829" s="243">
        <v>6.56E13</v>
      </c>
      <c r="F829" s="245"/>
      <c r="G829" s="235" t="s">
        <v>7241</v>
      </c>
      <c r="H829" s="235" t="s">
        <v>7242</v>
      </c>
      <c r="I829" s="235" t="s">
        <v>7242</v>
      </c>
      <c r="J829" s="235" t="s">
        <v>7243</v>
      </c>
      <c r="K829" s="235" t="s">
        <v>7244</v>
      </c>
      <c r="N829" s="235" t="s">
        <v>989</v>
      </c>
      <c r="O829" s="235" t="s">
        <v>990</v>
      </c>
      <c r="P829" s="238">
        <v>1.0</v>
      </c>
      <c r="Q829" s="235" t="s">
        <v>627</v>
      </c>
      <c r="R829" s="238">
        <v>256.19</v>
      </c>
      <c r="S829" s="238">
        <v>12.81</v>
      </c>
      <c r="T829" s="238">
        <v>0.0</v>
      </c>
      <c r="U829" s="238">
        <v>0.0</v>
      </c>
      <c r="V829" s="238">
        <v>0.0</v>
      </c>
      <c r="W829" s="238">
        <v>0.0</v>
      </c>
      <c r="X829" s="235" t="s">
        <v>628</v>
      </c>
      <c r="Z829" s="244"/>
      <c r="AA829" s="244"/>
      <c r="AB829" s="244"/>
      <c r="AC829" s="235" t="s">
        <v>832</v>
      </c>
      <c r="AD829" s="235" t="s">
        <v>833</v>
      </c>
      <c r="AE829" s="238">
        <v>530017.0</v>
      </c>
      <c r="AF829" s="235" t="s">
        <v>631</v>
      </c>
      <c r="AG829" s="244"/>
      <c r="AH829" s="244"/>
      <c r="AI829" s="245"/>
      <c r="AJ829" s="245"/>
      <c r="AK829" s="245"/>
      <c r="AL829" s="245"/>
      <c r="AM829" s="244"/>
      <c r="AN829" s="244"/>
      <c r="AO829" s="238">
        <v>0.0</v>
      </c>
      <c r="AP829" s="238">
        <v>0.0</v>
      </c>
      <c r="AQ829" s="235" t="s">
        <v>632</v>
      </c>
      <c r="AR829" s="243">
        <v>2.02E11</v>
      </c>
      <c r="AS829" s="235" t="s">
        <v>6164</v>
      </c>
      <c r="AT829" s="235" t="s">
        <v>9</v>
      </c>
      <c r="AU829" s="235" t="s">
        <v>634</v>
      </c>
      <c r="AV829" s="246" t="s">
        <v>635</v>
      </c>
      <c r="AW829" s="242"/>
      <c r="AX829" s="242"/>
      <c r="AY829" s="231"/>
      <c r="AZ829" s="231"/>
      <c r="BA829" s="227"/>
      <c r="BB829" s="231"/>
      <c r="BC829" s="227"/>
      <c r="BD829" s="227"/>
      <c r="BE829" s="227"/>
      <c r="BF829" s="227"/>
    </row>
    <row r="830">
      <c r="A830" s="235" t="s">
        <v>7245</v>
      </c>
      <c r="C830" s="235" t="s">
        <v>7246</v>
      </c>
      <c r="D830" s="235" t="s">
        <v>7247</v>
      </c>
      <c r="E830" s="243">
        <v>6.56E13</v>
      </c>
      <c r="F830" s="245"/>
      <c r="G830" s="235" t="s">
        <v>7248</v>
      </c>
      <c r="H830" s="235" t="s">
        <v>7249</v>
      </c>
      <c r="I830" s="235" t="s">
        <v>7249</v>
      </c>
      <c r="J830" s="235" t="s">
        <v>7250</v>
      </c>
      <c r="K830" s="235" t="s">
        <v>7251</v>
      </c>
      <c r="N830" s="235" t="s">
        <v>42</v>
      </c>
      <c r="O830" s="235" t="s">
        <v>204</v>
      </c>
      <c r="P830" s="238">
        <v>1.0</v>
      </c>
      <c r="Q830" s="235" t="s">
        <v>627</v>
      </c>
      <c r="R830" s="238">
        <v>237.14</v>
      </c>
      <c r="S830" s="238">
        <v>11.86</v>
      </c>
      <c r="T830" s="238">
        <v>38.1</v>
      </c>
      <c r="U830" s="238">
        <v>1.9</v>
      </c>
      <c r="V830" s="238">
        <v>0.0</v>
      </c>
      <c r="W830" s="238">
        <v>0.0</v>
      </c>
      <c r="X830" s="235" t="s">
        <v>628</v>
      </c>
      <c r="Z830" s="244"/>
      <c r="AA830" s="244"/>
      <c r="AB830" s="244"/>
      <c r="AC830" s="235" t="s">
        <v>891</v>
      </c>
      <c r="AD830" s="235" t="s">
        <v>891</v>
      </c>
      <c r="AE830" s="238">
        <v>605009.0</v>
      </c>
      <c r="AF830" s="235" t="s">
        <v>631</v>
      </c>
      <c r="AG830" s="244"/>
      <c r="AH830" s="244"/>
      <c r="AI830" s="245"/>
      <c r="AJ830" s="245"/>
      <c r="AK830" s="245"/>
      <c r="AL830" s="245"/>
      <c r="AM830" s="244"/>
      <c r="AN830" s="244"/>
      <c r="AO830" s="238">
        <v>0.0</v>
      </c>
      <c r="AP830" s="238">
        <v>-38.1</v>
      </c>
      <c r="AQ830" s="235" t="s">
        <v>632</v>
      </c>
      <c r="AR830" s="243">
        <v>3.71E11</v>
      </c>
      <c r="AS830" s="235" t="s">
        <v>6164</v>
      </c>
      <c r="AT830" s="235" t="s">
        <v>156</v>
      </c>
      <c r="AU830" s="235" t="s">
        <v>634</v>
      </c>
      <c r="AV830" s="246" t="s">
        <v>635</v>
      </c>
      <c r="AW830" s="242"/>
      <c r="AX830" s="242"/>
      <c r="AY830" s="231"/>
      <c r="AZ830" s="231"/>
      <c r="BA830" s="227"/>
      <c r="BB830" s="231"/>
      <c r="BC830" s="227"/>
      <c r="BD830" s="227"/>
      <c r="BE830" s="227"/>
      <c r="BF830" s="227"/>
    </row>
    <row r="831">
      <c r="A831" s="235" t="s">
        <v>7252</v>
      </c>
      <c r="C831" s="235" t="s">
        <v>7253</v>
      </c>
      <c r="D831" s="235" t="s">
        <v>7254</v>
      </c>
      <c r="E831" s="243">
        <v>6.56E13</v>
      </c>
      <c r="F831" s="245"/>
      <c r="G831" s="235" t="s">
        <v>7255</v>
      </c>
      <c r="H831" s="235" t="s">
        <v>7256</v>
      </c>
      <c r="I831" s="235" t="s">
        <v>7257</v>
      </c>
      <c r="J831" s="235" t="s">
        <v>7258</v>
      </c>
      <c r="K831" s="235" t="s">
        <v>7259</v>
      </c>
      <c r="N831" s="235" t="s">
        <v>82</v>
      </c>
      <c r="O831" s="235" t="s">
        <v>889</v>
      </c>
      <c r="P831" s="238">
        <v>1.0</v>
      </c>
      <c r="Q831" s="235" t="s">
        <v>627</v>
      </c>
      <c r="R831" s="238">
        <v>246.66</v>
      </c>
      <c r="S831" s="238">
        <v>12.34</v>
      </c>
      <c r="T831" s="238">
        <v>0.0</v>
      </c>
      <c r="U831" s="238">
        <v>0.0</v>
      </c>
      <c r="V831" s="238">
        <v>0.0</v>
      </c>
      <c r="W831" s="238">
        <v>0.0</v>
      </c>
      <c r="X831" s="235" t="s">
        <v>628</v>
      </c>
      <c r="Z831" s="244"/>
      <c r="AA831" s="244"/>
      <c r="AB831" s="244"/>
      <c r="AC831" s="235" t="s">
        <v>1910</v>
      </c>
      <c r="AD831" s="235" t="s">
        <v>928</v>
      </c>
      <c r="AE831" s="238">
        <v>122001.0</v>
      </c>
      <c r="AF831" s="235" t="s">
        <v>631</v>
      </c>
      <c r="AG831" s="244"/>
      <c r="AH831" s="244"/>
      <c r="AI831" s="245"/>
      <c r="AJ831" s="245"/>
      <c r="AK831" s="245"/>
      <c r="AL831" s="245"/>
      <c r="AM831" s="244"/>
      <c r="AN831" s="244"/>
      <c r="AO831" s="238">
        <v>0.0</v>
      </c>
      <c r="AP831" s="238">
        <v>0.0</v>
      </c>
      <c r="AQ831" s="235" t="s">
        <v>632</v>
      </c>
      <c r="AR831" s="243">
        <v>3.71E11</v>
      </c>
      <c r="AS831" s="235" t="s">
        <v>6164</v>
      </c>
      <c r="AT831" s="235" t="s">
        <v>533</v>
      </c>
      <c r="AU831" s="235" t="s">
        <v>634</v>
      </c>
      <c r="AV831" s="246" t="s">
        <v>635</v>
      </c>
      <c r="AW831" s="242"/>
      <c r="AX831" s="242"/>
      <c r="AY831" s="231"/>
      <c r="AZ831" s="231"/>
      <c r="BA831" s="227"/>
      <c r="BB831" s="231"/>
      <c r="BC831" s="227"/>
      <c r="BD831" s="227"/>
      <c r="BE831" s="227"/>
      <c r="BF831" s="227"/>
    </row>
    <row r="832">
      <c r="A832" s="235" t="s">
        <v>7262</v>
      </c>
      <c r="C832" s="235" t="s">
        <v>7263</v>
      </c>
      <c r="D832" s="235" t="s">
        <v>7264</v>
      </c>
      <c r="E832" s="243">
        <v>6.56E13</v>
      </c>
      <c r="F832" s="245"/>
      <c r="G832" s="235" t="s">
        <v>7265</v>
      </c>
      <c r="H832" s="235" t="s">
        <v>7266</v>
      </c>
      <c r="I832" s="235" t="s">
        <v>7266</v>
      </c>
      <c r="J832" s="235" t="s">
        <v>7267</v>
      </c>
      <c r="K832" s="235" t="s">
        <v>7268</v>
      </c>
      <c r="N832" s="235" t="s">
        <v>717</v>
      </c>
      <c r="O832" s="235" t="s">
        <v>718</v>
      </c>
      <c r="P832" s="238">
        <v>1.0</v>
      </c>
      <c r="Q832" s="235" t="s">
        <v>627</v>
      </c>
      <c r="R832" s="238">
        <v>456.2</v>
      </c>
      <c r="S832" s="238">
        <v>22.8</v>
      </c>
      <c r="T832" s="238">
        <v>18.1</v>
      </c>
      <c r="U832" s="238">
        <v>0.9</v>
      </c>
      <c r="V832" s="238">
        <v>0.0</v>
      </c>
      <c r="W832" s="238">
        <v>0.0</v>
      </c>
      <c r="X832" s="235" t="s">
        <v>628</v>
      </c>
      <c r="Z832" s="244"/>
      <c r="AA832" s="244"/>
      <c r="AB832" s="244"/>
      <c r="AC832" s="235" t="s">
        <v>687</v>
      </c>
      <c r="AD832" s="235" t="s">
        <v>666</v>
      </c>
      <c r="AE832" s="238">
        <v>600078.0</v>
      </c>
      <c r="AF832" s="235" t="s">
        <v>631</v>
      </c>
      <c r="AG832" s="244"/>
      <c r="AH832" s="244"/>
      <c r="AI832" s="245"/>
      <c r="AJ832" s="245"/>
      <c r="AK832" s="245"/>
      <c r="AL832" s="245"/>
      <c r="AM832" s="244"/>
      <c r="AN832" s="244"/>
      <c r="AO832" s="238">
        <v>0.0</v>
      </c>
      <c r="AP832" s="238">
        <v>-18.1</v>
      </c>
      <c r="AQ832" s="235" t="s">
        <v>632</v>
      </c>
      <c r="AR832" s="243">
        <v>1.68E11</v>
      </c>
      <c r="AS832" s="235" t="s">
        <v>6608</v>
      </c>
      <c r="AT832" s="235" t="s">
        <v>156</v>
      </c>
      <c r="AU832" s="235" t="s">
        <v>634</v>
      </c>
      <c r="AV832" s="246" t="s">
        <v>635</v>
      </c>
      <c r="AW832" s="242"/>
      <c r="AX832" s="242"/>
      <c r="AY832" s="231"/>
      <c r="AZ832" s="231"/>
      <c r="BA832" s="227"/>
      <c r="BB832" s="231"/>
      <c r="BC832" s="227"/>
      <c r="BD832" s="227"/>
      <c r="BE832" s="227"/>
      <c r="BF832" s="227"/>
    </row>
    <row r="833">
      <c r="A833" s="235" t="s">
        <v>7269</v>
      </c>
      <c r="C833" s="235" t="s">
        <v>7270</v>
      </c>
      <c r="D833" s="235" t="s">
        <v>7271</v>
      </c>
      <c r="E833" s="243">
        <v>6.56E13</v>
      </c>
      <c r="F833" s="245"/>
      <c r="G833" s="235" t="s">
        <v>7272</v>
      </c>
      <c r="H833" s="235" t="s">
        <v>7273</v>
      </c>
      <c r="I833" s="235" t="s">
        <v>7273</v>
      </c>
      <c r="J833" s="235" t="s">
        <v>7274</v>
      </c>
      <c r="K833" s="235" t="s">
        <v>7275</v>
      </c>
      <c r="N833" s="235" t="s">
        <v>1346</v>
      </c>
      <c r="O833" s="235" t="s">
        <v>1347</v>
      </c>
      <c r="P833" s="238">
        <v>1.0</v>
      </c>
      <c r="Q833" s="235" t="s">
        <v>627</v>
      </c>
      <c r="R833" s="238">
        <v>256.2</v>
      </c>
      <c r="S833" s="238">
        <v>12.8</v>
      </c>
      <c r="T833" s="238">
        <v>0.0</v>
      </c>
      <c r="U833" s="238">
        <v>0.0</v>
      </c>
      <c r="V833" s="238">
        <v>0.0</v>
      </c>
      <c r="W833" s="238">
        <v>0.0</v>
      </c>
      <c r="X833" s="235" t="s">
        <v>628</v>
      </c>
      <c r="Z833" s="244"/>
      <c r="AA833" s="244"/>
      <c r="AB833" s="244"/>
      <c r="AC833" s="235" t="s">
        <v>844</v>
      </c>
      <c r="AD833" s="235" t="s">
        <v>845</v>
      </c>
      <c r="AE833" s="238">
        <v>411045.0</v>
      </c>
      <c r="AF833" s="235" t="s">
        <v>631</v>
      </c>
      <c r="AG833" s="244"/>
      <c r="AH833" s="244"/>
      <c r="AI833" s="245"/>
      <c r="AJ833" s="245"/>
      <c r="AK833" s="245"/>
      <c r="AL833" s="245"/>
      <c r="AM833" s="244"/>
      <c r="AN833" s="244"/>
      <c r="AO833" s="238">
        <v>0.0</v>
      </c>
      <c r="AP833" s="238">
        <v>0.0</v>
      </c>
      <c r="AQ833" s="235" t="s">
        <v>632</v>
      </c>
      <c r="AR833" s="243">
        <v>1.68E11</v>
      </c>
      <c r="AS833" s="235" t="s">
        <v>6164</v>
      </c>
      <c r="AT833" s="235" t="s">
        <v>16</v>
      </c>
      <c r="AU833" s="235" t="s">
        <v>634</v>
      </c>
      <c r="AV833" s="246" t="s">
        <v>635</v>
      </c>
      <c r="AW833" s="242"/>
      <c r="AX833" s="242"/>
      <c r="AY833" s="231"/>
      <c r="AZ833" s="231"/>
      <c r="BA833" s="227"/>
      <c r="BB833" s="231"/>
      <c r="BC833" s="227"/>
      <c r="BD833" s="227"/>
      <c r="BE833" s="227"/>
      <c r="BF833" s="227"/>
    </row>
    <row r="834">
      <c r="A834" s="235" t="s">
        <v>7276</v>
      </c>
      <c r="C834" s="235" t="s">
        <v>7277</v>
      </c>
      <c r="D834" s="235" t="s">
        <v>7278</v>
      </c>
      <c r="E834" s="243">
        <v>6.56E13</v>
      </c>
      <c r="F834" s="245"/>
      <c r="G834" s="235" t="s">
        <v>7279</v>
      </c>
      <c r="H834" s="235" t="s">
        <v>7280</v>
      </c>
      <c r="I834" s="235" t="s">
        <v>7280</v>
      </c>
      <c r="J834" s="235" t="s">
        <v>7281</v>
      </c>
      <c r="K834" s="235" t="s">
        <v>7282</v>
      </c>
      <c r="N834" s="235" t="s">
        <v>85</v>
      </c>
      <c r="O834" s="235" t="s">
        <v>872</v>
      </c>
      <c r="P834" s="238">
        <v>1.0</v>
      </c>
      <c r="Q834" s="235" t="s">
        <v>627</v>
      </c>
      <c r="R834" s="238">
        <v>246.66</v>
      </c>
      <c r="S834" s="238">
        <v>12.34</v>
      </c>
      <c r="T834" s="238">
        <v>0.0</v>
      </c>
      <c r="U834" s="238">
        <v>0.0</v>
      </c>
      <c r="V834" s="238">
        <v>0.0</v>
      </c>
      <c r="W834" s="238">
        <v>0.0</v>
      </c>
      <c r="X834" s="235" t="s">
        <v>628</v>
      </c>
      <c r="Z834" s="244"/>
      <c r="AA834" s="244"/>
      <c r="AB834" s="244"/>
      <c r="AC834" s="235" t="s">
        <v>844</v>
      </c>
      <c r="AD834" s="235" t="s">
        <v>845</v>
      </c>
      <c r="AE834" s="238">
        <v>411057.0</v>
      </c>
      <c r="AF834" s="235" t="s">
        <v>631</v>
      </c>
      <c r="AG834" s="244"/>
      <c r="AH834" s="244"/>
      <c r="AI834" s="245"/>
      <c r="AJ834" s="245"/>
      <c r="AK834" s="245"/>
      <c r="AL834" s="245"/>
      <c r="AM834" s="244"/>
      <c r="AN834" s="244"/>
      <c r="AO834" s="238">
        <v>0.0</v>
      </c>
      <c r="AP834" s="238">
        <v>0.0</v>
      </c>
      <c r="AQ834" s="235" t="s">
        <v>632</v>
      </c>
      <c r="AR834" s="243">
        <v>1.68E11</v>
      </c>
      <c r="AS834" s="235" t="s">
        <v>6164</v>
      </c>
      <c r="AT834" s="235" t="s">
        <v>16</v>
      </c>
      <c r="AU834" s="235" t="s">
        <v>634</v>
      </c>
      <c r="AV834" s="246" t="s">
        <v>635</v>
      </c>
      <c r="AW834" s="242"/>
      <c r="AX834" s="242"/>
      <c r="AY834" s="231"/>
      <c r="AZ834" s="231"/>
      <c r="BA834" s="227"/>
      <c r="BB834" s="231"/>
      <c r="BC834" s="227"/>
      <c r="BD834" s="227"/>
      <c r="BE834" s="227"/>
      <c r="BF834" s="227"/>
    </row>
    <row r="835">
      <c r="A835" s="235" t="s">
        <v>7283</v>
      </c>
      <c r="C835" s="235" t="s">
        <v>7284</v>
      </c>
      <c r="D835" s="235" t="s">
        <v>7285</v>
      </c>
      <c r="E835" s="243">
        <v>6.56E13</v>
      </c>
      <c r="F835" s="245"/>
      <c r="G835" s="235" t="s">
        <v>7286</v>
      </c>
      <c r="H835" s="235" t="s">
        <v>7287</v>
      </c>
      <c r="I835" s="235" t="s">
        <v>7287</v>
      </c>
      <c r="J835" s="235" t="s">
        <v>7288</v>
      </c>
      <c r="K835" s="235" t="s">
        <v>7289</v>
      </c>
      <c r="N835" s="235" t="s">
        <v>50</v>
      </c>
      <c r="O835" s="235" t="s">
        <v>367</v>
      </c>
      <c r="P835" s="238">
        <v>1.0</v>
      </c>
      <c r="Q835" s="235" t="s">
        <v>627</v>
      </c>
      <c r="R835" s="238">
        <v>237.14</v>
      </c>
      <c r="S835" s="238">
        <v>11.86</v>
      </c>
      <c r="T835" s="238">
        <v>0.0</v>
      </c>
      <c r="U835" s="238">
        <v>0.0</v>
      </c>
      <c r="V835" s="238">
        <v>0.0</v>
      </c>
      <c r="W835" s="238">
        <v>0.0</v>
      </c>
      <c r="X835" s="235" t="s">
        <v>628</v>
      </c>
      <c r="Z835" s="244"/>
      <c r="AA835" s="244"/>
      <c r="AB835" s="244"/>
      <c r="AC835" s="235" t="s">
        <v>3274</v>
      </c>
      <c r="AD835" s="235" t="s">
        <v>698</v>
      </c>
      <c r="AE835" s="238">
        <v>500007.0</v>
      </c>
      <c r="AF835" s="235" t="s">
        <v>631</v>
      </c>
      <c r="AG835" s="244"/>
      <c r="AH835" s="244"/>
      <c r="AI835" s="245"/>
      <c r="AJ835" s="245"/>
      <c r="AK835" s="245"/>
      <c r="AL835" s="245"/>
      <c r="AM835" s="244"/>
      <c r="AN835" s="244"/>
      <c r="AO835" s="238">
        <v>0.0</v>
      </c>
      <c r="AP835" s="238">
        <v>0.0</v>
      </c>
      <c r="AQ835" s="235" t="s">
        <v>632</v>
      </c>
      <c r="AR835" s="243">
        <v>2.02E11</v>
      </c>
      <c r="AS835" s="235" t="s">
        <v>6164</v>
      </c>
      <c r="AT835" s="235" t="s">
        <v>156</v>
      </c>
      <c r="AU835" s="235" t="s">
        <v>634</v>
      </c>
      <c r="AV835" s="246" t="s">
        <v>635</v>
      </c>
      <c r="AW835" s="242"/>
      <c r="AX835" s="242"/>
      <c r="AY835" s="231"/>
      <c r="AZ835" s="231"/>
      <c r="BA835" s="227"/>
      <c r="BB835" s="231"/>
      <c r="BC835" s="227"/>
      <c r="BD835" s="227"/>
      <c r="BE835" s="227"/>
      <c r="BF835" s="227"/>
    </row>
    <row r="836">
      <c r="A836" s="235" t="s">
        <v>7290</v>
      </c>
      <c r="C836" s="235" t="s">
        <v>7291</v>
      </c>
      <c r="D836" s="235" t="s">
        <v>7292</v>
      </c>
      <c r="E836" s="243">
        <v>6.56E13</v>
      </c>
      <c r="F836" s="245"/>
      <c r="G836" s="235" t="s">
        <v>7293</v>
      </c>
      <c r="H836" s="235" t="s">
        <v>7294</v>
      </c>
      <c r="I836" s="235" t="s">
        <v>7294</v>
      </c>
      <c r="J836" s="235" t="s">
        <v>7295</v>
      </c>
      <c r="K836" s="235" t="s">
        <v>7296</v>
      </c>
      <c r="N836" s="235" t="s">
        <v>138</v>
      </c>
      <c r="O836" s="235" t="s">
        <v>675</v>
      </c>
      <c r="P836" s="238">
        <v>1.0</v>
      </c>
      <c r="Q836" s="235" t="s">
        <v>627</v>
      </c>
      <c r="R836" s="238">
        <v>246.67</v>
      </c>
      <c r="S836" s="238">
        <v>12.33</v>
      </c>
      <c r="T836" s="238">
        <v>0.0</v>
      </c>
      <c r="U836" s="238">
        <v>0.0</v>
      </c>
      <c r="V836" s="238">
        <v>0.0</v>
      </c>
      <c r="W836" s="238">
        <v>0.0</v>
      </c>
      <c r="X836" s="235" t="s">
        <v>628</v>
      </c>
      <c r="Z836" s="244"/>
      <c r="AA836" s="244"/>
      <c r="AB836" s="244"/>
      <c r="AC836" s="235" t="s">
        <v>7297</v>
      </c>
      <c r="AD836" s="235" t="s">
        <v>645</v>
      </c>
      <c r="AE836" s="238">
        <v>680620.0</v>
      </c>
      <c r="AF836" s="235" t="s">
        <v>631</v>
      </c>
      <c r="AG836" s="244"/>
      <c r="AH836" s="244"/>
      <c r="AI836" s="245"/>
      <c r="AJ836" s="245"/>
      <c r="AK836" s="245"/>
      <c r="AL836" s="245"/>
      <c r="AM836" s="244"/>
      <c r="AN836" s="244"/>
      <c r="AO836" s="238">
        <v>0.0</v>
      </c>
      <c r="AP836" s="238">
        <v>0.0</v>
      </c>
      <c r="AQ836" s="235" t="s">
        <v>632</v>
      </c>
      <c r="AR836" s="243">
        <v>3.71E11</v>
      </c>
      <c r="AS836" s="235" t="s">
        <v>4697</v>
      </c>
      <c r="AT836" s="235" t="s">
        <v>156</v>
      </c>
      <c r="AU836" s="235" t="s">
        <v>634</v>
      </c>
      <c r="AV836" s="246" t="s">
        <v>635</v>
      </c>
      <c r="AW836" s="242"/>
      <c r="AX836" s="242"/>
      <c r="AY836" s="231"/>
      <c r="AZ836" s="231"/>
      <c r="BA836" s="227"/>
      <c r="BB836" s="231"/>
      <c r="BC836" s="227"/>
      <c r="BD836" s="227"/>
      <c r="BE836" s="227"/>
      <c r="BF836" s="227"/>
    </row>
    <row r="837">
      <c r="A837" s="235" t="s">
        <v>7298</v>
      </c>
      <c r="C837" s="235" t="s">
        <v>7299</v>
      </c>
      <c r="D837" s="235" t="s">
        <v>7300</v>
      </c>
      <c r="E837" s="243">
        <v>6.56E13</v>
      </c>
      <c r="F837" s="245"/>
      <c r="G837" s="235" t="s">
        <v>7301</v>
      </c>
      <c r="H837" s="235" t="s">
        <v>7302</v>
      </c>
      <c r="I837" s="235" t="s">
        <v>7302</v>
      </c>
      <c r="J837" s="235" t="s">
        <v>7303</v>
      </c>
      <c r="K837" s="235" t="s">
        <v>7304</v>
      </c>
      <c r="N837" s="235" t="s">
        <v>127</v>
      </c>
      <c r="O837" s="235" t="s">
        <v>794</v>
      </c>
      <c r="P837" s="238">
        <v>1.0</v>
      </c>
      <c r="Q837" s="235" t="s">
        <v>627</v>
      </c>
      <c r="R837" s="238">
        <v>246.67</v>
      </c>
      <c r="S837" s="238">
        <v>12.33</v>
      </c>
      <c r="T837" s="238">
        <v>38.1</v>
      </c>
      <c r="U837" s="238">
        <v>1.9</v>
      </c>
      <c r="V837" s="238">
        <v>0.0</v>
      </c>
      <c r="W837" s="238">
        <v>0.0</v>
      </c>
      <c r="X837" s="235" t="s">
        <v>628</v>
      </c>
      <c r="Z837" s="244"/>
      <c r="AA837" s="244"/>
      <c r="AB837" s="244"/>
      <c r="AC837" s="235" t="s">
        <v>7305</v>
      </c>
      <c r="AD837" s="235" t="s">
        <v>1151</v>
      </c>
      <c r="AE837" s="238">
        <v>712246.0</v>
      </c>
      <c r="AF837" s="235" t="s">
        <v>631</v>
      </c>
      <c r="AG837" s="244"/>
      <c r="AH837" s="244"/>
      <c r="AI837" s="245"/>
      <c r="AJ837" s="245"/>
      <c r="AK837" s="245"/>
      <c r="AL837" s="245"/>
      <c r="AM837" s="244"/>
      <c r="AN837" s="244"/>
      <c r="AO837" s="238">
        <v>0.0</v>
      </c>
      <c r="AP837" s="238">
        <v>-38.1</v>
      </c>
      <c r="AQ837" s="235" t="s">
        <v>632</v>
      </c>
      <c r="AR837" s="243">
        <v>3.71E11</v>
      </c>
      <c r="AS837" s="235" t="s">
        <v>3284</v>
      </c>
      <c r="AT837" s="235" t="s">
        <v>14</v>
      </c>
      <c r="AU837" s="235" t="s">
        <v>634</v>
      </c>
      <c r="AV837" s="246" t="s">
        <v>635</v>
      </c>
      <c r="AW837" s="242"/>
      <c r="AX837" s="242"/>
      <c r="AY837" s="231"/>
      <c r="AZ837" s="231"/>
      <c r="BA837" s="227"/>
      <c r="BB837" s="231"/>
      <c r="BC837" s="227"/>
      <c r="BD837" s="227"/>
      <c r="BE837" s="227"/>
      <c r="BF837" s="227"/>
    </row>
    <row r="838">
      <c r="A838" s="235" t="s">
        <v>7306</v>
      </c>
      <c r="C838" s="235" t="s">
        <v>7307</v>
      </c>
      <c r="D838" s="235" t="s">
        <v>7308</v>
      </c>
      <c r="E838" s="243">
        <v>6.56E13</v>
      </c>
      <c r="F838" s="245"/>
      <c r="G838" s="235" t="s">
        <v>7309</v>
      </c>
      <c r="H838" s="235" t="s">
        <v>7310</v>
      </c>
      <c r="I838" s="235" t="s">
        <v>7310</v>
      </c>
      <c r="J838" s="235" t="s">
        <v>7311</v>
      </c>
      <c r="K838" s="235" t="s">
        <v>7312</v>
      </c>
      <c r="N838" s="235" t="s">
        <v>41</v>
      </c>
      <c r="O838" s="235" t="s">
        <v>291</v>
      </c>
      <c r="P838" s="238">
        <v>1.0</v>
      </c>
      <c r="Q838" s="235" t="s">
        <v>627</v>
      </c>
      <c r="R838" s="238">
        <v>237.14</v>
      </c>
      <c r="S838" s="238">
        <v>11.62</v>
      </c>
      <c r="T838" s="238">
        <v>0.0</v>
      </c>
      <c r="U838" s="238">
        <v>0.0</v>
      </c>
      <c r="V838" s="238">
        <v>0.0</v>
      </c>
      <c r="W838" s="238">
        <v>0.0</v>
      </c>
      <c r="X838" s="235" t="s">
        <v>628</v>
      </c>
      <c r="Z838" s="244"/>
      <c r="AA838" s="244"/>
      <c r="AB838" s="244"/>
      <c r="AC838" s="235" t="s">
        <v>4596</v>
      </c>
      <c r="AD838" s="235" t="s">
        <v>833</v>
      </c>
      <c r="AE838" s="238">
        <v>532201.0</v>
      </c>
      <c r="AF838" s="235" t="s">
        <v>631</v>
      </c>
      <c r="AG838" s="244"/>
      <c r="AH838" s="244"/>
      <c r="AI838" s="245"/>
      <c r="AJ838" s="245"/>
      <c r="AK838" s="245"/>
      <c r="AL838" s="245"/>
      <c r="AM838" s="244"/>
      <c r="AN838" s="244"/>
      <c r="AO838" s="238">
        <v>-4.74</v>
      </c>
      <c r="AP838" s="238">
        <v>0.0</v>
      </c>
      <c r="AQ838" s="235" t="s">
        <v>632</v>
      </c>
      <c r="AR838" s="243">
        <v>3.71E11</v>
      </c>
      <c r="AS838" s="235" t="s">
        <v>2276</v>
      </c>
      <c r="AT838" s="235" t="s">
        <v>9</v>
      </c>
      <c r="AU838" s="235" t="s">
        <v>634</v>
      </c>
      <c r="AV838" s="246" t="s">
        <v>635</v>
      </c>
      <c r="AW838" s="242"/>
      <c r="AX838" s="242"/>
      <c r="AY838" s="231"/>
      <c r="AZ838" s="231"/>
      <c r="BA838" s="227"/>
      <c r="BB838" s="231"/>
      <c r="BC838" s="227"/>
      <c r="BD838" s="227"/>
      <c r="BE838" s="227"/>
      <c r="BF838" s="227"/>
    </row>
    <row r="839">
      <c r="A839" s="235" t="s">
        <v>7313</v>
      </c>
      <c r="C839" s="235" t="s">
        <v>7314</v>
      </c>
      <c r="D839" s="235" t="s">
        <v>7315</v>
      </c>
      <c r="E839" s="243">
        <v>6.56E13</v>
      </c>
      <c r="F839" s="245"/>
      <c r="G839" s="235" t="s">
        <v>7316</v>
      </c>
      <c r="H839" s="235" t="s">
        <v>7317</v>
      </c>
      <c r="I839" s="235" t="s">
        <v>7317</v>
      </c>
      <c r="J839" s="235" t="s">
        <v>7318</v>
      </c>
      <c r="K839" s="235" t="s">
        <v>7319</v>
      </c>
      <c r="N839" s="235" t="s">
        <v>127</v>
      </c>
      <c r="O839" s="235" t="s">
        <v>794</v>
      </c>
      <c r="P839" s="238">
        <v>1.0</v>
      </c>
      <c r="Q839" s="235" t="s">
        <v>627</v>
      </c>
      <c r="R839" s="238">
        <v>246.66</v>
      </c>
      <c r="S839" s="238">
        <v>12.34</v>
      </c>
      <c r="T839" s="238">
        <v>38.1</v>
      </c>
      <c r="U839" s="238">
        <v>1.9</v>
      </c>
      <c r="V839" s="238">
        <v>0.0</v>
      </c>
      <c r="W839" s="238">
        <v>0.0</v>
      </c>
      <c r="X839" s="235" t="s">
        <v>628</v>
      </c>
      <c r="Z839" s="244"/>
      <c r="AA839" s="244"/>
      <c r="AB839" s="244"/>
      <c r="AC839" s="235" t="s">
        <v>687</v>
      </c>
      <c r="AD839" s="235" t="s">
        <v>666</v>
      </c>
      <c r="AE839" s="238">
        <v>600117.0</v>
      </c>
      <c r="AF839" s="235" t="s">
        <v>631</v>
      </c>
      <c r="AG839" s="244"/>
      <c r="AH839" s="244"/>
      <c r="AI839" s="245"/>
      <c r="AJ839" s="245"/>
      <c r="AK839" s="245"/>
      <c r="AL839" s="245"/>
      <c r="AM839" s="244"/>
      <c r="AN839" s="244"/>
      <c r="AO839" s="238">
        <v>0.0</v>
      </c>
      <c r="AP839" s="238">
        <v>-38.1</v>
      </c>
      <c r="AQ839" s="235" t="s">
        <v>632</v>
      </c>
      <c r="AR839" s="243">
        <v>3.71E11</v>
      </c>
      <c r="AS839" s="235" t="s">
        <v>6164</v>
      </c>
      <c r="AT839" s="235" t="s">
        <v>156</v>
      </c>
      <c r="AU839" s="235" t="s">
        <v>634</v>
      </c>
      <c r="AV839" s="246" t="s">
        <v>635</v>
      </c>
      <c r="AW839" s="242"/>
      <c r="AX839" s="242"/>
      <c r="AY839" s="231"/>
      <c r="AZ839" s="231"/>
      <c r="BA839" s="227"/>
      <c r="BB839" s="231"/>
      <c r="BC839" s="227"/>
      <c r="BD839" s="227"/>
      <c r="BE839" s="227"/>
      <c r="BF839" s="227"/>
    </row>
    <row r="840">
      <c r="A840" s="235" t="s">
        <v>7320</v>
      </c>
      <c r="C840" s="235" t="s">
        <v>7321</v>
      </c>
      <c r="D840" s="235" t="s">
        <v>7322</v>
      </c>
      <c r="E840" s="243">
        <v>6.56E13</v>
      </c>
      <c r="F840" s="245"/>
      <c r="G840" s="235" t="s">
        <v>7323</v>
      </c>
      <c r="H840" s="235" t="s">
        <v>7324</v>
      </c>
      <c r="I840" s="235" t="s">
        <v>7324</v>
      </c>
      <c r="J840" s="235" t="s">
        <v>7325</v>
      </c>
      <c r="K840" s="235" t="s">
        <v>7326</v>
      </c>
      <c r="N840" s="235" t="s">
        <v>139</v>
      </c>
      <c r="O840" s="235" t="s">
        <v>2091</v>
      </c>
      <c r="P840" s="238">
        <v>1.0</v>
      </c>
      <c r="Q840" s="235" t="s">
        <v>627</v>
      </c>
      <c r="R840" s="238">
        <v>246.66</v>
      </c>
      <c r="S840" s="238">
        <v>12.34</v>
      </c>
      <c r="T840" s="238">
        <v>0.0</v>
      </c>
      <c r="U840" s="238">
        <v>0.0</v>
      </c>
      <c r="V840" s="238">
        <v>0.0</v>
      </c>
      <c r="W840" s="238">
        <v>0.0</v>
      </c>
      <c r="X840" s="235" t="s">
        <v>628</v>
      </c>
      <c r="Z840" s="244"/>
      <c r="AA840" s="244"/>
      <c r="AB840" s="244"/>
      <c r="AC840" s="235" t="s">
        <v>7327</v>
      </c>
      <c r="AD840" s="235" t="s">
        <v>1077</v>
      </c>
      <c r="AE840" s="238">
        <v>361008.0</v>
      </c>
      <c r="AF840" s="235" t="s">
        <v>631</v>
      </c>
      <c r="AG840" s="244"/>
      <c r="AH840" s="244"/>
      <c r="AI840" s="245"/>
      <c r="AJ840" s="245"/>
      <c r="AK840" s="245"/>
      <c r="AL840" s="245"/>
      <c r="AM840" s="244"/>
      <c r="AN840" s="244"/>
      <c r="AO840" s="238">
        <v>0.0</v>
      </c>
      <c r="AP840" s="238">
        <v>0.0</v>
      </c>
      <c r="AQ840" s="235" t="s">
        <v>632</v>
      </c>
      <c r="AR840" s="243">
        <v>3.71E11</v>
      </c>
      <c r="AS840" s="235" t="s">
        <v>6164</v>
      </c>
      <c r="AT840" s="235" t="s">
        <v>5</v>
      </c>
      <c r="AU840" s="235" t="s">
        <v>634</v>
      </c>
      <c r="AV840" s="246" t="s">
        <v>635</v>
      </c>
      <c r="AW840" s="242"/>
      <c r="AX840" s="242"/>
      <c r="AY840" s="231"/>
      <c r="AZ840" s="231"/>
      <c r="BA840" s="227"/>
      <c r="BB840" s="231"/>
      <c r="BC840" s="227"/>
      <c r="BD840" s="227"/>
      <c r="BE840" s="227"/>
      <c r="BF840" s="227"/>
    </row>
    <row r="841">
      <c r="A841" s="235" t="s">
        <v>7328</v>
      </c>
      <c r="C841" s="235" t="s">
        <v>7329</v>
      </c>
      <c r="D841" s="235" t="s">
        <v>7330</v>
      </c>
      <c r="E841" s="243">
        <v>6.56E13</v>
      </c>
      <c r="F841" s="245"/>
      <c r="G841" s="235" t="s">
        <v>7331</v>
      </c>
      <c r="H841" s="235" t="s">
        <v>7332</v>
      </c>
      <c r="I841" s="235" t="s">
        <v>7333</v>
      </c>
      <c r="J841" s="235" t="s">
        <v>7334</v>
      </c>
      <c r="K841" s="235" t="s">
        <v>7335</v>
      </c>
      <c r="N841" s="235" t="s">
        <v>42</v>
      </c>
      <c r="O841" s="235" t="s">
        <v>204</v>
      </c>
      <c r="P841" s="238">
        <v>1.0</v>
      </c>
      <c r="Q841" s="235" t="s">
        <v>627</v>
      </c>
      <c r="R841" s="238">
        <v>237.14</v>
      </c>
      <c r="S841" s="238">
        <v>11.86</v>
      </c>
      <c r="T841" s="238">
        <v>0.0</v>
      </c>
      <c r="U841" s="238">
        <v>0.0</v>
      </c>
      <c r="V841" s="238">
        <v>0.0</v>
      </c>
      <c r="W841" s="238">
        <v>0.0</v>
      </c>
      <c r="X841" s="235" t="s">
        <v>628</v>
      </c>
      <c r="Z841" s="244"/>
      <c r="AA841" s="244"/>
      <c r="AB841" s="244"/>
      <c r="AC841" s="235" t="s">
        <v>697</v>
      </c>
      <c r="AD841" s="235" t="s">
        <v>698</v>
      </c>
      <c r="AE841" s="238">
        <v>500089.0</v>
      </c>
      <c r="AF841" s="235" t="s">
        <v>631</v>
      </c>
      <c r="AG841" s="244"/>
      <c r="AH841" s="244"/>
      <c r="AI841" s="245"/>
      <c r="AJ841" s="245"/>
      <c r="AK841" s="245"/>
      <c r="AL841" s="245"/>
      <c r="AM841" s="244"/>
      <c r="AN841" s="244"/>
      <c r="AO841" s="238">
        <v>0.0</v>
      </c>
      <c r="AP841" s="238">
        <v>0.0</v>
      </c>
      <c r="AQ841" s="235" t="s">
        <v>632</v>
      </c>
      <c r="AR841" s="243">
        <v>2.02E11</v>
      </c>
      <c r="AS841" s="235" t="s">
        <v>6164</v>
      </c>
      <c r="AT841" s="235" t="s">
        <v>16</v>
      </c>
      <c r="AU841" s="235" t="s">
        <v>634</v>
      </c>
      <c r="AV841" s="246" t="s">
        <v>635</v>
      </c>
      <c r="AW841" s="242"/>
      <c r="AX841" s="242"/>
      <c r="AY841" s="231"/>
      <c r="AZ841" s="231"/>
      <c r="BA841" s="227"/>
      <c r="BB841" s="231"/>
      <c r="BC841" s="227"/>
      <c r="BD841" s="227"/>
      <c r="BE841" s="227"/>
      <c r="BF841" s="227"/>
    </row>
    <row r="842">
      <c r="A842" s="235" t="s">
        <v>7336</v>
      </c>
      <c r="C842" s="235" t="s">
        <v>7337</v>
      </c>
      <c r="D842" s="235" t="s">
        <v>7338</v>
      </c>
      <c r="E842" s="243">
        <v>6.56E13</v>
      </c>
      <c r="F842" s="245"/>
      <c r="G842" s="235" t="s">
        <v>7339</v>
      </c>
      <c r="H842" s="235" t="s">
        <v>7333</v>
      </c>
      <c r="I842" s="235" t="s">
        <v>7333</v>
      </c>
      <c r="J842" s="235" t="s">
        <v>7340</v>
      </c>
      <c r="K842" s="235" t="s">
        <v>7341</v>
      </c>
      <c r="N842" s="235" t="s">
        <v>962</v>
      </c>
      <c r="O842" s="235" t="s">
        <v>963</v>
      </c>
      <c r="P842" s="238">
        <v>1.0</v>
      </c>
      <c r="Q842" s="235" t="s">
        <v>627</v>
      </c>
      <c r="R842" s="238">
        <v>246.66</v>
      </c>
      <c r="S842" s="238">
        <v>12.34</v>
      </c>
      <c r="T842" s="238">
        <v>0.0</v>
      </c>
      <c r="U842" s="238">
        <v>0.0</v>
      </c>
      <c r="V842" s="238">
        <v>0.0</v>
      </c>
      <c r="W842" s="238">
        <v>0.0</v>
      </c>
      <c r="X842" s="235" t="s">
        <v>628</v>
      </c>
      <c r="Z842" s="244"/>
      <c r="AA842" s="244"/>
      <c r="AB842" s="244"/>
      <c r="AC842" s="235" t="s">
        <v>1887</v>
      </c>
      <c r="AD842" s="235" t="s">
        <v>679</v>
      </c>
      <c r="AE842" s="238">
        <v>560035.0</v>
      </c>
      <c r="AF842" s="235" t="s">
        <v>631</v>
      </c>
      <c r="AG842" s="244"/>
      <c r="AH842" s="244"/>
      <c r="AI842" s="245"/>
      <c r="AJ842" s="245"/>
      <c r="AK842" s="245"/>
      <c r="AL842" s="245"/>
      <c r="AM842" s="244"/>
      <c r="AN842" s="244"/>
      <c r="AO842" s="238">
        <v>0.0</v>
      </c>
      <c r="AP842" s="238">
        <v>0.0</v>
      </c>
      <c r="AQ842" s="235" t="s">
        <v>632</v>
      </c>
      <c r="AR842" s="243">
        <v>1.68E11</v>
      </c>
      <c r="AS842" s="235" t="s">
        <v>6608</v>
      </c>
      <c r="AT842" s="235" t="s">
        <v>11</v>
      </c>
      <c r="AU842" s="235" t="s">
        <v>634</v>
      </c>
      <c r="AV842" s="246" t="s">
        <v>635</v>
      </c>
      <c r="AW842" s="242"/>
      <c r="AX842" s="242"/>
      <c r="AY842" s="231"/>
      <c r="AZ842" s="231"/>
      <c r="BA842" s="227"/>
      <c r="BB842" s="231"/>
      <c r="BC842" s="227"/>
      <c r="BD842" s="227"/>
      <c r="BE842" s="227"/>
      <c r="BF842" s="227"/>
    </row>
    <row r="843">
      <c r="A843" s="235" t="s">
        <v>7342</v>
      </c>
      <c r="C843" s="235" t="s">
        <v>7343</v>
      </c>
      <c r="D843" s="235" t="s">
        <v>7344</v>
      </c>
      <c r="E843" s="243">
        <v>6.56E13</v>
      </c>
      <c r="F843" s="245"/>
      <c r="G843" s="235" t="s">
        <v>7345</v>
      </c>
      <c r="H843" s="235" t="s">
        <v>7346</v>
      </c>
      <c r="I843" s="235" t="s">
        <v>7346</v>
      </c>
      <c r="J843" s="235" t="s">
        <v>7347</v>
      </c>
      <c r="K843" s="235" t="s">
        <v>7348</v>
      </c>
      <c r="N843" s="235" t="s">
        <v>842</v>
      </c>
      <c r="O843" s="235" t="s">
        <v>843</v>
      </c>
      <c r="P843" s="238">
        <v>1.0</v>
      </c>
      <c r="Q843" s="235" t="s">
        <v>627</v>
      </c>
      <c r="R843" s="238">
        <v>246.67</v>
      </c>
      <c r="S843" s="238">
        <v>12.33</v>
      </c>
      <c r="T843" s="238">
        <v>0.0</v>
      </c>
      <c r="U843" s="238">
        <v>0.0</v>
      </c>
      <c r="V843" s="238">
        <v>0.0</v>
      </c>
      <c r="W843" s="238">
        <v>0.0</v>
      </c>
      <c r="X843" s="235" t="s">
        <v>628</v>
      </c>
      <c r="Z843" s="244"/>
      <c r="AA843" s="244"/>
      <c r="AB843" s="244"/>
      <c r="AC843" s="235" t="s">
        <v>697</v>
      </c>
      <c r="AD843" s="235" t="s">
        <v>698</v>
      </c>
      <c r="AE843" s="238">
        <v>500085.0</v>
      </c>
      <c r="AF843" s="235" t="s">
        <v>631</v>
      </c>
      <c r="AG843" s="244"/>
      <c r="AH843" s="244"/>
      <c r="AI843" s="245"/>
      <c r="AJ843" s="245"/>
      <c r="AK843" s="245"/>
      <c r="AL843" s="245"/>
      <c r="AM843" s="244"/>
      <c r="AN843" s="244"/>
      <c r="AO843" s="238">
        <v>0.0</v>
      </c>
      <c r="AP843" s="238">
        <v>0.0</v>
      </c>
      <c r="AQ843" s="235" t="s">
        <v>632</v>
      </c>
      <c r="AR843" s="243">
        <v>2.02E11</v>
      </c>
      <c r="AS843" s="235" t="s">
        <v>6164</v>
      </c>
      <c r="AT843" s="235" t="s">
        <v>16</v>
      </c>
      <c r="AU843" s="235" t="s">
        <v>634</v>
      </c>
      <c r="AV843" s="246" t="s">
        <v>635</v>
      </c>
      <c r="AW843" s="242"/>
      <c r="AX843" s="242"/>
      <c r="AY843" s="231"/>
      <c r="AZ843" s="231"/>
      <c r="BA843" s="227"/>
      <c r="BB843" s="231"/>
      <c r="BC843" s="227"/>
      <c r="BD843" s="227"/>
      <c r="BE843" s="227"/>
      <c r="BF843" s="227"/>
    </row>
    <row r="844">
      <c r="A844" s="235" t="s">
        <v>7349</v>
      </c>
      <c r="C844" s="235" t="s">
        <v>7350</v>
      </c>
      <c r="D844" s="235" t="s">
        <v>7351</v>
      </c>
      <c r="E844" s="243">
        <v>6.56E13</v>
      </c>
      <c r="F844" s="245"/>
      <c r="G844" s="235" t="s">
        <v>7352</v>
      </c>
      <c r="H844" s="235" t="s">
        <v>7353</v>
      </c>
      <c r="I844" s="235" t="s">
        <v>7353</v>
      </c>
      <c r="J844" s="235" t="s">
        <v>7354</v>
      </c>
      <c r="K844" s="235" t="s">
        <v>7355</v>
      </c>
      <c r="N844" s="235" t="s">
        <v>144</v>
      </c>
      <c r="O844" s="235" t="s">
        <v>232</v>
      </c>
      <c r="P844" s="238">
        <v>1.0</v>
      </c>
      <c r="Q844" s="235" t="s">
        <v>627</v>
      </c>
      <c r="R844" s="238">
        <v>665.72</v>
      </c>
      <c r="S844" s="238">
        <v>33.28</v>
      </c>
      <c r="T844" s="238">
        <v>0.0</v>
      </c>
      <c r="U844" s="238">
        <v>0.0</v>
      </c>
      <c r="V844" s="238">
        <v>0.0</v>
      </c>
      <c r="W844" s="238">
        <v>0.0</v>
      </c>
      <c r="X844" s="235" t="s">
        <v>628</v>
      </c>
      <c r="Z844" s="244"/>
      <c r="AA844" s="244"/>
      <c r="AB844" s="244"/>
      <c r="AC844" s="235" t="s">
        <v>7356</v>
      </c>
      <c r="AD844" s="235" t="s">
        <v>679</v>
      </c>
      <c r="AE844" s="238">
        <v>573103.0</v>
      </c>
      <c r="AF844" s="235" t="s">
        <v>631</v>
      </c>
      <c r="AG844" s="244"/>
      <c r="AH844" s="244"/>
      <c r="AI844" s="245"/>
      <c r="AJ844" s="245"/>
      <c r="AK844" s="245"/>
      <c r="AL844" s="245"/>
      <c r="AM844" s="244"/>
      <c r="AN844" s="244"/>
      <c r="AO844" s="238">
        <v>0.0</v>
      </c>
      <c r="AP844" s="238">
        <v>0.0</v>
      </c>
      <c r="AQ844" s="235" t="s">
        <v>632</v>
      </c>
      <c r="AR844" s="243">
        <v>3.71E11</v>
      </c>
      <c r="AS844" s="235" t="s">
        <v>4697</v>
      </c>
      <c r="AT844" s="235" t="s">
        <v>11</v>
      </c>
      <c r="AU844" s="235" t="s">
        <v>634</v>
      </c>
      <c r="AV844" s="246" t="s">
        <v>635</v>
      </c>
      <c r="AW844" s="242"/>
      <c r="AX844" s="242"/>
      <c r="AY844" s="231"/>
      <c r="AZ844" s="231"/>
      <c r="BA844" s="227"/>
      <c r="BB844" s="231"/>
      <c r="BC844" s="227"/>
      <c r="BD844" s="227"/>
      <c r="BE844" s="227"/>
      <c r="BF844" s="227"/>
    </row>
    <row r="845">
      <c r="A845" s="235" t="s">
        <v>7357</v>
      </c>
      <c r="C845" s="235" t="s">
        <v>7358</v>
      </c>
      <c r="D845" s="235" t="s">
        <v>7359</v>
      </c>
      <c r="E845" s="243">
        <v>6.56E13</v>
      </c>
      <c r="F845" s="245"/>
      <c r="G845" s="235" t="s">
        <v>7360</v>
      </c>
      <c r="H845" s="235" t="s">
        <v>7361</v>
      </c>
      <c r="I845" s="235" t="s">
        <v>7362</v>
      </c>
      <c r="J845" s="235" t="s">
        <v>7363</v>
      </c>
      <c r="K845" s="235" t="s">
        <v>7364</v>
      </c>
      <c r="N845" s="235" t="s">
        <v>130</v>
      </c>
      <c r="O845" s="235" t="s">
        <v>707</v>
      </c>
      <c r="P845" s="238">
        <v>1.0</v>
      </c>
      <c r="Q845" s="235" t="s">
        <v>627</v>
      </c>
      <c r="R845" s="238">
        <v>246.66</v>
      </c>
      <c r="S845" s="238">
        <v>12.34</v>
      </c>
      <c r="T845" s="238">
        <v>0.0</v>
      </c>
      <c r="U845" s="238">
        <v>0.0</v>
      </c>
      <c r="V845" s="238">
        <v>0.0</v>
      </c>
      <c r="W845" s="238">
        <v>0.0</v>
      </c>
      <c r="X845" s="235" t="s">
        <v>628</v>
      </c>
      <c r="Z845" s="244"/>
      <c r="AA845" s="244"/>
      <c r="AB845" s="244"/>
      <c r="AC845" s="235" t="s">
        <v>678</v>
      </c>
      <c r="AD845" s="235" t="s">
        <v>679</v>
      </c>
      <c r="AE845" s="238">
        <v>560054.0</v>
      </c>
      <c r="AF845" s="235" t="s">
        <v>631</v>
      </c>
      <c r="AG845" s="244"/>
      <c r="AH845" s="244"/>
      <c r="AI845" s="245"/>
      <c r="AJ845" s="245"/>
      <c r="AK845" s="245"/>
      <c r="AL845" s="245"/>
      <c r="AM845" s="244"/>
      <c r="AN845" s="244"/>
      <c r="AO845" s="238">
        <v>0.0</v>
      </c>
      <c r="AP845" s="238">
        <v>0.0</v>
      </c>
      <c r="AQ845" s="235" t="s">
        <v>632</v>
      </c>
      <c r="AR845" s="243">
        <v>1.68E11</v>
      </c>
      <c r="AS845" s="235" t="s">
        <v>7365</v>
      </c>
      <c r="AT845" s="235" t="s">
        <v>11</v>
      </c>
      <c r="AU845" s="235" t="s">
        <v>634</v>
      </c>
      <c r="AV845" s="246" t="s">
        <v>635</v>
      </c>
      <c r="AW845" s="242"/>
      <c r="AX845" s="242"/>
      <c r="AY845" s="231"/>
      <c r="AZ845" s="231"/>
      <c r="BA845" s="227"/>
      <c r="BB845" s="231"/>
      <c r="BC845" s="227"/>
      <c r="BD845" s="227"/>
      <c r="BE845" s="227"/>
      <c r="BF845" s="227"/>
    </row>
    <row r="846">
      <c r="A846" s="235" t="s">
        <v>7368</v>
      </c>
      <c r="C846" s="235" t="s">
        <v>7369</v>
      </c>
      <c r="D846" s="235" t="s">
        <v>7370</v>
      </c>
      <c r="E846" s="243">
        <v>6.56E13</v>
      </c>
      <c r="F846" s="245"/>
      <c r="G846" s="235" t="s">
        <v>7371</v>
      </c>
      <c r="H846" s="235" t="s">
        <v>7372</v>
      </c>
      <c r="I846" s="235" t="s">
        <v>7372</v>
      </c>
      <c r="J846" s="235" t="s">
        <v>7373</v>
      </c>
      <c r="K846" s="235" t="s">
        <v>7374</v>
      </c>
      <c r="N846" s="235" t="s">
        <v>130</v>
      </c>
      <c r="O846" s="235" t="s">
        <v>707</v>
      </c>
      <c r="P846" s="238">
        <v>1.0</v>
      </c>
      <c r="Q846" s="235" t="s">
        <v>627</v>
      </c>
      <c r="R846" s="238">
        <v>246.67</v>
      </c>
      <c r="S846" s="238">
        <v>12.33</v>
      </c>
      <c r="T846" s="238">
        <v>38.1</v>
      </c>
      <c r="U846" s="238">
        <v>1.9</v>
      </c>
      <c r="V846" s="238">
        <v>0.0</v>
      </c>
      <c r="W846" s="238">
        <v>0.0</v>
      </c>
      <c r="X846" s="235" t="s">
        <v>628</v>
      </c>
      <c r="Z846" s="244"/>
      <c r="AA846" s="244"/>
      <c r="AB846" s="244"/>
      <c r="AC846" s="235" t="s">
        <v>7375</v>
      </c>
      <c r="AD846" s="235" t="s">
        <v>1151</v>
      </c>
      <c r="AE846" s="238">
        <v>713146.0</v>
      </c>
      <c r="AF846" s="235" t="s">
        <v>631</v>
      </c>
      <c r="AG846" s="244"/>
      <c r="AH846" s="244"/>
      <c r="AI846" s="245"/>
      <c r="AJ846" s="245"/>
      <c r="AK846" s="245"/>
      <c r="AL846" s="245"/>
      <c r="AM846" s="244"/>
      <c r="AN846" s="244"/>
      <c r="AO846" s="238">
        <v>0.0</v>
      </c>
      <c r="AP846" s="238">
        <v>-38.1</v>
      </c>
      <c r="AQ846" s="235" t="s">
        <v>632</v>
      </c>
      <c r="AR846" s="243">
        <v>3.71E11</v>
      </c>
      <c r="AS846" s="235" t="s">
        <v>3284</v>
      </c>
      <c r="AT846" s="235" t="s">
        <v>14</v>
      </c>
      <c r="AU846" s="235" t="s">
        <v>634</v>
      </c>
      <c r="AV846" s="246" t="s">
        <v>635</v>
      </c>
      <c r="AW846" s="242"/>
      <c r="AX846" s="242"/>
      <c r="AY846" s="231"/>
      <c r="AZ846" s="231"/>
      <c r="BA846" s="227"/>
      <c r="BB846" s="231"/>
      <c r="BC846" s="227"/>
      <c r="BD846" s="227"/>
      <c r="BE846" s="227"/>
      <c r="BF846" s="227"/>
    </row>
    <row r="847">
      <c r="A847" s="235" t="s">
        <v>7376</v>
      </c>
      <c r="C847" s="235" t="s">
        <v>7377</v>
      </c>
      <c r="D847" s="235" t="s">
        <v>7378</v>
      </c>
      <c r="E847" s="243">
        <v>6.56E13</v>
      </c>
      <c r="F847" s="245"/>
      <c r="G847" s="235" t="s">
        <v>7379</v>
      </c>
      <c r="H847" s="235" t="s">
        <v>7380</v>
      </c>
      <c r="I847" s="235" t="s">
        <v>7380</v>
      </c>
      <c r="J847" s="235" t="s">
        <v>7381</v>
      </c>
      <c r="K847" s="235" t="s">
        <v>7382</v>
      </c>
      <c r="N847" s="235" t="s">
        <v>68</v>
      </c>
      <c r="O847" s="235" t="s">
        <v>208</v>
      </c>
      <c r="P847" s="238">
        <v>1.0</v>
      </c>
      <c r="Q847" s="235" t="s">
        <v>627</v>
      </c>
      <c r="R847" s="238">
        <v>246.66</v>
      </c>
      <c r="S847" s="238">
        <v>12.34</v>
      </c>
      <c r="T847" s="238">
        <v>38.1</v>
      </c>
      <c r="U847" s="238">
        <v>1.9</v>
      </c>
      <c r="V847" s="238">
        <v>0.0</v>
      </c>
      <c r="W847" s="238">
        <v>0.0</v>
      </c>
      <c r="X847" s="235" t="s">
        <v>628</v>
      </c>
      <c r="Z847" s="244"/>
      <c r="AA847" s="244"/>
      <c r="AB847" s="244"/>
      <c r="AC847" s="235" t="s">
        <v>687</v>
      </c>
      <c r="AD847" s="235" t="s">
        <v>666</v>
      </c>
      <c r="AE847" s="238">
        <v>600077.0</v>
      </c>
      <c r="AF847" s="235" t="s">
        <v>631</v>
      </c>
      <c r="AG847" s="244"/>
      <c r="AH847" s="244"/>
      <c r="AI847" s="245"/>
      <c r="AJ847" s="245"/>
      <c r="AK847" s="245"/>
      <c r="AL847" s="245"/>
      <c r="AM847" s="244"/>
      <c r="AN847" s="244"/>
      <c r="AO847" s="238">
        <v>0.0</v>
      </c>
      <c r="AP847" s="238">
        <v>-38.1</v>
      </c>
      <c r="AQ847" s="235" t="s">
        <v>632</v>
      </c>
      <c r="AR847" s="243">
        <v>3.71E11</v>
      </c>
      <c r="AS847" s="235" t="s">
        <v>6164</v>
      </c>
      <c r="AT847" s="235" t="s">
        <v>156</v>
      </c>
      <c r="AU847" s="235" t="s">
        <v>634</v>
      </c>
      <c r="AV847" s="246" t="s">
        <v>635</v>
      </c>
      <c r="AW847" s="242"/>
      <c r="AX847" s="242"/>
      <c r="AY847" s="231"/>
      <c r="AZ847" s="231"/>
      <c r="BA847" s="227"/>
      <c r="BB847" s="231"/>
      <c r="BC847" s="227"/>
      <c r="BD847" s="227"/>
      <c r="BE847" s="227"/>
      <c r="BF847" s="227"/>
    </row>
    <row r="848">
      <c r="A848" s="235" t="s">
        <v>7383</v>
      </c>
      <c r="C848" s="235" t="s">
        <v>7384</v>
      </c>
      <c r="D848" s="235" t="s">
        <v>7385</v>
      </c>
      <c r="E848" s="243">
        <v>6.56E13</v>
      </c>
      <c r="F848" s="245"/>
      <c r="G848" s="235" t="s">
        <v>7386</v>
      </c>
      <c r="H848" s="235" t="s">
        <v>7387</v>
      </c>
      <c r="I848" s="235" t="s">
        <v>7387</v>
      </c>
      <c r="J848" s="235" t="s">
        <v>7388</v>
      </c>
      <c r="K848" s="235" t="s">
        <v>7389</v>
      </c>
      <c r="N848" s="235" t="s">
        <v>0</v>
      </c>
      <c r="O848" s="235" t="s">
        <v>740</v>
      </c>
      <c r="P848" s="238">
        <v>1.0</v>
      </c>
      <c r="Q848" s="235" t="s">
        <v>627</v>
      </c>
      <c r="R848" s="238">
        <v>265.71</v>
      </c>
      <c r="S848" s="238">
        <v>13.29</v>
      </c>
      <c r="T848" s="238">
        <v>0.0</v>
      </c>
      <c r="U848" s="238">
        <v>0.0</v>
      </c>
      <c r="V848" s="238">
        <v>0.0</v>
      </c>
      <c r="W848" s="238">
        <v>0.0</v>
      </c>
      <c r="X848" s="235" t="s">
        <v>628</v>
      </c>
      <c r="Z848" s="244"/>
      <c r="AA848" s="244"/>
      <c r="AB848" s="244"/>
      <c r="AC848" s="235" t="s">
        <v>795</v>
      </c>
      <c r="AD848" s="235" t="s">
        <v>796</v>
      </c>
      <c r="AE848" s="238">
        <v>110092.0</v>
      </c>
      <c r="AF848" s="235" t="s">
        <v>631</v>
      </c>
      <c r="AG848" s="244"/>
      <c r="AH848" s="244"/>
      <c r="AI848" s="245"/>
      <c r="AJ848" s="245"/>
      <c r="AK848" s="245"/>
      <c r="AL848" s="245"/>
      <c r="AM848" s="244"/>
      <c r="AN848" s="244"/>
      <c r="AO848" s="238">
        <v>0.0</v>
      </c>
      <c r="AP848" s="238">
        <v>0.0</v>
      </c>
      <c r="AQ848" s="235" t="s">
        <v>632</v>
      </c>
      <c r="AR848" s="243">
        <v>1.68E11</v>
      </c>
      <c r="AS848" s="235" t="s">
        <v>6608</v>
      </c>
      <c r="AT848" s="235" t="s">
        <v>13</v>
      </c>
      <c r="AU848" s="235" t="s">
        <v>634</v>
      </c>
      <c r="AV848" s="246" t="s">
        <v>635</v>
      </c>
      <c r="AW848" s="242"/>
      <c r="AX848" s="242"/>
      <c r="AY848" s="231"/>
      <c r="AZ848" s="231"/>
      <c r="BA848" s="227"/>
      <c r="BB848" s="231"/>
      <c r="BC848" s="227"/>
      <c r="BD848" s="227"/>
      <c r="BE848" s="227"/>
      <c r="BF848" s="227"/>
    </row>
    <row r="849">
      <c r="A849" s="235" t="s">
        <v>7390</v>
      </c>
      <c r="C849" s="235" t="s">
        <v>7391</v>
      </c>
      <c r="D849" s="235" t="s">
        <v>7392</v>
      </c>
      <c r="E849" s="243">
        <v>6.56E13</v>
      </c>
      <c r="F849" s="245"/>
      <c r="G849" s="235" t="s">
        <v>7393</v>
      </c>
      <c r="H849" s="235" t="s">
        <v>7394</v>
      </c>
      <c r="I849" s="235" t="s">
        <v>7394</v>
      </c>
      <c r="J849" s="235" t="s">
        <v>7395</v>
      </c>
      <c r="K849" s="235" t="s">
        <v>7396</v>
      </c>
      <c r="N849" s="235" t="s">
        <v>92</v>
      </c>
      <c r="O849" s="235" t="s">
        <v>248</v>
      </c>
      <c r="P849" s="238">
        <v>1.0</v>
      </c>
      <c r="Q849" s="235" t="s">
        <v>627</v>
      </c>
      <c r="R849" s="238">
        <v>246.67</v>
      </c>
      <c r="S849" s="238">
        <v>12.33</v>
      </c>
      <c r="T849" s="238">
        <v>0.0</v>
      </c>
      <c r="U849" s="238">
        <v>0.0</v>
      </c>
      <c r="V849" s="238">
        <v>0.0</v>
      </c>
      <c r="W849" s="238">
        <v>0.0</v>
      </c>
      <c r="X849" s="235" t="s">
        <v>628</v>
      </c>
      <c r="Z849" s="244"/>
      <c r="AA849" s="244"/>
      <c r="AB849" s="244"/>
      <c r="AC849" s="235" t="s">
        <v>7397</v>
      </c>
      <c r="AD849" s="235" t="s">
        <v>1077</v>
      </c>
      <c r="AE849" s="238">
        <v>393001.0</v>
      </c>
      <c r="AF849" s="235" t="s">
        <v>631</v>
      </c>
      <c r="AG849" s="244"/>
      <c r="AH849" s="244"/>
      <c r="AI849" s="245"/>
      <c r="AJ849" s="245"/>
      <c r="AK849" s="245"/>
      <c r="AL849" s="245"/>
      <c r="AM849" s="244"/>
      <c r="AN849" s="244"/>
      <c r="AO849" s="238">
        <v>0.0</v>
      </c>
      <c r="AP849" s="238">
        <v>0.0</v>
      </c>
      <c r="AQ849" s="235" t="s">
        <v>632</v>
      </c>
      <c r="AR849" s="243">
        <v>1.68E11</v>
      </c>
      <c r="AS849" s="235" t="s">
        <v>6164</v>
      </c>
      <c r="AT849" s="235" t="s">
        <v>16</v>
      </c>
      <c r="AU849" s="235" t="s">
        <v>634</v>
      </c>
      <c r="AV849" s="246" t="s">
        <v>635</v>
      </c>
      <c r="AW849" s="242"/>
      <c r="AX849" s="242"/>
      <c r="AY849" s="231"/>
      <c r="AZ849" s="231"/>
      <c r="BA849" s="227"/>
      <c r="BB849" s="231"/>
      <c r="BC849" s="227"/>
      <c r="BD849" s="227"/>
      <c r="BE849" s="227"/>
      <c r="BF849" s="227"/>
    </row>
    <row r="850">
      <c r="A850" s="235" t="s">
        <v>7398</v>
      </c>
      <c r="C850" s="235" t="s">
        <v>7399</v>
      </c>
      <c r="D850" s="235" t="s">
        <v>7400</v>
      </c>
      <c r="E850" s="243">
        <v>6.56E13</v>
      </c>
      <c r="F850" s="245"/>
      <c r="G850" s="235" t="s">
        <v>7401</v>
      </c>
      <c r="H850" s="235" t="s">
        <v>7402</v>
      </c>
      <c r="I850" s="235" t="s">
        <v>7403</v>
      </c>
      <c r="J850" s="235" t="s">
        <v>7404</v>
      </c>
      <c r="K850" s="235" t="s">
        <v>7405</v>
      </c>
      <c r="N850" s="235" t="s">
        <v>144</v>
      </c>
      <c r="O850" s="235" t="s">
        <v>232</v>
      </c>
      <c r="P850" s="238">
        <v>1.0</v>
      </c>
      <c r="Q850" s="235" t="s">
        <v>627</v>
      </c>
      <c r="R850" s="238">
        <v>665.71</v>
      </c>
      <c r="S850" s="238">
        <v>32.62</v>
      </c>
      <c r="T850" s="238">
        <v>0.0</v>
      </c>
      <c r="U850" s="238">
        <v>0.0</v>
      </c>
      <c r="V850" s="238">
        <v>0.0</v>
      </c>
      <c r="W850" s="238">
        <v>0.0</v>
      </c>
      <c r="X850" s="235" t="s">
        <v>628</v>
      </c>
      <c r="Z850" s="244"/>
      <c r="AA850" s="244"/>
      <c r="AB850" s="244"/>
      <c r="AC850" s="235" t="s">
        <v>7406</v>
      </c>
      <c r="AD850" s="235" t="s">
        <v>1499</v>
      </c>
      <c r="AE850" s="238">
        <v>473551.0</v>
      </c>
      <c r="AF850" s="235" t="s">
        <v>631</v>
      </c>
      <c r="AG850" s="244"/>
      <c r="AH850" s="244"/>
      <c r="AI850" s="245"/>
      <c r="AJ850" s="245"/>
      <c r="AK850" s="245"/>
      <c r="AL850" s="245"/>
      <c r="AM850" s="244"/>
      <c r="AN850" s="244"/>
      <c r="AO850" s="238">
        <v>-13.31</v>
      </c>
      <c r="AP850" s="238">
        <v>0.0</v>
      </c>
      <c r="AQ850" s="235" t="s">
        <v>632</v>
      </c>
      <c r="AR850" s="243">
        <v>3.71E11</v>
      </c>
      <c r="AS850" s="235" t="s">
        <v>3284</v>
      </c>
      <c r="AT850" s="235" t="s">
        <v>5</v>
      </c>
      <c r="AU850" s="235" t="s">
        <v>634</v>
      </c>
      <c r="AV850" s="246" t="s">
        <v>635</v>
      </c>
      <c r="AW850" s="242"/>
      <c r="AX850" s="242"/>
      <c r="AY850" s="231"/>
      <c r="AZ850" s="231"/>
      <c r="BA850" s="227"/>
      <c r="BB850" s="231"/>
      <c r="BC850" s="227"/>
      <c r="BD850" s="227"/>
      <c r="BE850" s="227"/>
      <c r="BF850" s="227"/>
    </row>
    <row r="851">
      <c r="A851" s="235" t="s">
        <v>7407</v>
      </c>
      <c r="C851" s="235" t="s">
        <v>7408</v>
      </c>
      <c r="D851" s="235" t="s">
        <v>7409</v>
      </c>
      <c r="E851" s="243">
        <v>6.56E13</v>
      </c>
      <c r="F851" s="245"/>
      <c r="G851" s="235" t="s">
        <v>7410</v>
      </c>
      <c r="H851" s="235" t="s">
        <v>7411</v>
      </c>
      <c r="I851" s="235" t="s">
        <v>7411</v>
      </c>
      <c r="J851" s="235" t="s">
        <v>7412</v>
      </c>
      <c r="K851" s="235" t="s">
        <v>7413</v>
      </c>
      <c r="N851" s="235" t="s">
        <v>136</v>
      </c>
      <c r="O851" s="235" t="s">
        <v>256</v>
      </c>
      <c r="P851" s="238">
        <v>1.0</v>
      </c>
      <c r="Q851" s="235" t="s">
        <v>627</v>
      </c>
      <c r="R851" s="238">
        <v>246.66</v>
      </c>
      <c r="S851" s="238">
        <v>12.34</v>
      </c>
      <c r="T851" s="238">
        <v>0.0</v>
      </c>
      <c r="U851" s="238">
        <v>0.0</v>
      </c>
      <c r="V851" s="238">
        <v>0.0</v>
      </c>
      <c r="W851" s="238">
        <v>0.0</v>
      </c>
      <c r="X851" s="235" t="s">
        <v>628</v>
      </c>
      <c r="Z851" s="244"/>
      <c r="AA851" s="244"/>
      <c r="AB851" s="244"/>
      <c r="AC851" s="235" t="s">
        <v>678</v>
      </c>
      <c r="AD851" s="235" t="s">
        <v>679</v>
      </c>
      <c r="AE851" s="238">
        <v>562149.0</v>
      </c>
      <c r="AF851" s="235" t="s">
        <v>631</v>
      </c>
      <c r="AG851" s="244"/>
      <c r="AH851" s="244"/>
      <c r="AI851" s="245"/>
      <c r="AJ851" s="245"/>
      <c r="AK851" s="245"/>
      <c r="AL851" s="245"/>
      <c r="AM851" s="244"/>
      <c r="AN851" s="244"/>
      <c r="AO851" s="238">
        <v>0.0</v>
      </c>
      <c r="AP851" s="238">
        <v>0.0</v>
      </c>
      <c r="AQ851" s="235" t="s">
        <v>632</v>
      </c>
      <c r="AR851" s="243">
        <v>3.71E11</v>
      </c>
      <c r="AS851" s="235" t="s">
        <v>6164</v>
      </c>
      <c r="AT851" s="235" t="s">
        <v>9</v>
      </c>
      <c r="AU851" s="235" t="s">
        <v>634</v>
      </c>
      <c r="AV851" s="246" t="s">
        <v>635</v>
      </c>
      <c r="AW851" s="242"/>
      <c r="AX851" s="242"/>
      <c r="AY851" s="231"/>
      <c r="AZ851" s="231"/>
      <c r="BA851" s="227"/>
      <c r="BB851" s="231"/>
      <c r="BC851" s="227"/>
      <c r="BD851" s="227"/>
      <c r="BE851" s="227"/>
      <c r="BF851" s="227"/>
    </row>
    <row r="852">
      <c r="A852" s="235" t="s">
        <v>7414</v>
      </c>
      <c r="C852" s="235" t="s">
        <v>7415</v>
      </c>
      <c r="D852" s="235" t="s">
        <v>7416</v>
      </c>
      <c r="E852" s="243">
        <v>6.56E13</v>
      </c>
      <c r="F852" s="245"/>
      <c r="G852" s="235" t="s">
        <v>7417</v>
      </c>
      <c r="H852" s="235" t="s">
        <v>7418</v>
      </c>
      <c r="I852" s="235" t="s">
        <v>7418</v>
      </c>
      <c r="J852" s="235" t="s">
        <v>7419</v>
      </c>
      <c r="K852" s="235" t="s">
        <v>7420</v>
      </c>
      <c r="N852" s="235" t="s">
        <v>92</v>
      </c>
      <c r="O852" s="235" t="s">
        <v>248</v>
      </c>
      <c r="P852" s="238">
        <v>1.0</v>
      </c>
      <c r="Q852" s="235" t="s">
        <v>627</v>
      </c>
      <c r="R852" s="238">
        <v>246.66</v>
      </c>
      <c r="S852" s="238">
        <v>12.34</v>
      </c>
      <c r="T852" s="238">
        <v>0.0</v>
      </c>
      <c r="U852" s="238">
        <v>0.0</v>
      </c>
      <c r="V852" s="238">
        <v>0.0</v>
      </c>
      <c r="W852" s="238">
        <v>0.0</v>
      </c>
      <c r="X852" s="235" t="s">
        <v>628</v>
      </c>
      <c r="Z852" s="244"/>
      <c r="AA852" s="244"/>
      <c r="AB852" s="244"/>
      <c r="AC852" s="235" t="s">
        <v>7421</v>
      </c>
      <c r="AD852" s="235" t="s">
        <v>679</v>
      </c>
      <c r="AE852" s="238">
        <v>580031.0</v>
      </c>
      <c r="AF852" s="235" t="s">
        <v>631</v>
      </c>
      <c r="AG852" s="244"/>
      <c r="AH852" s="244"/>
      <c r="AI852" s="245"/>
      <c r="AJ852" s="245"/>
      <c r="AK852" s="245"/>
      <c r="AL852" s="245"/>
      <c r="AM852" s="244"/>
      <c r="AN852" s="244"/>
      <c r="AO852" s="238">
        <v>0.0</v>
      </c>
      <c r="AP852" s="238">
        <v>0.0</v>
      </c>
      <c r="AQ852" s="235" t="s">
        <v>632</v>
      </c>
      <c r="AR852" s="243">
        <v>3.71E11</v>
      </c>
      <c r="AS852" s="235" t="s">
        <v>6164</v>
      </c>
      <c r="AT852" s="235" t="s">
        <v>11</v>
      </c>
      <c r="AU852" s="235" t="s">
        <v>634</v>
      </c>
      <c r="AV852" s="246" t="s">
        <v>635</v>
      </c>
      <c r="AW852" s="242"/>
      <c r="AX852" s="242"/>
      <c r="AY852" s="231"/>
      <c r="AZ852" s="231"/>
      <c r="BA852" s="227"/>
      <c r="BB852" s="231"/>
      <c r="BC852" s="227"/>
      <c r="BD852" s="227"/>
      <c r="BE852" s="227"/>
      <c r="BF852" s="227"/>
    </row>
    <row r="853">
      <c r="A853" s="235" t="s">
        <v>7422</v>
      </c>
      <c r="C853" s="235" t="s">
        <v>7423</v>
      </c>
      <c r="D853" s="235" t="s">
        <v>7424</v>
      </c>
      <c r="E853" s="243">
        <v>6.56E13</v>
      </c>
      <c r="F853" s="245"/>
      <c r="G853" s="235" t="s">
        <v>7425</v>
      </c>
      <c r="H853" s="235" t="s">
        <v>7426</v>
      </c>
      <c r="I853" s="235" t="s">
        <v>7426</v>
      </c>
      <c r="J853" s="235" t="s">
        <v>7427</v>
      </c>
      <c r="K853" s="235" t="s">
        <v>7428</v>
      </c>
      <c r="N853" s="235" t="s">
        <v>68</v>
      </c>
      <c r="O853" s="235" t="s">
        <v>208</v>
      </c>
      <c r="P853" s="238">
        <v>1.0</v>
      </c>
      <c r="Q853" s="235" t="s">
        <v>627</v>
      </c>
      <c r="R853" s="238">
        <v>246.66</v>
      </c>
      <c r="S853" s="238">
        <v>12.34</v>
      </c>
      <c r="T853" s="238">
        <v>0.0</v>
      </c>
      <c r="U853" s="238">
        <v>0.0</v>
      </c>
      <c r="V853" s="238">
        <v>0.0</v>
      </c>
      <c r="W853" s="238">
        <v>0.0</v>
      </c>
      <c r="X853" s="235" t="s">
        <v>628</v>
      </c>
      <c r="Z853" s="244"/>
      <c r="AA853" s="244"/>
      <c r="AB853" s="244"/>
      <c r="AC853" s="235" t="s">
        <v>1456</v>
      </c>
      <c r="AD853" s="235" t="s">
        <v>928</v>
      </c>
      <c r="AE853" s="238">
        <v>122004.0</v>
      </c>
      <c r="AF853" s="235" t="s">
        <v>631</v>
      </c>
      <c r="AG853" s="244"/>
      <c r="AH853" s="244"/>
      <c r="AI853" s="245"/>
      <c r="AJ853" s="245"/>
      <c r="AK853" s="245"/>
      <c r="AL853" s="245"/>
      <c r="AM853" s="244"/>
      <c r="AN853" s="244"/>
      <c r="AO853" s="238">
        <v>0.0</v>
      </c>
      <c r="AP853" s="238">
        <v>0.0</v>
      </c>
      <c r="AQ853" s="235" t="s">
        <v>632</v>
      </c>
      <c r="AR853" s="243">
        <v>3.71E11</v>
      </c>
      <c r="AS853" s="235" t="s">
        <v>6164</v>
      </c>
      <c r="AT853" s="235" t="s">
        <v>13</v>
      </c>
      <c r="AU853" s="235" t="s">
        <v>634</v>
      </c>
      <c r="AV853" s="246" t="s">
        <v>635</v>
      </c>
      <c r="AW853" s="242"/>
      <c r="AX853" s="242"/>
      <c r="AY853" s="231"/>
      <c r="AZ853" s="231"/>
      <c r="BA853" s="227"/>
      <c r="BB853" s="231"/>
      <c r="BC853" s="227"/>
      <c r="BD853" s="227"/>
      <c r="BE853" s="227"/>
      <c r="BF853" s="227"/>
    </row>
    <row r="854">
      <c r="A854" s="235" t="s">
        <v>7429</v>
      </c>
      <c r="C854" s="235" t="s">
        <v>7430</v>
      </c>
      <c r="D854" s="235" t="s">
        <v>7431</v>
      </c>
      <c r="E854" s="243">
        <v>6.56E13</v>
      </c>
      <c r="F854" s="245"/>
      <c r="G854" s="235" t="s">
        <v>7432</v>
      </c>
      <c r="H854" s="235" t="s">
        <v>7433</v>
      </c>
      <c r="I854" s="235" t="s">
        <v>7433</v>
      </c>
      <c r="J854" s="235" t="s">
        <v>7434</v>
      </c>
      <c r="K854" s="235" t="s">
        <v>7435</v>
      </c>
      <c r="N854" s="235" t="s">
        <v>138</v>
      </c>
      <c r="O854" s="235" t="s">
        <v>675</v>
      </c>
      <c r="P854" s="238">
        <v>1.0</v>
      </c>
      <c r="Q854" s="235" t="s">
        <v>627</v>
      </c>
      <c r="R854" s="238">
        <v>246.66</v>
      </c>
      <c r="S854" s="238">
        <v>12.34</v>
      </c>
      <c r="T854" s="238">
        <v>38.1</v>
      </c>
      <c r="U854" s="238">
        <v>1.9</v>
      </c>
      <c r="V854" s="238">
        <v>0.0</v>
      </c>
      <c r="W854" s="238">
        <v>0.0</v>
      </c>
      <c r="X854" s="235" t="s">
        <v>628</v>
      </c>
      <c r="Z854" s="244"/>
      <c r="AA854" s="244"/>
      <c r="AB854" s="244"/>
      <c r="AC854" s="235" t="s">
        <v>1095</v>
      </c>
      <c r="AD854" s="235" t="s">
        <v>845</v>
      </c>
      <c r="AE854" s="238">
        <v>410206.0</v>
      </c>
      <c r="AF854" s="235" t="s">
        <v>631</v>
      </c>
      <c r="AG854" s="244"/>
      <c r="AH854" s="244"/>
      <c r="AI854" s="245"/>
      <c r="AJ854" s="245"/>
      <c r="AK854" s="245"/>
      <c r="AL854" s="245"/>
      <c r="AM854" s="244"/>
      <c r="AN854" s="244"/>
      <c r="AO854" s="238">
        <v>0.0</v>
      </c>
      <c r="AP854" s="238">
        <v>-38.1</v>
      </c>
      <c r="AQ854" s="235" t="s">
        <v>632</v>
      </c>
      <c r="AR854" s="243">
        <v>3.71E11</v>
      </c>
      <c r="AS854" s="235" t="s">
        <v>4697</v>
      </c>
      <c r="AT854" s="235" t="s">
        <v>17</v>
      </c>
      <c r="AU854" s="235" t="s">
        <v>634</v>
      </c>
      <c r="AV854" s="246" t="s">
        <v>635</v>
      </c>
      <c r="AW854" s="242"/>
      <c r="AX854" s="242"/>
      <c r="AY854" s="231"/>
      <c r="AZ854" s="231"/>
      <c r="BA854" s="227"/>
      <c r="BB854" s="231"/>
      <c r="BC854" s="227"/>
      <c r="BD854" s="227"/>
      <c r="BE854" s="227"/>
      <c r="BF854" s="227"/>
    </row>
    <row r="855">
      <c r="A855" s="235" t="s">
        <v>7436</v>
      </c>
      <c r="C855" s="235" t="s">
        <v>7437</v>
      </c>
      <c r="D855" s="235" t="s">
        <v>7438</v>
      </c>
      <c r="E855" s="243">
        <v>6.56E13</v>
      </c>
      <c r="F855" s="245"/>
      <c r="G855" s="235" t="s">
        <v>7439</v>
      </c>
      <c r="H855" s="235" t="s">
        <v>7440</v>
      </c>
      <c r="I855" s="235" t="s">
        <v>7441</v>
      </c>
      <c r="J855" s="235" t="s">
        <v>7442</v>
      </c>
      <c r="K855" s="235" t="s">
        <v>7443</v>
      </c>
      <c r="N855" s="235" t="s">
        <v>144</v>
      </c>
      <c r="O855" s="235" t="s">
        <v>232</v>
      </c>
      <c r="P855" s="238">
        <v>1.0</v>
      </c>
      <c r="Q855" s="235" t="s">
        <v>627</v>
      </c>
      <c r="R855" s="238">
        <v>665.72</v>
      </c>
      <c r="S855" s="238">
        <v>33.28</v>
      </c>
      <c r="T855" s="238">
        <v>0.0</v>
      </c>
      <c r="U855" s="238">
        <v>0.0</v>
      </c>
      <c r="V855" s="238">
        <v>0.0</v>
      </c>
      <c r="W855" s="238">
        <v>0.0</v>
      </c>
      <c r="X855" s="235" t="s">
        <v>628</v>
      </c>
      <c r="Z855" s="244"/>
      <c r="AA855" s="244"/>
      <c r="AB855" s="244"/>
      <c r="AC855" s="235" t="s">
        <v>1887</v>
      </c>
      <c r="AD855" s="235" t="s">
        <v>679</v>
      </c>
      <c r="AE855" s="238">
        <v>560076.0</v>
      </c>
      <c r="AF855" s="235" t="s">
        <v>631</v>
      </c>
      <c r="AG855" s="244"/>
      <c r="AH855" s="244"/>
      <c r="AI855" s="245"/>
      <c r="AJ855" s="245"/>
      <c r="AK855" s="245"/>
      <c r="AL855" s="245"/>
      <c r="AM855" s="244"/>
      <c r="AN855" s="244"/>
      <c r="AO855" s="238">
        <v>0.0</v>
      </c>
      <c r="AP855" s="238">
        <v>0.0</v>
      </c>
      <c r="AQ855" s="235" t="s">
        <v>632</v>
      </c>
      <c r="AR855" s="243">
        <v>1.68E11</v>
      </c>
      <c r="AS855" s="235" t="s">
        <v>7365</v>
      </c>
      <c r="AT855" s="235" t="s">
        <v>9</v>
      </c>
      <c r="AU855" s="235" t="s">
        <v>634</v>
      </c>
      <c r="AV855" s="246" t="s">
        <v>635</v>
      </c>
      <c r="AW855" s="242"/>
      <c r="AX855" s="242"/>
      <c r="AY855" s="231"/>
      <c r="AZ855" s="231"/>
      <c r="BA855" s="227"/>
      <c r="BB855" s="231"/>
      <c r="BC855" s="227"/>
      <c r="BD855" s="227"/>
      <c r="BE855" s="227"/>
      <c r="BF855" s="227"/>
    </row>
    <row r="856">
      <c r="A856" s="235" t="s">
        <v>7444</v>
      </c>
      <c r="C856" s="235" t="s">
        <v>7445</v>
      </c>
      <c r="D856" s="235" t="s">
        <v>7446</v>
      </c>
      <c r="E856" s="243">
        <v>6.56E13</v>
      </c>
      <c r="F856" s="245"/>
      <c r="G856" s="235" t="s">
        <v>7447</v>
      </c>
      <c r="H856" s="235" t="s">
        <v>7448</v>
      </c>
      <c r="I856" s="235" t="s">
        <v>7449</v>
      </c>
      <c r="J856" s="235" t="s">
        <v>7450</v>
      </c>
      <c r="K856" s="235" t="s">
        <v>7451</v>
      </c>
      <c r="N856" s="235" t="s">
        <v>61</v>
      </c>
      <c r="O856" s="235" t="s">
        <v>382</v>
      </c>
      <c r="P856" s="238">
        <v>1.0</v>
      </c>
      <c r="Q856" s="235" t="s">
        <v>627</v>
      </c>
      <c r="R856" s="238">
        <v>360.95</v>
      </c>
      <c r="S856" s="238">
        <v>17.69</v>
      </c>
      <c r="T856" s="238">
        <v>0.0</v>
      </c>
      <c r="U856" s="238">
        <v>0.0</v>
      </c>
      <c r="V856" s="238">
        <v>0.0</v>
      </c>
      <c r="W856" s="238">
        <v>0.0</v>
      </c>
      <c r="X856" s="235" t="s">
        <v>628</v>
      </c>
      <c r="Z856" s="244"/>
      <c r="AA856" s="244"/>
      <c r="AB856" s="244"/>
      <c r="AC856" s="235" t="s">
        <v>3449</v>
      </c>
      <c r="AD856" s="235" t="s">
        <v>833</v>
      </c>
      <c r="AE856" s="238">
        <v>533101.0</v>
      </c>
      <c r="AF856" s="235" t="s">
        <v>631</v>
      </c>
      <c r="AG856" s="244"/>
      <c r="AH856" s="244"/>
      <c r="AI856" s="245"/>
      <c r="AJ856" s="245"/>
      <c r="AK856" s="245"/>
      <c r="AL856" s="245"/>
      <c r="AM856" s="244"/>
      <c r="AN856" s="244"/>
      <c r="AO856" s="238">
        <v>-7.22</v>
      </c>
      <c r="AP856" s="238">
        <v>0.0</v>
      </c>
      <c r="AQ856" s="235" t="s">
        <v>632</v>
      </c>
      <c r="AR856" s="243">
        <v>3.71E11</v>
      </c>
      <c r="AS856" s="235" t="s">
        <v>4697</v>
      </c>
      <c r="AT856" s="235" t="s">
        <v>156</v>
      </c>
      <c r="AU856" s="235" t="s">
        <v>634</v>
      </c>
      <c r="AV856" s="246" t="s">
        <v>635</v>
      </c>
      <c r="AW856" s="242"/>
      <c r="AX856" s="242"/>
      <c r="AY856" s="231"/>
      <c r="AZ856" s="231"/>
      <c r="BA856" s="227"/>
      <c r="BB856" s="231"/>
      <c r="BC856" s="227"/>
      <c r="BD856" s="227"/>
      <c r="BE856" s="227"/>
      <c r="BF856" s="227"/>
    </row>
    <row r="857">
      <c r="A857" s="235" t="s">
        <v>7452</v>
      </c>
      <c r="C857" s="235" t="s">
        <v>7453</v>
      </c>
      <c r="D857" s="235" t="s">
        <v>7454</v>
      </c>
      <c r="E857" s="243">
        <v>6.56E13</v>
      </c>
      <c r="F857" s="245"/>
      <c r="G857" s="235" t="s">
        <v>7455</v>
      </c>
      <c r="H857" s="235" t="s">
        <v>7456</v>
      </c>
      <c r="I857" s="235" t="s">
        <v>7457</v>
      </c>
      <c r="J857" s="235" t="s">
        <v>7458</v>
      </c>
      <c r="K857" s="235" t="s">
        <v>7459</v>
      </c>
      <c r="N857" s="235" t="s">
        <v>82</v>
      </c>
      <c r="O857" s="235" t="s">
        <v>889</v>
      </c>
      <c r="P857" s="238">
        <v>1.0</v>
      </c>
      <c r="Q857" s="235" t="s">
        <v>627</v>
      </c>
      <c r="R857" s="238">
        <v>246.67</v>
      </c>
      <c r="S857" s="238">
        <v>12.33</v>
      </c>
      <c r="T857" s="238">
        <v>38.1</v>
      </c>
      <c r="U857" s="238">
        <v>1.9</v>
      </c>
      <c r="V857" s="238">
        <v>0.0</v>
      </c>
      <c r="W857" s="238">
        <v>0.0</v>
      </c>
      <c r="X857" s="235" t="s">
        <v>628</v>
      </c>
      <c r="Z857" s="244"/>
      <c r="AA857" s="244"/>
      <c r="AB857" s="244"/>
      <c r="AC857" s="235" t="s">
        <v>7460</v>
      </c>
      <c r="AD857" s="235" t="s">
        <v>698</v>
      </c>
      <c r="AE857" s="238">
        <v>501144.0</v>
      </c>
      <c r="AF857" s="235" t="s">
        <v>631</v>
      </c>
      <c r="AG857" s="244"/>
      <c r="AH857" s="244"/>
      <c r="AI857" s="245"/>
      <c r="AJ857" s="245"/>
      <c r="AK857" s="245"/>
      <c r="AL857" s="245"/>
      <c r="AM857" s="244"/>
      <c r="AN857" s="244"/>
      <c r="AO857" s="238">
        <v>0.0</v>
      </c>
      <c r="AP857" s="238">
        <v>-38.1</v>
      </c>
      <c r="AQ857" s="235" t="s">
        <v>632</v>
      </c>
      <c r="AR857" s="243">
        <v>3.71E11</v>
      </c>
      <c r="AS857" s="235" t="s">
        <v>4697</v>
      </c>
      <c r="AT857" s="235" t="s">
        <v>9</v>
      </c>
      <c r="AU857" s="235" t="s">
        <v>634</v>
      </c>
      <c r="AV857" s="246" t="s">
        <v>635</v>
      </c>
      <c r="AW857" s="242"/>
      <c r="AX857" s="242"/>
      <c r="AY857" s="231"/>
      <c r="AZ857" s="231"/>
      <c r="BA857" s="227"/>
      <c r="BB857" s="231"/>
      <c r="BC857" s="227"/>
      <c r="BD857" s="227"/>
      <c r="BE857" s="227"/>
      <c r="BF857" s="227"/>
    </row>
    <row r="858">
      <c r="A858" s="235" t="s">
        <v>7461</v>
      </c>
      <c r="C858" s="235" t="s">
        <v>7462</v>
      </c>
      <c r="D858" s="235" t="s">
        <v>7463</v>
      </c>
      <c r="E858" s="243">
        <v>6.56E13</v>
      </c>
      <c r="F858" s="245"/>
      <c r="G858" s="235" t="s">
        <v>7464</v>
      </c>
      <c r="H858" s="235" t="s">
        <v>7465</v>
      </c>
      <c r="I858" s="235" t="s">
        <v>7465</v>
      </c>
      <c r="J858" s="235" t="s">
        <v>7466</v>
      </c>
      <c r="K858" s="235" t="s">
        <v>7467</v>
      </c>
      <c r="N858" s="235" t="s">
        <v>51</v>
      </c>
      <c r="O858" s="235" t="s">
        <v>273</v>
      </c>
      <c r="P858" s="238">
        <v>1.0</v>
      </c>
      <c r="Q858" s="235" t="s">
        <v>627</v>
      </c>
      <c r="R858" s="238">
        <v>237.14</v>
      </c>
      <c r="S858" s="238">
        <v>11.86</v>
      </c>
      <c r="T858" s="238">
        <v>0.0</v>
      </c>
      <c r="U858" s="238">
        <v>0.0</v>
      </c>
      <c r="V858" s="238">
        <v>0.0</v>
      </c>
      <c r="W858" s="238">
        <v>0.0</v>
      </c>
      <c r="X858" s="235" t="s">
        <v>628</v>
      </c>
      <c r="Z858" s="244"/>
      <c r="AA858" s="244"/>
      <c r="AB858" s="244"/>
      <c r="AC858" s="235" t="s">
        <v>1355</v>
      </c>
      <c r="AD858" s="235" t="s">
        <v>833</v>
      </c>
      <c r="AE858" s="238">
        <v>518004.0</v>
      </c>
      <c r="AF858" s="235" t="s">
        <v>631</v>
      </c>
      <c r="AG858" s="244"/>
      <c r="AH858" s="244"/>
      <c r="AI858" s="245"/>
      <c r="AJ858" s="245"/>
      <c r="AK858" s="245"/>
      <c r="AL858" s="245"/>
      <c r="AM858" s="244"/>
      <c r="AN858" s="244"/>
      <c r="AO858" s="238">
        <v>0.0</v>
      </c>
      <c r="AP858" s="238">
        <v>0.0</v>
      </c>
      <c r="AQ858" s="235" t="s">
        <v>632</v>
      </c>
      <c r="AR858" s="243">
        <v>3.71E11</v>
      </c>
      <c r="AS858" s="235" t="s">
        <v>4697</v>
      </c>
      <c r="AT858" s="235" t="s">
        <v>9</v>
      </c>
      <c r="AU858" s="235" t="s">
        <v>634</v>
      </c>
      <c r="AV858" s="246" t="s">
        <v>635</v>
      </c>
      <c r="AW858" s="242"/>
      <c r="AX858" s="242"/>
      <c r="AY858" s="231"/>
      <c r="AZ858" s="231"/>
      <c r="BA858" s="227"/>
      <c r="BB858" s="231"/>
      <c r="BC858" s="227"/>
      <c r="BD858" s="227"/>
      <c r="BE858" s="227"/>
      <c r="BF858" s="227"/>
    </row>
    <row r="859">
      <c r="A859" s="235" t="s">
        <v>7468</v>
      </c>
      <c r="C859" s="235" t="s">
        <v>7469</v>
      </c>
      <c r="D859" s="235" t="s">
        <v>7470</v>
      </c>
      <c r="E859" s="243">
        <v>6.53E13</v>
      </c>
      <c r="F859" s="245"/>
      <c r="G859" s="235" t="s">
        <v>7471</v>
      </c>
      <c r="H859" s="235" t="s">
        <v>7472</v>
      </c>
      <c r="I859" s="235" t="s">
        <v>7472</v>
      </c>
      <c r="J859" s="235" t="s">
        <v>7473</v>
      </c>
      <c r="K859" s="235" t="s">
        <v>7474</v>
      </c>
      <c r="N859" s="235" t="s">
        <v>962</v>
      </c>
      <c r="O859" s="235" t="s">
        <v>963</v>
      </c>
      <c r="P859" s="238">
        <v>1.0</v>
      </c>
      <c r="Q859" s="235" t="s">
        <v>627</v>
      </c>
      <c r="R859" s="238">
        <v>270.48</v>
      </c>
      <c r="S859" s="238">
        <v>13.25</v>
      </c>
      <c r="T859" s="238">
        <v>0.0</v>
      </c>
      <c r="U859" s="238">
        <v>0.0</v>
      </c>
      <c r="V859" s="238">
        <v>0.0</v>
      </c>
      <c r="W859" s="238">
        <v>0.0</v>
      </c>
      <c r="X859" s="235" t="s">
        <v>628</v>
      </c>
      <c r="Z859" s="244"/>
      <c r="AA859" s="244"/>
      <c r="AB859" s="244"/>
      <c r="AC859" s="235" t="s">
        <v>844</v>
      </c>
      <c r="AD859" s="235" t="s">
        <v>845</v>
      </c>
      <c r="AE859" s="238">
        <v>411046.0</v>
      </c>
      <c r="AF859" s="235" t="s">
        <v>631</v>
      </c>
      <c r="AG859" s="244"/>
      <c r="AH859" s="244"/>
      <c r="AI859" s="245"/>
      <c r="AJ859" s="245"/>
      <c r="AK859" s="245"/>
      <c r="AL859" s="245"/>
      <c r="AM859" s="244"/>
      <c r="AN859" s="244"/>
      <c r="AO859" s="238">
        <v>-5.41</v>
      </c>
      <c r="AP859" s="238">
        <v>0.0</v>
      </c>
      <c r="AQ859" s="235" t="s">
        <v>632</v>
      </c>
      <c r="AR859" s="243">
        <v>3.71E11</v>
      </c>
      <c r="AS859" s="235" t="s">
        <v>4697</v>
      </c>
      <c r="AT859" s="235" t="s">
        <v>16</v>
      </c>
      <c r="AU859" s="235" t="s">
        <v>634</v>
      </c>
      <c r="AV859" s="246" t="s">
        <v>635</v>
      </c>
      <c r="AW859" s="242"/>
      <c r="AX859" s="242"/>
      <c r="AY859" s="231"/>
      <c r="AZ859" s="231"/>
      <c r="BA859" s="227"/>
      <c r="BB859" s="231"/>
      <c r="BC859" s="227"/>
      <c r="BD859" s="227"/>
      <c r="BE859" s="227"/>
      <c r="BF859" s="227"/>
    </row>
    <row r="860">
      <c r="A860" s="235" t="s">
        <v>7475</v>
      </c>
      <c r="C860" s="235" t="s">
        <v>7476</v>
      </c>
      <c r="D860" s="235" t="s">
        <v>7477</v>
      </c>
      <c r="E860" s="243">
        <v>6.56E13</v>
      </c>
      <c r="F860" s="245"/>
      <c r="G860" s="235" t="s">
        <v>7478</v>
      </c>
      <c r="H860" s="235" t="s">
        <v>7479</v>
      </c>
      <c r="I860" s="235" t="s">
        <v>7479</v>
      </c>
      <c r="J860" s="235" t="s">
        <v>7480</v>
      </c>
      <c r="K860" s="235" t="s">
        <v>7481</v>
      </c>
      <c r="N860" s="235" t="s">
        <v>136</v>
      </c>
      <c r="O860" s="235" t="s">
        <v>256</v>
      </c>
      <c r="P860" s="238">
        <v>1.0</v>
      </c>
      <c r="Q860" s="235" t="s">
        <v>627</v>
      </c>
      <c r="R860" s="238">
        <v>246.67</v>
      </c>
      <c r="S860" s="238">
        <v>12.33</v>
      </c>
      <c r="T860" s="238">
        <v>0.0</v>
      </c>
      <c r="U860" s="238">
        <v>0.0</v>
      </c>
      <c r="V860" s="238">
        <v>0.0</v>
      </c>
      <c r="W860" s="238">
        <v>0.0</v>
      </c>
      <c r="X860" s="235" t="s">
        <v>628</v>
      </c>
      <c r="Z860" s="244"/>
      <c r="AA860" s="244"/>
      <c r="AB860" s="244"/>
      <c r="AC860" s="235" t="s">
        <v>697</v>
      </c>
      <c r="AD860" s="235" t="s">
        <v>698</v>
      </c>
      <c r="AE860" s="238">
        <v>500006.0</v>
      </c>
      <c r="AF860" s="235" t="s">
        <v>631</v>
      </c>
      <c r="AG860" s="244"/>
      <c r="AH860" s="244"/>
      <c r="AI860" s="245"/>
      <c r="AJ860" s="245"/>
      <c r="AK860" s="245"/>
      <c r="AL860" s="245"/>
      <c r="AM860" s="244"/>
      <c r="AN860" s="244"/>
      <c r="AO860" s="238">
        <v>0.0</v>
      </c>
      <c r="AP860" s="238">
        <v>0.0</v>
      </c>
      <c r="AQ860" s="235" t="s">
        <v>632</v>
      </c>
      <c r="AR860" s="243">
        <v>1.68E11</v>
      </c>
      <c r="AS860" s="235" t="s">
        <v>6164</v>
      </c>
      <c r="AT860" s="235" t="s">
        <v>9</v>
      </c>
      <c r="AU860" s="235" t="s">
        <v>634</v>
      </c>
      <c r="AV860" s="246" t="s">
        <v>635</v>
      </c>
      <c r="AW860" s="242"/>
      <c r="AX860" s="242"/>
      <c r="AY860" s="231"/>
      <c r="AZ860" s="231"/>
      <c r="BA860" s="227"/>
      <c r="BB860" s="231"/>
      <c r="BC860" s="227"/>
      <c r="BD860" s="227"/>
      <c r="BE860" s="227"/>
      <c r="BF860" s="227"/>
    </row>
    <row r="861">
      <c r="A861" s="235" t="s">
        <v>7483</v>
      </c>
      <c r="C861" s="235" t="s">
        <v>7484</v>
      </c>
      <c r="D861" s="235" t="s">
        <v>7486</v>
      </c>
      <c r="E861" s="243">
        <v>6.56E13</v>
      </c>
      <c r="F861" s="245"/>
      <c r="G861" s="235" t="s">
        <v>7487</v>
      </c>
      <c r="H861" s="235" t="s">
        <v>7488</v>
      </c>
      <c r="I861" s="235" t="s">
        <v>7488</v>
      </c>
      <c r="J861" s="235" t="s">
        <v>7489</v>
      </c>
      <c r="K861" s="235" t="s">
        <v>7490</v>
      </c>
      <c r="N861" s="235" t="s">
        <v>145</v>
      </c>
      <c r="O861" s="235" t="s">
        <v>370</v>
      </c>
      <c r="P861" s="238">
        <v>1.0</v>
      </c>
      <c r="Q861" s="235" t="s">
        <v>627</v>
      </c>
      <c r="R861" s="238">
        <v>1522.86</v>
      </c>
      <c r="S861" s="238">
        <v>76.14</v>
      </c>
      <c r="T861" s="238">
        <v>0.0</v>
      </c>
      <c r="U861" s="238">
        <v>0.0</v>
      </c>
      <c r="V861" s="238">
        <v>0.0</v>
      </c>
      <c r="W861" s="238">
        <v>0.0</v>
      </c>
      <c r="X861" s="235" t="s">
        <v>628</v>
      </c>
      <c r="Z861" s="244"/>
      <c r="AA861" s="244"/>
      <c r="AB861" s="244"/>
      <c r="AC861" s="235" t="s">
        <v>678</v>
      </c>
      <c r="AD861" s="235" t="s">
        <v>679</v>
      </c>
      <c r="AE861" s="238">
        <v>560092.0</v>
      </c>
      <c r="AF861" s="235" t="s">
        <v>631</v>
      </c>
      <c r="AG861" s="244"/>
      <c r="AH861" s="244"/>
      <c r="AI861" s="245"/>
      <c r="AJ861" s="245"/>
      <c r="AK861" s="245"/>
      <c r="AL861" s="245"/>
      <c r="AM861" s="244"/>
      <c r="AN861" s="244"/>
      <c r="AO861" s="238">
        <v>0.0</v>
      </c>
      <c r="AP861" s="238">
        <v>0.0</v>
      </c>
      <c r="AQ861" s="235" t="s">
        <v>632</v>
      </c>
      <c r="AR861" s="243">
        <v>1.68E11</v>
      </c>
      <c r="AS861" s="235" t="s">
        <v>7365</v>
      </c>
      <c r="AT861" s="235" t="s">
        <v>11</v>
      </c>
      <c r="AU861" s="235" t="s">
        <v>634</v>
      </c>
      <c r="AV861" s="246" t="s">
        <v>635</v>
      </c>
      <c r="AW861" s="242"/>
      <c r="AX861" s="242"/>
      <c r="AY861" s="231"/>
      <c r="AZ861" s="231"/>
      <c r="BA861" s="227"/>
      <c r="BB861" s="231"/>
      <c r="BC861" s="227"/>
      <c r="BD861" s="227"/>
      <c r="BE861" s="227"/>
      <c r="BF861" s="227"/>
    </row>
    <row r="862">
      <c r="A862" s="235" t="s">
        <v>7491</v>
      </c>
      <c r="C862" s="235" t="s">
        <v>7492</v>
      </c>
      <c r="D862" s="235" t="s">
        <v>7493</v>
      </c>
      <c r="E862" s="243">
        <v>6.56E13</v>
      </c>
      <c r="F862" s="245"/>
      <c r="G862" s="235" t="s">
        <v>7494</v>
      </c>
      <c r="H862" s="235" t="s">
        <v>7495</v>
      </c>
      <c r="I862" s="235" t="s">
        <v>7495</v>
      </c>
      <c r="J862" s="235" t="s">
        <v>7496</v>
      </c>
      <c r="K862" s="235" t="s">
        <v>7497</v>
      </c>
      <c r="N862" s="235" t="s">
        <v>42</v>
      </c>
      <c r="O862" s="235" t="s">
        <v>204</v>
      </c>
      <c r="P862" s="238">
        <v>1.0</v>
      </c>
      <c r="Q862" s="235" t="s">
        <v>627</v>
      </c>
      <c r="R862" s="238">
        <v>237.14</v>
      </c>
      <c r="S862" s="238">
        <v>11.86</v>
      </c>
      <c r="T862" s="238">
        <v>0.0</v>
      </c>
      <c r="U862" s="238">
        <v>0.0</v>
      </c>
      <c r="V862" s="238">
        <v>0.0</v>
      </c>
      <c r="W862" s="238">
        <v>0.0</v>
      </c>
      <c r="X862" s="235" t="s">
        <v>628</v>
      </c>
      <c r="Z862" s="244"/>
      <c r="AA862" s="244"/>
      <c r="AB862" s="244"/>
      <c r="AC862" s="235" t="s">
        <v>2493</v>
      </c>
      <c r="AD862" s="235" t="s">
        <v>833</v>
      </c>
      <c r="AE862" s="238">
        <v>520007.0</v>
      </c>
      <c r="AF862" s="235" t="s">
        <v>631</v>
      </c>
      <c r="AG862" s="244"/>
      <c r="AH862" s="244"/>
      <c r="AI862" s="245"/>
      <c r="AJ862" s="245"/>
      <c r="AK862" s="245"/>
      <c r="AL862" s="245"/>
      <c r="AM862" s="244"/>
      <c r="AN862" s="244"/>
      <c r="AO862" s="238">
        <v>0.0</v>
      </c>
      <c r="AP862" s="238">
        <v>0.0</v>
      </c>
      <c r="AQ862" s="235" t="s">
        <v>632</v>
      </c>
      <c r="AR862" s="243">
        <v>1.68E11</v>
      </c>
      <c r="AS862" s="235" t="s">
        <v>6164</v>
      </c>
      <c r="AT862" s="235" t="s">
        <v>156</v>
      </c>
      <c r="AU862" s="235" t="s">
        <v>634</v>
      </c>
      <c r="AV862" s="246" t="s">
        <v>635</v>
      </c>
      <c r="AW862" s="242"/>
      <c r="AX862" s="242"/>
      <c r="AY862" s="231"/>
      <c r="AZ862" s="231"/>
      <c r="BA862" s="227"/>
      <c r="BB862" s="231"/>
      <c r="BC862" s="227"/>
      <c r="BD862" s="227"/>
      <c r="BE862" s="227"/>
      <c r="BF862" s="227"/>
    </row>
    <row r="863">
      <c r="A863" s="235" t="s">
        <v>7498</v>
      </c>
      <c r="C863" s="235" t="s">
        <v>7499</v>
      </c>
      <c r="D863" s="235" t="s">
        <v>7500</v>
      </c>
      <c r="E863" s="243">
        <v>6.56E13</v>
      </c>
      <c r="F863" s="245"/>
      <c r="G863" s="235" t="s">
        <v>7501</v>
      </c>
      <c r="H863" s="235" t="s">
        <v>7502</v>
      </c>
      <c r="I863" s="235" t="s">
        <v>7502</v>
      </c>
      <c r="J863" s="235" t="s">
        <v>7503</v>
      </c>
      <c r="K863" s="235" t="s">
        <v>7504</v>
      </c>
      <c r="N863" s="235" t="s">
        <v>154</v>
      </c>
      <c r="O863" s="235" t="s">
        <v>766</v>
      </c>
      <c r="P863" s="238">
        <v>1.0</v>
      </c>
      <c r="Q863" s="235" t="s">
        <v>627</v>
      </c>
      <c r="R863" s="238">
        <v>465.71</v>
      </c>
      <c r="S863" s="238">
        <v>23.29</v>
      </c>
      <c r="T863" s="238">
        <v>0.0</v>
      </c>
      <c r="U863" s="238">
        <v>0.0</v>
      </c>
      <c r="V863" s="238">
        <v>0.0</v>
      </c>
      <c r="W863" s="238">
        <v>0.0</v>
      </c>
      <c r="X863" s="235" t="s">
        <v>628</v>
      </c>
      <c r="Z863" s="244"/>
      <c r="AA863" s="244"/>
      <c r="AB863" s="244"/>
      <c r="AC863" s="235" t="s">
        <v>7505</v>
      </c>
      <c r="AD863" s="235" t="s">
        <v>645</v>
      </c>
      <c r="AE863" s="238">
        <v>689673.0</v>
      </c>
      <c r="AF863" s="235" t="s">
        <v>631</v>
      </c>
      <c r="AG863" s="244"/>
      <c r="AH863" s="244"/>
      <c r="AI863" s="245"/>
      <c r="AJ863" s="245"/>
      <c r="AK863" s="245"/>
      <c r="AL863" s="245"/>
      <c r="AM863" s="244"/>
      <c r="AN863" s="244"/>
      <c r="AO863" s="238">
        <v>0.0</v>
      </c>
      <c r="AP863" s="238">
        <v>0.0</v>
      </c>
      <c r="AQ863" s="235" t="s">
        <v>632</v>
      </c>
      <c r="AR863" s="243">
        <v>3.71E11</v>
      </c>
      <c r="AS863" s="235" t="s">
        <v>4697</v>
      </c>
      <c r="AT863" s="235" t="s">
        <v>155</v>
      </c>
      <c r="AU863" s="235" t="s">
        <v>634</v>
      </c>
      <c r="AV863" s="246" t="s">
        <v>635</v>
      </c>
      <c r="AW863" s="242"/>
      <c r="AX863" s="242"/>
      <c r="AY863" s="231"/>
      <c r="AZ863" s="231"/>
      <c r="BA863" s="227"/>
      <c r="BB863" s="231"/>
      <c r="BC863" s="227"/>
      <c r="BD863" s="227"/>
      <c r="BE863" s="227"/>
      <c r="BF863" s="227"/>
    </row>
    <row r="864">
      <c r="A864" s="235" t="s">
        <v>7506</v>
      </c>
      <c r="C864" s="235" t="s">
        <v>7507</v>
      </c>
      <c r="D864" s="235" t="s">
        <v>7508</v>
      </c>
      <c r="E864" s="243">
        <v>6.56E13</v>
      </c>
      <c r="F864" s="245"/>
      <c r="G864" s="235" t="s">
        <v>7509</v>
      </c>
      <c r="H864" s="235" t="s">
        <v>7510</v>
      </c>
      <c r="I864" s="235" t="s">
        <v>7510</v>
      </c>
      <c r="J864" s="235" t="s">
        <v>7511</v>
      </c>
      <c r="K864" s="235" t="s">
        <v>7512</v>
      </c>
      <c r="N864" s="235" t="s">
        <v>141</v>
      </c>
      <c r="O864" s="235" t="s">
        <v>342</v>
      </c>
      <c r="P864" s="238">
        <v>1.0</v>
      </c>
      <c r="Q864" s="235" t="s">
        <v>627</v>
      </c>
      <c r="R864" s="238">
        <v>246.67</v>
      </c>
      <c r="S864" s="238">
        <v>12.33</v>
      </c>
      <c r="T864" s="238">
        <v>38.1</v>
      </c>
      <c r="U864" s="238">
        <v>1.9</v>
      </c>
      <c r="V864" s="238">
        <v>0.0</v>
      </c>
      <c r="W864" s="238">
        <v>0.0</v>
      </c>
      <c r="X864" s="235" t="s">
        <v>628</v>
      </c>
      <c r="Z864" s="244"/>
      <c r="AA864" s="244"/>
      <c r="AB864" s="244"/>
      <c r="AC864" s="235" t="s">
        <v>7513</v>
      </c>
      <c r="AD864" s="235" t="s">
        <v>630</v>
      </c>
      <c r="AE864" s="238">
        <v>230001.0</v>
      </c>
      <c r="AF864" s="235" t="s">
        <v>631</v>
      </c>
      <c r="AG864" s="244"/>
      <c r="AH864" s="244"/>
      <c r="AI864" s="245"/>
      <c r="AJ864" s="245"/>
      <c r="AK864" s="245"/>
      <c r="AL864" s="245"/>
      <c r="AM864" s="244"/>
      <c r="AN864" s="244"/>
      <c r="AO864" s="238">
        <v>0.0</v>
      </c>
      <c r="AP864" s="238">
        <v>-38.1</v>
      </c>
      <c r="AQ864" s="235" t="s">
        <v>632</v>
      </c>
      <c r="AR864" s="243">
        <v>3.71E11</v>
      </c>
      <c r="AS864" s="235" t="s">
        <v>667</v>
      </c>
      <c r="AT864" s="235" t="s">
        <v>9</v>
      </c>
      <c r="AU864" s="235" t="s">
        <v>634</v>
      </c>
      <c r="AV864" s="246" t="s">
        <v>635</v>
      </c>
      <c r="AW864" s="242"/>
      <c r="AX864" s="242"/>
      <c r="AY864" s="231"/>
      <c r="AZ864" s="231"/>
      <c r="BA864" s="227"/>
      <c r="BB864" s="231"/>
      <c r="BC864" s="227"/>
      <c r="BD864" s="227"/>
      <c r="BE864" s="227"/>
      <c r="BF864" s="227"/>
    </row>
    <row r="865">
      <c r="A865" s="235" t="s">
        <v>7514</v>
      </c>
      <c r="C865" s="235" t="s">
        <v>7515</v>
      </c>
      <c r="D865" s="235" t="s">
        <v>7516</v>
      </c>
      <c r="E865" s="243">
        <v>6.56E13</v>
      </c>
      <c r="F865" s="245"/>
      <c r="G865" s="235" t="s">
        <v>7517</v>
      </c>
      <c r="H865" s="235" t="s">
        <v>7518</v>
      </c>
      <c r="I865" s="235" t="s">
        <v>7518</v>
      </c>
      <c r="J865" s="235" t="s">
        <v>7519</v>
      </c>
      <c r="K865" s="235" t="s">
        <v>7520</v>
      </c>
      <c r="N865" s="235" t="s">
        <v>42</v>
      </c>
      <c r="O865" s="235" t="s">
        <v>204</v>
      </c>
      <c r="P865" s="238">
        <v>1.0</v>
      </c>
      <c r="Q865" s="235" t="s">
        <v>627</v>
      </c>
      <c r="R865" s="238">
        <v>237.14</v>
      </c>
      <c r="S865" s="238">
        <v>11.62</v>
      </c>
      <c r="T865" s="238">
        <v>0.0</v>
      </c>
      <c r="U865" s="238">
        <v>0.0</v>
      </c>
      <c r="V865" s="238">
        <v>0.0</v>
      </c>
      <c r="W865" s="238">
        <v>0.0</v>
      </c>
      <c r="X865" s="235" t="s">
        <v>628</v>
      </c>
      <c r="Z865" s="244"/>
      <c r="AA865" s="244"/>
      <c r="AB865" s="244"/>
      <c r="AC865" s="235" t="s">
        <v>687</v>
      </c>
      <c r="AD865" s="235" t="s">
        <v>666</v>
      </c>
      <c r="AE865" s="238">
        <v>600059.0</v>
      </c>
      <c r="AF865" s="235" t="s">
        <v>631</v>
      </c>
      <c r="AG865" s="244"/>
      <c r="AH865" s="244"/>
      <c r="AI865" s="245"/>
      <c r="AJ865" s="245"/>
      <c r="AK865" s="245"/>
      <c r="AL865" s="245"/>
      <c r="AM865" s="244"/>
      <c r="AN865" s="244"/>
      <c r="AO865" s="238">
        <v>-4.74</v>
      </c>
      <c r="AP865" s="238">
        <v>0.0</v>
      </c>
      <c r="AQ865" s="235" t="s">
        <v>632</v>
      </c>
      <c r="AR865" s="243">
        <v>1.68E11</v>
      </c>
      <c r="AS865" s="235" t="s">
        <v>7365</v>
      </c>
      <c r="AT865" s="235" t="s">
        <v>156</v>
      </c>
      <c r="AU865" s="235" t="s">
        <v>634</v>
      </c>
      <c r="AV865" s="246" t="s">
        <v>635</v>
      </c>
      <c r="AW865" s="242"/>
      <c r="AX865" s="242"/>
      <c r="AY865" s="231"/>
      <c r="AZ865" s="231"/>
      <c r="BA865" s="227"/>
      <c r="BB865" s="231"/>
      <c r="BC865" s="227"/>
      <c r="BD865" s="227"/>
      <c r="BE865" s="227"/>
      <c r="BF865" s="227"/>
    </row>
    <row r="866">
      <c r="A866" s="235" t="s">
        <v>7521</v>
      </c>
      <c r="C866" s="235" t="s">
        <v>7522</v>
      </c>
      <c r="D866" s="235" t="s">
        <v>7523</v>
      </c>
      <c r="E866" s="243">
        <v>6.55E13</v>
      </c>
      <c r="F866" s="245"/>
      <c r="G866" s="235" t="s">
        <v>7524</v>
      </c>
      <c r="H866" s="235" t="s">
        <v>7525</v>
      </c>
      <c r="I866" s="235" t="s">
        <v>7525</v>
      </c>
      <c r="J866" s="235" t="s">
        <v>7526</v>
      </c>
      <c r="K866" s="235" t="s">
        <v>7527</v>
      </c>
      <c r="N866" s="235" t="s">
        <v>53</v>
      </c>
      <c r="O866" s="235" t="s">
        <v>512</v>
      </c>
      <c r="P866" s="238">
        <v>1.0</v>
      </c>
      <c r="Q866" s="235" t="s">
        <v>627</v>
      </c>
      <c r="R866" s="238">
        <v>237.14</v>
      </c>
      <c r="S866" s="238">
        <v>11.86</v>
      </c>
      <c r="T866" s="238">
        <v>38.1</v>
      </c>
      <c r="U866" s="238">
        <v>1.9</v>
      </c>
      <c r="V866" s="238">
        <v>0.0</v>
      </c>
      <c r="W866" s="238">
        <v>0.0</v>
      </c>
      <c r="X866" s="235" t="s">
        <v>628</v>
      </c>
      <c r="Z866" s="244"/>
      <c r="AA866" s="244"/>
      <c r="AB866" s="244"/>
      <c r="AC866" s="235" t="s">
        <v>7528</v>
      </c>
      <c r="AD866" s="235" t="s">
        <v>1151</v>
      </c>
      <c r="AE866" s="238">
        <v>721301.0</v>
      </c>
      <c r="AF866" s="235" t="s">
        <v>631</v>
      </c>
      <c r="AG866" s="244"/>
      <c r="AH866" s="244"/>
      <c r="AI866" s="245"/>
      <c r="AJ866" s="245"/>
      <c r="AK866" s="245"/>
      <c r="AL866" s="245"/>
      <c r="AM866" s="244"/>
      <c r="AN866" s="244"/>
      <c r="AO866" s="238">
        <v>0.0</v>
      </c>
      <c r="AP866" s="238">
        <v>-38.1</v>
      </c>
      <c r="AQ866" s="235" t="s">
        <v>632</v>
      </c>
      <c r="AR866" s="243">
        <v>3.71E11</v>
      </c>
      <c r="AS866" s="235" t="s">
        <v>667</v>
      </c>
      <c r="AT866" s="235" t="s">
        <v>13</v>
      </c>
      <c r="AU866" s="235" t="s">
        <v>634</v>
      </c>
      <c r="AV866" s="246" t="s">
        <v>635</v>
      </c>
      <c r="AW866" s="242"/>
      <c r="AX866" s="242"/>
      <c r="AY866" s="231"/>
      <c r="AZ866" s="231"/>
      <c r="BA866" s="227"/>
      <c r="BB866" s="231"/>
      <c r="BC866" s="227"/>
      <c r="BD866" s="227"/>
      <c r="BE866" s="227"/>
      <c r="BF866" s="227"/>
    </row>
    <row r="867">
      <c r="A867" s="235" t="s">
        <v>7529</v>
      </c>
      <c r="C867" s="235" t="s">
        <v>7530</v>
      </c>
      <c r="D867" s="235" t="s">
        <v>7531</v>
      </c>
      <c r="E867" s="243">
        <v>6.56E13</v>
      </c>
      <c r="F867" s="245"/>
      <c r="G867" s="235" t="s">
        <v>7532</v>
      </c>
      <c r="H867" s="235" t="s">
        <v>7533</v>
      </c>
      <c r="I867" s="235" t="s">
        <v>7533</v>
      </c>
      <c r="J867" s="235" t="s">
        <v>7534</v>
      </c>
      <c r="K867" s="235" t="s">
        <v>7535</v>
      </c>
      <c r="N867" s="235" t="s">
        <v>42</v>
      </c>
      <c r="O867" s="235" t="s">
        <v>204</v>
      </c>
      <c r="P867" s="238">
        <v>1.0</v>
      </c>
      <c r="Q867" s="235" t="s">
        <v>627</v>
      </c>
      <c r="R867" s="238">
        <v>237.14</v>
      </c>
      <c r="S867" s="238">
        <v>11.86</v>
      </c>
      <c r="T867" s="238">
        <v>0.0</v>
      </c>
      <c r="U867" s="238">
        <v>0.0</v>
      </c>
      <c r="V867" s="238">
        <v>0.0</v>
      </c>
      <c r="W867" s="238">
        <v>0.0</v>
      </c>
      <c r="X867" s="235" t="s">
        <v>628</v>
      </c>
      <c r="Z867" s="244"/>
      <c r="AA867" s="244"/>
      <c r="AB867" s="244"/>
      <c r="AC867" s="235" t="s">
        <v>687</v>
      </c>
      <c r="AD867" s="235" t="s">
        <v>666</v>
      </c>
      <c r="AE867" s="238">
        <v>600021.0</v>
      </c>
      <c r="AF867" s="235" t="s">
        <v>631</v>
      </c>
      <c r="AG867" s="244"/>
      <c r="AH867" s="244"/>
      <c r="AI867" s="245"/>
      <c r="AJ867" s="245"/>
      <c r="AK867" s="245"/>
      <c r="AL867" s="245"/>
      <c r="AM867" s="244"/>
      <c r="AN867" s="244"/>
      <c r="AO867" s="238">
        <v>0.0</v>
      </c>
      <c r="AP867" s="238">
        <v>0.0</v>
      </c>
      <c r="AQ867" s="235" t="s">
        <v>632</v>
      </c>
      <c r="AR867" s="243">
        <v>1.68E11</v>
      </c>
      <c r="AS867" s="235" t="s">
        <v>7365</v>
      </c>
      <c r="AT867" s="235" t="s">
        <v>156</v>
      </c>
      <c r="AU867" s="235" t="s">
        <v>634</v>
      </c>
      <c r="AV867" s="246" t="s">
        <v>635</v>
      </c>
      <c r="AW867" s="242"/>
      <c r="AX867" s="242"/>
      <c r="AY867" s="231"/>
      <c r="AZ867" s="231"/>
      <c r="BA867" s="227"/>
      <c r="BB867" s="231"/>
      <c r="BC867" s="227"/>
      <c r="BD867" s="227"/>
      <c r="BE867" s="227"/>
      <c r="BF867" s="227"/>
    </row>
    <row r="868">
      <c r="A868" s="235" t="s">
        <v>7536</v>
      </c>
      <c r="C868" s="235" t="s">
        <v>7537</v>
      </c>
      <c r="D868" s="235" t="s">
        <v>7538</v>
      </c>
      <c r="E868" s="243">
        <v>6.56E13</v>
      </c>
      <c r="F868" s="245"/>
      <c r="G868" s="235" t="s">
        <v>7539</v>
      </c>
      <c r="H868" s="235" t="s">
        <v>7540</v>
      </c>
      <c r="I868" s="235" t="s">
        <v>7541</v>
      </c>
      <c r="J868" s="235" t="s">
        <v>7542</v>
      </c>
      <c r="K868" s="235" t="s">
        <v>7543</v>
      </c>
      <c r="N868" s="235" t="s">
        <v>130</v>
      </c>
      <c r="O868" s="235" t="s">
        <v>707</v>
      </c>
      <c r="P868" s="238">
        <v>1.0</v>
      </c>
      <c r="Q868" s="235" t="s">
        <v>627</v>
      </c>
      <c r="R868" s="238">
        <v>246.66</v>
      </c>
      <c r="S868" s="238">
        <v>12.34</v>
      </c>
      <c r="T868" s="238">
        <v>0.0</v>
      </c>
      <c r="U868" s="238">
        <v>0.0</v>
      </c>
      <c r="V868" s="238">
        <v>0.0</v>
      </c>
      <c r="W868" s="238">
        <v>0.0</v>
      </c>
      <c r="X868" s="235" t="s">
        <v>628</v>
      </c>
      <c r="Z868" s="244"/>
      <c r="AA868" s="244"/>
      <c r="AB868" s="244"/>
      <c r="AC868" s="235" t="s">
        <v>687</v>
      </c>
      <c r="AD868" s="235" t="s">
        <v>666</v>
      </c>
      <c r="AE868" s="238">
        <v>600095.0</v>
      </c>
      <c r="AF868" s="235" t="s">
        <v>631</v>
      </c>
      <c r="AG868" s="244"/>
      <c r="AH868" s="244"/>
      <c r="AI868" s="245"/>
      <c r="AJ868" s="245"/>
      <c r="AK868" s="245"/>
      <c r="AL868" s="245"/>
      <c r="AM868" s="244"/>
      <c r="AN868" s="244"/>
      <c r="AO868" s="238">
        <v>0.0</v>
      </c>
      <c r="AP868" s="238">
        <v>0.0</v>
      </c>
      <c r="AQ868" s="235" t="s">
        <v>632</v>
      </c>
      <c r="AR868" s="243">
        <v>1.68E11</v>
      </c>
      <c r="AS868" s="235" t="s">
        <v>7365</v>
      </c>
      <c r="AT868" s="235" t="s">
        <v>156</v>
      </c>
      <c r="AU868" s="235" t="s">
        <v>634</v>
      </c>
      <c r="AV868" s="246" t="s">
        <v>635</v>
      </c>
      <c r="AW868" s="242"/>
      <c r="AX868" s="242"/>
      <c r="AY868" s="231"/>
      <c r="AZ868" s="231"/>
      <c r="BA868" s="227"/>
      <c r="BB868" s="231"/>
      <c r="BC868" s="227"/>
      <c r="BD868" s="227"/>
      <c r="BE868" s="227"/>
      <c r="BF868" s="227"/>
    </row>
    <row r="869">
      <c r="A869" s="235" t="s">
        <v>7544</v>
      </c>
      <c r="C869" s="235" t="s">
        <v>7545</v>
      </c>
      <c r="D869" s="235" t="s">
        <v>7546</v>
      </c>
      <c r="E869" s="243">
        <v>6.56E13</v>
      </c>
      <c r="F869" s="245"/>
      <c r="G869" s="235" t="s">
        <v>7547</v>
      </c>
      <c r="H869" s="235" t="s">
        <v>7548</v>
      </c>
      <c r="I869" s="235" t="s">
        <v>7548</v>
      </c>
      <c r="J869" s="235" t="s">
        <v>7549</v>
      </c>
      <c r="K869" s="235" t="s">
        <v>7550</v>
      </c>
      <c r="N869" s="235" t="s">
        <v>50</v>
      </c>
      <c r="O869" s="235" t="s">
        <v>367</v>
      </c>
      <c r="P869" s="238">
        <v>1.0</v>
      </c>
      <c r="Q869" s="235" t="s">
        <v>627</v>
      </c>
      <c r="R869" s="238">
        <v>232.38</v>
      </c>
      <c r="S869" s="238">
        <v>11.62</v>
      </c>
      <c r="T869" s="238">
        <v>0.0</v>
      </c>
      <c r="U869" s="238">
        <v>0.0</v>
      </c>
      <c r="V869" s="238">
        <v>0.0</v>
      </c>
      <c r="W869" s="238">
        <v>0.0</v>
      </c>
      <c r="X869" s="235" t="s">
        <v>628</v>
      </c>
      <c r="Z869" s="244"/>
      <c r="AA869" s="244"/>
      <c r="AB869" s="244"/>
      <c r="AC869" s="235" t="s">
        <v>687</v>
      </c>
      <c r="AD869" s="235" t="s">
        <v>666</v>
      </c>
      <c r="AE869" s="238">
        <v>600116.0</v>
      </c>
      <c r="AF869" s="235" t="s">
        <v>631</v>
      </c>
      <c r="AG869" s="244"/>
      <c r="AH869" s="244"/>
      <c r="AI869" s="245"/>
      <c r="AJ869" s="245"/>
      <c r="AK869" s="245"/>
      <c r="AL869" s="245"/>
      <c r="AM869" s="244"/>
      <c r="AN869" s="244"/>
      <c r="AO869" s="238">
        <v>0.0</v>
      </c>
      <c r="AP869" s="238">
        <v>0.0</v>
      </c>
      <c r="AQ869" s="235" t="s">
        <v>632</v>
      </c>
      <c r="AR869" s="243">
        <v>1.68E11</v>
      </c>
      <c r="AS869" s="235" t="s">
        <v>7365</v>
      </c>
      <c r="AT869" s="235" t="s">
        <v>156</v>
      </c>
      <c r="AU869" s="235" t="s">
        <v>634</v>
      </c>
      <c r="AV869" s="246" t="s">
        <v>635</v>
      </c>
      <c r="AW869" s="242"/>
      <c r="AX869" s="242"/>
      <c r="AY869" s="231"/>
      <c r="AZ869" s="231"/>
      <c r="BA869" s="227"/>
      <c r="BB869" s="231"/>
      <c r="BC869" s="227"/>
      <c r="BD869" s="227"/>
      <c r="BE869" s="227"/>
      <c r="BF869" s="227"/>
    </row>
    <row r="870">
      <c r="A870" s="235" t="s">
        <v>7551</v>
      </c>
      <c r="C870" s="235" t="s">
        <v>7552</v>
      </c>
      <c r="D870" s="235" t="s">
        <v>7553</v>
      </c>
      <c r="E870" s="243">
        <v>6.56E13</v>
      </c>
      <c r="F870" s="245"/>
      <c r="G870" s="235" t="s">
        <v>7554</v>
      </c>
      <c r="H870" s="235" t="s">
        <v>7555</v>
      </c>
      <c r="I870" s="235" t="s">
        <v>7555</v>
      </c>
      <c r="J870" s="235" t="s">
        <v>7556</v>
      </c>
      <c r="K870" s="235" t="s">
        <v>7557</v>
      </c>
      <c r="N870" s="235" t="s">
        <v>154</v>
      </c>
      <c r="O870" s="235" t="s">
        <v>766</v>
      </c>
      <c r="P870" s="238">
        <v>1.0</v>
      </c>
      <c r="Q870" s="235" t="s">
        <v>627</v>
      </c>
      <c r="R870" s="238">
        <v>465.72</v>
      </c>
      <c r="S870" s="238">
        <v>23.28</v>
      </c>
      <c r="T870" s="238">
        <v>0.0</v>
      </c>
      <c r="U870" s="238">
        <v>0.0</v>
      </c>
      <c r="V870" s="238">
        <v>0.0</v>
      </c>
      <c r="W870" s="238">
        <v>0.0</v>
      </c>
      <c r="X870" s="235" t="s">
        <v>628</v>
      </c>
      <c r="Z870" s="244"/>
      <c r="AA870" s="244"/>
      <c r="AB870" s="244"/>
      <c r="AC870" s="235" t="s">
        <v>687</v>
      </c>
      <c r="AD870" s="235" t="s">
        <v>666</v>
      </c>
      <c r="AE870" s="238">
        <v>600041.0</v>
      </c>
      <c r="AF870" s="235" t="s">
        <v>631</v>
      </c>
      <c r="AG870" s="244"/>
      <c r="AH870" s="244"/>
      <c r="AI870" s="245"/>
      <c r="AJ870" s="245"/>
      <c r="AK870" s="245"/>
      <c r="AL870" s="245"/>
      <c r="AM870" s="244"/>
      <c r="AN870" s="244"/>
      <c r="AO870" s="238">
        <v>0.0</v>
      </c>
      <c r="AP870" s="238">
        <v>0.0</v>
      </c>
      <c r="AQ870" s="235" t="s">
        <v>632</v>
      </c>
      <c r="AR870" s="243">
        <v>1.68E11</v>
      </c>
      <c r="AS870" s="235" t="s">
        <v>7365</v>
      </c>
      <c r="AT870" s="235" t="s">
        <v>156</v>
      </c>
      <c r="AU870" s="235" t="s">
        <v>634</v>
      </c>
      <c r="AV870" s="246" t="s">
        <v>635</v>
      </c>
      <c r="AW870" s="242"/>
      <c r="AX870" s="242"/>
      <c r="AY870" s="231"/>
      <c r="AZ870" s="231"/>
      <c r="BA870" s="227"/>
      <c r="BB870" s="231"/>
      <c r="BC870" s="227"/>
      <c r="BD870" s="227"/>
      <c r="BE870" s="227"/>
      <c r="BF870" s="227"/>
    </row>
    <row r="871">
      <c r="A871" s="235" t="s">
        <v>7558</v>
      </c>
      <c r="C871" s="235" t="s">
        <v>7559</v>
      </c>
      <c r="D871" s="235" t="s">
        <v>7560</v>
      </c>
      <c r="E871" s="243">
        <v>6.56E13</v>
      </c>
      <c r="F871" s="245"/>
      <c r="G871" s="235" t="s">
        <v>7561</v>
      </c>
      <c r="H871" s="235" t="s">
        <v>7562</v>
      </c>
      <c r="I871" s="235" t="s">
        <v>7562</v>
      </c>
      <c r="J871" s="235" t="s">
        <v>7563</v>
      </c>
      <c r="K871" s="235" t="s">
        <v>7564</v>
      </c>
      <c r="N871" s="235" t="s">
        <v>127</v>
      </c>
      <c r="O871" s="235" t="s">
        <v>794</v>
      </c>
      <c r="P871" s="238">
        <v>1.0</v>
      </c>
      <c r="Q871" s="235" t="s">
        <v>627</v>
      </c>
      <c r="R871" s="238">
        <v>246.67</v>
      </c>
      <c r="S871" s="238">
        <v>12.33</v>
      </c>
      <c r="T871" s="238">
        <v>38.1</v>
      </c>
      <c r="U871" s="238">
        <v>1.9</v>
      </c>
      <c r="V871" s="238">
        <v>0.0</v>
      </c>
      <c r="W871" s="238">
        <v>0.0</v>
      </c>
      <c r="X871" s="235" t="s">
        <v>628</v>
      </c>
      <c r="Z871" s="244"/>
      <c r="AA871" s="244"/>
      <c r="AB871" s="244"/>
      <c r="AC871" s="235" t="s">
        <v>795</v>
      </c>
      <c r="AD871" s="235" t="s">
        <v>796</v>
      </c>
      <c r="AE871" s="238">
        <v>110078.0</v>
      </c>
      <c r="AF871" s="235" t="s">
        <v>631</v>
      </c>
      <c r="AG871" s="244"/>
      <c r="AH871" s="244"/>
      <c r="AI871" s="245"/>
      <c r="AJ871" s="245"/>
      <c r="AK871" s="245"/>
      <c r="AL871" s="245"/>
      <c r="AM871" s="244"/>
      <c r="AN871" s="244"/>
      <c r="AO871" s="238">
        <v>0.0</v>
      </c>
      <c r="AP871" s="238">
        <v>-38.1</v>
      </c>
      <c r="AQ871" s="235" t="s">
        <v>632</v>
      </c>
      <c r="AR871" s="243">
        <v>3.71E11</v>
      </c>
      <c r="AS871" s="235" t="s">
        <v>6164</v>
      </c>
      <c r="AT871" s="235" t="s">
        <v>14</v>
      </c>
      <c r="AU871" s="235" t="s">
        <v>634</v>
      </c>
      <c r="AV871" s="246" t="s">
        <v>635</v>
      </c>
      <c r="AW871" s="242"/>
      <c r="AX871" s="242"/>
      <c r="AY871" s="231"/>
      <c r="AZ871" s="231"/>
      <c r="BA871" s="227"/>
      <c r="BB871" s="231"/>
      <c r="BC871" s="227"/>
      <c r="BD871" s="227"/>
      <c r="BE871" s="227"/>
      <c r="BF871" s="227"/>
    </row>
    <row r="872">
      <c r="A872" s="235" t="s">
        <v>7565</v>
      </c>
      <c r="C872" s="235" t="s">
        <v>7566</v>
      </c>
      <c r="D872" s="235" t="s">
        <v>7567</v>
      </c>
      <c r="E872" s="243">
        <v>6.56E13</v>
      </c>
      <c r="F872" s="245"/>
      <c r="G872" s="235" t="s">
        <v>7568</v>
      </c>
      <c r="H872" s="235" t="s">
        <v>7569</v>
      </c>
      <c r="I872" s="235" t="s">
        <v>7570</v>
      </c>
      <c r="J872" s="235" t="s">
        <v>7571</v>
      </c>
      <c r="K872" s="235" t="s">
        <v>7572</v>
      </c>
      <c r="N872" s="235" t="s">
        <v>144</v>
      </c>
      <c r="O872" s="235" t="s">
        <v>232</v>
      </c>
      <c r="P872" s="238">
        <v>1.0</v>
      </c>
      <c r="Q872" s="235" t="s">
        <v>627</v>
      </c>
      <c r="R872" s="238">
        <v>665.71</v>
      </c>
      <c r="S872" s="238">
        <v>32.62</v>
      </c>
      <c r="T872" s="238">
        <v>0.0</v>
      </c>
      <c r="U872" s="238">
        <v>0.0</v>
      </c>
      <c r="V872" s="238">
        <v>0.0</v>
      </c>
      <c r="W872" s="238">
        <v>0.0</v>
      </c>
      <c r="X872" s="235" t="s">
        <v>628</v>
      </c>
      <c r="Z872" s="244"/>
      <c r="AA872" s="244"/>
      <c r="AB872" s="244"/>
      <c r="AC872" s="235" t="s">
        <v>7573</v>
      </c>
      <c r="AD872" s="235" t="s">
        <v>2067</v>
      </c>
      <c r="AE872" s="238">
        <v>816107.0</v>
      </c>
      <c r="AF872" s="235" t="s">
        <v>631</v>
      </c>
      <c r="AG872" s="244"/>
      <c r="AH872" s="244"/>
      <c r="AI872" s="245"/>
      <c r="AJ872" s="245"/>
      <c r="AK872" s="245"/>
      <c r="AL872" s="245"/>
      <c r="AM872" s="244"/>
      <c r="AN872" s="244"/>
      <c r="AO872" s="238">
        <v>-13.31</v>
      </c>
      <c r="AP872" s="238">
        <v>0.0</v>
      </c>
      <c r="AQ872" s="235" t="s">
        <v>632</v>
      </c>
      <c r="AR872" s="243">
        <v>3.71E11</v>
      </c>
      <c r="AS872" s="235" t="s">
        <v>1367</v>
      </c>
      <c r="AT872" s="235" t="s">
        <v>14</v>
      </c>
      <c r="AU872" s="235" t="s">
        <v>634</v>
      </c>
      <c r="AV872" s="246" t="s">
        <v>635</v>
      </c>
      <c r="AW872" s="242"/>
      <c r="AX872" s="242"/>
      <c r="AY872" s="231"/>
      <c r="AZ872" s="231"/>
      <c r="BA872" s="227"/>
      <c r="BB872" s="231"/>
      <c r="BC872" s="227"/>
      <c r="BD872" s="227"/>
      <c r="BE872" s="227"/>
      <c r="BF872" s="227"/>
    </row>
    <row r="873">
      <c r="A873" s="235" t="s">
        <v>7574</v>
      </c>
      <c r="C873" s="235" t="s">
        <v>7575</v>
      </c>
      <c r="D873" s="235" t="s">
        <v>7576</v>
      </c>
      <c r="E873" s="243">
        <v>6.56E13</v>
      </c>
      <c r="F873" s="245"/>
      <c r="G873" s="235" t="s">
        <v>7577</v>
      </c>
      <c r="H873" s="235" t="s">
        <v>7578</v>
      </c>
      <c r="I873" s="235" t="s">
        <v>7578</v>
      </c>
      <c r="J873" s="235" t="s">
        <v>7579</v>
      </c>
      <c r="K873" s="235" t="s">
        <v>7580</v>
      </c>
      <c r="N873" s="235" t="s">
        <v>962</v>
      </c>
      <c r="O873" s="235" t="s">
        <v>963</v>
      </c>
      <c r="P873" s="238">
        <v>1.0</v>
      </c>
      <c r="Q873" s="235" t="s">
        <v>627</v>
      </c>
      <c r="R873" s="238">
        <v>246.66</v>
      </c>
      <c r="S873" s="238">
        <v>12.34</v>
      </c>
      <c r="T873" s="238">
        <v>0.0</v>
      </c>
      <c r="U873" s="238">
        <v>0.0</v>
      </c>
      <c r="V873" s="238">
        <v>0.0</v>
      </c>
      <c r="W873" s="238">
        <v>0.0</v>
      </c>
      <c r="X873" s="235" t="s">
        <v>628</v>
      </c>
      <c r="Z873" s="244"/>
      <c r="AA873" s="244"/>
      <c r="AB873" s="244"/>
      <c r="AC873" s="235" t="s">
        <v>5923</v>
      </c>
      <c r="AD873" s="235" t="s">
        <v>666</v>
      </c>
      <c r="AE873" s="238">
        <v>620021.0</v>
      </c>
      <c r="AF873" s="235" t="s">
        <v>631</v>
      </c>
      <c r="AG873" s="244"/>
      <c r="AH873" s="244"/>
      <c r="AI873" s="245"/>
      <c r="AJ873" s="245"/>
      <c r="AK873" s="245"/>
      <c r="AL873" s="245"/>
      <c r="AM873" s="244"/>
      <c r="AN873" s="244"/>
      <c r="AO873" s="238">
        <v>0.0</v>
      </c>
      <c r="AP873" s="238">
        <v>0.0</v>
      </c>
      <c r="AQ873" s="235" t="s">
        <v>632</v>
      </c>
      <c r="AR873" s="243">
        <v>3.71E11</v>
      </c>
      <c r="AS873" s="235" t="s">
        <v>6164</v>
      </c>
      <c r="AT873" s="235" t="s">
        <v>155</v>
      </c>
      <c r="AU873" s="235" t="s">
        <v>634</v>
      </c>
      <c r="AV873" s="246" t="s">
        <v>635</v>
      </c>
      <c r="AW873" s="242"/>
      <c r="AX873" s="242"/>
      <c r="AY873" s="231"/>
      <c r="AZ873" s="231"/>
      <c r="BA873" s="227"/>
      <c r="BB873" s="231"/>
      <c r="BC873" s="227"/>
      <c r="BD873" s="227"/>
      <c r="BE873" s="227"/>
      <c r="BF873" s="227"/>
    </row>
    <row r="874">
      <c r="A874" s="235" t="s">
        <v>7581</v>
      </c>
      <c r="C874" s="235" t="s">
        <v>7582</v>
      </c>
      <c r="D874" s="235" t="s">
        <v>7583</v>
      </c>
      <c r="E874" s="243">
        <v>6.56E13</v>
      </c>
      <c r="F874" s="245"/>
      <c r="G874" s="235" t="s">
        <v>7584</v>
      </c>
      <c r="H874" s="235" t="s">
        <v>7585</v>
      </c>
      <c r="I874" s="235" t="s">
        <v>7586</v>
      </c>
      <c r="J874" s="235" t="s">
        <v>7587</v>
      </c>
      <c r="K874" s="235" t="s">
        <v>7588</v>
      </c>
      <c r="N874" s="235" t="s">
        <v>41</v>
      </c>
      <c r="O874" s="235" t="s">
        <v>291</v>
      </c>
      <c r="P874" s="238">
        <v>1.0</v>
      </c>
      <c r="Q874" s="235" t="s">
        <v>627</v>
      </c>
      <c r="R874" s="238">
        <v>237.14</v>
      </c>
      <c r="S874" s="238">
        <v>11.62</v>
      </c>
      <c r="T874" s="238">
        <v>0.0</v>
      </c>
      <c r="U874" s="238">
        <v>0.0</v>
      </c>
      <c r="V874" s="238">
        <v>0.0</v>
      </c>
      <c r="W874" s="238">
        <v>0.0</v>
      </c>
      <c r="X874" s="235" t="s">
        <v>628</v>
      </c>
      <c r="Z874" s="244"/>
      <c r="AA874" s="244"/>
      <c r="AB874" s="244"/>
      <c r="AC874" s="235" t="s">
        <v>697</v>
      </c>
      <c r="AD874" s="235" t="s">
        <v>698</v>
      </c>
      <c r="AE874" s="238">
        <v>500008.0</v>
      </c>
      <c r="AF874" s="235" t="s">
        <v>631</v>
      </c>
      <c r="AG874" s="244"/>
      <c r="AH874" s="244"/>
      <c r="AI874" s="245"/>
      <c r="AJ874" s="245"/>
      <c r="AK874" s="245"/>
      <c r="AL874" s="245"/>
      <c r="AM874" s="244"/>
      <c r="AN874" s="244"/>
      <c r="AO874" s="238">
        <v>-4.74</v>
      </c>
      <c r="AP874" s="238">
        <v>0.0</v>
      </c>
      <c r="AQ874" s="235" t="s">
        <v>632</v>
      </c>
      <c r="AR874" s="243">
        <v>1.68E11</v>
      </c>
      <c r="AS874" s="235" t="s">
        <v>6164</v>
      </c>
      <c r="AT874" s="235" t="s">
        <v>156</v>
      </c>
      <c r="AU874" s="235" t="s">
        <v>634</v>
      </c>
      <c r="AV874" s="246" t="s">
        <v>635</v>
      </c>
      <c r="AW874" s="242"/>
      <c r="AX874" s="242"/>
      <c r="AY874" s="231"/>
      <c r="AZ874" s="231"/>
      <c r="BA874" s="227"/>
      <c r="BB874" s="231"/>
      <c r="BC874" s="227"/>
      <c r="BD874" s="227"/>
      <c r="BE874" s="227"/>
      <c r="BF874" s="227"/>
    </row>
    <row r="875">
      <c r="A875" s="235" t="s">
        <v>7589</v>
      </c>
      <c r="C875" s="235" t="s">
        <v>7590</v>
      </c>
      <c r="D875" s="235" t="s">
        <v>7591</v>
      </c>
      <c r="E875" s="243">
        <v>6.56E13</v>
      </c>
      <c r="F875" s="245"/>
      <c r="G875" s="235" t="s">
        <v>7592</v>
      </c>
      <c r="H875" s="235" t="s">
        <v>7593</v>
      </c>
      <c r="I875" s="235" t="s">
        <v>7594</v>
      </c>
      <c r="J875" s="235" t="s">
        <v>7595</v>
      </c>
      <c r="K875" s="235" t="s">
        <v>7596</v>
      </c>
      <c r="N875" s="235" t="s">
        <v>127</v>
      </c>
      <c r="O875" s="235" t="s">
        <v>794</v>
      </c>
      <c r="P875" s="238">
        <v>1.0</v>
      </c>
      <c r="Q875" s="235" t="s">
        <v>627</v>
      </c>
      <c r="R875" s="238">
        <v>246.67</v>
      </c>
      <c r="S875" s="238">
        <v>12.33</v>
      </c>
      <c r="T875" s="238">
        <v>0.0</v>
      </c>
      <c r="U875" s="238">
        <v>0.0</v>
      </c>
      <c r="V875" s="238">
        <v>0.0</v>
      </c>
      <c r="W875" s="238">
        <v>0.0</v>
      </c>
      <c r="X875" s="235" t="s">
        <v>628</v>
      </c>
      <c r="Z875" s="244"/>
      <c r="AA875" s="244"/>
      <c r="AB875" s="244"/>
      <c r="AC875" s="235" t="s">
        <v>1279</v>
      </c>
      <c r="AD875" s="235" t="s">
        <v>917</v>
      </c>
      <c r="AE875" s="238">
        <v>302019.0</v>
      </c>
      <c r="AF875" s="235" t="s">
        <v>631</v>
      </c>
      <c r="AG875" s="244"/>
      <c r="AH875" s="244"/>
      <c r="AI875" s="245"/>
      <c r="AJ875" s="245"/>
      <c r="AK875" s="245"/>
      <c r="AL875" s="245"/>
      <c r="AM875" s="244"/>
      <c r="AN875" s="244"/>
      <c r="AO875" s="238">
        <v>0.0</v>
      </c>
      <c r="AP875" s="238">
        <v>0.0</v>
      </c>
      <c r="AQ875" s="235" t="s">
        <v>632</v>
      </c>
      <c r="AR875" s="243">
        <v>1.68E11</v>
      </c>
      <c r="AS875" s="235" t="s">
        <v>6164</v>
      </c>
      <c r="AT875" s="235" t="s">
        <v>13</v>
      </c>
      <c r="AU875" s="235" t="s">
        <v>634</v>
      </c>
      <c r="AV875" s="246" t="s">
        <v>635</v>
      </c>
      <c r="AW875" s="242"/>
      <c r="AX875" s="242"/>
      <c r="AY875" s="231"/>
      <c r="AZ875" s="231"/>
      <c r="BA875" s="227"/>
      <c r="BB875" s="231"/>
      <c r="BC875" s="227"/>
      <c r="BD875" s="227"/>
      <c r="BE875" s="227"/>
      <c r="BF875" s="227"/>
    </row>
    <row r="876">
      <c r="A876" s="235" t="s">
        <v>7597</v>
      </c>
      <c r="C876" s="235" t="s">
        <v>7598</v>
      </c>
      <c r="D876" s="235" t="s">
        <v>7599</v>
      </c>
      <c r="E876" s="243">
        <v>6.56E13</v>
      </c>
      <c r="F876" s="245"/>
      <c r="G876" s="235" t="s">
        <v>7600</v>
      </c>
      <c r="H876" s="235" t="s">
        <v>7601</v>
      </c>
      <c r="I876" s="235" t="s">
        <v>7601</v>
      </c>
      <c r="J876" s="235" t="s">
        <v>7602</v>
      </c>
      <c r="K876" s="235" t="s">
        <v>7603</v>
      </c>
      <c r="N876" s="235" t="s">
        <v>962</v>
      </c>
      <c r="O876" s="235" t="s">
        <v>963</v>
      </c>
      <c r="P876" s="238">
        <v>1.0</v>
      </c>
      <c r="Q876" s="235" t="s">
        <v>627</v>
      </c>
      <c r="R876" s="238">
        <v>246.67</v>
      </c>
      <c r="S876" s="238">
        <v>12.33</v>
      </c>
      <c r="T876" s="238">
        <v>0.0</v>
      </c>
      <c r="U876" s="238">
        <v>0.0</v>
      </c>
      <c r="V876" s="238">
        <v>0.0</v>
      </c>
      <c r="W876" s="238">
        <v>0.0</v>
      </c>
      <c r="X876" s="235" t="s">
        <v>628</v>
      </c>
      <c r="Z876" s="244"/>
      <c r="AA876" s="244"/>
      <c r="AB876" s="244"/>
      <c r="AC876" s="235" t="s">
        <v>2452</v>
      </c>
      <c r="AD876" s="235" t="s">
        <v>1151</v>
      </c>
      <c r="AE876" s="238">
        <v>700091.0</v>
      </c>
      <c r="AF876" s="235" t="s">
        <v>631</v>
      </c>
      <c r="AG876" s="244"/>
      <c r="AH876" s="244"/>
      <c r="AI876" s="245"/>
      <c r="AJ876" s="245"/>
      <c r="AK876" s="245"/>
      <c r="AL876" s="245"/>
      <c r="AM876" s="244"/>
      <c r="AN876" s="244"/>
      <c r="AO876" s="238">
        <v>0.0</v>
      </c>
      <c r="AP876" s="238">
        <v>0.0</v>
      </c>
      <c r="AQ876" s="235" t="s">
        <v>632</v>
      </c>
      <c r="AR876" s="243">
        <v>2.02E11</v>
      </c>
      <c r="AS876" s="235" t="s">
        <v>6164</v>
      </c>
      <c r="AT876" s="235" t="s">
        <v>156</v>
      </c>
      <c r="AU876" s="235" t="s">
        <v>634</v>
      </c>
      <c r="AV876" s="246" t="s">
        <v>635</v>
      </c>
      <c r="AW876" s="242"/>
      <c r="AX876" s="242"/>
      <c r="AY876" s="231"/>
      <c r="AZ876" s="231"/>
      <c r="BA876" s="227"/>
      <c r="BB876" s="231"/>
      <c r="BC876" s="227"/>
      <c r="BD876" s="227"/>
      <c r="BE876" s="227"/>
      <c r="BF876" s="227"/>
    </row>
    <row r="877">
      <c r="A877" s="235" t="s">
        <v>7604</v>
      </c>
      <c r="C877" s="235" t="s">
        <v>7605</v>
      </c>
      <c r="D877" s="235" t="s">
        <v>7606</v>
      </c>
      <c r="E877" s="243">
        <v>6.56E13</v>
      </c>
      <c r="F877" s="245"/>
      <c r="G877" s="235" t="s">
        <v>7607</v>
      </c>
      <c r="H877" s="235" t="s">
        <v>7608</v>
      </c>
      <c r="I877" s="235" t="s">
        <v>7608</v>
      </c>
      <c r="J877" s="235" t="s">
        <v>7609</v>
      </c>
      <c r="K877" s="235" t="s">
        <v>7610</v>
      </c>
      <c r="N877" s="235" t="s">
        <v>962</v>
      </c>
      <c r="O877" s="235" t="s">
        <v>963</v>
      </c>
      <c r="P877" s="238">
        <v>1.0</v>
      </c>
      <c r="Q877" s="235" t="s">
        <v>627</v>
      </c>
      <c r="R877" s="238">
        <v>246.67</v>
      </c>
      <c r="S877" s="238">
        <v>12.33</v>
      </c>
      <c r="T877" s="238">
        <v>0.0</v>
      </c>
      <c r="U877" s="238">
        <v>0.0</v>
      </c>
      <c r="V877" s="238">
        <v>0.0</v>
      </c>
      <c r="W877" s="238">
        <v>0.0</v>
      </c>
      <c r="X877" s="235" t="s">
        <v>628</v>
      </c>
      <c r="Z877" s="244"/>
      <c r="AA877" s="244"/>
      <c r="AB877" s="244"/>
      <c r="AC877" s="235" t="s">
        <v>7611</v>
      </c>
      <c r="AD877" s="235" t="s">
        <v>630</v>
      </c>
      <c r="AE877" s="238">
        <v>250001.0</v>
      </c>
      <c r="AF877" s="235" t="s">
        <v>631</v>
      </c>
      <c r="AG877" s="244"/>
      <c r="AH877" s="244"/>
      <c r="AI877" s="245"/>
      <c r="AJ877" s="245"/>
      <c r="AK877" s="245"/>
      <c r="AL877" s="245"/>
      <c r="AM877" s="244"/>
      <c r="AN877" s="244"/>
      <c r="AO877" s="238">
        <v>0.0</v>
      </c>
      <c r="AP877" s="238">
        <v>0.0</v>
      </c>
      <c r="AQ877" s="235" t="s">
        <v>632</v>
      </c>
      <c r="AR877" s="243">
        <v>3.71E11</v>
      </c>
      <c r="AS877" s="235" t="s">
        <v>6164</v>
      </c>
      <c r="AT877" s="235" t="s">
        <v>14</v>
      </c>
      <c r="AU877" s="235" t="s">
        <v>634</v>
      </c>
      <c r="AV877" s="246" t="s">
        <v>635</v>
      </c>
      <c r="AW877" s="242"/>
      <c r="AX877" s="242"/>
      <c r="AY877" s="231"/>
      <c r="AZ877" s="231"/>
      <c r="BA877" s="227"/>
      <c r="BB877" s="231"/>
      <c r="BC877" s="227"/>
      <c r="BD877" s="227"/>
      <c r="BE877" s="227"/>
      <c r="BF877" s="227"/>
    </row>
    <row r="878">
      <c r="A878" s="235" t="s">
        <v>7612</v>
      </c>
      <c r="C878" s="235" t="s">
        <v>7613</v>
      </c>
      <c r="D878" s="235" t="s">
        <v>7614</v>
      </c>
      <c r="E878" s="243">
        <v>6.56E13</v>
      </c>
      <c r="F878" s="245"/>
      <c r="G878" s="235" t="s">
        <v>7615</v>
      </c>
      <c r="H878" s="235" t="s">
        <v>7616</v>
      </c>
      <c r="I878" s="235" t="s">
        <v>7616</v>
      </c>
      <c r="J878" s="235" t="s">
        <v>7617</v>
      </c>
      <c r="K878" s="235" t="s">
        <v>7618</v>
      </c>
      <c r="N878" s="235" t="s">
        <v>42</v>
      </c>
      <c r="O878" s="235" t="s">
        <v>204</v>
      </c>
      <c r="P878" s="238">
        <v>1.0</v>
      </c>
      <c r="Q878" s="235" t="s">
        <v>627</v>
      </c>
      <c r="R878" s="238">
        <v>237.14</v>
      </c>
      <c r="S878" s="238">
        <v>11.86</v>
      </c>
      <c r="T878" s="238">
        <v>0.0</v>
      </c>
      <c r="U878" s="238">
        <v>0.0</v>
      </c>
      <c r="V878" s="238">
        <v>0.0</v>
      </c>
      <c r="W878" s="238">
        <v>0.0</v>
      </c>
      <c r="X878" s="235" t="s">
        <v>628</v>
      </c>
      <c r="Z878" s="244"/>
      <c r="AA878" s="244"/>
      <c r="AB878" s="244"/>
      <c r="AC878" s="235" t="s">
        <v>6896</v>
      </c>
      <c r="AD878" s="235" t="s">
        <v>833</v>
      </c>
      <c r="AE878" s="238">
        <v>533003.0</v>
      </c>
      <c r="AF878" s="235" t="s">
        <v>631</v>
      </c>
      <c r="AG878" s="244"/>
      <c r="AH878" s="244"/>
      <c r="AI878" s="245"/>
      <c r="AJ878" s="245"/>
      <c r="AK878" s="245"/>
      <c r="AL878" s="245"/>
      <c r="AM878" s="244"/>
      <c r="AN878" s="244"/>
      <c r="AO878" s="238">
        <v>0.0</v>
      </c>
      <c r="AP878" s="238">
        <v>0.0</v>
      </c>
      <c r="AQ878" s="235" t="s">
        <v>632</v>
      </c>
      <c r="AR878" s="243">
        <v>3.71E11</v>
      </c>
      <c r="AS878" s="235" t="s">
        <v>2276</v>
      </c>
      <c r="AT878" s="235" t="s">
        <v>17</v>
      </c>
      <c r="AU878" s="235" t="s">
        <v>634</v>
      </c>
      <c r="AV878" s="246" t="s">
        <v>635</v>
      </c>
      <c r="AW878" s="242"/>
      <c r="AX878" s="242"/>
      <c r="AY878" s="231"/>
      <c r="AZ878" s="231"/>
      <c r="BA878" s="227"/>
      <c r="BB878" s="231"/>
      <c r="BC878" s="227"/>
      <c r="BD878" s="227"/>
      <c r="BE878" s="227"/>
      <c r="BF878" s="227"/>
    </row>
    <row r="879">
      <c r="A879" s="235" t="s">
        <v>7621</v>
      </c>
      <c r="C879" s="235" t="s">
        <v>7622</v>
      </c>
      <c r="D879" s="235" t="s">
        <v>7623</v>
      </c>
      <c r="E879" s="243">
        <v>6.56E13</v>
      </c>
      <c r="F879" s="245"/>
      <c r="G879" s="235" t="s">
        <v>7624</v>
      </c>
      <c r="H879" s="235" t="s">
        <v>7625</v>
      </c>
      <c r="I879" s="235" t="s">
        <v>7626</v>
      </c>
      <c r="J879" s="235" t="s">
        <v>7627</v>
      </c>
      <c r="K879" s="235" t="s">
        <v>7628</v>
      </c>
      <c r="N879" s="235" t="s">
        <v>90</v>
      </c>
      <c r="O879" s="235" t="s">
        <v>279</v>
      </c>
      <c r="P879" s="238">
        <v>1.0</v>
      </c>
      <c r="Q879" s="235" t="s">
        <v>627</v>
      </c>
      <c r="R879" s="238">
        <v>246.66</v>
      </c>
      <c r="S879" s="238">
        <v>12.34</v>
      </c>
      <c r="T879" s="238">
        <v>0.0</v>
      </c>
      <c r="U879" s="238">
        <v>0.0</v>
      </c>
      <c r="V879" s="238">
        <v>0.0</v>
      </c>
      <c r="W879" s="238">
        <v>0.0</v>
      </c>
      <c r="X879" s="235" t="s">
        <v>628</v>
      </c>
      <c r="Z879" s="244"/>
      <c r="AA879" s="244"/>
      <c r="AB879" s="244"/>
      <c r="AC879" s="235" t="s">
        <v>678</v>
      </c>
      <c r="AD879" s="235" t="s">
        <v>679</v>
      </c>
      <c r="AE879" s="238">
        <v>560109.0</v>
      </c>
      <c r="AF879" s="235" t="s">
        <v>631</v>
      </c>
      <c r="AG879" s="244"/>
      <c r="AH879" s="244"/>
      <c r="AI879" s="245"/>
      <c r="AJ879" s="245"/>
      <c r="AK879" s="245"/>
      <c r="AL879" s="245"/>
      <c r="AM879" s="244"/>
      <c r="AN879" s="244"/>
      <c r="AO879" s="238">
        <v>0.0</v>
      </c>
      <c r="AP879" s="238">
        <v>0.0</v>
      </c>
      <c r="AQ879" s="235" t="s">
        <v>632</v>
      </c>
      <c r="AR879" s="243">
        <v>1.68E11</v>
      </c>
      <c r="AS879" s="235" t="s">
        <v>7365</v>
      </c>
      <c r="AT879" s="235" t="s">
        <v>9</v>
      </c>
      <c r="AU879" s="235" t="s">
        <v>634</v>
      </c>
      <c r="AV879" s="246" t="s">
        <v>635</v>
      </c>
      <c r="AW879" s="242"/>
      <c r="AX879" s="242"/>
      <c r="AY879" s="231"/>
      <c r="AZ879" s="231"/>
      <c r="BA879" s="227"/>
      <c r="BB879" s="231"/>
      <c r="BC879" s="227"/>
      <c r="BD879" s="227"/>
      <c r="BE879" s="227"/>
      <c r="BF879" s="227"/>
    </row>
    <row r="880">
      <c r="A880" s="235" t="s">
        <v>7629</v>
      </c>
      <c r="C880" s="235" t="s">
        <v>7630</v>
      </c>
      <c r="D880" s="235" t="s">
        <v>7631</v>
      </c>
      <c r="E880" s="243">
        <v>6.56E13</v>
      </c>
      <c r="F880" s="245"/>
      <c r="G880" s="235" t="s">
        <v>7632</v>
      </c>
      <c r="H880" s="235" t="s">
        <v>7633</v>
      </c>
      <c r="I880" s="235" t="s">
        <v>7634</v>
      </c>
      <c r="J880" s="235" t="s">
        <v>7635</v>
      </c>
      <c r="K880" s="235" t="s">
        <v>7636</v>
      </c>
      <c r="N880" s="235" t="s">
        <v>115</v>
      </c>
      <c r="O880" s="235" t="s">
        <v>548</v>
      </c>
      <c r="P880" s="238">
        <v>1.0</v>
      </c>
      <c r="Q880" s="235" t="s">
        <v>627</v>
      </c>
      <c r="R880" s="238">
        <v>246.67</v>
      </c>
      <c r="S880" s="238">
        <v>12.33</v>
      </c>
      <c r="T880" s="238">
        <v>0.0</v>
      </c>
      <c r="U880" s="238">
        <v>0.0</v>
      </c>
      <c r="V880" s="238">
        <v>0.0</v>
      </c>
      <c r="W880" s="238">
        <v>0.0</v>
      </c>
      <c r="X880" s="235" t="s">
        <v>628</v>
      </c>
      <c r="Z880" s="244"/>
      <c r="AA880" s="244"/>
      <c r="AB880" s="244"/>
      <c r="AC880" s="235" t="s">
        <v>1531</v>
      </c>
      <c r="AD880" s="235" t="s">
        <v>1151</v>
      </c>
      <c r="AE880" s="238">
        <v>700038.0</v>
      </c>
      <c r="AF880" s="235" t="s">
        <v>631</v>
      </c>
      <c r="AG880" s="244"/>
      <c r="AH880" s="244"/>
      <c r="AI880" s="245"/>
      <c r="AJ880" s="245"/>
      <c r="AK880" s="245"/>
      <c r="AL880" s="245"/>
      <c r="AM880" s="244"/>
      <c r="AN880" s="244"/>
      <c r="AO880" s="238">
        <v>0.0</v>
      </c>
      <c r="AP880" s="238">
        <v>0.0</v>
      </c>
      <c r="AQ880" s="235" t="s">
        <v>632</v>
      </c>
      <c r="AR880" s="243">
        <v>2.02E11</v>
      </c>
      <c r="AS880" s="235" t="s">
        <v>6164</v>
      </c>
      <c r="AT880" s="235" t="s">
        <v>14</v>
      </c>
      <c r="AU880" s="235" t="s">
        <v>634</v>
      </c>
      <c r="AV880" s="246" t="s">
        <v>635</v>
      </c>
      <c r="AW880" s="242"/>
      <c r="AX880" s="242"/>
      <c r="AY880" s="231"/>
      <c r="AZ880" s="231"/>
      <c r="BA880" s="227"/>
      <c r="BB880" s="231"/>
      <c r="BC880" s="227"/>
      <c r="BD880" s="227"/>
      <c r="BE880" s="227"/>
      <c r="BF880" s="227"/>
    </row>
    <row r="881">
      <c r="A881" s="235" t="s">
        <v>7637</v>
      </c>
      <c r="C881" s="235" t="s">
        <v>7638</v>
      </c>
      <c r="D881" s="235" t="s">
        <v>7639</v>
      </c>
      <c r="E881" s="243">
        <v>6.56E13</v>
      </c>
      <c r="F881" s="245"/>
      <c r="G881" s="235" t="s">
        <v>7640</v>
      </c>
      <c r="H881" s="235" t="s">
        <v>7641</v>
      </c>
      <c r="I881" s="235" t="s">
        <v>7641</v>
      </c>
      <c r="J881" s="235" t="s">
        <v>7642</v>
      </c>
      <c r="K881" s="235" t="s">
        <v>7643</v>
      </c>
      <c r="N881" s="235" t="s">
        <v>51</v>
      </c>
      <c r="O881" s="235" t="s">
        <v>273</v>
      </c>
      <c r="P881" s="238">
        <v>1.0</v>
      </c>
      <c r="Q881" s="235" t="s">
        <v>627</v>
      </c>
      <c r="R881" s="238">
        <v>237.14</v>
      </c>
      <c r="S881" s="238">
        <v>11.86</v>
      </c>
      <c r="T881" s="238">
        <v>38.1</v>
      </c>
      <c r="U881" s="238">
        <v>1.9</v>
      </c>
      <c r="V881" s="238">
        <v>0.0</v>
      </c>
      <c r="W881" s="238">
        <v>0.0</v>
      </c>
      <c r="X881" s="235" t="s">
        <v>628</v>
      </c>
      <c r="Z881" s="244"/>
      <c r="AA881" s="244"/>
      <c r="AB881" s="244"/>
      <c r="AC881" s="235" t="s">
        <v>697</v>
      </c>
      <c r="AD881" s="235" t="s">
        <v>698</v>
      </c>
      <c r="AE881" s="238">
        <v>500055.0</v>
      </c>
      <c r="AF881" s="235" t="s">
        <v>631</v>
      </c>
      <c r="AG881" s="244"/>
      <c r="AH881" s="244"/>
      <c r="AI881" s="245"/>
      <c r="AJ881" s="245"/>
      <c r="AK881" s="245"/>
      <c r="AL881" s="245"/>
      <c r="AM881" s="244"/>
      <c r="AN881" s="244"/>
      <c r="AO881" s="238">
        <v>0.0</v>
      </c>
      <c r="AP881" s="238">
        <v>-38.1</v>
      </c>
      <c r="AQ881" s="235" t="s">
        <v>632</v>
      </c>
      <c r="AR881" s="243">
        <v>3.71E11</v>
      </c>
      <c r="AS881" s="235" t="s">
        <v>4697</v>
      </c>
      <c r="AT881" s="235" t="s">
        <v>546</v>
      </c>
      <c r="AU881" s="235" t="s">
        <v>634</v>
      </c>
      <c r="AV881" s="246" t="s">
        <v>635</v>
      </c>
      <c r="AW881" s="242"/>
      <c r="AX881" s="242"/>
      <c r="AY881" s="231"/>
      <c r="AZ881" s="231"/>
      <c r="BA881" s="227"/>
      <c r="BB881" s="231"/>
      <c r="BC881" s="227"/>
      <c r="BD881" s="227"/>
      <c r="BE881" s="227"/>
      <c r="BF881" s="227"/>
    </row>
    <row r="882">
      <c r="A882" s="235" t="s">
        <v>7644</v>
      </c>
      <c r="C882" s="235" t="s">
        <v>7645</v>
      </c>
      <c r="D882" s="235" t="s">
        <v>7646</v>
      </c>
      <c r="E882" s="243">
        <v>6.56E13</v>
      </c>
      <c r="F882" s="245"/>
      <c r="G882" s="235" t="s">
        <v>7647</v>
      </c>
      <c r="H882" s="235" t="s">
        <v>7648</v>
      </c>
      <c r="I882" s="235" t="s">
        <v>7648</v>
      </c>
      <c r="J882" s="235" t="s">
        <v>7649</v>
      </c>
      <c r="K882" s="235" t="s">
        <v>7650</v>
      </c>
      <c r="N882" s="235" t="s">
        <v>145</v>
      </c>
      <c r="O882" s="235" t="s">
        <v>370</v>
      </c>
      <c r="P882" s="238">
        <v>1.0</v>
      </c>
      <c r="Q882" s="235" t="s">
        <v>627</v>
      </c>
      <c r="R882" s="238">
        <v>1522.86</v>
      </c>
      <c r="S882" s="238">
        <v>76.14</v>
      </c>
      <c r="T882" s="238">
        <v>38.1</v>
      </c>
      <c r="U882" s="238">
        <v>1.9</v>
      </c>
      <c r="V882" s="238">
        <v>0.0</v>
      </c>
      <c r="W882" s="238">
        <v>0.0</v>
      </c>
      <c r="X882" s="235" t="s">
        <v>628</v>
      </c>
      <c r="Z882" s="244"/>
      <c r="AA882" s="244"/>
      <c r="AB882" s="244"/>
      <c r="AC882" s="235" t="s">
        <v>1613</v>
      </c>
      <c r="AD882" s="235" t="s">
        <v>630</v>
      </c>
      <c r="AE882" s="238">
        <v>226010.0</v>
      </c>
      <c r="AF882" s="235" t="s">
        <v>631</v>
      </c>
      <c r="AG882" s="244"/>
      <c r="AH882" s="244"/>
      <c r="AI882" s="245"/>
      <c r="AJ882" s="245"/>
      <c r="AK882" s="245"/>
      <c r="AL882" s="245"/>
      <c r="AM882" s="244"/>
      <c r="AN882" s="244"/>
      <c r="AO882" s="238">
        <v>0.0</v>
      </c>
      <c r="AP882" s="238">
        <v>-38.1</v>
      </c>
      <c r="AQ882" s="235" t="s">
        <v>632</v>
      </c>
      <c r="AR882" s="243">
        <v>3.71E11</v>
      </c>
      <c r="AS882" s="235" t="s">
        <v>4697</v>
      </c>
      <c r="AT882" s="235" t="s">
        <v>14</v>
      </c>
      <c r="AU882" s="235" t="s">
        <v>634</v>
      </c>
      <c r="AV882" s="246" t="s">
        <v>635</v>
      </c>
      <c r="AW882" s="242"/>
      <c r="AX882" s="242"/>
      <c r="AY882" s="231"/>
      <c r="AZ882" s="231"/>
      <c r="BA882" s="227"/>
      <c r="BB882" s="231"/>
      <c r="BC882" s="227"/>
      <c r="BD882" s="227"/>
      <c r="BE882" s="227"/>
      <c r="BF882" s="227"/>
    </row>
    <row r="883">
      <c r="A883" s="235" t="s">
        <v>7651</v>
      </c>
      <c r="C883" s="235" t="s">
        <v>7652</v>
      </c>
      <c r="D883" s="235" t="s">
        <v>7653</v>
      </c>
      <c r="E883" s="243">
        <v>6.56E13</v>
      </c>
      <c r="F883" s="245"/>
      <c r="G883" s="235" t="s">
        <v>7654</v>
      </c>
      <c r="H883" s="235" t="s">
        <v>7655</v>
      </c>
      <c r="I883" s="235" t="s">
        <v>7655</v>
      </c>
      <c r="J883" s="235" t="s">
        <v>7656</v>
      </c>
      <c r="K883" s="235" t="s">
        <v>7657</v>
      </c>
      <c r="N883" s="235" t="s">
        <v>75</v>
      </c>
      <c r="O883" s="235" t="s">
        <v>2108</v>
      </c>
      <c r="P883" s="238">
        <v>1.0</v>
      </c>
      <c r="Q883" s="235" t="s">
        <v>627</v>
      </c>
      <c r="R883" s="238">
        <v>360.95</v>
      </c>
      <c r="S883" s="238">
        <v>18.05</v>
      </c>
      <c r="T883" s="238">
        <v>0.0</v>
      </c>
      <c r="U883" s="238">
        <v>0.0</v>
      </c>
      <c r="V883" s="238">
        <v>0.0</v>
      </c>
      <c r="W883" s="238">
        <v>0.0</v>
      </c>
      <c r="X883" s="235" t="s">
        <v>628</v>
      </c>
      <c r="Z883" s="244"/>
      <c r="AA883" s="244"/>
      <c r="AB883" s="244"/>
      <c r="AC883" s="235" t="s">
        <v>697</v>
      </c>
      <c r="AD883" s="235" t="s">
        <v>698</v>
      </c>
      <c r="AE883" s="238">
        <v>500008.0</v>
      </c>
      <c r="AF883" s="235" t="s">
        <v>631</v>
      </c>
      <c r="AG883" s="244"/>
      <c r="AH883" s="244"/>
      <c r="AI883" s="245"/>
      <c r="AJ883" s="245"/>
      <c r="AK883" s="245"/>
      <c r="AL883" s="245"/>
      <c r="AM883" s="244"/>
      <c r="AN883" s="244"/>
      <c r="AO883" s="238">
        <v>0.0</v>
      </c>
      <c r="AP883" s="238">
        <v>0.0</v>
      </c>
      <c r="AQ883" s="235" t="s">
        <v>632</v>
      </c>
      <c r="AR883" s="243">
        <v>1.68E11</v>
      </c>
      <c r="AS883" s="235" t="s">
        <v>6164</v>
      </c>
      <c r="AT883" s="235" t="s">
        <v>156</v>
      </c>
      <c r="AU883" s="235" t="s">
        <v>634</v>
      </c>
      <c r="AV883" s="246" t="s">
        <v>635</v>
      </c>
      <c r="AW883" s="242"/>
      <c r="AX883" s="242"/>
      <c r="AY883" s="231"/>
      <c r="AZ883" s="231"/>
      <c r="BA883" s="227"/>
      <c r="BB883" s="231"/>
      <c r="BC883" s="227"/>
      <c r="BD883" s="227"/>
      <c r="BE883" s="227"/>
      <c r="BF883" s="227"/>
    </row>
    <row r="884">
      <c r="A884" s="235" t="s">
        <v>7658</v>
      </c>
      <c r="C884" s="235" t="s">
        <v>7659</v>
      </c>
      <c r="D884" s="235" t="s">
        <v>7660</v>
      </c>
      <c r="E884" s="243">
        <v>6.56E13</v>
      </c>
      <c r="F884" s="245"/>
      <c r="G884" s="235" t="s">
        <v>7661</v>
      </c>
      <c r="H884" s="235" t="s">
        <v>7662</v>
      </c>
      <c r="I884" s="235" t="s">
        <v>7662</v>
      </c>
      <c r="J884" s="235" t="s">
        <v>7663</v>
      </c>
      <c r="K884" s="235" t="s">
        <v>7664</v>
      </c>
      <c r="N884" s="235" t="s">
        <v>22</v>
      </c>
      <c r="O884" s="235" t="s">
        <v>729</v>
      </c>
      <c r="P884" s="238">
        <v>1.0</v>
      </c>
      <c r="Q884" s="235" t="s">
        <v>627</v>
      </c>
      <c r="R884" s="238">
        <v>360.95</v>
      </c>
      <c r="S884" s="238">
        <v>17.69</v>
      </c>
      <c r="T884" s="238">
        <v>56.19</v>
      </c>
      <c r="U884" s="238">
        <v>2.81</v>
      </c>
      <c r="V884" s="238">
        <v>0.0</v>
      </c>
      <c r="W884" s="238">
        <v>0.0</v>
      </c>
      <c r="X884" s="235" t="s">
        <v>628</v>
      </c>
      <c r="Z884" s="244"/>
      <c r="AA884" s="244"/>
      <c r="AB884" s="244"/>
      <c r="AC884" s="235" t="s">
        <v>1613</v>
      </c>
      <c r="AD884" s="235" t="s">
        <v>630</v>
      </c>
      <c r="AE884" s="238">
        <v>226029.0</v>
      </c>
      <c r="AF884" s="235" t="s">
        <v>631</v>
      </c>
      <c r="AG884" s="244"/>
      <c r="AH884" s="244"/>
      <c r="AI884" s="245"/>
      <c r="AJ884" s="245"/>
      <c r="AK884" s="245"/>
      <c r="AL884" s="245"/>
      <c r="AM884" s="244"/>
      <c r="AN884" s="244"/>
      <c r="AO884" s="238">
        <v>-7.22</v>
      </c>
      <c r="AP884" s="238">
        <v>0.0</v>
      </c>
      <c r="AQ884" s="235" t="s">
        <v>632</v>
      </c>
      <c r="AR884" s="243">
        <v>2.02E11</v>
      </c>
      <c r="AS884" s="235" t="s">
        <v>6164</v>
      </c>
      <c r="AT884" s="235" t="s">
        <v>14</v>
      </c>
      <c r="AU884" s="235" t="s">
        <v>634</v>
      </c>
      <c r="AV884" s="246" t="s">
        <v>635</v>
      </c>
      <c r="AW884" s="242"/>
      <c r="AX884" s="242"/>
      <c r="AY884" s="231"/>
      <c r="AZ884" s="231"/>
      <c r="BA884" s="227"/>
      <c r="BB884" s="231"/>
      <c r="BC884" s="227"/>
      <c r="BD884" s="227"/>
      <c r="BE884" s="227"/>
      <c r="BF884" s="227"/>
    </row>
    <row r="885">
      <c r="A885" s="235" t="s">
        <v>7665</v>
      </c>
      <c r="C885" s="235" t="s">
        <v>7666</v>
      </c>
      <c r="D885" s="235" t="s">
        <v>7667</v>
      </c>
      <c r="E885" s="243">
        <v>6.55E13</v>
      </c>
      <c r="F885" s="245"/>
      <c r="G885" s="235" t="s">
        <v>7668</v>
      </c>
      <c r="H885" s="235" t="s">
        <v>7669</v>
      </c>
      <c r="I885" s="235" t="s">
        <v>7669</v>
      </c>
      <c r="J885" s="235" t="s">
        <v>7670</v>
      </c>
      <c r="K885" s="235" t="s">
        <v>7671</v>
      </c>
      <c r="N885" s="235" t="s">
        <v>127</v>
      </c>
      <c r="O885" s="235" t="s">
        <v>794</v>
      </c>
      <c r="P885" s="238">
        <v>1.0</v>
      </c>
      <c r="Q885" s="235" t="s">
        <v>627</v>
      </c>
      <c r="R885" s="238">
        <v>246.66</v>
      </c>
      <c r="S885" s="238">
        <v>12.34</v>
      </c>
      <c r="T885" s="238">
        <v>0.0</v>
      </c>
      <c r="U885" s="238">
        <v>0.0</v>
      </c>
      <c r="V885" s="238">
        <v>0.0</v>
      </c>
      <c r="W885" s="238">
        <v>0.0</v>
      </c>
      <c r="X885" s="235" t="s">
        <v>628</v>
      </c>
      <c r="Z885" s="244"/>
      <c r="AA885" s="244"/>
      <c r="AB885" s="244"/>
      <c r="AC885" s="235" t="s">
        <v>1058</v>
      </c>
      <c r="AD885" s="235" t="s">
        <v>845</v>
      </c>
      <c r="AE885" s="238">
        <v>400002.0</v>
      </c>
      <c r="AF885" s="235" t="s">
        <v>631</v>
      </c>
      <c r="AG885" s="244"/>
      <c r="AH885" s="244"/>
      <c r="AI885" s="245"/>
      <c r="AJ885" s="245"/>
      <c r="AK885" s="245"/>
      <c r="AL885" s="245"/>
      <c r="AM885" s="244"/>
      <c r="AN885" s="244"/>
      <c r="AO885" s="238">
        <v>0.0</v>
      </c>
      <c r="AP885" s="238">
        <v>0.0</v>
      </c>
      <c r="AQ885" s="235" t="s">
        <v>632</v>
      </c>
      <c r="AR885" s="243">
        <v>3.71E11</v>
      </c>
      <c r="AS885" s="235" t="s">
        <v>6164</v>
      </c>
      <c r="AT885" s="235" t="s">
        <v>16</v>
      </c>
      <c r="AU885" s="235" t="s">
        <v>634</v>
      </c>
      <c r="AV885" s="246" t="s">
        <v>635</v>
      </c>
      <c r="AW885" s="242"/>
      <c r="AX885" s="242"/>
      <c r="AY885" s="231"/>
      <c r="AZ885" s="231"/>
      <c r="BA885" s="227"/>
      <c r="BB885" s="231"/>
      <c r="BC885" s="227"/>
      <c r="BD885" s="227"/>
      <c r="BE885" s="227"/>
      <c r="BF885" s="227"/>
    </row>
    <row r="886">
      <c r="A886" s="235" t="s">
        <v>7672</v>
      </c>
      <c r="C886" s="235" t="s">
        <v>7673</v>
      </c>
      <c r="D886" s="235" t="s">
        <v>7674</v>
      </c>
      <c r="E886" s="243">
        <v>6.56E13</v>
      </c>
      <c r="F886" s="245"/>
      <c r="G886" s="235" t="s">
        <v>7675</v>
      </c>
      <c r="H886" s="235" t="s">
        <v>7676</v>
      </c>
      <c r="I886" s="235" t="s">
        <v>7676</v>
      </c>
      <c r="J886" s="235" t="s">
        <v>7677</v>
      </c>
      <c r="K886" s="235" t="s">
        <v>7678</v>
      </c>
      <c r="N886" s="235" t="s">
        <v>138</v>
      </c>
      <c r="O886" s="235" t="s">
        <v>675</v>
      </c>
      <c r="P886" s="238">
        <v>1.0</v>
      </c>
      <c r="Q886" s="235" t="s">
        <v>627</v>
      </c>
      <c r="R886" s="238">
        <v>246.67</v>
      </c>
      <c r="S886" s="238">
        <v>12.33</v>
      </c>
      <c r="T886" s="238">
        <v>0.0</v>
      </c>
      <c r="U886" s="238">
        <v>0.0</v>
      </c>
      <c r="V886" s="238">
        <v>0.0</v>
      </c>
      <c r="W886" s="238">
        <v>0.0</v>
      </c>
      <c r="X886" s="235" t="s">
        <v>628</v>
      </c>
      <c r="Z886" s="244"/>
      <c r="AA886" s="244"/>
      <c r="AB886" s="244"/>
      <c r="AC886" s="235" t="s">
        <v>907</v>
      </c>
      <c r="AD886" s="235" t="s">
        <v>908</v>
      </c>
      <c r="AE886" s="238">
        <v>248001.0</v>
      </c>
      <c r="AF886" s="235" t="s">
        <v>631</v>
      </c>
      <c r="AG886" s="244"/>
      <c r="AH886" s="244"/>
      <c r="AI886" s="245"/>
      <c r="AJ886" s="245"/>
      <c r="AK886" s="245"/>
      <c r="AL886" s="245"/>
      <c r="AM886" s="244"/>
      <c r="AN886" s="244"/>
      <c r="AO886" s="238">
        <v>0.0</v>
      </c>
      <c r="AP886" s="238">
        <v>0.0</v>
      </c>
      <c r="AQ886" s="235" t="s">
        <v>632</v>
      </c>
      <c r="AR886" s="243">
        <v>3.71E11</v>
      </c>
      <c r="AS886" s="235" t="s">
        <v>4697</v>
      </c>
      <c r="AT886" s="235" t="s">
        <v>14</v>
      </c>
      <c r="AU886" s="235" t="s">
        <v>634</v>
      </c>
      <c r="AV886" s="246" t="s">
        <v>635</v>
      </c>
      <c r="AW886" s="242"/>
      <c r="AX886" s="242"/>
      <c r="AY886" s="231"/>
      <c r="AZ886" s="231"/>
      <c r="BA886" s="227"/>
      <c r="BB886" s="231"/>
      <c r="BC886" s="227"/>
      <c r="BD886" s="227"/>
      <c r="BE886" s="227"/>
      <c r="BF886" s="227"/>
    </row>
    <row r="887">
      <c r="A887" s="235" t="s">
        <v>7679</v>
      </c>
      <c r="C887" s="235" t="s">
        <v>7680</v>
      </c>
      <c r="D887" s="235" t="s">
        <v>7681</v>
      </c>
      <c r="E887" s="243">
        <v>6.53E13</v>
      </c>
      <c r="F887" s="245"/>
      <c r="G887" s="235" t="s">
        <v>7682</v>
      </c>
      <c r="H887" s="235" t="s">
        <v>7683</v>
      </c>
      <c r="I887" s="235" t="s">
        <v>7683</v>
      </c>
      <c r="J887" s="235" t="s">
        <v>7684</v>
      </c>
      <c r="K887" s="235" t="s">
        <v>7685</v>
      </c>
      <c r="N887" s="235" t="s">
        <v>2163</v>
      </c>
      <c r="O887" s="235" t="s">
        <v>2164</v>
      </c>
      <c r="P887" s="238">
        <v>1.0</v>
      </c>
      <c r="Q887" s="235" t="s">
        <v>627</v>
      </c>
      <c r="R887" s="238">
        <v>270.48</v>
      </c>
      <c r="S887" s="238">
        <v>13.52</v>
      </c>
      <c r="T887" s="238">
        <v>0.0</v>
      </c>
      <c r="U887" s="238">
        <v>0.0</v>
      </c>
      <c r="V887" s="238">
        <v>0.0</v>
      </c>
      <c r="W887" s="238">
        <v>0.0</v>
      </c>
      <c r="X887" s="235" t="s">
        <v>628</v>
      </c>
      <c r="Z887" s="244"/>
      <c r="AA887" s="244"/>
      <c r="AB887" s="244"/>
      <c r="AC887" s="235" t="s">
        <v>1058</v>
      </c>
      <c r="AD887" s="235" t="s">
        <v>845</v>
      </c>
      <c r="AE887" s="238">
        <v>400060.0</v>
      </c>
      <c r="AF887" s="235" t="s">
        <v>631</v>
      </c>
      <c r="AG887" s="244"/>
      <c r="AH887" s="244"/>
      <c r="AI887" s="245"/>
      <c r="AJ887" s="245"/>
      <c r="AK887" s="245"/>
      <c r="AL887" s="245"/>
      <c r="AM887" s="244"/>
      <c r="AN887" s="244"/>
      <c r="AO887" s="238">
        <v>0.0</v>
      </c>
      <c r="AP887" s="238">
        <v>0.0</v>
      </c>
      <c r="AQ887" s="235" t="s">
        <v>632</v>
      </c>
      <c r="AR887" s="243">
        <v>3.71E11</v>
      </c>
      <c r="AS887" s="235" t="s">
        <v>6164</v>
      </c>
      <c r="AT887" s="235" t="s">
        <v>16</v>
      </c>
      <c r="AU887" s="235" t="s">
        <v>634</v>
      </c>
      <c r="AV887" s="246" t="s">
        <v>635</v>
      </c>
      <c r="AW887" s="242"/>
      <c r="AX887" s="242"/>
      <c r="AY887" s="231"/>
      <c r="AZ887" s="231"/>
      <c r="BA887" s="227"/>
      <c r="BB887" s="231"/>
      <c r="BC887" s="227"/>
      <c r="BD887" s="227"/>
      <c r="BE887" s="227"/>
      <c r="BF887" s="227"/>
    </row>
    <row r="888">
      <c r="A888" s="235" t="s">
        <v>7686</v>
      </c>
      <c r="C888" s="235" t="s">
        <v>7687</v>
      </c>
      <c r="D888" s="235" t="s">
        <v>7688</v>
      </c>
      <c r="E888" s="243">
        <v>6.56E13</v>
      </c>
      <c r="F888" s="245"/>
      <c r="G888" s="235" t="s">
        <v>7689</v>
      </c>
      <c r="H888" s="235" t="s">
        <v>7690</v>
      </c>
      <c r="I888" s="235" t="s">
        <v>7691</v>
      </c>
      <c r="J888" s="235" t="s">
        <v>7692</v>
      </c>
      <c r="K888" s="235" t="s">
        <v>7693</v>
      </c>
      <c r="N888" s="235" t="s">
        <v>127</v>
      </c>
      <c r="O888" s="235" t="s">
        <v>794</v>
      </c>
      <c r="P888" s="238">
        <v>1.0</v>
      </c>
      <c r="Q888" s="235" t="s">
        <v>627</v>
      </c>
      <c r="R888" s="238">
        <v>246.67</v>
      </c>
      <c r="S888" s="238">
        <v>12.33</v>
      </c>
      <c r="T888" s="238">
        <v>38.1</v>
      </c>
      <c r="U888" s="238">
        <v>1.9</v>
      </c>
      <c r="V888" s="238">
        <v>0.0</v>
      </c>
      <c r="W888" s="238">
        <v>0.0</v>
      </c>
      <c r="X888" s="235" t="s">
        <v>628</v>
      </c>
      <c r="Z888" s="244"/>
      <c r="AA888" s="244"/>
      <c r="AB888" s="244"/>
      <c r="AC888" s="235" t="s">
        <v>7694</v>
      </c>
      <c r="AD888" s="235" t="s">
        <v>845</v>
      </c>
      <c r="AE888" s="238">
        <v>444805.0</v>
      </c>
      <c r="AF888" s="235" t="s">
        <v>631</v>
      </c>
      <c r="AG888" s="244"/>
      <c r="AH888" s="244"/>
      <c r="AI888" s="245"/>
      <c r="AJ888" s="245"/>
      <c r="AK888" s="245"/>
      <c r="AL888" s="245"/>
      <c r="AM888" s="244"/>
      <c r="AN888" s="244"/>
      <c r="AO888" s="238">
        <v>0.0</v>
      </c>
      <c r="AP888" s="238">
        <v>-38.1</v>
      </c>
      <c r="AQ888" s="235" t="s">
        <v>632</v>
      </c>
      <c r="AR888" s="243">
        <v>3.71E11</v>
      </c>
      <c r="AS888" s="235" t="s">
        <v>3284</v>
      </c>
      <c r="AT888" s="235" t="s">
        <v>9</v>
      </c>
      <c r="AU888" s="235" t="s">
        <v>634</v>
      </c>
      <c r="AV888" s="246" t="s">
        <v>635</v>
      </c>
      <c r="AW888" s="242"/>
      <c r="AX888" s="242"/>
      <c r="AY888" s="231"/>
      <c r="AZ888" s="231"/>
      <c r="BA888" s="227"/>
      <c r="BB888" s="231"/>
      <c r="BC888" s="227"/>
      <c r="BD888" s="227"/>
      <c r="BE888" s="227"/>
      <c r="BF888" s="227"/>
    </row>
    <row r="889">
      <c r="A889" s="235" t="s">
        <v>7695</v>
      </c>
      <c r="C889" s="235" t="s">
        <v>7696</v>
      </c>
      <c r="D889" s="235" t="s">
        <v>7697</v>
      </c>
      <c r="E889" s="243">
        <v>6.56E13</v>
      </c>
      <c r="F889" s="245"/>
      <c r="G889" s="235" t="s">
        <v>7698</v>
      </c>
      <c r="H889" s="235" t="s">
        <v>7699</v>
      </c>
      <c r="I889" s="235" t="s">
        <v>7699</v>
      </c>
      <c r="J889" s="235" t="s">
        <v>7700</v>
      </c>
      <c r="K889" s="235" t="s">
        <v>7701</v>
      </c>
      <c r="N889" s="235" t="s">
        <v>90</v>
      </c>
      <c r="O889" s="235" t="s">
        <v>279</v>
      </c>
      <c r="P889" s="238">
        <v>1.0</v>
      </c>
      <c r="Q889" s="235" t="s">
        <v>627</v>
      </c>
      <c r="R889" s="238">
        <v>246.67</v>
      </c>
      <c r="S889" s="238">
        <v>12.33</v>
      </c>
      <c r="T889" s="238">
        <v>0.0</v>
      </c>
      <c r="U889" s="238">
        <v>0.0</v>
      </c>
      <c r="V889" s="238">
        <v>0.0</v>
      </c>
      <c r="W889" s="238">
        <v>0.0</v>
      </c>
      <c r="X889" s="235" t="s">
        <v>628</v>
      </c>
      <c r="Z889" s="244"/>
      <c r="AA889" s="244"/>
      <c r="AB889" s="244"/>
      <c r="AC889" s="235" t="s">
        <v>6571</v>
      </c>
      <c r="AD889" s="235" t="s">
        <v>731</v>
      </c>
      <c r="AE889" s="238">
        <v>781032.0</v>
      </c>
      <c r="AF889" s="235" t="s">
        <v>631</v>
      </c>
      <c r="AG889" s="244"/>
      <c r="AH889" s="244"/>
      <c r="AI889" s="245"/>
      <c r="AJ889" s="245"/>
      <c r="AK889" s="245"/>
      <c r="AL889" s="245"/>
      <c r="AM889" s="244"/>
      <c r="AN889" s="244"/>
      <c r="AO889" s="238">
        <v>0.0</v>
      </c>
      <c r="AP889" s="238">
        <v>0.0</v>
      </c>
      <c r="AQ889" s="235" t="s">
        <v>632</v>
      </c>
      <c r="AR889" s="243">
        <v>3.71E11</v>
      </c>
      <c r="AS889" s="235" t="s">
        <v>2276</v>
      </c>
      <c r="AT889" s="235" t="s">
        <v>13</v>
      </c>
      <c r="AU889" s="235" t="s">
        <v>634</v>
      </c>
      <c r="AV889" s="246" t="s">
        <v>635</v>
      </c>
      <c r="AW889" s="242"/>
      <c r="AX889" s="242"/>
      <c r="AY889" s="231"/>
      <c r="AZ889" s="231"/>
      <c r="BA889" s="227"/>
      <c r="BB889" s="231"/>
      <c r="BC889" s="227"/>
      <c r="BD889" s="227"/>
      <c r="BE889" s="227"/>
      <c r="BF889" s="227"/>
    </row>
    <row r="890">
      <c r="A890" s="235" t="s">
        <v>7702</v>
      </c>
      <c r="C890" s="235" t="s">
        <v>7703</v>
      </c>
      <c r="D890" s="235" t="s">
        <v>7704</v>
      </c>
      <c r="E890" s="243">
        <v>6.56E13</v>
      </c>
      <c r="F890" s="245"/>
      <c r="G890" s="235" t="s">
        <v>7705</v>
      </c>
      <c r="H890" s="235" t="s">
        <v>7706</v>
      </c>
      <c r="I890" s="235" t="s">
        <v>7706</v>
      </c>
      <c r="J890" s="235" t="s">
        <v>7707</v>
      </c>
      <c r="K890" s="235" t="s">
        <v>3612</v>
      </c>
      <c r="N890" s="235" t="s">
        <v>126</v>
      </c>
      <c r="O890" s="235" t="s">
        <v>407</v>
      </c>
      <c r="P890" s="238">
        <v>1.0</v>
      </c>
      <c r="Q890" s="235" t="s">
        <v>627</v>
      </c>
      <c r="R890" s="238">
        <v>237.14</v>
      </c>
      <c r="S890" s="238">
        <v>11.86</v>
      </c>
      <c r="T890" s="238">
        <v>38.1</v>
      </c>
      <c r="U890" s="238">
        <v>1.9</v>
      </c>
      <c r="V890" s="238">
        <v>0.0</v>
      </c>
      <c r="W890" s="238">
        <v>0.0</v>
      </c>
      <c r="X890" s="235" t="s">
        <v>628</v>
      </c>
      <c r="Z890" s="244"/>
      <c r="AA890" s="244"/>
      <c r="AB890" s="244"/>
      <c r="AC890" s="235" t="s">
        <v>697</v>
      </c>
      <c r="AD890" s="235" t="s">
        <v>698</v>
      </c>
      <c r="AE890" s="238">
        <v>500091.0</v>
      </c>
      <c r="AF890" s="235" t="s">
        <v>631</v>
      </c>
      <c r="AG890" s="244"/>
      <c r="AH890" s="244"/>
      <c r="AI890" s="245"/>
      <c r="AJ890" s="245"/>
      <c r="AK890" s="245"/>
      <c r="AL890" s="245"/>
      <c r="AM890" s="244"/>
      <c r="AN890" s="244"/>
      <c r="AO890" s="238">
        <v>0.0</v>
      </c>
      <c r="AP890" s="238">
        <v>-38.1</v>
      </c>
      <c r="AQ890" s="235" t="s">
        <v>1356</v>
      </c>
      <c r="AR890" s="247" t="s">
        <v>7708</v>
      </c>
      <c r="AS890" s="235" t="s">
        <v>2276</v>
      </c>
      <c r="AT890" s="235" t="s">
        <v>546</v>
      </c>
      <c r="AU890" s="235" t="s">
        <v>634</v>
      </c>
      <c r="AV890" s="246" t="s">
        <v>635</v>
      </c>
      <c r="AW890" s="242"/>
      <c r="AX890" s="242"/>
      <c r="AY890" s="231"/>
      <c r="AZ890" s="231"/>
      <c r="BA890" s="227"/>
      <c r="BB890" s="231"/>
      <c r="BC890" s="227"/>
      <c r="BD890" s="227"/>
      <c r="BE890" s="227"/>
      <c r="BF890" s="227"/>
    </row>
    <row r="891">
      <c r="A891" s="235" t="s">
        <v>7709</v>
      </c>
      <c r="C891" s="235" t="s">
        <v>7710</v>
      </c>
      <c r="D891" s="235" t="s">
        <v>7711</v>
      </c>
      <c r="E891" s="243">
        <v>6.56E13</v>
      </c>
      <c r="F891" s="245"/>
      <c r="G891" s="235" t="s">
        <v>7712</v>
      </c>
      <c r="H891" s="235" t="s">
        <v>7713</v>
      </c>
      <c r="I891" s="235" t="s">
        <v>7713</v>
      </c>
      <c r="J891" s="235" t="s">
        <v>7714</v>
      </c>
      <c r="K891" s="235" t="s">
        <v>7715</v>
      </c>
      <c r="N891" s="235" t="s">
        <v>6</v>
      </c>
      <c r="O891" s="235" t="s">
        <v>806</v>
      </c>
      <c r="P891" s="238">
        <v>1.0</v>
      </c>
      <c r="Q891" s="235" t="s">
        <v>627</v>
      </c>
      <c r="R891" s="238">
        <v>265.72</v>
      </c>
      <c r="S891" s="238">
        <v>12.88</v>
      </c>
      <c r="T891" s="238">
        <v>0.0</v>
      </c>
      <c r="U891" s="238">
        <v>0.0</v>
      </c>
      <c r="V891" s="238">
        <v>0.0</v>
      </c>
      <c r="W891" s="238">
        <v>0.0</v>
      </c>
      <c r="X891" s="235" t="s">
        <v>628</v>
      </c>
      <c r="Z891" s="244"/>
      <c r="AA891" s="244"/>
      <c r="AB891" s="244"/>
      <c r="AC891" s="235" t="s">
        <v>1058</v>
      </c>
      <c r="AD891" s="235" t="s">
        <v>845</v>
      </c>
      <c r="AE891" s="238">
        <v>400049.0</v>
      </c>
      <c r="AF891" s="235" t="s">
        <v>631</v>
      </c>
      <c r="AG891" s="244"/>
      <c r="AH891" s="244"/>
      <c r="AI891" s="245"/>
      <c r="AJ891" s="245"/>
      <c r="AK891" s="245"/>
      <c r="AL891" s="245"/>
      <c r="AM891" s="244"/>
      <c r="AN891" s="244"/>
      <c r="AO891" s="238">
        <v>-7.97</v>
      </c>
      <c r="AP891" s="238">
        <v>0.0</v>
      </c>
      <c r="AQ891" s="235" t="s">
        <v>632</v>
      </c>
      <c r="AR891" s="243">
        <v>1.68E11</v>
      </c>
      <c r="AS891" s="235" t="s">
        <v>7365</v>
      </c>
      <c r="AT891" s="235" t="s">
        <v>16</v>
      </c>
      <c r="AU891" s="235" t="s">
        <v>634</v>
      </c>
      <c r="AV891" s="246" t="s">
        <v>635</v>
      </c>
      <c r="AW891" s="242"/>
      <c r="AX891" s="242"/>
      <c r="AY891" s="231"/>
      <c r="AZ891" s="231"/>
      <c r="BA891" s="227"/>
      <c r="BB891" s="231"/>
      <c r="BC891" s="227"/>
      <c r="BD891" s="227"/>
      <c r="BE891" s="227"/>
      <c r="BF891" s="227"/>
    </row>
    <row r="892">
      <c r="A892" s="235" t="s">
        <v>7709</v>
      </c>
      <c r="C892" s="235" t="s">
        <v>7710</v>
      </c>
      <c r="D892" s="235" t="s">
        <v>7716</v>
      </c>
      <c r="E892" s="243">
        <v>6.56E13</v>
      </c>
      <c r="F892" s="245"/>
      <c r="G892" s="235" t="s">
        <v>7712</v>
      </c>
      <c r="H892" s="235" t="s">
        <v>7713</v>
      </c>
      <c r="I892" s="235" t="s">
        <v>7713</v>
      </c>
      <c r="J892" s="235" t="s">
        <v>7714</v>
      </c>
      <c r="K892" s="235" t="s">
        <v>7715</v>
      </c>
      <c r="N892" s="235" t="s">
        <v>4</v>
      </c>
      <c r="O892" s="235" t="s">
        <v>1791</v>
      </c>
      <c r="P892" s="238">
        <v>1.0</v>
      </c>
      <c r="Q892" s="235" t="s">
        <v>627</v>
      </c>
      <c r="R892" s="238">
        <v>265.72</v>
      </c>
      <c r="S892" s="238">
        <v>12.88</v>
      </c>
      <c r="T892" s="238">
        <v>0.0</v>
      </c>
      <c r="U892" s="238">
        <v>0.0</v>
      </c>
      <c r="V892" s="238">
        <v>0.0</v>
      </c>
      <c r="W892" s="238">
        <v>0.0</v>
      </c>
      <c r="X892" s="235" t="s">
        <v>628</v>
      </c>
      <c r="Z892" s="244"/>
      <c r="AA892" s="244"/>
      <c r="AB892" s="244"/>
      <c r="AC892" s="235" t="s">
        <v>1058</v>
      </c>
      <c r="AD892" s="235" t="s">
        <v>845</v>
      </c>
      <c r="AE892" s="238">
        <v>400049.0</v>
      </c>
      <c r="AF892" s="235" t="s">
        <v>631</v>
      </c>
      <c r="AG892" s="244"/>
      <c r="AH892" s="244"/>
      <c r="AI892" s="245"/>
      <c r="AJ892" s="245"/>
      <c r="AK892" s="245"/>
      <c r="AL892" s="245"/>
      <c r="AM892" s="244"/>
      <c r="AN892" s="244"/>
      <c r="AO892" s="238">
        <v>-7.97</v>
      </c>
      <c r="AP892" s="238">
        <v>0.0</v>
      </c>
      <c r="AQ892" s="235" t="s">
        <v>632</v>
      </c>
      <c r="AR892" s="243">
        <v>1.68E11</v>
      </c>
      <c r="AS892" s="235" t="s">
        <v>7365</v>
      </c>
      <c r="AT892" s="235" t="s">
        <v>16</v>
      </c>
      <c r="AU892" s="235" t="s">
        <v>634</v>
      </c>
      <c r="AV892" s="246" t="s">
        <v>635</v>
      </c>
      <c r="AW892" s="242"/>
      <c r="AX892" s="242"/>
      <c r="AY892" s="231"/>
      <c r="AZ892" s="231"/>
      <c r="BA892" s="227"/>
      <c r="BB892" s="231"/>
      <c r="BC892" s="227"/>
      <c r="BD892" s="227"/>
      <c r="BE892" s="227"/>
      <c r="BF892" s="227"/>
    </row>
    <row r="893">
      <c r="A893" s="235" t="s">
        <v>7717</v>
      </c>
      <c r="C893" s="235" t="s">
        <v>7718</v>
      </c>
      <c r="D893" s="235" t="s">
        <v>7719</v>
      </c>
      <c r="E893" s="243">
        <v>6.56E13</v>
      </c>
      <c r="F893" s="245"/>
      <c r="G893" s="235" t="s">
        <v>7720</v>
      </c>
      <c r="H893" s="235" t="s">
        <v>7721</v>
      </c>
      <c r="I893" s="235" t="s">
        <v>7721</v>
      </c>
      <c r="J893" s="235" t="s">
        <v>7722</v>
      </c>
      <c r="K893" s="235" t="s">
        <v>7723</v>
      </c>
      <c r="N893" s="235" t="s">
        <v>1646</v>
      </c>
      <c r="O893" s="235" t="s">
        <v>1647</v>
      </c>
      <c r="P893" s="238">
        <v>1.0</v>
      </c>
      <c r="Q893" s="235" t="s">
        <v>627</v>
      </c>
      <c r="R893" s="238">
        <v>270.48</v>
      </c>
      <c r="S893" s="238">
        <v>13.52</v>
      </c>
      <c r="T893" s="238">
        <v>38.1</v>
      </c>
      <c r="U893" s="238">
        <v>1.9</v>
      </c>
      <c r="V893" s="238">
        <v>0.0</v>
      </c>
      <c r="W893" s="238">
        <v>0.0</v>
      </c>
      <c r="X893" s="235" t="s">
        <v>628</v>
      </c>
      <c r="Z893" s="244"/>
      <c r="AA893" s="244"/>
      <c r="AB893" s="244"/>
      <c r="AC893" s="235" t="s">
        <v>2350</v>
      </c>
      <c r="AD893" s="235" t="s">
        <v>917</v>
      </c>
      <c r="AE893" s="238">
        <v>342008.0</v>
      </c>
      <c r="AF893" s="235" t="s">
        <v>631</v>
      </c>
      <c r="AG893" s="244"/>
      <c r="AH893" s="244"/>
      <c r="AI893" s="245"/>
      <c r="AJ893" s="245"/>
      <c r="AK893" s="245"/>
      <c r="AL893" s="245"/>
      <c r="AM893" s="244"/>
      <c r="AN893" s="244"/>
      <c r="AO893" s="238">
        <v>0.0</v>
      </c>
      <c r="AP893" s="238">
        <v>-38.1</v>
      </c>
      <c r="AQ893" s="235" t="s">
        <v>632</v>
      </c>
      <c r="AR893" s="243">
        <v>1.68E11</v>
      </c>
      <c r="AS893" s="235" t="s">
        <v>6164</v>
      </c>
      <c r="AT893" s="235" t="s">
        <v>533</v>
      </c>
      <c r="AU893" s="235" t="s">
        <v>634</v>
      </c>
      <c r="AV893" s="246" t="s">
        <v>635</v>
      </c>
      <c r="AW893" s="242"/>
      <c r="AX893" s="242"/>
      <c r="AY893" s="231"/>
      <c r="AZ893" s="231"/>
      <c r="BA893" s="227"/>
      <c r="BB893" s="231"/>
      <c r="BC893" s="227"/>
      <c r="BD893" s="227"/>
      <c r="BE893" s="227"/>
      <c r="BF893" s="227"/>
    </row>
    <row r="894">
      <c r="A894" s="235" t="s">
        <v>7724</v>
      </c>
      <c r="C894" s="235" t="s">
        <v>7725</v>
      </c>
      <c r="D894" s="235" t="s">
        <v>7726</v>
      </c>
      <c r="E894" s="243">
        <v>6.56E13</v>
      </c>
      <c r="F894" s="245"/>
      <c r="G894" s="235" t="s">
        <v>7727</v>
      </c>
      <c r="H894" s="235" t="s">
        <v>7728</v>
      </c>
      <c r="I894" s="235" t="s">
        <v>7728</v>
      </c>
      <c r="J894" s="235" t="s">
        <v>7729</v>
      </c>
      <c r="K894" s="235" t="s">
        <v>7730</v>
      </c>
      <c r="N894" s="235" t="s">
        <v>130</v>
      </c>
      <c r="O894" s="235" t="s">
        <v>707</v>
      </c>
      <c r="P894" s="238">
        <v>1.0</v>
      </c>
      <c r="Q894" s="235" t="s">
        <v>627</v>
      </c>
      <c r="R894" s="238">
        <v>246.67</v>
      </c>
      <c r="S894" s="238">
        <v>12.33</v>
      </c>
      <c r="T894" s="238">
        <v>0.0</v>
      </c>
      <c r="U894" s="238">
        <v>0.0</v>
      </c>
      <c r="V894" s="238">
        <v>0.0</v>
      </c>
      <c r="W894" s="238">
        <v>0.0</v>
      </c>
      <c r="X894" s="235" t="s">
        <v>628</v>
      </c>
      <c r="Z894" s="244"/>
      <c r="AA894" s="244"/>
      <c r="AB894" s="244"/>
      <c r="AC894" s="235" t="s">
        <v>832</v>
      </c>
      <c r="AD894" s="235" t="s">
        <v>833</v>
      </c>
      <c r="AE894" s="238">
        <v>530002.0</v>
      </c>
      <c r="AF894" s="235" t="s">
        <v>631</v>
      </c>
      <c r="AG894" s="244"/>
      <c r="AH894" s="244"/>
      <c r="AI894" s="245"/>
      <c r="AJ894" s="245"/>
      <c r="AK894" s="245"/>
      <c r="AL894" s="245"/>
      <c r="AM894" s="244"/>
      <c r="AN894" s="244"/>
      <c r="AO894" s="238">
        <v>0.0</v>
      </c>
      <c r="AP894" s="238">
        <v>0.0</v>
      </c>
      <c r="AQ894" s="235" t="s">
        <v>632</v>
      </c>
      <c r="AR894" s="243">
        <v>3.71E11</v>
      </c>
      <c r="AS894" s="235" t="s">
        <v>3284</v>
      </c>
      <c r="AT894" s="235" t="s">
        <v>17</v>
      </c>
      <c r="AU894" s="235" t="s">
        <v>634</v>
      </c>
      <c r="AV894" s="246" t="s">
        <v>635</v>
      </c>
      <c r="AW894" s="242"/>
      <c r="AX894" s="242"/>
      <c r="AY894" s="231"/>
      <c r="AZ894" s="231"/>
      <c r="BA894" s="227"/>
      <c r="BB894" s="231"/>
      <c r="BC894" s="227"/>
      <c r="BD894" s="227"/>
      <c r="BE894" s="227"/>
      <c r="BF894" s="227"/>
    </row>
    <row r="895">
      <c r="A895" s="235" t="s">
        <v>7732</v>
      </c>
      <c r="C895" s="235" t="s">
        <v>7733</v>
      </c>
      <c r="D895" s="235" t="s">
        <v>7734</v>
      </c>
      <c r="E895" s="243">
        <v>6.56E13</v>
      </c>
      <c r="F895" s="245"/>
      <c r="G895" s="235" t="s">
        <v>7735</v>
      </c>
      <c r="H895" s="235" t="s">
        <v>7736</v>
      </c>
      <c r="I895" s="235" t="s">
        <v>7736</v>
      </c>
      <c r="J895" s="235" t="s">
        <v>7737</v>
      </c>
      <c r="K895" s="235" t="s">
        <v>7738</v>
      </c>
      <c r="N895" s="235" t="s">
        <v>1346</v>
      </c>
      <c r="O895" s="235" t="s">
        <v>1347</v>
      </c>
      <c r="P895" s="238">
        <v>1.0</v>
      </c>
      <c r="Q895" s="235" t="s">
        <v>627</v>
      </c>
      <c r="R895" s="238">
        <v>256.2</v>
      </c>
      <c r="S895" s="238">
        <v>12.8</v>
      </c>
      <c r="T895" s="238">
        <v>0.0</v>
      </c>
      <c r="U895" s="238">
        <v>0.0</v>
      </c>
      <c r="V895" s="238">
        <v>0.0</v>
      </c>
      <c r="W895" s="238">
        <v>0.0</v>
      </c>
      <c r="X895" s="235" t="s">
        <v>628</v>
      </c>
      <c r="Z895" s="244"/>
      <c r="AA895" s="244"/>
      <c r="AB895" s="244"/>
      <c r="AC895" s="235" t="s">
        <v>1058</v>
      </c>
      <c r="AD895" s="235" t="s">
        <v>845</v>
      </c>
      <c r="AE895" s="238">
        <v>400059.0</v>
      </c>
      <c r="AF895" s="235" t="s">
        <v>631</v>
      </c>
      <c r="AG895" s="244"/>
      <c r="AH895" s="244"/>
      <c r="AI895" s="245"/>
      <c r="AJ895" s="245"/>
      <c r="AK895" s="245"/>
      <c r="AL895" s="245"/>
      <c r="AM895" s="244"/>
      <c r="AN895" s="244"/>
      <c r="AO895" s="238">
        <v>0.0</v>
      </c>
      <c r="AP895" s="238">
        <v>0.0</v>
      </c>
      <c r="AQ895" s="235" t="s">
        <v>632</v>
      </c>
      <c r="AR895" s="243">
        <v>3.71E11</v>
      </c>
      <c r="AS895" s="235" t="s">
        <v>6164</v>
      </c>
      <c r="AT895" s="235" t="s">
        <v>17</v>
      </c>
      <c r="AU895" s="235" t="s">
        <v>634</v>
      </c>
      <c r="AV895" s="246" t="s">
        <v>635</v>
      </c>
      <c r="AW895" s="242"/>
      <c r="AX895" s="242"/>
      <c r="AY895" s="231"/>
      <c r="AZ895" s="231"/>
      <c r="BA895" s="227"/>
      <c r="BB895" s="231"/>
      <c r="BC895" s="227"/>
      <c r="BD895" s="227"/>
      <c r="BE895" s="227"/>
      <c r="BF895" s="227"/>
    </row>
    <row r="896">
      <c r="A896" s="235" t="s">
        <v>7739</v>
      </c>
      <c r="C896" s="235" t="s">
        <v>7740</v>
      </c>
      <c r="D896" s="235" t="s">
        <v>7741</v>
      </c>
      <c r="E896" s="243">
        <v>6.56E13</v>
      </c>
      <c r="F896" s="245"/>
      <c r="G896" s="235" t="s">
        <v>7742</v>
      </c>
      <c r="H896" s="235" t="s">
        <v>7743</v>
      </c>
      <c r="I896" s="235" t="s">
        <v>7743</v>
      </c>
      <c r="J896" s="235" t="s">
        <v>7744</v>
      </c>
      <c r="K896" s="235" t="s">
        <v>7745</v>
      </c>
      <c r="N896" s="235" t="s">
        <v>144</v>
      </c>
      <c r="O896" s="235" t="s">
        <v>232</v>
      </c>
      <c r="P896" s="238">
        <v>1.0</v>
      </c>
      <c r="Q896" s="235" t="s">
        <v>627</v>
      </c>
      <c r="R896" s="238">
        <v>665.71</v>
      </c>
      <c r="S896" s="238">
        <v>33.29</v>
      </c>
      <c r="T896" s="238">
        <v>56.19</v>
      </c>
      <c r="U896" s="238">
        <v>2.81</v>
      </c>
      <c r="V896" s="238">
        <v>0.0</v>
      </c>
      <c r="W896" s="238">
        <v>0.0</v>
      </c>
      <c r="X896" s="235" t="s">
        <v>628</v>
      </c>
      <c r="Z896" s="244"/>
      <c r="AA896" s="244"/>
      <c r="AB896" s="244"/>
      <c r="AC896" s="235" t="s">
        <v>697</v>
      </c>
      <c r="AD896" s="235" t="s">
        <v>698</v>
      </c>
      <c r="AE896" s="238">
        <v>500082.0</v>
      </c>
      <c r="AF896" s="235" t="s">
        <v>631</v>
      </c>
      <c r="AG896" s="244"/>
      <c r="AH896" s="244"/>
      <c r="AI896" s="245"/>
      <c r="AJ896" s="245"/>
      <c r="AK896" s="245"/>
      <c r="AL896" s="245"/>
      <c r="AM896" s="244"/>
      <c r="AN896" s="244"/>
      <c r="AO896" s="238">
        <v>0.0</v>
      </c>
      <c r="AP896" s="238">
        <v>0.0</v>
      </c>
      <c r="AQ896" s="235" t="s">
        <v>632</v>
      </c>
      <c r="AR896" s="243">
        <v>1.68E11</v>
      </c>
      <c r="AS896" s="235" t="s">
        <v>6164</v>
      </c>
      <c r="AT896" s="235" t="s">
        <v>9</v>
      </c>
      <c r="AU896" s="235" t="s">
        <v>634</v>
      </c>
      <c r="AV896" s="246" t="s">
        <v>635</v>
      </c>
      <c r="AW896" s="242"/>
      <c r="AX896" s="242"/>
      <c r="AY896" s="231"/>
      <c r="AZ896" s="231"/>
      <c r="BA896" s="227"/>
      <c r="BB896" s="231"/>
      <c r="BC896" s="227"/>
      <c r="BD896" s="227"/>
      <c r="BE896" s="227"/>
      <c r="BF896" s="227"/>
    </row>
    <row r="897">
      <c r="A897" s="235" t="s">
        <v>7746</v>
      </c>
      <c r="C897" s="235" t="s">
        <v>7747</v>
      </c>
      <c r="D897" s="235" t="s">
        <v>7748</v>
      </c>
      <c r="E897" s="243">
        <v>6.56E13</v>
      </c>
      <c r="F897" s="245"/>
      <c r="G897" s="235" t="s">
        <v>7749</v>
      </c>
      <c r="H897" s="235" t="s">
        <v>7750</v>
      </c>
      <c r="I897" s="235" t="s">
        <v>7750</v>
      </c>
      <c r="J897" s="235" t="s">
        <v>7751</v>
      </c>
      <c r="K897" s="235" t="s">
        <v>7752</v>
      </c>
      <c r="N897" s="235" t="s">
        <v>130</v>
      </c>
      <c r="O897" s="235" t="s">
        <v>707</v>
      </c>
      <c r="P897" s="238">
        <v>1.0</v>
      </c>
      <c r="Q897" s="235" t="s">
        <v>627</v>
      </c>
      <c r="R897" s="238">
        <v>246.67</v>
      </c>
      <c r="S897" s="238">
        <v>12.33</v>
      </c>
      <c r="T897" s="238">
        <v>0.0</v>
      </c>
      <c r="U897" s="238">
        <v>0.0</v>
      </c>
      <c r="V897" s="238">
        <v>0.0</v>
      </c>
      <c r="W897" s="238">
        <v>0.0</v>
      </c>
      <c r="X897" s="235" t="s">
        <v>628</v>
      </c>
      <c r="Z897" s="244"/>
      <c r="AA897" s="244"/>
      <c r="AB897" s="244"/>
      <c r="AC897" s="235" t="s">
        <v>1728</v>
      </c>
      <c r="AD897" s="235" t="s">
        <v>630</v>
      </c>
      <c r="AE897" s="238">
        <v>221003.0</v>
      </c>
      <c r="AF897" s="235" t="s">
        <v>631</v>
      </c>
      <c r="AG897" s="244"/>
      <c r="AH897" s="244"/>
      <c r="AI897" s="245"/>
      <c r="AJ897" s="245"/>
      <c r="AK897" s="245"/>
      <c r="AL897" s="245"/>
      <c r="AM897" s="244"/>
      <c r="AN897" s="244"/>
      <c r="AO897" s="238">
        <v>0.0</v>
      </c>
      <c r="AP897" s="238">
        <v>0.0</v>
      </c>
      <c r="AQ897" s="235" t="s">
        <v>632</v>
      </c>
      <c r="AR897" s="243">
        <v>3.71E11</v>
      </c>
      <c r="AS897" s="235" t="s">
        <v>2276</v>
      </c>
      <c r="AT897" s="235" t="s">
        <v>533</v>
      </c>
      <c r="AU897" s="235" t="s">
        <v>634</v>
      </c>
      <c r="AV897" s="246" t="s">
        <v>635</v>
      </c>
      <c r="AW897" s="242"/>
      <c r="AX897" s="242"/>
      <c r="AY897" s="231"/>
      <c r="AZ897" s="231"/>
      <c r="BA897" s="227"/>
      <c r="BB897" s="231"/>
      <c r="BC897" s="227"/>
      <c r="BD897" s="227"/>
      <c r="BE897" s="227"/>
      <c r="BF897" s="227"/>
    </row>
    <row r="898">
      <c r="A898" s="235" t="s">
        <v>7753</v>
      </c>
      <c r="C898" s="235" t="s">
        <v>7754</v>
      </c>
      <c r="D898" s="235" t="s">
        <v>7755</v>
      </c>
      <c r="E898" s="243">
        <v>6.56E13</v>
      </c>
      <c r="F898" s="245"/>
      <c r="G898" s="235" t="s">
        <v>7756</v>
      </c>
      <c r="H898" s="235" t="s">
        <v>7757</v>
      </c>
      <c r="I898" s="235" t="s">
        <v>7757</v>
      </c>
      <c r="J898" s="235" t="s">
        <v>7758</v>
      </c>
      <c r="K898" s="235" t="s">
        <v>7759</v>
      </c>
      <c r="N898" s="235" t="s">
        <v>47</v>
      </c>
      <c r="O898" s="235" t="s">
        <v>270</v>
      </c>
      <c r="P898" s="238">
        <v>1.0</v>
      </c>
      <c r="Q898" s="235" t="s">
        <v>627</v>
      </c>
      <c r="R898" s="238">
        <v>237.14</v>
      </c>
      <c r="S898" s="238">
        <v>11.86</v>
      </c>
      <c r="T898" s="238">
        <v>56.19</v>
      </c>
      <c r="U898" s="238">
        <v>2.81</v>
      </c>
      <c r="V898" s="238">
        <v>0.0</v>
      </c>
      <c r="W898" s="238">
        <v>0.0</v>
      </c>
      <c r="X898" s="235" t="s">
        <v>628</v>
      </c>
      <c r="Z898" s="244"/>
      <c r="AA898" s="244"/>
      <c r="AB898" s="244"/>
      <c r="AC898" s="235" t="s">
        <v>7760</v>
      </c>
      <c r="AD898" s="235" t="s">
        <v>833</v>
      </c>
      <c r="AE898" s="238">
        <v>521212.0</v>
      </c>
      <c r="AF898" s="235" t="s">
        <v>631</v>
      </c>
      <c r="AG898" s="244"/>
      <c r="AH898" s="244"/>
      <c r="AI898" s="245"/>
      <c r="AJ898" s="245"/>
      <c r="AK898" s="245"/>
      <c r="AL898" s="245"/>
      <c r="AM898" s="244"/>
      <c r="AN898" s="244"/>
      <c r="AO898" s="238">
        <v>0.0</v>
      </c>
      <c r="AP898" s="238">
        <v>-56.19</v>
      </c>
      <c r="AQ898" s="235" t="s">
        <v>632</v>
      </c>
      <c r="AR898" s="243">
        <v>1.68E11</v>
      </c>
      <c r="AS898" s="235" t="s">
        <v>6164</v>
      </c>
      <c r="AT898" s="235" t="s">
        <v>156</v>
      </c>
      <c r="AU898" s="235" t="s">
        <v>634</v>
      </c>
      <c r="AV898" s="246" t="s">
        <v>635</v>
      </c>
      <c r="AW898" s="242"/>
      <c r="AX898" s="242"/>
      <c r="AY898" s="231"/>
      <c r="AZ898" s="231"/>
      <c r="BA898" s="227"/>
      <c r="BB898" s="231"/>
      <c r="BC898" s="227"/>
      <c r="BD898" s="227"/>
      <c r="BE898" s="227"/>
      <c r="BF898" s="227"/>
    </row>
    <row r="899">
      <c r="A899" s="235" t="s">
        <v>7761</v>
      </c>
      <c r="C899" s="235" t="s">
        <v>7762</v>
      </c>
      <c r="D899" s="235" t="s">
        <v>7763</v>
      </c>
      <c r="E899" s="243">
        <v>6.56E13</v>
      </c>
      <c r="F899" s="245"/>
      <c r="G899" s="235" t="s">
        <v>7764</v>
      </c>
      <c r="H899" s="235" t="s">
        <v>7765</v>
      </c>
      <c r="I899" s="235" t="s">
        <v>7766</v>
      </c>
      <c r="J899" s="235" t="s">
        <v>7767</v>
      </c>
      <c r="K899" s="235" t="s">
        <v>7768</v>
      </c>
      <c r="N899" s="235" t="s">
        <v>127</v>
      </c>
      <c r="O899" s="235" t="s">
        <v>794</v>
      </c>
      <c r="P899" s="238">
        <v>1.0</v>
      </c>
      <c r="Q899" s="235" t="s">
        <v>627</v>
      </c>
      <c r="R899" s="238">
        <v>246.66</v>
      </c>
      <c r="S899" s="238">
        <v>12.34</v>
      </c>
      <c r="T899" s="238">
        <v>38.1</v>
      </c>
      <c r="U899" s="238">
        <v>1.9</v>
      </c>
      <c r="V899" s="238">
        <v>0.0</v>
      </c>
      <c r="W899" s="238">
        <v>0.0</v>
      </c>
      <c r="X899" s="235" t="s">
        <v>628</v>
      </c>
      <c r="Z899" s="244"/>
      <c r="AA899" s="244"/>
      <c r="AB899" s="244"/>
      <c r="AC899" s="235" t="s">
        <v>5679</v>
      </c>
      <c r="AD899" s="235" t="s">
        <v>679</v>
      </c>
      <c r="AE899" s="238">
        <v>570014.0</v>
      </c>
      <c r="AF899" s="235" t="s">
        <v>631</v>
      </c>
      <c r="AG899" s="244"/>
      <c r="AH899" s="244"/>
      <c r="AI899" s="245"/>
      <c r="AJ899" s="245"/>
      <c r="AK899" s="245"/>
      <c r="AL899" s="245"/>
      <c r="AM899" s="244"/>
      <c r="AN899" s="244"/>
      <c r="AO899" s="238">
        <v>0.0</v>
      </c>
      <c r="AP899" s="238">
        <v>0.0</v>
      </c>
      <c r="AQ899" s="235" t="s">
        <v>632</v>
      </c>
      <c r="AR899" s="243">
        <v>3.71E11</v>
      </c>
      <c r="AS899" s="235" t="s">
        <v>6164</v>
      </c>
      <c r="AT899" s="235" t="s">
        <v>9</v>
      </c>
      <c r="AU899" s="235" t="s">
        <v>634</v>
      </c>
      <c r="AV899" s="246" t="s">
        <v>635</v>
      </c>
      <c r="AW899" s="242"/>
      <c r="AX899" s="242"/>
      <c r="AY899" s="231"/>
      <c r="AZ899" s="231"/>
      <c r="BA899" s="227"/>
      <c r="BB899" s="231"/>
      <c r="BC899" s="227"/>
      <c r="BD899" s="227"/>
      <c r="BE899" s="227"/>
      <c r="BF899" s="227"/>
    </row>
    <row r="900">
      <c r="A900" s="235" t="s">
        <v>7769</v>
      </c>
      <c r="C900" s="235" t="s">
        <v>7770</v>
      </c>
      <c r="D900" s="235" t="s">
        <v>7771</v>
      </c>
      <c r="E900" s="243">
        <v>6.56E13</v>
      </c>
      <c r="F900" s="245"/>
      <c r="G900" s="235" t="s">
        <v>7772</v>
      </c>
      <c r="H900" s="235" t="s">
        <v>7773</v>
      </c>
      <c r="I900" s="235" t="s">
        <v>7773</v>
      </c>
      <c r="J900" s="235" t="s">
        <v>7774</v>
      </c>
      <c r="K900" s="235" t="s">
        <v>7775</v>
      </c>
      <c r="N900" s="235" t="s">
        <v>98</v>
      </c>
      <c r="O900" s="235" t="s">
        <v>357</v>
      </c>
      <c r="P900" s="238">
        <v>1.0</v>
      </c>
      <c r="Q900" s="235" t="s">
        <v>627</v>
      </c>
      <c r="R900" s="238">
        <v>246.67</v>
      </c>
      <c r="S900" s="238">
        <v>12.33</v>
      </c>
      <c r="T900" s="238">
        <v>0.0</v>
      </c>
      <c r="U900" s="238">
        <v>0.0</v>
      </c>
      <c r="V900" s="238">
        <v>0.0</v>
      </c>
      <c r="W900" s="238">
        <v>0.0</v>
      </c>
      <c r="X900" s="235" t="s">
        <v>628</v>
      </c>
      <c r="Z900" s="244"/>
      <c r="AA900" s="244"/>
      <c r="AB900" s="244"/>
      <c r="AC900" s="235" t="s">
        <v>6436</v>
      </c>
      <c r="AD900" s="235" t="s">
        <v>1499</v>
      </c>
      <c r="AE900" s="238">
        <v>452001.0</v>
      </c>
      <c r="AF900" s="235" t="s">
        <v>631</v>
      </c>
      <c r="AG900" s="244"/>
      <c r="AH900" s="244"/>
      <c r="AI900" s="245"/>
      <c r="AJ900" s="245"/>
      <c r="AK900" s="245"/>
      <c r="AL900" s="245"/>
      <c r="AM900" s="244"/>
      <c r="AN900" s="244"/>
      <c r="AO900" s="238">
        <v>0.0</v>
      </c>
      <c r="AP900" s="238">
        <v>0.0</v>
      </c>
      <c r="AQ900" s="235" t="s">
        <v>632</v>
      </c>
      <c r="AR900" s="243">
        <v>1.68E11</v>
      </c>
      <c r="AS900" s="235" t="s">
        <v>6164</v>
      </c>
      <c r="AT900" s="235" t="s">
        <v>5</v>
      </c>
      <c r="AU900" s="235" t="s">
        <v>634</v>
      </c>
      <c r="AV900" s="246" t="s">
        <v>635</v>
      </c>
      <c r="AW900" s="242"/>
      <c r="AX900" s="242"/>
      <c r="AY900" s="231"/>
      <c r="AZ900" s="231"/>
      <c r="BA900" s="227"/>
      <c r="BB900" s="231"/>
      <c r="BC900" s="227"/>
      <c r="BD900" s="227"/>
      <c r="BE900" s="227"/>
      <c r="BF900" s="227"/>
    </row>
    <row r="901">
      <c r="A901" s="235" t="s">
        <v>7776</v>
      </c>
      <c r="C901" s="235" t="s">
        <v>7777</v>
      </c>
      <c r="D901" s="235" t="s">
        <v>7778</v>
      </c>
      <c r="E901" s="243">
        <v>6.56E13</v>
      </c>
      <c r="F901" s="245"/>
      <c r="G901" s="235" t="s">
        <v>7779</v>
      </c>
      <c r="H901" s="235" t="s">
        <v>7780</v>
      </c>
      <c r="I901" s="235" t="s">
        <v>7780</v>
      </c>
      <c r="J901" s="235" t="s">
        <v>7781</v>
      </c>
      <c r="K901" s="235" t="s">
        <v>4285</v>
      </c>
      <c r="N901" s="235" t="s">
        <v>49</v>
      </c>
      <c r="O901" s="235" t="s">
        <v>321</v>
      </c>
      <c r="P901" s="238">
        <v>1.0</v>
      </c>
      <c r="Q901" s="235" t="s">
        <v>627</v>
      </c>
      <c r="R901" s="238">
        <v>237.14</v>
      </c>
      <c r="S901" s="238">
        <v>11.5</v>
      </c>
      <c r="T901" s="238">
        <v>0.0</v>
      </c>
      <c r="U901" s="238">
        <v>0.0</v>
      </c>
      <c r="V901" s="238">
        <v>0.0</v>
      </c>
      <c r="W901" s="238">
        <v>0.0</v>
      </c>
      <c r="X901" s="235" t="s">
        <v>628</v>
      </c>
      <c r="Z901" s="244"/>
      <c r="AA901" s="244"/>
      <c r="AB901" s="244"/>
      <c r="AC901" s="235" t="s">
        <v>697</v>
      </c>
      <c r="AD901" s="235" t="s">
        <v>698</v>
      </c>
      <c r="AE901" s="238">
        <v>502300.0</v>
      </c>
      <c r="AF901" s="235" t="s">
        <v>631</v>
      </c>
      <c r="AG901" s="244"/>
      <c r="AH901" s="244"/>
      <c r="AI901" s="245"/>
      <c r="AJ901" s="245"/>
      <c r="AK901" s="245"/>
      <c r="AL901" s="245"/>
      <c r="AM901" s="244"/>
      <c r="AN901" s="244"/>
      <c r="AO901" s="238">
        <v>-7.11</v>
      </c>
      <c r="AP901" s="238">
        <v>0.0</v>
      </c>
      <c r="AQ901" s="235" t="s">
        <v>632</v>
      </c>
      <c r="AR901" s="243">
        <v>3.71E11</v>
      </c>
      <c r="AS901" s="235" t="s">
        <v>4697</v>
      </c>
      <c r="AT901" s="235" t="s">
        <v>546</v>
      </c>
      <c r="AU901" s="235" t="s">
        <v>634</v>
      </c>
      <c r="AV901" s="246" t="s">
        <v>635</v>
      </c>
      <c r="AW901" s="242"/>
      <c r="AX901" s="242"/>
      <c r="AY901" s="231"/>
      <c r="AZ901" s="231"/>
      <c r="BA901" s="227"/>
      <c r="BB901" s="231"/>
      <c r="BC901" s="227"/>
      <c r="BD901" s="227"/>
      <c r="BE901" s="227"/>
      <c r="BF901" s="227"/>
    </row>
    <row r="902">
      <c r="A902" s="235" t="s">
        <v>7776</v>
      </c>
      <c r="C902" s="235" t="s">
        <v>7777</v>
      </c>
      <c r="D902" s="235" t="s">
        <v>7782</v>
      </c>
      <c r="E902" s="243">
        <v>6.56E13</v>
      </c>
      <c r="F902" s="245"/>
      <c r="G902" s="235" t="s">
        <v>7779</v>
      </c>
      <c r="H902" s="235" t="s">
        <v>7780</v>
      </c>
      <c r="I902" s="235" t="s">
        <v>7780</v>
      </c>
      <c r="J902" s="235" t="s">
        <v>7781</v>
      </c>
      <c r="K902" s="235" t="s">
        <v>4285</v>
      </c>
      <c r="N902" s="235" t="s">
        <v>49</v>
      </c>
      <c r="O902" s="235" t="s">
        <v>321</v>
      </c>
      <c r="P902" s="238">
        <v>1.0</v>
      </c>
      <c r="Q902" s="235" t="s">
        <v>627</v>
      </c>
      <c r="R902" s="238">
        <v>237.14</v>
      </c>
      <c r="S902" s="238">
        <v>11.5</v>
      </c>
      <c r="T902" s="238">
        <v>0.0</v>
      </c>
      <c r="U902" s="238">
        <v>0.0</v>
      </c>
      <c r="V902" s="238">
        <v>0.0</v>
      </c>
      <c r="W902" s="238">
        <v>0.0</v>
      </c>
      <c r="X902" s="235" t="s">
        <v>628</v>
      </c>
      <c r="Z902" s="244"/>
      <c r="AA902" s="244"/>
      <c r="AB902" s="244"/>
      <c r="AC902" s="235" t="s">
        <v>697</v>
      </c>
      <c r="AD902" s="235" t="s">
        <v>698</v>
      </c>
      <c r="AE902" s="238">
        <v>502300.0</v>
      </c>
      <c r="AF902" s="235" t="s">
        <v>631</v>
      </c>
      <c r="AG902" s="244"/>
      <c r="AH902" s="244"/>
      <c r="AI902" s="245"/>
      <c r="AJ902" s="245"/>
      <c r="AK902" s="245"/>
      <c r="AL902" s="245"/>
      <c r="AM902" s="244"/>
      <c r="AN902" s="244"/>
      <c r="AO902" s="238">
        <v>-7.11</v>
      </c>
      <c r="AP902" s="238">
        <v>0.0</v>
      </c>
      <c r="AQ902" s="235" t="s">
        <v>632</v>
      </c>
      <c r="AR902" s="243">
        <v>3.71E11</v>
      </c>
      <c r="AS902" s="235" t="s">
        <v>4697</v>
      </c>
      <c r="AT902" s="235" t="s">
        <v>546</v>
      </c>
      <c r="AU902" s="235" t="s">
        <v>634</v>
      </c>
      <c r="AV902" s="246" t="s">
        <v>635</v>
      </c>
      <c r="AW902" s="242"/>
      <c r="AX902" s="242"/>
      <c r="AY902" s="231"/>
      <c r="AZ902" s="231"/>
      <c r="BA902" s="227"/>
      <c r="BB902" s="231"/>
      <c r="BC902" s="227"/>
      <c r="BD902" s="227"/>
      <c r="BE902" s="227"/>
      <c r="BF902" s="227"/>
    </row>
    <row r="903">
      <c r="A903" s="235" t="s">
        <v>7783</v>
      </c>
      <c r="C903" s="235" t="s">
        <v>7784</v>
      </c>
      <c r="D903" s="235" t="s">
        <v>7785</v>
      </c>
      <c r="E903" s="243">
        <v>6.56E13</v>
      </c>
      <c r="F903" s="245"/>
      <c r="G903" s="235" t="s">
        <v>7786</v>
      </c>
      <c r="H903" s="235" t="s">
        <v>7787</v>
      </c>
      <c r="I903" s="235" t="s">
        <v>7787</v>
      </c>
      <c r="J903" s="235" t="s">
        <v>7788</v>
      </c>
      <c r="K903" s="235" t="s">
        <v>7789</v>
      </c>
      <c r="N903" s="235" t="s">
        <v>42</v>
      </c>
      <c r="O903" s="235" t="s">
        <v>204</v>
      </c>
      <c r="P903" s="238">
        <v>1.0</v>
      </c>
      <c r="Q903" s="235" t="s">
        <v>627</v>
      </c>
      <c r="R903" s="238">
        <v>237.14</v>
      </c>
      <c r="S903" s="238">
        <v>11.86</v>
      </c>
      <c r="T903" s="238">
        <v>0.0</v>
      </c>
      <c r="U903" s="238">
        <v>0.0</v>
      </c>
      <c r="V903" s="238">
        <v>0.0</v>
      </c>
      <c r="W903" s="238">
        <v>0.0</v>
      </c>
      <c r="X903" s="235" t="s">
        <v>628</v>
      </c>
      <c r="Z903" s="244"/>
      <c r="AA903" s="244"/>
      <c r="AB903" s="244"/>
      <c r="AC903" s="235" t="s">
        <v>697</v>
      </c>
      <c r="AD903" s="235" t="s">
        <v>698</v>
      </c>
      <c r="AE903" s="238">
        <v>500049.0</v>
      </c>
      <c r="AF903" s="235" t="s">
        <v>631</v>
      </c>
      <c r="AG903" s="244"/>
      <c r="AH903" s="244"/>
      <c r="AI903" s="245"/>
      <c r="AJ903" s="245"/>
      <c r="AK903" s="245"/>
      <c r="AL903" s="245"/>
      <c r="AM903" s="244"/>
      <c r="AN903" s="244"/>
      <c r="AO903" s="238">
        <v>0.0</v>
      </c>
      <c r="AP903" s="238">
        <v>0.0</v>
      </c>
      <c r="AQ903" s="235" t="s">
        <v>632</v>
      </c>
      <c r="AR903" s="243">
        <v>2.02E11</v>
      </c>
      <c r="AS903" s="235" t="s">
        <v>6164</v>
      </c>
      <c r="AT903" s="235" t="s">
        <v>546</v>
      </c>
      <c r="AU903" s="235" t="s">
        <v>634</v>
      </c>
      <c r="AV903" s="246" t="s">
        <v>635</v>
      </c>
      <c r="AW903" s="242"/>
      <c r="AX903" s="242"/>
      <c r="AY903" s="231"/>
      <c r="AZ903" s="231"/>
      <c r="BA903" s="227"/>
      <c r="BB903" s="231"/>
      <c r="BC903" s="227"/>
      <c r="BD903" s="227"/>
      <c r="BE903" s="227"/>
      <c r="BF903" s="227"/>
    </row>
    <row r="904">
      <c r="A904" s="235" t="s">
        <v>7790</v>
      </c>
      <c r="C904" s="235" t="s">
        <v>7791</v>
      </c>
      <c r="D904" s="235" t="s">
        <v>7792</v>
      </c>
      <c r="E904" s="243">
        <v>6.56E13</v>
      </c>
      <c r="F904" s="245"/>
      <c r="G904" s="235" t="s">
        <v>7793</v>
      </c>
      <c r="H904" s="235" t="s">
        <v>7794</v>
      </c>
      <c r="I904" s="235" t="s">
        <v>7795</v>
      </c>
      <c r="J904" s="235" t="s">
        <v>7796</v>
      </c>
      <c r="K904" s="235" t="s">
        <v>7797</v>
      </c>
      <c r="N904" s="235" t="s">
        <v>717</v>
      </c>
      <c r="O904" s="235" t="s">
        <v>718</v>
      </c>
      <c r="P904" s="238">
        <v>1.0</v>
      </c>
      <c r="Q904" s="235" t="s">
        <v>627</v>
      </c>
      <c r="R904" s="238">
        <v>456.2</v>
      </c>
      <c r="S904" s="238">
        <v>22.8</v>
      </c>
      <c r="T904" s="238">
        <v>18.1</v>
      </c>
      <c r="U904" s="238">
        <v>0.9</v>
      </c>
      <c r="V904" s="238">
        <v>0.0</v>
      </c>
      <c r="W904" s="238">
        <v>0.0</v>
      </c>
      <c r="X904" s="235" t="s">
        <v>628</v>
      </c>
      <c r="Z904" s="244"/>
      <c r="AA904" s="244"/>
      <c r="AB904" s="244"/>
      <c r="AC904" s="235" t="s">
        <v>678</v>
      </c>
      <c r="AD904" s="235" t="s">
        <v>679</v>
      </c>
      <c r="AE904" s="238">
        <v>560087.0</v>
      </c>
      <c r="AF904" s="235" t="s">
        <v>631</v>
      </c>
      <c r="AG904" s="244"/>
      <c r="AH904" s="244"/>
      <c r="AI904" s="245"/>
      <c r="AJ904" s="245"/>
      <c r="AK904" s="245"/>
      <c r="AL904" s="245"/>
      <c r="AM904" s="244"/>
      <c r="AN904" s="244"/>
      <c r="AO904" s="238">
        <v>0.0</v>
      </c>
      <c r="AP904" s="238">
        <v>-18.1</v>
      </c>
      <c r="AQ904" s="235" t="s">
        <v>632</v>
      </c>
      <c r="AR904" s="243">
        <v>1.68E11</v>
      </c>
      <c r="AS904" s="235" t="s">
        <v>6608</v>
      </c>
      <c r="AT904" s="235" t="s">
        <v>9</v>
      </c>
      <c r="AU904" s="235" t="s">
        <v>634</v>
      </c>
      <c r="AV904" s="246" t="s">
        <v>635</v>
      </c>
      <c r="AW904" s="242"/>
      <c r="AX904" s="242"/>
      <c r="AY904" s="231"/>
      <c r="AZ904" s="231"/>
      <c r="BA904" s="227"/>
      <c r="BB904" s="231"/>
      <c r="BC904" s="227"/>
      <c r="BD904" s="227"/>
      <c r="BE904" s="227"/>
      <c r="BF904" s="227"/>
    </row>
    <row r="905">
      <c r="A905" s="235" t="s">
        <v>7798</v>
      </c>
      <c r="C905" s="235" t="s">
        <v>7799</v>
      </c>
      <c r="D905" s="235" t="s">
        <v>7800</v>
      </c>
      <c r="E905" s="243">
        <v>6.56E13</v>
      </c>
      <c r="F905" s="245"/>
      <c r="G905" s="235" t="s">
        <v>7801</v>
      </c>
      <c r="H905" s="235" t="s">
        <v>7802</v>
      </c>
      <c r="I905" s="235" t="s">
        <v>7802</v>
      </c>
      <c r="J905" s="235" t="s">
        <v>7803</v>
      </c>
      <c r="K905" s="235" t="s">
        <v>7804</v>
      </c>
      <c r="N905" s="235" t="s">
        <v>82</v>
      </c>
      <c r="O905" s="235" t="s">
        <v>889</v>
      </c>
      <c r="P905" s="238">
        <v>1.0</v>
      </c>
      <c r="Q905" s="235" t="s">
        <v>627</v>
      </c>
      <c r="R905" s="238">
        <v>246.66</v>
      </c>
      <c r="S905" s="238">
        <v>12.34</v>
      </c>
      <c r="T905" s="238">
        <v>38.1</v>
      </c>
      <c r="U905" s="238">
        <v>1.9</v>
      </c>
      <c r="V905" s="238">
        <v>0.0</v>
      </c>
      <c r="W905" s="238">
        <v>0.0</v>
      </c>
      <c r="X905" s="235" t="s">
        <v>628</v>
      </c>
      <c r="Z905" s="244"/>
      <c r="AA905" s="244"/>
      <c r="AB905" s="244"/>
      <c r="AC905" s="235" t="s">
        <v>678</v>
      </c>
      <c r="AD905" s="235" t="s">
        <v>679</v>
      </c>
      <c r="AE905" s="238">
        <v>560026.0</v>
      </c>
      <c r="AF905" s="235" t="s">
        <v>631</v>
      </c>
      <c r="AG905" s="244"/>
      <c r="AH905" s="244"/>
      <c r="AI905" s="245"/>
      <c r="AJ905" s="245"/>
      <c r="AK905" s="245"/>
      <c r="AL905" s="245"/>
      <c r="AM905" s="244"/>
      <c r="AN905" s="244"/>
      <c r="AO905" s="238">
        <v>0.0</v>
      </c>
      <c r="AP905" s="238">
        <v>-38.1</v>
      </c>
      <c r="AQ905" s="235" t="s">
        <v>632</v>
      </c>
      <c r="AR905" s="243">
        <v>3.71E11</v>
      </c>
      <c r="AS905" s="235" t="s">
        <v>6164</v>
      </c>
      <c r="AT905" s="235" t="s">
        <v>11</v>
      </c>
      <c r="AU905" s="235" t="s">
        <v>634</v>
      </c>
      <c r="AV905" s="246" t="s">
        <v>635</v>
      </c>
      <c r="AW905" s="242"/>
      <c r="AX905" s="242"/>
      <c r="AY905" s="231"/>
      <c r="AZ905" s="231"/>
      <c r="BA905" s="227"/>
      <c r="BB905" s="231"/>
      <c r="BC905" s="227"/>
      <c r="BD905" s="227"/>
      <c r="BE905" s="227"/>
      <c r="BF905" s="227"/>
    </row>
    <row r="906">
      <c r="A906" s="235" t="s">
        <v>7805</v>
      </c>
      <c r="C906" s="235" t="s">
        <v>7806</v>
      </c>
      <c r="D906" s="235" t="s">
        <v>7807</v>
      </c>
      <c r="E906" s="243">
        <v>6.56E13</v>
      </c>
      <c r="F906" s="245"/>
      <c r="G906" s="235" t="s">
        <v>7808</v>
      </c>
      <c r="H906" s="235" t="s">
        <v>7809</v>
      </c>
      <c r="I906" s="235" t="s">
        <v>7809</v>
      </c>
      <c r="J906" s="235" t="s">
        <v>7810</v>
      </c>
      <c r="K906" s="235" t="s">
        <v>7811</v>
      </c>
      <c r="N906" s="235" t="s">
        <v>90</v>
      </c>
      <c r="O906" s="235" t="s">
        <v>279</v>
      </c>
      <c r="P906" s="238">
        <v>1.0</v>
      </c>
      <c r="Q906" s="235" t="s">
        <v>627</v>
      </c>
      <c r="R906" s="238">
        <v>242.86</v>
      </c>
      <c r="S906" s="238">
        <v>12.14</v>
      </c>
      <c r="T906" s="238">
        <v>0.0</v>
      </c>
      <c r="U906" s="238">
        <v>0.0</v>
      </c>
      <c r="V906" s="238">
        <v>0.0</v>
      </c>
      <c r="W906" s="238">
        <v>0.0</v>
      </c>
      <c r="X906" s="235" t="s">
        <v>628</v>
      </c>
      <c r="Z906" s="244"/>
      <c r="AA906" s="244"/>
      <c r="AB906" s="244"/>
      <c r="AC906" s="235" t="s">
        <v>7812</v>
      </c>
      <c r="AD906" s="235" t="s">
        <v>833</v>
      </c>
      <c r="AE906" s="238">
        <v>534216.0</v>
      </c>
      <c r="AF906" s="235" t="s">
        <v>631</v>
      </c>
      <c r="AG906" s="244"/>
      <c r="AH906" s="244"/>
      <c r="AI906" s="245"/>
      <c r="AJ906" s="245"/>
      <c r="AK906" s="245"/>
      <c r="AL906" s="245"/>
      <c r="AM906" s="244"/>
      <c r="AN906" s="244"/>
      <c r="AO906" s="238">
        <v>0.0</v>
      </c>
      <c r="AP906" s="238">
        <v>0.0</v>
      </c>
      <c r="AQ906" s="235" t="s">
        <v>632</v>
      </c>
      <c r="AR906" s="243">
        <v>3.71E11</v>
      </c>
      <c r="AS906" s="235" t="s">
        <v>4697</v>
      </c>
      <c r="AT906" s="235" t="s">
        <v>156</v>
      </c>
      <c r="AU906" s="235" t="s">
        <v>634</v>
      </c>
      <c r="AV906" s="246" t="s">
        <v>635</v>
      </c>
      <c r="AW906" s="242"/>
      <c r="AX906" s="242"/>
      <c r="AY906" s="231"/>
      <c r="AZ906" s="231"/>
      <c r="BA906" s="227"/>
      <c r="BB906" s="231"/>
      <c r="BC906" s="227"/>
      <c r="BD906" s="227"/>
      <c r="BE906" s="227"/>
      <c r="BF906" s="227"/>
    </row>
    <row r="907">
      <c r="A907" s="235" t="s">
        <v>7813</v>
      </c>
      <c r="C907" s="235" t="s">
        <v>7814</v>
      </c>
      <c r="D907" s="235" t="s">
        <v>7815</v>
      </c>
      <c r="E907" s="243">
        <v>6.56E13</v>
      </c>
      <c r="F907" s="245"/>
      <c r="G907" s="235" t="s">
        <v>7816</v>
      </c>
      <c r="H907" s="235" t="s">
        <v>7817</v>
      </c>
      <c r="I907" s="235" t="s">
        <v>7817</v>
      </c>
      <c r="J907" s="235" t="s">
        <v>7818</v>
      </c>
      <c r="K907" s="235" t="s">
        <v>7819</v>
      </c>
      <c r="N907" s="235" t="s">
        <v>10</v>
      </c>
      <c r="O907" s="235" t="s">
        <v>936</v>
      </c>
      <c r="P907" s="238">
        <v>1.0</v>
      </c>
      <c r="Q907" s="235" t="s">
        <v>627</v>
      </c>
      <c r="R907" s="238">
        <v>265.72</v>
      </c>
      <c r="S907" s="238">
        <v>13.28</v>
      </c>
      <c r="T907" s="238">
        <v>38.1</v>
      </c>
      <c r="U907" s="238">
        <v>1.9</v>
      </c>
      <c r="V907" s="238">
        <v>0.0</v>
      </c>
      <c r="W907" s="238">
        <v>0.0</v>
      </c>
      <c r="X907" s="235" t="s">
        <v>628</v>
      </c>
      <c r="Z907" s="244"/>
      <c r="AA907" s="244"/>
      <c r="AB907" s="244"/>
      <c r="AC907" s="235" t="s">
        <v>687</v>
      </c>
      <c r="AD907" s="235" t="s">
        <v>666</v>
      </c>
      <c r="AE907" s="238">
        <v>600081.0</v>
      </c>
      <c r="AF907" s="235" t="s">
        <v>631</v>
      </c>
      <c r="AG907" s="244"/>
      <c r="AH907" s="244"/>
      <c r="AI907" s="245"/>
      <c r="AJ907" s="245"/>
      <c r="AK907" s="245"/>
      <c r="AL907" s="245"/>
      <c r="AM907" s="244"/>
      <c r="AN907" s="244"/>
      <c r="AO907" s="238">
        <v>0.0</v>
      </c>
      <c r="AP907" s="238">
        <v>-38.1</v>
      </c>
      <c r="AQ907" s="235" t="s">
        <v>632</v>
      </c>
      <c r="AR907" s="243">
        <v>3.71E11</v>
      </c>
      <c r="AS907" s="235" t="s">
        <v>6164</v>
      </c>
      <c r="AT907" s="235" t="s">
        <v>156</v>
      </c>
      <c r="AU907" s="235" t="s">
        <v>634</v>
      </c>
      <c r="AV907" s="246" t="s">
        <v>635</v>
      </c>
      <c r="AW907" s="242"/>
      <c r="AX907" s="242"/>
      <c r="AY907" s="231"/>
      <c r="AZ907" s="231"/>
      <c r="BA907" s="227"/>
      <c r="BB907" s="231"/>
      <c r="BC907" s="227"/>
      <c r="BD907" s="227"/>
      <c r="BE907" s="227"/>
      <c r="BF907" s="227"/>
    </row>
    <row r="908">
      <c r="A908" s="235" t="s">
        <v>7820</v>
      </c>
      <c r="C908" s="235" t="s">
        <v>7821</v>
      </c>
      <c r="D908" s="235" t="s">
        <v>7822</v>
      </c>
      <c r="E908" s="243">
        <v>6.56E13</v>
      </c>
      <c r="F908" s="245"/>
      <c r="G908" s="235" t="s">
        <v>7823</v>
      </c>
      <c r="H908" s="235" t="s">
        <v>7824</v>
      </c>
      <c r="I908" s="235" t="s">
        <v>7824</v>
      </c>
      <c r="J908" s="235" t="s">
        <v>7825</v>
      </c>
      <c r="K908" s="235" t="s">
        <v>7826</v>
      </c>
      <c r="N908" s="235" t="s">
        <v>22</v>
      </c>
      <c r="O908" s="235" t="s">
        <v>729</v>
      </c>
      <c r="P908" s="238">
        <v>1.0</v>
      </c>
      <c r="Q908" s="235" t="s">
        <v>627</v>
      </c>
      <c r="R908" s="238">
        <v>360.96</v>
      </c>
      <c r="S908" s="238">
        <v>17.5</v>
      </c>
      <c r="T908" s="238">
        <v>0.0</v>
      </c>
      <c r="U908" s="238">
        <v>0.0</v>
      </c>
      <c r="V908" s="238">
        <v>0.0</v>
      </c>
      <c r="W908" s="238">
        <v>0.0</v>
      </c>
      <c r="X908" s="235" t="s">
        <v>628</v>
      </c>
      <c r="Z908" s="244"/>
      <c r="AA908" s="244"/>
      <c r="AB908" s="244"/>
      <c r="AC908" s="235" t="s">
        <v>844</v>
      </c>
      <c r="AD908" s="235" t="s">
        <v>845</v>
      </c>
      <c r="AE908" s="238">
        <v>411014.0</v>
      </c>
      <c r="AF908" s="235" t="s">
        <v>631</v>
      </c>
      <c r="AG908" s="244"/>
      <c r="AH908" s="244"/>
      <c r="AI908" s="245"/>
      <c r="AJ908" s="245"/>
      <c r="AK908" s="245"/>
      <c r="AL908" s="245"/>
      <c r="AM908" s="244"/>
      <c r="AN908" s="244"/>
      <c r="AO908" s="238">
        <v>-10.83</v>
      </c>
      <c r="AP908" s="238">
        <v>0.0</v>
      </c>
      <c r="AQ908" s="235" t="s">
        <v>632</v>
      </c>
      <c r="AR908" s="243">
        <v>1.68E11</v>
      </c>
      <c r="AS908" s="235" t="s">
        <v>7365</v>
      </c>
      <c r="AT908" s="235" t="s">
        <v>546</v>
      </c>
      <c r="AU908" s="235" t="s">
        <v>634</v>
      </c>
      <c r="AV908" s="246" t="s">
        <v>635</v>
      </c>
      <c r="AW908" s="242"/>
      <c r="AX908" s="242"/>
      <c r="AY908" s="231"/>
      <c r="AZ908" s="231"/>
      <c r="BA908" s="227"/>
      <c r="BB908" s="231"/>
      <c r="BC908" s="227"/>
      <c r="BD908" s="227"/>
      <c r="BE908" s="227"/>
      <c r="BF908" s="227"/>
    </row>
    <row r="909">
      <c r="A909" s="235" t="s">
        <v>7820</v>
      </c>
      <c r="C909" s="235" t="s">
        <v>7821</v>
      </c>
      <c r="D909" s="235" t="s">
        <v>7827</v>
      </c>
      <c r="E909" s="243">
        <v>6.56E13</v>
      </c>
      <c r="F909" s="245"/>
      <c r="G909" s="235" t="s">
        <v>7823</v>
      </c>
      <c r="H909" s="235" t="s">
        <v>7824</v>
      </c>
      <c r="I909" s="235" t="s">
        <v>7824</v>
      </c>
      <c r="J909" s="235" t="s">
        <v>7825</v>
      </c>
      <c r="K909" s="235" t="s">
        <v>7826</v>
      </c>
      <c r="N909" s="235" t="s">
        <v>22</v>
      </c>
      <c r="O909" s="235" t="s">
        <v>729</v>
      </c>
      <c r="P909" s="238">
        <v>1.0</v>
      </c>
      <c r="Q909" s="235" t="s">
        <v>627</v>
      </c>
      <c r="R909" s="238">
        <v>360.96</v>
      </c>
      <c r="S909" s="238">
        <v>17.5</v>
      </c>
      <c r="T909" s="238">
        <v>0.0</v>
      </c>
      <c r="U909" s="238">
        <v>0.0</v>
      </c>
      <c r="V909" s="238">
        <v>0.0</v>
      </c>
      <c r="W909" s="238">
        <v>0.0</v>
      </c>
      <c r="X909" s="235" t="s">
        <v>628</v>
      </c>
      <c r="Z909" s="244"/>
      <c r="AA909" s="244"/>
      <c r="AB909" s="244"/>
      <c r="AC909" s="235" t="s">
        <v>844</v>
      </c>
      <c r="AD909" s="235" t="s">
        <v>845</v>
      </c>
      <c r="AE909" s="238">
        <v>411014.0</v>
      </c>
      <c r="AF909" s="235" t="s">
        <v>631</v>
      </c>
      <c r="AG909" s="244"/>
      <c r="AH909" s="244"/>
      <c r="AI909" s="245"/>
      <c r="AJ909" s="245"/>
      <c r="AK909" s="245"/>
      <c r="AL909" s="245"/>
      <c r="AM909" s="244"/>
      <c r="AN909" s="244"/>
      <c r="AO909" s="238">
        <v>-10.83</v>
      </c>
      <c r="AP909" s="238">
        <v>0.0</v>
      </c>
      <c r="AQ909" s="235" t="s">
        <v>632</v>
      </c>
      <c r="AR909" s="243">
        <v>1.68E11</v>
      </c>
      <c r="AS909" s="235" t="s">
        <v>7365</v>
      </c>
      <c r="AT909" s="235" t="s">
        <v>546</v>
      </c>
      <c r="AU909" s="235" t="s">
        <v>634</v>
      </c>
      <c r="AV909" s="246" t="s">
        <v>635</v>
      </c>
      <c r="AW909" s="242"/>
      <c r="AX909" s="242"/>
      <c r="AY909" s="231"/>
      <c r="AZ909" s="231"/>
      <c r="BA909" s="227"/>
      <c r="BB909" s="231"/>
      <c r="BC909" s="227"/>
      <c r="BD909" s="227"/>
      <c r="BE909" s="227"/>
      <c r="BF909" s="227"/>
    </row>
    <row r="910">
      <c r="A910" s="235" t="s">
        <v>7829</v>
      </c>
      <c r="C910" s="235" t="s">
        <v>7830</v>
      </c>
      <c r="D910" s="235" t="s">
        <v>7831</v>
      </c>
      <c r="E910" s="243">
        <v>6.55E13</v>
      </c>
      <c r="F910" s="245"/>
      <c r="G910" s="235" t="s">
        <v>7832</v>
      </c>
      <c r="H910" s="235" t="s">
        <v>7833</v>
      </c>
      <c r="I910" s="235" t="s">
        <v>7833</v>
      </c>
      <c r="J910" s="235" t="s">
        <v>7834</v>
      </c>
      <c r="K910" s="235" t="s">
        <v>7835</v>
      </c>
      <c r="N910" s="235" t="s">
        <v>144</v>
      </c>
      <c r="O910" s="235" t="s">
        <v>232</v>
      </c>
      <c r="P910" s="238">
        <v>1.0</v>
      </c>
      <c r="Q910" s="235" t="s">
        <v>627</v>
      </c>
      <c r="R910" s="238">
        <v>665.72</v>
      </c>
      <c r="S910" s="238">
        <v>33.28</v>
      </c>
      <c r="T910" s="238">
        <v>38.1</v>
      </c>
      <c r="U910" s="238">
        <v>1.9</v>
      </c>
      <c r="V910" s="238">
        <v>0.0</v>
      </c>
      <c r="W910" s="238">
        <v>0.0</v>
      </c>
      <c r="X910" s="235" t="s">
        <v>628</v>
      </c>
      <c r="Z910" s="244"/>
      <c r="AA910" s="244"/>
      <c r="AB910" s="244"/>
      <c r="AC910" s="235" t="s">
        <v>7836</v>
      </c>
      <c r="AD910" s="235" t="s">
        <v>666</v>
      </c>
      <c r="AE910" s="238">
        <v>630002.0</v>
      </c>
      <c r="AF910" s="235" t="s">
        <v>631</v>
      </c>
      <c r="AG910" s="244"/>
      <c r="AH910" s="244"/>
      <c r="AI910" s="245"/>
      <c r="AJ910" s="245"/>
      <c r="AK910" s="245"/>
      <c r="AL910" s="245"/>
      <c r="AM910" s="244"/>
      <c r="AN910" s="244"/>
      <c r="AO910" s="238">
        <v>0.0</v>
      </c>
      <c r="AP910" s="238">
        <v>-38.1</v>
      </c>
      <c r="AQ910" s="235" t="s">
        <v>632</v>
      </c>
      <c r="AR910" s="243">
        <v>3.71E11</v>
      </c>
      <c r="AS910" s="235" t="s">
        <v>6164</v>
      </c>
      <c r="AT910" s="235" t="s">
        <v>155</v>
      </c>
      <c r="AU910" s="235" t="s">
        <v>634</v>
      </c>
      <c r="AV910" s="246" t="s">
        <v>635</v>
      </c>
      <c r="AW910" s="242"/>
      <c r="AX910" s="242"/>
      <c r="AY910" s="231"/>
      <c r="AZ910" s="231"/>
      <c r="BA910" s="227"/>
      <c r="BB910" s="227"/>
      <c r="BC910" s="227"/>
      <c r="BD910" s="227"/>
      <c r="BE910" s="227"/>
      <c r="BF910" s="227"/>
    </row>
    <row r="911">
      <c r="A911" s="235" t="s">
        <v>7837</v>
      </c>
      <c r="C911" s="235" t="s">
        <v>7838</v>
      </c>
      <c r="D911" s="235" t="s">
        <v>7839</v>
      </c>
      <c r="E911" s="243">
        <v>6.56E13</v>
      </c>
      <c r="F911" s="245"/>
      <c r="G911" s="235" t="s">
        <v>7840</v>
      </c>
      <c r="H911" s="235" t="s">
        <v>7841</v>
      </c>
      <c r="I911" s="235" t="s">
        <v>7842</v>
      </c>
      <c r="J911" s="235" t="s">
        <v>7843</v>
      </c>
      <c r="K911" s="235" t="s">
        <v>7844</v>
      </c>
      <c r="N911" s="235" t="s">
        <v>127</v>
      </c>
      <c r="O911" s="235" t="s">
        <v>794</v>
      </c>
      <c r="P911" s="238">
        <v>1.0</v>
      </c>
      <c r="Q911" s="235" t="s">
        <v>627</v>
      </c>
      <c r="R911" s="238">
        <v>246.66</v>
      </c>
      <c r="S911" s="238">
        <v>12.34</v>
      </c>
      <c r="T911" s="238">
        <v>0.0</v>
      </c>
      <c r="U911" s="238">
        <v>0.0</v>
      </c>
      <c r="V911" s="238">
        <v>0.0</v>
      </c>
      <c r="W911" s="238">
        <v>0.0</v>
      </c>
      <c r="X911" s="235" t="s">
        <v>628</v>
      </c>
      <c r="Z911" s="244"/>
      <c r="AA911" s="244"/>
      <c r="AB911" s="244"/>
      <c r="AC911" s="235" t="s">
        <v>1604</v>
      </c>
      <c r="AD911" s="235" t="s">
        <v>845</v>
      </c>
      <c r="AE911" s="238">
        <v>400053.0</v>
      </c>
      <c r="AF911" s="235" t="s">
        <v>631</v>
      </c>
      <c r="AG911" s="244"/>
      <c r="AH911" s="244"/>
      <c r="AI911" s="245"/>
      <c r="AJ911" s="245"/>
      <c r="AK911" s="245"/>
      <c r="AL911" s="245"/>
      <c r="AM911" s="244"/>
      <c r="AN911" s="244"/>
      <c r="AO911" s="238">
        <v>0.0</v>
      </c>
      <c r="AP911" s="238">
        <v>0.0</v>
      </c>
      <c r="AQ911" s="235" t="s">
        <v>632</v>
      </c>
      <c r="AR911" s="243">
        <v>3.71E11</v>
      </c>
      <c r="AS911" s="235" t="s">
        <v>6164</v>
      </c>
      <c r="AT911" s="235" t="s">
        <v>17</v>
      </c>
      <c r="AU911" s="235" t="s">
        <v>634</v>
      </c>
      <c r="AV911" s="246" t="s">
        <v>635</v>
      </c>
      <c r="AW911" s="242"/>
      <c r="AX911" s="242"/>
      <c r="AY911" s="231"/>
      <c r="AZ911" s="231"/>
      <c r="BA911" s="227"/>
      <c r="BB911" s="231"/>
      <c r="BC911" s="227"/>
      <c r="BD911" s="227"/>
      <c r="BE911" s="227"/>
      <c r="BF911" s="227"/>
    </row>
    <row r="912">
      <c r="A912" s="235" t="s">
        <v>7845</v>
      </c>
      <c r="C912" s="235" t="s">
        <v>7846</v>
      </c>
      <c r="D912" s="235" t="s">
        <v>7847</v>
      </c>
      <c r="E912" s="243">
        <v>6.56E13</v>
      </c>
      <c r="F912" s="245"/>
      <c r="G912" s="235" t="s">
        <v>7848</v>
      </c>
      <c r="H912" s="235" t="s">
        <v>7849</v>
      </c>
      <c r="I912" s="235" t="s">
        <v>7849</v>
      </c>
      <c r="J912" s="235" t="s">
        <v>7850</v>
      </c>
      <c r="K912" s="235" t="s">
        <v>7851</v>
      </c>
      <c r="N912" s="235" t="s">
        <v>842</v>
      </c>
      <c r="O912" s="235" t="s">
        <v>843</v>
      </c>
      <c r="P912" s="238">
        <v>1.0</v>
      </c>
      <c r="Q912" s="235" t="s">
        <v>627</v>
      </c>
      <c r="R912" s="238">
        <v>246.67</v>
      </c>
      <c r="S912" s="238">
        <v>12.33</v>
      </c>
      <c r="T912" s="238">
        <v>38.1</v>
      </c>
      <c r="U912" s="238">
        <v>1.9</v>
      </c>
      <c r="V912" s="238">
        <v>0.0</v>
      </c>
      <c r="W912" s="238">
        <v>0.0</v>
      </c>
      <c r="X912" s="235" t="s">
        <v>628</v>
      </c>
      <c r="Z912" s="244"/>
      <c r="AA912" s="244"/>
      <c r="AB912" s="244"/>
      <c r="AC912" s="235" t="s">
        <v>7852</v>
      </c>
      <c r="AD912" s="235" t="s">
        <v>698</v>
      </c>
      <c r="AE912" s="238">
        <v>502257.0</v>
      </c>
      <c r="AF912" s="235" t="s">
        <v>631</v>
      </c>
      <c r="AG912" s="244"/>
      <c r="AH912" s="244"/>
      <c r="AI912" s="245"/>
      <c r="AJ912" s="245"/>
      <c r="AK912" s="245"/>
      <c r="AL912" s="245"/>
      <c r="AM912" s="244"/>
      <c r="AN912" s="244"/>
      <c r="AO912" s="238">
        <v>0.0</v>
      </c>
      <c r="AP912" s="238">
        <v>0.0</v>
      </c>
      <c r="AQ912" s="235" t="s">
        <v>1356</v>
      </c>
      <c r="AR912" s="247" t="s">
        <v>7853</v>
      </c>
      <c r="AS912" s="235" t="s">
        <v>656</v>
      </c>
      <c r="AT912" s="235" t="s">
        <v>155</v>
      </c>
      <c r="AU912" s="235" t="s">
        <v>634</v>
      </c>
      <c r="AV912" s="246" t="s">
        <v>635</v>
      </c>
      <c r="AW912" s="242"/>
      <c r="AX912" s="242"/>
      <c r="AY912" s="231"/>
      <c r="AZ912" s="231"/>
      <c r="BA912" s="227"/>
      <c r="BB912" s="231"/>
      <c r="BC912" s="227"/>
      <c r="BD912" s="227"/>
      <c r="BE912" s="227"/>
      <c r="BF912" s="227"/>
    </row>
    <row r="913">
      <c r="A913" s="235" t="s">
        <v>7854</v>
      </c>
      <c r="C913" s="235" t="s">
        <v>7855</v>
      </c>
      <c r="D913" s="235" t="s">
        <v>7856</v>
      </c>
      <c r="E913" s="243">
        <v>6.56E13</v>
      </c>
      <c r="F913" s="245"/>
      <c r="G913" s="235" t="s">
        <v>7857</v>
      </c>
      <c r="H913" s="235" t="s">
        <v>7858</v>
      </c>
      <c r="I913" s="235" t="s">
        <v>7858</v>
      </c>
      <c r="J913" s="235" t="s">
        <v>7859</v>
      </c>
      <c r="K913" s="235" t="s">
        <v>7860</v>
      </c>
      <c r="N913" s="235" t="s">
        <v>82</v>
      </c>
      <c r="O913" s="235" t="s">
        <v>889</v>
      </c>
      <c r="P913" s="238">
        <v>1.0</v>
      </c>
      <c r="Q913" s="235" t="s">
        <v>627</v>
      </c>
      <c r="R913" s="238">
        <v>246.67</v>
      </c>
      <c r="S913" s="238">
        <v>12.33</v>
      </c>
      <c r="T913" s="238">
        <v>38.1</v>
      </c>
      <c r="U913" s="238">
        <v>1.9</v>
      </c>
      <c r="V913" s="238">
        <v>0.0</v>
      </c>
      <c r="W913" s="238">
        <v>0.0</v>
      </c>
      <c r="X913" s="235" t="s">
        <v>628</v>
      </c>
      <c r="Z913" s="244"/>
      <c r="AA913" s="244"/>
      <c r="AB913" s="244"/>
      <c r="AC913" s="235" t="s">
        <v>7861</v>
      </c>
      <c r="AD913" s="235" t="s">
        <v>1499</v>
      </c>
      <c r="AE913" s="238">
        <v>461775.0</v>
      </c>
      <c r="AF913" s="235" t="s">
        <v>631</v>
      </c>
      <c r="AG913" s="244"/>
      <c r="AH913" s="244"/>
      <c r="AI913" s="245"/>
      <c r="AJ913" s="245"/>
      <c r="AK913" s="245"/>
      <c r="AL913" s="245"/>
      <c r="AM913" s="244"/>
      <c r="AN913" s="244"/>
      <c r="AO913" s="238">
        <v>0.0</v>
      </c>
      <c r="AP913" s="238">
        <v>-38.1</v>
      </c>
      <c r="AQ913" s="235" t="s">
        <v>632</v>
      </c>
      <c r="AR913" s="243">
        <v>3.71E11</v>
      </c>
      <c r="AS913" s="235" t="s">
        <v>3284</v>
      </c>
      <c r="AT913" s="235" t="s">
        <v>17</v>
      </c>
      <c r="AU913" s="235" t="s">
        <v>634</v>
      </c>
      <c r="AV913" s="246" t="s">
        <v>635</v>
      </c>
      <c r="AW913" s="242"/>
      <c r="AX913" s="242"/>
      <c r="AY913" s="231"/>
      <c r="AZ913" s="231"/>
      <c r="BA913" s="227"/>
      <c r="BB913" s="231"/>
      <c r="BC913" s="227"/>
      <c r="BD913" s="227"/>
      <c r="BE913" s="227"/>
      <c r="BF913" s="227"/>
    </row>
    <row r="914">
      <c r="A914" s="235" t="s">
        <v>7862</v>
      </c>
      <c r="C914" s="235" t="s">
        <v>7863</v>
      </c>
      <c r="D914" s="235" t="s">
        <v>7864</v>
      </c>
      <c r="E914" s="243">
        <v>6.55E13</v>
      </c>
      <c r="F914" s="245"/>
      <c r="G914" s="235" t="s">
        <v>7865</v>
      </c>
      <c r="H914" s="235" t="s">
        <v>7866</v>
      </c>
      <c r="I914" s="235" t="s">
        <v>7866</v>
      </c>
      <c r="J914" s="235" t="s">
        <v>7867</v>
      </c>
      <c r="K914" s="235" t="s">
        <v>7868</v>
      </c>
      <c r="N914" s="235" t="s">
        <v>78</v>
      </c>
      <c r="O914" s="235" t="s">
        <v>360</v>
      </c>
      <c r="P914" s="238">
        <v>1.0</v>
      </c>
      <c r="Q914" s="235" t="s">
        <v>627</v>
      </c>
      <c r="R914" s="238">
        <v>360.95</v>
      </c>
      <c r="S914" s="238">
        <v>18.05</v>
      </c>
      <c r="T914" s="238">
        <v>38.1</v>
      </c>
      <c r="U914" s="238">
        <v>1.9</v>
      </c>
      <c r="V914" s="238">
        <v>0.0</v>
      </c>
      <c r="W914" s="238">
        <v>0.0</v>
      </c>
      <c r="X914" s="235" t="s">
        <v>628</v>
      </c>
      <c r="Z914" s="244"/>
      <c r="AA914" s="244"/>
      <c r="AB914" s="244"/>
      <c r="AC914" s="235" t="s">
        <v>2350</v>
      </c>
      <c r="AD914" s="235" t="s">
        <v>917</v>
      </c>
      <c r="AE914" s="238">
        <v>342001.0</v>
      </c>
      <c r="AF914" s="235" t="s">
        <v>631</v>
      </c>
      <c r="AG914" s="244"/>
      <c r="AH914" s="244"/>
      <c r="AI914" s="245"/>
      <c r="AJ914" s="245"/>
      <c r="AK914" s="245"/>
      <c r="AL914" s="245"/>
      <c r="AM914" s="244"/>
      <c r="AN914" s="244"/>
      <c r="AO914" s="238">
        <v>0.0</v>
      </c>
      <c r="AP914" s="238">
        <v>-38.1</v>
      </c>
      <c r="AQ914" s="235" t="s">
        <v>632</v>
      </c>
      <c r="AR914" s="243">
        <v>3.71E11</v>
      </c>
      <c r="AS914" s="235" t="s">
        <v>4697</v>
      </c>
      <c r="AT914" s="235" t="s">
        <v>13</v>
      </c>
      <c r="AU914" s="235" t="s">
        <v>634</v>
      </c>
      <c r="AV914" s="246" t="s">
        <v>635</v>
      </c>
      <c r="AW914" s="242"/>
      <c r="AX914" s="242"/>
      <c r="AY914" s="231"/>
      <c r="AZ914" s="231"/>
      <c r="BA914" s="227"/>
      <c r="BB914" s="231"/>
      <c r="BC914" s="227"/>
      <c r="BD914" s="227"/>
      <c r="BE914" s="227"/>
      <c r="BF914" s="227"/>
    </row>
    <row r="915">
      <c r="A915" s="235" t="s">
        <v>7869</v>
      </c>
      <c r="C915" s="235" t="s">
        <v>7870</v>
      </c>
      <c r="D915" s="235" t="s">
        <v>7871</v>
      </c>
      <c r="E915" s="243">
        <v>6.55E13</v>
      </c>
      <c r="F915" s="245"/>
      <c r="G915" s="235" t="s">
        <v>7872</v>
      </c>
      <c r="H915" s="235" t="s">
        <v>7873</v>
      </c>
      <c r="I915" s="235" t="s">
        <v>7873</v>
      </c>
      <c r="J915" s="235" t="s">
        <v>7874</v>
      </c>
      <c r="K915" s="235" t="s">
        <v>7875</v>
      </c>
      <c r="N915" s="235" t="s">
        <v>127</v>
      </c>
      <c r="O915" s="235" t="s">
        <v>794</v>
      </c>
      <c r="P915" s="238">
        <v>1.0</v>
      </c>
      <c r="Q915" s="235" t="s">
        <v>627</v>
      </c>
      <c r="R915" s="238">
        <v>246.67</v>
      </c>
      <c r="S915" s="238">
        <v>12.33</v>
      </c>
      <c r="T915" s="238">
        <v>38.1</v>
      </c>
      <c r="U915" s="238">
        <v>1.9</v>
      </c>
      <c r="V915" s="238">
        <v>0.0</v>
      </c>
      <c r="W915" s="238">
        <v>0.0</v>
      </c>
      <c r="X915" s="235" t="s">
        <v>628</v>
      </c>
      <c r="Z915" s="244"/>
      <c r="AA915" s="244"/>
      <c r="AB915" s="244"/>
      <c r="AC915" s="235" t="s">
        <v>795</v>
      </c>
      <c r="AD915" s="235" t="s">
        <v>7876</v>
      </c>
      <c r="AE915" s="238">
        <v>110039.0</v>
      </c>
      <c r="AF915" s="235" t="s">
        <v>631</v>
      </c>
      <c r="AG915" s="244"/>
      <c r="AH915" s="244"/>
      <c r="AI915" s="245"/>
      <c r="AJ915" s="245"/>
      <c r="AK915" s="245"/>
      <c r="AL915" s="245"/>
      <c r="AM915" s="244"/>
      <c r="AN915" s="244"/>
      <c r="AO915" s="238">
        <v>0.0</v>
      </c>
      <c r="AP915" s="238">
        <v>-38.1</v>
      </c>
      <c r="AQ915" s="235" t="s">
        <v>632</v>
      </c>
      <c r="AR915" s="243">
        <v>3.71E11</v>
      </c>
      <c r="AS915" s="235" t="s">
        <v>6164</v>
      </c>
      <c r="AT915" s="235" t="s">
        <v>14</v>
      </c>
      <c r="AU915" s="235" t="s">
        <v>634</v>
      </c>
      <c r="AV915" s="246" t="s">
        <v>635</v>
      </c>
      <c r="AW915" s="242"/>
      <c r="AX915" s="242"/>
      <c r="AY915" s="231"/>
      <c r="AZ915" s="231"/>
      <c r="BA915" s="227"/>
      <c r="BB915" s="231"/>
      <c r="BC915" s="227"/>
      <c r="BD915" s="227"/>
      <c r="BE915" s="227"/>
      <c r="BF915" s="227"/>
    </row>
    <row r="916">
      <c r="A916" s="235" t="s">
        <v>7877</v>
      </c>
      <c r="C916" s="235" t="s">
        <v>7878</v>
      </c>
      <c r="D916" s="235" t="s">
        <v>7879</v>
      </c>
      <c r="E916" s="243">
        <v>6.56E13</v>
      </c>
      <c r="F916" s="245"/>
      <c r="G916" s="235" t="s">
        <v>7880</v>
      </c>
      <c r="H916" s="235" t="s">
        <v>7881</v>
      </c>
      <c r="I916" s="235" t="s">
        <v>7881</v>
      </c>
      <c r="J916" s="235" t="s">
        <v>7882</v>
      </c>
      <c r="K916" s="235" t="s">
        <v>7883</v>
      </c>
      <c r="N916" s="235" t="s">
        <v>130</v>
      </c>
      <c r="O916" s="235" t="s">
        <v>707</v>
      </c>
      <c r="P916" s="238">
        <v>1.0</v>
      </c>
      <c r="Q916" s="235" t="s">
        <v>627</v>
      </c>
      <c r="R916" s="238">
        <v>246.67</v>
      </c>
      <c r="S916" s="238">
        <v>12.33</v>
      </c>
      <c r="T916" s="238">
        <v>38.1</v>
      </c>
      <c r="U916" s="238">
        <v>1.9</v>
      </c>
      <c r="V916" s="238">
        <v>0.0</v>
      </c>
      <c r="W916" s="238">
        <v>0.0</v>
      </c>
      <c r="X916" s="235" t="s">
        <v>628</v>
      </c>
      <c r="Z916" s="244"/>
      <c r="AA916" s="244"/>
      <c r="AB916" s="244"/>
      <c r="AC916" s="235" t="s">
        <v>7884</v>
      </c>
      <c r="AD916" s="235" t="s">
        <v>1086</v>
      </c>
      <c r="AE916" s="238">
        <v>144205.0</v>
      </c>
      <c r="AF916" s="235" t="s">
        <v>631</v>
      </c>
      <c r="AG916" s="244"/>
      <c r="AH916" s="244"/>
      <c r="AI916" s="245"/>
      <c r="AJ916" s="245"/>
      <c r="AK916" s="245"/>
      <c r="AL916" s="245"/>
      <c r="AM916" s="244"/>
      <c r="AN916" s="244"/>
      <c r="AO916" s="238">
        <v>0.0</v>
      </c>
      <c r="AP916" s="238">
        <v>-38.1</v>
      </c>
      <c r="AQ916" s="235" t="s">
        <v>632</v>
      </c>
      <c r="AR916" s="243">
        <v>3.71E11</v>
      </c>
      <c r="AS916" s="235" t="s">
        <v>4697</v>
      </c>
      <c r="AT916" s="235" t="s">
        <v>13</v>
      </c>
      <c r="AU916" s="235" t="s">
        <v>634</v>
      </c>
      <c r="AV916" s="246" t="s">
        <v>635</v>
      </c>
      <c r="AW916" s="242"/>
      <c r="AX916" s="242"/>
      <c r="AY916" s="231"/>
      <c r="AZ916" s="231"/>
      <c r="BA916" s="227"/>
      <c r="BB916" s="231"/>
      <c r="BC916" s="227"/>
      <c r="BD916" s="227"/>
      <c r="BE916" s="227"/>
      <c r="BF916" s="227"/>
    </row>
    <row r="917">
      <c r="A917" s="235" t="s">
        <v>7885</v>
      </c>
      <c r="C917" s="235" t="s">
        <v>7886</v>
      </c>
      <c r="D917" s="235" t="s">
        <v>7887</v>
      </c>
      <c r="E917" s="243">
        <v>6.56E13</v>
      </c>
      <c r="F917" s="245"/>
      <c r="G917" s="235" t="s">
        <v>7888</v>
      </c>
      <c r="H917" s="235" t="s">
        <v>7889</v>
      </c>
      <c r="I917" s="235" t="s">
        <v>7889</v>
      </c>
      <c r="J917" s="235" t="s">
        <v>7890</v>
      </c>
      <c r="K917" s="235" t="s">
        <v>7891</v>
      </c>
      <c r="N917" s="235" t="s">
        <v>12</v>
      </c>
      <c r="O917" s="235" t="s">
        <v>804</v>
      </c>
      <c r="P917" s="238">
        <v>1.0</v>
      </c>
      <c r="Q917" s="235" t="s">
        <v>627</v>
      </c>
      <c r="R917" s="238">
        <v>265.71</v>
      </c>
      <c r="S917" s="238">
        <v>12.63</v>
      </c>
      <c r="T917" s="238">
        <v>0.0</v>
      </c>
      <c r="U917" s="238">
        <v>0.0</v>
      </c>
      <c r="V917" s="238">
        <v>0.0</v>
      </c>
      <c r="W917" s="238">
        <v>0.0</v>
      </c>
      <c r="X917" s="235" t="s">
        <v>628</v>
      </c>
      <c r="Z917" s="244"/>
      <c r="AA917" s="244"/>
      <c r="AB917" s="244"/>
      <c r="AC917" s="235" t="s">
        <v>1456</v>
      </c>
      <c r="AD917" s="235" t="s">
        <v>928</v>
      </c>
      <c r="AE917" s="238">
        <v>122002.0</v>
      </c>
      <c r="AF917" s="235" t="s">
        <v>631</v>
      </c>
      <c r="AG917" s="244"/>
      <c r="AH917" s="244"/>
      <c r="AI917" s="245"/>
      <c r="AJ917" s="245"/>
      <c r="AK917" s="245"/>
      <c r="AL917" s="245"/>
      <c r="AM917" s="244"/>
      <c r="AN917" s="244"/>
      <c r="AO917" s="238">
        <v>-13.29</v>
      </c>
      <c r="AP917" s="238">
        <v>0.0</v>
      </c>
      <c r="AQ917" s="235" t="s">
        <v>632</v>
      </c>
      <c r="AR917" s="243">
        <v>2.02E11</v>
      </c>
      <c r="AS917" s="235" t="s">
        <v>6164</v>
      </c>
      <c r="AT917" s="235" t="s">
        <v>9</v>
      </c>
      <c r="AU917" s="235" t="s">
        <v>634</v>
      </c>
      <c r="AV917" s="246" t="s">
        <v>635</v>
      </c>
      <c r="AW917" s="242"/>
      <c r="AX917" s="242"/>
      <c r="AY917" s="231"/>
      <c r="AZ917" s="231"/>
      <c r="BA917" s="227"/>
      <c r="BB917" s="231"/>
      <c r="BC917" s="227"/>
      <c r="BD917" s="227"/>
      <c r="BE917" s="227"/>
      <c r="BF917" s="227"/>
    </row>
    <row r="918">
      <c r="A918" s="235" t="s">
        <v>7885</v>
      </c>
      <c r="C918" s="235" t="s">
        <v>7886</v>
      </c>
      <c r="D918" s="235" t="s">
        <v>7892</v>
      </c>
      <c r="E918" s="243">
        <v>6.56E13</v>
      </c>
      <c r="F918" s="245"/>
      <c r="G918" s="235" t="s">
        <v>7888</v>
      </c>
      <c r="H918" s="235" t="s">
        <v>7889</v>
      </c>
      <c r="I918" s="235" t="s">
        <v>7889</v>
      </c>
      <c r="J918" s="235" t="s">
        <v>7890</v>
      </c>
      <c r="K918" s="235" t="s">
        <v>7891</v>
      </c>
      <c r="N918" s="235" t="s">
        <v>12</v>
      </c>
      <c r="O918" s="235" t="s">
        <v>804</v>
      </c>
      <c r="P918" s="238">
        <v>3.0</v>
      </c>
      <c r="Q918" s="235" t="s">
        <v>627</v>
      </c>
      <c r="R918" s="238">
        <v>797.13</v>
      </c>
      <c r="S918" s="238">
        <v>37.89</v>
      </c>
      <c r="T918" s="238">
        <v>0.0</v>
      </c>
      <c r="U918" s="238">
        <v>0.0</v>
      </c>
      <c r="V918" s="238">
        <v>0.0</v>
      </c>
      <c r="W918" s="238">
        <v>0.0</v>
      </c>
      <c r="X918" s="235" t="s">
        <v>628</v>
      </c>
      <c r="Z918" s="244"/>
      <c r="AA918" s="244"/>
      <c r="AB918" s="244"/>
      <c r="AC918" s="235" t="s">
        <v>1456</v>
      </c>
      <c r="AD918" s="235" t="s">
        <v>928</v>
      </c>
      <c r="AE918" s="238">
        <v>122002.0</v>
      </c>
      <c r="AF918" s="235" t="s">
        <v>631</v>
      </c>
      <c r="AG918" s="244"/>
      <c r="AH918" s="244"/>
      <c r="AI918" s="245"/>
      <c r="AJ918" s="245"/>
      <c r="AK918" s="245"/>
      <c r="AL918" s="245"/>
      <c r="AM918" s="244"/>
      <c r="AN918" s="244"/>
      <c r="AO918" s="238">
        <v>-39.87</v>
      </c>
      <c r="AP918" s="238">
        <v>0.0</v>
      </c>
      <c r="AQ918" s="235" t="s">
        <v>632</v>
      </c>
      <c r="AR918" s="243">
        <v>2.02E11</v>
      </c>
      <c r="AS918" s="235" t="s">
        <v>6164</v>
      </c>
      <c r="AT918" s="235" t="s">
        <v>9</v>
      </c>
      <c r="AU918" s="235" t="s">
        <v>634</v>
      </c>
      <c r="AV918" s="246" t="s">
        <v>635</v>
      </c>
      <c r="AW918" s="242"/>
      <c r="AX918" s="242"/>
      <c r="AY918" s="231"/>
      <c r="AZ918" s="231"/>
      <c r="BA918" s="227"/>
      <c r="BB918" s="231"/>
      <c r="BC918" s="227"/>
      <c r="BD918" s="227"/>
      <c r="BE918" s="227"/>
      <c r="BF918" s="227"/>
    </row>
    <row r="919">
      <c r="A919" s="235" t="s">
        <v>7885</v>
      </c>
      <c r="C919" s="235" t="s">
        <v>7886</v>
      </c>
      <c r="D919" s="235" t="s">
        <v>7893</v>
      </c>
      <c r="E919" s="243">
        <v>6.56E13</v>
      </c>
      <c r="F919" s="245"/>
      <c r="G919" s="235" t="s">
        <v>7888</v>
      </c>
      <c r="H919" s="235" t="s">
        <v>7889</v>
      </c>
      <c r="I919" s="235" t="s">
        <v>7889</v>
      </c>
      <c r="J919" s="235" t="s">
        <v>7890</v>
      </c>
      <c r="K919" s="235" t="s">
        <v>7891</v>
      </c>
      <c r="N919" s="235" t="s">
        <v>12</v>
      </c>
      <c r="O919" s="235" t="s">
        <v>804</v>
      </c>
      <c r="P919" s="238">
        <v>1.0</v>
      </c>
      <c r="Q919" s="235" t="s">
        <v>627</v>
      </c>
      <c r="R919" s="238">
        <v>265.71</v>
      </c>
      <c r="S919" s="238">
        <v>12.63</v>
      </c>
      <c r="T919" s="238">
        <v>0.0</v>
      </c>
      <c r="U919" s="238">
        <v>0.0</v>
      </c>
      <c r="V919" s="238">
        <v>0.0</v>
      </c>
      <c r="W919" s="238">
        <v>0.0</v>
      </c>
      <c r="X919" s="235" t="s">
        <v>628</v>
      </c>
      <c r="Z919" s="244"/>
      <c r="AA919" s="244"/>
      <c r="AB919" s="244"/>
      <c r="AC919" s="235" t="s">
        <v>1456</v>
      </c>
      <c r="AD919" s="235" t="s">
        <v>928</v>
      </c>
      <c r="AE919" s="238">
        <v>122002.0</v>
      </c>
      <c r="AF919" s="235" t="s">
        <v>631</v>
      </c>
      <c r="AG919" s="244"/>
      <c r="AH919" s="244"/>
      <c r="AI919" s="245"/>
      <c r="AJ919" s="245"/>
      <c r="AK919" s="245"/>
      <c r="AL919" s="245"/>
      <c r="AM919" s="244"/>
      <c r="AN919" s="244"/>
      <c r="AO919" s="238">
        <v>-13.29</v>
      </c>
      <c r="AP919" s="238">
        <v>0.0</v>
      </c>
      <c r="AQ919" s="235" t="s">
        <v>632</v>
      </c>
      <c r="AR919" s="243">
        <v>2.02E11</v>
      </c>
      <c r="AS919" s="235" t="s">
        <v>6164</v>
      </c>
      <c r="AT919" s="235" t="s">
        <v>9</v>
      </c>
      <c r="AU919" s="235" t="s">
        <v>634</v>
      </c>
      <c r="AV919" s="246" t="s">
        <v>635</v>
      </c>
      <c r="AW919" s="242"/>
      <c r="AX919" s="242"/>
      <c r="AY919" s="231"/>
      <c r="AZ919" s="231"/>
      <c r="BA919" s="227"/>
      <c r="BB919" s="231"/>
      <c r="BC919" s="227"/>
      <c r="BD919" s="227"/>
      <c r="BE919" s="227"/>
      <c r="BF919" s="227"/>
    </row>
    <row r="920">
      <c r="A920" s="235" t="s">
        <v>7885</v>
      </c>
      <c r="C920" s="235" t="s">
        <v>7886</v>
      </c>
      <c r="D920" s="235" t="s">
        <v>7894</v>
      </c>
      <c r="E920" s="243">
        <v>6.56E13</v>
      </c>
      <c r="F920" s="245"/>
      <c r="G920" s="235" t="s">
        <v>7888</v>
      </c>
      <c r="H920" s="235" t="s">
        <v>7889</v>
      </c>
      <c r="I920" s="235" t="s">
        <v>7889</v>
      </c>
      <c r="J920" s="235" t="s">
        <v>7890</v>
      </c>
      <c r="K920" s="235" t="s">
        <v>7891</v>
      </c>
      <c r="N920" s="235" t="s">
        <v>12</v>
      </c>
      <c r="O920" s="235" t="s">
        <v>804</v>
      </c>
      <c r="P920" s="238">
        <v>1.0</v>
      </c>
      <c r="Q920" s="235" t="s">
        <v>627</v>
      </c>
      <c r="R920" s="238">
        <v>265.71</v>
      </c>
      <c r="S920" s="238">
        <v>12.63</v>
      </c>
      <c r="T920" s="238">
        <v>0.0</v>
      </c>
      <c r="U920" s="238">
        <v>0.0</v>
      </c>
      <c r="V920" s="238">
        <v>0.0</v>
      </c>
      <c r="W920" s="238">
        <v>0.0</v>
      </c>
      <c r="X920" s="235" t="s">
        <v>628</v>
      </c>
      <c r="Z920" s="244"/>
      <c r="AA920" s="244"/>
      <c r="AB920" s="244"/>
      <c r="AC920" s="235" t="s">
        <v>1456</v>
      </c>
      <c r="AD920" s="235" t="s">
        <v>928</v>
      </c>
      <c r="AE920" s="238">
        <v>122002.0</v>
      </c>
      <c r="AF920" s="235" t="s">
        <v>631</v>
      </c>
      <c r="AG920" s="244"/>
      <c r="AH920" s="244"/>
      <c r="AI920" s="245"/>
      <c r="AJ920" s="245"/>
      <c r="AK920" s="245"/>
      <c r="AL920" s="245"/>
      <c r="AM920" s="244"/>
      <c r="AN920" s="244"/>
      <c r="AO920" s="238">
        <v>-13.29</v>
      </c>
      <c r="AP920" s="238">
        <v>0.0</v>
      </c>
      <c r="AQ920" s="235" t="s">
        <v>632</v>
      </c>
      <c r="AR920" s="243">
        <v>2.02E11</v>
      </c>
      <c r="AS920" s="235" t="s">
        <v>6164</v>
      </c>
      <c r="AT920" s="235" t="s">
        <v>9</v>
      </c>
      <c r="AU920" s="235" t="s">
        <v>634</v>
      </c>
      <c r="AV920" s="246" t="s">
        <v>635</v>
      </c>
      <c r="AW920" s="242"/>
      <c r="AX920" s="242"/>
      <c r="AY920" s="231"/>
      <c r="AZ920" s="231"/>
      <c r="BA920" s="227"/>
      <c r="BB920" s="231"/>
      <c r="BC920" s="227"/>
      <c r="BD920" s="227"/>
      <c r="BE920" s="227"/>
      <c r="BF920" s="227"/>
    </row>
    <row r="921">
      <c r="A921" s="235" t="s">
        <v>7885</v>
      </c>
      <c r="C921" s="235" t="s">
        <v>7886</v>
      </c>
      <c r="D921" s="235" t="s">
        <v>7895</v>
      </c>
      <c r="E921" s="243">
        <v>6.56E13</v>
      </c>
      <c r="F921" s="245"/>
      <c r="G921" s="235" t="s">
        <v>7888</v>
      </c>
      <c r="H921" s="235" t="s">
        <v>7889</v>
      </c>
      <c r="I921" s="235" t="s">
        <v>7889</v>
      </c>
      <c r="J921" s="235" t="s">
        <v>7890</v>
      </c>
      <c r="K921" s="235" t="s">
        <v>7891</v>
      </c>
      <c r="N921" s="235" t="s">
        <v>12</v>
      </c>
      <c r="O921" s="235" t="s">
        <v>804</v>
      </c>
      <c r="P921" s="238">
        <v>1.0</v>
      </c>
      <c r="Q921" s="235" t="s">
        <v>627</v>
      </c>
      <c r="R921" s="238">
        <v>265.71</v>
      </c>
      <c r="S921" s="238">
        <v>12.63</v>
      </c>
      <c r="T921" s="238">
        <v>0.0</v>
      </c>
      <c r="U921" s="238">
        <v>0.0</v>
      </c>
      <c r="V921" s="238">
        <v>0.0</v>
      </c>
      <c r="W921" s="238">
        <v>0.0</v>
      </c>
      <c r="X921" s="235" t="s">
        <v>628</v>
      </c>
      <c r="Z921" s="244"/>
      <c r="AA921" s="244"/>
      <c r="AB921" s="244"/>
      <c r="AC921" s="235" t="s">
        <v>1456</v>
      </c>
      <c r="AD921" s="235" t="s">
        <v>928</v>
      </c>
      <c r="AE921" s="238">
        <v>122002.0</v>
      </c>
      <c r="AF921" s="235" t="s">
        <v>631</v>
      </c>
      <c r="AG921" s="244"/>
      <c r="AH921" s="244"/>
      <c r="AI921" s="245"/>
      <c r="AJ921" s="245"/>
      <c r="AK921" s="245"/>
      <c r="AL921" s="245"/>
      <c r="AM921" s="244"/>
      <c r="AN921" s="244"/>
      <c r="AO921" s="238">
        <v>-13.29</v>
      </c>
      <c r="AP921" s="238">
        <v>0.0</v>
      </c>
      <c r="AQ921" s="235" t="s">
        <v>632</v>
      </c>
      <c r="AR921" s="243">
        <v>2.02E11</v>
      </c>
      <c r="AS921" s="235" t="s">
        <v>6164</v>
      </c>
      <c r="AT921" s="235" t="s">
        <v>9</v>
      </c>
      <c r="AU921" s="235" t="s">
        <v>634</v>
      </c>
      <c r="AV921" s="246" t="s">
        <v>635</v>
      </c>
      <c r="AW921" s="242"/>
      <c r="AX921" s="242"/>
      <c r="AY921" s="231"/>
      <c r="AZ921" s="231"/>
      <c r="BA921" s="227"/>
      <c r="BB921" s="231"/>
      <c r="BC921" s="227"/>
      <c r="BD921" s="227"/>
      <c r="BE921" s="227"/>
      <c r="BF921" s="227"/>
    </row>
    <row r="922">
      <c r="A922" s="235" t="s">
        <v>7885</v>
      </c>
      <c r="C922" s="235" t="s">
        <v>7886</v>
      </c>
      <c r="D922" s="235" t="s">
        <v>7896</v>
      </c>
      <c r="E922" s="243">
        <v>6.56E13</v>
      </c>
      <c r="F922" s="245"/>
      <c r="G922" s="235" t="s">
        <v>7888</v>
      </c>
      <c r="H922" s="235" t="s">
        <v>7889</v>
      </c>
      <c r="I922" s="235" t="s">
        <v>7889</v>
      </c>
      <c r="J922" s="235" t="s">
        <v>7890</v>
      </c>
      <c r="K922" s="235" t="s">
        <v>7891</v>
      </c>
      <c r="N922" s="235" t="s">
        <v>12</v>
      </c>
      <c r="O922" s="235" t="s">
        <v>804</v>
      </c>
      <c r="P922" s="238">
        <v>1.0</v>
      </c>
      <c r="Q922" s="235" t="s">
        <v>627</v>
      </c>
      <c r="R922" s="238">
        <v>265.71</v>
      </c>
      <c r="S922" s="238">
        <v>12.63</v>
      </c>
      <c r="T922" s="238">
        <v>0.0</v>
      </c>
      <c r="U922" s="238">
        <v>0.0</v>
      </c>
      <c r="V922" s="238">
        <v>0.0</v>
      </c>
      <c r="W922" s="238">
        <v>0.0</v>
      </c>
      <c r="X922" s="235" t="s">
        <v>628</v>
      </c>
      <c r="Z922" s="244"/>
      <c r="AA922" s="244"/>
      <c r="AB922" s="244"/>
      <c r="AC922" s="235" t="s">
        <v>1456</v>
      </c>
      <c r="AD922" s="235" t="s">
        <v>928</v>
      </c>
      <c r="AE922" s="238">
        <v>122002.0</v>
      </c>
      <c r="AF922" s="235" t="s">
        <v>631</v>
      </c>
      <c r="AG922" s="244"/>
      <c r="AH922" s="244"/>
      <c r="AI922" s="245"/>
      <c r="AJ922" s="245"/>
      <c r="AK922" s="245"/>
      <c r="AL922" s="245"/>
      <c r="AM922" s="244"/>
      <c r="AN922" s="244"/>
      <c r="AO922" s="238">
        <v>-13.29</v>
      </c>
      <c r="AP922" s="238">
        <v>0.0</v>
      </c>
      <c r="AQ922" s="235" t="s">
        <v>632</v>
      </c>
      <c r="AR922" s="243">
        <v>2.02E11</v>
      </c>
      <c r="AS922" s="235" t="s">
        <v>6164</v>
      </c>
      <c r="AT922" s="235" t="s">
        <v>9</v>
      </c>
      <c r="AU922" s="235" t="s">
        <v>634</v>
      </c>
      <c r="AV922" s="246" t="s">
        <v>635</v>
      </c>
      <c r="AW922" s="242"/>
      <c r="AX922" s="242"/>
      <c r="AY922" s="231"/>
      <c r="AZ922" s="231"/>
      <c r="BA922" s="227"/>
      <c r="BB922" s="231"/>
      <c r="BC922" s="227"/>
      <c r="BD922" s="227"/>
      <c r="BE922" s="227"/>
      <c r="BF922" s="227"/>
    </row>
    <row r="923">
      <c r="A923" s="235" t="s">
        <v>7885</v>
      </c>
      <c r="C923" s="235" t="s">
        <v>7886</v>
      </c>
      <c r="D923" s="235" t="s">
        <v>7897</v>
      </c>
      <c r="E923" s="243">
        <v>6.56E13</v>
      </c>
      <c r="F923" s="245"/>
      <c r="G923" s="235" t="s">
        <v>7888</v>
      </c>
      <c r="H923" s="235" t="s">
        <v>7889</v>
      </c>
      <c r="I923" s="235" t="s">
        <v>7889</v>
      </c>
      <c r="J923" s="235" t="s">
        <v>7890</v>
      </c>
      <c r="K923" s="235" t="s">
        <v>7891</v>
      </c>
      <c r="N923" s="235" t="s">
        <v>12</v>
      </c>
      <c r="O923" s="235" t="s">
        <v>804</v>
      </c>
      <c r="P923" s="238">
        <v>1.0</v>
      </c>
      <c r="Q923" s="235" t="s">
        <v>627</v>
      </c>
      <c r="R923" s="238">
        <v>265.71</v>
      </c>
      <c r="S923" s="238">
        <v>12.63</v>
      </c>
      <c r="T923" s="238">
        <v>0.0</v>
      </c>
      <c r="U923" s="238">
        <v>0.0</v>
      </c>
      <c r="V923" s="238">
        <v>0.0</v>
      </c>
      <c r="W923" s="238">
        <v>0.0</v>
      </c>
      <c r="X923" s="235" t="s">
        <v>628</v>
      </c>
      <c r="Z923" s="244"/>
      <c r="AA923" s="244"/>
      <c r="AB923" s="244"/>
      <c r="AC923" s="235" t="s">
        <v>1456</v>
      </c>
      <c r="AD923" s="235" t="s">
        <v>928</v>
      </c>
      <c r="AE923" s="238">
        <v>122002.0</v>
      </c>
      <c r="AF923" s="235" t="s">
        <v>631</v>
      </c>
      <c r="AG923" s="244"/>
      <c r="AH923" s="244"/>
      <c r="AI923" s="245"/>
      <c r="AJ923" s="245"/>
      <c r="AK923" s="245"/>
      <c r="AL923" s="245"/>
      <c r="AM923" s="244"/>
      <c r="AN923" s="244"/>
      <c r="AO923" s="238">
        <v>-13.29</v>
      </c>
      <c r="AP923" s="238">
        <v>0.0</v>
      </c>
      <c r="AQ923" s="235" t="s">
        <v>632</v>
      </c>
      <c r="AR923" s="243">
        <v>2.02E11</v>
      </c>
      <c r="AS923" s="235" t="s">
        <v>6164</v>
      </c>
      <c r="AT923" s="235" t="s">
        <v>9</v>
      </c>
      <c r="AU923" s="235" t="s">
        <v>634</v>
      </c>
      <c r="AV923" s="246" t="s">
        <v>635</v>
      </c>
      <c r="AW923" s="242"/>
      <c r="AX923" s="242"/>
      <c r="AY923" s="231"/>
      <c r="AZ923" s="231"/>
      <c r="BA923" s="227"/>
      <c r="BB923" s="231"/>
      <c r="BC923" s="227"/>
      <c r="BD923" s="227"/>
      <c r="BE923" s="227"/>
      <c r="BF923" s="227"/>
    </row>
    <row r="924">
      <c r="A924" s="235" t="s">
        <v>7885</v>
      </c>
      <c r="C924" s="235" t="s">
        <v>7886</v>
      </c>
      <c r="D924" s="235" t="s">
        <v>7898</v>
      </c>
      <c r="E924" s="243">
        <v>6.56E13</v>
      </c>
      <c r="F924" s="245"/>
      <c r="G924" s="235" t="s">
        <v>7888</v>
      </c>
      <c r="H924" s="235" t="s">
        <v>7889</v>
      </c>
      <c r="I924" s="235" t="s">
        <v>7889</v>
      </c>
      <c r="J924" s="235" t="s">
        <v>7890</v>
      </c>
      <c r="K924" s="235" t="s">
        <v>7891</v>
      </c>
      <c r="N924" s="235" t="s">
        <v>12</v>
      </c>
      <c r="O924" s="235" t="s">
        <v>804</v>
      </c>
      <c r="P924" s="238">
        <v>1.0</v>
      </c>
      <c r="Q924" s="235" t="s">
        <v>627</v>
      </c>
      <c r="R924" s="238">
        <v>265.71</v>
      </c>
      <c r="S924" s="238">
        <v>12.63</v>
      </c>
      <c r="T924" s="238">
        <v>0.0</v>
      </c>
      <c r="U924" s="238">
        <v>0.0</v>
      </c>
      <c r="V924" s="238">
        <v>0.0</v>
      </c>
      <c r="W924" s="238">
        <v>0.0</v>
      </c>
      <c r="X924" s="235" t="s">
        <v>628</v>
      </c>
      <c r="Z924" s="244"/>
      <c r="AA924" s="244"/>
      <c r="AB924" s="244"/>
      <c r="AC924" s="235" t="s">
        <v>1456</v>
      </c>
      <c r="AD924" s="235" t="s">
        <v>928</v>
      </c>
      <c r="AE924" s="238">
        <v>122002.0</v>
      </c>
      <c r="AF924" s="235" t="s">
        <v>631</v>
      </c>
      <c r="AG924" s="244"/>
      <c r="AH924" s="244"/>
      <c r="AI924" s="245"/>
      <c r="AJ924" s="245"/>
      <c r="AK924" s="245"/>
      <c r="AL924" s="245"/>
      <c r="AM924" s="244"/>
      <c r="AN924" s="244"/>
      <c r="AO924" s="238">
        <v>-13.29</v>
      </c>
      <c r="AP924" s="238">
        <v>0.0</v>
      </c>
      <c r="AQ924" s="235" t="s">
        <v>632</v>
      </c>
      <c r="AR924" s="243">
        <v>2.02E11</v>
      </c>
      <c r="AS924" s="235" t="s">
        <v>6164</v>
      </c>
      <c r="AT924" s="235" t="s">
        <v>9</v>
      </c>
      <c r="AU924" s="235" t="s">
        <v>634</v>
      </c>
      <c r="AV924" s="246" t="s">
        <v>635</v>
      </c>
      <c r="AW924" s="242"/>
      <c r="AX924" s="242"/>
      <c r="AY924" s="231"/>
      <c r="AZ924" s="231"/>
      <c r="BA924" s="227"/>
      <c r="BB924" s="231"/>
      <c r="BC924" s="227"/>
      <c r="BD924" s="227"/>
      <c r="BE924" s="227"/>
      <c r="BF924" s="227"/>
    </row>
    <row r="925">
      <c r="A925" s="235" t="s">
        <v>7899</v>
      </c>
      <c r="C925" s="235" t="s">
        <v>7900</v>
      </c>
      <c r="D925" s="235" t="s">
        <v>7901</v>
      </c>
      <c r="E925" s="243">
        <v>6.56E13</v>
      </c>
      <c r="F925" s="245"/>
      <c r="G925" s="235" t="s">
        <v>7902</v>
      </c>
      <c r="H925" s="235" t="s">
        <v>7903</v>
      </c>
      <c r="I925" s="235" t="s">
        <v>7903</v>
      </c>
      <c r="J925" s="235" t="s">
        <v>7904</v>
      </c>
      <c r="K925" s="235" t="s">
        <v>7905</v>
      </c>
      <c r="N925" s="235" t="s">
        <v>138</v>
      </c>
      <c r="O925" s="235" t="s">
        <v>675</v>
      </c>
      <c r="P925" s="238">
        <v>1.0</v>
      </c>
      <c r="Q925" s="235" t="s">
        <v>627</v>
      </c>
      <c r="R925" s="238">
        <v>246.66</v>
      </c>
      <c r="S925" s="238">
        <v>12.34</v>
      </c>
      <c r="T925" s="238">
        <v>38.1</v>
      </c>
      <c r="U925" s="238">
        <v>1.9</v>
      </c>
      <c r="V925" s="238">
        <v>0.0</v>
      </c>
      <c r="W925" s="238">
        <v>0.0</v>
      </c>
      <c r="X925" s="235" t="s">
        <v>628</v>
      </c>
      <c r="Z925" s="244"/>
      <c r="AA925" s="244"/>
      <c r="AB925" s="244"/>
      <c r="AC925" s="235" t="s">
        <v>1058</v>
      </c>
      <c r="AD925" s="235" t="s">
        <v>845</v>
      </c>
      <c r="AE925" s="238">
        <v>400083.0</v>
      </c>
      <c r="AF925" s="235" t="s">
        <v>631</v>
      </c>
      <c r="AG925" s="244"/>
      <c r="AH925" s="244"/>
      <c r="AI925" s="245"/>
      <c r="AJ925" s="245"/>
      <c r="AK925" s="245"/>
      <c r="AL925" s="245"/>
      <c r="AM925" s="244"/>
      <c r="AN925" s="244"/>
      <c r="AO925" s="238">
        <v>0.0</v>
      </c>
      <c r="AP925" s="238">
        <v>-38.1</v>
      </c>
      <c r="AQ925" s="235" t="s">
        <v>632</v>
      </c>
      <c r="AR925" s="243">
        <v>3.71E11</v>
      </c>
      <c r="AS925" s="235" t="s">
        <v>6164</v>
      </c>
      <c r="AT925" s="235" t="s">
        <v>17</v>
      </c>
      <c r="AU925" s="235" t="s">
        <v>634</v>
      </c>
      <c r="AV925" s="246" t="s">
        <v>635</v>
      </c>
      <c r="AW925" s="242"/>
      <c r="AX925" s="242"/>
      <c r="AY925" s="231"/>
      <c r="AZ925" s="231"/>
      <c r="BA925" s="227"/>
      <c r="BB925" s="231"/>
      <c r="BC925" s="227"/>
      <c r="BD925" s="227"/>
      <c r="BE925" s="227"/>
      <c r="BF925" s="227"/>
    </row>
    <row r="926">
      <c r="A926" s="235" t="s">
        <v>7906</v>
      </c>
      <c r="C926" s="235" t="s">
        <v>7907</v>
      </c>
      <c r="D926" s="235" t="s">
        <v>7908</v>
      </c>
      <c r="E926" s="243">
        <v>6.56E13</v>
      </c>
      <c r="F926" s="245"/>
      <c r="G926" s="235" t="s">
        <v>7909</v>
      </c>
      <c r="H926" s="235" t="s">
        <v>7910</v>
      </c>
      <c r="I926" s="235" t="s">
        <v>7910</v>
      </c>
      <c r="J926" s="235" t="s">
        <v>7911</v>
      </c>
      <c r="K926" s="235" t="s">
        <v>7912</v>
      </c>
      <c r="N926" s="235" t="s">
        <v>42</v>
      </c>
      <c r="O926" s="235" t="s">
        <v>204</v>
      </c>
      <c r="P926" s="238">
        <v>1.0</v>
      </c>
      <c r="Q926" s="235" t="s">
        <v>627</v>
      </c>
      <c r="R926" s="238">
        <v>237.14</v>
      </c>
      <c r="S926" s="238">
        <v>11.62</v>
      </c>
      <c r="T926" s="238">
        <v>0.0</v>
      </c>
      <c r="U926" s="238">
        <v>0.0</v>
      </c>
      <c r="V926" s="238">
        <v>0.0</v>
      </c>
      <c r="W926" s="238">
        <v>0.0</v>
      </c>
      <c r="X926" s="235" t="s">
        <v>628</v>
      </c>
      <c r="Z926" s="244"/>
      <c r="AA926" s="244"/>
      <c r="AB926" s="244"/>
      <c r="AC926" s="235" t="s">
        <v>687</v>
      </c>
      <c r="AD926" s="235" t="s">
        <v>666</v>
      </c>
      <c r="AE926" s="238">
        <v>600083.0</v>
      </c>
      <c r="AF926" s="235" t="s">
        <v>631</v>
      </c>
      <c r="AG926" s="244"/>
      <c r="AH926" s="244"/>
      <c r="AI926" s="245"/>
      <c r="AJ926" s="245"/>
      <c r="AK926" s="245"/>
      <c r="AL926" s="245"/>
      <c r="AM926" s="244"/>
      <c r="AN926" s="244"/>
      <c r="AO926" s="238">
        <v>-4.74</v>
      </c>
      <c r="AP926" s="238">
        <v>0.0</v>
      </c>
      <c r="AQ926" s="235" t="s">
        <v>632</v>
      </c>
      <c r="AR926" s="243">
        <v>1.68E11</v>
      </c>
      <c r="AS926" s="235" t="s">
        <v>7913</v>
      </c>
      <c r="AT926" s="235" t="s">
        <v>156</v>
      </c>
      <c r="AU926" s="235" t="s">
        <v>634</v>
      </c>
      <c r="AV926" s="246" t="s">
        <v>635</v>
      </c>
      <c r="AW926" s="242"/>
      <c r="AX926" s="242"/>
      <c r="AY926" s="231"/>
      <c r="AZ926" s="231"/>
      <c r="BA926" s="227"/>
      <c r="BB926" s="231"/>
      <c r="BC926" s="227"/>
      <c r="BD926" s="227"/>
      <c r="BE926" s="227"/>
      <c r="BF926" s="227"/>
    </row>
    <row r="927">
      <c r="A927" s="235" t="s">
        <v>7914</v>
      </c>
      <c r="C927" s="235" t="s">
        <v>7915</v>
      </c>
      <c r="D927" s="235" t="s">
        <v>7916</v>
      </c>
      <c r="E927" s="243">
        <v>6.56E13</v>
      </c>
      <c r="F927" s="245"/>
      <c r="G927" s="235" t="s">
        <v>7917</v>
      </c>
      <c r="H927" s="235" t="s">
        <v>7918</v>
      </c>
      <c r="I927" s="235" t="s">
        <v>7918</v>
      </c>
      <c r="J927" s="235" t="s">
        <v>7919</v>
      </c>
      <c r="K927" s="235" t="s">
        <v>7920</v>
      </c>
      <c r="N927" s="235" t="s">
        <v>147</v>
      </c>
      <c r="O927" s="235" t="s">
        <v>1068</v>
      </c>
      <c r="P927" s="238">
        <v>1.0</v>
      </c>
      <c r="Q927" s="235" t="s">
        <v>627</v>
      </c>
      <c r="R927" s="238">
        <v>332.38</v>
      </c>
      <c r="S927" s="238">
        <v>16.62</v>
      </c>
      <c r="T927" s="238">
        <v>0.0</v>
      </c>
      <c r="U927" s="238">
        <v>0.0</v>
      </c>
      <c r="V927" s="238">
        <v>0.0</v>
      </c>
      <c r="W927" s="238">
        <v>0.0</v>
      </c>
      <c r="X927" s="235" t="s">
        <v>628</v>
      </c>
      <c r="Z927" s="244"/>
      <c r="AA927" s="244"/>
      <c r="AB927" s="244"/>
      <c r="AC927" s="235" t="s">
        <v>7921</v>
      </c>
      <c r="AD927" s="235" t="s">
        <v>630</v>
      </c>
      <c r="AE927" s="238">
        <v>209502.0</v>
      </c>
      <c r="AF927" s="235" t="s">
        <v>631</v>
      </c>
      <c r="AG927" s="244"/>
      <c r="AH927" s="244"/>
      <c r="AI927" s="245"/>
      <c r="AJ927" s="245"/>
      <c r="AK927" s="245"/>
      <c r="AL927" s="245"/>
      <c r="AM927" s="244"/>
      <c r="AN927" s="244"/>
      <c r="AO927" s="238">
        <v>0.0</v>
      </c>
      <c r="AP927" s="238">
        <v>0.0</v>
      </c>
      <c r="AQ927" s="235" t="s">
        <v>1328</v>
      </c>
      <c r="AR927" s="243">
        <v>1.34E13</v>
      </c>
      <c r="AS927" s="235" t="s">
        <v>3284</v>
      </c>
      <c r="AT927" s="235" t="s">
        <v>14</v>
      </c>
      <c r="AU927" s="235" t="s">
        <v>634</v>
      </c>
      <c r="AV927" s="246" t="s">
        <v>635</v>
      </c>
      <c r="AW927" s="242"/>
      <c r="AX927" s="242"/>
      <c r="AY927" s="231"/>
      <c r="AZ927" s="231"/>
      <c r="BA927" s="227"/>
      <c r="BB927" s="231"/>
      <c r="BC927" s="227"/>
      <c r="BD927" s="227"/>
      <c r="BE927" s="227"/>
      <c r="BF927" s="227"/>
    </row>
    <row r="928">
      <c r="A928" s="235" t="s">
        <v>7922</v>
      </c>
      <c r="C928" s="235" t="s">
        <v>7923</v>
      </c>
      <c r="D928" s="235" t="s">
        <v>7924</v>
      </c>
      <c r="E928" s="243">
        <v>6.56E13</v>
      </c>
      <c r="F928" s="245"/>
      <c r="G928" s="235" t="s">
        <v>7925</v>
      </c>
      <c r="H928" s="235" t="s">
        <v>7926</v>
      </c>
      <c r="I928" s="235" t="s">
        <v>7926</v>
      </c>
      <c r="J928" s="235" t="s">
        <v>7927</v>
      </c>
      <c r="K928" s="235" t="s">
        <v>7928</v>
      </c>
      <c r="N928" s="235" t="s">
        <v>127</v>
      </c>
      <c r="O928" s="235" t="s">
        <v>794</v>
      </c>
      <c r="P928" s="238">
        <v>1.0</v>
      </c>
      <c r="Q928" s="235" t="s">
        <v>627</v>
      </c>
      <c r="R928" s="238">
        <v>246.67</v>
      </c>
      <c r="S928" s="238">
        <v>12.33</v>
      </c>
      <c r="T928" s="238">
        <v>56.19</v>
      </c>
      <c r="U928" s="238">
        <v>2.81</v>
      </c>
      <c r="V928" s="238">
        <v>0.0</v>
      </c>
      <c r="W928" s="238">
        <v>0.0</v>
      </c>
      <c r="X928" s="235" t="s">
        <v>628</v>
      </c>
      <c r="Z928" s="244"/>
      <c r="AA928" s="244"/>
      <c r="AB928" s="244"/>
      <c r="AC928" s="235" t="s">
        <v>814</v>
      </c>
      <c r="AD928" s="235" t="s">
        <v>698</v>
      </c>
      <c r="AE928" s="238">
        <v>500053.0</v>
      </c>
      <c r="AF928" s="235" t="s">
        <v>631</v>
      </c>
      <c r="AG928" s="244"/>
      <c r="AH928" s="244"/>
      <c r="AI928" s="245"/>
      <c r="AJ928" s="245"/>
      <c r="AK928" s="245"/>
      <c r="AL928" s="245"/>
      <c r="AM928" s="244"/>
      <c r="AN928" s="244"/>
      <c r="AO928" s="238">
        <v>0.0</v>
      </c>
      <c r="AP928" s="238">
        <v>-56.19</v>
      </c>
      <c r="AQ928" s="235" t="s">
        <v>632</v>
      </c>
      <c r="AR928" s="243">
        <v>3.71E11</v>
      </c>
      <c r="AS928" s="235" t="s">
        <v>6164</v>
      </c>
      <c r="AT928" s="235" t="s">
        <v>11</v>
      </c>
      <c r="AU928" s="235" t="s">
        <v>634</v>
      </c>
      <c r="AV928" s="246" t="s">
        <v>635</v>
      </c>
      <c r="AW928" s="242"/>
      <c r="AX928" s="242"/>
      <c r="AY928" s="231"/>
      <c r="AZ928" s="231"/>
      <c r="BA928" s="227"/>
      <c r="BB928" s="231"/>
      <c r="BC928" s="227"/>
      <c r="BD928" s="227"/>
      <c r="BE928" s="227"/>
      <c r="BF928" s="227"/>
    </row>
    <row r="929">
      <c r="A929" s="235" t="s">
        <v>7929</v>
      </c>
      <c r="C929" s="235" t="s">
        <v>7930</v>
      </c>
      <c r="D929" s="235" t="s">
        <v>7931</v>
      </c>
      <c r="E929" s="243">
        <v>6.56E13</v>
      </c>
      <c r="F929" s="245"/>
      <c r="G929" s="235" t="s">
        <v>7932</v>
      </c>
      <c r="H929" s="235" t="s">
        <v>7933</v>
      </c>
      <c r="I929" s="235" t="s">
        <v>7933</v>
      </c>
      <c r="J929" s="235" t="s">
        <v>7934</v>
      </c>
      <c r="K929" s="235" t="s">
        <v>7935</v>
      </c>
      <c r="N929" s="235" t="s">
        <v>47</v>
      </c>
      <c r="O929" s="235" t="s">
        <v>270</v>
      </c>
      <c r="P929" s="238">
        <v>1.0</v>
      </c>
      <c r="Q929" s="235" t="s">
        <v>627</v>
      </c>
      <c r="R929" s="238">
        <v>237.14</v>
      </c>
      <c r="S929" s="238">
        <v>11.86</v>
      </c>
      <c r="T929" s="238">
        <v>3.62</v>
      </c>
      <c r="U929" s="238">
        <v>0.18</v>
      </c>
      <c r="V929" s="238">
        <v>0.0</v>
      </c>
      <c r="W929" s="238">
        <v>0.0</v>
      </c>
      <c r="X929" s="235" t="s">
        <v>628</v>
      </c>
      <c r="Z929" s="244"/>
      <c r="AA929" s="244"/>
      <c r="AB929" s="244"/>
      <c r="AC929" s="235" t="s">
        <v>1320</v>
      </c>
      <c r="AD929" s="235" t="s">
        <v>666</v>
      </c>
      <c r="AE929" s="238">
        <v>600100.0</v>
      </c>
      <c r="AF929" s="235" t="s">
        <v>631</v>
      </c>
      <c r="AG929" s="244"/>
      <c r="AH929" s="244"/>
      <c r="AI929" s="245"/>
      <c r="AJ929" s="245"/>
      <c r="AK929" s="245"/>
      <c r="AL929" s="245"/>
      <c r="AM929" s="244"/>
      <c r="AN929" s="244"/>
      <c r="AO929" s="238">
        <v>0.0</v>
      </c>
      <c r="AP929" s="238">
        <v>-3.62</v>
      </c>
      <c r="AQ929" s="235" t="s">
        <v>632</v>
      </c>
      <c r="AR929" s="243">
        <v>1.68E11</v>
      </c>
      <c r="AS929" s="235" t="s">
        <v>7913</v>
      </c>
      <c r="AT929" s="235" t="s">
        <v>156</v>
      </c>
      <c r="AU929" s="235" t="s">
        <v>634</v>
      </c>
      <c r="AV929" s="246" t="s">
        <v>635</v>
      </c>
      <c r="AW929" s="242"/>
      <c r="AX929" s="242"/>
      <c r="AY929" s="231"/>
      <c r="AZ929" s="231"/>
      <c r="BA929" s="227"/>
      <c r="BB929" s="231"/>
      <c r="BC929" s="227"/>
      <c r="BD929" s="227"/>
      <c r="BE929" s="227"/>
      <c r="BF929" s="227"/>
    </row>
    <row r="930">
      <c r="A930" s="235" t="s">
        <v>7937</v>
      </c>
      <c r="C930" s="235" t="s">
        <v>7938</v>
      </c>
      <c r="D930" s="235" t="s">
        <v>7939</v>
      </c>
      <c r="E930" s="243">
        <v>6.56E13</v>
      </c>
      <c r="F930" s="245"/>
      <c r="G930" s="235" t="s">
        <v>7940</v>
      </c>
      <c r="H930" s="235" t="s">
        <v>7941</v>
      </c>
      <c r="I930" s="235" t="s">
        <v>7941</v>
      </c>
      <c r="J930" s="235" t="s">
        <v>7942</v>
      </c>
      <c r="K930" s="235" t="s">
        <v>7943</v>
      </c>
      <c r="N930" s="235" t="s">
        <v>962</v>
      </c>
      <c r="O930" s="235" t="s">
        <v>963</v>
      </c>
      <c r="P930" s="238">
        <v>1.0</v>
      </c>
      <c r="Q930" s="235" t="s">
        <v>627</v>
      </c>
      <c r="R930" s="238">
        <v>246.67</v>
      </c>
      <c r="S930" s="238">
        <v>12.33</v>
      </c>
      <c r="T930" s="238">
        <v>0.0</v>
      </c>
      <c r="U930" s="238">
        <v>0.0</v>
      </c>
      <c r="V930" s="238">
        <v>0.0</v>
      </c>
      <c r="W930" s="238">
        <v>0.0</v>
      </c>
      <c r="X930" s="235" t="s">
        <v>628</v>
      </c>
      <c r="Z930" s="244"/>
      <c r="AA930" s="244"/>
      <c r="AB930" s="244"/>
      <c r="AC930" s="235" t="s">
        <v>795</v>
      </c>
      <c r="AD930" s="235" t="s">
        <v>796</v>
      </c>
      <c r="AE930" s="238">
        <v>110058.0</v>
      </c>
      <c r="AF930" s="235" t="s">
        <v>631</v>
      </c>
      <c r="AG930" s="244"/>
      <c r="AH930" s="244"/>
      <c r="AI930" s="245"/>
      <c r="AJ930" s="245"/>
      <c r="AK930" s="245"/>
      <c r="AL930" s="245"/>
      <c r="AM930" s="244"/>
      <c r="AN930" s="244"/>
      <c r="AO930" s="238">
        <v>0.0</v>
      </c>
      <c r="AP930" s="238">
        <v>0.0</v>
      </c>
      <c r="AQ930" s="235" t="s">
        <v>632</v>
      </c>
      <c r="AR930" s="243">
        <v>2.02E11</v>
      </c>
      <c r="AS930" s="235" t="s">
        <v>6164</v>
      </c>
      <c r="AT930" s="235" t="s">
        <v>11</v>
      </c>
      <c r="AU930" s="235" t="s">
        <v>634</v>
      </c>
      <c r="AV930" s="246" t="s">
        <v>635</v>
      </c>
      <c r="AW930" s="242"/>
      <c r="AX930" s="242"/>
      <c r="AY930" s="231"/>
      <c r="AZ930" s="231"/>
      <c r="BA930" s="227"/>
      <c r="BB930" s="231"/>
      <c r="BC930" s="227"/>
      <c r="BD930" s="227"/>
      <c r="BE930" s="227"/>
      <c r="BF930" s="227"/>
    </row>
    <row r="931">
      <c r="A931" s="235" t="s">
        <v>7944</v>
      </c>
      <c r="C931" s="235" t="s">
        <v>7945</v>
      </c>
      <c r="D931" s="235" t="s">
        <v>7946</v>
      </c>
      <c r="E931" s="243">
        <v>6.56E13</v>
      </c>
      <c r="F931" s="245"/>
      <c r="G931" s="235" t="s">
        <v>7947</v>
      </c>
      <c r="H931" s="235" t="s">
        <v>7948</v>
      </c>
      <c r="I931" s="235" t="s">
        <v>7948</v>
      </c>
      <c r="J931" s="235" t="s">
        <v>7949</v>
      </c>
      <c r="K931" s="235" t="s">
        <v>7950</v>
      </c>
      <c r="N931" s="235" t="s">
        <v>717</v>
      </c>
      <c r="O931" s="235" t="s">
        <v>718</v>
      </c>
      <c r="P931" s="238">
        <v>1.0</v>
      </c>
      <c r="Q931" s="235" t="s">
        <v>627</v>
      </c>
      <c r="R931" s="238">
        <v>456.2</v>
      </c>
      <c r="S931" s="238">
        <v>22.8</v>
      </c>
      <c r="T931" s="238">
        <v>0.0</v>
      </c>
      <c r="U931" s="238">
        <v>0.0</v>
      </c>
      <c r="V931" s="238">
        <v>0.0</v>
      </c>
      <c r="W931" s="238">
        <v>0.0</v>
      </c>
      <c r="X931" s="235" t="s">
        <v>628</v>
      </c>
      <c r="Z931" s="244"/>
      <c r="AA931" s="244"/>
      <c r="AB931" s="244"/>
      <c r="AC931" s="235" t="s">
        <v>1058</v>
      </c>
      <c r="AD931" s="235" t="s">
        <v>845</v>
      </c>
      <c r="AE931" s="238">
        <v>400053.0</v>
      </c>
      <c r="AF931" s="235" t="s">
        <v>631</v>
      </c>
      <c r="AG931" s="244"/>
      <c r="AH931" s="244"/>
      <c r="AI931" s="245"/>
      <c r="AJ931" s="245"/>
      <c r="AK931" s="245"/>
      <c r="AL931" s="245"/>
      <c r="AM931" s="244"/>
      <c r="AN931" s="244"/>
      <c r="AO931" s="238">
        <v>0.0</v>
      </c>
      <c r="AP931" s="238">
        <v>0.0</v>
      </c>
      <c r="AQ931" s="235" t="s">
        <v>632</v>
      </c>
      <c r="AR931" s="243">
        <v>1.68E11</v>
      </c>
      <c r="AS931" s="235" t="s">
        <v>7913</v>
      </c>
      <c r="AT931" s="235" t="s">
        <v>17</v>
      </c>
      <c r="AU931" s="235" t="s">
        <v>634</v>
      </c>
      <c r="AV931" s="246" t="s">
        <v>635</v>
      </c>
      <c r="AW931" s="242"/>
      <c r="AX931" s="242"/>
      <c r="AY931" s="231"/>
      <c r="AZ931" s="231"/>
      <c r="BA931" s="227"/>
      <c r="BB931" s="231"/>
      <c r="BC931" s="227"/>
      <c r="BD931" s="227"/>
      <c r="BE931" s="227"/>
      <c r="BF931" s="227"/>
    </row>
    <row r="932">
      <c r="A932" s="235" t="s">
        <v>7951</v>
      </c>
      <c r="C932" s="235" t="s">
        <v>7952</v>
      </c>
      <c r="D932" s="235" t="s">
        <v>7953</v>
      </c>
      <c r="E932" s="243">
        <v>6.56E13</v>
      </c>
      <c r="F932" s="245"/>
      <c r="G932" s="235" t="s">
        <v>7954</v>
      </c>
      <c r="H932" s="235" t="s">
        <v>7955</v>
      </c>
      <c r="I932" s="235" t="s">
        <v>7956</v>
      </c>
      <c r="J932" s="235" t="s">
        <v>7957</v>
      </c>
      <c r="K932" s="235" t="s">
        <v>7958</v>
      </c>
      <c r="N932" s="235" t="s">
        <v>10</v>
      </c>
      <c r="O932" s="235" t="s">
        <v>936</v>
      </c>
      <c r="P932" s="238">
        <v>1.0</v>
      </c>
      <c r="Q932" s="235" t="s">
        <v>627</v>
      </c>
      <c r="R932" s="238">
        <v>265.71</v>
      </c>
      <c r="S932" s="238">
        <v>13.29</v>
      </c>
      <c r="T932" s="238">
        <v>0.0</v>
      </c>
      <c r="U932" s="238">
        <v>0.0</v>
      </c>
      <c r="V932" s="238">
        <v>0.0</v>
      </c>
      <c r="W932" s="238">
        <v>0.0</v>
      </c>
      <c r="X932" s="235" t="s">
        <v>628</v>
      </c>
      <c r="Z932" s="244"/>
      <c r="AA932" s="244"/>
      <c r="AB932" s="244"/>
      <c r="AC932" s="235" t="s">
        <v>1279</v>
      </c>
      <c r="AD932" s="235" t="s">
        <v>917</v>
      </c>
      <c r="AE932" s="238">
        <v>302012.0</v>
      </c>
      <c r="AF932" s="235" t="s">
        <v>631</v>
      </c>
      <c r="AG932" s="244"/>
      <c r="AH932" s="244"/>
      <c r="AI932" s="245"/>
      <c r="AJ932" s="245"/>
      <c r="AK932" s="245"/>
      <c r="AL932" s="245"/>
      <c r="AM932" s="244"/>
      <c r="AN932" s="244"/>
      <c r="AO932" s="238">
        <v>0.0</v>
      </c>
      <c r="AP932" s="238">
        <v>0.0</v>
      </c>
      <c r="AQ932" s="235" t="s">
        <v>632</v>
      </c>
      <c r="AR932" s="243">
        <v>1.68E11</v>
      </c>
      <c r="AS932" s="235" t="s">
        <v>7365</v>
      </c>
      <c r="AT932" s="235" t="s">
        <v>13</v>
      </c>
      <c r="AU932" s="235" t="s">
        <v>634</v>
      </c>
      <c r="AV932" s="246" t="s">
        <v>635</v>
      </c>
      <c r="AW932" s="242"/>
      <c r="AX932" s="242"/>
      <c r="AY932" s="231"/>
      <c r="AZ932" s="231"/>
      <c r="BA932" s="227"/>
      <c r="BB932" s="231"/>
      <c r="BC932" s="227"/>
      <c r="BD932" s="227"/>
      <c r="BE932" s="227"/>
      <c r="BF932" s="227"/>
    </row>
    <row r="933">
      <c r="A933" s="235" t="s">
        <v>7959</v>
      </c>
      <c r="C933" s="235" t="s">
        <v>7960</v>
      </c>
      <c r="D933" s="235" t="s">
        <v>7961</v>
      </c>
      <c r="E933" s="243">
        <v>6.56E13</v>
      </c>
      <c r="F933" s="245"/>
      <c r="G933" s="235" t="s">
        <v>7962</v>
      </c>
      <c r="H933" s="235" t="s">
        <v>7963</v>
      </c>
      <c r="I933" s="235" t="s">
        <v>7963</v>
      </c>
      <c r="J933" s="235" t="s">
        <v>7964</v>
      </c>
      <c r="K933" s="235" t="s">
        <v>7965</v>
      </c>
      <c r="N933" s="235" t="s">
        <v>42</v>
      </c>
      <c r="O933" s="235" t="s">
        <v>204</v>
      </c>
      <c r="P933" s="238">
        <v>1.0</v>
      </c>
      <c r="Q933" s="235" t="s">
        <v>627</v>
      </c>
      <c r="R933" s="238">
        <v>237.14</v>
      </c>
      <c r="S933" s="238">
        <v>11.86</v>
      </c>
      <c r="T933" s="238">
        <v>0.0</v>
      </c>
      <c r="U933" s="238">
        <v>0.0</v>
      </c>
      <c r="V933" s="238">
        <v>0.0</v>
      </c>
      <c r="W933" s="238">
        <v>0.0</v>
      </c>
      <c r="X933" s="235" t="s">
        <v>628</v>
      </c>
      <c r="Z933" s="244"/>
      <c r="AA933" s="244"/>
      <c r="AB933" s="244"/>
      <c r="AC933" s="235" t="s">
        <v>1671</v>
      </c>
      <c r="AD933" s="235" t="s">
        <v>666</v>
      </c>
      <c r="AE933" s="238">
        <v>641006.0</v>
      </c>
      <c r="AF933" s="235" t="s">
        <v>631</v>
      </c>
      <c r="AG933" s="244"/>
      <c r="AH933" s="244"/>
      <c r="AI933" s="245"/>
      <c r="AJ933" s="245"/>
      <c r="AK933" s="245"/>
      <c r="AL933" s="245"/>
      <c r="AM933" s="244"/>
      <c r="AN933" s="244"/>
      <c r="AO933" s="238">
        <v>0.0</v>
      </c>
      <c r="AP933" s="238">
        <v>0.0</v>
      </c>
      <c r="AQ933" s="235" t="s">
        <v>632</v>
      </c>
      <c r="AR933" s="243">
        <v>3.71E11</v>
      </c>
      <c r="AS933" s="235" t="s">
        <v>7365</v>
      </c>
      <c r="AT933" s="235" t="s">
        <v>155</v>
      </c>
      <c r="AU933" s="235" t="s">
        <v>634</v>
      </c>
      <c r="AV933" s="246" t="s">
        <v>635</v>
      </c>
      <c r="AW933" s="242"/>
      <c r="AX933" s="242"/>
      <c r="AY933" s="231"/>
      <c r="AZ933" s="231"/>
      <c r="BA933" s="227"/>
      <c r="BB933" s="231"/>
      <c r="BC933" s="227"/>
      <c r="BD933" s="227"/>
      <c r="BE933" s="227"/>
      <c r="BF933" s="227"/>
    </row>
    <row r="934">
      <c r="A934" s="235" t="s">
        <v>7966</v>
      </c>
      <c r="C934" s="235" t="s">
        <v>7967</v>
      </c>
      <c r="D934" s="235" t="s">
        <v>7968</v>
      </c>
      <c r="E934" s="243">
        <v>6.56E13</v>
      </c>
      <c r="F934" s="245"/>
      <c r="G934" s="235" t="s">
        <v>7969</v>
      </c>
      <c r="H934" s="235" t="s">
        <v>7970</v>
      </c>
      <c r="I934" s="235" t="s">
        <v>7970</v>
      </c>
      <c r="J934" s="235" t="s">
        <v>7971</v>
      </c>
      <c r="K934" s="235" t="s">
        <v>7972</v>
      </c>
      <c r="N934" s="235" t="s">
        <v>989</v>
      </c>
      <c r="O934" s="235" t="s">
        <v>990</v>
      </c>
      <c r="P934" s="238">
        <v>1.0</v>
      </c>
      <c r="Q934" s="235" t="s">
        <v>627</v>
      </c>
      <c r="R934" s="238">
        <v>252.38</v>
      </c>
      <c r="S934" s="238">
        <v>12.62</v>
      </c>
      <c r="T934" s="238">
        <v>0.0</v>
      </c>
      <c r="U934" s="238">
        <v>0.0</v>
      </c>
      <c r="V934" s="238">
        <v>0.0</v>
      </c>
      <c r="W934" s="238">
        <v>0.0</v>
      </c>
      <c r="X934" s="235" t="s">
        <v>628</v>
      </c>
      <c r="Z934" s="244"/>
      <c r="AA934" s="244"/>
      <c r="AB934" s="244"/>
      <c r="AC934" s="235" t="s">
        <v>7973</v>
      </c>
      <c r="AD934" s="235" t="s">
        <v>917</v>
      </c>
      <c r="AE934" s="238">
        <v>342005.0</v>
      </c>
      <c r="AF934" s="235" t="s">
        <v>631</v>
      </c>
      <c r="AG934" s="244"/>
      <c r="AH934" s="244"/>
      <c r="AI934" s="245"/>
      <c r="AJ934" s="245"/>
      <c r="AK934" s="245"/>
      <c r="AL934" s="245"/>
      <c r="AM934" s="244"/>
      <c r="AN934" s="244"/>
      <c r="AO934" s="238">
        <v>0.0</v>
      </c>
      <c r="AP934" s="238">
        <v>0.0</v>
      </c>
      <c r="AQ934" s="235" t="s">
        <v>632</v>
      </c>
      <c r="AR934" s="243">
        <v>3.71E11</v>
      </c>
      <c r="AS934" s="235" t="s">
        <v>6164</v>
      </c>
      <c r="AT934" s="235" t="s">
        <v>14</v>
      </c>
      <c r="AU934" s="235" t="s">
        <v>634</v>
      </c>
      <c r="AV934" s="246" t="s">
        <v>635</v>
      </c>
      <c r="AW934" s="242"/>
      <c r="AX934" s="242"/>
      <c r="AY934" s="231"/>
      <c r="AZ934" s="231"/>
      <c r="BA934" s="227"/>
      <c r="BB934" s="231"/>
      <c r="BC934" s="227"/>
      <c r="BD934" s="227"/>
      <c r="BE934" s="227"/>
      <c r="BF934" s="227"/>
    </row>
    <row r="935">
      <c r="A935" s="235" t="s">
        <v>7974</v>
      </c>
      <c r="C935" s="235" t="s">
        <v>7975</v>
      </c>
      <c r="D935" s="235" t="s">
        <v>7976</v>
      </c>
      <c r="E935" s="243">
        <v>6.56E13</v>
      </c>
      <c r="F935" s="245"/>
      <c r="G935" s="235" t="s">
        <v>7977</v>
      </c>
      <c r="H935" s="235" t="s">
        <v>7978</v>
      </c>
      <c r="I935" s="235" t="s">
        <v>7979</v>
      </c>
      <c r="J935" s="235" t="s">
        <v>7980</v>
      </c>
      <c r="K935" s="235" t="s">
        <v>7981</v>
      </c>
      <c r="N935" s="235" t="s">
        <v>15</v>
      </c>
      <c r="O935" s="235" t="s">
        <v>856</v>
      </c>
      <c r="P935" s="238">
        <v>1.0</v>
      </c>
      <c r="Q935" s="235" t="s">
        <v>627</v>
      </c>
      <c r="R935" s="238">
        <v>360.96</v>
      </c>
      <c r="S935" s="238">
        <v>18.04</v>
      </c>
      <c r="T935" s="238">
        <v>0.0</v>
      </c>
      <c r="U935" s="238">
        <v>0.0</v>
      </c>
      <c r="V935" s="238">
        <v>0.0</v>
      </c>
      <c r="W935" s="238">
        <v>0.0</v>
      </c>
      <c r="X935" s="235" t="s">
        <v>628</v>
      </c>
      <c r="Z935" s="244"/>
      <c r="AA935" s="244"/>
      <c r="AB935" s="244"/>
      <c r="AC935" s="235" t="s">
        <v>678</v>
      </c>
      <c r="AD935" s="235" t="s">
        <v>679</v>
      </c>
      <c r="AE935" s="238">
        <v>562149.0</v>
      </c>
      <c r="AF935" s="235" t="s">
        <v>631</v>
      </c>
      <c r="AG935" s="244"/>
      <c r="AH935" s="244"/>
      <c r="AI935" s="245"/>
      <c r="AJ935" s="245"/>
      <c r="AK935" s="245"/>
      <c r="AL935" s="245"/>
      <c r="AM935" s="244"/>
      <c r="AN935" s="244"/>
      <c r="AO935" s="238">
        <v>0.0</v>
      </c>
      <c r="AP935" s="238">
        <v>0.0</v>
      </c>
      <c r="AQ935" s="235" t="s">
        <v>632</v>
      </c>
      <c r="AR935" s="243">
        <v>3.71E11</v>
      </c>
      <c r="AS935" s="235" t="s">
        <v>7365</v>
      </c>
      <c r="AT935" s="235" t="s">
        <v>9</v>
      </c>
      <c r="AU935" s="235" t="s">
        <v>634</v>
      </c>
      <c r="AV935" s="246" t="s">
        <v>635</v>
      </c>
      <c r="AW935" s="242"/>
      <c r="AX935" s="242"/>
      <c r="AY935" s="231"/>
      <c r="AZ935" s="231"/>
      <c r="BA935" s="227"/>
      <c r="BB935" s="231"/>
      <c r="BC935" s="227"/>
      <c r="BD935" s="227"/>
      <c r="BE935" s="227"/>
      <c r="BF935" s="227"/>
    </row>
    <row r="936">
      <c r="A936" s="235" t="s">
        <v>7982</v>
      </c>
      <c r="C936" s="235" t="s">
        <v>7983</v>
      </c>
      <c r="D936" s="235" t="s">
        <v>7984</v>
      </c>
      <c r="E936" s="243">
        <v>6.54E13</v>
      </c>
      <c r="F936" s="245"/>
      <c r="G936" s="235" t="s">
        <v>7985</v>
      </c>
      <c r="H936" s="235" t="s">
        <v>7986</v>
      </c>
      <c r="I936" s="235" t="s">
        <v>7986</v>
      </c>
      <c r="J936" s="235" t="s">
        <v>7987</v>
      </c>
      <c r="K936" s="235" t="s">
        <v>7988</v>
      </c>
      <c r="N936" s="235" t="s">
        <v>154</v>
      </c>
      <c r="O936" s="235" t="s">
        <v>766</v>
      </c>
      <c r="P936" s="238">
        <v>1.0</v>
      </c>
      <c r="Q936" s="235" t="s">
        <v>627</v>
      </c>
      <c r="R936" s="238">
        <v>465.72</v>
      </c>
      <c r="S936" s="238">
        <v>23.28</v>
      </c>
      <c r="T936" s="238">
        <v>38.1</v>
      </c>
      <c r="U936" s="238">
        <v>1.9</v>
      </c>
      <c r="V936" s="238">
        <v>0.0</v>
      </c>
      <c r="W936" s="238">
        <v>0.0</v>
      </c>
      <c r="X936" s="235" t="s">
        <v>628</v>
      </c>
      <c r="Z936" s="244"/>
      <c r="AA936" s="244"/>
      <c r="AB936" s="244"/>
      <c r="AC936" s="235" t="s">
        <v>6555</v>
      </c>
      <c r="AD936" s="235" t="s">
        <v>679</v>
      </c>
      <c r="AE936" s="238">
        <v>575006.0</v>
      </c>
      <c r="AF936" s="235" t="s">
        <v>631</v>
      </c>
      <c r="AG936" s="244"/>
      <c r="AH936" s="244"/>
      <c r="AI936" s="245"/>
      <c r="AJ936" s="245"/>
      <c r="AK936" s="245"/>
      <c r="AL936" s="245"/>
      <c r="AM936" s="244"/>
      <c r="AN936" s="244"/>
      <c r="AO936" s="238">
        <v>0.0</v>
      </c>
      <c r="AP936" s="238">
        <v>-38.1</v>
      </c>
      <c r="AQ936" s="235" t="s">
        <v>632</v>
      </c>
      <c r="AR936" s="243">
        <v>3.71E11</v>
      </c>
      <c r="AS936" s="235" t="s">
        <v>6164</v>
      </c>
      <c r="AT936" s="235" t="s">
        <v>11</v>
      </c>
      <c r="AU936" s="235" t="s">
        <v>634</v>
      </c>
      <c r="AV936" s="246" t="s">
        <v>635</v>
      </c>
      <c r="AW936" s="242"/>
      <c r="AX936" s="242"/>
      <c r="AY936" s="231"/>
      <c r="AZ936" s="231"/>
      <c r="BA936" s="227"/>
      <c r="BB936" s="231"/>
      <c r="BC936" s="227"/>
      <c r="BD936" s="227"/>
      <c r="BE936" s="227"/>
      <c r="BF936" s="227"/>
    </row>
    <row r="937">
      <c r="A937" s="235" t="s">
        <v>7989</v>
      </c>
      <c r="C937" s="235" t="s">
        <v>7990</v>
      </c>
      <c r="D937" s="235" t="s">
        <v>7991</v>
      </c>
      <c r="E937" s="243">
        <v>6.56E13</v>
      </c>
      <c r="F937" s="245"/>
      <c r="G937" s="235" t="s">
        <v>7992</v>
      </c>
      <c r="H937" s="235" t="s">
        <v>7993</v>
      </c>
      <c r="I937" s="235" t="s">
        <v>7993</v>
      </c>
      <c r="J937" s="235" t="s">
        <v>7994</v>
      </c>
      <c r="K937" s="235" t="s">
        <v>7995</v>
      </c>
      <c r="N937" s="235" t="s">
        <v>54</v>
      </c>
      <c r="O937" s="235" t="s">
        <v>294</v>
      </c>
      <c r="P937" s="238">
        <v>1.0</v>
      </c>
      <c r="Q937" s="235" t="s">
        <v>627</v>
      </c>
      <c r="R937" s="238">
        <v>246.66</v>
      </c>
      <c r="S937" s="238">
        <v>12.34</v>
      </c>
      <c r="T937" s="238">
        <v>0.0</v>
      </c>
      <c r="U937" s="238">
        <v>0.0</v>
      </c>
      <c r="V937" s="238">
        <v>0.0</v>
      </c>
      <c r="W937" s="238">
        <v>0.0</v>
      </c>
      <c r="X937" s="235" t="s">
        <v>628</v>
      </c>
      <c r="Z937" s="244"/>
      <c r="AA937" s="244"/>
      <c r="AB937" s="244"/>
      <c r="AC937" s="235" t="s">
        <v>678</v>
      </c>
      <c r="AD937" s="235" t="s">
        <v>679</v>
      </c>
      <c r="AE937" s="238">
        <v>560010.0</v>
      </c>
      <c r="AF937" s="235" t="s">
        <v>631</v>
      </c>
      <c r="AG937" s="244"/>
      <c r="AH937" s="244"/>
      <c r="AI937" s="245"/>
      <c r="AJ937" s="245"/>
      <c r="AK937" s="245"/>
      <c r="AL937" s="245"/>
      <c r="AM937" s="244"/>
      <c r="AN937" s="244"/>
      <c r="AO937" s="238">
        <v>0.0</v>
      </c>
      <c r="AP937" s="238">
        <v>0.0</v>
      </c>
      <c r="AQ937" s="235" t="s">
        <v>632</v>
      </c>
      <c r="AR937" s="243">
        <v>1.68E11</v>
      </c>
      <c r="AS937" s="235" t="s">
        <v>7913</v>
      </c>
      <c r="AT937" s="235" t="s">
        <v>9</v>
      </c>
      <c r="AU937" s="235" t="s">
        <v>634</v>
      </c>
      <c r="AV937" s="246" t="s">
        <v>635</v>
      </c>
      <c r="AW937" s="242"/>
      <c r="AX937" s="242"/>
      <c r="AY937" s="231"/>
      <c r="AZ937" s="231"/>
      <c r="BA937" s="227"/>
      <c r="BB937" s="231"/>
      <c r="BC937" s="227"/>
      <c r="BD937" s="227"/>
      <c r="BE937" s="227"/>
      <c r="BF937" s="227"/>
    </row>
    <row r="938">
      <c r="A938" s="235" t="s">
        <v>7996</v>
      </c>
      <c r="C938" s="235" t="s">
        <v>7997</v>
      </c>
      <c r="D938" s="235" t="s">
        <v>7998</v>
      </c>
      <c r="E938" s="243">
        <v>6.55E13</v>
      </c>
      <c r="F938" s="245"/>
      <c r="G938" s="235" t="s">
        <v>7999</v>
      </c>
      <c r="H938" s="235" t="s">
        <v>8000</v>
      </c>
      <c r="I938" s="235" t="s">
        <v>8000</v>
      </c>
      <c r="J938" s="235" t="s">
        <v>8001</v>
      </c>
      <c r="K938" s="235" t="s">
        <v>8002</v>
      </c>
      <c r="N938" s="235" t="s">
        <v>98</v>
      </c>
      <c r="O938" s="235" t="s">
        <v>357</v>
      </c>
      <c r="P938" s="238">
        <v>1.0</v>
      </c>
      <c r="Q938" s="235" t="s">
        <v>627</v>
      </c>
      <c r="R938" s="238">
        <v>246.67</v>
      </c>
      <c r="S938" s="238">
        <v>12.33</v>
      </c>
      <c r="T938" s="238">
        <v>38.1</v>
      </c>
      <c r="U938" s="238">
        <v>1.9</v>
      </c>
      <c r="V938" s="238">
        <v>0.0</v>
      </c>
      <c r="W938" s="238">
        <v>0.0</v>
      </c>
      <c r="X938" s="235" t="s">
        <v>628</v>
      </c>
      <c r="Z938" s="244"/>
      <c r="AA938" s="244"/>
      <c r="AB938" s="244"/>
      <c r="AC938" s="235" t="s">
        <v>8003</v>
      </c>
      <c r="AD938" s="235" t="s">
        <v>630</v>
      </c>
      <c r="AE938" s="238">
        <v>202002.0</v>
      </c>
      <c r="AF938" s="235" t="s">
        <v>631</v>
      </c>
      <c r="AG938" s="244"/>
      <c r="AH938" s="244"/>
      <c r="AI938" s="245"/>
      <c r="AJ938" s="245"/>
      <c r="AK938" s="245"/>
      <c r="AL938" s="245"/>
      <c r="AM938" s="244"/>
      <c r="AN938" s="244"/>
      <c r="AO938" s="238">
        <v>0.0</v>
      </c>
      <c r="AP938" s="238">
        <v>-38.1</v>
      </c>
      <c r="AQ938" s="235" t="s">
        <v>632</v>
      </c>
      <c r="AR938" s="243">
        <v>3.71E11</v>
      </c>
      <c r="AS938" s="235" t="s">
        <v>6164</v>
      </c>
      <c r="AT938" s="235" t="s">
        <v>14</v>
      </c>
      <c r="AU938" s="235" t="s">
        <v>634</v>
      </c>
      <c r="AV938" s="246" t="s">
        <v>635</v>
      </c>
      <c r="AW938" s="242"/>
      <c r="AX938" s="242"/>
      <c r="AY938" s="231"/>
      <c r="AZ938" s="231"/>
      <c r="BA938" s="227"/>
      <c r="BB938" s="231"/>
      <c r="BC938" s="227"/>
      <c r="BD938" s="227"/>
      <c r="BE938" s="227"/>
      <c r="BF938" s="227"/>
    </row>
    <row r="939">
      <c r="A939" s="235" t="s">
        <v>8004</v>
      </c>
      <c r="C939" s="235" t="s">
        <v>8005</v>
      </c>
      <c r="D939" s="235" t="s">
        <v>8006</v>
      </c>
      <c r="E939" s="243">
        <v>6.56E13</v>
      </c>
      <c r="F939" s="245"/>
      <c r="G939" s="235" t="s">
        <v>8007</v>
      </c>
      <c r="H939" s="235" t="s">
        <v>8008</v>
      </c>
      <c r="I939" s="235" t="s">
        <v>8008</v>
      </c>
      <c r="J939" s="235" t="s">
        <v>8009</v>
      </c>
      <c r="K939" s="235" t="s">
        <v>8010</v>
      </c>
      <c r="N939" s="235" t="s">
        <v>51</v>
      </c>
      <c r="O939" s="235" t="s">
        <v>273</v>
      </c>
      <c r="P939" s="238">
        <v>1.0</v>
      </c>
      <c r="Q939" s="235" t="s">
        <v>627</v>
      </c>
      <c r="R939" s="238">
        <v>237.14</v>
      </c>
      <c r="S939" s="238">
        <v>11.86</v>
      </c>
      <c r="T939" s="238">
        <v>0.0</v>
      </c>
      <c r="U939" s="238">
        <v>0.0</v>
      </c>
      <c r="V939" s="238">
        <v>0.0</v>
      </c>
      <c r="W939" s="238">
        <v>0.0</v>
      </c>
      <c r="X939" s="235" t="s">
        <v>628</v>
      </c>
      <c r="Z939" s="244"/>
      <c r="AA939" s="244"/>
      <c r="AB939" s="244"/>
      <c r="AC939" s="235" t="s">
        <v>3374</v>
      </c>
      <c r="AD939" s="235" t="s">
        <v>645</v>
      </c>
      <c r="AE939" s="238">
        <v>695024.0</v>
      </c>
      <c r="AF939" s="235" t="s">
        <v>631</v>
      </c>
      <c r="AG939" s="244"/>
      <c r="AH939" s="244"/>
      <c r="AI939" s="245"/>
      <c r="AJ939" s="245"/>
      <c r="AK939" s="245"/>
      <c r="AL939" s="245"/>
      <c r="AM939" s="244"/>
      <c r="AN939" s="244"/>
      <c r="AO939" s="238">
        <v>0.0</v>
      </c>
      <c r="AP939" s="238">
        <v>0.0</v>
      </c>
      <c r="AQ939" s="235" t="s">
        <v>632</v>
      </c>
      <c r="AR939" s="243">
        <v>1.68E11</v>
      </c>
      <c r="AS939" s="235" t="s">
        <v>6164</v>
      </c>
      <c r="AT939" s="235" t="s">
        <v>11</v>
      </c>
      <c r="AU939" s="235" t="s">
        <v>634</v>
      </c>
      <c r="AV939" s="246" t="s">
        <v>635</v>
      </c>
      <c r="AW939" s="242"/>
      <c r="AX939" s="242"/>
      <c r="AY939" s="231"/>
      <c r="AZ939" s="231"/>
      <c r="BA939" s="227"/>
      <c r="BB939" s="231"/>
      <c r="BC939" s="227"/>
      <c r="BD939" s="227"/>
      <c r="BE939" s="227"/>
      <c r="BF939" s="227"/>
    </row>
    <row r="940">
      <c r="A940" s="235" t="s">
        <v>8011</v>
      </c>
      <c r="C940" s="235" t="s">
        <v>8012</v>
      </c>
      <c r="D940" s="235" t="s">
        <v>8013</v>
      </c>
      <c r="E940" s="243">
        <v>6.56E13</v>
      </c>
      <c r="F940" s="245"/>
      <c r="G940" s="235" t="s">
        <v>8014</v>
      </c>
      <c r="H940" s="235" t="s">
        <v>8015</v>
      </c>
      <c r="I940" s="235" t="s">
        <v>8015</v>
      </c>
      <c r="J940" s="235" t="s">
        <v>8016</v>
      </c>
      <c r="K940" s="235" t="s">
        <v>8017</v>
      </c>
      <c r="N940" s="235" t="s">
        <v>51</v>
      </c>
      <c r="O940" s="235" t="s">
        <v>273</v>
      </c>
      <c r="P940" s="238">
        <v>1.0</v>
      </c>
      <c r="Q940" s="235" t="s">
        <v>627</v>
      </c>
      <c r="R940" s="238">
        <v>237.14</v>
      </c>
      <c r="S940" s="238">
        <v>11.86</v>
      </c>
      <c r="T940" s="238">
        <v>38.1</v>
      </c>
      <c r="U940" s="238">
        <v>1.9</v>
      </c>
      <c r="V940" s="238">
        <v>0.0</v>
      </c>
      <c r="W940" s="238">
        <v>0.0</v>
      </c>
      <c r="X940" s="235" t="s">
        <v>628</v>
      </c>
      <c r="Z940" s="244"/>
      <c r="AA940" s="244"/>
      <c r="AB940" s="244"/>
      <c r="AC940" s="235" t="s">
        <v>1887</v>
      </c>
      <c r="AD940" s="235" t="s">
        <v>679</v>
      </c>
      <c r="AE940" s="238">
        <v>560098.0</v>
      </c>
      <c r="AF940" s="235" t="s">
        <v>631</v>
      </c>
      <c r="AG940" s="244"/>
      <c r="AH940" s="244"/>
      <c r="AI940" s="245"/>
      <c r="AJ940" s="245"/>
      <c r="AK940" s="245"/>
      <c r="AL940" s="245"/>
      <c r="AM940" s="244"/>
      <c r="AN940" s="244"/>
      <c r="AO940" s="238">
        <v>0.0</v>
      </c>
      <c r="AP940" s="238">
        <v>-38.1</v>
      </c>
      <c r="AQ940" s="235" t="s">
        <v>632</v>
      </c>
      <c r="AR940" s="243">
        <v>3.71E11</v>
      </c>
      <c r="AS940" s="235" t="s">
        <v>7365</v>
      </c>
      <c r="AT940" s="235" t="s">
        <v>11</v>
      </c>
      <c r="AU940" s="235" t="s">
        <v>634</v>
      </c>
      <c r="AV940" s="246" t="s">
        <v>635</v>
      </c>
      <c r="AW940" s="242"/>
      <c r="AX940" s="242"/>
      <c r="AY940" s="231"/>
      <c r="AZ940" s="231"/>
      <c r="BA940" s="227"/>
      <c r="BB940" s="231"/>
      <c r="BC940" s="227"/>
      <c r="BD940" s="227"/>
      <c r="BE940" s="227"/>
      <c r="BF940" s="227"/>
    </row>
    <row r="941">
      <c r="A941" s="235" t="s">
        <v>8018</v>
      </c>
      <c r="C941" s="235" t="s">
        <v>8019</v>
      </c>
      <c r="D941" s="235" t="s">
        <v>8020</v>
      </c>
      <c r="E941" s="243">
        <v>6.56E13</v>
      </c>
      <c r="F941" s="245"/>
      <c r="G941" s="235" t="s">
        <v>8021</v>
      </c>
      <c r="H941" s="235" t="s">
        <v>8022</v>
      </c>
      <c r="I941" s="235" t="s">
        <v>8022</v>
      </c>
      <c r="J941" s="235" t="s">
        <v>8023</v>
      </c>
      <c r="K941" s="235" t="s">
        <v>8024</v>
      </c>
      <c r="N941" s="235" t="s">
        <v>134</v>
      </c>
      <c r="O941" s="235" t="s">
        <v>314</v>
      </c>
      <c r="P941" s="238">
        <v>1.0</v>
      </c>
      <c r="Q941" s="235" t="s">
        <v>627</v>
      </c>
      <c r="R941" s="238">
        <v>246.67</v>
      </c>
      <c r="S941" s="238">
        <v>12.33</v>
      </c>
      <c r="T941" s="238">
        <v>0.0</v>
      </c>
      <c r="U941" s="238">
        <v>0.0</v>
      </c>
      <c r="V941" s="238">
        <v>0.0</v>
      </c>
      <c r="W941" s="238">
        <v>0.0</v>
      </c>
      <c r="X941" s="235" t="s">
        <v>628</v>
      </c>
      <c r="Z941" s="244"/>
      <c r="AA941" s="244"/>
      <c r="AB941" s="244"/>
      <c r="AC941" s="235" t="s">
        <v>2057</v>
      </c>
      <c r="AD941" s="235" t="s">
        <v>698</v>
      </c>
      <c r="AE941" s="238">
        <v>500009.0</v>
      </c>
      <c r="AF941" s="235" t="s">
        <v>631</v>
      </c>
      <c r="AG941" s="244"/>
      <c r="AH941" s="244"/>
      <c r="AI941" s="245"/>
      <c r="AJ941" s="245"/>
      <c r="AK941" s="245"/>
      <c r="AL941" s="245"/>
      <c r="AM941" s="244"/>
      <c r="AN941" s="244"/>
      <c r="AO941" s="238">
        <v>0.0</v>
      </c>
      <c r="AP941" s="238">
        <v>0.0</v>
      </c>
      <c r="AQ941" s="235" t="s">
        <v>632</v>
      </c>
      <c r="AR941" s="243">
        <v>3.71E11</v>
      </c>
      <c r="AS941" s="235" t="s">
        <v>6164</v>
      </c>
      <c r="AT941" s="235" t="s">
        <v>11</v>
      </c>
      <c r="AU941" s="235" t="s">
        <v>634</v>
      </c>
      <c r="AV941" s="246" t="s">
        <v>635</v>
      </c>
      <c r="AW941" s="242"/>
      <c r="AX941" s="242"/>
      <c r="AY941" s="231"/>
      <c r="AZ941" s="231"/>
      <c r="BA941" s="227"/>
      <c r="BB941" s="231"/>
      <c r="BC941" s="227"/>
      <c r="BD941" s="227"/>
      <c r="BE941" s="227"/>
      <c r="BF941" s="227"/>
    </row>
    <row r="942">
      <c r="A942" s="235" t="s">
        <v>8025</v>
      </c>
      <c r="C942" s="235" t="s">
        <v>8026</v>
      </c>
      <c r="D942" s="235" t="s">
        <v>8027</v>
      </c>
      <c r="E942" s="243">
        <v>6.56E13</v>
      </c>
      <c r="F942" s="245"/>
      <c r="G942" s="235" t="s">
        <v>8028</v>
      </c>
      <c r="H942" s="235" t="s">
        <v>8029</v>
      </c>
      <c r="I942" s="235" t="s">
        <v>8029</v>
      </c>
      <c r="J942" s="235" t="s">
        <v>8030</v>
      </c>
      <c r="K942" s="235" t="s">
        <v>8031</v>
      </c>
      <c r="N942" s="235" t="s">
        <v>127</v>
      </c>
      <c r="O942" s="235" t="s">
        <v>794</v>
      </c>
      <c r="P942" s="238">
        <v>1.0</v>
      </c>
      <c r="Q942" s="235" t="s">
        <v>627</v>
      </c>
      <c r="R942" s="238">
        <v>246.66</v>
      </c>
      <c r="S942" s="238">
        <v>12.34</v>
      </c>
      <c r="T942" s="238">
        <v>0.0</v>
      </c>
      <c r="U942" s="238">
        <v>0.0</v>
      </c>
      <c r="V942" s="238">
        <v>0.0</v>
      </c>
      <c r="W942" s="238">
        <v>0.0</v>
      </c>
      <c r="X942" s="235" t="s">
        <v>628</v>
      </c>
      <c r="Z942" s="244"/>
      <c r="AA942" s="244"/>
      <c r="AB942" s="244"/>
      <c r="AC942" s="235" t="s">
        <v>1058</v>
      </c>
      <c r="AD942" s="235" t="s">
        <v>845</v>
      </c>
      <c r="AE942" s="238">
        <v>400097.0</v>
      </c>
      <c r="AF942" s="235" t="s">
        <v>631</v>
      </c>
      <c r="AG942" s="244"/>
      <c r="AH942" s="244"/>
      <c r="AI942" s="245"/>
      <c r="AJ942" s="245"/>
      <c r="AK942" s="245"/>
      <c r="AL942" s="245"/>
      <c r="AM942" s="244"/>
      <c r="AN942" s="244"/>
      <c r="AO942" s="238">
        <v>0.0</v>
      </c>
      <c r="AP942" s="238">
        <v>0.0</v>
      </c>
      <c r="AQ942" s="235" t="s">
        <v>632</v>
      </c>
      <c r="AR942" s="243">
        <v>3.71E11</v>
      </c>
      <c r="AS942" s="235" t="s">
        <v>6164</v>
      </c>
      <c r="AT942" s="235" t="s">
        <v>17</v>
      </c>
      <c r="AU942" s="235" t="s">
        <v>634</v>
      </c>
      <c r="AV942" s="246" t="s">
        <v>635</v>
      </c>
      <c r="AW942" s="242"/>
      <c r="AX942" s="242"/>
      <c r="AY942" s="231"/>
      <c r="AZ942" s="231"/>
      <c r="BA942" s="227"/>
      <c r="BB942" s="231"/>
      <c r="BC942" s="227"/>
      <c r="BD942" s="227"/>
      <c r="BE942" s="227"/>
      <c r="BF942" s="227"/>
    </row>
    <row r="943">
      <c r="A943" s="235" t="s">
        <v>8032</v>
      </c>
      <c r="C943" s="235" t="s">
        <v>8033</v>
      </c>
      <c r="D943" s="235" t="s">
        <v>8034</v>
      </c>
      <c r="E943" s="243">
        <v>6.53E13</v>
      </c>
      <c r="F943" s="245"/>
      <c r="G943" s="235" t="s">
        <v>8035</v>
      </c>
      <c r="H943" s="235" t="s">
        <v>8036</v>
      </c>
      <c r="I943" s="235" t="s">
        <v>8037</v>
      </c>
      <c r="J943" s="235" t="s">
        <v>8038</v>
      </c>
      <c r="K943" s="235" t="s">
        <v>8039</v>
      </c>
      <c r="N943" s="235" t="s">
        <v>1346</v>
      </c>
      <c r="O943" s="235" t="s">
        <v>1347</v>
      </c>
      <c r="P943" s="238">
        <v>1.0</v>
      </c>
      <c r="Q943" s="235" t="s">
        <v>627</v>
      </c>
      <c r="R943" s="238">
        <v>256.19</v>
      </c>
      <c r="S943" s="238">
        <v>12.81</v>
      </c>
      <c r="T943" s="238">
        <v>0.0</v>
      </c>
      <c r="U943" s="238">
        <v>0.0</v>
      </c>
      <c r="V943" s="238">
        <v>0.0</v>
      </c>
      <c r="W943" s="238">
        <v>0.0</v>
      </c>
      <c r="X943" s="235" t="s">
        <v>628</v>
      </c>
      <c r="Z943" s="244"/>
      <c r="AA943" s="244"/>
      <c r="AB943" s="244"/>
      <c r="AC943" s="235" t="s">
        <v>844</v>
      </c>
      <c r="AD943" s="235" t="s">
        <v>845</v>
      </c>
      <c r="AE943" s="238">
        <v>411057.0</v>
      </c>
      <c r="AF943" s="235" t="s">
        <v>631</v>
      </c>
      <c r="AG943" s="244"/>
      <c r="AH943" s="244"/>
      <c r="AI943" s="245"/>
      <c r="AJ943" s="245"/>
      <c r="AK943" s="245"/>
      <c r="AL943" s="245"/>
      <c r="AM943" s="244"/>
      <c r="AN943" s="244"/>
      <c r="AO943" s="238">
        <v>0.0</v>
      </c>
      <c r="AP943" s="238">
        <v>0.0</v>
      </c>
      <c r="AQ943" s="235" t="s">
        <v>632</v>
      </c>
      <c r="AR943" s="243">
        <v>3.71E11</v>
      </c>
      <c r="AS943" s="235" t="s">
        <v>3284</v>
      </c>
      <c r="AT943" s="235" t="s">
        <v>9</v>
      </c>
      <c r="AU943" s="235" t="s">
        <v>634</v>
      </c>
      <c r="AV943" s="246" t="s">
        <v>635</v>
      </c>
      <c r="AW943" s="242"/>
      <c r="AX943" s="242"/>
      <c r="AY943" s="231"/>
      <c r="AZ943" s="231"/>
      <c r="BA943" s="227"/>
      <c r="BB943" s="231"/>
      <c r="BC943" s="227"/>
      <c r="BD943" s="227"/>
      <c r="BE943" s="227"/>
      <c r="BF943" s="227"/>
    </row>
    <row r="944">
      <c r="A944" s="235" t="s">
        <v>8040</v>
      </c>
      <c r="C944" s="235" t="s">
        <v>8041</v>
      </c>
      <c r="D944" s="235" t="s">
        <v>8042</v>
      </c>
      <c r="E944" s="243">
        <v>6.56E13</v>
      </c>
      <c r="F944" s="245"/>
      <c r="G944" s="235" t="s">
        <v>8043</v>
      </c>
      <c r="H944" s="235" t="s">
        <v>8044</v>
      </c>
      <c r="I944" s="235" t="s">
        <v>8045</v>
      </c>
      <c r="J944" s="235" t="s">
        <v>8046</v>
      </c>
      <c r="K944" s="235" t="s">
        <v>8047</v>
      </c>
      <c r="N944" s="235" t="s">
        <v>144</v>
      </c>
      <c r="O944" s="235" t="s">
        <v>232</v>
      </c>
      <c r="P944" s="238">
        <v>1.0</v>
      </c>
      <c r="Q944" s="235" t="s">
        <v>627</v>
      </c>
      <c r="R944" s="238">
        <v>665.72</v>
      </c>
      <c r="S944" s="238">
        <v>33.28</v>
      </c>
      <c r="T944" s="238">
        <v>0.0</v>
      </c>
      <c r="U944" s="238">
        <v>0.0</v>
      </c>
      <c r="V944" s="238">
        <v>0.0</v>
      </c>
      <c r="W944" s="238">
        <v>0.0</v>
      </c>
      <c r="X944" s="235" t="s">
        <v>628</v>
      </c>
      <c r="Z944" s="244"/>
      <c r="AA944" s="244"/>
      <c r="AB944" s="244"/>
      <c r="AC944" s="235" t="s">
        <v>678</v>
      </c>
      <c r="AD944" s="235" t="s">
        <v>679</v>
      </c>
      <c r="AE944" s="238">
        <v>560066.0</v>
      </c>
      <c r="AF944" s="235" t="s">
        <v>631</v>
      </c>
      <c r="AG944" s="244"/>
      <c r="AH944" s="244"/>
      <c r="AI944" s="245"/>
      <c r="AJ944" s="245"/>
      <c r="AK944" s="245"/>
      <c r="AL944" s="245"/>
      <c r="AM944" s="244"/>
      <c r="AN944" s="244"/>
      <c r="AO944" s="238">
        <v>0.0</v>
      </c>
      <c r="AP944" s="238">
        <v>0.0</v>
      </c>
      <c r="AQ944" s="235" t="s">
        <v>632</v>
      </c>
      <c r="AR944" s="243">
        <v>1.68E11</v>
      </c>
      <c r="AS944" s="235" t="s">
        <v>7913</v>
      </c>
      <c r="AT944" s="235" t="s">
        <v>11</v>
      </c>
      <c r="AU944" s="235" t="s">
        <v>634</v>
      </c>
      <c r="AV944" s="246" t="s">
        <v>635</v>
      </c>
      <c r="AW944" s="242"/>
      <c r="AX944" s="242"/>
      <c r="AY944" s="231"/>
      <c r="AZ944" s="231"/>
      <c r="BA944" s="227"/>
      <c r="BB944" s="231"/>
      <c r="BC944" s="227"/>
      <c r="BD944" s="227"/>
      <c r="BE944" s="227"/>
      <c r="BF944" s="227"/>
    </row>
    <row r="945">
      <c r="A945" s="235" t="s">
        <v>8048</v>
      </c>
      <c r="C945" s="235" t="s">
        <v>8049</v>
      </c>
      <c r="D945" s="235" t="s">
        <v>8050</v>
      </c>
      <c r="E945" s="243">
        <v>6.56E13</v>
      </c>
      <c r="F945" s="245"/>
      <c r="G945" s="235" t="s">
        <v>8051</v>
      </c>
      <c r="H945" s="235" t="s">
        <v>8052</v>
      </c>
      <c r="I945" s="235" t="s">
        <v>8053</v>
      </c>
      <c r="J945" s="235" t="s">
        <v>8054</v>
      </c>
      <c r="K945" s="235" t="s">
        <v>8055</v>
      </c>
      <c r="N945" s="235" t="s">
        <v>43</v>
      </c>
      <c r="O945" s="235" t="s">
        <v>276</v>
      </c>
      <c r="P945" s="238">
        <v>1.0</v>
      </c>
      <c r="Q945" s="235" t="s">
        <v>627</v>
      </c>
      <c r="R945" s="238">
        <v>237.14</v>
      </c>
      <c r="S945" s="238">
        <v>11.62</v>
      </c>
      <c r="T945" s="238">
        <v>38.1</v>
      </c>
      <c r="U945" s="238">
        <v>1.9</v>
      </c>
      <c r="V945" s="238">
        <v>0.0</v>
      </c>
      <c r="W945" s="238">
        <v>0.0</v>
      </c>
      <c r="X945" s="235" t="s">
        <v>628</v>
      </c>
      <c r="Z945" s="244"/>
      <c r="AA945" s="244"/>
      <c r="AB945" s="244"/>
      <c r="AC945" s="235" t="s">
        <v>8056</v>
      </c>
      <c r="AD945" s="235" t="s">
        <v>666</v>
      </c>
      <c r="AE945" s="238">
        <v>638001.0</v>
      </c>
      <c r="AF945" s="235" t="s">
        <v>631</v>
      </c>
      <c r="AG945" s="244"/>
      <c r="AH945" s="244"/>
      <c r="AI945" s="245"/>
      <c r="AJ945" s="245"/>
      <c r="AK945" s="245"/>
      <c r="AL945" s="245"/>
      <c r="AM945" s="244"/>
      <c r="AN945" s="244"/>
      <c r="AO945" s="238">
        <v>-4.74</v>
      </c>
      <c r="AP945" s="238">
        <v>-38.1</v>
      </c>
      <c r="AQ945" s="235" t="s">
        <v>632</v>
      </c>
      <c r="AR945" s="243">
        <v>3.71E11</v>
      </c>
      <c r="AS945" s="235" t="s">
        <v>3284</v>
      </c>
      <c r="AT945" s="235" t="s">
        <v>17</v>
      </c>
      <c r="AU945" s="235" t="s">
        <v>634</v>
      </c>
      <c r="AV945" s="246" t="s">
        <v>635</v>
      </c>
      <c r="AW945" s="242"/>
      <c r="AX945" s="242"/>
      <c r="AY945" s="231"/>
      <c r="AZ945" s="231"/>
      <c r="BA945" s="227"/>
      <c r="BB945" s="231"/>
      <c r="BC945" s="227"/>
      <c r="BD945" s="227"/>
      <c r="BE945" s="227"/>
      <c r="BF945" s="227"/>
    </row>
    <row r="946">
      <c r="A946" s="235" t="s">
        <v>8057</v>
      </c>
      <c r="C946" s="235" t="s">
        <v>8058</v>
      </c>
      <c r="D946" s="235" t="s">
        <v>8059</v>
      </c>
      <c r="E946" s="243">
        <v>6.56E13</v>
      </c>
      <c r="F946" s="245"/>
      <c r="G946" s="235" t="s">
        <v>8060</v>
      </c>
      <c r="H946" s="235" t="s">
        <v>8061</v>
      </c>
      <c r="I946" s="235" t="s">
        <v>8061</v>
      </c>
      <c r="J946" s="235" t="s">
        <v>8062</v>
      </c>
      <c r="K946" s="235" t="s">
        <v>8063</v>
      </c>
      <c r="N946" s="235" t="s">
        <v>90</v>
      </c>
      <c r="O946" s="235" t="s">
        <v>279</v>
      </c>
      <c r="P946" s="238">
        <v>1.0</v>
      </c>
      <c r="Q946" s="235" t="s">
        <v>627</v>
      </c>
      <c r="R946" s="238">
        <v>246.66</v>
      </c>
      <c r="S946" s="238">
        <v>12.34</v>
      </c>
      <c r="T946" s="238">
        <v>18.1</v>
      </c>
      <c r="U946" s="238">
        <v>0.9</v>
      </c>
      <c r="V946" s="238">
        <v>0.0</v>
      </c>
      <c r="W946" s="238">
        <v>0.0</v>
      </c>
      <c r="X946" s="235" t="s">
        <v>628</v>
      </c>
      <c r="Z946" s="244"/>
      <c r="AA946" s="244"/>
      <c r="AB946" s="244"/>
      <c r="AC946" s="235" t="s">
        <v>678</v>
      </c>
      <c r="AD946" s="235" t="s">
        <v>679</v>
      </c>
      <c r="AE946" s="238">
        <v>560067.0</v>
      </c>
      <c r="AF946" s="235" t="s">
        <v>631</v>
      </c>
      <c r="AG946" s="244"/>
      <c r="AH946" s="244"/>
      <c r="AI946" s="245"/>
      <c r="AJ946" s="245"/>
      <c r="AK946" s="245"/>
      <c r="AL946" s="245"/>
      <c r="AM946" s="244"/>
      <c r="AN946" s="244"/>
      <c r="AO946" s="238">
        <v>0.0</v>
      </c>
      <c r="AP946" s="238">
        <v>-18.1</v>
      </c>
      <c r="AQ946" s="235" t="s">
        <v>632</v>
      </c>
      <c r="AR946" s="243">
        <v>1.68E11</v>
      </c>
      <c r="AS946" s="235" t="s">
        <v>7913</v>
      </c>
      <c r="AT946" s="235" t="s">
        <v>9</v>
      </c>
      <c r="AU946" s="235" t="s">
        <v>634</v>
      </c>
      <c r="AV946" s="246" t="s">
        <v>635</v>
      </c>
      <c r="AW946" s="242"/>
      <c r="AX946" s="242"/>
      <c r="AY946" s="231"/>
      <c r="AZ946" s="231"/>
      <c r="BA946" s="227"/>
      <c r="BB946" s="231"/>
      <c r="BC946" s="227"/>
      <c r="BD946" s="227"/>
      <c r="BE946" s="227"/>
      <c r="BF946" s="227"/>
    </row>
    <row r="947">
      <c r="A947" s="235" t="s">
        <v>8064</v>
      </c>
      <c r="C947" s="235" t="s">
        <v>8065</v>
      </c>
      <c r="D947" s="235" t="s">
        <v>8066</v>
      </c>
      <c r="E947" s="243">
        <v>6.56E13</v>
      </c>
      <c r="F947" s="245"/>
      <c r="G947" s="235" t="s">
        <v>8067</v>
      </c>
      <c r="H947" s="235" t="s">
        <v>8068</v>
      </c>
      <c r="I947" s="235" t="s">
        <v>8068</v>
      </c>
      <c r="J947" s="235" t="s">
        <v>8069</v>
      </c>
      <c r="K947" s="235" t="s">
        <v>8070</v>
      </c>
      <c r="N947" s="235" t="s">
        <v>138</v>
      </c>
      <c r="O947" s="235" t="s">
        <v>675</v>
      </c>
      <c r="P947" s="238">
        <v>1.0</v>
      </c>
      <c r="Q947" s="235" t="s">
        <v>627</v>
      </c>
      <c r="R947" s="238">
        <v>246.66</v>
      </c>
      <c r="S947" s="238">
        <v>12.34</v>
      </c>
      <c r="T947" s="238">
        <v>0.0</v>
      </c>
      <c r="U947" s="238">
        <v>0.0</v>
      </c>
      <c r="V947" s="238">
        <v>0.0</v>
      </c>
      <c r="W947" s="238">
        <v>0.0</v>
      </c>
      <c r="X947" s="235" t="s">
        <v>628</v>
      </c>
      <c r="Z947" s="244"/>
      <c r="AA947" s="244"/>
      <c r="AB947" s="244"/>
      <c r="AC947" s="235" t="s">
        <v>678</v>
      </c>
      <c r="AD947" s="235" t="s">
        <v>679</v>
      </c>
      <c r="AE947" s="238">
        <v>560060.0</v>
      </c>
      <c r="AF947" s="235" t="s">
        <v>631</v>
      </c>
      <c r="AG947" s="244"/>
      <c r="AH947" s="244"/>
      <c r="AI947" s="245"/>
      <c r="AJ947" s="245"/>
      <c r="AK947" s="245"/>
      <c r="AL947" s="245"/>
      <c r="AM947" s="244"/>
      <c r="AN947" s="244"/>
      <c r="AO947" s="238">
        <v>0.0</v>
      </c>
      <c r="AP947" s="238">
        <v>0.0</v>
      </c>
      <c r="AQ947" s="235" t="s">
        <v>632</v>
      </c>
      <c r="AR947" s="243">
        <v>3.71E11</v>
      </c>
      <c r="AS947" s="235" t="s">
        <v>7365</v>
      </c>
      <c r="AT947" s="235" t="s">
        <v>9</v>
      </c>
      <c r="AU947" s="235" t="s">
        <v>634</v>
      </c>
      <c r="AV947" s="246" t="s">
        <v>635</v>
      </c>
      <c r="AW947" s="242"/>
      <c r="AX947" s="242"/>
      <c r="AY947" s="231"/>
      <c r="AZ947" s="231"/>
      <c r="BA947" s="227"/>
      <c r="BB947" s="231"/>
      <c r="BC947" s="227"/>
      <c r="BD947" s="227"/>
      <c r="BE947" s="227"/>
      <c r="BF947" s="227"/>
    </row>
    <row r="948">
      <c r="A948" s="235" t="s">
        <v>8071</v>
      </c>
      <c r="C948" s="235" t="s">
        <v>8072</v>
      </c>
      <c r="D948" s="235" t="s">
        <v>8073</v>
      </c>
      <c r="E948" s="243">
        <v>6.56E13</v>
      </c>
      <c r="F948" s="245"/>
      <c r="G948" s="235" t="s">
        <v>8074</v>
      </c>
      <c r="H948" s="235" t="s">
        <v>8075</v>
      </c>
      <c r="I948" s="235" t="s">
        <v>8075</v>
      </c>
      <c r="J948" s="235" t="s">
        <v>8076</v>
      </c>
      <c r="K948" s="235" t="s">
        <v>8077</v>
      </c>
      <c r="N948" s="235" t="s">
        <v>117</v>
      </c>
      <c r="O948" s="235" t="s">
        <v>334</v>
      </c>
      <c r="P948" s="238">
        <v>1.0</v>
      </c>
      <c r="Q948" s="235" t="s">
        <v>627</v>
      </c>
      <c r="R948" s="238">
        <v>237.14</v>
      </c>
      <c r="S948" s="238">
        <v>11.86</v>
      </c>
      <c r="T948" s="238">
        <v>0.0</v>
      </c>
      <c r="U948" s="238">
        <v>0.0</v>
      </c>
      <c r="V948" s="238">
        <v>0.0</v>
      </c>
      <c r="W948" s="238">
        <v>0.0</v>
      </c>
      <c r="X948" s="235" t="s">
        <v>628</v>
      </c>
      <c r="Z948" s="244"/>
      <c r="AA948" s="244"/>
      <c r="AB948" s="244"/>
      <c r="AC948" s="235" t="s">
        <v>697</v>
      </c>
      <c r="AD948" s="235" t="s">
        <v>698</v>
      </c>
      <c r="AE948" s="238">
        <v>500038.0</v>
      </c>
      <c r="AF948" s="235" t="s">
        <v>631</v>
      </c>
      <c r="AG948" s="244"/>
      <c r="AH948" s="244"/>
      <c r="AI948" s="245"/>
      <c r="AJ948" s="245"/>
      <c r="AK948" s="245"/>
      <c r="AL948" s="245"/>
      <c r="AM948" s="244"/>
      <c r="AN948" s="244"/>
      <c r="AO948" s="238">
        <v>0.0</v>
      </c>
      <c r="AP948" s="238">
        <v>0.0</v>
      </c>
      <c r="AQ948" s="235" t="s">
        <v>632</v>
      </c>
      <c r="AR948" s="243">
        <v>3.71E11</v>
      </c>
      <c r="AS948" s="235" t="s">
        <v>6164</v>
      </c>
      <c r="AT948" s="235" t="s">
        <v>11</v>
      </c>
      <c r="AU948" s="235" t="s">
        <v>634</v>
      </c>
      <c r="AV948" s="246" t="s">
        <v>635</v>
      </c>
      <c r="AW948" s="242"/>
      <c r="AX948" s="242"/>
      <c r="AY948" s="231"/>
      <c r="AZ948" s="231"/>
      <c r="BA948" s="227"/>
      <c r="BB948" s="231"/>
      <c r="BC948" s="227"/>
      <c r="BD948" s="227"/>
      <c r="BE948" s="227"/>
      <c r="BF948" s="227"/>
    </row>
    <row r="949">
      <c r="A949" s="235" t="s">
        <v>8078</v>
      </c>
      <c r="C949" s="235" t="s">
        <v>8079</v>
      </c>
      <c r="D949" s="235" t="s">
        <v>8080</v>
      </c>
      <c r="E949" s="243">
        <v>6.56E13</v>
      </c>
      <c r="F949" s="245"/>
      <c r="G949" s="235" t="s">
        <v>8081</v>
      </c>
      <c r="H949" s="235" t="s">
        <v>8082</v>
      </c>
      <c r="I949" s="235" t="s">
        <v>8082</v>
      </c>
      <c r="J949" s="235" t="s">
        <v>8083</v>
      </c>
      <c r="K949" s="235" t="s">
        <v>8084</v>
      </c>
      <c r="N949" s="235" t="s">
        <v>131</v>
      </c>
      <c r="O949" s="235" t="s">
        <v>2148</v>
      </c>
      <c r="P949" s="238">
        <v>1.0</v>
      </c>
      <c r="Q949" s="235" t="s">
        <v>627</v>
      </c>
      <c r="R949" s="238">
        <v>246.67</v>
      </c>
      <c r="S949" s="238">
        <v>12.33</v>
      </c>
      <c r="T949" s="238">
        <v>38.1</v>
      </c>
      <c r="U949" s="238">
        <v>1.9</v>
      </c>
      <c r="V949" s="238">
        <v>0.0</v>
      </c>
      <c r="W949" s="238">
        <v>0.0</v>
      </c>
      <c r="X949" s="235" t="s">
        <v>628</v>
      </c>
      <c r="Z949" s="244"/>
      <c r="AA949" s="244"/>
      <c r="AB949" s="244"/>
      <c r="AC949" s="235" t="s">
        <v>8085</v>
      </c>
      <c r="AD949" s="235" t="s">
        <v>630</v>
      </c>
      <c r="AE949" s="238">
        <v>204101.0</v>
      </c>
      <c r="AF949" s="235" t="s">
        <v>631</v>
      </c>
      <c r="AG949" s="244"/>
      <c r="AH949" s="244"/>
      <c r="AI949" s="245"/>
      <c r="AJ949" s="245"/>
      <c r="AK949" s="245"/>
      <c r="AL949" s="245"/>
      <c r="AM949" s="244"/>
      <c r="AN949" s="244"/>
      <c r="AO949" s="238">
        <v>0.0</v>
      </c>
      <c r="AP949" s="238">
        <v>-38.1</v>
      </c>
      <c r="AQ949" s="235" t="s">
        <v>632</v>
      </c>
      <c r="AR949" s="243">
        <v>3.71E11</v>
      </c>
      <c r="AS949" s="235" t="s">
        <v>2276</v>
      </c>
      <c r="AT949" s="235" t="s">
        <v>9</v>
      </c>
      <c r="AU949" s="235" t="s">
        <v>634</v>
      </c>
      <c r="AV949" s="246" t="s">
        <v>635</v>
      </c>
      <c r="AW949" s="242"/>
      <c r="AX949" s="242"/>
      <c r="AY949" s="231"/>
      <c r="AZ949" s="231"/>
      <c r="BA949" s="227"/>
      <c r="BB949" s="231"/>
      <c r="BC949" s="227"/>
      <c r="BD949" s="227"/>
      <c r="BE949" s="227"/>
      <c r="BF949" s="227"/>
    </row>
    <row r="950">
      <c r="A950" s="235" t="s">
        <v>8086</v>
      </c>
      <c r="C950" s="235" t="s">
        <v>8087</v>
      </c>
      <c r="D950" s="235" t="s">
        <v>8088</v>
      </c>
      <c r="E950" s="243">
        <v>6.56E13</v>
      </c>
      <c r="F950" s="245"/>
      <c r="G950" s="235" t="s">
        <v>8089</v>
      </c>
      <c r="H950" s="235" t="s">
        <v>8090</v>
      </c>
      <c r="I950" s="235" t="s">
        <v>8090</v>
      </c>
      <c r="J950" s="235" t="s">
        <v>8091</v>
      </c>
      <c r="K950" s="235" t="s">
        <v>8092</v>
      </c>
      <c r="N950" s="235" t="s">
        <v>141</v>
      </c>
      <c r="O950" s="235" t="s">
        <v>342</v>
      </c>
      <c r="P950" s="238">
        <v>1.0</v>
      </c>
      <c r="Q950" s="235" t="s">
        <v>627</v>
      </c>
      <c r="R950" s="238">
        <v>246.67</v>
      </c>
      <c r="S950" s="238">
        <v>12.33</v>
      </c>
      <c r="T950" s="238">
        <v>38.1</v>
      </c>
      <c r="U950" s="238">
        <v>1.9</v>
      </c>
      <c r="V950" s="238">
        <v>0.0</v>
      </c>
      <c r="W950" s="238">
        <v>0.0</v>
      </c>
      <c r="X950" s="235" t="s">
        <v>628</v>
      </c>
      <c r="Z950" s="244"/>
      <c r="AA950" s="244"/>
      <c r="AB950" s="244"/>
      <c r="AC950" s="235" t="s">
        <v>8093</v>
      </c>
      <c r="AD950" s="235" t="s">
        <v>917</v>
      </c>
      <c r="AE950" s="238">
        <v>303503.0</v>
      </c>
      <c r="AF950" s="235" t="s">
        <v>631</v>
      </c>
      <c r="AG950" s="244"/>
      <c r="AH950" s="244"/>
      <c r="AI950" s="245"/>
      <c r="AJ950" s="245"/>
      <c r="AK950" s="245"/>
      <c r="AL950" s="245"/>
      <c r="AM950" s="244"/>
      <c r="AN950" s="244"/>
      <c r="AO950" s="238">
        <v>0.0</v>
      </c>
      <c r="AP950" s="238">
        <v>-38.1</v>
      </c>
      <c r="AQ950" s="235" t="s">
        <v>1356</v>
      </c>
      <c r="AR950" s="247" t="s">
        <v>8094</v>
      </c>
      <c r="AS950" s="235" t="s">
        <v>667</v>
      </c>
      <c r="AT950" s="235" t="s">
        <v>533</v>
      </c>
      <c r="AU950" s="235" t="s">
        <v>634</v>
      </c>
      <c r="AV950" s="246" t="s">
        <v>635</v>
      </c>
      <c r="AW950" s="242"/>
      <c r="AX950" s="242"/>
      <c r="AY950" s="231"/>
      <c r="AZ950" s="231"/>
      <c r="BA950" s="227"/>
      <c r="BB950" s="231"/>
      <c r="BC950" s="227"/>
      <c r="BD950" s="227"/>
      <c r="BE950" s="227"/>
      <c r="BF950" s="227"/>
    </row>
    <row r="951">
      <c r="A951" s="235" t="s">
        <v>8095</v>
      </c>
      <c r="C951" s="235" t="s">
        <v>8096</v>
      </c>
      <c r="D951" s="235" t="s">
        <v>8097</v>
      </c>
      <c r="E951" s="243">
        <v>6.56E13</v>
      </c>
      <c r="F951" s="245"/>
      <c r="G951" s="235" t="s">
        <v>8098</v>
      </c>
      <c r="H951" s="235" t="s">
        <v>8099</v>
      </c>
      <c r="I951" s="235" t="s">
        <v>8099</v>
      </c>
      <c r="J951" s="235" t="s">
        <v>8101</v>
      </c>
      <c r="K951" s="235" t="s">
        <v>8102</v>
      </c>
      <c r="N951" s="235" t="s">
        <v>144</v>
      </c>
      <c r="O951" s="235" t="s">
        <v>232</v>
      </c>
      <c r="P951" s="238">
        <v>1.0</v>
      </c>
      <c r="Q951" s="235" t="s">
        <v>627</v>
      </c>
      <c r="R951" s="238">
        <v>665.72</v>
      </c>
      <c r="S951" s="238">
        <v>32.62</v>
      </c>
      <c r="T951" s="238">
        <v>75.24</v>
      </c>
      <c r="U951" s="238">
        <v>3.76</v>
      </c>
      <c r="V951" s="238">
        <v>0.0</v>
      </c>
      <c r="W951" s="238">
        <v>0.0</v>
      </c>
      <c r="X951" s="235" t="s">
        <v>628</v>
      </c>
      <c r="Z951" s="244"/>
      <c r="AA951" s="244"/>
      <c r="AB951" s="244"/>
      <c r="AC951" s="235" t="s">
        <v>678</v>
      </c>
      <c r="AD951" s="235" t="s">
        <v>679</v>
      </c>
      <c r="AE951" s="238">
        <v>560077.0</v>
      </c>
      <c r="AF951" s="235" t="s">
        <v>631</v>
      </c>
      <c r="AG951" s="244"/>
      <c r="AH951" s="244"/>
      <c r="AI951" s="245"/>
      <c r="AJ951" s="245"/>
      <c r="AK951" s="245"/>
      <c r="AL951" s="245"/>
      <c r="AM951" s="244"/>
      <c r="AN951" s="244"/>
      <c r="AO951" s="238">
        <v>-13.32</v>
      </c>
      <c r="AP951" s="238">
        <v>0.0</v>
      </c>
      <c r="AQ951" s="235" t="s">
        <v>632</v>
      </c>
      <c r="AR951" s="243">
        <v>3.71E11</v>
      </c>
      <c r="AS951" s="235" t="s">
        <v>7365</v>
      </c>
      <c r="AT951" s="235" t="s">
        <v>9</v>
      </c>
      <c r="AU951" s="235" t="s">
        <v>634</v>
      </c>
      <c r="AV951" s="246" t="s">
        <v>635</v>
      </c>
      <c r="AW951" s="242"/>
      <c r="AX951" s="242"/>
      <c r="AY951" s="231"/>
      <c r="AZ951" s="231"/>
      <c r="BA951" s="227"/>
      <c r="BB951" s="231"/>
      <c r="BC951" s="227"/>
      <c r="BD951" s="227"/>
      <c r="BE951" s="227"/>
      <c r="BF951" s="227"/>
    </row>
    <row r="952">
      <c r="A952" s="235" t="s">
        <v>8103</v>
      </c>
      <c r="C952" s="235" t="s">
        <v>8104</v>
      </c>
      <c r="D952" s="235" t="s">
        <v>8105</v>
      </c>
      <c r="E952" s="243">
        <v>6.56E13</v>
      </c>
      <c r="F952" s="245"/>
      <c r="G952" s="235" t="s">
        <v>8106</v>
      </c>
      <c r="H952" s="235" t="s">
        <v>8107</v>
      </c>
      <c r="I952" s="235" t="s">
        <v>8107</v>
      </c>
      <c r="J952" s="235" t="s">
        <v>8108</v>
      </c>
      <c r="K952" s="235" t="s">
        <v>8109</v>
      </c>
      <c r="N952" s="235" t="s">
        <v>726</v>
      </c>
      <c r="O952" s="235" t="s">
        <v>727</v>
      </c>
      <c r="P952" s="238">
        <v>1.0</v>
      </c>
      <c r="Q952" s="235" t="s">
        <v>627</v>
      </c>
      <c r="R952" s="238">
        <v>246.66</v>
      </c>
      <c r="S952" s="238">
        <v>12.34</v>
      </c>
      <c r="T952" s="238">
        <v>0.0</v>
      </c>
      <c r="U952" s="238">
        <v>0.0</v>
      </c>
      <c r="V952" s="238">
        <v>0.0</v>
      </c>
      <c r="W952" s="238">
        <v>0.0</v>
      </c>
      <c r="X952" s="235" t="s">
        <v>628</v>
      </c>
      <c r="Z952" s="244"/>
      <c r="AA952" s="244"/>
      <c r="AB952" s="244"/>
      <c r="AC952" s="235" t="s">
        <v>8110</v>
      </c>
      <c r="AD952" s="235" t="s">
        <v>679</v>
      </c>
      <c r="AE952" s="238">
        <v>580001.0</v>
      </c>
      <c r="AF952" s="235" t="s">
        <v>631</v>
      </c>
      <c r="AG952" s="244"/>
      <c r="AH952" s="244"/>
      <c r="AI952" s="245"/>
      <c r="AJ952" s="245"/>
      <c r="AK952" s="245"/>
      <c r="AL952" s="245"/>
      <c r="AM952" s="244"/>
      <c r="AN952" s="244"/>
      <c r="AO952" s="238">
        <v>0.0</v>
      </c>
      <c r="AP952" s="238">
        <v>0.0</v>
      </c>
      <c r="AQ952" s="235" t="s">
        <v>632</v>
      </c>
      <c r="AR952" s="243">
        <v>1.68E11</v>
      </c>
      <c r="AS952" s="235" t="s">
        <v>6164</v>
      </c>
      <c r="AT952" s="235" t="s">
        <v>11</v>
      </c>
      <c r="AU952" s="235" t="s">
        <v>634</v>
      </c>
      <c r="AV952" s="246" t="s">
        <v>635</v>
      </c>
      <c r="AW952" s="242"/>
      <c r="AX952" s="242"/>
      <c r="AY952" s="231"/>
      <c r="AZ952" s="231"/>
      <c r="BA952" s="227"/>
      <c r="BB952" s="231"/>
      <c r="BC952" s="227"/>
      <c r="BD952" s="227"/>
      <c r="BE952" s="227"/>
      <c r="BF952" s="227"/>
    </row>
    <row r="953">
      <c r="A953" s="235" t="s">
        <v>8111</v>
      </c>
      <c r="C953" s="235" t="s">
        <v>8112</v>
      </c>
      <c r="D953" s="235" t="s">
        <v>8113</v>
      </c>
      <c r="E953" s="243">
        <v>6.56E13</v>
      </c>
      <c r="F953" s="245"/>
      <c r="G953" s="235" t="s">
        <v>8060</v>
      </c>
      <c r="H953" s="235" t="s">
        <v>8114</v>
      </c>
      <c r="I953" s="235" t="s">
        <v>8115</v>
      </c>
      <c r="J953" s="235" t="s">
        <v>8116</v>
      </c>
      <c r="K953" s="235" t="s">
        <v>8117</v>
      </c>
      <c r="N953" s="235" t="s">
        <v>47</v>
      </c>
      <c r="O953" s="235" t="s">
        <v>270</v>
      </c>
      <c r="P953" s="238">
        <v>1.0</v>
      </c>
      <c r="Q953" s="235" t="s">
        <v>627</v>
      </c>
      <c r="R953" s="238">
        <v>237.14</v>
      </c>
      <c r="S953" s="238">
        <v>11.62</v>
      </c>
      <c r="T953" s="238">
        <v>0.0</v>
      </c>
      <c r="U953" s="238">
        <v>0.0</v>
      </c>
      <c r="V953" s="238">
        <v>0.0</v>
      </c>
      <c r="W953" s="238">
        <v>0.0</v>
      </c>
      <c r="X953" s="235" t="s">
        <v>628</v>
      </c>
      <c r="Z953" s="244"/>
      <c r="AA953" s="244"/>
      <c r="AB953" s="244"/>
      <c r="AC953" s="235" t="s">
        <v>8118</v>
      </c>
      <c r="AD953" s="235" t="s">
        <v>698</v>
      </c>
      <c r="AE953" s="238">
        <v>509202.0</v>
      </c>
      <c r="AF953" s="235" t="s">
        <v>631</v>
      </c>
      <c r="AG953" s="244"/>
      <c r="AH953" s="244"/>
      <c r="AI953" s="245"/>
      <c r="AJ953" s="245"/>
      <c r="AK953" s="245"/>
      <c r="AL953" s="245"/>
      <c r="AM953" s="244"/>
      <c r="AN953" s="244"/>
      <c r="AO953" s="238">
        <v>-4.74</v>
      </c>
      <c r="AP953" s="238">
        <v>0.0</v>
      </c>
      <c r="AQ953" s="235" t="s">
        <v>632</v>
      </c>
      <c r="AR953" s="243">
        <v>3.71E11</v>
      </c>
      <c r="AS953" s="235" t="s">
        <v>6164</v>
      </c>
      <c r="AT953" s="235" t="s">
        <v>546</v>
      </c>
      <c r="AU953" s="235" t="s">
        <v>634</v>
      </c>
      <c r="AV953" s="246" t="s">
        <v>635</v>
      </c>
      <c r="AW953" s="242"/>
      <c r="AX953" s="242"/>
      <c r="AY953" s="231"/>
      <c r="AZ953" s="231"/>
      <c r="BA953" s="227"/>
      <c r="BB953" s="231"/>
      <c r="BC953" s="227"/>
      <c r="BD953" s="227"/>
      <c r="BE953" s="227"/>
      <c r="BF953" s="227"/>
    </row>
    <row r="954">
      <c r="A954" s="235" t="s">
        <v>8119</v>
      </c>
      <c r="C954" s="235" t="s">
        <v>8120</v>
      </c>
      <c r="D954" s="235" t="s">
        <v>8121</v>
      </c>
      <c r="E954" s="243">
        <v>6.56E13</v>
      </c>
      <c r="F954" s="245"/>
      <c r="G954" s="235" t="s">
        <v>8122</v>
      </c>
      <c r="H954" s="235" t="s">
        <v>8123</v>
      </c>
      <c r="I954" s="235" t="s">
        <v>8123</v>
      </c>
      <c r="J954" s="235" t="s">
        <v>8124</v>
      </c>
      <c r="K954" s="235" t="s">
        <v>8125</v>
      </c>
      <c r="N954" s="235" t="s">
        <v>117</v>
      </c>
      <c r="O954" s="235" t="s">
        <v>334</v>
      </c>
      <c r="P954" s="238">
        <v>1.0</v>
      </c>
      <c r="Q954" s="235" t="s">
        <v>627</v>
      </c>
      <c r="R954" s="238">
        <v>237.14</v>
      </c>
      <c r="S954" s="238">
        <v>11.86</v>
      </c>
      <c r="T954" s="238">
        <v>0.0</v>
      </c>
      <c r="U954" s="238">
        <v>0.0</v>
      </c>
      <c r="V954" s="238">
        <v>0.0</v>
      </c>
      <c r="W954" s="238">
        <v>0.0</v>
      </c>
      <c r="X954" s="235" t="s">
        <v>628</v>
      </c>
      <c r="Z954" s="244"/>
      <c r="AA954" s="244"/>
      <c r="AB954" s="244"/>
      <c r="AC954" s="235" t="s">
        <v>795</v>
      </c>
      <c r="AD954" s="235" t="s">
        <v>796</v>
      </c>
      <c r="AE954" s="238">
        <v>110059.0</v>
      </c>
      <c r="AF954" s="235" t="s">
        <v>631</v>
      </c>
      <c r="AG954" s="244"/>
      <c r="AH954" s="244"/>
      <c r="AI954" s="245"/>
      <c r="AJ954" s="245"/>
      <c r="AK954" s="245"/>
      <c r="AL954" s="245"/>
      <c r="AM954" s="244"/>
      <c r="AN954" s="244"/>
      <c r="AO954" s="238">
        <v>0.0</v>
      </c>
      <c r="AP954" s="238">
        <v>0.0</v>
      </c>
      <c r="AQ954" s="235" t="s">
        <v>632</v>
      </c>
      <c r="AR954" s="243">
        <v>3.71E11</v>
      </c>
      <c r="AS954" s="235" t="s">
        <v>4697</v>
      </c>
      <c r="AT954" s="235" t="s">
        <v>16</v>
      </c>
      <c r="AU954" s="235" t="s">
        <v>634</v>
      </c>
      <c r="AV954" s="246" t="s">
        <v>635</v>
      </c>
      <c r="AW954" s="242"/>
      <c r="AX954" s="242"/>
      <c r="AY954" s="231"/>
      <c r="AZ954" s="231"/>
      <c r="BA954" s="227"/>
      <c r="BB954" s="231"/>
      <c r="BC954" s="227"/>
      <c r="BD954" s="227"/>
      <c r="BE954" s="227"/>
      <c r="BF954" s="227"/>
    </row>
    <row r="955">
      <c r="A955" s="235" t="s">
        <v>8126</v>
      </c>
      <c r="C955" s="235" t="s">
        <v>8127</v>
      </c>
      <c r="D955" s="235" t="s">
        <v>8128</v>
      </c>
      <c r="E955" s="243">
        <v>6.56E13</v>
      </c>
      <c r="F955" s="245"/>
      <c r="G955" s="235" t="s">
        <v>8129</v>
      </c>
      <c r="H955" s="235" t="s">
        <v>8130</v>
      </c>
      <c r="I955" s="235" t="s">
        <v>8130</v>
      </c>
      <c r="J955" s="235" t="s">
        <v>8131</v>
      </c>
      <c r="K955" s="235" t="s">
        <v>8132</v>
      </c>
      <c r="N955" s="235" t="s">
        <v>47</v>
      </c>
      <c r="O955" s="235" t="s">
        <v>270</v>
      </c>
      <c r="P955" s="238">
        <v>1.0</v>
      </c>
      <c r="Q955" s="235" t="s">
        <v>627</v>
      </c>
      <c r="R955" s="238">
        <v>237.14</v>
      </c>
      <c r="S955" s="238">
        <v>11.86</v>
      </c>
      <c r="T955" s="238">
        <v>0.0</v>
      </c>
      <c r="U955" s="238">
        <v>0.0</v>
      </c>
      <c r="V955" s="238">
        <v>0.0</v>
      </c>
      <c r="W955" s="238">
        <v>0.0</v>
      </c>
      <c r="X955" s="235" t="s">
        <v>628</v>
      </c>
      <c r="Z955" s="244"/>
      <c r="AA955" s="244"/>
      <c r="AB955" s="244"/>
      <c r="AC955" s="235" t="s">
        <v>814</v>
      </c>
      <c r="AD955" s="235" t="s">
        <v>698</v>
      </c>
      <c r="AE955" s="238">
        <v>502032.0</v>
      </c>
      <c r="AF955" s="235" t="s">
        <v>631</v>
      </c>
      <c r="AG955" s="244"/>
      <c r="AH955" s="244"/>
      <c r="AI955" s="245"/>
      <c r="AJ955" s="245"/>
      <c r="AK955" s="245"/>
      <c r="AL955" s="245"/>
      <c r="AM955" s="244"/>
      <c r="AN955" s="244"/>
      <c r="AO955" s="238">
        <v>0.0</v>
      </c>
      <c r="AP955" s="238">
        <v>0.0</v>
      </c>
      <c r="AQ955" s="235" t="s">
        <v>632</v>
      </c>
      <c r="AR955" s="243">
        <v>3.71E11</v>
      </c>
      <c r="AS955" s="235" t="s">
        <v>6164</v>
      </c>
      <c r="AT955" s="235" t="s">
        <v>546</v>
      </c>
      <c r="AU955" s="235" t="s">
        <v>634</v>
      </c>
      <c r="AV955" s="246" t="s">
        <v>635</v>
      </c>
      <c r="AW955" s="242"/>
      <c r="AX955" s="242"/>
      <c r="AY955" s="231"/>
      <c r="AZ955" s="231"/>
      <c r="BA955" s="227"/>
      <c r="BB955" s="231"/>
      <c r="BC955" s="227"/>
      <c r="BD955" s="227"/>
      <c r="BE955" s="227"/>
      <c r="BF955" s="227"/>
    </row>
    <row r="956">
      <c r="A956" s="235" t="s">
        <v>8133</v>
      </c>
      <c r="C956" s="235" t="s">
        <v>8134</v>
      </c>
      <c r="D956" s="235" t="s">
        <v>8135</v>
      </c>
      <c r="E956" s="243">
        <v>6.56E13</v>
      </c>
      <c r="F956" s="245"/>
      <c r="G956" s="235" t="s">
        <v>8136</v>
      </c>
      <c r="H956" s="235" t="s">
        <v>8137</v>
      </c>
      <c r="I956" s="235" t="s">
        <v>8137</v>
      </c>
      <c r="J956" s="235" t="s">
        <v>8138</v>
      </c>
      <c r="K956" s="235" t="s">
        <v>8139</v>
      </c>
      <c r="N956" s="235" t="s">
        <v>71</v>
      </c>
      <c r="O956" s="235" t="s">
        <v>240</v>
      </c>
      <c r="P956" s="238">
        <v>1.0</v>
      </c>
      <c r="Q956" s="235" t="s">
        <v>627</v>
      </c>
      <c r="R956" s="238">
        <v>246.66</v>
      </c>
      <c r="S956" s="238">
        <v>12.34</v>
      </c>
      <c r="T956" s="238">
        <v>0.0</v>
      </c>
      <c r="U956" s="238">
        <v>0.0</v>
      </c>
      <c r="V956" s="238">
        <v>0.0</v>
      </c>
      <c r="W956" s="238">
        <v>0.0</v>
      </c>
      <c r="X956" s="235" t="s">
        <v>628</v>
      </c>
      <c r="Z956" s="244"/>
      <c r="AA956" s="244"/>
      <c r="AB956" s="244"/>
      <c r="AC956" s="235" t="s">
        <v>1792</v>
      </c>
      <c r="AD956" s="235" t="s">
        <v>1077</v>
      </c>
      <c r="AE956" s="238">
        <v>390023.0</v>
      </c>
      <c r="AF956" s="235" t="s">
        <v>631</v>
      </c>
      <c r="AG956" s="244"/>
      <c r="AH956" s="244"/>
      <c r="AI956" s="245"/>
      <c r="AJ956" s="245"/>
      <c r="AK956" s="245"/>
      <c r="AL956" s="245"/>
      <c r="AM956" s="244"/>
      <c r="AN956" s="244"/>
      <c r="AO956" s="238">
        <v>0.0</v>
      </c>
      <c r="AP956" s="238">
        <v>0.0</v>
      </c>
      <c r="AQ956" s="235" t="s">
        <v>632</v>
      </c>
      <c r="AR956" s="243">
        <v>1.68E11</v>
      </c>
      <c r="AS956" s="235" t="s">
        <v>7365</v>
      </c>
      <c r="AT956" s="235" t="s">
        <v>5</v>
      </c>
      <c r="AU956" s="235" t="s">
        <v>634</v>
      </c>
      <c r="AV956" s="246" t="s">
        <v>635</v>
      </c>
      <c r="AW956" s="242"/>
      <c r="AX956" s="242"/>
      <c r="AY956" s="231"/>
      <c r="AZ956" s="231"/>
      <c r="BA956" s="227"/>
      <c r="BB956" s="231"/>
      <c r="BC956" s="227"/>
      <c r="BD956" s="227"/>
      <c r="BE956" s="227"/>
      <c r="BF956" s="227"/>
    </row>
    <row r="957">
      <c r="A957" s="235" t="s">
        <v>8140</v>
      </c>
      <c r="C957" s="235" t="s">
        <v>8141</v>
      </c>
      <c r="D957" s="235" t="s">
        <v>8142</v>
      </c>
      <c r="E957" s="243">
        <v>6.56E13</v>
      </c>
      <c r="F957" s="245"/>
      <c r="G957" s="235" t="s">
        <v>8143</v>
      </c>
      <c r="H957" s="235" t="s">
        <v>8144</v>
      </c>
      <c r="I957" s="235" t="s">
        <v>8144</v>
      </c>
      <c r="J957" s="235" t="s">
        <v>8145</v>
      </c>
      <c r="K957" s="235" t="s">
        <v>8146</v>
      </c>
      <c r="N957" s="235" t="s">
        <v>127</v>
      </c>
      <c r="O957" s="235" t="s">
        <v>794</v>
      </c>
      <c r="P957" s="238">
        <v>1.0</v>
      </c>
      <c r="Q957" s="235" t="s">
        <v>627</v>
      </c>
      <c r="R957" s="238">
        <v>246.66</v>
      </c>
      <c r="S957" s="238">
        <v>12.34</v>
      </c>
      <c r="T957" s="238">
        <v>18.1</v>
      </c>
      <c r="U957" s="238">
        <v>0.9</v>
      </c>
      <c r="V957" s="238">
        <v>0.0</v>
      </c>
      <c r="W957" s="238">
        <v>0.0</v>
      </c>
      <c r="X957" s="235" t="s">
        <v>628</v>
      </c>
      <c r="Z957" s="244"/>
      <c r="AA957" s="244"/>
      <c r="AB957" s="244"/>
      <c r="AC957" s="235" t="s">
        <v>8147</v>
      </c>
      <c r="AD957" s="235" t="s">
        <v>666</v>
      </c>
      <c r="AE957" s="238">
        <v>600100.0</v>
      </c>
      <c r="AF957" s="235" t="s">
        <v>631</v>
      </c>
      <c r="AG957" s="244"/>
      <c r="AH957" s="244"/>
      <c r="AI957" s="245"/>
      <c r="AJ957" s="245"/>
      <c r="AK957" s="245"/>
      <c r="AL957" s="245"/>
      <c r="AM957" s="244"/>
      <c r="AN957" s="244"/>
      <c r="AO957" s="238">
        <v>0.0</v>
      </c>
      <c r="AP957" s="238">
        <v>-18.1</v>
      </c>
      <c r="AQ957" s="235" t="s">
        <v>632</v>
      </c>
      <c r="AR957" s="243">
        <v>1.68E11</v>
      </c>
      <c r="AS957" s="235" t="s">
        <v>7913</v>
      </c>
      <c r="AT957" s="235" t="s">
        <v>156</v>
      </c>
      <c r="AU957" s="235" t="s">
        <v>634</v>
      </c>
      <c r="AV957" s="246" t="s">
        <v>635</v>
      </c>
      <c r="AW957" s="242"/>
      <c r="AX957" s="242"/>
      <c r="AY957" s="231"/>
      <c r="AZ957" s="231"/>
      <c r="BA957" s="227"/>
      <c r="BB957" s="231"/>
      <c r="BC957" s="227"/>
      <c r="BD957" s="227"/>
      <c r="BE957" s="227"/>
      <c r="BF957" s="227"/>
    </row>
    <row r="958">
      <c r="A958" s="235" t="s">
        <v>8148</v>
      </c>
      <c r="C958" s="235" t="s">
        <v>8149</v>
      </c>
      <c r="D958" s="235" t="s">
        <v>8150</v>
      </c>
      <c r="E958" s="243">
        <v>6.56E13</v>
      </c>
      <c r="F958" s="245"/>
      <c r="G958" s="235" t="s">
        <v>8151</v>
      </c>
      <c r="H958" s="235" t="s">
        <v>8152</v>
      </c>
      <c r="I958" s="235" t="s">
        <v>8152</v>
      </c>
      <c r="J958" s="235" t="s">
        <v>8153</v>
      </c>
      <c r="K958" s="235" t="s">
        <v>8154</v>
      </c>
      <c r="N958" s="235" t="s">
        <v>154</v>
      </c>
      <c r="O958" s="235" t="s">
        <v>766</v>
      </c>
      <c r="P958" s="238">
        <v>2.0</v>
      </c>
      <c r="Q958" s="235" t="s">
        <v>627</v>
      </c>
      <c r="R958" s="238">
        <v>931.44</v>
      </c>
      <c r="S958" s="238">
        <v>45.16</v>
      </c>
      <c r="T958" s="238">
        <v>188.56</v>
      </c>
      <c r="U958" s="238">
        <v>9.44</v>
      </c>
      <c r="V958" s="238">
        <v>0.0</v>
      </c>
      <c r="W958" s="238">
        <v>0.0</v>
      </c>
      <c r="X958" s="235" t="s">
        <v>628</v>
      </c>
      <c r="Z958" s="244"/>
      <c r="AA958" s="244"/>
      <c r="AB958" s="244"/>
      <c r="AC958" s="235" t="s">
        <v>1255</v>
      </c>
      <c r="AD958" s="235" t="s">
        <v>845</v>
      </c>
      <c r="AE958" s="238">
        <v>400604.0</v>
      </c>
      <c r="AF958" s="235" t="s">
        <v>631</v>
      </c>
      <c r="AG958" s="244"/>
      <c r="AH958" s="244"/>
      <c r="AI958" s="245"/>
      <c r="AJ958" s="245"/>
      <c r="AK958" s="245"/>
      <c r="AL958" s="245"/>
      <c r="AM958" s="244"/>
      <c r="AN958" s="244"/>
      <c r="AO958" s="238">
        <v>-27.94</v>
      </c>
      <c r="AP958" s="238">
        <v>0.0</v>
      </c>
      <c r="AQ958" s="235" t="s">
        <v>632</v>
      </c>
      <c r="AR958" s="243">
        <v>1.68E11</v>
      </c>
      <c r="AS958" s="235" t="s">
        <v>7913</v>
      </c>
      <c r="AT958" s="235" t="s">
        <v>16</v>
      </c>
      <c r="AU958" s="235" t="s">
        <v>634</v>
      </c>
      <c r="AV958" s="246" t="s">
        <v>635</v>
      </c>
      <c r="AW958" s="242"/>
      <c r="AX958" s="242"/>
      <c r="AY958" s="231"/>
      <c r="AZ958" s="231"/>
      <c r="BA958" s="227"/>
      <c r="BB958" s="231"/>
      <c r="BC958" s="227"/>
      <c r="BD958" s="227"/>
      <c r="BE958" s="227"/>
      <c r="BF958" s="227"/>
    </row>
    <row r="959">
      <c r="A959" s="235" t="s">
        <v>8155</v>
      </c>
      <c r="C959" s="235" t="s">
        <v>8156</v>
      </c>
      <c r="D959" s="235" t="s">
        <v>8157</v>
      </c>
      <c r="E959" s="243">
        <v>6.56E13</v>
      </c>
      <c r="F959" s="245"/>
      <c r="G959" s="235" t="s">
        <v>8158</v>
      </c>
      <c r="H959" s="235" t="s">
        <v>8159</v>
      </c>
      <c r="I959" s="235" t="s">
        <v>8160</v>
      </c>
      <c r="J959" s="235" t="s">
        <v>8161</v>
      </c>
      <c r="K959" s="235" t="s">
        <v>8162</v>
      </c>
      <c r="N959" s="235" t="s">
        <v>726</v>
      </c>
      <c r="O959" s="235" t="s">
        <v>727</v>
      </c>
      <c r="P959" s="238">
        <v>1.0</v>
      </c>
      <c r="Q959" s="235" t="s">
        <v>627</v>
      </c>
      <c r="R959" s="238">
        <v>246.67</v>
      </c>
      <c r="S959" s="238">
        <v>12.33</v>
      </c>
      <c r="T959" s="238">
        <v>38.1</v>
      </c>
      <c r="U959" s="238">
        <v>1.9</v>
      </c>
      <c r="V959" s="238">
        <v>0.0</v>
      </c>
      <c r="W959" s="238">
        <v>0.0</v>
      </c>
      <c r="X959" s="235" t="s">
        <v>628</v>
      </c>
      <c r="Z959" s="244"/>
      <c r="AA959" s="244"/>
      <c r="AB959" s="244"/>
      <c r="AC959" s="235" t="s">
        <v>8163</v>
      </c>
      <c r="AD959" s="235" t="s">
        <v>1499</v>
      </c>
      <c r="AE959" s="238">
        <v>481331.0</v>
      </c>
      <c r="AF959" s="235" t="s">
        <v>631</v>
      </c>
      <c r="AG959" s="244"/>
      <c r="AH959" s="244"/>
      <c r="AI959" s="245"/>
      <c r="AJ959" s="245"/>
      <c r="AK959" s="245"/>
      <c r="AL959" s="245"/>
      <c r="AM959" s="244"/>
      <c r="AN959" s="244"/>
      <c r="AO959" s="238">
        <v>0.0</v>
      </c>
      <c r="AP959" s="238">
        <v>-38.1</v>
      </c>
      <c r="AQ959" s="235" t="s">
        <v>632</v>
      </c>
      <c r="AR959" s="243">
        <v>3.71E11</v>
      </c>
      <c r="AS959" s="235" t="s">
        <v>3284</v>
      </c>
      <c r="AT959" s="235" t="s">
        <v>17</v>
      </c>
      <c r="AU959" s="235" t="s">
        <v>634</v>
      </c>
      <c r="AV959" s="246" t="s">
        <v>635</v>
      </c>
      <c r="AW959" s="242"/>
      <c r="AX959" s="242"/>
      <c r="AY959" s="231"/>
      <c r="AZ959" s="231"/>
      <c r="BA959" s="227"/>
      <c r="BB959" s="231"/>
      <c r="BC959" s="227"/>
      <c r="BD959" s="227"/>
      <c r="BE959" s="227"/>
      <c r="BF959" s="227"/>
    </row>
    <row r="960">
      <c r="A960" s="235" t="s">
        <v>8164</v>
      </c>
      <c r="C960" s="235" t="s">
        <v>8165</v>
      </c>
      <c r="D960" s="235" t="s">
        <v>8166</v>
      </c>
      <c r="E960" s="243">
        <v>6.56E13</v>
      </c>
      <c r="F960" s="245"/>
      <c r="G960" s="235" t="s">
        <v>8167</v>
      </c>
      <c r="H960" s="235" t="s">
        <v>8168</v>
      </c>
      <c r="I960" s="235" t="s">
        <v>8168</v>
      </c>
      <c r="J960" s="235" t="s">
        <v>8169</v>
      </c>
      <c r="K960" s="235" t="s">
        <v>8170</v>
      </c>
      <c r="N960" s="235" t="s">
        <v>71</v>
      </c>
      <c r="O960" s="235" t="s">
        <v>240</v>
      </c>
      <c r="P960" s="238">
        <v>1.0</v>
      </c>
      <c r="Q960" s="235" t="s">
        <v>627</v>
      </c>
      <c r="R960" s="238">
        <v>246.66</v>
      </c>
      <c r="S960" s="238">
        <v>12.34</v>
      </c>
      <c r="T960" s="238">
        <v>0.0</v>
      </c>
      <c r="U960" s="238">
        <v>0.0</v>
      </c>
      <c r="V960" s="238">
        <v>0.0</v>
      </c>
      <c r="W960" s="238">
        <v>0.0</v>
      </c>
      <c r="X960" s="235" t="s">
        <v>628</v>
      </c>
      <c r="Z960" s="244"/>
      <c r="AA960" s="244"/>
      <c r="AB960" s="244"/>
      <c r="AC960" s="235" t="s">
        <v>1604</v>
      </c>
      <c r="AD960" s="235" t="s">
        <v>845</v>
      </c>
      <c r="AE960" s="238">
        <v>400036.0</v>
      </c>
      <c r="AF960" s="235" t="s">
        <v>631</v>
      </c>
      <c r="AG960" s="244"/>
      <c r="AH960" s="244"/>
      <c r="AI960" s="245"/>
      <c r="AJ960" s="245"/>
      <c r="AK960" s="245"/>
      <c r="AL960" s="245"/>
      <c r="AM960" s="244"/>
      <c r="AN960" s="244"/>
      <c r="AO960" s="238">
        <v>0.0</v>
      </c>
      <c r="AP960" s="238">
        <v>0.0</v>
      </c>
      <c r="AQ960" s="235" t="s">
        <v>632</v>
      </c>
      <c r="AR960" s="243">
        <v>1.68E11</v>
      </c>
      <c r="AS960" s="235" t="s">
        <v>7913</v>
      </c>
      <c r="AT960" s="235" t="s">
        <v>16</v>
      </c>
      <c r="AU960" s="235" t="s">
        <v>634</v>
      </c>
      <c r="AV960" s="246" t="s">
        <v>635</v>
      </c>
      <c r="AW960" s="242"/>
      <c r="AX960" s="242"/>
      <c r="AY960" s="231"/>
      <c r="AZ960" s="231"/>
      <c r="BA960" s="227"/>
      <c r="BB960" s="231"/>
      <c r="BC960" s="227"/>
      <c r="BD960" s="227"/>
      <c r="BE960" s="227"/>
      <c r="BF960" s="227"/>
    </row>
    <row r="961">
      <c r="A961" s="235" t="s">
        <v>8171</v>
      </c>
      <c r="C961" s="235" t="s">
        <v>8172</v>
      </c>
      <c r="D961" s="235" t="s">
        <v>8173</v>
      </c>
      <c r="E961" s="243">
        <v>6.56E13</v>
      </c>
      <c r="F961" s="245"/>
      <c r="G961" s="235" t="s">
        <v>8174</v>
      </c>
      <c r="H961" s="235" t="s">
        <v>8175</v>
      </c>
      <c r="I961" s="235" t="s">
        <v>8175</v>
      </c>
      <c r="J961" s="235" t="s">
        <v>8176</v>
      </c>
      <c r="K961" s="235" t="s">
        <v>8177</v>
      </c>
      <c r="N961" s="235" t="s">
        <v>92</v>
      </c>
      <c r="O961" s="235" t="s">
        <v>248</v>
      </c>
      <c r="P961" s="238">
        <v>1.0</v>
      </c>
      <c r="Q961" s="235" t="s">
        <v>627</v>
      </c>
      <c r="R961" s="238">
        <v>246.66</v>
      </c>
      <c r="S961" s="238">
        <v>12.34</v>
      </c>
      <c r="T961" s="238">
        <v>0.0</v>
      </c>
      <c r="U961" s="238">
        <v>0.0</v>
      </c>
      <c r="V961" s="238">
        <v>0.0</v>
      </c>
      <c r="W961" s="238">
        <v>0.0</v>
      </c>
      <c r="X961" s="235" t="s">
        <v>628</v>
      </c>
      <c r="Z961" s="244"/>
      <c r="AA961" s="244"/>
      <c r="AB961" s="244"/>
      <c r="AC961" s="235" t="s">
        <v>678</v>
      </c>
      <c r="AD961" s="235" t="s">
        <v>679</v>
      </c>
      <c r="AE961" s="238">
        <v>560045.0</v>
      </c>
      <c r="AF961" s="235" t="s">
        <v>631</v>
      </c>
      <c r="AG961" s="244"/>
      <c r="AH961" s="244"/>
      <c r="AI961" s="245"/>
      <c r="AJ961" s="245"/>
      <c r="AK961" s="245"/>
      <c r="AL961" s="245"/>
      <c r="AM961" s="244"/>
      <c r="AN961" s="244"/>
      <c r="AO961" s="238">
        <v>0.0</v>
      </c>
      <c r="AP961" s="238">
        <v>0.0</v>
      </c>
      <c r="AQ961" s="235" t="s">
        <v>632</v>
      </c>
      <c r="AR961" s="243">
        <v>1.68E11</v>
      </c>
      <c r="AS961" s="235" t="s">
        <v>7913</v>
      </c>
      <c r="AT961" s="235" t="s">
        <v>11</v>
      </c>
      <c r="AU961" s="235" t="s">
        <v>634</v>
      </c>
      <c r="AV961" s="246" t="s">
        <v>635</v>
      </c>
      <c r="AW961" s="242"/>
      <c r="AX961" s="242"/>
      <c r="AY961" s="231"/>
      <c r="AZ961" s="231"/>
      <c r="BA961" s="227"/>
      <c r="BB961" s="231"/>
      <c r="BC961" s="227"/>
      <c r="BD961" s="227"/>
      <c r="BE961" s="227"/>
      <c r="BF961" s="227"/>
    </row>
    <row r="962">
      <c r="A962" s="235" t="s">
        <v>8178</v>
      </c>
      <c r="C962" s="235" t="s">
        <v>8179</v>
      </c>
      <c r="D962" s="235" t="s">
        <v>8180</v>
      </c>
      <c r="E962" s="243">
        <v>6.56E13</v>
      </c>
      <c r="F962" s="245"/>
      <c r="G962" s="235" t="s">
        <v>8181</v>
      </c>
      <c r="H962" s="235" t="s">
        <v>8182</v>
      </c>
      <c r="I962" s="235" t="s">
        <v>8182</v>
      </c>
      <c r="J962" s="235" t="s">
        <v>8176</v>
      </c>
      <c r="K962" s="235" t="s">
        <v>8183</v>
      </c>
      <c r="N962" s="235" t="s">
        <v>962</v>
      </c>
      <c r="O962" s="235" t="s">
        <v>963</v>
      </c>
      <c r="P962" s="238">
        <v>1.0</v>
      </c>
      <c r="Q962" s="235" t="s">
        <v>627</v>
      </c>
      <c r="R962" s="238">
        <v>246.66</v>
      </c>
      <c r="S962" s="238">
        <v>12.34</v>
      </c>
      <c r="T962" s="238">
        <v>94.28</v>
      </c>
      <c r="U962" s="238">
        <v>4.72</v>
      </c>
      <c r="V962" s="238">
        <v>0.0</v>
      </c>
      <c r="W962" s="238">
        <v>0.0</v>
      </c>
      <c r="X962" s="235" t="s">
        <v>628</v>
      </c>
      <c r="Z962" s="244"/>
      <c r="AA962" s="244"/>
      <c r="AB962" s="244"/>
      <c r="AC962" s="235" t="s">
        <v>678</v>
      </c>
      <c r="AD962" s="235" t="s">
        <v>679</v>
      </c>
      <c r="AE962" s="238">
        <v>560022.0</v>
      </c>
      <c r="AF962" s="235" t="s">
        <v>631</v>
      </c>
      <c r="AG962" s="244"/>
      <c r="AH962" s="244"/>
      <c r="AI962" s="245"/>
      <c r="AJ962" s="245"/>
      <c r="AK962" s="245"/>
      <c r="AL962" s="245"/>
      <c r="AM962" s="244"/>
      <c r="AN962" s="244"/>
      <c r="AO962" s="238">
        <v>0.0</v>
      </c>
      <c r="AP962" s="238">
        <v>-94.28</v>
      </c>
      <c r="AQ962" s="235" t="s">
        <v>632</v>
      </c>
      <c r="AR962" s="243">
        <v>1.68E11</v>
      </c>
      <c r="AS962" s="235" t="s">
        <v>7913</v>
      </c>
      <c r="AT962" s="235" t="s">
        <v>11</v>
      </c>
      <c r="AU962" s="235" t="s">
        <v>634</v>
      </c>
      <c r="AV962" s="246" t="s">
        <v>635</v>
      </c>
      <c r="AW962" s="242"/>
      <c r="AX962" s="242"/>
      <c r="AY962" s="231"/>
      <c r="AZ962" s="231"/>
      <c r="BA962" s="227"/>
      <c r="BB962" s="231"/>
      <c r="BC962" s="227"/>
      <c r="BD962" s="227"/>
      <c r="BE962" s="227"/>
      <c r="BF962" s="227"/>
    </row>
    <row r="963">
      <c r="A963" s="235" t="s">
        <v>8184</v>
      </c>
      <c r="C963" s="235" t="s">
        <v>8185</v>
      </c>
      <c r="D963" s="235" t="s">
        <v>8186</v>
      </c>
      <c r="E963" s="243">
        <v>6.56E13</v>
      </c>
      <c r="F963" s="245"/>
      <c r="G963" s="235" t="s">
        <v>8187</v>
      </c>
      <c r="H963" s="235" t="s">
        <v>8188</v>
      </c>
      <c r="I963" s="235" t="s">
        <v>8189</v>
      </c>
      <c r="J963" s="235" t="s">
        <v>8190</v>
      </c>
      <c r="K963" s="235" t="s">
        <v>8191</v>
      </c>
      <c r="N963" s="235" t="s">
        <v>30</v>
      </c>
      <c r="O963" s="235" t="s">
        <v>692</v>
      </c>
      <c r="P963" s="238">
        <v>1.0</v>
      </c>
      <c r="Q963" s="235" t="s">
        <v>627</v>
      </c>
      <c r="R963" s="238">
        <v>446.66</v>
      </c>
      <c r="S963" s="238">
        <v>21.9</v>
      </c>
      <c r="T963" s="238">
        <v>0.0</v>
      </c>
      <c r="U963" s="238">
        <v>0.0</v>
      </c>
      <c r="V963" s="238">
        <v>0.0</v>
      </c>
      <c r="W963" s="238">
        <v>0.0</v>
      </c>
      <c r="X963" s="235" t="s">
        <v>628</v>
      </c>
      <c r="Z963" s="244"/>
      <c r="AA963" s="244"/>
      <c r="AB963" s="244"/>
      <c r="AC963" s="235" t="s">
        <v>1800</v>
      </c>
      <c r="AD963" s="235" t="s">
        <v>845</v>
      </c>
      <c r="AE963" s="238">
        <v>421302.0</v>
      </c>
      <c r="AF963" s="235" t="s">
        <v>631</v>
      </c>
      <c r="AG963" s="244"/>
      <c r="AH963" s="244"/>
      <c r="AI963" s="245"/>
      <c r="AJ963" s="245"/>
      <c r="AK963" s="245"/>
      <c r="AL963" s="245"/>
      <c r="AM963" s="244"/>
      <c r="AN963" s="244"/>
      <c r="AO963" s="238">
        <v>-8.94</v>
      </c>
      <c r="AP963" s="238">
        <v>0.0</v>
      </c>
      <c r="AQ963" s="235" t="s">
        <v>632</v>
      </c>
      <c r="AR963" s="243">
        <v>3.71E11</v>
      </c>
      <c r="AS963" s="235" t="s">
        <v>6164</v>
      </c>
      <c r="AT963" s="235" t="s">
        <v>546</v>
      </c>
      <c r="AU963" s="235" t="s">
        <v>634</v>
      </c>
      <c r="AV963" s="246" t="s">
        <v>635</v>
      </c>
      <c r="AW963" s="242"/>
      <c r="AX963" s="242"/>
      <c r="AY963" s="231"/>
      <c r="AZ963" s="231"/>
      <c r="BA963" s="227"/>
      <c r="BB963" s="231"/>
      <c r="BC963" s="227"/>
      <c r="BD963" s="227"/>
      <c r="BE963" s="227"/>
      <c r="BF963" s="227"/>
    </row>
    <row r="964">
      <c r="A964" s="235" t="s">
        <v>8192</v>
      </c>
      <c r="C964" s="235" t="s">
        <v>8193</v>
      </c>
      <c r="D964" s="235" t="s">
        <v>8194</v>
      </c>
      <c r="E964" s="243">
        <v>6.56E13</v>
      </c>
      <c r="F964" s="245"/>
      <c r="G964" s="235" t="s">
        <v>8195</v>
      </c>
      <c r="H964" s="235" t="s">
        <v>8196</v>
      </c>
      <c r="I964" s="235" t="s">
        <v>8196</v>
      </c>
      <c r="J964" s="235" t="s">
        <v>8197</v>
      </c>
      <c r="K964" s="235" t="s">
        <v>8198</v>
      </c>
      <c r="N964" s="235" t="s">
        <v>127</v>
      </c>
      <c r="O964" s="235" t="s">
        <v>794</v>
      </c>
      <c r="P964" s="238">
        <v>1.0</v>
      </c>
      <c r="Q964" s="235" t="s">
        <v>627</v>
      </c>
      <c r="R964" s="238">
        <v>246.67</v>
      </c>
      <c r="S964" s="238">
        <v>12.33</v>
      </c>
      <c r="T964" s="238">
        <v>38.1</v>
      </c>
      <c r="U964" s="238">
        <v>1.9</v>
      </c>
      <c r="V964" s="238">
        <v>0.0</v>
      </c>
      <c r="W964" s="238">
        <v>0.0</v>
      </c>
      <c r="X964" s="235" t="s">
        <v>628</v>
      </c>
      <c r="Z964" s="244"/>
      <c r="AA964" s="244"/>
      <c r="AB964" s="244"/>
      <c r="AC964" s="235" t="s">
        <v>8199</v>
      </c>
      <c r="AD964" s="235" t="s">
        <v>3113</v>
      </c>
      <c r="AE964" s="238">
        <v>491888.0</v>
      </c>
      <c r="AF964" s="235" t="s">
        <v>631</v>
      </c>
      <c r="AG964" s="244"/>
      <c r="AH964" s="244"/>
      <c r="AI964" s="245"/>
      <c r="AJ964" s="245"/>
      <c r="AK964" s="245"/>
      <c r="AL964" s="245"/>
      <c r="AM964" s="244"/>
      <c r="AN964" s="244"/>
      <c r="AO964" s="238">
        <v>0.0</v>
      </c>
      <c r="AP964" s="238">
        <v>-38.1</v>
      </c>
      <c r="AQ964" s="235" t="s">
        <v>632</v>
      </c>
      <c r="AR964" s="243">
        <v>3.71E11</v>
      </c>
      <c r="AS964" s="235" t="s">
        <v>2276</v>
      </c>
      <c r="AT964" s="235" t="s">
        <v>17</v>
      </c>
      <c r="AU964" s="235" t="s">
        <v>634</v>
      </c>
      <c r="AV964" s="246" t="s">
        <v>635</v>
      </c>
      <c r="AW964" s="242"/>
      <c r="AX964" s="242"/>
      <c r="AY964" s="231"/>
      <c r="AZ964" s="231"/>
      <c r="BA964" s="227"/>
      <c r="BB964" s="231"/>
      <c r="BC964" s="227"/>
      <c r="BD964" s="227"/>
      <c r="BE964" s="227"/>
      <c r="BF964" s="227"/>
    </row>
    <row r="965">
      <c r="A965" s="235" t="s">
        <v>8200</v>
      </c>
      <c r="C965" s="235" t="s">
        <v>8201</v>
      </c>
      <c r="D965" s="235" t="s">
        <v>8202</v>
      </c>
      <c r="E965" s="243">
        <v>6.55E13</v>
      </c>
      <c r="F965" s="245"/>
      <c r="G965" s="235" t="s">
        <v>8203</v>
      </c>
      <c r="H965" s="235" t="s">
        <v>8204</v>
      </c>
      <c r="I965" s="235" t="s">
        <v>8204</v>
      </c>
      <c r="J965" s="235" t="s">
        <v>8205</v>
      </c>
      <c r="K965" s="235" t="s">
        <v>8206</v>
      </c>
      <c r="N965" s="235" t="s">
        <v>98</v>
      </c>
      <c r="O965" s="235" t="s">
        <v>357</v>
      </c>
      <c r="P965" s="238">
        <v>1.0</v>
      </c>
      <c r="Q965" s="235" t="s">
        <v>627</v>
      </c>
      <c r="R965" s="238">
        <v>246.66</v>
      </c>
      <c r="S965" s="238">
        <v>12.34</v>
      </c>
      <c r="T965" s="238">
        <v>0.0</v>
      </c>
      <c r="U965" s="238">
        <v>0.0</v>
      </c>
      <c r="V965" s="238">
        <v>0.0</v>
      </c>
      <c r="W965" s="238">
        <v>0.0</v>
      </c>
      <c r="X965" s="235" t="s">
        <v>628</v>
      </c>
      <c r="Z965" s="244"/>
      <c r="AA965" s="244"/>
      <c r="AB965" s="244"/>
      <c r="AC965" s="235" t="s">
        <v>1255</v>
      </c>
      <c r="AD965" s="235" t="s">
        <v>845</v>
      </c>
      <c r="AE965" s="238">
        <v>400606.0</v>
      </c>
      <c r="AF965" s="235" t="s">
        <v>631</v>
      </c>
      <c r="AG965" s="244"/>
      <c r="AH965" s="244"/>
      <c r="AI965" s="245"/>
      <c r="AJ965" s="245"/>
      <c r="AK965" s="245"/>
      <c r="AL965" s="245"/>
      <c r="AM965" s="244"/>
      <c r="AN965" s="244"/>
      <c r="AO965" s="238">
        <v>0.0</v>
      </c>
      <c r="AP965" s="238">
        <v>0.0</v>
      </c>
      <c r="AQ965" s="235" t="s">
        <v>632</v>
      </c>
      <c r="AR965" s="243">
        <v>1.68E11</v>
      </c>
      <c r="AS965" s="235" t="s">
        <v>7365</v>
      </c>
      <c r="AT965" s="235" t="s">
        <v>546</v>
      </c>
      <c r="AU965" s="235" t="s">
        <v>634</v>
      </c>
      <c r="AV965" s="246" t="s">
        <v>635</v>
      </c>
      <c r="AW965" s="242"/>
      <c r="AX965" s="242"/>
      <c r="AY965" s="231"/>
      <c r="AZ965" s="231"/>
      <c r="BA965" s="227"/>
      <c r="BB965" s="231"/>
      <c r="BC965" s="227"/>
      <c r="BD965" s="227"/>
      <c r="BE965" s="227"/>
      <c r="BF965" s="227"/>
    </row>
    <row r="966">
      <c r="A966" s="235" t="s">
        <v>8207</v>
      </c>
      <c r="C966" s="235" t="s">
        <v>8208</v>
      </c>
      <c r="D966" s="235" t="s">
        <v>8209</v>
      </c>
      <c r="E966" s="243">
        <v>6.56E13</v>
      </c>
      <c r="F966" s="245"/>
      <c r="G966" s="235" t="s">
        <v>8210</v>
      </c>
      <c r="H966" s="235" t="s">
        <v>8211</v>
      </c>
      <c r="I966" s="235" t="s">
        <v>8211</v>
      </c>
      <c r="J966" s="235" t="s">
        <v>8212</v>
      </c>
      <c r="K966" s="235" t="s">
        <v>8213</v>
      </c>
      <c r="N966" s="235" t="s">
        <v>27</v>
      </c>
      <c r="O966" s="235" t="s">
        <v>573</v>
      </c>
      <c r="P966" s="238">
        <v>1.0</v>
      </c>
      <c r="Q966" s="235" t="s">
        <v>627</v>
      </c>
      <c r="R966" s="238">
        <v>360.95</v>
      </c>
      <c r="S966" s="238">
        <v>18.05</v>
      </c>
      <c r="T966" s="238">
        <v>38.1</v>
      </c>
      <c r="U966" s="238">
        <v>1.9</v>
      </c>
      <c r="V966" s="238">
        <v>0.0</v>
      </c>
      <c r="W966" s="238">
        <v>0.0</v>
      </c>
      <c r="X966" s="235" t="s">
        <v>628</v>
      </c>
      <c r="Z966" s="244"/>
      <c r="AA966" s="244"/>
      <c r="AB966" s="244"/>
      <c r="AC966" s="235" t="s">
        <v>8214</v>
      </c>
      <c r="AD966" s="235" t="s">
        <v>645</v>
      </c>
      <c r="AE966" s="238">
        <v>676553.0</v>
      </c>
      <c r="AF966" s="235" t="s">
        <v>631</v>
      </c>
      <c r="AG966" s="244"/>
      <c r="AH966" s="244"/>
      <c r="AI966" s="245"/>
      <c r="AJ966" s="245"/>
      <c r="AK966" s="245"/>
      <c r="AL966" s="245"/>
      <c r="AM966" s="244"/>
      <c r="AN966" s="244"/>
      <c r="AO966" s="238">
        <v>0.0</v>
      </c>
      <c r="AP966" s="238">
        <v>-38.1</v>
      </c>
      <c r="AQ966" s="235" t="s">
        <v>632</v>
      </c>
      <c r="AR966" s="243">
        <v>3.71E11</v>
      </c>
      <c r="AS966" s="235" t="s">
        <v>7365</v>
      </c>
      <c r="AT966" s="235" t="s">
        <v>155</v>
      </c>
      <c r="AU966" s="235" t="s">
        <v>634</v>
      </c>
      <c r="AV966" s="246" t="s">
        <v>635</v>
      </c>
      <c r="AW966" s="242"/>
      <c r="AX966" s="242"/>
      <c r="AY966" s="231"/>
      <c r="AZ966" s="231"/>
      <c r="BA966" s="227"/>
      <c r="BB966" s="231"/>
      <c r="BC966" s="227"/>
      <c r="BD966" s="227"/>
      <c r="BE966" s="227"/>
      <c r="BF966" s="227"/>
    </row>
    <row r="967">
      <c r="A967" s="235" t="s">
        <v>8215</v>
      </c>
      <c r="C967" s="235" t="s">
        <v>8216</v>
      </c>
      <c r="D967" s="235" t="s">
        <v>8217</v>
      </c>
      <c r="E967" s="243">
        <v>6.56E13</v>
      </c>
      <c r="F967" s="245"/>
      <c r="G967" s="235" t="s">
        <v>8218</v>
      </c>
      <c r="H967" s="235" t="s">
        <v>8219</v>
      </c>
      <c r="I967" s="235" t="s">
        <v>8219</v>
      </c>
      <c r="J967" s="235" t="s">
        <v>8220</v>
      </c>
      <c r="K967" s="235" t="s">
        <v>8221</v>
      </c>
      <c r="N967" s="235" t="s">
        <v>78</v>
      </c>
      <c r="O967" s="235" t="s">
        <v>360</v>
      </c>
      <c r="P967" s="238">
        <v>1.0</v>
      </c>
      <c r="Q967" s="235" t="s">
        <v>627</v>
      </c>
      <c r="R967" s="238">
        <v>360.95</v>
      </c>
      <c r="S967" s="238">
        <v>17.51</v>
      </c>
      <c r="T967" s="238">
        <v>38.1</v>
      </c>
      <c r="U967" s="238">
        <v>1.9</v>
      </c>
      <c r="V967" s="238">
        <v>0.0</v>
      </c>
      <c r="W967" s="238">
        <v>0.0</v>
      </c>
      <c r="X967" s="235" t="s">
        <v>628</v>
      </c>
      <c r="Z967" s="244"/>
      <c r="AA967" s="244"/>
      <c r="AB967" s="244"/>
      <c r="AC967" s="235" t="s">
        <v>2228</v>
      </c>
      <c r="AD967" s="235" t="s">
        <v>1151</v>
      </c>
      <c r="AE967" s="238">
        <v>700136.0</v>
      </c>
      <c r="AF967" s="235" t="s">
        <v>631</v>
      </c>
      <c r="AG967" s="244"/>
      <c r="AH967" s="244"/>
      <c r="AI967" s="245"/>
      <c r="AJ967" s="245"/>
      <c r="AK967" s="245"/>
      <c r="AL967" s="245"/>
      <c r="AM967" s="244"/>
      <c r="AN967" s="244"/>
      <c r="AO967" s="238">
        <v>-10.83</v>
      </c>
      <c r="AP967" s="238">
        <v>-38.1</v>
      </c>
      <c r="AQ967" s="235" t="s">
        <v>632</v>
      </c>
      <c r="AR967" s="243">
        <v>3.71E11</v>
      </c>
      <c r="AS967" s="235" t="s">
        <v>3284</v>
      </c>
      <c r="AT967" s="235" t="s">
        <v>11</v>
      </c>
      <c r="AU967" s="235" t="s">
        <v>634</v>
      </c>
      <c r="AV967" s="246" t="s">
        <v>635</v>
      </c>
      <c r="AW967" s="242"/>
      <c r="AX967" s="242"/>
      <c r="AY967" s="231"/>
      <c r="AZ967" s="231"/>
      <c r="BA967" s="227"/>
      <c r="BB967" s="231"/>
      <c r="BC967" s="227"/>
      <c r="BD967" s="227"/>
      <c r="BE967" s="227"/>
      <c r="BF967" s="227"/>
    </row>
    <row r="968">
      <c r="A968" s="235" t="s">
        <v>8215</v>
      </c>
      <c r="C968" s="235" t="s">
        <v>8216</v>
      </c>
      <c r="D968" s="235" t="s">
        <v>8222</v>
      </c>
      <c r="E968" s="243">
        <v>6.56E13</v>
      </c>
      <c r="F968" s="245"/>
      <c r="G968" s="235" t="s">
        <v>8218</v>
      </c>
      <c r="H968" s="235" t="s">
        <v>8219</v>
      </c>
      <c r="I968" s="235" t="s">
        <v>8219</v>
      </c>
      <c r="J968" s="235" t="s">
        <v>8220</v>
      </c>
      <c r="K968" s="235" t="s">
        <v>8221</v>
      </c>
      <c r="N968" s="235" t="s">
        <v>78</v>
      </c>
      <c r="O968" s="235" t="s">
        <v>360</v>
      </c>
      <c r="P968" s="238">
        <v>1.0</v>
      </c>
      <c r="Q968" s="235" t="s">
        <v>627</v>
      </c>
      <c r="R968" s="238">
        <v>360.95</v>
      </c>
      <c r="S968" s="238">
        <v>17.51</v>
      </c>
      <c r="T968" s="238">
        <v>38.1</v>
      </c>
      <c r="U968" s="238">
        <v>1.9</v>
      </c>
      <c r="V968" s="238">
        <v>0.0</v>
      </c>
      <c r="W968" s="238">
        <v>0.0</v>
      </c>
      <c r="X968" s="235" t="s">
        <v>628</v>
      </c>
      <c r="Z968" s="244"/>
      <c r="AA968" s="244"/>
      <c r="AB968" s="244"/>
      <c r="AC968" s="235" t="s">
        <v>2228</v>
      </c>
      <c r="AD968" s="235" t="s">
        <v>1151</v>
      </c>
      <c r="AE968" s="238">
        <v>700136.0</v>
      </c>
      <c r="AF968" s="235" t="s">
        <v>631</v>
      </c>
      <c r="AG968" s="244"/>
      <c r="AH968" s="244"/>
      <c r="AI968" s="245"/>
      <c r="AJ968" s="245"/>
      <c r="AK968" s="245"/>
      <c r="AL968" s="245"/>
      <c r="AM968" s="244"/>
      <c r="AN968" s="244"/>
      <c r="AO968" s="238">
        <v>-10.83</v>
      </c>
      <c r="AP968" s="238">
        <v>-38.1</v>
      </c>
      <c r="AQ968" s="235" t="s">
        <v>632</v>
      </c>
      <c r="AR968" s="243">
        <v>3.71E11</v>
      </c>
      <c r="AS968" s="235" t="s">
        <v>3284</v>
      </c>
      <c r="AT968" s="235" t="s">
        <v>11</v>
      </c>
      <c r="AU968" s="235" t="s">
        <v>634</v>
      </c>
      <c r="AV968" s="246" t="s">
        <v>635</v>
      </c>
      <c r="AW968" s="242"/>
      <c r="AX968" s="242"/>
      <c r="AY968" s="231"/>
      <c r="AZ968" s="231"/>
      <c r="BA968" s="227"/>
      <c r="BB968" s="231"/>
      <c r="BC968" s="227"/>
      <c r="BD968" s="227"/>
      <c r="BE968" s="227"/>
      <c r="BF968" s="227"/>
    </row>
    <row r="969">
      <c r="A969" s="235" t="s">
        <v>8215</v>
      </c>
      <c r="C969" s="235" t="s">
        <v>8216</v>
      </c>
      <c r="D969" s="235" t="s">
        <v>8223</v>
      </c>
      <c r="E969" s="243">
        <v>6.56E13</v>
      </c>
      <c r="F969" s="245"/>
      <c r="G969" s="235" t="s">
        <v>8218</v>
      </c>
      <c r="H969" s="235" t="s">
        <v>8219</v>
      </c>
      <c r="I969" s="235" t="s">
        <v>8219</v>
      </c>
      <c r="J969" s="235" t="s">
        <v>8220</v>
      </c>
      <c r="K969" s="235" t="s">
        <v>8221</v>
      </c>
      <c r="N969" s="235" t="s">
        <v>78</v>
      </c>
      <c r="O969" s="235" t="s">
        <v>360</v>
      </c>
      <c r="P969" s="238">
        <v>1.0</v>
      </c>
      <c r="Q969" s="235" t="s">
        <v>627</v>
      </c>
      <c r="R969" s="238">
        <v>360.95</v>
      </c>
      <c r="S969" s="238">
        <v>17.51</v>
      </c>
      <c r="T969" s="238">
        <v>38.1</v>
      </c>
      <c r="U969" s="238">
        <v>1.9</v>
      </c>
      <c r="V969" s="238">
        <v>0.0</v>
      </c>
      <c r="W969" s="238">
        <v>0.0</v>
      </c>
      <c r="X969" s="235" t="s">
        <v>628</v>
      </c>
      <c r="Z969" s="244"/>
      <c r="AA969" s="244"/>
      <c r="AB969" s="244"/>
      <c r="AC969" s="235" t="s">
        <v>2228</v>
      </c>
      <c r="AD969" s="235" t="s">
        <v>1151</v>
      </c>
      <c r="AE969" s="238">
        <v>700136.0</v>
      </c>
      <c r="AF969" s="235" t="s">
        <v>631</v>
      </c>
      <c r="AG969" s="244"/>
      <c r="AH969" s="244"/>
      <c r="AI969" s="245"/>
      <c r="AJ969" s="245"/>
      <c r="AK969" s="245"/>
      <c r="AL969" s="245"/>
      <c r="AM969" s="244"/>
      <c r="AN969" s="244"/>
      <c r="AO969" s="238">
        <v>-10.83</v>
      </c>
      <c r="AP969" s="238">
        <v>-38.1</v>
      </c>
      <c r="AQ969" s="235" t="s">
        <v>632</v>
      </c>
      <c r="AR969" s="243">
        <v>3.71E11</v>
      </c>
      <c r="AS969" s="235" t="s">
        <v>3284</v>
      </c>
      <c r="AT969" s="235" t="s">
        <v>11</v>
      </c>
      <c r="AU969" s="235" t="s">
        <v>634</v>
      </c>
      <c r="AV969" s="246" t="s">
        <v>635</v>
      </c>
      <c r="AW969" s="242"/>
      <c r="AX969" s="242"/>
      <c r="AY969" s="231"/>
      <c r="AZ969" s="231"/>
      <c r="BA969" s="227"/>
      <c r="BB969" s="231"/>
      <c r="BC969" s="227"/>
      <c r="BD969" s="227"/>
      <c r="BE969" s="227"/>
      <c r="BF969" s="227"/>
    </row>
    <row r="970">
      <c r="A970" s="235" t="s">
        <v>8224</v>
      </c>
      <c r="C970" s="235" t="s">
        <v>8225</v>
      </c>
      <c r="D970" s="235" t="s">
        <v>8226</v>
      </c>
      <c r="E970" s="243">
        <v>6.56E13</v>
      </c>
      <c r="F970" s="245"/>
      <c r="G970" s="235" t="s">
        <v>8227</v>
      </c>
      <c r="H970" s="235" t="s">
        <v>8228</v>
      </c>
      <c r="I970" s="235" t="s">
        <v>8228</v>
      </c>
      <c r="J970" s="235" t="s">
        <v>8229</v>
      </c>
      <c r="K970" s="235" t="s">
        <v>8230</v>
      </c>
      <c r="N970" s="235" t="s">
        <v>54</v>
      </c>
      <c r="O970" s="235" t="s">
        <v>294</v>
      </c>
      <c r="P970" s="238">
        <v>1.0</v>
      </c>
      <c r="Q970" s="235" t="s">
        <v>627</v>
      </c>
      <c r="R970" s="238">
        <v>246.67</v>
      </c>
      <c r="S970" s="238">
        <v>12.33</v>
      </c>
      <c r="T970" s="238">
        <v>38.1</v>
      </c>
      <c r="U970" s="238">
        <v>1.9</v>
      </c>
      <c r="V970" s="238">
        <v>0.0</v>
      </c>
      <c r="W970" s="238">
        <v>0.0</v>
      </c>
      <c r="X970" s="235" t="s">
        <v>628</v>
      </c>
      <c r="Z970" s="244"/>
      <c r="AA970" s="244"/>
      <c r="AB970" s="244"/>
      <c r="AC970" s="235" t="s">
        <v>8231</v>
      </c>
      <c r="AD970" s="235" t="s">
        <v>3113</v>
      </c>
      <c r="AE970" s="238">
        <v>491995.0</v>
      </c>
      <c r="AF970" s="235" t="s">
        <v>631</v>
      </c>
      <c r="AG970" s="244"/>
      <c r="AH970" s="244"/>
      <c r="AI970" s="245"/>
      <c r="AJ970" s="245"/>
      <c r="AK970" s="245"/>
      <c r="AL970" s="245"/>
      <c r="AM970" s="244"/>
      <c r="AN970" s="244"/>
      <c r="AO970" s="238">
        <v>0.0</v>
      </c>
      <c r="AP970" s="238">
        <v>-38.1</v>
      </c>
      <c r="AQ970" s="235" t="s">
        <v>632</v>
      </c>
      <c r="AR970" s="243">
        <v>3.71E11</v>
      </c>
      <c r="AS970" s="235" t="s">
        <v>2276</v>
      </c>
      <c r="AT970" s="235" t="s">
        <v>17</v>
      </c>
      <c r="AU970" s="235" t="s">
        <v>634</v>
      </c>
      <c r="AV970" s="246" t="s">
        <v>635</v>
      </c>
      <c r="AW970" s="242"/>
      <c r="AX970" s="242"/>
      <c r="AY970" s="231"/>
      <c r="AZ970" s="231"/>
      <c r="BA970" s="227"/>
      <c r="BB970" s="231"/>
      <c r="BC970" s="227"/>
      <c r="BD970" s="227"/>
      <c r="BE970" s="227"/>
      <c r="BF970" s="227"/>
    </row>
    <row r="971">
      <c r="A971" s="235" t="s">
        <v>8232</v>
      </c>
      <c r="C971" s="235" t="s">
        <v>8233</v>
      </c>
      <c r="D971" s="235" t="s">
        <v>8234</v>
      </c>
      <c r="E971" s="243">
        <v>6.56E13</v>
      </c>
      <c r="F971" s="245"/>
      <c r="G971" s="235" t="s">
        <v>8235</v>
      </c>
      <c r="H971" s="235" t="s">
        <v>8236</v>
      </c>
      <c r="I971" s="235" t="s">
        <v>8236</v>
      </c>
      <c r="J971" s="235" t="s">
        <v>8237</v>
      </c>
      <c r="K971" s="235" t="s">
        <v>8238</v>
      </c>
      <c r="N971" s="235" t="s">
        <v>90</v>
      </c>
      <c r="O971" s="235" t="s">
        <v>279</v>
      </c>
      <c r="P971" s="238">
        <v>1.0</v>
      </c>
      <c r="Q971" s="235" t="s">
        <v>627</v>
      </c>
      <c r="R971" s="238">
        <v>246.67</v>
      </c>
      <c r="S971" s="238">
        <v>12.33</v>
      </c>
      <c r="T971" s="238">
        <v>0.0</v>
      </c>
      <c r="U971" s="238">
        <v>0.0</v>
      </c>
      <c r="V971" s="238">
        <v>0.0</v>
      </c>
      <c r="W971" s="238">
        <v>0.0</v>
      </c>
      <c r="X971" s="235" t="s">
        <v>628</v>
      </c>
      <c r="Z971" s="244"/>
      <c r="AA971" s="244"/>
      <c r="AB971" s="244"/>
      <c r="AC971" s="235" t="s">
        <v>4664</v>
      </c>
      <c r="AD971" s="235" t="s">
        <v>698</v>
      </c>
      <c r="AE971" s="238">
        <v>506001.0</v>
      </c>
      <c r="AF971" s="235" t="s">
        <v>631</v>
      </c>
      <c r="AG971" s="244"/>
      <c r="AH971" s="244"/>
      <c r="AI971" s="245"/>
      <c r="AJ971" s="245"/>
      <c r="AK971" s="245"/>
      <c r="AL971" s="245"/>
      <c r="AM971" s="244"/>
      <c r="AN971" s="244"/>
      <c r="AO971" s="238">
        <v>0.0</v>
      </c>
      <c r="AP971" s="238">
        <v>0.0</v>
      </c>
      <c r="AQ971" s="235" t="s">
        <v>632</v>
      </c>
      <c r="AR971" s="243">
        <v>3.71E11</v>
      </c>
      <c r="AS971" s="235" t="s">
        <v>4697</v>
      </c>
      <c r="AT971" s="235" t="s">
        <v>546</v>
      </c>
      <c r="AU971" s="235" t="s">
        <v>634</v>
      </c>
      <c r="AV971" s="246" t="s">
        <v>635</v>
      </c>
      <c r="AW971" s="242"/>
      <c r="AX971" s="242"/>
      <c r="AY971" s="231"/>
      <c r="AZ971" s="231"/>
      <c r="BA971" s="227"/>
      <c r="BB971" s="231"/>
      <c r="BC971" s="227"/>
      <c r="BD971" s="227"/>
      <c r="BE971" s="227"/>
      <c r="BF971" s="227"/>
    </row>
    <row r="972">
      <c r="A972" s="235" t="s">
        <v>8239</v>
      </c>
      <c r="C972" s="235" t="s">
        <v>8240</v>
      </c>
      <c r="D972" s="235" t="s">
        <v>8241</v>
      </c>
      <c r="E972" s="243">
        <v>6.56E13</v>
      </c>
      <c r="F972" s="245"/>
      <c r="G972" s="235" t="s">
        <v>8242</v>
      </c>
      <c r="H972" s="235" t="s">
        <v>8243</v>
      </c>
      <c r="I972" s="235" t="s">
        <v>8243</v>
      </c>
      <c r="J972" s="235" t="s">
        <v>8244</v>
      </c>
      <c r="K972" s="235" t="s">
        <v>8245</v>
      </c>
      <c r="N972" s="235" t="s">
        <v>85</v>
      </c>
      <c r="O972" s="235" t="s">
        <v>872</v>
      </c>
      <c r="P972" s="238">
        <v>1.0</v>
      </c>
      <c r="Q972" s="235" t="s">
        <v>627</v>
      </c>
      <c r="R972" s="238">
        <v>242.86</v>
      </c>
      <c r="S972" s="238">
        <v>12.14</v>
      </c>
      <c r="T972" s="238">
        <v>0.0</v>
      </c>
      <c r="U972" s="238">
        <v>0.0</v>
      </c>
      <c r="V972" s="238">
        <v>0.0</v>
      </c>
      <c r="W972" s="238">
        <v>0.0</v>
      </c>
      <c r="X972" s="235" t="s">
        <v>628</v>
      </c>
      <c r="Z972" s="244"/>
      <c r="AA972" s="244"/>
      <c r="AB972" s="244"/>
      <c r="AC972" s="235" t="s">
        <v>1058</v>
      </c>
      <c r="AD972" s="235" t="s">
        <v>845</v>
      </c>
      <c r="AE972" s="238">
        <v>400059.0</v>
      </c>
      <c r="AF972" s="235" t="s">
        <v>631</v>
      </c>
      <c r="AG972" s="244"/>
      <c r="AH972" s="244"/>
      <c r="AI972" s="245"/>
      <c r="AJ972" s="245"/>
      <c r="AK972" s="245"/>
      <c r="AL972" s="245"/>
      <c r="AM972" s="244"/>
      <c r="AN972" s="244"/>
      <c r="AO972" s="238">
        <v>0.0</v>
      </c>
      <c r="AP972" s="238">
        <v>0.0</v>
      </c>
      <c r="AQ972" s="235" t="s">
        <v>632</v>
      </c>
      <c r="AR972" s="243">
        <v>1.68E11</v>
      </c>
      <c r="AS972" s="235" t="s">
        <v>7913</v>
      </c>
      <c r="AT972" s="235" t="s">
        <v>16</v>
      </c>
      <c r="AU972" s="235" t="s">
        <v>634</v>
      </c>
      <c r="AV972" s="246" t="s">
        <v>635</v>
      </c>
      <c r="AW972" s="242"/>
      <c r="AX972" s="242"/>
      <c r="AY972" s="231"/>
      <c r="AZ972" s="231"/>
      <c r="BA972" s="227"/>
      <c r="BB972" s="231"/>
      <c r="BC972" s="227"/>
      <c r="BD972" s="227"/>
      <c r="BE972" s="227"/>
      <c r="BF972" s="227"/>
    </row>
    <row r="973">
      <c r="A973" s="235" t="s">
        <v>8246</v>
      </c>
      <c r="C973" s="235" t="s">
        <v>8247</v>
      </c>
      <c r="D973" s="235" t="s">
        <v>8248</v>
      </c>
      <c r="E973" s="243">
        <v>6.56E13</v>
      </c>
      <c r="F973" s="245"/>
      <c r="G973" s="235" t="s">
        <v>8249</v>
      </c>
      <c r="H973" s="235" t="s">
        <v>8250</v>
      </c>
      <c r="I973" s="235" t="s">
        <v>8250</v>
      </c>
      <c r="J973" s="235" t="s">
        <v>8251</v>
      </c>
      <c r="K973" s="235" t="s">
        <v>8252</v>
      </c>
      <c r="N973" s="235" t="s">
        <v>154</v>
      </c>
      <c r="O973" s="235" t="s">
        <v>766</v>
      </c>
      <c r="P973" s="238">
        <v>1.0</v>
      </c>
      <c r="Q973" s="235" t="s">
        <v>627</v>
      </c>
      <c r="R973" s="238">
        <v>465.71</v>
      </c>
      <c r="S973" s="238">
        <v>23.29</v>
      </c>
      <c r="T973" s="238">
        <v>0.0</v>
      </c>
      <c r="U973" s="238">
        <v>0.0</v>
      </c>
      <c r="V973" s="238">
        <v>0.0</v>
      </c>
      <c r="W973" s="238">
        <v>0.0</v>
      </c>
      <c r="X973" s="235" t="s">
        <v>628</v>
      </c>
      <c r="Z973" s="244"/>
      <c r="AA973" s="244"/>
      <c r="AB973" s="244"/>
      <c r="AC973" s="235" t="s">
        <v>4420</v>
      </c>
      <c r="AD973" s="235" t="s">
        <v>630</v>
      </c>
      <c r="AE973" s="238">
        <v>208013.0</v>
      </c>
      <c r="AF973" s="235" t="s">
        <v>631</v>
      </c>
      <c r="AG973" s="244"/>
      <c r="AH973" s="244"/>
      <c r="AI973" s="245"/>
      <c r="AJ973" s="245"/>
      <c r="AK973" s="245"/>
      <c r="AL973" s="245"/>
      <c r="AM973" s="244"/>
      <c r="AN973" s="244"/>
      <c r="AO973" s="238">
        <v>0.0</v>
      </c>
      <c r="AP973" s="238">
        <v>0.0</v>
      </c>
      <c r="AQ973" s="235" t="s">
        <v>632</v>
      </c>
      <c r="AR973" s="243">
        <v>3.71E11</v>
      </c>
      <c r="AS973" s="235" t="s">
        <v>6164</v>
      </c>
      <c r="AT973" s="235" t="s">
        <v>13</v>
      </c>
      <c r="AU973" s="235" t="s">
        <v>634</v>
      </c>
      <c r="AV973" s="246" t="s">
        <v>635</v>
      </c>
      <c r="AW973" s="242"/>
      <c r="AX973" s="242"/>
      <c r="AY973" s="231"/>
      <c r="AZ973" s="231"/>
      <c r="BA973" s="227"/>
      <c r="BB973" s="231"/>
      <c r="BC973" s="227"/>
      <c r="BD973" s="227"/>
      <c r="BE973" s="227"/>
      <c r="BF973" s="227"/>
    </row>
    <row r="974">
      <c r="A974" s="235" t="s">
        <v>8253</v>
      </c>
      <c r="C974" s="235" t="s">
        <v>8254</v>
      </c>
      <c r="D974" s="235" t="s">
        <v>8255</v>
      </c>
      <c r="E974" s="243">
        <v>6.53E13</v>
      </c>
      <c r="F974" s="245"/>
      <c r="G974" s="235" t="s">
        <v>8256</v>
      </c>
      <c r="H974" s="235" t="s">
        <v>8257</v>
      </c>
      <c r="I974" s="235" t="s">
        <v>8258</v>
      </c>
      <c r="J974" s="235" t="s">
        <v>8259</v>
      </c>
      <c r="K974" s="235" t="s">
        <v>2605</v>
      </c>
      <c r="N974" s="235" t="s">
        <v>1346</v>
      </c>
      <c r="O974" s="235" t="s">
        <v>1347</v>
      </c>
      <c r="P974" s="238">
        <v>1.0</v>
      </c>
      <c r="Q974" s="235" t="s">
        <v>627</v>
      </c>
      <c r="R974" s="238">
        <v>256.2</v>
      </c>
      <c r="S974" s="238">
        <v>12.8</v>
      </c>
      <c r="T974" s="238">
        <v>38.1</v>
      </c>
      <c r="U974" s="238">
        <v>1.9</v>
      </c>
      <c r="V974" s="238">
        <v>0.0</v>
      </c>
      <c r="W974" s="238">
        <v>0.0</v>
      </c>
      <c r="X974" s="235" t="s">
        <v>628</v>
      </c>
      <c r="Z974" s="244"/>
      <c r="AA974" s="244"/>
      <c r="AB974" s="244"/>
      <c r="AC974" s="235" t="s">
        <v>844</v>
      </c>
      <c r="AD974" s="235" t="s">
        <v>845</v>
      </c>
      <c r="AE974" s="238">
        <v>411005.0</v>
      </c>
      <c r="AF974" s="235" t="s">
        <v>631</v>
      </c>
      <c r="AG974" s="244"/>
      <c r="AH974" s="244"/>
      <c r="AI974" s="245"/>
      <c r="AJ974" s="245"/>
      <c r="AK974" s="245"/>
      <c r="AL974" s="245"/>
      <c r="AM974" s="244"/>
      <c r="AN974" s="244"/>
      <c r="AO974" s="238">
        <v>0.0</v>
      </c>
      <c r="AP974" s="238">
        <v>-38.1</v>
      </c>
      <c r="AQ974" s="235" t="s">
        <v>632</v>
      </c>
      <c r="AR974" s="243">
        <v>3.71E11</v>
      </c>
      <c r="AS974" s="235" t="s">
        <v>7365</v>
      </c>
      <c r="AT974" s="235" t="s">
        <v>546</v>
      </c>
      <c r="AU974" s="235" t="s">
        <v>634</v>
      </c>
      <c r="AV974" s="246" t="s">
        <v>635</v>
      </c>
      <c r="AW974" s="242"/>
      <c r="AX974" s="242"/>
      <c r="AY974" s="231"/>
      <c r="AZ974" s="231"/>
      <c r="BA974" s="227"/>
      <c r="BB974" s="231"/>
      <c r="BC974" s="227"/>
      <c r="BD974" s="227"/>
      <c r="BE974" s="227"/>
      <c r="BF974" s="227"/>
    </row>
    <row r="975">
      <c r="A975" s="235" t="s">
        <v>8260</v>
      </c>
      <c r="C975" s="235" t="s">
        <v>8261</v>
      </c>
      <c r="D975" s="235" t="s">
        <v>8262</v>
      </c>
      <c r="E975" s="243">
        <v>6.56E13</v>
      </c>
      <c r="F975" s="245"/>
      <c r="G975" s="235" t="s">
        <v>8263</v>
      </c>
      <c r="H975" s="235" t="s">
        <v>8257</v>
      </c>
      <c r="I975" s="235" t="s">
        <v>8257</v>
      </c>
      <c r="J975" s="235" t="s">
        <v>8264</v>
      </c>
      <c r="K975" s="235" t="s">
        <v>8265</v>
      </c>
      <c r="N975" s="235" t="s">
        <v>145</v>
      </c>
      <c r="O975" s="235" t="s">
        <v>370</v>
      </c>
      <c r="P975" s="238">
        <v>1.0</v>
      </c>
      <c r="Q975" s="235" t="s">
        <v>627</v>
      </c>
      <c r="R975" s="238">
        <v>1522.86</v>
      </c>
      <c r="S975" s="238">
        <v>76.14</v>
      </c>
      <c r="T975" s="238">
        <v>0.0</v>
      </c>
      <c r="U975" s="238">
        <v>0.0</v>
      </c>
      <c r="V975" s="238">
        <v>0.0</v>
      </c>
      <c r="W975" s="238">
        <v>0.0</v>
      </c>
      <c r="X975" s="235" t="s">
        <v>628</v>
      </c>
      <c r="Z975" s="244"/>
      <c r="AA975" s="244"/>
      <c r="AB975" s="244"/>
      <c r="AC975" s="235" t="s">
        <v>697</v>
      </c>
      <c r="AD975" s="235" t="s">
        <v>698</v>
      </c>
      <c r="AE975" s="238">
        <v>500049.0</v>
      </c>
      <c r="AF975" s="235" t="s">
        <v>631</v>
      </c>
      <c r="AG975" s="244"/>
      <c r="AH975" s="244"/>
      <c r="AI975" s="245"/>
      <c r="AJ975" s="245"/>
      <c r="AK975" s="245"/>
      <c r="AL975" s="245"/>
      <c r="AM975" s="244"/>
      <c r="AN975" s="244"/>
      <c r="AO975" s="238">
        <v>0.0</v>
      </c>
      <c r="AP975" s="238">
        <v>0.0</v>
      </c>
      <c r="AQ975" s="235" t="s">
        <v>632</v>
      </c>
      <c r="AR975" s="243">
        <v>2.02E11</v>
      </c>
      <c r="AS975" s="235" t="s">
        <v>7365</v>
      </c>
      <c r="AT975" s="235" t="s">
        <v>156</v>
      </c>
      <c r="AU975" s="235" t="s">
        <v>634</v>
      </c>
      <c r="AV975" s="246" t="s">
        <v>635</v>
      </c>
      <c r="AW975" s="242"/>
      <c r="AX975" s="242"/>
      <c r="AY975" s="231"/>
      <c r="AZ975" s="231"/>
      <c r="BA975" s="227"/>
      <c r="BB975" s="231"/>
      <c r="BC975" s="227"/>
      <c r="BD975" s="227"/>
      <c r="BE975" s="227"/>
      <c r="BF975" s="227"/>
    </row>
    <row r="976">
      <c r="A976" s="235" t="s">
        <v>8266</v>
      </c>
      <c r="C976" s="235" t="s">
        <v>8267</v>
      </c>
      <c r="D976" s="235" t="s">
        <v>8268</v>
      </c>
      <c r="E976" s="243">
        <v>6.56E13</v>
      </c>
      <c r="F976" s="245"/>
      <c r="G976" s="235" t="s">
        <v>8269</v>
      </c>
      <c r="H976" s="235" t="s">
        <v>8270</v>
      </c>
      <c r="I976" s="235" t="s">
        <v>8270</v>
      </c>
      <c r="J976" s="235" t="s">
        <v>8271</v>
      </c>
      <c r="K976" s="235" t="s">
        <v>8272</v>
      </c>
      <c r="N976" s="235" t="s">
        <v>1346</v>
      </c>
      <c r="O976" s="235" t="s">
        <v>1347</v>
      </c>
      <c r="P976" s="238">
        <v>1.0</v>
      </c>
      <c r="Q976" s="235" t="s">
        <v>627</v>
      </c>
      <c r="R976" s="238">
        <v>256.19</v>
      </c>
      <c r="S976" s="238">
        <v>12.81</v>
      </c>
      <c r="T976" s="238">
        <v>0.0</v>
      </c>
      <c r="U976" s="238">
        <v>0.0</v>
      </c>
      <c r="V976" s="238">
        <v>0.0</v>
      </c>
      <c r="W976" s="238">
        <v>0.0</v>
      </c>
      <c r="X976" s="235" t="s">
        <v>628</v>
      </c>
      <c r="Z976" s="244"/>
      <c r="AA976" s="244"/>
      <c r="AB976" s="244"/>
      <c r="AC976" s="235" t="s">
        <v>8273</v>
      </c>
      <c r="AD976" s="235" t="s">
        <v>3113</v>
      </c>
      <c r="AE976" s="238">
        <v>492001.0</v>
      </c>
      <c r="AF976" s="235" t="s">
        <v>631</v>
      </c>
      <c r="AG976" s="244"/>
      <c r="AH976" s="244"/>
      <c r="AI976" s="245"/>
      <c r="AJ976" s="245"/>
      <c r="AK976" s="245"/>
      <c r="AL976" s="245"/>
      <c r="AM976" s="244"/>
      <c r="AN976" s="244"/>
      <c r="AO976" s="238">
        <v>0.0</v>
      </c>
      <c r="AP976" s="238">
        <v>0.0</v>
      </c>
      <c r="AQ976" s="235" t="s">
        <v>632</v>
      </c>
      <c r="AR976" s="243">
        <v>3.71E11</v>
      </c>
      <c r="AS976" s="235" t="s">
        <v>2276</v>
      </c>
      <c r="AT976" s="235" t="s">
        <v>156</v>
      </c>
      <c r="AU976" s="235" t="s">
        <v>634</v>
      </c>
      <c r="AV976" s="246" t="s">
        <v>635</v>
      </c>
      <c r="AW976" s="242"/>
      <c r="AX976" s="242"/>
      <c r="AY976" s="231"/>
      <c r="AZ976" s="231"/>
      <c r="BA976" s="227"/>
      <c r="BB976" s="231"/>
      <c r="BC976" s="227"/>
      <c r="BD976" s="227"/>
      <c r="BE976" s="227"/>
      <c r="BF976" s="227"/>
    </row>
    <row r="977">
      <c r="A977" s="235" t="s">
        <v>8274</v>
      </c>
      <c r="C977" s="235" t="s">
        <v>8275</v>
      </c>
      <c r="D977" s="235" t="s">
        <v>8276</v>
      </c>
      <c r="E977" s="243">
        <v>6.56E13</v>
      </c>
      <c r="F977" s="245"/>
      <c r="G977" s="235" t="s">
        <v>8277</v>
      </c>
      <c r="H977" s="235" t="s">
        <v>8278</v>
      </c>
      <c r="I977" s="235" t="s">
        <v>8278</v>
      </c>
      <c r="J977" s="235" t="s">
        <v>8279</v>
      </c>
      <c r="K977" s="235" t="s">
        <v>8280</v>
      </c>
      <c r="N977" s="235" t="s">
        <v>140</v>
      </c>
      <c r="O977" s="235" t="s">
        <v>1430</v>
      </c>
      <c r="P977" s="238">
        <v>1.0</v>
      </c>
      <c r="Q977" s="235" t="s">
        <v>627</v>
      </c>
      <c r="R977" s="238">
        <v>284.76</v>
      </c>
      <c r="S977" s="238">
        <v>14.24</v>
      </c>
      <c r="T977" s="238">
        <v>0.0</v>
      </c>
      <c r="U977" s="238">
        <v>0.0</v>
      </c>
      <c r="V977" s="238">
        <v>0.0</v>
      </c>
      <c r="W977" s="238">
        <v>0.0</v>
      </c>
      <c r="X977" s="235" t="s">
        <v>628</v>
      </c>
      <c r="Z977" s="244"/>
      <c r="AA977" s="244"/>
      <c r="AB977" s="244"/>
      <c r="AC977" s="235" t="s">
        <v>8281</v>
      </c>
      <c r="AD977" s="235" t="s">
        <v>845</v>
      </c>
      <c r="AE977" s="238">
        <v>411040.0</v>
      </c>
      <c r="AF977" s="235" t="s">
        <v>631</v>
      </c>
      <c r="AG977" s="244"/>
      <c r="AH977" s="244"/>
      <c r="AI977" s="245"/>
      <c r="AJ977" s="245"/>
      <c r="AK977" s="245"/>
      <c r="AL977" s="245"/>
      <c r="AM977" s="244"/>
      <c r="AN977" s="244"/>
      <c r="AO977" s="238">
        <v>0.0</v>
      </c>
      <c r="AP977" s="238">
        <v>0.0</v>
      </c>
      <c r="AQ977" s="235" t="s">
        <v>632</v>
      </c>
      <c r="AR977" s="243">
        <v>1.68E11</v>
      </c>
      <c r="AS977" s="235" t="s">
        <v>7365</v>
      </c>
      <c r="AT977" s="235" t="s">
        <v>16</v>
      </c>
      <c r="AU977" s="235" t="s">
        <v>634</v>
      </c>
      <c r="AV977" s="246" t="s">
        <v>635</v>
      </c>
      <c r="AW977" s="242"/>
      <c r="AX977" s="242"/>
      <c r="AY977" s="231"/>
      <c r="AZ977" s="231"/>
      <c r="BA977" s="227"/>
      <c r="BB977" s="231"/>
      <c r="BC977" s="227"/>
      <c r="BD977" s="227"/>
      <c r="BE977" s="227"/>
      <c r="BF977" s="227"/>
    </row>
    <row r="978">
      <c r="A978" s="235" t="s">
        <v>8283</v>
      </c>
      <c r="C978" s="235" t="s">
        <v>8284</v>
      </c>
      <c r="D978" s="235" t="s">
        <v>8285</v>
      </c>
      <c r="E978" s="243">
        <v>6.56E13</v>
      </c>
      <c r="F978" s="245"/>
      <c r="G978" s="235" t="s">
        <v>8286</v>
      </c>
      <c r="H978" s="235" t="s">
        <v>8287</v>
      </c>
      <c r="I978" s="235" t="s">
        <v>8288</v>
      </c>
      <c r="J978" s="235" t="s">
        <v>8289</v>
      </c>
      <c r="K978" s="235" t="s">
        <v>8290</v>
      </c>
      <c r="N978" s="235" t="s">
        <v>127</v>
      </c>
      <c r="O978" s="235" t="s">
        <v>794</v>
      </c>
      <c r="P978" s="238">
        <v>1.0</v>
      </c>
      <c r="Q978" s="235" t="s">
        <v>627</v>
      </c>
      <c r="R978" s="238">
        <v>246.67</v>
      </c>
      <c r="S978" s="238">
        <v>12.33</v>
      </c>
      <c r="T978" s="238">
        <v>0.0</v>
      </c>
      <c r="U978" s="238">
        <v>0.0</v>
      </c>
      <c r="V978" s="238">
        <v>0.0</v>
      </c>
      <c r="W978" s="238">
        <v>0.0</v>
      </c>
      <c r="X978" s="235" t="s">
        <v>628</v>
      </c>
      <c r="Z978" s="244"/>
      <c r="AA978" s="244"/>
      <c r="AB978" s="244"/>
      <c r="AC978" s="235" t="s">
        <v>1032</v>
      </c>
      <c r="AD978" s="235" t="s">
        <v>630</v>
      </c>
      <c r="AE978" s="238">
        <v>243002.0</v>
      </c>
      <c r="AF978" s="235" t="s">
        <v>631</v>
      </c>
      <c r="AG978" s="244"/>
      <c r="AH978" s="244"/>
      <c r="AI978" s="245"/>
      <c r="AJ978" s="245"/>
      <c r="AK978" s="245"/>
      <c r="AL978" s="245"/>
      <c r="AM978" s="244"/>
      <c r="AN978" s="244"/>
      <c r="AO978" s="238">
        <v>0.0</v>
      </c>
      <c r="AP978" s="238">
        <v>0.0</v>
      </c>
      <c r="AQ978" s="235" t="s">
        <v>632</v>
      </c>
      <c r="AR978" s="243">
        <v>3.71E11</v>
      </c>
      <c r="AS978" s="235" t="s">
        <v>6164</v>
      </c>
      <c r="AT978" s="235" t="s">
        <v>13</v>
      </c>
      <c r="AU978" s="235" t="s">
        <v>634</v>
      </c>
      <c r="AV978" s="246" t="s">
        <v>635</v>
      </c>
      <c r="AW978" s="242"/>
      <c r="AX978" s="242"/>
      <c r="AY978" s="231"/>
      <c r="AZ978" s="231"/>
      <c r="BA978" s="227"/>
      <c r="BB978" s="231"/>
      <c r="BC978" s="227"/>
      <c r="BD978" s="227"/>
      <c r="BE978" s="227"/>
      <c r="BF978" s="227"/>
    </row>
    <row r="979">
      <c r="A979" s="235" t="s">
        <v>8291</v>
      </c>
      <c r="C979" s="235" t="s">
        <v>8292</v>
      </c>
      <c r="D979" s="235" t="s">
        <v>8293</v>
      </c>
      <c r="E979" s="243">
        <v>6.55E13</v>
      </c>
      <c r="F979" s="245"/>
      <c r="G979" s="235" t="s">
        <v>8294</v>
      </c>
      <c r="H979" s="235" t="s">
        <v>8295</v>
      </c>
      <c r="I979" s="235" t="s">
        <v>8295</v>
      </c>
      <c r="J979" s="235" t="s">
        <v>8296</v>
      </c>
      <c r="K979" s="235" t="s">
        <v>8297</v>
      </c>
      <c r="N979" s="235" t="s">
        <v>71</v>
      </c>
      <c r="O979" s="235" t="s">
        <v>240</v>
      </c>
      <c r="P979" s="238">
        <v>1.0</v>
      </c>
      <c r="Q979" s="235" t="s">
        <v>627</v>
      </c>
      <c r="R979" s="238">
        <v>246.67</v>
      </c>
      <c r="S979" s="238">
        <v>12.33</v>
      </c>
      <c r="T979" s="238">
        <v>38.1</v>
      </c>
      <c r="U979" s="238">
        <v>1.9</v>
      </c>
      <c r="V979" s="238">
        <v>0.0</v>
      </c>
      <c r="W979" s="238">
        <v>0.0</v>
      </c>
      <c r="X979" s="235" t="s">
        <v>628</v>
      </c>
      <c r="Z979" s="244"/>
      <c r="AA979" s="244"/>
      <c r="AB979" s="244"/>
      <c r="AC979" s="235" t="s">
        <v>1320</v>
      </c>
      <c r="AD979" s="235" t="s">
        <v>666</v>
      </c>
      <c r="AE979" s="238">
        <v>600096.0</v>
      </c>
      <c r="AF979" s="235" t="s">
        <v>631</v>
      </c>
      <c r="AG979" s="244"/>
      <c r="AH979" s="244"/>
      <c r="AI979" s="245"/>
      <c r="AJ979" s="245"/>
      <c r="AK979" s="245"/>
      <c r="AL979" s="245"/>
      <c r="AM979" s="244"/>
      <c r="AN979" s="244"/>
      <c r="AO979" s="238">
        <v>0.0</v>
      </c>
      <c r="AP979" s="238">
        <v>-38.1</v>
      </c>
      <c r="AQ979" s="235" t="s">
        <v>632</v>
      </c>
      <c r="AR979" s="243">
        <v>1.68E11</v>
      </c>
      <c r="AS979" s="235" t="s">
        <v>7365</v>
      </c>
      <c r="AT979" s="235" t="s">
        <v>9</v>
      </c>
      <c r="AU979" s="235" t="s">
        <v>634</v>
      </c>
      <c r="AV979" s="246" t="s">
        <v>635</v>
      </c>
      <c r="AW979" s="242"/>
      <c r="AX979" s="242"/>
      <c r="AY979" s="231"/>
      <c r="AZ979" s="231"/>
      <c r="BA979" s="227"/>
      <c r="BB979" s="231"/>
      <c r="BC979" s="227"/>
      <c r="BD979" s="227"/>
      <c r="BE979" s="227"/>
      <c r="BF979" s="227"/>
    </row>
    <row r="980">
      <c r="A980" s="235" t="s">
        <v>8298</v>
      </c>
      <c r="C980" s="235" t="s">
        <v>8299</v>
      </c>
      <c r="D980" s="235" t="s">
        <v>8300</v>
      </c>
      <c r="E980" s="243">
        <v>6.56E13</v>
      </c>
      <c r="F980" s="245"/>
      <c r="G980" s="235" t="s">
        <v>8301</v>
      </c>
      <c r="H980" s="235" t="s">
        <v>8302</v>
      </c>
      <c r="I980" s="235" t="s">
        <v>8302</v>
      </c>
      <c r="J980" s="235" t="s">
        <v>8303</v>
      </c>
      <c r="K980" s="235" t="s">
        <v>8304</v>
      </c>
      <c r="N980" s="235" t="s">
        <v>51</v>
      </c>
      <c r="O980" s="235" t="s">
        <v>273</v>
      </c>
      <c r="P980" s="238">
        <v>1.0</v>
      </c>
      <c r="Q980" s="235" t="s">
        <v>627</v>
      </c>
      <c r="R980" s="238">
        <v>237.14</v>
      </c>
      <c r="S980" s="238">
        <v>11.86</v>
      </c>
      <c r="T980" s="238">
        <v>4.53</v>
      </c>
      <c r="U980" s="238">
        <v>0.22</v>
      </c>
      <c r="V980" s="238">
        <v>0.0</v>
      </c>
      <c r="W980" s="238">
        <v>0.0</v>
      </c>
      <c r="X980" s="235" t="s">
        <v>628</v>
      </c>
      <c r="Z980" s="244"/>
      <c r="AA980" s="244"/>
      <c r="AB980" s="244"/>
      <c r="AC980" s="235" t="s">
        <v>1320</v>
      </c>
      <c r="AD980" s="235" t="s">
        <v>666</v>
      </c>
      <c r="AE980" s="238">
        <v>600078.0</v>
      </c>
      <c r="AF980" s="235" t="s">
        <v>631</v>
      </c>
      <c r="AG980" s="244"/>
      <c r="AH980" s="244"/>
      <c r="AI980" s="245"/>
      <c r="AJ980" s="245"/>
      <c r="AK980" s="245"/>
      <c r="AL980" s="245"/>
      <c r="AM980" s="244"/>
      <c r="AN980" s="244"/>
      <c r="AO980" s="238">
        <v>0.0</v>
      </c>
      <c r="AP980" s="238">
        <v>-4.53</v>
      </c>
      <c r="AQ980" s="235" t="s">
        <v>632</v>
      </c>
      <c r="AR980" s="243">
        <v>1.68E11</v>
      </c>
      <c r="AS980" s="235" t="s">
        <v>7913</v>
      </c>
      <c r="AT980" s="235" t="s">
        <v>156</v>
      </c>
      <c r="AU980" s="235" t="s">
        <v>634</v>
      </c>
      <c r="AV980" s="246" t="s">
        <v>635</v>
      </c>
      <c r="AW980" s="242"/>
      <c r="AX980" s="242"/>
      <c r="AY980" s="231"/>
      <c r="AZ980" s="231"/>
      <c r="BA980" s="227"/>
      <c r="BB980" s="231"/>
      <c r="BC980" s="227"/>
      <c r="BD980" s="227"/>
      <c r="BE980" s="227"/>
      <c r="BF980" s="227"/>
    </row>
    <row r="981">
      <c r="A981" s="235" t="s">
        <v>8305</v>
      </c>
      <c r="C981" s="235" t="s">
        <v>8306</v>
      </c>
      <c r="D981" s="235" t="s">
        <v>8307</v>
      </c>
      <c r="E981" s="243">
        <v>6.56E13</v>
      </c>
      <c r="F981" s="245"/>
      <c r="G981" s="235" t="s">
        <v>8308</v>
      </c>
      <c r="H981" s="235" t="s">
        <v>8309</v>
      </c>
      <c r="I981" s="235" t="s">
        <v>8309</v>
      </c>
      <c r="J981" s="235" t="s">
        <v>8310</v>
      </c>
      <c r="K981" s="235" t="s">
        <v>8311</v>
      </c>
      <c r="N981" s="235" t="s">
        <v>154</v>
      </c>
      <c r="O981" s="235" t="s">
        <v>766</v>
      </c>
      <c r="P981" s="238">
        <v>1.0</v>
      </c>
      <c r="Q981" s="235" t="s">
        <v>627</v>
      </c>
      <c r="R981" s="238">
        <v>465.72</v>
      </c>
      <c r="S981" s="238">
        <v>23.28</v>
      </c>
      <c r="T981" s="238">
        <v>0.0</v>
      </c>
      <c r="U981" s="238">
        <v>0.0</v>
      </c>
      <c r="V981" s="238">
        <v>0.0</v>
      </c>
      <c r="W981" s="238">
        <v>0.0</v>
      </c>
      <c r="X981" s="235" t="s">
        <v>628</v>
      </c>
      <c r="Z981" s="244"/>
      <c r="AA981" s="244"/>
      <c r="AB981" s="244"/>
      <c r="AC981" s="235" t="s">
        <v>678</v>
      </c>
      <c r="AD981" s="235" t="s">
        <v>679</v>
      </c>
      <c r="AE981" s="238">
        <v>560083.0</v>
      </c>
      <c r="AF981" s="235" t="s">
        <v>631</v>
      </c>
      <c r="AG981" s="244"/>
      <c r="AH981" s="244"/>
      <c r="AI981" s="245"/>
      <c r="AJ981" s="245"/>
      <c r="AK981" s="245"/>
      <c r="AL981" s="245"/>
      <c r="AM981" s="244"/>
      <c r="AN981" s="244"/>
      <c r="AO981" s="238">
        <v>0.0</v>
      </c>
      <c r="AP981" s="238">
        <v>0.0</v>
      </c>
      <c r="AQ981" s="235" t="s">
        <v>632</v>
      </c>
      <c r="AR981" s="243">
        <v>1.68E11</v>
      </c>
      <c r="AS981" s="235" t="s">
        <v>7913</v>
      </c>
      <c r="AT981" s="235" t="s">
        <v>9</v>
      </c>
      <c r="AU981" s="235" t="s">
        <v>634</v>
      </c>
      <c r="AV981" s="246" t="s">
        <v>635</v>
      </c>
      <c r="AW981" s="242"/>
      <c r="AX981" s="242"/>
      <c r="AY981" s="231"/>
      <c r="AZ981" s="231"/>
      <c r="BA981" s="227"/>
      <c r="BB981" s="231"/>
      <c r="BC981" s="227"/>
      <c r="BD981" s="227"/>
      <c r="BE981" s="227"/>
      <c r="BF981" s="227"/>
    </row>
    <row r="982">
      <c r="A982" s="235" t="s">
        <v>8312</v>
      </c>
      <c r="C982" s="235" t="s">
        <v>8313</v>
      </c>
      <c r="D982" s="235" t="s">
        <v>8314</v>
      </c>
      <c r="E982" s="243">
        <v>6.56E13</v>
      </c>
      <c r="F982" s="245"/>
      <c r="G982" s="235" t="s">
        <v>8315</v>
      </c>
      <c r="H982" s="235" t="s">
        <v>8316</v>
      </c>
      <c r="I982" s="235" t="s">
        <v>8317</v>
      </c>
      <c r="J982" s="235" t="s">
        <v>8318</v>
      </c>
      <c r="K982" s="235" t="s">
        <v>6975</v>
      </c>
      <c r="N982" s="235" t="s">
        <v>138</v>
      </c>
      <c r="O982" s="235" t="s">
        <v>675</v>
      </c>
      <c r="P982" s="238">
        <v>1.0</v>
      </c>
      <c r="Q982" s="235" t="s">
        <v>627</v>
      </c>
      <c r="R982" s="238">
        <v>246.66</v>
      </c>
      <c r="S982" s="238">
        <v>12.34</v>
      </c>
      <c r="T982" s="238">
        <v>0.0</v>
      </c>
      <c r="U982" s="238">
        <v>0.0</v>
      </c>
      <c r="V982" s="238">
        <v>0.0</v>
      </c>
      <c r="W982" s="238">
        <v>0.0</v>
      </c>
      <c r="X982" s="235" t="s">
        <v>628</v>
      </c>
      <c r="Z982" s="244"/>
      <c r="AA982" s="244"/>
      <c r="AB982" s="244"/>
      <c r="AC982" s="235" t="s">
        <v>678</v>
      </c>
      <c r="AD982" s="235" t="s">
        <v>679</v>
      </c>
      <c r="AE982" s="238">
        <v>560070.0</v>
      </c>
      <c r="AF982" s="235" t="s">
        <v>631</v>
      </c>
      <c r="AG982" s="244"/>
      <c r="AH982" s="244"/>
      <c r="AI982" s="245"/>
      <c r="AJ982" s="245"/>
      <c r="AK982" s="245"/>
      <c r="AL982" s="245"/>
      <c r="AM982" s="244"/>
      <c r="AN982" s="244"/>
      <c r="AO982" s="238">
        <v>0.0</v>
      </c>
      <c r="AP982" s="238">
        <v>0.0</v>
      </c>
      <c r="AQ982" s="235" t="s">
        <v>632</v>
      </c>
      <c r="AR982" s="243">
        <v>1.68E11</v>
      </c>
      <c r="AS982" s="235" t="s">
        <v>7913</v>
      </c>
      <c r="AT982" s="235" t="s">
        <v>9</v>
      </c>
      <c r="AU982" s="235" t="s">
        <v>634</v>
      </c>
      <c r="AV982" s="246" t="s">
        <v>635</v>
      </c>
      <c r="AW982" s="242"/>
      <c r="AX982" s="242"/>
      <c r="AY982" s="231"/>
      <c r="AZ982" s="231"/>
      <c r="BA982" s="227"/>
      <c r="BB982" s="231"/>
      <c r="BC982" s="227"/>
      <c r="BD982" s="227"/>
      <c r="BE982" s="227"/>
      <c r="BF982" s="227"/>
    </row>
    <row r="983">
      <c r="A983" s="235" t="s">
        <v>8319</v>
      </c>
      <c r="C983" s="235" t="s">
        <v>8320</v>
      </c>
      <c r="D983" s="235" t="s">
        <v>8321</v>
      </c>
      <c r="E983" s="243">
        <v>6.56E13</v>
      </c>
      <c r="F983" s="245"/>
      <c r="G983" s="235" t="s">
        <v>8322</v>
      </c>
      <c r="H983" s="235" t="s">
        <v>8323</v>
      </c>
      <c r="I983" s="235" t="s">
        <v>8323</v>
      </c>
      <c r="J983" s="235" t="s">
        <v>8324</v>
      </c>
      <c r="K983" s="235" t="s">
        <v>8325</v>
      </c>
      <c r="N983" s="235" t="s">
        <v>138</v>
      </c>
      <c r="O983" s="235" t="s">
        <v>675</v>
      </c>
      <c r="P983" s="238">
        <v>1.0</v>
      </c>
      <c r="Q983" s="235" t="s">
        <v>627</v>
      </c>
      <c r="R983" s="238">
        <v>246.67</v>
      </c>
      <c r="S983" s="238">
        <v>12.33</v>
      </c>
      <c r="T983" s="238">
        <v>0.0</v>
      </c>
      <c r="U983" s="238">
        <v>0.0</v>
      </c>
      <c r="V983" s="238">
        <v>0.0</v>
      </c>
      <c r="W983" s="238">
        <v>0.0</v>
      </c>
      <c r="X983" s="235" t="s">
        <v>628</v>
      </c>
      <c r="Z983" s="244"/>
      <c r="AA983" s="244"/>
      <c r="AB983" s="244"/>
      <c r="AC983" s="235" t="s">
        <v>8326</v>
      </c>
      <c r="AD983" s="235" t="s">
        <v>2688</v>
      </c>
      <c r="AE983" s="238">
        <v>184104.0</v>
      </c>
      <c r="AF983" s="235" t="s">
        <v>631</v>
      </c>
      <c r="AG983" s="244"/>
      <c r="AH983" s="244"/>
      <c r="AI983" s="245"/>
      <c r="AJ983" s="245"/>
      <c r="AK983" s="245"/>
      <c r="AL983" s="245"/>
      <c r="AM983" s="244"/>
      <c r="AN983" s="244"/>
      <c r="AO983" s="238">
        <v>0.0</v>
      </c>
      <c r="AP983" s="238">
        <v>0.0</v>
      </c>
      <c r="AQ983" s="235" t="s">
        <v>632</v>
      </c>
      <c r="AR983" s="243">
        <v>3.71E11</v>
      </c>
      <c r="AS983" s="235" t="s">
        <v>6164</v>
      </c>
      <c r="AT983" s="235" t="s">
        <v>14</v>
      </c>
      <c r="AU983" s="235" t="s">
        <v>634</v>
      </c>
      <c r="AV983" s="246" t="s">
        <v>635</v>
      </c>
      <c r="AW983" s="242"/>
      <c r="AX983" s="242"/>
      <c r="AY983" s="231"/>
      <c r="AZ983" s="231"/>
      <c r="BA983" s="227"/>
      <c r="BB983" s="231"/>
      <c r="BC983" s="227"/>
      <c r="BD983" s="227"/>
      <c r="BE983" s="227"/>
      <c r="BF983" s="227"/>
    </row>
    <row r="984">
      <c r="A984" s="235" t="s">
        <v>8327</v>
      </c>
      <c r="C984" s="235" t="s">
        <v>8328</v>
      </c>
      <c r="D984" s="235" t="s">
        <v>8329</v>
      </c>
      <c r="E984" s="243">
        <v>6.55E13</v>
      </c>
      <c r="F984" s="245"/>
      <c r="G984" s="235" t="s">
        <v>8330</v>
      </c>
      <c r="H984" s="235" t="s">
        <v>8331</v>
      </c>
      <c r="I984" s="235" t="s">
        <v>8331</v>
      </c>
      <c r="J984" s="235" t="s">
        <v>8332</v>
      </c>
      <c r="K984" s="235" t="s">
        <v>8333</v>
      </c>
      <c r="N984" s="235" t="s">
        <v>43</v>
      </c>
      <c r="O984" s="235" t="s">
        <v>276</v>
      </c>
      <c r="P984" s="238">
        <v>1.0</v>
      </c>
      <c r="Q984" s="235" t="s">
        <v>627</v>
      </c>
      <c r="R984" s="238">
        <v>237.14</v>
      </c>
      <c r="S984" s="238">
        <v>11.86</v>
      </c>
      <c r="T984" s="238">
        <v>38.1</v>
      </c>
      <c r="U984" s="238">
        <v>1.9</v>
      </c>
      <c r="V984" s="238">
        <v>0.0</v>
      </c>
      <c r="W984" s="238">
        <v>0.0</v>
      </c>
      <c r="X984" s="235" t="s">
        <v>628</v>
      </c>
      <c r="Z984" s="244"/>
      <c r="AA984" s="244"/>
      <c r="AB984" s="244"/>
      <c r="AC984" s="235" t="s">
        <v>8334</v>
      </c>
      <c r="AD984" s="235" t="s">
        <v>666</v>
      </c>
      <c r="AE984" s="238">
        <v>603002.0</v>
      </c>
      <c r="AF984" s="235" t="s">
        <v>631</v>
      </c>
      <c r="AG984" s="244"/>
      <c r="AH984" s="244"/>
      <c r="AI984" s="245"/>
      <c r="AJ984" s="245"/>
      <c r="AK984" s="245"/>
      <c r="AL984" s="245"/>
      <c r="AM984" s="244"/>
      <c r="AN984" s="244"/>
      <c r="AO984" s="238">
        <v>0.0</v>
      </c>
      <c r="AP984" s="238">
        <v>-38.1</v>
      </c>
      <c r="AQ984" s="235" t="s">
        <v>632</v>
      </c>
      <c r="AR984" s="243">
        <v>3.71E11</v>
      </c>
      <c r="AS984" s="235" t="s">
        <v>7365</v>
      </c>
      <c r="AT984" s="235" t="s">
        <v>156</v>
      </c>
      <c r="AU984" s="235" t="s">
        <v>634</v>
      </c>
      <c r="AV984" s="246" t="s">
        <v>635</v>
      </c>
      <c r="AW984" s="242"/>
      <c r="AX984" s="242"/>
      <c r="AY984" s="231"/>
      <c r="AZ984" s="231"/>
      <c r="BA984" s="227"/>
      <c r="BB984" s="231"/>
      <c r="BC984" s="227"/>
      <c r="BD984" s="227"/>
      <c r="BE984" s="227"/>
      <c r="BF984" s="227"/>
    </row>
    <row r="985">
      <c r="A985" s="235" t="s">
        <v>8335</v>
      </c>
      <c r="C985" s="235" t="s">
        <v>8336</v>
      </c>
      <c r="D985" s="235" t="s">
        <v>8337</v>
      </c>
      <c r="E985" s="243">
        <v>6.56E13</v>
      </c>
      <c r="F985" s="245"/>
      <c r="G985" s="235" t="s">
        <v>8338</v>
      </c>
      <c r="H985" s="235" t="s">
        <v>8339</v>
      </c>
      <c r="I985" s="235" t="s">
        <v>8339</v>
      </c>
      <c r="J985" s="235" t="s">
        <v>8340</v>
      </c>
      <c r="K985" s="235" t="s">
        <v>8341</v>
      </c>
      <c r="N985" s="235" t="s">
        <v>138</v>
      </c>
      <c r="O985" s="235" t="s">
        <v>675</v>
      </c>
      <c r="P985" s="238">
        <v>1.0</v>
      </c>
      <c r="Q985" s="235" t="s">
        <v>627</v>
      </c>
      <c r="R985" s="238">
        <v>246.67</v>
      </c>
      <c r="S985" s="238">
        <v>12.33</v>
      </c>
      <c r="T985" s="238">
        <v>38.1</v>
      </c>
      <c r="U985" s="238">
        <v>1.9</v>
      </c>
      <c r="V985" s="238">
        <v>0.0</v>
      </c>
      <c r="W985" s="238">
        <v>0.0</v>
      </c>
      <c r="X985" s="235" t="s">
        <v>628</v>
      </c>
      <c r="Z985" s="244"/>
      <c r="AA985" s="244"/>
      <c r="AB985" s="244"/>
      <c r="AC985" s="235" t="s">
        <v>8342</v>
      </c>
      <c r="AD985" s="235" t="s">
        <v>917</v>
      </c>
      <c r="AE985" s="238">
        <v>312202.0</v>
      </c>
      <c r="AF985" s="235" t="s">
        <v>631</v>
      </c>
      <c r="AG985" s="244"/>
      <c r="AH985" s="244"/>
      <c r="AI985" s="245"/>
      <c r="AJ985" s="245"/>
      <c r="AK985" s="245"/>
      <c r="AL985" s="245"/>
      <c r="AM985" s="244"/>
      <c r="AN985" s="244"/>
      <c r="AO985" s="238">
        <v>0.0</v>
      </c>
      <c r="AP985" s="238">
        <v>-38.1</v>
      </c>
      <c r="AQ985" s="235" t="s">
        <v>632</v>
      </c>
      <c r="AR985" s="243">
        <v>3.71E11</v>
      </c>
      <c r="AS985" s="235" t="s">
        <v>3284</v>
      </c>
      <c r="AT985" s="235" t="s">
        <v>13</v>
      </c>
      <c r="AU985" s="235" t="s">
        <v>634</v>
      </c>
      <c r="AV985" s="246" t="s">
        <v>635</v>
      </c>
      <c r="AW985" s="242"/>
      <c r="AX985" s="242"/>
      <c r="AY985" s="231"/>
      <c r="AZ985" s="231"/>
      <c r="BA985" s="227"/>
      <c r="BB985" s="231"/>
      <c r="BC985" s="227"/>
      <c r="BD985" s="227"/>
      <c r="BE985" s="227"/>
      <c r="BF985" s="227"/>
    </row>
    <row r="986">
      <c r="A986" s="235" t="s">
        <v>8343</v>
      </c>
      <c r="C986" s="235" t="s">
        <v>8344</v>
      </c>
      <c r="D986" s="235" t="s">
        <v>8345</v>
      </c>
      <c r="E986" s="243">
        <v>6.56E13</v>
      </c>
      <c r="F986" s="245"/>
      <c r="G986" s="235" t="s">
        <v>8346</v>
      </c>
      <c r="H986" s="235" t="s">
        <v>8347</v>
      </c>
      <c r="I986" s="235" t="s">
        <v>8347</v>
      </c>
      <c r="J986" s="235" t="s">
        <v>8348</v>
      </c>
      <c r="K986" s="235" t="s">
        <v>8349</v>
      </c>
      <c r="N986" s="235" t="s">
        <v>154</v>
      </c>
      <c r="O986" s="235" t="s">
        <v>766</v>
      </c>
      <c r="P986" s="238">
        <v>1.0</v>
      </c>
      <c r="Q986" s="235" t="s">
        <v>627</v>
      </c>
      <c r="R986" s="238">
        <v>465.71</v>
      </c>
      <c r="S986" s="238">
        <v>23.29</v>
      </c>
      <c r="T986" s="238">
        <v>0.0</v>
      </c>
      <c r="U986" s="238">
        <v>0.0</v>
      </c>
      <c r="V986" s="238">
        <v>0.0</v>
      </c>
      <c r="W986" s="238">
        <v>0.0</v>
      </c>
      <c r="X986" s="235" t="s">
        <v>628</v>
      </c>
      <c r="Z986" s="244"/>
      <c r="AA986" s="244"/>
      <c r="AB986" s="244"/>
      <c r="AC986" s="235" t="s">
        <v>1613</v>
      </c>
      <c r="AD986" s="235" t="s">
        <v>630</v>
      </c>
      <c r="AE986" s="238">
        <v>226017.0</v>
      </c>
      <c r="AF986" s="235" t="s">
        <v>631</v>
      </c>
      <c r="AG986" s="244"/>
      <c r="AH986" s="244"/>
      <c r="AI986" s="245"/>
      <c r="AJ986" s="245"/>
      <c r="AK986" s="245"/>
      <c r="AL986" s="245"/>
      <c r="AM986" s="244"/>
      <c r="AN986" s="244"/>
      <c r="AO986" s="238">
        <v>0.0</v>
      </c>
      <c r="AP986" s="238">
        <v>0.0</v>
      </c>
      <c r="AQ986" s="235" t="s">
        <v>632</v>
      </c>
      <c r="AR986" s="243">
        <v>2.02E11</v>
      </c>
      <c r="AS986" s="235" t="s">
        <v>7365</v>
      </c>
      <c r="AT986" s="235" t="s">
        <v>533</v>
      </c>
      <c r="AU986" s="235" t="s">
        <v>634</v>
      </c>
      <c r="AV986" s="246" t="s">
        <v>635</v>
      </c>
      <c r="AW986" s="242"/>
      <c r="AX986" s="242"/>
      <c r="AY986" s="231"/>
      <c r="AZ986" s="231"/>
      <c r="BA986" s="227"/>
      <c r="BB986" s="231"/>
      <c r="BC986" s="227"/>
      <c r="BD986" s="227"/>
      <c r="BE986" s="227"/>
      <c r="BF986" s="227"/>
    </row>
    <row r="987">
      <c r="A987" s="235" t="s">
        <v>8350</v>
      </c>
      <c r="C987" s="235" t="s">
        <v>8351</v>
      </c>
      <c r="D987" s="235" t="s">
        <v>8352</v>
      </c>
      <c r="E987" s="243">
        <v>6.56E13</v>
      </c>
      <c r="F987" s="245"/>
      <c r="G987" s="235" t="s">
        <v>8353</v>
      </c>
      <c r="H987" s="235" t="s">
        <v>8354</v>
      </c>
      <c r="I987" s="235" t="s">
        <v>8354</v>
      </c>
      <c r="J987" s="235" t="s">
        <v>8355</v>
      </c>
      <c r="K987" s="235" t="s">
        <v>8356</v>
      </c>
      <c r="N987" s="235" t="s">
        <v>68</v>
      </c>
      <c r="O987" s="235" t="s">
        <v>208</v>
      </c>
      <c r="P987" s="238">
        <v>1.0</v>
      </c>
      <c r="Q987" s="235" t="s">
        <v>627</v>
      </c>
      <c r="R987" s="238">
        <v>246.66</v>
      </c>
      <c r="S987" s="238">
        <v>12.34</v>
      </c>
      <c r="T987" s="238">
        <v>0.0</v>
      </c>
      <c r="U987" s="238">
        <v>0.0</v>
      </c>
      <c r="V987" s="238">
        <v>0.0</v>
      </c>
      <c r="W987" s="238">
        <v>0.0</v>
      </c>
      <c r="X987" s="235" t="s">
        <v>628</v>
      </c>
      <c r="Z987" s="244"/>
      <c r="AA987" s="244"/>
      <c r="AB987" s="244"/>
      <c r="AC987" s="235" t="s">
        <v>678</v>
      </c>
      <c r="AD987" s="235" t="s">
        <v>679</v>
      </c>
      <c r="AE987" s="238">
        <v>560066.0</v>
      </c>
      <c r="AF987" s="235" t="s">
        <v>631</v>
      </c>
      <c r="AG987" s="244"/>
      <c r="AH987" s="244"/>
      <c r="AI987" s="245"/>
      <c r="AJ987" s="245"/>
      <c r="AK987" s="245"/>
      <c r="AL987" s="245"/>
      <c r="AM987" s="244"/>
      <c r="AN987" s="244"/>
      <c r="AO987" s="238">
        <v>0.0</v>
      </c>
      <c r="AP987" s="238">
        <v>0.0</v>
      </c>
      <c r="AQ987" s="235" t="s">
        <v>632</v>
      </c>
      <c r="AR987" s="243">
        <v>1.68E11</v>
      </c>
      <c r="AS987" s="235" t="s">
        <v>7913</v>
      </c>
      <c r="AT987" s="235" t="s">
        <v>11</v>
      </c>
      <c r="AU987" s="235" t="s">
        <v>634</v>
      </c>
      <c r="AV987" s="246" t="s">
        <v>635</v>
      </c>
      <c r="AW987" s="242"/>
      <c r="AX987" s="242"/>
      <c r="AY987" s="231"/>
      <c r="AZ987" s="231"/>
      <c r="BA987" s="227"/>
      <c r="BB987" s="231"/>
      <c r="BC987" s="227"/>
      <c r="BD987" s="227"/>
      <c r="BE987" s="227"/>
      <c r="BF987" s="227"/>
    </row>
    <row r="988">
      <c r="A988" s="235" t="s">
        <v>8357</v>
      </c>
      <c r="C988" s="235" t="s">
        <v>8358</v>
      </c>
      <c r="D988" s="235" t="s">
        <v>8359</v>
      </c>
      <c r="E988" s="243">
        <v>6.56E13</v>
      </c>
      <c r="F988" s="245"/>
      <c r="G988" s="235" t="s">
        <v>8360</v>
      </c>
      <c r="H988" s="235" t="s">
        <v>8361</v>
      </c>
      <c r="I988" s="235" t="s">
        <v>8361</v>
      </c>
      <c r="J988" s="235" t="s">
        <v>8362</v>
      </c>
      <c r="K988" s="235" t="s">
        <v>8363</v>
      </c>
      <c r="N988" s="235" t="s">
        <v>127</v>
      </c>
      <c r="O988" s="235" t="s">
        <v>794</v>
      </c>
      <c r="P988" s="238">
        <v>1.0</v>
      </c>
      <c r="Q988" s="235" t="s">
        <v>627</v>
      </c>
      <c r="R988" s="238">
        <v>246.67</v>
      </c>
      <c r="S988" s="238">
        <v>12.33</v>
      </c>
      <c r="T988" s="238">
        <v>0.0</v>
      </c>
      <c r="U988" s="238">
        <v>0.0</v>
      </c>
      <c r="V988" s="238">
        <v>0.0</v>
      </c>
      <c r="W988" s="238">
        <v>0.0</v>
      </c>
      <c r="X988" s="235" t="s">
        <v>628</v>
      </c>
      <c r="Z988" s="244"/>
      <c r="AA988" s="244"/>
      <c r="AB988" s="244"/>
      <c r="AC988" s="235" t="s">
        <v>8364</v>
      </c>
      <c r="AD988" s="235" t="s">
        <v>833</v>
      </c>
      <c r="AE988" s="238">
        <v>517325.0</v>
      </c>
      <c r="AF988" s="235" t="s">
        <v>631</v>
      </c>
      <c r="AG988" s="244"/>
      <c r="AH988" s="244"/>
      <c r="AI988" s="245"/>
      <c r="AJ988" s="245"/>
      <c r="AK988" s="245"/>
      <c r="AL988" s="245"/>
      <c r="AM988" s="244"/>
      <c r="AN988" s="244"/>
      <c r="AO988" s="238">
        <v>0.0</v>
      </c>
      <c r="AP988" s="238">
        <v>0.0</v>
      </c>
      <c r="AQ988" s="235" t="s">
        <v>632</v>
      </c>
      <c r="AR988" s="243">
        <v>1.68E11</v>
      </c>
      <c r="AS988" s="235" t="s">
        <v>7365</v>
      </c>
      <c r="AT988" s="235" t="s">
        <v>156</v>
      </c>
      <c r="AU988" s="235" t="s">
        <v>634</v>
      </c>
      <c r="AV988" s="246" t="s">
        <v>635</v>
      </c>
      <c r="AW988" s="242"/>
      <c r="AX988" s="242"/>
      <c r="AY988" s="231"/>
      <c r="AZ988" s="231"/>
      <c r="BA988" s="227"/>
      <c r="BB988" s="231"/>
      <c r="BC988" s="227"/>
      <c r="BD988" s="227"/>
      <c r="BE988" s="227"/>
      <c r="BF988" s="227"/>
    </row>
    <row r="989">
      <c r="A989" s="235" t="s">
        <v>8365</v>
      </c>
      <c r="C989" s="235" t="s">
        <v>8366</v>
      </c>
      <c r="D989" s="235" t="s">
        <v>8367</v>
      </c>
      <c r="E989" s="243">
        <v>6.56E13</v>
      </c>
      <c r="F989" s="245"/>
      <c r="G989" s="235" t="s">
        <v>8368</v>
      </c>
      <c r="H989" s="235" t="s">
        <v>8369</v>
      </c>
      <c r="I989" s="235" t="s">
        <v>8369</v>
      </c>
      <c r="J989" s="235" t="s">
        <v>8370</v>
      </c>
      <c r="K989" s="235" t="s">
        <v>8371</v>
      </c>
      <c r="N989" s="235" t="s">
        <v>962</v>
      </c>
      <c r="O989" s="235" t="s">
        <v>963</v>
      </c>
      <c r="P989" s="238">
        <v>1.0</v>
      </c>
      <c r="Q989" s="235" t="s">
        <v>627</v>
      </c>
      <c r="R989" s="238">
        <v>246.66</v>
      </c>
      <c r="S989" s="238">
        <v>12.34</v>
      </c>
      <c r="T989" s="238">
        <v>0.0</v>
      </c>
      <c r="U989" s="238">
        <v>0.0</v>
      </c>
      <c r="V989" s="238">
        <v>0.0</v>
      </c>
      <c r="W989" s="238">
        <v>0.0</v>
      </c>
      <c r="X989" s="235" t="s">
        <v>628</v>
      </c>
      <c r="Z989" s="244"/>
      <c r="AA989" s="244"/>
      <c r="AB989" s="244"/>
      <c r="AC989" s="235" t="s">
        <v>8372</v>
      </c>
      <c r="AD989" s="235" t="s">
        <v>666</v>
      </c>
      <c r="AE989" s="238">
        <v>635751.0</v>
      </c>
      <c r="AF989" s="235" t="s">
        <v>631</v>
      </c>
      <c r="AG989" s="244"/>
      <c r="AH989" s="244"/>
      <c r="AI989" s="245"/>
      <c r="AJ989" s="245"/>
      <c r="AK989" s="245"/>
      <c r="AL989" s="245"/>
      <c r="AM989" s="244"/>
      <c r="AN989" s="244"/>
      <c r="AO989" s="238">
        <v>0.0</v>
      </c>
      <c r="AP989" s="238">
        <v>0.0</v>
      </c>
      <c r="AQ989" s="235" t="s">
        <v>632</v>
      </c>
      <c r="AR989" s="243">
        <v>3.71E11</v>
      </c>
      <c r="AS989" s="235" t="s">
        <v>7365</v>
      </c>
      <c r="AT989" s="235" t="s">
        <v>156</v>
      </c>
      <c r="AU989" s="235" t="s">
        <v>634</v>
      </c>
      <c r="AV989" s="246" t="s">
        <v>635</v>
      </c>
      <c r="AW989" s="242"/>
      <c r="AX989" s="242"/>
      <c r="AY989" s="231"/>
      <c r="AZ989" s="231"/>
      <c r="BA989" s="227"/>
      <c r="BB989" s="231"/>
      <c r="BC989" s="227"/>
      <c r="BD989" s="227"/>
      <c r="BE989" s="227"/>
      <c r="BF989" s="227"/>
    </row>
    <row r="990">
      <c r="A990" s="235" t="s">
        <v>8373</v>
      </c>
      <c r="C990" s="235" t="s">
        <v>8374</v>
      </c>
      <c r="D990" s="235" t="s">
        <v>8375</v>
      </c>
      <c r="E990" s="243">
        <v>6.56E13</v>
      </c>
      <c r="F990" s="245"/>
      <c r="G990" s="235" t="s">
        <v>8376</v>
      </c>
      <c r="H990" s="235" t="s">
        <v>8377</v>
      </c>
      <c r="I990" s="235" t="s">
        <v>8377</v>
      </c>
      <c r="J990" s="235" t="s">
        <v>8378</v>
      </c>
      <c r="K990" s="235" t="s">
        <v>8379</v>
      </c>
      <c r="N990" s="235" t="s">
        <v>1646</v>
      </c>
      <c r="O990" s="235" t="s">
        <v>1647</v>
      </c>
      <c r="P990" s="238">
        <v>1.0</v>
      </c>
      <c r="Q990" s="235" t="s">
        <v>627</v>
      </c>
      <c r="R990" s="238">
        <v>270.48</v>
      </c>
      <c r="S990" s="238">
        <v>13.52</v>
      </c>
      <c r="T990" s="238">
        <v>38.1</v>
      </c>
      <c r="U990" s="238">
        <v>1.9</v>
      </c>
      <c r="V990" s="238">
        <v>0.0</v>
      </c>
      <c r="W990" s="238">
        <v>0.0</v>
      </c>
      <c r="X990" s="235" t="s">
        <v>628</v>
      </c>
      <c r="Z990" s="244"/>
      <c r="AA990" s="244"/>
      <c r="AB990" s="244"/>
      <c r="AC990" s="235" t="s">
        <v>687</v>
      </c>
      <c r="AD990" s="235" t="s">
        <v>666</v>
      </c>
      <c r="AE990" s="238">
        <v>600078.0</v>
      </c>
      <c r="AF990" s="235" t="s">
        <v>631</v>
      </c>
      <c r="AG990" s="244"/>
      <c r="AH990" s="244"/>
      <c r="AI990" s="245"/>
      <c r="AJ990" s="245"/>
      <c r="AK990" s="245"/>
      <c r="AL990" s="245"/>
      <c r="AM990" s="244"/>
      <c r="AN990" s="244"/>
      <c r="AO990" s="238">
        <v>0.0</v>
      </c>
      <c r="AP990" s="238">
        <v>-38.1</v>
      </c>
      <c r="AQ990" s="235" t="s">
        <v>632</v>
      </c>
      <c r="AR990" s="243">
        <v>3.71E11</v>
      </c>
      <c r="AS990" s="235" t="s">
        <v>7365</v>
      </c>
      <c r="AT990" s="235" t="s">
        <v>156</v>
      </c>
      <c r="AU990" s="235" t="s">
        <v>634</v>
      </c>
      <c r="AV990" s="246" t="s">
        <v>635</v>
      </c>
      <c r="AW990" s="242"/>
      <c r="AX990" s="242"/>
      <c r="AY990" s="231"/>
      <c r="AZ990" s="231"/>
      <c r="BA990" s="227"/>
      <c r="BB990" s="231"/>
      <c r="BC990" s="227"/>
      <c r="BD990" s="227"/>
      <c r="BE990" s="227"/>
      <c r="BF990" s="227"/>
    </row>
    <row r="991">
      <c r="A991" s="235" t="s">
        <v>8380</v>
      </c>
      <c r="C991" s="235" t="s">
        <v>8381</v>
      </c>
      <c r="D991" s="235" t="s">
        <v>8382</v>
      </c>
      <c r="E991" s="243">
        <v>6.56E13</v>
      </c>
      <c r="F991" s="245"/>
      <c r="G991" s="235" t="s">
        <v>8383</v>
      </c>
      <c r="H991" s="235" t="s">
        <v>8384</v>
      </c>
      <c r="I991" s="235" t="s">
        <v>8384</v>
      </c>
      <c r="J991" s="235" t="s">
        <v>8385</v>
      </c>
      <c r="K991" s="235" t="s">
        <v>8386</v>
      </c>
      <c r="N991" s="235" t="s">
        <v>15</v>
      </c>
      <c r="O991" s="235" t="s">
        <v>856</v>
      </c>
      <c r="P991" s="238">
        <v>2.0</v>
      </c>
      <c r="Q991" s="235" t="s">
        <v>627</v>
      </c>
      <c r="R991" s="238">
        <v>721.9</v>
      </c>
      <c r="S991" s="238">
        <v>35.02</v>
      </c>
      <c r="T991" s="238">
        <v>76.2</v>
      </c>
      <c r="U991" s="238">
        <v>3.8</v>
      </c>
      <c r="V991" s="238">
        <v>0.0</v>
      </c>
      <c r="W991" s="238">
        <v>0.0</v>
      </c>
      <c r="X991" s="235" t="s">
        <v>628</v>
      </c>
      <c r="Z991" s="244"/>
      <c r="AA991" s="244"/>
      <c r="AB991" s="244"/>
      <c r="AC991" s="235" t="s">
        <v>8387</v>
      </c>
      <c r="AD991" s="235" t="s">
        <v>917</v>
      </c>
      <c r="AE991" s="238">
        <v>326001.0</v>
      </c>
      <c r="AF991" s="235" t="s">
        <v>631</v>
      </c>
      <c r="AG991" s="244"/>
      <c r="AH991" s="244"/>
      <c r="AI991" s="245"/>
      <c r="AJ991" s="245"/>
      <c r="AK991" s="245"/>
      <c r="AL991" s="245"/>
      <c r="AM991" s="244"/>
      <c r="AN991" s="244"/>
      <c r="AO991" s="238">
        <v>-21.66</v>
      </c>
      <c r="AP991" s="238">
        <v>-76.2</v>
      </c>
      <c r="AQ991" s="235" t="s">
        <v>632</v>
      </c>
      <c r="AR991" s="243">
        <v>3.71E11</v>
      </c>
      <c r="AS991" s="235" t="s">
        <v>4697</v>
      </c>
      <c r="AT991" s="235" t="s">
        <v>13</v>
      </c>
      <c r="AU991" s="235" t="s">
        <v>634</v>
      </c>
      <c r="AV991" s="246" t="s">
        <v>635</v>
      </c>
      <c r="AW991" s="242"/>
      <c r="AX991" s="242"/>
      <c r="AY991" s="231"/>
      <c r="AZ991" s="231"/>
      <c r="BA991" s="227"/>
      <c r="BB991" s="231"/>
      <c r="BC991" s="227"/>
      <c r="BD991" s="227"/>
      <c r="BE991" s="227"/>
      <c r="BF991" s="227"/>
    </row>
    <row r="992">
      <c r="A992" s="235" t="s">
        <v>8388</v>
      </c>
      <c r="C992" s="235" t="s">
        <v>8389</v>
      </c>
      <c r="D992" s="235" t="s">
        <v>8390</v>
      </c>
      <c r="E992" s="243">
        <v>6.56E13</v>
      </c>
      <c r="F992" s="245"/>
      <c r="G992" s="235" t="s">
        <v>8391</v>
      </c>
      <c r="H992" s="235" t="s">
        <v>8392</v>
      </c>
      <c r="I992" s="235" t="s">
        <v>8392</v>
      </c>
      <c r="J992" s="235" t="s">
        <v>8393</v>
      </c>
      <c r="K992" s="235" t="s">
        <v>8394</v>
      </c>
      <c r="N992" s="235" t="s">
        <v>85</v>
      </c>
      <c r="O992" s="235" t="s">
        <v>872</v>
      </c>
      <c r="P992" s="238">
        <v>1.0</v>
      </c>
      <c r="Q992" s="235" t="s">
        <v>627</v>
      </c>
      <c r="R992" s="238">
        <v>246.66</v>
      </c>
      <c r="S992" s="238">
        <v>12.34</v>
      </c>
      <c r="T992" s="238">
        <v>18.1</v>
      </c>
      <c r="U992" s="238">
        <v>0.9</v>
      </c>
      <c r="V992" s="238">
        <v>0.0</v>
      </c>
      <c r="W992" s="238">
        <v>0.0</v>
      </c>
      <c r="X992" s="235" t="s">
        <v>628</v>
      </c>
      <c r="Z992" s="244"/>
      <c r="AA992" s="244"/>
      <c r="AB992" s="244"/>
      <c r="AC992" s="235" t="s">
        <v>678</v>
      </c>
      <c r="AD992" s="235" t="s">
        <v>679</v>
      </c>
      <c r="AE992" s="238">
        <v>560100.0</v>
      </c>
      <c r="AF992" s="235" t="s">
        <v>631</v>
      </c>
      <c r="AG992" s="244"/>
      <c r="AH992" s="244"/>
      <c r="AI992" s="245"/>
      <c r="AJ992" s="245"/>
      <c r="AK992" s="245"/>
      <c r="AL992" s="245"/>
      <c r="AM992" s="244"/>
      <c r="AN992" s="244"/>
      <c r="AO992" s="238">
        <v>0.0</v>
      </c>
      <c r="AP992" s="238">
        <v>-18.1</v>
      </c>
      <c r="AQ992" s="235" t="s">
        <v>632</v>
      </c>
      <c r="AR992" s="243">
        <v>1.68E11</v>
      </c>
      <c r="AS992" s="235" t="s">
        <v>7913</v>
      </c>
      <c r="AT992" s="235" t="s">
        <v>9</v>
      </c>
      <c r="AU992" s="235" t="s">
        <v>634</v>
      </c>
      <c r="AV992" s="246" t="s">
        <v>635</v>
      </c>
      <c r="AW992" s="242"/>
      <c r="AX992" s="242"/>
      <c r="AY992" s="231"/>
      <c r="AZ992" s="231"/>
      <c r="BA992" s="227"/>
      <c r="BB992" s="231"/>
      <c r="BC992" s="227"/>
      <c r="BD992" s="227"/>
      <c r="BE992" s="227"/>
      <c r="BF992" s="227"/>
    </row>
    <row r="993">
      <c r="A993" s="235" t="s">
        <v>8395</v>
      </c>
      <c r="C993" s="235" t="s">
        <v>8396</v>
      </c>
      <c r="D993" s="235" t="s">
        <v>8397</v>
      </c>
      <c r="E993" s="243">
        <v>6.56E13</v>
      </c>
      <c r="F993" s="245"/>
      <c r="G993" s="235" t="s">
        <v>8398</v>
      </c>
      <c r="H993" s="235" t="s">
        <v>8399</v>
      </c>
      <c r="I993" s="235" t="s">
        <v>8399</v>
      </c>
      <c r="J993" s="235" t="s">
        <v>8400</v>
      </c>
      <c r="K993" s="235" t="s">
        <v>8401</v>
      </c>
      <c r="N993" s="235" t="s">
        <v>55</v>
      </c>
      <c r="O993" s="235" t="s">
        <v>244</v>
      </c>
      <c r="P993" s="238">
        <v>1.0</v>
      </c>
      <c r="Q993" s="235" t="s">
        <v>627</v>
      </c>
      <c r="R993" s="238">
        <v>246.67</v>
      </c>
      <c r="S993" s="238">
        <v>12.33</v>
      </c>
      <c r="T993" s="238">
        <v>0.0</v>
      </c>
      <c r="U993" s="238">
        <v>0.0</v>
      </c>
      <c r="V993" s="238">
        <v>0.0</v>
      </c>
      <c r="W993" s="238">
        <v>0.0</v>
      </c>
      <c r="X993" s="235" t="s">
        <v>628</v>
      </c>
      <c r="Z993" s="244"/>
      <c r="AA993" s="244"/>
      <c r="AB993" s="244"/>
      <c r="AC993" s="235" t="s">
        <v>697</v>
      </c>
      <c r="AD993" s="235" t="s">
        <v>698</v>
      </c>
      <c r="AE993" s="238">
        <v>502032.0</v>
      </c>
      <c r="AF993" s="235" t="s">
        <v>631</v>
      </c>
      <c r="AG993" s="244"/>
      <c r="AH993" s="244"/>
      <c r="AI993" s="245"/>
      <c r="AJ993" s="245"/>
      <c r="AK993" s="245"/>
      <c r="AL993" s="245"/>
      <c r="AM993" s="244"/>
      <c r="AN993" s="244"/>
      <c r="AO993" s="238">
        <v>0.0</v>
      </c>
      <c r="AP993" s="238">
        <v>0.0</v>
      </c>
      <c r="AQ993" s="235" t="s">
        <v>632</v>
      </c>
      <c r="AR993" s="243">
        <v>3.71E11</v>
      </c>
      <c r="AS993" s="235" t="s">
        <v>6164</v>
      </c>
      <c r="AT993" s="235" t="s">
        <v>11</v>
      </c>
      <c r="AU993" s="235" t="s">
        <v>634</v>
      </c>
      <c r="AV993" s="246" t="s">
        <v>635</v>
      </c>
      <c r="AW993" s="242"/>
      <c r="AX993" s="242"/>
      <c r="AY993" s="231"/>
      <c r="AZ993" s="231"/>
      <c r="BA993" s="227"/>
      <c r="BB993" s="231"/>
      <c r="BC993" s="227"/>
      <c r="BD993" s="227"/>
      <c r="BE993" s="227"/>
      <c r="BF993" s="227"/>
    </row>
    <row r="994">
      <c r="A994" s="235" t="s">
        <v>8402</v>
      </c>
      <c r="C994" s="235" t="s">
        <v>8403</v>
      </c>
      <c r="D994" s="235" t="s">
        <v>8404</v>
      </c>
      <c r="E994" s="243">
        <v>6.56E13</v>
      </c>
      <c r="F994" s="245"/>
      <c r="G994" s="235" t="s">
        <v>8405</v>
      </c>
      <c r="H994" s="235" t="s">
        <v>8406</v>
      </c>
      <c r="I994" s="235" t="s">
        <v>8407</v>
      </c>
      <c r="J994" s="235" t="s">
        <v>8408</v>
      </c>
      <c r="K994" s="235" t="s">
        <v>8409</v>
      </c>
      <c r="N994" s="235" t="s">
        <v>130</v>
      </c>
      <c r="O994" s="235" t="s">
        <v>707</v>
      </c>
      <c r="P994" s="238">
        <v>1.0</v>
      </c>
      <c r="Q994" s="235" t="s">
        <v>627</v>
      </c>
      <c r="R994" s="238">
        <v>246.67</v>
      </c>
      <c r="S994" s="238">
        <v>12.33</v>
      </c>
      <c r="T994" s="238">
        <v>0.0</v>
      </c>
      <c r="U994" s="238">
        <v>0.0</v>
      </c>
      <c r="V994" s="238">
        <v>0.0</v>
      </c>
      <c r="W994" s="238">
        <v>0.0</v>
      </c>
      <c r="X994" s="235" t="s">
        <v>628</v>
      </c>
      <c r="Z994" s="244"/>
      <c r="AA994" s="244"/>
      <c r="AB994" s="244"/>
      <c r="AC994" s="235" t="s">
        <v>795</v>
      </c>
      <c r="AD994" s="235" t="s">
        <v>796</v>
      </c>
      <c r="AE994" s="238">
        <v>110037.0</v>
      </c>
      <c r="AF994" s="235" t="s">
        <v>631</v>
      </c>
      <c r="AG994" s="244"/>
      <c r="AH994" s="244"/>
      <c r="AI994" s="245"/>
      <c r="AJ994" s="245"/>
      <c r="AK994" s="245"/>
      <c r="AL994" s="245"/>
      <c r="AM994" s="244"/>
      <c r="AN994" s="244"/>
      <c r="AO994" s="238">
        <v>0.0</v>
      </c>
      <c r="AP994" s="238">
        <v>0.0</v>
      </c>
      <c r="AQ994" s="235" t="s">
        <v>632</v>
      </c>
      <c r="AR994" s="243">
        <v>3.71E11</v>
      </c>
      <c r="AS994" s="235" t="s">
        <v>7365</v>
      </c>
      <c r="AT994" s="235" t="s">
        <v>533</v>
      </c>
      <c r="AU994" s="235" t="s">
        <v>634</v>
      </c>
      <c r="AV994" s="246" t="s">
        <v>635</v>
      </c>
      <c r="AW994" s="242"/>
      <c r="AX994" s="242"/>
      <c r="AY994" s="231"/>
      <c r="AZ994" s="231"/>
      <c r="BA994" s="227"/>
      <c r="BB994" s="231"/>
      <c r="BC994" s="227"/>
      <c r="BD994" s="227"/>
      <c r="BE994" s="227"/>
      <c r="BF994" s="227"/>
    </row>
    <row r="995">
      <c r="A995" s="235" t="s">
        <v>8410</v>
      </c>
      <c r="C995" s="235" t="s">
        <v>8411</v>
      </c>
      <c r="D995" s="235" t="s">
        <v>8412</v>
      </c>
      <c r="E995" s="243">
        <v>6.56E13</v>
      </c>
      <c r="F995" s="245"/>
      <c r="G995" s="235" t="s">
        <v>8413</v>
      </c>
      <c r="H995" s="235" t="s">
        <v>8414</v>
      </c>
      <c r="I995" s="235" t="s">
        <v>8414</v>
      </c>
      <c r="J995" s="235" t="s">
        <v>8415</v>
      </c>
      <c r="K995" s="235" t="s">
        <v>8416</v>
      </c>
      <c r="N995" s="235" t="s">
        <v>35</v>
      </c>
      <c r="O995" s="235" t="s">
        <v>831</v>
      </c>
      <c r="P995" s="238">
        <v>1.0</v>
      </c>
      <c r="Q995" s="235" t="s">
        <v>627</v>
      </c>
      <c r="R995" s="238">
        <v>446.66</v>
      </c>
      <c r="S995" s="238">
        <v>21.9</v>
      </c>
      <c r="T995" s="238">
        <v>0.0</v>
      </c>
      <c r="U995" s="238">
        <v>0.0</v>
      </c>
      <c r="V995" s="238">
        <v>0.0</v>
      </c>
      <c r="W995" s="238">
        <v>0.0</v>
      </c>
      <c r="X995" s="235" t="s">
        <v>628</v>
      </c>
      <c r="Z995" s="244"/>
      <c r="AA995" s="244"/>
      <c r="AB995" s="244"/>
      <c r="AC995" s="235" t="s">
        <v>687</v>
      </c>
      <c r="AD995" s="235" t="s">
        <v>666</v>
      </c>
      <c r="AE995" s="238">
        <v>600096.0</v>
      </c>
      <c r="AF995" s="235" t="s">
        <v>631</v>
      </c>
      <c r="AG995" s="244"/>
      <c r="AH995" s="244"/>
      <c r="AI995" s="245"/>
      <c r="AJ995" s="245"/>
      <c r="AK995" s="245"/>
      <c r="AL995" s="245"/>
      <c r="AM995" s="244"/>
      <c r="AN995" s="244"/>
      <c r="AO995" s="238">
        <v>-8.94</v>
      </c>
      <c r="AP995" s="238">
        <v>0.0</v>
      </c>
      <c r="AQ995" s="235" t="s">
        <v>632</v>
      </c>
      <c r="AR995" s="243">
        <v>1.68E11</v>
      </c>
      <c r="AS995" s="235" t="s">
        <v>7913</v>
      </c>
      <c r="AT995" s="235" t="s">
        <v>156</v>
      </c>
      <c r="AU995" s="235" t="s">
        <v>634</v>
      </c>
      <c r="AV995" s="246" t="s">
        <v>635</v>
      </c>
      <c r="AW995" s="242"/>
      <c r="AX995" s="242"/>
      <c r="AY995" s="231"/>
      <c r="AZ995" s="231"/>
      <c r="BA995" s="227"/>
      <c r="BB995" s="231"/>
      <c r="BC995" s="227"/>
      <c r="BD995" s="227"/>
      <c r="BE995" s="227"/>
      <c r="BF995" s="227"/>
    </row>
    <row r="996">
      <c r="A996" s="235" t="s">
        <v>8417</v>
      </c>
      <c r="C996" s="235" t="s">
        <v>8418</v>
      </c>
      <c r="D996" s="235" t="s">
        <v>8419</v>
      </c>
      <c r="E996" s="243">
        <v>6.56E13</v>
      </c>
      <c r="F996" s="245"/>
      <c r="G996" s="235" t="s">
        <v>8420</v>
      </c>
      <c r="H996" s="235" t="s">
        <v>8421</v>
      </c>
      <c r="I996" s="235" t="s">
        <v>8421</v>
      </c>
      <c r="J996" s="235" t="s">
        <v>8422</v>
      </c>
      <c r="K996" s="235" t="s">
        <v>8423</v>
      </c>
      <c r="N996" s="235" t="s">
        <v>71</v>
      </c>
      <c r="O996" s="235" t="s">
        <v>240</v>
      </c>
      <c r="P996" s="238">
        <v>1.0</v>
      </c>
      <c r="Q996" s="235" t="s">
        <v>627</v>
      </c>
      <c r="R996" s="238">
        <v>246.66</v>
      </c>
      <c r="S996" s="238">
        <v>12.34</v>
      </c>
      <c r="T996" s="238">
        <v>0.0</v>
      </c>
      <c r="U996" s="238">
        <v>0.0</v>
      </c>
      <c r="V996" s="238">
        <v>0.0</v>
      </c>
      <c r="W996" s="238">
        <v>0.0</v>
      </c>
      <c r="X996" s="235" t="s">
        <v>628</v>
      </c>
      <c r="Z996" s="244"/>
      <c r="AA996" s="244"/>
      <c r="AB996" s="244"/>
      <c r="AC996" s="235" t="s">
        <v>2341</v>
      </c>
      <c r="AD996" s="235" t="s">
        <v>928</v>
      </c>
      <c r="AE996" s="238">
        <v>122001.0</v>
      </c>
      <c r="AF996" s="235" t="s">
        <v>631</v>
      </c>
      <c r="AG996" s="244"/>
      <c r="AH996" s="244"/>
      <c r="AI996" s="245"/>
      <c r="AJ996" s="245"/>
      <c r="AK996" s="245"/>
      <c r="AL996" s="245"/>
      <c r="AM996" s="244"/>
      <c r="AN996" s="244"/>
      <c r="AO996" s="238">
        <v>0.0</v>
      </c>
      <c r="AP996" s="238">
        <v>0.0</v>
      </c>
      <c r="AQ996" s="235" t="s">
        <v>632</v>
      </c>
      <c r="AR996" s="243">
        <v>3.71E11</v>
      </c>
      <c r="AS996" s="235" t="s">
        <v>7365</v>
      </c>
      <c r="AT996" s="235" t="s">
        <v>533</v>
      </c>
      <c r="AU996" s="235" t="s">
        <v>634</v>
      </c>
      <c r="AV996" s="246" t="s">
        <v>635</v>
      </c>
      <c r="AW996" s="242"/>
      <c r="AX996" s="242"/>
      <c r="AY996" s="231"/>
      <c r="AZ996" s="231"/>
      <c r="BA996" s="227"/>
      <c r="BB996" s="231"/>
      <c r="BC996" s="227"/>
      <c r="BD996" s="227"/>
      <c r="BE996" s="227"/>
      <c r="BF996" s="227"/>
    </row>
    <row r="997">
      <c r="A997" s="235" t="s">
        <v>8424</v>
      </c>
      <c r="C997" s="235" t="s">
        <v>8425</v>
      </c>
      <c r="D997" s="235" t="s">
        <v>8426</v>
      </c>
      <c r="E997" s="243">
        <v>6.56E13</v>
      </c>
      <c r="F997" s="245"/>
      <c r="G997" s="235" t="s">
        <v>8427</v>
      </c>
      <c r="H997" s="235" t="s">
        <v>8428</v>
      </c>
      <c r="I997" s="235" t="s">
        <v>8428</v>
      </c>
      <c r="J997" s="235" t="s">
        <v>8429</v>
      </c>
      <c r="K997" s="235" t="s">
        <v>8430</v>
      </c>
      <c r="N997" s="235" t="s">
        <v>4</v>
      </c>
      <c r="O997" s="235" t="s">
        <v>1791</v>
      </c>
      <c r="P997" s="238">
        <v>1.0</v>
      </c>
      <c r="Q997" s="235" t="s">
        <v>627</v>
      </c>
      <c r="R997" s="238">
        <v>265.72</v>
      </c>
      <c r="S997" s="238">
        <v>13.28</v>
      </c>
      <c r="T997" s="238">
        <v>0.0</v>
      </c>
      <c r="U997" s="238">
        <v>0.0</v>
      </c>
      <c r="V997" s="238">
        <v>0.0</v>
      </c>
      <c r="W997" s="238">
        <v>0.0</v>
      </c>
      <c r="X997" s="235" t="s">
        <v>628</v>
      </c>
      <c r="Z997" s="244"/>
      <c r="AA997" s="244"/>
      <c r="AB997" s="244"/>
      <c r="AC997" s="235" t="s">
        <v>1058</v>
      </c>
      <c r="AD997" s="235" t="s">
        <v>845</v>
      </c>
      <c r="AE997" s="238">
        <v>400061.0</v>
      </c>
      <c r="AF997" s="235" t="s">
        <v>631</v>
      </c>
      <c r="AG997" s="244"/>
      <c r="AH997" s="244"/>
      <c r="AI997" s="245"/>
      <c r="AJ997" s="245"/>
      <c r="AK997" s="245"/>
      <c r="AL997" s="245"/>
      <c r="AM997" s="244"/>
      <c r="AN997" s="244"/>
      <c r="AO997" s="238">
        <v>0.0</v>
      </c>
      <c r="AP997" s="238">
        <v>0.0</v>
      </c>
      <c r="AQ997" s="235" t="s">
        <v>632</v>
      </c>
      <c r="AR997" s="243">
        <v>1.68E11</v>
      </c>
      <c r="AS997" s="235" t="s">
        <v>7913</v>
      </c>
      <c r="AT997" s="235" t="s">
        <v>16</v>
      </c>
      <c r="AU997" s="235" t="s">
        <v>634</v>
      </c>
      <c r="AV997" s="246" t="s">
        <v>635</v>
      </c>
      <c r="AW997" s="242"/>
      <c r="AX997" s="242"/>
      <c r="AY997" s="231"/>
      <c r="AZ997" s="231"/>
      <c r="BA997" s="227"/>
      <c r="BB997" s="231"/>
      <c r="BC997" s="227"/>
      <c r="BD997" s="227"/>
      <c r="BE997" s="227"/>
      <c r="BF997" s="227"/>
    </row>
    <row r="998">
      <c r="A998" s="235" t="s">
        <v>8432</v>
      </c>
      <c r="C998" s="235" t="s">
        <v>8433</v>
      </c>
      <c r="D998" s="235" t="s">
        <v>8434</v>
      </c>
      <c r="E998" s="243">
        <v>6.56E13</v>
      </c>
      <c r="F998" s="245"/>
      <c r="G998" s="235" t="s">
        <v>8435</v>
      </c>
      <c r="H998" s="235" t="s">
        <v>8436</v>
      </c>
      <c r="I998" s="235" t="s">
        <v>8437</v>
      </c>
      <c r="J998" s="235" t="s">
        <v>8438</v>
      </c>
      <c r="K998" s="235" t="s">
        <v>8439</v>
      </c>
      <c r="N998" s="235" t="s">
        <v>1346</v>
      </c>
      <c r="O998" s="235" t="s">
        <v>1347</v>
      </c>
      <c r="P998" s="238">
        <v>1.0</v>
      </c>
      <c r="Q998" s="235" t="s">
        <v>627</v>
      </c>
      <c r="R998" s="238">
        <v>256.2</v>
      </c>
      <c r="S998" s="238">
        <v>12.8</v>
      </c>
      <c r="T998" s="238">
        <v>0.0</v>
      </c>
      <c r="U998" s="238">
        <v>0.0</v>
      </c>
      <c r="V998" s="238">
        <v>0.0</v>
      </c>
      <c r="W998" s="238">
        <v>0.0</v>
      </c>
      <c r="X998" s="235" t="s">
        <v>628</v>
      </c>
      <c r="Z998" s="244"/>
      <c r="AA998" s="244"/>
      <c r="AB998" s="244"/>
      <c r="AC998" s="235" t="s">
        <v>952</v>
      </c>
      <c r="AD998" s="235" t="s">
        <v>666</v>
      </c>
      <c r="AE998" s="238">
        <v>600011.0</v>
      </c>
      <c r="AF998" s="235" t="s">
        <v>631</v>
      </c>
      <c r="AG998" s="244"/>
      <c r="AH998" s="244"/>
      <c r="AI998" s="245"/>
      <c r="AJ998" s="245"/>
      <c r="AK998" s="245"/>
      <c r="AL998" s="245"/>
      <c r="AM998" s="244"/>
      <c r="AN998" s="244"/>
      <c r="AO998" s="238">
        <v>0.0</v>
      </c>
      <c r="AP998" s="238">
        <v>0.0</v>
      </c>
      <c r="AQ998" s="235" t="s">
        <v>632</v>
      </c>
      <c r="AR998" s="243">
        <v>1.68E11</v>
      </c>
      <c r="AS998" s="235" t="s">
        <v>7913</v>
      </c>
      <c r="AT998" s="235" t="s">
        <v>156</v>
      </c>
      <c r="AU998" s="235" t="s">
        <v>634</v>
      </c>
      <c r="AV998" s="246" t="s">
        <v>635</v>
      </c>
      <c r="AW998" s="242"/>
      <c r="AX998" s="242"/>
      <c r="AY998" s="231"/>
      <c r="AZ998" s="231"/>
      <c r="BA998" s="227"/>
      <c r="BB998" s="231"/>
      <c r="BC998" s="227"/>
      <c r="BD998" s="227"/>
      <c r="BE998" s="227"/>
      <c r="BF998" s="227"/>
    </row>
    <row r="999">
      <c r="A999" s="235" t="s">
        <v>8440</v>
      </c>
      <c r="C999" s="235" t="s">
        <v>8441</v>
      </c>
      <c r="D999" s="235" t="s">
        <v>8442</v>
      </c>
      <c r="E999" s="243">
        <v>6.56E13</v>
      </c>
      <c r="F999" s="245"/>
      <c r="G999" s="235" t="s">
        <v>8443</v>
      </c>
      <c r="H999" s="235" t="s">
        <v>8444</v>
      </c>
      <c r="I999" s="235" t="s">
        <v>8444</v>
      </c>
      <c r="J999" s="235" t="s">
        <v>8445</v>
      </c>
      <c r="K999" s="235" t="s">
        <v>8446</v>
      </c>
      <c r="N999" s="235" t="s">
        <v>1346</v>
      </c>
      <c r="O999" s="235" t="s">
        <v>1347</v>
      </c>
      <c r="P999" s="238">
        <v>1.0</v>
      </c>
      <c r="Q999" s="235" t="s">
        <v>627</v>
      </c>
      <c r="R999" s="238">
        <v>256.19</v>
      </c>
      <c r="S999" s="238">
        <v>12.81</v>
      </c>
      <c r="T999" s="238">
        <v>0.0</v>
      </c>
      <c r="U999" s="238">
        <v>0.0</v>
      </c>
      <c r="V999" s="238">
        <v>0.0</v>
      </c>
      <c r="W999" s="238">
        <v>0.0</v>
      </c>
      <c r="X999" s="235" t="s">
        <v>628</v>
      </c>
      <c r="Z999" s="244"/>
      <c r="AA999" s="244"/>
      <c r="AB999" s="244"/>
      <c r="AC999" s="235" t="s">
        <v>8447</v>
      </c>
      <c r="AD999" s="235" t="s">
        <v>1151</v>
      </c>
      <c r="AE999" s="238">
        <v>712245.0</v>
      </c>
      <c r="AF999" s="235" t="s">
        <v>631</v>
      </c>
      <c r="AG999" s="244"/>
      <c r="AH999" s="244"/>
      <c r="AI999" s="245"/>
      <c r="AJ999" s="245"/>
      <c r="AK999" s="245"/>
      <c r="AL999" s="245"/>
      <c r="AM999" s="244"/>
      <c r="AN999" s="244"/>
      <c r="AO999" s="238">
        <v>0.0</v>
      </c>
      <c r="AP999" s="238">
        <v>0.0</v>
      </c>
      <c r="AQ999" s="235" t="s">
        <v>632</v>
      </c>
      <c r="AR999" s="243">
        <v>3.71E11</v>
      </c>
      <c r="AS999" s="235" t="s">
        <v>2276</v>
      </c>
      <c r="AT999" s="235" t="s">
        <v>156</v>
      </c>
      <c r="AU999" s="235" t="s">
        <v>634</v>
      </c>
      <c r="AV999" s="246" t="s">
        <v>635</v>
      </c>
      <c r="AW999" s="242"/>
      <c r="AX999" s="242"/>
      <c r="AY999" s="231"/>
      <c r="AZ999" s="231"/>
      <c r="BA999" s="227"/>
      <c r="BB999" s="231"/>
      <c r="BC999" s="227"/>
      <c r="BD999" s="227"/>
      <c r="BE999" s="227"/>
      <c r="BF999" s="227"/>
    </row>
    <row r="1000">
      <c r="A1000" s="235" t="s">
        <v>8448</v>
      </c>
      <c r="C1000" s="235" t="s">
        <v>8449</v>
      </c>
      <c r="D1000" s="235" t="s">
        <v>8450</v>
      </c>
      <c r="E1000" s="243">
        <v>6.56E13</v>
      </c>
      <c r="F1000" s="245"/>
      <c r="G1000" s="235" t="s">
        <v>8451</v>
      </c>
      <c r="H1000" s="235" t="s">
        <v>8452</v>
      </c>
      <c r="I1000" s="235" t="s">
        <v>8452</v>
      </c>
      <c r="J1000" s="235" t="s">
        <v>8453</v>
      </c>
      <c r="K1000" s="235" t="s">
        <v>8454</v>
      </c>
      <c r="N1000" s="235" t="s">
        <v>68</v>
      </c>
      <c r="O1000" s="235" t="s">
        <v>208</v>
      </c>
      <c r="P1000" s="238">
        <v>1.0</v>
      </c>
      <c r="Q1000" s="235" t="s">
        <v>627</v>
      </c>
      <c r="R1000" s="238">
        <v>246.66</v>
      </c>
      <c r="S1000" s="238">
        <v>12.34</v>
      </c>
      <c r="T1000" s="238">
        <v>2.6</v>
      </c>
      <c r="U1000" s="238">
        <v>0.12</v>
      </c>
      <c r="V1000" s="238">
        <v>0.0</v>
      </c>
      <c r="W1000" s="238">
        <v>0.0</v>
      </c>
      <c r="X1000" s="235" t="s">
        <v>628</v>
      </c>
      <c r="Z1000" s="244"/>
      <c r="AA1000" s="244"/>
      <c r="AB1000" s="244"/>
      <c r="AC1000" s="235" t="s">
        <v>1604</v>
      </c>
      <c r="AD1000" s="235" t="s">
        <v>845</v>
      </c>
      <c r="AE1000" s="238">
        <v>400104.0</v>
      </c>
      <c r="AF1000" s="235" t="s">
        <v>631</v>
      </c>
      <c r="AG1000" s="244"/>
      <c r="AH1000" s="244"/>
      <c r="AI1000" s="245"/>
      <c r="AJ1000" s="245"/>
      <c r="AK1000" s="245"/>
      <c r="AL1000" s="245"/>
      <c r="AM1000" s="244"/>
      <c r="AN1000" s="244"/>
      <c r="AO1000" s="238">
        <v>0.0</v>
      </c>
      <c r="AP1000" s="238">
        <v>-2.6</v>
      </c>
      <c r="AQ1000" s="235" t="s">
        <v>632</v>
      </c>
      <c r="AR1000" s="243">
        <v>1.68E11</v>
      </c>
      <c r="AS1000" s="235" t="s">
        <v>7913</v>
      </c>
      <c r="AT1000" s="235" t="s">
        <v>16</v>
      </c>
      <c r="AU1000" s="235" t="s">
        <v>634</v>
      </c>
      <c r="AV1000" s="246" t="s">
        <v>635</v>
      </c>
      <c r="AW1000" s="242"/>
      <c r="AX1000" s="242"/>
      <c r="AY1000" s="231"/>
      <c r="AZ1000" s="231"/>
      <c r="BA1000" s="227"/>
      <c r="BB1000" s="231"/>
      <c r="BC1000" s="227"/>
      <c r="BD1000" s="227"/>
      <c r="BE1000" s="227"/>
      <c r="BF1000" s="227"/>
    </row>
    <row r="1001">
      <c r="A1001" s="235" t="s">
        <v>8455</v>
      </c>
      <c r="C1001" s="235" t="s">
        <v>8456</v>
      </c>
      <c r="D1001" s="235" t="s">
        <v>8457</v>
      </c>
      <c r="E1001" s="243">
        <v>6.56E13</v>
      </c>
      <c r="F1001" s="245"/>
      <c r="G1001" s="235" t="s">
        <v>8458</v>
      </c>
      <c r="H1001" s="235" t="s">
        <v>8459</v>
      </c>
      <c r="I1001" s="235" t="s">
        <v>8459</v>
      </c>
      <c r="J1001" s="235" t="s">
        <v>8460</v>
      </c>
      <c r="K1001" s="235" t="s">
        <v>8461</v>
      </c>
      <c r="N1001" s="235" t="s">
        <v>153</v>
      </c>
      <c r="O1001" s="235" t="s">
        <v>390</v>
      </c>
      <c r="P1001" s="238">
        <v>1.0</v>
      </c>
      <c r="Q1001" s="235" t="s">
        <v>627</v>
      </c>
      <c r="R1001" s="238">
        <v>490.68</v>
      </c>
      <c r="S1001" s="238">
        <v>88.32</v>
      </c>
      <c r="T1001" s="238">
        <v>0.0</v>
      </c>
      <c r="U1001" s="238">
        <v>0.0</v>
      </c>
      <c r="V1001" s="238">
        <v>0.0</v>
      </c>
      <c r="W1001" s="238">
        <v>0.0</v>
      </c>
      <c r="X1001" s="235" t="s">
        <v>628</v>
      </c>
      <c r="Z1001" s="244"/>
      <c r="AA1001" s="244"/>
      <c r="AB1001" s="244"/>
      <c r="AC1001" s="235" t="s">
        <v>665</v>
      </c>
      <c r="AD1001" s="235" t="s">
        <v>666</v>
      </c>
      <c r="AE1001" s="238">
        <v>632509.0</v>
      </c>
      <c r="AF1001" s="235" t="s">
        <v>631</v>
      </c>
      <c r="AG1001" s="244"/>
      <c r="AH1001" s="244"/>
      <c r="AI1001" s="245"/>
      <c r="AJ1001" s="245"/>
      <c r="AK1001" s="245"/>
      <c r="AL1001" s="245"/>
      <c r="AM1001" s="244"/>
      <c r="AN1001" s="244"/>
      <c r="AO1001" s="238">
        <v>0.0</v>
      </c>
      <c r="AP1001" s="238">
        <v>0.0</v>
      </c>
      <c r="AQ1001" s="235" t="s">
        <v>632</v>
      </c>
      <c r="AR1001" s="243">
        <v>3.71E11</v>
      </c>
      <c r="AS1001" s="235" t="s">
        <v>7365</v>
      </c>
      <c r="AT1001" s="235" t="s">
        <v>156</v>
      </c>
      <c r="AU1001" s="235" t="s">
        <v>634</v>
      </c>
      <c r="AV1001" s="246" t="s">
        <v>635</v>
      </c>
      <c r="AW1001" s="242"/>
      <c r="AX1001" s="242"/>
      <c r="AY1001" s="231"/>
      <c r="AZ1001" s="231"/>
      <c r="BA1001" s="227"/>
      <c r="BB1001" s="231"/>
      <c r="BC1001" s="227"/>
      <c r="BD1001" s="227"/>
      <c r="BE1001" s="227"/>
      <c r="BF1001" s="227"/>
    </row>
    <row r="1002">
      <c r="A1002" s="235" t="s">
        <v>8462</v>
      </c>
      <c r="C1002" s="235" t="s">
        <v>8463</v>
      </c>
      <c r="D1002" s="235" t="s">
        <v>8464</v>
      </c>
      <c r="E1002" s="243">
        <v>6.56E13</v>
      </c>
      <c r="F1002" s="245"/>
      <c r="G1002" s="235" t="s">
        <v>8465</v>
      </c>
      <c r="H1002" s="235" t="s">
        <v>8466</v>
      </c>
      <c r="I1002" s="235" t="s">
        <v>8466</v>
      </c>
      <c r="J1002" s="235" t="s">
        <v>8467</v>
      </c>
      <c r="K1002" s="235" t="s">
        <v>8468</v>
      </c>
      <c r="N1002" s="235" t="s">
        <v>42</v>
      </c>
      <c r="O1002" s="235" t="s">
        <v>204</v>
      </c>
      <c r="P1002" s="238">
        <v>1.0</v>
      </c>
      <c r="Q1002" s="235" t="s">
        <v>627</v>
      </c>
      <c r="R1002" s="238">
        <v>237.14</v>
      </c>
      <c r="S1002" s="238">
        <v>11.86</v>
      </c>
      <c r="T1002" s="238">
        <v>75.24</v>
      </c>
      <c r="U1002" s="238">
        <v>3.76</v>
      </c>
      <c r="V1002" s="238">
        <v>0.0</v>
      </c>
      <c r="W1002" s="238">
        <v>0.0</v>
      </c>
      <c r="X1002" s="235" t="s">
        <v>628</v>
      </c>
      <c r="Z1002" s="244"/>
      <c r="AA1002" s="244"/>
      <c r="AB1002" s="244"/>
      <c r="AC1002" s="235" t="s">
        <v>6555</v>
      </c>
      <c r="AD1002" s="235" t="s">
        <v>679</v>
      </c>
      <c r="AE1002" s="238">
        <v>575003.0</v>
      </c>
      <c r="AF1002" s="235" t="s">
        <v>631</v>
      </c>
      <c r="AG1002" s="244"/>
      <c r="AH1002" s="244"/>
      <c r="AI1002" s="245"/>
      <c r="AJ1002" s="245"/>
      <c r="AK1002" s="245"/>
      <c r="AL1002" s="245"/>
      <c r="AM1002" s="244"/>
      <c r="AN1002" s="244"/>
      <c r="AO1002" s="238">
        <v>0.0</v>
      </c>
      <c r="AP1002" s="238">
        <v>-75.24</v>
      </c>
      <c r="AQ1002" s="235" t="s">
        <v>632</v>
      </c>
      <c r="AR1002" s="243">
        <v>3.71E11</v>
      </c>
      <c r="AS1002" s="235" t="s">
        <v>7365</v>
      </c>
      <c r="AT1002" s="235" t="s">
        <v>9</v>
      </c>
      <c r="AU1002" s="235" t="s">
        <v>634</v>
      </c>
      <c r="AV1002" s="246" t="s">
        <v>635</v>
      </c>
      <c r="AW1002" s="242"/>
      <c r="AX1002" s="242"/>
      <c r="AY1002" s="231"/>
      <c r="AZ1002" s="231"/>
      <c r="BA1002" s="227"/>
      <c r="BB1002" s="231"/>
      <c r="BC1002" s="227"/>
      <c r="BD1002" s="227"/>
      <c r="BE1002" s="227"/>
      <c r="BF1002" s="227"/>
    </row>
    <row r="1003">
      <c r="A1003" s="235" t="s">
        <v>8469</v>
      </c>
      <c r="C1003" s="235" t="s">
        <v>8470</v>
      </c>
      <c r="D1003" s="235" t="s">
        <v>8471</v>
      </c>
      <c r="E1003" s="243">
        <v>6.56E13</v>
      </c>
      <c r="F1003" s="245"/>
      <c r="G1003" s="235" t="s">
        <v>8472</v>
      </c>
      <c r="H1003" s="235" t="s">
        <v>8473</v>
      </c>
      <c r="I1003" s="235" t="s">
        <v>8473</v>
      </c>
      <c r="J1003" s="235" t="s">
        <v>8474</v>
      </c>
      <c r="K1003" s="235" t="s">
        <v>8475</v>
      </c>
      <c r="N1003" s="235" t="s">
        <v>2848</v>
      </c>
      <c r="O1003" s="235" t="s">
        <v>2849</v>
      </c>
      <c r="P1003" s="238">
        <v>1.0</v>
      </c>
      <c r="Q1003" s="235" t="s">
        <v>627</v>
      </c>
      <c r="R1003" s="238">
        <v>246.66</v>
      </c>
      <c r="S1003" s="238">
        <v>12.34</v>
      </c>
      <c r="T1003" s="238">
        <v>38.1</v>
      </c>
      <c r="U1003" s="238">
        <v>1.9</v>
      </c>
      <c r="V1003" s="238">
        <v>0.0</v>
      </c>
      <c r="W1003" s="238">
        <v>0.0</v>
      </c>
      <c r="X1003" s="235" t="s">
        <v>628</v>
      </c>
      <c r="Z1003" s="244"/>
      <c r="AA1003" s="244"/>
      <c r="AB1003" s="244"/>
      <c r="AC1003" s="235" t="s">
        <v>8476</v>
      </c>
      <c r="AD1003" s="235" t="s">
        <v>845</v>
      </c>
      <c r="AE1003" s="238">
        <v>444602.0</v>
      </c>
      <c r="AF1003" s="235" t="s">
        <v>631</v>
      </c>
      <c r="AG1003" s="244"/>
      <c r="AH1003" s="244"/>
      <c r="AI1003" s="245"/>
      <c r="AJ1003" s="245"/>
      <c r="AK1003" s="245"/>
      <c r="AL1003" s="245"/>
      <c r="AM1003" s="244"/>
      <c r="AN1003" s="244"/>
      <c r="AO1003" s="238">
        <v>0.0</v>
      </c>
      <c r="AP1003" s="238">
        <v>-38.1</v>
      </c>
      <c r="AQ1003" s="235" t="s">
        <v>632</v>
      </c>
      <c r="AR1003" s="243">
        <v>3.71E11</v>
      </c>
      <c r="AS1003" s="235" t="s">
        <v>3284</v>
      </c>
      <c r="AT1003" s="235" t="s">
        <v>546</v>
      </c>
      <c r="AU1003" s="235" t="s">
        <v>634</v>
      </c>
      <c r="AV1003" s="246" t="s">
        <v>635</v>
      </c>
      <c r="AW1003" s="242"/>
      <c r="AX1003" s="242"/>
      <c r="AY1003" s="231"/>
      <c r="AZ1003" s="231"/>
      <c r="BA1003" s="227"/>
      <c r="BB1003" s="231"/>
      <c r="BC1003" s="227"/>
      <c r="BD1003" s="227"/>
      <c r="BE1003" s="227"/>
      <c r="BF1003" s="227"/>
    </row>
    <row r="1004">
      <c r="A1004" s="235" t="s">
        <v>8477</v>
      </c>
      <c r="C1004" s="235" t="s">
        <v>8478</v>
      </c>
      <c r="D1004" s="235" t="s">
        <v>8479</v>
      </c>
      <c r="E1004" s="243">
        <v>6.56E13</v>
      </c>
      <c r="F1004" s="245"/>
      <c r="G1004" s="235" t="s">
        <v>8480</v>
      </c>
      <c r="H1004" s="235" t="s">
        <v>8481</v>
      </c>
      <c r="I1004" s="235" t="s">
        <v>8481</v>
      </c>
      <c r="J1004" s="235" t="s">
        <v>8482</v>
      </c>
      <c r="K1004" s="235" t="s">
        <v>8483</v>
      </c>
      <c r="N1004" s="235" t="s">
        <v>43</v>
      </c>
      <c r="O1004" s="235" t="s">
        <v>276</v>
      </c>
      <c r="P1004" s="238">
        <v>1.0</v>
      </c>
      <c r="Q1004" s="235" t="s">
        <v>627</v>
      </c>
      <c r="R1004" s="238">
        <v>237.14</v>
      </c>
      <c r="S1004" s="238">
        <v>11.62</v>
      </c>
      <c r="T1004" s="238">
        <v>0.0</v>
      </c>
      <c r="U1004" s="238">
        <v>0.0</v>
      </c>
      <c r="V1004" s="238">
        <v>0.0</v>
      </c>
      <c r="W1004" s="238">
        <v>0.0</v>
      </c>
      <c r="X1004" s="235" t="s">
        <v>628</v>
      </c>
      <c r="Z1004" s="244"/>
      <c r="AA1004" s="244"/>
      <c r="AB1004" s="244"/>
      <c r="AC1004" s="235" t="s">
        <v>678</v>
      </c>
      <c r="AD1004" s="235" t="s">
        <v>679</v>
      </c>
      <c r="AE1004" s="238">
        <v>560066.0</v>
      </c>
      <c r="AF1004" s="235" t="s">
        <v>631</v>
      </c>
      <c r="AG1004" s="244"/>
      <c r="AH1004" s="244"/>
      <c r="AI1004" s="245"/>
      <c r="AJ1004" s="245"/>
      <c r="AK1004" s="245"/>
      <c r="AL1004" s="245"/>
      <c r="AM1004" s="244"/>
      <c r="AN1004" s="244"/>
      <c r="AO1004" s="238">
        <v>-4.74</v>
      </c>
      <c r="AP1004" s="238">
        <v>0.0</v>
      </c>
      <c r="AQ1004" s="235" t="s">
        <v>632</v>
      </c>
      <c r="AR1004" s="243">
        <v>2.02E11</v>
      </c>
      <c r="AS1004" s="235" t="s">
        <v>7365</v>
      </c>
      <c r="AT1004" s="235" t="s">
        <v>13</v>
      </c>
      <c r="AU1004" s="235" t="s">
        <v>634</v>
      </c>
      <c r="AV1004" s="246" t="s">
        <v>635</v>
      </c>
      <c r="AW1004" s="242"/>
      <c r="AX1004" s="242"/>
      <c r="AY1004" s="231"/>
      <c r="AZ1004" s="231"/>
      <c r="BA1004" s="227"/>
      <c r="BB1004" s="231"/>
      <c r="BC1004" s="227"/>
      <c r="BD1004" s="227"/>
      <c r="BE1004" s="227"/>
      <c r="BF1004" s="227"/>
    </row>
    <row r="1005">
      <c r="A1005" s="235" t="s">
        <v>8484</v>
      </c>
      <c r="C1005" s="235" t="s">
        <v>8485</v>
      </c>
      <c r="D1005" s="235" t="s">
        <v>8486</v>
      </c>
      <c r="E1005" s="243">
        <v>6.56E13</v>
      </c>
      <c r="F1005" s="245"/>
      <c r="G1005" s="235" t="s">
        <v>8487</v>
      </c>
      <c r="H1005" s="235" t="s">
        <v>8488</v>
      </c>
      <c r="I1005" s="235" t="s">
        <v>8488</v>
      </c>
      <c r="J1005" s="235" t="s">
        <v>8489</v>
      </c>
      <c r="K1005" s="235" t="s">
        <v>8490</v>
      </c>
      <c r="N1005" s="235" t="s">
        <v>90</v>
      </c>
      <c r="O1005" s="235" t="s">
        <v>279</v>
      </c>
      <c r="P1005" s="238">
        <v>1.0</v>
      </c>
      <c r="Q1005" s="235" t="s">
        <v>627</v>
      </c>
      <c r="R1005" s="238">
        <v>246.66</v>
      </c>
      <c r="S1005" s="238">
        <v>11.97</v>
      </c>
      <c r="T1005" s="238">
        <v>9.04</v>
      </c>
      <c r="U1005" s="238">
        <v>0.46</v>
      </c>
      <c r="V1005" s="238">
        <v>0.0</v>
      </c>
      <c r="W1005" s="238">
        <v>0.0</v>
      </c>
      <c r="X1005" s="235" t="s">
        <v>628</v>
      </c>
      <c r="Z1005" s="244"/>
      <c r="AA1005" s="244"/>
      <c r="AB1005" s="244"/>
      <c r="AC1005" s="235" t="s">
        <v>1255</v>
      </c>
      <c r="AD1005" s="235" t="s">
        <v>845</v>
      </c>
      <c r="AE1005" s="238">
        <v>401105.0</v>
      </c>
      <c r="AF1005" s="235" t="s">
        <v>631</v>
      </c>
      <c r="AG1005" s="244"/>
      <c r="AH1005" s="244"/>
      <c r="AI1005" s="245"/>
      <c r="AJ1005" s="245"/>
      <c r="AK1005" s="245"/>
      <c r="AL1005" s="245"/>
      <c r="AM1005" s="244"/>
      <c r="AN1005" s="244"/>
      <c r="AO1005" s="238">
        <v>-7.4</v>
      </c>
      <c r="AP1005" s="238">
        <v>-9.04</v>
      </c>
      <c r="AQ1005" s="235" t="s">
        <v>632</v>
      </c>
      <c r="AR1005" s="243">
        <v>1.68E11</v>
      </c>
      <c r="AS1005" s="235" t="s">
        <v>7913</v>
      </c>
      <c r="AT1005" s="235" t="s">
        <v>16</v>
      </c>
      <c r="AU1005" s="235" t="s">
        <v>634</v>
      </c>
      <c r="AV1005" s="246" t="s">
        <v>635</v>
      </c>
      <c r="AW1005" s="242"/>
      <c r="AX1005" s="242"/>
      <c r="AY1005" s="231"/>
      <c r="AZ1005" s="231"/>
      <c r="BA1005" s="227"/>
      <c r="BB1005" s="231"/>
      <c r="BC1005" s="227"/>
      <c r="BD1005" s="227"/>
      <c r="BE1005" s="227"/>
      <c r="BF1005" s="227"/>
    </row>
    <row r="1006">
      <c r="A1006" s="235" t="s">
        <v>8484</v>
      </c>
      <c r="C1006" s="235" t="s">
        <v>8485</v>
      </c>
      <c r="D1006" s="235" t="s">
        <v>8491</v>
      </c>
      <c r="E1006" s="243">
        <v>6.56E13</v>
      </c>
      <c r="F1006" s="245"/>
      <c r="G1006" s="235" t="s">
        <v>8487</v>
      </c>
      <c r="H1006" s="235" t="s">
        <v>8488</v>
      </c>
      <c r="I1006" s="235" t="s">
        <v>8488</v>
      </c>
      <c r="J1006" s="235" t="s">
        <v>8489</v>
      </c>
      <c r="K1006" s="235" t="s">
        <v>8490</v>
      </c>
      <c r="N1006" s="235" t="s">
        <v>90</v>
      </c>
      <c r="O1006" s="235" t="s">
        <v>279</v>
      </c>
      <c r="P1006" s="238">
        <v>1.0</v>
      </c>
      <c r="Q1006" s="235" t="s">
        <v>627</v>
      </c>
      <c r="R1006" s="238">
        <v>246.66</v>
      </c>
      <c r="S1006" s="238">
        <v>11.97</v>
      </c>
      <c r="T1006" s="238">
        <v>9.04</v>
      </c>
      <c r="U1006" s="238">
        <v>0.46</v>
      </c>
      <c r="V1006" s="238">
        <v>0.0</v>
      </c>
      <c r="W1006" s="238">
        <v>0.0</v>
      </c>
      <c r="X1006" s="235" t="s">
        <v>628</v>
      </c>
      <c r="Z1006" s="244"/>
      <c r="AA1006" s="244"/>
      <c r="AB1006" s="244"/>
      <c r="AC1006" s="235" t="s">
        <v>1255</v>
      </c>
      <c r="AD1006" s="235" t="s">
        <v>845</v>
      </c>
      <c r="AE1006" s="238">
        <v>401105.0</v>
      </c>
      <c r="AF1006" s="235" t="s">
        <v>631</v>
      </c>
      <c r="AG1006" s="244"/>
      <c r="AH1006" s="244"/>
      <c r="AI1006" s="245"/>
      <c r="AJ1006" s="245"/>
      <c r="AK1006" s="245"/>
      <c r="AL1006" s="245"/>
      <c r="AM1006" s="244"/>
      <c r="AN1006" s="244"/>
      <c r="AO1006" s="238">
        <v>-7.4</v>
      </c>
      <c r="AP1006" s="238">
        <v>-9.04</v>
      </c>
      <c r="AQ1006" s="235" t="s">
        <v>632</v>
      </c>
      <c r="AR1006" s="243">
        <v>1.68E11</v>
      </c>
      <c r="AS1006" s="235" t="s">
        <v>7913</v>
      </c>
      <c r="AT1006" s="235" t="s">
        <v>16</v>
      </c>
      <c r="AU1006" s="235" t="s">
        <v>634</v>
      </c>
      <c r="AV1006" s="246" t="s">
        <v>635</v>
      </c>
      <c r="AW1006" s="242"/>
      <c r="AX1006" s="242"/>
      <c r="AY1006" s="231"/>
      <c r="AZ1006" s="231"/>
      <c r="BA1006" s="227"/>
      <c r="BB1006" s="231"/>
      <c r="BC1006" s="227"/>
      <c r="BD1006" s="227"/>
      <c r="BE1006" s="227"/>
      <c r="BF1006" s="227"/>
    </row>
    <row r="1007">
      <c r="A1007" s="235" t="s">
        <v>8492</v>
      </c>
      <c r="C1007" s="235" t="s">
        <v>8493</v>
      </c>
      <c r="D1007" s="235" t="s">
        <v>8494</v>
      </c>
      <c r="E1007" s="243">
        <v>6.55E13</v>
      </c>
      <c r="F1007" s="245"/>
      <c r="G1007" s="235" t="s">
        <v>8495</v>
      </c>
      <c r="H1007" s="235" t="s">
        <v>8496</v>
      </c>
      <c r="I1007" s="235" t="s">
        <v>8496</v>
      </c>
      <c r="J1007" s="235" t="s">
        <v>8497</v>
      </c>
      <c r="K1007" s="235" t="s">
        <v>8498</v>
      </c>
      <c r="N1007" s="235" t="s">
        <v>127</v>
      </c>
      <c r="O1007" s="235" t="s">
        <v>794</v>
      </c>
      <c r="P1007" s="238">
        <v>1.0</v>
      </c>
      <c r="Q1007" s="235" t="s">
        <v>627</v>
      </c>
      <c r="R1007" s="238">
        <v>246.66</v>
      </c>
      <c r="S1007" s="238">
        <v>12.34</v>
      </c>
      <c r="T1007" s="238">
        <v>38.1</v>
      </c>
      <c r="U1007" s="238">
        <v>1.9</v>
      </c>
      <c r="V1007" s="238">
        <v>0.0</v>
      </c>
      <c r="W1007" s="238">
        <v>0.0</v>
      </c>
      <c r="X1007" s="235" t="s">
        <v>628</v>
      </c>
      <c r="Z1007" s="244"/>
      <c r="AA1007" s="244"/>
      <c r="AB1007" s="244"/>
      <c r="AC1007" s="235" t="s">
        <v>991</v>
      </c>
      <c r="AD1007" s="235" t="s">
        <v>845</v>
      </c>
      <c r="AE1007" s="238">
        <v>416002.0</v>
      </c>
      <c r="AF1007" s="235" t="s">
        <v>631</v>
      </c>
      <c r="AG1007" s="244"/>
      <c r="AH1007" s="244"/>
      <c r="AI1007" s="245"/>
      <c r="AJ1007" s="245"/>
      <c r="AK1007" s="245"/>
      <c r="AL1007" s="245"/>
      <c r="AM1007" s="244"/>
      <c r="AN1007" s="244"/>
      <c r="AO1007" s="238">
        <v>0.0</v>
      </c>
      <c r="AP1007" s="238">
        <v>-38.1</v>
      </c>
      <c r="AQ1007" s="235" t="s">
        <v>632</v>
      </c>
      <c r="AR1007" s="243">
        <v>3.71E11</v>
      </c>
      <c r="AS1007" s="235" t="s">
        <v>4697</v>
      </c>
      <c r="AT1007" s="235" t="s">
        <v>546</v>
      </c>
      <c r="AU1007" s="235" t="s">
        <v>634</v>
      </c>
      <c r="AV1007" s="246" t="s">
        <v>635</v>
      </c>
      <c r="AW1007" s="242"/>
      <c r="AX1007" s="242"/>
      <c r="AY1007" s="231"/>
      <c r="AZ1007" s="231"/>
      <c r="BA1007" s="227"/>
      <c r="BB1007" s="231"/>
      <c r="BC1007" s="227"/>
      <c r="BD1007" s="227"/>
      <c r="BE1007" s="227"/>
      <c r="BF1007" s="227"/>
    </row>
    <row r="1008">
      <c r="A1008" s="235" t="s">
        <v>8499</v>
      </c>
      <c r="C1008" s="235" t="s">
        <v>8500</v>
      </c>
      <c r="D1008" s="235" t="s">
        <v>8501</v>
      </c>
      <c r="E1008" s="243">
        <v>6.56E13</v>
      </c>
      <c r="F1008" s="245"/>
      <c r="G1008" s="235" t="s">
        <v>8502</v>
      </c>
      <c r="H1008" s="235" t="s">
        <v>8503</v>
      </c>
      <c r="I1008" s="235" t="s">
        <v>8503</v>
      </c>
      <c r="J1008" s="235" t="s">
        <v>8504</v>
      </c>
      <c r="K1008" s="235" t="s">
        <v>8505</v>
      </c>
      <c r="N1008" s="235" t="s">
        <v>130</v>
      </c>
      <c r="O1008" s="235" t="s">
        <v>707</v>
      </c>
      <c r="P1008" s="238">
        <v>1.0</v>
      </c>
      <c r="Q1008" s="235" t="s">
        <v>627</v>
      </c>
      <c r="R1008" s="238">
        <v>246.66</v>
      </c>
      <c r="S1008" s="238">
        <v>12.34</v>
      </c>
      <c r="T1008" s="238">
        <v>9.04</v>
      </c>
      <c r="U1008" s="238">
        <v>0.46</v>
      </c>
      <c r="V1008" s="238">
        <v>0.0</v>
      </c>
      <c r="W1008" s="238">
        <v>0.0</v>
      </c>
      <c r="X1008" s="235" t="s">
        <v>628</v>
      </c>
      <c r="Z1008" s="244"/>
      <c r="AA1008" s="244"/>
      <c r="AB1008" s="244"/>
      <c r="AC1008" s="235" t="s">
        <v>1255</v>
      </c>
      <c r="AD1008" s="235" t="s">
        <v>845</v>
      </c>
      <c r="AE1008" s="238">
        <v>400706.0</v>
      </c>
      <c r="AF1008" s="235" t="s">
        <v>631</v>
      </c>
      <c r="AG1008" s="244"/>
      <c r="AH1008" s="244"/>
      <c r="AI1008" s="245"/>
      <c r="AJ1008" s="245"/>
      <c r="AK1008" s="245"/>
      <c r="AL1008" s="245"/>
      <c r="AM1008" s="244"/>
      <c r="AN1008" s="244"/>
      <c r="AO1008" s="238">
        <v>0.0</v>
      </c>
      <c r="AP1008" s="238">
        <v>-9.04</v>
      </c>
      <c r="AQ1008" s="235" t="s">
        <v>632</v>
      </c>
      <c r="AR1008" s="243">
        <v>1.68E11</v>
      </c>
      <c r="AS1008" s="235" t="s">
        <v>7913</v>
      </c>
      <c r="AT1008" s="235" t="s">
        <v>16</v>
      </c>
      <c r="AU1008" s="235" t="s">
        <v>634</v>
      </c>
      <c r="AV1008" s="246" t="s">
        <v>635</v>
      </c>
      <c r="AW1008" s="242"/>
      <c r="AX1008" s="242"/>
      <c r="AY1008" s="231"/>
      <c r="AZ1008" s="231"/>
      <c r="BA1008" s="227"/>
      <c r="BB1008" s="231"/>
      <c r="BC1008" s="227"/>
      <c r="BD1008" s="227"/>
      <c r="BE1008" s="227"/>
      <c r="BF1008" s="227"/>
    </row>
    <row r="1009">
      <c r="A1009" s="235" t="s">
        <v>8506</v>
      </c>
      <c r="C1009" s="235" t="s">
        <v>8507</v>
      </c>
      <c r="D1009" s="235" t="s">
        <v>8508</v>
      </c>
      <c r="E1009" s="243">
        <v>6.56E13</v>
      </c>
      <c r="F1009" s="245"/>
      <c r="G1009" s="235" t="s">
        <v>8509</v>
      </c>
      <c r="H1009" s="235" t="s">
        <v>8510</v>
      </c>
      <c r="I1009" s="235" t="s">
        <v>8510</v>
      </c>
      <c r="J1009" s="235" t="s">
        <v>8511</v>
      </c>
      <c r="K1009" s="235" t="s">
        <v>8512</v>
      </c>
      <c r="N1009" s="235" t="s">
        <v>41</v>
      </c>
      <c r="O1009" s="235" t="s">
        <v>291</v>
      </c>
      <c r="P1009" s="238">
        <v>1.0</v>
      </c>
      <c r="Q1009" s="235" t="s">
        <v>627</v>
      </c>
      <c r="R1009" s="238">
        <v>237.14</v>
      </c>
      <c r="S1009" s="238">
        <v>11.86</v>
      </c>
      <c r="T1009" s="238">
        <v>0.0</v>
      </c>
      <c r="U1009" s="238">
        <v>0.0</v>
      </c>
      <c r="V1009" s="238">
        <v>0.0</v>
      </c>
      <c r="W1009" s="238">
        <v>0.0</v>
      </c>
      <c r="X1009" s="235" t="s">
        <v>628</v>
      </c>
      <c r="Z1009" s="244"/>
      <c r="AA1009" s="244"/>
      <c r="AB1009" s="244"/>
      <c r="AC1009" s="235" t="s">
        <v>6555</v>
      </c>
      <c r="AD1009" s="235" t="s">
        <v>679</v>
      </c>
      <c r="AE1009" s="238">
        <v>575002.0</v>
      </c>
      <c r="AF1009" s="235" t="s">
        <v>631</v>
      </c>
      <c r="AG1009" s="244"/>
      <c r="AH1009" s="244"/>
      <c r="AI1009" s="245"/>
      <c r="AJ1009" s="245"/>
      <c r="AK1009" s="245"/>
      <c r="AL1009" s="245"/>
      <c r="AM1009" s="244"/>
      <c r="AN1009" s="244"/>
      <c r="AO1009" s="238">
        <v>0.0</v>
      </c>
      <c r="AP1009" s="238">
        <v>0.0</v>
      </c>
      <c r="AQ1009" s="235" t="s">
        <v>632</v>
      </c>
      <c r="AR1009" s="243">
        <v>3.71E11</v>
      </c>
      <c r="AS1009" s="235" t="s">
        <v>7365</v>
      </c>
      <c r="AT1009" s="235" t="s">
        <v>9</v>
      </c>
      <c r="AU1009" s="235" t="s">
        <v>634</v>
      </c>
      <c r="AV1009" s="246" t="s">
        <v>635</v>
      </c>
      <c r="AW1009" s="242"/>
      <c r="AX1009" s="242"/>
      <c r="AY1009" s="231"/>
      <c r="AZ1009" s="231"/>
      <c r="BA1009" s="227"/>
      <c r="BB1009" s="231"/>
      <c r="BC1009" s="227"/>
      <c r="BD1009" s="227"/>
      <c r="BE1009" s="227"/>
      <c r="BF1009" s="227"/>
    </row>
    <row r="1010">
      <c r="A1010" s="235" t="s">
        <v>8513</v>
      </c>
      <c r="C1010" s="235" t="s">
        <v>8514</v>
      </c>
      <c r="D1010" s="235" t="s">
        <v>8515</v>
      </c>
      <c r="E1010" s="243">
        <v>6.56E13</v>
      </c>
      <c r="F1010" s="245"/>
      <c r="G1010" s="235" t="s">
        <v>8516</v>
      </c>
      <c r="H1010" s="235" t="s">
        <v>8517</v>
      </c>
      <c r="I1010" s="235" t="s">
        <v>8517</v>
      </c>
      <c r="J1010" s="235" t="s">
        <v>8518</v>
      </c>
      <c r="K1010" s="235" t="s">
        <v>8519</v>
      </c>
      <c r="N1010" s="235" t="s">
        <v>136</v>
      </c>
      <c r="O1010" s="235" t="s">
        <v>256</v>
      </c>
      <c r="P1010" s="238">
        <v>1.0</v>
      </c>
      <c r="Q1010" s="235" t="s">
        <v>627</v>
      </c>
      <c r="R1010" s="238">
        <v>246.66</v>
      </c>
      <c r="S1010" s="238">
        <v>12.34</v>
      </c>
      <c r="T1010" s="238">
        <v>0.0</v>
      </c>
      <c r="U1010" s="238">
        <v>0.0</v>
      </c>
      <c r="V1010" s="238">
        <v>0.0</v>
      </c>
      <c r="W1010" s="238">
        <v>0.0</v>
      </c>
      <c r="X1010" s="235" t="s">
        <v>628</v>
      </c>
      <c r="Z1010" s="244"/>
      <c r="AA1010" s="244"/>
      <c r="AB1010" s="244"/>
      <c r="AC1010" s="235" t="s">
        <v>8520</v>
      </c>
      <c r="AD1010" s="235" t="s">
        <v>928</v>
      </c>
      <c r="AE1010" s="238">
        <v>134109.0</v>
      </c>
      <c r="AF1010" s="235" t="s">
        <v>631</v>
      </c>
      <c r="AG1010" s="244"/>
      <c r="AH1010" s="244"/>
      <c r="AI1010" s="245"/>
      <c r="AJ1010" s="245"/>
      <c r="AK1010" s="245"/>
      <c r="AL1010" s="245"/>
      <c r="AM1010" s="244"/>
      <c r="AN1010" s="244"/>
      <c r="AO1010" s="238">
        <v>0.0</v>
      </c>
      <c r="AP1010" s="238">
        <v>0.0</v>
      </c>
      <c r="AQ1010" s="235" t="s">
        <v>632</v>
      </c>
      <c r="AR1010" s="243">
        <v>1.68E11</v>
      </c>
      <c r="AS1010" s="235" t="s">
        <v>7365</v>
      </c>
      <c r="AT1010" s="235" t="s">
        <v>14</v>
      </c>
      <c r="AU1010" s="235" t="s">
        <v>634</v>
      </c>
      <c r="AV1010" s="246" t="s">
        <v>635</v>
      </c>
      <c r="AW1010" s="242"/>
      <c r="AX1010" s="242"/>
      <c r="AY1010" s="231"/>
      <c r="AZ1010" s="231"/>
      <c r="BA1010" s="227"/>
      <c r="BB1010" s="231"/>
      <c r="BC1010" s="227"/>
      <c r="BD1010" s="227"/>
      <c r="BE1010" s="227"/>
      <c r="BF1010" s="227"/>
    </row>
    <row r="1011">
      <c r="A1011" s="235" t="s">
        <v>8521</v>
      </c>
      <c r="C1011" s="235" t="s">
        <v>8522</v>
      </c>
      <c r="D1011" s="235" t="s">
        <v>8523</v>
      </c>
      <c r="E1011" s="243">
        <v>6.56E13</v>
      </c>
      <c r="F1011" s="245"/>
      <c r="G1011" s="235" t="s">
        <v>8524</v>
      </c>
      <c r="H1011" s="235" t="s">
        <v>8525</v>
      </c>
      <c r="I1011" s="235" t="s">
        <v>8525</v>
      </c>
      <c r="J1011" s="235" t="s">
        <v>8526</v>
      </c>
      <c r="K1011" s="235" t="s">
        <v>8527</v>
      </c>
      <c r="N1011" s="235" t="s">
        <v>127</v>
      </c>
      <c r="O1011" s="235" t="s">
        <v>794</v>
      </c>
      <c r="P1011" s="238">
        <v>1.0</v>
      </c>
      <c r="Q1011" s="235" t="s">
        <v>627</v>
      </c>
      <c r="R1011" s="238">
        <v>246.67</v>
      </c>
      <c r="S1011" s="238">
        <v>12.33</v>
      </c>
      <c r="T1011" s="238">
        <v>38.1</v>
      </c>
      <c r="U1011" s="238">
        <v>1.9</v>
      </c>
      <c r="V1011" s="238">
        <v>0.0</v>
      </c>
      <c r="W1011" s="238">
        <v>0.0</v>
      </c>
      <c r="X1011" s="235" t="s">
        <v>628</v>
      </c>
      <c r="Z1011" s="244"/>
      <c r="AA1011" s="244"/>
      <c r="AB1011" s="244"/>
      <c r="AC1011" s="235" t="s">
        <v>8528</v>
      </c>
      <c r="AD1011" s="235" t="s">
        <v>833</v>
      </c>
      <c r="AE1011" s="238">
        <v>515110.0</v>
      </c>
      <c r="AF1011" s="235" t="s">
        <v>631</v>
      </c>
      <c r="AG1011" s="244"/>
      <c r="AH1011" s="244"/>
      <c r="AI1011" s="245"/>
      <c r="AJ1011" s="245"/>
      <c r="AK1011" s="245"/>
      <c r="AL1011" s="245"/>
      <c r="AM1011" s="244"/>
      <c r="AN1011" s="244"/>
      <c r="AO1011" s="238">
        <v>0.0</v>
      </c>
      <c r="AP1011" s="238">
        <v>-38.1</v>
      </c>
      <c r="AQ1011" s="235" t="s">
        <v>632</v>
      </c>
      <c r="AR1011" s="243">
        <v>3.71E11</v>
      </c>
      <c r="AS1011" s="235" t="s">
        <v>7365</v>
      </c>
      <c r="AT1011" s="235" t="s">
        <v>11</v>
      </c>
      <c r="AU1011" s="235" t="s">
        <v>634</v>
      </c>
      <c r="AV1011" s="246" t="s">
        <v>635</v>
      </c>
      <c r="AW1011" s="242"/>
      <c r="AX1011" s="242"/>
      <c r="AY1011" s="231"/>
      <c r="AZ1011" s="231"/>
      <c r="BA1011" s="227"/>
      <c r="BB1011" s="231"/>
      <c r="BC1011" s="227"/>
      <c r="BD1011" s="227"/>
      <c r="BE1011" s="227"/>
      <c r="BF1011" s="227"/>
    </row>
    <row r="1012">
      <c r="A1012" s="235" t="s">
        <v>8529</v>
      </c>
      <c r="C1012" s="235" t="s">
        <v>8530</v>
      </c>
      <c r="D1012" s="235" t="s">
        <v>8531</v>
      </c>
      <c r="E1012" s="243">
        <v>6.56E13</v>
      </c>
      <c r="F1012" s="245"/>
      <c r="G1012" s="235" t="s">
        <v>8532</v>
      </c>
      <c r="H1012" s="235" t="s">
        <v>8533</v>
      </c>
      <c r="I1012" s="235" t="s">
        <v>8533</v>
      </c>
      <c r="J1012" s="235" t="s">
        <v>8534</v>
      </c>
      <c r="K1012" s="235" t="s">
        <v>8535</v>
      </c>
      <c r="N1012" s="235" t="s">
        <v>2696</v>
      </c>
      <c r="O1012" s="235" t="s">
        <v>2697</v>
      </c>
      <c r="P1012" s="238">
        <v>1.0</v>
      </c>
      <c r="Q1012" s="235" t="s">
        <v>627</v>
      </c>
      <c r="R1012" s="238">
        <v>246.67</v>
      </c>
      <c r="S1012" s="238">
        <v>12.33</v>
      </c>
      <c r="T1012" s="238">
        <v>38.1</v>
      </c>
      <c r="U1012" s="238">
        <v>1.9</v>
      </c>
      <c r="V1012" s="238">
        <v>0.0</v>
      </c>
      <c r="W1012" s="238">
        <v>0.0</v>
      </c>
      <c r="X1012" s="235" t="s">
        <v>628</v>
      </c>
      <c r="Z1012" s="244"/>
      <c r="AA1012" s="244"/>
      <c r="AB1012" s="244"/>
      <c r="AC1012" s="235" t="s">
        <v>8536</v>
      </c>
      <c r="AD1012" s="235" t="s">
        <v>1077</v>
      </c>
      <c r="AE1012" s="238">
        <v>387002.0</v>
      </c>
      <c r="AF1012" s="235" t="s">
        <v>631</v>
      </c>
      <c r="AG1012" s="244"/>
      <c r="AH1012" s="244"/>
      <c r="AI1012" s="245"/>
      <c r="AJ1012" s="245"/>
      <c r="AK1012" s="245"/>
      <c r="AL1012" s="245"/>
      <c r="AM1012" s="244"/>
      <c r="AN1012" s="244"/>
      <c r="AO1012" s="238">
        <v>0.0</v>
      </c>
      <c r="AP1012" s="238">
        <v>-38.1</v>
      </c>
      <c r="AQ1012" s="235" t="s">
        <v>632</v>
      </c>
      <c r="AR1012" s="243">
        <v>3.71E11</v>
      </c>
      <c r="AS1012" s="235" t="s">
        <v>4697</v>
      </c>
      <c r="AT1012" s="235" t="s">
        <v>14</v>
      </c>
      <c r="AU1012" s="235" t="s">
        <v>634</v>
      </c>
      <c r="AV1012" s="246" t="s">
        <v>635</v>
      </c>
      <c r="AW1012" s="242"/>
      <c r="AX1012" s="242"/>
      <c r="AY1012" s="231"/>
      <c r="AZ1012" s="231"/>
      <c r="BA1012" s="227"/>
      <c r="BB1012" s="231"/>
      <c r="BC1012" s="227"/>
      <c r="BD1012" s="227"/>
      <c r="BE1012" s="227"/>
      <c r="BF1012" s="227"/>
    </row>
    <row r="1013">
      <c r="A1013" s="235" t="s">
        <v>8537</v>
      </c>
      <c r="C1013" s="235" t="s">
        <v>8538</v>
      </c>
      <c r="D1013" s="235" t="s">
        <v>8539</v>
      </c>
      <c r="E1013" s="243">
        <v>6.53E13</v>
      </c>
      <c r="F1013" s="245"/>
      <c r="G1013" s="235" t="s">
        <v>8540</v>
      </c>
      <c r="H1013" s="235" t="s">
        <v>8541</v>
      </c>
      <c r="I1013" s="235" t="s">
        <v>8541</v>
      </c>
      <c r="J1013" s="235" t="s">
        <v>8542</v>
      </c>
      <c r="K1013" s="235" t="s">
        <v>8543</v>
      </c>
      <c r="N1013" s="235" t="s">
        <v>53</v>
      </c>
      <c r="O1013" s="235" t="s">
        <v>512</v>
      </c>
      <c r="P1013" s="238">
        <v>1.0</v>
      </c>
      <c r="Q1013" s="235" t="s">
        <v>627</v>
      </c>
      <c r="R1013" s="238">
        <v>270.48</v>
      </c>
      <c r="S1013" s="238">
        <v>13.52</v>
      </c>
      <c r="T1013" s="238">
        <v>38.1</v>
      </c>
      <c r="U1013" s="238">
        <v>1.9</v>
      </c>
      <c r="V1013" s="238">
        <v>0.0</v>
      </c>
      <c r="W1013" s="238">
        <v>0.0</v>
      </c>
      <c r="X1013" s="235" t="s">
        <v>628</v>
      </c>
      <c r="Z1013" s="244"/>
      <c r="AA1013" s="244"/>
      <c r="AB1013" s="244"/>
      <c r="AC1013" s="235" t="s">
        <v>687</v>
      </c>
      <c r="AD1013" s="235" t="s">
        <v>666</v>
      </c>
      <c r="AE1013" s="238">
        <v>600099.0</v>
      </c>
      <c r="AF1013" s="235" t="s">
        <v>631</v>
      </c>
      <c r="AG1013" s="244"/>
      <c r="AH1013" s="244"/>
      <c r="AI1013" s="245"/>
      <c r="AJ1013" s="245"/>
      <c r="AK1013" s="245"/>
      <c r="AL1013" s="245"/>
      <c r="AM1013" s="244"/>
      <c r="AN1013" s="244"/>
      <c r="AO1013" s="238">
        <v>0.0</v>
      </c>
      <c r="AP1013" s="238">
        <v>-38.1</v>
      </c>
      <c r="AQ1013" s="235" t="s">
        <v>632</v>
      </c>
      <c r="AR1013" s="243">
        <v>3.71E11</v>
      </c>
      <c r="AS1013" s="235" t="s">
        <v>7365</v>
      </c>
      <c r="AT1013" s="235" t="s">
        <v>156</v>
      </c>
      <c r="AU1013" s="235" t="s">
        <v>634</v>
      </c>
      <c r="AV1013" s="246" t="s">
        <v>635</v>
      </c>
      <c r="AW1013" s="242"/>
      <c r="AX1013" s="242"/>
      <c r="AY1013" s="231"/>
      <c r="AZ1013" s="231"/>
      <c r="BA1013" s="227"/>
      <c r="BB1013" s="231"/>
      <c r="BC1013" s="227"/>
      <c r="BD1013" s="227"/>
      <c r="BE1013" s="227"/>
      <c r="BF1013" s="227"/>
    </row>
    <row r="1014">
      <c r="A1014" s="235" t="s">
        <v>8544</v>
      </c>
      <c r="C1014" s="235" t="s">
        <v>8545</v>
      </c>
      <c r="D1014" s="235" t="s">
        <v>8546</v>
      </c>
      <c r="E1014" s="243">
        <v>6.56E13</v>
      </c>
      <c r="F1014" s="245"/>
      <c r="G1014" s="235" t="s">
        <v>8547</v>
      </c>
      <c r="H1014" s="235" t="s">
        <v>8548</v>
      </c>
      <c r="I1014" s="235" t="s">
        <v>8549</v>
      </c>
      <c r="J1014" s="235" t="s">
        <v>8550</v>
      </c>
      <c r="K1014" s="235" t="s">
        <v>8551</v>
      </c>
      <c r="N1014" s="235" t="s">
        <v>50</v>
      </c>
      <c r="O1014" s="235" t="s">
        <v>367</v>
      </c>
      <c r="P1014" s="238">
        <v>1.0</v>
      </c>
      <c r="Q1014" s="235" t="s">
        <v>627</v>
      </c>
      <c r="R1014" s="238">
        <v>237.14</v>
      </c>
      <c r="S1014" s="238">
        <v>11.62</v>
      </c>
      <c r="T1014" s="238">
        <v>0.0</v>
      </c>
      <c r="U1014" s="238">
        <v>0.0</v>
      </c>
      <c r="V1014" s="238">
        <v>0.0</v>
      </c>
      <c r="W1014" s="238">
        <v>0.0</v>
      </c>
      <c r="X1014" s="235" t="s">
        <v>628</v>
      </c>
      <c r="Z1014" s="244"/>
      <c r="AA1014" s="244"/>
      <c r="AB1014" s="244"/>
      <c r="AC1014" s="235" t="s">
        <v>8552</v>
      </c>
      <c r="AD1014" s="235" t="s">
        <v>833</v>
      </c>
      <c r="AE1014" s="238">
        <v>522601.0</v>
      </c>
      <c r="AF1014" s="235" t="s">
        <v>631</v>
      </c>
      <c r="AG1014" s="244"/>
      <c r="AH1014" s="244"/>
      <c r="AI1014" s="245"/>
      <c r="AJ1014" s="245"/>
      <c r="AK1014" s="245"/>
      <c r="AL1014" s="245"/>
      <c r="AM1014" s="244"/>
      <c r="AN1014" s="244"/>
      <c r="AO1014" s="238">
        <v>-4.74</v>
      </c>
      <c r="AP1014" s="238">
        <v>0.0</v>
      </c>
      <c r="AQ1014" s="235" t="s">
        <v>632</v>
      </c>
      <c r="AR1014" s="243">
        <v>3.71E11</v>
      </c>
      <c r="AS1014" s="235" t="s">
        <v>6164</v>
      </c>
      <c r="AT1014" s="235" t="s">
        <v>156</v>
      </c>
      <c r="AU1014" s="235" t="s">
        <v>634</v>
      </c>
      <c r="AV1014" s="246" t="s">
        <v>635</v>
      </c>
      <c r="AW1014" s="242"/>
      <c r="AX1014" s="242"/>
      <c r="AY1014" s="231"/>
      <c r="AZ1014" s="231"/>
      <c r="BA1014" s="227"/>
      <c r="BB1014" s="231"/>
      <c r="BC1014" s="227"/>
      <c r="BD1014" s="227"/>
      <c r="BE1014" s="227"/>
      <c r="BF1014" s="227"/>
    </row>
    <row r="1015">
      <c r="A1015" s="235" t="s">
        <v>8553</v>
      </c>
      <c r="C1015" s="235" t="s">
        <v>8554</v>
      </c>
      <c r="D1015" s="235" t="s">
        <v>8555</v>
      </c>
      <c r="E1015" s="243">
        <v>6.56E13</v>
      </c>
      <c r="F1015" s="245"/>
      <c r="G1015" s="235" t="s">
        <v>8556</v>
      </c>
      <c r="H1015" s="235" t="s">
        <v>8557</v>
      </c>
      <c r="I1015" s="235" t="s">
        <v>8558</v>
      </c>
      <c r="J1015" s="235" t="s">
        <v>8559</v>
      </c>
      <c r="K1015" s="235" t="s">
        <v>8560</v>
      </c>
      <c r="N1015" s="235" t="s">
        <v>962</v>
      </c>
      <c r="O1015" s="235" t="s">
        <v>963</v>
      </c>
      <c r="P1015" s="238">
        <v>1.0</v>
      </c>
      <c r="Q1015" s="235" t="s">
        <v>627</v>
      </c>
      <c r="R1015" s="238">
        <v>246.67</v>
      </c>
      <c r="S1015" s="238">
        <v>12.33</v>
      </c>
      <c r="T1015" s="238">
        <v>0.0</v>
      </c>
      <c r="U1015" s="238">
        <v>0.0</v>
      </c>
      <c r="V1015" s="238">
        <v>0.0</v>
      </c>
      <c r="W1015" s="238">
        <v>0.0</v>
      </c>
      <c r="X1015" s="235" t="s">
        <v>628</v>
      </c>
      <c r="Z1015" s="244"/>
      <c r="AA1015" s="244"/>
      <c r="AB1015" s="244"/>
      <c r="AC1015" s="235" t="s">
        <v>5138</v>
      </c>
      <c r="AD1015" s="235" t="s">
        <v>833</v>
      </c>
      <c r="AE1015" s="238">
        <v>524001.0</v>
      </c>
      <c r="AF1015" s="235" t="s">
        <v>631</v>
      </c>
      <c r="AG1015" s="244"/>
      <c r="AH1015" s="244"/>
      <c r="AI1015" s="245"/>
      <c r="AJ1015" s="245"/>
      <c r="AK1015" s="245"/>
      <c r="AL1015" s="245"/>
      <c r="AM1015" s="244"/>
      <c r="AN1015" s="244"/>
      <c r="AO1015" s="238">
        <v>0.0</v>
      </c>
      <c r="AP1015" s="238">
        <v>0.0</v>
      </c>
      <c r="AQ1015" s="235" t="s">
        <v>632</v>
      </c>
      <c r="AR1015" s="243">
        <v>3.71E11</v>
      </c>
      <c r="AS1015" s="235" t="s">
        <v>7365</v>
      </c>
      <c r="AT1015" s="235" t="s">
        <v>156</v>
      </c>
      <c r="AU1015" s="235" t="s">
        <v>634</v>
      </c>
      <c r="AV1015" s="246" t="s">
        <v>635</v>
      </c>
      <c r="AW1015" s="242"/>
      <c r="AX1015" s="242"/>
      <c r="AY1015" s="231"/>
      <c r="AZ1015" s="231"/>
      <c r="BA1015" s="227"/>
      <c r="BB1015" s="231"/>
      <c r="BC1015" s="227"/>
      <c r="BD1015" s="227"/>
      <c r="BE1015" s="227"/>
      <c r="BF1015" s="227"/>
    </row>
    <row r="1016">
      <c r="A1016" s="235" t="s">
        <v>8561</v>
      </c>
      <c r="C1016" s="235" t="s">
        <v>8562</v>
      </c>
      <c r="D1016" s="235" t="s">
        <v>8563</v>
      </c>
      <c r="E1016" s="243">
        <v>6.56E13</v>
      </c>
      <c r="F1016" s="245"/>
      <c r="G1016" s="235" t="s">
        <v>8564</v>
      </c>
      <c r="H1016" s="235" t="s">
        <v>8565</v>
      </c>
      <c r="I1016" s="235" t="s">
        <v>8565</v>
      </c>
      <c r="J1016" s="235" t="s">
        <v>8566</v>
      </c>
      <c r="K1016" s="235" t="s">
        <v>8567</v>
      </c>
      <c r="N1016" s="235" t="s">
        <v>144</v>
      </c>
      <c r="O1016" s="235" t="s">
        <v>232</v>
      </c>
      <c r="P1016" s="238">
        <v>1.0</v>
      </c>
      <c r="Q1016" s="235" t="s">
        <v>627</v>
      </c>
      <c r="R1016" s="238">
        <v>665.71</v>
      </c>
      <c r="S1016" s="238">
        <v>33.29</v>
      </c>
      <c r="T1016" s="238">
        <v>0.0</v>
      </c>
      <c r="U1016" s="238">
        <v>0.0</v>
      </c>
      <c r="V1016" s="238">
        <v>0.0</v>
      </c>
      <c r="W1016" s="238">
        <v>0.0</v>
      </c>
      <c r="X1016" s="235" t="s">
        <v>628</v>
      </c>
      <c r="Z1016" s="244"/>
      <c r="AA1016" s="244"/>
      <c r="AB1016" s="244"/>
      <c r="AC1016" s="235" t="s">
        <v>6571</v>
      </c>
      <c r="AD1016" s="235" t="s">
        <v>731</v>
      </c>
      <c r="AE1016" s="238">
        <v>781029.0</v>
      </c>
      <c r="AF1016" s="235" t="s">
        <v>631</v>
      </c>
      <c r="AG1016" s="244"/>
      <c r="AH1016" s="244"/>
      <c r="AI1016" s="245"/>
      <c r="AJ1016" s="245"/>
      <c r="AK1016" s="245"/>
      <c r="AL1016" s="245"/>
      <c r="AM1016" s="244"/>
      <c r="AN1016" s="244"/>
      <c r="AO1016" s="238">
        <v>0.0</v>
      </c>
      <c r="AP1016" s="238">
        <v>0.0</v>
      </c>
      <c r="AQ1016" s="235" t="s">
        <v>632</v>
      </c>
      <c r="AR1016" s="243">
        <v>2.02E11</v>
      </c>
      <c r="AS1016" s="235" t="s">
        <v>7365</v>
      </c>
      <c r="AT1016" s="235" t="s">
        <v>14</v>
      </c>
      <c r="AU1016" s="235" t="s">
        <v>634</v>
      </c>
      <c r="AV1016" s="246" t="s">
        <v>635</v>
      </c>
      <c r="AW1016" s="242"/>
      <c r="AX1016" s="242"/>
      <c r="AY1016" s="231"/>
      <c r="AZ1016" s="231"/>
      <c r="BA1016" s="227"/>
      <c r="BB1016" s="231"/>
      <c r="BC1016" s="227"/>
      <c r="BD1016" s="227"/>
      <c r="BE1016" s="227"/>
      <c r="BF1016" s="227"/>
    </row>
    <row r="1017">
      <c r="A1017" s="235" t="s">
        <v>8568</v>
      </c>
      <c r="C1017" s="235" t="s">
        <v>8569</v>
      </c>
      <c r="D1017" s="235" t="s">
        <v>8570</v>
      </c>
      <c r="E1017" s="243">
        <v>6.56E13</v>
      </c>
      <c r="F1017" s="245"/>
      <c r="G1017" s="235" t="s">
        <v>8571</v>
      </c>
      <c r="H1017" s="235" t="s">
        <v>8572</v>
      </c>
      <c r="I1017" s="235" t="s">
        <v>8573</v>
      </c>
      <c r="J1017" s="235" t="s">
        <v>8574</v>
      </c>
      <c r="K1017" s="235" t="s">
        <v>8575</v>
      </c>
      <c r="N1017" s="235" t="s">
        <v>42</v>
      </c>
      <c r="O1017" s="235" t="s">
        <v>204</v>
      </c>
      <c r="P1017" s="238">
        <v>1.0</v>
      </c>
      <c r="Q1017" s="235" t="s">
        <v>627</v>
      </c>
      <c r="R1017" s="238">
        <v>237.14</v>
      </c>
      <c r="S1017" s="238">
        <v>11.62</v>
      </c>
      <c r="T1017" s="238">
        <v>0.0</v>
      </c>
      <c r="U1017" s="238">
        <v>0.0</v>
      </c>
      <c r="V1017" s="238">
        <v>0.0</v>
      </c>
      <c r="W1017" s="238">
        <v>0.0</v>
      </c>
      <c r="X1017" s="235" t="s">
        <v>628</v>
      </c>
      <c r="Z1017" s="244"/>
      <c r="AA1017" s="244"/>
      <c r="AB1017" s="244"/>
      <c r="AC1017" s="235" t="s">
        <v>3274</v>
      </c>
      <c r="AD1017" s="235" t="s">
        <v>698</v>
      </c>
      <c r="AE1017" s="238">
        <v>500033.0</v>
      </c>
      <c r="AF1017" s="235" t="s">
        <v>631</v>
      </c>
      <c r="AG1017" s="244"/>
      <c r="AH1017" s="244"/>
      <c r="AI1017" s="245"/>
      <c r="AJ1017" s="245"/>
      <c r="AK1017" s="245"/>
      <c r="AL1017" s="245"/>
      <c r="AM1017" s="244"/>
      <c r="AN1017" s="244"/>
      <c r="AO1017" s="238">
        <v>-4.74</v>
      </c>
      <c r="AP1017" s="238">
        <v>0.0</v>
      </c>
      <c r="AQ1017" s="235" t="s">
        <v>632</v>
      </c>
      <c r="AR1017" s="243">
        <v>2.02E11</v>
      </c>
      <c r="AS1017" s="235" t="s">
        <v>7365</v>
      </c>
      <c r="AT1017" s="235" t="s">
        <v>156</v>
      </c>
      <c r="AU1017" s="235" t="s">
        <v>634</v>
      </c>
      <c r="AV1017" s="246" t="s">
        <v>635</v>
      </c>
      <c r="AW1017" s="242"/>
      <c r="AX1017" s="242"/>
      <c r="AY1017" s="231"/>
      <c r="AZ1017" s="231"/>
      <c r="BA1017" s="227"/>
      <c r="BB1017" s="231"/>
      <c r="BC1017" s="227"/>
      <c r="BD1017" s="227"/>
      <c r="BE1017" s="227"/>
      <c r="BF1017" s="227"/>
    </row>
    <row r="1018">
      <c r="A1018" s="235" t="s">
        <v>8576</v>
      </c>
      <c r="C1018" s="235" t="s">
        <v>8577</v>
      </c>
      <c r="D1018" s="235" t="s">
        <v>8578</v>
      </c>
      <c r="E1018" s="243">
        <v>6.56E13</v>
      </c>
      <c r="F1018" s="245"/>
      <c r="G1018" s="235" t="s">
        <v>8579</v>
      </c>
      <c r="H1018" s="235" t="s">
        <v>8580</v>
      </c>
      <c r="I1018" s="235" t="s">
        <v>8580</v>
      </c>
      <c r="J1018" s="235" t="s">
        <v>8581</v>
      </c>
      <c r="K1018" s="235" t="s">
        <v>8582</v>
      </c>
      <c r="N1018" s="235" t="s">
        <v>53</v>
      </c>
      <c r="O1018" s="235" t="s">
        <v>512</v>
      </c>
      <c r="P1018" s="238">
        <v>1.0</v>
      </c>
      <c r="Q1018" s="235" t="s">
        <v>627</v>
      </c>
      <c r="R1018" s="238">
        <v>237.14</v>
      </c>
      <c r="S1018" s="238">
        <v>11.86</v>
      </c>
      <c r="T1018" s="238">
        <v>0.0</v>
      </c>
      <c r="U1018" s="238">
        <v>0.0</v>
      </c>
      <c r="V1018" s="238">
        <v>0.0</v>
      </c>
      <c r="W1018" s="238">
        <v>0.0</v>
      </c>
      <c r="X1018" s="235" t="s">
        <v>628</v>
      </c>
      <c r="Z1018" s="244"/>
      <c r="AA1018" s="244"/>
      <c r="AB1018" s="244"/>
      <c r="AC1018" s="235" t="s">
        <v>891</v>
      </c>
      <c r="AD1018" s="235" t="s">
        <v>891</v>
      </c>
      <c r="AE1018" s="238">
        <v>605003.0</v>
      </c>
      <c r="AF1018" s="235" t="s">
        <v>631</v>
      </c>
      <c r="AG1018" s="244"/>
      <c r="AH1018" s="244"/>
      <c r="AI1018" s="245"/>
      <c r="AJ1018" s="245"/>
      <c r="AK1018" s="245"/>
      <c r="AL1018" s="245"/>
      <c r="AM1018" s="244"/>
      <c r="AN1018" s="244"/>
      <c r="AO1018" s="238">
        <v>0.0</v>
      </c>
      <c r="AP1018" s="238">
        <v>0.0</v>
      </c>
      <c r="AQ1018" s="235" t="s">
        <v>632</v>
      </c>
      <c r="AR1018" s="243">
        <v>3.71E11</v>
      </c>
      <c r="AS1018" s="235" t="s">
        <v>7365</v>
      </c>
      <c r="AT1018" s="235" t="s">
        <v>156</v>
      </c>
      <c r="AU1018" s="235" t="s">
        <v>634</v>
      </c>
      <c r="AV1018" s="246" t="s">
        <v>635</v>
      </c>
      <c r="AW1018" s="242"/>
      <c r="AX1018" s="242"/>
      <c r="AY1018" s="231"/>
      <c r="AZ1018" s="231"/>
      <c r="BA1018" s="227"/>
      <c r="BB1018" s="231"/>
      <c r="BC1018" s="227"/>
      <c r="BD1018" s="227"/>
      <c r="BE1018" s="227"/>
      <c r="BF1018" s="227"/>
    </row>
    <row r="1019">
      <c r="A1019" s="235" t="s">
        <v>8583</v>
      </c>
      <c r="C1019" s="235" t="s">
        <v>8584</v>
      </c>
      <c r="D1019" s="235" t="s">
        <v>8585</v>
      </c>
      <c r="E1019" s="243">
        <v>6.56E13</v>
      </c>
      <c r="F1019" s="245"/>
      <c r="G1019" s="235" t="s">
        <v>8586</v>
      </c>
      <c r="H1019" s="235" t="s">
        <v>8587</v>
      </c>
      <c r="I1019" s="235" t="s">
        <v>8587</v>
      </c>
      <c r="J1019" s="235" t="s">
        <v>8588</v>
      </c>
      <c r="K1019" s="235" t="s">
        <v>8589</v>
      </c>
      <c r="N1019" s="235" t="s">
        <v>2706</v>
      </c>
      <c r="O1019" s="235" t="s">
        <v>2707</v>
      </c>
      <c r="P1019" s="238">
        <v>1.0</v>
      </c>
      <c r="Q1019" s="235" t="s">
        <v>627</v>
      </c>
      <c r="R1019" s="238">
        <v>761.86</v>
      </c>
      <c r="S1019" s="238">
        <v>134.4</v>
      </c>
      <c r="T1019" s="238">
        <v>0.0</v>
      </c>
      <c r="U1019" s="238">
        <v>0.0</v>
      </c>
      <c r="V1019" s="238">
        <v>0.0</v>
      </c>
      <c r="W1019" s="238">
        <v>0.0</v>
      </c>
      <c r="X1019" s="235" t="s">
        <v>628</v>
      </c>
      <c r="Z1019" s="244"/>
      <c r="AA1019" s="244"/>
      <c r="AB1019" s="244"/>
      <c r="AC1019" s="235" t="s">
        <v>1058</v>
      </c>
      <c r="AD1019" s="235" t="s">
        <v>845</v>
      </c>
      <c r="AE1019" s="238">
        <v>400059.0</v>
      </c>
      <c r="AF1019" s="235" t="s">
        <v>631</v>
      </c>
      <c r="AG1019" s="244"/>
      <c r="AH1019" s="244"/>
      <c r="AI1019" s="245"/>
      <c r="AJ1019" s="245"/>
      <c r="AK1019" s="245"/>
      <c r="AL1019" s="245"/>
      <c r="AM1019" s="244"/>
      <c r="AN1019" s="244"/>
      <c r="AO1019" s="238">
        <v>-15.24</v>
      </c>
      <c r="AP1019" s="238">
        <v>0.0</v>
      </c>
      <c r="AQ1019" s="235" t="s">
        <v>632</v>
      </c>
      <c r="AR1019" s="243">
        <v>2.02E11</v>
      </c>
      <c r="AS1019" s="235" t="s">
        <v>7365</v>
      </c>
      <c r="AT1019" s="235" t="s">
        <v>11</v>
      </c>
      <c r="AU1019" s="235" t="s">
        <v>634</v>
      </c>
      <c r="AV1019" s="246" t="s">
        <v>635</v>
      </c>
      <c r="AW1019" s="242"/>
      <c r="AX1019" s="242"/>
      <c r="AY1019" s="231"/>
      <c r="AZ1019" s="231"/>
      <c r="BA1019" s="227"/>
      <c r="BB1019" s="231"/>
      <c r="BC1019" s="227"/>
      <c r="BD1019" s="227"/>
      <c r="BE1019" s="227"/>
      <c r="BF1019" s="227"/>
    </row>
    <row r="1020">
      <c r="A1020" s="235" t="s">
        <v>8592</v>
      </c>
      <c r="C1020" s="235" t="s">
        <v>8593</v>
      </c>
      <c r="D1020" s="235" t="s">
        <v>8594</v>
      </c>
      <c r="E1020" s="243">
        <v>6.55E13</v>
      </c>
      <c r="F1020" s="245"/>
      <c r="G1020" s="235" t="s">
        <v>8595</v>
      </c>
      <c r="H1020" s="235" t="s">
        <v>8596</v>
      </c>
      <c r="I1020" s="235" t="s">
        <v>8597</v>
      </c>
      <c r="J1020" s="235" t="s">
        <v>8598</v>
      </c>
      <c r="K1020" s="235" t="s">
        <v>8599</v>
      </c>
      <c r="N1020" s="235" t="s">
        <v>132</v>
      </c>
      <c r="O1020" s="235" t="s">
        <v>8600</v>
      </c>
      <c r="P1020" s="238">
        <v>1.0</v>
      </c>
      <c r="Q1020" s="235" t="s">
        <v>627</v>
      </c>
      <c r="R1020" s="238">
        <v>246.67</v>
      </c>
      <c r="S1020" s="238">
        <v>12.33</v>
      </c>
      <c r="T1020" s="238">
        <v>38.1</v>
      </c>
      <c r="U1020" s="238">
        <v>1.9</v>
      </c>
      <c r="V1020" s="238">
        <v>0.0</v>
      </c>
      <c r="W1020" s="238">
        <v>0.0</v>
      </c>
      <c r="X1020" s="235" t="s">
        <v>628</v>
      </c>
      <c r="Z1020" s="244"/>
      <c r="AA1020" s="244"/>
      <c r="AB1020" s="244"/>
      <c r="AC1020" s="235" t="s">
        <v>8601</v>
      </c>
      <c r="AD1020" s="235" t="s">
        <v>8602</v>
      </c>
      <c r="AE1020" s="238">
        <v>799003.0</v>
      </c>
      <c r="AF1020" s="235" t="s">
        <v>631</v>
      </c>
      <c r="AG1020" s="244"/>
      <c r="AH1020" s="244"/>
      <c r="AI1020" s="245"/>
      <c r="AJ1020" s="245"/>
      <c r="AK1020" s="245"/>
      <c r="AL1020" s="245"/>
      <c r="AM1020" s="244"/>
      <c r="AN1020" s="244"/>
      <c r="AO1020" s="238">
        <v>0.0</v>
      </c>
      <c r="AP1020" s="238">
        <v>-38.1</v>
      </c>
      <c r="AQ1020" s="235" t="s">
        <v>632</v>
      </c>
      <c r="AR1020" s="243">
        <v>3.71E11</v>
      </c>
      <c r="AS1020" s="235" t="s">
        <v>699</v>
      </c>
      <c r="AT1020" s="235" t="s">
        <v>16</v>
      </c>
      <c r="AU1020" s="235" t="s">
        <v>634</v>
      </c>
      <c r="AV1020" s="246" t="s">
        <v>635</v>
      </c>
      <c r="AW1020" s="242"/>
      <c r="AX1020" s="242"/>
      <c r="AY1020" s="231"/>
      <c r="AZ1020" s="231"/>
      <c r="BA1020" s="227"/>
      <c r="BB1020" s="231"/>
      <c r="BC1020" s="227"/>
      <c r="BD1020" s="227"/>
      <c r="BE1020" s="227"/>
      <c r="BF1020" s="227"/>
    </row>
    <row r="1021">
      <c r="A1021" s="235" t="s">
        <v>8603</v>
      </c>
      <c r="C1021" s="235" t="s">
        <v>8604</v>
      </c>
      <c r="D1021" s="235" t="s">
        <v>8605</v>
      </c>
      <c r="E1021" s="243">
        <v>6.55E13</v>
      </c>
      <c r="F1021" s="245"/>
      <c r="G1021" s="235" t="s">
        <v>8606</v>
      </c>
      <c r="H1021" s="235" t="s">
        <v>8607</v>
      </c>
      <c r="I1021" s="235" t="s">
        <v>8607</v>
      </c>
      <c r="J1021" s="235" t="s">
        <v>8608</v>
      </c>
      <c r="K1021" s="235" t="s">
        <v>8609</v>
      </c>
      <c r="N1021" s="235" t="s">
        <v>92</v>
      </c>
      <c r="O1021" s="235" t="s">
        <v>248</v>
      </c>
      <c r="P1021" s="238">
        <v>1.0</v>
      </c>
      <c r="Q1021" s="235" t="s">
        <v>627</v>
      </c>
      <c r="R1021" s="238">
        <v>246.67</v>
      </c>
      <c r="S1021" s="238">
        <v>12.33</v>
      </c>
      <c r="T1021" s="238">
        <v>38.1</v>
      </c>
      <c r="U1021" s="238">
        <v>1.9</v>
      </c>
      <c r="V1021" s="238">
        <v>0.0</v>
      </c>
      <c r="W1021" s="238">
        <v>0.0</v>
      </c>
      <c r="X1021" s="235" t="s">
        <v>628</v>
      </c>
      <c r="Z1021" s="244"/>
      <c r="AA1021" s="244"/>
      <c r="AB1021" s="244"/>
      <c r="AC1021" s="235" t="s">
        <v>8610</v>
      </c>
      <c r="AD1021" s="235" t="s">
        <v>666</v>
      </c>
      <c r="AE1021" s="238">
        <v>608502.0</v>
      </c>
      <c r="AF1021" s="235" t="s">
        <v>631</v>
      </c>
      <c r="AG1021" s="244"/>
      <c r="AH1021" s="244"/>
      <c r="AI1021" s="245"/>
      <c r="AJ1021" s="245"/>
      <c r="AK1021" s="245"/>
      <c r="AL1021" s="245"/>
      <c r="AM1021" s="244"/>
      <c r="AN1021" s="244"/>
      <c r="AO1021" s="238">
        <v>0.0</v>
      </c>
      <c r="AP1021" s="238">
        <v>-38.1</v>
      </c>
      <c r="AQ1021" s="235" t="s">
        <v>632</v>
      </c>
      <c r="AR1021" s="243">
        <v>3.71E11</v>
      </c>
      <c r="AS1021" s="235" t="s">
        <v>4697</v>
      </c>
      <c r="AT1021" s="235" t="s">
        <v>9</v>
      </c>
      <c r="AU1021" s="235" t="s">
        <v>634</v>
      </c>
      <c r="AV1021" s="246" t="s">
        <v>635</v>
      </c>
      <c r="AW1021" s="242"/>
      <c r="AX1021" s="242"/>
      <c r="AY1021" s="231"/>
      <c r="AZ1021" s="231"/>
      <c r="BA1021" s="227"/>
      <c r="BB1021" s="231"/>
      <c r="BC1021" s="227"/>
      <c r="BD1021" s="227"/>
      <c r="BE1021" s="227"/>
      <c r="BF1021" s="227"/>
    </row>
    <row r="1022">
      <c r="A1022" s="235" t="s">
        <v>8611</v>
      </c>
      <c r="C1022" s="235" t="s">
        <v>8612</v>
      </c>
      <c r="D1022" s="235" t="s">
        <v>8613</v>
      </c>
      <c r="E1022" s="243">
        <v>6.56E13</v>
      </c>
      <c r="F1022" s="245"/>
      <c r="G1022" s="235" t="s">
        <v>8614</v>
      </c>
      <c r="H1022" s="235" t="s">
        <v>8615</v>
      </c>
      <c r="I1022" s="235" t="s">
        <v>8615</v>
      </c>
      <c r="J1022" s="235" t="s">
        <v>8616</v>
      </c>
      <c r="K1022" s="235" t="s">
        <v>8617</v>
      </c>
      <c r="N1022" s="235" t="s">
        <v>962</v>
      </c>
      <c r="O1022" s="235" t="s">
        <v>963</v>
      </c>
      <c r="P1022" s="238">
        <v>1.0</v>
      </c>
      <c r="Q1022" s="235" t="s">
        <v>627</v>
      </c>
      <c r="R1022" s="238">
        <v>246.66</v>
      </c>
      <c r="S1022" s="238">
        <v>12.34</v>
      </c>
      <c r="T1022" s="238">
        <v>0.0</v>
      </c>
      <c r="U1022" s="238">
        <v>0.0</v>
      </c>
      <c r="V1022" s="238">
        <v>0.0</v>
      </c>
      <c r="W1022" s="238">
        <v>0.0</v>
      </c>
      <c r="X1022" s="235" t="s">
        <v>628</v>
      </c>
      <c r="Z1022" s="244"/>
      <c r="AA1022" s="244"/>
      <c r="AB1022" s="244"/>
      <c r="AC1022" s="235" t="s">
        <v>1058</v>
      </c>
      <c r="AD1022" s="235" t="s">
        <v>845</v>
      </c>
      <c r="AE1022" s="238">
        <v>400081.0</v>
      </c>
      <c r="AF1022" s="235" t="s">
        <v>631</v>
      </c>
      <c r="AG1022" s="244"/>
      <c r="AH1022" s="244"/>
      <c r="AI1022" s="245"/>
      <c r="AJ1022" s="245"/>
      <c r="AK1022" s="245"/>
      <c r="AL1022" s="245"/>
      <c r="AM1022" s="244"/>
      <c r="AN1022" s="244"/>
      <c r="AO1022" s="238">
        <v>0.0</v>
      </c>
      <c r="AP1022" s="238">
        <v>0.0</v>
      </c>
      <c r="AQ1022" s="235" t="s">
        <v>632</v>
      </c>
      <c r="AR1022" s="243">
        <v>3.71E11</v>
      </c>
      <c r="AS1022" s="235" t="s">
        <v>7365</v>
      </c>
      <c r="AT1022" s="235" t="s">
        <v>17</v>
      </c>
      <c r="AU1022" s="235" t="s">
        <v>634</v>
      </c>
      <c r="AV1022" s="246" t="s">
        <v>635</v>
      </c>
      <c r="AW1022" s="242"/>
      <c r="AX1022" s="242"/>
      <c r="AY1022" s="231"/>
      <c r="AZ1022" s="231"/>
      <c r="BA1022" s="227"/>
      <c r="BB1022" s="231"/>
      <c r="BC1022" s="227"/>
      <c r="BD1022" s="227"/>
      <c r="BE1022" s="227"/>
      <c r="BF1022" s="227"/>
    </row>
    <row r="1023">
      <c r="A1023" s="235" t="s">
        <v>8618</v>
      </c>
      <c r="C1023" s="235" t="s">
        <v>8619</v>
      </c>
      <c r="D1023" s="235" t="s">
        <v>8620</v>
      </c>
      <c r="E1023" s="243">
        <v>6.56E13</v>
      </c>
      <c r="F1023" s="245"/>
      <c r="G1023" s="235" t="s">
        <v>8621</v>
      </c>
      <c r="H1023" s="235" t="s">
        <v>8622</v>
      </c>
      <c r="I1023" s="235" t="s">
        <v>8622</v>
      </c>
      <c r="J1023" s="235" t="s">
        <v>8623</v>
      </c>
      <c r="K1023" s="235" t="s">
        <v>8624</v>
      </c>
      <c r="N1023" s="235" t="s">
        <v>19</v>
      </c>
      <c r="O1023" s="235" t="s">
        <v>571</v>
      </c>
      <c r="P1023" s="238">
        <v>1.0</v>
      </c>
      <c r="Q1023" s="235" t="s">
        <v>627</v>
      </c>
      <c r="R1023" s="238">
        <v>360.95</v>
      </c>
      <c r="S1023" s="238">
        <v>18.05</v>
      </c>
      <c r="T1023" s="238">
        <v>0.0</v>
      </c>
      <c r="U1023" s="238">
        <v>0.0</v>
      </c>
      <c r="V1023" s="238">
        <v>0.0</v>
      </c>
      <c r="W1023" s="238">
        <v>0.0</v>
      </c>
      <c r="X1023" s="235" t="s">
        <v>628</v>
      </c>
      <c r="Z1023" s="244"/>
      <c r="AA1023" s="244"/>
      <c r="AB1023" s="244"/>
      <c r="AC1023" s="235" t="s">
        <v>697</v>
      </c>
      <c r="AD1023" s="235" t="s">
        <v>698</v>
      </c>
      <c r="AE1023" s="238">
        <v>500032.0</v>
      </c>
      <c r="AF1023" s="235" t="s">
        <v>631</v>
      </c>
      <c r="AG1023" s="244"/>
      <c r="AH1023" s="244"/>
      <c r="AI1023" s="245"/>
      <c r="AJ1023" s="245"/>
      <c r="AK1023" s="245"/>
      <c r="AL1023" s="245"/>
      <c r="AM1023" s="244"/>
      <c r="AN1023" s="244"/>
      <c r="AO1023" s="238">
        <v>0.0</v>
      </c>
      <c r="AP1023" s="238">
        <v>0.0</v>
      </c>
      <c r="AQ1023" s="235" t="s">
        <v>632</v>
      </c>
      <c r="AR1023" s="243">
        <v>3.71E11</v>
      </c>
      <c r="AS1023" s="235" t="s">
        <v>4697</v>
      </c>
      <c r="AT1023" s="235" t="s">
        <v>155</v>
      </c>
      <c r="AU1023" s="235" t="s">
        <v>634</v>
      </c>
      <c r="AV1023" s="246" t="s">
        <v>635</v>
      </c>
      <c r="AW1023" s="242"/>
      <c r="AX1023" s="242"/>
      <c r="AY1023" s="231"/>
      <c r="AZ1023" s="231"/>
      <c r="BA1023" s="227"/>
      <c r="BB1023" s="231"/>
      <c r="BC1023" s="227"/>
      <c r="BD1023" s="227"/>
      <c r="BE1023" s="227"/>
      <c r="BF1023" s="227"/>
    </row>
    <row r="1024">
      <c r="A1024" s="235" t="s">
        <v>8625</v>
      </c>
      <c r="C1024" s="235" t="s">
        <v>8626</v>
      </c>
      <c r="D1024" s="235" t="s">
        <v>8627</v>
      </c>
      <c r="E1024" s="243">
        <v>6.56E13</v>
      </c>
      <c r="F1024" s="245"/>
      <c r="G1024" s="235" t="s">
        <v>8628</v>
      </c>
      <c r="H1024" s="235" t="s">
        <v>8629</v>
      </c>
      <c r="I1024" s="235" t="s">
        <v>8629</v>
      </c>
      <c r="J1024" s="235" t="s">
        <v>8630</v>
      </c>
      <c r="K1024" s="235" t="s">
        <v>8631</v>
      </c>
      <c r="N1024" s="235" t="s">
        <v>85</v>
      </c>
      <c r="O1024" s="235" t="s">
        <v>872</v>
      </c>
      <c r="P1024" s="238">
        <v>1.0</v>
      </c>
      <c r="Q1024" s="235" t="s">
        <v>627</v>
      </c>
      <c r="R1024" s="238">
        <v>246.66</v>
      </c>
      <c r="S1024" s="238">
        <v>12.34</v>
      </c>
      <c r="T1024" s="238">
        <v>0.0</v>
      </c>
      <c r="U1024" s="238">
        <v>0.0</v>
      </c>
      <c r="V1024" s="238">
        <v>0.0</v>
      </c>
      <c r="W1024" s="238">
        <v>0.0</v>
      </c>
      <c r="X1024" s="235" t="s">
        <v>628</v>
      </c>
      <c r="Z1024" s="244"/>
      <c r="AA1024" s="244"/>
      <c r="AB1024" s="244"/>
      <c r="AC1024" s="235" t="s">
        <v>2092</v>
      </c>
      <c r="AD1024" s="235" t="s">
        <v>845</v>
      </c>
      <c r="AE1024" s="238">
        <v>411045.0</v>
      </c>
      <c r="AF1024" s="235" t="s">
        <v>631</v>
      </c>
      <c r="AG1024" s="244"/>
      <c r="AH1024" s="244"/>
      <c r="AI1024" s="245"/>
      <c r="AJ1024" s="245"/>
      <c r="AK1024" s="245"/>
      <c r="AL1024" s="245"/>
      <c r="AM1024" s="244"/>
      <c r="AN1024" s="244"/>
      <c r="AO1024" s="238">
        <v>0.0</v>
      </c>
      <c r="AP1024" s="238">
        <v>0.0</v>
      </c>
      <c r="AQ1024" s="235" t="s">
        <v>632</v>
      </c>
      <c r="AR1024" s="243">
        <v>3.71E11</v>
      </c>
      <c r="AS1024" s="235" t="s">
        <v>7365</v>
      </c>
      <c r="AT1024" s="235" t="s">
        <v>546</v>
      </c>
      <c r="AU1024" s="235" t="s">
        <v>634</v>
      </c>
      <c r="AV1024" s="246" t="s">
        <v>635</v>
      </c>
      <c r="AW1024" s="242"/>
      <c r="AX1024" s="242"/>
      <c r="AY1024" s="231"/>
      <c r="AZ1024" s="231"/>
      <c r="BA1024" s="227"/>
      <c r="BB1024" s="231"/>
      <c r="BC1024" s="227"/>
      <c r="BD1024" s="227"/>
      <c r="BE1024" s="227"/>
      <c r="BF1024" s="227"/>
    </row>
    <row r="1025">
      <c r="A1025" s="235" t="s">
        <v>8632</v>
      </c>
      <c r="C1025" s="235" t="s">
        <v>8633</v>
      </c>
      <c r="D1025" s="235" t="s">
        <v>8634</v>
      </c>
      <c r="E1025" s="243">
        <v>6.56E13</v>
      </c>
      <c r="F1025" s="245"/>
      <c r="G1025" s="235" t="s">
        <v>8635</v>
      </c>
      <c r="H1025" s="235" t="s">
        <v>8636</v>
      </c>
      <c r="I1025" s="235" t="s">
        <v>8636</v>
      </c>
      <c r="J1025" s="235" t="s">
        <v>8637</v>
      </c>
      <c r="K1025" s="235" t="s">
        <v>8638</v>
      </c>
      <c r="N1025" s="235" t="s">
        <v>138</v>
      </c>
      <c r="O1025" s="235" t="s">
        <v>675</v>
      </c>
      <c r="P1025" s="238">
        <v>1.0</v>
      </c>
      <c r="Q1025" s="235" t="s">
        <v>627</v>
      </c>
      <c r="R1025" s="238">
        <v>246.67</v>
      </c>
      <c r="S1025" s="238">
        <v>12.33</v>
      </c>
      <c r="T1025" s="238">
        <v>0.0</v>
      </c>
      <c r="U1025" s="238">
        <v>0.0</v>
      </c>
      <c r="V1025" s="238">
        <v>0.0</v>
      </c>
      <c r="W1025" s="238">
        <v>0.0</v>
      </c>
      <c r="X1025" s="235" t="s">
        <v>628</v>
      </c>
      <c r="Z1025" s="244"/>
      <c r="AA1025" s="244"/>
      <c r="AB1025" s="244"/>
      <c r="AC1025" s="235" t="s">
        <v>8639</v>
      </c>
      <c r="AD1025" s="235" t="s">
        <v>666</v>
      </c>
      <c r="AE1025" s="238">
        <v>638051.0</v>
      </c>
      <c r="AF1025" s="235" t="s">
        <v>631</v>
      </c>
      <c r="AG1025" s="244"/>
      <c r="AH1025" s="244"/>
      <c r="AI1025" s="245"/>
      <c r="AJ1025" s="245"/>
      <c r="AK1025" s="245"/>
      <c r="AL1025" s="245"/>
      <c r="AM1025" s="244"/>
      <c r="AN1025" s="244"/>
      <c r="AO1025" s="238">
        <v>0.0</v>
      </c>
      <c r="AP1025" s="238">
        <v>0.0</v>
      </c>
      <c r="AQ1025" s="235" t="s">
        <v>632</v>
      </c>
      <c r="AR1025" s="243">
        <v>3.71E11</v>
      </c>
      <c r="AS1025" s="235" t="s">
        <v>7365</v>
      </c>
      <c r="AT1025" s="235" t="s">
        <v>9</v>
      </c>
      <c r="AU1025" s="235" t="s">
        <v>634</v>
      </c>
      <c r="AV1025" s="246" t="s">
        <v>635</v>
      </c>
      <c r="AW1025" s="242"/>
      <c r="AX1025" s="242"/>
      <c r="AY1025" s="231"/>
      <c r="AZ1025" s="231"/>
      <c r="BA1025" s="227"/>
      <c r="BB1025" s="231"/>
      <c r="BC1025" s="227"/>
      <c r="BD1025" s="227"/>
      <c r="BE1025" s="227"/>
      <c r="BF1025" s="227"/>
    </row>
    <row r="1026">
      <c r="A1026" s="235" t="s">
        <v>8640</v>
      </c>
      <c r="C1026" s="235" t="s">
        <v>8641</v>
      </c>
      <c r="D1026" s="235" t="s">
        <v>8642</v>
      </c>
      <c r="E1026" s="243">
        <v>6.56E13</v>
      </c>
      <c r="F1026" s="245"/>
      <c r="G1026" s="235" t="s">
        <v>8643</v>
      </c>
      <c r="H1026" s="235" t="s">
        <v>8644</v>
      </c>
      <c r="I1026" s="235" t="s">
        <v>8644</v>
      </c>
      <c r="J1026" s="235" t="s">
        <v>8645</v>
      </c>
      <c r="K1026" s="235" t="s">
        <v>8646</v>
      </c>
      <c r="N1026" s="235" t="s">
        <v>10</v>
      </c>
      <c r="O1026" s="235" t="s">
        <v>936</v>
      </c>
      <c r="P1026" s="238">
        <v>1.0</v>
      </c>
      <c r="Q1026" s="235" t="s">
        <v>627</v>
      </c>
      <c r="R1026" s="238">
        <v>265.71</v>
      </c>
      <c r="S1026" s="238">
        <v>13.29</v>
      </c>
      <c r="T1026" s="238">
        <v>0.0</v>
      </c>
      <c r="U1026" s="238">
        <v>0.0</v>
      </c>
      <c r="V1026" s="238">
        <v>0.0</v>
      </c>
      <c r="W1026" s="238">
        <v>0.0</v>
      </c>
      <c r="X1026" s="235" t="s">
        <v>628</v>
      </c>
      <c r="Z1026" s="244"/>
      <c r="AA1026" s="244"/>
      <c r="AB1026" s="244"/>
      <c r="AC1026" s="235" t="s">
        <v>1514</v>
      </c>
      <c r="AD1026" s="235" t="s">
        <v>1077</v>
      </c>
      <c r="AE1026" s="238">
        <v>380054.0</v>
      </c>
      <c r="AF1026" s="235" t="s">
        <v>631</v>
      </c>
      <c r="AG1026" s="244"/>
      <c r="AH1026" s="244"/>
      <c r="AI1026" s="245"/>
      <c r="AJ1026" s="245"/>
      <c r="AK1026" s="245"/>
      <c r="AL1026" s="245"/>
      <c r="AM1026" s="244"/>
      <c r="AN1026" s="244"/>
      <c r="AO1026" s="238">
        <v>0.0</v>
      </c>
      <c r="AP1026" s="238">
        <v>0.0</v>
      </c>
      <c r="AQ1026" s="235" t="s">
        <v>632</v>
      </c>
      <c r="AR1026" s="243">
        <v>2.02E11</v>
      </c>
      <c r="AS1026" s="235" t="s">
        <v>7365</v>
      </c>
      <c r="AT1026" s="235" t="s">
        <v>16</v>
      </c>
      <c r="AU1026" s="235" t="s">
        <v>634</v>
      </c>
      <c r="AV1026" s="246" t="s">
        <v>635</v>
      </c>
      <c r="AW1026" s="242"/>
      <c r="AX1026" s="242"/>
      <c r="AY1026" s="231"/>
      <c r="AZ1026" s="231"/>
      <c r="BA1026" s="227"/>
      <c r="BB1026" s="231"/>
      <c r="BC1026" s="227"/>
      <c r="BD1026" s="227"/>
      <c r="BE1026" s="227"/>
      <c r="BF1026" s="227"/>
    </row>
    <row r="1027">
      <c r="A1027" s="235" t="s">
        <v>8647</v>
      </c>
      <c r="C1027" s="235" t="s">
        <v>8648</v>
      </c>
      <c r="D1027" s="235" t="s">
        <v>8649</v>
      </c>
      <c r="E1027" s="243">
        <v>6.56E13</v>
      </c>
      <c r="F1027" s="245"/>
      <c r="G1027" s="235" t="s">
        <v>8650</v>
      </c>
      <c r="H1027" s="235" t="s">
        <v>8651</v>
      </c>
      <c r="I1027" s="235" t="s">
        <v>8651</v>
      </c>
      <c r="J1027" s="235" t="s">
        <v>8652</v>
      </c>
      <c r="K1027" s="235" t="s">
        <v>8653</v>
      </c>
      <c r="N1027" s="235" t="s">
        <v>54</v>
      </c>
      <c r="O1027" s="235" t="s">
        <v>294</v>
      </c>
      <c r="P1027" s="238">
        <v>1.0</v>
      </c>
      <c r="Q1027" s="235" t="s">
        <v>627</v>
      </c>
      <c r="R1027" s="238">
        <v>246.67</v>
      </c>
      <c r="S1027" s="238">
        <v>12.33</v>
      </c>
      <c r="T1027" s="238">
        <v>38.1</v>
      </c>
      <c r="U1027" s="238">
        <v>1.9</v>
      </c>
      <c r="V1027" s="238">
        <v>0.0</v>
      </c>
      <c r="W1027" s="238">
        <v>0.0</v>
      </c>
      <c r="X1027" s="235" t="s">
        <v>628</v>
      </c>
      <c r="Z1027" s="244"/>
      <c r="AA1027" s="244"/>
      <c r="AB1027" s="244"/>
      <c r="AC1027" s="235" t="s">
        <v>8654</v>
      </c>
      <c r="AD1027" s="235" t="s">
        <v>1086</v>
      </c>
      <c r="AE1027" s="238">
        <v>141115.0</v>
      </c>
      <c r="AF1027" s="235" t="s">
        <v>631</v>
      </c>
      <c r="AG1027" s="244"/>
      <c r="AH1027" s="244"/>
      <c r="AI1027" s="245"/>
      <c r="AJ1027" s="245"/>
      <c r="AK1027" s="245"/>
      <c r="AL1027" s="245"/>
      <c r="AM1027" s="244"/>
      <c r="AN1027" s="244"/>
      <c r="AO1027" s="238">
        <v>0.0</v>
      </c>
      <c r="AP1027" s="238">
        <v>-38.1</v>
      </c>
      <c r="AQ1027" s="235" t="s">
        <v>632</v>
      </c>
      <c r="AR1027" s="243">
        <v>3.71E11</v>
      </c>
      <c r="AS1027" s="235" t="s">
        <v>6164</v>
      </c>
      <c r="AT1027" s="235" t="s">
        <v>14</v>
      </c>
      <c r="AU1027" s="235" t="s">
        <v>634</v>
      </c>
      <c r="AV1027" s="246" t="s">
        <v>635</v>
      </c>
      <c r="AW1027" s="242"/>
      <c r="AX1027" s="242"/>
      <c r="AY1027" s="231"/>
      <c r="AZ1027" s="231"/>
      <c r="BA1027" s="227"/>
      <c r="BB1027" s="231"/>
      <c r="BC1027" s="227"/>
      <c r="BD1027" s="227"/>
      <c r="BE1027" s="227"/>
      <c r="BF1027" s="227"/>
    </row>
    <row r="1028">
      <c r="A1028" s="235" t="s">
        <v>8655</v>
      </c>
      <c r="C1028" s="235" t="s">
        <v>8656</v>
      </c>
      <c r="D1028" s="235" t="s">
        <v>8657</v>
      </c>
      <c r="E1028" s="243">
        <v>6.55E13</v>
      </c>
      <c r="F1028" s="245"/>
      <c r="G1028" s="235" t="s">
        <v>8658</v>
      </c>
      <c r="H1028" s="235" t="s">
        <v>8659</v>
      </c>
      <c r="I1028" s="235" t="s">
        <v>8660</v>
      </c>
      <c r="J1028" s="235" t="s">
        <v>8661</v>
      </c>
      <c r="K1028" s="235" t="s">
        <v>8662</v>
      </c>
      <c r="N1028" s="235" t="s">
        <v>40</v>
      </c>
      <c r="O1028" s="235" t="s">
        <v>327</v>
      </c>
      <c r="P1028" s="238">
        <v>1.0</v>
      </c>
      <c r="Q1028" s="235" t="s">
        <v>627</v>
      </c>
      <c r="R1028" s="238">
        <v>237.14</v>
      </c>
      <c r="S1028" s="238">
        <v>11.86</v>
      </c>
      <c r="T1028" s="238">
        <v>38.1</v>
      </c>
      <c r="U1028" s="238">
        <v>1.9</v>
      </c>
      <c r="V1028" s="238">
        <v>0.0</v>
      </c>
      <c r="W1028" s="238">
        <v>0.0</v>
      </c>
      <c r="X1028" s="235" t="s">
        <v>628</v>
      </c>
      <c r="Z1028" s="244"/>
      <c r="AA1028" s="244"/>
      <c r="AB1028" s="244"/>
      <c r="AC1028" s="235" t="s">
        <v>1604</v>
      </c>
      <c r="AD1028" s="235" t="s">
        <v>8663</v>
      </c>
      <c r="AE1028" s="238">
        <v>400093.0</v>
      </c>
      <c r="AF1028" s="235" t="s">
        <v>631</v>
      </c>
      <c r="AG1028" s="244"/>
      <c r="AH1028" s="244"/>
      <c r="AI1028" s="245"/>
      <c r="AJ1028" s="245"/>
      <c r="AK1028" s="245"/>
      <c r="AL1028" s="245"/>
      <c r="AM1028" s="244"/>
      <c r="AN1028" s="244"/>
      <c r="AO1028" s="238">
        <v>0.0</v>
      </c>
      <c r="AP1028" s="238">
        <v>-38.1</v>
      </c>
      <c r="AQ1028" s="235" t="s">
        <v>632</v>
      </c>
      <c r="AR1028" s="243">
        <v>3.71E11</v>
      </c>
      <c r="AS1028" s="235" t="s">
        <v>7365</v>
      </c>
      <c r="AT1028" s="235" t="s">
        <v>17</v>
      </c>
      <c r="AU1028" s="235" t="s">
        <v>634</v>
      </c>
      <c r="AV1028" s="246" t="s">
        <v>635</v>
      </c>
      <c r="AW1028" s="242"/>
      <c r="AX1028" s="242"/>
      <c r="AY1028" s="231"/>
      <c r="AZ1028" s="231"/>
      <c r="BA1028" s="227"/>
      <c r="BB1028" s="231"/>
      <c r="BC1028" s="227"/>
      <c r="BD1028" s="227"/>
      <c r="BE1028" s="227"/>
      <c r="BF1028" s="227"/>
    </row>
    <row r="1029">
      <c r="A1029" s="235" t="s">
        <v>8664</v>
      </c>
      <c r="C1029" s="235" t="s">
        <v>8665</v>
      </c>
      <c r="D1029" s="235" t="s">
        <v>8666</v>
      </c>
      <c r="E1029" s="243">
        <v>6.56E13</v>
      </c>
      <c r="F1029" s="245"/>
      <c r="G1029" s="235" t="s">
        <v>8667</v>
      </c>
      <c r="H1029" s="235" t="s">
        <v>8668</v>
      </c>
      <c r="I1029" s="235" t="s">
        <v>8669</v>
      </c>
      <c r="J1029" s="235" t="s">
        <v>8670</v>
      </c>
      <c r="K1029" s="235" t="s">
        <v>4780</v>
      </c>
      <c r="N1029" s="235" t="s">
        <v>3951</v>
      </c>
      <c r="O1029" s="235" t="s">
        <v>3952</v>
      </c>
      <c r="P1029" s="238">
        <v>1.0</v>
      </c>
      <c r="Q1029" s="235" t="s">
        <v>627</v>
      </c>
      <c r="R1029" s="238">
        <v>490.68</v>
      </c>
      <c r="S1029" s="238">
        <v>86.55</v>
      </c>
      <c r="T1029" s="238">
        <v>0.0</v>
      </c>
      <c r="U1029" s="238">
        <v>0.0</v>
      </c>
      <c r="V1029" s="238">
        <v>0.0</v>
      </c>
      <c r="W1029" s="238">
        <v>0.0</v>
      </c>
      <c r="X1029" s="235" t="s">
        <v>628</v>
      </c>
      <c r="Z1029" s="244"/>
      <c r="AA1029" s="244"/>
      <c r="AB1029" s="244"/>
      <c r="AC1029" s="235" t="s">
        <v>678</v>
      </c>
      <c r="AD1029" s="235" t="s">
        <v>679</v>
      </c>
      <c r="AE1029" s="238">
        <v>560068.0</v>
      </c>
      <c r="AF1029" s="235" t="s">
        <v>631</v>
      </c>
      <c r="AG1029" s="244"/>
      <c r="AH1029" s="244"/>
      <c r="AI1029" s="245"/>
      <c r="AJ1029" s="245"/>
      <c r="AK1029" s="245"/>
      <c r="AL1029" s="245"/>
      <c r="AM1029" s="244"/>
      <c r="AN1029" s="244"/>
      <c r="AO1029" s="238">
        <v>-9.81</v>
      </c>
      <c r="AP1029" s="238">
        <v>0.0</v>
      </c>
      <c r="AQ1029" s="235" t="s">
        <v>632</v>
      </c>
      <c r="AR1029" s="243">
        <v>1.68E11</v>
      </c>
      <c r="AS1029" s="235" t="s">
        <v>6164</v>
      </c>
      <c r="AT1029" s="235" t="s">
        <v>16</v>
      </c>
      <c r="AU1029" s="235" t="s">
        <v>634</v>
      </c>
      <c r="AV1029" s="246" t="s">
        <v>635</v>
      </c>
      <c r="AW1029" s="242"/>
      <c r="AX1029" s="242"/>
      <c r="AY1029" s="231"/>
      <c r="AZ1029" s="231"/>
      <c r="BA1029" s="227"/>
      <c r="BB1029" s="231"/>
      <c r="BC1029" s="227"/>
      <c r="BD1029" s="227"/>
      <c r="BE1029" s="227"/>
      <c r="BF1029" s="227"/>
    </row>
    <row r="1030">
      <c r="A1030" s="235" t="s">
        <v>8671</v>
      </c>
      <c r="C1030" s="235" t="s">
        <v>8672</v>
      </c>
      <c r="D1030" s="235" t="s">
        <v>8673</v>
      </c>
      <c r="E1030" s="243">
        <v>6.56E13</v>
      </c>
      <c r="F1030" s="245"/>
      <c r="G1030" s="235" t="s">
        <v>8674</v>
      </c>
      <c r="H1030" s="235" t="s">
        <v>8675</v>
      </c>
      <c r="I1030" s="235" t="s">
        <v>8675</v>
      </c>
      <c r="J1030" s="235" t="s">
        <v>8676</v>
      </c>
      <c r="K1030" s="235" t="s">
        <v>8677</v>
      </c>
      <c r="N1030" s="235" t="s">
        <v>144</v>
      </c>
      <c r="O1030" s="235" t="s">
        <v>232</v>
      </c>
      <c r="P1030" s="238">
        <v>1.0</v>
      </c>
      <c r="Q1030" s="235" t="s">
        <v>627</v>
      </c>
      <c r="R1030" s="238">
        <v>665.71</v>
      </c>
      <c r="S1030" s="238">
        <v>32.62</v>
      </c>
      <c r="T1030" s="238">
        <v>0.0</v>
      </c>
      <c r="U1030" s="238">
        <v>0.0</v>
      </c>
      <c r="V1030" s="238">
        <v>0.0</v>
      </c>
      <c r="W1030" s="238">
        <v>0.0</v>
      </c>
      <c r="X1030" s="235" t="s">
        <v>628</v>
      </c>
      <c r="Z1030" s="244"/>
      <c r="AA1030" s="244"/>
      <c r="AB1030" s="244"/>
      <c r="AC1030" s="235" t="s">
        <v>1728</v>
      </c>
      <c r="AD1030" s="235" t="s">
        <v>630</v>
      </c>
      <c r="AE1030" s="238">
        <v>221007.0</v>
      </c>
      <c r="AF1030" s="235" t="s">
        <v>631</v>
      </c>
      <c r="AG1030" s="244"/>
      <c r="AH1030" s="244"/>
      <c r="AI1030" s="245"/>
      <c r="AJ1030" s="245"/>
      <c r="AK1030" s="245"/>
      <c r="AL1030" s="245"/>
      <c r="AM1030" s="244"/>
      <c r="AN1030" s="244"/>
      <c r="AO1030" s="238">
        <v>-13.31</v>
      </c>
      <c r="AP1030" s="238">
        <v>0.0</v>
      </c>
      <c r="AQ1030" s="235" t="s">
        <v>632</v>
      </c>
      <c r="AR1030" s="243">
        <v>3.71E11</v>
      </c>
      <c r="AS1030" s="235" t="s">
        <v>4697</v>
      </c>
      <c r="AT1030" s="235" t="s">
        <v>533</v>
      </c>
      <c r="AU1030" s="235" t="s">
        <v>634</v>
      </c>
      <c r="AV1030" s="246" t="s">
        <v>635</v>
      </c>
      <c r="AW1030" s="242"/>
      <c r="AX1030" s="242"/>
      <c r="AY1030" s="231"/>
      <c r="AZ1030" s="231"/>
      <c r="BA1030" s="227"/>
      <c r="BB1030" s="231"/>
      <c r="BC1030" s="227"/>
      <c r="BD1030" s="227"/>
      <c r="BE1030" s="227"/>
      <c r="BF1030" s="227"/>
    </row>
    <row r="1031">
      <c r="A1031" s="235" t="s">
        <v>8678</v>
      </c>
      <c r="C1031" s="235" t="s">
        <v>8679</v>
      </c>
      <c r="D1031" s="235" t="s">
        <v>8680</v>
      </c>
      <c r="E1031" s="243">
        <v>6.56E13</v>
      </c>
      <c r="F1031" s="245"/>
      <c r="G1031" s="235" t="s">
        <v>8681</v>
      </c>
      <c r="H1031" s="235" t="s">
        <v>8682</v>
      </c>
      <c r="I1031" s="235" t="s">
        <v>8683</v>
      </c>
      <c r="J1031" s="235" t="s">
        <v>8684</v>
      </c>
      <c r="K1031" s="235" t="s">
        <v>8685</v>
      </c>
      <c r="N1031" s="235" t="s">
        <v>71</v>
      </c>
      <c r="O1031" s="235" t="s">
        <v>240</v>
      </c>
      <c r="P1031" s="238">
        <v>1.0</v>
      </c>
      <c r="Q1031" s="235" t="s">
        <v>627</v>
      </c>
      <c r="R1031" s="238">
        <v>246.67</v>
      </c>
      <c r="S1031" s="238">
        <v>12.08</v>
      </c>
      <c r="T1031" s="238">
        <v>0.0</v>
      </c>
      <c r="U1031" s="238">
        <v>0.0</v>
      </c>
      <c r="V1031" s="238">
        <v>0.0</v>
      </c>
      <c r="W1031" s="238">
        <v>0.0</v>
      </c>
      <c r="X1031" s="235" t="s">
        <v>628</v>
      </c>
      <c r="Z1031" s="244"/>
      <c r="AA1031" s="244"/>
      <c r="AB1031" s="244"/>
      <c r="AC1031" s="235" t="s">
        <v>6571</v>
      </c>
      <c r="AD1031" s="235" t="s">
        <v>731</v>
      </c>
      <c r="AE1031" s="238">
        <v>781003.0</v>
      </c>
      <c r="AF1031" s="235" t="s">
        <v>631</v>
      </c>
      <c r="AG1031" s="244"/>
      <c r="AH1031" s="244"/>
      <c r="AI1031" s="245"/>
      <c r="AJ1031" s="245"/>
      <c r="AK1031" s="245"/>
      <c r="AL1031" s="245"/>
      <c r="AM1031" s="244"/>
      <c r="AN1031" s="244"/>
      <c r="AO1031" s="238">
        <v>-4.93</v>
      </c>
      <c r="AP1031" s="238">
        <v>0.0</v>
      </c>
      <c r="AQ1031" s="235" t="s">
        <v>632</v>
      </c>
      <c r="AR1031" s="243">
        <v>3.71E11</v>
      </c>
      <c r="AS1031" s="235" t="s">
        <v>3284</v>
      </c>
      <c r="AT1031" s="235" t="s">
        <v>533</v>
      </c>
      <c r="AU1031" s="235" t="s">
        <v>634</v>
      </c>
      <c r="AV1031" s="246" t="s">
        <v>635</v>
      </c>
      <c r="AW1031" s="242"/>
      <c r="AX1031" s="242"/>
      <c r="AY1031" s="231"/>
      <c r="AZ1031" s="231"/>
      <c r="BA1031" s="227"/>
      <c r="BB1031" s="231"/>
      <c r="BC1031" s="227"/>
      <c r="BD1031" s="227"/>
      <c r="BE1031" s="227"/>
      <c r="BF1031" s="227"/>
    </row>
    <row r="1032">
      <c r="A1032" s="235" t="s">
        <v>8686</v>
      </c>
      <c r="C1032" s="235" t="s">
        <v>8687</v>
      </c>
      <c r="D1032" s="235" t="s">
        <v>8688</v>
      </c>
      <c r="E1032" s="243">
        <v>6.56E13</v>
      </c>
      <c r="F1032" s="245"/>
      <c r="G1032" s="235" t="s">
        <v>8689</v>
      </c>
      <c r="H1032" s="235" t="s">
        <v>8690</v>
      </c>
      <c r="I1032" s="235" t="s">
        <v>8690</v>
      </c>
      <c r="J1032" s="235" t="s">
        <v>8691</v>
      </c>
      <c r="K1032" s="235" t="s">
        <v>8692</v>
      </c>
      <c r="N1032" s="235" t="s">
        <v>42</v>
      </c>
      <c r="O1032" s="235" t="s">
        <v>204</v>
      </c>
      <c r="P1032" s="238">
        <v>1.0</v>
      </c>
      <c r="Q1032" s="235" t="s">
        <v>627</v>
      </c>
      <c r="R1032" s="238">
        <v>237.14</v>
      </c>
      <c r="S1032" s="238">
        <v>11.86</v>
      </c>
      <c r="T1032" s="238">
        <v>0.0</v>
      </c>
      <c r="U1032" s="238">
        <v>0.0</v>
      </c>
      <c r="V1032" s="238">
        <v>0.0</v>
      </c>
      <c r="W1032" s="238">
        <v>0.0</v>
      </c>
      <c r="X1032" s="235" t="s">
        <v>628</v>
      </c>
      <c r="Z1032" s="244"/>
      <c r="AA1032" s="244"/>
      <c r="AB1032" s="244"/>
      <c r="AC1032" s="235" t="s">
        <v>697</v>
      </c>
      <c r="AD1032" s="235" t="s">
        <v>698</v>
      </c>
      <c r="AE1032" s="238">
        <v>500089.0</v>
      </c>
      <c r="AF1032" s="235" t="s">
        <v>631</v>
      </c>
      <c r="AG1032" s="244"/>
      <c r="AH1032" s="244"/>
      <c r="AI1032" s="245"/>
      <c r="AJ1032" s="245"/>
      <c r="AK1032" s="245"/>
      <c r="AL1032" s="245"/>
      <c r="AM1032" s="244"/>
      <c r="AN1032" s="244"/>
      <c r="AO1032" s="238">
        <v>0.0</v>
      </c>
      <c r="AP1032" s="238">
        <v>0.0</v>
      </c>
      <c r="AQ1032" s="235" t="s">
        <v>632</v>
      </c>
      <c r="AR1032" s="243">
        <v>1.68E11</v>
      </c>
      <c r="AS1032" s="235" t="s">
        <v>7365</v>
      </c>
      <c r="AT1032" s="235" t="s">
        <v>9</v>
      </c>
      <c r="AU1032" s="235" t="s">
        <v>634</v>
      </c>
      <c r="AV1032" s="246" t="s">
        <v>635</v>
      </c>
      <c r="AW1032" s="242"/>
      <c r="AX1032" s="242"/>
      <c r="AY1032" s="231"/>
      <c r="AZ1032" s="231"/>
      <c r="BA1032" s="227"/>
      <c r="BB1032" s="231"/>
      <c r="BC1032" s="227"/>
      <c r="BD1032" s="227"/>
      <c r="BE1032" s="227"/>
      <c r="BF1032" s="227"/>
    </row>
    <row r="1033">
      <c r="A1033" s="235" t="s">
        <v>8693</v>
      </c>
      <c r="C1033" s="235" t="s">
        <v>8694</v>
      </c>
      <c r="D1033" s="235" t="s">
        <v>8695</v>
      </c>
      <c r="E1033" s="243">
        <v>6.56E13</v>
      </c>
      <c r="F1033" s="245"/>
      <c r="G1033" s="235" t="s">
        <v>8696</v>
      </c>
      <c r="H1033" s="235" t="s">
        <v>8697</v>
      </c>
      <c r="I1033" s="235" t="s">
        <v>8697</v>
      </c>
      <c r="J1033" s="235" t="s">
        <v>8698</v>
      </c>
      <c r="K1033" s="235" t="s">
        <v>8699</v>
      </c>
      <c r="N1033" s="235" t="s">
        <v>154</v>
      </c>
      <c r="O1033" s="235" t="s">
        <v>766</v>
      </c>
      <c r="P1033" s="238">
        <v>1.0</v>
      </c>
      <c r="Q1033" s="235" t="s">
        <v>627</v>
      </c>
      <c r="R1033" s="238">
        <v>465.72</v>
      </c>
      <c r="S1033" s="238">
        <v>23.28</v>
      </c>
      <c r="T1033" s="238">
        <v>38.1</v>
      </c>
      <c r="U1033" s="238">
        <v>1.9</v>
      </c>
      <c r="V1033" s="238">
        <v>0.0</v>
      </c>
      <c r="W1033" s="238">
        <v>0.0</v>
      </c>
      <c r="X1033" s="235" t="s">
        <v>628</v>
      </c>
      <c r="Z1033" s="244"/>
      <c r="AA1033" s="244"/>
      <c r="AB1033" s="244"/>
      <c r="AC1033" s="235" t="s">
        <v>1058</v>
      </c>
      <c r="AD1033" s="235" t="s">
        <v>845</v>
      </c>
      <c r="AE1033" s="238">
        <v>400001.0</v>
      </c>
      <c r="AF1033" s="235" t="s">
        <v>631</v>
      </c>
      <c r="AG1033" s="244"/>
      <c r="AH1033" s="244"/>
      <c r="AI1033" s="245"/>
      <c r="AJ1033" s="245"/>
      <c r="AK1033" s="245"/>
      <c r="AL1033" s="245"/>
      <c r="AM1033" s="244"/>
      <c r="AN1033" s="244"/>
      <c r="AO1033" s="238">
        <v>0.0</v>
      </c>
      <c r="AP1033" s="238">
        <v>-38.1</v>
      </c>
      <c r="AQ1033" s="235" t="s">
        <v>632</v>
      </c>
      <c r="AR1033" s="243">
        <v>3.71E11</v>
      </c>
      <c r="AS1033" s="235" t="s">
        <v>7365</v>
      </c>
      <c r="AT1033" s="235" t="s">
        <v>16</v>
      </c>
      <c r="AU1033" s="235" t="s">
        <v>634</v>
      </c>
      <c r="AV1033" s="246" t="s">
        <v>635</v>
      </c>
      <c r="AW1033" s="242"/>
      <c r="AX1033" s="242"/>
      <c r="AY1033" s="231"/>
      <c r="AZ1033" s="231"/>
      <c r="BA1033" s="227"/>
      <c r="BB1033" s="231"/>
      <c r="BC1033" s="227"/>
      <c r="BD1033" s="227"/>
      <c r="BE1033" s="227"/>
      <c r="BF1033" s="227"/>
    </row>
    <row r="1034">
      <c r="A1034" s="235" t="s">
        <v>8700</v>
      </c>
      <c r="C1034" s="235" t="s">
        <v>8701</v>
      </c>
      <c r="D1034" s="235" t="s">
        <v>8702</v>
      </c>
      <c r="E1034" s="243">
        <v>6.56E13</v>
      </c>
      <c r="F1034" s="245"/>
      <c r="G1034" s="235" t="s">
        <v>8703</v>
      </c>
      <c r="H1034" s="235" t="s">
        <v>8704</v>
      </c>
      <c r="I1034" s="235" t="s">
        <v>8704</v>
      </c>
      <c r="J1034" s="235" t="s">
        <v>8705</v>
      </c>
      <c r="K1034" s="235" t="s">
        <v>8706</v>
      </c>
      <c r="N1034" s="235" t="s">
        <v>78</v>
      </c>
      <c r="O1034" s="235" t="s">
        <v>360</v>
      </c>
      <c r="P1034" s="238">
        <v>1.0</v>
      </c>
      <c r="Q1034" s="235" t="s">
        <v>627</v>
      </c>
      <c r="R1034" s="238">
        <v>360.95</v>
      </c>
      <c r="S1034" s="238">
        <v>18.05</v>
      </c>
      <c r="T1034" s="238">
        <v>0.0</v>
      </c>
      <c r="U1034" s="238">
        <v>0.0</v>
      </c>
      <c r="V1034" s="238">
        <v>0.0</v>
      </c>
      <c r="W1034" s="238">
        <v>0.0</v>
      </c>
      <c r="X1034" s="235" t="s">
        <v>628</v>
      </c>
      <c r="Z1034" s="244"/>
      <c r="AA1034" s="244"/>
      <c r="AB1034" s="244"/>
      <c r="AC1034" s="235" t="s">
        <v>814</v>
      </c>
      <c r="AD1034" s="235" t="s">
        <v>698</v>
      </c>
      <c r="AE1034" s="238">
        <v>501505.0</v>
      </c>
      <c r="AF1034" s="235" t="s">
        <v>631</v>
      </c>
      <c r="AG1034" s="244"/>
      <c r="AH1034" s="244"/>
      <c r="AI1034" s="245"/>
      <c r="AJ1034" s="245"/>
      <c r="AK1034" s="245"/>
      <c r="AL1034" s="245"/>
      <c r="AM1034" s="244"/>
      <c r="AN1034" s="244"/>
      <c r="AO1034" s="238">
        <v>0.0</v>
      </c>
      <c r="AP1034" s="238">
        <v>0.0</v>
      </c>
      <c r="AQ1034" s="235" t="s">
        <v>632</v>
      </c>
      <c r="AR1034" s="243">
        <v>3.71E11</v>
      </c>
      <c r="AS1034" s="235" t="s">
        <v>6164</v>
      </c>
      <c r="AT1034" s="235" t="s">
        <v>9</v>
      </c>
      <c r="AU1034" s="235" t="s">
        <v>634</v>
      </c>
      <c r="AV1034" s="246" t="s">
        <v>635</v>
      </c>
      <c r="AW1034" s="242"/>
      <c r="AX1034" s="242"/>
      <c r="AY1034" s="231"/>
      <c r="AZ1034" s="231"/>
      <c r="BA1034" s="227"/>
      <c r="BB1034" s="231"/>
      <c r="BC1034" s="227"/>
      <c r="BD1034" s="227"/>
      <c r="BE1034" s="227"/>
      <c r="BF1034" s="227"/>
    </row>
    <row r="1035">
      <c r="A1035" s="235" t="s">
        <v>8707</v>
      </c>
      <c r="C1035" s="235" t="s">
        <v>8708</v>
      </c>
      <c r="D1035" s="235" t="s">
        <v>8709</v>
      </c>
      <c r="E1035" s="243">
        <v>6.56E13</v>
      </c>
      <c r="F1035" s="245"/>
      <c r="G1035" s="235" t="s">
        <v>8710</v>
      </c>
      <c r="H1035" s="235" t="s">
        <v>8711</v>
      </c>
      <c r="I1035" s="235" t="s">
        <v>8711</v>
      </c>
      <c r="J1035" s="235" t="s">
        <v>8712</v>
      </c>
      <c r="K1035" s="235" t="s">
        <v>8713</v>
      </c>
      <c r="N1035" s="235" t="s">
        <v>53</v>
      </c>
      <c r="O1035" s="235" t="s">
        <v>512</v>
      </c>
      <c r="P1035" s="238">
        <v>1.0</v>
      </c>
      <c r="Q1035" s="235" t="s">
        <v>627</v>
      </c>
      <c r="R1035" s="238">
        <v>237.14</v>
      </c>
      <c r="S1035" s="238">
        <v>11.86</v>
      </c>
      <c r="T1035" s="238">
        <v>0.0</v>
      </c>
      <c r="U1035" s="238">
        <v>0.0</v>
      </c>
      <c r="V1035" s="238">
        <v>0.0</v>
      </c>
      <c r="W1035" s="238">
        <v>0.0</v>
      </c>
      <c r="X1035" s="235" t="s">
        <v>628</v>
      </c>
      <c r="Z1035" s="244"/>
      <c r="AA1035" s="244"/>
      <c r="AB1035" s="244"/>
      <c r="AC1035" s="235" t="s">
        <v>814</v>
      </c>
      <c r="AD1035" s="235" t="s">
        <v>698</v>
      </c>
      <c r="AE1035" s="238">
        <v>500016.0</v>
      </c>
      <c r="AF1035" s="235" t="s">
        <v>631</v>
      </c>
      <c r="AG1035" s="244"/>
      <c r="AH1035" s="244"/>
      <c r="AI1035" s="245"/>
      <c r="AJ1035" s="245"/>
      <c r="AK1035" s="245"/>
      <c r="AL1035" s="245"/>
      <c r="AM1035" s="244"/>
      <c r="AN1035" s="244"/>
      <c r="AO1035" s="238">
        <v>0.0</v>
      </c>
      <c r="AP1035" s="238">
        <v>0.0</v>
      </c>
      <c r="AQ1035" s="235" t="s">
        <v>632</v>
      </c>
      <c r="AR1035" s="243">
        <v>1.68E11</v>
      </c>
      <c r="AS1035" s="235" t="s">
        <v>7365</v>
      </c>
      <c r="AT1035" s="235" t="s">
        <v>9</v>
      </c>
      <c r="AU1035" s="235" t="s">
        <v>634</v>
      </c>
      <c r="AV1035" s="246" t="s">
        <v>635</v>
      </c>
      <c r="AW1035" s="242"/>
      <c r="AX1035" s="242"/>
      <c r="AY1035" s="231"/>
      <c r="AZ1035" s="231"/>
      <c r="BA1035" s="227"/>
      <c r="BB1035" s="231"/>
      <c r="BC1035" s="227"/>
      <c r="BD1035" s="227"/>
      <c r="BE1035" s="227"/>
      <c r="BF1035" s="227"/>
    </row>
    <row r="1036">
      <c r="A1036" s="235" t="s">
        <v>8714</v>
      </c>
      <c r="C1036" s="235" t="s">
        <v>8715</v>
      </c>
      <c r="D1036" s="235" t="s">
        <v>8716</v>
      </c>
      <c r="E1036" s="243">
        <v>6.56E13</v>
      </c>
      <c r="F1036" s="245"/>
      <c r="G1036" s="235" t="s">
        <v>8717</v>
      </c>
      <c r="H1036" s="235" t="s">
        <v>8718</v>
      </c>
      <c r="I1036" s="235" t="s">
        <v>8718</v>
      </c>
      <c r="J1036" s="235" t="s">
        <v>8719</v>
      </c>
      <c r="K1036" s="235" t="s">
        <v>8720</v>
      </c>
      <c r="N1036" s="235" t="s">
        <v>1346</v>
      </c>
      <c r="O1036" s="235" t="s">
        <v>1347</v>
      </c>
      <c r="P1036" s="238">
        <v>1.0</v>
      </c>
      <c r="Q1036" s="235" t="s">
        <v>627</v>
      </c>
      <c r="R1036" s="238">
        <v>256.19</v>
      </c>
      <c r="S1036" s="238">
        <v>12.81</v>
      </c>
      <c r="T1036" s="238">
        <v>38.1</v>
      </c>
      <c r="U1036" s="238">
        <v>1.9</v>
      </c>
      <c r="V1036" s="238">
        <v>0.0</v>
      </c>
      <c r="W1036" s="238">
        <v>0.0</v>
      </c>
      <c r="X1036" s="235" t="s">
        <v>628</v>
      </c>
      <c r="Z1036" s="244"/>
      <c r="AA1036" s="244"/>
      <c r="AB1036" s="244"/>
      <c r="AC1036" s="235" t="s">
        <v>8721</v>
      </c>
      <c r="AD1036" s="235" t="s">
        <v>630</v>
      </c>
      <c r="AE1036" s="238">
        <v>245205.0</v>
      </c>
      <c r="AF1036" s="235" t="s">
        <v>631</v>
      </c>
      <c r="AG1036" s="244"/>
      <c r="AH1036" s="244"/>
      <c r="AI1036" s="245"/>
      <c r="AJ1036" s="245"/>
      <c r="AK1036" s="245"/>
      <c r="AL1036" s="245"/>
      <c r="AM1036" s="244"/>
      <c r="AN1036" s="244"/>
      <c r="AO1036" s="238">
        <v>0.0</v>
      </c>
      <c r="AP1036" s="238">
        <v>-38.1</v>
      </c>
      <c r="AQ1036" s="235" t="s">
        <v>632</v>
      </c>
      <c r="AR1036" s="243">
        <v>3.71E11</v>
      </c>
      <c r="AS1036" s="235" t="s">
        <v>646</v>
      </c>
      <c r="AT1036" s="235" t="s">
        <v>156</v>
      </c>
      <c r="AU1036" s="235" t="s">
        <v>634</v>
      </c>
      <c r="AV1036" s="246" t="s">
        <v>635</v>
      </c>
      <c r="AW1036" s="242"/>
      <c r="AX1036" s="242"/>
      <c r="AY1036" s="231"/>
      <c r="AZ1036" s="231"/>
      <c r="BA1036" s="227"/>
      <c r="BB1036" s="231"/>
      <c r="BC1036" s="227"/>
      <c r="BD1036" s="227"/>
      <c r="BE1036" s="227"/>
      <c r="BF1036" s="227"/>
    </row>
    <row r="1037">
      <c r="A1037" s="235" t="s">
        <v>8722</v>
      </c>
      <c r="C1037" s="235" t="s">
        <v>8723</v>
      </c>
      <c r="D1037" s="235" t="s">
        <v>8724</v>
      </c>
      <c r="E1037" s="243">
        <v>6.56E13</v>
      </c>
      <c r="F1037" s="245"/>
      <c r="G1037" s="235" t="s">
        <v>8725</v>
      </c>
      <c r="H1037" s="235" t="s">
        <v>8726</v>
      </c>
      <c r="I1037" s="235" t="s">
        <v>8726</v>
      </c>
      <c r="J1037" s="235" t="s">
        <v>8727</v>
      </c>
      <c r="K1037" s="235" t="s">
        <v>8728</v>
      </c>
      <c r="N1037" s="235" t="s">
        <v>842</v>
      </c>
      <c r="O1037" s="235" t="s">
        <v>843</v>
      </c>
      <c r="P1037" s="238">
        <v>1.0</v>
      </c>
      <c r="Q1037" s="235" t="s">
        <v>627</v>
      </c>
      <c r="R1037" s="238">
        <v>246.67</v>
      </c>
      <c r="S1037" s="238">
        <v>12.33</v>
      </c>
      <c r="T1037" s="238">
        <v>0.0</v>
      </c>
      <c r="U1037" s="238">
        <v>0.0</v>
      </c>
      <c r="V1037" s="238">
        <v>0.0</v>
      </c>
      <c r="W1037" s="238">
        <v>0.0</v>
      </c>
      <c r="X1037" s="235" t="s">
        <v>628</v>
      </c>
      <c r="Z1037" s="244"/>
      <c r="AA1037" s="244"/>
      <c r="AB1037" s="244"/>
      <c r="AC1037" s="235" t="s">
        <v>697</v>
      </c>
      <c r="AD1037" s="235" t="s">
        <v>698</v>
      </c>
      <c r="AE1037" s="238">
        <v>500072.0</v>
      </c>
      <c r="AF1037" s="235" t="s">
        <v>631</v>
      </c>
      <c r="AG1037" s="244"/>
      <c r="AH1037" s="244"/>
      <c r="AI1037" s="245"/>
      <c r="AJ1037" s="245"/>
      <c r="AK1037" s="245"/>
      <c r="AL1037" s="245"/>
      <c r="AM1037" s="244"/>
      <c r="AN1037" s="244"/>
      <c r="AO1037" s="238">
        <v>0.0</v>
      </c>
      <c r="AP1037" s="238">
        <v>0.0</v>
      </c>
      <c r="AQ1037" s="235" t="s">
        <v>632</v>
      </c>
      <c r="AR1037" s="243">
        <v>1.68E11</v>
      </c>
      <c r="AS1037" s="235" t="s">
        <v>7365</v>
      </c>
      <c r="AT1037" s="235" t="s">
        <v>156</v>
      </c>
      <c r="AU1037" s="235" t="s">
        <v>634</v>
      </c>
      <c r="AV1037" s="246" t="s">
        <v>635</v>
      </c>
      <c r="AW1037" s="242"/>
      <c r="AX1037" s="242"/>
      <c r="AY1037" s="231"/>
      <c r="AZ1037" s="231"/>
      <c r="BA1037" s="227"/>
      <c r="BB1037" s="231"/>
      <c r="BC1037" s="227"/>
      <c r="BD1037" s="227"/>
      <c r="BE1037" s="227"/>
      <c r="BF1037" s="227"/>
    </row>
    <row r="1038">
      <c r="A1038" s="235" t="s">
        <v>8729</v>
      </c>
      <c r="C1038" s="235" t="s">
        <v>8730</v>
      </c>
      <c r="D1038" s="235" t="s">
        <v>8731</v>
      </c>
      <c r="E1038" s="243">
        <v>6.56E13</v>
      </c>
      <c r="F1038" s="245"/>
      <c r="G1038" s="235" t="s">
        <v>8732</v>
      </c>
      <c r="H1038" s="235" t="s">
        <v>8733</v>
      </c>
      <c r="I1038" s="235" t="s">
        <v>8734</v>
      </c>
      <c r="J1038" s="235" t="s">
        <v>8735</v>
      </c>
      <c r="K1038" s="235" t="s">
        <v>8736</v>
      </c>
      <c r="N1038" s="235" t="s">
        <v>92</v>
      </c>
      <c r="O1038" s="235" t="s">
        <v>248</v>
      </c>
      <c r="P1038" s="238">
        <v>1.0</v>
      </c>
      <c r="Q1038" s="235" t="s">
        <v>627</v>
      </c>
      <c r="R1038" s="238">
        <v>246.66</v>
      </c>
      <c r="S1038" s="238">
        <v>12.34</v>
      </c>
      <c r="T1038" s="238">
        <v>0.0</v>
      </c>
      <c r="U1038" s="238">
        <v>0.0</v>
      </c>
      <c r="V1038" s="238">
        <v>0.0</v>
      </c>
      <c r="W1038" s="238">
        <v>0.0</v>
      </c>
      <c r="X1038" s="235" t="s">
        <v>628</v>
      </c>
      <c r="Z1038" s="244"/>
      <c r="AA1038" s="244"/>
      <c r="AB1038" s="244"/>
      <c r="AC1038" s="235" t="s">
        <v>8737</v>
      </c>
      <c r="AD1038" s="235" t="s">
        <v>666</v>
      </c>
      <c r="AE1038" s="238">
        <v>632001.0</v>
      </c>
      <c r="AF1038" s="235" t="s">
        <v>631</v>
      </c>
      <c r="AG1038" s="244"/>
      <c r="AH1038" s="244"/>
      <c r="AI1038" s="245"/>
      <c r="AJ1038" s="245"/>
      <c r="AK1038" s="245"/>
      <c r="AL1038" s="245"/>
      <c r="AM1038" s="244"/>
      <c r="AN1038" s="244"/>
      <c r="AO1038" s="238">
        <v>0.0</v>
      </c>
      <c r="AP1038" s="238">
        <v>0.0</v>
      </c>
      <c r="AQ1038" s="235" t="s">
        <v>632</v>
      </c>
      <c r="AR1038" s="243">
        <v>1.68E11</v>
      </c>
      <c r="AS1038" s="235" t="s">
        <v>7913</v>
      </c>
      <c r="AT1038" s="235" t="s">
        <v>156</v>
      </c>
      <c r="AU1038" s="235" t="s">
        <v>634</v>
      </c>
      <c r="AV1038" s="246" t="s">
        <v>635</v>
      </c>
      <c r="AW1038" s="242"/>
      <c r="AX1038" s="242"/>
      <c r="AY1038" s="231"/>
      <c r="AZ1038" s="231"/>
      <c r="BA1038" s="227"/>
      <c r="BB1038" s="231"/>
      <c r="BC1038" s="227"/>
      <c r="BD1038" s="227"/>
      <c r="BE1038" s="227"/>
      <c r="BF1038" s="227"/>
    </row>
    <row r="1039">
      <c r="A1039" s="235" t="s">
        <v>8738</v>
      </c>
      <c r="C1039" s="235" t="s">
        <v>8739</v>
      </c>
      <c r="D1039" s="235" t="s">
        <v>8740</v>
      </c>
      <c r="E1039" s="243">
        <v>6.56E13</v>
      </c>
      <c r="F1039" s="245"/>
      <c r="G1039" s="235" t="s">
        <v>8741</v>
      </c>
      <c r="H1039" s="235" t="s">
        <v>8742</v>
      </c>
      <c r="I1039" s="235" t="s">
        <v>8742</v>
      </c>
      <c r="J1039" s="235" t="s">
        <v>8743</v>
      </c>
      <c r="K1039" s="235" t="s">
        <v>8744</v>
      </c>
      <c r="N1039" s="235" t="s">
        <v>92</v>
      </c>
      <c r="O1039" s="235" t="s">
        <v>248</v>
      </c>
      <c r="P1039" s="238">
        <v>1.0</v>
      </c>
      <c r="Q1039" s="235" t="s">
        <v>627</v>
      </c>
      <c r="R1039" s="238">
        <v>246.67</v>
      </c>
      <c r="S1039" s="238">
        <v>12.33</v>
      </c>
      <c r="T1039" s="238">
        <v>0.0</v>
      </c>
      <c r="U1039" s="238">
        <v>0.0</v>
      </c>
      <c r="V1039" s="238">
        <v>0.0</v>
      </c>
      <c r="W1039" s="238">
        <v>0.0</v>
      </c>
      <c r="X1039" s="235" t="s">
        <v>628</v>
      </c>
      <c r="Z1039" s="244"/>
      <c r="AA1039" s="244"/>
      <c r="AB1039" s="244"/>
      <c r="AC1039" s="235" t="s">
        <v>8745</v>
      </c>
      <c r="AD1039" s="235" t="s">
        <v>1086</v>
      </c>
      <c r="AE1039" s="238">
        <v>140301.0</v>
      </c>
      <c r="AF1039" s="235" t="s">
        <v>631</v>
      </c>
      <c r="AG1039" s="244"/>
      <c r="AH1039" s="244"/>
      <c r="AI1039" s="245"/>
      <c r="AJ1039" s="245"/>
      <c r="AK1039" s="245"/>
      <c r="AL1039" s="245"/>
      <c r="AM1039" s="244"/>
      <c r="AN1039" s="244"/>
      <c r="AO1039" s="238">
        <v>0.0</v>
      </c>
      <c r="AP1039" s="238">
        <v>0.0</v>
      </c>
      <c r="AQ1039" s="235" t="s">
        <v>632</v>
      </c>
      <c r="AR1039" s="243">
        <v>3.71E11</v>
      </c>
      <c r="AS1039" s="235" t="s">
        <v>3284</v>
      </c>
      <c r="AT1039" s="235" t="s">
        <v>546</v>
      </c>
      <c r="AU1039" s="235" t="s">
        <v>634</v>
      </c>
      <c r="AV1039" s="246" t="s">
        <v>635</v>
      </c>
      <c r="AW1039" s="242"/>
      <c r="AX1039" s="242"/>
      <c r="AY1039" s="231"/>
      <c r="AZ1039" s="231"/>
      <c r="BA1039" s="227"/>
      <c r="BB1039" s="231"/>
      <c r="BC1039" s="227"/>
      <c r="BD1039" s="227"/>
      <c r="BE1039" s="227"/>
      <c r="BF1039" s="227"/>
    </row>
    <row r="1040">
      <c r="A1040" s="235" t="s">
        <v>8746</v>
      </c>
      <c r="C1040" s="235" t="s">
        <v>8747</v>
      </c>
      <c r="D1040" s="235" t="s">
        <v>8748</v>
      </c>
      <c r="E1040" s="243">
        <v>6.56E13</v>
      </c>
      <c r="F1040" s="245"/>
      <c r="G1040" s="235" t="s">
        <v>8749</v>
      </c>
      <c r="H1040" s="235" t="s">
        <v>8750</v>
      </c>
      <c r="I1040" s="235" t="s">
        <v>8751</v>
      </c>
      <c r="J1040" s="235" t="s">
        <v>8752</v>
      </c>
      <c r="K1040" s="235" t="s">
        <v>8753</v>
      </c>
      <c r="N1040" s="235" t="s">
        <v>68</v>
      </c>
      <c r="O1040" s="235" t="s">
        <v>208</v>
      </c>
      <c r="P1040" s="238">
        <v>1.0</v>
      </c>
      <c r="Q1040" s="235" t="s">
        <v>627</v>
      </c>
      <c r="R1040" s="238">
        <v>242.86</v>
      </c>
      <c r="S1040" s="238">
        <v>11.9</v>
      </c>
      <c r="T1040" s="238">
        <v>0.0</v>
      </c>
      <c r="U1040" s="238">
        <v>0.0</v>
      </c>
      <c r="V1040" s="238">
        <v>0.0</v>
      </c>
      <c r="W1040" s="238">
        <v>0.0</v>
      </c>
      <c r="X1040" s="235" t="s">
        <v>628</v>
      </c>
      <c r="Z1040" s="244"/>
      <c r="AA1040" s="244"/>
      <c r="AB1040" s="244"/>
      <c r="AC1040" s="235" t="s">
        <v>1255</v>
      </c>
      <c r="AD1040" s="235" t="s">
        <v>845</v>
      </c>
      <c r="AE1040" s="238">
        <v>400601.0</v>
      </c>
      <c r="AF1040" s="235" t="s">
        <v>631</v>
      </c>
      <c r="AG1040" s="244"/>
      <c r="AH1040" s="244"/>
      <c r="AI1040" s="245"/>
      <c r="AJ1040" s="245"/>
      <c r="AK1040" s="245"/>
      <c r="AL1040" s="245"/>
      <c r="AM1040" s="244"/>
      <c r="AN1040" s="244"/>
      <c r="AO1040" s="238">
        <v>-4.86</v>
      </c>
      <c r="AP1040" s="238">
        <v>0.0</v>
      </c>
      <c r="AQ1040" s="235" t="s">
        <v>632</v>
      </c>
      <c r="AR1040" s="243">
        <v>3.71E11</v>
      </c>
      <c r="AS1040" s="235" t="s">
        <v>7365</v>
      </c>
      <c r="AT1040" s="235" t="s">
        <v>16</v>
      </c>
      <c r="AU1040" s="235" t="s">
        <v>634</v>
      </c>
      <c r="AV1040" s="246" t="s">
        <v>635</v>
      </c>
      <c r="AW1040" s="242"/>
      <c r="AX1040" s="242"/>
      <c r="AY1040" s="231"/>
      <c r="AZ1040" s="231"/>
      <c r="BA1040" s="227"/>
      <c r="BB1040" s="231"/>
      <c r="BC1040" s="227"/>
      <c r="BD1040" s="227"/>
      <c r="BE1040" s="227"/>
      <c r="BF1040" s="227"/>
    </row>
    <row r="1041">
      <c r="A1041" s="235" t="s">
        <v>8754</v>
      </c>
      <c r="C1041" s="235" t="s">
        <v>8755</v>
      </c>
      <c r="D1041" s="235" t="s">
        <v>8756</v>
      </c>
      <c r="E1041" s="243">
        <v>6.56E13</v>
      </c>
      <c r="F1041" s="245"/>
      <c r="G1041" s="235" t="s">
        <v>8757</v>
      </c>
      <c r="H1041" s="235" t="s">
        <v>8758</v>
      </c>
      <c r="I1041" s="235" t="s">
        <v>8758</v>
      </c>
      <c r="J1041" s="235" t="s">
        <v>8759</v>
      </c>
      <c r="K1041" s="235" t="s">
        <v>8760</v>
      </c>
      <c r="N1041" s="235" t="s">
        <v>144</v>
      </c>
      <c r="O1041" s="235" t="s">
        <v>232</v>
      </c>
      <c r="P1041" s="238">
        <v>1.0</v>
      </c>
      <c r="Q1041" s="235" t="s">
        <v>627</v>
      </c>
      <c r="R1041" s="238">
        <v>665.72</v>
      </c>
      <c r="S1041" s="238">
        <v>33.28</v>
      </c>
      <c r="T1041" s="238">
        <v>0.0</v>
      </c>
      <c r="U1041" s="238">
        <v>0.0</v>
      </c>
      <c r="V1041" s="238">
        <v>0.0</v>
      </c>
      <c r="W1041" s="238">
        <v>0.0</v>
      </c>
      <c r="X1041" s="235" t="s">
        <v>628</v>
      </c>
      <c r="Z1041" s="244"/>
      <c r="AA1041" s="244"/>
      <c r="AB1041" s="244"/>
      <c r="AC1041" s="235" t="s">
        <v>8761</v>
      </c>
      <c r="AD1041" s="235" t="s">
        <v>845</v>
      </c>
      <c r="AE1041" s="238">
        <v>425201.0</v>
      </c>
      <c r="AF1041" s="235" t="s">
        <v>631</v>
      </c>
      <c r="AG1041" s="244"/>
      <c r="AH1041" s="244"/>
      <c r="AI1041" s="245"/>
      <c r="AJ1041" s="245"/>
      <c r="AK1041" s="245"/>
      <c r="AL1041" s="245"/>
      <c r="AM1041" s="244"/>
      <c r="AN1041" s="244"/>
      <c r="AO1041" s="238">
        <v>0.0</v>
      </c>
      <c r="AP1041" s="238">
        <v>0.0</v>
      </c>
      <c r="AQ1041" s="235" t="s">
        <v>632</v>
      </c>
      <c r="AR1041" s="243">
        <v>1.68E11</v>
      </c>
      <c r="AS1041" s="235" t="s">
        <v>7365</v>
      </c>
      <c r="AT1041" s="235" t="s">
        <v>16</v>
      </c>
      <c r="AU1041" s="235" t="s">
        <v>634</v>
      </c>
      <c r="AV1041" s="246" t="s">
        <v>635</v>
      </c>
      <c r="AW1041" s="242"/>
      <c r="AX1041" s="242"/>
      <c r="AY1041" s="231"/>
      <c r="AZ1041" s="231"/>
      <c r="BA1041" s="227"/>
      <c r="BB1041" s="231"/>
      <c r="BC1041" s="227"/>
      <c r="BD1041" s="227"/>
      <c r="BE1041" s="227"/>
      <c r="BF1041" s="227"/>
    </row>
    <row r="1042">
      <c r="A1042" s="235" t="s">
        <v>8762</v>
      </c>
      <c r="C1042" s="235" t="s">
        <v>8763</v>
      </c>
      <c r="D1042" s="235" t="s">
        <v>8764</v>
      </c>
      <c r="E1042" s="243">
        <v>6.56E13</v>
      </c>
      <c r="F1042" s="245"/>
      <c r="G1042" s="235" t="s">
        <v>8765</v>
      </c>
      <c r="H1042" s="235" t="s">
        <v>8766</v>
      </c>
      <c r="I1042" s="235" t="s">
        <v>8767</v>
      </c>
      <c r="J1042" s="235" t="s">
        <v>8768</v>
      </c>
      <c r="K1042" s="235" t="s">
        <v>8769</v>
      </c>
      <c r="N1042" s="235" t="s">
        <v>42</v>
      </c>
      <c r="O1042" s="235" t="s">
        <v>204</v>
      </c>
      <c r="P1042" s="238">
        <v>1.0</v>
      </c>
      <c r="Q1042" s="235" t="s">
        <v>627</v>
      </c>
      <c r="R1042" s="238">
        <v>237.14</v>
      </c>
      <c r="S1042" s="238">
        <v>11.86</v>
      </c>
      <c r="T1042" s="238">
        <v>0.0</v>
      </c>
      <c r="U1042" s="238">
        <v>0.0</v>
      </c>
      <c r="V1042" s="238">
        <v>0.0</v>
      </c>
      <c r="W1042" s="238">
        <v>0.0</v>
      </c>
      <c r="X1042" s="235" t="s">
        <v>628</v>
      </c>
      <c r="Z1042" s="244"/>
      <c r="AA1042" s="244"/>
      <c r="AB1042" s="244"/>
      <c r="AC1042" s="235" t="s">
        <v>697</v>
      </c>
      <c r="AD1042" s="235" t="s">
        <v>698</v>
      </c>
      <c r="AE1042" s="238">
        <v>500091.0</v>
      </c>
      <c r="AF1042" s="235" t="s">
        <v>631</v>
      </c>
      <c r="AG1042" s="244"/>
      <c r="AH1042" s="244"/>
      <c r="AI1042" s="245"/>
      <c r="AJ1042" s="245"/>
      <c r="AK1042" s="245"/>
      <c r="AL1042" s="245"/>
      <c r="AM1042" s="244"/>
      <c r="AN1042" s="244"/>
      <c r="AO1042" s="238">
        <v>0.0</v>
      </c>
      <c r="AP1042" s="238">
        <v>0.0</v>
      </c>
      <c r="AQ1042" s="235" t="s">
        <v>632</v>
      </c>
      <c r="AR1042" s="243">
        <v>2.02E11</v>
      </c>
      <c r="AS1042" s="235" t="s">
        <v>7365</v>
      </c>
      <c r="AT1042" s="235" t="s">
        <v>546</v>
      </c>
      <c r="AU1042" s="235" t="s">
        <v>634</v>
      </c>
      <c r="AV1042" s="246" t="s">
        <v>635</v>
      </c>
      <c r="AW1042" s="242"/>
      <c r="AX1042" s="242"/>
      <c r="AY1042" s="231"/>
      <c r="AZ1042" s="231"/>
      <c r="BA1042" s="227"/>
      <c r="BB1042" s="231"/>
      <c r="BC1042" s="227"/>
      <c r="BD1042" s="227"/>
      <c r="BE1042" s="227"/>
      <c r="BF1042" s="227"/>
    </row>
    <row r="1043">
      <c r="A1043" s="235" t="s">
        <v>8770</v>
      </c>
      <c r="C1043" s="235" t="s">
        <v>8771</v>
      </c>
      <c r="D1043" s="235" t="s">
        <v>8772</v>
      </c>
      <c r="E1043" s="243">
        <v>6.56E13</v>
      </c>
      <c r="F1043" s="245"/>
      <c r="G1043" s="235" t="s">
        <v>8773</v>
      </c>
      <c r="H1043" s="235" t="s">
        <v>8774</v>
      </c>
      <c r="I1043" s="235" t="s">
        <v>8774</v>
      </c>
      <c r="J1043" s="235" t="s">
        <v>8775</v>
      </c>
      <c r="K1043" s="235" t="s">
        <v>8776</v>
      </c>
      <c r="N1043" s="235" t="s">
        <v>962</v>
      </c>
      <c r="O1043" s="235" t="s">
        <v>963</v>
      </c>
      <c r="P1043" s="238">
        <v>1.0</v>
      </c>
      <c r="Q1043" s="235" t="s">
        <v>627</v>
      </c>
      <c r="R1043" s="238">
        <v>246.66</v>
      </c>
      <c r="S1043" s="238">
        <v>12.34</v>
      </c>
      <c r="T1043" s="238">
        <v>0.0</v>
      </c>
      <c r="U1043" s="238">
        <v>0.0</v>
      </c>
      <c r="V1043" s="238">
        <v>0.0</v>
      </c>
      <c r="W1043" s="238">
        <v>0.0</v>
      </c>
      <c r="X1043" s="235" t="s">
        <v>628</v>
      </c>
      <c r="Z1043" s="244"/>
      <c r="AA1043" s="244"/>
      <c r="AB1043" s="244"/>
      <c r="AC1043" s="235" t="s">
        <v>757</v>
      </c>
      <c r="AD1043" s="235" t="s">
        <v>666</v>
      </c>
      <c r="AE1043" s="238">
        <v>625514.0</v>
      </c>
      <c r="AF1043" s="235" t="s">
        <v>631</v>
      </c>
      <c r="AG1043" s="244"/>
      <c r="AH1043" s="244"/>
      <c r="AI1043" s="245"/>
      <c r="AJ1043" s="245"/>
      <c r="AK1043" s="245"/>
      <c r="AL1043" s="245"/>
      <c r="AM1043" s="244"/>
      <c r="AN1043" s="244"/>
      <c r="AO1043" s="238">
        <v>0.0</v>
      </c>
      <c r="AP1043" s="238">
        <v>0.0</v>
      </c>
      <c r="AQ1043" s="235" t="s">
        <v>632</v>
      </c>
      <c r="AR1043" s="243">
        <v>3.71E11</v>
      </c>
      <c r="AS1043" s="235" t="s">
        <v>7365</v>
      </c>
      <c r="AT1043" s="235" t="s">
        <v>155</v>
      </c>
      <c r="AU1043" s="235" t="s">
        <v>634</v>
      </c>
      <c r="AV1043" s="246" t="s">
        <v>635</v>
      </c>
      <c r="AW1043" s="242"/>
      <c r="AX1043" s="242"/>
      <c r="AY1043" s="231"/>
      <c r="AZ1043" s="231"/>
      <c r="BA1043" s="227"/>
      <c r="BB1043" s="231"/>
      <c r="BC1043" s="227"/>
      <c r="BD1043" s="227"/>
      <c r="BE1043" s="227"/>
      <c r="BF1043" s="227"/>
    </row>
    <row r="1044">
      <c r="A1044" s="235" t="s">
        <v>8777</v>
      </c>
      <c r="C1044" s="235" t="s">
        <v>8778</v>
      </c>
      <c r="D1044" s="235" t="s">
        <v>8779</v>
      </c>
      <c r="E1044" s="243">
        <v>6.56E13</v>
      </c>
      <c r="F1044" s="245"/>
      <c r="G1044" s="235" t="s">
        <v>8780</v>
      </c>
      <c r="H1044" s="235" t="s">
        <v>8781</v>
      </c>
      <c r="I1044" s="235" t="s">
        <v>8782</v>
      </c>
      <c r="J1044" s="235" t="s">
        <v>8783</v>
      </c>
      <c r="K1044" s="235" t="s">
        <v>8784</v>
      </c>
      <c r="N1044" s="235" t="s">
        <v>43</v>
      </c>
      <c r="O1044" s="235" t="s">
        <v>276</v>
      </c>
      <c r="P1044" s="238">
        <v>1.0</v>
      </c>
      <c r="Q1044" s="235" t="s">
        <v>627</v>
      </c>
      <c r="R1044" s="238">
        <v>237.14</v>
      </c>
      <c r="S1044" s="238">
        <v>11.62</v>
      </c>
      <c r="T1044" s="238">
        <v>0.0</v>
      </c>
      <c r="U1044" s="238">
        <v>0.0</v>
      </c>
      <c r="V1044" s="238">
        <v>0.0</v>
      </c>
      <c r="W1044" s="238">
        <v>0.0</v>
      </c>
      <c r="X1044" s="235" t="s">
        <v>628</v>
      </c>
      <c r="Z1044" s="244"/>
      <c r="AA1044" s="244"/>
      <c r="AB1044" s="244"/>
      <c r="AC1044" s="235" t="s">
        <v>687</v>
      </c>
      <c r="AD1044" s="235" t="s">
        <v>666</v>
      </c>
      <c r="AE1044" s="238">
        <v>600049.0</v>
      </c>
      <c r="AF1044" s="235" t="s">
        <v>631</v>
      </c>
      <c r="AG1044" s="244"/>
      <c r="AH1044" s="244"/>
      <c r="AI1044" s="245"/>
      <c r="AJ1044" s="245"/>
      <c r="AK1044" s="245"/>
      <c r="AL1044" s="245"/>
      <c r="AM1044" s="244"/>
      <c r="AN1044" s="244"/>
      <c r="AO1044" s="238">
        <v>-4.74</v>
      </c>
      <c r="AP1044" s="238">
        <v>0.0</v>
      </c>
      <c r="AQ1044" s="235" t="s">
        <v>632</v>
      </c>
      <c r="AR1044" s="243">
        <v>3.71E11</v>
      </c>
      <c r="AS1044" s="235" t="s">
        <v>3284</v>
      </c>
      <c r="AT1044" s="235" t="s">
        <v>14</v>
      </c>
      <c r="AU1044" s="235" t="s">
        <v>634</v>
      </c>
      <c r="AV1044" s="246" t="s">
        <v>635</v>
      </c>
      <c r="AW1044" s="242"/>
      <c r="AX1044" s="242"/>
      <c r="AY1044" s="231"/>
      <c r="AZ1044" s="231"/>
      <c r="BA1044" s="227"/>
      <c r="BB1044" s="231"/>
      <c r="BC1044" s="227"/>
      <c r="BD1044" s="227"/>
      <c r="BE1044" s="227"/>
      <c r="BF1044" s="227"/>
    </row>
    <row r="1045">
      <c r="A1045" s="235" t="s">
        <v>8785</v>
      </c>
      <c r="C1045" s="235" t="s">
        <v>8786</v>
      </c>
      <c r="D1045" s="235" t="s">
        <v>8787</v>
      </c>
      <c r="E1045" s="243">
        <v>6.56E13</v>
      </c>
      <c r="F1045" s="245"/>
      <c r="G1045" s="235" t="s">
        <v>8788</v>
      </c>
      <c r="H1045" s="235" t="s">
        <v>8789</v>
      </c>
      <c r="I1045" s="235" t="s">
        <v>8789</v>
      </c>
      <c r="J1045" s="235" t="s">
        <v>8790</v>
      </c>
      <c r="K1045" s="235" t="s">
        <v>8791</v>
      </c>
      <c r="N1045" s="235" t="s">
        <v>42</v>
      </c>
      <c r="O1045" s="235" t="s">
        <v>204</v>
      </c>
      <c r="P1045" s="238">
        <v>1.0</v>
      </c>
      <c r="Q1045" s="235" t="s">
        <v>627</v>
      </c>
      <c r="R1045" s="238">
        <v>237.14</v>
      </c>
      <c r="S1045" s="238">
        <v>11.86</v>
      </c>
      <c r="T1045" s="238">
        <v>0.0</v>
      </c>
      <c r="U1045" s="238">
        <v>0.0</v>
      </c>
      <c r="V1045" s="238">
        <v>0.0</v>
      </c>
      <c r="W1045" s="238">
        <v>0.0</v>
      </c>
      <c r="X1045" s="235" t="s">
        <v>628</v>
      </c>
      <c r="Z1045" s="244"/>
      <c r="AA1045" s="244"/>
      <c r="AB1045" s="244"/>
      <c r="AC1045" s="235" t="s">
        <v>697</v>
      </c>
      <c r="AD1045" s="235" t="s">
        <v>698</v>
      </c>
      <c r="AE1045" s="238">
        <v>500032.0</v>
      </c>
      <c r="AF1045" s="235" t="s">
        <v>631</v>
      </c>
      <c r="AG1045" s="244"/>
      <c r="AH1045" s="244"/>
      <c r="AI1045" s="245"/>
      <c r="AJ1045" s="245"/>
      <c r="AK1045" s="245"/>
      <c r="AL1045" s="245"/>
      <c r="AM1045" s="244"/>
      <c r="AN1045" s="244"/>
      <c r="AO1045" s="238">
        <v>0.0</v>
      </c>
      <c r="AP1045" s="238">
        <v>0.0</v>
      </c>
      <c r="AQ1045" s="235" t="s">
        <v>632</v>
      </c>
      <c r="AR1045" s="243">
        <v>2.02E11</v>
      </c>
      <c r="AS1045" s="235" t="s">
        <v>7365</v>
      </c>
      <c r="AT1045" s="235" t="s">
        <v>17</v>
      </c>
      <c r="AU1045" s="235" t="s">
        <v>634</v>
      </c>
      <c r="AV1045" s="246" t="s">
        <v>635</v>
      </c>
      <c r="AW1045" s="242"/>
      <c r="AX1045" s="242"/>
      <c r="AY1045" s="231"/>
      <c r="AZ1045" s="231"/>
      <c r="BA1045" s="227"/>
      <c r="BB1045" s="231"/>
      <c r="BC1045" s="227"/>
      <c r="BD1045" s="227"/>
      <c r="BE1045" s="227"/>
      <c r="BF1045" s="227"/>
    </row>
    <row r="1046">
      <c r="A1046" s="235" t="s">
        <v>8792</v>
      </c>
      <c r="C1046" s="235" t="s">
        <v>8793</v>
      </c>
      <c r="D1046" s="235" t="s">
        <v>8794</v>
      </c>
      <c r="E1046" s="243">
        <v>6.56E13</v>
      </c>
      <c r="F1046" s="245"/>
      <c r="G1046" s="235" t="s">
        <v>8795</v>
      </c>
      <c r="H1046" s="235" t="s">
        <v>8796</v>
      </c>
      <c r="I1046" s="235" t="s">
        <v>8796</v>
      </c>
      <c r="J1046" s="235" t="s">
        <v>8797</v>
      </c>
      <c r="K1046" s="235" t="s">
        <v>8798</v>
      </c>
      <c r="N1046" s="235" t="s">
        <v>141</v>
      </c>
      <c r="O1046" s="235" t="s">
        <v>342</v>
      </c>
      <c r="P1046" s="238">
        <v>1.0</v>
      </c>
      <c r="Q1046" s="235" t="s">
        <v>627</v>
      </c>
      <c r="R1046" s="238">
        <v>246.67</v>
      </c>
      <c r="S1046" s="238">
        <v>12.33</v>
      </c>
      <c r="T1046" s="238">
        <v>0.0</v>
      </c>
      <c r="U1046" s="238">
        <v>0.0</v>
      </c>
      <c r="V1046" s="238">
        <v>0.0</v>
      </c>
      <c r="W1046" s="238">
        <v>0.0</v>
      </c>
      <c r="X1046" s="235" t="s">
        <v>628</v>
      </c>
      <c r="Z1046" s="244"/>
      <c r="AA1046" s="244"/>
      <c r="AB1046" s="244"/>
      <c r="AC1046" s="235" t="s">
        <v>8799</v>
      </c>
      <c r="AD1046" s="235" t="s">
        <v>1499</v>
      </c>
      <c r="AE1046" s="238">
        <v>454552.0</v>
      </c>
      <c r="AF1046" s="235" t="s">
        <v>631</v>
      </c>
      <c r="AG1046" s="244"/>
      <c r="AH1046" s="244"/>
      <c r="AI1046" s="245"/>
      <c r="AJ1046" s="245"/>
      <c r="AK1046" s="245"/>
      <c r="AL1046" s="245"/>
      <c r="AM1046" s="244"/>
      <c r="AN1046" s="244"/>
      <c r="AO1046" s="238">
        <v>0.0</v>
      </c>
      <c r="AP1046" s="238">
        <v>0.0</v>
      </c>
      <c r="AQ1046" s="235" t="s">
        <v>632</v>
      </c>
      <c r="AR1046" s="243">
        <v>3.71E11</v>
      </c>
      <c r="AS1046" s="235" t="s">
        <v>6164</v>
      </c>
      <c r="AT1046" s="235" t="s">
        <v>16</v>
      </c>
      <c r="AU1046" s="235" t="s">
        <v>634</v>
      </c>
      <c r="AV1046" s="246" t="s">
        <v>635</v>
      </c>
      <c r="AW1046" s="242"/>
      <c r="AX1046" s="242"/>
      <c r="AY1046" s="231"/>
      <c r="AZ1046" s="231"/>
      <c r="BA1046" s="227"/>
      <c r="BB1046" s="231"/>
      <c r="BC1046" s="227"/>
      <c r="BD1046" s="227"/>
      <c r="BE1046" s="227"/>
      <c r="BF1046" s="227"/>
    </row>
    <row r="1047">
      <c r="A1047" s="235" t="s">
        <v>8800</v>
      </c>
      <c r="C1047" s="235" t="s">
        <v>8801</v>
      </c>
      <c r="D1047" s="235" t="s">
        <v>8802</v>
      </c>
      <c r="E1047" s="243">
        <v>6.56E13</v>
      </c>
      <c r="F1047" s="245"/>
      <c r="G1047" s="235" t="s">
        <v>8803</v>
      </c>
      <c r="H1047" s="235" t="s">
        <v>8804</v>
      </c>
      <c r="I1047" s="235" t="s">
        <v>8804</v>
      </c>
      <c r="J1047" s="235" t="s">
        <v>8805</v>
      </c>
      <c r="K1047" s="235" t="s">
        <v>8806</v>
      </c>
      <c r="N1047" s="235" t="s">
        <v>138</v>
      </c>
      <c r="O1047" s="235" t="s">
        <v>675</v>
      </c>
      <c r="P1047" s="238">
        <v>1.0</v>
      </c>
      <c r="Q1047" s="235" t="s">
        <v>627</v>
      </c>
      <c r="R1047" s="238">
        <v>246.66</v>
      </c>
      <c r="S1047" s="238">
        <v>12.34</v>
      </c>
      <c r="T1047" s="238">
        <v>0.0</v>
      </c>
      <c r="U1047" s="238">
        <v>0.0</v>
      </c>
      <c r="V1047" s="238">
        <v>0.0</v>
      </c>
      <c r="W1047" s="238">
        <v>0.0</v>
      </c>
      <c r="X1047" s="235" t="s">
        <v>628</v>
      </c>
      <c r="Z1047" s="244"/>
      <c r="AA1047" s="244"/>
      <c r="AB1047" s="244"/>
      <c r="AC1047" s="235" t="s">
        <v>678</v>
      </c>
      <c r="AD1047" s="235" t="s">
        <v>679</v>
      </c>
      <c r="AE1047" s="238">
        <v>560035.0</v>
      </c>
      <c r="AF1047" s="235" t="s">
        <v>631</v>
      </c>
      <c r="AG1047" s="244"/>
      <c r="AH1047" s="244"/>
      <c r="AI1047" s="245"/>
      <c r="AJ1047" s="245"/>
      <c r="AK1047" s="245"/>
      <c r="AL1047" s="245"/>
      <c r="AM1047" s="244"/>
      <c r="AN1047" s="244"/>
      <c r="AO1047" s="238">
        <v>0.0</v>
      </c>
      <c r="AP1047" s="238">
        <v>0.0</v>
      </c>
      <c r="AQ1047" s="235" t="s">
        <v>632</v>
      </c>
      <c r="AR1047" s="243">
        <v>1.68E11</v>
      </c>
      <c r="AS1047" s="235" t="s">
        <v>8807</v>
      </c>
      <c r="AT1047" s="235" t="s">
        <v>11</v>
      </c>
      <c r="AU1047" s="235" t="s">
        <v>634</v>
      </c>
      <c r="AV1047" s="246" t="s">
        <v>635</v>
      </c>
      <c r="AW1047" s="242"/>
      <c r="AX1047" s="242"/>
      <c r="AY1047" s="231"/>
      <c r="AZ1047" s="231"/>
      <c r="BA1047" s="227"/>
      <c r="BB1047" s="231"/>
      <c r="BC1047" s="227"/>
      <c r="BD1047" s="227"/>
      <c r="BE1047" s="227"/>
      <c r="BF1047" s="227"/>
    </row>
    <row r="1048">
      <c r="A1048" s="235" t="s">
        <v>8808</v>
      </c>
      <c r="C1048" s="235" t="s">
        <v>8809</v>
      </c>
      <c r="D1048" s="235" t="s">
        <v>8810</v>
      </c>
      <c r="E1048" s="243">
        <v>6.53E13</v>
      </c>
      <c r="F1048" s="245"/>
      <c r="G1048" s="235" t="s">
        <v>8811</v>
      </c>
      <c r="H1048" s="235" t="s">
        <v>8812</v>
      </c>
      <c r="I1048" s="235" t="s">
        <v>8813</v>
      </c>
      <c r="J1048" s="235" t="s">
        <v>8814</v>
      </c>
      <c r="K1048" s="235" t="s">
        <v>8815</v>
      </c>
      <c r="N1048" s="235" t="s">
        <v>3875</v>
      </c>
      <c r="O1048" s="235" t="s">
        <v>3876</v>
      </c>
      <c r="P1048" s="238">
        <v>1.0</v>
      </c>
      <c r="Q1048" s="235" t="s">
        <v>627</v>
      </c>
      <c r="R1048" s="238">
        <v>284.76</v>
      </c>
      <c r="S1048" s="238">
        <v>14.24</v>
      </c>
      <c r="T1048" s="238">
        <v>0.0</v>
      </c>
      <c r="U1048" s="238">
        <v>0.0</v>
      </c>
      <c r="V1048" s="238">
        <v>0.0</v>
      </c>
      <c r="W1048" s="238">
        <v>0.0</v>
      </c>
      <c r="X1048" s="235" t="s">
        <v>628</v>
      </c>
      <c r="Z1048" s="244"/>
      <c r="AA1048" s="244"/>
      <c r="AB1048" s="244"/>
      <c r="AC1048" s="235" t="s">
        <v>6182</v>
      </c>
      <c r="AD1048" s="235" t="s">
        <v>845</v>
      </c>
      <c r="AE1048" s="238">
        <v>401208.0</v>
      </c>
      <c r="AF1048" s="235" t="s">
        <v>631</v>
      </c>
      <c r="AG1048" s="244"/>
      <c r="AH1048" s="244"/>
      <c r="AI1048" s="245"/>
      <c r="AJ1048" s="245"/>
      <c r="AK1048" s="245"/>
      <c r="AL1048" s="245"/>
      <c r="AM1048" s="244"/>
      <c r="AN1048" s="244"/>
      <c r="AO1048" s="238">
        <v>0.0</v>
      </c>
      <c r="AP1048" s="238">
        <v>0.0</v>
      </c>
      <c r="AQ1048" s="235" t="s">
        <v>632</v>
      </c>
      <c r="AR1048" s="243">
        <v>3.71E11</v>
      </c>
      <c r="AS1048" s="235" t="s">
        <v>7365</v>
      </c>
      <c r="AT1048" s="235" t="s">
        <v>16</v>
      </c>
      <c r="AU1048" s="235" t="s">
        <v>634</v>
      </c>
      <c r="AV1048" s="246" t="s">
        <v>635</v>
      </c>
      <c r="AW1048" s="242"/>
      <c r="AX1048" s="242"/>
      <c r="AY1048" s="231"/>
      <c r="AZ1048" s="231"/>
      <c r="BA1048" s="227"/>
      <c r="BB1048" s="231"/>
      <c r="BC1048" s="227"/>
      <c r="BD1048" s="227"/>
      <c r="BE1048" s="227"/>
      <c r="BF1048" s="227"/>
    </row>
    <row r="1049">
      <c r="A1049" s="235" t="s">
        <v>8816</v>
      </c>
      <c r="C1049" s="235" t="s">
        <v>8817</v>
      </c>
      <c r="D1049" s="235" t="s">
        <v>8818</v>
      </c>
      <c r="E1049" s="243">
        <v>6.55E13</v>
      </c>
      <c r="F1049" s="245"/>
      <c r="G1049" s="235" t="s">
        <v>8819</v>
      </c>
      <c r="H1049" s="235" t="s">
        <v>8820</v>
      </c>
      <c r="I1049" s="235" t="s">
        <v>8820</v>
      </c>
      <c r="J1049" s="235" t="s">
        <v>8821</v>
      </c>
      <c r="K1049" s="235" t="s">
        <v>8822</v>
      </c>
      <c r="N1049" s="235" t="s">
        <v>842</v>
      </c>
      <c r="O1049" s="235" t="s">
        <v>843</v>
      </c>
      <c r="P1049" s="238">
        <v>1.0</v>
      </c>
      <c r="Q1049" s="235" t="s">
        <v>627</v>
      </c>
      <c r="R1049" s="238">
        <v>246.67</v>
      </c>
      <c r="S1049" s="238">
        <v>12.33</v>
      </c>
      <c r="T1049" s="238">
        <v>38.1</v>
      </c>
      <c r="U1049" s="238">
        <v>1.9</v>
      </c>
      <c r="V1049" s="238">
        <v>0.0</v>
      </c>
      <c r="W1049" s="238">
        <v>0.0</v>
      </c>
      <c r="X1049" s="235" t="s">
        <v>628</v>
      </c>
      <c r="Z1049" s="244"/>
      <c r="AA1049" s="244"/>
      <c r="AB1049" s="244"/>
      <c r="AC1049" s="235" t="s">
        <v>2639</v>
      </c>
      <c r="AD1049" s="235" t="s">
        <v>630</v>
      </c>
      <c r="AE1049" s="238">
        <v>201306.0</v>
      </c>
      <c r="AF1049" s="235" t="s">
        <v>631</v>
      </c>
      <c r="AG1049" s="244"/>
      <c r="AH1049" s="244"/>
      <c r="AI1049" s="245"/>
      <c r="AJ1049" s="245"/>
      <c r="AK1049" s="245"/>
      <c r="AL1049" s="245"/>
      <c r="AM1049" s="244"/>
      <c r="AN1049" s="244"/>
      <c r="AO1049" s="238">
        <v>0.0</v>
      </c>
      <c r="AP1049" s="238">
        <v>-38.1</v>
      </c>
      <c r="AQ1049" s="235" t="s">
        <v>632</v>
      </c>
      <c r="AR1049" s="243">
        <v>3.71E11</v>
      </c>
      <c r="AS1049" s="235" t="s">
        <v>7365</v>
      </c>
      <c r="AT1049" s="235" t="s">
        <v>13</v>
      </c>
      <c r="AU1049" s="235" t="s">
        <v>634</v>
      </c>
      <c r="AV1049" s="246" t="s">
        <v>635</v>
      </c>
      <c r="AW1049" s="242"/>
      <c r="AX1049" s="242"/>
      <c r="AY1049" s="231"/>
      <c r="AZ1049" s="231"/>
      <c r="BA1049" s="227"/>
      <c r="BB1049" s="231"/>
      <c r="BC1049" s="227"/>
      <c r="BD1049" s="227"/>
      <c r="BE1049" s="227"/>
      <c r="BF1049" s="227"/>
    </row>
    <row r="1050">
      <c r="A1050" s="235" t="s">
        <v>8823</v>
      </c>
      <c r="C1050" s="235" t="s">
        <v>8824</v>
      </c>
      <c r="D1050" s="235" t="s">
        <v>8825</v>
      </c>
      <c r="E1050" s="243">
        <v>6.55E13</v>
      </c>
      <c r="F1050" s="245"/>
      <c r="G1050" s="235" t="s">
        <v>8826</v>
      </c>
      <c r="H1050" s="235" t="s">
        <v>8827</v>
      </c>
      <c r="I1050" s="235" t="s">
        <v>8827</v>
      </c>
      <c r="J1050" s="235" t="s">
        <v>8828</v>
      </c>
      <c r="K1050" s="235" t="s">
        <v>8829</v>
      </c>
      <c r="N1050" s="235" t="s">
        <v>51</v>
      </c>
      <c r="O1050" s="235" t="s">
        <v>273</v>
      </c>
      <c r="P1050" s="238">
        <v>1.0</v>
      </c>
      <c r="Q1050" s="235" t="s">
        <v>627</v>
      </c>
      <c r="R1050" s="238">
        <v>237.14</v>
      </c>
      <c r="S1050" s="238">
        <v>11.86</v>
      </c>
      <c r="T1050" s="238">
        <v>0.0</v>
      </c>
      <c r="U1050" s="238">
        <v>0.0</v>
      </c>
      <c r="V1050" s="238">
        <v>0.0</v>
      </c>
      <c r="W1050" s="238">
        <v>0.0</v>
      </c>
      <c r="X1050" s="235" t="s">
        <v>628</v>
      </c>
      <c r="Z1050" s="244"/>
      <c r="AA1050" s="244"/>
      <c r="AB1050" s="244"/>
      <c r="AC1050" s="235" t="s">
        <v>697</v>
      </c>
      <c r="AD1050" s="235" t="s">
        <v>698</v>
      </c>
      <c r="AE1050" s="238">
        <v>502032.0</v>
      </c>
      <c r="AF1050" s="235" t="s">
        <v>631</v>
      </c>
      <c r="AG1050" s="244"/>
      <c r="AH1050" s="244"/>
      <c r="AI1050" s="245"/>
      <c r="AJ1050" s="245"/>
      <c r="AK1050" s="245"/>
      <c r="AL1050" s="245"/>
      <c r="AM1050" s="244"/>
      <c r="AN1050" s="244"/>
      <c r="AO1050" s="238">
        <v>0.0</v>
      </c>
      <c r="AP1050" s="238">
        <v>0.0</v>
      </c>
      <c r="AQ1050" s="235" t="s">
        <v>632</v>
      </c>
      <c r="AR1050" s="243">
        <v>1.68E11</v>
      </c>
      <c r="AS1050" s="235" t="s">
        <v>7365</v>
      </c>
      <c r="AT1050" s="235" t="s">
        <v>156</v>
      </c>
      <c r="AU1050" s="235" t="s">
        <v>634</v>
      </c>
      <c r="AV1050" s="246" t="s">
        <v>635</v>
      </c>
      <c r="AW1050" s="242"/>
      <c r="AX1050" s="242"/>
      <c r="AY1050" s="231"/>
      <c r="AZ1050" s="231"/>
      <c r="BA1050" s="227"/>
      <c r="BB1050" s="231"/>
      <c r="BC1050" s="227"/>
      <c r="BD1050" s="227"/>
      <c r="BE1050" s="227"/>
      <c r="BF1050" s="227"/>
    </row>
    <row r="1051">
      <c r="A1051" s="235" t="s">
        <v>8830</v>
      </c>
      <c r="C1051" s="235" t="s">
        <v>8831</v>
      </c>
      <c r="D1051" s="235" t="s">
        <v>8832</v>
      </c>
      <c r="E1051" s="243">
        <v>6.56E13</v>
      </c>
      <c r="F1051" s="245"/>
      <c r="G1051" s="235" t="s">
        <v>8833</v>
      </c>
      <c r="H1051" s="235" t="s">
        <v>8834</v>
      </c>
      <c r="I1051" s="235" t="s">
        <v>8834</v>
      </c>
      <c r="J1051" s="235" t="s">
        <v>8835</v>
      </c>
      <c r="K1051" s="235" t="s">
        <v>8836</v>
      </c>
      <c r="N1051" s="235" t="s">
        <v>1346</v>
      </c>
      <c r="O1051" s="235" t="s">
        <v>1347</v>
      </c>
      <c r="P1051" s="238">
        <v>1.0</v>
      </c>
      <c r="Q1051" s="235" t="s">
        <v>627</v>
      </c>
      <c r="R1051" s="238">
        <v>256.19</v>
      </c>
      <c r="S1051" s="238">
        <v>12.81</v>
      </c>
      <c r="T1051" s="238">
        <v>0.0</v>
      </c>
      <c r="U1051" s="238">
        <v>0.0</v>
      </c>
      <c r="V1051" s="238">
        <v>0.0</v>
      </c>
      <c r="W1051" s="238">
        <v>0.0</v>
      </c>
      <c r="X1051" s="235" t="s">
        <v>628</v>
      </c>
      <c r="Z1051" s="244"/>
      <c r="AA1051" s="244"/>
      <c r="AB1051" s="244"/>
      <c r="AC1051" s="235" t="s">
        <v>5035</v>
      </c>
      <c r="AD1051" s="235" t="s">
        <v>881</v>
      </c>
      <c r="AE1051" s="238">
        <v>760008.0</v>
      </c>
      <c r="AF1051" s="235" t="s">
        <v>631</v>
      </c>
      <c r="AG1051" s="244"/>
      <c r="AH1051" s="244"/>
      <c r="AI1051" s="245"/>
      <c r="AJ1051" s="245"/>
      <c r="AK1051" s="245"/>
      <c r="AL1051" s="245"/>
      <c r="AM1051" s="244"/>
      <c r="AN1051" s="244"/>
      <c r="AO1051" s="238">
        <v>0.0</v>
      </c>
      <c r="AP1051" s="238">
        <v>0.0</v>
      </c>
      <c r="AQ1051" s="235" t="s">
        <v>632</v>
      </c>
      <c r="AR1051" s="243">
        <v>3.71E11</v>
      </c>
      <c r="AS1051" s="235" t="s">
        <v>2276</v>
      </c>
      <c r="AT1051" s="235" t="s">
        <v>156</v>
      </c>
      <c r="AU1051" s="235" t="s">
        <v>634</v>
      </c>
      <c r="AV1051" s="246" t="s">
        <v>635</v>
      </c>
      <c r="AW1051" s="242"/>
      <c r="AX1051" s="242"/>
      <c r="AY1051" s="231"/>
      <c r="AZ1051" s="231"/>
      <c r="BA1051" s="227"/>
      <c r="BB1051" s="231"/>
      <c r="BC1051" s="227"/>
      <c r="BD1051" s="227"/>
      <c r="BE1051" s="227"/>
      <c r="BF1051" s="227"/>
    </row>
    <row r="1052">
      <c r="A1052" s="235" t="s">
        <v>8837</v>
      </c>
      <c r="C1052" s="235" t="s">
        <v>8838</v>
      </c>
      <c r="D1052" s="235" t="s">
        <v>8839</v>
      </c>
      <c r="E1052" s="243">
        <v>6.55E13</v>
      </c>
      <c r="F1052" s="245"/>
      <c r="G1052" s="235" t="s">
        <v>8840</v>
      </c>
      <c r="H1052" s="235" t="s">
        <v>8841</v>
      </c>
      <c r="I1052" s="235" t="s">
        <v>8841</v>
      </c>
      <c r="J1052" s="235" t="s">
        <v>8842</v>
      </c>
      <c r="K1052" s="235" t="s">
        <v>8843</v>
      </c>
      <c r="N1052" s="235" t="s">
        <v>1346</v>
      </c>
      <c r="O1052" s="235" t="s">
        <v>1347</v>
      </c>
      <c r="P1052" s="238">
        <v>1.0</v>
      </c>
      <c r="Q1052" s="235" t="s">
        <v>627</v>
      </c>
      <c r="R1052" s="238">
        <v>256.19</v>
      </c>
      <c r="S1052" s="238">
        <v>12.81</v>
      </c>
      <c r="T1052" s="238">
        <v>0.0</v>
      </c>
      <c r="U1052" s="238">
        <v>0.0</v>
      </c>
      <c r="V1052" s="238">
        <v>0.0</v>
      </c>
      <c r="W1052" s="238">
        <v>0.0</v>
      </c>
      <c r="X1052" s="235" t="s">
        <v>628</v>
      </c>
      <c r="Z1052" s="244"/>
      <c r="AA1052" s="244"/>
      <c r="AB1052" s="244"/>
      <c r="AC1052" s="235" t="s">
        <v>8844</v>
      </c>
      <c r="AD1052" s="235" t="s">
        <v>908</v>
      </c>
      <c r="AE1052" s="238">
        <v>248198.0</v>
      </c>
      <c r="AF1052" s="235" t="s">
        <v>631</v>
      </c>
      <c r="AG1052" s="244"/>
      <c r="AH1052" s="244"/>
      <c r="AI1052" s="245"/>
      <c r="AJ1052" s="245"/>
      <c r="AK1052" s="245"/>
      <c r="AL1052" s="245"/>
      <c r="AM1052" s="244"/>
      <c r="AN1052" s="244"/>
      <c r="AO1052" s="238">
        <v>0.0</v>
      </c>
      <c r="AP1052" s="238">
        <v>0.0</v>
      </c>
      <c r="AQ1052" s="235" t="s">
        <v>632</v>
      </c>
      <c r="AR1052" s="243">
        <v>3.71E11</v>
      </c>
      <c r="AS1052" s="235" t="s">
        <v>2276</v>
      </c>
      <c r="AT1052" s="235" t="s">
        <v>156</v>
      </c>
      <c r="AU1052" s="235" t="s">
        <v>634</v>
      </c>
      <c r="AV1052" s="246" t="s">
        <v>635</v>
      </c>
      <c r="AW1052" s="242"/>
      <c r="AX1052" s="242"/>
      <c r="AY1052" s="231"/>
      <c r="AZ1052" s="231"/>
      <c r="BA1052" s="227"/>
      <c r="BB1052" s="231"/>
      <c r="BC1052" s="227"/>
      <c r="BD1052" s="227"/>
      <c r="BE1052" s="227"/>
      <c r="BF1052" s="227"/>
    </row>
    <row r="1053">
      <c r="A1053" s="235" t="s">
        <v>8845</v>
      </c>
      <c r="C1053" s="235" t="s">
        <v>8846</v>
      </c>
      <c r="D1053" s="235" t="s">
        <v>8847</v>
      </c>
      <c r="E1053" s="243">
        <v>6.56E13</v>
      </c>
      <c r="F1053" s="245"/>
      <c r="G1053" s="235" t="s">
        <v>8848</v>
      </c>
      <c r="H1053" s="235" t="s">
        <v>8849</v>
      </c>
      <c r="I1053" s="235" t="s">
        <v>8849</v>
      </c>
      <c r="J1053" s="235" t="s">
        <v>8850</v>
      </c>
      <c r="K1053" s="235" t="s">
        <v>8851</v>
      </c>
      <c r="N1053" s="235" t="s">
        <v>4</v>
      </c>
      <c r="O1053" s="235" t="s">
        <v>1791</v>
      </c>
      <c r="P1053" s="238">
        <v>1.0</v>
      </c>
      <c r="Q1053" s="235" t="s">
        <v>627</v>
      </c>
      <c r="R1053" s="238">
        <v>265.72</v>
      </c>
      <c r="S1053" s="238">
        <v>13.28</v>
      </c>
      <c r="T1053" s="238">
        <v>0.0</v>
      </c>
      <c r="U1053" s="238">
        <v>0.0</v>
      </c>
      <c r="V1053" s="238">
        <v>0.0</v>
      </c>
      <c r="W1053" s="238">
        <v>0.0</v>
      </c>
      <c r="X1053" s="235" t="s">
        <v>628</v>
      </c>
      <c r="Z1053" s="244"/>
      <c r="AA1053" s="244"/>
      <c r="AB1053" s="244"/>
      <c r="AC1053" s="235" t="s">
        <v>5203</v>
      </c>
      <c r="AD1053" s="235" t="s">
        <v>666</v>
      </c>
      <c r="AE1053" s="238">
        <v>636016.0</v>
      </c>
      <c r="AF1053" s="235" t="s">
        <v>631</v>
      </c>
      <c r="AG1053" s="244"/>
      <c r="AH1053" s="244"/>
      <c r="AI1053" s="245"/>
      <c r="AJ1053" s="245"/>
      <c r="AK1053" s="245"/>
      <c r="AL1053" s="245"/>
      <c r="AM1053" s="244"/>
      <c r="AN1053" s="244"/>
      <c r="AO1053" s="238">
        <v>0.0</v>
      </c>
      <c r="AP1053" s="238">
        <v>0.0</v>
      </c>
      <c r="AQ1053" s="235" t="s">
        <v>632</v>
      </c>
      <c r="AR1053" s="243">
        <v>3.71E11</v>
      </c>
      <c r="AS1053" s="235" t="s">
        <v>7365</v>
      </c>
      <c r="AT1053" s="235" t="s">
        <v>155</v>
      </c>
      <c r="AU1053" s="235" t="s">
        <v>634</v>
      </c>
      <c r="AV1053" s="246" t="s">
        <v>635</v>
      </c>
      <c r="AW1053" s="242"/>
      <c r="AX1053" s="242"/>
      <c r="AY1053" s="231"/>
      <c r="AZ1053" s="231"/>
      <c r="BA1053" s="227"/>
      <c r="BB1053" s="231"/>
      <c r="BC1053" s="227"/>
      <c r="BD1053" s="227"/>
      <c r="BE1053" s="227"/>
      <c r="BF1053" s="227"/>
    </row>
    <row r="1054">
      <c r="A1054" s="235" t="s">
        <v>8852</v>
      </c>
      <c r="C1054" s="235" t="s">
        <v>8853</v>
      </c>
      <c r="D1054" s="235" t="s">
        <v>8854</v>
      </c>
      <c r="E1054" s="243">
        <v>6.56E13</v>
      </c>
      <c r="F1054" s="245"/>
      <c r="G1054" s="235" t="s">
        <v>8855</v>
      </c>
      <c r="H1054" s="235" t="s">
        <v>8856</v>
      </c>
      <c r="I1054" s="235" t="s">
        <v>8856</v>
      </c>
      <c r="J1054" s="235" t="s">
        <v>8857</v>
      </c>
      <c r="K1054" s="235" t="s">
        <v>8858</v>
      </c>
      <c r="N1054" s="235" t="s">
        <v>138</v>
      </c>
      <c r="O1054" s="235" t="s">
        <v>675</v>
      </c>
      <c r="P1054" s="238">
        <v>1.0</v>
      </c>
      <c r="Q1054" s="235" t="s">
        <v>627</v>
      </c>
      <c r="R1054" s="238">
        <v>246.67</v>
      </c>
      <c r="S1054" s="238">
        <v>12.33</v>
      </c>
      <c r="T1054" s="238">
        <v>0.0</v>
      </c>
      <c r="U1054" s="238">
        <v>0.0</v>
      </c>
      <c r="V1054" s="238">
        <v>0.0</v>
      </c>
      <c r="W1054" s="238">
        <v>0.0</v>
      </c>
      <c r="X1054" s="235" t="s">
        <v>628</v>
      </c>
      <c r="Z1054" s="244"/>
      <c r="AA1054" s="244"/>
      <c r="AB1054" s="244"/>
      <c r="AC1054" s="235" t="s">
        <v>814</v>
      </c>
      <c r="AD1054" s="235" t="s">
        <v>698</v>
      </c>
      <c r="AE1054" s="238">
        <v>500072.0</v>
      </c>
      <c r="AF1054" s="235" t="s">
        <v>631</v>
      </c>
      <c r="AG1054" s="244"/>
      <c r="AH1054" s="244"/>
      <c r="AI1054" s="245"/>
      <c r="AJ1054" s="245"/>
      <c r="AK1054" s="245"/>
      <c r="AL1054" s="245"/>
      <c r="AM1054" s="244"/>
      <c r="AN1054" s="244"/>
      <c r="AO1054" s="238">
        <v>0.0</v>
      </c>
      <c r="AP1054" s="238">
        <v>0.0</v>
      </c>
      <c r="AQ1054" s="235" t="s">
        <v>632</v>
      </c>
      <c r="AR1054" s="243">
        <v>1.68E11</v>
      </c>
      <c r="AS1054" s="235" t="s">
        <v>7365</v>
      </c>
      <c r="AT1054" s="235" t="s">
        <v>156</v>
      </c>
      <c r="AU1054" s="235" t="s">
        <v>634</v>
      </c>
      <c r="AV1054" s="246" t="s">
        <v>635</v>
      </c>
      <c r="AW1054" s="242"/>
      <c r="AX1054" s="242"/>
      <c r="AY1054" s="231"/>
      <c r="AZ1054" s="231"/>
      <c r="BA1054" s="227"/>
      <c r="BB1054" s="231"/>
      <c r="BC1054" s="227"/>
      <c r="BD1054" s="227"/>
      <c r="BE1054" s="227"/>
      <c r="BF1054" s="227"/>
    </row>
    <row r="1055">
      <c r="A1055" s="235" t="s">
        <v>8859</v>
      </c>
      <c r="C1055" s="235" t="s">
        <v>8860</v>
      </c>
      <c r="D1055" s="235" t="s">
        <v>8861</v>
      </c>
      <c r="E1055" s="243">
        <v>6.55E13</v>
      </c>
      <c r="F1055" s="245"/>
      <c r="G1055" s="235" t="s">
        <v>8862</v>
      </c>
      <c r="H1055" s="235" t="s">
        <v>8863</v>
      </c>
      <c r="I1055" s="235" t="s">
        <v>8864</v>
      </c>
      <c r="J1055" s="235" t="s">
        <v>8865</v>
      </c>
      <c r="K1055" s="235" t="s">
        <v>8866</v>
      </c>
      <c r="N1055" s="235" t="s">
        <v>842</v>
      </c>
      <c r="O1055" s="235" t="s">
        <v>843</v>
      </c>
      <c r="P1055" s="238">
        <v>1.0</v>
      </c>
      <c r="Q1055" s="235" t="s">
        <v>627</v>
      </c>
      <c r="R1055" s="238">
        <v>246.66</v>
      </c>
      <c r="S1055" s="238">
        <v>12.34</v>
      </c>
      <c r="T1055" s="238">
        <v>38.1</v>
      </c>
      <c r="U1055" s="238">
        <v>1.9</v>
      </c>
      <c r="V1055" s="238">
        <v>0.0</v>
      </c>
      <c r="W1055" s="238">
        <v>0.0</v>
      </c>
      <c r="X1055" s="235" t="s">
        <v>628</v>
      </c>
      <c r="Z1055" s="244"/>
      <c r="AA1055" s="244"/>
      <c r="AB1055" s="244"/>
      <c r="AC1055" s="235" t="s">
        <v>8867</v>
      </c>
      <c r="AD1055" s="235" t="s">
        <v>666</v>
      </c>
      <c r="AE1055" s="238">
        <v>605111.0</v>
      </c>
      <c r="AF1055" s="235" t="s">
        <v>631</v>
      </c>
      <c r="AG1055" s="244"/>
      <c r="AH1055" s="244"/>
      <c r="AI1055" s="245"/>
      <c r="AJ1055" s="245"/>
      <c r="AK1055" s="245"/>
      <c r="AL1055" s="245"/>
      <c r="AM1055" s="244"/>
      <c r="AN1055" s="244"/>
      <c r="AO1055" s="238">
        <v>0.0</v>
      </c>
      <c r="AP1055" s="238">
        <v>0.0</v>
      </c>
      <c r="AQ1055" s="235" t="s">
        <v>632</v>
      </c>
      <c r="AR1055" s="243">
        <v>3.71E11</v>
      </c>
      <c r="AS1055" s="235" t="s">
        <v>7365</v>
      </c>
      <c r="AT1055" s="235" t="s">
        <v>156</v>
      </c>
      <c r="AU1055" s="235" t="s">
        <v>634</v>
      </c>
      <c r="AV1055" s="246" t="s">
        <v>635</v>
      </c>
      <c r="AW1055" s="242"/>
      <c r="AX1055" s="242"/>
      <c r="AY1055" s="231"/>
      <c r="AZ1055" s="231"/>
      <c r="BA1055" s="227"/>
      <c r="BB1055" s="231"/>
      <c r="BC1055" s="227"/>
      <c r="BD1055" s="227"/>
      <c r="BE1055" s="227"/>
      <c r="BF1055" s="227"/>
    </row>
    <row r="1056">
      <c r="A1056" s="235" t="s">
        <v>8868</v>
      </c>
      <c r="C1056" s="235" t="s">
        <v>8869</v>
      </c>
      <c r="D1056" s="235" t="s">
        <v>8870</v>
      </c>
      <c r="E1056" s="243">
        <v>6.56E13</v>
      </c>
      <c r="F1056" s="245"/>
      <c r="G1056" s="235" t="s">
        <v>8871</v>
      </c>
      <c r="H1056" s="235" t="s">
        <v>8872</v>
      </c>
      <c r="I1056" s="235" t="s">
        <v>8872</v>
      </c>
      <c r="J1056" s="235" t="s">
        <v>8873</v>
      </c>
      <c r="K1056" s="235" t="s">
        <v>8874</v>
      </c>
      <c r="N1056" s="235" t="s">
        <v>962</v>
      </c>
      <c r="O1056" s="235" t="s">
        <v>963</v>
      </c>
      <c r="P1056" s="238">
        <v>1.0</v>
      </c>
      <c r="Q1056" s="235" t="s">
        <v>627</v>
      </c>
      <c r="R1056" s="238">
        <v>246.66</v>
      </c>
      <c r="S1056" s="238">
        <v>12.34</v>
      </c>
      <c r="T1056" s="238">
        <v>0.0</v>
      </c>
      <c r="U1056" s="238">
        <v>0.0</v>
      </c>
      <c r="V1056" s="238">
        <v>0.0</v>
      </c>
      <c r="W1056" s="238">
        <v>0.0</v>
      </c>
      <c r="X1056" s="235" t="s">
        <v>628</v>
      </c>
      <c r="Z1056" s="244"/>
      <c r="AA1056" s="244"/>
      <c r="AB1056" s="244"/>
      <c r="AC1056" s="235" t="s">
        <v>678</v>
      </c>
      <c r="AD1056" s="235" t="s">
        <v>679</v>
      </c>
      <c r="AE1056" s="238">
        <v>560064.0</v>
      </c>
      <c r="AF1056" s="235" t="s">
        <v>631</v>
      </c>
      <c r="AG1056" s="244"/>
      <c r="AH1056" s="244"/>
      <c r="AI1056" s="245"/>
      <c r="AJ1056" s="245"/>
      <c r="AK1056" s="245"/>
      <c r="AL1056" s="245"/>
      <c r="AM1056" s="244"/>
      <c r="AN1056" s="244"/>
      <c r="AO1056" s="238">
        <v>0.0</v>
      </c>
      <c r="AP1056" s="238">
        <v>0.0</v>
      </c>
      <c r="AQ1056" s="235" t="s">
        <v>632</v>
      </c>
      <c r="AR1056" s="243">
        <v>1.68E11</v>
      </c>
      <c r="AS1056" s="235" t="s">
        <v>8807</v>
      </c>
      <c r="AT1056" s="235" t="s">
        <v>9</v>
      </c>
      <c r="AU1056" s="235" t="s">
        <v>634</v>
      </c>
      <c r="AV1056" s="246" t="s">
        <v>635</v>
      </c>
      <c r="AW1056" s="242"/>
      <c r="AX1056" s="242"/>
      <c r="AY1056" s="231"/>
      <c r="AZ1056" s="231"/>
      <c r="BA1056" s="227"/>
      <c r="BB1056" s="231"/>
      <c r="BC1056" s="227"/>
      <c r="BD1056" s="227"/>
      <c r="BE1056" s="227"/>
      <c r="BF1056" s="227"/>
    </row>
    <row r="1057">
      <c r="A1057" s="235" t="s">
        <v>8875</v>
      </c>
      <c r="C1057" s="235" t="s">
        <v>8876</v>
      </c>
      <c r="D1057" s="235" t="s">
        <v>8877</v>
      </c>
      <c r="E1057" s="243">
        <v>6.55E13</v>
      </c>
      <c r="F1057" s="245"/>
      <c r="G1057" s="235" t="s">
        <v>8878</v>
      </c>
      <c r="H1057" s="235" t="s">
        <v>8879</v>
      </c>
      <c r="I1057" s="235" t="s">
        <v>8879</v>
      </c>
      <c r="J1057" s="235" t="s">
        <v>8880</v>
      </c>
      <c r="K1057" s="235" t="s">
        <v>8881</v>
      </c>
      <c r="N1057" s="235" t="s">
        <v>53</v>
      </c>
      <c r="O1057" s="235" t="s">
        <v>512</v>
      </c>
      <c r="P1057" s="238">
        <v>1.0</v>
      </c>
      <c r="Q1057" s="235" t="s">
        <v>627</v>
      </c>
      <c r="R1057" s="238">
        <v>237.14</v>
      </c>
      <c r="S1057" s="238">
        <v>11.86</v>
      </c>
      <c r="T1057" s="238">
        <v>38.1</v>
      </c>
      <c r="U1057" s="238">
        <v>1.9</v>
      </c>
      <c r="V1057" s="238">
        <v>0.0</v>
      </c>
      <c r="W1057" s="238">
        <v>0.0</v>
      </c>
      <c r="X1057" s="235" t="s">
        <v>628</v>
      </c>
      <c r="Z1057" s="244"/>
      <c r="AA1057" s="244"/>
      <c r="AB1057" s="244"/>
      <c r="AC1057" s="235" t="s">
        <v>6182</v>
      </c>
      <c r="AD1057" s="235" t="s">
        <v>845</v>
      </c>
      <c r="AE1057" s="238">
        <v>401303.0</v>
      </c>
      <c r="AF1057" s="235" t="s">
        <v>631</v>
      </c>
      <c r="AG1057" s="244"/>
      <c r="AH1057" s="244"/>
      <c r="AI1057" s="245"/>
      <c r="AJ1057" s="245"/>
      <c r="AK1057" s="245"/>
      <c r="AL1057" s="245"/>
      <c r="AM1057" s="244"/>
      <c r="AN1057" s="244"/>
      <c r="AO1057" s="238">
        <v>0.0</v>
      </c>
      <c r="AP1057" s="238">
        <v>-38.1</v>
      </c>
      <c r="AQ1057" s="235" t="s">
        <v>632</v>
      </c>
      <c r="AR1057" s="243">
        <v>3.71E11</v>
      </c>
      <c r="AS1057" s="235" t="s">
        <v>4697</v>
      </c>
      <c r="AT1057" s="235" t="s">
        <v>5</v>
      </c>
      <c r="AU1057" s="235" t="s">
        <v>634</v>
      </c>
      <c r="AV1057" s="246" t="s">
        <v>635</v>
      </c>
      <c r="AW1057" s="242"/>
      <c r="AX1057" s="242"/>
      <c r="AY1057" s="231"/>
      <c r="AZ1057" s="231"/>
      <c r="BA1057" s="227"/>
      <c r="BB1057" s="231"/>
      <c r="BC1057" s="227"/>
      <c r="BD1057" s="227"/>
      <c r="BE1057" s="227"/>
      <c r="BF1057" s="227"/>
    </row>
    <row r="1058">
      <c r="A1058" s="235" t="s">
        <v>8882</v>
      </c>
      <c r="C1058" s="235" t="s">
        <v>8883</v>
      </c>
      <c r="D1058" s="235" t="s">
        <v>8884</v>
      </c>
      <c r="E1058" s="243">
        <v>6.56E13</v>
      </c>
      <c r="F1058" s="245"/>
      <c r="G1058" s="235" t="s">
        <v>8885</v>
      </c>
      <c r="H1058" s="235" t="s">
        <v>8886</v>
      </c>
      <c r="I1058" s="235" t="s">
        <v>8887</v>
      </c>
      <c r="J1058" s="235" t="s">
        <v>8888</v>
      </c>
      <c r="K1058" s="235" t="s">
        <v>8889</v>
      </c>
      <c r="N1058" s="235" t="s">
        <v>42</v>
      </c>
      <c r="O1058" s="235" t="s">
        <v>204</v>
      </c>
      <c r="P1058" s="238">
        <v>1.0</v>
      </c>
      <c r="Q1058" s="235" t="s">
        <v>627</v>
      </c>
      <c r="R1058" s="238">
        <v>237.14</v>
      </c>
      <c r="S1058" s="238">
        <v>11.62</v>
      </c>
      <c r="T1058" s="238">
        <v>0.0</v>
      </c>
      <c r="U1058" s="238">
        <v>0.0</v>
      </c>
      <c r="V1058" s="238">
        <v>0.0</v>
      </c>
      <c r="W1058" s="238">
        <v>0.0</v>
      </c>
      <c r="X1058" s="235" t="s">
        <v>628</v>
      </c>
      <c r="Z1058" s="244"/>
      <c r="AA1058" s="244"/>
      <c r="AB1058" s="244"/>
      <c r="AC1058" s="235" t="s">
        <v>8890</v>
      </c>
      <c r="AD1058" s="235" t="s">
        <v>833</v>
      </c>
      <c r="AE1058" s="238">
        <v>530046.0</v>
      </c>
      <c r="AF1058" s="235" t="s">
        <v>631</v>
      </c>
      <c r="AG1058" s="244"/>
      <c r="AH1058" s="244"/>
      <c r="AI1058" s="245"/>
      <c r="AJ1058" s="245"/>
      <c r="AK1058" s="245"/>
      <c r="AL1058" s="245"/>
      <c r="AM1058" s="244"/>
      <c r="AN1058" s="244"/>
      <c r="AO1058" s="238">
        <v>-4.74</v>
      </c>
      <c r="AP1058" s="238">
        <v>0.0</v>
      </c>
      <c r="AQ1058" s="235" t="s">
        <v>632</v>
      </c>
      <c r="AR1058" s="243">
        <v>3.71E11</v>
      </c>
      <c r="AS1058" s="235" t="s">
        <v>3284</v>
      </c>
      <c r="AT1058" s="235" t="s">
        <v>546</v>
      </c>
      <c r="AU1058" s="235" t="s">
        <v>634</v>
      </c>
      <c r="AV1058" s="246" t="s">
        <v>635</v>
      </c>
      <c r="AW1058" s="242"/>
      <c r="AX1058" s="242"/>
      <c r="AY1058" s="231"/>
      <c r="AZ1058" s="231"/>
      <c r="BA1058" s="227"/>
      <c r="BB1058" s="231"/>
      <c r="BC1058" s="227"/>
      <c r="BD1058" s="227"/>
      <c r="BE1058" s="227"/>
      <c r="BF1058" s="227"/>
    </row>
    <row r="1059">
      <c r="A1059" s="235" t="s">
        <v>8891</v>
      </c>
      <c r="C1059" s="235" t="s">
        <v>8892</v>
      </c>
      <c r="D1059" s="235" t="s">
        <v>8893</v>
      </c>
      <c r="E1059" s="243">
        <v>6.56E13</v>
      </c>
      <c r="F1059" s="245"/>
      <c r="G1059" s="235" t="s">
        <v>8894</v>
      </c>
      <c r="H1059" s="235" t="s">
        <v>8895</v>
      </c>
      <c r="I1059" s="235" t="s">
        <v>8896</v>
      </c>
      <c r="J1059" s="235" t="s">
        <v>8897</v>
      </c>
      <c r="K1059" s="235" t="s">
        <v>8898</v>
      </c>
      <c r="N1059" s="235" t="s">
        <v>144</v>
      </c>
      <c r="O1059" s="235" t="s">
        <v>232</v>
      </c>
      <c r="P1059" s="238">
        <v>1.0</v>
      </c>
      <c r="Q1059" s="235" t="s">
        <v>627</v>
      </c>
      <c r="R1059" s="238">
        <v>665.72</v>
      </c>
      <c r="S1059" s="238">
        <v>32.62</v>
      </c>
      <c r="T1059" s="238">
        <v>0.0</v>
      </c>
      <c r="U1059" s="238">
        <v>0.0</v>
      </c>
      <c r="V1059" s="238">
        <v>0.0</v>
      </c>
      <c r="W1059" s="238">
        <v>0.0</v>
      </c>
      <c r="X1059" s="235" t="s">
        <v>628</v>
      </c>
      <c r="Z1059" s="244"/>
      <c r="AA1059" s="244"/>
      <c r="AB1059" s="244"/>
      <c r="AC1059" s="235" t="s">
        <v>1320</v>
      </c>
      <c r="AD1059" s="235" t="s">
        <v>666</v>
      </c>
      <c r="AE1059" s="238">
        <v>600107.0</v>
      </c>
      <c r="AF1059" s="235" t="s">
        <v>631</v>
      </c>
      <c r="AG1059" s="244"/>
      <c r="AH1059" s="244"/>
      <c r="AI1059" s="245"/>
      <c r="AJ1059" s="245"/>
      <c r="AK1059" s="245"/>
      <c r="AL1059" s="245"/>
      <c r="AM1059" s="244"/>
      <c r="AN1059" s="244"/>
      <c r="AO1059" s="238">
        <v>-13.32</v>
      </c>
      <c r="AP1059" s="238">
        <v>0.0</v>
      </c>
      <c r="AQ1059" s="235" t="s">
        <v>632</v>
      </c>
      <c r="AR1059" s="243">
        <v>1.68E11</v>
      </c>
      <c r="AS1059" s="235" t="s">
        <v>8807</v>
      </c>
      <c r="AT1059" s="235" t="s">
        <v>156</v>
      </c>
      <c r="AU1059" s="235" t="s">
        <v>634</v>
      </c>
      <c r="AV1059" s="246" t="s">
        <v>635</v>
      </c>
      <c r="AW1059" s="242"/>
      <c r="AX1059" s="242"/>
      <c r="AY1059" s="231"/>
      <c r="AZ1059" s="231"/>
      <c r="BA1059" s="227"/>
      <c r="BB1059" s="231"/>
      <c r="BC1059" s="227"/>
      <c r="BD1059" s="227"/>
      <c r="BE1059" s="227"/>
      <c r="BF1059" s="227"/>
    </row>
    <row r="1060">
      <c r="A1060" s="235" t="s">
        <v>8899</v>
      </c>
      <c r="C1060" s="235" t="s">
        <v>8900</v>
      </c>
      <c r="D1060" s="235" t="s">
        <v>8901</v>
      </c>
      <c r="E1060" s="243">
        <v>6.56E13</v>
      </c>
      <c r="F1060" s="245"/>
      <c r="G1060" s="235" t="s">
        <v>8902</v>
      </c>
      <c r="H1060" s="235" t="s">
        <v>8903</v>
      </c>
      <c r="I1060" s="235" t="s">
        <v>8904</v>
      </c>
      <c r="J1060" s="235" t="s">
        <v>8905</v>
      </c>
      <c r="K1060" s="235" t="s">
        <v>8906</v>
      </c>
      <c r="N1060" s="235" t="s">
        <v>139</v>
      </c>
      <c r="O1060" s="235" t="s">
        <v>2091</v>
      </c>
      <c r="P1060" s="238">
        <v>1.0</v>
      </c>
      <c r="Q1060" s="235" t="s">
        <v>627</v>
      </c>
      <c r="R1060" s="238">
        <v>246.67</v>
      </c>
      <c r="S1060" s="238">
        <v>12.33</v>
      </c>
      <c r="T1060" s="238">
        <v>0.0</v>
      </c>
      <c r="U1060" s="238">
        <v>0.0</v>
      </c>
      <c r="V1060" s="238">
        <v>0.0</v>
      </c>
      <c r="W1060" s="238">
        <v>0.0</v>
      </c>
      <c r="X1060" s="235" t="s">
        <v>628</v>
      </c>
      <c r="Z1060" s="244"/>
      <c r="AA1060" s="244"/>
      <c r="AB1060" s="244"/>
      <c r="AC1060" s="235" t="s">
        <v>8907</v>
      </c>
      <c r="AD1060" s="235" t="s">
        <v>645</v>
      </c>
      <c r="AE1060" s="238">
        <v>695587.0</v>
      </c>
      <c r="AF1060" s="235" t="s">
        <v>631</v>
      </c>
      <c r="AG1060" s="244"/>
      <c r="AH1060" s="244"/>
      <c r="AI1060" s="245"/>
      <c r="AJ1060" s="245"/>
      <c r="AK1060" s="245"/>
      <c r="AL1060" s="245"/>
      <c r="AM1060" s="244"/>
      <c r="AN1060" s="244"/>
      <c r="AO1060" s="238">
        <v>0.0</v>
      </c>
      <c r="AP1060" s="238">
        <v>0.0</v>
      </c>
      <c r="AQ1060" s="235" t="s">
        <v>632</v>
      </c>
      <c r="AR1060" s="243">
        <v>1.68E11</v>
      </c>
      <c r="AS1060" s="235" t="s">
        <v>7365</v>
      </c>
      <c r="AT1060" s="235" t="s">
        <v>11</v>
      </c>
      <c r="AU1060" s="235" t="s">
        <v>634</v>
      </c>
      <c r="AV1060" s="246" t="s">
        <v>635</v>
      </c>
      <c r="AW1060" s="242"/>
      <c r="AX1060" s="242"/>
      <c r="AY1060" s="231"/>
      <c r="AZ1060" s="231"/>
      <c r="BA1060" s="227"/>
      <c r="BB1060" s="231"/>
      <c r="BC1060" s="227"/>
      <c r="BD1060" s="227"/>
      <c r="BE1060" s="227"/>
      <c r="BF1060" s="227"/>
    </row>
    <row r="1061">
      <c r="A1061" s="235" t="s">
        <v>8908</v>
      </c>
      <c r="C1061" s="235" t="s">
        <v>8909</v>
      </c>
      <c r="D1061" s="235" t="s">
        <v>8910</v>
      </c>
      <c r="E1061" s="243">
        <v>6.55E13</v>
      </c>
      <c r="F1061" s="245"/>
      <c r="G1061" s="235" t="s">
        <v>8911</v>
      </c>
      <c r="H1061" s="235" t="s">
        <v>8912</v>
      </c>
      <c r="I1061" s="235" t="s">
        <v>8913</v>
      </c>
      <c r="J1061" s="235" t="s">
        <v>8914</v>
      </c>
      <c r="K1061" s="235" t="s">
        <v>8915</v>
      </c>
      <c r="N1061" s="235" t="s">
        <v>127</v>
      </c>
      <c r="O1061" s="235" t="s">
        <v>794</v>
      </c>
      <c r="P1061" s="238">
        <v>1.0</v>
      </c>
      <c r="Q1061" s="235" t="s">
        <v>627</v>
      </c>
      <c r="R1061" s="238">
        <v>243.81</v>
      </c>
      <c r="S1061" s="238">
        <v>12.19</v>
      </c>
      <c r="T1061" s="238">
        <v>0.0</v>
      </c>
      <c r="U1061" s="238">
        <v>0.0</v>
      </c>
      <c r="V1061" s="238">
        <v>0.0</v>
      </c>
      <c r="W1061" s="238">
        <v>0.0</v>
      </c>
      <c r="X1061" s="235" t="s">
        <v>628</v>
      </c>
      <c r="Z1061" s="244"/>
      <c r="AA1061" s="244"/>
      <c r="AB1061" s="244"/>
      <c r="AC1061" s="235" t="s">
        <v>8916</v>
      </c>
      <c r="AD1061" s="235" t="s">
        <v>8917</v>
      </c>
      <c r="AE1061" s="238">
        <v>642129.0</v>
      </c>
      <c r="AF1061" s="235" t="s">
        <v>631</v>
      </c>
      <c r="AG1061" s="244"/>
      <c r="AH1061" s="244"/>
      <c r="AI1061" s="245"/>
      <c r="AJ1061" s="245"/>
      <c r="AK1061" s="245"/>
      <c r="AL1061" s="245"/>
      <c r="AM1061" s="244"/>
      <c r="AN1061" s="244"/>
      <c r="AO1061" s="238">
        <v>0.0</v>
      </c>
      <c r="AP1061" s="238">
        <v>0.0</v>
      </c>
      <c r="AQ1061" s="235" t="s">
        <v>1328</v>
      </c>
      <c r="AR1061" s="243">
        <v>1.34E13</v>
      </c>
      <c r="AS1061" s="235" t="s">
        <v>2276</v>
      </c>
      <c r="AT1061" s="235" t="s">
        <v>9</v>
      </c>
      <c r="AU1061" s="235" t="s">
        <v>634</v>
      </c>
      <c r="AV1061" s="246" t="s">
        <v>635</v>
      </c>
      <c r="AW1061" s="242"/>
      <c r="AX1061" s="242"/>
      <c r="AY1061" s="231"/>
      <c r="AZ1061" s="231"/>
      <c r="BA1061" s="227"/>
      <c r="BB1061" s="231"/>
      <c r="BC1061" s="227"/>
      <c r="BD1061" s="227"/>
      <c r="BE1061" s="227"/>
      <c r="BF1061" s="227"/>
    </row>
    <row r="1062">
      <c r="A1062" s="235" t="s">
        <v>8918</v>
      </c>
      <c r="C1062" s="235" t="s">
        <v>8919</v>
      </c>
      <c r="D1062" s="235" t="s">
        <v>8920</v>
      </c>
      <c r="E1062" s="243">
        <v>6.55E13</v>
      </c>
      <c r="F1062" s="245"/>
      <c r="G1062" s="235" t="s">
        <v>8921</v>
      </c>
      <c r="H1062" s="235" t="s">
        <v>8912</v>
      </c>
      <c r="I1062" s="235" t="s">
        <v>8912</v>
      </c>
      <c r="J1062" s="235" t="s">
        <v>8922</v>
      </c>
      <c r="K1062" s="235" t="s">
        <v>8923</v>
      </c>
      <c r="N1062" s="235" t="s">
        <v>41</v>
      </c>
      <c r="O1062" s="235" t="s">
        <v>291</v>
      </c>
      <c r="P1062" s="238">
        <v>1.0</v>
      </c>
      <c r="Q1062" s="235" t="s">
        <v>627</v>
      </c>
      <c r="R1062" s="238">
        <v>237.14</v>
      </c>
      <c r="S1062" s="238">
        <v>11.86</v>
      </c>
      <c r="T1062" s="238">
        <v>38.1</v>
      </c>
      <c r="U1062" s="238">
        <v>1.9</v>
      </c>
      <c r="V1062" s="238">
        <v>0.0</v>
      </c>
      <c r="W1062" s="238">
        <v>0.0</v>
      </c>
      <c r="X1062" s="235" t="s">
        <v>628</v>
      </c>
      <c r="Z1062" s="244"/>
      <c r="AA1062" s="244"/>
      <c r="AB1062" s="244"/>
      <c r="AC1062" s="235" t="s">
        <v>4664</v>
      </c>
      <c r="AD1062" s="235" t="s">
        <v>698</v>
      </c>
      <c r="AE1062" s="238">
        <v>506002.0</v>
      </c>
      <c r="AF1062" s="235" t="s">
        <v>631</v>
      </c>
      <c r="AG1062" s="244"/>
      <c r="AH1062" s="244"/>
      <c r="AI1062" s="245"/>
      <c r="AJ1062" s="245"/>
      <c r="AK1062" s="245"/>
      <c r="AL1062" s="245"/>
      <c r="AM1062" s="244"/>
      <c r="AN1062" s="244"/>
      <c r="AO1062" s="238">
        <v>0.0</v>
      </c>
      <c r="AP1062" s="238">
        <v>-38.1</v>
      </c>
      <c r="AQ1062" s="235" t="s">
        <v>632</v>
      </c>
      <c r="AR1062" s="243">
        <v>3.71E11</v>
      </c>
      <c r="AS1062" s="235" t="s">
        <v>6164</v>
      </c>
      <c r="AT1062" s="235" t="s">
        <v>9</v>
      </c>
      <c r="AU1062" s="235" t="s">
        <v>634</v>
      </c>
      <c r="AV1062" s="246" t="s">
        <v>635</v>
      </c>
      <c r="AW1062" s="242"/>
      <c r="AX1062" s="242"/>
      <c r="AY1062" s="231"/>
      <c r="AZ1062" s="231"/>
      <c r="BA1062" s="227"/>
      <c r="BB1062" s="231"/>
      <c r="BC1062" s="227"/>
      <c r="BD1062" s="227"/>
      <c r="BE1062" s="227"/>
      <c r="BF1062" s="227"/>
    </row>
    <row r="1063">
      <c r="A1063" s="235" t="s">
        <v>8924</v>
      </c>
      <c r="C1063" s="235" t="s">
        <v>8925</v>
      </c>
      <c r="D1063" s="235" t="s">
        <v>8926</v>
      </c>
      <c r="E1063" s="243">
        <v>6.56E13</v>
      </c>
      <c r="F1063" s="245"/>
      <c r="G1063" s="235" t="s">
        <v>8927</v>
      </c>
      <c r="H1063" s="235" t="s">
        <v>8928</v>
      </c>
      <c r="I1063" s="235" t="s">
        <v>8928</v>
      </c>
      <c r="J1063" s="235" t="s">
        <v>8929</v>
      </c>
      <c r="K1063" s="235" t="s">
        <v>8930</v>
      </c>
      <c r="N1063" s="235" t="s">
        <v>82</v>
      </c>
      <c r="O1063" s="235" t="s">
        <v>889</v>
      </c>
      <c r="P1063" s="238">
        <v>1.0</v>
      </c>
      <c r="Q1063" s="235" t="s">
        <v>627</v>
      </c>
      <c r="R1063" s="238">
        <v>246.67</v>
      </c>
      <c r="S1063" s="238">
        <v>12.33</v>
      </c>
      <c r="T1063" s="238">
        <v>38.1</v>
      </c>
      <c r="U1063" s="238">
        <v>1.9</v>
      </c>
      <c r="V1063" s="238">
        <v>0.0</v>
      </c>
      <c r="W1063" s="238">
        <v>0.0</v>
      </c>
      <c r="X1063" s="235" t="s">
        <v>628</v>
      </c>
      <c r="Z1063" s="244"/>
      <c r="AA1063" s="244"/>
      <c r="AB1063" s="244"/>
      <c r="AC1063" s="235" t="s">
        <v>8931</v>
      </c>
      <c r="AD1063" s="235" t="s">
        <v>1086</v>
      </c>
      <c r="AE1063" s="238">
        <v>143105.0</v>
      </c>
      <c r="AF1063" s="235" t="s">
        <v>631</v>
      </c>
      <c r="AG1063" s="244"/>
      <c r="AH1063" s="244"/>
      <c r="AI1063" s="245"/>
      <c r="AJ1063" s="245"/>
      <c r="AK1063" s="245"/>
      <c r="AL1063" s="245"/>
      <c r="AM1063" s="244"/>
      <c r="AN1063" s="244"/>
      <c r="AO1063" s="238">
        <v>0.0</v>
      </c>
      <c r="AP1063" s="238">
        <v>-38.1</v>
      </c>
      <c r="AQ1063" s="235" t="s">
        <v>632</v>
      </c>
      <c r="AR1063" s="243">
        <v>3.71E11</v>
      </c>
      <c r="AS1063" s="235" t="s">
        <v>6164</v>
      </c>
      <c r="AT1063" s="235" t="s">
        <v>14</v>
      </c>
      <c r="AU1063" s="235" t="s">
        <v>634</v>
      </c>
      <c r="AV1063" s="246" t="s">
        <v>635</v>
      </c>
      <c r="AW1063" s="242"/>
      <c r="AX1063" s="242"/>
      <c r="AY1063" s="231"/>
      <c r="AZ1063" s="231"/>
      <c r="BA1063" s="227"/>
      <c r="BB1063" s="231"/>
      <c r="BC1063" s="227"/>
      <c r="BD1063" s="227"/>
      <c r="BE1063" s="227"/>
      <c r="BF1063" s="227"/>
    </row>
    <row r="1064">
      <c r="A1064" s="235" t="s">
        <v>8932</v>
      </c>
      <c r="C1064" s="235" t="s">
        <v>8933</v>
      </c>
      <c r="D1064" s="235" t="s">
        <v>8934</v>
      </c>
      <c r="E1064" s="243">
        <v>6.56E13</v>
      </c>
      <c r="F1064" s="245"/>
      <c r="G1064" s="235" t="s">
        <v>8935</v>
      </c>
      <c r="H1064" s="235" t="s">
        <v>8928</v>
      </c>
      <c r="I1064" s="235" t="s">
        <v>8928</v>
      </c>
      <c r="J1064" s="235" t="s">
        <v>8936</v>
      </c>
      <c r="K1064" s="235" t="s">
        <v>8937</v>
      </c>
      <c r="N1064" s="235" t="s">
        <v>41</v>
      </c>
      <c r="O1064" s="235" t="s">
        <v>291</v>
      </c>
      <c r="P1064" s="238">
        <v>1.0</v>
      </c>
      <c r="Q1064" s="235" t="s">
        <v>627</v>
      </c>
      <c r="R1064" s="238">
        <v>237.14</v>
      </c>
      <c r="S1064" s="238">
        <v>11.86</v>
      </c>
      <c r="T1064" s="238">
        <v>0.0</v>
      </c>
      <c r="U1064" s="238">
        <v>0.0</v>
      </c>
      <c r="V1064" s="238">
        <v>0.0</v>
      </c>
      <c r="W1064" s="238">
        <v>0.0</v>
      </c>
      <c r="X1064" s="235" t="s">
        <v>628</v>
      </c>
      <c r="Z1064" s="244"/>
      <c r="AA1064" s="244"/>
      <c r="AB1064" s="244"/>
      <c r="AC1064" s="235" t="s">
        <v>814</v>
      </c>
      <c r="AD1064" s="235" t="s">
        <v>698</v>
      </c>
      <c r="AE1064" s="238">
        <v>500088.0</v>
      </c>
      <c r="AF1064" s="235" t="s">
        <v>631</v>
      </c>
      <c r="AG1064" s="244"/>
      <c r="AH1064" s="244"/>
      <c r="AI1064" s="245"/>
      <c r="AJ1064" s="245"/>
      <c r="AK1064" s="245"/>
      <c r="AL1064" s="245"/>
      <c r="AM1064" s="244"/>
      <c r="AN1064" s="244"/>
      <c r="AO1064" s="238">
        <v>0.0</v>
      </c>
      <c r="AP1064" s="238">
        <v>0.0</v>
      </c>
      <c r="AQ1064" s="235" t="s">
        <v>632</v>
      </c>
      <c r="AR1064" s="243">
        <v>3.71E11</v>
      </c>
      <c r="AS1064" s="235" t="s">
        <v>6164</v>
      </c>
      <c r="AT1064" s="235" t="s">
        <v>9</v>
      </c>
      <c r="AU1064" s="235" t="s">
        <v>634</v>
      </c>
      <c r="AV1064" s="246" t="s">
        <v>635</v>
      </c>
      <c r="AW1064" s="242"/>
      <c r="AX1064" s="242"/>
      <c r="AY1064" s="231"/>
      <c r="AZ1064" s="231"/>
      <c r="BA1064" s="227"/>
      <c r="BB1064" s="231"/>
      <c r="BC1064" s="227"/>
      <c r="BD1064" s="227"/>
      <c r="BE1064" s="227"/>
      <c r="BF1064" s="227"/>
    </row>
    <row r="1065">
      <c r="A1065" s="235" t="s">
        <v>8938</v>
      </c>
      <c r="C1065" s="235" t="s">
        <v>8939</v>
      </c>
      <c r="D1065" s="235" t="s">
        <v>8940</v>
      </c>
      <c r="E1065" s="243">
        <v>6.55E13</v>
      </c>
      <c r="F1065" s="245"/>
      <c r="G1065" s="235" t="s">
        <v>8941</v>
      </c>
      <c r="H1065" s="235" t="s">
        <v>8942</v>
      </c>
      <c r="I1065" s="235" t="s">
        <v>8942</v>
      </c>
      <c r="J1065" s="235" t="s">
        <v>8943</v>
      </c>
      <c r="K1065" s="235" t="s">
        <v>8944</v>
      </c>
      <c r="N1065" s="235" t="s">
        <v>154</v>
      </c>
      <c r="O1065" s="235" t="s">
        <v>766</v>
      </c>
      <c r="P1065" s="238">
        <v>1.0</v>
      </c>
      <c r="Q1065" s="235" t="s">
        <v>627</v>
      </c>
      <c r="R1065" s="238">
        <v>465.71</v>
      </c>
      <c r="S1065" s="238">
        <v>23.29</v>
      </c>
      <c r="T1065" s="238">
        <v>38.1</v>
      </c>
      <c r="U1065" s="238">
        <v>1.9</v>
      </c>
      <c r="V1065" s="238">
        <v>0.0</v>
      </c>
      <c r="W1065" s="238">
        <v>0.0</v>
      </c>
      <c r="X1065" s="235" t="s">
        <v>628</v>
      </c>
      <c r="Z1065" s="244"/>
      <c r="AA1065" s="244"/>
      <c r="AB1065" s="244"/>
      <c r="AC1065" s="235" t="s">
        <v>6414</v>
      </c>
      <c r="AD1065" s="235" t="s">
        <v>645</v>
      </c>
      <c r="AE1065" s="238">
        <v>678545.0</v>
      </c>
      <c r="AF1065" s="235" t="s">
        <v>631</v>
      </c>
      <c r="AG1065" s="244"/>
      <c r="AH1065" s="244"/>
      <c r="AI1065" s="245"/>
      <c r="AJ1065" s="245"/>
      <c r="AK1065" s="245"/>
      <c r="AL1065" s="245"/>
      <c r="AM1065" s="244"/>
      <c r="AN1065" s="244"/>
      <c r="AO1065" s="238">
        <v>0.0</v>
      </c>
      <c r="AP1065" s="238">
        <v>-38.1</v>
      </c>
      <c r="AQ1065" s="235" t="s">
        <v>632</v>
      </c>
      <c r="AR1065" s="243">
        <v>3.71E11</v>
      </c>
      <c r="AS1065" s="235" t="s">
        <v>7365</v>
      </c>
      <c r="AT1065" s="235" t="s">
        <v>155</v>
      </c>
      <c r="AU1065" s="235" t="s">
        <v>634</v>
      </c>
      <c r="AV1065" s="246" t="s">
        <v>635</v>
      </c>
      <c r="AW1065" s="242"/>
      <c r="AX1065" s="242"/>
      <c r="AY1065" s="231"/>
      <c r="AZ1065" s="231"/>
      <c r="BA1065" s="227"/>
      <c r="BB1065" s="231"/>
      <c r="BC1065" s="227"/>
      <c r="BD1065" s="227"/>
      <c r="BE1065" s="227"/>
      <c r="BF1065" s="227"/>
    </row>
    <row r="1066">
      <c r="A1066" s="235" t="s">
        <v>8945</v>
      </c>
      <c r="C1066" s="235" t="s">
        <v>8946</v>
      </c>
      <c r="D1066" s="235" t="s">
        <v>8947</v>
      </c>
      <c r="E1066" s="243">
        <v>6.56E13</v>
      </c>
      <c r="F1066" s="245"/>
      <c r="G1066" s="235" t="s">
        <v>8948</v>
      </c>
      <c r="H1066" s="235" t="s">
        <v>8949</v>
      </c>
      <c r="I1066" s="235" t="s">
        <v>8949</v>
      </c>
      <c r="J1066" s="235" t="s">
        <v>8950</v>
      </c>
      <c r="K1066" s="235" t="s">
        <v>8951</v>
      </c>
      <c r="N1066" s="235" t="s">
        <v>154</v>
      </c>
      <c r="O1066" s="235" t="s">
        <v>766</v>
      </c>
      <c r="P1066" s="238">
        <v>1.0</v>
      </c>
      <c r="Q1066" s="235" t="s">
        <v>627</v>
      </c>
      <c r="R1066" s="238">
        <v>465.72</v>
      </c>
      <c r="S1066" s="238">
        <v>22.82</v>
      </c>
      <c r="T1066" s="238">
        <v>0.0</v>
      </c>
      <c r="U1066" s="238">
        <v>0.0</v>
      </c>
      <c r="V1066" s="238">
        <v>0.0</v>
      </c>
      <c r="W1066" s="238">
        <v>0.0</v>
      </c>
      <c r="X1066" s="235" t="s">
        <v>628</v>
      </c>
      <c r="Z1066" s="244"/>
      <c r="AA1066" s="244"/>
      <c r="AB1066" s="244"/>
      <c r="AC1066" s="235" t="s">
        <v>687</v>
      </c>
      <c r="AD1066" s="235" t="s">
        <v>666</v>
      </c>
      <c r="AE1066" s="238">
        <v>600001.0</v>
      </c>
      <c r="AF1066" s="235" t="s">
        <v>631</v>
      </c>
      <c r="AG1066" s="244"/>
      <c r="AH1066" s="244"/>
      <c r="AI1066" s="245"/>
      <c r="AJ1066" s="245"/>
      <c r="AK1066" s="245"/>
      <c r="AL1066" s="245"/>
      <c r="AM1066" s="244"/>
      <c r="AN1066" s="244"/>
      <c r="AO1066" s="238">
        <v>-9.32</v>
      </c>
      <c r="AP1066" s="238">
        <v>0.0</v>
      </c>
      <c r="AQ1066" s="235" t="s">
        <v>632</v>
      </c>
      <c r="AR1066" s="243">
        <v>1.68E11</v>
      </c>
      <c r="AS1066" s="235" t="s">
        <v>8807</v>
      </c>
      <c r="AT1066" s="235" t="s">
        <v>156</v>
      </c>
      <c r="AU1066" s="235" t="s">
        <v>634</v>
      </c>
      <c r="AV1066" s="246" t="s">
        <v>635</v>
      </c>
      <c r="AW1066" s="242"/>
      <c r="AX1066" s="242"/>
      <c r="AY1066" s="231"/>
      <c r="AZ1066" s="231"/>
      <c r="BA1066" s="227"/>
      <c r="BB1066" s="231"/>
      <c r="BC1066" s="227"/>
      <c r="BD1066" s="227"/>
      <c r="BE1066" s="227"/>
      <c r="BF1066" s="227"/>
    </row>
    <row r="1067">
      <c r="A1067" s="235" t="s">
        <v>8952</v>
      </c>
      <c r="C1067" s="235" t="s">
        <v>8953</v>
      </c>
      <c r="D1067" s="235" t="s">
        <v>8954</v>
      </c>
      <c r="E1067" s="243">
        <v>6.56E13</v>
      </c>
      <c r="F1067" s="245"/>
      <c r="G1067" s="235" t="s">
        <v>8955</v>
      </c>
      <c r="H1067" s="235" t="s">
        <v>8956</v>
      </c>
      <c r="I1067" s="235" t="s">
        <v>8956</v>
      </c>
      <c r="J1067" s="235" t="s">
        <v>8957</v>
      </c>
      <c r="K1067" s="235" t="s">
        <v>8958</v>
      </c>
      <c r="N1067" s="235" t="s">
        <v>127</v>
      </c>
      <c r="O1067" s="235" t="s">
        <v>794</v>
      </c>
      <c r="P1067" s="238">
        <v>1.0</v>
      </c>
      <c r="Q1067" s="235" t="s">
        <v>627</v>
      </c>
      <c r="R1067" s="238">
        <v>246.67</v>
      </c>
      <c r="S1067" s="238">
        <v>12.33</v>
      </c>
      <c r="T1067" s="238">
        <v>0.0</v>
      </c>
      <c r="U1067" s="238">
        <v>0.0</v>
      </c>
      <c r="V1067" s="238">
        <v>0.0</v>
      </c>
      <c r="W1067" s="238">
        <v>0.0</v>
      </c>
      <c r="X1067" s="235" t="s">
        <v>628</v>
      </c>
      <c r="Z1067" s="244"/>
      <c r="AA1067" s="244"/>
      <c r="AB1067" s="244"/>
      <c r="AC1067" s="235" t="s">
        <v>3351</v>
      </c>
      <c r="AD1067" s="235" t="s">
        <v>1499</v>
      </c>
      <c r="AE1067" s="238">
        <v>462026.0</v>
      </c>
      <c r="AF1067" s="235" t="s">
        <v>631</v>
      </c>
      <c r="AG1067" s="244"/>
      <c r="AH1067" s="244"/>
      <c r="AI1067" s="245"/>
      <c r="AJ1067" s="245"/>
      <c r="AK1067" s="245"/>
      <c r="AL1067" s="245"/>
      <c r="AM1067" s="244"/>
      <c r="AN1067" s="244"/>
      <c r="AO1067" s="238">
        <v>0.0</v>
      </c>
      <c r="AP1067" s="238">
        <v>0.0</v>
      </c>
      <c r="AQ1067" s="235" t="s">
        <v>632</v>
      </c>
      <c r="AR1067" s="243">
        <v>1.68E11</v>
      </c>
      <c r="AS1067" s="235" t="s">
        <v>7365</v>
      </c>
      <c r="AT1067" s="235" t="s">
        <v>5</v>
      </c>
      <c r="AU1067" s="235" t="s">
        <v>634</v>
      </c>
      <c r="AV1067" s="246" t="s">
        <v>635</v>
      </c>
      <c r="AW1067" s="242"/>
      <c r="AX1067" s="242"/>
      <c r="AY1067" s="231"/>
      <c r="AZ1067" s="231"/>
      <c r="BA1067" s="227"/>
      <c r="BB1067" s="231"/>
      <c r="BC1067" s="227"/>
      <c r="BD1067" s="227"/>
      <c r="BE1067" s="227"/>
      <c r="BF1067" s="227"/>
    </row>
    <row r="1068">
      <c r="A1068" s="235" t="s">
        <v>8959</v>
      </c>
      <c r="C1068" s="235" t="s">
        <v>8960</v>
      </c>
      <c r="D1068" s="235" t="s">
        <v>8961</v>
      </c>
      <c r="E1068" s="243">
        <v>6.56E13</v>
      </c>
      <c r="F1068" s="245"/>
      <c r="G1068" s="235" t="s">
        <v>8962</v>
      </c>
      <c r="H1068" s="235" t="s">
        <v>8963</v>
      </c>
      <c r="I1068" s="235" t="s">
        <v>8963</v>
      </c>
      <c r="J1068" s="235" t="s">
        <v>8964</v>
      </c>
      <c r="K1068" s="235" t="s">
        <v>8965</v>
      </c>
      <c r="N1068" s="235" t="s">
        <v>85</v>
      </c>
      <c r="O1068" s="235" t="s">
        <v>872</v>
      </c>
      <c r="P1068" s="238">
        <v>1.0</v>
      </c>
      <c r="Q1068" s="235" t="s">
        <v>627</v>
      </c>
      <c r="R1068" s="238">
        <v>246.67</v>
      </c>
      <c r="S1068" s="238">
        <v>12.33</v>
      </c>
      <c r="T1068" s="238">
        <v>0.0</v>
      </c>
      <c r="U1068" s="238">
        <v>0.0</v>
      </c>
      <c r="V1068" s="238">
        <v>0.0</v>
      </c>
      <c r="W1068" s="238">
        <v>0.0</v>
      </c>
      <c r="X1068" s="235" t="s">
        <v>628</v>
      </c>
      <c r="Z1068" s="244"/>
      <c r="AA1068" s="244"/>
      <c r="AB1068" s="244"/>
      <c r="AC1068" s="235" t="s">
        <v>8966</v>
      </c>
      <c r="AD1068" s="235" t="s">
        <v>3113</v>
      </c>
      <c r="AE1068" s="238">
        <v>494001.0</v>
      </c>
      <c r="AF1068" s="235" t="s">
        <v>631</v>
      </c>
      <c r="AG1068" s="244"/>
      <c r="AH1068" s="244"/>
      <c r="AI1068" s="245"/>
      <c r="AJ1068" s="245"/>
      <c r="AK1068" s="245"/>
      <c r="AL1068" s="245"/>
      <c r="AM1068" s="244"/>
      <c r="AN1068" s="244"/>
      <c r="AO1068" s="238">
        <v>0.0</v>
      </c>
      <c r="AP1068" s="238">
        <v>0.0</v>
      </c>
      <c r="AQ1068" s="235" t="s">
        <v>632</v>
      </c>
      <c r="AR1068" s="243">
        <v>3.71E11</v>
      </c>
      <c r="AS1068" s="235" t="s">
        <v>2276</v>
      </c>
      <c r="AT1068" s="235" t="s">
        <v>9</v>
      </c>
      <c r="AU1068" s="235" t="s">
        <v>634</v>
      </c>
      <c r="AV1068" s="246" t="s">
        <v>635</v>
      </c>
      <c r="AW1068" s="242"/>
      <c r="AX1068" s="242"/>
      <c r="AY1068" s="231"/>
      <c r="AZ1068" s="231"/>
      <c r="BA1068" s="227"/>
      <c r="BB1068" s="231"/>
      <c r="BC1068" s="227"/>
      <c r="BD1068" s="227"/>
      <c r="BE1068" s="227"/>
      <c r="BF1068" s="227"/>
    </row>
    <row r="1069">
      <c r="A1069" s="235" t="s">
        <v>8967</v>
      </c>
      <c r="C1069" s="235" t="s">
        <v>8968</v>
      </c>
      <c r="D1069" s="235" t="s">
        <v>8969</v>
      </c>
      <c r="E1069" s="243">
        <v>6.56E13</v>
      </c>
      <c r="F1069" s="245"/>
      <c r="G1069" s="235" t="s">
        <v>8970</v>
      </c>
      <c r="H1069" s="235" t="s">
        <v>8971</v>
      </c>
      <c r="I1069" s="235" t="s">
        <v>8971</v>
      </c>
      <c r="J1069" s="235" t="s">
        <v>8972</v>
      </c>
      <c r="K1069" s="235" t="s">
        <v>8973</v>
      </c>
      <c r="N1069" s="235" t="s">
        <v>144</v>
      </c>
      <c r="O1069" s="235" t="s">
        <v>232</v>
      </c>
      <c r="P1069" s="238">
        <v>1.0</v>
      </c>
      <c r="Q1069" s="235" t="s">
        <v>627</v>
      </c>
      <c r="R1069" s="238">
        <v>665.71</v>
      </c>
      <c r="S1069" s="238">
        <v>33.29</v>
      </c>
      <c r="T1069" s="238">
        <v>0.0</v>
      </c>
      <c r="U1069" s="238">
        <v>0.0</v>
      </c>
      <c r="V1069" s="238">
        <v>0.0</v>
      </c>
      <c r="W1069" s="238">
        <v>0.0</v>
      </c>
      <c r="X1069" s="235" t="s">
        <v>628</v>
      </c>
      <c r="Z1069" s="244"/>
      <c r="AA1069" s="244"/>
      <c r="AB1069" s="244"/>
      <c r="AC1069" s="235" t="s">
        <v>8974</v>
      </c>
      <c r="AD1069" s="235" t="s">
        <v>645</v>
      </c>
      <c r="AE1069" s="238">
        <v>685581.0</v>
      </c>
      <c r="AF1069" s="235" t="s">
        <v>631</v>
      </c>
      <c r="AG1069" s="244"/>
      <c r="AH1069" s="244"/>
      <c r="AI1069" s="245"/>
      <c r="AJ1069" s="245"/>
      <c r="AK1069" s="245"/>
      <c r="AL1069" s="245"/>
      <c r="AM1069" s="244"/>
      <c r="AN1069" s="244"/>
      <c r="AO1069" s="238">
        <v>0.0</v>
      </c>
      <c r="AP1069" s="238">
        <v>0.0</v>
      </c>
      <c r="AQ1069" s="235" t="s">
        <v>632</v>
      </c>
      <c r="AR1069" s="243">
        <v>3.71E11</v>
      </c>
      <c r="AS1069" s="235" t="s">
        <v>6164</v>
      </c>
      <c r="AT1069" s="235" t="s">
        <v>155</v>
      </c>
      <c r="AU1069" s="235" t="s">
        <v>634</v>
      </c>
      <c r="AV1069" s="246" t="s">
        <v>635</v>
      </c>
      <c r="AW1069" s="242"/>
      <c r="AX1069" s="242"/>
      <c r="AY1069" s="231"/>
      <c r="AZ1069" s="231"/>
      <c r="BA1069" s="227"/>
      <c r="BB1069" s="231"/>
      <c r="BC1069" s="227"/>
      <c r="BD1069" s="227"/>
      <c r="BE1069" s="227"/>
      <c r="BF1069" s="227"/>
    </row>
    <row r="1070">
      <c r="A1070" s="235" t="s">
        <v>8975</v>
      </c>
      <c r="C1070" s="235" t="s">
        <v>8976</v>
      </c>
      <c r="D1070" s="235" t="s">
        <v>8977</v>
      </c>
      <c r="E1070" s="243">
        <v>6.56E13</v>
      </c>
      <c r="F1070" s="245"/>
      <c r="G1070" s="235" t="s">
        <v>8978</v>
      </c>
      <c r="H1070" s="235" t="s">
        <v>8689</v>
      </c>
      <c r="I1070" s="235" t="s">
        <v>8689</v>
      </c>
      <c r="J1070" s="235" t="s">
        <v>8979</v>
      </c>
      <c r="K1070" s="235" t="s">
        <v>8980</v>
      </c>
      <c r="N1070" s="235" t="s">
        <v>53</v>
      </c>
      <c r="O1070" s="235" t="s">
        <v>512</v>
      </c>
      <c r="P1070" s="238">
        <v>1.0</v>
      </c>
      <c r="Q1070" s="235" t="s">
        <v>627</v>
      </c>
      <c r="R1070" s="238">
        <v>237.14</v>
      </c>
      <c r="S1070" s="238">
        <v>11.86</v>
      </c>
      <c r="T1070" s="238">
        <v>0.0</v>
      </c>
      <c r="U1070" s="238">
        <v>0.0</v>
      </c>
      <c r="V1070" s="238">
        <v>0.0</v>
      </c>
      <c r="W1070" s="238">
        <v>0.0</v>
      </c>
      <c r="X1070" s="235" t="s">
        <v>628</v>
      </c>
      <c r="Z1070" s="244"/>
      <c r="AA1070" s="244"/>
      <c r="AB1070" s="244"/>
      <c r="AC1070" s="235" t="s">
        <v>697</v>
      </c>
      <c r="AD1070" s="235" t="s">
        <v>698</v>
      </c>
      <c r="AE1070" s="238">
        <v>500090.0</v>
      </c>
      <c r="AF1070" s="235" t="s">
        <v>631</v>
      </c>
      <c r="AG1070" s="244"/>
      <c r="AH1070" s="244"/>
      <c r="AI1070" s="245"/>
      <c r="AJ1070" s="245"/>
      <c r="AK1070" s="245"/>
      <c r="AL1070" s="245"/>
      <c r="AM1070" s="244"/>
      <c r="AN1070" s="244"/>
      <c r="AO1070" s="238">
        <v>0.0</v>
      </c>
      <c r="AP1070" s="238">
        <v>0.0</v>
      </c>
      <c r="AQ1070" s="235" t="s">
        <v>632</v>
      </c>
      <c r="AR1070" s="243">
        <v>1.68E11</v>
      </c>
      <c r="AS1070" s="235" t="s">
        <v>7365</v>
      </c>
      <c r="AT1070" s="235" t="s">
        <v>156</v>
      </c>
      <c r="AU1070" s="235" t="s">
        <v>634</v>
      </c>
      <c r="AV1070" s="246" t="s">
        <v>635</v>
      </c>
      <c r="AW1070" s="242"/>
      <c r="AX1070" s="242"/>
      <c r="AY1070" s="231"/>
      <c r="AZ1070" s="231"/>
      <c r="BA1070" s="227"/>
      <c r="BB1070" s="231"/>
      <c r="BC1070" s="227"/>
      <c r="BD1070" s="227"/>
      <c r="BE1070" s="227"/>
      <c r="BF1070" s="227"/>
    </row>
    <row r="1071">
      <c r="A1071" s="235" t="s">
        <v>8981</v>
      </c>
      <c r="C1071" s="235" t="s">
        <v>8982</v>
      </c>
      <c r="D1071" s="235" t="s">
        <v>8983</v>
      </c>
      <c r="E1071" s="243">
        <v>6.56E13</v>
      </c>
      <c r="F1071" s="245"/>
      <c r="G1071" s="235" t="s">
        <v>8984</v>
      </c>
      <c r="H1071" s="235" t="s">
        <v>8985</v>
      </c>
      <c r="I1071" s="235" t="s">
        <v>8985</v>
      </c>
      <c r="J1071" s="235" t="s">
        <v>8986</v>
      </c>
      <c r="K1071" s="235" t="s">
        <v>8987</v>
      </c>
      <c r="N1071" s="235" t="s">
        <v>4</v>
      </c>
      <c r="O1071" s="235" t="s">
        <v>1791</v>
      </c>
      <c r="P1071" s="238">
        <v>1.0</v>
      </c>
      <c r="Q1071" s="235" t="s">
        <v>627</v>
      </c>
      <c r="R1071" s="238">
        <v>265.71</v>
      </c>
      <c r="S1071" s="238">
        <v>13.29</v>
      </c>
      <c r="T1071" s="238">
        <v>38.1</v>
      </c>
      <c r="U1071" s="238">
        <v>1.9</v>
      </c>
      <c r="V1071" s="238">
        <v>0.0</v>
      </c>
      <c r="W1071" s="238">
        <v>0.0</v>
      </c>
      <c r="X1071" s="235" t="s">
        <v>628</v>
      </c>
      <c r="Z1071" s="244"/>
      <c r="AA1071" s="244"/>
      <c r="AB1071" s="244"/>
      <c r="AC1071" s="235" t="s">
        <v>8988</v>
      </c>
      <c r="AD1071" s="235" t="s">
        <v>1086</v>
      </c>
      <c r="AE1071" s="238">
        <v>148001.0</v>
      </c>
      <c r="AF1071" s="235" t="s">
        <v>631</v>
      </c>
      <c r="AG1071" s="244"/>
      <c r="AH1071" s="244"/>
      <c r="AI1071" s="245"/>
      <c r="AJ1071" s="245"/>
      <c r="AK1071" s="245"/>
      <c r="AL1071" s="245"/>
      <c r="AM1071" s="244"/>
      <c r="AN1071" s="244"/>
      <c r="AO1071" s="238">
        <v>0.0</v>
      </c>
      <c r="AP1071" s="238">
        <v>-38.1</v>
      </c>
      <c r="AQ1071" s="235" t="s">
        <v>632</v>
      </c>
      <c r="AR1071" s="243">
        <v>3.71E11</v>
      </c>
      <c r="AS1071" s="235" t="s">
        <v>6164</v>
      </c>
      <c r="AT1071" s="235" t="s">
        <v>14</v>
      </c>
      <c r="AU1071" s="235" t="s">
        <v>634</v>
      </c>
      <c r="AV1071" s="246" t="s">
        <v>635</v>
      </c>
      <c r="AW1071" s="242"/>
      <c r="AX1071" s="242"/>
      <c r="AY1071" s="231"/>
      <c r="AZ1071" s="231"/>
      <c r="BA1071" s="227"/>
      <c r="BB1071" s="231"/>
      <c r="BC1071" s="227"/>
      <c r="BD1071" s="227"/>
      <c r="BE1071" s="227"/>
      <c r="BF1071" s="227"/>
    </row>
    <row r="1072">
      <c r="A1072" s="235" t="s">
        <v>8989</v>
      </c>
      <c r="C1072" s="235" t="s">
        <v>8990</v>
      </c>
      <c r="D1072" s="235" t="s">
        <v>8991</v>
      </c>
      <c r="E1072" s="243">
        <v>6.56E13</v>
      </c>
      <c r="F1072" s="245"/>
      <c r="G1072" s="235" t="s">
        <v>8992</v>
      </c>
      <c r="H1072" s="235" t="s">
        <v>8993</v>
      </c>
      <c r="I1072" s="235" t="s">
        <v>8994</v>
      </c>
      <c r="J1072" s="235" t="s">
        <v>8995</v>
      </c>
      <c r="K1072" s="235" t="s">
        <v>8996</v>
      </c>
      <c r="N1072" s="235" t="s">
        <v>127</v>
      </c>
      <c r="O1072" s="235" t="s">
        <v>794</v>
      </c>
      <c r="P1072" s="238">
        <v>1.0</v>
      </c>
      <c r="Q1072" s="235" t="s">
        <v>627</v>
      </c>
      <c r="R1072" s="238">
        <v>246.67</v>
      </c>
      <c r="S1072" s="238">
        <v>12.33</v>
      </c>
      <c r="T1072" s="238">
        <v>0.0</v>
      </c>
      <c r="U1072" s="238">
        <v>0.0</v>
      </c>
      <c r="V1072" s="238">
        <v>0.0</v>
      </c>
      <c r="W1072" s="238">
        <v>0.0</v>
      </c>
      <c r="X1072" s="235" t="s">
        <v>628</v>
      </c>
      <c r="Z1072" s="244"/>
      <c r="AA1072" s="244"/>
      <c r="AB1072" s="244"/>
      <c r="AC1072" s="235" t="s">
        <v>8997</v>
      </c>
      <c r="AD1072" s="235" t="s">
        <v>1086</v>
      </c>
      <c r="AE1072" s="238">
        <v>140307.0</v>
      </c>
      <c r="AF1072" s="235" t="s">
        <v>631</v>
      </c>
      <c r="AG1072" s="244"/>
      <c r="AH1072" s="244"/>
      <c r="AI1072" s="245"/>
      <c r="AJ1072" s="245"/>
      <c r="AK1072" s="245"/>
      <c r="AL1072" s="245"/>
      <c r="AM1072" s="244"/>
      <c r="AN1072" s="244"/>
      <c r="AO1072" s="238">
        <v>0.0</v>
      </c>
      <c r="AP1072" s="238">
        <v>0.0</v>
      </c>
      <c r="AQ1072" s="235" t="s">
        <v>632</v>
      </c>
      <c r="AR1072" s="243">
        <v>3.71E11</v>
      </c>
      <c r="AS1072" s="235" t="s">
        <v>6164</v>
      </c>
      <c r="AT1072" s="235" t="s">
        <v>14</v>
      </c>
      <c r="AU1072" s="235" t="s">
        <v>634</v>
      </c>
      <c r="AV1072" s="246" t="s">
        <v>635</v>
      </c>
      <c r="AW1072" s="242"/>
      <c r="AX1072" s="242"/>
      <c r="AY1072" s="231"/>
      <c r="AZ1072" s="231"/>
      <c r="BA1072" s="227"/>
      <c r="BB1072" s="231"/>
      <c r="BC1072" s="227"/>
      <c r="BD1072" s="227"/>
      <c r="BE1072" s="227"/>
      <c r="BF1072" s="227"/>
    </row>
    <row r="1073">
      <c r="A1073" s="235" t="s">
        <v>8998</v>
      </c>
      <c r="C1073" s="235" t="s">
        <v>8999</v>
      </c>
      <c r="D1073" s="235" t="s">
        <v>9000</v>
      </c>
      <c r="E1073" s="243">
        <v>6.55E13</v>
      </c>
      <c r="F1073" s="245"/>
      <c r="G1073" s="235" t="s">
        <v>9001</v>
      </c>
      <c r="H1073" s="235" t="s">
        <v>9002</v>
      </c>
      <c r="I1073" s="235" t="s">
        <v>9002</v>
      </c>
      <c r="J1073" s="235" t="s">
        <v>9003</v>
      </c>
      <c r="K1073" s="235" t="s">
        <v>9004</v>
      </c>
      <c r="N1073" s="235" t="s">
        <v>141</v>
      </c>
      <c r="O1073" s="235" t="s">
        <v>342</v>
      </c>
      <c r="P1073" s="238">
        <v>1.0</v>
      </c>
      <c r="Q1073" s="235" t="s">
        <v>627</v>
      </c>
      <c r="R1073" s="238">
        <v>246.67</v>
      </c>
      <c r="S1073" s="238">
        <v>12.33</v>
      </c>
      <c r="T1073" s="238">
        <v>38.1</v>
      </c>
      <c r="U1073" s="238">
        <v>1.9</v>
      </c>
      <c r="V1073" s="238">
        <v>0.0</v>
      </c>
      <c r="W1073" s="238">
        <v>0.0</v>
      </c>
      <c r="X1073" s="235" t="s">
        <v>628</v>
      </c>
      <c r="Z1073" s="244"/>
      <c r="AA1073" s="244"/>
      <c r="AB1073" s="244"/>
      <c r="AC1073" s="235" t="s">
        <v>697</v>
      </c>
      <c r="AD1073" s="235" t="s">
        <v>698</v>
      </c>
      <c r="AE1073" s="238">
        <v>502313.0</v>
      </c>
      <c r="AF1073" s="235" t="s">
        <v>631</v>
      </c>
      <c r="AG1073" s="244"/>
      <c r="AH1073" s="244"/>
      <c r="AI1073" s="245"/>
      <c r="AJ1073" s="245"/>
      <c r="AK1073" s="245"/>
      <c r="AL1073" s="245"/>
      <c r="AM1073" s="244"/>
      <c r="AN1073" s="244"/>
      <c r="AO1073" s="238">
        <v>0.0</v>
      </c>
      <c r="AP1073" s="238">
        <v>-38.1</v>
      </c>
      <c r="AQ1073" s="235" t="s">
        <v>632</v>
      </c>
      <c r="AR1073" s="243">
        <v>3.71E11</v>
      </c>
      <c r="AS1073" s="235" t="s">
        <v>6164</v>
      </c>
      <c r="AT1073" s="235" t="s">
        <v>11</v>
      </c>
      <c r="AU1073" s="235" t="s">
        <v>634</v>
      </c>
      <c r="AV1073" s="246" t="s">
        <v>635</v>
      </c>
      <c r="AW1073" s="242"/>
      <c r="AX1073" s="242"/>
      <c r="AY1073" s="231"/>
      <c r="AZ1073" s="231"/>
      <c r="BA1073" s="227"/>
      <c r="BB1073" s="231"/>
      <c r="BC1073" s="227"/>
      <c r="BD1073" s="227"/>
      <c r="BE1073" s="227"/>
      <c r="BF1073" s="227"/>
    </row>
    <row r="1074">
      <c r="A1074" s="235" t="s">
        <v>9005</v>
      </c>
      <c r="C1074" s="235" t="s">
        <v>9006</v>
      </c>
      <c r="D1074" s="235" t="s">
        <v>9007</v>
      </c>
      <c r="E1074" s="243">
        <v>6.56E13</v>
      </c>
      <c r="F1074" s="245"/>
      <c r="G1074" s="235" t="s">
        <v>9008</v>
      </c>
      <c r="H1074" s="235" t="s">
        <v>9009</v>
      </c>
      <c r="I1074" s="235" t="s">
        <v>9009</v>
      </c>
      <c r="J1074" s="235" t="s">
        <v>9010</v>
      </c>
      <c r="K1074" s="235" t="s">
        <v>9011</v>
      </c>
      <c r="N1074" s="235" t="s">
        <v>153</v>
      </c>
      <c r="O1074" s="235" t="s">
        <v>390</v>
      </c>
      <c r="P1074" s="238">
        <v>1.0</v>
      </c>
      <c r="Q1074" s="235" t="s">
        <v>627</v>
      </c>
      <c r="R1074" s="238">
        <v>490.68</v>
      </c>
      <c r="S1074" s="238">
        <v>88.32</v>
      </c>
      <c r="T1074" s="238">
        <v>0.0</v>
      </c>
      <c r="U1074" s="238">
        <v>0.0</v>
      </c>
      <c r="V1074" s="238">
        <v>0.0</v>
      </c>
      <c r="W1074" s="238">
        <v>0.0</v>
      </c>
      <c r="X1074" s="235" t="s">
        <v>628</v>
      </c>
      <c r="Z1074" s="244"/>
      <c r="AA1074" s="244"/>
      <c r="AB1074" s="244"/>
      <c r="AC1074" s="235" t="s">
        <v>1255</v>
      </c>
      <c r="AD1074" s="235" t="s">
        <v>845</v>
      </c>
      <c r="AE1074" s="238">
        <v>400601.0</v>
      </c>
      <c r="AF1074" s="235" t="s">
        <v>631</v>
      </c>
      <c r="AG1074" s="244"/>
      <c r="AH1074" s="244"/>
      <c r="AI1074" s="245"/>
      <c r="AJ1074" s="245"/>
      <c r="AK1074" s="245"/>
      <c r="AL1074" s="245"/>
      <c r="AM1074" s="244"/>
      <c r="AN1074" s="244"/>
      <c r="AO1074" s="238">
        <v>0.0</v>
      </c>
      <c r="AP1074" s="238">
        <v>0.0</v>
      </c>
      <c r="AQ1074" s="235" t="s">
        <v>632</v>
      </c>
      <c r="AR1074" s="243">
        <v>3.71E11</v>
      </c>
      <c r="AS1074" s="235" t="s">
        <v>7365</v>
      </c>
      <c r="AT1074" s="235" t="s">
        <v>16</v>
      </c>
      <c r="AU1074" s="235" t="s">
        <v>634</v>
      </c>
      <c r="AV1074" s="246" t="s">
        <v>635</v>
      </c>
      <c r="AW1074" s="242"/>
      <c r="AX1074" s="242"/>
      <c r="AY1074" s="231"/>
      <c r="AZ1074" s="231"/>
      <c r="BA1074" s="227"/>
      <c r="BB1074" s="231"/>
      <c r="BC1074" s="227"/>
      <c r="BD1074" s="227"/>
      <c r="BE1074" s="227"/>
      <c r="BF1074" s="227"/>
    </row>
    <row r="1075">
      <c r="A1075" s="235" t="s">
        <v>9012</v>
      </c>
      <c r="C1075" s="235" t="s">
        <v>9013</v>
      </c>
      <c r="D1075" s="235" t="s">
        <v>9014</v>
      </c>
      <c r="E1075" s="243">
        <v>6.55E13</v>
      </c>
      <c r="F1075" s="245"/>
      <c r="G1075" s="235" t="s">
        <v>9015</v>
      </c>
      <c r="H1075" s="235" t="s">
        <v>9016</v>
      </c>
      <c r="I1075" s="235" t="s">
        <v>9016</v>
      </c>
      <c r="J1075" s="235" t="s">
        <v>9017</v>
      </c>
      <c r="K1075" s="235" t="s">
        <v>9018</v>
      </c>
      <c r="N1075" s="235" t="s">
        <v>139</v>
      </c>
      <c r="O1075" s="235" t="s">
        <v>2091</v>
      </c>
      <c r="P1075" s="238">
        <v>1.0</v>
      </c>
      <c r="Q1075" s="235" t="s">
        <v>627</v>
      </c>
      <c r="R1075" s="238">
        <v>240.0</v>
      </c>
      <c r="S1075" s="238">
        <v>11.64</v>
      </c>
      <c r="T1075" s="238">
        <v>38.1</v>
      </c>
      <c r="U1075" s="238">
        <v>1.9</v>
      </c>
      <c r="V1075" s="238">
        <v>0.0</v>
      </c>
      <c r="W1075" s="238">
        <v>0.0</v>
      </c>
      <c r="X1075" s="235" t="s">
        <v>628</v>
      </c>
      <c r="Z1075" s="244"/>
      <c r="AA1075" s="244"/>
      <c r="AB1075" s="244"/>
      <c r="AC1075" s="235" t="s">
        <v>687</v>
      </c>
      <c r="AD1075" s="235" t="s">
        <v>666</v>
      </c>
      <c r="AE1075" s="238">
        <v>600013.0</v>
      </c>
      <c r="AF1075" s="235" t="s">
        <v>631</v>
      </c>
      <c r="AG1075" s="244"/>
      <c r="AH1075" s="244"/>
      <c r="AI1075" s="245"/>
      <c r="AJ1075" s="245"/>
      <c r="AK1075" s="245"/>
      <c r="AL1075" s="245"/>
      <c r="AM1075" s="244"/>
      <c r="AN1075" s="244"/>
      <c r="AO1075" s="238">
        <v>-7.2</v>
      </c>
      <c r="AP1075" s="238">
        <v>-38.1</v>
      </c>
      <c r="AQ1075" s="235" t="s">
        <v>632</v>
      </c>
      <c r="AR1075" s="243">
        <v>3.71E11</v>
      </c>
      <c r="AS1075" s="235" t="s">
        <v>7365</v>
      </c>
      <c r="AT1075" s="235" t="s">
        <v>156</v>
      </c>
      <c r="AU1075" s="235" t="s">
        <v>634</v>
      </c>
      <c r="AV1075" s="246" t="s">
        <v>635</v>
      </c>
      <c r="AW1075" s="242"/>
      <c r="AX1075" s="242"/>
      <c r="AY1075" s="231"/>
      <c r="AZ1075" s="231"/>
      <c r="BA1075" s="227"/>
      <c r="BB1075" s="231"/>
      <c r="BC1075" s="227"/>
      <c r="BD1075" s="227"/>
      <c r="BE1075" s="227"/>
      <c r="BF1075" s="227"/>
    </row>
    <row r="1076">
      <c r="A1076" s="235" t="s">
        <v>9012</v>
      </c>
      <c r="C1076" s="235" t="s">
        <v>9013</v>
      </c>
      <c r="D1076" s="235" t="s">
        <v>9019</v>
      </c>
      <c r="E1076" s="243">
        <v>6.55E13</v>
      </c>
      <c r="F1076" s="245"/>
      <c r="G1076" s="235" t="s">
        <v>9015</v>
      </c>
      <c r="H1076" s="235" t="s">
        <v>9016</v>
      </c>
      <c r="I1076" s="235" t="s">
        <v>9016</v>
      </c>
      <c r="J1076" s="235" t="s">
        <v>9017</v>
      </c>
      <c r="K1076" s="235" t="s">
        <v>9018</v>
      </c>
      <c r="N1076" s="235" t="s">
        <v>139</v>
      </c>
      <c r="O1076" s="235" t="s">
        <v>2091</v>
      </c>
      <c r="P1076" s="238">
        <v>1.0</v>
      </c>
      <c r="Q1076" s="235" t="s">
        <v>627</v>
      </c>
      <c r="R1076" s="238">
        <v>240.0</v>
      </c>
      <c r="S1076" s="238">
        <v>11.64</v>
      </c>
      <c r="T1076" s="238">
        <v>38.1</v>
      </c>
      <c r="U1076" s="238">
        <v>1.9</v>
      </c>
      <c r="V1076" s="238">
        <v>0.0</v>
      </c>
      <c r="W1076" s="238">
        <v>0.0</v>
      </c>
      <c r="X1076" s="235" t="s">
        <v>628</v>
      </c>
      <c r="Z1076" s="244"/>
      <c r="AA1076" s="244"/>
      <c r="AB1076" s="244"/>
      <c r="AC1076" s="235" t="s">
        <v>687</v>
      </c>
      <c r="AD1076" s="235" t="s">
        <v>666</v>
      </c>
      <c r="AE1076" s="238">
        <v>600013.0</v>
      </c>
      <c r="AF1076" s="235" t="s">
        <v>631</v>
      </c>
      <c r="AG1076" s="244"/>
      <c r="AH1076" s="244"/>
      <c r="AI1076" s="245"/>
      <c r="AJ1076" s="245"/>
      <c r="AK1076" s="245"/>
      <c r="AL1076" s="245"/>
      <c r="AM1076" s="244"/>
      <c r="AN1076" s="244"/>
      <c r="AO1076" s="238">
        <v>-7.2</v>
      </c>
      <c r="AP1076" s="238">
        <v>-38.1</v>
      </c>
      <c r="AQ1076" s="235" t="s">
        <v>632</v>
      </c>
      <c r="AR1076" s="243">
        <v>3.71E11</v>
      </c>
      <c r="AS1076" s="235" t="s">
        <v>7365</v>
      </c>
      <c r="AT1076" s="235" t="s">
        <v>156</v>
      </c>
      <c r="AU1076" s="235" t="s">
        <v>634</v>
      </c>
      <c r="AV1076" s="246" t="s">
        <v>635</v>
      </c>
      <c r="AW1076" s="242"/>
      <c r="AX1076" s="242"/>
      <c r="AY1076" s="231"/>
      <c r="AZ1076" s="231"/>
      <c r="BA1076" s="227"/>
      <c r="BB1076" s="231"/>
      <c r="BC1076" s="227"/>
      <c r="BD1076" s="227"/>
      <c r="BE1076" s="227"/>
      <c r="BF1076" s="227"/>
    </row>
    <row r="1077">
      <c r="A1077" s="235" t="s">
        <v>9020</v>
      </c>
      <c r="C1077" s="235" t="s">
        <v>9021</v>
      </c>
      <c r="D1077" s="235" t="s">
        <v>9022</v>
      </c>
      <c r="E1077" s="243">
        <v>6.55E13</v>
      </c>
      <c r="F1077" s="245"/>
      <c r="G1077" s="235" t="s">
        <v>9023</v>
      </c>
      <c r="H1077" s="235" t="s">
        <v>9024</v>
      </c>
      <c r="I1077" s="235" t="s">
        <v>9024</v>
      </c>
      <c r="J1077" s="235" t="s">
        <v>9025</v>
      </c>
      <c r="K1077" s="235" t="s">
        <v>9026</v>
      </c>
      <c r="N1077" s="235" t="s">
        <v>104</v>
      </c>
      <c r="O1077" s="235" t="s">
        <v>401</v>
      </c>
      <c r="P1077" s="238">
        <v>1.0</v>
      </c>
      <c r="Q1077" s="235" t="s">
        <v>627</v>
      </c>
      <c r="R1077" s="238">
        <v>246.66</v>
      </c>
      <c r="S1077" s="238">
        <v>12.34</v>
      </c>
      <c r="T1077" s="238">
        <v>0.0</v>
      </c>
      <c r="U1077" s="238">
        <v>0.0</v>
      </c>
      <c r="V1077" s="238">
        <v>0.0</v>
      </c>
      <c r="W1077" s="238">
        <v>0.0</v>
      </c>
      <c r="X1077" s="235" t="s">
        <v>628</v>
      </c>
      <c r="Z1077" s="244"/>
      <c r="AA1077" s="244"/>
      <c r="AB1077" s="244"/>
      <c r="AC1077" s="235" t="s">
        <v>9027</v>
      </c>
      <c r="AD1077" s="235" t="s">
        <v>1077</v>
      </c>
      <c r="AE1077" s="238">
        <v>370205.0</v>
      </c>
      <c r="AF1077" s="235" t="s">
        <v>631</v>
      </c>
      <c r="AG1077" s="244"/>
      <c r="AH1077" s="244"/>
      <c r="AI1077" s="245"/>
      <c r="AJ1077" s="245"/>
      <c r="AK1077" s="245"/>
      <c r="AL1077" s="245"/>
      <c r="AM1077" s="244"/>
      <c r="AN1077" s="244"/>
      <c r="AO1077" s="238">
        <v>0.0</v>
      </c>
      <c r="AP1077" s="238">
        <v>0.0</v>
      </c>
      <c r="AQ1077" s="235" t="s">
        <v>632</v>
      </c>
      <c r="AR1077" s="243">
        <v>3.71E11</v>
      </c>
      <c r="AS1077" s="235" t="s">
        <v>7365</v>
      </c>
      <c r="AT1077" s="235" t="s">
        <v>5</v>
      </c>
      <c r="AU1077" s="235" t="s">
        <v>634</v>
      </c>
      <c r="AV1077" s="246" t="s">
        <v>635</v>
      </c>
      <c r="AW1077" s="242"/>
      <c r="AX1077" s="242"/>
      <c r="AY1077" s="231"/>
      <c r="AZ1077" s="231"/>
      <c r="BA1077" s="227"/>
      <c r="BB1077" s="231"/>
      <c r="BC1077" s="227"/>
      <c r="BD1077" s="227"/>
      <c r="BE1077" s="227"/>
      <c r="BF1077" s="227"/>
    </row>
    <row r="1078">
      <c r="A1078" s="235" t="s">
        <v>9028</v>
      </c>
      <c r="C1078" s="235" t="s">
        <v>9029</v>
      </c>
      <c r="D1078" s="235" t="s">
        <v>9030</v>
      </c>
      <c r="E1078" s="243">
        <v>6.56E13</v>
      </c>
      <c r="F1078" s="245"/>
      <c r="G1078" s="235" t="s">
        <v>9031</v>
      </c>
      <c r="H1078" s="235" t="s">
        <v>9032</v>
      </c>
      <c r="I1078" s="235" t="s">
        <v>9033</v>
      </c>
      <c r="J1078" s="235" t="s">
        <v>9034</v>
      </c>
      <c r="K1078" s="235" t="s">
        <v>9035</v>
      </c>
      <c r="N1078" s="235" t="s">
        <v>49</v>
      </c>
      <c r="O1078" s="235" t="s">
        <v>321</v>
      </c>
      <c r="P1078" s="238">
        <v>1.0</v>
      </c>
      <c r="Q1078" s="235" t="s">
        <v>627</v>
      </c>
      <c r="R1078" s="238">
        <v>237.14</v>
      </c>
      <c r="S1078" s="238">
        <v>11.86</v>
      </c>
      <c r="T1078" s="238">
        <v>38.1</v>
      </c>
      <c r="U1078" s="238">
        <v>1.9</v>
      </c>
      <c r="V1078" s="238">
        <v>0.0</v>
      </c>
      <c r="W1078" s="238">
        <v>0.0</v>
      </c>
      <c r="X1078" s="235" t="s">
        <v>628</v>
      </c>
      <c r="Z1078" s="244"/>
      <c r="AA1078" s="244"/>
      <c r="AB1078" s="244"/>
      <c r="AC1078" s="235" t="s">
        <v>9036</v>
      </c>
      <c r="AD1078" s="235" t="s">
        <v>833</v>
      </c>
      <c r="AE1078" s="238">
        <v>522005.0</v>
      </c>
      <c r="AF1078" s="235" t="s">
        <v>631</v>
      </c>
      <c r="AG1078" s="244"/>
      <c r="AH1078" s="244"/>
      <c r="AI1078" s="245"/>
      <c r="AJ1078" s="245"/>
      <c r="AK1078" s="245"/>
      <c r="AL1078" s="245"/>
      <c r="AM1078" s="244"/>
      <c r="AN1078" s="244"/>
      <c r="AO1078" s="238">
        <v>0.0</v>
      </c>
      <c r="AP1078" s="238">
        <v>-38.1</v>
      </c>
      <c r="AQ1078" s="235" t="s">
        <v>632</v>
      </c>
      <c r="AR1078" s="243">
        <v>3.71E11</v>
      </c>
      <c r="AS1078" s="235" t="s">
        <v>3284</v>
      </c>
      <c r="AT1078" s="235" t="s">
        <v>546</v>
      </c>
      <c r="AU1078" s="235" t="s">
        <v>634</v>
      </c>
      <c r="AV1078" s="246" t="s">
        <v>635</v>
      </c>
      <c r="AW1078" s="242"/>
      <c r="AX1078" s="242"/>
      <c r="AY1078" s="231"/>
      <c r="AZ1078" s="231"/>
      <c r="BA1078" s="227"/>
      <c r="BB1078" s="231"/>
      <c r="BC1078" s="227"/>
      <c r="BD1078" s="227"/>
      <c r="BE1078" s="227"/>
      <c r="BF1078" s="227"/>
    </row>
    <row r="1079">
      <c r="A1079" s="235" t="s">
        <v>9037</v>
      </c>
      <c r="C1079" s="235" t="s">
        <v>9038</v>
      </c>
      <c r="D1079" s="235" t="s">
        <v>9039</v>
      </c>
      <c r="E1079" s="243">
        <v>6.56E13</v>
      </c>
      <c r="F1079" s="245"/>
      <c r="G1079" s="235" t="s">
        <v>9040</v>
      </c>
      <c r="H1079" s="235" t="s">
        <v>9041</v>
      </c>
      <c r="I1079" s="235" t="s">
        <v>9041</v>
      </c>
      <c r="J1079" s="235" t="s">
        <v>9042</v>
      </c>
      <c r="K1079" s="235" t="s">
        <v>9043</v>
      </c>
      <c r="N1079" s="235" t="s">
        <v>42</v>
      </c>
      <c r="O1079" s="235" t="s">
        <v>204</v>
      </c>
      <c r="P1079" s="238">
        <v>1.0</v>
      </c>
      <c r="Q1079" s="235" t="s">
        <v>627</v>
      </c>
      <c r="R1079" s="238">
        <v>237.14</v>
      </c>
      <c r="S1079" s="238">
        <v>11.86</v>
      </c>
      <c r="T1079" s="238">
        <v>0.0</v>
      </c>
      <c r="U1079" s="238">
        <v>0.0</v>
      </c>
      <c r="V1079" s="238">
        <v>0.0</v>
      </c>
      <c r="W1079" s="238">
        <v>0.0</v>
      </c>
      <c r="X1079" s="235" t="s">
        <v>628</v>
      </c>
      <c r="Z1079" s="244"/>
      <c r="AA1079" s="244"/>
      <c r="AB1079" s="244"/>
      <c r="AC1079" s="235" t="s">
        <v>6921</v>
      </c>
      <c r="AD1079" s="235" t="s">
        <v>698</v>
      </c>
      <c r="AE1079" s="238">
        <v>500087.0</v>
      </c>
      <c r="AF1079" s="235" t="s">
        <v>631</v>
      </c>
      <c r="AG1079" s="244"/>
      <c r="AH1079" s="244"/>
      <c r="AI1079" s="245"/>
      <c r="AJ1079" s="245"/>
      <c r="AK1079" s="245"/>
      <c r="AL1079" s="245"/>
      <c r="AM1079" s="244"/>
      <c r="AN1079" s="244"/>
      <c r="AO1079" s="238">
        <v>0.0</v>
      </c>
      <c r="AP1079" s="238">
        <v>0.0</v>
      </c>
      <c r="AQ1079" s="235" t="s">
        <v>632</v>
      </c>
      <c r="AR1079" s="243">
        <v>3.71E11</v>
      </c>
      <c r="AS1079" s="235" t="s">
        <v>6164</v>
      </c>
      <c r="AT1079" s="235" t="s">
        <v>16</v>
      </c>
      <c r="AU1079" s="235" t="s">
        <v>634</v>
      </c>
      <c r="AV1079" s="246" t="s">
        <v>635</v>
      </c>
      <c r="AW1079" s="242"/>
      <c r="AX1079" s="242"/>
      <c r="AY1079" s="231"/>
      <c r="AZ1079" s="231"/>
      <c r="BA1079" s="227"/>
      <c r="BB1079" s="231"/>
      <c r="BC1079" s="227"/>
      <c r="BD1079" s="227"/>
      <c r="BE1079" s="227"/>
      <c r="BF1079" s="227"/>
    </row>
    <row r="1080">
      <c r="A1080" s="235" t="s">
        <v>9044</v>
      </c>
      <c r="C1080" s="235" t="s">
        <v>9045</v>
      </c>
      <c r="D1080" s="235" t="s">
        <v>9046</v>
      </c>
      <c r="E1080" s="243">
        <v>6.56E13</v>
      </c>
      <c r="F1080" s="245"/>
      <c r="G1080" s="235" t="s">
        <v>9047</v>
      </c>
      <c r="H1080" s="235" t="s">
        <v>9048</v>
      </c>
      <c r="I1080" s="235" t="s">
        <v>9048</v>
      </c>
      <c r="J1080" s="235" t="s">
        <v>9049</v>
      </c>
      <c r="K1080" s="235" t="s">
        <v>9050</v>
      </c>
      <c r="N1080" s="235" t="s">
        <v>47</v>
      </c>
      <c r="O1080" s="235" t="s">
        <v>270</v>
      </c>
      <c r="P1080" s="238">
        <v>1.0</v>
      </c>
      <c r="Q1080" s="235" t="s">
        <v>627</v>
      </c>
      <c r="R1080" s="238">
        <v>237.14</v>
      </c>
      <c r="S1080" s="238">
        <v>11.86</v>
      </c>
      <c r="T1080" s="238">
        <v>38.1</v>
      </c>
      <c r="U1080" s="238">
        <v>1.9</v>
      </c>
      <c r="V1080" s="238">
        <v>0.0</v>
      </c>
      <c r="W1080" s="238">
        <v>0.0</v>
      </c>
      <c r="X1080" s="235" t="s">
        <v>628</v>
      </c>
      <c r="Z1080" s="244"/>
      <c r="AA1080" s="244"/>
      <c r="AB1080" s="244"/>
      <c r="AC1080" s="235" t="s">
        <v>2236</v>
      </c>
      <c r="AD1080" s="235" t="s">
        <v>666</v>
      </c>
      <c r="AE1080" s="238">
        <v>641043.0</v>
      </c>
      <c r="AF1080" s="235" t="s">
        <v>631</v>
      </c>
      <c r="AG1080" s="244"/>
      <c r="AH1080" s="244"/>
      <c r="AI1080" s="245"/>
      <c r="AJ1080" s="245"/>
      <c r="AK1080" s="245"/>
      <c r="AL1080" s="245"/>
      <c r="AM1080" s="244"/>
      <c r="AN1080" s="244"/>
      <c r="AO1080" s="238">
        <v>0.0</v>
      </c>
      <c r="AP1080" s="238">
        <v>-38.1</v>
      </c>
      <c r="AQ1080" s="235" t="s">
        <v>632</v>
      </c>
      <c r="AR1080" s="243">
        <v>3.71E11</v>
      </c>
      <c r="AS1080" s="235" t="s">
        <v>7365</v>
      </c>
      <c r="AT1080" s="235" t="s">
        <v>155</v>
      </c>
      <c r="AU1080" s="235" t="s">
        <v>634</v>
      </c>
      <c r="AV1080" s="246" t="s">
        <v>635</v>
      </c>
      <c r="AW1080" s="242"/>
      <c r="AX1080" s="242"/>
      <c r="AY1080" s="231"/>
      <c r="AZ1080" s="231"/>
      <c r="BA1080" s="227"/>
      <c r="BB1080" s="231"/>
      <c r="BC1080" s="227"/>
      <c r="BD1080" s="227"/>
      <c r="BE1080" s="227"/>
      <c r="BF1080" s="227"/>
    </row>
    <row r="1081">
      <c r="A1081" s="235" t="s">
        <v>9051</v>
      </c>
      <c r="C1081" s="235" t="s">
        <v>9052</v>
      </c>
      <c r="D1081" s="235" t="s">
        <v>9053</v>
      </c>
      <c r="E1081" s="243">
        <v>6.56E13</v>
      </c>
      <c r="F1081" s="245"/>
      <c r="G1081" s="235" t="s">
        <v>9054</v>
      </c>
      <c r="H1081" s="235" t="s">
        <v>9055</v>
      </c>
      <c r="I1081" s="235" t="s">
        <v>9055</v>
      </c>
      <c r="J1081" s="235" t="s">
        <v>9056</v>
      </c>
      <c r="K1081" s="235" t="s">
        <v>9057</v>
      </c>
      <c r="N1081" s="235" t="s">
        <v>127</v>
      </c>
      <c r="O1081" s="235" t="s">
        <v>794</v>
      </c>
      <c r="P1081" s="238">
        <v>1.0</v>
      </c>
      <c r="Q1081" s="235" t="s">
        <v>627</v>
      </c>
      <c r="R1081" s="238">
        <v>246.67</v>
      </c>
      <c r="S1081" s="238">
        <v>12.33</v>
      </c>
      <c r="T1081" s="238">
        <v>0.0</v>
      </c>
      <c r="U1081" s="238">
        <v>0.0</v>
      </c>
      <c r="V1081" s="238">
        <v>0.0</v>
      </c>
      <c r="W1081" s="238">
        <v>0.0</v>
      </c>
      <c r="X1081" s="235" t="s">
        <v>628</v>
      </c>
      <c r="Z1081" s="244"/>
      <c r="AA1081" s="244"/>
      <c r="AB1081" s="244"/>
      <c r="AC1081" s="235" t="s">
        <v>9058</v>
      </c>
      <c r="AD1081" s="235" t="s">
        <v>1151</v>
      </c>
      <c r="AE1081" s="238">
        <v>742201.0</v>
      </c>
      <c r="AF1081" s="235" t="s">
        <v>631</v>
      </c>
      <c r="AG1081" s="244"/>
      <c r="AH1081" s="244"/>
      <c r="AI1081" s="245"/>
      <c r="AJ1081" s="245"/>
      <c r="AK1081" s="245"/>
      <c r="AL1081" s="245"/>
      <c r="AM1081" s="244"/>
      <c r="AN1081" s="244"/>
      <c r="AO1081" s="238">
        <v>0.0</v>
      </c>
      <c r="AP1081" s="238">
        <v>0.0</v>
      </c>
      <c r="AQ1081" s="235" t="s">
        <v>632</v>
      </c>
      <c r="AR1081" s="243">
        <v>3.71E11</v>
      </c>
      <c r="AS1081" s="235" t="s">
        <v>3284</v>
      </c>
      <c r="AT1081" s="235" t="s">
        <v>14</v>
      </c>
      <c r="AU1081" s="235" t="s">
        <v>634</v>
      </c>
      <c r="AV1081" s="246" t="s">
        <v>635</v>
      </c>
      <c r="AW1081" s="242"/>
      <c r="AX1081" s="242"/>
      <c r="AY1081" s="231"/>
      <c r="AZ1081" s="231"/>
      <c r="BA1081" s="227"/>
      <c r="BB1081" s="231"/>
      <c r="BC1081" s="227"/>
      <c r="BD1081" s="227"/>
      <c r="BE1081" s="227"/>
      <c r="BF1081" s="227"/>
    </row>
    <row r="1082">
      <c r="A1082" s="235" t="s">
        <v>9059</v>
      </c>
      <c r="C1082" s="235" t="s">
        <v>9060</v>
      </c>
      <c r="D1082" s="235" t="s">
        <v>9061</v>
      </c>
      <c r="E1082" s="243">
        <v>6.55E13</v>
      </c>
      <c r="F1082" s="245"/>
      <c r="G1082" s="235" t="s">
        <v>9062</v>
      </c>
      <c r="H1082" s="235" t="s">
        <v>9063</v>
      </c>
      <c r="I1082" s="235" t="s">
        <v>9063</v>
      </c>
      <c r="J1082" s="235" t="s">
        <v>9064</v>
      </c>
      <c r="K1082" s="235" t="s">
        <v>9065</v>
      </c>
      <c r="N1082" s="235" t="s">
        <v>127</v>
      </c>
      <c r="O1082" s="235" t="s">
        <v>794</v>
      </c>
      <c r="P1082" s="238">
        <v>1.0</v>
      </c>
      <c r="Q1082" s="235" t="s">
        <v>627</v>
      </c>
      <c r="R1082" s="238">
        <v>246.66</v>
      </c>
      <c r="S1082" s="238">
        <v>12.34</v>
      </c>
      <c r="T1082" s="238">
        <v>56.2</v>
      </c>
      <c r="U1082" s="238">
        <v>2.8</v>
      </c>
      <c r="V1082" s="238">
        <v>0.0</v>
      </c>
      <c r="W1082" s="238">
        <v>0.0</v>
      </c>
      <c r="X1082" s="235" t="s">
        <v>628</v>
      </c>
      <c r="Z1082" s="244"/>
      <c r="AA1082" s="244"/>
      <c r="AB1082" s="244"/>
      <c r="AC1082" s="235" t="s">
        <v>9066</v>
      </c>
      <c r="AD1082" s="235" t="s">
        <v>1077</v>
      </c>
      <c r="AE1082" s="238">
        <v>389151.0</v>
      </c>
      <c r="AF1082" s="235" t="s">
        <v>631</v>
      </c>
      <c r="AG1082" s="244"/>
      <c r="AH1082" s="244"/>
      <c r="AI1082" s="245"/>
      <c r="AJ1082" s="245"/>
      <c r="AK1082" s="245"/>
      <c r="AL1082" s="245"/>
      <c r="AM1082" s="244"/>
      <c r="AN1082" s="244"/>
      <c r="AO1082" s="238">
        <v>0.0</v>
      </c>
      <c r="AP1082" s="238">
        <v>0.0</v>
      </c>
      <c r="AQ1082" s="235" t="s">
        <v>632</v>
      </c>
      <c r="AR1082" s="243">
        <v>1.68E11</v>
      </c>
      <c r="AS1082" s="235" t="s">
        <v>7365</v>
      </c>
      <c r="AT1082" s="235" t="s">
        <v>5</v>
      </c>
      <c r="AU1082" s="235" t="s">
        <v>634</v>
      </c>
      <c r="AV1082" s="246" t="s">
        <v>635</v>
      </c>
      <c r="AW1082" s="242"/>
      <c r="AX1082" s="242"/>
      <c r="AY1082" s="231"/>
      <c r="AZ1082" s="231"/>
      <c r="BA1082" s="227"/>
      <c r="BB1082" s="231"/>
      <c r="BC1082" s="227"/>
      <c r="BD1082" s="227"/>
      <c r="BE1082" s="227"/>
      <c r="BF1082" s="227"/>
    </row>
    <row r="1083">
      <c r="A1083" s="235" t="s">
        <v>9067</v>
      </c>
      <c r="C1083" s="235" t="s">
        <v>9068</v>
      </c>
      <c r="D1083" s="235" t="s">
        <v>9069</v>
      </c>
      <c r="E1083" s="243">
        <v>6.55E13</v>
      </c>
      <c r="F1083" s="245"/>
      <c r="G1083" s="235" t="s">
        <v>9070</v>
      </c>
      <c r="H1083" s="235" t="s">
        <v>9071</v>
      </c>
      <c r="I1083" s="235" t="s">
        <v>9071</v>
      </c>
      <c r="J1083" s="235" t="s">
        <v>9072</v>
      </c>
      <c r="K1083" s="235" t="s">
        <v>9073</v>
      </c>
      <c r="N1083" s="235" t="s">
        <v>71</v>
      </c>
      <c r="O1083" s="235" t="s">
        <v>240</v>
      </c>
      <c r="P1083" s="238">
        <v>1.0</v>
      </c>
      <c r="Q1083" s="235" t="s">
        <v>627</v>
      </c>
      <c r="R1083" s="238">
        <v>246.67</v>
      </c>
      <c r="S1083" s="238">
        <v>12.33</v>
      </c>
      <c r="T1083" s="238">
        <v>38.1</v>
      </c>
      <c r="U1083" s="238">
        <v>1.9</v>
      </c>
      <c r="V1083" s="238">
        <v>0.0</v>
      </c>
      <c r="W1083" s="238">
        <v>0.0</v>
      </c>
      <c r="X1083" s="235" t="s">
        <v>628</v>
      </c>
      <c r="Z1083" s="244"/>
      <c r="AA1083" s="244"/>
      <c r="AB1083" s="244"/>
      <c r="AC1083" s="235" t="s">
        <v>9074</v>
      </c>
      <c r="AD1083" s="235" t="s">
        <v>965</v>
      </c>
      <c r="AE1083" s="238">
        <v>175131.0</v>
      </c>
      <c r="AF1083" s="235" t="s">
        <v>631</v>
      </c>
      <c r="AG1083" s="244"/>
      <c r="AH1083" s="244"/>
      <c r="AI1083" s="245"/>
      <c r="AJ1083" s="245"/>
      <c r="AK1083" s="245"/>
      <c r="AL1083" s="245"/>
      <c r="AM1083" s="244"/>
      <c r="AN1083" s="244"/>
      <c r="AO1083" s="238">
        <v>0.0</v>
      </c>
      <c r="AP1083" s="238">
        <v>-38.1</v>
      </c>
      <c r="AQ1083" s="235" t="s">
        <v>632</v>
      </c>
      <c r="AR1083" s="243">
        <v>3.71E11</v>
      </c>
      <c r="AS1083" s="235" t="s">
        <v>4697</v>
      </c>
      <c r="AT1083" s="235" t="s">
        <v>14</v>
      </c>
      <c r="AU1083" s="235" t="s">
        <v>634</v>
      </c>
      <c r="AV1083" s="246" t="s">
        <v>635</v>
      </c>
      <c r="AW1083" s="242"/>
      <c r="AX1083" s="242"/>
      <c r="AY1083" s="231"/>
      <c r="AZ1083" s="231"/>
      <c r="BA1083" s="227"/>
      <c r="BB1083" s="231"/>
      <c r="BC1083" s="227"/>
      <c r="BD1083" s="227"/>
      <c r="BE1083" s="227"/>
      <c r="BF1083" s="227"/>
    </row>
    <row r="1084">
      <c r="A1084" s="235" t="s">
        <v>9075</v>
      </c>
      <c r="C1084" s="235" t="s">
        <v>9076</v>
      </c>
      <c r="D1084" s="235" t="s">
        <v>9077</v>
      </c>
      <c r="E1084" s="243">
        <v>6.54E13</v>
      </c>
      <c r="F1084" s="245"/>
      <c r="G1084" s="235" t="s">
        <v>9078</v>
      </c>
      <c r="H1084" s="235" t="s">
        <v>9079</v>
      </c>
      <c r="I1084" s="235" t="s">
        <v>9079</v>
      </c>
      <c r="J1084" s="235" t="s">
        <v>9080</v>
      </c>
      <c r="K1084" s="235" t="s">
        <v>9081</v>
      </c>
      <c r="N1084" s="235" t="s">
        <v>136</v>
      </c>
      <c r="O1084" s="235" t="s">
        <v>256</v>
      </c>
      <c r="P1084" s="238">
        <v>1.0</v>
      </c>
      <c r="Q1084" s="235" t="s">
        <v>627</v>
      </c>
      <c r="R1084" s="238">
        <v>270.48</v>
      </c>
      <c r="S1084" s="238">
        <v>13.52</v>
      </c>
      <c r="T1084" s="238">
        <v>0.0</v>
      </c>
      <c r="U1084" s="238">
        <v>0.0</v>
      </c>
      <c r="V1084" s="238">
        <v>0.0</v>
      </c>
      <c r="W1084" s="238">
        <v>0.0</v>
      </c>
      <c r="X1084" s="235" t="s">
        <v>628</v>
      </c>
      <c r="Z1084" s="244"/>
      <c r="AA1084" s="244"/>
      <c r="AB1084" s="244"/>
      <c r="AC1084" s="235" t="s">
        <v>1058</v>
      </c>
      <c r="AD1084" s="235" t="s">
        <v>845</v>
      </c>
      <c r="AE1084" s="238">
        <v>400024.0</v>
      </c>
      <c r="AF1084" s="235" t="s">
        <v>631</v>
      </c>
      <c r="AG1084" s="244"/>
      <c r="AH1084" s="244"/>
      <c r="AI1084" s="245"/>
      <c r="AJ1084" s="245"/>
      <c r="AK1084" s="245"/>
      <c r="AL1084" s="245"/>
      <c r="AM1084" s="244"/>
      <c r="AN1084" s="244"/>
      <c r="AO1084" s="238">
        <v>0.0</v>
      </c>
      <c r="AP1084" s="238">
        <v>0.0</v>
      </c>
      <c r="AQ1084" s="235" t="s">
        <v>632</v>
      </c>
      <c r="AR1084" s="243">
        <v>3.71E11</v>
      </c>
      <c r="AS1084" s="235" t="s">
        <v>7365</v>
      </c>
      <c r="AT1084" s="235" t="s">
        <v>16</v>
      </c>
      <c r="AU1084" s="235" t="s">
        <v>634</v>
      </c>
      <c r="AV1084" s="246" t="s">
        <v>635</v>
      </c>
      <c r="AW1084" s="242"/>
      <c r="AX1084" s="242"/>
      <c r="AY1084" s="231"/>
      <c r="AZ1084" s="231"/>
      <c r="BA1084" s="227"/>
      <c r="BB1084" s="231"/>
      <c r="BC1084" s="227"/>
      <c r="BD1084" s="227"/>
      <c r="BE1084" s="227"/>
      <c r="BF1084" s="227"/>
    </row>
    <row r="1085">
      <c r="A1085" s="235" t="s">
        <v>9082</v>
      </c>
      <c r="C1085" s="235" t="s">
        <v>9083</v>
      </c>
      <c r="D1085" s="235" t="s">
        <v>9084</v>
      </c>
      <c r="E1085" s="243">
        <v>6.56E13</v>
      </c>
      <c r="F1085" s="245"/>
      <c r="G1085" s="235" t="s">
        <v>9085</v>
      </c>
      <c r="H1085" s="235" t="s">
        <v>9086</v>
      </c>
      <c r="I1085" s="235" t="s">
        <v>9086</v>
      </c>
      <c r="J1085" s="235" t="s">
        <v>9087</v>
      </c>
      <c r="K1085" s="235" t="s">
        <v>9088</v>
      </c>
      <c r="N1085" s="235" t="s">
        <v>127</v>
      </c>
      <c r="O1085" s="235" t="s">
        <v>794</v>
      </c>
      <c r="P1085" s="238">
        <v>1.0</v>
      </c>
      <c r="Q1085" s="235" t="s">
        <v>627</v>
      </c>
      <c r="R1085" s="238">
        <v>246.67</v>
      </c>
      <c r="S1085" s="238">
        <v>12.33</v>
      </c>
      <c r="T1085" s="238">
        <v>38.1</v>
      </c>
      <c r="U1085" s="238">
        <v>1.9</v>
      </c>
      <c r="V1085" s="238">
        <v>0.0</v>
      </c>
      <c r="W1085" s="238">
        <v>0.0</v>
      </c>
      <c r="X1085" s="235" t="s">
        <v>628</v>
      </c>
      <c r="Z1085" s="244"/>
      <c r="AA1085" s="244"/>
      <c r="AB1085" s="244"/>
      <c r="AC1085" s="235" t="s">
        <v>1085</v>
      </c>
      <c r="AD1085" s="235" t="s">
        <v>1086</v>
      </c>
      <c r="AE1085" s="238">
        <v>141003.0</v>
      </c>
      <c r="AF1085" s="235" t="s">
        <v>631</v>
      </c>
      <c r="AG1085" s="244"/>
      <c r="AH1085" s="244"/>
      <c r="AI1085" s="245"/>
      <c r="AJ1085" s="245"/>
      <c r="AK1085" s="245"/>
      <c r="AL1085" s="245"/>
      <c r="AM1085" s="244"/>
      <c r="AN1085" s="244"/>
      <c r="AO1085" s="238">
        <v>0.0</v>
      </c>
      <c r="AP1085" s="238">
        <v>-38.1</v>
      </c>
      <c r="AQ1085" s="235" t="s">
        <v>632</v>
      </c>
      <c r="AR1085" s="243">
        <v>3.71E11</v>
      </c>
      <c r="AS1085" s="235" t="s">
        <v>6164</v>
      </c>
      <c r="AT1085" s="235" t="s">
        <v>14</v>
      </c>
      <c r="AU1085" s="235" t="s">
        <v>634</v>
      </c>
      <c r="AV1085" s="246" t="s">
        <v>635</v>
      </c>
      <c r="AW1085" s="242"/>
      <c r="AX1085" s="242"/>
      <c r="AY1085" s="231"/>
      <c r="AZ1085" s="231"/>
      <c r="BA1085" s="227"/>
      <c r="BB1085" s="231"/>
      <c r="BC1085" s="227"/>
      <c r="BD1085" s="227"/>
      <c r="BE1085" s="227"/>
      <c r="BF1085" s="227"/>
    </row>
    <row r="1086">
      <c r="A1086" s="235" t="s">
        <v>9089</v>
      </c>
      <c r="C1086" s="235" t="s">
        <v>9091</v>
      </c>
      <c r="D1086" s="235" t="s">
        <v>9092</v>
      </c>
      <c r="E1086" s="243">
        <v>6.55E13</v>
      </c>
      <c r="F1086" s="245"/>
      <c r="G1086" s="235" t="s">
        <v>9093</v>
      </c>
      <c r="H1086" s="235" t="s">
        <v>9094</v>
      </c>
      <c r="I1086" s="235" t="s">
        <v>9094</v>
      </c>
      <c r="J1086" s="235" t="s">
        <v>9095</v>
      </c>
      <c r="K1086" s="235" t="s">
        <v>9096</v>
      </c>
      <c r="N1086" s="235" t="s">
        <v>92</v>
      </c>
      <c r="O1086" s="235" t="s">
        <v>248</v>
      </c>
      <c r="P1086" s="238">
        <v>1.0</v>
      </c>
      <c r="Q1086" s="235" t="s">
        <v>627</v>
      </c>
      <c r="R1086" s="238">
        <v>246.67</v>
      </c>
      <c r="S1086" s="238">
        <v>12.33</v>
      </c>
      <c r="T1086" s="238">
        <v>0.0</v>
      </c>
      <c r="U1086" s="238">
        <v>0.0</v>
      </c>
      <c r="V1086" s="238">
        <v>0.0</v>
      </c>
      <c r="W1086" s="238">
        <v>0.0</v>
      </c>
      <c r="X1086" s="235" t="s">
        <v>628</v>
      </c>
      <c r="Z1086" s="244"/>
      <c r="AA1086" s="244"/>
      <c r="AB1086" s="244"/>
      <c r="AC1086" s="235" t="s">
        <v>9097</v>
      </c>
      <c r="AD1086" s="235" t="s">
        <v>645</v>
      </c>
      <c r="AE1086" s="238">
        <v>690508.0</v>
      </c>
      <c r="AF1086" s="235" t="s">
        <v>631</v>
      </c>
      <c r="AG1086" s="244"/>
      <c r="AH1086" s="244"/>
      <c r="AI1086" s="245"/>
      <c r="AJ1086" s="245"/>
      <c r="AK1086" s="245"/>
      <c r="AL1086" s="245"/>
      <c r="AM1086" s="244"/>
      <c r="AN1086" s="244"/>
      <c r="AO1086" s="238">
        <v>0.0</v>
      </c>
      <c r="AP1086" s="238">
        <v>0.0</v>
      </c>
      <c r="AQ1086" s="235" t="s">
        <v>632</v>
      </c>
      <c r="AR1086" s="243">
        <v>3.71E11</v>
      </c>
      <c r="AS1086" s="235" t="s">
        <v>6164</v>
      </c>
      <c r="AT1086" s="235" t="s">
        <v>155</v>
      </c>
      <c r="AU1086" s="235" t="s">
        <v>634</v>
      </c>
      <c r="AV1086" s="246" t="s">
        <v>635</v>
      </c>
      <c r="AW1086" s="242"/>
      <c r="AX1086" s="242"/>
      <c r="AY1086" s="231"/>
      <c r="AZ1086" s="231"/>
      <c r="BA1086" s="227"/>
      <c r="BB1086" s="231"/>
      <c r="BC1086" s="227"/>
      <c r="BD1086" s="227"/>
      <c r="BE1086" s="227"/>
      <c r="BF1086" s="227"/>
    </row>
    <row r="1087">
      <c r="A1087" s="235" t="s">
        <v>9098</v>
      </c>
      <c r="C1087" s="235" t="s">
        <v>9099</v>
      </c>
      <c r="D1087" s="235" t="s">
        <v>9100</v>
      </c>
      <c r="E1087" s="243">
        <v>6.55E13</v>
      </c>
      <c r="F1087" s="245"/>
      <c r="G1087" s="235" t="s">
        <v>9101</v>
      </c>
      <c r="H1087" s="235" t="s">
        <v>9102</v>
      </c>
      <c r="I1087" s="235" t="s">
        <v>9102</v>
      </c>
      <c r="J1087" s="235" t="s">
        <v>9103</v>
      </c>
      <c r="K1087" s="235" t="s">
        <v>9104</v>
      </c>
      <c r="N1087" s="235" t="s">
        <v>962</v>
      </c>
      <c r="O1087" s="235" t="s">
        <v>963</v>
      </c>
      <c r="P1087" s="238">
        <v>1.0</v>
      </c>
      <c r="Q1087" s="235" t="s">
        <v>627</v>
      </c>
      <c r="R1087" s="238">
        <v>242.86</v>
      </c>
      <c r="S1087" s="238">
        <v>12.14</v>
      </c>
      <c r="T1087" s="238">
        <v>0.0</v>
      </c>
      <c r="U1087" s="238">
        <v>0.0</v>
      </c>
      <c r="V1087" s="238">
        <v>0.0</v>
      </c>
      <c r="W1087" s="238">
        <v>0.0</v>
      </c>
      <c r="X1087" s="235" t="s">
        <v>628</v>
      </c>
      <c r="Z1087" s="244"/>
      <c r="AA1087" s="244"/>
      <c r="AB1087" s="244"/>
      <c r="AC1087" s="235" t="s">
        <v>1800</v>
      </c>
      <c r="AD1087" s="235" t="s">
        <v>845</v>
      </c>
      <c r="AE1087" s="238">
        <v>421302.0</v>
      </c>
      <c r="AF1087" s="235" t="s">
        <v>631</v>
      </c>
      <c r="AG1087" s="244"/>
      <c r="AH1087" s="244"/>
      <c r="AI1087" s="245"/>
      <c r="AJ1087" s="245"/>
      <c r="AK1087" s="245"/>
      <c r="AL1087" s="245"/>
      <c r="AM1087" s="244"/>
      <c r="AN1087" s="244"/>
      <c r="AO1087" s="238">
        <v>0.0</v>
      </c>
      <c r="AP1087" s="238">
        <v>0.0</v>
      </c>
      <c r="AQ1087" s="235" t="s">
        <v>632</v>
      </c>
      <c r="AR1087" s="243">
        <v>3.71E11</v>
      </c>
      <c r="AS1087" s="235" t="s">
        <v>7365</v>
      </c>
      <c r="AT1087" s="235" t="s">
        <v>16</v>
      </c>
      <c r="AU1087" s="235" t="s">
        <v>634</v>
      </c>
      <c r="AV1087" s="246" t="s">
        <v>635</v>
      </c>
      <c r="AW1087" s="242"/>
      <c r="AX1087" s="242"/>
      <c r="AY1087" s="231"/>
      <c r="AZ1087" s="231"/>
      <c r="BA1087" s="227"/>
      <c r="BB1087" s="231"/>
      <c r="BC1087" s="227"/>
      <c r="BD1087" s="227"/>
      <c r="BE1087" s="227"/>
      <c r="BF1087" s="227"/>
    </row>
    <row r="1088">
      <c r="A1088" s="235" t="s">
        <v>9105</v>
      </c>
      <c r="C1088" s="235" t="s">
        <v>9106</v>
      </c>
      <c r="D1088" s="235" t="s">
        <v>9107</v>
      </c>
      <c r="E1088" s="243">
        <v>6.56E13</v>
      </c>
      <c r="F1088" s="245"/>
      <c r="G1088" s="235" t="s">
        <v>9108</v>
      </c>
      <c r="H1088" s="235" t="s">
        <v>9109</v>
      </c>
      <c r="I1088" s="235" t="s">
        <v>9109</v>
      </c>
      <c r="J1088" s="235" t="s">
        <v>9110</v>
      </c>
      <c r="K1088" s="235" t="s">
        <v>9111</v>
      </c>
      <c r="N1088" s="235" t="s">
        <v>3</v>
      </c>
      <c r="O1088" s="235" t="s">
        <v>654</v>
      </c>
      <c r="P1088" s="238">
        <v>1.0</v>
      </c>
      <c r="Q1088" s="235" t="s">
        <v>627</v>
      </c>
      <c r="R1088" s="238">
        <v>265.72</v>
      </c>
      <c r="S1088" s="238">
        <v>13.02</v>
      </c>
      <c r="T1088" s="238">
        <v>0.0</v>
      </c>
      <c r="U1088" s="238">
        <v>0.0</v>
      </c>
      <c r="V1088" s="238">
        <v>0.0</v>
      </c>
      <c r="W1088" s="238">
        <v>0.0</v>
      </c>
      <c r="X1088" s="235" t="s">
        <v>628</v>
      </c>
      <c r="Z1088" s="244"/>
      <c r="AA1088" s="244"/>
      <c r="AB1088" s="244"/>
      <c r="AC1088" s="235" t="s">
        <v>678</v>
      </c>
      <c r="AD1088" s="235" t="s">
        <v>679</v>
      </c>
      <c r="AE1088" s="238">
        <v>562123.0</v>
      </c>
      <c r="AF1088" s="235" t="s">
        <v>631</v>
      </c>
      <c r="AG1088" s="244"/>
      <c r="AH1088" s="244"/>
      <c r="AI1088" s="245"/>
      <c r="AJ1088" s="245"/>
      <c r="AK1088" s="245"/>
      <c r="AL1088" s="245"/>
      <c r="AM1088" s="244"/>
      <c r="AN1088" s="244"/>
      <c r="AO1088" s="238">
        <v>-5.32</v>
      </c>
      <c r="AP1088" s="238">
        <v>0.0</v>
      </c>
      <c r="AQ1088" s="235" t="s">
        <v>632</v>
      </c>
      <c r="AR1088" s="243">
        <v>3.71E11</v>
      </c>
      <c r="AS1088" s="235" t="s">
        <v>7365</v>
      </c>
      <c r="AT1088" s="235" t="s">
        <v>9</v>
      </c>
      <c r="AU1088" s="235" t="s">
        <v>634</v>
      </c>
      <c r="AV1088" s="246" t="s">
        <v>635</v>
      </c>
      <c r="AW1088" s="242"/>
      <c r="AX1088" s="242"/>
      <c r="AY1088" s="231"/>
      <c r="AZ1088" s="231"/>
      <c r="BA1088" s="227"/>
      <c r="BB1088" s="231"/>
      <c r="BC1088" s="227"/>
      <c r="BD1088" s="227"/>
      <c r="BE1088" s="227"/>
      <c r="BF1088" s="227"/>
    </row>
    <row r="1089">
      <c r="A1089" s="235" t="s">
        <v>9112</v>
      </c>
      <c r="C1089" s="235" t="s">
        <v>9113</v>
      </c>
      <c r="D1089" s="235" t="s">
        <v>9114</v>
      </c>
      <c r="E1089" s="243">
        <v>6.55E13</v>
      </c>
      <c r="F1089" s="245"/>
      <c r="G1089" s="235" t="s">
        <v>9115</v>
      </c>
      <c r="H1089" s="235" t="s">
        <v>9116</v>
      </c>
      <c r="I1089" s="235" t="s">
        <v>9116</v>
      </c>
      <c r="J1089" s="235" t="s">
        <v>9117</v>
      </c>
      <c r="K1089" s="235" t="s">
        <v>9118</v>
      </c>
      <c r="N1089" s="235" t="s">
        <v>145</v>
      </c>
      <c r="O1089" s="235" t="s">
        <v>370</v>
      </c>
      <c r="P1089" s="238">
        <v>1.0</v>
      </c>
      <c r="Q1089" s="235" t="s">
        <v>627</v>
      </c>
      <c r="R1089" s="238">
        <v>1522.86</v>
      </c>
      <c r="S1089" s="238">
        <v>76.14</v>
      </c>
      <c r="T1089" s="238">
        <v>0.0</v>
      </c>
      <c r="U1089" s="238">
        <v>0.0</v>
      </c>
      <c r="V1089" s="238">
        <v>0.0</v>
      </c>
      <c r="W1089" s="238">
        <v>0.0</v>
      </c>
      <c r="X1089" s="235" t="s">
        <v>628</v>
      </c>
      <c r="Z1089" s="244"/>
      <c r="AA1089" s="244"/>
      <c r="AB1089" s="244"/>
      <c r="AC1089" s="235" t="s">
        <v>9119</v>
      </c>
      <c r="AD1089" s="235" t="s">
        <v>845</v>
      </c>
      <c r="AE1089" s="238">
        <v>416416.0</v>
      </c>
      <c r="AF1089" s="235" t="s">
        <v>631</v>
      </c>
      <c r="AG1089" s="244"/>
      <c r="AH1089" s="244"/>
      <c r="AI1089" s="245"/>
      <c r="AJ1089" s="245"/>
      <c r="AK1089" s="245"/>
      <c r="AL1089" s="245"/>
      <c r="AM1089" s="244"/>
      <c r="AN1089" s="244"/>
      <c r="AO1089" s="238">
        <v>0.0</v>
      </c>
      <c r="AP1089" s="238">
        <v>0.0</v>
      </c>
      <c r="AQ1089" s="235" t="s">
        <v>632</v>
      </c>
      <c r="AR1089" s="243">
        <v>1.68E11</v>
      </c>
      <c r="AS1089" s="235" t="s">
        <v>7365</v>
      </c>
      <c r="AT1089" s="235" t="s">
        <v>17</v>
      </c>
      <c r="AU1089" s="235" t="s">
        <v>634</v>
      </c>
      <c r="AV1089" s="246" t="s">
        <v>635</v>
      </c>
      <c r="AW1089" s="242"/>
      <c r="AX1089" s="242"/>
      <c r="AY1089" s="231"/>
      <c r="AZ1089" s="231"/>
      <c r="BA1089" s="227"/>
      <c r="BB1089" s="231"/>
      <c r="BC1089" s="227"/>
      <c r="BD1089" s="227"/>
      <c r="BE1089" s="227"/>
      <c r="BF1089" s="227"/>
    </row>
    <row r="1090">
      <c r="A1090" s="235" t="s">
        <v>9120</v>
      </c>
      <c r="C1090" s="235" t="s">
        <v>9121</v>
      </c>
      <c r="D1090" s="235" t="s">
        <v>9122</v>
      </c>
      <c r="E1090" s="243">
        <v>6.55E13</v>
      </c>
      <c r="F1090" s="245"/>
      <c r="G1090" s="235" t="s">
        <v>9123</v>
      </c>
      <c r="H1090" s="235" t="s">
        <v>9124</v>
      </c>
      <c r="I1090" s="235" t="s">
        <v>9124</v>
      </c>
      <c r="J1090" s="235" t="s">
        <v>9125</v>
      </c>
      <c r="K1090" s="235" t="s">
        <v>9126</v>
      </c>
      <c r="N1090" s="235" t="s">
        <v>0</v>
      </c>
      <c r="O1090" s="235" t="s">
        <v>740</v>
      </c>
      <c r="P1090" s="238">
        <v>1.0</v>
      </c>
      <c r="Q1090" s="235" t="s">
        <v>627</v>
      </c>
      <c r="R1090" s="238">
        <v>265.71</v>
      </c>
      <c r="S1090" s="238">
        <v>12.63</v>
      </c>
      <c r="T1090" s="238">
        <v>38.1</v>
      </c>
      <c r="U1090" s="238">
        <v>1.9</v>
      </c>
      <c r="V1090" s="238">
        <v>0.0</v>
      </c>
      <c r="W1090" s="238">
        <v>0.0</v>
      </c>
      <c r="X1090" s="235" t="s">
        <v>628</v>
      </c>
      <c r="Z1090" s="244"/>
      <c r="AA1090" s="244"/>
      <c r="AB1090" s="244"/>
      <c r="AC1090" s="235" t="s">
        <v>9127</v>
      </c>
      <c r="AD1090" s="235" t="s">
        <v>645</v>
      </c>
      <c r="AE1090" s="238">
        <v>673001.0</v>
      </c>
      <c r="AF1090" s="235" t="s">
        <v>631</v>
      </c>
      <c r="AG1090" s="244"/>
      <c r="AH1090" s="244"/>
      <c r="AI1090" s="245"/>
      <c r="AJ1090" s="245"/>
      <c r="AK1090" s="245"/>
      <c r="AL1090" s="245"/>
      <c r="AM1090" s="244"/>
      <c r="AN1090" s="244"/>
      <c r="AO1090" s="238">
        <v>-13.29</v>
      </c>
      <c r="AP1090" s="238">
        <v>-38.1</v>
      </c>
      <c r="AQ1090" s="235" t="s">
        <v>632</v>
      </c>
      <c r="AR1090" s="243">
        <v>3.71E11</v>
      </c>
      <c r="AS1090" s="235" t="s">
        <v>6164</v>
      </c>
      <c r="AT1090" s="235" t="s">
        <v>11</v>
      </c>
      <c r="AU1090" s="235" t="s">
        <v>634</v>
      </c>
      <c r="AV1090" s="246" t="s">
        <v>635</v>
      </c>
      <c r="AW1090" s="242"/>
      <c r="AX1090" s="242"/>
      <c r="AY1090" s="231"/>
      <c r="AZ1090" s="231"/>
      <c r="BA1090" s="227"/>
      <c r="BB1090" s="231"/>
      <c r="BC1090" s="227"/>
      <c r="BD1090" s="227"/>
      <c r="BE1090" s="227"/>
      <c r="BF1090" s="227"/>
    </row>
    <row r="1091">
      <c r="A1091" s="235" t="s">
        <v>9120</v>
      </c>
      <c r="C1091" s="235" t="s">
        <v>9121</v>
      </c>
      <c r="D1091" s="235" t="s">
        <v>9128</v>
      </c>
      <c r="E1091" s="243">
        <v>6.55E13</v>
      </c>
      <c r="F1091" s="245"/>
      <c r="G1091" s="235" t="s">
        <v>9123</v>
      </c>
      <c r="H1091" s="235" t="s">
        <v>9124</v>
      </c>
      <c r="I1091" s="235" t="s">
        <v>9124</v>
      </c>
      <c r="J1091" s="235" t="s">
        <v>9125</v>
      </c>
      <c r="K1091" s="235" t="s">
        <v>9126</v>
      </c>
      <c r="N1091" s="235" t="s">
        <v>0</v>
      </c>
      <c r="O1091" s="235" t="s">
        <v>740</v>
      </c>
      <c r="P1091" s="238">
        <v>1.0</v>
      </c>
      <c r="Q1091" s="235" t="s">
        <v>627</v>
      </c>
      <c r="R1091" s="238">
        <v>265.71</v>
      </c>
      <c r="S1091" s="238">
        <v>12.63</v>
      </c>
      <c r="T1091" s="238">
        <v>38.1</v>
      </c>
      <c r="U1091" s="238">
        <v>1.9</v>
      </c>
      <c r="V1091" s="238">
        <v>0.0</v>
      </c>
      <c r="W1091" s="238">
        <v>0.0</v>
      </c>
      <c r="X1091" s="235" t="s">
        <v>628</v>
      </c>
      <c r="Z1091" s="244"/>
      <c r="AA1091" s="244"/>
      <c r="AB1091" s="244"/>
      <c r="AC1091" s="235" t="s">
        <v>9127</v>
      </c>
      <c r="AD1091" s="235" t="s">
        <v>645</v>
      </c>
      <c r="AE1091" s="238">
        <v>673001.0</v>
      </c>
      <c r="AF1091" s="235" t="s">
        <v>631</v>
      </c>
      <c r="AG1091" s="244"/>
      <c r="AH1091" s="244"/>
      <c r="AI1091" s="245"/>
      <c r="AJ1091" s="245"/>
      <c r="AK1091" s="245"/>
      <c r="AL1091" s="245"/>
      <c r="AM1091" s="244"/>
      <c r="AN1091" s="244"/>
      <c r="AO1091" s="238">
        <v>-13.29</v>
      </c>
      <c r="AP1091" s="238">
        <v>-38.1</v>
      </c>
      <c r="AQ1091" s="235" t="s">
        <v>632</v>
      </c>
      <c r="AR1091" s="243">
        <v>3.71E11</v>
      </c>
      <c r="AS1091" s="235" t="s">
        <v>6164</v>
      </c>
      <c r="AT1091" s="235" t="s">
        <v>11</v>
      </c>
      <c r="AU1091" s="235" t="s">
        <v>634</v>
      </c>
      <c r="AV1091" s="246" t="s">
        <v>635</v>
      </c>
      <c r="AW1091" s="242"/>
      <c r="AX1091" s="242"/>
      <c r="AY1091" s="231"/>
      <c r="AZ1091" s="231"/>
      <c r="BA1091" s="227"/>
      <c r="BB1091" s="231"/>
      <c r="BC1091" s="227"/>
      <c r="BD1091" s="227"/>
      <c r="BE1091" s="227"/>
      <c r="BF1091" s="227"/>
    </row>
    <row r="1092">
      <c r="A1092" s="235" t="s">
        <v>9120</v>
      </c>
      <c r="C1092" s="235" t="s">
        <v>9121</v>
      </c>
      <c r="D1092" s="235" t="s">
        <v>9129</v>
      </c>
      <c r="E1092" s="243">
        <v>6.55E13</v>
      </c>
      <c r="F1092" s="245"/>
      <c r="G1092" s="235" t="s">
        <v>9123</v>
      </c>
      <c r="H1092" s="235" t="s">
        <v>9124</v>
      </c>
      <c r="I1092" s="235" t="s">
        <v>9124</v>
      </c>
      <c r="J1092" s="235" t="s">
        <v>9125</v>
      </c>
      <c r="K1092" s="235" t="s">
        <v>9126</v>
      </c>
      <c r="N1092" s="235" t="s">
        <v>0</v>
      </c>
      <c r="O1092" s="235" t="s">
        <v>740</v>
      </c>
      <c r="P1092" s="238">
        <v>1.0</v>
      </c>
      <c r="Q1092" s="235" t="s">
        <v>627</v>
      </c>
      <c r="R1092" s="238">
        <v>265.71</v>
      </c>
      <c r="S1092" s="238">
        <v>12.63</v>
      </c>
      <c r="T1092" s="238">
        <v>38.1</v>
      </c>
      <c r="U1092" s="238">
        <v>1.9</v>
      </c>
      <c r="V1092" s="238">
        <v>0.0</v>
      </c>
      <c r="W1092" s="238">
        <v>0.0</v>
      </c>
      <c r="X1092" s="235" t="s">
        <v>628</v>
      </c>
      <c r="Z1092" s="244"/>
      <c r="AA1092" s="244"/>
      <c r="AB1092" s="244"/>
      <c r="AC1092" s="235" t="s">
        <v>9127</v>
      </c>
      <c r="AD1092" s="235" t="s">
        <v>645</v>
      </c>
      <c r="AE1092" s="238">
        <v>673001.0</v>
      </c>
      <c r="AF1092" s="235" t="s">
        <v>631</v>
      </c>
      <c r="AG1092" s="244"/>
      <c r="AH1092" s="244"/>
      <c r="AI1092" s="245"/>
      <c r="AJ1092" s="245"/>
      <c r="AK1092" s="245"/>
      <c r="AL1092" s="245"/>
      <c r="AM1092" s="244"/>
      <c r="AN1092" s="244"/>
      <c r="AO1092" s="238">
        <v>-13.29</v>
      </c>
      <c r="AP1092" s="238">
        <v>-38.1</v>
      </c>
      <c r="AQ1092" s="235" t="s">
        <v>632</v>
      </c>
      <c r="AR1092" s="243">
        <v>3.71E11</v>
      </c>
      <c r="AS1092" s="235" t="s">
        <v>6164</v>
      </c>
      <c r="AT1092" s="235" t="s">
        <v>11</v>
      </c>
      <c r="AU1092" s="235" t="s">
        <v>634</v>
      </c>
      <c r="AV1092" s="246" t="s">
        <v>635</v>
      </c>
      <c r="AW1092" s="242"/>
      <c r="AX1092" s="242"/>
      <c r="AY1092" s="231"/>
      <c r="AZ1092" s="231"/>
      <c r="BA1092" s="227"/>
      <c r="BB1092" s="231"/>
      <c r="BC1092" s="227"/>
      <c r="BD1092" s="227"/>
      <c r="BE1092" s="227"/>
      <c r="BF1092" s="227"/>
    </row>
    <row r="1093">
      <c r="A1093" s="235" t="s">
        <v>9120</v>
      </c>
      <c r="C1093" s="235" t="s">
        <v>9121</v>
      </c>
      <c r="D1093" s="235" t="s">
        <v>9130</v>
      </c>
      <c r="E1093" s="243">
        <v>6.55E13</v>
      </c>
      <c r="F1093" s="245"/>
      <c r="G1093" s="235" t="s">
        <v>9123</v>
      </c>
      <c r="H1093" s="235" t="s">
        <v>9124</v>
      </c>
      <c r="I1093" s="235" t="s">
        <v>9124</v>
      </c>
      <c r="J1093" s="235" t="s">
        <v>9125</v>
      </c>
      <c r="K1093" s="235" t="s">
        <v>9126</v>
      </c>
      <c r="N1093" s="235" t="s">
        <v>0</v>
      </c>
      <c r="O1093" s="235" t="s">
        <v>740</v>
      </c>
      <c r="P1093" s="238">
        <v>1.0</v>
      </c>
      <c r="Q1093" s="235" t="s">
        <v>627</v>
      </c>
      <c r="R1093" s="238">
        <v>265.71</v>
      </c>
      <c r="S1093" s="238">
        <v>12.63</v>
      </c>
      <c r="T1093" s="238">
        <v>38.1</v>
      </c>
      <c r="U1093" s="238">
        <v>1.9</v>
      </c>
      <c r="V1093" s="238">
        <v>0.0</v>
      </c>
      <c r="W1093" s="238">
        <v>0.0</v>
      </c>
      <c r="X1093" s="235" t="s">
        <v>628</v>
      </c>
      <c r="Z1093" s="244"/>
      <c r="AA1093" s="244"/>
      <c r="AB1093" s="244"/>
      <c r="AC1093" s="235" t="s">
        <v>9127</v>
      </c>
      <c r="AD1093" s="235" t="s">
        <v>645</v>
      </c>
      <c r="AE1093" s="238">
        <v>673001.0</v>
      </c>
      <c r="AF1093" s="235" t="s">
        <v>631</v>
      </c>
      <c r="AG1093" s="244"/>
      <c r="AH1093" s="244"/>
      <c r="AI1093" s="245"/>
      <c r="AJ1093" s="245"/>
      <c r="AK1093" s="245"/>
      <c r="AL1093" s="245"/>
      <c r="AM1093" s="244"/>
      <c r="AN1093" s="244"/>
      <c r="AO1093" s="238">
        <v>-13.29</v>
      </c>
      <c r="AP1093" s="238">
        <v>-38.1</v>
      </c>
      <c r="AQ1093" s="235" t="s">
        <v>632</v>
      </c>
      <c r="AR1093" s="243">
        <v>3.71E11</v>
      </c>
      <c r="AS1093" s="235" t="s">
        <v>6164</v>
      </c>
      <c r="AT1093" s="235" t="s">
        <v>11</v>
      </c>
      <c r="AU1093" s="235" t="s">
        <v>634</v>
      </c>
      <c r="AV1093" s="246" t="s">
        <v>635</v>
      </c>
      <c r="AW1093" s="242"/>
      <c r="AX1093" s="242"/>
      <c r="AY1093" s="231"/>
      <c r="AZ1093" s="231"/>
      <c r="BA1093" s="227"/>
      <c r="BB1093" s="231"/>
      <c r="BC1093" s="227"/>
      <c r="BD1093" s="227"/>
      <c r="BE1093" s="227"/>
      <c r="BF1093" s="227"/>
    </row>
    <row r="1094">
      <c r="A1094" s="235" t="s">
        <v>9120</v>
      </c>
      <c r="C1094" s="235" t="s">
        <v>9121</v>
      </c>
      <c r="D1094" s="235" t="s">
        <v>9131</v>
      </c>
      <c r="E1094" s="243">
        <v>6.55E13</v>
      </c>
      <c r="F1094" s="245"/>
      <c r="G1094" s="235" t="s">
        <v>9123</v>
      </c>
      <c r="H1094" s="235" t="s">
        <v>9124</v>
      </c>
      <c r="I1094" s="235" t="s">
        <v>9124</v>
      </c>
      <c r="J1094" s="235" t="s">
        <v>9125</v>
      </c>
      <c r="K1094" s="235" t="s">
        <v>9126</v>
      </c>
      <c r="N1094" s="235" t="s">
        <v>0</v>
      </c>
      <c r="O1094" s="235" t="s">
        <v>740</v>
      </c>
      <c r="P1094" s="238">
        <v>1.0</v>
      </c>
      <c r="Q1094" s="235" t="s">
        <v>627</v>
      </c>
      <c r="R1094" s="238">
        <v>265.71</v>
      </c>
      <c r="S1094" s="238">
        <v>12.63</v>
      </c>
      <c r="T1094" s="238">
        <v>38.1</v>
      </c>
      <c r="U1094" s="238">
        <v>1.9</v>
      </c>
      <c r="V1094" s="238">
        <v>0.0</v>
      </c>
      <c r="W1094" s="238">
        <v>0.0</v>
      </c>
      <c r="X1094" s="235" t="s">
        <v>628</v>
      </c>
      <c r="Z1094" s="244"/>
      <c r="AA1094" s="244"/>
      <c r="AB1094" s="244"/>
      <c r="AC1094" s="235" t="s">
        <v>9127</v>
      </c>
      <c r="AD1094" s="235" t="s">
        <v>645</v>
      </c>
      <c r="AE1094" s="238">
        <v>673001.0</v>
      </c>
      <c r="AF1094" s="235" t="s">
        <v>631</v>
      </c>
      <c r="AG1094" s="244"/>
      <c r="AH1094" s="244"/>
      <c r="AI1094" s="245"/>
      <c r="AJ1094" s="245"/>
      <c r="AK1094" s="245"/>
      <c r="AL1094" s="245"/>
      <c r="AM1094" s="244"/>
      <c r="AN1094" s="244"/>
      <c r="AO1094" s="238">
        <v>-13.29</v>
      </c>
      <c r="AP1094" s="238">
        <v>-38.1</v>
      </c>
      <c r="AQ1094" s="235" t="s">
        <v>632</v>
      </c>
      <c r="AR1094" s="243">
        <v>3.71E11</v>
      </c>
      <c r="AS1094" s="235" t="s">
        <v>6164</v>
      </c>
      <c r="AT1094" s="235" t="s">
        <v>11</v>
      </c>
      <c r="AU1094" s="235" t="s">
        <v>634</v>
      </c>
      <c r="AV1094" s="246" t="s">
        <v>635</v>
      </c>
      <c r="AW1094" s="242"/>
      <c r="AX1094" s="242"/>
      <c r="AY1094" s="231"/>
      <c r="AZ1094" s="231"/>
      <c r="BA1094" s="227"/>
      <c r="BB1094" s="231"/>
      <c r="BC1094" s="227"/>
      <c r="BD1094" s="227"/>
      <c r="BE1094" s="227"/>
      <c r="BF1094" s="227"/>
    </row>
    <row r="1095">
      <c r="A1095" s="235" t="s">
        <v>9120</v>
      </c>
      <c r="C1095" s="235" t="s">
        <v>9121</v>
      </c>
      <c r="D1095" s="235" t="s">
        <v>9132</v>
      </c>
      <c r="E1095" s="243">
        <v>6.55E13</v>
      </c>
      <c r="F1095" s="245"/>
      <c r="G1095" s="235" t="s">
        <v>9123</v>
      </c>
      <c r="H1095" s="235" t="s">
        <v>9124</v>
      </c>
      <c r="I1095" s="235" t="s">
        <v>9124</v>
      </c>
      <c r="J1095" s="235" t="s">
        <v>9125</v>
      </c>
      <c r="K1095" s="235" t="s">
        <v>9126</v>
      </c>
      <c r="N1095" s="235" t="s">
        <v>0</v>
      </c>
      <c r="O1095" s="235" t="s">
        <v>740</v>
      </c>
      <c r="P1095" s="238">
        <v>1.0</v>
      </c>
      <c r="Q1095" s="235" t="s">
        <v>627</v>
      </c>
      <c r="R1095" s="238">
        <v>265.71</v>
      </c>
      <c r="S1095" s="238">
        <v>12.63</v>
      </c>
      <c r="T1095" s="238">
        <v>38.1</v>
      </c>
      <c r="U1095" s="238">
        <v>1.9</v>
      </c>
      <c r="V1095" s="238">
        <v>0.0</v>
      </c>
      <c r="W1095" s="238">
        <v>0.0</v>
      </c>
      <c r="X1095" s="235" t="s">
        <v>628</v>
      </c>
      <c r="Z1095" s="244"/>
      <c r="AA1095" s="244"/>
      <c r="AB1095" s="244"/>
      <c r="AC1095" s="235" t="s">
        <v>9127</v>
      </c>
      <c r="AD1095" s="235" t="s">
        <v>645</v>
      </c>
      <c r="AE1095" s="238">
        <v>673001.0</v>
      </c>
      <c r="AF1095" s="235" t="s">
        <v>631</v>
      </c>
      <c r="AG1095" s="244"/>
      <c r="AH1095" s="244"/>
      <c r="AI1095" s="245"/>
      <c r="AJ1095" s="245"/>
      <c r="AK1095" s="245"/>
      <c r="AL1095" s="245"/>
      <c r="AM1095" s="244"/>
      <c r="AN1095" s="244"/>
      <c r="AO1095" s="238">
        <v>-13.29</v>
      </c>
      <c r="AP1095" s="238">
        <v>-38.1</v>
      </c>
      <c r="AQ1095" s="235" t="s">
        <v>632</v>
      </c>
      <c r="AR1095" s="243">
        <v>3.71E11</v>
      </c>
      <c r="AS1095" s="235" t="s">
        <v>6164</v>
      </c>
      <c r="AT1095" s="235" t="s">
        <v>11</v>
      </c>
      <c r="AU1095" s="235" t="s">
        <v>634</v>
      </c>
      <c r="AV1095" s="246" t="s">
        <v>635</v>
      </c>
      <c r="AW1095" s="242"/>
      <c r="AX1095" s="242"/>
      <c r="AY1095" s="231"/>
      <c r="AZ1095" s="231"/>
      <c r="BA1095" s="227"/>
      <c r="BB1095" s="231"/>
      <c r="BC1095" s="227"/>
      <c r="BD1095" s="227"/>
      <c r="BE1095" s="227"/>
      <c r="BF1095" s="227"/>
    </row>
    <row r="1096">
      <c r="A1096" s="235" t="s">
        <v>9133</v>
      </c>
      <c r="C1096" s="235" t="s">
        <v>9134</v>
      </c>
      <c r="D1096" s="235" t="s">
        <v>9135</v>
      </c>
      <c r="E1096" s="243">
        <v>6.56E13</v>
      </c>
      <c r="F1096" s="245"/>
      <c r="G1096" s="235" t="s">
        <v>9136</v>
      </c>
      <c r="H1096" s="235" t="s">
        <v>9137</v>
      </c>
      <c r="I1096" s="235" t="s">
        <v>9137</v>
      </c>
      <c r="J1096" s="235" t="s">
        <v>9138</v>
      </c>
      <c r="K1096" s="235" t="s">
        <v>9139</v>
      </c>
      <c r="N1096" s="235" t="s">
        <v>43</v>
      </c>
      <c r="O1096" s="235" t="s">
        <v>276</v>
      </c>
      <c r="P1096" s="238">
        <v>1.0</v>
      </c>
      <c r="Q1096" s="235" t="s">
        <v>627</v>
      </c>
      <c r="R1096" s="238">
        <v>237.14</v>
      </c>
      <c r="S1096" s="238">
        <v>11.86</v>
      </c>
      <c r="T1096" s="238">
        <v>0.0</v>
      </c>
      <c r="U1096" s="238">
        <v>0.0</v>
      </c>
      <c r="V1096" s="238">
        <v>0.0</v>
      </c>
      <c r="W1096" s="238">
        <v>0.0</v>
      </c>
      <c r="X1096" s="235" t="s">
        <v>628</v>
      </c>
      <c r="Z1096" s="244"/>
      <c r="AA1096" s="244"/>
      <c r="AB1096" s="244"/>
      <c r="AC1096" s="235" t="s">
        <v>1320</v>
      </c>
      <c r="AD1096" s="235" t="s">
        <v>666</v>
      </c>
      <c r="AE1096" s="238">
        <v>600037.0</v>
      </c>
      <c r="AF1096" s="235" t="s">
        <v>631</v>
      </c>
      <c r="AG1096" s="244"/>
      <c r="AH1096" s="244"/>
      <c r="AI1096" s="245"/>
      <c r="AJ1096" s="245"/>
      <c r="AK1096" s="245"/>
      <c r="AL1096" s="245"/>
      <c r="AM1096" s="244"/>
      <c r="AN1096" s="244"/>
      <c r="AO1096" s="238">
        <v>0.0</v>
      </c>
      <c r="AP1096" s="238">
        <v>0.0</v>
      </c>
      <c r="AQ1096" s="235" t="s">
        <v>632</v>
      </c>
      <c r="AR1096" s="243">
        <v>3.71E11</v>
      </c>
      <c r="AS1096" s="235" t="s">
        <v>3284</v>
      </c>
      <c r="AT1096" s="235" t="s">
        <v>14</v>
      </c>
      <c r="AU1096" s="235" t="s">
        <v>634</v>
      </c>
      <c r="AV1096" s="246" t="s">
        <v>635</v>
      </c>
      <c r="AW1096" s="242"/>
      <c r="AX1096" s="242"/>
      <c r="AY1096" s="231"/>
      <c r="AZ1096" s="231"/>
      <c r="BA1096" s="227"/>
      <c r="BB1096" s="231"/>
      <c r="BC1096" s="227"/>
      <c r="BD1096" s="227"/>
      <c r="BE1096" s="227"/>
      <c r="BF1096" s="227"/>
    </row>
    <row r="1097">
      <c r="A1097" s="235" t="s">
        <v>9140</v>
      </c>
      <c r="C1097" s="235" t="s">
        <v>9141</v>
      </c>
      <c r="D1097" s="235" t="s">
        <v>9142</v>
      </c>
      <c r="E1097" s="243">
        <v>6.55E13</v>
      </c>
      <c r="F1097" s="245"/>
      <c r="G1097" s="235" t="s">
        <v>9143</v>
      </c>
      <c r="H1097" s="235" t="s">
        <v>9144</v>
      </c>
      <c r="I1097" s="235" t="s">
        <v>9144</v>
      </c>
      <c r="J1097" s="235" t="s">
        <v>9145</v>
      </c>
      <c r="K1097" s="235" t="s">
        <v>9146</v>
      </c>
      <c r="N1097" s="235" t="s">
        <v>82</v>
      </c>
      <c r="O1097" s="235" t="s">
        <v>889</v>
      </c>
      <c r="P1097" s="238">
        <v>1.0</v>
      </c>
      <c r="Q1097" s="235" t="s">
        <v>627</v>
      </c>
      <c r="R1097" s="238">
        <v>0.0</v>
      </c>
      <c r="S1097" s="238">
        <v>0.0</v>
      </c>
      <c r="T1097" s="238">
        <v>0.0</v>
      </c>
      <c r="U1097" s="238">
        <v>0.0</v>
      </c>
      <c r="V1097" s="238">
        <v>0.0</v>
      </c>
      <c r="W1097" s="238">
        <v>0.0</v>
      </c>
      <c r="X1097" s="235" t="s">
        <v>2433</v>
      </c>
      <c r="Y1097" s="244"/>
      <c r="Z1097" s="244"/>
      <c r="AA1097" s="244"/>
      <c r="AB1097" s="244"/>
      <c r="AC1097" s="235" t="s">
        <v>1058</v>
      </c>
      <c r="AD1097" s="235" t="s">
        <v>845</v>
      </c>
      <c r="AE1097" s="238">
        <v>400057.0</v>
      </c>
      <c r="AF1097" s="235" t="s">
        <v>631</v>
      </c>
      <c r="AG1097" s="244"/>
      <c r="AH1097" s="244"/>
      <c r="AI1097" s="245"/>
      <c r="AJ1097" s="245"/>
      <c r="AK1097" s="245"/>
      <c r="AL1097" s="245"/>
      <c r="AM1097" s="244"/>
      <c r="AN1097" s="244"/>
      <c r="AO1097" s="238">
        <v>0.0</v>
      </c>
      <c r="AP1097" s="238">
        <v>0.0</v>
      </c>
      <c r="AQ1097" s="235" t="s">
        <v>632</v>
      </c>
      <c r="AR1097" s="243">
        <v>3.71E11</v>
      </c>
      <c r="AS1097" s="235" t="s">
        <v>7365</v>
      </c>
      <c r="AT1097" s="235" t="s">
        <v>17</v>
      </c>
      <c r="AU1097" s="235" t="s">
        <v>634</v>
      </c>
      <c r="AV1097" s="246" t="s">
        <v>635</v>
      </c>
      <c r="AW1097" s="242"/>
      <c r="AX1097" s="242"/>
      <c r="AY1097" s="231"/>
      <c r="AZ1097" s="231"/>
      <c r="BA1097" s="227"/>
      <c r="BB1097" s="231"/>
      <c r="BC1097" s="227"/>
      <c r="BD1097" s="227"/>
      <c r="BE1097" s="227"/>
      <c r="BF1097" s="227"/>
    </row>
    <row r="1098">
      <c r="A1098" s="235" t="s">
        <v>9147</v>
      </c>
      <c r="C1098" s="235" t="s">
        <v>9148</v>
      </c>
      <c r="D1098" s="235" t="s">
        <v>9149</v>
      </c>
      <c r="E1098" s="243">
        <v>6.55E13</v>
      </c>
      <c r="F1098" s="245"/>
      <c r="G1098" s="235" t="s">
        <v>9150</v>
      </c>
      <c r="H1098" s="235" t="s">
        <v>9151</v>
      </c>
      <c r="I1098" s="235" t="s">
        <v>9151</v>
      </c>
      <c r="J1098" s="235" t="s">
        <v>9152</v>
      </c>
      <c r="K1098" s="235" t="s">
        <v>9153</v>
      </c>
      <c r="N1098" s="235" t="s">
        <v>42</v>
      </c>
      <c r="O1098" s="235" t="s">
        <v>204</v>
      </c>
      <c r="P1098" s="238">
        <v>1.0</v>
      </c>
      <c r="Q1098" s="235" t="s">
        <v>627</v>
      </c>
      <c r="R1098" s="238">
        <v>237.14</v>
      </c>
      <c r="S1098" s="238">
        <v>11.86</v>
      </c>
      <c r="T1098" s="238">
        <v>0.0</v>
      </c>
      <c r="U1098" s="238">
        <v>0.0</v>
      </c>
      <c r="V1098" s="238">
        <v>0.0</v>
      </c>
      <c r="W1098" s="238">
        <v>0.0</v>
      </c>
      <c r="X1098" s="235" t="s">
        <v>628</v>
      </c>
      <c r="Z1098" s="244"/>
      <c r="AA1098" s="244"/>
      <c r="AB1098" s="244"/>
      <c r="AC1098" s="235" t="s">
        <v>1809</v>
      </c>
      <c r="AD1098" s="235" t="s">
        <v>698</v>
      </c>
      <c r="AE1098" s="238">
        <v>507002.0</v>
      </c>
      <c r="AF1098" s="235" t="s">
        <v>631</v>
      </c>
      <c r="AG1098" s="244"/>
      <c r="AH1098" s="244"/>
      <c r="AI1098" s="245"/>
      <c r="AJ1098" s="245"/>
      <c r="AK1098" s="245"/>
      <c r="AL1098" s="245"/>
      <c r="AM1098" s="244"/>
      <c r="AN1098" s="244"/>
      <c r="AO1098" s="238">
        <v>0.0</v>
      </c>
      <c r="AP1098" s="238">
        <v>0.0</v>
      </c>
      <c r="AQ1098" s="235" t="s">
        <v>632</v>
      </c>
      <c r="AR1098" s="243">
        <v>3.71E11</v>
      </c>
      <c r="AS1098" s="235" t="s">
        <v>4697</v>
      </c>
      <c r="AT1098" s="235" t="s">
        <v>17</v>
      </c>
      <c r="AU1098" s="235" t="s">
        <v>634</v>
      </c>
      <c r="AV1098" s="246" t="s">
        <v>635</v>
      </c>
      <c r="AW1098" s="242"/>
      <c r="AX1098" s="242"/>
      <c r="AY1098" s="231"/>
      <c r="AZ1098" s="231"/>
      <c r="BA1098" s="227"/>
      <c r="BB1098" s="231"/>
      <c r="BC1098" s="227"/>
      <c r="BD1098" s="227"/>
      <c r="BE1098" s="227"/>
      <c r="BF1098" s="227"/>
    </row>
    <row r="1099">
      <c r="A1099" s="235" t="s">
        <v>9154</v>
      </c>
      <c r="C1099" s="235" t="s">
        <v>9155</v>
      </c>
      <c r="D1099" s="235" t="s">
        <v>9156</v>
      </c>
      <c r="E1099" s="243">
        <v>6.55E13</v>
      </c>
      <c r="F1099" s="245"/>
      <c r="G1099" s="235" t="s">
        <v>9157</v>
      </c>
      <c r="H1099" s="235" t="s">
        <v>9158</v>
      </c>
      <c r="I1099" s="235" t="s">
        <v>9158</v>
      </c>
      <c r="J1099" s="235" t="s">
        <v>9159</v>
      </c>
      <c r="K1099" s="235" t="s">
        <v>9160</v>
      </c>
      <c r="N1099" s="235" t="s">
        <v>40</v>
      </c>
      <c r="O1099" s="235" t="s">
        <v>327</v>
      </c>
      <c r="P1099" s="238">
        <v>1.0</v>
      </c>
      <c r="Q1099" s="235" t="s">
        <v>627</v>
      </c>
      <c r="R1099" s="238">
        <v>237.14</v>
      </c>
      <c r="S1099" s="238">
        <v>11.86</v>
      </c>
      <c r="T1099" s="238">
        <v>38.1</v>
      </c>
      <c r="U1099" s="238">
        <v>1.9</v>
      </c>
      <c r="V1099" s="238">
        <v>0.0</v>
      </c>
      <c r="W1099" s="238">
        <v>0.0</v>
      </c>
      <c r="X1099" s="235" t="s">
        <v>628</v>
      </c>
      <c r="Z1099" s="244"/>
      <c r="AA1099" s="244"/>
      <c r="AB1099" s="244"/>
      <c r="AC1099" s="235" t="s">
        <v>832</v>
      </c>
      <c r="AD1099" s="235" t="s">
        <v>833</v>
      </c>
      <c r="AE1099" s="238">
        <v>530005.0</v>
      </c>
      <c r="AF1099" s="235" t="s">
        <v>631</v>
      </c>
      <c r="AG1099" s="244"/>
      <c r="AH1099" s="244"/>
      <c r="AI1099" s="245"/>
      <c r="AJ1099" s="245"/>
      <c r="AK1099" s="245"/>
      <c r="AL1099" s="245"/>
      <c r="AM1099" s="244"/>
      <c r="AN1099" s="244"/>
      <c r="AO1099" s="238">
        <v>0.0</v>
      </c>
      <c r="AP1099" s="238">
        <v>-38.1</v>
      </c>
      <c r="AQ1099" s="235" t="s">
        <v>632</v>
      </c>
      <c r="AR1099" s="243">
        <v>3.71E11</v>
      </c>
      <c r="AS1099" s="235" t="s">
        <v>4697</v>
      </c>
      <c r="AT1099" s="235" t="s">
        <v>156</v>
      </c>
      <c r="AU1099" s="235" t="s">
        <v>634</v>
      </c>
      <c r="AV1099" s="246" t="s">
        <v>635</v>
      </c>
      <c r="AW1099" s="242"/>
      <c r="AX1099" s="242"/>
      <c r="AY1099" s="231"/>
      <c r="AZ1099" s="231"/>
      <c r="BA1099" s="227"/>
      <c r="BB1099" s="231"/>
      <c r="BC1099" s="227"/>
      <c r="BD1099" s="227"/>
      <c r="BE1099" s="227"/>
      <c r="BF1099" s="227"/>
    </row>
    <row r="1100">
      <c r="A1100" s="235" t="s">
        <v>9161</v>
      </c>
      <c r="C1100" s="235" t="s">
        <v>9162</v>
      </c>
      <c r="D1100" s="235" t="s">
        <v>9163</v>
      </c>
      <c r="E1100" s="243">
        <v>6.55E13</v>
      </c>
      <c r="F1100" s="245"/>
      <c r="G1100" s="235" t="s">
        <v>9164</v>
      </c>
      <c r="H1100" s="235" t="s">
        <v>9165</v>
      </c>
      <c r="I1100" s="235" t="s">
        <v>9165</v>
      </c>
      <c r="J1100" s="235" t="s">
        <v>9166</v>
      </c>
      <c r="K1100" s="235" t="s">
        <v>9167</v>
      </c>
      <c r="N1100" s="235" t="s">
        <v>12</v>
      </c>
      <c r="O1100" s="235" t="s">
        <v>804</v>
      </c>
      <c r="P1100" s="238">
        <v>1.0</v>
      </c>
      <c r="Q1100" s="235" t="s">
        <v>627</v>
      </c>
      <c r="R1100" s="238">
        <v>265.72</v>
      </c>
      <c r="S1100" s="238">
        <v>13.28</v>
      </c>
      <c r="T1100" s="238">
        <v>0.0</v>
      </c>
      <c r="U1100" s="238">
        <v>0.0</v>
      </c>
      <c r="V1100" s="238">
        <v>0.0</v>
      </c>
      <c r="W1100" s="238">
        <v>0.0</v>
      </c>
      <c r="X1100" s="235" t="s">
        <v>628</v>
      </c>
      <c r="Z1100" s="244"/>
      <c r="AA1100" s="244"/>
      <c r="AB1100" s="244"/>
      <c r="AC1100" s="235" t="s">
        <v>1058</v>
      </c>
      <c r="AD1100" s="235" t="s">
        <v>845</v>
      </c>
      <c r="AE1100" s="238">
        <v>400088.0</v>
      </c>
      <c r="AF1100" s="235" t="s">
        <v>631</v>
      </c>
      <c r="AG1100" s="244"/>
      <c r="AH1100" s="244"/>
      <c r="AI1100" s="245"/>
      <c r="AJ1100" s="245"/>
      <c r="AK1100" s="245"/>
      <c r="AL1100" s="245"/>
      <c r="AM1100" s="244"/>
      <c r="AN1100" s="244"/>
      <c r="AO1100" s="238">
        <v>0.0</v>
      </c>
      <c r="AP1100" s="238">
        <v>0.0</v>
      </c>
      <c r="AQ1100" s="235" t="s">
        <v>632</v>
      </c>
      <c r="AR1100" s="243">
        <v>1.68E11</v>
      </c>
      <c r="AS1100" s="235" t="s">
        <v>7365</v>
      </c>
      <c r="AT1100" s="235" t="s">
        <v>17</v>
      </c>
      <c r="AU1100" s="235" t="s">
        <v>634</v>
      </c>
      <c r="AV1100" s="246" t="s">
        <v>635</v>
      </c>
      <c r="AW1100" s="242"/>
      <c r="AX1100" s="242"/>
      <c r="AY1100" s="231"/>
      <c r="AZ1100" s="231"/>
      <c r="BA1100" s="227"/>
      <c r="BB1100" s="231"/>
      <c r="BC1100" s="227"/>
      <c r="BD1100" s="227"/>
      <c r="BE1100" s="227"/>
      <c r="BF1100" s="227"/>
    </row>
    <row r="1101">
      <c r="A1101" s="235" t="s">
        <v>9168</v>
      </c>
      <c r="C1101" s="235" t="s">
        <v>9169</v>
      </c>
      <c r="D1101" s="235" t="s">
        <v>9170</v>
      </c>
      <c r="E1101" s="243">
        <v>6.56E13</v>
      </c>
      <c r="F1101" s="245"/>
      <c r="G1101" s="235" t="s">
        <v>9171</v>
      </c>
      <c r="H1101" s="235" t="s">
        <v>9172</v>
      </c>
      <c r="I1101" s="235" t="s">
        <v>9173</v>
      </c>
      <c r="J1101" s="235" t="s">
        <v>9174</v>
      </c>
      <c r="K1101" s="235" t="s">
        <v>9175</v>
      </c>
      <c r="N1101" s="235" t="s">
        <v>42</v>
      </c>
      <c r="O1101" s="235" t="s">
        <v>204</v>
      </c>
      <c r="P1101" s="238">
        <v>1.0</v>
      </c>
      <c r="Q1101" s="235" t="s">
        <v>627</v>
      </c>
      <c r="R1101" s="238">
        <v>237.14</v>
      </c>
      <c r="S1101" s="238">
        <v>11.86</v>
      </c>
      <c r="T1101" s="238">
        <v>0.0</v>
      </c>
      <c r="U1101" s="238">
        <v>0.0</v>
      </c>
      <c r="V1101" s="238">
        <v>0.0</v>
      </c>
      <c r="W1101" s="238">
        <v>0.0</v>
      </c>
      <c r="X1101" s="235" t="s">
        <v>628</v>
      </c>
      <c r="Z1101" s="244"/>
      <c r="AA1101" s="244"/>
      <c r="AB1101" s="244"/>
      <c r="AC1101" s="235" t="s">
        <v>814</v>
      </c>
      <c r="AD1101" s="235" t="s">
        <v>698</v>
      </c>
      <c r="AE1101" s="238">
        <v>500050.0</v>
      </c>
      <c r="AF1101" s="235" t="s">
        <v>631</v>
      </c>
      <c r="AG1101" s="244"/>
      <c r="AH1101" s="244"/>
      <c r="AI1101" s="245"/>
      <c r="AJ1101" s="245"/>
      <c r="AK1101" s="245"/>
      <c r="AL1101" s="245"/>
      <c r="AM1101" s="244"/>
      <c r="AN1101" s="244"/>
      <c r="AO1101" s="238">
        <v>0.0</v>
      </c>
      <c r="AP1101" s="238">
        <v>0.0</v>
      </c>
      <c r="AQ1101" s="235" t="s">
        <v>632</v>
      </c>
      <c r="AR1101" s="243">
        <v>1.68E11</v>
      </c>
      <c r="AS1101" s="235" t="s">
        <v>7365</v>
      </c>
      <c r="AT1101" s="235" t="s">
        <v>156</v>
      </c>
      <c r="AU1101" s="235" t="s">
        <v>634</v>
      </c>
      <c r="AV1101" s="246" t="s">
        <v>635</v>
      </c>
      <c r="AW1101" s="242"/>
      <c r="AX1101" s="242"/>
      <c r="AY1101" s="231"/>
      <c r="AZ1101" s="231"/>
      <c r="BA1101" s="227"/>
      <c r="BB1101" s="231"/>
      <c r="BC1101" s="227"/>
      <c r="BD1101" s="227"/>
      <c r="BE1101" s="227"/>
      <c r="BF1101" s="227"/>
    </row>
    <row r="1102">
      <c r="A1102" s="235" t="s">
        <v>9176</v>
      </c>
      <c r="C1102" s="235" t="s">
        <v>9177</v>
      </c>
      <c r="D1102" s="235" t="s">
        <v>9178</v>
      </c>
      <c r="E1102" s="243">
        <v>6.56E13</v>
      </c>
      <c r="F1102" s="245"/>
      <c r="G1102" s="235" t="s">
        <v>9179</v>
      </c>
      <c r="H1102" s="235" t="s">
        <v>9180</v>
      </c>
      <c r="I1102" s="235" t="s">
        <v>9181</v>
      </c>
      <c r="J1102" s="235" t="s">
        <v>9182</v>
      </c>
      <c r="K1102" s="235" t="s">
        <v>9183</v>
      </c>
      <c r="N1102" s="235" t="s">
        <v>726</v>
      </c>
      <c r="O1102" s="235" t="s">
        <v>727</v>
      </c>
      <c r="P1102" s="238">
        <v>1.0</v>
      </c>
      <c r="Q1102" s="235" t="s">
        <v>627</v>
      </c>
      <c r="R1102" s="238">
        <v>246.66</v>
      </c>
      <c r="S1102" s="238">
        <v>12.34</v>
      </c>
      <c r="T1102" s="238">
        <v>18.1</v>
      </c>
      <c r="U1102" s="238">
        <v>0.9</v>
      </c>
      <c r="V1102" s="238">
        <v>0.0</v>
      </c>
      <c r="W1102" s="238">
        <v>0.0</v>
      </c>
      <c r="X1102" s="235" t="s">
        <v>628</v>
      </c>
      <c r="Z1102" s="244"/>
      <c r="AA1102" s="244"/>
      <c r="AB1102" s="244"/>
      <c r="AC1102" s="235" t="s">
        <v>687</v>
      </c>
      <c r="AD1102" s="235" t="s">
        <v>666</v>
      </c>
      <c r="AE1102" s="238">
        <v>600044.0</v>
      </c>
      <c r="AF1102" s="235" t="s">
        <v>631</v>
      </c>
      <c r="AG1102" s="244"/>
      <c r="AH1102" s="244"/>
      <c r="AI1102" s="245"/>
      <c r="AJ1102" s="245"/>
      <c r="AK1102" s="245"/>
      <c r="AL1102" s="245"/>
      <c r="AM1102" s="244"/>
      <c r="AN1102" s="244"/>
      <c r="AO1102" s="238">
        <v>0.0</v>
      </c>
      <c r="AP1102" s="238">
        <v>-18.1</v>
      </c>
      <c r="AQ1102" s="235" t="s">
        <v>632</v>
      </c>
      <c r="AR1102" s="243">
        <v>1.68E11</v>
      </c>
      <c r="AS1102" s="235" t="s">
        <v>9184</v>
      </c>
      <c r="AT1102" s="235" t="s">
        <v>156</v>
      </c>
      <c r="AU1102" s="235" t="s">
        <v>634</v>
      </c>
      <c r="AV1102" s="246" t="s">
        <v>635</v>
      </c>
      <c r="AW1102" s="242"/>
      <c r="AX1102" s="242"/>
      <c r="AY1102" s="231"/>
      <c r="AZ1102" s="231"/>
      <c r="BA1102" s="227"/>
      <c r="BB1102" s="231"/>
      <c r="BC1102" s="227"/>
      <c r="BD1102" s="227"/>
      <c r="BE1102" s="227"/>
      <c r="BF1102" s="227"/>
    </row>
    <row r="1103">
      <c r="A1103" s="235" t="s">
        <v>9185</v>
      </c>
      <c r="C1103" s="235" t="s">
        <v>9186</v>
      </c>
      <c r="D1103" s="235" t="s">
        <v>9187</v>
      </c>
      <c r="E1103" s="243">
        <v>6.55E13</v>
      </c>
      <c r="F1103" s="245"/>
      <c r="G1103" s="235" t="s">
        <v>9188</v>
      </c>
      <c r="H1103" s="235" t="s">
        <v>9189</v>
      </c>
      <c r="I1103" s="235" t="s">
        <v>9189</v>
      </c>
      <c r="J1103" s="235" t="s">
        <v>9190</v>
      </c>
      <c r="K1103" s="235" t="s">
        <v>9191</v>
      </c>
      <c r="N1103" s="235" t="s">
        <v>139</v>
      </c>
      <c r="O1103" s="235" t="s">
        <v>2091</v>
      </c>
      <c r="P1103" s="238">
        <v>1.0</v>
      </c>
      <c r="Q1103" s="235" t="s">
        <v>627</v>
      </c>
      <c r="R1103" s="238">
        <v>246.66</v>
      </c>
      <c r="S1103" s="238">
        <v>12.34</v>
      </c>
      <c r="T1103" s="238">
        <v>0.0</v>
      </c>
      <c r="U1103" s="238">
        <v>0.0</v>
      </c>
      <c r="V1103" s="238">
        <v>0.0</v>
      </c>
      <c r="W1103" s="238">
        <v>0.0</v>
      </c>
      <c r="X1103" s="235" t="s">
        <v>628</v>
      </c>
      <c r="Z1103" s="244"/>
      <c r="AA1103" s="244"/>
      <c r="AB1103" s="244"/>
      <c r="AC1103" s="235" t="s">
        <v>687</v>
      </c>
      <c r="AD1103" s="235" t="s">
        <v>666</v>
      </c>
      <c r="AE1103" s="238">
        <v>600129.0</v>
      </c>
      <c r="AF1103" s="235" t="s">
        <v>631</v>
      </c>
      <c r="AG1103" s="244"/>
      <c r="AH1103" s="244"/>
      <c r="AI1103" s="245"/>
      <c r="AJ1103" s="245"/>
      <c r="AK1103" s="245"/>
      <c r="AL1103" s="245"/>
      <c r="AM1103" s="244"/>
      <c r="AN1103" s="244"/>
      <c r="AO1103" s="238">
        <v>0.0</v>
      </c>
      <c r="AP1103" s="238">
        <v>0.0</v>
      </c>
      <c r="AQ1103" s="235" t="s">
        <v>632</v>
      </c>
      <c r="AR1103" s="243">
        <v>3.71E11</v>
      </c>
      <c r="AS1103" s="235" t="s">
        <v>8807</v>
      </c>
      <c r="AT1103" s="235" t="s">
        <v>156</v>
      </c>
      <c r="AU1103" s="235" t="s">
        <v>634</v>
      </c>
      <c r="AV1103" s="246" t="s">
        <v>635</v>
      </c>
      <c r="AW1103" s="242"/>
      <c r="AX1103" s="242"/>
      <c r="AY1103" s="231"/>
      <c r="AZ1103" s="231"/>
      <c r="BA1103" s="227"/>
      <c r="BB1103" s="231"/>
      <c r="BC1103" s="227"/>
      <c r="BD1103" s="227"/>
      <c r="BE1103" s="227"/>
      <c r="BF1103" s="227"/>
    </row>
    <row r="1104">
      <c r="A1104" s="235" t="s">
        <v>9192</v>
      </c>
      <c r="C1104" s="235" t="s">
        <v>9193</v>
      </c>
      <c r="D1104" s="235" t="s">
        <v>9194</v>
      </c>
      <c r="E1104" s="243">
        <v>6.56E13</v>
      </c>
      <c r="F1104" s="245"/>
      <c r="G1104" s="235" t="s">
        <v>9195</v>
      </c>
      <c r="H1104" s="235" t="s">
        <v>9196</v>
      </c>
      <c r="I1104" s="235" t="s">
        <v>9196</v>
      </c>
      <c r="J1104" s="235" t="s">
        <v>9197</v>
      </c>
      <c r="K1104" s="235" t="s">
        <v>9198</v>
      </c>
      <c r="N1104" s="235" t="s">
        <v>1346</v>
      </c>
      <c r="O1104" s="235" t="s">
        <v>1347</v>
      </c>
      <c r="P1104" s="238">
        <v>1.0</v>
      </c>
      <c r="Q1104" s="235" t="s">
        <v>627</v>
      </c>
      <c r="R1104" s="238">
        <v>256.19</v>
      </c>
      <c r="S1104" s="238">
        <v>12.81</v>
      </c>
      <c r="T1104" s="238">
        <v>0.0</v>
      </c>
      <c r="U1104" s="238">
        <v>0.0</v>
      </c>
      <c r="V1104" s="238">
        <v>0.0</v>
      </c>
      <c r="W1104" s="238">
        <v>0.0</v>
      </c>
      <c r="X1104" s="235" t="s">
        <v>628</v>
      </c>
      <c r="Z1104" s="244"/>
      <c r="AA1104" s="244"/>
      <c r="AB1104" s="244"/>
      <c r="AC1104" s="235" t="s">
        <v>9199</v>
      </c>
      <c r="AD1104" s="235" t="s">
        <v>709</v>
      </c>
      <c r="AE1104" s="238">
        <v>848203.0</v>
      </c>
      <c r="AF1104" s="235" t="s">
        <v>631</v>
      </c>
      <c r="AG1104" s="244"/>
      <c r="AH1104" s="244"/>
      <c r="AI1104" s="245"/>
      <c r="AJ1104" s="245"/>
      <c r="AK1104" s="245"/>
      <c r="AL1104" s="245"/>
      <c r="AM1104" s="244"/>
      <c r="AN1104" s="244"/>
      <c r="AO1104" s="238">
        <v>0.0</v>
      </c>
      <c r="AP1104" s="238">
        <v>0.0</v>
      </c>
      <c r="AQ1104" s="235" t="s">
        <v>632</v>
      </c>
      <c r="AR1104" s="243">
        <v>3.71E11</v>
      </c>
      <c r="AS1104" s="235" t="s">
        <v>1367</v>
      </c>
      <c r="AT1104" s="235" t="s">
        <v>155</v>
      </c>
      <c r="AU1104" s="235" t="s">
        <v>634</v>
      </c>
      <c r="AV1104" s="246" t="s">
        <v>635</v>
      </c>
      <c r="AW1104" s="242"/>
      <c r="AX1104" s="242"/>
      <c r="AY1104" s="231"/>
      <c r="AZ1104" s="231"/>
      <c r="BA1104" s="227"/>
      <c r="BB1104" s="231"/>
      <c r="BC1104" s="227"/>
      <c r="BD1104" s="227"/>
      <c r="BE1104" s="227"/>
      <c r="BF1104" s="227"/>
    </row>
    <row r="1105">
      <c r="A1105" s="235" t="s">
        <v>9200</v>
      </c>
      <c r="C1105" s="235" t="s">
        <v>9201</v>
      </c>
      <c r="D1105" s="235" t="s">
        <v>9202</v>
      </c>
      <c r="E1105" s="243">
        <v>6.55E13</v>
      </c>
      <c r="F1105" s="245"/>
      <c r="G1105" s="235" t="s">
        <v>9203</v>
      </c>
      <c r="H1105" s="235" t="s">
        <v>9204</v>
      </c>
      <c r="I1105" s="235" t="s">
        <v>9205</v>
      </c>
      <c r="J1105" s="235" t="s">
        <v>9206</v>
      </c>
      <c r="K1105" s="235" t="s">
        <v>9207</v>
      </c>
      <c r="N1105" s="235" t="s">
        <v>127</v>
      </c>
      <c r="O1105" s="235" t="s">
        <v>794</v>
      </c>
      <c r="P1105" s="238">
        <v>1.0</v>
      </c>
      <c r="Q1105" s="235" t="s">
        <v>627</v>
      </c>
      <c r="R1105" s="238">
        <v>246.67</v>
      </c>
      <c r="S1105" s="238">
        <v>12.33</v>
      </c>
      <c r="T1105" s="238">
        <v>0.0</v>
      </c>
      <c r="U1105" s="238">
        <v>0.0</v>
      </c>
      <c r="V1105" s="238">
        <v>0.0</v>
      </c>
      <c r="W1105" s="238">
        <v>0.0</v>
      </c>
      <c r="X1105" s="235" t="s">
        <v>628</v>
      </c>
      <c r="Z1105" s="244"/>
      <c r="AA1105" s="244"/>
      <c r="AB1105" s="244"/>
      <c r="AC1105" s="235" t="s">
        <v>9208</v>
      </c>
      <c r="AD1105" s="235" t="s">
        <v>1077</v>
      </c>
      <c r="AE1105" s="238">
        <v>396191.0</v>
      </c>
      <c r="AF1105" s="235" t="s">
        <v>631</v>
      </c>
      <c r="AG1105" s="244"/>
      <c r="AH1105" s="244"/>
      <c r="AI1105" s="245"/>
      <c r="AJ1105" s="245"/>
      <c r="AK1105" s="245"/>
      <c r="AL1105" s="245"/>
      <c r="AM1105" s="244"/>
      <c r="AN1105" s="244"/>
      <c r="AO1105" s="238">
        <v>0.0</v>
      </c>
      <c r="AP1105" s="238">
        <v>0.0</v>
      </c>
      <c r="AQ1105" s="235" t="s">
        <v>632</v>
      </c>
      <c r="AR1105" s="243">
        <v>3.71E11</v>
      </c>
      <c r="AS1105" s="235" t="s">
        <v>6164</v>
      </c>
      <c r="AT1105" s="235" t="s">
        <v>16</v>
      </c>
      <c r="AU1105" s="235" t="s">
        <v>634</v>
      </c>
      <c r="AV1105" s="246" t="s">
        <v>635</v>
      </c>
      <c r="AW1105" s="242"/>
      <c r="AX1105" s="242"/>
      <c r="AY1105" s="231"/>
      <c r="AZ1105" s="231"/>
      <c r="BA1105" s="227"/>
      <c r="BB1105" s="231"/>
      <c r="BC1105" s="227"/>
      <c r="BD1105" s="227"/>
      <c r="BE1105" s="227"/>
      <c r="BF1105" s="227"/>
    </row>
    <row r="1106">
      <c r="A1106" s="235" t="s">
        <v>9209</v>
      </c>
      <c r="C1106" s="235" t="s">
        <v>9210</v>
      </c>
      <c r="D1106" s="235" t="s">
        <v>9211</v>
      </c>
      <c r="E1106" s="243">
        <v>6.55E13</v>
      </c>
      <c r="F1106" s="245"/>
      <c r="G1106" s="235" t="s">
        <v>9212</v>
      </c>
      <c r="H1106" s="235" t="s">
        <v>9213</v>
      </c>
      <c r="I1106" s="235" t="s">
        <v>9213</v>
      </c>
      <c r="J1106" s="235" t="s">
        <v>9214</v>
      </c>
      <c r="K1106" s="235" t="s">
        <v>9215</v>
      </c>
      <c r="N1106" s="235" t="s">
        <v>154</v>
      </c>
      <c r="O1106" s="235" t="s">
        <v>766</v>
      </c>
      <c r="P1106" s="238">
        <v>1.0</v>
      </c>
      <c r="Q1106" s="235" t="s">
        <v>627</v>
      </c>
      <c r="R1106" s="238">
        <v>465.72</v>
      </c>
      <c r="S1106" s="238">
        <v>23.28</v>
      </c>
      <c r="T1106" s="238">
        <v>0.0</v>
      </c>
      <c r="U1106" s="238">
        <v>0.0</v>
      </c>
      <c r="V1106" s="238">
        <v>0.0</v>
      </c>
      <c r="W1106" s="238">
        <v>0.0</v>
      </c>
      <c r="X1106" s="235" t="s">
        <v>628</v>
      </c>
      <c r="Z1106" s="244"/>
      <c r="AA1106" s="244"/>
      <c r="AB1106" s="244"/>
      <c r="AC1106" s="235" t="s">
        <v>678</v>
      </c>
      <c r="AD1106" s="235" t="s">
        <v>679</v>
      </c>
      <c r="AE1106" s="238">
        <v>560066.0</v>
      </c>
      <c r="AF1106" s="235" t="s">
        <v>631</v>
      </c>
      <c r="AG1106" s="244"/>
      <c r="AH1106" s="244"/>
      <c r="AI1106" s="245"/>
      <c r="AJ1106" s="245"/>
      <c r="AK1106" s="245"/>
      <c r="AL1106" s="245"/>
      <c r="AM1106" s="244"/>
      <c r="AN1106" s="244"/>
      <c r="AO1106" s="238">
        <v>0.0</v>
      </c>
      <c r="AP1106" s="238">
        <v>0.0</v>
      </c>
      <c r="AQ1106" s="235" t="s">
        <v>632</v>
      </c>
      <c r="AR1106" s="243">
        <v>1.68E11</v>
      </c>
      <c r="AS1106" s="235" t="s">
        <v>8807</v>
      </c>
      <c r="AT1106" s="235" t="s">
        <v>11</v>
      </c>
      <c r="AU1106" s="235" t="s">
        <v>634</v>
      </c>
      <c r="AV1106" s="246" t="s">
        <v>635</v>
      </c>
      <c r="AW1106" s="242"/>
      <c r="AX1106" s="242"/>
      <c r="AY1106" s="231"/>
      <c r="AZ1106" s="231"/>
      <c r="BA1106" s="227"/>
      <c r="BB1106" s="231"/>
      <c r="BC1106" s="227"/>
      <c r="BD1106" s="227"/>
      <c r="BE1106" s="227"/>
      <c r="BF1106" s="227"/>
    </row>
    <row r="1107">
      <c r="A1107" s="235" t="s">
        <v>9217</v>
      </c>
      <c r="C1107" s="235" t="s">
        <v>9218</v>
      </c>
      <c r="D1107" s="235" t="s">
        <v>9219</v>
      </c>
      <c r="E1107" s="243">
        <v>6.56E13</v>
      </c>
      <c r="F1107" s="245"/>
      <c r="G1107" s="235" t="s">
        <v>9220</v>
      </c>
      <c r="H1107" s="235" t="s">
        <v>9221</v>
      </c>
      <c r="I1107" s="235" t="s">
        <v>9221</v>
      </c>
      <c r="J1107" s="235" t="s">
        <v>9222</v>
      </c>
      <c r="K1107" s="235" t="s">
        <v>9223</v>
      </c>
      <c r="N1107" s="235" t="s">
        <v>127</v>
      </c>
      <c r="O1107" s="235" t="s">
        <v>794</v>
      </c>
      <c r="P1107" s="238">
        <v>1.0</v>
      </c>
      <c r="Q1107" s="235" t="s">
        <v>627</v>
      </c>
      <c r="R1107" s="238">
        <v>246.66</v>
      </c>
      <c r="S1107" s="238">
        <v>12.34</v>
      </c>
      <c r="T1107" s="238">
        <v>38.1</v>
      </c>
      <c r="U1107" s="238">
        <v>1.9</v>
      </c>
      <c r="V1107" s="238">
        <v>0.0</v>
      </c>
      <c r="W1107" s="238">
        <v>0.0</v>
      </c>
      <c r="X1107" s="235" t="s">
        <v>628</v>
      </c>
      <c r="Z1107" s="244"/>
      <c r="AA1107" s="244"/>
      <c r="AB1107" s="244"/>
      <c r="AC1107" s="235" t="s">
        <v>1671</v>
      </c>
      <c r="AD1107" s="235" t="s">
        <v>666</v>
      </c>
      <c r="AE1107" s="238">
        <v>641062.0</v>
      </c>
      <c r="AF1107" s="235" t="s">
        <v>631</v>
      </c>
      <c r="AG1107" s="244"/>
      <c r="AH1107" s="244"/>
      <c r="AI1107" s="245"/>
      <c r="AJ1107" s="245"/>
      <c r="AK1107" s="245"/>
      <c r="AL1107" s="245"/>
      <c r="AM1107" s="244"/>
      <c r="AN1107" s="244"/>
      <c r="AO1107" s="238">
        <v>0.0</v>
      </c>
      <c r="AP1107" s="238">
        <v>-38.1</v>
      </c>
      <c r="AQ1107" s="235" t="s">
        <v>632</v>
      </c>
      <c r="AR1107" s="243">
        <v>3.71E11</v>
      </c>
      <c r="AS1107" s="235" t="s">
        <v>8807</v>
      </c>
      <c r="AT1107" s="235" t="s">
        <v>155</v>
      </c>
      <c r="AU1107" s="235" t="s">
        <v>634</v>
      </c>
      <c r="AV1107" s="246" t="s">
        <v>635</v>
      </c>
      <c r="AW1107" s="242"/>
      <c r="AX1107" s="242"/>
      <c r="AY1107" s="231"/>
      <c r="AZ1107" s="231"/>
      <c r="BA1107" s="227"/>
      <c r="BB1107" s="231"/>
      <c r="BC1107" s="227"/>
      <c r="BD1107" s="227"/>
      <c r="BE1107" s="227"/>
      <c r="BF1107" s="227"/>
    </row>
    <row r="1108">
      <c r="A1108" s="235" t="s">
        <v>9224</v>
      </c>
      <c r="C1108" s="235" t="s">
        <v>9225</v>
      </c>
      <c r="D1108" s="235" t="s">
        <v>9226</v>
      </c>
      <c r="E1108" s="243">
        <v>6.55E13</v>
      </c>
      <c r="F1108" s="245"/>
      <c r="G1108" s="235" t="s">
        <v>9227</v>
      </c>
      <c r="H1108" s="235" t="s">
        <v>9228</v>
      </c>
      <c r="I1108" s="235" t="s">
        <v>9228</v>
      </c>
      <c r="J1108" s="235" t="s">
        <v>9229</v>
      </c>
      <c r="K1108" s="235" t="s">
        <v>9230</v>
      </c>
      <c r="N1108" s="235" t="s">
        <v>127</v>
      </c>
      <c r="O1108" s="235" t="s">
        <v>794</v>
      </c>
      <c r="P1108" s="238">
        <v>1.0</v>
      </c>
      <c r="Q1108" s="235" t="s">
        <v>627</v>
      </c>
      <c r="R1108" s="238">
        <v>243.81</v>
      </c>
      <c r="S1108" s="238">
        <v>12.19</v>
      </c>
      <c r="T1108" s="238">
        <v>0.0</v>
      </c>
      <c r="U1108" s="238">
        <v>0.0</v>
      </c>
      <c r="V1108" s="238">
        <v>0.0</v>
      </c>
      <c r="W1108" s="238">
        <v>0.0</v>
      </c>
      <c r="X1108" s="235" t="s">
        <v>628</v>
      </c>
      <c r="Z1108" s="244"/>
      <c r="AA1108" s="244"/>
      <c r="AB1108" s="244"/>
      <c r="AC1108" s="235" t="s">
        <v>795</v>
      </c>
      <c r="AD1108" s="235" t="s">
        <v>796</v>
      </c>
      <c r="AE1108" s="238">
        <v>110067.0</v>
      </c>
      <c r="AF1108" s="235" t="s">
        <v>631</v>
      </c>
      <c r="AG1108" s="244"/>
      <c r="AH1108" s="244"/>
      <c r="AI1108" s="245"/>
      <c r="AJ1108" s="245"/>
      <c r="AK1108" s="245"/>
      <c r="AL1108" s="245"/>
      <c r="AM1108" s="244"/>
      <c r="AN1108" s="244"/>
      <c r="AO1108" s="238">
        <v>0.0</v>
      </c>
      <c r="AP1108" s="238">
        <v>0.0</v>
      </c>
      <c r="AQ1108" s="235" t="s">
        <v>632</v>
      </c>
      <c r="AR1108" s="243">
        <v>1.68E11</v>
      </c>
      <c r="AS1108" s="235" t="s">
        <v>9184</v>
      </c>
      <c r="AT1108" s="235" t="s">
        <v>533</v>
      </c>
      <c r="AU1108" s="235" t="s">
        <v>634</v>
      </c>
      <c r="AV1108" s="246" t="s">
        <v>635</v>
      </c>
      <c r="AW1108" s="242"/>
      <c r="AX1108" s="242"/>
      <c r="AY1108" s="231"/>
      <c r="AZ1108" s="231"/>
      <c r="BA1108" s="227"/>
      <c r="BB1108" s="231"/>
      <c r="BC1108" s="227"/>
      <c r="BD1108" s="227"/>
      <c r="BE1108" s="227"/>
      <c r="BF1108" s="227"/>
    </row>
    <row r="1109">
      <c r="A1109" s="235" t="s">
        <v>9231</v>
      </c>
      <c r="C1109" s="235" t="s">
        <v>9232</v>
      </c>
      <c r="D1109" s="235" t="s">
        <v>9233</v>
      </c>
      <c r="E1109" s="243">
        <v>6.56E13</v>
      </c>
      <c r="F1109" s="245"/>
      <c r="G1109" s="235" t="s">
        <v>9234</v>
      </c>
      <c r="H1109" s="235" t="s">
        <v>9235</v>
      </c>
      <c r="I1109" s="235" t="s">
        <v>9235</v>
      </c>
      <c r="J1109" s="235" t="s">
        <v>9236</v>
      </c>
      <c r="K1109" s="235" t="s">
        <v>9237</v>
      </c>
      <c r="N1109" s="235" t="s">
        <v>136</v>
      </c>
      <c r="O1109" s="235" t="s">
        <v>256</v>
      </c>
      <c r="P1109" s="238">
        <v>1.0</v>
      </c>
      <c r="Q1109" s="235" t="s">
        <v>627</v>
      </c>
      <c r="R1109" s="238">
        <v>246.67</v>
      </c>
      <c r="S1109" s="238">
        <v>12.33</v>
      </c>
      <c r="T1109" s="238">
        <v>0.0</v>
      </c>
      <c r="U1109" s="238">
        <v>0.0</v>
      </c>
      <c r="V1109" s="238">
        <v>0.0</v>
      </c>
      <c r="W1109" s="238">
        <v>0.0</v>
      </c>
      <c r="X1109" s="235" t="s">
        <v>628</v>
      </c>
      <c r="Z1109" s="244"/>
      <c r="AA1109" s="244"/>
      <c r="AB1109" s="244"/>
      <c r="AC1109" s="235" t="s">
        <v>795</v>
      </c>
      <c r="AD1109" s="235" t="s">
        <v>796</v>
      </c>
      <c r="AE1109" s="238">
        <v>110059.0</v>
      </c>
      <c r="AF1109" s="235" t="s">
        <v>631</v>
      </c>
      <c r="AG1109" s="244"/>
      <c r="AH1109" s="244"/>
      <c r="AI1109" s="245"/>
      <c r="AJ1109" s="245"/>
      <c r="AK1109" s="245"/>
      <c r="AL1109" s="245"/>
      <c r="AM1109" s="244"/>
      <c r="AN1109" s="244"/>
      <c r="AO1109" s="238">
        <v>0.0</v>
      </c>
      <c r="AP1109" s="238">
        <v>0.0</v>
      </c>
      <c r="AQ1109" s="235" t="s">
        <v>632</v>
      </c>
      <c r="AR1109" s="243">
        <v>3.71E11</v>
      </c>
      <c r="AS1109" s="235" t="s">
        <v>8807</v>
      </c>
      <c r="AT1109" s="235" t="s">
        <v>533</v>
      </c>
      <c r="AU1109" s="235" t="s">
        <v>634</v>
      </c>
      <c r="AV1109" s="246" t="s">
        <v>635</v>
      </c>
      <c r="AW1109" s="242"/>
      <c r="AX1109" s="242"/>
      <c r="AY1109" s="231"/>
      <c r="AZ1109" s="231"/>
      <c r="BA1109" s="227"/>
      <c r="BB1109" s="231"/>
      <c r="BC1109" s="227"/>
      <c r="BD1109" s="227"/>
      <c r="BE1109" s="227"/>
      <c r="BF1109" s="227"/>
    </row>
    <row r="1110">
      <c r="A1110" s="235" t="s">
        <v>9238</v>
      </c>
      <c r="C1110" s="235" t="s">
        <v>9239</v>
      </c>
      <c r="D1110" s="235" t="s">
        <v>9240</v>
      </c>
      <c r="E1110" s="243">
        <v>6.56E13</v>
      </c>
      <c r="F1110" s="245"/>
      <c r="G1110" s="235" t="s">
        <v>9241</v>
      </c>
      <c r="H1110" s="235" t="s">
        <v>9242</v>
      </c>
      <c r="I1110" s="235" t="s">
        <v>9242</v>
      </c>
      <c r="J1110" s="235" t="s">
        <v>9243</v>
      </c>
      <c r="K1110" s="235" t="s">
        <v>9244</v>
      </c>
      <c r="N1110" s="235" t="s">
        <v>42</v>
      </c>
      <c r="O1110" s="235" t="s">
        <v>204</v>
      </c>
      <c r="P1110" s="238">
        <v>1.0</v>
      </c>
      <c r="Q1110" s="235" t="s">
        <v>627</v>
      </c>
      <c r="R1110" s="238">
        <v>237.14</v>
      </c>
      <c r="S1110" s="238">
        <v>11.86</v>
      </c>
      <c r="T1110" s="238">
        <v>0.0</v>
      </c>
      <c r="U1110" s="238">
        <v>0.0</v>
      </c>
      <c r="V1110" s="238">
        <v>0.0</v>
      </c>
      <c r="W1110" s="238">
        <v>0.0</v>
      </c>
      <c r="X1110" s="235" t="s">
        <v>628</v>
      </c>
      <c r="Z1110" s="244"/>
      <c r="AA1110" s="244"/>
      <c r="AB1110" s="244"/>
      <c r="AC1110" s="235" t="s">
        <v>1671</v>
      </c>
      <c r="AD1110" s="235" t="s">
        <v>666</v>
      </c>
      <c r="AE1110" s="238">
        <v>641006.0</v>
      </c>
      <c r="AF1110" s="235" t="s">
        <v>631</v>
      </c>
      <c r="AG1110" s="244"/>
      <c r="AH1110" s="244"/>
      <c r="AI1110" s="245"/>
      <c r="AJ1110" s="245"/>
      <c r="AK1110" s="245"/>
      <c r="AL1110" s="245"/>
      <c r="AM1110" s="244"/>
      <c r="AN1110" s="244"/>
      <c r="AO1110" s="238">
        <v>0.0</v>
      </c>
      <c r="AP1110" s="238">
        <v>0.0</v>
      </c>
      <c r="AQ1110" s="235" t="s">
        <v>632</v>
      </c>
      <c r="AR1110" s="243">
        <v>3.71E11</v>
      </c>
      <c r="AS1110" s="235" t="s">
        <v>8807</v>
      </c>
      <c r="AT1110" s="235" t="s">
        <v>155</v>
      </c>
      <c r="AU1110" s="235" t="s">
        <v>634</v>
      </c>
      <c r="AV1110" s="246" t="s">
        <v>635</v>
      </c>
      <c r="AW1110" s="242"/>
      <c r="AX1110" s="242"/>
      <c r="AY1110" s="231"/>
      <c r="AZ1110" s="231"/>
      <c r="BA1110" s="227"/>
      <c r="BB1110" s="231"/>
      <c r="BC1110" s="227"/>
      <c r="BD1110" s="227"/>
      <c r="BE1110" s="227"/>
      <c r="BF1110" s="227"/>
    </row>
    <row r="1111">
      <c r="A1111" s="235" t="s">
        <v>9245</v>
      </c>
      <c r="C1111" s="235" t="s">
        <v>9246</v>
      </c>
      <c r="D1111" s="235" t="s">
        <v>9247</v>
      </c>
      <c r="E1111" s="243">
        <v>6.55E13</v>
      </c>
      <c r="F1111" s="245"/>
      <c r="G1111" s="235" t="s">
        <v>9248</v>
      </c>
      <c r="H1111" s="235" t="s">
        <v>9249</v>
      </c>
      <c r="I1111" s="235" t="s">
        <v>9249</v>
      </c>
      <c r="J1111" s="235" t="s">
        <v>9250</v>
      </c>
      <c r="K1111" s="235" t="s">
        <v>9251</v>
      </c>
      <c r="N1111" s="235" t="s">
        <v>136</v>
      </c>
      <c r="O1111" s="235" t="s">
        <v>256</v>
      </c>
      <c r="P1111" s="238">
        <v>1.0</v>
      </c>
      <c r="Q1111" s="235" t="s">
        <v>627</v>
      </c>
      <c r="R1111" s="238">
        <v>246.67</v>
      </c>
      <c r="S1111" s="238">
        <v>12.33</v>
      </c>
      <c r="T1111" s="238">
        <v>0.0</v>
      </c>
      <c r="U1111" s="238">
        <v>0.0</v>
      </c>
      <c r="V1111" s="238">
        <v>0.0</v>
      </c>
      <c r="W1111" s="238">
        <v>0.0</v>
      </c>
      <c r="X1111" s="235" t="s">
        <v>628</v>
      </c>
      <c r="Z1111" s="244"/>
      <c r="AA1111" s="244"/>
      <c r="AB1111" s="244"/>
      <c r="AC1111" s="235" t="s">
        <v>1498</v>
      </c>
      <c r="AD1111" s="235" t="s">
        <v>1499</v>
      </c>
      <c r="AE1111" s="238">
        <v>456010.0</v>
      </c>
      <c r="AF1111" s="235" t="s">
        <v>631</v>
      </c>
      <c r="AG1111" s="244"/>
      <c r="AH1111" s="244"/>
      <c r="AI1111" s="245"/>
      <c r="AJ1111" s="245"/>
      <c r="AK1111" s="245"/>
      <c r="AL1111" s="245"/>
      <c r="AM1111" s="244"/>
      <c r="AN1111" s="244"/>
      <c r="AO1111" s="238">
        <v>0.0</v>
      </c>
      <c r="AP1111" s="238">
        <v>0.0</v>
      </c>
      <c r="AQ1111" s="235" t="s">
        <v>632</v>
      </c>
      <c r="AR1111" s="243">
        <v>3.71E11</v>
      </c>
      <c r="AS1111" s="235" t="s">
        <v>6164</v>
      </c>
      <c r="AT1111" s="235" t="s">
        <v>16</v>
      </c>
      <c r="AU1111" s="235" t="s">
        <v>634</v>
      </c>
      <c r="AV1111" s="246" t="s">
        <v>635</v>
      </c>
      <c r="AW1111" s="242"/>
      <c r="AX1111" s="242"/>
      <c r="AY1111" s="231"/>
      <c r="AZ1111" s="231"/>
      <c r="BA1111" s="227"/>
      <c r="BB1111" s="231"/>
      <c r="BC1111" s="227"/>
      <c r="BD1111" s="227"/>
      <c r="BE1111" s="227"/>
      <c r="BF1111" s="227"/>
    </row>
    <row r="1112">
      <c r="A1112" s="235" t="s">
        <v>9252</v>
      </c>
      <c r="C1112" s="235" t="s">
        <v>9253</v>
      </c>
      <c r="D1112" s="235" t="s">
        <v>9254</v>
      </c>
      <c r="E1112" s="243">
        <v>6.55E13</v>
      </c>
      <c r="F1112" s="245"/>
      <c r="G1112" s="235" t="s">
        <v>9255</v>
      </c>
      <c r="H1112" s="235" t="s">
        <v>9256</v>
      </c>
      <c r="I1112" s="235" t="s">
        <v>9256</v>
      </c>
      <c r="J1112" s="235" t="s">
        <v>9257</v>
      </c>
      <c r="K1112" s="235" t="s">
        <v>9258</v>
      </c>
      <c r="N1112" s="235" t="s">
        <v>144</v>
      </c>
      <c r="O1112" s="235" t="s">
        <v>232</v>
      </c>
      <c r="P1112" s="238">
        <v>1.0</v>
      </c>
      <c r="Q1112" s="235" t="s">
        <v>627</v>
      </c>
      <c r="R1112" s="238">
        <v>665.71</v>
      </c>
      <c r="S1112" s="238">
        <v>32.29</v>
      </c>
      <c r="T1112" s="238">
        <v>0.0</v>
      </c>
      <c r="U1112" s="238">
        <v>0.0</v>
      </c>
      <c r="V1112" s="238">
        <v>0.0</v>
      </c>
      <c r="W1112" s="238">
        <v>0.0</v>
      </c>
      <c r="X1112" s="235" t="s">
        <v>628</v>
      </c>
      <c r="Z1112" s="244"/>
      <c r="AA1112" s="244"/>
      <c r="AB1112" s="244"/>
      <c r="AC1112" s="235" t="s">
        <v>795</v>
      </c>
      <c r="AD1112" s="235" t="s">
        <v>796</v>
      </c>
      <c r="AE1112" s="238">
        <v>110030.0</v>
      </c>
      <c r="AF1112" s="235" t="s">
        <v>631</v>
      </c>
      <c r="AG1112" s="244"/>
      <c r="AH1112" s="244"/>
      <c r="AI1112" s="245"/>
      <c r="AJ1112" s="245"/>
      <c r="AK1112" s="245"/>
      <c r="AL1112" s="245"/>
      <c r="AM1112" s="244"/>
      <c r="AN1112" s="244"/>
      <c r="AO1112" s="238">
        <v>-19.97</v>
      </c>
      <c r="AP1112" s="238">
        <v>0.0</v>
      </c>
      <c r="AQ1112" s="235" t="s">
        <v>632</v>
      </c>
      <c r="AR1112" s="243">
        <v>3.71E11</v>
      </c>
      <c r="AS1112" s="235" t="s">
        <v>8807</v>
      </c>
      <c r="AT1112" s="235" t="s">
        <v>533</v>
      </c>
      <c r="AU1112" s="235" t="s">
        <v>634</v>
      </c>
      <c r="AV1112" s="246" t="s">
        <v>635</v>
      </c>
      <c r="AW1112" s="242"/>
      <c r="AX1112" s="242"/>
      <c r="AY1112" s="231"/>
      <c r="AZ1112" s="231"/>
      <c r="BA1112" s="227"/>
      <c r="BB1112" s="231"/>
      <c r="BC1112" s="227"/>
      <c r="BD1112" s="227"/>
      <c r="BE1112" s="227"/>
      <c r="BF1112" s="227"/>
    </row>
    <row r="1113">
      <c r="A1113" s="235" t="s">
        <v>9259</v>
      </c>
      <c r="C1113" s="235" t="s">
        <v>9260</v>
      </c>
      <c r="D1113" s="235" t="s">
        <v>9261</v>
      </c>
      <c r="E1113" s="243">
        <v>6.55E13</v>
      </c>
      <c r="F1113" s="245"/>
      <c r="G1113" s="235" t="s">
        <v>9255</v>
      </c>
      <c r="H1113" s="235" t="s">
        <v>9262</v>
      </c>
      <c r="I1113" s="235" t="s">
        <v>9262</v>
      </c>
      <c r="J1113" s="235" t="s">
        <v>9263</v>
      </c>
      <c r="K1113" s="235" t="s">
        <v>9258</v>
      </c>
      <c r="N1113" s="235" t="s">
        <v>717</v>
      </c>
      <c r="O1113" s="235" t="s">
        <v>718</v>
      </c>
      <c r="P1113" s="238">
        <v>1.0</v>
      </c>
      <c r="Q1113" s="235" t="s">
        <v>627</v>
      </c>
      <c r="R1113" s="238">
        <v>456.19</v>
      </c>
      <c r="S1113" s="238">
        <v>22.13</v>
      </c>
      <c r="T1113" s="238">
        <v>0.0</v>
      </c>
      <c r="U1113" s="238">
        <v>0.0</v>
      </c>
      <c r="V1113" s="238">
        <v>0.0</v>
      </c>
      <c r="W1113" s="238">
        <v>0.0</v>
      </c>
      <c r="X1113" s="235" t="s">
        <v>628</v>
      </c>
      <c r="Z1113" s="244"/>
      <c r="AA1113" s="244"/>
      <c r="AB1113" s="244"/>
      <c r="AC1113" s="235" t="s">
        <v>795</v>
      </c>
      <c r="AD1113" s="235" t="s">
        <v>796</v>
      </c>
      <c r="AE1113" s="238">
        <v>110030.0</v>
      </c>
      <c r="AF1113" s="235" t="s">
        <v>631</v>
      </c>
      <c r="AG1113" s="244"/>
      <c r="AH1113" s="244"/>
      <c r="AI1113" s="245"/>
      <c r="AJ1113" s="245"/>
      <c r="AK1113" s="245"/>
      <c r="AL1113" s="245"/>
      <c r="AM1113" s="244"/>
      <c r="AN1113" s="244"/>
      <c r="AO1113" s="238">
        <v>-13.69</v>
      </c>
      <c r="AP1113" s="238">
        <v>0.0</v>
      </c>
      <c r="AQ1113" s="235" t="s">
        <v>632</v>
      </c>
      <c r="AR1113" s="243">
        <v>3.71E11</v>
      </c>
      <c r="AS1113" s="235" t="s">
        <v>8807</v>
      </c>
      <c r="AT1113" s="235" t="s">
        <v>533</v>
      </c>
      <c r="AU1113" s="235" t="s">
        <v>634</v>
      </c>
      <c r="AV1113" s="246" t="s">
        <v>635</v>
      </c>
      <c r="AW1113" s="242"/>
      <c r="AX1113" s="242"/>
      <c r="AY1113" s="231"/>
      <c r="AZ1113" s="231"/>
      <c r="BA1113" s="227"/>
      <c r="BB1113" s="231"/>
      <c r="BC1113" s="227"/>
      <c r="BD1113" s="227"/>
      <c r="BE1113" s="227"/>
      <c r="BF1113" s="227"/>
    </row>
    <row r="1114">
      <c r="A1114" s="235" t="s">
        <v>9264</v>
      </c>
      <c r="C1114" s="235" t="s">
        <v>9265</v>
      </c>
      <c r="D1114" s="235" t="s">
        <v>9266</v>
      </c>
      <c r="E1114" s="243">
        <v>6.56E13</v>
      </c>
      <c r="F1114" s="245"/>
      <c r="G1114" s="235" t="s">
        <v>9267</v>
      </c>
      <c r="H1114" s="235" t="s">
        <v>9268</v>
      </c>
      <c r="I1114" s="235" t="s">
        <v>9268</v>
      </c>
      <c r="J1114" s="235" t="s">
        <v>9269</v>
      </c>
      <c r="K1114" s="235" t="s">
        <v>9270</v>
      </c>
      <c r="N1114" s="235" t="s">
        <v>962</v>
      </c>
      <c r="O1114" s="235" t="s">
        <v>963</v>
      </c>
      <c r="P1114" s="238">
        <v>1.0</v>
      </c>
      <c r="Q1114" s="235" t="s">
        <v>627</v>
      </c>
      <c r="R1114" s="238">
        <v>246.66</v>
      </c>
      <c r="S1114" s="238">
        <v>12.34</v>
      </c>
      <c r="T1114" s="238">
        <v>9.04</v>
      </c>
      <c r="U1114" s="238">
        <v>0.46</v>
      </c>
      <c r="V1114" s="238">
        <v>0.0</v>
      </c>
      <c r="W1114" s="238">
        <v>0.0</v>
      </c>
      <c r="X1114" s="235" t="s">
        <v>628</v>
      </c>
      <c r="Z1114" s="244"/>
      <c r="AA1114" s="244"/>
      <c r="AB1114" s="244"/>
      <c r="AC1114" s="235" t="s">
        <v>678</v>
      </c>
      <c r="AD1114" s="235" t="s">
        <v>679</v>
      </c>
      <c r="AE1114" s="238">
        <v>560087.0</v>
      </c>
      <c r="AF1114" s="235" t="s">
        <v>631</v>
      </c>
      <c r="AG1114" s="244"/>
      <c r="AH1114" s="244"/>
      <c r="AI1114" s="245"/>
      <c r="AJ1114" s="245"/>
      <c r="AK1114" s="245"/>
      <c r="AL1114" s="245"/>
      <c r="AM1114" s="244"/>
      <c r="AN1114" s="244"/>
      <c r="AO1114" s="238">
        <v>0.0</v>
      </c>
      <c r="AP1114" s="238">
        <v>-9.04</v>
      </c>
      <c r="AQ1114" s="235" t="s">
        <v>632</v>
      </c>
      <c r="AR1114" s="243">
        <v>1.68E11</v>
      </c>
      <c r="AS1114" s="235" t="s">
        <v>9184</v>
      </c>
      <c r="AT1114" s="235" t="s">
        <v>9</v>
      </c>
      <c r="AU1114" s="235" t="s">
        <v>634</v>
      </c>
      <c r="AV1114" s="246" t="s">
        <v>635</v>
      </c>
      <c r="AW1114" s="242"/>
      <c r="AX1114" s="242"/>
      <c r="AY1114" s="231"/>
      <c r="AZ1114" s="231"/>
      <c r="BA1114" s="227"/>
      <c r="BB1114" s="231"/>
      <c r="BC1114" s="227"/>
      <c r="BD1114" s="227"/>
      <c r="BE1114" s="227"/>
      <c r="BF1114" s="227"/>
    </row>
    <row r="1115">
      <c r="A1115" s="235" t="s">
        <v>9271</v>
      </c>
      <c r="C1115" s="235" t="s">
        <v>9272</v>
      </c>
      <c r="D1115" s="235" t="s">
        <v>9273</v>
      </c>
      <c r="E1115" s="243">
        <v>6.55E13</v>
      </c>
      <c r="F1115" s="245"/>
      <c r="G1115" s="235" t="s">
        <v>9274</v>
      </c>
      <c r="H1115" s="235" t="s">
        <v>9275</v>
      </c>
      <c r="I1115" s="235" t="s">
        <v>9275</v>
      </c>
      <c r="J1115" s="235" t="s">
        <v>9276</v>
      </c>
      <c r="K1115" s="235" t="s">
        <v>9277</v>
      </c>
      <c r="N1115" s="235" t="s">
        <v>127</v>
      </c>
      <c r="O1115" s="235" t="s">
        <v>794</v>
      </c>
      <c r="P1115" s="238">
        <v>1.0</v>
      </c>
      <c r="Q1115" s="235" t="s">
        <v>627</v>
      </c>
      <c r="R1115" s="238">
        <v>246.66</v>
      </c>
      <c r="S1115" s="238">
        <v>12.34</v>
      </c>
      <c r="T1115" s="238">
        <v>0.0</v>
      </c>
      <c r="U1115" s="238">
        <v>0.0</v>
      </c>
      <c r="V1115" s="238">
        <v>0.0</v>
      </c>
      <c r="W1115" s="238">
        <v>0.0</v>
      </c>
      <c r="X1115" s="235" t="s">
        <v>628</v>
      </c>
      <c r="Z1115" s="244"/>
      <c r="AA1115" s="244"/>
      <c r="AB1115" s="244"/>
      <c r="AC1115" s="235" t="s">
        <v>9278</v>
      </c>
      <c r="AD1115" s="235" t="s">
        <v>1077</v>
      </c>
      <c r="AE1115" s="238">
        <v>390012.0</v>
      </c>
      <c r="AF1115" s="235" t="s">
        <v>631</v>
      </c>
      <c r="AG1115" s="244"/>
      <c r="AH1115" s="244"/>
      <c r="AI1115" s="245"/>
      <c r="AJ1115" s="245"/>
      <c r="AK1115" s="245"/>
      <c r="AL1115" s="245"/>
      <c r="AM1115" s="244"/>
      <c r="AN1115" s="244"/>
      <c r="AO1115" s="238">
        <v>0.0</v>
      </c>
      <c r="AP1115" s="238">
        <v>0.0</v>
      </c>
      <c r="AQ1115" s="235" t="s">
        <v>632</v>
      </c>
      <c r="AR1115" s="243">
        <v>1.68E11</v>
      </c>
      <c r="AS1115" s="235" t="s">
        <v>8807</v>
      </c>
      <c r="AT1115" s="235" t="s">
        <v>5</v>
      </c>
      <c r="AU1115" s="235" t="s">
        <v>634</v>
      </c>
      <c r="AV1115" s="246" t="s">
        <v>635</v>
      </c>
      <c r="AW1115" s="242"/>
      <c r="AX1115" s="242"/>
      <c r="AY1115" s="231"/>
      <c r="AZ1115" s="231"/>
      <c r="BA1115" s="227"/>
      <c r="BB1115" s="231"/>
      <c r="BC1115" s="227"/>
      <c r="BD1115" s="227"/>
      <c r="BE1115" s="227"/>
      <c r="BF1115" s="227"/>
    </row>
    <row r="1116">
      <c r="A1116" s="235" t="s">
        <v>9279</v>
      </c>
      <c r="C1116" s="235" t="s">
        <v>9280</v>
      </c>
      <c r="D1116" s="235" t="s">
        <v>9281</v>
      </c>
      <c r="E1116" s="243">
        <v>6.55E13</v>
      </c>
      <c r="F1116" s="245"/>
      <c r="G1116" s="235" t="s">
        <v>9282</v>
      </c>
      <c r="H1116" s="235" t="s">
        <v>9283</v>
      </c>
      <c r="I1116" s="235" t="s">
        <v>9283</v>
      </c>
      <c r="J1116" s="235" t="s">
        <v>9284</v>
      </c>
      <c r="K1116" s="235" t="s">
        <v>9285</v>
      </c>
      <c r="N1116" s="235" t="s">
        <v>106</v>
      </c>
      <c r="O1116" s="235" t="s">
        <v>338</v>
      </c>
      <c r="P1116" s="238">
        <v>1.0</v>
      </c>
      <c r="Q1116" s="235" t="s">
        <v>627</v>
      </c>
      <c r="R1116" s="238">
        <v>246.67</v>
      </c>
      <c r="S1116" s="238">
        <v>12.33</v>
      </c>
      <c r="T1116" s="238">
        <v>38.1</v>
      </c>
      <c r="U1116" s="238">
        <v>1.9</v>
      </c>
      <c r="V1116" s="238">
        <v>0.0</v>
      </c>
      <c r="W1116" s="238">
        <v>0.0</v>
      </c>
      <c r="X1116" s="235" t="s">
        <v>628</v>
      </c>
      <c r="Z1116" s="244"/>
      <c r="AA1116" s="244"/>
      <c r="AB1116" s="244"/>
      <c r="AC1116" s="235" t="s">
        <v>907</v>
      </c>
      <c r="AD1116" s="235" t="s">
        <v>908</v>
      </c>
      <c r="AE1116" s="238">
        <v>248001.0</v>
      </c>
      <c r="AF1116" s="235" t="s">
        <v>631</v>
      </c>
      <c r="AG1116" s="244"/>
      <c r="AH1116" s="244"/>
      <c r="AI1116" s="245"/>
      <c r="AJ1116" s="245"/>
      <c r="AK1116" s="245"/>
      <c r="AL1116" s="245"/>
      <c r="AM1116" s="244"/>
      <c r="AN1116" s="244"/>
      <c r="AO1116" s="238">
        <v>0.0</v>
      </c>
      <c r="AP1116" s="238">
        <v>-38.1</v>
      </c>
      <c r="AQ1116" s="235" t="s">
        <v>632</v>
      </c>
      <c r="AR1116" s="243">
        <v>3.71E11</v>
      </c>
      <c r="AS1116" s="235" t="s">
        <v>6164</v>
      </c>
      <c r="AT1116" s="235" t="s">
        <v>533</v>
      </c>
      <c r="AU1116" s="235" t="s">
        <v>634</v>
      </c>
      <c r="AV1116" s="246" t="s">
        <v>635</v>
      </c>
      <c r="AW1116" s="242"/>
      <c r="AX1116" s="242"/>
      <c r="AY1116" s="231"/>
      <c r="AZ1116" s="231"/>
      <c r="BA1116" s="227"/>
      <c r="BB1116" s="231"/>
      <c r="BC1116" s="227"/>
      <c r="BD1116" s="227"/>
      <c r="BE1116" s="227"/>
      <c r="BF1116" s="227"/>
    </row>
    <row r="1117">
      <c r="A1117" s="235" t="s">
        <v>9286</v>
      </c>
      <c r="C1117" s="235" t="s">
        <v>9287</v>
      </c>
      <c r="D1117" s="235" t="s">
        <v>9288</v>
      </c>
      <c r="E1117" s="243">
        <v>6.55E13</v>
      </c>
      <c r="F1117" s="245"/>
      <c r="G1117" s="235" t="s">
        <v>9289</v>
      </c>
      <c r="H1117" s="235" t="s">
        <v>9290</v>
      </c>
      <c r="I1117" s="235" t="s">
        <v>9290</v>
      </c>
      <c r="J1117" s="235" t="s">
        <v>9291</v>
      </c>
      <c r="K1117" s="235" t="s">
        <v>9292</v>
      </c>
      <c r="N1117" s="235" t="s">
        <v>85</v>
      </c>
      <c r="O1117" s="235" t="s">
        <v>872</v>
      </c>
      <c r="P1117" s="238">
        <v>1.0</v>
      </c>
      <c r="Q1117" s="235" t="s">
        <v>627</v>
      </c>
      <c r="R1117" s="238">
        <v>246.67</v>
      </c>
      <c r="S1117" s="238">
        <v>12.33</v>
      </c>
      <c r="T1117" s="238">
        <v>38.1</v>
      </c>
      <c r="U1117" s="238">
        <v>1.9</v>
      </c>
      <c r="V1117" s="238">
        <v>0.0</v>
      </c>
      <c r="W1117" s="238">
        <v>0.0</v>
      </c>
      <c r="X1117" s="235" t="s">
        <v>628</v>
      </c>
      <c r="Z1117" s="244"/>
      <c r="AA1117" s="244"/>
      <c r="AB1117" s="244"/>
      <c r="AC1117" s="235" t="s">
        <v>9293</v>
      </c>
      <c r="AD1117" s="235" t="s">
        <v>645</v>
      </c>
      <c r="AE1117" s="238">
        <v>690501.0</v>
      </c>
      <c r="AF1117" s="235" t="s">
        <v>631</v>
      </c>
      <c r="AG1117" s="244"/>
      <c r="AH1117" s="244"/>
      <c r="AI1117" s="245"/>
      <c r="AJ1117" s="245"/>
      <c r="AK1117" s="245"/>
      <c r="AL1117" s="245"/>
      <c r="AM1117" s="244"/>
      <c r="AN1117" s="244"/>
      <c r="AO1117" s="238">
        <v>0.0</v>
      </c>
      <c r="AP1117" s="238">
        <v>-38.1</v>
      </c>
      <c r="AQ1117" s="235" t="s">
        <v>632</v>
      </c>
      <c r="AR1117" s="243">
        <v>3.71E11</v>
      </c>
      <c r="AS1117" s="235" t="s">
        <v>6164</v>
      </c>
      <c r="AT1117" s="235" t="s">
        <v>155</v>
      </c>
      <c r="AU1117" s="235" t="s">
        <v>634</v>
      </c>
      <c r="AV1117" s="246" t="s">
        <v>635</v>
      </c>
      <c r="AW1117" s="242"/>
      <c r="AX1117" s="242"/>
      <c r="AY1117" s="231"/>
      <c r="AZ1117" s="231"/>
      <c r="BA1117" s="227"/>
      <c r="BB1117" s="231"/>
      <c r="BC1117" s="227"/>
      <c r="BD1117" s="227"/>
      <c r="BE1117" s="227"/>
      <c r="BF1117" s="227"/>
    </row>
    <row r="1118">
      <c r="A1118" s="235" t="s">
        <v>9294</v>
      </c>
      <c r="C1118" s="235" t="s">
        <v>9295</v>
      </c>
      <c r="D1118" s="235" t="s">
        <v>9296</v>
      </c>
      <c r="E1118" s="243">
        <v>6.55E13</v>
      </c>
      <c r="F1118" s="245"/>
      <c r="G1118" s="235" t="s">
        <v>9297</v>
      </c>
      <c r="H1118" s="235" t="s">
        <v>9298</v>
      </c>
      <c r="I1118" s="235" t="s">
        <v>9299</v>
      </c>
      <c r="J1118" s="235" t="s">
        <v>9300</v>
      </c>
      <c r="K1118" s="235" t="s">
        <v>9301</v>
      </c>
      <c r="N1118" s="235" t="s">
        <v>127</v>
      </c>
      <c r="O1118" s="235" t="s">
        <v>794</v>
      </c>
      <c r="P1118" s="238">
        <v>1.0</v>
      </c>
      <c r="Q1118" s="235" t="s">
        <v>627</v>
      </c>
      <c r="R1118" s="238">
        <v>246.67</v>
      </c>
      <c r="S1118" s="238">
        <v>12.33</v>
      </c>
      <c r="T1118" s="238">
        <v>38.1</v>
      </c>
      <c r="U1118" s="238">
        <v>1.9</v>
      </c>
      <c r="V1118" s="238">
        <v>0.0</v>
      </c>
      <c r="W1118" s="238">
        <v>0.0</v>
      </c>
      <c r="X1118" s="235" t="s">
        <v>628</v>
      </c>
      <c r="Z1118" s="244"/>
      <c r="AA1118" s="244"/>
      <c r="AB1118" s="244"/>
      <c r="AC1118" s="235" t="s">
        <v>9302</v>
      </c>
      <c r="AD1118" s="235" t="s">
        <v>1086</v>
      </c>
      <c r="AE1118" s="238">
        <v>146001.0</v>
      </c>
      <c r="AF1118" s="235" t="s">
        <v>631</v>
      </c>
      <c r="AG1118" s="244"/>
      <c r="AH1118" s="244"/>
      <c r="AI1118" s="245"/>
      <c r="AJ1118" s="245"/>
      <c r="AK1118" s="245"/>
      <c r="AL1118" s="245"/>
      <c r="AM1118" s="244"/>
      <c r="AN1118" s="244"/>
      <c r="AO1118" s="238">
        <v>0.0</v>
      </c>
      <c r="AP1118" s="238">
        <v>-38.1</v>
      </c>
      <c r="AQ1118" s="235" t="s">
        <v>632</v>
      </c>
      <c r="AR1118" s="243">
        <v>3.71E11</v>
      </c>
      <c r="AS1118" s="235" t="s">
        <v>6164</v>
      </c>
      <c r="AT1118" s="235" t="s">
        <v>14</v>
      </c>
      <c r="AU1118" s="235" t="s">
        <v>634</v>
      </c>
      <c r="AV1118" s="246" t="s">
        <v>635</v>
      </c>
      <c r="AW1118" s="242"/>
      <c r="AX1118" s="242"/>
      <c r="AY1118" s="231"/>
      <c r="AZ1118" s="231"/>
      <c r="BA1118" s="227"/>
      <c r="BB1118" s="231"/>
      <c r="BC1118" s="227"/>
      <c r="BD1118" s="227"/>
      <c r="BE1118" s="227"/>
      <c r="BF1118" s="227"/>
    </row>
    <row r="1119">
      <c r="A1119" s="235" t="s">
        <v>9303</v>
      </c>
      <c r="C1119" s="235" t="s">
        <v>9304</v>
      </c>
      <c r="D1119" s="235" t="s">
        <v>9305</v>
      </c>
      <c r="E1119" s="243">
        <v>6.55E13</v>
      </c>
      <c r="F1119" s="245"/>
      <c r="G1119" s="235" t="s">
        <v>9306</v>
      </c>
      <c r="H1119" s="235" t="s">
        <v>9307</v>
      </c>
      <c r="I1119" s="235" t="s">
        <v>9307</v>
      </c>
      <c r="J1119" s="235" t="s">
        <v>9308</v>
      </c>
      <c r="K1119" s="235" t="s">
        <v>9309</v>
      </c>
      <c r="N1119" s="235" t="s">
        <v>136</v>
      </c>
      <c r="O1119" s="235" t="s">
        <v>256</v>
      </c>
      <c r="P1119" s="238">
        <v>1.0</v>
      </c>
      <c r="Q1119" s="235" t="s">
        <v>627</v>
      </c>
      <c r="R1119" s="238">
        <v>246.66</v>
      </c>
      <c r="S1119" s="238">
        <v>12.34</v>
      </c>
      <c r="T1119" s="238">
        <v>9.04</v>
      </c>
      <c r="U1119" s="238">
        <v>0.46</v>
      </c>
      <c r="V1119" s="238">
        <v>0.0</v>
      </c>
      <c r="W1119" s="238">
        <v>0.0</v>
      </c>
      <c r="X1119" s="235" t="s">
        <v>628</v>
      </c>
      <c r="Z1119" s="244"/>
      <c r="AA1119" s="244"/>
      <c r="AB1119" s="244"/>
      <c r="AC1119" s="235" t="s">
        <v>1058</v>
      </c>
      <c r="AD1119" s="235" t="s">
        <v>845</v>
      </c>
      <c r="AE1119" s="238">
        <v>400086.0</v>
      </c>
      <c r="AF1119" s="235" t="s">
        <v>631</v>
      </c>
      <c r="AG1119" s="244"/>
      <c r="AH1119" s="244"/>
      <c r="AI1119" s="245"/>
      <c r="AJ1119" s="245"/>
      <c r="AK1119" s="245"/>
      <c r="AL1119" s="245"/>
      <c r="AM1119" s="244"/>
      <c r="AN1119" s="244"/>
      <c r="AO1119" s="238">
        <v>0.0</v>
      </c>
      <c r="AP1119" s="238">
        <v>-9.04</v>
      </c>
      <c r="AQ1119" s="235" t="s">
        <v>632</v>
      </c>
      <c r="AR1119" s="243">
        <v>1.68E11</v>
      </c>
      <c r="AS1119" s="235" t="s">
        <v>9184</v>
      </c>
      <c r="AT1119" s="235" t="s">
        <v>17</v>
      </c>
      <c r="AU1119" s="235" t="s">
        <v>634</v>
      </c>
      <c r="AV1119" s="246" t="s">
        <v>635</v>
      </c>
      <c r="AW1119" s="242"/>
      <c r="AX1119" s="242"/>
      <c r="AY1119" s="231"/>
      <c r="AZ1119" s="231"/>
      <c r="BA1119" s="227"/>
      <c r="BB1119" s="231"/>
      <c r="BC1119" s="227"/>
      <c r="BD1119" s="227"/>
      <c r="BE1119" s="227"/>
      <c r="BF1119" s="227"/>
    </row>
    <row r="1120">
      <c r="A1120" s="235" t="s">
        <v>9310</v>
      </c>
      <c r="C1120" s="235" t="s">
        <v>9311</v>
      </c>
      <c r="D1120" s="235" t="s">
        <v>9312</v>
      </c>
      <c r="E1120" s="243">
        <v>6.55E13</v>
      </c>
      <c r="F1120" s="245"/>
      <c r="G1120" s="235" t="s">
        <v>9313</v>
      </c>
      <c r="H1120" s="235" t="s">
        <v>9314</v>
      </c>
      <c r="I1120" s="235" t="s">
        <v>9315</v>
      </c>
      <c r="J1120" s="235" t="s">
        <v>9316</v>
      </c>
      <c r="K1120" s="235" t="s">
        <v>9317</v>
      </c>
      <c r="N1120" s="235" t="s">
        <v>82</v>
      </c>
      <c r="O1120" s="235" t="s">
        <v>889</v>
      </c>
      <c r="P1120" s="238">
        <v>1.0</v>
      </c>
      <c r="Q1120" s="235" t="s">
        <v>627</v>
      </c>
      <c r="R1120" s="238">
        <v>246.66</v>
      </c>
      <c r="S1120" s="238">
        <v>12.34</v>
      </c>
      <c r="T1120" s="238">
        <v>0.0</v>
      </c>
      <c r="U1120" s="238">
        <v>0.0</v>
      </c>
      <c r="V1120" s="238">
        <v>0.0</v>
      </c>
      <c r="W1120" s="238">
        <v>0.0</v>
      </c>
      <c r="X1120" s="235" t="s">
        <v>628</v>
      </c>
      <c r="Z1120" s="244"/>
      <c r="AA1120" s="244"/>
      <c r="AB1120" s="244"/>
      <c r="AC1120" s="235" t="s">
        <v>9318</v>
      </c>
      <c r="AD1120" s="235" t="s">
        <v>845</v>
      </c>
      <c r="AE1120" s="238">
        <v>441106.0</v>
      </c>
      <c r="AF1120" s="235" t="s">
        <v>631</v>
      </c>
      <c r="AG1120" s="244"/>
      <c r="AH1120" s="244"/>
      <c r="AI1120" s="245"/>
      <c r="AJ1120" s="245"/>
      <c r="AK1120" s="245"/>
      <c r="AL1120" s="245"/>
      <c r="AM1120" s="244"/>
      <c r="AN1120" s="244"/>
      <c r="AO1120" s="238">
        <v>0.0</v>
      </c>
      <c r="AP1120" s="238">
        <v>0.0</v>
      </c>
      <c r="AQ1120" s="235" t="s">
        <v>632</v>
      </c>
      <c r="AR1120" s="243">
        <v>3.71E11</v>
      </c>
      <c r="AS1120" s="235" t="s">
        <v>4697</v>
      </c>
      <c r="AT1120" s="235" t="s">
        <v>17</v>
      </c>
      <c r="AU1120" s="235" t="s">
        <v>634</v>
      </c>
      <c r="AV1120" s="246" t="s">
        <v>635</v>
      </c>
      <c r="AW1120" s="242"/>
      <c r="AX1120" s="242"/>
      <c r="AY1120" s="231"/>
      <c r="AZ1120" s="231"/>
      <c r="BA1120" s="227"/>
      <c r="BB1120" s="231"/>
      <c r="BC1120" s="227"/>
      <c r="BD1120" s="227"/>
      <c r="BE1120" s="227"/>
      <c r="BF1120" s="227"/>
    </row>
    <row r="1121">
      <c r="A1121" s="235" t="s">
        <v>9319</v>
      </c>
      <c r="C1121" s="235" t="s">
        <v>9320</v>
      </c>
      <c r="D1121" s="235" t="s">
        <v>9321</v>
      </c>
      <c r="E1121" s="243">
        <v>6.56E13</v>
      </c>
      <c r="F1121" s="245"/>
      <c r="G1121" s="235" t="s">
        <v>9322</v>
      </c>
      <c r="H1121" s="235" t="s">
        <v>9323</v>
      </c>
      <c r="I1121" s="235" t="s">
        <v>9323</v>
      </c>
      <c r="J1121" s="235" t="s">
        <v>9324</v>
      </c>
      <c r="K1121" s="235" t="s">
        <v>9325</v>
      </c>
      <c r="N1121" s="235" t="s">
        <v>85</v>
      </c>
      <c r="O1121" s="235" t="s">
        <v>872</v>
      </c>
      <c r="P1121" s="238">
        <v>1.0</v>
      </c>
      <c r="Q1121" s="235" t="s">
        <v>627</v>
      </c>
      <c r="R1121" s="238">
        <v>246.67</v>
      </c>
      <c r="S1121" s="238">
        <v>12.33</v>
      </c>
      <c r="T1121" s="238">
        <v>0.0</v>
      </c>
      <c r="U1121" s="238">
        <v>0.0</v>
      </c>
      <c r="V1121" s="238">
        <v>0.0</v>
      </c>
      <c r="W1121" s="238">
        <v>0.0</v>
      </c>
      <c r="X1121" s="235" t="s">
        <v>628</v>
      </c>
      <c r="Z1121" s="244"/>
      <c r="AA1121" s="244"/>
      <c r="AB1121" s="244"/>
      <c r="AC1121" s="235" t="s">
        <v>9326</v>
      </c>
      <c r="AD1121" s="235" t="s">
        <v>891</v>
      </c>
      <c r="AE1121" s="238">
        <v>605107.0</v>
      </c>
      <c r="AF1121" s="235" t="s">
        <v>631</v>
      </c>
      <c r="AG1121" s="244"/>
      <c r="AH1121" s="244"/>
      <c r="AI1121" s="245"/>
      <c r="AJ1121" s="245"/>
      <c r="AK1121" s="245"/>
      <c r="AL1121" s="245"/>
      <c r="AM1121" s="244"/>
      <c r="AN1121" s="244"/>
      <c r="AO1121" s="238">
        <v>0.0</v>
      </c>
      <c r="AP1121" s="238">
        <v>0.0</v>
      </c>
      <c r="AQ1121" s="235" t="s">
        <v>632</v>
      </c>
      <c r="AR1121" s="243">
        <v>1.68E11</v>
      </c>
      <c r="AS1121" s="235" t="s">
        <v>8807</v>
      </c>
      <c r="AT1121" s="235" t="s">
        <v>156</v>
      </c>
      <c r="AU1121" s="235" t="s">
        <v>634</v>
      </c>
      <c r="AV1121" s="246" t="s">
        <v>635</v>
      </c>
      <c r="AW1121" s="242"/>
      <c r="AX1121" s="242"/>
      <c r="AY1121" s="231"/>
      <c r="AZ1121" s="231"/>
      <c r="BA1121" s="227"/>
      <c r="BB1121" s="231"/>
      <c r="BC1121" s="227"/>
      <c r="BD1121" s="227"/>
      <c r="BE1121" s="227"/>
      <c r="BF1121" s="227"/>
    </row>
    <row r="1122">
      <c r="A1122" s="235" t="s">
        <v>9327</v>
      </c>
      <c r="C1122" s="235" t="s">
        <v>9328</v>
      </c>
      <c r="D1122" s="235" t="s">
        <v>9329</v>
      </c>
      <c r="E1122" s="243">
        <v>6.56E13</v>
      </c>
      <c r="F1122" s="245"/>
      <c r="G1122" s="235" t="s">
        <v>9330</v>
      </c>
      <c r="H1122" s="235" t="s">
        <v>9331</v>
      </c>
      <c r="I1122" s="235" t="s">
        <v>9331</v>
      </c>
      <c r="J1122" s="235" t="s">
        <v>9332</v>
      </c>
      <c r="K1122" s="235" t="s">
        <v>9333</v>
      </c>
      <c r="N1122" s="235" t="s">
        <v>842</v>
      </c>
      <c r="O1122" s="235" t="s">
        <v>843</v>
      </c>
      <c r="P1122" s="238">
        <v>1.0</v>
      </c>
      <c r="Q1122" s="235" t="s">
        <v>627</v>
      </c>
      <c r="R1122" s="238">
        <v>246.66</v>
      </c>
      <c r="S1122" s="238">
        <v>12.34</v>
      </c>
      <c r="T1122" s="238">
        <v>18.1</v>
      </c>
      <c r="U1122" s="238">
        <v>0.9</v>
      </c>
      <c r="V1122" s="238">
        <v>0.0</v>
      </c>
      <c r="W1122" s="238">
        <v>0.0</v>
      </c>
      <c r="X1122" s="235" t="s">
        <v>628</v>
      </c>
      <c r="Z1122" s="244"/>
      <c r="AA1122" s="244"/>
      <c r="AB1122" s="244"/>
      <c r="AC1122" s="235" t="s">
        <v>678</v>
      </c>
      <c r="AD1122" s="235" t="s">
        <v>679</v>
      </c>
      <c r="AE1122" s="238">
        <v>560087.0</v>
      </c>
      <c r="AF1122" s="235" t="s">
        <v>631</v>
      </c>
      <c r="AG1122" s="244"/>
      <c r="AH1122" s="244"/>
      <c r="AI1122" s="245"/>
      <c r="AJ1122" s="245"/>
      <c r="AK1122" s="245"/>
      <c r="AL1122" s="245"/>
      <c r="AM1122" s="244"/>
      <c r="AN1122" s="244"/>
      <c r="AO1122" s="238">
        <v>0.0</v>
      </c>
      <c r="AP1122" s="238">
        <v>-18.1</v>
      </c>
      <c r="AQ1122" s="235" t="s">
        <v>632</v>
      </c>
      <c r="AR1122" s="243">
        <v>1.68E11</v>
      </c>
      <c r="AS1122" s="235" t="s">
        <v>9184</v>
      </c>
      <c r="AT1122" s="235" t="s">
        <v>11</v>
      </c>
      <c r="AU1122" s="235" t="s">
        <v>634</v>
      </c>
      <c r="AV1122" s="246" t="s">
        <v>635</v>
      </c>
      <c r="AW1122" s="242"/>
      <c r="AX1122" s="242"/>
      <c r="AY1122" s="231"/>
      <c r="AZ1122" s="231"/>
      <c r="BA1122" s="227"/>
      <c r="BB1122" s="227"/>
      <c r="BC1122" s="227"/>
      <c r="BD1122" s="227"/>
      <c r="BE1122" s="227"/>
      <c r="BF1122" s="227"/>
    </row>
    <row r="1123">
      <c r="A1123" s="235" t="s">
        <v>9334</v>
      </c>
      <c r="C1123" s="235" t="s">
        <v>9335</v>
      </c>
      <c r="D1123" s="235" t="s">
        <v>9336</v>
      </c>
      <c r="E1123" s="243">
        <v>6.55E13</v>
      </c>
      <c r="F1123" s="245"/>
      <c r="G1123" s="235" t="s">
        <v>9337</v>
      </c>
      <c r="H1123" s="235" t="s">
        <v>9338</v>
      </c>
      <c r="I1123" s="235" t="s">
        <v>9338</v>
      </c>
      <c r="J1123" s="235" t="s">
        <v>9339</v>
      </c>
      <c r="K1123" s="235" t="s">
        <v>9340</v>
      </c>
      <c r="N1123" s="235" t="s">
        <v>962</v>
      </c>
      <c r="O1123" s="235" t="s">
        <v>963</v>
      </c>
      <c r="P1123" s="238">
        <v>1.0</v>
      </c>
      <c r="Q1123" s="235" t="s">
        <v>627</v>
      </c>
      <c r="R1123" s="238">
        <v>246.67</v>
      </c>
      <c r="S1123" s="238">
        <v>12.33</v>
      </c>
      <c r="T1123" s="238">
        <v>0.0</v>
      </c>
      <c r="U1123" s="238">
        <v>0.0</v>
      </c>
      <c r="V1123" s="238">
        <v>0.0</v>
      </c>
      <c r="W1123" s="238">
        <v>0.0</v>
      </c>
      <c r="X1123" s="235" t="s">
        <v>628</v>
      </c>
      <c r="Z1123" s="244"/>
      <c r="AA1123" s="244"/>
      <c r="AB1123" s="244"/>
      <c r="AC1123" s="235" t="s">
        <v>9341</v>
      </c>
      <c r="AD1123" s="235" t="s">
        <v>2688</v>
      </c>
      <c r="AE1123" s="238">
        <v>181201.0</v>
      </c>
      <c r="AF1123" s="235" t="s">
        <v>631</v>
      </c>
      <c r="AG1123" s="244"/>
      <c r="AH1123" s="244"/>
      <c r="AI1123" s="245"/>
      <c r="AJ1123" s="245"/>
      <c r="AK1123" s="245"/>
      <c r="AL1123" s="245"/>
      <c r="AM1123" s="244"/>
      <c r="AN1123" s="244"/>
      <c r="AO1123" s="238">
        <v>0.0</v>
      </c>
      <c r="AP1123" s="238">
        <v>0.0</v>
      </c>
      <c r="AQ1123" s="235" t="s">
        <v>632</v>
      </c>
      <c r="AR1123" s="243">
        <v>3.71E11</v>
      </c>
      <c r="AS1123" s="235" t="s">
        <v>3284</v>
      </c>
      <c r="AT1123" s="235" t="s">
        <v>17</v>
      </c>
      <c r="AU1123" s="235" t="s">
        <v>634</v>
      </c>
      <c r="AV1123" s="246" t="s">
        <v>635</v>
      </c>
      <c r="AW1123" s="242"/>
      <c r="AX1123" s="242"/>
      <c r="AY1123" s="231"/>
      <c r="AZ1123" s="231"/>
      <c r="BA1123" s="227"/>
      <c r="BB1123" s="231"/>
      <c r="BC1123" s="227"/>
      <c r="BD1123" s="227"/>
      <c r="BE1123" s="227"/>
      <c r="BF1123" s="227"/>
    </row>
    <row r="1124">
      <c r="A1124" s="235" t="s">
        <v>9342</v>
      </c>
      <c r="C1124" s="235" t="s">
        <v>9343</v>
      </c>
      <c r="D1124" s="235" t="s">
        <v>9344</v>
      </c>
      <c r="E1124" s="243">
        <v>6.55E13</v>
      </c>
      <c r="F1124" s="245"/>
      <c r="G1124" s="235" t="s">
        <v>9345</v>
      </c>
      <c r="H1124" s="235" t="s">
        <v>9346</v>
      </c>
      <c r="I1124" s="235" t="s">
        <v>9346</v>
      </c>
      <c r="J1124" s="235" t="s">
        <v>9347</v>
      </c>
      <c r="K1124" s="235" t="s">
        <v>9348</v>
      </c>
      <c r="N1124" s="235" t="s">
        <v>566</v>
      </c>
      <c r="O1124" s="235" t="s">
        <v>1834</v>
      </c>
      <c r="P1124" s="238">
        <v>1.0</v>
      </c>
      <c r="Q1124" s="235" t="s">
        <v>627</v>
      </c>
      <c r="R1124" s="238">
        <v>422.88</v>
      </c>
      <c r="S1124" s="238">
        <v>76.12</v>
      </c>
      <c r="T1124" s="238">
        <v>0.0</v>
      </c>
      <c r="U1124" s="238">
        <v>0.0</v>
      </c>
      <c r="V1124" s="238">
        <v>0.0</v>
      </c>
      <c r="W1124" s="238">
        <v>0.0</v>
      </c>
      <c r="X1124" s="235" t="s">
        <v>628</v>
      </c>
      <c r="Z1124" s="244"/>
      <c r="AA1124" s="244"/>
      <c r="AB1124" s="244"/>
      <c r="AC1124" s="235" t="s">
        <v>5444</v>
      </c>
      <c r="AD1124" s="235" t="s">
        <v>645</v>
      </c>
      <c r="AE1124" s="238">
        <v>680519.0</v>
      </c>
      <c r="AF1124" s="235" t="s">
        <v>631</v>
      </c>
      <c r="AG1124" s="244"/>
      <c r="AH1124" s="244"/>
      <c r="AI1124" s="245"/>
      <c r="AJ1124" s="245"/>
      <c r="AK1124" s="245"/>
      <c r="AL1124" s="245"/>
      <c r="AM1124" s="244"/>
      <c r="AN1124" s="244"/>
      <c r="AO1124" s="238">
        <v>0.0</v>
      </c>
      <c r="AP1124" s="238">
        <v>0.0</v>
      </c>
      <c r="AQ1124" s="235" t="s">
        <v>632</v>
      </c>
      <c r="AR1124" s="243">
        <v>3.71E11</v>
      </c>
      <c r="AS1124" s="235" t="s">
        <v>8807</v>
      </c>
      <c r="AT1124" s="235" t="s">
        <v>155</v>
      </c>
      <c r="AU1124" s="235" t="s">
        <v>634</v>
      </c>
      <c r="AV1124" s="246" t="s">
        <v>635</v>
      </c>
      <c r="AW1124" s="242"/>
      <c r="AX1124" s="242"/>
      <c r="AY1124" s="231"/>
      <c r="AZ1124" s="231"/>
      <c r="BA1124" s="227"/>
      <c r="BB1124" s="231"/>
      <c r="BC1124" s="227"/>
      <c r="BD1124" s="227"/>
      <c r="BE1124" s="227"/>
      <c r="BF1124" s="227"/>
    </row>
    <row r="1125">
      <c r="A1125" s="235" t="s">
        <v>9349</v>
      </c>
      <c r="C1125" s="235" t="s">
        <v>9350</v>
      </c>
      <c r="D1125" s="235" t="s">
        <v>9351</v>
      </c>
      <c r="E1125" s="243">
        <v>6.56E13</v>
      </c>
      <c r="F1125" s="245"/>
      <c r="G1125" s="235" t="s">
        <v>9352</v>
      </c>
      <c r="H1125" s="235" t="s">
        <v>9353</v>
      </c>
      <c r="I1125" s="235" t="s">
        <v>9354</v>
      </c>
      <c r="J1125" s="235" t="s">
        <v>9355</v>
      </c>
      <c r="K1125" s="235" t="s">
        <v>9356</v>
      </c>
      <c r="N1125" s="235" t="s">
        <v>43</v>
      </c>
      <c r="O1125" s="235" t="s">
        <v>276</v>
      </c>
      <c r="P1125" s="238">
        <v>1.0</v>
      </c>
      <c r="Q1125" s="235" t="s">
        <v>627</v>
      </c>
      <c r="R1125" s="238">
        <v>237.14</v>
      </c>
      <c r="S1125" s="238">
        <v>11.62</v>
      </c>
      <c r="T1125" s="238">
        <v>0.0</v>
      </c>
      <c r="U1125" s="238">
        <v>0.0</v>
      </c>
      <c r="V1125" s="238">
        <v>0.0</v>
      </c>
      <c r="W1125" s="238">
        <v>0.0</v>
      </c>
      <c r="X1125" s="235" t="s">
        <v>628</v>
      </c>
      <c r="Z1125" s="244"/>
      <c r="AA1125" s="244"/>
      <c r="AB1125" s="244"/>
      <c r="AC1125" s="235" t="s">
        <v>1095</v>
      </c>
      <c r="AD1125" s="235" t="s">
        <v>845</v>
      </c>
      <c r="AE1125" s="238">
        <v>400709.0</v>
      </c>
      <c r="AF1125" s="235" t="s">
        <v>631</v>
      </c>
      <c r="AG1125" s="244"/>
      <c r="AH1125" s="244"/>
      <c r="AI1125" s="245"/>
      <c r="AJ1125" s="245"/>
      <c r="AK1125" s="245"/>
      <c r="AL1125" s="245"/>
      <c r="AM1125" s="244"/>
      <c r="AN1125" s="244"/>
      <c r="AO1125" s="238">
        <v>-4.74</v>
      </c>
      <c r="AP1125" s="238">
        <v>0.0</v>
      </c>
      <c r="AQ1125" s="235" t="s">
        <v>632</v>
      </c>
      <c r="AR1125" s="243">
        <v>3.71E11</v>
      </c>
      <c r="AS1125" s="235" t="s">
        <v>8807</v>
      </c>
      <c r="AT1125" s="235" t="s">
        <v>17</v>
      </c>
      <c r="AU1125" s="235" t="s">
        <v>634</v>
      </c>
      <c r="AV1125" s="246" t="s">
        <v>635</v>
      </c>
      <c r="AW1125" s="242"/>
      <c r="AX1125" s="242"/>
      <c r="AY1125" s="231"/>
      <c r="AZ1125" s="231"/>
      <c r="BA1125" s="227"/>
      <c r="BB1125" s="231"/>
      <c r="BC1125" s="227"/>
      <c r="BD1125" s="227"/>
      <c r="BE1125" s="227"/>
      <c r="BF1125" s="227"/>
    </row>
    <row r="1126">
      <c r="A1126" s="235" t="s">
        <v>9358</v>
      </c>
      <c r="C1126" s="235" t="s">
        <v>9359</v>
      </c>
      <c r="D1126" s="235" t="s">
        <v>9360</v>
      </c>
      <c r="E1126" s="243">
        <v>6.48E13</v>
      </c>
      <c r="F1126" s="245"/>
      <c r="G1126" s="235" t="s">
        <v>9361</v>
      </c>
      <c r="H1126" s="235" t="s">
        <v>9362</v>
      </c>
      <c r="I1126" s="235" t="s">
        <v>9362</v>
      </c>
      <c r="J1126" s="235" t="s">
        <v>9363</v>
      </c>
      <c r="K1126" s="235" t="s">
        <v>9364</v>
      </c>
      <c r="N1126" s="235" t="s">
        <v>4781</v>
      </c>
      <c r="O1126" s="235" t="s">
        <v>4782</v>
      </c>
      <c r="P1126" s="238">
        <v>1.0</v>
      </c>
      <c r="Q1126" s="235" t="s">
        <v>627</v>
      </c>
      <c r="R1126" s="238">
        <v>507.63</v>
      </c>
      <c r="S1126" s="238">
        <v>89.54</v>
      </c>
      <c r="T1126" s="238">
        <v>0.0</v>
      </c>
      <c r="U1126" s="238">
        <v>0.0</v>
      </c>
      <c r="V1126" s="238">
        <v>0.0</v>
      </c>
      <c r="W1126" s="238">
        <v>0.0</v>
      </c>
      <c r="X1126" s="235" t="s">
        <v>628</v>
      </c>
      <c r="Z1126" s="244"/>
      <c r="AA1126" s="244"/>
      <c r="AB1126" s="244"/>
      <c r="AC1126" s="235" t="s">
        <v>9365</v>
      </c>
      <c r="AD1126" s="235" t="s">
        <v>2688</v>
      </c>
      <c r="AE1126" s="238">
        <v>180015.0</v>
      </c>
      <c r="AF1126" s="235" t="s">
        <v>631</v>
      </c>
      <c r="AG1126" s="244"/>
      <c r="AH1126" s="244"/>
      <c r="AI1126" s="245"/>
      <c r="AJ1126" s="245"/>
      <c r="AK1126" s="245"/>
      <c r="AL1126" s="245"/>
      <c r="AM1126" s="244"/>
      <c r="AN1126" s="244"/>
      <c r="AO1126" s="238">
        <v>-10.15</v>
      </c>
      <c r="AP1126" s="238">
        <v>0.0</v>
      </c>
      <c r="AQ1126" s="235" t="s">
        <v>632</v>
      </c>
      <c r="AR1126" s="243">
        <v>1.68E11</v>
      </c>
      <c r="AS1126" s="235" t="s">
        <v>7365</v>
      </c>
      <c r="AT1126" s="235" t="s">
        <v>13</v>
      </c>
      <c r="AU1126" s="235" t="s">
        <v>634</v>
      </c>
      <c r="AV1126" s="246" t="s">
        <v>635</v>
      </c>
      <c r="AW1126" s="242"/>
      <c r="AX1126" s="242"/>
      <c r="AY1126" s="231"/>
      <c r="AZ1126" s="231"/>
      <c r="BA1126" s="227"/>
      <c r="BB1126" s="231"/>
      <c r="BC1126" s="227"/>
      <c r="BD1126" s="227"/>
      <c r="BE1126" s="227"/>
      <c r="BF1126" s="227"/>
    </row>
    <row r="1127">
      <c r="A1127" s="235" t="s">
        <v>9366</v>
      </c>
      <c r="C1127" s="235" t="s">
        <v>9367</v>
      </c>
      <c r="D1127" s="235" t="s">
        <v>9368</v>
      </c>
      <c r="E1127" s="243">
        <v>6.55E13</v>
      </c>
      <c r="F1127" s="245"/>
      <c r="G1127" s="235" t="s">
        <v>9369</v>
      </c>
      <c r="H1127" s="235" t="s">
        <v>9370</v>
      </c>
      <c r="I1127" s="235" t="s">
        <v>9370</v>
      </c>
      <c r="J1127" s="235" t="s">
        <v>9371</v>
      </c>
      <c r="K1127" s="235" t="s">
        <v>9372</v>
      </c>
      <c r="N1127" s="235" t="s">
        <v>139</v>
      </c>
      <c r="O1127" s="235" t="s">
        <v>2091</v>
      </c>
      <c r="P1127" s="238">
        <v>1.0</v>
      </c>
      <c r="Q1127" s="235" t="s">
        <v>627</v>
      </c>
      <c r="R1127" s="238">
        <v>246.66</v>
      </c>
      <c r="S1127" s="238">
        <v>12.34</v>
      </c>
      <c r="T1127" s="238">
        <v>0.0</v>
      </c>
      <c r="U1127" s="238">
        <v>0.0</v>
      </c>
      <c r="V1127" s="238">
        <v>0.0</v>
      </c>
      <c r="W1127" s="238">
        <v>0.0</v>
      </c>
      <c r="X1127" s="235" t="s">
        <v>628</v>
      </c>
      <c r="Z1127" s="244"/>
      <c r="AA1127" s="244"/>
      <c r="AB1127" s="244"/>
      <c r="AC1127" s="235" t="s">
        <v>687</v>
      </c>
      <c r="AD1127" s="235" t="s">
        <v>666</v>
      </c>
      <c r="AE1127" s="238">
        <v>600018.0</v>
      </c>
      <c r="AF1127" s="235" t="s">
        <v>631</v>
      </c>
      <c r="AG1127" s="244"/>
      <c r="AH1127" s="244"/>
      <c r="AI1127" s="245"/>
      <c r="AJ1127" s="245"/>
      <c r="AK1127" s="245"/>
      <c r="AL1127" s="245"/>
      <c r="AM1127" s="244"/>
      <c r="AN1127" s="244"/>
      <c r="AO1127" s="238">
        <v>0.0</v>
      </c>
      <c r="AP1127" s="238">
        <v>0.0</v>
      </c>
      <c r="AQ1127" s="235" t="s">
        <v>632</v>
      </c>
      <c r="AR1127" s="243">
        <v>1.68E11</v>
      </c>
      <c r="AS1127" s="235" t="s">
        <v>9184</v>
      </c>
      <c r="AT1127" s="235" t="s">
        <v>156</v>
      </c>
      <c r="AU1127" s="235" t="s">
        <v>634</v>
      </c>
      <c r="AV1127" s="246" t="s">
        <v>635</v>
      </c>
      <c r="AW1127" s="242"/>
      <c r="AX1127" s="242"/>
      <c r="AY1127" s="231"/>
      <c r="AZ1127" s="231"/>
      <c r="BA1127" s="227"/>
      <c r="BB1127" s="231"/>
      <c r="BC1127" s="227"/>
      <c r="BD1127" s="227"/>
      <c r="BE1127" s="227"/>
      <c r="BF1127" s="227"/>
    </row>
    <row r="1128">
      <c r="A1128" s="235" t="s">
        <v>9373</v>
      </c>
      <c r="C1128" s="235" t="s">
        <v>9374</v>
      </c>
      <c r="D1128" s="235" t="s">
        <v>9375</v>
      </c>
      <c r="E1128" s="243">
        <v>6.56E13</v>
      </c>
      <c r="F1128" s="245"/>
      <c r="G1128" s="235" t="s">
        <v>9376</v>
      </c>
      <c r="H1128" s="235" t="s">
        <v>9377</v>
      </c>
      <c r="I1128" s="235" t="s">
        <v>9377</v>
      </c>
      <c r="J1128" s="235" t="s">
        <v>9378</v>
      </c>
      <c r="K1128" s="235" t="s">
        <v>9379</v>
      </c>
      <c r="N1128" s="235" t="s">
        <v>130</v>
      </c>
      <c r="O1128" s="235" t="s">
        <v>707</v>
      </c>
      <c r="P1128" s="238">
        <v>1.0</v>
      </c>
      <c r="Q1128" s="235" t="s">
        <v>627</v>
      </c>
      <c r="R1128" s="238">
        <v>246.67</v>
      </c>
      <c r="S1128" s="238">
        <v>12.33</v>
      </c>
      <c r="T1128" s="238">
        <v>0.0</v>
      </c>
      <c r="U1128" s="238">
        <v>0.0</v>
      </c>
      <c r="V1128" s="238">
        <v>0.0</v>
      </c>
      <c r="W1128" s="238">
        <v>0.0</v>
      </c>
      <c r="X1128" s="235" t="s">
        <v>628</v>
      </c>
      <c r="Z1128" s="244"/>
      <c r="AA1128" s="244"/>
      <c r="AB1128" s="244"/>
      <c r="AC1128" s="235" t="s">
        <v>9380</v>
      </c>
      <c r="AD1128" s="235" t="s">
        <v>645</v>
      </c>
      <c r="AE1128" s="238">
        <v>680541.0</v>
      </c>
      <c r="AF1128" s="235" t="s">
        <v>631</v>
      </c>
      <c r="AG1128" s="244"/>
      <c r="AH1128" s="244"/>
      <c r="AI1128" s="245"/>
      <c r="AJ1128" s="245"/>
      <c r="AK1128" s="245"/>
      <c r="AL1128" s="245"/>
      <c r="AM1128" s="244"/>
      <c r="AN1128" s="244"/>
      <c r="AO1128" s="238">
        <v>0.0</v>
      </c>
      <c r="AP1128" s="238">
        <v>0.0</v>
      </c>
      <c r="AQ1128" s="235" t="s">
        <v>632</v>
      </c>
      <c r="AR1128" s="243">
        <v>3.71E11</v>
      </c>
      <c r="AS1128" s="235" t="s">
        <v>8807</v>
      </c>
      <c r="AT1128" s="235" t="s">
        <v>155</v>
      </c>
      <c r="AU1128" s="235" t="s">
        <v>634</v>
      </c>
      <c r="AV1128" s="246" t="s">
        <v>635</v>
      </c>
      <c r="AW1128" s="242"/>
      <c r="AX1128" s="242"/>
      <c r="AY1128" s="231"/>
      <c r="AZ1128" s="231"/>
      <c r="BA1128" s="227"/>
      <c r="BB1128" s="231"/>
      <c r="BC1128" s="227"/>
      <c r="BD1128" s="227"/>
      <c r="BE1128" s="227"/>
      <c r="BF1128" s="227"/>
    </row>
    <row r="1129">
      <c r="A1129" s="235" t="s">
        <v>9381</v>
      </c>
      <c r="C1129" s="235" t="s">
        <v>9382</v>
      </c>
      <c r="D1129" s="235" t="s">
        <v>9383</v>
      </c>
      <c r="E1129" s="243">
        <v>6.55E13</v>
      </c>
      <c r="F1129" s="245"/>
      <c r="G1129" s="235" t="s">
        <v>9384</v>
      </c>
      <c r="H1129" s="235" t="s">
        <v>9385</v>
      </c>
      <c r="I1129" s="235" t="s">
        <v>9385</v>
      </c>
      <c r="J1129" s="235" t="s">
        <v>9386</v>
      </c>
      <c r="K1129" s="235" t="s">
        <v>9387</v>
      </c>
      <c r="N1129" s="235" t="s">
        <v>51</v>
      </c>
      <c r="O1129" s="235" t="s">
        <v>273</v>
      </c>
      <c r="P1129" s="238">
        <v>1.0</v>
      </c>
      <c r="Q1129" s="235" t="s">
        <v>627</v>
      </c>
      <c r="R1129" s="238">
        <v>237.14</v>
      </c>
      <c r="S1129" s="238">
        <v>11.86</v>
      </c>
      <c r="T1129" s="238">
        <v>38.1</v>
      </c>
      <c r="U1129" s="238">
        <v>1.9</v>
      </c>
      <c r="V1129" s="238">
        <v>0.0</v>
      </c>
      <c r="W1129" s="238">
        <v>0.0</v>
      </c>
      <c r="X1129" s="235" t="s">
        <v>628</v>
      </c>
      <c r="Z1129" s="244"/>
      <c r="AA1129" s="244"/>
      <c r="AB1129" s="244"/>
      <c r="AC1129" s="235" t="s">
        <v>814</v>
      </c>
      <c r="AD1129" s="235" t="s">
        <v>698</v>
      </c>
      <c r="AE1129" s="238">
        <v>500079.0</v>
      </c>
      <c r="AF1129" s="235" t="s">
        <v>631</v>
      </c>
      <c r="AG1129" s="244"/>
      <c r="AH1129" s="244"/>
      <c r="AI1129" s="245"/>
      <c r="AJ1129" s="245"/>
      <c r="AK1129" s="245"/>
      <c r="AL1129" s="245"/>
      <c r="AM1129" s="244"/>
      <c r="AN1129" s="244"/>
      <c r="AO1129" s="238">
        <v>0.0</v>
      </c>
      <c r="AP1129" s="238">
        <v>-38.1</v>
      </c>
      <c r="AQ1129" s="235" t="s">
        <v>632</v>
      </c>
      <c r="AR1129" s="243">
        <v>3.71E11</v>
      </c>
      <c r="AS1129" s="235" t="s">
        <v>6164</v>
      </c>
      <c r="AT1129" s="235" t="s">
        <v>16</v>
      </c>
      <c r="AU1129" s="235" t="s">
        <v>634</v>
      </c>
      <c r="AV1129" s="246" t="s">
        <v>635</v>
      </c>
      <c r="AW1129" s="242"/>
      <c r="AX1129" s="242"/>
      <c r="AY1129" s="231"/>
      <c r="AZ1129" s="231"/>
      <c r="BA1129" s="227"/>
      <c r="BB1129" s="231"/>
      <c r="BC1129" s="227"/>
      <c r="BD1129" s="227"/>
      <c r="BE1129" s="227"/>
      <c r="BF1129" s="227"/>
    </row>
    <row r="1130">
      <c r="A1130" s="235" t="s">
        <v>9388</v>
      </c>
      <c r="C1130" s="235" t="s">
        <v>9389</v>
      </c>
      <c r="D1130" s="235" t="s">
        <v>9390</v>
      </c>
      <c r="E1130" s="243">
        <v>6.55E13</v>
      </c>
      <c r="F1130" s="245"/>
      <c r="G1130" s="235" t="s">
        <v>9391</v>
      </c>
      <c r="H1130" s="235" t="s">
        <v>9392</v>
      </c>
      <c r="I1130" s="235" t="s">
        <v>9392</v>
      </c>
      <c r="J1130" s="235" t="s">
        <v>9393</v>
      </c>
      <c r="K1130" s="235" t="s">
        <v>9394</v>
      </c>
      <c r="N1130" s="235" t="s">
        <v>136</v>
      </c>
      <c r="O1130" s="235" t="s">
        <v>256</v>
      </c>
      <c r="P1130" s="238">
        <v>1.0</v>
      </c>
      <c r="Q1130" s="235" t="s">
        <v>627</v>
      </c>
      <c r="R1130" s="238">
        <v>246.67</v>
      </c>
      <c r="S1130" s="238">
        <v>12.33</v>
      </c>
      <c r="T1130" s="238">
        <v>0.0</v>
      </c>
      <c r="U1130" s="238">
        <v>0.0</v>
      </c>
      <c r="V1130" s="238">
        <v>0.0</v>
      </c>
      <c r="W1130" s="238">
        <v>0.0</v>
      </c>
      <c r="X1130" s="235" t="s">
        <v>628</v>
      </c>
      <c r="Z1130" s="244"/>
      <c r="AA1130" s="244"/>
      <c r="AB1130" s="244"/>
      <c r="AC1130" s="235" t="s">
        <v>9395</v>
      </c>
      <c r="AD1130" s="235" t="s">
        <v>630</v>
      </c>
      <c r="AE1130" s="238">
        <v>246749.0</v>
      </c>
      <c r="AF1130" s="235" t="s">
        <v>631</v>
      </c>
      <c r="AG1130" s="244"/>
      <c r="AH1130" s="244"/>
      <c r="AI1130" s="245"/>
      <c r="AJ1130" s="245"/>
      <c r="AK1130" s="245"/>
      <c r="AL1130" s="245"/>
      <c r="AM1130" s="244"/>
      <c r="AN1130" s="244"/>
      <c r="AO1130" s="238">
        <v>0.0</v>
      </c>
      <c r="AP1130" s="238">
        <v>0.0</v>
      </c>
      <c r="AQ1130" s="235" t="s">
        <v>632</v>
      </c>
      <c r="AR1130" s="243">
        <v>3.71E11</v>
      </c>
      <c r="AS1130" s="235" t="s">
        <v>6164</v>
      </c>
      <c r="AT1130" s="235" t="s">
        <v>14</v>
      </c>
      <c r="AU1130" s="235" t="s">
        <v>634</v>
      </c>
      <c r="AV1130" s="246" t="s">
        <v>635</v>
      </c>
      <c r="AW1130" s="242"/>
      <c r="AX1130" s="242"/>
      <c r="AY1130" s="231"/>
      <c r="AZ1130" s="231"/>
      <c r="BA1130" s="227"/>
      <c r="BB1130" s="231"/>
      <c r="BC1130" s="227"/>
      <c r="BD1130" s="227"/>
      <c r="BE1130" s="227"/>
      <c r="BF1130" s="227"/>
    </row>
    <row r="1131">
      <c r="A1131" s="235" t="s">
        <v>9396</v>
      </c>
      <c r="C1131" s="235" t="s">
        <v>9397</v>
      </c>
      <c r="D1131" s="235" t="s">
        <v>9398</v>
      </c>
      <c r="E1131" s="243">
        <v>6.55E13</v>
      </c>
      <c r="F1131" s="245"/>
      <c r="G1131" s="235" t="s">
        <v>9399</v>
      </c>
      <c r="H1131" s="235" t="s">
        <v>9400</v>
      </c>
      <c r="I1131" s="235" t="s">
        <v>9400</v>
      </c>
      <c r="J1131" s="235" t="s">
        <v>9401</v>
      </c>
      <c r="K1131" s="235" t="s">
        <v>9402</v>
      </c>
      <c r="N1131" s="235" t="s">
        <v>42</v>
      </c>
      <c r="O1131" s="235" t="s">
        <v>204</v>
      </c>
      <c r="P1131" s="238">
        <v>1.0</v>
      </c>
      <c r="Q1131" s="235" t="s">
        <v>627</v>
      </c>
      <c r="R1131" s="238">
        <v>237.14</v>
      </c>
      <c r="S1131" s="238">
        <v>11.62</v>
      </c>
      <c r="T1131" s="238">
        <v>9.04</v>
      </c>
      <c r="U1131" s="238">
        <v>0.46</v>
      </c>
      <c r="V1131" s="238">
        <v>0.0</v>
      </c>
      <c r="W1131" s="238">
        <v>0.0</v>
      </c>
      <c r="X1131" s="235" t="s">
        <v>628</v>
      </c>
      <c r="Z1131" s="244"/>
      <c r="AA1131" s="244"/>
      <c r="AB1131" s="244"/>
      <c r="AC1131" s="235" t="s">
        <v>678</v>
      </c>
      <c r="AD1131" s="235" t="s">
        <v>679</v>
      </c>
      <c r="AE1131" s="238">
        <v>560075.0</v>
      </c>
      <c r="AF1131" s="235" t="s">
        <v>631</v>
      </c>
      <c r="AG1131" s="244"/>
      <c r="AH1131" s="244"/>
      <c r="AI1131" s="245"/>
      <c r="AJ1131" s="245"/>
      <c r="AK1131" s="245"/>
      <c r="AL1131" s="245"/>
      <c r="AM1131" s="244"/>
      <c r="AN1131" s="244"/>
      <c r="AO1131" s="238">
        <v>-4.74</v>
      </c>
      <c r="AP1131" s="238">
        <v>-9.04</v>
      </c>
      <c r="AQ1131" s="235" t="s">
        <v>632</v>
      </c>
      <c r="AR1131" s="243">
        <v>1.68E11</v>
      </c>
      <c r="AS1131" s="235" t="s">
        <v>9184</v>
      </c>
      <c r="AT1131" s="235" t="s">
        <v>11</v>
      </c>
      <c r="AU1131" s="235" t="s">
        <v>634</v>
      </c>
      <c r="AV1131" s="246" t="s">
        <v>635</v>
      </c>
      <c r="AW1131" s="242"/>
      <c r="AX1131" s="242"/>
      <c r="AY1131" s="231"/>
      <c r="AZ1131" s="231"/>
      <c r="BA1131" s="227"/>
      <c r="BB1131" s="231"/>
      <c r="BC1131" s="227"/>
      <c r="BD1131" s="227"/>
      <c r="BE1131" s="227"/>
      <c r="BF1131" s="227"/>
    </row>
    <row r="1132">
      <c r="A1132" s="235" t="s">
        <v>9403</v>
      </c>
      <c r="C1132" s="235" t="s">
        <v>9404</v>
      </c>
      <c r="D1132" s="235" t="s">
        <v>9405</v>
      </c>
      <c r="E1132" s="243">
        <v>6.55E13</v>
      </c>
      <c r="F1132" s="245"/>
      <c r="G1132" s="235" t="s">
        <v>9406</v>
      </c>
      <c r="H1132" s="235" t="s">
        <v>9407</v>
      </c>
      <c r="I1132" s="235" t="s">
        <v>9407</v>
      </c>
      <c r="J1132" s="235" t="s">
        <v>9408</v>
      </c>
      <c r="K1132" s="235" t="s">
        <v>9409</v>
      </c>
      <c r="N1132" s="235" t="s">
        <v>40</v>
      </c>
      <c r="O1132" s="235" t="s">
        <v>327</v>
      </c>
      <c r="P1132" s="238">
        <v>1.0</v>
      </c>
      <c r="Q1132" s="235" t="s">
        <v>627</v>
      </c>
      <c r="R1132" s="238">
        <v>237.14</v>
      </c>
      <c r="S1132" s="238">
        <v>11.86</v>
      </c>
      <c r="T1132" s="238">
        <v>38.1</v>
      </c>
      <c r="U1132" s="238">
        <v>1.9</v>
      </c>
      <c r="V1132" s="238">
        <v>0.0</v>
      </c>
      <c r="W1132" s="238">
        <v>0.0</v>
      </c>
      <c r="X1132" s="235" t="s">
        <v>628</v>
      </c>
      <c r="Z1132" s="244"/>
      <c r="AA1132" s="244"/>
      <c r="AB1132" s="244"/>
      <c r="AC1132" s="235" t="s">
        <v>9410</v>
      </c>
      <c r="AD1132" s="235" t="s">
        <v>833</v>
      </c>
      <c r="AE1132" s="238">
        <v>533262.0</v>
      </c>
      <c r="AF1132" s="235" t="s">
        <v>631</v>
      </c>
      <c r="AG1132" s="244"/>
      <c r="AH1132" s="244"/>
      <c r="AI1132" s="245"/>
      <c r="AJ1132" s="245"/>
      <c r="AK1132" s="245"/>
      <c r="AL1132" s="245"/>
      <c r="AM1132" s="244"/>
      <c r="AN1132" s="244"/>
      <c r="AO1132" s="238">
        <v>0.0</v>
      </c>
      <c r="AP1132" s="238">
        <v>-38.1</v>
      </c>
      <c r="AQ1132" s="235" t="s">
        <v>632</v>
      </c>
      <c r="AR1132" s="243">
        <v>3.71E11</v>
      </c>
      <c r="AS1132" s="235" t="s">
        <v>6164</v>
      </c>
      <c r="AT1132" s="235" t="s">
        <v>156</v>
      </c>
      <c r="AU1132" s="235" t="s">
        <v>634</v>
      </c>
      <c r="AV1132" s="246" t="s">
        <v>635</v>
      </c>
      <c r="AW1132" s="242"/>
      <c r="AX1132" s="242"/>
      <c r="AY1132" s="231"/>
      <c r="AZ1132" s="231"/>
      <c r="BA1132" s="227"/>
      <c r="BB1132" s="231"/>
      <c r="BC1132" s="227"/>
      <c r="BD1132" s="227"/>
      <c r="BE1132" s="227"/>
      <c r="BF1132" s="227"/>
    </row>
    <row r="1133">
      <c r="A1133" s="235" t="s">
        <v>9411</v>
      </c>
      <c r="C1133" s="235" t="s">
        <v>9412</v>
      </c>
      <c r="D1133" s="235" t="s">
        <v>9413</v>
      </c>
      <c r="E1133" s="243">
        <v>6.55E13</v>
      </c>
      <c r="F1133" s="245"/>
      <c r="G1133" s="235" t="s">
        <v>9414</v>
      </c>
      <c r="H1133" s="235" t="s">
        <v>9415</v>
      </c>
      <c r="I1133" s="235" t="s">
        <v>9415</v>
      </c>
      <c r="J1133" s="235" t="s">
        <v>9416</v>
      </c>
      <c r="K1133" s="235" t="s">
        <v>9417</v>
      </c>
      <c r="N1133" s="235" t="s">
        <v>50</v>
      </c>
      <c r="O1133" s="235" t="s">
        <v>367</v>
      </c>
      <c r="P1133" s="238">
        <v>1.0</v>
      </c>
      <c r="Q1133" s="235" t="s">
        <v>627</v>
      </c>
      <c r="R1133" s="238">
        <v>237.14</v>
      </c>
      <c r="S1133" s="238">
        <v>11.62</v>
      </c>
      <c r="T1133" s="238">
        <v>0.0</v>
      </c>
      <c r="U1133" s="238">
        <v>0.0</v>
      </c>
      <c r="V1133" s="238">
        <v>0.0</v>
      </c>
      <c r="W1133" s="238">
        <v>0.0</v>
      </c>
      <c r="X1133" s="235" t="s">
        <v>628</v>
      </c>
      <c r="Z1133" s="244"/>
      <c r="AA1133" s="244"/>
      <c r="AB1133" s="244"/>
      <c r="AC1133" s="235" t="s">
        <v>678</v>
      </c>
      <c r="AD1133" s="235" t="s">
        <v>679</v>
      </c>
      <c r="AE1133" s="238">
        <v>560066.0</v>
      </c>
      <c r="AF1133" s="235" t="s">
        <v>631</v>
      </c>
      <c r="AG1133" s="244"/>
      <c r="AH1133" s="244"/>
      <c r="AI1133" s="245"/>
      <c r="AJ1133" s="245"/>
      <c r="AK1133" s="245"/>
      <c r="AL1133" s="245"/>
      <c r="AM1133" s="244"/>
      <c r="AN1133" s="244"/>
      <c r="AO1133" s="238">
        <v>-4.74</v>
      </c>
      <c r="AP1133" s="238">
        <v>0.0</v>
      </c>
      <c r="AQ1133" s="235" t="s">
        <v>632</v>
      </c>
      <c r="AR1133" s="243">
        <v>1.68E11</v>
      </c>
      <c r="AS1133" s="235" t="s">
        <v>9184</v>
      </c>
      <c r="AT1133" s="235" t="s">
        <v>11</v>
      </c>
      <c r="AU1133" s="235" t="s">
        <v>634</v>
      </c>
      <c r="AV1133" s="246" t="s">
        <v>635</v>
      </c>
      <c r="AW1133" s="242"/>
      <c r="AX1133" s="242"/>
      <c r="AY1133" s="231"/>
      <c r="AZ1133" s="231"/>
      <c r="BA1133" s="227"/>
      <c r="BB1133" s="231"/>
      <c r="BC1133" s="227"/>
      <c r="BD1133" s="227"/>
      <c r="BE1133" s="227"/>
      <c r="BF1133" s="227"/>
    </row>
    <row r="1134">
      <c r="A1134" s="235" t="s">
        <v>9418</v>
      </c>
      <c r="C1134" s="235" t="s">
        <v>9419</v>
      </c>
      <c r="D1134" s="235" t="s">
        <v>9420</v>
      </c>
      <c r="E1134" s="243">
        <v>6.56E13</v>
      </c>
      <c r="F1134" s="245"/>
      <c r="G1134" s="235" t="s">
        <v>9421</v>
      </c>
      <c r="H1134" s="235" t="s">
        <v>9422</v>
      </c>
      <c r="I1134" s="235" t="s">
        <v>9423</v>
      </c>
      <c r="J1134" s="235" t="s">
        <v>9424</v>
      </c>
      <c r="K1134" s="235" t="s">
        <v>9425</v>
      </c>
      <c r="N1134" s="235" t="s">
        <v>989</v>
      </c>
      <c r="O1134" s="235" t="s">
        <v>990</v>
      </c>
      <c r="P1134" s="238">
        <v>1.0</v>
      </c>
      <c r="Q1134" s="235" t="s">
        <v>627</v>
      </c>
      <c r="R1134" s="238">
        <v>256.2</v>
      </c>
      <c r="S1134" s="238">
        <v>12.8</v>
      </c>
      <c r="T1134" s="238">
        <v>18.1</v>
      </c>
      <c r="U1134" s="238">
        <v>0.9</v>
      </c>
      <c r="V1134" s="238">
        <v>0.0</v>
      </c>
      <c r="W1134" s="238">
        <v>0.0</v>
      </c>
      <c r="X1134" s="235" t="s">
        <v>628</v>
      </c>
      <c r="Z1134" s="244"/>
      <c r="AA1134" s="244"/>
      <c r="AB1134" s="244"/>
      <c r="AC1134" s="235" t="s">
        <v>1887</v>
      </c>
      <c r="AD1134" s="235" t="s">
        <v>679</v>
      </c>
      <c r="AE1134" s="238">
        <v>560062.0</v>
      </c>
      <c r="AF1134" s="235" t="s">
        <v>631</v>
      </c>
      <c r="AG1134" s="244"/>
      <c r="AH1134" s="244"/>
      <c r="AI1134" s="245"/>
      <c r="AJ1134" s="245"/>
      <c r="AK1134" s="245"/>
      <c r="AL1134" s="245"/>
      <c r="AM1134" s="244"/>
      <c r="AN1134" s="244"/>
      <c r="AO1134" s="238">
        <v>0.0</v>
      </c>
      <c r="AP1134" s="238">
        <v>-18.1</v>
      </c>
      <c r="AQ1134" s="235" t="s">
        <v>632</v>
      </c>
      <c r="AR1134" s="243">
        <v>1.68E11</v>
      </c>
      <c r="AS1134" s="235" t="s">
        <v>9184</v>
      </c>
      <c r="AT1134" s="235" t="s">
        <v>11</v>
      </c>
      <c r="AU1134" s="235" t="s">
        <v>634</v>
      </c>
      <c r="AV1134" s="246" t="s">
        <v>635</v>
      </c>
      <c r="AW1134" s="242"/>
      <c r="AX1134" s="242"/>
      <c r="AY1134" s="231"/>
      <c r="AZ1134" s="231"/>
      <c r="BA1134" s="227"/>
      <c r="BB1134" s="231"/>
      <c r="BC1134" s="227"/>
      <c r="BD1134" s="227"/>
      <c r="BE1134" s="227"/>
      <c r="BF1134" s="227"/>
    </row>
    <row r="1135">
      <c r="A1135" s="235" t="s">
        <v>9426</v>
      </c>
      <c r="C1135" s="235" t="s">
        <v>9427</v>
      </c>
      <c r="D1135" s="235" t="s">
        <v>9428</v>
      </c>
      <c r="E1135" s="243">
        <v>6.55E13</v>
      </c>
      <c r="F1135" s="245"/>
      <c r="G1135" s="235" t="s">
        <v>9429</v>
      </c>
      <c r="H1135" s="235" t="s">
        <v>9430</v>
      </c>
      <c r="I1135" s="235" t="s">
        <v>9423</v>
      </c>
      <c r="J1135" s="235" t="s">
        <v>9424</v>
      </c>
      <c r="K1135" s="235" t="s">
        <v>9431</v>
      </c>
      <c r="N1135" s="235" t="s">
        <v>78</v>
      </c>
      <c r="O1135" s="235" t="s">
        <v>360</v>
      </c>
      <c r="P1135" s="238">
        <v>1.0</v>
      </c>
      <c r="Q1135" s="235" t="s">
        <v>627</v>
      </c>
      <c r="R1135" s="238">
        <v>360.96</v>
      </c>
      <c r="S1135" s="238">
        <v>18.04</v>
      </c>
      <c r="T1135" s="238">
        <v>18.1</v>
      </c>
      <c r="U1135" s="238">
        <v>0.9</v>
      </c>
      <c r="V1135" s="238">
        <v>0.0</v>
      </c>
      <c r="W1135" s="238">
        <v>0.0</v>
      </c>
      <c r="X1135" s="235" t="s">
        <v>628</v>
      </c>
      <c r="Z1135" s="244"/>
      <c r="AA1135" s="244"/>
      <c r="AB1135" s="244"/>
      <c r="AC1135" s="235" t="s">
        <v>9432</v>
      </c>
      <c r="AD1135" s="235" t="s">
        <v>679</v>
      </c>
      <c r="AE1135" s="238">
        <v>560098.0</v>
      </c>
      <c r="AF1135" s="235" t="s">
        <v>631</v>
      </c>
      <c r="AG1135" s="244"/>
      <c r="AH1135" s="244"/>
      <c r="AI1135" s="245"/>
      <c r="AJ1135" s="245"/>
      <c r="AK1135" s="245"/>
      <c r="AL1135" s="245"/>
      <c r="AM1135" s="244"/>
      <c r="AN1135" s="244"/>
      <c r="AO1135" s="238">
        <v>0.0</v>
      </c>
      <c r="AP1135" s="238">
        <v>-18.1</v>
      </c>
      <c r="AQ1135" s="235" t="s">
        <v>632</v>
      </c>
      <c r="AR1135" s="243">
        <v>1.68E11</v>
      </c>
      <c r="AS1135" s="235" t="s">
        <v>9184</v>
      </c>
      <c r="AT1135" s="235" t="s">
        <v>11</v>
      </c>
      <c r="AU1135" s="235" t="s">
        <v>634</v>
      </c>
      <c r="AV1135" s="246" t="s">
        <v>635</v>
      </c>
      <c r="AW1135" s="242"/>
      <c r="AX1135" s="242"/>
      <c r="AY1135" s="231"/>
      <c r="AZ1135" s="231"/>
      <c r="BA1135" s="227"/>
      <c r="BB1135" s="231"/>
      <c r="BC1135" s="227"/>
      <c r="BD1135" s="227"/>
      <c r="BE1135" s="227"/>
      <c r="BF1135" s="227"/>
    </row>
    <row r="1136">
      <c r="A1136" s="235" t="s">
        <v>9433</v>
      </c>
      <c r="C1136" s="235" t="s">
        <v>9434</v>
      </c>
      <c r="D1136" s="235" t="s">
        <v>9435</v>
      </c>
      <c r="E1136" s="243">
        <v>6.55E13</v>
      </c>
      <c r="F1136" s="245"/>
      <c r="G1136" s="235" t="s">
        <v>9436</v>
      </c>
      <c r="H1136" s="235" t="s">
        <v>9437</v>
      </c>
      <c r="I1136" s="235" t="s">
        <v>9437</v>
      </c>
      <c r="J1136" s="235" t="s">
        <v>9438</v>
      </c>
      <c r="K1136" s="235" t="s">
        <v>9439</v>
      </c>
      <c r="N1136" s="235" t="s">
        <v>127</v>
      </c>
      <c r="O1136" s="235" t="s">
        <v>794</v>
      </c>
      <c r="P1136" s="238">
        <v>1.0</v>
      </c>
      <c r="Q1136" s="235" t="s">
        <v>627</v>
      </c>
      <c r="R1136" s="238">
        <v>246.66</v>
      </c>
      <c r="S1136" s="238">
        <v>12.34</v>
      </c>
      <c r="T1136" s="238">
        <v>0.0</v>
      </c>
      <c r="U1136" s="238">
        <v>0.0</v>
      </c>
      <c r="V1136" s="238">
        <v>0.0</v>
      </c>
      <c r="W1136" s="238">
        <v>0.0</v>
      </c>
      <c r="X1136" s="235" t="s">
        <v>628</v>
      </c>
      <c r="Z1136" s="244"/>
      <c r="AA1136" s="244"/>
      <c r="AB1136" s="244"/>
      <c r="AC1136" s="235" t="s">
        <v>9440</v>
      </c>
      <c r="AD1136" s="235" t="s">
        <v>679</v>
      </c>
      <c r="AE1136" s="238">
        <v>571401.0</v>
      </c>
      <c r="AF1136" s="235" t="s">
        <v>631</v>
      </c>
      <c r="AG1136" s="244"/>
      <c r="AH1136" s="244"/>
      <c r="AI1136" s="245"/>
      <c r="AJ1136" s="245"/>
      <c r="AK1136" s="245"/>
      <c r="AL1136" s="245"/>
      <c r="AM1136" s="244"/>
      <c r="AN1136" s="244"/>
      <c r="AO1136" s="238">
        <v>0.0</v>
      </c>
      <c r="AP1136" s="238">
        <v>0.0</v>
      </c>
      <c r="AQ1136" s="235" t="s">
        <v>632</v>
      </c>
      <c r="AR1136" s="243">
        <v>1.68E11</v>
      </c>
      <c r="AS1136" s="235" t="s">
        <v>8807</v>
      </c>
      <c r="AT1136" s="235" t="s">
        <v>9</v>
      </c>
      <c r="AU1136" s="235" t="s">
        <v>634</v>
      </c>
      <c r="AV1136" s="246" t="s">
        <v>635</v>
      </c>
      <c r="AW1136" s="242"/>
      <c r="AX1136" s="242"/>
      <c r="AY1136" s="231"/>
      <c r="AZ1136" s="231"/>
      <c r="BA1136" s="227"/>
      <c r="BB1136" s="231"/>
      <c r="BC1136" s="227"/>
      <c r="BD1136" s="227"/>
      <c r="BE1136" s="227"/>
      <c r="BF1136" s="227"/>
    </row>
    <row r="1137">
      <c r="A1137" s="235" t="s">
        <v>9441</v>
      </c>
      <c r="C1137" s="235" t="s">
        <v>9442</v>
      </c>
      <c r="D1137" s="235" t="s">
        <v>9443</v>
      </c>
      <c r="E1137" s="243">
        <v>6.55E13</v>
      </c>
      <c r="F1137" s="245"/>
      <c r="G1137" s="235" t="s">
        <v>9444</v>
      </c>
      <c r="H1137" s="235" t="s">
        <v>9445</v>
      </c>
      <c r="I1137" s="235" t="s">
        <v>9446</v>
      </c>
      <c r="J1137" s="235" t="s">
        <v>9447</v>
      </c>
      <c r="K1137" s="235" t="s">
        <v>9448</v>
      </c>
      <c r="N1137" s="235" t="s">
        <v>134</v>
      </c>
      <c r="O1137" s="235" t="s">
        <v>314</v>
      </c>
      <c r="P1137" s="238">
        <v>1.0</v>
      </c>
      <c r="Q1137" s="235" t="s">
        <v>627</v>
      </c>
      <c r="R1137" s="238">
        <v>246.66</v>
      </c>
      <c r="S1137" s="238">
        <v>12.34</v>
      </c>
      <c r="T1137" s="238">
        <v>0.0</v>
      </c>
      <c r="U1137" s="238">
        <v>0.0</v>
      </c>
      <c r="V1137" s="238">
        <v>0.0</v>
      </c>
      <c r="W1137" s="238">
        <v>0.0</v>
      </c>
      <c r="X1137" s="235" t="s">
        <v>628</v>
      </c>
      <c r="Z1137" s="244"/>
      <c r="AA1137" s="244"/>
      <c r="AB1137" s="244"/>
      <c r="AC1137" s="235" t="s">
        <v>678</v>
      </c>
      <c r="AD1137" s="235" t="s">
        <v>679</v>
      </c>
      <c r="AE1137" s="238">
        <v>560048.0</v>
      </c>
      <c r="AF1137" s="235" t="s">
        <v>631</v>
      </c>
      <c r="AG1137" s="244"/>
      <c r="AH1137" s="244"/>
      <c r="AI1137" s="245"/>
      <c r="AJ1137" s="245"/>
      <c r="AK1137" s="245"/>
      <c r="AL1137" s="245"/>
      <c r="AM1137" s="244"/>
      <c r="AN1137" s="244"/>
      <c r="AO1137" s="238">
        <v>0.0</v>
      </c>
      <c r="AP1137" s="238">
        <v>0.0</v>
      </c>
      <c r="AQ1137" s="235" t="s">
        <v>632</v>
      </c>
      <c r="AR1137" s="243">
        <v>1.68E11</v>
      </c>
      <c r="AS1137" s="235" t="s">
        <v>9184</v>
      </c>
      <c r="AT1137" s="235" t="s">
        <v>11</v>
      </c>
      <c r="AU1137" s="235" t="s">
        <v>634</v>
      </c>
      <c r="AV1137" s="246" t="s">
        <v>635</v>
      </c>
      <c r="AW1137" s="242"/>
      <c r="AX1137" s="242"/>
      <c r="AY1137" s="231"/>
      <c r="AZ1137" s="231"/>
      <c r="BA1137" s="227"/>
      <c r="BB1137" s="231"/>
      <c r="BC1137" s="227"/>
      <c r="BD1137" s="227"/>
      <c r="BE1137" s="227"/>
      <c r="BF1137" s="227"/>
    </row>
    <row r="1138">
      <c r="A1138" s="235" t="s">
        <v>9449</v>
      </c>
      <c r="C1138" s="235" t="s">
        <v>9450</v>
      </c>
      <c r="D1138" s="235" t="s">
        <v>9451</v>
      </c>
      <c r="E1138" s="243">
        <v>6.56E13</v>
      </c>
      <c r="F1138" s="245"/>
      <c r="G1138" s="235" t="s">
        <v>9452</v>
      </c>
      <c r="H1138" s="235" t="s">
        <v>9453</v>
      </c>
      <c r="I1138" s="235" t="s">
        <v>9453</v>
      </c>
      <c r="J1138" s="235" t="s">
        <v>9454</v>
      </c>
      <c r="K1138" s="235" t="s">
        <v>5178</v>
      </c>
      <c r="N1138" s="235" t="s">
        <v>42</v>
      </c>
      <c r="O1138" s="235" t="s">
        <v>204</v>
      </c>
      <c r="P1138" s="238">
        <v>1.0</v>
      </c>
      <c r="Q1138" s="235" t="s">
        <v>627</v>
      </c>
      <c r="R1138" s="238">
        <v>237.14</v>
      </c>
      <c r="S1138" s="238">
        <v>11.86</v>
      </c>
      <c r="T1138" s="238">
        <v>94.28</v>
      </c>
      <c r="U1138" s="238">
        <v>4.72</v>
      </c>
      <c r="V1138" s="238">
        <v>0.0</v>
      </c>
      <c r="W1138" s="238">
        <v>0.0</v>
      </c>
      <c r="X1138" s="235" t="s">
        <v>628</v>
      </c>
      <c r="Z1138" s="244"/>
      <c r="AA1138" s="244"/>
      <c r="AB1138" s="244"/>
      <c r="AC1138" s="235" t="s">
        <v>678</v>
      </c>
      <c r="AD1138" s="235" t="s">
        <v>679</v>
      </c>
      <c r="AE1138" s="238">
        <v>560058.0</v>
      </c>
      <c r="AF1138" s="235" t="s">
        <v>631</v>
      </c>
      <c r="AG1138" s="244"/>
      <c r="AH1138" s="244"/>
      <c r="AI1138" s="245"/>
      <c r="AJ1138" s="245"/>
      <c r="AK1138" s="245"/>
      <c r="AL1138" s="245"/>
      <c r="AM1138" s="244"/>
      <c r="AN1138" s="244"/>
      <c r="AO1138" s="238">
        <v>0.0</v>
      </c>
      <c r="AP1138" s="238">
        <v>0.0</v>
      </c>
      <c r="AQ1138" s="235" t="s">
        <v>632</v>
      </c>
      <c r="AR1138" s="243">
        <v>1.68E11</v>
      </c>
      <c r="AS1138" s="235" t="s">
        <v>9184</v>
      </c>
      <c r="AT1138" s="235" t="s">
        <v>9</v>
      </c>
      <c r="AU1138" s="235" t="s">
        <v>634</v>
      </c>
      <c r="AV1138" s="246" t="s">
        <v>635</v>
      </c>
      <c r="AW1138" s="242"/>
      <c r="AX1138" s="242"/>
      <c r="AY1138" s="231"/>
      <c r="AZ1138" s="231"/>
      <c r="BA1138" s="227"/>
      <c r="BB1138" s="231"/>
      <c r="BC1138" s="227"/>
      <c r="BD1138" s="227"/>
      <c r="BE1138" s="227"/>
      <c r="BF1138" s="227"/>
    </row>
    <row r="1139">
      <c r="A1139" s="235" t="s">
        <v>9455</v>
      </c>
      <c r="C1139" s="235" t="s">
        <v>9456</v>
      </c>
      <c r="D1139" s="235" t="s">
        <v>9457</v>
      </c>
      <c r="E1139" s="243">
        <v>6.55E13</v>
      </c>
      <c r="F1139" s="245"/>
      <c r="G1139" s="235" t="s">
        <v>9458</v>
      </c>
      <c r="H1139" s="235" t="s">
        <v>9459</v>
      </c>
      <c r="I1139" s="235" t="s">
        <v>9459</v>
      </c>
      <c r="J1139" s="235" t="s">
        <v>9460</v>
      </c>
      <c r="K1139" s="235" t="s">
        <v>9461</v>
      </c>
      <c r="N1139" s="235" t="s">
        <v>962</v>
      </c>
      <c r="O1139" s="235" t="s">
        <v>963</v>
      </c>
      <c r="P1139" s="238">
        <v>1.0</v>
      </c>
      <c r="Q1139" s="235" t="s">
        <v>627</v>
      </c>
      <c r="R1139" s="238">
        <v>246.67</v>
      </c>
      <c r="S1139" s="238">
        <v>12.33</v>
      </c>
      <c r="T1139" s="238">
        <v>0.0</v>
      </c>
      <c r="U1139" s="238">
        <v>0.0</v>
      </c>
      <c r="V1139" s="238">
        <v>0.0</v>
      </c>
      <c r="W1139" s="238">
        <v>0.0</v>
      </c>
      <c r="X1139" s="235" t="s">
        <v>628</v>
      </c>
      <c r="Z1139" s="244"/>
      <c r="AA1139" s="244"/>
      <c r="AB1139" s="244"/>
      <c r="AC1139" s="235" t="s">
        <v>1961</v>
      </c>
      <c r="AD1139" s="235" t="s">
        <v>845</v>
      </c>
      <c r="AE1139" s="238">
        <v>411039.0</v>
      </c>
      <c r="AF1139" s="235" t="s">
        <v>631</v>
      </c>
      <c r="AG1139" s="244"/>
      <c r="AH1139" s="244"/>
      <c r="AI1139" s="245"/>
      <c r="AJ1139" s="245"/>
      <c r="AK1139" s="245"/>
      <c r="AL1139" s="245"/>
      <c r="AM1139" s="244"/>
      <c r="AN1139" s="244"/>
      <c r="AO1139" s="238">
        <v>0.0</v>
      </c>
      <c r="AP1139" s="238">
        <v>0.0</v>
      </c>
      <c r="AQ1139" s="235" t="s">
        <v>632</v>
      </c>
      <c r="AR1139" s="243">
        <v>2.02E11</v>
      </c>
      <c r="AS1139" s="235" t="s">
        <v>7365</v>
      </c>
      <c r="AT1139" s="235" t="s">
        <v>533</v>
      </c>
      <c r="AU1139" s="235" t="s">
        <v>634</v>
      </c>
      <c r="AV1139" s="246" t="s">
        <v>635</v>
      </c>
      <c r="AW1139" s="242"/>
      <c r="AX1139" s="242"/>
      <c r="AY1139" s="231"/>
      <c r="AZ1139" s="231"/>
      <c r="BA1139" s="227"/>
      <c r="BB1139" s="231"/>
      <c r="BC1139" s="227"/>
      <c r="BD1139" s="227"/>
      <c r="BE1139" s="227"/>
      <c r="BF1139" s="227"/>
    </row>
    <row r="1140">
      <c r="A1140" s="235" t="s">
        <v>9462</v>
      </c>
      <c r="C1140" s="235" t="s">
        <v>9463</v>
      </c>
      <c r="D1140" s="235" t="s">
        <v>9464</v>
      </c>
      <c r="E1140" s="243">
        <v>6.56E13</v>
      </c>
      <c r="F1140" s="245"/>
      <c r="G1140" s="235" t="s">
        <v>9465</v>
      </c>
      <c r="H1140" s="235" t="s">
        <v>9466</v>
      </c>
      <c r="I1140" s="235" t="s">
        <v>9466</v>
      </c>
      <c r="J1140" s="235" t="s">
        <v>9467</v>
      </c>
      <c r="K1140" s="235" t="s">
        <v>9468</v>
      </c>
      <c r="N1140" s="235" t="s">
        <v>134</v>
      </c>
      <c r="O1140" s="235" t="s">
        <v>314</v>
      </c>
      <c r="P1140" s="238">
        <v>1.0</v>
      </c>
      <c r="Q1140" s="235" t="s">
        <v>627</v>
      </c>
      <c r="R1140" s="238">
        <v>246.67</v>
      </c>
      <c r="S1140" s="238">
        <v>12.33</v>
      </c>
      <c r="T1140" s="238">
        <v>75.24</v>
      </c>
      <c r="U1140" s="238">
        <v>3.76</v>
      </c>
      <c r="V1140" s="238">
        <v>0.0</v>
      </c>
      <c r="W1140" s="238">
        <v>0.0</v>
      </c>
      <c r="X1140" s="235" t="s">
        <v>628</v>
      </c>
      <c r="Z1140" s="244"/>
      <c r="AA1140" s="244"/>
      <c r="AB1140" s="244"/>
      <c r="AC1140" s="235" t="s">
        <v>795</v>
      </c>
      <c r="AD1140" s="235" t="s">
        <v>7876</v>
      </c>
      <c r="AE1140" s="238">
        <v>110043.0</v>
      </c>
      <c r="AF1140" s="235" t="s">
        <v>631</v>
      </c>
      <c r="AG1140" s="244"/>
      <c r="AH1140" s="244"/>
      <c r="AI1140" s="245"/>
      <c r="AJ1140" s="245"/>
      <c r="AK1140" s="245"/>
      <c r="AL1140" s="245"/>
      <c r="AM1140" s="244"/>
      <c r="AN1140" s="244"/>
      <c r="AO1140" s="238">
        <v>0.0</v>
      </c>
      <c r="AP1140" s="238">
        <v>-75.24</v>
      </c>
      <c r="AQ1140" s="235" t="s">
        <v>632</v>
      </c>
      <c r="AR1140" s="243">
        <v>3.71E11</v>
      </c>
      <c r="AS1140" s="235" t="s">
        <v>8807</v>
      </c>
      <c r="AT1140" s="235" t="s">
        <v>533</v>
      </c>
      <c r="AU1140" s="235" t="s">
        <v>634</v>
      </c>
      <c r="AV1140" s="246" t="s">
        <v>635</v>
      </c>
      <c r="AW1140" s="242"/>
      <c r="AX1140" s="242"/>
      <c r="AY1140" s="231"/>
      <c r="AZ1140" s="231"/>
      <c r="BA1140" s="227"/>
      <c r="BB1140" s="231"/>
      <c r="BC1140" s="227"/>
      <c r="BD1140" s="227"/>
      <c r="BE1140" s="227"/>
      <c r="BF1140" s="227"/>
    </row>
    <row r="1141">
      <c r="A1141" s="235" t="s">
        <v>9469</v>
      </c>
      <c r="C1141" s="235" t="s">
        <v>9470</v>
      </c>
      <c r="D1141" s="235" t="s">
        <v>9471</v>
      </c>
      <c r="E1141" s="243">
        <v>6.55E13</v>
      </c>
      <c r="F1141" s="245"/>
      <c r="G1141" s="235" t="s">
        <v>9472</v>
      </c>
      <c r="H1141" s="235" t="s">
        <v>9473</v>
      </c>
      <c r="I1141" s="235" t="s">
        <v>9474</v>
      </c>
      <c r="J1141" s="235" t="s">
        <v>9475</v>
      </c>
      <c r="K1141" s="235" t="s">
        <v>9476</v>
      </c>
      <c r="N1141" s="235" t="s">
        <v>141</v>
      </c>
      <c r="O1141" s="235" t="s">
        <v>342</v>
      </c>
      <c r="P1141" s="238">
        <v>1.0</v>
      </c>
      <c r="Q1141" s="235" t="s">
        <v>627</v>
      </c>
      <c r="R1141" s="238">
        <v>246.67</v>
      </c>
      <c r="S1141" s="238">
        <v>12.33</v>
      </c>
      <c r="T1141" s="238">
        <v>0.0</v>
      </c>
      <c r="U1141" s="238">
        <v>0.0</v>
      </c>
      <c r="V1141" s="238">
        <v>0.0</v>
      </c>
      <c r="W1141" s="238">
        <v>0.0</v>
      </c>
      <c r="X1141" s="235" t="s">
        <v>628</v>
      </c>
      <c r="Z1141" s="244"/>
      <c r="AA1141" s="244"/>
      <c r="AB1141" s="244"/>
      <c r="AC1141" s="235" t="s">
        <v>7611</v>
      </c>
      <c r="AD1141" s="235" t="s">
        <v>630</v>
      </c>
      <c r="AE1141" s="238">
        <v>250002.0</v>
      </c>
      <c r="AF1141" s="235" t="s">
        <v>631</v>
      </c>
      <c r="AG1141" s="244"/>
      <c r="AH1141" s="244"/>
      <c r="AI1141" s="245"/>
      <c r="AJ1141" s="245"/>
      <c r="AK1141" s="245"/>
      <c r="AL1141" s="245"/>
      <c r="AM1141" s="244"/>
      <c r="AN1141" s="244"/>
      <c r="AO1141" s="238">
        <v>0.0</v>
      </c>
      <c r="AP1141" s="238">
        <v>0.0</v>
      </c>
      <c r="AQ1141" s="235" t="s">
        <v>632</v>
      </c>
      <c r="AR1141" s="243">
        <v>3.71E11</v>
      </c>
      <c r="AS1141" s="235" t="s">
        <v>7365</v>
      </c>
      <c r="AT1141" s="235" t="s">
        <v>533</v>
      </c>
      <c r="AU1141" s="235" t="s">
        <v>634</v>
      </c>
      <c r="AV1141" s="246" t="s">
        <v>635</v>
      </c>
      <c r="AW1141" s="242"/>
      <c r="AX1141" s="242"/>
      <c r="AY1141" s="231"/>
      <c r="AZ1141" s="231"/>
      <c r="BA1141" s="227"/>
      <c r="BB1141" s="231"/>
      <c r="BC1141" s="227"/>
      <c r="BD1141" s="227"/>
      <c r="BE1141" s="227"/>
      <c r="BF1141" s="227"/>
    </row>
    <row r="1142">
      <c r="A1142" s="235" t="s">
        <v>9477</v>
      </c>
      <c r="C1142" s="235" t="s">
        <v>9478</v>
      </c>
      <c r="D1142" s="235" t="s">
        <v>9479</v>
      </c>
      <c r="E1142" s="243">
        <v>6.56E13</v>
      </c>
      <c r="F1142" s="245"/>
      <c r="G1142" s="235" t="s">
        <v>9480</v>
      </c>
      <c r="H1142" s="235" t="s">
        <v>9481</v>
      </c>
      <c r="I1142" s="235" t="s">
        <v>9482</v>
      </c>
      <c r="J1142" s="235" t="s">
        <v>9483</v>
      </c>
      <c r="K1142" s="235" t="s">
        <v>9484</v>
      </c>
      <c r="N1142" s="235" t="s">
        <v>2706</v>
      </c>
      <c r="O1142" s="235" t="s">
        <v>2707</v>
      </c>
      <c r="P1142" s="238">
        <v>1.0</v>
      </c>
      <c r="Q1142" s="235" t="s">
        <v>627</v>
      </c>
      <c r="R1142" s="238">
        <v>761.86</v>
      </c>
      <c r="S1142" s="238">
        <v>134.4</v>
      </c>
      <c r="T1142" s="238">
        <v>0.0</v>
      </c>
      <c r="U1142" s="238">
        <v>0.0</v>
      </c>
      <c r="V1142" s="238">
        <v>0.0</v>
      </c>
      <c r="W1142" s="238">
        <v>0.0</v>
      </c>
      <c r="X1142" s="235" t="s">
        <v>628</v>
      </c>
      <c r="Z1142" s="244"/>
      <c r="AA1142" s="244"/>
      <c r="AB1142" s="244"/>
      <c r="AC1142" s="235" t="s">
        <v>687</v>
      </c>
      <c r="AD1142" s="235" t="s">
        <v>666</v>
      </c>
      <c r="AE1142" s="238">
        <v>600041.0</v>
      </c>
      <c r="AF1142" s="235" t="s">
        <v>631</v>
      </c>
      <c r="AG1142" s="244"/>
      <c r="AH1142" s="244"/>
      <c r="AI1142" s="245"/>
      <c r="AJ1142" s="245"/>
      <c r="AK1142" s="245"/>
      <c r="AL1142" s="245"/>
      <c r="AM1142" s="244"/>
      <c r="AN1142" s="244"/>
      <c r="AO1142" s="238">
        <v>-15.24</v>
      </c>
      <c r="AP1142" s="238">
        <v>0.0</v>
      </c>
      <c r="AQ1142" s="235" t="s">
        <v>632</v>
      </c>
      <c r="AR1142" s="243">
        <v>1.68E11</v>
      </c>
      <c r="AS1142" s="235" t="s">
        <v>8807</v>
      </c>
      <c r="AT1142" s="235" t="s">
        <v>9</v>
      </c>
      <c r="AU1142" s="235" t="s">
        <v>634</v>
      </c>
      <c r="AV1142" s="246" t="s">
        <v>635</v>
      </c>
      <c r="AW1142" s="242"/>
      <c r="AX1142" s="242"/>
      <c r="AY1142" s="231"/>
      <c r="AZ1142" s="231"/>
      <c r="BA1142" s="227"/>
      <c r="BB1142" s="231"/>
      <c r="BC1142" s="227"/>
      <c r="BD1142" s="227"/>
      <c r="BE1142" s="227"/>
      <c r="BF1142" s="227"/>
    </row>
    <row r="1143">
      <c r="A1143" s="235" t="s">
        <v>9485</v>
      </c>
      <c r="C1143" s="235" t="s">
        <v>9486</v>
      </c>
      <c r="D1143" s="235" t="s">
        <v>9487</v>
      </c>
      <c r="E1143" s="243">
        <v>6.55E13</v>
      </c>
      <c r="F1143" s="245"/>
      <c r="G1143" s="235" t="s">
        <v>9488</v>
      </c>
      <c r="H1143" s="235" t="s">
        <v>9489</v>
      </c>
      <c r="I1143" s="235" t="s">
        <v>9489</v>
      </c>
      <c r="J1143" s="235" t="s">
        <v>9490</v>
      </c>
      <c r="K1143" s="235" t="s">
        <v>9491</v>
      </c>
      <c r="N1143" s="235" t="s">
        <v>154</v>
      </c>
      <c r="O1143" s="235" t="s">
        <v>766</v>
      </c>
      <c r="P1143" s="238">
        <v>1.0</v>
      </c>
      <c r="Q1143" s="235" t="s">
        <v>627</v>
      </c>
      <c r="R1143" s="238">
        <v>465.72</v>
      </c>
      <c r="S1143" s="238">
        <v>23.28</v>
      </c>
      <c r="T1143" s="238">
        <v>0.0</v>
      </c>
      <c r="U1143" s="238">
        <v>0.0</v>
      </c>
      <c r="V1143" s="238">
        <v>0.0</v>
      </c>
      <c r="W1143" s="238">
        <v>0.0</v>
      </c>
      <c r="X1143" s="235" t="s">
        <v>628</v>
      </c>
      <c r="Z1143" s="244"/>
      <c r="AA1143" s="244"/>
      <c r="AB1143" s="244"/>
      <c r="AC1143" s="235" t="s">
        <v>1910</v>
      </c>
      <c r="AD1143" s="235" t="s">
        <v>928</v>
      </c>
      <c r="AE1143" s="238">
        <v>122018.0</v>
      </c>
      <c r="AF1143" s="235" t="s">
        <v>631</v>
      </c>
      <c r="AG1143" s="244"/>
      <c r="AH1143" s="244"/>
      <c r="AI1143" s="245"/>
      <c r="AJ1143" s="245"/>
      <c r="AK1143" s="245"/>
      <c r="AL1143" s="245"/>
      <c r="AM1143" s="244"/>
      <c r="AN1143" s="244"/>
      <c r="AO1143" s="238">
        <v>0.0</v>
      </c>
      <c r="AP1143" s="238">
        <v>0.0</v>
      </c>
      <c r="AQ1143" s="235" t="s">
        <v>632</v>
      </c>
      <c r="AR1143" s="243">
        <v>3.71E11</v>
      </c>
      <c r="AS1143" s="235" t="s">
        <v>8807</v>
      </c>
      <c r="AT1143" s="235" t="s">
        <v>14</v>
      </c>
      <c r="AU1143" s="235" t="s">
        <v>634</v>
      </c>
      <c r="AV1143" s="246" t="s">
        <v>635</v>
      </c>
      <c r="AW1143" s="242"/>
      <c r="AX1143" s="242"/>
      <c r="AY1143" s="231"/>
      <c r="AZ1143" s="231"/>
      <c r="BA1143" s="227"/>
      <c r="BB1143" s="231"/>
      <c r="BC1143" s="227"/>
      <c r="BD1143" s="227"/>
      <c r="BE1143" s="227"/>
      <c r="BF1143" s="227"/>
    </row>
    <row r="1144">
      <c r="A1144" s="235" t="s">
        <v>9492</v>
      </c>
      <c r="C1144" s="235" t="s">
        <v>9493</v>
      </c>
      <c r="D1144" s="235" t="s">
        <v>9494</v>
      </c>
      <c r="E1144" s="243">
        <v>6.56E13</v>
      </c>
      <c r="F1144" s="245"/>
      <c r="G1144" s="235" t="s">
        <v>9495</v>
      </c>
      <c r="H1144" s="235" t="s">
        <v>9496</v>
      </c>
      <c r="I1144" s="235" t="s">
        <v>9496</v>
      </c>
      <c r="J1144" s="235" t="s">
        <v>9497</v>
      </c>
      <c r="K1144" s="235" t="s">
        <v>9498</v>
      </c>
      <c r="N1144" s="235" t="s">
        <v>962</v>
      </c>
      <c r="O1144" s="235" t="s">
        <v>963</v>
      </c>
      <c r="P1144" s="238">
        <v>1.0</v>
      </c>
      <c r="Q1144" s="235" t="s">
        <v>627</v>
      </c>
      <c r="R1144" s="238">
        <v>246.67</v>
      </c>
      <c r="S1144" s="238">
        <v>12.33</v>
      </c>
      <c r="T1144" s="238">
        <v>0.0</v>
      </c>
      <c r="U1144" s="238">
        <v>0.0</v>
      </c>
      <c r="V1144" s="238">
        <v>0.0</v>
      </c>
      <c r="W1144" s="238">
        <v>0.0</v>
      </c>
      <c r="X1144" s="235" t="s">
        <v>628</v>
      </c>
      <c r="Z1144" s="244"/>
      <c r="AA1144" s="244"/>
      <c r="AB1144" s="244"/>
      <c r="AC1144" s="235" t="s">
        <v>9499</v>
      </c>
      <c r="AD1144" s="235" t="s">
        <v>1151</v>
      </c>
      <c r="AE1144" s="238">
        <v>713325.0</v>
      </c>
      <c r="AF1144" s="235" t="s">
        <v>631</v>
      </c>
      <c r="AG1144" s="244"/>
      <c r="AH1144" s="244"/>
      <c r="AI1144" s="245"/>
      <c r="AJ1144" s="245"/>
      <c r="AK1144" s="245"/>
      <c r="AL1144" s="245"/>
      <c r="AM1144" s="244"/>
      <c r="AN1144" s="244"/>
      <c r="AO1144" s="238">
        <v>0.0</v>
      </c>
      <c r="AP1144" s="238">
        <v>0.0</v>
      </c>
      <c r="AQ1144" s="235" t="s">
        <v>632</v>
      </c>
      <c r="AR1144" s="243">
        <v>3.71E11</v>
      </c>
      <c r="AS1144" s="235" t="s">
        <v>3284</v>
      </c>
      <c r="AT1144" s="235" t="s">
        <v>156</v>
      </c>
      <c r="AU1144" s="235" t="s">
        <v>634</v>
      </c>
      <c r="AV1144" s="246" t="s">
        <v>635</v>
      </c>
      <c r="AW1144" s="242"/>
      <c r="AX1144" s="242"/>
      <c r="AY1144" s="231"/>
      <c r="AZ1144" s="231"/>
      <c r="BA1144" s="227"/>
      <c r="BB1144" s="231"/>
      <c r="BC1144" s="227"/>
      <c r="BD1144" s="227"/>
      <c r="BE1144" s="227"/>
      <c r="BF1144" s="227"/>
    </row>
    <row r="1145">
      <c r="A1145" s="235" t="s">
        <v>9500</v>
      </c>
      <c r="C1145" s="235" t="s">
        <v>9501</v>
      </c>
      <c r="D1145" s="235" t="s">
        <v>9502</v>
      </c>
      <c r="E1145" s="243">
        <v>6.55E13</v>
      </c>
      <c r="F1145" s="245"/>
      <c r="G1145" s="235" t="s">
        <v>9503</v>
      </c>
      <c r="H1145" s="235" t="s">
        <v>9504</v>
      </c>
      <c r="I1145" s="235" t="s">
        <v>9504</v>
      </c>
      <c r="J1145" s="235" t="s">
        <v>9505</v>
      </c>
      <c r="K1145" s="235" t="s">
        <v>9506</v>
      </c>
      <c r="N1145" s="235" t="s">
        <v>42</v>
      </c>
      <c r="O1145" s="235" t="s">
        <v>204</v>
      </c>
      <c r="P1145" s="238">
        <v>1.0</v>
      </c>
      <c r="Q1145" s="235" t="s">
        <v>627</v>
      </c>
      <c r="R1145" s="238">
        <v>237.14</v>
      </c>
      <c r="S1145" s="238">
        <v>11.86</v>
      </c>
      <c r="T1145" s="238">
        <v>0.0</v>
      </c>
      <c r="U1145" s="238">
        <v>0.0</v>
      </c>
      <c r="V1145" s="238">
        <v>0.0</v>
      </c>
      <c r="W1145" s="238">
        <v>0.0</v>
      </c>
      <c r="X1145" s="235" t="s">
        <v>628</v>
      </c>
      <c r="Z1145" s="244"/>
      <c r="AA1145" s="244"/>
      <c r="AB1145" s="244"/>
      <c r="AC1145" s="235" t="s">
        <v>687</v>
      </c>
      <c r="AD1145" s="235" t="s">
        <v>666</v>
      </c>
      <c r="AE1145" s="238">
        <v>600130.0</v>
      </c>
      <c r="AF1145" s="235" t="s">
        <v>631</v>
      </c>
      <c r="AG1145" s="244"/>
      <c r="AH1145" s="244"/>
      <c r="AI1145" s="245"/>
      <c r="AJ1145" s="245"/>
      <c r="AK1145" s="245"/>
      <c r="AL1145" s="245"/>
      <c r="AM1145" s="244"/>
      <c r="AN1145" s="244"/>
      <c r="AO1145" s="238">
        <v>0.0</v>
      </c>
      <c r="AP1145" s="238">
        <v>0.0</v>
      </c>
      <c r="AQ1145" s="235" t="s">
        <v>632</v>
      </c>
      <c r="AR1145" s="243">
        <v>3.71E11</v>
      </c>
      <c r="AS1145" s="235" t="s">
        <v>8807</v>
      </c>
      <c r="AT1145" s="235" t="s">
        <v>156</v>
      </c>
      <c r="AU1145" s="235" t="s">
        <v>634</v>
      </c>
      <c r="AV1145" s="246" t="s">
        <v>635</v>
      </c>
      <c r="AW1145" s="242"/>
      <c r="AX1145" s="242"/>
      <c r="AY1145" s="231"/>
      <c r="AZ1145" s="231"/>
      <c r="BA1145" s="227"/>
      <c r="BB1145" s="231"/>
      <c r="BC1145" s="227"/>
      <c r="BD1145" s="227"/>
      <c r="BE1145" s="227"/>
      <c r="BF1145" s="227"/>
    </row>
    <row r="1146">
      <c r="A1146" s="235" t="s">
        <v>9507</v>
      </c>
      <c r="C1146" s="235" t="s">
        <v>9508</v>
      </c>
      <c r="D1146" s="235" t="s">
        <v>9509</v>
      </c>
      <c r="E1146" s="243">
        <v>6.55E13</v>
      </c>
      <c r="F1146" s="245"/>
      <c r="G1146" s="235" t="s">
        <v>9510</v>
      </c>
      <c r="H1146" s="235" t="s">
        <v>9511</v>
      </c>
      <c r="I1146" s="235" t="s">
        <v>9511</v>
      </c>
      <c r="J1146" s="235" t="s">
        <v>9512</v>
      </c>
      <c r="K1146" s="235" t="s">
        <v>9513</v>
      </c>
      <c r="N1146" s="235" t="s">
        <v>1346</v>
      </c>
      <c r="O1146" s="235" t="s">
        <v>1347</v>
      </c>
      <c r="P1146" s="238">
        <v>1.0</v>
      </c>
      <c r="Q1146" s="235" t="s">
        <v>627</v>
      </c>
      <c r="R1146" s="238">
        <v>256.19</v>
      </c>
      <c r="S1146" s="238">
        <v>12.81</v>
      </c>
      <c r="T1146" s="238">
        <v>0.0</v>
      </c>
      <c r="U1146" s="238">
        <v>0.0</v>
      </c>
      <c r="V1146" s="238">
        <v>0.0</v>
      </c>
      <c r="W1146" s="238">
        <v>0.0</v>
      </c>
      <c r="X1146" s="235" t="s">
        <v>628</v>
      </c>
      <c r="Z1146" s="244"/>
      <c r="AA1146" s="244"/>
      <c r="AB1146" s="244"/>
      <c r="AC1146" s="235" t="s">
        <v>5499</v>
      </c>
      <c r="AD1146" s="235" t="s">
        <v>630</v>
      </c>
      <c r="AE1146" s="238">
        <v>211001.0</v>
      </c>
      <c r="AF1146" s="235" t="s">
        <v>631</v>
      </c>
      <c r="AG1146" s="244"/>
      <c r="AH1146" s="244"/>
      <c r="AI1146" s="245"/>
      <c r="AJ1146" s="245"/>
      <c r="AK1146" s="245"/>
      <c r="AL1146" s="245"/>
      <c r="AM1146" s="244"/>
      <c r="AN1146" s="244"/>
      <c r="AO1146" s="238">
        <v>0.0</v>
      </c>
      <c r="AP1146" s="238">
        <v>0.0</v>
      </c>
      <c r="AQ1146" s="235" t="s">
        <v>632</v>
      </c>
      <c r="AR1146" s="243">
        <v>3.71E11</v>
      </c>
      <c r="AS1146" s="235" t="s">
        <v>667</v>
      </c>
      <c r="AT1146" s="235" t="s">
        <v>156</v>
      </c>
      <c r="AU1146" s="235" t="s">
        <v>634</v>
      </c>
      <c r="AV1146" s="246" t="s">
        <v>635</v>
      </c>
      <c r="AW1146" s="242"/>
      <c r="AX1146" s="242"/>
      <c r="AY1146" s="231"/>
      <c r="AZ1146" s="231"/>
      <c r="BA1146" s="227"/>
      <c r="BB1146" s="231"/>
      <c r="BC1146" s="227"/>
      <c r="BD1146" s="227"/>
      <c r="BE1146" s="227"/>
      <c r="BF1146" s="227"/>
    </row>
    <row r="1147">
      <c r="A1147" s="235" t="s">
        <v>9514</v>
      </c>
      <c r="C1147" s="235" t="s">
        <v>9515</v>
      </c>
      <c r="D1147" s="235" t="s">
        <v>9516</v>
      </c>
      <c r="E1147" s="243">
        <v>6.55E13</v>
      </c>
      <c r="F1147" s="245"/>
      <c r="G1147" s="235" t="s">
        <v>9517</v>
      </c>
      <c r="H1147" s="235" t="s">
        <v>9518</v>
      </c>
      <c r="I1147" s="235" t="s">
        <v>9518</v>
      </c>
      <c r="J1147" s="235" t="s">
        <v>9519</v>
      </c>
      <c r="K1147" s="235" t="s">
        <v>9520</v>
      </c>
      <c r="N1147" s="235" t="s">
        <v>3875</v>
      </c>
      <c r="O1147" s="235" t="s">
        <v>3876</v>
      </c>
      <c r="P1147" s="238">
        <v>1.0</v>
      </c>
      <c r="Q1147" s="235" t="s">
        <v>627</v>
      </c>
      <c r="R1147" s="238">
        <v>218.1</v>
      </c>
      <c r="S1147" s="238">
        <v>10.9</v>
      </c>
      <c r="T1147" s="238">
        <v>38.1</v>
      </c>
      <c r="U1147" s="238">
        <v>1.9</v>
      </c>
      <c r="V1147" s="238">
        <v>0.0</v>
      </c>
      <c r="W1147" s="238">
        <v>0.0</v>
      </c>
      <c r="X1147" s="235" t="s">
        <v>628</v>
      </c>
      <c r="Z1147" s="244"/>
      <c r="AA1147" s="244"/>
      <c r="AB1147" s="244"/>
      <c r="AC1147" s="235" t="s">
        <v>9521</v>
      </c>
      <c r="AD1147" s="235" t="s">
        <v>1077</v>
      </c>
      <c r="AE1147" s="238">
        <v>394210.0</v>
      </c>
      <c r="AF1147" s="235" t="s">
        <v>631</v>
      </c>
      <c r="AG1147" s="244"/>
      <c r="AH1147" s="244"/>
      <c r="AI1147" s="245"/>
      <c r="AJ1147" s="245"/>
      <c r="AK1147" s="245"/>
      <c r="AL1147" s="245"/>
      <c r="AM1147" s="244"/>
      <c r="AN1147" s="244"/>
      <c r="AO1147" s="238">
        <v>0.0</v>
      </c>
      <c r="AP1147" s="238">
        <v>-38.1</v>
      </c>
      <c r="AQ1147" s="235" t="s">
        <v>632</v>
      </c>
      <c r="AR1147" s="243">
        <v>3.71E11</v>
      </c>
      <c r="AS1147" s="235" t="s">
        <v>6164</v>
      </c>
      <c r="AT1147" s="235" t="s">
        <v>17</v>
      </c>
      <c r="AU1147" s="235" t="s">
        <v>634</v>
      </c>
      <c r="AV1147" s="246" t="s">
        <v>635</v>
      </c>
      <c r="AW1147" s="242"/>
      <c r="AX1147" s="242"/>
      <c r="AY1147" s="231"/>
      <c r="AZ1147" s="231"/>
      <c r="BA1147" s="227"/>
      <c r="BB1147" s="231"/>
      <c r="BC1147" s="227"/>
      <c r="BD1147" s="227"/>
      <c r="BE1147" s="227"/>
      <c r="BF1147" s="227"/>
    </row>
    <row r="1148">
      <c r="A1148" s="235" t="s">
        <v>9522</v>
      </c>
      <c r="C1148" s="235" t="s">
        <v>9523</v>
      </c>
      <c r="D1148" s="235" t="s">
        <v>9524</v>
      </c>
      <c r="E1148" s="243">
        <v>6.55E13</v>
      </c>
      <c r="F1148" s="245"/>
      <c r="G1148" s="235" t="s">
        <v>9525</v>
      </c>
      <c r="H1148" s="235" t="s">
        <v>9526</v>
      </c>
      <c r="I1148" s="235" t="s">
        <v>9527</v>
      </c>
      <c r="J1148" s="235" t="s">
        <v>9528</v>
      </c>
      <c r="K1148" s="235" t="s">
        <v>9529</v>
      </c>
      <c r="N1148" s="235" t="s">
        <v>90</v>
      </c>
      <c r="O1148" s="235" t="s">
        <v>279</v>
      </c>
      <c r="P1148" s="238">
        <v>1.0</v>
      </c>
      <c r="Q1148" s="235" t="s">
        <v>627</v>
      </c>
      <c r="R1148" s="238">
        <v>246.66</v>
      </c>
      <c r="S1148" s="238">
        <v>12.34</v>
      </c>
      <c r="T1148" s="238">
        <v>18.1</v>
      </c>
      <c r="U1148" s="238">
        <v>0.9</v>
      </c>
      <c r="V1148" s="238">
        <v>0.0</v>
      </c>
      <c r="W1148" s="238">
        <v>0.0</v>
      </c>
      <c r="X1148" s="235" t="s">
        <v>628</v>
      </c>
      <c r="Z1148" s="244"/>
      <c r="AA1148" s="244"/>
      <c r="AB1148" s="244"/>
      <c r="AC1148" s="235" t="s">
        <v>1255</v>
      </c>
      <c r="AD1148" s="235" t="s">
        <v>845</v>
      </c>
      <c r="AE1148" s="238">
        <v>400601.0</v>
      </c>
      <c r="AF1148" s="235" t="s">
        <v>631</v>
      </c>
      <c r="AG1148" s="244"/>
      <c r="AH1148" s="244"/>
      <c r="AI1148" s="245"/>
      <c r="AJ1148" s="245"/>
      <c r="AK1148" s="245"/>
      <c r="AL1148" s="245"/>
      <c r="AM1148" s="244"/>
      <c r="AN1148" s="244"/>
      <c r="AO1148" s="238">
        <v>0.0</v>
      </c>
      <c r="AP1148" s="238">
        <v>-18.1</v>
      </c>
      <c r="AQ1148" s="235" t="s">
        <v>632</v>
      </c>
      <c r="AR1148" s="243">
        <v>1.68E11</v>
      </c>
      <c r="AS1148" s="235" t="s">
        <v>9184</v>
      </c>
      <c r="AT1148" s="235" t="s">
        <v>16</v>
      </c>
      <c r="AU1148" s="235" t="s">
        <v>634</v>
      </c>
      <c r="AV1148" s="246" t="s">
        <v>635</v>
      </c>
      <c r="AW1148" s="242"/>
      <c r="AX1148" s="242"/>
      <c r="AY1148" s="231"/>
      <c r="AZ1148" s="231"/>
      <c r="BA1148" s="227"/>
      <c r="BB1148" s="231"/>
      <c r="BC1148" s="227"/>
      <c r="BD1148" s="227"/>
      <c r="BE1148" s="227"/>
      <c r="BF1148" s="227"/>
    </row>
    <row r="1149">
      <c r="A1149" s="235" t="s">
        <v>9530</v>
      </c>
      <c r="C1149" s="235" t="s">
        <v>9531</v>
      </c>
      <c r="D1149" s="235" t="s">
        <v>9532</v>
      </c>
      <c r="E1149" s="243">
        <v>6.55E13</v>
      </c>
      <c r="F1149" s="245"/>
      <c r="G1149" s="235" t="s">
        <v>9533</v>
      </c>
      <c r="H1149" s="235" t="s">
        <v>9534</v>
      </c>
      <c r="I1149" s="235" t="s">
        <v>9534</v>
      </c>
      <c r="J1149" s="235" t="s">
        <v>9535</v>
      </c>
      <c r="K1149" s="235" t="s">
        <v>9536</v>
      </c>
      <c r="N1149" s="235" t="s">
        <v>127</v>
      </c>
      <c r="O1149" s="235" t="s">
        <v>794</v>
      </c>
      <c r="P1149" s="238">
        <v>1.0</v>
      </c>
      <c r="Q1149" s="235" t="s">
        <v>627</v>
      </c>
      <c r="R1149" s="238">
        <v>246.66</v>
      </c>
      <c r="S1149" s="238">
        <v>12.34</v>
      </c>
      <c r="T1149" s="238">
        <v>0.0</v>
      </c>
      <c r="U1149" s="238">
        <v>0.0</v>
      </c>
      <c r="V1149" s="238">
        <v>0.0</v>
      </c>
      <c r="W1149" s="238">
        <v>0.0</v>
      </c>
      <c r="X1149" s="235" t="s">
        <v>628</v>
      </c>
      <c r="Z1149" s="244"/>
      <c r="AA1149" s="244"/>
      <c r="AB1149" s="244"/>
      <c r="AC1149" s="235" t="s">
        <v>687</v>
      </c>
      <c r="AD1149" s="235" t="s">
        <v>666</v>
      </c>
      <c r="AE1149" s="238">
        <v>600053.0</v>
      </c>
      <c r="AF1149" s="235" t="s">
        <v>631</v>
      </c>
      <c r="AG1149" s="244"/>
      <c r="AH1149" s="244"/>
      <c r="AI1149" s="245"/>
      <c r="AJ1149" s="245"/>
      <c r="AK1149" s="245"/>
      <c r="AL1149" s="245"/>
      <c r="AM1149" s="244"/>
      <c r="AN1149" s="244"/>
      <c r="AO1149" s="238">
        <v>0.0</v>
      </c>
      <c r="AP1149" s="238">
        <v>0.0</v>
      </c>
      <c r="AQ1149" s="235" t="s">
        <v>632</v>
      </c>
      <c r="AR1149" s="243">
        <v>1.68E11</v>
      </c>
      <c r="AS1149" s="235" t="s">
        <v>9184</v>
      </c>
      <c r="AT1149" s="235" t="s">
        <v>156</v>
      </c>
      <c r="AU1149" s="235" t="s">
        <v>634</v>
      </c>
      <c r="AV1149" s="246" t="s">
        <v>635</v>
      </c>
      <c r="AW1149" s="242"/>
      <c r="AX1149" s="242"/>
      <c r="AY1149" s="231"/>
      <c r="AZ1149" s="231"/>
      <c r="BA1149" s="227"/>
      <c r="BB1149" s="231"/>
      <c r="BC1149" s="227"/>
      <c r="BD1149" s="227"/>
      <c r="BE1149" s="227"/>
      <c r="BF1149" s="227"/>
    </row>
    <row r="1150">
      <c r="A1150" s="235" t="s">
        <v>9537</v>
      </c>
      <c r="C1150" s="235" t="s">
        <v>9538</v>
      </c>
      <c r="D1150" s="235" t="s">
        <v>9539</v>
      </c>
      <c r="E1150" s="243">
        <v>6.55E13</v>
      </c>
      <c r="F1150" s="245"/>
      <c r="G1150" s="235" t="s">
        <v>9540</v>
      </c>
      <c r="H1150" s="235" t="s">
        <v>9541</v>
      </c>
      <c r="I1150" s="235" t="s">
        <v>9541</v>
      </c>
      <c r="J1150" s="235" t="s">
        <v>9542</v>
      </c>
      <c r="K1150" s="235" t="s">
        <v>9543</v>
      </c>
      <c r="N1150" s="235" t="s">
        <v>53</v>
      </c>
      <c r="O1150" s="235" t="s">
        <v>512</v>
      </c>
      <c r="P1150" s="238">
        <v>1.0</v>
      </c>
      <c r="Q1150" s="235" t="s">
        <v>627</v>
      </c>
      <c r="R1150" s="238">
        <v>0.0</v>
      </c>
      <c r="S1150" s="238">
        <v>0.0</v>
      </c>
      <c r="T1150" s="238">
        <v>0.0</v>
      </c>
      <c r="U1150" s="238">
        <v>0.0</v>
      </c>
      <c r="V1150" s="238">
        <v>0.0</v>
      </c>
      <c r="W1150" s="238">
        <v>0.0</v>
      </c>
      <c r="X1150" s="235" t="s">
        <v>2433</v>
      </c>
      <c r="Y1150" s="244"/>
      <c r="Z1150" s="244"/>
      <c r="AA1150" s="244"/>
      <c r="AB1150" s="244"/>
      <c r="AC1150" s="235" t="s">
        <v>5923</v>
      </c>
      <c r="AD1150" s="235" t="s">
        <v>666</v>
      </c>
      <c r="AE1150" s="238">
        <v>620102.0</v>
      </c>
      <c r="AF1150" s="235" t="s">
        <v>631</v>
      </c>
      <c r="AG1150" s="244"/>
      <c r="AH1150" s="244"/>
      <c r="AI1150" s="245"/>
      <c r="AJ1150" s="245"/>
      <c r="AK1150" s="245"/>
      <c r="AL1150" s="245"/>
      <c r="AM1150" s="244"/>
      <c r="AN1150" s="244"/>
      <c r="AO1150" s="238">
        <v>0.0</v>
      </c>
      <c r="AP1150" s="238">
        <v>0.0</v>
      </c>
      <c r="AQ1150" s="235" t="s">
        <v>632</v>
      </c>
      <c r="AR1150" s="243">
        <v>3.71E11</v>
      </c>
      <c r="AS1150" s="235" t="s">
        <v>8807</v>
      </c>
      <c r="AT1150" s="235" t="s">
        <v>155</v>
      </c>
      <c r="AU1150" s="235" t="s">
        <v>634</v>
      </c>
      <c r="AV1150" s="246" t="s">
        <v>635</v>
      </c>
      <c r="AW1150" s="242"/>
      <c r="AX1150" s="242"/>
      <c r="AY1150" s="231"/>
      <c r="AZ1150" s="231"/>
      <c r="BA1150" s="227"/>
      <c r="BB1150" s="231"/>
      <c r="BC1150" s="227"/>
      <c r="BD1150" s="227"/>
      <c r="BE1150" s="227"/>
      <c r="BF1150" s="227"/>
    </row>
    <row r="1151">
      <c r="A1151" s="235" t="s">
        <v>9544</v>
      </c>
      <c r="C1151" s="235" t="s">
        <v>9545</v>
      </c>
      <c r="D1151" s="235" t="s">
        <v>9546</v>
      </c>
      <c r="E1151" s="243">
        <v>6.55E13</v>
      </c>
      <c r="F1151" s="245"/>
      <c r="G1151" s="235" t="s">
        <v>9547</v>
      </c>
      <c r="H1151" s="235" t="s">
        <v>9548</v>
      </c>
      <c r="I1151" s="235" t="s">
        <v>9548</v>
      </c>
      <c r="J1151" s="235" t="s">
        <v>9549</v>
      </c>
      <c r="K1151" s="235" t="s">
        <v>9550</v>
      </c>
      <c r="N1151" s="235" t="s">
        <v>42</v>
      </c>
      <c r="O1151" s="235" t="s">
        <v>204</v>
      </c>
      <c r="P1151" s="238">
        <v>1.0</v>
      </c>
      <c r="Q1151" s="235" t="s">
        <v>627</v>
      </c>
      <c r="R1151" s="238">
        <v>0.0</v>
      </c>
      <c r="S1151" s="238">
        <v>0.0</v>
      </c>
      <c r="T1151" s="238">
        <v>0.0</v>
      </c>
      <c r="U1151" s="238">
        <v>0.0</v>
      </c>
      <c r="V1151" s="238">
        <v>0.0</v>
      </c>
      <c r="W1151" s="238">
        <v>0.0</v>
      </c>
      <c r="X1151" s="235" t="s">
        <v>2433</v>
      </c>
      <c r="Y1151" s="244"/>
      <c r="Z1151" s="244"/>
      <c r="AA1151" s="244"/>
      <c r="AB1151" s="244"/>
      <c r="AC1151" s="235" t="s">
        <v>5923</v>
      </c>
      <c r="AD1151" s="235" t="s">
        <v>666</v>
      </c>
      <c r="AE1151" s="238">
        <v>620019.0</v>
      </c>
      <c r="AF1151" s="235" t="s">
        <v>631</v>
      </c>
      <c r="AG1151" s="244"/>
      <c r="AH1151" s="244"/>
      <c r="AI1151" s="245"/>
      <c r="AJ1151" s="245"/>
      <c r="AK1151" s="245"/>
      <c r="AL1151" s="245"/>
      <c r="AM1151" s="244"/>
      <c r="AN1151" s="244"/>
      <c r="AO1151" s="238">
        <v>0.0</v>
      </c>
      <c r="AP1151" s="238">
        <v>0.0</v>
      </c>
      <c r="AQ1151" s="235" t="s">
        <v>632</v>
      </c>
      <c r="AR1151" s="243">
        <v>3.71E11</v>
      </c>
      <c r="AS1151" s="235" t="s">
        <v>8807</v>
      </c>
      <c r="AT1151" s="235" t="s">
        <v>155</v>
      </c>
      <c r="AU1151" s="235" t="s">
        <v>634</v>
      </c>
      <c r="AV1151" s="246" t="s">
        <v>635</v>
      </c>
      <c r="AW1151" s="242"/>
      <c r="AX1151" s="242"/>
      <c r="AY1151" s="231"/>
      <c r="AZ1151" s="231"/>
      <c r="BA1151" s="227"/>
      <c r="BB1151" s="231"/>
      <c r="BC1151" s="227"/>
      <c r="BD1151" s="227"/>
      <c r="BE1151" s="227"/>
      <c r="BF1151" s="227"/>
    </row>
    <row r="1152">
      <c r="A1152" s="235" t="s">
        <v>9551</v>
      </c>
      <c r="C1152" s="235" t="s">
        <v>9552</v>
      </c>
      <c r="D1152" s="235" t="s">
        <v>9553</v>
      </c>
      <c r="E1152" s="243">
        <v>6.55E13</v>
      </c>
      <c r="F1152" s="245"/>
      <c r="G1152" s="235" t="s">
        <v>9554</v>
      </c>
      <c r="H1152" s="235" t="s">
        <v>9555</v>
      </c>
      <c r="I1152" s="235" t="s">
        <v>9555</v>
      </c>
      <c r="J1152" s="235" t="s">
        <v>9556</v>
      </c>
      <c r="K1152" s="235" t="s">
        <v>9557</v>
      </c>
      <c r="N1152" s="235" t="s">
        <v>53</v>
      </c>
      <c r="O1152" s="235" t="s">
        <v>512</v>
      </c>
      <c r="P1152" s="238">
        <v>1.0</v>
      </c>
      <c r="Q1152" s="235" t="s">
        <v>627</v>
      </c>
      <c r="R1152" s="238">
        <v>237.14</v>
      </c>
      <c r="S1152" s="238">
        <v>11.86</v>
      </c>
      <c r="T1152" s="238">
        <v>38.1</v>
      </c>
      <c r="U1152" s="238">
        <v>1.9</v>
      </c>
      <c r="V1152" s="238">
        <v>0.0</v>
      </c>
      <c r="W1152" s="238">
        <v>0.0</v>
      </c>
      <c r="X1152" s="235" t="s">
        <v>628</v>
      </c>
      <c r="Z1152" s="244"/>
      <c r="AA1152" s="244"/>
      <c r="AB1152" s="244"/>
      <c r="AC1152" s="235" t="s">
        <v>5923</v>
      </c>
      <c r="AD1152" s="235" t="s">
        <v>666</v>
      </c>
      <c r="AE1152" s="238">
        <v>620017.0</v>
      </c>
      <c r="AF1152" s="235" t="s">
        <v>631</v>
      </c>
      <c r="AG1152" s="244"/>
      <c r="AH1152" s="244"/>
      <c r="AI1152" s="245"/>
      <c r="AJ1152" s="245"/>
      <c r="AK1152" s="245"/>
      <c r="AL1152" s="245"/>
      <c r="AM1152" s="244"/>
      <c r="AN1152" s="244"/>
      <c r="AO1152" s="238">
        <v>0.0</v>
      </c>
      <c r="AP1152" s="238">
        <v>-38.1</v>
      </c>
      <c r="AQ1152" s="235" t="s">
        <v>632</v>
      </c>
      <c r="AR1152" s="243">
        <v>3.71E11</v>
      </c>
      <c r="AS1152" s="235" t="s">
        <v>8807</v>
      </c>
      <c r="AT1152" s="235" t="s">
        <v>155</v>
      </c>
      <c r="AU1152" s="235" t="s">
        <v>634</v>
      </c>
      <c r="AV1152" s="246" t="s">
        <v>635</v>
      </c>
      <c r="AW1152" s="242"/>
      <c r="AX1152" s="242"/>
      <c r="AY1152" s="231"/>
      <c r="AZ1152" s="231"/>
      <c r="BA1152" s="227"/>
      <c r="BB1152" s="231"/>
      <c r="BC1152" s="227"/>
      <c r="BD1152" s="227"/>
      <c r="BE1152" s="227"/>
      <c r="BF1152" s="227"/>
    </row>
    <row r="1153">
      <c r="A1153" s="235" t="s">
        <v>9558</v>
      </c>
      <c r="C1153" s="235" t="s">
        <v>9559</v>
      </c>
      <c r="D1153" s="235" t="s">
        <v>9560</v>
      </c>
      <c r="E1153" s="243">
        <v>6.55E13</v>
      </c>
      <c r="F1153" s="245"/>
      <c r="G1153" s="235" t="s">
        <v>9561</v>
      </c>
      <c r="H1153" s="235" t="s">
        <v>9562</v>
      </c>
      <c r="I1153" s="235" t="s">
        <v>9562</v>
      </c>
      <c r="J1153" s="235" t="s">
        <v>9563</v>
      </c>
      <c r="K1153" s="235" t="s">
        <v>9564</v>
      </c>
      <c r="N1153" s="235" t="s">
        <v>842</v>
      </c>
      <c r="O1153" s="235" t="s">
        <v>843</v>
      </c>
      <c r="P1153" s="238">
        <v>1.0</v>
      </c>
      <c r="Q1153" s="235" t="s">
        <v>627</v>
      </c>
      <c r="R1153" s="238">
        <v>246.67</v>
      </c>
      <c r="S1153" s="238">
        <v>12.33</v>
      </c>
      <c r="T1153" s="238">
        <v>0.0</v>
      </c>
      <c r="U1153" s="238">
        <v>0.0</v>
      </c>
      <c r="V1153" s="238">
        <v>0.0</v>
      </c>
      <c r="W1153" s="238">
        <v>0.0</v>
      </c>
      <c r="X1153" s="235" t="s">
        <v>628</v>
      </c>
      <c r="Z1153" s="244"/>
      <c r="AA1153" s="244"/>
      <c r="AB1153" s="244"/>
      <c r="AC1153" s="235" t="s">
        <v>9565</v>
      </c>
      <c r="AD1153" s="235" t="s">
        <v>666</v>
      </c>
      <c r="AE1153" s="238">
        <v>603103.0</v>
      </c>
      <c r="AF1153" s="235" t="s">
        <v>631</v>
      </c>
      <c r="AG1153" s="244"/>
      <c r="AH1153" s="244"/>
      <c r="AI1153" s="245"/>
      <c r="AJ1153" s="245"/>
      <c r="AK1153" s="245"/>
      <c r="AL1153" s="245"/>
      <c r="AM1153" s="244"/>
      <c r="AN1153" s="244"/>
      <c r="AO1153" s="238">
        <v>0.0</v>
      </c>
      <c r="AP1153" s="238">
        <v>0.0</v>
      </c>
      <c r="AQ1153" s="235" t="s">
        <v>632</v>
      </c>
      <c r="AR1153" s="243">
        <v>1.68E11</v>
      </c>
      <c r="AS1153" s="235" t="s">
        <v>8807</v>
      </c>
      <c r="AT1153" s="235" t="s">
        <v>9</v>
      </c>
      <c r="AU1153" s="235" t="s">
        <v>634</v>
      </c>
      <c r="AV1153" s="246" t="s">
        <v>635</v>
      </c>
      <c r="AW1153" s="242"/>
      <c r="AX1153" s="242"/>
      <c r="AY1153" s="231"/>
      <c r="AZ1153" s="231"/>
      <c r="BA1153" s="227"/>
      <c r="BB1153" s="231"/>
      <c r="BC1153" s="227"/>
      <c r="BD1153" s="227"/>
      <c r="BE1153" s="227"/>
      <c r="BF1153" s="227"/>
    </row>
    <row r="1154">
      <c r="A1154" s="235" t="s">
        <v>9566</v>
      </c>
      <c r="C1154" s="235" t="s">
        <v>9567</v>
      </c>
      <c r="D1154" s="235" t="s">
        <v>9568</v>
      </c>
      <c r="E1154" s="243">
        <v>6.55E13</v>
      </c>
      <c r="F1154" s="245"/>
      <c r="G1154" s="235" t="s">
        <v>9569</v>
      </c>
      <c r="H1154" s="235" t="s">
        <v>9570</v>
      </c>
      <c r="I1154" s="235" t="s">
        <v>9570</v>
      </c>
      <c r="J1154" s="235" t="s">
        <v>9571</v>
      </c>
      <c r="K1154" s="235" t="s">
        <v>9572</v>
      </c>
      <c r="N1154" s="235" t="s">
        <v>42</v>
      </c>
      <c r="O1154" s="235" t="s">
        <v>204</v>
      </c>
      <c r="P1154" s="238">
        <v>1.0</v>
      </c>
      <c r="Q1154" s="235" t="s">
        <v>627</v>
      </c>
      <c r="R1154" s="238">
        <v>237.14</v>
      </c>
      <c r="S1154" s="238">
        <v>11.86</v>
      </c>
      <c r="T1154" s="238">
        <v>0.0</v>
      </c>
      <c r="U1154" s="238">
        <v>0.0</v>
      </c>
      <c r="V1154" s="238">
        <v>0.0</v>
      </c>
      <c r="W1154" s="238">
        <v>0.0</v>
      </c>
      <c r="X1154" s="235" t="s">
        <v>628</v>
      </c>
      <c r="Z1154" s="244"/>
      <c r="AA1154" s="244"/>
      <c r="AB1154" s="244"/>
      <c r="AC1154" s="235" t="s">
        <v>814</v>
      </c>
      <c r="AD1154" s="235" t="s">
        <v>698</v>
      </c>
      <c r="AE1154" s="238">
        <v>500090.0</v>
      </c>
      <c r="AF1154" s="235" t="s">
        <v>631</v>
      </c>
      <c r="AG1154" s="244"/>
      <c r="AH1154" s="244"/>
      <c r="AI1154" s="245"/>
      <c r="AJ1154" s="245"/>
      <c r="AK1154" s="245"/>
      <c r="AL1154" s="245"/>
      <c r="AM1154" s="244"/>
      <c r="AN1154" s="244"/>
      <c r="AO1154" s="238">
        <v>0.0</v>
      </c>
      <c r="AP1154" s="238">
        <v>0.0</v>
      </c>
      <c r="AQ1154" s="235" t="s">
        <v>632</v>
      </c>
      <c r="AR1154" s="243">
        <v>2.02E11</v>
      </c>
      <c r="AS1154" s="235" t="s">
        <v>7365</v>
      </c>
      <c r="AT1154" s="235" t="s">
        <v>546</v>
      </c>
      <c r="AU1154" s="235" t="s">
        <v>634</v>
      </c>
      <c r="AV1154" s="246" t="s">
        <v>635</v>
      </c>
      <c r="AW1154" s="242"/>
      <c r="AX1154" s="242"/>
      <c r="AY1154" s="231"/>
      <c r="AZ1154" s="231"/>
      <c r="BA1154" s="227"/>
      <c r="BB1154" s="231"/>
      <c r="BC1154" s="227"/>
      <c r="BD1154" s="227"/>
      <c r="BE1154" s="227"/>
      <c r="BF1154" s="227"/>
    </row>
    <row r="1155">
      <c r="A1155" s="235" t="s">
        <v>9573</v>
      </c>
      <c r="C1155" s="235" t="s">
        <v>9574</v>
      </c>
      <c r="D1155" s="235" t="s">
        <v>9575</v>
      </c>
      <c r="E1155" s="243">
        <v>6.55E13</v>
      </c>
      <c r="F1155" s="245"/>
      <c r="G1155" s="235" t="s">
        <v>9576</v>
      </c>
      <c r="H1155" s="235" t="s">
        <v>9577</v>
      </c>
      <c r="I1155" s="235" t="s">
        <v>9577</v>
      </c>
      <c r="J1155" s="235" t="s">
        <v>9578</v>
      </c>
      <c r="K1155" s="235" t="s">
        <v>9579</v>
      </c>
      <c r="N1155" s="235" t="s">
        <v>51</v>
      </c>
      <c r="O1155" s="235" t="s">
        <v>273</v>
      </c>
      <c r="P1155" s="238">
        <v>1.0</v>
      </c>
      <c r="Q1155" s="235" t="s">
        <v>627</v>
      </c>
      <c r="R1155" s="238">
        <v>237.14</v>
      </c>
      <c r="S1155" s="238">
        <v>11.86</v>
      </c>
      <c r="T1155" s="238">
        <v>0.0</v>
      </c>
      <c r="U1155" s="238">
        <v>0.0</v>
      </c>
      <c r="V1155" s="238">
        <v>0.0</v>
      </c>
      <c r="W1155" s="238">
        <v>0.0</v>
      </c>
      <c r="X1155" s="235" t="s">
        <v>628</v>
      </c>
      <c r="Z1155" s="244"/>
      <c r="AA1155" s="244"/>
      <c r="AB1155" s="244"/>
      <c r="AC1155" s="235" t="s">
        <v>5138</v>
      </c>
      <c r="AD1155" s="235" t="s">
        <v>833</v>
      </c>
      <c r="AE1155" s="238">
        <v>524002.0</v>
      </c>
      <c r="AF1155" s="235" t="s">
        <v>631</v>
      </c>
      <c r="AG1155" s="244"/>
      <c r="AH1155" s="244"/>
      <c r="AI1155" s="245"/>
      <c r="AJ1155" s="245"/>
      <c r="AK1155" s="245"/>
      <c r="AL1155" s="245"/>
      <c r="AM1155" s="244"/>
      <c r="AN1155" s="244"/>
      <c r="AO1155" s="238">
        <v>0.0</v>
      </c>
      <c r="AP1155" s="238">
        <v>0.0</v>
      </c>
      <c r="AQ1155" s="235" t="s">
        <v>632</v>
      </c>
      <c r="AR1155" s="243">
        <v>3.71E11</v>
      </c>
      <c r="AS1155" s="235" t="s">
        <v>8807</v>
      </c>
      <c r="AT1155" s="235" t="s">
        <v>156</v>
      </c>
      <c r="AU1155" s="235" t="s">
        <v>634</v>
      </c>
      <c r="AV1155" s="246" t="s">
        <v>635</v>
      </c>
      <c r="AW1155" s="242"/>
      <c r="AX1155" s="242"/>
      <c r="AY1155" s="231"/>
      <c r="AZ1155" s="231"/>
      <c r="BA1155" s="227"/>
      <c r="BB1155" s="231"/>
      <c r="BC1155" s="227"/>
      <c r="BD1155" s="227"/>
      <c r="BE1155" s="227"/>
      <c r="BF1155" s="227"/>
    </row>
    <row r="1156">
      <c r="A1156" s="235" t="s">
        <v>9580</v>
      </c>
      <c r="C1156" s="235" t="s">
        <v>9581</v>
      </c>
      <c r="D1156" s="235" t="s">
        <v>9582</v>
      </c>
      <c r="E1156" s="243">
        <v>6.55E13</v>
      </c>
      <c r="F1156" s="245"/>
      <c r="G1156" s="235" t="s">
        <v>9583</v>
      </c>
      <c r="H1156" s="235" t="s">
        <v>9584</v>
      </c>
      <c r="I1156" s="235" t="s">
        <v>9584</v>
      </c>
      <c r="J1156" s="235" t="s">
        <v>9585</v>
      </c>
      <c r="K1156" s="235" t="s">
        <v>9586</v>
      </c>
      <c r="N1156" s="235" t="s">
        <v>962</v>
      </c>
      <c r="O1156" s="235" t="s">
        <v>963</v>
      </c>
      <c r="P1156" s="238">
        <v>1.0</v>
      </c>
      <c r="Q1156" s="235" t="s">
        <v>627</v>
      </c>
      <c r="R1156" s="238">
        <v>246.67</v>
      </c>
      <c r="S1156" s="238">
        <v>11.96</v>
      </c>
      <c r="T1156" s="238">
        <v>0.0</v>
      </c>
      <c r="U1156" s="238">
        <v>0.0</v>
      </c>
      <c r="V1156" s="238">
        <v>0.0</v>
      </c>
      <c r="W1156" s="238">
        <v>0.0</v>
      </c>
      <c r="X1156" s="235" t="s">
        <v>628</v>
      </c>
      <c r="Z1156" s="244"/>
      <c r="AA1156" s="244"/>
      <c r="AB1156" s="244"/>
      <c r="AC1156" s="235" t="s">
        <v>822</v>
      </c>
      <c r="AD1156" s="235" t="s">
        <v>630</v>
      </c>
      <c r="AE1156" s="238">
        <v>201301.0</v>
      </c>
      <c r="AF1156" s="235" t="s">
        <v>631</v>
      </c>
      <c r="AG1156" s="244"/>
      <c r="AH1156" s="244"/>
      <c r="AI1156" s="245"/>
      <c r="AJ1156" s="245"/>
      <c r="AK1156" s="245"/>
      <c r="AL1156" s="245"/>
      <c r="AM1156" s="244"/>
      <c r="AN1156" s="244"/>
      <c r="AO1156" s="238">
        <v>-7.4</v>
      </c>
      <c r="AP1156" s="238">
        <v>0.0</v>
      </c>
      <c r="AQ1156" s="235" t="s">
        <v>632</v>
      </c>
      <c r="AR1156" s="243">
        <v>2.02E11</v>
      </c>
      <c r="AS1156" s="235" t="s">
        <v>8807</v>
      </c>
      <c r="AT1156" s="235" t="s">
        <v>11</v>
      </c>
      <c r="AU1156" s="235" t="s">
        <v>634</v>
      </c>
      <c r="AV1156" s="246" t="s">
        <v>635</v>
      </c>
      <c r="AW1156" s="242"/>
      <c r="AX1156" s="242"/>
      <c r="AY1156" s="231"/>
      <c r="AZ1156" s="231"/>
      <c r="BA1156" s="227"/>
      <c r="BB1156" s="231"/>
      <c r="BC1156" s="227"/>
      <c r="BD1156" s="227"/>
      <c r="BE1156" s="227"/>
      <c r="BF1156" s="227"/>
    </row>
    <row r="1157">
      <c r="A1157" s="235" t="s">
        <v>9580</v>
      </c>
      <c r="C1157" s="235" t="s">
        <v>9581</v>
      </c>
      <c r="D1157" s="235" t="s">
        <v>9587</v>
      </c>
      <c r="E1157" s="243">
        <v>6.55E13</v>
      </c>
      <c r="F1157" s="245"/>
      <c r="G1157" s="235" t="s">
        <v>9583</v>
      </c>
      <c r="H1157" s="235" t="s">
        <v>9584</v>
      </c>
      <c r="I1157" s="235" t="s">
        <v>9584</v>
      </c>
      <c r="J1157" s="235" t="s">
        <v>9585</v>
      </c>
      <c r="K1157" s="235" t="s">
        <v>9586</v>
      </c>
      <c r="N1157" s="235" t="s">
        <v>962</v>
      </c>
      <c r="O1157" s="235" t="s">
        <v>963</v>
      </c>
      <c r="P1157" s="238">
        <v>1.0</v>
      </c>
      <c r="Q1157" s="235" t="s">
        <v>627</v>
      </c>
      <c r="R1157" s="238">
        <v>246.67</v>
      </c>
      <c r="S1157" s="238">
        <v>11.96</v>
      </c>
      <c r="T1157" s="238">
        <v>0.0</v>
      </c>
      <c r="U1157" s="238">
        <v>0.0</v>
      </c>
      <c r="V1157" s="238">
        <v>0.0</v>
      </c>
      <c r="W1157" s="238">
        <v>0.0</v>
      </c>
      <c r="X1157" s="235" t="s">
        <v>628</v>
      </c>
      <c r="Z1157" s="244"/>
      <c r="AA1157" s="244"/>
      <c r="AB1157" s="244"/>
      <c r="AC1157" s="235" t="s">
        <v>822</v>
      </c>
      <c r="AD1157" s="235" t="s">
        <v>630</v>
      </c>
      <c r="AE1157" s="238">
        <v>201301.0</v>
      </c>
      <c r="AF1157" s="235" t="s">
        <v>631</v>
      </c>
      <c r="AG1157" s="244"/>
      <c r="AH1157" s="244"/>
      <c r="AI1157" s="245"/>
      <c r="AJ1157" s="245"/>
      <c r="AK1157" s="245"/>
      <c r="AL1157" s="245"/>
      <c r="AM1157" s="244"/>
      <c r="AN1157" s="244"/>
      <c r="AO1157" s="238">
        <v>-7.4</v>
      </c>
      <c r="AP1157" s="238">
        <v>0.0</v>
      </c>
      <c r="AQ1157" s="235" t="s">
        <v>632</v>
      </c>
      <c r="AR1157" s="243">
        <v>2.02E11</v>
      </c>
      <c r="AS1157" s="235" t="s">
        <v>8807</v>
      </c>
      <c r="AT1157" s="235" t="s">
        <v>11</v>
      </c>
      <c r="AU1157" s="235" t="s">
        <v>634</v>
      </c>
      <c r="AV1157" s="246" t="s">
        <v>635</v>
      </c>
      <c r="AW1157" s="242"/>
      <c r="AX1157" s="242"/>
      <c r="AY1157" s="231"/>
      <c r="AZ1157" s="231"/>
      <c r="BA1157" s="227"/>
      <c r="BB1157" s="231"/>
      <c r="BC1157" s="227"/>
      <c r="BD1157" s="227"/>
      <c r="BE1157" s="227"/>
      <c r="BF1157" s="227"/>
    </row>
    <row r="1158">
      <c r="A1158" s="235" t="s">
        <v>9588</v>
      </c>
      <c r="C1158" s="235" t="s">
        <v>9589</v>
      </c>
      <c r="D1158" s="235" t="s">
        <v>9590</v>
      </c>
      <c r="E1158" s="243">
        <v>6.55E13</v>
      </c>
      <c r="F1158" s="245"/>
      <c r="G1158" s="235" t="s">
        <v>9591</v>
      </c>
      <c r="H1158" s="235" t="s">
        <v>9592</v>
      </c>
      <c r="I1158" s="235" t="s">
        <v>9592</v>
      </c>
      <c r="J1158" s="235" t="s">
        <v>9593</v>
      </c>
      <c r="K1158" s="235" t="s">
        <v>9594</v>
      </c>
      <c r="N1158" s="235" t="s">
        <v>10</v>
      </c>
      <c r="O1158" s="235" t="s">
        <v>936</v>
      </c>
      <c r="P1158" s="238">
        <v>1.0</v>
      </c>
      <c r="Q1158" s="235" t="s">
        <v>627</v>
      </c>
      <c r="R1158" s="238">
        <v>265.71</v>
      </c>
      <c r="S1158" s="238">
        <v>13.29</v>
      </c>
      <c r="T1158" s="238">
        <v>0.0</v>
      </c>
      <c r="U1158" s="238">
        <v>0.0</v>
      </c>
      <c r="V1158" s="238">
        <v>0.0</v>
      </c>
      <c r="W1158" s="238">
        <v>0.0</v>
      </c>
      <c r="X1158" s="235" t="s">
        <v>628</v>
      </c>
      <c r="Z1158" s="244"/>
      <c r="AA1158" s="244"/>
      <c r="AB1158" s="244"/>
      <c r="AC1158" s="235" t="s">
        <v>1531</v>
      </c>
      <c r="AD1158" s="235" t="s">
        <v>1151</v>
      </c>
      <c r="AE1158" s="238">
        <v>700010.0</v>
      </c>
      <c r="AF1158" s="235" t="s">
        <v>631</v>
      </c>
      <c r="AG1158" s="244"/>
      <c r="AH1158" s="244"/>
      <c r="AI1158" s="245"/>
      <c r="AJ1158" s="245"/>
      <c r="AK1158" s="245"/>
      <c r="AL1158" s="245"/>
      <c r="AM1158" s="244"/>
      <c r="AN1158" s="244"/>
      <c r="AO1158" s="238">
        <v>0.0</v>
      </c>
      <c r="AP1158" s="238">
        <v>0.0</v>
      </c>
      <c r="AQ1158" s="235" t="s">
        <v>632</v>
      </c>
      <c r="AR1158" s="243">
        <v>2.02E11</v>
      </c>
      <c r="AS1158" s="235" t="s">
        <v>8807</v>
      </c>
      <c r="AT1158" s="235" t="s">
        <v>9</v>
      </c>
      <c r="AU1158" s="235" t="s">
        <v>634</v>
      </c>
      <c r="AV1158" s="246" t="s">
        <v>635</v>
      </c>
      <c r="AW1158" s="242"/>
      <c r="AX1158" s="242"/>
      <c r="AY1158" s="231"/>
      <c r="AZ1158" s="231"/>
      <c r="BA1158" s="227"/>
      <c r="BB1158" s="231"/>
      <c r="BC1158" s="227"/>
      <c r="BD1158" s="227"/>
      <c r="BE1158" s="227"/>
      <c r="BF1158" s="227"/>
    </row>
    <row r="1159">
      <c r="A1159" s="235" t="s">
        <v>9588</v>
      </c>
      <c r="C1159" s="235" t="s">
        <v>9589</v>
      </c>
      <c r="D1159" s="235" t="s">
        <v>9595</v>
      </c>
      <c r="E1159" s="243">
        <v>6.55E13</v>
      </c>
      <c r="F1159" s="245"/>
      <c r="G1159" s="235" t="s">
        <v>9591</v>
      </c>
      <c r="H1159" s="235" t="s">
        <v>9592</v>
      </c>
      <c r="I1159" s="235" t="s">
        <v>9592</v>
      </c>
      <c r="J1159" s="235" t="s">
        <v>9593</v>
      </c>
      <c r="K1159" s="235" t="s">
        <v>9594</v>
      </c>
      <c r="N1159" s="235" t="s">
        <v>10</v>
      </c>
      <c r="O1159" s="235" t="s">
        <v>936</v>
      </c>
      <c r="P1159" s="238">
        <v>1.0</v>
      </c>
      <c r="Q1159" s="235" t="s">
        <v>627</v>
      </c>
      <c r="R1159" s="238">
        <v>265.71</v>
      </c>
      <c r="S1159" s="238">
        <v>13.29</v>
      </c>
      <c r="T1159" s="238">
        <v>0.0</v>
      </c>
      <c r="U1159" s="238">
        <v>0.0</v>
      </c>
      <c r="V1159" s="238">
        <v>0.0</v>
      </c>
      <c r="W1159" s="238">
        <v>0.0</v>
      </c>
      <c r="X1159" s="235" t="s">
        <v>628</v>
      </c>
      <c r="Z1159" s="244"/>
      <c r="AA1159" s="244"/>
      <c r="AB1159" s="244"/>
      <c r="AC1159" s="235" t="s">
        <v>1531</v>
      </c>
      <c r="AD1159" s="235" t="s">
        <v>1151</v>
      </c>
      <c r="AE1159" s="238">
        <v>700010.0</v>
      </c>
      <c r="AF1159" s="235" t="s">
        <v>631</v>
      </c>
      <c r="AG1159" s="244"/>
      <c r="AH1159" s="244"/>
      <c r="AI1159" s="245"/>
      <c r="AJ1159" s="245"/>
      <c r="AK1159" s="245"/>
      <c r="AL1159" s="245"/>
      <c r="AM1159" s="244"/>
      <c r="AN1159" s="244"/>
      <c r="AO1159" s="238">
        <v>0.0</v>
      </c>
      <c r="AP1159" s="238">
        <v>0.0</v>
      </c>
      <c r="AQ1159" s="235" t="s">
        <v>632</v>
      </c>
      <c r="AR1159" s="243">
        <v>2.02E11</v>
      </c>
      <c r="AS1159" s="235" t="s">
        <v>8807</v>
      </c>
      <c r="AT1159" s="235" t="s">
        <v>9</v>
      </c>
      <c r="AU1159" s="235" t="s">
        <v>634</v>
      </c>
      <c r="AV1159" s="246" t="s">
        <v>635</v>
      </c>
      <c r="AW1159" s="242"/>
      <c r="AX1159" s="242"/>
      <c r="AY1159" s="231"/>
      <c r="AZ1159" s="231"/>
      <c r="BA1159" s="227"/>
      <c r="BB1159" s="231"/>
      <c r="BC1159" s="227"/>
      <c r="BD1159" s="227"/>
      <c r="BE1159" s="227"/>
      <c r="BF1159" s="227"/>
    </row>
    <row r="1160">
      <c r="A1160" s="235" t="s">
        <v>9588</v>
      </c>
      <c r="C1160" s="235" t="s">
        <v>9589</v>
      </c>
      <c r="D1160" s="235" t="s">
        <v>9596</v>
      </c>
      <c r="E1160" s="243">
        <v>6.55E13</v>
      </c>
      <c r="F1160" s="245"/>
      <c r="G1160" s="235" t="s">
        <v>9591</v>
      </c>
      <c r="H1160" s="235" t="s">
        <v>9592</v>
      </c>
      <c r="I1160" s="235" t="s">
        <v>9592</v>
      </c>
      <c r="J1160" s="235" t="s">
        <v>9593</v>
      </c>
      <c r="K1160" s="235" t="s">
        <v>9594</v>
      </c>
      <c r="N1160" s="235" t="s">
        <v>10</v>
      </c>
      <c r="O1160" s="235" t="s">
        <v>936</v>
      </c>
      <c r="P1160" s="238">
        <v>1.0</v>
      </c>
      <c r="Q1160" s="235" t="s">
        <v>627</v>
      </c>
      <c r="R1160" s="238">
        <v>265.71</v>
      </c>
      <c r="S1160" s="238">
        <v>13.29</v>
      </c>
      <c r="T1160" s="238">
        <v>0.0</v>
      </c>
      <c r="U1160" s="238">
        <v>0.0</v>
      </c>
      <c r="V1160" s="238">
        <v>0.0</v>
      </c>
      <c r="W1160" s="238">
        <v>0.0</v>
      </c>
      <c r="X1160" s="235" t="s">
        <v>628</v>
      </c>
      <c r="Z1160" s="244"/>
      <c r="AA1160" s="244"/>
      <c r="AB1160" s="244"/>
      <c r="AC1160" s="235" t="s">
        <v>1531</v>
      </c>
      <c r="AD1160" s="235" t="s">
        <v>1151</v>
      </c>
      <c r="AE1160" s="238">
        <v>700010.0</v>
      </c>
      <c r="AF1160" s="235" t="s">
        <v>631</v>
      </c>
      <c r="AG1160" s="244"/>
      <c r="AH1160" s="244"/>
      <c r="AI1160" s="245"/>
      <c r="AJ1160" s="245"/>
      <c r="AK1160" s="245"/>
      <c r="AL1160" s="245"/>
      <c r="AM1160" s="244"/>
      <c r="AN1160" s="244"/>
      <c r="AO1160" s="238">
        <v>0.0</v>
      </c>
      <c r="AP1160" s="238">
        <v>0.0</v>
      </c>
      <c r="AQ1160" s="235" t="s">
        <v>632</v>
      </c>
      <c r="AR1160" s="243">
        <v>2.02E11</v>
      </c>
      <c r="AS1160" s="235" t="s">
        <v>8807</v>
      </c>
      <c r="AT1160" s="235" t="s">
        <v>9</v>
      </c>
      <c r="AU1160" s="235" t="s">
        <v>634</v>
      </c>
      <c r="AV1160" s="246" t="s">
        <v>635</v>
      </c>
      <c r="AW1160" s="242"/>
      <c r="AX1160" s="242"/>
      <c r="AY1160" s="231"/>
      <c r="AZ1160" s="231"/>
      <c r="BA1160" s="227"/>
      <c r="BB1160" s="231"/>
      <c r="BC1160" s="227"/>
      <c r="BD1160" s="227"/>
      <c r="BE1160" s="227"/>
      <c r="BF1160" s="227"/>
    </row>
    <row r="1161">
      <c r="A1161" s="235" t="s">
        <v>9588</v>
      </c>
      <c r="C1161" s="235" t="s">
        <v>9589</v>
      </c>
      <c r="D1161" s="235" t="s">
        <v>9597</v>
      </c>
      <c r="E1161" s="243">
        <v>6.55E13</v>
      </c>
      <c r="F1161" s="245"/>
      <c r="G1161" s="235" t="s">
        <v>9591</v>
      </c>
      <c r="H1161" s="235" t="s">
        <v>9592</v>
      </c>
      <c r="I1161" s="235" t="s">
        <v>9592</v>
      </c>
      <c r="J1161" s="235" t="s">
        <v>9593</v>
      </c>
      <c r="K1161" s="235" t="s">
        <v>9594</v>
      </c>
      <c r="N1161" s="235" t="s">
        <v>10</v>
      </c>
      <c r="O1161" s="235" t="s">
        <v>936</v>
      </c>
      <c r="P1161" s="238">
        <v>1.0</v>
      </c>
      <c r="Q1161" s="235" t="s">
        <v>627</v>
      </c>
      <c r="R1161" s="238">
        <v>265.71</v>
      </c>
      <c r="S1161" s="238">
        <v>13.29</v>
      </c>
      <c r="T1161" s="238">
        <v>0.0</v>
      </c>
      <c r="U1161" s="238">
        <v>0.0</v>
      </c>
      <c r="V1161" s="238">
        <v>0.0</v>
      </c>
      <c r="W1161" s="238">
        <v>0.0</v>
      </c>
      <c r="X1161" s="235" t="s">
        <v>628</v>
      </c>
      <c r="Z1161" s="244"/>
      <c r="AA1161" s="244"/>
      <c r="AB1161" s="244"/>
      <c r="AC1161" s="235" t="s">
        <v>1531</v>
      </c>
      <c r="AD1161" s="235" t="s">
        <v>1151</v>
      </c>
      <c r="AE1161" s="238">
        <v>700010.0</v>
      </c>
      <c r="AF1161" s="235" t="s">
        <v>631</v>
      </c>
      <c r="AG1161" s="244"/>
      <c r="AH1161" s="244"/>
      <c r="AI1161" s="245"/>
      <c r="AJ1161" s="245"/>
      <c r="AK1161" s="245"/>
      <c r="AL1161" s="245"/>
      <c r="AM1161" s="244"/>
      <c r="AN1161" s="244"/>
      <c r="AO1161" s="238">
        <v>0.0</v>
      </c>
      <c r="AP1161" s="238">
        <v>0.0</v>
      </c>
      <c r="AQ1161" s="235" t="s">
        <v>632</v>
      </c>
      <c r="AR1161" s="243">
        <v>2.02E11</v>
      </c>
      <c r="AS1161" s="235" t="s">
        <v>8807</v>
      </c>
      <c r="AT1161" s="235" t="s">
        <v>9</v>
      </c>
      <c r="AU1161" s="235" t="s">
        <v>634</v>
      </c>
      <c r="AV1161" s="246" t="s">
        <v>635</v>
      </c>
      <c r="AW1161" s="242"/>
      <c r="AX1161" s="242"/>
      <c r="AY1161" s="231"/>
      <c r="AZ1161" s="231"/>
      <c r="BA1161" s="227"/>
      <c r="BB1161" s="231"/>
      <c r="BC1161" s="227"/>
      <c r="BD1161" s="227"/>
      <c r="BE1161" s="227"/>
      <c r="BF1161" s="227"/>
    </row>
    <row r="1162">
      <c r="A1162" s="235" t="s">
        <v>9598</v>
      </c>
      <c r="C1162" s="235" t="s">
        <v>9599</v>
      </c>
      <c r="D1162" s="235" t="s">
        <v>9600</v>
      </c>
      <c r="E1162" s="243">
        <v>6.55E13</v>
      </c>
      <c r="F1162" s="245"/>
      <c r="G1162" s="235" t="s">
        <v>9601</v>
      </c>
      <c r="H1162" s="235" t="s">
        <v>9602</v>
      </c>
      <c r="I1162" s="235" t="s">
        <v>9602</v>
      </c>
      <c r="J1162" s="235" t="s">
        <v>9603</v>
      </c>
      <c r="K1162" s="235" t="s">
        <v>4301</v>
      </c>
      <c r="N1162" s="235" t="s">
        <v>49</v>
      </c>
      <c r="O1162" s="235" t="s">
        <v>321</v>
      </c>
      <c r="P1162" s="238">
        <v>1.0</v>
      </c>
      <c r="Q1162" s="235" t="s">
        <v>627</v>
      </c>
      <c r="R1162" s="238">
        <v>237.14</v>
      </c>
      <c r="S1162" s="238">
        <v>11.62</v>
      </c>
      <c r="T1162" s="238">
        <v>0.0</v>
      </c>
      <c r="U1162" s="238">
        <v>0.0</v>
      </c>
      <c r="V1162" s="238">
        <v>0.0</v>
      </c>
      <c r="W1162" s="238">
        <v>0.0</v>
      </c>
      <c r="X1162" s="235" t="s">
        <v>628</v>
      </c>
      <c r="Z1162" s="244"/>
      <c r="AA1162" s="244"/>
      <c r="AB1162" s="244"/>
      <c r="AC1162" s="235" t="s">
        <v>4302</v>
      </c>
      <c r="AD1162" s="235" t="s">
        <v>1077</v>
      </c>
      <c r="AE1162" s="238">
        <v>370465.0</v>
      </c>
      <c r="AF1162" s="235" t="s">
        <v>631</v>
      </c>
      <c r="AG1162" s="244"/>
      <c r="AH1162" s="244"/>
      <c r="AI1162" s="245"/>
      <c r="AJ1162" s="245"/>
      <c r="AK1162" s="245"/>
      <c r="AL1162" s="245"/>
      <c r="AM1162" s="244"/>
      <c r="AN1162" s="244"/>
      <c r="AO1162" s="238">
        <v>-4.74</v>
      </c>
      <c r="AP1162" s="238">
        <v>0.0</v>
      </c>
      <c r="AQ1162" s="235" t="s">
        <v>632</v>
      </c>
      <c r="AR1162" s="243">
        <v>3.71E11</v>
      </c>
      <c r="AS1162" s="235" t="s">
        <v>4697</v>
      </c>
      <c r="AT1162" s="235" t="s">
        <v>13</v>
      </c>
      <c r="AU1162" s="235" t="s">
        <v>634</v>
      </c>
      <c r="AV1162" s="246" t="s">
        <v>635</v>
      </c>
      <c r="AW1162" s="242"/>
      <c r="AX1162" s="242"/>
      <c r="AY1162" s="231"/>
      <c r="AZ1162" s="231"/>
      <c r="BA1162" s="227"/>
      <c r="BB1162" s="227"/>
      <c r="BC1162" s="227"/>
      <c r="BD1162" s="227"/>
      <c r="BE1162" s="227"/>
      <c r="BF1162" s="227"/>
    </row>
    <row r="1163">
      <c r="A1163" s="235" t="s">
        <v>9604</v>
      </c>
      <c r="C1163" s="235" t="s">
        <v>9605</v>
      </c>
      <c r="D1163" s="235" t="s">
        <v>9606</v>
      </c>
      <c r="E1163" s="243">
        <v>6.55E13</v>
      </c>
      <c r="F1163" s="245"/>
      <c r="G1163" s="235" t="s">
        <v>9607</v>
      </c>
      <c r="H1163" s="235" t="s">
        <v>9608</v>
      </c>
      <c r="I1163" s="235" t="s">
        <v>9608</v>
      </c>
      <c r="J1163" s="235" t="s">
        <v>9483</v>
      </c>
      <c r="K1163" s="235" t="s">
        <v>9609</v>
      </c>
      <c r="N1163" s="235" t="s">
        <v>82</v>
      </c>
      <c r="O1163" s="235" t="s">
        <v>889</v>
      </c>
      <c r="P1163" s="238">
        <v>1.0</v>
      </c>
      <c r="Q1163" s="235" t="s">
        <v>627</v>
      </c>
      <c r="R1163" s="238">
        <v>246.66</v>
      </c>
      <c r="S1163" s="238">
        <v>12.34</v>
      </c>
      <c r="T1163" s="238">
        <v>18.1</v>
      </c>
      <c r="U1163" s="238">
        <v>0.9</v>
      </c>
      <c r="V1163" s="238">
        <v>0.0</v>
      </c>
      <c r="W1163" s="238">
        <v>0.0</v>
      </c>
      <c r="X1163" s="235" t="s">
        <v>628</v>
      </c>
      <c r="Z1163" s="244"/>
      <c r="AA1163" s="244"/>
      <c r="AB1163" s="244"/>
      <c r="AC1163" s="235" t="s">
        <v>1255</v>
      </c>
      <c r="AD1163" s="235" t="s">
        <v>845</v>
      </c>
      <c r="AE1163" s="238">
        <v>400615.0</v>
      </c>
      <c r="AF1163" s="235" t="s">
        <v>631</v>
      </c>
      <c r="AG1163" s="244"/>
      <c r="AH1163" s="244"/>
      <c r="AI1163" s="245"/>
      <c r="AJ1163" s="245"/>
      <c r="AK1163" s="245"/>
      <c r="AL1163" s="245"/>
      <c r="AM1163" s="244"/>
      <c r="AN1163" s="244"/>
      <c r="AO1163" s="238">
        <v>0.0</v>
      </c>
      <c r="AP1163" s="238">
        <v>-18.1</v>
      </c>
      <c r="AQ1163" s="235" t="s">
        <v>632</v>
      </c>
      <c r="AR1163" s="243">
        <v>1.68E11</v>
      </c>
      <c r="AS1163" s="235" t="s">
        <v>9184</v>
      </c>
      <c r="AT1163" s="235" t="s">
        <v>16</v>
      </c>
      <c r="AU1163" s="235" t="s">
        <v>634</v>
      </c>
      <c r="AV1163" s="246" t="s">
        <v>635</v>
      </c>
      <c r="AW1163" s="242"/>
      <c r="AX1163" s="242"/>
      <c r="AY1163" s="231"/>
      <c r="AZ1163" s="231"/>
      <c r="BA1163" s="227"/>
      <c r="BB1163" s="231"/>
      <c r="BC1163" s="227"/>
      <c r="BD1163" s="227"/>
      <c r="BE1163" s="227"/>
      <c r="BF1163" s="227"/>
    </row>
    <row r="1164">
      <c r="A1164" s="235" t="s">
        <v>9610</v>
      </c>
      <c r="C1164" s="235" t="s">
        <v>9611</v>
      </c>
      <c r="D1164" s="235" t="s">
        <v>9612</v>
      </c>
      <c r="E1164" s="243">
        <v>6.55E13</v>
      </c>
      <c r="F1164" s="245"/>
      <c r="G1164" s="235" t="s">
        <v>9613</v>
      </c>
      <c r="H1164" s="235" t="s">
        <v>9614</v>
      </c>
      <c r="I1164" s="235" t="s">
        <v>9615</v>
      </c>
      <c r="J1164" s="235" t="s">
        <v>9616</v>
      </c>
      <c r="K1164" s="235" t="s">
        <v>9617</v>
      </c>
      <c r="N1164" s="235" t="s">
        <v>141</v>
      </c>
      <c r="O1164" s="235" t="s">
        <v>342</v>
      </c>
      <c r="P1164" s="238">
        <v>1.0</v>
      </c>
      <c r="Q1164" s="235" t="s">
        <v>627</v>
      </c>
      <c r="R1164" s="238">
        <v>246.66</v>
      </c>
      <c r="S1164" s="238">
        <v>12.34</v>
      </c>
      <c r="T1164" s="238">
        <v>0.0</v>
      </c>
      <c r="U1164" s="238">
        <v>0.0</v>
      </c>
      <c r="V1164" s="238">
        <v>0.0</v>
      </c>
      <c r="W1164" s="238">
        <v>0.0</v>
      </c>
      <c r="X1164" s="235" t="s">
        <v>628</v>
      </c>
      <c r="Z1164" s="244"/>
      <c r="AA1164" s="244"/>
      <c r="AB1164" s="244"/>
      <c r="AC1164" s="235" t="s">
        <v>687</v>
      </c>
      <c r="AD1164" s="235" t="s">
        <v>666</v>
      </c>
      <c r="AE1164" s="238">
        <v>600028.0</v>
      </c>
      <c r="AF1164" s="235" t="s">
        <v>631</v>
      </c>
      <c r="AG1164" s="244"/>
      <c r="AH1164" s="244"/>
      <c r="AI1164" s="245"/>
      <c r="AJ1164" s="245"/>
      <c r="AK1164" s="245"/>
      <c r="AL1164" s="245"/>
      <c r="AM1164" s="244"/>
      <c r="AN1164" s="244"/>
      <c r="AO1164" s="238">
        <v>0.0</v>
      </c>
      <c r="AP1164" s="238">
        <v>0.0</v>
      </c>
      <c r="AQ1164" s="235" t="s">
        <v>632</v>
      </c>
      <c r="AR1164" s="243">
        <v>1.68E11</v>
      </c>
      <c r="AS1164" s="235" t="s">
        <v>9184</v>
      </c>
      <c r="AT1164" s="235" t="s">
        <v>156</v>
      </c>
      <c r="AU1164" s="235" t="s">
        <v>634</v>
      </c>
      <c r="AV1164" s="246" t="s">
        <v>635</v>
      </c>
      <c r="AW1164" s="242"/>
      <c r="AX1164" s="242"/>
      <c r="AY1164" s="231"/>
      <c r="AZ1164" s="231"/>
      <c r="BA1164" s="227"/>
      <c r="BB1164" s="231"/>
      <c r="BC1164" s="227"/>
      <c r="BD1164" s="227"/>
      <c r="BE1164" s="227"/>
      <c r="BF1164" s="227"/>
    </row>
    <row r="1165">
      <c r="A1165" s="235" t="s">
        <v>9618</v>
      </c>
      <c r="C1165" s="235" t="s">
        <v>9619</v>
      </c>
      <c r="D1165" s="235" t="s">
        <v>9620</v>
      </c>
      <c r="E1165" s="243">
        <v>6.55E13</v>
      </c>
      <c r="F1165" s="245"/>
      <c r="G1165" s="235" t="s">
        <v>9621</v>
      </c>
      <c r="H1165" s="235" t="s">
        <v>9622</v>
      </c>
      <c r="I1165" s="235" t="s">
        <v>9623</v>
      </c>
      <c r="J1165" s="235" t="s">
        <v>9624</v>
      </c>
      <c r="K1165" s="235" t="s">
        <v>9625</v>
      </c>
      <c r="N1165" s="235" t="s">
        <v>131</v>
      </c>
      <c r="O1165" s="235" t="s">
        <v>2148</v>
      </c>
      <c r="P1165" s="238">
        <v>1.0</v>
      </c>
      <c r="Q1165" s="235" t="s">
        <v>627</v>
      </c>
      <c r="R1165" s="238">
        <v>246.67</v>
      </c>
      <c r="S1165" s="238">
        <v>12.33</v>
      </c>
      <c r="T1165" s="238">
        <v>0.0</v>
      </c>
      <c r="U1165" s="238">
        <v>0.0</v>
      </c>
      <c r="V1165" s="238">
        <v>0.0</v>
      </c>
      <c r="W1165" s="238">
        <v>0.0</v>
      </c>
      <c r="X1165" s="235" t="s">
        <v>628</v>
      </c>
      <c r="Z1165" s="244"/>
      <c r="AA1165" s="244"/>
      <c r="AB1165" s="244"/>
      <c r="AC1165" s="235" t="s">
        <v>4988</v>
      </c>
      <c r="AD1165" s="235" t="s">
        <v>630</v>
      </c>
      <c r="AE1165" s="238">
        <v>226008.0</v>
      </c>
      <c r="AF1165" s="235" t="s">
        <v>631</v>
      </c>
      <c r="AG1165" s="244"/>
      <c r="AH1165" s="244"/>
      <c r="AI1165" s="245"/>
      <c r="AJ1165" s="245"/>
      <c r="AK1165" s="245"/>
      <c r="AL1165" s="245"/>
      <c r="AM1165" s="244"/>
      <c r="AN1165" s="244"/>
      <c r="AO1165" s="238">
        <v>0.0</v>
      </c>
      <c r="AP1165" s="238">
        <v>0.0</v>
      </c>
      <c r="AQ1165" s="235" t="s">
        <v>632</v>
      </c>
      <c r="AR1165" s="243">
        <v>3.71E11</v>
      </c>
      <c r="AS1165" s="235" t="s">
        <v>7365</v>
      </c>
      <c r="AT1165" s="235" t="s">
        <v>14</v>
      </c>
      <c r="AU1165" s="235" t="s">
        <v>634</v>
      </c>
      <c r="AV1165" s="246" t="s">
        <v>635</v>
      </c>
      <c r="AW1165" s="242"/>
      <c r="AX1165" s="242"/>
      <c r="AY1165" s="231"/>
      <c r="AZ1165" s="231"/>
      <c r="BA1165" s="227"/>
      <c r="BB1165" s="231"/>
      <c r="BC1165" s="227"/>
      <c r="BD1165" s="227"/>
      <c r="BE1165" s="227"/>
      <c r="BF1165" s="227"/>
    </row>
    <row r="1166">
      <c r="A1166" s="235" t="s">
        <v>9626</v>
      </c>
      <c r="C1166" s="235" t="s">
        <v>9627</v>
      </c>
      <c r="D1166" s="235" t="s">
        <v>9628</v>
      </c>
      <c r="E1166" s="243">
        <v>6.55E13</v>
      </c>
      <c r="F1166" s="245"/>
      <c r="G1166" s="235" t="s">
        <v>9629</v>
      </c>
      <c r="H1166" s="235" t="s">
        <v>9630</v>
      </c>
      <c r="I1166" s="235" t="s">
        <v>9630</v>
      </c>
      <c r="J1166" s="235" t="s">
        <v>9631</v>
      </c>
      <c r="K1166" s="235" t="s">
        <v>9632</v>
      </c>
      <c r="N1166" s="235" t="s">
        <v>10</v>
      </c>
      <c r="O1166" s="235" t="s">
        <v>936</v>
      </c>
      <c r="P1166" s="238">
        <v>1.0</v>
      </c>
      <c r="Q1166" s="235" t="s">
        <v>627</v>
      </c>
      <c r="R1166" s="238">
        <v>265.72</v>
      </c>
      <c r="S1166" s="238">
        <v>13.28</v>
      </c>
      <c r="T1166" s="238">
        <v>38.1</v>
      </c>
      <c r="U1166" s="238">
        <v>1.9</v>
      </c>
      <c r="V1166" s="238">
        <v>0.0</v>
      </c>
      <c r="W1166" s="238">
        <v>0.0</v>
      </c>
      <c r="X1166" s="235" t="s">
        <v>628</v>
      </c>
      <c r="Z1166" s="244"/>
      <c r="AA1166" s="244"/>
      <c r="AB1166" s="244"/>
      <c r="AC1166" s="235" t="s">
        <v>9633</v>
      </c>
      <c r="AD1166" s="235" t="s">
        <v>8663</v>
      </c>
      <c r="AE1166" s="238">
        <v>423203.0</v>
      </c>
      <c r="AF1166" s="235" t="s">
        <v>631</v>
      </c>
      <c r="AG1166" s="244"/>
      <c r="AH1166" s="244"/>
      <c r="AI1166" s="245"/>
      <c r="AJ1166" s="245"/>
      <c r="AK1166" s="245"/>
      <c r="AL1166" s="245"/>
      <c r="AM1166" s="244"/>
      <c r="AN1166" s="244"/>
      <c r="AO1166" s="238">
        <v>0.0</v>
      </c>
      <c r="AP1166" s="238">
        <v>-38.1</v>
      </c>
      <c r="AQ1166" s="235" t="s">
        <v>632</v>
      </c>
      <c r="AR1166" s="243">
        <v>3.71E11</v>
      </c>
      <c r="AS1166" s="235" t="s">
        <v>7365</v>
      </c>
      <c r="AT1166" s="235" t="s">
        <v>16</v>
      </c>
      <c r="AU1166" s="235" t="s">
        <v>634</v>
      </c>
      <c r="AV1166" s="246" t="s">
        <v>635</v>
      </c>
      <c r="AW1166" s="242"/>
      <c r="AX1166" s="242"/>
      <c r="AY1166" s="231"/>
      <c r="AZ1166" s="231"/>
      <c r="BA1166" s="227"/>
      <c r="BB1166" s="231"/>
      <c r="BC1166" s="227"/>
      <c r="BD1166" s="227"/>
      <c r="BE1166" s="227"/>
      <c r="BF1166" s="227"/>
    </row>
    <row r="1167">
      <c r="A1167" s="235" t="s">
        <v>9634</v>
      </c>
      <c r="C1167" s="235" t="s">
        <v>9635</v>
      </c>
      <c r="D1167" s="235" t="s">
        <v>9636</v>
      </c>
      <c r="E1167" s="243">
        <v>6.55E13</v>
      </c>
      <c r="F1167" s="245"/>
      <c r="G1167" s="235" t="s">
        <v>9637</v>
      </c>
      <c r="H1167" s="235" t="s">
        <v>9638</v>
      </c>
      <c r="I1167" s="235" t="s">
        <v>9639</v>
      </c>
      <c r="J1167" s="235" t="s">
        <v>9640</v>
      </c>
      <c r="K1167" s="235" t="s">
        <v>9641</v>
      </c>
      <c r="N1167" s="235" t="s">
        <v>42</v>
      </c>
      <c r="O1167" s="235" t="s">
        <v>204</v>
      </c>
      <c r="P1167" s="238">
        <v>1.0</v>
      </c>
      <c r="Q1167" s="235" t="s">
        <v>627</v>
      </c>
      <c r="R1167" s="238">
        <v>237.14</v>
      </c>
      <c r="S1167" s="238">
        <v>11.62</v>
      </c>
      <c r="T1167" s="238">
        <v>0.0</v>
      </c>
      <c r="U1167" s="238">
        <v>0.0</v>
      </c>
      <c r="V1167" s="238">
        <v>0.0</v>
      </c>
      <c r="W1167" s="238">
        <v>0.0</v>
      </c>
      <c r="X1167" s="235" t="s">
        <v>628</v>
      </c>
      <c r="Z1167" s="244"/>
      <c r="AA1167" s="244"/>
      <c r="AB1167" s="244"/>
      <c r="AC1167" s="235" t="s">
        <v>757</v>
      </c>
      <c r="AD1167" s="235" t="s">
        <v>666</v>
      </c>
      <c r="AE1167" s="238">
        <v>625009.0</v>
      </c>
      <c r="AF1167" s="235" t="s">
        <v>631</v>
      </c>
      <c r="AG1167" s="244"/>
      <c r="AH1167" s="244"/>
      <c r="AI1167" s="245"/>
      <c r="AJ1167" s="245"/>
      <c r="AK1167" s="245"/>
      <c r="AL1167" s="245"/>
      <c r="AM1167" s="244"/>
      <c r="AN1167" s="244"/>
      <c r="AO1167" s="238">
        <v>-4.74</v>
      </c>
      <c r="AP1167" s="238">
        <v>0.0</v>
      </c>
      <c r="AQ1167" s="235" t="s">
        <v>632</v>
      </c>
      <c r="AR1167" s="243">
        <v>3.71E11</v>
      </c>
      <c r="AS1167" s="235" t="s">
        <v>7365</v>
      </c>
      <c r="AT1167" s="235" t="s">
        <v>11</v>
      </c>
      <c r="AU1167" s="235" t="s">
        <v>634</v>
      </c>
      <c r="AV1167" s="246" t="s">
        <v>635</v>
      </c>
      <c r="AW1167" s="242"/>
      <c r="AX1167" s="242"/>
      <c r="AY1167" s="231"/>
      <c r="AZ1167" s="231"/>
      <c r="BA1167" s="227"/>
      <c r="BB1167" s="231"/>
      <c r="BC1167" s="227"/>
      <c r="BD1167" s="227"/>
      <c r="BE1167" s="227"/>
      <c r="BF1167" s="227"/>
    </row>
    <row r="1168">
      <c r="A1168" s="235" t="s">
        <v>9642</v>
      </c>
      <c r="C1168" s="235" t="s">
        <v>9643</v>
      </c>
      <c r="D1168" s="235" t="s">
        <v>9644</v>
      </c>
      <c r="E1168" s="243">
        <v>6.55E13</v>
      </c>
      <c r="F1168" s="245"/>
      <c r="G1168" s="235" t="s">
        <v>9645</v>
      </c>
      <c r="H1168" s="235" t="s">
        <v>9646</v>
      </c>
      <c r="I1168" s="235" t="s">
        <v>9647</v>
      </c>
      <c r="J1168" s="235" t="s">
        <v>9648</v>
      </c>
      <c r="K1168" s="235" t="s">
        <v>9649</v>
      </c>
      <c r="N1168" s="235" t="s">
        <v>127</v>
      </c>
      <c r="O1168" s="235" t="s">
        <v>794</v>
      </c>
      <c r="P1168" s="238">
        <v>1.0</v>
      </c>
      <c r="Q1168" s="235" t="s">
        <v>627</v>
      </c>
      <c r="R1168" s="238">
        <v>246.67</v>
      </c>
      <c r="S1168" s="238">
        <v>12.33</v>
      </c>
      <c r="T1168" s="238">
        <v>0.0</v>
      </c>
      <c r="U1168" s="238">
        <v>0.0</v>
      </c>
      <c r="V1168" s="238">
        <v>0.0</v>
      </c>
      <c r="W1168" s="238">
        <v>0.0</v>
      </c>
      <c r="X1168" s="235" t="s">
        <v>628</v>
      </c>
      <c r="Z1168" s="244"/>
      <c r="AA1168" s="244"/>
      <c r="AB1168" s="244"/>
      <c r="AC1168" s="235" t="s">
        <v>8997</v>
      </c>
      <c r="AD1168" s="235" t="s">
        <v>1086</v>
      </c>
      <c r="AE1168" s="238">
        <v>140307.0</v>
      </c>
      <c r="AF1168" s="235" t="s">
        <v>631</v>
      </c>
      <c r="AG1168" s="244"/>
      <c r="AH1168" s="244"/>
      <c r="AI1168" s="245"/>
      <c r="AJ1168" s="245"/>
      <c r="AK1168" s="245"/>
      <c r="AL1168" s="245"/>
      <c r="AM1168" s="244"/>
      <c r="AN1168" s="244"/>
      <c r="AO1168" s="238">
        <v>0.0</v>
      </c>
      <c r="AP1168" s="238">
        <v>0.0</v>
      </c>
      <c r="AQ1168" s="235" t="s">
        <v>632</v>
      </c>
      <c r="AR1168" s="243">
        <v>3.71E11</v>
      </c>
      <c r="AS1168" s="235" t="s">
        <v>7365</v>
      </c>
      <c r="AT1168" s="235" t="s">
        <v>14</v>
      </c>
      <c r="AU1168" s="235" t="s">
        <v>634</v>
      </c>
      <c r="AV1168" s="246" t="s">
        <v>635</v>
      </c>
      <c r="AW1168" s="242"/>
      <c r="AX1168" s="242"/>
      <c r="AY1168" s="231"/>
      <c r="AZ1168" s="231"/>
      <c r="BA1168" s="227"/>
      <c r="BB1168" s="231"/>
      <c r="BC1168" s="227"/>
      <c r="BD1168" s="227"/>
      <c r="BE1168" s="227"/>
      <c r="BF1168" s="227"/>
    </row>
    <row r="1169">
      <c r="A1169" s="235" t="s">
        <v>9650</v>
      </c>
      <c r="C1169" s="235" t="s">
        <v>9651</v>
      </c>
      <c r="D1169" s="235" t="s">
        <v>9652</v>
      </c>
      <c r="E1169" s="243">
        <v>6.55E13</v>
      </c>
      <c r="F1169" s="245"/>
      <c r="G1169" s="235" t="s">
        <v>9653</v>
      </c>
      <c r="H1169" s="235" t="s">
        <v>9654</v>
      </c>
      <c r="I1169" s="235" t="s">
        <v>9654</v>
      </c>
      <c r="J1169" s="235" t="s">
        <v>9655</v>
      </c>
      <c r="K1169" s="235" t="s">
        <v>9656</v>
      </c>
      <c r="N1169" s="235" t="s">
        <v>126</v>
      </c>
      <c r="O1169" s="235" t="s">
        <v>407</v>
      </c>
      <c r="P1169" s="238">
        <v>1.0</v>
      </c>
      <c r="Q1169" s="235" t="s">
        <v>627</v>
      </c>
      <c r="R1169" s="238">
        <v>237.14</v>
      </c>
      <c r="S1169" s="238">
        <v>11.86</v>
      </c>
      <c r="T1169" s="238">
        <v>94.29</v>
      </c>
      <c r="U1169" s="238">
        <v>4.71</v>
      </c>
      <c r="V1169" s="238">
        <v>0.0</v>
      </c>
      <c r="W1169" s="238">
        <v>0.0</v>
      </c>
      <c r="X1169" s="235" t="s">
        <v>628</v>
      </c>
      <c r="Z1169" s="244"/>
      <c r="AA1169" s="244"/>
      <c r="AB1169" s="244"/>
      <c r="AC1169" s="235" t="s">
        <v>629</v>
      </c>
      <c r="AD1169" s="235" t="s">
        <v>630</v>
      </c>
      <c r="AE1169" s="238">
        <v>201301.0</v>
      </c>
      <c r="AF1169" s="235" t="s">
        <v>631</v>
      </c>
      <c r="AG1169" s="244"/>
      <c r="AH1169" s="244"/>
      <c r="AI1169" s="245"/>
      <c r="AJ1169" s="245"/>
      <c r="AK1169" s="245"/>
      <c r="AL1169" s="245"/>
      <c r="AM1169" s="244"/>
      <c r="AN1169" s="244"/>
      <c r="AO1169" s="238">
        <v>0.0</v>
      </c>
      <c r="AP1169" s="238">
        <v>-94.29</v>
      </c>
      <c r="AQ1169" s="235" t="s">
        <v>632</v>
      </c>
      <c r="AR1169" s="243">
        <v>1.68E11</v>
      </c>
      <c r="AS1169" s="235" t="s">
        <v>8807</v>
      </c>
      <c r="AT1169" s="235" t="s">
        <v>533</v>
      </c>
      <c r="AU1169" s="235" t="s">
        <v>634</v>
      </c>
      <c r="AV1169" s="246" t="s">
        <v>635</v>
      </c>
      <c r="AW1169" s="242"/>
      <c r="AX1169" s="242"/>
      <c r="AY1169" s="231"/>
      <c r="AZ1169" s="231"/>
      <c r="BA1169" s="227"/>
      <c r="BB1169" s="231"/>
      <c r="BC1169" s="227"/>
      <c r="BD1169" s="227"/>
      <c r="BE1169" s="227"/>
      <c r="BF1169" s="227"/>
    </row>
    <row r="1170">
      <c r="A1170" s="235" t="s">
        <v>9657</v>
      </c>
      <c r="C1170" s="235" t="s">
        <v>9658</v>
      </c>
      <c r="D1170" s="235" t="s">
        <v>9659</v>
      </c>
      <c r="E1170" s="243">
        <v>6.55E13</v>
      </c>
      <c r="F1170" s="245"/>
      <c r="G1170" s="235" t="s">
        <v>9660</v>
      </c>
      <c r="H1170" s="235" t="s">
        <v>9661</v>
      </c>
      <c r="I1170" s="235" t="s">
        <v>9661</v>
      </c>
      <c r="J1170" s="235" t="s">
        <v>9662</v>
      </c>
      <c r="K1170" s="235" t="s">
        <v>9663</v>
      </c>
      <c r="N1170" s="235" t="s">
        <v>41</v>
      </c>
      <c r="O1170" s="235" t="s">
        <v>291</v>
      </c>
      <c r="P1170" s="238">
        <v>1.0</v>
      </c>
      <c r="Q1170" s="235" t="s">
        <v>627</v>
      </c>
      <c r="R1170" s="238">
        <v>237.14</v>
      </c>
      <c r="S1170" s="238">
        <v>11.86</v>
      </c>
      <c r="T1170" s="238">
        <v>0.0</v>
      </c>
      <c r="U1170" s="238">
        <v>0.0</v>
      </c>
      <c r="V1170" s="238">
        <v>0.0</v>
      </c>
      <c r="W1170" s="238">
        <v>0.0</v>
      </c>
      <c r="X1170" s="235" t="s">
        <v>628</v>
      </c>
      <c r="Z1170" s="244"/>
      <c r="AA1170" s="244"/>
      <c r="AB1170" s="244"/>
      <c r="AC1170" s="235" t="s">
        <v>697</v>
      </c>
      <c r="AD1170" s="235" t="s">
        <v>698</v>
      </c>
      <c r="AE1170" s="238">
        <v>500090.0</v>
      </c>
      <c r="AF1170" s="235" t="s">
        <v>631</v>
      </c>
      <c r="AG1170" s="244"/>
      <c r="AH1170" s="244"/>
      <c r="AI1170" s="245"/>
      <c r="AJ1170" s="245"/>
      <c r="AK1170" s="245"/>
      <c r="AL1170" s="245"/>
      <c r="AM1170" s="244"/>
      <c r="AN1170" s="244"/>
      <c r="AO1170" s="238">
        <v>0.0</v>
      </c>
      <c r="AP1170" s="238">
        <v>0.0</v>
      </c>
      <c r="AQ1170" s="235" t="s">
        <v>632</v>
      </c>
      <c r="AR1170" s="243">
        <v>2.02E11</v>
      </c>
      <c r="AS1170" s="235" t="s">
        <v>8807</v>
      </c>
      <c r="AT1170" s="235" t="s">
        <v>156</v>
      </c>
      <c r="AU1170" s="235" t="s">
        <v>634</v>
      </c>
      <c r="AV1170" s="246" t="s">
        <v>635</v>
      </c>
      <c r="AW1170" s="242"/>
      <c r="AX1170" s="242"/>
      <c r="AY1170" s="231"/>
      <c r="AZ1170" s="231"/>
      <c r="BA1170" s="227"/>
      <c r="BB1170" s="231"/>
      <c r="BC1170" s="227"/>
      <c r="BD1170" s="227"/>
      <c r="BE1170" s="227"/>
      <c r="BF1170" s="227"/>
    </row>
    <row r="1171">
      <c r="A1171" s="235" t="s">
        <v>9664</v>
      </c>
      <c r="C1171" s="235" t="s">
        <v>9665</v>
      </c>
      <c r="D1171" s="235" t="s">
        <v>9666</v>
      </c>
      <c r="E1171" s="243">
        <v>6.55E13</v>
      </c>
      <c r="F1171" s="245"/>
      <c r="G1171" s="235" t="s">
        <v>9667</v>
      </c>
      <c r="H1171" s="235" t="s">
        <v>9668</v>
      </c>
      <c r="I1171" s="235" t="s">
        <v>9668</v>
      </c>
      <c r="J1171" s="235" t="s">
        <v>9669</v>
      </c>
      <c r="K1171" s="235" t="s">
        <v>9670</v>
      </c>
      <c r="N1171" s="235" t="s">
        <v>92</v>
      </c>
      <c r="O1171" s="235" t="s">
        <v>248</v>
      </c>
      <c r="P1171" s="238">
        <v>1.0</v>
      </c>
      <c r="Q1171" s="235" t="s">
        <v>627</v>
      </c>
      <c r="R1171" s="238">
        <v>246.67</v>
      </c>
      <c r="S1171" s="238">
        <v>12.33</v>
      </c>
      <c r="T1171" s="238">
        <v>38.1</v>
      </c>
      <c r="U1171" s="238">
        <v>1.9</v>
      </c>
      <c r="V1171" s="238">
        <v>0.0</v>
      </c>
      <c r="W1171" s="238">
        <v>0.0</v>
      </c>
      <c r="X1171" s="235" t="s">
        <v>628</v>
      </c>
      <c r="Z1171" s="244"/>
      <c r="AA1171" s="244"/>
      <c r="AB1171" s="244"/>
      <c r="AC1171" s="235" t="s">
        <v>4790</v>
      </c>
      <c r="AD1171" s="235" t="s">
        <v>1086</v>
      </c>
      <c r="AE1171" s="238">
        <v>151001.0</v>
      </c>
      <c r="AF1171" s="235" t="s">
        <v>631</v>
      </c>
      <c r="AG1171" s="244"/>
      <c r="AH1171" s="244"/>
      <c r="AI1171" s="245"/>
      <c r="AJ1171" s="245"/>
      <c r="AK1171" s="245"/>
      <c r="AL1171" s="245"/>
      <c r="AM1171" s="244"/>
      <c r="AN1171" s="244"/>
      <c r="AO1171" s="238">
        <v>0.0</v>
      </c>
      <c r="AP1171" s="238">
        <v>-38.1</v>
      </c>
      <c r="AQ1171" s="235" t="s">
        <v>632</v>
      </c>
      <c r="AR1171" s="243">
        <v>3.71E11</v>
      </c>
      <c r="AS1171" s="235" t="s">
        <v>3284</v>
      </c>
      <c r="AT1171" s="235" t="s">
        <v>9</v>
      </c>
      <c r="AU1171" s="235" t="s">
        <v>634</v>
      </c>
      <c r="AV1171" s="246" t="s">
        <v>635</v>
      </c>
      <c r="AW1171" s="242"/>
      <c r="AX1171" s="242"/>
      <c r="AY1171" s="231"/>
      <c r="AZ1171" s="231"/>
      <c r="BA1171" s="227"/>
      <c r="BB1171" s="231"/>
      <c r="BC1171" s="227"/>
      <c r="BD1171" s="227"/>
      <c r="BE1171" s="227"/>
      <c r="BF1171" s="227"/>
    </row>
    <row r="1172">
      <c r="A1172" s="235" t="s">
        <v>9671</v>
      </c>
      <c r="C1172" s="235" t="s">
        <v>9672</v>
      </c>
      <c r="D1172" s="235" t="s">
        <v>9673</v>
      </c>
      <c r="E1172" s="243">
        <v>6.55E13</v>
      </c>
      <c r="F1172" s="245"/>
      <c r="G1172" s="235" t="s">
        <v>9674</v>
      </c>
      <c r="H1172" s="235" t="s">
        <v>9675</v>
      </c>
      <c r="I1172" s="235" t="s">
        <v>9675</v>
      </c>
      <c r="J1172" s="235" t="s">
        <v>9676</v>
      </c>
      <c r="K1172" s="235" t="s">
        <v>9677</v>
      </c>
      <c r="N1172" s="235" t="s">
        <v>92</v>
      </c>
      <c r="O1172" s="235" t="s">
        <v>248</v>
      </c>
      <c r="P1172" s="238">
        <v>1.0</v>
      </c>
      <c r="Q1172" s="235" t="s">
        <v>627</v>
      </c>
      <c r="R1172" s="238">
        <v>246.67</v>
      </c>
      <c r="S1172" s="238">
        <v>12.33</v>
      </c>
      <c r="T1172" s="238">
        <v>0.0</v>
      </c>
      <c r="U1172" s="238">
        <v>0.0</v>
      </c>
      <c r="V1172" s="238">
        <v>0.0</v>
      </c>
      <c r="W1172" s="238">
        <v>0.0</v>
      </c>
      <c r="X1172" s="235" t="s">
        <v>628</v>
      </c>
      <c r="Z1172" s="244"/>
      <c r="AA1172" s="244"/>
      <c r="AB1172" s="244"/>
      <c r="AC1172" s="235" t="s">
        <v>1456</v>
      </c>
      <c r="AD1172" s="235" t="s">
        <v>928</v>
      </c>
      <c r="AE1172" s="238">
        <v>122101.0</v>
      </c>
      <c r="AF1172" s="235" t="s">
        <v>631</v>
      </c>
      <c r="AG1172" s="244"/>
      <c r="AH1172" s="244"/>
      <c r="AI1172" s="245"/>
      <c r="AJ1172" s="245"/>
      <c r="AK1172" s="245"/>
      <c r="AL1172" s="245"/>
      <c r="AM1172" s="244"/>
      <c r="AN1172" s="244"/>
      <c r="AO1172" s="238">
        <v>0.0</v>
      </c>
      <c r="AP1172" s="238">
        <v>0.0</v>
      </c>
      <c r="AQ1172" s="235" t="s">
        <v>632</v>
      </c>
      <c r="AR1172" s="243">
        <v>2.02E11</v>
      </c>
      <c r="AS1172" s="235" t="s">
        <v>8807</v>
      </c>
      <c r="AT1172" s="235" t="s">
        <v>11</v>
      </c>
      <c r="AU1172" s="235" t="s">
        <v>634</v>
      </c>
      <c r="AV1172" s="246" t="s">
        <v>635</v>
      </c>
      <c r="AW1172" s="242"/>
      <c r="AX1172" s="242"/>
      <c r="AY1172" s="231"/>
      <c r="AZ1172" s="231"/>
      <c r="BA1172" s="227"/>
      <c r="BB1172" s="231"/>
      <c r="BC1172" s="227"/>
      <c r="BD1172" s="227"/>
      <c r="BE1172" s="227"/>
      <c r="BF1172" s="227"/>
    </row>
    <row r="1173">
      <c r="A1173" s="235" t="s">
        <v>9678</v>
      </c>
      <c r="C1173" s="235" t="s">
        <v>9679</v>
      </c>
      <c r="D1173" s="235" t="s">
        <v>9680</v>
      </c>
      <c r="E1173" s="243">
        <v>6.55E13</v>
      </c>
      <c r="F1173" s="245"/>
      <c r="G1173" s="235" t="s">
        <v>9681</v>
      </c>
      <c r="H1173" s="235" t="s">
        <v>9682</v>
      </c>
      <c r="I1173" s="235" t="s">
        <v>9683</v>
      </c>
      <c r="J1173" s="235" t="s">
        <v>9684</v>
      </c>
      <c r="K1173" s="235" t="s">
        <v>9685</v>
      </c>
      <c r="N1173" s="235" t="s">
        <v>42</v>
      </c>
      <c r="O1173" s="235" t="s">
        <v>204</v>
      </c>
      <c r="P1173" s="238">
        <v>1.0</v>
      </c>
      <c r="Q1173" s="235" t="s">
        <v>627</v>
      </c>
      <c r="R1173" s="238">
        <v>237.14</v>
      </c>
      <c r="S1173" s="238">
        <v>11.86</v>
      </c>
      <c r="T1173" s="238">
        <v>0.0</v>
      </c>
      <c r="U1173" s="238">
        <v>0.0</v>
      </c>
      <c r="V1173" s="238">
        <v>0.0</v>
      </c>
      <c r="W1173" s="238">
        <v>0.0</v>
      </c>
      <c r="X1173" s="235" t="s">
        <v>628</v>
      </c>
      <c r="Z1173" s="244"/>
      <c r="AA1173" s="244"/>
      <c r="AB1173" s="244"/>
      <c r="AC1173" s="235" t="s">
        <v>697</v>
      </c>
      <c r="AD1173" s="235" t="s">
        <v>698</v>
      </c>
      <c r="AE1173" s="238">
        <v>500049.0</v>
      </c>
      <c r="AF1173" s="235" t="s">
        <v>631</v>
      </c>
      <c r="AG1173" s="244"/>
      <c r="AH1173" s="244"/>
      <c r="AI1173" s="245"/>
      <c r="AJ1173" s="245"/>
      <c r="AK1173" s="245"/>
      <c r="AL1173" s="245"/>
      <c r="AM1173" s="244"/>
      <c r="AN1173" s="244"/>
      <c r="AO1173" s="238">
        <v>0.0</v>
      </c>
      <c r="AP1173" s="238">
        <v>0.0</v>
      </c>
      <c r="AQ1173" s="235" t="s">
        <v>632</v>
      </c>
      <c r="AR1173" s="243">
        <v>2.02E11</v>
      </c>
      <c r="AS1173" s="235" t="s">
        <v>8807</v>
      </c>
      <c r="AT1173" s="235" t="s">
        <v>156</v>
      </c>
      <c r="AU1173" s="235" t="s">
        <v>634</v>
      </c>
      <c r="AV1173" s="246" t="s">
        <v>635</v>
      </c>
      <c r="AW1173" s="242"/>
      <c r="AX1173" s="242"/>
      <c r="AY1173" s="231"/>
      <c r="AZ1173" s="231"/>
      <c r="BA1173" s="227"/>
      <c r="BB1173" s="231"/>
      <c r="BC1173" s="227"/>
      <c r="BD1173" s="227"/>
      <c r="BE1173" s="227"/>
      <c r="BF1173" s="227"/>
    </row>
    <row r="1174">
      <c r="A1174" s="235" t="s">
        <v>9686</v>
      </c>
      <c r="C1174" s="235" t="s">
        <v>9687</v>
      </c>
      <c r="D1174" s="235" t="s">
        <v>9688</v>
      </c>
      <c r="E1174" s="243">
        <v>6.55E13</v>
      </c>
      <c r="F1174" s="245"/>
      <c r="G1174" s="235" t="s">
        <v>9689</v>
      </c>
      <c r="H1174" s="235" t="s">
        <v>9690</v>
      </c>
      <c r="I1174" s="235" t="s">
        <v>9690</v>
      </c>
      <c r="J1174" s="235" t="s">
        <v>9691</v>
      </c>
      <c r="K1174" s="235" t="s">
        <v>9692</v>
      </c>
      <c r="N1174" s="235" t="s">
        <v>138</v>
      </c>
      <c r="O1174" s="235" t="s">
        <v>675</v>
      </c>
      <c r="P1174" s="238">
        <v>1.0</v>
      </c>
      <c r="Q1174" s="235" t="s">
        <v>627</v>
      </c>
      <c r="R1174" s="238">
        <v>246.67</v>
      </c>
      <c r="S1174" s="238">
        <v>12.33</v>
      </c>
      <c r="T1174" s="238">
        <v>0.0</v>
      </c>
      <c r="U1174" s="238">
        <v>0.0</v>
      </c>
      <c r="V1174" s="238">
        <v>0.0</v>
      </c>
      <c r="W1174" s="238">
        <v>0.0</v>
      </c>
      <c r="X1174" s="235" t="s">
        <v>628</v>
      </c>
      <c r="Z1174" s="244"/>
      <c r="AA1174" s="244"/>
      <c r="AB1174" s="244"/>
      <c r="AC1174" s="235" t="s">
        <v>9693</v>
      </c>
      <c r="AD1174" s="235" t="s">
        <v>630</v>
      </c>
      <c r="AE1174" s="238">
        <v>209101.0</v>
      </c>
      <c r="AF1174" s="235" t="s">
        <v>631</v>
      </c>
      <c r="AG1174" s="244"/>
      <c r="AH1174" s="244"/>
      <c r="AI1174" s="245"/>
      <c r="AJ1174" s="245"/>
      <c r="AK1174" s="245"/>
      <c r="AL1174" s="245"/>
      <c r="AM1174" s="244"/>
      <c r="AN1174" s="244"/>
      <c r="AO1174" s="238">
        <v>0.0</v>
      </c>
      <c r="AP1174" s="238">
        <v>0.0</v>
      </c>
      <c r="AQ1174" s="235" t="s">
        <v>632</v>
      </c>
      <c r="AR1174" s="243">
        <v>1.68E11</v>
      </c>
      <c r="AS1174" s="235" t="s">
        <v>7365</v>
      </c>
      <c r="AT1174" s="235" t="s">
        <v>13</v>
      </c>
      <c r="AU1174" s="235" t="s">
        <v>634</v>
      </c>
      <c r="AV1174" s="246" t="s">
        <v>635</v>
      </c>
      <c r="AW1174" s="242"/>
      <c r="AX1174" s="242"/>
      <c r="AY1174" s="231"/>
      <c r="AZ1174" s="231"/>
      <c r="BA1174" s="227"/>
      <c r="BB1174" s="231"/>
      <c r="BC1174" s="227"/>
      <c r="BD1174" s="227"/>
      <c r="BE1174" s="227"/>
      <c r="BF1174" s="227"/>
    </row>
    <row r="1175">
      <c r="A1175" s="235" t="s">
        <v>9694</v>
      </c>
      <c r="C1175" s="235" t="s">
        <v>9695</v>
      </c>
      <c r="D1175" s="235" t="s">
        <v>9696</v>
      </c>
      <c r="E1175" s="243">
        <v>6.55E13</v>
      </c>
      <c r="F1175" s="245"/>
      <c r="G1175" s="235" t="s">
        <v>9697</v>
      </c>
      <c r="H1175" s="235" t="s">
        <v>9698</v>
      </c>
      <c r="I1175" s="235" t="s">
        <v>9699</v>
      </c>
      <c r="J1175" s="235" t="s">
        <v>9700</v>
      </c>
      <c r="K1175" s="235" t="s">
        <v>9701</v>
      </c>
      <c r="N1175" s="235" t="s">
        <v>41</v>
      </c>
      <c r="O1175" s="235" t="s">
        <v>291</v>
      </c>
      <c r="P1175" s="238">
        <v>1.0</v>
      </c>
      <c r="Q1175" s="235" t="s">
        <v>627</v>
      </c>
      <c r="R1175" s="238">
        <v>237.14</v>
      </c>
      <c r="S1175" s="238">
        <v>11.86</v>
      </c>
      <c r="T1175" s="238">
        <v>0.0</v>
      </c>
      <c r="U1175" s="238">
        <v>0.0</v>
      </c>
      <c r="V1175" s="238">
        <v>0.0</v>
      </c>
      <c r="W1175" s="238">
        <v>0.0</v>
      </c>
      <c r="X1175" s="235" t="s">
        <v>628</v>
      </c>
      <c r="Z1175" s="244"/>
      <c r="AA1175" s="244"/>
      <c r="AB1175" s="244"/>
      <c r="AC1175" s="235" t="s">
        <v>697</v>
      </c>
      <c r="AD1175" s="235" t="s">
        <v>698</v>
      </c>
      <c r="AE1175" s="238">
        <v>501505.0</v>
      </c>
      <c r="AF1175" s="235" t="s">
        <v>631</v>
      </c>
      <c r="AG1175" s="244"/>
      <c r="AH1175" s="244"/>
      <c r="AI1175" s="245"/>
      <c r="AJ1175" s="245"/>
      <c r="AK1175" s="245"/>
      <c r="AL1175" s="245"/>
      <c r="AM1175" s="244"/>
      <c r="AN1175" s="244"/>
      <c r="AO1175" s="238">
        <v>0.0</v>
      </c>
      <c r="AP1175" s="238">
        <v>0.0</v>
      </c>
      <c r="AQ1175" s="235" t="s">
        <v>632</v>
      </c>
      <c r="AR1175" s="243">
        <v>3.71E11</v>
      </c>
      <c r="AS1175" s="235" t="s">
        <v>7365</v>
      </c>
      <c r="AT1175" s="235" t="s">
        <v>11</v>
      </c>
      <c r="AU1175" s="235" t="s">
        <v>634</v>
      </c>
      <c r="AV1175" s="246" t="s">
        <v>635</v>
      </c>
      <c r="AW1175" s="242"/>
      <c r="AX1175" s="242"/>
      <c r="AY1175" s="231"/>
      <c r="AZ1175" s="231"/>
      <c r="BA1175" s="227"/>
      <c r="BB1175" s="231"/>
      <c r="BC1175" s="227"/>
      <c r="BD1175" s="227"/>
      <c r="BE1175" s="227"/>
      <c r="BF1175" s="227"/>
    </row>
    <row r="1176">
      <c r="A1176" s="235" t="s">
        <v>9702</v>
      </c>
      <c r="C1176" s="235" t="s">
        <v>9703</v>
      </c>
      <c r="D1176" s="235" t="s">
        <v>9704</v>
      </c>
      <c r="E1176" s="243">
        <v>6.55E13</v>
      </c>
      <c r="F1176" s="245"/>
      <c r="G1176" s="235" t="s">
        <v>9705</v>
      </c>
      <c r="H1176" s="235" t="s">
        <v>9706</v>
      </c>
      <c r="I1176" s="235" t="s">
        <v>9706</v>
      </c>
      <c r="J1176" s="235" t="s">
        <v>9707</v>
      </c>
      <c r="K1176" s="235" t="s">
        <v>9708</v>
      </c>
      <c r="N1176" s="235" t="s">
        <v>566</v>
      </c>
      <c r="O1176" s="235" t="s">
        <v>1834</v>
      </c>
      <c r="P1176" s="238">
        <v>1.0</v>
      </c>
      <c r="Q1176" s="235" t="s">
        <v>627</v>
      </c>
      <c r="R1176" s="238">
        <v>422.88</v>
      </c>
      <c r="S1176" s="238">
        <v>76.12</v>
      </c>
      <c r="T1176" s="238">
        <v>0.0</v>
      </c>
      <c r="U1176" s="238">
        <v>0.0</v>
      </c>
      <c r="V1176" s="238">
        <v>0.0</v>
      </c>
      <c r="W1176" s="238">
        <v>0.0</v>
      </c>
      <c r="X1176" s="235" t="s">
        <v>628</v>
      </c>
      <c r="Z1176" s="244"/>
      <c r="AA1176" s="244"/>
      <c r="AB1176" s="244"/>
      <c r="AC1176" s="235" t="s">
        <v>795</v>
      </c>
      <c r="AD1176" s="235" t="s">
        <v>796</v>
      </c>
      <c r="AE1176" s="238">
        <v>110019.0</v>
      </c>
      <c r="AF1176" s="235" t="s">
        <v>631</v>
      </c>
      <c r="AG1176" s="244"/>
      <c r="AH1176" s="244"/>
      <c r="AI1176" s="245"/>
      <c r="AJ1176" s="245"/>
      <c r="AK1176" s="245"/>
      <c r="AL1176" s="245"/>
      <c r="AM1176" s="244"/>
      <c r="AN1176" s="244"/>
      <c r="AO1176" s="238">
        <v>0.0</v>
      </c>
      <c r="AP1176" s="238">
        <v>0.0</v>
      </c>
      <c r="AQ1176" s="235" t="s">
        <v>632</v>
      </c>
      <c r="AR1176" s="243">
        <v>3.71E11</v>
      </c>
      <c r="AS1176" s="235" t="s">
        <v>8807</v>
      </c>
      <c r="AT1176" s="235" t="s">
        <v>533</v>
      </c>
      <c r="AU1176" s="235" t="s">
        <v>634</v>
      </c>
      <c r="AV1176" s="246" t="s">
        <v>635</v>
      </c>
      <c r="AW1176" s="242"/>
      <c r="AX1176" s="242"/>
      <c r="AY1176" s="231"/>
      <c r="AZ1176" s="231"/>
      <c r="BA1176" s="227"/>
      <c r="BB1176" s="231"/>
      <c r="BC1176" s="227"/>
      <c r="BD1176" s="227"/>
      <c r="BE1176" s="227"/>
      <c r="BF1176" s="227"/>
    </row>
    <row r="1177">
      <c r="A1177" s="235" t="s">
        <v>9709</v>
      </c>
      <c r="C1177" s="235" t="s">
        <v>9710</v>
      </c>
      <c r="D1177" s="235" t="s">
        <v>9711</v>
      </c>
      <c r="E1177" s="243">
        <v>6.55E13</v>
      </c>
      <c r="F1177" s="245"/>
      <c r="G1177" s="235" t="s">
        <v>9712</v>
      </c>
      <c r="H1177" s="235" t="s">
        <v>9713</v>
      </c>
      <c r="I1177" s="235" t="s">
        <v>9713</v>
      </c>
      <c r="J1177" s="235" t="s">
        <v>9714</v>
      </c>
      <c r="K1177" s="235" t="s">
        <v>9715</v>
      </c>
      <c r="N1177" s="235" t="s">
        <v>138</v>
      </c>
      <c r="O1177" s="235" t="s">
        <v>675</v>
      </c>
      <c r="P1177" s="238">
        <v>1.0</v>
      </c>
      <c r="Q1177" s="235" t="s">
        <v>627</v>
      </c>
      <c r="R1177" s="238">
        <v>246.66</v>
      </c>
      <c r="S1177" s="238">
        <v>12.34</v>
      </c>
      <c r="T1177" s="238">
        <v>0.0</v>
      </c>
      <c r="U1177" s="238">
        <v>0.0</v>
      </c>
      <c r="V1177" s="238">
        <v>0.0</v>
      </c>
      <c r="W1177" s="238">
        <v>0.0</v>
      </c>
      <c r="X1177" s="235" t="s">
        <v>628</v>
      </c>
      <c r="Z1177" s="244"/>
      <c r="AA1177" s="244"/>
      <c r="AB1177" s="244"/>
      <c r="AC1177" s="235" t="s">
        <v>687</v>
      </c>
      <c r="AD1177" s="235" t="s">
        <v>666</v>
      </c>
      <c r="AE1177" s="238">
        <v>600042.0</v>
      </c>
      <c r="AF1177" s="235" t="s">
        <v>631</v>
      </c>
      <c r="AG1177" s="244"/>
      <c r="AH1177" s="244"/>
      <c r="AI1177" s="245"/>
      <c r="AJ1177" s="245"/>
      <c r="AK1177" s="245"/>
      <c r="AL1177" s="245"/>
      <c r="AM1177" s="244"/>
      <c r="AN1177" s="244"/>
      <c r="AO1177" s="238">
        <v>0.0</v>
      </c>
      <c r="AP1177" s="238">
        <v>0.0</v>
      </c>
      <c r="AQ1177" s="235" t="s">
        <v>632</v>
      </c>
      <c r="AR1177" s="243">
        <v>3.71E11</v>
      </c>
      <c r="AS1177" s="235" t="s">
        <v>8807</v>
      </c>
      <c r="AT1177" s="235" t="s">
        <v>156</v>
      </c>
      <c r="AU1177" s="235" t="s">
        <v>634</v>
      </c>
      <c r="AV1177" s="246" t="s">
        <v>635</v>
      </c>
      <c r="AW1177" s="242"/>
      <c r="AX1177" s="242"/>
      <c r="AY1177" s="231"/>
      <c r="AZ1177" s="231"/>
      <c r="BA1177" s="227"/>
      <c r="BB1177" s="231"/>
      <c r="BC1177" s="227"/>
      <c r="BD1177" s="227"/>
      <c r="BE1177" s="227"/>
      <c r="BF1177" s="227"/>
    </row>
    <row r="1178">
      <c r="A1178" s="235" t="s">
        <v>9716</v>
      </c>
      <c r="C1178" s="235" t="s">
        <v>9717</v>
      </c>
      <c r="D1178" s="235" t="s">
        <v>9718</v>
      </c>
      <c r="E1178" s="243">
        <v>6.55E13</v>
      </c>
      <c r="F1178" s="245"/>
      <c r="G1178" s="235" t="s">
        <v>9719</v>
      </c>
      <c r="H1178" s="235" t="s">
        <v>9720</v>
      </c>
      <c r="I1178" s="235" t="s">
        <v>9720</v>
      </c>
      <c r="J1178" s="235" t="s">
        <v>9721</v>
      </c>
      <c r="K1178" s="235" t="s">
        <v>9722</v>
      </c>
      <c r="N1178" s="235" t="s">
        <v>53</v>
      </c>
      <c r="O1178" s="235" t="s">
        <v>512</v>
      </c>
      <c r="P1178" s="238">
        <v>1.0</v>
      </c>
      <c r="Q1178" s="235" t="s">
        <v>627</v>
      </c>
      <c r="R1178" s="238">
        <v>237.14</v>
      </c>
      <c r="S1178" s="238">
        <v>11.86</v>
      </c>
      <c r="T1178" s="238">
        <v>0.0</v>
      </c>
      <c r="U1178" s="238">
        <v>0.0</v>
      </c>
      <c r="V1178" s="238">
        <v>0.0</v>
      </c>
      <c r="W1178" s="238">
        <v>0.0</v>
      </c>
      <c r="X1178" s="235" t="s">
        <v>628</v>
      </c>
      <c r="Z1178" s="244"/>
      <c r="AA1178" s="244"/>
      <c r="AB1178" s="244"/>
      <c r="AC1178" s="235" t="s">
        <v>9565</v>
      </c>
      <c r="AD1178" s="235" t="s">
        <v>666</v>
      </c>
      <c r="AE1178" s="238">
        <v>603103.0</v>
      </c>
      <c r="AF1178" s="235" t="s">
        <v>631</v>
      </c>
      <c r="AG1178" s="244"/>
      <c r="AH1178" s="244"/>
      <c r="AI1178" s="245"/>
      <c r="AJ1178" s="245"/>
      <c r="AK1178" s="245"/>
      <c r="AL1178" s="245"/>
      <c r="AM1178" s="244"/>
      <c r="AN1178" s="244"/>
      <c r="AO1178" s="238">
        <v>0.0</v>
      </c>
      <c r="AP1178" s="238">
        <v>0.0</v>
      </c>
      <c r="AQ1178" s="235" t="s">
        <v>632</v>
      </c>
      <c r="AR1178" s="243">
        <v>1.68E11</v>
      </c>
      <c r="AS1178" s="235" t="s">
        <v>9184</v>
      </c>
      <c r="AT1178" s="235" t="s">
        <v>156</v>
      </c>
      <c r="AU1178" s="235" t="s">
        <v>634</v>
      </c>
      <c r="AV1178" s="246" t="s">
        <v>635</v>
      </c>
      <c r="AW1178" s="242"/>
      <c r="AX1178" s="242"/>
      <c r="AY1178" s="231"/>
      <c r="AZ1178" s="231"/>
      <c r="BA1178" s="227"/>
      <c r="BB1178" s="231"/>
      <c r="BC1178" s="227"/>
      <c r="BD1178" s="227"/>
      <c r="BE1178" s="227"/>
      <c r="BF1178" s="227"/>
    </row>
    <row r="1179">
      <c r="A1179" s="235" t="s">
        <v>9723</v>
      </c>
      <c r="C1179" s="235" t="s">
        <v>9724</v>
      </c>
      <c r="D1179" s="235" t="s">
        <v>9725</v>
      </c>
      <c r="E1179" s="243">
        <v>6.55E13</v>
      </c>
      <c r="F1179" s="245"/>
      <c r="G1179" s="235" t="s">
        <v>9726</v>
      </c>
      <c r="H1179" s="235" t="s">
        <v>9727</v>
      </c>
      <c r="I1179" s="235" t="s">
        <v>9727</v>
      </c>
      <c r="J1179" s="235" t="s">
        <v>9728</v>
      </c>
      <c r="K1179" s="235" t="s">
        <v>9729</v>
      </c>
      <c r="N1179" s="235" t="s">
        <v>51</v>
      </c>
      <c r="O1179" s="235" t="s">
        <v>273</v>
      </c>
      <c r="P1179" s="238">
        <v>1.0</v>
      </c>
      <c r="Q1179" s="235" t="s">
        <v>627</v>
      </c>
      <c r="R1179" s="238">
        <v>237.14</v>
      </c>
      <c r="S1179" s="238">
        <v>11.86</v>
      </c>
      <c r="T1179" s="238">
        <v>0.0</v>
      </c>
      <c r="U1179" s="238">
        <v>0.0</v>
      </c>
      <c r="V1179" s="238">
        <v>0.0</v>
      </c>
      <c r="W1179" s="238">
        <v>0.0</v>
      </c>
      <c r="X1179" s="235" t="s">
        <v>628</v>
      </c>
      <c r="Z1179" s="244"/>
      <c r="AA1179" s="244"/>
      <c r="AB1179" s="244"/>
      <c r="AC1179" s="235" t="s">
        <v>814</v>
      </c>
      <c r="AD1179" s="235" t="s">
        <v>698</v>
      </c>
      <c r="AE1179" s="238">
        <v>502032.0</v>
      </c>
      <c r="AF1179" s="235" t="s">
        <v>631</v>
      </c>
      <c r="AG1179" s="244"/>
      <c r="AH1179" s="244"/>
      <c r="AI1179" s="245"/>
      <c r="AJ1179" s="245"/>
      <c r="AK1179" s="245"/>
      <c r="AL1179" s="245"/>
      <c r="AM1179" s="244"/>
      <c r="AN1179" s="244"/>
      <c r="AO1179" s="238">
        <v>0.0</v>
      </c>
      <c r="AP1179" s="238">
        <v>0.0</v>
      </c>
      <c r="AQ1179" s="235" t="s">
        <v>632</v>
      </c>
      <c r="AR1179" s="243">
        <v>2.02E11</v>
      </c>
      <c r="AS1179" s="235" t="s">
        <v>8807</v>
      </c>
      <c r="AT1179" s="235" t="s">
        <v>546</v>
      </c>
      <c r="AU1179" s="235" t="s">
        <v>634</v>
      </c>
      <c r="AV1179" s="246" t="s">
        <v>635</v>
      </c>
      <c r="AW1179" s="242"/>
      <c r="AX1179" s="242"/>
      <c r="AY1179" s="231"/>
      <c r="AZ1179" s="231"/>
      <c r="BA1179" s="227"/>
      <c r="BB1179" s="231"/>
      <c r="BC1179" s="227"/>
      <c r="BD1179" s="227"/>
      <c r="BE1179" s="227"/>
      <c r="BF1179" s="227"/>
    </row>
    <row r="1180">
      <c r="A1180" s="235" t="s">
        <v>9730</v>
      </c>
      <c r="C1180" s="235" t="s">
        <v>9731</v>
      </c>
      <c r="D1180" s="235" t="s">
        <v>9732</v>
      </c>
      <c r="E1180" s="243">
        <v>6.55E13</v>
      </c>
      <c r="F1180" s="245"/>
      <c r="G1180" s="235" t="s">
        <v>9733</v>
      </c>
      <c r="H1180" s="235" t="s">
        <v>9734</v>
      </c>
      <c r="I1180" s="235" t="s">
        <v>9734</v>
      </c>
      <c r="J1180" s="235" t="s">
        <v>9735</v>
      </c>
      <c r="K1180" s="235" t="s">
        <v>9736</v>
      </c>
      <c r="N1180" s="235" t="s">
        <v>726</v>
      </c>
      <c r="O1180" s="235" t="s">
        <v>727</v>
      </c>
      <c r="P1180" s="238">
        <v>1.0</v>
      </c>
      <c r="Q1180" s="235" t="s">
        <v>627</v>
      </c>
      <c r="R1180" s="238">
        <v>246.67</v>
      </c>
      <c r="S1180" s="238">
        <v>11.96</v>
      </c>
      <c r="T1180" s="238">
        <v>0.0</v>
      </c>
      <c r="U1180" s="238">
        <v>0.0</v>
      </c>
      <c r="V1180" s="238">
        <v>0.0</v>
      </c>
      <c r="W1180" s="238">
        <v>0.0</v>
      </c>
      <c r="X1180" s="235" t="s">
        <v>628</v>
      </c>
      <c r="Z1180" s="244"/>
      <c r="AA1180" s="244"/>
      <c r="AB1180" s="244"/>
      <c r="AC1180" s="235" t="s">
        <v>2092</v>
      </c>
      <c r="AD1180" s="235" t="s">
        <v>8663</v>
      </c>
      <c r="AE1180" s="238">
        <v>411007.0</v>
      </c>
      <c r="AF1180" s="235" t="s">
        <v>631</v>
      </c>
      <c r="AG1180" s="244"/>
      <c r="AH1180" s="244"/>
      <c r="AI1180" s="245"/>
      <c r="AJ1180" s="245"/>
      <c r="AK1180" s="245"/>
      <c r="AL1180" s="245"/>
      <c r="AM1180" s="244"/>
      <c r="AN1180" s="244"/>
      <c r="AO1180" s="238">
        <v>-7.4</v>
      </c>
      <c r="AP1180" s="238">
        <v>0.0</v>
      </c>
      <c r="AQ1180" s="235" t="s">
        <v>632</v>
      </c>
      <c r="AR1180" s="243">
        <v>2.02E11</v>
      </c>
      <c r="AS1180" s="235" t="s">
        <v>8807</v>
      </c>
      <c r="AT1180" s="235" t="s">
        <v>533</v>
      </c>
      <c r="AU1180" s="235" t="s">
        <v>634</v>
      </c>
      <c r="AV1180" s="246" t="s">
        <v>635</v>
      </c>
      <c r="AW1180" s="242"/>
      <c r="AX1180" s="242"/>
      <c r="AY1180" s="231"/>
      <c r="AZ1180" s="231"/>
      <c r="BA1180" s="227"/>
      <c r="BB1180" s="231"/>
      <c r="BC1180" s="227"/>
      <c r="BD1180" s="227"/>
      <c r="BE1180" s="227"/>
      <c r="BF1180" s="227"/>
    </row>
    <row r="1181">
      <c r="A1181" s="235" t="s">
        <v>9730</v>
      </c>
      <c r="C1181" s="235" t="s">
        <v>9731</v>
      </c>
      <c r="D1181" s="235" t="s">
        <v>9737</v>
      </c>
      <c r="E1181" s="243">
        <v>6.55E13</v>
      </c>
      <c r="F1181" s="245"/>
      <c r="G1181" s="235" t="s">
        <v>9733</v>
      </c>
      <c r="H1181" s="235" t="s">
        <v>9734</v>
      </c>
      <c r="I1181" s="235" t="s">
        <v>9734</v>
      </c>
      <c r="J1181" s="235" t="s">
        <v>9735</v>
      </c>
      <c r="K1181" s="235" t="s">
        <v>9736</v>
      </c>
      <c r="N1181" s="235" t="s">
        <v>726</v>
      </c>
      <c r="O1181" s="235" t="s">
        <v>727</v>
      </c>
      <c r="P1181" s="238">
        <v>1.0</v>
      </c>
      <c r="Q1181" s="235" t="s">
        <v>627</v>
      </c>
      <c r="R1181" s="238">
        <v>246.67</v>
      </c>
      <c r="S1181" s="238">
        <v>11.96</v>
      </c>
      <c r="T1181" s="238">
        <v>0.0</v>
      </c>
      <c r="U1181" s="238">
        <v>0.0</v>
      </c>
      <c r="V1181" s="238">
        <v>0.0</v>
      </c>
      <c r="W1181" s="238">
        <v>0.0</v>
      </c>
      <c r="X1181" s="235" t="s">
        <v>628</v>
      </c>
      <c r="Z1181" s="244"/>
      <c r="AA1181" s="244"/>
      <c r="AB1181" s="244"/>
      <c r="AC1181" s="235" t="s">
        <v>2092</v>
      </c>
      <c r="AD1181" s="235" t="s">
        <v>8663</v>
      </c>
      <c r="AE1181" s="238">
        <v>411007.0</v>
      </c>
      <c r="AF1181" s="235" t="s">
        <v>631</v>
      </c>
      <c r="AG1181" s="244"/>
      <c r="AH1181" s="244"/>
      <c r="AI1181" s="245"/>
      <c r="AJ1181" s="245"/>
      <c r="AK1181" s="245"/>
      <c r="AL1181" s="245"/>
      <c r="AM1181" s="244"/>
      <c r="AN1181" s="244"/>
      <c r="AO1181" s="238">
        <v>-7.4</v>
      </c>
      <c r="AP1181" s="238">
        <v>0.0</v>
      </c>
      <c r="AQ1181" s="235" t="s">
        <v>632</v>
      </c>
      <c r="AR1181" s="243">
        <v>2.02E11</v>
      </c>
      <c r="AS1181" s="235" t="s">
        <v>8807</v>
      </c>
      <c r="AT1181" s="235" t="s">
        <v>533</v>
      </c>
      <c r="AU1181" s="235" t="s">
        <v>634</v>
      </c>
      <c r="AV1181" s="246" t="s">
        <v>635</v>
      </c>
      <c r="AW1181" s="242"/>
      <c r="AX1181" s="242"/>
      <c r="AY1181" s="231"/>
      <c r="AZ1181" s="231"/>
      <c r="BA1181" s="227"/>
      <c r="BB1181" s="231"/>
      <c r="BC1181" s="227"/>
      <c r="BD1181" s="227"/>
      <c r="BE1181" s="227"/>
      <c r="BF1181" s="227"/>
    </row>
    <row r="1182">
      <c r="A1182" s="235" t="s">
        <v>9738</v>
      </c>
      <c r="C1182" s="235" t="s">
        <v>9739</v>
      </c>
      <c r="D1182" s="235" t="s">
        <v>9740</v>
      </c>
      <c r="E1182" s="243">
        <v>6.55E13</v>
      </c>
      <c r="F1182" s="245"/>
      <c r="G1182" s="235" t="s">
        <v>9741</v>
      </c>
      <c r="H1182" s="235" t="s">
        <v>9742</v>
      </c>
      <c r="I1182" s="235" t="s">
        <v>9742</v>
      </c>
      <c r="J1182" s="235" t="s">
        <v>9743</v>
      </c>
      <c r="K1182" s="235" t="s">
        <v>9744</v>
      </c>
      <c r="N1182" s="235" t="s">
        <v>145</v>
      </c>
      <c r="O1182" s="235" t="s">
        <v>370</v>
      </c>
      <c r="P1182" s="238">
        <v>1.0</v>
      </c>
      <c r="Q1182" s="235" t="s">
        <v>627</v>
      </c>
      <c r="R1182" s="238">
        <v>1522.86</v>
      </c>
      <c r="S1182" s="238">
        <v>76.14</v>
      </c>
      <c r="T1182" s="238">
        <v>0.0</v>
      </c>
      <c r="U1182" s="238">
        <v>0.0</v>
      </c>
      <c r="V1182" s="238">
        <v>0.0</v>
      </c>
      <c r="W1182" s="238">
        <v>0.0</v>
      </c>
      <c r="X1182" s="235" t="s">
        <v>628</v>
      </c>
      <c r="Z1182" s="244"/>
      <c r="AA1182" s="244"/>
      <c r="AB1182" s="244"/>
      <c r="AC1182" s="235" t="s">
        <v>1456</v>
      </c>
      <c r="AD1182" s="235" t="s">
        <v>928</v>
      </c>
      <c r="AE1182" s="238">
        <v>122001.0</v>
      </c>
      <c r="AF1182" s="235" t="s">
        <v>631</v>
      </c>
      <c r="AG1182" s="244"/>
      <c r="AH1182" s="244"/>
      <c r="AI1182" s="245"/>
      <c r="AJ1182" s="245"/>
      <c r="AK1182" s="245"/>
      <c r="AL1182" s="245"/>
      <c r="AM1182" s="244"/>
      <c r="AN1182" s="244"/>
      <c r="AO1182" s="238">
        <v>0.0</v>
      </c>
      <c r="AP1182" s="238">
        <v>0.0</v>
      </c>
      <c r="AQ1182" s="235" t="s">
        <v>632</v>
      </c>
      <c r="AR1182" s="243">
        <v>3.71E11</v>
      </c>
      <c r="AS1182" s="235" t="s">
        <v>8807</v>
      </c>
      <c r="AT1182" s="235" t="s">
        <v>14</v>
      </c>
      <c r="AU1182" s="235" t="s">
        <v>634</v>
      </c>
      <c r="AV1182" s="246" t="s">
        <v>635</v>
      </c>
      <c r="AW1182" s="242"/>
      <c r="AX1182" s="242"/>
      <c r="AY1182" s="231"/>
      <c r="AZ1182" s="231"/>
      <c r="BA1182" s="227"/>
      <c r="BB1182" s="231"/>
      <c r="BC1182" s="227"/>
      <c r="BD1182" s="227"/>
      <c r="BE1182" s="227"/>
      <c r="BF1182" s="227"/>
    </row>
    <row r="1183">
      <c r="A1183" s="235" t="s">
        <v>9745</v>
      </c>
      <c r="C1183" s="235" t="s">
        <v>9746</v>
      </c>
      <c r="D1183" s="235" t="s">
        <v>9747</v>
      </c>
      <c r="E1183" s="243">
        <v>6.55E13</v>
      </c>
      <c r="F1183" s="245"/>
      <c r="G1183" s="235" t="s">
        <v>9748</v>
      </c>
      <c r="H1183" s="235" t="s">
        <v>9749</v>
      </c>
      <c r="I1183" s="235" t="s">
        <v>9749</v>
      </c>
      <c r="J1183" s="235" t="s">
        <v>9750</v>
      </c>
      <c r="K1183" s="235" t="s">
        <v>9751</v>
      </c>
      <c r="N1183" s="235" t="s">
        <v>138</v>
      </c>
      <c r="O1183" s="235" t="s">
        <v>675</v>
      </c>
      <c r="P1183" s="238">
        <v>1.0</v>
      </c>
      <c r="Q1183" s="235" t="s">
        <v>627</v>
      </c>
      <c r="R1183" s="238">
        <v>246.66</v>
      </c>
      <c r="S1183" s="238">
        <v>12.34</v>
      </c>
      <c r="T1183" s="238">
        <v>0.0</v>
      </c>
      <c r="U1183" s="238">
        <v>0.0</v>
      </c>
      <c r="V1183" s="238">
        <v>0.0</v>
      </c>
      <c r="W1183" s="238">
        <v>0.0</v>
      </c>
      <c r="X1183" s="235" t="s">
        <v>628</v>
      </c>
      <c r="Z1183" s="244"/>
      <c r="AA1183" s="244"/>
      <c r="AB1183" s="244"/>
      <c r="AC1183" s="235" t="s">
        <v>2165</v>
      </c>
      <c r="AD1183" s="235" t="s">
        <v>928</v>
      </c>
      <c r="AE1183" s="238">
        <v>121003.0</v>
      </c>
      <c r="AF1183" s="235" t="s">
        <v>631</v>
      </c>
      <c r="AG1183" s="244"/>
      <c r="AH1183" s="244"/>
      <c r="AI1183" s="245"/>
      <c r="AJ1183" s="245"/>
      <c r="AK1183" s="245"/>
      <c r="AL1183" s="245"/>
      <c r="AM1183" s="244"/>
      <c r="AN1183" s="244"/>
      <c r="AO1183" s="238">
        <v>0.0</v>
      </c>
      <c r="AP1183" s="238">
        <v>0.0</v>
      </c>
      <c r="AQ1183" s="235" t="s">
        <v>632</v>
      </c>
      <c r="AR1183" s="243">
        <v>3.71E11</v>
      </c>
      <c r="AS1183" s="235" t="s">
        <v>8807</v>
      </c>
      <c r="AT1183" s="235" t="s">
        <v>14</v>
      </c>
      <c r="AU1183" s="235" t="s">
        <v>634</v>
      </c>
      <c r="AV1183" s="246" t="s">
        <v>635</v>
      </c>
      <c r="AW1183" s="242"/>
      <c r="AX1183" s="242"/>
      <c r="AY1183" s="231"/>
      <c r="AZ1183" s="231"/>
      <c r="BA1183" s="227"/>
      <c r="BB1183" s="231"/>
      <c r="BC1183" s="227"/>
      <c r="BD1183" s="227"/>
      <c r="BE1183" s="227"/>
      <c r="BF1183" s="227"/>
    </row>
    <row r="1184">
      <c r="A1184" s="235" t="s">
        <v>9752</v>
      </c>
      <c r="C1184" s="235" t="s">
        <v>9753</v>
      </c>
      <c r="D1184" s="235" t="s">
        <v>9754</v>
      </c>
      <c r="E1184" s="243">
        <v>6.55E13</v>
      </c>
      <c r="F1184" s="245"/>
      <c r="G1184" s="235" t="s">
        <v>9755</v>
      </c>
      <c r="H1184" s="235" t="s">
        <v>9756</v>
      </c>
      <c r="I1184" s="235" t="s">
        <v>9757</v>
      </c>
      <c r="J1184" s="235" t="s">
        <v>9758</v>
      </c>
      <c r="K1184" s="235" t="s">
        <v>9759</v>
      </c>
      <c r="N1184" s="235" t="s">
        <v>136</v>
      </c>
      <c r="O1184" s="235" t="s">
        <v>256</v>
      </c>
      <c r="P1184" s="238">
        <v>1.0</v>
      </c>
      <c r="Q1184" s="235" t="s">
        <v>627</v>
      </c>
      <c r="R1184" s="238">
        <v>246.67</v>
      </c>
      <c r="S1184" s="238">
        <v>12.33</v>
      </c>
      <c r="T1184" s="238">
        <v>0.0</v>
      </c>
      <c r="U1184" s="238">
        <v>0.0</v>
      </c>
      <c r="V1184" s="238">
        <v>0.0</v>
      </c>
      <c r="W1184" s="238">
        <v>0.0</v>
      </c>
      <c r="X1184" s="235" t="s">
        <v>628</v>
      </c>
      <c r="Z1184" s="244"/>
      <c r="AA1184" s="244"/>
      <c r="AB1184" s="244"/>
      <c r="AC1184" s="235" t="s">
        <v>697</v>
      </c>
      <c r="AD1184" s="235" t="s">
        <v>698</v>
      </c>
      <c r="AE1184" s="238">
        <v>500049.0</v>
      </c>
      <c r="AF1184" s="235" t="s">
        <v>631</v>
      </c>
      <c r="AG1184" s="244"/>
      <c r="AH1184" s="244"/>
      <c r="AI1184" s="245"/>
      <c r="AJ1184" s="245"/>
      <c r="AK1184" s="245"/>
      <c r="AL1184" s="245"/>
      <c r="AM1184" s="244"/>
      <c r="AN1184" s="244"/>
      <c r="AO1184" s="238">
        <v>0.0</v>
      </c>
      <c r="AP1184" s="238">
        <v>0.0</v>
      </c>
      <c r="AQ1184" s="235" t="s">
        <v>632</v>
      </c>
      <c r="AR1184" s="243">
        <v>2.02E11</v>
      </c>
      <c r="AS1184" s="235" t="s">
        <v>8807</v>
      </c>
      <c r="AT1184" s="235" t="s">
        <v>156</v>
      </c>
      <c r="AU1184" s="235" t="s">
        <v>634</v>
      </c>
      <c r="AV1184" s="246" t="s">
        <v>635</v>
      </c>
      <c r="AW1184" s="242"/>
      <c r="AX1184" s="242"/>
      <c r="AY1184" s="231"/>
      <c r="AZ1184" s="231"/>
      <c r="BA1184" s="227"/>
      <c r="BB1184" s="231"/>
      <c r="BC1184" s="227"/>
      <c r="BD1184" s="227"/>
      <c r="BE1184" s="227"/>
      <c r="BF1184" s="227"/>
    </row>
    <row r="1185">
      <c r="A1185" s="235" t="s">
        <v>9760</v>
      </c>
      <c r="C1185" s="235" t="s">
        <v>9761</v>
      </c>
      <c r="D1185" s="235" t="s">
        <v>9762</v>
      </c>
      <c r="E1185" s="243">
        <v>6.55E13</v>
      </c>
      <c r="F1185" s="245"/>
      <c r="G1185" s="235" t="s">
        <v>9763</v>
      </c>
      <c r="H1185" s="235" t="s">
        <v>9764</v>
      </c>
      <c r="I1185" s="235" t="s">
        <v>9764</v>
      </c>
      <c r="J1185" s="235" t="s">
        <v>9765</v>
      </c>
      <c r="K1185" s="235" t="s">
        <v>9766</v>
      </c>
      <c r="N1185" s="235" t="s">
        <v>154</v>
      </c>
      <c r="O1185" s="235" t="s">
        <v>766</v>
      </c>
      <c r="P1185" s="238">
        <v>1.0</v>
      </c>
      <c r="Q1185" s="235" t="s">
        <v>627</v>
      </c>
      <c r="R1185" s="238">
        <v>465.71</v>
      </c>
      <c r="S1185" s="238">
        <v>22.82</v>
      </c>
      <c r="T1185" s="238">
        <v>0.0</v>
      </c>
      <c r="U1185" s="238">
        <v>0.0</v>
      </c>
      <c r="V1185" s="238">
        <v>0.0</v>
      </c>
      <c r="W1185" s="238">
        <v>0.0</v>
      </c>
      <c r="X1185" s="235" t="s">
        <v>628</v>
      </c>
      <c r="Z1185" s="244"/>
      <c r="AA1185" s="244"/>
      <c r="AB1185" s="244"/>
      <c r="AC1185" s="235" t="s">
        <v>9767</v>
      </c>
      <c r="AD1185" s="235" t="s">
        <v>1151</v>
      </c>
      <c r="AE1185" s="238">
        <v>711104.0</v>
      </c>
      <c r="AF1185" s="235" t="s">
        <v>631</v>
      </c>
      <c r="AG1185" s="244"/>
      <c r="AH1185" s="244"/>
      <c r="AI1185" s="245"/>
      <c r="AJ1185" s="245"/>
      <c r="AK1185" s="245"/>
      <c r="AL1185" s="245"/>
      <c r="AM1185" s="244"/>
      <c r="AN1185" s="244"/>
      <c r="AO1185" s="238">
        <v>-9.31</v>
      </c>
      <c r="AP1185" s="238">
        <v>0.0</v>
      </c>
      <c r="AQ1185" s="235" t="s">
        <v>632</v>
      </c>
      <c r="AR1185" s="243">
        <v>2.02E11</v>
      </c>
      <c r="AS1185" s="235" t="s">
        <v>8807</v>
      </c>
      <c r="AT1185" s="235" t="s">
        <v>13</v>
      </c>
      <c r="AU1185" s="235" t="s">
        <v>634</v>
      </c>
      <c r="AV1185" s="246" t="s">
        <v>635</v>
      </c>
      <c r="AW1185" s="242"/>
      <c r="AX1185" s="242"/>
      <c r="AY1185" s="231"/>
      <c r="AZ1185" s="231"/>
      <c r="BA1185" s="227"/>
      <c r="BB1185" s="231"/>
      <c r="BC1185" s="227"/>
      <c r="BD1185" s="227"/>
      <c r="BE1185" s="227"/>
      <c r="BF1185" s="227"/>
    </row>
    <row r="1186">
      <c r="A1186" s="235" t="s">
        <v>9768</v>
      </c>
      <c r="C1186" s="235" t="s">
        <v>9769</v>
      </c>
      <c r="D1186" s="235" t="s">
        <v>9770</v>
      </c>
      <c r="E1186" s="243">
        <v>6.55E13</v>
      </c>
      <c r="F1186" s="245"/>
      <c r="G1186" s="235" t="s">
        <v>9771</v>
      </c>
      <c r="H1186" s="235" t="s">
        <v>9772</v>
      </c>
      <c r="I1186" s="235" t="s">
        <v>9772</v>
      </c>
      <c r="J1186" s="235" t="s">
        <v>9773</v>
      </c>
      <c r="K1186" s="235" t="s">
        <v>9774</v>
      </c>
      <c r="N1186" s="235" t="s">
        <v>54</v>
      </c>
      <c r="O1186" s="235" t="s">
        <v>294</v>
      </c>
      <c r="P1186" s="238">
        <v>1.0</v>
      </c>
      <c r="Q1186" s="235" t="s">
        <v>627</v>
      </c>
      <c r="R1186" s="238">
        <v>246.67</v>
      </c>
      <c r="S1186" s="238">
        <v>12.33</v>
      </c>
      <c r="T1186" s="238">
        <v>75.24</v>
      </c>
      <c r="U1186" s="238">
        <v>3.76</v>
      </c>
      <c r="V1186" s="238">
        <v>0.0</v>
      </c>
      <c r="W1186" s="238">
        <v>0.0</v>
      </c>
      <c r="X1186" s="235" t="s">
        <v>628</v>
      </c>
      <c r="Z1186" s="244"/>
      <c r="AA1186" s="244"/>
      <c r="AB1186" s="244"/>
      <c r="AC1186" s="235" t="s">
        <v>5091</v>
      </c>
      <c r="AD1186" s="235" t="s">
        <v>845</v>
      </c>
      <c r="AE1186" s="238">
        <v>440024.0</v>
      </c>
      <c r="AF1186" s="235" t="s">
        <v>631</v>
      </c>
      <c r="AG1186" s="244"/>
      <c r="AH1186" s="244"/>
      <c r="AI1186" s="245"/>
      <c r="AJ1186" s="245"/>
      <c r="AK1186" s="245"/>
      <c r="AL1186" s="245"/>
      <c r="AM1186" s="244"/>
      <c r="AN1186" s="244"/>
      <c r="AO1186" s="238">
        <v>0.0</v>
      </c>
      <c r="AP1186" s="238">
        <v>-75.24</v>
      </c>
      <c r="AQ1186" s="235" t="s">
        <v>632</v>
      </c>
      <c r="AR1186" s="243">
        <v>2.02E11</v>
      </c>
      <c r="AS1186" s="235" t="s">
        <v>8807</v>
      </c>
      <c r="AT1186" s="235" t="s">
        <v>14</v>
      </c>
      <c r="AU1186" s="235" t="s">
        <v>634</v>
      </c>
      <c r="AV1186" s="246" t="s">
        <v>635</v>
      </c>
      <c r="AW1186" s="242"/>
      <c r="AX1186" s="242"/>
      <c r="AY1186" s="231"/>
      <c r="AZ1186" s="231"/>
      <c r="BA1186" s="227"/>
      <c r="BB1186" s="231"/>
      <c r="BC1186" s="227"/>
      <c r="BD1186" s="227"/>
      <c r="BE1186" s="227"/>
      <c r="BF1186" s="227"/>
    </row>
    <row r="1187">
      <c r="A1187" s="235" t="s">
        <v>9775</v>
      </c>
      <c r="C1187" s="235" t="s">
        <v>9776</v>
      </c>
      <c r="D1187" s="235" t="s">
        <v>9777</v>
      </c>
      <c r="E1187" s="243">
        <v>6.55E13</v>
      </c>
      <c r="F1187" s="245"/>
      <c r="G1187" s="235" t="s">
        <v>9778</v>
      </c>
      <c r="H1187" s="235" t="s">
        <v>9779</v>
      </c>
      <c r="I1187" s="235" t="s">
        <v>9780</v>
      </c>
      <c r="J1187" s="235" t="s">
        <v>9781</v>
      </c>
      <c r="K1187" s="235" t="s">
        <v>9782</v>
      </c>
      <c r="N1187" s="235" t="s">
        <v>42</v>
      </c>
      <c r="O1187" s="235" t="s">
        <v>204</v>
      </c>
      <c r="P1187" s="238">
        <v>1.0</v>
      </c>
      <c r="Q1187" s="235" t="s">
        <v>627</v>
      </c>
      <c r="R1187" s="238">
        <v>237.14</v>
      </c>
      <c r="S1187" s="238">
        <v>11.86</v>
      </c>
      <c r="T1187" s="238">
        <v>0.0</v>
      </c>
      <c r="U1187" s="238">
        <v>0.0</v>
      </c>
      <c r="V1187" s="238">
        <v>0.0</v>
      </c>
      <c r="W1187" s="238">
        <v>0.0</v>
      </c>
      <c r="X1187" s="235" t="s">
        <v>628</v>
      </c>
      <c r="Z1187" s="244"/>
      <c r="AA1187" s="244"/>
      <c r="AB1187" s="244"/>
      <c r="AC1187" s="235" t="s">
        <v>697</v>
      </c>
      <c r="AD1187" s="235" t="s">
        <v>698</v>
      </c>
      <c r="AE1187" s="238">
        <v>500090.0</v>
      </c>
      <c r="AF1187" s="235" t="s">
        <v>631</v>
      </c>
      <c r="AG1187" s="244"/>
      <c r="AH1187" s="244"/>
      <c r="AI1187" s="245"/>
      <c r="AJ1187" s="245"/>
      <c r="AK1187" s="245"/>
      <c r="AL1187" s="245"/>
      <c r="AM1187" s="244"/>
      <c r="AN1187" s="244"/>
      <c r="AO1187" s="238">
        <v>0.0</v>
      </c>
      <c r="AP1187" s="238">
        <v>0.0</v>
      </c>
      <c r="AQ1187" s="235" t="s">
        <v>632</v>
      </c>
      <c r="AR1187" s="243">
        <v>3.71E11</v>
      </c>
      <c r="AS1187" s="235" t="s">
        <v>6164</v>
      </c>
      <c r="AT1187" s="235" t="s">
        <v>16</v>
      </c>
      <c r="AU1187" s="235" t="s">
        <v>634</v>
      </c>
      <c r="AV1187" s="246" t="s">
        <v>635</v>
      </c>
      <c r="AW1187" s="242"/>
      <c r="AX1187" s="242"/>
      <c r="AY1187" s="231"/>
      <c r="AZ1187" s="231"/>
      <c r="BA1187" s="227"/>
      <c r="BB1187" s="231"/>
      <c r="BC1187" s="227"/>
      <c r="BD1187" s="227"/>
      <c r="BE1187" s="227"/>
      <c r="BF1187" s="227"/>
    </row>
    <row r="1188">
      <c r="A1188" s="235" t="s">
        <v>9783</v>
      </c>
      <c r="C1188" s="235" t="s">
        <v>9784</v>
      </c>
      <c r="D1188" s="235" t="s">
        <v>9785</v>
      </c>
      <c r="E1188" s="243">
        <v>6.55E13</v>
      </c>
      <c r="F1188" s="245"/>
      <c r="G1188" s="235" t="s">
        <v>9786</v>
      </c>
      <c r="H1188" s="235" t="s">
        <v>9787</v>
      </c>
      <c r="I1188" s="235" t="s">
        <v>9787</v>
      </c>
      <c r="J1188" s="235" t="s">
        <v>9788</v>
      </c>
      <c r="K1188" s="235" t="s">
        <v>9789</v>
      </c>
      <c r="N1188" s="235" t="s">
        <v>130</v>
      </c>
      <c r="O1188" s="235" t="s">
        <v>707</v>
      </c>
      <c r="P1188" s="238">
        <v>1.0</v>
      </c>
      <c r="Q1188" s="235" t="s">
        <v>627</v>
      </c>
      <c r="R1188" s="238">
        <v>246.66</v>
      </c>
      <c r="S1188" s="238">
        <v>12.34</v>
      </c>
      <c r="T1188" s="238">
        <v>0.0</v>
      </c>
      <c r="U1188" s="238">
        <v>0.0</v>
      </c>
      <c r="V1188" s="238">
        <v>0.0</v>
      </c>
      <c r="W1188" s="238">
        <v>0.0</v>
      </c>
      <c r="X1188" s="235" t="s">
        <v>628</v>
      </c>
      <c r="Z1188" s="244"/>
      <c r="AA1188" s="244"/>
      <c r="AB1188" s="244"/>
      <c r="AC1188" s="235" t="s">
        <v>6555</v>
      </c>
      <c r="AD1188" s="235" t="s">
        <v>679</v>
      </c>
      <c r="AE1188" s="238">
        <v>575002.0</v>
      </c>
      <c r="AF1188" s="235" t="s">
        <v>631</v>
      </c>
      <c r="AG1188" s="244"/>
      <c r="AH1188" s="244"/>
      <c r="AI1188" s="245"/>
      <c r="AJ1188" s="245"/>
      <c r="AK1188" s="245"/>
      <c r="AL1188" s="245"/>
      <c r="AM1188" s="244"/>
      <c r="AN1188" s="244"/>
      <c r="AO1188" s="238">
        <v>0.0</v>
      </c>
      <c r="AP1188" s="238">
        <v>0.0</v>
      </c>
      <c r="AQ1188" s="235" t="s">
        <v>632</v>
      </c>
      <c r="AR1188" s="243">
        <v>3.71E11</v>
      </c>
      <c r="AS1188" s="235" t="s">
        <v>8807</v>
      </c>
      <c r="AT1188" s="235" t="s">
        <v>11</v>
      </c>
      <c r="AU1188" s="235" t="s">
        <v>634</v>
      </c>
      <c r="AV1188" s="246" t="s">
        <v>635</v>
      </c>
      <c r="AW1188" s="242"/>
      <c r="AX1188" s="242"/>
      <c r="AY1188" s="231"/>
      <c r="AZ1188" s="231"/>
      <c r="BA1188" s="227"/>
      <c r="BB1188" s="231"/>
      <c r="BC1188" s="227"/>
      <c r="BD1188" s="227"/>
      <c r="BE1188" s="227"/>
      <c r="BF1188" s="227"/>
    </row>
    <row r="1189">
      <c r="A1189" s="235" t="s">
        <v>9790</v>
      </c>
      <c r="C1189" s="235" t="s">
        <v>9791</v>
      </c>
      <c r="D1189" s="235" t="s">
        <v>9792</v>
      </c>
      <c r="E1189" s="243">
        <v>6.55E13</v>
      </c>
      <c r="F1189" s="245"/>
      <c r="G1189" s="235" t="s">
        <v>9793</v>
      </c>
      <c r="H1189" s="235" t="s">
        <v>9794</v>
      </c>
      <c r="I1189" s="235" t="s">
        <v>9794</v>
      </c>
      <c r="J1189" s="235" t="s">
        <v>9795</v>
      </c>
      <c r="K1189" s="235" t="s">
        <v>9796</v>
      </c>
      <c r="N1189" s="235" t="s">
        <v>85</v>
      </c>
      <c r="O1189" s="235" t="s">
        <v>872</v>
      </c>
      <c r="P1189" s="238">
        <v>1.0</v>
      </c>
      <c r="Q1189" s="235" t="s">
        <v>627</v>
      </c>
      <c r="R1189" s="238">
        <v>246.67</v>
      </c>
      <c r="S1189" s="238">
        <v>12.33</v>
      </c>
      <c r="T1189" s="238">
        <v>0.0</v>
      </c>
      <c r="U1189" s="238">
        <v>0.0</v>
      </c>
      <c r="V1189" s="238">
        <v>0.0</v>
      </c>
      <c r="W1189" s="238">
        <v>0.0</v>
      </c>
      <c r="X1189" s="235" t="s">
        <v>628</v>
      </c>
      <c r="Z1189" s="244"/>
      <c r="AA1189" s="244"/>
      <c r="AB1189" s="244"/>
      <c r="AC1189" s="235" t="s">
        <v>9797</v>
      </c>
      <c r="AD1189" s="235" t="s">
        <v>881</v>
      </c>
      <c r="AE1189" s="238">
        <v>755009.0</v>
      </c>
      <c r="AF1189" s="235" t="s">
        <v>631</v>
      </c>
      <c r="AG1189" s="244"/>
      <c r="AH1189" s="244"/>
      <c r="AI1189" s="245"/>
      <c r="AJ1189" s="245"/>
      <c r="AK1189" s="245"/>
      <c r="AL1189" s="245"/>
      <c r="AM1189" s="244"/>
      <c r="AN1189" s="244"/>
      <c r="AO1189" s="238">
        <v>0.0</v>
      </c>
      <c r="AP1189" s="238">
        <v>0.0</v>
      </c>
      <c r="AQ1189" s="235" t="s">
        <v>632</v>
      </c>
      <c r="AR1189" s="243">
        <v>3.71E11</v>
      </c>
      <c r="AS1189" s="235" t="s">
        <v>4697</v>
      </c>
      <c r="AT1189" s="235" t="s">
        <v>9</v>
      </c>
      <c r="AU1189" s="235" t="s">
        <v>634</v>
      </c>
      <c r="AV1189" s="246" t="s">
        <v>635</v>
      </c>
      <c r="AW1189" s="242"/>
      <c r="AX1189" s="242"/>
      <c r="AY1189" s="231"/>
      <c r="AZ1189" s="231"/>
      <c r="BA1189" s="227"/>
      <c r="BB1189" s="231"/>
      <c r="BC1189" s="227"/>
      <c r="BD1189" s="227"/>
      <c r="BE1189" s="227"/>
      <c r="BF1189" s="227"/>
    </row>
    <row r="1190">
      <c r="A1190" s="235" t="s">
        <v>9798</v>
      </c>
      <c r="C1190" s="235" t="s">
        <v>9799</v>
      </c>
      <c r="D1190" s="235" t="s">
        <v>9800</v>
      </c>
      <c r="E1190" s="243">
        <v>6.54E13</v>
      </c>
      <c r="F1190" s="245"/>
      <c r="G1190" s="235" t="s">
        <v>9801</v>
      </c>
      <c r="H1190" s="235" t="s">
        <v>9802</v>
      </c>
      <c r="I1190" s="235" t="s">
        <v>9803</v>
      </c>
      <c r="J1190" s="235" t="s">
        <v>9804</v>
      </c>
      <c r="K1190" s="235" t="s">
        <v>9805</v>
      </c>
      <c r="N1190" s="235" t="s">
        <v>154</v>
      </c>
      <c r="O1190" s="235" t="s">
        <v>766</v>
      </c>
      <c r="P1190" s="238">
        <v>1.0</v>
      </c>
      <c r="Q1190" s="235" t="s">
        <v>627</v>
      </c>
      <c r="R1190" s="238">
        <v>465.72</v>
      </c>
      <c r="S1190" s="238">
        <v>22.82</v>
      </c>
      <c r="T1190" s="238">
        <v>38.1</v>
      </c>
      <c r="U1190" s="238">
        <v>1.9</v>
      </c>
      <c r="V1190" s="238">
        <v>0.0</v>
      </c>
      <c r="W1190" s="238">
        <v>0.0</v>
      </c>
      <c r="X1190" s="235" t="s">
        <v>628</v>
      </c>
      <c r="Z1190" s="244"/>
      <c r="AA1190" s="244"/>
      <c r="AB1190" s="244"/>
      <c r="AC1190" s="235" t="s">
        <v>1887</v>
      </c>
      <c r="AD1190" s="235" t="s">
        <v>679</v>
      </c>
      <c r="AE1190" s="238">
        <v>560048.0</v>
      </c>
      <c r="AF1190" s="235" t="s">
        <v>631</v>
      </c>
      <c r="AG1190" s="244"/>
      <c r="AH1190" s="244"/>
      <c r="AI1190" s="245"/>
      <c r="AJ1190" s="245"/>
      <c r="AK1190" s="245"/>
      <c r="AL1190" s="245"/>
      <c r="AM1190" s="244"/>
      <c r="AN1190" s="244"/>
      <c r="AO1190" s="238">
        <v>-9.32</v>
      </c>
      <c r="AP1190" s="238">
        <v>-38.1</v>
      </c>
      <c r="AQ1190" s="235" t="s">
        <v>632</v>
      </c>
      <c r="AR1190" s="243">
        <v>3.71E11</v>
      </c>
      <c r="AS1190" s="235" t="s">
        <v>8807</v>
      </c>
      <c r="AT1190" s="235" t="s">
        <v>11</v>
      </c>
      <c r="AU1190" s="235" t="s">
        <v>634</v>
      </c>
      <c r="AV1190" s="246" t="s">
        <v>635</v>
      </c>
      <c r="AW1190" s="242"/>
      <c r="AX1190" s="242"/>
      <c r="AY1190" s="231"/>
      <c r="AZ1190" s="231"/>
      <c r="BA1190" s="227"/>
      <c r="BB1190" s="231"/>
      <c r="BC1190" s="227"/>
      <c r="BD1190" s="227"/>
      <c r="BE1190" s="227"/>
      <c r="BF1190" s="227"/>
    </row>
    <row r="1191">
      <c r="A1191" s="235" t="s">
        <v>9806</v>
      </c>
      <c r="C1191" s="235" t="s">
        <v>9807</v>
      </c>
      <c r="D1191" s="235" t="s">
        <v>9808</v>
      </c>
      <c r="E1191" s="243">
        <v>6.55E13</v>
      </c>
      <c r="F1191" s="245"/>
      <c r="G1191" s="235" t="s">
        <v>9809</v>
      </c>
      <c r="H1191" s="235" t="s">
        <v>9810</v>
      </c>
      <c r="I1191" s="235" t="s">
        <v>9810</v>
      </c>
      <c r="J1191" s="235" t="s">
        <v>9811</v>
      </c>
      <c r="K1191" s="235" t="s">
        <v>9812</v>
      </c>
      <c r="N1191" s="235" t="s">
        <v>1346</v>
      </c>
      <c r="O1191" s="235" t="s">
        <v>1347</v>
      </c>
      <c r="P1191" s="238">
        <v>1.0</v>
      </c>
      <c r="Q1191" s="235" t="s">
        <v>627</v>
      </c>
      <c r="R1191" s="238">
        <v>256.19</v>
      </c>
      <c r="S1191" s="238">
        <v>12.81</v>
      </c>
      <c r="T1191" s="238">
        <v>0.0</v>
      </c>
      <c r="U1191" s="238">
        <v>0.0</v>
      </c>
      <c r="V1191" s="238">
        <v>0.0</v>
      </c>
      <c r="W1191" s="238">
        <v>0.0</v>
      </c>
      <c r="X1191" s="235" t="s">
        <v>628</v>
      </c>
      <c r="Z1191" s="244"/>
      <c r="AA1191" s="244"/>
      <c r="AB1191" s="244"/>
      <c r="AC1191" s="235" t="s">
        <v>1456</v>
      </c>
      <c r="AD1191" s="235" t="s">
        <v>928</v>
      </c>
      <c r="AE1191" s="238">
        <v>122011.0</v>
      </c>
      <c r="AF1191" s="235" t="s">
        <v>631</v>
      </c>
      <c r="AG1191" s="244"/>
      <c r="AH1191" s="244"/>
      <c r="AI1191" s="245"/>
      <c r="AJ1191" s="245"/>
      <c r="AK1191" s="245"/>
      <c r="AL1191" s="245"/>
      <c r="AM1191" s="244"/>
      <c r="AN1191" s="244"/>
      <c r="AO1191" s="238">
        <v>0.0</v>
      </c>
      <c r="AP1191" s="238">
        <v>0.0</v>
      </c>
      <c r="AQ1191" s="235" t="s">
        <v>632</v>
      </c>
      <c r="AR1191" s="243">
        <v>3.71E11</v>
      </c>
      <c r="AS1191" s="235" t="s">
        <v>4697</v>
      </c>
      <c r="AT1191" s="235" t="s">
        <v>156</v>
      </c>
      <c r="AU1191" s="235" t="s">
        <v>634</v>
      </c>
      <c r="AV1191" s="246" t="s">
        <v>635</v>
      </c>
      <c r="AW1191" s="242"/>
      <c r="AX1191" s="242"/>
      <c r="AY1191" s="231"/>
      <c r="AZ1191" s="231"/>
      <c r="BA1191" s="227"/>
      <c r="BB1191" s="231"/>
      <c r="BC1191" s="227"/>
      <c r="BD1191" s="227"/>
      <c r="BE1191" s="227"/>
      <c r="BF1191" s="227"/>
    </row>
    <row r="1192">
      <c r="A1192" s="235" t="s">
        <v>9814</v>
      </c>
      <c r="C1192" s="235" t="s">
        <v>9815</v>
      </c>
      <c r="D1192" s="235" t="s">
        <v>9816</v>
      </c>
      <c r="E1192" s="243">
        <v>6.55E13</v>
      </c>
      <c r="F1192" s="245"/>
      <c r="G1192" s="235" t="s">
        <v>9817</v>
      </c>
      <c r="H1192" s="235" t="s">
        <v>9818</v>
      </c>
      <c r="I1192" s="235" t="s">
        <v>9818</v>
      </c>
      <c r="J1192" s="235" t="s">
        <v>9819</v>
      </c>
      <c r="K1192" s="235" t="s">
        <v>9820</v>
      </c>
      <c r="N1192" s="235" t="s">
        <v>134</v>
      </c>
      <c r="O1192" s="235" t="s">
        <v>314</v>
      </c>
      <c r="P1192" s="238">
        <v>1.0</v>
      </c>
      <c r="Q1192" s="235" t="s">
        <v>627</v>
      </c>
      <c r="R1192" s="238">
        <v>246.67</v>
      </c>
      <c r="S1192" s="238">
        <v>12.33</v>
      </c>
      <c r="T1192" s="238">
        <v>0.0</v>
      </c>
      <c r="U1192" s="238">
        <v>0.0</v>
      </c>
      <c r="V1192" s="238">
        <v>0.0</v>
      </c>
      <c r="W1192" s="238">
        <v>0.0</v>
      </c>
      <c r="X1192" s="235" t="s">
        <v>628</v>
      </c>
      <c r="Z1192" s="244"/>
      <c r="AA1192" s="244"/>
      <c r="AB1192" s="244"/>
      <c r="AC1192" s="235" t="s">
        <v>697</v>
      </c>
      <c r="AD1192" s="235" t="s">
        <v>698</v>
      </c>
      <c r="AE1192" s="238">
        <v>500086.0</v>
      </c>
      <c r="AF1192" s="235" t="s">
        <v>631</v>
      </c>
      <c r="AG1192" s="244"/>
      <c r="AH1192" s="244"/>
      <c r="AI1192" s="245"/>
      <c r="AJ1192" s="245"/>
      <c r="AK1192" s="245"/>
      <c r="AL1192" s="245"/>
      <c r="AM1192" s="244"/>
      <c r="AN1192" s="244"/>
      <c r="AO1192" s="238">
        <v>0.0</v>
      </c>
      <c r="AP1192" s="238">
        <v>0.0</v>
      </c>
      <c r="AQ1192" s="235" t="s">
        <v>632</v>
      </c>
      <c r="AR1192" s="243">
        <v>2.02E11</v>
      </c>
      <c r="AS1192" s="235" t="s">
        <v>8807</v>
      </c>
      <c r="AT1192" s="235" t="s">
        <v>156</v>
      </c>
      <c r="AU1192" s="235" t="s">
        <v>634</v>
      </c>
      <c r="AV1192" s="246" t="s">
        <v>635</v>
      </c>
      <c r="AW1192" s="242"/>
      <c r="AX1192" s="242"/>
      <c r="AY1192" s="231"/>
      <c r="AZ1192" s="231"/>
      <c r="BA1192" s="227"/>
      <c r="BB1192" s="231"/>
      <c r="BC1192" s="227"/>
      <c r="BD1192" s="227"/>
      <c r="BE1192" s="227"/>
      <c r="BF1192" s="227"/>
    </row>
    <row r="1193">
      <c r="A1193" s="235" t="s">
        <v>9821</v>
      </c>
      <c r="C1193" s="235" t="s">
        <v>9822</v>
      </c>
      <c r="D1193" s="235" t="s">
        <v>9823</v>
      </c>
      <c r="E1193" s="243">
        <v>6.55E13</v>
      </c>
      <c r="F1193" s="245"/>
      <c r="G1193" s="235" t="s">
        <v>9824</v>
      </c>
      <c r="H1193" s="235" t="s">
        <v>9825</v>
      </c>
      <c r="I1193" s="235" t="s">
        <v>9825</v>
      </c>
      <c r="J1193" s="235" t="s">
        <v>9826</v>
      </c>
      <c r="K1193" s="235" t="s">
        <v>9827</v>
      </c>
      <c r="N1193" s="235" t="s">
        <v>92</v>
      </c>
      <c r="O1193" s="235" t="s">
        <v>248</v>
      </c>
      <c r="P1193" s="238">
        <v>1.0</v>
      </c>
      <c r="Q1193" s="235" t="s">
        <v>627</v>
      </c>
      <c r="R1193" s="238">
        <v>246.67</v>
      </c>
      <c r="S1193" s="238">
        <v>12.33</v>
      </c>
      <c r="T1193" s="238">
        <v>56.19</v>
      </c>
      <c r="U1193" s="238">
        <v>2.81</v>
      </c>
      <c r="V1193" s="238">
        <v>0.0</v>
      </c>
      <c r="W1193" s="238">
        <v>0.0</v>
      </c>
      <c r="X1193" s="235" t="s">
        <v>628</v>
      </c>
      <c r="Z1193" s="244"/>
      <c r="AA1193" s="244"/>
      <c r="AB1193" s="244"/>
      <c r="AC1193" s="235" t="s">
        <v>9828</v>
      </c>
      <c r="AD1193" s="235" t="s">
        <v>666</v>
      </c>
      <c r="AE1193" s="238">
        <v>642203.0</v>
      </c>
      <c r="AF1193" s="235" t="s">
        <v>631</v>
      </c>
      <c r="AG1193" s="244"/>
      <c r="AH1193" s="244"/>
      <c r="AI1193" s="245"/>
      <c r="AJ1193" s="245"/>
      <c r="AK1193" s="245"/>
      <c r="AL1193" s="245"/>
      <c r="AM1193" s="244"/>
      <c r="AN1193" s="244"/>
      <c r="AO1193" s="238">
        <v>0.0</v>
      </c>
      <c r="AP1193" s="238">
        <v>-56.19</v>
      </c>
      <c r="AQ1193" s="235" t="s">
        <v>632</v>
      </c>
      <c r="AR1193" s="243">
        <v>3.71E11</v>
      </c>
      <c r="AS1193" s="235" t="s">
        <v>7365</v>
      </c>
      <c r="AT1193" s="235" t="s">
        <v>9</v>
      </c>
      <c r="AU1193" s="235" t="s">
        <v>634</v>
      </c>
      <c r="AV1193" s="246" t="s">
        <v>635</v>
      </c>
      <c r="AW1193" s="242"/>
      <c r="AX1193" s="242"/>
      <c r="AY1193" s="231"/>
      <c r="AZ1193" s="231"/>
      <c r="BA1193" s="227"/>
      <c r="BB1193" s="231"/>
      <c r="BC1193" s="227"/>
      <c r="BD1193" s="227"/>
      <c r="BE1193" s="227"/>
      <c r="BF1193" s="227"/>
    </row>
    <row r="1194">
      <c r="A1194" s="235" t="s">
        <v>9829</v>
      </c>
      <c r="C1194" s="235" t="s">
        <v>9830</v>
      </c>
      <c r="D1194" s="235" t="s">
        <v>9831</v>
      </c>
      <c r="E1194" s="243">
        <v>6.55E13</v>
      </c>
      <c r="F1194" s="245"/>
      <c r="G1194" s="235" t="s">
        <v>9832</v>
      </c>
      <c r="H1194" s="235" t="s">
        <v>9833</v>
      </c>
      <c r="I1194" s="235" t="s">
        <v>9833</v>
      </c>
      <c r="J1194" s="235" t="s">
        <v>9834</v>
      </c>
      <c r="K1194" s="235" t="s">
        <v>9835</v>
      </c>
      <c r="N1194" s="235" t="s">
        <v>42</v>
      </c>
      <c r="O1194" s="235" t="s">
        <v>204</v>
      </c>
      <c r="P1194" s="238">
        <v>1.0</v>
      </c>
      <c r="Q1194" s="235" t="s">
        <v>627</v>
      </c>
      <c r="R1194" s="238">
        <v>237.14</v>
      </c>
      <c r="S1194" s="238">
        <v>11.86</v>
      </c>
      <c r="T1194" s="238">
        <v>38.1</v>
      </c>
      <c r="U1194" s="238">
        <v>1.9</v>
      </c>
      <c r="V1194" s="238">
        <v>0.0</v>
      </c>
      <c r="W1194" s="238">
        <v>0.0</v>
      </c>
      <c r="X1194" s="235" t="s">
        <v>628</v>
      </c>
      <c r="Z1194" s="244"/>
      <c r="AA1194" s="244"/>
      <c r="AB1194" s="244"/>
      <c r="AC1194" s="235" t="s">
        <v>687</v>
      </c>
      <c r="AD1194" s="235" t="s">
        <v>666</v>
      </c>
      <c r="AE1194" s="238">
        <v>600107.0</v>
      </c>
      <c r="AF1194" s="235" t="s">
        <v>631</v>
      </c>
      <c r="AG1194" s="244"/>
      <c r="AH1194" s="244"/>
      <c r="AI1194" s="245"/>
      <c r="AJ1194" s="245"/>
      <c r="AK1194" s="245"/>
      <c r="AL1194" s="245"/>
      <c r="AM1194" s="244"/>
      <c r="AN1194" s="244"/>
      <c r="AO1194" s="238">
        <v>0.0</v>
      </c>
      <c r="AP1194" s="238">
        <v>-38.1</v>
      </c>
      <c r="AQ1194" s="235" t="s">
        <v>632</v>
      </c>
      <c r="AR1194" s="243">
        <v>3.71E11</v>
      </c>
      <c r="AS1194" s="235" t="s">
        <v>7365</v>
      </c>
      <c r="AT1194" s="235" t="s">
        <v>9</v>
      </c>
      <c r="AU1194" s="235" t="s">
        <v>634</v>
      </c>
      <c r="AV1194" s="246" t="s">
        <v>635</v>
      </c>
      <c r="AW1194" s="242"/>
      <c r="AX1194" s="242"/>
      <c r="AY1194" s="231"/>
      <c r="AZ1194" s="231"/>
      <c r="BA1194" s="227"/>
      <c r="BB1194" s="231"/>
      <c r="BC1194" s="227"/>
      <c r="BD1194" s="227"/>
      <c r="BE1194" s="227"/>
      <c r="BF1194" s="227"/>
    </row>
    <row r="1195">
      <c r="A1195" s="235" t="s">
        <v>9836</v>
      </c>
      <c r="C1195" s="235" t="s">
        <v>9837</v>
      </c>
      <c r="D1195" s="235" t="s">
        <v>9838</v>
      </c>
      <c r="E1195" s="243">
        <v>6.55E13</v>
      </c>
      <c r="F1195" s="245"/>
      <c r="G1195" s="235" t="s">
        <v>9839</v>
      </c>
      <c r="H1195" s="235" t="s">
        <v>9840</v>
      </c>
      <c r="I1195" s="235" t="s">
        <v>9841</v>
      </c>
      <c r="J1195" s="235" t="s">
        <v>9842</v>
      </c>
      <c r="K1195" s="235" t="s">
        <v>9843</v>
      </c>
      <c r="N1195" s="235" t="s">
        <v>1346</v>
      </c>
      <c r="O1195" s="235" t="s">
        <v>1347</v>
      </c>
      <c r="P1195" s="238">
        <v>1.0</v>
      </c>
      <c r="Q1195" s="235" t="s">
        <v>627</v>
      </c>
      <c r="R1195" s="238">
        <v>256.19</v>
      </c>
      <c r="S1195" s="238">
        <v>12.81</v>
      </c>
      <c r="T1195" s="238">
        <v>0.0</v>
      </c>
      <c r="U1195" s="238">
        <v>0.0</v>
      </c>
      <c r="V1195" s="238">
        <v>0.0</v>
      </c>
      <c r="W1195" s="238">
        <v>0.0</v>
      </c>
      <c r="X1195" s="235" t="s">
        <v>628</v>
      </c>
      <c r="Z1195" s="244"/>
      <c r="AA1195" s="244"/>
      <c r="AB1195" s="244"/>
      <c r="AC1195" s="235" t="s">
        <v>4845</v>
      </c>
      <c r="AD1195" s="235" t="s">
        <v>1086</v>
      </c>
      <c r="AE1195" s="238">
        <v>144001.0</v>
      </c>
      <c r="AF1195" s="235" t="s">
        <v>631</v>
      </c>
      <c r="AG1195" s="244"/>
      <c r="AH1195" s="244"/>
      <c r="AI1195" s="245"/>
      <c r="AJ1195" s="245"/>
      <c r="AK1195" s="245"/>
      <c r="AL1195" s="245"/>
      <c r="AM1195" s="244"/>
      <c r="AN1195" s="244"/>
      <c r="AO1195" s="238">
        <v>0.0</v>
      </c>
      <c r="AP1195" s="238">
        <v>0.0</v>
      </c>
      <c r="AQ1195" s="235" t="s">
        <v>632</v>
      </c>
      <c r="AR1195" s="243">
        <v>3.71E11</v>
      </c>
      <c r="AS1195" s="235" t="s">
        <v>2276</v>
      </c>
      <c r="AT1195" s="235" t="s">
        <v>156</v>
      </c>
      <c r="AU1195" s="235" t="s">
        <v>634</v>
      </c>
      <c r="AV1195" s="246" t="s">
        <v>635</v>
      </c>
      <c r="AW1195" s="242"/>
      <c r="AX1195" s="242"/>
      <c r="AY1195" s="231"/>
      <c r="AZ1195" s="231"/>
      <c r="BA1195" s="227"/>
      <c r="BB1195" s="231"/>
      <c r="BC1195" s="227"/>
      <c r="BD1195" s="227"/>
      <c r="BE1195" s="227"/>
      <c r="BF1195" s="227"/>
    </row>
    <row r="1196">
      <c r="A1196" s="235" t="s">
        <v>9844</v>
      </c>
      <c r="C1196" s="235" t="s">
        <v>9845</v>
      </c>
      <c r="D1196" s="235" t="s">
        <v>9846</v>
      </c>
      <c r="E1196" s="243">
        <v>6.55E13</v>
      </c>
      <c r="F1196" s="245"/>
      <c r="G1196" s="235" t="s">
        <v>9847</v>
      </c>
      <c r="H1196" s="235" t="s">
        <v>9848</v>
      </c>
      <c r="I1196" s="235" t="s">
        <v>9848</v>
      </c>
      <c r="J1196" s="235" t="s">
        <v>9849</v>
      </c>
      <c r="K1196" s="235" t="s">
        <v>9850</v>
      </c>
      <c r="N1196" s="235" t="s">
        <v>2163</v>
      </c>
      <c r="O1196" s="235" t="s">
        <v>2164</v>
      </c>
      <c r="P1196" s="238">
        <v>1.0</v>
      </c>
      <c r="Q1196" s="235" t="s">
        <v>627</v>
      </c>
      <c r="R1196" s="238">
        <v>246.67</v>
      </c>
      <c r="S1196" s="238">
        <v>12.33</v>
      </c>
      <c r="T1196" s="238">
        <v>0.0</v>
      </c>
      <c r="U1196" s="238">
        <v>0.0</v>
      </c>
      <c r="V1196" s="238">
        <v>0.0</v>
      </c>
      <c r="W1196" s="238">
        <v>0.0</v>
      </c>
      <c r="X1196" s="235" t="s">
        <v>628</v>
      </c>
      <c r="Z1196" s="244"/>
      <c r="AA1196" s="244"/>
      <c r="AB1196" s="244"/>
      <c r="AC1196" s="235" t="s">
        <v>5260</v>
      </c>
      <c r="AD1196" s="235" t="s">
        <v>5260</v>
      </c>
      <c r="AE1196" s="238">
        <v>160011.0</v>
      </c>
      <c r="AF1196" s="235" t="s">
        <v>631</v>
      </c>
      <c r="AG1196" s="244"/>
      <c r="AH1196" s="244"/>
      <c r="AI1196" s="245"/>
      <c r="AJ1196" s="245"/>
      <c r="AK1196" s="245"/>
      <c r="AL1196" s="245"/>
      <c r="AM1196" s="244"/>
      <c r="AN1196" s="244"/>
      <c r="AO1196" s="238">
        <v>0.0</v>
      </c>
      <c r="AP1196" s="238">
        <v>0.0</v>
      </c>
      <c r="AQ1196" s="235" t="s">
        <v>632</v>
      </c>
      <c r="AR1196" s="243">
        <v>3.71E11</v>
      </c>
      <c r="AS1196" s="235" t="s">
        <v>4697</v>
      </c>
      <c r="AT1196" s="235" t="s">
        <v>16</v>
      </c>
      <c r="AU1196" s="235" t="s">
        <v>634</v>
      </c>
      <c r="AV1196" s="246" t="s">
        <v>635</v>
      </c>
      <c r="AW1196" s="242"/>
      <c r="AX1196" s="242"/>
      <c r="AY1196" s="231"/>
      <c r="AZ1196" s="231"/>
      <c r="BA1196" s="227"/>
      <c r="BB1196" s="231"/>
      <c r="BC1196" s="227"/>
      <c r="BD1196" s="227"/>
      <c r="BE1196" s="227"/>
      <c r="BF1196" s="227"/>
    </row>
    <row r="1197">
      <c r="A1197" s="235" t="s">
        <v>9851</v>
      </c>
      <c r="C1197" s="235" t="s">
        <v>9852</v>
      </c>
      <c r="D1197" s="235" t="s">
        <v>9853</v>
      </c>
      <c r="E1197" s="243">
        <v>6.53E13</v>
      </c>
      <c r="F1197" s="245"/>
      <c r="G1197" s="235" t="s">
        <v>9854</v>
      </c>
      <c r="H1197" s="235" t="s">
        <v>9855</v>
      </c>
      <c r="I1197" s="235" t="s">
        <v>9855</v>
      </c>
      <c r="J1197" s="235" t="s">
        <v>9856</v>
      </c>
      <c r="K1197" s="235" t="s">
        <v>9857</v>
      </c>
      <c r="N1197" s="235" t="s">
        <v>143</v>
      </c>
      <c r="O1197" s="235" t="s">
        <v>220</v>
      </c>
      <c r="P1197" s="238">
        <v>1.0</v>
      </c>
      <c r="Q1197" s="235" t="s">
        <v>627</v>
      </c>
      <c r="R1197" s="238">
        <v>270.48</v>
      </c>
      <c r="S1197" s="238">
        <v>13.52</v>
      </c>
      <c r="T1197" s="238">
        <v>38.1</v>
      </c>
      <c r="U1197" s="238">
        <v>1.9</v>
      </c>
      <c r="V1197" s="238">
        <v>0.0</v>
      </c>
      <c r="W1197" s="238">
        <v>0.0</v>
      </c>
      <c r="X1197" s="235" t="s">
        <v>628</v>
      </c>
      <c r="Z1197" s="244"/>
      <c r="AA1197" s="244"/>
      <c r="AB1197" s="244"/>
      <c r="AC1197" s="235" t="s">
        <v>1961</v>
      </c>
      <c r="AD1197" s="235" t="s">
        <v>845</v>
      </c>
      <c r="AE1197" s="238">
        <v>411027.0</v>
      </c>
      <c r="AF1197" s="235" t="s">
        <v>631</v>
      </c>
      <c r="AG1197" s="244"/>
      <c r="AH1197" s="244"/>
      <c r="AI1197" s="245"/>
      <c r="AJ1197" s="245"/>
      <c r="AK1197" s="245"/>
      <c r="AL1197" s="245"/>
      <c r="AM1197" s="244"/>
      <c r="AN1197" s="244"/>
      <c r="AO1197" s="238">
        <v>0.0</v>
      </c>
      <c r="AP1197" s="238">
        <v>-38.1</v>
      </c>
      <c r="AQ1197" s="235" t="s">
        <v>632</v>
      </c>
      <c r="AR1197" s="243">
        <v>3.71E11</v>
      </c>
      <c r="AS1197" s="235" t="s">
        <v>7365</v>
      </c>
      <c r="AT1197" s="235" t="s">
        <v>16</v>
      </c>
      <c r="AU1197" s="235" t="s">
        <v>634</v>
      </c>
      <c r="AV1197" s="246" t="s">
        <v>635</v>
      </c>
      <c r="AW1197" s="242"/>
      <c r="AX1197" s="242"/>
      <c r="AY1197" s="231"/>
      <c r="AZ1197" s="231"/>
      <c r="BA1197" s="227"/>
      <c r="BB1197" s="231"/>
      <c r="BC1197" s="227"/>
      <c r="BD1197" s="227"/>
      <c r="BE1197" s="227"/>
      <c r="BF1197" s="227"/>
    </row>
    <row r="1198">
      <c r="A1198" s="235" t="s">
        <v>9858</v>
      </c>
      <c r="C1198" s="235" t="s">
        <v>9859</v>
      </c>
      <c r="D1198" s="235" t="s">
        <v>9860</v>
      </c>
      <c r="E1198" s="243">
        <v>6.55E13</v>
      </c>
      <c r="F1198" s="245"/>
      <c r="G1198" s="235" t="s">
        <v>9861</v>
      </c>
      <c r="H1198" s="235" t="s">
        <v>9862</v>
      </c>
      <c r="I1198" s="235" t="s">
        <v>9862</v>
      </c>
      <c r="J1198" s="235" t="s">
        <v>9863</v>
      </c>
      <c r="K1198" s="235" t="s">
        <v>9864</v>
      </c>
      <c r="N1198" s="235" t="s">
        <v>962</v>
      </c>
      <c r="O1198" s="235" t="s">
        <v>963</v>
      </c>
      <c r="P1198" s="238">
        <v>1.0</v>
      </c>
      <c r="Q1198" s="235" t="s">
        <v>627</v>
      </c>
      <c r="R1198" s="238">
        <v>246.67</v>
      </c>
      <c r="S1198" s="238">
        <v>12.33</v>
      </c>
      <c r="T1198" s="238">
        <v>0.0</v>
      </c>
      <c r="U1198" s="238">
        <v>0.0</v>
      </c>
      <c r="V1198" s="238">
        <v>0.0</v>
      </c>
      <c r="W1198" s="238">
        <v>0.0</v>
      </c>
      <c r="X1198" s="235" t="s">
        <v>628</v>
      </c>
      <c r="Z1198" s="244"/>
      <c r="AA1198" s="244"/>
      <c r="AB1198" s="244"/>
      <c r="AC1198" s="235" t="s">
        <v>9865</v>
      </c>
      <c r="AD1198" s="235" t="s">
        <v>709</v>
      </c>
      <c r="AE1198" s="238">
        <v>848131.0</v>
      </c>
      <c r="AF1198" s="235" t="s">
        <v>631</v>
      </c>
      <c r="AG1198" s="244"/>
      <c r="AH1198" s="244"/>
      <c r="AI1198" s="245"/>
      <c r="AJ1198" s="245"/>
      <c r="AK1198" s="245"/>
      <c r="AL1198" s="245"/>
      <c r="AM1198" s="244"/>
      <c r="AN1198" s="244"/>
      <c r="AO1198" s="238">
        <v>0.0</v>
      </c>
      <c r="AP1198" s="238">
        <v>0.0</v>
      </c>
      <c r="AQ1198" s="235" t="s">
        <v>632</v>
      </c>
      <c r="AR1198" s="243">
        <v>3.71E11</v>
      </c>
      <c r="AS1198" s="235" t="s">
        <v>4697</v>
      </c>
      <c r="AT1198" s="235" t="s">
        <v>14</v>
      </c>
      <c r="AU1198" s="235" t="s">
        <v>634</v>
      </c>
      <c r="AV1198" s="246" t="s">
        <v>635</v>
      </c>
      <c r="AW1198" s="242"/>
      <c r="AX1198" s="242"/>
      <c r="AY1198" s="231"/>
      <c r="AZ1198" s="231"/>
      <c r="BA1198" s="227"/>
      <c r="BB1198" s="231"/>
      <c r="BC1198" s="227"/>
      <c r="BD1198" s="227"/>
      <c r="BE1198" s="227"/>
      <c r="BF1198" s="227"/>
    </row>
    <row r="1199">
      <c r="A1199" s="235" t="s">
        <v>9866</v>
      </c>
      <c r="C1199" s="235" t="s">
        <v>9867</v>
      </c>
      <c r="D1199" s="235" t="s">
        <v>9868</v>
      </c>
      <c r="E1199" s="243">
        <v>6.55E13</v>
      </c>
      <c r="F1199" s="245"/>
      <c r="G1199" s="235" t="s">
        <v>9869</v>
      </c>
      <c r="H1199" s="235" t="s">
        <v>9870</v>
      </c>
      <c r="I1199" s="235" t="s">
        <v>9870</v>
      </c>
      <c r="J1199" s="235" t="s">
        <v>9871</v>
      </c>
      <c r="K1199" s="235" t="s">
        <v>9872</v>
      </c>
      <c r="N1199" s="235" t="s">
        <v>962</v>
      </c>
      <c r="O1199" s="235" t="s">
        <v>963</v>
      </c>
      <c r="P1199" s="238">
        <v>1.0</v>
      </c>
      <c r="Q1199" s="235" t="s">
        <v>627</v>
      </c>
      <c r="R1199" s="238">
        <v>246.67</v>
      </c>
      <c r="S1199" s="238">
        <v>12.33</v>
      </c>
      <c r="T1199" s="238">
        <v>0.0</v>
      </c>
      <c r="U1199" s="238">
        <v>0.0</v>
      </c>
      <c r="V1199" s="238">
        <v>0.0</v>
      </c>
      <c r="W1199" s="238">
        <v>0.0</v>
      </c>
      <c r="X1199" s="235" t="s">
        <v>628</v>
      </c>
      <c r="Z1199" s="244"/>
      <c r="AA1199" s="244"/>
      <c r="AB1199" s="244"/>
      <c r="AC1199" s="235" t="s">
        <v>1887</v>
      </c>
      <c r="AD1199" s="235" t="s">
        <v>679</v>
      </c>
      <c r="AE1199" s="238">
        <v>560032.0</v>
      </c>
      <c r="AF1199" s="235" t="s">
        <v>631</v>
      </c>
      <c r="AG1199" s="244"/>
      <c r="AH1199" s="244"/>
      <c r="AI1199" s="245"/>
      <c r="AJ1199" s="245"/>
      <c r="AK1199" s="245"/>
      <c r="AL1199" s="245"/>
      <c r="AM1199" s="244"/>
      <c r="AN1199" s="244"/>
      <c r="AO1199" s="238">
        <v>0.0</v>
      </c>
      <c r="AP1199" s="238">
        <v>0.0</v>
      </c>
      <c r="AQ1199" s="235" t="s">
        <v>632</v>
      </c>
      <c r="AR1199" s="243">
        <v>2.02E11</v>
      </c>
      <c r="AS1199" s="235" t="s">
        <v>8807</v>
      </c>
      <c r="AT1199" s="235" t="s">
        <v>14</v>
      </c>
      <c r="AU1199" s="235" t="s">
        <v>634</v>
      </c>
      <c r="AV1199" s="246" t="s">
        <v>635</v>
      </c>
      <c r="AW1199" s="242"/>
      <c r="AX1199" s="242"/>
      <c r="AY1199" s="231"/>
      <c r="AZ1199" s="231"/>
      <c r="BA1199" s="227"/>
      <c r="BB1199" s="231"/>
      <c r="BC1199" s="227"/>
      <c r="BD1199" s="227"/>
      <c r="BE1199" s="227"/>
      <c r="BF1199" s="227"/>
    </row>
    <row r="1200">
      <c r="A1200" s="235" t="s">
        <v>9873</v>
      </c>
      <c r="C1200" s="235" t="s">
        <v>9874</v>
      </c>
      <c r="D1200" s="235" t="s">
        <v>9875</v>
      </c>
      <c r="E1200" s="243">
        <v>6.55E13</v>
      </c>
      <c r="F1200" s="245"/>
      <c r="G1200" s="235" t="s">
        <v>9876</v>
      </c>
      <c r="H1200" s="235" t="s">
        <v>9877</v>
      </c>
      <c r="I1200" s="235" t="s">
        <v>9877</v>
      </c>
      <c r="J1200" s="235" t="s">
        <v>9878</v>
      </c>
      <c r="K1200" s="235" t="s">
        <v>9879</v>
      </c>
      <c r="N1200" s="235" t="s">
        <v>68</v>
      </c>
      <c r="O1200" s="235" t="s">
        <v>208</v>
      </c>
      <c r="P1200" s="238">
        <v>1.0</v>
      </c>
      <c r="Q1200" s="235" t="s">
        <v>627</v>
      </c>
      <c r="R1200" s="238">
        <v>246.67</v>
      </c>
      <c r="S1200" s="238">
        <v>12.33</v>
      </c>
      <c r="T1200" s="238">
        <v>0.0</v>
      </c>
      <c r="U1200" s="238">
        <v>0.0</v>
      </c>
      <c r="V1200" s="238">
        <v>0.0</v>
      </c>
      <c r="W1200" s="238">
        <v>0.0</v>
      </c>
      <c r="X1200" s="235" t="s">
        <v>628</v>
      </c>
      <c r="Z1200" s="244"/>
      <c r="AA1200" s="244"/>
      <c r="AB1200" s="244"/>
      <c r="AC1200" s="235" t="s">
        <v>9880</v>
      </c>
      <c r="AD1200" s="235" t="s">
        <v>630</v>
      </c>
      <c r="AE1200" s="238">
        <v>281121.0</v>
      </c>
      <c r="AF1200" s="235" t="s">
        <v>631</v>
      </c>
      <c r="AG1200" s="244"/>
      <c r="AH1200" s="244"/>
      <c r="AI1200" s="245"/>
      <c r="AJ1200" s="245"/>
      <c r="AK1200" s="245"/>
      <c r="AL1200" s="245"/>
      <c r="AM1200" s="244"/>
      <c r="AN1200" s="244"/>
      <c r="AO1200" s="238">
        <v>0.0</v>
      </c>
      <c r="AP1200" s="238">
        <v>0.0</v>
      </c>
      <c r="AQ1200" s="235" t="s">
        <v>632</v>
      </c>
      <c r="AR1200" s="243">
        <v>1.68E11</v>
      </c>
      <c r="AS1200" s="235" t="s">
        <v>8807</v>
      </c>
      <c r="AT1200" s="235" t="s">
        <v>14</v>
      </c>
      <c r="AU1200" s="235" t="s">
        <v>634</v>
      </c>
      <c r="AV1200" s="246" t="s">
        <v>635</v>
      </c>
      <c r="AW1200" s="242"/>
      <c r="AX1200" s="242"/>
      <c r="AY1200" s="231"/>
      <c r="AZ1200" s="231"/>
      <c r="BA1200" s="227"/>
      <c r="BB1200" s="231"/>
      <c r="BC1200" s="227"/>
      <c r="BD1200" s="227"/>
      <c r="BE1200" s="227"/>
      <c r="BF1200" s="227"/>
    </row>
    <row r="1201">
      <c r="A1201" s="235" t="s">
        <v>9881</v>
      </c>
      <c r="C1201" s="235" t="s">
        <v>9882</v>
      </c>
      <c r="D1201" s="235" t="s">
        <v>9883</v>
      </c>
      <c r="E1201" s="243">
        <v>6.55E13</v>
      </c>
      <c r="F1201" s="245"/>
      <c r="G1201" s="235" t="s">
        <v>9884</v>
      </c>
      <c r="H1201" s="235" t="s">
        <v>9885</v>
      </c>
      <c r="I1201" s="235" t="s">
        <v>9885</v>
      </c>
      <c r="J1201" s="235" t="s">
        <v>9886</v>
      </c>
      <c r="K1201" s="235" t="s">
        <v>9887</v>
      </c>
      <c r="N1201" s="235" t="s">
        <v>144</v>
      </c>
      <c r="O1201" s="235" t="s">
        <v>232</v>
      </c>
      <c r="P1201" s="238">
        <v>1.0</v>
      </c>
      <c r="Q1201" s="235" t="s">
        <v>627</v>
      </c>
      <c r="R1201" s="238">
        <v>665.72</v>
      </c>
      <c r="S1201" s="238">
        <v>33.28</v>
      </c>
      <c r="T1201" s="238">
        <v>0.0</v>
      </c>
      <c r="U1201" s="238">
        <v>0.0</v>
      </c>
      <c r="V1201" s="238">
        <v>0.0</v>
      </c>
      <c r="W1201" s="238">
        <v>0.0</v>
      </c>
      <c r="X1201" s="235" t="s">
        <v>628</v>
      </c>
      <c r="Z1201" s="244"/>
      <c r="AA1201" s="244"/>
      <c r="AB1201" s="244"/>
      <c r="AC1201" s="235" t="s">
        <v>678</v>
      </c>
      <c r="AD1201" s="235" t="s">
        <v>679</v>
      </c>
      <c r="AE1201" s="238">
        <v>560029.0</v>
      </c>
      <c r="AF1201" s="235" t="s">
        <v>631</v>
      </c>
      <c r="AG1201" s="244"/>
      <c r="AH1201" s="244"/>
      <c r="AI1201" s="245"/>
      <c r="AJ1201" s="245"/>
      <c r="AK1201" s="245"/>
      <c r="AL1201" s="245"/>
      <c r="AM1201" s="244"/>
      <c r="AN1201" s="244"/>
      <c r="AO1201" s="238">
        <v>0.0</v>
      </c>
      <c r="AP1201" s="238">
        <v>0.0</v>
      </c>
      <c r="AQ1201" s="235" t="s">
        <v>632</v>
      </c>
      <c r="AR1201" s="243">
        <v>1.68E11</v>
      </c>
      <c r="AS1201" s="235" t="s">
        <v>9184</v>
      </c>
      <c r="AT1201" s="235" t="s">
        <v>9</v>
      </c>
      <c r="AU1201" s="235" t="s">
        <v>634</v>
      </c>
      <c r="AV1201" s="246" t="s">
        <v>635</v>
      </c>
      <c r="AW1201" s="242"/>
      <c r="AX1201" s="242"/>
      <c r="AY1201" s="231"/>
      <c r="AZ1201" s="231"/>
      <c r="BA1201" s="227"/>
      <c r="BB1201" s="231"/>
      <c r="BC1201" s="227"/>
      <c r="BD1201" s="227"/>
      <c r="BE1201" s="227"/>
      <c r="BF1201" s="227"/>
    </row>
    <row r="1202">
      <c r="A1202" s="235" t="s">
        <v>9888</v>
      </c>
      <c r="C1202" s="235" t="s">
        <v>9889</v>
      </c>
      <c r="D1202" s="235" t="s">
        <v>9890</v>
      </c>
      <c r="E1202" s="243">
        <v>6.55E13</v>
      </c>
      <c r="F1202" s="245"/>
      <c r="G1202" s="235" t="s">
        <v>9891</v>
      </c>
      <c r="H1202" s="235" t="s">
        <v>9892</v>
      </c>
      <c r="I1202" s="235" t="s">
        <v>9892</v>
      </c>
      <c r="J1202" s="235" t="s">
        <v>9893</v>
      </c>
      <c r="K1202" s="235" t="s">
        <v>9894</v>
      </c>
      <c r="N1202" s="235" t="s">
        <v>144</v>
      </c>
      <c r="O1202" s="235" t="s">
        <v>232</v>
      </c>
      <c r="P1202" s="238">
        <v>1.0</v>
      </c>
      <c r="Q1202" s="235" t="s">
        <v>627</v>
      </c>
      <c r="R1202" s="238">
        <v>665.72</v>
      </c>
      <c r="S1202" s="238">
        <v>32.62</v>
      </c>
      <c r="T1202" s="238">
        <v>0.0</v>
      </c>
      <c r="U1202" s="238">
        <v>0.0</v>
      </c>
      <c r="V1202" s="238">
        <v>0.0</v>
      </c>
      <c r="W1202" s="238">
        <v>0.0</v>
      </c>
      <c r="X1202" s="235" t="s">
        <v>628</v>
      </c>
      <c r="Z1202" s="244"/>
      <c r="AA1202" s="244"/>
      <c r="AB1202" s="244"/>
      <c r="AC1202" s="235" t="s">
        <v>1792</v>
      </c>
      <c r="AD1202" s="235" t="s">
        <v>1077</v>
      </c>
      <c r="AE1202" s="238">
        <v>390022.0</v>
      </c>
      <c r="AF1202" s="235" t="s">
        <v>631</v>
      </c>
      <c r="AG1202" s="244"/>
      <c r="AH1202" s="244"/>
      <c r="AI1202" s="245"/>
      <c r="AJ1202" s="245"/>
      <c r="AK1202" s="245"/>
      <c r="AL1202" s="245"/>
      <c r="AM1202" s="244"/>
      <c r="AN1202" s="244"/>
      <c r="AO1202" s="238">
        <v>-13.32</v>
      </c>
      <c r="AP1202" s="238">
        <v>0.0</v>
      </c>
      <c r="AQ1202" s="235" t="s">
        <v>632</v>
      </c>
      <c r="AR1202" s="243">
        <v>3.71E11</v>
      </c>
      <c r="AS1202" s="235" t="s">
        <v>8807</v>
      </c>
      <c r="AT1202" s="235" t="s">
        <v>5</v>
      </c>
      <c r="AU1202" s="235" t="s">
        <v>634</v>
      </c>
      <c r="AV1202" s="246" t="s">
        <v>635</v>
      </c>
      <c r="AW1202" s="242"/>
      <c r="AX1202" s="242"/>
      <c r="AY1202" s="231"/>
      <c r="AZ1202" s="231"/>
      <c r="BA1202" s="227"/>
      <c r="BB1202" s="231"/>
      <c r="BC1202" s="227"/>
      <c r="BD1202" s="227"/>
      <c r="BE1202" s="227"/>
      <c r="BF1202" s="227"/>
    </row>
    <row r="1203">
      <c r="A1203" s="235" t="s">
        <v>9895</v>
      </c>
      <c r="C1203" s="235" t="s">
        <v>9896</v>
      </c>
      <c r="D1203" s="235" t="s">
        <v>9897</v>
      </c>
      <c r="E1203" s="243">
        <v>6.55E13</v>
      </c>
      <c r="F1203" s="245"/>
      <c r="G1203" s="235" t="s">
        <v>9898</v>
      </c>
      <c r="H1203" s="235" t="s">
        <v>9899</v>
      </c>
      <c r="I1203" s="235" t="s">
        <v>9900</v>
      </c>
      <c r="J1203" s="235" t="s">
        <v>9901</v>
      </c>
      <c r="K1203" s="235" t="s">
        <v>9902</v>
      </c>
      <c r="N1203" s="235" t="s">
        <v>47</v>
      </c>
      <c r="O1203" s="235" t="s">
        <v>270</v>
      </c>
      <c r="P1203" s="238">
        <v>1.0</v>
      </c>
      <c r="Q1203" s="235" t="s">
        <v>627</v>
      </c>
      <c r="R1203" s="238">
        <v>237.14</v>
      </c>
      <c r="S1203" s="238">
        <v>11.62</v>
      </c>
      <c r="T1203" s="238">
        <v>0.0</v>
      </c>
      <c r="U1203" s="238">
        <v>0.0</v>
      </c>
      <c r="V1203" s="238">
        <v>0.0</v>
      </c>
      <c r="W1203" s="238">
        <v>0.0</v>
      </c>
      <c r="X1203" s="235" t="s">
        <v>628</v>
      </c>
      <c r="Z1203" s="244"/>
      <c r="AA1203" s="244"/>
      <c r="AB1203" s="244"/>
      <c r="AC1203" s="235" t="s">
        <v>9903</v>
      </c>
      <c r="AD1203" s="235" t="s">
        <v>666</v>
      </c>
      <c r="AE1203" s="238">
        <v>642001.0</v>
      </c>
      <c r="AF1203" s="235" t="s">
        <v>631</v>
      </c>
      <c r="AG1203" s="244"/>
      <c r="AH1203" s="244"/>
      <c r="AI1203" s="245"/>
      <c r="AJ1203" s="245"/>
      <c r="AK1203" s="245"/>
      <c r="AL1203" s="245"/>
      <c r="AM1203" s="244"/>
      <c r="AN1203" s="244"/>
      <c r="AO1203" s="238">
        <v>-4.74</v>
      </c>
      <c r="AP1203" s="238">
        <v>0.0</v>
      </c>
      <c r="AQ1203" s="235" t="s">
        <v>632</v>
      </c>
      <c r="AR1203" s="243">
        <v>1.68E11</v>
      </c>
      <c r="AS1203" s="235" t="s">
        <v>8807</v>
      </c>
      <c r="AT1203" s="235" t="s">
        <v>9</v>
      </c>
      <c r="AU1203" s="235" t="s">
        <v>634</v>
      </c>
      <c r="AV1203" s="246" t="s">
        <v>635</v>
      </c>
      <c r="AW1203" s="242"/>
      <c r="AX1203" s="242"/>
      <c r="AY1203" s="231"/>
      <c r="AZ1203" s="231"/>
      <c r="BA1203" s="227"/>
      <c r="BB1203" s="231"/>
      <c r="BC1203" s="227"/>
      <c r="BD1203" s="227"/>
      <c r="BE1203" s="227"/>
      <c r="BF1203" s="227"/>
    </row>
    <row r="1204">
      <c r="A1204" s="235" t="s">
        <v>9904</v>
      </c>
      <c r="C1204" s="235" t="s">
        <v>9905</v>
      </c>
      <c r="D1204" s="235" t="s">
        <v>9906</v>
      </c>
      <c r="E1204" s="243">
        <v>6.55E13</v>
      </c>
      <c r="F1204" s="245"/>
      <c r="G1204" s="235" t="s">
        <v>9907</v>
      </c>
      <c r="H1204" s="235" t="s">
        <v>9908</v>
      </c>
      <c r="I1204" s="235" t="s">
        <v>9909</v>
      </c>
      <c r="J1204" s="235" t="s">
        <v>9910</v>
      </c>
      <c r="K1204" s="235" t="s">
        <v>9911</v>
      </c>
      <c r="N1204" s="235" t="s">
        <v>50</v>
      </c>
      <c r="O1204" s="235" t="s">
        <v>367</v>
      </c>
      <c r="P1204" s="238">
        <v>1.0</v>
      </c>
      <c r="Q1204" s="235" t="s">
        <v>627</v>
      </c>
      <c r="R1204" s="238">
        <v>237.14</v>
      </c>
      <c r="S1204" s="238">
        <v>11.86</v>
      </c>
      <c r="T1204" s="238">
        <v>18.1</v>
      </c>
      <c r="U1204" s="238">
        <v>0.9</v>
      </c>
      <c r="V1204" s="238">
        <v>0.0</v>
      </c>
      <c r="W1204" s="238">
        <v>0.0</v>
      </c>
      <c r="X1204" s="235" t="s">
        <v>628</v>
      </c>
      <c r="Z1204" s="244"/>
      <c r="AA1204" s="244"/>
      <c r="AB1204" s="244"/>
      <c r="AC1204" s="235" t="s">
        <v>775</v>
      </c>
      <c r="AD1204" s="235" t="s">
        <v>679</v>
      </c>
      <c r="AE1204" s="238">
        <v>560037.0</v>
      </c>
      <c r="AF1204" s="235" t="s">
        <v>631</v>
      </c>
      <c r="AG1204" s="244"/>
      <c r="AH1204" s="244"/>
      <c r="AI1204" s="245"/>
      <c r="AJ1204" s="245"/>
      <c r="AK1204" s="245"/>
      <c r="AL1204" s="245"/>
      <c r="AM1204" s="244"/>
      <c r="AN1204" s="244"/>
      <c r="AO1204" s="238">
        <v>0.0</v>
      </c>
      <c r="AP1204" s="238">
        <v>-18.1</v>
      </c>
      <c r="AQ1204" s="235" t="s">
        <v>632</v>
      </c>
      <c r="AR1204" s="243">
        <v>1.68E11</v>
      </c>
      <c r="AS1204" s="235" t="s">
        <v>9184</v>
      </c>
      <c r="AT1204" s="235" t="s">
        <v>9</v>
      </c>
      <c r="AU1204" s="235" t="s">
        <v>634</v>
      </c>
      <c r="AV1204" s="246" t="s">
        <v>635</v>
      </c>
      <c r="AW1204" s="242"/>
      <c r="AX1204" s="242"/>
      <c r="AY1204" s="231"/>
      <c r="AZ1204" s="231"/>
      <c r="BA1204" s="227"/>
      <c r="BB1204" s="231"/>
      <c r="BC1204" s="227"/>
      <c r="BD1204" s="227"/>
      <c r="BE1204" s="227"/>
      <c r="BF1204" s="227"/>
    </row>
    <row r="1205">
      <c r="A1205" s="235" t="s">
        <v>9912</v>
      </c>
      <c r="C1205" s="235" t="s">
        <v>9913</v>
      </c>
      <c r="D1205" s="235" t="s">
        <v>9914</v>
      </c>
      <c r="E1205" s="243">
        <v>6.55E13</v>
      </c>
      <c r="F1205" s="245"/>
      <c r="G1205" s="235" t="s">
        <v>9915</v>
      </c>
      <c r="H1205" s="235" t="s">
        <v>9916</v>
      </c>
      <c r="I1205" s="235" t="s">
        <v>9916</v>
      </c>
      <c r="J1205" s="235" t="s">
        <v>9917</v>
      </c>
      <c r="K1205" s="235" t="s">
        <v>9918</v>
      </c>
      <c r="N1205" s="235" t="s">
        <v>144</v>
      </c>
      <c r="O1205" s="235" t="s">
        <v>232</v>
      </c>
      <c r="P1205" s="238">
        <v>1.0</v>
      </c>
      <c r="Q1205" s="235" t="s">
        <v>627</v>
      </c>
      <c r="R1205" s="238">
        <v>665.72</v>
      </c>
      <c r="S1205" s="238">
        <v>33.28</v>
      </c>
      <c r="T1205" s="238">
        <v>6.04</v>
      </c>
      <c r="U1205" s="238">
        <v>0.3</v>
      </c>
      <c r="V1205" s="238">
        <v>0.0</v>
      </c>
      <c r="W1205" s="238">
        <v>0.0</v>
      </c>
      <c r="X1205" s="235" t="s">
        <v>628</v>
      </c>
      <c r="Z1205" s="244"/>
      <c r="AA1205" s="244"/>
      <c r="AB1205" s="244"/>
      <c r="AC1205" s="235" t="s">
        <v>1255</v>
      </c>
      <c r="AD1205" s="235" t="s">
        <v>845</v>
      </c>
      <c r="AE1205" s="238">
        <v>400601.0</v>
      </c>
      <c r="AF1205" s="235" t="s">
        <v>631</v>
      </c>
      <c r="AG1205" s="244"/>
      <c r="AH1205" s="244"/>
      <c r="AI1205" s="245"/>
      <c r="AJ1205" s="245"/>
      <c r="AK1205" s="245"/>
      <c r="AL1205" s="245"/>
      <c r="AM1205" s="244"/>
      <c r="AN1205" s="244"/>
      <c r="AO1205" s="238">
        <v>0.0</v>
      </c>
      <c r="AP1205" s="238">
        <v>-6.04</v>
      </c>
      <c r="AQ1205" s="235" t="s">
        <v>632</v>
      </c>
      <c r="AR1205" s="243">
        <v>1.68E11</v>
      </c>
      <c r="AS1205" s="235" t="s">
        <v>9184</v>
      </c>
      <c r="AT1205" s="235" t="s">
        <v>16</v>
      </c>
      <c r="AU1205" s="235" t="s">
        <v>634</v>
      </c>
      <c r="AV1205" s="246" t="s">
        <v>635</v>
      </c>
      <c r="AW1205" s="242"/>
      <c r="AX1205" s="242"/>
      <c r="AY1205" s="231"/>
      <c r="AZ1205" s="231"/>
      <c r="BA1205" s="227"/>
      <c r="BB1205" s="231"/>
      <c r="BC1205" s="227"/>
      <c r="BD1205" s="227"/>
      <c r="BE1205" s="227"/>
      <c r="BF1205" s="227"/>
    </row>
    <row r="1206">
      <c r="A1206" s="235" t="s">
        <v>9919</v>
      </c>
      <c r="C1206" s="235" t="s">
        <v>9920</v>
      </c>
      <c r="D1206" s="235" t="s">
        <v>9921</v>
      </c>
      <c r="E1206" s="243">
        <v>6.55E13</v>
      </c>
      <c r="F1206" s="245"/>
      <c r="G1206" s="235" t="s">
        <v>9922</v>
      </c>
      <c r="H1206" s="235" t="s">
        <v>9923</v>
      </c>
      <c r="I1206" s="235" t="s">
        <v>9924</v>
      </c>
      <c r="J1206" s="235" t="s">
        <v>9925</v>
      </c>
      <c r="K1206" s="235" t="s">
        <v>9926</v>
      </c>
      <c r="N1206" s="235" t="s">
        <v>127</v>
      </c>
      <c r="O1206" s="235" t="s">
        <v>794</v>
      </c>
      <c r="P1206" s="238">
        <v>1.0</v>
      </c>
      <c r="Q1206" s="235" t="s">
        <v>627</v>
      </c>
      <c r="R1206" s="238">
        <v>246.66</v>
      </c>
      <c r="S1206" s="238">
        <v>12.34</v>
      </c>
      <c r="T1206" s="238">
        <v>0.0</v>
      </c>
      <c r="U1206" s="238">
        <v>0.0</v>
      </c>
      <c r="V1206" s="238">
        <v>0.0</v>
      </c>
      <c r="W1206" s="238">
        <v>0.0</v>
      </c>
      <c r="X1206" s="235" t="s">
        <v>628</v>
      </c>
      <c r="Z1206" s="244"/>
      <c r="AA1206" s="244"/>
      <c r="AB1206" s="244"/>
      <c r="AC1206" s="235" t="s">
        <v>9927</v>
      </c>
      <c r="AD1206" s="235" t="s">
        <v>845</v>
      </c>
      <c r="AE1206" s="238">
        <v>422009.0</v>
      </c>
      <c r="AF1206" s="235" t="s">
        <v>631</v>
      </c>
      <c r="AG1206" s="244"/>
      <c r="AH1206" s="244"/>
      <c r="AI1206" s="245"/>
      <c r="AJ1206" s="245"/>
      <c r="AK1206" s="245"/>
      <c r="AL1206" s="245"/>
      <c r="AM1206" s="244"/>
      <c r="AN1206" s="244"/>
      <c r="AO1206" s="238">
        <v>0.0</v>
      </c>
      <c r="AP1206" s="238">
        <v>0.0</v>
      </c>
      <c r="AQ1206" s="235" t="s">
        <v>632</v>
      </c>
      <c r="AR1206" s="243">
        <v>3.71E11</v>
      </c>
      <c r="AS1206" s="235" t="s">
        <v>8807</v>
      </c>
      <c r="AT1206" s="235" t="s">
        <v>17</v>
      </c>
      <c r="AU1206" s="235" t="s">
        <v>634</v>
      </c>
      <c r="AV1206" s="246" t="s">
        <v>635</v>
      </c>
      <c r="AW1206" s="242"/>
      <c r="AX1206" s="242"/>
      <c r="AY1206" s="231"/>
      <c r="AZ1206" s="231"/>
      <c r="BA1206" s="227"/>
      <c r="BB1206" s="231"/>
      <c r="BC1206" s="227"/>
      <c r="BD1206" s="227"/>
      <c r="BE1206" s="227"/>
      <c r="BF1206" s="227"/>
    </row>
    <row r="1207">
      <c r="A1207" s="235" t="s">
        <v>9928</v>
      </c>
      <c r="C1207" s="235" t="s">
        <v>9929</v>
      </c>
      <c r="D1207" s="235" t="s">
        <v>9930</v>
      </c>
      <c r="E1207" s="243">
        <v>6.55E13</v>
      </c>
      <c r="F1207" s="245"/>
      <c r="G1207" s="235" t="s">
        <v>9931</v>
      </c>
      <c r="H1207" s="235" t="s">
        <v>9932</v>
      </c>
      <c r="I1207" s="235" t="s">
        <v>9933</v>
      </c>
      <c r="J1207" s="235" t="s">
        <v>9934</v>
      </c>
      <c r="K1207" s="235" t="s">
        <v>9935</v>
      </c>
      <c r="N1207" s="235" t="s">
        <v>2163</v>
      </c>
      <c r="O1207" s="235" t="s">
        <v>2164</v>
      </c>
      <c r="P1207" s="238">
        <v>1.0</v>
      </c>
      <c r="Q1207" s="235" t="s">
        <v>627</v>
      </c>
      <c r="R1207" s="238">
        <v>246.67</v>
      </c>
      <c r="S1207" s="238">
        <v>12.33</v>
      </c>
      <c r="T1207" s="238">
        <v>0.0</v>
      </c>
      <c r="U1207" s="238">
        <v>0.0</v>
      </c>
      <c r="V1207" s="238">
        <v>0.0</v>
      </c>
      <c r="W1207" s="238">
        <v>0.0</v>
      </c>
      <c r="X1207" s="235" t="s">
        <v>628</v>
      </c>
      <c r="Z1207" s="244"/>
      <c r="AA1207" s="244"/>
      <c r="AB1207" s="244"/>
      <c r="AC1207" s="235" t="s">
        <v>822</v>
      </c>
      <c r="AD1207" s="235" t="s">
        <v>630</v>
      </c>
      <c r="AE1207" s="238">
        <v>201304.0</v>
      </c>
      <c r="AF1207" s="235" t="s">
        <v>631</v>
      </c>
      <c r="AG1207" s="244"/>
      <c r="AH1207" s="244"/>
      <c r="AI1207" s="245"/>
      <c r="AJ1207" s="245"/>
      <c r="AK1207" s="245"/>
      <c r="AL1207" s="245"/>
      <c r="AM1207" s="244"/>
      <c r="AN1207" s="244"/>
      <c r="AO1207" s="238">
        <v>0.0</v>
      </c>
      <c r="AP1207" s="238">
        <v>0.0</v>
      </c>
      <c r="AQ1207" s="235" t="s">
        <v>632</v>
      </c>
      <c r="AR1207" s="243">
        <v>2.02E11</v>
      </c>
      <c r="AS1207" s="235" t="s">
        <v>8807</v>
      </c>
      <c r="AT1207" s="235" t="s">
        <v>17</v>
      </c>
      <c r="AU1207" s="235" t="s">
        <v>634</v>
      </c>
      <c r="AV1207" s="246" t="s">
        <v>635</v>
      </c>
      <c r="AW1207" s="242"/>
      <c r="AX1207" s="242"/>
      <c r="AY1207" s="231"/>
      <c r="AZ1207" s="231"/>
      <c r="BA1207" s="227"/>
      <c r="BB1207" s="231"/>
      <c r="BC1207" s="227"/>
      <c r="BD1207" s="227"/>
      <c r="BE1207" s="227"/>
      <c r="BF1207" s="227"/>
    </row>
    <row r="1208">
      <c r="A1208" s="235" t="s">
        <v>9936</v>
      </c>
      <c r="C1208" s="235" t="s">
        <v>9937</v>
      </c>
      <c r="D1208" s="235" t="s">
        <v>9938</v>
      </c>
      <c r="E1208" s="243">
        <v>6.55E13</v>
      </c>
      <c r="F1208" s="245"/>
      <c r="G1208" s="235" t="s">
        <v>9939</v>
      </c>
      <c r="H1208" s="235" t="s">
        <v>9940</v>
      </c>
      <c r="I1208" s="235" t="s">
        <v>9940</v>
      </c>
      <c r="J1208" s="235" t="s">
        <v>9941</v>
      </c>
      <c r="K1208" s="235" t="s">
        <v>9942</v>
      </c>
      <c r="N1208" s="235" t="s">
        <v>42</v>
      </c>
      <c r="O1208" s="235" t="s">
        <v>204</v>
      </c>
      <c r="P1208" s="238">
        <v>1.0</v>
      </c>
      <c r="Q1208" s="235" t="s">
        <v>627</v>
      </c>
      <c r="R1208" s="238">
        <v>236.19</v>
      </c>
      <c r="S1208" s="238">
        <v>11.81</v>
      </c>
      <c r="T1208" s="238">
        <v>0.0</v>
      </c>
      <c r="U1208" s="238">
        <v>0.0</v>
      </c>
      <c r="V1208" s="238">
        <v>0.0</v>
      </c>
      <c r="W1208" s="238">
        <v>0.0</v>
      </c>
      <c r="X1208" s="235" t="s">
        <v>628</v>
      </c>
      <c r="Z1208" s="244"/>
      <c r="AA1208" s="244"/>
      <c r="AB1208" s="244"/>
      <c r="AC1208" s="235" t="s">
        <v>1920</v>
      </c>
      <c r="AD1208" s="235" t="s">
        <v>833</v>
      </c>
      <c r="AE1208" s="238">
        <v>522235.0</v>
      </c>
      <c r="AF1208" s="235" t="s">
        <v>631</v>
      </c>
      <c r="AG1208" s="244"/>
      <c r="AH1208" s="244"/>
      <c r="AI1208" s="245"/>
      <c r="AJ1208" s="245"/>
      <c r="AK1208" s="245"/>
      <c r="AL1208" s="245"/>
      <c r="AM1208" s="244"/>
      <c r="AN1208" s="244"/>
      <c r="AO1208" s="238">
        <v>0.0</v>
      </c>
      <c r="AP1208" s="238">
        <v>0.0</v>
      </c>
      <c r="AQ1208" s="235" t="s">
        <v>632</v>
      </c>
      <c r="AR1208" s="243">
        <v>3.71E11</v>
      </c>
      <c r="AS1208" s="235" t="s">
        <v>7365</v>
      </c>
      <c r="AT1208" s="235" t="s">
        <v>156</v>
      </c>
      <c r="AU1208" s="235" t="s">
        <v>634</v>
      </c>
      <c r="AV1208" s="246" t="s">
        <v>635</v>
      </c>
      <c r="AW1208" s="242"/>
      <c r="AX1208" s="242"/>
      <c r="AY1208" s="231"/>
      <c r="AZ1208" s="231"/>
      <c r="BA1208" s="227"/>
      <c r="BB1208" s="231"/>
      <c r="BC1208" s="227"/>
      <c r="BD1208" s="227"/>
      <c r="BE1208" s="227"/>
      <c r="BF1208" s="227"/>
    </row>
    <row r="1209">
      <c r="A1209" s="235" t="s">
        <v>9943</v>
      </c>
      <c r="C1209" s="235" t="s">
        <v>9944</v>
      </c>
      <c r="D1209" s="235" t="s">
        <v>9945</v>
      </c>
      <c r="E1209" s="243">
        <v>6.55E13</v>
      </c>
      <c r="F1209" s="245"/>
      <c r="G1209" s="235" t="s">
        <v>9946</v>
      </c>
      <c r="H1209" s="235" t="s">
        <v>9947</v>
      </c>
      <c r="I1209" s="235" t="s">
        <v>9947</v>
      </c>
      <c r="J1209" s="235" t="s">
        <v>9948</v>
      </c>
      <c r="K1209" s="235" t="s">
        <v>9949</v>
      </c>
      <c r="N1209" s="235" t="s">
        <v>53</v>
      </c>
      <c r="O1209" s="235" t="s">
        <v>512</v>
      </c>
      <c r="P1209" s="238">
        <v>1.0</v>
      </c>
      <c r="Q1209" s="235" t="s">
        <v>627</v>
      </c>
      <c r="R1209" s="238">
        <v>237.14</v>
      </c>
      <c r="S1209" s="238">
        <v>11.86</v>
      </c>
      <c r="T1209" s="238">
        <v>0.0</v>
      </c>
      <c r="U1209" s="238">
        <v>0.0</v>
      </c>
      <c r="V1209" s="238">
        <v>0.0</v>
      </c>
      <c r="W1209" s="238">
        <v>0.0</v>
      </c>
      <c r="X1209" s="235" t="s">
        <v>628</v>
      </c>
      <c r="Z1209" s="244"/>
      <c r="AA1209" s="244"/>
      <c r="AB1209" s="244"/>
      <c r="AC1209" s="235" t="s">
        <v>1920</v>
      </c>
      <c r="AD1209" s="235" t="s">
        <v>833</v>
      </c>
      <c r="AE1209" s="238">
        <v>522007.0</v>
      </c>
      <c r="AF1209" s="235" t="s">
        <v>631</v>
      </c>
      <c r="AG1209" s="244"/>
      <c r="AH1209" s="244"/>
      <c r="AI1209" s="245"/>
      <c r="AJ1209" s="245"/>
      <c r="AK1209" s="245"/>
      <c r="AL1209" s="245"/>
      <c r="AM1209" s="244"/>
      <c r="AN1209" s="244"/>
      <c r="AO1209" s="238">
        <v>0.0</v>
      </c>
      <c r="AP1209" s="238">
        <v>0.0</v>
      </c>
      <c r="AQ1209" s="235" t="s">
        <v>632</v>
      </c>
      <c r="AR1209" s="243">
        <v>1.68E11</v>
      </c>
      <c r="AS1209" s="235" t="s">
        <v>8807</v>
      </c>
      <c r="AT1209" s="235" t="s">
        <v>156</v>
      </c>
      <c r="AU1209" s="235" t="s">
        <v>634</v>
      </c>
      <c r="AV1209" s="246" t="s">
        <v>635</v>
      </c>
      <c r="AW1209" s="242"/>
      <c r="AX1209" s="242"/>
      <c r="AY1209" s="231"/>
      <c r="AZ1209" s="231"/>
      <c r="BA1209" s="227"/>
      <c r="BB1209" s="231"/>
      <c r="BC1209" s="227"/>
      <c r="BD1209" s="227"/>
      <c r="BE1209" s="227"/>
      <c r="BF1209" s="227"/>
    </row>
    <row r="1210">
      <c r="A1210" s="235" t="s">
        <v>9950</v>
      </c>
      <c r="C1210" s="235" t="s">
        <v>9951</v>
      </c>
      <c r="D1210" s="235" t="s">
        <v>9952</v>
      </c>
      <c r="E1210" s="243">
        <v>6.55E13</v>
      </c>
      <c r="F1210" s="245"/>
      <c r="G1210" s="235" t="s">
        <v>9953</v>
      </c>
      <c r="H1210" s="235" t="s">
        <v>9954</v>
      </c>
      <c r="I1210" s="235" t="s">
        <v>9954</v>
      </c>
      <c r="J1210" s="235" t="s">
        <v>9955</v>
      </c>
      <c r="K1210" s="235" t="s">
        <v>9956</v>
      </c>
      <c r="N1210" s="235" t="s">
        <v>92</v>
      </c>
      <c r="O1210" s="235" t="s">
        <v>248</v>
      </c>
      <c r="P1210" s="238">
        <v>1.0</v>
      </c>
      <c r="Q1210" s="235" t="s">
        <v>627</v>
      </c>
      <c r="R1210" s="238">
        <v>246.66</v>
      </c>
      <c r="S1210" s="238">
        <v>12.34</v>
      </c>
      <c r="T1210" s="238">
        <v>18.1</v>
      </c>
      <c r="U1210" s="238">
        <v>0.9</v>
      </c>
      <c r="V1210" s="238">
        <v>0.0</v>
      </c>
      <c r="W1210" s="238">
        <v>0.0</v>
      </c>
      <c r="X1210" s="235" t="s">
        <v>628</v>
      </c>
      <c r="Z1210" s="244"/>
      <c r="AA1210" s="244"/>
      <c r="AB1210" s="244"/>
      <c r="AC1210" s="235" t="s">
        <v>678</v>
      </c>
      <c r="AD1210" s="235" t="s">
        <v>679</v>
      </c>
      <c r="AE1210" s="238">
        <v>560060.0</v>
      </c>
      <c r="AF1210" s="235" t="s">
        <v>631</v>
      </c>
      <c r="AG1210" s="244"/>
      <c r="AH1210" s="244"/>
      <c r="AI1210" s="245"/>
      <c r="AJ1210" s="245"/>
      <c r="AK1210" s="245"/>
      <c r="AL1210" s="245"/>
      <c r="AM1210" s="244"/>
      <c r="AN1210" s="244"/>
      <c r="AO1210" s="238">
        <v>0.0</v>
      </c>
      <c r="AP1210" s="238">
        <v>-18.1</v>
      </c>
      <c r="AQ1210" s="235" t="s">
        <v>632</v>
      </c>
      <c r="AR1210" s="243">
        <v>1.68E11</v>
      </c>
      <c r="AS1210" s="235" t="s">
        <v>9184</v>
      </c>
      <c r="AT1210" s="235" t="s">
        <v>9</v>
      </c>
      <c r="AU1210" s="235" t="s">
        <v>634</v>
      </c>
      <c r="AV1210" s="246" t="s">
        <v>635</v>
      </c>
      <c r="AW1210" s="242"/>
      <c r="AX1210" s="242"/>
      <c r="AY1210" s="231"/>
      <c r="AZ1210" s="231"/>
      <c r="BA1210" s="227"/>
      <c r="BB1210" s="231"/>
      <c r="BC1210" s="227"/>
      <c r="BD1210" s="227"/>
      <c r="BE1210" s="227"/>
      <c r="BF1210" s="227"/>
    </row>
    <row r="1211">
      <c r="A1211" s="235" t="s">
        <v>9957</v>
      </c>
      <c r="C1211" s="235" t="s">
        <v>9958</v>
      </c>
      <c r="D1211" s="235" t="s">
        <v>9959</v>
      </c>
      <c r="E1211" s="243">
        <v>6.55E13</v>
      </c>
      <c r="F1211" s="245"/>
      <c r="G1211" s="235" t="s">
        <v>9960</v>
      </c>
      <c r="H1211" s="235" t="s">
        <v>9961</v>
      </c>
      <c r="I1211" s="235" t="s">
        <v>9961</v>
      </c>
      <c r="J1211" s="235" t="s">
        <v>9962</v>
      </c>
      <c r="K1211" s="235" t="s">
        <v>9963</v>
      </c>
      <c r="N1211" s="235" t="s">
        <v>120</v>
      </c>
      <c r="O1211" s="235" t="s">
        <v>324</v>
      </c>
      <c r="P1211" s="238">
        <v>1.0</v>
      </c>
      <c r="Q1211" s="235" t="s">
        <v>627</v>
      </c>
      <c r="R1211" s="238">
        <v>246.66</v>
      </c>
      <c r="S1211" s="238">
        <v>12.34</v>
      </c>
      <c r="T1211" s="238">
        <v>38.1</v>
      </c>
      <c r="U1211" s="238">
        <v>1.9</v>
      </c>
      <c r="V1211" s="238">
        <v>0.0</v>
      </c>
      <c r="W1211" s="238">
        <v>0.0</v>
      </c>
      <c r="X1211" s="235" t="s">
        <v>628</v>
      </c>
      <c r="Z1211" s="244"/>
      <c r="AA1211" s="244"/>
      <c r="AB1211" s="244"/>
      <c r="AC1211" s="235" t="s">
        <v>1514</v>
      </c>
      <c r="AD1211" s="235" t="s">
        <v>1077</v>
      </c>
      <c r="AE1211" s="238">
        <v>380007.0</v>
      </c>
      <c r="AF1211" s="235" t="s">
        <v>631</v>
      </c>
      <c r="AG1211" s="244"/>
      <c r="AH1211" s="244"/>
      <c r="AI1211" s="245"/>
      <c r="AJ1211" s="245"/>
      <c r="AK1211" s="245"/>
      <c r="AL1211" s="245"/>
      <c r="AM1211" s="244"/>
      <c r="AN1211" s="244"/>
      <c r="AO1211" s="238">
        <v>0.0</v>
      </c>
      <c r="AP1211" s="238">
        <v>-38.1</v>
      </c>
      <c r="AQ1211" s="235" t="s">
        <v>632</v>
      </c>
      <c r="AR1211" s="243">
        <v>3.71E11</v>
      </c>
      <c r="AS1211" s="235" t="s">
        <v>8807</v>
      </c>
      <c r="AT1211" s="235" t="s">
        <v>5</v>
      </c>
      <c r="AU1211" s="235" t="s">
        <v>634</v>
      </c>
      <c r="AV1211" s="246" t="s">
        <v>635</v>
      </c>
      <c r="AW1211" s="242"/>
      <c r="AX1211" s="242"/>
      <c r="AY1211" s="231"/>
      <c r="AZ1211" s="231"/>
      <c r="BA1211" s="227"/>
      <c r="BB1211" s="231"/>
      <c r="BC1211" s="227"/>
      <c r="BD1211" s="227"/>
      <c r="BE1211" s="227"/>
      <c r="BF1211" s="227"/>
    </row>
    <row r="1212">
      <c r="A1212" s="235" t="s">
        <v>9964</v>
      </c>
      <c r="C1212" s="235" t="s">
        <v>9965</v>
      </c>
      <c r="D1212" s="235" t="s">
        <v>9966</v>
      </c>
      <c r="E1212" s="243">
        <v>6.55E13</v>
      </c>
      <c r="F1212" s="245"/>
      <c r="G1212" s="235" t="s">
        <v>9967</v>
      </c>
      <c r="H1212" s="235" t="s">
        <v>9968</v>
      </c>
      <c r="I1212" s="235" t="s">
        <v>9968</v>
      </c>
      <c r="J1212" s="235" t="s">
        <v>9969</v>
      </c>
      <c r="K1212" s="235" t="s">
        <v>9970</v>
      </c>
      <c r="N1212" s="235" t="s">
        <v>75</v>
      </c>
      <c r="O1212" s="235" t="s">
        <v>2108</v>
      </c>
      <c r="P1212" s="238">
        <v>1.0</v>
      </c>
      <c r="Q1212" s="235" t="s">
        <v>627</v>
      </c>
      <c r="R1212" s="238">
        <v>360.95</v>
      </c>
      <c r="S1212" s="238">
        <v>18.05</v>
      </c>
      <c r="T1212" s="238">
        <v>75.24</v>
      </c>
      <c r="U1212" s="238">
        <v>3.76</v>
      </c>
      <c r="V1212" s="238">
        <v>0.0</v>
      </c>
      <c r="W1212" s="238">
        <v>0.0</v>
      </c>
      <c r="X1212" s="235" t="s">
        <v>628</v>
      </c>
      <c r="Z1212" s="244"/>
      <c r="AA1212" s="244"/>
      <c r="AB1212" s="244"/>
      <c r="AC1212" s="235" t="s">
        <v>9971</v>
      </c>
      <c r="AD1212" s="235" t="s">
        <v>645</v>
      </c>
      <c r="AE1212" s="238">
        <v>686001.0</v>
      </c>
      <c r="AF1212" s="235" t="s">
        <v>631</v>
      </c>
      <c r="AG1212" s="244"/>
      <c r="AH1212" s="244"/>
      <c r="AI1212" s="245"/>
      <c r="AJ1212" s="245"/>
      <c r="AK1212" s="245"/>
      <c r="AL1212" s="245"/>
      <c r="AM1212" s="244"/>
      <c r="AN1212" s="244"/>
      <c r="AO1212" s="238">
        <v>0.0</v>
      </c>
      <c r="AP1212" s="238">
        <v>-75.24</v>
      </c>
      <c r="AQ1212" s="235" t="s">
        <v>632</v>
      </c>
      <c r="AR1212" s="243">
        <v>3.71E11</v>
      </c>
      <c r="AS1212" s="235" t="s">
        <v>8807</v>
      </c>
      <c r="AT1212" s="235" t="s">
        <v>155</v>
      </c>
      <c r="AU1212" s="235" t="s">
        <v>634</v>
      </c>
      <c r="AV1212" s="246" t="s">
        <v>635</v>
      </c>
      <c r="AW1212" s="242"/>
      <c r="AX1212" s="242"/>
      <c r="AY1212" s="231"/>
      <c r="AZ1212" s="231"/>
      <c r="BA1212" s="227"/>
      <c r="BB1212" s="231"/>
      <c r="BC1212" s="227"/>
      <c r="BD1212" s="227"/>
      <c r="BE1212" s="227"/>
      <c r="BF1212" s="227"/>
    </row>
    <row r="1213">
      <c r="A1213" s="235" t="s">
        <v>9972</v>
      </c>
      <c r="C1213" s="235" t="s">
        <v>9973</v>
      </c>
      <c r="D1213" s="235" t="s">
        <v>9974</v>
      </c>
      <c r="E1213" s="243">
        <v>6.55E13</v>
      </c>
      <c r="F1213" s="245"/>
      <c r="G1213" s="235" t="s">
        <v>9975</v>
      </c>
      <c r="H1213" s="235" t="s">
        <v>9976</v>
      </c>
      <c r="I1213" s="235" t="s">
        <v>9976</v>
      </c>
      <c r="J1213" s="235" t="s">
        <v>9977</v>
      </c>
      <c r="K1213" s="235" t="s">
        <v>9978</v>
      </c>
      <c r="N1213" s="235" t="s">
        <v>130</v>
      </c>
      <c r="O1213" s="235" t="s">
        <v>707</v>
      </c>
      <c r="P1213" s="238">
        <v>1.0</v>
      </c>
      <c r="Q1213" s="235" t="s">
        <v>627</v>
      </c>
      <c r="R1213" s="238">
        <v>246.66</v>
      </c>
      <c r="S1213" s="238">
        <v>12.34</v>
      </c>
      <c r="T1213" s="238">
        <v>0.0</v>
      </c>
      <c r="U1213" s="238">
        <v>0.0</v>
      </c>
      <c r="V1213" s="238">
        <v>0.0</v>
      </c>
      <c r="W1213" s="238">
        <v>0.0</v>
      </c>
      <c r="X1213" s="235" t="s">
        <v>628</v>
      </c>
      <c r="Z1213" s="244"/>
      <c r="AA1213" s="244"/>
      <c r="AB1213" s="244"/>
      <c r="AC1213" s="235" t="s">
        <v>1998</v>
      </c>
      <c r="AD1213" s="235" t="s">
        <v>928</v>
      </c>
      <c r="AE1213" s="238">
        <v>121002.0</v>
      </c>
      <c r="AF1213" s="235" t="s">
        <v>631</v>
      </c>
      <c r="AG1213" s="244"/>
      <c r="AH1213" s="244"/>
      <c r="AI1213" s="245"/>
      <c r="AJ1213" s="245"/>
      <c r="AK1213" s="245"/>
      <c r="AL1213" s="245"/>
      <c r="AM1213" s="244"/>
      <c r="AN1213" s="244"/>
      <c r="AO1213" s="238">
        <v>0.0</v>
      </c>
      <c r="AP1213" s="238">
        <v>0.0</v>
      </c>
      <c r="AQ1213" s="235" t="s">
        <v>632</v>
      </c>
      <c r="AR1213" s="243">
        <v>1.68E11</v>
      </c>
      <c r="AS1213" s="235" t="s">
        <v>9184</v>
      </c>
      <c r="AT1213" s="235" t="s">
        <v>13</v>
      </c>
      <c r="AU1213" s="235" t="s">
        <v>634</v>
      </c>
      <c r="AV1213" s="246" t="s">
        <v>635</v>
      </c>
      <c r="AW1213" s="242"/>
      <c r="AX1213" s="242"/>
      <c r="AY1213" s="231"/>
      <c r="AZ1213" s="231"/>
      <c r="BA1213" s="227"/>
      <c r="BB1213" s="231"/>
      <c r="BC1213" s="227"/>
      <c r="BD1213" s="227"/>
      <c r="BE1213" s="227"/>
      <c r="BF1213" s="227"/>
    </row>
    <row r="1214">
      <c r="A1214" s="235" t="s">
        <v>9979</v>
      </c>
      <c r="C1214" s="235" t="s">
        <v>9980</v>
      </c>
      <c r="D1214" s="235" t="s">
        <v>9981</v>
      </c>
      <c r="E1214" s="243">
        <v>6.55E13</v>
      </c>
      <c r="F1214" s="245"/>
      <c r="G1214" s="235" t="s">
        <v>9982</v>
      </c>
      <c r="H1214" s="235" t="s">
        <v>9983</v>
      </c>
      <c r="I1214" s="235" t="s">
        <v>9984</v>
      </c>
      <c r="J1214" s="235" t="s">
        <v>9985</v>
      </c>
      <c r="K1214" s="235" t="s">
        <v>9986</v>
      </c>
      <c r="N1214" s="235" t="s">
        <v>29</v>
      </c>
      <c r="O1214" s="235" t="s">
        <v>677</v>
      </c>
      <c r="P1214" s="238">
        <v>1.0</v>
      </c>
      <c r="Q1214" s="235" t="s">
        <v>627</v>
      </c>
      <c r="R1214" s="238">
        <v>446.67</v>
      </c>
      <c r="S1214" s="238">
        <v>21.88</v>
      </c>
      <c r="T1214" s="238">
        <v>0.0</v>
      </c>
      <c r="U1214" s="238">
        <v>0.0</v>
      </c>
      <c r="V1214" s="238">
        <v>0.0</v>
      </c>
      <c r="W1214" s="238">
        <v>0.0</v>
      </c>
      <c r="X1214" s="235" t="s">
        <v>628</v>
      </c>
      <c r="Z1214" s="244"/>
      <c r="AA1214" s="244"/>
      <c r="AB1214" s="244"/>
      <c r="AC1214" s="235" t="s">
        <v>1887</v>
      </c>
      <c r="AD1214" s="235" t="s">
        <v>679</v>
      </c>
      <c r="AE1214" s="238">
        <v>560084.0</v>
      </c>
      <c r="AF1214" s="235" t="s">
        <v>631</v>
      </c>
      <c r="AG1214" s="244"/>
      <c r="AH1214" s="244"/>
      <c r="AI1214" s="245"/>
      <c r="AJ1214" s="245"/>
      <c r="AK1214" s="245"/>
      <c r="AL1214" s="245"/>
      <c r="AM1214" s="244"/>
      <c r="AN1214" s="244"/>
      <c r="AO1214" s="238">
        <v>-8.93</v>
      </c>
      <c r="AP1214" s="238">
        <v>0.0</v>
      </c>
      <c r="AQ1214" s="235" t="s">
        <v>632</v>
      </c>
      <c r="AR1214" s="243">
        <v>2.02E11</v>
      </c>
      <c r="AS1214" s="235" t="s">
        <v>8807</v>
      </c>
      <c r="AT1214" s="235" t="s">
        <v>16</v>
      </c>
      <c r="AU1214" s="235" t="s">
        <v>634</v>
      </c>
      <c r="AV1214" s="246" t="s">
        <v>635</v>
      </c>
      <c r="AW1214" s="242"/>
      <c r="AX1214" s="242"/>
      <c r="AY1214" s="231"/>
      <c r="AZ1214" s="231"/>
      <c r="BA1214" s="227"/>
      <c r="BB1214" s="231"/>
      <c r="BC1214" s="227"/>
      <c r="BD1214" s="227"/>
      <c r="BE1214" s="227"/>
      <c r="BF1214" s="227"/>
    </row>
    <row r="1215">
      <c r="A1215" s="235" t="s">
        <v>9987</v>
      </c>
      <c r="C1215" s="235" t="s">
        <v>9988</v>
      </c>
      <c r="D1215" s="235" t="s">
        <v>9989</v>
      </c>
      <c r="E1215" s="243">
        <v>6.55E13</v>
      </c>
      <c r="F1215" s="245"/>
      <c r="G1215" s="235" t="s">
        <v>9990</v>
      </c>
      <c r="H1215" s="235" t="s">
        <v>9991</v>
      </c>
      <c r="I1215" s="235" t="s">
        <v>9991</v>
      </c>
      <c r="J1215" s="235" t="s">
        <v>9992</v>
      </c>
      <c r="K1215" s="235" t="s">
        <v>9993</v>
      </c>
      <c r="N1215" s="235" t="s">
        <v>141</v>
      </c>
      <c r="O1215" s="235" t="s">
        <v>342</v>
      </c>
      <c r="P1215" s="238">
        <v>1.0</v>
      </c>
      <c r="Q1215" s="235" t="s">
        <v>627</v>
      </c>
      <c r="R1215" s="238">
        <v>0.0</v>
      </c>
      <c r="S1215" s="238">
        <v>0.0</v>
      </c>
      <c r="T1215" s="238">
        <v>0.0</v>
      </c>
      <c r="U1215" s="238">
        <v>0.0</v>
      </c>
      <c r="V1215" s="238">
        <v>0.0</v>
      </c>
      <c r="W1215" s="238">
        <v>0.0</v>
      </c>
      <c r="X1215" s="235" t="s">
        <v>628</v>
      </c>
      <c r="Z1215" s="244"/>
      <c r="AA1215" s="244"/>
      <c r="AB1215" s="244"/>
      <c r="AC1215" s="235" t="s">
        <v>1095</v>
      </c>
      <c r="AD1215" s="235" t="s">
        <v>845</v>
      </c>
      <c r="AE1215" s="238">
        <v>400703.0</v>
      </c>
      <c r="AF1215" s="235" t="s">
        <v>631</v>
      </c>
      <c r="AG1215" s="244"/>
      <c r="AH1215" s="244"/>
      <c r="AI1215" s="245"/>
      <c r="AJ1215" s="245"/>
      <c r="AK1215" s="245"/>
      <c r="AL1215" s="245"/>
      <c r="AM1215" s="244"/>
      <c r="AN1215" s="244"/>
      <c r="AO1215" s="238">
        <v>0.0</v>
      </c>
      <c r="AP1215" s="238">
        <v>0.0</v>
      </c>
      <c r="AQ1215" s="235" t="s">
        <v>632</v>
      </c>
      <c r="AR1215" s="243">
        <v>3.71E11</v>
      </c>
      <c r="AS1215" s="235" t="s">
        <v>8807</v>
      </c>
      <c r="AT1215" s="235" t="s">
        <v>16</v>
      </c>
      <c r="AU1215" s="235" t="s">
        <v>634</v>
      </c>
      <c r="AV1215" s="246" t="s">
        <v>635</v>
      </c>
      <c r="AW1215" s="242"/>
      <c r="AX1215" s="242"/>
      <c r="AY1215" s="231"/>
      <c r="AZ1215" s="231"/>
      <c r="BA1215" s="227"/>
      <c r="BB1215" s="231"/>
      <c r="BC1215" s="227"/>
      <c r="BD1215" s="227"/>
      <c r="BE1215" s="227"/>
      <c r="BF1215" s="227"/>
    </row>
    <row r="1216">
      <c r="A1216" s="235" t="s">
        <v>9994</v>
      </c>
      <c r="C1216" s="235" t="s">
        <v>9995</v>
      </c>
      <c r="D1216" s="235" t="s">
        <v>9996</v>
      </c>
      <c r="E1216" s="243">
        <v>6.55E13</v>
      </c>
      <c r="F1216" s="245"/>
      <c r="G1216" s="235" t="s">
        <v>9997</v>
      </c>
      <c r="H1216" s="235" t="s">
        <v>9998</v>
      </c>
      <c r="I1216" s="235" t="s">
        <v>9998</v>
      </c>
      <c r="J1216" s="235" t="s">
        <v>9999</v>
      </c>
      <c r="K1216" s="235" t="s">
        <v>10000</v>
      </c>
      <c r="N1216" s="235" t="s">
        <v>1148</v>
      </c>
      <c r="O1216" s="235" t="s">
        <v>1149</v>
      </c>
      <c r="P1216" s="238">
        <v>1.0</v>
      </c>
      <c r="Q1216" s="235" t="s">
        <v>627</v>
      </c>
      <c r="R1216" s="238">
        <v>846.61</v>
      </c>
      <c r="S1216" s="238">
        <v>149.34</v>
      </c>
      <c r="T1216" s="238">
        <v>0.0</v>
      </c>
      <c r="U1216" s="238">
        <v>0.0</v>
      </c>
      <c r="V1216" s="238">
        <v>0.0</v>
      </c>
      <c r="W1216" s="238">
        <v>0.0</v>
      </c>
      <c r="X1216" s="235" t="s">
        <v>628</v>
      </c>
      <c r="Z1216" s="244"/>
      <c r="AA1216" s="244"/>
      <c r="AB1216" s="244"/>
      <c r="AC1216" s="235" t="s">
        <v>795</v>
      </c>
      <c r="AD1216" s="235" t="s">
        <v>796</v>
      </c>
      <c r="AE1216" s="238">
        <v>110051.0</v>
      </c>
      <c r="AF1216" s="235" t="s">
        <v>631</v>
      </c>
      <c r="AG1216" s="244"/>
      <c r="AH1216" s="244"/>
      <c r="AI1216" s="245"/>
      <c r="AJ1216" s="245"/>
      <c r="AK1216" s="245"/>
      <c r="AL1216" s="245"/>
      <c r="AM1216" s="244"/>
      <c r="AN1216" s="244"/>
      <c r="AO1216" s="238">
        <v>-16.93</v>
      </c>
      <c r="AP1216" s="238">
        <v>0.0</v>
      </c>
      <c r="AQ1216" s="235" t="s">
        <v>632</v>
      </c>
      <c r="AR1216" s="243">
        <v>1.68E11</v>
      </c>
      <c r="AS1216" s="235" t="s">
        <v>9184</v>
      </c>
      <c r="AT1216" s="235" t="s">
        <v>14</v>
      </c>
      <c r="AU1216" s="235" t="s">
        <v>634</v>
      </c>
      <c r="AV1216" s="246" t="s">
        <v>635</v>
      </c>
      <c r="AW1216" s="242"/>
      <c r="AX1216" s="242"/>
      <c r="AY1216" s="231"/>
      <c r="AZ1216" s="231"/>
      <c r="BA1216" s="227"/>
      <c r="BB1216" s="231"/>
      <c r="BC1216" s="227"/>
      <c r="BD1216" s="227"/>
      <c r="BE1216" s="227"/>
      <c r="BF1216" s="227"/>
    </row>
    <row r="1217">
      <c r="A1217" s="235" t="s">
        <v>10001</v>
      </c>
      <c r="C1217" s="235" t="s">
        <v>10002</v>
      </c>
      <c r="D1217" s="235" t="s">
        <v>10003</v>
      </c>
      <c r="E1217" s="243">
        <v>6.55E13</v>
      </c>
      <c r="F1217" s="245"/>
      <c r="G1217" s="235" t="s">
        <v>10004</v>
      </c>
      <c r="H1217" s="235" t="s">
        <v>10005</v>
      </c>
      <c r="I1217" s="235" t="s">
        <v>10006</v>
      </c>
      <c r="J1217" s="235" t="s">
        <v>10007</v>
      </c>
      <c r="K1217" s="235" t="s">
        <v>10008</v>
      </c>
      <c r="N1217" s="235" t="s">
        <v>42</v>
      </c>
      <c r="O1217" s="235" t="s">
        <v>204</v>
      </c>
      <c r="P1217" s="238">
        <v>1.0</v>
      </c>
      <c r="Q1217" s="235" t="s">
        <v>627</v>
      </c>
      <c r="R1217" s="238">
        <v>237.14</v>
      </c>
      <c r="S1217" s="238">
        <v>11.62</v>
      </c>
      <c r="T1217" s="238">
        <v>0.0</v>
      </c>
      <c r="U1217" s="238">
        <v>0.0</v>
      </c>
      <c r="V1217" s="238">
        <v>0.0</v>
      </c>
      <c r="W1217" s="238">
        <v>0.0</v>
      </c>
      <c r="X1217" s="235" t="s">
        <v>628</v>
      </c>
      <c r="Z1217" s="244"/>
      <c r="AA1217" s="244"/>
      <c r="AB1217" s="244"/>
      <c r="AC1217" s="235" t="s">
        <v>10009</v>
      </c>
      <c r="AD1217" s="235" t="s">
        <v>666</v>
      </c>
      <c r="AE1217" s="238">
        <v>628502.0</v>
      </c>
      <c r="AF1217" s="235" t="s">
        <v>631</v>
      </c>
      <c r="AG1217" s="244"/>
      <c r="AH1217" s="244"/>
      <c r="AI1217" s="245"/>
      <c r="AJ1217" s="245"/>
      <c r="AK1217" s="245"/>
      <c r="AL1217" s="245"/>
      <c r="AM1217" s="244"/>
      <c r="AN1217" s="244"/>
      <c r="AO1217" s="238">
        <v>-4.74</v>
      </c>
      <c r="AP1217" s="238">
        <v>0.0</v>
      </c>
      <c r="AQ1217" s="235" t="s">
        <v>632</v>
      </c>
      <c r="AR1217" s="243">
        <v>3.71E11</v>
      </c>
      <c r="AS1217" s="235" t="s">
        <v>8807</v>
      </c>
      <c r="AT1217" s="235" t="s">
        <v>155</v>
      </c>
      <c r="AU1217" s="235" t="s">
        <v>634</v>
      </c>
      <c r="AV1217" s="246" t="s">
        <v>635</v>
      </c>
      <c r="AW1217" s="242"/>
      <c r="AX1217" s="242"/>
      <c r="AY1217" s="231"/>
      <c r="AZ1217" s="231"/>
      <c r="BA1217" s="227"/>
      <c r="BB1217" s="231"/>
      <c r="BC1217" s="227"/>
      <c r="BD1217" s="227"/>
      <c r="BE1217" s="227"/>
      <c r="BF1217" s="227"/>
    </row>
    <row r="1218">
      <c r="A1218" s="235" t="s">
        <v>10010</v>
      </c>
      <c r="C1218" s="235" t="s">
        <v>10011</v>
      </c>
      <c r="D1218" s="235" t="s">
        <v>10012</v>
      </c>
      <c r="E1218" s="243">
        <v>6.55E13</v>
      </c>
      <c r="F1218" s="245"/>
      <c r="G1218" s="235" t="s">
        <v>10013</v>
      </c>
      <c r="H1218" s="235" t="s">
        <v>10014</v>
      </c>
      <c r="I1218" s="235" t="s">
        <v>10014</v>
      </c>
      <c r="J1218" s="235" t="s">
        <v>10015</v>
      </c>
      <c r="K1218" s="235" t="s">
        <v>10016</v>
      </c>
      <c r="N1218" s="235" t="s">
        <v>962</v>
      </c>
      <c r="O1218" s="235" t="s">
        <v>963</v>
      </c>
      <c r="P1218" s="238">
        <v>1.0</v>
      </c>
      <c r="Q1218" s="235" t="s">
        <v>627</v>
      </c>
      <c r="R1218" s="238">
        <v>246.66</v>
      </c>
      <c r="S1218" s="238">
        <v>12.34</v>
      </c>
      <c r="T1218" s="238">
        <v>0.0</v>
      </c>
      <c r="U1218" s="238">
        <v>0.0</v>
      </c>
      <c r="V1218" s="238">
        <v>0.0</v>
      </c>
      <c r="W1218" s="238">
        <v>0.0</v>
      </c>
      <c r="X1218" s="235" t="s">
        <v>628</v>
      </c>
      <c r="Z1218" s="244"/>
      <c r="AA1218" s="244"/>
      <c r="AB1218" s="244"/>
      <c r="AC1218" s="235" t="s">
        <v>1887</v>
      </c>
      <c r="AD1218" s="235" t="s">
        <v>679</v>
      </c>
      <c r="AE1218" s="238">
        <v>560066.0</v>
      </c>
      <c r="AF1218" s="235" t="s">
        <v>631</v>
      </c>
      <c r="AG1218" s="244"/>
      <c r="AH1218" s="244"/>
      <c r="AI1218" s="245"/>
      <c r="AJ1218" s="245"/>
      <c r="AK1218" s="245"/>
      <c r="AL1218" s="245"/>
      <c r="AM1218" s="244"/>
      <c r="AN1218" s="244"/>
      <c r="AO1218" s="238">
        <v>0.0</v>
      </c>
      <c r="AP1218" s="238">
        <v>0.0</v>
      </c>
      <c r="AQ1218" s="235" t="s">
        <v>632</v>
      </c>
      <c r="AR1218" s="243">
        <v>1.68E11</v>
      </c>
      <c r="AS1218" s="235" t="s">
        <v>10017</v>
      </c>
      <c r="AT1218" s="235" t="s">
        <v>11</v>
      </c>
      <c r="AU1218" s="235" t="s">
        <v>634</v>
      </c>
      <c r="AV1218" s="246" t="s">
        <v>635</v>
      </c>
      <c r="AW1218" s="242"/>
      <c r="AX1218" s="242"/>
      <c r="AY1218" s="231"/>
      <c r="AZ1218" s="231"/>
      <c r="BA1218" s="227"/>
      <c r="BB1218" s="231"/>
      <c r="BC1218" s="227"/>
      <c r="BD1218" s="227"/>
      <c r="BE1218" s="227"/>
      <c r="BF1218" s="227"/>
    </row>
    <row r="1219">
      <c r="A1219" s="235" t="s">
        <v>10018</v>
      </c>
      <c r="C1219" s="235" t="s">
        <v>10019</v>
      </c>
      <c r="D1219" s="235" t="s">
        <v>10020</v>
      </c>
      <c r="E1219" s="243">
        <v>6.55E13</v>
      </c>
      <c r="F1219" s="245"/>
      <c r="G1219" s="235" t="s">
        <v>10021</v>
      </c>
      <c r="H1219" s="235" t="s">
        <v>10022</v>
      </c>
      <c r="I1219" s="235" t="s">
        <v>10022</v>
      </c>
      <c r="J1219" s="235" t="s">
        <v>10023</v>
      </c>
      <c r="K1219" s="235" t="s">
        <v>4789</v>
      </c>
      <c r="N1219" s="235" t="s">
        <v>962</v>
      </c>
      <c r="O1219" s="235" t="s">
        <v>963</v>
      </c>
      <c r="P1219" s="238">
        <v>1.0</v>
      </c>
      <c r="Q1219" s="235" t="s">
        <v>627</v>
      </c>
      <c r="R1219" s="238">
        <v>246.67</v>
      </c>
      <c r="S1219" s="238">
        <v>12.33</v>
      </c>
      <c r="T1219" s="238">
        <v>0.0</v>
      </c>
      <c r="U1219" s="238">
        <v>0.0</v>
      </c>
      <c r="V1219" s="238">
        <v>0.0</v>
      </c>
      <c r="W1219" s="238">
        <v>0.0</v>
      </c>
      <c r="X1219" s="235" t="s">
        <v>628</v>
      </c>
      <c r="Z1219" s="244"/>
      <c r="AA1219" s="244"/>
      <c r="AB1219" s="244"/>
      <c r="AC1219" s="235" t="s">
        <v>4790</v>
      </c>
      <c r="AD1219" s="235" t="s">
        <v>1086</v>
      </c>
      <c r="AE1219" s="238">
        <v>151001.0</v>
      </c>
      <c r="AF1219" s="235" t="s">
        <v>631</v>
      </c>
      <c r="AG1219" s="244"/>
      <c r="AH1219" s="244"/>
      <c r="AI1219" s="245"/>
      <c r="AJ1219" s="245"/>
      <c r="AK1219" s="245"/>
      <c r="AL1219" s="245"/>
      <c r="AM1219" s="244"/>
      <c r="AN1219" s="244"/>
      <c r="AO1219" s="238">
        <v>0.0</v>
      </c>
      <c r="AP1219" s="238">
        <v>0.0</v>
      </c>
      <c r="AQ1219" s="235" t="s">
        <v>632</v>
      </c>
      <c r="AR1219" s="243">
        <v>1.68E11</v>
      </c>
      <c r="AS1219" s="235" t="s">
        <v>8807</v>
      </c>
      <c r="AT1219" s="235" t="s">
        <v>14</v>
      </c>
      <c r="AU1219" s="235" t="s">
        <v>634</v>
      </c>
      <c r="AV1219" s="246" t="s">
        <v>635</v>
      </c>
      <c r="AW1219" s="242"/>
      <c r="AX1219" s="242"/>
      <c r="AY1219" s="231"/>
      <c r="AZ1219" s="231"/>
      <c r="BA1219" s="227"/>
      <c r="BB1219" s="231"/>
      <c r="BC1219" s="227"/>
      <c r="BD1219" s="227"/>
      <c r="BE1219" s="227"/>
      <c r="BF1219" s="227"/>
    </row>
    <row r="1220">
      <c r="A1220" s="235" t="s">
        <v>10024</v>
      </c>
      <c r="C1220" s="235" t="s">
        <v>10025</v>
      </c>
      <c r="D1220" s="235" t="s">
        <v>10026</v>
      </c>
      <c r="E1220" s="243">
        <v>6.55E13</v>
      </c>
      <c r="F1220" s="245"/>
      <c r="G1220" s="235" t="s">
        <v>10027</v>
      </c>
      <c r="H1220" s="235" t="s">
        <v>10028</v>
      </c>
      <c r="I1220" s="235" t="s">
        <v>10028</v>
      </c>
      <c r="J1220" s="235" t="s">
        <v>10029</v>
      </c>
      <c r="K1220" s="235" t="s">
        <v>10030</v>
      </c>
      <c r="N1220" s="235" t="s">
        <v>43</v>
      </c>
      <c r="O1220" s="235" t="s">
        <v>276</v>
      </c>
      <c r="P1220" s="238">
        <v>1.0</v>
      </c>
      <c r="Q1220" s="235" t="s">
        <v>627</v>
      </c>
      <c r="R1220" s="238">
        <v>237.14</v>
      </c>
      <c r="S1220" s="238">
        <v>11.86</v>
      </c>
      <c r="T1220" s="238">
        <v>0.0</v>
      </c>
      <c r="U1220" s="238">
        <v>0.0</v>
      </c>
      <c r="V1220" s="238">
        <v>0.0</v>
      </c>
      <c r="W1220" s="238">
        <v>0.0</v>
      </c>
      <c r="X1220" s="235" t="s">
        <v>628</v>
      </c>
      <c r="Z1220" s="244"/>
      <c r="AA1220" s="244"/>
      <c r="AB1220" s="244"/>
      <c r="AC1220" s="235" t="s">
        <v>697</v>
      </c>
      <c r="AD1220" s="235" t="s">
        <v>698</v>
      </c>
      <c r="AE1220" s="238">
        <v>500090.0</v>
      </c>
      <c r="AF1220" s="235" t="s">
        <v>631</v>
      </c>
      <c r="AG1220" s="244"/>
      <c r="AH1220" s="244"/>
      <c r="AI1220" s="245"/>
      <c r="AJ1220" s="245"/>
      <c r="AK1220" s="245"/>
      <c r="AL1220" s="245"/>
      <c r="AM1220" s="244"/>
      <c r="AN1220" s="244"/>
      <c r="AO1220" s="238">
        <v>0.0</v>
      </c>
      <c r="AP1220" s="238">
        <v>0.0</v>
      </c>
      <c r="AQ1220" s="235" t="s">
        <v>632</v>
      </c>
      <c r="AR1220" s="243">
        <v>3.71E11</v>
      </c>
      <c r="AS1220" s="235" t="s">
        <v>7365</v>
      </c>
      <c r="AT1220" s="235" t="s">
        <v>17</v>
      </c>
      <c r="AU1220" s="235" t="s">
        <v>634</v>
      </c>
      <c r="AV1220" s="246" t="s">
        <v>635</v>
      </c>
      <c r="AW1220" s="242"/>
      <c r="AX1220" s="242"/>
      <c r="AY1220" s="231"/>
      <c r="AZ1220" s="231"/>
      <c r="BA1220" s="227"/>
      <c r="BB1220" s="231"/>
      <c r="BC1220" s="227"/>
      <c r="BD1220" s="227"/>
      <c r="BE1220" s="227"/>
      <c r="BF1220" s="227"/>
    </row>
    <row r="1221">
      <c r="A1221" s="235" t="s">
        <v>10031</v>
      </c>
      <c r="C1221" s="235" t="s">
        <v>10032</v>
      </c>
      <c r="D1221" s="235" t="s">
        <v>10033</v>
      </c>
      <c r="E1221" s="243">
        <v>6.55E13</v>
      </c>
      <c r="F1221" s="245"/>
      <c r="G1221" s="235" t="s">
        <v>10034</v>
      </c>
      <c r="H1221" s="235" t="s">
        <v>10035</v>
      </c>
      <c r="I1221" s="235" t="s">
        <v>10035</v>
      </c>
      <c r="J1221" s="235" t="s">
        <v>10036</v>
      </c>
      <c r="K1221" s="235" t="s">
        <v>10037</v>
      </c>
      <c r="N1221" s="235" t="s">
        <v>1346</v>
      </c>
      <c r="O1221" s="235" t="s">
        <v>1347</v>
      </c>
      <c r="P1221" s="238">
        <v>1.0</v>
      </c>
      <c r="Q1221" s="235" t="s">
        <v>627</v>
      </c>
      <c r="R1221" s="238">
        <v>252.38</v>
      </c>
      <c r="S1221" s="238">
        <v>12.62</v>
      </c>
      <c r="T1221" s="238">
        <v>0.0</v>
      </c>
      <c r="U1221" s="238">
        <v>0.0</v>
      </c>
      <c r="V1221" s="238">
        <v>0.0</v>
      </c>
      <c r="W1221" s="238">
        <v>0.0</v>
      </c>
      <c r="X1221" s="235" t="s">
        <v>628</v>
      </c>
      <c r="Z1221" s="244"/>
      <c r="AA1221" s="244"/>
      <c r="AB1221" s="244"/>
      <c r="AC1221" s="235" t="s">
        <v>1604</v>
      </c>
      <c r="AD1221" s="235" t="s">
        <v>845</v>
      </c>
      <c r="AE1221" s="238">
        <v>400050.0</v>
      </c>
      <c r="AF1221" s="235" t="s">
        <v>631</v>
      </c>
      <c r="AG1221" s="244"/>
      <c r="AH1221" s="244"/>
      <c r="AI1221" s="245"/>
      <c r="AJ1221" s="245"/>
      <c r="AK1221" s="245"/>
      <c r="AL1221" s="245"/>
      <c r="AM1221" s="244"/>
      <c r="AN1221" s="244"/>
      <c r="AO1221" s="238">
        <v>0.0</v>
      </c>
      <c r="AP1221" s="238">
        <v>0.0</v>
      </c>
      <c r="AQ1221" s="235" t="s">
        <v>632</v>
      </c>
      <c r="AR1221" s="243">
        <v>1.68E11</v>
      </c>
      <c r="AS1221" s="235" t="s">
        <v>7365</v>
      </c>
      <c r="AT1221" s="235" t="s">
        <v>9</v>
      </c>
      <c r="AU1221" s="235" t="s">
        <v>634</v>
      </c>
      <c r="AV1221" s="246" t="s">
        <v>635</v>
      </c>
      <c r="AW1221" s="242"/>
      <c r="AX1221" s="242"/>
      <c r="AY1221" s="231"/>
      <c r="AZ1221" s="231"/>
      <c r="BA1221" s="227"/>
      <c r="BB1221" s="231"/>
      <c r="BC1221" s="227"/>
      <c r="BD1221" s="227"/>
      <c r="BE1221" s="227"/>
      <c r="BF1221" s="227"/>
    </row>
    <row r="1222">
      <c r="A1222" s="235" t="s">
        <v>10038</v>
      </c>
      <c r="C1222" s="235" t="s">
        <v>10039</v>
      </c>
      <c r="D1222" s="235" t="s">
        <v>10040</v>
      </c>
      <c r="E1222" s="243">
        <v>6.55E13</v>
      </c>
      <c r="F1222" s="245"/>
      <c r="G1222" s="235" t="s">
        <v>10041</v>
      </c>
      <c r="H1222" s="235" t="s">
        <v>10042</v>
      </c>
      <c r="I1222" s="235" t="s">
        <v>10042</v>
      </c>
      <c r="J1222" s="235" t="s">
        <v>10043</v>
      </c>
      <c r="K1222" s="235" t="s">
        <v>10044</v>
      </c>
      <c r="N1222" s="235" t="s">
        <v>1346</v>
      </c>
      <c r="O1222" s="235" t="s">
        <v>1347</v>
      </c>
      <c r="P1222" s="238">
        <v>1.0</v>
      </c>
      <c r="Q1222" s="235" t="s">
        <v>627</v>
      </c>
      <c r="R1222" s="238">
        <v>256.19</v>
      </c>
      <c r="S1222" s="238">
        <v>12.81</v>
      </c>
      <c r="T1222" s="238">
        <v>0.0</v>
      </c>
      <c r="U1222" s="238">
        <v>0.0</v>
      </c>
      <c r="V1222" s="238">
        <v>0.0</v>
      </c>
      <c r="W1222" s="238">
        <v>0.0</v>
      </c>
      <c r="X1222" s="235" t="s">
        <v>628</v>
      </c>
      <c r="Z1222" s="244"/>
      <c r="AA1222" s="244"/>
      <c r="AB1222" s="244"/>
      <c r="AC1222" s="235" t="s">
        <v>1058</v>
      </c>
      <c r="AD1222" s="235" t="s">
        <v>845</v>
      </c>
      <c r="AE1222" s="238">
        <v>400064.0</v>
      </c>
      <c r="AF1222" s="235" t="s">
        <v>631</v>
      </c>
      <c r="AG1222" s="244"/>
      <c r="AH1222" s="244"/>
      <c r="AI1222" s="245"/>
      <c r="AJ1222" s="245"/>
      <c r="AK1222" s="245"/>
      <c r="AL1222" s="245"/>
      <c r="AM1222" s="244"/>
      <c r="AN1222" s="244"/>
      <c r="AO1222" s="238">
        <v>0.0</v>
      </c>
      <c r="AP1222" s="238">
        <v>0.0</v>
      </c>
      <c r="AQ1222" s="235" t="s">
        <v>632</v>
      </c>
      <c r="AR1222" s="243">
        <v>2.02E11</v>
      </c>
      <c r="AS1222" s="235" t="s">
        <v>8807</v>
      </c>
      <c r="AT1222" s="235" t="s">
        <v>11</v>
      </c>
      <c r="AU1222" s="235" t="s">
        <v>634</v>
      </c>
      <c r="AV1222" s="246" t="s">
        <v>635</v>
      </c>
      <c r="AW1222" s="242"/>
      <c r="AX1222" s="242"/>
      <c r="AY1222" s="231"/>
      <c r="AZ1222" s="231"/>
      <c r="BA1222" s="227"/>
      <c r="BB1222" s="231"/>
      <c r="BC1222" s="227"/>
      <c r="BD1222" s="227"/>
      <c r="BE1222" s="227"/>
      <c r="BF1222" s="227"/>
    </row>
    <row r="1223">
      <c r="A1223" s="235" t="s">
        <v>10045</v>
      </c>
      <c r="C1223" s="235" t="s">
        <v>10046</v>
      </c>
      <c r="D1223" s="235" t="s">
        <v>10047</v>
      </c>
      <c r="E1223" s="243">
        <v>6.55E13</v>
      </c>
      <c r="F1223" s="245"/>
      <c r="G1223" s="235" t="s">
        <v>10048</v>
      </c>
      <c r="H1223" s="235" t="s">
        <v>10049</v>
      </c>
      <c r="I1223" s="235" t="s">
        <v>10049</v>
      </c>
      <c r="J1223" s="235" t="s">
        <v>10050</v>
      </c>
      <c r="K1223" s="235" t="s">
        <v>10051</v>
      </c>
      <c r="N1223" s="235" t="s">
        <v>154</v>
      </c>
      <c r="O1223" s="235" t="s">
        <v>766</v>
      </c>
      <c r="P1223" s="238">
        <v>1.0</v>
      </c>
      <c r="Q1223" s="235" t="s">
        <v>627</v>
      </c>
      <c r="R1223" s="238">
        <v>465.72</v>
      </c>
      <c r="S1223" s="238">
        <v>23.28</v>
      </c>
      <c r="T1223" s="238">
        <v>0.0</v>
      </c>
      <c r="U1223" s="238">
        <v>0.0</v>
      </c>
      <c r="V1223" s="238">
        <v>0.0</v>
      </c>
      <c r="W1223" s="238">
        <v>0.0</v>
      </c>
      <c r="X1223" s="235" t="s">
        <v>628</v>
      </c>
      <c r="Z1223" s="244"/>
      <c r="AA1223" s="244"/>
      <c r="AB1223" s="244"/>
      <c r="AC1223" s="235" t="s">
        <v>844</v>
      </c>
      <c r="AD1223" s="235" t="s">
        <v>845</v>
      </c>
      <c r="AE1223" s="238">
        <v>411052.0</v>
      </c>
      <c r="AF1223" s="235" t="s">
        <v>631</v>
      </c>
      <c r="AG1223" s="244"/>
      <c r="AH1223" s="244"/>
      <c r="AI1223" s="245"/>
      <c r="AJ1223" s="245"/>
      <c r="AK1223" s="245"/>
      <c r="AL1223" s="245"/>
      <c r="AM1223" s="244"/>
      <c r="AN1223" s="244"/>
      <c r="AO1223" s="238">
        <v>0.0</v>
      </c>
      <c r="AP1223" s="238">
        <v>0.0</v>
      </c>
      <c r="AQ1223" s="235" t="s">
        <v>632</v>
      </c>
      <c r="AR1223" s="243">
        <v>3.71E11</v>
      </c>
      <c r="AS1223" s="235" t="s">
        <v>8807</v>
      </c>
      <c r="AT1223" s="235" t="s">
        <v>546</v>
      </c>
      <c r="AU1223" s="235" t="s">
        <v>634</v>
      </c>
      <c r="AV1223" s="246" t="s">
        <v>635</v>
      </c>
      <c r="AW1223" s="242"/>
      <c r="AX1223" s="242"/>
      <c r="AY1223" s="231"/>
      <c r="AZ1223" s="231"/>
      <c r="BA1223" s="227"/>
      <c r="BB1223" s="231"/>
      <c r="BC1223" s="227"/>
      <c r="BD1223" s="227"/>
      <c r="BE1223" s="227"/>
      <c r="BF1223" s="227"/>
    </row>
    <row r="1224">
      <c r="A1224" s="235" t="s">
        <v>10052</v>
      </c>
      <c r="C1224" s="235" t="s">
        <v>10053</v>
      </c>
      <c r="D1224" s="235" t="s">
        <v>10054</v>
      </c>
      <c r="E1224" s="243">
        <v>6.55E13</v>
      </c>
      <c r="F1224" s="245"/>
      <c r="G1224" s="235" t="s">
        <v>10055</v>
      </c>
      <c r="H1224" s="235" t="s">
        <v>10056</v>
      </c>
      <c r="I1224" s="235" t="s">
        <v>10056</v>
      </c>
      <c r="J1224" s="235" t="s">
        <v>10057</v>
      </c>
      <c r="K1224" s="235" t="s">
        <v>10058</v>
      </c>
      <c r="N1224" s="235" t="s">
        <v>842</v>
      </c>
      <c r="O1224" s="235" t="s">
        <v>843</v>
      </c>
      <c r="P1224" s="238">
        <v>1.0</v>
      </c>
      <c r="Q1224" s="235" t="s">
        <v>627</v>
      </c>
      <c r="R1224" s="238">
        <v>246.67</v>
      </c>
      <c r="S1224" s="238">
        <v>12.33</v>
      </c>
      <c r="T1224" s="238">
        <v>0.0</v>
      </c>
      <c r="U1224" s="238">
        <v>0.0</v>
      </c>
      <c r="V1224" s="238">
        <v>0.0</v>
      </c>
      <c r="W1224" s="238">
        <v>0.0</v>
      </c>
      <c r="X1224" s="235" t="s">
        <v>628</v>
      </c>
      <c r="Z1224" s="244"/>
      <c r="AA1224" s="244"/>
      <c r="AB1224" s="244"/>
      <c r="AC1224" s="235" t="s">
        <v>1531</v>
      </c>
      <c r="AD1224" s="235" t="s">
        <v>1151</v>
      </c>
      <c r="AE1224" s="238">
        <v>700048.0</v>
      </c>
      <c r="AF1224" s="235" t="s">
        <v>631</v>
      </c>
      <c r="AG1224" s="244"/>
      <c r="AH1224" s="244"/>
      <c r="AI1224" s="245"/>
      <c r="AJ1224" s="245"/>
      <c r="AK1224" s="245"/>
      <c r="AL1224" s="245"/>
      <c r="AM1224" s="244"/>
      <c r="AN1224" s="244"/>
      <c r="AO1224" s="238">
        <v>0.0</v>
      </c>
      <c r="AP1224" s="238">
        <v>0.0</v>
      </c>
      <c r="AQ1224" s="235" t="s">
        <v>632</v>
      </c>
      <c r="AR1224" s="243">
        <v>2.02E11</v>
      </c>
      <c r="AS1224" s="235" t="s">
        <v>8807</v>
      </c>
      <c r="AT1224" s="235" t="s">
        <v>156</v>
      </c>
      <c r="AU1224" s="235" t="s">
        <v>634</v>
      </c>
      <c r="AV1224" s="246" t="s">
        <v>635</v>
      </c>
      <c r="AW1224" s="242"/>
      <c r="AX1224" s="242"/>
      <c r="AY1224" s="231"/>
      <c r="AZ1224" s="231"/>
      <c r="BA1224" s="227"/>
      <c r="BB1224" s="231"/>
      <c r="BC1224" s="227"/>
      <c r="BD1224" s="227"/>
      <c r="BE1224" s="227"/>
      <c r="BF1224" s="227"/>
    </row>
    <row r="1225">
      <c r="A1225" s="235" t="s">
        <v>10059</v>
      </c>
      <c r="C1225" s="235" t="s">
        <v>10060</v>
      </c>
      <c r="D1225" s="235" t="s">
        <v>10061</v>
      </c>
      <c r="E1225" s="243">
        <v>6.55E13</v>
      </c>
      <c r="F1225" s="245"/>
      <c r="G1225" s="235" t="s">
        <v>10062</v>
      </c>
      <c r="H1225" s="235" t="s">
        <v>10063</v>
      </c>
      <c r="I1225" s="235" t="s">
        <v>10064</v>
      </c>
      <c r="J1225" s="235" t="s">
        <v>10065</v>
      </c>
      <c r="K1225" s="235" t="s">
        <v>10066</v>
      </c>
      <c r="N1225" s="235" t="s">
        <v>51</v>
      </c>
      <c r="O1225" s="235" t="s">
        <v>273</v>
      </c>
      <c r="P1225" s="238">
        <v>1.0</v>
      </c>
      <c r="Q1225" s="235" t="s">
        <v>627</v>
      </c>
      <c r="R1225" s="238">
        <v>237.14</v>
      </c>
      <c r="S1225" s="238">
        <v>11.5</v>
      </c>
      <c r="T1225" s="238">
        <v>0.0</v>
      </c>
      <c r="U1225" s="238">
        <v>0.0</v>
      </c>
      <c r="V1225" s="238">
        <v>0.0</v>
      </c>
      <c r="W1225" s="238">
        <v>0.0</v>
      </c>
      <c r="X1225" s="235" t="s">
        <v>628</v>
      </c>
      <c r="Z1225" s="244"/>
      <c r="AA1225" s="244"/>
      <c r="AB1225" s="244"/>
      <c r="AC1225" s="235" t="s">
        <v>687</v>
      </c>
      <c r="AD1225" s="235" t="s">
        <v>666</v>
      </c>
      <c r="AE1225" s="238">
        <v>600095.0</v>
      </c>
      <c r="AF1225" s="235" t="s">
        <v>631</v>
      </c>
      <c r="AG1225" s="244"/>
      <c r="AH1225" s="244"/>
      <c r="AI1225" s="245"/>
      <c r="AJ1225" s="245"/>
      <c r="AK1225" s="245"/>
      <c r="AL1225" s="245"/>
      <c r="AM1225" s="244"/>
      <c r="AN1225" s="244"/>
      <c r="AO1225" s="238">
        <v>-7.11</v>
      </c>
      <c r="AP1225" s="238">
        <v>0.0</v>
      </c>
      <c r="AQ1225" s="235" t="s">
        <v>632</v>
      </c>
      <c r="AR1225" s="243">
        <v>1.68E11</v>
      </c>
      <c r="AS1225" s="235" t="s">
        <v>10017</v>
      </c>
      <c r="AT1225" s="235" t="s">
        <v>156</v>
      </c>
      <c r="AU1225" s="235" t="s">
        <v>634</v>
      </c>
      <c r="AV1225" s="246" t="s">
        <v>635</v>
      </c>
      <c r="AW1225" s="242"/>
      <c r="AX1225" s="242"/>
      <c r="AY1225" s="231"/>
      <c r="AZ1225" s="231"/>
      <c r="BA1225" s="227"/>
      <c r="BB1225" s="231"/>
      <c r="BC1225" s="227"/>
      <c r="BD1225" s="227"/>
      <c r="BE1225" s="227"/>
      <c r="BF1225" s="227"/>
    </row>
    <row r="1226">
      <c r="A1226" s="235" t="s">
        <v>10059</v>
      </c>
      <c r="C1226" s="235" t="s">
        <v>10060</v>
      </c>
      <c r="D1226" s="235" t="s">
        <v>10067</v>
      </c>
      <c r="E1226" s="243">
        <v>6.55E13</v>
      </c>
      <c r="F1226" s="245"/>
      <c r="G1226" s="235" t="s">
        <v>10062</v>
      </c>
      <c r="H1226" s="235" t="s">
        <v>10063</v>
      </c>
      <c r="I1226" s="235" t="s">
        <v>10064</v>
      </c>
      <c r="J1226" s="235" t="s">
        <v>10065</v>
      </c>
      <c r="K1226" s="235" t="s">
        <v>10066</v>
      </c>
      <c r="N1226" s="235" t="s">
        <v>51</v>
      </c>
      <c r="O1226" s="235" t="s">
        <v>273</v>
      </c>
      <c r="P1226" s="238">
        <v>1.0</v>
      </c>
      <c r="Q1226" s="235" t="s">
        <v>627</v>
      </c>
      <c r="R1226" s="238">
        <v>237.14</v>
      </c>
      <c r="S1226" s="238">
        <v>11.5</v>
      </c>
      <c r="T1226" s="238">
        <v>0.0</v>
      </c>
      <c r="U1226" s="238">
        <v>0.0</v>
      </c>
      <c r="V1226" s="238">
        <v>0.0</v>
      </c>
      <c r="W1226" s="238">
        <v>0.0</v>
      </c>
      <c r="X1226" s="235" t="s">
        <v>628</v>
      </c>
      <c r="Z1226" s="244"/>
      <c r="AA1226" s="244"/>
      <c r="AB1226" s="244"/>
      <c r="AC1226" s="235" t="s">
        <v>687</v>
      </c>
      <c r="AD1226" s="235" t="s">
        <v>666</v>
      </c>
      <c r="AE1226" s="238">
        <v>600095.0</v>
      </c>
      <c r="AF1226" s="235" t="s">
        <v>631</v>
      </c>
      <c r="AG1226" s="244"/>
      <c r="AH1226" s="244"/>
      <c r="AI1226" s="245"/>
      <c r="AJ1226" s="245"/>
      <c r="AK1226" s="245"/>
      <c r="AL1226" s="245"/>
      <c r="AM1226" s="244"/>
      <c r="AN1226" s="244"/>
      <c r="AO1226" s="238">
        <v>-7.11</v>
      </c>
      <c r="AP1226" s="238">
        <v>0.0</v>
      </c>
      <c r="AQ1226" s="235" t="s">
        <v>632</v>
      </c>
      <c r="AR1226" s="243">
        <v>1.68E11</v>
      </c>
      <c r="AS1226" s="235" t="s">
        <v>10017</v>
      </c>
      <c r="AT1226" s="235" t="s">
        <v>156</v>
      </c>
      <c r="AU1226" s="235" t="s">
        <v>634</v>
      </c>
      <c r="AV1226" s="246" t="s">
        <v>635</v>
      </c>
      <c r="AW1226" s="242"/>
      <c r="AX1226" s="242"/>
      <c r="AY1226" s="231"/>
      <c r="AZ1226" s="231"/>
      <c r="BA1226" s="227"/>
      <c r="BB1226" s="231"/>
      <c r="BC1226" s="227"/>
      <c r="BD1226" s="227"/>
      <c r="BE1226" s="227"/>
      <c r="BF1226" s="227"/>
    </row>
    <row r="1227">
      <c r="A1227" s="235" t="s">
        <v>10068</v>
      </c>
      <c r="C1227" s="235" t="s">
        <v>10069</v>
      </c>
      <c r="D1227" s="235" t="s">
        <v>10070</v>
      </c>
      <c r="E1227" s="243">
        <v>6.55E13</v>
      </c>
      <c r="F1227" s="245"/>
      <c r="G1227" s="235" t="s">
        <v>10071</v>
      </c>
      <c r="H1227" s="235" t="s">
        <v>10072</v>
      </c>
      <c r="I1227" s="235" t="s">
        <v>10072</v>
      </c>
      <c r="J1227" s="235" t="s">
        <v>10073</v>
      </c>
      <c r="K1227" s="235" t="s">
        <v>10074</v>
      </c>
      <c r="N1227" s="235" t="s">
        <v>47</v>
      </c>
      <c r="O1227" s="235" t="s">
        <v>270</v>
      </c>
      <c r="P1227" s="238">
        <v>1.0</v>
      </c>
      <c r="Q1227" s="235" t="s">
        <v>627</v>
      </c>
      <c r="R1227" s="238">
        <v>237.14</v>
      </c>
      <c r="S1227" s="238">
        <v>11.62</v>
      </c>
      <c r="T1227" s="238">
        <v>0.0</v>
      </c>
      <c r="U1227" s="238">
        <v>0.0</v>
      </c>
      <c r="V1227" s="238">
        <v>0.0</v>
      </c>
      <c r="W1227" s="238">
        <v>0.0</v>
      </c>
      <c r="X1227" s="235" t="s">
        <v>628</v>
      </c>
      <c r="Z1227" s="244"/>
      <c r="AA1227" s="244"/>
      <c r="AB1227" s="244"/>
      <c r="AC1227" s="235" t="s">
        <v>697</v>
      </c>
      <c r="AD1227" s="235" t="s">
        <v>698</v>
      </c>
      <c r="AE1227" s="238">
        <v>500043.0</v>
      </c>
      <c r="AF1227" s="235" t="s">
        <v>631</v>
      </c>
      <c r="AG1227" s="244"/>
      <c r="AH1227" s="244"/>
      <c r="AI1227" s="245"/>
      <c r="AJ1227" s="245"/>
      <c r="AK1227" s="245"/>
      <c r="AL1227" s="245"/>
      <c r="AM1227" s="244"/>
      <c r="AN1227" s="244"/>
      <c r="AO1227" s="238">
        <v>-4.74</v>
      </c>
      <c r="AP1227" s="238">
        <v>0.0</v>
      </c>
      <c r="AQ1227" s="235" t="s">
        <v>632</v>
      </c>
      <c r="AR1227" s="243">
        <v>1.68E11</v>
      </c>
      <c r="AS1227" s="235" t="s">
        <v>8807</v>
      </c>
      <c r="AT1227" s="235" t="s">
        <v>156</v>
      </c>
      <c r="AU1227" s="235" t="s">
        <v>634</v>
      </c>
      <c r="AV1227" s="246" t="s">
        <v>635</v>
      </c>
      <c r="AW1227" s="242"/>
      <c r="AX1227" s="242"/>
      <c r="AY1227" s="231"/>
      <c r="AZ1227" s="231"/>
      <c r="BA1227" s="227"/>
      <c r="BB1227" s="231"/>
      <c r="BC1227" s="227"/>
      <c r="BD1227" s="227"/>
      <c r="BE1227" s="227"/>
      <c r="BF1227" s="227"/>
    </row>
    <row r="1228">
      <c r="A1228" s="235" t="s">
        <v>10075</v>
      </c>
      <c r="C1228" s="235" t="s">
        <v>10076</v>
      </c>
      <c r="D1228" s="235" t="s">
        <v>10077</v>
      </c>
      <c r="E1228" s="243">
        <v>6.55E13</v>
      </c>
      <c r="F1228" s="245"/>
      <c r="G1228" s="235" t="s">
        <v>10078</v>
      </c>
      <c r="H1228" s="235" t="s">
        <v>10079</v>
      </c>
      <c r="I1228" s="235" t="s">
        <v>10079</v>
      </c>
      <c r="J1228" s="235" t="s">
        <v>10080</v>
      </c>
      <c r="K1228" s="235" t="s">
        <v>10081</v>
      </c>
      <c r="N1228" s="235" t="s">
        <v>154</v>
      </c>
      <c r="O1228" s="235" t="s">
        <v>766</v>
      </c>
      <c r="P1228" s="238">
        <v>1.0</v>
      </c>
      <c r="Q1228" s="235" t="s">
        <v>627</v>
      </c>
      <c r="R1228" s="238">
        <v>465.72</v>
      </c>
      <c r="S1228" s="238">
        <v>23.28</v>
      </c>
      <c r="T1228" s="238">
        <v>0.0</v>
      </c>
      <c r="U1228" s="238">
        <v>0.0</v>
      </c>
      <c r="V1228" s="238">
        <v>0.0</v>
      </c>
      <c r="W1228" s="238">
        <v>0.0</v>
      </c>
      <c r="X1228" s="235" t="s">
        <v>628</v>
      </c>
      <c r="Z1228" s="244"/>
      <c r="AA1228" s="244"/>
      <c r="AB1228" s="244"/>
      <c r="AC1228" s="235" t="s">
        <v>1887</v>
      </c>
      <c r="AD1228" s="235" t="s">
        <v>679</v>
      </c>
      <c r="AE1228" s="238">
        <v>560103.0</v>
      </c>
      <c r="AF1228" s="235" t="s">
        <v>631</v>
      </c>
      <c r="AG1228" s="244"/>
      <c r="AH1228" s="244"/>
      <c r="AI1228" s="245"/>
      <c r="AJ1228" s="245"/>
      <c r="AK1228" s="245"/>
      <c r="AL1228" s="245"/>
      <c r="AM1228" s="244"/>
      <c r="AN1228" s="244"/>
      <c r="AO1228" s="238">
        <v>0.0</v>
      </c>
      <c r="AP1228" s="238">
        <v>0.0</v>
      </c>
      <c r="AQ1228" s="235" t="s">
        <v>632</v>
      </c>
      <c r="AR1228" s="243">
        <v>1.68E11</v>
      </c>
      <c r="AS1228" s="235" t="s">
        <v>10017</v>
      </c>
      <c r="AT1228" s="235" t="s">
        <v>9</v>
      </c>
      <c r="AU1228" s="235" t="s">
        <v>634</v>
      </c>
      <c r="AV1228" s="246" t="s">
        <v>635</v>
      </c>
      <c r="AW1228" s="242"/>
      <c r="AX1228" s="242"/>
      <c r="AY1228" s="231"/>
      <c r="AZ1228" s="231"/>
      <c r="BA1228" s="227"/>
      <c r="BB1228" s="231"/>
      <c r="BC1228" s="227"/>
      <c r="BD1228" s="227"/>
      <c r="BE1228" s="227"/>
      <c r="BF1228" s="227"/>
    </row>
    <row r="1229">
      <c r="A1229" s="235" t="s">
        <v>10082</v>
      </c>
      <c r="C1229" s="235" t="s">
        <v>10083</v>
      </c>
      <c r="D1229" s="235" t="s">
        <v>10084</v>
      </c>
      <c r="E1229" s="243">
        <v>6.55E13</v>
      </c>
      <c r="F1229" s="245"/>
      <c r="G1229" s="235" t="s">
        <v>10085</v>
      </c>
      <c r="H1229" s="235" t="s">
        <v>10086</v>
      </c>
      <c r="I1229" s="235" t="s">
        <v>10086</v>
      </c>
      <c r="J1229" s="235" t="s">
        <v>10087</v>
      </c>
      <c r="K1229" s="235" t="s">
        <v>10088</v>
      </c>
      <c r="N1229" s="235" t="s">
        <v>141</v>
      </c>
      <c r="O1229" s="235" t="s">
        <v>342</v>
      </c>
      <c r="P1229" s="238">
        <v>1.0</v>
      </c>
      <c r="Q1229" s="235" t="s">
        <v>627</v>
      </c>
      <c r="R1229" s="238">
        <v>246.67</v>
      </c>
      <c r="S1229" s="238">
        <v>12.33</v>
      </c>
      <c r="T1229" s="238">
        <v>38.1</v>
      </c>
      <c r="U1229" s="238">
        <v>1.9</v>
      </c>
      <c r="V1229" s="238">
        <v>0.0</v>
      </c>
      <c r="W1229" s="238">
        <v>0.0</v>
      </c>
      <c r="X1229" s="235" t="s">
        <v>628</v>
      </c>
      <c r="Z1229" s="244"/>
      <c r="AA1229" s="244"/>
      <c r="AB1229" s="244"/>
      <c r="AC1229" s="235" t="s">
        <v>10089</v>
      </c>
      <c r="AD1229" s="235" t="s">
        <v>917</v>
      </c>
      <c r="AE1229" s="238">
        <v>343030.0</v>
      </c>
      <c r="AF1229" s="235" t="s">
        <v>631</v>
      </c>
      <c r="AG1229" s="244"/>
      <c r="AH1229" s="244"/>
      <c r="AI1229" s="245"/>
      <c r="AJ1229" s="245"/>
      <c r="AK1229" s="245"/>
      <c r="AL1229" s="245"/>
      <c r="AM1229" s="244"/>
      <c r="AN1229" s="244"/>
      <c r="AO1229" s="238">
        <v>0.0</v>
      </c>
      <c r="AP1229" s="238">
        <v>-38.1</v>
      </c>
      <c r="AQ1229" s="235" t="s">
        <v>1328</v>
      </c>
      <c r="AR1229" s="243">
        <v>1.34E13</v>
      </c>
      <c r="AS1229" s="235" t="s">
        <v>3284</v>
      </c>
      <c r="AT1229" s="235" t="s">
        <v>533</v>
      </c>
      <c r="AU1229" s="235" t="s">
        <v>634</v>
      </c>
      <c r="AV1229" s="246" t="s">
        <v>635</v>
      </c>
      <c r="AW1229" s="242"/>
      <c r="AX1229" s="242"/>
      <c r="AY1229" s="231"/>
      <c r="AZ1229" s="231"/>
      <c r="BA1229" s="227"/>
      <c r="BB1229" s="231"/>
      <c r="BC1229" s="227"/>
      <c r="BD1229" s="227"/>
      <c r="BE1229" s="227"/>
      <c r="BF1229" s="227"/>
    </row>
    <row r="1230">
      <c r="A1230" s="235" t="s">
        <v>10090</v>
      </c>
      <c r="C1230" s="235" t="s">
        <v>10091</v>
      </c>
      <c r="D1230" s="235" t="s">
        <v>10092</v>
      </c>
      <c r="E1230" s="243">
        <v>6.55E13</v>
      </c>
      <c r="F1230" s="245"/>
      <c r="G1230" s="235" t="s">
        <v>10093</v>
      </c>
      <c r="H1230" s="235" t="s">
        <v>10094</v>
      </c>
      <c r="I1230" s="235" t="s">
        <v>10094</v>
      </c>
      <c r="J1230" s="235" t="s">
        <v>10095</v>
      </c>
      <c r="K1230" s="235" t="s">
        <v>10096</v>
      </c>
      <c r="N1230" s="235" t="s">
        <v>139</v>
      </c>
      <c r="O1230" s="235" t="s">
        <v>2091</v>
      </c>
      <c r="P1230" s="238">
        <v>1.0</v>
      </c>
      <c r="Q1230" s="235" t="s">
        <v>627</v>
      </c>
      <c r="R1230" s="238">
        <v>246.67</v>
      </c>
      <c r="S1230" s="238">
        <v>12.33</v>
      </c>
      <c r="T1230" s="238">
        <v>0.0</v>
      </c>
      <c r="U1230" s="238">
        <v>0.0</v>
      </c>
      <c r="V1230" s="238">
        <v>0.0</v>
      </c>
      <c r="W1230" s="238">
        <v>0.0</v>
      </c>
      <c r="X1230" s="235" t="s">
        <v>628</v>
      </c>
      <c r="Z1230" s="244"/>
      <c r="AA1230" s="244"/>
      <c r="AB1230" s="244"/>
      <c r="AC1230" s="235" t="s">
        <v>7611</v>
      </c>
      <c r="AD1230" s="235" t="s">
        <v>630</v>
      </c>
      <c r="AE1230" s="238">
        <v>250110.0</v>
      </c>
      <c r="AF1230" s="235" t="s">
        <v>631</v>
      </c>
      <c r="AG1230" s="244"/>
      <c r="AH1230" s="244"/>
      <c r="AI1230" s="245"/>
      <c r="AJ1230" s="245"/>
      <c r="AK1230" s="245"/>
      <c r="AL1230" s="245"/>
      <c r="AM1230" s="244"/>
      <c r="AN1230" s="244"/>
      <c r="AO1230" s="238">
        <v>0.0</v>
      </c>
      <c r="AP1230" s="238">
        <v>0.0</v>
      </c>
      <c r="AQ1230" s="235" t="s">
        <v>632</v>
      </c>
      <c r="AR1230" s="243">
        <v>3.71E11</v>
      </c>
      <c r="AS1230" s="235" t="s">
        <v>8807</v>
      </c>
      <c r="AT1230" s="235" t="s">
        <v>13</v>
      </c>
      <c r="AU1230" s="235" t="s">
        <v>634</v>
      </c>
      <c r="AV1230" s="246" t="s">
        <v>635</v>
      </c>
      <c r="AW1230" s="242"/>
      <c r="AX1230" s="242"/>
      <c r="AY1230" s="231"/>
      <c r="AZ1230" s="231"/>
      <c r="BA1230" s="227"/>
      <c r="BB1230" s="231"/>
      <c r="BC1230" s="227"/>
      <c r="BD1230" s="227"/>
      <c r="BE1230" s="227"/>
      <c r="BF1230" s="227"/>
    </row>
    <row r="1231">
      <c r="A1231" s="235" t="s">
        <v>10097</v>
      </c>
      <c r="C1231" s="235" t="s">
        <v>10098</v>
      </c>
      <c r="D1231" s="235" t="s">
        <v>10099</v>
      </c>
      <c r="E1231" s="243">
        <v>6.55E13</v>
      </c>
      <c r="F1231" s="245"/>
      <c r="G1231" s="235" t="s">
        <v>10100</v>
      </c>
      <c r="H1231" s="235" t="s">
        <v>10101</v>
      </c>
      <c r="I1231" s="235" t="s">
        <v>10102</v>
      </c>
      <c r="J1231" s="235" t="s">
        <v>10103</v>
      </c>
      <c r="K1231" s="235" t="s">
        <v>10104</v>
      </c>
      <c r="N1231" s="235" t="s">
        <v>139</v>
      </c>
      <c r="O1231" s="235" t="s">
        <v>2091</v>
      </c>
      <c r="P1231" s="238">
        <v>1.0</v>
      </c>
      <c r="Q1231" s="235" t="s">
        <v>627</v>
      </c>
      <c r="R1231" s="238">
        <v>246.67</v>
      </c>
      <c r="S1231" s="238">
        <v>12.33</v>
      </c>
      <c r="T1231" s="238">
        <v>0.0</v>
      </c>
      <c r="U1231" s="238">
        <v>0.0</v>
      </c>
      <c r="V1231" s="238">
        <v>0.0</v>
      </c>
      <c r="W1231" s="238">
        <v>0.0</v>
      </c>
      <c r="X1231" s="235" t="s">
        <v>628</v>
      </c>
      <c r="Z1231" s="244"/>
      <c r="AA1231" s="244"/>
      <c r="AB1231" s="244"/>
      <c r="AC1231" s="235" t="s">
        <v>814</v>
      </c>
      <c r="AD1231" s="235" t="s">
        <v>698</v>
      </c>
      <c r="AE1231" s="238">
        <v>500085.0</v>
      </c>
      <c r="AF1231" s="235" t="s">
        <v>631</v>
      </c>
      <c r="AG1231" s="244"/>
      <c r="AH1231" s="244"/>
      <c r="AI1231" s="245"/>
      <c r="AJ1231" s="245"/>
      <c r="AK1231" s="245"/>
      <c r="AL1231" s="245"/>
      <c r="AM1231" s="244"/>
      <c r="AN1231" s="244"/>
      <c r="AO1231" s="238">
        <v>0.0</v>
      </c>
      <c r="AP1231" s="238">
        <v>0.0</v>
      </c>
      <c r="AQ1231" s="235" t="s">
        <v>632</v>
      </c>
      <c r="AR1231" s="243">
        <v>1.68E11</v>
      </c>
      <c r="AS1231" s="235" t="s">
        <v>8807</v>
      </c>
      <c r="AT1231" s="235" t="s">
        <v>156</v>
      </c>
      <c r="AU1231" s="235" t="s">
        <v>634</v>
      </c>
      <c r="AV1231" s="246" t="s">
        <v>635</v>
      </c>
      <c r="AW1231" s="242"/>
      <c r="AX1231" s="242"/>
      <c r="AY1231" s="231"/>
      <c r="AZ1231" s="231"/>
      <c r="BA1231" s="227"/>
      <c r="BB1231" s="231"/>
      <c r="BC1231" s="227"/>
      <c r="BD1231" s="227"/>
      <c r="BE1231" s="227"/>
      <c r="BF1231" s="227"/>
    </row>
    <row r="1232">
      <c r="A1232" s="235" t="s">
        <v>10105</v>
      </c>
      <c r="C1232" s="235" t="s">
        <v>10106</v>
      </c>
      <c r="D1232" s="235" t="s">
        <v>10107</v>
      </c>
      <c r="E1232" s="243">
        <v>6.55E13</v>
      </c>
      <c r="F1232" s="245"/>
      <c r="G1232" s="235" t="s">
        <v>10108</v>
      </c>
      <c r="H1232" s="235" t="s">
        <v>10109</v>
      </c>
      <c r="I1232" s="235" t="s">
        <v>10109</v>
      </c>
      <c r="J1232" s="235" t="s">
        <v>10110</v>
      </c>
      <c r="K1232" s="235" t="s">
        <v>10111</v>
      </c>
      <c r="N1232" s="235" t="s">
        <v>842</v>
      </c>
      <c r="O1232" s="235" t="s">
        <v>843</v>
      </c>
      <c r="P1232" s="238">
        <v>1.0</v>
      </c>
      <c r="Q1232" s="235" t="s">
        <v>627</v>
      </c>
      <c r="R1232" s="238">
        <v>246.66</v>
      </c>
      <c r="S1232" s="238">
        <v>12.34</v>
      </c>
      <c r="T1232" s="238">
        <v>0.0</v>
      </c>
      <c r="U1232" s="238">
        <v>0.0</v>
      </c>
      <c r="V1232" s="238">
        <v>0.0</v>
      </c>
      <c r="W1232" s="238">
        <v>0.0</v>
      </c>
      <c r="X1232" s="235" t="s">
        <v>628</v>
      </c>
      <c r="Z1232" s="244"/>
      <c r="AA1232" s="244"/>
      <c r="AB1232" s="244"/>
      <c r="AC1232" s="235" t="s">
        <v>678</v>
      </c>
      <c r="AD1232" s="235" t="s">
        <v>679</v>
      </c>
      <c r="AE1232" s="238">
        <v>560037.0</v>
      </c>
      <c r="AF1232" s="235" t="s">
        <v>631</v>
      </c>
      <c r="AG1232" s="244"/>
      <c r="AH1232" s="244"/>
      <c r="AI1232" s="245"/>
      <c r="AJ1232" s="245"/>
      <c r="AK1232" s="245"/>
      <c r="AL1232" s="245"/>
      <c r="AM1232" s="244"/>
      <c r="AN1232" s="244"/>
      <c r="AO1232" s="238">
        <v>0.0</v>
      </c>
      <c r="AP1232" s="238">
        <v>0.0</v>
      </c>
      <c r="AQ1232" s="235" t="s">
        <v>632</v>
      </c>
      <c r="AR1232" s="243">
        <v>1.68E11</v>
      </c>
      <c r="AS1232" s="235" t="s">
        <v>10017</v>
      </c>
      <c r="AT1232" s="235" t="s">
        <v>9</v>
      </c>
      <c r="AU1232" s="235" t="s">
        <v>634</v>
      </c>
      <c r="AV1232" s="246" t="s">
        <v>635</v>
      </c>
      <c r="AW1232" s="242"/>
      <c r="AX1232" s="242"/>
      <c r="AY1232" s="231"/>
      <c r="AZ1232" s="231"/>
      <c r="BA1232" s="227"/>
      <c r="BB1232" s="227"/>
      <c r="BC1232" s="227"/>
      <c r="BD1232" s="227"/>
      <c r="BE1232" s="227"/>
      <c r="BF1232" s="227"/>
    </row>
    <row r="1233">
      <c r="A1233" s="235" t="s">
        <v>10112</v>
      </c>
      <c r="C1233" s="235" t="s">
        <v>10113</v>
      </c>
      <c r="D1233" s="235" t="s">
        <v>10114</v>
      </c>
      <c r="E1233" s="243">
        <v>6.53E13</v>
      </c>
      <c r="F1233" s="245"/>
      <c r="G1233" s="235" t="s">
        <v>10115</v>
      </c>
      <c r="H1233" s="235" t="s">
        <v>10116</v>
      </c>
      <c r="I1233" s="235" t="s">
        <v>10117</v>
      </c>
      <c r="J1233" s="235" t="s">
        <v>10118</v>
      </c>
      <c r="K1233" s="235" t="s">
        <v>10119</v>
      </c>
      <c r="N1233" s="235" t="s">
        <v>90</v>
      </c>
      <c r="O1233" s="235" t="s">
        <v>279</v>
      </c>
      <c r="P1233" s="238">
        <v>1.0</v>
      </c>
      <c r="Q1233" s="235" t="s">
        <v>627</v>
      </c>
      <c r="R1233" s="238">
        <v>233.34</v>
      </c>
      <c r="S1233" s="238">
        <v>11.66</v>
      </c>
      <c r="T1233" s="238">
        <v>38.1</v>
      </c>
      <c r="U1233" s="238">
        <v>1.9</v>
      </c>
      <c r="V1233" s="238">
        <v>0.0</v>
      </c>
      <c r="W1233" s="238">
        <v>0.0</v>
      </c>
      <c r="X1233" s="235" t="s">
        <v>628</v>
      </c>
      <c r="Z1233" s="244"/>
      <c r="AA1233" s="244"/>
      <c r="AB1233" s="244"/>
      <c r="AC1233" s="235" t="s">
        <v>1255</v>
      </c>
      <c r="AD1233" s="235" t="s">
        <v>845</v>
      </c>
      <c r="AE1233" s="238">
        <v>401209.0</v>
      </c>
      <c r="AF1233" s="235" t="s">
        <v>631</v>
      </c>
      <c r="AG1233" s="244"/>
      <c r="AH1233" s="244"/>
      <c r="AI1233" s="245"/>
      <c r="AJ1233" s="245"/>
      <c r="AK1233" s="245"/>
      <c r="AL1233" s="245"/>
      <c r="AM1233" s="244"/>
      <c r="AN1233" s="244"/>
      <c r="AO1233" s="238">
        <v>0.0</v>
      </c>
      <c r="AP1233" s="238">
        <v>-38.1</v>
      </c>
      <c r="AQ1233" s="235" t="s">
        <v>632</v>
      </c>
      <c r="AR1233" s="243">
        <v>3.71E11</v>
      </c>
      <c r="AS1233" s="235" t="s">
        <v>8807</v>
      </c>
      <c r="AT1233" s="235" t="s">
        <v>16</v>
      </c>
      <c r="AU1233" s="235" t="s">
        <v>634</v>
      </c>
      <c r="AV1233" s="246" t="s">
        <v>635</v>
      </c>
      <c r="AW1233" s="242"/>
      <c r="AX1233" s="242"/>
      <c r="AY1233" s="231"/>
      <c r="AZ1233" s="231"/>
      <c r="BA1233" s="227"/>
      <c r="BB1233" s="231"/>
      <c r="BC1233" s="227"/>
      <c r="BD1233" s="227"/>
      <c r="BE1233" s="227"/>
      <c r="BF1233" s="227"/>
    </row>
    <row r="1234">
      <c r="A1234" s="235" t="s">
        <v>10120</v>
      </c>
      <c r="C1234" s="235" t="s">
        <v>10121</v>
      </c>
      <c r="D1234" s="235" t="s">
        <v>10122</v>
      </c>
      <c r="E1234" s="243">
        <v>6.55E13</v>
      </c>
      <c r="F1234" s="245"/>
      <c r="G1234" s="235" t="s">
        <v>10123</v>
      </c>
      <c r="H1234" s="235" t="s">
        <v>10124</v>
      </c>
      <c r="I1234" s="235" t="s">
        <v>10124</v>
      </c>
      <c r="J1234" s="235" t="s">
        <v>10125</v>
      </c>
      <c r="K1234" s="235" t="s">
        <v>10126</v>
      </c>
      <c r="N1234" s="235" t="s">
        <v>15</v>
      </c>
      <c r="O1234" s="235" t="s">
        <v>856</v>
      </c>
      <c r="P1234" s="238">
        <v>1.0</v>
      </c>
      <c r="Q1234" s="235" t="s">
        <v>627</v>
      </c>
      <c r="R1234" s="238">
        <v>360.95</v>
      </c>
      <c r="S1234" s="238">
        <v>17.51</v>
      </c>
      <c r="T1234" s="238">
        <v>0.0</v>
      </c>
      <c r="U1234" s="238">
        <v>0.0</v>
      </c>
      <c r="V1234" s="238">
        <v>0.0</v>
      </c>
      <c r="W1234" s="238">
        <v>0.0</v>
      </c>
      <c r="X1234" s="235" t="s">
        <v>628</v>
      </c>
      <c r="Z1234" s="244"/>
      <c r="AA1234" s="244"/>
      <c r="AB1234" s="244"/>
      <c r="AC1234" s="235" t="s">
        <v>795</v>
      </c>
      <c r="AD1234" s="235" t="s">
        <v>796</v>
      </c>
      <c r="AE1234" s="238">
        <v>110074.0</v>
      </c>
      <c r="AF1234" s="235" t="s">
        <v>631</v>
      </c>
      <c r="AG1234" s="244"/>
      <c r="AH1234" s="244"/>
      <c r="AI1234" s="245"/>
      <c r="AJ1234" s="245"/>
      <c r="AK1234" s="245"/>
      <c r="AL1234" s="245"/>
      <c r="AM1234" s="244"/>
      <c r="AN1234" s="244"/>
      <c r="AO1234" s="238">
        <v>-10.83</v>
      </c>
      <c r="AP1234" s="238">
        <v>0.0</v>
      </c>
      <c r="AQ1234" s="235" t="s">
        <v>632</v>
      </c>
      <c r="AR1234" s="243">
        <v>1.68E11</v>
      </c>
      <c r="AS1234" s="235" t="s">
        <v>10017</v>
      </c>
      <c r="AT1234" s="235" t="s">
        <v>13</v>
      </c>
      <c r="AU1234" s="235" t="s">
        <v>634</v>
      </c>
      <c r="AV1234" s="246" t="s">
        <v>635</v>
      </c>
      <c r="AW1234" s="242"/>
      <c r="AX1234" s="242"/>
      <c r="AY1234" s="231"/>
      <c r="AZ1234" s="231"/>
      <c r="BA1234" s="227"/>
      <c r="BB1234" s="231"/>
      <c r="BC1234" s="227"/>
      <c r="BD1234" s="227"/>
      <c r="BE1234" s="227"/>
      <c r="BF1234" s="227"/>
    </row>
    <row r="1235">
      <c r="A1235" s="235" t="s">
        <v>10120</v>
      </c>
      <c r="C1235" s="235" t="s">
        <v>10121</v>
      </c>
      <c r="D1235" s="235" t="s">
        <v>10127</v>
      </c>
      <c r="E1235" s="243">
        <v>6.55E13</v>
      </c>
      <c r="F1235" s="245"/>
      <c r="G1235" s="235" t="s">
        <v>10123</v>
      </c>
      <c r="H1235" s="235" t="s">
        <v>10124</v>
      </c>
      <c r="I1235" s="235" t="s">
        <v>10124</v>
      </c>
      <c r="J1235" s="235" t="s">
        <v>10125</v>
      </c>
      <c r="K1235" s="235" t="s">
        <v>10126</v>
      </c>
      <c r="N1235" s="235" t="s">
        <v>15</v>
      </c>
      <c r="O1235" s="235" t="s">
        <v>856</v>
      </c>
      <c r="P1235" s="238">
        <v>1.0</v>
      </c>
      <c r="Q1235" s="235" t="s">
        <v>627</v>
      </c>
      <c r="R1235" s="238">
        <v>360.95</v>
      </c>
      <c r="S1235" s="238">
        <v>17.51</v>
      </c>
      <c r="T1235" s="238">
        <v>0.0</v>
      </c>
      <c r="U1235" s="238">
        <v>0.0</v>
      </c>
      <c r="V1235" s="238">
        <v>0.0</v>
      </c>
      <c r="W1235" s="238">
        <v>0.0</v>
      </c>
      <c r="X1235" s="235" t="s">
        <v>628</v>
      </c>
      <c r="Z1235" s="244"/>
      <c r="AA1235" s="244"/>
      <c r="AB1235" s="244"/>
      <c r="AC1235" s="235" t="s">
        <v>795</v>
      </c>
      <c r="AD1235" s="235" t="s">
        <v>796</v>
      </c>
      <c r="AE1235" s="238">
        <v>110074.0</v>
      </c>
      <c r="AF1235" s="235" t="s">
        <v>631</v>
      </c>
      <c r="AG1235" s="244"/>
      <c r="AH1235" s="244"/>
      <c r="AI1235" s="245"/>
      <c r="AJ1235" s="245"/>
      <c r="AK1235" s="245"/>
      <c r="AL1235" s="245"/>
      <c r="AM1235" s="244"/>
      <c r="AN1235" s="244"/>
      <c r="AO1235" s="238">
        <v>-10.83</v>
      </c>
      <c r="AP1235" s="238">
        <v>0.0</v>
      </c>
      <c r="AQ1235" s="235" t="s">
        <v>632</v>
      </c>
      <c r="AR1235" s="243">
        <v>1.68E11</v>
      </c>
      <c r="AS1235" s="235" t="s">
        <v>10017</v>
      </c>
      <c r="AT1235" s="235" t="s">
        <v>13</v>
      </c>
      <c r="AU1235" s="235" t="s">
        <v>634</v>
      </c>
      <c r="AV1235" s="246" t="s">
        <v>635</v>
      </c>
      <c r="AW1235" s="242"/>
      <c r="AX1235" s="242"/>
      <c r="AY1235" s="231"/>
      <c r="AZ1235" s="231"/>
      <c r="BA1235" s="227"/>
      <c r="BB1235" s="231"/>
      <c r="BC1235" s="227"/>
      <c r="BD1235" s="227"/>
      <c r="BE1235" s="227"/>
      <c r="BF1235" s="227"/>
    </row>
    <row r="1236">
      <c r="A1236" s="235" t="s">
        <v>10128</v>
      </c>
      <c r="C1236" s="235" t="s">
        <v>10129</v>
      </c>
      <c r="D1236" s="235" t="s">
        <v>10130</v>
      </c>
      <c r="E1236" s="243">
        <v>6.55E13</v>
      </c>
      <c r="F1236" s="245"/>
      <c r="G1236" s="235" t="s">
        <v>10131</v>
      </c>
      <c r="H1236" s="235" t="s">
        <v>10132</v>
      </c>
      <c r="I1236" s="235" t="s">
        <v>10132</v>
      </c>
      <c r="J1236" s="235" t="s">
        <v>10133</v>
      </c>
      <c r="K1236" s="235" t="s">
        <v>10134</v>
      </c>
      <c r="N1236" s="235" t="s">
        <v>144</v>
      </c>
      <c r="O1236" s="235" t="s">
        <v>232</v>
      </c>
      <c r="P1236" s="238">
        <v>1.0</v>
      </c>
      <c r="Q1236" s="235" t="s">
        <v>627</v>
      </c>
      <c r="R1236" s="238">
        <v>665.72</v>
      </c>
      <c r="S1236" s="238">
        <v>32.62</v>
      </c>
      <c r="T1236" s="238">
        <v>0.0</v>
      </c>
      <c r="U1236" s="238">
        <v>0.0</v>
      </c>
      <c r="V1236" s="238">
        <v>0.0</v>
      </c>
      <c r="W1236" s="238">
        <v>0.0</v>
      </c>
      <c r="X1236" s="235" t="s">
        <v>628</v>
      </c>
      <c r="Z1236" s="244"/>
      <c r="AA1236" s="244"/>
      <c r="AB1236" s="244"/>
      <c r="AC1236" s="235" t="s">
        <v>1058</v>
      </c>
      <c r="AD1236" s="235" t="s">
        <v>845</v>
      </c>
      <c r="AE1236" s="238">
        <v>400080.0</v>
      </c>
      <c r="AF1236" s="235" t="s">
        <v>631</v>
      </c>
      <c r="AG1236" s="244"/>
      <c r="AH1236" s="244"/>
      <c r="AI1236" s="245"/>
      <c r="AJ1236" s="245"/>
      <c r="AK1236" s="245"/>
      <c r="AL1236" s="245"/>
      <c r="AM1236" s="244"/>
      <c r="AN1236" s="244"/>
      <c r="AO1236" s="238">
        <v>-13.32</v>
      </c>
      <c r="AP1236" s="238">
        <v>0.0</v>
      </c>
      <c r="AQ1236" s="235" t="s">
        <v>632</v>
      </c>
      <c r="AR1236" s="243">
        <v>3.71E11</v>
      </c>
      <c r="AS1236" s="235" t="s">
        <v>8807</v>
      </c>
      <c r="AT1236" s="235" t="s">
        <v>546</v>
      </c>
      <c r="AU1236" s="235" t="s">
        <v>634</v>
      </c>
      <c r="AV1236" s="246" t="s">
        <v>635</v>
      </c>
      <c r="AW1236" s="242"/>
      <c r="AX1236" s="242"/>
      <c r="AY1236" s="231"/>
      <c r="AZ1236" s="231"/>
      <c r="BA1236" s="227"/>
      <c r="BB1236" s="231"/>
      <c r="BC1236" s="227"/>
      <c r="BD1236" s="227"/>
      <c r="BE1236" s="227"/>
      <c r="BF1236" s="227"/>
    </row>
    <row r="1237">
      <c r="A1237" s="235" t="s">
        <v>10135</v>
      </c>
      <c r="C1237" s="235" t="s">
        <v>10136</v>
      </c>
      <c r="D1237" s="235" t="s">
        <v>10137</v>
      </c>
      <c r="E1237" s="243">
        <v>6.55E13</v>
      </c>
      <c r="F1237" s="245"/>
      <c r="G1237" s="235" t="s">
        <v>10138</v>
      </c>
      <c r="H1237" s="235" t="s">
        <v>10139</v>
      </c>
      <c r="I1237" s="235" t="s">
        <v>10139</v>
      </c>
      <c r="J1237" s="235" t="s">
        <v>10140</v>
      </c>
      <c r="K1237" s="235" t="s">
        <v>10141</v>
      </c>
      <c r="N1237" s="235" t="s">
        <v>42</v>
      </c>
      <c r="O1237" s="235" t="s">
        <v>204</v>
      </c>
      <c r="P1237" s="238">
        <v>1.0</v>
      </c>
      <c r="Q1237" s="235" t="s">
        <v>627</v>
      </c>
      <c r="R1237" s="238">
        <v>237.14</v>
      </c>
      <c r="S1237" s="238">
        <v>11.86</v>
      </c>
      <c r="T1237" s="238">
        <v>0.0</v>
      </c>
      <c r="U1237" s="238">
        <v>0.0</v>
      </c>
      <c r="V1237" s="238">
        <v>0.0</v>
      </c>
      <c r="W1237" s="238">
        <v>0.0</v>
      </c>
      <c r="X1237" s="235" t="s">
        <v>628</v>
      </c>
      <c r="Z1237" s="244"/>
      <c r="AA1237" s="244"/>
      <c r="AB1237" s="244"/>
      <c r="AC1237" s="235" t="s">
        <v>697</v>
      </c>
      <c r="AD1237" s="235" t="s">
        <v>698</v>
      </c>
      <c r="AE1237" s="238">
        <v>500046.0</v>
      </c>
      <c r="AF1237" s="235" t="s">
        <v>631</v>
      </c>
      <c r="AG1237" s="244"/>
      <c r="AH1237" s="244"/>
      <c r="AI1237" s="245"/>
      <c r="AJ1237" s="245"/>
      <c r="AK1237" s="245"/>
      <c r="AL1237" s="245"/>
      <c r="AM1237" s="244"/>
      <c r="AN1237" s="244"/>
      <c r="AO1237" s="238">
        <v>0.0</v>
      </c>
      <c r="AP1237" s="238">
        <v>0.0</v>
      </c>
      <c r="AQ1237" s="235" t="s">
        <v>632</v>
      </c>
      <c r="AR1237" s="243">
        <v>3.71E11</v>
      </c>
      <c r="AS1237" s="235" t="s">
        <v>7365</v>
      </c>
      <c r="AT1237" s="235" t="s">
        <v>16</v>
      </c>
      <c r="AU1237" s="235" t="s">
        <v>634</v>
      </c>
      <c r="AV1237" s="246" t="s">
        <v>635</v>
      </c>
      <c r="AW1237" s="242"/>
      <c r="AX1237" s="242"/>
      <c r="AY1237" s="231"/>
      <c r="AZ1237" s="231"/>
      <c r="BA1237" s="227"/>
      <c r="BB1237" s="231"/>
      <c r="BC1237" s="227"/>
      <c r="BD1237" s="227"/>
      <c r="BE1237" s="227"/>
      <c r="BF1237" s="227"/>
    </row>
    <row r="1238">
      <c r="A1238" s="235" t="s">
        <v>10142</v>
      </c>
      <c r="C1238" s="235" t="s">
        <v>10143</v>
      </c>
      <c r="D1238" s="235" t="s">
        <v>10144</v>
      </c>
      <c r="E1238" s="243">
        <v>6.55E13</v>
      </c>
      <c r="F1238" s="245"/>
      <c r="G1238" s="235" t="s">
        <v>10145</v>
      </c>
      <c r="H1238" s="235" t="s">
        <v>10146</v>
      </c>
      <c r="I1238" s="235" t="s">
        <v>10147</v>
      </c>
      <c r="J1238" s="235" t="s">
        <v>10148</v>
      </c>
      <c r="K1238" s="235" t="s">
        <v>10149</v>
      </c>
      <c r="N1238" s="235" t="s">
        <v>126</v>
      </c>
      <c r="O1238" s="235" t="s">
        <v>407</v>
      </c>
      <c r="P1238" s="238">
        <v>1.0</v>
      </c>
      <c r="Q1238" s="235" t="s">
        <v>627</v>
      </c>
      <c r="R1238" s="238">
        <v>237.14</v>
      </c>
      <c r="S1238" s="238">
        <v>11.86</v>
      </c>
      <c r="T1238" s="238">
        <v>38.1</v>
      </c>
      <c r="U1238" s="238">
        <v>1.9</v>
      </c>
      <c r="V1238" s="238">
        <v>0.0</v>
      </c>
      <c r="W1238" s="238">
        <v>0.0</v>
      </c>
      <c r="X1238" s="235" t="s">
        <v>628</v>
      </c>
      <c r="Z1238" s="244"/>
      <c r="AA1238" s="244"/>
      <c r="AB1238" s="244"/>
      <c r="AC1238" s="235" t="s">
        <v>10150</v>
      </c>
      <c r="AD1238" s="235" t="s">
        <v>666</v>
      </c>
      <c r="AE1238" s="238">
        <v>636502.0</v>
      </c>
      <c r="AF1238" s="235" t="s">
        <v>631</v>
      </c>
      <c r="AG1238" s="244"/>
      <c r="AH1238" s="244"/>
      <c r="AI1238" s="245"/>
      <c r="AJ1238" s="245"/>
      <c r="AK1238" s="245"/>
      <c r="AL1238" s="245"/>
      <c r="AM1238" s="244"/>
      <c r="AN1238" s="244"/>
      <c r="AO1238" s="238">
        <v>0.0</v>
      </c>
      <c r="AP1238" s="238">
        <v>-38.1</v>
      </c>
      <c r="AQ1238" s="235" t="s">
        <v>632</v>
      </c>
      <c r="AR1238" s="243">
        <v>3.71E11</v>
      </c>
      <c r="AS1238" s="235" t="s">
        <v>7365</v>
      </c>
      <c r="AT1238" s="235" t="s">
        <v>156</v>
      </c>
      <c r="AU1238" s="235" t="s">
        <v>634</v>
      </c>
      <c r="AV1238" s="246" t="s">
        <v>635</v>
      </c>
      <c r="AW1238" s="242"/>
      <c r="AX1238" s="242"/>
      <c r="AY1238" s="231"/>
      <c r="AZ1238" s="231"/>
      <c r="BA1238" s="227"/>
      <c r="BB1238" s="231"/>
      <c r="BC1238" s="227"/>
      <c r="BD1238" s="227"/>
      <c r="BE1238" s="227"/>
      <c r="BF1238" s="227"/>
    </row>
    <row r="1239">
      <c r="A1239" s="235" t="s">
        <v>10151</v>
      </c>
      <c r="C1239" s="235" t="s">
        <v>10152</v>
      </c>
      <c r="D1239" s="235" t="s">
        <v>10153</v>
      </c>
      <c r="E1239" s="243">
        <v>6.55E13</v>
      </c>
      <c r="F1239" s="245"/>
      <c r="G1239" s="235" t="s">
        <v>10154</v>
      </c>
      <c r="H1239" s="235" t="s">
        <v>10155</v>
      </c>
      <c r="I1239" s="235" t="s">
        <v>10155</v>
      </c>
      <c r="J1239" s="235" t="s">
        <v>10156</v>
      </c>
      <c r="K1239" s="235" t="s">
        <v>10157</v>
      </c>
      <c r="N1239" s="235" t="s">
        <v>842</v>
      </c>
      <c r="O1239" s="235" t="s">
        <v>843</v>
      </c>
      <c r="P1239" s="238">
        <v>1.0</v>
      </c>
      <c r="Q1239" s="235" t="s">
        <v>627</v>
      </c>
      <c r="R1239" s="238">
        <v>242.86</v>
      </c>
      <c r="S1239" s="238">
        <v>12.14</v>
      </c>
      <c r="T1239" s="238">
        <v>0.0</v>
      </c>
      <c r="U1239" s="238">
        <v>0.0</v>
      </c>
      <c r="V1239" s="238">
        <v>0.0</v>
      </c>
      <c r="W1239" s="238">
        <v>0.0</v>
      </c>
      <c r="X1239" s="235" t="s">
        <v>628</v>
      </c>
      <c r="Z1239" s="244"/>
      <c r="AA1239" s="244"/>
      <c r="AB1239" s="244"/>
      <c r="AC1239" s="235" t="s">
        <v>10158</v>
      </c>
      <c r="AD1239" s="235" t="s">
        <v>1499</v>
      </c>
      <c r="AE1239" s="238">
        <v>455221.0</v>
      </c>
      <c r="AF1239" s="235" t="s">
        <v>631</v>
      </c>
      <c r="AG1239" s="244"/>
      <c r="AH1239" s="244"/>
      <c r="AI1239" s="245"/>
      <c r="AJ1239" s="245"/>
      <c r="AK1239" s="245"/>
      <c r="AL1239" s="245"/>
      <c r="AM1239" s="244"/>
      <c r="AN1239" s="244"/>
      <c r="AO1239" s="238">
        <v>0.0</v>
      </c>
      <c r="AP1239" s="238">
        <v>0.0</v>
      </c>
      <c r="AQ1239" s="235" t="s">
        <v>1328</v>
      </c>
      <c r="AR1239" s="243">
        <v>1.34E13</v>
      </c>
      <c r="AS1239" s="235" t="s">
        <v>4697</v>
      </c>
      <c r="AT1239" s="235" t="s">
        <v>14</v>
      </c>
      <c r="AU1239" s="235" t="s">
        <v>634</v>
      </c>
      <c r="AV1239" s="246" t="s">
        <v>635</v>
      </c>
      <c r="AW1239" s="242"/>
      <c r="AX1239" s="242"/>
      <c r="AY1239" s="231"/>
      <c r="AZ1239" s="231"/>
      <c r="BA1239" s="227"/>
      <c r="BB1239" s="231"/>
      <c r="BC1239" s="227"/>
      <c r="BD1239" s="227"/>
      <c r="BE1239" s="227"/>
      <c r="BF1239" s="227"/>
    </row>
    <row r="1240">
      <c r="A1240" s="235" t="s">
        <v>10159</v>
      </c>
      <c r="C1240" s="235" t="s">
        <v>10160</v>
      </c>
      <c r="D1240" s="235" t="s">
        <v>10161</v>
      </c>
      <c r="E1240" s="243">
        <v>6.55E13</v>
      </c>
      <c r="F1240" s="245"/>
      <c r="G1240" s="235" t="s">
        <v>10162</v>
      </c>
      <c r="H1240" s="235" t="s">
        <v>10163</v>
      </c>
      <c r="I1240" s="235" t="s">
        <v>10163</v>
      </c>
      <c r="J1240" s="235" t="s">
        <v>10164</v>
      </c>
      <c r="K1240" s="235" t="s">
        <v>10165</v>
      </c>
      <c r="N1240" s="235" t="s">
        <v>55</v>
      </c>
      <c r="O1240" s="235" t="s">
        <v>244</v>
      </c>
      <c r="P1240" s="238">
        <v>1.0</v>
      </c>
      <c r="Q1240" s="235" t="s">
        <v>627</v>
      </c>
      <c r="R1240" s="238">
        <v>246.67</v>
      </c>
      <c r="S1240" s="238">
        <v>12.33</v>
      </c>
      <c r="T1240" s="238">
        <v>0.0</v>
      </c>
      <c r="U1240" s="238">
        <v>0.0</v>
      </c>
      <c r="V1240" s="238">
        <v>0.0</v>
      </c>
      <c r="W1240" s="238">
        <v>0.0</v>
      </c>
      <c r="X1240" s="235" t="s">
        <v>628</v>
      </c>
      <c r="Z1240" s="244"/>
      <c r="AA1240" s="244"/>
      <c r="AB1240" s="244"/>
      <c r="AC1240" s="235" t="s">
        <v>3912</v>
      </c>
      <c r="AD1240" s="235" t="s">
        <v>3913</v>
      </c>
      <c r="AE1240" s="238">
        <v>797112.0</v>
      </c>
      <c r="AF1240" s="235" t="s">
        <v>631</v>
      </c>
      <c r="AG1240" s="244"/>
      <c r="AH1240" s="244"/>
      <c r="AI1240" s="245"/>
      <c r="AJ1240" s="245"/>
      <c r="AK1240" s="245"/>
      <c r="AL1240" s="245"/>
      <c r="AM1240" s="244"/>
      <c r="AN1240" s="244"/>
      <c r="AO1240" s="238">
        <v>0.0</v>
      </c>
      <c r="AP1240" s="238">
        <v>0.0</v>
      </c>
      <c r="AQ1240" s="235" t="s">
        <v>632</v>
      </c>
      <c r="AR1240" s="243">
        <v>3.71E11</v>
      </c>
      <c r="AS1240" s="235" t="s">
        <v>3284</v>
      </c>
      <c r="AT1240" s="235" t="s">
        <v>14</v>
      </c>
      <c r="AU1240" s="235" t="s">
        <v>634</v>
      </c>
      <c r="AV1240" s="246" t="s">
        <v>635</v>
      </c>
      <c r="AW1240" s="242"/>
      <c r="AX1240" s="242"/>
      <c r="AY1240" s="231"/>
      <c r="AZ1240" s="231"/>
      <c r="BA1240" s="227"/>
      <c r="BB1240" s="231"/>
      <c r="BC1240" s="227"/>
      <c r="BD1240" s="227"/>
      <c r="BE1240" s="227"/>
      <c r="BF1240" s="227"/>
    </row>
    <row r="1241">
      <c r="A1241" s="235" t="s">
        <v>10166</v>
      </c>
      <c r="C1241" s="235" t="s">
        <v>10167</v>
      </c>
      <c r="D1241" s="235" t="s">
        <v>10168</v>
      </c>
      <c r="E1241" s="243">
        <v>6.55E13</v>
      </c>
      <c r="F1241" s="245"/>
      <c r="G1241" s="235" t="s">
        <v>10169</v>
      </c>
      <c r="H1241" s="235" t="s">
        <v>10170</v>
      </c>
      <c r="I1241" s="235" t="s">
        <v>10170</v>
      </c>
      <c r="J1241" s="235" t="s">
        <v>10171</v>
      </c>
      <c r="K1241" s="235" t="s">
        <v>10172</v>
      </c>
      <c r="N1241" s="235" t="s">
        <v>127</v>
      </c>
      <c r="O1241" s="235" t="s">
        <v>794</v>
      </c>
      <c r="P1241" s="238">
        <v>1.0</v>
      </c>
      <c r="Q1241" s="235" t="s">
        <v>627</v>
      </c>
      <c r="R1241" s="238">
        <v>246.67</v>
      </c>
      <c r="S1241" s="238">
        <v>12.33</v>
      </c>
      <c r="T1241" s="238">
        <v>38.1</v>
      </c>
      <c r="U1241" s="238">
        <v>1.9</v>
      </c>
      <c r="V1241" s="238">
        <v>0.0</v>
      </c>
      <c r="W1241" s="238">
        <v>0.0</v>
      </c>
      <c r="X1241" s="235" t="s">
        <v>628</v>
      </c>
      <c r="Z1241" s="244"/>
      <c r="AA1241" s="244"/>
      <c r="AB1241" s="244"/>
      <c r="AC1241" s="235" t="s">
        <v>10173</v>
      </c>
      <c r="AD1241" s="235" t="s">
        <v>917</v>
      </c>
      <c r="AE1241" s="238">
        <v>313001.0</v>
      </c>
      <c r="AF1241" s="235" t="s">
        <v>631</v>
      </c>
      <c r="AG1241" s="244"/>
      <c r="AH1241" s="244"/>
      <c r="AI1241" s="245"/>
      <c r="AJ1241" s="245"/>
      <c r="AK1241" s="245"/>
      <c r="AL1241" s="245"/>
      <c r="AM1241" s="244"/>
      <c r="AN1241" s="244"/>
      <c r="AO1241" s="238">
        <v>0.0</v>
      </c>
      <c r="AP1241" s="238">
        <v>-38.1</v>
      </c>
      <c r="AQ1241" s="235" t="s">
        <v>632</v>
      </c>
      <c r="AR1241" s="243">
        <v>3.71E11</v>
      </c>
      <c r="AS1241" s="235" t="s">
        <v>8807</v>
      </c>
      <c r="AT1241" s="235" t="s">
        <v>5</v>
      </c>
      <c r="AU1241" s="235" t="s">
        <v>634</v>
      </c>
      <c r="AV1241" s="246" t="s">
        <v>635</v>
      </c>
      <c r="AW1241" s="242"/>
      <c r="AX1241" s="242"/>
      <c r="AY1241" s="231"/>
      <c r="AZ1241" s="231"/>
      <c r="BA1241" s="227"/>
      <c r="BB1241" s="231"/>
      <c r="BC1241" s="227"/>
      <c r="BD1241" s="227"/>
      <c r="BE1241" s="227"/>
      <c r="BF1241" s="227"/>
    </row>
    <row r="1242">
      <c r="A1242" s="235" t="s">
        <v>10174</v>
      </c>
      <c r="C1242" s="235" t="s">
        <v>10175</v>
      </c>
      <c r="D1242" s="235" t="s">
        <v>10176</v>
      </c>
      <c r="E1242" s="243">
        <v>6.55E13</v>
      </c>
      <c r="F1242" s="245"/>
      <c r="G1242" s="235" t="s">
        <v>10177</v>
      </c>
      <c r="H1242" s="235" t="s">
        <v>10178</v>
      </c>
      <c r="I1242" s="235" t="s">
        <v>10178</v>
      </c>
      <c r="J1242" s="235" t="s">
        <v>10179</v>
      </c>
      <c r="K1242" s="235" t="s">
        <v>10180</v>
      </c>
      <c r="N1242" s="235" t="s">
        <v>154</v>
      </c>
      <c r="O1242" s="235" t="s">
        <v>766</v>
      </c>
      <c r="P1242" s="238">
        <v>1.0</v>
      </c>
      <c r="Q1242" s="235" t="s">
        <v>627</v>
      </c>
      <c r="R1242" s="238">
        <v>465.71</v>
      </c>
      <c r="S1242" s="238">
        <v>23.29</v>
      </c>
      <c r="T1242" s="238">
        <v>38.1</v>
      </c>
      <c r="U1242" s="238">
        <v>1.9</v>
      </c>
      <c r="V1242" s="238">
        <v>0.0</v>
      </c>
      <c r="W1242" s="238">
        <v>0.0</v>
      </c>
      <c r="X1242" s="235" t="s">
        <v>628</v>
      </c>
      <c r="Z1242" s="244"/>
      <c r="AA1242" s="244"/>
      <c r="AB1242" s="244"/>
      <c r="AC1242" s="235" t="s">
        <v>1058</v>
      </c>
      <c r="AD1242" s="235" t="s">
        <v>845</v>
      </c>
      <c r="AE1242" s="238">
        <v>400042.0</v>
      </c>
      <c r="AF1242" s="235" t="s">
        <v>631</v>
      </c>
      <c r="AG1242" s="244"/>
      <c r="AH1242" s="244"/>
      <c r="AI1242" s="245"/>
      <c r="AJ1242" s="245"/>
      <c r="AK1242" s="245"/>
      <c r="AL1242" s="245"/>
      <c r="AM1242" s="244"/>
      <c r="AN1242" s="244"/>
      <c r="AO1242" s="238">
        <v>0.0</v>
      </c>
      <c r="AP1242" s="238">
        <v>-38.1</v>
      </c>
      <c r="AQ1242" s="235" t="s">
        <v>632</v>
      </c>
      <c r="AR1242" s="243">
        <v>3.71E11</v>
      </c>
      <c r="AS1242" s="235" t="s">
        <v>6164</v>
      </c>
      <c r="AT1242" s="235" t="s">
        <v>5</v>
      </c>
      <c r="AU1242" s="235" t="s">
        <v>634</v>
      </c>
      <c r="AV1242" s="246" t="s">
        <v>635</v>
      </c>
      <c r="AW1242" s="242"/>
      <c r="AX1242" s="242"/>
      <c r="AY1242" s="231"/>
      <c r="AZ1242" s="231"/>
      <c r="BA1242" s="227"/>
      <c r="BB1242" s="231"/>
      <c r="BC1242" s="227"/>
      <c r="BD1242" s="227"/>
      <c r="BE1242" s="227"/>
      <c r="BF1242" s="227"/>
    </row>
    <row r="1243">
      <c r="A1243" s="235" t="s">
        <v>10181</v>
      </c>
      <c r="C1243" s="235" t="s">
        <v>10182</v>
      </c>
      <c r="D1243" s="235" t="s">
        <v>10183</v>
      </c>
      <c r="E1243" s="243">
        <v>6.55E13</v>
      </c>
      <c r="F1243" s="245"/>
      <c r="G1243" s="235" t="s">
        <v>10184</v>
      </c>
      <c r="H1243" s="235" t="s">
        <v>10185</v>
      </c>
      <c r="I1243" s="235" t="s">
        <v>10185</v>
      </c>
      <c r="J1243" s="235" t="s">
        <v>10186</v>
      </c>
      <c r="K1243" s="235" t="s">
        <v>10187</v>
      </c>
      <c r="N1243" s="235" t="s">
        <v>3</v>
      </c>
      <c r="O1243" s="235" t="s">
        <v>654</v>
      </c>
      <c r="P1243" s="238">
        <v>1.0</v>
      </c>
      <c r="Q1243" s="235" t="s">
        <v>627</v>
      </c>
      <c r="R1243" s="238">
        <v>265.71</v>
      </c>
      <c r="S1243" s="238">
        <v>13.29</v>
      </c>
      <c r="T1243" s="238">
        <v>0.0</v>
      </c>
      <c r="U1243" s="238">
        <v>0.0</v>
      </c>
      <c r="V1243" s="238">
        <v>0.0</v>
      </c>
      <c r="W1243" s="238">
        <v>0.0</v>
      </c>
      <c r="X1243" s="235" t="s">
        <v>628</v>
      </c>
      <c r="Z1243" s="244"/>
      <c r="AA1243" s="244"/>
      <c r="AB1243" s="244"/>
      <c r="AC1243" s="235" t="s">
        <v>795</v>
      </c>
      <c r="AD1243" s="235" t="s">
        <v>796</v>
      </c>
      <c r="AE1243" s="238">
        <v>110017.0</v>
      </c>
      <c r="AF1243" s="235" t="s">
        <v>631</v>
      </c>
      <c r="AG1243" s="244"/>
      <c r="AH1243" s="244"/>
      <c r="AI1243" s="245"/>
      <c r="AJ1243" s="245"/>
      <c r="AK1243" s="245"/>
      <c r="AL1243" s="245"/>
      <c r="AM1243" s="244"/>
      <c r="AN1243" s="244"/>
      <c r="AO1243" s="238">
        <v>0.0</v>
      </c>
      <c r="AP1243" s="238">
        <v>0.0</v>
      </c>
      <c r="AQ1243" s="235" t="s">
        <v>632</v>
      </c>
      <c r="AR1243" s="243">
        <v>3.71E11</v>
      </c>
      <c r="AS1243" s="235" t="s">
        <v>8807</v>
      </c>
      <c r="AT1243" s="235" t="s">
        <v>533</v>
      </c>
      <c r="AU1243" s="235" t="s">
        <v>634</v>
      </c>
      <c r="AV1243" s="246" t="s">
        <v>635</v>
      </c>
      <c r="AW1243" s="242"/>
      <c r="AX1243" s="242"/>
      <c r="AY1243" s="231"/>
      <c r="AZ1243" s="231"/>
      <c r="BA1243" s="227"/>
      <c r="BB1243" s="231"/>
      <c r="BC1243" s="227"/>
      <c r="BD1243" s="227"/>
      <c r="BE1243" s="227"/>
      <c r="BF1243" s="227"/>
    </row>
    <row r="1244">
      <c r="A1244" s="235" t="s">
        <v>10188</v>
      </c>
      <c r="C1244" s="235" t="s">
        <v>10189</v>
      </c>
      <c r="D1244" s="235" t="s">
        <v>10190</v>
      </c>
      <c r="E1244" s="243">
        <v>6.55E13</v>
      </c>
      <c r="F1244" s="245"/>
      <c r="G1244" s="235" t="s">
        <v>10191</v>
      </c>
      <c r="H1244" s="235" t="s">
        <v>10192</v>
      </c>
      <c r="I1244" s="235" t="s">
        <v>10192</v>
      </c>
      <c r="J1244" s="235" t="s">
        <v>10193</v>
      </c>
      <c r="K1244" s="235" t="s">
        <v>10194</v>
      </c>
      <c r="N1244" s="235" t="s">
        <v>3758</v>
      </c>
      <c r="O1244" s="235" t="s">
        <v>3759</v>
      </c>
      <c r="P1244" s="238">
        <v>1.0</v>
      </c>
      <c r="Q1244" s="235" t="s">
        <v>627</v>
      </c>
      <c r="R1244" s="238">
        <v>422.88</v>
      </c>
      <c r="S1244" s="238">
        <v>76.12</v>
      </c>
      <c r="T1244" s="238">
        <v>66.95</v>
      </c>
      <c r="U1244" s="238">
        <v>12.05</v>
      </c>
      <c r="V1244" s="238">
        <v>0.0</v>
      </c>
      <c r="W1244" s="238">
        <v>0.0</v>
      </c>
      <c r="X1244" s="235" t="s">
        <v>628</v>
      </c>
      <c r="Z1244" s="244"/>
      <c r="AA1244" s="244"/>
      <c r="AB1244" s="244"/>
      <c r="AC1244" s="235" t="s">
        <v>9365</v>
      </c>
      <c r="AD1244" s="235" t="s">
        <v>2688</v>
      </c>
      <c r="AE1244" s="238">
        <v>180015.0</v>
      </c>
      <c r="AF1244" s="235" t="s">
        <v>631</v>
      </c>
      <c r="AG1244" s="244"/>
      <c r="AH1244" s="244"/>
      <c r="AI1244" s="245"/>
      <c r="AJ1244" s="245"/>
      <c r="AK1244" s="245"/>
      <c r="AL1244" s="245"/>
      <c r="AM1244" s="244"/>
      <c r="AN1244" s="244"/>
      <c r="AO1244" s="238">
        <v>0.0</v>
      </c>
      <c r="AP1244" s="238">
        <v>-66.95</v>
      </c>
      <c r="AQ1244" s="235" t="s">
        <v>632</v>
      </c>
      <c r="AR1244" s="243">
        <v>1.68E11</v>
      </c>
      <c r="AS1244" s="235" t="s">
        <v>8807</v>
      </c>
      <c r="AT1244" s="235" t="s">
        <v>14</v>
      </c>
      <c r="AU1244" s="235" t="s">
        <v>634</v>
      </c>
      <c r="AV1244" s="246" t="s">
        <v>635</v>
      </c>
      <c r="AW1244" s="242"/>
      <c r="AX1244" s="242"/>
      <c r="AY1244" s="231"/>
      <c r="AZ1244" s="231"/>
      <c r="BA1244" s="227"/>
      <c r="BB1244" s="231"/>
      <c r="BC1244" s="227"/>
      <c r="BD1244" s="227"/>
      <c r="BE1244" s="227"/>
      <c r="BF1244" s="227"/>
    </row>
    <row r="1245">
      <c r="A1245" s="235" t="s">
        <v>10195</v>
      </c>
      <c r="C1245" s="235" t="s">
        <v>10196</v>
      </c>
      <c r="D1245" s="235" t="s">
        <v>10197</v>
      </c>
      <c r="E1245" s="243">
        <v>6.55E13</v>
      </c>
      <c r="F1245" s="245"/>
      <c r="G1245" s="235" t="s">
        <v>10198</v>
      </c>
      <c r="H1245" s="235" t="s">
        <v>10199</v>
      </c>
      <c r="I1245" s="235" t="s">
        <v>10199</v>
      </c>
      <c r="J1245" s="235" t="s">
        <v>10200</v>
      </c>
      <c r="K1245" s="235" t="s">
        <v>10201</v>
      </c>
      <c r="N1245" s="235" t="s">
        <v>42</v>
      </c>
      <c r="O1245" s="235" t="s">
        <v>204</v>
      </c>
      <c r="P1245" s="238">
        <v>1.0</v>
      </c>
      <c r="Q1245" s="235" t="s">
        <v>627</v>
      </c>
      <c r="R1245" s="238">
        <v>237.14</v>
      </c>
      <c r="S1245" s="238">
        <v>11.62</v>
      </c>
      <c r="T1245" s="238">
        <v>0.0</v>
      </c>
      <c r="U1245" s="238">
        <v>0.0</v>
      </c>
      <c r="V1245" s="238">
        <v>0.0</v>
      </c>
      <c r="W1245" s="238">
        <v>0.0</v>
      </c>
      <c r="X1245" s="235" t="s">
        <v>628</v>
      </c>
      <c r="Z1245" s="244"/>
      <c r="AA1245" s="244"/>
      <c r="AB1245" s="244"/>
      <c r="AC1245" s="235" t="s">
        <v>10202</v>
      </c>
      <c r="AD1245" s="235" t="s">
        <v>833</v>
      </c>
      <c r="AE1245" s="238">
        <v>521212.0</v>
      </c>
      <c r="AF1245" s="235" t="s">
        <v>631</v>
      </c>
      <c r="AG1245" s="244"/>
      <c r="AH1245" s="244"/>
      <c r="AI1245" s="245"/>
      <c r="AJ1245" s="245"/>
      <c r="AK1245" s="245"/>
      <c r="AL1245" s="245"/>
      <c r="AM1245" s="244"/>
      <c r="AN1245" s="244"/>
      <c r="AO1245" s="238">
        <v>-4.74</v>
      </c>
      <c r="AP1245" s="238">
        <v>0.0</v>
      </c>
      <c r="AQ1245" s="235" t="s">
        <v>632</v>
      </c>
      <c r="AR1245" s="243">
        <v>1.68E11</v>
      </c>
      <c r="AS1245" s="235" t="s">
        <v>8807</v>
      </c>
      <c r="AT1245" s="235" t="s">
        <v>156</v>
      </c>
      <c r="AU1245" s="235" t="s">
        <v>634</v>
      </c>
      <c r="AV1245" s="246" t="s">
        <v>635</v>
      </c>
      <c r="AW1245" s="242"/>
      <c r="AX1245" s="242"/>
      <c r="AY1245" s="231"/>
      <c r="AZ1245" s="231"/>
      <c r="BA1245" s="227"/>
      <c r="BB1245" s="231"/>
      <c r="BC1245" s="227"/>
      <c r="BD1245" s="227"/>
      <c r="BE1245" s="227"/>
      <c r="BF1245" s="227"/>
    </row>
    <row r="1246">
      <c r="A1246" s="235" t="s">
        <v>10203</v>
      </c>
      <c r="C1246" s="235" t="s">
        <v>10204</v>
      </c>
      <c r="D1246" s="235" t="s">
        <v>10205</v>
      </c>
      <c r="E1246" s="243">
        <v>6.55E13</v>
      </c>
      <c r="F1246" s="245"/>
      <c r="G1246" s="235" t="s">
        <v>10206</v>
      </c>
      <c r="H1246" s="235" t="s">
        <v>10207</v>
      </c>
      <c r="I1246" s="235" t="s">
        <v>10207</v>
      </c>
      <c r="J1246" s="235" t="s">
        <v>10208</v>
      </c>
      <c r="K1246" s="235" t="s">
        <v>10209</v>
      </c>
      <c r="N1246" s="235" t="s">
        <v>85</v>
      </c>
      <c r="O1246" s="235" t="s">
        <v>872</v>
      </c>
      <c r="P1246" s="238">
        <v>1.0</v>
      </c>
      <c r="Q1246" s="235" t="s">
        <v>627</v>
      </c>
      <c r="R1246" s="238">
        <v>246.66</v>
      </c>
      <c r="S1246" s="238">
        <v>12.34</v>
      </c>
      <c r="T1246" s="238">
        <v>38.1</v>
      </c>
      <c r="U1246" s="238">
        <v>1.9</v>
      </c>
      <c r="V1246" s="238">
        <v>0.0</v>
      </c>
      <c r="W1246" s="238">
        <v>0.0</v>
      </c>
      <c r="X1246" s="235" t="s">
        <v>628</v>
      </c>
      <c r="Z1246" s="244"/>
      <c r="AA1246" s="244"/>
      <c r="AB1246" s="244"/>
      <c r="AC1246" s="235" t="s">
        <v>4294</v>
      </c>
      <c r="AD1246" s="235" t="s">
        <v>666</v>
      </c>
      <c r="AE1246" s="238">
        <v>641604.0</v>
      </c>
      <c r="AF1246" s="235" t="s">
        <v>631</v>
      </c>
      <c r="AG1246" s="244"/>
      <c r="AH1246" s="244"/>
      <c r="AI1246" s="245"/>
      <c r="AJ1246" s="245"/>
      <c r="AK1246" s="245"/>
      <c r="AL1246" s="245"/>
      <c r="AM1246" s="244"/>
      <c r="AN1246" s="244"/>
      <c r="AO1246" s="238">
        <v>0.0</v>
      </c>
      <c r="AP1246" s="238">
        <v>-38.1</v>
      </c>
      <c r="AQ1246" s="235" t="s">
        <v>632</v>
      </c>
      <c r="AR1246" s="243">
        <v>3.71E11</v>
      </c>
      <c r="AS1246" s="235" t="s">
        <v>8807</v>
      </c>
      <c r="AT1246" s="235" t="s">
        <v>155</v>
      </c>
      <c r="AU1246" s="235" t="s">
        <v>634</v>
      </c>
      <c r="AV1246" s="246" t="s">
        <v>635</v>
      </c>
      <c r="AW1246" s="242"/>
      <c r="AX1246" s="242"/>
      <c r="AY1246" s="231"/>
      <c r="AZ1246" s="231"/>
      <c r="BA1246" s="227"/>
      <c r="BB1246" s="231"/>
      <c r="BC1246" s="227"/>
      <c r="BD1246" s="227"/>
      <c r="BE1246" s="227"/>
      <c r="BF1246" s="227"/>
    </row>
    <row r="1247">
      <c r="A1247" s="235" t="s">
        <v>10210</v>
      </c>
      <c r="C1247" s="235" t="s">
        <v>10211</v>
      </c>
      <c r="D1247" s="235" t="s">
        <v>10212</v>
      </c>
      <c r="E1247" s="243">
        <v>6.55E13</v>
      </c>
      <c r="F1247" s="245"/>
      <c r="G1247" s="235" t="s">
        <v>10213</v>
      </c>
      <c r="H1247" s="235" t="s">
        <v>10214</v>
      </c>
      <c r="I1247" s="235" t="s">
        <v>10214</v>
      </c>
      <c r="J1247" s="235" t="s">
        <v>10215</v>
      </c>
      <c r="K1247" s="235" t="s">
        <v>10216</v>
      </c>
      <c r="N1247" s="235" t="s">
        <v>106</v>
      </c>
      <c r="O1247" s="235" t="s">
        <v>338</v>
      </c>
      <c r="P1247" s="238">
        <v>1.0</v>
      </c>
      <c r="Q1247" s="235" t="s">
        <v>627</v>
      </c>
      <c r="R1247" s="238">
        <v>246.67</v>
      </c>
      <c r="S1247" s="238">
        <v>12.33</v>
      </c>
      <c r="T1247" s="238">
        <v>0.0</v>
      </c>
      <c r="U1247" s="238">
        <v>0.0</v>
      </c>
      <c r="V1247" s="238">
        <v>0.0</v>
      </c>
      <c r="W1247" s="238">
        <v>0.0</v>
      </c>
      <c r="X1247" s="235" t="s">
        <v>628</v>
      </c>
      <c r="Z1247" s="244"/>
      <c r="AA1247" s="244"/>
      <c r="AB1247" s="244"/>
      <c r="AC1247" s="235" t="s">
        <v>814</v>
      </c>
      <c r="AD1247" s="235" t="s">
        <v>698</v>
      </c>
      <c r="AE1247" s="238">
        <v>500033.0</v>
      </c>
      <c r="AF1247" s="235" t="s">
        <v>631</v>
      </c>
      <c r="AG1247" s="244"/>
      <c r="AH1247" s="244"/>
      <c r="AI1247" s="245"/>
      <c r="AJ1247" s="245"/>
      <c r="AK1247" s="245"/>
      <c r="AL1247" s="245"/>
      <c r="AM1247" s="244"/>
      <c r="AN1247" s="244"/>
      <c r="AO1247" s="238">
        <v>0.0</v>
      </c>
      <c r="AP1247" s="238">
        <v>0.0</v>
      </c>
      <c r="AQ1247" s="235" t="s">
        <v>632</v>
      </c>
      <c r="AR1247" s="243">
        <v>2.02E11</v>
      </c>
      <c r="AS1247" s="235" t="s">
        <v>8807</v>
      </c>
      <c r="AT1247" s="235" t="s">
        <v>156</v>
      </c>
      <c r="AU1247" s="235" t="s">
        <v>634</v>
      </c>
      <c r="AV1247" s="246" t="s">
        <v>635</v>
      </c>
      <c r="AW1247" s="242"/>
      <c r="AX1247" s="242"/>
      <c r="AY1247" s="231"/>
      <c r="AZ1247" s="231"/>
      <c r="BA1247" s="227"/>
      <c r="BB1247" s="231"/>
      <c r="BC1247" s="227"/>
      <c r="BD1247" s="227"/>
      <c r="BE1247" s="227"/>
      <c r="BF1247" s="227"/>
    </row>
    <row r="1248">
      <c r="A1248" s="235" t="s">
        <v>10218</v>
      </c>
      <c r="C1248" s="235" t="s">
        <v>10219</v>
      </c>
      <c r="D1248" s="235" t="s">
        <v>10220</v>
      </c>
      <c r="E1248" s="243">
        <v>6.55E13</v>
      </c>
      <c r="F1248" s="245"/>
      <c r="G1248" s="235" t="s">
        <v>10221</v>
      </c>
      <c r="H1248" s="235" t="s">
        <v>10222</v>
      </c>
      <c r="I1248" s="235" t="s">
        <v>10222</v>
      </c>
      <c r="J1248" s="235" t="s">
        <v>10223</v>
      </c>
      <c r="K1248" s="235" t="s">
        <v>10224</v>
      </c>
      <c r="N1248" s="235" t="s">
        <v>127</v>
      </c>
      <c r="O1248" s="235" t="s">
        <v>794</v>
      </c>
      <c r="P1248" s="238">
        <v>1.0</v>
      </c>
      <c r="Q1248" s="235" t="s">
        <v>627</v>
      </c>
      <c r="R1248" s="238">
        <v>246.67</v>
      </c>
      <c r="S1248" s="238">
        <v>12.33</v>
      </c>
      <c r="T1248" s="238">
        <v>0.0</v>
      </c>
      <c r="U1248" s="238">
        <v>0.0</v>
      </c>
      <c r="V1248" s="238">
        <v>0.0</v>
      </c>
      <c r="W1248" s="238">
        <v>0.0</v>
      </c>
      <c r="X1248" s="235" t="s">
        <v>628</v>
      </c>
      <c r="Z1248" s="244"/>
      <c r="AA1248" s="244"/>
      <c r="AB1248" s="244"/>
      <c r="AC1248" s="235" t="s">
        <v>2325</v>
      </c>
      <c r="AD1248" s="235" t="s">
        <v>645</v>
      </c>
      <c r="AE1248" s="238">
        <v>682020.0</v>
      </c>
      <c r="AF1248" s="235" t="s">
        <v>631</v>
      </c>
      <c r="AG1248" s="244"/>
      <c r="AH1248" s="244"/>
      <c r="AI1248" s="245"/>
      <c r="AJ1248" s="245"/>
      <c r="AK1248" s="245"/>
      <c r="AL1248" s="245"/>
      <c r="AM1248" s="244"/>
      <c r="AN1248" s="244"/>
      <c r="AO1248" s="238">
        <v>0.0</v>
      </c>
      <c r="AP1248" s="238">
        <v>0.0</v>
      </c>
      <c r="AQ1248" s="235" t="s">
        <v>632</v>
      </c>
      <c r="AR1248" s="243">
        <v>1.68E11</v>
      </c>
      <c r="AS1248" s="235" t="s">
        <v>8807</v>
      </c>
      <c r="AT1248" s="235" t="s">
        <v>11</v>
      </c>
      <c r="AU1248" s="235" t="s">
        <v>634</v>
      </c>
      <c r="AV1248" s="246" t="s">
        <v>635</v>
      </c>
      <c r="AW1248" s="242"/>
      <c r="AX1248" s="242"/>
      <c r="AY1248" s="231"/>
      <c r="AZ1248" s="231"/>
      <c r="BA1248" s="227"/>
      <c r="BB1248" s="231"/>
      <c r="BC1248" s="227"/>
      <c r="BD1248" s="227"/>
      <c r="BE1248" s="227"/>
      <c r="BF1248" s="227"/>
    </row>
    <row r="1249">
      <c r="A1249" s="235" t="s">
        <v>10225</v>
      </c>
      <c r="C1249" s="235" t="s">
        <v>10226</v>
      </c>
      <c r="D1249" s="235" t="s">
        <v>10227</v>
      </c>
      <c r="E1249" s="243">
        <v>6.55E13</v>
      </c>
      <c r="F1249" s="245"/>
      <c r="G1249" s="235" t="s">
        <v>10228</v>
      </c>
      <c r="H1249" s="235" t="s">
        <v>10229</v>
      </c>
      <c r="I1249" s="235" t="s">
        <v>10229</v>
      </c>
      <c r="J1249" s="235" t="s">
        <v>10230</v>
      </c>
      <c r="K1249" s="235" t="s">
        <v>10231</v>
      </c>
      <c r="N1249" s="235" t="s">
        <v>92</v>
      </c>
      <c r="O1249" s="235" t="s">
        <v>248</v>
      </c>
      <c r="P1249" s="238">
        <v>1.0</v>
      </c>
      <c r="Q1249" s="235" t="s">
        <v>627</v>
      </c>
      <c r="R1249" s="238">
        <v>246.67</v>
      </c>
      <c r="S1249" s="238">
        <v>12.33</v>
      </c>
      <c r="T1249" s="238">
        <v>0.0</v>
      </c>
      <c r="U1249" s="238">
        <v>0.0</v>
      </c>
      <c r="V1249" s="238">
        <v>0.0</v>
      </c>
      <c r="W1249" s="238">
        <v>0.0</v>
      </c>
      <c r="X1249" s="235" t="s">
        <v>628</v>
      </c>
      <c r="Z1249" s="244"/>
      <c r="AA1249" s="244"/>
      <c r="AB1249" s="244"/>
      <c r="AC1249" s="235" t="s">
        <v>10232</v>
      </c>
      <c r="AD1249" s="235" t="s">
        <v>881</v>
      </c>
      <c r="AE1249" s="238">
        <v>759100.0</v>
      </c>
      <c r="AF1249" s="235" t="s">
        <v>631</v>
      </c>
      <c r="AG1249" s="244"/>
      <c r="AH1249" s="244"/>
      <c r="AI1249" s="245"/>
      <c r="AJ1249" s="245"/>
      <c r="AK1249" s="245"/>
      <c r="AL1249" s="245"/>
      <c r="AM1249" s="244"/>
      <c r="AN1249" s="244"/>
      <c r="AO1249" s="238">
        <v>0.0</v>
      </c>
      <c r="AP1249" s="238">
        <v>0.0</v>
      </c>
      <c r="AQ1249" s="235" t="s">
        <v>632</v>
      </c>
      <c r="AR1249" s="243">
        <v>3.71E11</v>
      </c>
      <c r="AS1249" s="235" t="s">
        <v>2276</v>
      </c>
      <c r="AT1249" s="235" t="s">
        <v>9</v>
      </c>
      <c r="AU1249" s="235" t="s">
        <v>634</v>
      </c>
      <c r="AV1249" s="246" t="s">
        <v>635</v>
      </c>
      <c r="AW1249" s="242"/>
      <c r="AX1249" s="242"/>
      <c r="AY1249" s="231"/>
      <c r="AZ1249" s="231"/>
      <c r="BA1249" s="227"/>
      <c r="BB1249" s="231"/>
      <c r="BC1249" s="227"/>
      <c r="BD1249" s="227"/>
      <c r="BE1249" s="227"/>
      <c r="BF1249" s="227"/>
    </row>
    <row r="1250">
      <c r="A1250" s="235" t="s">
        <v>10233</v>
      </c>
      <c r="C1250" s="235" t="s">
        <v>10234</v>
      </c>
      <c r="D1250" s="235" t="s">
        <v>10235</v>
      </c>
      <c r="E1250" s="243">
        <v>6.54E13</v>
      </c>
      <c r="F1250" s="245"/>
      <c r="G1250" s="235" t="s">
        <v>10236</v>
      </c>
      <c r="H1250" s="235" t="s">
        <v>9607</v>
      </c>
      <c r="I1250" s="235" t="s">
        <v>9607</v>
      </c>
      <c r="J1250" s="235" t="s">
        <v>10237</v>
      </c>
      <c r="K1250" s="235" t="s">
        <v>10238</v>
      </c>
      <c r="N1250" s="235" t="s">
        <v>22</v>
      </c>
      <c r="O1250" s="235" t="s">
        <v>729</v>
      </c>
      <c r="P1250" s="238">
        <v>1.0</v>
      </c>
      <c r="Q1250" s="235" t="s">
        <v>627</v>
      </c>
      <c r="R1250" s="238">
        <v>360.96</v>
      </c>
      <c r="S1250" s="238">
        <v>18.04</v>
      </c>
      <c r="T1250" s="238">
        <v>38.1</v>
      </c>
      <c r="U1250" s="238">
        <v>1.9</v>
      </c>
      <c r="V1250" s="238">
        <v>0.0</v>
      </c>
      <c r="W1250" s="238">
        <v>0.0</v>
      </c>
      <c r="X1250" s="235" t="s">
        <v>628</v>
      </c>
      <c r="Z1250" s="244"/>
      <c r="AA1250" s="244"/>
      <c r="AB1250" s="244"/>
      <c r="AC1250" s="235" t="s">
        <v>6182</v>
      </c>
      <c r="AD1250" s="235" t="s">
        <v>845</v>
      </c>
      <c r="AE1250" s="238">
        <v>401305.0</v>
      </c>
      <c r="AF1250" s="235" t="s">
        <v>631</v>
      </c>
      <c r="AG1250" s="244"/>
      <c r="AH1250" s="244"/>
      <c r="AI1250" s="245"/>
      <c r="AJ1250" s="245"/>
      <c r="AK1250" s="245"/>
      <c r="AL1250" s="245"/>
      <c r="AM1250" s="244"/>
      <c r="AN1250" s="244"/>
      <c r="AO1250" s="238">
        <v>0.0</v>
      </c>
      <c r="AP1250" s="238">
        <v>-38.1</v>
      </c>
      <c r="AQ1250" s="235" t="s">
        <v>632</v>
      </c>
      <c r="AR1250" s="243">
        <v>3.71E11</v>
      </c>
      <c r="AS1250" s="235" t="s">
        <v>8807</v>
      </c>
      <c r="AT1250" s="235" t="s">
        <v>16</v>
      </c>
      <c r="AU1250" s="235" t="s">
        <v>634</v>
      </c>
      <c r="AV1250" s="246" t="s">
        <v>635</v>
      </c>
      <c r="AW1250" s="242"/>
      <c r="AX1250" s="242"/>
      <c r="AY1250" s="231"/>
      <c r="AZ1250" s="231"/>
      <c r="BA1250" s="227"/>
      <c r="BB1250" s="231"/>
      <c r="BC1250" s="227"/>
      <c r="BD1250" s="227"/>
      <c r="BE1250" s="227"/>
      <c r="BF1250" s="227"/>
    </row>
    <row r="1251">
      <c r="A1251" s="235" t="s">
        <v>10239</v>
      </c>
      <c r="C1251" s="235" t="s">
        <v>10240</v>
      </c>
      <c r="D1251" s="235" t="s">
        <v>10241</v>
      </c>
      <c r="E1251" s="243">
        <v>6.55E13</v>
      </c>
      <c r="F1251" s="245"/>
      <c r="G1251" s="235" t="s">
        <v>10242</v>
      </c>
      <c r="H1251" s="235" t="s">
        <v>10243</v>
      </c>
      <c r="I1251" s="235" t="s">
        <v>10243</v>
      </c>
      <c r="J1251" s="235" t="s">
        <v>10244</v>
      </c>
      <c r="K1251" s="235" t="s">
        <v>10245</v>
      </c>
      <c r="N1251" s="235" t="s">
        <v>128</v>
      </c>
      <c r="O1251" s="235" t="s">
        <v>2710</v>
      </c>
      <c r="P1251" s="238">
        <v>1.0</v>
      </c>
      <c r="Q1251" s="235" t="s">
        <v>627</v>
      </c>
      <c r="R1251" s="238">
        <v>246.66</v>
      </c>
      <c r="S1251" s="238">
        <v>12.34</v>
      </c>
      <c r="T1251" s="238">
        <v>0.0</v>
      </c>
      <c r="U1251" s="238">
        <v>0.0</v>
      </c>
      <c r="V1251" s="238">
        <v>0.0</v>
      </c>
      <c r="W1251" s="238">
        <v>0.0</v>
      </c>
      <c r="X1251" s="235" t="s">
        <v>628</v>
      </c>
      <c r="Z1251" s="244"/>
      <c r="AA1251" s="244"/>
      <c r="AB1251" s="244"/>
      <c r="AC1251" s="235" t="s">
        <v>10246</v>
      </c>
      <c r="AD1251" s="235" t="s">
        <v>679</v>
      </c>
      <c r="AE1251" s="238">
        <v>584203.0</v>
      </c>
      <c r="AF1251" s="235" t="s">
        <v>631</v>
      </c>
      <c r="AG1251" s="244"/>
      <c r="AH1251" s="244"/>
      <c r="AI1251" s="245"/>
      <c r="AJ1251" s="245"/>
      <c r="AK1251" s="245"/>
      <c r="AL1251" s="245"/>
      <c r="AM1251" s="244"/>
      <c r="AN1251" s="244"/>
      <c r="AO1251" s="238">
        <v>0.0</v>
      </c>
      <c r="AP1251" s="238">
        <v>0.0</v>
      </c>
      <c r="AQ1251" s="235" t="s">
        <v>1328</v>
      </c>
      <c r="AR1251" s="243">
        <v>1.34E13</v>
      </c>
      <c r="AS1251" s="235" t="s">
        <v>3284</v>
      </c>
      <c r="AT1251" s="235" t="s">
        <v>11</v>
      </c>
      <c r="AU1251" s="235" t="s">
        <v>634</v>
      </c>
      <c r="AV1251" s="246" t="s">
        <v>635</v>
      </c>
      <c r="AW1251" s="242"/>
      <c r="AX1251" s="242"/>
      <c r="AY1251" s="231"/>
      <c r="AZ1251" s="231"/>
      <c r="BA1251" s="227"/>
      <c r="BB1251" s="231"/>
      <c r="BC1251" s="227"/>
      <c r="BD1251" s="227"/>
      <c r="BE1251" s="227"/>
      <c r="BF1251" s="227"/>
    </row>
    <row r="1252">
      <c r="A1252" s="235" t="s">
        <v>10247</v>
      </c>
      <c r="C1252" s="235" t="s">
        <v>10248</v>
      </c>
      <c r="D1252" s="235" t="s">
        <v>10249</v>
      </c>
      <c r="E1252" s="243">
        <v>6.55E13</v>
      </c>
      <c r="F1252" s="245"/>
      <c r="G1252" s="235" t="s">
        <v>10250</v>
      </c>
      <c r="H1252" s="235" t="s">
        <v>10251</v>
      </c>
      <c r="I1252" s="235" t="s">
        <v>10251</v>
      </c>
      <c r="J1252" s="235" t="s">
        <v>10252</v>
      </c>
      <c r="K1252" s="235" t="s">
        <v>10253</v>
      </c>
      <c r="N1252" s="235" t="s">
        <v>145</v>
      </c>
      <c r="O1252" s="235" t="s">
        <v>370</v>
      </c>
      <c r="P1252" s="238">
        <v>1.0</v>
      </c>
      <c r="Q1252" s="235" t="s">
        <v>627</v>
      </c>
      <c r="R1252" s="238">
        <v>1522.86</v>
      </c>
      <c r="S1252" s="238">
        <v>76.14</v>
      </c>
      <c r="T1252" s="238">
        <v>0.0</v>
      </c>
      <c r="U1252" s="238">
        <v>0.0</v>
      </c>
      <c r="V1252" s="238">
        <v>0.0</v>
      </c>
      <c r="W1252" s="238">
        <v>0.0</v>
      </c>
      <c r="X1252" s="235" t="s">
        <v>628</v>
      </c>
      <c r="Z1252" s="244"/>
      <c r="AA1252" s="244"/>
      <c r="AB1252" s="244"/>
      <c r="AC1252" s="235" t="s">
        <v>844</v>
      </c>
      <c r="AD1252" s="235" t="s">
        <v>845</v>
      </c>
      <c r="AE1252" s="238">
        <v>411045.0</v>
      </c>
      <c r="AF1252" s="235" t="s">
        <v>631</v>
      </c>
      <c r="AG1252" s="244"/>
      <c r="AH1252" s="244"/>
      <c r="AI1252" s="245"/>
      <c r="AJ1252" s="245"/>
      <c r="AK1252" s="245"/>
      <c r="AL1252" s="245"/>
      <c r="AM1252" s="244"/>
      <c r="AN1252" s="244"/>
      <c r="AO1252" s="238">
        <v>0.0</v>
      </c>
      <c r="AP1252" s="238">
        <v>0.0</v>
      </c>
      <c r="AQ1252" s="235" t="s">
        <v>632</v>
      </c>
      <c r="AR1252" s="243">
        <v>3.71E11</v>
      </c>
      <c r="AS1252" s="235" t="s">
        <v>8807</v>
      </c>
      <c r="AT1252" s="235" t="s">
        <v>546</v>
      </c>
      <c r="AU1252" s="235" t="s">
        <v>634</v>
      </c>
      <c r="AV1252" s="246" t="s">
        <v>635</v>
      </c>
      <c r="AW1252" s="242"/>
      <c r="AX1252" s="242"/>
      <c r="AY1252" s="231"/>
      <c r="AZ1252" s="231"/>
      <c r="BA1252" s="227"/>
      <c r="BB1252" s="231"/>
      <c r="BC1252" s="227"/>
      <c r="BD1252" s="227"/>
      <c r="BE1252" s="227"/>
      <c r="BF1252" s="227"/>
    </row>
    <row r="1253">
      <c r="A1253" s="235" t="s">
        <v>10254</v>
      </c>
      <c r="C1253" s="235" t="s">
        <v>10255</v>
      </c>
      <c r="D1253" s="235" t="s">
        <v>10256</v>
      </c>
      <c r="E1253" s="243">
        <v>6.55E13</v>
      </c>
      <c r="F1253" s="245"/>
      <c r="G1253" s="235" t="s">
        <v>10257</v>
      </c>
      <c r="H1253" s="235" t="s">
        <v>10258</v>
      </c>
      <c r="I1253" s="235" t="s">
        <v>10258</v>
      </c>
      <c r="J1253" s="235" t="s">
        <v>10259</v>
      </c>
      <c r="K1253" s="235" t="s">
        <v>10260</v>
      </c>
      <c r="N1253" s="235" t="s">
        <v>78</v>
      </c>
      <c r="O1253" s="235" t="s">
        <v>360</v>
      </c>
      <c r="P1253" s="238">
        <v>1.0</v>
      </c>
      <c r="Q1253" s="235" t="s">
        <v>627</v>
      </c>
      <c r="R1253" s="238">
        <v>360.96</v>
      </c>
      <c r="S1253" s="238">
        <v>18.04</v>
      </c>
      <c r="T1253" s="238">
        <v>38.1</v>
      </c>
      <c r="U1253" s="238">
        <v>1.9</v>
      </c>
      <c r="V1253" s="238">
        <v>0.0</v>
      </c>
      <c r="W1253" s="238">
        <v>0.0</v>
      </c>
      <c r="X1253" s="235" t="s">
        <v>628</v>
      </c>
      <c r="Z1253" s="244"/>
      <c r="AA1253" s="244"/>
      <c r="AB1253" s="244"/>
      <c r="AC1253" s="235" t="s">
        <v>678</v>
      </c>
      <c r="AD1253" s="235" t="s">
        <v>679</v>
      </c>
      <c r="AE1253" s="238">
        <v>560058.0</v>
      </c>
      <c r="AF1253" s="235" t="s">
        <v>631</v>
      </c>
      <c r="AG1253" s="244"/>
      <c r="AH1253" s="244"/>
      <c r="AI1253" s="245"/>
      <c r="AJ1253" s="245"/>
      <c r="AK1253" s="245"/>
      <c r="AL1253" s="245"/>
      <c r="AM1253" s="244"/>
      <c r="AN1253" s="244"/>
      <c r="AO1253" s="238">
        <v>0.0</v>
      </c>
      <c r="AP1253" s="238">
        <v>-38.1</v>
      </c>
      <c r="AQ1253" s="235" t="s">
        <v>632</v>
      </c>
      <c r="AR1253" s="243">
        <v>3.71E11</v>
      </c>
      <c r="AS1253" s="235" t="s">
        <v>8807</v>
      </c>
      <c r="AT1253" s="235" t="s">
        <v>11</v>
      </c>
      <c r="AU1253" s="235" t="s">
        <v>634</v>
      </c>
      <c r="AV1253" s="246" t="s">
        <v>635</v>
      </c>
      <c r="AW1253" s="242"/>
      <c r="AX1253" s="242"/>
      <c r="AY1253" s="231"/>
      <c r="AZ1253" s="231"/>
      <c r="BA1253" s="227"/>
      <c r="BB1253" s="231"/>
      <c r="BC1253" s="227"/>
      <c r="BD1253" s="227"/>
      <c r="BE1253" s="227"/>
      <c r="BF1253" s="227"/>
    </row>
    <row r="1254">
      <c r="A1254" s="235" t="s">
        <v>10261</v>
      </c>
      <c r="C1254" s="235" t="s">
        <v>10262</v>
      </c>
      <c r="D1254" s="235" t="s">
        <v>10263</v>
      </c>
      <c r="E1254" s="243">
        <v>6.55E13</v>
      </c>
      <c r="F1254" s="245"/>
      <c r="G1254" s="235" t="s">
        <v>10264</v>
      </c>
      <c r="H1254" s="235" t="s">
        <v>10265</v>
      </c>
      <c r="I1254" s="235" t="s">
        <v>10266</v>
      </c>
      <c r="J1254" s="235" t="s">
        <v>10267</v>
      </c>
      <c r="K1254" s="235" t="s">
        <v>10268</v>
      </c>
      <c r="N1254" s="235" t="s">
        <v>726</v>
      </c>
      <c r="O1254" s="235" t="s">
        <v>727</v>
      </c>
      <c r="P1254" s="238">
        <v>1.0</v>
      </c>
      <c r="Q1254" s="235" t="s">
        <v>627</v>
      </c>
      <c r="R1254" s="238">
        <v>246.66</v>
      </c>
      <c r="S1254" s="238">
        <v>12.34</v>
      </c>
      <c r="T1254" s="238">
        <v>38.1</v>
      </c>
      <c r="U1254" s="238">
        <v>1.9</v>
      </c>
      <c r="V1254" s="238">
        <v>0.0</v>
      </c>
      <c r="W1254" s="238">
        <v>0.0</v>
      </c>
      <c r="X1254" s="235" t="s">
        <v>628</v>
      </c>
      <c r="Z1254" s="244"/>
      <c r="AA1254" s="244"/>
      <c r="AB1254" s="244"/>
      <c r="AC1254" s="235" t="s">
        <v>10269</v>
      </c>
      <c r="AD1254" s="235" t="s">
        <v>666</v>
      </c>
      <c r="AE1254" s="238">
        <v>600066.0</v>
      </c>
      <c r="AF1254" s="235" t="s">
        <v>631</v>
      </c>
      <c r="AG1254" s="244"/>
      <c r="AH1254" s="244"/>
      <c r="AI1254" s="245"/>
      <c r="AJ1254" s="245"/>
      <c r="AK1254" s="245"/>
      <c r="AL1254" s="245"/>
      <c r="AM1254" s="244"/>
      <c r="AN1254" s="244"/>
      <c r="AO1254" s="238">
        <v>0.0</v>
      </c>
      <c r="AP1254" s="238">
        <v>-38.1</v>
      </c>
      <c r="AQ1254" s="235" t="s">
        <v>632</v>
      </c>
      <c r="AR1254" s="243">
        <v>3.71E11</v>
      </c>
      <c r="AS1254" s="235" t="s">
        <v>8807</v>
      </c>
      <c r="AT1254" s="235" t="s">
        <v>156</v>
      </c>
      <c r="AU1254" s="235" t="s">
        <v>634</v>
      </c>
      <c r="AV1254" s="246" t="s">
        <v>635</v>
      </c>
      <c r="AW1254" s="242"/>
      <c r="AX1254" s="242"/>
      <c r="AY1254" s="231"/>
      <c r="AZ1254" s="231"/>
      <c r="BA1254" s="227"/>
      <c r="BB1254" s="231"/>
      <c r="BC1254" s="227"/>
      <c r="BD1254" s="227"/>
      <c r="BE1254" s="227"/>
      <c r="BF1254" s="227"/>
    </row>
    <row r="1255">
      <c r="A1255" s="235" t="s">
        <v>10270</v>
      </c>
      <c r="C1255" s="235" t="s">
        <v>10271</v>
      </c>
      <c r="D1255" s="235" t="s">
        <v>10272</v>
      </c>
      <c r="E1255" s="243">
        <v>6.55E13</v>
      </c>
      <c r="F1255" s="245"/>
      <c r="G1255" s="235" t="s">
        <v>10273</v>
      </c>
      <c r="H1255" s="235" t="s">
        <v>10274</v>
      </c>
      <c r="I1255" s="235" t="s">
        <v>10274</v>
      </c>
      <c r="J1255" s="235" t="s">
        <v>10275</v>
      </c>
      <c r="K1255" s="235" t="s">
        <v>10276</v>
      </c>
      <c r="N1255" s="235" t="s">
        <v>962</v>
      </c>
      <c r="O1255" s="235" t="s">
        <v>963</v>
      </c>
      <c r="P1255" s="238">
        <v>1.0</v>
      </c>
      <c r="Q1255" s="235" t="s">
        <v>627</v>
      </c>
      <c r="R1255" s="238">
        <v>246.67</v>
      </c>
      <c r="S1255" s="238">
        <v>12.33</v>
      </c>
      <c r="T1255" s="238">
        <v>0.0</v>
      </c>
      <c r="U1255" s="238">
        <v>0.0</v>
      </c>
      <c r="V1255" s="238">
        <v>0.0</v>
      </c>
      <c r="W1255" s="238">
        <v>0.0</v>
      </c>
      <c r="X1255" s="235" t="s">
        <v>628</v>
      </c>
      <c r="Z1255" s="244"/>
      <c r="AA1255" s="244"/>
      <c r="AB1255" s="244"/>
      <c r="AC1255" s="235" t="s">
        <v>10277</v>
      </c>
      <c r="AD1255" s="235" t="s">
        <v>1086</v>
      </c>
      <c r="AE1255" s="238">
        <v>144602.0</v>
      </c>
      <c r="AF1255" s="235" t="s">
        <v>631</v>
      </c>
      <c r="AG1255" s="244"/>
      <c r="AH1255" s="244"/>
      <c r="AI1255" s="245"/>
      <c r="AJ1255" s="245"/>
      <c r="AK1255" s="245"/>
      <c r="AL1255" s="245"/>
      <c r="AM1255" s="244"/>
      <c r="AN1255" s="244"/>
      <c r="AO1255" s="238">
        <v>0.0</v>
      </c>
      <c r="AP1255" s="238">
        <v>0.0</v>
      </c>
      <c r="AQ1255" s="235" t="s">
        <v>632</v>
      </c>
      <c r="AR1255" s="243">
        <v>3.71E11</v>
      </c>
      <c r="AS1255" s="235" t="s">
        <v>7365</v>
      </c>
      <c r="AT1255" s="235" t="s">
        <v>13</v>
      </c>
      <c r="AU1255" s="235" t="s">
        <v>634</v>
      </c>
      <c r="AV1255" s="246" t="s">
        <v>635</v>
      </c>
      <c r="AW1255" s="242"/>
      <c r="AX1255" s="242"/>
      <c r="AY1255" s="231"/>
      <c r="AZ1255" s="231"/>
      <c r="BA1255" s="227"/>
      <c r="BB1255" s="231"/>
      <c r="BC1255" s="227"/>
      <c r="BD1255" s="227"/>
      <c r="BE1255" s="227"/>
      <c r="BF1255" s="227"/>
    </row>
    <row r="1256">
      <c r="A1256" s="235" t="s">
        <v>10278</v>
      </c>
      <c r="C1256" s="235" t="s">
        <v>10279</v>
      </c>
      <c r="D1256" s="235" t="s">
        <v>10280</v>
      </c>
      <c r="E1256" s="243">
        <v>6.55E13</v>
      </c>
      <c r="F1256" s="245"/>
      <c r="G1256" s="235" t="s">
        <v>10281</v>
      </c>
      <c r="H1256" s="235" t="s">
        <v>10282</v>
      </c>
      <c r="I1256" s="235" t="s">
        <v>10282</v>
      </c>
      <c r="J1256" s="235" t="s">
        <v>10283</v>
      </c>
      <c r="K1256" s="235" t="s">
        <v>10284</v>
      </c>
      <c r="N1256" s="235" t="s">
        <v>962</v>
      </c>
      <c r="O1256" s="235" t="s">
        <v>963</v>
      </c>
      <c r="P1256" s="238">
        <v>1.0</v>
      </c>
      <c r="Q1256" s="235" t="s">
        <v>627</v>
      </c>
      <c r="R1256" s="238">
        <v>246.67</v>
      </c>
      <c r="S1256" s="238">
        <v>12.33</v>
      </c>
      <c r="T1256" s="238">
        <v>38.1</v>
      </c>
      <c r="U1256" s="238">
        <v>1.9</v>
      </c>
      <c r="V1256" s="238">
        <v>0.0</v>
      </c>
      <c r="W1256" s="238">
        <v>0.0</v>
      </c>
      <c r="X1256" s="235" t="s">
        <v>628</v>
      </c>
      <c r="Z1256" s="244"/>
      <c r="AA1256" s="244"/>
      <c r="AB1256" s="244"/>
      <c r="AC1256" s="235" t="s">
        <v>10285</v>
      </c>
      <c r="AD1256" s="235" t="s">
        <v>630</v>
      </c>
      <c r="AE1256" s="238">
        <v>242401.0</v>
      </c>
      <c r="AF1256" s="235" t="s">
        <v>631</v>
      </c>
      <c r="AG1256" s="244"/>
      <c r="AH1256" s="244"/>
      <c r="AI1256" s="245"/>
      <c r="AJ1256" s="245"/>
      <c r="AK1256" s="245"/>
      <c r="AL1256" s="245"/>
      <c r="AM1256" s="244"/>
      <c r="AN1256" s="244"/>
      <c r="AO1256" s="238">
        <v>0.0</v>
      </c>
      <c r="AP1256" s="238">
        <v>-38.1</v>
      </c>
      <c r="AQ1256" s="235" t="s">
        <v>632</v>
      </c>
      <c r="AR1256" s="243">
        <v>3.71E11</v>
      </c>
      <c r="AS1256" s="235" t="s">
        <v>7365</v>
      </c>
      <c r="AT1256" s="235" t="s">
        <v>13</v>
      </c>
      <c r="AU1256" s="235" t="s">
        <v>634</v>
      </c>
      <c r="AV1256" s="246" t="s">
        <v>635</v>
      </c>
      <c r="AW1256" s="242"/>
      <c r="AX1256" s="242"/>
      <c r="AY1256" s="231"/>
      <c r="AZ1256" s="231"/>
      <c r="BA1256" s="227"/>
      <c r="BB1256" s="231"/>
      <c r="BC1256" s="227"/>
      <c r="BD1256" s="227"/>
      <c r="BE1256" s="227"/>
      <c r="BF1256" s="227"/>
    </row>
    <row r="1257">
      <c r="A1257" s="235" t="s">
        <v>10286</v>
      </c>
      <c r="C1257" s="235" t="s">
        <v>10287</v>
      </c>
      <c r="D1257" s="235" t="s">
        <v>10288</v>
      </c>
      <c r="E1257" s="243">
        <v>6.55E13</v>
      </c>
      <c r="F1257" s="245"/>
      <c r="G1257" s="235" t="s">
        <v>10289</v>
      </c>
      <c r="H1257" s="235" t="s">
        <v>10290</v>
      </c>
      <c r="I1257" s="235" t="s">
        <v>10291</v>
      </c>
      <c r="J1257" s="235" t="s">
        <v>10292</v>
      </c>
      <c r="K1257" s="235" t="s">
        <v>10293</v>
      </c>
      <c r="N1257" s="235" t="s">
        <v>51</v>
      </c>
      <c r="O1257" s="235" t="s">
        <v>273</v>
      </c>
      <c r="P1257" s="238">
        <v>1.0</v>
      </c>
      <c r="Q1257" s="235" t="s">
        <v>627</v>
      </c>
      <c r="R1257" s="238">
        <v>237.14</v>
      </c>
      <c r="S1257" s="238">
        <v>11.86</v>
      </c>
      <c r="T1257" s="238">
        <v>0.0</v>
      </c>
      <c r="U1257" s="238">
        <v>0.0</v>
      </c>
      <c r="V1257" s="238">
        <v>0.0</v>
      </c>
      <c r="W1257" s="238">
        <v>0.0</v>
      </c>
      <c r="X1257" s="235" t="s">
        <v>628</v>
      </c>
      <c r="Z1257" s="244"/>
      <c r="AA1257" s="244"/>
      <c r="AB1257" s="244"/>
      <c r="AC1257" s="235" t="s">
        <v>697</v>
      </c>
      <c r="AD1257" s="235" t="s">
        <v>698</v>
      </c>
      <c r="AE1257" s="238">
        <v>500050.0</v>
      </c>
      <c r="AF1257" s="235" t="s">
        <v>631</v>
      </c>
      <c r="AG1257" s="244"/>
      <c r="AH1257" s="244"/>
      <c r="AI1257" s="245"/>
      <c r="AJ1257" s="245"/>
      <c r="AK1257" s="245"/>
      <c r="AL1257" s="245"/>
      <c r="AM1257" s="244"/>
      <c r="AN1257" s="244"/>
      <c r="AO1257" s="238">
        <v>0.0</v>
      </c>
      <c r="AP1257" s="238">
        <v>0.0</v>
      </c>
      <c r="AQ1257" s="235" t="s">
        <v>632</v>
      </c>
      <c r="AR1257" s="243">
        <v>1.68E11</v>
      </c>
      <c r="AS1257" s="235" t="s">
        <v>8807</v>
      </c>
      <c r="AT1257" s="235" t="s">
        <v>156</v>
      </c>
      <c r="AU1257" s="235" t="s">
        <v>634</v>
      </c>
      <c r="AV1257" s="246" t="s">
        <v>635</v>
      </c>
      <c r="AW1257" s="242"/>
      <c r="AX1257" s="242"/>
      <c r="AY1257" s="231"/>
      <c r="AZ1257" s="231"/>
      <c r="BA1257" s="227"/>
      <c r="BB1257" s="231"/>
      <c r="BC1257" s="227"/>
      <c r="BD1257" s="227"/>
      <c r="BE1257" s="227"/>
      <c r="BF1257" s="227"/>
    </row>
    <row r="1258">
      <c r="A1258" s="235" t="s">
        <v>10294</v>
      </c>
      <c r="C1258" s="235" t="s">
        <v>10295</v>
      </c>
      <c r="D1258" s="235" t="s">
        <v>10296</v>
      </c>
      <c r="E1258" s="243">
        <v>6.55E13</v>
      </c>
      <c r="F1258" s="245"/>
      <c r="G1258" s="235" t="s">
        <v>10297</v>
      </c>
      <c r="H1258" s="235" t="s">
        <v>10298</v>
      </c>
      <c r="I1258" s="235" t="s">
        <v>10298</v>
      </c>
      <c r="J1258" s="235" t="s">
        <v>10299</v>
      </c>
      <c r="K1258" s="235" t="s">
        <v>10300</v>
      </c>
      <c r="N1258" s="235" t="s">
        <v>53</v>
      </c>
      <c r="O1258" s="235" t="s">
        <v>512</v>
      </c>
      <c r="P1258" s="238">
        <v>1.0</v>
      </c>
      <c r="Q1258" s="235" t="s">
        <v>627</v>
      </c>
      <c r="R1258" s="238">
        <v>237.14</v>
      </c>
      <c r="S1258" s="238">
        <v>11.62</v>
      </c>
      <c r="T1258" s="238">
        <v>0.0</v>
      </c>
      <c r="U1258" s="238">
        <v>0.0</v>
      </c>
      <c r="V1258" s="238">
        <v>0.0</v>
      </c>
      <c r="W1258" s="238">
        <v>0.0</v>
      </c>
      <c r="X1258" s="235" t="s">
        <v>628</v>
      </c>
      <c r="Z1258" s="244"/>
      <c r="AA1258" s="244"/>
      <c r="AB1258" s="244"/>
      <c r="AC1258" s="235" t="s">
        <v>814</v>
      </c>
      <c r="AD1258" s="235" t="s">
        <v>698</v>
      </c>
      <c r="AE1258" s="238">
        <v>500104.0</v>
      </c>
      <c r="AF1258" s="235" t="s">
        <v>631</v>
      </c>
      <c r="AG1258" s="244"/>
      <c r="AH1258" s="244"/>
      <c r="AI1258" s="245"/>
      <c r="AJ1258" s="245"/>
      <c r="AK1258" s="245"/>
      <c r="AL1258" s="245"/>
      <c r="AM1258" s="244"/>
      <c r="AN1258" s="244"/>
      <c r="AO1258" s="238">
        <v>-4.74</v>
      </c>
      <c r="AP1258" s="238">
        <v>0.0</v>
      </c>
      <c r="AQ1258" s="235" t="s">
        <v>1356</v>
      </c>
      <c r="AR1258" s="247" t="s">
        <v>10301</v>
      </c>
      <c r="AS1258" s="235" t="s">
        <v>2276</v>
      </c>
      <c r="AT1258" s="235" t="s">
        <v>546</v>
      </c>
      <c r="AU1258" s="235" t="s">
        <v>634</v>
      </c>
      <c r="AV1258" s="246" t="s">
        <v>635</v>
      </c>
      <c r="AW1258" s="242"/>
      <c r="AX1258" s="242"/>
      <c r="AY1258" s="231"/>
      <c r="AZ1258" s="231"/>
      <c r="BA1258" s="227"/>
      <c r="BB1258" s="231"/>
      <c r="BC1258" s="227"/>
      <c r="BD1258" s="227"/>
      <c r="BE1258" s="227"/>
      <c r="BF1258" s="227"/>
    </row>
    <row r="1259">
      <c r="A1259" s="235" t="s">
        <v>10302</v>
      </c>
      <c r="C1259" s="235" t="s">
        <v>10303</v>
      </c>
      <c r="D1259" s="235" t="s">
        <v>10304</v>
      </c>
      <c r="E1259" s="243">
        <v>6.55E13</v>
      </c>
      <c r="F1259" s="245"/>
      <c r="G1259" s="235" t="s">
        <v>10305</v>
      </c>
      <c r="H1259" s="235" t="s">
        <v>10306</v>
      </c>
      <c r="I1259" s="235" t="s">
        <v>10306</v>
      </c>
      <c r="J1259" s="235" t="s">
        <v>10307</v>
      </c>
      <c r="K1259" s="235" t="s">
        <v>10308</v>
      </c>
      <c r="N1259" s="235" t="s">
        <v>138</v>
      </c>
      <c r="O1259" s="235" t="s">
        <v>675</v>
      </c>
      <c r="P1259" s="238">
        <v>1.0</v>
      </c>
      <c r="Q1259" s="235" t="s">
        <v>627</v>
      </c>
      <c r="R1259" s="238">
        <v>246.67</v>
      </c>
      <c r="S1259" s="238">
        <v>12.33</v>
      </c>
      <c r="T1259" s="238">
        <v>38.1</v>
      </c>
      <c r="U1259" s="238">
        <v>1.9</v>
      </c>
      <c r="V1259" s="238">
        <v>0.0</v>
      </c>
      <c r="W1259" s="238">
        <v>0.0</v>
      </c>
      <c r="X1259" s="235" t="s">
        <v>628</v>
      </c>
      <c r="Z1259" s="244"/>
      <c r="AA1259" s="244"/>
      <c r="AB1259" s="244"/>
      <c r="AC1259" s="235" t="s">
        <v>697</v>
      </c>
      <c r="AD1259" s="235" t="s">
        <v>698</v>
      </c>
      <c r="AE1259" s="238">
        <v>500090.0</v>
      </c>
      <c r="AF1259" s="235" t="s">
        <v>631</v>
      </c>
      <c r="AG1259" s="244"/>
      <c r="AH1259" s="244"/>
      <c r="AI1259" s="245"/>
      <c r="AJ1259" s="245"/>
      <c r="AK1259" s="245"/>
      <c r="AL1259" s="245"/>
      <c r="AM1259" s="244"/>
      <c r="AN1259" s="244"/>
      <c r="AO1259" s="238">
        <v>0.0</v>
      </c>
      <c r="AP1259" s="238">
        <v>0.0</v>
      </c>
      <c r="AQ1259" s="235" t="s">
        <v>632</v>
      </c>
      <c r="AR1259" s="243">
        <v>3.71E11</v>
      </c>
      <c r="AS1259" s="235" t="s">
        <v>6164</v>
      </c>
      <c r="AT1259" s="235" t="s">
        <v>546</v>
      </c>
      <c r="AU1259" s="235" t="s">
        <v>634</v>
      </c>
      <c r="AV1259" s="246" t="s">
        <v>635</v>
      </c>
      <c r="AW1259" s="242"/>
      <c r="AX1259" s="242"/>
      <c r="AY1259" s="231"/>
      <c r="AZ1259" s="231"/>
      <c r="BA1259" s="227"/>
      <c r="BB1259" s="231"/>
      <c r="BC1259" s="227"/>
      <c r="BD1259" s="227"/>
      <c r="BE1259" s="227"/>
      <c r="BF1259" s="227"/>
    </row>
    <row r="1260">
      <c r="A1260" s="235" t="s">
        <v>10309</v>
      </c>
      <c r="C1260" s="235" t="s">
        <v>10310</v>
      </c>
      <c r="D1260" s="235" t="s">
        <v>10311</v>
      </c>
      <c r="E1260" s="243">
        <v>6.55E13</v>
      </c>
      <c r="F1260" s="245"/>
      <c r="G1260" s="235" t="s">
        <v>10312</v>
      </c>
      <c r="H1260" s="235" t="s">
        <v>10313</v>
      </c>
      <c r="I1260" s="235" t="s">
        <v>10313</v>
      </c>
      <c r="J1260" s="235" t="s">
        <v>10314</v>
      </c>
      <c r="K1260" s="235" t="s">
        <v>10315</v>
      </c>
      <c r="N1260" s="235" t="s">
        <v>110</v>
      </c>
      <c r="O1260" s="235" t="s">
        <v>364</v>
      </c>
      <c r="P1260" s="238">
        <v>1.0</v>
      </c>
      <c r="Q1260" s="235" t="s">
        <v>627</v>
      </c>
      <c r="R1260" s="238">
        <v>246.66</v>
      </c>
      <c r="S1260" s="238">
        <v>12.34</v>
      </c>
      <c r="T1260" s="238">
        <v>38.1</v>
      </c>
      <c r="U1260" s="238">
        <v>1.9</v>
      </c>
      <c r="V1260" s="238">
        <v>0.0</v>
      </c>
      <c r="W1260" s="238">
        <v>0.0</v>
      </c>
      <c r="X1260" s="235" t="s">
        <v>628</v>
      </c>
      <c r="Z1260" s="244"/>
      <c r="AA1260" s="244"/>
      <c r="AB1260" s="244"/>
      <c r="AC1260" s="235" t="s">
        <v>10316</v>
      </c>
      <c r="AD1260" s="235" t="s">
        <v>1077</v>
      </c>
      <c r="AE1260" s="238">
        <v>391760.0</v>
      </c>
      <c r="AF1260" s="235" t="s">
        <v>631</v>
      </c>
      <c r="AG1260" s="244"/>
      <c r="AH1260" s="244"/>
      <c r="AI1260" s="245"/>
      <c r="AJ1260" s="245"/>
      <c r="AK1260" s="245"/>
      <c r="AL1260" s="245"/>
      <c r="AM1260" s="244"/>
      <c r="AN1260" s="244"/>
      <c r="AO1260" s="238">
        <v>0.0</v>
      </c>
      <c r="AP1260" s="238">
        <v>0.0</v>
      </c>
      <c r="AQ1260" s="235" t="s">
        <v>632</v>
      </c>
      <c r="AR1260" s="243">
        <v>3.71E11</v>
      </c>
      <c r="AS1260" s="235" t="s">
        <v>8807</v>
      </c>
      <c r="AT1260" s="235" t="s">
        <v>5</v>
      </c>
      <c r="AU1260" s="235" t="s">
        <v>634</v>
      </c>
      <c r="AV1260" s="246" t="s">
        <v>635</v>
      </c>
      <c r="AW1260" s="242"/>
      <c r="AX1260" s="242"/>
      <c r="AY1260" s="231"/>
      <c r="AZ1260" s="231"/>
      <c r="BA1260" s="227"/>
      <c r="BB1260" s="231"/>
      <c r="BC1260" s="227"/>
      <c r="BD1260" s="227"/>
      <c r="BE1260" s="227"/>
      <c r="BF1260" s="227"/>
    </row>
    <row r="1261">
      <c r="A1261" s="235" t="s">
        <v>10317</v>
      </c>
      <c r="C1261" s="235" t="s">
        <v>10318</v>
      </c>
      <c r="D1261" s="235" t="s">
        <v>10319</v>
      </c>
      <c r="E1261" s="243">
        <v>6.55E13</v>
      </c>
      <c r="F1261" s="245"/>
      <c r="G1261" s="235" t="s">
        <v>10320</v>
      </c>
      <c r="H1261" s="235" t="s">
        <v>10321</v>
      </c>
      <c r="I1261" s="235" t="s">
        <v>10321</v>
      </c>
      <c r="J1261" s="235" t="s">
        <v>10322</v>
      </c>
      <c r="K1261" s="235" t="s">
        <v>10323</v>
      </c>
      <c r="N1261" s="235" t="s">
        <v>10</v>
      </c>
      <c r="O1261" s="235" t="s">
        <v>936</v>
      </c>
      <c r="P1261" s="238">
        <v>1.0</v>
      </c>
      <c r="Q1261" s="235" t="s">
        <v>627</v>
      </c>
      <c r="R1261" s="238">
        <v>265.72</v>
      </c>
      <c r="S1261" s="238">
        <v>13.28</v>
      </c>
      <c r="T1261" s="238">
        <v>38.1</v>
      </c>
      <c r="U1261" s="238">
        <v>1.9</v>
      </c>
      <c r="V1261" s="238">
        <v>0.0</v>
      </c>
      <c r="W1261" s="238">
        <v>0.0</v>
      </c>
      <c r="X1261" s="235" t="s">
        <v>628</v>
      </c>
      <c r="Z1261" s="244"/>
      <c r="AA1261" s="244"/>
      <c r="AB1261" s="244"/>
      <c r="AC1261" s="235" t="s">
        <v>10324</v>
      </c>
      <c r="AD1261" s="235" t="s">
        <v>666</v>
      </c>
      <c r="AE1261" s="238">
        <v>629153.0</v>
      </c>
      <c r="AF1261" s="235" t="s">
        <v>631</v>
      </c>
      <c r="AG1261" s="244"/>
      <c r="AH1261" s="244"/>
      <c r="AI1261" s="245"/>
      <c r="AJ1261" s="245"/>
      <c r="AK1261" s="245"/>
      <c r="AL1261" s="245"/>
      <c r="AM1261" s="244"/>
      <c r="AN1261" s="244"/>
      <c r="AO1261" s="238">
        <v>0.0</v>
      </c>
      <c r="AP1261" s="238">
        <v>-38.1</v>
      </c>
      <c r="AQ1261" s="235" t="s">
        <v>632</v>
      </c>
      <c r="AR1261" s="243">
        <v>3.71E11</v>
      </c>
      <c r="AS1261" s="235" t="s">
        <v>8807</v>
      </c>
      <c r="AT1261" s="235" t="s">
        <v>155</v>
      </c>
      <c r="AU1261" s="235" t="s">
        <v>634</v>
      </c>
      <c r="AV1261" s="246" t="s">
        <v>635</v>
      </c>
      <c r="AW1261" s="242"/>
      <c r="AX1261" s="242"/>
      <c r="AY1261" s="231"/>
      <c r="AZ1261" s="231"/>
      <c r="BA1261" s="227"/>
      <c r="BB1261" s="231"/>
      <c r="BC1261" s="227"/>
      <c r="BD1261" s="227"/>
      <c r="BE1261" s="227"/>
      <c r="BF1261" s="227"/>
    </row>
    <row r="1262">
      <c r="A1262" s="235" t="s">
        <v>10325</v>
      </c>
      <c r="C1262" s="235" t="s">
        <v>10326</v>
      </c>
      <c r="D1262" s="235" t="s">
        <v>10327</v>
      </c>
      <c r="E1262" s="243">
        <v>6.55E13</v>
      </c>
      <c r="F1262" s="245"/>
      <c r="G1262" s="235" t="s">
        <v>10328</v>
      </c>
      <c r="H1262" s="235" t="s">
        <v>10329</v>
      </c>
      <c r="I1262" s="235" t="s">
        <v>10329</v>
      </c>
      <c r="J1262" s="235" t="s">
        <v>10330</v>
      </c>
      <c r="K1262" s="235" t="s">
        <v>10331</v>
      </c>
      <c r="N1262" s="235" t="s">
        <v>127</v>
      </c>
      <c r="O1262" s="235" t="s">
        <v>794</v>
      </c>
      <c r="P1262" s="238">
        <v>1.0</v>
      </c>
      <c r="Q1262" s="235" t="s">
        <v>627</v>
      </c>
      <c r="R1262" s="238">
        <v>246.67</v>
      </c>
      <c r="S1262" s="238">
        <v>12.33</v>
      </c>
      <c r="T1262" s="238">
        <v>0.0</v>
      </c>
      <c r="U1262" s="238">
        <v>0.0</v>
      </c>
      <c r="V1262" s="238">
        <v>0.0</v>
      </c>
      <c r="W1262" s="238">
        <v>0.0</v>
      </c>
      <c r="X1262" s="235" t="s">
        <v>628</v>
      </c>
      <c r="Z1262" s="244"/>
      <c r="AA1262" s="244"/>
      <c r="AB1262" s="244"/>
      <c r="AC1262" s="235" t="s">
        <v>10332</v>
      </c>
      <c r="AD1262" s="235" t="s">
        <v>1086</v>
      </c>
      <c r="AE1262" s="238">
        <v>145001.0</v>
      </c>
      <c r="AF1262" s="235" t="s">
        <v>631</v>
      </c>
      <c r="AG1262" s="244"/>
      <c r="AH1262" s="244"/>
      <c r="AI1262" s="245"/>
      <c r="AJ1262" s="245"/>
      <c r="AK1262" s="245"/>
      <c r="AL1262" s="245"/>
      <c r="AM1262" s="244"/>
      <c r="AN1262" s="244"/>
      <c r="AO1262" s="238">
        <v>0.0</v>
      </c>
      <c r="AP1262" s="238">
        <v>0.0</v>
      </c>
      <c r="AQ1262" s="235" t="s">
        <v>632</v>
      </c>
      <c r="AR1262" s="243">
        <v>1.68E11</v>
      </c>
      <c r="AS1262" s="235" t="s">
        <v>8807</v>
      </c>
      <c r="AT1262" s="235" t="s">
        <v>14</v>
      </c>
      <c r="AU1262" s="235" t="s">
        <v>634</v>
      </c>
      <c r="AV1262" s="246" t="s">
        <v>635</v>
      </c>
      <c r="AW1262" s="242"/>
      <c r="AX1262" s="242"/>
      <c r="AY1262" s="231"/>
      <c r="AZ1262" s="231"/>
      <c r="BA1262" s="227"/>
      <c r="BB1262" s="231"/>
      <c r="BC1262" s="227"/>
      <c r="BD1262" s="227"/>
      <c r="BE1262" s="227"/>
      <c r="BF1262" s="227"/>
    </row>
    <row r="1263">
      <c r="A1263" s="235" t="s">
        <v>10333</v>
      </c>
      <c r="C1263" s="235" t="s">
        <v>10334</v>
      </c>
      <c r="D1263" s="235" t="s">
        <v>10335</v>
      </c>
      <c r="E1263" s="243">
        <v>6.55E13</v>
      </c>
      <c r="F1263" s="245"/>
      <c r="G1263" s="235" t="s">
        <v>10336</v>
      </c>
      <c r="H1263" s="235" t="s">
        <v>10337</v>
      </c>
      <c r="I1263" s="235" t="s">
        <v>10337</v>
      </c>
      <c r="J1263" s="235" t="s">
        <v>10338</v>
      </c>
      <c r="K1263" s="235" t="s">
        <v>10339</v>
      </c>
      <c r="N1263" s="235" t="s">
        <v>78</v>
      </c>
      <c r="O1263" s="235" t="s">
        <v>360</v>
      </c>
      <c r="P1263" s="238">
        <v>1.0</v>
      </c>
      <c r="Q1263" s="235" t="s">
        <v>627</v>
      </c>
      <c r="R1263" s="238">
        <v>360.95</v>
      </c>
      <c r="S1263" s="238">
        <v>18.05</v>
      </c>
      <c r="T1263" s="238">
        <v>38.1</v>
      </c>
      <c r="U1263" s="238">
        <v>1.9</v>
      </c>
      <c r="V1263" s="238">
        <v>0.0</v>
      </c>
      <c r="W1263" s="238">
        <v>0.0</v>
      </c>
      <c r="X1263" s="235" t="s">
        <v>628</v>
      </c>
      <c r="Z1263" s="244"/>
      <c r="AA1263" s="244"/>
      <c r="AB1263" s="244"/>
      <c r="AC1263" s="235" t="s">
        <v>10340</v>
      </c>
      <c r="AD1263" s="235" t="s">
        <v>666</v>
      </c>
      <c r="AE1263" s="238">
        <v>622301.0</v>
      </c>
      <c r="AF1263" s="235" t="s">
        <v>631</v>
      </c>
      <c r="AG1263" s="244"/>
      <c r="AH1263" s="244"/>
      <c r="AI1263" s="245"/>
      <c r="AJ1263" s="245"/>
      <c r="AK1263" s="245"/>
      <c r="AL1263" s="245"/>
      <c r="AM1263" s="244"/>
      <c r="AN1263" s="244"/>
      <c r="AO1263" s="238">
        <v>0.0</v>
      </c>
      <c r="AP1263" s="238">
        <v>-38.1</v>
      </c>
      <c r="AQ1263" s="235" t="s">
        <v>632</v>
      </c>
      <c r="AR1263" s="243">
        <v>3.71E11</v>
      </c>
      <c r="AS1263" s="235" t="s">
        <v>7365</v>
      </c>
      <c r="AT1263" s="235" t="s">
        <v>9</v>
      </c>
      <c r="AU1263" s="235" t="s">
        <v>634</v>
      </c>
      <c r="AV1263" s="246" t="s">
        <v>635</v>
      </c>
      <c r="AW1263" s="242"/>
      <c r="AX1263" s="242"/>
      <c r="AY1263" s="231"/>
      <c r="AZ1263" s="231"/>
      <c r="BA1263" s="227"/>
      <c r="BB1263" s="231"/>
      <c r="BC1263" s="227"/>
      <c r="BD1263" s="227"/>
      <c r="BE1263" s="227"/>
      <c r="BF1263" s="227"/>
    </row>
    <row r="1264">
      <c r="A1264" s="235" t="s">
        <v>10341</v>
      </c>
      <c r="C1264" s="235" t="s">
        <v>10342</v>
      </c>
      <c r="D1264" s="235" t="s">
        <v>10343</v>
      </c>
      <c r="E1264" s="243">
        <v>6.54E13</v>
      </c>
      <c r="F1264" s="245"/>
      <c r="G1264" s="235" t="s">
        <v>10344</v>
      </c>
      <c r="H1264" s="235" t="s">
        <v>10345</v>
      </c>
      <c r="I1264" s="235" t="s">
        <v>10345</v>
      </c>
      <c r="J1264" s="235" t="s">
        <v>10346</v>
      </c>
      <c r="K1264" s="235" t="s">
        <v>10347</v>
      </c>
      <c r="N1264" s="235" t="s">
        <v>82</v>
      </c>
      <c r="O1264" s="235" t="s">
        <v>889</v>
      </c>
      <c r="P1264" s="238">
        <v>1.0</v>
      </c>
      <c r="Q1264" s="235" t="s">
        <v>627</v>
      </c>
      <c r="R1264" s="238">
        <v>246.67</v>
      </c>
      <c r="S1264" s="238">
        <v>12.33</v>
      </c>
      <c r="T1264" s="238">
        <v>38.1</v>
      </c>
      <c r="U1264" s="238">
        <v>1.9</v>
      </c>
      <c r="V1264" s="238">
        <v>0.0</v>
      </c>
      <c r="W1264" s="238">
        <v>0.0</v>
      </c>
      <c r="X1264" s="235" t="s">
        <v>628</v>
      </c>
      <c r="Z1264" s="244"/>
      <c r="AA1264" s="244"/>
      <c r="AB1264" s="244"/>
      <c r="AC1264" s="235" t="s">
        <v>10348</v>
      </c>
      <c r="AD1264" s="235" t="s">
        <v>666</v>
      </c>
      <c r="AE1264" s="238">
        <v>639001.0</v>
      </c>
      <c r="AF1264" s="235" t="s">
        <v>631</v>
      </c>
      <c r="AG1264" s="244"/>
      <c r="AH1264" s="244"/>
      <c r="AI1264" s="245"/>
      <c r="AJ1264" s="245"/>
      <c r="AK1264" s="245"/>
      <c r="AL1264" s="245"/>
      <c r="AM1264" s="244"/>
      <c r="AN1264" s="244"/>
      <c r="AO1264" s="238">
        <v>0.0</v>
      </c>
      <c r="AP1264" s="238">
        <v>-38.1</v>
      </c>
      <c r="AQ1264" s="235" t="s">
        <v>632</v>
      </c>
      <c r="AR1264" s="243">
        <v>3.71E11</v>
      </c>
      <c r="AS1264" s="235" t="s">
        <v>8807</v>
      </c>
      <c r="AT1264" s="235" t="s">
        <v>9</v>
      </c>
      <c r="AU1264" s="235" t="s">
        <v>634</v>
      </c>
      <c r="AV1264" s="246" t="s">
        <v>635</v>
      </c>
      <c r="AW1264" s="242"/>
      <c r="AX1264" s="242"/>
      <c r="AY1264" s="231"/>
      <c r="AZ1264" s="231"/>
      <c r="BA1264" s="227"/>
      <c r="BB1264" s="231"/>
      <c r="BC1264" s="227"/>
      <c r="BD1264" s="227"/>
      <c r="BE1264" s="227"/>
      <c r="BF1264" s="227"/>
    </row>
    <row r="1265">
      <c r="A1265" s="235" t="s">
        <v>10349</v>
      </c>
      <c r="C1265" s="235" t="s">
        <v>10350</v>
      </c>
      <c r="D1265" s="235" t="s">
        <v>10351</v>
      </c>
      <c r="E1265" s="243">
        <v>6.55E13</v>
      </c>
      <c r="F1265" s="245"/>
      <c r="G1265" s="235" t="s">
        <v>10352</v>
      </c>
      <c r="H1265" s="235" t="s">
        <v>10353</v>
      </c>
      <c r="I1265" s="235" t="s">
        <v>10353</v>
      </c>
      <c r="J1265" s="235" t="s">
        <v>10354</v>
      </c>
      <c r="K1265" s="235" t="s">
        <v>10355</v>
      </c>
      <c r="N1265" s="235" t="s">
        <v>1346</v>
      </c>
      <c r="O1265" s="235" t="s">
        <v>1347</v>
      </c>
      <c r="P1265" s="238">
        <v>1.0</v>
      </c>
      <c r="Q1265" s="235" t="s">
        <v>627</v>
      </c>
      <c r="R1265" s="238">
        <v>256.19</v>
      </c>
      <c r="S1265" s="238">
        <v>12.81</v>
      </c>
      <c r="T1265" s="238">
        <v>38.1</v>
      </c>
      <c r="U1265" s="238">
        <v>1.9</v>
      </c>
      <c r="V1265" s="238">
        <v>0.0</v>
      </c>
      <c r="W1265" s="238">
        <v>0.0</v>
      </c>
      <c r="X1265" s="235" t="s">
        <v>628</v>
      </c>
      <c r="Z1265" s="244"/>
      <c r="AA1265" s="244"/>
      <c r="AB1265" s="244"/>
      <c r="AC1265" s="235" t="s">
        <v>3707</v>
      </c>
      <c r="AD1265" s="235" t="s">
        <v>630</v>
      </c>
      <c r="AE1265" s="238">
        <v>262701.0</v>
      </c>
      <c r="AF1265" s="235" t="s">
        <v>631</v>
      </c>
      <c r="AG1265" s="244"/>
      <c r="AH1265" s="244"/>
      <c r="AI1265" s="245"/>
      <c r="AJ1265" s="245"/>
      <c r="AK1265" s="245"/>
      <c r="AL1265" s="245"/>
      <c r="AM1265" s="244"/>
      <c r="AN1265" s="244"/>
      <c r="AO1265" s="238">
        <v>0.0</v>
      </c>
      <c r="AP1265" s="238">
        <v>-38.1</v>
      </c>
      <c r="AQ1265" s="235" t="s">
        <v>632</v>
      </c>
      <c r="AR1265" s="243">
        <v>3.71E11</v>
      </c>
      <c r="AS1265" s="235" t="s">
        <v>3284</v>
      </c>
      <c r="AT1265" s="235" t="s">
        <v>9</v>
      </c>
      <c r="AU1265" s="235" t="s">
        <v>634</v>
      </c>
      <c r="AV1265" s="246" t="s">
        <v>635</v>
      </c>
      <c r="AW1265" s="242"/>
      <c r="AX1265" s="242"/>
      <c r="AY1265" s="231"/>
      <c r="AZ1265" s="231"/>
      <c r="BA1265" s="227"/>
      <c r="BB1265" s="231"/>
      <c r="BC1265" s="227"/>
      <c r="BD1265" s="227"/>
      <c r="BE1265" s="227"/>
      <c r="BF1265" s="227"/>
    </row>
    <row r="1266">
      <c r="A1266" s="235" t="s">
        <v>10356</v>
      </c>
      <c r="C1266" s="235" t="s">
        <v>10357</v>
      </c>
      <c r="D1266" s="235" t="s">
        <v>10358</v>
      </c>
      <c r="E1266" s="243">
        <v>6.55E13</v>
      </c>
      <c r="F1266" s="245"/>
      <c r="G1266" s="235" t="s">
        <v>10359</v>
      </c>
      <c r="H1266" s="235" t="s">
        <v>10360</v>
      </c>
      <c r="I1266" s="235" t="s">
        <v>10360</v>
      </c>
      <c r="J1266" s="235" t="s">
        <v>10361</v>
      </c>
      <c r="K1266" s="235" t="s">
        <v>10362</v>
      </c>
      <c r="N1266" s="235" t="s">
        <v>1346</v>
      </c>
      <c r="O1266" s="235" t="s">
        <v>1347</v>
      </c>
      <c r="P1266" s="238">
        <v>1.0</v>
      </c>
      <c r="Q1266" s="235" t="s">
        <v>627</v>
      </c>
      <c r="R1266" s="238">
        <v>256.19</v>
      </c>
      <c r="S1266" s="238">
        <v>12.81</v>
      </c>
      <c r="T1266" s="238">
        <v>0.0</v>
      </c>
      <c r="U1266" s="238">
        <v>0.0</v>
      </c>
      <c r="V1266" s="238">
        <v>0.0</v>
      </c>
      <c r="W1266" s="238">
        <v>0.0</v>
      </c>
      <c r="X1266" s="235" t="s">
        <v>628</v>
      </c>
      <c r="Z1266" s="244"/>
      <c r="AA1266" s="244"/>
      <c r="AB1266" s="244"/>
      <c r="AC1266" s="235" t="s">
        <v>10363</v>
      </c>
      <c r="AD1266" s="235" t="s">
        <v>645</v>
      </c>
      <c r="AE1266" s="238">
        <v>682004.0</v>
      </c>
      <c r="AF1266" s="235" t="s">
        <v>631</v>
      </c>
      <c r="AG1266" s="244"/>
      <c r="AH1266" s="244"/>
      <c r="AI1266" s="245"/>
      <c r="AJ1266" s="245"/>
      <c r="AK1266" s="245"/>
      <c r="AL1266" s="245"/>
      <c r="AM1266" s="244"/>
      <c r="AN1266" s="244"/>
      <c r="AO1266" s="238">
        <v>0.0</v>
      </c>
      <c r="AP1266" s="238">
        <v>0.0</v>
      </c>
      <c r="AQ1266" s="235" t="s">
        <v>632</v>
      </c>
      <c r="AR1266" s="243">
        <v>3.71E11</v>
      </c>
      <c r="AS1266" s="235" t="s">
        <v>7365</v>
      </c>
      <c r="AT1266" s="235" t="s">
        <v>9</v>
      </c>
      <c r="AU1266" s="235" t="s">
        <v>634</v>
      </c>
      <c r="AV1266" s="246" t="s">
        <v>635</v>
      </c>
      <c r="AW1266" s="242"/>
      <c r="AX1266" s="242"/>
      <c r="AY1266" s="231"/>
      <c r="AZ1266" s="231"/>
      <c r="BA1266" s="227"/>
      <c r="BB1266" s="231"/>
      <c r="BC1266" s="227"/>
      <c r="BD1266" s="227"/>
      <c r="BE1266" s="227"/>
      <c r="BF1266" s="227"/>
    </row>
    <row r="1267">
      <c r="A1267" s="235" t="s">
        <v>10364</v>
      </c>
      <c r="C1267" s="235" t="s">
        <v>10365</v>
      </c>
      <c r="D1267" s="235" t="s">
        <v>10366</v>
      </c>
      <c r="E1267" s="243">
        <v>6.55E13</v>
      </c>
      <c r="F1267" s="245"/>
      <c r="G1267" s="235" t="s">
        <v>10367</v>
      </c>
      <c r="H1267" s="235" t="s">
        <v>10368</v>
      </c>
      <c r="I1267" s="235" t="s">
        <v>10368</v>
      </c>
      <c r="J1267" s="235" t="s">
        <v>10369</v>
      </c>
      <c r="K1267" s="235" t="s">
        <v>10370</v>
      </c>
      <c r="N1267" s="235" t="s">
        <v>30</v>
      </c>
      <c r="O1267" s="235" t="s">
        <v>692</v>
      </c>
      <c r="P1267" s="238">
        <v>1.0</v>
      </c>
      <c r="Q1267" s="235" t="s">
        <v>627</v>
      </c>
      <c r="R1267" s="238">
        <v>446.67</v>
      </c>
      <c r="S1267" s="238">
        <v>21.88</v>
      </c>
      <c r="T1267" s="238">
        <v>0.0</v>
      </c>
      <c r="U1267" s="238">
        <v>0.0</v>
      </c>
      <c r="V1267" s="238">
        <v>0.0</v>
      </c>
      <c r="W1267" s="238">
        <v>0.0</v>
      </c>
      <c r="X1267" s="235" t="s">
        <v>628</v>
      </c>
      <c r="Z1267" s="244"/>
      <c r="AA1267" s="244"/>
      <c r="AB1267" s="244"/>
      <c r="AC1267" s="235" t="s">
        <v>795</v>
      </c>
      <c r="AD1267" s="235" t="s">
        <v>796</v>
      </c>
      <c r="AE1267" s="238">
        <v>110020.0</v>
      </c>
      <c r="AF1267" s="235" t="s">
        <v>631</v>
      </c>
      <c r="AG1267" s="244"/>
      <c r="AH1267" s="244"/>
      <c r="AI1267" s="245"/>
      <c r="AJ1267" s="245"/>
      <c r="AK1267" s="245"/>
      <c r="AL1267" s="245"/>
      <c r="AM1267" s="244"/>
      <c r="AN1267" s="244"/>
      <c r="AO1267" s="238">
        <v>-8.93</v>
      </c>
      <c r="AP1267" s="238">
        <v>0.0</v>
      </c>
      <c r="AQ1267" s="235" t="s">
        <v>632</v>
      </c>
      <c r="AR1267" s="243">
        <v>3.71E11</v>
      </c>
      <c r="AS1267" s="235" t="s">
        <v>8807</v>
      </c>
      <c r="AT1267" s="235" t="s">
        <v>533</v>
      </c>
      <c r="AU1267" s="235" t="s">
        <v>634</v>
      </c>
      <c r="AV1267" s="246" t="s">
        <v>635</v>
      </c>
      <c r="AW1267" s="242"/>
      <c r="AX1267" s="242"/>
      <c r="AY1267" s="231"/>
      <c r="AZ1267" s="231"/>
      <c r="BA1267" s="227"/>
      <c r="BB1267" s="231"/>
      <c r="BC1267" s="227"/>
      <c r="BD1267" s="227"/>
      <c r="BE1267" s="227"/>
      <c r="BF1267" s="227"/>
    </row>
    <row r="1268">
      <c r="A1268" s="235" t="s">
        <v>10371</v>
      </c>
      <c r="C1268" s="235" t="s">
        <v>10372</v>
      </c>
      <c r="D1268" s="235" t="s">
        <v>10373</v>
      </c>
      <c r="E1268" s="243">
        <v>6.55E13</v>
      </c>
      <c r="F1268" s="245"/>
      <c r="G1268" s="235" t="s">
        <v>10374</v>
      </c>
      <c r="H1268" s="235" t="s">
        <v>10375</v>
      </c>
      <c r="I1268" s="235" t="s">
        <v>10375</v>
      </c>
      <c r="J1268" s="235" t="s">
        <v>10376</v>
      </c>
      <c r="K1268" s="235" t="s">
        <v>10377</v>
      </c>
      <c r="N1268" s="235" t="s">
        <v>78</v>
      </c>
      <c r="O1268" s="235" t="s">
        <v>360</v>
      </c>
      <c r="P1268" s="238">
        <v>1.0</v>
      </c>
      <c r="Q1268" s="235" t="s">
        <v>627</v>
      </c>
      <c r="R1268" s="238">
        <v>360.95</v>
      </c>
      <c r="S1268" s="238">
        <v>18.05</v>
      </c>
      <c r="T1268" s="238">
        <v>38.1</v>
      </c>
      <c r="U1268" s="238">
        <v>1.9</v>
      </c>
      <c r="V1268" s="238">
        <v>0.0</v>
      </c>
      <c r="W1268" s="238">
        <v>0.0</v>
      </c>
      <c r="X1268" s="235" t="s">
        <v>628</v>
      </c>
      <c r="Z1268" s="244"/>
      <c r="AA1268" s="244"/>
      <c r="AB1268" s="244"/>
      <c r="AC1268" s="235" t="s">
        <v>3374</v>
      </c>
      <c r="AD1268" s="235" t="s">
        <v>645</v>
      </c>
      <c r="AE1268" s="238">
        <v>695017.0</v>
      </c>
      <c r="AF1268" s="235" t="s">
        <v>631</v>
      </c>
      <c r="AG1268" s="244"/>
      <c r="AH1268" s="244"/>
      <c r="AI1268" s="245"/>
      <c r="AJ1268" s="245"/>
      <c r="AK1268" s="245"/>
      <c r="AL1268" s="245"/>
      <c r="AM1268" s="244"/>
      <c r="AN1268" s="244"/>
      <c r="AO1268" s="238">
        <v>0.0</v>
      </c>
      <c r="AP1268" s="238">
        <v>-38.1</v>
      </c>
      <c r="AQ1268" s="235" t="s">
        <v>632</v>
      </c>
      <c r="AR1268" s="243">
        <v>1.68E11</v>
      </c>
      <c r="AS1268" s="235" t="s">
        <v>8807</v>
      </c>
      <c r="AT1268" s="235" t="s">
        <v>11</v>
      </c>
      <c r="AU1268" s="235" t="s">
        <v>634</v>
      </c>
      <c r="AV1268" s="246" t="s">
        <v>635</v>
      </c>
      <c r="AW1268" s="242"/>
      <c r="AX1268" s="242"/>
      <c r="AY1268" s="231"/>
      <c r="AZ1268" s="231"/>
      <c r="BA1268" s="227"/>
      <c r="BB1268" s="231"/>
      <c r="BC1268" s="227"/>
      <c r="BD1268" s="227"/>
      <c r="BE1268" s="227"/>
      <c r="BF1268" s="227"/>
    </row>
    <row r="1269">
      <c r="A1269" s="235" t="s">
        <v>10378</v>
      </c>
      <c r="C1269" s="235" t="s">
        <v>10379</v>
      </c>
      <c r="D1269" s="235" t="s">
        <v>10380</v>
      </c>
      <c r="E1269" s="243">
        <v>6.55E13</v>
      </c>
      <c r="F1269" s="245"/>
      <c r="G1269" s="235" t="s">
        <v>10381</v>
      </c>
      <c r="H1269" s="235" t="s">
        <v>10382</v>
      </c>
      <c r="I1269" s="235" t="s">
        <v>10383</v>
      </c>
      <c r="J1269" s="235" t="s">
        <v>10384</v>
      </c>
      <c r="K1269" s="235" t="s">
        <v>10385</v>
      </c>
      <c r="N1269" s="235" t="s">
        <v>962</v>
      </c>
      <c r="O1269" s="235" t="s">
        <v>963</v>
      </c>
      <c r="P1269" s="238">
        <v>1.0</v>
      </c>
      <c r="Q1269" s="235" t="s">
        <v>627</v>
      </c>
      <c r="R1269" s="238">
        <v>246.67</v>
      </c>
      <c r="S1269" s="238">
        <v>12.33</v>
      </c>
      <c r="T1269" s="238">
        <v>75.24</v>
      </c>
      <c r="U1269" s="238">
        <v>3.76</v>
      </c>
      <c r="V1269" s="238">
        <v>0.0</v>
      </c>
      <c r="W1269" s="238">
        <v>0.0</v>
      </c>
      <c r="X1269" s="235" t="s">
        <v>628</v>
      </c>
      <c r="Z1269" s="244"/>
      <c r="AA1269" s="244"/>
      <c r="AB1269" s="244"/>
      <c r="AC1269" s="235" t="s">
        <v>5260</v>
      </c>
      <c r="AD1269" s="235" t="s">
        <v>5260</v>
      </c>
      <c r="AE1269" s="238">
        <v>160019.0</v>
      </c>
      <c r="AF1269" s="235" t="s">
        <v>631</v>
      </c>
      <c r="AG1269" s="244"/>
      <c r="AH1269" s="244"/>
      <c r="AI1269" s="245"/>
      <c r="AJ1269" s="245"/>
      <c r="AK1269" s="245"/>
      <c r="AL1269" s="245"/>
      <c r="AM1269" s="244"/>
      <c r="AN1269" s="244"/>
      <c r="AO1269" s="238">
        <v>0.0</v>
      </c>
      <c r="AP1269" s="238">
        <v>-75.24</v>
      </c>
      <c r="AQ1269" s="235" t="s">
        <v>632</v>
      </c>
      <c r="AR1269" s="243">
        <v>1.68E11</v>
      </c>
      <c r="AS1269" s="235" t="s">
        <v>8807</v>
      </c>
      <c r="AT1269" s="235" t="s">
        <v>14</v>
      </c>
      <c r="AU1269" s="235" t="s">
        <v>634</v>
      </c>
      <c r="AV1269" s="246" t="s">
        <v>635</v>
      </c>
      <c r="AW1269" s="242"/>
      <c r="AX1269" s="242"/>
      <c r="AY1269" s="231"/>
      <c r="AZ1269" s="231"/>
      <c r="BA1269" s="227"/>
      <c r="BB1269" s="231"/>
      <c r="BC1269" s="227"/>
      <c r="BD1269" s="227"/>
      <c r="BE1269" s="227"/>
      <c r="BF1269" s="227"/>
    </row>
    <row r="1270">
      <c r="A1270" s="235" t="s">
        <v>10386</v>
      </c>
      <c r="C1270" s="235" t="s">
        <v>10387</v>
      </c>
      <c r="D1270" s="235" t="s">
        <v>10388</v>
      </c>
      <c r="E1270" s="243">
        <v>6.54E13</v>
      </c>
      <c r="F1270" s="245"/>
      <c r="G1270" s="235" t="s">
        <v>10389</v>
      </c>
      <c r="H1270" s="235" t="s">
        <v>10390</v>
      </c>
      <c r="I1270" s="235" t="s">
        <v>10391</v>
      </c>
      <c r="J1270" s="235" t="s">
        <v>10392</v>
      </c>
      <c r="K1270" s="235" t="s">
        <v>10393</v>
      </c>
      <c r="N1270" s="235" t="s">
        <v>85</v>
      </c>
      <c r="O1270" s="235" t="s">
        <v>872</v>
      </c>
      <c r="P1270" s="238">
        <v>1.0</v>
      </c>
      <c r="Q1270" s="235" t="s">
        <v>627</v>
      </c>
      <c r="R1270" s="238">
        <v>270.48</v>
      </c>
      <c r="S1270" s="238">
        <v>13.25</v>
      </c>
      <c r="T1270" s="238">
        <v>38.1</v>
      </c>
      <c r="U1270" s="238">
        <v>1.9</v>
      </c>
      <c r="V1270" s="238">
        <v>0.0</v>
      </c>
      <c r="W1270" s="238">
        <v>0.0</v>
      </c>
      <c r="X1270" s="235" t="s">
        <v>628</v>
      </c>
      <c r="Z1270" s="244"/>
      <c r="AA1270" s="244"/>
      <c r="AB1270" s="244"/>
      <c r="AC1270" s="235" t="s">
        <v>1095</v>
      </c>
      <c r="AD1270" s="235" t="s">
        <v>845</v>
      </c>
      <c r="AE1270" s="238">
        <v>400701.0</v>
      </c>
      <c r="AF1270" s="235" t="s">
        <v>631</v>
      </c>
      <c r="AG1270" s="244"/>
      <c r="AH1270" s="244"/>
      <c r="AI1270" s="245"/>
      <c r="AJ1270" s="245"/>
      <c r="AK1270" s="245"/>
      <c r="AL1270" s="245"/>
      <c r="AM1270" s="244"/>
      <c r="AN1270" s="244"/>
      <c r="AO1270" s="238">
        <v>-5.41</v>
      </c>
      <c r="AP1270" s="238">
        <v>-38.1</v>
      </c>
      <c r="AQ1270" s="235" t="s">
        <v>632</v>
      </c>
      <c r="AR1270" s="243">
        <v>3.71E11</v>
      </c>
      <c r="AS1270" s="235" t="s">
        <v>8807</v>
      </c>
      <c r="AT1270" s="235" t="s">
        <v>17</v>
      </c>
      <c r="AU1270" s="235" t="s">
        <v>634</v>
      </c>
      <c r="AV1270" s="246" t="s">
        <v>635</v>
      </c>
      <c r="AW1270" s="242"/>
      <c r="AX1270" s="242"/>
      <c r="AY1270" s="231"/>
      <c r="AZ1270" s="231"/>
      <c r="BA1270" s="227"/>
      <c r="BB1270" s="231"/>
      <c r="BC1270" s="227"/>
      <c r="BD1270" s="227"/>
      <c r="BE1270" s="227"/>
      <c r="BF1270" s="227"/>
    </row>
    <row r="1271">
      <c r="A1271" s="235" t="s">
        <v>10395</v>
      </c>
      <c r="C1271" s="235" t="s">
        <v>10396</v>
      </c>
      <c r="D1271" s="235" t="s">
        <v>10397</v>
      </c>
      <c r="E1271" s="243">
        <v>6.55E13</v>
      </c>
      <c r="F1271" s="245"/>
      <c r="G1271" s="235" t="s">
        <v>10398</v>
      </c>
      <c r="H1271" s="235" t="s">
        <v>10399</v>
      </c>
      <c r="I1271" s="235" t="s">
        <v>10399</v>
      </c>
      <c r="J1271" s="235" t="s">
        <v>10400</v>
      </c>
      <c r="K1271" s="235" t="s">
        <v>10401</v>
      </c>
      <c r="N1271" s="235" t="s">
        <v>127</v>
      </c>
      <c r="O1271" s="235" t="s">
        <v>794</v>
      </c>
      <c r="P1271" s="238">
        <v>1.0</v>
      </c>
      <c r="Q1271" s="235" t="s">
        <v>627</v>
      </c>
      <c r="R1271" s="238">
        <v>246.66</v>
      </c>
      <c r="S1271" s="238">
        <v>12.34</v>
      </c>
      <c r="T1271" s="238">
        <v>38.1</v>
      </c>
      <c r="U1271" s="238">
        <v>1.9</v>
      </c>
      <c r="V1271" s="238">
        <v>0.0</v>
      </c>
      <c r="W1271" s="238">
        <v>0.0</v>
      </c>
      <c r="X1271" s="235" t="s">
        <v>628</v>
      </c>
      <c r="Z1271" s="244"/>
      <c r="AA1271" s="244"/>
      <c r="AB1271" s="244"/>
      <c r="AC1271" s="235" t="s">
        <v>6555</v>
      </c>
      <c r="AD1271" s="235" t="s">
        <v>679</v>
      </c>
      <c r="AE1271" s="238">
        <v>575006.0</v>
      </c>
      <c r="AF1271" s="235" t="s">
        <v>631</v>
      </c>
      <c r="AG1271" s="244"/>
      <c r="AH1271" s="244"/>
      <c r="AI1271" s="245"/>
      <c r="AJ1271" s="245"/>
      <c r="AK1271" s="245"/>
      <c r="AL1271" s="245"/>
      <c r="AM1271" s="244"/>
      <c r="AN1271" s="244"/>
      <c r="AO1271" s="238">
        <v>0.0</v>
      </c>
      <c r="AP1271" s="238">
        <v>0.0</v>
      </c>
      <c r="AQ1271" s="235" t="s">
        <v>632</v>
      </c>
      <c r="AR1271" s="243">
        <v>3.71E11</v>
      </c>
      <c r="AS1271" s="235" t="s">
        <v>8807</v>
      </c>
      <c r="AT1271" s="235" t="s">
        <v>9</v>
      </c>
      <c r="AU1271" s="235" t="s">
        <v>634</v>
      </c>
      <c r="AV1271" s="246" t="s">
        <v>635</v>
      </c>
      <c r="AW1271" s="242"/>
      <c r="AX1271" s="242"/>
      <c r="AY1271" s="231"/>
      <c r="AZ1271" s="231"/>
      <c r="BA1271" s="227"/>
      <c r="BB1271" s="231"/>
      <c r="BC1271" s="227"/>
      <c r="BD1271" s="227"/>
      <c r="BE1271" s="227"/>
      <c r="BF1271" s="227"/>
    </row>
    <row r="1272">
      <c r="A1272" s="235" t="s">
        <v>10402</v>
      </c>
      <c r="C1272" s="235" t="s">
        <v>10403</v>
      </c>
      <c r="D1272" s="235" t="s">
        <v>10404</v>
      </c>
      <c r="E1272" s="243">
        <v>6.55E13</v>
      </c>
      <c r="F1272" s="245"/>
      <c r="G1272" s="235" t="s">
        <v>10405</v>
      </c>
      <c r="H1272" s="235" t="s">
        <v>10406</v>
      </c>
      <c r="I1272" s="235" t="s">
        <v>10406</v>
      </c>
      <c r="J1272" s="235" t="s">
        <v>10407</v>
      </c>
      <c r="K1272" s="235" t="s">
        <v>10408</v>
      </c>
      <c r="N1272" s="235" t="s">
        <v>136</v>
      </c>
      <c r="O1272" s="235" t="s">
        <v>256</v>
      </c>
      <c r="P1272" s="238">
        <v>1.0</v>
      </c>
      <c r="Q1272" s="235" t="s">
        <v>627</v>
      </c>
      <c r="R1272" s="238">
        <v>246.67</v>
      </c>
      <c r="S1272" s="238">
        <v>12.33</v>
      </c>
      <c r="T1272" s="238">
        <v>38.1</v>
      </c>
      <c r="U1272" s="238">
        <v>1.9</v>
      </c>
      <c r="V1272" s="238">
        <v>0.0</v>
      </c>
      <c r="W1272" s="238">
        <v>0.0</v>
      </c>
      <c r="X1272" s="235" t="s">
        <v>628</v>
      </c>
      <c r="Z1272" s="244"/>
      <c r="AA1272" s="244"/>
      <c r="AB1272" s="244"/>
      <c r="AC1272" s="235" t="s">
        <v>10409</v>
      </c>
      <c r="AD1272" s="235" t="s">
        <v>731</v>
      </c>
      <c r="AE1272" s="238">
        <v>784523.0</v>
      </c>
      <c r="AF1272" s="235" t="s">
        <v>631</v>
      </c>
      <c r="AG1272" s="244"/>
      <c r="AH1272" s="244"/>
      <c r="AI1272" s="245"/>
      <c r="AJ1272" s="245"/>
      <c r="AK1272" s="245"/>
      <c r="AL1272" s="245"/>
      <c r="AM1272" s="244"/>
      <c r="AN1272" s="244"/>
      <c r="AO1272" s="238">
        <v>0.0</v>
      </c>
      <c r="AP1272" s="238">
        <v>-38.1</v>
      </c>
      <c r="AQ1272" s="235" t="s">
        <v>632</v>
      </c>
      <c r="AR1272" s="243">
        <v>3.71E11</v>
      </c>
      <c r="AS1272" s="235" t="s">
        <v>3284</v>
      </c>
      <c r="AT1272" s="235" t="s">
        <v>13</v>
      </c>
      <c r="AU1272" s="235" t="s">
        <v>634</v>
      </c>
      <c r="AV1272" s="246" t="s">
        <v>635</v>
      </c>
      <c r="AW1272" s="242"/>
      <c r="AX1272" s="242"/>
      <c r="AY1272" s="231"/>
      <c r="AZ1272" s="231"/>
      <c r="BA1272" s="227"/>
      <c r="BB1272" s="231"/>
      <c r="BC1272" s="227"/>
      <c r="BD1272" s="227"/>
      <c r="BE1272" s="227"/>
      <c r="BF1272" s="227"/>
    </row>
    <row r="1273">
      <c r="A1273" s="235" t="s">
        <v>10410</v>
      </c>
      <c r="C1273" s="235" t="s">
        <v>10411</v>
      </c>
      <c r="D1273" s="235" t="s">
        <v>10412</v>
      </c>
      <c r="E1273" s="243">
        <v>6.55E13</v>
      </c>
      <c r="F1273" s="245"/>
      <c r="G1273" s="235" t="s">
        <v>10413</v>
      </c>
      <c r="H1273" s="235" t="s">
        <v>10414</v>
      </c>
      <c r="I1273" s="235" t="s">
        <v>10414</v>
      </c>
      <c r="J1273" s="235" t="s">
        <v>10415</v>
      </c>
      <c r="K1273" s="235" t="s">
        <v>10416</v>
      </c>
      <c r="N1273" s="235" t="s">
        <v>154</v>
      </c>
      <c r="O1273" s="235" t="s">
        <v>766</v>
      </c>
      <c r="P1273" s="238">
        <v>1.0</v>
      </c>
      <c r="Q1273" s="235" t="s">
        <v>627</v>
      </c>
      <c r="R1273" s="238">
        <v>465.72</v>
      </c>
      <c r="S1273" s="238">
        <v>23.28</v>
      </c>
      <c r="T1273" s="238">
        <v>18.1</v>
      </c>
      <c r="U1273" s="238">
        <v>0.9</v>
      </c>
      <c r="V1273" s="238">
        <v>0.0</v>
      </c>
      <c r="W1273" s="238">
        <v>0.0</v>
      </c>
      <c r="X1273" s="235" t="s">
        <v>628</v>
      </c>
      <c r="Z1273" s="244"/>
      <c r="AA1273" s="244"/>
      <c r="AB1273" s="244"/>
      <c r="AC1273" s="235" t="s">
        <v>687</v>
      </c>
      <c r="AD1273" s="235" t="s">
        <v>666</v>
      </c>
      <c r="AE1273" s="238">
        <v>600026.0</v>
      </c>
      <c r="AF1273" s="235" t="s">
        <v>631</v>
      </c>
      <c r="AG1273" s="244"/>
      <c r="AH1273" s="244"/>
      <c r="AI1273" s="245"/>
      <c r="AJ1273" s="245"/>
      <c r="AK1273" s="245"/>
      <c r="AL1273" s="245"/>
      <c r="AM1273" s="244"/>
      <c r="AN1273" s="244"/>
      <c r="AO1273" s="238">
        <v>0.0</v>
      </c>
      <c r="AP1273" s="238">
        <v>-18.1</v>
      </c>
      <c r="AQ1273" s="235" t="s">
        <v>632</v>
      </c>
      <c r="AR1273" s="243">
        <v>1.68E11</v>
      </c>
      <c r="AS1273" s="235" t="s">
        <v>10417</v>
      </c>
      <c r="AT1273" s="235" t="s">
        <v>156</v>
      </c>
      <c r="AU1273" s="235" t="s">
        <v>634</v>
      </c>
      <c r="AV1273" s="246" t="s">
        <v>635</v>
      </c>
      <c r="AW1273" s="242"/>
      <c r="AX1273" s="242"/>
      <c r="AY1273" s="231"/>
      <c r="AZ1273" s="231"/>
      <c r="BA1273" s="227"/>
      <c r="BB1273" s="231"/>
      <c r="BC1273" s="227"/>
      <c r="BD1273" s="227"/>
      <c r="BE1273" s="227"/>
      <c r="BF1273" s="227"/>
    </row>
    <row r="1274">
      <c r="A1274" s="235" t="s">
        <v>10418</v>
      </c>
      <c r="C1274" s="235" t="s">
        <v>10419</v>
      </c>
      <c r="D1274" s="235" t="s">
        <v>10420</v>
      </c>
      <c r="E1274" s="243">
        <v>6.55E13</v>
      </c>
      <c r="F1274" s="245"/>
      <c r="G1274" s="235" t="s">
        <v>10421</v>
      </c>
      <c r="H1274" s="235" t="s">
        <v>10422</v>
      </c>
      <c r="I1274" s="235" t="s">
        <v>10423</v>
      </c>
      <c r="J1274" s="235" t="s">
        <v>10424</v>
      </c>
      <c r="K1274" s="235" t="s">
        <v>10425</v>
      </c>
      <c r="N1274" s="235" t="s">
        <v>842</v>
      </c>
      <c r="O1274" s="235" t="s">
        <v>843</v>
      </c>
      <c r="P1274" s="238">
        <v>1.0</v>
      </c>
      <c r="Q1274" s="235" t="s">
        <v>627</v>
      </c>
      <c r="R1274" s="238">
        <v>246.67</v>
      </c>
      <c r="S1274" s="238">
        <v>12.33</v>
      </c>
      <c r="T1274" s="238">
        <v>0.0</v>
      </c>
      <c r="U1274" s="238">
        <v>0.0</v>
      </c>
      <c r="V1274" s="238">
        <v>0.0</v>
      </c>
      <c r="W1274" s="238">
        <v>0.0</v>
      </c>
      <c r="X1274" s="235" t="s">
        <v>628</v>
      </c>
      <c r="Z1274" s="244"/>
      <c r="AA1274" s="244"/>
      <c r="AB1274" s="244"/>
      <c r="AC1274" s="235" t="s">
        <v>3185</v>
      </c>
      <c r="AD1274" s="235" t="s">
        <v>1086</v>
      </c>
      <c r="AE1274" s="238">
        <v>147001.0</v>
      </c>
      <c r="AF1274" s="235" t="s">
        <v>631</v>
      </c>
      <c r="AG1274" s="244"/>
      <c r="AH1274" s="244"/>
      <c r="AI1274" s="245"/>
      <c r="AJ1274" s="245"/>
      <c r="AK1274" s="245"/>
      <c r="AL1274" s="245"/>
      <c r="AM1274" s="244"/>
      <c r="AN1274" s="244"/>
      <c r="AO1274" s="238">
        <v>0.0</v>
      </c>
      <c r="AP1274" s="238">
        <v>0.0</v>
      </c>
      <c r="AQ1274" s="235" t="s">
        <v>632</v>
      </c>
      <c r="AR1274" s="243">
        <v>1.68E11</v>
      </c>
      <c r="AS1274" s="235" t="s">
        <v>8807</v>
      </c>
      <c r="AT1274" s="235" t="s">
        <v>14</v>
      </c>
      <c r="AU1274" s="235" t="s">
        <v>634</v>
      </c>
      <c r="AV1274" s="246" t="s">
        <v>635</v>
      </c>
      <c r="AW1274" s="242"/>
      <c r="AX1274" s="242"/>
      <c r="AY1274" s="231"/>
      <c r="AZ1274" s="231"/>
      <c r="BA1274" s="227"/>
      <c r="BB1274" s="231"/>
      <c r="BC1274" s="227"/>
      <c r="BD1274" s="227"/>
      <c r="BE1274" s="227"/>
      <c r="BF1274" s="227"/>
    </row>
    <row r="1275">
      <c r="A1275" s="235" t="s">
        <v>10426</v>
      </c>
      <c r="C1275" s="235" t="s">
        <v>10427</v>
      </c>
      <c r="D1275" s="235" t="s">
        <v>10428</v>
      </c>
      <c r="E1275" s="243">
        <v>6.55E13</v>
      </c>
      <c r="F1275" s="245"/>
      <c r="G1275" s="235" t="s">
        <v>10429</v>
      </c>
      <c r="H1275" s="235" t="s">
        <v>10430</v>
      </c>
      <c r="I1275" s="235" t="s">
        <v>10430</v>
      </c>
      <c r="J1275" s="235" t="s">
        <v>10431</v>
      </c>
      <c r="K1275" s="235" t="s">
        <v>10432</v>
      </c>
      <c r="N1275" s="235" t="s">
        <v>2848</v>
      </c>
      <c r="O1275" s="235" t="s">
        <v>2849</v>
      </c>
      <c r="P1275" s="238">
        <v>1.0</v>
      </c>
      <c r="Q1275" s="235" t="s">
        <v>627</v>
      </c>
      <c r="R1275" s="238">
        <v>246.66</v>
      </c>
      <c r="S1275" s="238">
        <v>12.34</v>
      </c>
      <c r="T1275" s="238">
        <v>0.0</v>
      </c>
      <c r="U1275" s="238">
        <v>0.0</v>
      </c>
      <c r="V1275" s="238">
        <v>0.0</v>
      </c>
      <c r="W1275" s="238">
        <v>0.0</v>
      </c>
      <c r="X1275" s="235" t="s">
        <v>628</v>
      </c>
      <c r="Z1275" s="244"/>
      <c r="AA1275" s="244"/>
      <c r="AB1275" s="244"/>
      <c r="AC1275" s="235" t="s">
        <v>687</v>
      </c>
      <c r="AD1275" s="235" t="s">
        <v>666</v>
      </c>
      <c r="AE1275" s="238">
        <v>600042.0</v>
      </c>
      <c r="AF1275" s="235" t="s">
        <v>631</v>
      </c>
      <c r="AG1275" s="244"/>
      <c r="AH1275" s="244"/>
      <c r="AI1275" s="245"/>
      <c r="AJ1275" s="245"/>
      <c r="AK1275" s="245"/>
      <c r="AL1275" s="245"/>
      <c r="AM1275" s="244"/>
      <c r="AN1275" s="244"/>
      <c r="AO1275" s="238">
        <v>0.0</v>
      </c>
      <c r="AP1275" s="238">
        <v>0.0</v>
      </c>
      <c r="AQ1275" s="235" t="s">
        <v>632</v>
      </c>
      <c r="AR1275" s="243">
        <v>3.71E11</v>
      </c>
      <c r="AS1275" s="235" t="s">
        <v>10017</v>
      </c>
      <c r="AT1275" s="235" t="s">
        <v>156</v>
      </c>
      <c r="AU1275" s="235" t="s">
        <v>634</v>
      </c>
      <c r="AV1275" s="246" t="s">
        <v>635</v>
      </c>
      <c r="AW1275" s="242"/>
      <c r="AX1275" s="242"/>
      <c r="AY1275" s="231"/>
      <c r="AZ1275" s="231"/>
      <c r="BA1275" s="227"/>
      <c r="BB1275" s="231"/>
      <c r="BC1275" s="227"/>
      <c r="BD1275" s="227"/>
      <c r="BE1275" s="227"/>
      <c r="BF1275" s="227"/>
    </row>
    <row r="1276">
      <c r="A1276" s="235" t="s">
        <v>10433</v>
      </c>
      <c r="C1276" s="235" t="s">
        <v>10434</v>
      </c>
      <c r="D1276" s="235" t="s">
        <v>10435</v>
      </c>
      <c r="E1276" s="243">
        <v>6.55E13</v>
      </c>
      <c r="F1276" s="245"/>
      <c r="G1276" s="235" t="s">
        <v>10436</v>
      </c>
      <c r="H1276" s="235" t="s">
        <v>10437</v>
      </c>
      <c r="I1276" s="235" t="s">
        <v>10437</v>
      </c>
      <c r="J1276" s="235" t="s">
        <v>10438</v>
      </c>
      <c r="K1276" s="235" t="s">
        <v>10439</v>
      </c>
      <c r="N1276" s="235" t="s">
        <v>12</v>
      </c>
      <c r="O1276" s="235" t="s">
        <v>804</v>
      </c>
      <c r="P1276" s="238">
        <v>1.0</v>
      </c>
      <c r="Q1276" s="235" t="s">
        <v>627</v>
      </c>
      <c r="R1276" s="238">
        <v>265.71</v>
      </c>
      <c r="S1276" s="238">
        <v>13.29</v>
      </c>
      <c r="T1276" s="238">
        <v>38.1</v>
      </c>
      <c r="U1276" s="238">
        <v>1.9</v>
      </c>
      <c r="V1276" s="238">
        <v>0.0</v>
      </c>
      <c r="W1276" s="238">
        <v>0.0</v>
      </c>
      <c r="X1276" s="235" t="s">
        <v>628</v>
      </c>
      <c r="Z1276" s="244"/>
      <c r="AA1276" s="244"/>
      <c r="AB1276" s="244"/>
      <c r="AC1276" s="235" t="s">
        <v>10440</v>
      </c>
      <c r="AD1276" s="235" t="s">
        <v>3913</v>
      </c>
      <c r="AE1276" s="238">
        <v>797111.0</v>
      </c>
      <c r="AF1276" s="235" t="s">
        <v>631</v>
      </c>
      <c r="AG1276" s="244"/>
      <c r="AH1276" s="244"/>
      <c r="AI1276" s="245"/>
      <c r="AJ1276" s="245"/>
      <c r="AK1276" s="245"/>
      <c r="AL1276" s="245"/>
      <c r="AM1276" s="244"/>
      <c r="AN1276" s="244"/>
      <c r="AO1276" s="238">
        <v>0.0</v>
      </c>
      <c r="AP1276" s="238">
        <v>-38.1</v>
      </c>
      <c r="AQ1276" s="235" t="s">
        <v>632</v>
      </c>
      <c r="AR1276" s="243">
        <v>3.71E11</v>
      </c>
      <c r="AS1276" s="235" t="s">
        <v>2276</v>
      </c>
      <c r="AT1276" s="235" t="s">
        <v>14</v>
      </c>
      <c r="AU1276" s="235" t="s">
        <v>634</v>
      </c>
      <c r="AV1276" s="246" t="s">
        <v>635</v>
      </c>
      <c r="AW1276" s="242"/>
      <c r="AX1276" s="242"/>
      <c r="AY1276" s="231"/>
      <c r="AZ1276" s="231"/>
      <c r="BA1276" s="227"/>
      <c r="BB1276" s="231"/>
      <c r="BC1276" s="227"/>
      <c r="BD1276" s="227"/>
      <c r="BE1276" s="227"/>
      <c r="BF1276" s="227"/>
    </row>
    <row r="1277">
      <c r="A1277" s="235" t="s">
        <v>10441</v>
      </c>
      <c r="C1277" s="235" t="s">
        <v>10442</v>
      </c>
      <c r="D1277" s="235" t="s">
        <v>10443</v>
      </c>
      <c r="E1277" s="243">
        <v>6.55E13</v>
      </c>
      <c r="F1277" s="245"/>
      <c r="G1277" s="235" t="s">
        <v>10444</v>
      </c>
      <c r="H1277" s="235" t="s">
        <v>10445</v>
      </c>
      <c r="I1277" s="235" t="s">
        <v>10445</v>
      </c>
      <c r="J1277" s="235" t="s">
        <v>10446</v>
      </c>
      <c r="K1277" s="235" t="s">
        <v>10447</v>
      </c>
      <c r="N1277" s="235" t="s">
        <v>1646</v>
      </c>
      <c r="O1277" s="235" t="s">
        <v>1647</v>
      </c>
      <c r="P1277" s="238">
        <v>1.0</v>
      </c>
      <c r="Q1277" s="235" t="s">
        <v>627</v>
      </c>
      <c r="R1277" s="238">
        <v>270.48</v>
      </c>
      <c r="S1277" s="238">
        <v>13.52</v>
      </c>
      <c r="T1277" s="238">
        <v>38.1</v>
      </c>
      <c r="U1277" s="238">
        <v>1.9</v>
      </c>
      <c r="V1277" s="238">
        <v>0.0</v>
      </c>
      <c r="W1277" s="238">
        <v>0.0</v>
      </c>
      <c r="X1277" s="235" t="s">
        <v>628</v>
      </c>
      <c r="Z1277" s="244"/>
      <c r="AA1277" s="244"/>
      <c r="AB1277" s="244"/>
      <c r="AC1277" s="235" t="s">
        <v>5923</v>
      </c>
      <c r="AD1277" s="235" t="s">
        <v>666</v>
      </c>
      <c r="AE1277" s="238">
        <v>620026.0</v>
      </c>
      <c r="AF1277" s="235" t="s">
        <v>631</v>
      </c>
      <c r="AG1277" s="244"/>
      <c r="AH1277" s="244"/>
      <c r="AI1277" s="245"/>
      <c r="AJ1277" s="245"/>
      <c r="AK1277" s="245"/>
      <c r="AL1277" s="245"/>
      <c r="AM1277" s="244"/>
      <c r="AN1277" s="244"/>
      <c r="AO1277" s="238">
        <v>0.0</v>
      </c>
      <c r="AP1277" s="238">
        <v>0.0</v>
      </c>
      <c r="AQ1277" s="235" t="s">
        <v>632</v>
      </c>
      <c r="AR1277" s="243">
        <v>3.71E11</v>
      </c>
      <c r="AS1277" s="235" t="s">
        <v>8807</v>
      </c>
      <c r="AT1277" s="235" t="s">
        <v>155</v>
      </c>
      <c r="AU1277" s="235" t="s">
        <v>634</v>
      </c>
      <c r="AV1277" s="246" t="s">
        <v>635</v>
      </c>
      <c r="AW1277" s="242"/>
      <c r="AX1277" s="242"/>
      <c r="AY1277" s="231"/>
      <c r="AZ1277" s="231"/>
      <c r="BA1277" s="227"/>
      <c r="BB1277" s="231"/>
      <c r="BC1277" s="227"/>
      <c r="BD1277" s="227"/>
      <c r="BE1277" s="227"/>
      <c r="BF1277" s="227"/>
    </row>
    <row r="1278">
      <c r="A1278" s="235" t="s">
        <v>10448</v>
      </c>
      <c r="C1278" s="235" t="s">
        <v>10449</v>
      </c>
      <c r="D1278" s="235" t="s">
        <v>10450</v>
      </c>
      <c r="E1278" s="243">
        <v>6.55E13</v>
      </c>
      <c r="F1278" s="245"/>
      <c r="G1278" s="235" t="s">
        <v>10451</v>
      </c>
      <c r="H1278" s="235" t="s">
        <v>10452</v>
      </c>
      <c r="I1278" s="235" t="s">
        <v>10452</v>
      </c>
      <c r="J1278" s="235" t="s">
        <v>10453</v>
      </c>
      <c r="K1278" s="235" t="s">
        <v>10454</v>
      </c>
      <c r="N1278" s="235" t="s">
        <v>138</v>
      </c>
      <c r="O1278" s="235" t="s">
        <v>675</v>
      </c>
      <c r="P1278" s="238">
        <v>1.0</v>
      </c>
      <c r="Q1278" s="235" t="s">
        <v>627</v>
      </c>
      <c r="R1278" s="238">
        <v>246.66</v>
      </c>
      <c r="S1278" s="238">
        <v>12.34</v>
      </c>
      <c r="T1278" s="238">
        <v>0.0</v>
      </c>
      <c r="U1278" s="238">
        <v>0.0</v>
      </c>
      <c r="V1278" s="238">
        <v>0.0</v>
      </c>
      <c r="W1278" s="238">
        <v>0.0</v>
      </c>
      <c r="X1278" s="235" t="s">
        <v>628</v>
      </c>
      <c r="Z1278" s="244"/>
      <c r="AA1278" s="244"/>
      <c r="AB1278" s="244"/>
      <c r="AC1278" s="235" t="s">
        <v>687</v>
      </c>
      <c r="AD1278" s="235" t="s">
        <v>666</v>
      </c>
      <c r="AE1278" s="238">
        <v>600039.0</v>
      </c>
      <c r="AF1278" s="235" t="s">
        <v>631</v>
      </c>
      <c r="AG1278" s="244"/>
      <c r="AH1278" s="244"/>
      <c r="AI1278" s="245"/>
      <c r="AJ1278" s="245"/>
      <c r="AK1278" s="245"/>
      <c r="AL1278" s="245"/>
      <c r="AM1278" s="244"/>
      <c r="AN1278" s="244"/>
      <c r="AO1278" s="238">
        <v>0.0</v>
      </c>
      <c r="AP1278" s="238">
        <v>0.0</v>
      </c>
      <c r="AQ1278" s="235" t="s">
        <v>632</v>
      </c>
      <c r="AR1278" s="243">
        <v>1.68E11</v>
      </c>
      <c r="AS1278" s="235" t="s">
        <v>10417</v>
      </c>
      <c r="AT1278" s="235" t="s">
        <v>156</v>
      </c>
      <c r="AU1278" s="235" t="s">
        <v>634</v>
      </c>
      <c r="AV1278" s="246" t="s">
        <v>635</v>
      </c>
      <c r="AW1278" s="242"/>
      <c r="AX1278" s="242"/>
      <c r="AY1278" s="231"/>
      <c r="AZ1278" s="231"/>
      <c r="BA1278" s="227"/>
      <c r="BB1278" s="231"/>
      <c r="BC1278" s="227"/>
      <c r="BD1278" s="227"/>
      <c r="BE1278" s="227"/>
      <c r="BF1278" s="227"/>
    </row>
    <row r="1279">
      <c r="A1279" s="235" t="s">
        <v>10455</v>
      </c>
      <c r="C1279" s="235" t="s">
        <v>10456</v>
      </c>
      <c r="D1279" s="235" t="s">
        <v>10457</v>
      </c>
      <c r="E1279" s="243">
        <v>6.55E13</v>
      </c>
      <c r="F1279" s="245"/>
      <c r="G1279" s="235" t="s">
        <v>10458</v>
      </c>
      <c r="H1279" s="235" t="s">
        <v>10459</v>
      </c>
      <c r="I1279" s="235" t="s">
        <v>10459</v>
      </c>
      <c r="J1279" s="235" t="s">
        <v>10460</v>
      </c>
      <c r="K1279" s="235" t="s">
        <v>10461</v>
      </c>
      <c r="N1279" s="235" t="s">
        <v>42</v>
      </c>
      <c r="O1279" s="235" t="s">
        <v>204</v>
      </c>
      <c r="P1279" s="238">
        <v>1.0</v>
      </c>
      <c r="Q1279" s="235" t="s">
        <v>627</v>
      </c>
      <c r="R1279" s="238">
        <v>237.14</v>
      </c>
      <c r="S1279" s="238">
        <v>11.86</v>
      </c>
      <c r="T1279" s="238">
        <v>0.0</v>
      </c>
      <c r="U1279" s="238">
        <v>0.0</v>
      </c>
      <c r="V1279" s="238">
        <v>0.0</v>
      </c>
      <c r="W1279" s="238">
        <v>0.0</v>
      </c>
      <c r="X1279" s="235" t="s">
        <v>628</v>
      </c>
      <c r="Z1279" s="244"/>
      <c r="AA1279" s="244"/>
      <c r="AB1279" s="244"/>
      <c r="AC1279" s="235" t="s">
        <v>1320</v>
      </c>
      <c r="AD1279" s="235" t="s">
        <v>666</v>
      </c>
      <c r="AE1279" s="238">
        <v>600004.0</v>
      </c>
      <c r="AF1279" s="235" t="s">
        <v>631</v>
      </c>
      <c r="AG1279" s="244"/>
      <c r="AH1279" s="244"/>
      <c r="AI1279" s="245"/>
      <c r="AJ1279" s="245"/>
      <c r="AK1279" s="245"/>
      <c r="AL1279" s="245"/>
      <c r="AM1279" s="244"/>
      <c r="AN1279" s="244"/>
      <c r="AO1279" s="238">
        <v>0.0</v>
      </c>
      <c r="AP1279" s="238">
        <v>0.0</v>
      </c>
      <c r="AQ1279" s="235" t="s">
        <v>632</v>
      </c>
      <c r="AR1279" s="243">
        <v>1.68E11</v>
      </c>
      <c r="AS1279" s="235" t="s">
        <v>10417</v>
      </c>
      <c r="AT1279" s="235" t="s">
        <v>156</v>
      </c>
      <c r="AU1279" s="235" t="s">
        <v>634</v>
      </c>
      <c r="AV1279" s="246" t="s">
        <v>635</v>
      </c>
      <c r="AW1279" s="242"/>
      <c r="AX1279" s="242"/>
      <c r="AY1279" s="231"/>
      <c r="AZ1279" s="231"/>
      <c r="BA1279" s="227"/>
      <c r="BB1279" s="231"/>
      <c r="BC1279" s="227"/>
      <c r="BD1279" s="227"/>
      <c r="BE1279" s="227"/>
      <c r="BF1279" s="227"/>
    </row>
    <row r="1280">
      <c r="A1280" s="235" t="s">
        <v>10462</v>
      </c>
      <c r="C1280" s="235" t="s">
        <v>10463</v>
      </c>
      <c r="D1280" s="235" t="s">
        <v>10464</v>
      </c>
      <c r="E1280" s="243">
        <v>6.55E13</v>
      </c>
      <c r="F1280" s="245"/>
      <c r="G1280" s="235" t="s">
        <v>10465</v>
      </c>
      <c r="H1280" s="235" t="s">
        <v>10466</v>
      </c>
      <c r="I1280" s="235" t="s">
        <v>10467</v>
      </c>
      <c r="J1280" s="235" t="s">
        <v>10468</v>
      </c>
      <c r="K1280" s="235" t="s">
        <v>10469</v>
      </c>
      <c r="N1280" s="235" t="s">
        <v>127</v>
      </c>
      <c r="O1280" s="235" t="s">
        <v>794</v>
      </c>
      <c r="P1280" s="238">
        <v>1.0</v>
      </c>
      <c r="Q1280" s="235" t="s">
        <v>627</v>
      </c>
      <c r="R1280" s="238">
        <v>246.66</v>
      </c>
      <c r="S1280" s="238">
        <v>12.34</v>
      </c>
      <c r="T1280" s="238">
        <v>0.0</v>
      </c>
      <c r="U1280" s="238">
        <v>0.0</v>
      </c>
      <c r="V1280" s="238">
        <v>0.0</v>
      </c>
      <c r="W1280" s="238">
        <v>0.0</v>
      </c>
      <c r="X1280" s="235" t="s">
        <v>628</v>
      </c>
      <c r="Z1280" s="244"/>
      <c r="AA1280" s="244"/>
      <c r="AB1280" s="244"/>
      <c r="AC1280" s="235" t="s">
        <v>1910</v>
      </c>
      <c r="AD1280" s="235" t="s">
        <v>928</v>
      </c>
      <c r="AE1280" s="238">
        <v>122011.0</v>
      </c>
      <c r="AF1280" s="235" t="s">
        <v>631</v>
      </c>
      <c r="AG1280" s="244"/>
      <c r="AH1280" s="244"/>
      <c r="AI1280" s="245"/>
      <c r="AJ1280" s="245"/>
      <c r="AK1280" s="245"/>
      <c r="AL1280" s="245"/>
      <c r="AM1280" s="244"/>
      <c r="AN1280" s="244"/>
      <c r="AO1280" s="238">
        <v>0.0</v>
      </c>
      <c r="AP1280" s="238">
        <v>0.0</v>
      </c>
      <c r="AQ1280" s="235" t="s">
        <v>632</v>
      </c>
      <c r="AR1280" s="243">
        <v>1.68E11</v>
      </c>
      <c r="AS1280" s="235" t="s">
        <v>10417</v>
      </c>
      <c r="AT1280" s="235" t="s">
        <v>14</v>
      </c>
      <c r="AU1280" s="235" t="s">
        <v>634</v>
      </c>
      <c r="AV1280" s="246" t="s">
        <v>635</v>
      </c>
      <c r="AW1280" s="242"/>
      <c r="AX1280" s="242"/>
      <c r="AY1280" s="231"/>
      <c r="AZ1280" s="231"/>
      <c r="BA1280" s="227"/>
      <c r="BB1280" s="231"/>
      <c r="BC1280" s="227"/>
      <c r="BD1280" s="227"/>
      <c r="BE1280" s="227"/>
      <c r="BF1280" s="227"/>
    </row>
    <row r="1281">
      <c r="A1281" s="235" t="s">
        <v>10470</v>
      </c>
      <c r="C1281" s="235" t="s">
        <v>10471</v>
      </c>
      <c r="D1281" s="235" t="s">
        <v>10472</v>
      </c>
      <c r="E1281" s="243">
        <v>6.55E13</v>
      </c>
      <c r="F1281" s="245"/>
      <c r="G1281" s="235" t="s">
        <v>10473</v>
      </c>
      <c r="H1281" s="235" t="s">
        <v>10474</v>
      </c>
      <c r="I1281" s="235" t="s">
        <v>10475</v>
      </c>
      <c r="J1281" s="235" t="s">
        <v>10476</v>
      </c>
      <c r="K1281" s="235" t="s">
        <v>10477</v>
      </c>
      <c r="N1281" s="235" t="s">
        <v>42</v>
      </c>
      <c r="O1281" s="235" t="s">
        <v>204</v>
      </c>
      <c r="P1281" s="238">
        <v>1.0</v>
      </c>
      <c r="Q1281" s="235" t="s">
        <v>627</v>
      </c>
      <c r="R1281" s="238">
        <v>237.14</v>
      </c>
      <c r="S1281" s="238">
        <v>11.86</v>
      </c>
      <c r="T1281" s="238">
        <v>38.1</v>
      </c>
      <c r="U1281" s="238">
        <v>1.9</v>
      </c>
      <c r="V1281" s="238">
        <v>0.0</v>
      </c>
      <c r="W1281" s="238">
        <v>0.0</v>
      </c>
      <c r="X1281" s="235" t="s">
        <v>628</v>
      </c>
      <c r="Z1281" s="244"/>
      <c r="AA1281" s="244"/>
      <c r="AB1281" s="244"/>
      <c r="AC1281" s="235" t="s">
        <v>678</v>
      </c>
      <c r="AD1281" s="235" t="s">
        <v>679</v>
      </c>
      <c r="AE1281" s="238">
        <v>560078.0</v>
      </c>
      <c r="AF1281" s="235" t="s">
        <v>631</v>
      </c>
      <c r="AG1281" s="244"/>
      <c r="AH1281" s="244"/>
      <c r="AI1281" s="245"/>
      <c r="AJ1281" s="245"/>
      <c r="AK1281" s="245"/>
      <c r="AL1281" s="245"/>
      <c r="AM1281" s="244"/>
      <c r="AN1281" s="244"/>
      <c r="AO1281" s="238">
        <v>0.0</v>
      </c>
      <c r="AP1281" s="238">
        <v>-38.1</v>
      </c>
      <c r="AQ1281" s="235" t="s">
        <v>632</v>
      </c>
      <c r="AR1281" s="243">
        <v>3.71E11</v>
      </c>
      <c r="AS1281" s="235" t="s">
        <v>10017</v>
      </c>
      <c r="AT1281" s="235" t="s">
        <v>11</v>
      </c>
      <c r="AU1281" s="235" t="s">
        <v>634</v>
      </c>
      <c r="AV1281" s="246" t="s">
        <v>635</v>
      </c>
      <c r="AW1281" s="242"/>
      <c r="AX1281" s="242"/>
      <c r="AY1281" s="231"/>
      <c r="AZ1281" s="231"/>
      <c r="BA1281" s="227"/>
      <c r="BB1281" s="231"/>
      <c r="BC1281" s="227"/>
      <c r="BD1281" s="227"/>
      <c r="BE1281" s="227"/>
      <c r="BF1281" s="227"/>
    </row>
    <row r="1282">
      <c r="A1282" s="235" t="s">
        <v>10478</v>
      </c>
      <c r="C1282" s="235" t="s">
        <v>10479</v>
      </c>
      <c r="D1282" s="235" t="s">
        <v>10480</v>
      </c>
      <c r="E1282" s="243">
        <v>6.55E13</v>
      </c>
      <c r="F1282" s="245"/>
      <c r="G1282" s="235" t="s">
        <v>10481</v>
      </c>
      <c r="H1282" s="235" t="s">
        <v>10482</v>
      </c>
      <c r="I1282" s="235" t="s">
        <v>10482</v>
      </c>
      <c r="J1282" s="235" t="s">
        <v>10483</v>
      </c>
      <c r="K1282" s="235" t="s">
        <v>10484</v>
      </c>
      <c r="N1282" s="235" t="s">
        <v>145</v>
      </c>
      <c r="O1282" s="235" t="s">
        <v>370</v>
      </c>
      <c r="P1282" s="238">
        <v>1.0</v>
      </c>
      <c r="Q1282" s="235" t="s">
        <v>627</v>
      </c>
      <c r="R1282" s="238">
        <v>1522.86</v>
      </c>
      <c r="S1282" s="238">
        <v>74.62</v>
      </c>
      <c r="T1282" s="238">
        <v>9.04</v>
      </c>
      <c r="U1282" s="238">
        <v>0.46</v>
      </c>
      <c r="V1282" s="238">
        <v>0.0</v>
      </c>
      <c r="W1282" s="238">
        <v>0.0</v>
      </c>
      <c r="X1282" s="235" t="s">
        <v>628</v>
      </c>
      <c r="Z1282" s="244"/>
      <c r="AA1282" s="244"/>
      <c r="AB1282" s="244"/>
      <c r="AC1282" s="235" t="s">
        <v>4071</v>
      </c>
      <c r="AD1282" s="235" t="s">
        <v>928</v>
      </c>
      <c r="AE1282" s="238">
        <v>122002.0</v>
      </c>
      <c r="AF1282" s="235" t="s">
        <v>631</v>
      </c>
      <c r="AG1282" s="244"/>
      <c r="AH1282" s="244"/>
      <c r="AI1282" s="245"/>
      <c r="AJ1282" s="245"/>
      <c r="AK1282" s="245"/>
      <c r="AL1282" s="245"/>
      <c r="AM1282" s="244"/>
      <c r="AN1282" s="244"/>
      <c r="AO1282" s="238">
        <v>-30.46</v>
      </c>
      <c r="AP1282" s="238">
        <v>-9.04</v>
      </c>
      <c r="AQ1282" s="235" t="s">
        <v>632</v>
      </c>
      <c r="AR1282" s="243">
        <v>1.68E11</v>
      </c>
      <c r="AS1282" s="235" t="s">
        <v>10417</v>
      </c>
      <c r="AT1282" s="235" t="s">
        <v>13</v>
      </c>
      <c r="AU1282" s="235" t="s">
        <v>634</v>
      </c>
      <c r="AV1282" s="246" t="s">
        <v>635</v>
      </c>
      <c r="AW1282" s="242"/>
      <c r="AX1282" s="242"/>
      <c r="AY1282" s="231"/>
      <c r="AZ1282" s="231"/>
      <c r="BA1282" s="227"/>
      <c r="BB1282" s="231"/>
      <c r="BC1282" s="227"/>
      <c r="BD1282" s="227"/>
      <c r="BE1282" s="227"/>
      <c r="BF1282" s="227"/>
    </row>
    <row r="1283">
      <c r="A1283" s="235" t="s">
        <v>10485</v>
      </c>
      <c r="C1283" s="235" t="s">
        <v>10486</v>
      </c>
      <c r="D1283" s="235" t="s">
        <v>10487</v>
      </c>
      <c r="E1283" s="243">
        <v>6.55E13</v>
      </c>
      <c r="F1283" s="245"/>
      <c r="G1283" s="235" t="s">
        <v>10488</v>
      </c>
      <c r="H1283" s="235" t="s">
        <v>10489</v>
      </c>
      <c r="I1283" s="235" t="s">
        <v>10489</v>
      </c>
      <c r="J1283" s="235" t="s">
        <v>10490</v>
      </c>
      <c r="K1283" s="235" t="s">
        <v>10491</v>
      </c>
      <c r="N1283" s="235" t="s">
        <v>127</v>
      </c>
      <c r="O1283" s="235" t="s">
        <v>794</v>
      </c>
      <c r="P1283" s="238">
        <v>1.0</v>
      </c>
      <c r="Q1283" s="235" t="s">
        <v>627</v>
      </c>
      <c r="R1283" s="238">
        <v>246.67</v>
      </c>
      <c r="S1283" s="238">
        <v>12.33</v>
      </c>
      <c r="T1283" s="238">
        <v>0.0</v>
      </c>
      <c r="U1283" s="238">
        <v>0.0</v>
      </c>
      <c r="V1283" s="238">
        <v>0.0</v>
      </c>
      <c r="W1283" s="238">
        <v>0.0</v>
      </c>
      <c r="X1283" s="235" t="s">
        <v>628</v>
      </c>
      <c r="Z1283" s="244"/>
      <c r="AA1283" s="244"/>
      <c r="AB1283" s="244"/>
      <c r="AC1283" s="235" t="s">
        <v>795</v>
      </c>
      <c r="AD1283" s="235" t="s">
        <v>796</v>
      </c>
      <c r="AE1283" s="238">
        <v>110068.0</v>
      </c>
      <c r="AF1283" s="235" t="s">
        <v>631</v>
      </c>
      <c r="AG1283" s="244"/>
      <c r="AH1283" s="244"/>
      <c r="AI1283" s="245"/>
      <c r="AJ1283" s="245"/>
      <c r="AK1283" s="245"/>
      <c r="AL1283" s="245"/>
      <c r="AM1283" s="244"/>
      <c r="AN1283" s="244"/>
      <c r="AO1283" s="238">
        <v>0.0</v>
      </c>
      <c r="AP1283" s="238">
        <v>0.0</v>
      </c>
      <c r="AQ1283" s="235" t="s">
        <v>632</v>
      </c>
      <c r="AR1283" s="243">
        <v>1.68E11</v>
      </c>
      <c r="AS1283" s="235" t="s">
        <v>10417</v>
      </c>
      <c r="AT1283" s="235" t="s">
        <v>14</v>
      </c>
      <c r="AU1283" s="235" t="s">
        <v>634</v>
      </c>
      <c r="AV1283" s="246" t="s">
        <v>635</v>
      </c>
      <c r="AW1283" s="242"/>
      <c r="AX1283" s="242"/>
      <c r="AY1283" s="231"/>
      <c r="AZ1283" s="231"/>
      <c r="BA1283" s="227"/>
      <c r="BB1283" s="231"/>
      <c r="BC1283" s="227"/>
      <c r="BD1283" s="227"/>
      <c r="BE1283" s="227"/>
      <c r="BF1283" s="227"/>
    </row>
    <row r="1284">
      <c r="A1284" s="235" t="s">
        <v>10492</v>
      </c>
      <c r="C1284" s="235" t="s">
        <v>10493</v>
      </c>
      <c r="D1284" s="235" t="s">
        <v>10494</v>
      </c>
      <c r="E1284" s="243">
        <v>6.55E13</v>
      </c>
      <c r="F1284" s="245"/>
      <c r="G1284" s="235" t="s">
        <v>10495</v>
      </c>
      <c r="H1284" s="235" t="s">
        <v>10496</v>
      </c>
      <c r="I1284" s="235" t="s">
        <v>10496</v>
      </c>
      <c r="J1284" s="235" t="s">
        <v>10497</v>
      </c>
      <c r="K1284" s="235" t="s">
        <v>10498</v>
      </c>
      <c r="N1284" s="235" t="s">
        <v>154</v>
      </c>
      <c r="O1284" s="235" t="s">
        <v>766</v>
      </c>
      <c r="P1284" s="238">
        <v>1.0</v>
      </c>
      <c r="Q1284" s="235" t="s">
        <v>627</v>
      </c>
      <c r="R1284" s="238">
        <v>465.72</v>
      </c>
      <c r="S1284" s="238">
        <v>23.28</v>
      </c>
      <c r="T1284" s="238">
        <v>0.0</v>
      </c>
      <c r="U1284" s="238">
        <v>0.0</v>
      </c>
      <c r="V1284" s="238">
        <v>0.0</v>
      </c>
      <c r="W1284" s="238">
        <v>0.0</v>
      </c>
      <c r="X1284" s="235" t="s">
        <v>628</v>
      </c>
      <c r="Z1284" s="244"/>
      <c r="AA1284" s="244"/>
      <c r="AB1284" s="244"/>
      <c r="AC1284" s="235" t="s">
        <v>1514</v>
      </c>
      <c r="AD1284" s="235" t="s">
        <v>1077</v>
      </c>
      <c r="AE1284" s="238">
        <v>380060.0</v>
      </c>
      <c r="AF1284" s="235" t="s">
        <v>631</v>
      </c>
      <c r="AG1284" s="244"/>
      <c r="AH1284" s="244"/>
      <c r="AI1284" s="245"/>
      <c r="AJ1284" s="245"/>
      <c r="AK1284" s="245"/>
      <c r="AL1284" s="245"/>
      <c r="AM1284" s="244"/>
      <c r="AN1284" s="244"/>
      <c r="AO1284" s="238">
        <v>0.0</v>
      </c>
      <c r="AP1284" s="238">
        <v>0.0</v>
      </c>
      <c r="AQ1284" s="235" t="s">
        <v>632</v>
      </c>
      <c r="AR1284" s="243">
        <v>1.68E11</v>
      </c>
      <c r="AS1284" s="235" t="s">
        <v>10417</v>
      </c>
      <c r="AT1284" s="235" t="s">
        <v>5</v>
      </c>
      <c r="AU1284" s="235" t="s">
        <v>634</v>
      </c>
      <c r="AV1284" s="246" t="s">
        <v>635</v>
      </c>
      <c r="AW1284" s="242"/>
      <c r="AX1284" s="242"/>
      <c r="AY1284" s="231"/>
      <c r="AZ1284" s="231"/>
      <c r="BA1284" s="227"/>
      <c r="BB1284" s="231"/>
      <c r="BC1284" s="227"/>
      <c r="BD1284" s="227"/>
      <c r="BE1284" s="227"/>
      <c r="BF1284" s="227"/>
    </row>
    <row r="1285">
      <c r="A1285" s="235" t="s">
        <v>10499</v>
      </c>
      <c r="C1285" s="235" t="s">
        <v>10500</v>
      </c>
      <c r="D1285" s="235" t="s">
        <v>10501</v>
      </c>
      <c r="E1285" s="243">
        <v>6.55E13</v>
      </c>
      <c r="F1285" s="245"/>
      <c r="G1285" s="235" t="s">
        <v>10502</v>
      </c>
      <c r="H1285" s="235" t="s">
        <v>10503</v>
      </c>
      <c r="I1285" s="235" t="s">
        <v>10503</v>
      </c>
      <c r="J1285" s="235" t="s">
        <v>10504</v>
      </c>
      <c r="K1285" s="235" t="s">
        <v>10505</v>
      </c>
      <c r="N1285" s="235" t="s">
        <v>154</v>
      </c>
      <c r="O1285" s="235" t="s">
        <v>766</v>
      </c>
      <c r="P1285" s="238">
        <v>1.0</v>
      </c>
      <c r="Q1285" s="235" t="s">
        <v>627</v>
      </c>
      <c r="R1285" s="238">
        <v>465.71</v>
      </c>
      <c r="S1285" s="238">
        <v>23.29</v>
      </c>
      <c r="T1285" s="238">
        <v>0.0</v>
      </c>
      <c r="U1285" s="238">
        <v>0.0</v>
      </c>
      <c r="V1285" s="238">
        <v>0.0</v>
      </c>
      <c r="W1285" s="238">
        <v>0.0</v>
      </c>
      <c r="X1285" s="235" t="s">
        <v>628</v>
      </c>
      <c r="Z1285" s="244"/>
      <c r="AA1285" s="244"/>
      <c r="AB1285" s="244"/>
      <c r="AC1285" s="235" t="s">
        <v>10506</v>
      </c>
      <c r="AD1285" s="235" t="s">
        <v>1499</v>
      </c>
      <c r="AE1285" s="238">
        <v>474001.0</v>
      </c>
      <c r="AF1285" s="235" t="s">
        <v>631</v>
      </c>
      <c r="AG1285" s="244"/>
      <c r="AH1285" s="244"/>
      <c r="AI1285" s="245"/>
      <c r="AJ1285" s="245"/>
      <c r="AK1285" s="245"/>
      <c r="AL1285" s="245"/>
      <c r="AM1285" s="244"/>
      <c r="AN1285" s="244"/>
      <c r="AO1285" s="238">
        <v>0.0</v>
      </c>
      <c r="AP1285" s="238">
        <v>0.0</v>
      </c>
      <c r="AQ1285" s="235" t="s">
        <v>632</v>
      </c>
      <c r="AR1285" s="243">
        <v>3.71E11</v>
      </c>
      <c r="AS1285" s="235" t="s">
        <v>8807</v>
      </c>
      <c r="AT1285" s="235" t="s">
        <v>14</v>
      </c>
      <c r="AU1285" s="235" t="s">
        <v>634</v>
      </c>
      <c r="AV1285" s="246" t="s">
        <v>635</v>
      </c>
      <c r="AW1285" s="242"/>
      <c r="AX1285" s="242"/>
      <c r="AY1285" s="231"/>
      <c r="AZ1285" s="231"/>
      <c r="BA1285" s="227"/>
      <c r="BB1285" s="231"/>
      <c r="BC1285" s="227"/>
      <c r="BD1285" s="227"/>
      <c r="BE1285" s="227"/>
      <c r="BF1285" s="227"/>
    </row>
    <row r="1286">
      <c r="A1286" s="235" t="s">
        <v>10507</v>
      </c>
      <c r="C1286" s="235" t="s">
        <v>10508</v>
      </c>
      <c r="D1286" s="235" t="s">
        <v>10509</v>
      </c>
      <c r="E1286" s="243">
        <v>6.55E13</v>
      </c>
      <c r="F1286" s="245"/>
      <c r="G1286" s="235" t="s">
        <v>10510</v>
      </c>
      <c r="H1286" s="235" t="s">
        <v>10511</v>
      </c>
      <c r="I1286" s="235" t="s">
        <v>10511</v>
      </c>
      <c r="J1286" s="235" t="s">
        <v>10512</v>
      </c>
      <c r="K1286" s="235" t="s">
        <v>10513</v>
      </c>
      <c r="N1286" s="235" t="s">
        <v>962</v>
      </c>
      <c r="O1286" s="235" t="s">
        <v>963</v>
      </c>
      <c r="P1286" s="238">
        <v>1.0</v>
      </c>
      <c r="Q1286" s="235" t="s">
        <v>627</v>
      </c>
      <c r="R1286" s="238">
        <v>246.67</v>
      </c>
      <c r="S1286" s="238">
        <v>12.33</v>
      </c>
      <c r="T1286" s="238">
        <v>0.0</v>
      </c>
      <c r="U1286" s="238">
        <v>0.0</v>
      </c>
      <c r="V1286" s="238">
        <v>0.0</v>
      </c>
      <c r="W1286" s="238">
        <v>0.0</v>
      </c>
      <c r="X1286" s="235" t="s">
        <v>628</v>
      </c>
      <c r="Z1286" s="244"/>
      <c r="AA1286" s="244"/>
      <c r="AB1286" s="244"/>
      <c r="AC1286" s="235" t="s">
        <v>10514</v>
      </c>
      <c r="AD1286" s="235" t="s">
        <v>630</v>
      </c>
      <c r="AE1286" s="238">
        <v>272178.0</v>
      </c>
      <c r="AF1286" s="235" t="s">
        <v>631</v>
      </c>
      <c r="AG1286" s="244"/>
      <c r="AH1286" s="244"/>
      <c r="AI1286" s="245"/>
      <c r="AJ1286" s="245"/>
      <c r="AK1286" s="245"/>
      <c r="AL1286" s="245"/>
      <c r="AM1286" s="244"/>
      <c r="AN1286" s="244"/>
      <c r="AO1286" s="238">
        <v>0.0</v>
      </c>
      <c r="AP1286" s="238">
        <v>0.0</v>
      </c>
      <c r="AQ1286" s="235" t="s">
        <v>632</v>
      </c>
      <c r="AR1286" s="243">
        <v>3.71E11</v>
      </c>
      <c r="AS1286" s="235" t="s">
        <v>6164</v>
      </c>
      <c r="AT1286" s="235" t="s">
        <v>533</v>
      </c>
      <c r="AU1286" s="235" t="s">
        <v>634</v>
      </c>
      <c r="AV1286" s="246" t="s">
        <v>635</v>
      </c>
      <c r="AW1286" s="242"/>
      <c r="AX1286" s="242"/>
      <c r="AY1286" s="231"/>
      <c r="AZ1286" s="231"/>
      <c r="BA1286" s="227"/>
      <c r="BB1286" s="231"/>
      <c r="BC1286" s="227"/>
      <c r="BD1286" s="227"/>
      <c r="BE1286" s="227"/>
      <c r="BF1286" s="227"/>
    </row>
    <row r="1287">
      <c r="A1287" s="235" t="s">
        <v>10515</v>
      </c>
      <c r="C1287" s="235" t="s">
        <v>10516</v>
      </c>
      <c r="D1287" s="235" t="s">
        <v>10517</v>
      </c>
      <c r="E1287" s="243">
        <v>6.55E13</v>
      </c>
      <c r="F1287" s="245"/>
      <c r="G1287" s="235" t="s">
        <v>10518</v>
      </c>
      <c r="H1287" s="235" t="s">
        <v>10519</v>
      </c>
      <c r="I1287" s="235" t="s">
        <v>10520</v>
      </c>
      <c r="J1287" s="235" t="s">
        <v>10521</v>
      </c>
      <c r="K1287" s="235" t="s">
        <v>10522</v>
      </c>
      <c r="N1287" s="235" t="s">
        <v>42</v>
      </c>
      <c r="O1287" s="235" t="s">
        <v>204</v>
      </c>
      <c r="P1287" s="238">
        <v>1.0</v>
      </c>
      <c r="Q1287" s="235" t="s">
        <v>627</v>
      </c>
      <c r="R1287" s="238">
        <v>237.14</v>
      </c>
      <c r="S1287" s="238">
        <v>11.62</v>
      </c>
      <c r="T1287" s="238">
        <v>0.0</v>
      </c>
      <c r="U1287" s="238">
        <v>0.0</v>
      </c>
      <c r="V1287" s="238">
        <v>0.0</v>
      </c>
      <c r="W1287" s="238">
        <v>0.0</v>
      </c>
      <c r="X1287" s="235" t="s">
        <v>628</v>
      </c>
      <c r="Z1287" s="244"/>
      <c r="AA1287" s="244"/>
      <c r="AB1287" s="244"/>
      <c r="AC1287" s="235" t="s">
        <v>678</v>
      </c>
      <c r="AD1287" s="235" t="s">
        <v>679</v>
      </c>
      <c r="AE1287" s="238">
        <v>560087.0</v>
      </c>
      <c r="AF1287" s="235" t="s">
        <v>631</v>
      </c>
      <c r="AG1287" s="244"/>
      <c r="AH1287" s="244"/>
      <c r="AI1287" s="245"/>
      <c r="AJ1287" s="245"/>
      <c r="AK1287" s="245"/>
      <c r="AL1287" s="245"/>
      <c r="AM1287" s="244"/>
      <c r="AN1287" s="244"/>
      <c r="AO1287" s="238">
        <v>-4.74</v>
      </c>
      <c r="AP1287" s="238">
        <v>0.0</v>
      </c>
      <c r="AQ1287" s="235" t="s">
        <v>632</v>
      </c>
      <c r="AR1287" s="243">
        <v>3.71E11</v>
      </c>
      <c r="AS1287" s="235" t="s">
        <v>10017</v>
      </c>
      <c r="AT1287" s="235" t="s">
        <v>9</v>
      </c>
      <c r="AU1287" s="235" t="s">
        <v>634</v>
      </c>
      <c r="AV1287" s="246" t="s">
        <v>635</v>
      </c>
      <c r="AW1287" s="242"/>
      <c r="AX1287" s="242"/>
      <c r="AY1287" s="231"/>
      <c r="AZ1287" s="231"/>
      <c r="BA1287" s="227"/>
      <c r="BB1287" s="231"/>
      <c r="BC1287" s="227"/>
      <c r="BD1287" s="227"/>
      <c r="BE1287" s="227"/>
      <c r="BF1287" s="227"/>
    </row>
    <row r="1288">
      <c r="A1288" s="235" t="s">
        <v>10523</v>
      </c>
      <c r="C1288" s="235" t="s">
        <v>10524</v>
      </c>
      <c r="D1288" s="235" t="s">
        <v>10525</v>
      </c>
      <c r="E1288" s="243">
        <v>6.55E13</v>
      </c>
      <c r="F1288" s="245"/>
      <c r="G1288" s="235" t="s">
        <v>10526</v>
      </c>
      <c r="H1288" s="235" t="s">
        <v>10527</v>
      </c>
      <c r="I1288" s="235" t="s">
        <v>10527</v>
      </c>
      <c r="J1288" s="235" t="s">
        <v>10528</v>
      </c>
      <c r="K1288" s="235" t="s">
        <v>10529</v>
      </c>
      <c r="N1288" s="235" t="s">
        <v>31</v>
      </c>
      <c r="O1288" s="235" t="s">
        <v>954</v>
      </c>
      <c r="P1288" s="238">
        <v>1.0</v>
      </c>
      <c r="Q1288" s="235" t="s">
        <v>627</v>
      </c>
      <c r="R1288" s="238">
        <v>446.67</v>
      </c>
      <c r="S1288" s="238">
        <v>21.66</v>
      </c>
      <c r="T1288" s="238">
        <v>0.0</v>
      </c>
      <c r="U1288" s="238">
        <v>0.0</v>
      </c>
      <c r="V1288" s="238">
        <v>0.0</v>
      </c>
      <c r="W1288" s="238">
        <v>0.0</v>
      </c>
      <c r="X1288" s="235" t="s">
        <v>628</v>
      </c>
      <c r="Z1288" s="244"/>
      <c r="AA1288" s="244"/>
      <c r="AB1288" s="244"/>
      <c r="AC1288" s="235" t="s">
        <v>1287</v>
      </c>
      <c r="AD1288" s="235" t="s">
        <v>630</v>
      </c>
      <c r="AE1288" s="238">
        <v>201017.0</v>
      </c>
      <c r="AF1288" s="235" t="s">
        <v>631</v>
      </c>
      <c r="AG1288" s="244"/>
      <c r="AH1288" s="244"/>
      <c r="AI1288" s="245"/>
      <c r="AJ1288" s="245"/>
      <c r="AK1288" s="245"/>
      <c r="AL1288" s="245"/>
      <c r="AM1288" s="244"/>
      <c r="AN1288" s="244"/>
      <c r="AO1288" s="238">
        <v>-13.4</v>
      </c>
      <c r="AP1288" s="238">
        <v>0.0</v>
      </c>
      <c r="AQ1288" s="235" t="s">
        <v>632</v>
      </c>
      <c r="AR1288" s="243">
        <v>1.68E11</v>
      </c>
      <c r="AS1288" s="235" t="s">
        <v>10417</v>
      </c>
      <c r="AT1288" s="235" t="s">
        <v>14</v>
      </c>
      <c r="AU1288" s="235" t="s">
        <v>634</v>
      </c>
      <c r="AV1288" s="246" t="s">
        <v>635</v>
      </c>
      <c r="AW1288" s="242"/>
      <c r="AX1288" s="242"/>
      <c r="AY1288" s="231"/>
      <c r="AZ1288" s="231"/>
      <c r="BA1288" s="227"/>
      <c r="BB1288" s="231"/>
      <c r="BC1288" s="227"/>
      <c r="BD1288" s="227"/>
      <c r="BE1288" s="227"/>
      <c r="BF1288" s="227"/>
    </row>
    <row r="1289">
      <c r="A1289" s="235" t="s">
        <v>10523</v>
      </c>
      <c r="C1289" s="235" t="s">
        <v>10524</v>
      </c>
      <c r="D1289" s="235" t="s">
        <v>10530</v>
      </c>
      <c r="E1289" s="243">
        <v>6.55E13</v>
      </c>
      <c r="F1289" s="245"/>
      <c r="G1289" s="235" t="s">
        <v>10526</v>
      </c>
      <c r="H1289" s="235" t="s">
        <v>10527</v>
      </c>
      <c r="I1289" s="235" t="s">
        <v>10527</v>
      </c>
      <c r="J1289" s="235" t="s">
        <v>10528</v>
      </c>
      <c r="K1289" s="235" t="s">
        <v>10529</v>
      </c>
      <c r="N1289" s="235" t="s">
        <v>31</v>
      </c>
      <c r="O1289" s="235" t="s">
        <v>954</v>
      </c>
      <c r="P1289" s="238">
        <v>1.0</v>
      </c>
      <c r="Q1289" s="235" t="s">
        <v>627</v>
      </c>
      <c r="R1289" s="238">
        <v>446.67</v>
      </c>
      <c r="S1289" s="238">
        <v>21.66</v>
      </c>
      <c r="T1289" s="238">
        <v>0.0</v>
      </c>
      <c r="U1289" s="238">
        <v>0.0</v>
      </c>
      <c r="V1289" s="238">
        <v>0.0</v>
      </c>
      <c r="W1289" s="238">
        <v>0.0</v>
      </c>
      <c r="X1289" s="235" t="s">
        <v>628</v>
      </c>
      <c r="Z1289" s="244"/>
      <c r="AA1289" s="244"/>
      <c r="AB1289" s="244"/>
      <c r="AC1289" s="235" t="s">
        <v>1287</v>
      </c>
      <c r="AD1289" s="235" t="s">
        <v>630</v>
      </c>
      <c r="AE1289" s="238">
        <v>201017.0</v>
      </c>
      <c r="AF1289" s="235" t="s">
        <v>631</v>
      </c>
      <c r="AG1289" s="244"/>
      <c r="AH1289" s="244"/>
      <c r="AI1289" s="245"/>
      <c r="AJ1289" s="245"/>
      <c r="AK1289" s="245"/>
      <c r="AL1289" s="245"/>
      <c r="AM1289" s="244"/>
      <c r="AN1289" s="244"/>
      <c r="AO1289" s="238">
        <v>-13.4</v>
      </c>
      <c r="AP1289" s="238">
        <v>0.0</v>
      </c>
      <c r="AQ1289" s="235" t="s">
        <v>632</v>
      </c>
      <c r="AR1289" s="243">
        <v>1.68E11</v>
      </c>
      <c r="AS1289" s="235" t="s">
        <v>10417</v>
      </c>
      <c r="AT1289" s="235" t="s">
        <v>14</v>
      </c>
      <c r="AU1289" s="235" t="s">
        <v>634</v>
      </c>
      <c r="AV1289" s="246" t="s">
        <v>635</v>
      </c>
      <c r="AW1289" s="242"/>
      <c r="AX1289" s="242"/>
      <c r="AY1289" s="231"/>
      <c r="AZ1289" s="231"/>
      <c r="BA1289" s="227"/>
      <c r="BB1289" s="231"/>
      <c r="BC1289" s="227"/>
      <c r="BD1289" s="227"/>
      <c r="BE1289" s="227"/>
      <c r="BF1289" s="227"/>
    </row>
    <row r="1290">
      <c r="A1290" s="235" t="s">
        <v>10531</v>
      </c>
      <c r="C1290" s="235" t="s">
        <v>10532</v>
      </c>
      <c r="D1290" s="235" t="s">
        <v>10533</v>
      </c>
      <c r="E1290" s="243">
        <v>6.55E13</v>
      </c>
      <c r="F1290" s="245"/>
      <c r="G1290" s="235" t="s">
        <v>10534</v>
      </c>
      <c r="H1290" s="235" t="s">
        <v>10535</v>
      </c>
      <c r="I1290" s="235" t="s">
        <v>10535</v>
      </c>
      <c r="J1290" s="235" t="s">
        <v>10536</v>
      </c>
      <c r="K1290" s="235" t="s">
        <v>10537</v>
      </c>
      <c r="N1290" s="235" t="s">
        <v>1346</v>
      </c>
      <c r="O1290" s="235" t="s">
        <v>1347</v>
      </c>
      <c r="P1290" s="238">
        <v>1.0</v>
      </c>
      <c r="Q1290" s="235" t="s">
        <v>627</v>
      </c>
      <c r="R1290" s="238">
        <v>256.19</v>
      </c>
      <c r="S1290" s="238">
        <v>12.81</v>
      </c>
      <c r="T1290" s="238">
        <v>0.0</v>
      </c>
      <c r="U1290" s="238">
        <v>0.0</v>
      </c>
      <c r="V1290" s="238">
        <v>0.0</v>
      </c>
      <c r="W1290" s="238">
        <v>0.0</v>
      </c>
      <c r="X1290" s="235" t="s">
        <v>628</v>
      </c>
      <c r="Z1290" s="244"/>
      <c r="AA1290" s="244"/>
      <c r="AB1290" s="244"/>
      <c r="AC1290" s="235" t="s">
        <v>10538</v>
      </c>
      <c r="AD1290" s="235" t="s">
        <v>833</v>
      </c>
      <c r="AE1290" s="238">
        <v>531021.0</v>
      </c>
      <c r="AF1290" s="235" t="s">
        <v>631</v>
      </c>
      <c r="AG1290" s="244"/>
      <c r="AH1290" s="244"/>
      <c r="AI1290" s="245"/>
      <c r="AJ1290" s="245"/>
      <c r="AK1290" s="245"/>
      <c r="AL1290" s="245"/>
      <c r="AM1290" s="244"/>
      <c r="AN1290" s="244"/>
      <c r="AO1290" s="238">
        <v>0.0</v>
      </c>
      <c r="AP1290" s="238">
        <v>0.0</v>
      </c>
      <c r="AQ1290" s="235" t="s">
        <v>632</v>
      </c>
      <c r="AR1290" s="243">
        <v>3.71E11</v>
      </c>
      <c r="AS1290" s="235" t="s">
        <v>6164</v>
      </c>
      <c r="AT1290" s="235" t="s">
        <v>156</v>
      </c>
      <c r="AU1290" s="235" t="s">
        <v>634</v>
      </c>
      <c r="AV1290" s="246" t="s">
        <v>635</v>
      </c>
      <c r="AW1290" s="242"/>
      <c r="AX1290" s="242"/>
      <c r="AY1290" s="231"/>
      <c r="AZ1290" s="231"/>
      <c r="BA1290" s="227"/>
      <c r="BB1290" s="231"/>
      <c r="BC1290" s="227"/>
      <c r="BD1290" s="227"/>
      <c r="BE1290" s="227"/>
      <c r="BF1290" s="227"/>
    </row>
    <row r="1291">
      <c r="A1291" s="235" t="s">
        <v>10539</v>
      </c>
      <c r="C1291" s="235" t="s">
        <v>10540</v>
      </c>
      <c r="D1291" s="235" t="s">
        <v>10541</v>
      </c>
      <c r="E1291" s="243">
        <v>6.55E13</v>
      </c>
      <c r="F1291" s="245"/>
      <c r="G1291" s="235" t="s">
        <v>10542</v>
      </c>
      <c r="H1291" s="235" t="s">
        <v>10543</v>
      </c>
      <c r="I1291" s="235" t="s">
        <v>10543</v>
      </c>
      <c r="J1291" s="235" t="s">
        <v>10544</v>
      </c>
      <c r="K1291" s="235" t="s">
        <v>10545</v>
      </c>
      <c r="N1291" s="235" t="s">
        <v>42</v>
      </c>
      <c r="O1291" s="235" t="s">
        <v>204</v>
      </c>
      <c r="P1291" s="238">
        <v>1.0</v>
      </c>
      <c r="Q1291" s="235" t="s">
        <v>627</v>
      </c>
      <c r="R1291" s="238">
        <v>237.14</v>
      </c>
      <c r="S1291" s="238">
        <v>11.86</v>
      </c>
      <c r="T1291" s="238">
        <v>38.1</v>
      </c>
      <c r="U1291" s="238">
        <v>1.9</v>
      </c>
      <c r="V1291" s="238">
        <v>0.0</v>
      </c>
      <c r="W1291" s="238">
        <v>0.0</v>
      </c>
      <c r="X1291" s="235" t="s">
        <v>628</v>
      </c>
      <c r="Z1291" s="244"/>
      <c r="AA1291" s="244"/>
      <c r="AB1291" s="244"/>
      <c r="AC1291" s="235" t="s">
        <v>678</v>
      </c>
      <c r="AD1291" s="235" t="s">
        <v>679</v>
      </c>
      <c r="AE1291" s="238">
        <v>560073.0</v>
      </c>
      <c r="AF1291" s="235" t="s">
        <v>631</v>
      </c>
      <c r="AG1291" s="244"/>
      <c r="AH1291" s="244"/>
      <c r="AI1291" s="245"/>
      <c r="AJ1291" s="245"/>
      <c r="AK1291" s="245"/>
      <c r="AL1291" s="245"/>
      <c r="AM1291" s="244"/>
      <c r="AN1291" s="244"/>
      <c r="AO1291" s="238">
        <v>0.0</v>
      </c>
      <c r="AP1291" s="238">
        <v>-38.1</v>
      </c>
      <c r="AQ1291" s="235" t="s">
        <v>632</v>
      </c>
      <c r="AR1291" s="243">
        <v>3.71E11</v>
      </c>
      <c r="AS1291" s="235" t="s">
        <v>10017</v>
      </c>
      <c r="AT1291" s="235" t="s">
        <v>11</v>
      </c>
      <c r="AU1291" s="235" t="s">
        <v>634</v>
      </c>
      <c r="AV1291" s="246" t="s">
        <v>635</v>
      </c>
      <c r="AW1291" s="242"/>
      <c r="AX1291" s="242"/>
      <c r="AY1291" s="231"/>
      <c r="AZ1291" s="231"/>
      <c r="BA1291" s="227"/>
      <c r="BB1291" s="231"/>
      <c r="BC1291" s="227"/>
      <c r="BD1291" s="227"/>
      <c r="BE1291" s="227"/>
      <c r="BF1291" s="227"/>
    </row>
    <row r="1292">
      <c r="A1292" s="235" t="s">
        <v>10546</v>
      </c>
      <c r="C1292" s="235" t="s">
        <v>10547</v>
      </c>
      <c r="D1292" s="235" t="s">
        <v>10548</v>
      </c>
      <c r="E1292" s="243">
        <v>6.55E13</v>
      </c>
      <c r="F1292" s="245"/>
      <c r="G1292" s="235" t="s">
        <v>10549</v>
      </c>
      <c r="H1292" s="235" t="s">
        <v>10550</v>
      </c>
      <c r="I1292" s="235" t="s">
        <v>10550</v>
      </c>
      <c r="J1292" s="235" t="s">
        <v>10551</v>
      </c>
      <c r="K1292" s="235" t="s">
        <v>10552</v>
      </c>
      <c r="N1292" s="235" t="s">
        <v>138</v>
      </c>
      <c r="O1292" s="235" t="s">
        <v>675</v>
      </c>
      <c r="P1292" s="238">
        <v>1.0</v>
      </c>
      <c r="Q1292" s="235" t="s">
        <v>627</v>
      </c>
      <c r="R1292" s="238">
        <v>246.66</v>
      </c>
      <c r="S1292" s="238">
        <v>12.34</v>
      </c>
      <c r="T1292" s="238">
        <v>0.0</v>
      </c>
      <c r="U1292" s="238">
        <v>0.0</v>
      </c>
      <c r="V1292" s="238">
        <v>0.0</v>
      </c>
      <c r="W1292" s="238">
        <v>0.0</v>
      </c>
      <c r="X1292" s="235" t="s">
        <v>628</v>
      </c>
      <c r="Z1292" s="244"/>
      <c r="AA1292" s="244"/>
      <c r="AB1292" s="244"/>
      <c r="AC1292" s="235" t="s">
        <v>2092</v>
      </c>
      <c r="AD1292" s="235" t="s">
        <v>10553</v>
      </c>
      <c r="AE1292" s="238">
        <v>411019.0</v>
      </c>
      <c r="AF1292" s="235" t="s">
        <v>631</v>
      </c>
      <c r="AG1292" s="244"/>
      <c r="AH1292" s="244"/>
      <c r="AI1292" s="245"/>
      <c r="AJ1292" s="245"/>
      <c r="AK1292" s="245"/>
      <c r="AL1292" s="245"/>
      <c r="AM1292" s="244"/>
      <c r="AN1292" s="244"/>
      <c r="AO1292" s="238">
        <v>0.0</v>
      </c>
      <c r="AP1292" s="238">
        <v>0.0</v>
      </c>
      <c r="AQ1292" s="235" t="s">
        <v>632</v>
      </c>
      <c r="AR1292" s="243">
        <v>1.68E11</v>
      </c>
      <c r="AS1292" s="235" t="s">
        <v>10017</v>
      </c>
      <c r="AT1292" s="235" t="s">
        <v>17</v>
      </c>
      <c r="AU1292" s="235" t="s">
        <v>634</v>
      </c>
      <c r="AV1292" s="246" t="s">
        <v>635</v>
      </c>
      <c r="AW1292" s="242"/>
      <c r="AX1292" s="242"/>
      <c r="AY1292" s="231"/>
      <c r="AZ1292" s="231"/>
      <c r="BA1292" s="227"/>
      <c r="BB1292" s="231"/>
      <c r="BC1292" s="227"/>
      <c r="BD1292" s="227"/>
      <c r="BE1292" s="227"/>
      <c r="BF1292" s="227"/>
    </row>
    <row r="1293">
      <c r="A1293" s="235" t="s">
        <v>10554</v>
      </c>
      <c r="C1293" s="235" t="s">
        <v>10555</v>
      </c>
      <c r="D1293" s="235" t="s">
        <v>10556</v>
      </c>
      <c r="E1293" s="243">
        <v>6.55E13</v>
      </c>
      <c r="F1293" s="245"/>
      <c r="G1293" s="235" t="s">
        <v>10557</v>
      </c>
      <c r="H1293" s="235" t="s">
        <v>10558</v>
      </c>
      <c r="I1293" s="235" t="s">
        <v>10558</v>
      </c>
      <c r="J1293" s="235" t="s">
        <v>10559</v>
      </c>
      <c r="K1293" s="235" t="s">
        <v>10560</v>
      </c>
      <c r="N1293" s="235" t="s">
        <v>842</v>
      </c>
      <c r="O1293" s="235" t="s">
        <v>843</v>
      </c>
      <c r="P1293" s="238">
        <v>1.0</v>
      </c>
      <c r="Q1293" s="235" t="s">
        <v>627</v>
      </c>
      <c r="R1293" s="238">
        <v>246.66</v>
      </c>
      <c r="S1293" s="238">
        <v>12.34</v>
      </c>
      <c r="T1293" s="238">
        <v>0.0</v>
      </c>
      <c r="U1293" s="238">
        <v>0.0</v>
      </c>
      <c r="V1293" s="238">
        <v>0.0</v>
      </c>
      <c r="W1293" s="238">
        <v>0.0</v>
      </c>
      <c r="X1293" s="235" t="s">
        <v>628</v>
      </c>
      <c r="Z1293" s="244"/>
      <c r="AA1293" s="244"/>
      <c r="AB1293" s="244"/>
      <c r="AC1293" s="235" t="s">
        <v>1320</v>
      </c>
      <c r="AD1293" s="235" t="s">
        <v>666</v>
      </c>
      <c r="AE1293" s="238">
        <v>600041.0</v>
      </c>
      <c r="AF1293" s="235" t="s">
        <v>631</v>
      </c>
      <c r="AG1293" s="244"/>
      <c r="AH1293" s="244"/>
      <c r="AI1293" s="245"/>
      <c r="AJ1293" s="245"/>
      <c r="AK1293" s="245"/>
      <c r="AL1293" s="245"/>
      <c r="AM1293" s="244"/>
      <c r="AN1293" s="244"/>
      <c r="AO1293" s="238">
        <v>0.0</v>
      </c>
      <c r="AP1293" s="238">
        <v>0.0</v>
      </c>
      <c r="AQ1293" s="235" t="s">
        <v>632</v>
      </c>
      <c r="AR1293" s="243">
        <v>1.68E11</v>
      </c>
      <c r="AS1293" s="235" t="s">
        <v>10417</v>
      </c>
      <c r="AT1293" s="235" t="s">
        <v>156</v>
      </c>
      <c r="AU1293" s="235" t="s">
        <v>634</v>
      </c>
      <c r="AV1293" s="246" t="s">
        <v>635</v>
      </c>
      <c r="AW1293" s="242"/>
      <c r="AX1293" s="242"/>
      <c r="AY1293" s="231"/>
      <c r="AZ1293" s="231"/>
      <c r="BA1293" s="227"/>
      <c r="BB1293" s="231"/>
      <c r="BC1293" s="227"/>
      <c r="BD1293" s="227"/>
      <c r="BE1293" s="227"/>
      <c r="BF1293" s="227"/>
    </row>
    <row r="1294">
      <c r="A1294" s="235" t="s">
        <v>10561</v>
      </c>
      <c r="C1294" s="235" t="s">
        <v>10562</v>
      </c>
      <c r="D1294" s="235" t="s">
        <v>10563</v>
      </c>
      <c r="E1294" s="243">
        <v>6.55E13</v>
      </c>
      <c r="F1294" s="245"/>
      <c r="G1294" s="235" t="s">
        <v>10564</v>
      </c>
      <c r="H1294" s="235" t="s">
        <v>10565</v>
      </c>
      <c r="I1294" s="235" t="s">
        <v>10565</v>
      </c>
      <c r="J1294" s="235" t="s">
        <v>10566</v>
      </c>
      <c r="K1294" s="235" t="s">
        <v>10567</v>
      </c>
      <c r="N1294" s="235" t="s">
        <v>154</v>
      </c>
      <c r="O1294" s="235" t="s">
        <v>766</v>
      </c>
      <c r="P1294" s="238">
        <v>1.0</v>
      </c>
      <c r="Q1294" s="235" t="s">
        <v>627</v>
      </c>
      <c r="R1294" s="238">
        <v>465.71</v>
      </c>
      <c r="S1294" s="238">
        <v>23.29</v>
      </c>
      <c r="T1294" s="238">
        <v>0.0</v>
      </c>
      <c r="U1294" s="238">
        <v>0.0</v>
      </c>
      <c r="V1294" s="238">
        <v>0.0</v>
      </c>
      <c r="W1294" s="238">
        <v>0.0</v>
      </c>
      <c r="X1294" s="235" t="s">
        <v>628</v>
      </c>
      <c r="Z1294" s="244"/>
      <c r="AA1294" s="244"/>
      <c r="AB1294" s="244"/>
      <c r="AC1294" s="235" t="s">
        <v>1287</v>
      </c>
      <c r="AD1294" s="235" t="s">
        <v>630</v>
      </c>
      <c r="AE1294" s="238">
        <v>201017.0</v>
      </c>
      <c r="AF1294" s="235" t="s">
        <v>631</v>
      </c>
      <c r="AG1294" s="244"/>
      <c r="AH1294" s="244"/>
      <c r="AI1294" s="245"/>
      <c r="AJ1294" s="245"/>
      <c r="AK1294" s="245"/>
      <c r="AL1294" s="245"/>
      <c r="AM1294" s="244"/>
      <c r="AN1294" s="244"/>
      <c r="AO1294" s="238">
        <v>0.0</v>
      </c>
      <c r="AP1294" s="238">
        <v>0.0</v>
      </c>
      <c r="AQ1294" s="235" t="s">
        <v>632</v>
      </c>
      <c r="AR1294" s="243">
        <v>1.68E11</v>
      </c>
      <c r="AS1294" s="235" t="s">
        <v>10417</v>
      </c>
      <c r="AT1294" s="235" t="s">
        <v>14</v>
      </c>
      <c r="AU1294" s="235" t="s">
        <v>634</v>
      </c>
      <c r="AV1294" s="246" t="s">
        <v>635</v>
      </c>
      <c r="AW1294" s="242"/>
      <c r="AX1294" s="242"/>
      <c r="AY1294" s="231"/>
      <c r="AZ1294" s="231"/>
      <c r="BA1294" s="227"/>
      <c r="BB1294" s="231"/>
      <c r="BC1294" s="227"/>
      <c r="BD1294" s="227"/>
      <c r="BE1294" s="227"/>
      <c r="BF1294" s="227"/>
    </row>
    <row r="1295">
      <c r="A1295" s="235" t="s">
        <v>10568</v>
      </c>
      <c r="C1295" s="235" t="s">
        <v>10569</v>
      </c>
      <c r="D1295" s="235" t="s">
        <v>10570</v>
      </c>
      <c r="E1295" s="243">
        <v>6.55E13</v>
      </c>
      <c r="F1295" s="245"/>
      <c r="G1295" s="235" t="s">
        <v>10571</v>
      </c>
      <c r="H1295" s="235" t="s">
        <v>10572</v>
      </c>
      <c r="I1295" s="235" t="s">
        <v>10573</v>
      </c>
      <c r="J1295" s="235" t="s">
        <v>10574</v>
      </c>
      <c r="K1295" s="235" t="s">
        <v>10575</v>
      </c>
      <c r="N1295" s="235" t="s">
        <v>2696</v>
      </c>
      <c r="O1295" s="235" t="s">
        <v>2697</v>
      </c>
      <c r="P1295" s="238">
        <v>1.0</v>
      </c>
      <c r="Q1295" s="235" t="s">
        <v>627</v>
      </c>
      <c r="R1295" s="238">
        <v>246.67</v>
      </c>
      <c r="S1295" s="238">
        <v>12.33</v>
      </c>
      <c r="T1295" s="238">
        <v>0.0</v>
      </c>
      <c r="U1295" s="238">
        <v>0.0</v>
      </c>
      <c r="V1295" s="238">
        <v>0.0</v>
      </c>
      <c r="W1295" s="238">
        <v>0.0</v>
      </c>
      <c r="X1295" s="235" t="s">
        <v>628</v>
      </c>
      <c r="Z1295" s="244"/>
      <c r="AA1295" s="244"/>
      <c r="AB1295" s="244"/>
      <c r="AC1295" s="235" t="s">
        <v>7611</v>
      </c>
      <c r="AD1295" s="235" t="s">
        <v>630</v>
      </c>
      <c r="AE1295" s="238">
        <v>250110.0</v>
      </c>
      <c r="AF1295" s="235" t="s">
        <v>631</v>
      </c>
      <c r="AG1295" s="244"/>
      <c r="AH1295" s="244"/>
      <c r="AI1295" s="245"/>
      <c r="AJ1295" s="245"/>
      <c r="AK1295" s="245"/>
      <c r="AL1295" s="245"/>
      <c r="AM1295" s="244"/>
      <c r="AN1295" s="244"/>
      <c r="AO1295" s="238">
        <v>0.0</v>
      </c>
      <c r="AP1295" s="238">
        <v>0.0</v>
      </c>
      <c r="AQ1295" s="235" t="s">
        <v>632</v>
      </c>
      <c r="AR1295" s="243">
        <v>3.71E11</v>
      </c>
      <c r="AS1295" s="235" t="s">
        <v>10017</v>
      </c>
      <c r="AT1295" s="235" t="s">
        <v>14</v>
      </c>
      <c r="AU1295" s="235" t="s">
        <v>634</v>
      </c>
      <c r="AV1295" s="246" t="s">
        <v>635</v>
      </c>
      <c r="AW1295" s="242"/>
      <c r="AX1295" s="242"/>
      <c r="AY1295" s="231"/>
      <c r="AZ1295" s="231"/>
      <c r="BA1295" s="227"/>
      <c r="BB1295" s="231"/>
      <c r="BC1295" s="227"/>
      <c r="BD1295" s="227"/>
      <c r="BE1295" s="227"/>
      <c r="BF1295" s="227"/>
    </row>
    <row r="1296">
      <c r="A1296" s="235" t="s">
        <v>10576</v>
      </c>
      <c r="C1296" s="235" t="s">
        <v>10577</v>
      </c>
      <c r="D1296" s="235" t="s">
        <v>10578</v>
      </c>
      <c r="E1296" s="243">
        <v>6.55E13</v>
      </c>
      <c r="F1296" s="245"/>
      <c r="G1296" s="235" t="s">
        <v>10579</v>
      </c>
      <c r="H1296" s="235" t="s">
        <v>10580</v>
      </c>
      <c r="I1296" s="235" t="s">
        <v>10581</v>
      </c>
      <c r="J1296" s="235" t="s">
        <v>10582</v>
      </c>
      <c r="K1296" s="235" t="s">
        <v>10583</v>
      </c>
      <c r="N1296" s="235" t="s">
        <v>82</v>
      </c>
      <c r="O1296" s="235" t="s">
        <v>889</v>
      </c>
      <c r="P1296" s="238">
        <v>1.0</v>
      </c>
      <c r="Q1296" s="235" t="s">
        <v>627</v>
      </c>
      <c r="R1296" s="238">
        <v>246.67</v>
      </c>
      <c r="S1296" s="238">
        <v>12.33</v>
      </c>
      <c r="T1296" s="238">
        <v>38.1</v>
      </c>
      <c r="U1296" s="238">
        <v>1.9</v>
      </c>
      <c r="V1296" s="238">
        <v>0.0</v>
      </c>
      <c r="W1296" s="238">
        <v>0.0</v>
      </c>
      <c r="X1296" s="235" t="s">
        <v>628</v>
      </c>
      <c r="Z1296" s="244"/>
      <c r="AA1296" s="244"/>
      <c r="AB1296" s="244"/>
      <c r="AC1296" s="235" t="s">
        <v>9767</v>
      </c>
      <c r="AD1296" s="235" t="s">
        <v>1151</v>
      </c>
      <c r="AE1296" s="238">
        <v>711315.0</v>
      </c>
      <c r="AF1296" s="235" t="s">
        <v>631</v>
      </c>
      <c r="AG1296" s="244"/>
      <c r="AH1296" s="244"/>
      <c r="AI1296" s="245"/>
      <c r="AJ1296" s="245"/>
      <c r="AK1296" s="245"/>
      <c r="AL1296" s="245"/>
      <c r="AM1296" s="244"/>
      <c r="AN1296" s="244"/>
      <c r="AO1296" s="238">
        <v>0.0</v>
      </c>
      <c r="AP1296" s="238">
        <v>-38.1</v>
      </c>
      <c r="AQ1296" s="235" t="s">
        <v>632</v>
      </c>
      <c r="AR1296" s="243">
        <v>3.71E11</v>
      </c>
      <c r="AS1296" s="235" t="s">
        <v>6164</v>
      </c>
      <c r="AT1296" s="235" t="s">
        <v>14</v>
      </c>
      <c r="AU1296" s="235" t="s">
        <v>634</v>
      </c>
      <c r="AV1296" s="246" t="s">
        <v>635</v>
      </c>
      <c r="AW1296" s="242"/>
      <c r="AX1296" s="242"/>
      <c r="AY1296" s="231"/>
      <c r="AZ1296" s="231"/>
      <c r="BA1296" s="227"/>
      <c r="BB1296" s="231"/>
      <c r="BC1296" s="227"/>
      <c r="BD1296" s="227"/>
      <c r="BE1296" s="227"/>
      <c r="BF1296" s="227"/>
    </row>
    <row r="1297">
      <c r="A1297" s="235" t="s">
        <v>10584</v>
      </c>
      <c r="C1297" s="235" t="s">
        <v>10585</v>
      </c>
      <c r="D1297" s="235" t="s">
        <v>10586</v>
      </c>
      <c r="E1297" s="243">
        <v>6.55E13</v>
      </c>
      <c r="F1297" s="245"/>
      <c r="G1297" s="235" t="s">
        <v>10587</v>
      </c>
      <c r="H1297" s="235" t="s">
        <v>10588</v>
      </c>
      <c r="I1297" s="235" t="s">
        <v>10588</v>
      </c>
      <c r="J1297" s="235" t="s">
        <v>10589</v>
      </c>
      <c r="K1297" s="235" t="s">
        <v>10590</v>
      </c>
      <c r="N1297" s="235" t="s">
        <v>726</v>
      </c>
      <c r="O1297" s="235" t="s">
        <v>727</v>
      </c>
      <c r="P1297" s="238">
        <v>1.0</v>
      </c>
      <c r="Q1297" s="235" t="s">
        <v>627</v>
      </c>
      <c r="R1297" s="238">
        <v>242.86</v>
      </c>
      <c r="S1297" s="238">
        <v>12.14</v>
      </c>
      <c r="T1297" s="238">
        <v>0.0</v>
      </c>
      <c r="U1297" s="238">
        <v>0.0</v>
      </c>
      <c r="V1297" s="238">
        <v>0.0</v>
      </c>
      <c r="W1297" s="238">
        <v>0.0</v>
      </c>
      <c r="X1297" s="235" t="s">
        <v>628</v>
      </c>
      <c r="Z1297" s="244"/>
      <c r="AA1297" s="244"/>
      <c r="AB1297" s="244"/>
      <c r="AC1297" s="235" t="s">
        <v>1085</v>
      </c>
      <c r="AD1297" s="235" t="s">
        <v>1086</v>
      </c>
      <c r="AE1297" s="238">
        <v>141003.0</v>
      </c>
      <c r="AF1297" s="235" t="s">
        <v>631</v>
      </c>
      <c r="AG1297" s="244"/>
      <c r="AH1297" s="244"/>
      <c r="AI1297" s="245"/>
      <c r="AJ1297" s="245"/>
      <c r="AK1297" s="245"/>
      <c r="AL1297" s="245"/>
      <c r="AM1297" s="244"/>
      <c r="AN1297" s="244"/>
      <c r="AO1297" s="238">
        <v>0.0</v>
      </c>
      <c r="AP1297" s="238">
        <v>0.0</v>
      </c>
      <c r="AQ1297" s="235" t="s">
        <v>632</v>
      </c>
      <c r="AR1297" s="243">
        <v>3.71E11</v>
      </c>
      <c r="AS1297" s="235" t="s">
        <v>7365</v>
      </c>
      <c r="AT1297" s="235" t="s">
        <v>13</v>
      </c>
      <c r="AU1297" s="235" t="s">
        <v>634</v>
      </c>
      <c r="AV1297" s="246" t="s">
        <v>635</v>
      </c>
      <c r="AW1297" s="242"/>
      <c r="AX1297" s="242"/>
      <c r="AY1297" s="231"/>
      <c r="AZ1297" s="231"/>
      <c r="BA1297" s="227"/>
      <c r="BB1297" s="231"/>
      <c r="BC1297" s="227"/>
      <c r="BD1297" s="227"/>
      <c r="BE1297" s="227"/>
      <c r="BF1297" s="227"/>
    </row>
    <row r="1298">
      <c r="A1298" s="235" t="s">
        <v>10591</v>
      </c>
      <c r="C1298" s="235" t="s">
        <v>10592</v>
      </c>
      <c r="D1298" s="235" t="s">
        <v>10593</v>
      </c>
      <c r="E1298" s="243">
        <v>6.55E13</v>
      </c>
      <c r="F1298" s="245"/>
      <c r="G1298" s="235" t="s">
        <v>10594</v>
      </c>
      <c r="H1298" s="235" t="s">
        <v>10595</v>
      </c>
      <c r="I1298" s="235" t="s">
        <v>10595</v>
      </c>
      <c r="J1298" s="235" t="s">
        <v>10596</v>
      </c>
      <c r="K1298" s="235" t="s">
        <v>10597</v>
      </c>
      <c r="N1298" s="235" t="s">
        <v>92</v>
      </c>
      <c r="O1298" s="235" t="s">
        <v>248</v>
      </c>
      <c r="P1298" s="238">
        <v>1.0</v>
      </c>
      <c r="Q1298" s="235" t="s">
        <v>627</v>
      </c>
      <c r="R1298" s="238">
        <v>246.67</v>
      </c>
      <c r="S1298" s="238">
        <v>12.33</v>
      </c>
      <c r="T1298" s="238">
        <v>38.1</v>
      </c>
      <c r="U1298" s="238">
        <v>1.9</v>
      </c>
      <c r="V1298" s="238">
        <v>0.0</v>
      </c>
      <c r="W1298" s="238">
        <v>0.0</v>
      </c>
      <c r="X1298" s="235" t="s">
        <v>628</v>
      </c>
      <c r="Z1298" s="244"/>
      <c r="AA1298" s="244"/>
      <c r="AB1298" s="244"/>
      <c r="AC1298" s="235" t="s">
        <v>1085</v>
      </c>
      <c r="AD1298" s="235" t="s">
        <v>1086</v>
      </c>
      <c r="AE1298" s="238">
        <v>141206.0</v>
      </c>
      <c r="AF1298" s="235" t="s">
        <v>631</v>
      </c>
      <c r="AG1298" s="244"/>
      <c r="AH1298" s="244"/>
      <c r="AI1298" s="245"/>
      <c r="AJ1298" s="245"/>
      <c r="AK1298" s="245"/>
      <c r="AL1298" s="245"/>
      <c r="AM1298" s="244"/>
      <c r="AN1298" s="244"/>
      <c r="AO1298" s="238">
        <v>0.0</v>
      </c>
      <c r="AP1298" s="238">
        <v>-38.1</v>
      </c>
      <c r="AQ1298" s="235" t="s">
        <v>632</v>
      </c>
      <c r="AR1298" s="243">
        <v>3.71E11</v>
      </c>
      <c r="AS1298" s="235" t="s">
        <v>7365</v>
      </c>
      <c r="AT1298" s="235" t="s">
        <v>533</v>
      </c>
      <c r="AU1298" s="235" t="s">
        <v>634</v>
      </c>
      <c r="AV1298" s="246" t="s">
        <v>635</v>
      </c>
      <c r="AW1298" s="242"/>
      <c r="AX1298" s="242"/>
      <c r="AY1298" s="231"/>
      <c r="AZ1298" s="231"/>
      <c r="BA1298" s="227"/>
      <c r="BB1298" s="231"/>
      <c r="BC1298" s="227"/>
      <c r="BD1298" s="227"/>
      <c r="BE1298" s="227"/>
      <c r="BF1298" s="227"/>
    </row>
    <row r="1299">
      <c r="A1299" s="235" t="s">
        <v>10598</v>
      </c>
      <c r="C1299" s="235" t="s">
        <v>10599</v>
      </c>
      <c r="D1299" s="235" t="s">
        <v>10600</v>
      </c>
      <c r="E1299" s="243">
        <v>6.55E13</v>
      </c>
      <c r="F1299" s="245"/>
      <c r="G1299" s="235" t="s">
        <v>10601</v>
      </c>
      <c r="H1299" s="235" t="s">
        <v>10602</v>
      </c>
      <c r="I1299" s="235" t="s">
        <v>10603</v>
      </c>
      <c r="J1299" s="235" t="s">
        <v>10604</v>
      </c>
      <c r="K1299" s="235" t="s">
        <v>10605</v>
      </c>
      <c r="N1299" s="235" t="s">
        <v>129</v>
      </c>
      <c r="O1299" s="235" t="s">
        <v>522</v>
      </c>
      <c r="P1299" s="238">
        <v>1.0</v>
      </c>
      <c r="Q1299" s="235" t="s">
        <v>627</v>
      </c>
      <c r="R1299" s="238">
        <v>246.66</v>
      </c>
      <c r="S1299" s="238">
        <v>12.34</v>
      </c>
      <c r="T1299" s="238">
        <v>0.0</v>
      </c>
      <c r="U1299" s="238">
        <v>0.0</v>
      </c>
      <c r="V1299" s="238">
        <v>0.0</v>
      </c>
      <c r="W1299" s="238">
        <v>0.0</v>
      </c>
      <c r="X1299" s="235" t="s">
        <v>628</v>
      </c>
      <c r="Z1299" s="244"/>
      <c r="AA1299" s="244"/>
      <c r="AB1299" s="244"/>
      <c r="AC1299" s="235" t="s">
        <v>8737</v>
      </c>
      <c r="AD1299" s="235" t="s">
        <v>666</v>
      </c>
      <c r="AE1299" s="238">
        <v>632006.0</v>
      </c>
      <c r="AF1299" s="235" t="s">
        <v>631</v>
      </c>
      <c r="AG1299" s="244"/>
      <c r="AH1299" s="244"/>
      <c r="AI1299" s="245"/>
      <c r="AJ1299" s="245"/>
      <c r="AK1299" s="245"/>
      <c r="AL1299" s="245"/>
      <c r="AM1299" s="244"/>
      <c r="AN1299" s="244"/>
      <c r="AO1299" s="238">
        <v>0.0</v>
      </c>
      <c r="AP1299" s="238">
        <v>0.0</v>
      </c>
      <c r="AQ1299" s="235" t="s">
        <v>632</v>
      </c>
      <c r="AR1299" s="243">
        <v>1.68E11</v>
      </c>
      <c r="AS1299" s="235" t="s">
        <v>10417</v>
      </c>
      <c r="AT1299" s="235" t="s">
        <v>156</v>
      </c>
      <c r="AU1299" s="235" t="s">
        <v>634</v>
      </c>
      <c r="AV1299" s="246" t="s">
        <v>635</v>
      </c>
      <c r="AW1299" s="242"/>
      <c r="AX1299" s="242"/>
      <c r="AY1299" s="231"/>
      <c r="AZ1299" s="231"/>
      <c r="BA1299" s="227"/>
      <c r="BB1299" s="231"/>
      <c r="BC1299" s="227"/>
      <c r="BD1299" s="227"/>
      <c r="BE1299" s="227"/>
      <c r="BF1299" s="227"/>
    </row>
    <row r="1300">
      <c r="A1300" s="235" t="s">
        <v>10606</v>
      </c>
      <c r="C1300" s="235" t="s">
        <v>10607</v>
      </c>
      <c r="D1300" s="235" t="s">
        <v>10608</v>
      </c>
      <c r="E1300" s="243">
        <v>6.55E13</v>
      </c>
      <c r="F1300" s="245"/>
      <c r="G1300" s="235" t="s">
        <v>10609</v>
      </c>
      <c r="H1300" s="235" t="s">
        <v>10610</v>
      </c>
      <c r="I1300" s="235" t="s">
        <v>10610</v>
      </c>
      <c r="J1300" s="235" t="s">
        <v>10611</v>
      </c>
      <c r="K1300" s="235" t="s">
        <v>10612</v>
      </c>
      <c r="N1300" s="235" t="s">
        <v>154</v>
      </c>
      <c r="O1300" s="235" t="s">
        <v>766</v>
      </c>
      <c r="P1300" s="238">
        <v>1.0</v>
      </c>
      <c r="Q1300" s="235" t="s">
        <v>627</v>
      </c>
      <c r="R1300" s="238">
        <v>465.72</v>
      </c>
      <c r="S1300" s="238">
        <v>23.28</v>
      </c>
      <c r="T1300" s="238">
        <v>9.04</v>
      </c>
      <c r="U1300" s="238">
        <v>0.46</v>
      </c>
      <c r="V1300" s="238">
        <v>0.0</v>
      </c>
      <c r="W1300" s="238">
        <v>0.0</v>
      </c>
      <c r="X1300" s="235" t="s">
        <v>628</v>
      </c>
      <c r="Z1300" s="244"/>
      <c r="AA1300" s="244"/>
      <c r="AB1300" s="244"/>
      <c r="AC1300" s="235" t="s">
        <v>1604</v>
      </c>
      <c r="AD1300" s="235" t="s">
        <v>845</v>
      </c>
      <c r="AE1300" s="238">
        <v>400079.0</v>
      </c>
      <c r="AF1300" s="235" t="s">
        <v>631</v>
      </c>
      <c r="AG1300" s="244"/>
      <c r="AH1300" s="244"/>
      <c r="AI1300" s="245"/>
      <c r="AJ1300" s="245"/>
      <c r="AK1300" s="245"/>
      <c r="AL1300" s="245"/>
      <c r="AM1300" s="244"/>
      <c r="AN1300" s="244"/>
      <c r="AO1300" s="238">
        <v>0.0</v>
      </c>
      <c r="AP1300" s="238">
        <v>-9.04</v>
      </c>
      <c r="AQ1300" s="235" t="s">
        <v>632</v>
      </c>
      <c r="AR1300" s="243">
        <v>1.68E11</v>
      </c>
      <c r="AS1300" s="235" t="s">
        <v>10417</v>
      </c>
      <c r="AT1300" s="235" t="s">
        <v>16</v>
      </c>
      <c r="AU1300" s="235" t="s">
        <v>634</v>
      </c>
      <c r="AV1300" s="246" t="s">
        <v>635</v>
      </c>
      <c r="AW1300" s="242"/>
      <c r="AX1300" s="242"/>
      <c r="AY1300" s="231"/>
      <c r="AZ1300" s="231"/>
      <c r="BA1300" s="227"/>
      <c r="BB1300" s="231"/>
      <c r="BC1300" s="227"/>
      <c r="BD1300" s="227"/>
      <c r="BE1300" s="227"/>
      <c r="BF1300" s="227"/>
    </row>
    <row r="1301">
      <c r="A1301" s="235" t="s">
        <v>10613</v>
      </c>
      <c r="C1301" s="235" t="s">
        <v>10614</v>
      </c>
      <c r="D1301" s="235" t="s">
        <v>10615</v>
      </c>
      <c r="E1301" s="243">
        <v>6.55E13</v>
      </c>
      <c r="F1301" s="245"/>
      <c r="G1301" s="235" t="s">
        <v>10616</v>
      </c>
      <c r="H1301" s="235" t="s">
        <v>10617</v>
      </c>
      <c r="I1301" s="235" t="s">
        <v>10618</v>
      </c>
      <c r="J1301" s="235" t="s">
        <v>10619</v>
      </c>
      <c r="K1301" s="235" t="s">
        <v>10620</v>
      </c>
      <c r="N1301" s="235" t="s">
        <v>27</v>
      </c>
      <c r="O1301" s="235" t="s">
        <v>573</v>
      </c>
      <c r="P1301" s="238">
        <v>1.0</v>
      </c>
      <c r="Q1301" s="235" t="s">
        <v>627</v>
      </c>
      <c r="R1301" s="238">
        <v>360.96</v>
      </c>
      <c r="S1301" s="238">
        <v>17.68</v>
      </c>
      <c r="T1301" s="238">
        <v>0.0</v>
      </c>
      <c r="U1301" s="238">
        <v>0.0</v>
      </c>
      <c r="V1301" s="238">
        <v>0.0</v>
      </c>
      <c r="W1301" s="238">
        <v>0.0</v>
      </c>
      <c r="X1301" s="235" t="s">
        <v>628</v>
      </c>
      <c r="Z1301" s="244"/>
      <c r="AA1301" s="244"/>
      <c r="AB1301" s="244"/>
      <c r="AC1301" s="235" t="s">
        <v>2165</v>
      </c>
      <c r="AD1301" s="235" t="s">
        <v>928</v>
      </c>
      <c r="AE1301" s="238">
        <v>121001.0</v>
      </c>
      <c r="AF1301" s="235" t="s">
        <v>631</v>
      </c>
      <c r="AG1301" s="244"/>
      <c r="AH1301" s="244"/>
      <c r="AI1301" s="245"/>
      <c r="AJ1301" s="245"/>
      <c r="AK1301" s="245"/>
      <c r="AL1301" s="245"/>
      <c r="AM1301" s="244"/>
      <c r="AN1301" s="244"/>
      <c r="AO1301" s="238">
        <v>-7.22</v>
      </c>
      <c r="AP1301" s="238">
        <v>0.0</v>
      </c>
      <c r="AQ1301" s="235" t="s">
        <v>632</v>
      </c>
      <c r="AR1301" s="243">
        <v>1.68E11</v>
      </c>
      <c r="AS1301" s="235" t="s">
        <v>10417</v>
      </c>
      <c r="AT1301" s="235" t="s">
        <v>533</v>
      </c>
      <c r="AU1301" s="235" t="s">
        <v>634</v>
      </c>
      <c r="AV1301" s="246" t="s">
        <v>635</v>
      </c>
      <c r="AW1301" s="242"/>
      <c r="AX1301" s="242"/>
      <c r="AY1301" s="231"/>
      <c r="AZ1301" s="231"/>
      <c r="BA1301" s="227"/>
      <c r="BB1301" s="231"/>
      <c r="BC1301" s="227"/>
      <c r="BD1301" s="227"/>
      <c r="BE1301" s="227"/>
      <c r="BF1301" s="227"/>
    </row>
    <row r="1302">
      <c r="A1302" s="235" t="s">
        <v>10621</v>
      </c>
      <c r="C1302" s="235" t="s">
        <v>10622</v>
      </c>
      <c r="D1302" s="235" t="s">
        <v>10623</v>
      </c>
      <c r="E1302" s="243">
        <v>6.55E13</v>
      </c>
      <c r="F1302" s="245"/>
      <c r="G1302" s="235" t="s">
        <v>10624</v>
      </c>
      <c r="H1302" s="235" t="s">
        <v>10625</v>
      </c>
      <c r="I1302" s="235" t="s">
        <v>10626</v>
      </c>
      <c r="J1302" s="235" t="s">
        <v>10627</v>
      </c>
      <c r="K1302" s="235" t="s">
        <v>10628</v>
      </c>
      <c r="N1302" s="235" t="s">
        <v>726</v>
      </c>
      <c r="O1302" s="235" t="s">
        <v>727</v>
      </c>
      <c r="P1302" s="238">
        <v>1.0</v>
      </c>
      <c r="Q1302" s="235" t="s">
        <v>627</v>
      </c>
      <c r="R1302" s="238">
        <v>246.66</v>
      </c>
      <c r="S1302" s="238">
        <v>12.34</v>
      </c>
      <c r="T1302" s="238">
        <v>18.1</v>
      </c>
      <c r="U1302" s="238">
        <v>0.9</v>
      </c>
      <c r="V1302" s="238">
        <v>0.0</v>
      </c>
      <c r="W1302" s="238">
        <v>0.0</v>
      </c>
      <c r="X1302" s="235" t="s">
        <v>628</v>
      </c>
      <c r="Z1302" s="244"/>
      <c r="AA1302" s="244"/>
      <c r="AB1302" s="244"/>
      <c r="AC1302" s="235" t="s">
        <v>1058</v>
      </c>
      <c r="AD1302" s="235" t="s">
        <v>845</v>
      </c>
      <c r="AE1302" s="238">
        <v>400104.0</v>
      </c>
      <c r="AF1302" s="235" t="s">
        <v>631</v>
      </c>
      <c r="AG1302" s="244"/>
      <c r="AH1302" s="244"/>
      <c r="AI1302" s="245"/>
      <c r="AJ1302" s="245"/>
      <c r="AK1302" s="245"/>
      <c r="AL1302" s="245"/>
      <c r="AM1302" s="244"/>
      <c r="AN1302" s="244"/>
      <c r="AO1302" s="238">
        <v>0.0</v>
      </c>
      <c r="AP1302" s="238">
        <v>-18.1</v>
      </c>
      <c r="AQ1302" s="235" t="s">
        <v>632</v>
      </c>
      <c r="AR1302" s="243">
        <v>1.68E11</v>
      </c>
      <c r="AS1302" s="235" t="s">
        <v>10417</v>
      </c>
      <c r="AT1302" s="235" t="s">
        <v>16</v>
      </c>
      <c r="AU1302" s="235" t="s">
        <v>634</v>
      </c>
      <c r="AV1302" s="246" t="s">
        <v>635</v>
      </c>
      <c r="AW1302" s="242"/>
      <c r="AX1302" s="242"/>
      <c r="AY1302" s="231"/>
      <c r="AZ1302" s="231"/>
      <c r="BA1302" s="227"/>
      <c r="BB1302" s="231"/>
      <c r="BC1302" s="227"/>
      <c r="BD1302" s="227"/>
      <c r="BE1302" s="227"/>
      <c r="BF1302" s="227"/>
    </row>
    <row r="1303">
      <c r="A1303" s="235" t="s">
        <v>10629</v>
      </c>
      <c r="C1303" s="235" t="s">
        <v>10630</v>
      </c>
      <c r="D1303" s="235" t="s">
        <v>10631</v>
      </c>
      <c r="E1303" s="243">
        <v>6.55E13</v>
      </c>
      <c r="F1303" s="245"/>
      <c r="G1303" s="235" t="s">
        <v>10632</v>
      </c>
      <c r="H1303" s="235" t="s">
        <v>10633</v>
      </c>
      <c r="I1303" s="235" t="s">
        <v>10633</v>
      </c>
      <c r="J1303" s="235" t="s">
        <v>10634</v>
      </c>
      <c r="K1303" s="235" t="s">
        <v>10635</v>
      </c>
      <c r="N1303" s="235" t="s">
        <v>110</v>
      </c>
      <c r="O1303" s="235" t="s">
        <v>364</v>
      </c>
      <c r="P1303" s="238">
        <v>1.0</v>
      </c>
      <c r="Q1303" s="235" t="s">
        <v>627</v>
      </c>
      <c r="R1303" s="238">
        <v>246.67</v>
      </c>
      <c r="S1303" s="238">
        <v>12.33</v>
      </c>
      <c r="T1303" s="238">
        <v>0.0</v>
      </c>
      <c r="U1303" s="238">
        <v>0.0</v>
      </c>
      <c r="V1303" s="238">
        <v>0.0</v>
      </c>
      <c r="W1303" s="238">
        <v>0.0</v>
      </c>
      <c r="X1303" s="235" t="s">
        <v>628</v>
      </c>
      <c r="Z1303" s="244"/>
      <c r="AA1303" s="244"/>
      <c r="AB1303" s="244"/>
      <c r="AC1303" s="235" t="s">
        <v>795</v>
      </c>
      <c r="AD1303" s="235" t="s">
        <v>796</v>
      </c>
      <c r="AE1303" s="238">
        <v>110029.0</v>
      </c>
      <c r="AF1303" s="235" t="s">
        <v>631</v>
      </c>
      <c r="AG1303" s="244"/>
      <c r="AH1303" s="244"/>
      <c r="AI1303" s="245"/>
      <c r="AJ1303" s="245"/>
      <c r="AK1303" s="245"/>
      <c r="AL1303" s="245"/>
      <c r="AM1303" s="244"/>
      <c r="AN1303" s="244"/>
      <c r="AO1303" s="238">
        <v>0.0</v>
      </c>
      <c r="AP1303" s="238">
        <v>0.0</v>
      </c>
      <c r="AQ1303" s="235" t="s">
        <v>632</v>
      </c>
      <c r="AR1303" s="243">
        <v>3.71E11</v>
      </c>
      <c r="AS1303" s="235" t="s">
        <v>6164</v>
      </c>
      <c r="AT1303" s="235" t="s">
        <v>156</v>
      </c>
      <c r="AU1303" s="235" t="s">
        <v>634</v>
      </c>
      <c r="AV1303" s="246" t="s">
        <v>635</v>
      </c>
      <c r="AW1303" s="242"/>
      <c r="AX1303" s="242"/>
      <c r="AY1303" s="231"/>
      <c r="AZ1303" s="231"/>
      <c r="BA1303" s="227"/>
      <c r="BB1303" s="231"/>
      <c r="BC1303" s="227"/>
      <c r="BD1303" s="227"/>
      <c r="BE1303" s="227"/>
      <c r="BF1303" s="227"/>
    </row>
    <row r="1304">
      <c r="A1304" s="235" t="s">
        <v>10636</v>
      </c>
      <c r="C1304" s="235" t="s">
        <v>10637</v>
      </c>
      <c r="D1304" s="235" t="s">
        <v>10638</v>
      </c>
      <c r="E1304" s="243">
        <v>6.55E13</v>
      </c>
      <c r="F1304" s="245"/>
      <c r="G1304" s="235" t="s">
        <v>10639</v>
      </c>
      <c r="H1304" s="235" t="s">
        <v>10640</v>
      </c>
      <c r="I1304" s="235" t="s">
        <v>10640</v>
      </c>
      <c r="J1304" s="235" t="s">
        <v>10641</v>
      </c>
      <c r="K1304" s="235" t="s">
        <v>10642</v>
      </c>
      <c r="N1304" s="235" t="s">
        <v>41</v>
      </c>
      <c r="O1304" s="235" t="s">
        <v>291</v>
      </c>
      <c r="P1304" s="238">
        <v>1.0</v>
      </c>
      <c r="Q1304" s="235" t="s">
        <v>627</v>
      </c>
      <c r="R1304" s="238">
        <v>237.14</v>
      </c>
      <c r="S1304" s="238">
        <v>11.86</v>
      </c>
      <c r="T1304" s="238">
        <v>18.1</v>
      </c>
      <c r="U1304" s="238">
        <v>0.9</v>
      </c>
      <c r="V1304" s="238">
        <v>0.0</v>
      </c>
      <c r="W1304" s="238">
        <v>0.0</v>
      </c>
      <c r="X1304" s="235" t="s">
        <v>628</v>
      </c>
      <c r="Z1304" s="244"/>
      <c r="AA1304" s="244"/>
      <c r="AB1304" s="244"/>
      <c r="AC1304" s="235" t="s">
        <v>1887</v>
      </c>
      <c r="AD1304" s="235" t="s">
        <v>679</v>
      </c>
      <c r="AE1304" s="238">
        <v>560036.0</v>
      </c>
      <c r="AF1304" s="235" t="s">
        <v>631</v>
      </c>
      <c r="AG1304" s="244"/>
      <c r="AH1304" s="244"/>
      <c r="AI1304" s="245"/>
      <c r="AJ1304" s="245"/>
      <c r="AK1304" s="245"/>
      <c r="AL1304" s="245"/>
      <c r="AM1304" s="244"/>
      <c r="AN1304" s="244"/>
      <c r="AO1304" s="238">
        <v>0.0</v>
      </c>
      <c r="AP1304" s="238">
        <v>-18.1</v>
      </c>
      <c r="AQ1304" s="235" t="s">
        <v>632</v>
      </c>
      <c r="AR1304" s="243">
        <v>1.68E11</v>
      </c>
      <c r="AS1304" s="235" t="s">
        <v>10417</v>
      </c>
      <c r="AT1304" s="235" t="s">
        <v>11</v>
      </c>
      <c r="AU1304" s="235" t="s">
        <v>634</v>
      </c>
      <c r="AV1304" s="246" t="s">
        <v>635</v>
      </c>
      <c r="AW1304" s="242"/>
      <c r="AX1304" s="242"/>
      <c r="AY1304" s="231"/>
      <c r="AZ1304" s="231"/>
      <c r="BA1304" s="227"/>
      <c r="BB1304" s="231"/>
      <c r="BC1304" s="227"/>
      <c r="BD1304" s="227"/>
      <c r="BE1304" s="227"/>
      <c r="BF1304" s="227"/>
    </row>
    <row r="1305">
      <c r="A1305" s="235" t="s">
        <v>10643</v>
      </c>
      <c r="C1305" s="235" t="s">
        <v>10644</v>
      </c>
      <c r="D1305" s="235" t="s">
        <v>10645</v>
      </c>
      <c r="E1305" s="243">
        <v>6.55E13</v>
      </c>
      <c r="F1305" s="245"/>
      <c r="G1305" s="235" t="s">
        <v>10646</v>
      </c>
      <c r="H1305" s="235" t="s">
        <v>10647</v>
      </c>
      <c r="I1305" s="235" t="s">
        <v>10647</v>
      </c>
      <c r="J1305" s="235" t="s">
        <v>10648</v>
      </c>
      <c r="K1305" s="235" t="s">
        <v>10649</v>
      </c>
      <c r="N1305" s="235" t="s">
        <v>989</v>
      </c>
      <c r="O1305" s="235" t="s">
        <v>990</v>
      </c>
      <c r="P1305" s="238">
        <v>1.0</v>
      </c>
      <c r="Q1305" s="235" t="s">
        <v>627</v>
      </c>
      <c r="R1305" s="238">
        <v>256.2</v>
      </c>
      <c r="S1305" s="238">
        <v>12.8</v>
      </c>
      <c r="T1305" s="238">
        <v>18.1</v>
      </c>
      <c r="U1305" s="238">
        <v>0.9</v>
      </c>
      <c r="V1305" s="238">
        <v>0.0</v>
      </c>
      <c r="W1305" s="238">
        <v>0.0</v>
      </c>
      <c r="X1305" s="235" t="s">
        <v>628</v>
      </c>
      <c r="Z1305" s="244"/>
      <c r="AA1305" s="244"/>
      <c r="AB1305" s="244"/>
      <c r="AC1305" s="235" t="s">
        <v>1255</v>
      </c>
      <c r="AD1305" s="235" t="s">
        <v>845</v>
      </c>
      <c r="AE1305" s="238">
        <v>401107.0</v>
      </c>
      <c r="AF1305" s="235" t="s">
        <v>631</v>
      </c>
      <c r="AG1305" s="244"/>
      <c r="AH1305" s="244"/>
      <c r="AI1305" s="245"/>
      <c r="AJ1305" s="245"/>
      <c r="AK1305" s="245"/>
      <c r="AL1305" s="245"/>
      <c r="AM1305" s="244"/>
      <c r="AN1305" s="244"/>
      <c r="AO1305" s="238">
        <v>0.0</v>
      </c>
      <c r="AP1305" s="238">
        <v>-18.1</v>
      </c>
      <c r="AQ1305" s="235" t="s">
        <v>632</v>
      </c>
      <c r="AR1305" s="243">
        <v>1.68E11</v>
      </c>
      <c r="AS1305" s="235" t="s">
        <v>10417</v>
      </c>
      <c r="AT1305" s="235" t="s">
        <v>16</v>
      </c>
      <c r="AU1305" s="235" t="s">
        <v>634</v>
      </c>
      <c r="AV1305" s="246" t="s">
        <v>635</v>
      </c>
      <c r="AW1305" s="242"/>
      <c r="AX1305" s="242"/>
      <c r="AY1305" s="231"/>
      <c r="AZ1305" s="231"/>
      <c r="BA1305" s="227"/>
      <c r="BB1305" s="231"/>
      <c r="BC1305" s="227"/>
      <c r="BD1305" s="227"/>
      <c r="BE1305" s="227"/>
      <c r="BF1305" s="227"/>
    </row>
    <row r="1306">
      <c r="A1306" s="235" t="s">
        <v>10650</v>
      </c>
      <c r="C1306" s="235" t="s">
        <v>10651</v>
      </c>
      <c r="D1306" s="235" t="s">
        <v>10652</v>
      </c>
      <c r="E1306" s="243">
        <v>6.55E13</v>
      </c>
      <c r="F1306" s="245"/>
      <c r="G1306" s="235" t="s">
        <v>10653</v>
      </c>
      <c r="H1306" s="235" t="s">
        <v>10654</v>
      </c>
      <c r="I1306" s="235" t="s">
        <v>10654</v>
      </c>
      <c r="J1306" s="235" t="s">
        <v>10655</v>
      </c>
      <c r="K1306" s="235" t="s">
        <v>10656</v>
      </c>
      <c r="N1306" s="235" t="s">
        <v>92</v>
      </c>
      <c r="O1306" s="235" t="s">
        <v>248</v>
      </c>
      <c r="P1306" s="238">
        <v>1.0</v>
      </c>
      <c r="Q1306" s="235" t="s">
        <v>627</v>
      </c>
      <c r="R1306" s="238">
        <v>0.0</v>
      </c>
      <c r="S1306" s="238">
        <v>0.0</v>
      </c>
      <c r="T1306" s="238">
        <v>0.0</v>
      </c>
      <c r="U1306" s="238">
        <v>0.0</v>
      </c>
      <c r="V1306" s="238">
        <v>0.0</v>
      </c>
      <c r="W1306" s="238">
        <v>0.0</v>
      </c>
      <c r="X1306" s="235" t="s">
        <v>2433</v>
      </c>
      <c r="Y1306" s="244"/>
      <c r="Z1306" s="244"/>
      <c r="AA1306" s="244"/>
      <c r="AB1306" s="244"/>
      <c r="AC1306" s="235" t="s">
        <v>10657</v>
      </c>
      <c r="AD1306" s="235" t="s">
        <v>2688</v>
      </c>
      <c r="AE1306" s="238">
        <v>181133.0</v>
      </c>
      <c r="AF1306" s="235" t="s">
        <v>631</v>
      </c>
      <c r="AG1306" s="244"/>
      <c r="AH1306" s="244"/>
      <c r="AI1306" s="245"/>
      <c r="AJ1306" s="245"/>
      <c r="AK1306" s="245"/>
      <c r="AL1306" s="245"/>
      <c r="AM1306" s="244"/>
      <c r="AN1306" s="244"/>
      <c r="AO1306" s="238">
        <v>0.0</v>
      </c>
      <c r="AP1306" s="238">
        <v>0.0</v>
      </c>
      <c r="AQ1306" s="235" t="s">
        <v>632</v>
      </c>
      <c r="AR1306" s="243">
        <v>3.71E11</v>
      </c>
      <c r="AS1306" s="235" t="s">
        <v>4697</v>
      </c>
      <c r="AT1306" s="235" t="s">
        <v>16</v>
      </c>
      <c r="AU1306" s="235" t="s">
        <v>634</v>
      </c>
      <c r="AV1306" s="246" t="s">
        <v>635</v>
      </c>
      <c r="AW1306" s="242"/>
      <c r="AX1306" s="242"/>
      <c r="AY1306" s="231"/>
      <c r="AZ1306" s="231"/>
      <c r="BA1306" s="227"/>
      <c r="BB1306" s="231"/>
      <c r="BC1306" s="227"/>
      <c r="BD1306" s="227"/>
      <c r="BE1306" s="227"/>
      <c r="BF1306" s="227"/>
    </row>
    <row r="1307">
      <c r="A1307" s="235" t="s">
        <v>10658</v>
      </c>
      <c r="C1307" s="235" t="s">
        <v>10659</v>
      </c>
      <c r="D1307" s="235" t="s">
        <v>10660</v>
      </c>
      <c r="E1307" s="243">
        <v>6.55E13</v>
      </c>
      <c r="F1307" s="245"/>
      <c r="G1307" s="235" t="s">
        <v>10661</v>
      </c>
      <c r="H1307" s="235" t="s">
        <v>10662</v>
      </c>
      <c r="I1307" s="235" t="s">
        <v>10662</v>
      </c>
      <c r="J1307" s="235" t="s">
        <v>10663</v>
      </c>
      <c r="K1307" s="235" t="s">
        <v>10664</v>
      </c>
      <c r="N1307" s="235" t="s">
        <v>85</v>
      </c>
      <c r="O1307" s="235" t="s">
        <v>872</v>
      </c>
      <c r="P1307" s="238">
        <v>1.0</v>
      </c>
      <c r="Q1307" s="235" t="s">
        <v>627</v>
      </c>
      <c r="R1307" s="238">
        <v>246.66</v>
      </c>
      <c r="S1307" s="238">
        <v>12.34</v>
      </c>
      <c r="T1307" s="238">
        <v>18.1</v>
      </c>
      <c r="U1307" s="238">
        <v>0.9</v>
      </c>
      <c r="V1307" s="238">
        <v>0.0</v>
      </c>
      <c r="W1307" s="238">
        <v>0.0</v>
      </c>
      <c r="X1307" s="235" t="s">
        <v>628</v>
      </c>
      <c r="Z1307" s="244"/>
      <c r="AA1307" s="244"/>
      <c r="AB1307" s="244"/>
      <c r="AC1307" s="235" t="s">
        <v>678</v>
      </c>
      <c r="AD1307" s="235" t="s">
        <v>679</v>
      </c>
      <c r="AE1307" s="238">
        <v>560093.0</v>
      </c>
      <c r="AF1307" s="235" t="s">
        <v>631</v>
      </c>
      <c r="AG1307" s="244"/>
      <c r="AH1307" s="244"/>
      <c r="AI1307" s="245"/>
      <c r="AJ1307" s="245"/>
      <c r="AK1307" s="245"/>
      <c r="AL1307" s="245"/>
      <c r="AM1307" s="244"/>
      <c r="AN1307" s="244"/>
      <c r="AO1307" s="238">
        <v>0.0</v>
      </c>
      <c r="AP1307" s="238">
        <v>-18.1</v>
      </c>
      <c r="AQ1307" s="235" t="s">
        <v>632</v>
      </c>
      <c r="AR1307" s="243">
        <v>1.68E11</v>
      </c>
      <c r="AS1307" s="235" t="s">
        <v>10417</v>
      </c>
      <c r="AT1307" s="235" t="s">
        <v>9</v>
      </c>
      <c r="AU1307" s="235" t="s">
        <v>634</v>
      </c>
      <c r="AV1307" s="246" t="s">
        <v>635</v>
      </c>
      <c r="AW1307" s="242"/>
      <c r="AX1307" s="242"/>
      <c r="AY1307" s="231"/>
      <c r="AZ1307" s="231"/>
      <c r="BA1307" s="227"/>
      <c r="BB1307" s="231"/>
      <c r="BC1307" s="227"/>
      <c r="BD1307" s="227"/>
      <c r="BE1307" s="227"/>
      <c r="BF1307" s="227"/>
    </row>
    <row r="1308">
      <c r="A1308" s="235" t="s">
        <v>10665</v>
      </c>
      <c r="C1308" s="235" t="s">
        <v>10666</v>
      </c>
      <c r="D1308" s="235" t="s">
        <v>10667</v>
      </c>
      <c r="E1308" s="243">
        <v>6.55E13</v>
      </c>
      <c r="F1308" s="245"/>
      <c r="G1308" s="235" t="s">
        <v>10668</v>
      </c>
      <c r="H1308" s="235" t="s">
        <v>10669</v>
      </c>
      <c r="I1308" s="235" t="s">
        <v>10669</v>
      </c>
      <c r="J1308" s="235" t="s">
        <v>10670</v>
      </c>
      <c r="K1308" s="235" t="s">
        <v>10671</v>
      </c>
      <c r="N1308" s="235" t="s">
        <v>92</v>
      </c>
      <c r="O1308" s="235" t="s">
        <v>248</v>
      </c>
      <c r="P1308" s="238">
        <v>1.0</v>
      </c>
      <c r="Q1308" s="235" t="s">
        <v>627</v>
      </c>
      <c r="R1308" s="238">
        <v>240.0</v>
      </c>
      <c r="S1308" s="238">
        <v>11.64</v>
      </c>
      <c r="T1308" s="238">
        <v>0.0</v>
      </c>
      <c r="U1308" s="238">
        <v>0.0</v>
      </c>
      <c r="V1308" s="238">
        <v>0.0</v>
      </c>
      <c r="W1308" s="238">
        <v>0.0</v>
      </c>
      <c r="X1308" s="235" t="s">
        <v>628</v>
      </c>
      <c r="Z1308" s="244"/>
      <c r="AA1308" s="244"/>
      <c r="AB1308" s="244"/>
      <c r="AC1308" s="235" t="s">
        <v>2639</v>
      </c>
      <c r="AD1308" s="235" t="s">
        <v>630</v>
      </c>
      <c r="AE1308" s="238">
        <v>201310.0</v>
      </c>
      <c r="AF1308" s="235" t="s">
        <v>631</v>
      </c>
      <c r="AG1308" s="244"/>
      <c r="AH1308" s="244"/>
      <c r="AI1308" s="245"/>
      <c r="AJ1308" s="245"/>
      <c r="AK1308" s="245"/>
      <c r="AL1308" s="245"/>
      <c r="AM1308" s="244"/>
      <c r="AN1308" s="244"/>
      <c r="AO1308" s="238">
        <v>-7.2</v>
      </c>
      <c r="AP1308" s="238">
        <v>0.0</v>
      </c>
      <c r="AQ1308" s="235" t="s">
        <v>632</v>
      </c>
      <c r="AR1308" s="243">
        <v>2.02E11</v>
      </c>
      <c r="AS1308" s="235" t="s">
        <v>8807</v>
      </c>
      <c r="AT1308" s="235" t="s">
        <v>11</v>
      </c>
      <c r="AU1308" s="235" t="s">
        <v>634</v>
      </c>
      <c r="AV1308" s="246" t="s">
        <v>635</v>
      </c>
      <c r="AW1308" s="242"/>
      <c r="AX1308" s="242"/>
      <c r="AY1308" s="231"/>
      <c r="AZ1308" s="231"/>
      <c r="BA1308" s="227"/>
      <c r="BB1308" s="231"/>
      <c r="BC1308" s="227"/>
      <c r="BD1308" s="227"/>
      <c r="BE1308" s="227"/>
      <c r="BF1308" s="227"/>
    </row>
    <row r="1309">
      <c r="A1309" s="235" t="s">
        <v>10665</v>
      </c>
      <c r="C1309" s="235" t="s">
        <v>10666</v>
      </c>
      <c r="D1309" s="235" t="s">
        <v>10672</v>
      </c>
      <c r="E1309" s="243">
        <v>6.55E13</v>
      </c>
      <c r="F1309" s="245"/>
      <c r="G1309" s="235" t="s">
        <v>10668</v>
      </c>
      <c r="H1309" s="235" t="s">
        <v>10669</v>
      </c>
      <c r="I1309" s="235" t="s">
        <v>10669</v>
      </c>
      <c r="J1309" s="235" t="s">
        <v>10670</v>
      </c>
      <c r="K1309" s="235" t="s">
        <v>10671</v>
      </c>
      <c r="N1309" s="235" t="s">
        <v>92</v>
      </c>
      <c r="O1309" s="235" t="s">
        <v>248</v>
      </c>
      <c r="P1309" s="238">
        <v>1.0</v>
      </c>
      <c r="Q1309" s="235" t="s">
        <v>627</v>
      </c>
      <c r="R1309" s="238">
        <v>240.0</v>
      </c>
      <c r="S1309" s="238">
        <v>11.64</v>
      </c>
      <c r="T1309" s="238">
        <v>0.0</v>
      </c>
      <c r="U1309" s="238">
        <v>0.0</v>
      </c>
      <c r="V1309" s="238">
        <v>0.0</v>
      </c>
      <c r="W1309" s="238">
        <v>0.0</v>
      </c>
      <c r="X1309" s="235" t="s">
        <v>628</v>
      </c>
      <c r="Z1309" s="244"/>
      <c r="AA1309" s="244"/>
      <c r="AB1309" s="244"/>
      <c r="AC1309" s="235" t="s">
        <v>2639</v>
      </c>
      <c r="AD1309" s="235" t="s">
        <v>630</v>
      </c>
      <c r="AE1309" s="238">
        <v>201310.0</v>
      </c>
      <c r="AF1309" s="235" t="s">
        <v>631</v>
      </c>
      <c r="AG1309" s="244"/>
      <c r="AH1309" s="244"/>
      <c r="AI1309" s="245"/>
      <c r="AJ1309" s="245"/>
      <c r="AK1309" s="245"/>
      <c r="AL1309" s="245"/>
      <c r="AM1309" s="244"/>
      <c r="AN1309" s="244"/>
      <c r="AO1309" s="238">
        <v>-7.2</v>
      </c>
      <c r="AP1309" s="238">
        <v>0.0</v>
      </c>
      <c r="AQ1309" s="235" t="s">
        <v>632</v>
      </c>
      <c r="AR1309" s="243">
        <v>2.02E11</v>
      </c>
      <c r="AS1309" s="235" t="s">
        <v>8807</v>
      </c>
      <c r="AT1309" s="235" t="s">
        <v>11</v>
      </c>
      <c r="AU1309" s="235" t="s">
        <v>634</v>
      </c>
      <c r="AV1309" s="246" t="s">
        <v>635</v>
      </c>
      <c r="AW1309" s="242"/>
      <c r="AX1309" s="242"/>
      <c r="AY1309" s="231"/>
      <c r="AZ1309" s="231"/>
      <c r="BA1309" s="227"/>
      <c r="BB1309" s="231"/>
      <c r="BC1309" s="227"/>
      <c r="BD1309" s="227"/>
      <c r="BE1309" s="227"/>
      <c r="BF1309" s="227"/>
    </row>
    <row r="1310">
      <c r="A1310" s="235" t="s">
        <v>10673</v>
      </c>
      <c r="C1310" s="235" t="s">
        <v>10674</v>
      </c>
      <c r="D1310" s="235" t="s">
        <v>10675</v>
      </c>
      <c r="E1310" s="243">
        <v>6.55E13</v>
      </c>
      <c r="F1310" s="245"/>
      <c r="G1310" s="235" t="s">
        <v>10676</v>
      </c>
      <c r="H1310" s="235" t="s">
        <v>10677</v>
      </c>
      <c r="I1310" s="235" t="s">
        <v>10677</v>
      </c>
      <c r="J1310" s="235" t="s">
        <v>10678</v>
      </c>
      <c r="K1310" s="235" t="s">
        <v>10679</v>
      </c>
      <c r="N1310" s="235" t="s">
        <v>144</v>
      </c>
      <c r="O1310" s="235" t="s">
        <v>232</v>
      </c>
      <c r="P1310" s="238">
        <v>1.0</v>
      </c>
      <c r="Q1310" s="235" t="s">
        <v>627</v>
      </c>
      <c r="R1310" s="238">
        <v>665.71</v>
      </c>
      <c r="S1310" s="238">
        <v>33.29</v>
      </c>
      <c r="T1310" s="238">
        <v>0.0</v>
      </c>
      <c r="U1310" s="238">
        <v>0.0</v>
      </c>
      <c r="V1310" s="238">
        <v>0.0</v>
      </c>
      <c r="W1310" s="238">
        <v>0.0</v>
      </c>
      <c r="X1310" s="235" t="s">
        <v>628</v>
      </c>
      <c r="Z1310" s="244"/>
      <c r="AA1310" s="244"/>
      <c r="AB1310" s="244"/>
      <c r="AC1310" s="235" t="s">
        <v>697</v>
      </c>
      <c r="AD1310" s="235" t="s">
        <v>698</v>
      </c>
      <c r="AE1310" s="238">
        <v>500033.0</v>
      </c>
      <c r="AF1310" s="235" t="s">
        <v>631</v>
      </c>
      <c r="AG1310" s="244"/>
      <c r="AH1310" s="244"/>
      <c r="AI1310" s="245"/>
      <c r="AJ1310" s="245"/>
      <c r="AK1310" s="245"/>
      <c r="AL1310" s="245"/>
      <c r="AM1310" s="244"/>
      <c r="AN1310" s="244"/>
      <c r="AO1310" s="238">
        <v>0.0</v>
      </c>
      <c r="AP1310" s="238">
        <v>0.0</v>
      </c>
      <c r="AQ1310" s="235" t="s">
        <v>632</v>
      </c>
      <c r="AR1310" s="243">
        <v>3.71E11</v>
      </c>
      <c r="AS1310" s="235" t="s">
        <v>8807</v>
      </c>
      <c r="AT1310" s="235" t="s">
        <v>11</v>
      </c>
      <c r="AU1310" s="235" t="s">
        <v>634</v>
      </c>
      <c r="AV1310" s="246" t="s">
        <v>635</v>
      </c>
      <c r="AW1310" s="242"/>
      <c r="AX1310" s="242"/>
      <c r="AY1310" s="231"/>
      <c r="AZ1310" s="231"/>
      <c r="BA1310" s="227"/>
      <c r="BB1310" s="231"/>
      <c r="BC1310" s="227"/>
      <c r="BD1310" s="227"/>
      <c r="BE1310" s="227"/>
      <c r="BF1310" s="227"/>
    </row>
    <row r="1311">
      <c r="A1311" s="235" t="s">
        <v>10680</v>
      </c>
      <c r="C1311" s="235" t="s">
        <v>10681</v>
      </c>
      <c r="D1311" s="235" t="s">
        <v>10682</v>
      </c>
      <c r="E1311" s="243">
        <v>6.55E13</v>
      </c>
      <c r="F1311" s="245"/>
      <c r="G1311" s="235" t="s">
        <v>10683</v>
      </c>
      <c r="H1311" s="235" t="s">
        <v>10684</v>
      </c>
      <c r="I1311" s="235" t="s">
        <v>10685</v>
      </c>
      <c r="J1311" s="235" t="s">
        <v>10686</v>
      </c>
      <c r="K1311" s="235" t="s">
        <v>10687</v>
      </c>
      <c r="N1311" s="235" t="s">
        <v>54</v>
      </c>
      <c r="O1311" s="235" t="s">
        <v>294</v>
      </c>
      <c r="P1311" s="238">
        <v>1.0</v>
      </c>
      <c r="Q1311" s="235" t="s">
        <v>627</v>
      </c>
      <c r="R1311" s="238">
        <v>246.67</v>
      </c>
      <c r="S1311" s="238">
        <v>12.33</v>
      </c>
      <c r="T1311" s="238">
        <v>0.0</v>
      </c>
      <c r="U1311" s="238">
        <v>0.0</v>
      </c>
      <c r="V1311" s="238">
        <v>0.0</v>
      </c>
      <c r="W1311" s="238">
        <v>0.0</v>
      </c>
      <c r="X1311" s="235" t="s">
        <v>628</v>
      </c>
      <c r="Z1311" s="244"/>
      <c r="AA1311" s="244"/>
      <c r="AB1311" s="244"/>
      <c r="AC1311" s="235" t="s">
        <v>1355</v>
      </c>
      <c r="AD1311" s="235" t="s">
        <v>833</v>
      </c>
      <c r="AE1311" s="238">
        <v>518004.0</v>
      </c>
      <c r="AF1311" s="235" t="s">
        <v>631</v>
      </c>
      <c r="AG1311" s="244"/>
      <c r="AH1311" s="244"/>
      <c r="AI1311" s="245"/>
      <c r="AJ1311" s="245"/>
      <c r="AK1311" s="245"/>
      <c r="AL1311" s="245"/>
      <c r="AM1311" s="244"/>
      <c r="AN1311" s="244"/>
      <c r="AO1311" s="238">
        <v>0.0</v>
      </c>
      <c r="AP1311" s="238">
        <v>0.0</v>
      </c>
      <c r="AQ1311" s="235" t="s">
        <v>632</v>
      </c>
      <c r="AR1311" s="243">
        <v>3.71E11</v>
      </c>
      <c r="AS1311" s="235" t="s">
        <v>7365</v>
      </c>
      <c r="AT1311" s="235" t="s">
        <v>9</v>
      </c>
      <c r="AU1311" s="235" t="s">
        <v>634</v>
      </c>
      <c r="AV1311" s="246" t="s">
        <v>635</v>
      </c>
      <c r="AW1311" s="242"/>
      <c r="AX1311" s="242"/>
      <c r="AY1311" s="231"/>
      <c r="AZ1311" s="231"/>
      <c r="BA1311" s="227"/>
      <c r="BB1311" s="231"/>
      <c r="BC1311" s="227"/>
      <c r="BD1311" s="227"/>
      <c r="BE1311" s="227"/>
      <c r="BF1311" s="227"/>
    </row>
    <row r="1312">
      <c r="A1312" s="235" t="s">
        <v>10688</v>
      </c>
      <c r="C1312" s="235" t="s">
        <v>10689</v>
      </c>
      <c r="D1312" s="235" t="s">
        <v>10690</v>
      </c>
      <c r="E1312" s="243">
        <v>6.55E13</v>
      </c>
      <c r="F1312" s="245"/>
      <c r="G1312" s="235" t="s">
        <v>10691</v>
      </c>
      <c r="H1312" s="235" t="s">
        <v>10692</v>
      </c>
      <c r="I1312" s="235" t="s">
        <v>10692</v>
      </c>
      <c r="J1312" s="235" t="s">
        <v>10693</v>
      </c>
      <c r="K1312" s="235" t="s">
        <v>10694</v>
      </c>
      <c r="N1312" s="235" t="s">
        <v>127</v>
      </c>
      <c r="O1312" s="235" t="s">
        <v>794</v>
      </c>
      <c r="P1312" s="238">
        <v>1.0</v>
      </c>
      <c r="Q1312" s="235" t="s">
        <v>627</v>
      </c>
      <c r="R1312" s="238">
        <v>246.67</v>
      </c>
      <c r="S1312" s="238">
        <v>12.33</v>
      </c>
      <c r="T1312" s="238">
        <v>0.0</v>
      </c>
      <c r="U1312" s="238">
        <v>0.0</v>
      </c>
      <c r="V1312" s="238">
        <v>0.0</v>
      </c>
      <c r="W1312" s="238">
        <v>0.0</v>
      </c>
      <c r="X1312" s="235" t="s">
        <v>628</v>
      </c>
      <c r="Z1312" s="244"/>
      <c r="AA1312" s="244"/>
      <c r="AB1312" s="244"/>
      <c r="AC1312" s="235" t="s">
        <v>814</v>
      </c>
      <c r="AD1312" s="235" t="s">
        <v>698</v>
      </c>
      <c r="AE1312" s="238">
        <v>500062.0</v>
      </c>
      <c r="AF1312" s="235" t="s">
        <v>631</v>
      </c>
      <c r="AG1312" s="244"/>
      <c r="AH1312" s="244"/>
      <c r="AI1312" s="245"/>
      <c r="AJ1312" s="245"/>
      <c r="AK1312" s="245"/>
      <c r="AL1312" s="245"/>
      <c r="AM1312" s="244"/>
      <c r="AN1312" s="244"/>
      <c r="AO1312" s="238">
        <v>0.0</v>
      </c>
      <c r="AP1312" s="238">
        <v>0.0</v>
      </c>
      <c r="AQ1312" s="235" t="s">
        <v>632</v>
      </c>
      <c r="AR1312" s="243">
        <v>3.71E11</v>
      </c>
      <c r="AS1312" s="235" t="s">
        <v>8807</v>
      </c>
      <c r="AT1312" s="235" t="s">
        <v>11</v>
      </c>
      <c r="AU1312" s="235" t="s">
        <v>634</v>
      </c>
      <c r="AV1312" s="246" t="s">
        <v>635</v>
      </c>
      <c r="AW1312" s="242"/>
      <c r="AX1312" s="242"/>
      <c r="AY1312" s="231"/>
      <c r="AZ1312" s="231"/>
      <c r="BA1312" s="227"/>
      <c r="BB1312" s="231"/>
      <c r="BC1312" s="227"/>
      <c r="BD1312" s="227"/>
      <c r="BE1312" s="227"/>
      <c r="BF1312" s="227"/>
    </row>
    <row r="1313">
      <c r="A1313" s="235" t="s">
        <v>10695</v>
      </c>
      <c r="C1313" s="235" t="s">
        <v>10696</v>
      </c>
      <c r="D1313" s="235" t="s">
        <v>10697</v>
      </c>
      <c r="E1313" s="243">
        <v>6.55E13</v>
      </c>
      <c r="F1313" s="245"/>
      <c r="G1313" s="235" t="s">
        <v>10698</v>
      </c>
      <c r="H1313" s="235" t="s">
        <v>10699</v>
      </c>
      <c r="I1313" s="235" t="s">
        <v>10699</v>
      </c>
      <c r="J1313" s="235" t="s">
        <v>10700</v>
      </c>
      <c r="K1313" s="235" t="s">
        <v>10701</v>
      </c>
      <c r="N1313" s="235" t="s">
        <v>962</v>
      </c>
      <c r="O1313" s="235" t="s">
        <v>963</v>
      </c>
      <c r="P1313" s="238">
        <v>1.0</v>
      </c>
      <c r="Q1313" s="235" t="s">
        <v>627</v>
      </c>
      <c r="R1313" s="238">
        <v>246.67</v>
      </c>
      <c r="S1313" s="238">
        <v>12.33</v>
      </c>
      <c r="T1313" s="238">
        <v>0.0</v>
      </c>
      <c r="U1313" s="238">
        <v>0.0</v>
      </c>
      <c r="V1313" s="238">
        <v>0.0</v>
      </c>
      <c r="W1313" s="238">
        <v>0.0</v>
      </c>
      <c r="X1313" s="235" t="s">
        <v>628</v>
      </c>
      <c r="Z1313" s="244"/>
      <c r="AA1313" s="244"/>
      <c r="AB1313" s="244"/>
      <c r="AC1313" s="235" t="s">
        <v>9127</v>
      </c>
      <c r="AD1313" s="235" t="s">
        <v>645</v>
      </c>
      <c r="AE1313" s="238">
        <v>673008.0</v>
      </c>
      <c r="AF1313" s="235" t="s">
        <v>631</v>
      </c>
      <c r="AG1313" s="244"/>
      <c r="AH1313" s="244"/>
      <c r="AI1313" s="245"/>
      <c r="AJ1313" s="245"/>
      <c r="AK1313" s="245"/>
      <c r="AL1313" s="245"/>
      <c r="AM1313" s="244"/>
      <c r="AN1313" s="244"/>
      <c r="AO1313" s="238">
        <v>0.0</v>
      </c>
      <c r="AP1313" s="238">
        <v>0.0</v>
      </c>
      <c r="AQ1313" s="235" t="s">
        <v>632</v>
      </c>
      <c r="AR1313" s="243">
        <v>3.71E11</v>
      </c>
      <c r="AS1313" s="235" t="s">
        <v>8807</v>
      </c>
      <c r="AT1313" s="235" t="s">
        <v>155</v>
      </c>
      <c r="AU1313" s="235" t="s">
        <v>634</v>
      </c>
      <c r="AV1313" s="246" t="s">
        <v>635</v>
      </c>
      <c r="AW1313" s="242"/>
      <c r="AX1313" s="242"/>
      <c r="AY1313" s="231"/>
      <c r="AZ1313" s="231"/>
      <c r="BA1313" s="227"/>
      <c r="BB1313" s="231"/>
      <c r="BC1313" s="227"/>
      <c r="BD1313" s="227"/>
      <c r="BE1313" s="227"/>
      <c r="BF1313" s="227"/>
    </row>
    <row r="1314">
      <c r="A1314" s="235" t="s">
        <v>10702</v>
      </c>
      <c r="C1314" s="235" t="s">
        <v>10703</v>
      </c>
      <c r="D1314" s="235" t="s">
        <v>10704</v>
      </c>
      <c r="E1314" s="243">
        <v>6.55E13</v>
      </c>
      <c r="F1314" s="245"/>
      <c r="G1314" s="235" t="s">
        <v>10705</v>
      </c>
      <c r="H1314" s="235" t="s">
        <v>10706</v>
      </c>
      <c r="I1314" s="235" t="s">
        <v>10707</v>
      </c>
      <c r="J1314" s="235" t="s">
        <v>10708</v>
      </c>
      <c r="K1314" s="235" t="s">
        <v>10709</v>
      </c>
      <c r="N1314" s="235" t="s">
        <v>92</v>
      </c>
      <c r="O1314" s="235" t="s">
        <v>248</v>
      </c>
      <c r="P1314" s="238">
        <v>1.0</v>
      </c>
      <c r="Q1314" s="235" t="s">
        <v>627</v>
      </c>
      <c r="R1314" s="238">
        <v>246.67</v>
      </c>
      <c r="S1314" s="238">
        <v>12.33</v>
      </c>
      <c r="T1314" s="238">
        <v>0.0</v>
      </c>
      <c r="U1314" s="238">
        <v>0.0</v>
      </c>
      <c r="V1314" s="238">
        <v>0.0</v>
      </c>
      <c r="W1314" s="238">
        <v>0.0</v>
      </c>
      <c r="X1314" s="235" t="s">
        <v>628</v>
      </c>
      <c r="Z1314" s="244"/>
      <c r="AA1314" s="244"/>
      <c r="AB1314" s="244"/>
      <c r="AC1314" s="235" t="s">
        <v>10710</v>
      </c>
      <c r="AD1314" s="235" t="s">
        <v>698</v>
      </c>
      <c r="AE1314" s="238">
        <v>505209.0</v>
      </c>
      <c r="AF1314" s="235" t="s">
        <v>631</v>
      </c>
      <c r="AG1314" s="244"/>
      <c r="AH1314" s="244"/>
      <c r="AI1314" s="245"/>
      <c r="AJ1314" s="245"/>
      <c r="AK1314" s="245"/>
      <c r="AL1314" s="245"/>
      <c r="AM1314" s="244"/>
      <c r="AN1314" s="244"/>
      <c r="AO1314" s="238">
        <v>0.0</v>
      </c>
      <c r="AP1314" s="238">
        <v>0.0</v>
      </c>
      <c r="AQ1314" s="235" t="s">
        <v>632</v>
      </c>
      <c r="AR1314" s="243">
        <v>3.71E11</v>
      </c>
      <c r="AS1314" s="235" t="s">
        <v>8807</v>
      </c>
      <c r="AT1314" s="235" t="s">
        <v>11</v>
      </c>
      <c r="AU1314" s="235" t="s">
        <v>634</v>
      </c>
      <c r="AV1314" s="246" t="s">
        <v>635</v>
      </c>
      <c r="AW1314" s="242"/>
      <c r="AX1314" s="242"/>
      <c r="AY1314" s="231"/>
      <c r="AZ1314" s="231"/>
      <c r="BA1314" s="227"/>
      <c r="BB1314" s="231"/>
      <c r="BC1314" s="227"/>
      <c r="BD1314" s="227"/>
      <c r="BE1314" s="227"/>
      <c r="BF1314" s="227"/>
    </row>
    <row r="1315">
      <c r="A1315" s="235" t="s">
        <v>10711</v>
      </c>
      <c r="C1315" s="235" t="s">
        <v>10712</v>
      </c>
      <c r="D1315" s="235" t="s">
        <v>10713</v>
      </c>
      <c r="E1315" s="243">
        <v>6.55E13</v>
      </c>
      <c r="F1315" s="245"/>
      <c r="G1315" s="235" t="s">
        <v>10714</v>
      </c>
      <c r="H1315" s="235" t="s">
        <v>10715</v>
      </c>
      <c r="I1315" s="235" t="s">
        <v>10715</v>
      </c>
      <c r="J1315" s="235" t="s">
        <v>10716</v>
      </c>
      <c r="K1315" s="235" t="s">
        <v>10717</v>
      </c>
      <c r="N1315" s="235" t="s">
        <v>47</v>
      </c>
      <c r="O1315" s="235" t="s">
        <v>270</v>
      </c>
      <c r="P1315" s="238">
        <v>1.0</v>
      </c>
      <c r="Q1315" s="235" t="s">
        <v>627</v>
      </c>
      <c r="R1315" s="238">
        <v>237.14</v>
      </c>
      <c r="S1315" s="238">
        <v>11.86</v>
      </c>
      <c r="T1315" s="238">
        <v>38.1</v>
      </c>
      <c r="U1315" s="238">
        <v>1.9</v>
      </c>
      <c r="V1315" s="238">
        <v>0.0</v>
      </c>
      <c r="W1315" s="238">
        <v>0.0</v>
      </c>
      <c r="X1315" s="235" t="s">
        <v>628</v>
      </c>
      <c r="Z1315" s="244"/>
      <c r="AA1315" s="244"/>
      <c r="AB1315" s="244"/>
      <c r="AC1315" s="235" t="s">
        <v>10718</v>
      </c>
      <c r="AD1315" s="235" t="s">
        <v>666</v>
      </c>
      <c r="AE1315" s="238">
        <v>631501.0</v>
      </c>
      <c r="AF1315" s="235" t="s">
        <v>631</v>
      </c>
      <c r="AG1315" s="244"/>
      <c r="AH1315" s="244"/>
      <c r="AI1315" s="245"/>
      <c r="AJ1315" s="245"/>
      <c r="AK1315" s="245"/>
      <c r="AL1315" s="245"/>
      <c r="AM1315" s="244"/>
      <c r="AN1315" s="244"/>
      <c r="AO1315" s="238">
        <v>0.0</v>
      </c>
      <c r="AP1315" s="238">
        <v>-38.1</v>
      </c>
      <c r="AQ1315" s="235" t="s">
        <v>632</v>
      </c>
      <c r="AR1315" s="243">
        <v>3.71E11</v>
      </c>
      <c r="AS1315" s="235" t="s">
        <v>8807</v>
      </c>
      <c r="AT1315" s="235" t="s">
        <v>156</v>
      </c>
      <c r="AU1315" s="235" t="s">
        <v>634</v>
      </c>
      <c r="AV1315" s="246" t="s">
        <v>635</v>
      </c>
      <c r="AW1315" s="242"/>
      <c r="AX1315" s="242"/>
      <c r="AY1315" s="231"/>
      <c r="AZ1315" s="231"/>
      <c r="BA1315" s="227"/>
      <c r="BB1315" s="231"/>
      <c r="BC1315" s="227"/>
      <c r="BD1315" s="227"/>
      <c r="BE1315" s="227"/>
      <c r="BF1315" s="227"/>
    </row>
    <row r="1316">
      <c r="A1316" s="235" t="s">
        <v>10719</v>
      </c>
      <c r="C1316" s="235" t="s">
        <v>10720</v>
      </c>
      <c r="D1316" s="235" t="s">
        <v>10721</v>
      </c>
      <c r="E1316" s="243">
        <v>6.55E13</v>
      </c>
      <c r="F1316" s="245"/>
      <c r="G1316" s="235" t="s">
        <v>10722</v>
      </c>
      <c r="H1316" s="235" t="s">
        <v>10723</v>
      </c>
      <c r="I1316" s="235" t="s">
        <v>10723</v>
      </c>
      <c r="J1316" s="235" t="s">
        <v>10724</v>
      </c>
      <c r="K1316" s="235" t="s">
        <v>10725</v>
      </c>
      <c r="N1316" s="235" t="s">
        <v>127</v>
      </c>
      <c r="O1316" s="235" t="s">
        <v>794</v>
      </c>
      <c r="P1316" s="238">
        <v>1.0</v>
      </c>
      <c r="Q1316" s="235" t="s">
        <v>627</v>
      </c>
      <c r="R1316" s="238">
        <v>246.67</v>
      </c>
      <c r="S1316" s="238">
        <v>12.33</v>
      </c>
      <c r="T1316" s="238">
        <v>0.0</v>
      </c>
      <c r="U1316" s="238">
        <v>0.0</v>
      </c>
      <c r="V1316" s="238">
        <v>0.0</v>
      </c>
      <c r="W1316" s="238">
        <v>0.0</v>
      </c>
      <c r="X1316" s="235" t="s">
        <v>628</v>
      </c>
      <c r="Z1316" s="244"/>
      <c r="AA1316" s="244"/>
      <c r="AB1316" s="244"/>
      <c r="AC1316" s="235" t="s">
        <v>7088</v>
      </c>
      <c r="AD1316" s="235" t="s">
        <v>630</v>
      </c>
      <c r="AE1316" s="238">
        <v>201318.0</v>
      </c>
      <c r="AF1316" s="235" t="s">
        <v>631</v>
      </c>
      <c r="AG1316" s="244"/>
      <c r="AH1316" s="244"/>
      <c r="AI1316" s="245"/>
      <c r="AJ1316" s="245"/>
      <c r="AK1316" s="245"/>
      <c r="AL1316" s="245"/>
      <c r="AM1316" s="244"/>
      <c r="AN1316" s="244"/>
      <c r="AO1316" s="238">
        <v>0.0</v>
      </c>
      <c r="AP1316" s="238">
        <v>0.0</v>
      </c>
      <c r="AQ1316" s="235" t="s">
        <v>632</v>
      </c>
      <c r="AR1316" s="243">
        <v>1.68E11</v>
      </c>
      <c r="AS1316" s="235" t="s">
        <v>10417</v>
      </c>
      <c r="AT1316" s="235" t="s">
        <v>533</v>
      </c>
      <c r="AU1316" s="235" t="s">
        <v>634</v>
      </c>
      <c r="AV1316" s="246" t="s">
        <v>635</v>
      </c>
      <c r="AW1316" s="242"/>
      <c r="AX1316" s="242"/>
      <c r="AY1316" s="231"/>
      <c r="AZ1316" s="231"/>
      <c r="BA1316" s="227"/>
      <c r="BB1316" s="231"/>
      <c r="BC1316" s="227"/>
      <c r="BD1316" s="227"/>
      <c r="BE1316" s="227"/>
      <c r="BF1316" s="227"/>
    </row>
    <row r="1317">
      <c r="A1317" s="235" t="s">
        <v>10726</v>
      </c>
      <c r="C1317" s="235" t="s">
        <v>10727</v>
      </c>
      <c r="D1317" s="235" t="s">
        <v>10728</v>
      </c>
      <c r="E1317" s="243">
        <v>6.55E13</v>
      </c>
      <c r="F1317" s="245"/>
      <c r="G1317" s="235" t="s">
        <v>10729</v>
      </c>
      <c r="H1317" s="235" t="s">
        <v>10730</v>
      </c>
      <c r="I1317" s="235" t="s">
        <v>10730</v>
      </c>
      <c r="J1317" s="235" t="s">
        <v>10731</v>
      </c>
      <c r="K1317" s="235" t="s">
        <v>10732</v>
      </c>
      <c r="N1317" s="235" t="s">
        <v>726</v>
      </c>
      <c r="O1317" s="235" t="s">
        <v>727</v>
      </c>
      <c r="P1317" s="238">
        <v>1.0</v>
      </c>
      <c r="Q1317" s="235" t="s">
        <v>627</v>
      </c>
      <c r="R1317" s="238">
        <v>246.66</v>
      </c>
      <c r="S1317" s="238">
        <v>12.34</v>
      </c>
      <c r="T1317" s="238">
        <v>0.0</v>
      </c>
      <c r="U1317" s="238">
        <v>0.0</v>
      </c>
      <c r="V1317" s="238">
        <v>0.0</v>
      </c>
      <c r="W1317" s="238">
        <v>0.0</v>
      </c>
      <c r="X1317" s="235" t="s">
        <v>628</v>
      </c>
      <c r="Z1317" s="244"/>
      <c r="AA1317" s="244"/>
      <c r="AB1317" s="244"/>
      <c r="AC1317" s="235" t="s">
        <v>1456</v>
      </c>
      <c r="AD1317" s="235" t="s">
        <v>928</v>
      </c>
      <c r="AE1317" s="238">
        <v>122004.0</v>
      </c>
      <c r="AF1317" s="235" t="s">
        <v>631</v>
      </c>
      <c r="AG1317" s="244"/>
      <c r="AH1317" s="244"/>
      <c r="AI1317" s="245"/>
      <c r="AJ1317" s="245"/>
      <c r="AK1317" s="245"/>
      <c r="AL1317" s="245"/>
      <c r="AM1317" s="244"/>
      <c r="AN1317" s="244"/>
      <c r="AO1317" s="238">
        <v>0.0</v>
      </c>
      <c r="AP1317" s="238">
        <v>0.0</v>
      </c>
      <c r="AQ1317" s="235" t="s">
        <v>632</v>
      </c>
      <c r="AR1317" s="243">
        <v>1.68E11</v>
      </c>
      <c r="AS1317" s="235" t="s">
        <v>10417</v>
      </c>
      <c r="AT1317" s="235" t="s">
        <v>533</v>
      </c>
      <c r="AU1317" s="235" t="s">
        <v>634</v>
      </c>
      <c r="AV1317" s="246" t="s">
        <v>635</v>
      </c>
      <c r="AW1317" s="242"/>
      <c r="AX1317" s="242"/>
      <c r="AY1317" s="231"/>
      <c r="AZ1317" s="231"/>
      <c r="BA1317" s="227"/>
      <c r="BB1317" s="231"/>
      <c r="BC1317" s="227"/>
      <c r="BD1317" s="227"/>
      <c r="BE1317" s="227"/>
      <c r="BF1317" s="227"/>
    </row>
    <row r="1318">
      <c r="A1318" s="235" t="s">
        <v>10733</v>
      </c>
      <c r="C1318" s="235" t="s">
        <v>10734</v>
      </c>
      <c r="D1318" s="235" t="s">
        <v>10735</v>
      </c>
      <c r="E1318" s="243">
        <v>6.55E13</v>
      </c>
      <c r="F1318" s="245"/>
      <c r="G1318" s="235" t="s">
        <v>10736</v>
      </c>
      <c r="H1318" s="235" t="s">
        <v>10737</v>
      </c>
      <c r="I1318" s="235" t="s">
        <v>10737</v>
      </c>
      <c r="J1318" s="235" t="s">
        <v>10738</v>
      </c>
      <c r="K1318" s="235" t="s">
        <v>10739</v>
      </c>
      <c r="N1318" s="235" t="s">
        <v>68</v>
      </c>
      <c r="O1318" s="235" t="s">
        <v>208</v>
      </c>
      <c r="P1318" s="238">
        <v>1.0</v>
      </c>
      <c r="Q1318" s="235" t="s">
        <v>627</v>
      </c>
      <c r="R1318" s="238">
        <v>246.67</v>
      </c>
      <c r="S1318" s="238">
        <v>12.33</v>
      </c>
      <c r="T1318" s="238">
        <v>38.1</v>
      </c>
      <c r="U1318" s="238">
        <v>1.9</v>
      </c>
      <c r="V1318" s="238">
        <v>0.0</v>
      </c>
      <c r="W1318" s="238">
        <v>0.0</v>
      </c>
      <c r="X1318" s="235" t="s">
        <v>628</v>
      </c>
      <c r="Z1318" s="244"/>
      <c r="AA1318" s="244"/>
      <c r="AB1318" s="244"/>
      <c r="AC1318" s="235" t="s">
        <v>697</v>
      </c>
      <c r="AD1318" s="235" t="s">
        <v>698</v>
      </c>
      <c r="AE1318" s="238">
        <v>500055.0</v>
      </c>
      <c r="AF1318" s="235" t="s">
        <v>631</v>
      </c>
      <c r="AG1318" s="244"/>
      <c r="AH1318" s="244"/>
      <c r="AI1318" s="245"/>
      <c r="AJ1318" s="245"/>
      <c r="AK1318" s="245"/>
      <c r="AL1318" s="245"/>
      <c r="AM1318" s="244"/>
      <c r="AN1318" s="244"/>
      <c r="AO1318" s="238">
        <v>0.0</v>
      </c>
      <c r="AP1318" s="238">
        <v>-38.1</v>
      </c>
      <c r="AQ1318" s="235" t="s">
        <v>632</v>
      </c>
      <c r="AR1318" s="243">
        <v>3.71E11</v>
      </c>
      <c r="AS1318" s="235" t="s">
        <v>7365</v>
      </c>
      <c r="AT1318" s="235" t="s">
        <v>17</v>
      </c>
      <c r="AU1318" s="235" t="s">
        <v>634</v>
      </c>
      <c r="AV1318" s="246" t="s">
        <v>635</v>
      </c>
      <c r="AW1318" s="242"/>
      <c r="AX1318" s="242"/>
      <c r="AY1318" s="231"/>
      <c r="AZ1318" s="231"/>
      <c r="BA1318" s="227"/>
      <c r="BB1318" s="231"/>
      <c r="BC1318" s="227"/>
      <c r="BD1318" s="227"/>
      <c r="BE1318" s="227"/>
      <c r="BF1318" s="227"/>
    </row>
    <row r="1319">
      <c r="A1319" s="235" t="s">
        <v>10740</v>
      </c>
      <c r="C1319" s="235" t="s">
        <v>10741</v>
      </c>
      <c r="D1319" s="235" t="s">
        <v>10742</v>
      </c>
      <c r="E1319" s="243">
        <v>6.55E13</v>
      </c>
      <c r="F1319" s="245"/>
      <c r="G1319" s="235" t="s">
        <v>10743</v>
      </c>
      <c r="H1319" s="235" t="s">
        <v>10744</v>
      </c>
      <c r="I1319" s="235" t="s">
        <v>10744</v>
      </c>
      <c r="J1319" s="235" t="s">
        <v>10745</v>
      </c>
      <c r="K1319" s="235" t="s">
        <v>10746</v>
      </c>
      <c r="N1319" s="235" t="s">
        <v>117</v>
      </c>
      <c r="O1319" s="235" t="s">
        <v>334</v>
      </c>
      <c r="P1319" s="238">
        <v>1.0</v>
      </c>
      <c r="Q1319" s="235" t="s">
        <v>627</v>
      </c>
      <c r="R1319" s="238">
        <v>237.14</v>
      </c>
      <c r="S1319" s="238">
        <v>11.86</v>
      </c>
      <c r="T1319" s="238">
        <v>0.0</v>
      </c>
      <c r="U1319" s="238">
        <v>0.0</v>
      </c>
      <c r="V1319" s="238">
        <v>0.0</v>
      </c>
      <c r="W1319" s="238">
        <v>0.0</v>
      </c>
      <c r="X1319" s="235" t="s">
        <v>628</v>
      </c>
      <c r="Z1319" s="244"/>
      <c r="AA1319" s="244"/>
      <c r="AB1319" s="244"/>
      <c r="AC1319" s="235" t="s">
        <v>678</v>
      </c>
      <c r="AD1319" s="235" t="s">
        <v>679</v>
      </c>
      <c r="AE1319" s="238">
        <v>560005.0</v>
      </c>
      <c r="AF1319" s="235" t="s">
        <v>631</v>
      </c>
      <c r="AG1319" s="244"/>
      <c r="AH1319" s="244"/>
      <c r="AI1319" s="245"/>
      <c r="AJ1319" s="245"/>
      <c r="AK1319" s="245"/>
      <c r="AL1319" s="245"/>
      <c r="AM1319" s="244"/>
      <c r="AN1319" s="244"/>
      <c r="AO1319" s="238">
        <v>0.0</v>
      </c>
      <c r="AP1319" s="238">
        <v>0.0</v>
      </c>
      <c r="AQ1319" s="235" t="s">
        <v>632</v>
      </c>
      <c r="AR1319" s="243">
        <v>1.68E11</v>
      </c>
      <c r="AS1319" s="235" t="s">
        <v>10417</v>
      </c>
      <c r="AT1319" s="235" t="s">
        <v>9</v>
      </c>
      <c r="AU1319" s="235" t="s">
        <v>634</v>
      </c>
      <c r="AV1319" s="246" t="s">
        <v>635</v>
      </c>
      <c r="AW1319" s="242"/>
      <c r="AX1319" s="242"/>
      <c r="AY1319" s="231"/>
      <c r="AZ1319" s="231"/>
      <c r="BA1319" s="227"/>
      <c r="BB1319" s="231"/>
      <c r="BC1319" s="227"/>
      <c r="BD1319" s="227"/>
      <c r="BE1319" s="227"/>
      <c r="BF1319" s="227"/>
    </row>
    <row r="1320">
      <c r="A1320" s="235" t="s">
        <v>10747</v>
      </c>
      <c r="C1320" s="235" t="s">
        <v>10748</v>
      </c>
      <c r="D1320" s="235" t="s">
        <v>10749</v>
      </c>
      <c r="E1320" s="243">
        <v>6.55E13</v>
      </c>
      <c r="F1320" s="245"/>
      <c r="G1320" s="235" t="s">
        <v>10750</v>
      </c>
      <c r="H1320" s="235" t="s">
        <v>10751</v>
      </c>
      <c r="I1320" s="235" t="s">
        <v>10751</v>
      </c>
      <c r="J1320" s="235" t="s">
        <v>10752</v>
      </c>
      <c r="K1320" s="235" t="s">
        <v>10753</v>
      </c>
      <c r="N1320" s="235" t="s">
        <v>75</v>
      </c>
      <c r="O1320" s="235" t="s">
        <v>2108</v>
      </c>
      <c r="P1320" s="238">
        <v>1.0</v>
      </c>
      <c r="Q1320" s="235" t="s">
        <v>627</v>
      </c>
      <c r="R1320" s="238">
        <v>360.96</v>
      </c>
      <c r="S1320" s="238">
        <v>18.04</v>
      </c>
      <c r="T1320" s="238">
        <v>0.0</v>
      </c>
      <c r="U1320" s="238">
        <v>0.0</v>
      </c>
      <c r="V1320" s="238">
        <v>0.0</v>
      </c>
      <c r="W1320" s="238">
        <v>0.0</v>
      </c>
      <c r="X1320" s="235" t="s">
        <v>628</v>
      </c>
      <c r="Z1320" s="244"/>
      <c r="AA1320" s="244"/>
      <c r="AB1320" s="244"/>
      <c r="AC1320" s="235" t="s">
        <v>1058</v>
      </c>
      <c r="AD1320" s="235" t="s">
        <v>845</v>
      </c>
      <c r="AE1320" s="238">
        <v>400053.0</v>
      </c>
      <c r="AF1320" s="235" t="s">
        <v>631</v>
      </c>
      <c r="AG1320" s="244"/>
      <c r="AH1320" s="244"/>
      <c r="AI1320" s="245"/>
      <c r="AJ1320" s="245"/>
      <c r="AK1320" s="245"/>
      <c r="AL1320" s="245"/>
      <c r="AM1320" s="244"/>
      <c r="AN1320" s="244"/>
      <c r="AO1320" s="238">
        <v>0.0</v>
      </c>
      <c r="AP1320" s="238">
        <v>0.0</v>
      </c>
      <c r="AQ1320" s="235" t="s">
        <v>632</v>
      </c>
      <c r="AR1320" s="243">
        <v>3.71E11</v>
      </c>
      <c r="AS1320" s="235" t="s">
        <v>10017</v>
      </c>
      <c r="AT1320" s="235" t="s">
        <v>17</v>
      </c>
      <c r="AU1320" s="235" t="s">
        <v>634</v>
      </c>
      <c r="AV1320" s="246" t="s">
        <v>635</v>
      </c>
      <c r="AW1320" s="242"/>
      <c r="AX1320" s="242"/>
      <c r="AY1320" s="231"/>
      <c r="AZ1320" s="231"/>
      <c r="BA1320" s="227"/>
      <c r="BB1320" s="231"/>
      <c r="BC1320" s="227"/>
      <c r="BD1320" s="227"/>
      <c r="BE1320" s="227"/>
      <c r="BF1320" s="227"/>
    </row>
    <row r="1321">
      <c r="A1321" s="235" t="s">
        <v>10754</v>
      </c>
      <c r="C1321" s="235" t="s">
        <v>10755</v>
      </c>
      <c r="D1321" s="235" t="s">
        <v>10756</v>
      </c>
      <c r="E1321" s="243">
        <v>6.55E13</v>
      </c>
      <c r="F1321" s="245"/>
      <c r="G1321" s="235" t="s">
        <v>10757</v>
      </c>
      <c r="H1321" s="235" t="s">
        <v>10758</v>
      </c>
      <c r="I1321" s="235" t="s">
        <v>10758</v>
      </c>
      <c r="J1321" s="235" t="s">
        <v>10759</v>
      </c>
      <c r="K1321" s="235" t="s">
        <v>10760</v>
      </c>
      <c r="N1321" s="235" t="s">
        <v>134</v>
      </c>
      <c r="O1321" s="235" t="s">
        <v>314</v>
      </c>
      <c r="P1321" s="238">
        <v>1.0</v>
      </c>
      <c r="Q1321" s="235" t="s">
        <v>627</v>
      </c>
      <c r="R1321" s="238">
        <v>246.66</v>
      </c>
      <c r="S1321" s="238">
        <v>12.34</v>
      </c>
      <c r="T1321" s="238">
        <v>18.1</v>
      </c>
      <c r="U1321" s="238">
        <v>0.9</v>
      </c>
      <c r="V1321" s="238">
        <v>0.0</v>
      </c>
      <c r="W1321" s="238">
        <v>0.0</v>
      </c>
      <c r="X1321" s="235" t="s">
        <v>628</v>
      </c>
      <c r="Z1321" s="244"/>
      <c r="AA1321" s="244"/>
      <c r="AB1321" s="244"/>
      <c r="AC1321" s="235" t="s">
        <v>1255</v>
      </c>
      <c r="AD1321" s="235" t="s">
        <v>845</v>
      </c>
      <c r="AE1321" s="238">
        <v>400607.0</v>
      </c>
      <c r="AF1321" s="235" t="s">
        <v>631</v>
      </c>
      <c r="AG1321" s="244"/>
      <c r="AH1321" s="244"/>
      <c r="AI1321" s="245"/>
      <c r="AJ1321" s="245"/>
      <c r="AK1321" s="245"/>
      <c r="AL1321" s="245"/>
      <c r="AM1321" s="244"/>
      <c r="AN1321" s="244"/>
      <c r="AO1321" s="238">
        <v>0.0</v>
      </c>
      <c r="AP1321" s="238">
        <v>-18.1</v>
      </c>
      <c r="AQ1321" s="235" t="s">
        <v>632</v>
      </c>
      <c r="AR1321" s="243">
        <v>1.68E11</v>
      </c>
      <c r="AS1321" s="235" t="s">
        <v>10417</v>
      </c>
      <c r="AT1321" s="235" t="s">
        <v>16</v>
      </c>
      <c r="AU1321" s="235" t="s">
        <v>634</v>
      </c>
      <c r="AV1321" s="246" t="s">
        <v>635</v>
      </c>
      <c r="AW1321" s="242"/>
      <c r="AX1321" s="242"/>
      <c r="AY1321" s="231"/>
      <c r="AZ1321" s="231"/>
      <c r="BA1321" s="227"/>
      <c r="BB1321" s="231"/>
      <c r="BC1321" s="227"/>
      <c r="BD1321" s="227"/>
      <c r="BE1321" s="227"/>
      <c r="BF1321" s="227"/>
    </row>
    <row r="1322">
      <c r="A1322" s="235" t="s">
        <v>10761</v>
      </c>
      <c r="C1322" s="235" t="s">
        <v>10763</v>
      </c>
      <c r="D1322" s="235" t="s">
        <v>10764</v>
      </c>
      <c r="E1322" s="243">
        <v>6.55E13</v>
      </c>
      <c r="F1322" s="245"/>
      <c r="G1322" s="235" t="s">
        <v>10765</v>
      </c>
      <c r="H1322" s="235" t="s">
        <v>10766</v>
      </c>
      <c r="I1322" s="235" t="s">
        <v>10766</v>
      </c>
      <c r="J1322" s="235" t="s">
        <v>10767</v>
      </c>
      <c r="K1322" s="235" t="s">
        <v>10768</v>
      </c>
      <c r="N1322" s="235" t="s">
        <v>85</v>
      </c>
      <c r="O1322" s="235" t="s">
        <v>872</v>
      </c>
      <c r="P1322" s="238">
        <v>1.0</v>
      </c>
      <c r="Q1322" s="235" t="s">
        <v>627</v>
      </c>
      <c r="R1322" s="238">
        <v>246.66</v>
      </c>
      <c r="S1322" s="238">
        <v>12.34</v>
      </c>
      <c r="T1322" s="238">
        <v>0.0</v>
      </c>
      <c r="U1322" s="238">
        <v>0.0</v>
      </c>
      <c r="V1322" s="238">
        <v>0.0</v>
      </c>
      <c r="W1322" s="238">
        <v>0.0</v>
      </c>
      <c r="X1322" s="235" t="s">
        <v>628</v>
      </c>
      <c r="Z1322" s="244"/>
      <c r="AA1322" s="244"/>
      <c r="AB1322" s="244"/>
      <c r="AC1322" s="235" t="s">
        <v>10769</v>
      </c>
      <c r="AD1322" s="235" t="s">
        <v>845</v>
      </c>
      <c r="AE1322" s="238">
        <v>422013.0</v>
      </c>
      <c r="AF1322" s="235" t="s">
        <v>631</v>
      </c>
      <c r="AG1322" s="244"/>
      <c r="AH1322" s="244"/>
      <c r="AI1322" s="245"/>
      <c r="AJ1322" s="245"/>
      <c r="AK1322" s="245"/>
      <c r="AL1322" s="245"/>
      <c r="AM1322" s="244"/>
      <c r="AN1322" s="244"/>
      <c r="AO1322" s="238">
        <v>0.0</v>
      </c>
      <c r="AP1322" s="238">
        <v>0.0</v>
      </c>
      <c r="AQ1322" s="235" t="s">
        <v>632</v>
      </c>
      <c r="AR1322" s="243">
        <v>3.71E11</v>
      </c>
      <c r="AS1322" s="235" t="s">
        <v>10017</v>
      </c>
      <c r="AT1322" s="235" t="s">
        <v>17</v>
      </c>
      <c r="AU1322" s="235" t="s">
        <v>634</v>
      </c>
      <c r="AV1322" s="246" t="s">
        <v>635</v>
      </c>
      <c r="AW1322" s="242"/>
      <c r="AX1322" s="242"/>
      <c r="AY1322" s="231"/>
      <c r="AZ1322" s="231"/>
      <c r="BA1322" s="227"/>
      <c r="BB1322" s="231"/>
      <c r="BC1322" s="227"/>
      <c r="BD1322" s="227"/>
      <c r="BE1322" s="227"/>
      <c r="BF1322" s="227"/>
    </row>
    <row r="1323">
      <c r="A1323" s="235" t="s">
        <v>10770</v>
      </c>
      <c r="C1323" s="235" t="s">
        <v>10771</v>
      </c>
      <c r="D1323" s="235" t="s">
        <v>10772</v>
      </c>
      <c r="E1323" s="243">
        <v>6.55E13</v>
      </c>
      <c r="F1323" s="245"/>
      <c r="G1323" s="235" t="s">
        <v>10773</v>
      </c>
      <c r="H1323" s="235" t="s">
        <v>10774</v>
      </c>
      <c r="I1323" s="235" t="s">
        <v>10774</v>
      </c>
      <c r="J1323" s="235" t="s">
        <v>10775</v>
      </c>
      <c r="K1323" s="235" t="s">
        <v>10776</v>
      </c>
      <c r="N1323" s="235" t="s">
        <v>154</v>
      </c>
      <c r="O1323" s="235" t="s">
        <v>766</v>
      </c>
      <c r="P1323" s="238">
        <v>1.0</v>
      </c>
      <c r="Q1323" s="235" t="s">
        <v>627</v>
      </c>
      <c r="R1323" s="238">
        <v>465.72</v>
      </c>
      <c r="S1323" s="238">
        <v>23.28</v>
      </c>
      <c r="T1323" s="238">
        <v>0.0</v>
      </c>
      <c r="U1323" s="238">
        <v>0.0</v>
      </c>
      <c r="V1323" s="238">
        <v>0.0</v>
      </c>
      <c r="W1323" s="238">
        <v>0.0</v>
      </c>
      <c r="X1323" s="235" t="s">
        <v>628</v>
      </c>
      <c r="Z1323" s="244"/>
      <c r="AA1323" s="244"/>
      <c r="AB1323" s="244"/>
      <c r="AC1323" s="235" t="s">
        <v>1058</v>
      </c>
      <c r="AD1323" s="235" t="s">
        <v>845</v>
      </c>
      <c r="AE1323" s="238">
        <v>400005.0</v>
      </c>
      <c r="AF1323" s="235" t="s">
        <v>631</v>
      </c>
      <c r="AG1323" s="244"/>
      <c r="AH1323" s="244"/>
      <c r="AI1323" s="245"/>
      <c r="AJ1323" s="245"/>
      <c r="AK1323" s="245"/>
      <c r="AL1323" s="245"/>
      <c r="AM1323" s="244"/>
      <c r="AN1323" s="244"/>
      <c r="AO1323" s="238">
        <v>0.0</v>
      </c>
      <c r="AP1323" s="238">
        <v>0.0</v>
      </c>
      <c r="AQ1323" s="235" t="s">
        <v>632</v>
      </c>
      <c r="AR1323" s="243">
        <v>1.68E11</v>
      </c>
      <c r="AS1323" s="235" t="s">
        <v>10417</v>
      </c>
      <c r="AT1323" s="235" t="s">
        <v>17</v>
      </c>
      <c r="AU1323" s="235" t="s">
        <v>634</v>
      </c>
      <c r="AV1323" s="246" t="s">
        <v>635</v>
      </c>
      <c r="AW1323" s="242"/>
      <c r="AX1323" s="242"/>
      <c r="AY1323" s="231"/>
      <c r="AZ1323" s="231"/>
      <c r="BA1323" s="227"/>
      <c r="BB1323" s="231"/>
      <c r="BC1323" s="227"/>
      <c r="BD1323" s="227"/>
      <c r="BE1323" s="227"/>
      <c r="BF1323" s="227"/>
    </row>
    <row r="1324">
      <c r="A1324" s="235" t="s">
        <v>10777</v>
      </c>
      <c r="C1324" s="235" t="s">
        <v>10778</v>
      </c>
      <c r="D1324" s="235" t="s">
        <v>10779</v>
      </c>
      <c r="E1324" s="243">
        <v>6.55E13</v>
      </c>
      <c r="F1324" s="245"/>
      <c r="G1324" s="235" t="s">
        <v>10780</v>
      </c>
      <c r="H1324" s="235" t="s">
        <v>10781</v>
      </c>
      <c r="I1324" s="235" t="s">
        <v>10781</v>
      </c>
      <c r="J1324" s="235" t="s">
        <v>10782</v>
      </c>
      <c r="K1324" s="235" t="s">
        <v>10783</v>
      </c>
      <c r="N1324" s="235" t="s">
        <v>717</v>
      </c>
      <c r="O1324" s="235" t="s">
        <v>718</v>
      </c>
      <c r="P1324" s="238">
        <v>1.0</v>
      </c>
      <c r="Q1324" s="235" t="s">
        <v>627</v>
      </c>
      <c r="R1324" s="238">
        <v>456.19</v>
      </c>
      <c r="S1324" s="238">
        <v>22.81</v>
      </c>
      <c r="T1324" s="238">
        <v>0.0</v>
      </c>
      <c r="U1324" s="238">
        <v>0.0</v>
      </c>
      <c r="V1324" s="238">
        <v>0.0</v>
      </c>
      <c r="W1324" s="238">
        <v>0.0</v>
      </c>
      <c r="X1324" s="235" t="s">
        <v>628</v>
      </c>
      <c r="Z1324" s="244"/>
      <c r="AA1324" s="244"/>
      <c r="AB1324" s="244"/>
      <c r="AC1324" s="235" t="s">
        <v>9278</v>
      </c>
      <c r="AD1324" s="235" t="s">
        <v>1077</v>
      </c>
      <c r="AE1324" s="238">
        <v>390025.0</v>
      </c>
      <c r="AF1324" s="235" t="s">
        <v>631</v>
      </c>
      <c r="AG1324" s="244"/>
      <c r="AH1324" s="244"/>
      <c r="AI1324" s="245"/>
      <c r="AJ1324" s="245"/>
      <c r="AK1324" s="245"/>
      <c r="AL1324" s="245"/>
      <c r="AM1324" s="244"/>
      <c r="AN1324" s="244"/>
      <c r="AO1324" s="238">
        <v>0.0</v>
      </c>
      <c r="AP1324" s="238">
        <v>0.0</v>
      </c>
      <c r="AQ1324" s="235" t="s">
        <v>632</v>
      </c>
      <c r="AR1324" s="243">
        <v>1.68E11</v>
      </c>
      <c r="AS1324" s="235" t="s">
        <v>8807</v>
      </c>
      <c r="AT1324" s="235" t="s">
        <v>17</v>
      </c>
      <c r="AU1324" s="235" t="s">
        <v>634</v>
      </c>
      <c r="AV1324" s="246" t="s">
        <v>635</v>
      </c>
      <c r="AW1324" s="242"/>
      <c r="AX1324" s="242"/>
      <c r="AY1324" s="231"/>
      <c r="AZ1324" s="231"/>
      <c r="BA1324" s="227"/>
      <c r="BB1324" s="231"/>
      <c r="BC1324" s="227"/>
      <c r="BD1324" s="227"/>
      <c r="BE1324" s="227"/>
      <c r="BF1324" s="227"/>
    </row>
    <row r="1325">
      <c r="A1325" s="235" t="s">
        <v>10777</v>
      </c>
      <c r="C1325" s="235" t="s">
        <v>10778</v>
      </c>
      <c r="D1325" s="235" t="s">
        <v>10784</v>
      </c>
      <c r="E1325" s="243">
        <v>6.55E13</v>
      </c>
      <c r="F1325" s="245"/>
      <c r="G1325" s="235" t="s">
        <v>10780</v>
      </c>
      <c r="H1325" s="235" t="s">
        <v>10781</v>
      </c>
      <c r="I1325" s="235" t="s">
        <v>10781</v>
      </c>
      <c r="J1325" s="235" t="s">
        <v>10782</v>
      </c>
      <c r="K1325" s="235" t="s">
        <v>10783</v>
      </c>
      <c r="N1325" s="235" t="s">
        <v>3583</v>
      </c>
      <c r="O1325" s="235" t="s">
        <v>3584</v>
      </c>
      <c r="P1325" s="238">
        <v>1.0</v>
      </c>
      <c r="Q1325" s="235" t="s">
        <v>627</v>
      </c>
      <c r="R1325" s="238">
        <v>856.19</v>
      </c>
      <c r="S1325" s="238">
        <v>41.95</v>
      </c>
      <c r="T1325" s="238">
        <v>0.0</v>
      </c>
      <c r="U1325" s="238">
        <v>0.0</v>
      </c>
      <c r="V1325" s="238">
        <v>0.0</v>
      </c>
      <c r="W1325" s="238">
        <v>0.0</v>
      </c>
      <c r="X1325" s="235" t="s">
        <v>628</v>
      </c>
      <c r="Z1325" s="244"/>
      <c r="AA1325" s="244"/>
      <c r="AB1325" s="244"/>
      <c r="AC1325" s="235" t="s">
        <v>9278</v>
      </c>
      <c r="AD1325" s="235" t="s">
        <v>1077</v>
      </c>
      <c r="AE1325" s="238">
        <v>390025.0</v>
      </c>
      <c r="AF1325" s="235" t="s">
        <v>631</v>
      </c>
      <c r="AG1325" s="244"/>
      <c r="AH1325" s="244"/>
      <c r="AI1325" s="245"/>
      <c r="AJ1325" s="245"/>
      <c r="AK1325" s="245"/>
      <c r="AL1325" s="245"/>
      <c r="AM1325" s="244"/>
      <c r="AN1325" s="244"/>
      <c r="AO1325" s="238">
        <v>-17.12</v>
      </c>
      <c r="AP1325" s="238">
        <v>0.0</v>
      </c>
      <c r="AQ1325" s="235" t="s">
        <v>632</v>
      </c>
      <c r="AR1325" s="243">
        <v>1.68E11</v>
      </c>
      <c r="AS1325" s="235" t="s">
        <v>8807</v>
      </c>
      <c r="AT1325" s="235" t="s">
        <v>17</v>
      </c>
      <c r="AU1325" s="235" t="s">
        <v>634</v>
      </c>
      <c r="AV1325" s="246" t="s">
        <v>635</v>
      </c>
      <c r="AW1325" s="242"/>
      <c r="AX1325" s="242"/>
      <c r="AY1325" s="231"/>
      <c r="AZ1325" s="231"/>
      <c r="BA1325" s="227"/>
      <c r="BB1325" s="231"/>
      <c r="BC1325" s="227"/>
      <c r="BD1325" s="227"/>
      <c r="BE1325" s="227"/>
      <c r="BF1325" s="227"/>
    </row>
    <row r="1326">
      <c r="A1326" s="235" t="s">
        <v>10785</v>
      </c>
      <c r="C1326" s="235" t="s">
        <v>10786</v>
      </c>
      <c r="D1326" s="235" t="s">
        <v>10787</v>
      </c>
      <c r="E1326" s="243">
        <v>6.55E13</v>
      </c>
      <c r="F1326" s="245"/>
      <c r="G1326" s="235" t="s">
        <v>10788</v>
      </c>
      <c r="H1326" s="235" t="s">
        <v>10789</v>
      </c>
      <c r="I1326" s="235" t="s">
        <v>10789</v>
      </c>
      <c r="J1326" s="235" t="s">
        <v>10790</v>
      </c>
      <c r="K1326" s="235" t="s">
        <v>10791</v>
      </c>
      <c r="N1326" s="235" t="s">
        <v>85</v>
      </c>
      <c r="O1326" s="235" t="s">
        <v>872</v>
      </c>
      <c r="P1326" s="238">
        <v>1.0</v>
      </c>
      <c r="Q1326" s="235" t="s">
        <v>627</v>
      </c>
      <c r="R1326" s="238">
        <v>246.67</v>
      </c>
      <c r="S1326" s="238">
        <v>12.33</v>
      </c>
      <c r="T1326" s="238">
        <v>38.1</v>
      </c>
      <c r="U1326" s="238">
        <v>1.9</v>
      </c>
      <c r="V1326" s="238">
        <v>0.0</v>
      </c>
      <c r="W1326" s="238">
        <v>0.0</v>
      </c>
      <c r="X1326" s="235" t="s">
        <v>628</v>
      </c>
      <c r="Z1326" s="244"/>
      <c r="AA1326" s="244"/>
      <c r="AB1326" s="244"/>
      <c r="AC1326" s="235" t="s">
        <v>10792</v>
      </c>
      <c r="AD1326" s="235" t="s">
        <v>1151</v>
      </c>
      <c r="AE1326" s="238">
        <v>734203.0</v>
      </c>
      <c r="AF1326" s="235" t="s">
        <v>631</v>
      </c>
      <c r="AG1326" s="244"/>
      <c r="AH1326" s="244"/>
      <c r="AI1326" s="245"/>
      <c r="AJ1326" s="245"/>
      <c r="AK1326" s="245"/>
      <c r="AL1326" s="245"/>
      <c r="AM1326" s="244"/>
      <c r="AN1326" s="244"/>
      <c r="AO1326" s="238">
        <v>0.0</v>
      </c>
      <c r="AP1326" s="238">
        <v>-38.1</v>
      </c>
      <c r="AQ1326" s="235" t="s">
        <v>632</v>
      </c>
      <c r="AR1326" s="243">
        <v>3.71E11</v>
      </c>
      <c r="AS1326" s="235" t="s">
        <v>4697</v>
      </c>
      <c r="AT1326" s="235" t="s">
        <v>533</v>
      </c>
      <c r="AU1326" s="235" t="s">
        <v>634</v>
      </c>
      <c r="AV1326" s="246" t="s">
        <v>635</v>
      </c>
      <c r="AW1326" s="242"/>
      <c r="AX1326" s="242"/>
      <c r="AY1326" s="231"/>
      <c r="AZ1326" s="231"/>
      <c r="BA1326" s="227"/>
      <c r="BB1326" s="231"/>
      <c r="BC1326" s="227"/>
      <c r="BD1326" s="227"/>
      <c r="BE1326" s="227"/>
      <c r="BF1326" s="227"/>
    </row>
    <row r="1327">
      <c r="A1327" s="235" t="s">
        <v>10793</v>
      </c>
      <c r="C1327" s="235" t="s">
        <v>10794</v>
      </c>
      <c r="D1327" s="235" t="s">
        <v>10795</v>
      </c>
      <c r="E1327" s="243">
        <v>6.55E13</v>
      </c>
      <c r="F1327" s="245"/>
      <c r="G1327" s="235" t="s">
        <v>10796</v>
      </c>
      <c r="H1327" s="235" t="s">
        <v>10797</v>
      </c>
      <c r="I1327" s="235" t="s">
        <v>10797</v>
      </c>
      <c r="J1327" s="235" t="s">
        <v>10798</v>
      </c>
      <c r="K1327" s="235" t="s">
        <v>8776</v>
      </c>
      <c r="N1327" s="235" t="s">
        <v>962</v>
      </c>
      <c r="O1327" s="235" t="s">
        <v>963</v>
      </c>
      <c r="P1327" s="238">
        <v>1.0</v>
      </c>
      <c r="Q1327" s="235" t="s">
        <v>627</v>
      </c>
      <c r="R1327" s="238">
        <v>246.66</v>
      </c>
      <c r="S1327" s="238">
        <v>12.34</v>
      </c>
      <c r="T1327" s="238">
        <v>0.0</v>
      </c>
      <c r="U1327" s="238">
        <v>0.0</v>
      </c>
      <c r="V1327" s="238">
        <v>0.0</v>
      </c>
      <c r="W1327" s="238">
        <v>0.0</v>
      </c>
      <c r="X1327" s="235" t="s">
        <v>628</v>
      </c>
      <c r="Z1327" s="244"/>
      <c r="AA1327" s="244"/>
      <c r="AB1327" s="244"/>
      <c r="AC1327" s="235" t="s">
        <v>757</v>
      </c>
      <c r="AD1327" s="235" t="s">
        <v>666</v>
      </c>
      <c r="AE1327" s="238">
        <v>625514.0</v>
      </c>
      <c r="AF1327" s="235" t="s">
        <v>631</v>
      </c>
      <c r="AG1327" s="244"/>
      <c r="AH1327" s="244"/>
      <c r="AI1327" s="245"/>
      <c r="AJ1327" s="245"/>
      <c r="AK1327" s="245"/>
      <c r="AL1327" s="245"/>
      <c r="AM1327" s="244"/>
      <c r="AN1327" s="244"/>
      <c r="AO1327" s="238">
        <v>0.0</v>
      </c>
      <c r="AP1327" s="238">
        <v>0.0</v>
      </c>
      <c r="AQ1327" s="235" t="s">
        <v>632</v>
      </c>
      <c r="AR1327" s="243">
        <v>3.71E11</v>
      </c>
      <c r="AS1327" s="235" t="s">
        <v>10017</v>
      </c>
      <c r="AT1327" s="235" t="s">
        <v>155</v>
      </c>
      <c r="AU1327" s="235" t="s">
        <v>634</v>
      </c>
      <c r="AV1327" s="246" t="s">
        <v>635</v>
      </c>
      <c r="AW1327" s="242"/>
      <c r="AX1327" s="242"/>
      <c r="AY1327" s="231"/>
      <c r="AZ1327" s="231"/>
      <c r="BA1327" s="227"/>
      <c r="BB1327" s="231"/>
      <c r="BC1327" s="227"/>
      <c r="BD1327" s="227"/>
      <c r="BE1327" s="227"/>
      <c r="BF1327" s="227"/>
    </row>
    <row r="1328">
      <c r="A1328" s="235" t="s">
        <v>10799</v>
      </c>
      <c r="C1328" s="235" t="s">
        <v>10800</v>
      </c>
      <c r="D1328" s="235" t="s">
        <v>10801</v>
      </c>
      <c r="E1328" s="243">
        <v>6.55E13</v>
      </c>
      <c r="F1328" s="245"/>
      <c r="G1328" s="235" t="s">
        <v>10802</v>
      </c>
      <c r="H1328" s="235" t="s">
        <v>10803</v>
      </c>
      <c r="I1328" s="235" t="s">
        <v>10803</v>
      </c>
      <c r="J1328" s="235" t="s">
        <v>10804</v>
      </c>
      <c r="K1328" s="235" t="s">
        <v>10805</v>
      </c>
      <c r="N1328" s="235" t="s">
        <v>92</v>
      </c>
      <c r="O1328" s="235" t="s">
        <v>248</v>
      </c>
      <c r="P1328" s="238">
        <v>1.0</v>
      </c>
      <c r="Q1328" s="235" t="s">
        <v>627</v>
      </c>
      <c r="R1328" s="238">
        <v>246.67</v>
      </c>
      <c r="S1328" s="238">
        <v>12.33</v>
      </c>
      <c r="T1328" s="238">
        <v>38.1</v>
      </c>
      <c r="U1328" s="238">
        <v>1.9</v>
      </c>
      <c r="V1328" s="238">
        <v>0.0</v>
      </c>
      <c r="W1328" s="238">
        <v>0.0</v>
      </c>
      <c r="X1328" s="235" t="s">
        <v>628</v>
      </c>
      <c r="Z1328" s="244"/>
      <c r="AA1328" s="244"/>
      <c r="AB1328" s="244"/>
      <c r="AC1328" s="235" t="s">
        <v>10806</v>
      </c>
      <c r="AD1328" s="235" t="s">
        <v>917</v>
      </c>
      <c r="AE1328" s="238">
        <v>314001.0</v>
      </c>
      <c r="AF1328" s="235" t="s">
        <v>631</v>
      </c>
      <c r="AG1328" s="244"/>
      <c r="AH1328" s="244"/>
      <c r="AI1328" s="245"/>
      <c r="AJ1328" s="245"/>
      <c r="AK1328" s="245"/>
      <c r="AL1328" s="245"/>
      <c r="AM1328" s="244"/>
      <c r="AN1328" s="244"/>
      <c r="AO1328" s="238">
        <v>0.0</v>
      </c>
      <c r="AP1328" s="238">
        <v>-38.1</v>
      </c>
      <c r="AQ1328" s="235" t="s">
        <v>632</v>
      </c>
      <c r="AR1328" s="243">
        <v>3.71E11</v>
      </c>
      <c r="AS1328" s="235" t="s">
        <v>7365</v>
      </c>
      <c r="AT1328" s="235" t="s">
        <v>5</v>
      </c>
      <c r="AU1328" s="235" t="s">
        <v>634</v>
      </c>
      <c r="AV1328" s="246" t="s">
        <v>635</v>
      </c>
      <c r="AW1328" s="242"/>
      <c r="AX1328" s="242"/>
      <c r="AY1328" s="231"/>
      <c r="AZ1328" s="231"/>
      <c r="BA1328" s="227"/>
      <c r="BB1328" s="231"/>
      <c r="BC1328" s="227"/>
      <c r="BD1328" s="227"/>
      <c r="BE1328" s="227"/>
      <c r="BF1328" s="227"/>
    </row>
    <row r="1329">
      <c r="A1329" s="235" t="s">
        <v>10807</v>
      </c>
      <c r="C1329" s="235" t="s">
        <v>10808</v>
      </c>
      <c r="D1329" s="235" t="s">
        <v>10809</v>
      </c>
      <c r="E1329" s="243">
        <v>6.55E13</v>
      </c>
      <c r="F1329" s="245"/>
      <c r="G1329" s="235" t="s">
        <v>10810</v>
      </c>
      <c r="H1329" s="235" t="s">
        <v>10811</v>
      </c>
      <c r="I1329" s="235" t="s">
        <v>10812</v>
      </c>
      <c r="J1329" s="235" t="s">
        <v>10813</v>
      </c>
      <c r="K1329" s="235" t="s">
        <v>10814</v>
      </c>
      <c r="N1329" s="235" t="s">
        <v>962</v>
      </c>
      <c r="O1329" s="235" t="s">
        <v>963</v>
      </c>
      <c r="P1329" s="238">
        <v>1.0</v>
      </c>
      <c r="Q1329" s="235" t="s">
        <v>627</v>
      </c>
      <c r="R1329" s="238">
        <v>246.67</v>
      </c>
      <c r="S1329" s="238">
        <v>12.33</v>
      </c>
      <c r="T1329" s="238">
        <v>0.0</v>
      </c>
      <c r="U1329" s="238">
        <v>0.0</v>
      </c>
      <c r="V1329" s="238">
        <v>0.0</v>
      </c>
      <c r="W1329" s="238">
        <v>0.0</v>
      </c>
      <c r="X1329" s="235" t="s">
        <v>628</v>
      </c>
      <c r="Z1329" s="244"/>
      <c r="AA1329" s="244"/>
      <c r="AB1329" s="244"/>
      <c r="AC1329" s="235" t="s">
        <v>1792</v>
      </c>
      <c r="AD1329" s="235" t="s">
        <v>1077</v>
      </c>
      <c r="AE1329" s="238">
        <v>390008.0</v>
      </c>
      <c r="AF1329" s="235" t="s">
        <v>631</v>
      </c>
      <c r="AG1329" s="244"/>
      <c r="AH1329" s="244"/>
      <c r="AI1329" s="245"/>
      <c r="AJ1329" s="245"/>
      <c r="AK1329" s="245"/>
      <c r="AL1329" s="245"/>
      <c r="AM1329" s="244"/>
      <c r="AN1329" s="244"/>
      <c r="AO1329" s="238">
        <v>0.0</v>
      </c>
      <c r="AP1329" s="238">
        <v>0.0</v>
      </c>
      <c r="AQ1329" s="235" t="s">
        <v>632</v>
      </c>
      <c r="AR1329" s="243">
        <v>3.71E11</v>
      </c>
      <c r="AS1329" s="235" t="s">
        <v>7365</v>
      </c>
      <c r="AT1329" s="235" t="s">
        <v>13</v>
      </c>
      <c r="AU1329" s="235" t="s">
        <v>634</v>
      </c>
      <c r="AV1329" s="246" t="s">
        <v>635</v>
      </c>
      <c r="AW1329" s="242"/>
      <c r="AX1329" s="242"/>
      <c r="AY1329" s="231"/>
      <c r="AZ1329" s="231"/>
      <c r="BA1329" s="227"/>
      <c r="BB1329" s="231"/>
      <c r="BC1329" s="227"/>
      <c r="BD1329" s="227"/>
      <c r="BE1329" s="227"/>
      <c r="BF1329" s="227"/>
    </row>
    <row r="1330">
      <c r="A1330" s="235" t="s">
        <v>10815</v>
      </c>
      <c r="C1330" s="235" t="s">
        <v>10816</v>
      </c>
      <c r="D1330" s="235" t="s">
        <v>10817</v>
      </c>
      <c r="E1330" s="243">
        <v>6.55E13</v>
      </c>
      <c r="F1330" s="245"/>
      <c r="G1330" s="235" t="s">
        <v>10818</v>
      </c>
      <c r="H1330" s="235" t="s">
        <v>10819</v>
      </c>
      <c r="I1330" s="235" t="s">
        <v>10819</v>
      </c>
      <c r="J1330" s="235" t="s">
        <v>10820</v>
      </c>
      <c r="K1330" s="235" t="s">
        <v>10821</v>
      </c>
      <c r="N1330" s="235" t="s">
        <v>42</v>
      </c>
      <c r="O1330" s="235" t="s">
        <v>204</v>
      </c>
      <c r="P1330" s="238">
        <v>1.0</v>
      </c>
      <c r="Q1330" s="235" t="s">
        <v>627</v>
      </c>
      <c r="R1330" s="238">
        <v>237.14</v>
      </c>
      <c r="S1330" s="238">
        <v>11.86</v>
      </c>
      <c r="T1330" s="238">
        <v>0.0</v>
      </c>
      <c r="U1330" s="238">
        <v>0.0</v>
      </c>
      <c r="V1330" s="238">
        <v>0.0</v>
      </c>
      <c r="W1330" s="238">
        <v>0.0</v>
      </c>
      <c r="X1330" s="235" t="s">
        <v>628</v>
      </c>
      <c r="Z1330" s="244"/>
      <c r="AA1330" s="244"/>
      <c r="AB1330" s="244"/>
      <c r="AC1330" s="235" t="s">
        <v>687</v>
      </c>
      <c r="AD1330" s="235" t="s">
        <v>666</v>
      </c>
      <c r="AE1330" s="238">
        <v>600097.0</v>
      </c>
      <c r="AF1330" s="235" t="s">
        <v>631</v>
      </c>
      <c r="AG1330" s="244"/>
      <c r="AH1330" s="244"/>
      <c r="AI1330" s="245"/>
      <c r="AJ1330" s="245"/>
      <c r="AK1330" s="245"/>
      <c r="AL1330" s="245"/>
      <c r="AM1330" s="244"/>
      <c r="AN1330" s="244"/>
      <c r="AO1330" s="238">
        <v>0.0</v>
      </c>
      <c r="AP1330" s="238">
        <v>0.0</v>
      </c>
      <c r="AQ1330" s="235" t="s">
        <v>632</v>
      </c>
      <c r="AR1330" s="243">
        <v>1.68E11</v>
      </c>
      <c r="AS1330" s="235" t="s">
        <v>10417</v>
      </c>
      <c r="AT1330" s="235" t="s">
        <v>156</v>
      </c>
      <c r="AU1330" s="235" t="s">
        <v>634</v>
      </c>
      <c r="AV1330" s="246" t="s">
        <v>635</v>
      </c>
      <c r="AW1330" s="242"/>
      <c r="AX1330" s="242"/>
      <c r="AY1330" s="231"/>
      <c r="AZ1330" s="231"/>
      <c r="BA1330" s="227"/>
      <c r="BB1330" s="231"/>
      <c r="BC1330" s="227"/>
      <c r="BD1330" s="227"/>
      <c r="BE1330" s="227"/>
      <c r="BF1330" s="227"/>
    </row>
    <row r="1331">
      <c r="A1331" s="235" t="s">
        <v>10822</v>
      </c>
      <c r="C1331" s="235" t="s">
        <v>10823</v>
      </c>
      <c r="D1331" s="235" t="s">
        <v>10824</v>
      </c>
      <c r="E1331" s="243">
        <v>6.55E13</v>
      </c>
      <c r="F1331" s="245"/>
      <c r="G1331" s="235" t="s">
        <v>10825</v>
      </c>
      <c r="H1331" s="235" t="s">
        <v>10826</v>
      </c>
      <c r="I1331" s="235" t="s">
        <v>10827</v>
      </c>
      <c r="J1331" s="235" t="s">
        <v>10828</v>
      </c>
      <c r="K1331" s="235" t="s">
        <v>4516</v>
      </c>
      <c r="N1331" s="235" t="s">
        <v>130</v>
      </c>
      <c r="O1331" s="235" t="s">
        <v>707</v>
      </c>
      <c r="P1331" s="238">
        <v>1.0</v>
      </c>
      <c r="Q1331" s="235" t="s">
        <v>627</v>
      </c>
      <c r="R1331" s="238">
        <v>246.66</v>
      </c>
      <c r="S1331" s="238">
        <v>12.34</v>
      </c>
      <c r="T1331" s="238">
        <v>0.0</v>
      </c>
      <c r="U1331" s="238">
        <v>0.0</v>
      </c>
      <c r="V1331" s="238">
        <v>0.0</v>
      </c>
      <c r="W1331" s="238">
        <v>0.0</v>
      </c>
      <c r="X1331" s="235" t="s">
        <v>628</v>
      </c>
      <c r="Z1331" s="244"/>
      <c r="AA1331" s="244"/>
      <c r="AB1331" s="244"/>
      <c r="AC1331" s="235" t="s">
        <v>687</v>
      </c>
      <c r="AD1331" s="235" t="s">
        <v>666</v>
      </c>
      <c r="AE1331" s="238">
        <v>600095.0</v>
      </c>
      <c r="AF1331" s="235" t="s">
        <v>631</v>
      </c>
      <c r="AG1331" s="244"/>
      <c r="AH1331" s="244"/>
      <c r="AI1331" s="245"/>
      <c r="AJ1331" s="245"/>
      <c r="AK1331" s="245"/>
      <c r="AL1331" s="245"/>
      <c r="AM1331" s="244"/>
      <c r="AN1331" s="244"/>
      <c r="AO1331" s="238">
        <v>0.0</v>
      </c>
      <c r="AP1331" s="238">
        <v>0.0</v>
      </c>
      <c r="AQ1331" s="235" t="s">
        <v>632</v>
      </c>
      <c r="AR1331" s="243">
        <v>3.71E11</v>
      </c>
      <c r="AS1331" s="235" t="s">
        <v>8807</v>
      </c>
      <c r="AT1331" s="235" t="s">
        <v>156</v>
      </c>
      <c r="AU1331" s="235" t="s">
        <v>634</v>
      </c>
      <c r="AV1331" s="246" t="s">
        <v>635</v>
      </c>
      <c r="AW1331" s="242"/>
      <c r="AX1331" s="242"/>
      <c r="AY1331" s="231"/>
      <c r="AZ1331" s="231"/>
      <c r="BA1331" s="227"/>
      <c r="BB1331" s="231"/>
      <c r="BC1331" s="227"/>
      <c r="BD1331" s="227"/>
      <c r="BE1331" s="227"/>
      <c r="BF1331" s="227"/>
    </row>
    <row r="1332">
      <c r="A1332" s="235" t="s">
        <v>10829</v>
      </c>
      <c r="C1332" s="235" t="s">
        <v>10830</v>
      </c>
      <c r="D1332" s="235" t="s">
        <v>10831</v>
      </c>
      <c r="E1332" s="243">
        <v>6.55E13</v>
      </c>
      <c r="F1332" s="245"/>
      <c r="G1332" s="235" t="s">
        <v>10832</v>
      </c>
      <c r="H1332" s="235" t="s">
        <v>10833</v>
      </c>
      <c r="I1332" s="235" t="s">
        <v>10833</v>
      </c>
      <c r="J1332" s="235" t="s">
        <v>10834</v>
      </c>
      <c r="K1332" s="235" t="s">
        <v>10835</v>
      </c>
      <c r="N1332" s="235" t="s">
        <v>2696</v>
      </c>
      <c r="O1332" s="235" t="s">
        <v>2697</v>
      </c>
      <c r="P1332" s="238">
        <v>1.0</v>
      </c>
      <c r="Q1332" s="235" t="s">
        <v>627</v>
      </c>
      <c r="R1332" s="238">
        <v>246.67</v>
      </c>
      <c r="S1332" s="238">
        <v>12.33</v>
      </c>
      <c r="T1332" s="238">
        <v>0.0</v>
      </c>
      <c r="U1332" s="238">
        <v>0.0</v>
      </c>
      <c r="V1332" s="238">
        <v>0.0</v>
      </c>
      <c r="W1332" s="238">
        <v>0.0</v>
      </c>
      <c r="X1332" s="235" t="s">
        <v>628</v>
      </c>
      <c r="Z1332" s="244"/>
      <c r="AA1332" s="244"/>
      <c r="AB1332" s="244"/>
      <c r="AC1332" s="235" t="s">
        <v>1878</v>
      </c>
      <c r="AD1332" s="235" t="s">
        <v>645</v>
      </c>
      <c r="AE1332" s="238">
        <v>680618.0</v>
      </c>
      <c r="AF1332" s="235" t="s">
        <v>631</v>
      </c>
      <c r="AG1332" s="244"/>
      <c r="AH1332" s="244"/>
      <c r="AI1332" s="245"/>
      <c r="AJ1332" s="245"/>
      <c r="AK1332" s="245"/>
      <c r="AL1332" s="245"/>
      <c r="AM1332" s="244"/>
      <c r="AN1332" s="244"/>
      <c r="AO1332" s="238">
        <v>0.0</v>
      </c>
      <c r="AP1332" s="238">
        <v>0.0</v>
      </c>
      <c r="AQ1332" s="235" t="s">
        <v>632</v>
      </c>
      <c r="AR1332" s="243">
        <v>3.71E11</v>
      </c>
      <c r="AS1332" s="235" t="s">
        <v>10017</v>
      </c>
      <c r="AT1332" s="235" t="s">
        <v>155</v>
      </c>
      <c r="AU1332" s="235" t="s">
        <v>634</v>
      </c>
      <c r="AV1332" s="246" t="s">
        <v>635</v>
      </c>
      <c r="AW1332" s="242"/>
      <c r="AX1332" s="242"/>
      <c r="AY1332" s="231"/>
      <c r="AZ1332" s="231"/>
      <c r="BA1332" s="227"/>
      <c r="BB1332" s="231"/>
      <c r="BC1332" s="227"/>
      <c r="BD1332" s="227"/>
      <c r="BE1332" s="227"/>
      <c r="BF1332" s="227"/>
    </row>
    <row r="1333">
      <c r="A1333" s="235" t="s">
        <v>10836</v>
      </c>
      <c r="C1333" s="235" t="s">
        <v>10837</v>
      </c>
      <c r="D1333" s="235" t="s">
        <v>10838</v>
      </c>
      <c r="E1333" s="243">
        <v>6.55E13</v>
      </c>
      <c r="F1333" s="245"/>
      <c r="G1333" s="235" t="s">
        <v>10839</v>
      </c>
      <c r="H1333" s="235" t="s">
        <v>10840</v>
      </c>
      <c r="I1333" s="235" t="s">
        <v>10840</v>
      </c>
      <c r="J1333" s="235" t="s">
        <v>10841</v>
      </c>
      <c r="K1333" s="235" t="s">
        <v>10842</v>
      </c>
      <c r="N1333" s="235" t="s">
        <v>42</v>
      </c>
      <c r="O1333" s="235" t="s">
        <v>204</v>
      </c>
      <c r="P1333" s="238">
        <v>1.0</v>
      </c>
      <c r="Q1333" s="235" t="s">
        <v>627</v>
      </c>
      <c r="R1333" s="238">
        <v>237.14</v>
      </c>
      <c r="S1333" s="238">
        <v>11.86</v>
      </c>
      <c r="T1333" s="238">
        <v>0.0</v>
      </c>
      <c r="U1333" s="238">
        <v>0.0</v>
      </c>
      <c r="V1333" s="238">
        <v>0.0</v>
      </c>
      <c r="W1333" s="238">
        <v>0.0</v>
      </c>
      <c r="X1333" s="235" t="s">
        <v>628</v>
      </c>
      <c r="Z1333" s="244"/>
      <c r="AA1333" s="244"/>
      <c r="AB1333" s="244"/>
      <c r="AC1333" s="235" t="s">
        <v>687</v>
      </c>
      <c r="AD1333" s="235" t="s">
        <v>666</v>
      </c>
      <c r="AE1333" s="238">
        <v>600091.0</v>
      </c>
      <c r="AF1333" s="235" t="s">
        <v>631</v>
      </c>
      <c r="AG1333" s="244"/>
      <c r="AH1333" s="244"/>
      <c r="AI1333" s="245"/>
      <c r="AJ1333" s="245"/>
      <c r="AK1333" s="245"/>
      <c r="AL1333" s="245"/>
      <c r="AM1333" s="244"/>
      <c r="AN1333" s="244"/>
      <c r="AO1333" s="238">
        <v>0.0</v>
      </c>
      <c r="AP1333" s="238">
        <v>0.0</v>
      </c>
      <c r="AQ1333" s="235" t="s">
        <v>632</v>
      </c>
      <c r="AR1333" s="243">
        <v>1.68E11</v>
      </c>
      <c r="AS1333" s="235" t="s">
        <v>10417</v>
      </c>
      <c r="AT1333" s="235" t="s">
        <v>156</v>
      </c>
      <c r="AU1333" s="235" t="s">
        <v>634</v>
      </c>
      <c r="AV1333" s="246" t="s">
        <v>635</v>
      </c>
      <c r="AW1333" s="242"/>
      <c r="AX1333" s="242"/>
      <c r="AY1333" s="231"/>
      <c r="AZ1333" s="231"/>
      <c r="BA1333" s="227"/>
      <c r="BB1333" s="231"/>
      <c r="BC1333" s="227"/>
      <c r="BD1333" s="227"/>
      <c r="BE1333" s="227"/>
      <c r="BF1333" s="227"/>
    </row>
    <row r="1334">
      <c r="A1334" s="235" t="s">
        <v>10843</v>
      </c>
      <c r="C1334" s="235" t="s">
        <v>10844</v>
      </c>
      <c r="D1334" s="235" t="s">
        <v>10845</v>
      </c>
      <c r="E1334" s="243">
        <v>6.55E13</v>
      </c>
      <c r="F1334" s="245"/>
      <c r="G1334" s="235" t="s">
        <v>10846</v>
      </c>
      <c r="H1334" s="235" t="s">
        <v>10847</v>
      </c>
      <c r="I1334" s="235" t="s">
        <v>10847</v>
      </c>
      <c r="J1334" s="235" t="s">
        <v>10848</v>
      </c>
      <c r="K1334" s="235" t="s">
        <v>10849</v>
      </c>
      <c r="N1334" s="235" t="s">
        <v>842</v>
      </c>
      <c r="O1334" s="235" t="s">
        <v>843</v>
      </c>
      <c r="P1334" s="238">
        <v>1.0</v>
      </c>
      <c r="Q1334" s="235" t="s">
        <v>627</v>
      </c>
      <c r="R1334" s="238">
        <v>246.67</v>
      </c>
      <c r="S1334" s="238">
        <v>11.96</v>
      </c>
      <c r="T1334" s="238">
        <v>38.1</v>
      </c>
      <c r="U1334" s="238">
        <v>1.9</v>
      </c>
      <c r="V1334" s="238">
        <v>0.0</v>
      </c>
      <c r="W1334" s="238">
        <v>0.0</v>
      </c>
      <c r="X1334" s="235" t="s">
        <v>628</v>
      </c>
      <c r="Z1334" s="244"/>
      <c r="AA1334" s="244"/>
      <c r="AB1334" s="244"/>
      <c r="AC1334" s="235" t="s">
        <v>1843</v>
      </c>
      <c r="AD1334" s="235" t="s">
        <v>645</v>
      </c>
      <c r="AE1334" s="238">
        <v>690521.0</v>
      </c>
      <c r="AF1334" s="235" t="s">
        <v>631</v>
      </c>
      <c r="AG1334" s="244"/>
      <c r="AH1334" s="244"/>
      <c r="AI1334" s="245"/>
      <c r="AJ1334" s="245"/>
      <c r="AK1334" s="245"/>
      <c r="AL1334" s="245"/>
      <c r="AM1334" s="244"/>
      <c r="AN1334" s="244"/>
      <c r="AO1334" s="238">
        <v>-7.4</v>
      </c>
      <c r="AP1334" s="238">
        <v>-38.1</v>
      </c>
      <c r="AQ1334" s="235" t="s">
        <v>632</v>
      </c>
      <c r="AR1334" s="243">
        <v>3.71E11</v>
      </c>
      <c r="AS1334" s="235" t="s">
        <v>7365</v>
      </c>
      <c r="AT1334" s="235" t="s">
        <v>155</v>
      </c>
      <c r="AU1334" s="235" t="s">
        <v>634</v>
      </c>
      <c r="AV1334" s="246" t="s">
        <v>635</v>
      </c>
      <c r="AW1334" s="242"/>
      <c r="AX1334" s="242"/>
      <c r="AY1334" s="231"/>
      <c r="AZ1334" s="231"/>
      <c r="BA1334" s="227"/>
      <c r="BB1334" s="227"/>
      <c r="BC1334" s="227"/>
      <c r="BD1334" s="227"/>
      <c r="BE1334" s="227"/>
      <c r="BF1334" s="227"/>
    </row>
    <row r="1335">
      <c r="A1335" s="235" t="s">
        <v>10843</v>
      </c>
      <c r="C1335" s="235" t="s">
        <v>10844</v>
      </c>
      <c r="D1335" s="235" t="s">
        <v>10850</v>
      </c>
      <c r="E1335" s="243">
        <v>6.55E13</v>
      </c>
      <c r="F1335" s="245"/>
      <c r="G1335" s="235" t="s">
        <v>10846</v>
      </c>
      <c r="H1335" s="235" t="s">
        <v>10847</v>
      </c>
      <c r="I1335" s="235" t="s">
        <v>10847</v>
      </c>
      <c r="J1335" s="235" t="s">
        <v>10848</v>
      </c>
      <c r="K1335" s="235" t="s">
        <v>10849</v>
      </c>
      <c r="N1335" s="235" t="s">
        <v>842</v>
      </c>
      <c r="O1335" s="235" t="s">
        <v>843</v>
      </c>
      <c r="P1335" s="238">
        <v>1.0</v>
      </c>
      <c r="Q1335" s="235" t="s">
        <v>627</v>
      </c>
      <c r="R1335" s="238">
        <v>246.67</v>
      </c>
      <c r="S1335" s="238">
        <v>11.96</v>
      </c>
      <c r="T1335" s="238">
        <v>38.1</v>
      </c>
      <c r="U1335" s="238">
        <v>1.9</v>
      </c>
      <c r="V1335" s="238">
        <v>0.0</v>
      </c>
      <c r="W1335" s="238">
        <v>0.0</v>
      </c>
      <c r="X1335" s="235" t="s">
        <v>628</v>
      </c>
      <c r="Z1335" s="244"/>
      <c r="AA1335" s="244"/>
      <c r="AB1335" s="244"/>
      <c r="AC1335" s="235" t="s">
        <v>1843</v>
      </c>
      <c r="AD1335" s="235" t="s">
        <v>645</v>
      </c>
      <c r="AE1335" s="238">
        <v>690521.0</v>
      </c>
      <c r="AF1335" s="235" t="s">
        <v>631</v>
      </c>
      <c r="AG1335" s="244"/>
      <c r="AH1335" s="244"/>
      <c r="AI1335" s="245"/>
      <c r="AJ1335" s="245"/>
      <c r="AK1335" s="245"/>
      <c r="AL1335" s="245"/>
      <c r="AM1335" s="244"/>
      <c r="AN1335" s="244"/>
      <c r="AO1335" s="238">
        <v>-7.4</v>
      </c>
      <c r="AP1335" s="238">
        <v>-38.1</v>
      </c>
      <c r="AQ1335" s="235" t="s">
        <v>632</v>
      </c>
      <c r="AR1335" s="243">
        <v>3.71E11</v>
      </c>
      <c r="AS1335" s="235" t="s">
        <v>7365</v>
      </c>
      <c r="AT1335" s="235" t="s">
        <v>155</v>
      </c>
      <c r="AU1335" s="235" t="s">
        <v>634</v>
      </c>
      <c r="AV1335" s="246" t="s">
        <v>635</v>
      </c>
      <c r="AW1335" s="242"/>
      <c r="AX1335" s="242"/>
      <c r="AY1335" s="231"/>
      <c r="AZ1335" s="231"/>
      <c r="BA1335" s="227"/>
      <c r="BB1335" s="231"/>
      <c r="BC1335" s="227"/>
      <c r="BD1335" s="227"/>
      <c r="BE1335" s="227"/>
      <c r="BF1335" s="227"/>
    </row>
    <row r="1336">
      <c r="A1336" s="235" t="s">
        <v>10851</v>
      </c>
      <c r="C1336" s="235" t="s">
        <v>10852</v>
      </c>
      <c r="D1336" s="235" t="s">
        <v>10853</v>
      </c>
      <c r="E1336" s="243">
        <v>6.55E13</v>
      </c>
      <c r="F1336" s="245"/>
      <c r="G1336" s="235" t="s">
        <v>10854</v>
      </c>
      <c r="H1336" s="235" t="s">
        <v>10855</v>
      </c>
      <c r="I1336" s="235" t="s">
        <v>10855</v>
      </c>
      <c r="J1336" s="235" t="s">
        <v>10856</v>
      </c>
      <c r="K1336" s="235" t="s">
        <v>10857</v>
      </c>
      <c r="N1336" s="235" t="s">
        <v>42</v>
      </c>
      <c r="O1336" s="235" t="s">
        <v>204</v>
      </c>
      <c r="P1336" s="238">
        <v>1.0</v>
      </c>
      <c r="Q1336" s="235" t="s">
        <v>627</v>
      </c>
      <c r="R1336" s="238">
        <v>237.14</v>
      </c>
      <c r="S1336" s="238">
        <v>11.86</v>
      </c>
      <c r="T1336" s="238">
        <v>0.0</v>
      </c>
      <c r="U1336" s="238">
        <v>0.0</v>
      </c>
      <c r="V1336" s="238">
        <v>0.0</v>
      </c>
      <c r="W1336" s="238">
        <v>0.0</v>
      </c>
      <c r="X1336" s="235" t="s">
        <v>628</v>
      </c>
      <c r="Z1336" s="244"/>
      <c r="AA1336" s="244"/>
      <c r="AB1336" s="244"/>
      <c r="AC1336" s="235" t="s">
        <v>678</v>
      </c>
      <c r="AD1336" s="235" t="s">
        <v>679</v>
      </c>
      <c r="AE1336" s="238">
        <v>560048.0</v>
      </c>
      <c r="AF1336" s="235" t="s">
        <v>631</v>
      </c>
      <c r="AG1336" s="244"/>
      <c r="AH1336" s="244"/>
      <c r="AI1336" s="245"/>
      <c r="AJ1336" s="245"/>
      <c r="AK1336" s="245"/>
      <c r="AL1336" s="245"/>
      <c r="AM1336" s="244"/>
      <c r="AN1336" s="244"/>
      <c r="AO1336" s="238">
        <v>0.0</v>
      </c>
      <c r="AP1336" s="238">
        <v>0.0</v>
      </c>
      <c r="AQ1336" s="235" t="s">
        <v>632</v>
      </c>
      <c r="AR1336" s="243">
        <v>1.68E11</v>
      </c>
      <c r="AS1336" s="235" t="s">
        <v>10417</v>
      </c>
      <c r="AT1336" s="235" t="s">
        <v>11</v>
      </c>
      <c r="AU1336" s="235" t="s">
        <v>634</v>
      </c>
      <c r="AV1336" s="246" t="s">
        <v>635</v>
      </c>
      <c r="AW1336" s="242"/>
      <c r="AX1336" s="242"/>
      <c r="AY1336" s="231"/>
      <c r="AZ1336" s="231"/>
      <c r="BA1336" s="227"/>
      <c r="BB1336" s="231"/>
      <c r="BC1336" s="227"/>
      <c r="BD1336" s="227"/>
      <c r="BE1336" s="227"/>
      <c r="BF1336" s="227"/>
    </row>
    <row r="1337">
      <c r="A1337" s="235" t="s">
        <v>10858</v>
      </c>
      <c r="C1337" s="235" t="s">
        <v>10859</v>
      </c>
      <c r="D1337" s="235" t="s">
        <v>10860</v>
      </c>
      <c r="E1337" s="243">
        <v>6.55E13</v>
      </c>
      <c r="F1337" s="245"/>
      <c r="G1337" s="235" t="s">
        <v>10861</v>
      </c>
      <c r="H1337" s="235" t="s">
        <v>10862</v>
      </c>
      <c r="I1337" s="235" t="s">
        <v>10863</v>
      </c>
      <c r="J1337" s="235" t="s">
        <v>10864</v>
      </c>
      <c r="K1337" s="235" t="s">
        <v>10865</v>
      </c>
      <c r="N1337" s="235" t="s">
        <v>90</v>
      </c>
      <c r="O1337" s="235" t="s">
        <v>279</v>
      </c>
      <c r="P1337" s="238">
        <v>1.0</v>
      </c>
      <c r="Q1337" s="235" t="s">
        <v>627</v>
      </c>
      <c r="R1337" s="238">
        <v>246.67</v>
      </c>
      <c r="S1337" s="238">
        <v>12.33</v>
      </c>
      <c r="T1337" s="238">
        <v>0.0</v>
      </c>
      <c r="U1337" s="238">
        <v>0.0</v>
      </c>
      <c r="V1337" s="238">
        <v>0.0</v>
      </c>
      <c r="W1337" s="238">
        <v>0.0</v>
      </c>
      <c r="X1337" s="235" t="s">
        <v>628</v>
      </c>
      <c r="Z1337" s="244"/>
      <c r="AA1337" s="244"/>
      <c r="AB1337" s="244"/>
      <c r="AC1337" s="235" t="s">
        <v>3195</v>
      </c>
      <c r="AD1337" s="235" t="s">
        <v>881</v>
      </c>
      <c r="AE1337" s="238">
        <v>751024.0</v>
      </c>
      <c r="AF1337" s="235" t="s">
        <v>631</v>
      </c>
      <c r="AG1337" s="244"/>
      <c r="AH1337" s="244"/>
      <c r="AI1337" s="245"/>
      <c r="AJ1337" s="245"/>
      <c r="AK1337" s="245"/>
      <c r="AL1337" s="245"/>
      <c r="AM1337" s="244"/>
      <c r="AN1337" s="244"/>
      <c r="AO1337" s="238">
        <v>0.0</v>
      </c>
      <c r="AP1337" s="238">
        <v>0.0</v>
      </c>
      <c r="AQ1337" s="235" t="s">
        <v>632</v>
      </c>
      <c r="AR1337" s="243">
        <v>2.02E11</v>
      </c>
      <c r="AS1337" s="235" t="s">
        <v>10017</v>
      </c>
      <c r="AT1337" s="235" t="s">
        <v>11</v>
      </c>
      <c r="AU1337" s="235" t="s">
        <v>634</v>
      </c>
      <c r="AV1337" s="246" t="s">
        <v>635</v>
      </c>
      <c r="AW1337" s="242"/>
      <c r="AX1337" s="242"/>
      <c r="AY1337" s="231"/>
      <c r="AZ1337" s="231"/>
      <c r="BA1337" s="227"/>
      <c r="BB1337" s="231"/>
      <c r="BC1337" s="227"/>
      <c r="BD1337" s="227"/>
      <c r="BE1337" s="227"/>
      <c r="BF1337" s="227"/>
    </row>
    <row r="1338">
      <c r="A1338" s="235" t="s">
        <v>10866</v>
      </c>
      <c r="C1338" s="235" t="s">
        <v>10867</v>
      </c>
      <c r="D1338" s="235" t="s">
        <v>10868</v>
      </c>
      <c r="E1338" s="243">
        <v>6.55E13</v>
      </c>
      <c r="F1338" s="245"/>
      <c r="G1338" s="235" t="s">
        <v>10869</v>
      </c>
      <c r="H1338" s="235" t="s">
        <v>10870</v>
      </c>
      <c r="I1338" s="235" t="s">
        <v>10870</v>
      </c>
      <c r="J1338" s="235" t="s">
        <v>10871</v>
      </c>
      <c r="K1338" s="235" t="s">
        <v>10872</v>
      </c>
      <c r="N1338" s="235" t="s">
        <v>154</v>
      </c>
      <c r="O1338" s="235" t="s">
        <v>766</v>
      </c>
      <c r="P1338" s="238">
        <v>1.0</v>
      </c>
      <c r="Q1338" s="235" t="s">
        <v>627</v>
      </c>
      <c r="R1338" s="238">
        <v>465.72</v>
      </c>
      <c r="S1338" s="238">
        <v>22.82</v>
      </c>
      <c r="T1338" s="238">
        <v>0.0</v>
      </c>
      <c r="U1338" s="238">
        <v>0.0</v>
      </c>
      <c r="V1338" s="238">
        <v>0.0</v>
      </c>
      <c r="W1338" s="238">
        <v>0.0</v>
      </c>
      <c r="X1338" s="235" t="s">
        <v>628</v>
      </c>
      <c r="Z1338" s="244"/>
      <c r="AA1338" s="244"/>
      <c r="AB1338" s="244"/>
      <c r="AC1338" s="235" t="s">
        <v>844</v>
      </c>
      <c r="AD1338" s="235" t="s">
        <v>845</v>
      </c>
      <c r="AE1338" s="238">
        <v>411014.0</v>
      </c>
      <c r="AF1338" s="235" t="s">
        <v>631</v>
      </c>
      <c r="AG1338" s="244"/>
      <c r="AH1338" s="244"/>
      <c r="AI1338" s="245"/>
      <c r="AJ1338" s="245"/>
      <c r="AK1338" s="245"/>
      <c r="AL1338" s="245"/>
      <c r="AM1338" s="244"/>
      <c r="AN1338" s="244"/>
      <c r="AO1338" s="238">
        <v>-9.32</v>
      </c>
      <c r="AP1338" s="238">
        <v>0.0</v>
      </c>
      <c r="AQ1338" s="235" t="s">
        <v>632</v>
      </c>
      <c r="AR1338" s="243">
        <v>1.68E11</v>
      </c>
      <c r="AS1338" s="235" t="s">
        <v>10017</v>
      </c>
      <c r="AT1338" s="235" t="s">
        <v>16</v>
      </c>
      <c r="AU1338" s="235" t="s">
        <v>634</v>
      </c>
      <c r="AV1338" s="246" t="s">
        <v>635</v>
      </c>
      <c r="AW1338" s="242"/>
      <c r="AX1338" s="242"/>
      <c r="AY1338" s="231"/>
      <c r="AZ1338" s="231"/>
      <c r="BA1338" s="227"/>
      <c r="BB1338" s="231"/>
      <c r="BC1338" s="227"/>
      <c r="BD1338" s="227"/>
      <c r="BE1338" s="227"/>
      <c r="BF1338" s="227"/>
    </row>
    <row r="1339">
      <c r="A1339" s="235" t="s">
        <v>10873</v>
      </c>
      <c r="C1339" s="235" t="s">
        <v>10874</v>
      </c>
      <c r="D1339" s="235" t="s">
        <v>10875</v>
      </c>
      <c r="E1339" s="243">
        <v>6.55E13</v>
      </c>
      <c r="F1339" s="245"/>
      <c r="G1339" s="235" t="s">
        <v>10876</v>
      </c>
      <c r="H1339" s="235" t="s">
        <v>10877</v>
      </c>
      <c r="I1339" s="235" t="s">
        <v>10878</v>
      </c>
      <c r="J1339" s="235" t="s">
        <v>10879</v>
      </c>
      <c r="K1339" s="235" t="s">
        <v>10880</v>
      </c>
      <c r="N1339" s="235" t="s">
        <v>541</v>
      </c>
      <c r="O1339" s="235" t="s">
        <v>664</v>
      </c>
      <c r="P1339" s="238">
        <v>1.0</v>
      </c>
      <c r="Q1339" s="235" t="s">
        <v>627</v>
      </c>
      <c r="R1339" s="238">
        <v>668.64</v>
      </c>
      <c r="S1339" s="238">
        <v>120.36</v>
      </c>
      <c r="T1339" s="238">
        <v>0.0</v>
      </c>
      <c r="U1339" s="238">
        <v>0.0</v>
      </c>
      <c r="V1339" s="238">
        <v>0.0</v>
      </c>
      <c r="W1339" s="238">
        <v>0.0</v>
      </c>
      <c r="X1339" s="235" t="s">
        <v>628</v>
      </c>
      <c r="Z1339" s="244"/>
      <c r="AA1339" s="244"/>
      <c r="AB1339" s="244"/>
      <c r="AC1339" s="235" t="s">
        <v>10881</v>
      </c>
      <c r="AD1339" s="235" t="s">
        <v>645</v>
      </c>
      <c r="AE1339" s="238">
        <v>679121.0</v>
      </c>
      <c r="AF1339" s="235" t="s">
        <v>631</v>
      </c>
      <c r="AG1339" s="244"/>
      <c r="AH1339" s="244"/>
      <c r="AI1339" s="245"/>
      <c r="AJ1339" s="245"/>
      <c r="AK1339" s="245"/>
      <c r="AL1339" s="245"/>
      <c r="AM1339" s="244"/>
      <c r="AN1339" s="244"/>
      <c r="AO1339" s="238">
        <v>0.0</v>
      </c>
      <c r="AP1339" s="238">
        <v>0.0</v>
      </c>
      <c r="AQ1339" s="235" t="s">
        <v>632</v>
      </c>
      <c r="AR1339" s="243">
        <v>3.71E11</v>
      </c>
      <c r="AS1339" s="235" t="s">
        <v>10017</v>
      </c>
      <c r="AT1339" s="235" t="s">
        <v>155</v>
      </c>
      <c r="AU1339" s="235" t="s">
        <v>634</v>
      </c>
      <c r="AV1339" s="246" t="s">
        <v>635</v>
      </c>
      <c r="AW1339" s="242"/>
      <c r="AX1339" s="242"/>
      <c r="AY1339" s="231"/>
      <c r="AZ1339" s="231"/>
      <c r="BA1339" s="227"/>
      <c r="BB1339" s="231"/>
      <c r="BC1339" s="227"/>
      <c r="BD1339" s="227"/>
      <c r="BE1339" s="227"/>
      <c r="BF1339" s="227"/>
    </row>
    <row r="1340">
      <c r="A1340" s="235" t="s">
        <v>10882</v>
      </c>
      <c r="C1340" s="235" t="s">
        <v>10883</v>
      </c>
      <c r="D1340" s="235" t="s">
        <v>10884</v>
      </c>
      <c r="E1340" s="243">
        <v>6.55E13</v>
      </c>
      <c r="F1340" s="245"/>
      <c r="G1340" s="235" t="s">
        <v>10885</v>
      </c>
      <c r="H1340" s="235" t="s">
        <v>10886</v>
      </c>
      <c r="I1340" s="235" t="s">
        <v>10887</v>
      </c>
      <c r="J1340" s="235" t="s">
        <v>10888</v>
      </c>
      <c r="K1340" s="235" t="s">
        <v>10889</v>
      </c>
      <c r="N1340" s="235" t="s">
        <v>962</v>
      </c>
      <c r="O1340" s="235" t="s">
        <v>963</v>
      </c>
      <c r="P1340" s="238">
        <v>1.0</v>
      </c>
      <c r="Q1340" s="235" t="s">
        <v>627</v>
      </c>
      <c r="R1340" s="238">
        <v>246.67</v>
      </c>
      <c r="S1340" s="238">
        <v>12.33</v>
      </c>
      <c r="T1340" s="238">
        <v>0.0</v>
      </c>
      <c r="U1340" s="238">
        <v>0.0</v>
      </c>
      <c r="V1340" s="238">
        <v>0.0</v>
      </c>
      <c r="W1340" s="238">
        <v>0.0</v>
      </c>
      <c r="X1340" s="235" t="s">
        <v>628</v>
      </c>
      <c r="Z1340" s="244"/>
      <c r="AA1340" s="244"/>
      <c r="AB1340" s="244"/>
      <c r="AC1340" s="235" t="s">
        <v>891</v>
      </c>
      <c r="AD1340" s="235" t="s">
        <v>891</v>
      </c>
      <c r="AE1340" s="238">
        <v>605009.0</v>
      </c>
      <c r="AF1340" s="235" t="s">
        <v>631</v>
      </c>
      <c r="AG1340" s="244"/>
      <c r="AH1340" s="244"/>
      <c r="AI1340" s="245"/>
      <c r="AJ1340" s="245"/>
      <c r="AK1340" s="245"/>
      <c r="AL1340" s="245"/>
      <c r="AM1340" s="244"/>
      <c r="AN1340" s="244"/>
      <c r="AO1340" s="238">
        <v>0.0</v>
      </c>
      <c r="AP1340" s="238">
        <v>0.0</v>
      </c>
      <c r="AQ1340" s="235" t="s">
        <v>632</v>
      </c>
      <c r="AR1340" s="243">
        <v>3.71E11</v>
      </c>
      <c r="AS1340" s="235" t="s">
        <v>8807</v>
      </c>
      <c r="AT1340" s="235" t="s">
        <v>155</v>
      </c>
      <c r="AU1340" s="235" t="s">
        <v>634</v>
      </c>
      <c r="AV1340" s="246" t="s">
        <v>635</v>
      </c>
      <c r="AW1340" s="242"/>
      <c r="AX1340" s="242"/>
      <c r="AY1340" s="231"/>
      <c r="AZ1340" s="231"/>
      <c r="BA1340" s="227"/>
      <c r="BB1340" s="231"/>
      <c r="BC1340" s="227"/>
      <c r="BD1340" s="227"/>
      <c r="BE1340" s="227"/>
      <c r="BF1340" s="227"/>
    </row>
    <row r="1341">
      <c r="A1341" s="235" t="s">
        <v>10890</v>
      </c>
      <c r="C1341" s="235" t="s">
        <v>10891</v>
      </c>
      <c r="D1341" s="235" t="s">
        <v>10892</v>
      </c>
      <c r="E1341" s="243">
        <v>6.55E13</v>
      </c>
      <c r="F1341" s="245"/>
      <c r="G1341" s="235" t="s">
        <v>10893</v>
      </c>
      <c r="H1341" s="235" t="s">
        <v>10894</v>
      </c>
      <c r="I1341" s="235" t="s">
        <v>10894</v>
      </c>
      <c r="J1341" s="235" t="s">
        <v>10895</v>
      </c>
      <c r="K1341" s="235" t="s">
        <v>10896</v>
      </c>
      <c r="N1341" s="235" t="s">
        <v>1346</v>
      </c>
      <c r="O1341" s="235" t="s">
        <v>1347</v>
      </c>
      <c r="P1341" s="238">
        <v>1.0</v>
      </c>
      <c r="Q1341" s="235" t="s">
        <v>627</v>
      </c>
      <c r="R1341" s="238">
        <v>256.19</v>
      </c>
      <c r="S1341" s="238">
        <v>12.81</v>
      </c>
      <c r="T1341" s="238">
        <v>0.0</v>
      </c>
      <c r="U1341" s="238">
        <v>0.0</v>
      </c>
      <c r="V1341" s="238">
        <v>0.0</v>
      </c>
      <c r="W1341" s="238">
        <v>0.0</v>
      </c>
      <c r="X1341" s="235" t="s">
        <v>628</v>
      </c>
      <c r="Z1341" s="244"/>
      <c r="AA1341" s="244"/>
      <c r="AB1341" s="244"/>
      <c r="AC1341" s="235" t="s">
        <v>844</v>
      </c>
      <c r="AD1341" s="235" t="s">
        <v>845</v>
      </c>
      <c r="AE1341" s="238">
        <v>411045.0</v>
      </c>
      <c r="AF1341" s="235" t="s">
        <v>631</v>
      </c>
      <c r="AG1341" s="244"/>
      <c r="AH1341" s="244"/>
      <c r="AI1341" s="245"/>
      <c r="AJ1341" s="245"/>
      <c r="AK1341" s="245"/>
      <c r="AL1341" s="245"/>
      <c r="AM1341" s="244"/>
      <c r="AN1341" s="244"/>
      <c r="AO1341" s="238">
        <v>0.0</v>
      </c>
      <c r="AP1341" s="238">
        <v>0.0</v>
      </c>
      <c r="AQ1341" s="235" t="s">
        <v>632</v>
      </c>
      <c r="AR1341" s="243">
        <v>2.02E11</v>
      </c>
      <c r="AS1341" s="235" t="s">
        <v>10017</v>
      </c>
      <c r="AT1341" s="235" t="s">
        <v>9</v>
      </c>
      <c r="AU1341" s="235" t="s">
        <v>634</v>
      </c>
      <c r="AV1341" s="246" t="s">
        <v>635</v>
      </c>
      <c r="AW1341" s="242"/>
      <c r="AX1341" s="242"/>
      <c r="AY1341" s="231"/>
      <c r="AZ1341" s="231"/>
      <c r="BA1341" s="227"/>
      <c r="BB1341" s="231"/>
      <c r="BC1341" s="227"/>
      <c r="BD1341" s="227"/>
      <c r="BE1341" s="227"/>
      <c r="BF1341" s="227"/>
    </row>
    <row r="1342">
      <c r="A1342" s="235" t="s">
        <v>10897</v>
      </c>
      <c r="C1342" s="235" t="s">
        <v>10898</v>
      </c>
      <c r="D1342" s="235" t="s">
        <v>10899</v>
      </c>
      <c r="E1342" s="243">
        <v>6.55E13</v>
      </c>
      <c r="F1342" s="245"/>
      <c r="G1342" s="235" t="s">
        <v>10900</v>
      </c>
      <c r="H1342" s="235" t="s">
        <v>10901</v>
      </c>
      <c r="I1342" s="235" t="s">
        <v>10901</v>
      </c>
      <c r="J1342" s="235" t="s">
        <v>10902</v>
      </c>
      <c r="K1342" s="235" t="s">
        <v>10903</v>
      </c>
      <c r="N1342" s="235" t="s">
        <v>51</v>
      </c>
      <c r="O1342" s="235" t="s">
        <v>273</v>
      </c>
      <c r="P1342" s="238">
        <v>1.0</v>
      </c>
      <c r="Q1342" s="235" t="s">
        <v>627</v>
      </c>
      <c r="R1342" s="238">
        <v>237.14</v>
      </c>
      <c r="S1342" s="238">
        <v>11.86</v>
      </c>
      <c r="T1342" s="238">
        <v>0.0</v>
      </c>
      <c r="U1342" s="238">
        <v>0.0</v>
      </c>
      <c r="V1342" s="238">
        <v>0.0</v>
      </c>
      <c r="W1342" s="238">
        <v>0.0</v>
      </c>
      <c r="X1342" s="235" t="s">
        <v>628</v>
      </c>
      <c r="Z1342" s="244"/>
      <c r="AA1342" s="244"/>
      <c r="AB1342" s="244"/>
      <c r="AC1342" s="235" t="s">
        <v>678</v>
      </c>
      <c r="AD1342" s="235" t="s">
        <v>679</v>
      </c>
      <c r="AE1342" s="238">
        <v>560100.0</v>
      </c>
      <c r="AF1342" s="235" t="s">
        <v>631</v>
      </c>
      <c r="AG1342" s="244"/>
      <c r="AH1342" s="244"/>
      <c r="AI1342" s="245"/>
      <c r="AJ1342" s="245"/>
      <c r="AK1342" s="245"/>
      <c r="AL1342" s="245"/>
      <c r="AM1342" s="244"/>
      <c r="AN1342" s="244"/>
      <c r="AO1342" s="238">
        <v>0.0</v>
      </c>
      <c r="AP1342" s="238">
        <v>0.0</v>
      </c>
      <c r="AQ1342" s="235" t="s">
        <v>632</v>
      </c>
      <c r="AR1342" s="243">
        <v>3.71E11</v>
      </c>
      <c r="AS1342" s="235" t="s">
        <v>10017</v>
      </c>
      <c r="AT1342" s="235" t="s">
        <v>9</v>
      </c>
      <c r="AU1342" s="235" t="s">
        <v>634</v>
      </c>
      <c r="AV1342" s="246" t="s">
        <v>635</v>
      </c>
      <c r="AW1342" s="242"/>
      <c r="AX1342" s="242"/>
      <c r="AY1342" s="231"/>
      <c r="AZ1342" s="231"/>
      <c r="BA1342" s="227"/>
      <c r="BB1342" s="231"/>
      <c r="BC1342" s="227"/>
      <c r="BD1342" s="227"/>
      <c r="BE1342" s="227"/>
      <c r="BF1342" s="227"/>
    </row>
    <row r="1343">
      <c r="A1343" s="235" t="s">
        <v>10904</v>
      </c>
      <c r="C1343" s="235" t="s">
        <v>10905</v>
      </c>
      <c r="D1343" s="235" t="s">
        <v>10906</v>
      </c>
      <c r="E1343" s="243">
        <v>6.55E13</v>
      </c>
      <c r="F1343" s="245"/>
      <c r="G1343" s="235" t="s">
        <v>10907</v>
      </c>
      <c r="H1343" s="235" t="s">
        <v>10908</v>
      </c>
      <c r="I1343" s="235" t="s">
        <v>10908</v>
      </c>
      <c r="J1343" s="235" t="s">
        <v>10909</v>
      </c>
      <c r="K1343" s="235" t="s">
        <v>6156</v>
      </c>
      <c r="N1343" s="235" t="s">
        <v>842</v>
      </c>
      <c r="O1343" s="235" t="s">
        <v>843</v>
      </c>
      <c r="P1343" s="238">
        <v>1.0</v>
      </c>
      <c r="Q1343" s="235" t="s">
        <v>627</v>
      </c>
      <c r="R1343" s="238">
        <v>246.66</v>
      </c>
      <c r="S1343" s="238">
        <v>12.34</v>
      </c>
      <c r="T1343" s="238">
        <v>56.2</v>
      </c>
      <c r="U1343" s="238">
        <v>2.8</v>
      </c>
      <c r="V1343" s="238">
        <v>0.0</v>
      </c>
      <c r="W1343" s="238">
        <v>0.0</v>
      </c>
      <c r="X1343" s="235" t="s">
        <v>628</v>
      </c>
      <c r="Z1343" s="244"/>
      <c r="AA1343" s="244"/>
      <c r="AB1343" s="244"/>
      <c r="AC1343" s="235" t="s">
        <v>1382</v>
      </c>
      <c r="AD1343" s="235" t="s">
        <v>679</v>
      </c>
      <c r="AE1343" s="238">
        <v>590016.0</v>
      </c>
      <c r="AF1343" s="235" t="s">
        <v>631</v>
      </c>
      <c r="AG1343" s="244"/>
      <c r="AH1343" s="244"/>
      <c r="AI1343" s="245"/>
      <c r="AJ1343" s="245"/>
      <c r="AK1343" s="245"/>
      <c r="AL1343" s="245"/>
      <c r="AM1343" s="244"/>
      <c r="AN1343" s="244"/>
      <c r="AO1343" s="238">
        <v>0.0</v>
      </c>
      <c r="AP1343" s="238">
        <v>-56.2</v>
      </c>
      <c r="AQ1343" s="235" t="s">
        <v>632</v>
      </c>
      <c r="AR1343" s="243">
        <v>1.68E11</v>
      </c>
      <c r="AS1343" s="235" t="s">
        <v>8807</v>
      </c>
      <c r="AT1343" s="235" t="s">
        <v>11</v>
      </c>
      <c r="AU1343" s="235" t="s">
        <v>634</v>
      </c>
      <c r="AV1343" s="246" t="s">
        <v>635</v>
      </c>
      <c r="AW1343" s="242"/>
      <c r="AX1343" s="242"/>
      <c r="AY1343" s="231"/>
      <c r="AZ1343" s="231"/>
      <c r="BA1343" s="227"/>
      <c r="BB1343" s="231"/>
      <c r="BC1343" s="227"/>
      <c r="BD1343" s="227"/>
      <c r="BE1343" s="227"/>
      <c r="BF1343" s="227"/>
    </row>
    <row r="1344">
      <c r="A1344" s="235" t="s">
        <v>10910</v>
      </c>
      <c r="C1344" s="235" t="s">
        <v>10911</v>
      </c>
      <c r="D1344" s="235" t="s">
        <v>10912</v>
      </c>
      <c r="E1344" s="243">
        <v>6.55E13</v>
      </c>
      <c r="F1344" s="245"/>
      <c r="G1344" s="235" t="s">
        <v>10913</v>
      </c>
      <c r="H1344" s="235" t="s">
        <v>10914</v>
      </c>
      <c r="I1344" s="235" t="s">
        <v>10915</v>
      </c>
      <c r="J1344" s="235" t="s">
        <v>10916</v>
      </c>
      <c r="K1344" s="235" t="s">
        <v>10917</v>
      </c>
      <c r="N1344" s="235" t="s">
        <v>42</v>
      </c>
      <c r="O1344" s="235" t="s">
        <v>204</v>
      </c>
      <c r="P1344" s="238">
        <v>1.0</v>
      </c>
      <c r="Q1344" s="235" t="s">
        <v>627</v>
      </c>
      <c r="R1344" s="238">
        <v>237.14</v>
      </c>
      <c r="S1344" s="238">
        <v>11.86</v>
      </c>
      <c r="T1344" s="238">
        <v>38.1</v>
      </c>
      <c r="U1344" s="238">
        <v>1.9</v>
      </c>
      <c r="V1344" s="238">
        <v>0.0</v>
      </c>
      <c r="W1344" s="238">
        <v>0.0</v>
      </c>
      <c r="X1344" s="235" t="s">
        <v>628</v>
      </c>
      <c r="Z1344" s="244"/>
      <c r="AA1344" s="244"/>
      <c r="AB1344" s="244"/>
      <c r="AC1344" s="235" t="s">
        <v>697</v>
      </c>
      <c r="AD1344" s="235" t="s">
        <v>698</v>
      </c>
      <c r="AE1344" s="238">
        <v>500074.0</v>
      </c>
      <c r="AF1344" s="235" t="s">
        <v>631</v>
      </c>
      <c r="AG1344" s="244"/>
      <c r="AH1344" s="244"/>
      <c r="AI1344" s="245"/>
      <c r="AJ1344" s="245"/>
      <c r="AK1344" s="245"/>
      <c r="AL1344" s="245"/>
      <c r="AM1344" s="244"/>
      <c r="AN1344" s="244"/>
      <c r="AO1344" s="238">
        <v>0.0</v>
      </c>
      <c r="AP1344" s="238">
        <v>-38.1</v>
      </c>
      <c r="AQ1344" s="235" t="s">
        <v>632</v>
      </c>
      <c r="AR1344" s="243">
        <v>3.71E11</v>
      </c>
      <c r="AS1344" s="235" t="s">
        <v>8807</v>
      </c>
      <c r="AT1344" s="235" t="s">
        <v>11</v>
      </c>
      <c r="AU1344" s="235" t="s">
        <v>634</v>
      </c>
      <c r="AV1344" s="246" t="s">
        <v>635</v>
      </c>
      <c r="AW1344" s="242"/>
      <c r="AX1344" s="242"/>
      <c r="AY1344" s="231"/>
      <c r="AZ1344" s="231"/>
      <c r="BA1344" s="227"/>
      <c r="BB1344" s="231"/>
      <c r="BC1344" s="227"/>
      <c r="BD1344" s="227"/>
      <c r="BE1344" s="227"/>
      <c r="BF1344" s="227"/>
    </row>
    <row r="1345">
      <c r="A1345" s="235" t="s">
        <v>10919</v>
      </c>
      <c r="C1345" s="235" t="s">
        <v>10920</v>
      </c>
      <c r="D1345" s="235" t="s">
        <v>10921</v>
      </c>
      <c r="E1345" s="243">
        <v>6.55E13</v>
      </c>
      <c r="F1345" s="245"/>
      <c r="G1345" s="235" t="s">
        <v>10922</v>
      </c>
      <c r="H1345" s="235" t="s">
        <v>10923</v>
      </c>
      <c r="I1345" s="235" t="s">
        <v>10923</v>
      </c>
      <c r="J1345" s="235" t="s">
        <v>10924</v>
      </c>
      <c r="K1345" s="235" t="s">
        <v>10925</v>
      </c>
      <c r="N1345" s="235" t="s">
        <v>85</v>
      </c>
      <c r="O1345" s="235" t="s">
        <v>872</v>
      </c>
      <c r="P1345" s="238">
        <v>1.0</v>
      </c>
      <c r="Q1345" s="235" t="s">
        <v>627</v>
      </c>
      <c r="R1345" s="238">
        <v>246.67</v>
      </c>
      <c r="S1345" s="238">
        <v>12.33</v>
      </c>
      <c r="T1345" s="238">
        <v>0.0</v>
      </c>
      <c r="U1345" s="238">
        <v>0.0</v>
      </c>
      <c r="V1345" s="238">
        <v>0.0</v>
      </c>
      <c r="W1345" s="238">
        <v>0.0</v>
      </c>
      <c r="X1345" s="235" t="s">
        <v>628</v>
      </c>
      <c r="Z1345" s="244"/>
      <c r="AA1345" s="244"/>
      <c r="AB1345" s="244"/>
      <c r="AC1345" s="235" t="s">
        <v>1085</v>
      </c>
      <c r="AD1345" s="235" t="s">
        <v>1086</v>
      </c>
      <c r="AE1345" s="238">
        <v>141008.0</v>
      </c>
      <c r="AF1345" s="235" t="s">
        <v>631</v>
      </c>
      <c r="AG1345" s="244"/>
      <c r="AH1345" s="244"/>
      <c r="AI1345" s="245"/>
      <c r="AJ1345" s="245"/>
      <c r="AK1345" s="245"/>
      <c r="AL1345" s="245"/>
      <c r="AM1345" s="244"/>
      <c r="AN1345" s="244"/>
      <c r="AO1345" s="238">
        <v>0.0</v>
      </c>
      <c r="AP1345" s="238">
        <v>0.0</v>
      </c>
      <c r="AQ1345" s="235" t="s">
        <v>632</v>
      </c>
      <c r="AR1345" s="243">
        <v>3.71E11</v>
      </c>
      <c r="AS1345" s="235" t="s">
        <v>8807</v>
      </c>
      <c r="AT1345" s="235" t="s">
        <v>14</v>
      </c>
      <c r="AU1345" s="235" t="s">
        <v>634</v>
      </c>
      <c r="AV1345" s="246" t="s">
        <v>635</v>
      </c>
      <c r="AW1345" s="242"/>
      <c r="AX1345" s="242"/>
      <c r="AY1345" s="231"/>
      <c r="AZ1345" s="231"/>
      <c r="BA1345" s="227"/>
      <c r="BB1345" s="231"/>
      <c r="BC1345" s="227"/>
      <c r="BD1345" s="227"/>
      <c r="BE1345" s="227"/>
      <c r="BF1345" s="227"/>
    </row>
    <row r="1346">
      <c r="A1346" s="235" t="s">
        <v>10926</v>
      </c>
      <c r="C1346" s="235" t="s">
        <v>10927</v>
      </c>
      <c r="D1346" s="235" t="s">
        <v>10928</v>
      </c>
      <c r="E1346" s="243">
        <v>6.55E13</v>
      </c>
      <c r="F1346" s="245"/>
      <c r="G1346" s="235" t="s">
        <v>10929</v>
      </c>
      <c r="H1346" s="235" t="s">
        <v>10930</v>
      </c>
      <c r="I1346" s="235" t="s">
        <v>10930</v>
      </c>
      <c r="J1346" s="235" t="s">
        <v>10931</v>
      </c>
      <c r="K1346" s="235" t="s">
        <v>10932</v>
      </c>
      <c r="N1346" s="235" t="s">
        <v>92</v>
      </c>
      <c r="O1346" s="235" t="s">
        <v>248</v>
      </c>
      <c r="P1346" s="238">
        <v>1.0</v>
      </c>
      <c r="Q1346" s="235" t="s">
        <v>627</v>
      </c>
      <c r="R1346" s="238">
        <v>246.66</v>
      </c>
      <c r="S1346" s="238">
        <v>12.34</v>
      </c>
      <c r="T1346" s="238">
        <v>38.1</v>
      </c>
      <c r="U1346" s="238">
        <v>1.9</v>
      </c>
      <c r="V1346" s="238">
        <v>0.0</v>
      </c>
      <c r="W1346" s="238">
        <v>0.0</v>
      </c>
      <c r="X1346" s="235" t="s">
        <v>628</v>
      </c>
      <c r="Z1346" s="244"/>
      <c r="AA1346" s="244"/>
      <c r="AB1346" s="244"/>
      <c r="AC1346" s="235" t="s">
        <v>10769</v>
      </c>
      <c r="AD1346" s="235" t="s">
        <v>845</v>
      </c>
      <c r="AE1346" s="238">
        <v>422009.0</v>
      </c>
      <c r="AF1346" s="235" t="s">
        <v>631</v>
      </c>
      <c r="AG1346" s="244"/>
      <c r="AH1346" s="244"/>
      <c r="AI1346" s="245"/>
      <c r="AJ1346" s="245"/>
      <c r="AK1346" s="245"/>
      <c r="AL1346" s="245"/>
      <c r="AM1346" s="244"/>
      <c r="AN1346" s="244"/>
      <c r="AO1346" s="238">
        <v>0.0</v>
      </c>
      <c r="AP1346" s="238">
        <v>-38.1</v>
      </c>
      <c r="AQ1346" s="235" t="s">
        <v>632</v>
      </c>
      <c r="AR1346" s="243">
        <v>3.71E11</v>
      </c>
      <c r="AS1346" s="235" t="s">
        <v>10017</v>
      </c>
      <c r="AT1346" s="235" t="s">
        <v>17</v>
      </c>
      <c r="AU1346" s="235" t="s">
        <v>634</v>
      </c>
      <c r="AV1346" s="246" t="s">
        <v>635</v>
      </c>
      <c r="AW1346" s="242"/>
      <c r="AX1346" s="242"/>
      <c r="AY1346" s="231"/>
      <c r="AZ1346" s="231"/>
      <c r="BA1346" s="227"/>
      <c r="BB1346" s="231"/>
      <c r="BC1346" s="227"/>
      <c r="BD1346" s="227"/>
      <c r="BE1346" s="227"/>
      <c r="BF1346" s="227"/>
    </row>
    <row r="1347">
      <c r="A1347" s="235" t="s">
        <v>10933</v>
      </c>
      <c r="C1347" s="235" t="s">
        <v>10934</v>
      </c>
      <c r="D1347" s="235" t="s">
        <v>10935</v>
      </c>
      <c r="E1347" s="243">
        <v>6.55E13</v>
      </c>
      <c r="F1347" s="245"/>
      <c r="G1347" s="235" t="s">
        <v>10936</v>
      </c>
      <c r="H1347" s="235" t="s">
        <v>10937</v>
      </c>
      <c r="I1347" s="235" t="s">
        <v>10937</v>
      </c>
      <c r="J1347" s="235" t="s">
        <v>10938</v>
      </c>
      <c r="K1347" s="235" t="s">
        <v>10939</v>
      </c>
      <c r="N1347" s="235" t="s">
        <v>15</v>
      </c>
      <c r="O1347" s="235" t="s">
        <v>856</v>
      </c>
      <c r="P1347" s="238">
        <v>1.0</v>
      </c>
      <c r="Q1347" s="235" t="s">
        <v>627</v>
      </c>
      <c r="R1347" s="238">
        <v>357.14</v>
      </c>
      <c r="S1347" s="238">
        <v>17.86</v>
      </c>
      <c r="T1347" s="238">
        <v>38.1</v>
      </c>
      <c r="U1347" s="238">
        <v>1.9</v>
      </c>
      <c r="V1347" s="238">
        <v>0.0</v>
      </c>
      <c r="W1347" s="238">
        <v>0.0</v>
      </c>
      <c r="X1347" s="235" t="s">
        <v>628</v>
      </c>
      <c r="Z1347" s="244"/>
      <c r="AA1347" s="244"/>
      <c r="AB1347" s="244"/>
      <c r="AC1347" s="235" t="s">
        <v>10940</v>
      </c>
      <c r="AD1347" s="235" t="s">
        <v>645</v>
      </c>
      <c r="AE1347" s="238">
        <v>682030.0</v>
      </c>
      <c r="AF1347" s="235" t="s">
        <v>631</v>
      </c>
      <c r="AG1347" s="244"/>
      <c r="AH1347" s="244"/>
      <c r="AI1347" s="245"/>
      <c r="AJ1347" s="245"/>
      <c r="AK1347" s="245"/>
      <c r="AL1347" s="245"/>
      <c r="AM1347" s="244"/>
      <c r="AN1347" s="244"/>
      <c r="AO1347" s="238">
        <v>0.0</v>
      </c>
      <c r="AP1347" s="238">
        <v>-38.1</v>
      </c>
      <c r="AQ1347" s="235" t="s">
        <v>632</v>
      </c>
      <c r="AR1347" s="243">
        <v>3.71E11</v>
      </c>
      <c r="AS1347" s="235" t="s">
        <v>8807</v>
      </c>
      <c r="AT1347" s="235" t="s">
        <v>155</v>
      </c>
      <c r="AU1347" s="235" t="s">
        <v>634</v>
      </c>
      <c r="AV1347" s="246" t="s">
        <v>635</v>
      </c>
      <c r="AW1347" s="242"/>
      <c r="AX1347" s="242"/>
      <c r="AY1347" s="231"/>
      <c r="AZ1347" s="231"/>
      <c r="BA1347" s="227"/>
      <c r="BB1347" s="231"/>
      <c r="BC1347" s="227"/>
      <c r="BD1347" s="227"/>
      <c r="BE1347" s="227"/>
      <c r="BF1347" s="227"/>
    </row>
    <row r="1348">
      <c r="A1348" s="235" t="s">
        <v>10941</v>
      </c>
      <c r="C1348" s="235" t="s">
        <v>10942</v>
      </c>
      <c r="D1348" s="235" t="s">
        <v>10943</v>
      </c>
      <c r="E1348" s="243">
        <v>6.55E13</v>
      </c>
      <c r="F1348" s="245"/>
      <c r="G1348" s="235" t="s">
        <v>10944</v>
      </c>
      <c r="H1348" s="235" t="s">
        <v>10945</v>
      </c>
      <c r="I1348" s="235" t="s">
        <v>10945</v>
      </c>
      <c r="J1348" s="235" t="s">
        <v>10946</v>
      </c>
      <c r="K1348" s="235" t="s">
        <v>10947</v>
      </c>
      <c r="N1348" s="235" t="s">
        <v>726</v>
      </c>
      <c r="O1348" s="235" t="s">
        <v>727</v>
      </c>
      <c r="P1348" s="238">
        <v>1.0</v>
      </c>
      <c r="Q1348" s="235" t="s">
        <v>627</v>
      </c>
      <c r="R1348" s="238">
        <v>246.67</v>
      </c>
      <c r="S1348" s="238">
        <v>12.33</v>
      </c>
      <c r="T1348" s="238">
        <v>0.0</v>
      </c>
      <c r="U1348" s="238">
        <v>0.0</v>
      </c>
      <c r="V1348" s="238">
        <v>0.0</v>
      </c>
      <c r="W1348" s="238">
        <v>0.0</v>
      </c>
      <c r="X1348" s="235" t="s">
        <v>628</v>
      </c>
      <c r="Z1348" s="244"/>
      <c r="AA1348" s="244"/>
      <c r="AB1348" s="244"/>
      <c r="AC1348" s="235" t="s">
        <v>8056</v>
      </c>
      <c r="AD1348" s="235" t="s">
        <v>666</v>
      </c>
      <c r="AE1348" s="238">
        <v>638002.0</v>
      </c>
      <c r="AF1348" s="235" t="s">
        <v>631</v>
      </c>
      <c r="AG1348" s="244"/>
      <c r="AH1348" s="244"/>
      <c r="AI1348" s="245"/>
      <c r="AJ1348" s="245"/>
      <c r="AK1348" s="245"/>
      <c r="AL1348" s="245"/>
      <c r="AM1348" s="244"/>
      <c r="AN1348" s="244"/>
      <c r="AO1348" s="238">
        <v>0.0</v>
      </c>
      <c r="AP1348" s="238">
        <v>0.0</v>
      </c>
      <c r="AQ1348" s="235" t="s">
        <v>632</v>
      </c>
      <c r="AR1348" s="243">
        <v>3.71E11</v>
      </c>
      <c r="AS1348" s="235" t="s">
        <v>8807</v>
      </c>
      <c r="AT1348" s="235" t="s">
        <v>11</v>
      </c>
      <c r="AU1348" s="235" t="s">
        <v>634</v>
      </c>
      <c r="AV1348" s="246" t="s">
        <v>635</v>
      </c>
      <c r="AW1348" s="242"/>
      <c r="AX1348" s="242"/>
      <c r="AY1348" s="231"/>
      <c r="AZ1348" s="231"/>
      <c r="BA1348" s="227"/>
      <c r="BB1348" s="231"/>
      <c r="BC1348" s="227"/>
      <c r="BD1348" s="227"/>
      <c r="BE1348" s="227"/>
      <c r="BF1348" s="227"/>
    </row>
    <row r="1349">
      <c r="A1349" s="235" t="s">
        <v>10948</v>
      </c>
      <c r="C1349" s="235" t="s">
        <v>10949</v>
      </c>
      <c r="D1349" s="235" t="s">
        <v>10950</v>
      </c>
      <c r="E1349" s="243">
        <v>6.55E13</v>
      </c>
      <c r="F1349" s="245"/>
      <c r="G1349" s="235" t="s">
        <v>10951</v>
      </c>
      <c r="H1349" s="235" t="s">
        <v>10952</v>
      </c>
      <c r="I1349" s="235" t="s">
        <v>10952</v>
      </c>
      <c r="J1349" s="235" t="s">
        <v>10953</v>
      </c>
      <c r="K1349" s="235" t="s">
        <v>10954</v>
      </c>
      <c r="N1349" s="235" t="s">
        <v>51</v>
      </c>
      <c r="O1349" s="235" t="s">
        <v>273</v>
      </c>
      <c r="P1349" s="238">
        <v>1.0</v>
      </c>
      <c r="Q1349" s="235" t="s">
        <v>627</v>
      </c>
      <c r="R1349" s="238">
        <v>237.14</v>
      </c>
      <c r="S1349" s="238">
        <v>11.86</v>
      </c>
      <c r="T1349" s="238">
        <v>0.0</v>
      </c>
      <c r="U1349" s="238">
        <v>0.0</v>
      </c>
      <c r="V1349" s="238">
        <v>0.0</v>
      </c>
      <c r="W1349" s="238">
        <v>0.0</v>
      </c>
      <c r="X1349" s="235" t="s">
        <v>628</v>
      </c>
      <c r="Z1349" s="244"/>
      <c r="AA1349" s="244"/>
      <c r="AB1349" s="244"/>
      <c r="AC1349" s="235" t="s">
        <v>5138</v>
      </c>
      <c r="AD1349" s="235" t="s">
        <v>833</v>
      </c>
      <c r="AE1349" s="238">
        <v>524137.0</v>
      </c>
      <c r="AF1349" s="235" t="s">
        <v>631</v>
      </c>
      <c r="AG1349" s="244"/>
      <c r="AH1349" s="244"/>
      <c r="AI1349" s="245"/>
      <c r="AJ1349" s="245"/>
      <c r="AK1349" s="245"/>
      <c r="AL1349" s="245"/>
      <c r="AM1349" s="244"/>
      <c r="AN1349" s="244"/>
      <c r="AO1349" s="238">
        <v>0.0</v>
      </c>
      <c r="AP1349" s="238">
        <v>0.0</v>
      </c>
      <c r="AQ1349" s="235" t="s">
        <v>632</v>
      </c>
      <c r="AR1349" s="243">
        <v>3.71E11</v>
      </c>
      <c r="AS1349" s="235" t="s">
        <v>10017</v>
      </c>
      <c r="AT1349" s="235" t="s">
        <v>156</v>
      </c>
      <c r="AU1349" s="235" t="s">
        <v>634</v>
      </c>
      <c r="AV1349" s="246" t="s">
        <v>635</v>
      </c>
      <c r="AW1349" s="242"/>
      <c r="AX1349" s="242"/>
      <c r="AY1349" s="231"/>
      <c r="AZ1349" s="231"/>
      <c r="BA1349" s="227"/>
      <c r="BB1349" s="231"/>
      <c r="BC1349" s="227"/>
      <c r="BD1349" s="227"/>
      <c r="BE1349" s="227"/>
      <c r="BF1349" s="227"/>
    </row>
    <row r="1350">
      <c r="A1350" s="235" t="s">
        <v>10955</v>
      </c>
      <c r="C1350" s="235" t="s">
        <v>10956</v>
      </c>
      <c r="D1350" s="235" t="s">
        <v>10957</v>
      </c>
      <c r="E1350" s="243">
        <v>6.55E13</v>
      </c>
      <c r="F1350" s="245"/>
      <c r="G1350" s="235" t="s">
        <v>10958</v>
      </c>
      <c r="H1350" s="235" t="s">
        <v>10959</v>
      </c>
      <c r="I1350" s="235" t="s">
        <v>10960</v>
      </c>
      <c r="J1350" s="235" t="s">
        <v>10961</v>
      </c>
      <c r="K1350" s="235" t="s">
        <v>5877</v>
      </c>
      <c r="N1350" s="235" t="s">
        <v>1646</v>
      </c>
      <c r="O1350" s="235" t="s">
        <v>1647</v>
      </c>
      <c r="P1350" s="238">
        <v>1.0</v>
      </c>
      <c r="Q1350" s="235" t="s">
        <v>627</v>
      </c>
      <c r="R1350" s="238">
        <v>270.48</v>
      </c>
      <c r="S1350" s="238">
        <v>13.52</v>
      </c>
      <c r="T1350" s="238">
        <v>0.0</v>
      </c>
      <c r="U1350" s="238">
        <v>0.0</v>
      </c>
      <c r="V1350" s="238">
        <v>0.0</v>
      </c>
      <c r="W1350" s="238">
        <v>0.0</v>
      </c>
      <c r="X1350" s="235" t="s">
        <v>628</v>
      </c>
      <c r="Z1350" s="244"/>
      <c r="AA1350" s="244"/>
      <c r="AB1350" s="244"/>
      <c r="AC1350" s="235" t="s">
        <v>687</v>
      </c>
      <c r="AD1350" s="235" t="s">
        <v>666</v>
      </c>
      <c r="AE1350" s="238">
        <v>600052.0</v>
      </c>
      <c r="AF1350" s="235" t="s">
        <v>631</v>
      </c>
      <c r="AG1350" s="244"/>
      <c r="AH1350" s="244"/>
      <c r="AI1350" s="245"/>
      <c r="AJ1350" s="245"/>
      <c r="AK1350" s="245"/>
      <c r="AL1350" s="245"/>
      <c r="AM1350" s="244"/>
      <c r="AN1350" s="244"/>
      <c r="AO1350" s="238">
        <v>0.0</v>
      </c>
      <c r="AP1350" s="238">
        <v>0.0</v>
      </c>
      <c r="AQ1350" s="235" t="s">
        <v>632</v>
      </c>
      <c r="AR1350" s="243">
        <v>3.71E11</v>
      </c>
      <c r="AS1350" s="235" t="s">
        <v>8807</v>
      </c>
      <c r="AT1350" s="235" t="s">
        <v>156</v>
      </c>
      <c r="AU1350" s="235" t="s">
        <v>634</v>
      </c>
      <c r="AV1350" s="246" t="s">
        <v>635</v>
      </c>
      <c r="AW1350" s="242"/>
      <c r="AX1350" s="242"/>
      <c r="AY1350" s="231"/>
      <c r="AZ1350" s="231"/>
      <c r="BA1350" s="227"/>
      <c r="BB1350" s="231"/>
      <c r="BC1350" s="227"/>
      <c r="BD1350" s="227"/>
      <c r="BE1350" s="227"/>
      <c r="BF1350" s="227"/>
    </row>
    <row r="1351">
      <c r="A1351" s="235" t="s">
        <v>10962</v>
      </c>
      <c r="C1351" s="235" t="s">
        <v>10963</v>
      </c>
      <c r="D1351" s="235" t="s">
        <v>10964</v>
      </c>
      <c r="E1351" s="243">
        <v>6.55E13</v>
      </c>
      <c r="F1351" s="245"/>
      <c r="G1351" s="235" t="s">
        <v>10965</v>
      </c>
      <c r="H1351" s="235" t="s">
        <v>10966</v>
      </c>
      <c r="I1351" s="235" t="s">
        <v>10966</v>
      </c>
      <c r="J1351" s="235" t="s">
        <v>10967</v>
      </c>
      <c r="K1351" s="235" t="s">
        <v>10968</v>
      </c>
      <c r="N1351" s="235" t="s">
        <v>127</v>
      </c>
      <c r="O1351" s="235" t="s">
        <v>794</v>
      </c>
      <c r="P1351" s="238">
        <v>1.0</v>
      </c>
      <c r="Q1351" s="235" t="s">
        <v>627</v>
      </c>
      <c r="R1351" s="238">
        <v>246.67</v>
      </c>
      <c r="S1351" s="238">
        <v>12.33</v>
      </c>
      <c r="T1351" s="238">
        <v>18.1</v>
      </c>
      <c r="U1351" s="238">
        <v>0.9</v>
      </c>
      <c r="V1351" s="238">
        <v>0.0</v>
      </c>
      <c r="W1351" s="238">
        <v>0.0</v>
      </c>
      <c r="X1351" s="235" t="s">
        <v>628</v>
      </c>
      <c r="Z1351" s="244"/>
      <c r="AA1351" s="244"/>
      <c r="AB1351" s="244"/>
      <c r="AC1351" s="235" t="s">
        <v>795</v>
      </c>
      <c r="AD1351" s="235" t="s">
        <v>796</v>
      </c>
      <c r="AE1351" s="238">
        <v>110086.0</v>
      </c>
      <c r="AF1351" s="235" t="s">
        <v>631</v>
      </c>
      <c r="AG1351" s="244"/>
      <c r="AH1351" s="244"/>
      <c r="AI1351" s="245"/>
      <c r="AJ1351" s="245"/>
      <c r="AK1351" s="245"/>
      <c r="AL1351" s="245"/>
      <c r="AM1351" s="244"/>
      <c r="AN1351" s="244"/>
      <c r="AO1351" s="238">
        <v>0.0</v>
      </c>
      <c r="AP1351" s="238">
        <v>-18.1</v>
      </c>
      <c r="AQ1351" s="235" t="s">
        <v>632</v>
      </c>
      <c r="AR1351" s="243">
        <v>1.68E11</v>
      </c>
      <c r="AS1351" s="235" t="s">
        <v>10417</v>
      </c>
      <c r="AT1351" s="235" t="s">
        <v>14</v>
      </c>
      <c r="AU1351" s="235" t="s">
        <v>634</v>
      </c>
      <c r="AV1351" s="246" t="s">
        <v>635</v>
      </c>
      <c r="AW1351" s="242"/>
      <c r="AX1351" s="242"/>
      <c r="AY1351" s="231"/>
      <c r="AZ1351" s="231"/>
      <c r="BA1351" s="227"/>
      <c r="BB1351" s="231"/>
      <c r="BC1351" s="227"/>
      <c r="BD1351" s="227"/>
      <c r="BE1351" s="227"/>
      <c r="BF1351" s="227"/>
    </row>
    <row r="1352">
      <c r="A1352" s="235" t="s">
        <v>10969</v>
      </c>
      <c r="C1352" s="235" t="s">
        <v>10970</v>
      </c>
      <c r="D1352" s="235" t="s">
        <v>10971</v>
      </c>
      <c r="E1352" s="243">
        <v>6.55E13</v>
      </c>
      <c r="F1352" s="245"/>
      <c r="G1352" s="235" t="s">
        <v>10972</v>
      </c>
      <c r="H1352" s="235" t="s">
        <v>10973</v>
      </c>
      <c r="I1352" s="235" t="s">
        <v>10973</v>
      </c>
      <c r="J1352" s="235" t="s">
        <v>10974</v>
      </c>
      <c r="K1352" s="235" t="s">
        <v>10975</v>
      </c>
      <c r="N1352" s="235" t="s">
        <v>54</v>
      </c>
      <c r="O1352" s="235" t="s">
        <v>294</v>
      </c>
      <c r="P1352" s="238">
        <v>1.0</v>
      </c>
      <c r="Q1352" s="235" t="s">
        <v>627</v>
      </c>
      <c r="R1352" s="238">
        <v>246.66</v>
      </c>
      <c r="S1352" s="238">
        <v>12.1</v>
      </c>
      <c r="T1352" s="238">
        <v>0.0</v>
      </c>
      <c r="U1352" s="238">
        <v>0.0</v>
      </c>
      <c r="V1352" s="238">
        <v>0.0</v>
      </c>
      <c r="W1352" s="238">
        <v>0.0</v>
      </c>
      <c r="X1352" s="235" t="s">
        <v>628</v>
      </c>
      <c r="Z1352" s="244"/>
      <c r="AA1352" s="244"/>
      <c r="AB1352" s="244"/>
      <c r="AC1352" s="235" t="s">
        <v>10976</v>
      </c>
      <c r="AD1352" s="235" t="s">
        <v>679</v>
      </c>
      <c r="AE1352" s="238">
        <v>576115.0</v>
      </c>
      <c r="AF1352" s="235" t="s">
        <v>631</v>
      </c>
      <c r="AG1352" s="244"/>
      <c r="AH1352" s="244"/>
      <c r="AI1352" s="245"/>
      <c r="AJ1352" s="245"/>
      <c r="AK1352" s="245"/>
      <c r="AL1352" s="245"/>
      <c r="AM1352" s="244"/>
      <c r="AN1352" s="244"/>
      <c r="AO1352" s="238">
        <v>-4.94</v>
      </c>
      <c r="AP1352" s="238">
        <v>0.0</v>
      </c>
      <c r="AQ1352" s="235" t="s">
        <v>632</v>
      </c>
      <c r="AR1352" s="243">
        <v>1.68E11</v>
      </c>
      <c r="AS1352" s="235" t="s">
        <v>10017</v>
      </c>
      <c r="AT1352" s="235" t="s">
        <v>11</v>
      </c>
      <c r="AU1352" s="235" t="s">
        <v>634</v>
      </c>
      <c r="AV1352" s="246" t="s">
        <v>635</v>
      </c>
      <c r="AW1352" s="242"/>
      <c r="AX1352" s="242"/>
      <c r="AY1352" s="231"/>
      <c r="AZ1352" s="231"/>
      <c r="BA1352" s="227"/>
      <c r="BB1352" s="231"/>
      <c r="BC1352" s="227"/>
      <c r="BD1352" s="227"/>
      <c r="BE1352" s="227"/>
      <c r="BF1352" s="227"/>
    </row>
    <row r="1353">
      <c r="A1353" s="235" t="s">
        <v>10977</v>
      </c>
      <c r="C1353" s="235" t="s">
        <v>10978</v>
      </c>
      <c r="D1353" s="235" t="s">
        <v>10979</v>
      </c>
      <c r="E1353" s="243">
        <v>6.55E13</v>
      </c>
      <c r="F1353" s="245"/>
      <c r="G1353" s="235" t="s">
        <v>10980</v>
      </c>
      <c r="H1353" s="235" t="s">
        <v>10981</v>
      </c>
      <c r="I1353" s="235" t="s">
        <v>10981</v>
      </c>
      <c r="J1353" s="235" t="s">
        <v>10982</v>
      </c>
      <c r="K1353" s="235" t="s">
        <v>10983</v>
      </c>
      <c r="N1353" s="235" t="s">
        <v>53</v>
      </c>
      <c r="O1353" s="235" t="s">
        <v>512</v>
      </c>
      <c r="P1353" s="238">
        <v>1.0</v>
      </c>
      <c r="Q1353" s="235" t="s">
        <v>627</v>
      </c>
      <c r="R1353" s="238">
        <v>237.14</v>
      </c>
      <c r="S1353" s="238">
        <v>11.86</v>
      </c>
      <c r="T1353" s="238">
        <v>0.0</v>
      </c>
      <c r="U1353" s="238">
        <v>0.0</v>
      </c>
      <c r="V1353" s="238">
        <v>0.0</v>
      </c>
      <c r="W1353" s="238">
        <v>0.0</v>
      </c>
      <c r="X1353" s="235" t="s">
        <v>628</v>
      </c>
      <c r="Z1353" s="244"/>
      <c r="AA1353" s="244"/>
      <c r="AB1353" s="244"/>
      <c r="AC1353" s="235" t="s">
        <v>697</v>
      </c>
      <c r="AD1353" s="235" t="s">
        <v>698</v>
      </c>
      <c r="AE1353" s="238">
        <v>500084.0</v>
      </c>
      <c r="AF1353" s="235" t="s">
        <v>631</v>
      </c>
      <c r="AG1353" s="244"/>
      <c r="AH1353" s="244"/>
      <c r="AI1353" s="245"/>
      <c r="AJ1353" s="245"/>
      <c r="AK1353" s="245"/>
      <c r="AL1353" s="245"/>
      <c r="AM1353" s="244"/>
      <c r="AN1353" s="244"/>
      <c r="AO1353" s="238">
        <v>0.0</v>
      </c>
      <c r="AP1353" s="238">
        <v>0.0</v>
      </c>
      <c r="AQ1353" s="235" t="s">
        <v>632</v>
      </c>
      <c r="AR1353" s="243">
        <v>2.02E11</v>
      </c>
      <c r="AS1353" s="235" t="s">
        <v>10017</v>
      </c>
      <c r="AT1353" s="235" t="s">
        <v>9</v>
      </c>
      <c r="AU1353" s="235" t="s">
        <v>634</v>
      </c>
      <c r="AV1353" s="246" t="s">
        <v>635</v>
      </c>
      <c r="AW1353" s="242"/>
      <c r="AX1353" s="242"/>
      <c r="AY1353" s="231"/>
      <c r="AZ1353" s="231"/>
      <c r="BA1353" s="227"/>
      <c r="BB1353" s="231"/>
      <c r="BC1353" s="227"/>
      <c r="BD1353" s="227"/>
      <c r="BE1353" s="227"/>
      <c r="BF1353" s="227"/>
    </row>
    <row r="1354">
      <c r="A1354" s="235" t="s">
        <v>10984</v>
      </c>
      <c r="C1354" s="235" t="s">
        <v>10985</v>
      </c>
      <c r="D1354" s="235" t="s">
        <v>10986</v>
      </c>
      <c r="E1354" s="243">
        <v>6.55E13</v>
      </c>
      <c r="F1354" s="245"/>
      <c r="G1354" s="235" t="s">
        <v>10987</v>
      </c>
      <c r="H1354" s="235" t="s">
        <v>10988</v>
      </c>
      <c r="I1354" s="235" t="s">
        <v>10988</v>
      </c>
      <c r="J1354" s="235" t="s">
        <v>10989</v>
      </c>
      <c r="K1354" s="235" t="s">
        <v>10990</v>
      </c>
      <c r="N1354" s="235" t="s">
        <v>144</v>
      </c>
      <c r="O1354" s="235" t="s">
        <v>232</v>
      </c>
      <c r="P1354" s="238">
        <v>1.0</v>
      </c>
      <c r="Q1354" s="235" t="s">
        <v>627</v>
      </c>
      <c r="R1354" s="238">
        <v>665.71</v>
      </c>
      <c r="S1354" s="238">
        <v>33.29</v>
      </c>
      <c r="T1354" s="238">
        <v>0.0</v>
      </c>
      <c r="U1354" s="238">
        <v>0.0</v>
      </c>
      <c r="V1354" s="238">
        <v>0.0</v>
      </c>
      <c r="W1354" s="238">
        <v>0.0</v>
      </c>
      <c r="X1354" s="235" t="s">
        <v>628</v>
      </c>
      <c r="Z1354" s="244"/>
      <c r="AA1354" s="244"/>
      <c r="AB1354" s="244"/>
      <c r="AC1354" s="235" t="s">
        <v>1279</v>
      </c>
      <c r="AD1354" s="235" t="s">
        <v>917</v>
      </c>
      <c r="AE1354" s="238">
        <v>302001.0</v>
      </c>
      <c r="AF1354" s="235" t="s">
        <v>631</v>
      </c>
      <c r="AG1354" s="244"/>
      <c r="AH1354" s="244"/>
      <c r="AI1354" s="245"/>
      <c r="AJ1354" s="245"/>
      <c r="AK1354" s="245"/>
      <c r="AL1354" s="245"/>
      <c r="AM1354" s="244"/>
      <c r="AN1354" s="244"/>
      <c r="AO1354" s="238">
        <v>0.0</v>
      </c>
      <c r="AP1354" s="238">
        <v>0.0</v>
      </c>
      <c r="AQ1354" s="235" t="s">
        <v>632</v>
      </c>
      <c r="AR1354" s="243">
        <v>1.68E11</v>
      </c>
      <c r="AS1354" s="235" t="s">
        <v>10017</v>
      </c>
      <c r="AT1354" s="235" t="s">
        <v>533</v>
      </c>
      <c r="AU1354" s="235" t="s">
        <v>634</v>
      </c>
      <c r="AV1354" s="246" t="s">
        <v>635</v>
      </c>
      <c r="AW1354" s="242"/>
      <c r="AX1354" s="242"/>
      <c r="AY1354" s="231"/>
      <c r="AZ1354" s="231"/>
      <c r="BA1354" s="227"/>
      <c r="BB1354" s="231"/>
      <c r="BC1354" s="227"/>
      <c r="BD1354" s="227"/>
      <c r="BE1354" s="227"/>
      <c r="BF1354" s="227"/>
    </row>
    <row r="1355">
      <c r="A1355" s="235" t="s">
        <v>10991</v>
      </c>
      <c r="C1355" s="235" t="s">
        <v>10992</v>
      </c>
      <c r="D1355" s="235" t="s">
        <v>10993</v>
      </c>
      <c r="E1355" s="243">
        <v>6.55E13</v>
      </c>
      <c r="F1355" s="245"/>
      <c r="G1355" s="235" t="s">
        <v>10994</v>
      </c>
      <c r="H1355" s="235" t="s">
        <v>10995</v>
      </c>
      <c r="I1355" s="235" t="s">
        <v>10995</v>
      </c>
      <c r="J1355" s="235" t="s">
        <v>10996</v>
      </c>
      <c r="K1355" s="235" t="s">
        <v>10997</v>
      </c>
      <c r="N1355" s="235" t="s">
        <v>842</v>
      </c>
      <c r="O1355" s="235" t="s">
        <v>843</v>
      </c>
      <c r="P1355" s="238">
        <v>1.0</v>
      </c>
      <c r="Q1355" s="235" t="s">
        <v>627</v>
      </c>
      <c r="R1355" s="238">
        <v>246.67</v>
      </c>
      <c r="S1355" s="238">
        <v>12.33</v>
      </c>
      <c r="T1355" s="238">
        <v>0.0</v>
      </c>
      <c r="U1355" s="238">
        <v>0.0</v>
      </c>
      <c r="V1355" s="238">
        <v>0.0</v>
      </c>
      <c r="W1355" s="238">
        <v>0.0</v>
      </c>
      <c r="X1355" s="235" t="s">
        <v>628</v>
      </c>
      <c r="Z1355" s="244"/>
      <c r="AA1355" s="244"/>
      <c r="AB1355" s="244"/>
      <c r="AC1355" s="235" t="s">
        <v>10998</v>
      </c>
      <c r="AD1355" s="235" t="s">
        <v>833</v>
      </c>
      <c r="AE1355" s="238">
        <v>515201.0</v>
      </c>
      <c r="AF1355" s="235" t="s">
        <v>631</v>
      </c>
      <c r="AG1355" s="244"/>
      <c r="AH1355" s="244"/>
      <c r="AI1355" s="245"/>
      <c r="AJ1355" s="245"/>
      <c r="AK1355" s="245"/>
      <c r="AL1355" s="245"/>
      <c r="AM1355" s="244"/>
      <c r="AN1355" s="244"/>
      <c r="AO1355" s="238">
        <v>0.0</v>
      </c>
      <c r="AP1355" s="238">
        <v>0.0</v>
      </c>
      <c r="AQ1355" s="235" t="s">
        <v>632</v>
      </c>
      <c r="AR1355" s="243">
        <v>3.71E11</v>
      </c>
      <c r="AS1355" s="235" t="s">
        <v>10017</v>
      </c>
      <c r="AT1355" s="235" t="s">
        <v>11</v>
      </c>
      <c r="AU1355" s="235" t="s">
        <v>634</v>
      </c>
      <c r="AV1355" s="246" t="s">
        <v>635</v>
      </c>
      <c r="AW1355" s="242"/>
      <c r="AX1355" s="242"/>
      <c r="AY1355" s="231"/>
      <c r="AZ1355" s="231"/>
      <c r="BA1355" s="227"/>
      <c r="BB1355" s="231"/>
      <c r="BC1355" s="227"/>
      <c r="BD1355" s="227"/>
      <c r="BE1355" s="227"/>
      <c r="BF1355" s="227"/>
    </row>
    <row r="1356">
      <c r="A1356" s="235" t="s">
        <v>10999</v>
      </c>
      <c r="C1356" s="235" t="s">
        <v>11000</v>
      </c>
      <c r="D1356" s="235" t="s">
        <v>11001</v>
      </c>
      <c r="E1356" s="243">
        <v>6.55E13</v>
      </c>
      <c r="F1356" s="245"/>
      <c r="G1356" s="235" t="s">
        <v>11002</v>
      </c>
      <c r="H1356" s="235" t="s">
        <v>11003</v>
      </c>
      <c r="I1356" s="235" t="s">
        <v>11004</v>
      </c>
      <c r="J1356" s="235" t="s">
        <v>11005</v>
      </c>
      <c r="K1356" s="235" t="s">
        <v>11006</v>
      </c>
      <c r="N1356" s="235" t="s">
        <v>842</v>
      </c>
      <c r="O1356" s="235" t="s">
        <v>843</v>
      </c>
      <c r="P1356" s="238">
        <v>1.0</v>
      </c>
      <c r="Q1356" s="235" t="s">
        <v>627</v>
      </c>
      <c r="R1356" s="238">
        <v>246.67</v>
      </c>
      <c r="S1356" s="238">
        <v>12.33</v>
      </c>
      <c r="T1356" s="238">
        <v>38.1</v>
      </c>
      <c r="U1356" s="238">
        <v>1.9</v>
      </c>
      <c r="V1356" s="238">
        <v>0.0</v>
      </c>
      <c r="W1356" s="238">
        <v>0.0</v>
      </c>
      <c r="X1356" s="235" t="s">
        <v>628</v>
      </c>
      <c r="Z1356" s="244"/>
      <c r="AA1356" s="244"/>
      <c r="AB1356" s="244"/>
      <c r="AC1356" s="235" t="s">
        <v>1085</v>
      </c>
      <c r="AD1356" s="235" t="s">
        <v>1086</v>
      </c>
      <c r="AE1356" s="238">
        <v>141010.0</v>
      </c>
      <c r="AF1356" s="235" t="s">
        <v>631</v>
      </c>
      <c r="AG1356" s="244"/>
      <c r="AH1356" s="244"/>
      <c r="AI1356" s="245"/>
      <c r="AJ1356" s="245"/>
      <c r="AK1356" s="245"/>
      <c r="AL1356" s="245"/>
      <c r="AM1356" s="244"/>
      <c r="AN1356" s="244"/>
      <c r="AO1356" s="238">
        <v>0.0</v>
      </c>
      <c r="AP1356" s="238">
        <v>-38.1</v>
      </c>
      <c r="AQ1356" s="235" t="s">
        <v>632</v>
      </c>
      <c r="AR1356" s="243">
        <v>3.71E11</v>
      </c>
      <c r="AS1356" s="235" t="s">
        <v>8807</v>
      </c>
      <c r="AT1356" s="235" t="s">
        <v>14</v>
      </c>
      <c r="AU1356" s="235" t="s">
        <v>634</v>
      </c>
      <c r="AV1356" s="246" t="s">
        <v>635</v>
      </c>
      <c r="AW1356" s="242"/>
      <c r="AX1356" s="242"/>
      <c r="AY1356" s="231"/>
      <c r="AZ1356" s="231"/>
      <c r="BA1356" s="227"/>
      <c r="BB1356" s="231"/>
      <c r="BC1356" s="227"/>
      <c r="BD1356" s="227"/>
      <c r="BE1356" s="227"/>
      <c r="BF1356" s="227"/>
    </row>
    <row r="1357">
      <c r="A1357" s="235" t="s">
        <v>11007</v>
      </c>
      <c r="C1357" s="235" t="s">
        <v>11008</v>
      </c>
      <c r="D1357" s="235" t="s">
        <v>11009</v>
      </c>
      <c r="E1357" s="243">
        <v>6.55E13</v>
      </c>
      <c r="F1357" s="245"/>
      <c r="G1357" s="235" t="s">
        <v>11010</v>
      </c>
      <c r="H1357" s="235" t="s">
        <v>11011</v>
      </c>
      <c r="I1357" s="235" t="s">
        <v>11011</v>
      </c>
      <c r="J1357" s="235" t="s">
        <v>11012</v>
      </c>
      <c r="K1357" s="235" t="s">
        <v>11013</v>
      </c>
      <c r="N1357" s="235" t="s">
        <v>154</v>
      </c>
      <c r="O1357" s="235" t="s">
        <v>766</v>
      </c>
      <c r="P1357" s="238">
        <v>1.0</v>
      </c>
      <c r="Q1357" s="235" t="s">
        <v>627</v>
      </c>
      <c r="R1357" s="238">
        <v>465.72</v>
      </c>
      <c r="S1357" s="238">
        <v>23.28</v>
      </c>
      <c r="T1357" s="238">
        <v>0.0</v>
      </c>
      <c r="U1357" s="238">
        <v>0.0</v>
      </c>
      <c r="V1357" s="238">
        <v>0.0</v>
      </c>
      <c r="W1357" s="238">
        <v>0.0</v>
      </c>
      <c r="X1357" s="235" t="s">
        <v>628</v>
      </c>
      <c r="Z1357" s="244"/>
      <c r="AA1357" s="244"/>
      <c r="AB1357" s="244"/>
      <c r="AC1357" s="235" t="s">
        <v>678</v>
      </c>
      <c r="AD1357" s="235" t="s">
        <v>679</v>
      </c>
      <c r="AE1357" s="238">
        <v>560035.0</v>
      </c>
      <c r="AF1357" s="235" t="s">
        <v>631</v>
      </c>
      <c r="AG1357" s="244"/>
      <c r="AH1357" s="244"/>
      <c r="AI1357" s="245"/>
      <c r="AJ1357" s="245"/>
      <c r="AK1357" s="245"/>
      <c r="AL1357" s="245"/>
      <c r="AM1357" s="244"/>
      <c r="AN1357" s="244"/>
      <c r="AO1357" s="238">
        <v>0.0</v>
      </c>
      <c r="AP1357" s="238">
        <v>0.0</v>
      </c>
      <c r="AQ1357" s="235" t="s">
        <v>632</v>
      </c>
      <c r="AR1357" s="243">
        <v>1.68E11</v>
      </c>
      <c r="AS1357" s="235" t="s">
        <v>10417</v>
      </c>
      <c r="AT1357" s="235" t="s">
        <v>11</v>
      </c>
      <c r="AU1357" s="235" t="s">
        <v>634</v>
      </c>
      <c r="AV1357" s="246" t="s">
        <v>635</v>
      </c>
      <c r="AW1357" s="242"/>
      <c r="AX1357" s="242"/>
      <c r="AY1357" s="231"/>
      <c r="AZ1357" s="231"/>
      <c r="BA1357" s="227"/>
      <c r="BB1357" s="231"/>
      <c r="BC1357" s="227"/>
      <c r="BD1357" s="227"/>
      <c r="BE1357" s="227"/>
      <c r="BF1357" s="227"/>
    </row>
    <row r="1358">
      <c r="A1358" s="235" t="s">
        <v>11014</v>
      </c>
      <c r="C1358" s="235" t="s">
        <v>11015</v>
      </c>
      <c r="D1358" s="235" t="s">
        <v>11016</v>
      </c>
      <c r="E1358" s="243">
        <v>6.55E13</v>
      </c>
      <c r="F1358" s="245"/>
      <c r="G1358" s="235" t="s">
        <v>11017</v>
      </c>
      <c r="H1358" s="235" t="s">
        <v>11018</v>
      </c>
      <c r="I1358" s="235" t="s">
        <v>11018</v>
      </c>
      <c r="J1358" s="235" t="s">
        <v>11019</v>
      </c>
      <c r="K1358" s="235" t="s">
        <v>11020</v>
      </c>
      <c r="N1358" s="235" t="s">
        <v>51</v>
      </c>
      <c r="O1358" s="235" t="s">
        <v>273</v>
      </c>
      <c r="P1358" s="238">
        <v>1.0</v>
      </c>
      <c r="Q1358" s="235" t="s">
        <v>627</v>
      </c>
      <c r="R1358" s="238">
        <v>237.14</v>
      </c>
      <c r="S1358" s="238">
        <v>11.86</v>
      </c>
      <c r="T1358" s="238">
        <v>38.1</v>
      </c>
      <c r="U1358" s="238">
        <v>1.9</v>
      </c>
      <c r="V1358" s="238">
        <v>0.0</v>
      </c>
      <c r="W1358" s="238">
        <v>0.0</v>
      </c>
      <c r="X1358" s="235" t="s">
        <v>628</v>
      </c>
      <c r="Z1358" s="244"/>
      <c r="AA1358" s="244"/>
      <c r="AB1358" s="244"/>
      <c r="AC1358" s="235" t="s">
        <v>11021</v>
      </c>
      <c r="AD1358" s="235" t="s">
        <v>881</v>
      </c>
      <c r="AE1358" s="238">
        <v>759117.0</v>
      </c>
      <c r="AF1358" s="235" t="s">
        <v>631</v>
      </c>
      <c r="AG1358" s="244"/>
      <c r="AH1358" s="244"/>
      <c r="AI1358" s="245"/>
      <c r="AJ1358" s="245"/>
      <c r="AK1358" s="245"/>
      <c r="AL1358" s="245"/>
      <c r="AM1358" s="244"/>
      <c r="AN1358" s="244"/>
      <c r="AO1358" s="238">
        <v>0.0</v>
      </c>
      <c r="AP1358" s="238">
        <v>-38.1</v>
      </c>
      <c r="AQ1358" s="235" t="s">
        <v>632</v>
      </c>
      <c r="AR1358" s="243">
        <v>3.71E11</v>
      </c>
      <c r="AS1358" s="235" t="s">
        <v>3284</v>
      </c>
      <c r="AT1358" s="235" t="s">
        <v>9</v>
      </c>
      <c r="AU1358" s="235" t="s">
        <v>634</v>
      </c>
      <c r="AV1358" s="246" t="s">
        <v>635</v>
      </c>
      <c r="AW1358" s="242"/>
      <c r="AX1358" s="242"/>
      <c r="AY1358" s="231"/>
      <c r="AZ1358" s="231"/>
      <c r="BA1358" s="227"/>
      <c r="BB1358" s="231"/>
      <c r="BC1358" s="227"/>
      <c r="BD1358" s="227"/>
      <c r="BE1358" s="227"/>
      <c r="BF1358" s="227"/>
    </row>
    <row r="1359">
      <c r="A1359" s="235" t="s">
        <v>11022</v>
      </c>
      <c r="C1359" s="235" t="s">
        <v>11023</v>
      </c>
      <c r="D1359" s="235" t="s">
        <v>11024</v>
      </c>
      <c r="E1359" s="243">
        <v>6.54E13</v>
      </c>
      <c r="F1359" s="245"/>
      <c r="G1359" s="235" t="s">
        <v>11025</v>
      </c>
      <c r="H1359" s="235" t="s">
        <v>11026</v>
      </c>
      <c r="I1359" s="235" t="s">
        <v>11026</v>
      </c>
      <c r="J1359" s="235" t="s">
        <v>11027</v>
      </c>
      <c r="K1359" s="235" t="s">
        <v>11028</v>
      </c>
      <c r="N1359" s="235" t="s">
        <v>49</v>
      </c>
      <c r="O1359" s="235" t="s">
        <v>321</v>
      </c>
      <c r="P1359" s="238">
        <v>1.0</v>
      </c>
      <c r="Q1359" s="235" t="s">
        <v>627</v>
      </c>
      <c r="R1359" s="238">
        <v>237.14</v>
      </c>
      <c r="S1359" s="238">
        <v>11.86</v>
      </c>
      <c r="T1359" s="238">
        <v>38.1</v>
      </c>
      <c r="U1359" s="238">
        <v>1.9</v>
      </c>
      <c r="V1359" s="238">
        <v>0.0</v>
      </c>
      <c r="W1359" s="238">
        <v>0.0</v>
      </c>
      <c r="X1359" s="235" t="s">
        <v>628</v>
      </c>
      <c r="Z1359" s="244"/>
      <c r="AA1359" s="244"/>
      <c r="AB1359" s="244"/>
      <c r="AC1359" s="235" t="s">
        <v>678</v>
      </c>
      <c r="AD1359" s="235" t="s">
        <v>679</v>
      </c>
      <c r="AE1359" s="238">
        <v>560062.0</v>
      </c>
      <c r="AF1359" s="235" t="s">
        <v>631</v>
      </c>
      <c r="AG1359" s="244"/>
      <c r="AH1359" s="244"/>
      <c r="AI1359" s="245"/>
      <c r="AJ1359" s="245"/>
      <c r="AK1359" s="245"/>
      <c r="AL1359" s="245"/>
      <c r="AM1359" s="244"/>
      <c r="AN1359" s="244"/>
      <c r="AO1359" s="238">
        <v>0.0</v>
      </c>
      <c r="AP1359" s="238">
        <v>-38.1</v>
      </c>
      <c r="AQ1359" s="235" t="s">
        <v>632</v>
      </c>
      <c r="AR1359" s="243">
        <v>3.71E11</v>
      </c>
      <c r="AS1359" s="235" t="s">
        <v>8807</v>
      </c>
      <c r="AT1359" s="235" t="s">
        <v>9</v>
      </c>
      <c r="AU1359" s="235" t="s">
        <v>634</v>
      </c>
      <c r="AV1359" s="246" t="s">
        <v>635</v>
      </c>
      <c r="AW1359" s="242"/>
      <c r="AX1359" s="242"/>
      <c r="AY1359" s="231"/>
      <c r="AZ1359" s="231"/>
      <c r="BA1359" s="227"/>
      <c r="BB1359" s="231"/>
      <c r="BC1359" s="227"/>
      <c r="BD1359" s="227"/>
      <c r="BE1359" s="227"/>
      <c r="BF1359" s="227"/>
    </row>
    <row r="1360">
      <c r="A1360" s="235" t="s">
        <v>11029</v>
      </c>
      <c r="C1360" s="235" t="s">
        <v>11030</v>
      </c>
      <c r="D1360" s="235" t="s">
        <v>11031</v>
      </c>
      <c r="E1360" s="243">
        <v>6.55E13</v>
      </c>
      <c r="F1360" s="245"/>
      <c r="G1360" s="235" t="s">
        <v>11032</v>
      </c>
      <c r="H1360" s="235" t="s">
        <v>11033</v>
      </c>
      <c r="I1360" s="235" t="s">
        <v>11034</v>
      </c>
      <c r="J1360" s="235" t="s">
        <v>11035</v>
      </c>
      <c r="K1360" s="235" t="s">
        <v>11036</v>
      </c>
      <c r="N1360" s="235" t="s">
        <v>90</v>
      </c>
      <c r="O1360" s="235" t="s">
        <v>279</v>
      </c>
      <c r="P1360" s="238">
        <v>1.0</v>
      </c>
      <c r="Q1360" s="235" t="s">
        <v>627</v>
      </c>
      <c r="R1360" s="238">
        <v>246.66</v>
      </c>
      <c r="S1360" s="238">
        <v>12.34</v>
      </c>
      <c r="T1360" s="238">
        <v>0.0</v>
      </c>
      <c r="U1360" s="238">
        <v>0.0</v>
      </c>
      <c r="V1360" s="238">
        <v>0.0</v>
      </c>
      <c r="W1360" s="238">
        <v>0.0</v>
      </c>
      <c r="X1360" s="235" t="s">
        <v>628</v>
      </c>
      <c r="Z1360" s="244"/>
      <c r="AA1360" s="244"/>
      <c r="AB1360" s="244"/>
      <c r="AC1360" s="235" t="s">
        <v>9278</v>
      </c>
      <c r="AD1360" s="235" t="s">
        <v>1077</v>
      </c>
      <c r="AE1360" s="238">
        <v>390021.0</v>
      </c>
      <c r="AF1360" s="235" t="s">
        <v>631</v>
      </c>
      <c r="AG1360" s="244"/>
      <c r="AH1360" s="244"/>
      <c r="AI1360" s="245"/>
      <c r="AJ1360" s="245"/>
      <c r="AK1360" s="245"/>
      <c r="AL1360" s="245"/>
      <c r="AM1360" s="244"/>
      <c r="AN1360" s="244"/>
      <c r="AO1360" s="238">
        <v>0.0</v>
      </c>
      <c r="AP1360" s="238">
        <v>0.0</v>
      </c>
      <c r="AQ1360" s="235" t="s">
        <v>632</v>
      </c>
      <c r="AR1360" s="243">
        <v>1.68E11</v>
      </c>
      <c r="AS1360" s="235" t="s">
        <v>10017</v>
      </c>
      <c r="AT1360" s="235" t="s">
        <v>5</v>
      </c>
      <c r="AU1360" s="235" t="s">
        <v>634</v>
      </c>
      <c r="AV1360" s="246" t="s">
        <v>635</v>
      </c>
      <c r="AW1360" s="242"/>
      <c r="AX1360" s="242"/>
      <c r="AY1360" s="231"/>
      <c r="AZ1360" s="231"/>
      <c r="BA1360" s="227"/>
      <c r="BB1360" s="231"/>
      <c r="BC1360" s="227"/>
      <c r="BD1360" s="227"/>
      <c r="BE1360" s="227"/>
      <c r="BF1360" s="227"/>
    </row>
    <row r="1361">
      <c r="A1361" s="235" t="s">
        <v>11037</v>
      </c>
      <c r="C1361" s="235" t="s">
        <v>11038</v>
      </c>
      <c r="D1361" s="235" t="s">
        <v>11039</v>
      </c>
      <c r="E1361" s="243">
        <v>6.55E13</v>
      </c>
      <c r="F1361" s="245"/>
      <c r="G1361" s="235" t="s">
        <v>11040</v>
      </c>
      <c r="H1361" s="235" t="s">
        <v>11041</v>
      </c>
      <c r="I1361" s="235" t="s">
        <v>11041</v>
      </c>
      <c r="J1361" s="235" t="s">
        <v>11042</v>
      </c>
      <c r="K1361" s="235" t="s">
        <v>11043</v>
      </c>
      <c r="N1361" s="235" t="s">
        <v>128</v>
      </c>
      <c r="O1361" s="235" t="s">
        <v>2710</v>
      </c>
      <c r="P1361" s="238">
        <v>1.0</v>
      </c>
      <c r="Q1361" s="235" t="s">
        <v>627</v>
      </c>
      <c r="R1361" s="238">
        <v>246.67</v>
      </c>
      <c r="S1361" s="238">
        <v>12.33</v>
      </c>
      <c r="T1361" s="238">
        <v>0.0</v>
      </c>
      <c r="U1361" s="238">
        <v>0.0</v>
      </c>
      <c r="V1361" s="238">
        <v>0.0</v>
      </c>
      <c r="W1361" s="238">
        <v>0.0</v>
      </c>
      <c r="X1361" s="235" t="s">
        <v>628</v>
      </c>
      <c r="Z1361" s="244"/>
      <c r="AA1361" s="244"/>
      <c r="AB1361" s="244"/>
      <c r="AC1361" s="235" t="s">
        <v>822</v>
      </c>
      <c r="AD1361" s="235" t="s">
        <v>630</v>
      </c>
      <c r="AE1361" s="238">
        <v>201305.0</v>
      </c>
      <c r="AF1361" s="235" t="s">
        <v>631</v>
      </c>
      <c r="AG1361" s="244"/>
      <c r="AH1361" s="244"/>
      <c r="AI1361" s="245"/>
      <c r="AJ1361" s="245"/>
      <c r="AK1361" s="245"/>
      <c r="AL1361" s="245"/>
      <c r="AM1361" s="244"/>
      <c r="AN1361" s="244"/>
      <c r="AO1361" s="238">
        <v>0.0</v>
      </c>
      <c r="AP1361" s="238">
        <v>0.0</v>
      </c>
      <c r="AQ1361" s="235" t="s">
        <v>632</v>
      </c>
      <c r="AR1361" s="243">
        <v>1.68E11</v>
      </c>
      <c r="AS1361" s="235" t="s">
        <v>10417</v>
      </c>
      <c r="AT1361" s="235" t="s">
        <v>14</v>
      </c>
      <c r="AU1361" s="235" t="s">
        <v>634</v>
      </c>
      <c r="AV1361" s="246" t="s">
        <v>635</v>
      </c>
      <c r="AW1361" s="242"/>
      <c r="AX1361" s="242"/>
      <c r="AY1361" s="231"/>
      <c r="AZ1361" s="231"/>
      <c r="BA1361" s="227"/>
      <c r="BB1361" s="231"/>
      <c r="BC1361" s="227"/>
      <c r="BD1361" s="227"/>
      <c r="BE1361" s="227"/>
      <c r="BF1361" s="227"/>
    </row>
    <row r="1362">
      <c r="A1362" s="235" t="s">
        <v>11045</v>
      </c>
      <c r="C1362" s="235" t="s">
        <v>11046</v>
      </c>
      <c r="D1362" s="235" t="s">
        <v>11047</v>
      </c>
      <c r="E1362" s="243">
        <v>6.55E13</v>
      </c>
      <c r="F1362" s="245"/>
      <c r="G1362" s="235" t="s">
        <v>11048</v>
      </c>
      <c r="H1362" s="235" t="s">
        <v>11049</v>
      </c>
      <c r="I1362" s="235" t="s">
        <v>11049</v>
      </c>
      <c r="J1362" s="235" t="s">
        <v>11050</v>
      </c>
      <c r="K1362" s="235" t="s">
        <v>11051</v>
      </c>
      <c r="N1362" s="235" t="s">
        <v>43</v>
      </c>
      <c r="O1362" s="235" t="s">
        <v>276</v>
      </c>
      <c r="P1362" s="238">
        <v>1.0</v>
      </c>
      <c r="Q1362" s="235" t="s">
        <v>627</v>
      </c>
      <c r="R1362" s="238">
        <v>237.14</v>
      </c>
      <c r="S1362" s="238">
        <v>11.62</v>
      </c>
      <c r="T1362" s="238">
        <v>0.0</v>
      </c>
      <c r="U1362" s="238">
        <v>0.0</v>
      </c>
      <c r="V1362" s="238">
        <v>0.0</v>
      </c>
      <c r="W1362" s="238">
        <v>0.0</v>
      </c>
      <c r="X1362" s="235" t="s">
        <v>628</v>
      </c>
      <c r="Z1362" s="244"/>
      <c r="AA1362" s="244"/>
      <c r="AB1362" s="244"/>
      <c r="AC1362" s="235" t="s">
        <v>697</v>
      </c>
      <c r="AD1362" s="235" t="s">
        <v>698</v>
      </c>
      <c r="AE1362" s="238">
        <v>500044.0</v>
      </c>
      <c r="AF1362" s="235" t="s">
        <v>631</v>
      </c>
      <c r="AG1362" s="244"/>
      <c r="AH1362" s="244"/>
      <c r="AI1362" s="245"/>
      <c r="AJ1362" s="245"/>
      <c r="AK1362" s="245"/>
      <c r="AL1362" s="245"/>
      <c r="AM1362" s="244"/>
      <c r="AN1362" s="244"/>
      <c r="AO1362" s="238">
        <v>-4.74</v>
      </c>
      <c r="AP1362" s="238">
        <v>0.0</v>
      </c>
      <c r="AQ1362" s="235" t="s">
        <v>632</v>
      </c>
      <c r="AR1362" s="243">
        <v>2.02E11</v>
      </c>
      <c r="AS1362" s="235" t="s">
        <v>10017</v>
      </c>
      <c r="AT1362" s="235" t="s">
        <v>5</v>
      </c>
      <c r="AU1362" s="235" t="s">
        <v>634</v>
      </c>
      <c r="AV1362" s="246" t="s">
        <v>635</v>
      </c>
      <c r="AW1362" s="242"/>
      <c r="AX1362" s="242"/>
      <c r="AY1362" s="231"/>
      <c r="AZ1362" s="231"/>
      <c r="BA1362" s="227"/>
      <c r="BB1362" s="231"/>
      <c r="BC1362" s="227"/>
      <c r="BD1362" s="227"/>
      <c r="BE1362" s="227"/>
      <c r="BF1362" s="227"/>
    </row>
    <row r="1363">
      <c r="A1363" s="235" t="s">
        <v>11052</v>
      </c>
      <c r="C1363" s="235" t="s">
        <v>11053</v>
      </c>
      <c r="D1363" s="235" t="s">
        <v>11054</v>
      </c>
      <c r="E1363" s="243">
        <v>6.55E13</v>
      </c>
      <c r="F1363" s="245"/>
      <c r="G1363" s="235" t="s">
        <v>11055</v>
      </c>
      <c r="H1363" s="235" t="s">
        <v>11056</v>
      </c>
      <c r="I1363" s="235" t="s">
        <v>11056</v>
      </c>
      <c r="J1363" s="235" t="s">
        <v>11057</v>
      </c>
      <c r="K1363" s="235" t="s">
        <v>11058</v>
      </c>
      <c r="N1363" s="235" t="s">
        <v>962</v>
      </c>
      <c r="O1363" s="235" t="s">
        <v>963</v>
      </c>
      <c r="P1363" s="238">
        <v>1.0</v>
      </c>
      <c r="Q1363" s="235" t="s">
        <v>627</v>
      </c>
      <c r="R1363" s="238">
        <v>246.66</v>
      </c>
      <c r="S1363" s="238">
        <v>12.34</v>
      </c>
      <c r="T1363" s="238">
        <v>0.0</v>
      </c>
      <c r="U1363" s="238">
        <v>0.0</v>
      </c>
      <c r="V1363" s="238">
        <v>0.0</v>
      </c>
      <c r="W1363" s="238">
        <v>0.0</v>
      </c>
      <c r="X1363" s="235" t="s">
        <v>628</v>
      </c>
      <c r="Z1363" s="244"/>
      <c r="AA1363" s="244"/>
      <c r="AB1363" s="244"/>
      <c r="AC1363" s="235" t="s">
        <v>6555</v>
      </c>
      <c r="AD1363" s="235" t="s">
        <v>679</v>
      </c>
      <c r="AE1363" s="238">
        <v>575003.0</v>
      </c>
      <c r="AF1363" s="235" t="s">
        <v>631</v>
      </c>
      <c r="AG1363" s="244"/>
      <c r="AH1363" s="244"/>
      <c r="AI1363" s="245"/>
      <c r="AJ1363" s="245"/>
      <c r="AK1363" s="245"/>
      <c r="AL1363" s="245"/>
      <c r="AM1363" s="244"/>
      <c r="AN1363" s="244"/>
      <c r="AO1363" s="238">
        <v>0.0</v>
      </c>
      <c r="AP1363" s="238">
        <v>0.0</v>
      </c>
      <c r="AQ1363" s="235" t="s">
        <v>632</v>
      </c>
      <c r="AR1363" s="243">
        <v>3.71E11</v>
      </c>
      <c r="AS1363" s="235" t="s">
        <v>10017</v>
      </c>
      <c r="AT1363" s="235" t="s">
        <v>11</v>
      </c>
      <c r="AU1363" s="235" t="s">
        <v>634</v>
      </c>
      <c r="AV1363" s="246" t="s">
        <v>635</v>
      </c>
      <c r="AW1363" s="242"/>
      <c r="AX1363" s="242"/>
      <c r="AY1363" s="231"/>
      <c r="AZ1363" s="231"/>
      <c r="BA1363" s="227"/>
      <c r="BB1363" s="231"/>
      <c r="BC1363" s="227"/>
      <c r="BD1363" s="227"/>
      <c r="BE1363" s="227"/>
      <c r="BF1363" s="227"/>
    </row>
    <row r="1364">
      <c r="A1364" s="235" t="s">
        <v>11059</v>
      </c>
      <c r="C1364" s="235" t="s">
        <v>11060</v>
      </c>
      <c r="D1364" s="235" t="s">
        <v>11061</v>
      </c>
      <c r="E1364" s="243">
        <v>6.54E13</v>
      </c>
      <c r="F1364" s="245"/>
      <c r="G1364" s="235" t="s">
        <v>11062</v>
      </c>
      <c r="H1364" s="235" t="s">
        <v>11063</v>
      </c>
      <c r="I1364" s="235" t="s">
        <v>11064</v>
      </c>
      <c r="J1364" s="235" t="s">
        <v>11065</v>
      </c>
      <c r="K1364" s="235" t="s">
        <v>11066</v>
      </c>
      <c r="N1364" s="235" t="s">
        <v>86</v>
      </c>
      <c r="O1364" s="235" t="s">
        <v>1811</v>
      </c>
      <c r="P1364" s="238">
        <v>1.0</v>
      </c>
      <c r="Q1364" s="235" t="s">
        <v>627</v>
      </c>
      <c r="R1364" s="238">
        <v>246.67</v>
      </c>
      <c r="S1364" s="238">
        <v>12.33</v>
      </c>
      <c r="T1364" s="238">
        <v>38.1</v>
      </c>
      <c r="U1364" s="238">
        <v>1.9</v>
      </c>
      <c r="V1364" s="238">
        <v>0.0</v>
      </c>
      <c r="W1364" s="238">
        <v>0.0</v>
      </c>
      <c r="X1364" s="235" t="s">
        <v>628</v>
      </c>
      <c r="Z1364" s="244"/>
      <c r="AA1364" s="244"/>
      <c r="AB1364" s="244"/>
      <c r="AC1364" s="235" t="s">
        <v>11067</v>
      </c>
      <c r="AD1364" s="235" t="s">
        <v>666</v>
      </c>
      <c r="AE1364" s="238">
        <v>625516.0</v>
      </c>
      <c r="AF1364" s="235" t="s">
        <v>631</v>
      </c>
      <c r="AG1364" s="244"/>
      <c r="AH1364" s="244"/>
      <c r="AI1364" s="245"/>
      <c r="AJ1364" s="245"/>
      <c r="AK1364" s="245"/>
      <c r="AL1364" s="245"/>
      <c r="AM1364" s="244"/>
      <c r="AN1364" s="244"/>
      <c r="AO1364" s="238">
        <v>0.0</v>
      </c>
      <c r="AP1364" s="238">
        <v>-38.1</v>
      </c>
      <c r="AQ1364" s="235" t="s">
        <v>632</v>
      </c>
      <c r="AR1364" s="243">
        <v>3.71E11</v>
      </c>
      <c r="AS1364" s="235" t="s">
        <v>8807</v>
      </c>
      <c r="AT1364" s="235" t="s">
        <v>9</v>
      </c>
      <c r="AU1364" s="235" t="s">
        <v>634</v>
      </c>
      <c r="AV1364" s="246" t="s">
        <v>635</v>
      </c>
      <c r="AW1364" s="242"/>
      <c r="AX1364" s="242"/>
      <c r="AY1364" s="231"/>
      <c r="AZ1364" s="231"/>
      <c r="BA1364" s="227"/>
      <c r="BB1364" s="231"/>
      <c r="BC1364" s="227"/>
      <c r="BD1364" s="227"/>
      <c r="BE1364" s="227"/>
      <c r="BF1364" s="227"/>
    </row>
    <row r="1365">
      <c r="A1365" s="235" t="s">
        <v>11068</v>
      </c>
      <c r="C1365" s="235" t="s">
        <v>11069</v>
      </c>
      <c r="D1365" s="235" t="s">
        <v>11070</v>
      </c>
      <c r="E1365" s="243">
        <v>6.53E13</v>
      </c>
      <c r="F1365" s="245"/>
      <c r="G1365" s="235" t="s">
        <v>11071</v>
      </c>
      <c r="H1365" s="235" t="s">
        <v>11072</v>
      </c>
      <c r="I1365" s="235" t="s">
        <v>11072</v>
      </c>
      <c r="J1365" s="235" t="s">
        <v>11073</v>
      </c>
      <c r="K1365" s="235" t="s">
        <v>11074</v>
      </c>
      <c r="N1365" s="235" t="s">
        <v>113</v>
      </c>
      <c r="O1365" s="235" t="s">
        <v>452</v>
      </c>
      <c r="P1365" s="238">
        <v>1.0</v>
      </c>
      <c r="Q1365" s="235" t="s">
        <v>627</v>
      </c>
      <c r="R1365" s="238">
        <v>246.66</v>
      </c>
      <c r="S1365" s="238">
        <v>12.34</v>
      </c>
      <c r="T1365" s="238">
        <v>0.0</v>
      </c>
      <c r="U1365" s="238">
        <v>0.0</v>
      </c>
      <c r="V1365" s="238">
        <v>0.0</v>
      </c>
      <c r="W1365" s="238">
        <v>0.0</v>
      </c>
      <c r="X1365" s="235" t="s">
        <v>628</v>
      </c>
      <c r="Z1365" s="244"/>
      <c r="AA1365" s="244"/>
      <c r="AB1365" s="244"/>
      <c r="AC1365" s="235" t="s">
        <v>1058</v>
      </c>
      <c r="AD1365" s="235" t="s">
        <v>845</v>
      </c>
      <c r="AE1365" s="238">
        <v>400009.0</v>
      </c>
      <c r="AF1365" s="235" t="s">
        <v>631</v>
      </c>
      <c r="AG1365" s="244"/>
      <c r="AH1365" s="244"/>
      <c r="AI1365" s="245"/>
      <c r="AJ1365" s="245"/>
      <c r="AK1365" s="245"/>
      <c r="AL1365" s="245"/>
      <c r="AM1365" s="244"/>
      <c r="AN1365" s="244"/>
      <c r="AO1365" s="238">
        <v>0.0</v>
      </c>
      <c r="AP1365" s="238">
        <v>0.0</v>
      </c>
      <c r="AQ1365" s="235" t="s">
        <v>632</v>
      </c>
      <c r="AR1365" s="243">
        <v>3.71E11</v>
      </c>
      <c r="AS1365" s="235" t="s">
        <v>8807</v>
      </c>
      <c r="AT1365" s="235" t="s">
        <v>546</v>
      </c>
      <c r="AU1365" s="235" t="s">
        <v>634</v>
      </c>
      <c r="AV1365" s="246" t="s">
        <v>635</v>
      </c>
      <c r="AW1365" s="242"/>
      <c r="AX1365" s="242"/>
      <c r="AY1365" s="231"/>
      <c r="AZ1365" s="231"/>
      <c r="BA1365" s="227"/>
      <c r="BB1365" s="231"/>
      <c r="BC1365" s="227"/>
      <c r="BD1365" s="227"/>
      <c r="BE1365" s="227"/>
      <c r="BF1365" s="227"/>
    </row>
    <row r="1366">
      <c r="A1366" s="235" t="s">
        <v>11075</v>
      </c>
      <c r="C1366" s="235" t="s">
        <v>11076</v>
      </c>
      <c r="D1366" s="235" t="s">
        <v>11077</v>
      </c>
      <c r="E1366" s="243">
        <v>6.55E13</v>
      </c>
      <c r="F1366" s="245"/>
      <c r="G1366" s="235" t="s">
        <v>11078</v>
      </c>
      <c r="H1366" s="235" t="s">
        <v>11079</v>
      </c>
      <c r="I1366" s="235" t="s">
        <v>11079</v>
      </c>
      <c r="J1366" s="235" t="s">
        <v>11080</v>
      </c>
      <c r="K1366" s="235" t="s">
        <v>11081</v>
      </c>
      <c r="N1366" s="235" t="s">
        <v>136</v>
      </c>
      <c r="O1366" s="235" t="s">
        <v>256</v>
      </c>
      <c r="P1366" s="238">
        <v>1.0</v>
      </c>
      <c r="Q1366" s="235" t="s">
        <v>627</v>
      </c>
      <c r="R1366" s="238">
        <v>246.67</v>
      </c>
      <c r="S1366" s="238">
        <v>11.96</v>
      </c>
      <c r="T1366" s="238">
        <v>0.0</v>
      </c>
      <c r="U1366" s="238">
        <v>0.0</v>
      </c>
      <c r="V1366" s="238">
        <v>0.0</v>
      </c>
      <c r="W1366" s="238">
        <v>0.0</v>
      </c>
      <c r="X1366" s="235" t="s">
        <v>628</v>
      </c>
      <c r="Z1366" s="244"/>
      <c r="AA1366" s="244"/>
      <c r="AB1366" s="244"/>
      <c r="AC1366" s="235" t="s">
        <v>2639</v>
      </c>
      <c r="AD1366" s="235" t="s">
        <v>630</v>
      </c>
      <c r="AE1366" s="238">
        <v>201306.0</v>
      </c>
      <c r="AF1366" s="235" t="s">
        <v>631</v>
      </c>
      <c r="AG1366" s="244"/>
      <c r="AH1366" s="244"/>
      <c r="AI1366" s="245"/>
      <c r="AJ1366" s="245"/>
      <c r="AK1366" s="245"/>
      <c r="AL1366" s="245"/>
      <c r="AM1366" s="244"/>
      <c r="AN1366" s="244"/>
      <c r="AO1366" s="238">
        <v>-7.4</v>
      </c>
      <c r="AP1366" s="238">
        <v>0.0</v>
      </c>
      <c r="AQ1366" s="235" t="s">
        <v>632</v>
      </c>
      <c r="AR1366" s="243">
        <v>1.68E11</v>
      </c>
      <c r="AS1366" s="235" t="s">
        <v>10417</v>
      </c>
      <c r="AT1366" s="235" t="s">
        <v>14</v>
      </c>
      <c r="AU1366" s="235" t="s">
        <v>634</v>
      </c>
      <c r="AV1366" s="246" t="s">
        <v>635</v>
      </c>
      <c r="AW1366" s="242"/>
      <c r="AX1366" s="242"/>
      <c r="AY1366" s="231"/>
      <c r="AZ1366" s="231"/>
      <c r="BA1366" s="227"/>
      <c r="BB1366" s="231"/>
      <c r="BC1366" s="227"/>
      <c r="BD1366" s="227"/>
      <c r="BE1366" s="227"/>
      <c r="BF1366" s="227"/>
    </row>
    <row r="1367">
      <c r="A1367" s="235" t="s">
        <v>11075</v>
      </c>
      <c r="C1367" s="235" t="s">
        <v>11076</v>
      </c>
      <c r="D1367" s="235" t="s">
        <v>11082</v>
      </c>
      <c r="E1367" s="243">
        <v>6.55E13</v>
      </c>
      <c r="F1367" s="245"/>
      <c r="G1367" s="235" t="s">
        <v>11078</v>
      </c>
      <c r="H1367" s="235" t="s">
        <v>11079</v>
      </c>
      <c r="I1367" s="235" t="s">
        <v>11079</v>
      </c>
      <c r="J1367" s="235" t="s">
        <v>11080</v>
      </c>
      <c r="K1367" s="235" t="s">
        <v>11081</v>
      </c>
      <c r="N1367" s="235" t="s">
        <v>136</v>
      </c>
      <c r="O1367" s="235" t="s">
        <v>256</v>
      </c>
      <c r="P1367" s="238">
        <v>1.0</v>
      </c>
      <c r="Q1367" s="235" t="s">
        <v>627</v>
      </c>
      <c r="R1367" s="238">
        <v>246.67</v>
      </c>
      <c r="S1367" s="238">
        <v>11.96</v>
      </c>
      <c r="T1367" s="238">
        <v>0.0</v>
      </c>
      <c r="U1367" s="238">
        <v>0.0</v>
      </c>
      <c r="V1367" s="238">
        <v>0.0</v>
      </c>
      <c r="W1367" s="238">
        <v>0.0</v>
      </c>
      <c r="X1367" s="235" t="s">
        <v>628</v>
      </c>
      <c r="Z1367" s="244"/>
      <c r="AA1367" s="244"/>
      <c r="AB1367" s="244"/>
      <c r="AC1367" s="235" t="s">
        <v>2639</v>
      </c>
      <c r="AD1367" s="235" t="s">
        <v>630</v>
      </c>
      <c r="AE1367" s="238">
        <v>201306.0</v>
      </c>
      <c r="AF1367" s="235" t="s">
        <v>631</v>
      </c>
      <c r="AG1367" s="244"/>
      <c r="AH1367" s="244"/>
      <c r="AI1367" s="245"/>
      <c r="AJ1367" s="245"/>
      <c r="AK1367" s="245"/>
      <c r="AL1367" s="245"/>
      <c r="AM1367" s="244"/>
      <c r="AN1367" s="244"/>
      <c r="AO1367" s="238">
        <v>-7.4</v>
      </c>
      <c r="AP1367" s="238">
        <v>0.0</v>
      </c>
      <c r="AQ1367" s="235" t="s">
        <v>632</v>
      </c>
      <c r="AR1367" s="243">
        <v>1.68E11</v>
      </c>
      <c r="AS1367" s="235" t="s">
        <v>10417</v>
      </c>
      <c r="AT1367" s="235" t="s">
        <v>14</v>
      </c>
      <c r="AU1367" s="235" t="s">
        <v>634</v>
      </c>
      <c r="AV1367" s="246" t="s">
        <v>635</v>
      </c>
      <c r="AW1367" s="242"/>
      <c r="AX1367" s="242"/>
      <c r="AY1367" s="231"/>
      <c r="AZ1367" s="231"/>
      <c r="BA1367" s="227"/>
      <c r="BB1367" s="231"/>
      <c r="BC1367" s="227"/>
      <c r="BD1367" s="227"/>
      <c r="BE1367" s="227"/>
      <c r="BF1367" s="227"/>
    </row>
    <row r="1368">
      <c r="A1368" s="235" t="s">
        <v>11083</v>
      </c>
      <c r="C1368" s="235" t="s">
        <v>11084</v>
      </c>
      <c r="D1368" s="235" t="s">
        <v>11085</v>
      </c>
      <c r="E1368" s="243">
        <v>6.55E13</v>
      </c>
      <c r="F1368" s="245"/>
      <c r="G1368" s="235" t="s">
        <v>11086</v>
      </c>
      <c r="H1368" s="235" t="s">
        <v>11079</v>
      </c>
      <c r="I1368" s="235" t="s">
        <v>11079</v>
      </c>
      <c r="J1368" s="235" t="s">
        <v>11087</v>
      </c>
      <c r="K1368" s="235" t="s">
        <v>11088</v>
      </c>
      <c r="N1368" s="235" t="s">
        <v>127</v>
      </c>
      <c r="O1368" s="235" t="s">
        <v>794</v>
      </c>
      <c r="P1368" s="238">
        <v>1.0</v>
      </c>
      <c r="Q1368" s="235" t="s">
        <v>627</v>
      </c>
      <c r="R1368" s="238">
        <v>246.67</v>
      </c>
      <c r="S1368" s="238">
        <v>12.33</v>
      </c>
      <c r="T1368" s="238">
        <v>0.0</v>
      </c>
      <c r="U1368" s="238">
        <v>0.0</v>
      </c>
      <c r="V1368" s="238">
        <v>0.0</v>
      </c>
      <c r="W1368" s="238">
        <v>0.0</v>
      </c>
      <c r="X1368" s="235" t="s">
        <v>628</v>
      </c>
      <c r="Z1368" s="244"/>
      <c r="AA1368" s="244"/>
      <c r="AB1368" s="244"/>
      <c r="AC1368" s="235" t="s">
        <v>697</v>
      </c>
      <c r="AD1368" s="235" t="s">
        <v>698</v>
      </c>
      <c r="AE1368" s="238">
        <v>500023.0</v>
      </c>
      <c r="AF1368" s="235" t="s">
        <v>631</v>
      </c>
      <c r="AG1368" s="244"/>
      <c r="AH1368" s="244"/>
      <c r="AI1368" s="245"/>
      <c r="AJ1368" s="245"/>
      <c r="AK1368" s="245"/>
      <c r="AL1368" s="245"/>
      <c r="AM1368" s="244"/>
      <c r="AN1368" s="244"/>
      <c r="AO1368" s="238">
        <v>0.0</v>
      </c>
      <c r="AP1368" s="238">
        <v>0.0</v>
      </c>
      <c r="AQ1368" s="235" t="s">
        <v>632</v>
      </c>
      <c r="AR1368" s="243">
        <v>1.68E11</v>
      </c>
      <c r="AS1368" s="235" t="s">
        <v>8807</v>
      </c>
      <c r="AT1368" s="235" t="s">
        <v>9</v>
      </c>
      <c r="AU1368" s="235" t="s">
        <v>634</v>
      </c>
      <c r="AV1368" s="246" t="s">
        <v>635</v>
      </c>
      <c r="AW1368" s="242"/>
      <c r="AX1368" s="242"/>
      <c r="AY1368" s="231"/>
      <c r="AZ1368" s="231"/>
      <c r="BA1368" s="227"/>
      <c r="BB1368" s="231"/>
      <c r="BC1368" s="227"/>
      <c r="BD1368" s="227"/>
      <c r="BE1368" s="227"/>
      <c r="BF1368" s="227"/>
    </row>
    <row r="1369">
      <c r="A1369" s="235" t="s">
        <v>11089</v>
      </c>
      <c r="C1369" s="235" t="s">
        <v>11090</v>
      </c>
      <c r="D1369" s="235" t="s">
        <v>11091</v>
      </c>
      <c r="E1369" s="243">
        <v>6.55E13</v>
      </c>
      <c r="F1369" s="245"/>
      <c r="G1369" s="235" t="s">
        <v>11092</v>
      </c>
      <c r="H1369" s="235" t="s">
        <v>11093</v>
      </c>
      <c r="I1369" s="235" t="s">
        <v>11093</v>
      </c>
      <c r="J1369" s="235" t="s">
        <v>11094</v>
      </c>
      <c r="K1369" s="235" t="s">
        <v>11095</v>
      </c>
      <c r="N1369" s="235" t="s">
        <v>144</v>
      </c>
      <c r="O1369" s="235" t="s">
        <v>232</v>
      </c>
      <c r="P1369" s="238">
        <v>1.0</v>
      </c>
      <c r="Q1369" s="235" t="s">
        <v>627</v>
      </c>
      <c r="R1369" s="238">
        <v>665.72</v>
      </c>
      <c r="S1369" s="238">
        <v>33.28</v>
      </c>
      <c r="T1369" s="238">
        <v>0.0</v>
      </c>
      <c r="U1369" s="238">
        <v>0.0</v>
      </c>
      <c r="V1369" s="238">
        <v>0.0</v>
      </c>
      <c r="W1369" s="238">
        <v>0.0</v>
      </c>
      <c r="X1369" s="235" t="s">
        <v>628</v>
      </c>
      <c r="Z1369" s="244"/>
      <c r="AA1369" s="244"/>
      <c r="AB1369" s="244"/>
      <c r="AC1369" s="235" t="s">
        <v>2092</v>
      </c>
      <c r="AD1369" s="235" t="s">
        <v>845</v>
      </c>
      <c r="AE1369" s="238">
        <v>411052.0</v>
      </c>
      <c r="AF1369" s="235" t="s">
        <v>631</v>
      </c>
      <c r="AG1369" s="244"/>
      <c r="AH1369" s="244"/>
      <c r="AI1369" s="245"/>
      <c r="AJ1369" s="245"/>
      <c r="AK1369" s="245"/>
      <c r="AL1369" s="245"/>
      <c r="AM1369" s="244"/>
      <c r="AN1369" s="244"/>
      <c r="AO1369" s="238">
        <v>0.0</v>
      </c>
      <c r="AP1369" s="238">
        <v>0.0</v>
      </c>
      <c r="AQ1369" s="235" t="s">
        <v>632</v>
      </c>
      <c r="AR1369" s="243">
        <v>3.71E11</v>
      </c>
      <c r="AS1369" s="235" t="s">
        <v>10017</v>
      </c>
      <c r="AT1369" s="235" t="s">
        <v>546</v>
      </c>
      <c r="AU1369" s="235" t="s">
        <v>634</v>
      </c>
      <c r="AV1369" s="246" t="s">
        <v>635</v>
      </c>
      <c r="AW1369" s="242"/>
      <c r="AX1369" s="242"/>
      <c r="AY1369" s="231"/>
      <c r="AZ1369" s="231"/>
      <c r="BA1369" s="227"/>
      <c r="BB1369" s="231"/>
      <c r="BC1369" s="227"/>
      <c r="BD1369" s="227"/>
      <c r="BE1369" s="227"/>
      <c r="BF1369" s="227"/>
    </row>
    <row r="1370">
      <c r="A1370" s="235" t="s">
        <v>11096</v>
      </c>
      <c r="C1370" s="235" t="s">
        <v>11097</v>
      </c>
      <c r="D1370" s="235" t="s">
        <v>11098</v>
      </c>
      <c r="E1370" s="243">
        <v>6.55E13</v>
      </c>
      <c r="F1370" s="245"/>
      <c r="G1370" s="235" t="s">
        <v>11099</v>
      </c>
      <c r="H1370" s="235" t="s">
        <v>11100</v>
      </c>
      <c r="I1370" s="235" t="s">
        <v>11100</v>
      </c>
      <c r="J1370" s="235" t="s">
        <v>11101</v>
      </c>
      <c r="K1370" s="235" t="s">
        <v>11102</v>
      </c>
      <c r="N1370" s="235" t="s">
        <v>85</v>
      </c>
      <c r="O1370" s="235" t="s">
        <v>872</v>
      </c>
      <c r="P1370" s="238">
        <v>1.0</v>
      </c>
      <c r="Q1370" s="235" t="s">
        <v>627</v>
      </c>
      <c r="R1370" s="238">
        <v>246.66</v>
      </c>
      <c r="S1370" s="238">
        <v>12.34</v>
      </c>
      <c r="T1370" s="238">
        <v>38.1</v>
      </c>
      <c r="U1370" s="238">
        <v>1.9</v>
      </c>
      <c r="V1370" s="238">
        <v>0.0</v>
      </c>
      <c r="W1370" s="238">
        <v>0.0</v>
      </c>
      <c r="X1370" s="235" t="s">
        <v>628</v>
      </c>
      <c r="Z1370" s="244"/>
      <c r="AA1370" s="244"/>
      <c r="AB1370" s="244"/>
      <c r="AC1370" s="235" t="s">
        <v>11103</v>
      </c>
      <c r="AD1370" s="235" t="s">
        <v>845</v>
      </c>
      <c r="AE1370" s="238">
        <v>402103.0</v>
      </c>
      <c r="AF1370" s="235" t="s">
        <v>631</v>
      </c>
      <c r="AG1370" s="244"/>
      <c r="AH1370" s="244"/>
      <c r="AI1370" s="245"/>
      <c r="AJ1370" s="245"/>
      <c r="AK1370" s="245"/>
      <c r="AL1370" s="245"/>
      <c r="AM1370" s="244"/>
      <c r="AN1370" s="244"/>
      <c r="AO1370" s="238">
        <v>0.0</v>
      </c>
      <c r="AP1370" s="238">
        <v>-38.1</v>
      </c>
      <c r="AQ1370" s="235" t="s">
        <v>632</v>
      </c>
      <c r="AR1370" s="243">
        <v>3.71E11</v>
      </c>
      <c r="AS1370" s="235" t="s">
        <v>8807</v>
      </c>
      <c r="AT1370" s="235" t="s">
        <v>17</v>
      </c>
      <c r="AU1370" s="235" t="s">
        <v>634</v>
      </c>
      <c r="AV1370" s="246" t="s">
        <v>635</v>
      </c>
      <c r="AW1370" s="242"/>
      <c r="AX1370" s="242"/>
      <c r="AY1370" s="231"/>
      <c r="AZ1370" s="231"/>
      <c r="BA1370" s="227"/>
      <c r="BB1370" s="231"/>
      <c r="BC1370" s="227"/>
      <c r="BD1370" s="227"/>
      <c r="BE1370" s="227"/>
      <c r="BF1370" s="227"/>
    </row>
    <row r="1371">
      <c r="A1371" s="235" t="s">
        <v>11104</v>
      </c>
      <c r="C1371" s="235" t="s">
        <v>11105</v>
      </c>
      <c r="D1371" s="235" t="s">
        <v>11106</v>
      </c>
      <c r="E1371" s="243">
        <v>6.55E13</v>
      </c>
      <c r="F1371" s="245"/>
      <c r="G1371" s="235" t="s">
        <v>11107</v>
      </c>
      <c r="H1371" s="235" t="s">
        <v>11108</v>
      </c>
      <c r="I1371" s="235" t="s">
        <v>11108</v>
      </c>
      <c r="J1371" s="235" t="s">
        <v>11109</v>
      </c>
      <c r="K1371" s="235" t="s">
        <v>11110</v>
      </c>
      <c r="N1371" s="235" t="s">
        <v>4</v>
      </c>
      <c r="O1371" s="235" t="s">
        <v>1791</v>
      </c>
      <c r="P1371" s="238">
        <v>1.0</v>
      </c>
      <c r="Q1371" s="235" t="s">
        <v>627</v>
      </c>
      <c r="R1371" s="238">
        <v>265.72</v>
      </c>
      <c r="S1371" s="238">
        <v>12.88</v>
      </c>
      <c r="T1371" s="238">
        <v>9.04</v>
      </c>
      <c r="U1371" s="238">
        <v>0.46</v>
      </c>
      <c r="V1371" s="238">
        <v>0.0</v>
      </c>
      <c r="W1371" s="238">
        <v>0.0</v>
      </c>
      <c r="X1371" s="235" t="s">
        <v>628</v>
      </c>
      <c r="Z1371" s="244"/>
      <c r="AA1371" s="244"/>
      <c r="AB1371" s="244"/>
      <c r="AC1371" s="235" t="s">
        <v>844</v>
      </c>
      <c r="AD1371" s="235" t="s">
        <v>845</v>
      </c>
      <c r="AE1371" s="238">
        <v>411038.0</v>
      </c>
      <c r="AF1371" s="235" t="s">
        <v>631</v>
      </c>
      <c r="AG1371" s="244"/>
      <c r="AH1371" s="244"/>
      <c r="AI1371" s="245"/>
      <c r="AJ1371" s="245"/>
      <c r="AK1371" s="245"/>
      <c r="AL1371" s="245"/>
      <c r="AM1371" s="244"/>
      <c r="AN1371" s="244"/>
      <c r="AO1371" s="238">
        <v>-7.97</v>
      </c>
      <c r="AP1371" s="238">
        <v>-9.04</v>
      </c>
      <c r="AQ1371" s="235" t="s">
        <v>632</v>
      </c>
      <c r="AR1371" s="243">
        <v>1.68E11</v>
      </c>
      <c r="AS1371" s="235" t="s">
        <v>10417</v>
      </c>
      <c r="AT1371" s="235" t="s">
        <v>546</v>
      </c>
      <c r="AU1371" s="235" t="s">
        <v>634</v>
      </c>
      <c r="AV1371" s="246" t="s">
        <v>635</v>
      </c>
      <c r="AW1371" s="242"/>
      <c r="AX1371" s="242"/>
      <c r="AY1371" s="231"/>
      <c r="AZ1371" s="231"/>
      <c r="BA1371" s="227"/>
      <c r="BB1371" s="231"/>
      <c r="BC1371" s="227"/>
      <c r="BD1371" s="227"/>
      <c r="BE1371" s="227"/>
      <c r="BF1371" s="227"/>
    </row>
    <row r="1372">
      <c r="A1372" s="235" t="s">
        <v>11104</v>
      </c>
      <c r="C1372" s="235" t="s">
        <v>11105</v>
      </c>
      <c r="D1372" s="235" t="s">
        <v>11111</v>
      </c>
      <c r="E1372" s="243">
        <v>6.55E13</v>
      </c>
      <c r="F1372" s="245"/>
      <c r="G1372" s="235" t="s">
        <v>11107</v>
      </c>
      <c r="H1372" s="235" t="s">
        <v>11108</v>
      </c>
      <c r="I1372" s="235" t="s">
        <v>11108</v>
      </c>
      <c r="J1372" s="235" t="s">
        <v>11109</v>
      </c>
      <c r="K1372" s="235" t="s">
        <v>11110</v>
      </c>
      <c r="N1372" s="235" t="s">
        <v>4</v>
      </c>
      <c r="O1372" s="235" t="s">
        <v>1791</v>
      </c>
      <c r="P1372" s="238">
        <v>1.0</v>
      </c>
      <c r="Q1372" s="235" t="s">
        <v>627</v>
      </c>
      <c r="R1372" s="238">
        <v>265.72</v>
      </c>
      <c r="S1372" s="238">
        <v>12.88</v>
      </c>
      <c r="T1372" s="238">
        <v>9.04</v>
      </c>
      <c r="U1372" s="238">
        <v>0.46</v>
      </c>
      <c r="V1372" s="238">
        <v>0.0</v>
      </c>
      <c r="W1372" s="238">
        <v>0.0</v>
      </c>
      <c r="X1372" s="235" t="s">
        <v>628</v>
      </c>
      <c r="Z1372" s="244"/>
      <c r="AA1372" s="244"/>
      <c r="AB1372" s="244"/>
      <c r="AC1372" s="235" t="s">
        <v>844</v>
      </c>
      <c r="AD1372" s="235" t="s">
        <v>845</v>
      </c>
      <c r="AE1372" s="238">
        <v>411038.0</v>
      </c>
      <c r="AF1372" s="235" t="s">
        <v>631</v>
      </c>
      <c r="AG1372" s="244"/>
      <c r="AH1372" s="244"/>
      <c r="AI1372" s="245"/>
      <c r="AJ1372" s="245"/>
      <c r="AK1372" s="245"/>
      <c r="AL1372" s="245"/>
      <c r="AM1372" s="244"/>
      <c r="AN1372" s="244"/>
      <c r="AO1372" s="238">
        <v>-7.97</v>
      </c>
      <c r="AP1372" s="238">
        <v>-9.04</v>
      </c>
      <c r="AQ1372" s="235" t="s">
        <v>632</v>
      </c>
      <c r="AR1372" s="243">
        <v>1.68E11</v>
      </c>
      <c r="AS1372" s="235" t="s">
        <v>10417</v>
      </c>
      <c r="AT1372" s="235" t="s">
        <v>546</v>
      </c>
      <c r="AU1372" s="235" t="s">
        <v>634</v>
      </c>
      <c r="AV1372" s="246" t="s">
        <v>635</v>
      </c>
      <c r="AW1372" s="242"/>
      <c r="AX1372" s="242"/>
      <c r="AY1372" s="231"/>
      <c r="AZ1372" s="231"/>
      <c r="BA1372" s="227"/>
      <c r="BB1372" s="231"/>
      <c r="BC1372" s="227"/>
      <c r="BD1372" s="227"/>
      <c r="BE1372" s="227"/>
      <c r="BF1372" s="227"/>
    </row>
    <row r="1373">
      <c r="A1373" s="235" t="s">
        <v>11112</v>
      </c>
      <c r="C1373" s="235" t="s">
        <v>11113</v>
      </c>
      <c r="D1373" s="235" t="s">
        <v>11114</v>
      </c>
      <c r="E1373" s="243">
        <v>6.55E13</v>
      </c>
      <c r="F1373" s="245"/>
      <c r="G1373" s="235" t="s">
        <v>11115</v>
      </c>
      <c r="H1373" s="235" t="s">
        <v>11116</v>
      </c>
      <c r="I1373" s="235" t="s">
        <v>11116</v>
      </c>
      <c r="J1373" s="235" t="s">
        <v>11117</v>
      </c>
      <c r="K1373" s="235" t="s">
        <v>11118</v>
      </c>
      <c r="N1373" s="235" t="s">
        <v>82</v>
      </c>
      <c r="O1373" s="235" t="s">
        <v>889</v>
      </c>
      <c r="P1373" s="238">
        <v>1.0</v>
      </c>
      <c r="Q1373" s="235" t="s">
        <v>627</v>
      </c>
      <c r="R1373" s="238">
        <v>246.67</v>
      </c>
      <c r="S1373" s="238">
        <v>12.33</v>
      </c>
      <c r="T1373" s="238">
        <v>38.1</v>
      </c>
      <c r="U1373" s="238">
        <v>1.9</v>
      </c>
      <c r="V1373" s="238">
        <v>0.0</v>
      </c>
      <c r="W1373" s="238">
        <v>0.0</v>
      </c>
      <c r="X1373" s="235" t="s">
        <v>628</v>
      </c>
      <c r="Z1373" s="244"/>
      <c r="AA1373" s="244"/>
      <c r="AB1373" s="244"/>
      <c r="AC1373" s="235" t="s">
        <v>2672</v>
      </c>
      <c r="AD1373" s="235" t="s">
        <v>630</v>
      </c>
      <c r="AE1373" s="238">
        <v>208017.0</v>
      </c>
      <c r="AF1373" s="235" t="s">
        <v>631</v>
      </c>
      <c r="AG1373" s="244"/>
      <c r="AH1373" s="244"/>
      <c r="AI1373" s="245"/>
      <c r="AJ1373" s="245"/>
      <c r="AK1373" s="245"/>
      <c r="AL1373" s="245"/>
      <c r="AM1373" s="244"/>
      <c r="AN1373" s="244"/>
      <c r="AO1373" s="238">
        <v>0.0</v>
      </c>
      <c r="AP1373" s="238">
        <v>-38.1</v>
      </c>
      <c r="AQ1373" s="235" t="s">
        <v>632</v>
      </c>
      <c r="AR1373" s="243">
        <v>3.71E11</v>
      </c>
      <c r="AS1373" s="235" t="s">
        <v>8807</v>
      </c>
      <c r="AT1373" s="235" t="s">
        <v>13</v>
      </c>
      <c r="AU1373" s="235" t="s">
        <v>634</v>
      </c>
      <c r="AV1373" s="246" t="s">
        <v>635</v>
      </c>
      <c r="AW1373" s="242"/>
      <c r="AX1373" s="242"/>
      <c r="AY1373" s="231"/>
      <c r="AZ1373" s="231"/>
      <c r="BA1373" s="227"/>
      <c r="BB1373" s="231"/>
      <c r="BC1373" s="227"/>
      <c r="BD1373" s="227"/>
      <c r="BE1373" s="227"/>
      <c r="BF1373" s="227"/>
    </row>
    <row r="1374">
      <c r="A1374" s="235" t="s">
        <v>11119</v>
      </c>
      <c r="C1374" s="235" t="s">
        <v>11120</v>
      </c>
      <c r="D1374" s="235" t="s">
        <v>11121</v>
      </c>
      <c r="E1374" s="243">
        <v>6.55E13</v>
      </c>
      <c r="F1374" s="245"/>
      <c r="G1374" s="235" t="s">
        <v>11122</v>
      </c>
      <c r="H1374" s="235" t="s">
        <v>11123</v>
      </c>
      <c r="I1374" s="235" t="s">
        <v>11123</v>
      </c>
      <c r="J1374" s="235" t="s">
        <v>11124</v>
      </c>
      <c r="K1374" s="235" t="s">
        <v>11125</v>
      </c>
      <c r="N1374" s="235" t="s">
        <v>130</v>
      </c>
      <c r="O1374" s="235" t="s">
        <v>707</v>
      </c>
      <c r="P1374" s="238">
        <v>1.0</v>
      </c>
      <c r="Q1374" s="235" t="s">
        <v>627</v>
      </c>
      <c r="R1374" s="238">
        <v>246.67</v>
      </c>
      <c r="S1374" s="238">
        <v>12.33</v>
      </c>
      <c r="T1374" s="238">
        <v>0.0</v>
      </c>
      <c r="U1374" s="238">
        <v>0.0</v>
      </c>
      <c r="V1374" s="238">
        <v>0.0</v>
      </c>
      <c r="W1374" s="238">
        <v>0.0</v>
      </c>
      <c r="X1374" s="235" t="s">
        <v>628</v>
      </c>
      <c r="Z1374" s="244"/>
      <c r="AA1374" s="244"/>
      <c r="AB1374" s="244"/>
      <c r="AC1374" s="235" t="s">
        <v>697</v>
      </c>
      <c r="AD1374" s="235" t="s">
        <v>698</v>
      </c>
      <c r="AE1374" s="238">
        <v>500050.0</v>
      </c>
      <c r="AF1374" s="235" t="s">
        <v>631</v>
      </c>
      <c r="AG1374" s="244"/>
      <c r="AH1374" s="244"/>
      <c r="AI1374" s="245"/>
      <c r="AJ1374" s="245"/>
      <c r="AK1374" s="245"/>
      <c r="AL1374" s="245"/>
      <c r="AM1374" s="244"/>
      <c r="AN1374" s="244"/>
      <c r="AO1374" s="238">
        <v>0.0</v>
      </c>
      <c r="AP1374" s="238">
        <v>0.0</v>
      </c>
      <c r="AQ1374" s="235" t="s">
        <v>632</v>
      </c>
      <c r="AR1374" s="243">
        <v>2.02E11</v>
      </c>
      <c r="AS1374" s="235" t="s">
        <v>10017</v>
      </c>
      <c r="AT1374" s="235" t="s">
        <v>156</v>
      </c>
      <c r="AU1374" s="235" t="s">
        <v>634</v>
      </c>
      <c r="AV1374" s="246" t="s">
        <v>635</v>
      </c>
      <c r="AW1374" s="242"/>
      <c r="AX1374" s="242"/>
      <c r="AY1374" s="231"/>
      <c r="AZ1374" s="231"/>
      <c r="BA1374" s="227"/>
      <c r="BB1374" s="231"/>
      <c r="BC1374" s="227"/>
      <c r="BD1374" s="227"/>
      <c r="BE1374" s="227"/>
      <c r="BF1374" s="227"/>
    </row>
    <row r="1375">
      <c r="A1375" s="235" t="s">
        <v>11126</v>
      </c>
      <c r="C1375" s="235" t="s">
        <v>11127</v>
      </c>
      <c r="D1375" s="235" t="s">
        <v>11128</v>
      </c>
      <c r="E1375" s="243">
        <v>6.55E13</v>
      </c>
      <c r="F1375" s="245"/>
      <c r="G1375" s="235" t="s">
        <v>11129</v>
      </c>
      <c r="H1375" s="235" t="s">
        <v>11130</v>
      </c>
      <c r="I1375" s="235" t="s">
        <v>11131</v>
      </c>
      <c r="J1375" s="235" t="s">
        <v>11132</v>
      </c>
      <c r="K1375" s="235" t="s">
        <v>11133</v>
      </c>
      <c r="N1375" s="235" t="s">
        <v>92</v>
      </c>
      <c r="O1375" s="235" t="s">
        <v>248</v>
      </c>
      <c r="P1375" s="238">
        <v>1.0</v>
      </c>
      <c r="Q1375" s="235" t="s">
        <v>627</v>
      </c>
      <c r="R1375" s="238">
        <v>246.66</v>
      </c>
      <c r="S1375" s="238">
        <v>12.34</v>
      </c>
      <c r="T1375" s="238">
        <v>9.04</v>
      </c>
      <c r="U1375" s="238">
        <v>0.46</v>
      </c>
      <c r="V1375" s="238">
        <v>0.0</v>
      </c>
      <c r="W1375" s="238">
        <v>0.0</v>
      </c>
      <c r="X1375" s="235" t="s">
        <v>628</v>
      </c>
      <c r="Z1375" s="244"/>
      <c r="AA1375" s="244"/>
      <c r="AB1375" s="244"/>
      <c r="AC1375" s="235" t="s">
        <v>678</v>
      </c>
      <c r="AD1375" s="235" t="s">
        <v>679</v>
      </c>
      <c r="AE1375" s="238">
        <v>560087.0</v>
      </c>
      <c r="AF1375" s="235" t="s">
        <v>631</v>
      </c>
      <c r="AG1375" s="244"/>
      <c r="AH1375" s="244"/>
      <c r="AI1375" s="245"/>
      <c r="AJ1375" s="245"/>
      <c r="AK1375" s="245"/>
      <c r="AL1375" s="245"/>
      <c r="AM1375" s="244"/>
      <c r="AN1375" s="244"/>
      <c r="AO1375" s="238">
        <v>0.0</v>
      </c>
      <c r="AP1375" s="238">
        <v>-9.04</v>
      </c>
      <c r="AQ1375" s="235" t="s">
        <v>632</v>
      </c>
      <c r="AR1375" s="243">
        <v>1.68E11</v>
      </c>
      <c r="AS1375" s="235" t="s">
        <v>10417</v>
      </c>
      <c r="AT1375" s="235" t="s">
        <v>9</v>
      </c>
      <c r="AU1375" s="235" t="s">
        <v>634</v>
      </c>
      <c r="AV1375" s="246" t="s">
        <v>635</v>
      </c>
      <c r="AW1375" s="242"/>
      <c r="AX1375" s="242"/>
      <c r="AY1375" s="231"/>
      <c r="AZ1375" s="231"/>
      <c r="BA1375" s="227"/>
      <c r="BB1375" s="231"/>
      <c r="BC1375" s="227"/>
      <c r="BD1375" s="227"/>
      <c r="BE1375" s="227"/>
      <c r="BF1375" s="227"/>
    </row>
    <row r="1376">
      <c r="A1376" s="235" t="s">
        <v>11134</v>
      </c>
      <c r="C1376" s="235" t="s">
        <v>11135</v>
      </c>
      <c r="D1376" s="235" t="s">
        <v>11136</v>
      </c>
      <c r="E1376" s="243">
        <v>6.55E13</v>
      </c>
      <c r="F1376" s="245"/>
      <c r="G1376" s="235" t="s">
        <v>11137</v>
      </c>
      <c r="H1376" s="235" t="s">
        <v>11138</v>
      </c>
      <c r="I1376" s="235" t="s">
        <v>11138</v>
      </c>
      <c r="J1376" s="235" t="s">
        <v>11139</v>
      </c>
      <c r="K1376" s="235" t="s">
        <v>11140</v>
      </c>
      <c r="N1376" s="235" t="s">
        <v>138</v>
      </c>
      <c r="O1376" s="235" t="s">
        <v>675</v>
      </c>
      <c r="P1376" s="238">
        <v>1.0</v>
      </c>
      <c r="Q1376" s="235" t="s">
        <v>627</v>
      </c>
      <c r="R1376" s="238">
        <v>246.67</v>
      </c>
      <c r="S1376" s="238">
        <v>12.33</v>
      </c>
      <c r="T1376" s="238">
        <v>0.0</v>
      </c>
      <c r="U1376" s="238">
        <v>0.0</v>
      </c>
      <c r="V1376" s="238">
        <v>0.0</v>
      </c>
      <c r="W1376" s="238">
        <v>0.0</v>
      </c>
      <c r="X1376" s="235" t="s">
        <v>628</v>
      </c>
      <c r="Z1376" s="244"/>
      <c r="AA1376" s="244"/>
      <c r="AB1376" s="244"/>
      <c r="AC1376" s="235" t="s">
        <v>10940</v>
      </c>
      <c r="AD1376" s="235" t="s">
        <v>645</v>
      </c>
      <c r="AE1376" s="238">
        <v>682030.0</v>
      </c>
      <c r="AF1376" s="235" t="s">
        <v>631</v>
      </c>
      <c r="AG1376" s="244"/>
      <c r="AH1376" s="244"/>
      <c r="AI1376" s="245"/>
      <c r="AJ1376" s="245"/>
      <c r="AK1376" s="245"/>
      <c r="AL1376" s="245"/>
      <c r="AM1376" s="244"/>
      <c r="AN1376" s="244"/>
      <c r="AO1376" s="238">
        <v>0.0</v>
      </c>
      <c r="AP1376" s="238">
        <v>0.0</v>
      </c>
      <c r="AQ1376" s="235" t="s">
        <v>632</v>
      </c>
      <c r="AR1376" s="243">
        <v>3.71E11</v>
      </c>
      <c r="AS1376" s="235" t="s">
        <v>10017</v>
      </c>
      <c r="AT1376" s="235" t="s">
        <v>155</v>
      </c>
      <c r="AU1376" s="235" t="s">
        <v>634</v>
      </c>
      <c r="AV1376" s="246" t="s">
        <v>635</v>
      </c>
      <c r="AW1376" s="242"/>
      <c r="AX1376" s="242"/>
      <c r="AY1376" s="231"/>
      <c r="AZ1376" s="231"/>
      <c r="BA1376" s="227"/>
      <c r="BB1376" s="231"/>
      <c r="BC1376" s="227"/>
      <c r="BD1376" s="227"/>
      <c r="BE1376" s="227"/>
      <c r="BF1376" s="227"/>
    </row>
    <row r="1377">
      <c r="A1377" s="235" t="s">
        <v>11141</v>
      </c>
      <c r="C1377" s="235" t="s">
        <v>11142</v>
      </c>
      <c r="D1377" s="235" t="s">
        <v>11143</v>
      </c>
      <c r="E1377" s="243">
        <v>6.55E13</v>
      </c>
      <c r="F1377" s="245"/>
      <c r="G1377" s="235" t="s">
        <v>11144</v>
      </c>
      <c r="H1377" s="235" t="s">
        <v>11145</v>
      </c>
      <c r="I1377" s="235" t="s">
        <v>11145</v>
      </c>
      <c r="J1377" s="235" t="s">
        <v>11147</v>
      </c>
      <c r="K1377" s="235" t="s">
        <v>6339</v>
      </c>
      <c r="N1377" s="235" t="s">
        <v>154</v>
      </c>
      <c r="O1377" s="235" t="s">
        <v>766</v>
      </c>
      <c r="P1377" s="238">
        <v>1.0</v>
      </c>
      <c r="Q1377" s="235" t="s">
        <v>627</v>
      </c>
      <c r="R1377" s="238">
        <v>465.71</v>
      </c>
      <c r="S1377" s="238">
        <v>23.29</v>
      </c>
      <c r="T1377" s="238">
        <v>38.1</v>
      </c>
      <c r="U1377" s="238">
        <v>1.9</v>
      </c>
      <c r="V1377" s="238">
        <v>0.0</v>
      </c>
      <c r="W1377" s="238">
        <v>0.0</v>
      </c>
      <c r="X1377" s="235" t="s">
        <v>628</v>
      </c>
      <c r="Z1377" s="244"/>
      <c r="AA1377" s="244"/>
      <c r="AB1377" s="244"/>
      <c r="AC1377" s="235" t="s">
        <v>6172</v>
      </c>
      <c r="AD1377" s="235" t="s">
        <v>6173</v>
      </c>
      <c r="AE1377" s="238">
        <v>396230.0</v>
      </c>
      <c r="AF1377" s="235" t="s">
        <v>631</v>
      </c>
      <c r="AG1377" s="244"/>
      <c r="AH1377" s="244"/>
      <c r="AI1377" s="245"/>
      <c r="AJ1377" s="245"/>
      <c r="AK1377" s="245"/>
      <c r="AL1377" s="245"/>
      <c r="AM1377" s="244"/>
      <c r="AN1377" s="244"/>
      <c r="AO1377" s="238">
        <v>0.0</v>
      </c>
      <c r="AP1377" s="238">
        <v>-38.1</v>
      </c>
      <c r="AQ1377" s="235" t="s">
        <v>632</v>
      </c>
      <c r="AR1377" s="243">
        <v>3.71E11</v>
      </c>
      <c r="AS1377" s="235" t="s">
        <v>6164</v>
      </c>
      <c r="AT1377" s="235" t="s">
        <v>546</v>
      </c>
      <c r="AU1377" s="235" t="s">
        <v>634</v>
      </c>
      <c r="AV1377" s="246" t="s">
        <v>635</v>
      </c>
      <c r="AW1377" s="242"/>
      <c r="AX1377" s="242"/>
      <c r="AY1377" s="231"/>
      <c r="AZ1377" s="231"/>
      <c r="BA1377" s="227"/>
      <c r="BB1377" s="231"/>
      <c r="BC1377" s="227"/>
      <c r="BD1377" s="227"/>
      <c r="BE1377" s="227"/>
      <c r="BF1377" s="227"/>
    </row>
    <row r="1378">
      <c r="A1378" s="235" t="s">
        <v>11149</v>
      </c>
      <c r="C1378" s="235" t="s">
        <v>11150</v>
      </c>
      <c r="D1378" s="235" t="s">
        <v>11151</v>
      </c>
      <c r="E1378" s="243">
        <v>6.55E13</v>
      </c>
      <c r="F1378" s="245"/>
      <c r="G1378" s="235" t="s">
        <v>11152</v>
      </c>
      <c r="H1378" s="235" t="s">
        <v>11153</v>
      </c>
      <c r="I1378" s="235" t="s">
        <v>11154</v>
      </c>
      <c r="J1378" s="235" t="s">
        <v>11155</v>
      </c>
      <c r="K1378" s="235" t="s">
        <v>11156</v>
      </c>
      <c r="N1378" s="235" t="s">
        <v>78</v>
      </c>
      <c r="O1378" s="235" t="s">
        <v>360</v>
      </c>
      <c r="P1378" s="238">
        <v>2.0</v>
      </c>
      <c r="Q1378" s="235" t="s">
        <v>627</v>
      </c>
      <c r="R1378" s="238">
        <v>708.58</v>
      </c>
      <c r="S1378" s="238">
        <v>34.36</v>
      </c>
      <c r="T1378" s="238">
        <v>76.2</v>
      </c>
      <c r="U1378" s="238">
        <v>3.8</v>
      </c>
      <c r="V1378" s="238">
        <v>0.0</v>
      </c>
      <c r="W1378" s="238">
        <v>0.0</v>
      </c>
      <c r="X1378" s="235" t="s">
        <v>628</v>
      </c>
      <c r="Z1378" s="244"/>
      <c r="AA1378" s="244"/>
      <c r="AB1378" s="244"/>
      <c r="AC1378" s="235" t="s">
        <v>687</v>
      </c>
      <c r="AD1378" s="235" t="s">
        <v>666</v>
      </c>
      <c r="AE1378" s="238">
        <v>600034.0</v>
      </c>
      <c r="AF1378" s="235" t="s">
        <v>631</v>
      </c>
      <c r="AG1378" s="244"/>
      <c r="AH1378" s="244"/>
      <c r="AI1378" s="245"/>
      <c r="AJ1378" s="245"/>
      <c r="AK1378" s="245"/>
      <c r="AL1378" s="245"/>
      <c r="AM1378" s="244"/>
      <c r="AN1378" s="244"/>
      <c r="AO1378" s="238">
        <v>-21.26</v>
      </c>
      <c r="AP1378" s="238">
        <v>-76.2</v>
      </c>
      <c r="AQ1378" s="235" t="s">
        <v>632</v>
      </c>
      <c r="AR1378" s="243">
        <v>3.71E11</v>
      </c>
      <c r="AS1378" s="235" t="s">
        <v>8807</v>
      </c>
      <c r="AT1378" s="235" t="s">
        <v>9</v>
      </c>
      <c r="AU1378" s="235" t="s">
        <v>634</v>
      </c>
      <c r="AV1378" s="246" t="s">
        <v>635</v>
      </c>
      <c r="AW1378" s="242"/>
      <c r="AX1378" s="242"/>
      <c r="AY1378" s="231"/>
      <c r="AZ1378" s="231"/>
      <c r="BA1378" s="227"/>
      <c r="BB1378" s="231"/>
      <c r="BC1378" s="227"/>
      <c r="BD1378" s="227"/>
      <c r="BE1378" s="227"/>
      <c r="BF1378" s="227"/>
    </row>
    <row r="1379">
      <c r="A1379" s="235" t="s">
        <v>11157</v>
      </c>
      <c r="C1379" s="235" t="s">
        <v>11158</v>
      </c>
      <c r="D1379" s="235" t="s">
        <v>11159</v>
      </c>
      <c r="E1379" s="243">
        <v>6.55E13</v>
      </c>
      <c r="F1379" s="245"/>
      <c r="G1379" s="235" t="s">
        <v>11160</v>
      </c>
      <c r="H1379" s="235" t="s">
        <v>11161</v>
      </c>
      <c r="I1379" s="235" t="s">
        <v>11161</v>
      </c>
      <c r="J1379" s="235" t="s">
        <v>11162</v>
      </c>
      <c r="K1379" s="235" t="s">
        <v>11163</v>
      </c>
      <c r="N1379" s="235" t="s">
        <v>541</v>
      </c>
      <c r="O1379" s="235" t="s">
        <v>664</v>
      </c>
      <c r="P1379" s="238">
        <v>1.0</v>
      </c>
      <c r="Q1379" s="235" t="s">
        <v>627</v>
      </c>
      <c r="R1379" s="238">
        <v>668.64</v>
      </c>
      <c r="S1379" s="238">
        <v>120.36</v>
      </c>
      <c r="T1379" s="238">
        <v>0.0</v>
      </c>
      <c r="U1379" s="238">
        <v>0.0</v>
      </c>
      <c r="V1379" s="238">
        <v>0.0</v>
      </c>
      <c r="W1379" s="238">
        <v>0.0</v>
      </c>
      <c r="X1379" s="235" t="s">
        <v>628</v>
      </c>
      <c r="Z1379" s="244"/>
      <c r="AA1379" s="244"/>
      <c r="AB1379" s="244"/>
      <c r="AC1379" s="235" t="s">
        <v>1058</v>
      </c>
      <c r="AD1379" s="235" t="s">
        <v>845</v>
      </c>
      <c r="AE1379" s="238">
        <v>400057.0</v>
      </c>
      <c r="AF1379" s="235" t="s">
        <v>631</v>
      </c>
      <c r="AG1379" s="244"/>
      <c r="AH1379" s="244"/>
      <c r="AI1379" s="245"/>
      <c r="AJ1379" s="245"/>
      <c r="AK1379" s="245"/>
      <c r="AL1379" s="245"/>
      <c r="AM1379" s="244"/>
      <c r="AN1379" s="244"/>
      <c r="AO1379" s="238">
        <v>0.0</v>
      </c>
      <c r="AP1379" s="238">
        <v>0.0</v>
      </c>
      <c r="AQ1379" s="235" t="s">
        <v>632</v>
      </c>
      <c r="AR1379" s="243">
        <v>1.68E11</v>
      </c>
      <c r="AS1379" s="235" t="s">
        <v>10417</v>
      </c>
      <c r="AT1379" s="235" t="s">
        <v>16</v>
      </c>
      <c r="AU1379" s="235" t="s">
        <v>634</v>
      </c>
      <c r="AV1379" s="246" t="s">
        <v>635</v>
      </c>
      <c r="AW1379" s="242"/>
      <c r="AX1379" s="242"/>
      <c r="AY1379" s="231"/>
      <c r="AZ1379" s="231"/>
      <c r="BA1379" s="227"/>
      <c r="BB1379" s="231"/>
      <c r="BC1379" s="227"/>
      <c r="BD1379" s="227"/>
      <c r="BE1379" s="227"/>
      <c r="BF1379" s="227"/>
    </row>
    <row r="1380">
      <c r="A1380" s="235" t="s">
        <v>11164</v>
      </c>
      <c r="C1380" s="235" t="s">
        <v>11165</v>
      </c>
      <c r="D1380" s="235" t="s">
        <v>11166</v>
      </c>
      <c r="E1380" s="243">
        <v>6.55E13</v>
      </c>
      <c r="F1380" s="245"/>
      <c r="G1380" s="235" t="s">
        <v>11167</v>
      </c>
      <c r="H1380" s="235" t="s">
        <v>11168</v>
      </c>
      <c r="I1380" s="235" t="s">
        <v>11168</v>
      </c>
      <c r="J1380" s="235" t="s">
        <v>11169</v>
      </c>
      <c r="K1380" s="235" t="s">
        <v>11170</v>
      </c>
      <c r="N1380" s="235" t="s">
        <v>50</v>
      </c>
      <c r="O1380" s="235" t="s">
        <v>367</v>
      </c>
      <c r="P1380" s="238">
        <v>1.0</v>
      </c>
      <c r="Q1380" s="235" t="s">
        <v>627</v>
      </c>
      <c r="R1380" s="238">
        <v>237.14</v>
      </c>
      <c r="S1380" s="238">
        <v>11.86</v>
      </c>
      <c r="T1380" s="238">
        <v>0.0</v>
      </c>
      <c r="U1380" s="238">
        <v>0.0</v>
      </c>
      <c r="V1380" s="238">
        <v>0.0</v>
      </c>
      <c r="W1380" s="238">
        <v>0.0</v>
      </c>
      <c r="X1380" s="235" t="s">
        <v>628</v>
      </c>
      <c r="Z1380" s="244"/>
      <c r="AA1380" s="244"/>
      <c r="AB1380" s="244"/>
      <c r="AC1380" s="235" t="s">
        <v>678</v>
      </c>
      <c r="AD1380" s="235" t="s">
        <v>679</v>
      </c>
      <c r="AE1380" s="238">
        <v>560100.0</v>
      </c>
      <c r="AF1380" s="235" t="s">
        <v>631</v>
      </c>
      <c r="AG1380" s="244"/>
      <c r="AH1380" s="244"/>
      <c r="AI1380" s="245"/>
      <c r="AJ1380" s="245"/>
      <c r="AK1380" s="245"/>
      <c r="AL1380" s="245"/>
      <c r="AM1380" s="244"/>
      <c r="AN1380" s="244"/>
      <c r="AO1380" s="238">
        <v>0.0</v>
      </c>
      <c r="AP1380" s="238">
        <v>0.0</v>
      </c>
      <c r="AQ1380" s="235" t="s">
        <v>632</v>
      </c>
      <c r="AR1380" s="243">
        <v>1.68E11</v>
      </c>
      <c r="AS1380" s="235" t="s">
        <v>11171</v>
      </c>
      <c r="AT1380" s="235" t="s">
        <v>9</v>
      </c>
      <c r="AU1380" s="235" t="s">
        <v>634</v>
      </c>
      <c r="AV1380" s="246" t="s">
        <v>635</v>
      </c>
      <c r="AW1380" s="242"/>
      <c r="AX1380" s="242"/>
      <c r="AY1380" s="231"/>
      <c r="AZ1380" s="231"/>
      <c r="BA1380" s="227"/>
      <c r="BB1380" s="231"/>
      <c r="BC1380" s="227"/>
      <c r="BD1380" s="227"/>
      <c r="BE1380" s="227"/>
      <c r="BF1380" s="227"/>
    </row>
    <row r="1381">
      <c r="A1381" s="235" t="s">
        <v>11172</v>
      </c>
      <c r="C1381" s="235" t="s">
        <v>11173</v>
      </c>
      <c r="D1381" s="235" t="s">
        <v>11174</v>
      </c>
      <c r="E1381" s="243">
        <v>6.55E13</v>
      </c>
      <c r="F1381" s="245"/>
      <c r="G1381" s="235" t="s">
        <v>11175</v>
      </c>
      <c r="H1381" s="235" t="s">
        <v>11176</v>
      </c>
      <c r="I1381" s="235" t="s">
        <v>11176</v>
      </c>
      <c r="J1381" s="235" t="s">
        <v>11177</v>
      </c>
      <c r="K1381" s="235" t="s">
        <v>11178</v>
      </c>
      <c r="N1381" s="235" t="s">
        <v>92</v>
      </c>
      <c r="O1381" s="235" t="s">
        <v>248</v>
      </c>
      <c r="P1381" s="238">
        <v>1.0</v>
      </c>
      <c r="Q1381" s="235" t="s">
        <v>627</v>
      </c>
      <c r="R1381" s="238">
        <v>246.67</v>
      </c>
      <c r="S1381" s="238">
        <v>12.33</v>
      </c>
      <c r="T1381" s="238">
        <v>0.0</v>
      </c>
      <c r="U1381" s="238">
        <v>0.0</v>
      </c>
      <c r="V1381" s="238">
        <v>0.0</v>
      </c>
      <c r="W1381" s="238">
        <v>0.0</v>
      </c>
      <c r="X1381" s="235" t="s">
        <v>628</v>
      </c>
      <c r="Z1381" s="244"/>
      <c r="AA1381" s="244"/>
      <c r="AB1381" s="244"/>
      <c r="AC1381" s="235" t="s">
        <v>1878</v>
      </c>
      <c r="AD1381" s="235" t="s">
        <v>645</v>
      </c>
      <c r="AE1381" s="238">
        <v>680541.0</v>
      </c>
      <c r="AF1381" s="235" t="s">
        <v>631</v>
      </c>
      <c r="AG1381" s="244"/>
      <c r="AH1381" s="244"/>
      <c r="AI1381" s="245"/>
      <c r="AJ1381" s="245"/>
      <c r="AK1381" s="245"/>
      <c r="AL1381" s="245"/>
      <c r="AM1381" s="244"/>
      <c r="AN1381" s="244"/>
      <c r="AO1381" s="238">
        <v>0.0</v>
      </c>
      <c r="AP1381" s="238">
        <v>0.0</v>
      </c>
      <c r="AQ1381" s="235" t="s">
        <v>632</v>
      </c>
      <c r="AR1381" s="243">
        <v>3.71E11</v>
      </c>
      <c r="AS1381" s="235" t="s">
        <v>8807</v>
      </c>
      <c r="AT1381" s="235" t="s">
        <v>9</v>
      </c>
      <c r="AU1381" s="235" t="s">
        <v>634</v>
      </c>
      <c r="AV1381" s="246" t="s">
        <v>635</v>
      </c>
      <c r="AW1381" s="242"/>
      <c r="AX1381" s="242"/>
      <c r="AY1381" s="231"/>
      <c r="AZ1381" s="231"/>
      <c r="BA1381" s="227"/>
      <c r="BB1381" s="231"/>
      <c r="BC1381" s="227"/>
      <c r="BD1381" s="227"/>
      <c r="BE1381" s="227"/>
      <c r="BF1381" s="227"/>
    </row>
    <row r="1382">
      <c r="A1382" s="235" t="s">
        <v>11179</v>
      </c>
      <c r="C1382" s="235" t="s">
        <v>11180</v>
      </c>
      <c r="D1382" s="235" t="s">
        <v>11181</v>
      </c>
      <c r="E1382" s="243">
        <v>6.55E13</v>
      </c>
      <c r="F1382" s="245"/>
      <c r="G1382" s="235" t="s">
        <v>11182</v>
      </c>
      <c r="H1382" s="235" t="s">
        <v>11183</v>
      </c>
      <c r="I1382" s="235" t="s">
        <v>11183</v>
      </c>
      <c r="J1382" s="235" t="s">
        <v>11184</v>
      </c>
      <c r="K1382" s="235" t="s">
        <v>11185</v>
      </c>
      <c r="N1382" s="235" t="s">
        <v>4</v>
      </c>
      <c r="O1382" s="235" t="s">
        <v>1791</v>
      </c>
      <c r="P1382" s="238">
        <v>1.0</v>
      </c>
      <c r="Q1382" s="235" t="s">
        <v>627</v>
      </c>
      <c r="R1382" s="238">
        <v>265.72</v>
      </c>
      <c r="S1382" s="238">
        <v>13.28</v>
      </c>
      <c r="T1382" s="238">
        <v>0.0</v>
      </c>
      <c r="U1382" s="238">
        <v>0.0</v>
      </c>
      <c r="V1382" s="238">
        <v>0.0</v>
      </c>
      <c r="W1382" s="238">
        <v>0.0</v>
      </c>
      <c r="X1382" s="235" t="s">
        <v>628</v>
      </c>
      <c r="Z1382" s="244"/>
      <c r="AA1382" s="244"/>
      <c r="AB1382" s="244"/>
      <c r="AC1382" s="235" t="s">
        <v>11186</v>
      </c>
      <c r="AD1382" s="235" t="s">
        <v>845</v>
      </c>
      <c r="AE1382" s="238">
        <v>416115.0</v>
      </c>
      <c r="AF1382" s="235" t="s">
        <v>631</v>
      </c>
      <c r="AG1382" s="244"/>
      <c r="AH1382" s="244"/>
      <c r="AI1382" s="245"/>
      <c r="AJ1382" s="245"/>
      <c r="AK1382" s="245"/>
      <c r="AL1382" s="245"/>
      <c r="AM1382" s="244"/>
      <c r="AN1382" s="244"/>
      <c r="AO1382" s="238">
        <v>0.0</v>
      </c>
      <c r="AP1382" s="238">
        <v>0.0</v>
      </c>
      <c r="AQ1382" s="235" t="s">
        <v>632</v>
      </c>
      <c r="AR1382" s="243">
        <v>1.68E11</v>
      </c>
      <c r="AS1382" s="235" t="s">
        <v>10017</v>
      </c>
      <c r="AT1382" s="235" t="s">
        <v>546</v>
      </c>
      <c r="AU1382" s="235" t="s">
        <v>634</v>
      </c>
      <c r="AV1382" s="246" t="s">
        <v>635</v>
      </c>
      <c r="AW1382" s="242"/>
      <c r="AX1382" s="242"/>
      <c r="AY1382" s="231"/>
      <c r="AZ1382" s="231"/>
      <c r="BA1382" s="227"/>
      <c r="BB1382" s="231"/>
      <c r="BC1382" s="227"/>
      <c r="BD1382" s="227"/>
      <c r="BE1382" s="227"/>
      <c r="BF1382" s="227"/>
    </row>
    <row r="1383">
      <c r="A1383" s="235" t="s">
        <v>11187</v>
      </c>
      <c r="C1383" s="235" t="s">
        <v>11188</v>
      </c>
      <c r="D1383" s="235" t="s">
        <v>11189</v>
      </c>
      <c r="E1383" s="243">
        <v>6.55E13</v>
      </c>
      <c r="F1383" s="245"/>
      <c r="G1383" s="235" t="s">
        <v>11190</v>
      </c>
      <c r="H1383" s="235" t="s">
        <v>11191</v>
      </c>
      <c r="I1383" s="235" t="s">
        <v>11191</v>
      </c>
      <c r="J1383" s="235" t="s">
        <v>11192</v>
      </c>
      <c r="K1383" s="235" t="s">
        <v>11185</v>
      </c>
      <c r="N1383" s="235" t="s">
        <v>3</v>
      </c>
      <c r="O1383" s="235" t="s">
        <v>654</v>
      </c>
      <c r="P1383" s="238">
        <v>1.0</v>
      </c>
      <c r="Q1383" s="235" t="s">
        <v>627</v>
      </c>
      <c r="R1383" s="238">
        <v>265.72</v>
      </c>
      <c r="S1383" s="238">
        <v>13.28</v>
      </c>
      <c r="T1383" s="238">
        <v>0.0</v>
      </c>
      <c r="U1383" s="238">
        <v>0.0</v>
      </c>
      <c r="V1383" s="238">
        <v>0.0</v>
      </c>
      <c r="W1383" s="238">
        <v>0.0</v>
      </c>
      <c r="X1383" s="235" t="s">
        <v>628</v>
      </c>
      <c r="Z1383" s="244"/>
      <c r="AA1383" s="244"/>
      <c r="AB1383" s="244"/>
      <c r="AC1383" s="235" t="s">
        <v>11186</v>
      </c>
      <c r="AD1383" s="235" t="s">
        <v>845</v>
      </c>
      <c r="AE1383" s="238">
        <v>416115.0</v>
      </c>
      <c r="AF1383" s="235" t="s">
        <v>631</v>
      </c>
      <c r="AG1383" s="244"/>
      <c r="AH1383" s="244"/>
      <c r="AI1383" s="245"/>
      <c r="AJ1383" s="245"/>
      <c r="AK1383" s="245"/>
      <c r="AL1383" s="245"/>
      <c r="AM1383" s="244"/>
      <c r="AN1383" s="244"/>
      <c r="AO1383" s="238">
        <v>0.0</v>
      </c>
      <c r="AP1383" s="238">
        <v>0.0</v>
      </c>
      <c r="AQ1383" s="235" t="s">
        <v>632</v>
      </c>
      <c r="AR1383" s="243">
        <v>1.68E11</v>
      </c>
      <c r="AS1383" s="235" t="s">
        <v>10017</v>
      </c>
      <c r="AT1383" s="235" t="s">
        <v>546</v>
      </c>
      <c r="AU1383" s="235" t="s">
        <v>634</v>
      </c>
      <c r="AV1383" s="246" t="s">
        <v>635</v>
      </c>
      <c r="AW1383" s="242"/>
      <c r="AX1383" s="242"/>
      <c r="AY1383" s="231"/>
      <c r="AZ1383" s="231"/>
      <c r="BA1383" s="227"/>
      <c r="BB1383" s="231"/>
      <c r="BC1383" s="227"/>
      <c r="BD1383" s="227"/>
      <c r="BE1383" s="227"/>
      <c r="BF1383" s="227"/>
    </row>
    <row r="1384">
      <c r="A1384" s="235" t="s">
        <v>11193</v>
      </c>
      <c r="C1384" s="235" t="s">
        <v>11194</v>
      </c>
      <c r="D1384" s="235" t="s">
        <v>11195</v>
      </c>
      <c r="E1384" s="243">
        <v>6.55E13</v>
      </c>
      <c r="F1384" s="245"/>
      <c r="G1384" s="235" t="s">
        <v>11196</v>
      </c>
      <c r="H1384" s="235" t="s">
        <v>11197</v>
      </c>
      <c r="I1384" s="235" t="s">
        <v>11197</v>
      </c>
      <c r="J1384" s="235" t="s">
        <v>11198</v>
      </c>
      <c r="K1384" s="235" t="s">
        <v>11199</v>
      </c>
      <c r="N1384" s="235" t="s">
        <v>42</v>
      </c>
      <c r="O1384" s="235" t="s">
        <v>204</v>
      </c>
      <c r="P1384" s="238">
        <v>1.0</v>
      </c>
      <c r="Q1384" s="235" t="s">
        <v>627</v>
      </c>
      <c r="R1384" s="238">
        <v>237.14</v>
      </c>
      <c r="S1384" s="238">
        <v>11.86</v>
      </c>
      <c r="T1384" s="238">
        <v>38.1</v>
      </c>
      <c r="U1384" s="238">
        <v>1.9</v>
      </c>
      <c r="V1384" s="238">
        <v>0.0</v>
      </c>
      <c r="W1384" s="238">
        <v>0.0</v>
      </c>
      <c r="X1384" s="235" t="s">
        <v>628</v>
      </c>
      <c r="Z1384" s="244"/>
      <c r="AA1384" s="244"/>
      <c r="AB1384" s="244"/>
      <c r="AC1384" s="235" t="s">
        <v>3546</v>
      </c>
      <c r="AD1384" s="235" t="s">
        <v>833</v>
      </c>
      <c r="AE1384" s="238">
        <v>522006.0</v>
      </c>
      <c r="AF1384" s="235" t="s">
        <v>631</v>
      </c>
      <c r="AG1384" s="244"/>
      <c r="AH1384" s="244"/>
      <c r="AI1384" s="245"/>
      <c r="AJ1384" s="245"/>
      <c r="AK1384" s="245"/>
      <c r="AL1384" s="245"/>
      <c r="AM1384" s="244"/>
      <c r="AN1384" s="244"/>
      <c r="AO1384" s="238">
        <v>0.0</v>
      </c>
      <c r="AP1384" s="238">
        <v>-38.1</v>
      </c>
      <c r="AQ1384" s="235" t="s">
        <v>632</v>
      </c>
      <c r="AR1384" s="243">
        <v>3.71E11</v>
      </c>
      <c r="AS1384" s="235" t="s">
        <v>7365</v>
      </c>
      <c r="AT1384" s="235" t="s">
        <v>17</v>
      </c>
      <c r="AU1384" s="235" t="s">
        <v>634</v>
      </c>
      <c r="AV1384" s="246" t="s">
        <v>635</v>
      </c>
      <c r="AW1384" s="242"/>
      <c r="AX1384" s="242"/>
      <c r="AY1384" s="231"/>
      <c r="AZ1384" s="231"/>
      <c r="BA1384" s="227"/>
      <c r="BB1384" s="231"/>
      <c r="BC1384" s="227"/>
      <c r="BD1384" s="227"/>
      <c r="BE1384" s="227"/>
      <c r="BF1384" s="227"/>
    </row>
    <row r="1385">
      <c r="A1385" s="235" t="s">
        <v>11200</v>
      </c>
      <c r="C1385" s="235" t="s">
        <v>11201</v>
      </c>
      <c r="D1385" s="235" t="s">
        <v>11202</v>
      </c>
      <c r="E1385" s="243">
        <v>6.55E13</v>
      </c>
      <c r="F1385" s="245"/>
      <c r="G1385" s="235" t="s">
        <v>11203</v>
      </c>
      <c r="H1385" s="235" t="s">
        <v>11204</v>
      </c>
      <c r="I1385" s="235" t="s">
        <v>11204</v>
      </c>
      <c r="J1385" s="235" t="s">
        <v>11205</v>
      </c>
      <c r="K1385" s="235" t="s">
        <v>11206</v>
      </c>
      <c r="N1385" s="235" t="s">
        <v>154</v>
      </c>
      <c r="O1385" s="235" t="s">
        <v>766</v>
      </c>
      <c r="P1385" s="238">
        <v>1.0</v>
      </c>
      <c r="Q1385" s="235" t="s">
        <v>627</v>
      </c>
      <c r="R1385" s="238">
        <v>465.72</v>
      </c>
      <c r="S1385" s="238">
        <v>22.82</v>
      </c>
      <c r="T1385" s="238">
        <v>0.0</v>
      </c>
      <c r="U1385" s="238">
        <v>0.0</v>
      </c>
      <c r="V1385" s="238">
        <v>0.0</v>
      </c>
      <c r="W1385" s="238">
        <v>0.0</v>
      </c>
      <c r="X1385" s="235" t="s">
        <v>628</v>
      </c>
      <c r="Z1385" s="244"/>
      <c r="AA1385" s="244"/>
      <c r="AB1385" s="244"/>
      <c r="AC1385" s="235" t="s">
        <v>2092</v>
      </c>
      <c r="AD1385" s="235" t="s">
        <v>845</v>
      </c>
      <c r="AE1385" s="238">
        <v>411060.0</v>
      </c>
      <c r="AF1385" s="235" t="s">
        <v>631</v>
      </c>
      <c r="AG1385" s="244"/>
      <c r="AH1385" s="244"/>
      <c r="AI1385" s="245"/>
      <c r="AJ1385" s="245"/>
      <c r="AK1385" s="245"/>
      <c r="AL1385" s="245"/>
      <c r="AM1385" s="244"/>
      <c r="AN1385" s="244"/>
      <c r="AO1385" s="238">
        <v>-9.32</v>
      </c>
      <c r="AP1385" s="238">
        <v>0.0</v>
      </c>
      <c r="AQ1385" s="235" t="s">
        <v>632</v>
      </c>
      <c r="AR1385" s="243">
        <v>1.68E11</v>
      </c>
      <c r="AS1385" s="235" t="s">
        <v>10417</v>
      </c>
      <c r="AT1385" s="235" t="s">
        <v>546</v>
      </c>
      <c r="AU1385" s="235" t="s">
        <v>634</v>
      </c>
      <c r="AV1385" s="246" t="s">
        <v>635</v>
      </c>
      <c r="AW1385" s="242"/>
      <c r="AX1385" s="242"/>
      <c r="AY1385" s="231"/>
      <c r="AZ1385" s="231"/>
      <c r="BA1385" s="227"/>
      <c r="BB1385" s="231"/>
      <c r="BC1385" s="227"/>
      <c r="BD1385" s="227"/>
      <c r="BE1385" s="227"/>
      <c r="BF1385" s="227"/>
    </row>
    <row r="1386">
      <c r="A1386" s="235" t="s">
        <v>11207</v>
      </c>
      <c r="C1386" s="235" t="s">
        <v>11208</v>
      </c>
      <c r="D1386" s="235" t="s">
        <v>11209</v>
      </c>
      <c r="E1386" s="243">
        <v>6.55E13</v>
      </c>
      <c r="F1386" s="245"/>
      <c r="G1386" s="235" t="s">
        <v>11210</v>
      </c>
      <c r="H1386" s="235" t="s">
        <v>11211</v>
      </c>
      <c r="I1386" s="235" t="s">
        <v>11211</v>
      </c>
      <c r="J1386" s="235" t="s">
        <v>11212</v>
      </c>
      <c r="K1386" s="235" t="s">
        <v>11213</v>
      </c>
      <c r="N1386" s="235" t="s">
        <v>68</v>
      </c>
      <c r="O1386" s="235" t="s">
        <v>208</v>
      </c>
      <c r="P1386" s="238">
        <v>1.0</v>
      </c>
      <c r="Q1386" s="235" t="s">
        <v>627</v>
      </c>
      <c r="R1386" s="238">
        <v>246.67</v>
      </c>
      <c r="S1386" s="238">
        <v>12.33</v>
      </c>
      <c r="T1386" s="238">
        <v>0.0</v>
      </c>
      <c r="U1386" s="238">
        <v>0.0</v>
      </c>
      <c r="V1386" s="238">
        <v>0.0</v>
      </c>
      <c r="W1386" s="238">
        <v>0.0</v>
      </c>
      <c r="X1386" s="235" t="s">
        <v>628</v>
      </c>
      <c r="Z1386" s="244"/>
      <c r="AA1386" s="244"/>
      <c r="AB1386" s="244"/>
      <c r="AC1386" s="235" t="s">
        <v>11214</v>
      </c>
      <c r="AD1386" s="235" t="s">
        <v>666</v>
      </c>
      <c r="AE1386" s="238">
        <v>638402.0</v>
      </c>
      <c r="AF1386" s="235" t="s">
        <v>631</v>
      </c>
      <c r="AG1386" s="244"/>
      <c r="AH1386" s="244"/>
      <c r="AI1386" s="245"/>
      <c r="AJ1386" s="245"/>
      <c r="AK1386" s="245"/>
      <c r="AL1386" s="245"/>
      <c r="AM1386" s="244"/>
      <c r="AN1386" s="244"/>
      <c r="AO1386" s="238">
        <v>0.0</v>
      </c>
      <c r="AP1386" s="238">
        <v>0.0</v>
      </c>
      <c r="AQ1386" s="235" t="s">
        <v>632</v>
      </c>
      <c r="AR1386" s="243">
        <v>1.68E11</v>
      </c>
      <c r="AS1386" s="235" t="s">
        <v>8807</v>
      </c>
      <c r="AT1386" s="235" t="s">
        <v>9</v>
      </c>
      <c r="AU1386" s="235" t="s">
        <v>634</v>
      </c>
      <c r="AV1386" s="246" t="s">
        <v>635</v>
      </c>
      <c r="AW1386" s="242"/>
      <c r="AX1386" s="242"/>
      <c r="AY1386" s="231"/>
      <c r="AZ1386" s="231"/>
      <c r="BA1386" s="227"/>
      <c r="BB1386" s="231"/>
      <c r="BC1386" s="227"/>
      <c r="BD1386" s="227"/>
      <c r="BE1386" s="227"/>
      <c r="BF1386" s="227"/>
    </row>
    <row r="1387">
      <c r="A1387" s="235" t="s">
        <v>11215</v>
      </c>
      <c r="C1387" s="235" t="s">
        <v>11216</v>
      </c>
      <c r="D1387" s="235" t="s">
        <v>11217</v>
      </c>
      <c r="E1387" s="243">
        <v>6.55E13</v>
      </c>
      <c r="F1387" s="245"/>
      <c r="G1387" s="235" t="s">
        <v>11218</v>
      </c>
      <c r="H1387" s="235" t="s">
        <v>11219</v>
      </c>
      <c r="I1387" s="235" t="s">
        <v>11219</v>
      </c>
      <c r="J1387" s="235" t="s">
        <v>11220</v>
      </c>
      <c r="K1387" s="235" t="s">
        <v>11221</v>
      </c>
      <c r="N1387" s="235" t="s">
        <v>143</v>
      </c>
      <c r="O1387" s="235" t="s">
        <v>220</v>
      </c>
      <c r="P1387" s="238">
        <v>1.0</v>
      </c>
      <c r="Q1387" s="235" t="s">
        <v>627</v>
      </c>
      <c r="R1387" s="238">
        <v>246.66</v>
      </c>
      <c r="S1387" s="238">
        <v>12.34</v>
      </c>
      <c r="T1387" s="238">
        <v>0.0</v>
      </c>
      <c r="U1387" s="238">
        <v>0.0</v>
      </c>
      <c r="V1387" s="238">
        <v>0.0</v>
      </c>
      <c r="W1387" s="238">
        <v>0.0</v>
      </c>
      <c r="X1387" s="235" t="s">
        <v>628</v>
      </c>
      <c r="Z1387" s="244"/>
      <c r="AA1387" s="244"/>
      <c r="AB1387" s="244"/>
      <c r="AC1387" s="235" t="s">
        <v>1671</v>
      </c>
      <c r="AD1387" s="235" t="s">
        <v>666</v>
      </c>
      <c r="AE1387" s="238">
        <v>641045.0</v>
      </c>
      <c r="AF1387" s="235" t="s">
        <v>631</v>
      </c>
      <c r="AG1387" s="244"/>
      <c r="AH1387" s="244"/>
      <c r="AI1387" s="245"/>
      <c r="AJ1387" s="245"/>
      <c r="AK1387" s="245"/>
      <c r="AL1387" s="245"/>
      <c r="AM1387" s="244"/>
      <c r="AN1387" s="244"/>
      <c r="AO1387" s="238">
        <v>0.0</v>
      </c>
      <c r="AP1387" s="238">
        <v>0.0</v>
      </c>
      <c r="AQ1387" s="235" t="s">
        <v>632</v>
      </c>
      <c r="AR1387" s="243">
        <v>1.68E11</v>
      </c>
      <c r="AS1387" s="235" t="s">
        <v>11171</v>
      </c>
      <c r="AT1387" s="235" t="s">
        <v>155</v>
      </c>
      <c r="AU1387" s="235" t="s">
        <v>634</v>
      </c>
      <c r="AV1387" s="246" t="s">
        <v>635</v>
      </c>
      <c r="AW1387" s="242"/>
      <c r="AX1387" s="242"/>
      <c r="AY1387" s="231"/>
      <c r="AZ1387" s="231"/>
      <c r="BA1387" s="227"/>
      <c r="BB1387" s="231"/>
      <c r="BC1387" s="227"/>
      <c r="BD1387" s="227"/>
      <c r="BE1387" s="227"/>
      <c r="BF1387" s="227"/>
    </row>
    <row r="1388">
      <c r="A1388" s="235" t="s">
        <v>11222</v>
      </c>
      <c r="C1388" s="235" t="s">
        <v>11223</v>
      </c>
      <c r="D1388" s="235" t="s">
        <v>11224</v>
      </c>
      <c r="E1388" s="243">
        <v>6.55E13</v>
      </c>
      <c r="F1388" s="245"/>
      <c r="G1388" s="235" t="s">
        <v>11225</v>
      </c>
      <c r="H1388" s="235" t="s">
        <v>11226</v>
      </c>
      <c r="I1388" s="235" t="s">
        <v>11227</v>
      </c>
      <c r="J1388" s="235" t="s">
        <v>11228</v>
      </c>
      <c r="K1388" s="235" t="s">
        <v>11229</v>
      </c>
      <c r="N1388" s="235" t="s">
        <v>144</v>
      </c>
      <c r="O1388" s="235" t="s">
        <v>232</v>
      </c>
      <c r="P1388" s="238">
        <v>1.0</v>
      </c>
      <c r="Q1388" s="235" t="s">
        <v>627</v>
      </c>
      <c r="R1388" s="238">
        <v>665.71</v>
      </c>
      <c r="S1388" s="238">
        <v>33.29</v>
      </c>
      <c r="T1388" s="238">
        <v>0.0</v>
      </c>
      <c r="U1388" s="238">
        <v>0.0</v>
      </c>
      <c r="V1388" s="238">
        <v>0.0</v>
      </c>
      <c r="W1388" s="238">
        <v>0.0</v>
      </c>
      <c r="X1388" s="235" t="s">
        <v>628</v>
      </c>
      <c r="Z1388" s="244"/>
      <c r="AA1388" s="244"/>
      <c r="AB1388" s="244"/>
      <c r="AC1388" s="235" t="s">
        <v>1604</v>
      </c>
      <c r="AD1388" s="235" t="s">
        <v>845</v>
      </c>
      <c r="AE1388" s="238">
        <v>400013.0</v>
      </c>
      <c r="AF1388" s="235" t="s">
        <v>631</v>
      </c>
      <c r="AG1388" s="244"/>
      <c r="AH1388" s="244"/>
      <c r="AI1388" s="245"/>
      <c r="AJ1388" s="245"/>
      <c r="AK1388" s="245"/>
      <c r="AL1388" s="245"/>
      <c r="AM1388" s="244"/>
      <c r="AN1388" s="244"/>
      <c r="AO1388" s="238">
        <v>0.0</v>
      </c>
      <c r="AP1388" s="238">
        <v>0.0</v>
      </c>
      <c r="AQ1388" s="235" t="s">
        <v>632</v>
      </c>
      <c r="AR1388" s="243">
        <v>1.68E11</v>
      </c>
      <c r="AS1388" s="235" t="s">
        <v>8807</v>
      </c>
      <c r="AT1388" s="235" t="s">
        <v>9</v>
      </c>
      <c r="AU1388" s="235" t="s">
        <v>634</v>
      </c>
      <c r="AV1388" s="246" t="s">
        <v>635</v>
      </c>
      <c r="AW1388" s="242"/>
      <c r="AX1388" s="242"/>
      <c r="AY1388" s="231"/>
      <c r="AZ1388" s="231"/>
      <c r="BA1388" s="227"/>
      <c r="BB1388" s="231"/>
      <c r="BC1388" s="227"/>
      <c r="BD1388" s="227"/>
      <c r="BE1388" s="227"/>
      <c r="BF1388" s="227"/>
    </row>
    <row r="1389">
      <c r="A1389" s="235" t="s">
        <v>11230</v>
      </c>
      <c r="C1389" s="235" t="s">
        <v>11231</v>
      </c>
      <c r="D1389" s="235" t="s">
        <v>11232</v>
      </c>
      <c r="E1389" s="243">
        <v>6.55E13</v>
      </c>
      <c r="F1389" s="245"/>
      <c r="G1389" s="235" t="s">
        <v>11233</v>
      </c>
      <c r="H1389" s="235" t="s">
        <v>11234</v>
      </c>
      <c r="I1389" s="235" t="s">
        <v>11234</v>
      </c>
      <c r="J1389" s="235" t="s">
        <v>11235</v>
      </c>
      <c r="K1389" s="235" t="s">
        <v>11236</v>
      </c>
      <c r="N1389" s="235" t="s">
        <v>117</v>
      </c>
      <c r="O1389" s="235" t="s">
        <v>334</v>
      </c>
      <c r="P1389" s="238">
        <v>1.0</v>
      </c>
      <c r="Q1389" s="235" t="s">
        <v>627</v>
      </c>
      <c r="R1389" s="238">
        <v>237.14</v>
      </c>
      <c r="S1389" s="238">
        <v>11.86</v>
      </c>
      <c r="T1389" s="238">
        <v>38.1</v>
      </c>
      <c r="U1389" s="238">
        <v>1.9</v>
      </c>
      <c r="V1389" s="238">
        <v>0.0</v>
      </c>
      <c r="W1389" s="238">
        <v>0.0</v>
      </c>
      <c r="X1389" s="235" t="s">
        <v>628</v>
      </c>
      <c r="Z1389" s="244"/>
      <c r="AA1389" s="244"/>
      <c r="AB1389" s="244"/>
      <c r="AC1389" s="235" t="s">
        <v>11237</v>
      </c>
      <c r="AD1389" s="235" t="s">
        <v>1086</v>
      </c>
      <c r="AE1389" s="238">
        <v>151203.0</v>
      </c>
      <c r="AF1389" s="235" t="s">
        <v>631</v>
      </c>
      <c r="AG1389" s="244"/>
      <c r="AH1389" s="244"/>
      <c r="AI1389" s="245"/>
      <c r="AJ1389" s="245"/>
      <c r="AK1389" s="245"/>
      <c r="AL1389" s="245"/>
      <c r="AM1389" s="244"/>
      <c r="AN1389" s="244"/>
      <c r="AO1389" s="238">
        <v>0.0</v>
      </c>
      <c r="AP1389" s="238">
        <v>-38.1</v>
      </c>
      <c r="AQ1389" s="235" t="s">
        <v>632</v>
      </c>
      <c r="AR1389" s="243">
        <v>3.71E11</v>
      </c>
      <c r="AS1389" s="235" t="s">
        <v>4697</v>
      </c>
      <c r="AT1389" s="235" t="s">
        <v>16</v>
      </c>
      <c r="AU1389" s="235" t="s">
        <v>634</v>
      </c>
      <c r="AV1389" s="246" t="s">
        <v>635</v>
      </c>
      <c r="AW1389" s="242"/>
      <c r="AX1389" s="242"/>
      <c r="AY1389" s="231"/>
      <c r="AZ1389" s="231"/>
      <c r="BA1389" s="227"/>
      <c r="BB1389" s="231"/>
      <c r="BC1389" s="227"/>
      <c r="BD1389" s="227"/>
      <c r="BE1389" s="227"/>
      <c r="BF1389" s="227"/>
    </row>
    <row r="1390">
      <c r="A1390" s="235" t="s">
        <v>11238</v>
      </c>
      <c r="C1390" s="235" t="s">
        <v>11239</v>
      </c>
      <c r="D1390" s="235" t="s">
        <v>11240</v>
      </c>
      <c r="E1390" s="243">
        <v>6.55E13</v>
      </c>
      <c r="F1390" s="245"/>
      <c r="G1390" s="235" t="s">
        <v>11241</v>
      </c>
      <c r="H1390" s="235" t="s">
        <v>11242</v>
      </c>
      <c r="I1390" s="235" t="s">
        <v>11242</v>
      </c>
      <c r="J1390" s="235" t="s">
        <v>11243</v>
      </c>
      <c r="K1390" s="235" t="s">
        <v>11244</v>
      </c>
      <c r="N1390" s="235" t="s">
        <v>92</v>
      </c>
      <c r="O1390" s="235" t="s">
        <v>248</v>
      </c>
      <c r="P1390" s="238">
        <v>1.0</v>
      </c>
      <c r="Q1390" s="235" t="s">
        <v>627</v>
      </c>
      <c r="R1390" s="238">
        <v>246.67</v>
      </c>
      <c r="S1390" s="238">
        <v>12.33</v>
      </c>
      <c r="T1390" s="238">
        <v>75.24</v>
      </c>
      <c r="U1390" s="238">
        <v>3.76</v>
      </c>
      <c r="V1390" s="238">
        <v>0.0</v>
      </c>
      <c r="W1390" s="238">
        <v>0.0</v>
      </c>
      <c r="X1390" s="235" t="s">
        <v>628</v>
      </c>
      <c r="Z1390" s="244"/>
      <c r="AA1390" s="244"/>
      <c r="AB1390" s="244"/>
      <c r="AC1390" s="235" t="s">
        <v>8997</v>
      </c>
      <c r="AD1390" s="235" t="s">
        <v>1086</v>
      </c>
      <c r="AE1390" s="238">
        <v>140307.0</v>
      </c>
      <c r="AF1390" s="235" t="s">
        <v>631</v>
      </c>
      <c r="AG1390" s="244"/>
      <c r="AH1390" s="244"/>
      <c r="AI1390" s="245"/>
      <c r="AJ1390" s="245"/>
      <c r="AK1390" s="245"/>
      <c r="AL1390" s="245"/>
      <c r="AM1390" s="244"/>
      <c r="AN1390" s="244"/>
      <c r="AO1390" s="238">
        <v>0.0</v>
      </c>
      <c r="AP1390" s="238">
        <v>0.0</v>
      </c>
      <c r="AQ1390" s="235" t="s">
        <v>632</v>
      </c>
      <c r="AR1390" s="243">
        <v>1.68E11</v>
      </c>
      <c r="AS1390" s="235" t="s">
        <v>10017</v>
      </c>
      <c r="AT1390" s="235" t="s">
        <v>13</v>
      </c>
      <c r="AU1390" s="235" t="s">
        <v>634</v>
      </c>
      <c r="AV1390" s="246" t="s">
        <v>635</v>
      </c>
      <c r="AW1390" s="242"/>
      <c r="AX1390" s="242"/>
      <c r="AY1390" s="231"/>
      <c r="AZ1390" s="231"/>
      <c r="BA1390" s="227"/>
      <c r="BB1390" s="231"/>
      <c r="BC1390" s="227"/>
      <c r="BD1390" s="227"/>
      <c r="BE1390" s="227"/>
      <c r="BF1390" s="227"/>
    </row>
    <row r="1391">
      <c r="A1391" s="235" t="s">
        <v>11245</v>
      </c>
      <c r="C1391" s="235" t="s">
        <v>11246</v>
      </c>
      <c r="D1391" s="235" t="s">
        <v>11247</v>
      </c>
      <c r="E1391" s="243">
        <v>6.55E13</v>
      </c>
      <c r="F1391" s="245"/>
      <c r="G1391" s="235" t="s">
        <v>11248</v>
      </c>
      <c r="H1391" s="235" t="s">
        <v>11249</v>
      </c>
      <c r="I1391" s="235" t="s">
        <v>11250</v>
      </c>
      <c r="J1391" s="235" t="s">
        <v>11251</v>
      </c>
      <c r="K1391" s="235" t="s">
        <v>11252</v>
      </c>
      <c r="N1391" s="235" t="s">
        <v>989</v>
      </c>
      <c r="O1391" s="235" t="s">
        <v>990</v>
      </c>
      <c r="P1391" s="238">
        <v>1.0</v>
      </c>
      <c r="Q1391" s="235" t="s">
        <v>627</v>
      </c>
      <c r="R1391" s="238">
        <v>256.2</v>
      </c>
      <c r="S1391" s="238">
        <v>12.8</v>
      </c>
      <c r="T1391" s="238">
        <v>0.0</v>
      </c>
      <c r="U1391" s="238">
        <v>0.0</v>
      </c>
      <c r="V1391" s="238">
        <v>0.0</v>
      </c>
      <c r="W1391" s="238">
        <v>0.0</v>
      </c>
      <c r="X1391" s="235" t="s">
        <v>628</v>
      </c>
      <c r="Z1391" s="244"/>
      <c r="AA1391" s="244"/>
      <c r="AB1391" s="244"/>
      <c r="AC1391" s="235" t="s">
        <v>678</v>
      </c>
      <c r="AD1391" s="235" t="s">
        <v>679</v>
      </c>
      <c r="AE1391" s="238">
        <v>560068.0</v>
      </c>
      <c r="AF1391" s="235" t="s">
        <v>631</v>
      </c>
      <c r="AG1391" s="244"/>
      <c r="AH1391" s="244"/>
      <c r="AI1391" s="245"/>
      <c r="AJ1391" s="245"/>
      <c r="AK1391" s="245"/>
      <c r="AL1391" s="245"/>
      <c r="AM1391" s="244"/>
      <c r="AN1391" s="244"/>
      <c r="AO1391" s="238">
        <v>0.0</v>
      </c>
      <c r="AP1391" s="238">
        <v>0.0</v>
      </c>
      <c r="AQ1391" s="235" t="s">
        <v>632</v>
      </c>
      <c r="AR1391" s="243">
        <v>1.68E11</v>
      </c>
      <c r="AS1391" s="235" t="s">
        <v>11171</v>
      </c>
      <c r="AT1391" s="235" t="s">
        <v>9</v>
      </c>
      <c r="AU1391" s="235" t="s">
        <v>634</v>
      </c>
      <c r="AV1391" s="246" t="s">
        <v>635</v>
      </c>
      <c r="AW1391" s="242"/>
      <c r="AX1391" s="242"/>
      <c r="AY1391" s="231"/>
      <c r="AZ1391" s="231"/>
      <c r="BA1391" s="227"/>
      <c r="BB1391" s="231"/>
      <c r="BC1391" s="227"/>
      <c r="BD1391" s="227"/>
      <c r="BE1391" s="227"/>
      <c r="BF1391" s="227"/>
    </row>
    <row r="1392">
      <c r="A1392" s="235" t="s">
        <v>11253</v>
      </c>
      <c r="C1392" s="235" t="s">
        <v>11254</v>
      </c>
      <c r="D1392" s="235" t="s">
        <v>11255</v>
      </c>
      <c r="E1392" s="243">
        <v>6.55E13</v>
      </c>
      <c r="F1392" s="245"/>
      <c r="G1392" s="235" t="s">
        <v>11256</v>
      </c>
      <c r="H1392" s="235" t="s">
        <v>11257</v>
      </c>
      <c r="I1392" s="235" t="s">
        <v>11258</v>
      </c>
      <c r="J1392" s="235" t="s">
        <v>11259</v>
      </c>
      <c r="K1392" s="235" t="s">
        <v>11260</v>
      </c>
      <c r="N1392" s="235" t="s">
        <v>154</v>
      </c>
      <c r="O1392" s="235" t="s">
        <v>766</v>
      </c>
      <c r="P1392" s="238">
        <v>1.0</v>
      </c>
      <c r="Q1392" s="235" t="s">
        <v>627</v>
      </c>
      <c r="R1392" s="238">
        <v>465.72</v>
      </c>
      <c r="S1392" s="238">
        <v>23.28</v>
      </c>
      <c r="T1392" s="238">
        <v>0.0</v>
      </c>
      <c r="U1392" s="238">
        <v>0.0</v>
      </c>
      <c r="V1392" s="238">
        <v>0.0</v>
      </c>
      <c r="W1392" s="238">
        <v>0.0</v>
      </c>
      <c r="X1392" s="235" t="s">
        <v>628</v>
      </c>
      <c r="Z1392" s="244"/>
      <c r="AA1392" s="244"/>
      <c r="AB1392" s="244"/>
      <c r="AC1392" s="235" t="s">
        <v>844</v>
      </c>
      <c r="AD1392" s="235" t="s">
        <v>845</v>
      </c>
      <c r="AE1392" s="238">
        <v>411052.0</v>
      </c>
      <c r="AF1392" s="235" t="s">
        <v>631</v>
      </c>
      <c r="AG1392" s="244"/>
      <c r="AH1392" s="244"/>
      <c r="AI1392" s="245"/>
      <c r="AJ1392" s="245"/>
      <c r="AK1392" s="245"/>
      <c r="AL1392" s="245"/>
      <c r="AM1392" s="244"/>
      <c r="AN1392" s="244"/>
      <c r="AO1392" s="238">
        <v>0.0</v>
      </c>
      <c r="AP1392" s="238">
        <v>0.0</v>
      </c>
      <c r="AQ1392" s="235" t="s">
        <v>632</v>
      </c>
      <c r="AR1392" s="243">
        <v>3.71E11</v>
      </c>
      <c r="AS1392" s="235" t="s">
        <v>10017</v>
      </c>
      <c r="AT1392" s="235" t="s">
        <v>17</v>
      </c>
      <c r="AU1392" s="235" t="s">
        <v>634</v>
      </c>
      <c r="AV1392" s="246" t="s">
        <v>635</v>
      </c>
      <c r="AW1392" s="242"/>
      <c r="AX1392" s="242"/>
      <c r="AY1392" s="231"/>
      <c r="AZ1392" s="231"/>
      <c r="BA1392" s="227"/>
      <c r="BB1392" s="231"/>
      <c r="BC1392" s="227"/>
      <c r="BD1392" s="227"/>
      <c r="BE1392" s="227"/>
      <c r="BF1392" s="227"/>
    </row>
    <row r="1393">
      <c r="A1393" s="235" t="s">
        <v>11261</v>
      </c>
      <c r="C1393" s="235" t="s">
        <v>11262</v>
      </c>
      <c r="D1393" s="235" t="s">
        <v>11263</v>
      </c>
      <c r="E1393" s="243">
        <v>6.55E13</v>
      </c>
      <c r="F1393" s="245"/>
      <c r="G1393" s="235" t="s">
        <v>11264</v>
      </c>
      <c r="H1393" s="235" t="s">
        <v>11265</v>
      </c>
      <c r="I1393" s="235" t="s">
        <v>11265</v>
      </c>
      <c r="J1393" s="235" t="s">
        <v>11266</v>
      </c>
      <c r="K1393" s="235" t="s">
        <v>11267</v>
      </c>
      <c r="N1393" s="235" t="s">
        <v>82</v>
      </c>
      <c r="O1393" s="235" t="s">
        <v>889</v>
      </c>
      <c r="P1393" s="238">
        <v>1.0</v>
      </c>
      <c r="Q1393" s="235" t="s">
        <v>627</v>
      </c>
      <c r="R1393" s="238">
        <v>246.67</v>
      </c>
      <c r="S1393" s="238">
        <v>12.33</v>
      </c>
      <c r="T1393" s="238">
        <v>0.0</v>
      </c>
      <c r="U1393" s="238">
        <v>0.0</v>
      </c>
      <c r="V1393" s="238">
        <v>0.0</v>
      </c>
      <c r="W1393" s="238">
        <v>0.0</v>
      </c>
      <c r="X1393" s="235" t="s">
        <v>628</v>
      </c>
      <c r="Z1393" s="244"/>
      <c r="AA1393" s="244"/>
      <c r="AB1393" s="244"/>
      <c r="AC1393" s="235" t="s">
        <v>814</v>
      </c>
      <c r="AD1393" s="235" t="s">
        <v>698</v>
      </c>
      <c r="AE1393" s="238">
        <v>502032.0</v>
      </c>
      <c r="AF1393" s="235" t="s">
        <v>631</v>
      </c>
      <c r="AG1393" s="244"/>
      <c r="AH1393" s="244"/>
      <c r="AI1393" s="245"/>
      <c r="AJ1393" s="245"/>
      <c r="AK1393" s="245"/>
      <c r="AL1393" s="245"/>
      <c r="AM1393" s="244"/>
      <c r="AN1393" s="244"/>
      <c r="AO1393" s="238">
        <v>0.0</v>
      </c>
      <c r="AP1393" s="238">
        <v>0.0</v>
      </c>
      <c r="AQ1393" s="235" t="s">
        <v>632</v>
      </c>
      <c r="AR1393" s="243">
        <v>1.68E11</v>
      </c>
      <c r="AS1393" s="235" t="s">
        <v>10017</v>
      </c>
      <c r="AT1393" s="235" t="s">
        <v>156</v>
      </c>
      <c r="AU1393" s="235" t="s">
        <v>634</v>
      </c>
      <c r="AV1393" s="246" t="s">
        <v>635</v>
      </c>
      <c r="AW1393" s="242"/>
      <c r="AX1393" s="242"/>
      <c r="AY1393" s="231"/>
      <c r="AZ1393" s="231"/>
      <c r="BA1393" s="227"/>
      <c r="BB1393" s="231"/>
      <c r="BC1393" s="227"/>
      <c r="BD1393" s="227"/>
      <c r="BE1393" s="227"/>
      <c r="BF1393" s="227"/>
    </row>
    <row r="1394">
      <c r="A1394" s="235" t="s">
        <v>11268</v>
      </c>
      <c r="C1394" s="235" t="s">
        <v>11269</v>
      </c>
      <c r="D1394" s="235" t="s">
        <v>11270</v>
      </c>
      <c r="E1394" s="243">
        <v>6.55E13</v>
      </c>
      <c r="F1394" s="245"/>
      <c r="G1394" s="235" t="s">
        <v>11271</v>
      </c>
      <c r="H1394" s="235" t="s">
        <v>11272</v>
      </c>
      <c r="I1394" s="235" t="s">
        <v>11272</v>
      </c>
      <c r="J1394" s="235" t="s">
        <v>11273</v>
      </c>
      <c r="K1394" s="235" t="s">
        <v>11274</v>
      </c>
      <c r="N1394" s="235" t="s">
        <v>127</v>
      </c>
      <c r="O1394" s="235" t="s">
        <v>794</v>
      </c>
      <c r="P1394" s="238">
        <v>1.0</v>
      </c>
      <c r="Q1394" s="235" t="s">
        <v>627</v>
      </c>
      <c r="R1394" s="238">
        <v>246.67</v>
      </c>
      <c r="S1394" s="238">
        <v>12.33</v>
      </c>
      <c r="T1394" s="238">
        <v>0.0</v>
      </c>
      <c r="U1394" s="238">
        <v>0.0</v>
      </c>
      <c r="V1394" s="238">
        <v>0.0</v>
      </c>
      <c r="W1394" s="238">
        <v>0.0</v>
      </c>
      <c r="X1394" s="235" t="s">
        <v>628</v>
      </c>
      <c r="Z1394" s="244"/>
      <c r="AA1394" s="244"/>
      <c r="AB1394" s="244"/>
      <c r="AC1394" s="235" t="s">
        <v>795</v>
      </c>
      <c r="AD1394" s="235" t="s">
        <v>796</v>
      </c>
      <c r="AE1394" s="238">
        <v>110092.0</v>
      </c>
      <c r="AF1394" s="235" t="s">
        <v>631</v>
      </c>
      <c r="AG1394" s="244"/>
      <c r="AH1394" s="244"/>
      <c r="AI1394" s="245"/>
      <c r="AJ1394" s="245"/>
      <c r="AK1394" s="245"/>
      <c r="AL1394" s="245"/>
      <c r="AM1394" s="244"/>
      <c r="AN1394" s="244"/>
      <c r="AO1394" s="238">
        <v>0.0</v>
      </c>
      <c r="AP1394" s="238">
        <v>0.0</v>
      </c>
      <c r="AQ1394" s="235" t="s">
        <v>632</v>
      </c>
      <c r="AR1394" s="243">
        <v>1.68E11</v>
      </c>
      <c r="AS1394" s="235" t="s">
        <v>10417</v>
      </c>
      <c r="AT1394" s="235" t="s">
        <v>13</v>
      </c>
      <c r="AU1394" s="235" t="s">
        <v>634</v>
      </c>
      <c r="AV1394" s="246" t="s">
        <v>635</v>
      </c>
      <c r="AW1394" s="242"/>
      <c r="AX1394" s="242"/>
      <c r="AY1394" s="231"/>
      <c r="AZ1394" s="231"/>
      <c r="BA1394" s="227"/>
      <c r="BB1394" s="231"/>
      <c r="BC1394" s="227"/>
      <c r="BD1394" s="227"/>
      <c r="BE1394" s="227"/>
      <c r="BF1394" s="227"/>
    </row>
    <row r="1395">
      <c r="A1395" s="235" t="s">
        <v>11275</v>
      </c>
      <c r="C1395" s="235" t="s">
        <v>11276</v>
      </c>
      <c r="D1395" s="235" t="s">
        <v>11277</v>
      </c>
      <c r="E1395" s="243">
        <v>6.55E13</v>
      </c>
      <c r="F1395" s="245"/>
      <c r="G1395" s="235" t="s">
        <v>11278</v>
      </c>
      <c r="H1395" s="235" t="s">
        <v>11279</v>
      </c>
      <c r="I1395" s="235" t="s">
        <v>11279</v>
      </c>
      <c r="J1395" s="235" t="s">
        <v>11280</v>
      </c>
      <c r="K1395" s="235" t="s">
        <v>11281</v>
      </c>
      <c r="N1395" s="235" t="s">
        <v>53</v>
      </c>
      <c r="O1395" s="235" t="s">
        <v>512</v>
      </c>
      <c r="P1395" s="238">
        <v>1.0</v>
      </c>
      <c r="Q1395" s="235" t="s">
        <v>627</v>
      </c>
      <c r="R1395" s="238">
        <v>237.14</v>
      </c>
      <c r="S1395" s="238">
        <v>11.86</v>
      </c>
      <c r="T1395" s="238">
        <v>0.0</v>
      </c>
      <c r="U1395" s="238">
        <v>0.0</v>
      </c>
      <c r="V1395" s="238">
        <v>0.0</v>
      </c>
      <c r="W1395" s="238">
        <v>0.0</v>
      </c>
      <c r="X1395" s="235" t="s">
        <v>628</v>
      </c>
      <c r="Z1395" s="244"/>
      <c r="AA1395" s="244"/>
      <c r="AB1395" s="244"/>
      <c r="AC1395" s="235" t="s">
        <v>757</v>
      </c>
      <c r="AD1395" s="235" t="s">
        <v>666</v>
      </c>
      <c r="AE1395" s="238">
        <v>625010.0</v>
      </c>
      <c r="AF1395" s="235" t="s">
        <v>631</v>
      </c>
      <c r="AG1395" s="244"/>
      <c r="AH1395" s="244"/>
      <c r="AI1395" s="245"/>
      <c r="AJ1395" s="245"/>
      <c r="AK1395" s="245"/>
      <c r="AL1395" s="245"/>
      <c r="AM1395" s="244"/>
      <c r="AN1395" s="244"/>
      <c r="AO1395" s="238">
        <v>0.0</v>
      </c>
      <c r="AP1395" s="238">
        <v>0.0</v>
      </c>
      <c r="AQ1395" s="235" t="s">
        <v>632</v>
      </c>
      <c r="AR1395" s="243">
        <v>3.71E11</v>
      </c>
      <c r="AS1395" s="235" t="s">
        <v>10017</v>
      </c>
      <c r="AT1395" s="235" t="s">
        <v>155</v>
      </c>
      <c r="AU1395" s="235" t="s">
        <v>634</v>
      </c>
      <c r="AV1395" s="246" t="s">
        <v>635</v>
      </c>
      <c r="AW1395" s="242"/>
      <c r="AX1395" s="242"/>
      <c r="AY1395" s="231"/>
      <c r="AZ1395" s="231"/>
      <c r="BA1395" s="227"/>
      <c r="BB1395" s="231"/>
      <c r="BC1395" s="227"/>
      <c r="BD1395" s="227"/>
      <c r="BE1395" s="227"/>
      <c r="BF1395" s="227"/>
    </row>
    <row r="1396">
      <c r="A1396" s="235" t="s">
        <v>11282</v>
      </c>
      <c r="C1396" s="235" t="s">
        <v>11283</v>
      </c>
      <c r="D1396" s="235" t="s">
        <v>11284</v>
      </c>
      <c r="E1396" s="243">
        <v>6.55E13</v>
      </c>
      <c r="F1396" s="245"/>
      <c r="G1396" s="235" t="s">
        <v>11285</v>
      </c>
      <c r="H1396" s="235" t="s">
        <v>11286</v>
      </c>
      <c r="I1396" s="235" t="s">
        <v>11286</v>
      </c>
      <c r="J1396" s="235" t="s">
        <v>11287</v>
      </c>
      <c r="K1396" s="235" t="s">
        <v>11288</v>
      </c>
      <c r="N1396" s="235" t="s">
        <v>47</v>
      </c>
      <c r="O1396" s="235" t="s">
        <v>270</v>
      </c>
      <c r="P1396" s="238">
        <v>1.0</v>
      </c>
      <c r="Q1396" s="235" t="s">
        <v>627</v>
      </c>
      <c r="R1396" s="238">
        <v>237.14</v>
      </c>
      <c r="S1396" s="238">
        <v>11.86</v>
      </c>
      <c r="T1396" s="238">
        <v>0.0</v>
      </c>
      <c r="U1396" s="238">
        <v>0.0</v>
      </c>
      <c r="V1396" s="238">
        <v>0.0</v>
      </c>
      <c r="W1396" s="238">
        <v>0.0</v>
      </c>
      <c r="X1396" s="235" t="s">
        <v>628</v>
      </c>
      <c r="Z1396" s="244"/>
      <c r="AA1396" s="244"/>
      <c r="AB1396" s="244"/>
      <c r="AC1396" s="235" t="s">
        <v>11289</v>
      </c>
      <c r="AD1396" s="235" t="s">
        <v>666</v>
      </c>
      <c r="AE1396" s="238">
        <v>600126.0</v>
      </c>
      <c r="AF1396" s="235" t="s">
        <v>631</v>
      </c>
      <c r="AG1396" s="244"/>
      <c r="AH1396" s="244"/>
      <c r="AI1396" s="245"/>
      <c r="AJ1396" s="245"/>
      <c r="AK1396" s="245"/>
      <c r="AL1396" s="245"/>
      <c r="AM1396" s="244"/>
      <c r="AN1396" s="244"/>
      <c r="AO1396" s="238">
        <v>0.0</v>
      </c>
      <c r="AP1396" s="238">
        <v>0.0</v>
      </c>
      <c r="AQ1396" s="235" t="s">
        <v>632</v>
      </c>
      <c r="AR1396" s="243">
        <v>3.71E11</v>
      </c>
      <c r="AS1396" s="235" t="s">
        <v>10017</v>
      </c>
      <c r="AT1396" s="235" t="s">
        <v>156</v>
      </c>
      <c r="AU1396" s="235" t="s">
        <v>634</v>
      </c>
      <c r="AV1396" s="246" t="s">
        <v>635</v>
      </c>
      <c r="AW1396" s="242"/>
      <c r="AX1396" s="242"/>
      <c r="AY1396" s="231"/>
      <c r="AZ1396" s="231"/>
      <c r="BA1396" s="227"/>
      <c r="BB1396" s="231"/>
      <c r="BC1396" s="227"/>
      <c r="BD1396" s="227"/>
      <c r="BE1396" s="227"/>
      <c r="BF1396" s="227"/>
    </row>
    <row r="1397">
      <c r="A1397" s="235" t="s">
        <v>11290</v>
      </c>
      <c r="C1397" s="235" t="s">
        <v>11291</v>
      </c>
      <c r="D1397" s="235" t="s">
        <v>11292</v>
      </c>
      <c r="E1397" s="243">
        <v>6.55E13</v>
      </c>
      <c r="F1397" s="245"/>
      <c r="G1397" s="235" t="s">
        <v>11293</v>
      </c>
      <c r="H1397" s="235" t="s">
        <v>11294</v>
      </c>
      <c r="I1397" s="235" t="s">
        <v>11294</v>
      </c>
      <c r="J1397" s="235" t="s">
        <v>11287</v>
      </c>
      <c r="K1397" s="235" t="s">
        <v>11295</v>
      </c>
      <c r="N1397" s="235" t="s">
        <v>143</v>
      </c>
      <c r="O1397" s="235" t="s">
        <v>220</v>
      </c>
      <c r="P1397" s="238">
        <v>1.0</v>
      </c>
      <c r="Q1397" s="235" t="s">
        <v>627</v>
      </c>
      <c r="R1397" s="238">
        <v>246.66</v>
      </c>
      <c r="S1397" s="238">
        <v>12.34</v>
      </c>
      <c r="T1397" s="238">
        <v>0.0</v>
      </c>
      <c r="U1397" s="238">
        <v>0.0</v>
      </c>
      <c r="V1397" s="238">
        <v>0.0</v>
      </c>
      <c r="W1397" s="238">
        <v>0.0</v>
      </c>
      <c r="X1397" s="235" t="s">
        <v>628</v>
      </c>
      <c r="Z1397" s="244"/>
      <c r="AA1397" s="244"/>
      <c r="AB1397" s="244"/>
      <c r="AC1397" s="235" t="s">
        <v>5091</v>
      </c>
      <c r="AD1397" s="235" t="s">
        <v>845</v>
      </c>
      <c r="AE1397" s="238">
        <v>440001.0</v>
      </c>
      <c r="AF1397" s="235" t="s">
        <v>631</v>
      </c>
      <c r="AG1397" s="244"/>
      <c r="AH1397" s="244"/>
      <c r="AI1397" s="245"/>
      <c r="AJ1397" s="245"/>
      <c r="AK1397" s="245"/>
      <c r="AL1397" s="245"/>
      <c r="AM1397" s="244"/>
      <c r="AN1397" s="244"/>
      <c r="AO1397" s="238">
        <v>0.0</v>
      </c>
      <c r="AP1397" s="238">
        <v>0.0</v>
      </c>
      <c r="AQ1397" s="235" t="s">
        <v>632</v>
      </c>
      <c r="AR1397" s="243">
        <v>3.71E11</v>
      </c>
      <c r="AS1397" s="235" t="s">
        <v>7365</v>
      </c>
      <c r="AT1397" s="235" t="s">
        <v>546</v>
      </c>
      <c r="AU1397" s="235" t="s">
        <v>634</v>
      </c>
      <c r="AV1397" s="246" t="s">
        <v>635</v>
      </c>
      <c r="AW1397" s="242"/>
      <c r="AX1397" s="242"/>
      <c r="AY1397" s="231"/>
      <c r="AZ1397" s="231"/>
      <c r="BA1397" s="227"/>
      <c r="BB1397" s="231"/>
      <c r="BC1397" s="227"/>
      <c r="BD1397" s="227"/>
      <c r="BE1397" s="227"/>
      <c r="BF1397" s="227"/>
    </row>
    <row r="1398">
      <c r="A1398" s="235" t="s">
        <v>11296</v>
      </c>
      <c r="C1398" s="235" t="s">
        <v>11297</v>
      </c>
      <c r="D1398" s="235" t="s">
        <v>11298</v>
      </c>
      <c r="E1398" s="243">
        <v>6.55E13</v>
      </c>
      <c r="F1398" s="245"/>
      <c r="G1398" s="235" t="s">
        <v>11299</v>
      </c>
      <c r="H1398" s="235" t="s">
        <v>11300</v>
      </c>
      <c r="I1398" s="235" t="s">
        <v>11301</v>
      </c>
      <c r="J1398" s="235" t="s">
        <v>11302</v>
      </c>
      <c r="K1398" s="235" t="s">
        <v>11303</v>
      </c>
      <c r="N1398" s="235" t="s">
        <v>85</v>
      </c>
      <c r="O1398" s="235" t="s">
        <v>872</v>
      </c>
      <c r="P1398" s="238">
        <v>1.0</v>
      </c>
      <c r="Q1398" s="235" t="s">
        <v>627</v>
      </c>
      <c r="R1398" s="238">
        <v>246.67</v>
      </c>
      <c r="S1398" s="238">
        <v>11.96</v>
      </c>
      <c r="T1398" s="238">
        <v>0.0</v>
      </c>
      <c r="U1398" s="238">
        <v>0.0</v>
      </c>
      <c r="V1398" s="238">
        <v>0.0</v>
      </c>
      <c r="W1398" s="238">
        <v>0.0</v>
      </c>
      <c r="X1398" s="235" t="s">
        <v>628</v>
      </c>
      <c r="Z1398" s="244"/>
      <c r="AA1398" s="244"/>
      <c r="AB1398" s="244"/>
      <c r="AC1398" s="235" t="s">
        <v>697</v>
      </c>
      <c r="AD1398" s="235" t="s">
        <v>698</v>
      </c>
      <c r="AE1398" s="238">
        <v>500055.0</v>
      </c>
      <c r="AF1398" s="235" t="s">
        <v>631</v>
      </c>
      <c r="AG1398" s="244"/>
      <c r="AH1398" s="244"/>
      <c r="AI1398" s="245"/>
      <c r="AJ1398" s="245"/>
      <c r="AK1398" s="245"/>
      <c r="AL1398" s="245"/>
      <c r="AM1398" s="244"/>
      <c r="AN1398" s="244"/>
      <c r="AO1398" s="238">
        <v>-7.4</v>
      </c>
      <c r="AP1398" s="238">
        <v>0.0</v>
      </c>
      <c r="AQ1398" s="235" t="s">
        <v>632</v>
      </c>
      <c r="AR1398" s="243">
        <v>1.68E11</v>
      </c>
      <c r="AS1398" s="235" t="s">
        <v>10017</v>
      </c>
      <c r="AT1398" s="235" t="s">
        <v>156</v>
      </c>
      <c r="AU1398" s="235" t="s">
        <v>634</v>
      </c>
      <c r="AV1398" s="246" t="s">
        <v>635</v>
      </c>
      <c r="AW1398" s="242"/>
      <c r="AX1398" s="242"/>
      <c r="AY1398" s="231"/>
      <c r="AZ1398" s="231"/>
      <c r="BA1398" s="227"/>
      <c r="BB1398" s="231"/>
      <c r="BC1398" s="227"/>
      <c r="BD1398" s="227"/>
      <c r="BE1398" s="227"/>
      <c r="BF1398" s="227"/>
    </row>
    <row r="1399">
      <c r="A1399" s="235" t="s">
        <v>11296</v>
      </c>
      <c r="C1399" s="235" t="s">
        <v>11297</v>
      </c>
      <c r="D1399" s="235" t="s">
        <v>11304</v>
      </c>
      <c r="E1399" s="243">
        <v>6.55E13</v>
      </c>
      <c r="F1399" s="245"/>
      <c r="G1399" s="235" t="s">
        <v>11299</v>
      </c>
      <c r="H1399" s="235" t="s">
        <v>11300</v>
      </c>
      <c r="I1399" s="235" t="s">
        <v>11301</v>
      </c>
      <c r="J1399" s="235" t="s">
        <v>11302</v>
      </c>
      <c r="K1399" s="235" t="s">
        <v>11303</v>
      </c>
      <c r="N1399" s="235" t="s">
        <v>85</v>
      </c>
      <c r="O1399" s="235" t="s">
        <v>872</v>
      </c>
      <c r="P1399" s="238">
        <v>1.0</v>
      </c>
      <c r="Q1399" s="235" t="s">
        <v>627</v>
      </c>
      <c r="R1399" s="238">
        <v>246.67</v>
      </c>
      <c r="S1399" s="238">
        <v>11.96</v>
      </c>
      <c r="T1399" s="238">
        <v>0.0</v>
      </c>
      <c r="U1399" s="238">
        <v>0.0</v>
      </c>
      <c r="V1399" s="238">
        <v>0.0</v>
      </c>
      <c r="W1399" s="238">
        <v>0.0</v>
      </c>
      <c r="X1399" s="235" t="s">
        <v>628</v>
      </c>
      <c r="Z1399" s="244"/>
      <c r="AA1399" s="244"/>
      <c r="AB1399" s="244"/>
      <c r="AC1399" s="235" t="s">
        <v>697</v>
      </c>
      <c r="AD1399" s="235" t="s">
        <v>698</v>
      </c>
      <c r="AE1399" s="238">
        <v>500055.0</v>
      </c>
      <c r="AF1399" s="235" t="s">
        <v>631</v>
      </c>
      <c r="AG1399" s="244"/>
      <c r="AH1399" s="244"/>
      <c r="AI1399" s="245"/>
      <c r="AJ1399" s="245"/>
      <c r="AK1399" s="245"/>
      <c r="AL1399" s="245"/>
      <c r="AM1399" s="244"/>
      <c r="AN1399" s="244"/>
      <c r="AO1399" s="238">
        <v>-7.4</v>
      </c>
      <c r="AP1399" s="238">
        <v>0.0</v>
      </c>
      <c r="AQ1399" s="235" t="s">
        <v>632</v>
      </c>
      <c r="AR1399" s="243">
        <v>1.68E11</v>
      </c>
      <c r="AS1399" s="235" t="s">
        <v>10017</v>
      </c>
      <c r="AT1399" s="235" t="s">
        <v>156</v>
      </c>
      <c r="AU1399" s="235" t="s">
        <v>634</v>
      </c>
      <c r="AV1399" s="246" t="s">
        <v>635</v>
      </c>
      <c r="AW1399" s="242"/>
      <c r="AX1399" s="242"/>
      <c r="AY1399" s="231"/>
      <c r="AZ1399" s="231"/>
      <c r="BA1399" s="227"/>
      <c r="BB1399" s="231"/>
      <c r="BC1399" s="227"/>
      <c r="BD1399" s="227"/>
      <c r="BE1399" s="227"/>
      <c r="BF1399" s="227"/>
    </row>
    <row r="1400">
      <c r="A1400" s="235" t="s">
        <v>11305</v>
      </c>
      <c r="C1400" s="235" t="s">
        <v>11306</v>
      </c>
      <c r="D1400" s="235" t="s">
        <v>11307</v>
      </c>
      <c r="E1400" s="243">
        <v>6.55E13</v>
      </c>
      <c r="F1400" s="245"/>
      <c r="G1400" s="235" t="s">
        <v>11308</v>
      </c>
      <c r="H1400" s="235" t="s">
        <v>11300</v>
      </c>
      <c r="I1400" s="235" t="s">
        <v>11309</v>
      </c>
      <c r="J1400" s="235" t="s">
        <v>11310</v>
      </c>
      <c r="K1400" s="235" t="s">
        <v>11311</v>
      </c>
      <c r="N1400" s="235" t="s">
        <v>726</v>
      </c>
      <c r="O1400" s="235" t="s">
        <v>727</v>
      </c>
      <c r="P1400" s="238">
        <v>1.0</v>
      </c>
      <c r="Q1400" s="235" t="s">
        <v>627</v>
      </c>
      <c r="R1400" s="238">
        <v>246.67</v>
      </c>
      <c r="S1400" s="238">
        <v>12.33</v>
      </c>
      <c r="T1400" s="238">
        <v>0.0</v>
      </c>
      <c r="U1400" s="238">
        <v>0.0</v>
      </c>
      <c r="V1400" s="238">
        <v>0.0</v>
      </c>
      <c r="W1400" s="238">
        <v>0.0</v>
      </c>
      <c r="X1400" s="235" t="s">
        <v>628</v>
      </c>
      <c r="Z1400" s="244"/>
      <c r="AA1400" s="244"/>
      <c r="AB1400" s="244"/>
      <c r="AC1400" s="235" t="s">
        <v>697</v>
      </c>
      <c r="AD1400" s="235" t="s">
        <v>698</v>
      </c>
      <c r="AE1400" s="238">
        <v>500016.0</v>
      </c>
      <c r="AF1400" s="235" t="s">
        <v>631</v>
      </c>
      <c r="AG1400" s="244"/>
      <c r="AH1400" s="244"/>
      <c r="AI1400" s="245"/>
      <c r="AJ1400" s="245"/>
      <c r="AK1400" s="245"/>
      <c r="AL1400" s="245"/>
      <c r="AM1400" s="244"/>
      <c r="AN1400" s="244"/>
      <c r="AO1400" s="238">
        <v>0.0</v>
      </c>
      <c r="AP1400" s="238">
        <v>0.0</v>
      </c>
      <c r="AQ1400" s="235" t="s">
        <v>632</v>
      </c>
      <c r="AR1400" s="243">
        <v>1.68E11</v>
      </c>
      <c r="AS1400" s="235" t="s">
        <v>10017</v>
      </c>
      <c r="AT1400" s="235" t="s">
        <v>156</v>
      </c>
      <c r="AU1400" s="235" t="s">
        <v>634</v>
      </c>
      <c r="AV1400" s="246" t="s">
        <v>635</v>
      </c>
      <c r="AW1400" s="242"/>
      <c r="AX1400" s="242"/>
      <c r="AY1400" s="231"/>
      <c r="AZ1400" s="231"/>
      <c r="BA1400" s="227"/>
      <c r="BB1400" s="231"/>
      <c r="BC1400" s="227"/>
      <c r="BD1400" s="227"/>
      <c r="BE1400" s="227"/>
      <c r="BF1400" s="227"/>
    </row>
    <row r="1401">
      <c r="A1401" s="235" t="s">
        <v>11312</v>
      </c>
      <c r="C1401" s="235" t="s">
        <v>11313</v>
      </c>
      <c r="D1401" s="235" t="s">
        <v>11314</v>
      </c>
      <c r="E1401" s="243">
        <v>6.55E13</v>
      </c>
      <c r="F1401" s="245"/>
      <c r="G1401" s="235" t="s">
        <v>11315</v>
      </c>
      <c r="H1401" s="235" t="s">
        <v>11316</v>
      </c>
      <c r="I1401" s="235" t="s">
        <v>11316</v>
      </c>
      <c r="J1401" s="235" t="s">
        <v>11317</v>
      </c>
      <c r="K1401" s="235" t="s">
        <v>11318</v>
      </c>
      <c r="N1401" s="235" t="s">
        <v>127</v>
      </c>
      <c r="O1401" s="235" t="s">
        <v>794</v>
      </c>
      <c r="P1401" s="238">
        <v>1.0</v>
      </c>
      <c r="Q1401" s="235" t="s">
        <v>627</v>
      </c>
      <c r="R1401" s="238">
        <v>246.67</v>
      </c>
      <c r="S1401" s="238">
        <v>12.33</v>
      </c>
      <c r="T1401" s="238">
        <v>0.0</v>
      </c>
      <c r="U1401" s="238">
        <v>0.0</v>
      </c>
      <c r="V1401" s="238">
        <v>0.0</v>
      </c>
      <c r="W1401" s="238">
        <v>0.0</v>
      </c>
      <c r="X1401" s="235" t="s">
        <v>628</v>
      </c>
      <c r="Z1401" s="244"/>
      <c r="AA1401" s="244"/>
      <c r="AB1401" s="244"/>
      <c r="AC1401" s="235" t="s">
        <v>1475</v>
      </c>
      <c r="AD1401" s="235" t="s">
        <v>11319</v>
      </c>
      <c r="AE1401" s="238">
        <v>110024.0</v>
      </c>
      <c r="AF1401" s="235" t="s">
        <v>631</v>
      </c>
      <c r="AG1401" s="244"/>
      <c r="AH1401" s="244"/>
      <c r="AI1401" s="245"/>
      <c r="AJ1401" s="245"/>
      <c r="AK1401" s="245"/>
      <c r="AL1401" s="245"/>
      <c r="AM1401" s="244"/>
      <c r="AN1401" s="244"/>
      <c r="AO1401" s="238">
        <v>0.0</v>
      </c>
      <c r="AP1401" s="238">
        <v>0.0</v>
      </c>
      <c r="AQ1401" s="235" t="s">
        <v>632</v>
      </c>
      <c r="AR1401" s="243">
        <v>1.68E11</v>
      </c>
      <c r="AS1401" s="235" t="s">
        <v>11171</v>
      </c>
      <c r="AT1401" s="235" t="s">
        <v>14</v>
      </c>
      <c r="AU1401" s="235" t="s">
        <v>634</v>
      </c>
      <c r="AV1401" s="246" t="s">
        <v>635</v>
      </c>
      <c r="AW1401" s="242"/>
      <c r="AX1401" s="242"/>
      <c r="AY1401" s="231"/>
      <c r="AZ1401" s="231"/>
      <c r="BA1401" s="227"/>
      <c r="BB1401" s="231"/>
      <c r="BC1401" s="227"/>
      <c r="BD1401" s="227"/>
      <c r="BE1401" s="227"/>
      <c r="BF1401" s="227"/>
    </row>
    <row r="1402">
      <c r="A1402" s="235" t="s">
        <v>11320</v>
      </c>
      <c r="C1402" s="235" t="s">
        <v>11321</v>
      </c>
      <c r="D1402" s="235" t="s">
        <v>11322</v>
      </c>
      <c r="E1402" s="243">
        <v>6.55E13</v>
      </c>
      <c r="F1402" s="245"/>
      <c r="G1402" s="235" t="s">
        <v>11323</v>
      </c>
      <c r="H1402" s="235" t="s">
        <v>11324</v>
      </c>
      <c r="I1402" s="235" t="s">
        <v>11324</v>
      </c>
      <c r="J1402" s="235" t="s">
        <v>11325</v>
      </c>
      <c r="K1402" s="235" t="s">
        <v>11326</v>
      </c>
      <c r="N1402" s="235" t="s">
        <v>154</v>
      </c>
      <c r="O1402" s="235" t="s">
        <v>766</v>
      </c>
      <c r="P1402" s="238">
        <v>1.0</v>
      </c>
      <c r="Q1402" s="235" t="s">
        <v>627</v>
      </c>
      <c r="R1402" s="238">
        <v>465.71</v>
      </c>
      <c r="S1402" s="238">
        <v>23.29</v>
      </c>
      <c r="T1402" s="238">
        <v>0.0</v>
      </c>
      <c r="U1402" s="238">
        <v>0.0</v>
      </c>
      <c r="V1402" s="238">
        <v>0.0</v>
      </c>
      <c r="W1402" s="238">
        <v>0.0</v>
      </c>
      <c r="X1402" s="235" t="s">
        <v>628</v>
      </c>
      <c r="Z1402" s="244"/>
      <c r="AA1402" s="244"/>
      <c r="AB1402" s="244"/>
      <c r="AC1402" s="235" t="s">
        <v>1085</v>
      </c>
      <c r="AD1402" s="235" t="s">
        <v>1086</v>
      </c>
      <c r="AE1402" s="238">
        <v>141012.0</v>
      </c>
      <c r="AF1402" s="235" t="s">
        <v>631</v>
      </c>
      <c r="AG1402" s="244"/>
      <c r="AH1402" s="244"/>
      <c r="AI1402" s="245"/>
      <c r="AJ1402" s="245"/>
      <c r="AK1402" s="245"/>
      <c r="AL1402" s="245"/>
      <c r="AM1402" s="244"/>
      <c r="AN1402" s="244"/>
      <c r="AO1402" s="238">
        <v>0.0</v>
      </c>
      <c r="AP1402" s="238">
        <v>0.0</v>
      </c>
      <c r="AQ1402" s="235" t="s">
        <v>632</v>
      </c>
      <c r="AR1402" s="243">
        <v>3.71E11</v>
      </c>
      <c r="AS1402" s="235" t="s">
        <v>8807</v>
      </c>
      <c r="AT1402" s="235" t="s">
        <v>13</v>
      </c>
      <c r="AU1402" s="235" t="s">
        <v>634</v>
      </c>
      <c r="AV1402" s="246" t="s">
        <v>635</v>
      </c>
      <c r="AW1402" s="242"/>
      <c r="AX1402" s="242"/>
      <c r="AY1402" s="231"/>
      <c r="AZ1402" s="231"/>
      <c r="BA1402" s="227"/>
      <c r="BB1402" s="231"/>
      <c r="BC1402" s="227"/>
      <c r="BD1402" s="227"/>
      <c r="BE1402" s="227"/>
      <c r="BF1402" s="227"/>
    </row>
    <row r="1403">
      <c r="A1403" s="235" t="s">
        <v>11327</v>
      </c>
      <c r="C1403" s="235" t="s">
        <v>11328</v>
      </c>
      <c r="D1403" s="235" t="s">
        <v>11329</v>
      </c>
      <c r="E1403" s="243">
        <v>6.55E13</v>
      </c>
      <c r="F1403" s="245"/>
      <c r="G1403" s="235" t="s">
        <v>11330</v>
      </c>
      <c r="H1403" s="235" t="s">
        <v>11331</v>
      </c>
      <c r="I1403" s="235" t="s">
        <v>11331</v>
      </c>
      <c r="J1403" s="235" t="s">
        <v>11332</v>
      </c>
      <c r="K1403" s="235" t="s">
        <v>11333</v>
      </c>
      <c r="N1403" s="235" t="s">
        <v>4</v>
      </c>
      <c r="O1403" s="235" t="s">
        <v>1791</v>
      </c>
      <c r="P1403" s="238">
        <v>2.0</v>
      </c>
      <c r="Q1403" s="235" t="s">
        <v>627</v>
      </c>
      <c r="R1403" s="238">
        <v>531.42</v>
      </c>
      <c r="S1403" s="238">
        <v>25.78</v>
      </c>
      <c r="T1403" s="238">
        <v>0.0</v>
      </c>
      <c r="U1403" s="238">
        <v>0.0</v>
      </c>
      <c r="V1403" s="238">
        <v>0.0</v>
      </c>
      <c r="W1403" s="238">
        <v>0.0</v>
      </c>
      <c r="X1403" s="235" t="s">
        <v>628</v>
      </c>
      <c r="Z1403" s="244"/>
      <c r="AA1403" s="244"/>
      <c r="AB1403" s="244"/>
      <c r="AC1403" s="235" t="s">
        <v>678</v>
      </c>
      <c r="AD1403" s="235" t="s">
        <v>679</v>
      </c>
      <c r="AE1403" s="238">
        <v>561203.0</v>
      </c>
      <c r="AF1403" s="235" t="s">
        <v>631</v>
      </c>
      <c r="AG1403" s="244"/>
      <c r="AH1403" s="244"/>
      <c r="AI1403" s="245"/>
      <c r="AJ1403" s="245"/>
      <c r="AK1403" s="245"/>
      <c r="AL1403" s="245"/>
      <c r="AM1403" s="244"/>
      <c r="AN1403" s="244"/>
      <c r="AO1403" s="238">
        <v>-15.94</v>
      </c>
      <c r="AP1403" s="238">
        <v>0.0</v>
      </c>
      <c r="AQ1403" s="235" t="s">
        <v>1328</v>
      </c>
      <c r="AR1403" s="243">
        <v>1.34E13</v>
      </c>
      <c r="AS1403" s="235" t="s">
        <v>6164</v>
      </c>
      <c r="AT1403" s="235" t="s">
        <v>156</v>
      </c>
      <c r="AU1403" s="235" t="s">
        <v>634</v>
      </c>
      <c r="AV1403" s="246" t="s">
        <v>635</v>
      </c>
      <c r="AW1403" s="242"/>
      <c r="AX1403" s="242"/>
      <c r="AY1403" s="231"/>
      <c r="AZ1403" s="231"/>
      <c r="BA1403" s="227"/>
      <c r="BB1403" s="231"/>
      <c r="BC1403" s="227"/>
      <c r="BD1403" s="227"/>
      <c r="BE1403" s="227"/>
      <c r="BF1403" s="227"/>
    </row>
    <row r="1404">
      <c r="A1404" s="235" t="s">
        <v>11334</v>
      </c>
      <c r="C1404" s="235" t="s">
        <v>11335</v>
      </c>
      <c r="D1404" s="235" t="s">
        <v>11336</v>
      </c>
      <c r="E1404" s="243">
        <v>6.55E13</v>
      </c>
      <c r="F1404" s="245"/>
      <c r="G1404" s="235" t="s">
        <v>11337</v>
      </c>
      <c r="H1404" s="235" t="s">
        <v>11338</v>
      </c>
      <c r="I1404" s="235" t="s">
        <v>11338</v>
      </c>
      <c r="J1404" s="235" t="s">
        <v>11339</v>
      </c>
      <c r="K1404" s="235" t="s">
        <v>11340</v>
      </c>
      <c r="N1404" s="235" t="s">
        <v>154</v>
      </c>
      <c r="O1404" s="235" t="s">
        <v>766</v>
      </c>
      <c r="P1404" s="238">
        <v>1.0</v>
      </c>
      <c r="Q1404" s="235" t="s">
        <v>627</v>
      </c>
      <c r="R1404" s="238">
        <v>465.71</v>
      </c>
      <c r="S1404" s="238">
        <v>22.82</v>
      </c>
      <c r="T1404" s="238">
        <v>0.0</v>
      </c>
      <c r="U1404" s="238">
        <v>0.0</v>
      </c>
      <c r="V1404" s="238">
        <v>0.0</v>
      </c>
      <c r="W1404" s="238">
        <v>0.0</v>
      </c>
      <c r="X1404" s="235" t="s">
        <v>628</v>
      </c>
      <c r="Z1404" s="244"/>
      <c r="AA1404" s="244"/>
      <c r="AB1404" s="244"/>
      <c r="AC1404" s="235" t="s">
        <v>697</v>
      </c>
      <c r="AD1404" s="235" t="s">
        <v>698</v>
      </c>
      <c r="AE1404" s="238">
        <v>500019.0</v>
      </c>
      <c r="AF1404" s="235" t="s">
        <v>631</v>
      </c>
      <c r="AG1404" s="244"/>
      <c r="AH1404" s="244"/>
      <c r="AI1404" s="245"/>
      <c r="AJ1404" s="245"/>
      <c r="AK1404" s="245"/>
      <c r="AL1404" s="245"/>
      <c r="AM1404" s="244"/>
      <c r="AN1404" s="244"/>
      <c r="AO1404" s="238">
        <v>-9.31</v>
      </c>
      <c r="AP1404" s="238">
        <v>0.0</v>
      </c>
      <c r="AQ1404" s="235" t="s">
        <v>632</v>
      </c>
      <c r="AR1404" s="243">
        <v>3.71E11</v>
      </c>
      <c r="AS1404" s="235" t="s">
        <v>8807</v>
      </c>
      <c r="AT1404" s="235" t="s">
        <v>17</v>
      </c>
      <c r="AU1404" s="235" t="s">
        <v>634</v>
      </c>
      <c r="AV1404" s="246" t="s">
        <v>635</v>
      </c>
      <c r="AW1404" s="242"/>
      <c r="AX1404" s="242"/>
      <c r="AY1404" s="231"/>
      <c r="AZ1404" s="231"/>
      <c r="BA1404" s="227"/>
      <c r="BB1404" s="231"/>
      <c r="BC1404" s="227"/>
      <c r="BD1404" s="227"/>
      <c r="BE1404" s="227"/>
      <c r="BF1404" s="227"/>
    </row>
    <row r="1405">
      <c r="A1405" s="235" t="s">
        <v>11341</v>
      </c>
      <c r="C1405" s="235" t="s">
        <v>11342</v>
      </c>
      <c r="D1405" s="235" t="s">
        <v>11343</v>
      </c>
      <c r="E1405" s="243">
        <v>6.55E13</v>
      </c>
      <c r="F1405" s="245"/>
      <c r="G1405" s="235" t="s">
        <v>11344</v>
      </c>
      <c r="H1405" s="235" t="s">
        <v>11048</v>
      </c>
      <c r="I1405" s="235" t="s">
        <v>11048</v>
      </c>
      <c r="J1405" s="235" t="s">
        <v>11345</v>
      </c>
      <c r="K1405" s="235" t="s">
        <v>11346</v>
      </c>
      <c r="N1405" s="235" t="s">
        <v>92</v>
      </c>
      <c r="O1405" s="235" t="s">
        <v>248</v>
      </c>
      <c r="P1405" s="238">
        <v>1.0</v>
      </c>
      <c r="Q1405" s="235" t="s">
        <v>627</v>
      </c>
      <c r="R1405" s="238">
        <v>246.66</v>
      </c>
      <c r="S1405" s="238">
        <v>12.34</v>
      </c>
      <c r="T1405" s="238">
        <v>0.0</v>
      </c>
      <c r="U1405" s="238">
        <v>0.0</v>
      </c>
      <c r="V1405" s="238">
        <v>0.0</v>
      </c>
      <c r="W1405" s="238">
        <v>0.0</v>
      </c>
      <c r="X1405" s="235" t="s">
        <v>628</v>
      </c>
      <c r="Z1405" s="244"/>
      <c r="AA1405" s="244"/>
      <c r="AB1405" s="244"/>
      <c r="AC1405" s="235" t="s">
        <v>1887</v>
      </c>
      <c r="AD1405" s="235" t="s">
        <v>679</v>
      </c>
      <c r="AE1405" s="238">
        <v>560059.0</v>
      </c>
      <c r="AF1405" s="235" t="s">
        <v>631</v>
      </c>
      <c r="AG1405" s="244"/>
      <c r="AH1405" s="244"/>
      <c r="AI1405" s="245"/>
      <c r="AJ1405" s="245"/>
      <c r="AK1405" s="245"/>
      <c r="AL1405" s="245"/>
      <c r="AM1405" s="244"/>
      <c r="AN1405" s="244"/>
      <c r="AO1405" s="238">
        <v>0.0</v>
      </c>
      <c r="AP1405" s="238">
        <v>0.0</v>
      </c>
      <c r="AQ1405" s="235" t="s">
        <v>632</v>
      </c>
      <c r="AR1405" s="243">
        <v>1.68E11</v>
      </c>
      <c r="AS1405" s="235" t="s">
        <v>11171</v>
      </c>
      <c r="AT1405" s="235" t="s">
        <v>9</v>
      </c>
      <c r="AU1405" s="235" t="s">
        <v>634</v>
      </c>
      <c r="AV1405" s="246" t="s">
        <v>635</v>
      </c>
      <c r="AW1405" s="242"/>
      <c r="AX1405" s="242"/>
      <c r="AY1405" s="231"/>
      <c r="AZ1405" s="231"/>
      <c r="BA1405" s="227"/>
      <c r="BB1405" s="231"/>
      <c r="BC1405" s="227"/>
      <c r="BD1405" s="227"/>
      <c r="BE1405" s="227"/>
      <c r="BF1405" s="227"/>
    </row>
    <row r="1406">
      <c r="A1406" s="235" t="s">
        <v>11347</v>
      </c>
      <c r="C1406" s="235" t="s">
        <v>11348</v>
      </c>
      <c r="D1406" s="235" t="s">
        <v>11349</v>
      </c>
      <c r="E1406" s="243">
        <v>6.55E13</v>
      </c>
      <c r="F1406" s="245"/>
      <c r="G1406" s="235" t="s">
        <v>11350</v>
      </c>
      <c r="H1406" s="235" t="s">
        <v>11351</v>
      </c>
      <c r="I1406" s="235" t="s">
        <v>11351</v>
      </c>
      <c r="J1406" s="235" t="s">
        <v>11352</v>
      </c>
      <c r="K1406" s="235" t="s">
        <v>11353</v>
      </c>
      <c r="N1406" s="235" t="s">
        <v>127</v>
      </c>
      <c r="O1406" s="235" t="s">
        <v>794</v>
      </c>
      <c r="P1406" s="238">
        <v>1.0</v>
      </c>
      <c r="Q1406" s="235" t="s">
        <v>627</v>
      </c>
      <c r="R1406" s="238">
        <v>246.66</v>
      </c>
      <c r="S1406" s="238">
        <v>12.34</v>
      </c>
      <c r="T1406" s="238">
        <v>0.0</v>
      </c>
      <c r="U1406" s="238">
        <v>0.0</v>
      </c>
      <c r="V1406" s="238">
        <v>0.0</v>
      </c>
      <c r="W1406" s="238">
        <v>0.0</v>
      </c>
      <c r="X1406" s="235" t="s">
        <v>628</v>
      </c>
      <c r="Z1406" s="244"/>
      <c r="AA1406" s="244"/>
      <c r="AB1406" s="244"/>
      <c r="AC1406" s="235" t="s">
        <v>1514</v>
      </c>
      <c r="AD1406" s="235" t="s">
        <v>1077</v>
      </c>
      <c r="AE1406" s="238">
        <v>382481.0</v>
      </c>
      <c r="AF1406" s="235" t="s">
        <v>631</v>
      </c>
      <c r="AG1406" s="244"/>
      <c r="AH1406" s="244"/>
      <c r="AI1406" s="245"/>
      <c r="AJ1406" s="245"/>
      <c r="AK1406" s="245"/>
      <c r="AL1406" s="245"/>
      <c r="AM1406" s="244"/>
      <c r="AN1406" s="244"/>
      <c r="AO1406" s="238">
        <v>0.0</v>
      </c>
      <c r="AP1406" s="238">
        <v>0.0</v>
      </c>
      <c r="AQ1406" s="235" t="s">
        <v>632</v>
      </c>
      <c r="AR1406" s="243">
        <v>1.68E11</v>
      </c>
      <c r="AS1406" s="235" t="s">
        <v>11171</v>
      </c>
      <c r="AT1406" s="235" t="s">
        <v>5</v>
      </c>
      <c r="AU1406" s="235" t="s">
        <v>634</v>
      </c>
      <c r="AV1406" s="246" t="s">
        <v>635</v>
      </c>
      <c r="AW1406" s="242"/>
      <c r="AX1406" s="242"/>
      <c r="AY1406" s="231"/>
      <c r="AZ1406" s="231"/>
      <c r="BA1406" s="227"/>
      <c r="BB1406" s="231"/>
      <c r="BC1406" s="227"/>
      <c r="BD1406" s="227"/>
      <c r="BE1406" s="227"/>
      <c r="BF1406" s="227"/>
    </row>
    <row r="1407">
      <c r="A1407" s="235" t="s">
        <v>11354</v>
      </c>
      <c r="C1407" s="235" t="s">
        <v>11355</v>
      </c>
      <c r="D1407" s="235" t="s">
        <v>11356</v>
      </c>
      <c r="E1407" s="243">
        <v>6.55E13</v>
      </c>
      <c r="F1407" s="245"/>
      <c r="G1407" s="235" t="s">
        <v>11357</v>
      </c>
      <c r="H1407" s="235" t="s">
        <v>11358</v>
      </c>
      <c r="I1407" s="235" t="s">
        <v>11358</v>
      </c>
      <c r="J1407" s="235" t="s">
        <v>11359</v>
      </c>
      <c r="K1407" s="235" t="s">
        <v>11360</v>
      </c>
      <c r="N1407" s="235" t="s">
        <v>85</v>
      </c>
      <c r="O1407" s="235" t="s">
        <v>872</v>
      </c>
      <c r="P1407" s="238">
        <v>1.0</v>
      </c>
      <c r="Q1407" s="235" t="s">
        <v>627</v>
      </c>
      <c r="R1407" s="238">
        <v>246.67</v>
      </c>
      <c r="S1407" s="238">
        <v>12.33</v>
      </c>
      <c r="T1407" s="238">
        <v>0.0</v>
      </c>
      <c r="U1407" s="238">
        <v>0.0</v>
      </c>
      <c r="V1407" s="238">
        <v>0.0</v>
      </c>
      <c r="W1407" s="238">
        <v>0.0</v>
      </c>
      <c r="X1407" s="235" t="s">
        <v>628</v>
      </c>
      <c r="Z1407" s="244"/>
      <c r="AA1407" s="244"/>
      <c r="AB1407" s="244"/>
      <c r="AC1407" s="235" t="s">
        <v>11361</v>
      </c>
      <c r="AD1407" s="235" t="s">
        <v>11362</v>
      </c>
      <c r="AE1407" s="238">
        <v>700125.0</v>
      </c>
      <c r="AF1407" s="235" t="s">
        <v>631</v>
      </c>
      <c r="AG1407" s="244"/>
      <c r="AH1407" s="244"/>
      <c r="AI1407" s="245"/>
      <c r="AJ1407" s="245"/>
      <c r="AK1407" s="245"/>
      <c r="AL1407" s="245"/>
      <c r="AM1407" s="244"/>
      <c r="AN1407" s="244"/>
      <c r="AO1407" s="238">
        <v>0.0</v>
      </c>
      <c r="AP1407" s="238">
        <v>0.0</v>
      </c>
      <c r="AQ1407" s="235" t="s">
        <v>632</v>
      </c>
      <c r="AR1407" s="243">
        <v>2.02E11</v>
      </c>
      <c r="AS1407" s="235" t="s">
        <v>10017</v>
      </c>
      <c r="AT1407" s="235" t="s">
        <v>156</v>
      </c>
      <c r="AU1407" s="235" t="s">
        <v>634</v>
      </c>
      <c r="AV1407" s="246" t="s">
        <v>635</v>
      </c>
      <c r="AW1407" s="242"/>
      <c r="AX1407" s="242"/>
      <c r="AY1407" s="231"/>
      <c r="AZ1407" s="231"/>
      <c r="BA1407" s="227"/>
      <c r="BB1407" s="231"/>
      <c r="BC1407" s="227"/>
      <c r="BD1407" s="227"/>
      <c r="BE1407" s="227"/>
      <c r="BF1407" s="227"/>
    </row>
    <row r="1408">
      <c r="A1408" s="235" t="s">
        <v>11363</v>
      </c>
      <c r="C1408" s="235" t="s">
        <v>11364</v>
      </c>
      <c r="D1408" s="235" t="s">
        <v>11365</v>
      </c>
      <c r="E1408" s="243">
        <v>6.55E13</v>
      </c>
      <c r="F1408" s="245"/>
      <c r="G1408" s="235" t="s">
        <v>11366</v>
      </c>
      <c r="H1408" s="235" t="s">
        <v>11367</v>
      </c>
      <c r="I1408" s="235" t="s">
        <v>11368</v>
      </c>
      <c r="J1408" s="235" t="s">
        <v>11369</v>
      </c>
      <c r="K1408" s="235" t="s">
        <v>11370</v>
      </c>
      <c r="N1408" s="235" t="s">
        <v>130</v>
      </c>
      <c r="O1408" s="235" t="s">
        <v>707</v>
      </c>
      <c r="P1408" s="238">
        <v>1.0</v>
      </c>
      <c r="Q1408" s="235" t="s">
        <v>627</v>
      </c>
      <c r="R1408" s="238">
        <v>246.67</v>
      </c>
      <c r="S1408" s="238">
        <v>12.33</v>
      </c>
      <c r="T1408" s="238">
        <v>0.0</v>
      </c>
      <c r="U1408" s="238">
        <v>0.0</v>
      </c>
      <c r="V1408" s="238">
        <v>0.0</v>
      </c>
      <c r="W1408" s="238">
        <v>0.0</v>
      </c>
      <c r="X1408" s="235" t="s">
        <v>628</v>
      </c>
      <c r="Z1408" s="244"/>
      <c r="AA1408" s="244"/>
      <c r="AB1408" s="244"/>
      <c r="AC1408" s="235" t="s">
        <v>795</v>
      </c>
      <c r="AD1408" s="235" t="s">
        <v>796</v>
      </c>
      <c r="AE1408" s="238">
        <v>110018.0</v>
      </c>
      <c r="AF1408" s="235" t="s">
        <v>631</v>
      </c>
      <c r="AG1408" s="244"/>
      <c r="AH1408" s="244"/>
      <c r="AI1408" s="245"/>
      <c r="AJ1408" s="245"/>
      <c r="AK1408" s="245"/>
      <c r="AL1408" s="245"/>
      <c r="AM1408" s="244"/>
      <c r="AN1408" s="244"/>
      <c r="AO1408" s="238">
        <v>0.0</v>
      </c>
      <c r="AP1408" s="238">
        <v>0.0</v>
      </c>
      <c r="AQ1408" s="235" t="s">
        <v>632</v>
      </c>
      <c r="AR1408" s="243">
        <v>1.68E11</v>
      </c>
      <c r="AS1408" s="235" t="s">
        <v>11171</v>
      </c>
      <c r="AT1408" s="235" t="s">
        <v>533</v>
      </c>
      <c r="AU1408" s="235" t="s">
        <v>634</v>
      </c>
      <c r="AV1408" s="246" t="s">
        <v>635</v>
      </c>
      <c r="AW1408" s="242"/>
      <c r="AX1408" s="242"/>
      <c r="AY1408" s="231"/>
      <c r="AZ1408" s="231"/>
      <c r="BA1408" s="227"/>
      <c r="BB1408" s="231"/>
      <c r="BC1408" s="227"/>
      <c r="BD1408" s="227"/>
      <c r="BE1408" s="227"/>
      <c r="BF1408" s="227"/>
    </row>
    <row r="1409">
      <c r="A1409" s="235" t="s">
        <v>11371</v>
      </c>
      <c r="C1409" s="235" t="s">
        <v>11372</v>
      </c>
      <c r="D1409" s="235" t="s">
        <v>11373</v>
      </c>
      <c r="E1409" s="243">
        <v>6.55E13</v>
      </c>
      <c r="F1409" s="245"/>
      <c r="G1409" s="235" t="s">
        <v>11374</v>
      </c>
      <c r="H1409" s="235" t="s">
        <v>11375</v>
      </c>
      <c r="I1409" s="235" t="s">
        <v>11376</v>
      </c>
      <c r="J1409" s="235" t="s">
        <v>11377</v>
      </c>
      <c r="K1409" s="235" t="s">
        <v>11378</v>
      </c>
      <c r="N1409" s="235" t="s">
        <v>47</v>
      </c>
      <c r="O1409" s="235" t="s">
        <v>270</v>
      </c>
      <c r="P1409" s="238">
        <v>1.0</v>
      </c>
      <c r="Q1409" s="235" t="s">
        <v>627</v>
      </c>
      <c r="R1409" s="238">
        <v>237.14</v>
      </c>
      <c r="S1409" s="238">
        <v>11.86</v>
      </c>
      <c r="T1409" s="238">
        <v>56.19</v>
      </c>
      <c r="U1409" s="238">
        <v>2.81</v>
      </c>
      <c r="V1409" s="238">
        <v>0.0</v>
      </c>
      <c r="W1409" s="238">
        <v>0.0</v>
      </c>
      <c r="X1409" s="235" t="s">
        <v>628</v>
      </c>
      <c r="Z1409" s="244"/>
      <c r="AA1409" s="244"/>
      <c r="AB1409" s="244"/>
      <c r="AC1409" s="235" t="s">
        <v>11379</v>
      </c>
      <c r="AD1409" s="235" t="s">
        <v>833</v>
      </c>
      <c r="AE1409" s="238">
        <v>534126.0</v>
      </c>
      <c r="AF1409" s="235" t="s">
        <v>631</v>
      </c>
      <c r="AG1409" s="244"/>
      <c r="AH1409" s="244"/>
      <c r="AI1409" s="245"/>
      <c r="AJ1409" s="245"/>
      <c r="AK1409" s="245"/>
      <c r="AL1409" s="245"/>
      <c r="AM1409" s="244"/>
      <c r="AN1409" s="244"/>
      <c r="AO1409" s="238">
        <v>0.0</v>
      </c>
      <c r="AP1409" s="238">
        <v>-56.19</v>
      </c>
      <c r="AQ1409" s="235" t="s">
        <v>632</v>
      </c>
      <c r="AR1409" s="243">
        <v>3.71E11</v>
      </c>
      <c r="AS1409" s="235" t="s">
        <v>8807</v>
      </c>
      <c r="AT1409" s="235" t="s">
        <v>156</v>
      </c>
      <c r="AU1409" s="235" t="s">
        <v>634</v>
      </c>
      <c r="AV1409" s="246" t="s">
        <v>635</v>
      </c>
      <c r="AW1409" s="242"/>
      <c r="AX1409" s="242"/>
      <c r="AY1409" s="231"/>
      <c r="AZ1409" s="231"/>
      <c r="BA1409" s="227"/>
      <c r="BB1409" s="231"/>
      <c r="BC1409" s="227"/>
      <c r="BD1409" s="227"/>
      <c r="BE1409" s="227"/>
      <c r="BF1409" s="227"/>
    </row>
    <row r="1410">
      <c r="A1410" s="235" t="s">
        <v>11380</v>
      </c>
      <c r="C1410" s="235" t="s">
        <v>11381</v>
      </c>
      <c r="D1410" s="235" t="s">
        <v>11382</v>
      </c>
      <c r="E1410" s="243">
        <v>6.55E13</v>
      </c>
      <c r="F1410" s="245"/>
      <c r="G1410" s="235" t="s">
        <v>11383</v>
      </c>
      <c r="H1410" s="235" t="s">
        <v>11384</v>
      </c>
      <c r="I1410" s="235" t="s">
        <v>11384</v>
      </c>
      <c r="J1410" s="235" t="s">
        <v>11385</v>
      </c>
      <c r="K1410" s="235" t="s">
        <v>11386</v>
      </c>
      <c r="N1410" s="235" t="s">
        <v>130</v>
      </c>
      <c r="O1410" s="235" t="s">
        <v>707</v>
      </c>
      <c r="P1410" s="238">
        <v>1.0</v>
      </c>
      <c r="Q1410" s="235" t="s">
        <v>627</v>
      </c>
      <c r="R1410" s="238">
        <v>246.67</v>
      </c>
      <c r="S1410" s="238">
        <v>12.33</v>
      </c>
      <c r="T1410" s="238">
        <v>38.1</v>
      </c>
      <c r="U1410" s="238">
        <v>1.9</v>
      </c>
      <c r="V1410" s="238">
        <v>0.0</v>
      </c>
      <c r="W1410" s="238">
        <v>0.0</v>
      </c>
      <c r="X1410" s="235" t="s">
        <v>628</v>
      </c>
      <c r="Z1410" s="244"/>
      <c r="AA1410" s="244"/>
      <c r="AB1410" s="244"/>
      <c r="AC1410" s="235" t="s">
        <v>4420</v>
      </c>
      <c r="AD1410" s="235" t="s">
        <v>630</v>
      </c>
      <c r="AE1410" s="238">
        <v>208012.0</v>
      </c>
      <c r="AF1410" s="235" t="s">
        <v>631</v>
      </c>
      <c r="AG1410" s="244"/>
      <c r="AH1410" s="244"/>
      <c r="AI1410" s="245"/>
      <c r="AJ1410" s="245"/>
      <c r="AK1410" s="245"/>
      <c r="AL1410" s="245"/>
      <c r="AM1410" s="244"/>
      <c r="AN1410" s="244"/>
      <c r="AO1410" s="238">
        <v>0.0</v>
      </c>
      <c r="AP1410" s="238">
        <v>-38.1</v>
      </c>
      <c r="AQ1410" s="235" t="s">
        <v>632</v>
      </c>
      <c r="AR1410" s="243">
        <v>3.71E11</v>
      </c>
      <c r="AS1410" s="235" t="s">
        <v>8807</v>
      </c>
      <c r="AT1410" s="235" t="s">
        <v>13</v>
      </c>
      <c r="AU1410" s="235" t="s">
        <v>634</v>
      </c>
      <c r="AV1410" s="246" t="s">
        <v>635</v>
      </c>
      <c r="AW1410" s="242"/>
      <c r="AX1410" s="242"/>
      <c r="AY1410" s="231"/>
      <c r="AZ1410" s="231"/>
      <c r="BA1410" s="227"/>
      <c r="BB1410" s="231"/>
      <c r="BC1410" s="227"/>
      <c r="BD1410" s="227"/>
      <c r="BE1410" s="227"/>
      <c r="BF1410" s="227"/>
    </row>
    <row r="1411">
      <c r="A1411" s="235" t="s">
        <v>11387</v>
      </c>
      <c r="C1411" s="235" t="s">
        <v>11388</v>
      </c>
      <c r="D1411" s="235" t="s">
        <v>11389</v>
      </c>
      <c r="E1411" s="243">
        <v>6.55E13</v>
      </c>
      <c r="F1411" s="245"/>
      <c r="G1411" s="235" t="s">
        <v>11390</v>
      </c>
      <c r="H1411" s="235" t="s">
        <v>11391</v>
      </c>
      <c r="I1411" s="235" t="s">
        <v>11392</v>
      </c>
      <c r="J1411" s="235" t="s">
        <v>11393</v>
      </c>
      <c r="K1411" s="235" t="s">
        <v>11394</v>
      </c>
      <c r="N1411" s="235" t="s">
        <v>42</v>
      </c>
      <c r="O1411" s="235" t="s">
        <v>204</v>
      </c>
      <c r="P1411" s="238">
        <v>1.0</v>
      </c>
      <c r="Q1411" s="235" t="s">
        <v>627</v>
      </c>
      <c r="R1411" s="238">
        <v>237.14</v>
      </c>
      <c r="S1411" s="238">
        <v>11.86</v>
      </c>
      <c r="T1411" s="238">
        <v>0.0</v>
      </c>
      <c r="U1411" s="238">
        <v>0.0</v>
      </c>
      <c r="V1411" s="238">
        <v>0.0</v>
      </c>
      <c r="W1411" s="238">
        <v>0.0</v>
      </c>
      <c r="X1411" s="235" t="s">
        <v>628</v>
      </c>
      <c r="Z1411" s="244"/>
      <c r="AA1411" s="244"/>
      <c r="AB1411" s="244"/>
      <c r="AC1411" s="235" t="s">
        <v>697</v>
      </c>
      <c r="AD1411" s="235" t="s">
        <v>698</v>
      </c>
      <c r="AE1411" s="238">
        <v>500084.0</v>
      </c>
      <c r="AF1411" s="235" t="s">
        <v>631</v>
      </c>
      <c r="AG1411" s="244"/>
      <c r="AH1411" s="244"/>
      <c r="AI1411" s="245"/>
      <c r="AJ1411" s="245"/>
      <c r="AK1411" s="245"/>
      <c r="AL1411" s="245"/>
      <c r="AM1411" s="244"/>
      <c r="AN1411" s="244"/>
      <c r="AO1411" s="238">
        <v>0.0</v>
      </c>
      <c r="AP1411" s="238">
        <v>0.0</v>
      </c>
      <c r="AQ1411" s="235" t="s">
        <v>632</v>
      </c>
      <c r="AR1411" s="243">
        <v>3.71E11</v>
      </c>
      <c r="AS1411" s="235" t="s">
        <v>8807</v>
      </c>
      <c r="AT1411" s="235" t="s">
        <v>16</v>
      </c>
      <c r="AU1411" s="235" t="s">
        <v>634</v>
      </c>
      <c r="AV1411" s="246" t="s">
        <v>635</v>
      </c>
      <c r="AW1411" s="242"/>
      <c r="AX1411" s="242"/>
      <c r="AY1411" s="231"/>
      <c r="AZ1411" s="231"/>
      <c r="BA1411" s="227"/>
      <c r="BB1411" s="231"/>
      <c r="BC1411" s="227"/>
      <c r="BD1411" s="227"/>
      <c r="BE1411" s="227"/>
      <c r="BF1411" s="227"/>
    </row>
    <row r="1412">
      <c r="A1412" s="235" t="s">
        <v>11395</v>
      </c>
      <c r="C1412" s="235" t="s">
        <v>11396</v>
      </c>
      <c r="D1412" s="235" t="s">
        <v>11397</v>
      </c>
      <c r="E1412" s="243">
        <v>6.55E13</v>
      </c>
      <c r="F1412" s="245"/>
      <c r="G1412" s="235" t="s">
        <v>11398</v>
      </c>
      <c r="H1412" s="235" t="s">
        <v>11399</v>
      </c>
      <c r="I1412" s="235" t="s">
        <v>11399</v>
      </c>
      <c r="J1412" s="235" t="s">
        <v>11400</v>
      </c>
      <c r="K1412" s="235" t="s">
        <v>11401</v>
      </c>
      <c r="N1412" s="235" t="s">
        <v>42</v>
      </c>
      <c r="O1412" s="235" t="s">
        <v>204</v>
      </c>
      <c r="P1412" s="238">
        <v>1.0</v>
      </c>
      <c r="Q1412" s="235" t="s">
        <v>627</v>
      </c>
      <c r="R1412" s="238">
        <v>237.14</v>
      </c>
      <c r="S1412" s="238">
        <v>11.62</v>
      </c>
      <c r="T1412" s="238">
        <v>0.0</v>
      </c>
      <c r="U1412" s="238">
        <v>0.0</v>
      </c>
      <c r="V1412" s="238">
        <v>0.0</v>
      </c>
      <c r="W1412" s="238">
        <v>0.0</v>
      </c>
      <c r="X1412" s="235" t="s">
        <v>628</v>
      </c>
      <c r="Z1412" s="244"/>
      <c r="AA1412" s="244"/>
      <c r="AB1412" s="244"/>
      <c r="AC1412" s="235" t="s">
        <v>11402</v>
      </c>
      <c r="AD1412" s="235" t="s">
        <v>833</v>
      </c>
      <c r="AE1412" s="238">
        <v>522426.0</v>
      </c>
      <c r="AF1412" s="235" t="s">
        <v>631</v>
      </c>
      <c r="AG1412" s="244"/>
      <c r="AH1412" s="244"/>
      <c r="AI1412" s="245"/>
      <c r="AJ1412" s="245"/>
      <c r="AK1412" s="245"/>
      <c r="AL1412" s="245"/>
      <c r="AM1412" s="244"/>
      <c r="AN1412" s="244"/>
      <c r="AO1412" s="238">
        <v>-4.74</v>
      </c>
      <c r="AP1412" s="238">
        <v>0.0</v>
      </c>
      <c r="AQ1412" s="235" t="s">
        <v>632</v>
      </c>
      <c r="AR1412" s="243">
        <v>3.71E11</v>
      </c>
      <c r="AS1412" s="235" t="s">
        <v>8807</v>
      </c>
      <c r="AT1412" s="235" t="s">
        <v>156</v>
      </c>
      <c r="AU1412" s="235" t="s">
        <v>634</v>
      </c>
      <c r="AV1412" s="246" t="s">
        <v>635</v>
      </c>
      <c r="AW1412" s="242"/>
      <c r="AX1412" s="242"/>
      <c r="AY1412" s="231"/>
      <c r="AZ1412" s="231"/>
      <c r="BA1412" s="227"/>
      <c r="BB1412" s="231"/>
      <c r="BC1412" s="227"/>
      <c r="BD1412" s="227"/>
      <c r="BE1412" s="227"/>
      <c r="BF1412" s="227"/>
    </row>
    <row r="1413">
      <c r="A1413" s="235" t="s">
        <v>11403</v>
      </c>
      <c r="C1413" s="235" t="s">
        <v>11404</v>
      </c>
      <c r="D1413" s="235" t="s">
        <v>11405</v>
      </c>
      <c r="E1413" s="243">
        <v>6.55E13</v>
      </c>
      <c r="F1413" s="245"/>
      <c r="G1413" s="235" t="s">
        <v>11406</v>
      </c>
      <c r="H1413" s="235" t="s">
        <v>11407</v>
      </c>
      <c r="I1413" s="235" t="s">
        <v>11407</v>
      </c>
      <c r="J1413" s="235" t="s">
        <v>11408</v>
      </c>
      <c r="K1413" s="235" t="s">
        <v>11409</v>
      </c>
      <c r="N1413" s="235" t="s">
        <v>78</v>
      </c>
      <c r="O1413" s="235" t="s">
        <v>360</v>
      </c>
      <c r="P1413" s="238">
        <v>2.0</v>
      </c>
      <c r="Q1413" s="235" t="s">
        <v>627</v>
      </c>
      <c r="R1413" s="238">
        <v>721.92</v>
      </c>
      <c r="S1413" s="238">
        <v>35.0</v>
      </c>
      <c r="T1413" s="238">
        <v>0.0</v>
      </c>
      <c r="U1413" s="238">
        <v>0.0</v>
      </c>
      <c r="V1413" s="238">
        <v>0.0</v>
      </c>
      <c r="W1413" s="238">
        <v>0.0</v>
      </c>
      <c r="X1413" s="235" t="s">
        <v>628</v>
      </c>
      <c r="Z1413" s="244"/>
      <c r="AA1413" s="244"/>
      <c r="AB1413" s="244"/>
      <c r="AC1413" s="235" t="s">
        <v>1095</v>
      </c>
      <c r="AD1413" s="235" t="s">
        <v>845</v>
      </c>
      <c r="AE1413" s="238">
        <v>400710.0</v>
      </c>
      <c r="AF1413" s="235" t="s">
        <v>631</v>
      </c>
      <c r="AG1413" s="244"/>
      <c r="AH1413" s="244"/>
      <c r="AI1413" s="245"/>
      <c r="AJ1413" s="245"/>
      <c r="AK1413" s="245"/>
      <c r="AL1413" s="245"/>
      <c r="AM1413" s="244"/>
      <c r="AN1413" s="244"/>
      <c r="AO1413" s="238">
        <v>-21.66</v>
      </c>
      <c r="AP1413" s="238">
        <v>0.0</v>
      </c>
      <c r="AQ1413" s="235" t="s">
        <v>632</v>
      </c>
      <c r="AR1413" s="243">
        <v>1.68E11</v>
      </c>
      <c r="AS1413" s="235" t="s">
        <v>8807</v>
      </c>
      <c r="AT1413" s="235" t="s">
        <v>546</v>
      </c>
      <c r="AU1413" s="235" t="s">
        <v>634</v>
      </c>
      <c r="AV1413" s="246" t="s">
        <v>635</v>
      </c>
      <c r="AW1413" s="242"/>
      <c r="AX1413" s="242"/>
      <c r="AY1413" s="231"/>
      <c r="AZ1413" s="231"/>
      <c r="BA1413" s="227"/>
      <c r="BB1413" s="231"/>
      <c r="BC1413" s="227"/>
      <c r="BD1413" s="227"/>
      <c r="BE1413" s="227"/>
      <c r="BF1413" s="227"/>
    </row>
    <row r="1414">
      <c r="A1414" s="235" t="s">
        <v>11410</v>
      </c>
      <c r="C1414" s="235" t="s">
        <v>11411</v>
      </c>
      <c r="D1414" s="235" t="s">
        <v>11412</v>
      </c>
      <c r="E1414" s="243">
        <v>6.55E13</v>
      </c>
      <c r="F1414" s="245"/>
      <c r="G1414" s="235" t="s">
        <v>11413</v>
      </c>
      <c r="H1414" s="235" t="s">
        <v>11414</v>
      </c>
      <c r="I1414" s="235" t="s">
        <v>11414</v>
      </c>
      <c r="J1414" s="235" t="s">
        <v>11415</v>
      </c>
      <c r="K1414" s="235" t="s">
        <v>11416</v>
      </c>
      <c r="N1414" s="235" t="s">
        <v>117</v>
      </c>
      <c r="O1414" s="235" t="s">
        <v>334</v>
      </c>
      <c r="P1414" s="238">
        <v>1.0</v>
      </c>
      <c r="Q1414" s="235" t="s">
        <v>627</v>
      </c>
      <c r="R1414" s="238">
        <v>237.14</v>
      </c>
      <c r="S1414" s="238">
        <v>11.86</v>
      </c>
      <c r="T1414" s="238">
        <v>0.0</v>
      </c>
      <c r="U1414" s="238">
        <v>0.0</v>
      </c>
      <c r="V1414" s="238">
        <v>0.0</v>
      </c>
      <c r="W1414" s="238">
        <v>0.0</v>
      </c>
      <c r="X1414" s="235" t="s">
        <v>628</v>
      </c>
      <c r="Z1414" s="244"/>
      <c r="AA1414" s="244"/>
      <c r="AB1414" s="244"/>
      <c r="AC1414" s="235" t="s">
        <v>678</v>
      </c>
      <c r="AD1414" s="235" t="s">
        <v>679</v>
      </c>
      <c r="AE1414" s="238">
        <v>560016.0</v>
      </c>
      <c r="AF1414" s="235" t="s">
        <v>631</v>
      </c>
      <c r="AG1414" s="244"/>
      <c r="AH1414" s="244"/>
      <c r="AI1414" s="245"/>
      <c r="AJ1414" s="245"/>
      <c r="AK1414" s="245"/>
      <c r="AL1414" s="245"/>
      <c r="AM1414" s="244"/>
      <c r="AN1414" s="244"/>
      <c r="AO1414" s="238">
        <v>0.0</v>
      </c>
      <c r="AP1414" s="238">
        <v>0.0</v>
      </c>
      <c r="AQ1414" s="235" t="s">
        <v>632</v>
      </c>
      <c r="AR1414" s="243">
        <v>1.68E11</v>
      </c>
      <c r="AS1414" s="235" t="s">
        <v>11171</v>
      </c>
      <c r="AT1414" s="235" t="s">
        <v>9</v>
      </c>
      <c r="AU1414" s="235" t="s">
        <v>634</v>
      </c>
      <c r="AV1414" s="246" t="s">
        <v>635</v>
      </c>
      <c r="AW1414" s="242"/>
      <c r="AX1414" s="242"/>
      <c r="AY1414" s="231"/>
      <c r="AZ1414" s="231"/>
      <c r="BA1414" s="227"/>
      <c r="BB1414" s="231"/>
      <c r="BC1414" s="227"/>
      <c r="BD1414" s="227"/>
      <c r="BE1414" s="227"/>
      <c r="BF1414" s="227"/>
    </row>
    <row r="1415">
      <c r="A1415" s="235" t="s">
        <v>11417</v>
      </c>
      <c r="C1415" s="235" t="s">
        <v>11418</v>
      </c>
      <c r="D1415" s="235" t="s">
        <v>11419</v>
      </c>
      <c r="E1415" s="243">
        <v>6.55E13</v>
      </c>
      <c r="F1415" s="245"/>
      <c r="G1415" s="235" t="s">
        <v>11420</v>
      </c>
      <c r="H1415" s="235" t="s">
        <v>11421</v>
      </c>
      <c r="I1415" s="235" t="s">
        <v>11421</v>
      </c>
      <c r="J1415" s="235" t="s">
        <v>11422</v>
      </c>
      <c r="K1415" s="235" t="s">
        <v>11423</v>
      </c>
      <c r="N1415" s="235" t="s">
        <v>145</v>
      </c>
      <c r="O1415" s="235" t="s">
        <v>370</v>
      </c>
      <c r="P1415" s="238">
        <v>1.0</v>
      </c>
      <c r="Q1415" s="235" t="s">
        <v>627</v>
      </c>
      <c r="R1415" s="238">
        <v>1522.86</v>
      </c>
      <c r="S1415" s="238">
        <v>74.62</v>
      </c>
      <c r="T1415" s="238">
        <v>0.0</v>
      </c>
      <c r="U1415" s="238">
        <v>0.0</v>
      </c>
      <c r="V1415" s="238">
        <v>0.0</v>
      </c>
      <c r="W1415" s="238">
        <v>0.0</v>
      </c>
      <c r="X1415" s="235" t="s">
        <v>628</v>
      </c>
      <c r="Z1415" s="244"/>
      <c r="AA1415" s="244"/>
      <c r="AB1415" s="244"/>
      <c r="AC1415" s="235" t="s">
        <v>2493</v>
      </c>
      <c r="AD1415" s="235" t="s">
        <v>833</v>
      </c>
      <c r="AE1415" s="238">
        <v>520007.0</v>
      </c>
      <c r="AF1415" s="235" t="s">
        <v>631</v>
      </c>
      <c r="AG1415" s="244"/>
      <c r="AH1415" s="244"/>
      <c r="AI1415" s="245"/>
      <c r="AJ1415" s="245"/>
      <c r="AK1415" s="245"/>
      <c r="AL1415" s="245"/>
      <c r="AM1415" s="244"/>
      <c r="AN1415" s="244"/>
      <c r="AO1415" s="238">
        <v>-30.46</v>
      </c>
      <c r="AP1415" s="238">
        <v>0.0</v>
      </c>
      <c r="AQ1415" s="235" t="s">
        <v>632</v>
      </c>
      <c r="AR1415" s="243">
        <v>1.68E11</v>
      </c>
      <c r="AS1415" s="235" t="s">
        <v>10017</v>
      </c>
      <c r="AT1415" s="235" t="s">
        <v>156</v>
      </c>
      <c r="AU1415" s="235" t="s">
        <v>634</v>
      </c>
      <c r="AV1415" s="246" t="s">
        <v>635</v>
      </c>
      <c r="AW1415" s="242"/>
      <c r="AX1415" s="242"/>
      <c r="AY1415" s="231"/>
      <c r="AZ1415" s="231"/>
      <c r="BA1415" s="227"/>
      <c r="BB1415" s="231"/>
      <c r="BC1415" s="227"/>
      <c r="BD1415" s="227"/>
      <c r="BE1415" s="227"/>
      <c r="BF1415" s="227"/>
    </row>
    <row r="1416">
      <c r="A1416" s="235" t="s">
        <v>11425</v>
      </c>
      <c r="C1416" s="235" t="s">
        <v>11426</v>
      </c>
      <c r="D1416" s="235" t="s">
        <v>11427</v>
      </c>
      <c r="E1416" s="243">
        <v>6.55E13</v>
      </c>
      <c r="F1416" s="245"/>
      <c r="G1416" s="235" t="s">
        <v>11428</v>
      </c>
      <c r="H1416" s="235" t="s">
        <v>11429</v>
      </c>
      <c r="I1416" s="235" t="s">
        <v>11429</v>
      </c>
      <c r="J1416" s="235" t="s">
        <v>11430</v>
      </c>
      <c r="K1416" s="235" t="s">
        <v>11431</v>
      </c>
      <c r="N1416" s="235" t="s">
        <v>85</v>
      </c>
      <c r="O1416" s="235" t="s">
        <v>872</v>
      </c>
      <c r="P1416" s="238">
        <v>1.0</v>
      </c>
      <c r="Q1416" s="235" t="s">
        <v>627</v>
      </c>
      <c r="R1416" s="238">
        <v>246.66</v>
      </c>
      <c r="S1416" s="238">
        <v>12.34</v>
      </c>
      <c r="T1416" s="238">
        <v>38.1</v>
      </c>
      <c r="U1416" s="238">
        <v>1.9</v>
      </c>
      <c r="V1416" s="238">
        <v>0.0</v>
      </c>
      <c r="W1416" s="238">
        <v>0.0</v>
      </c>
      <c r="X1416" s="235" t="s">
        <v>628</v>
      </c>
      <c r="Z1416" s="244"/>
      <c r="AA1416" s="244"/>
      <c r="AB1416" s="244"/>
      <c r="AC1416" s="235" t="s">
        <v>1671</v>
      </c>
      <c r="AD1416" s="235" t="s">
        <v>666</v>
      </c>
      <c r="AE1416" s="238">
        <v>641021.0</v>
      </c>
      <c r="AF1416" s="235" t="s">
        <v>631</v>
      </c>
      <c r="AG1416" s="244"/>
      <c r="AH1416" s="244"/>
      <c r="AI1416" s="245"/>
      <c r="AJ1416" s="245"/>
      <c r="AK1416" s="245"/>
      <c r="AL1416" s="245"/>
      <c r="AM1416" s="244"/>
      <c r="AN1416" s="244"/>
      <c r="AO1416" s="238">
        <v>0.0</v>
      </c>
      <c r="AP1416" s="238">
        <v>-38.1</v>
      </c>
      <c r="AQ1416" s="235" t="s">
        <v>632</v>
      </c>
      <c r="AR1416" s="243">
        <v>3.71E11</v>
      </c>
      <c r="AS1416" s="235" t="s">
        <v>10017</v>
      </c>
      <c r="AT1416" s="235" t="s">
        <v>155</v>
      </c>
      <c r="AU1416" s="235" t="s">
        <v>634</v>
      </c>
      <c r="AV1416" s="246" t="s">
        <v>635</v>
      </c>
      <c r="AW1416" s="242"/>
      <c r="AX1416" s="242"/>
      <c r="AY1416" s="231"/>
      <c r="AZ1416" s="231"/>
      <c r="BA1416" s="227"/>
      <c r="BB1416" s="231"/>
      <c r="BC1416" s="227"/>
      <c r="BD1416" s="227"/>
      <c r="BE1416" s="227"/>
      <c r="BF1416" s="227"/>
    </row>
    <row r="1417">
      <c r="A1417" s="235" t="s">
        <v>11432</v>
      </c>
      <c r="C1417" s="235" t="s">
        <v>11433</v>
      </c>
      <c r="D1417" s="235" t="s">
        <v>11434</v>
      </c>
      <c r="E1417" s="243">
        <v>6.55E13</v>
      </c>
      <c r="F1417" s="245"/>
      <c r="G1417" s="235" t="s">
        <v>11435</v>
      </c>
      <c r="H1417" s="235" t="s">
        <v>11436</v>
      </c>
      <c r="I1417" s="235" t="s">
        <v>11436</v>
      </c>
      <c r="J1417" s="235" t="s">
        <v>11437</v>
      </c>
      <c r="K1417" s="235" t="s">
        <v>11438</v>
      </c>
      <c r="N1417" s="235" t="s">
        <v>153</v>
      </c>
      <c r="O1417" s="235" t="s">
        <v>390</v>
      </c>
      <c r="P1417" s="238">
        <v>1.0</v>
      </c>
      <c r="Q1417" s="235" t="s">
        <v>627</v>
      </c>
      <c r="R1417" s="238">
        <v>490.68</v>
      </c>
      <c r="S1417" s="238">
        <v>88.32</v>
      </c>
      <c r="T1417" s="238">
        <v>33.9</v>
      </c>
      <c r="U1417" s="238">
        <v>6.1</v>
      </c>
      <c r="V1417" s="238">
        <v>0.0</v>
      </c>
      <c r="W1417" s="238">
        <v>0.0</v>
      </c>
      <c r="X1417" s="235" t="s">
        <v>628</v>
      </c>
      <c r="Z1417" s="244"/>
      <c r="AA1417" s="244"/>
      <c r="AB1417" s="244"/>
      <c r="AC1417" s="235" t="s">
        <v>11439</v>
      </c>
      <c r="AD1417" s="235" t="s">
        <v>679</v>
      </c>
      <c r="AE1417" s="238">
        <v>586101.0</v>
      </c>
      <c r="AF1417" s="235" t="s">
        <v>631</v>
      </c>
      <c r="AG1417" s="244"/>
      <c r="AH1417" s="244"/>
      <c r="AI1417" s="245"/>
      <c r="AJ1417" s="245"/>
      <c r="AK1417" s="245"/>
      <c r="AL1417" s="245"/>
      <c r="AM1417" s="244"/>
      <c r="AN1417" s="244"/>
      <c r="AO1417" s="238">
        <v>0.0</v>
      </c>
      <c r="AP1417" s="238">
        <v>-33.9</v>
      </c>
      <c r="AQ1417" s="235" t="s">
        <v>1328</v>
      </c>
      <c r="AR1417" s="243">
        <v>1.34E13</v>
      </c>
      <c r="AS1417" s="235" t="s">
        <v>3284</v>
      </c>
      <c r="AT1417" s="235" t="s">
        <v>546</v>
      </c>
      <c r="AU1417" s="235" t="s">
        <v>634</v>
      </c>
      <c r="AV1417" s="246" t="s">
        <v>635</v>
      </c>
      <c r="AW1417" s="242"/>
      <c r="AX1417" s="242"/>
      <c r="AY1417" s="231"/>
      <c r="AZ1417" s="231"/>
      <c r="BA1417" s="227"/>
      <c r="BB1417" s="231"/>
      <c r="BC1417" s="227"/>
      <c r="BD1417" s="227"/>
      <c r="BE1417" s="227"/>
      <c r="BF1417" s="227"/>
    </row>
    <row r="1418">
      <c r="A1418" s="235" t="s">
        <v>11440</v>
      </c>
      <c r="C1418" s="235" t="s">
        <v>11441</v>
      </c>
      <c r="D1418" s="235" t="s">
        <v>11442</v>
      </c>
      <c r="E1418" s="243">
        <v>6.55E13</v>
      </c>
      <c r="F1418" s="245"/>
      <c r="G1418" s="235" t="s">
        <v>11443</v>
      </c>
      <c r="H1418" s="235" t="s">
        <v>11444</v>
      </c>
      <c r="I1418" s="235" t="s">
        <v>11445</v>
      </c>
      <c r="J1418" s="235" t="s">
        <v>11446</v>
      </c>
      <c r="K1418" s="235" t="s">
        <v>11447</v>
      </c>
      <c r="N1418" s="235" t="s">
        <v>128</v>
      </c>
      <c r="O1418" s="235" t="s">
        <v>2710</v>
      </c>
      <c r="P1418" s="238">
        <v>1.0</v>
      </c>
      <c r="Q1418" s="235" t="s">
        <v>627</v>
      </c>
      <c r="R1418" s="238">
        <v>246.67</v>
      </c>
      <c r="S1418" s="238">
        <v>12.33</v>
      </c>
      <c r="T1418" s="238">
        <v>0.0</v>
      </c>
      <c r="U1418" s="238">
        <v>0.0</v>
      </c>
      <c r="V1418" s="238">
        <v>0.0</v>
      </c>
      <c r="W1418" s="238">
        <v>0.0</v>
      </c>
      <c r="X1418" s="235" t="s">
        <v>628</v>
      </c>
      <c r="Z1418" s="244"/>
      <c r="AA1418" s="244"/>
      <c r="AB1418" s="244"/>
      <c r="AC1418" s="235" t="s">
        <v>1792</v>
      </c>
      <c r="AD1418" s="235" t="s">
        <v>1077</v>
      </c>
      <c r="AE1418" s="238">
        <v>390020.0</v>
      </c>
      <c r="AF1418" s="235" t="s">
        <v>631</v>
      </c>
      <c r="AG1418" s="244"/>
      <c r="AH1418" s="244"/>
      <c r="AI1418" s="245"/>
      <c r="AJ1418" s="245"/>
      <c r="AK1418" s="245"/>
      <c r="AL1418" s="245"/>
      <c r="AM1418" s="244"/>
      <c r="AN1418" s="244"/>
      <c r="AO1418" s="238">
        <v>0.0</v>
      </c>
      <c r="AP1418" s="238">
        <v>0.0</v>
      </c>
      <c r="AQ1418" s="235" t="s">
        <v>632</v>
      </c>
      <c r="AR1418" s="243">
        <v>3.71E11</v>
      </c>
      <c r="AS1418" s="235" t="s">
        <v>8807</v>
      </c>
      <c r="AT1418" s="235" t="s">
        <v>13</v>
      </c>
      <c r="AU1418" s="235" t="s">
        <v>634</v>
      </c>
      <c r="AV1418" s="246" t="s">
        <v>635</v>
      </c>
      <c r="AW1418" s="242"/>
      <c r="AX1418" s="242"/>
      <c r="AY1418" s="231"/>
      <c r="AZ1418" s="231"/>
      <c r="BA1418" s="227"/>
      <c r="BB1418" s="231"/>
      <c r="BC1418" s="227"/>
      <c r="BD1418" s="227"/>
      <c r="BE1418" s="227"/>
      <c r="BF1418" s="227"/>
    </row>
    <row r="1419">
      <c r="A1419" s="235" t="s">
        <v>11448</v>
      </c>
      <c r="C1419" s="235" t="s">
        <v>11449</v>
      </c>
      <c r="D1419" s="235" t="s">
        <v>11450</v>
      </c>
      <c r="E1419" s="243">
        <v>6.55E13</v>
      </c>
      <c r="F1419" s="245"/>
      <c r="G1419" s="235" t="s">
        <v>11451</v>
      </c>
      <c r="H1419" s="235" t="s">
        <v>11452</v>
      </c>
      <c r="I1419" s="235" t="s">
        <v>11452</v>
      </c>
      <c r="J1419" s="235" t="s">
        <v>11453</v>
      </c>
      <c r="K1419" s="235" t="s">
        <v>11454</v>
      </c>
      <c r="N1419" s="235" t="s">
        <v>138</v>
      </c>
      <c r="O1419" s="235" t="s">
        <v>675</v>
      </c>
      <c r="P1419" s="238">
        <v>1.0</v>
      </c>
      <c r="Q1419" s="235" t="s">
        <v>627</v>
      </c>
      <c r="R1419" s="238">
        <v>246.66</v>
      </c>
      <c r="S1419" s="238">
        <v>12.34</v>
      </c>
      <c r="T1419" s="238">
        <v>0.0</v>
      </c>
      <c r="U1419" s="238">
        <v>0.0</v>
      </c>
      <c r="V1419" s="238">
        <v>0.0</v>
      </c>
      <c r="W1419" s="238">
        <v>0.0</v>
      </c>
      <c r="X1419" s="235" t="s">
        <v>628</v>
      </c>
      <c r="Z1419" s="244"/>
      <c r="AA1419" s="244"/>
      <c r="AB1419" s="244"/>
      <c r="AC1419" s="235" t="s">
        <v>1320</v>
      </c>
      <c r="AD1419" s="235" t="s">
        <v>666</v>
      </c>
      <c r="AE1419" s="238">
        <v>600100.0</v>
      </c>
      <c r="AF1419" s="235" t="s">
        <v>631</v>
      </c>
      <c r="AG1419" s="244"/>
      <c r="AH1419" s="244"/>
      <c r="AI1419" s="245"/>
      <c r="AJ1419" s="245"/>
      <c r="AK1419" s="245"/>
      <c r="AL1419" s="245"/>
      <c r="AM1419" s="244"/>
      <c r="AN1419" s="244"/>
      <c r="AO1419" s="238">
        <v>0.0</v>
      </c>
      <c r="AP1419" s="238">
        <v>0.0</v>
      </c>
      <c r="AQ1419" s="235" t="s">
        <v>632</v>
      </c>
      <c r="AR1419" s="243">
        <v>3.71E11</v>
      </c>
      <c r="AS1419" s="235" t="s">
        <v>10017</v>
      </c>
      <c r="AT1419" s="235" t="s">
        <v>156</v>
      </c>
      <c r="AU1419" s="235" t="s">
        <v>634</v>
      </c>
      <c r="AV1419" s="246" t="s">
        <v>635</v>
      </c>
      <c r="AW1419" s="242"/>
      <c r="AX1419" s="242"/>
      <c r="AY1419" s="231"/>
      <c r="AZ1419" s="231"/>
      <c r="BA1419" s="227"/>
      <c r="BB1419" s="231"/>
      <c r="BC1419" s="227"/>
      <c r="BD1419" s="227"/>
      <c r="BE1419" s="227"/>
      <c r="BF1419" s="227"/>
    </row>
    <row r="1420">
      <c r="A1420" s="235" t="s">
        <v>11455</v>
      </c>
      <c r="C1420" s="235" t="s">
        <v>11456</v>
      </c>
      <c r="D1420" s="235" t="s">
        <v>11457</v>
      </c>
      <c r="E1420" s="243">
        <v>6.55E13</v>
      </c>
      <c r="F1420" s="245"/>
      <c r="G1420" s="235" t="s">
        <v>11458</v>
      </c>
      <c r="H1420" s="235" t="s">
        <v>11459</v>
      </c>
      <c r="I1420" s="235" t="s">
        <v>11459</v>
      </c>
      <c r="J1420" s="235" t="s">
        <v>11460</v>
      </c>
      <c r="K1420" s="235" t="s">
        <v>11461</v>
      </c>
      <c r="N1420" s="235" t="s">
        <v>131</v>
      </c>
      <c r="O1420" s="235" t="s">
        <v>2148</v>
      </c>
      <c r="P1420" s="238">
        <v>1.0</v>
      </c>
      <c r="Q1420" s="235" t="s">
        <v>627</v>
      </c>
      <c r="R1420" s="238">
        <v>246.67</v>
      </c>
      <c r="S1420" s="238">
        <v>12.33</v>
      </c>
      <c r="T1420" s="238">
        <v>38.1</v>
      </c>
      <c r="U1420" s="238">
        <v>1.9</v>
      </c>
      <c r="V1420" s="238">
        <v>0.0</v>
      </c>
      <c r="W1420" s="238">
        <v>0.0</v>
      </c>
      <c r="X1420" s="235" t="s">
        <v>628</v>
      </c>
      <c r="Z1420" s="244"/>
      <c r="AA1420" s="244"/>
      <c r="AB1420" s="244"/>
      <c r="AC1420" s="235" t="s">
        <v>11462</v>
      </c>
      <c r="AD1420" s="235" t="s">
        <v>645</v>
      </c>
      <c r="AE1420" s="238">
        <v>680582.0</v>
      </c>
      <c r="AF1420" s="235" t="s">
        <v>631</v>
      </c>
      <c r="AG1420" s="244"/>
      <c r="AH1420" s="244"/>
      <c r="AI1420" s="245"/>
      <c r="AJ1420" s="245"/>
      <c r="AK1420" s="245"/>
      <c r="AL1420" s="245"/>
      <c r="AM1420" s="244"/>
      <c r="AN1420" s="244"/>
      <c r="AO1420" s="238">
        <v>0.0</v>
      </c>
      <c r="AP1420" s="238">
        <v>-38.1</v>
      </c>
      <c r="AQ1420" s="235" t="s">
        <v>632</v>
      </c>
      <c r="AR1420" s="243">
        <v>3.71E11</v>
      </c>
      <c r="AS1420" s="235" t="s">
        <v>8807</v>
      </c>
      <c r="AT1420" s="235" t="s">
        <v>155</v>
      </c>
      <c r="AU1420" s="235" t="s">
        <v>634</v>
      </c>
      <c r="AV1420" s="246" t="s">
        <v>635</v>
      </c>
      <c r="AW1420" s="242"/>
      <c r="AX1420" s="242"/>
      <c r="AY1420" s="231"/>
      <c r="AZ1420" s="231"/>
      <c r="BA1420" s="227"/>
      <c r="BB1420" s="231"/>
      <c r="BC1420" s="227"/>
      <c r="BD1420" s="227"/>
      <c r="BE1420" s="227"/>
      <c r="BF1420" s="227"/>
    </row>
    <row r="1421">
      <c r="A1421" s="235" t="s">
        <v>11463</v>
      </c>
      <c r="C1421" s="235" t="s">
        <v>11464</v>
      </c>
      <c r="D1421" s="235" t="s">
        <v>11465</v>
      </c>
      <c r="E1421" s="243">
        <v>6.55E13</v>
      </c>
      <c r="F1421" s="245"/>
      <c r="G1421" s="235" t="s">
        <v>11466</v>
      </c>
      <c r="H1421" s="235" t="s">
        <v>11467</v>
      </c>
      <c r="I1421" s="235" t="s">
        <v>11467</v>
      </c>
      <c r="J1421" s="235" t="s">
        <v>11302</v>
      </c>
      <c r="K1421" s="235" t="s">
        <v>11468</v>
      </c>
      <c r="N1421" s="235" t="s">
        <v>51</v>
      </c>
      <c r="O1421" s="235" t="s">
        <v>273</v>
      </c>
      <c r="P1421" s="238">
        <v>1.0</v>
      </c>
      <c r="Q1421" s="235" t="s">
        <v>627</v>
      </c>
      <c r="R1421" s="238">
        <v>237.14</v>
      </c>
      <c r="S1421" s="238">
        <v>11.86</v>
      </c>
      <c r="T1421" s="238">
        <v>0.0</v>
      </c>
      <c r="U1421" s="238">
        <v>0.0</v>
      </c>
      <c r="V1421" s="238">
        <v>0.0</v>
      </c>
      <c r="W1421" s="238">
        <v>0.0</v>
      </c>
      <c r="X1421" s="235" t="s">
        <v>628</v>
      </c>
      <c r="Z1421" s="244"/>
      <c r="AA1421" s="244"/>
      <c r="AB1421" s="244"/>
      <c r="AC1421" s="235" t="s">
        <v>687</v>
      </c>
      <c r="AD1421" s="235" t="s">
        <v>666</v>
      </c>
      <c r="AE1421" s="238">
        <v>600015.0</v>
      </c>
      <c r="AF1421" s="235" t="s">
        <v>631</v>
      </c>
      <c r="AG1421" s="244"/>
      <c r="AH1421" s="244"/>
      <c r="AI1421" s="245"/>
      <c r="AJ1421" s="245"/>
      <c r="AK1421" s="245"/>
      <c r="AL1421" s="245"/>
      <c r="AM1421" s="244"/>
      <c r="AN1421" s="244"/>
      <c r="AO1421" s="238">
        <v>0.0</v>
      </c>
      <c r="AP1421" s="238">
        <v>0.0</v>
      </c>
      <c r="AQ1421" s="235" t="s">
        <v>632</v>
      </c>
      <c r="AR1421" s="243">
        <v>1.68E11</v>
      </c>
      <c r="AS1421" s="235" t="s">
        <v>11171</v>
      </c>
      <c r="AT1421" s="235" t="s">
        <v>156</v>
      </c>
      <c r="AU1421" s="235" t="s">
        <v>634</v>
      </c>
      <c r="AV1421" s="246" t="s">
        <v>635</v>
      </c>
      <c r="AW1421" s="242"/>
      <c r="AX1421" s="242"/>
      <c r="AY1421" s="231"/>
      <c r="AZ1421" s="231"/>
      <c r="BA1421" s="227"/>
      <c r="BB1421" s="231"/>
      <c r="BC1421" s="227"/>
      <c r="BD1421" s="227"/>
      <c r="BE1421" s="227"/>
      <c r="BF1421" s="227"/>
    </row>
    <row r="1422">
      <c r="A1422" s="235" t="s">
        <v>11469</v>
      </c>
      <c r="C1422" s="235" t="s">
        <v>11470</v>
      </c>
      <c r="D1422" s="235" t="s">
        <v>11471</v>
      </c>
      <c r="E1422" s="243">
        <v>6.55E13</v>
      </c>
      <c r="F1422" s="245"/>
      <c r="G1422" s="235" t="s">
        <v>11472</v>
      </c>
      <c r="H1422" s="235" t="s">
        <v>11473</v>
      </c>
      <c r="I1422" s="235" t="s">
        <v>11473</v>
      </c>
      <c r="J1422" s="235" t="s">
        <v>11474</v>
      </c>
      <c r="K1422" s="235" t="s">
        <v>11475</v>
      </c>
      <c r="N1422" s="235" t="s">
        <v>85</v>
      </c>
      <c r="O1422" s="235" t="s">
        <v>872</v>
      </c>
      <c r="P1422" s="238">
        <v>1.0</v>
      </c>
      <c r="Q1422" s="235" t="s">
        <v>627</v>
      </c>
      <c r="R1422" s="238">
        <v>246.67</v>
      </c>
      <c r="S1422" s="238">
        <v>12.33</v>
      </c>
      <c r="T1422" s="238">
        <v>0.0</v>
      </c>
      <c r="U1422" s="238">
        <v>0.0</v>
      </c>
      <c r="V1422" s="238">
        <v>0.0</v>
      </c>
      <c r="W1422" s="238">
        <v>0.0</v>
      </c>
      <c r="X1422" s="235" t="s">
        <v>628</v>
      </c>
      <c r="Z1422" s="244"/>
      <c r="AA1422" s="244"/>
      <c r="AB1422" s="244"/>
      <c r="AC1422" s="235" t="s">
        <v>1613</v>
      </c>
      <c r="AD1422" s="235" t="s">
        <v>630</v>
      </c>
      <c r="AE1422" s="238">
        <v>226001.0</v>
      </c>
      <c r="AF1422" s="235" t="s">
        <v>631</v>
      </c>
      <c r="AG1422" s="244"/>
      <c r="AH1422" s="244"/>
      <c r="AI1422" s="245"/>
      <c r="AJ1422" s="245"/>
      <c r="AK1422" s="245"/>
      <c r="AL1422" s="245"/>
      <c r="AM1422" s="244"/>
      <c r="AN1422" s="244"/>
      <c r="AO1422" s="238">
        <v>0.0</v>
      </c>
      <c r="AP1422" s="238">
        <v>0.0</v>
      </c>
      <c r="AQ1422" s="235" t="s">
        <v>632</v>
      </c>
      <c r="AR1422" s="243">
        <v>2.02E11</v>
      </c>
      <c r="AS1422" s="235" t="s">
        <v>10017</v>
      </c>
      <c r="AT1422" s="235" t="s">
        <v>533</v>
      </c>
      <c r="AU1422" s="235" t="s">
        <v>634</v>
      </c>
      <c r="AV1422" s="246" t="s">
        <v>635</v>
      </c>
      <c r="AW1422" s="242"/>
      <c r="AX1422" s="242"/>
      <c r="AY1422" s="231"/>
      <c r="AZ1422" s="231"/>
      <c r="BA1422" s="227"/>
      <c r="BB1422" s="231"/>
      <c r="BC1422" s="227"/>
      <c r="BD1422" s="227"/>
      <c r="BE1422" s="227"/>
      <c r="BF1422" s="227"/>
    </row>
    <row r="1423">
      <c r="A1423" s="235" t="s">
        <v>11476</v>
      </c>
      <c r="C1423" s="235" t="s">
        <v>11477</v>
      </c>
      <c r="D1423" s="235" t="s">
        <v>11478</v>
      </c>
      <c r="E1423" s="243">
        <v>6.55E13</v>
      </c>
      <c r="F1423" s="245"/>
      <c r="G1423" s="235" t="s">
        <v>11479</v>
      </c>
      <c r="H1423" s="235" t="s">
        <v>11480</v>
      </c>
      <c r="I1423" s="235" t="s">
        <v>11480</v>
      </c>
      <c r="J1423" s="235" t="s">
        <v>11481</v>
      </c>
      <c r="K1423" s="235" t="s">
        <v>11482</v>
      </c>
      <c r="N1423" s="235" t="s">
        <v>842</v>
      </c>
      <c r="O1423" s="235" t="s">
        <v>843</v>
      </c>
      <c r="P1423" s="238">
        <v>1.0</v>
      </c>
      <c r="Q1423" s="235" t="s">
        <v>627</v>
      </c>
      <c r="R1423" s="238">
        <v>246.66</v>
      </c>
      <c r="S1423" s="238">
        <v>12.34</v>
      </c>
      <c r="T1423" s="238">
        <v>38.1</v>
      </c>
      <c r="U1423" s="238">
        <v>1.9</v>
      </c>
      <c r="V1423" s="238">
        <v>0.0</v>
      </c>
      <c r="W1423" s="238">
        <v>0.0</v>
      </c>
      <c r="X1423" s="235" t="s">
        <v>628</v>
      </c>
      <c r="Z1423" s="244"/>
      <c r="AA1423" s="244"/>
      <c r="AB1423" s="244"/>
      <c r="AC1423" s="235" t="s">
        <v>1887</v>
      </c>
      <c r="AD1423" s="235" t="s">
        <v>679</v>
      </c>
      <c r="AE1423" s="238">
        <v>560103.0</v>
      </c>
      <c r="AF1423" s="235" t="s">
        <v>631</v>
      </c>
      <c r="AG1423" s="244"/>
      <c r="AH1423" s="244"/>
      <c r="AI1423" s="245"/>
      <c r="AJ1423" s="245"/>
      <c r="AK1423" s="245"/>
      <c r="AL1423" s="245"/>
      <c r="AM1423" s="244"/>
      <c r="AN1423" s="244"/>
      <c r="AO1423" s="238">
        <v>0.0</v>
      </c>
      <c r="AP1423" s="238">
        <v>-38.1</v>
      </c>
      <c r="AQ1423" s="235" t="s">
        <v>632</v>
      </c>
      <c r="AR1423" s="243">
        <v>3.71E11</v>
      </c>
      <c r="AS1423" s="235" t="s">
        <v>10017</v>
      </c>
      <c r="AT1423" s="235" t="s">
        <v>11</v>
      </c>
      <c r="AU1423" s="235" t="s">
        <v>634</v>
      </c>
      <c r="AV1423" s="246" t="s">
        <v>635</v>
      </c>
      <c r="AW1423" s="242"/>
      <c r="AX1423" s="242"/>
      <c r="AY1423" s="231"/>
      <c r="AZ1423" s="231"/>
      <c r="BA1423" s="227"/>
      <c r="BB1423" s="231"/>
      <c r="BC1423" s="227"/>
      <c r="BD1423" s="227"/>
      <c r="BE1423" s="227"/>
      <c r="BF1423" s="227"/>
    </row>
    <row r="1424">
      <c r="A1424" s="235" t="s">
        <v>11483</v>
      </c>
      <c r="C1424" s="235" t="s">
        <v>11484</v>
      </c>
      <c r="D1424" s="235" t="s">
        <v>11485</v>
      </c>
      <c r="E1424" s="243">
        <v>6.55E13</v>
      </c>
      <c r="F1424" s="245"/>
      <c r="G1424" s="235" t="s">
        <v>11486</v>
      </c>
      <c r="H1424" s="235" t="s">
        <v>11487</v>
      </c>
      <c r="I1424" s="235" t="s">
        <v>11487</v>
      </c>
      <c r="J1424" s="235" t="s">
        <v>11488</v>
      </c>
      <c r="K1424" s="235" t="s">
        <v>9543</v>
      </c>
      <c r="N1424" s="235" t="s">
        <v>53</v>
      </c>
      <c r="O1424" s="235" t="s">
        <v>512</v>
      </c>
      <c r="P1424" s="238">
        <v>1.0</v>
      </c>
      <c r="Q1424" s="235" t="s">
        <v>627</v>
      </c>
      <c r="R1424" s="238">
        <v>237.14</v>
      </c>
      <c r="S1424" s="238">
        <v>11.86</v>
      </c>
      <c r="T1424" s="238">
        <v>38.1</v>
      </c>
      <c r="U1424" s="238">
        <v>1.9</v>
      </c>
      <c r="V1424" s="238">
        <v>0.0</v>
      </c>
      <c r="W1424" s="238">
        <v>0.0</v>
      </c>
      <c r="X1424" s="235" t="s">
        <v>628</v>
      </c>
      <c r="Z1424" s="244"/>
      <c r="AA1424" s="244"/>
      <c r="AB1424" s="244"/>
      <c r="AC1424" s="235" t="s">
        <v>5923</v>
      </c>
      <c r="AD1424" s="235" t="s">
        <v>666</v>
      </c>
      <c r="AE1424" s="238">
        <v>620102.0</v>
      </c>
      <c r="AF1424" s="235" t="s">
        <v>631</v>
      </c>
      <c r="AG1424" s="244"/>
      <c r="AH1424" s="244"/>
      <c r="AI1424" s="245"/>
      <c r="AJ1424" s="245"/>
      <c r="AK1424" s="245"/>
      <c r="AL1424" s="245"/>
      <c r="AM1424" s="244"/>
      <c r="AN1424" s="244"/>
      <c r="AO1424" s="238">
        <v>0.0</v>
      </c>
      <c r="AP1424" s="238">
        <v>-38.1</v>
      </c>
      <c r="AQ1424" s="235" t="s">
        <v>632</v>
      </c>
      <c r="AR1424" s="243">
        <v>3.71E11</v>
      </c>
      <c r="AS1424" s="235" t="s">
        <v>8807</v>
      </c>
      <c r="AT1424" s="235" t="s">
        <v>155</v>
      </c>
      <c r="AU1424" s="235" t="s">
        <v>634</v>
      </c>
      <c r="AV1424" s="246" t="s">
        <v>635</v>
      </c>
      <c r="AW1424" s="242"/>
      <c r="AX1424" s="242"/>
      <c r="AY1424" s="231"/>
      <c r="AZ1424" s="231"/>
      <c r="BA1424" s="227"/>
      <c r="BB1424" s="231"/>
      <c r="BC1424" s="227"/>
      <c r="BD1424" s="227"/>
      <c r="BE1424" s="227"/>
      <c r="BF1424" s="227"/>
    </row>
    <row r="1425">
      <c r="A1425" s="235" t="s">
        <v>11489</v>
      </c>
      <c r="C1425" s="235" t="s">
        <v>11490</v>
      </c>
      <c r="D1425" s="235" t="s">
        <v>11491</v>
      </c>
      <c r="E1425" s="243">
        <v>6.55E13</v>
      </c>
      <c r="F1425" s="245"/>
      <c r="G1425" s="235" t="s">
        <v>11492</v>
      </c>
      <c r="H1425" s="235" t="s">
        <v>11493</v>
      </c>
      <c r="I1425" s="235" t="s">
        <v>11494</v>
      </c>
      <c r="J1425" s="235" t="s">
        <v>11495</v>
      </c>
      <c r="K1425" s="235" t="s">
        <v>11496</v>
      </c>
      <c r="N1425" s="235" t="s">
        <v>92</v>
      </c>
      <c r="O1425" s="235" t="s">
        <v>248</v>
      </c>
      <c r="P1425" s="238">
        <v>1.0</v>
      </c>
      <c r="Q1425" s="235" t="s">
        <v>627</v>
      </c>
      <c r="R1425" s="238">
        <v>246.67</v>
      </c>
      <c r="S1425" s="238">
        <v>12.33</v>
      </c>
      <c r="T1425" s="238">
        <v>0.0</v>
      </c>
      <c r="U1425" s="238">
        <v>0.0</v>
      </c>
      <c r="V1425" s="238">
        <v>0.0</v>
      </c>
      <c r="W1425" s="238">
        <v>0.0</v>
      </c>
      <c r="X1425" s="235" t="s">
        <v>628</v>
      </c>
      <c r="Z1425" s="244"/>
      <c r="AA1425" s="244"/>
      <c r="AB1425" s="244"/>
      <c r="AC1425" s="235" t="s">
        <v>697</v>
      </c>
      <c r="AD1425" s="235" t="s">
        <v>698</v>
      </c>
      <c r="AE1425" s="238">
        <v>500085.0</v>
      </c>
      <c r="AF1425" s="235" t="s">
        <v>631</v>
      </c>
      <c r="AG1425" s="244"/>
      <c r="AH1425" s="244"/>
      <c r="AI1425" s="245"/>
      <c r="AJ1425" s="245"/>
      <c r="AK1425" s="245"/>
      <c r="AL1425" s="245"/>
      <c r="AM1425" s="244"/>
      <c r="AN1425" s="244"/>
      <c r="AO1425" s="238">
        <v>0.0</v>
      </c>
      <c r="AP1425" s="238">
        <v>0.0</v>
      </c>
      <c r="AQ1425" s="235" t="s">
        <v>632</v>
      </c>
      <c r="AR1425" s="243">
        <v>1.68E11</v>
      </c>
      <c r="AS1425" s="235" t="s">
        <v>10017</v>
      </c>
      <c r="AT1425" s="235" t="s">
        <v>156</v>
      </c>
      <c r="AU1425" s="235" t="s">
        <v>634</v>
      </c>
      <c r="AV1425" s="246" t="s">
        <v>635</v>
      </c>
      <c r="AW1425" s="242"/>
      <c r="AX1425" s="242"/>
      <c r="AY1425" s="231"/>
      <c r="AZ1425" s="231"/>
      <c r="BA1425" s="227"/>
      <c r="BB1425" s="231"/>
      <c r="BC1425" s="227"/>
      <c r="BD1425" s="227"/>
      <c r="BE1425" s="227"/>
      <c r="BF1425" s="227"/>
    </row>
    <row r="1426">
      <c r="A1426" s="235" t="s">
        <v>11497</v>
      </c>
      <c r="C1426" s="235" t="s">
        <v>11498</v>
      </c>
      <c r="D1426" s="235" t="s">
        <v>11499</v>
      </c>
      <c r="E1426" s="243">
        <v>6.55E13</v>
      </c>
      <c r="F1426" s="245"/>
      <c r="G1426" s="235" t="s">
        <v>11500</v>
      </c>
      <c r="H1426" s="235" t="s">
        <v>11501</v>
      </c>
      <c r="I1426" s="235" t="s">
        <v>11501</v>
      </c>
      <c r="J1426" s="235" t="s">
        <v>11502</v>
      </c>
      <c r="K1426" s="235" t="s">
        <v>11503</v>
      </c>
      <c r="N1426" s="235" t="s">
        <v>3875</v>
      </c>
      <c r="O1426" s="235" t="s">
        <v>3876</v>
      </c>
      <c r="P1426" s="238">
        <v>1.0</v>
      </c>
      <c r="Q1426" s="235" t="s">
        <v>627</v>
      </c>
      <c r="R1426" s="238">
        <v>284.76</v>
      </c>
      <c r="S1426" s="238">
        <v>14.24</v>
      </c>
      <c r="T1426" s="238">
        <v>0.0</v>
      </c>
      <c r="U1426" s="238">
        <v>0.0</v>
      </c>
      <c r="V1426" s="238">
        <v>0.0</v>
      </c>
      <c r="W1426" s="238">
        <v>0.0</v>
      </c>
      <c r="X1426" s="235" t="s">
        <v>628</v>
      </c>
      <c r="Z1426" s="244"/>
      <c r="AA1426" s="244"/>
      <c r="AB1426" s="244"/>
      <c r="AC1426" s="235" t="s">
        <v>1058</v>
      </c>
      <c r="AD1426" s="235" t="s">
        <v>845</v>
      </c>
      <c r="AE1426" s="238">
        <v>400018.0</v>
      </c>
      <c r="AF1426" s="235" t="s">
        <v>631</v>
      </c>
      <c r="AG1426" s="244"/>
      <c r="AH1426" s="244"/>
      <c r="AI1426" s="245"/>
      <c r="AJ1426" s="245"/>
      <c r="AK1426" s="245"/>
      <c r="AL1426" s="245"/>
      <c r="AM1426" s="244"/>
      <c r="AN1426" s="244"/>
      <c r="AO1426" s="238">
        <v>0.0</v>
      </c>
      <c r="AP1426" s="238">
        <v>0.0</v>
      </c>
      <c r="AQ1426" s="235" t="s">
        <v>632</v>
      </c>
      <c r="AR1426" s="243">
        <v>3.71E11</v>
      </c>
      <c r="AS1426" s="235" t="s">
        <v>8807</v>
      </c>
      <c r="AT1426" s="235" t="s">
        <v>17</v>
      </c>
      <c r="AU1426" s="235" t="s">
        <v>634</v>
      </c>
      <c r="AV1426" s="246" t="s">
        <v>635</v>
      </c>
      <c r="AW1426" s="242"/>
      <c r="AX1426" s="242"/>
      <c r="AY1426" s="231"/>
      <c r="AZ1426" s="231"/>
      <c r="BA1426" s="227"/>
      <c r="BB1426" s="231"/>
      <c r="BC1426" s="227"/>
      <c r="BD1426" s="227"/>
      <c r="BE1426" s="227"/>
      <c r="BF1426" s="227"/>
    </row>
    <row r="1427">
      <c r="A1427" s="235" t="s">
        <v>11504</v>
      </c>
      <c r="C1427" s="235" t="s">
        <v>11505</v>
      </c>
      <c r="D1427" s="235" t="s">
        <v>11506</v>
      </c>
      <c r="E1427" s="243">
        <v>6.55E13</v>
      </c>
      <c r="F1427" s="245"/>
      <c r="G1427" s="235" t="s">
        <v>11507</v>
      </c>
      <c r="H1427" s="235" t="s">
        <v>11508</v>
      </c>
      <c r="I1427" s="235" t="s">
        <v>11508</v>
      </c>
      <c r="J1427" s="235" t="s">
        <v>11509</v>
      </c>
      <c r="K1427" s="235" t="s">
        <v>11510</v>
      </c>
      <c r="N1427" s="235" t="s">
        <v>78</v>
      </c>
      <c r="O1427" s="235" t="s">
        <v>360</v>
      </c>
      <c r="P1427" s="238">
        <v>1.0</v>
      </c>
      <c r="Q1427" s="235" t="s">
        <v>627</v>
      </c>
      <c r="R1427" s="238">
        <v>360.96</v>
      </c>
      <c r="S1427" s="238">
        <v>17.68</v>
      </c>
      <c r="T1427" s="238">
        <v>0.0</v>
      </c>
      <c r="U1427" s="238">
        <v>0.0</v>
      </c>
      <c r="V1427" s="238">
        <v>0.0</v>
      </c>
      <c r="W1427" s="238">
        <v>0.0</v>
      </c>
      <c r="X1427" s="235" t="s">
        <v>628</v>
      </c>
      <c r="Z1427" s="244"/>
      <c r="AA1427" s="244"/>
      <c r="AB1427" s="244"/>
      <c r="AC1427" s="235" t="s">
        <v>11511</v>
      </c>
      <c r="AD1427" s="235" t="s">
        <v>666</v>
      </c>
      <c r="AE1427" s="238">
        <v>625006.0</v>
      </c>
      <c r="AF1427" s="235" t="s">
        <v>631</v>
      </c>
      <c r="AG1427" s="244"/>
      <c r="AH1427" s="244"/>
      <c r="AI1427" s="245"/>
      <c r="AJ1427" s="245"/>
      <c r="AK1427" s="245"/>
      <c r="AL1427" s="245"/>
      <c r="AM1427" s="244"/>
      <c r="AN1427" s="244"/>
      <c r="AO1427" s="238">
        <v>-7.22</v>
      </c>
      <c r="AP1427" s="238">
        <v>0.0</v>
      </c>
      <c r="AQ1427" s="235" t="s">
        <v>632</v>
      </c>
      <c r="AR1427" s="243">
        <v>3.71E11</v>
      </c>
      <c r="AS1427" s="235" t="s">
        <v>10017</v>
      </c>
      <c r="AT1427" s="235" t="s">
        <v>155</v>
      </c>
      <c r="AU1427" s="235" t="s">
        <v>634</v>
      </c>
      <c r="AV1427" s="246" t="s">
        <v>635</v>
      </c>
      <c r="AW1427" s="242"/>
      <c r="AX1427" s="242"/>
      <c r="AY1427" s="231"/>
      <c r="AZ1427" s="231"/>
      <c r="BA1427" s="227"/>
      <c r="BB1427" s="231"/>
      <c r="BC1427" s="227"/>
      <c r="BD1427" s="227"/>
      <c r="BE1427" s="227"/>
      <c r="BF1427" s="227"/>
    </row>
    <row r="1428">
      <c r="A1428" s="235" t="s">
        <v>11512</v>
      </c>
      <c r="C1428" s="235" t="s">
        <v>11513</v>
      </c>
      <c r="D1428" s="235" t="s">
        <v>11514</v>
      </c>
      <c r="E1428" s="243">
        <v>6.55E13</v>
      </c>
      <c r="F1428" s="245"/>
      <c r="G1428" s="235" t="s">
        <v>11515</v>
      </c>
      <c r="H1428" s="235" t="s">
        <v>11516</v>
      </c>
      <c r="I1428" s="235" t="s">
        <v>11516</v>
      </c>
      <c r="J1428" s="235" t="s">
        <v>11517</v>
      </c>
      <c r="K1428" s="235" t="s">
        <v>11518</v>
      </c>
      <c r="N1428" s="235" t="s">
        <v>82</v>
      </c>
      <c r="O1428" s="235" t="s">
        <v>889</v>
      </c>
      <c r="P1428" s="238">
        <v>1.0</v>
      </c>
      <c r="Q1428" s="235" t="s">
        <v>627</v>
      </c>
      <c r="R1428" s="238">
        <v>246.66</v>
      </c>
      <c r="S1428" s="238">
        <v>12.1</v>
      </c>
      <c r="T1428" s="238">
        <v>0.0</v>
      </c>
      <c r="U1428" s="238">
        <v>0.0</v>
      </c>
      <c r="V1428" s="238">
        <v>0.0</v>
      </c>
      <c r="W1428" s="238">
        <v>0.0</v>
      </c>
      <c r="X1428" s="235" t="s">
        <v>628</v>
      </c>
      <c r="Z1428" s="244"/>
      <c r="AA1428" s="244"/>
      <c r="AB1428" s="244"/>
      <c r="AC1428" s="235" t="s">
        <v>1320</v>
      </c>
      <c r="AD1428" s="235" t="s">
        <v>666</v>
      </c>
      <c r="AE1428" s="238">
        <v>600100.0</v>
      </c>
      <c r="AF1428" s="235" t="s">
        <v>631</v>
      </c>
      <c r="AG1428" s="244"/>
      <c r="AH1428" s="244"/>
      <c r="AI1428" s="245"/>
      <c r="AJ1428" s="245"/>
      <c r="AK1428" s="245"/>
      <c r="AL1428" s="245"/>
      <c r="AM1428" s="244"/>
      <c r="AN1428" s="244"/>
      <c r="AO1428" s="238">
        <v>-4.94</v>
      </c>
      <c r="AP1428" s="238">
        <v>0.0</v>
      </c>
      <c r="AQ1428" s="235" t="s">
        <v>632</v>
      </c>
      <c r="AR1428" s="243">
        <v>3.71E11</v>
      </c>
      <c r="AS1428" s="235" t="s">
        <v>10017</v>
      </c>
      <c r="AT1428" s="235" t="s">
        <v>156</v>
      </c>
      <c r="AU1428" s="235" t="s">
        <v>634</v>
      </c>
      <c r="AV1428" s="246" t="s">
        <v>635</v>
      </c>
      <c r="AW1428" s="242"/>
      <c r="AX1428" s="242"/>
      <c r="AY1428" s="231"/>
      <c r="AZ1428" s="231"/>
      <c r="BA1428" s="227"/>
      <c r="BB1428" s="231"/>
      <c r="BC1428" s="227"/>
      <c r="BD1428" s="227"/>
      <c r="BE1428" s="227"/>
      <c r="BF1428" s="227"/>
    </row>
    <row r="1429">
      <c r="A1429" s="235" t="s">
        <v>11519</v>
      </c>
      <c r="C1429" s="235" t="s">
        <v>11520</v>
      </c>
      <c r="D1429" s="235" t="s">
        <v>11521</v>
      </c>
      <c r="E1429" s="243">
        <v>6.55E13</v>
      </c>
      <c r="F1429" s="245"/>
      <c r="G1429" s="235" t="s">
        <v>11522</v>
      </c>
      <c r="H1429" s="235" t="s">
        <v>11523</v>
      </c>
      <c r="I1429" s="235" t="s">
        <v>11523</v>
      </c>
      <c r="J1429" s="235" t="s">
        <v>11524</v>
      </c>
      <c r="K1429" s="235" t="s">
        <v>11525</v>
      </c>
      <c r="N1429" s="235" t="s">
        <v>2848</v>
      </c>
      <c r="O1429" s="235" t="s">
        <v>2849</v>
      </c>
      <c r="P1429" s="238">
        <v>1.0</v>
      </c>
      <c r="Q1429" s="235" t="s">
        <v>627</v>
      </c>
      <c r="R1429" s="238">
        <v>246.67</v>
      </c>
      <c r="S1429" s="238">
        <v>12.33</v>
      </c>
      <c r="T1429" s="238">
        <v>38.1</v>
      </c>
      <c r="U1429" s="238">
        <v>1.9</v>
      </c>
      <c r="V1429" s="238">
        <v>0.0</v>
      </c>
      <c r="W1429" s="238">
        <v>0.0</v>
      </c>
      <c r="X1429" s="235" t="s">
        <v>628</v>
      </c>
      <c r="Z1429" s="244"/>
      <c r="AA1429" s="244"/>
      <c r="AB1429" s="244"/>
      <c r="AC1429" s="235" t="s">
        <v>11526</v>
      </c>
      <c r="AD1429" s="235" t="s">
        <v>666</v>
      </c>
      <c r="AE1429" s="238">
        <v>623525.0</v>
      </c>
      <c r="AF1429" s="235" t="s">
        <v>631</v>
      </c>
      <c r="AG1429" s="244"/>
      <c r="AH1429" s="244"/>
      <c r="AI1429" s="245"/>
      <c r="AJ1429" s="245"/>
      <c r="AK1429" s="245"/>
      <c r="AL1429" s="245"/>
      <c r="AM1429" s="244"/>
      <c r="AN1429" s="244"/>
      <c r="AO1429" s="238">
        <v>0.0</v>
      </c>
      <c r="AP1429" s="238">
        <v>-38.1</v>
      </c>
      <c r="AQ1429" s="235" t="s">
        <v>1328</v>
      </c>
      <c r="AR1429" s="243">
        <v>1.34E13</v>
      </c>
      <c r="AS1429" s="235" t="s">
        <v>4697</v>
      </c>
      <c r="AT1429" s="235" t="s">
        <v>9</v>
      </c>
      <c r="AU1429" s="235" t="s">
        <v>634</v>
      </c>
      <c r="AV1429" s="246" t="s">
        <v>635</v>
      </c>
      <c r="AW1429" s="242"/>
      <c r="AX1429" s="242"/>
      <c r="AY1429" s="231"/>
      <c r="AZ1429" s="231"/>
      <c r="BA1429" s="227"/>
      <c r="BB1429" s="231"/>
      <c r="BC1429" s="227"/>
      <c r="BD1429" s="227"/>
      <c r="BE1429" s="227"/>
      <c r="BF1429" s="227"/>
    </row>
    <row r="1430">
      <c r="A1430" s="235" t="s">
        <v>11527</v>
      </c>
      <c r="C1430" s="235" t="s">
        <v>11528</v>
      </c>
      <c r="D1430" s="235" t="s">
        <v>11529</v>
      </c>
      <c r="E1430" s="243">
        <v>6.55E13</v>
      </c>
      <c r="F1430" s="245"/>
      <c r="G1430" s="235" t="s">
        <v>11530</v>
      </c>
      <c r="H1430" s="235" t="s">
        <v>11531</v>
      </c>
      <c r="I1430" s="235" t="s">
        <v>11532</v>
      </c>
      <c r="J1430" s="235" t="s">
        <v>11533</v>
      </c>
      <c r="K1430" s="235" t="s">
        <v>11534</v>
      </c>
      <c r="N1430" s="235" t="s">
        <v>92</v>
      </c>
      <c r="O1430" s="235" t="s">
        <v>248</v>
      </c>
      <c r="P1430" s="238">
        <v>1.0</v>
      </c>
      <c r="Q1430" s="235" t="s">
        <v>627</v>
      </c>
      <c r="R1430" s="238">
        <v>246.67</v>
      </c>
      <c r="S1430" s="238">
        <v>12.33</v>
      </c>
      <c r="T1430" s="238">
        <v>0.0</v>
      </c>
      <c r="U1430" s="238">
        <v>0.0</v>
      </c>
      <c r="V1430" s="238">
        <v>0.0</v>
      </c>
      <c r="W1430" s="238">
        <v>0.0</v>
      </c>
      <c r="X1430" s="235" t="s">
        <v>628</v>
      </c>
      <c r="Z1430" s="244"/>
      <c r="AA1430" s="244"/>
      <c r="AB1430" s="244"/>
      <c r="AC1430" s="235" t="s">
        <v>3313</v>
      </c>
      <c r="AD1430" s="235" t="s">
        <v>645</v>
      </c>
      <c r="AE1430" s="238">
        <v>673603.0</v>
      </c>
      <c r="AF1430" s="235" t="s">
        <v>631</v>
      </c>
      <c r="AG1430" s="244"/>
      <c r="AH1430" s="244"/>
      <c r="AI1430" s="245"/>
      <c r="AJ1430" s="245"/>
      <c r="AK1430" s="245"/>
      <c r="AL1430" s="245"/>
      <c r="AM1430" s="244"/>
      <c r="AN1430" s="244"/>
      <c r="AO1430" s="238">
        <v>0.0</v>
      </c>
      <c r="AP1430" s="238">
        <v>0.0</v>
      </c>
      <c r="AQ1430" s="235" t="s">
        <v>1328</v>
      </c>
      <c r="AR1430" s="243">
        <v>1.34E13</v>
      </c>
      <c r="AS1430" s="235" t="s">
        <v>4697</v>
      </c>
      <c r="AT1430" s="235" t="s">
        <v>9</v>
      </c>
      <c r="AU1430" s="235" t="s">
        <v>634</v>
      </c>
      <c r="AV1430" s="246" t="s">
        <v>635</v>
      </c>
      <c r="AW1430" s="242"/>
      <c r="AX1430" s="242"/>
      <c r="AY1430" s="231"/>
      <c r="AZ1430" s="231"/>
      <c r="BA1430" s="227"/>
      <c r="BB1430" s="231"/>
      <c r="BC1430" s="227"/>
      <c r="BD1430" s="227"/>
      <c r="BE1430" s="227"/>
      <c r="BF1430" s="227"/>
    </row>
    <row r="1431">
      <c r="A1431" s="235" t="s">
        <v>11535</v>
      </c>
      <c r="C1431" s="235" t="s">
        <v>11536</v>
      </c>
      <c r="D1431" s="235" t="s">
        <v>11537</v>
      </c>
      <c r="E1431" s="243">
        <v>6.55E13</v>
      </c>
      <c r="F1431" s="245"/>
      <c r="G1431" s="235" t="s">
        <v>11538</v>
      </c>
      <c r="H1431" s="235" t="s">
        <v>11539</v>
      </c>
      <c r="I1431" s="235" t="s">
        <v>11539</v>
      </c>
      <c r="J1431" s="235" t="s">
        <v>11540</v>
      </c>
      <c r="K1431" s="235" t="s">
        <v>11541</v>
      </c>
      <c r="N1431" s="235" t="s">
        <v>53</v>
      </c>
      <c r="O1431" s="235" t="s">
        <v>512</v>
      </c>
      <c r="P1431" s="238">
        <v>1.0</v>
      </c>
      <c r="Q1431" s="235" t="s">
        <v>627</v>
      </c>
      <c r="R1431" s="238">
        <v>237.14</v>
      </c>
      <c r="S1431" s="238">
        <v>11.62</v>
      </c>
      <c r="T1431" s="238">
        <v>0.0</v>
      </c>
      <c r="U1431" s="238">
        <v>0.0</v>
      </c>
      <c r="V1431" s="238">
        <v>0.0</v>
      </c>
      <c r="W1431" s="238">
        <v>0.0</v>
      </c>
      <c r="X1431" s="235" t="s">
        <v>628</v>
      </c>
      <c r="Z1431" s="244"/>
      <c r="AA1431" s="244"/>
      <c r="AB1431" s="244"/>
      <c r="AC1431" s="235" t="s">
        <v>697</v>
      </c>
      <c r="AD1431" s="235" t="s">
        <v>698</v>
      </c>
      <c r="AE1431" s="238">
        <v>500089.0</v>
      </c>
      <c r="AF1431" s="235" t="s">
        <v>631</v>
      </c>
      <c r="AG1431" s="244"/>
      <c r="AH1431" s="244"/>
      <c r="AI1431" s="245"/>
      <c r="AJ1431" s="245"/>
      <c r="AK1431" s="245"/>
      <c r="AL1431" s="245"/>
      <c r="AM1431" s="244"/>
      <c r="AN1431" s="244"/>
      <c r="AO1431" s="238">
        <v>-4.74</v>
      </c>
      <c r="AP1431" s="238">
        <v>0.0</v>
      </c>
      <c r="AQ1431" s="235" t="s">
        <v>632</v>
      </c>
      <c r="AR1431" s="243">
        <v>1.68E11</v>
      </c>
      <c r="AS1431" s="235" t="s">
        <v>10017</v>
      </c>
      <c r="AT1431" s="235" t="s">
        <v>9</v>
      </c>
      <c r="AU1431" s="235" t="s">
        <v>634</v>
      </c>
      <c r="AV1431" s="246" t="s">
        <v>635</v>
      </c>
      <c r="AW1431" s="242"/>
      <c r="AX1431" s="242"/>
      <c r="AY1431" s="231"/>
      <c r="AZ1431" s="231"/>
      <c r="BA1431" s="227"/>
      <c r="BB1431" s="231"/>
      <c r="BC1431" s="227"/>
      <c r="BD1431" s="227"/>
      <c r="BE1431" s="227"/>
      <c r="BF1431" s="227"/>
    </row>
    <row r="1432">
      <c r="A1432" s="235" t="s">
        <v>11544</v>
      </c>
      <c r="C1432" s="235" t="s">
        <v>11545</v>
      </c>
      <c r="D1432" s="235" t="s">
        <v>11546</v>
      </c>
      <c r="E1432" s="243">
        <v>6.55E13</v>
      </c>
      <c r="F1432" s="245"/>
      <c r="G1432" s="235" t="s">
        <v>11547</v>
      </c>
      <c r="H1432" s="235" t="s">
        <v>11548</v>
      </c>
      <c r="I1432" s="235" t="s">
        <v>11548</v>
      </c>
      <c r="J1432" s="235" t="s">
        <v>11549</v>
      </c>
      <c r="K1432" s="235" t="s">
        <v>11550</v>
      </c>
      <c r="N1432" s="235" t="s">
        <v>136</v>
      </c>
      <c r="O1432" s="235" t="s">
        <v>256</v>
      </c>
      <c r="P1432" s="238">
        <v>1.0</v>
      </c>
      <c r="Q1432" s="235" t="s">
        <v>627</v>
      </c>
      <c r="R1432" s="238">
        <v>242.86</v>
      </c>
      <c r="S1432" s="238">
        <v>12.14</v>
      </c>
      <c r="T1432" s="238">
        <v>38.1</v>
      </c>
      <c r="U1432" s="238">
        <v>1.9</v>
      </c>
      <c r="V1432" s="238">
        <v>0.0</v>
      </c>
      <c r="W1432" s="238">
        <v>0.0</v>
      </c>
      <c r="X1432" s="235" t="s">
        <v>628</v>
      </c>
      <c r="Z1432" s="244"/>
      <c r="AA1432" s="244"/>
      <c r="AB1432" s="244"/>
      <c r="AC1432" s="235" t="s">
        <v>11551</v>
      </c>
      <c r="AD1432" s="235" t="s">
        <v>833</v>
      </c>
      <c r="AE1432" s="238">
        <v>515122.0</v>
      </c>
      <c r="AF1432" s="235" t="s">
        <v>631</v>
      </c>
      <c r="AG1432" s="244"/>
      <c r="AH1432" s="244"/>
      <c r="AI1432" s="245"/>
      <c r="AJ1432" s="245"/>
      <c r="AK1432" s="245"/>
      <c r="AL1432" s="245"/>
      <c r="AM1432" s="244"/>
      <c r="AN1432" s="244"/>
      <c r="AO1432" s="238">
        <v>0.0</v>
      </c>
      <c r="AP1432" s="238">
        <v>0.0</v>
      </c>
      <c r="AQ1432" s="235" t="s">
        <v>632</v>
      </c>
      <c r="AR1432" s="243">
        <v>3.71E11</v>
      </c>
      <c r="AS1432" s="235" t="s">
        <v>10017</v>
      </c>
      <c r="AT1432" s="235" t="s">
        <v>11</v>
      </c>
      <c r="AU1432" s="235" t="s">
        <v>634</v>
      </c>
      <c r="AV1432" s="246" t="s">
        <v>635</v>
      </c>
      <c r="AW1432" s="242"/>
      <c r="AX1432" s="242"/>
      <c r="AY1432" s="231"/>
      <c r="AZ1432" s="231"/>
      <c r="BA1432" s="227"/>
      <c r="BB1432" s="231"/>
      <c r="BC1432" s="227"/>
      <c r="BD1432" s="227"/>
      <c r="BE1432" s="227"/>
      <c r="BF1432" s="227"/>
    </row>
    <row r="1433">
      <c r="A1433" s="235" t="s">
        <v>11552</v>
      </c>
      <c r="C1433" s="235" t="s">
        <v>11553</v>
      </c>
      <c r="D1433" s="235" t="s">
        <v>11554</v>
      </c>
      <c r="E1433" s="243">
        <v>6.55E13</v>
      </c>
      <c r="F1433" s="245"/>
      <c r="G1433" s="235" t="s">
        <v>11555</v>
      </c>
      <c r="H1433" s="235" t="s">
        <v>11556</v>
      </c>
      <c r="I1433" s="235" t="s">
        <v>11556</v>
      </c>
      <c r="J1433" s="235" t="s">
        <v>11557</v>
      </c>
      <c r="K1433" s="235" t="s">
        <v>11558</v>
      </c>
      <c r="N1433" s="235" t="s">
        <v>51</v>
      </c>
      <c r="O1433" s="235" t="s">
        <v>273</v>
      </c>
      <c r="P1433" s="238">
        <v>1.0</v>
      </c>
      <c r="Q1433" s="235" t="s">
        <v>627</v>
      </c>
      <c r="R1433" s="238">
        <v>237.14</v>
      </c>
      <c r="S1433" s="238">
        <v>11.86</v>
      </c>
      <c r="T1433" s="238">
        <v>38.1</v>
      </c>
      <c r="U1433" s="238">
        <v>1.9</v>
      </c>
      <c r="V1433" s="238">
        <v>0.0</v>
      </c>
      <c r="W1433" s="238">
        <v>0.0</v>
      </c>
      <c r="X1433" s="235" t="s">
        <v>628</v>
      </c>
      <c r="Z1433" s="244"/>
      <c r="AA1433" s="244"/>
      <c r="AB1433" s="244"/>
      <c r="AC1433" s="235" t="s">
        <v>757</v>
      </c>
      <c r="AD1433" s="235" t="s">
        <v>666</v>
      </c>
      <c r="AE1433" s="238">
        <v>625012.0</v>
      </c>
      <c r="AF1433" s="235" t="s">
        <v>631</v>
      </c>
      <c r="AG1433" s="244"/>
      <c r="AH1433" s="244"/>
      <c r="AI1433" s="245"/>
      <c r="AJ1433" s="245"/>
      <c r="AK1433" s="245"/>
      <c r="AL1433" s="245"/>
      <c r="AM1433" s="244"/>
      <c r="AN1433" s="244"/>
      <c r="AO1433" s="238">
        <v>0.0</v>
      </c>
      <c r="AP1433" s="238">
        <v>-38.1</v>
      </c>
      <c r="AQ1433" s="235" t="s">
        <v>632</v>
      </c>
      <c r="AR1433" s="243">
        <v>3.71E11</v>
      </c>
      <c r="AS1433" s="235" t="s">
        <v>10017</v>
      </c>
      <c r="AT1433" s="235" t="s">
        <v>155</v>
      </c>
      <c r="AU1433" s="235" t="s">
        <v>634</v>
      </c>
      <c r="AV1433" s="246" t="s">
        <v>635</v>
      </c>
      <c r="AW1433" s="242"/>
      <c r="AX1433" s="242"/>
      <c r="AY1433" s="231"/>
      <c r="AZ1433" s="231"/>
      <c r="BA1433" s="227"/>
      <c r="BB1433" s="231"/>
      <c r="BC1433" s="227"/>
      <c r="BD1433" s="227"/>
      <c r="BE1433" s="227"/>
      <c r="BF1433" s="227"/>
    </row>
    <row r="1434">
      <c r="A1434" s="235" t="s">
        <v>11559</v>
      </c>
      <c r="C1434" s="235" t="s">
        <v>11560</v>
      </c>
      <c r="D1434" s="235" t="s">
        <v>11561</v>
      </c>
      <c r="E1434" s="243">
        <v>6.55E13</v>
      </c>
      <c r="F1434" s="245"/>
      <c r="G1434" s="235" t="s">
        <v>11562</v>
      </c>
      <c r="H1434" s="235" t="s">
        <v>11563</v>
      </c>
      <c r="I1434" s="235" t="s">
        <v>11563</v>
      </c>
      <c r="J1434" s="235" t="s">
        <v>11564</v>
      </c>
      <c r="K1434" s="235" t="s">
        <v>11565</v>
      </c>
      <c r="N1434" s="235" t="s">
        <v>85</v>
      </c>
      <c r="O1434" s="235" t="s">
        <v>872</v>
      </c>
      <c r="P1434" s="238">
        <v>1.0</v>
      </c>
      <c r="Q1434" s="235" t="s">
        <v>627</v>
      </c>
      <c r="R1434" s="238">
        <v>0.0</v>
      </c>
      <c r="S1434" s="238">
        <v>0.0</v>
      </c>
      <c r="T1434" s="238">
        <v>0.0</v>
      </c>
      <c r="U1434" s="238">
        <v>0.0</v>
      </c>
      <c r="V1434" s="238">
        <v>0.0</v>
      </c>
      <c r="W1434" s="238">
        <v>0.0</v>
      </c>
      <c r="X1434" s="235" t="s">
        <v>628</v>
      </c>
      <c r="Z1434" s="244"/>
      <c r="AA1434" s="244"/>
      <c r="AB1434" s="244"/>
      <c r="AC1434" s="235" t="s">
        <v>3503</v>
      </c>
      <c r="AD1434" s="235" t="s">
        <v>630</v>
      </c>
      <c r="AE1434" s="238">
        <v>244901.0</v>
      </c>
      <c r="AF1434" s="235" t="s">
        <v>631</v>
      </c>
      <c r="AG1434" s="244"/>
      <c r="AH1434" s="244"/>
      <c r="AI1434" s="245"/>
      <c r="AJ1434" s="245"/>
      <c r="AK1434" s="245"/>
      <c r="AL1434" s="245"/>
      <c r="AM1434" s="244"/>
      <c r="AN1434" s="244"/>
      <c r="AO1434" s="238">
        <v>0.0</v>
      </c>
      <c r="AP1434" s="238">
        <v>0.0</v>
      </c>
      <c r="AQ1434" s="235" t="s">
        <v>632</v>
      </c>
      <c r="AR1434" s="243">
        <v>3.71E11</v>
      </c>
      <c r="AS1434" s="235" t="s">
        <v>8807</v>
      </c>
      <c r="AT1434" s="235" t="s">
        <v>533</v>
      </c>
      <c r="AU1434" s="235" t="s">
        <v>634</v>
      </c>
      <c r="AV1434" s="246" t="s">
        <v>635</v>
      </c>
      <c r="AW1434" s="242"/>
      <c r="AX1434" s="242"/>
      <c r="AY1434" s="231"/>
      <c r="AZ1434" s="231"/>
      <c r="BA1434" s="227"/>
      <c r="BB1434" s="231"/>
      <c r="BC1434" s="227"/>
      <c r="BD1434" s="227"/>
      <c r="BE1434" s="227"/>
      <c r="BF1434" s="227"/>
    </row>
    <row r="1435">
      <c r="A1435" s="235" t="s">
        <v>11566</v>
      </c>
      <c r="C1435" s="235" t="s">
        <v>11567</v>
      </c>
      <c r="D1435" s="235" t="s">
        <v>11568</v>
      </c>
      <c r="E1435" s="243">
        <v>6.55E13</v>
      </c>
      <c r="F1435" s="245"/>
      <c r="G1435" s="235" t="s">
        <v>11569</v>
      </c>
      <c r="H1435" s="235" t="s">
        <v>11570</v>
      </c>
      <c r="I1435" s="235" t="s">
        <v>11571</v>
      </c>
      <c r="J1435" s="235" t="s">
        <v>11572</v>
      </c>
      <c r="K1435" s="235" t="s">
        <v>11573</v>
      </c>
      <c r="N1435" s="235" t="s">
        <v>1346</v>
      </c>
      <c r="O1435" s="235" t="s">
        <v>1347</v>
      </c>
      <c r="P1435" s="238">
        <v>1.0</v>
      </c>
      <c r="Q1435" s="235" t="s">
        <v>627</v>
      </c>
      <c r="R1435" s="238">
        <v>256.19</v>
      </c>
      <c r="S1435" s="238">
        <v>12.81</v>
      </c>
      <c r="T1435" s="238">
        <v>0.0</v>
      </c>
      <c r="U1435" s="238">
        <v>0.0</v>
      </c>
      <c r="V1435" s="238">
        <v>0.0</v>
      </c>
      <c r="W1435" s="238">
        <v>0.0</v>
      </c>
      <c r="X1435" s="235" t="s">
        <v>628</v>
      </c>
      <c r="Z1435" s="244"/>
      <c r="AA1435" s="244"/>
      <c r="AB1435" s="244"/>
      <c r="AC1435" s="235" t="s">
        <v>678</v>
      </c>
      <c r="AD1435" s="235" t="s">
        <v>679</v>
      </c>
      <c r="AE1435" s="238">
        <v>562125.0</v>
      </c>
      <c r="AF1435" s="235" t="s">
        <v>631</v>
      </c>
      <c r="AG1435" s="244"/>
      <c r="AH1435" s="244"/>
      <c r="AI1435" s="245"/>
      <c r="AJ1435" s="245"/>
      <c r="AK1435" s="245"/>
      <c r="AL1435" s="245"/>
      <c r="AM1435" s="244"/>
      <c r="AN1435" s="244"/>
      <c r="AO1435" s="238">
        <v>0.0</v>
      </c>
      <c r="AP1435" s="238">
        <v>0.0</v>
      </c>
      <c r="AQ1435" s="235" t="s">
        <v>632</v>
      </c>
      <c r="AR1435" s="243">
        <v>3.71E11</v>
      </c>
      <c r="AS1435" s="235" t="s">
        <v>8807</v>
      </c>
      <c r="AT1435" s="235" t="s">
        <v>156</v>
      </c>
      <c r="AU1435" s="235" t="s">
        <v>634</v>
      </c>
      <c r="AV1435" s="246" t="s">
        <v>635</v>
      </c>
      <c r="AW1435" s="242"/>
      <c r="AX1435" s="242"/>
      <c r="AY1435" s="231"/>
      <c r="AZ1435" s="231"/>
      <c r="BA1435" s="227"/>
      <c r="BB1435" s="231"/>
      <c r="BC1435" s="227"/>
      <c r="BD1435" s="227"/>
      <c r="BE1435" s="227"/>
      <c r="BF1435" s="227"/>
    </row>
    <row r="1436">
      <c r="A1436" s="235" t="s">
        <v>11574</v>
      </c>
      <c r="C1436" s="235" t="s">
        <v>11575</v>
      </c>
      <c r="D1436" s="235" t="s">
        <v>11576</v>
      </c>
      <c r="E1436" s="243">
        <v>6.55E13</v>
      </c>
      <c r="F1436" s="245"/>
      <c r="G1436" s="235" t="s">
        <v>11577</v>
      </c>
      <c r="H1436" s="235" t="s">
        <v>11578</v>
      </c>
      <c r="I1436" s="235" t="s">
        <v>11578</v>
      </c>
      <c r="J1436" s="235" t="s">
        <v>11579</v>
      </c>
      <c r="K1436" s="235" t="s">
        <v>11580</v>
      </c>
      <c r="N1436" s="235" t="s">
        <v>42</v>
      </c>
      <c r="O1436" s="235" t="s">
        <v>204</v>
      </c>
      <c r="P1436" s="238">
        <v>1.0</v>
      </c>
      <c r="Q1436" s="235" t="s">
        <v>627</v>
      </c>
      <c r="R1436" s="238">
        <v>237.14</v>
      </c>
      <c r="S1436" s="238">
        <v>11.86</v>
      </c>
      <c r="T1436" s="238">
        <v>0.0</v>
      </c>
      <c r="U1436" s="238">
        <v>0.0</v>
      </c>
      <c r="V1436" s="238">
        <v>0.0</v>
      </c>
      <c r="W1436" s="238">
        <v>0.0</v>
      </c>
      <c r="X1436" s="235" t="s">
        <v>628</v>
      </c>
      <c r="Z1436" s="244"/>
      <c r="AA1436" s="244"/>
      <c r="AB1436" s="244"/>
      <c r="AC1436" s="235" t="s">
        <v>697</v>
      </c>
      <c r="AD1436" s="235" t="s">
        <v>698</v>
      </c>
      <c r="AE1436" s="238">
        <v>500019.0</v>
      </c>
      <c r="AF1436" s="235" t="s">
        <v>631</v>
      </c>
      <c r="AG1436" s="244"/>
      <c r="AH1436" s="244"/>
      <c r="AI1436" s="245"/>
      <c r="AJ1436" s="245"/>
      <c r="AK1436" s="245"/>
      <c r="AL1436" s="245"/>
      <c r="AM1436" s="244"/>
      <c r="AN1436" s="244"/>
      <c r="AO1436" s="238">
        <v>0.0</v>
      </c>
      <c r="AP1436" s="238">
        <v>0.0</v>
      </c>
      <c r="AQ1436" s="235" t="s">
        <v>632</v>
      </c>
      <c r="AR1436" s="243">
        <v>1.68E11</v>
      </c>
      <c r="AS1436" s="235" t="s">
        <v>10017</v>
      </c>
      <c r="AT1436" s="235" t="s">
        <v>9</v>
      </c>
      <c r="AU1436" s="235" t="s">
        <v>634</v>
      </c>
      <c r="AV1436" s="246" t="s">
        <v>635</v>
      </c>
      <c r="AW1436" s="242"/>
      <c r="AX1436" s="242"/>
      <c r="AY1436" s="231"/>
      <c r="AZ1436" s="231"/>
      <c r="BA1436" s="227"/>
      <c r="BB1436" s="231"/>
      <c r="BC1436" s="227"/>
      <c r="BD1436" s="227"/>
      <c r="BE1436" s="227"/>
      <c r="BF1436" s="227"/>
    </row>
    <row r="1437">
      <c r="A1437" s="235" t="s">
        <v>11581</v>
      </c>
      <c r="C1437" s="235" t="s">
        <v>11582</v>
      </c>
      <c r="D1437" s="235" t="s">
        <v>11583</v>
      </c>
      <c r="E1437" s="243">
        <v>6.55E13</v>
      </c>
      <c r="F1437" s="245"/>
      <c r="G1437" s="235" t="s">
        <v>11584</v>
      </c>
      <c r="H1437" s="235" t="s">
        <v>11585</v>
      </c>
      <c r="I1437" s="235" t="s">
        <v>11585</v>
      </c>
      <c r="J1437" s="235" t="s">
        <v>11586</v>
      </c>
      <c r="K1437" s="235" t="s">
        <v>11587</v>
      </c>
      <c r="N1437" s="235" t="s">
        <v>92</v>
      </c>
      <c r="O1437" s="235" t="s">
        <v>248</v>
      </c>
      <c r="P1437" s="238">
        <v>1.0</v>
      </c>
      <c r="Q1437" s="235" t="s">
        <v>627</v>
      </c>
      <c r="R1437" s="238">
        <v>246.67</v>
      </c>
      <c r="S1437" s="238">
        <v>12.33</v>
      </c>
      <c r="T1437" s="238">
        <v>38.1</v>
      </c>
      <c r="U1437" s="238">
        <v>1.9</v>
      </c>
      <c r="V1437" s="238">
        <v>0.0</v>
      </c>
      <c r="W1437" s="238">
        <v>0.0</v>
      </c>
      <c r="X1437" s="235" t="s">
        <v>628</v>
      </c>
      <c r="Z1437" s="244"/>
      <c r="AA1437" s="244"/>
      <c r="AB1437" s="244"/>
      <c r="AC1437" s="235" t="s">
        <v>11588</v>
      </c>
      <c r="AD1437" s="235" t="s">
        <v>630</v>
      </c>
      <c r="AE1437" s="238">
        <v>225306.0</v>
      </c>
      <c r="AF1437" s="235" t="s">
        <v>631</v>
      </c>
      <c r="AG1437" s="244"/>
      <c r="AH1437" s="244"/>
      <c r="AI1437" s="245"/>
      <c r="AJ1437" s="245"/>
      <c r="AK1437" s="245"/>
      <c r="AL1437" s="245"/>
      <c r="AM1437" s="244"/>
      <c r="AN1437" s="244"/>
      <c r="AO1437" s="238">
        <v>0.0</v>
      </c>
      <c r="AP1437" s="238">
        <v>0.0</v>
      </c>
      <c r="AQ1437" s="235" t="s">
        <v>632</v>
      </c>
      <c r="AR1437" s="243">
        <v>3.71E11</v>
      </c>
      <c r="AS1437" s="235" t="s">
        <v>8807</v>
      </c>
      <c r="AT1437" s="235" t="s">
        <v>13</v>
      </c>
      <c r="AU1437" s="235" t="s">
        <v>634</v>
      </c>
      <c r="AV1437" s="246" t="s">
        <v>635</v>
      </c>
      <c r="AW1437" s="242"/>
      <c r="AX1437" s="242"/>
      <c r="AY1437" s="231"/>
      <c r="AZ1437" s="231"/>
      <c r="BA1437" s="227"/>
      <c r="BB1437" s="231"/>
      <c r="BC1437" s="227"/>
      <c r="BD1437" s="227"/>
      <c r="BE1437" s="227"/>
      <c r="BF1437" s="227"/>
    </row>
    <row r="1438">
      <c r="A1438" s="235" t="s">
        <v>11589</v>
      </c>
      <c r="C1438" s="235" t="s">
        <v>11590</v>
      </c>
      <c r="D1438" s="235" t="s">
        <v>11591</v>
      </c>
      <c r="E1438" s="243">
        <v>6.55E13</v>
      </c>
      <c r="F1438" s="245"/>
      <c r="G1438" s="235" t="s">
        <v>11592</v>
      </c>
      <c r="H1438" s="235" t="s">
        <v>11593</v>
      </c>
      <c r="I1438" s="235" t="s">
        <v>11593</v>
      </c>
      <c r="J1438" s="235" t="s">
        <v>11594</v>
      </c>
      <c r="K1438" s="235" t="s">
        <v>11595</v>
      </c>
      <c r="N1438" s="235" t="s">
        <v>139</v>
      </c>
      <c r="O1438" s="235" t="s">
        <v>2091</v>
      </c>
      <c r="P1438" s="238">
        <v>1.0</v>
      </c>
      <c r="Q1438" s="235" t="s">
        <v>627</v>
      </c>
      <c r="R1438" s="238">
        <v>246.67</v>
      </c>
      <c r="S1438" s="238">
        <v>12.33</v>
      </c>
      <c r="T1438" s="238">
        <v>0.0</v>
      </c>
      <c r="U1438" s="238">
        <v>0.0</v>
      </c>
      <c r="V1438" s="238">
        <v>0.0</v>
      </c>
      <c r="W1438" s="238">
        <v>0.0</v>
      </c>
      <c r="X1438" s="235" t="s">
        <v>628</v>
      </c>
      <c r="Z1438" s="244"/>
      <c r="AA1438" s="244"/>
      <c r="AB1438" s="244"/>
      <c r="AC1438" s="235" t="s">
        <v>1320</v>
      </c>
      <c r="AD1438" s="235" t="s">
        <v>666</v>
      </c>
      <c r="AE1438" s="238">
        <v>600077.0</v>
      </c>
      <c r="AF1438" s="235" t="s">
        <v>631</v>
      </c>
      <c r="AG1438" s="244"/>
      <c r="AH1438" s="244"/>
      <c r="AI1438" s="245"/>
      <c r="AJ1438" s="245"/>
      <c r="AK1438" s="245"/>
      <c r="AL1438" s="245"/>
      <c r="AM1438" s="244"/>
      <c r="AN1438" s="244"/>
      <c r="AO1438" s="238">
        <v>0.0</v>
      </c>
      <c r="AP1438" s="238">
        <v>0.0</v>
      </c>
      <c r="AQ1438" s="235" t="s">
        <v>632</v>
      </c>
      <c r="AR1438" s="243">
        <v>3.71E11</v>
      </c>
      <c r="AS1438" s="235" t="s">
        <v>6164</v>
      </c>
      <c r="AT1438" s="235" t="s">
        <v>13</v>
      </c>
      <c r="AU1438" s="235" t="s">
        <v>634</v>
      </c>
      <c r="AV1438" s="246" t="s">
        <v>635</v>
      </c>
      <c r="AW1438" s="242"/>
      <c r="AX1438" s="242"/>
      <c r="AY1438" s="231"/>
      <c r="AZ1438" s="231"/>
      <c r="BA1438" s="227"/>
      <c r="BB1438" s="231"/>
      <c r="BC1438" s="227"/>
      <c r="BD1438" s="227"/>
      <c r="BE1438" s="227"/>
      <c r="BF1438" s="227"/>
    </row>
    <row r="1439">
      <c r="A1439" s="235" t="s">
        <v>11596</v>
      </c>
      <c r="C1439" s="235" t="s">
        <v>11597</v>
      </c>
      <c r="D1439" s="235" t="s">
        <v>11598</v>
      </c>
      <c r="E1439" s="243">
        <v>6.55E13</v>
      </c>
      <c r="F1439" s="245"/>
      <c r="G1439" s="235" t="s">
        <v>11599</v>
      </c>
      <c r="H1439" s="235" t="s">
        <v>11600</v>
      </c>
      <c r="I1439" s="235" t="s">
        <v>11600</v>
      </c>
      <c r="J1439" s="235" t="s">
        <v>11601</v>
      </c>
      <c r="K1439" s="235" t="s">
        <v>11602</v>
      </c>
      <c r="N1439" s="235" t="s">
        <v>127</v>
      </c>
      <c r="O1439" s="235" t="s">
        <v>794</v>
      </c>
      <c r="P1439" s="238">
        <v>1.0</v>
      </c>
      <c r="Q1439" s="235" t="s">
        <v>627</v>
      </c>
      <c r="R1439" s="238">
        <v>246.66</v>
      </c>
      <c r="S1439" s="238">
        <v>12.34</v>
      </c>
      <c r="T1439" s="238">
        <v>38.1</v>
      </c>
      <c r="U1439" s="238">
        <v>1.9</v>
      </c>
      <c r="V1439" s="238">
        <v>0.0</v>
      </c>
      <c r="W1439" s="238">
        <v>0.0</v>
      </c>
      <c r="X1439" s="235" t="s">
        <v>628</v>
      </c>
      <c r="Z1439" s="244"/>
      <c r="AA1439" s="244"/>
      <c r="AB1439" s="244"/>
      <c r="AC1439" s="235" t="s">
        <v>2731</v>
      </c>
      <c r="AD1439" s="235" t="s">
        <v>666</v>
      </c>
      <c r="AE1439" s="238">
        <v>635001.0</v>
      </c>
      <c r="AF1439" s="235" t="s">
        <v>631</v>
      </c>
      <c r="AG1439" s="244"/>
      <c r="AH1439" s="244"/>
      <c r="AI1439" s="245"/>
      <c r="AJ1439" s="245"/>
      <c r="AK1439" s="245"/>
      <c r="AL1439" s="245"/>
      <c r="AM1439" s="244"/>
      <c r="AN1439" s="244"/>
      <c r="AO1439" s="238">
        <v>0.0</v>
      </c>
      <c r="AP1439" s="238">
        <v>-38.1</v>
      </c>
      <c r="AQ1439" s="235" t="s">
        <v>632</v>
      </c>
      <c r="AR1439" s="243">
        <v>3.71E11</v>
      </c>
      <c r="AS1439" s="235" t="s">
        <v>10017</v>
      </c>
      <c r="AT1439" s="235" t="s">
        <v>155</v>
      </c>
      <c r="AU1439" s="235" t="s">
        <v>634</v>
      </c>
      <c r="AV1439" s="246" t="s">
        <v>635</v>
      </c>
      <c r="AW1439" s="242"/>
      <c r="AX1439" s="242"/>
      <c r="AY1439" s="231"/>
      <c r="AZ1439" s="231"/>
      <c r="BA1439" s="227"/>
      <c r="BB1439" s="231"/>
      <c r="BC1439" s="227"/>
      <c r="BD1439" s="227"/>
      <c r="BE1439" s="227"/>
      <c r="BF1439" s="227"/>
    </row>
    <row r="1440">
      <c r="A1440" s="235" t="s">
        <v>11603</v>
      </c>
      <c r="C1440" s="235" t="s">
        <v>11604</v>
      </c>
      <c r="D1440" s="235" t="s">
        <v>11605</v>
      </c>
      <c r="E1440" s="243">
        <v>6.55E13</v>
      </c>
      <c r="F1440" s="245"/>
      <c r="G1440" s="235" t="s">
        <v>11606</v>
      </c>
      <c r="H1440" s="235" t="s">
        <v>11607</v>
      </c>
      <c r="I1440" s="235" t="s">
        <v>11608</v>
      </c>
      <c r="J1440" s="235" t="s">
        <v>11609</v>
      </c>
      <c r="K1440" s="235" t="s">
        <v>11610</v>
      </c>
      <c r="N1440" s="235" t="s">
        <v>82</v>
      </c>
      <c r="O1440" s="235" t="s">
        <v>889</v>
      </c>
      <c r="P1440" s="238">
        <v>1.0</v>
      </c>
      <c r="Q1440" s="235" t="s">
        <v>627</v>
      </c>
      <c r="R1440" s="238">
        <v>246.67</v>
      </c>
      <c r="S1440" s="238">
        <v>12.08</v>
      </c>
      <c r="T1440" s="238">
        <v>38.1</v>
      </c>
      <c r="U1440" s="238">
        <v>1.9</v>
      </c>
      <c r="V1440" s="238">
        <v>0.0</v>
      </c>
      <c r="W1440" s="238">
        <v>0.0</v>
      </c>
      <c r="X1440" s="235" t="s">
        <v>628</v>
      </c>
      <c r="Z1440" s="244"/>
      <c r="AA1440" s="244"/>
      <c r="AB1440" s="244"/>
      <c r="AC1440" s="235" t="s">
        <v>11611</v>
      </c>
      <c r="AD1440" s="235" t="s">
        <v>630</v>
      </c>
      <c r="AE1440" s="238">
        <v>207123.0</v>
      </c>
      <c r="AF1440" s="235" t="s">
        <v>631</v>
      </c>
      <c r="AG1440" s="244"/>
      <c r="AH1440" s="244"/>
      <c r="AI1440" s="245"/>
      <c r="AJ1440" s="245"/>
      <c r="AK1440" s="245"/>
      <c r="AL1440" s="245"/>
      <c r="AM1440" s="244"/>
      <c r="AN1440" s="244"/>
      <c r="AO1440" s="238">
        <v>-4.93</v>
      </c>
      <c r="AP1440" s="238">
        <v>-38.1</v>
      </c>
      <c r="AQ1440" s="235" t="s">
        <v>632</v>
      </c>
      <c r="AR1440" s="243">
        <v>3.71E11</v>
      </c>
      <c r="AS1440" s="235" t="s">
        <v>8807</v>
      </c>
      <c r="AT1440" s="235" t="s">
        <v>13</v>
      </c>
      <c r="AU1440" s="235" t="s">
        <v>634</v>
      </c>
      <c r="AV1440" s="246" t="s">
        <v>635</v>
      </c>
      <c r="AW1440" s="242"/>
      <c r="AX1440" s="242"/>
      <c r="AY1440" s="231"/>
      <c r="AZ1440" s="231"/>
      <c r="BA1440" s="227"/>
      <c r="BB1440" s="231"/>
      <c r="BC1440" s="227"/>
      <c r="BD1440" s="227"/>
      <c r="BE1440" s="227"/>
      <c r="BF1440" s="227"/>
    </row>
    <row r="1441">
      <c r="A1441" s="235" t="s">
        <v>11612</v>
      </c>
      <c r="C1441" s="235" t="s">
        <v>11613</v>
      </c>
      <c r="D1441" s="235" t="s">
        <v>11614</v>
      </c>
      <c r="E1441" s="243">
        <v>6.55E13</v>
      </c>
      <c r="F1441" s="245"/>
      <c r="G1441" s="235" t="s">
        <v>11615</v>
      </c>
      <c r="H1441" s="235" t="s">
        <v>11616</v>
      </c>
      <c r="I1441" s="235" t="s">
        <v>11617</v>
      </c>
      <c r="J1441" s="235" t="s">
        <v>11618</v>
      </c>
      <c r="K1441" s="235" t="s">
        <v>11619</v>
      </c>
      <c r="N1441" s="235" t="s">
        <v>138</v>
      </c>
      <c r="O1441" s="235" t="s">
        <v>675</v>
      </c>
      <c r="P1441" s="238">
        <v>1.0</v>
      </c>
      <c r="Q1441" s="235" t="s">
        <v>627</v>
      </c>
      <c r="R1441" s="238">
        <v>242.86</v>
      </c>
      <c r="S1441" s="238">
        <v>12.14</v>
      </c>
      <c r="T1441" s="238">
        <v>0.0</v>
      </c>
      <c r="U1441" s="238">
        <v>0.0</v>
      </c>
      <c r="V1441" s="238">
        <v>0.0</v>
      </c>
      <c r="W1441" s="238">
        <v>0.0</v>
      </c>
      <c r="X1441" s="235" t="s">
        <v>628</v>
      </c>
      <c r="Z1441" s="244"/>
      <c r="AA1441" s="244"/>
      <c r="AB1441" s="244"/>
      <c r="AC1441" s="235" t="s">
        <v>1182</v>
      </c>
      <c r="AD1441" s="235" t="s">
        <v>11620</v>
      </c>
      <c r="AE1441" s="238">
        <v>530041.0</v>
      </c>
      <c r="AF1441" s="235" t="s">
        <v>631</v>
      </c>
      <c r="AG1441" s="244"/>
      <c r="AH1441" s="244"/>
      <c r="AI1441" s="245"/>
      <c r="AJ1441" s="245"/>
      <c r="AK1441" s="245"/>
      <c r="AL1441" s="245"/>
      <c r="AM1441" s="244"/>
      <c r="AN1441" s="244"/>
      <c r="AO1441" s="238">
        <v>0.0</v>
      </c>
      <c r="AP1441" s="238">
        <v>0.0</v>
      </c>
      <c r="AQ1441" s="235" t="s">
        <v>632</v>
      </c>
      <c r="AR1441" s="243">
        <v>3.71E11</v>
      </c>
      <c r="AS1441" s="235" t="s">
        <v>7365</v>
      </c>
      <c r="AT1441" s="235" t="s">
        <v>16</v>
      </c>
      <c r="AU1441" s="235" t="s">
        <v>634</v>
      </c>
      <c r="AV1441" s="246" t="s">
        <v>635</v>
      </c>
      <c r="AW1441" s="242"/>
      <c r="AX1441" s="242"/>
      <c r="AY1441" s="231"/>
      <c r="AZ1441" s="231"/>
      <c r="BA1441" s="227"/>
      <c r="BB1441" s="231"/>
      <c r="BC1441" s="227"/>
      <c r="BD1441" s="227"/>
      <c r="BE1441" s="227"/>
      <c r="BF1441" s="227"/>
    </row>
    <row r="1442">
      <c r="A1442" s="235" t="s">
        <v>11621</v>
      </c>
      <c r="C1442" s="235" t="s">
        <v>11622</v>
      </c>
      <c r="D1442" s="235" t="s">
        <v>11623</v>
      </c>
      <c r="E1442" s="243">
        <v>6.55E13</v>
      </c>
      <c r="F1442" s="245"/>
      <c r="G1442" s="235" t="s">
        <v>11624</v>
      </c>
      <c r="H1442" s="235" t="s">
        <v>11625</v>
      </c>
      <c r="I1442" s="235" t="s">
        <v>11625</v>
      </c>
      <c r="J1442" s="235" t="s">
        <v>11626</v>
      </c>
      <c r="K1442" s="235" t="s">
        <v>11627</v>
      </c>
      <c r="N1442" s="235" t="s">
        <v>53</v>
      </c>
      <c r="O1442" s="235" t="s">
        <v>512</v>
      </c>
      <c r="P1442" s="238">
        <v>1.0</v>
      </c>
      <c r="Q1442" s="235" t="s">
        <v>627</v>
      </c>
      <c r="R1442" s="238">
        <v>237.14</v>
      </c>
      <c r="S1442" s="238">
        <v>11.86</v>
      </c>
      <c r="T1442" s="238">
        <v>0.0</v>
      </c>
      <c r="U1442" s="238">
        <v>0.0</v>
      </c>
      <c r="V1442" s="238">
        <v>0.0</v>
      </c>
      <c r="W1442" s="238">
        <v>0.0</v>
      </c>
      <c r="X1442" s="235" t="s">
        <v>628</v>
      </c>
      <c r="Z1442" s="244"/>
      <c r="AA1442" s="244"/>
      <c r="AB1442" s="244"/>
      <c r="AC1442" s="235" t="s">
        <v>1095</v>
      </c>
      <c r="AD1442" s="235" t="s">
        <v>845</v>
      </c>
      <c r="AE1442" s="238">
        <v>400708.0</v>
      </c>
      <c r="AF1442" s="235" t="s">
        <v>631</v>
      </c>
      <c r="AG1442" s="244"/>
      <c r="AH1442" s="244"/>
      <c r="AI1442" s="245"/>
      <c r="AJ1442" s="245"/>
      <c r="AK1442" s="245"/>
      <c r="AL1442" s="245"/>
      <c r="AM1442" s="244"/>
      <c r="AN1442" s="244"/>
      <c r="AO1442" s="238">
        <v>0.0</v>
      </c>
      <c r="AP1442" s="238">
        <v>0.0</v>
      </c>
      <c r="AQ1442" s="235" t="s">
        <v>632</v>
      </c>
      <c r="AR1442" s="243">
        <v>3.71E11</v>
      </c>
      <c r="AS1442" s="235" t="s">
        <v>10017</v>
      </c>
      <c r="AT1442" s="235" t="s">
        <v>16</v>
      </c>
      <c r="AU1442" s="235" t="s">
        <v>634</v>
      </c>
      <c r="AV1442" s="246" t="s">
        <v>635</v>
      </c>
      <c r="AW1442" s="242"/>
      <c r="AX1442" s="242"/>
      <c r="AY1442" s="231"/>
      <c r="AZ1442" s="231"/>
      <c r="BA1442" s="227"/>
      <c r="BB1442" s="231"/>
      <c r="BC1442" s="227"/>
      <c r="BD1442" s="227"/>
      <c r="BE1442" s="227"/>
      <c r="BF1442" s="227"/>
    </row>
    <row r="1443">
      <c r="A1443" s="235" t="s">
        <v>11628</v>
      </c>
      <c r="C1443" s="235" t="s">
        <v>11629</v>
      </c>
      <c r="D1443" s="235" t="s">
        <v>11630</v>
      </c>
      <c r="E1443" s="243">
        <v>6.55E13</v>
      </c>
      <c r="F1443" s="245"/>
      <c r="G1443" s="235" t="s">
        <v>11631</v>
      </c>
      <c r="H1443" s="235" t="s">
        <v>11632</v>
      </c>
      <c r="I1443" s="235" t="s">
        <v>11632</v>
      </c>
      <c r="J1443" s="235" t="s">
        <v>11633</v>
      </c>
      <c r="K1443" s="235" t="s">
        <v>11634</v>
      </c>
      <c r="N1443" s="235" t="s">
        <v>85</v>
      </c>
      <c r="O1443" s="235" t="s">
        <v>872</v>
      </c>
      <c r="P1443" s="238">
        <v>1.0</v>
      </c>
      <c r="Q1443" s="235" t="s">
        <v>627</v>
      </c>
      <c r="R1443" s="238">
        <v>246.66</v>
      </c>
      <c r="S1443" s="238">
        <v>12.34</v>
      </c>
      <c r="T1443" s="238">
        <v>0.0</v>
      </c>
      <c r="U1443" s="238">
        <v>0.0</v>
      </c>
      <c r="V1443" s="238">
        <v>0.0</v>
      </c>
      <c r="W1443" s="238">
        <v>0.0</v>
      </c>
      <c r="X1443" s="235" t="s">
        <v>628</v>
      </c>
      <c r="Z1443" s="244"/>
      <c r="AA1443" s="244"/>
      <c r="AB1443" s="244"/>
      <c r="AC1443" s="235" t="s">
        <v>5626</v>
      </c>
      <c r="AD1443" s="235" t="s">
        <v>845</v>
      </c>
      <c r="AE1443" s="238">
        <v>410501.0</v>
      </c>
      <c r="AF1443" s="235" t="s">
        <v>631</v>
      </c>
      <c r="AG1443" s="244"/>
      <c r="AH1443" s="244"/>
      <c r="AI1443" s="245"/>
      <c r="AJ1443" s="245"/>
      <c r="AK1443" s="245"/>
      <c r="AL1443" s="245"/>
      <c r="AM1443" s="244"/>
      <c r="AN1443" s="244"/>
      <c r="AO1443" s="238">
        <v>0.0</v>
      </c>
      <c r="AP1443" s="238">
        <v>0.0</v>
      </c>
      <c r="AQ1443" s="235" t="s">
        <v>632</v>
      </c>
      <c r="AR1443" s="243">
        <v>3.71E11</v>
      </c>
      <c r="AS1443" s="235" t="s">
        <v>10017</v>
      </c>
      <c r="AT1443" s="235" t="s">
        <v>17</v>
      </c>
      <c r="AU1443" s="235" t="s">
        <v>634</v>
      </c>
      <c r="AV1443" s="246" t="s">
        <v>635</v>
      </c>
      <c r="AW1443" s="242"/>
      <c r="AX1443" s="242"/>
      <c r="AY1443" s="231"/>
      <c r="AZ1443" s="231"/>
      <c r="BA1443" s="227"/>
      <c r="BB1443" s="231"/>
      <c r="BC1443" s="227"/>
      <c r="BD1443" s="227"/>
      <c r="BE1443" s="227"/>
      <c r="BF1443" s="227"/>
    </row>
    <row r="1444">
      <c r="A1444" s="235" t="s">
        <v>11635</v>
      </c>
      <c r="C1444" s="235" t="s">
        <v>11636</v>
      </c>
      <c r="D1444" s="235" t="s">
        <v>11637</v>
      </c>
      <c r="E1444" s="243">
        <v>6.55E13</v>
      </c>
      <c r="F1444" s="245"/>
      <c r="G1444" s="235" t="s">
        <v>11638</v>
      </c>
      <c r="H1444" s="235" t="s">
        <v>11639</v>
      </c>
      <c r="I1444" s="235" t="s">
        <v>11639</v>
      </c>
      <c r="J1444" s="235" t="s">
        <v>11640</v>
      </c>
      <c r="K1444" s="235" t="s">
        <v>11641</v>
      </c>
      <c r="N1444" s="235" t="s">
        <v>82</v>
      </c>
      <c r="O1444" s="235" t="s">
        <v>889</v>
      </c>
      <c r="P1444" s="238">
        <v>1.0</v>
      </c>
      <c r="Q1444" s="235" t="s">
        <v>627</v>
      </c>
      <c r="R1444" s="238">
        <v>246.67</v>
      </c>
      <c r="S1444" s="238">
        <v>12.33</v>
      </c>
      <c r="T1444" s="238">
        <v>0.0</v>
      </c>
      <c r="U1444" s="238">
        <v>0.0</v>
      </c>
      <c r="V1444" s="238">
        <v>0.0</v>
      </c>
      <c r="W1444" s="238">
        <v>0.0</v>
      </c>
      <c r="X1444" s="235" t="s">
        <v>628</v>
      </c>
      <c r="Z1444" s="244"/>
      <c r="AA1444" s="244"/>
      <c r="AB1444" s="244"/>
      <c r="AC1444" s="235" t="s">
        <v>11642</v>
      </c>
      <c r="AD1444" s="235" t="s">
        <v>881</v>
      </c>
      <c r="AE1444" s="238">
        <v>762001.0</v>
      </c>
      <c r="AF1444" s="235" t="s">
        <v>631</v>
      </c>
      <c r="AG1444" s="244"/>
      <c r="AH1444" s="244"/>
      <c r="AI1444" s="245"/>
      <c r="AJ1444" s="245"/>
      <c r="AK1444" s="245"/>
      <c r="AL1444" s="245"/>
      <c r="AM1444" s="244"/>
      <c r="AN1444" s="244"/>
      <c r="AO1444" s="238">
        <v>0.0</v>
      </c>
      <c r="AP1444" s="238">
        <v>0.0</v>
      </c>
      <c r="AQ1444" s="235" t="s">
        <v>632</v>
      </c>
      <c r="AR1444" s="243">
        <v>3.71E11</v>
      </c>
      <c r="AS1444" s="235" t="s">
        <v>3284</v>
      </c>
      <c r="AT1444" s="235" t="s">
        <v>533</v>
      </c>
      <c r="AU1444" s="235" t="s">
        <v>634</v>
      </c>
      <c r="AV1444" s="246" t="s">
        <v>635</v>
      </c>
      <c r="AW1444" s="242"/>
      <c r="AX1444" s="242"/>
      <c r="AY1444" s="231"/>
      <c r="AZ1444" s="231"/>
      <c r="BA1444" s="227"/>
      <c r="BB1444" s="231"/>
      <c r="BC1444" s="227"/>
      <c r="BD1444" s="227"/>
      <c r="BE1444" s="227"/>
      <c r="BF1444" s="227"/>
    </row>
    <row r="1445">
      <c r="A1445" s="235" t="s">
        <v>11643</v>
      </c>
      <c r="C1445" s="235" t="s">
        <v>11644</v>
      </c>
      <c r="D1445" s="235" t="s">
        <v>11645</v>
      </c>
      <c r="E1445" s="243">
        <v>6.53E13</v>
      </c>
      <c r="F1445" s="245"/>
      <c r="G1445" s="235" t="s">
        <v>11646</v>
      </c>
      <c r="H1445" s="235" t="s">
        <v>11647</v>
      </c>
      <c r="I1445" s="235" t="s">
        <v>11647</v>
      </c>
      <c r="J1445" s="235" t="s">
        <v>11648</v>
      </c>
      <c r="K1445" s="235" t="s">
        <v>11649</v>
      </c>
      <c r="N1445" s="235" t="s">
        <v>42</v>
      </c>
      <c r="O1445" s="235" t="s">
        <v>204</v>
      </c>
      <c r="P1445" s="238">
        <v>1.0</v>
      </c>
      <c r="Q1445" s="235" t="s">
        <v>627</v>
      </c>
      <c r="R1445" s="238">
        <v>270.48</v>
      </c>
      <c r="S1445" s="238">
        <v>13.52</v>
      </c>
      <c r="T1445" s="238">
        <v>38.1</v>
      </c>
      <c r="U1445" s="238">
        <v>1.9</v>
      </c>
      <c r="V1445" s="238">
        <v>0.0</v>
      </c>
      <c r="W1445" s="238">
        <v>0.0</v>
      </c>
      <c r="X1445" s="235" t="s">
        <v>628</v>
      </c>
      <c r="Z1445" s="244"/>
      <c r="AA1445" s="244"/>
      <c r="AB1445" s="244"/>
      <c r="AC1445" s="235" t="s">
        <v>11650</v>
      </c>
      <c r="AD1445" s="235" t="s">
        <v>666</v>
      </c>
      <c r="AE1445" s="238">
        <v>613006.0</v>
      </c>
      <c r="AF1445" s="235" t="s">
        <v>631</v>
      </c>
      <c r="AG1445" s="244"/>
      <c r="AH1445" s="244"/>
      <c r="AI1445" s="245"/>
      <c r="AJ1445" s="245"/>
      <c r="AK1445" s="245"/>
      <c r="AL1445" s="245"/>
      <c r="AM1445" s="244"/>
      <c r="AN1445" s="244"/>
      <c r="AO1445" s="238">
        <v>0.0</v>
      </c>
      <c r="AP1445" s="238">
        <v>-38.1</v>
      </c>
      <c r="AQ1445" s="235" t="s">
        <v>632</v>
      </c>
      <c r="AR1445" s="243">
        <v>3.71E11</v>
      </c>
      <c r="AS1445" s="235" t="s">
        <v>10017</v>
      </c>
      <c r="AT1445" s="235" t="s">
        <v>155</v>
      </c>
      <c r="AU1445" s="235" t="s">
        <v>634</v>
      </c>
      <c r="AV1445" s="246" t="s">
        <v>635</v>
      </c>
      <c r="AW1445" s="242"/>
      <c r="AX1445" s="242"/>
      <c r="AY1445" s="231"/>
      <c r="AZ1445" s="231"/>
      <c r="BA1445" s="227"/>
      <c r="BB1445" s="231"/>
      <c r="BC1445" s="227"/>
      <c r="BD1445" s="227"/>
      <c r="BE1445" s="227"/>
      <c r="BF1445" s="227"/>
    </row>
    <row r="1446">
      <c r="A1446" s="235" t="s">
        <v>11651</v>
      </c>
      <c r="C1446" s="235" t="s">
        <v>11652</v>
      </c>
      <c r="D1446" s="235" t="s">
        <v>11653</v>
      </c>
      <c r="E1446" s="243">
        <v>6.55E13</v>
      </c>
      <c r="F1446" s="245"/>
      <c r="G1446" s="235" t="s">
        <v>11654</v>
      </c>
      <c r="H1446" s="235" t="s">
        <v>11655</v>
      </c>
      <c r="I1446" s="235" t="s">
        <v>11655</v>
      </c>
      <c r="J1446" s="235" t="s">
        <v>11656</v>
      </c>
      <c r="K1446" s="235" t="s">
        <v>11657</v>
      </c>
      <c r="N1446" s="235" t="s">
        <v>139</v>
      </c>
      <c r="O1446" s="235" t="s">
        <v>2091</v>
      </c>
      <c r="P1446" s="238">
        <v>1.0</v>
      </c>
      <c r="Q1446" s="235" t="s">
        <v>627</v>
      </c>
      <c r="R1446" s="238">
        <v>246.67</v>
      </c>
      <c r="S1446" s="238">
        <v>12.33</v>
      </c>
      <c r="T1446" s="238">
        <v>38.1</v>
      </c>
      <c r="U1446" s="238">
        <v>1.9</v>
      </c>
      <c r="V1446" s="238">
        <v>0.0</v>
      </c>
      <c r="W1446" s="238">
        <v>0.0</v>
      </c>
      <c r="X1446" s="235" t="s">
        <v>628</v>
      </c>
      <c r="Z1446" s="244"/>
      <c r="AA1446" s="244"/>
      <c r="AB1446" s="244"/>
      <c r="AC1446" s="235" t="s">
        <v>795</v>
      </c>
      <c r="AD1446" s="235" t="s">
        <v>796</v>
      </c>
      <c r="AE1446" s="238">
        <v>110040.0</v>
      </c>
      <c r="AF1446" s="235" t="s">
        <v>631</v>
      </c>
      <c r="AG1446" s="244"/>
      <c r="AH1446" s="244"/>
      <c r="AI1446" s="245"/>
      <c r="AJ1446" s="245"/>
      <c r="AK1446" s="245"/>
      <c r="AL1446" s="245"/>
      <c r="AM1446" s="244"/>
      <c r="AN1446" s="244"/>
      <c r="AO1446" s="238">
        <v>0.0</v>
      </c>
      <c r="AP1446" s="238">
        <v>0.0</v>
      </c>
      <c r="AQ1446" s="235" t="s">
        <v>632</v>
      </c>
      <c r="AR1446" s="243">
        <v>3.71E11</v>
      </c>
      <c r="AS1446" s="235" t="s">
        <v>7365</v>
      </c>
      <c r="AT1446" s="235" t="s">
        <v>17</v>
      </c>
      <c r="AU1446" s="235" t="s">
        <v>634</v>
      </c>
      <c r="AV1446" s="246" t="s">
        <v>635</v>
      </c>
      <c r="AW1446" s="242"/>
      <c r="AX1446" s="242"/>
      <c r="AY1446" s="231"/>
      <c r="AZ1446" s="231"/>
      <c r="BA1446" s="227"/>
      <c r="BB1446" s="231"/>
      <c r="BC1446" s="227"/>
      <c r="BD1446" s="227"/>
      <c r="BE1446" s="227"/>
      <c r="BF1446" s="227"/>
    </row>
    <row r="1447">
      <c r="A1447" s="235" t="s">
        <v>11658</v>
      </c>
      <c r="C1447" s="235" t="s">
        <v>11659</v>
      </c>
      <c r="D1447" s="235" t="s">
        <v>11660</v>
      </c>
      <c r="E1447" s="243">
        <v>6.55E13</v>
      </c>
      <c r="F1447" s="245"/>
      <c r="G1447" s="235" t="s">
        <v>11661</v>
      </c>
      <c r="H1447" s="235" t="s">
        <v>11662</v>
      </c>
      <c r="I1447" s="235" t="s">
        <v>11662</v>
      </c>
      <c r="J1447" s="235" t="s">
        <v>11663</v>
      </c>
      <c r="K1447" s="235" t="s">
        <v>11664</v>
      </c>
      <c r="N1447" s="235" t="s">
        <v>154</v>
      </c>
      <c r="O1447" s="235" t="s">
        <v>766</v>
      </c>
      <c r="P1447" s="238">
        <v>1.0</v>
      </c>
      <c r="Q1447" s="235" t="s">
        <v>627</v>
      </c>
      <c r="R1447" s="238">
        <v>465.71</v>
      </c>
      <c r="S1447" s="238">
        <v>23.29</v>
      </c>
      <c r="T1447" s="238">
        <v>38.1</v>
      </c>
      <c r="U1447" s="238">
        <v>1.9</v>
      </c>
      <c r="V1447" s="238">
        <v>0.0</v>
      </c>
      <c r="W1447" s="238">
        <v>0.0</v>
      </c>
      <c r="X1447" s="235" t="s">
        <v>628</v>
      </c>
      <c r="Z1447" s="244"/>
      <c r="AA1447" s="244"/>
      <c r="AB1447" s="244"/>
      <c r="AC1447" s="235" t="s">
        <v>7327</v>
      </c>
      <c r="AD1447" s="235" t="s">
        <v>1077</v>
      </c>
      <c r="AE1447" s="238">
        <v>361142.0</v>
      </c>
      <c r="AF1447" s="235" t="s">
        <v>631</v>
      </c>
      <c r="AG1447" s="244"/>
      <c r="AH1447" s="244"/>
      <c r="AI1447" s="245"/>
      <c r="AJ1447" s="245"/>
      <c r="AK1447" s="245"/>
      <c r="AL1447" s="245"/>
      <c r="AM1447" s="244"/>
      <c r="AN1447" s="244"/>
      <c r="AO1447" s="238">
        <v>0.0</v>
      </c>
      <c r="AP1447" s="238">
        <v>-38.1</v>
      </c>
      <c r="AQ1447" s="235" t="s">
        <v>632</v>
      </c>
      <c r="AR1447" s="243">
        <v>3.71E11</v>
      </c>
      <c r="AS1447" s="235" t="s">
        <v>8807</v>
      </c>
      <c r="AT1447" s="235" t="s">
        <v>17</v>
      </c>
      <c r="AU1447" s="235" t="s">
        <v>634</v>
      </c>
      <c r="AV1447" s="246" t="s">
        <v>635</v>
      </c>
      <c r="AW1447" s="242"/>
      <c r="AX1447" s="242"/>
      <c r="AY1447" s="231"/>
      <c r="AZ1447" s="231"/>
      <c r="BA1447" s="227"/>
      <c r="BB1447" s="231"/>
      <c r="BC1447" s="227"/>
      <c r="BD1447" s="227"/>
      <c r="BE1447" s="227"/>
      <c r="BF1447" s="227"/>
    </row>
    <row r="1448">
      <c r="A1448" s="235" t="s">
        <v>11665</v>
      </c>
      <c r="C1448" s="235" t="s">
        <v>11666</v>
      </c>
      <c r="D1448" s="235" t="s">
        <v>11667</v>
      </c>
      <c r="E1448" s="243">
        <v>6.55E13</v>
      </c>
      <c r="F1448" s="245"/>
      <c r="G1448" s="235" t="s">
        <v>11668</v>
      </c>
      <c r="H1448" s="235" t="s">
        <v>11669</v>
      </c>
      <c r="I1448" s="235" t="s">
        <v>11669</v>
      </c>
      <c r="J1448" s="235" t="s">
        <v>11670</v>
      </c>
      <c r="K1448" s="235" t="s">
        <v>11671</v>
      </c>
      <c r="N1448" s="235" t="s">
        <v>43</v>
      </c>
      <c r="O1448" s="235" t="s">
        <v>276</v>
      </c>
      <c r="P1448" s="238">
        <v>1.0</v>
      </c>
      <c r="Q1448" s="235" t="s">
        <v>627</v>
      </c>
      <c r="R1448" s="238">
        <v>237.14</v>
      </c>
      <c r="S1448" s="238">
        <v>11.86</v>
      </c>
      <c r="T1448" s="238">
        <v>0.0</v>
      </c>
      <c r="U1448" s="238">
        <v>0.0</v>
      </c>
      <c r="V1448" s="238">
        <v>0.0</v>
      </c>
      <c r="W1448" s="238">
        <v>0.0</v>
      </c>
      <c r="X1448" s="235" t="s">
        <v>628</v>
      </c>
      <c r="Z1448" s="244"/>
      <c r="AA1448" s="244"/>
      <c r="AB1448" s="244"/>
      <c r="AC1448" s="235" t="s">
        <v>687</v>
      </c>
      <c r="AD1448" s="235" t="s">
        <v>666</v>
      </c>
      <c r="AE1448" s="238">
        <v>600040.0</v>
      </c>
      <c r="AF1448" s="235" t="s">
        <v>631</v>
      </c>
      <c r="AG1448" s="244"/>
      <c r="AH1448" s="244"/>
      <c r="AI1448" s="245"/>
      <c r="AJ1448" s="245"/>
      <c r="AK1448" s="245"/>
      <c r="AL1448" s="245"/>
      <c r="AM1448" s="244"/>
      <c r="AN1448" s="244"/>
      <c r="AO1448" s="238">
        <v>0.0</v>
      </c>
      <c r="AP1448" s="238">
        <v>0.0</v>
      </c>
      <c r="AQ1448" s="235" t="s">
        <v>632</v>
      </c>
      <c r="AR1448" s="243">
        <v>1.68E11</v>
      </c>
      <c r="AS1448" s="235" t="s">
        <v>11672</v>
      </c>
      <c r="AT1448" s="235" t="s">
        <v>156</v>
      </c>
      <c r="AU1448" s="235" t="s">
        <v>634</v>
      </c>
      <c r="AV1448" s="246" t="s">
        <v>635</v>
      </c>
      <c r="AW1448" s="242"/>
      <c r="AX1448" s="242"/>
      <c r="AY1448" s="231"/>
      <c r="AZ1448" s="231"/>
      <c r="BA1448" s="227"/>
      <c r="BB1448" s="231"/>
      <c r="BC1448" s="227"/>
      <c r="BD1448" s="227"/>
      <c r="BE1448" s="227"/>
      <c r="BF1448" s="227"/>
    </row>
    <row r="1449">
      <c r="A1449" s="235" t="s">
        <v>11673</v>
      </c>
      <c r="C1449" s="235" t="s">
        <v>11674</v>
      </c>
      <c r="D1449" s="235" t="s">
        <v>11675</v>
      </c>
      <c r="E1449" s="243">
        <v>6.55E13</v>
      </c>
      <c r="F1449" s="245"/>
      <c r="G1449" s="235" t="s">
        <v>11676</v>
      </c>
      <c r="H1449" s="235" t="s">
        <v>11677</v>
      </c>
      <c r="I1449" s="235" t="s">
        <v>11677</v>
      </c>
      <c r="J1449" s="235" t="s">
        <v>11678</v>
      </c>
      <c r="K1449" s="235" t="s">
        <v>11679</v>
      </c>
      <c r="N1449" s="235" t="s">
        <v>154</v>
      </c>
      <c r="O1449" s="235" t="s">
        <v>766</v>
      </c>
      <c r="P1449" s="238">
        <v>1.0</v>
      </c>
      <c r="Q1449" s="235" t="s">
        <v>627</v>
      </c>
      <c r="R1449" s="238">
        <v>465.72</v>
      </c>
      <c r="S1449" s="238">
        <v>23.28</v>
      </c>
      <c r="T1449" s="238">
        <v>9.04</v>
      </c>
      <c r="U1449" s="238">
        <v>0.46</v>
      </c>
      <c r="V1449" s="238">
        <v>0.0</v>
      </c>
      <c r="W1449" s="238">
        <v>0.0</v>
      </c>
      <c r="X1449" s="235" t="s">
        <v>628</v>
      </c>
      <c r="Z1449" s="244"/>
      <c r="AA1449" s="244"/>
      <c r="AB1449" s="244"/>
      <c r="AC1449" s="235" t="s">
        <v>687</v>
      </c>
      <c r="AD1449" s="235" t="s">
        <v>666</v>
      </c>
      <c r="AE1449" s="238">
        <v>600101.0</v>
      </c>
      <c r="AF1449" s="235" t="s">
        <v>631</v>
      </c>
      <c r="AG1449" s="244"/>
      <c r="AH1449" s="244"/>
      <c r="AI1449" s="245"/>
      <c r="AJ1449" s="245"/>
      <c r="AK1449" s="245"/>
      <c r="AL1449" s="245"/>
      <c r="AM1449" s="244"/>
      <c r="AN1449" s="244"/>
      <c r="AO1449" s="238">
        <v>0.0</v>
      </c>
      <c r="AP1449" s="238">
        <v>-9.04</v>
      </c>
      <c r="AQ1449" s="235" t="s">
        <v>632</v>
      </c>
      <c r="AR1449" s="243">
        <v>1.68E11</v>
      </c>
      <c r="AS1449" s="235" t="s">
        <v>11672</v>
      </c>
      <c r="AT1449" s="235" t="s">
        <v>156</v>
      </c>
      <c r="AU1449" s="235" t="s">
        <v>634</v>
      </c>
      <c r="AV1449" s="246" t="s">
        <v>635</v>
      </c>
      <c r="AW1449" s="242"/>
      <c r="AX1449" s="242"/>
      <c r="AY1449" s="231"/>
      <c r="AZ1449" s="231"/>
      <c r="BA1449" s="227"/>
      <c r="BB1449" s="231"/>
      <c r="BC1449" s="227"/>
      <c r="BD1449" s="227"/>
      <c r="BE1449" s="227"/>
      <c r="BF1449" s="227"/>
    </row>
    <row r="1450">
      <c r="A1450" s="235" t="s">
        <v>11680</v>
      </c>
      <c r="C1450" s="235" t="s">
        <v>11681</v>
      </c>
      <c r="D1450" s="235" t="s">
        <v>11682</v>
      </c>
      <c r="E1450" s="243">
        <v>6.55E13</v>
      </c>
      <c r="F1450" s="245"/>
      <c r="G1450" s="235" t="s">
        <v>11683</v>
      </c>
      <c r="H1450" s="235" t="s">
        <v>11684</v>
      </c>
      <c r="I1450" s="235" t="s">
        <v>11684</v>
      </c>
      <c r="J1450" s="235" t="s">
        <v>11685</v>
      </c>
      <c r="K1450" s="235" t="s">
        <v>11686</v>
      </c>
      <c r="N1450" s="235" t="s">
        <v>92</v>
      </c>
      <c r="O1450" s="235" t="s">
        <v>248</v>
      </c>
      <c r="P1450" s="238">
        <v>1.0</v>
      </c>
      <c r="Q1450" s="235" t="s">
        <v>627</v>
      </c>
      <c r="R1450" s="238">
        <v>246.66</v>
      </c>
      <c r="S1450" s="238">
        <v>12.34</v>
      </c>
      <c r="T1450" s="238">
        <v>9.04</v>
      </c>
      <c r="U1450" s="238">
        <v>0.46</v>
      </c>
      <c r="V1450" s="238">
        <v>0.0</v>
      </c>
      <c r="W1450" s="238">
        <v>0.0</v>
      </c>
      <c r="X1450" s="235" t="s">
        <v>628</v>
      </c>
      <c r="Z1450" s="244"/>
      <c r="AA1450" s="244"/>
      <c r="AB1450" s="244"/>
      <c r="AC1450" s="235" t="s">
        <v>11687</v>
      </c>
      <c r="AD1450" s="235" t="s">
        <v>666</v>
      </c>
      <c r="AE1450" s="238">
        <v>600107.0</v>
      </c>
      <c r="AF1450" s="235" t="s">
        <v>631</v>
      </c>
      <c r="AG1450" s="244"/>
      <c r="AH1450" s="244"/>
      <c r="AI1450" s="245"/>
      <c r="AJ1450" s="245"/>
      <c r="AK1450" s="245"/>
      <c r="AL1450" s="245"/>
      <c r="AM1450" s="244"/>
      <c r="AN1450" s="244"/>
      <c r="AO1450" s="238">
        <v>0.0</v>
      </c>
      <c r="AP1450" s="238">
        <v>-9.04</v>
      </c>
      <c r="AQ1450" s="235" t="s">
        <v>632</v>
      </c>
      <c r="AR1450" s="243">
        <v>1.68E11</v>
      </c>
      <c r="AS1450" s="235" t="s">
        <v>11672</v>
      </c>
      <c r="AT1450" s="235" t="s">
        <v>156</v>
      </c>
      <c r="AU1450" s="235" t="s">
        <v>634</v>
      </c>
      <c r="AV1450" s="246" t="s">
        <v>635</v>
      </c>
      <c r="AW1450" s="242"/>
      <c r="AX1450" s="242"/>
      <c r="AY1450" s="231"/>
      <c r="AZ1450" s="231"/>
      <c r="BA1450" s="227"/>
      <c r="BB1450" s="231"/>
      <c r="BC1450" s="227"/>
      <c r="BD1450" s="227"/>
      <c r="BE1450" s="227"/>
      <c r="BF1450" s="227"/>
    </row>
    <row r="1451">
      <c r="A1451" s="235" t="s">
        <v>11690</v>
      </c>
      <c r="C1451" s="235" t="s">
        <v>11691</v>
      </c>
      <c r="D1451" s="235" t="s">
        <v>11692</v>
      </c>
      <c r="E1451" s="243">
        <v>6.55E13</v>
      </c>
      <c r="F1451" s="245"/>
      <c r="G1451" s="235" t="s">
        <v>11693</v>
      </c>
      <c r="H1451" s="235" t="s">
        <v>11694</v>
      </c>
      <c r="I1451" s="235" t="s">
        <v>11694</v>
      </c>
      <c r="J1451" s="235" t="s">
        <v>11695</v>
      </c>
      <c r="K1451" s="235" t="s">
        <v>11696</v>
      </c>
      <c r="N1451" s="235" t="s">
        <v>85</v>
      </c>
      <c r="O1451" s="235" t="s">
        <v>872</v>
      </c>
      <c r="P1451" s="238">
        <v>1.0</v>
      </c>
      <c r="Q1451" s="235" t="s">
        <v>627</v>
      </c>
      <c r="R1451" s="238">
        <v>246.67</v>
      </c>
      <c r="S1451" s="238">
        <v>12.33</v>
      </c>
      <c r="T1451" s="238">
        <v>38.1</v>
      </c>
      <c r="U1451" s="238">
        <v>1.9</v>
      </c>
      <c r="V1451" s="238">
        <v>0.0</v>
      </c>
      <c r="W1451" s="238">
        <v>0.0</v>
      </c>
      <c r="X1451" s="235" t="s">
        <v>628</v>
      </c>
      <c r="Z1451" s="244"/>
      <c r="AA1451" s="244"/>
      <c r="AB1451" s="244"/>
      <c r="AC1451" s="235" t="s">
        <v>2260</v>
      </c>
      <c r="AD1451" s="235" t="s">
        <v>630</v>
      </c>
      <c r="AE1451" s="238">
        <v>273005.0</v>
      </c>
      <c r="AF1451" s="235" t="s">
        <v>631</v>
      </c>
      <c r="AG1451" s="244"/>
      <c r="AH1451" s="244"/>
      <c r="AI1451" s="245"/>
      <c r="AJ1451" s="245"/>
      <c r="AK1451" s="245"/>
      <c r="AL1451" s="245"/>
      <c r="AM1451" s="244"/>
      <c r="AN1451" s="244"/>
      <c r="AO1451" s="238">
        <v>0.0</v>
      </c>
      <c r="AP1451" s="238">
        <v>-38.1</v>
      </c>
      <c r="AQ1451" s="235" t="s">
        <v>632</v>
      </c>
      <c r="AR1451" s="243">
        <v>1.68E11</v>
      </c>
      <c r="AS1451" s="235" t="s">
        <v>8807</v>
      </c>
      <c r="AT1451" s="235" t="s">
        <v>14</v>
      </c>
      <c r="AU1451" s="235" t="s">
        <v>634</v>
      </c>
      <c r="AV1451" s="246" t="s">
        <v>635</v>
      </c>
      <c r="AW1451" s="242"/>
      <c r="AX1451" s="242"/>
      <c r="AY1451" s="231"/>
      <c r="AZ1451" s="231"/>
      <c r="BA1451" s="227"/>
      <c r="BB1451" s="231"/>
      <c r="BC1451" s="227"/>
      <c r="BD1451" s="227"/>
      <c r="BE1451" s="227"/>
      <c r="BF1451" s="227"/>
    </row>
    <row r="1452">
      <c r="A1452" s="235" t="s">
        <v>11697</v>
      </c>
      <c r="C1452" s="235" t="s">
        <v>11698</v>
      </c>
      <c r="D1452" s="235" t="s">
        <v>11699</v>
      </c>
      <c r="E1452" s="243">
        <v>6.55E13</v>
      </c>
      <c r="F1452" s="245"/>
      <c r="G1452" s="235" t="s">
        <v>11700</v>
      </c>
      <c r="H1452" s="235" t="s">
        <v>11701</v>
      </c>
      <c r="I1452" s="235" t="s">
        <v>11701</v>
      </c>
      <c r="J1452" s="235" t="s">
        <v>11702</v>
      </c>
      <c r="K1452" s="235" t="s">
        <v>11703</v>
      </c>
      <c r="N1452" s="235" t="s">
        <v>43</v>
      </c>
      <c r="O1452" s="235" t="s">
        <v>276</v>
      </c>
      <c r="P1452" s="238">
        <v>1.0</v>
      </c>
      <c r="Q1452" s="235" t="s">
        <v>627</v>
      </c>
      <c r="R1452" s="238">
        <v>237.14</v>
      </c>
      <c r="S1452" s="238">
        <v>11.86</v>
      </c>
      <c r="T1452" s="238">
        <v>0.0</v>
      </c>
      <c r="U1452" s="238">
        <v>0.0</v>
      </c>
      <c r="V1452" s="238">
        <v>0.0</v>
      </c>
      <c r="W1452" s="238">
        <v>0.0</v>
      </c>
      <c r="X1452" s="235" t="s">
        <v>628</v>
      </c>
      <c r="Z1452" s="244"/>
      <c r="AA1452" s="244"/>
      <c r="AB1452" s="244"/>
      <c r="AC1452" s="235" t="s">
        <v>687</v>
      </c>
      <c r="AD1452" s="235" t="s">
        <v>666</v>
      </c>
      <c r="AE1452" s="238">
        <v>600002.0</v>
      </c>
      <c r="AF1452" s="235" t="s">
        <v>631</v>
      </c>
      <c r="AG1452" s="244"/>
      <c r="AH1452" s="244"/>
      <c r="AI1452" s="245"/>
      <c r="AJ1452" s="245"/>
      <c r="AK1452" s="245"/>
      <c r="AL1452" s="245"/>
      <c r="AM1452" s="244"/>
      <c r="AN1452" s="244"/>
      <c r="AO1452" s="238">
        <v>0.0</v>
      </c>
      <c r="AP1452" s="238">
        <v>0.0</v>
      </c>
      <c r="AQ1452" s="235" t="s">
        <v>632</v>
      </c>
      <c r="AR1452" s="243">
        <v>1.68E11</v>
      </c>
      <c r="AS1452" s="235" t="s">
        <v>11672</v>
      </c>
      <c r="AT1452" s="235" t="s">
        <v>156</v>
      </c>
      <c r="AU1452" s="235" t="s">
        <v>634</v>
      </c>
      <c r="AV1452" s="246" t="s">
        <v>635</v>
      </c>
      <c r="AW1452" s="242"/>
      <c r="AX1452" s="242"/>
      <c r="AY1452" s="231"/>
      <c r="AZ1452" s="231"/>
      <c r="BA1452" s="227"/>
      <c r="BB1452" s="231"/>
      <c r="BC1452" s="227"/>
      <c r="BD1452" s="227"/>
      <c r="BE1452" s="227"/>
      <c r="BF1452" s="227"/>
    </row>
    <row r="1453">
      <c r="A1453" s="235" t="s">
        <v>11704</v>
      </c>
      <c r="C1453" s="235" t="s">
        <v>11705</v>
      </c>
      <c r="D1453" s="235" t="s">
        <v>11706</v>
      </c>
      <c r="E1453" s="243">
        <v>6.55E13</v>
      </c>
      <c r="F1453" s="245"/>
      <c r="G1453" s="235" t="s">
        <v>11707</v>
      </c>
      <c r="H1453" s="235" t="s">
        <v>11708</v>
      </c>
      <c r="I1453" s="235" t="s">
        <v>11708</v>
      </c>
      <c r="J1453" s="235" t="s">
        <v>11709</v>
      </c>
      <c r="K1453" s="235" t="s">
        <v>11710</v>
      </c>
      <c r="N1453" s="235" t="s">
        <v>141</v>
      </c>
      <c r="O1453" s="235" t="s">
        <v>342</v>
      </c>
      <c r="P1453" s="238">
        <v>1.0</v>
      </c>
      <c r="Q1453" s="235" t="s">
        <v>627</v>
      </c>
      <c r="R1453" s="238">
        <v>242.86</v>
      </c>
      <c r="S1453" s="238">
        <v>12.14</v>
      </c>
      <c r="T1453" s="238">
        <v>0.0</v>
      </c>
      <c r="U1453" s="238">
        <v>0.0</v>
      </c>
      <c r="V1453" s="238">
        <v>0.0</v>
      </c>
      <c r="W1453" s="238">
        <v>0.0</v>
      </c>
      <c r="X1453" s="235" t="s">
        <v>628</v>
      </c>
      <c r="Z1453" s="244"/>
      <c r="AA1453" s="244"/>
      <c r="AB1453" s="244"/>
      <c r="AC1453" s="235" t="s">
        <v>11711</v>
      </c>
      <c r="AD1453" s="235" t="s">
        <v>731</v>
      </c>
      <c r="AE1453" s="238">
        <v>786182.0</v>
      </c>
      <c r="AF1453" s="235" t="s">
        <v>631</v>
      </c>
      <c r="AG1453" s="244"/>
      <c r="AH1453" s="244"/>
      <c r="AI1453" s="245"/>
      <c r="AJ1453" s="245"/>
      <c r="AK1453" s="245"/>
      <c r="AL1453" s="245"/>
      <c r="AM1453" s="244"/>
      <c r="AN1453" s="244"/>
      <c r="AO1453" s="238">
        <v>0.0</v>
      </c>
      <c r="AP1453" s="238">
        <v>0.0</v>
      </c>
      <c r="AQ1453" s="235" t="s">
        <v>632</v>
      </c>
      <c r="AR1453" s="243">
        <v>3.71E11</v>
      </c>
      <c r="AS1453" s="235" t="s">
        <v>4697</v>
      </c>
      <c r="AT1453" s="235" t="s">
        <v>533</v>
      </c>
      <c r="AU1453" s="235" t="s">
        <v>634</v>
      </c>
      <c r="AV1453" s="246" t="s">
        <v>635</v>
      </c>
      <c r="AW1453" s="242"/>
      <c r="AX1453" s="242"/>
      <c r="AY1453" s="231"/>
      <c r="AZ1453" s="231"/>
      <c r="BA1453" s="227"/>
      <c r="BB1453" s="231"/>
      <c r="BC1453" s="227"/>
      <c r="BD1453" s="227"/>
      <c r="BE1453" s="227"/>
      <c r="BF1453" s="227"/>
    </row>
    <row r="1454">
      <c r="A1454" s="235" t="s">
        <v>11712</v>
      </c>
      <c r="C1454" s="235" t="s">
        <v>11713</v>
      </c>
      <c r="D1454" s="235" t="s">
        <v>11714</v>
      </c>
      <c r="E1454" s="243">
        <v>6.55E13</v>
      </c>
      <c r="F1454" s="245"/>
      <c r="G1454" s="235" t="s">
        <v>11715</v>
      </c>
      <c r="H1454" s="235" t="s">
        <v>11716</v>
      </c>
      <c r="I1454" s="235" t="s">
        <v>11716</v>
      </c>
      <c r="J1454" s="235" t="s">
        <v>11717</v>
      </c>
      <c r="K1454" s="235" t="s">
        <v>11718</v>
      </c>
      <c r="N1454" s="235" t="s">
        <v>154</v>
      </c>
      <c r="O1454" s="235" t="s">
        <v>766</v>
      </c>
      <c r="P1454" s="238">
        <v>1.0</v>
      </c>
      <c r="Q1454" s="235" t="s">
        <v>627</v>
      </c>
      <c r="R1454" s="238">
        <v>465.72</v>
      </c>
      <c r="S1454" s="238">
        <v>23.28</v>
      </c>
      <c r="T1454" s="238">
        <v>9.04</v>
      </c>
      <c r="U1454" s="238">
        <v>0.46</v>
      </c>
      <c r="V1454" s="238">
        <v>0.0</v>
      </c>
      <c r="W1454" s="238">
        <v>0.0</v>
      </c>
      <c r="X1454" s="235" t="s">
        <v>628</v>
      </c>
      <c r="Z1454" s="244"/>
      <c r="AA1454" s="244"/>
      <c r="AB1454" s="244"/>
      <c r="AC1454" s="235" t="s">
        <v>678</v>
      </c>
      <c r="AD1454" s="235" t="s">
        <v>679</v>
      </c>
      <c r="AE1454" s="238">
        <v>560037.0</v>
      </c>
      <c r="AF1454" s="235" t="s">
        <v>631</v>
      </c>
      <c r="AG1454" s="244"/>
      <c r="AH1454" s="244"/>
      <c r="AI1454" s="245"/>
      <c r="AJ1454" s="245"/>
      <c r="AK1454" s="245"/>
      <c r="AL1454" s="245"/>
      <c r="AM1454" s="244"/>
      <c r="AN1454" s="244"/>
      <c r="AO1454" s="238">
        <v>0.0</v>
      </c>
      <c r="AP1454" s="238">
        <v>-9.04</v>
      </c>
      <c r="AQ1454" s="235" t="s">
        <v>632</v>
      </c>
      <c r="AR1454" s="243">
        <v>1.68E11</v>
      </c>
      <c r="AS1454" s="235" t="s">
        <v>11672</v>
      </c>
      <c r="AT1454" s="235" t="s">
        <v>11</v>
      </c>
      <c r="AU1454" s="235" t="s">
        <v>634</v>
      </c>
      <c r="AV1454" s="246" t="s">
        <v>635</v>
      </c>
      <c r="AW1454" s="242"/>
      <c r="AX1454" s="242"/>
      <c r="AY1454" s="231"/>
      <c r="AZ1454" s="231"/>
      <c r="BA1454" s="227"/>
      <c r="BB1454" s="231"/>
      <c r="BC1454" s="227"/>
      <c r="BD1454" s="227"/>
      <c r="BE1454" s="227"/>
      <c r="BF1454" s="227"/>
    </row>
    <row r="1455">
      <c r="A1455" s="235" t="s">
        <v>11719</v>
      </c>
      <c r="C1455" s="235" t="s">
        <v>11720</v>
      </c>
      <c r="D1455" s="235" t="s">
        <v>11721</v>
      </c>
      <c r="E1455" s="243">
        <v>6.55E13</v>
      </c>
      <c r="F1455" s="245"/>
      <c r="G1455" s="235" t="s">
        <v>11722</v>
      </c>
      <c r="H1455" s="235" t="s">
        <v>11723</v>
      </c>
      <c r="I1455" s="235" t="s">
        <v>11723</v>
      </c>
      <c r="J1455" s="235" t="s">
        <v>11724</v>
      </c>
      <c r="K1455" s="235" t="s">
        <v>11725</v>
      </c>
      <c r="N1455" s="235" t="s">
        <v>42</v>
      </c>
      <c r="O1455" s="235" t="s">
        <v>204</v>
      </c>
      <c r="P1455" s="238">
        <v>1.0</v>
      </c>
      <c r="Q1455" s="235" t="s">
        <v>627</v>
      </c>
      <c r="R1455" s="238">
        <v>237.14</v>
      </c>
      <c r="S1455" s="238">
        <v>11.86</v>
      </c>
      <c r="T1455" s="238">
        <v>38.1</v>
      </c>
      <c r="U1455" s="238">
        <v>1.9</v>
      </c>
      <c r="V1455" s="238">
        <v>0.0</v>
      </c>
      <c r="W1455" s="238">
        <v>0.0</v>
      </c>
      <c r="X1455" s="235" t="s">
        <v>628</v>
      </c>
      <c r="Z1455" s="244"/>
      <c r="AA1455" s="244"/>
      <c r="AB1455" s="244"/>
      <c r="AC1455" s="235" t="s">
        <v>2657</v>
      </c>
      <c r="AD1455" s="235" t="s">
        <v>833</v>
      </c>
      <c r="AE1455" s="238">
        <v>534001.0</v>
      </c>
      <c r="AF1455" s="235" t="s">
        <v>631</v>
      </c>
      <c r="AG1455" s="244"/>
      <c r="AH1455" s="244"/>
      <c r="AI1455" s="245"/>
      <c r="AJ1455" s="245"/>
      <c r="AK1455" s="245"/>
      <c r="AL1455" s="245"/>
      <c r="AM1455" s="244"/>
      <c r="AN1455" s="244"/>
      <c r="AO1455" s="238">
        <v>0.0</v>
      </c>
      <c r="AP1455" s="238">
        <v>-38.1</v>
      </c>
      <c r="AQ1455" s="235" t="s">
        <v>632</v>
      </c>
      <c r="AR1455" s="243">
        <v>3.71E11</v>
      </c>
      <c r="AS1455" s="235" t="s">
        <v>8807</v>
      </c>
      <c r="AT1455" s="235" t="s">
        <v>156</v>
      </c>
      <c r="AU1455" s="235" t="s">
        <v>634</v>
      </c>
      <c r="AV1455" s="246" t="s">
        <v>635</v>
      </c>
      <c r="AW1455" s="242"/>
      <c r="AX1455" s="242"/>
      <c r="AY1455" s="231"/>
      <c r="AZ1455" s="231"/>
      <c r="BA1455" s="227"/>
      <c r="BB1455" s="231"/>
      <c r="BC1455" s="227"/>
      <c r="BD1455" s="227"/>
      <c r="BE1455" s="227"/>
      <c r="BF1455" s="227"/>
    </row>
    <row r="1456">
      <c r="A1456" s="235" t="s">
        <v>11726</v>
      </c>
      <c r="C1456" s="235" t="s">
        <v>11727</v>
      </c>
      <c r="D1456" s="235" t="s">
        <v>11728</v>
      </c>
      <c r="E1456" s="243">
        <v>6.55E13</v>
      </c>
      <c r="F1456" s="245"/>
      <c r="G1456" s="235" t="s">
        <v>11729</v>
      </c>
      <c r="H1456" s="235" t="s">
        <v>11730</v>
      </c>
      <c r="I1456" s="235" t="s">
        <v>11730</v>
      </c>
      <c r="J1456" s="235" t="s">
        <v>11731</v>
      </c>
      <c r="K1456" s="235" t="s">
        <v>11732</v>
      </c>
      <c r="N1456" s="235" t="s">
        <v>68</v>
      </c>
      <c r="O1456" s="235" t="s">
        <v>208</v>
      </c>
      <c r="P1456" s="238">
        <v>1.0</v>
      </c>
      <c r="Q1456" s="235" t="s">
        <v>627</v>
      </c>
      <c r="R1456" s="238">
        <v>246.67</v>
      </c>
      <c r="S1456" s="238">
        <v>12.08</v>
      </c>
      <c r="T1456" s="238">
        <v>0.0</v>
      </c>
      <c r="U1456" s="238">
        <v>0.0</v>
      </c>
      <c r="V1456" s="238">
        <v>0.0</v>
      </c>
      <c r="W1456" s="238">
        <v>0.0</v>
      </c>
      <c r="X1456" s="235" t="s">
        <v>628</v>
      </c>
      <c r="Z1456" s="244"/>
      <c r="AA1456" s="244"/>
      <c r="AB1456" s="244"/>
      <c r="AC1456" s="235" t="s">
        <v>795</v>
      </c>
      <c r="AD1456" s="235" t="s">
        <v>796</v>
      </c>
      <c r="AE1456" s="238">
        <v>110059.0</v>
      </c>
      <c r="AF1456" s="235" t="s">
        <v>631</v>
      </c>
      <c r="AG1456" s="244"/>
      <c r="AH1456" s="244"/>
      <c r="AI1456" s="245"/>
      <c r="AJ1456" s="245"/>
      <c r="AK1456" s="245"/>
      <c r="AL1456" s="245"/>
      <c r="AM1456" s="244"/>
      <c r="AN1456" s="244"/>
      <c r="AO1456" s="238">
        <v>-4.93</v>
      </c>
      <c r="AP1456" s="238">
        <v>0.0</v>
      </c>
      <c r="AQ1456" s="235" t="s">
        <v>632</v>
      </c>
      <c r="AR1456" s="243">
        <v>1.68E11</v>
      </c>
      <c r="AS1456" s="235" t="s">
        <v>11672</v>
      </c>
      <c r="AT1456" s="235" t="s">
        <v>14</v>
      </c>
      <c r="AU1456" s="235" t="s">
        <v>634</v>
      </c>
      <c r="AV1456" s="246" t="s">
        <v>635</v>
      </c>
      <c r="AW1456" s="242"/>
      <c r="AX1456" s="242"/>
      <c r="AY1456" s="231"/>
      <c r="AZ1456" s="231"/>
      <c r="BA1456" s="227"/>
      <c r="BB1456" s="231"/>
      <c r="BC1456" s="227"/>
      <c r="BD1456" s="227"/>
      <c r="BE1456" s="227"/>
      <c r="BF1456" s="227"/>
    </row>
    <row r="1457">
      <c r="A1457" s="235" t="s">
        <v>11733</v>
      </c>
      <c r="C1457" s="235" t="s">
        <v>11734</v>
      </c>
      <c r="D1457" s="235" t="s">
        <v>11735</v>
      </c>
      <c r="E1457" s="243">
        <v>6.55E13</v>
      </c>
      <c r="F1457" s="245"/>
      <c r="G1457" s="235" t="s">
        <v>11736</v>
      </c>
      <c r="H1457" s="235" t="s">
        <v>11737</v>
      </c>
      <c r="I1457" s="235" t="s">
        <v>11737</v>
      </c>
      <c r="J1457" s="235" t="s">
        <v>11738</v>
      </c>
      <c r="K1457" s="235" t="s">
        <v>11739</v>
      </c>
      <c r="N1457" s="235" t="s">
        <v>92</v>
      </c>
      <c r="O1457" s="235" t="s">
        <v>248</v>
      </c>
      <c r="P1457" s="238">
        <v>1.0</v>
      </c>
      <c r="Q1457" s="235" t="s">
        <v>627</v>
      </c>
      <c r="R1457" s="238">
        <v>246.67</v>
      </c>
      <c r="S1457" s="238">
        <v>12.33</v>
      </c>
      <c r="T1457" s="238">
        <v>38.1</v>
      </c>
      <c r="U1457" s="238">
        <v>1.9</v>
      </c>
      <c r="V1457" s="238">
        <v>0.0</v>
      </c>
      <c r="W1457" s="238">
        <v>0.0</v>
      </c>
      <c r="X1457" s="235" t="s">
        <v>628</v>
      </c>
      <c r="Z1457" s="244"/>
      <c r="AA1457" s="244"/>
      <c r="AB1457" s="244"/>
      <c r="AC1457" s="235" t="s">
        <v>11740</v>
      </c>
      <c r="AD1457" s="235" t="s">
        <v>1077</v>
      </c>
      <c r="AE1457" s="238">
        <v>385535.0</v>
      </c>
      <c r="AF1457" s="235" t="s">
        <v>631</v>
      </c>
      <c r="AG1457" s="244"/>
      <c r="AH1457" s="244"/>
      <c r="AI1457" s="245"/>
      <c r="AJ1457" s="245"/>
      <c r="AK1457" s="245"/>
      <c r="AL1457" s="245"/>
      <c r="AM1457" s="244"/>
      <c r="AN1457" s="244"/>
      <c r="AO1457" s="238">
        <v>0.0</v>
      </c>
      <c r="AP1457" s="238">
        <v>-38.1</v>
      </c>
      <c r="AQ1457" s="235" t="s">
        <v>632</v>
      </c>
      <c r="AR1457" s="243">
        <v>3.71E11</v>
      </c>
      <c r="AS1457" s="235" t="s">
        <v>8807</v>
      </c>
      <c r="AT1457" s="235" t="s">
        <v>17</v>
      </c>
      <c r="AU1457" s="235" t="s">
        <v>634</v>
      </c>
      <c r="AV1457" s="246" t="s">
        <v>635</v>
      </c>
      <c r="AW1457" s="242"/>
      <c r="AX1457" s="242"/>
      <c r="AY1457" s="231"/>
      <c r="AZ1457" s="231"/>
      <c r="BA1457" s="227"/>
      <c r="BB1457" s="231"/>
      <c r="BC1457" s="227"/>
      <c r="BD1457" s="227"/>
      <c r="BE1457" s="227"/>
      <c r="BF1457" s="227"/>
    </row>
    <row r="1458">
      <c r="A1458" s="235" t="s">
        <v>11741</v>
      </c>
      <c r="C1458" s="235" t="s">
        <v>11742</v>
      </c>
      <c r="D1458" s="235" t="s">
        <v>11743</v>
      </c>
      <c r="E1458" s="243">
        <v>6.55E13</v>
      </c>
      <c r="F1458" s="245"/>
      <c r="G1458" s="235" t="s">
        <v>11744</v>
      </c>
      <c r="H1458" s="235" t="s">
        <v>11745</v>
      </c>
      <c r="I1458" s="235" t="s">
        <v>11746</v>
      </c>
      <c r="J1458" s="235" t="s">
        <v>11747</v>
      </c>
      <c r="K1458" s="235" t="s">
        <v>11748</v>
      </c>
      <c r="N1458" s="235" t="s">
        <v>71</v>
      </c>
      <c r="O1458" s="235" t="s">
        <v>240</v>
      </c>
      <c r="P1458" s="238">
        <v>1.0</v>
      </c>
      <c r="Q1458" s="235" t="s">
        <v>627</v>
      </c>
      <c r="R1458" s="238">
        <v>246.67</v>
      </c>
      <c r="S1458" s="238">
        <v>12.33</v>
      </c>
      <c r="T1458" s="238">
        <v>18.1</v>
      </c>
      <c r="U1458" s="238">
        <v>0.9</v>
      </c>
      <c r="V1458" s="238">
        <v>0.0</v>
      </c>
      <c r="W1458" s="238">
        <v>0.0</v>
      </c>
      <c r="X1458" s="235" t="s">
        <v>628</v>
      </c>
      <c r="Z1458" s="244"/>
      <c r="AA1458" s="244"/>
      <c r="AB1458" s="244"/>
      <c r="AC1458" s="235" t="s">
        <v>4139</v>
      </c>
      <c r="AD1458" s="235" t="s">
        <v>796</v>
      </c>
      <c r="AE1458" s="238">
        <v>110010.0</v>
      </c>
      <c r="AF1458" s="235" t="s">
        <v>631</v>
      </c>
      <c r="AG1458" s="244"/>
      <c r="AH1458" s="244"/>
      <c r="AI1458" s="245"/>
      <c r="AJ1458" s="245"/>
      <c r="AK1458" s="245"/>
      <c r="AL1458" s="245"/>
      <c r="AM1458" s="244"/>
      <c r="AN1458" s="244"/>
      <c r="AO1458" s="238">
        <v>0.0</v>
      </c>
      <c r="AP1458" s="238">
        <v>-18.1</v>
      </c>
      <c r="AQ1458" s="235" t="s">
        <v>632</v>
      </c>
      <c r="AR1458" s="243">
        <v>1.68E11</v>
      </c>
      <c r="AS1458" s="235" t="s">
        <v>11672</v>
      </c>
      <c r="AT1458" s="235" t="s">
        <v>14</v>
      </c>
      <c r="AU1458" s="235" t="s">
        <v>634</v>
      </c>
      <c r="AV1458" s="246" t="s">
        <v>635</v>
      </c>
      <c r="AW1458" s="242"/>
      <c r="AX1458" s="242"/>
      <c r="AY1458" s="231"/>
      <c r="AZ1458" s="231"/>
      <c r="BA1458" s="227"/>
      <c r="BB1458" s="231"/>
      <c r="BC1458" s="227"/>
      <c r="BD1458" s="227"/>
      <c r="BE1458" s="227"/>
      <c r="BF1458" s="227"/>
    </row>
    <row r="1459">
      <c r="A1459" s="235" t="s">
        <v>11749</v>
      </c>
      <c r="C1459" s="235" t="s">
        <v>11750</v>
      </c>
      <c r="D1459" s="235" t="s">
        <v>11751</v>
      </c>
      <c r="E1459" s="243">
        <v>6.55E13</v>
      </c>
      <c r="F1459" s="245"/>
      <c r="G1459" s="235" t="s">
        <v>11752</v>
      </c>
      <c r="H1459" s="235" t="s">
        <v>11753</v>
      </c>
      <c r="I1459" s="235" t="s">
        <v>11753</v>
      </c>
      <c r="J1459" s="235" t="s">
        <v>11754</v>
      </c>
      <c r="K1459" s="235" t="s">
        <v>11755</v>
      </c>
      <c r="N1459" s="235" t="s">
        <v>154</v>
      </c>
      <c r="O1459" s="235" t="s">
        <v>766</v>
      </c>
      <c r="P1459" s="238">
        <v>1.0</v>
      </c>
      <c r="Q1459" s="235" t="s">
        <v>627</v>
      </c>
      <c r="R1459" s="238">
        <v>465.72</v>
      </c>
      <c r="S1459" s="238">
        <v>22.82</v>
      </c>
      <c r="T1459" s="238">
        <v>0.0</v>
      </c>
      <c r="U1459" s="238">
        <v>0.0</v>
      </c>
      <c r="V1459" s="238">
        <v>0.0</v>
      </c>
      <c r="W1459" s="238">
        <v>0.0</v>
      </c>
      <c r="X1459" s="235" t="s">
        <v>628</v>
      </c>
      <c r="Z1459" s="244"/>
      <c r="AA1459" s="244"/>
      <c r="AB1459" s="244"/>
      <c r="AC1459" s="235" t="s">
        <v>678</v>
      </c>
      <c r="AD1459" s="235" t="s">
        <v>679</v>
      </c>
      <c r="AE1459" s="238">
        <v>560064.0</v>
      </c>
      <c r="AF1459" s="235" t="s">
        <v>631</v>
      </c>
      <c r="AG1459" s="244"/>
      <c r="AH1459" s="244"/>
      <c r="AI1459" s="245"/>
      <c r="AJ1459" s="245"/>
      <c r="AK1459" s="245"/>
      <c r="AL1459" s="245"/>
      <c r="AM1459" s="244"/>
      <c r="AN1459" s="244"/>
      <c r="AO1459" s="238">
        <v>-9.32</v>
      </c>
      <c r="AP1459" s="238">
        <v>0.0</v>
      </c>
      <c r="AQ1459" s="235" t="s">
        <v>632</v>
      </c>
      <c r="AR1459" s="243">
        <v>1.68E11</v>
      </c>
      <c r="AS1459" s="235" t="s">
        <v>11672</v>
      </c>
      <c r="AT1459" s="235" t="s">
        <v>11</v>
      </c>
      <c r="AU1459" s="235" t="s">
        <v>634</v>
      </c>
      <c r="AV1459" s="246" t="s">
        <v>635</v>
      </c>
      <c r="AW1459" s="242"/>
      <c r="AX1459" s="242"/>
      <c r="AY1459" s="231"/>
      <c r="AZ1459" s="231"/>
      <c r="BA1459" s="227"/>
      <c r="BB1459" s="231"/>
      <c r="BC1459" s="227"/>
      <c r="BD1459" s="227"/>
      <c r="BE1459" s="227"/>
      <c r="BF1459" s="227"/>
    </row>
    <row r="1460">
      <c r="A1460" s="235" t="s">
        <v>11756</v>
      </c>
      <c r="C1460" s="235" t="s">
        <v>11757</v>
      </c>
      <c r="D1460" s="235" t="s">
        <v>11758</v>
      </c>
      <c r="E1460" s="243">
        <v>6.55E13</v>
      </c>
      <c r="F1460" s="245"/>
      <c r="G1460" s="235" t="s">
        <v>11759</v>
      </c>
      <c r="H1460" s="235" t="s">
        <v>11760</v>
      </c>
      <c r="I1460" s="235" t="s">
        <v>11760</v>
      </c>
      <c r="J1460" s="235" t="s">
        <v>11761</v>
      </c>
      <c r="K1460" s="235" t="s">
        <v>11762</v>
      </c>
      <c r="N1460" s="235" t="s">
        <v>6</v>
      </c>
      <c r="O1460" s="235" t="s">
        <v>806</v>
      </c>
      <c r="P1460" s="238">
        <v>1.0</v>
      </c>
      <c r="Q1460" s="235" t="s">
        <v>627</v>
      </c>
      <c r="R1460" s="238">
        <v>265.72</v>
      </c>
      <c r="S1460" s="238">
        <v>12.88</v>
      </c>
      <c r="T1460" s="238">
        <v>0.0</v>
      </c>
      <c r="U1460" s="238">
        <v>0.0</v>
      </c>
      <c r="V1460" s="238">
        <v>0.0</v>
      </c>
      <c r="W1460" s="238">
        <v>0.0</v>
      </c>
      <c r="X1460" s="235" t="s">
        <v>628</v>
      </c>
      <c r="Z1460" s="244"/>
      <c r="AA1460" s="244"/>
      <c r="AB1460" s="244"/>
      <c r="AC1460" s="235" t="s">
        <v>1206</v>
      </c>
      <c r="AD1460" s="235" t="s">
        <v>679</v>
      </c>
      <c r="AE1460" s="238">
        <v>560090.0</v>
      </c>
      <c r="AF1460" s="235" t="s">
        <v>631</v>
      </c>
      <c r="AG1460" s="244"/>
      <c r="AH1460" s="244"/>
      <c r="AI1460" s="245"/>
      <c r="AJ1460" s="245"/>
      <c r="AK1460" s="245"/>
      <c r="AL1460" s="245"/>
      <c r="AM1460" s="244"/>
      <c r="AN1460" s="244"/>
      <c r="AO1460" s="238">
        <v>-7.97</v>
      </c>
      <c r="AP1460" s="238">
        <v>0.0</v>
      </c>
      <c r="AQ1460" s="235" t="s">
        <v>632</v>
      </c>
      <c r="AR1460" s="243">
        <v>3.71E11</v>
      </c>
      <c r="AS1460" s="235" t="s">
        <v>11171</v>
      </c>
      <c r="AT1460" s="235" t="s">
        <v>11</v>
      </c>
      <c r="AU1460" s="235" t="s">
        <v>634</v>
      </c>
      <c r="AV1460" s="246" t="s">
        <v>635</v>
      </c>
      <c r="AW1460" s="242"/>
      <c r="AX1460" s="242"/>
      <c r="AY1460" s="231"/>
      <c r="AZ1460" s="231"/>
      <c r="BA1460" s="227"/>
      <c r="BB1460" s="231"/>
      <c r="BC1460" s="227"/>
      <c r="BD1460" s="227"/>
      <c r="BE1460" s="227"/>
      <c r="BF1460" s="227"/>
    </row>
    <row r="1461">
      <c r="A1461" s="235" t="s">
        <v>11756</v>
      </c>
      <c r="C1461" s="235" t="s">
        <v>11757</v>
      </c>
      <c r="D1461" s="235" t="s">
        <v>11763</v>
      </c>
      <c r="E1461" s="243">
        <v>6.55E13</v>
      </c>
      <c r="F1461" s="245"/>
      <c r="G1461" s="235" t="s">
        <v>11759</v>
      </c>
      <c r="H1461" s="235" t="s">
        <v>11760</v>
      </c>
      <c r="I1461" s="235" t="s">
        <v>11760</v>
      </c>
      <c r="J1461" s="235" t="s">
        <v>11761</v>
      </c>
      <c r="K1461" s="235" t="s">
        <v>11762</v>
      </c>
      <c r="N1461" s="235" t="s">
        <v>3</v>
      </c>
      <c r="O1461" s="235" t="s">
        <v>654</v>
      </c>
      <c r="P1461" s="238">
        <v>1.0</v>
      </c>
      <c r="Q1461" s="235" t="s">
        <v>627</v>
      </c>
      <c r="R1461" s="238">
        <v>265.72</v>
      </c>
      <c r="S1461" s="238">
        <v>12.88</v>
      </c>
      <c r="T1461" s="238">
        <v>0.0</v>
      </c>
      <c r="U1461" s="238">
        <v>0.0</v>
      </c>
      <c r="V1461" s="238">
        <v>0.0</v>
      </c>
      <c r="W1461" s="238">
        <v>0.0</v>
      </c>
      <c r="X1461" s="235" t="s">
        <v>628</v>
      </c>
      <c r="Z1461" s="244"/>
      <c r="AA1461" s="244"/>
      <c r="AB1461" s="244"/>
      <c r="AC1461" s="235" t="s">
        <v>1206</v>
      </c>
      <c r="AD1461" s="235" t="s">
        <v>679</v>
      </c>
      <c r="AE1461" s="238">
        <v>560090.0</v>
      </c>
      <c r="AF1461" s="235" t="s">
        <v>631</v>
      </c>
      <c r="AG1461" s="244"/>
      <c r="AH1461" s="244"/>
      <c r="AI1461" s="245"/>
      <c r="AJ1461" s="245"/>
      <c r="AK1461" s="245"/>
      <c r="AL1461" s="245"/>
      <c r="AM1461" s="244"/>
      <c r="AN1461" s="244"/>
      <c r="AO1461" s="238">
        <v>-7.97</v>
      </c>
      <c r="AP1461" s="238">
        <v>0.0</v>
      </c>
      <c r="AQ1461" s="235" t="s">
        <v>632</v>
      </c>
      <c r="AR1461" s="243">
        <v>3.71E11</v>
      </c>
      <c r="AS1461" s="235" t="s">
        <v>11171</v>
      </c>
      <c r="AT1461" s="235" t="s">
        <v>11</v>
      </c>
      <c r="AU1461" s="235" t="s">
        <v>634</v>
      </c>
      <c r="AV1461" s="246" t="s">
        <v>635</v>
      </c>
      <c r="AW1461" s="242"/>
      <c r="AX1461" s="242"/>
      <c r="AY1461" s="231"/>
      <c r="AZ1461" s="231"/>
      <c r="BA1461" s="227"/>
      <c r="BB1461" s="231"/>
      <c r="BC1461" s="227"/>
      <c r="BD1461" s="227"/>
      <c r="BE1461" s="227"/>
      <c r="BF1461" s="227"/>
    </row>
    <row r="1462">
      <c r="A1462" s="235" t="s">
        <v>11764</v>
      </c>
      <c r="C1462" s="235" t="s">
        <v>11765</v>
      </c>
      <c r="D1462" s="235" t="s">
        <v>11766</v>
      </c>
      <c r="E1462" s="243">
        <v>6.55E13</v>
      </c>
      <c r="F1462" s="245"/>
      <c r="G1462" s="235" t="s">
        <v>11767</v>
      </c>
      <c r="H1462" s="235" t="s">
        <v>11768</v>
      </c>
      <c r="I1462" s="235" t="s">
        <v>11769</v>
      </c>
      <c r="J1462" s="235" t="s">
        <v>11770</v>
      </c>
      <c r="K1462" s="235" t="s">
        <v>11771</v>
      </c>
      <c r="N1462" s="235" t="s">
        <v>54</v>
      </c>
      <c r="O1462" s="235" t="s">
        <v>294</v>
      </c>
      <c r="P1462" s="238">
        <v>1.0</v>
      </c>
      <c r="Q1462" s="235" t="s">
        <v>627</v>
      </c>
      <c r="R1462" s="238">
        <v>246.66</v>
      </c>
      <c r="S1462" s="238">
        <v>12.34</v>
      </c>
      <c r="T1462" s="238">
        <v>0.0</v>
      </c>
      <c r="U1462" s="238">
        <v>0.0</v>
      </c>
      <c r="V1462" s="238">
        <v>0.0</v>
      </c>
      <c r="W1462" s="238">
        <v>0.0</v>
      </c>
      <c r="X1462" s="235" t="s">
        <v>628</v>
      </c>
      <c r="Z1462" s="244"/>
      <c r="AA1462" s="244"/>
      <c r="AB1462" s="244"/>
      <c r="AC1462" s="235" t="s">
        <v>687</v>
      </c>
      <c r="AD1462" s="235" t="s">
        <v>666</v>
      </c>
      <c r="AE1462" s="238">
        <v>600048.0</v>
      </c>
      <c r="AF1462" s="235" t="s">
        <v>631</v>
      </c>
      <c r="AG1462" s="244"/>
      <c r="AH1462" s="244"/>
      <c r="AI1462" s="245"/>
      <c r="AJ1462" s="245"/>
      <c r="AK1462" s="245"/>
      <c r="AL1462" s="245"/>
      <c r="AM1462" s="244"/>
      <c r="AN1462" s="244"/>
      <c r="AO1462" s="238">
        <v>0.0</v>
      </c>
      <c r="AP1462" s="238">
        <v>0.0</v>
      </c>
      <c r="AQ1462" s="235" t="s">
        <v>632</v>
      </c>
      <c r="AR1462" s="243">
        <v>3.71E11</v>
      </c>
      <c r="AS1462" s="235" t="s">
        <v>11171</v>
      </c>
      <c r="AT1462" s="235" t="s">
        <v>156</v>
      </c>
      <c r="AU1462" s="235" t="s">
        <v>634</v>
      </c>
      <c r="AV1462" s="246" t="s">
        <v>635</v>
      </c>
      <c r="AW1462" s="242"/>
      <c r="AX1462" s="242"/>
      <c r="AY1462" s="231"/>
      <c r="AZ1462" s="231"/>
      <c r="BA1462" s="227"/>
      <c r="BB1462" s="231"/>
      <c r="BC1462" s="227"/>
      <c r="BD1462" s="227"/>
      <c r="BE1462" s="227"/>
      <c r="BF1462" s="227"/>
    </row>
    <row r="1463">
      <c r="A1463" s="235" t="s">
        <v>11772</v>
      </c>
      <c r="C1463" s="235" t="s">
        <v>11773</v>
      </c>
      <c r="D1463" s="235" t="s">
        <v>11774</v>
      </c>
      <c r="E1463" s="243">
        <v>6.55E13</v>
      </c>
      <c r="F1463" s="245"/>
      <c r="G1463" s="235" t="s">
        <v>11775</v>
      </c>
      <c r="H1463" s="235" t="s">
        <v>11776</v>
      </c>
      <c r="I1463" s="235" t="s">
        <v>11776</v>
      </c>
      <c r="J1463" s="235" t="s">
        <v>11777</v>
      </c>
      <c r="K1463" s="235" t="s">
        <v>11778</v>
      </c>
      <c r="N1463" s="235" t="s">
        <v>842</v>
      </c>
      <c r="O1463" s="235" t="s">
        <v>843</v>
      </c>
      <c r="P1463" s="238">
        <v>1.0</v>
      </c>
      <c r="Q1463" s="235" t="s">
        <v>627</v>
      </c>
      <c r="R1463" s="238">
        <v>246.66</v>
      </c>
      <c r="S1463" s="238">
        <v>12.34</v>
      </c>
      <c r="T1463" s="238">
        <v>0.0</v>
      </c>
      <c r="U1463" s="238">
        <v>0.0</v>
      </c>
      <c r="V1463" s="238">
        <v>0.0</v>
      </c>
      <c r="W1463" s="238">
        <v>0.0</v>
      </c>
      <c r="X1463" s="235" t="s">
        <v>628</v>
      </c>
      <c r="Z1463" s="244"/>
      <c r="AA1463" s="244"/>
      <c r="AB1463" s="244"/>
      <c r="AC1463" s="235" t="s">
        <v>678</v>
      </c>
      <c r="AD1463" s="235" t="s">
        <v>679</v>
      </c>
      <c r="AE1463" s="238">
        <v>560085.0</v>
      </c>
      <c r="AF1463" s="235" t="s">
        <v>631</v>
      </c>
      <c r="AG1463" s="244"/>
      <c r="AH1463" s="244"/>
      <c r="AI1463" s="245"/>
      <c r="AJ1463" s="245"/>
      <c r="AK1463" s="245"/>
      <c r="AL1463" s="245"/>
      <c r="AM1463" s="244"/>
      <c r="AN1463" s="244"/>
      <c r="AO1463" s="238">
        <v>0.0</v>
      </c>
      <c r="AP1463" s="238">
        <v>0.0</v>
      </c>
      <c r="AQ1463" s="235" t="s">
        <v>632</v>
      </c>
      <c r="AR1463" s="243">
        <v>1.68E11</v>
      </c>
      <c r="AS1463" s="235" t="s">
        <v>11672</v>
      </c>
      <c r="AT1463" s="235" t="s">
        <v>11</v>
      </c>
      <c r="AU1463" s="235" t="s">
        <v>634</v>
      </c>
      <c r="AV1463" s="246" t="s">
        <v>635</v>
      </c>
      <c r="AW1463" s="242"/>
      <c r="AX1463" s="242"/>
      <c r="AY1463" s="231"/>
      <c r="AZ1463" s="231"/>
      <c r="BA1463" s="227"/>
      <c r="BB1463" s="231"/>
      <c r="BC1463" s="227"/>
      <c r="BD1463" s="227"/>
      <c r="BE1463" s="227"/>
      <c r="BF1463" s="227"/>
    </row>
    <row r="1464">
      <c r="A1464" s="235" t="s">
        <v>11779</v>
      </c>
      <c r="C1464" s="235" t="s">
        <v>11780</v>
      </c>
      <c r="D1464" s="235" t="s">
        <v>11781</v>
      </c>
      <c r="E1464" s="243">
        <v>6.55E13</v>
      </c>
      <c r="F1464" s="245"/>
      <c r="G1464" s="235" t="s">
        <v>11782</v>
      </c>
      <c r="H1464" s="235" t="s">
        <v>11783</v>
      </c>
      <c r="I1464" s="235" t="s">
        <v>11783</v>
      </c>
      <c r="J1464" s="235" t="s">
        <v>11784</v>
      </c>
      <c r="K1464" s="235" t="s">
        <v>11785</v>
      </c>
      <c r="N1464" s="235" t="s">
        <v>154</v>
      </c>
      <c r="O1464" s="235" t="s">
        <v>766</v>
      </c>
      <c r="P1464" s="238">
        <v>1.0</v>
      </c>
      <c r="Q1464" s="235" t="s">
        <v>627</v>
      </c>
      <c r="R1464" s="238">
        <v>465.72</v>
      </c>
      <c r="S1464" s="238">
        <v>23.28</v>
      </c>
      <c r="T1464" s="238">
        <v>9.04</v>
      </c>
      <c r="U1464" s="238">
        <v>0.46</v>
      </c>
      <c r="V1464" s="238">
        <v>0.0</v>
      </c>
      <c r="W1464" s="238">
        <v>0.0</v>
      </c>
      <c r="X1464" s="235" t="s">
        <v>628</v>
      </c>
      <c r="Z1464" s="244"/>
      <c r="AA1464" s="244"/>
      <c r="AB1464" s="244"/>
      <c r="AC1464" s="235" t="s">
        <v>1456</v>
      </c>
      <c r="AD1464" s="235" t="s">
        <v>928</v>
      </c>
      <c r="AE1464" s="238">
        <v>122001.0</v>
      </c>
      <c r="AF1464" s="235" t="s">
        <v>631</v>
      </c>
      <c r="AG1464" s="244"/>
      <c r="AH1464" s="244"/>
      <c r="AI1464" s="245"/>
      <c r="AJ1464" s="245"/>
      <c r="AK1464" s="245"/>
      <c r="AL1464" s="245"/>
      <c r="AM1464" s="244"/>
      <c r="AN1464" s="244"/>
      <c r="AO1464" s="238">
        <v>0.0</v>
      </c>
      <c r="AP1464" s="238">
        <v>-9.04</v>
      </c>
      <c r="AQ1464" s="235" t="s">
        <v>632</v>
      </c>
      <c r="AR1464" s="243">
        <v>1.68E11</v>
      </c>
      <c r="AS1464" s="235" t="s">
        <v>11672</v>
      </c>
      <c r="AT1464" s="235" t="s">
        <v>13</v>
      </c>
      <c r="AU1464" s="235" t="s">
        <v>634</v>
      </c>
      <c r="AV1464" s="246" t="s">
        <v>635</v>
      </c>
      <c r="AW1464" s="242"/>
      <c r="AX1464" s="242"/>
      <c r="AY1464" s="231"/>
      <c r="AZ1464" s="231"/>
      <c r="BA1464" s="227"/>
      <c r="BB1464" s="231"/>
      <c r="BC1464" s="227"/>
      <c r="BD1464" s="227"/>
      <c r="BE1464" s="227"/>
      <c r="BF1464" s="227"/>
    </row>
    <row r="1465">
      <c r="A1465" s="235" t="s">
        <v>11786</v>
      </c>
      <c r="C1465" s="235" t="s">
        <v>11787</v>
      </c>
      <c r="D1465" s="235" t="s">
        <v>11788</v>
      </c>
      <c r="E1465" s="243">
        <v>6.55E13</v>
      </c>
      <c r="F1465" s="245"/>
      <c r="G1465" s="235" t="s">
        <v>11789</v>
      </c>
      <c r="H1465" s="235" t="s">
        <v>11790</v>
      </c>
      <c r="I1465" s="235" t="s">
        <v>11791</v>
      </c>
      <c r="J1465" s="235" t="s">
        <v>11792</v>
      </c>
      <c r="K1465" s="235" t="s">
        <v>11793</v>
      </c>
      <c r="N1465" s="235" t="s">
        <v>71</v>
      </c>
      <c r="O1465" s="235" t="s">
        <v>240</v>
      </c>
      <c r="P1465" s="238">
        <v>1.0</v>
      </c>
      <c r="Q1465" s="235" t="s">
        <v>627</v>
      </c>
      <c r="R1465" s="238">
        <v>246.66</v>
      </c>
      <c r="S1465" s="238">
        <v>12.34</v>
      </c>
      <c r="T1465" s="238">
        <v>9.04</v>
      </c>
      <c r="U1465" s="238">
        <v>0.46</v>
      </c>
      <c r="V1465" s="238">
        <v>0.0</v>
      </c>
      <c r="W1465" s="238">
        <v>0.0</v>
      </c>
      <c r="X1465" s="235" t="s">
        <v>628</v>
      </c>
      <c r="Z1465" s="244"/>
      <c r="AA1465" s="244"/>
      <c r="AB1465" s="244"/>
      <c r="AC1465" s="235" t="s">
        <v>687</v>
      </c>
      <c r="AD1465" s="235" t="s">
        <v>666</v>
      </c>
      <c r="AE1465" s="238">
        <v>600026.0</v>
      </c>
      <c r="AF1465" s="235" t="s">
        <v>631</v>
      </c>
      <c r="AG1465" s="244"/>
      <c r="AH1465" s="244"/>
      <c r="AI1465" s="245"/>
      <c r="AJ1465" s="245"/>
      <c r="AK1465" s="245"/>
      <c r="AL1465" s="245"/>
      <c r="AM1465" s="244"/>
      <c r="AN1465" s="244"/>
      <c r="AO1465" s="238">
        <v>0.0</v>
      </c>
      <c r="AP1465" s="238">
        <v>-9.04</v>
      </c>
      <c r="AQ1465" s="235" t="s">
        <v>632</v>
      </c>
      <c r="AR1465" s="243">
        <v>1.68E11</v>
      </c>
      <c r="AS1465" s="235" t="s">
        <v>11672</v>
      </c>
      <c r="AT1465" s="235" t="s">
        <v>156</v>
      </c>
      <c r="AU1465" s="235" t="s">
        <v>634</v>
      </c>
      <c r="AV1465" s="246" t="s">
        <v>635</v>
      </c>
      <c r="AW1465" s="242"/>
      <c r="AX1465" s="242"/>
      <c r="AY1465" s="231"/>
      <c r="AZ1465" s="231"/>
      <c r="BA1465" s="227"/>
      <c r="BB1465" s="231"/>
      <c r="BC1465" s="227"/>
      <c r="BD1465" s="227"/>
      <c r="BE1465" s="227"/>
      <c r="BF1465" s="227"/>
    </row>
    <row r="1466">
      <c r="A1466" s="235" t="s">
        <v>11794</v>
      </c>
      <c r="C1466" s="235" t="s">
        <v>11795</v>
      </c>
      <c r="D1466" s="235" t="s">
        <v>11796</v>
      </c>
      <c r="E1466" s="243">
        <v>6.55E13</v>
      </c>
      <c r="F1466" s="245"/>
      <c r="G1466" s="235" t="s">
        <v>11797</v>
      </c>
      <c r="H1466" s="235" t="s">
        <v>11798</v>
      </c>
      <c r="I1466" s="235" t="s">
        <v>11798</v>
      </c>
      <c r="J1466" s="235" t="s">
        <v>11799</v>
      </c>
      <c r="K1466" s="235" t="s">
        <v>11800</v>
      </c>
      <c r="N1466" s="235" t="s">
        <v>541</v>
      </c>
      <c r="O1466" s="235" t="s">
        <v>664</v>
      </c>
      <c r="P1466" s="238">
        <v>1.0</v>
      </c>
      <c r="Q1466" s="235" t="s">
        <v>627</v>
      </c>
      <c r="R1466" s="238">
        <v>668.64</v>
      </c>
      <c r="S1466" s="238">
        <v>120.36</v>
      </c>
      <c r="T1466" s="238">
        <v>0.0</v>
      </c>
      <c r="U1466" s="238">
        <v>0.0</v>
      </c>
      <c r="V1466" s="238">
        <v>0.0</v>
      </c>
      <c r="W1466" s="238">
        <v>0.0</v>
      </c>
      <c r="X1466" s="235" t="s">
        <v>628</v>
      </c>
      <c r="Z1466" s="244"/>
      <c r="AA1466" s="244"/>
      <c r="AB1466" s="244"/>
      <c r="AC1466" s="235" t="s">
        <v>678</v>
      </c>
      <c r="AD1466" s="235" t="s">
        <v>679</v>
      </c>
      <c r="AE1466" s="238">
        <v>560032.0</v>
      </c>
      <c r="AF1466" s="235" t="s">
        <v>631</v>
      </c>
      <c r="AG1466" s="244"/>
      <c r="AH1466" s="244"/>
      <c r="AI1466" s="245"/>
      <c r="AJ1466" s="245"/>
      <c r="AK1466" s="245"/>
      <c r="AL1466" s="245"/>
      <c r="AM1466" s="244"/>
      <c r="AN1466" s="244"/>
      <c r="AO1466" s="238">
        <v>0.0</v>
      </c>
      <c r="AP1466" s="238">
        <v>0.0</v>
      </c>
      <c r="AQ1466" s="235" t="s">
        <v>632</v>
      </c>
      <c r="AR1466" s="243">
        <v>1.68E11</v>
      </c>
      <c r="AS1466" s="235" t="s">
        <v>11672</v>
      </c>
      <c r="AT1466" s="235" t="s">
        <v>11</v>
      </c>
      <c r="AU1466" s="235" t="s">
        <v>634</v>
      </c>
      <c r="AV1466" s="246" t="s">
        <v>635</v>
      </c>
      <c r="AW1466" s="242"/>
      <c r="AX1466" s="242"/>
      <c r="AY1466" s="231"/>
      <c r="AZ1466" s="231"/>
      <c r="BA1466" s="227"/>
      <c r="BB1466" s="231"/>
      <c r="BC1466" s="227"/>
      <c r="BD1466" s="227"/>
      <c r="BE1466" s="227"/>
      <c r="BF1466" s="227"/>
    </row>
    <row r="1467">
      <c r="A1467" s="235" t="s">
        <v>11801</v>
      </c>
      <c r="C1467" s="235" t="s">
        <v>11802</v>
      </c>
      <c r="D1467" s="235" t="s">
        <v>11803</v>
      </c>
      <c r="E1467" s="243">
        <v>6.55E13</v>
      </c>
      <c r="F1467" s="245"/>
      <c r="G1467" s="235" t="s">
        <v>11804</v>
      </c>
      <c r="H1467" s="235" t="s">
        <v>11805</v>
      </c>
      <c r="I1467" s="235" t="s">
        <v>11805</v>
      </c>
      <c r="J1467" s="235" t="s">
        <v>11806</v>
      </c>
      <c r="K1467" s="235" t="s">
        <v>11807</v>
      </c>
      <c r="N1467" s="235" t="s">
        <v>127</v>
      </c>
      <c r="O1467" s="235" t="s">
        <v>794</v>
      </c>
      <c r="P1467" s="238">
        <v>1.0</v>
      </c>
      <c r="Q1467" s="235" t="s">
        <v>627</v>
      </c>
      <c r="R1467" s="238">
        <v>246.66</v>
      </c>
      <c r="S1467" s="238">
        <v>12.34</v>
      </c>
      <c r="T1467" s="238">
        <v>18.1</v>
      </c>
      <c r="U1467" s="238">
        <v>0.9</v>
      </c>
      <c r="V1467" s="238">
        <v>0.0</v>
      </c>
      <c r="W1467" s="238">
        <v>0.0</v>
      </c>
      <c r="X1467" s="235" t="s">
        <v>628</v>
      </c>
      <c r="Z1467" s="244"/>
      <c r="AA1467" s="244"/>
      <c r="AB1467" s="244"/>
      <c r="AC1467" s="235" t="s">
        <v>4071</v>
      </c>
      <c r="AD1467" s="235" t="s">
        <v>928</v>
      </c>
      <c r="AE1467" s="238">
        <v>122018.0</v>
      </c>
      <c r="AF1467" s="235" t="s">
        <v>631</v>
      </c>
      <c r="AG1467" s="244"/>
      <c r="AH1467" s="244"/>
      <c r="AI1467" s="245"/>
      <c r="AJ1467" s="245"/>
      <c r="AK1467" s="245"/>
      <c r="AL1467" s="245"/>
      <c r="AM1467" s="244"/>
      <c r="AN1467" s="244"/>
      <c r="AO1467" s="238">
        <v>0.0</v>
      </c>
      <c r="AP1467" s="238">
        <v>-18.1</v>
      </c>
      <c r="AQ1467" s="235" t="s">
        <v>632</v>
      </c>
      <c r="AR1467" s="243">
        <v>1.68E11</v>
      </c>
      <c r="AS1467" s="235" t="s">
        <v>11672</v>
      </c>
      <c r="AT1467" s="235" t="s">
        <v>14</v>
      </c>
      <c r="AU1467" s="235" t="s">
        <v>634</v>
      </c>
      <c r="AV1467" s="246" t="s">
        <v>635</v>
      </c>
      <c r="AW1467" s="242"/>
      <c r="AX1467" s="242"/>
      <c r="AY1467" s="231"/>
      <c r="AZ1467" s="231"/>
      <c r="BA1467" s="227"/>
      <c r="BB1467" s="231"/>
      <c r="BC1467" s="227"/>
      <c r="BD1467" s="227"/>
      <c r="BE1467" s="227"/>
      <c r="BF1467" s="227"/>
    </row>
    <row r="1468">
      <c r="A1468" s="235" t="s">
        <v>11808</v>
      </c>
      <c r="C1468" s="235" t="s">
        <v>11809</v>
      </c>
      <c r="D1468" s="235" t="s">
        <v>11810</v>
      </c>
      <c r="E1468" s="243">
        <v>6.55E13</v>
      </c>
      <c r="F1468" s="245"/>
      <c r="G1468" s="235" t="s">
        <v>11811</v>
      </c>
      <c r="H1468" s="235" t="s">
        <v>11812</v>
      </c>
      <c r="I1468" s="235" t="s">
        <v>11812</v>
      </c>
      <c r="J1468" s="235" t="s">
        <v>11813</v>
      </c>
      <c r="K1468" s="235" t="s">
        <v>11814</v>
      </c>
      <c r="N1468" s="235" t="s">
        <v>39</v>
      </c>
      <c r="O1468" s="235" t="s">
        <v>291</v>
      </c>
      <c r="P1468" s="238">
        <v>1.0</v>
      </c>
      <c r="Q1468" s="235" t="s">
        <v>627</v>
      </c>
      <c r="R1468" s="238">
        <v>270.48</v>
      </c>
      <c r="S1468" s="238">
        <v>13.52</v>
      </c>
      <c r="T1468" s="238">
        <v>0.0</v>
      </c>
      <c r="U1468" s="238">
        <v>0.0</v>
      </c>
      <c r="V1468" s="238">
        <v>0.0</v>
      </c>
      <c r="W1468" s="238">
        <v>0.0</v>
      </c>
      <c r="X1468" s="235" t="s">
        <v>628</v>
      </c>
      <c r="Z1468" s="244"/>
      <c r="AA1468" s="244"/>
      <c r="AB1468" s="244"/>
      <c r="AC1468" s="235" t="s">
        <v>844</v>
      </c>
      <c r="AD1468" s="235" t="s">
        <v>845</v>
      </c>
      <c r="AE1468" s="238">
        <v>411057.0</v>
      </c>
      <c r="AF1468" s="235" t="s">
        <v>631</v>
      </c>
      <c r="AG1468" s="244"/>
      <c r="AH1468" s="244"/>
      <c r="AI1468" s="245"/>
      <c r="AJ1468" s="245"/>
      <c r="AK1468" s="245"/>
      <c r="AL1468" s="245"/>
      <c r="AM1468" s="244"/>
      <c r="AN1468" s="244"/>
      <c r="AO1468" s="238">
        <v>0.0</v>
      </c>
      <c r="AP1468" s="238">
        <v>0.0</v>
      </c>
      <c r="AQ1468" s="235" t="s">
        <v>632</v>
      </c>
      <c r="AR1468" s="243">
        <v>3.71E11</v>
      </c>
      <c r="AS1468" s="235" t="s">
        <v>11171</v>
      </c>
      <c r="AT1468" s="235" t="s">
        <v>546</v>
      </c>
      <c r="AU1468" s="235" t="s">
        <v>634</v>
      </c>
      <c r="AV1468" s="246" t="s">
        <v>635</v>
      </c>
      <c r="AW1468" s="242"/>
      <c r="AX1468" s="242"/>
      <c r="AY1468" s="231"/>
      <c r="AZ1468" s="231"/>
      <c r="BA1468" s="227"/>
      <c r="BB1468" s="231"/>
      <c r="BC1468" s="227"/>
      <c r="BD1468" s="227"/>
      <c r="BE1468" s="227"/>
      <c r="BF1468" s="227"/>
    </row>
    <row r="1469">
      <c r="A1469" s="235" t="s">
        <v>11815</v>
      </c>
      <c r="C1469" s="235" t="s">
        <v>11816</v>
      </c>
      <c r="D1469" s="235" t="s">
        <v>11817</v>
      </c>
      <c r="E1469" s="243">
        <v>6.55E13</v>
      </c>
      <c r="F1469" s="245"/>
      <c r="G1469" s="235" t="s">
        <v>11818</v>
      </c>
      <c r="H1469" s="235" t="s">
        <v>11819</v>
      </c>
      <c r="I1469" s="235" t="s">
        <v>11819</v>
      </c>
      <c r="J1469" s="235" t="s">
        <v>11820</v>
      </c>
      <c r="K1469" s="235" t="s">
        <v>11821</v>
      </c>
      <c r="N1469" s="235" t="s">
        <v>842</v>
      </c>
      <c r="O1469" s="235" t="s">
        <v>843</v>
      </c>
      <c r="P1469" s="238">
        <v>1.0</v>
      </c>
      <c r="Q1469" s="235" t="s">
        <v>627</v>
      </c>
      <c r="R1469" s="238">
        <v>246.66</v>
      </c>
      <c r="S1469" s="238">
        <v>12.34</v>
      </c>
      <c r="T1469" s="238">
        <v>38.1</v>
      </c>
      <c r="U1469" s="238">
        <v>1.9</v>
      </c>
      <c r="V1469" s="238">
        <v>0.0</v>
      </c>
      <c r="W1469" s="238">
        <v>0.0</v>
      </c>
      <c r="X1469" s="235" t="s">
        <v>628</v>
      </c>
      <c r="Z1469" s="244"/>
      <c r="AA1469" s="244"/>
      <c r="AB1469" s="244"/>
      <c r="AC1469" s="235" t="s">
        <v>11822</v>
      </c>
      <c r="AD1469" s="235" t="s">
        <v>845</v>
      </c>
      <c r="AE1469" s="238">
        <v>415712.0</v>
      </c>
      <c r="AF1469" s="235" t="s">
        <v>631</v>
      </c>
      <c r="AG1469" s="244"/>
      <c r="AH1469" s="244"/>
      <c r="AI1469" s="245"/>
      <c r="AJ1469" s="245"/>
      <c r="AK1469" s="245"/>
      <c r="AL1469" s="245"/>
      <c r="AM1469" s="244"/>
      <c r="AN1469" s="244"/>
      <c r="AO1469" s="238">
        <v>0.0</v>
      </c>
      <c r="AP1469" s="238">
        <v>-38.1</v>
      </c>
      <c r="AQ1469" s="235" t="s">
        <v>632</v>
      </c>
      <c r="AR1469" s="243">
        <v>3.71E11</v>
      </c>
      <c r="AS1469" s="235" t="s">
        <v>8807</v>
      </c>
      <c r="AT1469" s="235" t="s">
        <v>546</v>
      </c>
      <c r="AU1469" s="235" t="s">
        <v>634</v>
      </c>
      <c r="AV1469" s="246" t="s">
        <v>635</v>
      </c>
      <c r="AW1469" s="242"/>
      <c r="AX1469" s="242"/>
      <c r="AY1469" s="231"/>
      <c r="AZ1469" s="231"/>
      <c r="BA1469" s="227"/>
      <c r="BB1469" s="231"/>
      <c r="BC1469" s="227"/>
      <c r="BD1469" s="227"/>
      <c r="BE1469" s="227"/>
      <c r="BF1469" s="227"/>
    </row>
    <row r="1470">
      <c r="A1470" s="235" t="s">
        <v>11823</v>
      </c>
      <c r="C1470" s="235" t="s">
        <v>11824</v>
      </c>
      <c r="D1470" s="235" t="s">
        <v>11825</v>
      </c>
      <c r="E1470" s="243">
        <v>6.55E13</v>
      </c>
      <c r="F1470" s="245"/>
      <c r="G1470" s="235" t="s">
        <v>11826</v>
      </c>
      <c r="H1470" s="235" t="s">
        <v>11827</v>
      </c>
      <c r="I1470" s="235" t="s">
        <v>11828</v>
      </c>
      <c r="J1470" s="235" t="s">
        <v>11829</v>
      </c>
      <c r="K1470" s="235" t="s">
        <v>11830</v>
      </c>
      <c r="N1470" s="235" t="s">
        <v>141</v>
      </c>
      <c r="O1470" s="235" t="s">
        <v>342</v>
      </c>
      <c r="P1470" s="238">
        <v>1.0</v>
      </c>
      <c r="Q1470" s="235" t="s">
        <v>627</v>
      </c>
      <c r="R1470" s="238">
        <v>246.67</v>
      </c>
      <c r="S1470" s="238">
        <v>12.33</v>
      </c>
      <c r="T1470" s="238">
        <v>9.05</v>
      </c>
      <c r="U1470" s="238">
        <v>0.45</v>
      </c>
      <c r="V1470" s="238">
        <v>0.0</v>
      </c>
      <c r="W1470" s="238">
        <v>0.0</v>
      </c>
      <c r="X1470" s="235" t="s">
        <v>628</v>
      </c>
      <c r="Z1470" s="244"/>
      <c r="AA1470" s="244"/>
      <c r="AB1470" s="244"/>
      <c r="AC1470" s="235" t="s">
        <v>795</v>
      </c>
      <c r="AD1470" s="235" t="s">
        <v>796</v>
      </c>
      <c r="AE1470" s="238">
        <v>110085.0</v>
      </c>
      <c r="AF1470" s="235" t="s">
        <v>631</v>
      </c>
      <c r="AG1470" s="244"/>
      <c r="AH1470" s="244"/>
      <c r="AI1470" s="245"/>
      <c r="AJ1470" s="245"/>
      <c r="AK1470" s="245"/>
      <c r="AL1470" s="245"/>
      <c r="AM1470" s="244"/>
      <c r="AN1470" s="244"/>
      <c r="AO1470" s="238">
        <v>0.0</v>
      </c>
      <c r="AP1470" s="238">
        <v>-9.05</v>
      </c>
      <c r="AQ1470" s="235" t="s">
        <v>632</v>
      </c>
      <c r="AR1470" s="243">
        <v>1.68E11</v>
      </c>
      <c r="AS1470" s="235" t="s">
        <v>11672</v>
      </c>
      <c r="AT1470" s="235" t="s">
        <v>533</v>
      </c>
      <c r="AU1470" s="235" t="s">
        <v>634</v>
      </c>
      <c r="AV1470" s="246" t="s">
        <v>635</v>
      </c>
      <c r="AW1470" s="242"/>
      <c r="AX1470" s="242"/>
      <c r="AY1470" s="231"/>
      <c r="AZ1470" s="231"/>
      <c r="BA1470" s="227"/>
      <c r="BB1470" s="231"/>
      <c r="BC1470" s="227"/>
      <c r="BD1470" s="227"/>
      <c r="BE1470" s="227"/>
      <c r="BF1470" s="227"/>
    </row>
    <row r="1471">
      <c r="A1471" s="235" t="s">
        <v>11831</v>
      </c>
      <c r="C1471" s="235" t="s">
        <v>11832</v>
      </c>
      <c r="D1471" s="235" t="s">
        <v>11833</v>
      </c>
      <c r="E1471" s="243">
        <v>6.55E13</v>
      </c>
      <c r="F1471" s="245"/>
      <c r="G1471" s="235" t="s">
        <v>11834</v>
      </c>
      <c r="H1471" s="235" t="s">
        <v>11835</v>
      </c>
      <c r="I1471" s="235" t="s">
        <v>11835</v>
      </c>
      <c r="J1471" s="235" t="s">
        <v>11836</v>
      </c>
      <c r="K1471" s="235" t="s">
        <v>11837</v>
      </c>
      <c r="N1471" s="235" t="s">
        <v>127</v>
      </c>
      <c r="O1471" s="235" t="s">
        <v>794</v>
      </c>
      <c r="P1471" s="238">
        <v>1.0</v>
      </c>
      <c r="Q1471" s="235" t="s">
        <v>627</v>
      </c>
      <c r="R1471" s="238">
        <v>246.67</v>
      </c>
      <c r="S1471" s="238">
        <v>12.33</v>
      </c>
      <c r="T1471" s="238">
        <v>0.0</v>
      </c>
      <c r="U1471" s="238">
        <v>0.0</v>
      </c>
      <c r="V1471" s="238">
        <v>0.0</v>
      </c>
      <c r="W1471" s="238">
        <v>0.0</v>
      </c>
      <c r="X1471" s="235" t="s">
        <v>628</v>
      </c>
      <c r="Z1471" s="244"/>
      <c r="AA1471" s="244"/>
      <c r="AB1471" s="244"/>
      <c r="AC1471" s="235" t="s">
        <v>11838</v>
      </c>
      <c r="AD1471" s="235" t="s">
        <v>731</v>
      </c>
      <c r="AE1471" s="238">
        <v>782481.0</v>
      </c>
      <c r="AF1471" s="235" t="s">
        <v>631</v>
      </c>
      <c r="AG1471" s="244"/>
      <c r="AH1471" s="244"/>
      <c r="AI1471" s="245"/>
      <c r="AJ1471" s="245"/>
      <c r="AK1471" s="245"/>
      <c r="AL1471" s="245"/>
      <c r="AM1471" s="244"/>
      <c r="AN1471" s="244"/>
      <c r="AO1471" s="238">
        <v>0.0</v>
      </c>
      <c r="AP1471" s="238">
        <v>0.0</v>
      </c>
      <c r="AQ1471" s="235" t="s">
        <v>1328</v>
      </c>
      <c r="AR1471" s="243">
        <v>1.34E13</v>
      </c>
      <c r="AS1471" s="235" t="s">
        <v>2276</v>
      </c>
      <c r="AT1471" s="235" t="s">
        <v>13</v>
      </c>
      <c r="AU1471" s="235" t="s">
        <v>634</v>
      </c>
      <c r="AV1471" s="246" t="s">
        <v>635</v>
      </c>
      <c r="AW1471" s="242"/>
      <c r="AX1471" s="242"/>
      <c r="AY1471" s="231"/>
      <c r="AZ1471" s="231"/>
      <c r="BA1471" s="227"/>
      <c r="BB1471" s="231"/>
      <c r="BC1471" s="227"/>
      <c r="BD1471" s="227"/>
      <c r="BE1471" s="227"/>
      <c r="BF1471" s="227"/>
    </row>
    <row r="1472">
      <c r="A1472" s="235" t="s">
        <v>11839</v>
      </c>
      <c r="C1472" s="235" t="s">
        <v>11840</v>
      </c>
      <c r="D1472" s="235" t="s">
        <v>11841</v>
      </c>
      <c r="E1472" s="243">
        <v>6.55E13</v>
      </c>
      <c r="F1472" s="245"/>
      <c r="G1472" s="235" t="s">
        <v>11842</v>
      </c>
      <c r="H1472" s="235" t="s">
        <v>11843</v>
      </c>
      <c r="I1472" s="235" t="s">
        <v>11843</v>
      </c>
      <c r="J1472" s="235" t="s">
        <v>11844</v>
      </c>
      <c r="K1472" s="235" t="s">
        <v>11845</v>
      </c>
      <c r="N1472" s="235" t="s">
        <v>127</v>
      </c>
      <c r="O1472" s="235" t="s">
        <v>794</v>
      </c>
      <c r="P1472" s="238">
        <v>1.0</v>
      </c>
      <c r="Q1472" s="235" t="s">
        <v>627</v>
      </c>
      <c r="R1472" s="238">
        <v>246.66</v>
      </c>
      <c r="S1472" s="238">
        <v>12.34</v>
      </c>
      <c r="T1472" s="238">
        <v>18.1</v>
      </c>
      <c r="U1472" s="238">
        <v>0.9</v>
      </c>
      <c r="V1472" s="238">
        <v>0.0</v>
      </c>
      <c r="W1472" s="238">
        <v>0.0</v>
      </c>
      <c r="X1472" s="235" t="s">
        <v>628</v>
      </c>
      <c r="Z1472" s="244"/>
      <c r="AA1472" s="244"/>
      <c r="AB1472" s="244"/>
      <c r="AC1472" s="235" t="s">
        <v>1255</v>
      </c>
      <c r="AD1472" s="235" t="s">
        <v>845</v>
      </c>
      <c r="AE1472" s="238">
        <v>400607.0</v>
      </c>
      <c r="AF1472" s="235" t="s">
        <v>631</v>
      </c>
      <c r="AG1472" s="244"/>
      <c r="AH1472" s="244"/>
      <c r="AI1472" s="245"/>
      <c r="AJ1472" s="245"/>
      <c r="AK1472" s="245"/>
      <c r="AL1472" s="245"/>
      <c r="AM1472" s="244"/>
      <c r="AN1472" s="244"/>
      <c r="AO1472" s="238">
        <v>0.0</v>
      </c>
      <c r="AP1472" s="238">
        <v>-18.1</v>
      </c>
      <c r="AQ1472" s="235" t="s">
        <v>632</v>
      </c>
      <c r="AR1472" s="243">
        <v>1.68E11</v>
      </c>
      <c r="AS1472" s="235" t="s">
        <v>11672</v>
      </c>
      <c r="AT1472" s="235" t="s">
        <v>16</v>
      </c>
      <c r="AU1472" s="235" t="s">
        <v>634</v>
      </c>
      <c r="AV1472" s="246" t="s">
        <v>635</v>
      </c>
      <c r="AW1472" s="242"/>
      <c r="AX1472" s="242"/>
      <c r="AY1472" s="231"/>
      <c r="AZ1472" s="231"/>
      <c r="BA1472" s="227"/>
      <c r="BB1472" s="231"/>
      <c r="BC1472" s="227"/>
      <c r="BD1472" s="227"/>
      <c r="BE1472" s="227"/>
      <c r="BF1472" s="227"/>
    </row>
    <row r="1473">
      <c r="A1473" s="235" t="s">
        <v>11846</v>
      </c>
      <c r="C1473" s="235" t="s">
        <v>11847</v>
      </c>
      <c r="D1473" s="235" t="s">
        <v>11848</v>
      </c>
      <c r="E1473" s="243">
        <v>6.55E13</v>
      </c>
      <c r="F1473" s="245"/>
      <c r="G1473" s="235" t="s">
        <v>11849</v>
      </c>
      <c r="H1473" s="235" t="s">
        <v>11850</v>
      </c>
      <c r="I1473" s="235" t="s">
        <v>11850</v>
      </c>
      <c r="J1473" s="235" t="s">
        <v>11851</v>
      </c>
      <c r="K1473" s="235" t="s">
        <v>11852</v>
      </c>
      <c r="N1473" s="235" t="s">
        <v>989</v>
      </c>
      <c r="O1473" s="235" t="s">
        <v>990</v>
      </c>
      <c r="P1473" s="238">
        <v>1.0</v>
      </c>
      <c r="Q1473" s="235" t="s">
        <v>627</v>
      </c>
      <c r="R1473" s="238">
        <v>256.2</v>
      </c>
      <c r="S1473" s="238">
        <v>12.8</v>
      </c>
      <c r="T1473" s="238">
        <v>0.0</v>
      </c>
      <c r="U1473" s="238">
        <v>0.0</v>
      </c>
      <c r="V1473" s="238">
        <v>0.0</v>
      </c>
      <c r="W1473" s="238">
        <v>0.0</v>
      </c>
      <c r="X1473" s="235" t="s">
        <v>628</v>
      </c>
      <c r="Z1473" s="244"/>
      <c r="AA1473" s="244"/>
      <c r="AB1473" s="244"/>
      <c r="AC1473" s="235" t="s">
        <v>844</v>
      </c>
      <c r="AD1473" s="235" t="s">
        <v>845</v>
      </c>
      <c r="AE1473" s="238">
        <v>411028.0</v>
      </c>
      <c r="AF1473" s="235" t="s">
        <v>631</v>
      </c>
      <c r="AG1473" s="244"/>
      <c r="AH1473" s="244"/>
      <c r="AI1473" s="245"/>
      <c r="AJ1473" s="245"/>
      <c r="AK1473" s="245"/>
      <c r="AL1473" s="245"/>
      <c r="AM1473" s="244"/>
      <c r="AN1473" s="244"/>
      <c r="AO1473" s="238">
        <v>0.0</v>
      </c>
      <c r="AP1473" s="238">
        <v>0.0</v>
      </c>
      <c r="AQ1473" s="235" t="s">
        <v>632</v>
      </c>
      <c r="AR1473" s="243">
        <v>3.71E11</v>
      </c>
      <c r="AS1473" s="235" t="s">
        <v>11171</v>
      </c>
      <c r="AT1473" s="235" t="s">
        <v>546</v>
      </c>
      <c r="AU1473" s="235" t="s">
        <v>634</v>
      </c>
      <c r="AV1473" s="246" t="s">
        <v>635</v>
      </c>
      <c r="AW1473" s="242"/>
      <c r="AX1473" s="242"/>
      <c r="AY1473" s="231"/>
      <c r="AZ1473" s="231"/>
      <c r="BA1473" s="227"/>
      <c r="BB1473" s="231"/>
      <c r="BC1473" s="227"/>
      <c r="BD1473" s="227"/>
      <c r="BE1473" s="227"/>
      <c r="BF1473" s="227"/>
    </row>
    <row r="1474">
      <c r="A1474" s="235" t="s">
        <v>11853</v>
      </c>
      <c r="C1474" s="235" t="s">
        <v>11854</v>
      </c>
      <c r="D1474" s="235" t="s">
        <v>11855</v>
      </c>
      <c r="E1474" s="243">
        <v>6.55E13</v>
      </c>
      <c r="F1474" s="245"/>
      <c r="G1474" s="235" t="s">
        <v>11856</v>
      </c>
      <c r="H1474" s="235" t="s">
        <v>11857</v>
      </c>
      <c r="I1474" s="235" t="s">
        <v>11857</v>
      </c>
      <c r="J1474" s="235" t="s">
        <v>11858</v>
      </c>
      <c r="K1474" s="235" t="s">
        <v>11859</v>
      </c>
      <c r="N1474" s="235" t="s">
        <v>144</v>
      </c>
      <c r="O1474" s="235" t="s">
        <v>232</v>
      </c>
      <c r="P1474" s="238">
        <v>1.0</v>
      </c>
      <c r="Q1474" s="235" t="s">
        <v>627</v>
      </c>
      <c r="R1474" s="238">
        <v>665.72</v>
      </c>
      <c r="S1474" s="238">
        <v>32.62</v>
      </c>
      <c r="T1474" s="238">
        <v>0.0</v>
      </c>
      <c r="U1474" s="238">
        <v>0.0</v>
      </c>
      <c r="V1474" s="238">
        <v>0.0</v>
      </c>
      <c r="W1474" s="238">
        <v>0.0</v>
      </c>
      <c r="X1474" s="235" t="s">
        <v>628</v>
      </c>
      <c r="Z1474" s="244"/>
      <c r="AA1474" s="244"/>
      <c r="AB1474" s="244"/>
      <c r="AC1474" s="235" t="s">
        <v>687</v>
      </c>
      <c r="AD1474" s="235" t="s">
        <v>666</v>
      </c>
      <c r="AE1474" s="238">
        <v>600130.0</v>
      </c>
      <c r="AF1474" s="235" t="s">
        <v>631</v>
      </c>
      <c r="AG1474" s="244"/>
      <c r="AH1474" s="244"/>
      <c r="AI1474" s="245"/>
      <c r="AJ1474" s="245"/>
      <c r="AK1474" s="245"/>
      <c r="AL1474" s="245"/>
      <c r="AM1474" s="244"/>
      <c r="AN1474" s="244"/>
      <c r="AO1474" s="238">
        <v>-13.32</v>
      </c>
      <c r="AP1474" s="238">
        <v>0.0</v>
      </c>
      <c r="AQ1474" s="235" t="s">
        <v>632</v>
      </c>
      <c r="AR1474" s="243">
        <v>3.71E11</v>
      </c>
      <c r="AS1474" s="235" t="s">
        <v>11171</v>
      </c>
      <c r="AT1474" s="235" t="s">
        <v>156</v>
      </c>
      <c r="AU1474" s="235" t="s">
        <v>634</v>
      </c>
      <c r="AV1474" s="246" t="s">
        <v>635</v>
      </c>
      <c r="AW1474" s="242"/>
      <c r="AX1474" s="242"/>
      <c r="AY1474" s="231"/>
      <c r="AZ1474" s="231"/>
      <c r="BA1474" s="227"/>
      <c r="BB1474" s="231"/>
      <c r="BC1474" s="227"/>
      <c r="BD1474" s="227"/>
      <c r="BE1474" s="227"/>
      <c r="BF1474" s="227"/>
    </row>
    <row r="1475">
      <c r="A1475" s="235" t="s">
        <v>11860</v>
      </c>
      <c r="C1475" s="235" t="s">
        <v>11861</v>
      </c>
      <c r="D1475" s="235" t="s">
        <v>11862</v>
      </c>
      <c r="E1475" s="243">
        <v>6.55E13</v>
      </c>
      <c r="F1475" s="245"/>
      <c r="G1475" s="235" t="s">
        <v>11863</v>
      </c>
      <c r="H1475" s="235" t="s">
        <v>11864</v>
      </c>
      <c r="I1475" s="235" t="s">
        <v>11865</v>
      </c>
      <c r="J1475" s="235" t="s">
        <v>11866</v>
      </c>
      <c r="K1475" s="235" t="s">
        <v>11867</v>
      </c>
      <c r="N1475" s="235" t="s">
        <v>85</v>
      </c>
      <c r="O1475" s="235" t="s">
        <v>872</v>
      </c>
      <c r="P1475" s="238">
        <v>1.0</v>
      </c>
      <c r="Q1475" s="235" t="s">
        <v>627</v>
      </c>
      <c r="R1475" s="238">
        <v>246.67</v>
      </c>
      <c r="S1475" s="238">
        <v>12.33</v>
      </c>
      <c r="T1475" s="238">
        <v>38.1</v>
      </c>
      <c r="U1475" s="238">
        <v>1.9</v>
      </c>
      <c r="V1475" s="238">
        <v>0.0</v>
      </c>
      <c r="W1475" s="238">
        <v>0.0</v>
      </c>
      <c r="X1475" s="235" t="s">
        <v>628</v>
      </c>
      <c r="Z1475" s="244"/>
      <c r="AA1475" s="244"/>
      <c r="AB1475" s="244"/>
      <c r="AC1475" s="235" t="s">
        <v>11868</v>
      </c>
      <c r="AD1475" s="235" t="s">
        <v>917</v>
      </c>
      <c r="AE1475" s="238">
        <v>305901.0</v>
      </c>
      <c r="AF1475" s="235" t="s">
        <v>631</v>
      </c>
      <c r="AG1475" s="244"/>
      <c r="AH1475" s="244"/>
      <c r="AI1475" s="245"/>
      <c r="AJ1475" s="245"/>
      <c r="AK1475" s="245"/>
      <c r="AL1475" s="245"/>
      <c r="AM1475" s="244"/>
      <c r="AN1475" s="244"/>
      <c r="AO1475" s="238">
        <v>0.0</v>
      </c>
      <c r="AP1475" s="238">
        <v>-38.1</v>
      </c>
      <c r="AQ1475" s="235" t="s">
        <v>632</v>
      </c>
      <c r="AR1475" s="243">
        <v>3.71E11</v>
      </c>
      <c r="AS1475" s="235" t="s">
        <v>10017</v>
      </c>
      <c r="AT1475" s="235" t="s">
        <v>14</v>
      </c>
      <c r="AU1475" s="235" t="s">
        <v>634</v>
      </c>
      <c r="AV1475" s="246" t="s">
        <v>635</v>
      </c>
      <c r="AW1475" s="242"/>
      <c r="AX1475" s="242"/>
      <c r="AY1475" s="231"/>
      <c r="AZ1475" s="231"/>
      <c r="BA1475" s="227"/>
      <c r="BB1475" s="231"/>
      <c r="BC1475" s="227"/>
      <c r="BD1475" s="227"/>
      <c r="BE1475" s="227"/>
      <c r="BF1475" s="227"/>
    </row>
    <row r="1476">
      <c r="A1476" s="235" t="s">
        <v>11869</v>
      </c>
      <c r="C1476" s="235" t="s">
        <v>11870</v>
      </c>
      <c r="D1476" s="235" t="s">
        <v>11871</v>
      </c>
      <c r="E1476" s="243">
        <v>6.55E13</v>
      </c>
      <c r="F1476" s="245"/>
      <c r="G1476" s="235" t="s">
        <v>11872</v>
      </c>
      <c r="H1476" s="235" t="s">
        <v>11873</v>
      </c>
      <c r="I1476" s="235" t="s">
        <v>11873</v>
      </c>
      <c r="J1476" s="235" t="s">
        <v>11874</v>
      </c>
      <c r="K1476" s="235" t="s">
        <v>11875</v>
      </c>
      <c r="N1476" s="235" t="s">
        <v>138</v>
      </c>
      <c r="O1476" s="235" t="s">
        <v>675</v>
      </c>
      <c r="P1476" s="238">
        <v>1.0</v>
      </c>
      <c r="Q1476" s="235" t="s">
        <v>627</v>
      </c>
      <c r="R1476" s="238">
        <v>246.66</v>
      </c>
      <c r="S1476" s="238">
        <v>12.34</v>
      </c>
      <c r="T1476" s="238">
        <v>56.2</v>
      </c>
      <c r="U1476" s="238">
        <v>2.8</v>
      </c>
      <c r="V1476" s="238">
        <v>0.0</v>
      </c>
      <c r="W1476" s="238">
        <v>0.0</v>
      </c>
      <c r="X1476" s="235" t="s">
        <v>628</v>
      </c>
      <c r="Z1476" s="244"/>
      <c r="AA1476" s="244"/>
      <c r="AB1476" s="244"/>
      <c r="AC1476" s="235" t="s">
        <v>11876</v>
      </c>
      <c r="AD1476" s="235" t="s">
        <v>845</v>
      </c>
      <c r="AE1476" s="238">
        <v>425412.0</v>
      </c>
      <c r="AF1476" s="235" t="s">
        <v>631</v>
      </c>
      <c r="AG1476" s="244"/>
      <c r="AH1476" s="244"/>
      <c r="AI1476" s="245"/>
      <c r="AJ1476" s="245"/>
      <c r="AK1476" s="245"/>
      <c r="AL1476" s="245"/>
      <c r="AM1476" s="244"/>
      <c r="AN1476" s="244"/>
      <c r="AO1476" s="238">
        <v>0.0</v>
      </c>
      <c r="AP1476" s="238">
        <v>-56.2</v>
      </c>
      <c r="AQ1476" s="235" t="s">
        <v>632</v>
      </c>
      <c r="AR1476" s="243">
        <v>3.71E11</v>
      </c>
      <c r="AS1476" s="235" t="s">
        <v>8807</v>
      </c>
      <c r="AT1476" s="235" t="s">
        <v>16</v>
      </c>
      <c r="AU1476" s="235" t="s">
        <v>634</v>
      </c>
      <c r="AV1476" s="246" t="s">
        <v>635</v>
      </c>
      <c r="AW1476" s="242"/>
      <c r="AX1476" s="242"/>
      <c r="AY1476" s="231"/>
      <c r="AZ1476" s="231"/>
      <c r="BA1476" s="227"/>
      <c r="BB1476" s="231"/>
      <c r="BC1476" s="227"/>
      <c r="BD1476" s="227"/>
      <c r="BE1476" s="227"/>
      <c r="BF1476" s="227"/>
    </row>
    <row r="1477">
      <c r="A1477" s="235" t="s">
        <v>11877</v>
      </c>
      <c r="C1477" s="235" t="s">
        <v>11878</v>
      </c>
      <c r="D1477" s="235" t="s">
        <v>11879</v>
      </c>
      <c r="E1477" s="243">
        <v>6.55E13</v>
      </c>
      <c r="F1477" s="245"/>
      <c r="G1477" s="235" t="s">
        <v>11880</v>
      </c>
      <c r="H1477" s="235" t="s">
        <v>11881</v>
      </c>
      <c r="I1477" s="235" t="s">
        <v>11881</v>
      </c>
      <c r="J1477" s="235" t="s">
        <v>11882</v>
      </c>
      <c r="K1477" s="235" t="s">
        <v>11883</v>
      </c>
      <c r="N1477" s="235" t="s">
        <v>153</v>
      </c>
      <c r="O1477" s="235" t="s">
        <v>390</v>
      </c>
      <c r="P1477" s="238">
        <v>1.0</v>
      </c>
      <c r="Q1477" s="235" t="s">
        <v>627</v>
      </c>
      <c r="R1477" s="238">
        <v>490.68</v>
      </c>
      <c r="S1477" s="238">
        <v>86.56</v>
      </c>
      <c r="T1477" s="238">
        <v>0.0</v>
      </c>
      <c r="U1477" s="238">
        <v>0.0</v>
      </c>
      <c r="V1477" s="238">
        <v>0.0</v>
      </c>
      <c r="W1477" s="238">
        <v>0.0</v>
      </c>
      <c r="X1477" s="235" t="s">
        <v>628</v>
      </c>
      <c r="Z1477" s="244"/>
      <c r="AA1477" s="244"/>
      <c r="AB1477" s="244"/>
      <c r="AC1477" s="235" t="s">
        <v>11884</v>
      </c>
      <c r="AD1477" s="235" t="s">
        <v>845</v>
      </c>
      <c r="AE1477" s="238">
        <v>402107.0</v>
      </c>
      <c r="AF1477" s="235" t="s">
        <v>631</v>
      </c>
      <c r="AG1477" s="244"/>
      <c r="AH1477" s="244"/>
      <c r="AI1477" s="245"/>
      <c r="AJ1477" s="245"/>
      <c r="AK1477" s="245"/>
      <c r="AL1477" s="245"/>
      <c r="AM1477" s="244"/>
      <c r="AN1477" s="244"/>
      <c r="AO1477" s="238">
        <v>-9.82</v>
      </c>
      <c r="AP1477" s="238">
        <v>0.0</v>
      </c>
      <c r="AQ1477" s="235" t="s">
        <v>632</v>
      </c>
      <c r="AR1477" s="243">
        <v>1.68E11</v>
      </c>
      <c r="AS1477" s="235" t="s">
        <v>8807</v>
      </c>
      <c r="AT1477" s="235" t="s">
        <v>16</v>
      </c>
      <c r="AU1477" s="235" t="s">
        <v>634</v>
      </c>
      <c r="AV1477" s="246" t="s">
        <v>635</v>
      </c>
      <c r="AW1477" s="242"/>
      <c r="AX1477" s="242"/>
      <c r="AY1477" s="231"/>
      <c r="AZ1477" s="231"/>
      <c r="BA1477" s="227"/>
      <c r="BB1477" s="231"/>
      <c r="BC1477" s="227"/>
      <c r="BD1477" s="227"/>
      <c r="BE1477" s="227"/>
      <c r="BF1477" s="227"/>
    </row>
    <row r="1478">
      <c r="A1478" s="235" t="s">
        <v>11885</v>
      </c>
      <c r="C1478" s="235" t="s">
        <v>11886</v>
      </c>
      <c r="D1478" s="235" t="s">
        <v>11887</v>
      </c>
      <c r="E1478" s="243">
        <v>6.55E13</v>
      </c>
      <c r="F1478" s="245"/>
      <c r="G1478" s="235" t="s">
        <v>11888</v>
      </c>
      <c r="H1478" s="235" t="s">
        <v>11889</v>
      </c>
      <c r="I1478" s="235" t="s">
        <v>11889</v>
      </c>
      <c r="J1478" s="235" t="s">
        <v>11890</v>
      </c>
      <c r="K1478" s="235" t="s">
        <v>11891</v>
      </c>
      <c r="N1478" s="235" t="s">
        <v>134</v>
      </c>
      <c r="O1478" s="235" t="s">
        <v>314</v>
      </c>
      <c r="P1478" s="238">
        <v>1.0</v>
      </c>
      <c r="Q1478" s="235" t="s">
        <v>627</v>
      </c>
      <c r="R1478" s="238">
        <v>246.66</v>
      </c>
      <c r="S1478" s="238">
        <v>12.34</v>
      </c>
      <c r="T1478" s="238">
        <v>0.0</v>
      </c>
      <c r="U1478" s="238">
        <v>0.0</v>
      </c>
      <c r="V1478" s="238">
        <v>0.0</v>
      </c>
      <c r="W1478" s="238">
        <v>0.0</v>
      </c>
      <c r="X1478" s="235" t="s">
        <v>628</v>
      </c>
      <c r="Z1478" s="244"/>
      <c r="AA1478" s="244"/>
      <c r="AB1478" s="244"/>
      <c r="AC1478" s="235" t="s">
        <v>678</v>
      </c>
      <c r="AD1478" s="235" t="s">
        <v>679</v>
      </c>
      <c r="AE1478" s="238">
        <v>560076.0</v>
      </c>
      <c r="AF1478" s="235" t="s">
        <v>631</v>
      </c>
      <c r="AG1478" s="244"/>
      <c r="AH1478" s="244"/>
      <c r="AI1478" s="245"/>
      <c r="AJ1478" s="245"/>
      <c r="AK1478" s="245"/>
      <c r="AL1478" s="245"/>
      <c r="AM1478" s="244"/>
      <c r="AN1478" s="244"/>
      <c r="AO1478" s="238">
        <v>0.0</v>
      </c>
      <c r="AP1478" s="238">
        <v>0.0</v>
      </c>
      <c r="AQ1478" s="235" t="s">
        <v>632</v>
      </c>
      <c r="AR1478" s="243">
        <v>1.68E11</v>
      </c>
      <c r="AS1478" s="235" t="s">
        <v>11672</v>
      </c>
      <c r="AT1478" s="235" t="s">
        <v>9</v>
      </c>
      <c r="AU1478" s="235" t="s">
        <v>634</v>
      </c>
      <c r="AV1478" s="246" t="s">
        <v>635</v>
      </c>
      <c r="AW1478" s="242"/>
      <c r="AX1478" s="242"/>
      <c r="AY1478" s="231"/>
      <c r="AZ1478" s="231"/>
      <c r="BA1478" s="227"/>
      <c r="BB1478" s="231"/>
      <c r="BC1478" s="227"/>
      <c r="BD1478" s="227"/>
      <c r="BE1478" s="227"/>
      <c r="BF1478" s="227"/>
    </row>
    <row r="1479">
      <c r="A1479" s="235" t="s">
        <v>11894</v>
      </c>
      <c r="C1479" s="235" t="s">
        <v>11895</v>
      </c>
      <c r="D1479" s="235" t="s">
        <v>11896</v>
      </c>
      <c r="E1479" s="243">
        <v>6.55E13</v>
      </c>
      <c r="F1479" s="245"/>
      <c r="G1479" s="235" t="s">
        <v>11897</v>
      </c>
      <c r="H1479" s="235" t="s">
        <v>11898</v>
      </c>
      <c r="I1479" s="235" t="s">
        <v>11899</v>
      </c>
      <c r="J1479" s="235" t="s">
        <v>11900</v>
      </c>
      <c r="K1479" s="235" t="s">
        <v>11901</v>
      </c>
      <c r="N1479" s="235" t="s">
        <v>99</v>
      </c>
      <c r="O1479" s="235" t="s">
        <v>470</v>
      </c>
      <c r="P1479" s="238">
        <v>1.0</v>
      </c>
      <c r="Q1479" s="235" t="s">
        <v>627</v>
      </c>
      <c r="R1479" s="238">
        <v>246.66</v>
      </c>
      <c r="S1479" s="238">
        <v>12.34</v>
      </c>
      <c r="T1479" s="238">
        <v>18.1</v>
      </c>
      <c r="U1479" s="238">
        <v>0.9</v>
      </c>
      <c r="V1479" s="238">
        <v>0.0</v>
      </c>
      <c r="W1479" s="238">
        <v>0.0</v>
      </c>
      <c r="X1479" s="235" t="s">
        <v>628</v>
      </c>
      <c r="Z1479" s="244"/>
      <c r="AA1479" s="244"/>
      <c r="AB1479" s="244"/>
      <c r="AC1479" s="235" t="s">
        <v>1095</v>
      </c>
      <c r="AD1479" s="235" t="s">
        <v>845</v>
      </c>
      <c r="AE1479" s="238">
        <v>400705.0</v>
      </c>
      <c r="AF1479" s="235" t="s">
        <v>631</v>
      </c>
      <c r="AG1479" s="244"/>
      <c r="AH1479" s="244"/>
      <c r="AI1479" s="245"/>
      <c r="AJ1479" s="245"/>
      <c r="AK1479" s="245"/>
      <c r="AL1479" s="245"/>
      <c r="AM1479" s="244"/>
      <c r="AN1479" s="244"/>
      <c r="AO1479" s="238">
        <v>0.0</v>
      </c>
      <c r="AP1479" s="238">
        <v>-18.1</v>
      </c>
      <c r="AQ1479" s="235" t="s">
        <v>632</v>
      </c>
      <c r="AR1479" s="243">
        <v>1.68E11</v>
      </c>
      <c r="AS1479" s="235" t="s">
        <v>11672</v>
      </c>
      <c r="AT1479" s="235" t="s">
        <v>17</v>
      </c>
      <c r="AU1479" s="235" t="s">
        <v>634</v>
      </c>
      <c r="AV1479" s="246" t="s">
        <v>635</v>
      </c>
      <c r="AW1479" s="242"/>
      <c r="AX1479" s="242"/>
      <c r="AY1479" s="231"/>
      <c r="AZ1479" s="231"/>
      <c r="BA1479" s="227"/>
      <c r="BB1479" s="231"/>
      <c r="BC1479" s="227"/>
      <c r="BD1479" s="227"/>
      <c r="BE1479" s="227"/>
      <c r="BF1479" s="227"/>
    </row>
    <row r="1480">
      <c r="A1480" s="235" t="s">
        <v>11902</v>
      </c>
      <c r="C1480" s="235" t="s">
        <v>11903</v>
      </c>
      <c r="D1480" s="235" t="s">
        <v>11904</v>
      </c>
      <c r="E1480" s="243">
        <v>6.55E13</v>
      </c>
      <c r="F1480" s="245"/>
      <c r="G1480" s="235" t="s">
        <v>11905</v>
      </c>
      <c r="H1480" s="235" t="s">
        <v>11906</v>
      </c>
      <c r="I1480" s="235" t="s">
        <v>11906</v>
      </c>
      <c r="J1480" s="235" t="s">
        <v>11907</v>
      </c>
      <c r="K1480" s="235" t="s">
        <v>11908</v>
      </c>
      <c r="N1480" s="235" t="s">
        <v>127</v>
      </c>
      <c r="O1480" s="235" t="s">
        <v>794</v>
      </c>
      <c r="P1480" s="238">
        <v>1.0</v>
      </c>
      <c r="Q1480" s="235" t="s">
        <v>627</v>
      </c>
      <c r="R1480" s="238">
        <v>246.66</v>
      </c>
      <c r="S1480" s="238">
        <v>12.34</v>
      </c>
      <c r="T1480" s="238">
        <v>0.0</v>
      </c>
      <c r="U1480" s="238">
        <v>0.0</v>
      </c>
      <c r="V1480" s="238">
        <v>0.0</v>
      </c>
      <c r="W1480" s="238">
        <v>0.0</v>
      </c>
      <c r="X1480" s="235" t="s">
        <v>628</v>
      </c>
      <c r="Z1480" s="244"/>
      <c r="AA1480" s="244"/>
      <c r="AB1480" s="244"/>
      <c r="AC1480" s="235" t="s">
        <v>11909</v>
      </c>
      <c r="AD1480" s="235" t="s">
        <v>845</v>
      </c>
      <c r="AE1480" s="238">
        <v>422402.0</v>
      </c>
      <c r="AF1480" s="235" t="s">
        <v>631</v>
      </c>
      <c r="AG1480" s="244"/>
      <c r="AH1480" s="244"/>
      <c r="AI1480" s="245"/>
      <c r="AJ1480" s="245"/>
      <c r="AK1480" s="245"/>
      <c r="AL1480" s="245"/>
      <c r="AM1480" s="244"/>
      <c r="AN1480" s="244"/>
      <c r="AO1480" s="238">
        <v>0.0</v>
      </c>
      <c r="AP1480" s="238">
        <v>0.0</v>
      </c>
      <c r="AQ1480" s="235" t="s">
        <v>632</v>
      </c>
      <c r="AR1480" s="243">
        <v>1.68E11</v>
      </c>
      <c r="AS1480" s="235" t="s">
        <v>11171</v>
      </c>
      <c r="AT1480" s="235" t="s">
        <v>17</v>
      </c>
      <c r="AU1480" s="235" t="s">
        <v>634</v>
      </c>
      <c r="AV1480" s="246" t="s">
        <v>635</v>
      </c>
      <c r="AW1480" s="242"/>
      <c r="AX1480" s="242"/>
      <c r="AY1480" s="231"/>
      <c r="AZ1480" s="231"/>
      <c r="BA1480" s="227"/>
      <c r="BB1480" s="231"/>
      <c r="BC1480" s="227"/>
      <c r="BD1480" s="227"/>
      <c r="BE1480" s="227"/>
      <c r="BF1480" s="227"/>
    </row>
    <row r="1481">
      <c r="A1481" s="235" t="s">
        <v>11910</v>
      </c>
      <c r="C1481" s="235" t="s">
        <v>11911</v>
      </c>
      <c r="D1481" s="235" t="s">
        <v>11912</v>
      </c>
      <c r="E1481" s="243">
        <v>6.55E13</v>
      </c>
      <c r="F1481" s="245"/>
      <c r="G1481" s="235" t="s">
        <v>11913</v>
      </c>
      <c r="H1481" s="235" t="s">
        <v>11914</v>
      </c>
      <c r="I1481" s="235" t="s">
        <v>11914</v>
      </c>
      <c r="J1481" s="235" t="s">
        <v>11915</v>
      </c>
      <c r="K1481" s="235" t="s">
        <v>11916</v>
      </c>
      <c r="N1481" s="235" t="s">
        <v>154</v>
      </c>
      <c r="O1481" s="235" t="s">
        <v>766</v>
      </c>
      <c r="P1481" s="238">
        <v>1.0</v>
      </c>
      <c r="Q1481" s="235" t="s">
        <v>627</v>
      </c>
      <c r="R1481" s="238">
        <v>465.71</v>
      </c>
      <c r="S1481" s="238">
        <v>23.29</v>
      </c>
      <c r="T1481" s="238">
        <v>0.0</v>
      </c>
      <c r="U1481" s="238">
        <v>0.0</v>
      </c>
      <c r="V1481" s="238">
        <v>0.0</v>
      </c>
      <c r="W1481" s="238">
        <v>0.0</v>
      </c>
      <c r="X1481" s="235" t="s">
        <v>628</v>
      </c>
      <c r="Z1481" s="244"/>
      <c r="AA1481" s="244"/>
      <c r="AB1481" s="244"/>
      <c r="AC1481" s="235" t="s">
        <v>697</v>
      </c>
      <c r="AD1481" s="235" t="s">
        <v>698</v>
      </c>
      <c r="AE1481" s="238">
        <v>500032.0</v>
      </c>
      <c r="AF1481" s="235" t="s">
        <v>631</v>
      </c>
      <c r="AG1481" s="244"/>
      <c r="AH1481" s="244"/>
      <c r="AI1481" s="245"/>
      <c r="AJ1481" s="245"/>
      <c r="AK1481" s="245"/>
      <c r="AL1481" s="245"/>
      <c r="AM1481" s="244"/>
      <c r="AN1481" s="244"/>
      <c r="AO1481" s="238">
        <v>0.0</v>
      </c>
      <c r="AP1481" s="238">
        <v>0.0</v>
      </c>
      <c r="AQ1481" s="235" t="s">
        <v>632</v>
      </c>
      <c r="AR1481" s="243">
        <v>3.71E11</v>
      </c>
      <c r="AS1481" s="235" t="s">
        <v>10017</v>
      </c>
      <c r="AT1481" s="235" t="s">
        <v>11</v>
      </c>
      <c r="AU1481" s="235" t="s">
        <v>634</v>
      </c>
      <c r="AV1481" s="246" t="s">
        <v>635</v>
      </c>
      <c r="AW1481" s="242"/>
      <c r="AX1481" s="242"/>
      <c r="AY1481" s="231"/>
      <c r="AZ1481" s="231"/>
      <c r="BA1481" s="227"/>
      <c r="BB1481" s="231"/>
      <c r="BC1481" s="227"/>
      <c r="BD1481" s="227"/>
      <c r="BE1481" s="227"/>
      <c r="BF1481" s="227"/>
    </row>
    <row r="1482">
      <c r="A1482" s="235" t="s">
        <v>11917</v>
      </c>
      <c r="C1482" s="235" t="s">
        <v>11918</v>
      </c>
      <c r="D1482" s="235" t="s">
        <v>11919</v>
      </c>
      <c r="E1482" s="243">
        <v>6.55E13</v>
      </c>
      <c r="F1482" s="245"/>
      <c r="G1482" s="235" t="s">
        <v>11920</v>
      </c>
      <c r="H1482" s="235" t="s">
        <v>11921</v>
      </c>
      <c r="I1482" s="235" t="s">
        <v>11921</v>
      </c>
      <c r="J1482" s="235" t="s">
        <v>11922</v>
      </c>
      <c r="K1482" s="235" t="s">
        <v>11923</v>
      </c>
      <c r="N1482" s="235" t="s">
        <v>154</v>
      </c>
      <c r="O1482" s="235" t="s">
        <v>766</v>
      </c>
      <c r="P1482" s="238">
        <v>1.0</v>
      </c>
      <c r="Q1482" s="235" t="s">
        <v>627</v>
      </c>
      <c r="R1482" s="238">
        <v>465.72</v>
      </c>
      <c r="S1482" s="238">
        <v>22.82</v>
      </c>
      <c r="T1482" s="238">
        <v>0.0</v>
      </c>
      <c r="U1482" s="238">
        <v>0.0</v>
      </c>
      <c r="V1482" s="238">
        <v>0.0</v>
      </c>
      <c r="W1482" s="238">
        <v>0.0</v>
      </c>
      <c r="X1482" s="235" t="s">
        <v>628</v>
      </c>
      <c r="Z1482" s="244"/>
      <c r="AA1482" s="244"/>
      <c r="AB1482" s="244"/>
      <c r="AC1482" s="235" t="s">
        <v>678</v>
      </c>
      <c r="AD1482" s="235" t="s">
        <v>679</v>
      </c>
      <c r="AE1482" s="238">
        <v>560011.0</v>
      </c>
      <c r="AF1482" s="235" t="s">
        <v>631</v>
      </c>
      <c r="AG1482" s="244"/>
      <c r="AH1482" s="244"/>
      <c r="AI1482" s="245"/>
      <c r="AJ1482" s="245"/>
      <c r="AK1482" s="245"/>
      <c r="AL1482" s="245"/>
      <c r="AM1482" s="244"/>
      <c r="AN1482" s="244"/>
      <c r="AO1482" s="238">
        <v>-9.32</v>
      </c>
      <c r="AP1482" s="238">
        <v>0.0</v>
      </c>
      <c r="AQ1482" s="235" t="s">
        <v>632</v>
      </c>
      <c r="AR1482" s="243">
        <v>3.71E11</v>
      </c>
      <c r="AS1482" s="235" t="s">
        <v>11171</v>
      </c>
      <c r="AT1482" s="235" t="s">
        <v>11</v>
      </c>
      <c r="AU1482" s="235" t="s">
        <v>634</v>
      </c>
      <c r="AV1482" s="246" t="s">
        <v>635</v>
      </c>
      <c r="AW1482" s="242"/>
      <c r="AX1482" s="242"/>
      <c r="AY1482" s="231"/>
      <c r="AZ1482" s="231"/>
      <c r="BA1482" s="227"/>
      <c r="BB1482" s="231"/>
      <c r="BC1482" s="227"/>
      <c r="BD1482" s="227"/>
      <c r="BE1482" s="227"/>
      <c r="BF1482" s="227"/>
    </row>
    <row r="1483">
      <c r="A1483" s="235" t="s">
        <v>11924</v>
      </c>
      <c r="C1483" s="235" t="s">
        <v>11925</v>
      </c>
      <c r="D1483" s="235" t="s">
        <v>11926</v>
      </c>
      <c r="E1483" s="243">
        <v>6.55E13</v>
      </c>
      <c r="F1483" s="245"/>
      <c r="G1483" s="235" t="s">
        <v>11927</v>
      </c>
      <c r="H1483" s="235" t="s">
        <v>11928</v>
      </c>
      <c r="I1483" s="235" t="s">
        <v>11928</v>
      </c>
      <c r="J1483" s="235" t="s">
        <v>11929</v>
      </c>
      <c r="K1483" s="235" t="s">
        <v>11930</v>
      </c>
      <c r="N1483" s="235" t="s">
        <v>148</v>
      </c>
      <c r="O1483" s="235" t="s">
        <v>1006</v>
      </c>
      <c r="P1483" s="238">
        <v>1.0</v>
      </c>
      <c r="Q1483" s="235" t="s">
        <v>627</v>
      </c>
      <c r="R1483" s="238">
        <v>283.81</v>
      </c>
      <c r="S1483" s="238">
        <v>14.19</v>
      </c>
      <c r="T1483" s="238">
        <v>38.1</v>
      </c>
      <c r="U1483" s="238">
        <v>1.9</v>
      </c>
      <c r="V1483" s="238">
        <v>0.0</v>
      </c>
      <c r="W1483" s="238">
        <v>0.0</v>
      </c>
      <c r="X1483" s="235" t="s">
        <v>628</v>
      </c>
      <c r="Z1483" s="244"/>
      <c r="AA1483" s="244"/>
      <c r="AB1483" s="244"/>
      <c r="AC1483" s="235" t="s">
        <v>8601</v>
      </c>
      <c r="AD1483" s="235" t="s">
        <v>8602</v>
      </c>
      <c r="AE1483" s="238">
        <v>799002.0</v>
      </c>
      <c r="AF1483" s="235" t="s">
        <v>631</v>
      </c>
      <c r="AG1483" s="244"/>
      <c r="AH1483" s="244"/>
      <c r="AI1483" s="245"/>
      <c r="AJ1483" s="245"/>
      <c r="AK1483" s="245"/>
      <c r="AL1483" s="245"/>
      <c r="AM1483" s="244"/>
      <c r="AN1483" s="244"/>
      <c r="AO1483" s="238">
        <v>0.0</v>
      </c>
      <c r="AP1483" s="238">
        <v>-38.1</v>
      </c>
      <c r="AQ1483" s="235" t="s">
        <v>632</v>
      </c>
      <c r="AR1483" s="243">
        <v>3.71E11</v>
      </c>
      <c r="AS1483" s="235" t="s">
        <v>667</v>
      </c>
      <c r="AT1483" s="235" t="s">
        <v>533</v>
      </c>
      <c r="AU1483" s="235" t="s">
        <v>634</v>
      </c>
      <c r="AV1483" s="246" t="s">
        <v>635</v>
      </c>
      <c r="AW1483" s="242"/>
      <c r="AX1483" s="242"/>
      <c r="AY1483" s="231"/>
      <c r="AZ1483" s="231"/>
      <c r="BA1483" s="227"/>
      <c r="BB1483" s="231"/>
      <c r="BC1483" s="227"/>
      <c r="BD1483" s="227"/>
      <c r="BE1483" s="227"/>
      <c r="BF1483" s="227"/>
    </row>
    <row r="1484">
      <c r="A1484" s="235" t="s">
        <v>11931</v>
      </c>
      <c r="C1484" s="235" t="s">
        <v>11932</v>
      </c>
      <c r="D1484" s="235" t="s">
        <v>11933</v>
      </c>
      <c r="E1484" s="243">
        <v>6.55E13</v>
      </c>
      <c r="F1484" s="245"/>
      <c r="G1484" s="235" t="s">
        <v>11934</v>
      </c>
      <c r="H1484" s="235" t="s">
        <v>11935</v>
      </c>
      <c r="I1484" s="235" t="s">
        <v>11936</v>
      </c>
      <c r="J1484" s="235" t="s">
        <v>11937</v>
      </c>
      <c r="K1484" s="235" t="s">
        <v>11163</v>
      </c>
      <c r="N1484" s="235" t="s">
        <v>541</v>
      </c>
      <c r="O1484" s="235" t="s">
        <v>664</v>
      </c>
      <c r="P1484" s="238">
        <v>1.0</v>
      </c>
      <c r="Q1484" s="235" t="s">
        <v>627</v>
      </c>
      <c r="R1484" s="238">
        <v>668.64</v>
      </c>
      <c r="S1484" s="238">
        <v>120.36</v>
      </c>
      <c r="T1484" s="238">
        <v>0.0</v>
      </c>
      <c r="U1484" s="238">
        <v>0.0</v>
      </c>
      <c r="V1484" s="238">
        <v>0.0</v>
      </c>
      <c r="W1484" s="238">
        <v>0.0</v>
      </c>
      <c r="X1484" s="235" t="s">
        <v>628</v>
      </c>
      <c r="Z1484" s="244"/>
      <c r="AA1484" s="244"/>
      <c r="AB1484" s="244"/>
      <c r="AC1484" s="235" t="s">
        <v>1514</v>
      </c>
      <c r="AD1484" s="235" t="s">
        <v>1077</v>
      </c>
      <c r="AE1484" s="238">
        <v>380061.0</v>
      </c>
      <c r="AF1484" s="235" t="s">
        <v>631</v>
      </c>
      <c r="AG1484" s="244"/>
      <c r="AH1484" s="244"/>
      <c r="AI1484" s="245"/>
      <c r="AJ1484" s="245"/>
      <c r="AK1484" s="245"/>
      <c r="AL1484" s="245"/>
      <c r="AM1484" s="244"/>
      <c r="AN1484" s="244"/>
      <c r="AO1484" s="238">
        <v>0.0</v>
      </c>
      <c r="AP1484" s="238">
        <v>0.0</v>
      </c>
      <c r="AQ1484" s="235" t="s">
        <v>632</v>
      </c>
      <c r="AR1484" s="243">
        <v>1.68E11</v>
      </c>
      <c r="AS1484" s="235" t="s">
        <v>11672</v>
      </c>
      <c r="AT1484" s="235" t="s">
        <v>5</v>
      </c>
      <c r="AU1484" s="235" t="s">
        <v>634</v>
      </c>
      <c r="AV1484" s="246" t="s">
        <v>635</v>
      </c>
      <c r="AW1484" s="242"/>
      <c r="AX1484" s="242"/>
      <c r="AY1484" s="231"/>
      <c r="AZ1484" s="231"/>
      <c r="BA1484" s="227"/>
      <c r="BB1484" s="231"/>
      <c r="BC1484" s="227"/>
      <c r="BD1484" s="227"/>
      <c r="BE1484" s="227"/>
      <c r="BF1484" s="227"/>
    </row>
    <row r="1485">
      <c r="A1485" s="235" t="s">
        <v>11938</v>
      </c>
      <c r="C1485" s="235" t="s">
        <v>11939</v>
      </c>
      <c r="D1485" s="235" t="s">
        <v>11940</v>
      </c>
      <c r="E1485" s="243">
        <v>6.55E13</v>
      </c>
      <c r="F1485" s="245"/>
      <c r="G1485" s="235" t="s">
        <v>11941</v>
      </c>
      <c r="H1485" s="235" t="s">
        <v>11942</v>
      </c>
      <c r="I1485" s="235" t="s">
        <v>11942</v>
      </c>
      <c r="J1485" s="235" t="s">
        <v>11943</v>
      </c>
      <c r="K1485" s="235" t="s">
        <v>11944</v>
      </c>
      <c r="N1485" s="235" t="s">
        <v>3</v>
      </c>
      <c r="O1485" s="235" t="s">
        <v>654</v>
      </c>
      <c r="P1485" s="238">
        <v>1.0</v>
      </c>
      <c r="Q1485" s="235" t="s">
        <v>627</v>
      </c>
      <c r="R1485" s="238">
        <v>265.71</v>
      </c>
      <c r="S1485" s="238">
        <v>13.29</v>
      </c>
      <c r="T1485" s="238">
        <v>0.0</v>
      </c>
      <c r="U1485" s="238">
        <v>0.0</v>
      </c>
      <c r="V1485" s="238">
        <v>0.0</v>
      </c>
      <c r="W1485" s="238">
        <v>0.0</v>
      </c>
      <c r="X1485" s="235" t="s">
        <v>628</v>
      </c>
      <c r="Z1485" s="244"/>
      <c r="AA1485" s="244"/>
      <c r="AB1485" s="244"/>
      <c r="AC1485" s="235" t="s">
        <v>697</v>
      </c>
      <c r="AD1485" s="235" t="s">
        <v>698</v>
      </c>
      <c r="AE1485" s="238">
        <v>501510.0</v>
      </c>
      <c r="AF1485" s="235" t="s">
        <v>631</v>
      </c>
      <c r="AG1485" s="244"/>
      <c r="AH1485" s="244"/>
      <c r="AI1485" s="245"/>
      <c r="AJ1485" s="245"/>
      <c r="AK1485" s="245"/>
      <c r="AL1485" s="245"/>
      <c r="AM1485" s="244"/>
      <c r="AN1485" s="244"/>
      <c r="AO1485" s="238">
        <v>0.0</v>
      </c>
      <c r="AP1485" s="238">
        <v>0.0</v>
      </c>
      <c r="AQ1485" s="235" t="s">
        <v>632</v>
      </c>
      <c r="AR1485" s="243">
        <v>3.71E11</v>
      </c>
      <c r="AS1485" s="235" t="s">
        <v>8807</v>
      </c>
      <c r="AT1485" s="235" t="s">
        <v>546</v>
      </c>
      <c r="AU1485" s="235" t="s">
        <v>634</v>
      </c>
      <c r="AV1485" s="246" t="s">
        <v>635</v>
      </c>
      <c r="AW1485" s="242"/>
      <c r="AX1485" s="242"/>
      <c r="AY1485" s="231"/>
      <c r="AZ1485" s="231"/>
      <c r="BA1485" s="227"/>
      <c r="BB1485" s="231"/>
      <c r="BC1485" s="227"/>
      <c r="BD1485" s="227"/>
      <c r="BE1485" s="227"/>
      <c r="BF1485" s="227"/>
    </row>
    <row r="1486">
      <c r="A1486" s="235" t="s">
        <v>11945</v>
      </c>
      <c r="C1486" s="235" t="s">
        <v>11946</v>
      </c>
      <c r="D1486" s="235" t="s">
        <v>11947</v>
      </c>
      <c r="E1486" s="243">
        <v>6.55E13</v>
      </c>
      <c r="F1486" s="245"/>
      <c r="G1486" s="235" t="s">
        <v>11948</v>
      </c>
      <c r="H1486" s="235" t="s">
        <v>11949</v>
      </c>
      <c r="I1486" s="235" t="s">
        <v>11949</v>
      </c>
      <c r="J1486" s="235" t="s">
        <v>11950</v>
      </c>
      <c r="K1486" s="235" t="s">
        <v>11951</v>
      </c>
      <c r="N1486" s="235" t="s">
        <v>10</v>
      </c>
      <c r="O1486" s="235" t="s">
        <v>936</v>
      </c>
      <c r="P1486" s="238">
        <v>1.0</v>
      </c>
      <c r="Q1486" s="235" t="s">
        <v>627</v>
      </c>
      <c r="R1486" s="238">
        <v>265.72</v>
      </c>
      <c r="S1486" s="238">
        <v>13.28</v>
      </c>
      <c r="T1486" s="238">
        <v>0.0</v>
      </c>
      <c r="U1486" s="238">
        <v>0.0</v>
      </c>
      <c r="V1486" s="238">
        <v>0.0</v>
      </c>
      <c r="W1486" s="238">
        <v>0.0</v>
      </c>
      <c r="X1486" s="235" t="s">
        <v>628</v>
      </c>
      <c r="Z1486" s="244"/>
      <c r="AA1486" s="244"/>
      <c r="AB1486" s="244"/>
      <c r="AC1486" s="235" t="s">
        <v>11952</v>
      </c>
      <c r="AD1486" s="235" t="s">
        <v>845</v>
      </c>
      <c r="AE1486" s="238">
        <v>411033.0</v>
      </c>
      <c r="AF1486" s="235" t="s">
        <v>631</v>
      </c>
      <c r="AG1486" s="244"/>
      <c r="AH1486" s="244"/>
      <c r="AI1486" s="245"/>
      <c r="AJ1486" s="245"/>
      <c r="AK1486" s="245"/>
      <c r="AL1486" s="245"/>
      <c r="AM1486" s="244"/>
      <c r="AN1486" s="244"/>
      <c r="AO1486" s="238">
        <v>0.0</v>
      </c>
      <c r="AP1486" s="238">
        <v>0.0</v>
      </c>
      <c r="AQ1486" s="235" t="s">
        <v>632</v>
      </c>
      <c r="AR1486" s="243">
        <v>3.71E11</v>
      </c>
      <c r="AS1486" s="235" t="s">
        <v>11171</v>
      </c>
      <c r="AT1486" s="235" t="s">
        <v>546</v>
      </c>
      <c r="AU1486" s="235" t="s">
        <v>634</v>
      </c>
      <c r="AV1486" s="246" t="s">
        <v>635</v>
      </c>
      <c r="AW1486" s="242"/>
      <c r="AX1486" s="242"/>
      <c r="AY1486" s="231"/>
      <c r="AZ1486" s="231"/>
      <c r="BA1486" s="227"/>
      <c r="BB1486" s="231"/>
      <c r="BC1486" s="227"/>
      <c r="BD1486" s="227"/>
      <c r="BE1486" s="227"/>
      <c r="BF1486" s="227"/>
    </row>
    <row r="1487">
      <c r="A1487" s="235" t="s">
        <v>11945</v>
      </c>
      <c r="C1487" s="235" t="s">
        <v>11946</v>
      </c>
      <c r="D1487" s="235" t="s">
        <v>11953</v>
      </c>
      <c r="E1487" s="243">
        <v>6.55E13</v>
      </c>
      <c r="F1487" s="245"/>
      <c r="G1487" s="235" t="s">
        <v>11948</v>
      </c>
      <c r="H1487" s="235" t="s">
        <v>11949</v>
      </c>
      <c r="I1487" s="235" t="s">
        <v>11949</v>
      </c>
      <c r="J1487" s="235" t="s">
        <v>11950</v>
      </c>
      <c r="K1487" s="235" t="s">
        <v>11951</v>
      </c>
      <c r="N1487" s="235" t="s">
        <v>10</v>
      </c>
      <c r="O1487" s="235" t="s">
        <v>936</v>
      </c>
      <c r="P1487" s="238">
        <v>1.0</v>
      </c>
      <c r="Q1487" s="235" t="s">
        <v>627</v>
      </c>
      <c r="R1487" s="238">
        <v>265.72</v>
      </c>
      <c r="S1487" s="238">
        <v>13.28</v>
      </c>
      <c r="T1487" s="238">
        <v>0.0</v>
      </c>
      <c r="U1487" s="238">
        <v>0.0</v>
      </c>
      <c r="V1487" s="238">
        <v>0.0</v>
      </c>
      <c r="W1487" s="238">
        <v>0.0</v>
      </c>
      <c r="X1487" s="235" t="s">
        <v>628</v>
      </c>
      <c r="Z1487" s="244"/>
      <c r="AA1487" s="244"/>
      <c r="AB1487" s="244"/>
      <c r="AC1487" s="235" t="s">
        <v>11952</v>
      </c>
      <c r="AD1487" s="235" t="s">
        <v>845</v>
      </c>
      <c r="AE1487" s="238">
        <v>411033.0</v>
      </c>
      <c r="AF1487" s="235" t="s">
        <v>631</v>
      </c>
      <c r="AG1487" s="244"/>
      <c r="AH1487" s="244"/>
      <c r="AI1487" s="245"/>
      <c r="AJ1487" s="245"/>
      <c r="AK1487" s="245"/>
      <c r="AL1487" s="245"/>
      <c r="AM1487" s="244"/>
      <c r="AN1487" s="244"/>
      <c r="AO1487" s="238">
        <v>0.0</v>
      </c>
      <c r="AP1487" s="238">
        <v>0.0</v>
      </c>
      <c r="AQ1487" s="235" t="s">
        <v>632</v>
      </c>
      <c r="AR1487" s="243">
        <v>3.71E11</v>
      </c>
      <c r="AS1487" s="235" t="s">
        <v>11171</v>
      </c>
      <c r="AT1487" s="235" t="s">
        <v>546</v>
      </c>
      <c r="AU1487" s="235" t="s">
        <v>634</v>
      </c>
      <c r="AV1487" s="246" t="s">
        <v>635</v>
      </c>
      <c r="AW1487" s="242"/>
      <c r="AX1487" s="242"/>
      <c r="AY1487" s="231"/>
      <c r="AZ1487" s="231"/>
      <c r="BA1487" s="227"/>
      <c r="BB1487" s="231"/>
      <c r="BC1487" s="227"/>
      <c r="BD1487" s="227"/>
      <c r="BE1487" s="227"/>
      <c r="BF1487" s="227"/>
    </row>
    <row r="1488">
      <c r="A1488" s="235" t="s">
        <v>11954</v>
      </c>
      <c r="C1488" s="235" t="s">
        <v>11955</v>
      </c>
      <c r="D1488" s="235" t="s">
        <v>11956</v>
      </c>
      <c r="E1488" s="243">
        <v>6.54E13</v>
      </c>
      <c r="F1488" s="245"/>
      <c r="G1488" s="235" t="s">
        <v>11957</v>
      </c>
      <c r="H1488" s="235" t="s">
        <v>11958</v>
      </c>
      <c r="I1488" s="235" t="s">
        <v>11958</v>
      </c>
      <c r="J1488" s="235" t="s">
        <v>11959</v>
      </c>
      <c r="K1488" s="235" t="s">
        <v>11960</v>
      </c>
      <c r="N1488" s="235" t="s">
        <v>127</v>
      </c>
      <c r="O1488" s="235" t="s">
        <v>794</v>
      </c>
      <c r="P1488" s="238">
        <v>1.0</v>
      </c>
      <c r="Q1488" s="235" t="s">
        <v>627</v>
      </c>
      <c r="R1488" s="238">
        <v>270.48</v>
      </c>
      <c r="S1488" s="238">
        <v>13.52</v>
      </c>
      <c r="T1488" s="238">
        <v>0.0</v>
      </c>
      <c r="U1488" s="238">
        <v>0.0</v>
      </c>
      <c r="V1488" s="238">
        <v>0.0</v>
      </c>
      <c r="W1488" s="238">
        <v>0.0</v>
      </c>
      <c r="X1488" s="235" t="s">
        <v>628</v>
      </c>
      <c r="Z1488" s="244"/>
      <c r="AA1488" s="244"/>
      <c r="AB1488" s="244"/>
      <c r="AC1488" s="235" t="s">
        <v>844</v>
      </c>
      <c r="AD1488" s="235" t="s">
        <v>845</v>
      </c>
      <c r="AE1488" s="238">
        <v>411014.0</v>
      </c>
      <c r="AF1488" s="235" t="s">
        <v>631</v>
      </c>
      <c r="AG1488" s="244"/>
      <c r="AH1488" s="244"/>
      <c r="AI1488" s="245"/>
      <c r="AJ1488" s="245"/>
      <c r="AK1488" s="245"/>
      <c r="AL1488" s="245"/>
      <c r="AM1488" s="244"/>
      <c r="AN1488" s="244"/>
      <c r="AO1488" s="238">
        <v>0.0</v>
      </c>
      <c r="AP1488" s="238">
        <v>0.0</v>
      </c>
      <c r="AQ1488" s="235" t="s">
        <v>632</v>
      </c>
      <c r="AR1488" s="243">
        <v>3.71E11</v>
      </c>
      <c r="AS1488" s="235" t="s">
        <v>11171</v>
      </c>
      <c r="AT1488" s="235" t="s">
        <v>546</v>
      </c>
      <c r="AU1488" s="235" t="s">
        <v>634</v>
      </c>
      <c r="AV1488" s="246" t="s">
        <v>635</v>
      </c>
      <c r="AW1488" s="242"/>
      <c r="AX1488" s="242"/>
      <c r="AY1488" s="231"/>
      <c r="AZ1488" s="231"/>
      <c r="BA1488" s="227"/>
      <c r="BB1488" s="231"/>
      <c r="BC1488" s="227"/>
      <c r="BD1488" s="227"/>
      <c r="BE1488" s="227"/>
      <c r="BF1488" s="227"/>
    </row>
    <row r="1489">
      <c r="A1489" s="235" t="s">
        <v>11961</v>
      </c>
      <c r="C1489" s="235" t="s">
        <v>11962</v>
      </c>
      <c r="D1489" s="235" t="s">
        <v>11963</v>
      </c>
      <c r="E1489" s="243">
        <v>6.55E13</v>
      </c>
      <c r="F1489" s="245"/>
      <c r="G1489" s="235" t="s">
        <v>11964</v>
      </c>
      <c r="H1489" s="235" t="s">
        <v>11965</v>
      </c>
      <c r="I1489" s="235" t="s">
        <v>11965</v>
      </c>
      <c r="J1489" s="235" t="s">
        <v>11966</v>
      </c>
      <c r="K1489" s="235" t="s">
        <v>11967</v>
      </c>
      <c r="N1489" s="235" t="s">
        <v>726</v>
      </c>
      <c r="O1489" s="235" t="s">
        <v>727</v>
      </c>
      <c r="P1489" s="238">
        <v>1.0</v>
      </c>
      <c r="Q1489" s="235" t="s">
        <v>627</v>
      </c>
      <c r="R1489" s="238">
        <v>246.67</v>
      </c>
      <c r="S1489" s="238">
        <v>12.33</v>
      </c>
      <c r="T1489" s="238">
        <v>0.0</v>
      </c>
      <c r="U1489" s="238">
        <v>0.0</v>
      </c>
      <c r="V1489" s="238">
        <v>0.0</v>
      </c>
      <c r="W1489" s="238">
        <v>0.0</v>
      </c>
      <c r="X1489" s="235" t="s">
        <v>628</v>
      </c>
      <c r="Z1489" s="244"/>
      <c r="AA1489" s="244"/>
      <c r="AB1489" s="244"/>
      <c r="AC1489" s="235" t="s">
        <v>795</v>
      </c>
      <c r="AD1489" s="235" t="s">
        <v>796</v>
      </c>
      <c r="AE1489" s="238">
        <v>110006.0</v>
      </c>
      <c r="AF1489" s="235" t="s">
        <v>631</v>
      </c>
      <c r="AG1489" s="244"/>
      <c r="AH1489" s="244"/>
      <c r="AI1489" s="245"/>
      <c r="AJ1489" s="245"/>
      <c r="AK1489" s="245"/>
      <c r="AL1489" s="245"/>
      <c r="AM1489" s="244"/>
      <c r="AN1489" s="244"/>
      <c r="AO1489" s="238">
        <v>0.0</v>
      </c>
      <c r="AP1489" s="238">
        <v>0.0</v>
      </c>
      <c r="AQ1489" s="235" t="s">
        <v>632</v>
      </c>
      <c r="AR1489" s="243">
        <v>3.71E11</v>
      </c>
      <c r="AS1489" s="235" t="s">
        <v>11171</v>
      </c>
      <c r="AT1489" s="235" t="s">
        <v>14</v>
      </c>
      <c r="AU1489" s="235" t="s">
        <v>634</v>
      </c>
      <c r="AV1489" s="246" t="s">
        <v>635</v>
      </c>
      <c r="AW1489" s="242"/>
      <c r="AX1489" s="242"/>
      <c r="AY1489" s="231"/>
      <c r="AZ1489" s="231"/>
      <c r="BA1489" s="227"/>
      <c r="BB1489" s="231"/>
      <c r="BC1489" s="227"/>
      <c r="BD1489" s="227"/>
      <c r="BE1489" s="227"/>
      <c r="BF1489" s="227"/>
    </row>
    <row r="1490">
      <c r="A1490" s="235" t="s">
        <v>11968</v>
      </c>
      <c r="C1490" s="235" t="s">
        <v>11969</v>
      </c>
      <c r="D1490" s="235" t="s">
        <v>11970</v>
      </c>
      <c r="E1490" s="243">
        <v>6.55E13</v>
      </c>
      <c r="F1490" s="245"/>
      <c r="G1490" s="235" t="s">
        <v>11971</v>
      </c>
      <c r="H1490" s="235" t="s">
        <v>11972</v>
      </c>
      <c r="I1490" s="235" t="s">
        <v>11972</v>
      </c>
      <c r="J1490" s="235" t="s">
        <v>11973</v>
      </c>
      <c r="K1490" s="235" t="s">
        <v>2745</v>
      </c>
      <c r="N1490" s="235" t="s">
        <v>145</v>
      </c>
      <c r="O1490" s="235" t="s">
        <v>370</v>
      </c>
      <c r="P1490" s="238">
        <v>1.0</v>
      </c>
      <c r="Q1490" s="235" t="s">
        <v>627</v>
      </c>
      <c r="R1490" s="238">
        <v>1522.86</v>
      </c>
      <c r="S1490" s="238">
        <v>76.14</v>
      </c>
      <c r="T1490" s="238">
        <v>18.1</v>
      </c>
      <c r="U1490" s="238">
        <v>0.9</v>
      </c>
      <c r="V1490" s="238">
        <v>0.0</v>
      </c>
      <c r="W1490" s="238">
        <v>0.0</v>
      </c>
      <c r="X1490" s="235" t="s">
        <v>628</v>
      </c>
      <c r="Z1490" s="244"/>
      <c r="AA1490" s="244"/>
      <c r="AB1490" s="244"/>
      <c r="AC1490" s="235" t="s">
        <v>1255</v>
      </c>
      <c r="AD1490" s="235" t="s">
        <v>845</v>
      </c>
      <c r="AE1490" s="238">
        <v>400615.0</v>
      </c>
      <c r="AF1490" s="235" t="s">
        <v>631</v>
      </c>
      <c r="AG1490" s="244"/>
      <c r="AH1490" s="244"/>
      <c r="AI1490" s="245"/>
      <c r="AJ1490" s="245"/>
      <c r="AK1490" s="245"/>
      <c r="AL1490" s="245"/>
      <c r="AM1490" s="244"/>
      <c r="AN1490" s="244"/>
      <c r="AO1490" s="238">
        <v>0.0</v>
      </c>
      <c r="AP1490" s="238">
        <v>-18.1</v>
      </c>
      <c r="AQ1490" s="235" t="s">
        <v>632</v>
      </c>
      <c r="AR1490" s="243">
        <v>1.68E11</v>
      </c>
      <c r="AS1490" s="235" t="s">
        <v>11672</v>
      </c>
      <c r="AT1490" s="235" t="s">
        <v>16</v>
      </c>
      <c r="AU1490" s="235" t="s">
        <v>634</v>
      </c>
      <c r="AV1490" s="246" t="s">
        <v>635</v>
      </c>
      <c r="AW1490" s="242"/>
      <c r="AX1490" s="242"/>
      <c r="AY1490" s="231"/>
      <c r="AZ1490" s="231"/>
      <c r="BA1490" s="227"/>
      <c r="BB1490" s="231"/>
      <c r="BC1490" s="227"/>
      <c r="BD1490" s="227"/>
      <c r="BE1490" s="227"/>
      <c r="BF1490" s="227"/>
    </row>
    <row r="1491">
      <c r="A1491" s="235" t="s">
        <v>11974</v>
      </c>
      <c r="C1491" s="235" t="s">
        <v>11975</v>
      </c>
      <c r="D1491" s="235" t="s">
        <v>11976</v>
      </c>
      <c r="E1491" s="243">
        <v>6.55E13</v>
      </c>
      <c r="F1491" s="245"/>
      <c r="G1491" s="235" t="s">
        <v>11977</v>
      </c>
      <c r="H1491" s="235" t="s">
        <v>11978</v>
      </c>
      <c r="I1491" s="235" t="s">
        <v>11978</v>
      </c>
      <c r="J1491" s="235" t="s">
        <v>11979</v>
      </c>
      <c r="K1491" s="235" t="s">
        <v>11980</v>
      </c>
      <c r="N1491" s="235" t="s">
        <v>154</v>
      </c>
      <c r="O1491" s="235" t="s">
        <v>766</v>
      </c>
      <c r="P1491" s="238">
        <v>1.0</v>
      </c>
      <c r="Q1491" s="235" t="s">
        <v>627</v>
      </c>
      <c r="R1491" s="238">
        <v>465.72</v>
      </c>
      <c r="S1491" s="238">
        <v>23.28</v>
      </c>
      <c r="T1491" s="238">
        <v>0.0</v>
      </c>
      <c r="U1491" s="238">
        <v>0.0</v>
      </c>
      <c r="V1491" s="238">
        <v>0.0</v>
      </c>
      <c r="W1491" s="238">
        <v>0.0</v>
      </c>
      <c r="X1491" s="235" t="s">
        <v>628</v>
      </c>
      <c r="Z1491" s="244"/>
      <c r="AA1491" s="244"/>
      <c r="AB1491" s="244"/>
      <c r="AC1491" s="235" t="s">
        <v>1058</v>
      </c>
      <c r="AD1491" s="235" t="s">
        <v>845</v>
      </c>
      <c r="AE1491" s="238">
        <v>400052.0</v>
      </c>
      <c r="AF1491" s="235" t="s">
        <v>631</v>
      </c>
      <c r="AG1491" s="244"/>
      <c r="AH1491" s="244"/>
      <c r="AI1491" s="245"/>
      <c r="AJ1491" s="245"/>
      <c r="AK1491" s="245"/>
      <c r="AL1491" s="245"/>
      <c r="AM1491" s="244"/>
      <c r="AN1491" s="244"/>
      <c r="AO1491" s="238">
        <v>0.0</v>
      </c>
      <c r="AP1491" s="238">
        <v>0.0</v>
      </c>
      <c r="AQ1491" s="235" t="s">
        <v>632</v>
      </c>
      <c r="AR1491" s="243">
        <v>3.71E11</v>
      </c>
      <c r="AS1491" s="235" t="s">
        <v>11171</v>
      </c>
      <c r="AT1491" s="235" t="s">
        <v>16</v>
      </c>
      <c r="AU1491" s="235" t="s">
        <v>634</v>
      </c>
      <c r="AV1491" s="246" t="s">
        <v>635</v>
      </c>
      <c r="AW1491" s="242"/>
      <c r="AX1491" s="242"/>
      <c r="AY1491" s="231"/>
      <c r="AZ1491" s="231"/>
      <c r="BA1491" s="227"/>
      <c r="BB1491" s="231"/>
      <c r="BC1491" s="227"/>
      <c r="BD1491" s="227"/>
      <c r="BE1491" s="227"/>
      <c r="BF1491" s="227"/>
    </row>
    <row r="1492">
      <c r="A1492" s="235" t="s">
        <v>11981</v>
      </c>
      <c r="C1492" s="235" t="s">
        <v>11982</v>
      </c>
      <c r="D1492" s="235" t="s">
        <v>11983</v>
      </c>
      <c r="E1492" s="243">
        <v>6.55E13</v>
      </c>
      <c r="F1492" s="245"/>
      <c r="G1492" s="235" t="s">
        <v>11984</v>
      </c>
      <c r="H1492" s="235" t="s">
        <v>11985</v>
      </c>
      <c r="I1492" s="235" t="s">
        <v>11985</v>
      </c>
      <c r="J1492" s="235" t="s">
        <v>11986</v>
      </c>
      <c r="K1492" s="235" t="s">
        <v>11987</v>
      </c>
      <c r="N1492" s="235" t="s">
        <v>136</v>
      </c>
      <c r="O1492" s="235" t="s">
        <v>256</v>
      </c>
      <c r="P1492" s="238">
        <v>1.0</v>
      </c>
      <c r="Q1492" s="235" t="s">
        <v>627</v>
      </c>
      <c r="R1492" s="238">
        <v>246.66</v>
      </c>
      <c r="S1492" s="238">
        <v>12.34</v>
      </c>
      <c r="T1492" s="238">
        <v>0.0</v>
      </c>
      <c r="U1492" s="238">
        <v>0.0</v>
      </c>
      <c r="V1492" s="238">
        <v>0.0</v>
      </c>
      <c r="W1492" s="238">
        <v>0.0</v>
      </c>
      <c r="X1492" s="235" t="s">
        <v>628</v>
      </c>
      <c r="Z1492" s="244"/>
      <c r="AA1492" s="244"/>
      <c r="AB1492" s="244"/>
      <c r="AC1492" s="235" t="s">
        <v>687</v>
      </c>
      <c r="AD1492" s="235" t="s">
        <v>666</v>
      </c>
      <c r="AE1492" s="238">
        <v>600042.0</v>
      </c>
      <c r="AF1492" s="235" t="s">
        <v>631</v>
      </c>
      <c r="AG1492" s="244"/>
      <c r="AH1492" s="244"/>
      <c r="AI1492" s="245"/>
      <c r="AJ1492" s="245"/>
      <c r="AK1492" s="245"/>
      <c r="AL1492" s="245"/>
      <c r="AM1492" s="244"/>
      <c r="AN1492" s="244"/>
      <c r="AO1492" s="238">
        <v>0.0</v>
      </c>
      <c r="AP1492" s="238">
        <v>0.0</v>
      </c>
      <c r="AQ1492" s="235" t="s">
        <v>632</v>
      </c>
      <c r="AR1492" s="243">
        <v>1.68E11</v>
      </c>
      <c r="AS1492" s="235" t="s">
        <v>11672</v>
      </c>
      <c r="AT1492" s="235" t="s">
        <v>156</v>
      </c>
      <c r="AU1492" s="235" t="s">
        <v>634</v>
      </c>
      <c r="AV1492" s="246" t="s">
        <v>635</v>
      </c>
      <c r="AW1492" s="242"/>
      <c r="AX1492" s="242"/>
      <c r="AY1492" s="231"/>
      <c r="AZ1492" s="231"/>
      <c r="BA1492" s="227"/>
      <c r="BB1492" s="231"/>
      <c r="BC1492" s="227"/>
      <c r="BD1492" s="227"/>
      <c r="BE1492" s="227"/>
      <c r="BF1492" s="227"/>
    </row>
    <row r="1493">
      <c r="A1493" s="235" t="s">
        <v>11988</v>
      </c>
      <c r="C1493" s="235" t="s">
        <v>11989</v>
      </c>
      <c r="D1493" s="235" t="s">
        <v>11990</v>
      </c>
      <c r="E1493" s="243">
        <v>6.55E13</v>
      </c>
      <c r="F1493" s="245"/>
      <c r="G1493" s="235" t="s">
        <v>11991</v>
      </c>
      <c r="H1493" s="235" t="s">
        <v>11992</v>
      </c>
      <c r="I1493" s="235" t="s">
        <v>11992</v>
      </c>
      <c r="J1493" s="235" t="s">
        <v>11993</v>
      </c>
      <c r="K1493" s="235" t="s">
        <v>11994</v>
      </c>
      <c r="N1493" s="235" t="s">
        <v>154</v>
      </c>
      <c r="O1493" s="235" t="s">
        <v>766</v>
      </c>
      <c r="P1493" s="238">
        <v>1.0</v>
      </c>
      <c r="Q1493" s="235" t="s">
        <v>627</v>
      </c>
      <c r="R1493" s="238">
        <v>465.72</v>
      </c>
      <c r="S1493" s="238">
        <v>23.28</v>
      </c>
      <c r="T1493" s="238">
        <v>4.53</v>
      </c>
      <c r="U1493" s="238">
        <v>0.22</v>
      </c>
      <c r="V1493" s="238">
        <v>0.0</v>
      </c>
      <c r="W1493" s="238">
        <v>0.0</v>
      </c>
      <c r="X1493" s="235" t="s">
        <v>628</v>
      </c>
      <c r="Z1493" s="244"/>
      <c r="AA1493" s="244"/>
      <c r="AB1493" s="244"/>
      <c r="AC1493" s="235" t="s">
        <v>1604</v>
      </c>
      <c r="AD1493" s="235" t="s">
        <v>845</v>
      </c>
      <c r="AE1493" s="238">
        <v>400080.0</v>
      </c>
      <c r="AF1493" s="235" t="s">
        <v>631</v>
      </c>
      <c r="AG1493" s="244"/>
      <c r="AH1493" s="244"/>
      <c r="AI1493" s="245"/>
      <c r="AJ1493" s="245"/>
      <c r="AK1493" s="245"/>
      <c r="AL1493" s="245"/>
      <c r="AM1493" s="244"/>
      <c r="AN1493" s="244"/>
      <c r="AO1493" s="238">
        <v>0.0</v>
      </c>
      <c r="AP1493" s="238">
        <v>-4.53</v>
      </c>
      <c r="AQ1493" s="235" t="s">
        <v>632</v>
      </c>
      <c r="AR1493" s="243">
        <v>1.68E11</v>
      </c>
      <c r="AS1493" s="235" t="s">
        <v>11672</v>
      </c>
      <c r="AT1493" s="235" t="s">
        <v>16</v>
      </c>
      <c r="AU1493" s="235" t="s">
        <v>634</v>
      </c>
      <c r="AV1493" s="246" t="s">
        <v>635</v>
      </c>
      <c r="AW1493" s="242"/>
      <c r="AX1493" s="242"/>
      <c r="AY1493" s="231"/>
      <c r="AZ1493" s="231"/>
      <c r="BA1493" s="227"/>
      <c r="BB1493" s="231"/>
      <c r="BC1493" s="227"/>
      <c r="BD1493" s="227"/>
      <c r="BE1493" s="227"/>
      <c r="BF1493" s="227"/>
    </row>
    <row r="1494">
      <c r="A1494" s="235" t="s">
        <v>11995</v>
      </c>
      <c r="C1494" s="235" t="s">
        <v>11996</v>
      </c>
      <c r="D1494" s="235" t="s">
        <v>11997</v>
      </c>
      <c r="E1494" s="243">
        <v>6.55E13</v>
      </c>
      <c r="F1494" s="245"/>
      <c r="G1494" s="235" t="s">
        <v>11998</v>
      </c>
      <c r="H1494" s="235" t="s">
        <v>11999</v>
      </c>
      <c r="I1494" s="235" t="s">
        <v>12000</v>
      </c>
      <c r="J1494" s="235" t="s">
        <v>12001</v>
      </c>
      <c r="K1494" s="235" t="s">
        <v>12002</v>
      </c>
      <c r="N1494" s="235" t="s">
        <v>962</v>
      </c>
      <c r="O1494" s="235" t="s">
        <v>963</v>
      </c>
      <c r="P1494" s="238">
        <v>1.0</v>
      </c>
      <c r="Q1494" s="235" t="s">
        <v>627</v>
      </c>
      <c r="R1494" s="238">
        <v>246.66</v>
      </c>
      <c r="S1494" s="238">
        <v>12.34</v>
      </c>
      <c r="T1494" s="238">
        <v>0.0</v>
      </c>
      <c r="U1494" s="238">
        <v>0.0</v>
      </c>
      <c r="V1494" s="238">
        <v>0.0</v>
      </c>
      <c r="W1494" s="238">
        <v>0.0</v>
      </c>
      <c r="X1494" s="235" t="s">
        <v>628</v>
      </c>
      <c r="Z1494" s="244"/>
      <c r="AA1494" s="244"/>
      <c r="AB1494" s="244"/>
      <c r="AC1494" s="235" t="s">
        <v>1514</v>
      </c>
      <c r="AD1494" s="235" t="s">
        <v>1077</v>
      </c>
      <c r="AE1494" s="238">
        <v>380015.0</v>
      </c>
      <c r="AF1494" s="235" t="s">
        <v>631</v>
      </c>
      <c r="AG1494" s="244"/>
      <c r="AH1494" s="244"/>
      <c r="AI1494" s="245"/>
      <c r="AJ1494" s="245"/>
      <c r="AK1494" s="245"/>
      <c r="AL1494" s="245"/>
      <c r="AM1494" s="244"/>
      <c r="AN1494" s="244"/>
      <c r="AO1494" s="238">
        <v>0.0</v>
      </c>
      <c r="AP1494" s="238">
        <v>0.0</v>
      </c>
      <c r="AQ1494" s="235" t="s">
        <v>632</v>
      </c>
      <c r="AR1494" s="243">
        <v>1.68E11</v>
      </c>
      <c r="AS1494" s="235" t="s">
        <v>11171</v>
      </c>
      <c r="AT1494" s="235" t="s">
        <v>5</v>
      </c>
      <c r="AU1494" s="235" t="s">
        <v>634</v>
      </c>
      <c r="AV1494" s="246" t="s">
        <v>635</v>
      </c>
      <c r="AW1494" s="242"/>
      <c r="AX1494" s="242"/>
      <c r="AY1494" s="231"/>
      <c r="AZ1494" s="231"/>
      <c r="BA1494" s="227"/>
      <c r="BB1494" s="231"/>
      <c r="BC1494" s="227"/>
      <c r="BD1494" s="227"/>
      <c r="BE1494" s="227"/>
      <c r="BF1494" s="227"/>
    </row>
    <row r="1495">
      <c r="A1495" s="235" t="s">
        <v>12003</v>
      </c>
      <c r="C1495" s="235" t="s">
        <v>12004</v>
      </c>
      <c r="D1495" s="235" t="s">
        <v>12005</v>
      </c>
      <c r="E1495" s="243">
        <v>6.55E13</v>
      </c>
      <c r="F1495" s="245"/>
      <c r="G1495" s="235" t="s">
        <v>12006</v>
      </c>
      <c r="H1495" s="235" t="s">
        <v>12007</v>
      </c>
      <c r="I1495" s="235" t="s">
        <v>12007</v>
      </c>
      <c r="J1495" s="235" t="s">
        <v>12008</v>
      </c>
      <c r="K1495" s="235" t="s">
        <v>12009</v>
      </c>
      <c r="N1495" s="235" t="s">
        <v>42</v>
      </c>
      <c r="O1495" s="235" t="s">
        <v>204</v>
      </c>
      <c r="P1495" s="238">
        <v>1.0</v>
      </c>
      <c r="Q1495" s="235" t="s">
        <v>627</v>
      </c>
      <c r="R1495" s="238">
        <v>237.14</v>
      </c>
      <c r="S1495" s="238">
        <v>11.86</v>
      </c>
      <c r="T1495" s="238">
        <v>0.0</v>
      </c>
      <c r="U1495" s="238">
        <v>0.0</v>
      </c>
      <c r="V1495" s="238">
        <v>0.0</v>
      </c>
      <c r="W1495" s="238">
        <v>0.0</v>
      </c>
      <c r="X1495" s="235" t="s">
        <v>628</v>
      </c>
      <c r="Z1495" s="244"/>
      <c r="AA1495" s="244"/>
      <c r="AB1495" s="244"/>
      <c r="AC1495" s="235" t="s">
        <v>6912</v>
      </c>
      <c r="AD1495" s="235" t="s">
        <v>845</v>
      </c>
      <c r="AE1495" s="238">
        <v>410218.0</v>
      </c>
      <c r="AF1495" s="235" t="s">
        <v>631</v>
      </c>
      <c r="AG1495" s="244"/>
      <c r="AH1495" s="244"/>
      <c r="AI1495" s="245"/>
      <c r="AJ1495" s="245"/>
      <c r="AK1495" s="245"/>
      <c r="AL1495" s="245"/>
      <c r="AM1495" s="244"/>
      <c r="AN1495" s="244"/>
      <c r="AO1495" s="238">
        <v>0.0</v>
      </c>
      <c r="AP1495" s="238">
        <v>0.0</v>
      </c>
      <c r="AQ1495" s="235" t="s">
        <v>632</v>
      </c>
      <c r="AR1495" s="243">
        <v>3.71E11</v>
      </c>
      <c r="AS1495" s="235" t="s">
        <v>11171</v>
      </c>
      <c r="AT1495" s="235" t="s">
        <v>16</v>
      </c>
      <c r="AU1495" s="235" t="s">
        <v>634</v>
      </c>
      <c r="AV1495" s="246" t="s">
        <v>635</v>
      </c>
      <c r="AW1495" s="242"/>
      <c r="AX1495" s="242"/>
      <c r="AY1495" s="231"/>
      <c r="AZ1495" s="231"/>
      <c r="BA1495" s="227"/>
      <c r="BB1495" s="231"/>
      <c r="BC1495" s="227"/>
      <c r="BD1495" s="227"/>
      <c r="BE1495" s="227"/>
      <c r="BF1495" s="227"/>
    </row>
    <row r="1496">
      <c r="A1496" s="235" t="s">
        <v>12010</v>
      </c>
      <c r="C1496" s="235" t="s">
        <v>12011</v>
      </c>
      <c r="D1496" s="235" t="s">
        <v>12012</v>
      </c>
      <c r="E1496" s="243">
        <v>6.55E13</v>
      </c>
      <c r="F1496" s="245"/>
      <c r="G1496" s="235" t="s">
        <v>12013</v>
      </c>
      <c r="H1496" s="235" t="s">
        <v>12014</v>
      </c>
      <c r="I1496" s="235" t="s">
        <v>12014</v>
      </c>
      <c r="J1496" s="235" t="s">
        <v>12015</v>
      </c>
      <c r="K1496" s="235" t="s">
        <v>12016</v>
      </c>
      <c r="N1496" s="235" t="s">
        <v>130</v>
      </c>
      <c r="O1496" s="235" t="s">
        <v>707</v>
      </c>
      <c r="P1496" s="238">
        <v>1.0</v>
      </c>
      <c r="Q1496" s="235" t="s">
        <v>627</v>
      </c>
      <c r="R1496" s="238">
        <v>246.66</v>
      </c>
      <c r="S1496" s="238">
        <v>12.34</v>
      </c>
      <c r="T1496" s="238">
        <v>0.0</v>
      </c>
      <c r="U1496" s="238">
        <v>0.0</v>
      </c>
      <c r="V1496" s="238">
        <v>0.0</v>
      </c>
      <c r="W1496" s="238">
        <v>0.0</v>
      </c>
      <c r="X1496" s="235" t="s">
        <v>628</v>
      </c>
      <c r="Z1496" s="244"/>
      <c r="AA1496" s="244"/>
      <c r="AB1496" s="244"/>
      <c r="AC1496" s="235" t="s">
        <v>9278</v>
      </c>
      <c r="AD1496" s="235" t="s">
        <v>1077</v>
      </c>
      <c r="AE1496" s="238">
        <v>390010.0</v>
      </c>
      <c r="AF1496" s="235" t="s">
        <v>631</v>
      </c>
      <c r="AG1496" s="244"/>
      <c r="AH1496" s="244"/>
      <c r="AI1496" s="245"/>
      <c r="AJ1496" s="245"/>
      <c r="AK1496" s="245"/>
      <c r="AL1496" s="245"/>
      <c r="AM1496" s="244"/>
      <c r="AN1496" s="244"/>
      <c r="AO1496" s="238">
        <v>0.0</v>
      </c>
      <c r="AP1496" s="238">
        <v>0.0</v>
      </c>
      <c r="AQ1496" s="235" t="s">
        <v>632</v>
      </c>
      <c r="AR1496" s="243">
        <v>1.68E11</v>
      </c>
      <c r="AS1496" s="235" t="s">
        <v>11171</v>
      </c>
      <c r="AT1496" s="235" t="s">
        <v>5</v>
      </c>
      <c r="AU1496" s="235" t="s">
        <v>634</v>
      </c>
      <c r="AV1496" s="246" t="s">
        <v>635</v>
      </c>
      <c r="AW1496" s="242"/>
      <c r="AX1496" s="242"/>
      <c r="AY1496" s="231"/>
      <c r="AZ1496" s="231"/>
      <c r="BA1496" s="227"/>
      <c r="BB1496" s="231"/>
      <c r="BC1496" s="227"/>
      <c r="BD1496" s="227"/>
      <c r="BE1496" s="227"/>
      <c r="BF1496" s="227"/>
    </row>
    <row r="1497">
      <c r="A1497" s="235" t="s">
        <v>12017</v>
      </c>
      <c r="C1497" s="235" t="s">
        <v>12018</v>
      </c>
      <c r="D1497" s="235" t="s">
        <v>12019</v>
      </c>
      <c r="E1497" s="243">
        <v>6.55E13</v>
      </c>
      <c r="F1497" s="245"/>
      <c r="G1497" s="235" t="s">
        <v>12020</v>
      </c>
      <c r="H1497" s="235" t="s">
        <v>12021</v>
      </c>
      <c r="I1497" s="235" t="s">
        <v>12021</v>
      </c>
      <c r="J1497" s="235" t="s">
        <v>12022</v>
      </c>
      <c r="K1497" s="235" t="s">
        <v>12023</v>
      </c>
      <c r="N1497" s="235" t="s">
        <v>4</v>
      </c>
      <c r="O1497" s="235" t="s">
        <v>1791</v>
      </c>
      <c r="P1497" s="238">
        <v>1.0</v>
      </c>
      <c r="Q1497" s="235" t="s">
        <v>627</v>
      </c>
      <c r="R1497" s="238">
        <v>265.71</v>
      </c>
      <c r="S1497" s="238">
        <v>12.89</v>
      </c>
      <c r="T1497" s="238">
        <v>0.0</v>
      </c>
      <c r="U1497" s="238">
        <v>0.0</v>
      </c>
      <c r="V1497" s="238">
        <v>0.0</v>
      </c>
      <c r="W1497" s="238">
        <v>0.0</v>
      </c>
      <c r="X1497" s="235" t="s">
        <v>628</v>
      </c>
      <c r="Z1497" s="244"/>
      <c r="AA1497" s="244"/>
      <c r="AB1497" s="244"/>
      <c r="AC1497" s="235" t="s">
        <v>1613</v>
      </c>
      <c r="AD1497" s="235" t="s">
        <v>630</v>
      </c>
      <c r="AE1497" s="238">
        <v>226001.0</v>
      </c>
      <c r="AF1497" s="235" t="s">
        <v>631</v>
      </c>
      <c r="AG1497" s="244"/>
      <c r="AH1497" s="244"/>
      <c r="AI1497" s="245"/>
      <c r="AJ1497" s="245"/>
      <c r="AK1497" s="245"/>
      <c r="AL1497" s="245"/>
      <c r="AM1497" s="244"/>
      <c r="AN1497" s="244"/>
      <c r="AO1497" s="238">
        <v>-7.97</v>
      </c>
      <c r="AP1497" s="238">
        <v>0.0</v>
      </c>
      <c r="AQ1497" s="235" t="s">
        <v>632</v>
      </c>
      <c r="AR1497" s="243">
        <v>2.02E11</v>
      </c>
      <c r="AS1497" s="235" t="s">
        <v>11171</v>
      </c>
      <c r="AT1497" s="235" t="s">
        <v>533</v>
      </c>
      <c r="AU1497" s="235" t="s">
        <v>634</v>
      </c>
      <c r="AV1497" s="246" t="s">
        <v>635</v>
      </c>
      <c r="AW1497" s="242"/>
      <c r="AX1497" s="242"/>
      <c r="AY1497" s="231"/>
      <c r="AZ1497" s="231"/>
      <c r="BA1497" s="227"/>
      <c r="BB1497" s="231"/>
      <c r="BC1497" s="227"/>
      <c r="BD1497" s="227"/>
      <c r="BE1497" s="227"/>
      <c r="BF1497" s="227"/>
    </row>
    <row r="1498">
      <c r="A1498" s="235" t="s">
        <v>12017</v>
      </c>
      <c r="C1498" s="235" t="s">
        <v>12018</v>
      </c>
      <c r="D1498" s="235" t="s">
        <v>12024</v>
      </c>
      <c r="E1498" s="243">
        <v>6.55E13</v>
      </c>
      <c r="F1498" s="245"/>
      <c r="G1498" s="235" t="s">
        <v>12020</v>
      </c>
      <c r="H1498" s="235" t="s">
        <v>12021</v>
      </c>
      <c r="I1498" s="235" t="s">
        <v>12021</v>
      </c>
      <c r="J1498" s="235" t="s">
        <v>12022</v>
      </c>
      <c r="K1498" s="235" t="s">
        <v>12023</v>
      </c>
      <c r="N1498" s="235" t="s">
        <v>4</v>
      </c>
      <c r="O1498" s="235" t="s">
        <v>1791</v>
      </c>
      <c r="P1498" s="238">
        <v>1.0</v>
      </c>
      <c r="Q1498" s="235" t="s">
        <v>627</v>
      </c>
      <c r="R1498" s="238">
        <v>265.71</v>
      </c>
      <c r="S1498" s="238">
        <v>12.89</v>
      </c>
      <c r="T1498" s="238">
        <v>0.0</v>
      </c>
      <c r="U1498" s="238">
        <v>0.0</v>
      </c>
      <c r="V1498" s="238">
        <v>0.0</v>
      </c>
      <c r="W1498" s="238">
        <v>0.0</v>
      </c>
      <c r="X1498" s="235" t="s">
        <v>628</v>
      </c>
      <c r="Z1498" s="244"/>
      <c r="AA1498" s="244"/>
      <c r="AB1498" s="244"/>
      <c r="AC1498" s="235" t="s">
        <v>1613</v>
      </c>
      <c r="AD1498" s="235" t="s">
        <v>630</v>
      </c>
      <c r="AE1498" s="238">
        <v>226001.0</v>
      </c>
      <c r="AF1498" s="235" t="s">
        <v>631</v>
      </c>
      <c r="AG1498" s="244"/>
      <c r="AH1498" s="244"/>
      <c r="AI1498" s="245"/>
      <c r="AJ1498" s="245"/>
      <c r="AK1498" s="245"/>
      <c r="AL1498" s="245"/>
      <c r="AM1498" s="244"/>
      <c r="AN1498" s="244"/>
      <c r="AO1498" s="238">
        <v>-7.97</v>
      </c>
      <c r="AP1498" s="238">
        <v>0.0</v>
      </c>
      <c r="AQ1498" s="235" t="s">
        <v>632</v>
      </c>
      <c r="AR1498" s="243">
        <v>2.02E11</v>
      </c>
      <c r="AS1498" s="235" t="s">
        <v>11171</v>
      </c>
      <c r="AT1498" s="235" t="s">
        <v>533</v>
      </c>
      <c r="AU1498" s="235" t="s">
        <v>634</v>
      </c>
      <c r="AV1498" s="246" t="s">
        <v>635</v>
      </c>
      <c r="AW1498" s="242"/>
      <c r="AX1498" s="242"/>
      <c r="AY1498" s="231"/>
      <c r="AZ1498" s="231"/>
      <c r="BA1498" s="227"/>
      <c r="BB1498" s="231"/>
      <c r="BC1498" s="227"/>
      <c r="BD1498" s="227"/>
      <c r="BE1498" s="227"/>
      <c r="BF1498" s="227"/>
    </row>
    <row r="1499">
      <c r="A1499" s="235" t="s">
        <v>12017</v>
      </c>
      <c r="C1499" s="235" t="s">
        <v>12018</v>
      </c>
      <c r="D1499" s="235" t="s">
        <v>12025</v>
      </c>
      <c r="E1499" s="243">
        <v>6.55E13</v>
      </c>
      <c r="F1499" s="245"/>
      <c r="G1499" s="235" t="s">
        <v>12020</v>
      </c>
      <c r="H1499" s="235" t="s">
        <v>12021</v>
      </c>
      <c r="I1499" s="235" t="s">
        <v>12021</v>
      </c>
      <c r="J1499" s="235" t="s">
        <v>12022</v>
      </c>
      <c r="K1499" s="235" t="s">
        <v>12023</v>
      </c>
      <c r="N1499" s="235" t="s">
        <v>4</v>
      </c>
      <c r="O1499" s="235" t="s">
        <v>1791</v>
      </c>
      <c r="P1499" s="238">
        <v>1.0</v>
      </c>
      <c r="Q1499" s="235" t="s">
        <v>627</v>
      </c>
      <c r="R1499" s="238">
        <v>265.71</v>
      </c>
      <c r="S1499" s="238">
        <v>12.89</v>
      </c>
      <c r="T1499" s="238">
        <v>0.0</v>
      </c>
      <c r="U1499" s="238">
        <v>0.0</v>
      </c>
      <c r="V1499" s="238">
        <v>0.0</v>
      </c>
      <c r="W1499" s="238">
        <v>0.0</v>
      </c>
      <c r="X1499" s="235" t="s">
        <v>628</v>
      </c>
      <c r="Z1499" s="244"/>
      <c r="AA1499" s="244"/>
      <c r="AB1499" s="244"/>
      <c r="AC1499" s="235" t="s">
        <v>1613</v>
      </c>
      <c r="AD1499" s="235" t="s">
        <v>630</v>
      </c>
      <c r="AE1499" s="238">
        <v>226001.0</v>
      </c>
      <c r="AF1499" s="235" t="s">
        <v>631</v>
      </c>
      <c r="AG1499" s="244"/>
      <c r="AH1499" s="244"/>
      <c r="AI1499" s="245"/>
      <c r="AJ1499" s="245"/>
      <c r="AK1499" s="245"/>
      <c r="AL1499" s="245"/>
      <c r="AM1499" s="244"/>
      <c r="AN1499" s="244"/>
      <c r="AO1499" s="238">
        <v>-7.97</v>
      </c>
      <c r="AP1499" s="238">
        <v>0.0</v>
      </c>
      <c r="AQ1499" s="235" t="s">
        <v>632</v>
      </c>
      <c r="AR1499" s="243">
        <v>2.02E11</v>
      </c>
      <c r="AS1499" s="235" t="s">
        <v>11171</v>
      </c>
      <c r="AT1499" s="235" t="s">
        <v>533</v>
      </c>
      <c r="AU1499" s="235" t="s">
        <v>634</v>
      </c>
      <c r="AV1499" s="246" t="s">
        <v>635</v>
      </c>
      <c r="AW1499" s="242"/>
      <c r="AX1499" s="242"/>
      <c r="AY1499" s="231"/>
      <c r="AZ1499" s="231"/>
      <c r="BA1499" s="227"/>
      <c r="BB1499" s="231"/>
      <c r="BC1499" s="227"/>
      <c r="BD1499" s="227"/>
      <c r="BE1499" s="227"/>
      <c r="BF1499" s="227"/>
    </row>
    <row r="1500">
      <c r="A1500" s="235" t="s">
        <v>12026</v>
      </c>
      <c r="C1500" s="235" t="s">
        <v>12027</v>
      </c>
      <c r="D1500" s="235" t="s">
        <v>12028</v>
      </c>
      <c r="E1500" s="243">
        <v>6.55E13</v>
      </c>
      <c r="F1500" s="245"/>
      <c r="G1500" s="235" t="s">
        <v>12029</v>
      </c>
      <c r="H1500" s="235" t="s">
        <v>12030</v>
      </c>
      <c r="I1500" s="235" t="s">
        <v>12030</v>
      </c>
      <c r="J1500" s="235" t="s">
        <v>12031</v>
      </c>
      <c r="K1500" s="235" t="s">
        <v>12032</v>
      </c>
      <c r="N1500" s="235" t="s">
        <v>3903</v>
      </c>
      <c r="O1500" s="235" t="s">
        <v>3904</v>
      </c>
      <c r="P1500" s="238">
        <v>1.0</v>
      </c>
      <c r="Q1500" s="235" t="s">
        <v>627</v>
      </c>
      <c r="R1500" s="238">
        <v>1355.08</v>
      </c>
      <c r="S1500" s="238">
        <v>243.92</v>
      </c>
      <c r="T1500" s="238">
        <v>0.0</v>
      </c>
      <c r="U1500" s="238">
        <v>0.0</v>
      </c>
      <c r="V1500" s="238">
        <v>0.0</v>
      </c>
      <c r="W1500" s="238">
        <v>0.0</v>
      </c>
      <c r="X1500" s="235" t="s">
        <v>628</v>
      </c>
      <c r="Z1500" s="244"/>
      <c r="AA1500" s="244"/>
      <c r="AB1500" s="244"/>
      <c r="AC1500" s="235" t="s">
        <v>12033</v>
      </c>
      <c r="AD1500" s="235" t="s">
        <v>12034</v>
      </c>
      <c r="AE1500" s="238">
        <v>791110.0</v>
      </c>
      <c r="AF1500" s="235" t="s">
        <v>631</v>
      </c>
      <c r="AG1500" s="244"/>
      <c r="AH1500" s="244"/>
      <c r="AI1500" s="245"/>
      <c r="AJ1500" s="245"/>
      <c r="AK1500" s="245"/>
      <c r="AL1500" s="245"/>
      <c r="AM1500" s="244"/>
      <c r="AN1500" s="244"/>
      <c r="AO1500" s="238">
        <v>0.0</v>
      </c>
      <c r="AP1500" s="238">
        <v>0.0</v>
      </c>
      <c r="AQ1500" s="235" t="s">
        <v>632</v>
      </c>
      <c r="AR1500" s="243">
        <v>3.71E11</v>
      </c>
      <c r="AS1500" s="235" t="s">
        <v>4697</v>
      </c>
      <c r="AT1500" s="235" t="s">
        <v>533</v>
      </c>
      <c r="AU1500" s="235" t="s">
        <v>634</v>
      </c>
      <c r="AV1500" s="246" t="s">
        <v>635</v>
      </c>
      <c r="AW1500" s="242"/>
      <c r="AX1500" s="242"/>
      <c r="AY1500" s="231"/>
      <c r="AZ1500" s="231"/>
      <c r="BA1500" s="227"/>
      <c r="BB1500" s="231"/>
      <c r="BC1500" s="227"/>
      <c r="BD1500" s="227"/>
      <c r="BE1500" s="227"/>
      <c r="BF1500" s="227"/>
    </row>
    <row r="1501">
      <c r="A1501" s="235" t="s">
        <v>12035</v>
      </c>
      <c r="C1501" s="235" t="s">
        <v>12036</v>
      </c>
      <c r="D1501" s="235" t="s">
        <v>12037</v>
      </c>
      <c r="E1501" s="243">
        <v>6.55E13</v>
      </c>
      <c r="F1501" s="245"/>
      <c r="G1501" s="235" t="s">
        <v>12038</v>
      </c>
      <c r="H1501" s="235" t="s">
        <v>12039</v>
      </c>
      <c r="I1501" s="235" t="s">
        <v>12039</v>
      </c>
      <c r="J1501" s="235" t="s">
        <v>12040</v>
      </c>
      <c r="K1501" s="235" t="s">
        <v>12041</v>
      </c>
      <c r="N1501" s="235" t="s">
        <v>24</v>
      </c>
      <c r="O1501" s="235" t="s">
        <v>786</v>
      </c>
      <c r="P1501" s="238">
        <v>1.0</v>
      </c>
      <c r="Q1501" s="235" t="s">
        <v>627</v>
      </c>
      <c r="R1501" s="238">
        <v>360.95</v>
      </c>
      <c r="S1501" s="238">
        <v>17.51</v>
      </c>
      <c r="T1501" s="238">
        <v>0.0</v>
      </c>
      <c r="U1501" s="238">
        <v>0.0</v>
      </c>
      <c r="V1501" s="238">
        <v>0.0</v>
      </c>
      <c r="W1501" s="238">
        <v>0.0</v>
      </c>
      <c r="X1501" s="235" t="s">
        <v>628</v>
      </c>
      <c r="Z1501" s="244"/>
      <c r="AA1501" s="244"/>
      <c r="AB1501" s="244"/>
      <c r="AC1501" s="235" t="s">
        <v>937</v>
      </c>
      <c r="AD1501" s="235" t="s">
        <v>709</v>
      </c>
      <c r="AE1501" s="238">
        <v>800020.0</v>
      </c>
      <c r="AF1501" s="235" t="s">
        <v>631</v>
      </c>
      <c r="AG1501" s="244"/>
      <c r="AH1501" s="244"/>
      <c r="AI1501" s="245"/>
      <c r="AJ1501" s="245"/>
      <c r="AK1501" s="245"/>
      <c r="AL1501" s="245"/>
      <c r="AM1501" s="244"/>
      <c r="AN1501" s="244"/>
      <c r="AO1501" s="238">
        <v>-10.83</v>
      </c>
      <c r="AP1501" s="238">
        <v>0.0</v>
      </c>
      <c r="AQ1501" s="235" t="s">
        <v>632</v>
      </c>
      <c r="AR1501" s="243">
        <v>2.02E11</v>
      </c>
      <c r="AS1501" s="235" t="s">
        <v>11171</v>
      </c>
      <c r="AT1501" s="235" t="s">
        <v>11</v>
      </c>
      <c r="AU1501" s="235" t="s">
        <v>634</v>
      </c>
      <c r="AV1501" s="246" t="s">
        <v>635</v>
      </c>
      <c r="AW1501" s="242"/>
      <c r="AX1501" s="242"/>
      <c r="AY1501" s="231"/>
      <c r="AZ1501" s="231"/>
      <c r="BA1501" s="227"/>
      <c r="BB1501" s="231"/>
      <c r="BC1501" s="227"/>
      <c r="BD1501" s="227"/>
      <c r="BE1501" s="227"/>
      <c r="BF1501" s="227"/>
    </row>
    <row r="1502">
      <c r="A1502" s="235" t="s">
        <v>12035</v>
      </c>
      <c r="C1502" s="235" t="s">
        <v>12036</v>
      </c>
      <c r="D1502" s="235" t="s">
        <v>12042</v>
      </c>
      <c r="E1502" s="243">
        <v>6.55E13</v>
      </c>
      <c r="F1502" s="245"/>
      <c r="G1502" s="235" t="s">
        <v>12038</v>
      </c>
      <c r="H1502" s="235" t="s">
        <v>12039</v>
      </c>
      <c r="I1502" s="235" t="s">
        <v>12039</v>
      </c>
      <c r="J1502" s="235" t="s">
        <v>12040</v>
      </c>
      <c r="K1502" s="235" t="s">
        <v>12041</v>
      </c>
      <c r="N1502" s="235" t="s">
        <v>24</v>
      </c>
      <c r="O1502" s="235" t="s">
        <v>786</v>
      </c>
      <c r="P1502" s="238">
        <v>1.0</v>
      </c>
      <c r="Q1502" s="235" t="s">
        <v>627</v>
      </c>
      <c r="R1502" s="238">
        <v>360.95</v>
      </c>
      <c r="S1502" s="238">
        <v>17.51</v>
      </c>
      <c r="T1502" s="238">
        <v>0.0</v>
      </c>
      <c r="U1502" s="238">
        <v>0.0</v>
      </c>
      <c r="V1502" s="238">
        <v>0.0</v>
      </c>
      <c r="W1502" s="238">
        <v>0.0</v>
      </c>
      <c r="X1502" s="235" t="s">
        <v>628</v>
      </c>
      <c r="Z1502" s="244"/>
      <c r="AA1502" s="244"/>
      <c r="AB1502" s="244"/>
      <c r="AC1502" s="235" t="s">
        <v>937</v>
      </c>
      <c r="AD1502" s="235" t="s">
        <v>709</v>
      </c>
      <c r="AE1502" s="238">
        <v>800020.0</v>
      </c>
      <c r="AF1502" s="235" t="s">
        <v>631</v>
      </c>
      <c r="AG1502" s="244"/>
      <c r="AH1502" s="244"/>
      <c r="AI1502" s="245"/>
      <c r="AJ1502" s="245"/>
      <c r="AK1502" s="245"/>
      <c r="AL1502" s="245"/>
      <c r="AM1502" s="244"/>
      <c r="AN1502" s="244"/>
      <c r="AO1502" s="238">
        <v>-10.83</v>
      </c>
      <c r="AP1502" s="238">
        <v>0.0</v>
      </c>
      <c r="AQ1502" s="235" t="s">
        <v>632</v>
      </c>
      <c r="AR1502" s="243">
        <v>2.02E11</v>
      </c>
      <c r="AS1502" s="235" t="s">
        <v>11171</v>
      </c>
      <c r="AT1502" s="235" t="s">
        <v>11</v>
      </c>
      <c r="AU1502" s="235" t="s">
        <v>634</v>
      </c>
      <c r="AV1502" s="246" t="s">
        <v>635</v>
      </c>
      <c r="AW1502" s="242"/>
      <c r="AX1502" s="242"/>
      <c r="AY1502" s="231"/>
      <c r="AZ1502" s="231"/>
      <c r="BA1502" s="227"/>
      <c r="BB1502" s="231"/>
      <c r="BC1502" s="227"/>
      <c r="BD1502" s="227"/>
      <c r="BE1502" s="227"/>
      <c r="BF1502" s="227"/>
    </row>
    <row r="1503">
      <c r="A1503" s="235" t="s">
        <v>12043</v>
      </c>
      <c r="C1503" s="235" t="s">
        <v>12044</v>
      </c>
      <c r="D1503" s="235" t="s">
        <v>12045</v>
      </c>
      <c r="E1503" s="243">
        <v>6.55E13</v>
      </c>
      <c r="F1503" s="245"/>
      <c r="G1503" s="235" t="s">
        <v>12046</v>
      </c>
      <c r="H1503" s="235" t="s">
        <v>12047</v>
      </c>
      <c r="I1503" s="235" t="s">
        <v>12047</v>
      </c>
      <c r="J1503" s="235" t="s">
        <v>12048</v>
      </c>
      <c r="K1503" s="235" t="s">
        <v>12049</v>
      </c>
      <c r="N1503" s="235" t="s">
        <v>15</v>
      </c>
      <c r="O1503" s="235" t="s">
        <v>856</v>
      </c>
      <c r="P1503" s="238">
        <v>1.0</v>
      </c>
      <c r="Q1503" s="235" t="s">
        <v>627</v>
      </c>
      <c r="R1503" s="238">
        <v>360.95</v>
      </c>
      <c r="S1503" s="238">
        <v>18.05</v>
      </c>
      <c r="T1503" s="238">
        <v>0.0</v>
      </c>
      <c r="U1503" s="238">
        <v>0.0</v>
      </c>
      <c r="V1503" s="238">
        <v>0.0</v>
      </c>
      <c r="W1503" s="238">
        <v>0.0</v>
      </c>
      <c r="X1503" s="235" t="s">
        <v>628</v>
      </c>
      <c r="Z1503" s="244"/>
      <c r="AA1503" s="244"/>
      <c r="AB1503" s="244"/>
      <c r="AC1503" s="235" t="s">
        <v>899</v>
      </c>
      <c r="AD1503" s="235" t="s">
        <v>833</v>
      </c>
      <c r="AE1503" s="238">
        <v>517526.0</v>
      </c>
      <c r="AF1503" s="235" t="s">
        <v>631</v>
      </c>
      <c r="AG1503" s="244"/>
      <c r="AH1503" s="244"/>
      <c r="AI1503" s="245"/>
      <c r="AJ1503" s="245"/>
      <c r="AK1503" s="245"/>
      <c r="AL1503" s="245"/>
      <c r="AM1503" s="244"/>
      <c r="AN1503" s="244"/>
      <c r="AO1503" s="238">
        <v>0.0</v>
      </c>
      <c r="AP1503" s="238">
        <v>0.0</v>
      </c>
      <c r="AQ1503" s="235" t="s">
        <v>632</v>
      </c>
      <c r="AR1503" s="243">
        <v>3.71E11</v>
      </c>
      <c r="AS1503" s="235" t="s">
        <v>11171</v>
      </c>
      <c r="AT1503" s="235" t="s">
        <v>156</v>
      </c>
      <c r="AU1503" s="235" t="s">
        <v>634</v>
      </c>
      <c r="AV1503" s="246" t="s">
        <v>635</v>
      </c>
      <c r="AW1503" s="242"/>
      <c r="AX1503" s="242"/>
      <c r="AY1503" s="231"/>
      <c r="AZ1503" s="231"/>
      <c r="BA1503" s="227"/>
      <c r="BB1503" s="231"/>
      <c r="BC1503" s="227"/>
      <c r="BD1503" s="227"/>
      <c r="BE1503" s="227"/>
      <c r="BF1503" s="227"/>
    </row>
    <row r="1504">
      <c r="A1504" s="235" t="s">
        <v>12050</v>
      </c>
      <c r="C1504" s="235" t="s">
        <v>12051</v>
      </c>
      <c r="D1504" s="235" t="s">
        <v>12052</v>
      </c>
      <c r="E1504" s="243">
        <v>6.55E13</v>
      </c>
      <c r="F1504" s="245"/>
      <c r="G1504" s="235" t="s">
        <v>12053</v>
      </c>
      <c r="H1504" s="235" t="s">
        <v>12054</v>
      </c>
      <c r="I1504" s="235" t="s">
        <v>12055</v>
      </c>
      <c r="J1504" s="235" t="s">
        <v>12056</v>
      </c>
      <c r="K1504" s="235" t="s">
        <v>12057</v>
      </c>
      <c r="N1504" s="235" t="s">
        <v>49</v>
      </c>
      <c r="O1504" s="235" t="s">
        <v>321</v>
      </c>
      <c r="P1504" s="238">
        <v>1.0</v>
      </c>
      <c r="Q1504" s="235" t="s">
        <v>627</v>
      </c>
      <c r="R1504" s="238">
        <v>237.14</v>
      </c>
      <c r="S1504" s="238">
        <v>11.86</v>
      </c>
      <c r="T1504" s="238">
        <v>0.0</v>
      </c>
      <c r="U1504" s="238">
        <v>0.0</v>
      </c>
      <c r="V1504" s="238">
        <v>0.0</v>
      </c>
      <c r="W1504" s="238">
        <v>0.0</v>
      </c>
      <c r="X1504" s="235" t="s">
        <v>628</v>
      </c>
      <c r="Z1504" s="244"/>
      <c r="AA1504" s="244"/>
      <c r="AB1504" s="244"/>
      <c r="AC1504" s="235" t="s">
        <v>2236</v>
      </c>
      <c r="AD1504" s="235" t="s">
        <v>666</v>
      </c>
      <c r="AE1504" s="238">
        <v>641201.0</v>
      </c>
      <c r="AF1504" s="235" t="s">
        <v>631</v>
      </c>
      <c r="AG1504" s="244"/>
      <c r="AH1504" s="244"/>
      <c r="AI1504" s="245"/>
      <c r="AJ1504" s="245"/>
      <c r="AK1504" s="245"/>
      <c r="AL1504" s="245"/>
      <c r="AM1504" s="244"/>
      <c r="AN1504" s="244"/>
      <c r="AO1504" s="238">
        <v>0.0</v>
      </c>
      <c r="AP1504" s="238">
        <v>0.0</v>
      </c>
      <c r="AQ1504" s="235" t="s">
        <v>632</v>
      </c>
      <c r="AR1504" s="243">
        <v>3.71E11</v>
      </c>
      <c r="AS1504" s="235" t="s">
        <v>6164</v>
      </c>
      <c r="AT1504" s="235" t="s">
        <v>5</v>
      </c>
      <c r="AU1504" s="235" t="s">
        <v>634</v>
      </c>
      <c r="AV1504" s="246" t="s">
        <v>635</v>
      </c>
      <c r="AW1504" s="242"/>
      <c r="AX1504" s="242"/>
      <c r="AY1504" s="231"/>
      <c r="AZ1504" s="231"/>
      <c r="BA1504" s="227"/>
      <c r="BB1504" s="231"/>
      <c r="BC1504" s="227"/>
      <c r="BD1504" s="227"/>
      <c r="BE1504" s="227"/>
      <c r="BF1504" s="227"/>
    </row>
    <row r="1505">
      <c r="A1505" s="235" t="s">
        <v>12058</v>
      </c>
      <c r="C1505" s="235" t="s">
        <v>12059</v>
      </c>
      <c r="D1505" s="235" t="s">
        <v>12060</v>
      </c>
      <c r="E1505" s="243">
        <v>6.55E13</v>
      </c>
      <c r="F1505" s="245"/>
      <c r="G1505" s="235" t="s">
        <v>12061</v>
      </c>
      <c r="H1505" s="235" t="s">
        <v>12062</v>
      </c>
      <c r="I1505" s="235" t="s">
        <v>12062</v>
      </c>
      <c r="J1505" s="235" t="s">
        <v>12063</v>
      </c>
      <c r="K1505" s="235" t="s">
        <v>12064</v>
      </c>
      <c r="N1505" s="235" t="s">
        <v>138</v>
      </c>
      <c r="O1505" s="235" t="s">
        <v>675</v>
      </c>
      <c r="P1505" s="238">
        <v>1.0</v>
      </c>
      <c r="Q1505" s="235" t="s">
        <v>627</v>
      </c>
      <c r="R1505" s="238">
        <v>246.66</v>
      </c>
      <c r="S1505" s="238">
        <v>12.34</v>
      </c>
      <c r="T1505" s="238">
        <v>9.04</v>
      </c>
      <c r="U1505" s="238">
        <v>0.46</v>
      </c>
      <c r="V1505" s="238">
        <v>0.0</v>
      </c>
      <c r="W1505" s="238">
        <v>0.0</v>
      </c>
      <c r="X1505" s="235" t="s">
        <v>628</v>
      </c>
      <c r="Z1505" s="244"/>
      <c r="AA1505" s="244"/>
      <c r="AB1505" s="244"/>
      <c r="AC1505" s="235" t="s">
        <v>1058</v>
      </c>
      <c r="AD1505" s="235" t="s">
        <v>845</v>
      </c>
      <c r="AE1505" s="238">
        <v>400095.0</v>
      </c>
      <c r="AF1505" s="235" t="s">
        <v>631</v>
      </c>
      <c r="AG1505" s="244"/>
      <c r="AH1505" s="244"/>
      <c r="AI1505" s="245"/>
      <c r="AJ1505" s="245"/>
      <c r="AK1505" s="245"/>
      <c r="AL1505" s="245"/>
      <c r="AM1505" s="244"/>
      <c r="AN1505" s="244"/>
      <c r="AO1505" s="238">
        <v>0.0</v>
      </c>
      <c r="AP1505" s="238">
        <v>-9.04</v>
      </c>
      <c r="AQ1505" s="235" t="s">
        <v>632</v>
      </c>
      <c r="AR1505" s="243">
        <v>1.68E11</v>
      </c>
      <c r="AS1505" s="235" t="s">
        <v>11672</v>
      </c>
      <c r="AT1505" s="235" t="s">
        <v>16</v>
      </c>
      <c r="AU1505" s="235" t="s">
        <v>634</v>
      </c>
      <c r="AV1505" s="246" t="s">
        <v>635</v>
      </c>
      <c r="AW1505" s="242"/>
      <c r="AX1505" s="242"/>
      <c r="AY1505" s="231"/>
      <c r="AZ1505" s="231"/>
      <c r="BA1505" s="227"/>
      <c r="BB1505" s="231"/>
      <c r="BC1505" s="227"/>
      <c r="BD1505" s="227"/>
      <c r="BE1505" s="227"/>
      <c r="BF1505" s="227"/>
    </row>
    <row r="1506">
      <c r="A1506" s="235" t="s">
        <v>12065</v>
      </c>
      <c r="C1506" s="235" t="s">
        <v>12066</v>
      </c>
      <c r="D1506" s="235" t="s">
        <v>12067</v>
      </c>
      <c r="E1506" s="243">
        <v>6.55E13</v>
      </c>
      <c r="F1506" s="245"/>
      <c r="G1506" s="235" t="s">
        <v>12068</v>
      </c>
      <c r="H1506" s="235" t="s">
        <v>12069</v>
      </c>
      <c r="I1506" s="235" t="s">
        <v>12069</v>
      </c>
      <c r="J1506" s="235" t="s">
        <v>12070</v>
      </c>
      <c r="K1506" s="235" t="s">
        <v>12071</v>
      </c>
      <c r="N1506" s="235" t="s">
        <v>726</v>
      </c>
      <c r="O1506" s="235" t="s">
        <v>727</v>
      </c>
      <c r="P1506" s="238">
        <v>1.0</v>
      </c>
      <c r="Q1506" s="235" t="s">
        <v>627</v>
      </c>
      <c r="R1506" s="238">
        <v>246.66</v>
      </c>
      <c r="S1506" s="238">
        <v>12.34</v>
      </c>
      <c r="T1506" s="238">
        <v>18.1</v>
      </c>
      <c r="U1506" s="238">
        <v>0.9</v>
      </c>
      <c r="V1506" s="238">
        <v>0.0</v>
      </c>
      <c r="W1506" s="238">
        <v>0.0</v>
      </c>
      <c r="X1506" s="235" t="s">
        <v>628</v>
      </c>
      <c r="Z1506" s="244"/>
      <c r="AA1506" s="244"/>
      <c r="AB1506" s="244"/>
      <c r="AC1506" s="235" t="s">
        <v>1255</v>
      </c>
      <c r="AD1506" s="235" t="s">
        <v>845</v>
      </c>
      <c r="AE1506" s="238">
        <v>400605.0</v>
      </c>
      <c r="AF1506" s="235" t="s">
        <v>631</v>
      </c>
      <c r="AG1506" s="244"/>
      <c r="AH1506" s="244"/>
      <c r="AI1506" s="245"/>
      <c r="AJ1506" s="245"/>
      <c r="AK1506" s="245"/>
      <c r="AL1506" s="245"/>
      <c r="AM1506" s="244"/>
      <c r="AN1506" s="244"/>
      <c r="AO1506" s="238">
        <v>0.0</v>
      </c>
      <c r="AP1506" s="238">
        <v>-18.1</v>
      </c>
      <c r="AQ1506" s="235" t="s">
        <v>632</v>
      </c>
      <c r="AR1506" s="243">
        <v>1.68E11</v>
      </c>
      <c r="AS1506" s="235" t="s">
        <v>11672</v>
      </c>
      <c r="AT1506" s="235" t="s">
        <v>16</v>
      </c>
      <c r="AU1506" s="235" t="s">
        <v>634</v>
      </c>
      <c r="AV1506" s="246" t="s">
        <v>635</v>
      </c>
      <c r="AW1506" s="242"/>
      <c r="AX1506" s="242"/>
      <c r="AY1506" s="231"/>
      <c r="AZ1506" s="231"/>
      <c r="BA1506" s="227"/>
      <c r="BB1506" s="231"/>
      <c r="BC1506" s="227"/>
      <c r="BD1506" s="227"/>
      <c r="BE1506" s="227"/>
      <c r="BF1506" s="227"/>
    </row>
    <row r="1507">
      <c r="A1507" s="235" t="s">
        <v>12072</v>
      </c>
      <c r="C1507" s="235" t="s">
        <v>12073</v>
      </c>
      <c r="D1507" s="235" t="s">
        <v>12074</v>
      </c>
      <c r="E1507" s="243">
        <v>6.55E13</v>
      </c>
      <c r="F1507" s="245"/>
      <c r="G1507" s="235" t="s">
        <v>12075</v>
      </c>
      <c r="H1507" s="235" t="s">
        <v>12076</v>
      </c>
      <c r="I1507" s="235" t="s">
        <v>12076</v>
      </c>
      <c r="J1507" s="235" t="s">
        <v>12077</v>
      </c>
      <c r="K1507" s="235" t="s">
        <v>12078</v>
      </c>
      <c r="N1507" s="235" t="s">
        <v>85</v>
      </c>
      <c r="O1507" s="235" t="s">
        <v>872</v>
      </c>
      <c r="P1507" s="238">
        <v>1.0</v>
      </c>
      <c r="Q1507" s="235" t="s">
        <v>627</v>
      </c>
      <c r="R1507" s="238">
        <v>246.66</v>
      </c>
      <c r="S1507" s="238">
        <v>11.97</v>
      </c>
      <c r="T1507" s="238">
        <v>0.0</v>
      </c>
      <c r="U1507" s="238">
        <v>0.0</v>
      </c>
      <c r="V1507" s="238">
        <v>0.0</v>
      </c>
      <c r="W1507" s="238">
        <v>0.0</v>
      </c>
      <c r="X1507" s="235" t="s">
        <v>628</v>
      </c>
      <c r="Z1507" s="244"/>
      <c r="AA1507" s="244"/>
      <c r="AB1507" s="244"/>
      <c r="AC1507" s="235" t="s">
        <v>2092</v>
      </c>
      <c r="AD1507" s="235" t="s">
        <v>845</v>
      </c>
      <c r="AE1507" s="238">
        <v>411057.0</v>
      </c>
      <c r="AF1507" s="235" t="s">
        <v>631</v>
      </c>
      <c r="AG1507" s="244"/>
      <c r="AH1507" s="244"/>
      <c r="AI1507" s="245"/>
      <c r="AJ1507" s="245"/>
      <c r="AK1507" s="245"/>
      <c r="AL1507" s="245"/>
      <c r="AM1507" s="244"/>
      <c r="AN1507" s="244"/>
      <c r="AO1507" s="238">
        <v>-7.4</v>
      </c>
      <c r="AP1507" s="238">
        <v>0.0</v>
      </c>
      <c r="AQ1507" s="235" t="s">
        <v>632</v>
      </c>
      <c r="AR1507" s="243">
        <v>1.68E11</v>
      </c>
      <c r="AS1507" s="235" t="s">
        <v>11171</v>
      </c>
      <c r="AT1507" s="235" t="s">
        <v>17</v>
      </c>
      <c r="AU1507" s="235" t="s">
        <v>634</v>
      </c>
      <c r="AV1507" s="246" t="s">
        <v>635</v>
      </c>
      <c r="AW1507" s="242"/>
      <c r="AX1507" s="242"/>
      <c r="AY1507" s="231"/>
      <c r="AZ1507" s="231"/>
      <c r="BA1507" s="227"/>
      <c r="BB1507" s="231"/>
      <c r="BC1507" s="227"/>
      <c r="BD1507" s="227"/>
      <c r="BE1507" s="227"/>
      <c r="BF1507" s="227"/>
    </row>
    <row r="1508">
      <c r="A1508" s="235" t="s">
        <v>12072</v>
      </c>
      <c r="C1508" s="235" t="s">
        <v>12073</v>
      </c>
      <c r="D1508" s="235" t="s">
        <v>12079</v>
      </c>
      <c r="E1508" s="243">
        <v>6.55E13</v>
      </c>
      <c r="F1508" s="245"/>
      <c r="G1508" s="235" t="s">
        <v>12075</v>
      </c>
      <c r="H1508" s="235" t="s">
        <v>12076</v>
      </c>
      <c r="I1508" s="235" t="s">
        <v>12076</v>
      </c>
      <c r="J1508" s="235" t="s">
        <v>12077</v>
      </c>
      <c r="K1508" s="235" t="s">
        <v>12078</v>
      </c>
      <c r="N1508" s="235" t="s">
        <v>85</v>
      </c>
      <c r="O1508" s="235" t="s">
        <v>872</v>
      </c>
      <c r="P1508" s="238">
        <v>1.0</v>
      </c>
      <c r="Q1508" s="235" t="s">
        <v>627</v>
      </c>
      <c r="R1508" s="238">
        <v>246.66</v>
      </c>
      <c r="S1508" s="238">
        <v>11.97</v>
      </c>
      <c r="T1508" s="238">
        <v>0.0</v>
      </c>
      <c r="U1508" s="238">
        <v>0.0</v>
      </c>
      <c r="V1508" s="238">
        <v>0.0</v>
      </c>
      <c r="W1508" s="238">
        <v>0.0</v>
      </c>
      <c r="X1508" s="235" t="s">
        <v>628</v>
      </c>
      <c r="Z1508" s="244"/>
      <c r="AA1508" s="244"/>
      <c r="AB1508" s="244"/>
      <c r="AC1508" s="235" t="s">
        <v>2092</v>
      </c>
      <c r="AD1508" s="235" t="s">
        <v>845</v>
      </c>
      <c r="AE1508" s="238">
        <v>411057.0</v>
      </c>
      <c r="AF1508" s="235" t="s">
        <v>631</v>
      </c>
      <c r="AG1508" s="244"/>
      <c r="AH1508" s="244"/>
      <c r="AI1508" s="245"/>
      <c r="AJ1508" s="245"/>
      <c r="AK1508" s="245"/>
      <c r="AL1508" s="245"/>
      <c r="AM1508" s="244"/>
      <c r="AN1508" s="244"/>
      <c r="AO1508" s="238">
        <v>-7.4</v>
      </c>
      <c r="AP1508" s="238">
        <v>0.0</v>
      </c>
      <c r="AQ1508" s="235" t="s">
        <v>632</v>
      </c>
      <c r="AR1508" s="243">
        <v>1.68E11</v>
      </c>
      <c r="AS1508" s="235" t="s">
        <v>11171</v>
      </c>
      <c r="AT1508" s="235" t="s">
        <v>17</v>
      </c>
      <c r="AU1508" s="235" t="s">
        <v>634</v>
      </c>
      <c r="AV1508" s="246" t="s">
        <v>635</v>
      </c>
      <c r="AW1508" s="242"/>
      <c r="AX1508" s="242"/>
      <c r="AY1508" s="231"/>
      <c r="AZ1508" s="231"/>
      <c r="BA1508" s="227"/>
      <c r="BB1508" s="231"/>
      <c r="BC1508" s="227"/>
      <c r="BD1508" s="227"/>
      <c r="BE1508" s="227"/>
      <c r="BF1508" s="227"/>
    </row>
    <row r="1509">
      <c r="A1509" s="235" t="s">
        <v>12080</v>
      </c>
      <c r="C1509" s="235" t="s">
        <v>12081</v>
      </c>
      <c r="D1509" s="235" t="s">
        <v>12082</v>
      </c>
      <c r="E1509" s="243">
        <v>6.55E13</v>
      </c>
      <c r="F1509" s="245"/>
      <c r="G1509" s="235" t="s">
        <v>12083</v>
      </c>
      <c r="H1509" s="235" t="s">
        <v>12084</v>
      </c>
      <c r="I1509" s="235" t="s">
        <v>12084</v>
      </c>
      <c r="J1509" s="235" t="s">
        <v>12085</v>
      </c>
      <c r="K1509" s="235" t="s">
        <v>12086</v>
      </c>
      <c r="N1509" s="235" t="s">
        <v>15</v>
      </c>
      <c r="O1509" s="235" t="s">
        <v>856</v>
      </c>
      <c r="P1509" s="238">
        <v>1.0</v>
      </c>
      <c r="Q1509" s="235" t="s">
        <v>627</v>
      </c>
      <c r="R1509" s="238">
        <v>360.95</v>
      </c>
      <c r="S1509" s="238">
        <v>17.51</v>
      </c>
      <c r="T1509" s="238">
        <v>38.1</v>
      </c>
      <c r="U1509" s="238">
        <v>1.9</v>
      </c>
      <c r="V1509" s="238">
        <v>0.0</v>
      </c>
      <c r="W1509" s="238">
        <v>0.0</v>
      </c>
      <c r="X1509" s="235" t="s">
        <v>628</v>
      </c>
      <c r="Z1509" s="244"/>
      <c r="AA1509" s="244"/>
      <c r="AB1509" s="244"/>
      <c r="AC1509" s="235" t="s">
        <v>12087</v>
      </c>
      <c r="AD1509" s="235" t="s">
        <v>1151</v>
      </c>
      <c r="AE1509" s="238">
        <v>743297.0</v>
      </c>
      <c r="AF1509" s="235" t="s">
        <v>631</v>
      </c>
      <c r="AG1509" s="244"/>
      <c r="AH1509" s="244"/>
      <c r="AI1509" s="245"/>
      <c r="AJ1509" s="245"/>
      <c r="AK1509" s="245"/>
      <c r="AL1509" s="245"/>
      <c r="AM1509" s="244"/>
      <c r="AN1509" s="244"/>
      <c r="AO1509" s="238">
        <v>-10.83</v>
      </c>
      <c r="AP1509" s="238">
        <v>-38.1</v>
      </c>
      <c r="AQ1509" s="235" t="s">
        <v>632</v>
      </c>
      <c r="AR1509" s="243">
        <v>3.71E11</v>
      </c>
      <c r="AS1509" s="235" t="s">
        <v>7365</v>
      </c>
      <c r="AT1509" s="235" t="s">
        <v>13</v>
      </c>
      <c r="AU1509" s="235" t="s">
        <v>634</v>
      </c>
      <c r="AV1509" s="246" t="s">
        <v>635</v>
      </c>
      <c r="AW1509" s="242"/>
      <c r="AX1509" s="242"/>
      <c r="AY1509" s="231"/>
      <c r="AZ1509" s="231"/>
      <c r="BA1509" s="227"/>
      <c r="BB1509" s="231"/>
      <c r="BC1509" s="227"/>
      <c r="BD1509" s="227"/>
      <c r="BE1509" s="227"/>
      <c r="BF1509" s="227"/>
    </row>
    <row r="1510">
      <c r="A1510" s="235" t="s">
        <v>12080</v>
      </c>
      <c r="C1510" s="235" t="s">
        <v>12081</v>
      </c>
      <c r="D1510" s="235" t="s">
        <v>12090</v>
      </c>
      <c r="E1510" s="243">
        <v>6.55E13</v>
      </c>
      <c r="F1510" s="245"/>
      <c r="G1510" s="235" t="s">
        <v>12083</v>
      </c>
      <c r="H1510" s="235" t="s">
        <v>12084</v>
      </c>
      <c r="I1510" s="235" t="s">
        <v>12084</v>
      </c>
      <c r="J1510" s="235" t="s">
        <v>12085</v>
      </c>
      <c r="K1510" s="235" t="s">
        <v>12086</v>
      </c>
      <c r="N1510" s="235" t="s">
        <v>15</v>
      </c>
      <c r="O1510" s="235" t="s">
        <v>856</v>
      </c>
      <c r="P1510" s="238">
        <v>1.0</v>
      </c>
      <c r="Q1510" s="235" t="s">
        <v>627</v>
      </c>
      <c r="R1510" s="238">
        <v>360.95</v>
      </c>
      <c r="S1510" s="238">
        <v>17.51</v>
      </c>
      <c r="T1510" s="238">
        <v>38.1</v>
      </c>
      <c r="U1510" s="238">
        <v>1.9</v>
      </c>
      <c r="V1510" s="238">
        <v>0.0</v>
      </c>
      <c r="W1510" s="238">
        <v>0.0</v>
      </c>
      <c r="X1510" s="235" t="s">
        <v>628</v>
      </c>
      <c r="Z1510" s="244"/>
      <c r="AA1510" s="244"/>
      <c r="AB1510" s="244"/>
      <c r="AC1510" s="235" t="s">
        <v>12087</v>
      </c>
      <c r="AD1510" s="235" t="s">
        <v>1151</v>
      </c>
      <c r="AE1510" s="238">
        <v>743297.0</v>
      </c>
      <c r="AF1510" s="235" t="s">
        <v>631</v>
      </c>
      <c r="AG1510" s="244"/>
      <c r="AH1510" s="244"/>
      <c r="AI1510" s="245"/>
      <c r="AJ1510" s="245"/>
      <c r="AK1510" s="245"/>
      <c r="AL1510" s="245"/>
      <c r="AM1510" s="244"/>
      <c r="AN1510" s="244"/>
      <c r="AO1510" s="238">
        <v>-10.83</v>
      </c>
      <c r="AP1510" s="238">
        <v>-38.1</v>
      </c>
      <c r="AQ1510" s="235" t="s">
        <v>632</v>
      </c>
      <c r="AR1510" s="243">
        <v>3.71E11</v>
      </c>
      <c r="AS1510" s="235" t="s">
        <v>7365</v>
      </c>
      <c r="AT1510" s="235" t="s">
        <v>13</v>
      </c>
      <c r="AU1510" s="235" t="s">
        <v>634</v>
      </c>
      <c r="AV1510" s="246" t="s">
        <v>635</v>
      </c>
      <c r="AW1510" s="242"/>
      <c r="AX1510" s="242"/>
      <c r="AY1510" s="231"/>
      <c r="AZ1510" s="231"/>
      <c r="BA1510" s="227"/>
      <c r="BB1510" s="231"/>
      <c r="BC1510" s="227"/>
      <c r="BD1510" s="227"/>
      <c r="BE1510" s="227"/>
      <c r="BF1510" s="227"/>
    </row>
    <row r="1511">
      <c r="A1511" s="235" t="s">
        <v>12080</v>
      </c>
      <c r="C1511" s="235" t="s">
        <v>12081</v>
      </c>
      <c r="D1511" s="235" t="s">
        <v>12091</v>
      </c>
      <c r="E1511" s="243">
        <v>6.55E13</v>
      </c>
      <c r="F1511" s="245"/>
      <c r="G1511" s="235" t="s">
        <v>12083</v>
      </c>
      <c r="H1511" s="235" t="s">
        <v>12084</v>
      </c>
      <c r="I1511" s="235" t="s">
        <v>12084</v>
      </c>
      <c r="J1511" s="235" t="s">
        <v>12085</v>
      </c>
      <c r="K1511" s="235" t="s">
        <v>12086</v>
      </c>
      <c r="N1511" s="235" t="s">
        <v>15</v>
      </c>
      <c r="O1511" s="235" t="s">
        <v>856</v>
      </c>
      <c r="P1511" s="238">
        <v>1.0</v>
      </c>
      <c r="Q1511" s="235" t="s">
        <v>627</v>
      </c>
      <c r="R1511" s="238">
        <v>360.95</v>
      </c>
      <c r="S1511" s="238">
        <v>17.51</v>
      </c>
      <c r="T1511" s="238">
        <v>38.1</v>
      </c>
      <c r="U1511" s="238">
        <v>1.9</v>
      </c>
      <c r="V1511" s="238">
        <v>0.0</v>
      </c>
      <c r="W1511" s="238">
        <v>0.0</v>
      </c>
      <c r="X1511" s="235" t="s">
        <v>628</v>
      </c>
      <c r="Z1511" s="244"/>
      <c r="AA1511" s="244"/>
      <c r="AB1511" s="244"/>
      <c r="AC1511" s="235" t="s">
        <v>12087</v>
      </c>
      <c r="AD1511" s="235" t="s">
        <v>1151</v>
      </c>
      <c r="AE1511" s="238">
        <v>743297.0</v>
      </c>
      <c r="AF1511" s="235" t="s">
        <v>631</v>
      </c>
      <c r="AG1511" s="244"/>
      <c r="AH1511" s="244"/>
      <c r="AI1511" s="245"/>
      <c r="AJ1511" s="245"/>
      <c r="AK1511" s="245"/>
      <c r="AL1511" s="245"/>
      <c r="AM1511" s="244"/>
      <c r="AN1511" s="244"/>
      <c r="AO1511" s="238">
        <v>-10.83</v>
      </c>
      <c r="AP1511" s="238">
        <v>-38.1</v>
      </c>
      <c r="AQ1511" s="235" t="s">
        <v>632</v>
      </c>
      <c r="AR1511" s="243">
        <v>3.71E11</v>
      </c>
      <c r="AS1511" s="235" t="s">
        <v>7365</v>
      </c>
      <c r="AT1511" s="235" t="s">
        <v>13</v>
      </c>
      <c r="AU1511" s="235" t="s">
        <v>634</v>
      </c>
      <c r="AV1511" s="246" t="s">
        <v>635</v>
      </c>
      <c r="AW1511" s="242"/>
      <c r="AX1511" s="242"/>
      <c r="AY1511" s="231"/>
      <c r="AZ1511" s="231"/>
      <c r="BA1511" s="227"/>
      <c r="BB1511" s="231"/>
      <c r="BC1511" s="227"/>
      <c r="BD1511" s="227"/>
      <c r="BE1511" s="227"/>
      <c r="BF1511" s="227"/>
    </row>
    <row r="1512">
      <c r="A1512" s="235" t="s">
        <v>12080</v>
      </c>
      <c r="C1512" s="235" t="s">
        <v>12081</v>
      </c>
      <c r="D1512" s="235" t="s">
        <v>12092</v>
      </c>
      <c r="E1512" s="243">
        <v>6.55E13</v>
      </c>
      <c r="F1512" s="245"/>
      <c r="G1512" s="235" t="s">
        <v>12083</v>
      </c>
      <c r="H1512" s="235" t="s">
        <v>12084</v>
      </c>
      <c r="I1512" s="235" t="s">
        <v>12084</v>
      </c>
      <c r="J1512" s="235" t="s">
        <v>12085</v>
      </c>
      <c r="K1512" s="235" t="s">
        <v>12086</v>
      </c>
      <c r="N1512" s="235" t="s">
        <v>15</v>
      </c>
      <c r="O1512" s="235" t="s">
        <v>856</v>
      </c>
      <c r="P1512" s="238">
        <v>1.0</v>
      </c>
      <c r="Q1512" s="235" t="s">
        <v>627</v>
      </c>
      <c r="R1512" s="238">
        <v>360.95</v>
      </c>
      <c r="S1512" s="238">
        <v>17.51</v>
      </c>
      <c r="T1512" s="238">
        <v>38.1</v>
      </c>
      <c r="U1512" s="238">
        <v>1.9</v>
      </c>
      <c r="V1512" s="238">
        <v>0.0</v>
      </c>
      <c r="W1512" s="238">
        <v>0.0</v>
      </c>
      <c r="X1512" s="235" t="s">
        <v>628</v>
      </c>
      <c r="Z1512" s="244"/>
      <c r="AA1512" s="244"/>
      <c r="AB1512" s="244"/>
      <c r="AC1512" s="235" t="s">
        <v>12087</v>
      </c>
      <c r="AD1512" s="235" t="s">
        <v>1151</v>
      </c>
      <c r="AE1512" s="238">
        <v>743297.0</v>
      </c>
      <c r="AF1512" s="235" t="s">
        <v>631</v>
      </c>
      <c r="AG1512" s="244"/>
      <c r="AH1512" s="244"/>
      <c r="AI1512" s="245"/>
      <c r="AJ1512" s="245"/>
      <c r="AK1512" s="245"/>
      <c r="AL1512" s="245"/>
      <c r="AM1512" s="244"/>
      <c r="AN1512" s="244"/>
      <c r="AO1512" s="238">
        <v>-10.83</v>
      </c>
      <c r="AP1512" s="238">
        <v>-38.1</v>
      </c>
      <c r="AQ1512" s="235" t="s">
        <v>632</v>
      </c>
      <c r="AR1512" s="243">
        <v>3.71E11</v>
      </c>
      <c r="AS1512" s="235" t="s">
        <v>7365</v>
      </c>
      <c r="AT1512" s="235" t="s">
        <v>13</v>
      </c>
      <c r="AU1512" s="235" t="s">
        <v>634</v>
      </c>
      <c r="AV1512" s="246" t="s">
        <v>635</v>
      </c>
      <c r="AW1512" s="242"/>
      <c r="AX1512" s="242"/>
      <c r="AY1512" s="231"/>
      <c r="AZ1512" s="231"/>
      <c r="BA1512" s="227"/>
      <c r="BB1512" s="231"/>
      <c r="BC1512" s="227"/>
      <c r="BD1512" s="227"/>
      <c r="BE1512" s="227"/>
      <c r="BF1512" s="227"/>
    </row>
    <row r="1513">
      <c r="A1513" s="235" t="s">
        <v>12093</v>
      </c>
      <c r="C1513" s="235" t="s">
        <v>12094</v>
      </c>
      <c r="D1513" s="235" t="s">
        <v>12095</v>
      </c>
      <c r="E1513" s="243">
        <v>6.55E13</v>
      </c>
      <c r="F1513" s="245"/>
      <c r="G1513" s="235" t="s">
        <v>12096</v>
      </c>
      <c r="H1513" s="235" t="s">
        <v>12097</v>
      </c>
      <c r="I1513" s="235" t="s">
        <v>12097</v>
      </c>
      <c r="J1513" s="235" t="s">
        <v>12098</v>
      </c>
      <c r="K1513" s="235" t="s">
        <v>12099</v>
      </c>
      <c r="N1513" s="235" t="s">
        <v>141</v>
      </c>
      <c r="O1513" s="235" t="s">
        <v>342</v>
      </c>
      <c r="P1513" s="238">
        <v>1.0</v>
      </c>
      <c r="Q1513" s="235" t="s">
        <v>627</v>
      </c>
      <c r="R1513" s="238">
        <v>246.67</v>
      </c>
      <c r="S1513" s="238">
        <v>12.33</v>
      </c>
      <c r="T1513" s="238">
        <v>38.1</v>
      </c>
      <c r="U1513" s="238">
        <v>1.9</v>
      </c>
      <c r="V1513" s="238">
        <v>0.0</v>
      </c>
      <c r="W1513" s="238">
        <v>0.0</v>
      </c>
      <c r="X1513" s="235" t="s">
        <v>628</v>
      </c>
      <c r="Z1513" s="244"/>
      <c r="AA1513" s="244"/>
      <c r="AB1513" s="244"/>
      <c r="AC1513" s="235" t="s">
        <v>12100</v>
      </c>
      <c r="AD1513" s="235" t="s">
        <v>917</v>
      </c>
      <c r="AE1513" s="238">
        <v>335063.0</v>
      </c>
      <c r="AF1513" s="235" t="s">
        <v>631</v>
      </c>
      <c r="AG1513" s="244"/>
      <c r="AH1513" s="244"/>
      <c r="AI1513" s="245"/>
      <c r="AJ1513" s="245"/>
      <c r="AK1513" s="245"/>
      <c r="AL1513" s="245"/>
      <c r="AM1513" s="244"/>
      <c r="AN1513" s="244"/>
      <c r="AO1513" s="238">
        <v>0.0</v>
      </c>
      <c r="AP1513" s="238">
        <v>-38.1</v>
      </c>
      <c r="AQ1513" s="235" t="s">
        <v>632</v>
      </c>
      <c r="AR1513" s="243">
        <v>3.71E11</v>
      </c>
      <c r="AS1513" s="235" t="s">
        <v>8807</v>
      </c>
      <c r="AT1513" s="235" t="s">
        <v>13</v>
      </c>
      <c r="AU1513" s="235" t="s">
        <v>634</v>
      </c>
      <c r="AV1513" s="246" t="s">
        <v>635</v>
      </c>
      <c r="AW1513" s="242"/>
      <c r="AX1513" s="242"/>
      <c r="AY1513" s="231"/>
      <c r="AZ1513" s="231"/>
      <c r="BA1513" s="227"/>
      <c r="BB1513" s="231"/>
      <c r="BC1513" s="227"/>
      <c r="BD1513" s="227"/>
      <c r="BE1513" s="227"/>
      <c r="BF1513" s="227"/>
    </row>
    <row r="1514">
      <c r="A1514" s="235" t="s">
        <v>12101</v>
      </c>
      <c r="C1514" s="235" t="s">
        <v>12102</v>
      </c>
      <c r="D1514" s="235" t="s">
        <v>12103</v>
      </c>
      <c r="E1514" s="243">
        <v>6.55E13</v>
      </c>
      <c r="F1514" s="245"/>
      <c r="G1514" s="235" t="s">
        <v>12104</v>
      </c>
      <c r="H1514" s="235" t="s">
        <v>12105</v>
      </c>
      <c r="I1514" s="235" t="s">
        <v>12106</v>
      </c>
      <c r="J1514" s="235" t="s">
        <v>12107</v>
      </c>
      <c r="K1514" s="235" t="s">
        <v>12108</v>
      </c>
      <c r="N1514" s="235" t="s">
        <v>842</v>
      </c>
      <c r="O1514" s="235" t="s">
        <v>843</v>
      </c>
      <c r="P1514" s="238">
        <v>1.0</v>
      </c>
      <c r="Q1514" s="235" t="s">
        <v>627</v>
      </c>
      <c r="R1514" s="238">
        <v>246.67</v>
      </c>
      <c r="S1514" s="238">
        <v>12.33</v>
      </c>
      <c r="T1514" s="238">
        <v>0.0</v>
      </c>
      <c r="U1514" s="238">
        <v>0.0</v>
      </c>
      <c r="V1514" s="238">
        <v>0.0</v>
      </c>
      <c r="W1514" s="238">
        <v>0.0</v>
      </c>
      <c r="X1514" s="235" t="s">
        <v>628</v>
      </c>
      <c r="Z1514" s="244"/>
      <c r="AA1514" s="244"/>
      <c r="AB1514" s="244"/>
      <c r="AC1514" s="235" t="s">
        <v>2228</v>
      </c>
      <c r="AD1514" s="235" t="s">
        <v>1151</v>
      </c>
      <c r="AE1514" s="238">
        <v>700135.0</v>
      </c>
      <c r="AF1514" s="235" t="s">
        <v>631</v>
      </c>
      <c r="AG1514" s="244"/>
      <c r="AH1514" s="244"/>
      <c r="AI1514" s="245"/>
      <c r="AJ1514" s="245"/>
      <c r="AK1514" s="245"/>
      <c r="AL1514" s="245"/>
      <c r="AM1514" s="244"/>
      <c r="AN1514" s="244"/>
      <c r="AO1514" s="238">
        <v>0.0</v>
      </c>
      <c r="AP1514" s="238">
        <v>0.0</v>
      </c>
      <c r="AQ1514" s="235" t="s">
        <v>632</v>
      </c>
      <c r="AR1514" s="243">
        <v>2.02E11</v>
      </c>
      <c r="AS1514" s="235" t="s">
        <v>11171</v>
      </c>
      <c r="AT1514" s="235" t="s">
        <v>156</v>
      </c>
      <c r="AU1514" s="235" t="s">
        <v>634</v>
      </c>
      <c r="AV1514" s="246" t="s">
        <v>635</v>
      </c>
      <c r="AW1514" s="242"/>
      <c r="AX1514" s="242"/>
      <c r="AY1514" s="231"/>
      <c r="AZ1514" s="231"/>
      <c r="BA1514" s="227"/>
      <c r="BB1514" s="231"/>
      <c r="BC1514" s="227"/>
      <c r="BD1514" s="227"/>
      <c r="BE1514" s="227"/>
      <c r="BF1514" s="227"/>
    </row>
    <row r="1515">
      <c r="A1515" s="235" t="s">
        <v>12109</v>
      </c>
      <c r="C1515" s="235" t="s">
        <v>12110</v>
      </c>
      <c r="D1515" s="235" t="s">
        <v>12111</v>
      </c>
      <c r="E1515" s="243">
        <v>6.55E13</v>
      </c>
      <c r="F1515" s="245"/>
      <c r="G1515" s="235" t="s">
        <v>12112</v>
      </c>
      <c r="H1515" s="235" t="s">
        <v>12113</v>
      </c>
      <c r="I1515" s="235" t="s">
        <v>12113</v>
      </c>
      <c r="J1515" s="235" t="s">
        <v>12114</v>
      </c>
      <c r="K1515" s="235" t="s">
        <v>12115</v>
      </c>
      <c r="N1515" s="235" t="s">
        <v>130</v>
      </c>
      <c r="O1515" s="235" t="s">
        <v>707</v>
      </c>
      <c r="P1515" s="238">
        <v>1.0</v>
      </c>
      <c r="Q1515" s="235" t="s">
        <v>627</v>
      </c>
      <c r="R1515" s="238">
        <v>246.67</v>
      </c>
      <c r="S1515" s="238">
        <v>12.33</v>
      </c>
      <c r="T1515" s="238">
        <v>38.1</v>
      </c>
      <c r="U1515" s="238">
        <v>1.9</v>
      </c>
      <c r="V1515" s="238">
        <v>0.0</v>
      </c>
      <c r="W1515" s="238">
        <v>0.0</v>
      </c>
      <c r="X1515" s="235" t="s">
        <v>628</v>
      </c>
      <c r="Z1515" s="244"/>
      <c r="AA1515" s="244"/>
      <c r="AB1515" s="244"/>
      <c r="AC1515" s="235" t="s">
        <v>12116</v>
      </c>
      <c r="AD1515" s="235" t="s">
        <v>645</v>
      </c>
      <c r="AE1515" s="238">
        <v>689691.0</v>
      </c>
      <c r="AF1515" s="235" t="s">
        <v>631</v>
      </c>
      <c r="AG1515" s="244"/>
      <c r="AH1515" s="244"/>
      <c r="AI1515" s="245"/>
      <c r="AJ1515" s="245"/>
      <c r="AK1515" s="245"/>
      <c r="AL1515" s="245"/>
      <c r="AM1515" s="244"/>
      <c r="AN1515" s="244"/>
      <c r="AO1515" s="238">
        <v>0.0</v>
      </c>
      <c r="AP1515" s="238">
        <v>-38.1</v>
      </c>
      <c r="AQ1515" s="235" t="s">
        <v>632</v>
      </c>
      <c r="AR1515" s="243">
        <v>3.71E11</v>
      </c>
      <c r="AS1515" s="235" t="s">
        <v>8807</v>
      </c>
      <c r="AT1515" s="235" t="s">
        <v>155</v>
      </c>
      <c r="AU1515" s="235" t="s">
        <v>634</v>
      </c>
      <c r="AV1515" s="246" t="s">
        <v>635</v>
      </c>
      <c r="AW1515" s="242"/>
      <c r="AX1515" s="242"/>
      <c r="AY1515" s="231"/>
      <c r="AZ1515" s="231"/>
      <c r="BA1515" s="227"/>
      <c r="BB1515" s="231"/>
      <c r="BC1515" s="227"/>
      <c r="BD1515" s="227"/>
      <c r="BE1515" s="227"/>
      <c r="BF1515" s="227"/>
    </row>
    <row r="1516">
      <c r="A1516" s="235" t="s">
        <v>12117</v>
      </c>
      <c r="C1516" s="235" t="s">
        <v>12118</v>
      </c>
      <c r="D1516" s="235" t="s">
        <v>12119</v>
      </c>
      <c r="E1516" s="243">
        <v>6.55E13</v>
      </c>
      <c r="F1516" s="245"/>
      <c r="G1516" s="235" t="s">
        <v>12120</v>
      </c>
      <c r="H1516" s="235" t="s">
        <v>12121</v>
      </c>
      <c r="I1516" s="235" t="s">
        <v>12121</v>
      </c>
      <c r="J1516" s="235" t="s">
        <v>12122</v>
      </c>
      <c r="K1516" s="235" t="s">
        <v>12123</v>
      </c>
      <c r="N1516" s="235" t="s">
        <v>144</v>
      </c>
      <c r="O1516" s="235" t="s">
        <v>232</v>
      </c>
      <c r="P1516" s="238">
        <v>1.0</v>
      </c>
      <c r="Q1516" s="235" t="s">
        <v>627</v>
      </c>
      <c r="R1516" s="238">
        <v>665.72</v>
      </c>
      <c r="S1516" s="238">
        <v>32.28</v>
      </c>
      <c r="T1516" s="238">
        <v>4.53</v>
      </c>
      <c r="U1516" s="238">
        <v>0.22</v>
      </c>
      <c r="V1516" s="238">
        <v>0.0</v>
      </c>
      <c r="W1516" s="238">
        <v>0.0</v>
      </c>
      <c r="X1516" s="235" t="s">
        <v>628</v>
      </c>
      <c r="Z1516" s="244"/>
      <c r="AA1516" s="244"/>
      <c r="AB1516" s="244"/>
      <c r="AC1516" s="235" t="s">
        <v>1887</v>
      </c>
      <c r="AD1516" s="235" t="s">
        <v>679</v>
      </c>
      <c r="AE1516" s="238">
        <v>560109.0</v>
      </c>
      <c r="AF1516" s="235" t="s">
        <v>631</v>
      </c>
      <c r="AG1516" s="244"/>
      <c r="AH1516" s="244"/>
      <c r="AI1516" s="245"/>
      <c r="AJ1516" s="245"/>
      <c r="AK1516" s="245"/>
      <c r="AL1516" s="245"/>
      <c r="AM1516" s="244"/>
      <c r="AN1516" s="244"/>
      <c r="AO1516" s="238">
        <v>-19.97</v>
      </c>
      <c r="AP1516" s="238">
        <v>-4.53</v>
      </c>
      <c r="AQ1516" s="235" t="s">
        <v>632</v>
      </c>
      <c r="AR1516" s="243">
        <v>1.68E11</v>
      </c>
      <c r="AS1516" s="235" t="s">
        <v>11672</v>
      </c>
      <c r="AT1516" s="235" t="s">
        <v>11</v>
      </c>
      <c r="AU1516" s="235" t="s">
        <v>634</v>
      </c>
      <c r="AV1516" s="246" t="s">
        <v>635</v>
      </c>
      <c r="AW1516" s="242"/>
      <c r="AX1516" s="242"/>
      <c r="AY1516" s="231"/>
      <c r="AZ1516" s="231"/>
      <c r="BA1516" s="227"/>
      <c r="BB1516" s="231"/>
      <c r="BC1516" s="227"/>
      <c r="BD1516" s="227"/>
      <c r="BE1516" s="227"/>
      <c r="BF1516" s="227"/>
    </row>
    <row r="1517">
      <c r="A1517" s="235" t="s">
        <v>12117</v>
      </c>
      <c r="C1517" s="235" t="s">
        <v>12118</v>
      </c>
      <c r="D1517" s="235" t="s">
        <v>12124</v>
      </c>
      <c r="E1517" s="243">
        <v>6.55E13</v>
      </c>
      <c r="F1517" s="245"/>
      <c r="G1517" s="235" t="s">
        <v>12120</v>
      </c>
      <c r="H1517" s="235" t="s">
        <v>12121</v>
      </c>
      <c r="I1517" s="235" t="s">
        <v>12121</v>
      </c>
      <c r="J1517" s="235" t="s">
        <v>12122</v>
      </c>
      <c r="K1517" s="235" t="s">
        <v>12123</v>
      </c>
      <c r="N1517" s="235" t="s">
        <v>144</v>
      </c>
      <c r="O1517" s="235" t="s">
        <v>232</v>
      </c>
      <c r="P1517" s="238">
        <v>1.0</v>
      </c>
      <c r="Q1517" s="235" t="s">
        <v>627</v>
      </c>
      <c r="R1517" s="238">
        <v>665.72</v>
      </c>
      <c r="S1517" s="238">
        <v>32.28</v>
      </c>
      <c r="T1517" s="238">
        <v>4.53</v>
      </c>
      <c r="U1517" s="238">
        <v>0.22</v>
      </c>
      <c r="V1517" s="238">
        <v>0.0</v>
      </c>
      <c r="W1517" s="238">
        <v>0.0</v>
      </c>
      <c r="X1517" s="235" t="s">
        <v>628</v>
      </c>
      <c r="Z1517" s="244"/>
      <c r="AA1517" s="244"/>
      <c r="AB1517" s="244"/>
      <c r="AC1517" s="235" t="s">
        <v>1887</v>
      </c>
      <c r="AD1517" s="235" t="s">
        <v>679</v>
      </c>
      <c r="AE1517" s="238">
        <v>560109.0</v>
      </c>
      <c r="AF1517" s="235" t="s">
        <v>631</v>
      </c>
      <c r="AG1517" s="244"/>
      <c r="AH1517" s="244"/>
      <c r="AI1517" s="245"/>
      <c r="AJ1517" s="245"/>
      <c r="AK1517" s="245"/>
      <c r="AL1517" s="245"/>
      <c r="AM1517" s="244"/>
      <c r="AN1517" s="244"/>
      <c r="AO1517" s="238">
        <v>-19.97</v>
      </c>
      <c r="AP1517" s="238">
        <v>-4.53</v>
      </c>
      <c r="AQ1517" s="235" t="s">
        <v>632</v>
      </c>
      <c r="AR1517" s="243">
        <v>1.68E11</v>
      </c>
      <c r="AS1517" s="235" t="s">
        <v>11672</v>
      </c>
      <c r="AT1517" s="235" t="s">
        <v>11</v>
      </c>
      <c r="AU1517" s="235" t="s">
        <v>634</v>
      </c>
      <c r="AV1517" s="246" t="s">
        <v>635</v>
      </c>
      <c r="AW1517" s="242"/>
      <c r="AX1517" s="242"/>
      <c r="AY1517" s="231"/>
      <c r="AZ1517" s="231"/>
      <c r="BA1517" s="227"/>
      <c r="BB1517" s="231"/>
      <c r="BC1517" s="227"/>
      <c r="BD1517" s="227"/>
      <c r="BE1517" s="227"/>
      <c r="BF1517" s="227"/>
    </row>
    <row r="1518">
      <c r="A1518" s="235" t="s">
        <v>12125</v>
      </c>
      <c r="C1518" s="235" t="s">
        <v>12126</v>
      </c>
      <c r="D1518" s="235" t="s">
        <v>12127</v>
      </c>
      <c r="E1518" s="243">
        <v>6.55E13</v>
      </c>
      <c r="F1518" s="245"/>
      <c r="G1518" s="235" t="s">
        <v>12128</v>
      </c>
      <c r="H1518" s="235" t="s">
        <v>12129</v>
      </c>
      <c r="I1518" s="235" t="s">
        <v>12129</v>
      </c>
      <c r="J1518" s="235" t="s">
        <v>12130</v>
      </c>
      <c r="K1518" s="235" t="s">
        <v>12131</v>
      </c>
      <c r="N1518" s="235" t="s">
        <v>53</v>
      </c>
      <c r="O1518" s="235" t="s">
        <v>512</v>
      </c>
      <c r="P1518" s="238">
        <v>1.0</v>
      </c>
      <c r="Q1518" s="235" t="s">
        <v>627</v>
      </c>
      <c r="R1518" s="238">
        <v>237.14</v>
      </c>
      <c r="S1518" s="238">
        <v>11.62</v>
      </c>
      <c r="T1518" s="238">
        <v>0.0</v>
      </c>
      <c r="U1518" s="238">
        <v>0.0</v>
      </c>
      <c r="V1518" s="238">
        <v>0.0</v>
      </c>
      <c r="W1518" s="238">
        <v>0.0</v>
      </c>
      <c r="X1518" s="235" t="s">
        <v>628</v>
      </c>
      <c r="Z1518" s="244"/>
      <c r="AA1518" s="244"/>
      <c r="AB1518" s="244"/>
      <c r="AC1518" s="235" t="s">
        <v>697</v>
      </c>
      <c r="AD1518" s="235" t="s">
        <v>698</v>
      </c>
      <c r="AE1518" s="238">
        <v>500019.0</v>
      </c>
      <c r="AF1518" s="235" t="s">
        <v>631</v>
      </c>
      <c r="AG1518" s="244"/>
      <c r="AH1518" s="244"/>
      <c r="AI1518" s="245"/>
      <c r="AJ1518" s="245"/>
      <c r="AK1518" s="245"/>
      <c r="AL1518" s="245"/>
      <c r="AM1518" s="244"/>
      <c r="AN1518" s="244"/>
      <c r="AO1518" s="238">
        <v>-4.74</v>
      </c>
      <c r="AP1518" s="238">
        <v>0.0</v>
      </c>
      <c r="AQ1518" s="235" t="s">
        <v>632</v>
      </c>
      <c r="AR1518" s="243">
        <v>2.02E11</v>
      </c>
      <c r="AS1518" s="235" t="s">
        <v>11171</v>
      </c>
      <c r="AT1518" s="235" t="s">
        <v>9</v>
      </c>
      <c r="AU1518" s="235" t="s">
        <v>634</v>
      </c>
      <c r="AV1518" s="246" t="s">
        <v>635</v>
      </c>
      <c r="AW1518" s="242"/>
      <c r="AX1518" s="242"/>
      <c r="AY1518" s="231"/>
      <c r="AZ1518" s="231"/>
      <c r="BA1518" s="227"/>
      <c r="BB1518" s="231"/>
      <c r="BC1518" s="227"/>
      <c r="BD1518" s="227"/>
      <c r="BE1518" s="227"/>
      <c r="BF1518" s="227"/>
    </row>
    <row r="1519">
      <c r="A1519" s="235" t="s">
        <v>12132</v>
      </c>
      <c r="C1519" s="235" t="s">
        <v>12133</v>
      </c>
      <c r="D1519" s="235" t="s">
        <v>12134</v>
      </c>
      <c r="E1519" s="243">
        <v>6.55E13</v>
      </c>
      <c r="F1519" s="245"/>
      <c r="G1519" s="235" t="s">
        <v>12135</v>
      </c>
      <c r="H1519" s="235" t="s">
        <v>12136</v>
      </c>
      <c r="I1519" s="235" t="s">
        <v>12137</v>
      </c>
      <c r="J1519" s="235" t="s">
        <v>12138</v>
      </c>
      <c r="K1519" s="235" t="s">
        <v>12139</v>
      </c>
      <c r="N1519" s="235" t="s">
        <v>138</v>
      </c>
      <c r="O1519" s="235" t="s">
        <v>675</v>
      </c>
      <c r="P1519" s="238">
        <v>1.0</v>
      </c>
      <c r="Q1519" s="235" t="s">
        <v>627</v>
      </c>
      <c r="R1519" s="238">
        <v>246.67</v>
      </c>
      <c r="S1519" s="238">
        <v>12.33</v>
      </c>
      <c r="T1519" s="238">
        <v>0.0</v>
      </c>
      <c r="U1519" s="238">
        <v>0.0</v>
      </c>
      <c r="V1519" s="238">
        <v>0.0</v>
      </c>
      <c r="W1519" s="238">
        <v>0.0</v>
      </c>
      <c r="X1519" s="235" t="s">
        <v>628</v>
      </c>
      <c r="Z1519" s="244"/>
      <c r="AA1519" s="244"/>
      <c r="AB1519" s="244"/>
      <c r="AC1519" s="235" t="s">
        <v>822</v>
      </c>
      <c r="AD1519" s="235" t="s">
        <v>630</v>
      </c>
      <c r="AE1519" s="238">
        <v>201303.0</v>
      </c>
      <c r="AF1519" s="235" t="s">
        <v>631</v>
      </c>
      <c r="AG1519" s="244"/>
      <c r="AH1519" s="244"/>
      <c r="AI1519" s="245"/>
      <c r="AJ1519" s="245"/>
      <c r="AK1519" s="245"/>
      <c r="AL1519" s="245"/>
      <c r="AM1519" s="244"/>
      <c r="AN1519" s="244"/>
      <c r="AO1519" s="238">
        <v>0.0</v>
      </c>
      <c r="AP1519" s="238">
        <v>0.0</v>
      </c>
      <c r="AQ1519" s="235" t="s">
        <v>632</v>
      </c>
      <c r="AR1519" s="243">
        <v>1.68E11</v>
      </c>
      <c r="AS1519" s="235" t="s">
        <v>11672</v>
      </c>
      <c r="AT1519" s="235" t="s">
        <v>14</v>
      </c>
      <c r="AU1519" s="235" t="s">
        <v>634</v>
      </c>
      <c r="AV1519" s="246" t="s">
        <v>635</v>
      </c>
      <c r="AW1519" s="242"/>
      <c r="AX1519" s="242"/>
      <c r="AY1519" s="231"/>
      <c r="AZ1519" s="231"/>
      <c r="BA1519" s="227"/>
      <c r="BB1519" s="231"/>
      <c r="BC1519" s="227"/>
      <c r="BD1519" s="227"/>
      <c r="BE1519" s="227"/>
      <c r="BF1519" s="227"/>
    </row>
    <row r="1520">
      <c r="A1520" s="235" t="s">
        <v>12140</v>
      </c>
      <c r="C1520" s="235" t="s">
        <v>12141</v>
      </c>
      <c r="D1520" s="235" t="s">
        <v>12142</v>
      </c>
      <c r="E1520" s="243">
        <v>6.54E13</v>
      </c>
      <c r="F1520" s="245"/>
      <c r="G1520" s="235" t="s">
        <v>12143</v>
      </c>
      <c r="H1520" s="235" t="s">
        <v>12144</v>
      </c>
      <c r="I1520" s="235" t="s">
        <v>12144</v>
      </c>
      <c r="J1520" s="235" t="s">
        <v>12145</v>
      </c>
      <c r="K1520" s="235" t="s">
        <v>3980</v>
      </c>
      <c r="N1520" s="235" t="s">
        <v>541</v>
      </c>
      <c r="O1520" s="235" t="s">
        <v>664</v>
      </c>
      <c r="P1520" s="238">
        <v>1.0</v>
      </c>
      <c r="Q1520" s="235" t="s">
        <v>627</v>
      </c>
      <c r="R1520" s="238">
        <v>668.64</v>
      </c>
      <c r="S1520" s="238">
        <v>120.36</v>
      </c>
      <c r="T1520" s="238">
        <v>33.9</v>
      </c>
      <c r="U1520" s="238">
        <v>6.1</v>
      </c>
      <c r="V1520" s="238">
        <v>0.0</v>
      </c>
      <c r="W1520" s="238">
        <v>0.0</v>
      </c>
      <c r="X1520" s="235" t="s">
        <v>628</v>
      </c>
      <c r="Z1520" s="244"/>
      <c r="AA1520" s="244"/>
      <c r="AB1520" s="244"/>
      <c r="AC1520" s="235" t="s">
        <v>2647</v>
      </c>
      <c r="AD1520" s="235" t="s">
        <v>845</v>
      </c>
      <c r="AE1520" s="238">
        <v>400615.0</v>
      </c>
      <c r="AF1520" s="235" t="s">
        <v>631</v>
      </c>
      <c r="AG1520" s="244"/>
      <c r="AH1520" s="244"/>
      <c r="AI1520" s="245"/>
      <c r="AJ1520" s="245"/>
      <c r="AK1520" s="245"/>
      <c r="AL1520" s="245"/>
      <c r="AM1520" s="244"/>
      <c r="AN1520" s="244"/>
      <c r="AO1520" s="238">
        <v>0.0</v>
      </c>
      <c r="AP1520" s="238">
        <v>-33.9</v>
      </c>
      <c r="AQ1520" s="235" t="s">
        <v>632</v>
      </c>
      <c r="AR1520" s="243">
        <v>3.71E11</v>
      </c>
      <c r="AS1520" s="235" t="s">
        <v>11171</v>
      </c>
      <c r="AT1520" s="235" t="s">
        <v>16</v>
      </c>
      <c r="AU1520" s="235" t="s">
        <v>634</v>
      </c>
      <c r="AV1520" s="246" t="s">
        <v>635</v>
      </c>
      <c r="AW1520" s="242"/>
      <c r="AX1520" s="242"/>
      <c r="AY1520" s="231"/>
      <c r="AZ1520" s="231"/>
      <c r="BA1520" s="227"/>
      <c r="BB1520" s="231"/>
      <c r="BC1520" s="227"/>
      <c r="BD1520" s="227"/>
      <c r="BE1520" s="227"/>
      <c r="BF1520" s="227"/>
    </row>
    <row r="1521">
      <c r="A1521" s="235" t="s">
        <v>12146</v>
      </c>
      <c r="C1521" s="235" t="s">
        <v>12147</v>
      </c>
      <c r="D1521" s="235" t="s">
        <v>12148</v>
      </c>
      <c r="E1521" s="243">
        <v>6.55E13</v>
      </c>
      <c r="F1521" s="245"/>
      <c r="G1521" s="235" t="s">
        <v>12149</v>
      </c>
      <c r="H1521" s="235" t="s">
        <v>12150</v>
      </c>
      <c r="I1521" s="235" t="s">
        <v>12151</v>
      </c>
      <c r="J1521" s="235" t="s">
        <v>12152</v>
      </c>
      <c r="K1521" s="235" t="s">
        <v>12153</v>
      </c>
      <c r="N1521" s="235" t="s">
        <v>55</v>
      </c>
      <c r="O1521" s="235" t="s">
        <v>244</v>
      </c>
      <c r="P1521" s="238">
        <v>1.0</v>
      </c>
      <c r="Q1521" s="235" t="s">
        <v>627</v>
      </c>
      <c r="R1521" s="238">
        <v>246.67</v>
      </c>
      <c r="S1521" s="238">
        <v>12.33</v>
      </c>
      <c r="T1521" s="238">
        <v>0.0</v>
      </c>
      <c r="U1521" s="238">
        <v>0.0</v>
      </c>
      <c r="V1521" s="238">
        <v>0.0</v>
      </c>
      <c r="W1521" s="238">
        <v>0.0</v>
      </c>
      <c r="X1521" s="235" t="s">
        <v>628</v>
      </c>
      <c r="Z1521" s="244"/>
      <c r="AA1521" s="244"/>
      <c r="AB1521" s="244"/>
      <c r="AC1521" s="235" t="s">
        <v>12154</v>
      </c>
      <c r="AD1521" s="235" t="s">
        <v>1151</v>
      </c>
      <c r="AE1521" s="238">
        <v>713213.0</v>
      </c>
      <c r="AF1521" s="235" t="s">
        <v>631</v>
      </c>
      <c r="AG1521" s="244"/>
      <c r="AH1521" s="244"/>
      <c r="AI1521" s="245"/>
      <c r="AJ1521" s="245"/>
      <c r="AK1521" s="245"/>
      <c r="AL1521" s="245"/>
      <c r="AM1521" s="244"/>
      <c r="AN1521" s="244"/>
      <c r="AO1521" s="238">
        <v>0.0</v>
      </c>
      <c r="AP1521" s="238">
        <v>0.0</v>
      </c>
      <c r="AQ1521" s="235" t="s">
        <v>632</v>
      </c>
      <c r="AR1521" s="243">
        <v>3.71E11</v>
      </c>
      <c r="AS1521" s="235" t="s">
        <v>7365</v>
      </c>
      <c r="AT1521" s="235" t="s">
        <v>13</v>
      </c>
      <c r="AU1521" s="235" t="s">
        <v>634</v>
      </c>
      <c r="AV1521" s="246" t="s">
        <v>635</v>
      </c>
      <c r="AW1521" s="242"/>
      <c r="AX1521" s="242"/>
      <c r="AY1521" s="231"/>
      <c r="AZ1521" s="231"/>
      <c r="BA1521" s="227"/>
      <c r="BB1521" s="231"/>
      <c r="BC1521" s="227"/>
      <c r="BD1521" s="227"/>
      <c r="BE1521" s="227"/>
      <c r="BF1521" s="227"/>
    </row>
    <row r="1522">
      <c r="A1522" s="235" t="s">
        <v>12155</v>
      </c>
      <c r="C1522" s="235" t="s">
        <v>12156</v>
      </c>
      <c r="D1522" s="235" t="s">
        <v>12157</v>
      </c>
      <c r="E1522" s="243">
        <v>6.55E13</v>
      </c>
      <c r="F1522" s="245"/>
      <c r="G1522" s="235" t="s">
        <v>12158</v>
      </c>
      <c r="H1522" s="235" t="s">
        <v>12159</v>
      </c>
      <c r="I1522" s="235" t="s">
        <v>12159</v>
      </c>
      <c r="J1522" s="235" t="s">
        <v>12160</v>
      </c>
      <c r="K1522" s="235" t="s">
        <v>12161</v>
      </c>
      <c r="N1522" s="235" t="s">
        <v>53</v>
      </c>
      <c r="O1522" s="235" t="s">
        <v>512</v>
      </c>
      <c r="P1522" s="238">
        <v>1.0</v>
      </c>
      <c r="Q1522" s="235" t="s">
        <v>627</v>
      </c>
      <c r="R1522" s="238">
        <v>237.14</v>
      </c>
      <c r="S1522" s="238">
        <v>11.86</v>
      </c>
      <c r="T1522" s="238">
        <v>0.0</v>
      </c>
      <c r="U1522" s="238">
        <v>0.0</v>
      </c>
      <c r="V1522" s="238">
        <v>0.0</v>
      </c>
      <c r="W1522" s="238">
        <v>0.0</v>
      </c>
      <c r="X1522" s="235" t="s">
        <v>628</v>
      </c>
      <c r="Z1522" s="244"/>
      <c r="AA1522" s="244"/>
      <c r="AB1522" s="244"/>
      <c r="AC1522" s="235" t="s">
        <v>687</v>
      </c>
      <c r="AD1522" s="235" t="s">
        <v>666</v>
      </c>
      <c r="AE1522" s="238">
        <v>600004.0</v>
      </c>
      <c r="AF1522" s="235" t="s">
        <v>631</v>
      </c>
      <c r="AG1522" s="244"/>
      <c r="AH1522" s="244"/>
      <c r="AI1522" s="245"/>
      <c r="AJ1522" s="245"/>
      <c r="AK1522" s="245"/>
      <c r="AL1522" s="245"/>
      <c r="AM1522" s="244"/>
      <c r="AN1522" s="244"/>
      <c r="AO1522" s="238">
        <v>0.0</v>
      </c>
      <c r="AP1522" s="238">
        <v>0.0</v>
      </c>
      <c r="AQ1522" s="235" t="s">
        <v>632</v>
      </c>
      <c r="AR1522" s="243">
        <v>1.68E11</v>
      </c>
      <c r="AS1522" s="235" t="s">
        <v>11171</v>
      </c>
      <c r="AT1522" s="235" t="s">
        <v>9</v>
      </c>
      <c r="AU1522" s="235" t="s">
        <v>634</v>
      </c>
      <c r="AV1522" s="246" t="s">
        <v>635</v>
      </c>
      <c r="AW1522" s="242"/>
      <c r="AX1522" s="242"/>
      <c r="AY1522" s="231"/>
      <c r="AZ1522" s="231"/>
      <c r="BA1522" s="227"/>
      <c r="BB1522" s="231"/>
      <c r="BC1522" s="227"/>
      <c r="BD1522" s="227"/>
      <c r="BE1522" s="227"/>
      <c r="BF1522" s="227"/>
    </row>
    <row r="1523">
      <c r="A1523" s="235" t="s">
        <v>12162</v>
      </c>
      <c r="C1523" s="235" t="s">
        <v>12163</v>
      </c>
      <c r="D1523" s="235" t="s">
        <v>12164</v>
      </c>
      <c r="E1523" s="243">
        <v>6.55E13</v>
      </c>
      <c r="F1523" s="245"/>
      <c r="G1523" s="235" t="s">
        <v>12165</v>
      </c>
      <c r="H1523" s="235" t="s">
        <v>12166</v>
      </c>
      <c r="I1523" s="235" t="s">
        <v>12166</v>
      </c>
      <c r="J1523" s="235" t="s">
        <v>12167</v>
      </c>
      <c r="K1523" s="235" t="s">
        <v>12168</v>
      </c>
      <c r="N1523" s="235" t="s">
        <v>51</v>
      </c>
      <c r="O1523" s="235" t="s">
        <v>273</v>
      </c>
      <c r="P1523" s="238">
        <v>1.0</v>
      </c>
      <c r="Q1523" s="235" t="s">
        <v>627</v>
      </c>
      <c r="R1523" s="238">
        <v>237.14</v>
      </c>
      <c r="S1523" s="238">
        <v>11.86</v>
      </c>
      <c r="T1523" s="238">
        <v>0.0</v>
      </c>
      <c r="U1523" s="238">
        <v>0.0</v>
      </c>
      <c r="V1523" s="238">
        <v>0.0</v>
      </c>
      <c r="W1523" s="238">
        <v>0.0</v>
      </c>
      <c r="X1523" s="235" t="s">
        <v>628</v>
      </c>
      <c r="Z1523" s="244"/>
      <c r="AA1523" s="244"/>
      <c r="AB1523" s="244"/>
      <c r="AC1523" s="235" t="s">
        <v>5923</v>
      </c>
      <c r="AD1523" s="235" t="s">
        <v>666</v>
      </c>
      <c r="AE1523" s="238">
        <v>620006.0</v>
      </c>
      <c r="AF1523" s="235" t="s">
        <v>631</v>
      </c>
      <c r="AG1523" s="244"/>
      <c r="AH1523" s="244"/>
      <c r="AI1523" s="245"/>
      <c r="AJ1523" s="245"/>
      <c r="AK1523" s="245"/>
      <c r="AL1523" s="245"/>
      <c r="AM1523" s="244"/>
      <c r="AN1523" s="244"/>
      <c r="AO1523" s="238">
        <v>0.0</v>
      </c>
      <c r="AP1523" s="238">
        <v>0.0</v>
      </c>
      <c r="AQ1523" s="235" t="s">
        <v>632</v>
      </c>
      <c r="AR1523" s="243">
        <v>3.71E11</v>
      </c>
      <c r="AS1523" s="235" t="s">
        <v>10017</v>
      </c>
      <c r="AT1523" s="235" t="s">
        <v>155</v>
      </c>
      <c r="AU1523" s="235" t="s">
        <v>634</v>
      </c>
      <c r="AV1523" s="246" t="s">
        <v>635</v>
      </c>
      <c r="AW1523" s="242"/>
      <c r="AX1523" s="242"/>
      <c r="AY1523" s="231"/>
      <c r="AZ1523" s="231"/>
      <c r="BA1523" s="227"/>
      <c r="BB1523" s="231"/>
      <c r="BC1523" s="227"/>
      <c r="BD1523" s="227"/>
      <c r="BE1523" s="227"/>
      <c r="BF1523" s="227"/>
    </row>
    <row r="1524">
      <c r="A1524" s="235" t="s">
        <v>12169</v>
      </c>
      <c r="C1524" s="235" t="s">
        <v>12170</v>
      </c>
      <c r="D1524" s="235" t="s">
        <v>12171</v>
      </c>
      <c r="E1524" s="243">
        <v>6.55E13</v>
      </c>
      <c r="F1524" s="245"/>
      <c r="G1524" s="235" t="s">
        <v>12172</v>
      </c>
      <c r="H1524" s="235" t="s">
        <v>12173</v>
      </c>
      <c r="I1524" s="235" t="s">
        <v>12173</v>
      </c>
      <c r="J1524" s="235" t="s">
        <v>12174</v>
      </c>
      <c r="K1524" s="235" t="s">
        <v>12175</v>
      </c>
      <c r="N1524" s="235" t="s">
        <v>51</v>
      </c>
      <c r="O1524" s="235" t="s">
        <v>273</v>
      </c>
      <c r="P1524" s="238">
        <v>1.0</v>
      </c>
      <c r="Q1524" s="235" t="s">
        <v>627</v>
      </c>
      <c r="R1524" s="238">
        <v>237.14</v>
      </c>
      <c r="S1524" s="238">
        <v>11.86</v>
      </c>
      <c r="T1524" s="238">
        <v>0.0</v>
      </c>
      <c r="U1524" s="238">
        <v>0.0</v>
      </c>
      <c r="V1524" s="238">
        <v>0.0</v>
      </c>
      <c r="W1524" s="238">
        <v>0.0</v>
      </c>
      <c r="X1524" s="235" t="s">
        <v>628</v>
      </c>
      <c r="Z1524" s="244"/>
      <c r="AA1524" s="244"/>
      <c r="AB1524" s="244"/>
      <c r="AC1524" s="235" t="s">
        <v>687</v>
      </c>
      <c r="AD1524" s="235" t="s">
        <v>666</v>
      </c>
      <c r="AE1524" s="238">
        <v>600020.0</v>
      </c>
      <c r="AF1524" s="235" t="s">
        <v>631</v>
      </c>
      <c r="AG1524" s="244"/>
      <c r="AH1524" s="244"/>
      <c r="AI1524" s="245"/>
      <c r="AJ1524" s="245"/>
      <c r="AK1524" s="245"/>
      <c r="AL1524" s="245"/>
      <c r="AM1524" s="244"/>
      <c r="AN1524" s="244"/>
      <c r="AO1524" s="238">
        <v>0.0</v>
      </c>
      <c r="AP1524" s="238">
        <v>0.0</v>
      </c>
      <c r="AQ1524" s="235" t="s">
        <v>632</v>
      </c>
      <c r="AR1524" s="243">
        <v>1.68E11</v>
      </c>
      <c r="AS1524" s="235" t="s">
        <v>11672</v>
      </c>
      <c r="AT1524" s="235" t="s">
        <v>156</v>
      </c>
      <c r="AU1524" s="235" t="s">
        <v>634</v>
      </c>
      <c r="AV1524" s="246" t="s">
        <v>635</v>
      </c>
      <c r="AW1524" s="242"/>
      <c r="AX1524" s="242"/>
      <c r="AY1524" s="231"/>
      <c r="AZ1524" s="231"/>
      <c r="BA1524" s="227"/>
      <c r="BB1524" s="231"/>
      <c r="BC1524" s="227"/>
      <c r="BD1524" s="227"/>
      <c r="BE1524" s="227"/>
      <c r="BF1524" s="227"/>
    </row>
    <row r="1525">
      <c r="A1525" s="235" t="s">
        <v>12176</v>
      </c>
      <c r="C1525" s="235" t="s">
        <v>12177</v>
      </c>
      <c r="D1525" s="235" t="s">
        <v>12178</v>
      </c>
      <c r="E1525" s="243">
        <v>6.55E13</v>
      </c>
      <c r="F1525" s="245"/>
      <c r="G1525" s="235" t="s">
        <v>12179</v>
      </c>
      <c r="H1525" s="235" t="s">
        <v>12180</v>
      </c>
      <c r="I1525" s="235" t="s">
        <v>12180</v>
      </c>
      <c r="J1525" s="235" t="s">
        <v>12181</v>
      </c>
      <c r="K1525" s="235" t="s">
        <v>12182</v>
      </c>
      <c r="N1525" s="235" t="s">
        <v>71</v>
      </c>
      <c r="O1525" s="235" t="s">
        <v>240</v>
      </c>
      <c r="P1525" s="238">
        <v>1.0</v>
      </c>
      <c r="Q1525" s="235" t="s">
        <v>627</v>
      </c>
      <c r="R1525" s="238">
        <v>240.0</v>
      </c>
      <c r="S1525" s="238">
        <v>11.64</v>
      </c>
      <c r="T1525" s="238">
        <v>38.1</v>
      </c>
      <c r="U1525" s="238">
        <v>1.9</v>
      </c>
      <c r="V1525" s="238">
        <v>0.0</v>
      </c>
      <c r="W1525" s="238">
        <v>0.0</v>
      </c>
      <c r="X1525" s="235" t="s">
        <v>628</v>
      </c>
      <c r="Z1525" s="244"/>
      <c r="AA1525" s="244"/>
      <c r="AB1525" s="244"/>
      <c r="AC1525" s="235" t="s">
        <v>12183</v>
      </c>
      <c r="AD1525" s="235" t="s">
        <v>854</v>
      </c>
      <c r="AE1525" s="238">
        <v>403402.0</v>
      </c>
      <c r="AF1525" s="235" t="s">
        <v>631</v>
      </c>
      <c r="AG1525" s="244"/>
      <c r="AH1525" s="244"/>
      <c r="AI1525" s="245"/>
      <c r="AJ1525" s="245"/>
      <c r="AK1525" s="245"/>
      <c r="AL1525" s="245"/>
      <c r="AM1525" s="244"/>
      <c r="AN1525" s="244"/>
      <c r="AO1525" s="238">
        <v>-7.2</v>
      </c>
      <c r="AP1525" s="238">
        <v>-38.1</v>
      </c>
      <c r="AQ1525" s="235" t="s">
        <v>632</v>
      </c>
      <c r="AR1525" s="243">
        <v>2.02E11</v>
      </c>
      <c r="AS1525" s="235" t="s">
        <v>10017</v>
      </c>
      <c r="AT1525" s="235" t="s">
        <v>17</v>
      </c>
      <c r="AU1525" s="235" t="s">
        <v>634</v>
      </c>
      <c r="AV1525" s="246" t="s">
        <v>635</v>
      </c>
      <c r="AW1525" s="242"/>
      <c r="AX1525" s="242"/>
      <c r="AY1525" s="231"/>
      <c r="AZ1525" s="231"/>
      <c r="BA1525" s="227"/>
      <c r="BB1525" s="231"/>
      <c r="BC1525" s="227"/>
      <c r="BD1525" s="227"/>
      <c r="BE1525" s="227"/>
      <c r="BF1525" s="227"/>
    </row>
    <row r="1526">
      <c r="A1526" s="235" t="s">
        <v>12176</v>
      </c>
      <c r="C1526" s="235" t="s">
        <v>12177</v>
      </c>
      <c r="D1526" s="235" t="s">
        <v>12184</v>
      </c>
      <c r="E1526" s="243">
        <v>6.55E13</v>
      </c>
      <c r="F1526" s="245"/>
      <c r="G1526" s="235" t="s">
        <v>12179</v>
      </c>
      <c r="H1526" s="235" t="s">
        <v>12180</v>
      </c>
      <c r="I1526" s="235" t="s">
        <v>12180</v>
      </c>
      <c r="J1526" s="235" t="s">
        <v>12181</v>
      </c>
      <c r="K1526" s="235" t="s">
        <v>12182</v>
      </c>
      <c r="N1526" s="235" t="s">
        <v>71</v>
      </c>
      <c r="O1526" s="235" t="s">
        <v>240</v>
      </c>
      <c r="P1526" s="238">
        <v>1.0</v>
      </c>
      <c r="Q1526" s="235" t="s">
        <v>627</v>
      </c>
      <c r="R1526" s="238">
        <v>240.0</v>
      </c>
      <c r="S1526" s="238">
        <v>11.64</v>
      </c>
      <c r="T1526" s="238">
        <v>38.1</v>
      </c>
      <c r="U1526" s="238">
        <v>1.9</v>
      </c>
      <c r="V1526" s="238">
        <v>0.0</v>
      </c>
      <c r="W1526" s="238">
        <v>0.0</v>
      </c>
      <c r="X1526" s="235" t="s">
        <v>628</v>
      </c>
      <c r="Z1526" s="244"/>
      <c r="AA1526" s="244"/>
      <c r="AB1526" s="244"/>
      <c r="AC1526" s="235" t="s">
        <v>12183</v>
      </c>
      <c r="AD1526" s="235" t="s">
        <v>854</v>
      </c>
      <c r="AE1526" s="238">
        <v>403402.0</v>
      </c>
      <c r="AF1526" s="235" t="s">
        <v>631</v>
      </c>
      <c r="AG1526" s="244"/>
      <c r="AH1526" s="244"/>
      <c r="AI1526" s="245"/>
      <c r="AJ1526" s="245"/>
      <c r="AK1526" s="245"/>
      <c r="AL1526" s="245"/>
      <c r="AM1526" s="244"/>
      <c r="AN1526" s="244"/>
      <c r="AO1526" s="238">
        <v>-7.2</v>
      </c>
      <c r="AP1526" s="238">
        <v>-38.1</v>
      </c>
      <c r="AQ1526" s="235" t="s">
        <v>632</v>
      </c>
      <c r="AR1526" s="243">
        <v>2.02E11</v>
      </c>
      <c r="AS1526" s="235" t="s">
        <v>10017</v>
      </c>
      <c r="AT1526" s="235" t="s">
        <v>17</v>
      </c>
      <c r="AU1526" s="235" t="s">
        <v>634</v>
      </c>
      <c r="AV1526" s="246" t="s">
        <v>635</v>
      </c>
      <c r="AW1526" s="242"/>
      <c r="AX1526" s="242"/>
      <c r="AY1526" s="231"/>
      <c r="AZ1526" s="231"/>
      <c r="BA1526" s="227"/>
      <c r="BB1526" s="231"/>
      <c r="BC1526" s="227"/>
      <c r="BD1526" s="227"/>
      <c r="BE1526" s="227"/>
      <c r="BF1526" s="227"/>
    </row>
    <row r="1527">
      <c r="A1527" s="235" t="s">
        <v>12176</v>
      </c>
      <c r="C1527" s="235" t="s">
        <v>12177</v>
      </c>
      <c r="D1527" s="235" t="s">
        <v>12185</v>
      </c>
      <c r="E1527" s="243">
        <v>6.55E13</v>
      </c>
      <c r="F1527" s="245"/>
      <c r="G1527" s="235" t="s">
        <v>12179</v>
      </c>
      <c r="H1527" s="235" t="s">
        <v>12180</v>
      </c>
      <c r="I1527" s="235" t="s">
        <v>12180</v>
      </c>
      <c r="J1527" s="235" t="s">
        <v>12181</v>
      </c>
      <c r="K1527" s="235" t="s">
        <v>12182</v>
      </c>
      <c r="N1527" s="235" t="s">
        <v>71</v>
      </c>
      <c r="O1527" s="235" t="s">
        <v>240</v>
      </c>
      <c r="P1527" s="238">
        <v>1.0</v>
      </c>
      <c r="Q1527" s="235" t="s">
        <v>627</v>
      </c>
      <c r="R1527" s="238">
        <v>240.0</v>
      </c>
      <c r="S1527" s="238">
        <v>11.64</v>
      </c>
      <c r="T1527" s="238">
        <v>38.1</v>
      </c>
      <c r="U1527" s="238">
        <v>1.9</v>
      </c>
      <c r="V1527" s="238">
        <v>0.0</v>
      </c>
      <c r="W1527" s="238">
        <v>0.0</v>
      </c>
      <c r="X1527" s="235" t="s">
        <v>628</v>
      </c>
      <c r="Z1527" s="244"/>
      <c r="AA1527" s="244"/>
      <c r="AB1527" s="244"/>
      <c r="AC1527" s="235" t="s">
        <v>12183</v>
      </c>
      <c r="AD1527" s="235" t="s">
        <v>854</v>
      </c>
      <c r="AE1527" s="238">
        <v>403402.0</v>
      </c>
      <c r="AF1527" s="235" t="s">
        <v>631</v>
      </c>
      <c r="AG1527" s="244"/>
      <c r="AH1527" s="244"/>
      <c r="AI1527" s="245"/>
      <c r="AJ1527" s="245"/>
      <c r="AK1527" s="245"/>
      <c r="AL1527" s="245"/>
      <c r="AM1527" s="244"/>
      <c r="AN1527" s="244"/>
      <c r="AO1527" s="238">
        <v>-7.2</v>
      </c>
      <c r="AP1527" s="238">
        <v>-38.1</v>
      </c>
      <c r="AQ1527" s="235" t="s">
        <v>632</v>
      </c>
      <c r="AR1527" s="243">
        <v>2.02E11</v>
      </c>
      <c r="AS1527" s="235" t="s">
        <v>10017</v>
      </c>
      <c r="AT1527" s="235" t="s">
        <v>17</v>
      </c>
      <c r="AU1527" s="235" t="s">
        <v>634</v>
      </c>
      <c r="AV1527" s="246" t="s">
        <v>635</v>
      </c>
      <c r="AW1527" s="242"/>
      <c r="AX1527" s="242"/>
      <c r="AY1527" s="231"/>
      <c r="AZ1527" s="231"/>
      <c r="BA1527" s="227"/>
      <c r="BB1527" s="231"/>
      <c r="BC1527" s="227"/>
      <c r="BD1527" s="227"/>
      <c r="BE1527" s="227"/>
      <c r="BF1527" s="227"/>
    </row>
    <row r="1528">
      <c r="A1528" s="235" t="s">
        <v>12186</v>
      </c>
      <c r="C1528" s="235" t="s">
        <v>12187</v>
      </c>
      <c r="D1528" s="235" t="s">
        <v>12188</v>
      </c>
      <c r="E1528" s="243">
        <v>6.55E13</v>
      </c>
      <c r="F1528" s="245"/>
      <c r="G1528" s="235" t="s">
        <v>12189</v>
      </c>
      <c r="H1528" s="235" t="s">
        <v>12190</v>
      </c>
      <c r="I1528" s="235" t="s">
        <v>12190</v>
      </c>
      <c r="J1528" s="235" t="s">
        <v>12191</v>
      </c>
      <c r="K1528" s="235" t="s">
        <v>12192</v>
      </c>
      <c r="N1528" s="235" t="s">
        <v>144</v>
      </c>
      <c r="O1528" s="235" t="s">
        <v>232</v>
      </c>
      <c r="P1528" s="238">
        <v>1.0</v>
      </c>
      <c r="Q1528" s="235" t="s">
        <v>627</v>
      </c>
      <c r="R1528" s="238">
        <v>665.71</v>
      </c>
      <c r="S1528" s="238">
        <v>33.29</v>
      </c>
      <c r="T1528" s="238">
        <v>38.1</v>
      </c>
      <c r="U1528" s="238">
        <v>1.9</v>
      </c>
      <c r="V1528" s="238">
        <v>0.0</v>
      </c>
      <c r="W1528" s="238">
        <v>0.0</v>
      </c>
      <c r="X1528" s="235" t="s">
        <v>628</v>
      </c>
      <c r="Z1528" s="244"/>
      <c r="AA1528" s="244"/>
      <c r="AB1528" s="244"/>
      <c r="AC1528" s="235" t="s">
        <v>1320</v>
      </c>
      <c r="AD1528" s="235" t="s">
        <v>666</v>
      </c>
      <c r="AE1528" s="238">
        <v>600028.0</v>
      </c>
      <c r="AF1528" s="235" t="s">
        <v>631</v>
      </c>
      <c r="AG1528" s="244"/>
      <c r="AH1528" s="244"/>
      <c r="AI1528" s="245"/>
      <c r="AJ1528" s="245"/>
      <c r="AK1528" s="245"/>
      <c r="AL1528" s="245"/>
      <c r="AM1528" s="244"/>
      <c r="AN1528" s="244"/>
      <c r="AO1528" s="238">
        <v>0.0</v>
      </c>
      <c r="AP1528" s="238">
        <v>-38.1</v>
      </c>
      <c r="AQ1528" s="235" t="s">
        <v>632</v>
      </c>
      <c r="AR1528" s="243">
        <v>3.71E11</v>
      </c>
      <c r="AS1528" s="235" t="s">
        <v>10017</v>
      </c>
      <c r="AT1528" s="235" t="s">
        <v>11</v>
      </c>
      <c r="AU1528" s="235" t="s">
        <v>634</v>
      </c>
      <c r="AV1528" s="246" t="s">
        <v>635</v>
      </c>
      <c r="AW1528" s="242"/>
      <c r="AX1528" s="242"/>
      <c r="AY1528" s="231"/>
      <c r="AZ1528" s="231"/>
      <c r="BA1528" s="227"/>
      <c r="BB1528" s="231"/>
      <c r="BC1528" s="227"/>
      <c r="BD1528" s="227"/>
      <c r="BE1528" s="227"/>
      <c r="BF1528" s="227"/>
    </row>
    <row r="1529">
      <c r="A1529" s="235" t="s">
        <v>12193</v>
      </c>
      <c r="C1529" s="235" t="s">
        <v>12194</v>
      </c>
      <c r="D1529" s="235" t="s">
        <v>12195</v>
      </c>
      <c r="E1529" s="243">
        <v>6.55E13</v>
      </c>
      <c r="F1529" s="245"/>
      <c r="G1529" s="235" t="s">
        <v>12196</v>
      </c>
      <c r="H1529" s="235" t="s">
        <v>12197</v>
      </c>
      <c r="I1529" s="235" t="s">
        <v>12197</v>
      </c>
      <c r="J1529" s="235" t="s">
        <v>12198</v>
      </c>
      <c r="K1529" s="235" t="s">
        <v>12199</v>
      </c>
      <c r="N1529" s="235" t="s">
        <v>138</v>
      </c>
      <c r="O1529" s="235" t="s">
        <v>675</v>
      </c>
      <c r="P1529" s="238">
        <v>1.0</v>
      </c>
      <c r="Q1529" s="235" t="s">
        <v>627</v>
      </c>
      <c r="R1529" s="238">
        <v>246.66</v>
      </c>
      <c r="S1529" s="238">
        <v>12.34</v>
      </c>
      <c r="T1529" s="238">
        <v>18.1</v>
      </c>
      <c r="U1529" s="238">
        <v>0.9</v>
      </c>
      <c r="V1529" s="238">
        <v>0.0</v>
      </c>
      <c r="W1529" s="238">
        <v>0.0</v>
      </c>
      <c r="X1529" s="235" t="s">
        <v>628</v>
      </c>
      <c r="Z1529" s="244"/>
      <c r="AA1529" s="244"/>
      <c r="AB1529" s="244"/>
      <c r="AC1529" s="235" t="s">
        <v>1604</v>
      </c>
      <c r="AD1529" s="235" t="s">
        <v>845</v>
      </c>
      <c r="AE1529" s="238">
        <v>400072.0</v>
      </c>
      <c r="AF1529" s="235" t="s">
        <v>631</v>
      </c>
      <c r="AG1529" s="244"/>
      <c r="AH1529" s="244"/>
      <c r="AI1529" s="245"/>
      <c r="AJ1529" s="245"/>
      <c r="AK1529" s="245"/>
      <c r="AL1529" s="245"/>
      <c r="AM1529" s="244"/>
      <c r="AN1529" s="244"/>
      <c r="AO1529" s="238">
        <v>0.0</v>
      </c>
      <c r="AP1529" s="238">
        <v>-18.1</v>
      </c>
      <c r="AQ1529" s="235" t="s">
        <v>632</v>
      </c>
      <c r="AR1529" s="243">
        <v>1.68E11</v>
      </c>
      <c r="AS1529" s="235" t="s">
        <v>11672</v>
      </c>
      <c r="AT1529" s="235" t="s">
        <v>16</v>
      </c>
      <c r="AU1529" s="235" t="s">
        <v>634</v>
      </c>
      <c r="AV1529" s="246" t="s">
        <v>635</v>
      </c>
      <c r="AW1529" s="242"/>
      <c r="AX1529" s="242"/>
      <c r="AY1529" s="231"/>
      <c r="AZ1529" s="231"/>
      <c r="BA1529" s="227"/>
      <c r="BB1529" s="231"/>
      <c r="BC1529" s="227"/>
      <c r="BD1529" s="227"/>
      <c r="BE1529" s="227"/>
      <c r="BF1529" s="227"/>
    </row>
    <row r="1530">
      <c r="A1530" s="235" t="s">
        <v>12200</v>
      </c>
      <c r="C1530" s="235" t="s">
        <v>12201</v>
      </c>
      <c r="D1530" s="235" t="s">
        <v>12202</v>
      </c>
      <c r="E1530" s="243">
        <v>6.55E13</v>
      </c>
      <c r="F1530" s="245"/>
      <c r="G1530" s="235" t="s">
        <v>12203</v>
      </c>
      <c r="H1530" s="235" t="s">
        <v>12204</v>
      </c>
      <c r="I1530" s="235" t="s">
        <v>12204</v>
      </c>
      <c r="J1530" s="235" t="s">
        <v>12205</v>
      </c>
      <c r="K1530" s="235" t="s">
        <v>12206</v>
      </c>
      <c r="N1530" s="235" t="s">
        <v>145</v>
      </c>
      <c r="O1530" s="235" t="s">
        <v>370</v>
      </c>
      <c r="P1530" s="238">
        <v>1.0</v>
      </c>
      <c r="Q1530" s="235" t="s">
        <v>627</v>
      </c>
      <c r="R1530" s="238">
        <v>1522.86</v>
      </c>
      <c r="S1530" s="238">
        <v>76.14</v>
      </c>
      <c r="T1530" s="238">
        <v>0.0</v>
      </c>
      <c r="U1530" s="238">
        <v>0.0</v>
      </c>
      <c r="V1530" s="238">
        <v>0.0</v>
      </c>
      <c r="W1530" s="238">
        <v>0.0</v>
      </c>
      <c r="X1530" s="235" t="s">
        <v>628</v>
      </c>
      <c r="Z1530" s="244"/>
      <c r="AA1530" s="244"/>
      <c r="AB1530" s="244"/>
      <c r="AC1530" s="235" t="s">
        <v>1456</v>
      </c>
      <c r="AD1530" s="235" t="s">
        <v>928</v>
      </c>
      <c r="AE1530" s="238">
        <v>122009.0</v>
      </c>
      <c r="AF1530" s="235" t="s">
        <v>631</v>
      </c>
      <c r="AG1530" s="244"/>
      <c r="AH1530" s="244"/>
      <c r="AI1530" s="245"/>
      <c r="AJ1530" s="245"/>
      <c r="AK1530" s="245"/>
      <c r="AL1530" s="245"/>
      <c r="AM1530" s="244"/>
      <c r="AN1530" s="244"/>
      <c r="AO1530" s="238">
        <v>0.0</v>
      </c>
      <c r="AP1530" s="238">
        <v>0.0</v>
      </c>
      <c r="AQ1530" s="235" t="s">
        <v>632</v>
      </c>
      <c r="AR1530" s="243">
        <v>1.68E11</v>
      </c>
      <c r="AS1530" s="235" t="s">
        <v>11672</v>
      </c>
      <c r="AT1530" s="235" t="s">
        <v>13</v>
      </c>
      <c r="AU1530" s="235" t="s">
        <v>634</v>
      </c>
      <c r="AV1530" s="246" t="s">
        <v>635</v>
      </c>
      <c r="AW1530" s="242"/>
      <c r="AX1530" s="242"/>
      <c r="AY1530" s="231"/>
      <c r="AZ1530" s="231"/>
      <c r="BA1530" s="227"/>
      <c r="BB1530" s="231"/>
      <c r="BC1530" s="227"/>
      <c r="BD1530" s="227"/>
      <c r="BE1530" s="227"/>
      <c r="BF1530" s="227"/>
    </row>
    <row r="1531">
      <c r="A1531" s="235" t="s">
        <v>12207</v>
      </c>
      <c r="C1531" s="235" t="s">
        <v>12208</v>
      </c>
      <c r="D1531" s="235" t="s">
        <v>12209</v>
      </c>
      <c r="E1531" s="243">
        <v>6.54E13</v>
      </c>
      <c r="F1531" s="245"/>
      <c r="G1531" s="235" t="s">
        <v>12210</v>
      </c>
      <c r="H1531" s="235" t="s">
        <v>12211</v>
      </c>
      <c r="I1531" s="235" t="s">
        <v>12212</v>
      </c>
      <c r="J1531" s="235" t="s">
        <v>12213</v>
      </c>
      <c r="K1531" s="235" t="s">
        <v>12214</v>
      </c>
      <c r="N1531" s="235" t="s">
        <v>2696</v>
      </c>
      <c r="O1531" s="235" t="s">
        <v>2697</v>
      </c>
      <c r="P1531" s="238">
        <v>1.0</v>
      </c>
      <c r="Q1531" s="235" t="s">
        <v>627</v>
      </c>
      <c r="R1531" s="238">
        <v>246.66</v>
      </c>
      <c r="S1531" s="238">
        <v>12.34</v>
      </c>
      <c r="T1531" s="238">
        <v>38.1</v>
      </c>
      <c r="U1531" s="238">
        <v>1.9</v>
      </c>
      <c r="V1531" s="238">
        <v>0.0</v>
      </c>
      <c r="W1531" s="238">
        <v>0.0</v>
      </c>
      <c r="X1531" s="235" t="s">
        <v>628</v>
      </c>
      <c r="Z1531" s="244"/>
      <c r="AA1531" s="244"/>
      <c r="AB1531" s="244"/>
      <c r="AC1531" s="235" t="s">
        <v>12215</v>
      </c>
      <c r="AD1531" s="235" t="s">
        <v>928</v>
      </c>
      <c r="AE1531" s="238">
        <v>122508.0</v>
      </c>
      <c r="AF1531" s="235" t="s">
        <v>631</v>
      </c>
      <c r="AG1531" s="244"/>
      <c r="AH1531" s="244"/>
      <c r="AI1531" s="245"/>
      <c r="AJ1531" s="245"/>
      <c r="AK1531" s="245"/>
      <c r="AL1531" s="245"/>
      <c r="AM1531" s="244"/>
      <c r="AN1531" s="244"/>
      <c r="AO1531" s="238">
        <v>0.0</v>
      </c>
      <c r="AP1531" s="238">
        <v>-38.1</v>
      </c>
      <c r="AQ1531" s="235" t="s">
        <v>1328</v>
      </c>
      <c r="AR1531" s="243">
        <v>1.34E13</v>
      </c>
      <c r="AS1531" s="235" t="s">
        <v>6164</v>
      </c>
      <c r="AT1531" s="235" t="s">
        <v>14</v>
      </c>
      <c r="AU1531" s="235" t="s">
        <v>634</v>
      </c>
      <c r="AV1531" s="246" t="s">
        <v>635</v>
      </c>
      <c r="AW1531" s="242"/>
      <c r="AX1531" s="242"/>
      <c r="AY1531" s="231"/>
      <c r="AZ1531" s="231"/>
      <c r="BA1531" s="227"/>
      <c r="BB1531" s="231"/>
      <c r="BC1531" s="227"/>
      <c r="BD1531" s="227"/>
      <c r="BE1531" s="227"/>
      <c r="BF1531" s="227"/>
    </row>
    <row r="1532">
      <c r="A1532" s="235" t="s">
        <v>12216</v>
      </c>
      <c r="C1532" s="235" t="s">
        <v>12217</v>
      </c>
      <c r="D1532" s="235" t="s">
        <v>12218</v>
      </c>
      <c r="E1532" s="243">
        <v>6.55E13</v>
      </c>
      <c r="F1532" s="245"/>
      <c r="G1532" s="235" t="s">
        <v>12219</v>
      </c>
      <c r="H1532" s="235" t="s">
        <v>12220</v>
      </c>
      <c r="I1532" s="235" t="s">
        <v>12220</v>
      </c>
      <c r="J1532" s="235" t="s">
        <v>12221</v>
      </c>
      <c r="K1532" s="235" t="s">
        <v>12222</v>
      </c>
      <c r="N1532" s="235" t="s">
        <v>55</v>
      </c>
      <c r="O1532" s="235" t="s">
        <v>244</v>
      </c>
      <c r="P1532" s="238">
        <v>1.0</v>
      </c>
      <c r="Q1532" s="235" t="s">
        <v>627</v>
      </c>
      <c r="R1532" s="238">
        <v>246.67</v>
      </c>
      <c r="S1532" s="238">
        <v>12.33</v>
      </c>
      <c r="T1532" s="238">
        <v>0.0</v>
      </c>
      <c r="U1532" s="238">
        <v>0.0</v>
      </c>
      <c r="V1532" s="238">
        <v>0.0</v>
      </c>
      <c r="W1532" s="238">
        <v>0.0</v>
      </c>
      <c r="X1532" s="235" t="s">
        <v>628</v>
      </c>
      <c r="Z1532" s="244"/>
      <c r="AA1532" s="244"/>
      <c r="AB1532" s="244"/>
      <c r="AC1532" s="235" t="s">
        <v>795</v>
      </c>
      <c r="AD1532" s="235" t="s">
        <v>796</v>
      </c>
      <c r="AE1532" s="238">
        <v>110058.0</v>
      </c>
      <c r="AF1532" s="235" t="s">
        <v>631</v>
      </c>
      <c r="AG1532" s="244"/>
      <c r="AH1532" s="244"/>
      <c r="AI1532" s="245"/>
      <c r="AJ1532" s="245"/>
      <c r="AK1532" s="245"/>
      <c r="AL1532" s="245"/>
      <c r="AM1532" s="244"/>
      <c r="AN1532" s="244"/>
      <c r="AO1532" s="238">
        <v>0.0</v>
      </c>
      <c r="AP1532" s="238">
        <v>0.0</v>
      </c>
      <c r="AQ1532" s="235" t="s">
        <v>632</v>
      </c>
      <c r="AR1532" s="243">
        <v>1.68E11</v>
      </c>
      <c r="AS1532" s="235" t="s">
        <v>11672</v>
      </c>
      <c r="AT1532" s="235" t="s">
        <v>13</v>
      </c>
      <c r="AU1532" s="235" t="s">
        <v>634</v>
      </c>
      <c r="AV1532" s="246" t="s">
        <v>635</v>
      </c>
      <c r="AW1532" s="242"/>
      <c r="AX1532" s="242"/>
      <c r="AY1532" s="231"/>
      <c r="AZ1532" s="231"/>
      <c r="BA1532" s="227"/>
      <c r="BB1532" s="231"/>
      <c r="BC1532" s="227"/>
      <c r="BD1532" s="227"/>
      <c r="BE1532" s="227"/>
      <c r="BF1532" s="227"/>
    </row>
    <row r="1533">
      <c r="A1533" s="235" t="s">
        <v>12223</v>
      </c>
      <c r="C1533" s="235" t="s">
        <v>12224</v>
      </c>
      <c r="D1533" s="235" t="s">
        <v>12225</v>
      </c>
      <c r="E1533" s="243">
        <v>6.55E13</v>
      </c>
      <c r="F1533" s="245"/>
      <c r="G1533" s="235" t="s">
        <v>12226</v>
      </c>
      <c r="H1533" s="235" t="s">
        <v>12227</v>
      </c>
      <c r="I1533" s="235" t="s">
        <v>12228</v>
      </c>
      <c r="J1533" s="235" t="s">
        <v>12229</v>
      </c>
      <c r="K1533" s="235" t="s">
        <v>12230</v>
      </c>
      <c r="N1533" s="235" t="s">
        <v>138</v>
      </c>
      <c r="O1533" s="235" t="s">
        <v>675</v>
      </c>
      <c r="P1533" s="238">
        <v>1.0</v>
      </c>
      <c r="Q1533" s="235" t="s">
        <v>627</v>
      </c>
      <c r="R1533" s="238">
        <v>246.67</v>
      </c>
      <c r="S1533" s="238">
        <v>12.33</v>
      </c>
      <c r="T1533" s="238">
        <v>0.0</v>
      </c>
      <c r="U1533" s="238">
        <v>0.0</v>
      </c>
      <c r="V1533" s="238">
        <v>0.0</v>
      </c>
      <c r="W1533" s="238">
        <v>0.0</v>
      </c>
      <c r="X1533" s="235" t="s">
        <v>628</v>
      </c>
      <c r="Z1533" s="244"/>
      <c r="AA1533" s="244"/>
      <c r="AB1533" s="244"/>
      <c r="AC1533" s="235" t="s">
        <v>12231</v>
      </c>
      <c r="AD1533" s="235" t="s">
        <v>630</v>
      </c>
      <c r="AE1533" s="238">
        <v>247451.0</v>
      </c>
      <c r="AF1533" s="235" t="s">
        <v>631</v>
      </c>
      <c r="AG1533" s="244"/>
      <c r="AH1533" s="244"/>
      <c r="AI1533" s="245"/>
      <c r="AJ1533" s="245"/>
      <c r="AK1533" s="245"/>
      <c r="AL1533" s="245"/>
      <c r="AM1533" s="244"/>
      <c r="AN1533" s="244"/>
      <c r="AO1533" s="238">
        <v>0.0</v>
      </c>
      <c r="AP1533" s="238">
        <v>0.0</v>
      </c>
      <c r="AQ1533" s="235" t="s">
        <v>632</v>
      </c>
      <c r="AR1533" s="243">
        <v>1.68E11</v>
      </c>
      <c r="AS1533" s="235" t="s">
        <v>11171</v>
      </c>
      <c r="AT1533" s="235" t="s">
        <v>14</v>
      </c>
      <c r="AU1533" s="235" t="s">
        <v>634</v>
      </c>
      <c r="AV1533" s="246" t="s">
        <v>635</v>
      </c>
      <c r="AW1533" s="242"/>
      <c r="AX1533" s="242"/>
      <c r="AY1533" s="231"/>
      <c r="AZ1533" s="231"/>
      <c r="BA1533" s="227"/>
      <c r="BB1533" s="231"/>
      <c r="BC1533" s="227"/>
      <c r="BD1533" s="227"/>
      <c r="BE1533" s="227"/>
      <c r="BF1533" s="227"/>
    </row>
    <row r="1534">
      <c r="A1534" s="235" t="s">
        <v>12232</v>
      </c>
      <c r="C1534" s="235" t="s">
        <v>12233</v>
      </c>
      <c r="D1534" s="235" t="s">
        <v>12234</v>
      </c>
      <c r="E1534" s="243">
        <v>6.55E13</v>
      </c>
      <c r="F1534" s="245"/>
      <c r="G1534" s="235" t="s">
        <v>12235</v>
      </c>
      <c r="H1534" s="235" t="s">
        <v>12236</v>
      </c>
      <c r="I1534" s="235" t="s">
        <v>12236</v>
      </c>
      <c r="J1534" s="235" t="s">
        <v>12237</v>
      </c>
      <c r="K1534" s="235" t="s">
        <v>12238</v>
      </c>
      <c r="N1534" s="235" t="s">
        <v>2696</v>
      </c>
      <c r="O1534" s="235" t="s">
        <v>2697</v>
      </c>
      <c r="P1534" s="238">
        <v>1.0</v>
      </c>
      <c r="Q1534" s="235" t="s">
        <v>627</v>
      </c>
      <c r="R1534" s="238">
        <v>246.66</v>
      </c>
      <c r="S1534" s="238">
        <v>12.34</v>
      </c>
      <c r="T1534" s="238">
        <v>94.28</v>
      </c>
      <c r="U1534" s="238">
        <v>4.72</v>
      </c>
      <c r="V1534" s="238">
        <v>0.0</v>
      </c>
      <c r="W1534" s="238">
        <v>0.0</v>
      </c>
      <c r="X1534" s="235" t="s">
        <v>628</v>
      </c>
      <c r="Z1534" s="244"/>
      <c r="AA1534" s="244"/>
      <c r="AB1534" s="244"/>
      <c r="AC1534" s="235" t="s">
        <v>4071</v>
      </c>
      <c r="AD1534" s="235" t="s">
        <v>928</v>
      </c>
      <c r="AE1534" s="238">
        <v>122009.0</v>
      </c>
      <c r="AF1534" s="235" t="s">
        <v>631</v>
      </c>
      <c r="AG1534" s="244"/>
      <c r="AH1534" s="244"/>
      <c r="AI1534" s="245"/>
      <c r="AJ1534" s="245"/>
      <c r="AK1534" s="245"/>
      <c r="AL1534" s="245"/>
      <c r="AM1534" s="244"/>
      <c r="AN1534" s="244"/>
      <c r="AO1534" s="238">
        <v>0.0</v>
      </c>
      <c r="AP1534" s="238">
        <v>-94.28</v>
      </c>
      <c r="AQ1534" s="235" t="s">
        <v>632</v>
      </c>
      <c r="AR1534" s="243">
        <v>1.68E11</v>
      </c>
      <c r="AS1534" s="235" t="s">
        <v>11672</v>
      </c>
      <c r="AT1534" s="235" t="s">
        <v>533</v>
      </c>
      <c r="AU1534" s="235" t="s">
        <v>634</v>
      </c>
      <c r="AV1534" s="246" t="s">
        <v>635</v>
      </c>
      <c r="AW1534" s="242"/>
      <c r="AX1534" s="242"/>
      <c r="AY1534" s="231"/>
      <c r="AZ1534" s="231"/>
      <c r="BA1534" s="227"/>
      <c r="BB1534" s="231"/>
      <c r="BC1534" s="227"/>
      <c r="BD1534" s="227"/>
      <c r="BE1534" s="227"/>
      <c r="BF1534" s="227"/>
    </row>
    <row r="1535">
      <c r="A1535" s="235" t="s">
        <v>12239</v>
      </c>
      <c r="C1535" s="235" t="s">
        <v>12240</v>
      </c>
      <c r="D1535" s="235" t="s">
        <v>12241</v>
      </c>
      <c r="E1535" s="243">
        <v>6.55E13</v>
      </c>
      <c r="F1535" s="245"/>
      <c r="G1535" s="235" t="s">
        <v>12242</v>
      </c>
      <c r="H1535" s="235" t="s">
        <v>12243</v>
      </c>
      <c r="I1535" s="235" t="s">
        <v>12243</v>
      </c>
      <c r="J1535" s="235" t="s">
        <v>12244</v>
      </c>
      <c r="K1535" s="235" t="s">
        <v>12245</v>
      </c>
      <c r="N1535" s="235" t="s">
        <v>92</v>
      </c>
      <c r="O1535" s="235" t="s">
        <v>248</v>
      </c>
      <c r="P1535" s="238">
        <v>1.0</v>
      </c>
      <c r="Q1535" s="235" t="s">
        <v>627</v>
      </c>
      <c r="R1535" s="238">
        <v>246.67</v>
      </c>
      <c r="S1535" s="238">
        <v>12.33</v>
      </c>
      <c r="T1535" s="238">
        <v>0.0</v>
      </c>
      <c r="U1535" s="238">
        <v>0.0</v>
      </c>
      <c r="V1535" s="238">
        <v>0.0</v>
      </c>
      <c r="W1535" s="238">
        <v>0.0</v>
      </c>
      <c r="X1535" s="235" t="s">
        <v>628</v>
      </c>
      <c r="Z1535" s="244"/>
      <c r="AA1535" s="244"/>
      <c r="AB1535" s="244"/>
      <c r="AC1535" s="235" t="s">
        <v>12246</v>
      </c>
      <c r="AD1535" s="235" t="s">
        <v>630</v>
      </c>
      <c r="AE1535" s="238">
        <v>277001.0</v>
      </c>
      <c r="AF1535" s="235" t="s">
        <v>631</v>
      </c>
      <c r="AG1535" s="244"/>
      <c r="AH1535" s="244"/>
      <c r="AI1535" s="245"/>
      <c r="AJ1535" s="245"/>
      <c r="AK1535" s="245"/>
      <c r="AL1535" s="245"/>
      <c r="AM1535" s="244"/>
      <c r="AN1535" s="244"/>
      <c r="AO1535" s="238">
        <v>0.0</v>
      </c>
      <c r="AP1535" s="238">
        <v>0.0</v>
      </c>
      <c r="AQ1535" s="235" t="s">
        <v>632</v>
      </c>
      <c r="AR1535" s="243">
        <v>3.71E11</v>
      </c>
      <c r="AS1535" s="235" t="s">
        <v>7365</v>
      </c>
      <c r="AT1535" s="235" t="s">
        <v>14</v>
      </c>
      <c r="AU1535" s="235" t="s">
        <v>634</v>
      </c>
      <c r="AV1535" s="246" t="s">
        <v>635</v>
      </c>
      <c r="AW1535" s="242"/>
      <c r="AX1535" s="242"/>
      <c r="AY1535" s="231"/>
      <c r="AZ1535" s="231"/>
      <c r="BA1535" s="227"/>
      <c r="BB1535" s="231"/>
      <c r="BC1535" s="227"/>
      <c r="BD1535" s="227"/>
      <c r="BE1535" s="227"/>
      <c r="BF1535" s="227"/>
    </row>
    <row r="1536">
      <c r="A1536" s="235" t="s">
        <v>12247</v>
      </c>
      <c r="C1536" s="235" t="s">
        <v>12248</v>
      </c>
      <c r="D1536" s="235" t="s">
        <v>12249</v>
      </c>
      <c r="E1536" s="243">
        <v>6.55E13</v>
      </c>
      <c r="F1536" s="245"/>
      <c r="G1536" s="235" t="s">
        <v>12250</v>
      </c>
      <c r="H1536" s="235" t="s">
        <v>12251</v>
      </c>
      <c r="I1536" s="235" t="s">
        <v>12252</v>
      </c>
      <c r="J1536" s="235" t="s">
        <v>12253</v>
      </c>
      <c r="K1536" s="235" t="s">
        <v>12254</v>
      </c>
      <c r="N1536" s="235" t="s">
        <v>145</v>
      </c>
      <c r="O1536" s="235" t="s">
        <v>370</v>
      </c>
      <c r="P1536" s="238">
        <v>1.0</v>
      </c>
      <c r="Q1536" s="235" t="s">
        <v>627</v>
      </c>
      <c r="R1536" s="238">
        <v>1522.86</v>
      </c>
      <c r="S1536" s="238">
        <v>74.62</v>
      </c>
      <c r="T1536" s="238">
        <v>0.0</v>
      </c>
      <c r="U1536" s="238">
        <v>0.0</v>
      </c>
      <c r="V1536" s="238">
        <v>0.0</v>
      </c>
      <c r="W1536" s="238">
        <v>0.0</v>
      </c>
      <c r="X1536" s="235" t="s">
        <v>628</v>
      </c>
      <c r="Z1536" s="244"/>
      <c r="AA1536" s="244"/>
      <c r="AB1536" s="244"/>
      <c r="AC1536" s="235" t="s">
        <v>844</v>
      </c>
      <c r="AD1536" s="235" t="s">
        <v>845</v>
      </c>
      <c r="AE1536" s="238">
        <v>411051.0</v>
      </c>
      <c r="AF1536" s="235" t="s">
        <v>631</v>
      </c>
      <c r="AG1536" s="244"/>
      <c r="AH1536" s="244"/>
      <c r="AI1536" s="245"/>
      <c r="AJ1536" s="245"/>
      <c r="AK1536" s="245"/>
      <c r="AL1536" s="245"/>
      <c r="AM1536" s="244"/>
      <c r="AN1536" s="244"/>
      <c r="AO1536" s="238">
        <v>-30.46</v>
      </c>
      <c r="AP1536" s="238">
        <v>0.0</v>
      </c>
      <c r="AQ1536" s="235" t="s">
        <v>632</v>
      </c>
      <c r="AR1536" s="243">
        <v>1.68E11</v>
      </c>
      <c r="AS1536" s="235" t="s">
        <v>11171</v>
      </c>
      <c r="AT1536" s="235" t="s">
        <v>16</v>
      </c>
      <c r="AU1536" s="235" t="s">
        <v>634</v>
      </c>
      <c r="AV1536" s="246" t="s">
        <v>635</v>
      </c>
      <c r="AW1536" s="242"/>
      <c r="AX1536" s="242"/>
      <c r="AY1536" s="231"/>
      <c r="AZ1536" s="231"/>
      <c r="BA1536" s="227"/>
      <c r="BB1536" s="231"/>
      <c r="BC1536" s="227"/>
      <c r="BD1536" s="227"/>
      <c r="BE1536" s="227"/>
      <c r="BF1536" s="227"/>
    </row>
    <row r="1537">
      <c r="A1537" s="235" t="s">
        <v>12255</v>
      </c>
      <c r="C1537" s="235" t="s">
        <v>12256</v>
      </c>
      <c r="D1537" s="235" t="s">
        <v>12257</v>
      </c>
      <c r="E1537" s="243">
        <v>6.55E13</v>
      </c>
      <c r="F1537" s="245"/>
      <c r="G1537" s="235" t="s">
        <v>12258</v>
      </c>
      <c r="H1537" s="235" t="s">
        <v>12259</v>
      </c>
      <c r="I1537" s="235" t="s">
        <v>12259</v>
      </c>
      <c r="J1537" s="235" t="s">
        <v>12260</v>
      </c>
      <c r="K1537" s="235" t="s">
        <v>12261</v>
      </c>
      <c r="N1537" s="235" t="s">
        <v>127</v>
      </c>
      <c r="O1537" s="235" t="s">
        <v>794</v>
      </c>
      <c r="P1537" s="238">
        <v>1.0</v>
      </c>
      <c r="Q1537" s="235" t="s">
        <v>627</v>
      </c>
      <c r="R1537" s="238">
        <v>246.66</v>
      </c>
      <c r="S1537" s="238">
        <v>12.34</v>
      </c>
      <c r="T1537" s="238">
        <v>0.0</v>
      </c>
      <c r="U1537" s="238">
        <v>0.0</v>
      </c>
      <c r="V1537" s="238">
        <v>0.0</v>
      </c>
      <c r="W1537" s="238">
        <v>0.0</v>
      </c>
      <c r="X1537" s="235" t="s">
        <v>628</v>
      </c>
      <c r="Z1537" s="244"/>
      <c r="AA1537" s="244"/>
      <c r="AB1537" s="244"/>
      <c r="AC1537" s="235" t="s">
        <v>1456</v>
      </c>
      <c r="AD1537" s="235" t="s">
        <v>928</v>
      </c>
      <c r="AE1537" s="238">
        <v>122017.0</v>
      </c>
      <c r="AF1537" s="235" t="s">
        <v>631</v>
      </c>
      <c r="AG1537" s="244"/>
      <c r="AH1537" s="244"/>
      <c r="AI1537" s="245"/>
      <c r="AJ1537" s="245"/>
      <c r="AK1537" s="245"/>
      <c r="AL1537" s="245"/>
      <c r="AM1537" s="244"/>
      <c r="AN1537" s="244"/>
      <c r="AO1537" s="238">
        <v>0.0</v>
      </c>
      <c r="AP1537" s="238">
        <v>0.0</v>
      </c>
      <c r="AQ1537" s="235" t="s">
        <v>632</v>
      </c>
      <c r="AR1537" s="243">
        <v>1.68E11</v>
      </c>
      <c r="AS1537" s="235" t="s">
        <v>11672</v>
      </c>
      <c r="AT1537" s="235" t="s">
        <v>14</v>
      </c>
      <c r="AU1537" s="235" t="s">
        <v>634</v>
      </c>
      <c r="AV1537" s="246" t="s">
        <v>635</v>
      </c>
      <c r="AW1537" s="242"/>
      <c r="AX1537" s="242"/>
      <c r="AY1537" s="231"/>
      <c r="AZ1537" s="231"/>
      <c r="BA1537" s="227"/>
      <c r="BB1537" s="231"/>
      <c r="BC1537" s="227"/>
      <c r="BD1537" s="227"/>
      <c r="BE1537" s="227"/>
      <c r="BF1537" s="227"/>
    </row>
    <row r="1538">
      <c r="A1538" s="235" t="s">
        <v>12262</v>
      </c>
      <c r="C1538" s="235" t="s">
        <v>12263</v>
      </c>
      <c r="D1538" s="235" t="s">
        <v>12264</v>
      </c>
      <c r="E1538" s="243">
        <v>6.55E13</v>
      </c>
      <c r="F1538" s="245"/>
      <c r="G1538" s="235" t="s">
        <v>12265</v>
      </c>
      <c r="H1538" s="235" t="s">
        <v>12266</v>
      </c>
      <c r="I1538" s="235" t="s">
        <v>12266</v>
      </c>
      <c r="J1538" s="235" t="s">
        <v>12267</v>
      </c>
      <c r="K1538" s="235" t="s">
        <v>12268</v>
      </c>
      <c r="N1538" s="235" t="s">
        <v>117</v>
      </c>
      <c r="O1538" s="235" t="s">
        <v>334</v>
      </c>
      <c r="P1538" s="238">
        <v>1.0</v>
      </c>
      <c r="Q1538" s="235" t="s">
        <v>627</v>
      </c>
      <c r="R1538" s="238">
        <v>237.14</v>
      </c>
      <c r="S1538" s="238">
        <v>11.86</v>
      </c>
      <c r="T1538" s="238">
        <v>0.0</v>
      </c>
      <c r="U1538" s="238">
        <v>0.0</v>
      </c>
      <c r="V1538" s="238">
        <v>0.0</v>
      </c>
      <c r="W1538" s="238">
        <v>0.0</v>
      </c>
      <c r="X1538" s="235" t="s">
        <v>628</v>
      </c>
      <c r="Z1538" s="244"/>
      <c r="AA1538" s="244"/>
      <c r="AB1538" s="244"/>
      <c r="AC1538" s="235" t="s">
        <v>1255</v>
      </c>
      <c r="AD1538" s="235" t="s">
        <v>845</v>
      </c>
      <c r="AE1538" s="238">
        <v>400607.0</v>
      </c>
      <c r="AF1538" s="235" t="s">
        <v>631</v>
      </c>
      <c r="AG1538" s="244"/>
      <c r="AH1538" s="244"/>
      <c r="AI1538" s="245"/>
      <c r="AJ1538" s="245"/>
      <c r="AK1538" s="245"/>
      <c r="AL1538" s="245"/>
      <c r="AM1538" s="244"/>
      <c r="AN1538" s="244"/>
      <c r="AO1538" s="238">
        <v>0.0</v>
      </c>
      <c r="AP1538" s="238">
        <v>0.0</v>
      </c>
      <c r="AQ1538" s="235" t="s">
        <v>632</v>
      </c>
      <c r="AR1538" s="243">
        <v>3.71E11</v>
      </c>
      <c r="AS1538" s="235" t="s">
        <v>11171</v>
      </c>
      <c r="AT1538" s="235" t="s">
        <v>16</v>
      </c>
      <c r="AU1538" s="235" t="s">
        <v>634</v>
      </c>
      <c r="AV1538" s="246" t="s">
        <v>635</v>
      </c>
      <c r="AW1538" s="242"/>
      <c r="AX1538" s="242"/>
      <c r="AY1538" s="231"/>
      <c r="AZ1538" s="231"/>
      <c r="BA1538" s="227"/>
      <c r="BB1538" s="231"/>
      <c r="BC1538" s="227"/>
      <c r="BD1538" s="227"/>
      <c r="BE1538" s="227"/>
      <c r="BF1538" s="227"/>
    </row>
    <row r="1539">
      <c r="A1539" s="235" t="s">
        <v>12269</v>
      </c>
      <c r="C1539" s="235" t="s">
        <v>12270</v>
      </c>
      <c r="D1539" s="235" t="s">
        <v>12271</v>
      </c>
      <c r="E1539" s="243">
        <v>6.55E13</v>
      </c>
      <c r="F1539" s="245"/>
      <c r="G1539" s="235" t="s">
        <v>12272</v>
      </c>
      <c r="H1539" s="235" t="s">
        <v>12273</v>
      </c>
      <c r="I1539" s="235" t="s">
        <v>12273</v>
      </c>
      <c r="J1539" s="235" t="s">
        <v>12274</v>
      </c>
      <c r="K1539" s="235" t="s">
        <v>12275</v>
      </c>
      <c r="N1539" s="235" t="s">
        <v>2163</v>
      </c>
      <c r="O1539" s="235" t="s">
        <v>2164</v>
      </c>
      <c r="P1539" s="238">
        <v>1.0</v>
      </c>
      <c r="Q1539" s="235" t="s">
        <v>627</v>
      </c>
      <c r="R1539" s="238">
        <v>246.66</v>
      </c>
      <c r="S1539" s="238">
        <v>12.34</v>
      </c>
      <c r="T1539" s="238">
        <v>0.0</v>
      </c>
      <c r="U1539" s="238">
        <v>0.0</v>
      </c>
      <c r="V1539" s="238">
        <v>0.0</v>
      </c>
      <c r="W1539" s="238">
        <v>0.0</v>
      </c>
      <c r="X1539" s="235" t="s">
        <v>628</v>
      </c>
      <c r="Z1539" s="244"/>
      <c r="AA1539" s="244"/>
      <c r="AB1539" s="244"/>
      <c r="AC1539" s="235" t="s">
        <v>1456</v>
      </c>
      <c r="AD1539" s="235" t="s">
        <v>928</v>
      </c>
      <c r="AE1539" s="238">
        <v>122505.0</v>
      </c>
      <c r="AF1539" s="235" t="s">
        <v>631</v>
      </c>
      <c r="AG1539" s="244"/>
      <c r="AH1539" s="244"/>
      <c r="AI1539" s="245"/>
      <c r="AJ1539" s="245"/>
      <c r="AK1539" s="245"/>
      <c r="AL1539" s="245"/>
      <c r="AM1539" s="244"/>
      <c r="AN1539" s="244"/>
      <c r="AO1539" s="238">
        <v>0.0</v>
      </c>
      <c r="AP1539" s="238">
        <v>0.0</v>
      </c>
      <c r="AQ1539" s="235" t="s">
        <v>632</v>
      </c>
      <c r="AR1539" s="243">
        <v>3.71E11</v>
      </c>
      <c r="AS1539" s="235" t="s">
        <v>11171</v>
      </c>
      <c r="AT1539" s="235" t="s">
        <v>13</v>
      </c>
      <c r="AU1539" s="235" t="s">
        <v>634</v>
      </c>
      <c r="AV1539" s="246" t="s">
        <v>635</v>
      </c>
      <c r="AW1539" s="242"/>
      <c r="AX1539" s="242"/>
      <c r="AY1539" s="231"/>
      <c r="AZ1539" s="231"/>
      <c r="BA1539" s="227"/>
      <c r="BB1539" s="231"/>
      <c r="BC1539" s="227"/>
      <c r="BD1539" s="227"/>
      <c r="BE1539" s="227"/>
      <c r="BF1539" s="227"/>
    </row>
    <row r="1540">
      <c r="A1540" s="235" t="s">
        <v>12276</v>
      </c>
      <c r="C1540" s="235" t="s">
        <v>12277</v>
      </c>
      <c r="D1540" s="235" t="s">
        <v>12278</v>
      </c>
      <c r="E1540" s="243">
        <v>6.55E13</v>
      </c>
      <c r="F1540" s="245"/>
      <c r="G1540" s="235" t="s">
        <v>12279</v>
      </c>
      <c r="H1540" s="235" t="s">
        <v>12280</v>
      </c>
      <c r="I1540" s="235" t="s">
        <v>12280</v>
      </c>
      <c r="J1540" s="235" t="s">
        <v>12281</v>
      </c>
      <c r="K1540" s="235" t="s">
        <v>12282</v>
      </c>
      <c r="N1540" s="235" t="s">
        <v>989</v>
      </c>
      <c r="O1540" s="235" t="s">
        <v>990</v>
      </c>
      <c r="P1540" s="238">
        <v>1.0</v>
      </c>
      <c r="Q1540" s="235" t="s">
        <v>627</v>
      </c>
      <c r="R1540" s="238">
        <v>256.19</v>
      </c>
      <c r="S1540" s="238">
        <v>12.81</v>
      </c>
      <c r="T1540" s="238">
        <v>0.0</v>
      </c>
      <c r="U1540" s="238">
        <v>0.0</v>
      </c>
      <c r="V1540" s="238">
        <v>0.0</v>
      </c>
      <c r="W1540" s="238">
        <v>0.0</v>
      </c>
      <c r="X1540" s="235" t="s">
        <v>628</v>
      </c>
      <c r="Z1540" s="244"/>
      <c r="AA1540" s="244"/>
      <c r="AB1540" s="244"/>
      <c r="AC1540" s="235" t="s">
        <v>12283</v>
      </c>
      <c r="AD1540" s="235" t="s">
        <v>1077</v>
      </c>
      <c r="AE1540" s="238">
        <v>391240.0</v>
      </c>
      <c r="AF1540" s="235" t="s">
        <v>631</v>
      </c>
      <c r="AG1540" s="244"/>
      <c r="AH1540" s="244"/>
      <c r="AI1540" s="245"/>
      <c r="AJ1540" s="245"/>
      <c r="AK1540" s="245"/>
      <c r="AL1540" s="245"/>
      <c r="AM1540" s="244"/>
      <c r="AN1540" s="244"/>
      <c r="AO1540" s="238">
        <v>0.0</v>
      </c>
      <c r="AP1540" s="238">
        <v>0.0</v>
      </c>
      <c r="AQ1540" s="235" t="s">
        <v>632</v>
      </c>
      <c r="AR1540" s="243">
        <v>3.71E11</v>
      </c>
      <c r="AS1540" s="235" t="s">
        <v>8807</v>
      </c>
      <c r="AT1540" s="235" t="s">
        <v>16</v>
      </c>
      <c r="AU1540" s="235" t="s">
        <v>634</v>
      </c>
      <c r="AV1540" s="246" t="s">
        <v>635</v>
      </c>
      <c r="AW1540" s="242"/>
      <c r="AX1540" s="242"/>
      <c r="AY1540" s="231"/>
      <c r="AZ1540" s="231"/>
      <c r="BA1540" s="227"/>
      <c r="BB1540" s="231"/>
      <c r="BC1540" s="227"/>
      <c r="BD1540" s="227"/>
      <c r="BE1540" s="227"/>
      <c r="BF1540" s="227"/>
    </row>
    <row r="1541">
      <c r="A1541" s="235" t="s">
        <v>12284</v>
      </c>
      <c r="C1541" s="235" t="s">
        <v>12285</v>
      </c>
      <c r="D1541" s="235" t="s">
        <v>12286</v>
      </c>
      <c r="E1541" s="243">
        <v>6.55E13</v>
      </c>
      <c r="F1541" s="245"/>
      <c r="G1541" s="235" t="s">
        <v>12287</v>
      </c>
      <c r="H1541" s="235" t="s">
        <v>12288</v>
      </c>
      <c r="I1541" s="235" t="s">
        <v>12288</v>
      </c>
      <c r="J1541" s="235" t="s">
        <v>12289</v>
      </c>
      <c r="K1541" s="235" t="s">
        <v>12290</v>
      </c>
      <c r="N1541" s="235" t="s">
        <v>90</v>
      </c>
      <c r="O1541" s="235" t="s">
        <v>279</v>
      </c>
      <c r="P1541" s="238">
        <v>1.0</v>
      </c>
      <c r="Q1541" s="235" t="s">
        <v>627</v>
      </c>
      <c r="R1541" s="238">
        <v>246.67</v>
      </c>
      <c r="S1541" s="238">
        <v>12.33</v>
      </c>
      <c r="T1541" s="238">
        <v>0.0</v>
      </c>
      <c r="U1541" s="238">
        <v>0.0</v>
      </c>
      <c r="V1541" s="238">
        <v>0.0</v>
      </c>
      <c r="W1541" s="238">
        <v>0.0</v>
      </c>
      <c r="X1541" s="235" t="s">
        <v>628</v>
      </c>
      <c r="Z1541" s="244"/>
      <c r="AA1541" s="244"/>
      <c r="AB1541" s="244"/>
      <c r="AC1541" s="235" t="s">
        <v>12292</v>
      </c>
      <c r="AD1541" s="235" t="s">
        <v>1086</v>
      </c>
      <c r="AE1541" s="238">
        <v>145001.0</v>
      </c>
      <c r="AF1541" s="235" t="s">
        <v>631</v>
      </c>
      <c r="AG1541" s="244"/>
      <c r="AH1541" s="244"/>
      <c r="AI1541" s="245"/>
      <c r="AJ1541" s="245"/>
      <c r="AK1541" s="245"/>
      <c r="AL1541" s="245"/>
      <c r="AM1541" s="244"/>
      <c r="AN1541" s="244"/>
      <c r="AO1541" s="238">
        <v>0.0</v>
      </c>
      <c r="AP1541" s="238">
        <v>0.0</v>
      </c>
      <c r="AQ1541" s="235" t="s">
        <v>632</v>
      </c>
      <c r="AR1541" s="243">
        <v>3.71E11</v>
      </c>
      <c r="AS1541" s="235" t="s">
        <v>10017</v>
      </c>
      <c r="AT1541" s="235" t="s">
        <v>13</v>
      </c>
      <c r="AU1541" s="235" t="s">
        <v>634</v>
      </c>
      <c r="AV1541" s="246" t="s">
        <v>635</v>
      </c>
      <c r="AW1541" s="242"/>
      <c r="AX1541" s="242"/>
      <c r="AY1541" s="231"/>
      <c r="AZ1541" s="231"/>
      <c r="BA1541" s="227"/>
      <c r="BB1541" s="231"/>
      <c r="BC1541" s="227"/>
      <c r="BD1541" s="227"/>
      <c r="BE1541" s="227"/>
      <c r="BF1541" s="227"/>
    </row>
    <row r="1542">
      <c r="A1542" s="235" t="s">
        <v>12293</v>
      </c>
      <c r="C1542" s="235" t="s">
        <v>12294</v>
      </c>
      <c r="D1542" s="235" t="s">
        <v>12295</v>
      </c>
      <c r="E1542" s="243">
        <v>6.55E13</v>
      </c>
      <c r="F1542" s="245"/>
      <c r="G1542" s="235" t="s">
        <v>12296</v>
      </c>
      <c r="H1542" s="235" t="s">
        <v>12297</v>
      </c>
      <c r="I1542" s="235" t="s">
        <v>12298</v>
      </c>
      <c r="J1542" s="235" t="s">
        <v>12299</v>
      </c>
      <c r="K1542" s="235" t="s">
        <v>12300</v>
      </c>
      <c r="N1542" s="235" t="s">
        <v>2848</v>
      </c>
      <c r="O1542" s="235" t="s">
        <v>2849</v>
      </c>
      <c r="P1542" s="238">
        <v>1.0</v>
      </c>
      <c r="Q1542" s="235" t="s">
        <v>627</v>
      </c>
      <c r="R1542" s="238">
        <v>246.66</v>
      </c>
      <c r="S1542" s="238">
        <v>12.34</v>
      </c>
      <c r="T1542" s="238">
        <v>0.0</v>
      </c>
      <c r="U1542" s="238">
        <v>0.0</v>
      </c>
      <c r="V1542" s="238">
        <v>0.0</v>
      </c>
      <c r="W1542" s="238">
        <v>0.0</v>
      </c>
      <c r="X1542" s="235" t="s">
        <v>628</v>
      </c>
      <c r="Z1542" s="244"/>
      <c r="AA1542" s="244"/>
      <c r="AB1542" s="244"/>
      <c r="AC1542" s="235" t="s">
        <v>5091</v>
      </c>
      <c r="AD1542" s="235" t="s">
        <v>845</v>
      </c>
      <c r="AE1542" s="238">
        <v>440014.0</v>
      </c>
      <c r="AF1542" s="235" t="s">
        <v>631</v>
      </c>
      <c r="AG1542" s="244"/>
      <c r="AH1542" s="244"/>
      <c r="AI1542" s="245"/>
      <c r="AJ1542" s="245"/>
      <c r="AK1542" s="245"/>
      <c r="AL1542" s="245"/>
      <c r="AM1542" s="244"/>
      <c r="AN1542" s="244"/>
      <c r="AO1542" s="238">
        <v>0.0</v>
      </c>
      <c r="AP1542" s="238">
        <v>0.0</v>
      </c>
      <c r="AQ1542" s="235" t="s">
        <v>632</v>
      </c>
      <c r="AR1542" s="243">
        <v>3.71E11</v>
      </c>
      <c r="AS1542" s="235" t="s">
        <v>8807</v>
      </c>
      <c r="AT1542" s="235" t="s">
        <v>17</v>
      </c>
      <c r="AU1542" s="235" t="s">
        <v>634</v>
      </c>
      <c r="AV1542" s="246" t="s">
        <v>635</v>
      </c>
      <c r="AW1542" s="242"/>
      <c r="AX1542" s="242"/>
      <c r="AY1542" s="231"/>
      <c r="AZ1542" s="231"/>
      <c r="BA1542" s="227"/>
      <c r="BB1542" s="231"/>
      <c r="BC1542" s="227"/>
      <c r="BD1542" s="227"/>
      <c r="BE1542" s="227"/>
      <c r="BF1542" s="227"/>
    </row>
    <row r="1543">
      <c r="A1543" s="235" t="s">
        <v>12301</v>
      </c>
      <c r="C1543" s="235" t="s">
        <v>12302</v>
      </c>
      <c r="D1543" s="235" t="s">
        <v>12303</v>
      </c>
      <c r="E1543" s="243">
        <v>6.55E13</v>
      </c>
      <c r="F1543" s="245"/>
      <c r="G1543" s="235" t="s">
        <v>12304</v>
      </c>
      <c r="H1543" s="235" t="s">
        <v>12305</v>
      </c>
      <c r="I1543" s="235" t="s">
        <v>12305</v>
      </c>
      <c r="J1543" s="235" t="s">
        <v>12306</v>
      </c>
      <c r="K1543" s="235" t="s">
        <v>12307</v>
      </c>
      <c r="N1543" s="235" t="s">
        <v>154</v>
      </c>
      <c r="O1543" s="235" t="s">
        <v>766</v>
      </c>
      <c r="P1543" s="238">
        <v>1.0</v>
      </c>
      <c r="Q1543" s="235" t="s">
        <v>627</v>
      </c>
      <c r="R1543" s="238">
        <v>465.72</v>
      </c>
      <c r="S1543" s="238">
        <v>23.28</v>
      </c>
      <c r="T1543" s="238">
        <v>38.1</v>
      </c>
      <c r="U1543" s="238">
        <v>1.9</v>
      </c>
      <c r="V1543" s="238">
        <v>0.0</v>
      </c>
      <c r="W1543" s="238">
        <v>0.0</v>
      </c>
      <c r="X1543" s="235" t="s">
        <v>628</v>
      </c>
      <c r="Z1543" s="244"/>
      <c r="AA1543" s="244"/>
      <c r="AB1543" s="244"/>
      <c r="AC1543" s="235" t="s">
        <v>1320</v>
      </c>
      <c r="AD1543" s="235" t="s">
        <v>666</v>
      </c>
      <c r="AE1543" s="238">
        <v>600090.0</v>
      </c>
      <c r="AF1543" s="235" t="s">
        <v>631</v>
      </c>
      <c r="AG1543" s="244"/>
      <c r="AH1543" s="244"/>
      <c r="AI1543" s="245"/>
      <c r="AJ1543" s="245"/>
      <c r="AK1543" s="245"/>
      <c r="AL1543" s="245"/>
      <c r="AM1543" s="244"/>
      <c r="AN1543" s="244"/>
      <c r="AO1543" s="238">
        <v>0.0</v>
      </c>
      <c r="AP1543" s="238">
        <v>-38.1</v>
      </c>
      <c r="AQ1543" s="235" t="s">
        <v>632</v>
      </c>
      <c r="AR1543" s="243">
        <v>3.71E11</v>
      </c>
      <c r="AS1543" s="235" t="s">
        <v>11171</v>
      </c>
      <c r="AT1543" s="235" t="s">
        <v>156</v>
      </c>
      <c r="AU1543" s="235" t="s">
        <v>634</v>
      </c>
      <c r="AV1543" s="246" t="s">
        <v>635</v>
      </c>
      <c r="AW1543" s="242"/>
      <c r="AX1543" s="242"/>
      <c r="AY1543" s="231"/>
      <c r="AZ1543" s="231"/>
      <c r="BA1543" s="227"/>
      <c r="BB1543" s="231"/>
      <c r="BC1543" s="227"/>
      <c r="BD1543" s="227"/>
      <c r="BE1543" s="227"/>
      <c r="BF1543" s="227"/>
    </row>
    <row r="1544">
      <c r="A1544" s="235" t="s">
        <v>12308</v>
      </c>
      <c r="C1544" s="235" t="s">
        <v>12309</v>
      </c>
      <c r="D1544" s="235" t="s">
        <v>12310</v>
      </c>
      <c r="E1544" s="243">
        <v>6.55E13</v>
      </c>
      <c r="F1544" s="245"/>
      <c r="G1544" s="235" t="s">
        <v>12311</v>
      </c>
      <c r="H1544" s="235" t="s">
        <v>12312</v>
      </c>
      <c r="I1544" s="235" t="s">
        <v>12313</v>
      </c>
      <c r="J1544" s="235" t="s">
        <v>12314</v>
      </c>
      <c r="K1544" s="235" t="s">
        <v>12315</v>
      </c>
      <c r="N1544" s="235" t="s">
        <v>110</v>
      </c>
      <c r="O1544" s="235" t="s">
        <v>364</v>
      </c>
      <c r="P1544" s="238">
        <v>1.0</v>
      </c>
      <c r="Q1544" s="235" t="s">
        <v>627</v>
      </c>
      <c r="R1544" s="238">
        <v>246.67</v>
      </c>
      <c r="S1544" s="238">
        <v>12.33</v>
      </c>
      <c r="T1544" s="238">
        <v>0.0</v>
      </c>
      <c r="U1544" s="238">
        <v>0.0</v>
      </c>
      <c r="V1544" s="238">
        <v>0.0</v>
      </c>
      <c r="W1544" s="238">
        <v>0.0</v>
      </c>
      <c r="X1544" s="235" t="s">
        <v>628</v>
      </c>
      <c r="Z1544" s="244"/>
      <c r="AA1544" s="244"/>
      <c r="AB1544" s="244"/>
      <c r="AC1544" s="235" t="s">
        <v>775</v>
      </c>
      <c r="AD1544" s="235" t="s">
        <v>679</v>
      </c>
      <c r="AE1544" s="238">
        <v>560087.0</v>
      </c>
      <c r="AF1544" s="235" t="s">
        <v>631</v>
      </c>
      <c r="AG1544" s="244"/>
      <c r="AH1544" s="244"/>
      <c r="AI1544" s="245"/>
      <c r="AJ1544" s="245"/>
      <c r="AK1544" s="245"/>
      <c r="AL1544" s="245"/>
      <c r="AM1544" s="244"/>
      <c r="AN1544" s="244"/>
      <c r="AO1544" s="238">
        <v>0.0</v>
      </c>
      <c r="AP1544" s="238">
        <v>0.0</v>
      </c>
      <c r="AQ1544" s="235" t="s">
        <v>632</v>
      </c>
      <c r="AR1544" s="243">
        <v>1.68E11</v>
      </c>
      <c r="AS1544" s="235" t="s">
        <v>11171</v>
      </c>
      <c r="AT1544" s="235" t="s">
        <v>156</v>
      </c>
      <c r="AU1544" s="235" t="s">
        <v>634</v>
      </c>
      <c r="AV1544" s="246" t="s">
        <v>635</v>
      </c>
      <c r="AW1544" s="242"/>
      <c r="AX1544" s="242"/>
      <c r="AY1544" s="231"/>
      <c r="AZ1544" s="231"/>
      <c r="BA1544" s="227"/>
      <c r="BB1544" s="231"/>
      <c r="BC1544" s="227"/>
      <c r="BD1544" s="227"/>
      <c r="BE1544" s="227"/>
      <c r="BF1544" s="227"/>
    </row>
    <row r="1545">
      <c r="A1545" s="235" t="s">
        <v>12316</v>
      </c>
      <c r="C1545" s="235" t="s">
        <v>12317</v>
      </c>
      <c r="D1545" s="235" t="s">
        <v>12318</v>
      </c>
      <c r="E1545" s="243">
        <v>6.55E13</v>
      </c>
      <c r="F1545" s="245"/>
      <c r="G1545" s="235" t="s">
        <v>12319</v>
      </c>
      <c r="H1545" s="235" t="s">
        <v>12320</v>
      </c>
      <c r="I1545" s="235" t="s">
        <v>12321</v>
      </c>
      <c r="J1545" s="235" t="s">
        <v>12322</v>
      </c>
      <c r="K1545" s="235" t="s">
        <v>12323</v>
      </c>
      <c r="N1545" s="235" t="s">
        <v>78</v>
      </c>
      <c r="O1545" s="235" t="s">
        <v>360</v>
      </c>
      <c r="P1545" s="238">
        <v>1.0</v>
      </c>
      <c r="Q1545" s="235" t="s">
        <v>627</v>
      </c>
      <c r="R1545" s="238">
        <v>360.96</v>
      </c>
      <c r="S1545" s="238">
        <v>18.04</v>
      </c>
      <c r="T1545" s="238">
        <v>0.0</v>
      </c>
      <c r="U1545" s="238">
        <v>0.0</v>
      </c>
      <c r="V1545" s="238">
        <v>0.0</v>
      </c>
      <c r="W1545" s="238">
        <v>0.0</v>
      </c>
      <c r="X1545" s="235" t="s">
        <v>628</v>
      </c>
      <c r="Z1545" s="244"/>
      <c r="AA1545" s="244"/>
      <c r="AB1545" s="244"/>
      <c r="AC1545" s="235" t="s">
        <v>2092</v>
      </c>
      <c r="AD1545" s="235" t="s">
        <v>845</v>
      </c>
      <c r="AE1545" s="238">
        <v>412207.0</v>
      </c>
      <c r="AF1545" s="235" t="s">
        <v>631</v>
      </c>
      <c r="AG1545" s="244"/>
      <c r="AH1545" s="244"/>
      <c r="AI1545" s="245"/>
      <c r="AJ1545" s="245"/>
      <c r="AK1545" s="245"/>
      <c r="AL1545" s="245"/>
      <c r="AM1545" s="244"/>
      <c r="AN1545" s="244"/>
      <c r="AO1545" s="238">
        <v>0.0</v>
      </c>
      <c r="AP1545" s="238">
        <v>0.0</v>
      </c>
      <c r="AQ1545" s="235" t="s">
        <v>632</v>
      </c>
      <c r="AR1545" s="243">
        <v>1.68E11</v>
      </c>
      <c r="AS1545" s="235" t="s">
        <v>11171</v>
      </c>
      <c r="AT1545" s="235" t="s">
        <v>16</v>
      </c>
      <c r="AU1545" s="235" t="s">
        <v>634</v>
      </c>
      <c r="AV1545" s="246" t="s">
        <v>635</v>
      </c>
      <c r="AW1545" s="242"/>
      <c r="AX1545" s="242"/>
      <c r="AY1545" s="231"/>
      <c r="AZ1545" s="231"/>
      <c r="BA1545" s="227"/>
      <c r="BB1545" s="231"/>
      <c r="BC1545" s="227"/>
      <c r="BD1545" s="227"/>
      <c r="BE1545" s="227"/>
      <c r="BF1545" s="227"/>
    </row>
    <row r="1546">
      <c r="A1546" s="235" t="s">
        <v>12324</v>
      </c>
      <c r="C1546" s="235" t="s">
        <v>12325</v>
      </c>
      <c r="D1546" s="235" t="s">
        <v>12326</v>
      </c>
      <c r="E1546" s="243">
        <v>6.55E13</v>
      </c>
      <c r="F1546" s="245"/>
      <c r="G1546" s="235" t="s">
        <v>12327</v>
      </c>
      <c r="H1546" s="235" t="s">
        <v>12328</v>
      </c>
      <c r="I1546" s="235" t="s">
        <v>12328</v>
      </c>
      <c r="J1546" s="235" t="s">
        <v>12329</v>
      </c>
      <c r="K1546" s="235" t="s">
        <v>12330</v>
      </c>
      <c r="N1546" s="235" t="s">
        <v>82</v>
      </c>
      <c r="O1546" s="235" t="s">
        <v>889</v>
      </c>
      <c r="P1546" s="238">
        <v>1.0</v>
      </c>
      <c r="Q1546" s="235" t="s">
        <v>627</v>
      </c>
      <c r="R1546" s="238">
        <v>246.67</v>
      </c>
      <c r="S1546" s="238">
        <v>12.33</v>
      </c>
      <c r="T1546" s="238">
        <v>56.19</v>
      </c>
      <c r="U1546" s="238">
        <v>2.81</v>
      </c>
      <c r="V1546" s="238">
        <v>0.0</v>
      </c>
      <c r="W1546" s="238">
        <v>0.0</v>
      </c>
      <c r="X1546" s="235" t="s">
        <v>628</v>
      </c>
      <c r="Z1546" s="244"/>
      <c r="AA1546" s="244"/>
      <c r="AB1546" s="244"/>
      <c r="AC1546" s="235" t="s">
        <v>9365</v>
      </c>
      <c r="AD1546" s="235" t="s">
        <v>2688</v>
      </c>
      <c r="AE1546" s="238">
        <v>181101.0</v>
      </c>
      <c r="AF1546" s="235" t="s">
        <v>631</v>
      </c>
      <c r="AG1546" s="244"/>
      <c r="AH1546" s="244"/>
      <c r="AI1546" s="245"/>
      <c r="AJ1546" s="245"/>
      <c r="AK1546" s="245"/>
      <c r="AL1546" s="245"/>
      <c r="AM1546" s="244"/>
      <c r="AN1546" s="244"/>
      <c r="AO1546" s="238">
        <v>0.0</v>
      </c>
      <c r="AP1546" s="238">
        <v>-56.19</v>
      </c>
      <c r="AQ1546" s="235" t="s">
        <v>632</v>
      </c>
      <c r="AR1546" s="243">
        <v>1.68E11</v>
      </c>
      <c r="AS1546" s="235" t="s">
        <v>10017</v>
      </c>
      <c r="AT1546" s="235" t="s">
        <v>13</v>
      </c>
      <c r="AU1546" s="235" t="s">
        <v>634</v>
      </c>
      <c r="AV1546" s="246" t="s">
        <v>635</v>
      </c>
      <c r="AW1546" s="242"/>
      <c r="AX1546" s="242"/>
      <c r="AY1546" s="231"/>
      <c r="AZ1546" s="231"/>
      <c r="BA1546" s="227"/>
      <c r="BB1546" s="231"/>
      <c r="BC1546" s="227"/>
      <c r="BD1546" s="227"/>
      <c r="BE1546" s="227"/>
      <c r="BF1546" s="227"/>
    </row>
    <row r="1547">
      <c r="A1547" s="235" t="s">
        <v>12331</v>
      </c>
      <c r="C1547" s="235" t="s">
        <v>12332</v>
      </c>
      <c r="D1547" s="235" t="s">
        <v>12333</v>
      </c>
      <c r="E1547" s="243">
        <v>6.55E13</v>
      </c>
      <c r="F1547" s="245"/>
      <c r="G1547" s="235" t="s">
        <v>12334</v>
      </c>
      <c r="H1547" s="235" t="s">
        <v>12335</v>
      </c>
      <c r="I1547" s="235" t="s">
        <v>12335</v>
      </c>
      <c r="J1547" s="235" t="s">
        <v>12336</v>
      </c>
      <c r="K1547" s="235" t="s">
        <v>12337</v>
      </c>
      <c r="N1547" s="235" t="s">
        <v>127</v>
      </c>
      <c r="O1547" s="235" t="s">
        <v>794</v>
      </c>
      <c r="P1547" s="238">
        <v>1.0</v>
      </c>
      <c r="Q1547" s="235" t="s">
        <v>627</v>
      </c>
      <c r="R1547" s="238">
        <v>246.67</v>
      </c>
      <c r="S1547" s="238">
        <v>12.33</v>
      </c>
      <c r="T1547" s="238">
        <v>0.0</v>
      </c>
      <c r="U1547" s="238">
        <v>0.0</v>
      </c>
      <c r="V1547" s="238">
        <v>0.0</v>
      </c>
      <c r="W1547" s="238">
        <v>0.0</v>
      </c>
      <c r="X1547" s="235" t="s">
        <v>628</v>
      </c>
      <c r="Z1547" s="244"/>
      <c r="AA1547" s="244"/>
      <c r="AB1547" s="244"/>
      <c r="AC1547" s="235" t="s">
        <v>1287</v>
      </c>
      <c r="AD1547" s="235" t="s">
        <v>630</v>
      </c>
      <c r="AE1547" s="238">
        <v>201017.0</v>
      </c>
      <c r="AF1547" s="235" t="s">
        <v>631</v>
      </c>
      <c r="AG1547" s="244"/>
      <c r="AH1547" s="244"/>
      <c r="AI1547" s="245"/>
      <c r="AJ1547" s="245"/>
      <c r="AK1547" s="245"/>
      <c r="AL1547" s="245"/>
      <c r="AM1547" s="244"/>
      <c r="AN1547" s="244"/>
      <c r="AO1547" s="238">
        <v>0.0</v>
      </c>
      <c r="AP1547" s="238">
        <v>0.0</v>
      </c>
      <c r="AQ1547" s="235" t="s">
        <v>632</v>
      </c>
      <c r="AR1547" s="243">
        <v>1.68E11</v>
      </c>
      <c r="AS1547" s="235" t="s">
        <v>11672</v>
      </c>
      <c r="AT1547" s="235" t="s">
        <v>13</v>
      </c>
      <c r="AU1547" s="235" t="s">
        <v>634</v>
      </c>
      <c r="AV1547" s="246" t="s">
        <v>635</v>
      </c>
      <c r="AW1547" s="242"/>
      <c r="AX1547" s="242"/>
      <c r="AY1547" s="231"/>
      <c r="AZ1547" s="231"/>
      <c r="BA1547" s="227"/>
      <c r="BB1547" s="231"/>
      <c r="BC1547" s="227"/>
      <c r="BD1547" s="227"/>
      <c r="BE1547" s="227"/>
      <c r="BF1547" s="227"/>
    </row>
    <row r="1548">
      <c r="A1548" s="235" t="s">
        <v>12338</v>
      </c>
      <c r="C1548" s="235" t="s">
        <v>12339</v>
      </c>
      <c r="D1548" s="235" t="s">
        <v>12340</v>
      </c>
      <c r="E1548" s="243">
        <v>6.55E13</v>
      </c>
      <c r="F1548" s="245"/>
      <c r="G1548" s="235" t="s">
        <v>12341</v>
      </c>
      <c r="H1548" s="235" t="s">
        <v>12342</v>
      </c>
      <c r="I1548" s="235" t="s">
        <v>12342</v>
      </c>
      <c r="J1548" s="235" t="s">
        <v>12343</v>
      </c>
      <c r="K1548" s="235" t="s">
        <v>12344</v>
      </c>
      <c r="N1548" s="235" t="s">
        <v>47</v>
      </c>
      <c r="O1548" s="235" t="s">
        <v>270</v>
      </c>
      <c r="P1548" s="238">
        <v>1.0</v>
      </c>
      <c r="Q1548" s="235" t="s">
        <v>627</v>
      </c>
      <c r="R1548" s="238">
        <v>237.14</v>
      </c>
      <c r="S1548" s="238">
        <v>11.86</v>
      </c>
      <c r="T1548" s="238">
        <v>0.0</v>
      </c>
      <c r="U1548" s="238">
        <v>0.0</v>
      </c>
      <c r="V1548" s="238">
        <v>0.0</v>
      </c>
      <c r="W1548" s="238">
        <v>0.0</v>
      </c>
      <c r="X1548" s="235" t="s">
        <v>628</v>
      </c>
      <c r="Z1548" s="244"/>
      <c r="AA1548" s="244"/>
      <c r="AB1548" s="244"/>
      <c r="AC1548" s="235" t="s">
        <v>4479</v>
      </c>
      <c r="AD1548" s="235" t="s">
        <v>679</v>
      </c>
      <c r="AE1548" s="238">
        <v>570023.0</v>
      </c>
      <c r="AF1548" s="235" t="s">
        <v>631</v>
      </c>
      <c r="AG1548" s="244"/>
      <c r="AH1548" s="244"/>
      <c r="AI1548" s="245"/>
      <c r="AJ1548" s="245"/>
      <c r="AK1548" s="245"/>
      <c r="AL1548" s="245"/>
      <c r="AM1548" s="244"/>
      <c r="AN1548" s="244"/>
      <c r="AO1548" s="238">
        <v>0.0</v>
      </c>
      <c r="AP1548" s="238">
        <v>0.0</v>
      </c>
      <c r="AQ1548" s="235" t="s">
        <v>632</v>
      </c>
      <c r="AR1548" s="243">
        <v>3.71E11</v>
      </c>
      <c r="AS1548" s="235" t="s">
        <v>11171</v>
      </c>
      <c r="AT1548" s="235" t="s">
        <v>9</v>
      </c>
      <c r="AU1548" s="235" t="s">
        <v>634</v>
      </c>
      <c r="AV1548" s="246" t="s">
        <v>635</v>
      </c>
      <c r="AW1548" s="242"/>
      <c r="AX1548" s="242"/>
      <c r="AY1548" s="231"/>
      <c r="AZ1548" s="231"/>
      <c r="BA1548" s="227"/>
      <c r="BB1548" s="231"/>
      <c r="BC1548" s="227"/>
      <c r="BD1548" s="227"/>
      <c r="BE1548" s="227"/>
      <c r="BF1548" s="227"/>
    </row>
    <row r="1549">
      <c r="A1549" s="235" t="s">
        <v>12345</v>
      </c>
      <c r="C1549" s="235" t="s">
        <v>12346</v>
      </c>
      <c r="D1549" s="235" t="s">
        <v>12347</v>
      </c>
      <c r="E1549" s="243">
        <v>6.55E13</v>
      </c>
      <c r="F1549" s="245"/>
      <c r="G1549" s="235" t="s">
        <v>12348</v>
      </c>
      <c r="H1549" s="235" t="s">
        <v>12349</v>
      </c>
      <c r="I1549" s="235" t="s">
        <v>12349</v>
      </c>
      <c r="J1549" s="235" t="s">
        <v>12350</v>
      </c>
      <c r="K1549" s="235" t="s">
        <v>12351</v>
      </c>
      <c r="N1549" s="235" t="s">
        <v>2163</v>
      </c>
      <c r="O1549" s="235" t="s">
        <v>2164</v>
      </c>
      <c r="P1549" s="238">
        <v>1.0</v>
      </c>
      <c r="Q1549" s="235" t="s">
        <v>627</v>
      </c>
      <c r="R1549" s="238">
        <v>246.67</v>
      </c>
      <c r="S1549" s="238">
        <v>12.33</v>
      </c>
      <c r="T1549" s="238">
        <v>0.0</v>
      </c>
      <c r="U1549" s="238">
        <v>0.0</v>
      </c>
      <c r="V1549" s="238">
        <v>0.0</v>
      </c>
      <c r="W1549" s="238">
        <v>0.0</v>
      </c>
      <c r="X1549" s="235" t="s">
        <v>628</v>
      </c>
      <c r="Z1549" s="244"/>
      <c r="AA1549" s="244"/>
      <c r="AB1549" s="244"/>
      <c r="AC1549" s="235" t="s">
        <v>12352</v>
      </c>
      <c r="AD1549" s="235" t="s">
        <v>709</v>
      </c>
      <c r="AE1549" s="238">
        <v>852127.0</v>
      </c>
      <c r="AF1549" s="235" t="s">
        <v>631</v>
      </c>
      <c r="AG1549" s="244"/>
      <c r="AH1549" s="244"/>
      <c r="AI1549" s="245"/>
      <c r="AJ1549" s="245"/>
      <c r="AK1549" s="245"/>
      <c r="AL1549" s="245"/>
      <c r="AM1549" s="244"/>
      <c r="AN1549" s="244"/>
      <c r="AO1549" s="238">
        <v>0.0</v>
      </c>
      <c r="AP1549" s="238">
        <v>0.0</v>
      </c>
      <c r="AQ1549" s="235" t="s">
        <v>632</v>
      </c>
      <c r="AR1549" s="243">
        <v>3.71E11</v>
      </c>
      <c r="AS1549" s="235" t="s">
        <v>6164</v>
      </c>
      <c r="AT1549" s="235" t="s">
        <v>13</v>
      </c>
      <c r="AU1549" s="235" t="s">
        <v>634</v>
      </c>
      <c r="AV1549" s="246" t="s">
        <v>635</v>
      </c>
      <c r="AW1549" s="242"/>
      <c r="AX1549" s="242"/>
      <c r="AY1549" s="231"/>
      <c r="AZ1549" s="231"/>
      <c r="BA1549" s="227"/>
      <c r="BB1549" s="231"/>
      <c r="BC1549" s="227"/>
      <c r="BD1549" s="227"/>
      <c r="BE1549" s="227"/>
      <c r="BF1549" s="227"/>
    </row>
    <row r="1550">
      <c r="A1550" s="235" t="s">
        <v>12353</v>
      </c>
      <c r="C1550" s="235" t="s">
        <v>12354</v>
      </c>
      <c r="D1550" s="235" t="s">
        <v>12355</v>
      </c>
      <c r="E1550" s="243">
        <v>6.55E13</v>
      </c>
      <c r="F1550" s="245"/>
      <c r="G1550" s="235" t="s">
        <v>12356</v>
      </c>
      <c r="H1550" s="235" t="s">
        <v>12357</v>
      </c>
      <c r="I1550" s="235" t="s">
        <v>12358</v>
      </c>
      <c r="J1550" s="235" t="s">
        <v>12359</v>
      </c>
      <c r="K1550" s="235" t="s">
        <v>12360</v>
      </c>
      <c r="N1550" s="235" t="s">
        <v>144</v>
      </c>
      <c r="O1550" s="235" t="s">
        <v>232</v>
      </c>
      <c r="P1550" s="238">
        <v>1.0</v>
      </c>
      <c r="Q1550" s="235" t="s">
        <v>627</v>
      </c>
      <c r="R1550" s="238">
        <v>665.72</v>
      </c>
      <c r="S1550" s="238">
        <v>33.28</v>
      </c>
      <c r="T1550" s="238">
        <v>0.0</v>
      </c>
      <c r="U1550" s="238">
        <v>0.0</v>
      </c>
      <c r="V1550" s="238">
        <v>0.0</v>
      </c>
      <c r="W1550" s="238">
        <v>0.0</v>
      </c>
      <c r="X1550" s="235" t="s">
        <v>628</v>
      </c>
      <c r="Z1550" s="244"/>
      <c r="AA1550" s="244"/>
      <c r="AB1550" s="244"/>
      <c r="AC1550" s="235" t="s">
        <v>6912</v>
      </c>
      <c r="AD1550" s="235" t="s">
        <v>845</v>
      </c>
      <c r="AE1550" s="238">
        <v>410210.0</v>
      </c>
      <c r="AF1550" s="235" t="s">
        <v>631</v>
      </c>
      <c r="AG1550" s="244"/>
      <c r="AH1550" s="244"/>
      <c r="AI1550" s="245"/>
      <c r="AJ1550" s="245"/>
      <c r="AK1550" s="245"/>
      <c r="AL1550" s="245"/>
      <c r="AM1550" s="244"/>
      <c r="AN1550" s="244"/>
      <c r="AO1550" s="238">
        <v>0.0</v>
      </c>
      <c r="AP1550" s="238">
        <v>0.0</v>
      </c>
      <c r="AQ1550" s="235" t="s">
        <v>632</v>
      </c>
      <c r="AR1550" s="243">
        <v>3.71E11</v>
      </c>
      <c r="AS1550" s="235" t="s">
        <v>10017</v>
      </c>
      <c r="AT1550" s="235" t="s">
        <v>546</v>
      </c>
      <c r="AU1550" s="235" t="s">
        <v>634</v>
      </c>
      <c r="AV1550" s="246" t="s">
        <v>635</v>
      </c>
      <c r="AW1550" s="242"/>
      <c r="AX1550" s="242"/>
      <c r="AY1550" s="231"/>
      <c r="AZ1550" s="231"/>
      <c r="BA1550" s="227"/>
      <c r="BB1550" s="231"/>
      <c r="BC1550" s="227"/>
      <c r="BD1550" s="227"/>
      <c r="BE1550" s="227"/>
      <c r="BF1550" s="227"/>
    </row>
    <row r="1551">
      <c r="A1551" s="235" t="s">
        <v>12361</v>
      </c>
      <c r="C1551" s="235" t="s">
        <v>12362</v>
      </c>
      <c r="D1551" s="235" t="s">
        <v>12363</v>
      </c>
      <c r="E1551" s="243">
        <v>6.55E13</v>
      </c>
      <c r="F1551" s="245"/>
      <c r="G1551" s="235" t="s">
        <v>12364</v>
      </c>
      <c r="H1551" s="235" t="s">
        <v>12365</v>
      </c>
      <c r="I1551" s="235" t="s">
        <v>12366</v>
      </c>
      <c r="J1551" s="235" t="s">
        <v>12367</v>
      </c>
      <c r="K1551" s="235" t="s">
        <v>12368</v>
      </c>
      <c r="N1551" s="235" t="s">
        <v>126</v>
      </c>
      <c r="O1551" s="235" t="s">
        <v>407</v>
      </c>
      <c r="P1551" s="238">
        <v>1.0</v>
      </c>
      <c r="Q1551" s="235" t="s">
        <v>627</v>
      </c>
      <c r="R1551" s="238">
        <v>237.14</v>
      </c>
      <c r="S1551" s="238">
        <v>11.86</v>
      </c>
      <c r="T1551" s="238">
        <v>18.1</v>
      </c>
      <c r="U1551" s="238">
        <v>0.9</v>
      </c>
      <c r="V1551" s="238">
        <v>0.0</v>
      </c>
      <c r="W1551" s="238">
        <v>0.0</v>
      </c>
      <c r="X1551" s="235" t="s">
        <v>628</v>
      </c>
      <c r="Z1551" s="244"/>
      <c r="AA1551" s="244"/>
      <c r="AB1551" s="244"/>
      <c r="AC1551" s="235" t="s">
        <v>1058</v>
      </c>
      <c r="AD1551" s="235" t="s">
        <v>845</v>
      </c>
      <c r="AE1551" s="238">
        <v>400067.0</v>
      </c>
      <c r="AF1551" s="235" t="s">
        <v>631</v>
      </c>
      <c r="AG1551" s="244"/>
      <c r="AH1551" s="244"/>
      <c r="AI1551" s="245"/>
      <c r="AJ1551" s="245"/>
      <c r="AK1551" s="245"/>
      <c r="AL1551" s="245"/>
      <c r="AM1551" s="244"/>
      <c r="AN1551" s="244"/>
      <c r="AO1551" s="238">
        <v>0.0</v>
      </c>
      <c r="AP1551" s="238">
        <v>-18.1</v>
      </c>
      <c r="AQ1551" s="235" t="s">
        <v>632</v>
      </c>
      <c r="AR1551" s="243">
        <v>1.68E11</v>
      </c>
      <c r="AS1551" s="235" t="s">
        <v>11672</v>
      </c>
      <c r="AT1551" s="235" t="s">
        <v>17</v>
      </c>
      <c r="AU1551" s="235" t="s">
        <v>634</v>
      </c>
      <c r="AV1551" s="246" t="s">
        <v>635</v>
      </c>
      <c r="AW1551" s="242"/>
      <c r="AX1551" s="242"/>
      <c r="AY1551" s="231"/>
      <c r="AZ1551" s="231"/>
      <c r="BA1551" s="227"/>
      <c r="BB1551" s="231"/>
      <c r="BC1551" s="227"/>
      <c r="BD1551" s="227"/>
      <c r="BE1551" s="227"/>
      <c r="BF1551" s="227"/>
    </row>
    <row r="1552">
      <c r="A1552" s="235" t="s">
        <v>12369</v>
      </c>
      <c r="C1552" s="235" t="s">
        <v>12370</v>
      </c>
      <c r="D1552" s="235" t="s">
        <v>12371</v>
      </c>
      <c r="E1552" s="243">
        <v>6.55E13</v>
      </c>
      <c r="F1552" s="245"/>
      <c r="G1552" s="235" t="s">
        <v>12372</v>
      </c>
      <c r="H1552" s="235" t="s">
        <v>12373</v>
      </c>
      <c r="I1552" s="235" t="s">
        <v>12374</v>
      </c>
      <c r="J1552" s="235" t="s">
        <v>12375</v>
      </c>
      <c r="K1552" s="235" t="s">
        <v>12376</v>
      </c>
      <c r="N1552" s="235" t="s">
        <v>138</v>
      </c>
      <c r="O1552" s="235" t="s">
        <v>675</v>
      </c>
      <c r="P1552" s="238">
        <v>1.0</v>
      </c>
      <c r="Q1552" s="235" t="s">
        <v>627</v>
      </c>
      <c r="R1552" s="238">
        <v>246.67</v>
      </c>
      <c r="S1552" s="238">
        <v>12.33</v>
      </c>
      <c r="T1552" s="238">
        <v>0.0</v>
      </c>
      <c r="U1552" s="238">
        <v>0.0</v>
      </c>
      <c r="V1552" s="238">
        <v>0.0</v>
      </c>
      <c r="W1552" s="238">
        <v>0.0</v>
      </c>
      <c r="X1552" s="235" t="s">
        <v>628</v>
      </c>
      <c r="Z1552" s="244"/>
      <c r="AA1552" s="244"/>
      <c r="AB1552" s="244"/>
      <c r="AC1552" s="235" t="s">
        <v>8003</v>
      </c>
      <c r="AD1552" s="235" t="s">
        <v>630</v>
      </c>
      <c r="AE1552" s="238">
        <v>202165.0</v>
      </c>
      <c r="AF1552" s="235" t="s">
        <v>631</v>
      </c>
      <c r="AG1552" s="244"/>
      <c r="AH1552" s="244"/>
      <c r="AI1552" s="245"/>
      <c r="AJ1552" s="245"/>
      <c r="AK1552" s="245"/>
      <c r="AL1552" s="245"/>
      <c r="AM1552" s="244"/>
      <c r="AN1552" s="244"/>
      <c r="AO1552" s="238">
        <v>0.0</v>
      </c>
      <c r="AP1552" s="238">
        <v>0.0</v>
      </c>
      <c r="AQ1552" s="235" t="s">
        <v>632</v>
      </c>
      <c r="AR1552" s="243">
        <v>3.71E11</v>
      </c>
      <c r="AS1552" s="235" t="s">
        <v>11171</v>
      </c>
      <c r="AT1552" s="235" t="s">
        <v>14</v>
      </c>
      <c r="AU1552" s="235" t="s">
        <v>634</v>
      </c>
      <c r="AV1552" s="246" t="s">
        <v>635</v>
      </c>
      <c r="AW1552" s="242"/>
      <c r="AX1552" s="242"/>
      <c r="AY1552" s="231"/>
      <c r="AZ1552" s="231"/>
      <c r="BA1552" s="227"/>
      <c r="BB1552" s="231"/>
      <c r="BC1552" s="227"/>
      <c r="BD1552" s="227"/>
      <c r="BE1552" s="227"/>
      <c r="BF1552" s="227"/>
    </row>
    <row r="1553">
      <c r="A1553" s="235" t="s">
        <v>12377</v>
      </c>
      <c r="C1553" s="235" t="s">
        <v>12378</v>
      </c>
      <c r="D1553" s="235" t="s">
        <v>12379</v>
      </c>
      <c r="E1553" s="243">
        <v>6.55E13</v>
      </c>
      <c r="F1553" s="245"/>
      <c r="G1553" s="235" t="s">
        <v>12380</v>
      </c>
      <c r="H1553" s="235" t="s">
        <v>12381</v>
      </c>
      <c r="I1553" s="235" t="s">
        <v>12381</v>
      </c>
      <c r="J1553" s="235" t="s">
        <v>12382</v>
      </c>
      <c r="K1553" s="235" t="s">
        <v>12383</v>
      </c>
      <c r="N1553" s="235" t="s">
        <v>55</v>
      </c>
      <c r="O1553" s="235" t="s">
        <v>244</v>
      </c>
      <c r="P1553" s="238">
        <v>1.0</v>
      </c>
      <c r="Q1553" s="235" t="s">
        <v>627</v>
      </c>
      <c r="R1553" s="238">
        <v>246.67</v>
      </c>
      <c r="S1553" s="238">
        <v>12.33</v>
      </c>
      <c r="T1553" s="238">
        <v>0.0</v>
      </c>
      <c r="U1553" s="238">
        <v>0.0</v>
      </c>
      <c r="V1553" s="238">
        <v>0.0</v>
      </c>
      <c r="W1553" s="238">
        <v>0.0</v>
      </c>
      <c r="X1553" s="235" t="s">
        <v>628</v>
      </c>
      <c r="Z1553" s="244"/>
      <c r="AA1553" s="244"/>
      <c r="AB1553" s="244"/>
      <c r="AC1553" s="235" t="s">
        <v>6571</v>
      </c>
      <c r="AD1553" s="235" t="s">
        <v>731</v>
      </c>
      <c r="AE1553" s="238">
        <v>781011.0</v>
      </c>
      <c r="AF1553" s="235" t="s">
        <v>631</v>
      </c>
      <c r="AG1553" s="244"/>
      <c r="AH1553" s="244"/>
      <c r="AI1553" s="245"/>
      <c r="AJ1553" s="245"/>
      <c r="AK1553" s="245"/>
      <c r="AL1553" s="245"/>
      <c r="AM1553" s="244"/>
      <c r="AN1553" s="244"/>
      <c r="AO1553" s="238">
        <v>0.0</v>
      </c>
      <c r="AP1553" s="238">
        <v>0.0</v>
      </c>
      <c r="AQ1553" s="235" t="s">
        <v>632</v>
      </c>
      <c r="AR1553" s="243">
        <v>2.02E11</v>
      </c>
      <c r="AS1553" s="235" t="s">
        <v>11171</v>
      </c>
      <c r="AT1553" s="235" t="s">
        <v>13</v>
      </c>
      <c r="AU1553" s="235" t="s">
        <v>634</v>
      </c>
      <c r="AV1553" s="246" t="s">
        <v>635</v>
      </c>
      <c r="AW1553" s="242"/>
      <c r="AX1553" s="242"/>
      <c r="AY1553" s="231"/>
      <c r="AZ1553" s="231"/>
      <c r="BA1553" s="227"/>
      <c r="BB1553" s="231"/>
      <c r="BC1553" s="227"/>
      <c r="BD1553" s="227"/>
      <c r="BE1553" s="227"/>
      <c r="BF1553" s="227"/>
    </row>
    <row r="1554">
      <c r="A1554" s="235" t="s">
        <v>12384</v>
      </c>
      <c r="C1554" s="235" t="s">
        <v>12385</v>
      </c>
      <c r="D1554" s="235" t="s">
        <v>12386</v>
      </c>
      <c r="E1554" s="243">
        <v>6.55E13</v>
      </c>
      <c r="F1554" s="245"/>
      <c r="G1554" s="235" t="s">
        <v>12387</v>
      </c>
      <c r="H1554" s="235" t="s">
        <v>12388</v>
      </c>
      <c r="I1554" s="235" t="s">
        <v>12388</v>
      </c>
      <c r="J1554" s="235" t="s">
        <v>12389</v>
      </c>
      <c r="K1554" s="235" t="s">
        <v>12390</v>
      </c>
      <c r="N1554" s="235" t="s">
        <v>55</v>
      </c>
      <c r="O1554" s="235" t="s">
        <v>244</v>
      </c>
      <c r="P1554" s="238">
        <v>1.0</v>
      </c>
      <c r="Q1554" s="235" t="s">
        <v>627</v>
      </c>
      <c r="R1554" s="238">
        <v>246.66</v>
      </c>
      <c r="S1554" s="238">
        <v>12.34</v>
      </c>
      <c r="T1554" s="238">
        <v>94.28</v>
      </c>
      <c r="U1554" s="238">
        <v>4.72</v>
      </c>
      <c r="V1554" s="238">
        <v>0.0</v>
      </c>
      <c r="W1554" s="238">
        <v>0.0</v>
      </c>
      <c r="X1554" s="235" t="s">
        <v>628</v>
      </c>
      <c r="Z1554" s="244"/>
      <c r="AA1554" s="244"/>
      <c r="AB1554" s="244"/>
      <c r="AC1554" s="235" t="s">
        <v>678</v>
      </c>
      <c r="AD1554" s="235" t="s">
        <v>679</v>
      </c>
      <c r="AE1554" s="238">
        <v>560027.0</v>
      </c>
      <c r="AF1554" s="235" t="s">
        <v>631</v>
      </c>
      <c r="AG1554" s="244"/>
      <c r="AH1554" s="244"/>
      <c r="AI1554" s="245"/>
      <c r="AJ1554" s="245"/>
      <c r="AK1554" s="245"/>
      <c r="AL1554" s="245"/>
      <c r="AM1554" s="244"/>
      <c r="AN1554" s="244"/>
      <c r="AO1554" s="238">
        <v>0.0</v>
      </c>
      <c r="AP1554" s="238">
        <v>0.0</v>
      </c>
      <c r="AQ1554" s="235" t="s">
        <v>632</v>
      </c>
      <c r="AR1554" s="243">
        <v>1.68E11</v>
      </c>
      <c r="AS1554" s="235" t="s">
        <v>11672</v>
      </c>
      <c r="AT1554" s="235" t="s">
        <v>9</v>
      </c>
      <c r="AU1554" s="235" t="s">
        <v>634</v>
      </c>
      <c r="AV1554" s="246" t="s">
        <v>635</v>
      </c>
      <c r="AW1554" s="242"/>
      <c r="AX1554" s="242"/>
      <c r="AY1554" s="231"/>
      <c r="AZ1554" s="231"/>
      <c r="BA1554" s="227"/>
      <c r="BB1554" s="231"/>
      <c r="BC1554" s="227"/>
      <c r="BD1554" s="227"/>
      <c r="BE1554" s="227"/>
      <c r="BF1554" s="227"/>
    </row>
    <row r="1555">
      <c r="A1555" s="235" t="s">
        <v>12391</v>
      </c>
      <c r="C1555" s="235" t="s">
        <v>12392</v>
      </c>
      <c r="D1555" s="235" t="s">
        <v>12393</v>
      </c>
      <c r="E1555" s="243">
        <v>6.55E13</v>
      </c>
      <c r="F1555" s="245"/>
      <c r="G1555" s="235" t="s">
        <v>12394</v>
      </c>
      <c r="H1555" s="235" t="s">
        <v>12395</v>
      </c>
      <c r="I1555" s="235" t="s">
        <v>12395</v>
      </c>
      <c r="J1555" s="235" t="s">
        <v>12396</v>
      </c>
      <c r="K1555" s="235" t="s">
        <v>12397</v>
      </c>
      <c r="N1555" s="235" t="s">
        <v>71</v>
      </c>
      <c r="O1555" s="235" t="s">
        <v>240</v>
      </c>
      <c r="P1555" s="238">
        <v>1.0</v>
      </c>
      <c r="Q1555" s="235" t="s">
        <v>627</v>
      </c>
      <c r="R1555" s="238">
        <v>242.86</v>
      </c>
      <c r="S1555" s="238">
        <v>11.9</v>
      </c>
      <c r="T1555" s="238">
        <v>0.0</v>
      </c>
      <c r="U1555" s="238">
        <v>0.0</v>
      </c>
      <c r="V1555" s="238">
        <v>0.0</v>
      </c>
      <c r="W1555" s="238">
        <v>0.0</v>
      </c>
      <c r="X1555" s="235" t="s">
        <v>628</v>
      </c>
      <c r="Z1555" s="244"/>
      <c r="AA1555" s="244"/>
      <c r="AB1555" s="244"/>
      <c r="AC1555" s="235" t="s">
        <v>12398</v>
      </c>
      <c r="AD1555" s="235" t="s">
        <v>709</v>
      </c>
      <c r="AE1555" s="238">
        <v>812005.0</v>
      </c>
      <c r="AF1555" s="235" t="s">
        <v>631</v>
      </c>
      <c r="AG1555" s="244"/>
      <c r="AH1555" s="244"/>
      <c r="AI1555" s="245"/>
      <c r="AJ1555" s="245"/>
      <c r="AK1555" s="245"/>
      <c r="AL1555" s="245"/>
      <c r="AM1555" s="244"/>
      <c r="AN1555" s="244"/>
      <c r="AO1555" s="238">
        <v>-4.86</v>
      </c>
      <c r="AP1555" s="238">
        <v>0.0</v>
      </c>
      <c r="AQ1555" s="235" t="s">
        <v>632</v>
      </c>
      <c r="AR1555" s="243">
        <v>3.71E11</v>
      </c>
      <c r="AS1555" s="235" t="s">
        <v>6164</v>
      </c>
      <c r="AT1555" s="235" t="s">
        <v>14</v>
      </c>
      <c r="AU1555" s="235" t="s">
        <v>634</v>
      </c>
      <c r="AV1555" s="246" t="s">
        <v>635</v>
      </c>
      <c r="AW1555" s="242"/>
      <c r="AX1555" s="242"/>
      <c r="AY1555" s="231"/>
      <c r="AZ1555" s="231"/>
      <c r="BA1555" s="227"/>
      <c r="BB1555" s="231"/>
      <c r="BC1555" s="227"/>
      <c r="BD1555" s="227"/>
      <c r="BE1555" s="227"/>
      <c r="BF1555" s="227"/>
    </row>
    <row r="1556">
      <c r="A1556" s="235" t="s">
        <v>12399</v>
      </c>
      <c r="C1556" s="235" t="s">
        <v>12400</v>
      </c>
      <c r="D1556" s="235" t="s">
        <v>12401</v>
      </c>
      <c r="E1556" s="243">
        <v>6.55E13</v>
      </c>
      <c r="F1556" s="245"/>
      <c r="G1556" s="235" t="s">
        <v>12402</v>
      </c>
      <c r="H1556" s="235" t="s">
        <v>12403</v>
      </c>
      <c r="I1556" s="235" t="s">
        <v>12403</v>
      </c>
      <c r="J1556" s="235" t="s">
        <v>12404</v>
      </c>
      <c r="K1556" s="235" t="s">
        <v>12405</v>
      </c>
      <c r="N1556" s="235" t="s">
        <v>82</v>
      </c>
      <c r="O1556" s="235" t="s">
        <v>889</v>
      </c>
      <c r="P1556" s="238">
        <v>1.0</v>
      </c>
      <c r="Q1556" s="235" t="s">
        <v>627</v>
      </c>
      <c r="R1556" s="238">
        <v>246.66</v>
      </c>
      <c r="S1556" s="238">
        <v>12.34</v>
      </c>
      <c r="T1556" s="238">
        <v>0.0</v>
      </c>
      <c r="U1556" s="238">
        <v>0.0</v>
      </c>
      <c r="V1556" s="238">
        <v>0.0</v>
      </c>
      <c r="W1556" s="238">
        <v>0.0</v>
      </c>
      <c r="X1556" s="235" t="s">
        <v>628</v>
      </c>
      <c r="Z1556" s="244"/>
      <c r="AA1556" s="244"/>
      <c r="AB1556" s="244"/>
      <c r="AC1556" s="235" t="s">
        <v>12406</v>
      </c>
      <c r="AD1556" s="235" t="s">
        <v>666</v>
      </c>
      <c r="AE1556" s="238">
        <v>628206.0</v>
      </c>
      <c r="AF1556" s="235" t="s">
        <v>631</v>
      </c>
      <c r="AG1556" s="244"/>
      <c r="AH1556" s="244"/>
      <c r="AI1556" s="245"/>
      <c r="AJ1556" s="245"/>
      <c r="AK1556" s="245"/>
      <c r="AL1556" s="245"/>
      <c r="AM1556" s="244"/>
      <c r="AN1556" s="244"/>
      <c r="AO1556" s="238">
        <v>0.0</v>
      </c>
      <c r="AP1556" s="238">
        <v>0.0</v>
      </c>
      <c r="AQ1556" s="235" t="s">
        <v>632</v>
      </c>
      <c r="AR1556" s="243">
        <v>3.71E11</v>
      </c>
      <c r="AS1556" s="235" t="s">
        <v>11171</v>
      </c>
      <c r="AT1556" s="235" t="s">
        <v>155</v>
      </c>
      <c r="AU1556" s="235" t="s">
        <v>634</v>
      </c>
      <c r="AV1556" s="246" t="s">
        <v>635</v>
      </c>
      <c r="AW1556" s="242"/>
      <c r="AX1556" s="242"/>
      <c r="AY1556" s="231"/>
      <c r="AZ1556" s="231"/>
      <c r="BA1556" s="227"/>
      <c r="BB1556" s="231"/>
      <c r="BC1556" s="227"/>
      <c r="BD1556" s="227"/>
      <c r="BE1556" s="227"/>
      <c r="BF1556" s="227"/>
    </row>
    <row r="1557">
      <c r="A1557" s="235" t="s">
        <v>12407</v>
      </c>
      <c r="C1557" s="235" t="s">
        <v>12408</v>
      </c>
      <c r="D1557" s="235" t="s">
        <v>12409</v>
      </c>
      <c r="E1557" s="243">
        <v>6.54E13</v>
      </c>
      <c r="F1557" s="245"/>
      <c r="G1557" s="235" t="s">
        <v>12410</v>
      </c>
      <c r="H1557" s="235" t="s">
        <v>12411</v>
      </c>
      <c r="I1557" s="235" t="s">
        <v>12411</v>
      </c>
      <c r="J1557" s="235" t="s">
        <v>12412</v>
      </c>
      <c r="K1557" s="235" t="s">
        <v>12413</v>
      </c>
      <c r="N1557" s="235" t="s">
        <v>82</v>
      </c>
      <c r="O1557" s="235" t="s">
        <v>889</v>
      </c>
      <c r="P1557" s="238">
        <v>1.0</v>
      </c>
      <c r="Q1557" s="235" t="s">
        <v>627</v>
      </c>
      <c r="R1557" s="238">
        <v>246.66</v>
      </c>
      <c r="S1557" s="238">
        <v>12.34</v>
      </c>
      <c r="T1557" s="238">
        <v>38.1</v>
      </c>
      <c r="U1557" s="238">
        <v>1.9</v>
      </c>
      <c r="V1557" s="238">
        <v>0.0</v>
      </c>
      <c r="W1557" s="238">
        <v>0.0</v>
      </c>
      <c r="X1557" s="235" t="s">
        <v>628</v>
      </c>
      <c r="Z1557" s="244"/>
      <c r="AA1557" s="244"/>
      <c r="AB1557" s="244"/>
      <c r="AC1557" s="235" t="s">
        <v>12414</v>
      </c>
      <c r="AD1557" s="235" t="s">
        <v>666</v>
      </c>
      <c r="AE1557" s="238">
        <v>629154.0</v>
      </c>
      <c r="AF1557" s="235" t="s">
        <v>631</v>
      </c>
      <c r="AG1557" s="244"/>
      <c r="AH1557" s="244"/>
      <c r="AI1557" s="245"/>
      <c r="AJ1557" s="245"/>
      <c r="AK1557" s="245"/>
      <c r="AL1557" s="245"/>
      <c r="AM1557" s="244"/>
      <c r="AN1557" s="244"/>
      <c r="AO1557" s="238">
        <v>0.0</v>
      </c>
      <c r="AP1557" s="238">
        <v>-38.1</v>
      </c>
      <c r="AQ1557" s="235" t="s">
        <v>632</v>
      </c>
      <c r="AR1557" s="243">
        <v>3.71E11</v>
      </c>
      <c r="AS1557" s="235" t="s">
        <v>8807</v>
      </c>
      <c r="AT1557" s="235" t="s">
        <v>155</v>
      </c>
      <c r="AU1557" s="235" t="s">
        <v>634</v>
      </c>
      <c r="AV1557" s="246" t="s">
        <v>635</v>
      </c>
      <c r="AW1557" s="242"/>
      <c r="AX1557" s="242"/>
      <c r="AY1557" s="231"/>
      <c r="AZ1557" s="231"/>
      <c r="BA1557" s="227"/>
      <c r="BB1557" s="231"/>
      <c r="BC1557" s="227"/>
      <c r="BD1557" s="227"/>
      <c r="BE1557" s="227"/>
      <c r="BF1557" s="227"/>
    </row>
    <row r="1558">
      <c r="A1558" s="235" t="s">
        <v>12415</v>
      </c>
      <c r="C1558" s="235" t="s">
        <v>12416</v>
      </c>
      <c r="D1558" s="235" t="s">
        <v>12417</v>
      </c>
      <c r="E1558" s="243">
        <v>6.54E13</v>
      </c>
      <c r="F1558" s="245"/>
      <c r="G1558" s="235" t="s">
        <v>12418</v>
      </c>
      <c r="H1558" s="235" t="s">
        <v>12419</v>
      </c>
      <c r="I1558" s="235" t="s">
        <v>12419</v>
      </c>
      <c r="J1558" s="235" t="s">
        <v>12420</v>
      </c>
      <c r="K1558" s="235" t="s">
        <v>12421</v>
      </c>
      <c r="N1558" s="235" t="s">
        <v>92</v>
      </c>
      <c r="O1558" s="235" t="s">
        <v>248</v>
      </c>
      <c r="P1558" s="238">
        <v>1.0</v>
      </c>
      <c r="Q1558" s="235" t="s">
        <v>627</v>
      </c>
      <c r="R1558" s="238">
        <v>246.67</v>
      </c>
      <c r="S1558" s="238">
        <v>12.33</v>
      </c>
      <c r="T1558" s="238">
        <v>0.0</v>
      </c>
      <c r="U1558" s="238">
        <v>0.0</v>
      </c>
      <c r="V1558" s="238">
        <v>0.0</v>
      </c>
      <c r="W1558" s="238">
        <v>0.0</v>
      </c>
      <c r="X1558" s="235" t="s">
        <v>628</v>
      </c>
      <c r="Z1558" s="244"/>
      <c r="AA1558" s="244"/>
      <c r="AB1558" s="244"/>
      <c r="AC1558" s="235" t="s">
        <v>2687</v>
      </c>
      <c r="AD1558" s="235" t="s">
        <v>2688</v>
      </c>
      <c r="AE1558" s="238">
        <v>181206.0</v>
      </c>
      <c r="AF1558" s="235" t="s">
        <v>631</v>
      </c>
      <c r="AG1558" s="244"/>
      <c r="AH1558" s="244"/>
      <c r="AI1558" s="245"/>
      <c r="AJ1558" s="245"/>
      <c r="AK1558" s="245"/>
      <c r="AL1558" s="245"/>
      <c r="AM1558" s="244"/>
      <c r="AN1558" s="244"/>
      <c r="AO1558" s="238">
        <v>0.0</v>
      </c>
      <c r="AP1558" s="238">
        <v>0.0</v>
      </c>
      <c r="AQ1558" s="235" t="s">
        <v>632</v>
      </c>
      <c r="AR1558" s="243">
        <v>3.71E11</v>
      </c>
      <c r="AS1558" s="235" t="s">
        <v>8807</v>
      </c>
      <c r="AT1558" s="235" t="s">
        <v>533</v>
      </c>
      <c r="AU1558" s="235" t="s">
        <v>634</v>
      </c>
      <c r="AV1558" s="246" t="s">
        <v>635</v>
      </c>
      <c r="AW1558" s="242"/>
      <c r="AX1558" s="242"/>
      <c r="AY1558" s="231"/>
      <c r="AZ1558" s="231"/>
      <c r="BA1558" s="227"/>
      <c r="BB1558" s="231"/>
      <c r="BC1558" s="227"/>
      <c r="BD1558" s="227"/>
      <c r="BE1558" s="227"/>
      <c r="BF1558" s="227"/>
    </row>
    <row r="1559">
      <c r="A1559" s="235" t="s">
        <v>12422</v>
      </c>
      <c r="C1559" s="235" t="s">
        <v>12423</v>
      </c>
      <c r="D1559" s="235" t="s">
        <v>12424</v>
      </c>
      <c r="E1559" s="243">
        <v>6.55E13</v>
      </c>
      <c r="F1559" s="245"/>
      <c r="G1559" s="235" t="s">
        <v>12425</v>
      </c>
      <c r="H1559" s="235" t="s">
        <v>12426</v>
      </c>
      <c r="I1559" s="235" t="s">
        <v>12426</v>
      </c>
      <c r="J1559" s="235" t="s">
        <v>12427</v>
      </c>
      <c r="K1559" s="235" t="s">
        <v>12428</v>
      </c>
      <c r="N1559" s="235" t="s">
        <v>71</v>
      </c>
      <c r="O1559" s="235" t="s">
        <v>240</v>
      </c>
      <c r="P1559" s="238">
        <v>1.0</v>
      </c>
      <c r="Q1559" s="235" t="s">
        <v>627</v>
      </c>
      <c r="R1559" s="238">
        <v>246.66</v>
      </c>
      <c r="S1559" s="238">
        <v>12.34</v>
      </c>
      <c r="T1559" s="238">
        <v>18.1</v>
      </c>
      <c r="U1559" s="238">
        <v>0.9</v>
      </c>
      <c r="V1559" s="238">
        <v>0.0</v>
      </c>
      <c r="W1559" s="238">
        <v>0.0</v>
      </c>
      <c r="X1559" s="235" t="s">
        <v>628</v>
      </c>
      <c r="Z1559" s="244"/>
      <c r="AA1559" s="244"/>
      <c r="AB1559" s="244"/>
      <c r="AC1559" s="235" t="s">
        <v>687</v>
      </c>
      <c r="AD1559" s="235" t="s">
        <v>666</v>
      </c>
      <c r="AE1559" s="238">
        <v>600017.0</v>
      </c>
      <c r="AF1559" s="235" t="s">
        <v>631</v>
      </c>
      <c r="AG1559" s="244"/>
      <c r="AH1559" s="244"/>
      <c r="AI1559" s="245"/>
      <c r="AJ1559" s="245"/>
      <c r="AK1559" s="245"/>
      <c r="AL1559" s="245"/>
      <c r="AM1559" s="244"/>
      <c r="AN1559" s="244"/>
      <c r="AO1559" s="238">
        <v>0.0</v>
      </c>
      <c r="AP1559" s="238">
        <v>-18.1</v>
      </c>
      <c r="AQ1559" s="235" t="s">
        <v>632</v>
      </c>
      <c r="AR1559" s="243">
        <v>1.68E11</v>
      </c>
      <c r="AS1559" s="235" t="s">
        <v>11672</v>
      </c>
      <c r="AT1559" s="235" t="s">
        <v>156</v>
      </c>
      <c r="AU1559" s="235" t="s">
        <v>634</v>
      </c>
      <c r="AV1559" s="246" t="s">
        <v>635</v>
      </c>
      <c r="AW1559" s="242"/>
      <c r="AX1559" s="242"/>
      <c r="AY1559" s="231"/>
      <c r="AZ1559" s="231"/>
      <c r="BA1559" s="227"/>
      <c r="BB1559" s="231"/>
      <c r="BC1559" s="227"/>
      <c r="BD1559" s="227"/>
      <c r="BE1559" s="227"/>
      <c r="BF1559" s="227"/>
    </row>
    <row r="1560">
      <c r="A1560" s="235" t="s">
        <v>12429</v>
      </c>
      <c r="C1560" s="235" t="s">
        <v>12430</v>
      </c>
      <c r="D1560" s="235" t="s">
        <v>12431</v>
      </c>
      <c r="E1560" s="243">
        <v>6.55E13</v>
      </c>
      <c r="F1560" s="245"/>
      <c r="G1560" s="235" t="s">
        <v>12432</v>
      </c>
      <c r="H1560" s="235" t="s">
        <v>12433</v>
      </c>
      <c r="I1560" s="235" t="s">
        <v>12433</v>
      </c>
      <c r="J1560" s="235" t="s">
        <v>12434</v>
      </c>
      <c r="K1560" s="235" t="s">
        <v>12435</v>
      </c>
      <c r="N1560" s="235" t="s">
        <v>53</v>
      </c>
      <c r="O1560" s="235" t="s">
        <v>512</v>
      </c>
      <c r="P1560" s="238">
        <v>1.0</v>
      </c>
      <c r="Q1560" s="235" t="s">
        <v>627</v>
      </c>
      <c r="R1560" s="238">
        <v>237.14</v>
      </c>
      <c r="S1560" s="238">
        <v>11.86</v>
      </c>
      <c r="T1560" s="238">
        <v>0.0</v>
      </c>
      <c r="U1560" s="238">
        <v>0.0</v>
      </c>
      <c r="V1560" s="238">
        <v>0.0</v>
      </c>
      <c r="W1560" s="238">
        <v>0.0</v>
      </c>
      <c r="X1560" s="235" t="s">
        <v>628</v>
      </c>
      <c r="Z1560" s="244"/>
      <c r="AA1560" s="244"/>
      <c r="AB1560" s="244"/>
      <c r="AC1560" s="235" t="s">
        <v>12436</v>
      </c>
      <c r="AD1560" s="235" t="s">
        <v>833</v>
      </c>
      <c r="AE1560" s="238">
        <v>533346.0</v>
      </c>
      <c r="AF1560" s="235" t="s">
        <v>631</v>
      </c>
      <c r="AG1560" s="244"/>
      <c r="AH1560" s="244"/>
      <c r="AI1560" s="245"/>
      <c r="AJ1560" s="245"/>
      <c r="AK1560" s="245"/>
      <c r="AL1560" s="245"/>
      <c r="AM1560" s="244"/>
      <c r="AN1560" s="244"/>
      <c r="AO1560" s="238">
        <v>0.0</v>
      </c>
      <c r="AP1560" s="238">
        <v>0.0</v>
      </c>
      <c r="AQ1560" s="235" t="s">
        <v>632</v>
      </c>
      <c r="AR1560" s="243">
        <v>3.71E11</v>
      </c>
      <c r="AS1560" s="235" t="s">
        <v>10017</v>
      </c>
      <c r="AT1560" s="235" t="s">
        <v>156</v>
      </c>
      <c r="AU1560" s="235" t="s">
        <v>634</v>
      </c>
      <c r="AV1560" s="246" t="s">
        <v>635</v>
      </c>
      <c r="AW1560" s="242"/>
      <c r="AX1560" s="242"/>
      <c r="AY1560" s="231"/>
      <c r="AZ1560" s="231"/>
      <c r="BA1560" s="227"/>
      <c r="BB1560" s="231"/>
      <c r="BC1560" s="227"/>
      <c r="BD1560" s="227"/>
      <c r="BE1560" s="227"/>
      <c r="BF1560" s="227"/>
    </row>
    <row r="1561">
      <c r="A1561" s="235" t="s">
        <v>12437</v>
      </c>
      <c r="C1561" s="235" t="s">
        <v>12438</v>
      </c>
      <c r="D1561" s="235" t="s">
        <v>12439</v>
      </c>
      <c r="E1561" s="243">
        <v>6.55E13</v>
      </c>
      <c r="F1561" s="245"/>
      <c r="G1561" s="235" t="s">
        <v>12440</v>
      </c>
      <c r="H1561" s="235" t="s">
        <v>12441</v>
      </c>
      <c r="I1561" s="235" t="s">
        <v>12441</v>
      </c>
      <c r="J1561" s="235" t="s">
        <v>12442</v>
      </c>
      <c r="K1561" s="235" t="s">
        <v>12443</v>
      </c>
      <c r="N1561" s="235" t="s">
        <v>144</v>
      </c>
      <c r="O1561" s="235" t="s">
        <v>232</v>
      </c>
      <c r="P1561" s="238">
        <v>1.0</v>
      </c>
      <c r="Q1561" s="235" t="s">
        <v>627</v>
      </c>
      <c r="R1561" s="238">
        <v>665.72</v>
      </c>
      <c r="S1561" s="238">
        <v>33.28</v>
      </c>
      <c r="T1561" s="238">
        <v>18.1</v>
      </c>
      <c r="U1561" s="238">
        <v>0.9</v>
      </c>
      <c r="V1561" s="238">
        <v>0.0</v>
      </c>
      <c r="W1561" s="238">
        <v>0.0</v>
      </c>
      <c r="X1561" s="235" t="s">
        <v>628</v>
      </c>
      <c r="Z1561" s="244"/>
      <c r="AA1561" s="244"/>
      <c r="AB1561" s="244"/>
      <c r="AC1561" s="235" t="s">
        <v>678</v>
      </c>
      <c r="AD1561" s="235" t="s">
        <v>679</v>
      </c>
      <c r="AE1561" s="238">
        <v>560061.0</v>
      </c>
      <c r="AF1561" s="235" t="s">
        <v>631</v>
      </c>
      <c r="AG1561" s="244"/>
      <c r="AH1561" s="244"/>
      <c r="AI1561" s="245"/>
      <c r="AJ1561" s="245"/>
      <c r="AK1561" s="245"/>
      <c r="AL1561" s="245"/>
      <c r="AM1561" s="244"/>
      <c r="AN1561" s="244"/>
      <c r="AO1561" s="238">
        <v>0.0</v>
      </c>
      <c r="AP1561" s="238">
        <v>-18.1</v>
      </c>
      <c r="AQ1561" s="235" t="s">
        <v>632</v>
      </c>
      <c r="AR1561" s="243">
        <v>1.68E11</v>
      </c>
      <c r="AS1561" s="235" t="s">
        <v>11672</v>
      </c>
      <c r="AT1561" s="235" t="s">
        <v>9</v>
      </c>
      <c r="AU1561" s="235" t="s">
        <v>634</v>
      </c>
      <c r="AV1561" s="246" t="s">
        <v>635</v>
      </c>
      <c r="AW1561" s="242"/>
      <c r="AX1561" s="242"/>
      <c r="AY1561" s="231"/>
      <c r="AZ1561" s="231"/>
      <c r="BA1561" s="227"/>
      <c r="BB1561" s="231"/>
      <c r="BC1561" s="227"/>
      <c r="BD1561" s="227"/>
      <c r="BE1561" s="227"/>
      <c r="BF1561" s="227"/>
    </row>
    <row r="1562">
      <c r="A1562" s="235" t="s">
        <v>12444</v>
      </c>
      <c r="C1562" s="235" t="s">
        <v>12445</v>
      </c>
      <c r="D1562" s="235" t="s">
        <v>12446</v>
      </c>
      <c r="E1562" s="243">
        <v>6.55E13</v>
      </c>
      <c r="F1562" s="245"/>
      <c r="G1562" s="235" t="s">
        <v>12447</v>
      </c>
      <c r="H1562" s="235" t="s">
        <v>12448</v>
      </c>
      <c r="I1562" s="235" t="s">
        <v>12448</v>
      </c>
      <c r="J1562" s="235" t="s">
        <v>12449</v>
      </c>
      <c r="K1562" s="235" t="s">
        <v>12450</v>
      </c>
      <c r="N1562" s="235" t="s">
        <v>22</v>
      </c>
      <c r="O1562" s="235" t="s">
        <v>729</v>
      </c>
      <c r="P1562" s="238">
        <v>2.0</v>
      </c>
      <c r="Q1562" s="235" t="s">
        <v>627</v>
      </c>
      <c r="R1562" s="238">
        <v>721.9</v>
      </c>
      <c r="S1562" s="238">
        <v>35.02</v>
      </c>
      <c r="T1562" s="238">
        <v>76.2</v>
      </c>
      <c r="U1562" s="238">
        <v>3.8</v>
      </c>
      <c r="V1562" s="238">
        <v>0.0</v>
      </c>
      <c r="W1562" s="238">
        <v>0.0</v>
      </c>
      <c r="X1562" s="235" t="s">
        <v>628</v>
      </c>
      <c r="Z1562" s="244"/>
      <c r="AA1562" s="244"/>
      <c r="AB1562" s="244"/>
      <c r="AC1562" s="235" t="s">
        <v>12451</v>
      </c>
      <c r="AD1562" s="235" t="s">
        <v>1499</v>
      </c>
      <c r="AE1562" s="238">
        <v>484444.0</v>
      </c>
      <c r="AF1562" s="235" t="s">
        <v>631</v>
      </c>
      <c r="AG1562" s="244"/>
      <c r="AH1562" s="244"/>
      <c r="AI1562" s="245"/>
      <c r="AJ1562" s="245"/>
      <c r="AK1562" s="245"/>
      <c r="AL1562" s="245"/>
      <c r="AM1562" s="244"/>
      <c r="AN1562" s="244"/>
      <c r="AO1562" s="238">
        <v>-21.66</v>
      </c>
      <c r="AP1562" s="238">
        <v>-76.2</v>
      </c>
      <c r="AQ1562" s="235" t="s">
        <v>632</v>
      </c>
      <c r="AR1562" s="243">
        <v>3.71E11</v>
      </c>
      <c r="AS1562" s="235" t="s">
        <v>6164</v>
      </c>
      <c r="AT1562" s="235" t="s">
        <v>156</v>
      </c>
      <c r="AU1562" s="235" t="s">
        <v>634</v>
      </c>
      <c r="AV1562" s="246" t="s">
        <v>635</v>
      </c>
      <c r="AW1562" s="242"/>
      <c r="AX1562" s="242"/>
      <c r="AY1562" s="231"/>
      <c r="AZ1562" s="231"/>
      <c r="BA1562" s="227"/>
      <c r="BB1562" s="231"/>
      <c r="BC1562" s="227"/>
      <c r="BD1562" s="227"/>
      <c r="BE1562" s="227"/>
      <c r="BF1562" s="227"/>
    </row>
    <row r="1563">
      <c r="A1563" s="235" t="s">
        <v>12452</v>
      </c>
      <c r="C1563" s="235" t="s">
        <v>12453</v>
      </c>
      <c r="D1563" s="235" t="s">
        <v>12454</v>
      </c>
      <c r="E1563" s="243">
        <v>6.55E13</v>
      </c>
      <c r="F1563" s="245"/>
      <c r="G1563" s="235" t="s">
        <v>12455</v>
      </c>
      <c r="H1563" s="235" t="s">
        <v>12456</v>
      </c>
      <c r="I1563" s="235" t="s">
        <v>12456</v>
      </c>
      <c r="J1563" s="235" t="s">
        <v>12457</v>
      </c>
      <c r="K1563" s="235" t="s">
        <v>12458</v>
      </c>
      <c r="N1563" s="235" t="s">
        <v>92</v>
      </c>
      <c r="O1563" s="235" t="s">
        <v>248</v>
      </c>
      <c r="P1563" s="238">
        <v>1.0</v>
      </c>
      <c r="Q1563" s="235" t="s">
        <v>627</v>
      </c>
      <c r="R1563" s="238">
        <v>237.14</v>
      </c>
      <c r="S1563" s="238">
        <v>11.5</v>
      </c>
      <c r="T1563" s="238">
        <v>0.0</v>
      </c>
      <c r="U1563" s="238">
        <v>0.0</v>
      </c>
      <c r="V1563" s="238">
        <v>0.0</v>
      </c>
      <c r="W1563" s="238">
        <v>0.0</v>
      </c>
      <c r="X1563" s="235" t="s">
        <v>628</v>
      </c>
      <c r="Z1563" s="244"/>
      <c r="AA1563" s="244"/>
      <c r="AB1563" s="244"/>
      <c r="AC1563" s="235" t="s">
        <v>757</v>
      </c>
      <c r="AD1563" s="235" t="s">
        <v>666</v>
      </c>
      <c r="AE1563" s="238">
        <v>625007.0</v>
      </c>
      <c r="AF1563" s="235" t="s">
        <v>631</v>
      </c>
      <c r="AG1563" s="244"/>
      <c r="AH1563" s="244"/>
      <c r="AI1563" s="245"/>
      <c r="AJ1563" s="245"/>
      <c r="AK1563" s="245"/>
      <c r="AL1563" s="245"/>
      <c r="AM1563" s="244"/>
      <c r="AN1563" s="244"/>
      <c r="AO1563" s="238">
        <v>-7.11</v>
      </c>
      <c r="AP1563" s="238">
        <v>0.0</v>
      </c>
      <c r="AQ1563" s="235" t="s">
        <v>632</v>
      </c>
      <c r="AR1563" s="243">
        <v>2.02E11</v>
      </c>
      <c r="AS1563" s="235" t="s">
        <v>11171</v>
      </c>
      <c r="AT1563" s="235" t="s">
        <v>156</v>
      </c>
      <c r="AU1563" s="235" t="s">
        <v>634</v>
      </c>
      <c r="AV1563" s="246" t="s">
        <v>635</v>
      </c>
      <c r="AW1563" s="242"/>
      <c r="AX1563" s="242"/>
      <c r="AY1563" s="231"/>
      <c r="AZ1563" s="231"/>
      <c r="BA1563" s="227"/>
      <c r="BB1563" s="231"/>
      <c r="BC1563" s="227"/>
      <c r="BD1563" s="227"/>
      <c r="BE1563" s="227"/>
      <c r="BF1563" s="227"/>
    </row>
    <row r="1564">
      <c r="A1564" s="235" t="s">
        <v>12452</v>
      </c>
      <c r="C1564" s="235" t="s">
        <v>12453</v>
      </c>
      <c r="D1564" s="235" t="s">
        <v>12459</v>
      </c>
      <c r="E1564" s="243">
        <v>6.55E13</v>
      </c>
      <c r="F1564" s="245"/>
      <c r="G1564" s="235" t="s">
        <v>12455</v>
      </c>
      <c r="H1564" s="235" t="s">
        <v>12456</v>
      </c>
      <c r="I1564" s="235" t="s">
        <v>12456</v>
      </c>
      <c r="J1564" s="235" t="s">
        <v>12457</v>
      </c>
      <c r="K1564" s="235" t="s">
        <v>12458</v>
      </c>
      <c r="N1564" s="235" t="s">
        <v>92</v>
      </c>
      <c r="O1564" s="235" t="s">
        <v>248</v>
      </c>
      <c r="P1564" s="238">
        <v>1.0</v>
      </c>
      <c r="Q1564" s="235" t="s">
        <v>627</v>
      </c>
      <c r="R1564" s="238">
        <v>237.14</v>
      </c>
      <c r="S1564" s="238">
        <v>11.5</v>
      </c>
      <c r="T1564" s="238">
        <v>0.0</v>
      </c>
      <c r="U1564" s="238">
        <v>0.0</v>
      </c>
      <c r="V1564" s="238">
        <v>0.0</v>
      </c>
      <c r="W1564" s="238">
        <v>0.0</v>
      </c>
      <c r="X1564" s="235" t="s">
        <v>628</v>
      </c>
      <c r="Z1564" s="244"/>
      <c r="AA1564" s="244"/>
      <c r="AB1564" s="244"/>
      <c r="AC1564" s="235" t="s">
        <v>757</v>
      </c>
      <c r="AD1564" s="235" t="s">
        <v>666</v>
      </c>
      <c r="AE1564" s="238">
        <v>625007.0</v>
      </c>
      <c r="AF1564" s="235" t="s">
        <v>631</v>
      </c>
      <c r="AG1564" s="244"/>
      <c r="AH1564" s="244"/>
      <c r="AI1564" s="245"/>
      <c r="AJ1564" s="245"/>
      <c r="AK1564" s="245"/>
      <c r="AL1564" s="245"/>
      <c r="AM1564" s="244"/>
      <c r="AN1564" s="244"/>
      <c r="AO1564" s="238">
        <v>-7.11</v>
      </c>
      <c r="AP1564" s="238">
        <v>0.0</v>
      </c>
      <c r="AQ1564" s="235" t="s">
        <v>632</v>
      </c>
      <c r="AR1564" s="243">
        <v>2.02E11</v>
      </c>
      <c r="AS1564" s="235" t="s">
        <v>11171</v>
      </c>
      <c r="AT1564" s="235" t="s">
        <v>156</v>
      </c>
      <c r="AU1564" s="235" t="s">
        <v>634</v>
      </c>
      <c r="AV1564" s="246" t="s">
        <v>635</v>
      </c>
      <c r="AW1564" s="242"/>
      <c r="AX1564" s="242"/>
      <c r="AY1564" s="231"/>
      <c r="AZ1564" s="231"/>
      <c r="BA1564" s="227"/>
      <c r="BB1564" s="231"/>
      <c r="BC1564" s="227"/>
      <c r="BD1564" s="227"/>
      <c r="BE1564" s="227"/>
      <c r="BF1564" s="227"/>
    </row>
    <row r="1565">
      <c r="A1565" s="235" t="s">
        <v>12452</v>
      </c>
      <c r="C1565" s="235" t="s">
        <v>12453</v>
      </c>
      <c r="D1565" s="235" t="s">
        <v>12460</v>
      </c>
      <c r="E1565" s="243">
        <v>6.55E13</v>
      </c>
      <c r="F1565" s="245"/>
      <c r="G1565" s="235" t="s">
        <v>12455</v>
      </c>
      <c r="H1565" s="235" t="s">
        <v>12456</v>
      </c>
      <c r="I1565" s="235" t="s">
        <v>12456</v>
      </c>
      <c r="J1565" s="235" t="s">
        <v>12457</v>
      </c>
      <c r="K1565" s="235" t="s">
        <v>12458</v>
      </c>
      <c r="N1565" s="235" t="s">
        <v>92</v>
      </c>
      <c r="O1565" s="235" t="s">
        <v>248</v>
      </c>
      <c r="P1565" s="238">
        <v>1.0</v>
      </c>
      <c r="Q1565" s="235" t="s">
        <v>627</v>
      </c>
      <c r="R1565" s="238">
        <v>237.14</v>
      </c>
      <c r="S1565" s="238">
        <v>11.5</v>
      </c>
      <c r="T1565" s="238">
        <v>0.0</v>
      </c>
      <c r="U1565" s="238">
        <v>0.0</v>
      </c>
      <c r="V1565" s="238">
        <v>0.0</v>
      </c>
      <c r="W1565" s="238">
        <v>0.0</v>
      </c>
      <c r="X1565" s="235" t="s">
        <v>628</v>
      </c>
      <c r="Z1565" s="244"/>
      <c r="AA1565" s="244"/>
      <c r="AB1565" s="244"/>
      <c r="AC1565" s="235" t="s">
        <v>757</v>
      </c>
      <c r="AD1565" s="235" t="s">
        <v>666</v>
      </c>
      <c r="AE1565" s="238">
        <v>625007.0</v>
      </c>
      <c r="AF1565" s="235" t="s">
        <v>631</v>
      </c>
      <c r="AG1565" s="244"/>
      <c r="AH1565" s="244"/>
      <c r="AI1565" s="245"/>
      <c r="AJ1565" s="245"/>
      <c r="AK1565" s="245"/>
      <c r="AL1565" s="245"/>
      <c r="AM1565" s="244"/>
      <c r="AN1565" s="244"/>
      <c r="AO1565" s="238">
        <v>-7.11</v>
      </c>
      <c r="AP1565" s="238">
        <v>0.0</v>
      </c>
      <c r="AQ1565" s="235" t="s">
        <v>632</v>
      </c>
      <c r="AR1565" s="243">
        <v>2.02E11</v>
      </c>
      <c r="AS1565" s="235" t="s">
        <v>11171</v>
      </c>
      <c r="AT1565" s="235" t="s">
        <v>156</v>
      </c>
      <c r="AU1565" s="235" t="s">
        <v>634</v>
      </c>
      <c r="AV1565" s="246" t="s">
        <v>635</v>
      </c>
      <c r="AW1565" s="242"/>
      <c r="AX1565" s="242"/>
      <c r="AY1565" s="231"/>
      <c r="AZ1565" s="231"/>
      <c r="BA1565" s="227"/>
      <c r="BB1565" s="231"/>
      <c r="BC1565" s="227"/>
      <c r="BD1565" s="227"/>
      <c r="BE1565" s="227"/>
      <c r="BF1565" s="227"/>
    </row>
    <row r="1566">
      <c r="A1566" s="235" t="s">
        <v>12452</v>
      </c>
      <c r="C1566" s="235" t="s">
        <v>12453</v>
      </c>
      <c r="D1566" s="235" t="s">
        <v>12461</v>
      </c>
      <c r="E1566" s="243">
        <v>6.55E13</v>
      </c>
      <c r="F1566" s="245"/>
      <c r="G1566" s="235" t="s">
        <v>12455</v>
      </c>
      <c r="H1566" s="235" t="s">
        <v>12456</v>
      </c>
      <c r="I1566" s="235" t="s">
        <v>12456</v>
      </c>
      <c r="J1566" s="235" t="s">
        <v>12457</v>
      </c>
      <c r="K1566" s="235" t="s">
        <v>12458</v>
      </c>
      <c r="N1566" s="235" t="s">
        <v>92</v>
      </c>
      <c r="O1566" s="235" t="s">
        <v>248</v>
      </c>
      <c r="P1566" s="238">
        <v>1.0</v>
      </c>
      <c r="Q1566" s="235" t="s">
        <v>627</v>
      </c>
      <c r="R1566" s="238">
        <v>237.14</v>
      </c>
      <c r="S1566" s="238">
        <v>11.5</v>
      </c>
      <c r="T1566" s="238">
        <v>0.0</v>
      </c>
      <c r="U1566" s="238">
        <v>0.0</v>
      </c>
      <c r="V1566" s="238">
        <v>0.0</v>
      </c>
      <c r="W1566" s="238">
        <v>0.0</v>
      </c>
      <c r="X1566" s="235" t="s">
        <v>628</v>
      </c>
      <c r="Z1566" s="244"/>
      <c r="AA1566" s="244"/>
      <c r="AB1566" s="244"/>
      <c r="AC1566" s="235" t="s">
        <v>757</v>
      </c>
      <c r="AD1566" s="235" t="s">
        <v>666</v>
      </c>
      <c r="AE1566" s="238">
        <v>625007.0</v>
      </c>
      <c r="AF1566" s="235" t="s">
        <v>631</v>
      </c>
      <c r="AG1566" s="244"/>
      <c r="AH1566" s="244"/>
      <c r="AI1566" s="245"/>
      <c r="AJ1566" s="245"/>
      <c r="AK1566" s="245"/>
      <c r="AL1566" s="245"/>
      <c r="AM1566" s="244"/>
      <c r="AN1566" s="244"/>
      <c r="AO1566" s="238">
        <v>-7.11</v>
      </c>
      <c r="AP1566" s="238">
        <v>0.0</v>
      </c>
      <c r="AQ1566" s="235" t="s">
        <v>632</v>
      </c>
      <c r="AR1566" s="243">
        <v>2.02E11</v>
      </c>
      <c r="AS1566" s="235" t="s">
        <v>11171</v>
      </c>
      <c r="AT1566" s="235" t="s">
        <v>156</v>
      </c>
      <c r="AU1566" s="235" t="s">
        <v>634</v>
      </c>
      <c r="AV1566" s="246" t="s">
        <v>635</v>
      </c>
      <c r="AW1566" s="242"/>
      <c r="AX1566" s="242"/>
      <c r="AY1566" s="231"/>
      <c r="AZ1566" s="231"/>
      <c r="BA1566" s="227"/>
      <c r="BB1566" s="231"/>
      <c r="BC1566" s="227"/>
      <c r="BD1566" s="227"/>
      <c r="BE1566" s="227"/>
      <c r="BF1566" s="227"/>
    </row>
    <row r="1567">
      <c r="A1567" s="235" t="s">
        <v>12452</v>
      </c>
      <c r="C1567" s="235" t="s">
        <v>12453</v>
      </c>
      <c r="D1567" s="235" t="s">
        <v>12462</v>
      </c>
      <c r="E1567" s="243">
        <v>6.55E13</v>
      </c>
      <c r="F1567" s="245"/>
      <c r="G1567" s="235" t="s">
        <v>12455</v>
      </c>
      <c r="H1567" s="235" t="s">
        <v>12456</v>
      </c>
      <c r="I1567" s="235" t="s">
        <v>12456</v>
      </c>
      <c r="J1567" s="235" t="s">
        <v>12457</v>
      </c>
      <c r="K1567" s="235" t="s">
        <v>12458</v>
      </c>
      <c r="N1567" s="235" t="s">
        <v>92</v>
      </c>
      <c r="O1567" s="235" t="s">
        <v>248</v>
      </c>
      <c r="P1567" s="238">
        <v>1.0</v>
      </c>
      <c r="Q1567" s="235" t="s">
        <v>627</v>
      </c>
      <c r="R1567" s="238">
        <v>237.14</v>
      </c>
      <c r="S1567" s="238">
        <v>11.5</v>
      </c>
      <c r="T1567" s="238">
        <v>0.0</v>
      </c>
      <c r="U1567" s="238">
        <v>0.0</v>
      </c>
      <c r="V1567" s="238">
        <v>0.0</v>
      </c>
      <c r="W1567" s="238">
        <v>0.0</v>
      </c>
      <c r="X1567" s="235" t="s">
        <v>628</v>
      </c>
      <c r="Z1567" s="244"/>
      <c r="AA1567" s="244"/>
      <c r="AB1567" s="244"/>
      <c r="AC1567" s="235" t="s">
        <v>757</v>
      </c>
      <c r="AD1567" s="235" t="s">
        <v>666</v>
      </c>
      <c r="AE1567" s="238">
        <v>625007.0</v>
      </c>
      <c r="AF1567" s="235" t="s">
        <v>631</v>
      </c>
      <c r="AG1567" s="244"/>
      <c r="AH1567" s="244"/>
      <c r="AI1567" s="245"/>
      <c r="AJ1567" s="245"/>
      <c r="AK1567" s="245"/>
      <c r="AL1567" s="245"/>
      <c r="AM1567" s="244"/>
      <c r="AN1567" s="244"/>
      <c r="AO1567" s="238">
        <v>-7.11</v>
      </c>
      <c r="AP1567" s="238">
        <v>0.0</v>
      </c>
      <c r="AQ1567" s="235" t="s">
        <v>632</v>
      </c>
      <c r="AR1567" s="243">
        <v>2.02E11</v>
      </c>
      <c r="AS1567" s="235" t="s">
        <v>11171</v>
      </c>
      <c r="AT1567" s="235" t="s">
        <v>156</v>
      </c>
      <c r="AU1567" s="235" t="s">
        <v>634</v>
      </c>
      <c r="AV1567" s="246" t="s">
        <v>635</v>
      </c>
      <c r="AW1567" s="242"/>
      <c r="AX1567" s="242"/>
      <c r="AY1567" s="231"/>
      <c r="AZ1567" s="231"/>
      <c r="BA1567" s="227"/>
      <c r="BB1567" s="231"/>
      <c r="BC1567" s="227"/>
      <c r="BD1567" s="227"/>
      <c r="BE1567" s="227"/>
      <c r="BF1567" s="227"/>
    </row>
    <row r="1568">
      <c r="A1568" s="235" t="s">
        <v>12463</v>
      </c>
      <c r="C1568" s="235" t="s">
        <v>12464</v>
      </c>
      <c r="D1568" s="235" t="s">
        <v>12465</v>
      </c>
      <c r="E1568" s="243">
        <v>6.54E13</v>
      </c>
      <c r="F1568" s="245"/>
      <c r="G1568" s="235" t="s">
        <v>12466</v>
      </c>
      <c r="H1568" s="235" t="s">
        <v>12467</v>
      </c>
      <c r="I1568" s="235" t="s">
        <v>12468</v>
      </c>
      <c r="J1568" s="235" t="s">
        <v>12469</v>
      </c>
      <c r="K1568" s="235" t="s">
        <v>12470</v>
      </c>
      <c r="N1568" s="235" t="s">
        <v>35</v>
      </c>
      <c r="O1568" s="235" t="s">
        <v>831</v>
      </c>
      <c r="P1568" s="238">
        <v>1.0</v>
      </c>
      <c r="Q1568" s="235" t="s">
        <v>627</v>
      </c>
      <c r="R1568" s="238">
        <v>446.67</v>
      </c>
      <c r="S1568" s="238">
        <v>21.66</v>
      </c>
      <c r="T1568" s="238">
        <v>38.1</v>
      </c>
      <c r="U1568" s="238">
        <v>1.9</v>
      </c>
      <c r="V1568" s="238">
        <v>0.0</v>
      </c>
      <c r="W1568" s="238">
        <v>0.0</v>
      </c>
      <c r="X1568" s="235" t="s">
        <v>628</v>
      </c>
      <c r="Z1568" s="244"/>
      <c r="AA1568" s="244"/>
      <c r="AB1568" s="244"/>
      <c r="AC1568" s="235" t="s">
        <v>1887</v>
      </c>
      <c r="AD1568" s="235" t="s">
        <v>679</v>
      </c>
      <c r="AE1568" s="238">
        <v>560048.0</v>
      </c>
      <c r="AF1568" s="235" t="s">
        <v>631</v>
      </c>
      <c r="AG1568" s="244"/>
      <c r="AH1568" s="244"/>
      <c r="AI1568" s="245"/>
      <c r="AJ1568" s="245"/>
      <c r="AK1568" s="245"/>
      <c r="AL1568" s="245"/>
      <c r="AM1568" s="244"/>
      <c r="AN1568" s="244"/>
      <c r="AO1568" s="238">
        <v>-13.4</v>
      </c>
      <c r="AP1568" s="238">
        <v>-38.1</v>
      </c>
      <c r="AQ1568" s="235" t="s">
        <v>632</v>
      </c>
      <c r="AR1568" s="243">
        <v>3.71E11</v>
      </c>
      <c r="AS1568" s="235" t="s">
        <v>8807</v>
      </c>
      <c r="AT1568" s="235" t="s">
        <v>156</v>
      </c>
      <c r="AU1568" s="235" t="s">
        <v>634</v>
      </c>
      <c r="AV1568" s="246" t="s">
        <v>635</v>
      </c>
      <c r="AW1568" s="242"/>
      <c r="AX1568" s="242"/>
      <c r="AY1568" s="231"/>
      <c r="AZ1568" s="231"/>
      <c r="BA1568" s="227"/>
      <c r="BB1568" s="231"/>
      <c r="BC1568" s="227"/>
      <c r="BD1568" s="227"/>
      <c r="BE1568" s="227"/>
      <c r="BF1568" s="227"/>
    </row>
    <row r="1569">
      <c r="A1569" s="235" t="s">
        <v>12463</v>
      </c>
      <c r="C1569" s="235" t="s">
        <v>12464</v>
      </c>
      <c r="D1569" s="235" t="s">
        <v>12471</v>
      </c>
      <c r="E1569" s="243">
        <v>6.54E13</v>
      </c>
      <c r="F1569" s="245"/>
      <c r="G1569" s="235" t="s">
        <v>12466</v>
      </c>
      <c r="H1569" s="235" t="s">
        <v>12467</v>
      </c>
      <c r="I1569" s="235" t="s">
        <v>12468</v>
      </c>
      <c r="J1569" s="235" t="s">
        <v>12469</v>
      </c>
      <c r="K1569" s="235" t="s">
        <v>12470</v>
      </c>
      <c r="N1569" s="235" t="s">
        <v>35</v>
      </c>
      <c r="O1569" s="235" t="s">
        <v>831</v>
      </c>
      <c r="P1569" s="238">
        <v>2.0</v>
      </c>
      <c r="Q1569" s="235" t="s">
        <v>627</v>
      </c>
      <c r="R1569" s="238">
        <v>893.34</v>
      </c>
      <c r="S1569" s="238">
        <v>43.32</v>
      </c>
      <c r="T1569" s="238">
        <v>76.2</v>
      </c>
      <c r="U1569" s="238">
        <v>3.8</v>
      </c>
      <c r="V1569" s="238">
        <v>0.0</v>
      </c>
      <c r="W1569" s="238">
        <v>0.0</v>
      </c>
      <c r="X1569" s="235" t="s">
        <v>628</v>
      </c>
      <c r="Z1569" s="244"/>
      <c r="AA1569" s="244"/>
      <c r="AB1569" s="244"/>
      <c r="AC1569" s="235" t="s">
        <v>1887</v>
      </c>
      <c r="AD1569" s="235" t="s">
        <v>679</v>
      </c>
      <c r="AE1569" s="238">
        <v>560048.0</v>
      </c>
      <c r="AF1569" s="235" t="s">
        <v>631</v>
      </c>
      <c r="AG1569" s="244"/>
      <c r="AH1569" s="244"/>
      <c r="AI1569" s="245"/>
      <c r="AJ1569" s="245"/>
      <c r="AK1569" s="245"/>
      <c r="AL1569" s="245"/>
      <c r="AM1569" s="244"/>
      <c r="AN1569" s="244"/>
      <c r="AO1569" s="238">
        <v>-26.8</v>
      </c>
      <c r="AP1569" s="238">
        <v>-76.2</v>
      </c>
      <c r="AQ1569" s="235" t="s">
        <v>632</v>
      </c>
      <c r="AR1569" s="243">
        <v>3.71E11</v>
      </c>
      <c r="AS1569" s="235" t="s">
        <v>8807</v>
      </c>
      <c r="AT1569" s="235" t="s">
        <v>156</v>
      </c>
      <c r="AU1569" s="235" t="s">
        <v>634</v>
      </c>
      <c r="AV1569" s="246" t="s">
        <v>635</v>
      </c>
      <c r="AW1569" s="242"/>
      <c r="AX1569" s="242"/>
      <c r="AY1569" s="231"/>
      <c r="AZ1569" s="231"/>
      <c r="BA1569" s="227"/>
      <c r="BB1569" s="231"/>
      <c r="BC1569" s="227"/>
      <c r="BD1569" s="227"/>
      <c r="BE1569" s="227"/>
      <c r="BF1569" s="227"/>
    </row>
    <row r="1570">
      <c r="A1570" s="235" t="s">
        <v>12472</v>
      </c>
      <c r="C1570" s="235" t="s">
        <v>12473</v>
      </c>
      <c r="D1570" s="235" t="s">
        <v>12474</v>
      </c>
      <c r="E1570" s="243">
        <v>6.55E13</v>
      </c>
      <c r="F1570" s="245"/>
      <c r="G1570" s="235" t="s">
        <v>12475</v>
      </c>
      <c r="H1570" s="235" t="s">
        <v>12476</v>
      </c>
      <c r="I1570" s="235" t="s">
        <v>12476</v>
      </c>
      <c r="J1570" s="235" t="s">
        <v>12477</v>
      </c>
      <c r="K1570" s="235" t="s">
        <v>12478</v>
      </c>
      <c r="N1570" s="235" t="s">
        <v>144</v>
      </c>
      <c r="O1570" s="235" t="s">
        <v>232</v>
      </c>
      <c r="P1570" s="238">
        <v>1.0</v>
      </c>
      <c r="Q1570" s="235" t="s">
        <v>627</v>
      </c>
      <c r="R1570" s="238">
        <v>665.71</v>
      </c>
      <c r="S1570" s="238">
        <v>32.62</v>
      </c>
      <c r="T1570" s="238">
        <v>38.1</v>
      </c>
      <c r="U1570" s="238">
        <v>1.9</v>
      </c>
      <c r="V1570" s="238">
        <v>0.0</v>
      </c>
      <c r="W1570" s="238">
        <v>0.0</v>
      </c>
      <c r="X1570" s="235" t="s">
        <v>628</v>
      </c>
      <c r="Z1570" s="244"/>
      <c r="AA1570" s="244"/>
      <c r="AB1570" s="244"/>
      <c r="AC1570" s="235" t="s">
        <v>12479</v>
      </c>
      <c r="AD1570" s="235" t="s">
        <v>1151</v>
      </c>
      <c r="AE1570" s="238">
        <v>712222.0</v>
      </c>
      <c r="AF1570" s="235" t="s">
        <v>631</v>
      </c>
      <c r="AG1570" s="244"/>
      <c r="AH1570" s="244"/>
      <c r="AI1570" s="245"/>
      <c r="AJ1570" s="245"/>
      <c r="AK1570" s="245"/>
      <c r="AL1570" s="245"/>
      <c r="AM1570" s="244"/>
      <c r="AN1570" s="244"/>
      <c r="AO1570" s="238">
        <v>-13.31</v>
      </c>
      <c r="AP1570" s="238">
        <v>-38.1</v>
      </c>
      <c r="AQ1570" s="235" t="s">
        <v>632</v>
      </c>
      <c r="AR1570" s="243">
        <v>3.71E11</v>
      </c>
      <c r="AS1570" s="235" t="s">
        <v>7365</v>
      </c>
      <c r="AT1570" s="235" t="s">
        <v>13</v>
      </c>
      <c r="AU1570" s="235" t="s">
        <v>634</v>
      </c>
      <c r="AV1570" s="246" t="s">
        <v>635</v>
      </c>
      <c r="AW1570" s="242"/>
      <c r="AX1570" s="242"/>
      <c r="AY1570" s="231"/>
      <c r="AZ1570" s="231"/>
      <c r="BA1570" s="227"/>
      <c r="BB1570" s="231"/>
      <c r="BC1570" s="227"/>
      <c r="BD1570" s="227"/>
      <c r="BE1570" s="227"/>
      <c r="BF1570" s="227"/>
    </row>
    <row r="1571">
      <c r="A1571" s="235" t="s">
        <v>12482</v>
      </c>
      <c r="C1571" s="235" t="s">
        <v>12483</v>
      </c>
      <c r="D1571" s="235" t="s">
        <v>12484</v>
      </c>
      <c r="E1571" s="243">
        <v>6.55E13</v>
      </c>
      <c r="F1571" s="245"/>
      <c r="G1571" s="235" t="s">
        <v>12485</v>
      </c>
      <c r="H1571" s="235" t="s">
        <v>12486</v>
      </c>
      <c r="I1571" s="235" t="s">
        <v>12486</v>
      </c>
      <c r="J1571" s="235" t="s">
        <v>12487</v>
      </c>
      <c r="K1571" s="235" t="s">
        <v>12488</v>
      </c>
      <c r="N1571" s="235" t="s">
        <v>989</v>
      </c>
      <c r="O1571" s="235" t="s">
        <v>990</v>
      </c>
      <c r="P1571" s="238">
        <v>1.0</v>
      </c>
      <c r="Q1571" s="235" t="s">
        <v>627</v>
      </c>
      <c r="R1571" s="238">
        <v>256.19</v>
      </c>
      <c r="S1571" s="238">
        <v>12.81</v>
      </c>
      <c r="T1571" s="238">
        <v>0.0</v>
      </c>
      <c r="U1571" s="238">
        <v>0.0</v>
      </c>
      <c r="V1571" s="238">
        <v>0.0</v>
      </c>
      <c r="W1571" s="238">
        <v>0.0</v>
      </c>
      <c r="X1571" s="235" t="s">
        <v>628</v>
      </c>
      <c r="Z1571" s="244"/>
      <c r="AA1571" s="244"/>
      <c r="AB1571" s="244"/>
      <c r="AC1571" s="235" t="s">
        <v>3195</v>
      </c>
      <c r="AD1571" s="235" t="s">
        <v>12489</v>
      </c>
      <c r="AE1571" s="238">
        <v>751015.0</v>
      </c>
      <c r="AF1571" s="235" t="s">
        <v>631</v>
      </c>
      <c r="AG1571" s="244"/>
      <c r="AH1571" s="244"/>
      <c r="AI1571" s="245"/>
      <c r="AJ1571" s="245"/>
      <c r="AK1571" s="245"/>
      <c r="AL1571" s="245"/>
      <c r="AM1571" s="244"/>
      <c r="AN1571" s="244"/>
      <c r="AO1571" s="238">
        <v>0.0</v>
      </c>
      <c r="AP1571" s="238">
        <v>0.0</v>
      </c>
      <c r="AQ1571" s="235" t="s">
        <v>632</v>
      </c>
      <c r="AR1571" s="243">
        <v>3.71E11</v>
      </c>
      <c r="AS1571" s="235" t="s">
        <v>7365</v>
      </c>
      <c r="AT1571" s="235" t="s">
        <v>11</v>
      </c>
      <c r="AU1571" s="235" t="s">
        <v>634</v>
      </c>
      <c r="AV1571" s="246" t="s">
        <v>635</v>
      </c>
      <c r="AW1571" s="242"/>
      <c r="AX1571" s="242"/>
      <c r="AY1571" s="231"/>
      <c r="AZ1571" s="231"/>
      <c r="BA1571" s="227"/>
      <c r="BB1571" s="231"/>
      <c r="BC1571" s="227"/>
      <c r="BD1571" s="227"/>
      <c r="BE1571" s="227"/>
      <c r="BF1571" s="227"/>
    </row>
    <row r="1572">
      <c r="A1572" s="235" t="s">
        <v>12490</v>
      </c>
      <c r="C1572" s="235" t="s">
        <v>12491</v>
      </c>
      <c r="D1572" s="235" t="s">
        <v>12492</v>
      </c>
      <c r="E1572" s="243">
        <v>6.55E13</v>
      </c>
      <c r="F1572" s="245"/>
      <c r="G1572" s="235" t="s">
        <v>12493</v>
      </c>
      <c r="H1572" s="235" t="s">
        <v>12494</v>
      </c>
      <c r="I1572" s="235" t="s">
        <v>12494</v>
      </c>
      <c r="J1572" s="235" t="s">
        <v>12495</v>
      </c>
      <c r="K1572" s="235" t="s">
        <v>12496</v>
      </c>
      <c r="N1572" s="235" t="s">
        <v>43</v>
      </c>
      <c r="O1572" s="235" t="s">
        <v>276</v>
      </c>
      <c r="P1572" s="238">
        <v>1.0</v>
      </c>
      <c r="Q1572" s="235" t="s">
        <v>627</v>
      </c>
      <c r="R1572" s="238">
        <v>237.14</v>
      </c>
      <c r="S1572" s="238">
        <v>11.86</v>
      </c>
      <c r="T1572" s="238">
        <v>38.1</v>
      </c>
      <c r="U1572" s="238">
        <v>1.9</v>
      </c>
      <c r="V1572" s="238">
        <v>0.0</v>
      </c>
      <c r="W1572" s="238">
        <v>0.0</v>
      </c>
      <c r="X1572" s="235" t="s">
        <v>628</v>
      </c>
      <c r="Z1572" s="244"/>
      <c r="AA1572" s="244"/>
      <c r="AB1572" s="244"/>
      <c r="AC1572" s="235" t="s">
        <v>678</v>
      </c>
      <c r="AD1572" s="235" t="s">
        <v>679</v>
      </c>
      <c r="AE1572" s="238">
        <v>560103.0</v>
      </c>
      <c r="AF1572" s="235" t="s">
        <v>631</v>
      </c>
      <c r="AG1572" s="244"/>
      <c r="AH1572" s="244"/>
      <c r="AI1572" s="245"/>
      <c r="AJ1572" s="245"/>
      <c r="AK1572" s="245"/>
      <c r="AL1572" s="245"/>
      <c r="AM1572" s="244"/>
      <c r="AN1572" s="244"/>
      <c r="AO1572" s="238">
        <v>0.0</v>
      </c>
      <c r="AP1572" s="238">
        <v>-38.1</v>
      </c>
      <c r="AQ1572" s="235" t="s">
        <v>632</v>
      </c>
      <c r="AR1572" s="243">
        <v>3.71E11</v>
      </c>
      <c r="AS1572" s="235" t="s">
        <v>10017</v>
      </c>
      <c r="AT1572" s="235" t="s">
        <v>156</v>
      </c>
      <c r="AU1572" s="235" t="s">
        <v>634</v>
      </c>
      <c r="AV1572" s="246" t="s">
        <v>635</v>
      </c>
      <c r="AW1572" s="242"/>
      <c r="AX1572" s="242"/>
      <c r="AY1572" s="231"/>
      <c r="AZ1572" s="231"/>
      <c r="BA1572" s="227"/>
      <c r="BB1572" s="231"/>
      <c r="BC1572" s="227"/>
      <c r="BD1572" s="227"/>
      <c r="BE1572" s="227"/>
      <c r="BF1572" s="227"/>
    </row>
    <row r="1573">
      <c r="A1573" s="235" t="s">
        <v>12497</v>
      </c>
      <c r="C1573" s="235" t="s">
        <v>12498</v>
      </c>
      <c r="D1573" s="235" t="s">
        <v>12499</v>
      </c>
      <c r="E1573" s="243">
        <v>6.55E13</v>
      </c>
      <c r="F1573" s="245"/>
      <c r="G1573" s="235" t="s">
        <v>12500</v>
      </c>
      <c r="H1573" s="235" t="s">
        <v>12501</v>
      </c>
      <c r="I1573" s="235" t="s">
        <v>12501</v>
      </c>
      <c r="J1573" s="235" t="s">
        <v>12502</v>
      </c>
      <c r="K1573" s="235" t="s">
        <v>12503</v>
      </c>
      <c r="N1573" s="235" t="s">
        <v>989</v>
      </c>
      <c r="O1573" s="235" t="s">
        <v>990</v>
      </c>
      <c r="P1573" s="238">
        <v>1.0</v>
      </c>
      <c r="Q1573" s="235" t="s">
        <v>627</v>
      </c>
      <c r="R1573" s="238">
        <v>256.19</v>
      </c>
      <c r="S1573" s="238">
        <v>12.81</v>
      </c>
      <c r="T1573" s="238">
        <v>0.0</v>
      </c>
      <c r="U1573" s="238">
        <v>0.0</v>
      </c>
      <c r="V1573" s="238">
        <v>0.0</v>
      </c>
      <c r="W1573" s="238">
        <v>0.0</v>
      </c>
      <c r="X1573" s="235" t="s">
        <v>628</v>
      </c>
      <c r="Z1573" s="244"/>
      <c r="AA1573" s="244"/>
      <c r="AB1573" s="244"/>
      <c r="AC1573" s="235" t="s">
        <v>814</v>
      </c>
      <c r="AD1573" s="235" t="s">
        <v>698</v>
      </c>
      <c r="AE1573" s="238">
        <v>500020.0</v>
      </c>
      <c r="AF1573" s="235" t="s">
        <v>631</v>
      </c>
      <c r="AG1573" s="244"/>
      <c r="AH1573" s="244"/>
      <c r="AI1573" s="245"/>
      <c r="AJ1573" s="245"/>
      <c r="AK1573" s="245"/>
      <c r="AL1573" s="245"/>
      <c r="AM1573" s="244"/>
      <c r="AN1573" s="244"/>
      <c r="AO1573" s="238">
        <v>0.0</v>
      </c>
      <c r="AP1573" s="238">
        <v>0.0</v>
      </c>
      <c r="AQ1573" s="235" t="s">
        <v>632</v>
      </c>
      <c r="AR1573" s="243">
        <v>2.02E11</v>
      </c>
      <c r="AS1573" s="235" t="s">
        <v>11171</v>
      </c>
      <c r="AT1573" s="235" t="s">
        <v>156</v>
      </c>
      <c r="AU1573" s="235" t="s">
        <v>634</v>
      </c>
      <c r="AV1573" s="246" t="s">
        <v>635</v>
      </c>
      <c r="AW1573" s="242"/>
      <c r="AX1573" s="242"/>
      <c r="AY1573" s="231"/>
      <c r="AZ1573" s="231"/>
      <c r="BA1573" s="227"/>
      <c r="BB1573" s="231"/>
      <c r="BC1573" s="227"/>
      <c r="BD1573" s="227"/>
      <c r="BE1573" s="227"/>
      <c r="BF1573" s="227"/>
    </row>
    <row r="1574">
      <c r="A1574" s="235" t="s">
        <v>12504</v>
      </c>
      <c r="C1574" s="235" t="s">
        <v>12505</v>
      </c>
      <c r="D1574" s="235" t="s">
        <v>12506</v>
      </c>
      <c r="E1574" s="243">
        <v>6.55E13</v>
      </c>
      <c r="F1574" s="245"/>
      <c r="G1574" s="235" t="s">
        <v>12507</v>
      </c>
      <c r="H1574" s="235" t="s">
        <v>12508</v>
      </c>
      <c r="I1574" s="235" t="s">
        <v>12508</v>
      </c>
      <c r="J1574" s="235" t="s">
        <v>12509</v>
      </c>
      <c r="K1574" s="235" t="s">
        <v>12510</v>
      </c>
      <c r="N1574" s="235" t="s">
        <v>51</v>
      </c>
      <c r="O1574" s="235" t="s">
        <v>273</v>
      </c>
      <c r="P1574" s="238">
        <v>1.0</v>
      </c>
      <c r="Q1574" s="235" t="s">
        <v>627</v>
      </c>
      <c r="R1574" s="238">
        <v>237.14</v>
      </c>
      <c r="S1574" s="238">
        <v>11.86</v>
      </c>
      <c r="T1574" s="238">
        <v>0.0</v>
      </c>
      <c r="U1574" s="238">
        <v>0.0</v>
      </c>
      <c r="V1574" s="238">
        <v>0.0</v>
      </c>
      <c r="W1574" s="238">
        <v>0.0</v>
      </c>
      <c r="X1574" s="235" t="s">
        <v>628</v>
      </c>
      <c r="Z1574" s="244"/>
      <c r="AA1574" s="244"/>
      <c r="AB1574" s="244"/>
      <c r="AC1574" s="235" t="s">
        <v>5138</v>
      </c>
      <c r="AD1574" s="235" t="s">
        <v>833</v>
      </c>
      <c r="AE1574" s="238">
        <v>524002.0</v>
      </c>
      <c r="AF1574" s="235" t="s">
        <v>631</v>
      </c>
      <c r="AG1574" s="244"/>
      <c r="AH1574" s="244"/>
      <c r="AI1574" s="245"/>
      <c r="AJ1574" s="245"/>
      <c r="AK1574" s="245"/>
      <c r="AL1574" s="245"/>
      <c r="AM1574" s="244"/>
      <c r="AN1574" s="244"/>
      <c r="AO1574" s="238">
        <v>0.0</v>
      </c>
      <c r="AP1574" s="238">
        <v>0.0</v>
      </c>
      <c r="AQ1574" s="235" t="s">
        <v>632</v>
      </c>
      <c r="AR1574" s="243">
        <v>3.71E11</v>
      </c>
      <c r="AS1574" s="235" t="s">
        <v>11171</v>
      </c>
      <c r="AT1574" s="235" t="s">
        <v>156</v>
      </c>
      <c r="AU1574" s="235" t="s">
        <v>634</v>
      </c>
      <c r="AV1574" s="246" t="s">
        <v>635</v>
      </c>
      <c r="AW1574" s="242"/>
      <c r="AX1574" s="242"/>
      <c r="AY1574" s="231"/>
      <c r="AZ1574" s="231"/>
      <c r="BA1574" s="227"/>
      <c r="BB1574" s="231"/>
      <c r="BC1574" s="227"/>
      <c r="BD1574" s="227"/>
      <c r="BE1574" s="227"/>
      <c r="BF1574" s="227"/>
    </row>
    <row r="1575">
      <c r="A1575" s="235" t="s">
        <v>12511</v>
      </c>
      <c r="C1575" s="235" t="s">
        <v>12512</v>
      </c>
      <c r="D1575" s="235" t="s">
        <v>12513</v>
      </c>
      <c r="E1575" s="243">
        <v>6.55E13</v>
      </c>
      <c r="F1575" s="245"/>
      <c r="G1575" s="235" t="s">
        <v>12514</v>
      </c>
      <c r="H1575" s="235" t="s">
        <v>12515</v>
      </c>
      <c r="I1575" s="235" t="s">
        <v>12516</v>
      </c>
      <c r="J1575" s="235" t="s">
        <v>12517</v>
      </c>
      <c r="K1575" s="235" t="s">
        <v>12518</v>
      </c>
      <c r="N1575" s="235" t="s">
        <v>127</v>
      </c>
      <c r="O1575" s="235" t="s">
        <v>794</v>
      </c>
      <c r="P1575" s="238">
        <v>1.0</v>
      </c>
      <c r="Q1575" s="235" t="s">
        <v>627</v>
      </c>
      <c r="R1575" s="238">
        <v>246.66</v>
      </c>
      <c r="S1575" s="238">
        <v>12.34</v>
      </c>
      <c r="T1575" s="238">
        <v>18.1</v>
      </c>
      <c r="U1575" s="238">
        <v>0.9</v>
      </c>
      <c r="V1575" s="238">
        <v>0.0</v>
      </c>
      <c r="W1575" s="238">
        <v>0.0</v>
      </c>
      <c r="X1575" s="235" t="s">
        <v>628</v>
      </c>
      <c r="Z1575" s="244"/>
      <c r="AA1575" s="244"/>
      <c r="AB1575" s="244"/>
      <c r="AC1575" s="235" t="s">
        <v>687</v>
      </c>
      <c r="AD1575" s="235" t="s">
        <v>666</v>
      </c>
      <c r="AE1575" s="238">
        <v>600126.0</v>
      </c>
      <c r="AF1575" s="235" t="s">
        <v>631</v>
      </c>
      <c r="AG1575" s="244"/>
      <c r="AH1575" s="244"/>
      <c r="AI1575" s="245"/>
      <c r="AJ1575" s="245"/>
      <c r="AK1575" s="245"/>
      <c r="AL1575" s="245"/>
      <c r="AM1575" s="244"/>
      <c r="AN1575" s="244"/>
      <c r="AO1575" s="238">
        <v>0.0</v>
      </c>
      <c r="AP1575" s="238">
        <v>-18.1</v>
      </c>
      <c r="AQ1575" s="235" t="s">
        <v>632</v>
      </c>
      <c r="AR1575" s="243">
        <v>1.68E11</v>
      </c>
      <c r="AS1575" s="235" t="s">
        <v>11672</v>
      </c>
      <c r="AT1575" s="235" t="s">
        <v>156</v>
      </c>
      <c r="AU1575" s="235" t="s">
        <v>634</v>
      </c>
      <c r="AV1575" s="246" t="s">
        <v>635</v>
      </c>
      <c r="AW1575" s="242"/>
      <c r="AX1575" s="242"/>
      <c r="AY1575" s="231"/>
      <c r="AZ1575" s="231"/>
      <c r="BA1575" s="227"/>
      <c r="BB1575" s="231"/>
      <c r="BC1575" s="227"/>
      <c r="BD1575" s="227"/>
      <c r="BE1575" s="227"/>
      <c r="BF1575" s="227"/>
    </row>
    <row r="1576">
      <c r="A1576" s="235" t="s">
        <v>12519</v>
      </c>
      <c r="C1576" s="235" t="s">
        <v>12520</v>
      </c>
      <c r="D1576" s="235" t="s">
        <v>12521</v>
      </c>
      <c r="E1576" s="243">
        <v>6.55E13</v>
      </c>
      <c r="F1576" s="245"/>
      <c r="G1576" s="235" t="s">
        <v>12522</v>
      </c>
      <c r="H1576" s="235" t="s">
        <v>12523</v>
      </c>
      <c r="I1576" s="235" t="s">
        <v>12523</v>
      </c>
      <c r="J1576" s="235" t="s">
        <v>12524</v>
      </c>
      <c r="K1576" s="235" t="s">
        <v>12525</v>
      </c>
      <c r="N1576" s="235" t="s">
        <v>85</v>
      </c>
      <c r="O1576" s="235" t="s">
        <v>872</v>
      </c>
      <c r="P1576" s="238">
        <v>1.0</v>
      </c>
      <c r="Q1576" s="235" t="s">
        <v>627</v>
      </c>
      <c r="R1576" s="238">
        <v>246.67</v>
      </c>
      <c r="S1576" s="238">
        <v>12.33</v>
      </c>
      <c r="T1576" s="238">
        <v>38.1</v>
      </c>
      <c r="U1576" s="238">
        <v>1.9</v>
      </c>
      <c r="V1576" s="238">
        <v>0.0</v>
      </c>
      <c r="W1576" s="238">
        <v>0.0</v>
      </c>
      <c r="X1576" s="235" t="s">
        <v>628</v>
      </c>
      <c r="Z1576" s="244"/>
      <c r="AA1576" s="244"/>
      <c r="AB1576" s="244"/>
      <c r="AC1576" s="235" t="s">
        <v>12526</v>
      </c>
      <c r="AD1576" s="235" t="s">
        <v>2688</v>
      </c>
      <c r="AE1576" s="238">
        <v>182122.0</v>
      </c>
      <c r="AF1576" s="235" t="s">
        <v>631</v>
      </c>
      <c r="AG1576" s="244"/>
      <c r="AH1576" s="244"/>
      <c r="AI1576" s="245"/>
      <c r="AJ1576" s="245"/>
      <c r="AK1576" s="245"/>
      <c r="AL1576" s="245"/>
      <c r="AM1576" s="244"/>
      <c r="AN1576" s="244"/>
      <c r="AO1576" s="238">
        <v>0.0</v>
      </c>
      <c r="AP1576" s="238">
        <v>-38.1</v>
      </c>
      <c r="AQ1576" s="235" t="s">
        <v>1328</v>
      </c>
      <c r="AR1576" s="243">
        <v>1.34E13</v>
      </c>
      <c r="AS1576" s="235" t="s">
        <v>6164</v>
      </c>
      <c r="AT1576" s="235" t="s">
        <v>13</v>
      </c>
      <c r="AU1576" s="235" t="s">
        <v>634</v>
      </c>
      <c r="AV1576" s="246" t="s">
        <v>635</v>
      </c>
      <c r="AW1576" s="242"/>
      <c r="AX1576" s="242"/>
      <c r="AY1576" s="231"/>
      <c r="AZ1576" s="231"/>
      <c r="BA1576" s="227"/>
      <c r="BB1576" s="231"/>
      <c r="BC1576" s="227"/>
      <c r="BD1576" s="227"/>
      <c r="BE1576" s="227"/>
      <c r="BF1576" s="227"/>
    </row>
    <row r="1577">
      <c r="A1577" s="235" t="s">
        <v>12527</v>
      </c>
      <c r="C1577" s="235" t="s">
        <v>12528</v>
      </c>
      <c r="D1577" s="235" t="s">
        <v>12529</v>
      </c>
      <c r="E1577" s="243">
        <v>6.55E13</v>
      </c>
      <c r="F1577" s="245"/>
      <c r="G1577" s="235" t="s">
        <v>12530</v>
      </c>
      <c r="H1577" s="235" t="s">
        <v>12531</v>
      </c>
      <c r="I1577" s="235" t="s">
        <v>12531</v>
      </c>
      <c r="J1577" s="235" t="s">
        <v>12532</v>
      </c>
      <c r="K1577" s="235" t="s">
        <v>12533</v>
      </c>
      <c r="N1577" s="235" t="s">
        <v>53</v>
      </c>
      <c r="O1577" s="235" t="s">
        <v>512</v>
      </c>
      <c r="P1577" s="238">
        <v>1.0</v>
      </c>
      <c r="Q1577" s="235" t="s">
        <v>627</v>
      </c>
      <c r="R1577" s="238">
        <v>237.14</v>
      </c>
      <c r="S1577" s="238">
        <v>11.86</v>
      </c>
      <c r="T1577" s="238">
        <v>0.0</v>
      </c>
      <c r="U1577" s="238">
        <v>0.0</v>
      </c>
      <c r="V1577" s="238">
        <v>0.0</v>
      </c>
      <c r="W1577" s="238">
        <v>0.0</v>
      </c>
      <c r="X1577" s="235" t="s">
        <v>628</v>
      </c>
      <c r="Z1577" s="244"/>
      <c r="AA1577" s="244"/>
      <c r="AB1577" s="244"/>
      <c r="AC1577" s="235" t="s">
        <v>687</v>
      </c>
      <c r="AD1577" s="235" t="s">
        <v>666</v>
      </c>
      <c r="AE1577" s="238">
        <v>600066.0</v>
      </c>
      <c r="AF1577" s="235" t="s">
        <v>631</v>
      </c>
      <c r="AG1577" s="244"/>
      <c r="AH1577" s="244"/>
      <c r="AI1577" s="245"/>
      <c r="AJ1577" s="245"/>
      <c r="AK1577" s="245"/>
      <c r="AL1577" s="245"/>
      <c r="AM1577" s="244"/>
      <c r="AN1577" s="244"/>
      <c r="AO1577" s="238">
        <v>0.0</v>
      </c>
      <c r="AP1577" s="238">
        <v>0.0</v>
      </c>
      <c r="AQ1577" s="235" t="s">
        <v>632</v>
      </c>
      <c r="AR1577" s="243">
        <v>3.71E11</v>
      </c>
      <c r="AS1577" s="235" t="s">
        <v>11171</v>
      </c>
      <c r="AT1577" s="235" t="s">
        <v>156</v>
      </c>
      <c r="AU1577" s="235" t="s">
        <v>634</v>
      </c>
      <c r="AV1577" s="246" t="s">
        <v>635</v>
      </c>
      <c r="AW1577" s="242"/>
      <c r="AX1577" s="242"/>
      <c r="AY1577" s="231"/>
      <c r="AZ1577" s="231"/>
      <c r="BA1577" s="227"/>
      <c r="BB1577" s="231"/>
      <c r="BC1577" s="227"/>
      <c r="BD1577" s="227"/>
      <c r="BE1577" s="227"/>
      <c r="BF1577" s="227"/>
    </row>
    <row r="1578">
      <c r="A1578" s="235" t="s">
        <v>12534</v>
      </c>
      <c r="C1578" s="235" t="s">
        <v>12535</v>
      </c>
      <c r="D1578" s="235" t="s">
        <v>12536</v>
      </c>
      <c r="E1578" s="243">
        <v>6.55E13</v>
      </c>
      <c r="F1578" s="245"/>
      <c r="G1578" s="235" t="s">
        <v>12537</v>
      </c>
      <c r="H1578" s="235" t="s">
        <v>12538</v>
      </c>
      <c r="I1578" s="235" t="s">
        <v>12538</v>
      </c>
      <c r="J1578" s="235" t="s">
        <v>12539</v>
      </c>
      <c r="K1578" s="235" t="s">
        <v>12540</v>
      </c>
      <c r="N1578" s="235" t="s">
        <v>92</v>
      </c>
      <c r="O1578" s="235" t="s">
        <v>248</v>
      </c>
      <c r="P1578" s="238">
        <v>1.0</v>
      </c>
      <c r="Q1578" s="235" t="s">
        <v>627</v>
      </c>
      <c r="R1578" s="238">
        <v>246.66</v>
      </c>
      <c r="S1578" s="238">
        <v>12.34</v>
      </c>
      <c r="T1578" s="238">
        <v>0.0</v>
      </c>
      <c r="U1578" s="238">
        <v>0.0</v>
      </c>
      <c r="V1578" s="238">
        <v>0.0</v>
      </c>
      <c r="W1578" s="238">
        <v>0.0</v>
      </c>
      <c r="X1578" s="235" t="s">
        <v>628</v>
      </c>
      <c r="Z1578" s="244"/>
      <c r="AA1578" s="244"/>
      <c r="AB1578" s="244"/>
      <c r="AC1578" s="235" t="s">
        <v>12541</v>
      </c>
      <c r="AD1578" s="235" t="s">
        <v>666</v>
      </c>
      <c r="AE1578" s="238">
        <v>628001.0</v>
      </c>
      <c r="AF1578" s="235" t="s">
        <v>631</v>
      </c>
      <c r="AG1578" s="244"/>
      <c r="AH1578" s="244"/>
      <c r="AI1578" s="245"/>
      <c r="AJ1578" s="245"/>
      <c r="AK1578" s="245"/>
      <c r="AL1578" s="245"/>
      <c r="AM1578" s="244"/>
      <c r="AN1578" s="244"/>
      <c r="AO1578" s="238">
        <v>0.0</v>
      </c>
      <c r="AP1578" s="238">
        <v>0.0</v>
      </c>
      <c r="AQ1578" s="235" t="s">
        <v>632</v>
      </c>
      <c r="AR1578" s="243">
        <v>3.71E11</v>
      </c>
      <c r="AS1578" s="235" t="s">
        <v>11171</v>
      </c>
      <c r="AT1578" s="235" t="s">
        <v>155</v>
      </c>
      <c r="AU1578" s="235" t="s">
        <v>634</v>
      </c>
      <c r="AV1578" s="246" t="s">
        <v>635</v>
      </c>
      <c r="AW1578" s="242"/>
      <c r="AX1578" s="242"/>
      <c r="AY1578" s="231"/>
      <c r="AZ1578" s="231"/>
      <c r="BA1578" s="227"/>
      <c r="BB1578" s="231"/>
      <c r="BC1578" s="227"/>
      <c r="BD1578" s="227"/>
      <c r="BE1578" s="227"/>
      <c r="BF1578" s="227"/>
    </row>
    <row r="1579">
      <c r="A1579" s="235" t="s">
        <v>12542</v>
      </c>
      <c r="C1579" s="235" t="s">
        <v>12543</v>
      </c>
      <c r="D1579" s="235" t="s">
        <v>12544</v>
      </c>
      <c r="E1579" s="243">
        <v>6.55E13</v>
      </c>
      <c r="F1579" s="245"/>
      <c r="G1579" s="235" t="s">
        <v>12545</v>
      </c>
      <c r="H1579" s="235" t="s">
        <v>12546</v>
      </c>
      <c r="I1579" s="235" t="s">
        <v>12546</v>
      </c>
      <c r="J1579" s="235" t="s">
        <v>12547</v>
      </c>
      <c r="K1579" s="235" t="s">
        <v>12548</v>
      </c>
      <c r="N1579" s="235" t="s">
        <v>962</v>
      </c>
      <c r="O1579" s="235" t="s">
        <v>963</v>
      </c>
      <c r="P1579" s="238">
        <v>1.0</v>
      </c>
      <c r="Q1579" s="235" t="s">
        <v>627</v>
      </c>
      <c r="R1579" s="238">
        <v>246.67</v>
      </c>
      <c r="S1579" s="238">
        <v>12.33</v>
      </c>
      <c r="T1579" s="238">
        <v>0.0</v>
      </c>
      <c r="U1579" s="238">
        <v>0.0</v>
      </c>
      <c r="V1579" s="238">
        <v>0.0</v>
      </c>
      <c r="W1579" s="238">
        <v>0.0</v>
      </c>
      <c r="X1579" s="235" t="s">
        <v>628</v>
      </c>
      <c r="Z1579" s="244"/>
      <c r="AA1579" s="244"/>
      <c r="AB1579" s="244"/>
      <c r="AC1579" s="235" t="s">
        <v>1531</v>
      </c>
      <c r="AD1579" s="235" t="s">
        <v>1151</v>
      </c>
      <c r="AE1579" s="238">
        <v>700045.0</v>
      </c>
      <c r="AF1579" s="235" t="s">
        <v>631</v>
      </c>
      <c r="AG1579" s="244"/>
      <c r="AH1579" s="244"/>
      <c r="AI1579" s="245"/>
      <c r="AJ1579" s="245"/>
      <c r="AK1579" s="245"/>
      <c r="AL1579" s="245"/>
      <c r="AM1579" s="244"/>
      <c r="AN1579" s="244"/>
      <c r="AO1579" s="238">
        <v>0.0</v>
      </c>
      <c r="AP1579" s="238">
        <v>0.0</v>
      </c>
      <c r="AQ1579" s="235" t="s">
        <v>632</v>
      </c>
      <c r="AR1579" s="243">
        <v>2.02E11</v>
      </c>
      <c r="AS1579" s="235" t="s">
        <v>11171</v>
      </c>
      <c r="AT1579" s="235" t="s">
        <v>13</v>
      </c>
      <c r="AU1579" s="235" t="s">
        <v>634</v>
      </c>
      <c r="AV1579" s="246" t="s">
        <v>635</v>
      </c>
      <c r="AW1579" s="242"/>
      <c r="AX1579" s="242"/>
      <c r="AY1579" s="231"/>
      <c r="AZ1579" s="231"/>
      <c r="BA1579" s="227"/>
      <c r="BB1579" s="231"/>
      <c r="BC1579" s="227"/>
      <c r="BD1579" s="227"/>
      <c r="BE1579" s="227"/>
      <c r="BF1579" s="227"/>
    </row>
    <row r="1580">
      <c r="A1580" s="235" t="s">
        <v>12549</v>
      </c>
      <c r="C1580" s="235" t="s">
        <v>12550</v>
      </c>
      <c r="D1580" s="235" t="s">
        <v>12551</v>
      </c>
      <c r="E1580" s="243">
        <v>6.55E13</v>
      </c>
      <c r="F1580" s="245"/>
      <c r="G1580" s="235" t="s">
        <v>12552</v>
      </c>
      <c r="H1580" s="235" t="s">
        <v>12553</v>
      </c>
      <c r="I1580" s="235" t="s">
        <v>12554</v>
      </c>
      <c r="J1580" s="235" t="s">
        <v>12555</v>
      </c>
      <c r="K1580" s="235" t="s">
        <v>12556</v>
      </c>
      <c r="N1580" s="235" t="s">
        <v>145</v>
      </c>
      <c r="O1580" s="235" t="s">
        <v>370</v>
      </c>
      <c r="P1580" s="238">
        <v>1.0</v>
      </c>
      <c r="Q1580" s="235" t="s">
        <v>627</v>
      </c>
      <c r="R1580" s="238">
        <v>1522.86</v>
      </c>
      <c r="S1580" s="238">
        <v>76.14</v>
      </c>
      <c r="T1580" s="238">
        <v>0.0</v>
      </c>
      <c r="U1580" s="238">
        <v>0.0</v>
      </c>
      <c r="V1580" s="238">
        <v>0.0</v>
      </c>
      <c r="W1580" s="238">
        <v>0.0</v>
      </c>
      <c r="X1580" s="235" t="s">
        <v>628</v>
      </c>
      <c r="Z1580" s="244"/>
      <c r="AA1580" s="244"/>
      <c r="AB1580" s="244"/>
      <c r="AC1580" s="235" t="s">
        <v>12557</v>
      </c>
      <c r="AD1580" s="235" t="s">
        <v>645</v>
      </c>
      <c r="AE1580" s="238">
        <v>689543.0</v>
      </c>
      <c r="AF1580" s="235" t="s">
        <v>631</v>
      </c>
      <c r="AG1580" s="244"/>
      <c r="AH1580" s="244"/>
      <c r="AI1580" s="245"/>
      <c r="AJ1580" s="245"/>
      <c r="AK1580" s="245"/>
      <c r="AL1580" s="245"/>
      <c r="AM1580" s="244"/>
      <c r="AN1580" s="244"/>
      <c r="AO1580" s="238">
        <v>0.0</v>
      </c>
      <c r="AP1580" s="238">
        <v>0.0</v>
      </c>
      <c r="AQ1580" s="235" t="s">
        <v>632</v>
      </c>
      <c r="AR1580" s="243">
        <v>3.71E11</v>
      </c>
      <c r="AS1580" s="235" t="s">
        <v>11171</v>
      </c>
      <c r="AT1580" s="235" t="s">
        <v>155</v>
      </c>
      <c r="AU1580" s="235" t="s">
        <v>634</v>
      </c>
      <c r="AV1580" s="246" t="s">
        <v>635</v>
      </c>
      <c r="AW1580" s="242"/>
      <c r="AX1580" s="242"/>
      <c r="AY1580" s="231"/>
      <c r="AZ1580" s="231"/>
      <c r="BA1580" s="227"/>
      <c r="BB1580" s="231"/>
      <c r="BC1580" s="227"/>
      <c r="BD1580" s="227"/>
      <c r="BE1580" s="227"/>
      <c r="BF1580" s="227"/>
    </row>
    <row r="1581">
      <c r="A1581" s="235" t="s">
        <v>12558</v>
      </c>
      <c r="C1581" s="235" t="s">
        <v>12559</v>
      </c>
      <c r="D1581" s="235" t="s">
        <v>12560</v>
      </c>
      <c r="E1581" s="243">
        <v>6.55E13</v>
      </c>
      <c r="F1581" s="245"/>
      <c r="G1581" s="235" t="s">
        <v>12561</v>
      </c>
      <c r="H1581" s="235" t="s">
        <v>12562</v>
      </c>
      <c r="I1581" s="235" t="s">
        <v>12562</v>
      </c>
      <c r="J1581" s="235" t="s">
        <v>12563</v>
      </c>
      <c r="K1581" s="235" t="s">
        <v>12564</v>
      </c>
      <c r="N1581" s="235" t="s">
        <v>85</v>
      </c>
      <c r="O1581" s="235" t="s">
        <v>872</v>
      </c>
      <c r="P1581" s="238">
        <v>1.0</v>
      </c>
      <c r="Q1581" s="235" t="s">
        <v>627</v>
      </c>
      <c r="R1581" s="238">
        <v>246.67</v>
      </c>
      <c r="S1581" s="238">
        <v>12.33</v>
      </c>
      <c r="T1581" s="238">
        <v>38.1</v>
      </c>
      <c r="U1581" s="238">
        <v>1.9</v>
      </c>
      <c r="V1581" s="238">
        <v>0.0</v>
      </c>
      <c r="W1581" s="238">
        <v>0.0</v>
      </c>
      <c r="X1581" s="235" t="s">
        <v>628</v>
      </c>
      <c r="Z1581" s="244"/>
      <c r="AA1581" s="244"/>
      <c r="AB1581" s="244"/>
      <c r="AC1581" s="235" t="s">
        <v>12246</v>
      </c>
      <c r="AD1581" s="235" t="s">
        <v>630</v>
      </c>
      <c r="AE1581" s="238">
        <v>277001.0</v>
      </c>
      <c r="AF1581" s="235" t="s">
        <v>631</v>
      </c>
      <c r="AG1581" s="244"/>
      <c r="AH1581" s="244"/>
      <c r="AI1581" s="245"/>
      <c r="AJ1581" s="245"/>
      <c r="AK1581" s="245"/>
      <c r="AL1581" s="245"/>
      <c r="AM1581" s="244"/>
      <c r="AN1581" s="244"/>
      <c r="AO1581" s="238">
        <v>0.0</v>
      </c>
      <c r="AP1581" s="238">
        <v>-38.1</v>
      </c>
      <c r="AQ1581" s="235" t="s">
        <v>632</v>
      </c>
      <c r="AR1581" s="243">
        <v>3.71E11</v>
      </c>
      <c r="AS1581" s="235" t="s">
        <v>7365</v>
      </c>
      <c r="AT1581" s="235" t="s">
        <v>13</v>
      </c>
      <c r="AU1581" s="235" t="s">
        <v>634</v>
      </c>
      <c r="AV1581" s="246" t="s">
        <v>635</v>
      </c>
      <c r="AW1581" s="242"/>
      <c r="AX1581" s="242"/>
      <c r="AY1581" s="231"/>
      <c r="AZ1581" s="231"/>
      <c r="BA1581" s="227"/>
      <c r="BB1581" s="231"/>
      <c r="BC1581" s="227"/>
      <c r="BD1581" s="227"/>
      <c r="BE1581" s="227"/>
      <c r="BF1581" s="227"/>
    </row>
    <row r="1582">
      <c r="A1582" s="235" t="s">
        <v>12565</v>
      </c>
      <c r="C1582" s="235" t="s">
        <v>12566</v>
      </c>
      <c r="D1582" s="235" t="s">
        <v>12567</v>
      </c>
      <c r="E1582" s="243">
        <v>6.52E13</v>
      </c>
      <c r="F1582" s="245"/>
      <c r="G1582" s="235" t="s">
        <v>12568</v>
      </c>
      <c r="H1582" s="235" t="s">
        <v>12569</v>
      </c>
      <c r="I1582" s="235" t="s">
        <v>12569</v>
      </c>
      <c r="J1582" s="235" t="s">
        <v>12570</v>
      </c>
      <c r="K1582" s="235" t="s">
        <v>12571</v>
      </c>
      <c r="N1582" s="235" t="s">
        <v>49</v>
      </c>
      <c r="O1582" s="235" t="s">
        <v>321</v>
      </c>
      <c r="P1582" s="238">
        <v>1.0</v>
      </c>
      <c r="Q1582" s="235" t="s">
        <v>627</v>
      </c>
      <c r="R1582" s="238">
        <v>235.24</v>
      </c>
      <c r="S1582" s="238">
        <v>11.52</v>
      </c>
      <c r="T1582" s="238">
        <v>0.0</v>
      </c>
      <c r="U1582" s="238">
        <v>0.0</v>
      </c>
      <c r="V1582" s="238">
        <v>0.0</v>
      </c>
      <c r="W1582" s="238">
        <v>0.0</v>
      </c>
      <c r="X1582" s="235" t="s">
        <v>628</v>
      </c>
      <c r="Z1582" s="244"/>
      <c r="AA1582" s="244"/>
      <c r="AB1582" s="244"/>
      <c r="AC1582" s="235" t="s">
        <v>844</v>
      </c>
      <c r="AD1582" s="235" t="s">
        <v>845</v>
      </c>
      <c r="AE1582" s="238">
        <v>412308.0</v>
      </c>
      <c r="AF1582" s="235" t="s">
        <v>631</v>
      </c>
      <c r="AG1582" s="244"/>
      <c r="AH1582" s="244"/>
      <c r="AI1582" s="245"/>
      <c r="AJ1582" s="245"/>
      <c r="AK1582" s="245"/>
      <c r="AL1582" s="245"/>
      <c r="AM1582" s="244"/>
      <c r="AN1582" s="244"/>
      <c r="AO1582" s="238">
        <v>-4.7</v>
      </c>
      <c r="AP1582" s="238">
        <v>0.0</v>
      </c>
      <c r="AQ1582" s="235" t="s">
        <v>632</v>
      </c>
      <c r="AR1582" s="243">
        <v>3.71E11</v>
      </c>
      <c r="AS1582" s="235" t="s">
        <v>8807</v>
      </c>
      <c r="AT1582" s="235" t="s">
        <v>546</v>
      </c>
      <c r="AU1582" s="235" t="s">
        <v>634</v>
      </c>
      <c r="AV1582" s="246" t="s">
        <v>635</v>
      </c>
      <c r="AW1582" s="242"/>
      <c r="AX1582" s="242"/>
      <c r="AY1582" s="231"/>
      <c r="AZ1582" s="231"/>
      <c r="BA1582" s="227"/>
      <c r="BB1582" s="231"/>
      <c r="BC1582" s="227"/>
      <c r="BD1582" s="227"/>
      <c r="BE1582" s="227"/>
      <c r="BF1582" s="227"/>
    </row>
    <row r="1583">
      <c r="A1583" s="235" t="s">
        <v>12572</v>
      </c>
      <c r="C1583" s="235" t="s">
        <v>12573</v>
      </c>
      <c r="D1583" s="235" t="s">
        <v>12574</v>
      </c>
      <c r="E1583" s="243">
        <v>6.54E13</v>
      </c>
      <c r="F1583" s="245"/>
      <c r="G1583" s="235" t="s">
        <v>12575</v>
      </c>
      <c r="H1583" s="235" t="s">
        <v>12576</v>
      </c>
      <c r="I1583" s="235" t="s">
        <v>12576</v>
      </c>
      <c r="J1583" s="235" t="s">
        <v>12577</v>
      </c>
      <c r="K1583" s="235" t="s">
        <v>12578</v>
      </c>
      <c r="N1583" s="235" t="s">
        <v>144</v>
      </c>
      <c r="O1583" s="235" t="s">
        <v>232</v>
      </c>
      <c r="P1583" s="238">
        <v>1.0</v>
      </c>
      <c r="Q1583" s="235" t="s">
        <v>627</v>
      </c>
      <c r="R1583" s="238">
        <v>665.72</v>
      </c>
      <c r="S1583" s="238">
        <v>32.62</v>
      </c>
      <c r="T1583" s="238">
        <v>0.0</v>
      </c>
      <c r="U1583" s="238">
        <v>0.0</v>
      </c>
      <c r="V1583" s="238">
        <v>0.0</v>
      </c>
      <c r="W1583" s="238">
        <v>0.0</v>
      </c>
      <c r="X1583" s="235" t="s">
        <v>628</v>
      </c>
      <c r="Z1583" s="244"/>
      <c r="AA1583" s="244"/>
      <c r="AB1583" s="244"/>
      <c r="AC1583" s="235" t="s">
        <v>5596</v>
      </c>
      <c r="AD1583" s="235" t="s">
        <v>845</v>
      </c>
      <c r="AE1583" s="238">
        <v>421501.0</v>
      </c>
      <c r="AF1583" s="235" t="s">
        <v>631</v>
      </c>
      <c r="AG1583" s="244"/>
      <c r="AH1583" s="244"/>
      <c r="AI1583" s="245"/>
      <c r="AJ1583" s="245"/>
      <c r="AK1583" s="245"/>
      <c r="AL1583" s="245"/>
      <c r="AM1583" s="244"/>
      <c r="AN1583" s="244"/>
      <c r="AO1583" s="238">
        <v>-13.32</v>
      </c>
      <c r="AP1583" s="238">
        <v>0.0</v>
      </c>
      <c r="AQ1583" s="235" t="s">
        <v>632</v>
      </c>
      <c r="AR1583" s="243">
        <v>3.71E11</v>
      </c>
      <c r="AS1583" s="235" t="s">
        <v>11171</v>
      </c>
      <c r="AT1583" s="235" t="s">
        <v>16</v>
      </c>
      <c r="AU1583" s="235" t="s">
        <v>634</v>
      </c>
      <c r="AV1583" s="246" t="s">
        <v>635</v>
      </c>
      <c r="AW1583" s="242"/>
      <c r="AX1583" s="242"/>
      <c r="AY1583" s="231"/>
      <c r="AZ1583" s="231"/>
      <c r="BA1583" s="227"/>
      <c r="BB1583" s="231"/>
      <c r="BC1583" s="227"/>
      <c r="BD1583" s="227"/>
      <c r="BE1583" s="227"/>
      <c r="BF1583" s="227"/>
    </row>
    <row r="1584">
      <c r="A1584" s="235" t="s">
        <v>12579</v>
      </c>
      <c r="C1584" s="235" t="s">
        <v>12580</v>
      </c>
      <c r="D1584" s="235" t="s">
        <v>12581</v>
      </c>
      <c r="E1584" s="243">
        <v>6.55E13</v>
      </c>
      <c r="F1584" s="245"/>
      <c r="G1584" s="235" t="s">
        <v>12582</v>
      </c>
      <c r="H1584" s="235" t="s">
        <v>12583</v>
      </c>
      <c r="I1584" s="235" t="s">
        <v>12583</v>
      </c>
      <c r="J1584" s="235" t="s">
        <v>12584</v>
      </c>
      <c r="K1584" s="235" t="s">
        <v>12585</v>
      </c>
      <c r="N1584" s="235" t="s">
        <v>75</v>
      </c>
      <c r="O1584" s="235" t="s">
        <v>2108</v>
      </c>
      <c r="P1584" s="238">
        <v>1.0</v>
      </c>
      <c r="Q1584" s="235" t="s">
        <v>627</v>
      </c>
      <c r="R1584" s="238">
        <v>360.96</v>
      </c>
      <c r="S1584" s="238">
        <v>17.5</v>
      </c>
      <c r="T1584" s="238">
        <v>9.04</v>
      </c>
      <c r="U1584" s="238">
        <v>0.46</v>
      </c>
      <c r="V1584" s="238">
        <v>0.0</v>
      </c>
      <c r="W1584" s="238">
        <v>0.0</v>
      </c>
      <c r="X1584" s="235" t="s">
        <v>628</v>
      </c>
      <c r="Z1584" s="244"/>
      <c r="AA1584" s="244"/>
      <c r="AB1584" s="244"/>
      <c r="AC1584" s="235" t="s">
        <v>678</v>
      </c>
      <c r="AD1584" s="235" t="s">
        <v>679</v>
      </c>
      <c r="AE1584" s="238">
        <v>560100.0</v>
      </c>
      <c r="AF1584" s="235" t="s">
        <v>631</v>
      </c>
      <c r="AG1584" s="244"/>
      <c r="AH1584" s="244"/>
      <c r="AI1584" s="245"/>
      <c r="AJ1584" s="245"/>
      <c r="AK1584" s="245"/>
      <c r="AL1584" s="245"/>
      <c r="AM1584" s="244"/>
      <c r="AN1584" s="244"/>
      <c r="AO1584" s="238">
        <v>-10.83</v>
      </c>
      <c r="AP1584" s="238">
        <v>-9.04</v>
      </c>
      <c r="AQ1584" s="235" t="s">
        <v>632</v>
      </c>
      <c r="AR1584" s="243">
        <v>1.68E11</v>
      </c>
      <c r="AS1584" s="235" t="s">
        <v>11672</v>
      </c>
      <c r="AT1584" s="235" t="s">
        <v>11</v>
      </c>
      <c r="AU1584" s="235" t="s">
        <v>634</v>
      </c>
      <c r="AV1584" s="246" t="s">
        <v>635</v>
      </c>
      <c r="AW1584" s="242"/>
      <c r="AX1584" s="242"/>
      <c r="AY1584" s="231"/>
      <c r="AZ1584" s="231"/>
      <c r="BA1584" s="227"/>
      <c r="BB1584" s="231"/>
      <c r="BC1584" s="227"/>
      <c r="BD1584" s="227"/>
      <c r="BE1584" s="227"/>
      <c r="BF1584" s="227"/>
    </row>
    <row r="1585">
      <c r="A1585" s="235" t="s">
        <v>12579</v>
      </c>
      <c r="C1585" s="235" t="s">
        <v>12580</v>
      </c>
      <c r="D1585" s="235" t="s">
        <v>12586</v>
      </c>
      <c r="E1585" s="243">
        <v>6.55E13</v>
      </c>
      <c r="F1585" s="245"/>
      <c r="G1585" s="235" t="s">
        <v>12582</v>
      </c>
      <c r="H1585" s="235" t="s">
        <v>12583</v>
      </c>
      <c r="I1585" s="235" t="s">
        <v>12583</v>
      </c>
      <c r="J1585" s="235" t="s">
        <v>12584</v>
      </c>
      <c r="K1585" s="235" t="s">
        <v>12585</v>
      </c>
      <c r="N1585" s="235" t="s">
        <v>75</v>
      </c>
      <c r="O1585" s="235" t="s">
        <v>2108</v>
      </c>
      <c r="P1585" s="238">
        <v>1.0</v>
      </c>
      <c r="Q1585" s="235" t="s">
        <v>627</v>
      </c>
      <c r="R1585" s="238">
        <v>360.96</v>
      </c>
      <c r="S1585" s="238">
        <v>17.5</v>
      </c>
      <c r="T1585" s="238">
        <v>9.04</v>
      </c>
      <c r="U1585" s="238">
        <v>0.46</v>
      </c>
      <c r="V1585" s="238">
        <v>0.0</v>
      </c>
      <c r="W1585" s="238">
        <v>0.0</v>
      </c>
      <c r="X1585" s="235" t="s">
        <v>628</v>
      </c>
      <c r="Z1585" s="244"/>
      <c r="AA1585" s="244"/>
      <c r="AB1585" s="244"/>
      <c r="AC1585" s="235" t="s">
        <v>678</v>
      </c>
      <c r="AD1585" s="235" t="s">
        <v>679</v>
      </c>
      <c r="AE1585" s="238">
        <v>560100.0</v>
      </c>
      <c r="AF1585" s="235" t="s">
        <v>631</v>
      </c>
      <c r="AG1585" s="244"/>
      <c r="AH1585" s="244"/>
      <c r="AI1585" s="245"/>
      <c r="AJ1585" s="245"/>
      <c r="AK1585" s="245"/>
      <c r="AL1585" s="245"/>
      <c r="AM1585" s="244"/>
      <c r="AN1585" s="244"/>
      <c r="AO1585" s="238">
        <v>-10.83</v>
      </c>
      <c r="AP1585" s="238">
        <v>-9.04</v>
      </c>
      <c r="AQ1585" s="235" t="s">
        <v>632</v>
      </c>
      <c r="AR1585" s="243">
        <v>1.68E11</v>
      </c>
      <c r="AS1585" s="235" t="s">
        <v>11672</v>
      </c>
      <c r="AT1585" s="235" t="s">
        <v>11</v>
      </c>
      <c r="AU1585" s="235" t="s">
        <v>634</v>
      </c>
      <c r="AV1585" s="246" t="s">
        <v>635</v>
      </c>
      <c r="AW1585" s="242"/>
      <c r="AX1585" s="242"/>
      <c r="AY1585" s="231"/>
      <c r="AZ1585" s="231"/>
      <c r="BA1585" s="227"/>
      <c r="BB1585" s="231"/>
      <c r="BC1585" s="227"/>
      <c r="BD1585" s="227"/>
      <c r="BE1585" s="227"/>
      <c r="BF1585" s="227"/>
    </row>
    <row r="1586">
      <c r="A1586" s="235" t="s">
        <v>12587</v>
      </c>
      <c r="C1586" s="235" t="s">
        <v>12588</v>
      </c>
      <c r="D1586" s="235" t="s">
        <v>12589</v>
      </c>
      <c r="E1586" s="243">
        <v>6.55E13</v>
      </c>
      <c r="F1586" s="245"/>
      <c r="G1586" s="235" t="s">
        <v>12590</v>
      </c>
      <c r="H1586" s="235" t="s">
        <v>12591</v>
      </c>
      <c r="I1586" s="235" t="s">
        <v>12591</v>
      </c>
      <c r="J1586" s="235" t="s">
        <v>12592</v>
      </c>
      <c r="K1586" s="235" t="s">
        <v>12593</v>
      </c>
      <c r="N1586" s="235" t="s">
        <v>82</v>
      </c>
      <c r="O1586" s="235" t="s">
        <v>889</v>
      </c>
      <c r="P1586" s="238">
        <v>1.0</v>
      </c>
      <c r="Q1586" s="235" t="s">
        <v>627</v>
      </c>
      <c r="R1586" s="238">
        <v>246.67</v>
      </c>
      <c r="S1586" s="238">
        <v>12.33</v>
      </c>
      <c r="T1586" s="238">
        <v>0.0</v>
      </c>
      <c r="U1586" s="238">
        <v>0.0</v>
      </c>
      <c r="V1586" s="238">
        <v>0.0</v>
      </c>
      <c r="W1586" s="238">
        <v>0.0</v>
      </c>
      <c r="X1586" s="235" t="s">
        <v>628</v>
      </c>
      <c r="Z1586" s="244"/>
      <c r="AA1586" s="244"/>
      <c r="AB1586" s="244"/>
      <c r="AC1586" s="235" t="s">
        <v>1531</v>
      </c>
      <c r="AD1586" s="235" t="s">
        <v>1151</v>
      </c>
      <c r="AE1586" s="238">
        <v>700075.0</v>
      </c>
      <c r="AF1586" s="235" t="s">
        <v>631</v>
      </c>
      <c r="AG1586" s="244"/>
      <c r="AH1586" s="244"/>
      <c r="AI1586" s="245"/>
      <c r="AJ1586" s="245"/>
      <c r="AK1586" s="245"/>
      <c r="AL1586" s="245"/>
      <c r="AM1586" s="244"/>
      <c r="AN1586" s="244"/>
      <c r="AO1586" s="238">
        <v>0.0</v>
      </c>
      <c r="AP1586" s="238">
        <v>0.0</v>
      </c>
      <c r="AQ1586" s="235" t="s">
        <v>632</v>
      </c>
      <c r="AR1586" s="243">
        <v>2.02E11</v>
      </c>
      <c r="AS1586" s="235" t="s">
        <v>11171</v>
      </c>
      <c r="AT1586" s="235" t="s">
        <v>156</v>
      </c>
      <c r="AU1586" s="235" t="s">
        <v>634</v>
      </c>
      <c r="AV1586" s="246" t="s">
        <v>635</v>
      </c>
      <c r="AW1586" s="242"/>
      <c r="AX1586" s="242"/>
      <c r="AY1586" s="231"/>
      <c r="AZ1586" s="231"/>
      <c r="BA1586" s="227"/>
      <c r="BB1586" s="231"/>
      <c r="BC1586" s="227"/>
      <c r="BD1586" s="227"/>
      <c r="BE1586" s="227"/>
      <c r="BF1586" s="227"/>
    </row>
    <row r="1587">
      <c r="A1587" s="235" t="s">
        <v>12594</v>
      </c>
      <c r="C1587" s="235" t="s">
        <v>12595</v>
      </c>
      <c r="D1587" s="235" t="s">
        <v>12596</v>
      </c>
      <c r="E1587" s="243">
        <v>6.55E13</v>
      </c>
      <c r="F1587" s="245"/>
      <c r="G1587" s="235" t="s">
        <v>12597</v>
      </c>
      <c r="H1587" s="235" t="s">
        <v>12598</v>
      </c>
      <c r="I1587" s="235" t="s">
        <v>12599</v>
      </c>
      <c r="J1587" s="235" t="s">
        <v>12600</v>
      </c>
      <c r="K1587" s="235" t="s">
        <v>12601</v>
      </c>
      <c r="N1587" s="235" t="s">
        <v>989</v>
      </c>
      <c r="O1587" s="235" t="s">
        <v>990</v>
      </c>
      <c r="P1587" s="238">
        <v>1.0</v>
      </c>
      <c r="Q1587" s="235" t="s">
        <v>627</v>
      </c>
      <c r="R1587" s="238">
        <v>256.19</v>
      </c>
      <c r="S1587" s="238">
        <v>12.81</v>
      </c>
      <c r="T1587" s="238">
        <v>0.0</v>
      </c>
      <c r="U1587" s="238">
        <v>0.0</v>
      </c>
      <c r="V1587" s="238">
        <v>0.0</v>
      </c>
      <c r="W1587" s="238">
        <v>0.0</v>
      </c>
      <c r="X1587" s="235" t="s">
        <v>628</v>
      </c>
      <c r="Z1587" s="244"/>
      <c r="AA1587" s="244"/>
      <c r="AB1587" s="244"/>
      <c r="AC1587" s="235" t="s">
        <v>12602</v>
      </c>
      <c r="AD1587" s="235" t="s">
        <v>1086</v>
      </c>
      <c r="AE1587" s="238">
        <v>141421.0</v>
      </c>
      <c r="AF1587" s="235" t="s">
        <v>631</v>
      </c>
      <c r="AG1587" s="244"/>
      <c r="AH1587" s="244"/>
      <c r="AI1587" s="245"/>
      <c r="AJ1587" s="245"/>
      <c r="AK1587" s="245"/>
      <c r="AL1587" s="245"/>
      <c r="AM1587" s="244"/>
      <c r="AN1587" s="244"/>
      <c r="AO1587" s="238">
        <v>0.0</v>
      </c>
      <c r="AP1587" s="238">
        <v>0.0</v>
      </c>
      <c r="AQ1587" s="235" t="s">
        <v>632</v>
      </c>
      <c r="AR1587" s="243">
        <v>3.71E11</v>
      </c>
      <c r="AS1587" s="235" t="s">
        <v>7365</v>
      </c>
      <c r="AT1587" s="235" t="s">
        <v>546</v>
      </c>
      <c r="AU1587" s="235" t="s">
        <v>634</v>
      </c>
      <c r="AV1587" s="246" t="s">
        <v>635</v>
      </c>
      <c r="AW1587" s="242"/>
      <c r="AX1587" s="242"/>
      <c r="AY1587" s="231"/>
      <c r="AZ1587" s="231"/>
      <c r="BA1587" s="227"/>
      <c r="BB1587" s="231"/>
      <c r="BC1587" s="227"/>
      <c r="BD1587" s="227"/>
      <c r="BE1587" s="227"/>
      <c r="BF1587" s="227"/>
    </row>
    <row r="1588">
      <c r="A1588" s="235" t="s">
        <v>12603</v>
      </c>
      <c r="C1588" s="235" t="s">
        <v>12604</v>
      </c>
      <c r="D1588" s="235" t="s">
        <v>12605</v>
      </c>
      <c r="E1588" s="243">
        <v>6.55E13</v>
      </c>
      <c r="F1588" s="245"/>
      <c r="G1588" s="235" t="s">
        <v>12606</v>
      </c>
      <c r="H1588" s="235" t="s">
        <v>12607</v>
      </c>
      <c r="I1588" s="235" t="s">
        <v>12608</v>
      </c>
      <c r="J1588" s="235" t="s">
        <v>12609</v>
      </c>
      <c r="K1588" s="235" t="s">
        <v>12610</v>
      </c>
      <c r="N1588" s="235" t="s">
        <v>104</v>
      </c>
      <c r="O1588" s="235" t="s">
        <v>401</v>
      </c>
      <c r="P1588" s="238">
        <v>1.0</v>
      </c>
      <c r="Q1588" s="235" t="s">
        <v>627</v>
      </c>
      <c r="R1588" s="238">
        <v>246.67</v>
      </c>
      <c r="S1588" s="238">
        <v>12.33</v>
      </c>
      <c r="T1588" s="238">
        <v>0.0</v>
      </c>
      <c r="U1588" s="238">
        <v>0.0</v>
      </c>
      <c r="V1588" s="238">
        <v>0.0</v>
      </c>
      <c r="W1588" s="238">
        <v>0.0</v>
      </c>
      <c r="X1588" s="235" t="s">
        <v>628</v>
      </c>
      <c r="Z1588" s="244"/>
      <c r="AA1588" s="244"/>
      <c r="AB1588" s="244"/>
      <c r="AC1588" s="235" t="s">
        <v>687</v>
      </c>
      <c r="AD1588" s="235" t="s">
        <v>666</v>
      </c>
      <c r="AE1588" s="238">
        <v>600071.0</v>
      </c>
      <c r="AF1588" s="235" t="s">
        <v>631</v>
      </c>
      <c r="AG1588" s="244"/>
      <c r="AH1588" s="244"/>
      <c r="AI1588" s="245"/>
      <c r="AJ1588" s="245"/>
      <c r="AK1588" s="245"/>
      <c r="AL1588" s="245"/>
      <c r="AM1588" s="244"/>
      <c r="AN1588" s="244"/>
      <c r="AO1588" s="238">
        <v>0.0</v>
      </c>
      <c r="AP1588" s="238">
        <v>0.0</v>
      </c>
      <c r="AQ1588" s="235" t="s">
        <v>632</v>
      </c>
      <c r="AR1588" s="243">
        <v>1.68E11</v>
      </c>
      <c r="AS1588" s="235" t="s">
        <v>11171</v>
      </c>
      <c r="AT1588" s="235" t="s">
        <v>11</v>
      </c>
      <c r="AU1588" s="235" t="s">
        <v>634</v>
      </c>
      <c r="AV1588" s="246" t="s">
        <v>635</v>
      </c>
      <c r="AW1588" s="242"/>
      <c r="AX1588" s="242"/>
      <c r="AY1588" s="231"/>
      <c r="AZ1588" s="231"/>
      <c r="BA1588" s="227"/>
      <c r="BB1588" s="231"/>
      <c r="BC1588" s="227"/>
      <c r="BD1588" s="227"/>
      <c r="BE1588" s="227"/>
      <c r="BF1588" s="227"/>
    </row>
    <row r="1589">
      <c r="A1589" s="235" t="s">
        <v>12611</v>
      </c>
      <c r="C1589" s="235" t="s">
        <v>12612</v>
      </c>
      <c r="D1589" s="235" t="s">
        <v>12613</v>
      </c>
      <c r="E1589" s="243">
        <v>6.55E13</v>
      </c>
      <c r="F1589" s="245"/>
      <c r="G1589" s="235" t="s">
        <v>12614</v>
      </c>
      <c r="H1589" s="235" t="s">
        <v>12615</v>
      </c>
      <c r="I1589" s="235" t="s">
        <v>12615</v>
      </c>
      <c r="J1589" s="235" t="s">
        <v>12616</v>
      </c>
      <c r="K1589" s="235" t="s">
        <v>12617</v>
      </c>
      <c r="N1589" s="235" t="s">
        <v>128</v>
      </c>
      <c r="O1589" s="235" t="s">
        <v>2710</v>
      </c>
      <c r="P1589" s="238">
        <v>1.0</v>
      </c>
      <c r="Q1589" s="235" t="s">
        <v>627</v>
      </c>
      <c r="R1589" s="238">
        <v>246.67</v>
      </c>
      <c r="S1589" s="238">
        <v>12.33</v>
      </c>
      <c r="T1589" s="238">
        <v>0.0</v>
      </c>
      <c r="U1589" s="238">
        <v>0.0</v>
      </c>
      <c r="V1589" s="238">
        <v>0.0</v>
      </c>
      <c r="W1589" s="238">
        <v>0.0</v>
      </c>
      <c r="X1589" s="235" t="s">
        <v>628</v>
      </c>
      <c r="Z1589" s="244"/>
      <c r="AA1589" s="244"/>
      <c r="AB1589" s="244"/>
      <c r="AC1589" s="235" t="s">
        <v>1076</v>
      </c>
      <c r="AD1589" s="235" t="s">
        <v>1077</v>
      </c>
      <c r="AE1589" s="238">
        <v>360001.0</v>
      </c>
      <c r="AF1589" s="235" t="s">
        <v>631</v>
      </c>
      <c r="AG1589" s="244"/>
      <c r="AH1589" s="244"/>
      <c r="AI1589" s="245"/>
      <c r="AJ1589" s="245"/>
      <c r="AK1589" s="245"/>
      <c r="AL1589" s="245"/>
      <c r="AM1589" s="244"/>
      <c r="AN1589" s="244"/>
      <c r="AO1589" s="238">
        <v>0.0</v>
      </c>
      <c r="AP1589" s="238">
        <v>0.0</v>
      </c>
      <c r="AQ1589" s="235" t="s">
        <v>632</v>
      </c>
      <c r="AR1589" s="243">
        <v>1.68E11</v>
      </c>
      <c r="AS1589" s="235" t="s">
        <v>11171</v>
      </c>
      <c r="AT1589" s="235" t="s">
        <v>16</v>
      </c>
      <c r="AU1589" s="235" t="s">
        <v>634</v>
      </c>
      <c r="AV1589" s="246" t="s">
        <v>635</v>
      </c>
      <c r="AW1589" s="242"/>
      <c r="AX1589" s="242"/>
      <c r="AY1589" s="231"/>
      <c r="AZ1589" s="231"/>
      <c r="BA1589" s="227"/>
      <c r="BB1589" s="231"/>
      <c r="BC1589" s="227"/>
      <c r="BD1589" s="227"/>
      <c r="BE1589" s="227"/>
      <c r="BF1589" s="227"/>
    </row>
    <row r="1590">
      <c r="A1590" s="235" t="s">
        <v>12618</v>
      </c>
      <c r="C1590" s="235" t="s">
        <v>12619</v>
      </c>
      <c r="D1590" s="235" t="s">
        <v>12620</v>
      </c>
      <c r="E1590" s="243">
        <v>6.55E13</v>
      </c>
      <c r="F1590" s="245"/>
      <c r="G1590" s="235" t="s">
        <v>12621</v>
      </c>
      <c r="H1590" s="235" t="s">
        <v>12622</v>
      </c>
      <c r="I1590" s="235" t="s">
        <v>12622</v>
      </c>
      <c r="J1590" s="235" t="s">
        <v>12623</v>
      </c>
      <c r="K1590" s="235" t="s">
        <v>12624</v>
      </c>
      <c r="N1590" s="235" t="s">
        <v>962</v>
      </c>
      <c r="O1590" s="235" t="s">
        <v>963</v>
      </c>
      <c r="P1590" s="238">
        <v>1.0</v>
      </c>
      <c r="Q1590" s="235" t="s">
        <v>627</v>
      </c>
      <c r="R1590" s="238">
        <v>246.67</v>
      </c>
      <c r="S1590" s="238">
        <v>12.33</v>
      </c>
      <c r="T1590" s="238">
        <v>38.1</v>
      </c>
      <c r="U1590" s="238">
        <v>1.9</v>
      </c>
      <c r="V1590" s="238">
        <v>0.0</v>
      </c>
      <c r="W1590" s="238">
        <v>0.0</v>
      </c>
      <c r="X1590" s="235" t="s">
        <v>628</v>
      </c>
      <c r="Z1590" s="244"/>
      <c r="AA1590" s="244"/>
      <c r="AB1590" s="244"/>
      <c r="AC1590" s="235" t="s">
        <v>12625</v>
      </c>
      <c r="AD1590" s="235" t="s">
        <v>881</v>
      </c>
      <c r="AE1590" s="238">
        <v>768211.0</v>
      </c>
      <c r="AF1590" s="235" t="s">
        <v>631</v>
      </c>
      <c r="AG1590" s="244"/>
      <c r="AH1590" s="244"/>
      <c r="AI1590" s="245"/>
      <c r="AJ1590" s="245"/>
      <c r="AK1590" s="245"/>
      <c r="AL1590" s="245"/>
      <c r="AM1590" s="244"/>
      <c r="AN1590" s="244"/>
      <c r="AO1590" s="238">
        <v>0.0</v>
      </c>
      <c r="AP1590" s="238">
        <v>-38.1</v>
      </c>
      <c r="AQ1590" s="235" t="s">
        <v>632</v>
      </c>
      <c r="AR1590" s="243">
        <v>3.71E11</v>
      </c>
      <c r="AS1590" s="235" t="s">
        <v>6164</v>
      </c>
      <c r="AT1590" s="235" t="s">
        <v>9</v>
      </c>
      <c r="AU1590" s="235" t="s">
        <v>634</v>
      </c>
      <c r="AV1590" s="246" t="s">
        <v>635</v>
      </c>
      <c r="AW1590" s="242"/>
      <c r="AX1590" s="242"/>
      <c r="AY1590" s="231"/>
      <c r="AZ1590" s="231"/>
      <c r="BA1590" s="227"/>
      <c r="BB1590" s="231"/>
      <c r="BC1590" s="227"/>
      <c r="BD1590" s="227"/>
      <c r="BE1590" s="227"/>
      <c r="BF1590" s="227"/>
    </row>
    <row r="1591">
      <c r="A1591" s="235" t="s">
        <v>12626</v>
      </c>
      <c r="C1591" s="235" t="s">
        <v>12627</v>
      </c>
      <c r="D1591" s="235" t="s">
        <v>12628</v>
      </c>
      <c r="E1591" s="243">
        <v>6.55E13</v>
      </c>
      <c r="F1591" s="245"/>
      <c r="G1591" s="235" t="s">
        <v>12629</v>
      </c>
      <c r="H1591" s="235" t="s">
        <v>12630</v>
      </c>
      <c r="I1591" s="235" t="s">
        <v>12630</v>
      </c>
      <c r="J1591" s="235" t="s">
        <v>12631</v>
      </c>
      <c r="K1591" s="235" t="s">
        <v>12632</v>
      </c>
      <c r="N1591" s="235" t="s">
        <v>42</v>
      </c>
      <c r="O1591" s="235" t="s">
        <v>204</v>
      </c>
      <c r="P1591" s="238">
        <v>1.0</v>
      </c>
      <c r="Q1591" s="235" t="s">
        <v>627</v>
      </c>
      <c r="R1591" s="238">
        <v>237.14</v>
      </c>
      <c r="S1591" s="238">
        <v>11.86</v>
      </c>
      <c r="T1591" s="238">
        <v>38.1</v>
      </c>
      <c r="U1591" s="238">
        <v>1.9</v>
      </c>
      <c r="V1591" s="238">
        <v>0.0</v>
      </c>
      <c r="W1591" s="238">
        <v>0.0</v>
      </c>
      <c r="X1591" s="235" t="s">
        <v>628</v>
      </c>
      <c r="Z1591" s="244"/>
      <c r="AA1591" s="244"/>
      <c r="AB1591" s="244"/>
      <c r="AC1591" s="235" t="s">
        <v>697</v>
      </c>
      <c r="AD1591" s="235" t="s">
        <v>698</v>
      </c>
      <c r="AE1591" s="238">
        <v>500079.0</v>
      </c>
      <c r="AF1591" s="235" t="s">
        <v>631</v>
      </c>
      <c r="AG1591" s="244"/>
      <c r="AH1591" s="244"/>
      <c r="AI1591" s="245"/>
      <c r="AJ1591" s="245"/>
      <c r="AK1591" s="245"/>
      <c r="AL1591" s="245"/>
      <c r="AM1591" s="244"/>
      <c r="AN1591" s="244"/>
      <c r="AO1591" s="238">
        <v>0.0</v>
      </c>
      <c r="AP1591" s="238">
        <v>-38.1</v>
      </c>
      <c r="AQ1591" s="235" t="s">
        <v>632</v>
      </c>
      <c r="AR1591" s="243">
        <v>3.71E11</v>
      </c>
      <c r="AS1591" s="235" t="s">
        <v>10017</v>
      </c>
      <c r="AT1591" s="235" t="s">
        <v>11</v>
      </c>
      <c r="AU1591" s="235" t="s">
        <v>634</v>
      </c>
      <c r="AV1591" s="246" t="s">
        <v>635</v>
      </c>
      <c r="AW1591" s="242"/>
      <c r="AX1591" s="242"/>
      <c r="AY1591" s="231"/>
      <c r="AZ1591" s="231"/>
      <c r="BA1591" s="227"/>
      <c r="BB1591" s="231"/>
      <c r="BC1591" s="227"/>
      <c r="BD1591" s="227"/>
      <c r="BE1591" s="227"/>
      <c r="BF1591" s="227"/>
    </row>
    <row r="1592">
      <c r="A1592" s="235" t="s">
        <v>12633</v>
      </c>
      <c r="C1592" s="235" t="s">
        <v>12634</v>
      </c>
      <c r="D1592" s="235" t="s">
        <v>12635</v>
      </c>
      <c r="E1592" s="243">
        <v>6.55E13</v>
      </c>
      <c r="F1592" s="245"/>
      <c r="G1592" s="235" t="s">
        <v>12636</v>
      </c>
      <c r="H1592" s="235" t="s">
        <v>12637</v>
      </c>
      <c r="I1592" s="235" t="s">
        <v>12637</v>
      </c>
      <c r="J1592" s="235" t="s">
        <v>12638</v>
      </c>
      <c r="K1592" s="235" t="s">
        <v>12639</v>
      </c>
      <c r="N1592" s="235" t="s">
        <v>136</v>
      </c>
      <c r="O1592" s="235" t="s">
        <v>256</v>
      </c>
      <c r="P1592" s="238">
        <v>1.0</v>
      </c>
      <c r="Q1592" s="235" t="s">
        <v>627</v>
      </c>
      <c r="R1592" s="238">
        <v>246.66</v>
      </c>
      <c r="S1592" s="238">
        <v>12.34</v>
      </c>
      <c r="T1592" s="238">
        <v>0.0</v>
      </c>
      <c r="U1592" s="238">
        <v>0.0</v>
      </c>
      <c r="V1592" s="238">
        <v>0.0</v>
      </c>
      <c r="W1592" s="238">
        <v>0.0</v>
      </c>
      <c r="X1592" s="235" t="s">
        <v>628</v>
      </c>
      <c r="Z1592" s="244"/>
      <c r="AA1592" s="244"/>
      <c r="AB1592" s="244"/>
      <c r="AC1592" s="235" t="s">
        <v>12640</v>
      </c>
      <c r="AD1592" s="235" t="s">
        <v>666</v>
      </c>
      <c r="AE1592" s="238">
        <v>632402.0</v>
      </c>
      <c r="AF1592" s="235" t="s">
        <v>631</v>
      </c>
      <c r="AG1592" s="244"/>
      <c r="AH1592" s="244"/>
      <c r="AI1592" s="245"/>
      <c r="AJ1592" s="245"/>
      <c r="AK1592" s="245"/>
      <c r="AL1592" s="245"/>
      <c r="AM1592" s="244"/>
      <c r="AN1592" s="244"/>
      <c r="AO1592" s="238">
        <v>0.0</v>
      </c>
      <c r="AP1592" s="238">
        <v>0.0</v>
      </c>
      <c r="AQ1592" s="235" t="s">
        <v>632</v>
      </c>
      <c r="AR1592" s="243">
        <v>3.71E11</v>
      </c>
      <c r="AS1592" s="235" t="s">
        <v>11171</v>
      </c>
      <c r="AT1592" s="235" t="s">
        <v>156</v>
      </c>
      <c r="AU1592" s="235" t="s">
        <v>634</v>
      </c>
      <c r="AV1592" s="246" t="s">
        <v>635</v>
      </c>
      <c r="AW1592" s="242"/>
      <c r="AX1592" s="242"/>
      <c r="AY1592" s="231"/>
      <c r="AZ1592" s="231"/>
      <c r="BA1592" s="227"/>
      <c r="BB1592" s="231"/>
      <c r="BC1592" s="227"/>
      <c r="BD1592" s="227"/>
      <c r="BE1592" s="227"/>
      <c r="BF1592" s="227"/>
    </row>
    <row r="1593">
      <c r="A1593" s="235" t="s">
        <v>12643</v>
      </c>
      <c r="C1593" s="235" t="s">
        <v>12644</v>
      </c>
      <c r="D1593" s="235" t="s">
        <v>12645</v>
      </c>
      <c r="E1593" s="243">
        <v>6.55E13</v>
      </c>
      <c r="F1593" s="245"/>
      <c r="G1593" s="235" t="s">
        <v>12646</v>
      </c>
      <c r="H1593" s="235" t="s">
        <v>12647</v>
      </c>
      <c r="I1593" s="235" t="s">
        <v>12647</v>
      </c>
      <c r="J1593" s="235" t="s">
        <v>12648</v>
      </c>
      <c r="K1593" s="235" t="s">
        <v>12649</v>
      </c>
      <c r="N1593" s="235" t="s">
        <v>68</v>
      </c>
      <c r="O1593" s="235" t="s">
        <v>208</v>
      </c>
      <c r="P1593" s="238">
        <v>1.0</v>
      </c>
      <c r="Q1593" s="235" t="s">
        <v>627</v>
      </c>
      <c r="R1593" s="238">
        <v>246.66</v>
      </c>
      <c r="S1593" s="238">
        <v>12.34</v>
      </c>
      <c r="T1593" s="238">
        <v>0.0</v>
      </c>
      <c r="U1593" s="238">
        <v>0.0</v>
      </c>
      <c r="V1593" s="238">
        <v>0.0</v>
      </c>
      <c r="W1593" s="238">
        <v>0.0</v>
      </c>
      <c r="X1593" s="235" t="s">
        <v>628</v>
      </c>
      <c r="Z1593" s="244"/>
      <c r="AA1593" s="244"/>
      <c r="AB1593" s="244"/>
      <c r="AC1593" s="235" t="s">
        <v>8737</v>
      </c>
      <c r="AD1593" s="235" t="s">
        <v>666</v>
      </c>
      <c r="AE1593" s="238">
        <v>632006.0</v>
      </c>
      <c r="AF1593" s="235" t="s">
        <v>631</v>
      </c>
      <c r="AG1593" s="244"/>
      <c r="AH1593" s="244"/>
      <c r="AI1593" s="245"/>
      <c r="AJ1593" s="245"/>
      <c r="AK1593" s="245"/>
      <c r="AL1593" s="245"/>
      <c r="AM1593" s="244"/>
      <c r="AN1593" s="244"/>
      <c r="AO1593" s="238">
        <v>0.0</v>
      </c>
      <c r="AP1593" s="238">
        <v>0.0</v>
      </c>
      <c r="AQ1593" s="235" t="s">
        <v>632</v>
      </c>
      <c r="AR1593" s="243">
        <v>1.68E11</v>
      </c>
      <c r="AS1593" s="235" t="s">
        <v>11672</v>
      </c>
      <c r="AT1593" s="235" t="s">
        <v>156</v>
      </c>
      <c r="AU1593" s="235" t="s">
        <v>634</v>
      </c>
      <c r="AV1593" s="246" t="s">
        <v>635</v>
      </c>
      <c r="AW1593" s="242"/>
      <c r="AX1593" s="242"/>
      <c r="AY1593" s="231"/>
      <c r="AZ1593" s="231"/>
      <c r="BA1593" s="227"/>
      <c r="BB1593" s="231"/>
      <c r="BC1593" s="227"/>
      <c r="BD1593" s="227"/>
      <c r="BE1593" s="227"/>
      <c r="BF1593" s="227"/>
    </row>
    <row r="1594">
      <c r="A1594" s="235" t="s">
        <v>12650</v>
      </c>
      <c r="C1594" s="235" t="s">
        <v>12651</v>
      </c>
      <c r="D1594" s="235" t="s">
        <v>12652</v>
      </c>
      <c r="E1594" s="243">
        <v>6.55E13</v>
      </c>
      <c r="F1594" s="245"/>
      <c r="G1594" s="235" t="s">
        <v>12653</v>
      </c>
      <c r="H1594" s="235" t="s">
        <v>12654</v>
      </c>
      <c r="I1594" s="235" t="s">
        <v>12654</v>
      </c>
      <c r="J1594" s="235" t="s">
        <v>12655</v>
      </c>
      <c r="K1594" s="235" t="s">
        <v>12656</v>
      </c>
      <c r="N1594" s="235" t="s">
        <v>54</v>
      </c>
      <c r="O1594" s="235" t="s">
        <v>294</v>
      </c>
      <c r="P1594" s="238">
        <v>1.0</v>
      </c>
      <c r="Q1594" s="235" t="s">
        <v>627</v>
      </c>
      <c r="R1594" s="238">
        <v>246.67</v>
      </c>
      <c r="S1594" s="238">
        <v>12.33</v>
      </c>
      <c r="T1594" s="238">
        <v>0.0</v>
      </c>
      <c r="U1594" s="238">
        <v>0.0</v>
      </c>
      <c r="V1594" s="238">
        <v>0.0</v>
      </c>
      <c r="W1594" s="238">
        <v>0.0</v>
      </c>
      <c r="X1594" s="235" t="s">
        <v>628</v>
      </c>
      <c r="Z1594" s="244"/>
      <c r="AA1594" s="244"/>
      <c r="AB1594" s="244"/>
      <c r="AC1594" s="235" t="s">
        <v>697</v>
      </c>
      <c r="AD1594" s="235" t="s">
        <v>698</v>
      </c>
      <c r="AE1594" s="238">
        <v>500072.0</v>
      </c>
      <c r="AF1594" s="235" t="s">
        <v>631</v>
      </c>
      <c r="AG1594" s="244"/>
      <c r="AH1594" s="244"/>
      <c r="AI1594" s="245"/>
      <c r="AJ1594" s="245"/>
      <c r="AK1594" s="245"/>
      <c r="AL1594" s="245"/>
      <c r="AM1594" s="244"/>
      <c r="AN1594" s="244"/>
      <c r="AO1594" s="238">
        <v>0.0</v>
      </c>
      <c r="AP1594" s="238">
        <v>0.0</v>
      </c>
      <c r="AQ1594" s="235" t="s">
        <v>632</v>
      </c>
      <c r="AR1594" s="243">
        <v>1.68E11</v>
      </c>
      <c r="AS1594" s="235" t="s">
        <v>11171</v>
      </c>
      <c r="AT1594" s="235" t="s">
        <v>156</v>
      </c>
      <c r="AU1594" s="235" t="s">
        <v>634</v>
      </c>
      <c r="AV1594" s="246" t="s">
        <v>635</v>
      </c>
      <c r="AW1594" s="242"/>
      <c r="AX1594" s="242"/>
      <c r="AY1594" s="231"/>
      <c r="AZ1594" s="231"/>
      <c r="BA1594" s="227"/>
      <c r="BB1594" s="231"/>
      <c r="BC1594" s="227"/>
      <c r="BD1594" s="227"/>
      <c r="BE1594" s="227"/>
      <c r="BF1594" s="227"/>
    </row>
    <row r="1595">
      <c r="A1595" s="235" t="s">
        <v>12657</v>
      </c>
      <c r="C1595" s="235" t="s">
        <v>12658</v>
      </c>
      <c r="D1595" s="235" t="s">
        <v>12659</v>
      </c>
      <c r="E1595" s="243">
        <v>6.55E13</v>
      </c>
      <c r="F1595" s="245"/>
      <c r="G1595" s="235" t="s">
        <v>12660</v>
      </c>
      <c r="H1595" s="235" t="s">
        <v>12661</v>
      </c>
      <c r="I1595" s="235" t="s">
        <v>12661</v>
      </c>
      <c r="J1595" s="235" t="s">
        <v>12662</v>
      </c>
      <c r="K1595" s="235" t="s">
        <v>12663</v>
      </c>
      <c r="N1595" s="235" t="s">
        <v>152</v>
      </c>
      <c r="O1595" s="235" t="s">
        <v>3192</v>
      </c>
      <c r="P1595" s="238">
        <v>1.0</v>
      </c>
      <c r="Q1595" s="235" t="s">
        <v>627</v>
      </c>
      <c r="R1595" s="238">
        <v>422.88</v>
      </c>
      <c r="S1595" s="238">
        <v>76.12</v>
      </c>
      <c r="T1595" s="238">
        <v>0.0</v>
      </c>
      <c r="U1595" s="238">
        <v>0.0</v>
      </c>
      <c r="V1595" s="238">
        <v>0.0</v>
      </c>
      <c r="W1595" s="238">
        <v>0.0</v>
      </c>
      <c r="X1595" s="235" t="s">
        <v>628</v>
      </c>
      <c r="Z1595" s="244"/>
      <c r="AA1595" s="244"/>
      <c r="AB1595" s="244"/>
      <c r="AC1595" s="235" t="s">
        <v>1613</v>
      </c>
      <c r="AD1595" s="235" t="s">
        <v>630</v>
      </c>
      <c r="AE1595" s="238">
        <v>226010.0</v>
      </c>
      <c r="AF1595" s="235" t="s">
        <v>631</v>
      </c>
      <c r="AG1595" s="244"/>
      <c r="AH1595" s="244"/>
      <c r="AI1595" s="245"/>
      <c r="AJ1595" s="245"/>
      <c r="AK1595" s="245"/>
      <c r="AL1595" s="245"/>
      <c r="AM1595" s="244"/>
      <c r="AN1595" s="244"/>
      <c r="AO1595" s="238">
        <v>0.0</v>
      </c>
      <c r="AP1595" s="238">
        <v>0.0</v>
      </c>
      <c r="AQ1595" s="235" t="s">
        <v>632</v>
      </c>
      <c r="AR1595" s="243">
        <v>2.02E11</v>
      </c>
      <c r="AS1595" s="235" t="s">
        <v>11171</v>
      </c>
      <c r="AT1595" s="235" t="s">
        <v>533</v>
      </c>
      <c r="AU1595" s="235" t="s">
        <v>634</v>
      </c>
      <c r="AV1595" s="246" t="s">
        <v>635</v>
      </c>
      <c r="AW1595" s="242"/>
      <c r="AX1595" s="242"/>
      <c r="AY1595" s="231"/>
      <c r="AZ1595" s="231"/>
      <c r="BA1595" s="227"/>
      <c r="BB1595" s="231"/>
      <c r="BC1595" s="227"/>
      <c r="BD1595" s="227"/>
      <c r="BE1595" s="227"/>
      <c r="BF1595" s="227"/>
    </row>
    <row r="1596">
      <c r="A1596" s="235" t="s">
        <v>12664</v>
      </c>
      <c r="C1596" s="235" t="s">
        <v>12665</v>
      </c>
      <c r="D1596" s="235" t="s">
        <v>12666</v>
      </c>
      <c r="E1596" s="243">
        <v>6.55E13</v>
      </c>
      <c r="F1596" s="245"/>
      <c r="G1596" s="235" t="s">
        <v>12667</v>
      </c>
      <c r="H1596" s="235" t="s">
        <v>12668</v>
      </c>
      <c r="I1596" s="235" t="s">
        <v>12668</v>
      </c>
      <c r="J1596" s="235" t="s">
        <v>12669</v>
      </c>
      <c r="K1596" s="235" t="s">
        <v>12670</v>
      </c>
      <c r="N1596" s="235" t="s">
        <v>154</v>
      </c>
      <c r="O1596" s="235" t="s">
        <v>766</v>
      </c>
      <c r="P1596" s="238">
        <v>1.0</v>
      </c>
      <c r="Q1596" s="235" t="s">
        <v>627</v>
      </c>
      <c r="R1596" s="238">
        <v>465.72</v>
      </c>
      <c r="S1596" s="238">
        <v>23.28</v>
      </c>
      <c r="T1596" s="238">
        <v>0.0</v>
      </c>
      <c r="U1596" s="238">
        <v>0.0</v>
      </c>
      <c r="V1596" s="238">
        <v>0.0</v>
      </c>
      <c r="W1596" s="238">
        <v>0.0</v>
      </c>
      <c r="X1596" s="235" t="s">
        <v>628</v>
      </c>
      <c r="Z1596" s="244"/>
      <c r="AA1596" s="244"/>
      <c r="AB1596" s="244"/>
      <c r="AC1596" s="235" t="s">
        <v>844</v>
      </c>
      <c r="AD1596" s="235" t="s">
        <v>845</v>
      </c>
      <c r="AE1596" s="238">
        <v>411009.0</v>
      </c>
      <c r="AF1596" s="235" t="s">
        <v>631</v>
      </c>
      <c r="AG1596" s="244"/>
      <c r="AH1596" s="244"/>
      <c r="AI1596" s="245"/>
      <c r="AJ1596" s="245"/>
      <c r="AK1596" s="245"/>
      <c r="AL1596" s="245"/>
      <c r="AM1596" s="244"/>
      <c r="AN1596" s="244"/>
      <c r="AO1596" s="238">
        <v>0.0</v>
      </c>
      <c r="AP1596" s="238">
        <v>0.0</v>
      </c>
      <c r="AQ1596" s="235" t="s">
        <v>632</v>
      </c>
      <c r="AR1596" s="243">
        <v>3.71E11</v>
      </c>
      <c r="AS1596" s="235" t="s">
        <v>11171</v>
      </c>
      <c r="AT1596" s="235" t="s">
        <v>17</v>
      </c>
      <c r="AU1596" s="235" t="s">
        <v>634</v>
      </c>
      <c r="AV1596" s="246" t="s">
        <v>635</v>
      </c>
      <c r="AW1596" s="242"/>
      <c r="AX1596" s="242"/>
      <c r="AY1596" s="231"/>
      <c r="AZ1596" s="231"/>
      <c r="BA1596" s="227"/>
      <c r="BB1596" s="231"/>
      <c r="BC1596" s="227"/>
      <c r="BD1596" s="227"/>
      <c r="BE1596" s="227"/>
      <c r="BF1596" s="227"/>
    </row>
    <row r="1597">
      <c r="A1597" s="235" t="s">
        <v>12671</v>
      </c>
      <c r="C1597" s="235" t="s">
        <v>12672</v>
      </c>
      <c r="D1597" s="235" t="s">
        <v>12673</v>
      </c>
      <c r="E1597" s="243">
        <v>6.55E13</v>
      </c>
      <c r="F1597" s="245"/>
      <c r="G1597" s="235" t="s">
        <v>12674</v>
      </c>
      <c r="H1597" s="235" t="s">
        <v>12675</v>
      </c>
      <c r="I1597" s="235" t="s">
        <v>12675</v>
      </c>
      <c r="J1597" s="235" t="s">
        <v>12676</v>
      </c>
      <c r="K1597" s="235" t="s">
        <v>12677</v>
      </c>
      <c r="N1597" s="235" t="s">
        <v>92</v>
      </c>
      <c r="O1597" s="235" t="s">
        <v>248</v>
      </c>
      <c r="P1597" s="238">
        <v>1.0</v>
      </c>
      <c r="Q1597" s="235" t="s">
        <v>627</v>
      </c>
      <c r="R1597" s="238">
        <v>246.67</v>
      </c>
      <c r="S1597" s="238">
        <v>12.33</v>
      </c>
      <c r="T1597" s="238">
        <v>0.0</v>
      </c>
      <c r="U1597" s="238">
        <v>0.0</v>
      </c>
      <c r="V1597" s="238">
        <v>0.0</v>
      </c>
      <c r="W1597" s="238">
        <v>0.0</v>
      </c>
      <c r="X1597" s="235" t="s">
        <v>628</v>
      </c>
      <c r="Z1597" s="244"/>
      <c r="AA1597" s="244"/>
      <c r="AB1597" s="244"/>
      <c r="AC1597" s="235" t="s">
        <v>12678</v>
      </c>
      <c r="AD1597" s="235" t="s">
        <v>1077</v>
      </c>
      <c r="AE1597" s="238">
        <v>362001.0</v>
      </c>
      <c r="AF1597" s="235" t="s">
        <v>631</v>
      </c>
      <c r="AG1597" s="244"/>
      <c r="AH1597" s="244"/>
      <c r="AI1597" s="245"/>
      <c r="AJ1597" s="245"/>
      <c r="AK1597" s="245"/>
      <c r="AL1597" s="245"/>
      <c r="AM1597" s="244"/>
      <c r="AN1597" s="244"/>
      <c r="AO1597" s="238">
        <v>0.0</v>
      </c>
      <c r="AP1597" s="238">
        <v>0.0</v>
      </c>
      <c r="AQ1597" s="235" t="s">
        <v>632</v>
      </c>
      <c r="AR1597" s="243">
        <v>3.71E11</v>
      </c>
      <c r="AS1597" s="235" t="s">
        <v>8807</v>
      </c>
      <c r="AT1597" s="235" t="s">
        <v>13</v>
      </c>
      <c r="AU1597" s="235" t="s">
        <v>634</v>
      </c>
      <c r="AV1597" s="246" t="s">
        <v>635</v>
      </c>
      <c r="AW1597" s="242"/>
      <c r="AX1597" s="242"/>
      <c r="AY1597" s="231"/>
      <c r="AZ1597" s="231"/>
      <c r="BA1597" s="227"/>
      <c r="BB1597" s="231"/>
      <c r="BC1597" s="227"/>
      <c r="BD1597" s="227"/>
      <c r="BE1597" s="227"/>
      <c r="BF1597" s="227"/>
    </row>
    <row r="1598">
      <c r="A1598" s="235" t="s">
        <v>12679</v>
      </c>
      <c r="C1598" s="235" t="s">
        <v>12680</v>
      </c>
      <c r="D1598" s="235" t="s">
        <v>12681</v>
      </c>
      <c r="E1598" s="243">
        <v>6.55E13</v>
      </c>
      <c r="F1598" s="245"/>
      <c r="G1598" s="235" t="s">
        <v>12682</v>
      </c>
      <c r="H1598" s="235" t="s">
        <v>12683</v>
      </c>
      <c r="I1598" s="235" t="s">
        <v>12683</v>
      </c>
      <c r="J1598" s="235" t="s">
        <v>12684</v>
      </c>
      <c r="K1598" s="235" t="s">
        <v>12685</v>
      </c>
      <c r="N1598" s="235" t="s">
        <v>54</v>
      </c>
      <c r="O1598" s="235" t="s">
        <v>294</v>
      </c>
      <c r="P1598" s="238">
        <v>1.0</v>
      </c>
      <c r="Q1598" s="235" t="s">
        <v>627</v>
      </c>
      <c r="R1598" s="238">
        <v>246.66</v>
      </c>
      <c r="S1598" s="238">
        <v>12.1</v>
      </c>
      <c r="T1598" s="238">
        <v>0.0</v>
      </c>
      <c r="U1598" s="238">
        <v>0.0</v>
      </c>
      <c r="V1598" s="238">
        <v>0.0</v>
      </c>
      <c r="W1598" s="238">
        <v>0.0</v>
      </c>
      <c r="X1598" s="235" t="s">
        <v>628</v>
      </c>
      <c r="Z1598" s="244"/>
      <c r="AA1598" s="244"/>
      <c r="AB1598" s="244"/>
      <c r="AC1598" s="235" t="s">
        <v>10769</v>
      </c>
      <c r="AD1598" s="235" t="s">
        <v>845</v>
      </c>
      <c r="AE1598" s="238">
        <v>422003.0</v>
      </c>
      <c r="AF1598" s="235" t="s">
        <v>631</v>
      </c>
      <c r="AG1598" s="244"/>
      <c r="AH1598" s="244"/>
      <c r="AI1598" s="245"/>
      <c r="AJ1598" s="245"/>
      <c r="AK1598" s="245"/>
      <c r="AL1598" s="245"/>
      <c r="AM1598" s="244"/>
      <c r="AN1598" s="244"/>
      <c r="AO1598" s="238">
        <v>-4.94</v>
      </c>
      <c r="AP1598" s="238">
        <v>0.0</v>
      </c>
      <c r="AQ1598" s="235" t="s">
        <v>632</v>
      </c>
      <c r="AR1598" s="243">
        <v>3.71E11</v>
      </c>
      <c r="AS1598" s="235" t="s">
        <v>11171</v>
      </c>
      <c r="AT1598" s="235" t="s">
        <v>17</v>
      </c>
      <c r="AU1598" s="235" t="s">
        <v>634</v>
      </c>
      <c r="AV1598" s="246" t="s">
        <v>635</v>
      </c>
      <c r="AW1598" s="242"/>
      <c r="AX1598" s="242"/>
      <c r="AY1598" s="231"/>
      <c r="AZ1598" s="231"/>
      <c r="BA1598" s="227"/>
      <c r="BB1598" s="231"/>
      <c r="BC1598" s="227"/>
      <c r="BD1598" s="227"/>
      <c r="BE1598" s="227"/>
      <c r="BF1598" s="227"/>
    </row>
    <row r="1599">
      <c r="A1599" s="235" t="s">
        <v>12686</v>
      </c>
      <c r="C1599" s="235" t="s">
        <v>12687</v>
      </c>
      <c r="D1599" s="235" t="s">
        <v>12688</v>
      </c>
      <c r="E1599" s="243">
        <v>6.55E13</v>
      </c>
      <c r="F1599" s="245"/>
      <c r="G1599" s="235" t="s">
        <v>12689</v>
      </c>
      <c r="H1599" s="235" t="s">
        <v>12690</v>
      </c>
      <c r="I1599" s="235" t="s">
        <v>12690</v>
      </c>
      <c r="J1599" s="235" t="s">
        <v>12691</v>
      </c>
      <c r="K1599" s="235" t="s">
        <v>12692</v>
      </c>
      <c r="N1599" s="235" t="s">
        <v>130</v>
      </c>
      <c r="O1599" s="235" t="s">
        <v>707</v>
      </c>
      <c r="P1599" s="238">
        <v>1.0</v>
      </c>
      <c r="Q1599" s="235" t="s">
        <v>627</v>
      </c>
      <c r="R1599" s="238">
        <v>246.66</v>
      </c>
      <c r="S1599" s="238">
        <v>12.34</v>
      </c>
      <c r="T1599" s="238">
        <v>0.0</v>
      </c>
      <c r="U1599" s="238">
        <v>0.0</v>
      </c>
      <c r="V1599" s="238">
        <v>0.0</v>
      </c>
      <c r="W1599" s="238">
        <v>0.0</v>
      </c>
      <c r="X1599" s="235" t="s">
        <v>628</v>
      </c>
      <c r="Z1599" s="244"/>
      <c r="AA1599" s="244"/>
      <c r="AB1599" s="244"/>
      <c r="AC1599" s="235" t="s">
        <v>1456</v>
      </c>
      <c r="AD1599" s="235" t="s">
        <v>928</v>
      </c>
      <c r="AE1599" s="238">
        <v>122018.0</v>
      </c>
      <c r="AF1599" s="235" t="s">
        <v>631</v>
      </c>
      <c r="AG1599" s="244"/>
      <c r="AH1599" s="244"/>
      <c r="AI1599" s="245"/>
      <c r="AJ1599" s="245"/>
      <c r="AK1599" s="245"/>
      <c r="AL1599" s="245"/>
      <c r="AM1599" s="244"/>
      <c r="AN1599" s="244"/>
      <c r="AO1599" s="238">
        <v>0.0</v>
      </c>
      <c r="AP1599" s="238">
        <v>0.0</v>
      </c>
      <c r="AQ1599" s="235" t="s">
        <v>632</v>
      </c>
      <c r="AR1599" s="243">
        <v>1.68E11</v>
      </c>
      <c r="AS1599" s="235" t="s">
        <v>12693</v>
      </c>
      <c r="AT1599" s="235" t="s">
        <v>14</v>
      </c>
      <c r="AU1599" s="235" t="s">
        <v>634</v>
      </c>
      <c r="AV1599" s="246" t="s">
        <v>635</v>
      </c>
      <c r="AW1599" s="242"/>
      <c r="AX1599" s="242"/>
      <c r="AY1599" s="231"/>
      <c r="AZ1599" s="231"/>
      <c r="BA1599" s="227"/>
      <c r="BB1599" s="231"/>
      <c r="BC1599" s="227"/>
      <c r="BD1599" s="227"/>
      <c r="BE1599" s="227"/>
      <c r="BF1599" s="227"/>
    </row>
    <row r="1600">
      <c r="A1600" s="235" t="s">
        <v>12694</v>
      </c>
      <c r="C1600" s="235" t="s">
        <v>12695</v>
      </c>
      <c r="D1600" s="235" t="s">
        <v>12696</v>
      </c>
      <c r="E1600" s="243">
        <v>6.53E13</v>
      </c>
      <c r="F1600" s="245"/>
      <c r="G1600" s="235" t="s">
        <v>12697</v>
      </c>
      <c r="H1600" s="235" t="s">
        <v>12698</v>
      </c>
      <c r="I1600" s="235" t="s">
        <v>12698</v>
      </c>
      <c r="J1600" s="235" t="s">
        <v>12699</v>
      </c>
      <c r="K1600" s="235" t="s">
        <v>12700</v>
      </c>
      <c r="N1600" s="235" t="s">
        <v>92</v>
      </c>
      <c r="O1600" s="235" t="s">
        <v>248</v>
      </c>
      <c r="P1600" s="238">
        <v>1.0</v>
      </c>
      <c r="Q1600" s="235" t="s">
        <v>627</v>
      </c>
      <c r="R1600" s="238">
        <v>270.48</v>
      </c>
      <c r="S1600" s="238">
        <v>13.52</v>
      </c>
      <c r="T1600" s="238">
        <v>0.0</v>
      </c>
      <c r="U1600" s="238">
        <v>0.0</v>
      </c>
      <c r="V1600" s="238">
        <v>0.0</v>
      </c>
      <c r="W1600" s="238">
        <v>0.0</v>
      </c>
      <c r="X1600" s="235" t="s">
        <v>628</v>
      </c>
      <c r="Z1600" s="244"/>
      <c r="AA1600" s="244"/>
      <c r="AB1600" s="244"/>
      <c r="AC1600" s="235" t="s">
        <v>844</v>
      </c>
      <c r="AD1600" s="235" t="s">
        <v>845</v>
      </c>
      <c r="AE1600" s="238">
        <v>411027.0</v>
      </c>
      <c r="AF1600" s="235" t="s">
        <v>631</v>
      </c>
      <c r="AG1600" s="244"/>
      <c r="AH1600" s="244"/>
      <c r="AI1600" s="245"/>
      <c r="AJ1600" s="245"/>
      <c r="AK1600" s="245"/>
      <c r="AL1600" s="245"/>
      <c r="AM1600" s="244"/>
      <c r="AN1600" s="244"/>
      <c r="AO1600" s="238">
        <v>0.0</v>
      </c>
      <c r="AP1600" s="238">
        <v>0.0</v>
      </c>
      <c r="AQ1600" s="235" t="s">
        <v>632</v>
      </c>
      <c r="AR1600" s="243">
        <v>1.68E11</v>
      </c>
      <c r="AS1600" s="235" t="s">
        <v>11171</v>
      </c>
      <c r="AT1600" s="235" t="s">
        <v>16</v>
      </c>
      <c r="AU1600" s="235" t="s">
        <v>634</v>
      </c>
      <c r="AV1600" s="246" t="s">
        <v>635</v>
      </c>
      <c r="AW1600" s="242"/>
      <c r="AX1600" s="242"/>
      <c r="AY1600" s="231"/>
      <c r="AZ1600" s="231"/>
      <c r="BA1600" s="227"/>
      <c r="BB1600" s="231"/>
      <c r="BC1600" s="227"/>
      <c r="BD1600" s="227"/>
      <c r="BE1600" s="227"/>
      <c r="BF1600" s="227"/>
    </row>
    <row r="1601">
      <c r="A1601" s="235" t="s">
        <v>12701</v>
      </c>
      <c r="C1601" s="235" t="s">
        <v>12702</v>
      </c>
      <c r="D1601" s="235" t="s">
        <v>12703</v>
      </c>
      <c r="E1601" s="243">
        <v>6.55E13</v>
      </c>
      <c r="F1601" s="245"/>
      <c r="G1601" s="235" t="s">
        <v>12704</v>
      </c>
      <c r="H1601" s="235" t="s">
        <v>12705</v>
      </c>
      <c r="I1601" s="235" t="s">
        <v>12705</v>
      </c>
      <c r="J1601" s="235" t="s">
        <v>12706</v>
      </c>
      <c r="K1601" s="235" t="s">
        <v>12707</v>
      </c>
      <c r="N1601" s="235" t="s">
        <v>51</v>
      </c>
      <c r="O1601" s="235" t="s">
        <v>273</v>
      </c>
      <c r="P1601" s="238">
        <v>1.0</v>
      </c>
      <c r="Q1601" s="235" t="s">
        <v>627</v>
      </c>
      <c r="R1601" s="238">
        <v>237.14</v>
      </c>
      <c r="S1601" s="238">
        <v>11.86</v>
      </c>
      <c r="T1601" s="238">
        <v>0.0</v>
      </c>
      <c r="U1601" s="238">
        <v>0.0</v>
      </c>
      <c r="V1601" s="238">
        <v>0.0</v>
      </c>
      <c r="W1601" s="238">
        <v>0.0</v>
      </c>
      <c r="X1601" s="235" t="s">
        <v>628</v>
      </c>
      <c r="Z1601" s="244"/>
      <c r="AA1601" s="244"/>
      <c r="AB1601" s="244"/>
      <c r="AC1601" s="235" t="s">
        <v>12708</v>
      </c>
      <c r="AD1601" s="235" t="s">
        <v>833</v>
      </c>
      <c r="AE1601" s="238">
        <v>522265.0</v>
      </c>
      <c r="AF1601" s="235" t="s">
        <v>631</v>
      </c>
      <c r="AG1601" s="244"/>
      <c r="AH1601" s="244"/>
      <c r="AI1601" s="245"/>
      <c r="AJ1601" s="245"/>
      <c r="AK1601" s="245"/>
      <c r="AL1601" s="245"/>
      <c r="AM1601" s="244"/>
      <c r="AN1601" s="244"/>
      <c r="AO1601" s="238">
        <v>0.0</v>
      </c>
      <c r="AP1601" s="238">
        <v>0.0</v>
      </c>
      <c r="AQ1601" s="235" t="s">
        <v>632</v>
      </c>
      <c r="AR1601" s="243">
        <v>3.71E11</v>
      </c>
      <c r="AS1601" s="235" t="s">
        <v>10017</v>
      </c>
      <c r="AT1601" s="235" t="s">
        <v>156</v>
      </c>
      <c r="AU1601" s="235" t="s">
        <v>634</v>
      </c>
      <c r="AV1601" s="246" t="s">
        <v>635</v>
      </c>
      <c r="AW1601" s="242"/>
      <c r="AX1601" s="242"/>
      <c r="AY1601" s="231"/>
      <c r="AZ1601" s="231"/>
      <c r="BA1601" s="227"/>
      <c r="BB1601" s="231"/>
      <c r="BC1601" s="227"/>
      <c r="BD1601" s="227"/>
      <c r="BE1601" s="227"/>
      <c r="BF1601" s="227"/>
    </row>
    <row r="1602">
      <c r="A1602" s="235" t="s">
        <v>12709</v>
      </c>
      <c r="C1602" s="235" t="s">
        <v>12710</v>
      </c>
      <c r="D1602" s="235" t="s">
        <v>12711</v>
      </c>
      <c r="E1602" s="243">
        <v>6.55E13</v>
      </c>
      <c r="F1602" s="245"/>
      <c r="G1602" s="235" t="s">
        <v>12712</v>
      </c>
      <c r="H1602" s="235" t="s">
        <v>12713</v>
      </c>
      <c r="I1602" s="235" t="s">
        <v>12713</v>
      </c>
      <c r="J1602" s="235" t="s">
        <v>12714</v>
      </c>
      <c r="K1602" s="235" t="s">
        <v>12715</v>
      </c>
      <c r="N1602" s="235" t="s">
        <v>42</v>
      </c>
      <c r="O1602" s="235" t="s">
        <v>204</v>
      </c>
      <c r="P1602" s="238">
        <v>1.0</v>
      </c>
      <c r="Q1602" s="235" t="s">
        <v>627</v>
      </c>
      <c r="R1602" s="238">
        <v>0.0</v>
      </c>
      <c r="S1602" s="238">
        <v>0.0</v>
      </c>
      <c r="T1602" s="238">
        <v>0.0</v>
      </c>
      <c r="U1602" s="238">
        <v>0.0</v>
      </c>
      <c r="V1602" s="238">
        <v>0.0</v>
      </c>
      <c r="W1602" s="238">
        <v>0.0</v>
      </c>
      <c r="X1602" s="235" t="s">
        <v>628</v>
      </c>
      <c r="Z1602" s="244"/>
      <c r="AA1602" s="244"/>
      <c r="AB1602" s="244"/>
      <c r="AC1602" s="235" t="s">
        <v>697</v>
      </c>
      <c r="AD1602" s="235" t="s">
        <v>698</v>
      </c>
      <c r="AE1602" s="238">
        <v>500085.0</v>
      </c>
      <c r="AF1602" s="235" t="s">
        <v>631</v>
      </c>
      <c r="AG1602" s="244"/>
      <c r="AH1602" s="244"/>
      <c r="AI1602" s="245"/>
      <c r="AJ1602" s="245"/>
      <c r="AK1602" s="245"/>
      <c r="AL1602" s="245"/>
      <c r="AM1602" s="244"/>
      <c r="AN1602" s="244"/>
      <c r="AO1602" s="238">
        <v>0.0</v>
      </c>
      <c r="AP1602" s="238">
        <v>0.0</v>
      </c>
      <c r="AQ1602" s="235" t="s">
        <v>632</v>
      </c>
      <c r="AR1602" s="243">
        <v>1.68E11</v>
      </c>
      <c r="AS1602" s="235" t="s">
        <v>11171</v>
      </c>
      <c r="AT1602" s="235" t="s">
        <v>156</v>
      </c>
      <c r="AU1602" s="235" t="s">
        <v>634</v>
      </c>
      <c r="AV1602" s="246" t="s">
        <v>635</v>
      </c>
      <c r="AW1602" s="242"/>
      <c r="AX1602" s="242"/>
      <c r="AY1602" s="231"/>
      <c r="AZ1602" s="231"/>
      <c r="BA1602" s="227"/>
      <c r="BB1602" s="231"/>
      <c r="BC1602" s="227"/>
      <c r="BD1602" s="227"/>
      <c r="BE1602" s="227"/>
      <c r="BF1602" s="227"/>
    </row>
    <row r="1603">
      <c r="A1603" s="235" t="s">
        <v>12716</v>
      </c>
      <c r="C1603" s="235" t="s">
        <v>12717</v>
      </c>
      <c r="D1603" s="235" t="s">
        <v>12718</v>
      </c>
      <c r="E1603" s="243">
        <v>6.55E13</v>
      </c>
      <c r="F1603" s="245"/>
      <c r="G1603" s="235" t="s">
        <v>12719</v>
      </c>
      <c r="H1603" s="235" t="s">
        <v>12720</v>
      </c>
      <c r="I1603" s="235" t="s">
        <v>12720</v>
      </c>
      <c r="J1603" s="235" t="s">
        <v>12721</v>
      </c>
      <c r="K1603" s="235" t="s">
        <v>12722</v>
      </c>
      <c r="N1603" s="235" t="s">
        <v>127</v>
      </c>
      <c r="O1603" s="235" t="s">
        <v>794</v>
      </c>
      <c r="P1603" s="238">
        <v>1.0</v>
      </c>
      <c r="Q1603" s="235" t="s">
        <v>627</v>
      </c>
      <c r="R1603" s="238">
        <v>246.66</v>
      </c>
      <c r="S1603" s="238">
        <v>12.34</v>
      </c>
      <c r="T1603" s="238">
        <v>0.0</v>
      </c>
      <c r="U1603" s="238">
        <v>0.0</v>
      </c>
      <c r="V1603" s="238">
        <v>0.0</v>
      </c>
      <c r="W1603" s="238">
        <v>0.0</v>
      </c>
      <c r="X1603" s="235" t="s">
        <v>628</v>
      </c>
      <c r="Z1603" s="244"/>
      <c r="AA1603" s="244"/>
      <c r="AB1603" s="244"/>
      <c r="AC1603" s="235" t="s">
        <v>1058</v>
      </c>
      <c r="AD1603" s="235" t="s">
        <v>845</v>
      </c>
      <c r="AE1603" s="238">
        <v>400064.0</v>
      </c>
      <c r="AF1603" s="235" t="s">
        <v>631</v>
      </c>
      <c r="AG1603" s="244"/>
      <c r="AH1603" s="244"/>
      <c r="AI1603" s="245"/>
      <c r="AJ1603" s="245"/>
      <c r="AK1603" s="245"/>
      <c r="AL1603" s="245"/>
      <c r="AM1603" s="244"/>
      <c r="AN1603" s="244"/>
      <c r="AO1603" s="238">
        <v>0.0</v>
      </c>
      <c r="AP1603" s="238">
        <v>0.0</v>
      </c>
      <c r="AQ1603" s="235" t="s">
        <v>632</v>
      </c>
      <c r="AR1603" s="243">
        <v>3.71E11</v>
      </c>
      <c r="AS1603" s="235" t="s">
        <v>11171</v>
      </c>
      <c r="AT1603" s="235" t="s">
        <v>17</v>
      </c>
      <c r="AU1603" s="235" t="s">
        <v>634</v>
      </c>
      <c r="AV1603" s="246" t="s">
        <v>635</v>
      </c>
      <c r="AW1603" s="242"/>
      <c r="AX1603" s="242"/>
      <c r="AY1603" s="231"/>
      <c r="AZ1603" s="231"/>
      <c r="BA1603" s="227"/>
      <c r="BB1603" s="231"/>
      <c r="BC1603" s="227"/>
      <c r="BD1603" s="227"/>
      <c r="BE1603" s="227"/>
      <c r="BF1603" s="227"/>
    </row>
    <row r="1604">
      <c r="A1604" s="235" t="s">
        <v>12723</v>
      </c>
      <c r="C1604" s="235" t="s">
        <v>12724</v>
      </c>
      <c r="D1604" s="235" t="s">
        <v>12725</v>
      </c>
      <c r="E1604" s="243">
        <v>6.55E13</v>
      </c>
      <c r="F1604" s="245"/>
      <c r="G1604" s="235" t="s">
        <v>12726</v>
      </c>
      <c r="H1604" s="235" t="s">
        <v>12727</v>
      </c>
      <c r="I1604" s="235" t="s">
        <v>12727</v>
      </c>
      <c r="J1604" s="235" t="s">
        <v>12728</v>
      </c>
      <c r="K1604" s="235" t="s">
        <v>12729</v>
      </c>
      <c r="N1604" s="235" t="s">
        <v>42</v>
      </c>
      <c r="O1604" s="235" t="s">
        <v>204</v>
      </c>
      <c r="P1604" s="238">
        <v>1.0</v>
      </c>
      <c r="Q1604" s="235" t="s">
        <v>627</v>
      </c>
      <c r="R1604" s="238">
        <v>237.14</v>
      </c>
      <c r="S1604" s="238">
        <v>11.86</v>
      </c>
      <c r="T1604" s="238">
        <v>0.0</v>
      </c>
      <c r="U1604" s="238">
        <v>0.0</v>
      </c>
      <c r="V1604" s="238">
        <v>0.0</v>
      </c>
      <c r="W1604" s="238">
        <v>0.0</v>
      </c>
      <c r="X1604" s="235" t="s">
        <v>628</v>
      </c>
      <c r="Z1604" s="244"/>
      <c r="AA1604" s="244"/>
      <c r="AB1604" s="244"/>
      <c r="AC1604" s="235" t="s">
        <v>12730</v>
      </c>
      <c r="AD1604" s="235" t="s">
        <v>666</v>
      </c>
      <c r="AE1604" s="238">
        <v>621652.0</v>
      </c>
      <c r="AF1604" s="235" t="s">
        <v>631</v>
      </c>
      <c r="AG1604" s="244"/>
      <c r="AH1604" s="244"/>
      <c r="AI1604" s="245"/>
      <c r="AJ1604" s="245"/>
      <c r="AK1604" s="245"/>
      <c r="AL1604" s="245"/>
      <c r="AM1604" s="244"/>
      <c r="AN1604" s="244"/>
      <c r="AO1604" s="238">
        <v>0.0</v>
      </c>
      <c r="AP1604" s="238">
        <v>0.0</v>
      </c>
      <c r="AQ1604" s="235" t="s">
        <v>1328</v>
      </c>
      <c r="AR1604" s="243">
        <v>1.34E13</v>
      </c>
      <c r="AS1604" s="235" t="s">
        <v>6164</v>
      </c>
      <c r="AT1604" s="235" t="s">
        <v>155</v>
      </c>
      <c r="AU1604" s="235" t="s">
        <v>634</v>
      </c>
      <c r="AV1604" s="246" t="s">
        <v>635</v>
      </c>
      <c r="AW1604" s="242"/>
      <c r="AX1604" s="242"/>
      <c r="AY1604" s="231"/>
      <c r="AZ1604" s="231"/>
      <c r="BA1604" s="227"/>
      <c r="BB1604" s="231"/>
      <c r="BC1604" s="227"/>
      <c r="BD1604" s="227"/>
      <c r="BE1604" s="227"/>
      <c r="BF1604" s="227"/>
    </row>
    <row r="1605">
      <c r="A1605" s="235" t="s">
        <v>12731</v>
      </c>
      <c r="C1605" s="235" t="s">
        <v>12732</v>
      </c>
      <c r="D1605" s="235" t="s">
        <v>12733</v>
      </c>
      <c r="E1605" s="243">
        <v>6.55E13</v>
      </c>
      <c r="F1605" s="245"/>
      <c r="G1605" s="235" t="s">
        <v>12734</v>
      </c>
      <c r="H1605" s="235" t="s">
        <v>12735</v>
      </c>
      <c r="I1605" s="235" t="s">
        <v>12735</v>
      </c>
      <c r="J1605" s="235" t="s">
        <v>12736</v>
      </c>
      <c r="K1605" s="235" t="s">
        <v>12737</v>
      </c>
      <c r="N1605" s="235" t="s">
        <v>127</v>
      </c>
      <c r="O1605" s="235" t="s">
        <v>794</v>
      </c>
      <c r="P1605" s="238">
        <v>1.0</v>
      </c>
      <c r="Q1605" s="235" t="s">
        <v>627</v>
      </c>
      <c r="R1605" s="238">
        <v>246.67</v>
      </c>
      <c r="S1605" s="238">
        <v>12.33</v>
      </c>
      <c r="T1605" s="238">
        <v>0.0</v>
      </c>
      <c r="U1605" s="238">
        <v>0.0</v>
      </c>
      <c r="V1605" s="238">
        <v>0.0</v>
      </c>
      <c r="W1605" s="238">
        <v>0.0</v>
      </c>
      <c r="X1605" s="235" t="s">
        <v>628</v>
      </c>
      <c r="Z1605" s="244"/>
      <c r="AA1605" s="244"/>
      <c r="AB1605" s="244"/>
      <c r="AC1605" s="235" t="s">
        <v>3872</v>
      </c>
      <c r="AD1605" s="235" t="s">
        <v>666</v>
      </c>
      <c r="AE1605" s="238">
        <v>601301.0</v>
      </c>
      <c r="AF1605" s="235" t="s">
        <v>631</v>
      </c>
      <c r="AG1605" s="244"/>
      <c r="AH1605" s="244"/>
      <c r="AI1605" s="245"/>
      <c r="AJ1605" s="245"/>
      <c r="AK1605" s="245"/>
      <c r="AL1605" s="245"/>
      <c r="AM1605" s="244"/>
      <c r="AN1605" s="244"/>
      <c r="AO1605" s="238">
        <v>0.0</v>
      </c>
      <c r="AP1605" s="238">
        <v>0.0</v>
      </c>
      <c r="AQ1605" s="235" t="s">
        <v>1356</v>
      </c>
      <c r="AR1605" s="247" t="s">
        <v>12738</v>
      </c>
      <c r="AS1605" s="235" t="s">
        <v>4697</v>
      </c>
      <c r="AT1605" s="235" t="s">
        <v>9</v>
      </c>
      <c r="AU1605" s="235" t="s">
        <v>634</v>
      </c>
      <c r="AV1605" s="246" t="s">
        <v>635</v>
      </c>
      <c r="AW1605" s="242"/>
      <c r="AX1605" s="242"/>
      <c r="AY1605" s="231"/>
      <c r="AZ1605" s="231"/>
      <c r="BA1605" s="227"/>
      <c r="BB1605" s="231"/>
      <c r="BC1605" s="227"/>
      <c r="BD1605" s="227"/>
      <c r="BE1605" s="227"/>
      <c r="BF1605" s="227"/>
    </row>
    <row r="1606">
      <c r="A1606" s="235" t="s">
        <v>12739</v>
      </c>
      <c r="C1606" s="235" t="s">
        <v>12740</v>
      </c>
      <c r="D1606" s="235" t="s">
        <v>12741</v>
      </c>
      <c r="E1606" s="243">
        <v>6.55E13</v>
      </c>
      <c r="F1606" s="245"/>
      <c r="G1606" s="235" t="s">
        <v>12742</v>
      </c>
      <c r="H1606" s="235" t="s">
        <v>12743</v>
      </c>
      <c r="I1606" s="235" t="s">
        <v>12744</v>
      </c>
      <c r="J1606" s="235" t="s">
        <v>12745</v>
      </c>
      <c r="K1606" s="235" t="s">
        <v>12746</v>
      </c>
      <c r="N1606" s="235" t="s">
        <v>141</v>
      </c>
      <c r="O1606" s="235" t="s">
        <v>342</v>
      </c>
      <c r="P1606" s="238">
        <v>1.0</v>
      </c>
      <c r="Q1606" s="235" t="s">
        <v>627</v>
      </c>
      <c r="R1606" s="238">
        <v>246.67</v>
      </c>
      <c r="S1606" s="238">
        <v>12.33</v>
      </c>
      <c r="T1606" s="238">
        <v>0.0</v>
      </c>
      <c r="U1606" s="238">
        <v>0.0</v>
      </c>
      <c r="V1606" s="238">
        <v>0.0</v>
      </c>
      <c r="W1606" s="238">
        <v>0.0</v>
      </c>
      <c r="X1606" s="235" t="s">
        <v>628</v>
      </c>
      <c r="Z1606" s="244"/>
      <c r="AA1606" s="244"/>
      <c r="AB1606" s="244"/>
      <c r="AC1606" s="235" t="s">
        <v>12747</v>
      </c>
      <c r="AD1606" s="235" t="s">
        <v>1151</v>
      </c>
      <c r="AE1606" s="238">
        <v>712149.0</v>
      </c>
      <c r="AF1606" s="235" t="s">
        <v>631</v>
      </c>
      <c r="AG1606" s="244"/>
      <c r="AH1606" s="244"/>
      <c r="AI1606" s="245"/>
      <c r="AJ1606" s="245"/>
      <c r="AK1606" s="245"/>
      <c r="AL1606" s="245"/>
      <c r="AM1606" s="244"/>
      <c r="AN1606" s="244"/>
      <c r="AO1606" s="238">
        <v>0.0</v>
      </c>
      <c r="AP1606" s="238">
        <v>0.0</v>
      </c>
      <c r="AQ1606" s="235" t="s">
        <v>632</v>
      </c>
      <c r="AR1606" s="243">
        <v>3.71E11</v>
      </c>
      <c r="AS1606" s="235" t="s">
        <v>8807</v>
      </c>
      <c r="AT1606" s="235" t="s">
        <v>533</v>
      </c>
      <c r="AU1606" s="235" t="s">
        <v>634</v>
      </c>
      <c r="AV1606" s="246" t="s">
        <v>635</v>
      </c>
      <c r="AW1606" s="242"/>
      <c r="AX1606" s="242"/>
      <c r="AY1606" s="231"/>
      <c r="AZ1606" s="231"/>
      <c r="BA1606" s="227"/>
      <c r="BB1606" s="231"/>
      <c r="BC1606" s="227"/>
      <c r="BD1606" s="227"/>
      <c r="BE1606" s="227"/>
      <c r="BF1606" s="227"/>
    </row>
    <row r="1607">
      <c r="A1607" s="235" t="s">
        <v>12748</v>
      </c>
      <c r="C1607" s="235" t="s">
        <v>12749</v>
      </c>
      <c r="D1607" s="235" t="s">
        <v>12750</v>
      </c>
      <c r="E1607" s="243">
        <v>6.55E13</v>
      </c>
      <c r="F1607" s="245"/>
      <c r="G1607" s="235" t="s">
        <v>12751</v>
      </c>
      <c r="H1607" s="235" t="s">
        <v>12752</v>
      </c>
      <c r="I1607" s="235" t="s">
        <v>12752</v>
      </c>
      <c r="J1607" s="235" t="s">
        <v>12753</v>
      </c>
      <c r="K1607" s="235" t="s">
        <v>12754</v>
      </c>
      <c r="N1607" s="235" t="s">
        <v>127</v>
      </c>
      <c r="O1607" s="235" t="s">
        <v>794</v>
      </c>
      <c r="P1607" s="238">
        <v>1.0</v>
      </c>
      <c r="Q1607" s="235" t="s">
        <v>627</v>
      </c>
      <c r="R1607" s="238">
        <v>246.66</v>
      </c>
      <c r="S1607" s="238">
        <v>12.34</v>
      </c>
      <c r="T1607" s="238">
        <v>0.0</v>
      </c>
      <c r="U1607" s="238">
        <v>0.0</v>
      </c>
      <c r="V1607" s="238">
        <v>0.0</v>
      </c>
      <c r="W1607" s="238">
        <v>0.0</v>
      </c>
      <c r="X1607" s="235" t="s">
        <v>628</v>
      </c>
      <c r="Z1607" s="244"/>
      <c r="AA1607" s="244"/>
      <c r="AB1607" s="244"/>
      <c r="AC1607" s="235" t="s">
        <v>1456</v>
      </c>
      <c r="AD1607" s="235" t="s">
        <v>928</v>
      </c>
      <c r="AE1607" s="238">
        <v>122002.0</v>
      </c>
      <c r="AF1607" s="235" t="s">
        <v>631</v>
      </c>
      <c r="AG1607" s="244"/>
      <c r="AH1607" s="244"/>
      <c r="AI1607" s="245"/>
      <c r="AJ1607" s="245"/>
      <c r="AK1607" s="245"/>
      <c r="AL1607" s="245"/>
      <c r="AM1607" s="244"/>
      <c r="AN1607" s="244"/>
      <c r="AO1607" s="238">
        <v>0.0</v>
      </c>
      <c r="AP1607" s="238">
        <v>0.0</v>
      </c>
      <c r="AQ1607" s="235" t="s">
        <v>632</v>
      </c>
      <c r="AR1607" s="243">
        <v>1.68E11</v>
      </c>
      <c r="AS1607" s="235" t="s">
        <v>12693</v>
      </c>
      <c r="AT1607" s="235" t="s">
        <v>14</v>
      </c>
      <c r="AU1607" s="235" t="s">
        <v>634</v>
      </c>
      <c r="AV1607" s="246" t="s">
        <v>635</v>
      </c>
      <c r="AW1607" s="242"/>
      <c r="AX1607" s="242"/>
      <c r="AY1607" s="231"/>
      <c r="AZ1607" s="231"/>
      <c r="BA1607" s="227"/>
      <c r="BB1607" s="231"/>
      <c r="BC1607" s="227"/>
      <c r="BD1607" s="227"/>
      <c r="BE1607" s="227"/>
      <c r="BF1607" s="227"/>
    </row>
    <row r="1608">
      <c r="A1608" s="235" t="s">
        <v>12755</v>
      </c>
      <c r="C1608" s="235" t="s">
        <v>12756</v>
      </c>
      <c r="D1608" s="235" t="s">
        <v>12757</v>
      </c>
      <c r="E1608" s="243">
        <v>6.55E13</v>
      </c>
      <c r="F1608" s="245"/>
      <c r="G1608" s="235" t="s">
        <v>12758</v>
      </c>
      <c r="H1608" s="235" t="s">
        <v>12759</v>
      </c>
      <c r="I1608" s="235" t="s">
        <v>12759</v>
      </c>
      <c r="J1608" s="235" t="s">
        <v>12760</v>
      </c>
      <c r="K1608" s="235" t="s">
        <v>12761</v>
      </c>
      <c r="N1608" s="235" t="s">
        <v>61</v>
      </c>
      <c r="O1608" s="235" t="s">
        <v>382</v>
      </c>
      <c r="P1608" s="238">
        <v>1.0</v>
      </c>
      <c r="Q1608" s="235" t="s">
        <v>627</v>
      </c>
      <c r="R1608" s="238">
        <v>360.96</v>
      </c>
      <c r="S1608" s="238">
        <v>18.04</v>
      </c>
      <c r="T1608" s="238">
        <v>0.0</v>
      </c>
      <c r="U1608" s="238">
        <v>0.0</v>
      </c>
      <c r="V1608" s="238">
        <v>0.0</v>
      </c>
      <c r="W1608" s="238">
        <v>0.0</v>
      </c>
      <c r="X1608" s="235" t="s">
        <v>628</v>
      </c>
      <c r="Z1608" s="244"/>
      <c r="AA1608" s="244"/>
      <c r="AB1608" s="244"/>
      <c r="AC1608" s="235" t="s">
        <v>678</v>
      </c>
      <c r="AD1608" s="235" t="s">
        <v>679</v>
      </c>
      <c r="AE1608" s="238">
        <v>560048.0</v>
      </c>
      <c r="AF1608" s="235" t="s">
        <v>631</v>
      </c>
      <c r="AG1608" s="244"/>
      <c r="AH1608" s="244"/>
      <c r="AI1608" s="245"/>
      <c r="AJ1608" s="245"/>
      <c r="AK1608" s="245"/>
      <c r="AL1608" s="245"/>
      <c r="AM1608" s="244"/>
      <c r="AN1608" s="244"/>
      <c r="AO1608" s="238">
        <v>0.0</v>
      </c>
      <c r="AP1608" s="238">
        <v>0.0</v>
      </c>
      <c r="AQ1608" s="235" t="s">
        <v>632</v>
      </c>
      <c r="AR1608" s="243">
        <v>1.68E11</v>
      </c>
      <c r="AS1608" s="235" t="s">
        <v>12693</v>
      </c>
      <c r="AT1608" s="235" t="s">
        <v>9</v>
      </c>
      <c r="AU1608" s="235" t="s">
        <v>634</v>
      </c>
      <c r="AV1608" s="246" t="s">
        <v>635</v>
      </c>
      <c r="AW1608" s="242"/>
      <c r="AX1608" s="242"/>
      <c r="AY1608" s="231"/>
      <c r="AZ1608" s="231"/>
      <c r="BA1608" s="227"/>
      <c r="BB1608" s="231"/>
      <c r="BC1608" s="227"/>
      <c r="BD1608" s="227"/>
      <c r="BE1608" s="227"/>
      <c r="BF1608" s="227"/>
    </row>
    <row r="1609">
      <c r="A1609" s="235" t="s">
        <v>12762</v>
      </c>
      <c r="C1609" s="235" t="s">
        <v>12763</v>
      </c>
      <c r="D1609" s="235" t="s">
        <v>12764</v>
      </c>
      <c r="E1609" s="243">
        <v>6.55E13</v>
      </c>
      <c r="F1609" s="245"/>
      <c r="G1609" s="235" t="s">
        <v>12765</v>
      </c>
      <c r="H1609" s="235" t="s">
        <v>12766</v>
      </c>
      <c r="I1609" s="235" t="s">
        <v>12766</v>
      </c>
      <c r="J1609" s="235" t="s">
        <v>12767</v>
      </c>
      <c r="K1609" s="235" t="s">
        <v>12768</v>
      </c>
      <c r="N1609" s="235" t="s">
        <v>145</v>
      </c>
      <c r="O1609" s="235" t="s">
        <v>370</v>
      </c>
      <c r="P1609" s="238">
        <v>1.0</v>
      </c>
      <c r="Q1609" s="235" t="s">
        <v>627</v>
      </c>
      <c r="R1609" s="238">
        <v>1522.86</v>
      </c>
      <c r="S1609" s="238">
        <v>76.14</v>
      </c>
      <c r="T1609" s="238">
        <v>0.0</v>
      </c>
      <c r="U1609" s="238">
        <v>0.0</v>
      </c>
      <c r="V1609" s="238">
        <v>0.0</v>
      </c>
      <c r="W1609" s="238">
        <v>0.0</v>
      </c>
      <c r="X1609" s="235" t="s">
        <v>628</v>
      </c>
      <c r="Z1609" s="244"/>
      <c r="AA1609" s="244"/>
      <c r="AB1609" s="244"/>
      <c r="AC1609" s="235" t="s">
        <v>697</v>
      </c>
      <c r="AD1609" s="235" t="s">
        <v>698</v>
      </c>
      <c r="AE1609" s="238">
        <v>500035.0</v>
      </c>
      <c r="AF1609" s="235" t="s">
        <v>631</v>
      </c>
      <c r="AG1609" s="244"/>
      <c r="AH1609" s="244"/>
      <c r="AI1609" s="245"/>
      <c r="AJ1609" s="245"/>
      <c r="AK1609" s="245"/>
      <c r="AL1609" s="245"/>
      <c r="AM1609" s="244"/>
      <c r="AN1609" s="244"/>
      <c r="AO1609" s="238">
        <v>0.0</v>
      </c>
      <c r="AP1609" s="238">
        <v>0.0</v>
      </c>
      <c r="AQ1609" s="235" t="s">
        <v>632</v>
      </c>
      <c r="AR1609" s="243">
        <v>1.68E11</v>
      </c>
      <c r="AS1609" s="235" t="s">
        <v>11171</v>
      </c>
      <c r="AT1609" s="235" t="s">
        <v>9</v>
      </c>
      <c r="AU1609" s="235" t="s">
        <v>634</v>
      </c>
      <c r="AV1609" s="246" t="s">
        <v>635</v>
      </c>
      <c r="AW1609" s="242"/>
      <c r="AX1609" s="242"/>
      <c r="AY1609" s="231"/>
      <c r="AZ1609" s="231"/>
      <c r="BA1609" s="227"/>
      <c r="BB1609" s="231"/>
      <c r="BC1609" s="227"/>
      <c r="BD1609" s="227"/>
      <c r="BE1609" s="227"/>
      <c r="BF1609" s="227"/>
    </row>
    <row r="1610">
      <c r="A1610" s="235" t="s">
        <v>12769</v>
      </c>
      <c r="C1610" s="235" t="s">
        <v>12770</v>
      </c>
      <c r="D1610" s="235" t="s">
        <v>12771</v>
      </c>
      <c r="E1610" s="243">
        <v>6.55E13</v>
      </c>
      <c r="F1610" s="245"/>
      <c r="G1610" s="235" t="s">
        <v>12772</v>
      </c>
      <c r="H1610" s="235" t="s">
        <v>12773</v>
      </c>
      <c r="I1610" s="235" t="s">
        <v>12773</v>
      </c>
      <c r="J1610" s="235" t="s">
        <v>12774</v>
      </c>
      <c r="K1610" s="235" t="s">
        <v>12775</v>
      </c>
      <c r="N1610" s="235" t="s">
        <v>90</v>
      </c>
      <c r="O1610" s="235" t="s">
        <v>279</v>
      </c>
      <c r="P1610" s="238">
        <v>1.0</v>
      </c>
      <c r="Q1610" s="235" t="s">
        <v>627</v>
      </c>
      <c r="R1610" s="238">
        <v>246.66</v>
      </c>
      <c r="S1610" s="238">
        <v>12.34</v>
      </c>
      <c r="T1610" s="238">
        <v>0.0</v>
      </c>
      <c r="U1610" s="238">
        <v>0.0</v>
      </c>
      <c r="V1610" s="238">
        <v>0.0</v>
      </c>
      <c r="W1610" s="238">
        <v>0.0</v>
      </c>
      <c r="X1610" s="235" t="s">
        <v>628</v>
      </c>
      <c r="Z1610" s="244"/>
      <c r="AA1610" s="244"/>
      <c r="AB1610" s="244"/>
      <c r="AC1610" s="235" t="s">
        <v>678</v>
      </c>
      <c r="AD1610" s="235" t="s">
        <v>679</v>
      </c>
      <c r="AE1610" s="238">
        <v>560076.0</v>
      </c>
      <c r="AF1610" s="235" t="s">
        <v>631</v>
      </c>
      <c r="AG1610" s="244"/>
      <c r="AH1610" s="244"/>
      <c r="AI1610" s="245"/>
      <c r="AJ1610" s="245"/>
      <c r="AK1610" s="245"/>
      <c r="AL1610" s="245"/>
      <c r="AM1610" s="244"/>
      <c r="AN1610" s="244"/>
      <c r="AO1610" s="238">
        <v>0.0</v>
      </c>
      <c r="AP1610" s="238">
        <v>0.0</v>
      </c>
      <c r="AQ1610" s="235" t="s">
        <v>632</v>
      </c>
      <c r="AR1610" s="243">
        <v>1.68E11</v>
      </c>
      <c r="AS1610" s="235" t="s">
        <v>12693</v>
      </c>
      <c r="AT1610" s="235" t="s">
        <v>11</v>
      </c>
      <c r="AU1610" s="235" t="s">
        <v>634</v>
      </c>
      <c r="AV1610" s="246" t="s">
        <v>635</v>
      </c>
      <c r="AW1610" s="242"/>
      <c r="AX1610" s="242"/>
      <c r="AY1610" s="231"/>
      <c r="AZ1610" s="231"/>
      <c r="BA1610" s="227"/>
      <c r="BB1610" s="231"/>
      <c r="BC1610" s="227"/>
      <c r="BD1610" s="227"/>
      <c r="BE1610" s="227"/>
      <c r="BF1610" s="227"/>
    </row>
    <row r="1611">
      <c r="A1611" s="235" t="s">
        <v>12776</v>
      </c>
      <c r="C1611" s="235" t="s">
        <v>12777</v>
      </c>
      <c r="D1611" s="235" t="s">
        <v>12778</v>
      </c>
      <c r="E1611" s="243">
        <v>6.55E13</v>
      </c>
      <c r="F1611" s="245"/>
      <c r="G1611" s="235" t="s">
        <v>12779</v>
      </c>
      <c r="H1611" s="235" t="s">
        <v>12780</v>
      </c>
      <c r="I1611" s="235" t="s">
        <v>12780</v>
      </c>
      <c r="J1611" s="235" t="s">
        <v>12781</v>
      </c>
      <c r="K1611" s="235" t="s">
        <v>12782</v>
      </c>
      <c r="N1611" s="235" t="s">
        <v>127</v>
      </c>
      <c r="O1611" s="235" t="s">
        <v>794</v>
      </c>
      <c r="P1611" s="238">
        <v>1.0</v>
      </c>
      <c r="Q1611" s="235" t="s">
        <v>627</v>
      </c>
      <c r="R1611" s="238">
        <v>246.67</v>
      </c>
      <c r="S1611" s="238">
        <v>12.33</v>
      </c>
      <c r="T1611" s="238">
        <v>0.0</v>
      </c>
      <c r="U1611" s="238">
        <v>0.0</v>
      </c>
      <c r="V1611" s="238">
        <v>0.0</v>
      </c>
      <c r="W1611" s="238">
        <v>0.0</v>
      </c>
      <c r="X1611" s="235" t="s">
        <v>628</v>
      </c>
      <c r="Z1611" s="244"/>
      <c r="AA1611" s="244"/>
      <c r="AB1611" s="244"/>
      <c r="AC1611" s="235" t="s">
        <v>12783</v>
      </c>
      <c r="AD1611" s="235" t="s">
        <v>630</v>
      </c>
      <c r="AE1611" s="238">
        <v>282010.0</v>
      </c>
      <c r="AF1611" s="235" t="s">
        <v>631</v>
      </c>
      <c r="AG1611" s="244"/>
      <c r="AH1611" s="244"/>
      <c r="AI1611" s="245"/>
      <c r="AJ1611" s="245"/>
      <c r="AK1611" s="245"/>
      <c r="AL1611" s="245"/>
      <c r="AM1611" s="244"/>
      <c r="AN1611" s="244"/>
      <c r="AO1611" s="238">
        <v>0.0</v>
      </c>
      <c r="AP1611" s="238">
        <v>0.0</v>
      </c>
      <c r="AQ1611" s="235" t="s">
        <v>632</v>
      </c>
      <c r="AR1611" s="243">
        <v>3.71E11</v>
      </c>
      <c r="AS1611" s="235" t="s">
        <v>10017</v>
      </c>
      <c r="AT1611" s="235" t="s">
        <v>14</v>
      </c>
      <c r="AU1611" s="235" t="s">
        <v>634</v>
      </c>
      <c r="AV1611" s="246" t="s">
        <v>635</v>
      </c>
      <c r="AW1611" s="242"/>
      <c r="AX1611" s="242"/>
      <c r="AY1611" s="231"/>
      <c r="AZ1611" s="231"/>
      <c r="BA1611" s="227"/>
      <c r="BB1611" s="231"/>
      <c r="BC1611" s="227"/>
      <c r="BD1611" s="227"/>
      <c r="BE1611" s="227"/>
      <c r="BF1611" s="227"/>
    </row>
    <row r="1612">
      <c r="A1612" s="235" t="s">
        <v>12784</v>
      </c>
      <c r="C1612" s="235" t="s">
        <v>12785</v>
      </c>
      <c r="D1612" s="235" t="s">
        <v>12786</v>
      </c>
      <c r="E1612" s="243">
        <v>6.55E13</v>
      </c>
      <c r="F1612" s="245"/>
      <c r="G1612" s="235" t="s">
        <v>12787</v>
      </c>
      <c r="H1612" s="235" t="s">
        <v>12788</v>
      </c>
      <c r="I1612" s="235" t="s">
        <v>12789</v>
      </c>
      <c r="J1612" s="235" t="s">
        <v>12790</v>
      </c>
      <c r="K1612" s="235" t="s">
        <v>12791</v>
      </c>
      <c r="N1612" s="235" t="s">
        <v>989</v>
      </c>
      <c r="O1612" s="235" t="s">
        <v>990</v>
      </c>
      <c r="P1612" s="238">
        <v>1.0</v>
      </c>
      <c r="Q1612" s="235" t="s">
        <v>627</v>
      </c>
      <c r="R1612" s="238">
        <v>256.2</v>
      </c>
      <c r="S1612" s="238">
        <v>12.8</v>
      </c>
      <c r="T1612" s="238">
        <v>0.0</v>
      </c>
      <c r="U1612" s="238">
        <v>0.0</v>
      </c>
      <c r="V1612" s="238">
        <v>0.0</v>
      </c>
      <c r="W1612" s="238">
        <v>0.0</v>
      </c>
      <c r="X1612" s="235" t="s">
        <v>628</v>
      </c>
      <c r="Z1612" s="244"/>
      <c r="AA1612" s="244"/>
      <c r="AB1612" s="244"/>
      <c r="AC1612" s="235" t="s">
        <v>687</v>
      </c>
      <c r="AD1612" s="235" t="s">
        <v>666</v>
      </c>
      <c r="AE1612" s="238">
        <v>600122.0</v>
      </c>
      <c r="AF1612" s="235" t="s">
        <v>631</v>
      </c>
      <c r="AG1612" s="244"/>
      <c r="AH1612" s="244"/>
      <c r="AI1612" s="245"/>
      <c r="AJ1612" s="245"/>
      <c r="AK1612" s="245"/>
      <c r="AL1612" s="245"/>
      <c r="AM1612" s="244"/>
      <c r="AN1612" s="244"/>
      <c r="AO1612" s="238">
        <v>0.0</v>
      </c>
      <c r="AP1612" s="238">
        <v>0.0</v>
      </c>
      <c r="AQ1612" s="235" t="s">
        <v>632</v>
      </c>
      <c r="AR1612" s="243">
        <v>1.68E11</v>
      </c>
      <c r="AS1612" s="235" t="s">
        <v>12693</v>
      </c>
      <c r="AT1612" s="235" t="s">
        <v>156</v>
      </c>
      <c r="AU1612" s="235" t="s">
        <v>634</v>
      </c>
      <c r="AV1612" s="246" t="s">
        <v>635</v>
      </c>
      <c r="AW1612" s="242"/>
      <c r="AX1612" s="242"/>
      <c r="AY1612" s="231"/>
      <c r="AZ1612" s="231"/>
      <c r="BA1612" s="227"/>
      <c r="BB1612" s="231"/>
      <c r="BC1612" s="227"/>
      <c r="BD1612" s="227"/>
      <c r="BE1612" s="227"/>
      <c r="BF1612" s="227"/>
    </row>
    <row r="1613">
      <c r="A1613" s="235" t="s">
        <v>12792</v>
      </c>
      <c r="C1613" s="235" t="s">
        <v>12793</v>
      </c>
      <c r="D1613" s="235" t="s">
        <v>12794</v>
      </c>
      <c r="E1613" s="243">
        <v>6.55E13</v>
      </c>
      <c r="F1613" s="245"/>
      <c r="G1613" s="235" t="s">
        <v>12795</v>
      </c>
      <c r="H1613" s="235" t="s">
        <v>12796</v>
      </c>
      <c r="I1613" s="235" t="s">
        <v>12797</v>
      </c>
      <c r="J1613" s="235" t="s">
        <v>12798</v>
      </c>
      <c r="K1613" s="235" t="s">
        <v>12799</v>
      </c>
      <c r="N1613" s="235" t="s">
        <v>82</v>
      </c>
      <c r="O1613" s="235" t="s">
        <v>889</v>
      </c>
      <c r="P1613" s="238">
        <v>1.0</v>
      </c>
      <c r="Q1613" s="235" t="s">
        <v>627</v>
      </c>
      <c r="R1613" s="238">
        <v>246.66</v>
      </c>
      <c r="S1613" s="238">
        <v>12.1</v>
      </c>
      <c r="T1613" s="238">
        <v>38.1</v>
      </c>
      <c r="U1613" s="238">
        <v>1.9</v>
      </c>
      <c r="V1613" s="238">
        <v>0.0</v>
      </c>
      <c r="W1613" s="238">
        <v>0.0</v>
      </c>
      <c r="X1613" s="235" t="s">
        <v>628</v>
      </c>
      <c r="Z1613" s="244"/>
      <c r="AA1613" s="244"/>
      <c r="AB1613" s="244"/>
      <c r="AC1613" s="235" t="s">
        <v>12800</v>
      </c>
      <c r="AD1613" s="235" t="s">
        <v>679</v>
      </c>
      <c r="AE1613" s="238">
        <v>591129.0</v>
      </c>
      <c r="AF1613" s="235" t="s">
        <v>631</v>
      </c>
      <c r="AG1613" s="244"/>
      <c r="AH1613" s="244"/>
      <c r="AI1613" s="245"/>
      <c r="AJ1613" s="245"/>
      <c r="AK1613" s="245"/>
      <c r="AL1613" s="245"/>
      <c r="AM1613" s="244"/>
      <c r="AN1613" s="244"/>
      <c r="AO1613" s="238">
        <v>-4.94</v>
      </c>
      <c r="AP1613" s="238">
        <v>-38.1</v>
      </c>
      <c r="AQ1613" s="235" t="s">
        <v>632</v>
      </c>
      <c r="AR1613" s="243">
        <v>3.71E11</v>
      </c>
      <c r="AS1613" s="235" t="s">
        <v>8807</v>
      </c>
      <c r="AT1613" s="235" t="s">
        <v>9</v>
      </c>
      <c r="AU1613" s="235" t="s">
        <v>634</v>
      </c>
      <c r="AV1613" s="246" t="s">
        <v>635</v>
      </c>
      <c r="AW1613" s="242"/>
      <c r="AX1613" s="242"/>
      <c r="AY1613" s="231"/>
      <c r="AZ1613" s="231"/>
      <c r="BA1613" s="227"/>
      <c r="BB1613" s="231"/>
      <c r="BC1613" s="227"/>
      <c r="BD1613" s="227"/>
      <c r="BE1613" s="227"/>
      <c r="BF1613" s="227"/>
    </row>
    <row r="1614">
      <c r="A1614" s="235" t="s">
        <v>12801</v>
      </c>
      <c r="C1614" s="235" t="s">
        <v>12802</v>
      </c>
      <c r="D1614" s="235" t="s">
        <v>12803</v>
      </c>
      <c r="E1614" s="243">
        <v>6.55E13</v>
      </c>
      <c r="F1614" s="245"/>
      <c r="G1614" s="235" t="s">
        <v>12804</v>
      </c>
      <c r="H1614" s="235" t="s">
        <v>12805</v>
      </c>
      <c r="I1614" s="235" t="s">
        <v>12805</v>
      </c>
      <c r="J1614" s="235" t="s">
        <v>12806</v>
      </c>
      <c r="K1614" s="235" t="s">
        <v>12807</v>
      </c>
      <c r="N1614" s="235" t="s">
        <v>136</v>
      </c>
      <c r="O1614" s="235" t="s">
        <v>256</v>
      </c>
      <c r="P1614" s="238">
        <v>1.0</v>
      </c>
      <c r="Q1614" s="235" t="s">
        <v>627</v>
      </c>
      <c r="R1614" s="238">
        <v>246.67</v>
      </c>
      <c r="S1614" s="238">
        <v>12.33</v>
      </c>
      <c r="T1614" s="238">
        <v>0.0</v>
      </c>
      <c r="U1614" s="238">
        <v>0.0</v>
      </c>
      <c r="V1614" s="238">
        <v>0.0</v>
      </c>
      <c r="W1614" s="238">
        <v>0.0</v>
      </c>
      <c r="X1614" s="235" t="s">
        <v>628</v>
      </c>
      <c r="Z1614" s="244"/>
      <c r="AA1614" s="244"/>
      <c r="AB1614" s="244"/>
      <c r="AC1614" s="235" t="s">
        <v>12783</v>
      </c>
      <c r="AD1614" s="235" t="s">
        <v>630</v>
      </c>
      <c r="AE1614" s="238">
        <v>282003.0</v>
      </c>
      <c r="AF1614" s="235" t="s">
        <v>631</v>
      </c>
      <c r="AG1614" s="244"/>
      <c r="AH1614" s="244"/>
      <c r="AI1614" s="245"/>
      <c r="AJ1614" s="245"/>
      <c r="AK1614" s="245"/>
      <c r="AL1614" s="245"/>
      <c r="AM1614" s="244"/>
      <c r="AN1614" s="244"/>
      <c r="AO1614" s="238">
        <v>0.0</v>
      </c>
      <c r="AP1614" s="238">
        <v>0.0</v>
      </c>
      <c r="AQ1614" s="235" t="s">
        <v>632</v>
      </c>
      <c r="AR1614" s="243">
        <v>3.71E11</v>
      </c>
      <c r="AS1614" s="235" t="s">
        <v>11171</v>
      </c>
      <c r="AT1614" s="235" t="s">
        <v>533</v>
      </c>
      <c r="AU1614" s="235" t="s">
        <v>634</v>
      </c>
      <c r="AV1614" s="246" t="s">
        <v>635</v>
      </c>
      <c r="AW1614" s="242"/>
      <c r="AX1614" s="242"/>
      <c r="AY1614" s="231"/>
      <c r="AZ1614" s="231"/>
      <c r="BA1614" s="227"/>
      <c r="BB1614" s="231"/>
      <c r="BC1614" s="227"/>
      <c r="BD1614" s="227"/>
      <c r="BE1614" s="227"/>
      <c r="BF1614" s="227"/>
    </row>
    <row r="1615">
      <c r="A1615" s="235" t="s">
        <v>12809</v>
      </c>
      <c r="C1615" s="235" t="s">
        <v>12810</v>
      </c>
      <c r="D1615" s="235" t="s">
        <v>12811</v>
      </c>
      <c r="E1615" s="243">
        <v>6.55E13</v>
      </c>
      <c r="F1615" s="245"/>
      <c r="G1615" s="235" t="s">
        <v>12812</v>
      </c>
      <c r="H1615" s="235" t="s">
        <v>12813</v>
      </c>
      <c r="I1615" s="235" t="s">
        <v>12813</v>
      </c>
      <c r="J1615" s="235" t="s">
        <v>12814</v>
      </c>
      <c r="K1615" s="235" t="s">
        <v>12815</v>
      </c>
      <c r="N1615" s="235" t="s">
        <v>127</v>
      </c>
      <c r="O1615" s="235" t="s">
        <v>794</v>
      </c>
      <c r="P1615" s="238">
        <v>1.0</v>
      </c>
      <c r="Q1615" s="235" t="s">
        <v>627</v>
      </c>
      <c r="R1615" s="238">
        <v>246.67</v>
      </c>
      <c r="S1615" s="238">
        <v>11.96</v>
      </c>
      <c r="T1615" s="238">
        <v>38.1</v>
      </c>
      <c r="U1615" s="238">
        <v>1.9</v>
      </c>
      <c r="V1615" s="238">
        <v>0.0</v>
      </c>
      <c r="W1615" s="238">
        <v>0.0</v>
      </c>
      <c r="X1615" s="235" t="s">
        <v>628</v>
      </c>
      <c r="Z1615" s="244"/>
      <c r="AA1615" s="244"/>
      <c r="AB1615" s="244"/>
      <c r="AC1615" s="235" t="s">
        <v>12816</v>
      </c>
      <c r="AD1615" s="235" t="s">
        <v>630</v>
      </c>
      <c r="AE1615" s="238">
        <v>247662.0</v>
      </c>
      <c r="AF1615" s="235" t="s">
        <v>631</v>
      </c>
      <c r="AG1615" s="244"/>
      <c r="AH1615" s="244"/>
      <c r="AI1615" s="245"/>
      <c r="AJ1615" s="245"/>
      <c r="AK1615" s="245"/>
      <c r="AL1615" s="245"/>
      <c r="AM1615" s="244"/>
      <c r="AN1615" s="244"/>
      <c r="AO1615" s="238">
        <v>-7.4</v>
      </c>
      <c r="AP1615" s="238">
        <v>-38.1</v>
      </c>
      <c r="AQ1615" s="235" t="s">
        <v>632</v>
      </c>
      <c r="AR1615" s="243">
        <v>3.71E11</v>
      </c>
      <c r="AS1615" s="235" t="s">
        <v>8807</v>
      </c>
      <c r="AT1615" s="235" t="s">
        <v>14</v>
      </c>
      <c r="AU1615" s="235" t="s">
        <v>634</v>
      </c>
      <c r="AV1615" s="246" t="s">
        <v>635</v>
      </c>
      <c r="AW1615" s="242"/>
      <c r="AX1615" s="242"/>
      <c r="AY1615" s="231"/>
      <c r="AZ1615" s="231"/>
      <c r="BA1615" s="227"/>
      <c r="BB1615" s="231"/>
      <c r="BC1615" s="227"/>
      <c r="BD1615" s="227"/>
      <c r="BE1615" s="227"/>
      <c r="BF1615" s="227"/>
    </row>
    <row r="1616">
      <c r="A1616" s="235" t="s">
        <v>12809</v>
      </c>
      <c r="C1616" s="235" t="s">
        <v>12810</v>
      </c>
      <c r="D1616" s="235" t="s">
        <v>12817</v>
      </c>
      <c r="E1616" s="243">
        <v>6.55E13</v>
      </c>
      <c r="F1616" s="245"/>
      <c r="G1616" s="235" t="s">
        <v>12812</v>
      </c>
      <c r="H1616" s="235" t="s">
        <v>12813</v>
      </c>
      <c r="I1616" s="235" t="s">
        <v>12813</v>
      </c>
      <c r="J1616" s="235" t="s">
        <v>12814</v>
      </c>
      <c r="K1616" s="235" t="s">
        <v>12815</v>
      </c>
      <c r="N1616" s="235" t="s">
        <v>130</v>
      </c>
      <c r="O1616" s="235" t="s">
        <v>707</v>
      </c>
      <c r="P1616" s="238">
        <v>1.0</v>
      </c>
      <c r="Q1616" s="235" t="s">
        <v>627</v>
      </c>
      <c r="R1616" s="238">
        <v>246.67</v>
      </c>
      <c r="S1616" s="238">
        <v>11.96</v>
      </c>
      <c r="T1616" s="238">
        <v>38.1</v>
      </c>
      <c r="U1616" s="238">
        <v>1.9</v>
      </c>
      <c r="V1616" s="238">
        <v>0.0</v>
      </c>
      <c r="W1616" s="238">
        <v>0.0</v>
      </c>
      <c r="X1616" s="235" t="s">
        <v>628</v>
      </c>
      <c r="Z1616" s="244"/>
      <c r="AA1616" s="244"/>
      <c r="AB1616" s="244"/>
      <c r="AC1616" s="235" t="s">
        <v>12816</v>
      </c>
      <c r="AD1616" s="235" t="s">
        <v>630</v>
      </c>
      <c r="AE1616" s="238">
        <v>247662.0</v>
      </c>
      <c r="AF1616" s="235" t="s">
        <v>631</v>
      </c>
      <c r="AG1616" s="244"/>
      <c r="AH1616" s="244"/>
      <c r="AI1616" s="245"/>
      <c r="AJ1616" s="245"/>
      <c r="AK1616" s="245"/>
      <c r="AL1616" s="245"/>
      <c r="AM1616" s="244"/>
      <c r="AN1616" s="244"/>
      <c r="AO1616" s="238">
        <v>-7.4</v>
      </c>
      <c r="AP1616" s="238">
        <v>-38.1</v>
      </c>
      <c r="AQ1616" s="235" t="s">
        <v>632</v>
      </c>
      <c r="AR1616" s="243">
        <v>3.71E11</v>
      </c>
      <c r="AS1616" s="235" t="s">
        <v>8807</v>
      </c>
      <c r="AT1616" s="235" t="s">
        <v>14</v>
      </c>
      <c r="AU1616" s="235" t="s">
        <v>634</v>
      </c>
      <c r="AV1616" s="246" t="s">
        <v>635</v>
      </c>
      <c r="AW1616" s="242"/>
      <c r="AX1616" s="242"/>
      <c r="AY1616" s="231"/>
      <c r="AZ1616" s="231"/>
      <c r="BA1616" s="227"/>
      <c r="BB1616" s="231"/>
      <c r="BC1616" s="227"/>
      <c r="BD1616" s="227"/>
      <c r="BE1616" s="227"/>
      <c r="BF1616" s="227"/>
    </row>
    <row r="1617">
      <c r="A1617" s="235" t="s">
        <v>12818</v>
      </c>
      <c r="C1617" s="235" t="s">
        <v>12819</v>
      </c>
      <c r="D1617" s="235" t="s">
        <v>12820</v>
      </c>
      <c r="E1617" s="243">
        <v>6.54E13</v>
      </c>
      <c r="F1617" s="245"/>
      <c r="G1617" s="235" t="s">
        <v>12821</v>
      </c>
      <c r="H1617" s="235" t="s">
        <v>12822</v>
      </c>
      <c r="I1617" s="235" t="s">
        <v>12822</v>
      </c>
      <c r="J1617" s="235" t="s">
        <v>12823</v>
      </c>
      <c r="K1617" s="235" t="s">
        <v>12824</v>
      </c>
      <c r="N1617" s="235" t="s">
        <v>962</v>
      </c>
      <c r="O1617" s="235" t="s">
        <v>963</v>
      </c>
      <c r="P1617" s="238">
        <v>1.0</v>
      </c>
      <c r="Q1617" s="235" t="s">
        <v>627</v>
      </c>
      <c r="R1617" s="238">
        <v>246.66</v>
      </c>
      <c r="S1617" s="238">
        <v>12.34</v>
      </c>
      <c r="T1617" s="238">
        <v>0.0</v>
      </c>
      <c r="U1617" s="238">
        <v>0.0</v>
      </c>
      <c r="V1617" s="238">
        <v>0.0</v>
      </c>
      <c r="W1617" s="238">
        <v>0.0</v>
      </c>
      <c r="X1617" s="235" t="s">
        <v>628</v>
      </c>
      <c r="Z1617" s="244"/>
      <c r="AA1617" s="244"/>
      <c r="AB1617" s="244"/>
      <c r="AC1617" s="235" t="s">
        <v>844</v>
      </c>
      <c r="AD1617" s="235" t="s">
        <v>845</v>
      </c>
      <c r="AE1617" s="238">
        <v>411019.0</v>
      </c>
      <c r="AF1617" s="235" t="s">
        <v>631</v>
      </c>
      <c r="AG1617" s="244"/>
      <c r="AH1617" s="244"/>
      <c r="AI1617" s="245"/>
      <c r="AJ1617" s="245"/>
      <c r="AK1617" s="245"/>
      <c r="AL1617" s="245"/>
      <c r="AM1617" s="244"/>
      <c r="AN1617" s="244"/>
      <c r="AO1617" s="238">
        <v>0.0</v>
      </c>
      <c r="AP1617" s="238">
        <v>0.0</v>
      </c>
      <c r="AQ1617" s="235" t="s">
        <v>632</v>
      </c>
      <c r="AR1617" s="243">
        <v>3.71E11</v>
      </c>
      <c r="AS1617" s="235" t="s">
        <v>11171</v>
      </c>
      <c r="AT1617" s="235" t="s">
        <v>546</v>
      </c>
      <c r="AU1617" s="235" t="s">
        <v>634</v>
      </c>
      <c r="AV1617" s="246" t="s">
        <v>635</v>
      </c>
      <c r="AW1617" s="242"/>
      <c r="AX1617" s="242"/>
      <c r="AY1617" s="231"/>
      <c r="AZ1617" s="231"/>
      <c r="BA1617" s="227"/>
      <c r="BB1617" s="231"/>
      <c r="BC1617" s="227"/>
      <c r="BD1617" s="227"/>
      <c r="BE1617" s="227"/>
      <c r="BF1617" s="227"/>
    </row>
    <row r="1618">
      <c r="A1618" s="235" t="s">
        <v>12825</v>
      </c>
      <c r="C1618" s="235" t="s">
        <v>12826</v>
      </c>
      <c r="D1618" s="235" t="s">
        <v>12827</v>
      </c>
      <c r="E1618" s="243">
        <v>6.55E13</v>
      </c>
      <c r="F1618" s="245"/>
      <c r="G1618" s="235" t="s">
        <v>12828</v>
      </c>
      <c r="H1618" s="235" t="s">
        <v>12829</v>
      </c>
      <c r="I1618" s="235" t="s">
        <v>12829</v>
      </c>
      <c r="J1618" s="235" t="s">
        <v>12830</v>
      </c>
      <c r="K1618" s="235" t="s">
        <v>12831</v>
      </c>
      <c r="N1618" s="235" t="s">
        <v>113</v>
      </c>
      <c r="O1618" s="235" t="s">
        <v>452</v>
      </c>
      <c r="P1618" s="238">
        <v>1.0</v>
      </c>
      <c r="Q1618" s="235" t="s">
        <v>627</v>
      </c>
      <c r="R1618" s="238">
        <v>246.66</v>
      </c>
      <c r="S1618" s="238">
        <v>12.34</v>
      </c>
      <c r="T1618" s="238">
        <v>38.1</v>
      </c>
      <c r="U1618" s="238">
        <v>1.9</v>
      </c>
      <c r="V1618" s="238">
        <v>0.0</v>
      </c>
      <c r="W1618" s="238">
        <v>0.0</v>
      </c>
      <c r="X1618" s="235" t="s">
        <v>628</v>
      </c>
      <c r="Z1618" s="244"/>
      <c r="AA1618" s="244"/>
      <c r="AB1618" s="244"/>
      <c r="AC1618" s="235" t="s">
        <v>678</v>
      </c>
      <c r="AD1618" s="235" t="s">
        <v>679</v>
      </c>
      <c r="AE1618" s="238">
        <v>562125.0</v>
      </c>
      <c r="AF1618" s="235" t="s">
        <v>631</v>
      </c>
      <c r="AG1618" s="244"/>
      <c r="AH1618" s="244"/>
      <c r="AI1618" s="245"/>
      <c r="AJ1618" s="245"/>
      <c r="AK1618" s="245"/>
      <c r="AL1618" s="245"/>
      <c r="AM1618" s="244"/>
      <c r="AN1618" s="244"/>
      <c r="AO1618" s="238">
        <v>0.0</v>
      </c>
      <c r="AP1618" s="238">
        <v>-38.1</v>
      </c>
      <c r="AQ1618" s="235" t="s">
        <v>632</v>
      </c>
      <c r="AR1618" s="243">
        <v>3.71E11</v>
      </c>
      <c r="AS1618" s="235" t="s">
        <v>11171</v>
      </c>
      <c r="AT1618" s="235" t="s">
        <v>11</v>
      </c>
      <c r="AU1618" s="235" t="s">
        <v>634</v>
      </c>
      <c r="AV1618" s="246" t="s">
        <v>635</v>
      </c>
      <c r="AW1618" s="242"/>
      <c r="AX1618" s="242"/>
      <c r="AY1618" s="231"/>
      <c r="AZ1618" s="231"/>
      <c r="BA1618" s="227"/>
      <c r="BB1618" s="231"/>
      <c r="BC1618" s="227"/>
      <c r="BD1618" s="227"/>
      <c r="BE1618" s="227"/>
      <c r="BF1618" s="227"/>
    </row>
    <row r="1619">
      <c r="A1619" s="235" t="s">
        <v>12832</v>
      </c>
      <c r="C1619" s="235" t="s">
        <v>12833</v>
      </c>
      <c r="D1619" s="235" t="s">
        <v>12834</v>
      </c>
      <c r="E1619" s="243">
        <v>6.54E13</v>
      </c>
      <c r="F1619" s="245"/>
      <c r="G1619" s="235" t="s">
        <v>12835</v>
      </c>
      <c r="H1619" s="235" t="s">
        <v>12836</v>
      </c>
      <c r="I1619" s="235" t="s">
        <v>12836</v>
      </c>
      <c r="J1619" s="235" t="s">
        <v>12837</v>
      </c>
      <c r="K1619" s="235" t="s">
        <v>12838</v>
      </c>
      <c r="N1619" s="235" t="s">
        <v>42</v>
      </c>
      <c r="O1619" s="235" t="s">
        <v>204</v>
      </c>
      <c r="P1619" s="238">
        <v>1.0</v>
      </c>
      <c r="Q1619" s="235" t="s">
        <v>627</v>
      </c>
      <c r="R1619" s="238">
        <v>237.14</v>
      </c>
      <c r="S1619" s="238">
        <v>11.86</v>
      </c>
      <c r="T1619" s="238">
        <v>38.1</v>
      </c>
      <c r="U1619" s="238">
        <v>1.9</v>
      </c>
      <c r="V1619" s="238">
        <v>0.0</v>
      </c>
      <c r="W1619" s="238">
        <v>0.0</v>
      </c>
      <c r="X1619" s="235" t="s">
        <v>628</v>
      </c>
      <c r="Z1619" s="244"/>
      <c r="AA1619" s="244"/>
      <c r="AB1619" s="244"/>
      <c r="AC1619" s="235" t="s">
        <v>687</v>
      </c>
      <c r="AD1619" s="235" t="s">
        <v>666</v>
      </c>
      <c r="AE1619" s="238">
        <v>600041.0</v>
      </c>
      <c r="AF1619" s="235" t="s">
        <v>631</v>
      </c>
      <c r="AG1619" s="244"/>
      <c r="AH1619" s="244"/>
      <c r="AI1619" s="245"/>
      <c r="AJ1619" s="245"/>
      <c r="AK1619" s="245"/>
      <c r="AL1619" s="245"/>
      <c r="AM1619" s="244"/>
      <c r="AN1619" s="244"/>
      <c r="AO1619" s="238">
        <v>0.0</v>
      </c>
      <c r="AP1619" s="238">
        <v>-38.1</v>
      </c>
      <c r="AQ1619" s="235" t="s">
        <v>632</v>
      </c>
      <c r="AR1619" s="243">
        <v>3.71E11</v>
      </c>
      <c r="AS1619" s="235" t="s">
        <v>10017</v>
      </c>
      <c r="AT1619" s="235" t="s">
        <v>9</v>
      </c>
      <c r="AU1619" s="235" t="s">
        <v>634</v>
      </c>
      <c r="AV1619" s="246" t="s">
        <v>635</v>
      </c>
      <c r="AW1619" s="242"/>
      <c r="AX1619" s="242"/>
      <c r="AY1619" s="231"/>
      <c r="AZ1619" s="231"/>
      <c r="BA1619" s="227"/>
      <c r="BB1619" s="231"/>
      <c r="BC1619" s="227"/>
      <c r="BD1619" s="227"/>
      <c r="BE1619" s="227"/>
      <c r="BF1619" s="227"/>
    </row>
    <row r="1620">
      <c r="A1620" s="235" t="s">
        <v>12839</v>
      </c>
      <c r="C1620" s="235" t="s">
        <v>12840</v>
      </c>
      <c r="D1620" s="235" t="s">
        <v>12841</v>
      </c>
      <c r="E1620" s="243">
        <v>6.55E13</v>
      </c>
      <c r="F1620" s="245"/>
      <c r="G1620" s="235" t="s">
        <v>12842</v>
      </c>
      <c r="H1620" s="235" t="s">
        <v>12843</v>
      </c>
      <c r="I1620" s="235" t="s">
        <v>12843</v>
      </c>
      <c r="J1620" s="235" t="s">
        <v>12844</v>
      </c>
      <c r="K1620" s="235" t="s">
        <v>12845</v>
      </c>
      <c r="N1620" s="235" t="s">
        <v>126</v>
      </c>
      <c r="O1620" s="235" t="s">
        <v>407</v>
      </c>
      <c r="P1620" s="238">
        <v>1.0</v>
      </c>
      <c r="Q1620" s="235" t="s">
        <v>627</v>
      </c>
      <c r="R1620" s="238">
        <v>237.14</v>
      </c>
      <c r="S1620" s="238">
        <v>11.86</v>
      </c>
      <c r="T1620" s="238">
        <v>38.1</v>
      </c>
      <c r="U1620" s="238">
        <v>1.9</v>
      </c>
      <c r="V1620" s="238">
        <v>0.0</v>
      </c>
      <c r="W1620" s="238">
        <v>0.0</v>
      </c>
      <c r="X1620" s="235" t="s">
        <v>628</v>
      </c>
      <c r="Z1620" s="244"/>
      <c r="AA1620" s="244"/>
      <c r="AB1620" s="244"/>
      <c r="AC1620" s="235" t="s">
        <v>1287</v>
      </c>
      <c r="AD1620" s="235" t="s">
        <v>630</v>
      </c>
      <c r="AE1620" s="238">
        <v>201001.0</v>
      </c>
      <c r="AF1620" s="235" t="s">
        <v>631</v>
      </c>
      <c r="AG1620" s="244"/>
      <c r="AH1620" s="244"/>
      <c r="AI1620" s="245"/>
      <c r="AJ1620" s="245"/>
      <c r="AK1620" s="245"/>
      <c r="AL1620" s="245"/>
      <c r="AM1620" s="244"/>
      <c r="AN1620" s="244"/>
      <c r="AO1620" s="238">
        <v>0.0</v>
      </c>
      <c r="AP1620" s="238">
        <v>-38.1</v>
      </c>
      <c r="AQ1620" s="235" t="s">
        <v>632</v>
      </c>
      <c r="AR1620" s="243">
        <v>3.71E11</v>
      </c>
      <c r="AS1620" s="235" t="s">
        <v>11171</v>
      </c>
      <c r="AT1620" s="235" t="s">
        <v>14</v>
      </c>
      <c r="AU1620" s="235" t="s">
        <v>634</v>
      </c>
      <c r="AV1620" s="246" t="s">
        <v>635</v>
      </c>
      <c r="AW1620" s="242"/>
      <c r="AX1620" s="242"/>
      <c r="AY1620" s="231"/>
      <c r="AZ1620" s="231"/>
      <c r="BA1620" s="227"/>
      <c r="BB1620" s="231"/>
      <c r="BC1620" s="227"/>
      <c r="BD1620" s="227"/>
      <c r="BE1620" s="227"/>
      <c r="BF1620" s="227"/>
    </row>
    <row r="1621">
      <c r="A1621" s="235" t="s">
        <v>9358</v>
      </c>
      <c r="C1621" s="235" t="s">
        <v>12846</v>
      </c>
      <c r="D1621" s="235" t="s">
        <v>12847</v>
      </c>
      <c r="E1621" s="243">
        <v>6.54E13</v>
      </c>
      <c r="F1621" s="245"/>
      <c r="G1621" s="235" t="s">
        <v>9361</v>
      </c>
      <c r="H1621" s="235" t="s">
        <v>12848</v>
      </c>
      <c r="I1621" s="235" t="s">
        <v>12848</v>
      </c>
      <c r="J1621" s="235" t="s">
        <v>12849</v>
      </c>
      <c r="K1621" s="235" t="s">
        <v>9364</v>
      </c>
      <c r="N1621" s="235" t="s">
        <v>4781</v>
      </c>
      <c r="O1621" s="235" t="s">
        <v>4782</v>
      </c>
      <c r="P1621" s="238">
        <v>1.0</v>
      </c>
      <c r="Q1621" s="235" t="s">
        <v>627</v>
      </c>
      <c r="R1621" s="238">
        <v>507.63</v>
      </c>
      <c r="S1621" s="238">
        <v>89.54</v>
      </c>
      <c r="T1621" s="238">
        <v>0.0</v>
      </c>
      <c r="U1621" s="238">
        <v>0.0</v>
      </c>
      <c r="V1621" s="238">
        <v>0.0</v>
      </c>
      <c r="W1621" s="238">
        <v>0.0</v>
      </c>
      <c r="X1621" s="235" t="s">
        <v>628</v>
      </c>
      <c r="Z1621" s="244"/>
      <c r="AA1621" s="244"/>
      <c r="AB1621" s="244"/>
      <c r="AC1621" s="235" t="s">
        <v>9365</v>
      </c>
      <c r="AD1621" s="235" t="s">
        <v>2688</v>
      </c>
      <c r="AE1621" s="238">
        <v>180015.0</v>
      </c>
      <c r="AF1621" s="235" t="s">
        <v>631</v>
      </c>
      <c r="AG1621" s="244"/>
      <c r="AH1621" s="244"/>
      <c r="AI1621" s="245"/>
      <c r="AJ1621" s="245"/>
      <c r="AK1621" s="245"/>
      <c r="AL1621" s="245"/>
      <c r="AM1621" s="244"/>
      <c r="AN1621" s="244"/>
      <c r="AO1621" s="238">
        <v>-10.15</v>
      </c>
      <c r="AP1621" s="238">
        <v>0.0</v>
      </c>
      <c r="AQ1621" s="235" t="s">
        <v>632</v>
      </c>
      <c r="AR1621" s="243">
        <v>3.71E11</v>
      </c>
      <c r="AS1621" s="235" t="s">
        <v>6164</v>
      </c>
      <c r="AT1621" s="235" t="s">
        <v>9</v>
      </c>
      <c r="AU1621" s="235" t="s">
        <v>634</v>
      </c>
      <c r="AV1621" s="246" t="s">
        <v>635</v>
      </c>
      <c r="AW1621" s="242"/>
      <c r="AX1621" s="242"/>
      <c r="AY1621" s="231"/>
      <c r="AZ1621" s="231"/>
      <c r="BA1621" s="227"/>
      <c r="BB1621" s="231"/>
      <c r="BC1621" s="227"/>
      <c r="BD1621" s="227"/>
      <c r="BE1621" s="227"/>
      <c r="BF1621" s="227"/>
    </row>
    <row r="1622">
      <c r="A1622" s="235" t="s">
        <v>12850</v>
      </c>
      <c r="C1622" s="235" t="s">
        <v>12851</v>
      </c>
      <c r="D1622" s="235" t="s">
        <v>12852</v>
      </c>
      <c r="E1622" s="243">
        <v>6.54E13</v>
      </c>
      <c r="F1622" s="245"/>
      <c r="G1622" s="235" t="s">
        <v>12853</v>
      </c>
      <c r="H1622" s="235" t="s">
        <v>12854</v>
      </c>
      <c r="I1622" s="235" t="s">
        <v>12854</v>
      </c>
      <c r="J1622" s="235" t="s">
        <v>12855</v>
      </c>
      <c r="K1622" s="235" t="s">
        <v>12856</v>
      </c>
      <c r="N1622" s="235" t="s">
        <v>82</v>
      </c>
      <c r="O1622" s="235" t="s">
        <v>889</v>
      </c>
      <c r="P1622" s="238">
        <v>1.0</v>
      </c>
      <c r="Q1622" s="235" t="s">
        <v>627</v>
      </c>
      <c r="R1622" s="238">
        <v>246.66</v>
      </c>
      <c r="S1622" s="238">
        <v>12.34</v>
      </c>
      <c r="T1622" s="238">
        <v>0.0</v>
      </c>
      <c r="U1622" s="238">
        <v>0.0</v>
      </c>
      <c r="V1622" s="238">
        <v>0.0</v>
      </c>
      <c r="W1622" s="238">
        <v>0.0</v>
      </c>
      <c r="X1622" s="235" t="s">
        <v>628</v>
      </c>
      <c r="Z1622" s="244"/>
      <c r="AA1622" s="244"/>
      <c r="AB1622" s="244"/>
      <c r="AC1622" s="235" t="s">
        <v>844</v>
      </c>
      <c r="AD1622" s="235" t="s">
        <v>845</v>
      </c>
      <c r="AE1622" s="238">
        <v>411005.0</v>
      </c>
      <c r="AF1622" s="235" t="s">
        <v>631</v>
      </c>
      <c r="AG1622" s="244"/>
      <c r="AH1622" s="244"/>
      <c r="AI1622" s="245"/>
      <c r="AJ1622" s="245"/>
      <c r="AK1622" s="245"/>
      <c r="AL1622" s="245"/>
      <c r="AM1622" s="244"/>
      <c r="AN1622" s="244"/>
      <c r="AO1622" s="238">
        <v>0.0</v>
      </c>
      <c r="AP1622" s="238">
        <v>0.0</v>
      </c>
      <c r="AQ1622" s="235" t="s">
        <v>632</v>
      </c>
      <c r="AR1622" s="243">
        <v>3.71E11</v>
      </c>
      <c r="AS1622" s="235" t="s">
        <v>11171</v>
      </c>
      <c r="AT1622" s="235" t="s">
        <v>546</v>
      </c>
      <c r="AU1622" s="235" t="s">
        <v>634</v>
      </c>
      <c r="AV1622" s="246" t="s">
        <v>635</v>
      </c>
      <c r="AW1622" s="242"/>
      <c r="AX1622" s="242"/>
      <c r="AY1622" s="231"/>
      <c r="AZ1622" s="231"/>
      <c r="BA1622" s="227"/>
      <c r="BB1622" s="231"/>
      <c r="BC1622" s="227"/>
      <c r="BD1622" s="227"/>
      <c r="BE1622" s="227"/>
      <c r="BF1622" s="227"/>
    </row>
    <row r="1623">
      <c r="A1623" s="235" t="s">
        <v>12857</v>
      </c>
      <c r="C1623" s="235" t="s">
        <v>12858</v>
      </c>
      <c r="D1623" s="235" t="s">
        <v>12859</v>
      </c>
      <c r="E1623" s="243">
        <v>6.55E13</v>
      </c>
      <c r="F1623" s="245"/>
      <c r="G1623" s="235" t="s">
        <v>12860</v>
      </c>
      <c r="H1623" s="235" t="s">
        <v>12861</v>
      </c>
      <c r="I1623" s="235" t="s">
        <v>12861</v>
      </c>
      <c r="J1623" s="235" t="s">
        <v>12862</v>
      </c>
      <c r="K1623" s="235" t="s">
        <v>12863</v>
      </c>
      <c r="N1623" s="235" t="s">
        <v>98</v>
      </c>
      <c r="O1623" s="235" t="s">
        <v>357</v>
      </c>
      <c r="P1623" s="238">
        <v>1.0</v>
      </c>
      <c r="Q1623" s="235" t="s">
        <v>627</v>
      </c>
      <c r="R1623" s="238">
        <v>246.66</v>
      </c>
      <c r="S1623" s="238">
        <v>12.1</v>
      </c>
      <c r="T1623" s="238">
        <v>38.1</v>
      </c>
      <c r="U1623" s="238">
        <v>1.9</v>
      </c>
      <c r="V1623" s="238">
        <v>0.0</v>
      </c>
      <c r="W1623" s="238">
        <v>0.0</v>
      </c>
      <c r="X1623" s="235" t="s">
        <v>628</v>
      </c>
      <c r="Z1623" s="244"/>
      <c r="AA1623" s="244"/>
      <c r="AB1623" s="244"/>
      <c r="AC1623" s="235" t="s">
        <v>12864</v>
      </c>
      <c r="AD1623" s="235" t="s">
        <v>845</v>
      </c>
      <c r="AE1623" s="238">
        <v>421003.0</v>
      </c>
      <c r="AF1623" s="235" t="s">
        <v>631</v>
      </c>
      <c r="AG1623" s="244"/>
      <c r="AH1623" s="244"/>
      <c r="AI1623" s="245"/>
      <c r="AJ1623" s="245"/>
      <c r="AK1623" s="245"/>
      <c r="AL1623" s="245"/>
      <c r="AM1623" s="244"/>
      <c r="AN1623" s="244"/>
      <c r="AO1623" s="238">
        <v>-4.94</v>
      </c>
      <c r="AP1623" s="238">
        <v>-38.1</v>
      </c>
      <c r="AQ1623" s="235" t="s">
        <v>1328</v>
      </c>
      <c r="AR1623" s="243">
        <v>1.34E13</v>
      </c>
      <c r="AS1623" s="235" t="s">
        <v>7365</v>
      </c>
      <c r="AT1623" s="235" t="s">
        <v>16</v>
      </c>
      <c r="AU1623" s="235" t="s">
        <v>634</v>
      </c>
      <c r="AV1623" s="246" t="s">
        <v>635</v>
      </c>
      <c r="AW1623" s="242"/>
      <c r="AX1623" s="242"/>
      <c r="AY1623" s="231"/>
      <c r="AZ1623" s="231"/>
      <c r="BA1623" s="227"/>
      <c r="BB1623" s="231"/>
      <c r="BC1623" s="227"/>
      <c r="BD1623" s="227"/>
      <c r="BE1623" s="227"/>
      <c r="BF1623" s="227"/>
    </row>
    <row r="1624">
      <c r="A1624" s="235" t="s">
        <v>12865</v>
      </c>
      <c r="C1624" s="235" t="s">
        <v>12866</v>
      </c>
      <c r="D1624" s="235" t="s">
        <v>12867</v>
      </c>
      <c r="E1624" s="243">
        <v>6.54E13</v>
      </c>
      <c r="F1624" s="245"/>
      <c r="G1624" s="235" t="s">
        <v>12868</v>
      </c>
      <c r="H1624" s="235" t="s">
        <v>12869</v>
      </c>
      <c r="I1624" s="235" t="s">
        <v>12870</v>
      </c>
      <c r="J1624" s="235" t="s">
        <v>12871</v>
      </c>
      <c r="K1624" s="235" t="s">
        <v>12872</v>
      </c>
      <c r="N1624" s="235" t="s">
        <v>154</v>
      </c>
      <c r="O1624" s="235" t="s">
        <v>766</v>
      </c>
      <c r="P1624" s="238">
        <v>1.0</v>
      </c>
      <c r="Q1624" s="235" t="s">
        <v>627</v>
      </c>
      <c r="R1624" s="238">
        <v>465.72</v>
      </c>
      <c r="S1624" s="238">
        <v>23.28</v>
      </c>
      <c r="T1624" s="238">
        <v>38.1</v>
      </c>
      <c r="U1624" s="238">
        <v>1.9</v>
      </c>
      <c r="V1624" s="238">
        <v>0.0</v>
      </c>
      <c r="W1624" s="238">
        <v>0.0</v>
      </c>
      <c r="X1624" s="235" t="s">
        <v>628</v>
      </c>
      <c r="Z1624" s="244"/>
      <c r="AA1624" s="244"/>
      <c r="AB1624" s="244"/>
      <c r="AC1624" s="235" t="s">
        <v>1058</v>
      </c>
      <c r="AD1624" s="235" t="s">
        <v>845</v>
      </c>
      <c r="AE1624" s="238">
        <v>400066.0</v>
      </c>
      <c r="AF1624" s="235" t="s">
        <v>631</v>
      </c>
      <c r="AG1624" s="244"/>
      <c r="AH1624" s="244"/>
      <c r="AI1624" s="245"/>
      <c r="AJ1624" s="245"/>
      <c r="AK1624" s="245"/>
      <c r="AL1624" s="245"/>
      <c r="AM1624" s="244"/>
      <c r="AN1624" s="244"/>
      <c r="AO1624" s="238">
        <v>0.0</v>
      </c>
      <c r="AP1624" s="238">
        <v>-38.1</v>
      </c>
      <c r="AQ1624" s="235" t="s">
        <v>632</v>
      </c>
      <c r="AR1624" s="243">
        <v>3.71E11</v>
      </c>
      <c r="AS1624" s="235" t="s">
        <v>11171</v>
      </c>
      <c r="AT1624" s="235" t="s">
        <v>16</v>
      </c>
      <c r="AU1624" s="235" t="s">
        <v>634</v>
      </c>
      <c r="AV1624" s="246" t="s">
        <v>635</v>
      </c>
      <c r="AW1624" s="242"/>
      <c r="AX1624" s="242"/>
      <c r="AY1624" s="231"/>
      <c r="AZ1624" s="231"/>
      <c r="BA1624" s="227"/>
      <c r="BB1624" s="231"/>
      <c r="BC1624" s="227"/>
      <c r="BD1624" s="227"/>
      <c r="BE1624" s="227"/>
      <c r="BF1624" s="227"/>
    </row>
    <row r="1625">
      <c r="A1625" s="235" t="s">
        <v>12873</v>
      </c>
      <c r="C1625" s="235" t="s">
        <v>12874</v>
      </c>
      <c r="D1625" s="235" t="s">
        <v>12875</v>
      </c>
      <c r="E1625" s="243">
        <v>6.54E13</v>
      </c>
      <c r="F1625" s="245"/>
      <c r="G1625" s="235" t="s">
        <v>12876</v>
      </c>
      <c r="H1625" s="235" t="s">
        <v>12877</v>
      </c>
      <c r="I1625" s="235" t="s">
        <v>12878</v>
      </c>
      <c r="J1625" s="235" t="s">
        <v>12879</v>
      </c>
      <c r="K1625" s="235" t="s">
        <v>12880</v>
      </c>
      <c r="N1625" s="235" t="s">
        <v>127</v>
      </c>
      <c r="O1625" s="235" t="s">
        <v>794</v>
      </c>
      <c r="P1625" s="238">
        <v>1.0</v>
      </c>
      <c r="Q1625" s="235" t="s">
        <v>627</v>
      </c>
      <c r="R1625" s="238">
        <v>246.66</v>
      </c>
      <c r="S1625" s="238">
        <v>12.1</v>
      </c>
      <c r="T1625" s="238">
        <v>38.1</v>
      </c>
      <c r="U1625" s="238">
        <v>1.9</v>
      </c>
      <c r="V1625" s="238">
        <v>0.0</v>
      </c>
      <c r="W1625" s="238">
        <v>0.0</v>
      </c>
      <c r="X1625" s="235" t="s">
        <v>628</v>
      </c>
      <c r="Z1625" s="244"/>
      <c r="AA1625" s="244"/>
      <c r="AB1625" s="244"/>
      <c r="AC1625" s="235" t="s">
        <v>6182</v>
      </c>
      <c r="AD1625" s="235" t="s">
        <v>845</v>
      </c>
      <c r="AE1625" s="238">
        <v>401301.0</v>
      </c>
      <c r="AF1625" s="235" t="s">
        <v>631</v>
      </c>
      <c r="AG1625" s="244"/>
      <c r="AH1625" s="244"/>
      <c r="AI1625" s="245"/>
      <c r="AJ1625" s="245"/>
      <c r="AK1625" s="245"/>
      <c r="AL1625" s="245"/>
      <c r="AM1625" s="244"/>
      <c r="AN1625" s="244"/>
      <c r="AO1625" s="238">
        <v>-4.94</v>
      </c>
      <c r="AP1625" s="238">
        <v>-38.1</v>
      </c>
      <c r="AQ1625" s="235" t="s">
        <v>632</v>
      </c>
      <c r="AR1625" s="243">
        <v>3.71E11</v>
      </c>
      <c r="AS1625" s="235" t="s">
        <v>11171</v>
      </c>
      <c r="AT1625" s="235" t="s">
        <v>16</v>
      </c>
      <c r="AU1625" s="235" t="s">
        <v>634</v>
      </c>
      <c r="AV1625" s="246" t="s">
        <v>635</v>
      </c>
      <c r="AW1625" s="242"/>
      <c r="AX1625" s="242"/>
      <c r="AY1625" s="231"/>
      <c r="AZ1625" s="231"/>
      <c r="BA1625" s="227"/>
      <c r="BB1625" s="231"/>
      <c r="BC1625" s="227"/>
      <c r="BD1625" s="227"/>
      <c r="BE1625" s="227"/>
      <c r="BF1625" s="227"/>
    </row>
    <row r="1626">
      <c r="A1626" s="235" t="s">
        <v>12881</v>
      </c>
      <c r="C1626" s="235" t="s">
        <v>12882</v>
      </c>
      <c r="D1626" s="235" t="s">
        <v>12883</v>
      </c>
      <c r="E1626" s="243">
        <v>6.55E13</v>
      </c>
      <c r="F1626" s="245"/>
      <c r="G1626" s="235" t="s">
        <v>12884</v>
      </c>
      <c r="H1626" s="235" t="s">
        <v>12885</v>
      </c>
      <c r="I1626" s="235" t="s">
        <v>12885</v>
      </c>
      <c r="J1626" s="235" t="s">
        <v>12886</v>
      </c>
      <c r="K1626" s="235" t="s">
        <v>12887</v>
      </c>
      <c r="N1626" s="235" t="s">
        <v>82</v>
      </c>
      <c r="O1626" s="235" t="s">
        <v>889</v>
      </c>
      <c r="P1626" s="238">
        <v>1.0</v>
      </c>
      <c r="Q1626" s="235" t="s">
        <v>627</v>
      </c>
      <c r="R1626" s="238">
        <v>246.66</v>
      </c>
      <c r="S1626" s="238">
        <v>12.34</v>
      </c>
      <c r="T1626" s="238">
        <v>38.1</v>
      </c>
      <c r="U1626" s="238">
        <v>1.9</v>
      </c>
      <c r="V1626" s="238">
        <v>0.0</v>
      </c>
      <c r="W1626" s="238">
        <v>0.0</v>
      </c>
      <c r="X1626" s="235" t="s">
        <v>628</v>
      </c>
      <c r="Z1626" s="244"/>
      <c r="AA1626" s="244"/>
      <c r="AB1626" s="244"/>
      <c r="AC1626" s="235" t="s">
        <v>12888</v>
      </c>
      <c r="AD1626" s="235" t="s">
        <v>845</v>
      </c>
      <c r="AE1626" s="238">
        <v>413102.0</v>
      </c>
      <c r="AF1626" s="235" t="s">
        <v>631</v>
      </c>
      <c r="AG1626" s="244"/>
      <c r="AH1626" s="244"/>
      <c r="AI1626" s="245"/>
      <c r="AJ1626" s="245"/>
      <c r="AK1626" s="245"/>
      <c r="AL1626" s="245"/>
      <c r="AM1626" s="244"/>
      <c r="AN1626" s="244"/>
      <c r="AO1626" s="238">
        <v>0.0</v>
      </c>
      <c r="AP1626" s="238">
        <v>-38.1</v>
      </c>
      <c r="AQ1626" s="235" t="s">
        <v>632</v>
      </c>
      <c r="AR1626" s="243">
        <v>3.71E11</v>
      </c>
      <c r="AS1626" s="235" t="s">
        <v>10017</v>
      </c>
      <c r="AT1626" s="235" t="s">
        <v>546</v>
      </c>
      <c r="AU1626" s="235" t="s">
        <v>634</v>
      </c>
      <c r="AV1626" s="246" t="s">
        <v>635</v>
      </c>
      <c r="AW1626" s="242"/>
      <c r="AX1626" s="242"/>
      <c r="AY1626" s="231"/>
      <c r="AZ1626" s="231"/>
      <c r="BA1626" s="227"/>
      <c r="BB1626" s="231"/>
      <c r="BC1626" s="227"/>
      <c r="BD1626" s="227"/>
      <c r="BE1626" s="227"/>
      <c r="BF1626" s="227"/>
    </row>
    <row r="1627">
      <c r="A1627" s="235" t="s">
        <v>12889</v>
      </c>
      <c r="C1627" s="235" t="s">
        <v>12890</v>
      </c>
      <c r="D1627" s="235" t="s">
        <v>12891</v>
      </c>
      <c r="E1627" s="243">
        <v>6.55E13</v>
      </c>
      <c r="F1627" s="245"/>
      <c r="G1627" s="235" t="s">
        <v>12892</v>
      </c>
      <c r="H1627" s="235" t="s">
        <v>12893</v>
      </c>
      <c r="I1627" s="235" t="s">
        <v>12893</v>
      </c>
      <c r="J1627" s="235" t="s">
        <v>12894</v>
      </c>
      <c r="K1627" s="235" t="s">
        <v>12895</v>
      </c>
      <c r="N1627" s="235" t="s">
        <v>82</v>
      </c>
      <c r="O1627" s="235" t="s">
        <v>889</v>
      </c>
      <c r="P1627" s="238">
        <v>1.0</v>
      </c>
      <c r="Q1627" s="235" t="s">
        <v>627</v>
      </c>
      <c r="R1627" s="238">
        <v>242.86</v>
      </c>
      <c r="S1627" s="238">
        <v>12.14</v>
      </c>
      <c r="T1627" s="238">
        <v>38.1</v>
      </c>
      <c r="U1627" s="238">
        <v>1.9</v>
      </c>
      <c r="V1627" s="238">
        <v>0.0</v>
      </c>
      <c r="W1627" s="238">
        <v>0.0</v>
      </c>
      <c r="X1627" s="235" t="s">
        <v>628</v>
      </c>
      <c r="Z1627" s="244"/>
      <c r="AA1627" s="244"/>
      <c r="AB1627" s="244"/>
      <c r="AC1627" s="235" t="s">
        <v>12896</v>
      </c>
      <c r="AD1627" s="235" t="s">
        <v>1086</v>
      </c>
      <c r="AE1627" s="238">
        <v>147301.0</v>
      </c>
      <c r="AF1627" s="235" t="s">
        <v>631</v>
      </c>
      <c r="AG1627" s="244"/>
      <c r="AH1627" s="244"/>
      <c r="AI1627" s="245"/>
      <c r="AJ1627" s="245"/>
      <c r="AK1627" s="245"/>
      <c r="AL1627" s="245"/>
      <c r="AM1627" s="244"/>
      <c r="AN1627" s="244"/>
      <c r="AO1627" s="238">
        <v>0.0</v>
      </c>
      <c r="AP1627" s="238">
        <v>-38.1</v>
      </c>
      <c r="AQ1627" s="235" t="s">
        <v>632</v>
      </c>
      <c r="AR1627" s="243">
        <v>3.71E11</v>
      </c>
      <c r="AS1627" s="235" t="s">
        <v>10017</v>
      </c>
      <c r="AT1627" s="235" t="s">
        <v>13</v>
      </c>
      <c r="AU1627" s="235" t="s">
        <v>634</v>
      </c>
      <c r="AV1627" s="246" t="s">
        <v>635</v>
      </c>
      <c r="AW1627" s="242"/>
      <c r="AX1627" s="242"/>
      <c r="AY1627" s="231"/>
      <c r="AZ1627" s="231"/>
      <c r="BA1627" s="227"/>
      <c r="BB1627" s="231"/>
      <c r="BC1627" s="227"/>
      <c r="BD1627" s="227"/>
      <c r="BE1627" s="227"/>
      <c r="BF1627" s="227"/>
    </row>
    <row r="1628">
      <c r="A1628" s="235" t="s">
        <v>12897</v>
      </c>
      <c r="C1628" s="235" t="s">
        <v>12898</v>
      </c>
      <c r="D1628" s="235" t="s">
        <v>12899</v>
      </c>
      <c r="E1628" s="243">
        <v>6.55E13</v>
      </c>
      <c r="F1628" s="245"/>
      <c r="G1628" s="235" t="s">
        <v>12900</v>
      </c>
      <c r="H1628" s="235" t="s">
        <v>12901</v>
      </c>
      <c r="I1628" s="235" t="s">
        <v>12901</v>
      </c>
      <c r="J1628" s="235" t="s">
        <v>12902</v>
      </c>
      <c r="K1628" s="235" t="s">
        <v>12903</v>
      </c>
      <c r="N1628" s="235" t="s">
        <v>47</v>
      </c>
      <c r="O1628" s="235" t="s">
        <v>270</v>
      </c>
      <c r="P1628" s="238">
        <v>1.0</v>
      </c>
      <c r="Q1628" s="235" t="s">
        <v>627</v>
      </c>
      <c r="R1628" s="238">
        <v>237.14</v>
      </c>
      <c r="S1628" s="238">
        <v>11.86</v>
      </c>
      <c r="T1628" s="238">
        <v>0.0</v>
      </c>
      <c r="U1628" s="238">
        <v>0.0</v>
      </c>
      <c r="V1628" s="238">
        <v>0.0</v>
      </c>
      <c r="W1628" s="238">
        <v>0.0</v>
      </c>
      <c r="X1628" s="235" t="s">
        <v>628</v>
      </c>
      <c r="Z1628" s="244"/>
      <c r="AA1628" s="244"/>
      <c r="AB1628" s="244"/>
      <c r="AC1628" s="235" t="s">
        <v>697</v>
      </c>
      <c r="AD1628" s="235" t="s">
        <v>698</v>
      </c>
      <c r="AE1628" s="238">
        <v>500019.0</v>
      </c>
      <c r="AF1628" s="235" t="s">
        <v>631</v>
      </c>
      <c r="AG1628" s="244"/>
      <c r="AH1628" s="244"/>
      <c r="AI1628" s="245"/>
      <c r="AJ1628" s="245"/>
      <c r="AK1628" s="245"/>
      <c r="AL1628" s="245"/>
      <c r="AM1628" s="244"/>
      <c r="AN1628" s="244"/>
      <c r="AO1628" s="238">
        <v>0.0</v>
      </c>
      <c r="AP1628" s="238">
        <v>0.0</v>
      </c>
      <c r="AQ1628" s="235" t="s">
        <v>632</v>
      </c>
      <c r="AR1628" s="243">
        <v>1.68E11</v>
      </c>
      <c r="AS1628" s="235" t="s">
        <v>11171</v>
      </c>
      <c r="AT1628" s="235" t="s">
        <v>9</v>
      </c>
      <c r="AU1628" s="235" t="s">
        <v>634</v>
      </c>
      <c r="AV1628" s="246" t="s">
        <v>635</v>
      </c>
      <c r="AW1628" s="242"/>
      <c r="AX1628" s="242"/>
      <c r="AY1628" s="231"/>
      <c r="AZ1628" s="231"/>
      <c r="BA1628" s="227"/>
      <c r="BB1628" s="231"/>
      <c r="BC1628" s="227"/>
      <c r="BD1628" s="227"/>
      <c r="BE1628" s="227"/>
      <c r="BF1628" s="227"/>
    </row>
    <row r="1629">
      <c r="A1629" s="235" t="s">
        <v>12904</v>
      </c>
      <c r="C1629" s="235" t="s">
        <v>12905</v>
      </c>
      <c r="D1629" s="235" t="s">
        <v>12906</v>
      </c>
      <c r="E1629" s="243">
        <v>6.55E13</v>
      </c>
      <c r="F1629" s="245"/>
      <c r="G1629" s="235" t="s">
        <v>12907</v>
      </c>
      <c r="H1629" s="235" t="s">
        <v>12908</v>
      </c>
      <c r="I1629" s="235" t="s">
        <v>12908</v>
      </c>
      <c r="J1629" s="235" t="s">
        <v>12909</v>
      </c>
      <c r="K1629" s="235" t="s">
        <v>12910</v>
      </c>
      <c r="N1629" s="235" t="s">
        <v>127</v>
      </c>
      <c r="O1629" s="235" t="s">
        <v>794</v>
      </c>
      <c r="P1629" s="238">
        <v>1.0</v>
      </c>
      <c r="Q1629" s="235" t="s">
        <v>627</v>
      </c>
      <c r="R1629" s="238">
        <v>246.67</v>
      </c>
      <c r="S1629" s="238">
        <v>12.33</v>
      </c>
      <c r="T1629" s="238">
        <v>0.0</v>
      </c>
      <c r="U1629" s="238">
        <v>0.0</v>
      </c>
      <c r="V1629" s="238">
        <v>0.0</v>
      </c>
      <c r="W1629" s="238">
        <v>0.0</v>
      </c>
      <c r="X1629" s="235" t="s">
        <v>628</v>
      </c>
      <c r="Z1629" s="244"/>
      <c r="AA1629" s="244"/>
      <c r="AB1629" s="244"/>
      <c r="AC1629" s="235" t="s">
        <v>697</v>
      </c>
      <c r="AD1629" s="235" t="s">
        <v>698</v>
      </c>
      <c r="AE1629" s="238">
        <v>500059.0</v>
      </c>
      <c r="AF1629" s="235" t="s">
        <v>631</v>
      </c>
      <c r="AG1629" s="244"/>
      <c r="AH1629" s="244"/>
      <c r="AI1629" s="245"/>
      <c r="AJ1629" s="245"/>
      <c r="AK1629" s="245"/>
      <c r="AL1629" s="245"/>
      <c r="AM1629" s="244"/>
      <c r="AN1629" s="244"/>
      <c r="AO1629" s="238">
        <v>0.0</v>
      </c>
      <c r="AP1629" s="238">
        <v>0.0</v>
      </c>
      <c r="AQ1629" s="235" t="s">
        <v>632</v>
      </c>
      <c r="AR1629" s="243">
        <v>1.68E11</v>
      </c>
      <c r="AS1629" s="235" t="s">
        <v>11171</v>
      </c>
      <c r="AT1629" s="235" t="s">
        <v>9</v>
      </c>
      <c r="AU1629" s="235" t="s">
        <v>634</v>
      </c>
      <c r="AV1629" s="246" t="s">
        <v>635</v>
      </c>
      <c r="AW1629" s="242"/>
      <c r="AX1629" s="242"/>
      <c r="AY1629" s="231"/>
      <c r="AZ1629" s="231"/>
      <c r="BA1629" s="227"/>
      <c r="BB1629" s="227"/>
      <c r="BC1629" s="227"/>
      <c r="BD1629" s="227"/>
      <c r="BE1629" s="227"/>
      <c r="BF1629" s="227"/>
    </row>
    <row r="1630">
      <c r="A1630" s="235" t="s">
        <v>12911</v>
      </c>
      <c r="C1630" s="235" t="s">
        <v>12912</v>
      </c>
      <c r="D1630" s="235" t="s">
        <v>12913</v>
      </c>
      <c r="E1630" s="243">
        <v>6.55E13</v>
      </c>
      <c r="F1630" s="245"/>
      <c r="G1630" s="235" t="s">
        <v>12914</v>
      </c>
      <c r="H1630" s="235" t="s">
        <v>12915</v>
      </c>
      <c r="I1630" s="235" t="s">
        <v>12915</v>
      </c>
      <c r="J1630" s="235" t="s">
        <v>12916</v>
      </c>
      <c r="K1630" s="235" t="s">
        <v>12917</v>
      </c>
      <c r="N1630" s="235" t="s">
        <v>53</v>
      </c>
      <c r="O1630" s="235" t="s">
        <v>512</v>
      </c>
      <c r="P1630" s="238">
        <v>1.0</v>
      </c>
      <c r="Q1630" s="235" t="s">
        <v>627</v>
      </c>
      <c r="R1630" s="238">
        <v>237.14</v>
      </c>
      <c r="S1630" s="238">
        <v>11.86</v>
      </c>
      <c r="T1630" s="238">
        <v>0.0</v>
      </c>
      <c r="U1630" s="238">
        <v>0.0</v>
      </c>
      <c r="V1630" s="238">
        <v>0.0</v>
      </c>
      <c r="W1630" s="238">
        <v>0.0</v>
      </c>
      <c r="X1630" s="235" t="s">
        <v>628</v>
      </c>
      <c r="Z1630" s="244"/>
      <c r="AA1630" s="244"/>
      <c r="AB1630" s="244"/>
      <c r="AC1630" s="235" t="s">
        <v>687</v>
      </c>
      <c r="AD1630" s="235" t="s">
        <v>666</v>
      </c>
      <c r="AE1630" s="238">
        <v>600100.0</v>
      </c>
      <c r="AF1630" s="235" t="s">
        <v>631</v>
      </c>
      <c r="AG1630" s="244"/>
      <c r="AH1630" s="244"/>
      <c r="AI1630" s="245"/>
      <c r="AJ1630" s="245"/>
      <c r="AK1630" s="245"/>
      <c r="AL1630" s="245"/>
      <c r="AM1630" s="244"/>
      <c r="AN1630" s="244"/>
      <c r="AO1630" s="238">
        <v>0.0</v>
      </c>
      <c r="AP1630" s="238">
        <v>0.0</v>
      </c>
      <c r="AQ1630" s="235" t="s">
        <v>632</v>
      </c>
      <c r="AR1630" s="243">
        <v>1.68E11</v>
      </c>
      <c r="AS1630" s="235" t="s">
        <v>12693</v>
      </c>
      <c r="AT1630" s="235" t="s">
        <v>156</v>
      </c>
      <c r="AU1630" s="235" t="s">
        <v>634</v>
      </c>
      <c r="AV1630" s="246" t="s">
        <v>635</v>
      </c>
      <c r="AW1630" s="242"/>
      <c r="AX1630" s="242"/>
      <c r="AY1630" s="231"/>
      <c r="AZ1630" s="231"/>
      <c r="BA1630" s="227"/>
      <c r="BB1630" s="231"/>
      <c r="BC1630" s="227"/>
      <c r="BD1630" s="227"/>
      <c r="BE1630" s="227"/>
      <c r="BF1630" s="227"/>
    </row>
    <row r="1631">
      <c r="A1631" s="235" t="s">
        <v>12918</v>
      </c>
      <c r="C1631" s="235" t="s">
        <v>12919</v>
      </c>
      <c r="D1631" s="235" t="s">
        <v>12920</v>
      </c>
      <c r="E1631" s="243">
        <v>6.55E13</v>
      </c>
      <c r="F1631" s="245"/>
      <c r="G1631" s="235" t="s">
        <v>12921</v>
      </c>
      <c r="H1631" s="235" t="s">
        <v>12922</v>
      </c>
      <c r="I1631" s="235" t="s">
        <v>12922</v>
      </c>
      <c r="J1631" s="235" t="s">
        <v>12923</v>
      </c>
      <c r="K1631" s="235" t="s">
        <v>12924</v>
      </c>
      <c r="N1631" s="235" t="s">
        <v>127</v>
      </c>
      <c r="O1631" s="235" t="s">
        <v>794</v>
      </c>
      <c r="P1631" s="238">
        <v>1.0</v>
      </c>
      <c r="Q1631" s="235" t="s">
        <v>627</v>
      </c>
      <c r="R1631" s="238">
        <v>246.67</v>
      </c>
      <c r="S1631" s="238">
        <v>12.33</v>
      </c>
      <c r="T1631" s="238">
        <v>38.1</v>
      </c>
      <c r="U1631" s="238">
        <v>1.9</v>
      </c>
      <c r="V1631" s="238">
        <v>0.0</v>
      </c>
      <c r="W1631" s="238">
        <v>0.0</v>
      </c>
      <c r="X1631" s="235" t="s">
        <v>628</v>
      </c>
      <c r="Z1631" s="244"/>
      <c r="AA1631" s="244"/>
      <c r="AB1631" s="244"/>
      <c r="AC1631" s="235" t="s">
        <v>12925</v>
      </c>
      <c r="AD1631" s="235" t="s">
        <v>12034</v>
      </c>
      <c r="AE1631" s="238">
        <v>792105.0</v>
      </c>
      <c r="AF1631" s="235" t="s">
        <v>631</v>
      </c>
      <c r="AG1631" s="244"/>
      <c r="AH1631" s="244"/>
      <c r="AI1631" s="245"/>
      <c r="AJ1631" s="245"/>
      <c r="AK1631" s="245"/>
      <c r="AL1631" s="245"/>
      <c r="AM1631" s="244"/>
      <c r="AN1631" s="244"/>
      <c r="AO1631" s="238">
        <v>0.0</v>
      </c>
      <c r="AP1631" s="238">
        <v>-38.1</v>
      </c>
      <c r="AQ1631" s="235" t="s">
        <v>1328</v>
      </c>
      <c r="AR1631" s="243">
        <v>1.34E13</v>
      </c>
      <c r="AS1631" s="235" t="s">
        <v>3284</v>
      </c>
      <c r="AT1631" s="235" t="s">
        <v>13</v>
      </c>
      <c r="AU1631" s="235" t="s">
        <v>634</v>
      </c>
      <c r="AV1631" s="246" t="s">
        <v>635</v>
      </c>
      <c r="AW1631" s="242"/>
      <c r="AX1631" s="242"/>
      <c r="AY1631" s="231"/>
      <c r="AZ1631" s="231"/>
      <c r="BA1631" s="227"/>
      <c r="BB1631" s="231"/>
      <c r="BC1631" s="227"/>
      <c r="BD1631" s="227"/>
      <c r="BE1631" s="227"/>
      <c r="BF1631" s="227"/>
    </row>
    <row r="1632">
      <c r="A1632" s="235" t="s">
        <v>12926</v>
      </c>
      <c r="C1632" s="235" t="s">
        <v>12927</v>
      </c>
      <c r="D1632" s="235" t="s">
        <v>12928</v>
      </c>
      <c r="E1632" s="243">
        <v>6.55E13</v>
      </c>
      <c r="F1632" s="245"/>
      <c r="G1632" s="235" t="s">
        <v>12929</v>
      </c>
      <c r="H1632" s="235" t="s">
        <v>12930</v>
      </c>
      <c r="I1632" s="235" t="s">
        <v>12931</v>
      </c>
      <c r="J1632" s="235" t="s">
        <v>12932</v>
      </c>
      <c r="K1632" s="235" t="s">
        <v>12933</v>
      </c>
      <c r="N1632" s="235" t="s">
        <v>138</v>
      </c>
      <c r="O1632" s="235" t="s">
        <v>675</v>
      </c>
      <c r="P1632" s="238">
        <v>1.0</v>
      </c>
      <c r="Q1632" s="235" t="s">
        <v>627</v>
      </c>
      <c r="R1632" s="238">
        <v>246.67</v>
      </c>
      <c r="S1632" s="238">
        <v>12.33</v>
      </c>
      <c r="T1632" s="238">
        <v>0.0</v>
      </c>
      <c r="U1632" s="238">
        <v>0.0</v>
      </c>
      <c r="V1632" s="238">
        <v>0.0</v>
      </c>
      <c r="W1632" s="238">
        <v>0.0</v>
      </c>
      <c r="X1632" s="235" t="s">
        <v>628</v>
      </c>
      <c r="Z1632" s="244"/>
      <c r="AA1632" s="244"/>
      <c r="AB1632" s="244"/>
      <c r="AC1632" s="235" t="s">
        <v>3374</v>
      </c>
      <c r="AD1632" s="235" t="s">
        <v>645</v>
      </c>
      <c r="AE1632" s="238">
        <v>695003.0</v>
      </c>
      <c r="AF1632" s="235" t="s">
        <v>631</v>
      </c>
      <c r="AG1632" s="244"/>
      <c r="AH1632" s="244"/>
      <c r="AI1632" s="245"/>
      <c r="AJ1632" s="245"/>
      <c r="AK1632" s="245"/>
      <c r="AL1632" s="245"/>
      <c r="AM1632" s="244"/>
      <c r="AN1632" s="244"/>
      <c r="AO1632" s="238">
        <v>0.0</v>
      </c>
      <c r="AP1632" s="238">
        <v>0.0</v>
      </c>
      <c r="AQ1632" s="235" t="s">
        <v>632</v>
      </c>
      <c r="AR1632" s="243">
        <v>1.68E11</v>
      </c>
      <c r="AS1632" s="235" t="s">
        <v>11171</v>
      </c>
      <c r="AT1632" s="235" t="s">
        <v>9</v>
      </c>
      <c r="AU1632" s="235" t="s">
        <v>634</v>
      </c>
      <c r="AV1632" s="246" t="s">
        <v>635</v>
      </c>
      <c r="AW1632" s="242"/>
      <c r="AX1632" s="242"/>
      <c r="AY1632" s="231"/>
      <c r="AZ1632" s="231"/>
      <c r="BA1632" s="227"/>
      <c r="BB1632" s="231"/>
      <c r="BC1632" s="227"/>
      <c r="BD1632" s="227"/>
      <c r="BE1632" s="227"/>
      <c r="BF1632" s="227"/>
    </row>
    <row r="1633">
      <c r="A1633" s="235" t="s">
        <v>12934</v>
      </c>
      <c r="C1633" s="235" t="s">
        <v>12935</v>
      </c>
      <c r="D1633" s="235" t="s">
        <v>12936</v>
      </c>
      <c r="E1633" s="243">
        <v>6.55E13</v>
      </c>
      <c r="F1633" s="245"/>
      <c r="G1633" s="235" t="s">
        <v>12937</v>
      </c>
      <c r="H1633" s="235" t="s">
        <v>12938</v>
      </c>
      <c r="I1633" s="235" t="s">
        <v>12938</v>
      </c>
      <c r="J1633" s="235" t="s">
        <v>12939</v>
      </c>
      <c r="K1633" s="235" t="s">
        <v>12940</v>
      </c>
      <c r="N1633" s="235" t="s">
        <v>117</v>
      </c>
      <c r="O1633" s="235" t="s">
        <v>334</v>
      </c>
      <c r="P1633" s="238">
        <v>1.0</v>
      </c>
      <c r="Q1633" s="235" t="s">
        <v>627</v>
      </c>
      <c r="R1633" s="238">
        <v>237.14</v>
      </c>
      <c r="S1633" s="238">
        <v>11.86</v>
      </c>
      <c r="T1633" s="238">
        <v>0.0</v>
      </c>
      <c r="U1633" s="238">
        <v>0.0</v>
      </c>
      <c r="V1633" s="238">
        <v>0.0</v>
      </c>
      <c r="W1633" s="238">
        <v>0.0</v>
      </c>
      <c r="X1633" s="235" t="s">
        <v>628</v>
      </c>
      <c r="Z1633" s="244"/>
      <c r="AA1633" s="244"/>
      <c r="AB1633" s="244"/>
      <c r="AC1633" s="235" t="s">
        <v>12941</v>
      </c>
      <c r="AD1633" s="235" t="s">
        <v>679</v>
      </c>
      <c r="AE1633" s="238">
        <v>585401.0</v>
      </c>
      <c r="AF1633" s="235" t="s">
        <v>631</v>
      </c>
      <c r="AG1633" s="244"/>
      <c r="AH1633" s="244"/>
      <c r="AI1633" s="245"/>
      <c r="AJ1633" s="245"/>
      <c r="AK1633" s="245"/>
      <c r="AL1633" s="245"/>
      <c r="AM1633" s="244"/>
      <c r="AN1633" s="244"/>
      <c r="AO1633" s="238">
        <v>0.0</v>
      </c>
      <c r="AP1633" s="238">
        <v>0.0</v>
      </c>
      <c r="AQ1633" s="235" t="s">
        <v>632</v>
      </c>
      <c r="AR1633" s="243">
        <v>3.71E11</v>
      </c>
      <c r="AS1633" s="235" t="s">
        <v>10017</v>
      </c>
      <c r="AT1633" s="235" t="s">
        <v>9</v>
      </c>
      <c r="AU1633" s="235" t="s">
        <v>634</v>
      </c>
      <c r="AV1633" s="246" t="s">
        <v>635</v>
      </c>
      <c r="AW1633" s="242"/>
      <c r="AX1633" s="242"/>
      <c r="AY1633" s="231"/>
      <c r="AZ1633" s="231"/>
      <c r="BA1633" s="227"/>
      <c r="BB1633" s="231"/>
      <c r="BC1633" s="227"/>
      <c r="BD1633" s="227"/>
      <c r="BE1633" s="227"/>
      <c r="BF1633" s="227"/>
    </row>
    <row r="1634">
      <c r="A1634" s="235" t="s">
        <v>12942</v>
      </c>
      <c r="C1634" s="235" t="s">
        <v>12943</v>
      </c>
      <c r="D1634" s="235" t="s">
        <v>12944</v>
      </c>
      <c r="E1634" s="243">
        <v>6.55E13</v>
      </c>
      <c r="F1634" s="245"/>
      <c r="G1634" s="235" t="s">
        <v>12945</v>
      </c>
      <c r="H1634" s="235" t="s">
        <v>12946</v>
      </c>
      <c r="I1634" s="235" t="s">
        <v>12946</v>
      </c>
      <c r="J1634" s="235" t="s">
        <v>12947</v>
      </c>
      <c r="K1634" s="235" t="s">
        <v>12948</v>
      </c>
      <c r="N1634" s="235" t="s">
        <v>2163</v>
      </c>
      <c r="O1634" s="235" t="s">
        <v>2164</v>
      </c>
      <c r="P1634" s="238">
        <v>1.0</v>
      </c>
      <c r="Q1634" s="235" t="s">
        <v>627</v>
      </c>
      <c r="R1634" s="238">
        <v>246.67</v>
      </c>
      <c r="S1634" s="238">
        <v>12.33</v>
      </c>
      <c r="T1634" s="238">
        <v>0.0</v>
      </c>
      <c r="U1634" s="238">
        <v>0.0</v>
      </c>
      <c r="V1634" s="238">
        <v>0.0</v>
      </c>
      <c r="W1634" s="238">
        <v>0.0</v>
      </c>
      <c r="X1634" s="235" t="s">
        <v>628</v>
      </c>
      <c r="Z1634" s="244"/>
      <c r="AA1634" s="244"/>
      <c r="AB1634" s="244"/>
      <c r="AC1634" s="235" t="s">
        <v>678</v>
      </c>
      <c r="AD1634" s="235" t="s">
        <v>679</v>
      </c>
      <c r="AE1634" s="238">
        <v>560049.0</v>
      </c>
      <c r="AF1634" s="235" t="s">
        <v>631</v>
      </c>
      <c r="AG1634" s="244"/>
      <c r="AH1634" s="244"/>
      <c r="AI1634" s="245"/>
      <c r="AJ1634" s="245"/>
      <c r="AK1634" s="245"/>
      <c r="AL1634" s="245"/>
      <c r="AM1634" s="244"/>
      <c r="AN1634" s="244"/>
      <c r="AO1634" s="238">
        <v>0.0</v>
      </c>
      <c r="AP1634" s="238">
        <v>0.0</v>
      </c>
      <c r="AQ1634" s="235" t="s">
        <v>632</v>
      </c>
      <c r="AR1634" s="243">
        <v>2.02E11</v>
      </c>
      <c r="AS1634" s="235" t="s">
        <v>11171</v>
      </c>
      <c r="AT1634" s="235" t="s">
        <v>13</v>
      </c>
      <c r="AU1634" s="235" t="s">
        <v>634</v>
      </c>
      <c r="AV1634" s="246" t="s">
        <v>635</v>
      </c>
      <c r="AW1634" s="242"/>
      <c r="AX1634" s="242"/>
      <c r="AY1634" s="231"/>
      <c r="AZ1634" s="231"/>
      <c r="BA1634" s="227"/>
      <c r="BB1634" s="231"/>
      <c r="BC1634" s="227"/>
      <c r="BD1634" s="227"/>
      <c r="BE1634" s="227"/>
      <c r="BF1634" s="227"/>
    </row>
    <row r="1635">
      <c r="A1635" s="235" t="s">
        <v>12949</v>
      </c>
      <c r="C1635" s="235" t="s">
        <v>12950</v>
      </c>
      <c r="D1635" s="235" t="s">
        <v>12951</v>
      </c>
      <c r="E1635" s="243">
        <v>6.55E13</v>
      </c>
      <c r="F1635" s="245"/>
      <c r="G1635" s="235" t="s">
        <v>12952</v>
      </c>
      <c r="H1635" s="235" t="s">
        <v>12953</v>
      </c>
      <c r="I1635" s="235" t="s">
        <v>12953</v>
      </c>
      <c r="J1635" s="235" t="s">
        <v>12954</v>
      </c>
      <c r="K1635" s="235" t="s">
        <v>12955</v>
      </c>
      <c r="N1635" s="235" t="s">
        <v>42</v>
      </c>
      <c r="O1635" s="235" t="s">
        <v>204</v>
      </c>
      <c r="P1635" s="238">
        <v>1.0</v>
      </c>
      <c r="Q1635" s="235" t="s">
        <v>627</v>
      </c>
      <c r="R1635" s="238">
        <v>237.14</v>
      </c>
      <c r="S1635" s="238">
        <v>11.86</v>
      </c>
      <c r="T1635" s="238">
        <v>0.0</v>
      </c>
      <c r="U1635" s="238">
        <v>0.0</v>
      </c>
      <c r="V1635" s="238">
        <v>0.0</v>
      </c>
      <c r="W1635" s="238">
        <v>0.0</v>
      </c>
      <c r="X1635" s="235" t="s">
        <v>628</v>
      </c>
      <c r="Z1635" s="244"/>
      <c r="AA1635" s="244"/>
      <c r="AB1635" s="244"/>
      <c r="AC1635" s="235" t="s">
        <v>687</v>
      </c>
      <c r="AD1635" s="235" t="s">
        <v>666</v>
      </c>
      <c r="AE1635" s="238">
        <v>600023.0</v>
      </c>
      <c r="AF1635" s="235" t="s">
        <v>631</v>
      </c>
      <c r="AG1635" s="244"/>
      <c r="AH1635" s="244"/>
      <c r="AI1635" s="245"/>
      <c r="AJ1635" s="245"/>
      <c r="AK1635" s="245"/>
      <c r="AL1635" s="245"/>
      <c r="AM1635" s="244"/>
      <c r="AN1635" s="244"/>
      <c r="AO1635" s="238">
        <v>0.0</v>
      </c>
      <c r="AP1635" s="238">
        <v>0.0</v>
      </c>
      <c r="AQ1635" s="235" t="s">
        <v>632</v>
      </c>
      <c r="AR1635" s="243">
        <v>1.68E11</v>
      </c>
      <c r="AS1635" s="235" t="s">
        <v>12693</v>
      </c>
      <c r="AT1635" s="235" t="s">
        <v>156</v>
      </c>
      <c r="AU1635" s="235" t="s">
        <v>634</v>
      </c>
      <c r="AV1635" s="246" t="s">
        <v>635</v>
      </c>
      <c r="AW1635" s="242"/>
      <c r="AX1635" s="242"/>
      <c r="AY1635" s="231"/>
      <c r="AZ1635" s="231"/>
      <c r="BA1635" s="227"/>
      <c r="BB1635" s="231"/>
      <c r="BC1635" s="227"/>
      <c r="BD1635" s="227"/>
      <c r="BE1635" s="227"/>
      <c r="BF1635" s="227"/>
    </row>
    <row r="1636">
      <c r="A1636" s="235" t="s">
        <v>12956</v>
      </c>
      <c r="C1636" s="235" t="s">
        <v>12957</v>
      </c>
      <c r="D1636" s="235" t="s">
        <v>12958</v>
      </c>
      <c r="E1636" s="243">
        <v>6.55E13</v>
      </c>
      <c r="F1636" s="245"/>
      <c r="G1636" s="235" t="s">
        <v>12959</v>
      </c>
      <c r="H1636" s="235" t="s">
        <v>12960</v>
      </c>
      <c r="I1636" s="235" t="s">
        <v>12960</v>
      </c>
      <c r="J1636" s="235" t="s">
        <v>12961</v>
      </c>
      <c r="K1636" s="235" t="s">
        <v>12962</v>
      </c>
      <c r="N1636" s="235" t="s">
        <v>43</v>
      </c>
      <c r="O1636" s="235" t="s">
        <v>276</v>
      </c>
      <c r="P1636" s="238">
        <v>1.0</v>
      </c>
      <c r="Q1636" s="235" t="s">
        <v>627</v>
      </c>
      <c r="R1636" s="238">
        <v>237.14</v>
      </c>
      <c r="S1636" s="238">
        <v>11.62</v>
      </c>
      <c r="T1636" s="238">
        <v>0.0</v>
      </c>
      <c r="U1636" s="238">
        <v>0.0</v>
      </c>
      <c r="V1636" s="238">
        <v>0.0</v>
      </c>
      <c r="W1636" s="238">
        <v>0.0</v>
      </c>
      <c r="X1636" s="235" t="s">
        <v>628</v>
      </c>
      <c r="Z1636" s="244"/>
      <c r="AA1636" s="244"/>
      <c r="AB1636" s="244"/>
      <c r="AC1636" s="235" t="s">
        <v>697</v>
      </c>
      <c r="AD1636" s="235" t="s">
        <v>698</v>
      </c>
      <c r="AE1636" s="238">
        <v>500032.0</v>
      </c>
      <c r="AF1636" s="235" t="s">
        <v>631</v>
      </c>
      <c r="AG1636" s="244"/>
      <c r="AH1636" s="244"/>
      <c r="AI1636" s="245"/>
      <c r="AJ1636" s="245"/>
      <c r="AK1636" s="245"/>
      <c r="AL1636" s="245"/>
      <c r="AM1636" s="244"/>
      <c r="AN1636" s="244"/>
      <c r="AO1636" s="238">
        <v>-4.74</v>
      </c>
      <c r="AP1636" s="238">
        <v>0.0</v>
      </c>
      <c r="AQ1636" s="235" t="s">
        <v>632</v>
      </c>
      <c r="AR1636" s="243">
        <v>3.71E11</v>
      </c>
      <c r="AS1636" s="235" t="s">
        <v>10017</v>
      </c>
      <c r="AT1636" s="235" t="s">
        <v>156</v>
      </c>
      <c r="AU1636" s="235" t="s">
        <v>634</v>
      </c>
      <c r="AV1636" s="246" t="s">
        <v>635</v>
      </c>
      <c r="AW1636" s="242"/>
      <c r="AX1636" s="242"/>
      <c r="AY1636" s="231"/>
      <c r="AZ1636" s="231"/>
      <c r="BA1636" s="227"/>
      <c r="BB1636" s="231"/>
      <c r="BC1636" s="227"/>
      <c r="BD1636" s="227"/>
      <c r="BE1636" s="227"/>
      <c r="BF1636" s="227"/>
    </row>
    <row r="1637">
      <c r="A1637" s="235" t="s">
        <v>12963</v>
      </c>
      <c r="C1637" s="235" t="s">
        <v>12964</v>
      </c>
      <c r="D1637" s="235" t="s">
        <v>12965</v>
      </c>
      <c r="E1637" s="243">
        <v>6.55E13</v>
      </c>
      <c r="F1637" s="245"/>
      <c r="G1637" s="235" t="s">
        <v>12966</v>
      </c>
      <c r="H1637" s="235" t="s">
        <v>12967</v>
      </c>
      <c r="I1637" s="235" t="s">
        <v>12967</v>
      </c>
      <c r="J1637" s="235" t="s">
        <v>12968</v>
      </c>
      <c r="K1637" s="235" t="s">
        <v>12969</v>
      </c>
      <c r="N1637" s="235" t="s">
        <v>144</v>
      </c>
      <c r="O1637" s="235" t="s">
        <v>232</v>
      </c>
      <c r="P1637" s="238">
        <v>1.0</v>
      </c>
      <c r="Q1637" s="235" t="s">
        <v>627</v>
      </c>
      <c r="R1637" s="238">
        <v>665.72</v>
      </c>
      <c r="S1637" s="238">
        <v>33.28</v>
      </c>
      <c r="T1637" s="238">
        <v>0.0</v>
      </c>
      <c r="U1637" s="238">
        <v>0.0</v>
      </c>
      <c r="V1637" s="238">
        <v>0.0</v>
      </c>
      <c r="W1637" s="238">
        <v>0.0</v>
      </c>
      <c r="X1637" s="235" t="s">
        <v>628</v>
      </c>
      <c r="Z1637" s="244"/>
      <c r="AA1637" s="244"/>
      <c r="AB1637" s="244"/>
      <c r="AC1637" s="235" t="s">
        <v>12970</v>
      </c>
      <c r="AD1637" s="235" t="s">
        <v>845</v>
      </c>
      <c r="AE1637" s="238">
        <v>425405.0</v>
      </c>
      <c r="AF1637" s="235" t="s">
        <v>631</v>
      </c>
      <c r="AG1637" s="244"/>
      <c r="AH1637" s="244"/>
      <c r="AI1637" s="245"/>
      <c r="AJ1637" s="245"/>
      <c r="AK1637" s="245"/>
      <c r="AL1637" s="245"/>
      <c r="AM1637" s="244"/>
      <c r="AN1637" s="244"/>
      <c r="AO1637" s="238">
        <v>0.0</v>
      </c>
      <c r="AP1637" s="238">
        <v>0.0</v>
      </c>
      <c r="AQ1637" s="235" t="s">
        <v>632</v>
      </c>
      <c r="AR1637" s="243">
        <v>1.68E11</v>
      </c>
      <c r="AS1637" s="235" t="s">
        <v>11171</v>
      </c>
      <c r="AT1637" s="235" t="s">
        <v>16</v>
      </c>
      <c r="AU1637" s="235" t="s">
        <v>634</v>
      </c>
      <c r="AV1637" s="246" t="s">
        <v>635</v>
      </c>
      <c r="AW1637" s="242"/>
      <c r="AX1637" s="242"/>
      <c r="AY1637" s="231"/>
      <c r="AZ1637" s="231"/>
      <c r="BA1637" s="227"/>
      <c r="BB1637" s="231"/>
      <c r="BC1637" s="227"/>
      <c r="BD1637" s="227"/>
      <c r="BE1637" s="227"/>
      <c r="BF1637" s="227"/>
    </row>
    <row r="1638">
      <c r="A1638" s="235" t="s">
        <v>12971</v>
      </c>
      <c r="C1638" s="235" t="s">
        <v>12972</v>
      </c>
      <c r="D1638" s="235" t="s">
        <v>12973</v>
      </c>
      <c r="E1638" s="243">
        <v>6.55E13</v>
      </c>
      <c r="F1638" s="245"/>
      <c r="G1638" s="235" t="s">
        <v>12974</v>
      </c>
      <c r="H1638" s="235" t="s">
        <v>12975</v>
      </c>
      <c r="I1638" s="235" t="s">
        <v>12975</v>
      </c>
      <c r="J1638" s="235" t="s">
        <v>12976</v>
      </c>
      <c r="K1638" s="235" t="s">
        <v>12977</v>
      </c>
      <c r="N1638" s="235" t="s">
        <v>49</v>
      </c>
      <c r="O1638" s="235" t="s">
        <v>321</v>
      </c>
      <c r="P1638" s="238">
        <v>1.0</v>
      </c>
      <c r="Q1638" s="235" t="s">
        <v>627</v>
      </c>
      <c r="R1638" s="238">
        <v>237.14</v>
      </c>
      <c r="S1638" s="238">
        <v>11.86</v>
      </c>
      <c r="T1638" s="238">
        <v>0.0</v>
      </c>
      <c r="U1638" s="238">
        <v>0.0</v>
      </c>
      <c r="V1638" s="238">
        <v>0.0</v>
      </c>
      <c r="W1638" s="238">
        <v>0.0</v>
      </c>
      <c r="X1638" s="235" t="s">
        <v>628</v>
      </c>
      <c r="Z1638" s="244"/>
      <c r="AA1638" s="244"/>
      <c r="AB1638" s="244"/>
      <c r="AC1638" s="235" t="s">
        <v>814</v>
      </c>
      <c r="AD1638" s="235" t="s">
        <v>698</v>
      </c>
      <c r="AE1638" s="238">
        <v>502032.0</v>
      </c>
      <c r="AF1638" s="235" t="s">
        <v>631</v>
      </c>
      <c r="AG1638" s="244"/>
      <c r="AH1638" s="244"/>
      <c r="AI1638" s="245"/>
      <c r="AJ1638" s="245"/>
      <c r="AK1638" s="245"/>
      <c r="AL1638" s="245"/>
      <c r="AM1638" s="244"/>
      <c r="AN1638" s="244"/>
      <c r="AO1638" s="238">
        <v>0.0</v>
      </c>
      <c r="AP1638" s="238">
        <v>0.0</v>
      </c>
      <c r="AQ1638" s="235" t="s">
        <v>632</v>
      </c>
      <c r="AR1638" s="243">
        <v>3.71E11</v>
      </c>
      <c r="AS1638" s="235" t="s">
        <v>10017</v>
      </c>
      <c r="AT1638" s="235" t="s">
        <v>17</v>
      </c>
      <c r="AU1638" s="235" t="s">
        <v>634</v>
      </c>
      <c r="AV1638" s="246" t="s">
        <v>635</v>
      </c>
      <c r="AW1638" s="242"/>
      <c r="AX1638" s="242"/>
      <c r="AY1638" s="231"/>
      <c r="AZ1638" s="231"/>
      <c r="BA1638" s="227"/>
      <c r="BB1638" s="231"/>
      <c r="BC1638" s="227"/>
      <c r="BD1638" s="227"/>
      <c r="BE1638" s="227"/>
      <c r="BF1638" s="227"/>
    </row>
    <row r="1639">
      <c r="A1639" s="235" t="s">
        <v>12978</v>
      </c>
      <c r="C1639" s="235" t="s">
        <v>12979</v>
      </c>
      <c r="D1639" s="235" t="s">
        <v>12980</v>
      </c>
      <c r="E1639" s="243">
        <v>6.55E13</v>
      </c>
      <c r="F1639" s="245"/>
      <c r="G1639" s="235" t="s">
        <v>12981</v>
      </c>
      <c r="H1639" s="235" t="s">
        <v>12982</v>
      </c>
      <c r="I1639" s="235" t="s">
        <v>12982</v>
      </c>
      <c r="J1639" s="235" t="s">
        <v>12983</v>
      </c>
      <c r="K1639" s="235" t="s">
        <v>12984</v>
      </c>
      <c r="N1639" s="235" t="s">
        <v>43</v>
      </c>
      <c r="O1639" s="235" t="s">
        <v>276</v>
      </c>
      <c r="P1639" s="238">
        <v>1.0</v>
      </c>
      <c r="Q1639" s="235" t="s">
        <v>627</v>
      </c>
      <c r="R1639" s="238">
        <v>237.14</v>
      </c>
      <c r="S1639" s="238">
        <v>11.86</v>
      </c>
      <c r="T1639" s="238">
        <v>38.1</v>
      </c>
      <c r="U1639" s="238">
        <v>1.9</v>
      </c>
      <c r="V1639" s="238">
        <v>0.0</v>
      </c>
      <c r="W1639" s="238">
        <v>0.0</v>
      </c>
      <c r="X1639" s="235" t="s">
        <v>628</v>
      </c>
      <c r="Z1639" s="244"/>
      <c r="AA1639" s="244"/>
      <c r="AB1639" s="244"/>
      <c r="AC1639" s="235" t="s">
        <v>12985</v>
      </c>
      <c r="AD1639" s="235" t="s">
        <v>12986</v>
      </c>
      <c r="AE1639" s="238">
        <v>535002.0</v>
      </c>
      <c r="AF1639" s="235" t="s">
        <v>631</v>
      </c>
      <c r="AG1639" s="244"/>
      <c r="AH1639" s="244"/>
      <c r="AI1639" s="245"/>
      <c r="AJ1639" s="245"/>
      <c r="AK1639" s="245"/>
      <c r="AL1639" s="245"/>
      <c r="AM1639" s="244"/>
      <c r="AN1639" s="244"/>
      <c r="AO1639" s="238">
        <v>0.0</v>
      </c>
      <c r="AP1639" s="238">
        <v>-38.1</v>
      </c>
      <c r="AQ1639" s="235" t="s">
        <v>632</v>
      </c>
      <c r="AR1639" s="243">
        <v>3.71E11</v>
      </c>
      <c r="AS1639" s="235" t="s">
        <v>4697</v>
      </c>
      <c r="AT1639" s="235" t="s">
        <v>13</v>
      </c>
      <c r="AU1639" s="235" t="s">
        <v>634</v>
      </c>
      <c r="AV1639" s="246" t="s">
        <v>635</v>
      </c>
      <c r="AW1639" s="242"/>
      <c r="AX1639" s="242"/>
      <c r="AY1639" s="231"/>
      <c r="AZ1639" s="231"/>
      <c r="BA1639" s="227"/>
      <c r="BB1639" s="231"/>
      <c r="BC1639" s="227"/>
      <c r="BD1639" s="227"/>
      <c r="BE1639" s="227"/>
      <c r="BF1639" s="227"/>
    </row>
    <row r="1640">
      <c r="A1640" s="235" t="s">
        <v>12987</v>
      </c>
      <c r="C1640" s="235" t="s">
        <v>12988</v>
      </c>
      <c r="D1640" s="235" t="s">
        <v>12989</v>
      </c>
      <c r="E1640" s="243">
        <v>6.55E13</v>
      </c>
      <c r="F1640" s="245"/>
      <c r="G1640" s="235" t="s">
        <v>12990</v>
      </c>
      <c r="H1640" s="235" t="s">
        <v>12991</v>
      </c>
      <c r="I1640" s="235" t="s">
        <v>12991</v>
      </c>
      <c r="J1640" s="235" t="s">
        <v>12992</v>
      </c>
      <c r="K1640" s="235" t="s">
        <v>12993</v>
      </c>
      <c r="N1640" s="235" t="s">
        <v>53</v>
      </c>
      <c r="O1640" s="235" t="s">
        <v>512</v>
      </c>
      <c r="P1640" s="238">
        <v>1.0</v>
      </c>
      <c r="Q1640" s="235" t="s">
        <v>627</v>
      </c>
      <c r="R1640" s="238">
        <v>237.14</v>
      </c>
      <c r="S1640" s="238">
        <v>11.86</v>
      </c>
      <c r="T1640" s="238">
        <v>38.1</v>
      </c>
      <c r="U1640" s="238">
        <v>1.9</v>
      </c>
      <c r="V1640" s="238">
        <v>0.0</v>
      </c>
      <c r="W1640" s="238">
        <v>0.0</v>
      </c>
      <c r="X1640" s="235" t="s">
        <v>628</v>
      </c>
      <c r="Z1640" s="244"/>
      <c r="AA1640" s="244"/>
      <c r="AB1640" s="244"/>
      <c r="AC1640" s="235" t="s">
        <v>697</v>
      </c>
      <c r="AD1640" s="235" t="s">
        <v>698</v>
      </c>
      <c r="AE1640" s="238">
        <v>500100.0</v>
      </c>
      <c r="AF1640" s="235" t="s">
        <v>631</v>
      </c>
      <c r="AG1640" s="244"/>
      <c r="AH1640" s="244"/>
      <c r="AI1640" s="245"/>
      <c r="AJ1640" s="245"/>
      <c r="AK1640" s="245"/>
      <c r="AL1640" s="245"/>
      <c r="AM1640" s="244"/>
      <c r="AN1640" s="244"/>
      <c r="AO1640" s="238">
        <v>0.0</v>
      </c>
      <c r="AP1640" s="238">
        <v>-38.1</v>
      </c>
      <c r="AQ1640" s="235" t="s">
        <v>632</v>
      </c>
      <c r="AR1640" s="243">
        <v>3.71E11</v>
      </c>
      <c r="AS1640" s="235" t="s">
        <v>7365</v>
      </c>
      <c r="AT1640" s="235" t="s">
        <v>14</v>
      </c>
      <c r="AU1640" s="235" t="s">
        <v>634</v>
      </c>
      <c r="AV1640" s="246" t="s">
        <v>635</v>
      </c>
      <c r="AW1640" s="242"/>
      <c r="AX1640" s="242"/>
      <c r="AY1640" s="231"/>
      <c r="AZ1640" s="231"/>
      <c r="BA1640" s="227"/>
      <c r="BB1640" s="231"/>
      <c r="BC1640" s="227"/>
      <c r="BD1640" s="227"/>
      <c r="BE1640" s="227"/>
      <c r="BF1640" s="227"/>
    </row>
    <row r="1641">
      <c r="A1641" s="235" t="s">
        <v>12994</v>
      </c>
      <c r="C1641" s="235" t="s">
        <v>12995</v>
      </c>
      <c r="D1641" s="235" t="s">
        <v>12996</v>
      </c>
      <c r="E1641" s="243">
        <v>6.55E13</v>
      </c>
      <c r="F1641" s="245"/>
      <c r="G1641" s="235" t="s">
        <v>12997</v>
      </c>
      <c r="H1641" s="235" t="s">
        <v>12998</v>
      </c>
      <c r="I1641" s="235" t="s">
        <v>12998</v>
      </c>
      <c r="J1641" s="235" t="s">
        <v>12999</v>
      </c>
      <c r="K1641" s="235" t="s">
        <v>13000</v>
      </c>
      <c r="N1641" s="235" t="s">
        <v>117</v>
      </c>
      <c r="O1641" s="235" t="s">
        <v>334</v>
      </c>
      <c r="P1641" s="238">
        <v>1.0</v>
      </c>
      <c r="Q1641" s="235" t="s">
        <v>627</v>
      </c>
      <c r="R1641" s="238">
        <v>237.14</v>
      </c>
      <c r="S1641" s="238">
        <v>11.86</v>
      </c>
      <c r="T1641" s="238">
        <v>0.0</v>
      </c>
      <c r="U1641" s="238">
        <v>0.0</v>
      </c>
      <c r="V1641" s="238">
        <v>0.0</v>
      </c>
      <c r="W1641" s="238">
        <v>0.0</v>
      </c>
      <c r="X1641" s="235" t="s">
        <v>628</v>
      </c>
      <c r="Z1641" s="244"/>
      <c r="AA1641" s="244"/>
      <c r="AB1641" s="244"/>
      <c r="AC1641" s="235" t="s">
        <v>1613</v>
      </c>
      <c r="AD1641" s="235" t="s">
        <v>630</v>
      </c>
      <c r="AE1641" s="238">
        <v>226025.0</v>
      </c>
      <c r="AF1641" s="235" t="s">
        <v>631</v>
      </c>
      <c r="AG1641" s="244"/>
      <c r="AH1641" s="244"/>
      <c r="AI1641" s="245"/>
      <c r="AJ1641" s="245"/>
      <c r="AK1641" s="245"/>
      <c r="AL1641" s="245"/>
      <c r="AM1641" s="244"/>
      <c r="AN1641" s="244"/>
      <c r="AO1641" s="238">
        <v>0.0</v>
      </c>
      <c r="AP1641" s="238">
        <v>0.0</v>
      </c>
      <c r="AQ1641" s="235" t="s">
        <v>2581</v>
      </c>
      <c r="AR1641" s="247" t="s">
        <v>13001</v>
      </c>
      <c r="AS1641" s="235" t="s">
        <v>4697</v>
      </c>
      <c r="AT1641" s="235" t="s">
        <v>14</v>
      </c>
      <c r="AU1641" s="235" t="s">
        <v>634</v>
      </c>
      <c r="AV1641" s="246" t="s">
        <v>635</v>
      </c>
      <c r="AW1641" s="242"/>
      <c r="AX1641" s="242"/>
      <c r="AY1641" s="231"/>
      <c r="AZ1641" s="231"/>
      <c r="BA1641" s="227"/>
      <c r="BB1641" s="231"/>
      <c r="BC1641" s="227"/>
      <c r="BD1641" s="227"/>
      <c r="BE1641" s="227"/>
      <c r="BF1641" s="227"/>
    </row>
    <row r="1642">
      <c r="A1642" s="235" t="s">
        <v>13002</v>
      </c>
      <c r="C1642" s="235" t="s">
        <v>13003</v>
      </c>
      <c r="D1642" s="235" t="s">
        <v>13004</v>
      </c>
      <c r="E1642" s="243">
        <v>6.55E13</v>
      </c>
      <c r="F1642" s="245"/>
      <c r="G1642" s="235" t="s">
        <v>13005</v>
      </c>
      <c r="H1642" s="235" t="s">
        <v>13006</v>
      </c>
      <c r="I1642" s="235" t="s">
        <v>13007</v>
      </c>
      <c r="J1642" s="235" t="s">
        <v>13008</v>
      </c>
      <c r="K1642" s="235" t="s">
        <v>13009</v>
      </c>
      <c r="N1642" s="235" t="s">
        <v>127</v>
      </c>
      <c r="O1642" s="235" t="s">
        <v>794</v>
      </c>
      <c r="P1642" s="238">
        <v>1.0</v>
      </c>
      <c r="Q1642" s="235" t="s">
        <v>627</v>
      </c>
      <c r="R1642" s="238">
        <v>246.67</v>
      </c>
      <c r="S1642" s="238">
        <v>12.33</v>
      </c>
      <c r="T1642" s="238">
        <v>0.0</v>
      </c>
      <c r="U1642" s="238">
        <v>0.0</v>
      </c>
      <c r="V1642" s="238">
        <v>0.0</v>
      </c>
      <c r="W1642" s="238">
        <v>0.0</v>
      </c>
      <c r="X1642" s="235" t="s">
        <v>628</v>
      </c>
      <c r="Z1642" s="244"/>
      <c r="AA1642" s="244"/>
      <c r="AB1642" s="244"/>
      <c r="AC1642" s="235" t="s">
        <v>13012</v>
      </c>
      <c r="AD1642" s="235" t="s">
        <v>3113</v>
      </c>
      <c r="AE1642" s="238">
        <v>496001.0</v>
      </c>
      <c r="AF1642" s="235" t="s">
        <v>631</v>
      </c>
      <c r="AG1642" s="244"/>
      <c r="AH1642" s="244"/>
      <c r="AI1642" s="245"/>
      <c r="AJ1642" s="245"/>
      <c r="AK1642" s="245"/>
      <c r="AL1642" s="245"/>
      <c r="AM1642" s="244"/>
      <c r="AN1642" s="244"/>
      <c r="AO1642" s="238">
        <v>0.0</v>
      </c>
      <c r="AP1642" s="238">
        <v>0.0</v>
      </c>
      <c r="AQ1642" s="235" t="s">
        <v>632</v>
      </c>
      <c r="AR1642" s="243">
        <v>3.71E11</v>
      </c>
      <c r="AS1642" s="235" t="s">
        <v>7365</v>
      </c>
      <c r="AT1642" s="235" t="s">
        <v>9</v>
      </c>
      <c r="AU1642" s="235" t="s">
        <v>634</v>
      </c>
      <c r="AV1642" s="246" t="s">
        <v>635</v>
      </c>
      <c r="AW1642" s="242"/>
      <c r="AX1642" s="242"/>
      <c r="AY1642" s="231"/>
      <c r="AZ1642" s="231"/>
      <c r="BA1642" s="227"/>
      <c r="BB1642" s="231"/>
      <c r="BC1642" s="227"/>
      <c r="BD1642" s="227"/>
      <c r="BE1642" s="227"/>
      <c r="BF1642" s="227"/>
    </row>
    <row r="1643">
      <c r="A1643" s="235" t="s">
        <v>13013</v>
      </c>
      <c r="C1643" s="235" t="s">
        <v>13014</v>
      </c>
      <c r="D1643" s="235" t="s">
        <v>13015</v>
      </c>
      <c r="E1643" s="243">
        <v>6.54E13</v>
      </c>
      <c r="F1643" s="245"/>
      <c r="G1643" s="235" t="s">
        <v>13016</v>
      </c>
      <c r="H1643" s="235" t="s">
        <v>13017</v>
      </c>
      <c r="I1643" s="235" t="s">
        <v>13018</v>
      </c>
      <c r="J1643" s="235" t="s">
        <v>13019</v>
      </c>
      <c r="K1643" s="235" t="s">
        <v>13020</v>
      </c>
      <c r="N1643" s="235" t="s">
        <v>1346</v>
      </c>
      <c r="O1643" s="235" t="s">
        <v>1347</v>
      </c>
      <c r="P1643" s="238">
        <v>1.0</v>
      </c>
      <c r="Q1643" s="235" t="s">
        <v>627</v>
      </c>
      <c r="R1643" s="238">
        <v>256.19</v>
      </c>
      <c r="S1643" s="238">
        <v>12.55</v>
      </c>
      <c r="T1643" s="238">
        <v>0.0</v>
      </c>
      <c r="U1643" s="238">
        <v>0.0</v>
      </c>
      <c r="V1643" s="238">
        <v>0.0</v>
      </c>
      <c r="W1643" s="238">
        <v>0.0</v>
      </c>
      <c r="X1643" s="235" t="s">
        <v>628</v>
      </c>
      <c r="Z1643" s="244"/>
      <c r="AA1643" s="244"/>
      <c r="AB1643" s="244"/>
      <c r="AC1643" s="235" t="s">
        <v>795</v>
      </c>
      <c r="AD1643" s="235" t="s">
        <v>796</v>
      </c>
      <c r="AE1643" s="238">
        <v>110091.0</v>
      </c>
      <c r="AF1643" s="235" t="s">
        <v>631</v>
      </c>
      <c r="AG1643" s="244"/>
      <c r="AH1643" s="244"/>
      <c r="AI1643" s="245"/>
      <c r="AJ1643" s="245"/>
      <c r="AK1643" s="245"/>
      <c r="AL1643" s="245"/>
      <c r="AM1643" s="244"/>
      <c r="AN1643" s="244"/>
      <c r="AO1643" s="238">
        <v>-5.12</v>
      </c>
      <c r="AP1643" s="238">
        <v>0.0</v>
      </c>
      <c r="AQ1643" s="235" t="s">
        <v>632</v>
      </c>
      <c r="AR1643" s="243">
        <v>3.71E11</v>
      </c>
      <c r="AS1643" s="235" t="s">
        <v>11171</v>
      </c>
      <c r="AT1643" s="235" t="s">
        <v>14</v>
      </c>
      <c r="AU1643" s="235" t="s">
        <v>634</v>
      </c>
      <c r="AV1643" s="246" t="s">
        <v>635</v>
      </c>
      <c r="AW1643" s="242"/>
      <c r="AX1643" s="242"/>
      <c r="AY1643" s="231"/>
      <c r="AZ1643" s="231"/>
      <c r="BA1643" s="227"/>
      <c r="BB1643" s="231"/>
      <c r="BC1643" s="227"/>
      <c r="BD1643" s="227"/>
      <c r="BE1643" s="227"/>
      <c r="BF1643" s="227"/>
    </row>
    <row r="1644">
      <c r="A1644" s="235" t="s">
        <v>13021</v>
      </c>
      <c r="C1644" s="235" t="s">
        <v>13022</v>
      </c>
      <c r="D1644" s="235" t="s">
        <v>13023</v>
      </c>
      <c r="E1644" s="243">
        <v>6.55E13</v>
      </c>
      <c r="F1644" s="245"/>
      <c r="G1644" s="235" t="s">
        <v>13024</v>
      </c>
      <c r="H1644" s="235" t="s">
        <v>13025</v>
      </c>
      <c r="I1644" s="235" t="s">
        <v>13025</v>
      </c>
      <c r="J1644" s="235" t="s">
        <v>13026</v>
      </c>
      <c r="K1644" s="235" t="s">
        <v>13027</v>
      </c>
      <c r="N1644" s="235" t="s">
        <v>50</v>
      </c>
      <c r="O1644" s="235" t="s">
        <v>367</v>
      </c>
      <c r="P1644" s="238">
        <v>1.0</v>
      </c>
      <c r="Q1644" s="235" t="s">
        <v>627</v>
      </c>
      <c r="R1644" s="238">
        <v>237.14</v>
      </c>
      <c r="S1644" s="238">
        <v>11.86</v>
      </c>
      <c r="T1644" s="238">
        <v>0.0</v>
      </c>
      <c r="U1644" s="238">
        <v>0.0</v>
      </c>
      <c r="V1644" s="238">
        <v>0.0</v>
      </c>
      <c r="W1644" s="238">
        <v>0.0</v>
      </c>
      <c r="X1644" s="235" t="s">
        <v>628</v>
      </c>
      <c r="Z1644" s="244"/>
      <c r="AA1644" s="244"/>
      <c r="AB1644" s="244"/>
      <c r="AC1644" s="235" t="s">
        <v>3449</v>
      </c>
      <c r="AD1644" s="235" t="s">
        <v>833</v>
      </c>
      <c r="AE1644" s="238">
        <v>533101.0</v>
      </c>
      <c r="AF1644" s="235" t="s">
        <v>631</v>
      </c>
      <c r="AG1644" s="244"/>
      <c r="AH1644" s="244"/>
      <c r="AI1644" s="245"/>
      <c r="AJ1644" s="245"/>
      <c r="AK1644" s="245"/>
      <c r="AL1644" s="245"/>
      <c r="AM1644" s="244"/>
      <c r="AN1644" s="244"/>
      <c r="AO1644" s="238">
        <v>0.0</v>
      </c>
      <c r="AP1644" s="238">
        <v>0.0</v>
      </c>
      <c r="AQ1644" s="235" t="s">
        <v>632</v>
      </c>
      <c r="AR1644" s="243">
        <v>3.71E11</v>
      </c>
      <c r="AS1644" s="235" t="s">
        <v>10017</v>
      </c>
      <c r="AT1644" s="235" t="s">
        <v>156</v>
      </c>
      <c r="AU1644" s="235" t="s">
        <v>634</v>
      </c>
      <c r="AV1644" s="246" t="s">
        <v>635</v>
      </c>
      <c r="AW1644" s="242"/>
      <c r="AX1644" s="242"/>
      <c r="AY1644" s="231"/>
      <c r="AZ1644" s="231"/>
      <c r="BA1644" s="227"/>
      <c r="BB1644" s="231"/>
      <c r="BC1644" s="227"/>
      <c r="BD1644" s="227"/>
      <c r="BE1644" s="227"/>
      <c r="BF1644" s="227"/>
    </row>
    <row r="1645">
      <c r="A1645" s="235" t="s">
        <v>13028</v>
      </c>
      <c r="C1645" s="235" t="s">
        <v>13029</v>
      </c>
      <c r="D1645" s="235" t="s">
        <v>13030</v>
      </c>
      <c r="E1645" s="243">
        <v>6.54E13</v>
      </c>
      <c r="F1645" s="245"/>
      <c r="G1645" s="235" t="s">
        <v>13031</v>
      </c>
      <c r="H1645" s="235" t="s">
        <v>13032</v>
      </c>
      <c r="I1645" s="235" t="s">
        <v>13033</v>
      </c>
      <c r="J1645" s="235" t="s">
        <v>13034</v>
      </c>
      <c r="K1645" s="235" t="s">
        <v>13035</v>
      </c>
      <c r="N1645" s="235" t="s">
        <v>144</v>
      </c>
      <c r="O1645" s="235" t="s">
        <v>232</v>
      </c>
      <c r="P1645" s="238">
        <v>1.0</v>
      </c>
      <c r="Q1645" s="235" t="s">
        <v>627</v>
      </c>
      <c r="R1645" s="238">
        <v>665.72</v>
      </c>
      <c r="S1645" s="238">
        <v>33.28</v>
      </c>
      <c r="T1645" s="238">
        <v>38.1</v>
      </c>
      <c r="U1645" s="238">
        <v>1.9</v>
      </c>
      <c r="V1645" s="238">
        <v>0.0</v>
      </c>
      <c r="W1645" s="238">
        <v>0.0</v>
      </c>
      <c r="X1645" s="235" t="s">
        <v>628</v>
      </c>
      <c r="Z1645" s="244"/>
      <c r="AA1645" s="244"/>
      <c r="AB1645" s="244"/>
      <c r="AC1645" s="235" t="s">
        <v>5856</v>
      </c>
      <c r="AD1645" s="235" t="s">
        <v>845</v>
      </c>
      <c r="AE1645" s="238">
        <v>402125.0</v>
      </c>
      <c r="AF1645" s="235" t="s">
        <v>631</v>
      </c>
      <c r="AG1645" s="244"/>
      <c r="AH1645" s="244"/>
      <c r="AI1645" s="245"/>
      <c r="AJ1645" s="245"/>
      <c r="AK1645" s="245"/>
      <c r="AL1645" s="245"/>
      <c r="AM1645" s="244"/>
      <c r="AN1645" s="244"/>
      <c r="AO1645" s="238">
        <v>0.0</v>
      </c>
      <c r="AP1645" s="238">
        <v>-38.1</v>
      </c>
      <c r="AQ1645" s="235" t="s">
        <v>632</v>
      </c>
      <c r="AR1645" s="243">
        <v>3.71E11</v>
      </c>
      <c r="AS1645" s="235" t="s">
        <v>8807</v>
      </c>
      <c r="AT1645" s="235" t="s">
        <v>16</v>
      </c>
      <c r="AU1645" s="235" t="s">
        <v>634</v>
      </c>
      <c r="AV1645" s="246" t="s">
        <v>635</v>
      </c>
      <c r="AW1645" s="242"/>
      <c r="AX1645" s="242"/>
      <c r="AY1645" s="231"/>
      <c r="AZ1645" s="231"/>
      <c r="BA1645" s="227"/>
      <c r="BB1645" s="231"/>
      <c r="BC1645" s="227"/>
      <c r="BD1645" s="227"/>
      <c r="BE1645" s="227"/>
      <c r="BF1645" s="227"/>
    </row>
    <row r="1646">
      <c r="A1646" s="235" t="s">
        <v>13036</v>
      </c>
      <c r="C1646" s="235" t="s">
        <v>13037</v>
      </c>
      <c r="D1646" s="235" t="s">
        <v>13038</v>
      </c>
      <c r="E1646" s="243">
        <v>6.55E13</v>
      </c>
      <c r="F1646" s="245"/>
      <c r="G1646" s="235" t="s">
        <v>13039</v>
      </c>
      <c r="H1646" s="235" t="s">
        <v>13040</v>
      </c>
      <c r="I1646" s="235" t="s">
        <v>13040</v>
      </c>
      <c r="J1646" s="235" t="s">
        <v>13041</v>
      </c>
      <c r="K1646" s="235" t="s">
        <v>13042</v>
      </c>
      <c r="N1646" s="235" t="s">
        <v>138</v>
      </c>
      <c r="O1646" s="235" t="s">
        <v>675</v>
      </c>
      <c r="P1646" s="238">
        <v>1.0</v>
      </c>
      <c r="Q1646" s="235" t="s">
        <v>627</v>
      </c>
      <c r="R1646" s="238">
        <v>246.67</v>
      </c>
      <c r="S1646" s="238">
        <v>12.33</v>
      </c>
      <c r="T1646" s="238">
        <v>38.1</v>
      </c>
      <c r="U1646" s="238">
        <v>1.9</v>
      </c>
      <c r="V1646" s="238">
        <v>0.0</v>
      </c>
      <c r="W1646" s="238">
        <v>0.0</v>
      </c>
      <c r="X1646" s="235" t="s">
        <v>628</v>
      </c>
      <c r="Z1646" s="244"/>
      <c r="AA1646" s="244"/>
      <c r="AB1646" s="244"/>
      <c r="AC1646" s="235" t="s">
        <v>1355</v>
      </c>
      <c r="AD1646" s="235" t="s">
        <v>833</v>
      </c>
      <c r="AE1646" s="238">
        <v>518003.0</v>
      </c>
      <c r="AF1646" s="235" t="s">
        <v>631</v>
      </c>
      <c r="AG1646" s="244"/>
      <c r="AH1646" s="244"/>
      <c r="AI1646" s="245"/>
      <c r="AJ1646" s="245"/>
      <c r="AK1646" s="245"/>
      <c r="AL1646" s="245"/>
      <c r="AM1646" s="244"/>
      <c r="AN1646" s="244"/>
      <c r="AO1646" s="238">
        <v>0.0</v>
      </c>
      <c r="AP1646" s="238">
        <v>-38.1</v>
      </c>
      <c r="AQ1646" s="235" t="s">
        <v>632</v>
      </c>
      <c r="AR1646" s="243">
        <v>3.71E11</v>
      </c>
      <c r="AS1646" s="235" t="s">
        <v>8807</v>
      </c>
      <c r="AT1646" s="235" t="s">
        <v>17</v>
      </c>
      <c r="AU1646" s="235" t="s">
        <v>634</v>
      </c>
      <c r="AV1646" s="246" t="s">
        <v>635</v>
      </c>
      <c r="AW1646" s="242"/>
      <c r="AX1646" s="242"/>
      <c r="AY1646" s="231"/>
      <c r="AZ1646" s="231"/>
      <c r="BA1646" s="227"/>
      <c r="BB1646" s="231"/>
      <c r="BC1646" s="227"/>
      <c r="BD1646" s="227"/>
      <c r="BE1646" s="227"/>
      <c r="BF1646" s="227"/>
    </row>
    <row r="1647">
      <c r="A1647" s="235" t="s">
        <v>13043</v>
      </c>
      <c r="C1647" s="235" t="s">
        <v>13044</v>
      </c>
      <c r="D1647" s="235" t="s">
        <v>13045</v>
      </c>
      <c r="E1647" s="243">
        <v>6.55E13</v>
      </c>
      <c r="F1647" s="245"/>
      <c r="G1647" s="235" t="s">
        <v>13046</v>
      </c>
      <c r="H1647" s="235" t="s">
        <v>13047</v>
      </c>
      <c r="I1647" s="235" t="s">
        <v>13047</v>
      </c>
      <c r="J1647" s="235" t="s">
        <v>13048</v>
      </c>
      <c r="K1647" s="235" t="s">
        <v>13049</v>
      </c>
      <c r="N1647" s="235" t="s">
        <v>136</v>
      </c>
      <c r="O1647" s="235" t="s">
        <v>256</v>
      </c>
      <c r="P1647" s="238">
        <v>1.0</v>
      </c>
      <c r="Q1647" s="235" t="s">
        <v>627</v>
      </c>
      <c r="R1647" s="238">
        <v>246.66</v>
      </c>
      <c r="S1647" s="238">
        <v>12.34</v>
      </c>
      <c r="T1647" s="238">
        <v>0.0</v>
      </c>
      <c r="U1647" s="238">
        <v>0.0</v>
      </c>
      <c r="V1647" s="238">
        <v>0.0</v>
      </c>
      <c r="W1647" s="238">
        <v>0.0</v>
      </c>
      <c r="X1647" s="235" t="s">
        <v>628</v>
      </c>
      <c r="Z1647" s="244"/>
      <c r="AA1647" s="244"/>
      <c r="AB1647" s="244"/>
      <c r="AC1647" s="235" t="s">
        <v>13050</v>
      </c>
      <c r="AD1647" s="235" t="s">
        <v>928</v>
      </c>
      <c r="AE1647" s="238">
        <v>126102.0</v>
      </c>
      <c r="AF1647" s="235" t="s">
        <v>631</v>
      </c>
      <c r="AG1647" s="244"/>
      <c r="AH1647" s="244"/>
      <c r="AI1647" s="245"/>
      <c r="AJ1647" s="245"/>
      <c r="AK1647" s="245"/>
      <c r="AL1647" s="245"/>
      <c r="AM1647" s="244"/>
      <c r="AN1647" s="244"/>
      <c r="AO1647" s="238">
        <v>0.0</v>
      </c>
      <c r="AP1647" s="238">
        <v>0.0</v>
      </c>
      <c r="AQ1647" s="235" t="s">
        <v>632</v>
      </c>
      <c r="AR1647" s="243">
        <v>1.68E11</v>
      </c>
      <c r="AS1647" s="235" t="s">
        <v>11171</v>
      </c>
      <c r="AT1647" s="235" t="s">
        <v>533</v>
      </c>
      <c r="AU1647" s="235" t="s">
        <v>634</v>
      </c>
      <c r="AV1647" s="246" t="s">
        <v>635</v>
      </c>
      <c r="AW1647" s="242"/>
      <c r="AX1647" s="242"/>
      <c r="AY1647" s="231"/>
      <c r="AZ1647" s="231"/>
      <c r="BA1647" s="227"/>
      <c r="BB1647" s="231"/>
      <c r="BC1647" s="227"/>
      <c r="BD1647" s="227"/>
      <c r="BE1647" s="227"/>
      <c r="BF1647" s="227"/>
    </row>
    <row r="1648">
      <c r="A1648" s="235" t="s">
        <v>13051</v>
      </c>
      <c r="C1648" s="235" t="s">
        <v>13052</v>
      </c>
      <c r="D1648" s="235" t="s">
        <v>13053</v>
      </c>
      <c r="E1648" s="243">
        <v>6.54E13</v>
      </c>
      <c r="F1648" s="245"/>
      <c r="G1648" s="235" t="s">
        <v>13054</v>
      </c>
      <c r="H1648" s="235" t="s">
        <v>13055</v>
      </c>
      <c r="I1648" s="235" t="s">
        <v>13055</v>
      </c>
      <c r="J1648" s="235" t="s">
        <v>13056</v>
      </c>
      <c r="K1648" s="235" t="s">
        <v>13057</v>
      </c>
      <c r="N1648" s="235" t="s">
        <v>12</v>
      </c>
      <c r="O1648" s="235" t="s">
        <v>804</v>
      </c>
      <c r="P1648" s="238">
        <v>2.0</v>
      </c>
      <c r="Q1648" s="235" t="s">
        <v>627</v>
      </c>
      <c r="R1648" s="238">
        <v>531.42</v>
      </c>
      <c r="S1648" s="238">
        <v>25.78</v>
      </c>
      <c r="T1648" s="238">
        <v>76.2</v>
      </c>
      <c r="U1648" s="238">
        <v>3.8</v>
      </c>
      <c r="V1648" s="238">
        <v>0.0</v>
      </c>
      <c r="W1648" s="238">
        <v>0.0</v>
      </c>
      <c r="X1648" s="235" t="s">
        <v>628</v>
      </c>
      <c r="Z1648" s="244"/>
      <c r="AA1648" s="244"/>
      <c r="AB1648" s="244"/>
      <c r="AC1648" s="235" t="s">
        <v>13058</v>
      </c>
      <c r="AD1648" s="235" t="s">
        <v>1086</v>
      </c>
      <c r="AE1648" s="238">
        <v>143518.0</v>
      </c>
      <c r="AF1648" s="235" t="s">
        <v>631</v>
      </c>
      <c r="AG1648" s="244"/>
      <c r="AH1648" s="244"/>
      <c r="AI1648" s="245"/>
      <c r="AJ1648" s="245"/>
      <c r="AK1648" s="245"/>
      <c r="AL1648" s="245"/>
      <c r="AM1648" s="244"/>
      <c r="AN1648" s="244"/>
      <c r="AO1648" s="238">
        <v>-15.94</v>
      </c>
      <c r="AP1648" s="238">
        <v>-76.2</v>
      </c>
      <c r="AQ1648" s="235" t="s">
        <v>632</v>
      </c>
      <c r="AR1648" s="243">
        <v>3.71E11</v>
      </c>
      <c r="AS1648" s="235" t="s">
        <v>8807</v>
      </c>
      <c r="AT1648" s="235" t="s">
        <v>14</v>
      </c>
      <c r="AU1648" s="235" t="s">
        <v>634</v>
      </c>
      <c r="AV1648" s="246" t="s">
        <v>635</v>
      </c>
      <c r="AW1648" s="242"/>
      <c r="AX1648" s="242"/>
      <c r="AY1648" s="231"/>
      <c r="AZ1648" s="231"/>
      <c r="BA1648" s="227"/>
      <c r="BB1648" s="231"/>
      <c r="BC1648" s="227"/>
      <c r="BD1648" s="227"/>
      <c r="BE1648" s="227"/>
      <c r="BF1648" s="227"/>
    </row>
    <row r="1649">
      <c r="A1649" s="235" t="s">
        <v>13051</v>
      </c>
      <c r="C1649" s="235" t="s">
        <v>13052</v>
      </c>
      <c r="D1649" s="235" t="s">
        <v>13059</v>
      </c>
      <c r="E1649" s="243">
        <v>6.54E13</v>
      </c>
      <c r="F1649" s="245"/>
      <c r="G1649" s="235" t="s">
        <v>13054</v>
      </c>
      <c r="H1649" s="235" t="s">
        <v>13055</v>
      </c>
      <c r="I1649" s="235" t="s">
        <v>13055</v>
      </c>
      <c r="J1649" s="235" t="s">
        <v>13056</v>
      </c>
      <c r="K1649" s="235" t="s">
        <v>13057</v>
      </c>
      <c r="N1649" s="235" t="s">
        <v>12</v>
      </c>
      <c r="O1649" s="235" t="s">
        <v>804</v>
      </c>
      <c r="P1649" s="238">
        <v>1.0</v>
      </c>
      <c r="Q1649" s="235" t="s">
        <v>627</v>
      </c>
      <c r="R1649" s="238">
        <v>265.71</v>
      </c>
      <c r="S1649" s="238">
        <v>12.89</v>
      </c>
      <c r="T1649" s="238">
        <v>38.1</v>
      </c>
      <c r="U1649" s="238">
        <v>1.9</v>
      </c>
      <c r="V1649" s="238">
        <v>0.0</v>
      </c>
      <c r="W1649" s="238">
        <v>0.0</v>
      </c>
      <c r="X1649" s="235" t="s">
        <v>628</v>
      </c>
      <c r="Z1649" s="244"/>
      <c r="AA1649" s="244"/>
      <c r="AB1649" s="244"/>
      <c r="AC1649" s="235" t="s">
        <v>13058</v>
      </c>
      <c r="AD1649" s="235" t="s">
        <v>1086</v>
      </c>
      <c r="AE1649" s="238">
        <v>143518.0</v>
      </c>
      <c r="AF1649" s="235" t="s">
        <v>631</v>
      </c>
      <c r="AG1649" s="244"/>
      <c r="AH1649" s="244"/>
      <c r="AI1649" s="245"/>
      <c r="AJ1649" s="245"/>
      <c r="AK1649" s="245"/>
      <c r="AL1649" s="245"/>
      <c r="AM1649" s="244"/>
      <c r="AN1649" s="244"/>
      <c r="AO1649" s="238">
        <v>-7.97</v>
      </c>
      <c r="AP1649" s="238">
        <v>-38.1</v>
      </c>
      <c r="AQ1649" s="235" t="s">
        <v>632</v>
      </c>
      <c r="AR1649" s="243">
        <v>3.71E11</v>
      </c>
      <c r="AS1649" s="235" t="s">
        <v>8807</v>
      </c>
      <c r="AT1649" s="235" t="s">
        <v>14</v>
      </c>
      <c r="AU1649" s="235" t="s">
        <v>634</v>
      </c>
      <c r="AV1649" s="246" t="s">
        <v>635</v>
      </c>
      <c r="AW1649" s="242"/>
      <c r="AX1649" s="242"/>
      <c r="AY1649" s="231"/>
      <c r="AZ1649" s="231"/>
      <c r="BA1649" s="227"/>
      <c r="BB1649" s="231"/>
      <c r="BC1649" s="227"/>
      <c r="BD1649" s="227"/>
      <c r="BE1649" s="227"/>
      <c r="BF1649" s="227"/>
    </row>
    <row r="1650">
      <c r="A1650" s="235" t="s">
        <v>13051</v>
      </c>
      <c r="C1650" s="235" t="s">
        <v>13052</v>
      </c>
      <c r="D1650" s="235" t="s">
        <v>13060</v>
      </c>
      <c r="E1650" s="243">
        <v>6.54E13</v>
      </c>
      <c r="F1650" s="245"/>
      <c r="G1650" s="235" t="s">
        <v>13054</v>
      </c>
      <c r="H1650" s="235" t="s">
        <v>13055</v>
      </c>
      <c r="I1650" s="235" t="s">
        <v>13055</v>
      </c>
      <c r="J1650" s="235" t="s">
        <v>13056</v>
      </c>
      <c r="K1650" s="235" t="s">
        <v>13057</v>
      </c>
      <c r="N1650" s="235" t="s">
        <v>12</v>
      </c>
      <c r="O1650" s="235" t="s">
        <v>804</v>
      </c>
      <c r="P1650" s="238">
        <v>1.0</v>
      </c>
      <c r="Q1650" s="235" t="s">
        <v>627</v>
      </c>
      <c r="R1650" s="238">
        <v>265.71</v>
      </c>
      <c r="S1650" s="238">
        <v>12.89</v>
      </c>
      <c r="T1650" s="238">
        <v>38.1</v>
      </c>
      <c r="U1650" s="238">
        <v>1.9</v>
      </c>
      <c r="V1650" s="238">
        <v>0.0</v>
      </c>
      <c r="W1650" s="238">
        <v>0.0</v>
      </c>
      <c r="X1650" s="235" t="s">
        <v>628</v>
      </c>
      <c r="Z1650" s="244"/>
      <c r="AA1650" s="244"/>
      <c r="AB1650" s="244"/>
      <c r="AC1650" s="235" t="s">
        <v>13058</v>
      </c>
      <c r="AD1650" s="235" t="s">
        <v>1086</v>
      </c>
      <c r="AE1650" s="238">
        <v>143518.0</v>
      </c>
      <c r="AF1650" s="235" t="s">
        <v>631</v>
      </c>
      <c r="AG1650" s="244"/>
      <c r="AH1650" s="244"/>
      <c r="AI1650" s="245"/>
      <c r="AJ1650" s="245"/>
      <c r="AK1650" s="245"/>
      <c r="AL1650" s="245"/>
      <c r="AM1650" s="244"/>
      <c r="AN1650" s="244"/>
      <c r="AO1650" s="238">
        <v>-7.97</v>
      </c>
      <c r="AP1650" s="238">
        <v>-38.1</v>
      </c>
      <c r="AQ1650" s="235" t="s">
        <v>632</v>
      </c>
      <c r="AR1650" s="243">
        <v>3.71E11</v>
      </c>
      <c r="AS1650" s="235" t="s">
        <v>8807</v>
      </c>
      <c r="AT1650" s="235" t="s">
        <v>14</v>
      </c>
      <c r="AU1650" s="235" t="s">
        <v>634</v>
      </c>
      <c r="AV1650" s="246" t="s">
        <v>635</v>
      </c>
      <c r="AW1650" s="242"/>
      <c r="AX1650" s="242"/>
      <c r="AY1650" s="231"/>
      <c r="AZ1650" s="231"/>
      <c r="BA1650" s="227"/>
      <c r="BB1650" s="231"/>
      <c r="BC1650" s="227"/>
      <c r="BD1650" s="227"/>
      <c r="BE1650" s="227"/>
      <c r="BF1650" s="227"/>
    </row>
    <row r="1651">
      <c r="A1651" s="235" t="s">
        <v>13061</v>
      </c>
      <c r="C1651" s="235" t="s">
        <v>13062</v>
      </c>
      <c r="D1651" s="235" t="s">
        <v>13063</v>
      </c>
      <c r="E1651" s="243">
        <v>6.52E13</v>
      </c>
      <c r="F1651" s="245"/>
      <c r="G1651" s="235" t="s">
        <v>13064</v>
      </c>
      <c r="H1651" s="235" t="s">
        <v>13065</v>
      </c>
      <c r="I1651" s="235" t="s">
        <v>13065</v>
      </c>
      <c r="J1651" s="235" t="s">
        <v>13066</v>
      </c>
      <c r="K1651" s="235" t="s">
        <v>13067</v>
      </c>
      <c r="N1651" s="235" t="s">
        <v>566</v>
      </c>
      <c r="O1651" s="235" t="s">
        <v>13068</v>
      </c>
      <c r="P1651" s="238">
        <v>2.0</v>
      </c>
      <c r="Q1651" s="235" t="s">
        <v>627</v>
      </c>
      <c r="R1651" s="238">
        <v>845.76</v>
      </c>
      <c r="S1651" s="238">
        <v>147.68</v>
      </c>
      <c r="T1651" s="238">
        <v>67.8</v>
      </c>
      <c r="U1651" s="238">
        <v>12.2</v>
      </c>
      <c r="V1651" s="238">
        <v>0.0</v>
      </c>
      <c r="W1651" s="238">
        <v>0.0</v>
      </c>
      <c r="X1651" s="235" t="s">
        <v>628</v>
      </c>
      <c r="Z1651" s="244"/>
      <c r="AA1651" s="244"/>
      <c r="AB1651" s="244"/>
      <c r="AC1651" s="235" t="s">
        <v>13069</v>
      </c>
      <c r="AD1651" s="235" t="s">
        <v>679</v>
      </c>
      <c r="AE1651" s="238">
        <v>581307.0</v>
      </c>
      <c r="AF1651" s="235" t="s">
        <v>631</v>
      </c>
      <c r="AG1651" s="244"/>
      <c r="AH1651" s="244"/>
      <c r="AI1651" s="245"/>
      <c r="AJ1651" s="245"/>
      <c r="AK1651" s="245"/>
      <c r="AL1651" s="245"/>
      <c r="AM1651" s="244"/>
      <c r="AN1651" s="244"/>
      <c r="AO1651" s="238">
        <v>-25.38</v>
      </c>
      <c r="AP1651" s="238">
        <v>-67.8</v>
      </c>
      <c r="AQ1651" s="235" t="s">
        <v>632</v>
      </c>
      <c r="AR1651" s="243">
        <v>3.71E11</v>
      </c>
      <c r="AS1651" s="235" t="s">
        <v>8807</v>
      </c>
      <c r="AT1651" s="235" t="s">
        <v>11</v>
      </c>
      <c r="AU1651" s="235" t="s">
        <v>634</v>
      </c>
      <c r="AV1651" s="246" t="s">
        <v>635</v>
      </c>
      <c r="AW1651" s="242"/>
      <c r="AX1651" s="242"/>
      <c r="AY1651" s="231"/>
      <c r="AZ1651" s="231"/>
      <c r="BA1651" s="227"/>
      <c r="BB1651" s="231"/>
      <c r="BC1651" s="227"/>
      <c r="BD1651" s="227"/>
      <c r="BE1651" s="227"/>
      <c r="BF1651" s="227"/>
    </row>
    <row r="1652">
      <c r="A1652" s="235" t="s">
        <v>13070</v>
      </c>
      <c r="C1652" s="235" t="s">
        <v>13071</v>
      </c>
      <c r="D1652" s="235" t="s">
        <v>13072</v>
      </c>
      <c r="E1652" s="243">
        <v>6.55E13</v>
      </c>
      <c r="F1652" s="245"/>
      <c r="G1652" s="235" t="s">
        <v>13073</v>
      </c>
      <c r="H1652" s="235" t="s">
        <v>13074</v>
      </c>
      <c r="I1652" s="235" t="s">
        <v>13074</v>
      </c>
      <c r="J1652" s="235" t="s">
        <v>13075</v>
      </c>
      <c r="K1652" s="235" t="s">
        <v>13076</v>
      </c>
      <c r="N1652" s="235" t="s">
        <v>42</v>
      </c>
      <c r="O1652" s="235" t="s">
        <v>204</v>
      </c>
      <c r="P1652" s="238">
        <v>1.0</v>
      </c>
      <c r="Q1652" s="235" t="s">
        <v>627</v>
      </c>
      <c r="R1652" s="238">
        <v>237.14</v>
      </c>
      <c r="S1652" s="238">
        <v>11.62</v>
      </c>
      <c r="T1652" s="238">
        <v>0.0</v>
      </c>
      <c r="U1652" s="238">
        <v>0.0</v>
      </c>
      <c r="V1652" s="238">
        <v>0.0</v>
      </c>
      <c r="W1652" s="238">
        <v>0.0</v>
      </c>
      <c r="X1652" s="235" t="s">
        <v>628</v>
      </c>
      <c r="Z1652" s="244"/>
      <c r="AA1652" s="244"/>
      <c r="AB1652" s="244"/>
      <c r="AC1652" s="235" t="s">
        <v>1182</v>
      </c>
      <c r="AD1652" s="235" t="s">
        <v>833</v>
      </c>
      <c r="AE1652" s="238">
        <v>530041.0</v>
      </c>
      <c r="AF1652" s="235" t="s">
        <v>631</v>
      </c>
      <c r="AG1652" s="244"/>
      <c r="AH1652" s="244"/>
      <c r="AI1652" s="245"/>
      <c r="AJ1652" s="245"/>
      <c r="AK1652" s="245"/>
      <c r="AL1652" s="245"/>
      <c r="AM1652" s="244"/>
      <c r="AN1652" s="244"/>
      <c r="AO1652" s="238">
        <v>-4.74</v>
      </c>
      <c r="AP1652" s="238">
        <v>0.0</v>
      </c>
      <c r="AQ1652" s="235" t="s">
        <v>632</v>
      </c>
      <c r="AR1652" s="243">
        <v>3.71E11</v>
      </c>
      <c r="AS1652" s="235" t="s">
        <v>8807</v>
      </c>
      <c r="AT1652" s="235" t="s">
        <v>16</v>
      </c>
      <c r="AU1652" s="235" t="s">
        <v>634</v>
      </c>
      <c r="AV1652" s="246" t="s">
        <v>635</v>
      </c>
      <c r="AW1652" s="242"/>
      <c r="AX1652" s="242"/>
      <c r="AY1652" s="231"/>
      <c r="AZ1652" s="231"/>
      <c r="BA1652" s="227"/>
      <c r="BB1652" s="231"/>
      <c r="BC1652" s="227"/>
      <c r="BD1652" s="227"/>
      <c r="BE1652" s="227"/>
      <c r="BF1652" s="227"/>
    </row>
    <row r="1653">
      <c r="A1653" s="235" t="s">
        <v>13077</v>
      </c>
      <c r="C1653" s="235" t="s">
        <v>13078</v>
      </c>
      <c r="D1653" s="235" t="s">
        <v>13079</v>
      </c>
      <c r="E1653" s="243">
        <v>6.55E13</v>
      </c>
      <c r="F1653" s="245"/>
      <c r="G1653" s="235" t="s">
        <v>13080</v>
      </c>
      <c r="H1653" s="235" t="s">
        <v>13081</v>
      </c>
      <c r="I1653" s="235" t="s">
        <v>13081</v>
      </c>
      <c r="J1653" s="235" t="s">
        <v>13082</v>
      </c>
      <c r="K1653" s="235" t="s">
        <v>13083</v>
      </c>
      <c r="N1653" s="235" t="s">
        <v>127</v>
      </c>
      <c r="O1653" s="235" t="s">
        <v>794</v>
      </c>
      <c r="P1653" s="238">
        <v>1.0</v>
      </c>
      <c r="Q1653" s="235" t="s">
        <v>627</v>
      </c>
      <c r="R1653" s="238">
        <v>246.67</v>
      </c>
      <c r="S1653" s="238">
        <v>12.33</v>
      </c>
      <c r="T1653" s="238">
        <v>38.1</v>
      </c>
      <c r="U1653" s="238">
        <v>1.9</v>
      </c>
      <c r="V1653" s="238">
        <v>0.0</v>
      </c>
      <c r="W1653" s="238">
        <v>0.0</v>
      </c>
      <c r="X1653" s="235" t="s">
        <v>628</v>
      </c>
      <c r="Z1653" s="244"/>
      <c r="AA1653" s="244"/>
      <c r="AB1653" s="244"/>
      <c r="AC1653" s="235" t="s">
        <v>13084</v>
      </c>
      <c r="AD1653" s="235" t="s">
        <v>881</v>
      </c>
      <c r="AE1653" s="238">
        <v>761018.0</v>
      </c>
      <c r="AF1653" s="235" t="s">
        <v>631</v>
      </c>
      <c r="AG1653" s="244"/>
      <c r="AH1653" s="244"/>
      <c r="AI1653" s="245"/>
      <c r="AJ1653" s="245"/>
      <c r="AK1653" s="245"/>
      <c r="AL1653" s="245"/>
      <c r="AM1653" s="244"/>
      <c r="AN1653" s="244"/>
      <c r="AO1653" s="238">
        <v>0.0</v>
      </c>
      <c r="AP1653" s="238">
        <v>-38.1</v>
      </c>
      <c r="AQ1653" s="235" t="s">
        <v>632</v>
      </c>
      <c r="AR1653" s="243">
        <v>3.71E11</v>
      </c>
      <c r="AS1653" s="235" t="s">
        <v>7365</v>
      </c>
      <c r="AT1653" s="235" t="s">
        <v>11</v>
      </c>
      <c r="AU1653" s="235" t="s">
        <v>634</v>
      </c>
      <c r="AV1653" s="246" t="s">
        <v>635</v>
      </c>
      <c r="AW1653" s="242"/>
      <c r="AX1653" s="242"/>
      <c r="AY1653" s="231"/>
      <c r="AZ1653" s="231"/>
      <c r="BA1653" s="227"/>
      <c r="BB1653" s="231"/>
      <c r="BC1653" s="227"/>
      <c r="BD1653" s="227"/>
      <c r="BE1653" s="227"/>
      <c r="BF1653" s="227"/>
    </row>
    <row r="1654">
      <c r="A1654" s="235" t="s">
        <v>13085</v>
      </c>
      <c r="C1654" s="235" t="s">
        <v>13086</v>
      </c>
      <c r="D1654" s="235" t="s">
        <v>13087</v>
      </c>
      <c r="E1654" s="243">
        <v>6.55E13</v>
      </c>
      <c r="F1654" s="245"/>
      <c r="G1654" s="235" t="s">
        <v>13088</v>
      </c>
      <c r="H1654" s="235" t="s">
        <v>13089</v>
      </c>
      <c r="I1654" s="235" t="s">
        <v>13090</v>
      </c>
      <c r="J1654" s="235" t="s">
        <v>13091</v>
      </c>
      <c r="K1654" s="235" t="s">
        <v>13092</v>
      </c>
      <c r="N1654" s="235" t="s">
        <v>127</v>
      </c>
      <c r="O1654" s="235" t="s">
        <v>794</v>
      </c>
      <c r="P1654" s="238">
        <v>1.0</v>
      </c>
      <c r="Q1654" s="235" t="s">
        <v>627</v>
      </c>
      <c r="R1654" s="238">
        <v>246.67</v>
      </c>
      <c r="S1654" s="238">
        <v>12.33</v>
      </c>
      <c r="T1654" s="238">
        <v>38.1</v>
      </c>
      <c r="U1654" s="238">
        <v>1.9</v>
      </c>
      <c r="V1654" s="238">
        <v>0.0</v>
      </c>
      <c r="W1654" s="238">
        <v>0.0</v>
      </c>
      <c r="X1654" s="235" t="s">
        <v>628</v>
      </c>
      <c r="Z1654" s="244"/>
      <c r="AA1654" s="244"/>
      <c r="AB1654" s="244"/>
      <c r="AC1654" s="235" t="s">
        <v>13093</v>
      </c>
      <c r="AD1654" s="235" t="s">
        <v>854</v>
      </c>
      <c r="AE1654" s="238">
        <v>403720.0</v>
      </c>
      <c r="AF1654" s="235" t="s">
        <v>631</v>
      </c>
      <c r="AG1654" s="244"/>
      <c r="AH1654" s="244"/>
      <c r="AI1654" s="245"/>
      <c r="AJ1654" s="245"/>
      <c r="AK1654" s="245"/>
      <c r="AL1654" s="245"/>
      <c r="AM1654" s="244"/>
      <c r="AN1654" s="244"/>
      <c r="AO1654" s="238">
        <v>0.0</v>
      </c>
      <c r="AP1654" s="238">
        <v>0.0</v>
      </c>
      <c r="AQ1654" s="235" t="s">
        <v>632</v>
      </c>
      <c r="AR1654" s="243">
        <v>3.71E11</v>
      </c>
      <c r="AS1654" s="235" t="s">
        <v>10017</v>
      </c>
      <c r="AT1654" s="235" t="s">
        <v>11</v>
      </c>
      <c r="AU1654" s="235" t="s">
        <v>634</v>
      </c>
      <c r="AV1654" s="246" t="s">
        <v>635</v>
      </c>
      <c r="AW1654" s="242"/>
      <c r="AX1654" s="242"/>
      <c r="AY1654" s="231"/>
      <c r="AZ1654" s="231"/>
      <c r="BA1654" s="227"/>
      <c r="BB1654" s="231"/>
      <c r="BC1654" s="227"/>
      <c r="BD1654" s="227"/>
      <c r="BE1654" s="227"/>
      <c r="BF1654" s="227"/>
    </row>
    <row r="1655">
      <c r="A1655" s="235" t="s">
        <v>13094</v>
      </c>
      <c r="C1655" s="235" t="s">
        <v>13095</v>
      </c>
      <c r="D1655" s="235" t="s">
        <v>13096</v>
      </c>
      <c r="E1655" s="243">
        <v>6.54E13</v>
      </c>
      <c r="F1655" s="245"/>
      <c r="G1655" s="235" t="s">
        <v>13097</v>
      </c>
      <c r="H1655" s="235" t="s">
        <v>13098</v>
      </c>
      <c r="I1655" s="235" t="s">
        <v>13098</v>
      </c>
      <c r="J1655" s="235" t="s">
        <v>13099</v>
      </c>
      <c r="K1655" s="235" t="s">
        <v>13100</v>
      </c>
      <c r="N1655" s="235" t="s">
        <v>1346</v>
      </c>
      <c r="O1655" s="235" t="s">
        <v>1347</v>
      </c>
      <c r="P1655" s="238">
        <v>1.0</v>
      </c>
      <c r="Q1655" s="235" t="s">
        <v>627</v>
      </c>
      <c r="R1655" s="238">
        <v>256.19</v>
      </c>
      <c r="S1655" s="238">
        <v>12.55</v>
      </c>
      <c r="T1655" s="238">
        <v>0.0</v>
      </c>
      <c r="U1655" s="238">
        <v>0.0</v>
      </c>
      <c r="V1655" s="238">
        <v>0.0</v>
      </c>
      <c r="W1655" s="238">
        <v>0.0</v>
      </c>
      <c r="X1655" s="235" t="s">
        <v>628</v>
      </c>
      <c r="Z1655" s="244"/>
      <c r="AA1655" s="244"/>
      <c r="AB1655" s="244"/>
      <c r="AC1655" s="235" t="s">
        <v>1792</v>
      </c>
      <c r="AD1655" s="235" t="s">
        <v>1077</v>
      </c>
      <c r="AE1655" s="238">
        <v>390021.0</v>
      </c>
      <c r="AF1655" s="235" t="s">
        <v>631</v>
      </c>
      <c r="AG1655" s="244"/>
      <c r="AH1655" s="244"/>
      <c r="AI1655" s="245"/>
      <c r="AJ1655" s="245"/>
      <c r="AK1655" s="245"/>
      <c r="AL1655" s="245"/>
      <c r="AM1655" s="244"/>
      <c r="AN1655" s="244"/>
      <c r="AO1655" s="238">
        <v>-5.12</v>
      </c>
      <c r="AP1655" s="238">
        <v>0.0</v>
      </c>
      <c r="AQ1655" s="235" t="s">
        <v>632</v>
      </c>
      <c r="AR1655" s="243">
        <v>1.68E11</v>
      </c>
      <c r="AS1655" s="235" t="s">
        <v>11171</v>
      </c>
      <c r="AT1655" s="235" t="s">
        <v>16</v>
      </c>
      <c r="AU1655" s="235" t="s">
        <v>634</v>
      </c>
      <c r="AV1655" s="246" t="s">
        <v>635</v>
      </c>
      <c r="AW1655" s="242"/>
      <c r="AX1655" s="242"/>
      <c r="AY1655" s="231"/>
      <c r="AZ1655" s="231"/>
      <c r="BA1655" s="227"/>
      <c r="BB1655" s="231"/>
      <c r="BC1655" s="227"/>
      <c r="BD1655" s="227"/>
      <c r="BE1655" s="227"/>
      <c r="BF1655" s="227"/>
    </row>
    <row r="1656">
      <c r="A1656" s="235" t="s">
        <v>13101</v>
      </c>
      <c r="C1656" s="235" t="s">
        <v>13102</v>
      </c>
      <c r="D1656" s="235" t="s">
        <v>13103</v>
      </c>
      <c r="E1656" s="243">
        <v>6.55E13</v>
      </c>
      <c r="F1656" s="245"/>
      <c r="G1656" s="235" t="s">
        <v>13104</v>
      </c>
      <c r="H1656" s="235" t="s">
        <v>13105</v>
      </c>
      <c r="I1656" s="235" t="s">
        <v>13105</v>
      </c>
      <c r="J1656" s="235" t="s">
        <v>13106</v>
      </c>
      <c r="K1656" s="235" t="s">
        <v>13107</v>
      </c>
      <c r="N1656" s="235" t="s">
        <v>42</v>
      </c>
      <c r="O1656" s="235" t="s">
        <v>204</v>
      </c>
      <c r="P1656" s="238">
        <v>1.0</v>
      </c>
      <c r="Q1656" s="235" t="s">
        <v>627</v>
      </c>
      <c r="R1656" s="238">
        <v>237.14</v>
      </c>
      <c r="S1656" s="238">
        <v>11.86</v>
      </c>
      <c r="T1656" s="238">
        <v>9.04</v>
      </c>
      <c r="U1656" s="238">
        <v>0.46</v>
      </c>
      <c r="V1656" s="238">
        <v>0.0</v>
      </c>
      <c r="W1656" s="238">
        <v>0.0</v>
      </c>
      <c r="X1656" s="235" t="s">
        <v>628</v>
      </c>
      <c r="Z1656" s="244"/>
      <c r="AA1656" s="244"/>
      <c r="AB1656" s="244"/>
      <c r="AC1656" s="235" t="s">
        <v>687</v>
      </c>
      <c r="AD1656" s="235" t="s">
        <v>666</v>
      </c>
      <c r="AE1656" s="238">
        <v>600107.0</v>
      </c>
      <c r="AF1656" s="235" t="s">
        <v>631</v>
      </c>
      <c r="AG1656" s="244"/>
      <c r="AH1656" s="244"/>
      <c r="AI1656" s="245"/>
      <c r="AJ1656" s="245"/>
      <c r="AK1656" s="245"/>
      <c r="AL1656" s="245"/>
      <c r="AM1656" s="244"/>
      <c r="AN1656" s="244"/>
      <c r="AO1656" s="238">
        <v>0.0</v>
      </c>
      <c r="AP1656" s="238">
        <v>-9.04</v>
      </c>
      <c r="AQ1656" s="235" t="s">
        <v>632</v>
      </c>
      <c r="AR1656" s="243">
        <v>1.68E11</v>
      </c>
      <c r="AS1656" s="235" t="s">
        <v>13108</v>
      </c>
      <c r="AT1656" s="235" t="s">
        <v>156</v>
      </c>
      <c r="AU1656" s="235" t="s">
        <v>634</v>
      </c>
      <c r="AV1656" s="246" t="s">
        <v>635</v>
      </c>
      <c r="AW1656" s="242"/>
      <c r="AX1656" s="242"/>
      <c r="AY1656" s="231"/>
      <c r="AZ1656" s="231"/>
      <c r="BA1656" s="227"/>
      <c r="BB1656" s="231"/>
      <c r="BC1656" s="227"/>
      <c r="BD1656" s="227"/>
      <c r="BE1656" s="227"/>
      <c r="BF1656" s="227"/>
    </row>
    <row r="1657">
      <c r="A1657" s="235" t="s">
        <v>13109</v>
      </c>
      <c r="C1657" s="235" t="s">
        <v>13110</v>
      </c>
      <c r="D1657" s="235" t="s">
        <v>13111</v>
      </c>
      <c r="E1657" s="243">
        <v>6.55E13</v>
      </c>
      <c r="F1657" s="245"/>
      <c r="G1657" s="235" t="s">
        <v>13112</v>
      </c>
      <c r="H1657" s="235" t="s">
        <v>13113</v>
      </c>
      <c r="I1657" s="235" t="s">
        <v>13113</v>
      </c>
      <c r="J1657" s="235" t="s">
        <v>13114</v>
      </c>
      <c r="K1657" s="235" t="s">
        <v>13115</v>
      </c>
      <c r="N1657" s="235" t="s">
        <v>154</v>
      </c>
      <c r="O1657" s="235" t="s">
        <v>766</v>
      </c>
      <c r="P1657" s="238">
        <v>1.0</v>
      </c>
      <c r="Q1657" s="235" t="s">
        <v>627</v>
      </c>
      <c r="R1657" s="238">
        <v>465.72</v>
      </c>
      <c r="S1657" s="238">
        <v>22.82</v>
      </c>
      <c r="T1657" s="238">
        <v>56.2</v>
      </c>
      <c r="U1657" s="238">
        <v>2.8</v>
      </c>
      <c r="V1657" s="238">
        <v>0.0</v>
      </c>
      <c r="W1657" s="238">
        <v>0.0</v>
      </c>
      <c r="X1657" s="235" t="s">
        <v>628</v>
      </c>
      <c r="Z1657" s="244"/>
      <c r="AA1657" s="244"/>
      <c r="AB1657" s="244"/>
      <c r="AC1657" s="235" t="s">
        <v>844</v>
      </c>
      <c r="AD1657" s="235" t="s">
        <v>845</v>
      </c>
      <c r="AE1657" s="238">
        <v>411046.0</v>
      </c>
      <c r="AF1657" s="235" t="s">
        <v>631</v>
      </c>
      <c r="AG1657" s="244"/>
      <c r="AH1657" s="244"/>
      <c r="AI1657" s="245"/>
      <c r="AJ1657" s="245"/>
      <c r="AK1657" s="245"/>
      <c r="AL1657" s="245"/>
      <c r="AM1657" s="244"/>
      <c r="AN1657" s="244"/>
      <c r="AO1657" s="238">
        <v>-9.32</v>
      </c>
      <c r="AP1657" s="238">
        <v>0.0</v>
      </c>
      <c r="AQ1657" s="235" t="s">
        <v>632</v>
      </c>
      <c r="AR1657" s="243">
        <v>3.71E11</v>
      </c>
      <c r="AS1657" s="235" t="s">
        <v>11171</v>
      </c>
      <c r="AT1657" s="235" t="s">
        <v>16</v>
      </c>
      <c r="AU1657" s="235" t="s">
        <v>634</v>
      </c>
      <c r="AV1657" s="246" t="s">
        <v>635</v>
      </c>
      <c r="AW1657" s="242"/>
      <c r="AX1657" s="242"/>
      <c r="AY1657" s="231"/>
      <c r="AZ1657" s="231"/>
      <c r="BA1657" s="227"/>
      <c r="BB1657" s="231"/>
      <c r="BC1657" s="227"/>
      <c r="BD1657" s="227"/>
      <c r="BE1657" s="227"/>
      <c r="BF1657" s="227"/>
    </row>
    <row r="1658">
      <c r="A1658" s="235" t="s">
        <v>13116</v>
      </c>
      <c r="C1658" s="235" t="s">
        <v>13117</v>
      </c>
      <c r="D1658" s="235" t="s">
        <v>13118</v>
      </c>
      <c r="E1658" s="243">
        <v>6.55E13</v>
      </c>
      <c r="F1658" s="245"/>
      <c r="G1658" s="235" t="s">
        <v>13119</v>
      </c>
      <c r="H1658" s="235" t="s">
        <v>13120</v>
      </c>
      <c r="I1658" s="235" t="s">
        <v>13121</v>
      </c>
      <c r="J1658" s="235" t="s">
        <v>13122</v>
      </c>
      <c r="K1658" s="235" t="s">
        <v>13123</v>
      </c>
      <c r="N1658" s="235" t="s">
        <v>2696</v>
      </c>
      <c r="O1658" s="235" t="s">
        <v>2697</v>
      </c>
      <c r="P1658" s="238">
        <v>1.0</v>
      </c>
      <c r="Q1658" s="235" t="s">
        <v>627</v>
      </c>
      <c r="R1658" s="238">
        <v>246.66</v>
      </c>
      <c r="S1658" s="238">
        <v>12.34</v>
      </c>
      <c r="T1658" s="238">
        <v>0.0</v>
      </c>
      <c r="U1658" s="238">
        <v>0.0</v>
      </c>
      <c r="V1658" s="238">
        <v>0.0</v>
      </c>
      <c r="W1658" s="238">
        <v>0.0</v>
      </c>
      <c r="X1658" s="235" t="s">
        <v>628</v>
      </c>
      <c r="Z1658" s="244"/>
      <c r="AA1658" s="244"/>
      <c r="AB1658" s="244"/>
      <c r="AC1658" s="235" t="s">
        <v>1998</v>
      </c>
      <c r="AD1658" s="235" t="s">
        <v>928</v>
      </c>
      <c r="AE1658" s="238">
        <v>121006.0</v>
      </c>
      <c r="AF1658" s="235" t="s">
        <v>631</v>
      </c>
      <c r="AG1658" s="244"/>
      <c r="AH1658" s="244"/>
      <c r="AI1658" s="245"/>
      <c r="AJ1658" s="245"/>
      <c r="AK1658" s="245"/>
      <c r="AL1658" s="245"/>
      <c r="AM1658" s="244"/>
      <c r="AN1658" s="244"/>
      <c r="AO1658" s="238">
        <v>0.0</v>
      </c>
      <c r="AP1658" s="238">
        <v>0.0</v>
      </c>
      <c r="AQ1658" s="235" t="s">
        <v>632</v>
      </c>
      <c r="AR1658" s="243">
        <v>1.68E11</v>
      </c>
      <c r="AS1658" s="235" t="s">
        <v>13108</v>
      </c>
      <c r="AT1658" s="235" t="s">
        <v>14</v>
      </c>
      <c r="AU1658" s="235" t="s">
        <v>634</v>
      </c>
      <c r="AV1658" s="246" t="s">
        <v>635</v>
      </c>
      <c r="AW1658" s="242"/>
      <c r="AX1658" s="242"/>
      <c r="AY1658" s="231"/>
      <c r="AZ1658" s="231"/>
      <c r="BA1658" s="227"/>
      <c r="BB1658" s="231"/>
      <c r="BC1658" s="227"/>
      <c r="BD1658" s="227"/>
      <c r="BE1658" s="227"/>
      <c r="BF1658" s="227"/>
    </row>
    <row r="1659">
      <c r="A1659" s="235" t="s">
        <v>13124</v>
      </c>
      <c r="C1659" s="235" t="s">
        <v>13125</v>
      </c>
      <c r="D1659" s="235" t="s">
        <v>13126</v>
      </c>
      <c r="E1659" s="243">
        <v>6.54E13</v>
      </c>
      <c r="F1659" s="245"/>
      <c r="G1659" s="235" t="s">
        <v>13127</v>
      </c>
      <c r="H1659" s="235" t="s">
        <v>13128</v>
      </c>
      <c r="I1659" s="235" t="s">
        <v>13128</v>
      </c>
      <c r="J1659" s="235" t="s">
        <v>13129</v>
      </c>
      <c r="K1659" s="235" t="s">
        <v>13130</v>
      </c>
      <c r="N1659" s="235" t="s">
        <v>71</v>
      </c>
      <c r="O1659" s="235" t="s">
        <v>240</v>
      </c>
      <c r="P1659" s="238">
        <v>1.0</v>
      </c>
      <c r="Q1659" s="235" t="s">
        <v>627</v>
      </c>
      <c r="R1659" s="238">
        <v>246.66</v>
      </c>
      <c r="S1659" s="238">
        <v>12.34</v>
      </c>
      <c r="T1659" s="238">
        <v>0.0</v>
      </c>
      <c r="U1659" s="238">
        <v>0.0</v>
      </c>
      <c r="V1659" s="238">
        <v>0.0</v>
      </c>
      <c r="W1659" s="238">
        <v>0.0</v>
      </c>
      <c r="X1659" s="235" t="s">
        <v>628</v>
      </c>
      <c r="Z1659" s="244"/>
      <c r="AA1659" s="244"/>
      <c r="AB1659" s="244"/>
      <c r="AC1659" s="235" t="s">
        <v>844</v>
      </c>
      <c r="AD1659" s="235" t="s">
        <v>845</v>
      </c>
      <c r="AE1659" s="238">
        <v>411036.0</v>
      </c>
      <c r="AF1659" s="235" t="s">
        <v>631</v>
      </c>
      <c r="AG1659" s="244"/>
      <c r="AH1659" s="244"/>
      <c r="AI1659" s="245"/>
      <c r="AJ1659" s="245"/>
      <c r="AK1659" s="245"/>
      <c r="AL1659" s="245"/>
      <c r="AM1659" s="244"/>
      <c r="AN1659" s="244"/>
      <c r="AO1659" s="238">
        <v>0.0</v>
      </c>
      <c r="AP1659" s="238">
        <v>0.0</v>
      </c>
      <c r="AQ1659" s="235" t="s">
        <v>632</v>
      </c>
      <c r="AR1659" s="243">
        <v>3.71E11</v>
      </c>
      <c r="AS1659" s="235" t="s">
        <v>12693</v>
      </c>
      <c r="AT1659" s="235" t="s">
        <v>546</v>
      </c>
      <c r="AU1659" s="235" t="s">
        <v>634</v>
      </c>
      <c r="AV1659" s="246" t="s">
        <v>635</v>
      </c>
      <c r="AW1659" s="242"/>
      <c r="AX1659" s="242"/>
      <c r="AY1659" s="231"/>
      <c r="AZ1659" s="231"/>
      <c r="BA1659" s="227"/>
      <c r="BB1659" s="231"/>
      <c r="BC1659" s="227"/>
      <c r="BD1659" s="227"/>
      <c r="BE1659" s="227"/>
      <c r="BF1659" s="227"/>
    </row>
    <row r="1660">
      <c r="A1660" s="235" t="s">
        <v>13131</v>
      </c>
      <c r="C1660" s="235" t="s">
        <v>13132</v>
      </c>
      <c r="D1660" s="235" t="s">
        <v>13133</v>
      </c>
      <c r="E1660" s="243">
        <v>6.55E13</v>
      </c>
      <c r="F1660" s="245"/>
      <c r="G1660" s="235" t="s">
        <v>13134</v>
      </c>
      <c r="H1660" s="235" t="s">
        <v>13135</v>
      </c>
      <c r="I1660" s="235" t="s">
        <v>13135</v>
      </c>
      <c r="J1660" s="235" t="s">
        <v>13136</v>
      </c>
      <c r="K1660" s="235" t="s">
        <v>13137</v>
      </c>
      <c r="N1660" s="235" t="s">
        <v>53</v>
      </c>
      <c r="O1660" s="235" t="s">
        <v>512</v>
      </c>
      <c r="P1660" s="238">
        <v>1.0</v>
      </c>
      <c r="Q1660" s="235" t="s">
        <v>627</v>
      </c>
      <c r="R1660" s="238">
        <v>237.14</v>
      </c>
      <c r="S1660" s="238">
        <v>11.62</v>
      </c>
      <c r="T1660" s="238">
        <v>0.0</v>
      </c>
      <c r="U1660" s="238">
        <v>0.0</v>
      </c>
      <c r="V1660" s="238">
        <v>0.0</v>
      </c>
      <c r="W1660" s="238">
        <v>0.0</v>
      </c>
      <c r="X1660" s="235" t="s">
        <v>628</v>
      </c>
      <c r="Z1660" s="244"/>
      <c r="AA1660" s="244"/>
      <c r="AB1660" s="244"/>
      <c r="AC1660" s="235" t="s">
        <v>678</v>
      </c>
      <c r="AD1660" s="235" t="s">
        <v>679</v>
      </c>
      <c r="AE1660" s="238">
        <v>560077.0</v>
      </c>
      <c r="AF1660" s="235" t="s">
        <v>631</v>
      </c>
      <c r="AG1660" s="244"/>
      <c r="AH1660" s="244"/>
      <c r="AI1660" s="245"/>
      <c r="AJ1660" s="245"/>
      <c r="AK1660" s="245"/>
      <c r="AL1660" s="245"/>
      <c r="AM1660" s="244"/>
      <c r="AN1660" s="244"/>
      <c r="AO1660" s="238">
        <v>-4.74</v>
      </c>
      <c r="AP1660" s="238">
        <v>0.0</v>
      </c>
      <c r="AQ1660" s="235" t="s">
        <v>632</v>
      </c>
      <c r="AR1660" s="243">
        <v>3.71E11</v>
      </c>
      <c r="AS1660" s="235" t="s">
        <v>12693</v>
      </c>
      <c r="AT1660" s="235" t="s">
        <v>11</v>
      </c>
      <c r="AU1660" s="235" t="s">
        <v>634</v>
      </c>
      <c r="AV1660" s="246" t="s">
        <v>635</v>
      </c>
      <c r="AW1660" s="242"/>
      <c r="AX1660" s="242"/>
      <c r="AY1660" s="231"/>
      <c r="AZ1660" s="231"/>
      <c r="BA1660" s="227"/>
      <c r="BB1660" s="231"/>
      <c r="BC1660" s="227"/>
      <c r="BD1660" s="227"/>
      <c r="BE1660" s="227"/>
      <c r="BF1660" s="227"/>
    </row>
    <row r="1661">
      <c r="A1661" s="235" t="s">
        <v>13138</v>
      </c>
      <c r="C1661" s="235" t="s">
        <v>13139</v>
      </c>
      <c r="D1661" s="235" t="s">
        <v>13140</v>
      </c>
      <c r="E1661" s="243">
        <v>6.55E13</v>
      </c>
      <c r="F1661" s="245"/>
      <c r="G1661" s="235" t="s">
        <v>13141</v>
      </c>
      <c r="H1661" s="235" t="s">
        <v>13142</v>
      </c>
      <c r="I1661" s="235" t="s">
        <v>13142</v>
      </c>
      <c r="J1661" s="235" t="s">
        <v>13143</v>
      </c>
      <c r="K1661" s="235" t="s">
        <v>13144</v>
      </c>
      <c r="N1661" s="235" t="s">
        <v>154</v>
      </c>
      <c r="O1661" s="235" t="s">
        <v>766</v>
      </c>
      <c r="P1661" s="238">
        <v>1.0</v>
      </c>
      <c r="Q1661" s="235" t="s">
        <v>627</v>
      </c>
      <c r="R1661" s="238">
        <v>465.72</v>
      </c>
      <c r="S1661" s="238">
        <v>22.82</v>
      </c>
      <c r="T1661" s="238">
        <v>0.0</v>
      </c>
      <c r="U1661" s="238">
        <v>0.0</v>
      </c>
      <c r="V1661" s="238">
        <v>0.0</v>
      </c>
      <c r="W1661" s="238">
        <v>0.0</v>
      </c>
      <c r="X1661" s="235" t="s">
        <v>628</v>
      </c>
      <c r="Z1661" s="244"/>
      <c r="AA1661" s="244"/>
      <c r="AB1661" s="244"/>
      <c r="AC1661" s="235" t="s">
        <v>1887</v>
      </c>
      <c r="AD1661" s="235" t="s">
        <v>679</v>
      </c>
      <c r="AE1661" s="238">
        <v>560024.0</v>
      </c>
      <c r="AF1661" s="235" t="s">
        <v>631</v>
      </c>
      <c r="AG1661" s="244"/>
      <c r="AH1661" s="244"/>
      <c r="AI1661" s="245"/>
      <c r="AJ1661" s="245"/>
      <c r="AK1661" s="245"/>
      <c r="AL1661" s="245"/>
      <c r="AM1661" s="244"/>
      <c r="AN1661" s="244"/>
      <c r="AO1661" s="238">
        <v>-9.32</v>
      </c>
      <c r="AP1661" s="238">
        <v>0.0</v>
      </c>
      <c r="AQ1661" s="235" t="s">
        <v>632</v>
      </c>
      <c r="AR1661" s="243">
        <v>1.68E11</v>
      </c>
      <c r="AS1661" s="235" t="s">
        <v>13108</v>
      </c>
      <c r="AT1661" s="235" t="s">
        <v>11</v>
      </c>
      <c r="AU1661" s="235" t="s">
        <v>634</v>
      </c>
      <c r="AV1661" s="246" t="s">
        <v>635</v>
      </c>
      <c r="AW1661" s="242"/>
      <c r="AX1661" s="242"/>
      <c r="AY1661" s="231"/>
      <c r="AZ1661" s="231"/>
      <c r="BA1661" s="227"/>
      <c r="BB1661" s="231"/>
      <c r="BC1661" s="227"/>
      <c r="BD1661" s="227"/>
      <c r="BE1661" s="227"/>
      <c r="BF1661" s="227"/>
    </row>
    <row r="1662">
      <c r="A1662" s="235" t="s">
        <v>13145</v>
      </c>
      <c r="C1662" s="235" t="s">
        <v>13146</v>
      </c>
      <c r="D1662" s="235" t="s">
        <v>13147</v>
      </c>
      <c r="E1662" s="243">
        <v>6.55E13</v>
      </c>
      <c r="F1662" s="245"/>
      <c r="G1662" s="235" t="s">
        <v>13148</v>
      </c>
      <c r="H1662" s="235" t="s">
        <v>13149</v>
      </c>
      <c r="I1662" s="235" t="s">
        <v>13149</v>
      </c>
      <c r="J1662" s="235" t="s">
        <v>13150</v>
      </c>
      <c r="K1662" s="235" t="s">
        <v>13151</v>
      </c>
      <c r="N1662" s="235" t="s">
        <v>92</v>
      </c>
      <c r="O1662" s="235" t="s">
        <v>248</v>
      </c>
      <c r="P1662" s="238">
        <v>1.0</v>
      </c>
      <c r="Q1662" s="235" t="s">
        <v>627</v>
      </c>
      <c r="R1662" s="238">
        <v>243.8</v>
      </c>
      <c r="S1662" s="238">
        <v>12.2</v>
      </c>
      <c r="T1662" s="238">
        <v>0.0</v>
      </c>
      <c r="U1662" s="238">
        <v>0.0</v>
      </c>
      <c r="V1662" s="238">
        <v>0.0</v>
      </c>
      <c r="W1662" s="238">
        <v>0.0</v>
      </c>
      <c r="X1662" s="235" t="s">
        <v>628</v>
      </c>
      <c r="Z1662" s="244"/>
      <c r="AA1662" s="244"/>
      <c r="AB1662" s="244"/>
      <c r="AC1662" s="235" t="s">
        <v>1671</v>
      </c>
      <c r="AD1662" s="235" t="s">
        <v>666</v>
      </c>
      <c r="AE1662" s="238">
        <v>641004.0</v>
      </c>
      <c r="AF1662" s="235" t="s">
        <v>631</v>
      </c>
      <c r="AG1662" s="244"/>
      <c r="AH1662" s="244"/>
      <c r="AI1662" s="245"/>
      <c r="AJ1662" s="245"/>
      <c r="AK1662" s="245"/>
      <c r="AL1662" s="245"/>
      <c r="AM1662" s="244"/>
      <c r="AN1662" s="244"/>
      <c r="AO1662" s="238">
        <v>0.0</v>
      </c>
      <c r="AP1662" s="238">
        <v>0.0</v>
      </c>
      <c r="AQ1662" s="235" t="s">
        <v>632</v>
      </c>
      <c r="AR1662" s="243">
        <v>3.71E11</v>
      </c>
      <c r="AS1662" s="235" t="s">
        <v>12693</v>
      </c>
      <c r="AT1662" s="235" t="s">
        <v>155</v>
      </c>
      <c r="AU1662" s="235" t="s">
        <v>634</v>
      </c>
      <c r="AV1662" s="246" t="s">
        <v>635</v>
      </c>
      <c r="AW1662" s="242"/>
      <c r="AX1662" s="242"/>
      <c r="AY1662" s="231"/>
      <c r="AZ1662" s="231"/>
      <c r="BA1662" s="227"/>
      <c r="BB1662" s="231"/>
      <c r="BC1662" s="227"/>
      <c r="BD1662" s="227"/>
      <c r="BE1662" s="227"/>
      <c r="BF1662" s="227"/>
    </row>
    <row r="1663">
      <c r="A1663" s="235" t="s">
        <v>13152</v>
      </c>
      <c r="C1663" s="235" t="s">
        <v>13153</v>
      </c>
      <c r="D1663" s="235" t="s">
        <v>13154</v>
      </c>
      <c r="E1663" s="243">
        <v>6.55E13</v>
      </c>
      <c r="F1663" s="245"/>
      <c r="G1663" s="235" t="s">
        <v>13155</v>
      </c>
      <c r="H1663" s="235" t="s">
        <v>13156</v>
      </c>
      <c r="I1663" s="235" t="s">
        <v>13156</v>
      </c>
      <c r="J1663" s="235" t="s">
        <v>13157</v>
      </c>
      <c r="K1663" s="235" t="s">
        <v>13158</v>
      </c>
      <c r="N1663" s="235" t="s">
        <v>127</v>
      </c>
      <c r="O1663" s="235" t="s">
        <v>794</v>
      </c>
      <c r="P1663" s="238">
        <v>1.0</v>
      </c>
      <c r="Q1663" s="235" t="s">
        <v>627</v>
      </c>
      <c r="R1663" s="238">
        <v>246.66</v>
      </c>
      <c r="S1663" s="238">
        <v>12.34</v>
      </c>
      <c r="T1663" s="238">
        <v>0.0</v>
      </c>
      <c r="U1663" s="238">
        <v>0.0</v>
      </c>
      <c r="V1663" s="238">
        <v>0.0</v>
      </c>
      <c r="W1663" s="238">
        <v>0.0</v>
      </c>
      <c r="X1663" s="235" t="s">
        <v>628</v>
      </c>
      <c r="Z1663" s="244"/>
      <c r="AA1663" s="244"/>
      <c r="AB1663" s="244"/>
      <c r="AC1663" s="235" t="s">
        <v>844</v>
      </c>
      <c r="AD1663" s="235" t="s">
        <v>845</v>
      </c>
      <c r="AE1663" s="238">
        <v>411057.0</v>
      </c>
      <c r="AF1663" s="235" t="s">
        <v>631</v>
      </c>
      <c r="AG1663" s="244"/>
      <c r="AH1663" s="244"/>
      <c r="AI1663" s="245"/>
      <c r="AJ1663" s="245"/>
      <c r="AK1663" s="245"/>
      <c r="AL1663" s="245"/>
      <c r="AM1663" s="244"/>
      <c r="AN1663" s="244"/>
      <c r="AO1663" s="238">
        <v>0.0</v>
      </c>
      <c r="AP1663" s="238">
        <v>0.0</v>
      </c>
      <c r="AQ1663" s="235" t="s">
        <v>632</v>
      </c>
      <c r="AR1663" s="243">
        <v>3.71E11</v>
      </c>
      <c r="AS1663" s="235" t="s">
        <v>12693</v>
      </c>
      <c r="AT1663" s="235" t="s">
        <v>546</v>
      </c>
      <c r="AU1663" s="235" t="s">
        <v>634</v>
      </c>
      <c r="AV1663" s="246" t="s">
        <v>635</v>
      </c>
      <c r="AW1663" s="242"/>
      <c r="AX1663" s="242"/>
      <c r="AY1663" s="231"/>
      <c r="AZ1663" s="231"/>
      <c r="BA1663" s="227"/>
      <c r="BB1663" s="231"/>
      <c r="BC1663" s="227"/>
      <c r="BD1663" s="227"/>
      <c r="BE1663" s="227"/>
      <c r="BF1663" s="227"/>
    </row>
    <row r="1664">
      <c r="A1664" s="235" t="s">
        <v>13159</v>
      </c>
      <c r="C1664" s="235" t="s">
        <v>13160</v>
      </c>
      <c r="D1664" s="235" t="s">
        <v>13161</v>
      </c>
      <c r="E1664" s="243">
        <v>6.55E13</v>
      </c>
      <c r="F1664" s="245"/>
      <c r="G1664" s="235" t="s">
        <v>13162</v>
      </c>
      <c r="H1664" s="235" t="s">
        <v>13163</v>
      </c>
      <c r="I1664" s="235" t="s">
        <v>13164</v>
      </c>
      <c r="J1664" s="235" t="s">
        <v>13165</v>
      </c>
      <c r="K1664" s="235" t="s">
        <v>13166</v>
      </c>
      <c r="N1664" s="235" t="s">
        <v>104</v>
      </c>
      <c r="O1664" s="235" t="s">
        <v>401</v>
      </c>
      <c r="P1664" s="238">
        <v>1.0</v>
      </c>
      <c r="Q1664" s="235" t="s">
        <v>627</v>
      </c>
      <c r="R1664" s="238">
        <v>246.66</v>
      </c>
      <c r="S1664" s="238">
        <v>12.34</v>
      </c>
      <c r="T1664" s="238">
        <v>18.1</v>
      </c>
      <c r="U1664" s="238">
        <v>0.9</v>
      </c>
      <c r="V1664" s="238">
        <v>0.0</v>
      </c>
      <c r="W1664" s="238">
        <v>0.0</v>
      </c>
      <c r="X1664" s="235" t="s">
        <v>628</v>
      </c>
      <c r="Z1664" s="244"/>
      <c r="AA1664" s="244"/>
      <c r="AB1664" s="244"/>
      <c r="AC1664" s="235" t="s">
        <v>775</v>
      </c>
      <c r="AD1664" s="235" t="s">
        <v>679</v>
      </c>
      <c r="AE1664" s="238">
        <v>560100.0</v>
      </c>
      <c r="AF1664" s="235" t="s">
        <v>631</v>
      </c>
      <c r="AG1664" s="244"/>
      <c r="AH1664" s="244"/>
      <c r="AI1664" s="245"/>
      <c r="AJ1664" s="245"/>
      <c r="AK1664" s="245"/>
      <c r="AL1664" s="245"/>
      <c r="AM1664" s="244"/>
      <c r="AN1664" s="244"/>
      <c r="AO1664" s="238">
        <v>0.0</v>
      </c>
      <c r="AP1664" s="238">
        <v>-18.1</v>
      </c>
      <c r="AQ1664" s="235" t="s">
        <v>632</v>
      </c>
      <c r="AR1664" s="243">
        <v>1.68E11</v>
      </c>
      <c r="AS1664" s="235" t="s">
        <v>13108</v>
      </c>
      <c r="AT1664" s="235" t="s">
        <v>9</v>
      </c>
      <c r="AU1664" s="235" t="s">
        <v>634</v>
      </c>
      <c r="AV1664" s="246" t="s">
        <v>635</v>
      </c>
      <c r="AW1664" s="242"/>
      <c r="AX1664" s="242"/>
      <c r="AY1664" s="231"/>
      <c r="AZ1664" s="231"/>
      <c r="BA1664" s="227"/>
      <c r="BB1664" s="231"/>
      <c r="BC1664" s="227"/>
      <c r="BD1664" s="227"/>
      <c r="BE1664" s="227"/>
      <c r="BF1664" s="227"/>
    </row>
    <row r="1665">
      <c r="A1665" s="235" t="s">
        <v>13167</v>
      </c>
      <c r="C1665" s="235" t="s">
        <v>13168</v>
      </c>
      <c r="D1665" s="235" t="s">
        <v>13169</v>
      </c>
      <c r="E1665" s="243">
        <v>6.55E13</v>
      </c>
      <c r="F1665" s="245"/>
      <c r="G1665" s="235" t="s">
        <v>13170</v>
      </c>
      <c r="H1665" s="235" t="s">
        <v>13171</v>
      </c>
      <c r="I1665" s="235" t="s">
        <v>13171</v>
      </c>
      <c r="J1665" s="235" t="s">
        <v>13172</v>
      </c>
      <c r="K1665" s="235" t="s">
        <v>6661</v>
      </c>
      <c r="N1665" s="235" t="s">
        <v>127</v>
      </c>
      <c r="O1665" s="235" t="s">
        <v>794</v>
      </c>
      <c r="P1665" s="238">
        <v>1.0</v>
      </c>
      <c r="Q1665" s="235" t="s">
        <v>627</v>
      </c>
      <c r="R1665" s="238">
        <v>246.66</v>
      </c>
      <c r="S1665" s="238">
        <v>12.34</v>
      </c>
      <c r="T1665" s="238">
        <v>18.1</v>
      </c>
      <c r="U1665" s="238">
        <v>0.9</v>
      </c>
      <c r="V1665" s="238">
        <v>0.0</v>
      </c>
      <c r="W1665" s="238">
        <v>0.0</v>
      </c>
      <c r="X1665" s="235" t="s">
        <v>628</v>
      </c>
      <c r="Z1665" s="244"/>
      <c r="AA1665" s="244"/>
      <c r="AB1665" s="244"/>
      <c r="AC1665" s="235" t="s">
        <v>1887</v>
      </c>
      <c r="AD1665" s="235" t="s">
        <v>679</v>
      </c>
      <c r="AE1665" s="238">
        <v>560087.0</v>
      </c>
      <c r="AF1665" s="235" t="s">
        <v>631</v>
      </c>
      <c r="AG1665" s="244"/>
      <c r="AH1665" s="244"/>
      <c r="AI1665" s="245"/>
      <c r="AJ1665" s="245"/>
      <c r="AK1665" s="245"/>
      <c r="AL1665" s="245"/>
      <c r="AM1665" s="244"/>
      <c r="AN1665" s="244"/>
      <c r="AO1665" s="238">
        <v>0.0</v>
      </c>
      <c r="AP1665" s="238">
        <v>-18.1</v>
      </c>
      <c r="AQ1665" s="235" t="s">
        <v>632</v>
      </c>
      <c r="AR1665" s="243">
        <v>1.68E11</v>
      </c>
      <c r="AS1665" s="235" t="s">
        <v>13108</v>
      </c>
      <c r="AT1665" s="235" t="s">
        <v>9</v>
      </c>
      <c r="AU1665" s="235" t="s">
        <v>634</v>
      </c>
      <c r="AV1665" s="246" t="s">
        <v>635</v>
      </c>
      <c r="AW1665" s="242"/>
      <c r="AX1665" s="242"/>
      <c r="AY1665" s="231"/>
      <c r="AZ1665" s="231"/>
      <c r="BA1665" s="227"/>
      <c r="BB1665" s="231"/>
      <c r="BC1665" s="227"/>
      <c r="BD1665" s="227"/>
      <c r="BE1665" s="227"/>
      <c r="BF1665" s="227"/>
    </row>
    <row r="1666">
      <c r="A1666" s="235" t="s">
        <v>13173</v>
      </c>
      <c r="C1666" s="235" t="s">
        <v>13174</v>
      </c>
      <c r="D1666" s="235" t="s">
        <v>13175</v>
      </c>
      <c r="E1666" s="243">
        <v>6.55E13</v>
      </c>
      <c r="F1666" s="245"/>
      <c r="G1666" s="235" t="s">
        <v>13176</v>
      </c>
      <c r="H1666" s="235" t="s">
        <v>13177</v>
      </c>
      <c r="I1666" s="235" t="s">
        <v>13177</v>
      </c>
      <c r="J1666" s="235" t="s">
        <v>13178</v>
      </c>
      <c r="K1666" s="235" t="s">
        <v>13179</v>
      </c>
      <c r="N1666" s="235" t="s">
        <v>53</v>
      </c>
      <c r="O1666" s="235" t="s">
        <v>512</v>
      </c>
      <c r="P1666" s="238">
        <v>1.0</v>
      </c>
      <c r="Q1666" s="235" t="s">
        <v>627</v>
      </c>
      <c r="R1666" s="238">
        <v>237.14</v>
      </c>
      <c r="S1666" s="238">
        <v>11.86</v>
      </c>
      <c r="T1666" s="238">
        <v>0.0</v>
      </c>
      <c r="U1666" s="238">
        <v>0.0</v>
      </c>
      <c r="V1666" s="238">
        <v>0.0</v>
      </c>
      <c r="W1666" s="238">
        <v>0.0</v>
      </c>
      <c r="X1666" s="235" t="s">
        <v>628</v>
      </c>
      <c r="Z1666" s="244"/>
      <c r="AA1666" s="244"/>
      <c r="AB1666" s="244"/>
      <c r="AC1666" s="235" t="s">
        <v>687</v>
      </c>
      <c r="AD1666" s="235" t="s">
        <v>666</v>
      </c>
      <c r="AE1666" s="238">
        <v>600119.0</v>
      </c>
      <c r="AF1666" s="235" t="s">
        <v>631</v>
      </c>
      <c r="AG1666" s="244"/>
      <c r="AH1666" s="244"/>
      <c r="AI1666" s="245"/>
      <c r="AJ1666" s="245"/>
      <c r="AK1666" s="245"/>
      <c r="AL1666" s="245"/>
      <c r="AM1666" s="244"/>
      <c r="AN1666" s="244"/>
      <c r="AO1666" s="238">
        <v>0.0</v>
      </c>
      <c r="AP1666" s="238">
        <v>0.0</v>
      </c>
      <c r="AQ1666" s="235" t="s">
        <v>632</v>
      </c>
      <c r="AR1666" s="243">
        <v>3.71E11</v>
      </c>
      <c r="AS1666" s="235" t="s">
        <v>12693</v>
      </c>
      <c r="AT1666" s="235" t="s">
        <v>156</v>
      </c>
      <c r="AU1666" s="235" t="s">
        <v>634</v>
      </c>
      <c r="AV1666" s="246" t="s">
        <v>635</v>
      </c>
      <c r="AW1666" s="242"/>
      <c r="AX1666" s="242"/>
      <c r="AY1666" s="231"/>
      <c r="AZ1666" s="231"/>
      <c r="BA1666" s="227"/>
      <c r="BB1666" s="231"/>
      <c r="BC1666" s="227"/>
      <c r="BD1666" s="227"/>
      <c r="BE1666" s="227"/>
      <c r="BF1666" s="227"/>
    </row>
    <row r="1667">
      <c r="A1667" s="235" t="s">
        <v>13180</v>
      </c>
      <c r="C1667" s="235" t="s">
        <v>13181</v>
      </c>
      <c r="D1667" s="235" t="s">
        <v>13182</v>
      </c>
      <c r="E1667" s="243">
        <v>6.55E13</v>
      </c>
      <c r="F1667" s="245"/>
      <c r="G1667" s="235" t="s">
        <v>13183</v>
      </c>
      <c r="H1667" s="235" t="s">
        <v>13184</v>
      </c>
      <c r="I1667" s="235" t="s">
        <v>13184</v>
      </c>
      <c r="J1667" s="235" t="s">
        <v>13185</v>
      </c>
      <c r="K1667" s="235" t="s">
        <v>13186</v>
      </c>
      <c r="N1667" s="235" t="s">
        <v>51</v>
      </c>
      <c r="O1667" s="235" t="s">
        <v>273</v>
      </c>
      <c r="P1667" s="238">
        <v>1.0</v>
      </c>
      <c r="Q1667" s="235" t="s">
        <v>627</v>
      </c>
      <c r="R1667" s="238">
        <v>237.14</v>
      </c>
      <c r="S1667" s="238">
        <v>11.62</v>
      </c>
      <c r="T1667" s="238">
        <v>18.1</v>
      </c>
      <c r="U1667" s="238">
        <v>0.9</v>
      </c>
      <c r="V1667" s="238">
        <v>0.0</v>
      </c>
      <c r="W1667" s="238">
        <v>0.0</v>
      </c>
      <c r="X1667" s="235" t="s">
        <v>628</v>
      </c>
      <c r="Z1667" s="244"/>
      <c r="AA1667" s="244"/>
      <c r="AB1667" s="244"/>
      <c r="AC1667" s="235" t="s">
        <v>678</v>
      </c>
      <c r="AD1667" s="235" t="s">
        <v>679</v>
      </c>
      <c r="AE1667" s="238">
        <v>560097.0</v>
      </c>
      <c r="AF1667" s="235" t="s">
        <v>631</v>
      </c>
      <c r="AG1667" s="244"/>
      <c r="AH1667" s="244"/>
      <c r="AI1667" s="245"/>
      <c r="AJ1667" s="245"/>
      <c r="AK1667" s="245"/>
      <c r="AL1667" s="245"/>
      <c r="AM1667" s="244"/>
      <c r="AN1667" s="244"/>
      <c r="AO1667" s="238">
        <v>-4.74</v>
      </c>
      <c r="AP1667" s="238">
        <v>-18.1</v>
      </c>
      <c r="AQ1667" s="235" t="s">
        <v>632</v>
      </c>
      <c r="AR1667" s="243">
        <v>1.68E11</v>
      </c>
      <c r="AS1667" s="235" t="s">
        <v>13108</v>
      </c>
      <c r="AT1667" s="235" t="s">
        <v>9</v>
      </c>
      <c r="AU1667" s="235" t="s">
        <v>634</v>
      </c>
      <c r="AV1667" s="246" t="s">
        <v>635</v>
      </c>
      <c r="AW1667" s="242"/>
      <c r="AX1667" s="242"/>
      <c r="AY1667" s="231"/>
      <c r="AZ1667" s="231"/>
      <c r="BA1667" s="227"/>
      <c r="BB1667" s="231"/>
      <c r="BC1667" s="227"/>
      <c r="BD1667" s="227"/>
      <c r="BE1667" s="227"/>
      <c r="BF1667" s="227"/>
    </row>
    <row r="1668">
      <c r="A1668" s="235" t="s">
        <v>13187</v>
      </c>
      <c r="C1668" s="235" t="s">
        <v>13188</v>
      </c>
      <c r="D1668" s="235" t="s">
        <v>13189</v>
      </c>
      <c r="E1668" s="243">
        <v>6.53E13</v>
      </c>
      <c r="F1668" s="245"/>
      <c r="G1668" s="235" t="s">
        <v>13190</v>
      </c>
      <c r="H1668" s="235" t="s">
        <v>13191</v>
      </c>
      <c r="I1668" s="235" t="s">
        <v>13192</v>
      </c>
      <c r="J1668" s="235" t="s">
        <v>13193</v>
      </c>
      <c r="K1668" s="235" t="s">
        <v>13194</v>
      </c>
      <c r="N1668" s="235" t="s">
        <v>3858</v>
      </c>
      <c r="O1668" s="235" t="s">
        <v>3859</v>
      </c>
      <c r="P1668" s="238">
        <v>1.0</v>
      </c>
      <c r="Q1668" s="235" t="s">
        <v>627</v>
      </c>
      <c r="R1668" s="238">
        <v>270.48</v>
      </c>
      <c r="S1668" s="238">
        <v>13.52</v>
      </c>
      <c r="T1668" s="238">
        <v>0.0</v>
      </c>
      <c r="U1668" s="238">
        <v>0.0</v>
      </c>
      <c r="V1668" s="238">
        <v>0.0</v>
      </c>
      <c r="W1668" s="238">
        <v>0.0</v>
      </c>
      <c r="X1668" s="235" t="s">
        <v>628</v>
      </c>
      <c r="Z1668" s="244"/>
      <c r="AA1668" s="244"/>
      <c r="AB1668" s="244"/>
      <c r="AC1668" s="235" t="s">
        <v>1728</v>
      </c>
      <c r="AD1668" s="235" t="s">
        <v>630</v>
      </c>
      <c r="AE1668" s="238">
        <v>221005.0</v>
      </c>
      <c r="AF1668" s="235" t="s">
        <v>631</v>
      </c>
      <c r="AG1668" s="244"/>
      <c r="AH1668" s="244"/>
      <c r="AI1668" s="245"/>
      <c r="AJ1668" s="245"/>
      <c r="AK1668" s="245"/>
      <c r="AL1668" s="245"/>
      <c r="AM1668" s="244"/>
      <c r="AN1668" s="244"/>
      <c r="AO1668" s="238">
        <v>0.0</v>
      </c>
      <c r="AP1668" s="238">
        <v>0.0</v>
      </c>
      <c r="AQ1668" s="235" t="s">
        <v>632</v>
      </c>
      <c r="AR1668" s="243">
        <v>3.71E11</v>
      </c>
      <c r="AS1668" s="235" t="s">
        <v>7365</v>
      </c>
      <c r="AT1668" s="235" t="s">
        <v>5</v>
      </c>
      <c r="AU1668" s="235" t="s">
        <v>634</v>
      </c>
      <c r="AV1668" s="246" t="s">
        <v>635</v>
      </c>
      <c r="AW1668" s="242"/>
      <c r="AX1668" s="242"/>
      <c r="AY1668" s="231"/>
      <c r="AZ1668" s="231"/>
      <c r="BA1668" s="227"/>
      <c r="BB1668" s="231"/>
      <c r="BC1668" s="227"/>
      <c r="BD1668" s="227"/>
      <c r="BE1668" s="227"/>
      <c r="BF1668" s="227"/>
    </row>
    <row r="1669">
      <c r="A1669" s="235" t="s">
        <v>13195</v>
      </c>
      <c r="C1669" s="235" t="s">
        <v>13196</v>
      </c>
      <c r="D1669" s="235" t="s">
        <v>13197</v>
      </c>
      <c r="E1669" s="243">
        <v>6.55E13</v>
      </c>
      <c r="F1669" s="245"/>
      <c r="G1669" s="235" t="s">
        <v>13198</v>
      </c>
      <c r="H1669" s="235" t="s">
        <v>13199</v>
      </c>
      <c r="I1669" s="235" t="s">
        <v>13199</v>
      </c>
      <c r="J1669" s="235" t="s">
        <v>13200</v>
      </c>
      <c r="K1669" s="235" t="s">
        <v>13201</v>
      </c>
      <c r="N1669" s="235" t="s">
        <v>138</v>
      </c>
      <c r="O1669" s="235" t="s">
        <v>675</v>
      </c>
      <c r="P1669" s="238">
        <v>1.0</v>
      </c>
      <c r="Q1669" s="235" t="s">
        <v>627</v>
      </c>
      <c r="R1669" s="238">
        <v>246.66</v>
      </c>
      <c r="S1669" s="238">
        <v>12.34</v>
      </c>
      <c r="T1669" s="238">
        <v>0.0</v>
      </c>
      <c r="U1669" s="238">
        <v>0.0</v>
      </c>
      <c r="V1669" s="238">
        <v>0.0</v>
      </c>
      <c r="W1669" s="238">
        <v>0.0</v>
      </c>
      <c r="X1669" s="235" t="s">
        <v>628</v>
      </c>
      <c r="Z1669" s="244"/>
      <c r="AA1669" s="244"/>
      <c r="AB1669" s="244"/>
      <c r="AC1669" s="235" t="s">
        <v>678</v>
      </c>
      <c r="AD1669" s="235" t="s">
        <v>679</v>
      </c>
      <c r="AE1669" s="238">
        <v>560068.0</v>
      </c>
      <c r="AF1669" s="235" t="s">
        <v>631</v>
      </c>
      <c r="AG1669" s="244"/>
      <c r="AH1669" s="244"/>
      <c r="AI1669" s="245"/>
      <c r="AJ1669" s="245"/>
      <c r="AK1669" s="245"/>
      <c r="AL1669" s="245"/>
      <c r="AM1669" s="244"/>
      <c r="AN1669" s="244"/>
      <c r="AO1669" s="238">
        <v>0.0</v>
      </c>
      <c r="AP1669" s="238">
        <v>0.0</v>
      </c>
      <c r="AQ1669" s="235" t="s">
        <v>632</v>
      </c>
      <c r="AR1669" s="243">
        <v>1.68E11</v>
      </c>
      <c r="AS1669" s="235" t="s">
        <v>13108</v>
      </c>
      <c r="AT1669" s="235" t="s">
        <v>9</v>
      </c>
      <c r="AU1669" s="235" t="s">
        <v>634</v>
      </c>
      <c r="AV1669" s="246" t="s">
        <v>635</v>
      </c>
      <c r="AW1669" s="242"/>
      <c r="AX1669" s="242"/>
      <c r="AY1669" s="231"/>
      <c r="AZ1669" s="231"/>
      <c r="BA1669" s="227"/>
      <c r="BB1669" s="231"/>
      <c r="BC1669" s="227"/>
      <c r="BD1669" s="227"/>
      <c r="BE1669" s="227"/>
      <c r="BF1669" s="227"/>
    </row>
    <row r="1670">
      <c r="A1670" s="235" t="s">
        <v>13202</v>
      </c>
      <c r="C1670" s="235" t="s">
        <v>13203</v>
      </c>
      <c r="D1670" s="235" t="s">
        <v>13204</v>
      </c>
      <c r="E1670" s="243">
        <v>6.55E13</v>
      </c>
      <c r="F1670" s="245"/>
      <c r="G1670" s="235" t="s">
        <v>13205</v>
      </c>
      <c r="H1670" s="235" t="s">
        <v>13206</v>
      </c>
      <c r="I1670" s="235" t="s">
        <v>13207</v>
      </c>
      <c r="J1670" s="235" t="s">
        <v>13208</v>
      </c>
      <c r="K1670" s="235" t="s">
        <v>13209</v>
      </c>
      <c r="N1670" s="235" t="s">
        <v>136</v>
      </c>
      <c r="O1670" s="235" t="s">
        <v>256</v>
      </c>
      <c r="P1670" s="238">
        <v>1.0</v>
      </c>
      <c r="Q1670" s="235" t="s">
        <v>627</v>
      </c>
      <c r="R1670" s="238">
        <v>246.66</v>
      </c>
      <c r="S1670" s="238">
        <v>12.34</v>
      </c>
      <c r="T1670" s="238">
        <v>0.0</v>
      </c>
      <c r="U1670" s="238">
        <v>0.0</v>
      </c>
      <c r="V1670" s="238">
        <v>0.0</v>
      </c>
      <c r="W1670" s="238">
        <v>0.0</v>
      </c>
      <c r="X1670" s="235" t="s">
        <v>628</v>
      </c>
      <c r="Z1670" s="244"/>
      <c r="AA1670" s="244"/>
      <c r="AB1670" s="244"/>
      <c r="AC1670" s="235" t="s">
        <v>1910</v>
      </c>
      <c r="AD1670" s="235" t="s">
        <v>928</v>
      </c>
      <c r="AE1670" s="238">
        <v>122101.0</v>
      </c>
      <c r="AF1670" s="235" t="s">
        <v>631</v>
      </c>
      <c r="AG1670" s="244"/>
      <c r="AH1670" s="244"/>
      <c r="AI1670" s="245"/>
      <c r="AJ1670" s="245"/>
      <c r="AK1670" s="245"/>
      <c r="AL1670" s="245"/>
      <c r="AM1670" s="244"/>
      <c r="AN1670" s="244"/>
      <c r="AO1670" s="238">
        <v>0.0</v>
      </c>
      <c r="AP1670" s="238">
        <v>0.0</v>
      </c>
      <c r="AQ1670" s="235" t="s">
        <v>632</v>
      </c>
      <c r="AR1670" s="243">
        <v>1.68E11</v>
      </c>
      <c r="AS1670" s="235" t="s">
        <v>13108</v>
      </c>
      <c r="AT1670" s="235" t="s">
        <v>14</v>
      </c>
      <c r="AU1670" s="235" t="s">
        <v>634</v>
      </c>
      <c r="AV1670" s="246" t="s">
        <v>635</v>
      </c>
      <c r="AW1670" s="242"/>
      <c r="AX1670" s="242"/>
      <c r="AY1670" s="231"/>
      <c r="AZ1670" s="231"/>
      <c r="BA1670" s="227"/>
      <c r="BB1670" s="231"/>
      <c r="BC1670" s="227"/>
      <c r="BD1670" s="227"/>
      <c r="BE1670" s="227"/>
      <c r="BF1670" s="227"/>
    </row>
    <row r="1671">
      <c r="A1671" s="235" t="s">
        <v>13210</v>
      </c>
      <c r="C1671" s="235" t="s">
        <v>13211</v>
      </c>
      <c r="D1671" s="235" t="s">
        <v>13212</v>
      </c>
      <c r="E1671" s="243">
        <v>6.55E13</v>
      </c>
      <c r="F1671" s="245"/>
      <c r="G1671" s="235" t="s">
        <v>13213</v>
      </c>
      <c r="H1671" s="235" t="s">
        <v>13214</v>
      </c>
      <c r="I1671" s="235" t="s">
        <v>13215</v>
      </c>
      <c r="J1671" s="235" t="s">
        <v>13216</v>
      </c>
      <c r="K1671" s="235" t="s">
        <v>13217</v>
      </c>
      <c r="N1671" s="235" t="s">
        <v>138</v>
      </c>
      <c r="O1671" s="235" t="s">
        <v>675</v>
      </c>
      <c r="P1671" s="238">
        <v>1.0</v>
      </c>
      <c r="Q1671" s="235" t="s">
        <v>627</v>
      </c>
      <c r="R1671" s="238">
        <v>246.67</v>
      </c>
      <c r="S1671" s="238">
        <v>12.33</v>
      </c>
      <c r="T1671" s="238">
        <v>0.0</v>
      </c>
      <c r="U1671" s="238">
        <v>0.0</v>
      </c>
      <c r="V1671" s="238">
        <v>0.0</v>
      </c>
      <c r="W1671" s="238">
        <v>0.0</v>
      </c>
      <c r="X1671" s="235" t="s">
        <v>628</v>
      </c>
      <c r="Z1671" s="244"/>
      <c r="AA1671" s="244"/>
      <c r="AB1671" s="244"/>
      <c r="AC1671" s="235" t="s">
        <v>13218</v>
      </c>
      <c r="AD1671" s="235" t="s">
        <v>630</v>
      </c>
      <c r="AE1671" s="238">
        <v>231208.0</v>
      </c>
      <c r="AF1671" s="235" t="s">
        <v>631</v>
      </c>
      <c r="AG1671" s="244"/>
      <c r="AH1671" s="244"/>
      <c r="AI1671" s="245"/>
      <c r="AJ1671" s="245"/>
      <c r="AK1671" s="245"/>
      <c r="AL1671" s="245"/>
      <c r="AM1671" s="244"/>
      <c r="AN1671" s="244"/>
      <c r="AO1671" s="238">
        <v>0.0</v>
      </c>
      <c r="AP1671" s="238">
        <v>0.0</v>
      </c>
      <c r="AQ1671" s="235" t="s">
        <v>632</v>
      </c>
      <c r="AR1671" s="243">
        <v>3.71E11</v>
      </c>
      <c r="AS1671" s="235" t="s">
        <v>8807</v>
      </c>
      <c r="AT1671" s="235" t="s">
        <v>533</v>
      </c>
      <c r="AU1671" s="235" t="s">
        <v>634</v>
      </c>
      <c r="AV1671" s="246" t="s">
        <v>635</v>
      </c>
      <c r="AW1671" s="242"/>
      <c r="AX1671" s="242"/>
      <c r="AY1671" s="231"/>
      <c r="AZ1671" s="231"/>
      <c r="BA1671" s="227"/>
      <c r="BB1671" s="231"/>
      <c r="BC1671" s="227"/>
      <c r="BD1671" s="227"/>
      <c r="BE1671" s="227"/>
      <c r="BF1671" s="227"/>
    </row>
    <row r="1672">
      <c r="A1672" s="235" t="s">
        <v>13219</v>
      </c>
      <c r="C1672" s="235" t="s">
        <v>13220</v>
      </c>
      <c r="D1672" s="235" t="s">
        <v>13221</v>
      </c>
      <c r="E1672" s="243">
        <v>6.55E13</v>
      </c>
      <c r="F1672" s="245"/>
      <c r="G1672" s="235" t="s">
        <v>13222</v>
      </c>
      <c r="H1672" s="235" t="s">
        <v>13223</v>
      </c>
      <c r="I1672" s="235" t="s">
        <v>13223</v>
      </c>
      <c r="J1672" s="235" t="s">
        <v>13224</v>
      </c>
      <c r="K1672" s="235" t="s">
        <v>13225</v>
      </c>
      <c r="N1672" s="235" t="s">
        <v>962</v>
      </c>
      <c r="O1672" s="235" t="s">
        <v>963</v>
      </c>
      <c r="P1672" s="238">
        <v>1.0</v>
      </c>
      <c r="Q1672" s="235" t="s">
        <v>627</v>
      </c>
      <c r="R1672" s="238">
        <v>246.67</v>
      </c>
      <c r="S1672" s="238">
        <v>12.33</v>
      </c>
      <c r="T1672" s="238">
        <v>0.0</v>
      </c>
      <c r="U1672" s="238">
        <v>0.0</v>
      </c>
      <c r="V1672" s="238">
        <v>0.0</v>
      </c>
      <c r="W1672" s="238">
        <v>0.0</v>
      </c>
      <c r="X1672" s="235" t="s">
        <v>628</v>
      </c>
      <c r="Z1672" s="244"/>
      <c r="AA1672" s="244"/>
      <c r="AB1672" s="244"/>
      <c r="AC1672" s="235" t="s">
        <v>1475</v>
      </c>
      <c r="AD1672" s="235" t="s">
        <v>796</v>
      </c>
      <c r="AE1672" s="238">
        <v>110048.0</v>
      </c>
      <c r="AF1672" s="235" t="s">
        <v>631</v>
      </c>
      <c r="AG1672" s="244"/>
      <c r="AH1672" s="244"/>
      <c r="AI1672" s="245"/>
      <c r="AJ1672" s="245"/>
      <c r="AK1672" s="245"/>
      <c r="AL1672" s="245"/>
      <c r="AM1672" s="244"/>
      <c r="AN1672" s="244"/>
      <c r="AO1672" s="238">
        <v>0.0</v>
      </c>
      <c r="AP1672" s="238">
        <v>0.0</v>
      </c>
      <c r="AQ1672" s="235" t="s">
        <v>632</v>
      </c>
      <c r="AR1672" s="243">
        <v>1.68E11</v>
      </c>
      <c r="AS1672" s="235" t="s">
        <v>13108</v>
      </c>
      <c r="AT1672" s="235" t="s">
        <v>14</v>
      </c>
      <c r="AU1672" s="235" t="s">
        <v>634</v>
      </c>
      <c r="AV1672" s="246" t="s">
        <v>635</v>
      </c>
      <c r="AW1672" s="242"/>
      <c r="AX1672" s="242"/>
      <c r="AY1672" s="231"/>
      <c r="AZ1672" s="231"/>
      <c r="BA1672" s="227"/>
      <c r="BB1672" s="231"/>
      <c r="BC1672" s="227"/>
      <c r="BD1672" s="227"/>
      <c r="BE1672" s="227"/>
      <c r="BF1672" s="227"/>
    </row>
    <row r="1673">
      <c r="A1673" s="235" t="s">
        <v>13226</v>
      </c>
      <c r="C1673" s="235" t="s">
        <v>13227</v>
      </c>
      <c r="D1673" s="235" t="s">
        <v>13228</v>
      </c>
      <c r="E1673" s="243">
        <v>6.55E13</v>
      </c>
      <c r="F1673" s="245"/>
      <c r="G1673" s="235" t="s">
        <v>13229</v>
      </c>
      <c r="H1673" s="235" t="s">
        <v>13230</v>
      </c>
      <c r="I1673" s="235" t="s">
        <v>13230</v>
      </c>
      <c r="J1673" s="235" t="s">
        <v>13231</v>
      </c>
      <c r="K1673" s="235" t="s">
        <v>13232</v>
      </c>
      <c r="N1673" s="235" t="s">
        <v>42</v>
      </c>
      <c r="O1673" s="235" t="s">
        <v>204</v>
      </c>
      <c r="P1673" s="238">
        <v>1.0</v>
      </c>
      <c r="Q1673" s="235" t="s">
        <v>627</v>
      </c>
      <c r="R1673" s="238">
        <v>237.14</v>
      </c>
      <c r="S1673" s="238">
        <v>11.62</v>
      </c>
      <c r="T1673" s="238">
        <v>0.0</v>
      </c>
      <c r="U1673" s="238">
        <v>0.0</v>
      </c>
      <c r="V1673" s="238">
        <v>0.0</v>
      </c>
      <c r="W1673" s="238">
        <v>0.0</v>
      </c>
      <c r="X1673" s="235" t="s">
        <v>628</v>
      </c>
      <c r="Z1673" s="244"/>
      <c r="AA1673" s="244"/>
      <c r="AB1673" s="244"/>
      <c r="AC1673" s="235" t="s">
        <v>678</v>
      </c>
      <c r="AD1673" s="235" t="s">
        <v>679</v>
      </c>
      <c r="AE1673" s="238">
        <v>560050.0</v>
      </c>
      <c r="AF1673" s="235" t="s">
        <v>631</v>
      </c>
      <c r="AG1673" s="244"/>
      <c r="AH1673" s="244"/>
      <c r="AI1673" s="245"/>
      <c r="AJ1673" s="245"/>
      <c r="AK1673" s="245"/>
      <c r="AL1673" s="245"/>
      <c r="AM1673" s="244"/>
      <c r="AN1673" s="244"/>
      <c r="AO1673" s="238">
        <v>-4.74</v>
      </c>
      <c r="AP1673" s="238">
        <v>0.0</v>
      </c>
      <c r="AQ1673" s="235" t="s">
        <v>632</v>
      </c>
      <c r="AR1673" s="243">
        <v>1.68E11</v>
      </c>
      <c r="AS1673" s="235" t="s">
        <v>13108</v>
      </c>
      <c r="AT1673" s="235" t="s">
        <v>9</v>
      </c>
      <c r="AU1673" s="235" t="s">
        <v>634</v>
      </c>
      <c r="AV1673" s="246" t="s">
        <v>635</v>
      </c>
      <c r="AW1673" s="242"/>
      <c r="AX1673" s="242"/>
      <c r="AY1673" s="231"/>
      <c r="AZ1673" s="231"/>
      <c r="BA1673" s="227"/>
      <c r="BB1673" s="231"/>
      <c r="BC1673" s="227"/>
      <c r="BD1673" s="227"/>
      <c r="BE1673" s="227"/>
      <c r="BF1673" s="227"/>
    </row>
    <row r="1674">
      <c r="A1674" s="235" t="s">
        <v>13234</v>
      </c>
      <c r="C1674" s="235" t="s">
        <v>13235</v>
      </c>
      <c r="D1674" s="235" t="s">
        <v>13236</v>
      </c>
      <c r="E1674" s="243">
        <v>6.55E13</v>
      </c>
      <c r="F1674" s="245"/>
      <c r="G1674" s="235" t="s">
        <v>13237</v>
      </c>
      <c r="H1674" s="235" t="s">
        <v>13238</v>
      </c>
      <c r="I1674" s="235" t="s">
        <v>13238</v>
      </c>
      <c r="J1674" s="235" t="s">
        <v>13239</v>
      </c>
      <c r="K1674" s="235" t="s">
        <v>13240</v>
      </c>
      <c r="N1674" s="235" t="s">
        <v>127</v>
      </c>
      <c r="O1674" s="235" t="s">
        <v>794</v>
      </c>
      <c r="P1674" s="238">
        <v>1.0</v>
      </c>
      <c r="Q1674" s="235" t="s">
        <v>627</v>
      </c>
      <c r="R1674" s="238">
        <v>246.67</v>
      </c>
      <c r="S1674" s="238">
        <v>12.33</v>
      </c>
      <c r="T1674" s="238">
        <v>0.0</v>
      </c>
      <c r="U1674" s="238">
        <v>0.0</v>
      </c>
      <c r="V1674" s="238">
        <v>0.0</v>
      </c>
      <c r="W1674" s="238">
        <v>0.0</v>
      </c>
      <c r="X1674" s="235" t="s">
        <v>628</v>
      </c>
      <c r="Z1674" s="244"/>
      <c r="AA1674" s="244"/>
      <c r="AB1674" s="244"/>
      <c r="AC1674" s="235" t="s">
        <v>13241</v>
      </c>
      <c r="AD1674" s="235" t="s">
        <v>731</v>
      </c>
      <c r="AE1674" s="238">
        <v>781038.0</v>
      </c>
      <c r="AF1674" s="235" t="s">
        <v>631</v>
      </c>
      <c r="AG1674" s="244"/>
      <c r="AH1674" s="244"/>
      <c r="AI1674" s="245"/>
      <c r="AJ1674" s="245"/>
      <c r="AK1674" s="245"/>
      <c r="AL1674" s="245"/>
      <c r="AM1674" s="244"/>
      <c r="AN1674" s="244"/>
      <c r="AO1674" s="238">
        <v>0.0</v>
      </c>
      <c r="AP1674" s="238">
        <v>0.0</v>
      </c>
      <c r="AQ1674" s="235" t="s">
        <v>632</v>
      </c>
      <c r="AR1674" s="243">
        <v>3.71E11</v>
      </c>
      <c r="AS1674" s="235" t="s">
        <v>7365</v>
      </c>
      <c r="AT1674" s="235" t="s">
        <v>14</v>
      </c>
      <c r="AU1674" s="235" t="s">
        <v>634</v>
      </c>
      <c r="AV1674" s="246" t="s">
        <v>635</v>
      </c>
      <c r="AW1674" s="242"/>
      <c r="AX1674" s="242"/>
      <c r="AY1674" s="231"/>
      <c r="AZ1674" s="231"/>
      <c r="BA1674" s="227"/>
      <c r="BB1674" s="231"/>
      <c r="BC1674" s="227"/>
      <c r="BD1674" s="227"/>
      <c r="BE1674" s="227"/>
      <c r="BF1674" s="227"/>
    </row>
    <row r="1675">
      <c r="A1675" s="235" t="s">
        <v>13242</v>
      </c>
      <c r="C1675" s="235" t="s">
        <v>13243</v>
      </c>
      <c r="D1675" s="235" t="s">
        <v>13244</v>
      </c>
      <c r="E1675" s="243">
        <v>6.55E13</v>
      </c>
      <c r="F1675" s="245"/>
      <c r="G1675" s="235" t="s">
        <v>13245</v>
      </c>
      <c r="H1675" s="235" t="s">
        <v>13246</v>
      </c>
      <c r="I1675" s="235" t="s">
        <v>13246</v>
      </c>
      <c r="J1675" s="235" t="s">
        <v>13247</v>
      </c>
      <c r="K1675" s="235" t="s">
        <v>13248</v>
      </c>
      <c r="N1675" s="235" t="s">
        <v>98</v>
      </c>
      <c r="O1675" s="235" t="s">
        <v>357</v>
      </c>
      <c r="P1675" s="238">
        <v>1.0</v>
      </c>
      <c r="Q1675" s="235" t="s">
        <v>627</v>
      </c>
      <c r="R1675" s="238">
        <v>246.67</v>
      </c>
      <c r="S1675" s="238">
        <v>12.33</v>
      </c>
      <c r="T1675" s="238">
        <v>18.1</v>
      </c>
      <c r="U1675" s="238">
        <v>0.9</v>
      </c>
      <c r="V1675" s="238">
        <v>0.0</v>
      </c>
      <c r="W1675" s="238">
        <v>0.0</v>
      </c>
      <c r="X1675" s="235" t="s">
        <v>628</v>
      </c>
      <c r="Z1675" s="244"/>
      <c r="AA1675" s="244"/>
      <c r="AB1675" s="244"/>
      <c r="AC1675" s="235" t="s">
        <v>795</v>
      </c>
      <c r="AD1675" s="235" t="s">
        <v>796</v>
      </c>
      <c r="AE1675" s="238">
        <v>110085.0</v>
      </c>
      <c r="AF1675" s="235" t="s">
        <v>631</v>
      </c>
      <c r="AG1675" s="244"/>
      <c r="AH1675" s="244"/>
      <c r="AI1675" s="245"/>
      <c r="AJ1675" s="245"/>
      <c r="AK1675" s="245"/>
      <c r="AL1675" s="245"/>
      <c r="AM1675" s="244"/>
      <c r="AN1675" s="244"/>
      <c r="AO1675" s="238">
        <v>0.0</v>
      </c>
      <c r="AP1675" s="238">
        <v>-18.1</v>
      </c>
      <c r="AQ1675" s="235" t="s">
        <v>632</v>
      </c>
      <c r="AR1675" s="243">
        <v>1.68E11</v>
      </c>
      <c r="AS1675" s="235" t="s">
        <v>13108</v>
      </c>
      <c r="AT1675" s="235" t="s">
        <v>13</v>
      </c>
      <c r="AU1675" s="235" t="s">
        <v>634</v>
      </c>
      <c r="AV1675" s="246" t="s">
        <v>635</v>
      </c>
      <c r="AW1675" s="242"/>
      <c r="AX1675" s="242"/>
      <c r="AY1675" s="231"/>
      <c r="AZ1675" s="231"/>
      <c r="BA1675" s="227"/>
      <c r="BB1675" s="231"/>
      <c r="BC1675" s="227"/>
      <c r="BD1675" s="227"/>
      <c r="BE1675" s="227"/>
      <c r="BF1675" s="227"/>
    </row>
    <row r="1676">
      <c r="A1676" s="235" t="s">
        <v>13249</v>
      </c>
      <c r="C1676" s="235" t="s">
        <v>13250</v>
      </c>
      <c r="D1676" s="235" t="s">
        <v>13251</v>
      </c>
      <c r="E1676" s="243">
        <v>6.53E13</v>
      </c>
      <c r="F1676" s="245"/>
      <c r="G1676" s="235" t="s">
        <v>13252</v>
      </c>
      <c r="H1676" s="235" t="s">
        <v>13253</v>
      </c>
      <c r="I1676" s="235" t="s">
        <v>13254</v>
      </c>
      <c r="J1676" s="235" t="s">
        <v>13255</v>
      </c>
      <c r="K1676" s="235" t="s">
        <v>13256</v>
      </c>
      <c r="N1676" s="235" t="s">
        <v>3858</v>
      </c>
      <c r="O1676" s="235" t="s">
        <v>3859</v>
      </c>
      <c r="P1676" s="238">
        <v>1.0</v>
      </c>
      <c r="Q1676" s="235" t="s">
        <v>627</v>
      </c>
      <c r="R1676" s="238">
        <v>270.48</v>
      </c>
      <c r="S1676" s="238">
        <v>13.25</v>
      </c>
      <c r="T1676" s="238">
        <v>0.0</v>
      </c>
      <c r="U1676" s="238">
        <v>0.0</v>
      </c>
      <c r="V1676" s="238">
        <v>0.0</v>
      </c>
      <c r="W1676" s="238">
        <v>0.0</v>
      </c>
      <c r="X1676" s="235" t="s">
        <v>628</v>
      </c>
      <c r="Z1676" s="244"/>
      <c r="AA1676" s="244"/>
      <c r="AB1676" s="244"/>
      <c r="AC1676" s="235" t="s">
        <v>2092</v>
      </c>
      <c r="AD1676" s="235" t="s">
        <v>845</v>
      </c>
      <c r="AE1676" s="238">
        <v>411057.0</v>
      </c>
      <c r="AF1676" s="235" t="s">
        <v>631</v>
      </c>
      <c r="AG1676" s="244"/>
      <c r="AH1676" s="244"/>
      <c r="AI1676" s="245"/>
      <c r="AJ1676" s="245"/>
      <c r="AK1676" s="245"/>
      <c r="AL1676" s="245"/>
      <c r="AM1676" s="244"/>
      <c r="AN1676" s="244"/>
      <c r="AO1676" s="238">
        <v>-5.41</v>
      </c>
      <c r="AP1676" s="238">
        <v>0.0</v>
      </c>
      <c r="AQ1676" s="235" t="s">
        <v>632</v>
      </c>
      <c r="AR1676" s="243">
        <v>1.68E11</v>
      </c>
      <c r="AS1676" s="235" t="s">
        <v>11171</v>
      </c>
      <c r="AT1676" s="235" t="s">
        <v>16</v>
      </c>
      <c r="AU1676" s="235" t="s">
        <v>634</v>
      </c>
      <c r="AV1676" s="246" t="s">
        <v>635</v>
      </c>
      <c r="AW1676" s="242"/>
      <c r="AX1676" s="242"/>
      <c r="AY1676" s="231"/>
      <c r="AZ1676" s="231"/>
      <c r="BA1676" s="227"/>
      <c r="BB1676" s="231"/>
      <c r="BC1676" s="227"/>
      <c r="BD1676" s="227"/>
      <c r="BE1676" s="227"/>
      <c r="BF1676" s="227"/>
    </row>
    <row r="1677">
      <c r="A1677" s="235" t="s">
        <v>13257</v>
      </c>
      <c r="C1677" s="235" t="s">
        <v>13258</v>
      </c>
      <c r="D1677" s="235" t="s">
        <v>13259</v>
      </c>
      <c r="E1677" s="243">
        <v>6.55E13</v>
      </c>
      <c r="F1677" s="245"/>
      <c r="G1677" s="235" t="s">
        <v>13260</v>
      </c>
      <c r="H1677" s="235" t="s">
        <v>13261</v>
      </c>
      <c r="I1677" s="235" t="s">
        <v>13261</v>
      </c>
      <c r="J1677" s="235" t="s">
        <v>13262</v>
      </c>
      <c r="K1677" s="235" t="s">
        <v>11318</v>
      </c>
      <c r="N1677" s="235" t="s">
        <v>127</v>
      </c>
      <c r="O1677" s="235" t="s">
        <v>794</v>
      </c>
      <c r="P1677" s="238">
        <v>1.0</v>
      </c>
      <c r="Q1677" s="235" t="s">
        <v>627</v>
      </c>
      <c r="R1677" s="238">
        <v>246.67</v>
      </c>
      <c r="S1677" s="238">
        <v>12.33</v>
      </c>
      <c r="T1677" s="238">
        <v>0.0</v>
      </c>
      <c r="U1677" s="238">
        <v>0.0</v>
      </c>
      <c r="V1677" s="238">
        <v>0.0</v>
      </c>
      <c r="W1677" s="238">
        <v>0.0</v>
      </c>
      <c r="X1677" s="235" t="s">
        <v>628</v>
      </c>
      <c r="Z1677" s="244"/>
      <c r="AA1677" s="244"/>
      <c r="AB1677" s="244"/>
      <c r="AC1677" s="235" t="s">
        <v>1475</v>
      </c>
      <c r="AD1677" s="235" t="s">
        <v>11319</v>
      </c>
      <c r="AE1677" s="238">
        <v>110024.0</v>
      </c>
      <c r="AF1677" s="235" t="s">
        <v>631</v>
      </c>
      <c r="AG1677" s="244"/>
      <c r="AH1677" s="244"/>
      <c r="AI1677" s="245"/>
      <c r="AJ1677" s="245"/>
      <c r="AK1677" s="245"/>
      <c r="AL1677" s="245"/>
      <c r="AM1677" s="244"/>
      <c r="AN1677" s="244"/>
      <c r="AO1677" s="238">
        <v>0.0</v>
      </c>
      <c r="AP1677" s="238">
        <v>0.0</v>
      </c>
      <c r="AQ1677" s="235" t="s">
        <v>632</v>
      </c>
      <c r="AR1677" s="243">
        <v>1.68E11</v>
      </c>
      <c r="AS1677" s="235" t="s">
        <v>13108</v>
      </c>
      <c r="AT1677" s="235" t="s">
        <v>13</v>
      </c>
      <c r="AU1677" s="235" t="s">
        <v>634</v>
      </c>
      <c r="AV1677" s="246" t="s">
        <v>635</v>
      </c>
      <c r="AW1677" s="242"/>
      <c r="AX1677" s="242"/>
      <c r="AY1677" s="231"/>
      <c r="AZ1677" s="231"/>
      <c r="BA1677" s="227"/>
      <c r="BB1677" s="231"/>
      <c r="BC1677" s="227"/>
      <c r="BD1677" s="227"/>
      <c r="BE1677" s="227"/>
      <c r="BF1677" s="227"/>
    </row>
    <row r="1678">
      <c r="A1678" s="235" t="s">
        <v>13263</v>
      </c>
      <c r="C1678" s="235" t="s">
        <v>13264</v>
      </c>
      <c r="D1678" s="235" t="s">
        <v>13265</v>
      </c>
      <c r="E1678" s="243">
        <v>6.55E13</v>
      </c>
      <c r="F1678" s="245"/>
      <c r="G1678" s="235" t="s">
        <v>13266</v>
      </c>
      <c r="H1678" s="235" t="s">
        <v>13267</v>
      </c>
      <c r="I1678" s="235" t="s">
        <v>13267</v>
      </c>
      <c r="J1678" s="235" t="s">
        <v>13268</v>
      </c>
      <c r="K1678" s="235" t="s">
        <v>13269</v>
      </c>
      <c r="N1678" s="235" t="s">
        <v>71</v>
      </c>
      <c r="O1678" s="235" t="s">
        <v>240</v>
      </c>
      <c r="P1678" s="238">
        <v>1.0</v>
      </c>
      <c r="Q1678" s="235" t="s">
        <v>627</v>
      </c>
      <c r="R1678" s="238">
        <v>246.66</v>
      </c>
      <c r="S1678" s="238">
        <v>12.34</v>
      </c>
      <c r="T1678" s="238">
        <v>0.0</v>
      </c>
      <c r="U1678" s="238">
        <v>0.0</v>
      </c>
      <c r="V1678" s="238">
        <v>0.0</v>
      </c>
      <c r="W1678" s="238">
        <v>0.0</v>
      </c>
      <c r="X1678" s="235" t="s">
        <v>628</v>
      </c>
      <c r="Z1678" s="244"/>
      <c r="AA1678" s="244"/>
      <c r="AB1678" s="244"/>
      <c r="AC1678" s="235" t="s">
        <v>1320</v>
      </c>
      <c r="AD1678" s="235" t="s">
        <v>666</v>
      </c>
      <c r="AE1678" s="238">
        <v>600122.0</v>
      </c>
      <c r="AF1678" s="235" t="s">
        <v>631</v>
      </c>
      <c r="AG1678" s="244"/>
      <c r="AH1678" s="244"/>
      <c r="AI1678" s="245"/>
      <c r="AJ1678" s="245"/>
      <c r="AK1678" s="245"/>
      <c r="AL1678" s="245"/>
      <c r="AM1678" s="244"/>
      <c r="AN1678" s="244"/>
      <c r="AO1678" s="238">
        <v>0.0</v>
      </c>
      <c r="AP1678" s="238">
        <v>0.0</v>
      </c>
      <c r="AQ1678" s="235" t="s">
        <v>632</v>
      </c>
      <c r="AR1678" s="243">
        <v>1.68E11</v>
      </c>
      <c r="AS1678" s="235" t="s">
        <v>13108</v>
      </c>
      <c r="AT1678" s="235" t="s">
        <v>156</v>
      </c>
      <c r="AU1678" s="235" t="s">
        <v>634</v>
      </c>
      <c r="AV1678" s="246" t="s">
        <v>635</v>
      </c>
      <c r="AW1678" s="242"/>
      <c r="AX1678" s="242"/>
      <c r="AY1678" s="231"/>
      <c r="AZ1678" s="231"/>
      <c r="BA1678" s="227"/>
      <c r="BB1678" s="231"/>
      <c r="BC1678" s="227"/>
      <c r="BD1678" s="227"/>
      <c r="BE1678" s="227"/>
      <c r="BF1678" s="227"/>
    </row>
    <row r="1679">
      <c r="A1679" s="235" t="s">
        <v>13270</v>
      </c>
      <c r="C1679" s="235" t="s">
        <v>13271</v>
      </c>
      <c r="D1679" s="235" t="s">
        <v>13272</v>
      </c>
      <c r="E1679" s="243">
        <v>6.54E13</v>
      </c>
      <c r="F1679" s="245"/>
      <c r="G1679" s="235" t="s">
        <v>13273</v>
      </c>
      <c r="H1679" s="235" t="s">
        <v>13274</v>
      </c>
      <c r="I1679" s="235" t="s">
        <v>13274</v>
      </c>
      <c r="J1679" s="235" t="s">
        <v>13275</v>
      </c>
      <c r="K1679" s="235" t="s">
        <v>13276</v>
      </c>
      <c r="N1679" s="235" t="s">
        <v>30</v>
      </c>
      <c r="O1679" s="235" t="s">
        <v>692</v>
      </c>
      <c r="P1679" s="238">
        <v>1.0</v>
      </c>
      <c r="Q1679" s="235" t="s">
        <v>627</v>
      </c>
      <c r="R1679" s="238">
        <v>446.67</v>
      </c>
      <c r="S1679" s="238">
        <v>21.66</v>
      </c>
      <c r="T1679" s="238">
        <v>0.0</v>
      </c>
      <c r="U1679" s="238">
        <v>0.0</v>
      </c>
      <c r="V1679" s="238">
        <v>0.0</v>
      </c>
      <c r="W1679" s="238">
        <v>0.0</v>
      </c>
      <c r="X1679" s="235" t="s">
        <v>628</v>
      </c>
      <c r="Z1679" s="244"/>
      <c r="AA1679" s="244"/>
      <c r="AB1679" s="244"/>
      <c r="AC1679" s="235" t="s">
        <v>1483</v>
      </c>
      <c r="AD1679" s="235" t="s">
        <v>854</v>
      </c>
      <c r="AE1679" s="238">
        <v>403702.0</v>
      </c>
      <c r="AF1679" s="235" t="s">
        <v>631</v>
      </c>
      <c r="AG1679" s="244"/>
      <c r="AH1679" s="244"/>
      <c r="AI1679" s="245"/>
      <c r="AJ1679" s="245"/>
      <c r="AK1679" s="245"/>
      <c r="AL1679" s="245"/>
      <c r="AM1679" s="244"/>
      <c r="AN1679" s="244"/>
      <c r="AO1679" s="238">
        <v>-13.4</v>
      </c>
      <c r="AP1679" s="238">
        <v>0.0</v>
      </c>
      <c r="AQ1679" s="235" t="s">
        <v>632</v>
      </c>
      <c r="AR1679" s="243">
        <v>3.71E11</v>
      </c>
      <c r="AS1679" s="235" t="s">
        <v>8807</v>
      </c>
      <c r="AT1679" s="235" t="s">
        <v>16</v>
      </c>
      <c r="AU1679" s="235" t="s">
        <v>634</v>
      </c>
      <c r="AV1679" s="246" t="s">
        <v>635</v>
      </c>
      <c r="AW1679" s="242"/>
      <c r="AX1679" s="242"/>
      <c r="AY1679" s="231"/>
      <c r="AZ1679" s="231"/>
      <c r="BA1679" s="227"/>
      <c r="BB1679" s="231"/>
      <c r="BC1679" s="227"/>
      <c r="BD1679" s="227"/>
      <c r="BE1679" s="227"/>
      <c r="BF1679" s="227"/>
    </row>
    <row r="1680">
      <c r="A1680" s="235" t="s">
        <v>13270</v>
      </c>
      <c r="C1680" s="235" t="s">
        <v>13271</v>
      </c>
      <c r="D1680" s="235" t="s">
        <v>13277</v>
      </c>
      <c r="E1680" s="243">
        <v>6.54E13</v>
      </c>
      <c r="F1680" s="245"/>
      <c r="G1680" s="235" t="s">
        <v>13273</v>
      </c>
      <c r="H1680" s="235" t="s">
        <v>13274</v>
      </c>
      <c r="I1680" s="235" t="s">
        <v>13274</v>
      </c>
      <c r="J1680" s="235" t="s">
        <v>13275</v>
      </c>
      <c r="K1680" s="235" t="s">
        <v>13276</v>
      </c>
      <c r="N1680" s="235" t="s">
        <v>30</v>
      </c>
      <c r="O1680" s="235" t="s">
        <v>692</v>
      </c>
      <c r="P1680" s="238">
        <v>1.0</v>
      </c>
      <c r="Q1680" s="235" t="s">
        <v>627</v>
      </c>
      <c r="R1680" s="238">
        <v>446.67</v>
      </c>
      <c r="S1680" s="238">
        <v>21.66</v>
      </c>
      <c r="T1680" s="238">
        <v>0.0</v>
      </c>
      <c r="U1680" s="238">
        <v>0.0</v>
      </c>
      <c r="V1680" s="238">
        <v>0.0</v>
      </c>
      <c r="W1680" s="238">
        <v>0.0</v>
      </c>
      <c r="X1680" s="235" t="s">
        <v>628</v>
      </c>
      <c r="Z1680" s="244"/>
      <c r="AA1680" s="244"/>
      <c r="AB1680" s="244"/>
      <c r="AC1680" s="235" t="s">
        <v>1483</v>
      </c>
      <c r="AD1680" s="235" t="s">
        <v>854</v>
      </c>
      <c r="AE1680" s="238">
        <v>403702.0</v>
      </c>
      <c r="AF1680" s="235" t="s">
        <v>631</v>
      </c>
      <c r="AG1680" s="244"/>
      <c r="AH1680" s="244"/>
      <c r="AI1680" s="245"/>
      <c r="AJ1680" s="245"/>
      <c r="AK1680" s="245"/>
      <c r="AL1680" s="245"/>
      <c r="AM1680" s="244"/>
      <c r="AN1680" s="244"/>
      <c r="AO1680" s="238">
        <v>-13.4</v>
      </c>
      <c r="AP1680" s="238">
        <v>0.0</v>
      </c>
      <c r="AQ1680" s="235" t="s">
        <v>632</v>
      </c>
      <c r="AR1680" s="243">
        <v>3.71E11</v>
      </c>
      <c r="AS1680" s="235" t="s">
        <v>8807</v>
      </c>
      <c r="AT1680" s="235" t="s">
        <v>16</v>
      </c>
      <c r="AU1680" s="235" t="s">
        <v>634</v>
      </c>
      <c r="AV1680" s="246" t="s">
        <v>635</v>
      </c>
      <c r="AW1680" s="242"/>
      <c r="AX1680" s="242"/>
      <c r="AY1680" s="231"/>
      <c r="AZ1680" s="231"/>
      <c r="BA1680" s="227"/>
      <c r="BB1680" s="231"/>
      <c r="BC1680" s="227"/>
      <c r="BD1680" s="227"/>
      <c r="BE1680" s="227"/>
      <c r="BF1680" s="227"/>
    </row>
    <row r="1681">
      <c r="A1681" s="235" t="s">
        <v>13270</v>
      </c>
      <c r="C1681" s="235" t="s">
        <v>13271</v>
      </c>
      <c r="D1681" s="235" t="s">
        <v>13278</v>
      </c>
      <c r="E1681" s="243">
        <v>6.54E13</v>
      </c>
      <c r="F1681" s="245"/>
      <c r="G1681" s="235" t="s">
        <v>13273</v>
      </c>
      <c r="H1681" s="235" t="s">
        <v>13274</v>
      </c>
      <c r="I1681" s="235" t="s">
        <v>13274</v>
      </c>
      <c r="J1681" s="235" t="s">
        <v>13275</v>
      </c>
      <c r="K1681" s="235" t="s">
        <v>13276</v>
      </c>
      <c r="N1681" s="235" t="s">
        <v>30</v>
      </c>
      <c r="O1681" s="235" t="s">
        <v>692</v>
      </c>
      <c r="P1681" s="238">
        <v>1.0</v>
      </c>
      <c r="Q1681" s="235" t="s">
        <v>627</v>
      </c>
      <c r="R1681" s="238">
        <v>446.67</v>
      </c>
      <c r="S1681" s="238">
        <v>21.66</v>
      </c>
      <c r="T1681" s="238">
        <v>0.0</v>
      </c>
      <c r="U1681" s="238">
        <v>0.0</v>
      </c>
      <c r="V1681" s="238">
        <v>0.0</v>
      </c>
      <c r="W1681" s="238">
        <v>0.0</v>
      </c>
      <c r="X1681" s="235" t="s">
        <v>628</v>
      </c>
      <c r="Z1681" s="244"/>
      <c r="AA1681" s="244"/>
      <c r="AB1681" s="244"/>
      <c r="AC1681" s="235" t="s">
        <v>1483</v>
      </c>
      <c r="AD1681" s="235" t="s">
        <v>854</v>
      </c>
      <c r="AE1681" s="238">
        <v>403702.0</v>
      </c>
      <c r="AF1681" s="235" t="s">
        <v>631</v>
      </c>
      <c r="AG1681" s="244"/>
      <c r="AH1681" s="244"/>
      <c r="AI1681" s="245"/>
      <c r="AJ1681" s="245"/>
      <c r="AK1681" s="245"/>
      <c r="AL1681" s="245"/>
      <c r="AM1681" s="244"/>
      <c r="AN1681" s="244"/>
      <c r="AO1681" s="238">
        <v>-13.4</v>
      </c>
      <c r="AP1681" s="238">
        <v>0.0</v>
      </c>
      <c r="AQ1681" s="235" t="s">
        <v>632</v>
      </c>
      <c r="AR1681" s="243">
        <v>3.71E11</v>
      </c>
      <c r="AS1681" s="235" t="s">
        <v>8807</v>
      </c>
      <c r="AT1681" s="235" t="s">
        <v>16</v>
      </c>
      <c r="AU1681" s="235" t="s">
        <v>634</v>
      </c>
      <c r="AV1681" s="246" t="s">
        <v>635</v>
      </c>
      <c r="AW1681" s="242"/>
      <c r="AX1681" s="242"/>
      <c r="AY1681" s="231"/>
      <c r="AZ1681" s="231"/>
      <c r="BA1681" s="227"/>
      <c r="BB1681" s="231"/>
      <c r="BC1681" s="227"/>
      <c r="BD1681" s="227"/>
      <c r="BE1681" s="227"/>
      <c r="BF1681" s="227"/>
    </row>
    <row r="1682">
      <c r="A1682" s="235" t="s">
        <v>13279</v>
      </c>
      <c r="C1682" s="235" t="s">
        <v>13280</v>
      </c>
      <c r="D1682" s="235" t="s">
        <v>13281</v>
      </c>
      <c r="E1682" s="243">
        <v>6.55E13</v>
      </c>
      <c r="F1682" s="245"/>
      <c r="G1682" s="235" t="s">
        <v>13282</v>
      </c>
      <c r="H1682" s="235" t="s">
        <v>13283</v>
      </c>
      <c r="I1682" s="235" t="s">
        <v>13284</v>
      </c>
      <c r="J1682" s="235" t="s">
        <v>13285</v>
      </c>
      <c r="K1682" s="235" t="s">
        <v>13286</v>
      </c>
      <c r="N1682" s="235" t="s">
        <v>726</v>
      </c>
      <c r="O1682" s="235" t="s">
        <v>727</v>
      </c>
      <c r="P1682" s="238">
        <v>1.0</v>
      </c>
      <c r="Q1682" s="235" t="s">
        <v>627</v>
      </c>
      <c r="R1682" s="238">
        <v>246.66</v>
      </c>
      <c r="S1682" s="238">
        <v>12.34</v>
      </c>
      <c r="T1682" s="238">
        <v>56.2</v>
      </c>
      <c r="U1682" s="238">
        <v>2.8</v>
      </c>
      <c r="V1682" s="238">
        <v>0.0</v>
      </c>
      <c r="W1682" s="238">
        <v>0.0</v>
      </c>
      <c r="X1682" s="235" t="s">
        <v>628</v>
      </c>
      <c r="Z1682" s="244"/>
      <c r="AA1682" s="244"/>
      <c r="AB1682" s="244"/>
      <c r="AC1682" s="235" t="s">
        <v>13287</v>
      </c>
      <c r="AD1682" s="235" t="s">
        <v>1077</v>
      </c>
      <c r="AE1682" s="238">
        <v>384315.0</v>
      </c>
      <c r="AF1682" s="235" t="s">
        <v>631</v>
      </c>
      <c r="AG1682" s="244"/>
      <c r="AH1682" s="244"/>
      <c r="AI1682" s="245"/>
      <c r="AJ1682" s="245"/>
      <c r="AK1682" s="245"/>
      <c r="AL1682" s="245"/>
      <c r="AM1682" s="244"/>
      <c r="AN1682" s="244"/>
      <c r="AO1682" s="238">
        <v>0.0</v>
      </c>
      <c r="AP1682" s="238">
        <v>-56.2</v>
      </c>
      <c r="AQ1682" s="235" t="s">
        <v>632</v>
      </c>
      <c r="AR1682" s="243">
        <v>3.71E11</v>
      </c>
      <c r="AS1682" s="235" t="s">
        <v>8807</v>
      </c>
      <c r="AT1682" s="235" t="s">
        <v>5</v>
      </c>
      <c r="AU1682" s="235" t="s">
        <v>634</v>
      </c>
      <c r="AV1682" s="246" t="s">
        <v>635</v>
      </c>
      <c r="AW1682" s="242"/>
      <c r="AX1682" s="242"/>
      <c r="AY1682" s="231"/>
      <c r="AZ1682" s="231"/>
      <c r="BA1682" s="227"/>
      <c r="BB1682" s="231"/>
      <c r="BC1682" s="227"/>
      <c r="BD1682" s="227"/>
      <c r="BE1682" s="227"/>
      <c r="BF1682" s="227"/>
    </row>
    <row r="1683">
      <c r="A1683" s="235" t="s">
        <v>13288</v>
      </c>
      <c r="C1683" s="235" t="s">
        <v>13289</v>
      </c>
      <c r="D1683" s="235" t="s">
        <v>13290</v>
      </c>
      <c r="E1683" s="243">
        <v>6.55E13</v>
      </c>
      <c r="F1683" s="245"/>
      <c r="G1683" s="235" t="s">
        <v>13291</v>
      </c>
      <c r="H1683" s="235" t="s">
        <v>13292</v>
      </c>
      <c r="I1683" s="235" t="s">
        <v>13292</v>
      </c>
      <c r="J1683" s="235" t="s">
        <v>13293</v>
      </c>
      <c r="K1683" s="235" t="s">
        <v>13294</v>
      </c>
      <c r="N1683" s="235" t="s">
        <v>138</v>
      </c>
      <c r="O1683" s="235" t="s">
        <v>675</v>
      </c>
      <c r="P1683" s="238">
        <v>1.0</v>
      </c>
      <c r="Q1683" s="235" t="s">
        <v>627</v>
      </c>
      <c r="R1683" s="238">
        <v>246.66</v>
      </c>
      <c r="S1683" s="238">
        <v>12.34</v>
      </c>
      <c r="T1683" s="238">
        <v>18.1</v>
      </c>
      <c r="U1683" s="238">
        <v>0.9</v>
      </c>
      <c r="V1683" s="238">
        <v>0.0</v>
      </c>
      <c r="W1683" s="238">
        <v>0.0</v>
      </c>
      <c r="X1683" s="235" t="s">
        <v>628</v>
      </c>
      <c r="Z1683" s="244"/>
      <c r="AA1683" s="244"/>
      <c r="AB1683" s="244"/>
      <c r="AC1683" s="235" t="s">
        <v>678</v>
      </c>
      <c r="AD1683" s="235" t="s">
        <v>679</v>
      </c>
      <c r="AE1683" s="238">
        <v>560073.0</v>
      </c>
      <c r="AF1683" s="235" t="s">
        <v>631</v>
      </c>
      <c r="AG1683" s="244"/>
      <c r="AH1683" s="244"/>
      <c r="AI1683" s="245"/>
      <c r="AJ1683" s="245"/>
      <c r="AK1683" s="245"/>
      <c r="AL1683" s="245"/>
      <c r="AM1683" s="244"/>
      <c r="AN1683" s="244"/>
      <c r="AO1683" s="238">
        <v>0.0</v>
      </c>
      <c r="AP1683" s="238">
        <v>-18.1</v>
      </c>
      <c r="AQ1683" s="235" t="s">
        <v>632</v>
      </c>
      <c r="AR1683" s="243">
        <v>1.68E11</v>
      </c>
      <c r="AS1683" s="235" t="s">
        <v>13108</v>
      </c>
      <c r="AT1683" s="235" t="s">
        <v>11</v>
      </c>
      <c r="AU1683" s="235" t="s">
        <v>634</v>
      </c>
      <c r="AV1683" s="246" t="s">
        <v>635</v>
      </c>
      <c r="AW1683" s="242"/>
      <c r="AX1683" s="242"/>
      <c r="AY1683" s="231"/>
      <c r="AZ1683" s="231"/>
      <c r="BA1683" s="227"/>
      <c r="BB1683" s="231"/>
      <c r="BC1683" s="227"/>
      <c r="BD1683" s="227"/>
      <c r="BE1683" s="227"/>
      <c r="BF1683" s="227"/>
    </row>
    <row r="1684">
      <c r="A1684" s="235" t="s">
        <v>13295</v>
      </c>
      <c r="C1684" s="235" t="s">
        <v>13296</v>
      </c>
      <c r="D1684" s="235" t="s">
        <v>13297</v>
      </c>
      <c r="E1684" s="243">
        <v>6.55E13</v>
      </c>
      <c r="F1684" s="245"/>
      <c r="G1684" s="235" t="s">
        <v>13298</v>
      </c>
      <c r="H1684" s="235" t="s">
        <v>13299</v>
      </c>
      <c r="I1684" s="235" t="s">
        <v>13300</v>
      </c>
      <c r="J1684" s="235" t="s">
        <v>13301</v>
      </c>
      <c r="K1684" s="235" t="s">
        <v>13302</v>
      </c>
      <c r="N1684" s="235" t="s">
        <v>726</v>
      </c>
      <c r="O1684" s="235" t="s">
        <v>727</v>
      </c>
      <c r="P1684" s="238">
        <v>1.0</v>
      </c>
      <c r="Q1684" s="235" t="s">
        <v>627</v>
      </c>
      <c r="R1684" s="238">
        <v>246.67</v>
      </c>
      <c r="S1684" s="238">
        <v>12.33</v>
      </c>
      <c r="T1684" s="238">
        <v>0.0</v>
      </c>
      <c r="U1684" s="238">
        <v>0.0</v>
      </c>
      <c r="V1684" s="238">
        <v>0.0</v>
      </c>
      <c r="W1684" s="238">
        <v>0.0</v>
      </c>
      <c r="X1684" s="235" t="s">
        <v>628</v>
      </c>
      <c r="Z1684" s="244"/>
      <c r="AA1684" s="244"/>
      <c r="AB1684" s="244"/>
      <c r="AC1684" s="235" t="s">
        <v>1279</v>
      </c>
      <c r="AD1684" s="235" t="s">
        <v>917</v>
      </c>
      <c r="AE1684" s="238">
        <v>302019.0</v>
      </c>
      <c r="AF1684" s="235" t="s">
        <v>631</v>
      </c>
      <c r="AG1684" s="244"/>
      <c r="AH1684" s="244"/>
      <c r="AI1684" s="245"/>
      <c r="AJ1684" s="245"/>
      <c r="AK1684" s="245"/>
      <c r="AL1684" s="245"/>
      <c r="AM1684" s="244"/>
      <c r="AN1684" s="244"/>
      <c r="AO1684" s="238">
        <v>0.0</v>
      </c>
      <c r="AP1684" s="238">
        <v>0.0</v>
      </c>
      <c r="AQ1684" s="235" t="s">
        <v>632</v>
      </c>
      <c r="AR1684" s="243">
        <v>1.68E11</v>
      </c>
      <c r="AS1684" s="235" t="s">
        <v>12693</v>
      </c>
      <c r="AT1684" s="235" t="s">
        <v>13</v>
      </c>
      <c r="AU1684" s="235" t="s">
        <v>634</v>
      </c>
      <c r="AV1684" s="246" t="s">
        <v>635</v>
      </c>
      <c r="AW1684" s="242"/>
      <c r="AX1684" s="242"/>
      <c r="AY1684" s="231"/>
      <c r="AZ1684" s="231"/>
      <c r="BA1684" s="227"/>
      <c r="BB1684" s="231"/>
      <c r="BC1684" s="227"/>
      <c r="BD1684" s="227"/>
      <c r="BE1684" s="227"/>
      <c r="BF1684" s="227"/>
    </row>
    <row r="1685">
      <c r="A1685" s="235" t="s">
        <v>13303</v>
      </c>
      <c r="C1685" s="235" t="s">
        <v>13304</v>
      </c>
      <c r="D1685" s="235" t="s">
        <v>13305</v>
      </c>
      <c r="E1685" s="243">
        <v>6.55E13</v>
      </c>
      <c r="F1685" s="245"/>
      <c r="G1685" s="235" t="s">
        <v>13306</v>
      </c>
      <c r="H1685" s="235" t="s">
        <v>13307</v>
      </c>
      <c r="I1685" s="235" t="s">
        <v>13307</v>
      </c>
      <c r="J1685" s="235" t="s">
        <v>13308</v>
      </c>
      <c r="K1685" s="235" t="s">
        <v>13309</v>
      </c>
      <c r="N1685" s="235" t="s">
        <v>130</v>
      </c>
      <c r="O1685" s="235" t="s">
        <v>707</v>
      </c>
      <c r="P1685" s="238">
        <v>1.0</v>
      </c>
      <c r="Q1685" s="235" t="s">
        <v>627</v>
      </c>
      <c r="R1685" s="238">
        <v>246.67</v>
      </c>
      <c r="S1685" s="238">
        <v>12.33</v>
      </c>
      <c r="T1685" s="238">
        <v>38.1</v>
      </c>
      <c r="U1685" s="238">
        <v>1.9</v>
      </c>
      <c r="V1685" s="238">
        <v>0.0</v>
      </c>
      <c r="W1685" s="238">
        <v>0.0</v>
      </c>
      <c r="X1685" s="235" t="s">
        <v>628</v>
      </c>
      <c r="Z1685" s="244"/>
      <c r="AA1685" s="244"/>
      <c r="AB1685" s="244"/>
      <c r="AC1685" s="235" t="s">
        <v>1531</v>
      </c>
      <c r="AD1685" s="235" t="s">
        <v>1151</v>
      </c>
      <c r="AE1685" s="238">
        <v>700055.0</v>
      </c>
      <c r="AF1685" s="235" t="s">
        <v>631</v>
      </c>
      <c r="AG1685" s="244"/>
      <c r="AH1685" s="244"/>
      <c r="AI1685" s="245"/>
      <c r="AJ1685" s="245"/>
      <c r="AK1685" s="245"/>
      <c r="AL1685" s="245"/>
      <c r="AM1685" s="244"/>
      <c r="AN1685" s="244"/>
      <c r="AO1685" s="238">
        <v>0.0</v>
      </c>
      <c r="AP1685" s="238">
        <v>-38.1</v>
      </c>
      <c r="AQ1685" s="235" t="s">
        <v>632</v>
      </c>
      <c r="AR1685" s="243">
        <v>3.71E11</v>
      </c>
      <c r="AS1685" s="235" t="s">
        <v>8807</v>
      </c>
      <c r="AT1685" s="235" t="s">
        <v>14</v>
      </c>
      <c r="AU1685" s="235" t="s">
        <v>634</v>
      </c>
      <c r="AV1685" s="246" t="s">
        <v>635</v>
      </c>
      <c r="AW1685" s="242"/>
      <c r="AX1685" s="242"/>
      <c r="AY1685" s="231"/>
      <c r="AZ1685" s="231"/>
      <c r="BA1685" s="227"/>
      <c r="BB1685" s="231"/>
      <c r="BC1685" s="227"/>
      <c r="BD1685" s="227"/>
      <c r="BE1685" s="227"/>
      <c r="BF1685" s="227"/>
    </row>
    <row r="1686">
      <c r="A1686" s="235" t="s">
        <v>13310</v>
      </c>
      <c r="C1686" s="235" t="s">
        <v>13311</v>
      </c>
      <c r="D1686" s="235" t="s">
        <v>13312</v>
      </c>
      <c r="E1686" s="243">
        <v>6.55E13</v>
      </c>
      <c r="F1686" s="245"/>
      <c r="G1686" s="235" t="s">
        <v>13313</v>
      </c>
      <c r="H1686" s="235" t="s">
        <v>13314</v>
      </c>
      <c r="I1686" s="235" t="s">
        <v>13314</v>
      </c>
      <c r="J1686" s="235" t="s">
        <v>13315</v>
      </c>
      <c r="K1686" s="235" t="s">
        <v>13316</v>
      </c>
      <c r="N1686" s="235" t="s">
        <v>130</v>
      </c>
      <c r="O1686" s="235" t="s">
        <v>707</v>
      </c>
      <c r="P1686" s="238">
        <v>1.0</v>
      </c>
      <c r="Q1686" s="235" t="s">
        <v>627</v>
      </c>
      <c r="R1686" s="238">
        <v>246.66</v>
      </c>
      <c r="S1686" s="238">
        <v>12.34</v>
      </c>
      <c r="T1686" s="238">
        <v>6.03</v>
      </c>
      <c r="U1686" s="238">
        <v>0.3</v>
      </c>
      <c r="V1686" s="238">
        <v>0.0</v>
      </c>
      <c r="W1686" s="238">
        <v>0.0</v>
      </c>
      <c r="X1686" s="235" t="s">
        <v>628</v>
      </c>
      <c r="Z1686" s="244"/>
      <c r="AA1686" s="244"/>
      <c r="AB1686" s="244"/>
      <c r="AC1686" s="235" t="s">
        <v>6912</v>
      </c>
      <c r="AD1686" s="235" t="s">
        <v>845</v>
      </c>
      <c r="AE1686" s="238">
        <v>400706.0</v>
      </c>
      <c r="AF1686" s="235" t="s">
        <v>631</v>
      </c>
      <c r="AG1686" s="244"/>
      <c r="AH1686" s="244"/>
      <c r="AI1686" s="245"/>
      <c r="AJ1686" s="245"/>
      <c r="AK1686" s="245"/>
      <c r="AL1686" s="245"/>
      <c r="AM1686" s="244"/>
      <c r="AN1686" s="244"/>
      <c r="AO1686" s="238">
        <v>0.0</v>
      </c>
      <c r="AP1686" s="238">
        <v>-6.03</v>
      </c>
      <c r="AQ1686" s="235" t="s">
        <v>632</v>
      </c>
      <c r="AR1686" s="243">
        <v>1.68E11</v>
      </c>
      <c r="AS1686" s="235" t="s">
        <v>13108</v>
      </c>
      <c r="AT1686" s="235" t="s">
        <v>16</v>
      </c>
      <c r="AU1686" s="235" t="s">
        <v>634</v>
      </c>
      <c r="AV1686" s="246" t="s">
        <v>635</v>
      </c>
      <c r="AW1686" s="242"/>
      <c r="AX1686" s="242"/>
      <c r="AY1686" s="231"/>
      <c r="AZ1686" s="231"/>
      <c r="BA1686" s="227"/>
      <c r="BB1686" s="231"/>
      <c r="BC1686" s="227"/>
      <c r="BD1686" s="227"/>
      <c r="BE1686" s="227"/>
      <c r="BF1686" s="227"/>
    </row>
    <row r="1687">
      <c r="A1687" s="235" t="s">
        <v>13317</v>
      </c>
      <c r="C1687" s="235" t="s">
        <v>13318</v>
      </c>
      <c r="D1687" s="235" t="s">
        <v>13319</v>
      </c>
      <c r="E1687" s="243">
        <v>6.55E13</v>
      </c>
      <c r="F1687" s="245"/>
      <c r="G1687" s="235" t="s">
        <v>13320</v>
      </c>
      <c r="H1687" s="235" t="s">
        <v>13321</v>
      </c>
      <c r="I1687" s="235" t="s">
        <v>13321</v>
      </c>
      <c r="J1687" s="235" t="s">
        <v>13322</v>
      </c>
      <c r="K1687" s="235" t="s">
        <v>13323</v>
      </c>
      <c r="N1687" s="235" t="s">
        <v>141</v>
      </c>
      <c r="O1687" s="235" t="s">
        <v>342</v>
      </c>
      <c r="P1687" s="238">
        <v>1.0</v>
      </c>
      <c r="Q1687" s="235" t="s">
        <v>627</v>
      </c>
      <c r="R1687" s="238">
        <v>0.0</v>
      </c>
      <c r="S1687" s="238">
        <v>0.0</v>
      </c>
      <c r="T1687" s="238">
        <v>0.0</v>
      </c>
      <c r="U1687" s="238">
        <v>0.0</v>
      </c>
      <c r="V1687" s="238">
        <v>0.0</v>
      </c>
      <c r="W1687" s="238">
        <v>0.0</v>
      </c>
      <c r="X1687" s="235" t="s">
        <v>628</v>
      </c>
      <c r="Z1687" s="244"/>
      <c r="AA1687" s="244"/>
      <c r="AB1687" s="244"/>
      <c r="AC1687" s="235" t="s">
        <v>7611</v>
      </c>
      <c r="AD1687" s="235" t="s">
        <v>630</v>
      </c>
      <c r="AE1687" s="238">
        <v>250001.0</v>
      </c>
      <c r="AF1687" s="235" t="s">
        <v>631</v>
      </c>
      <c r="AG1687" s="244"/>
      <c r="AH1687" s="244"/>
      <c r="AI1687" s="245"/>
      <c r="AJ1687" s="245"/>
      <c r="AK1687" s="245"/>
      <c r="AL1687" s="245"/>
      <c r="AM1687" s="244"/>
      <c r="AN1687" s="244"/>
      <c r="AO1687" s="238">
        <v>0.0</v>
      </c>
      <c r="AP1687" s="238">
        <v>0.0</v>
      </c>
      <c r="AQ1687" s="235" t="s">
        <v>632</v>
      </c>
      <c r="AR1687" s="243">
        <v>1.68E11</v>
      </c>
      <c r="AS1687" s="235" t="s">
        <v>11171</v>
      </c>
      <c r="AT1687" s="235" t="s">
        <v>13</v>
      </c>
      <c r="AU1687" s="235" t="s">
        <v>634</v>
      </c>
      <c r="AV1687" s="246" t="s">
        <v>635</v>
      </c>
      <c r="AW1687" s="242"/>
      <c r="AX1687" s="242"/>
      <c r="AY1687" s="231"/>
      <c r="AZ1687" s="231"/>
      <c r="BA1687" s="227"/>
      <c r="BB1687" s="231"/>
      <c r="BC1687" s="227"/>
      <c r="BD1687" s="227"/>
      <c r="BE1687" s="227"/>
      <c r="BF1687" s="227"/>
    </row>
    <row r="1688">
      <c r="A1688" s="235" t="s">
        <v>13324</v>
      </c>
      <c r="C1688" s="235" t="s">
        <v>13325</v>
      </c>
      <c r="D1688" s="235" t="s">
        <v>13326</v>
      </c>
      <c r="E1688" s="243">
        <v>6.55E13</v>
      </c>
      <c r="F1688" s="245"/>
      <c r="G1688" s="235" t="s">
        <v>13327</v>
      </c>
      <c r="H1688" s="235" t="s">
        <v>13328</v>
      </c>
      <c r="I1688" s="235" t="s">
        <v>13328</v>
      </c>
      <c r="J1688" s="235" t="s">
        <v>13329</v>
      </c>
      <c r="K1688" s="235" t="s">
        <v>13330</v>
      </c>
      <c r="N1688" s="235" t="s">
        <v>138</v>
      </c>
      <c r="O1688" s="235" t="s">
        <v>675</v>
      </c>
      <c r="P1688" s="238">
        <v>1.0</v>
      </c>
      <c r="Q1688" s="235" t="s">
        <v>627</v>
      </c>
      <c r="R1688" s="238">
        <v>246.66</v>
      </c>
      <c r="S1688" s="238">
        <v>12.34</v>
      </c>
      <c r="T1688" s="238">
        <v>18.1</v>
      </c>
      <c r="U1688" s="238">
        <v>0.9</v>
      </c>
      <c r="V1688" s="238">
        <v>0.0</v>
      </c>
      <c r="W1688" s="238">
        <v>0.0</v>
      </c>
      <c r="X1688" s="235" t="s">
        <v>628</v>
      </c>
      <c r="Z1688" s="244"/>
      <c r="AA1688" s="244"/>
      <c r="AB1688" s="244"/>
      <c r="AC1688" s="235" t="s">
        <v>1058</v>
      </c>
      <c r="AD1688" s="235" t="s">
        <v>845</v>
      </c>
      <c r="AE1688" s="238">
        <v>400068.0</v>
      </c>
      <c r="AF1688" s="235" t="s">
        <v>631</v>
      </c>
      <c r="AG1688" s="244"/>
      <c r="AH1688" s="244"/>
      <c r="AI1688" s="245"/>
      <c r="AJ1688" s="245"/>
      <c r="AK1688" s="245"/>
      <c r="AL1688" s="245"/>
      <c r="AM1688" s="244"/>
      <c r="AN1688" s="244"/>
      <c r="AO1688" s="238">
        <v>0.0</v>
      </c>
      <c r="AP1688" s="238">
        <v>-18.1</v>
      </c>
      <c r="AQ1688" s="235" t="s">
        <v>632</v>
      </c>
      <c r="AR1688" s="243">
        <v>1.68E11</v>
      </c>
      <c r="AS1688" s="235" t="s">
        <v>13108</v>
      </c>
      <c r="AT1688" s="235" t="s">
        <v>16</v>
      </c>
      <c r="AU1688" s="235" t="s">
        <v>634</v>
      </c>
      <c r="AV1688" s="246" t="s">
        <v>635</v>
      </c>
      <c r="AW1688" s="242"/>
      <c r="AX1688" s="242"/>
      <c r="AY1688" s="231"/>
      <c r="AZ1688" s="231"/>
      <c r="BA1688" s="227"/>
      <c r="BB1688" s="231"/>
      <c r="BC1688" s="227"/>
      <c r="BD1688" s="227"/>
      <c r="BE1688" s="227"/>
      <c r="BF1688" s="227"/>
    </row>
    <row r="1689">
      <c r="A1689" s="235" t="s">
        <v>13331</v>
      </c>
      <c r="C1689" s="235" t="s">
        <v>13332</v>
      </c>
      <c r="D1689" s="235" t="s">
        <v>13333</v>
      </c>
      <c r="E1689" s="243">
        <v>6.55E13</v>
      </c>
      <c r="F1689" s="245"/>
      <c r="G1689" s="235" t="s">
        <v>13334</v>
      </c>
      <c r="H1689" s="235" t="s">
        <v>13335</v>
      </c>
      <c r="I1689" s="235" t="s">
        <v>13335</v>
      </c>
      <c r="J1689" s="235" t="s">
        <v>13336</v>
      </c>
      <c r="K1689" s="235" t="s">
        <v>13337</v>
      </c>
      <c r="N1689" s="235" t="s">
        <v>154</v>
      </c>
      <c r="O1689" s="235" t="s">
        <v>766</v>
      </c>
      <c r="P1689" s="238">
        <v>1.0</v>
      </c>
      <c r="Q1689" s="235" t="s">
        <v>627</v>
      </c>
      <c r="R1689" s="238">
        <v>465.71</v>
      </c>
      <c r="S1689" s="238">
        <v>23.29</v>
      </c>
      <c r="T1689" s="238">
        <v>0.0</v>
      </c>
      <c r="U1689" s="238">
        <v>0.0</v>
      </c>
      <c r="V1689" s="238">
        <v>0.0</v>
      </c>
      <c r="W1689" s="238">
        <v>0.0</v>
      </c>
      <c r="X1689" s="235" t="s">
        <v>628</v>
      </c>
      <c r="Z1689" s="244"/>
      <c r="AA1689" s="244"/>
      <c r="AB1689" s="244"/>
      <c r="AC1689" s="235" t="s">
        <v>795</v>
      </c>
      <c r="AD1689" s="235" t="s">
        <v>796</v>
      </c>
      <c r="AE1689" s="238">
        <v>110091.0</v>
      </c>
      <c r="AF1689" s="235" t="s">
        <v>631</v>
      </c>
      <c r="AG1689" s="244"/>
      <c r="AH1689" s="244"/>
      <c r="AI1689" s="245"/>
      <c r="AJ1689" s="245"/>
      <c r="AK1689" s="245"/>
      <c r="AL1689" s="245"/>
      <c r="AM1689" s="244"/>
      <c r="AN1689" s="244"/>
      <c r="AO1689" s="238">
        <v>0.0</v>
      </c>
      <c r="AP1689" s="238">
        <v>0.0</v>
      </c>
      <c r="AQ1689" s="235" t="s">
        <v>632</v>
      </c>
      <c r="AR1689" s="243">
        <v>1.68E11</v>
      </c>
      <c r="AS1689" s="235" t="s">
        <v>13108</v>
      </c>
      <c r="AT1689" s="235" t="s">
        <v>13</v>
      </c>
      <c r="AU1689" s="235" t="s">
        <v>634</v>
      </c>
      <c r="AV1689" s="246" t="s">
        <v>635</v>
      </c>
      <c r="AW1689" s="242"/>
      <c r="AX1689" s="242"/>
      <c r="AY1689" s="231"/>
      <c r="AZ1689" s="231"/>
      <c r="BA1689" s="227"/>
      <c r="BB1689" s="231"/>
      <c r="BC1689" s="227"/>
      <c r="BD1689" s="227"/>
      <c r="BE1689" s="227"/>
      <c r="BF1689" s="227"/>
    </row>
    <row r="1690">
      <c r="A1690" s="235" t="s">
        <v>13338</v>
      </c>
      <c r="C1690" s="235" t="s">
        <v>13339</v>
      </c>
      <c r="D1690" s="235" t="s">
        <v>13340</v>
      </c>
      <c r="E1690" s="243">
        <v>6.54E13</v>
      </c>
      <c r="F1690" s="245"/>
      <c r="G1690" s="235" t="s">
        <v>13341</v>
      </c>
      <c r="H1690" s="235" t="s">
        <v>13342</v>
      </c>
      <c r="I1690" s="235" t="s">
        <v>13342</v>
      </c>
      <c r="J1690" s="235" t="s">
        <v>13343</v>
      </c>
      <c r="K1690" s="235" t="s">
        <v>13344</v>
      </c>
      <c r="N1690" s="235" t="s">
        <v>113</v>
      </c>
      <c r="O1690" s="235" t="s">
        <v>452</v>
      </c>
      <c r="P1690" s="238">
        <v>1.0</v>
      </c>
      <c r="Q1690" s="235" t="s">
        <v>627</v>
      </c>
      <c r="R1690" s="238">
        <v>246.66</v>
      </c>
      <c r="S1690" s="238">
        <v>11.97</v>
      </c>
      <c r="T1690" s="238">
        <v>0.0</v>
      </c>
      <c r="U1690" s="238">
        <v>0.0</v>
      </c>
      <c r="V1690" s="238">
        <v>0.0</v>
      </c>
      <c r="W1690" s="238">
        <v>0.0</v>
      </c>
      <c r="X1690" s="235" t="s">
        <v>628</v>
      </c>
      <c r="Z1690" s="244"/>
      <c r="AA1690" s="244"/>
      <c r="AB1690" s="244"/>
      <c r="AC1690" s="235" t="s">
        <v>13345</v>
      </c>
      <c r="AD1690" s="235" t="s">
        <v>4240</v>
      </c>
      <c r="AE1690" s="238">
        <v>413203.0</v>
      </c>
      <c r="AF1690" s="235" t="s">
        <v>631</v>
      </c>
      <c r="AG1690" s="244"/>
      <c r="AH1690" s="244"/>
      <c r="AI1690" s="245"/>
      <c r="AJ1690" s="245"/>
      <c r="AK1690" s="245"/>
      <c r="AL1690" s="245"/>
      <c r="AM1690" s="244"/>
      <c r="AN1690" s="244"/>
      <c r="AO1690" s="238">
        <v>-7.4</v>
      </c>
      <c r="AP1690" s="238">
        <v>0.0</v>
      </c>
      <c r="AQ1690" s="235" t="s">
        <v>632</v>
      </c>
      <c r="AR1690" s="243">
        <v>3.71E11</v>
      </c>
      <c r="AS1690" s="235" t="s">
        <v>8807</v>
      </c>
      <c r="AT1690" s="235" t="s">
        <v>17</v>
      </c>
      <c r="AU1690" s="235" t="s">
        <v>634</v>
      </c>
      <c r="AV1690" s="246" t="s">
        <v>635</v>
      </c>
      <c r="AW1690" s="242"/>
      <c r="AX1690" s="242"/>
      <c r="AY1690" s="231"/>
      <c r="AZ1690" s="231"/>
      <c r="BA1690" s="227"/>
      <c r="BB1690" s="231"/>
      <c r="BC1690" s="227"/>
      <c r="BD1690" s="227"/>
      <c r="BE1690" s="227"/>
      <c r="BF1690" s="227"/>
    </row>
    <row r="1691">
      <c r="A1691" s="235" t="s">
        <v>13338</v>
      </c>
      <c r="C1691" s="235" t="s">
        <v>13339</v>
      </c>
      <c r="D1691" s="235" t="s">
        <v>13346</v>
      </c>
      <c r="E1691" s="243">
        <v>6.54E13</v>
      </c>
      <c r="F1691" s="245"/>
      <c r="G1691" s="235" t="s">
        <v>13341</v>
      </c>
      <c r="H1691" s="235" t="s">
        <v>13342</v>
      </c>
      <c r="I1691" s="235" t="s">
        <v>13342</v>
      </c>
      <c r="J1691" s="235" t="s">
        <v>13343</v>
      </c>
      <c r="K1691" s="235" t="s">
        <v>13344</v>
      </c>
      <c r="N1691" s="235" t="s">
        <v>143</v>
      </c>
      <c r="O1691" s="235" t="s">
        <v>220</v>
      </c>
      <c r="P1691" s="238">
        <v>1.0</v>
      </c>
      <c r="Q1691" s="235" t="s">
        <v>627</v>
      </c>
      <c r="R1691" s="238">
        <v>246.66</v>
      </c>
      <c r="S1691" s="238">
        <v>11.97</v>
      </c>
      <c r="T1691" s="238">
        <v>0.0</v>
      </c>
      <c r="U1691" s="238">
        <v>0.0</v>
      </c>
      <c r="V1691" s="238">
        <v>0.0</v>
      </c>
      <c r="W1691" s="238">
        <v>0.0</v>
      </c>
      <c r="X1691" s="235" t="s">
        <v>628</v>
      </c>
      <c r="Z1691" s="244"/>
      <c r="AA1691" s="244"/>
      <c r="AB1691" s="244"/>
      <c r="AC1691" s="235" t="s">
        <v>13345</v>
      </c>
      <c r="AD1691" s="235" t="s">
        <v>4240</v>
      </c>
      <c r="AE1691" s="238">
        <v>413203.0</v>
      </c>
      <c r="AF1691" s="235" t="s">
        <v>631</v>
      </c>
      <c r="AG1691" s="244"/>
      <c r="AH1691" s="244"/>
      <c r="AI1691" s="245"/>
      <c r="AJ1691" s="245"/>
      <c r="AK1691" s="245"/>
      <c r="AL1691" s="245"/>
      <c r="AM1691" s="244"/>
      <c r="AN1691" s="244"/>
      <c r="AO1691" s="238">
        <v>-7.4</v>
      </c>
      <c r="AP1691" s="238">
        <v>0.0</v>
      </c>
      <c r="AQ1691" s="235" t="s">
        <v>632</v>
      </c>
      <c r="AR1691" s="243">
        <v>3.71E11</v>
      </c>
      <c r="AS1691" s="235" t="s">
        <v>8807</v>
      </c>
      <c r="AT1691" s="235" t="s">
        <v>17</v>
      </c>
      <c r="AU1691" s="235" t="s">
        <v>634</v>
      </c>
      <c r="AV1691" s="246" t="s">
        <v>635</v>
      </c>
      <c r="AW1691" s="242"/>
      <c r="AX1691" s="242"/>
      <c r="AY1691" s="231"/>
      <c r="AZ1691" s="231"/>
      <c r="BA1691" s="227"/>
      <c r="BB1691" s="231"/>
      <c r="BC1691" s="227"/>
      <c r="BD1691" s="227"/>
      <c r="BE1691" s="227"/>
      <c r="BF1691" s="227"/>
    </row>
    <row r="1692">
      <c r="A1692" s="235" t="s">
        <v>13347</v>
      </c>
      <c r="C1692" s="235" t="s">
        <v>13348</v>
      </c>
      <c r="D1692" s="235" t="s">
        <v>13349</v>
      </c>
      <c r="E1692" s="243">
        <v>6.55E13</v>
      </c>
      <c r="F1692" s="245"/>
      <c r="G1692" s="235" t="s">
        <v>13350</v>
      </c>
      <c r="H1692" s="235" t="s">
        <v>13351</v>
      </c>
      <c r="I1692" s="235" t="s">
        <v>13351</v>
      </c>
      <c r="J1692" s="235" t="s">
        <v>13352</v>
      </c>
      <c r="K1692" s="235" t="s">
        <v>13353</v>
      </c>
      <c r="N1692" s="235" t="s">
        <v>53</v>
      </c>
      <c r="O1692" s="235" t="s">
        <v>512</v>
      </c>
      <c r="P1692" s="238">
        <v>1.0</v>
      </c>
      <c r="Q1692" s="235" t="s">
        <v>627</v>
      </c>
      <c r="R1692" s="238">
        <v>237.14</v>
      </c>
      <c r="S1692" s="238">
        <v>11.86</v>
      </c>
      <c r="T1692" s="238">
        <v>0.0</v>
      </c>
      <c r="U1692" s="238">
        <v>0.0</v>
      </c>
      <c r="V1692" s="238">
        <v>0.0</v>
      </c>
      <c r="W1692" s="238">
        <v>0.0</v>
      </c>
      <c r="X1692" s="235" t="s">
        <v>628</v>
      </c>
      <c r="Z1692" s="244"/>
      <c r="AA1692" s="244"/>
      <c r="AB1692" s="244"/>
      <c r="AC1692" s="235" t="s">
        <v>1320</v>
      </c>
      <c r="AD1692" s="235" t="s">
        <v>666</v>
      </c>
      <c r="AE1692" s="238">
        <v>600056.0</v>
      </c>
      <c r="AF1692" s="235" t="s">
        <v>631</v>
      </c>
      <c r="AG1692" s="244"/>
      <c r="AH1692" s="244"/>
      <c r="AI1692" s="245"/>
      <c r="AJ1692" s="245"/>
      <c r="AK1692" s="245"/>
      <c r="AL1692" s="245"/>
      <c r="AM1692" s="244"/>
      <c r="AN1692" s="244"/>
      <c r="AO1692" s="238">
        <v>0.0</v>
      </c>
      <c r="AP1692" s="238">
        <v>0.0</v>
      </c>
      <c r="AQ1692" s="235" t="s">
        <v>632</v>
      </c>
      <c r="AR1692" s="243">
        <v>1.68E11</v>
      </c>
      <c r="AS1692" s="235" t="s">
        <v>12693</v>
      </c>
      <c r="AT1692" s="235" t="s">
        <v>9</v>
      </c>
      <c r="AU1692" s="235" t="s">
        <v>634</v>
      </c>
      <c r="AV1692" s="246" t="s">
        <v>635</v>
      </c>
      <c r="AW1692" s="242"/>
      <c r="AX1692" s="242"/>
      <c r="AY1692" s="231"/>
      <c r="AZ1692" s="231"/>
      <c r="BA1692" s="227"/>
      <c r="BB1692" s="231"/>
      <c r="BC1692" s="227"/>
      <c r="BD1692" s="227"/>
      <c r="BE1692" s="227"/>
      <c r="BF1692" s="227"/>
    </row>
    <row r="1693">
      <c r="A1693" s="235" t="s">
        <v>12444</v>
      </c>
      <c r="C1693" s="235" t="s">
        <v>13354</v>
      </c>
      <c r="D1693" s="235" t="s">
        <v>13355</v>
      </c>
      <c r="E1693" s="243">
        <v>6.55E13</v>
      </c>
      <c r="F1693" s="245"/>
      <c r="G1693" s="235" t="s">
        <v>12447</v>
      </c>
      <c r="H1693" s="235" t="s">
        <v>13356</v>
      </c>
      <c r="I1693" s="235" t="s">
        <v>13356</v>
      </c>
      <c r="J1693" s="235" t="s">
        <v>13357</v>
      </c>
      <c r="K1693" s="235" t="s">
        <v>12450</v>
      </c>
      <c r="N1693" s="235" t="s">
        <v>29</v>
      </c>
      <c r="O1693" s="235" t="s">
        <v>677</v>
      </c>
      <c r="P1693" s="238">
        <v>1.0</v>
      </c>
      <c r="Q1693" s="235" t="s">
        <v>627</v>
      </c>
      <c r="R1693" s="238">
        <v>446.67</v>
      </c>
      <c r="S1693" s="238">
        <v>21.66</v>
      </c>
      <c r="T1693" s="238">
        <v>38.1</v>
      </c>
      <c r="U1693" s="238">
        <v>1.9</v>
      </c>
      <c r="V1693" s="238">
        <v>0.0</v>
      </c>
      <c r="W1693" s="238">
        <v>0.0</v>
      </c>
      <c r="X1693" s="235" t="s">
        <v>628</v>
      </c>
      <c r="Z1693" s="244"/>
      <c r="AA1693" s="244"/>
      <c r="AB1693" s="244"/>
      <c r="AC1693" s="235" t="s">
        <v>12451</v>
      </c>
      <c r="AD1693" s="235" t="s">
        <v>1499</v>
      </c>
      <c r="AE1693" s="238">
        <v>484444.0</v>
      </c>
      <c r="AF1693" s="235" t="s">
        <v>631</v>
      </c>
      <c r="AG1693" s="244"/>
      <c r="AH1693" s="244"/>
      <c r="AI1693" s="245"/>
      <c r="AJ1693" s="245"/>
      <c r="AK1693" s="245"/>
      <c r="AL1693" s="245"/>
      <c r="AM1693" s="244"/>
      <c r="AN1693" s="244"/>
      <c r="AO1693" s="238">
        <v>-13.4</v>
      </c>
      <c r="AP1693" s="238">
        <v>-38.1</v>
      </c>
      <c r="AQ1693" s="235" t="s">
        <v>632</v>
      </c>
      <c r="AR1693" s="243">
        <v>3.71E11</v>
      </c>
      <c r="AS1693" s="235" t="s">
        <v>6164</v>
      </c>
      <c r="AT1693" s="235" t="s">
        <v>533</v>
      </c>
      <c r="AU1693" s="235" t="s">
        <v>634</v>
      </c>
      <c r="AV1693" s="246" t="s">
        <v>635</v>
      </c>
      <c r="AW1693" s="242"/>
      <c r="AX1693" s="242"/>
      <c r="AY1693" s="231"/>
      <c r="AZ1693" s="231"/>
      <c r="BA1693" s="227"/>
      <c r="BB1693" s="231"/>
      <c r="BC1693" s="227"/>
      <c r="BD1693" s="227"/>
      <c r="BE1693" s="227"/>
      <c r="BF1693" s="227"/>
    </row>
    <row r="1694">
      <c r="A1694" s="235" t="s">
        <v>13358</v>
      </c>
      <c r="C1694" s="235" t="s">
        <v>13359</v>
      </c>
      <c r="D1694" s="235" t="s">
        <v>13360</v>
      </c>
      <c r="E1694" s="243">
        <v>6.55E13</v>
      </c>
      <c r="F1694" s="245"/>
      <c r="G1694" s="235" t="s">
        <v>13361</v>
      </c>
      <c r="H1694" s="235" t="s">
        <v>13362</v>
      </c>
      <c r="I1694" s="235" t="s">
        <v>13362</v>
      </c>
      <c r="J1694" s="235" t="s">
        <v>13363</v>
      </c>
      <c r="K1694" s="235" t="s">
        <v>13364</v>
      </c>
      <c r="N1694" s="235" t="s">
        <v>99</v>
      </c>
      <c r="O1694" s="235" t="s">
        <v>470</v>
      </c>
      <c r="P1694" s="238">
        <v>1.0</v>
      </c>
      <c r="Q1694" s="235" t="s">
        <v>627</v>
      </c>
      <c r="R1694" s="238">
        <v>246.66</v>
      </c>
      <c r="S1694" s="238">
        <v>12.34</v>
      </c>
      <c r="T1694" s="238">
        <v>18.1</v>
      </c>
      <c r="U1694" s="238">
        <v>0.9</v>
      </c>
      <c r="V1694" s="238">
        <v>0.0</v>
      </c>
      <c r="W1694" s="238">
        <v>0.0</v>
      </c>
      <c r="X1694" s="235" t="s">
        <v>628</v>
      </c>
      <c r="Z1694" s="244"/>
      <c r="AA1694" s="244"/>
      <c r="AB1694" s="244"/>
      <c r="AC1694" s="235" t="s">
        <v>678</v>
      </c>
      <c r="AD1694" s="235" t="s">
        <v>679</v>
      </c>
      <c r="AE1694" s="238">
        <v>560087.0</v>
      </c>
      <c r="AF1694" s="235" t="s">
        <v>631</v>
      </c>
      <c r="AG1694" s="244"/>
      <c r="AH1694" s="244"/>
      <c r="AI1694" s="245"/>
      <c r="AJ1694" s="245"/>
      <c r="AK1694" s="245"/>
      <c r="AL1694" s="245"/>
      <c r="AM1694" s="244"/>
      <c r="AN1694" s="244"/>
      <c r="AO1694" s="238">
        <v>0.0</v>
      </c>
      <c r="AP1694" s="238">
        <v>-18.1</v>
      </c>
      <c r="AQ1694" s="235" t="s">
        <v>632</v>
      </c>
      <c r="AR1694" s="243">
        <v>1.68E11</v>
      </c>
      <c r="AS1694" s="235" t="s">
        <v>13108</v>
      </c>
      <c r="AT1694" s="235" t="s">
        <v>11</v>
      </c>
      <c r="AU1694" s="235" t="s">
        <v>634</v>
      </c>
      <c r="AV1694" s="246" t="s">
        <v>635</v>
      </c>
      <c r="AW1694" s="242"/>
      <c r="AX1694" s="242"/>
      <c r="AY1694" s="231"/>
      <c r="AZ1694" s="231"/>
      <c r="BA1694" s="227"/>
      <c r="BB1694" s="231"/>
      <c r="BC1694" s="227"/>
      <c r="BD1694" s="227"/>
      <c r="BE1694" s="227"/>
      <c r="BF1694" s="227"/>
    </row>
    <row r="1695">
      <c r="A1695" s="235" t="s">
        <v>13365</v>
      </c>
      <c r="C1695" s="235" t="s">
        <v>13366</v>
      </c>
      <c r="D1695" s="235" t="s">
        <v>13367</v>
      </c>
      <c r="E1695" s="243">
        <v>6.55E13</v>
      </c>
      <c r="F1695" s="245"/>
      <c r="G1695" s="235" t="s">
        <v>13368</v>
      </c>
      <c r="H1695" s="235" t="s">
        <v>13369</v>
      </c>
      <c r="I1695" s="235" t="s">
        <v>13369</v>
      </c>
      <c r="J1695" s="235" t="s">
        <v>13370</v>
      </c>
      <c r="K1695" s="235" t="s">
        <v>13371</v>
      </c>
      <c r="N1695" s="235" t="s">
        <v>154</v>
      </c>
      <c r="O1695" s="235" t="s">
        <v>766</v>
      </c>
      <c r="P1695" s="238">
        <v>1.0</v>
      </c>
      <c r="Q1695" s="235" t="s">
        <v>627</v>
      </c>
      <c r="R1695" s="238">
        <v>465.72</v>
      </c>
      <c r="S1695" s="238">
        <v>22.82</v>
      </c>
      <c r="T1695" s="238">
        <v>0.0</v>
      </c>
      <c r="U1695" s="238">
        <v>0.0</v>
      </c>
      <c r="V1695" s="238">
        <v>0.0</v>
      </c>
      <c r="W1695" s="238">
        <v>0.0</v>
      </c>
      <c r="X1695" s="235" t="s">
        <v>628</v>
      </c>
      <c r="Z1695" s="244"/>
      <c r="AA1695" s="244"/>
      <c r="AB1695" s="244"/>
      <c r="AC1695" s="235" t="s">
        <v>1456</v>
      </c>
      <c r="AD1695" s="235" t="s">
        <v>928</v>
      </c>
      <c r="AE1695" s="238">
        <v>122003.0</v>
      </c>
      <c r="AF1695" s="235" t="s">
        <v>631</v>
      </c>
      <c r="AG1695" s="244"/>
      <c r="AH1695" s="244"/>
      <c r="AI1695" s="245"/>
      <c r="AJ1695" s="245"/>
      <c r="AK1695" s="245"/>
      <c r="AL1695" s="245"/>
      <c r="AM1695" s="244"/>
      <c r="AN1695" s="244"/>
      <c r="AO1695" s="238">
        <v>-9.32</v>
      </c>
      <c r="AP1695" s="238">
        <v>0.0</v>
      </c>
      <c r="AQ1695" s="235" t="s">
        <v>632</v>
      </c>
      <c r="AR1695" s="243">
        <v>1.68E11</v>
      </c>
      <c r="AS1695" s="235" t="s">
        <v>13108</v>
      </c>
      <c r="AT1695" s="235" t="s">
        <v>533</v>
      </c>
      <c r="AU1695" s="235" t="s">
        <v>634</v>
      </c>
      <c r="AV1695" s="246" t="s">
        <v>635</v>
      </c>
      <c r="AW1695" s="242"/>
      <c r="AX1695" s="242"/>
      <c r="AY1695" s="231"/>
      <c r="AZ1695" s="231"/>
      <c r="BA1695" s="227"/>
      <c r="BB1695" s="231"/>
      <c r="BC1695" s="227"/>
      <c r="BD1695" s="227"/>
      <c r="BE1695" s="227"/>
      <c r="BF1695" s="227"/>
    </row>
    <row r="1696">
      <c r="A1696" s="235" t="s">
        <v>13372</v>
      </c>
      <c r="C1696" s="235" t="s">
        <v>13373</v>
      </c>
      <c r="D1696" s="235" t="s">
        <v>13374</v>
      </c>
      <c r="E1696" s="243">
        <v>6.55E13</v>
      </c>
      <c r="F1696" s="245"/>
      <c r="G1696" s="235" t="s">
        <v>13375</v>
      </c>
      <c r="H1696" s="235" t="s">
        <v>13376</v>
      </c>
      <c r="I1696" s="235" t="s">
        <v>13376</v>
      </c>
      <c r="J1696" s="235" t="s">
        <v>13377</v>
      </c>
      <c r="K1696" s="235" t="s">
        <v>6819</v>
      </c>
      <c r="N1696" s="235" t="s">
        <v>47</v>
      </c>
      <c r="O1696" s="235" t="s">
        <v>270</v>
      </c>
      <c r="P1696" s="238">
        <v>1.0</v>
      </c>
      <c r="Q1696" s="235" t="s">
        <v>627</v>
      </c>
      <c r="R1696" s="238">
        <v>237.14</v>
      </c>
      <c r="S1696" s="238">
        <v>11.86</v>
      </c>
      <c r="T1696" s="238">
        <v>0.0</v>
      </c>
      <c r="U1696" s="238">
        <v>0.0</v>
      </c>
      <c r="V1696" s="238">
        <v>0.0</v>
      </c>
      <c r="W1696" s="238">
        <v>0.0</v>
      </c>
      <c r="X1696" s="235" t="s">
        <v>628</v>
      </c>
      <c r="Z1696" s="244"/>
      <c r="AA1696" s="244"/>
      <c r="AB1696" s="244"/>
      <c r="AC1696" s="235" t="s">
        <v>6820</v>
      </c>
      <c r="AD1696" s="235" t="s">
        <v>698</v>
      </c>
      <c r="AE1696" s="238">
        <v>508207.0</v>
      </c>
      <c r="AF1696" s="235" t="s">
        <v>631</v>
      </c>
      <c r="AG1696" s="244"/>
      <c r="AH1696" s="244"/>
      <c r="AI1696" s="245"/>
      <c r="AJ1696" s="245"/>
      <c r="AK1696" s="245"/>
      <c r="AL1696" s="245"/>
      <c r="AM1696" s="244"/>
      <c r="AN1696" s="244"/>
      <c r="AO1696" s="238">
        <v>0.0</v>
      </c>
      <c r="AP1696" s="238">
        <v>0.0</v>
      </c>
      <c r="AQ1696" s="235" t="s">
        <v>632</v>
      </c>
      <c r="AR1696" s="243">
        <v>3.71E11</v>
      </c>
      <c r="AS1696" s="235" t="s">
        <v>11171</v>
      </c>
      <c r="AT1696" s="235" t="s">
        <v>11</v>
      </c>
      <c r="AU1696" s="235" t="s">
        <v>634</v>
      </c>
      <c r="AV1696" s="246" t="s">
        <v>635</v>
      </c>
      <c r="AW1696" s="242"/>
      <c r="AX1696" s="242"/>
      <c r="AY1696" s="231"/>
      <c r="AZ1696" s="231"/>
      <c r="BA1696" s="227"/>
      <c r="BB1696" s="231"/>
      <c r="BC1696" s="227"/>
      <c r="BD1696" s="227"/>
      <c r="BE1696" s="227"/>
      <c r="BF1696" s="227"/>
    </row>
    <row r="1697">
      <c r="A1697" s="235" t="s">
        <v>13378</v>
      </c>
      <c r="C1697" s="235" t="s">
        <v>13379</v>
      </c>
      <c r="D1697" s="235" t="s">
        <v>13380</v>
      </c>
      <c r="E1697" s="243">
        <v>6.55E13</v>
      </c>
      <c r="F1697" s="245"/>
      <c r="G1697" s="235" t="s">
        <v>13381</v>
      </c>
      <c r="H1697" s="235" t="s">
        <v>13382</v>
      </c>
      <c r="I1697" s="235" t="s">
        <v>13382</v>
      </c>
      <c r="J1697" s="235" t="s">
        <v>13383</v>
      </c>
      <c r="K1697" s="235" t="s">
        <v>13384</v>
      </c>
      <c r="N1697" s="235" t="s">
        <v>144</v>
      </c>
      <c r="O1697" s="235" t="s">
        <v>232</v>
      </c>
      <c r="P1697" s="238">
        <v>1.0</v>
      </c>
      <c r="Q1697" s="235" t="s">
        <v>627</v>
      </c>
      <c r="R1697" s="238">
        <v>665.72</v>
      </c>
      <c r="S1697" s="238">
        <v>33.28</v>
      </c>
      <c r="T1697" s="238">
        <v>9.04</v>
      </c>
      <c r="U1697" s="238">
        <v>0.46</v>
      </c>
      <c r="V1697" s="238">
        <v>0.0</v>
      </c>
      <c r="W1697" s="238">
        <v>0.0</v>
      </c>
      <c r="X1697" s="235" t="s">
        <v>628</v>
      </c>
      <c r="Z1697" s="244"/>
      <c r="AA1697" s="244"/>
      <c r="AB1697" s="244"/>
      <c r="AC1697" s="235" t="s">
        <v>687</v>
      </c>
      <c r="AD1697" s="235" t="s">
        <v>666</v>
      </c>
      <c r="AE1697" s="238">
        <v>600017.0</v>
      </c>
      <c r="AF1697" s="235" t="s">
        <v>631</v>
      </c>
      <c r="AG1697" s="244"/>
      <c r="AH1697" s="244"/>
      <c r="AI1697" s="245"/>
      <c r="AJ1697" s="245"/>
      <c r="AK1697" s="245"/>
      <c r="AL1697" s="245"/>
      <c r="AM1697" s="244"/>
      <c r="AN1697" s="244"/>
      <c r="AO1697" s="238">
        <v>0.0</v>
      </c>
      <c r="AP1697" s="238">
        <v>-9.04</v>
      </c>
      <c r="AQ1697" s="235" t="s">
        <v>632</v>
      </c>
      <c r="AR1697" s="243">
        <v>1.68E11</v>
      </c>
      <c r="AS1697" s="235" t="s">
        <v>13108</v>
      </c>
      <c r="AT1697" s="235" t="s">
        <v>156</v>
      </c>
      <c r="AU1697" s="235" t="s">
        <v>634</v>
      </c>
      <c r="AV1697" s="246" t="s">
        <v>635</v>
      </c>
      <c r="AW1697" s="242"/>
      <c r="AX1697" s="242"/>
      <c r="AY1697" s="231"/>
      <c r="AZ1697" s="231"/>
      <c r="BA1697" s="227"/>
      <c r="BB1697" s="231"/>
      <c r="BC1697" s="227"/>
      <c r="BD1697" s="227"/>
      <c r="BE1697" s="227"/>
      <c r="BF1697" s="227"/>
    </row>
    <row r="1698">
      <c r="A1698" s="235" t="s">
        <v>13385</v>
      </c>
      <c r="C1698" s="235" t="s">
        <v>13386</v>
      </c>
      <c r="D1698" s="235" t="s">
        <v>13387</v>
      </c>
      <c r="E1698" s="243">
        <v>6.55E13</v>
      </c>
      <c r="F1698" s="245"/>
      <c r="G1698" s="235" t="s">
        <v>13388</v>
      </c>
      <c r="H1698" s="235" t="s">
        <v>13389</v>
      </c>
      <c r="I1698" s="235" t="s">
        <v>13389</v>
      </c>
      <c r="J1698" s="235" t="s">
        <v>13390</v>
      </c>
      <c r="K1698" s="235" t="s">
        <v>13391</v>
      </c>
      <c r="N1698" s="235" t="s">
        <v>144</v>
      </c>
      <c r="O1698" s="235" t="s">
        <v>232</v>
      </c>
      <c r="P1698" s="238">
        <v>1.0</v>
      </c>
      <c r="Q1698" s="235" t="s">
        <v>627</v>
      </c>
      <c r="R1698" s="238">
        <v>665.72</v>
      </c>
      <c r="S1698" s="238">
        <v>33.28</v>
      </c>
      <c r="T1698" s="238">
        <v>0.0</v>
      </c>
      <c r="U1698" s="238">
        <v>0.0</v>
      </c>
      <c r="V1698" s="238">
        <v>0.0</v>
      </c>
      <c r="W1698" s="238">
        <v>0.0</v>
      </c>
      <c r="X1698" s="235" t="s">
        <v>628</v>
      </c>
      <c r="Z1698" s="244"/>
      <c r="AA1698" s="244"/>
      <c r="AB1698" s="244"/>
      <c r="AC1698" s="235" t="s">
        <v>1058</v>
      </c>
      <c r="AD1698" s="235" t="s">
        <v>845</v>
      </c>
      <c r="AE1698" s="238">
        <v>400097.0</v>
      </c>
      <c r="AF1698" s="235" t="s">
        <v>631</v>
      </c>
      <c r="AG1698" s="244"/>
      <c r="AH1698" s="244"/>
      <c r="AI1698" s="245"/>
      <c r="AJ1698" s="245"/>
      <c r="AK1698" s="245"/>
      <c r="AL1698" s="245"/>
      <c r="AM1698" s="244"/>
      <c r="AN1698" s="244"/>
      <c r="AO1698" s="238">
        <v>0.0</v>
      </c>
      <c r="AP1698" s="238">
        <v>0.0</v>
      </c>
      <c r="AQ1698" s="235" t="s">
        <v>632</v>
      </c>
      <c r="AR1698" s="243">
        <v>3.71E11</v>
      </c>
      <c r="AS1698" s="235" t="s">
        <v>12693</v>
      </c>
      <c r="AT1698" s="235" t="s">
        <v>16</v>
      </c>
      <c r="AU1698" s="235" t="s">
        <v>634</v>
      </c>
      <c r="AV1698" s="246" t="s">
        <v>635</v>
      </c>
      <c r="AW1698" s="242"/>
      <c r="AX1698" s="242"/>
      <c r="AY1698" s="231"/>
      <c r="AZ1698" s="231"/>
      <c r="BA1698" s="227"/>
      <c r="BB1698" s="231"/>
      <c r="BC1698" s="227"/>
      <c r="BD1698" s="227"/>
      <c r="BE1698" s="227"/>
      <c r="BF1698" s="227"/>
    </row>
    <row r="1699">
      <c r="A1699" s="235" t="s">
        <v>13392</v>
      </c>
      <c r="C1699" s="235" t="s">
        <v>13393</v>
      </c>
      <c r="D1699" s="235" t="s">
        <v>13394</v>
      </c>
      <c r="E1699" s="243">
        <v>6.55E13</v>
      </c>
      <c r="F1699" s="245"/>
      <c r="G1699" s="235" t="s">
        <v>13395</v>
      </c>
      <c r="H1699" s="235" t="s">
        <v>13396</v>
      </c>
      <c r="I1699" s="235" t="s">
        <v>13396</v>
      </c>
      <c r="J1699" s="235" t="s">
        <v>13397</v>
      </c>
      <c r="K1699" s="235" t="s">
        <v>13398</v>
      </c>
      <c r="N1699" s="235" t="s">
        <v>141</v>
      </c>
      <c r="O1699" s="235" t="s">
        <v>342</v>
      </c>
      <c r="P1699" s="238">
        <v>1.0</v>
      </c>
      <c r="Q1699" s="235" t="s">
        <v>627</v>
      </c>
      <c r="R1699" s="238">
        <v>246.67</v>
      </c>
      <c r="S1699" s="238">
        <v>12.33</v>
      </c>
      <c r="T1699" s="238">
        <v>38.1</v>
      </c>
      <c r="U1699" s="238">
        <v>1.9</v>
      </c>
      <c r="V1699" s="238">
        <v>0.0</v>
      </c>
      <c r="W1699" s="238">
        <v>0.0</v>
      </c>
      <c r="X1699" s="235" t="s">
        <v>628</v>
      </c>
      <c r="Z1699" s="244"/>
      <c r="AA1699" s="244"/>
      <c r="AB1699" s="244"/>
      <c r="AC1699" s="235" t="s">
        <v>13399</v>
      </c>
      <c r="AD1699" s="235" t="s">
        <v>630</v>
      </c>
      <c r="AE1699" s="238">
        <v>283203.0</v>
      </c>
      <c r="AF1699" s="235" t="s">
        <v>631</v>
      </c>
      <c r="AG1699" s="244"/>
      <c r="AH1699" s="244"/>
      <c r="AI1699" s="245"/>
      <c r="AJ1699" s="245"/>
      <c r="AK1699" s="245"/>
      <c r="AL1699" s="245"/>
      <c r="AM1699" s="244"/>
      <c r="AN1699" s="244"/>
      <c r="AO1699" s="238">
        <v>0.0</v>
      </c>
      <c r="AP1699" s="238">
        <v>-38.1</v>
      </c>
      <c r="AQ1699" s="235" t="s">
        <v>632</v>
      </c>
      <c r="AR1699" s="243">
        <v>3.71E11</v>
      </c>
      <c r="AS1699" s="235" t="s">
        <v>11171</v>
      </c>
      <c r="AT1699" s="235" t="s">
        <v>13</v>
      </c>
      <c r="AU1699" s="235" t="s">
        <v>634</v>
      </c>
      <c r="AV1699" s="246" t="s">
        <v>635</v>
      </c>
      <c r="AW1699" s="242"/>
      <c r="AX1699" s="242"/>
      <c r="AY1699" s="231"/>
      <c r="AZ1699" s="231"/>
      <c r="BA1699" s="227"/>
      <c r="BB1699" s="231"/>
      <c r="BC1699" s="227"/>
      <c r="BD1699" s="227"/>
      <c r="BE1699" s="227"/>
      <c r="BF1699" s="227"/>
    </row>
    <row r="1700">
      <c r="A1700" s="235" t="s">
        <v>13400</v>
      </c>
      <c r="C1700" s="235" t="s">
        <v>13401</v>
      </c>
      <c r="D1700" s="235" t="s">
        <v>13402</v>
      </c>
      <c r="E1700" s="243">
        <v>6.55E13</v>
      </c>
      <c r="F1700" s="245"/>
      <c r="G1700" s="235" t="s">
        <v>13403</v>
      </c>
      <c r="H1700" s="235" t="s">
        <v>13404</v>
      </c>
      <c r="I1700" s="235" t="s">
        <v>13405</v>
      </c>
      <c r="J1700" s="235" t="s">
        <v>13406</v>
      </c>
      <c r="K1700" s="235" t="s">
        <v>9993</v>
      </c>
      <c r="N1700" s="235" t="s">
        <v>141</v>
      </c>
      <c r="O1700" s="235" t="s">
        <v>342</v>
      </c>
      <c r="P1700" s="238">
        <v>1.0</v>
      </c>
      <c r="Q1700" s="235" t="s">
        <v>627</v>
      </c>
      <c r="R1700" s="238">
        <v>246.66</v>
      </c>
      <c r="S1700" s="238">
        <v>12.34</v>
      </c>
      <c r="T1700" s="238">
        <v>18.1</v>
      </c>
      <c r="U1700" s="238">
        <v>0.9</v>
      </c>
      <c r="V1700" s="238">
        <v>0.0</v>
      </c>
      <c r="W1700" s="238">
        <v>0.0</v>
      </c>
      <c r="X1700" s="235" t="s">
        <v>628</v>
      </c>
      <c r="Z1700" s="244"/>
      <c r="AA1700" s="244"/>
      <c r="AB1700" s="244"/>
      <c r="AC1700" s="235" t="s">
        <v>1095</v>
      </c>
      <c r="AD1700" s="235" t="s">
        <v>845</v>
      </c>
      <c r="AE1700" s="238">
        <v>400703.0</v>
      </c>
      <c r="AF1700" s="235" t="s">
        <v>631</v>
      </c>
      <c r="AG1700" s="244"/>
      <c r="AH1700" s="244"/>
      <c r="AI1700" s="245"/>
      <c r="AJ1700" s="245"/>
      <c r="AK1700" s="245"/>
      <c r="AL1700" s="245"/>
      <c r="AM1700" s="244"/>
      <c r="AN1700" s="244"/>
      <c r="AO1700" s="238">
        <v>0.0</v>
      </c>
      <c r="AP1700" s="238">
        <v>-18.1</v>
      </c>
      <c r="AQ1700" s="235" t="s">
        <v>632</v>
      </c>
      <c r="AR1700" s="243">
        <v>1.68E11</v>
      </c>
      <c r="AS1700" s="235" t="s">
        <v>13108</v>
      </c>
      <c r="AT1700" s="235" t="s">
        <v>17</v>
      </c>
      <c r="AU1700" s="235" t="s">
        <v>634</v>
      </c>
      <c r="AV1700" s="246" t="s">
        <v>635</v>
      </c>
      <c r="AW1700" s="242"/>
      <c r="AX1700" s="242"/>
      <c r="AY1700" s="231"/>
      <c r="AZ1700" s="231"/>
      <c r="BA1700" s="227"/>
      <c r="BB1700" s="231"/>
      <c r="BC1700" s="227"/>
      <c r="BD1700" s="227"/>
      <c r="BE1700" s="227"/>
      <c r="BF1700" s="227"/>
    </row>
    <row r="1701">
      <c r="A1701" s="235" t="s">
        <v>13408</v>
      </c>
      <c r="C1701" s="235" t="s">
        <v>13409</v>
      </c>
      <c r="D1701" s="235" t="s">
        <v>13410</v>
      </c>
      <c r="E1701" s="243">
        <v>6.55E13</v>
      </c>
      <c r="F1701" s="245"/>
      <c r="G1701" s="235" t="s">
        <v>13411</v>
      </c>
      <c r="H1701" s="235" t="s">
        <v>13412</v>
      </c>
      <c r="I1701" s="235" t="s">
        <v>13412</v>
      </c>
      <c r="J1701" s="235" t="s">
        <v>13413</v>
      </c>
      <c r="K1701" s="235" t="s">
        <v>13414</v>
      </c>
      <c r="N1701" s="235" t="s">
        <v>138</v>
      </c>
      <c r="O1701" s="235" t="s">
        <v>675</v>
      </c>
      <c r="P1701" s="238">
        <v>1.0</v>
      </c>
      <c r="Q1701" s="235" t="s">
        <v>627</v>
      </c>
      <c r="R1701" s="238">
        <v>246.67</v>
      </c>
      <c r="S1701" s="238">
        <v>12.33</v>
      </c>
      <c r="T1701" s="238">
        <v>0.0</v>
      </c>
      <c r="U1701" s="238">
        <v>0.0</v>
      </c>
      <c r="V1701" s="238">
        <v>0.0</v>
      </c>
      <c r="W1701" s="238">
        <v>0.0</v>
      </c>
      <c r="X1701" s="235" t="s">
        <v>628</v>
      </c>
      <c r="Z1701" s="244"/>
      <c r="AA1701" s="244"/>
      <c r="AB1701" s="244"/>
      <c r="AC1701" s="235" t="s">
        <v>13415</v>
      </c>
      <c r="AD1701" s="235" t="s">
        <v>645</v>
      </c>
      <c r="AE1701" s="238">
        <v>683501.0</v>
      </c>
      <c r="AF1701" s="235" t="s">
        <v>631</v>
      </c>
      <c r="AG1701" s="244"/>
      <c r="AH1701" s="244"/>
      <c r="AI1701" s="245"/>
      <c r="AJ1701" s="245"/>
      <c r="AK1701" s="245"/>
      <c r="AL1701" s="245"/>
      <c r="AM1701" s="244"/>
      <c r="AN1701" s="244"/>
      <c r="AO1701" s="238">
        <v>0.0</v>
      </c>
      <c r="AP1701" s="238">
        <v>0.0</v>
      </c>
      <c r="AQ1701" s="235" t="s">
        <v>632</v>
      </c>
      <c r="AR1701" s="243">
        <v>1.68E11</v>
      </c>
      <c r="AS1701" s="235" t="s">
        <v>12693</v>
      </c>
      <c r="AT1701" s="235" t="s">
        <v>155</v>
      </c>
      <c r="AU1701" s="235" t="s">
        <v>634</v>
      </c>
      <c r="AV1701" s="246" t="s">
        <v>635</v>
      </c>
      <c r="AW1701" s="242"/>
      <c r="AX1701" s="242"/>
      <c r="AY1701" s="231"/>
      <c r="AZ1701" s="231"/>
      <c r="BA1701" s="227"/>
      <c r="BB1701" s="231"/>
      <c r="BC1701" s="227"/>
      <c r="BD1701" s="227"/>
      <c r="BE1701" s="227"/>
      <c r="BF1701" s="227"/>
    </row>
    <row r="1702">
      <c r="A1702" s="235" t="s">
        <v>13416</v>
      </c>
      <c r="C1702" s="235" t="s">
        <v>13417</v>
      </c>
      <c r="D1702" s="235" t="s">
        <v>13418</v>
      </c>
      <c r="E1702" s="243">
        <v>6.55E13</v>
      </c>
      <c r="F1702" s="245"/>
      <c r="G1702" s="235" t="s">
        <v>13419</v>
      </c>
      <c r="H1702" s="235" t="s">
        <v>13420</v>
      </c>
      <c r="I1702" s="235" t="s">
        <v>13420</v>
      </c>
      <c r="J1702" s="235" t="s">
        <v>13421</v>
      </c>
      <c r="K1702" s="235" t="s">
        <v>13422</v>
      </c>
      <c r="N1702" s="235" t="s">
        <v>136</v>
      </c>
      <c r="O1702" s="235" t="s">
        <v>256</v>
      </c>
      <c r="P1702" s="238">
        <v>1.0</v>
      </c>
      <c r="Q1702" s="235" t="s">
        <v>627</v>
      </c>
      <c r="R1702" s="238">
        <v>246.66</v>
      </c>
      <c r="S1702" s="238">
        <v>12.34</v>
      </c>
      <c r="T1702" s="238">
        <v>0.0</v>
      </c>
      <c r="U1702" s="238">
        <v>0.0</v>
      </c>
      <c r="V1702" s="238">
        <v>0.0</v>
      </c>
      <c r="W1702" s="238">
        <v>0.0</v>
      </c>
      <c r="X1702" s="235" t="s">
        <v>628</v>
      </c>
      <c r="Z1702" s="244"/>
      <c r="AA1702" s="244"/>
      <c r="AB1702" s="244"/>
      <c r="AC1702" s="235" t="s">
        <v>6912</v>
      </c>
      <c r="AD1702" s="235" t="s">
        <v>845</v>
      </c>
      <c r="AE1702" s="238">
        <v>400703.0</v>
      </c>
      <c r="AF1702" s="235" t="s">
        <v>631</v>
      </c>
      <c r="AG1702" s="244"/>
      <c r="AH1702" s="244"/>
      <c r="AI1702" s="245"/>
      <c r="AJ1702" s="245"/>
      <c r="AK1702" s="245"/>
      <c r="AL1702" s="245"/>
      <c r="AM1702" s="244"/>
      <c r="AN1702" s="244"/>
      <c r="AO1702" s="238">
        <v>0.0</v>
      </c>
      <c r="AP1702" s="238">
        <v>0.0</v>
      </c>
      <c r="AQ1702" s="235" t="s">
        <v>632</v>
      </c>
      <c r="AR1702" s="243">
        <v>3.71E11</v>
      </c>
      <c r="AS1702" s="235" t="s">
        <v>12693</v>
      </c>
      <c r="AT1702" s="235" t="s">
        <v>17</v>
      </c>
      <c r="AU1702" s="235" t="s">
        <v>634</v>
      </c>
      <c r="AV1702" s="246" t="s">
        <v>635</v>
      </c>
      <c r="AW1702" s="242"/>
      <c r="AX1702" s="242"/>
      <c r="AY1702" s="231"/>
      <c r="AZ1702" s="231"/>
      <c r="BA1702" s="227"/>
      <c r="BB1702" s="231"/>
      <c r="BC1702" s="227"/>
      <c r="BD1702" s="227"/>
      <c r="BE1702" s="227"/>
      <c r="BF1702" s="227"/>
    </row>
    <row r="1703">
      <c r="A1703" s="235" t="s">
        <v>13423</v>
      </c>
      <c r="C1703" s="235" t="s">
        <v>13424</v>
      </c>
      <c r="D1703" s="235" t="s">
        <v>13425</v>
      </c>
      <c r="E1703" s="243">
        <v>6.55E13</v>
      </c>
      <c r="F1703" s="245"/>
      <c r="G1703" s="235" t="s">
        <v>13426</v>
      </c>
      <c r="H1703" s="235" t="s">
        <v>13427</v>
      </c>
      <c r="I1703" s="235" t="s">
        <v>13427</v>
      </c>
      <c r="J1703" s="235" t="s">
        <v>13428</v>
      </c>
      <c r="K1703" s="235" t="s">
        <v>13429</v>
      </c>
      <c r="N1703" s="235" t="s">
        <v>130</v>
      </c>
      <c r="O1703" s="235" t="s">
        <v>707</v>
      </c>
      <c r="P1703" s="238">
        <v>1.0</v>
      </c>
      <c r="Q1703" s="235" t="s">
        <v>627</v>
      </c>
      <c r="R1703" s="238">
        <v>246.66</v>
      </c>
      <c r="S1703" s="238">
        <v>12.34</v>
      </c>
      <c r="T1703" s="238">
        <v>18.1</v>
      </c>
      <c r="U1703" s="238">
        <v>0.9</v>
      </c>
      <c r="V1703" s="238">
        <v>0.0</v>
      </c>
      <c r="W1703" s="238">
        <v>0.0</v>
      </c>
      <c r="X1703" s="235" t="s">
        <v>628</v>
      </c>
      <c r="Z1703" s="244"/>
      <c r="AA1703" s="244"/>
      <c r="AB1703" s="244"/>
      <c r="AC1703" s="235" t="s">
        <v>678</v>
      </c>
      <c r="AD1703" s="235" t="s">
        <v>679</v>
      </c>
      <c r="AE1703" s="238">
        <v>560043.0</v>
      </c>
      <c r="AF1703" s="235" t="s">
        <v>631</v>
      </c>
      <c r="AG1703" s="244"/>
      <c r="AH1703" s="244"/>
      <c r="AI1703" s="245"/>
      <c r="AJ1703" s="245"/>
      <c r="AK1703" s="245"/>
      <c r="AL1703" s="245"/>
      <c r="AM1703" s="244"/>
      <c r="AN1703" s="244"/>
      <c r="AO1703" s="238">
        <v>0.0</v>
      </c>
      <c r="AP1703" s="238">
        <v>-18.1</v>
      </c>
      <c r="AQ1703" s="235" t="s">
        <v>632</v>
      </c>
      <c r="AR1703" s="243">
        <v>1.68E11</v>
      </c>
      <c r="AS1703" s="235" t="s">
        <v>13108</v>
      </c>
      <c r="AT1703" s="235" t="s">
        <v>9</v>
      </c>
      <c r="AU1703" s="235" t="s">
        <v>634</v>
      </c>
      <c r="AV1703" s="246" t="s">
        <v>635</v>
      </c>
      <c r="AW1703" s="242"/>
      <c r="AX1703" s="242"/>
      <c r="AY1703" s="231"/>
      <c r="AZ1703" s="231"/>
      <c r="BA1703" s="227"/>
      <c r="BB1703" s="231"/>
      <c r="BC1703" s="227"/>
      <c r="BD1703" s="227"/>
      <c r="BE1703" s="227"/>
      <c r="BF1703" s="227"/>
    </row>
    <row r="1704">
      <c r="A1704" s="235" t="s">
        <v>12444</v>
      </c>
      <c r="C1704" s="235" t="s">
        <v>13430</v>
      </c>
      <c r="D1704" s="235" t="s">
        <v>13431</v>
      </c>
      <c r="E1704" s="243">
        <v>6.55E13</v>
      </c>
      <c r="F1704" s="245"/>
      <c r="G1704" s="235" t="s">
        <v>12447</v>
      </c>
      <c r="H1704" s="235" t="s">
        <v>13432</v>
      </c>
      <c r="I1704" s="235" t="s">
        <v>13432</v>
      </c>
      <c r="J1704" s="235" t="s">
        <v>13433</v>
      </c>
      <c r="K1704" s="235" t="s">
        <v>12450</v>
      </c>
      <c r="N1704" s="235" t="s">
        <v>29</v>
      </c>
      <c r="O1704" s="235" t="s">
        <v>677</v>
      </c>
      <c r="P1704" s="238">
        <v>1.0</v>
      </c>
      <c r="Q1704" s="235" t="s">
        <v>627</v>
      </c>
      <c r="R1704" s="238">
        <v>446.67</v>
      </c>
      <c r="S1704" s="238">
        <v>21.66</v>
      </c>
      <c r="T1704" s="238">
        <v>38.1</v>
      </c>
      <c r="U1704" s="238">
        <v>1.9</v>
      </c>
      <c r="V1704" s="238">
        <v>0.0</v>
      </c>
      <c r="W1704" s="238">
        <v>0.0</v>
      </c>
      <c r="X1704" s="235" t="s">
        <v>628</v>
      </c>
      <c r="Z1704" s="244"/>
      <c r="AA1704" s="244"/>
      <c r="AB1704" s="244"/>
      <c r="AC1704" s="235" t="s">
        <v>12451</v>
      </c>
      <c r="AD1704" s="235" t="s">
        <v>1499</v>
      </c>
      <c r="AE1704" s="238">
        <v>484444.0</v>
      </c>
      <c r="AF1704" s="235" t="s">
        <v>631</v>
      </c>
      <c r="AG1704" s="244"/>
      <c r="AH1704" s="244"/>
      <c r="AI1704" s="245"/>
      <c r="AJ1704" s="245"/>
      <c r="AK1704" s="245"/>
      <c r="AL1704" s="245"/>
      <c r="AM1704" s="244"/>
      <c r="AN1704" s="244"/>
      <c r="AO1704" s="238">
        <v>-13.4</v>
      </c>
      <c r="AP1704" s="238">
        <v>-38.1</v>
      </c>
      <c r="AQ1704" s="235" t="s">
        <v>632</v>
      </c>
      <c r="AR1704" s="243">
        <v>3.71E11</v>
      </c>
      <c r="AS1704" s="235" t="s">
        <v>6164</v>
      </c>
      <c r="AT1704" s="235" t="s">
        <v>5</v>
      </c>
      <c r="AU1704" s="235" t="s">
        <v>634</v>
      </c>
      <c r="AV1704" s="246" t="s">
        <v>635</v>
      </c>
      <c r="AW1704" s="242"/>
      <c r="AX1704" s="242"/>
      <c r="AY1704" s="231"/>
      <c r="AZ1704" s="231"/>
      <c r="BA1704" s="227"/>
      <c r="BB1704" s="231"/>
      <c r="BC1704" s="227"/>
      <c r="BD1704" s="227"/>
      <c r="BE1704" s="227"/>
      <c r="BF1704" s="227"/>
    </row>
    <row r="1705">
      <c r="A1705" s="235" t="s">
        <v>13434</v>
      </c>
      <c r="C1705" s="235" t="s">
        <v>13435</v>
      </c>
      <c r="D1705" s="235" t="s">
        <v>13436</v>
      </c>
      <c r="E1705" s="243">
        <v>6.55E13</v>
      </c>
      <c r="F1705" s="245"/>
      <c r="G1705" s="235" t="s">
        <v>13437</v>
      </c>
      <c r="H1705" s="235" t="s">
        <v>13438</v>
      </c>
      <c r="I1705" s="235" t="s">
        <v>13438</v>
      </c>
      <c r="J1705" s="235" t="s">
        <v>13439</v>
      </c>
      <c r="K1705" s="235" t="s">
        <v>13440</v>
      </c>
      <c r="N1705" s="235" t="s">
        <v>51</v>
      </c>
      <c r="O1705" s="235" t="s">
        <v>273</v>
      </c>
      <c r="P1705" s="238">
        <v>1.0</v>
      </c>
      <c r="Q1705" s="235" t="s">
        <v>627</v>
      </c>
      <c r="R1705" s="238">
        <v>237.14</v>
      </c>
      <c r="S1705" s="238">
        <v>11.86</v>
      </c>
      <c r="T1705" s="238">
        <v>0.0</v>
      </c>
      <c r="U1705" s="238">
        <v>0.0</v>
      </c>
      <c r="V1705" s="238">
        <v>0.0</v>
      </c>
      <c r="W1705" s="238">
        <v>0.0</v>
      </c>
      <c r="X1705" s="235" t="s">
        <v>628</v>
      </c>
      <c r="Z1705" s="244"/>
      <c r="AA1705" s="244"/>
      <c r="AB1705" s="244"/>
      <c r="AC1705" s="235" t="s">
        <v>678</v>
      </c>
      <c r="AD1705" s="235" t="s">
        <v>679</v>
      </c>
      <c r="AE1705" s="238">
        <v>560003.0</v>
      </c>
      <c r="AF1705" s="235" t="s">
        <v>631</v>
      </c>
      <c r="AG1705" s="244"/>
      <c r="AH1705" s="244"/>
      <c r="AI1705" s="245"/>
      <c r="AJ1705" s="245"/>
      <c r="AK1705" s="245"/>
      <c r="AL1705" s="245"/>
      <c r="AM1705" s="244"/>
      <c r="AN1705" s="244"/>
      <c r="AO1705" s="238">
        <v>0.0</v>
      </c>
      <c r="AP1705" s="238">
        <v>0.0</v>
      </c>
      <c r="AQ1705" s="235" t="s">
        <v>632</v>
      </c>
      <c r="AR1705" s="243">
        <v>3.71E11</v>
      </c>
      <c r="AS1705" s="235" t="s">
        <v>12693</v>
      </c>
      <c r="AT1705" s="235" t="s">
        <v>11</v>
      </c>
      <c r="AU1705" s="235" t="s">
        <v>634</v>
      </c>
      <c r="AV1705" s="246" t="s">
        <v>635</v>
      </c>
      <c r="AW1705" s="242"/>
      <c r="AX1705" s="242"/>
      <c r="AY1705" s="231"/>
      <c r="AZ1705" s="231"/>
      <c r="BA1705" s="227"/>
      <c r="BB1705" s="231"/>
      <c r="BC1705" s="227"/>
      <c r="BD1705" s="227"/>
      <c r="BE1705" s="227"/>
      <c r="BF1705" s="227"/>
    </row>
    <row r="1706">
      <c r="A1706" s="235" t="s">
        <v>13441</v>
      </c>
      <c r="C1706" s="235" t="s">
        <v>13442</v>
      </c>
      <c r="D1706" s="235" t="s">
        <v>13443</v>
      </c>
      <c r="E1706" s="243">
        <v>6.53E13</v>
      </c>
      <c r="F1706" s="245"/>
      <c r="G1706" s="235" t="s">
        <v>13444</v>
      </c>
      <c r="H1706" s="235" t="s">
        <v>13445</v>
      </c>
      <c r="I1706" s="235" t="s">
        <v>13445</v>
      </c>
      <c r="J1706" s="235" t="s">
        <v>13446</v>
      </c>
      <c r="K1706" s="235" t="s">
        <v>13447</v>
      </c>
      <c r="N1706" s="235" t="s">
        <v>51</v>
      </c>
      <c r="O1706" s="235" t="s">
        <v>273</v>
      </c>
      <c r="P1706" s="238">
        <v>1.0</v>
      </c>
      <c r="Q1706" s="235" t="s">
        <v>627</v>
      </c>
      <c r="R1706" s="238">
        <v>233.34</v>
      </c>
      <c r="S1706" s="238">
        <v>11.66</v>
      </c>
      <c r="T1706" s="238">
        <v>38.1</v>
      </c>
      <c r="U1706" s="238">
        <v>1.9</v>
      </c>
      <c r="V1706" s="238">
        <v>0.0</v>
      </c>
      <c r="W1706" s="238">
        <v>0.0</v>
      </c>
      <c r="X1706" s="235" t="s">
        <v>628</v>
      </c>
      <c r="Z1706" s="244"/>
      <c r="AA1706" s="244"/>
      <c r="AB1706" s="244"/>
      <c r="AC1706" s="235" t="s">
        <v>13448</v>
      </c>
      <c r="AD1706" s="235" t="s">
        <v>845</v>
      </c>
      <c r="AE1706" s="238">
        <v>421306.0</v>
      </c>
      <c r="AF1706" s="235" t="s">
        <v>631</v>
      </c>
      <c r="AG1706" s="244"/>
      <c r="AH1706" s="244"/>
      <c r="AI1706" s="245"/>
      <c r="AJ1706" s="245"/>
      <c r="AK1706" s="245"/>
      <c r="AL1706" s="245"/>
      <c r="AM1706" s="244"/>
      <c r="AN1706" s="244"/>
      <c r="AO1706" s="238">
        <v>0.0</v>
      </c>
      <c r="AP1706" s="238">
        <v>-38.1</v>
      </c>
      <c r="AQ1706" s="235" t="s">
        <v>1328</v>
      </c>
      <c r="AR1706" s="243">
        <v>1.34E13</v>
      </c>
      <c r="AS1706" s="235" t="s">
        <v>2276</v>
      </c>
      <c r="AT1706" s="235" t="s">
        <v>16</v>
      </c>
      <c r="AU1706" s="235" t="s">
        <v>634</v>
      </c>
      <c r="AV1706" s="246" t="s">
        <v>635</v>
      </c>
      <c r="AW1706" s="242"/>
      <c r="AX1706" s="242"/>
      <c r="AY1706" s="231"/>
      <c r="AZ1706" s="231"/>
      <c r="BA1706" s="227"/>
      <c r="BB1706" s="231"/>
      <c r="BC1706" s="227"/>
      <c r="BD1706" s="227"/>
      <c r="BE1706" s="227"/>
      <c r="BF1706" s="227"/>
    </row>
    <row r="1707">
      <c r="A1707" s="235" t="s">
        <v>13449</v>
      </c>
      <c r="C1707" s="235" t="s">
        <v>13450</v>
      </c>
      <c r="D1707" s="235" t="s">
        <v>13451</v>
      </c>
      <c r="E1707" s="243">
        <v>6.55E13</v>
      </c>
      <c r="F1707" s="245"/>
      <c r="G1707" s="235" t="s">
        <v>13452</v>
      </c>
      <c r="H1707" s="235" t="s">
        <v>13453</v>
      </c>
      <c r="I1707" s="235" t="s">
        <v>13453</v>
      </c>
      <c r="J1707" s="235" t="s">
        <v>13454</v>
      </c>
      <c r="K1707" s="235" t="s">
        <v>13455</v>
      </c>
      <c r="N1707" s="235" t="s">
        <v>3</v>
      </c>
      <c r="O1707" s="235" t="s">
        <v>654</v>
      </c>
      <c r="P1707" s="238">
        <v>1.0</v>
      </c>
      <c r="Q1707" s="235" t="s">
        <v>627</v>
      </c>
      <c r="R1707" s="238">
        <v>265.71</v>
      </c>
      <c r="S1707" s="238">
        <v>13.29</v>
      </c>
      <c r="T1707" s="238">
        <v>0.0</v>
      </c>
      <c r="U1707" s="238">
        <v>0.0</v>
      </c>
      <c r="V1707" s="238">
        <v>0.0</v>
      </c>
      <c r="W1707" s="238">
        <v>0.0</v>
      </c>
      <c r="X1707" s="235" t="s">
        <v>628</v>
      </c>
      <c r="Z1707" s="244"/>
      <c r="AA1707" s="244"/>
      <c r="AB1707" s="244"/>
      <c r="AC1707" s="235" t="s">
        <v>3374</v>
      </c>
      <c r="AD1707" s="235" t="s">
        <v>645</v>
      </c>
      <c r="AE1707" s="238">
        <v>695009.0</v>
      </c>
      <c r="AF1707" s="235" t="s">
        <v>631</v>
      </c>
      <c r="AG1707" s="244"/>
      <c r="AH1707" s="244"/>
      <c r="AI1707" s="245"/>
      <c r="AJ1707" s="245"/>
      <c r="AK1707" s="245"/>
      <c r="AL1707" s="245"/>
      <c r="AM1707" s="244"/>
      <c r="AN1707" s="244"/>
      <c r="AO1707" s="238">
        <v>0.0</v>
      </c>
      <c r="AP1707" s="238">
        <v>0.0</v>
      </c>
      <c r="AQ1707" s="235" t="s">
        <v>632</v>
      </c>
      <c r="AR1707" s="243">
        <v>1.68E11</v>
      </c>
      <c r="AS1707" s="235" t="s">
        <v>11171</v>
      </c>
      <c r="AT1707" s="235" t="s">
        <v>11</v>
      </c>
      <c r="AU1707" s="235" t="s">
        <v>634</v>
      </c>
      <c r="AV1707" s="246" t="s">
        <v>635</v>
      </c>
      <c r="AW1707" s="242"/>
      <c r="AX1707" s="242"/>
      <c r="AY1707" s="231"/>
      <c r="AZ1707" s="231"/>
      <c r="BA1707" s="227"/>
      <c r="BB1707" s="231"/>
      <c r="BC1707" s="227"/>
      <c r="BD1707" s="227"/>
      <c r="BE1707" s="227"/>
      <c r="BF1707" s="227"/>
    </row>
    <row r="1708">
      <c r="A1708" s="235" t="s">
        <v>13456</v>
      </c>
      <c r="C1708" s="235" t="s">
        <v>13457</v>
      </c>
      <c r="D1708" s="235" t="s">
        <v>13458</v>
      </c>
      <c r="E1708" s="243">
        <v>6.55E13</v>
      </c>
      <c r="F1708" s="245"/>
      <c r="G1708" s="235" t="s">
        <v>13459</v>
      </c>
      <c r="H1708" s="235" t="s">
        <v>13460</v>
      </c>
      <c r="I1708" s="235" t="s">
        <v>13461</v>
      </c>
      <c r="J1708" s="235" t="s">
        <v>13462</v>
      </c>
      <c r="K1708" s="235" t="s">
        <v>13463</v>
      </c>
      <c r="N1708" s="235" t="s">
        <v>139</v>
      </c>
      <c r="O1708" s="235" t="s">
        <v>2091</v>
      </c>
      <c r="P1708" s="238">
        <v>1.0</v>
      </c>
      <c r="Q1708" s="235" t="s">
        <v>627</v>
      </c>
      <c r="R1708" s="238">
        <v>246.66</v>
      </c>
      <c r="S1708" s="238">
        <v>12.34</v>
      </c>
      <c r="T1708" s="238">
        <v>0.0</v>
      </c>
      <c r="U1708" s="238">
        <v>0.0</v>
      </c>
      <c r="V1708" s="238">
        <v>0.0</v>
      </c>
      <c r="W1708" s="238">
        <v>0.0</v>
      </c>
      <c r="X1708" s="235" t="s">
        <v>628</v>
      </c>
      <c r="Z1708" s="244"/>
      <c r="AA1708" s="244"/>
      <c r="AB1708" s="244"/>
      <c r="AC1708" s="235" t="s">
        <v>687</v>
      </c>
      <c r="AD1708" s="235" t="s">
        <v>666</v>
      </c>
      <c r="AE1708" s="238">
        <v>600071.0</v>
      </c>
      <c r="AF1708" s="235" t="s">
        <v>631</v>
      </c>
      <c r="AG1708" s="244"/>
      <c r="AH1708" s="244"/>
      <c r="AI1708" s="245"/>
      <c r="AJ1708" s="245"/>
      <c r="AK1708" s="245"/>
      <c r="AL1708" s="245"/>
      <c r="AM1708" s="244"/>
      <c r="AN1708" s="244"/>
      <c r="AO1708" s="238">
        <v>0.0</v>
      </c>
      <c r="AP1708" s="238">
        <v>0.0</v>
      </c>
      <c r="AQ1708" s="235" t="s">
        <v>632</v>
      </c>
      <c r="AR1708" s="243">
        <v>3.71E11</v>
      </c>
      <c r="AS1708" s="235" t="s">
        <v>11171</v>
      </c>
      <c r="AT1708" s="235" t="s">
        <v>155</v>
      </c>
      <c r="AU1708" s="235" t="s">
        <v>634</v>
      </c>
      <c r="AV1708" s="246" t="s">
        <v>635</v>
      </c>
      <c r="AW1708" s="242"/>
      <c r="AX1708" s="242"/>
      <c r="AY1708" s="231"/>
      <c r="AZ1708" s="231"/>
      <c r="BA1708" s="227"/>
      <c r="BB1708" s="231"/>
      <c r="BC1708" s="227"/>
      <c r="BD1708" s="227"/>
      <c r="BE1708" s="227"/>
      <c r="BF1708" s="227"/>
    </row>
    <row r="1709">
      <c r="A1709" s="235" t="s">
        <v>13464</v>
      </c>
      <c r="C1709" s="235" t="s">
        <v>13465</v>
      </c>
      <c r="D1709" s="235" t="s">
        <v>13466</v>
      </c>
      <c r="E1709" s="243">
        <v>6.55E13</v>
      </c>
      <c r="F1709" s="245"/>
      <c r="G1709" s="235" t="s">
        <v>13467</v>
      </c>
      <c r="H1709" s="235" t="s">
        <v>13468</v>
      </c>
      <c r="I1709" s="235" t="s">
        <v>13468</v>
      </c>
      <c r="J1709" s="235" t="s">
        <v>13469</v>
      </c>
      <c r="K1709" s="235" t="s">
        <v>13470</v>
      </c>
      <c r="N1709" s="235" t="s">
        <v>154</v>
      </c>
      <c r="O1709" s="235" t="s">
        <v>766</v>
      </c>
      <c r="P1709" s="238">
        <v>1.0</v>
      </c>
      <c r="Q1709" s="235" t="s">
        <v>627</v>
      </c>
      <c r="R1709" s="238">
        <v>465.72</v>
      </c>
      <c r="S1709" s="238">
        <v>23.28</v>
      </c>
      <c r="T1709" s="238">
        <v>0.0</v>
      </c>
      <c r="U1709" s="238">
        <v>0.0</v>
      </c>
      <c r="V1709" s="238">
        <v>0.0</v>
      </c>
      <c r="W1709" s="238">
        <v>0.0</v>
      </c>
      <c r="X1709" s="235" t="s">
        <v>628</v>
      </c>
      <c r="Z1709" s="244"/>
      <c r="AA1709" s="244"/>
      <c r="AB1709" s="244"/>
      <c r="AC1709" s="235" t="s">
        <v>1058</v>
      </c>
      <c r="AD1709" s="235" t="s">
        <v>845</v>
      </c>
      <c r="AE1709" s="238">
        <v>400012.0</v>
      </c>
      <c r="AF1709" s="235" t="s">
        <v>631</v>
      </c>
      <c r="AG1709" s="244"/>
      <c r="AH1709" s="244"/>
      <c r="AI1709" s="245"/>
      <c r="AJ1709" s="245"/>
      <c r="AK1709" s="245"/>
      <c r="AL1709" s="245"/>
      <c r="AM1709" s="244"/>
      <c r="AN1709" s="244"/>
      <c r="AO1709" s="238">
        <v>0.0</v>
      </c>
      <c r="AP1709" s="238">
        <v>0.0</v>
      </c>
      <c r="AQ1709" s="235" t="s">
        <v>632</v>
      </c>
      <c r="AR1709" s="243">
        <v>1.68E11</v>
      </c>
      <c r="AS1709" s="235" t="s">
        <v>13108</v>
      </c>
      <c r="AT1709" s="235" t="s">
        <v>16</v>
      </c>
      <c r="AU1709" s="235" t="s">
        <v>634</v>
      </c>
      <c r="AV1709" s="246" t="s">
        <v>635</v>
      </c>
      <c r="AW1709" s="242"/>
      <c r="AX1709" s="242"/>
      <c r="AY1709" s="231"/>
      <c r="AZ1709" s="231"/>
      <c r="BA1709" s="227"/>
      <c r="BB1709" s="231"/>
      <c r="BC1709" s="227"/>
      <c r="BD1709" s="227"/>
      <c r="BE1709" s="227"/>
      <c r="BF1709" s="227"/>
    </row>
    <row r="1710">
      <c r="A1710" s="235" t="s">
        <v>13471</v>
      </c>
      <c r="C1710" s="235" t="s">
        <v>13472</v>
      </c>
      <c r="D1710" s="235" t="s">
        <v>13473</v>
      </c>
      <c r="E1710" s="243">
        <v>6.55E13</v>
      </c>
      <c r="F1710" s="245"/>
      <c r="G1710" s="235" t="s">
        <v>13474</v>
      </c>
      <c r="H1710" s="235" t="s">
        <v>13475</v>
      </c>
      <c r="I1710" s="235" t="s">
        <v>13476</v>
      </c>
      <c r="J1710" s="235" t="s">
        <v>13477</v>
      </c>
      <c r="K1710" s="235" t="s">
        <v>13478</v>
      </c>
      <c r="N1710" s="235" t="s">
        <v>1646</v>
      </c>
      <c r="O1710" s="235" t="s">
        <v>1647</v>
      </c>
      <c r="P1710" s="238">
        <v>1.0</v>
      </c>
      <c r="Q1710" s="235" t="s">
        <v>627</v>
      </c>
      <c r="R1710" s="238">
        <v>270.48</v>
      </c>
      <c r="S1710" s="238">
        <v>13.52</v>
      </c>
      <c r="T1710" s="238">
        <v>0.0</v>
      </c>
      <c r="U1710" s="238">
        <v>0.0</v>
      </c>
      <c r="V1710" s="238">
        <v>0.0</v>
      </c>
      <c r="W1710" s="238">
        <v>0.0</v>
      </c>
      <c r="X1710" s="235" t="s">
        <v>628</v>
      </c>
      <c r="Z1710" s="244"/>
      <c r="AA1710" s="244"/>
      <c r="AB1710" s="244"/>
      <c r="AC1710" s="235" t="s">
        <v>1514</v>
      </c>
      <c r="AD1710" s="235" t="s">
        <v>1077</v>
      </c>
      <c r="AE1710" s="238">
        <v>380007.0</v>
      </c>
      <c r="AF1710" s="235" t="s">
        <v>631</v>
      </c>
      <c r="AG1710" s="244"/>
      <c r="AH1710" s="244"/>
      <c r="AI1710" s="245"/>
      <c r="AJ1710" s="245"/>
      <c r="AK1710" s="245"/>
      <c r="AL1710" s="245"/>
      <c r="AM1710" s="244"/>
      <c r="AN1710" s="244"/>
      <c r="AO1710" s="238">
        <v>0.0</v>
      </c>
      <c r="AP1710" s="238">
        <v>0.0</v>
      </c>
      <c r="AQ1710" s="235" t="s">
        <v>632</v>
      </c>
      <c r="AR1710" s="243">
        <v>1.68E11</v>
      </c>
      <c r="AS1710" s="235" t="s">
        <v>13108</v>
      </c>
      <c r="AT1710" s="235" t="s">
        <v>5</v>
      </c>
      <c r="AU1710" s="235" t="s">
        <v>634</v>
      </c>
      <c r="AV1710" s="246" t="s">
        <v>635</v>
      </c>
      <c r="AW1710" s="242"/>
      <c r="AX1710" s="242"/>
      <c r="AY1710" s="231"/>
      <c r="AZ1710" s="231"/>
      <c r="BA1710" s="227"/>
      <c r="BB1710" s="231"/>
      <c r="BC1710" s="227"/>
      <c r="BD1710" s="227"/>
      <c r="BE1710" s="227"/>
      <c r="BF1710" s="227"/>
    </row>
    <row r="1711">
      <c r="A1711" s="235" t="s">
        <v>13479</v>
      </c>
      <c r="C1711" s="235" t="s">
        <v>13480</v>
      </c>
      <c r="D1711" s="235" t="s">
        <v>13481</v>
      </c>
      <c r="E1711" s="243">
        <v>6.54E13</v>
      </c>
      <c r="F1711" s="245"/>
      <c r="G1711" s="235" t="s">
        <v>13482</v>
      </c>
      <c r="H1711" s="235" t="s">
        <v>13483</v>
      </c>
      <c r="I1711" s="235" t="s">
        <v>13483</v>
      </c>
      <c r="J1711" s="235" t="s">
        <v>13484</v>
      </c>
      <c r="K1711" s="235" t="s">
        <v>13485</v>
      </c>
      <c r="N1711" s="235" t="s">
        <v>130</v>
      </c>
      <c r="O1711" s="235" t="s">
        <v>707</v>
      </c>
      <c r="P1711" s="238">
        <v>1.0</v>
      </c>
      <c r="Q1711" s="235" t="s">
        <v>627</v>
      </c>
      <c r="R1711" s="238">
        <v>246.67</v>
      </c>
      <c r="S1711" s="238">
        <v>12.08</v>
      </c>
      <c r="T1711" s="238">
        <v>38.1</v>
      </c>
      <c r="U1711" s="238">
        <v>1.9</v>
      </c>
      <c r="V1711" s="238">
        <v>0.0</v>
      </c>
      <c r="W1711" s="238">
        <v>0.0</v>
      </c>
      <c r="X1711" s="235" t="s">
        <v>628</v>
      </c>
      <c r="Z1711" s="244"/>
      <c r="AA1711" s="244"/>
      <c r="AB1711" s="244"/>
      <c r="AC1711" s="235" t="s">
        <v>13486</v>
      </c>
      <c r="AD1711" s="235" t="s">
        <v>917</v>
      </c>
      <c r="AE1711" s="238">
        <v>312402.0</v>
      </c>
      <c r="AF1711" s="235" t="s">
        <v>631</v>
      </c>
      <c r="AG1711" s="244"/>
      <c r="AH1711" s="244"/>
      <c r="AI1711" s="245"/>
      <c r="AJ1711" s="245"/>
      <c r="AK1711" s="245"/>
      <c r="AL1711" s="245"/>
      <c r="AM1711" s="244"/>
      <c r="AN1711" s="244"/>
      <c r="AO1711" s="238">
        <v>-4.93</v>
      </c>
      <c r="AP1711" s="238">
        <v>-38.1</v>
      </c>
      <c r="AQ1711" s="235" t="s">
        <v>1328</v>
      </c>
      <c r="AR1711" s="243">
        <v>1.34E13</v>
      </c>
      <c r="AS1711" s="235" t="s">
        <v>7365</v>
      </c>
      <c r="AT1711" s="235" t="s">
        <v>5</v>
      </c>
      <c r="AU1711" s="235" t="s">
        <v>634</v>
      </c>
      <c r="AV1711" s="246" t="s">
        <v>635</v>
      </c>
      <c r="AW1711" s="242"/>
      <c r="AX1711" s="242"/>
      <c r="AY1711" s="231"/>
      <c r="AZ1711" s="231"/>
      <c r="BA1711" s="227"/>
      <c r="BB1711" s="231"/>
      <c r="BC1711" s="227"/>
      <c r="BD1711" s="227"/>
      <c r="BE1711" s="227"/>
      <c r="BF1711" s="227"/>
    </row>
    <row r="1712">
      <c r="A1712" s="235" t="s">
        <v>13487</v>
      </c>
      <c r="C1712" s="235" t="s">
        <v>13488</v>
      </c>
      <c r="D1712" s="235" t="s">
        <v>13489</v>
      </c>
      <c r="E1712" s="243">
        <v>6.55E13</v>
      </c>
      <c r="F1712" s="245"/>
      <c r="G1712" s="235" t="s">
        <v>13490</v>
      </c>
      <c r="H1712" s="235" t="s">
        <v>13491</v>
      </c>
      <c r="I1712" s="235" t="s">
        <v>13491</v>
      </c>
      <c r="J1712" s="235" t="s">
        <v>13492</v>
      </c>
      <c r="K1712" s="235" t="s">
        <v>13493</v>
      </c>
      <c r="N1712" s="235" t="s">
        <v>136</v>
      </c>
      <c r="O1712" s="235" t="s">
        <v>256</v>
      </c>
      <c r="P1712" s="238">
        <v>1.0</v>
      </c>
      <c r="Q1712" s="235" t="s">
        <v>627</v>
      </c>
      <c r="R1712" s="238">
        <v>246.66</v>
      </c>
      <c r="S1712" s="238">
        <v>12.34</v>
      </c>
      <c r="T1712" s="238">
        <v>0.0</v>
      </c>
      <c r="U1712" s="238">
        <v>0.0</v>
      </c>
      <c r="V1712" s="238">
        <v>0.0</v>
      </c>
      <c r="W1712" s="238">
        <v>0.0</v>
      </c>
      <c r="X1712" s="235" t="s">
        <v>628</v>
      </c>
      <c r="Z1712" s="244"/>
      <c r="AA1712" s="244"/>
      <c r="AB1712" s="244"/>
      <c r="AC1712" s="235" t="s">
        <v>844</v>
      </c>
      <c r="AD1712" s="235" t="s">
        <v>845</v>
      </c>
      <c r="AE1712" s="238">
        <v>411048.0</v>
      </c>
      <c r="AF1712" s="235" t="s">
        <v>631</v>
      </c>
      <c r="AG1712" s="244"/>
      <c r="AH1712" s="244"/>
      <c r="AI1712" s="245"/>
      <c r="AJ1712" s="245"/>
      <c r="AK1712" s="245"/>
      <c r="AL1712" s="245"/>
      <c r="AM1712" s="244"/>
      <c r="AN1712" s="244"/>
      <c r="AO1712" s="238">
        <v>0.0</v>
      </c>
      <c r="AP1712" s="238">
        <v>0.0</v>
      </c>
      <c r="AQ1712" s="235" t="s">
        <v>632</v>
      </c>
      <c r="AR1712" s="243">
        <v>3.71E11</v>
      </c>
      <c r="AS1712" s="235" t="s">
        <v>12693</v>
      </c>
      <c r="AT1712" s="235" t="s">
        <v>546</v>
      </c>
      <c r="AU1712" s="235" t="s">
        <v>634</v>
      </c>
      <c r="AV1712" s="246" t="s">
        <v>635</v>
      </c>
      <c r="AW1712" s="242"/>
      <c r="AX1712" s="242"/>
      <c r="AY1712" s="231"/>
      <c r="AZ1712" s="231"/>
      <c r="BA1712" s="227"/>
      <c r="BB1712" s="231"/>
      <c r="BC1712" s="227"/>
      <c r="BD1712" s="227"/>
      <c r="BE1712" s="227"/>
      <c r="BF1712" s="227"/>
    </row>
    <row r="1713">
      <c r="A1713" s="235" t="s">
        <v>13494</v>
      </c>
      <c r="C1713" s="235" t="s">
        <v>13495</v>
      </c>
      <c r="D1713" s="235" t="s">
        <v>13496</v>
      </c>
      <c r="E1713" s="243">
        <v>6.54E13</v>
      </c>
      <c r="F1713" s="245"/>
      <c r="G1713" s="235" t="s">
        <v>13497</v>
      </c>
      <c r="H1713" s="235" t="s">
        <v>13498</v>
      </c>
      <c r="I1713" s="235" t="s">
        <v>13498</v>
      </c>
      <c r="J1713" s="235" t="s">
        <v>13499</v>
      </c>
      <c r="K1713" s="235" t="s">
        <v>13500</v>
      </c>
      <c r="N1713" s="235" t="s">
        <v>1346</v>
      </c>
      <c r="O1713" s="235" t="s">
        <v>1347</v>
      </c>
      <c r="P1713" s="238">
        <v>1.0</v>
      </c>
      <c r="Q1713" s="235" t="s">
        <v>627</v>
      </c>
      <c r="R1713" s="238">
        <v>256.19</v>
      </c>
      <c r="S1713" s="238">
        <v>12.81</v>
      </c>
      <c r="T1713" s="238">
        <v>0.0</v>
      </c>
      <c r="U1713" s="238">
        <v>0.0</v>
      </c>
      <c r="V1713" s="238">
        <v>0.0</v>
      </c>
      <c r="W1713" s="238">
        <v>0.0</v>
      </c>
      <c r="X1713" s="235" t="s">
        <v>628</v>
      </c>
      <c r="Z1713" s="244"/>
      <c r="AA1713" s="244"/>
      <c r="AB1713" s="244"/>
      <c r="AC1713" s="235" t="s">
        <v>678</v>
      </c>
      <c r="AD1713" s="235" t="s">
        <v>679</v>
      </c>
      <c r="AE1713" s="238">
        <v>560073.0</v>
      </c>
      <c r="AF1713" s="235" t="s">
        <v>631</v>
      </c>
      <c r="AG1713" s="244"/>
      <c r="AH1713" s="244"/>
      <c r="AI1713" s="245"/>
      <c r="AJ1713" s="245"/>
      <c r="AK1713" s="245"/>
      <c r="AL1713" s="245"/>
      <c r="AM1713" s="244"/>
      <c r="AN1713" s="244"/>
      <c r="AO1713" s="238">
        <v>0.0</v>
      </c>
      <c r="AP1713" s="238">
        <v>0.0</v>
      </c>
      <c r="AQ1713" s="235" t="s">
        <v>632</v>
      </c>
      <c r="AR1713" s="243">
        <v>3.71E11</v>
      </c>
      <c r="AS1713" s="235" t="s">
        <v>8807</v>
      </c>
      <c r="AT1713" s="235" t="s">
        <v>5</v>
      </c>
      <c r="AU1713" s="235" t="s">
        <v>634</v>
      </c>
      <c r="AV1713" s="246" t="s">
        <v>635</v>
      </c>
      <c r="AW1713" s="242"/>
      <c r="AX1713" s="242"/>
      <c r="AY1713" s="231"/>
      <c r="AZ1713" s="231"/>
      <c r="BA1713" s="227"/>
      <c r="BB1713" s="231"/>
      <c r="BC1713" s="227"/>
      <c r="BD1713" s="227"/>
      <c r="BE1713" s="227"/>
      <c r="BF1713" s="227"/>
    </row>
    <row r="1714">
      <c r="A1714" s="235" t="s">
        <v>13501</v>
      </c>
      <c r="C1714" s="235" t="s">
        <v>13502</v>
      </c>
      <c r="D1714" s="235" t="s">
        <v>13503</v>
      </c>
      <c r="E1714" s="243">
        <v>6.55E13</v>
      </c>
      <c r="F1714" s="245"/>
      <c r="G1714" s="235" t="s">
        <v>13504</v>
      </c>
      <c r="H1714" s="235" t="s">
        <v>13505</v>
      </c>
      <c r="I1714" s="235" t="s">
        <v>13506</v>
      </c>
      <c r="J1714" s="235" t="s">
        <v>13507</v>
      </c>
      <c r="K1714" s="235" t="s">
        <v>13508</v>
      </c>
      <c r="N1714" s="235" t="s">
        <v>55</v>
      </c>
      <c r="O1714" s="235" t="s">
        <v>244</v>
      </c>
      <c r="P1714" s="238">
        <v>1.0</v>
      </c>
      <c r="Q1714" s="235" t="s">
        <v>627</v>
      </c>
      <c r="R1714" s="238">
        <v>246.66</v>
      </c>
      <c r="S1714" s="238">
        <v>12.1</v>
      </c>
      <c r="T1714" s="238">
        <v>0.0</v>
      </c>
      <c r="U1714" s="238">
        <v>0.0</v>
      </c>
      <c r="V1714" s="238">
        <v>0.0</v>
      </c>
      <c r="W1714" s="238">
        <v>0.0</v>
      </c>
      <c r="X1714" s="235" t="s">
        <v>628</v>
      </c>
      <c r="Z1714" s="244"/>
      <c r="AA1714" s="244"/>
      <c r="AB1714" s="244"/>
      <c r="AC1714" s="235" t="s">
        <v>1671</v>
      </c>
      <c r="AD1714" s="235" t="s">
        <v>666</v>
      </c>
      <c r="AE1714" s="238">
        <v>641014.0</v>
      </c>
      <c r="AF1714" s="235" t="s">
        <v>631</v>
      </c>
      <c r="AG1714" s="244"/>
      <c r="AH1714" s="244"/>
      <c r="AI1714" s="245"/>
      <c r="AJ1714" s="245"/>
      <c r="AK1714" s="245"/>
      <c r="AL1714" s="245"/>
      <c r="AM1714" s="244"/>
      <c r="AN1714" s="244"/>
      <c r="AO1714" s="238">
        <v>-4.94</v>
      </c>
      <c r="AP1714" s="238">
        <v>0.0</v>
      </c>
      <c r="AQ1714" s="235" t="s">
        <v>632</v>
      </c>
      <c r="AR1714" s="243">
        <v>1.68E11</v>
      </c>
      <c r="AS1714" s="235" t="s">
        <v>13108</v>
      </c>
      <c r="AT1714" s="235" t="s">
        <v>155</v>
      </c>
      <c r="AU1714" s="235" t="s">
        <v>634</v>
      </c>
      <c r="AV1714" s="246" t="s">
        <v>635</v>
      </c>
      <c r="AW1714" s="242"/>
      <c r="AX1714" s="242"/>
      <c r="AY1714" s="231"/>
      <c r="AZ1714" s="231"/>
      <c r="BA1714" s="227"/>
      <c r="BB1714" s="231"/>
      <c r="BC1714" s="227"/>
      <c r="BD1714" s="227"/>
      <c r="BE1714" s="227"/>
      <c r="BF1714" s="227"/>
    </row>
    <row r="1715">
      <c r="A1715" s="235" t="s">
        <v>13509</v>
      </c>
      <c r="C1715" s="235" t="s">
        <v>13510</v>
      </c>
      <c r="D1715" s="235" t="s">
        <v>13511</v>
      </c>
      <c r="E1715" s="243">
        <v>6.52E13</v>
      </c>
      <c r="F1715" s="245"/>
      <c r="G1715" s="235" t="s">
        <v>13512</v>
      </c>
      <c r="H1715" s="235" t="s">
        <v>13513</v>
      </c>
      <c r="I1715" s="235" t="s">
        <v>13514</v>
      </c>
      <c r="J1715" s="235" t="s">
        <v>13515</v>
      </c>
      <c r="K1715" s="235" t="s">
        <v>13516</v>
      </c>
      <c r="N1715" s="235" t="s">
        <v>130</v>
      </c>
      <c r="O1715" s="235" t="s">
        <v>707</v>
      </c>
      <c r="P1715" s="238">
        <v>1.0</v>
      </c>
      <c r="Q1715" s="235" t="s">
        <v>627</v>
      </c>
      <c r="R1715" s="238">
        <v>246.67</v>
      </c>
      <c r="S1715" s="238">
        <v>12.33</v>
      </c>
      <c r="T1715" s="238">
        <v>0.0</v>
      </c>
      <c r="U1715" s="238">
        <v>0.0</v>
      </c>
      <c r="V1715" s="238">
        <v>0.0</v>
      </c>
      <c r="W1715" s="238">
        <v>0.0</v>
      </c>
      <c r="X1715" s="235" t="s">
        <v>628</v>
      </c>
      <c r="Z1715" s="244"/>
      <c r="AA1715" s="244"/>
      <c r="AB1715" s="244"/>
      <c r="AC1715" s="235" t="s">
        <v>844</v>
      </c>
      <c r="AD1715" s="235" t="s">
        <v>845</v>
      </c>
      <c r="AE1715" s="238">
        <v>411045.0</v>
      </c>
      <c r="AF1715" s="235" t="s">
        <v>631</v>
      </c>
      <c r="AG1715" s="244"/>
      <c r="AH1715" s="244"/>
      <c r="AI1715" s="245"/>
      <c r="AJ1715" s="245"/>
      <c r="AK1715" s="245"/>
      <c r="AL1715" s="245"/>
      <c r="AM1715" s="244"/>
      <c r="AN1715" s="244"/>
      <c r="AO1715" s="238">
        <v>0.0</v>
      </c>
      <c r="AP1715" s="238">
        <v>0.0</v>
      </c>
      <c r="AQ1715" s="235" t="s">
        <v>632</v>
      </c>
      <c r="AR1715" s="243">
        <v>2.02E11</v>
      </c>
      <c r="AS1715" s="235" t="s">
        <v>12693</v>
      </c>
      <c r="AT1715" s="235" t="s">
        <v>9</v>
      </c>
      <c r="AU1715" s="235" t="s">
        <v>634</v>
      </c>
      <c r="AV1715" s="246" t="s">
        <v>635</v>
      </c>
      <c r="AW1715" s="242"/>
      <c r="AX1715" s="242"/>
      <c r="AY1715" s="231"/>
      <c r="AZ1715" s="231"/>
      <c r="BA1715" s="227"/>
      <c r="BB1715" s="231"/>
      <c r="BC1715" s="227"/>
      <c r="BD1715" s="227"/>
      <c r="BE1715" s="227"/>
      <c r="BF1715" s="227"/>
    </row>
    <row r="1716">
      <c r="A1716" s="235" t="s">
        <v>13517</v>
      </c>
      <c r="C1716" s="235" t="s">
        <v>13518</v>
      </c>
      <c r="D1716" s="235" t="s">
        <v>13519</v>
      </c>
      <c r="E1716" s="243">
        <v>6.55E13</v>
      </c>
      <c r="F1716" s="245"/>
      <c r="G1716" s="235" t="s">
        <v>13520</v>
      </c>
      <c r="H1716" s="235" t="s">
        <v>13521</v>
      </c>
      <c r="I1716" s="235" t="s">
        <v>13521</v>
      </c>
      <c r="J1716" s="235" t="s">
        <v>13522</v>
      </c>
      <c r="K1716" s="235" t="s">
        <v>13523</v>
      </c>
      <c r="N1716" s="235" t="s">
        <v>115</v>
      </c>
      <c r="O1716" s="235" t="s">
        <v>548</v>
      </c>
      <c r="P1716" s="238">
        <v>1.0</v>
      </c>
      <c r="Q1716" s="235" t="s">
        <v>627</v>
      </c>
      <c r="R1716" s="238">
        <v>246.66</v>
      </c>
      <c r="S1716" s="238">
        <v>12.34</v>
      </c>
      <c r="T1716" s="238">
        <v>6.03</v>
      </c>
      <c r="U1716" s="238">
        <v>0.3</v>
      </c>
      <c r="V1716" s="238">
        <v>0.0</v>
      </c>
      <c r="W1716" s="238">
        <v>0.0</v>
      </c>
      <c r="X1716" s="235" t="s">
        <v>628</v>
      </c>
      <c r="Z1716" s="244"/>
      <c r="AA1716" s="244"/>
      <c r="AB1716" s="244"/>
      <c r="AC1716" s="235" t="s">
        <v>1095</v>
      </c>
      <c r="AD1716" s="235" t="s">
        <v>845</v>
      </c>
      <c r="AE1716" s="238">
        <v>400709.0</v>
      </c>
      <c r="AF1716" s="235" t="s">
        <v>631</v>
      </c>
      <c r="AG1716" s="244"/>
      <c r="AH1716" s="244"/>
      <c r="AI1716" s="245"/>
      <c r="AJ1716" s="245"/>
      <c r="AK1716" s="245"/>
      <c r="AL1716" s="245"/>
      <c r="AM1716" s="244"/>
      <c r="AN1716" s="244"/>
      <c r="AO1716" s="238">
        <v>0.0</v>
      </c>
      <c r="AP1716" s="238">
        <v>-6.03</v>
      </c>
      <c r="AQ1716" s="235" t="s">
        <v>632</v>
      </c>
      <c r="AR1716" s="243">
        <v>1.68E11</v>
      </c>
      <c r="AS1716" s="235" t="s">
        <v>13108</v>
      </c>
      <c r="AT1716" s="235" t="s">
        <v>17</v>
      </c>
      <c r="AU1716" s="235" t="s">
        <v>634</v>
      </c>
      <c r="AV1716" s="246" t="s">
        <v>635</v>
      </c>
      <c r="AW1716" s="242"/>
      <c r="AX1716" s="242"/>
      <c r="AY1716" s="231"/>
      <c r="AZ1716" s="231"/>
      <c r="BA1716" s="227"/>
      <c r="BB1716" s="231"/>
      <c r="BC1716" s="227"/>
      <c r="BD1716" s="227"/>
      <c r="BE1716" s="227"/>
      <c r="BF1716" s="227"/>
    </row>
    <row r="1717">
      <c r="A1717" s="235" t="s">
        <v>13524</v>
      </c>
      <c r="C1717" s="235" t="s">
        <v>13525</v>
      </c>
      <c r="D1717" s="235" t="s">
        <v>13526</v>
      </c>
      <c r="E1717" s="243">
        <v>6.55E13</v>
      </c>
      <c r="F1717" s="245"/>
      <c r="G1717" s="235" t="s">
        <v>13527</v>
      </c>
      <c r="H1717" s="235" t="s">
        <v>13528</v>
      </c>
      <c r="I1717" s="235" t="s">
        <v>13528</v>
      </c>
      <c r="J1717" s="235" t="s">
        <v>13529</v>
      </c>
      <c r="K1717" s="235" t="s">
        <v>13530</v>
      </c>
      <c r="N1717" s="235" t="s">
        <v>141</v>
      </c>
      <c r="O1717" s="235" t="s">
        <v>342</v>
      </c>
      <c r="P1717" s="238">
        <v>1.0</v>
      </c>
      <c r="Q1717" s="235" t="s">
        <v>627</v>
      </c>
      <c r="R1717" s="238">
        <v>246.66</v>
      </c>
      <c r="S1717" s="238">
        <v>12.34</v>
      </c>
      <c r="T1717" s="238">
        <v>38.1</v>
      </c>
      <c r="U1717" s="238">
        <v>1.9</v>
      </c>
      <c r="V1717" s="238">
        <v>0.0</v>
      </c>
      <c r="W1717" s="238">
        <v>0.0</v>
      </c>
      <c r="X1717" s="235" t="s">
        <v>628</v>
      </c>
      <c r="Z1717" s="244"/>
      <c r="AA1717" s="244"/>
      <c r="AB1717" s="244"/>
      <c r="AC1717" s="235" t="s">
        <v>687</v>
      </c>
      <c r="AD1717" s="235" t="s">
        <v>666</v>
      </c>
      <c r="AE1717" s="238">
        <v>600067.0</v>
      </c>
      <c r="AF1717" s="235" t="s">
        <v>631</v>
      </c>
      <c r="AG1717" s="244"/>
      <c r="AH1717" s="244"/>
      <c r="AI1717" s="245"/>
      <c r="AJ1717" s="245"/>
      <c r="AK1717" s="245"/>
      <c r="AL1717" s="245"/>
      <c r="AM1717" s="244"/>
      <c r="AN1717" s="244"/>
      <c r="AO1717" s="238">
        <v>0.0</v>
      </c>
      <c r="AP1717" s="238">
        <v>0.0</v>
      </c>
      <c r="AQ1717" s="235" t="s">
        <v>632</v>
      </c>
      <c r="AR1717" s="243">
        <v>3.71E11</v>
      </c>
      <c r="AS1717" s="235" t="s">
        <v>11171</v>
      </c>
      <c r="AT1717" s="235" t="s">
        <v>156</v>
      </c>
      <c r="AU1717" s="235" t="s">
        <v>634</v>
      </c>
      <c r="AV1717" s="246" t="s">
        <v>635</v>
      </c>
      <c r="AW1717" s="242"/>
      <c r="AX1717" s="242"/>
      <c r="AY1717" s="231"/>
      <c r="AZ1717" s="231"/>
      <c r="BA1717" s="227"/>
      <c r="BB1717" s="231"/>
      <c r="BC1717" s="227"/>
      <c r="BD1717" s="227"/>
      <c r="BE1717" s="227"/>
      <c r="BF1717" s="227"/>
    </row>
    <row r="1718">
      <c r="A1718" s="235" t="s">
        <v>13531</v>
      </c>
      <c r="C1718" s="235" t="s">
        <v>13532</v>
      </c>
      <c r="D1718" s="235" t="s">
        <v>13533</v>
      </c>
      <c r="E1718" s="243">
        <v>6.55E13</v>
      </c>
      <c r="F1718" s="245"/>
      <c r="G1718" s="235" t="s">
        <v>13534</v>
      </c>
      <c r="H1718" s="235" t="s">
        <v>13535</v>
      </c>
      <c r="I1718" s="235" t="s">
        <v>13536</v>
      </c>
      <c r="J1718" s="235" t="s">
        <v>13537</v>
      </c>
      <c r="K1718" s="235" t="s">
        <v>11303</v>
      </c>
      <c r="N1718" s="235" t="s">
        <v>85</v>
      </c>
      <c r="O1718" s="235" t="s">
        <v>872</v>
      </c>
      <c r="P1718" s="238">
        <v>1.0</v>
      </c>
      <c r="Q1718" s="235" t="s">
        <v>627</v>
      </c>
      <c r="R1718" s="238">
        <v>246.67</v>
      </c>
      <c r="S1718" s="238">
        <v>11.96</v>
      </c>
      <c r="T1718" s="238">
        <v>0.0</v>
      </c>
      <c r="U1718" s="238">
        <v>0.0</v>
      </c>
      <c r="V1718" s="238">
        <v>0.0</v>
      </c>
      <c r="W1718" s="238">
        <v>0.0</v>
      </c>
      <c r="X1718" s="235" t="s">
        <v>628</v>
      </c>
      <c r="Z1718" s="244"/>
      <c r="AA1718" s="244"/>
      <c r="AB1718" s="244"/>
      <c r="AC1718" s="235" t="s">
        <v>697</v>
      </c>
      <c r="AD1718" s="235" t="s">
        <v>698</v>
      </c>
      <c r="AE1718" s="238">
        <v>500055.0</v>
      </c>
      <c r="AF1718" s="235" t="s">
        <v>631</v>
      </c>
      <c r="AG1718" s="244"/>
      <c r="AH1718" s="244"/>
      <c r="AI1718" s="245"/>
      <c r="AJ1718" s="245"/>
      <c r="AK1718" s="245"/>
      <c r="AL1718" s="245"/>
      <c r="AM1718" s="244"/>
      <c r="AN1718" s="244"/>
      <c r="AO1718" s="238">
        <v>-7.4</v>
      </c>
      <c r="AP1718" s="238">
        <v>0.0</v>
      </c>
      <c r="AQ1718" s="235" t="s">
        <v>632</v>
      </c>
      <c r="AR1718" s="243">
        <v>2.02E11</v>
      </c>
      <c r="AS1718" s="235" t="s">
        <v>12693</v>
      </c>
      <c r="AT1718" s="235" t="s">
        <v>11</v>
      </c>
      <c r="AU1718" s="235" t="s">
        <v>634</v>
      </c>
      <c r="AV1718" s="246" t="s">
        <v>635</v>
      </c>
      <c r="AW1718" s="242"/>
      <c r="AX1718" s="242"/>
      <c r="AY1718" s="231"/>
      <c r="AZ1718" s="231"/>
      <c r="BA1718" s="227"/>
      <c r="BB1718" s="231"/>
      <c r="BC1718" s="227"/>
      <c r="BD1718" s="227"/>
      <c r="BE1718" s="227"/>
      <c r="BF1718" s="227"/>
    </row>
    <row r="1719">
      <c r="A1719" s="235" t="s">
        <v>13531</v>
      </c>
      <c r="C1719" s="235" t="s">
        <v>13532</v>
      </c>
      <c r="D1719" s="235" t="s">
        <v>13538</v>
      </c>
      <c r="E1719" s="243">
        <v>6.55E13</v>
      </c>
      <c r="F1719" s="245"/>
      <c r="G1719" s="235" t="s">
        <v>13534</v>
      </c>
      <c r="H1719" s="235" t="s">
        <v>13535</v>
      </c>
      <c r="I1719" s="235" t="s">
        <v>13536</v>
      </c>
      <c r="J1719" s="235" t="s">
        <v>13537</v>
      </c>
      <c r="K1719" s="235" t="s">
        <v>11303</v>
      </c>
      <c r="N1719" s="235" t="s">
        <v>85</v>
      </c>
      <c r="O1719" s="235" t="s">
        <v>872</v>
      </c>
      <c r="P1719" s="238">
        <v>1.0</v>
      </c>
      <c r="Q1719" s="235" t="s">
        <v>627</v>
      </c>
      <c r="R1719" s="238">
        <v>246.67</v>
      </c>
      <c r="S1719" s="238">
        <v>11.96</v>
      </c>
      <c r="T1719" s="238">
        <v>0.0</v>
      </c>
      <c r="U1719" s="238">
        <v>0.0</v>
      </c>
      <c r="V1719" s="238">
        <v>0.0</v>
      </c>
      <c r="W1719" s="238">
        <v>0.0</v>
      </c>
      <c r="X1719" s="235" t="s">
        <v>628</v>
      </c>
      <c r="Z1719" s="244"/>
      <c r="AA1719" s="244"/>
      <c r="AB1719" s="244"/>
      <c r="AC1719" s="235" t="s">
        <v>697</v>
      </c>
      <c r="AD1719" s="235" t="s">
        <v>698</v>
      </c>
      <c r="AE1719" s="238">
        <v>500055.0</v>
      </c>
      <c r="AF1719" s="235" t="s">
        <v>631</v>
      </c>
      <c r="AG1719" s="244"/>
      <c r="AH1719" s="244"/>
      <c r="AI1719" s="245"/>
      <c r="AJ1719" s="245"/>
      <c r="AK1719" s="245"/>
      <c r="AL1719" s="245"/>
      <c r="AM1719" s="244"/>
      <c r="AN1719" s="244"/>
      <c r="AO1719" s="238">
        <v>-7.4</v>
      </c>
      <c r="AP1719" s="238">
        <v>0.0</v>
      </c>
      <c r="AQ1719" s="235" t="s">
        <v>632</v>
      </c>
      <c r="AR1719" s="243">
        <v>2.02E11</v>
      </c>
      <c r="AS1719" s="235" t="s">
        <v>12693</v>
      </c>
      <c r="AT1719" s="235" t="s">
        <v>11</v>
      </c>
      <c r="AU1719" s="235" t="s">
        <v>634</v>
      </c>
      <c r="AV1719" s="246" t="s">
        <v>635</v>
      </c>
      <c r="AW1719" s="242"/>
      <c r="AX1719" s="242"/>
      <c r="AY1719" s="231"/>
      <c r="AZ1719" s="231"/>
      <c r="BA1719" s="227"/>
      <c r="BB1719" s="231"/>
      <c r="BC1719" s="227"/>
      <c r="BD1719" s="227"/>
      <c r="BE1719" s="227"/>
      <c r="BF1719" s="227"/>
    </row>
    <row r="1720">
      <c r="A1720" s="235" t="s">
        <v>13539</v>
      </c>
      <c r="C1720" s="235" t="s">
        <v>13540</v>
      </c>
      <c r="D1720" s="235" t="s">
        <v>13541</v>
      </c>
      <c r="E1720" s="243">
        <v>6.55E13</v>
      </c>
      <c r="F1720" s="245"/>
      <c r="G1720" s="235" t="s">
        <v>13542</v>
      </c>
      <c r="H1720" s="235" t="s">
        <v>13543</v>
      </c>
      <c r="I1720" s="235" t="s">
        <v>13543</v>
      </c>
      <c r="J1720" s="235" t="s">
        <v>13544</v>
      </c>
      <c r="K1720" s="235" t="s">
        <v>13545</v>
      </c>
      <c r="N1720" s="235" t="s">
        <v>989</v>
      </c>
      <c r="O1720" s="235" t="s">
        <v>990</v>
      </c>
      <c r="P1720" s="238">
        <v>1.0</v>
      </c>
      <c r="Q1720" s="235" t="s">
        <v>627</v>
      </c>
      <c r="R1720" s="238">
        <v>256.19</v>
      </c>
      <c r="S1720" s="238">
        <v>12.81</v>
      </c>
      <c r="T1720" s="238">
        <v>38.1</v>
      </c>
      <c r="U1720" s="238">
        <v>1.9</v>
      </c>
      <c r="V1720" s="238">
        <v>0.0</v>
      </c>
      <c r="W1720" s="238">
        <v>0.0</v>
      </c>
      <c r="X1720" s="235" t="s">
        <v>628</v>
      </c>
      <c r="Z1720" s="244"/>
      <c r="AA1720" s="244"/>
      <c r="AB1720" s="244"/>
      <c r="AC1720" s="235" t="s">
        <v>795</v>
      </c>
      <c r="AD1720" s="235" t="s">
        <v>796</v>
      </c>
      <c r="AE1720" s="238">
        <v>110001.0</v>
      </c>
      <c r="AF1720" s="235" t="s">
        <v>631</v>
      </c>
      <c r="AG1720" s="244"/>
      <c r="AH1720" s="244"/>
      <c r="AI1720" s="245"/>
      <c r="AJ1720" s="245"/>
      <c r="AK1720" s="245"/>
      <c r="AL1720" s="245"/>
      <c r="AM1720" s="244"/>
      <c r="AN1720" s="244"/>
      <c r="AO1720" s="238">
        <v>0.0</v>
      </c>
      <c r="AP1720" s="238">
        <v>-38.1</v>
      </c>
      <c r="AQ1720" s="235" t="s">
        <v>632</v>
      </c>
      <c r="AR1720" s="243">
        <v>3.71E11</v>
      </c>
      <c r="AS1720" s="235" t="s">
        <v>10017</v>
      </c>
      <c r="AT1720" s="235" t="s">
        <v>17</v>
      </c>
      <c r="AU1720" s="235" t="s">
        <v>634</v>
      </c>
      <c r="AV1720" s="246" t="s">
        <v>635</v>
      </c>
      <c r="AW1720" s="242"/>
      <c r="AX1720" s="242"/>
      <c r="AY1720" s="231"/>
      <c r="AZ1720" s="231"/>
      <c r="BA1720" s="227"/>
      <c r="BB1720" s="231"/>
      <c r="BC1720" s="227"/>
      <c r="BD1720" s="227"/>
      <c r="BE1720" s="227"/>
      <c r="BF1720" s="227"/>
    </row>
    <row r="1721">
      <c r="A1721" s="235" t="s">
        <v>13546</v>
      </c>
      <c r="C1721" s="235" t="s">
        <v>13547</v>
      </c>
      <c r="D1721" s="235" t="s">
        <v>13548</v>
      </c>
      <c r="E1721" s="243">
        <v>6.55E13</v>
      </c>
      <c r="F1721" s="245"/>
      <c r="G1721" s="235" t="s">
        <v>13549</v>
      </c>
      <c r="H1721" s="235" t="s">
        <v>13550</v>
      </c>
      <c r="I1721" s="235" t="s">
        <v>13550</v>
      </c>
      <c r="J1721" s="235" t="s">
        <v>13551</v>
      </c>
      <c r="K1721" s="235" t="s">
        <v>13552</v>
      </c>
      <c r="N1721" s="235" t="s">
        <v>154</v>
      </c>
      <c r="O1721" s="235" t="s">
        <v>766</v>
      </c>
      <c r="P1721" s="238">
        <v>1.0</v>
      </c>
      <c r="Q1721" s="235" t="s">
        <v>627</v>
      </c>
      <c r="R1721" s="238">
        <v>465.72</v>
      </c>
      <c r="S1721" s="238">
        <v>22.82</v>
      </c>
      <c r="T1721" s="238">
        <v>0.0</v>
      </c>
      <c r="U1721" s="238">
        <v>0.0</v>
      </c>
      <c r="V1721" s="238">
        <v>0.0</v>
      </c>
      <c r="W1721" s="238">
        <v>0.0</v>
      </c>
      <c r="X1721" s="235" t="s">
        <v>628</v>
      </c>
      <c r="Z1721" s="244"/>
      <c r="AA1721" s="244"/>
      <c r="AB1721" s="244"/>
      <c r="AC1721" s="235" t="s">
        <v>1206</v>
      </c>
      <c r="AD1721" s="235" t="s">
        <v>679</v>
      </c>
      <c r="AE1721" s="238">
        <v>560029.0</v>
      </c>
      <c r="AF1721" s="235" t="s">
        <v>631</v>
      </c>
      <c r="AG1721" s="244"/>
      <c r="AH1721" s="244"/>
      <c r="AI1721" s="245"/>
      <c r="AJ1721" s="245"/>
      <c r="AK1721" s="245"/>
      <c r="AL1721" s="245"/>
      <c r="AM1721" s="244"/>
      <c r="AN1721" s="244"/>
      <c r="AO1721" s="238">
        <v>-9.32</v>
      </c>
      <c r="AP1721" s="238">
        <v>0.0</v>
      </c>
      <c r="AQ1721" s="235" t="s">
        <v>632</v>
      </c>
      <c r="AR1721" s="243">
        <v>1.68E11</v>
      </c>
      <c r="AS1721" s="235" t="s">
        <v>13108</v>
      </c>
      <c r="AT1721" s="235" t="s">
        <v>9</v>
      </c>
      <c r="AU1721" s="235" t="s">
        <v>634</v>
      </c>
      <c r="AV1721" s="246" t="s">
        <v>635</v>
      </c>
      <c r="AW1721" s="242"/>
      <c r="AX1721" s="242"/>
      <c r="AY1721" s="231"/>
      <c r="AZ1721" s="231"/>
      <c r="BA1721" s="227"/>
      <c r="BB1721" s="231"/>
      <c r="BC1721" s="227"/>
      <c r="BD1721" s="227"/>
      <c r="BE1721" s="227"/>
      <c r="BF1721" s="227"/>
    </row>
    <row r="1722">
      <c r="A1722" s="235" t="s">
        <v>13553</v>
      </c>
      <c r="C1722" s="235" t="s">
        <v>13554</v>
      </c>
      <c r="D1722" s="235" t="s">
        <v>13555</v>
      </c>
      <c r="E1722" s="243">
        <v>6.55E13</v>
      </c>
      <c r="F1722" s="245"/>
      <c r="G1722" s="235" t="s">
        <v>13556</v>
      </c>
      <c r="H1722" s="235" t="s">
        <v>13557</v>
      </c>
      <c r="I1722" s="235" t="s">
        <v>13557</v>
      </c>
      <c r="J1722" s="235" t="s">
        <v>13558</v>
      </c>
      <c r="K1722" s="235" t="s">
        <v>13559</v>
      </c>
      <c r="N1722" s="235" t="s">
        <v>962</v>
      </c>
      <c r="O1722" s="235" t="s">
        <v>963</v>
      </c>
      <c r="P1722" s="238">
        <v>1.0</v>
      </c>
      <c r="Q1722" s="235" t="s">
        <v>627</v>
      </c>
      <c r="R1722" s="238">
        <v>246.66</v>
      </c>
      <c r="S1722" s="238">
        <v>12.34</v>
      </c>
      <c r="T1722" s="238">
        <v>18.1</v>
      </c>
      <c r="U1722" s="238">
        <v>0.9</v>
      </c>
      <c r="V1722" s="238">
        <v>0.0</v>
      </c>
      <c r="W1722" s="238">
        <v>0.0</v>
      </c>
      <c r="X1722" s="235" t="s">
        <v>628</v>
      </c>
      <c r="Z1722" s="244"/>
      <c r="AA1722" s="244"/>
      <c r="AB1722" s="244"/>
      <c r="AC1722" s="235" t="s">
        <v>1095</v>
      </c>
      <c r="AD1722" s="235" t="s">
        <v>845</v>
      </c>
      <c r="AE1722" s="238">
        <v>410210.0</v>
      </c>
      <c r="AF1722" s="235" t="s">
        <v>631</v>
      </c>
      <c r="AG1722" s="244"/>
      <c r="AH1722" s="244"/>
      <c r="AI1722" s="245"/>
      <c r="AJ1722" s="245"/>
      <c r="AK1722" s="245"/>
      <c r="AL1722" s="245"/>
      <c r="AM1722" s="244"/>
      <c r="AN1722" s="244"/>
      <c r="AO1722" s="238">
        <v>0.0</v>
      </c>
      <c r="AP1722" s="238">
        <v>-18.1</v>
      </c>
      <c r="AQ1722" s="235" t="s">
        <v>632</v>
      </c>
      <c r="AR1722" s="243">
        <v>1.68E11</v>
      </c>
      <c r="AS1722" s="235" t="s">
        <v>13108</v>
      </c>
      <c r="AT1722" s="235" t="s">
        <v>17</v>
      </c>
      <c r="AU1722" s="235" t="s">
        <v>634</v>
      </c>
      <c r="AV1722" s="246" t="s">
        <v>635</v>
      </c>
      <c r="AW1722" s="242"/>
      <c r="AX1722" s="242"/>
      <c r="AY1722" s="231"/>
      <c r="AZ1722" s="231"/>
      <c r="BA1722" s="227"/>
      <c r="BB1722" s="231"/>
      <c r="BC1722" s="227"/>
      <c r="BD1722" s="227"/>
      <c r="BE1722" s="227"/>
      <c r="BF1722" s="227"/>
    </row>
    <row r="1723">
      <c r="A1723" s="235" t="s">
        <v>13560</v>
      </c>
      <c r="C1723" s="235" t="s">
        <v>13561</v>
      </c>
      <c r="D1723" s="235" t="s">
        <v>13562</v>
      </c>
      <c r="E1723" s="243">
        <v>6.55E13</v>
      </c>
      <c r="F1723" s="245"/>
      <c r="G1723" s="235" t="s">
        <v>13563</v>
      </c>
      <c r="H1723" s="235" t="s">
        <v>13564</v>
      </c>
      <c r="I1723" s="235" t="s">
        <v>13564</v>
      </c>
      <c r="J1723" s="235" t="s">
        <v>13565</v>
      </c>
      <c r="K1723" s="235" t="s">
        <v>13566</v>
      </c>
      <c r="N1723" s="235" t="s">
        <v>82</v>
      </c>
      <c r="O1723" s="235" t="s">
        <v>889</v>
      </c>
      <c r="P1723" s="238">
        <v>1.0</v>
      </c>
      <c r="Q1723" s="235" t="s">
        <v>627</v>
      </c>
      <c r="R1723" s="238">
        <v>242.86</v>
      </c>
      <c r="S1723" s="238">
        <v>12.14</v>
      </c>
      <c r="T1723" s="238">
        <v>0.0</v>
      </c>
      <c r="U1723" s="238">
        <v>0.0</v>
      </c>
      <c r="V1723" s="238">
        <v>0.0</v>
      </c>
      <c r="W1723" s="238">
        <v>0.0</v>
      </c>
      <c r="X1723" s="235" t="s">
        <v>628</v>
      </c>
      <c r="Z1723" s="244"/>
      <c r="AA1723" s="244"/>
      <c r="AB1723" s="244"/>
      <c r="AC1723" s="235" t="s">
        <v>10769</v>
      </c>
      <c r="AD1723" s="235" t="s">
        <v>845</v>
      </c>
      <c r="AE1723" s="238">
        <v>422011.0</v>
      </c>
      <c r="AF1723" s="235" t="s">
        <v>631</v>
      </c>
      <c r="AG1723" s="244"/>
      <c r="AH1723" s="244"/>
      <c r="AI1723" s="245"/>
      <c r="AJ1723" s="245"/>
      <c r="AK1723" s="245"/>
      <c r="AL1723" s="245"/>
      <c r="AM1723" s="244"/>
      <c r="AN1723" s="244"/>
      <c r="AO1723" s="238">
        <v>0.0</v>
      </c>
      <c r="AP1723" s="238">
        <v>0.0</v>
      </c>
      <c r="AQ1723" s="235" t="s">
        <v>632</v>
      </c>
      <c r="AR1723" s="243">
        <v>3.71E11</v>
      </c>
      <c r="AS1723" s="235" t="s">
        <v>12693</v>
      </c>
      <c r="AT1723" s="235" t="s">
        <v>17</v>
      </c>
      <c r="AU1723" s="235" t="s">
        <v>634</v>
      </c>
      <c r="AV1723" s="246" t="s">
        <v>635</v>
      </c>
      <c r="AW1723" s="242"/>
      <c r="AX1723" s="242"/>
      <c r="AY1723" s="231"/>
      <c r="AZ1723" s="231"/>
      <c r="BA1723" s="227"/>
      <c r="BB1723" s="231"/>
      <c r="BC1723" s="227"/>
      <c r="BD1723" s="227"/>
      <c r="BE1723" s="227"/>
      <c r="BF1723" s="227"/>
    </row>
    <row r="1724">
      <c r="A1724" s="235" t="s">
        <v>13567</v>
      </c>
      <c r="C1724" s="235" t="s">
        <v>13568</v>
      </c>
      <c r="D1724" s="235" t="s">
        <v>13569</v>
      </c>
      <c r="E1724" s="243">
        <v>6.55E13</v>
      </c>
      <c r="F1724" s="245"/>
      <c r="G1724" s="235" t="s">
        <v>13570</v>
      </c>
      <c r="H1724" s="235" t="s">
        <v>13571</v>
      </c>
      <c r="I1724" s="235" t="s">
        <v>13571</v>
      </c>
      <c r="J1724" s="235" t="s">
        <v>13572</v>
      </c>
      <c r="K1724" s="235" t="s">
        <v>13573</v>
      </c>
      <c r="N1724" s="235" t="s">
        <v>144</v>
      </c>
      <c r="O1724" s="235" t="s">
        <v>232</v>
      </c>
      <c r="P1724" s="238">
        <v>1.0</v>
      </c>
      <c r="Q1724" s="235" t="s">
        <v>627</v>
      </c>
      <c r="R1724" s="238">
        <v>665.71</v>
      </c>
      <c r="S1724" s="238">
        <v>33.29</v>
      </c>
      <c r="T1724" s="238">
        <v>0.0</v>
      </c>
      <c r="U1724" s="238">
        <v>0.0</v>
      </c>
      <c r="V1724" s="238">
        <v>0.0</v>
      </c>
      <c r="W1724" s="238">
        <v>0.0</v>
      </c>
      <c r="X1724" s="235" t="s">
        <v>628</v>
      </c>
      <c r="Z1724" s="244"/>
      <c r="AA1724" s="244"/>
      <c r="AB1724" s="244"/>
      <c r="AC1724" s="235" t="s">
        <v>13574</v>
      </c>
      <c r="AD1724" s="235" t="s">
        <v>2067</v>
      </c>
      <c r="AE1724" s="238">
        <v>835223.0</v>
      </c>
      <c r="AF1724" s="235" t="s">
        <v>631</v>
      </c>
      <c r="AG1724" s="244"/>
      <c r="AH1724" s="244"/>
      <c r="AI1724" s="245"/>
      <c r="AJ1724" s="245"/>
      <c r="AK1724" s="245"/>
      <c r="AL1724" s="245"/>
      <c r="AM1724" s="244"/>
      <c r="AN1724" s="244"/>
      <c r="AO1724" s="238">
        <v>0.0</v>
      </c>
      <c r="AP1724" s="238">
        <v>0.0</v>
      </c>
      <c r="AQ1724" s="235" t="s">
        <v>1328</v>
      </c>
      <c r="AR1724" s="243">
        <v>1.34E13</v>
      </c>
      <c r="AS1724" s="235" t="s">
        <v>3284</v>
      </c>
      <c r="AT1724" s="235" t="s">
        <v>14</v>
      </c>
      <c r="AU1724" s="235" t="s">
        <v>634</v>
      </c>
      <c r="AV1724" s="246" t="s">
        <v>635</v>
      </c>
      <c r="AW1724" s="242"/>
      <c r="AX1724" s="242"/>
      <c r="AY1724" s="231"/>
      <c r="AZ1724" s="231"/>
      <c r="BA1724" s="227"/>
      <c r="BB1724" s="231"/>
      <c r="BC1724" s="227"/>
      <c r="BD1724" s="227"/>
      <c r="BE1724" s="227"/>
      <c r="BF1724" s="227"/>
    </row>
    <row r="1725">
      <c r="A1725" s="235" t="s">
        <v>13575</v>
      </c>
      <c r="C1725" s="235" t="s">
        <v>13576</v>
      </c>
      <c r="D1725" s="235" t="s">
        <v>13577</v>
      </c>
      <c r="E1725" s="243">
        <v>6.55E13</v>
      </c>
      <c r="F1725" s="245"/>
      <c r="G1725" s="235" t="s">
        <v>13578</v>
      </c>
      <c r="H1725" s="235" t="s">
        <v>13579</v>
      </c>
      <c r="I1725" s="235" t="s">
        <v>13579</v>
      </c>
      <c r="J1725" s="235" t="s">
        <v>13580</v>
      </c>
      <c r="K1725" s="235" t="s">
        <v>13581</v>
      </c>
      <c r="N1725" s="235" t="s">
        <v>138</v>
      </c>
      <c r="O1725" s="235" t="s">
        <v>675</v>
      </c>
      <c r="P1725" s="238">
        <v>1.0</v>
      </c>
      <c r="Q1725" s="235" t="s">
        <v>627</v>
      </c>
      <c r="R1725" s="238">
        <v>246.66</v>
      </c>
      <c r="S1725" s="238">
        <v>12.34</v>
      </c>
      <c r="T1725" s="238">
        <v>0.0</v>
      </c>
      <c r="U1725" s="238">
        <v>0.0</v>
      </c>
      <c r="V1725" s="238">
        <v>0.0</v>
      </c>
      <c r="W1725" s="238">
        <v>0.0</v>
      </c>
      <c r="X1725" s="235" t="s">
        <v>628</v>
      </c>
      <c r="Z1725" s="244"/>
      <c r="AA1725" s="244"/>
      <c r="AB1725" s="244"/>
      <c r="AC1725" s="235" t="s">
        <v>13582</v>
      </c>
      <c r="AD1725" s="235" t="s">
        <v>679</v>
      </c>
      <c r="AE1725" s="238">
        <v>574142.0</v>
      </c>
      <c r="AF1725" s="235" t="s">
        <v>631</v>
      </c>
      <c r="AG1725" s="244"/>
      <c r="AH1725" s="244"/>
      <c r="AI1725" s="245"/>
      <c r="AJ1725" s="245"/>
      <c r="AK1725" s="245"/>
      <c r="AL1725" s="245"/>
      <c r="AM1725" s="244"/>
      <c r="AN1725" s="244"/>
      <c r="AO1725" s="238">
        <v>0.0</v>
      </c>
      <c r="AP1725" s="238">
        <v>0.0</v>
      </c>
      <c r="AQ1725" s="235" t="s">
        <v>632</v>
      </c>
      <c r="AR1725" s="243">
        <v>3.71E11</v>
      </c>
      <c r="AS1725" s="235" t="s">
        <v>11171</v>
      </c>
      <c r="AT1725" s="235" t="s">
        <v>11</v>
      </c>
      <c r="AU1725" s="235" t="s">
        <v>634</v>
      </c>
      <c r="AV1725" s="246" t="s">
        <v>635</v>
      </c>
      <c r="AW1725" s="242"/>
      <c r="AX1725" s="242"/>
      <c r="AY1725" s="231"/>
      <c r="AZ1725" s="231"/>
      <c r="BA1725" s="227"/>
      <c r="BB1725" s="231"/>
      <c r="BC1725" s="227"/>
      <c r="BD1725" s="227"/>
      <c r="BE1725" s="227"/>
      <c r="BF1725" s="227"/>
    </row>
    <row r="1726">
      <c r="A1726" s="235" t="s">
        <v>13583</v>
      </c>
      <c r="C1726" s="235" t="s">
        <v>13584</v>
      </c>
      <c r="D1726" s="235" t="s">
        <v>13585</v>
      </c>
      <c r="E1726" s="243">
        <v>6.55E13</v>
      </c>
      <c r="F1726" s="245"/>
      <c r="G1726" s="235" t="s">
        <v>13586</v>
      </c>
      <c r="H1726" s="235" t="s">
        <v>13587</v>
      </c>
      <c r="I1726" s="235" t="s">
        <v>13587</v>
      </c>
      <c r="J1726" s="235" t="s">
        <v>13588</v>
      </c>
      <c r="K1726" s="235" t="s">
        <v>13589</v>
      </c>
      <c r="N1726" s="235" t="s">
        <v>154</v>
      </c>
      <c r="O1726" s="235" t="s">
        <v>766</v>
      </c>
      <c r="P1726" s="238">
        <v>1.0</v>
      </c>
      <c r="Q1726" s="235" t="s">
        <v>627</v>
      </c>
      <c r="R1726" s="238">
        <v>465.72</v>
      </c>
      <c r="S1726" s="238">
        <v>23.28</v>
      </c>
      <c r="T1726" s="238">
        <v>0.0</v>
      </c>
      <c r="U1726" s="238">
        <v>0.0</v>
      </c>
      <c r="V1726" s="238">
        <v>0.0</v>
      </c>
      <c r="W1726" s="238">
        <v>0.0</v>
      </c>
      <c r="X1726" s="235" t="s">
        <v>628</v>
      </c>
      <c r="Z1726" s="244"/>
      <c r="AA1726" s="244"/>
      <c r="AB1726" s="244"/>
      <c r="AC1726" s="235" t="s">
        <v>1961</v>
      </c>
      <c r="AD1726" s="235" t="s">
        <v>845</v>
      </c>
      <c r="AE1726" s="238">
        <v>412101.0</v>
      </c>
      <c r="AF1726" s="235" t="s">
        <v>631</v>
      </c>
      <c r="AG1726" s="244"/>
      <c r="AH1726" s="244"/>
      <c r="AI1726" s="245"/>
      <c r="AJ1726" s="245"/>
      <c r="AK1726" s="245"/>
      <c r="AL1726" s="245"/>
      <c r="AM1726" s="244"/>
      <c r="AN1726" s="244"/>
      <c r="AO1726" s="238">
        <v>0.0</v>
      </c>
      <c r="AP1726" s="238">
        <v>0.0</v>
      </c>
      <c r="AQ1726" s="235" t="s">
        <v>632</v>
      </c>
      <c r="AR1726" s="243">
        <v>1.68E11</v>
      </c>
      <c r="AS1726" s="235" t="s">
        <v>13108</v>
      </c>
      <c r="AT1726" s="235" t="s">
        <v>546</v>
      </c>
      <c r="AU1726" s="235" t="s">
        <v>634</v>
      </c>
      <c r="AV1726" s="246" t="s">
        <v>635</v>
      </c>
      <c r="AW1726" s="242"/>
      <c r="AX1726" s="242"/>
      <c r="AY1726" s="231"/>
      <c r="AZ1726" s="231"/>
      <c r="BA1726" s="227"/>
      <c r="BB1726" s="231"/>
      <c r="BC1726" s="227"/>
      <c r="BD1726" s="227"/>
      <c r="BE1726" s="227"/>
      <c r="BF1726" s="227"/>
    </row>
    <row r="1727">
      <c r="A1727" s="235" t="s">
        <v>13590</v>
      </c>
      <c r="C1727" s="235" t="s">
        <v>13591</v>
      </c>
      <c r="D1727" s="235" t="s">
        <v>13592</v>
      </c>
      <c r="E1727" s="243">
        <v>6.54E13</v>
      </c>
      <c r="F1727" s="245"/>
      <c r="G1727" s="235" t="s">
        <v>13593</v>
      </c>
      <c r="H1727" s="235" t="s">
        <v>13594</v>
      </c>
      <c r="I1727" s="235" t="s">
        <v>13595</v>
      </c>
      <c r="J1727" s="235" t="s">
        <v>13596</v>
      </c>
      <c r="K1727" s="235" t="s">
        <v>13597</v>
      </c>
      <c r="N1727" s="235" t="s">
        <v>94</v>
      </c>
      <c r="O1727" s="235" t="s">
        <v>509</v>
      </c>
      <c r="P1727" s="238">
        <v>1.0</v>
      </c>
      <c r="Q1727" s="235" t="s">
        <v>627</v>
      </c>
      <c r="R1727" s="238">
        <v>246.67</v>
      </c>
      <c r="S1727" s="238">
        <v>12.33</v>
      </c>
      <c r="T1727" s="238">
        <v>0.0</v>
      </c>
      <c r="U1727" s="238">
        <v>0.0</v>
      </c>
      <c r="V1727" s="238">
        <v>0.0</v>
      </c>
      <c r="W1727" s="238">
        <v>0.0</v>
      </c>
      <c r="X1727" s="235" t="s">
        <v>628</v>
      </c>
      <c r="Z1727" s="244"/>
      <c r="AA1727" s="244"/>
      <c r="AB1727" s="244"/>
      <c r="AC1727" s="235" t="s">
        <v>13600</v>
      </c>
      <c r="AD1727" s="235" t="s">
        <v>917</v>
      </c>
      <c r="AE1727" s="238">
        <v>344033.0</v>
      </c>
      <c r="AF1727" s="235" t="s">
        <v>631</v>
      </c>
      <c r="AG1727" s="244"/>
      <c r="AH1727" s="244"/>
      <c r="AI1727" s="245"/>
      <c r="AJ1727" s="245"/>
      <c r="AK1727" s="245"/>
      <c r="AL1727" s="245"/>
      <c r="AM1727" s="244"/>
      <c r="AN1727" s="244"/>
      <c r="AO1727" s="238">
        <v>0.0</v>
      </c>
      <c r="AP1727" s="238">
        <v>0.0</v>
      </c>
      <c r="AQ1727" s="235" t="s">
        <v>1356</v>
      </c>
      <c r="AR1727" s="247" t="s">
        <v>13601</v>
      </c>
      <c r="AS1727" s="235" t="s">
        <v>4697</v>
      </c>
      <c r="AT1727" s="235" t="s">
        <v>14</v>
      </c>
      <c r="AU1727" s="235" t="s">
        <v>634</v>
      </c>
      <c r="AV1727" s="246" t="s">
        <v>635</v>
      </c>
      <c r="AW1727" s="242"/>
      <c r="AX1727" s="242"/>
      <c r="AY1727" s="231"/>
      <c r="AZ1727" s="231"/>
      <c r="BA1727" s="227"/>
      <c r="BB1727" s="231"/>
      <c r="BC1727" s="227"/>
      <c r="BD1727" s="227"/>
      <c r="BE1727" s="227"/>
      <c r="BF1727" s="227"/>
    </row>
    <row r="1728">
      <c r="A1728" s="235" t="s">
        <v>13602</v>
      </c>
      <c r="C1728" s="235" t="s">
        <v>13603</v>
      </c>
      <c r="D1728" s="235" t="s">
        <v>13604</v>
      </c>
      <c r="E1728" s="243">
        <v>6.55E13</v>
      </c>
      <c r="F1728" s="245"/>
      <c r="G1728" s="235" t="s">
        <v>13605</v>
      </c>
      <c r="H1728" s="235" t="s">
        <v>13606</v>
      </c>
      <c r="I1728" s="235" t="s">
        <v>13606</v>
      </c>
      <c r="J1728" s="235" t="s">
        <v>13607</v>
      </c>
      <c r="K1728" s="235" t="s">
        <v>13608</v>
      </c>
      <c r="N1728" s="235" t="s">
        <v>127</v>
      </c>
      <c r="O1728" s="235" t="s">
        <v>794</v>
      </c>
      <c r="P1728" s="238">
        <v>1.0</v>
      </c>
      <c r="Q1728" s="235" t="s">
        <v>627</v>
      </c>
      <c r="R1728" s="238">
        <v>246.67</v>
      </c>
      <c r="S1728" s="238">
        <v>12.33</v>
      </c>
      <c r="T1728" s="238">
        <v>0.0</v>
      </c>
      <c r="U1728" s="238">
        <v>0.0</v>
      </c>
      <c r="V1728" s="238">
        <v>0.0</v>
      </c>
      <c r="W1728" s="238">
        <v>0.0</v>
      </c>
      <c r="X1728" s="235" t="s">
        <v>628</v>
      </c>
      <c r="Z1728" s="244"/>
      <c r="AA1728" s="244"/>
      <c r="AB1728" s="244"/>
      <c r="AC1728" s="235" t="s">
        <v>697</v>
      </c>
      <c r="AD1728" s="235" t="s">
        <v>698</v>
      </c>
      <c r="AE1728" s="238">
        <v>500084.0</v>
      </c>
      <c r="AF1728" s="235" t="s">
        <v>631</v>
      </c>
      <c r="AG1728" s="244"/>
      <c r="AH1728" s="244"/>
      <c r="AI1728" s="245"/>
      <c r="AJ1728" s="245"/>
      <c r="AK1728" s="245"/>
      <c r="AL1728" s="245"/>
      <c r="AM1728" s="244"/>
      <c r="AN1728" s="244"/>
      <c r="AO1728" s="238">
        <v>0.0</v>
      </c>
      <c r="AP1728" s="238">
        <v>0.0</v>
      </c>
      <c r="AQ1728" s="235" t="s">
        <v>632</v>
      </c>
      <c r="AR1728" s="243">
        <v>2.02E11</v>
      </c>
      <c r="AS1728" s="235" t="s">
        <v>12693</v>
      </c>
      <c r="AT1728" s="235" t="s">
        <v>9</v>
      </c>
      <c r="AU1728" s="235" t="s">
        <v>634</v>
      </c>
      <c r="AV1728" s="246" t="s">
        <v>635</v>
      </c>
      <c r="AW1728" s="242"/>
      <c r="AX1728" s="242"/>
      <c r="AY1728" s="231"/>
      <c r="AZ1728" s="231"/>
      <c r="BA1728" s="227"/>
      <c r="BB1728" s="231"/>
      <c r="BC1728" s="227"/>
      <c r="BD1728" s="227"/>
      <c r="BE1728" s="227"/>
      <c r="BF1728" s="227"/>
    </row>
    <row r="1729">
      <c r="A1729" s="235" t="s">
        <v>13609</v>
      </c>
      <c r="C1729" s="235" t="s">
        <v>13610</v>
      </c>
      <c r="D1729" s="235" t="s">
        <v>13611</v>
      </c>
      <c r="E1729" s="243">
        <v>6.54E13</v>
      </c>
      <c r="F1729" s="245"/>
      <c r="G1729" s="235" t="s">
        <v>13612</v>
      </c>
      <c r="H1729" s="235" t="s">
        <v>13613</v>
      </c>
      <c r="I1729" s="235" t="s">
        <v>13613</v>
      </c>
      <c r="J1729" s="235" t="s">
        <v>13614</v>
      </c>
      <c r="K1729" s="235" t="s">
        <v>13615</v>
      </c>
      <c r="N1729" s="235" t="s">
        <v>154</v>
      </c>
      <c r="O1729" s="235" t="s">
        <v>766</v>
      </c>
      <c r="P1729" s="238">
        <v>1.0</v>
      </c>
      <c r="Q1729" s="235" t="s">
        <v>627</v>
      </c>
      <c r="R1729" s="238">
        <v>465.72</v>
      </c>
      <c r="S1729" s="238">
        <v>22.58</v>
      </c>
      <c r="T1729" s="238">
        <v>38.1</v>
      </c>
      <c r="U1729" s="238">
        <v>1.9</v>
      </c>
      <c r="V1729" s="238">
        <v>0.0</v>
      </c>
      <c r="W1729" s="238">
        <v>0.0</v>
      </c>
      <c r="X1729" s="235" t="s">
        <v>628</v>
      </c>
      <c r="Z1729" s="244"/>
      <c r="AA1729" s="244"/>
      <c r="AB1729" s="244"/>
      <c r="AC1729" s="235" t="s">
        <v>4294</v>
      </c>
      <c r="AD1729" s="235" t="s">
        <v>666</v>
      </c>
      <c r="AE1729" s="238">
        <v>641604.0</v>
      </c>
      <c r="AF1729" s="235" t="s">
        <v>631</v>
      </c>
      <c r="AG1729" s="244"/>
      <c r="AH1729" s="244"/>
      <c r="AI1729" s="245"/>
      <c r="AJ1729" s="245"/>
      <c r="AK1729" s="245"/>
      <c r="AL1729" s="245"/>
      <c r="AM1729" s="244"/>
      <c r="AN1729" s="244"/>
      <c r="AO1729" s="238">
        <v>-13.97</v>
      </c>
      <c r="AP1729" s="238">
        <v>-38.1</v>
      </c>
      <c r="AQ1729" s="235" t="s">
        <v>632</v>
      </c>
      <c r="AR1729" s="243">
        <v>3.71E11</v>
      </c>
      <c r="AS1729" s="235" t="s">
        <v>12693</v>
      </c>
      <c r="AT1729" s="235" t="s">
        <v>155</v>
      </c>
      <c r="AU1729" s="235" t="s">
        <v>634</v>
      </c>
      <c r="AV1729" s="246" t="s">
        <v>635</v>
      </c>
      <c r="AW1729" s="242"/>
      <c r="AX1729" s="242"/>
      <c r="AY1729" s="231"/>
      <c r="AZ1729" s="231"/>
      <c r="BA1729" s="227"/>
      <c r="BB1729" s="231"/>
      <c r="BC1729" s="227"/>
      <c r="BD1729" s="227"/>
      <c r="BE1729" s="227"/>
      <c r="BF1729" s="227"/>
    </row>
    <row r="1730">
      <c r="A1730" s="235" t="s">
        <v>13609</v>
      </c>
      <c r="C1730" s="235" t="s">
        <v>13610</v>
      </c>
      <c r="D1730" s="235" t="s">
        <v>13616</v>
      </c>
      <c r="E1730" s="243">
        <v>6.54E13</v>
      </c>
      <c r="F1730" s="245"/>
      <c r="G1730" s="235" t="s">
        <v>13612</v>
      </c>
      <c r="H1730" s="235" t="s">
        <v>13613</v>
      </c>
      <c r="I1730" s="235" t="s">
        <v>13613</v>
      </c>
      <c r="J1730" s="235" t="s">
        <v>13617</v>
      </c>
      <c r="K1730" s="235" t="s">
        <v>13615</v>
      </c>
      <c r="N1730" s="235" t="s">
        <v>154</v>
      </c>
      <c r="O1730" s="235" t="s">
        <v>766</v>
      </c>
      <c r="P1730" s="238">
        <v>1.0</v>
      </c>
      <c r="Q1730" s="235" t="s">
        <v>627</v>
      </c>
      <c r="R1730" s="238">
        <v>465.72</v>
      </c>
      <c r="S1730" s="238">
        <v>22.58</v>
      </c>
      <c r="T1730" s="238">
        <v>38.1</v>
      </c>
      <c r="U1730" s="238">
        <v>1.9</v>
      </c>
      <c r="V1730" s="238">
        <v>0.0</v>
      </c>
      <c r="W1730" s="238">
        <v>0.0</v>
      </c>
      <c r="X1730" s="235" t="s">
        <v>628</v>
      </c>
      <c r="Z1730" s="244"/>
      <c r="AA1730" s="244"/>
      <c r="AB1730" s="244"/>
      <c r="AC1730" s="235" t="s">
        <v>4294</v>
      </c>
      <c r="AD1730" s="235" t="s">
        <v>666</v>
      </c>
      <c r="AE1730" s="238">
        <v>641604.0</v>
      </c>
      <c r="AF1730" s="235" t="s">
        <v>631</v>
      </c>
      <c r="AG1730" s="244"/>
      <c r="AH1730" s="244"/>
      <c r="AI1730" s="245"/>
      <c r="AJ1730" s="245"/>
      <c r="AK1730" s="245"/>
      <c r="AL1730" s="245"/>
      <c r="AM1730" s="244"/>
      <c r="AN1730" s="244"/>
      <c r="AO1730" s="238">
        <v>-13.97</v>
      </c>
      <c r="AP1730" s="238">
        <v>-38.1</v>
      </c>
      <c r="AQ1730" s="235" t="s">
        <v>632</v>
      </c>
      <c r="AR1730" s="243">
        <v>3.71E11</v>
      </c>
      <c r="AS1730" s="235" t="s">
        <v>12693</v>
      </c>
      <c r="AT1730" s="235" t="s">
        <v>155</v>
      </c>
      <c r="AU1730" s="235" t="s">
        <v>634</v>
      </c>
      <c r="AV1730" s="246" t="s">
        <v>635</v>
      </c>
      <c r="AW1730" s="242"/>
      <c r="AX1730" s="242"/>
      <c r="AY1730" s="231"/>
      <c r="AZ1730" s="231"/>
      <c r="BA1730" s="227"/>
      <c r="BB1730" s="231"/>
      <c r="BC1730" s="227"/>
      <c r="BD1730" s="227"/>
      <c r="BE1730" s="227"/>
      <c r="BF1730" s="227"/>
    </row>
    <row r="1731">
      <c r="A1731" s="235" t="s">
        <v>13618</v>
      </c>
      <c r="C1731" s="235" t="s">
        <v>13619</v>
      </c>
      <c r="D1731" s="235" t="s">
        <v>13620</v>
      </c>
      <c r="E1731" s="243">
        <v>6.54E13</v>
      </c>
      <c r="F1731" s="245"/>
      <c r="G1731" s="235" t="s">
        <v>13621</v>
      </c>
      <c r="H1731" s="235" t="s">
        <v>13622</v>
      </c>
      <c r="I1731" s="235" t="s">
        <v>13622</v>
      </c>
      <c r="J1731" s="235" t="s">
        <v>13623</v>
      </c>
      <c r="K1731" s="235" t="s">
        <v>13624</v>
      </c>
      <c r="N1731" s="235" t="s">
        <v>82</v>
      </c>
      <c r="O1731" s="235" t="s">
        <v>889</v>
      </c>
      <c r="P1731" s="238">
        <v>1.0</v>
      </c>
      <c r="Q1731" s="235" t="s">
        <v>627</v>
      </c>
      <c r="R1731" s="238">
        <v>246.67</v>
      </c>
      <c r="S1731" s="238">
        <v>12.08</v>
      </c>
      <c r="T1731" s="238">
        <v>0.0</v>
      </c>
      <c r="U1731" s="238">
        <v>0.0</v>
      </c>
      <c r="V1731" s="238">
        <v>0.0</v>
      </c>
      <c r="W1731" s="238">
        <v>0.0</v>
      </c>
      <c r="X1731" s="235" t="s">
        <v>628</v>
      </c>
      <c r="Z1731" s="244"/>
      <c r="AA1731" s="244"/>
      <c r="AB1731" s="244"/>
      <c r="AC1731" s="235" t="s">
        <v>11214</v>
      </c>
      <c r="AD1731" s="235" t="s">
        <v>666</v>
      </c>
      <c r="AE1731" s="238">
        <v>638402.0</v>
      </c>
      <c r="AF1731" s="235" t="s">
        <v>631</v>
      </c>
      <c r="AG1731" s="244"/>
      <c r="AH1731" s="244"/>
      <c r="AI1731" s="245"/>
      <c r="AJ1731" s="245"/>
      <c r="AK1731" s="245"/>
      <c r="AL1731" s="245"/>
      <c r="AM1731" s="244"/>
      <c r="AN1731" s="244"/>
      <c r="AO1731" s="238">
        <v>-4.93</v>
      </c>
      <c r="AP1731" s="238">
        <v>0.0</v>
      </c>
      <c r="AQ1731" s="235" t="s">
        <v>632</v>
      </c>
      <c r="AR1731" s="243">
        <v>3.71E11</v>
      </c>
      <c r="AS1731" s="235" t="s">
        <v>10017</v>
      </c>
      <c r="AT1731" s="235" t="s">
        <v>11</v>
      </c>
      <c r="AU1731" s="235" t="s">
        <v>634</v>
      </c>
      <c r="AV1731" s="246" t="s">
        <v>635</v>
      </c>
      <c r="AW1731" s="242"/>
      <c r="AX1731" s="242"/>
      <c r="AY1731" s="231"/>
      <c r="AZ1731" s="231"/>
      <c r="BA1731" s="227"/>
      <c r="BB1731" s="231"/>
      <c r="BC1731" s="227"/>
      <c r="BD1731" s="227"/>
      <c r="BE1731" s="227"/>
      <c r="BF1731" s="227"/>
    </row>
    <row r="1732">
      <c r="A1732" s="235" t="s">
        <v>13625</v>
      </c>
      <c r="C1732" s="235" t="s">
        <v>13626</v>
      </c>
      <c r="D1732" s="235" t="s">
        <v>13627</v>
      </c>
      <c r="E1732" s="243">
        <v>6.54E13</v>
      </c>
      <c r="F1732" s="245"/>
      <c r="G1732" s="235" t="s">
        <v>13628</v>
      </c>
      <c r="H1732" s="235" t="s">
        <v>13629</v>
      </c>
      <c r="I1732" s="235" t="s">
        <v>13629</v>
      </c>
      <c r="J1732" s="235" t="s">
        <v>13630</v>
      </c>
      <c r="K1732" s="235" t="s">
        <v>13631</v>
      </c>
      <c r="N1732" s="235" t="s">
        <v>51</v>
      </c>
      <c r="O1732" s="235" t="s">
        <v>273</v>
      </c>
      <c r="P1732" s="238">
        <v>1.0</v>
      </c>
      <c r="Q1732" s="235" t="s">
        <v>627</v>
      </c>
      <c r="R1732" s="238">
        <v>237.14</v>
      </c>
      <c r="S1732" s="238">
        <v>11.86</v>
      </c>
      <c r="T1732" s="238">
        <v>38.1</v>
      </c>
      <c r="U1732" s="238">
        <v>1.9</v>
      </c>
      <c r="V1732" s="238">
        <v>0.0</v>
      </c>
      <c r="W1732" s="238">
        <v>0.0</v>
      </c>
      <c r="X1732" s="235" t="s">
        <v>628</v>
      </c>
      <c r="Z1732" s="244"/>
      <c r="AA1732" s="244"/>
      <c r="AB1732" s="244"/>
      <c r="AC1732" s="235" t="s">
        <v>1920</v>
      </c>
      <c r="AD1732" s="235" t="s">
        <v>833</v>
      </c>
      <c r="AE1732" s="238">
        <v>522004.0</v>
      </c>
      <c r="AF1732" s="235" t="s">
        <v>631</v>
      </c>
      <c r="AG1732" s="244"/>
      <c r="AH1732" s="244"/>
      <c r="AI1732" s="245"/>
      <c r="AJ1732" s="245"/>
      <c r="AK1732" s="245"/>
      <c r="AL1732" s="245"/>
      <c r="AM1732" s="244"/>
      <c r="AN1732" s="244"/>
      <c r="AO1732" s="238">
        <v>0.0</v>
      </c>
      <c r="AP1732" s="238">
        <v>-38.1</v>
      </c>
      <c r="AQ1732" s="235" t="s">
        <v>632</v>
      </c>
      <c r="AR1732" s="243">
        <v>3.71E11</v>
      </c>
      <c r="AS1732" s="235" t="s">
        <v>6164</v>
      </c>
      <c r="AT1732" s="235" t="s">
        <v>14</v>
      </c>
      <c r="AU1732" s="235" t="s">
        <v>634</v>
      </c>
      <c r="AV1732" s="246" t="s">
        <v>635</v>
      </c>
      <c r="AW1732" s="242"/>
      <c r="AX1732" s="242"/>
      <c r="AY1732" s="231"/>
      <c r="AZ1732" s="231"/>
      <c r="BA1732" s="227"/>
      <c r="BB1732" s="231"/>
      <c r="BC1732" s="227"/>
      <c r="BD1732" s="227"/>
      <c r="BE1732" s="227"/>
      <c r="BF1732" s="227"/>
    </row>
    <row r="1733">
      <c r="A1733" s="235" t="s">
        <v>13632</v>
      </c>
      <c r="C1733" s="235" t="s">
        <v>13633</v>
      </c>
      <c r="D1733" s="235" t="s">
        <v>13634</v>
      </c>
      <c r="E1733" s="243">
        <v>6.55E13</v>
      </c>
      <c r="F1733" s="245"/>
      <c r="G1733" s="235" t="s">
        <v>13635</v>
      </c>
      <c r="H1733" s="235" t="s">
        <v>13636</v>
      </c>
      <c r="I1733" s="235" t="s">
        <v>13637</v>
      </c>
      <c r="J1733" s="235" t="s">
        <v>13638</v>
      </c>
      <c r="K1733" s="235" t="s">
        <v>13639</v>
      </c>
      <c r="N1733" s="235" t="s">
        <v>92</v>
      </c>
      <c r="O1733" s="235" t="s">
        <v>248</v>
      </c>
      <c r="P1733" s="238">
        <v>1.0</v>
      </c>
      <c r="Q1733" s="235" t="s">
        <v>627</v>
      </c>
      <c r="R1733" s="238">
        <v>246.66</v>
      </c>
      <c r="S1733" s="238">
        <v>12.34</v>
      </c>
      <c r="T1733" s="238">
        <v>0.0</v>
      </c>
      <c r="U1733" s="238">
        <v>0.0</v>
      </c>
      <c r="V1733" s="238">
        <v>0.0</v>
      </c>
      <c r="W1733" s="238">
        <v>0.0</v>
      </c>
      <c r="X1733" s="235" t="s">
        <v>628</v>
      </c>
      <c r="Z1733" s="244"/>
      <c r="AA1733" s="244"/>
      <c r="AB1733" s="244"/>
      <c r="AC1733" s="235" t="s">
        <v>844</v>
      </c>
      <c r="AD1733" s="235" t="s">
        <v>845</v>
      </c>
      <c r="AE1733" s="238">
        <v>411001.0</v>
      </c>
      <c r="AF1733" s="235" t="s">
        <v>631</v>
      </c>
      <c r="AG1733" s="244"/>
      <c r="AH1733" s="244"/>
      <c r="AI1733" s="245"/>
      <c r="AJ1733" s="245"/>
      <c r="AK1733" s="245"/>
      <c r="AL1733" s="245"/>
      <c r="AM1733" s="244"/>
      <c r="AN1733" s="244"/>
      <c r="AO1733" s="238">
        <v>0.0</v>
      </c>
      <c r="AP1733" s="238">
        <v>0.0</v>
      </c>
      <c r="AQ1733" s="235" t="s">
        <v>632</v>
      </c>
      <c r="AR1733" s="243">
        <v>3.71E11</v>
      </c>
      <c r="AS1733" s="235" t="s">
        <v>12693</v>
      </c>
      <c r="AT1733" s="235" t="s">
        <v>546</v>
      </c>
      <c r="AU1733" s="235" t="s">
        <v>634</v>
      </c>
      <c r="AV1733" s="246" t="s">
        <v>635</v>
      </c>
      <c r="AW1733" s="242"/>
      <c r="AX1733" s="242"/>
      <c r="AY1733" s="231"/>
      <c r="AZ1733" s="231"/>
      <c r="BA1733" s="227"/>
      <c r="BB1733" s="231"/>
      <c r="BC1733" s="227"/>
      <c r="BD1733" s="227"/>
      <c r="BE1733" s="227"/>
      <c r="BF1733" s="227"/>
    </row>
    <row r="1734">
      <c r="A1734" s="235" t="s">
        <v>13640</v>
      </c>
      <c r="C1734" s="235" t="s">
        <v>13641</v>
      </c>
      <c r="D1734" s="235" t="s">
        <v>13642</v>
      </c>
      <c r="E1734" s="243">
        <v>6.54E13</v>
      </c>
      <c r="F1734" s="245"/>
      <c r="G1734" s="235" t="s">
        <v>13643</v>
      </c>
      <c r="H1734" s="235" t="s">
        <v>13644</v>
      </c>
      <c r="I1734" s="235" t="s">
        <v>13644</v>
      </c>
      <c r="J1734" s="235" t="s">
        <v>13645</v>
      </c>
      <c r="K1734" s="235" t="s">
        <v>13646</v>
      </c>
      <c r="N1734" s="235" t="s">
        <v>2706</v>
      </c>
      <c r="O1734" s="235" t="s">
        <v>2707</v>
      </c>
      <c r="P1734" s="238">
        <v>1.0</v>
      </c>
      <c r="Q1734" s="235" t="s">
        <v>627</v>
      </c>
      <c r="R1734" s="238">
        <v>761.86</v>
      </c>
      <c r="S1734" s="238">
        <v>137.14</v>
      </c>
      <c r="T1734" s="238">
        <v>33.9</v>
      </c>
      <c r="U1734" s="238">
        <v>6.1</v>
      </c>
      <c r="V1734" s="238">
        <v>0.0</v>
      </c>
      <c r="W1734" s="238">
        <v>0.0</v>
      </c>
      <c r="X1734" s="235" t="s">
        <v>628</v>
      </c>
      <c r="Z1734" s="244"/>
      <c r="AA1734" s="244"/>
      <c r="AB1734" s="244"/>
      <c r="AC1734" s="235" t="s">
        <v>1058</v>
      </c>
      <c r="AD1734" s="235" t="s">
        <v>845</v>
      </c>
      <c r="AE1734" s="238">
        <v>400099.0</v>
      </c>
      <c r="AF1734" s="235" t="s">
        <v>631</v>
      </c>
      <c r="AG1734" s="244"/>
      <c r="AH1734" s="244"/>
      <c r="AI1734" s="245"/>
      <c r="AJ1734" s="245"/>
      <c r="AK1734" s="245"/>
      <c r="AL1734" s="245"/>
      <c r="AM1734" s="244"/>
      <c r="AN1734" s="244"/>
      <c r="AO1734" s="238">
        <v>0.0</v>
      </c>
      <c r="AP1734" s="238">
        <v>-33.9</v>
      </c>
      <c r="AQ1734" s="235" t="s">
        <v>632</v>
      </c>
      <c r="AR1734" s="243">
        <v>3.71E11</v>
      </c>
      <c r="AS1734" s="235" t="s">
        <v>8807</v>
      </c>
      <c r="AT1734" s="235" t="s">
        <v>533</v>
      </c>
      <c r="AU1734" s="235" t="s">
        <v>634</v>
      </c>
      <c r="AV1734" s="246" t="s">
        <v>635</v>
      </c>
      <c r="AW1734" s="242"/>
      <c r="AX1734" s="242"/>
      <c r="AY1734" s="231"/>
      <c r="AZ1734" s="231"/>
      <c r="BA1734" s="227"/>
      <c r="BB1734" s="231"/>
      <c r="BC1734" s="227"/>
      <c r="BD1734" s="227"/>
      <c r="BE1734" s="227"/>
      <c r="BF1734" s="227"/>
    </row>
    <row r="1735">
      <c r="A1735" s="235" t="s">
        <v>13647</v>
      </c>
      <c r="C1735" s="235" t="s">
        <v>13648</v>
      </c>
      <c r="D1735" s="235" t="s">
        <v>13649</v>
      </c>
      <c r="E1735" s="243">
        <v>6.55E13</v>
      </c>
      <c r="F1735" s="245"/>
      <c r="G1735" s="235" t="s">
        <v>13650</v>
      </c>
      <c r="H1735" s="235" t="s">
        <v>13651</v>
      </c>
      <c r="I1735" s="235" t="s">
        <v>13651</v>
      </c>
      <c r="J1735" s="235" t="s">
        <v>13652</v>
      </c>
      <c r="K1735" s="235" t="s">
        <v>13653</v>
      </c>
      <c r="N1735" s="235" t="s">
        <v>90</v>
      </c>
      <c r="O1735" s="235" t="s">
        <v>279</v>
      </c>
      <c r="P1735" s="238">
        <v>1.0</v>
      </c>
      <c r="Q1735" s="235" t="s">
        <v>627</v>
      </c>
      <c r="R1735" s="238">
        <v>246.66</v>
      </c>
      <c r="S1735" s="238">
        <v>12.34</v>
      </c>
      <c r="T1735" s="238">
        <v>0.0</v>
      </c>
      <c r="U1735" s="238">
        <v>0.0</v>
      </c>
      <c r="V1735" s="238">
        <v>0.0</v>
      </c>
      <c r="W1735" s="238">
        <v>0.0</v>
      </c>
      <c r="X1735" s="235" t="s">
        <v>628</v>
      </c>
      <c r="Z1735" s="244"/>
      <c r="AA1735" s="244"/>
      <c r="AB1735" s="244"/>
      <c r="AC1735" s="235" t="s">
        <v>13654</v>
      </c>
      <c r="AD1735" s="235" t="s">
        <v>928</v>
      </c>
      <c r="AE1735" s="238">
        <v>132116.0</v>
      </c>
      <c r="AF1735" s="235" t="s">
        <v>631</v>
      </c>
      <c r="AG1735" s="244"/>
      <c r="AH1735" s="244"/>
      <c r="AI1735" s="245"/>
      <c r="AJ1735" s="245"/>
      <c r="AK1735" s="245"/>
      <c r="AL1735" s="245"/>
      <c r="AM1735" s="244"/>
      <c r="AN1735" s="244"/>
      <c r="AO1735" s="238">
        <v>0.0</v>
      </c>
      <c r="AP1735" s="238">
        <v>0.0</v>
      </c>
      <c r="AQ1735" s="235" t="s">
        <v>632</v>
      </c>
      <c r="AR1735" s="243">
        <v>1.68E11</v>
      </c>
      <c r="AS1735" s="235" t="s">
        <v>12693</v>
      </c>
      <c r="AT1735" s="235" t="s">
        <v>14</v>
      </c>
      <c r="AU1735" s="235" t="s">
        <v>634</v>
      </c>
      <c r="AV1735" s="246" t="s">
        <v>635</v>
      </c>
      <c r="AW1735" s="242"/>
      <c r="AX1735" s="242"/>
      <c r="AY1735" s="231"/>
      <c r="AZ1735" s="231"/>
      <c r="BA1735" s="227"/>
      <c r="BB1735" s="231"/>
      <c r="BC1735" s="227"/>
      <c r="BD1735" s="227"/>
      <c r="BE1735" s="227"/>
      <c r="BF1735" s="227"/>
    </row>
    <row r="1736">
      <c r="A1736" s="235" t="s">
        <v>13655</v>
      </c>
      <c r="C1736" s="235" t="s">
        <v>13656</v>
      </c>
      <c r="D1736" s="235" t="s">
        <v>13657</v>
      </c>
      <c r="E1736" s="243">
        <v>6.55E13</v>
      </c>
      <c r="F1736" s="245"/>
      <c r="G1736" s="235" t="s">
        <v>13658</v>
      </c>
      <c r="H1736" s="235" t="s">
        <v>13659</v>
      </c>
      <c r="I1736" s="235" t="s">
        <v>13660</v>
      </c>
      <c r="J1736" s="235" t="s">
        <v>13661</v>
      </c>
      <c r="K1736" s="235" t="s">
        <v>13662</v>
      </c>
      <c r="N1736" s="235" t="s">
        <v>104</v>
      </c>
      <c r="O1736" s="235" t="s">
        <v>401</v>
      </c>
      <c r="P1736" s="238">
        <v>1.0</v>
      </c>
      <c r="Q1736" s="235" t="s">
        <v>627</v>
      </c>
      <c r="R1736" s="238">
        <v>246.67</v>
      </c>
      <c r="S1736" s="238">
        <v>12.33</v>
      </c>
      <c r="T1736" s="238">
        <v>38.1</v>
      </c>
      <c r="U1736" s="238">
        <v>1.9</v>
      </c>
      <c r="V1736" s="238">
        <v>0.0</v>
      </c>
      <c r="W1736" s="238">
        <v>0.0</v>
      </c>
      <c r="X1736" s="235" t="s">
        <v>628</v>
      </c>
      <c r="Z1736" s="244"/>
      <c r="AA1736" s="244"/>
      <c r="AB1736" s="244"/>
      <c r="AC1736" s="235" t="s">
        <v>13663</v>
      </c>
      <c r="AD1736" s="235" t="s">
        <v>11362</v>
      </c>
      <c r="AE1736" s="238">
        <v>741404.0</v>
      </c>
      <c r="AF1736" s="235" t="s">
        <v>631</v>
      </c>
      <c r="AG1736" s="244"/>
      <c r="AH1736" s="244"/>
      <c r="AI1736" s="245"/>
      <c r="AJ1736" s="245"/>
      <c r="AK1736" s="245"/>
      <c r="AL1736" s="245"/>
      <c r="AM1736" s="244"/>
      <c r="AN1736" s="244"/>
      <c r="AO1736" s="238">
        <v>0.0</v>
      </c>
      <c r="AP1736" s="238">
        <v>-38.1</v>
      </c>
      <c r="AQ1736" s="235" t="s">
        <v>632</v>
      </c>
      <c r="AR1736" s="243">
        <v>3.71E11</v>
      </c>
      <c r="AS1736" s="235" t="s">
        <v>8807</v>
      </c>
      <c r="AT1736" s="235" t="s">
        <v>13</v>
      </c>
      <c r="AU1736" s="235" t="s">
        <v>634</v>
      </c>
      <c r="AV1736" s="246" t="s">
        <v>635</v>
      </c>
      <c r="AW1736" s="242"/>
      <c r="AX1736" s="242"/>
      <c r="AY1736" s="231"/>
      <c r="AZ1736" s="231"/>
      <c r="BA1736" s="227"/>
      <c r="BB1736" s="231"/>
      <c r="BC1736" s="227"/>
      <c r="BD1736" s="227"/>
      <c r="BE1736" s="227"/>
      <c r="BF1736" s="227"/>
    </row>
    <row r="1737">
      <c r="A1737" s="235" t="s">
        <v>13664</v>
      </c>
      <c r="C1737" s="235" t="s">
        <v>13665</v>
      </c>
      <c r="D1737" s="235" t="s">
        <v>13666</v>
      </c>
      <c r="E1737" s="243">
        <v>6.54E13</v>
      </c>
      <c r="F1737" s="245"/>
      <c r="G1737" s="235" t="s">
        <v>13667</v>
      </c>
      <c r="H1737" s="235" t="s">
        <v>13668</v>
      </c>
      <c r="I1737" s="235" t="s">
        <v>13668</v>
      </c>
      <c r="J1737" s="235" t="s">
        <v>13669</v>
      </c>
      <c r="K1737" s="235" t="s">
        <v>13670</v>
      </c>
      <c r="N1737" s="235" t="s">
        <v>92</v>
      </c>
      <c r="O1737" s="235" t="s">
        <v>248</v>
      </c>
      <c r="P1737" s="238">
        <v>1.0</v>
      </c>
      <c r="Q1737" s="235" t="s">
        <v>627</v>
      </c>
      <c r="R1737" s="238">
        <v>246.67</v>
      </c>
      <c r="S1737" s="238">
        <v>12.33</v>
      </c>
      <c r="T1737" s="238">
        <v>38.1</v>
      </c>
      <c r="U1737" s="238">
        <v>1.9</v>
      </c>
      <c r="V1737" s="238">
        <v>0.0</v>
      </c>
      <c r="W1737" s="238">
        <v>0.0</v>
      </c>
      <c r="X1737" s="235" t="s">
        <v>628</v>
      </c>
      <c r="Z1737" s="244"/>
      <c r="AA1737" s="244"/>
      <c r="AB1737" s="244"/>
      <c r="AC1737" s="235" t="s">
        <v>2905</v>
      </c>
      <c r="AD1737" s="235" t="s">
        <v>908</v>
      </c>
      <c r="AE1737" s="238">
        <v>249404.0</v>
      </c>
      <c r="AF1737" s="235" t="s">
        <v>631</v>
      </c>
      <c r="AG1737" s="244"/>
      <c r="AH1737" s="244"/>
      <c r="AI1737" s="245"/>
      <c r="AJ1737" s="245"/>
      <c r="AK1737" s="245"/>
      <c r="AL1737" s="245"/>
      <c r="AM1737" s="244"/>
      <c r="AN1737" s="244"/>
      <c r="AO1737" s="238">
        <v>0.0</v>
      </c>
      <c r="AP1737" s="238">
        <v>-38.1</v>
      </c>
      <c r="AQ1737" s="235" t="s">
        <v>632</v>
      </c>
      <c r="AR1737" s="243">
        <v>3.71E11</v>
      </c>
      <c r="AS1737" s="235" t="s">
        <v>11171</v>
      </c>
      <c r="AT1737" s="235" t="s">
        <v>533</v>
      </c>
      <c r="AU1737" s="235" t="s">
        <v>634</v>
      </c>
      <c r="AV1737" s="246" t="s">
        <v>635</v>
      </c>
      <c r="AW1737" s="242"/>
      <c r="AX1737" s="242"/>
      <c r="AY1737" s="231"/>
      <c r="AZ1737" s="231"/>
      <c r="BA1737" s="227"/>
      <c r="BB1737" s="231"/>
      <c r="BC1737" s="227"/>
      <c r="BD1737" s="227"/>
      <c r="BE1737" s="227"/>
      <c r="BF1737" s="227"/>
    </row>
    <row r="1738">
      <c r="A1738" s="235" t="s">
        <v>13671</v>
      </c>
      <c r="C1738" s="235" t="s">
        <v>13672</v>
      </c>
      <c r="D1738" s="235" t="s">
        <v>13673</v>
      </c>
      <c r="E1738" s="243">
        <v>6.55E13</v>
      </c>
      <c r="F1738" s="245"/>
      <c r="G1738" s="235" t="s">
        <v>13674</v>
      </c>
      <c r="H1738" s="235" t="s">
        <v>13675</v>
      </c>
      <c r="I1738" s="235" t="s">
        <v>13675</v>
      </c>
      <c r="J1738" s="235" t="s">
        <v>13676</v>
      </c>
      <c r="K1738" s="235" t="s">
        <v>13677</v>
      </c>
      <c r="N1738" s="235" t="s">
        <v>92</v>
      </c>
      <c r="O1738" s="235" t="s">
        <v>248</v>
      </c>
      <c r="P1738" s="238">
        <v>1.0</v>
      </c>
      <c r="Q1738" s="235" t="s">
        <v>627</v>
      </c>
      <c r="R1738" s="238">
        <v>246.67</v>
      </c>
      <c r="S1738" s="238">
        <v>12.33</v>
      </c>
      <c r="T1738" s="238">
        <v>0.0</v>
      </c>
      <c r="U1738" s="238">
        <v>0.0</v>
      </c>
      <c r="V1738" s="238">
        <v>0.0</v>
      </c>
      <c r="W1738" s="238">
        <v>0.0</v>
      </c>
      <c r="X1738" s="235" t="s">
        <v>628</v>
      </c>
      <c r="Z1738" s="244"/>
      <c r="AA1738" s="244"/>
      <c r="AB1738" s="244"/>
      <c r="AC1738" s="235" t="s">
        <v>1498</v>
      </c>
      <c r="AD1738" s="235" t="s">
        <v>1499</v>
      </c>
      <c r="AE1738" s="238">
        <v>456010.0</v>
      </c>
      <c r="AF1738" s="235" t="s">
        <v>631</v>
      </c>
      <c r="AG1738" s="244"/>
      <c r="AH1738" s="244"/>
      <c r="AI1738" s="245"/>
      <c r="AJ1738" s="245"/>
      <c r="AK1738" s="245"/>
      <c r="AL1738" s="245"/>
      <c r="AM1738" s="244"/>
      <c r="AN1738" s="244"/>
      <c r="AO1738" s="238">
        <v>0.0</v>
      </c>
      <c r="AP1738" s="238">
        <v>0.0</v>
      </c>
      <c r="AQ1738" s="235" t="s">
        <v>632</v>
      </c>
      <c r="AR1738" s="243">
        <v>3.71E11</v>
      </c>
      <c r="AS1738" s="235" t="s">
        <v>11171</v>
      </c>
      <c r="AT1738" s="235" t="s">
        <v>17</v>
      </c>
      <c r="AU1738" s="235" t="s">
        <v>634</v>
      </c>
      <c r="AV1738" s="246" t="s">
        <v>635</v>
      </c>
      <c r="AW1738" s="242"/>
      <c r="AX1738" s="242"/>
      <c r="AY1738" s="231"/>
      <c r="AZ1738" s="231"/>
      <c r="BA1738" s="227"/>
      <c r="BB1738" s="231"/>
      <c r="BC1738" s="227"/>
      <c r="BD1738" s="227"/>
      <c r="BE1738" s="227"/>
      <c r="BF1738" s="227"/>
    </row>
    <row r="1739">
      <c r="A1739" s="235" t="s">
        <v>13678</v>
      </c>
      <c r="C1739" s="235" t="s">
        <v>13679</v>
      </c>
      <c r="D1739" s="235" t="s">
        <v>13680</v>
      </c>
      <c r="E1739" s="243">
        <v>6.54E13</v>
      </c>
      <c r="F1739" s="245"/>
      <c r="G1739" s="235" t="s">
        <v>13681</v>
      </c>
      <c r="H1739" s="235" t="s">
        <v>13682</v>
      </c>
      <c r="I1739" s="235" t="s">
        <v>13682</v>
      </c>
      <c r="J1739" s="235" t="s">
        <v>13683</v>
      </c>
      <c r="K1739" s="235" t="s">
        <v>13684</v>
      </c>
      <c r="N1739" s="235" t="s">
        <v>144</v>
      </c>
      <c r="O1739" s="235" t="s">
        <v>232</v>
      </c>
      <c r="P1739" s="238">
        <v>1.0</v>
      </c>
      <c r="Q1739" s="235" t="s">
        <v>627</v>
      </c>
      <c r="R1739" s="238">
        <v>665.72</v>
      </c>
      <c r="S1739" s="238">
        <v>33.28</v>
      </c>
      <c r="T1739" s="238">
        <v>0.0</v>
      </c>
      <c r="U1739" s="238">
        <v>0.0</v>
      </c>
      <c r="V1739" s="238">
        <v>0.0</v>
      </c>
      <c r="W1739" s="238">
        <v>0.0</v>
      </c>
      <c r="X1739" s="235" t="s">
        <v>628</v>
      </c>
      <c r="Z1739" s="244"/>
      <c r="AA1739" s="244"/>
      <c r="AB1739" s="244"/>
      <c r="AC1739" s="235" t="s">
        <v>844</v>
      </c>
      <c r="AD1739" s="235" t="s">
        <v>845</v>
      </c>
      <c r="AE1739" s="238">
        <v>411057.0</v>
      </c>
      <c r="AF1739" s="235" t="s">
        <v>631</v>
      </c>
      <c r="AG1739" s="244"/>
      <c r="AH1739" s="244"/>
      <c r="AI1739" s="245"/>
      <c r="AJ1739" s="245"/>
      <c r="AK1739" s="245"/>
      <c r="AL1739" s="245"/>
      <c r="AM1739" s="244"/>
      <c r="AN1739" s="244"/>
      <c r="AO1739" s="238">
        <v>0.0</v>
      </c>
      <c r="AP1739" s="238">
        <v>0.0</v>
      </c>
      <c r="AQ1739" s="235" t="s">
        <v>632</v>
      </c>
      <c r="AR1739" s="243">
        <v>1.68E11</v>
      </c>
      <c r="AS1739" s="235" t="s">
        <v>13108</v>
      </c>
      <c r="AT1739" s="235" t="s">
        <v>546</v>
      </c>
      <c r="AU1739" s="235" t="s">
        <v>634</v>
      </c>
      <c r="AV1739" s="246" t="s">
        <v>635</v>
      </c>
      <c r="AW1739" s="242"/>
      <c r="AX1739" s="242"/>
      <c r="AY1739" s="231"/>
      <c r="AZ1739" s="231"/>
      <c r="BA1739" s="227"/>
      <c r="BB1739" s="231"/>
      <c r="BC1739" s="227"/>
      <c r="BD1739" s="227"/>
      <c r="BE1739" s="227"/>
      <c r="BF1739" s="227"/>
    </row>
    <row r="1740">
      <c r="A1740" s="235" t="s">
        <v>13685</v>
      </c>
      <c r="C1740" s="235" t="s">
        <v>13686</v>
      </c>
      <c r="D1740" s="235" t="s">
        <v>13687</v>
      </c>
      <c r="E1740" s="243">
        <v>6.54E13</v>
      </c>
      <c r="F1740" s="245"/>
      <c r="G1740" s="235" t="s">
        <v>13688</v>
      </c>
      <c r="H1740" s="235" t="s">
        <v>13689</v>
      </c>
      <c r="I1740" s="235" t="s">
        <v>13689</v>
      </c>
      <c r="J1740" s="235" t="s">
        <v>13690</v>
      </c>
      <c r="K1740" s="235" t="s">
        <v>13691</v>
      </c>
      <c r="N1740" s="235" t="s">
        <v>726</v>
      </c>
      <c r="O1740" s="235" t="s">
        <v>727</v>
      </c>
      <c r="P1740" s="238">
        <v>1.0</v>
      </c>
      <c r="Q1740" s="235" t="s">
        <v>627</v>
      </c>
      <c r="R1740" s="238">
        <v>242.86</v>
      </c>
      <c r="S1740" s="238">
        <v>12.14</v>
      </c>
      <c r="T1740" s="238">
        <v>38.1</v>
      </c>
      <c r="U1740" s="238">
        <v>1.9</v>
      </c>
      <c r="V1740" s="238">
        <v>0.0</v>
      </c>
      <c r="W1740" s="238">
        <v>0.0</v>
      </c>
      <c r="X1740" s="235" t="s">
        <v>628</v>
      </c>
      <c r="Z1740" s="244"/>
      <c r="AA1740" s="244"/>
      <c r="AB1740" s="244"/>
      <c r="AC1740" s="235" t="s">
        <v>4294</v>
      </c>
      <c r="AD1740" s="235" t="s">
        <v>666</v>
      </c>
      <c r="AE1740" s="238">
        <v>641604.0</v>
      </c>
      <c r="AF1740" s="235" t="s">
        <v>631</v>
      </c>
      <c r="AG1740" s="244"/>
      <c r="AH1740" s="244"/>
      <c r="AI1740" s="245"/>
      <c r="AJ1740" s="245"/>
      <c r="AK1740" s="245"/>
      <c r="AL1740" s="245"/>
      <c r="AM1740" s="244"/>
      <c r="AN1740" s="244"/>
      <c r="AO1740" s="238">
        <v>0.0</v>
      </c>
      <c r="AP1740" s="238">
        <v>-38.1</v>
      </c>
      <c r="AQ1740" s="235" t="s">
        <v>632</v>
      </c>
      <c r="AR1740" s="243">
        <v>3.71E11</v>
      </c>
      <c r="AS1740" s="235" t="s">
        <v>12693</v>
      </c>
      <c r="AT1740" s="235" t="s">
        <v>155</v>
      </c>
      <c r="AU1740" s="235" t="s">
        <v>634</v>
      </c>
      <c r="AV1740" s="246" t="s">
        <v>635</v>
      </c>
      <c r="AW1740" s="242"/>
      <c r="AX1740" s="242"/>
      <c r="AY1740" s="231"/>
      <c r="AZ1740" s="231"/>
      <c r="BA1740" s="227"/>
      <c r="BB1740" s="231"/>
      <c r="BC1740" s="227"/>
      <c r="BD1740" s="227"/>
      <c r="BE1740" s="227"/>
      <c r="BF1740" s="227"/>
    </row>
    <row r="1741">
      <c r="A1741" s="235" t="s">
        <v>13692</v>
      </c>
      <c r="C1741" s="235" t="s">
        <v>13693</v>
      </c>
      <c r="D1741" s="235" t="s">
        <v>13694</v>
      </c>
      <c r="E1741" s="243">
        <v>6.55E13</v>
      </c>
      <c r="F1741" s="245"/>
      <c r="G1741" s="235" t="s">
        <v>13695</v>
      </c>
      <c r="H1741" s="235" t="s">
        <v>13696</v>
      </c>
      <c r="I1741" s="235" t="s">
        <v>13696</v>
      </c>
      <c r="J1741" s="235" t="s">
        <v>13697</v>
      </c>
      <c r="K1741" s="235" t="s">
        <v>13698</v>
      </c>
      <c r="N1741" s="235" t="s">
        <v>144</v>
      </c>
      <c r="O1741" s="235" t="s">
        <v>232</v>
      </c>
      <c r="P1741" s="238">
        <v>1.0</v>
      </c>
      <c r="Q1741" s="235" t="s">
        <v>627</v>
      </c>
      <c r="R1741" s="238">
        <v>665.72</v>
      </c>
      <c r="S1741" s="238">
        <v>32.62</v>
      </c>
      <c r="T1741" s="238">
        <v>0.0</v>
      </c>
      <c r="U1741" s="238">
        <v>0.0</v>
      </c>
      <c r="V1741" s="238">
        <v>0.0</v>
      </c>
      <c r="W1741" s="238">
        <v>0.0</v>
      </c>
      <c r="X1741" s="235" t="s">
        <v>628</v>
      </c>
      <c r="Z1741" s="244"/>
      <c r="AA1741" s="244"/>
      <c r="AB1741" s="244"/>
      <c r="AC1741" s="235" t="s">
        <v>1887</v>
      </c>
      <c r="AD1741" s="235" t="s">
        <v>679</v>
      </c>
      <c r="AE1741" s="238">
        <v>560045.0</v>
      </c>
      <c r="AF1741" s="235" t="s">
        <v>631</v>
      </c>
      <c r="AG1741" s="244"/>
      <c r="AH1741" s="244"/>
      <c r="AI1741" s="245"/>
      <c r="AJ1741" s="245"/>
      <c r="AK1741" s="245"/>
      <c r="AL1741" s="245"/>
      <c r="AM1741" s="244"/>
      <c r="AN1741" s="244"/>
      <c r="AO1741" s="238">
        <v>-13.32</v>
      </c>
      <c r="AP1741" s="238">
        <v>0.0</v>
      </c>
      <c r="AQ1741" s="235" t="s">
        <v>632</v>
      </c>
      <c r="AR1741" s="243">
        <v>1.68E11</v>
      </c>
      <c r="AS1741" s="235" t="s">
        <v>13108</v>
      </c>
      <c r="AT1741" s="235" t="s">
        <v>9</v>
      </c>
      <c r="AU1741" s="235" t="s">
        <v>634</v>
      </c>
      <c r="AV1741" s="246" t="s">
        <v>635</v>
      </c>
      <c r="AW1741" s="242"/>
      <c r="AX1741" s="242"/>
      <c r="AY1741" s="231"/>
      <c r="AZ1741" s="231"/>
      <c r="BA1741" s="227"/>
      <c r="BB1741" s="231"/>
      <c r="BC1741" s="227"/>
      <c r="BD1741" s="227"/>
      <c r="BE1741" s="227"/>
      <c r="BF1741" s="227"/>
    </row>
    <row r="1742">
      <c r="A1742" s="235" t="s">
        <v>13699</v>
      </c>
      <c r="C1742" s="235" t="s">
        <v>13700</v>
      </c>
      <c r="D1742" s="235" t="s">
        <v>13701</v>
      </c>
      <c r="E1742" s="243">
        <v>6.55E13</v>
      </c>
      <c r="F1742" s="245"/>
      <c r="G1742" s="235" t="s">
        <v>13702</v>
      </c>
      <c r="H1742" s="235" t="s">
        <v>13703</v>
      </c>
      <c r="I1742" s="235" t="s">
        <v>13703</v>
      </c>
      <c r="J1742" s="235" t="s">
        <v>13704</v>
      </c>
      <c r="K1742" s="235" t="s">
        <v>13705</v>
      </c>
      <c r="N1742" s="235" t="s">
        <v>126</v>
      </c>
      <c r="O1742" s="235" t="s">
        <v>407</v>
      </c>
      <c r="P1742" s="238">
        <v>1.0</v>
      </c>
      <c r="Q1742" s="235" t="s">
        <v>627</v>
      </c>
      <c r="R1742" s="238">
        <v>237.14</v>
      </c>
      <c r="S1742" s="238">
        <v>11.86</v>
      </c>
      <c r="T1742" s="238">
        <v>0.0</v>
      </c>
      <c r="U1742" s="238">
        <v>0.0</v>
      </c>
      <c r="V1742" s="238">
        <v>0.0</v>
      </c>
      <c r="W1742" s="238">
        <v>0.0</v>
      </c>
      <c r="X1742" s="235" t="s">
        <v>628</v>
      </c>
      <c r="Z1742" s="244"/>
      <c r="AA1742" s="244"/>
      <c r="AB1742" s="244"/>
      <c r="AC1742" s="235" t="s">
        <v>13706</v>
      </c>
      <c r="AD1742" s="235" t="s">
        <v>666</v>
      </c>
      <c r="AE1742" s="238">
        <v>641112.0</v>
      </c>
      <c r="AF1742" s="235" t="s">
        <v>631</v>
      </c>
      <c r="AG1742" s="244"/>
      <c r="AH1742" s="244"/>
      <c r="AI1742" s="245"/>
      <c r="AJ1742" s="245"/>
      <c r="AK1742" s="245"/>
      <c r="AL1742" s="245"/>
      <c r="AM1742" s="244"/>
      <c r="AN1742" s="244"/>
      <c r="AO1742" s="238">
        <v>0.0</v>
      </c>
      <c r="AP1742" s="238">
        <v>0.0</v>
      </c>
      <c r="AQ1742" s="235" t="s">
        <v>632</v>
      </c>
      <c r="AR1742" s="243">
        <v>3.71E11</v>
      </c>
      <c r="AS1742" s="235" t="s">
        <v>11171</v>
      </c>
      <c r="AT1742" s="235" t="s">
        <v>156</v>
      </c>
      <c r="AU1742" s="235" t="s">
        <v>634</v>
      </c>
      <c r="AV1742" s="246" t="s">
        <v>635</v>
      </c>
      <c r="AW1742" s="242"/>
      <c r="AX1742" s="242"/>
      <c r="AY1742" s="231"/>
      <c r="AZ1742" s="231"/>
      <c r="BA1742" s="227"/>
      <c r="BB1742" s="231"/>
      <c r="BC1742" s="227"/>
      <c r="BD1742" s="227"/>
      <c r="BE1742" s="227"/>
      <c r="BF1742" s="227"/>
    </row>
    <row r="1743">
      <c r="A1743" s="235" t="s">
        <v>13707</v>
      </c>
      <c r="C1743" s="235" t="s">
        <v>13708</v>
      </c>
      <c r="D1743" s="235" t="s">
        <v>13709</v>
      </c>
      <c r="E1743" s="243">
        <v>6.55E13</v>
      </c>
      <c r="F1743" s="245"/>
      <c r="G1743" s="235" t="s">
        <v>13710</v>
      </c>
      <c r="H1743" s="235" t="s">
        <v>13711</v>
      </c>
      <c r="I1743" s="235" t="s">
        <v>13711</v>
      </c>
      <c r="J1743" s="235" t="s">
        <v>13712</v>
      </c>
      <c r="K1743" s="235" t="s">
        <v>13713</v>
      </c>
      <c r="N1743" s="235" t="s">
        <v>42</v>
      </c>
      <c r="O1743" s="235" t="s">
        <v>204</v>
      </c>
      <c r="P1743" s="238">
        <v>1.0</v>
      </c>
      <c r="Q1743" s="235" t="s">
        <v>627</v>
      </c>
      <c r="R1743" s="238">
        <v>237.14</v>
      </c>
      <c r="S1743" s="238">
        <v>11.86</v>
      </c>
      <c r="T1743" s="238">
        <v>0.0</v>
      </c>
      <c r="U1743" s="238">
        <v>0.0</v>
      </c>
      <c r="V1743" s="238">
        <v>0.0</v>
      </c>
      <c r="W1743" s="238">
        <v>0.0</v>
      </c>
      <c r="X1743" s="235" t="s">
        <v>628</v>
      </c>
      <c r="Z1743" s="244"/>
      <c r="AA1743" s="244"/>
      <c r="AB1743" s="244"/>
      <c r="AC1743" s="235" t="s">
        <v>13714</v>
      </c>
      <c r="AD1743" s="235" t="s">
        <v>666</v>
      </c>
      <c r="AE1743" s="238">
        <v>627007.0</v>
      </c>
      <c r="AF1743" s="235" t="s">
        <v>631</v>
      </c>
      <c r="AG1743" s="244"/>
      <c r="AH1743" s="244"/>
      <c r="AI1743" s="245"/>
      <c r="AJ1743" s="245"/>
      <c r="AK1743" s="245"/>
      <c r="AL1743" s="245"/>
      <c r="AM1743" s="244"/>
      <c r="AN1743" s="244"/>
      <c r="AO1743" s="238">
        <v>0.0</v>
      </c>
      <c r="AP1743" s="238">
        <v>0.0</v>
      </c>
      <c r="AQ1743" s="235" t="s">
        <v>632</v>
      </c>
      <c r="AR1743" s="243">
        <v>3.71E11</v>
      </c>
      <c r="AS1743" s="235" t="s">
        <v>12693</v>
      </c>
      <c r="AT1743" s="235" t="s">
        <v>155</v>
      </c>
      <c r="AU1743" s="235" t="s">
        <v>634</v>
      </c>
      <c r="AV1743" s="246" t="s">
        <v>635</v>
      </c>
      <c r="AW1743" s="242"/>
      <c r="AX1743" s="242"/>
      <c r="AY1743" s="231"/>
      <c r="AZ1743" s="231"/>
      <c r="BA1743" s="227"/>
      <c r="BB1743" s="231"/>
      <c r="BC1743" s="227"/>
      <c r="BD1743" s="227"/>
      <c r="BE1743" s="227"/>
      <c r="BF1743" s="227"/>
    </row>
    <row r="1744">
      <c r="A1744" s="235" t="s">
        <v>13715</v>
      </c>
      <c r="C1744" s="235" t="s">
        <v>13716</v>
      </c>
      <c r="D1744" s="235" t="s">
        <v>13717</v>
      </c>
      <c r="E1744" s="243">
        <v>6.55E13</v>
      </c>
      <c r="F1744" s="245"/>
      <c r="G1744" s="235" t="s">
        <v>13718</v>
      </c>
      <c r="H1744" s="235" t="s">
        <v>13719</v>
      </c>
      <c r="I1744" s="235" t="s">
        <v>13720</v>
      </c>
      <c r="J1744" s="235" t="s">
        <v>13721</v>
      </c>
      <c r="K1744" s="235" t="s">
        <v>13722</v>
      </c>
      <c r="N1744" s="235" t="s">
        <v>144</v>
      </c>
      <c r="O1744" s="235" t="s">
        <v>232</v>
      </c>
      <c r="P1744" s="238">
        <v>1.0</v>
      </c>
      <c r="Q1744" s="235" t="s">
        <v>627</v>
      </c>
      <c r="R1744" s="238">
        <v>665.72</v>
      </c>
      <c r="S1744" s="238">
        <v>33.28</v>
      </c>
      <c r="T1744" s="238">
        <v>18.1</v>
      </c>
      <c r="U1744" s="238">
        <v>0.9</v>
      </c>
      <c r="V1744" s="238">
        <v>0.0</v>
      </c>
      <c r="W1744" s="238">
        <v>0.0</v>
      </c>
      <c r="X1744" s="235" t="s">
        <v>628</v>
      </c>
      <c r="Z1744" s="244"/>
      <c r="AA1744" s="244"/>
      <c r="AB1744" s="244"/>
      <c r="AC1744" s="235" t="s">
        <v>1058</v>
      </c>
      <c r="AD1744" s="235" t="s">
        <v>845</v>
      </c>
      <c r="AE1744" s="238">
        <v>400076.0</v>
      </c>
      <c r="AF1744" s="235" t="s">
        <v>631</v>
      </c>
      <c r="AG1744" s="244"/>
      <c r="AH1744" s="244"/>
      <c r="AI1744" s="245"/>
      <c r="AJ1744" s="245"/>
      <c r="AK1744" s="245"/>
      <c r="AL1744" s="245"/>
      <c r="AM1744" s="244"/>
      <c r="AN1744" s="244"/>
      <c r="AO1744" s="238">
        <v>0.0</v>
      </c>
      <c r="AP1744" s="238">
        <v>-18.1</v>
      </c>
      <c r="AQ1744" s="235" t="s">
        <v>632</v>
      </c>
      <c r="AR1744" s="243">
        <v>1.68E11</v>
      </c>
      <c r="AS1744" s="235" t="s">
        <v>13108</v>
      </c>
      <c r="AT1744" s="235" t="s">
        <v>16</v>
      </c>
      <c r="AU1744" s="235" t="s">
        <v>634</v>
      </c>
      <c r="AV1744" s="246" t="s">
        <v>635</v>
      </c>
      <c r="AW1744" s="242"/>
      <c r="AX1744" s="242"/>
      <c r="AY1744" s="231"/>
      <c r="AZ1744" s="231"/>
      <c r="BA1744" s="227"/>
      <c r="BB1744" s="231"/>
      <c r="BC1744" s="227"/>
      <c r="BD1744" s="227"/>
      <c r="BE1744" s="227"/>
      <c r="BF1744" s="227"/>
    </row>
    <row r="1745">
      <c r="A1745" s="235" t="s">
        <v>13723</v>
      </c>
      <c r="C1745" s="235" t="s">
        <v>13724</v>
      </c>
      <c r="D1745" s="235" t="s">
        <v>13725</v>
      </c>
      <c r="E1745" s="243">
        <v>6.54E13</v>
      </c>
      <c r="F1745" s="245"/>
      <c r="G1745" s="235" t="s">
        <v>13726</v>
      </c>
      <c r="H1745" s="235" t="s">
        <v>13727</v>
      </c>
      <c r="I1745" s="235" t="s">
        <v>13728</v>
      </c>
      <c r="J1745" s="235" t="s">
        <v>13729</v>
      </c>
      <c r="K1745" s="235" t="s">
        <v>13730</v>
      </c>
      <c r="N1745" s="235" t="s">
        <v>85</v>
      </c>
      <c r="O1745" s="235" t="s">
        <v>872</v>
      </c>
      <c r="P1745" s="238">
        <v>1.0</v>
      </c>
      <c r="Q1745" s="235" t="s">
        <v>627</v>
      </c>
      <c r="R1745" s="238">
        <v>246.67</v>
      </c>
      <c r="S1745" s="238">
        <v>12.08</v>
      </c>
      <c r="T1745" s="238">
        <v>0.0</v>
      </c>
      <c r="U1745" s="238">
        <v>0.0</v>
      </c>
      <c r="V1745" s="238">
        <v>0.0</v>
      </c>
      <c r="W1745" s="238">
        <v>0.0</v>
      </c>
      <c r="X1745" s="235" t="s">
        <v>628</v>
      </c>
      <c r="Z1745" s="244"/>
      <c r="AA1745" s="244"/>
      <c r="AB1745" s="244"/>
      <c r="AC1745" s="235" t="s">
        <v>1279</v>
      </c>
      <c r="AD1745" s="235" t="s">
        <v>917</v>
      </c>
      <c r="AE1745" s="238">
        <v>302033.0</v>
      </c>
      <c r="AF1745" s="235" t="s">
        <v>631</v>
      </c>
      <c r="AG1745" s="244"/>
      <c r="AH1745" s="244"/>
      <c r="AI1745" s="245"/>
      <c r="AJ1745" s="245"/>
      <c r="AK1745" s="245"/>
      <c r="AL1745" s="245"/>
      <c r="AM1745" s="244"/>
      <c r="AN1745" s="244"/>
      <c r="AO1745" s="238">
        <v>-4.93</v>
      </c>
      <c r="AP1745" s="238">
        <v>0.0</v>
      </c>
      <c r="AQ1745" s="235" t="s">
        <v>632</v>
      </c>
      <c r="AR1745" s="243">
        <v>1.68E11</v>
      </c>
      <c r="AS1745" s="235" t="s">
        <v>12693</v>
      </c>
      <c r="AT1745" s="235" t="s">
        <v>13</v>
      </c>
      <c r="AU1745" s="235" t="s">
        <v>634</v>
      </c>
      <c r="AV1745" s="246" t="s">
        <v>635</v>
      </c>
      <c r="AW1745" s="242"/>
      <c r="AX1745" s="242"/>
      <c r="AY1745" s="231"/>
      <c r="AZ1745" s="231"/>
      <c r="BA1745" s="227"/>
      <c r="BB1745" s="231"/>
      <c r="BC1745" s="227"/>
      <c r="BD1745" s="227"/>
      <c r="BE1745" s="227"/>
      <c r="BF1745" s="227"/>
    </row>
    <row r="1746">
      <c r="A1746" s="235" t="s">
        <v>13731</v>
      </c>
      <c r="C1746" s="235" t="s">
        <v>13732</v>
      </c>
      <c r="D1746" s="235" t="s">
        <v>13733</v>
      </c>
      <c r="E1746" s="243">
        <v>6.54E13</v>
      </c>
      <c r="F1746" s="245"/>
      <c r="G1746" s="235" t="s">
        <v>13734</v>
      </c>
      <c r="H1746" s="235" t="s">
        <v>13735</v>
      </c>
      <c r="I1746" s="235" t="s">
        <v>13735</v>
      </c>
      <c r="J1746" s="235" t="s">
        <v>13736</v>
      </c>
      <c r="K1746" s="235" t="s">
        <v>13737</v>
      </c>
      <c r="N1746" s="235" t="s">
        <v>141</v>
      </c>
      <c r="O1746" s="235" t="s">
        <v>342</v>
      </c>
      <c r="P1746" s="238">
        <v>1.0</v>
      </c>
      <c r="Q1746" s="235" t="s">
        <v>627</v>
      </c>
      <c r="R1746" s="238">
        <v>246.67</v>
      </c>
      <c r="S1746" s="238">
        <v>12.08</v>
      </c>
      <c r="T1746" s="238">
        <v>0.0</v>
      </c>
      <c r="U1746" s="238">
        <v>0.0</v>
      </c>
      <c r="V1746" s="238">
        <v>0.0</v>
      </c>
      <c r="W1746" s="238">
        <v>0.0</v>
      </c>
      <c r="X1746" s="235" t="s">
        <v>628</v>
      </c>
      <c r="Z1746" s="244"/>
      <c r="AA1746" s="244"/>
      <c r="AB1746" s="244"/>
      <c r="AC1746" s="235" t="s">
        <v>5203</v>
      </c>
      <c r="AD1746" s="235" t="s">
        <v>666</v>
      </c>
      <c r="AE1746" s="238">
        <v>636307.0</v>
      </c>
      <c r="AF1746" s="235" t="s">
        <v>631</v>
      </c>
      <c r="AG1746" s="244"/>
      <c r="AH1746" s="244"/>
      <c r="AI1746" s="245"/>
      <c r="AJ1746" s="245"/>
      <c r="AK1746" s="245"/>
      <c r="AL1746" s="245"/>
      <c r="AM1746" s="244"/>
      <c r="AN1746" s="244"/>
      <c r="AO1746" s="238">
        <v>-4.93</v>
      </c>
      <c r="AP1746" s="238">
        <v>0.0</v>
      </c>
      <c r="AQ1746" s="235" t="s">
        <v>632</v>
      </c>
      <c r="AR1746" s="243">
        <v>3.71E11</v>
      </c>
      <c r="AS1746" s="235" t="s">
        <v>12693</v>
      </c>
      <c r="AT1746" s="235" t="s">
        <v>9</v>
      </c>
      <c r="AU1746" s="235" t="s">
        <v>634</v>
      </c>
      <c r="AV1746" s="246" t="s">
        <v>635</v>
      </c>
      <c r="AW1746" s="242"/>
      <c r="AX1746" s="242"/>
      <c r="AY1746" s="231"/>
      <c r="AZ1746" s="231"/>
      <c r="BA1746" s="227"/>
      <c r="BB1746" s="231"/>
      <c r="BC1746" s="227"/>
      <c r="BD1746" s="227"/>
      <c r="BE1746" s="227"/>
      <c r="BF1746" s="227"/>
    </row>
    <row r="1747">
      <c r="A1747" s="235" t="s">
        <v>13738</v>
      </c>
      <c r="C1747" s="235" t="s">
        <v>13739</v>
      </c>
      <c r="D1747" s="235" t="s">
        <v>13740</v>
      </c>
      <c r="E1747" s="243">
        <v>6.54E13</v>
      </c>
      <c r="F1747" s="245"/>
      <c r="G1747" s="235" t="s">
        <v>13741</v>
      </c>
      <c r="H1747" s="235" t="s">
        <v>13742</v>
      </c>
      <c r="I1747" s="235" t="s">
        <v>13742</v>
      </c>
      <c r="J1747" s="235" t="s">
        <v>13743</v>
      </c>
      <c r="K1747" s="235" t="s">
        <v>13744</v>
      </c>
      <c r="N1747" s="235" t="s">
        <v>127</v>
      </c>
      <c r="O1747" s="235" t="s">
        <v>794</v>
      </c>
      <c r="P1747" s="238">
        <v>1.0</v>
      </c>
      <c r="Q1747" s="235" t="s">
        <v>627</v>
      </c>
      <c r="R1747" s="238">
        <v>246.66</v>
      </c>
      <c r="S1747" s="238">
        <v>12.34</v>
      </c>
      <c r="T1747" s="238">
        <v>9.04</v>
      </c>
      <c r="U1747" s="238">
        <v>0.46</v>
      </c>
      <c r="V1747" s="238">
        <v>0.0</v>
      </c>
      <c r="W1747" s="238">
        <v>0.0</v>
      </c>
      <c r="X1747" s="235" t="s">
        <v>628</v>
      </c>
      <c r="Z1747" s="244"/>
      <c r="AA1747" s="244"/>
      <c r="AB1747" s="244"/>
      <c r="AC1747" s="235" t="s">
        <v>775</v>
      </c>
      <c r="AD1747" s="235" t="s">
        <v>679</v>
      </c>
      <c r="AE1747" s="238">
        <v>560075.0</v>
      </c>
      <c r="AF1747" s="235" t="s">
        <v>631</v>
      </c>
      <c r="AG1747" s="244"/>
      <c r="AH1747" s="244"/>
      <c r="AI1747" s="245"/>
      <c r="AJ1747" s="245"/>
      <c r="AK1747" s="245"/>
      <c r="AL1747" s="245"/>
      <c r="AM1747" s="244"/>
      <c r="AN1747" s="244"/>
      <c r="AO1747" s="238">
        <v>0.0</v>
      </c>
      <c r="AP1747" s="238">
        <v>-9.04</v>
      </c>
      <c r="AQ1747" s="235" t="s">
        <v>632</v>
      </c>
      <c r="AR1747" s="243">
        <v>1.68E11</v>
      </c>
      <c r="AS1747" s="235" t="s">
        <v>13108</v>
      </c>
      <c r="AT1747" s="235" t="s">
        <v>11</v>
      </c>
      <c r="AU1747" s="235" t="s">
        <v>634</v>
      </c>
      <c r="AV1747" s="246" t="s">
        <v>635</v>
      </c>
      <c r="AW1747" s="242"/>
      <c r="AX1747" s="242"/>
      <c r="AY1747" s="231"/>
      <c r="AZ1747" s="231"/>
      <c r="BA1747" s="227"/>
      <c r="BB1747" s="231"/>
      <c r="BC1747" s="227"/>
      <c r="BD1747" s="227"/>
      <c r="BE1747" s="227"/>
      <c r="BF1747" s="227"/>
    </row>
    <row r="1748">
      <c r="A1748" s="235" t="s">
        <v>13745</v>
      </c>
      <c r="C1748" s="235" t="s">
        <v>13746</v>
      </c>
      <c r="D1748" s="235" t="s">
        <v>13747</v>
      </c>
      <c r="E1748" s="243">
        <v>6.54E13</v>
      </c>
      <c r="F1748" s="245"/>
      <c r="G1748" s="235" t="s">
        <v>13748</v>
      </c>
      <c r="H1748" s="235" t="s">
        <v>13749</v>
      </c>
      <c r="I1748" s="235" t="s">
        <v>13750</v>
      </c>
      <c r="J1748" s="235" t="s">
        <v>13751</v>
      </c>
      <c r="K1748" s="235" t="s">
        <v>13752</v>
      </c>
      <c r="N1748" s="235" t="s">
        <v>43</v>
      </c>
      <c r="O1748" s="235" t="s">
        <v>276</v>
      </c>
      <c r="P1748" s="238">
        <v>1.0</v>
      </c>
      <c r="Q1748" s="235" t="s">
        <v>627</v>
      </c>
      <c r="R1748" s="238">
        <v>237.14</v>
      </c>
      <c r="S1748" s="238">
        <v>11.86</v>
      </c>
      <c r="T1748" s="238">
        <v>0.0</v>
      </c>
      <c r="U1748" s="238">
        <v>0.0</v>
      </c>
      <c r="V1748" s="238">
        <v>0.0</v>
      </c>
      <c r="W1748" s="238">
        <v>0.0</v>
      </c>
      <c r="X1748" s="235" t="s">
        <v>628</v>
      </c>
      <c r="Z1748" s="244"/>
      <c r="AA1748" s="244"/>
      <c r="AB1748" s="244"/>
      <c r="AC1748" s="235" t="s">
        <v>3195</v>
      </c>
      <c r="AD1748" s="235" t="s">
        <v>881</v>
      </c>
      <c r="AE1748" s="238">
        <v>751002.0</v>
      </c>
      <c r="AF1748" s="235" t="s">
        <v>631</v>
      </c>
      <c r="AG1748" s="244"/>
      <c r="AH1748" s="244"/>
      <c r="AI1748" s="245"/>
      <c r="AJ1748" s="245"/>
      <c r="AK1748" s="245"/>
      <c r="AL1748" s="245"/>
      <c r="AM1748" s="244"/>
      <c r="AN1748" s="244"/>
      <c r="AO1748" s="238">
        <v>0.0</v>
      </c>
      <c r="AP1748" s="238">
        <v>0.0</v>
      </c>
      <c r="AQ1748" s="235" t="s">
        <v>632</v>
      </c>
      <c r="AR1748" s="243">
        <v>3.71E11</v>
      </c>
      <c r="AS1748" s="235" t="s">
        <v>8807</v>
      </c>
      <c r="AT1748" s="235" t="s">
        <v>533</v>
      </c>
      <c r="AU1748" s="235" t="s">
        <v>634</v>
      </c>
      <c r="AV1748" s="246" t="s">
        <v>635</v>
      </c>
      <c r="AW1748" s="242"/>
      <c r="AX1748" s="242"/>
      <c r="AY1748" s="231"/>
      <c r="AZ1748" s="231"/>
      <c r="BA1748" s="227"/>
      <c r="BB1748" s="231"/>
      <c r="BC1748" s="227"/>
      <c r="BD1748" s="227"/>
      <c r="BE1748" s="227"/>
      <c r="BF1748" s="227"/>
    </row>
    <row r="1749">
      <c r="A1749" s="235" t="s">
        <v>13753</v>
      </c>
      <c r="C1749" s="235" t="s">
        <v>13754</v>
      </c>
      <c r="D1749" s="235" t="s">
        <v>13755</v>
      </c>
      <c r="E1749" s="243">
        <v>6.54E13</v>
      </c>
      <c r="F1749" s="245"/>
      <c r="G1749" s="235" t="s">
        <v>13756</v>
      </c>
      <c r="H1749" s="235" t="s">
        <v>13757</v>
      </c>
      <c r="I1749" s="235" t="s">
        <v>13757</v>
      </c>
      <c r="J1749" s="235" t="s">
        <v>13758</v>
      </c>
      <c r="K1749" s="235" t="s">
        <v>13759</v>
      </c>
      <c r="N1749" s="235" t="s">
        <v>148</v>
      </c>
      <c r="O1749" s="235" t="s">
        <v>1006</v>
      </c>
      <c r="P1749" s="238">
        <v>1.0</v>
      </c>
      <c r="Q1749" s="235" t="s">
        <v>627</v>
      </c>
      <c r="R1749" s="238">
        <v>283.81</v>
      </c>
      <c r="S1749" s="238">
        <v>14.19</v>
      </c>
      <c r="T1749" s="238">
        <v>0.0</v>
      </c>
      <c r="U1749" s="238">
        <v>0.0</v>
      </c>
      <c r="V1749" s="238">
        <v>0.0</v>
      </c>
      <c r="W1749" s="238">
        <v>0.0</v>
      </c>
      <c r="X1749" s="235" t="s">
        <v>628</v>
      </c>
      <c r="Z1749" s="244"/>
      <c r="AA1749" s="244"/>
      <c r="AB1749" s="244"/>
      <c r="AC1749" s="235" t="s">
        <v>13760</v>
      </c>
      <c r="AD1749" s="235" t="s">
        <v>917</v>
      </c>
      <c r="AE1749" s="238">
        <v>313001.0</v>
      </c>
      <c r="AF1749" s="235" t="s">
        <v>631</v>
      </c>
      <c r="AG1749" s="244"/>
      <c r="AH1749" s="244"/>
      <c r="AI1749" s="245"/>
      <c r="AJ1749" s="245"/>
      <c r="AK1749" s="245"/>
      <c r="AL1749" s="245"/>
      <c r="AM1749" s="244"/>
      <c r="AN1749" s="244"/>
      <c r="AO1749" s="238">
        <v>0.0</v>
      </c>
      <c r="AP1749" s="238">
        <v>0.0</v>
      </c>
      <c r="AQ1749" s="235" t="s">
        <v>632</v>
      </c>
      <c r="AR1749" s="243">
        <v>3.71E11</v>
      </c>
      <c r="AS1749" s="235" t="s">
        <v>8807</v>
      </c>
      <c r="AT1749" s="235" t="s">
        <v>13</v>
      </c>
      <c r="AU1749" s="235" t="s">
        <v>634</v>
      </c>
      <c r="AV1749" s="246" t="s">
        <v>635</v>
      </c>
      <c r="AW1749" s="242"/>
      <c r="AX1749" s="242"/>
      <c r="AY1749" s="231"/>
      <c r="AZ1749" s="231"/>
      <c r="BA1749" s="227"/>
      <c r="BB1749" s="231"/>
      <c r="BC1749" s="227"/>
      <c r="BD1749" s="227"/>
      <c r="BE1749" s="227"/>
      <c r="BF1749" s="227"/>
    </row>
    <row r="1750">
      <c r="A1750" s="235" t="s">
        <v>13761</v>
      </c>
      <c r="C1750" s="235" t="s">
        <v>13762</v>
      </c>
      <c r="D1750" s="235" t="s">
        <v>13763</v>
      </c>
      <c r="E1750" s="243">
        <v>6.54E13</v>
      </c>
      <c r="F1750" s="245"/>
      <c r="G1750" s="235" t="s">
        <v>13764</v>
      </c>
      <c r="H1750" s="235" t="s">
        <v>13765</v>
      </c>
      <c r="I1750" s="235" t="s">
        <v>13765</v>
      </c>
      <c r="J1750" s="235" t="s">
        <v>13766</v>
      </c>
      <c r="K1750" s="235" t="s">
        <v>13767</v>
      </c>
      <c r="N1750" s="235" t="s">
        <v>127</v>
      </c>
      <c r="O1750" s="235" t="s">
        <v>794</v>
      </c>
      <c r="P1750" s="238">
        <v>1.0</v>
      </c>
      <c r="Q1750" s="235" t="s">
        <v>627</v>
      </c>
      <c r="R1750" s="238">
        <v>246.66</v>
      </c>
      <c r="S1750" s="238">
        <v>12.34</v>
      </c>
      <c r="T1750" s="238">
        <v>0.0</v>
      </c>
      <c r="U1750" s="238">
        <v>0.0</v>
      </c>
      <c r="V1750" s="238">
        <v>0.0</v>
      </c>
      <c r="W1750" s="238">
        <v>0.0</v>
      </c>
      <c r="X1750" s="235" t="s">
        <v>628</v>
      </c>
      <c r="Z1750" s="244"/>
      <c r="AA1750" s="244"/>
      <c r="AB1750" s="244"/>
      <c r="AC1750" s="235" t="s">
        <v>6182</v>
      </c>
      <c r="AD1750" s="235" t="s">
        <v>845</v>
      </c>
      <c r="AE1750" s="238">
        <v>401208.0</v>
      </c>
      <c r="AF1750" s="235" t="s">
        <v>631</v>
      </c>
      <c r="AG1750" s="244"/>
      <c r="AH1750" s="244"/>
      <c r="AI1750" s="245"/>
      <c r="AJ1750" s="245"/>
      <c r="AK1750" s="245"/>
      <c r="AL1750" s="245"/>
      <c r="AM1750" s="244"/>
      <c r="AN1750" s="244"/>
      <c r="AO1750" s="238">
        <v>0.0</v>
      </c>
      <c r="AP1750" s="238">
        <v>0.0</v>
      </c>
      <c r="AQ1750" s="235" t="s">
        <v>632</v>
      </c>
      <c r="AR1750" s="243">
        <v>1.68E11</v>
      </c>
      <c r="AS1750" s="235" t="s">
        <v>13108</v>
      </c>
      <c r="AT1750" s="235" t="s">
        <v>16</v>
      </c>
      <c r="AU1750" s="235" t="s">
        <v>634</v>
      </c>
      <c r="AV1750" s="246" t="s">
        <v>635</v>
      </c>
      <c r="AW1750" s="242"/>
      <c r="AX1750" s="242"/>
      <c r="AY1750" s="231"/>
      <c r="AZ1750" s="231"/>
      <c r="BA1750" s="227"/>
      <c r="BB1750" s="231"/>
      <c r="BC1750" s="227"/>
      <c r="BD1750" s="227"/>
      <c r="BE1750" s="227"/>
      <c r="BF1750" s="227"/>
    </row>
    <row r="1751">
      <c r="A1751" s="235" t="s">
        <v>13768</v>
      </c>
      <c r="C1751" s="235" t="s">
        <v>13769</v>
      </c>
      <c r="D1751" s="235" t="s">
        <v>13770</v>
      </c>
      <c r="E1751" s="243">
        <v>6.55E13</v>
      </c>
      <c r="F1751" s="245"/>
      <c r="G1751" s="235" t="s">
        <v>13771</v>
      </c>
      <c r="H1751" s="235" t="s">
        <v>13772</v>
      </c>
      <c r="I1751" s="235" t="s">
        <v>13772</v>
      </c>
      <c r="J1751" s="235" t="s">
        <v>13773</v>
      </c>
      <c r="K1751" s="235" t="s">
        <v>13774</v>
      </c>
      <c r="N1751" s="235" t="s">
        <v>154</v>
      </c>
      <c r="O1751" s="235" t="s">
        <v>766</v>
      </c>
      <c r="P1751" s="238">
        <v>1.0</v>
      </c>
      <c r="Q1751" s="235" t="s">
        <v>627</v>
      </c>
      <c r="R1751" s="238">
        <v>465.72</v>
      </c>
      <c r="S1751" s="238">
        <v>22.58</v>
      </c>
      <c r="T1751" s="238">
        <v>6.04</v>
      </c>
      <c r="U1751" s="238">
        <v>0.3</v>
      </c>
      <c r="V1751" s="238">
        <v>0.0</v>
      </c>
      <c r="W1751" s="238">
        <v>0.0</v>
      </c>
      <c r="X1751" s="235" t="s">
        <v>628</v>
      </c>
      <c r="Z1751" s="244"/>
      <c r="AA1751" s="244"/>
      <c r="AB1751" s="244"/>
      <c r="AC1751" s="235" t="s">
        <v>1058</v>
      </c>
      <c r="AD1751" s="235" t="s">
        <v>845</v>
      </c>
      <c r="AE1751" s="238">
        <v>400076.0</v>
      </c>
      <c r="AF1751" s="235" t="s">
        <v>631</v>
      </c>
      <c r="AG1751" s="244"/>
      <c r="AH1751" s="244"/>
      <c r="AI1751" s="245"/>
      <c r="AJ1751" s="245"/>
      <c r="AK1751" s="245"/>
      <c r="AL1751" s="245"/>
      <c r="AM1751" s="244"/>
      <c r="AN1751" s="244"/>
      <c r="AO1751" s="238">
        <v>-13.97</v>
      </c>
      <c r="AP1751" s="238">
        <v>-6.04</v>
      </c>
      <c r="AQ1751" s="235" t="s">
        <v>632</v>
      </c>
      <c r="AR1751" s="243">
        <v>1.68E11</v>
      </c>
      <c r="AS1751" s="235" t="s">
        <v>13108</v>
      </c>
      <c r="AT1751" s="235" t="s">
        <v>17</v>
      </c>
      <c r="AU1751" s="235" t="s">
        <v>634</v>
      </c>
      <c r="AV1751" s="246" t="s">
        <v>635</v>
      </c>
      <c r="AW1751" s="242"/>
      <c r="AX1751" s="242"/>
      <c r="AY1751" s="231"/>
      <c r="AZ1751" s="231"/>
      <c r="BA1751" s="227"/>
      <c r="BB1751" s="231"/>
      <c r="BC1751" s="227"/>
      <c r="BD1751" s="227"/>
      <c r="BE1751" s="227"/>
      <c r="BF1751" s="227"/>
    </row>
    <row r="1752">
      <c r="A1752" s="235" t="s">
        <v>13768</v>
      </c>
      <c r="C1752" s="235" t="s">
        <v>13769</v>
      </c>
      <c r="D1752" s="235" t="s">
        <v>13775</v>
      </c>
      <c r="E1752" s="243">
        <v>6.55E13</v>
      </c>
      <c r="F1752" s="245"/>
      <c r="G1752" s="235" t="s">
        <v>13771</v>
      </c>
      <c r="H1752" s="235" t="s">
        <v>13772</v>
      </c>
      <c r="I1752" s="235" t="s">
        <v>13772</v>
      </c>
      <c r="J1752" s="235" t="s">
        <v>13773</v>
      </c>
      <c r="K1752" s="235" t="s">
        <v>13774</v>
      </c>
      <c r="N1752" s="235" t="s">
        <v>154</v>
      </c>
      <c r="O1752" s="235" t="s">
        <v>766</v>
      </c>
      <c r="P1752" s="238">
        <v>1.0</v>
      </c>
      <c r="Q1752" s="235" t="s">
        <v>627</v>
      </c>
      <c r="R1752" s="238">
        <v>465.72</v>
      </c>
      <c r="S1752" s="238">
        <v>22.58</v>
      </c>
      <c r="T1752" s="238">
        <v>6.03</v>
      </c>
      <c r="U1752" s="238">
        <v>0.3</v>
      </c>
      <c r="V1752" s="238">
        <v>0.0</v>
      </c>
      <c r="W1752" s="238">
        <v>0.0</v>
      </c>
      <c r="X1752" s="235" t="s">
        <v>628</v>
      </c>
      <c r="Z1752" s="244"/>
      <c r="AA1752" s="244"/>
      <c r="AB1752" s="244"/>
      <c r="AC1752" s="235" t="s">
        <v>1058</v>
      </c>
      <c r="AD1752" s="235" t="s">
        <v>845</v>
      </c>
      <c r="AE1752" s="238">
        <v>400076.0</v>
      </c>
      <c r="AF1752" s="235" t="s">
        <v>631</v>
      </c>
      <c r="AG1752" s="244"/>
      <c r="AH1752" s="244"/>
      <c r="AI1752" s="245"/>
      <c r="AJ1752" s="245"/>
      <c r="AK1752" s="245"/>
      <c r="AL1752" s="245"/>
      <c r="AM1752" s="244"/>
      <c r="AN1752" s="244"/>
      <c r="AO1752" s="238">
        <v>-13.97</v>
      </c>
      <c r="AP1752" s="238">
        <v>-6.03</v>
      </c>
      <c r="AQ1752" s="235" t="s">
        <v>632</v>
      </c>
      <c r="AR1752" s="243">
        <v>1.68E11</v>
      </c>
      <c r="AS1752" s="235" t="s">
        <v>13108</v>
      </c>
      <c r="AT1752" s="235" t="s">
        <v>17</v>
      </c>
      <c r="AU1752" s="235" t="s">
        <v>634</v>
      </c>
      <c r="AV1752" s="246" t="s">
        <v>635</v>
      </c>
      <c r="AW1752" s="242"/>
      <c r="AX1752" s="242"/>
      <c r="AY1752" s="231"/>
      <c r="AZ1752" s="231"/>
      <c r="BA1752" s="227"/>
      <c r="BB1752" s="231"/>
      <c r="BC1752" s="227"/>
      <c r="BD1752" s="227"/>
      <c r="BE1752" s="227"/>
      <c r="BF1752" s="227"/>
    </row>
    <row r="1753">
      <c r="A1753" s="235" t="s">
        <v>13776</v>
      </c>
      <c r="C1753" s="235" t="s">
        <v>13777</v>
      </c>
      <c r="D1753" s="235" t="s">
        <v>13778</v>
      </c>
      <c r="E1753" s="243">
        <v>6.55E13</v>
      </c>
      <c r="F1753" s="245"/>
      <c r="G1753" s="235" t="s">
        <v>13779</v>
      </c>
      <c r="H1753" s="235" t="s">
        <v>13780</v>
      </c>
      <c r="I1753" s="235" t="s">
        <v>13781</v>
      </c>
      <c r="J1753" s="235" t="s">
        <v>13782</v>
      </c>
      <c r="K1753" s="235" t="s">
        <v>13783</v>
      </c>
      <c r="N1753" s="235" t="s">
        <v>141</v>
      </c>
      <c r="O1753" s="235" t="s">
        <v>342</v>
      </c>
      <c r="P1753" s="238">
        <v>1.0</v>
      </c>
      <c r="Q1753" s="235" t="s">
        <v>627</v>
      </c>
      <c r="R1753" s="238">
        <v>246.66</v>
      </c>
      <c r="S1753" s="238">
        <v>12.1</v>
      </c>
      <c r="T1753" s="238">
        <v>18.1</v>
      </c>
      <c r="U1753" s="238">
        <v>0.9</v>
      </c>
      <c r="V1753" s="238">
        <v>0.0</v>
      </c>
      <c r="W1753" s="238">
        <v>0.0</v>
      </c>
      <c r="X1753" s="235" t="s">
        <v>628</v>
      </c>
      <c r="Z1753" s="244"/>
      <c r="AA1753" s="244"/>
      <c r="AB1753" s="244"/>
      <c r="AC1753" s="235" t="s">
        <v>1095</v>
      </c>
      <c r="AD1753" s="235" t="s">
        <v>845</v>
      </c>
      <c r="AE1753" s="238">
        <v>400703.0</v>
      </c>
      <c r="AF1753" s="235" t="s">
        <v>631</v>
      </c>
      <c r="AG1753" s="244"/>
      <c r="AH1753" s="244"/>
      <c r="AI1753" s="245"/>
      <c r="AJ1753" s="245"/>
      <c r="AK1753" s="245"/>
      <c r="AL1753" s="245"/>
      <c r="AM1753" s="244"/>
      <c r="AN1753" s="244"/>
      <c r="AO1753" s="238">
        <v>-4.94</v>
      </c>
      <c r="AP1753" s="238">
        <v>-18.1</v>
      </c>
      <c r="AQ1753" s="235" t="s">
        <v>632</v>
      </c>
      <c r="AR1753" s="243">
        <v>1.68E11</v>
      </c>
      <c r="AS1753" s="235" t="s">
        <v>13108</v>
      </c>
      <c r="AT1753" s="235" t="s">
        <v>16</v>
      </c>
      <c r="AU1753" s="235" t="s">
        <v>634</v>
      </c>
      <c r="AV1753" s="246" t="s">
        <v>635</v>
      </c>
      <c r="AW1753" s="242"/>
      <c r="AX1753" s="242"/>
      <c r="AY1753" s="231"/>
      <c r="AZ1753" s="231"/>
      <c r="BA1753" s="227"/>
      <c r="BB1753" s="231"/>
      <c r="BC1753" s="227"/>
      <c r="BD1753" s="227"/>
      <c r="BE1753" s="227"/>
      <c r="BF1753" s="227"/>
    </row>
    <row r="1754">
      <c r="A1754" s="235" t="s">
        <v>13784</v>
      </c>
      <c r="C1754" s="235" t="s">
        <v>13785</v>
      </c>
      <c r="D1754" s="235" t="s">
        <v>13786</v>
      </c>
      <c r="E1754" s="243">
        <v>6.54E13</v>
      </c>
      <c r="F1754" s="245"/>
      <c r="G1754" s="235" t="s">
        <v>13787</v>
      </c>
      <c r="H1754" s="235" t="s">
        <v>13788</v>
      </c>
      <c r="I1754" s="235" t="s">
        <v>13788</v>
      </c>
      <c r="J1754" s="235" t="s">
        <v>13789</v>
      </c>
      <c r="K1754" s="235" t="s">
        <v>13790</v>
      </c>
      <c r="N1754" s="235" t="s">
        <v>68</v>
      </c>
      <c r="O1754" s="235" t="s">
        <v>208</v>
      </c>
      <c r="P1754" s="238">
        <v>1.0</v>
      </c>
      <c r="Q1754" s="235" t="s">
        <v>627</v>
      </c>
      <c r="R1754" s="238">
        <v>246.66</v>
      </c>
      <c r="S1754" s="238">
        <v>12.34</v>
      </c>
      <c r="T1754" s="238">
        <v>0.0</v>
      </c>
      <c r="U1754" s="238">
        <v>0.0</v>
      </c>
      <c r="V1754" s="238">
        <v>0.0</v>
      </c>
      <c r="W1754" s="238">
        <v>0.0</v>
      </c>
      <c r="X1754" s="235" t="s">
        <v>628</v>
      </c>
      <c r="Z1754" s="244"/>
      <c r="AA1754" s="244"/>
      <c r="AB1754" s="244"/>
      <c r="AC1754" s="235" t="s">
        <v>6182</v>
      </c>
      <c r="AD1754" s="235" t="s">
        <v>845</v>
      </c>
      <c r="AE1754" s="238">
        <v>401202.0</v>
      </c>
      <c r="AF1754" s="235" t="s">
        <v>631</v>
      </c>
      <c r="AG1754" s="244"/>
      <c r="AH1754" s="244"/>
      <c r="AI1754" s="245"/>
      <c r="AJ1754" s="245"/>
      <c r="AK1754" s="245"/>
      <c r="AL1754" s="245"/>
      <c r="AM1754" s="244"/>
      <c r="AN1754" s="244"/>
      <c r="AO1754" s="238">
        <v>0.0</v>
      </c>
      <c r="AP1754" s="238">
        <v>0.0</v>
      </c>
      <c r="AQ1754" s="235" t="s">
        <v>632</v>
      </c>
      <c r="AR1754" s="243">
        <v>1.68E11</v>
      </c>
      <c r="AS1754" s="235" t="s">
        <v>13108</v>
      </c>
      <c r="AT1754" s="235" t="s">
        <v>16</v>
      </c>
      <c r="AU1754" s="235" t="s">
        <v>634</v>
      </c>
      <c r="AV1754" s="246" t="s">
        <v>635</v>
      </c>
      <c r="AW1754" s="242"/>
      <c r="AX1754" s="242"/>
      <c r="AY1754" s="231"/>
      <c r="AZ1754" s="231"/>
      <c r="BA1754" s="227"/>
      <c r="BB1754" s="231"/>
      <c r="BC1754" s="227"/>
      <c r="BD1754" s="227"/>
      <c r="BE1754" s="227"/>
      <c r="BF1754" s="227"/>
    </row>
    <row r="1755">
      <c r="A1755" s="235" t="s">
        <v>13791</v>
      </c>
      <c r="C1755" s="235" t="s">
        <v>13792</v>
      </c>
      <c r="D1755" s="235" t="s">
        <v>13793</v>
      </c>
      <c r="E1755" s="243">
        <v>6.55E13</v>
      </c>
      <c r="F1755" s="245"/>
      <c r="G1755" s="235" t="s">
        <v>13794</v>
      </c>
      <c r="H1755" s="235" t="s">
        <v>13795</v>
      </c>
      <c r="I1755" s="235" t="s">
        <v>13796</v>
      </c>
      <c r="J1755" s="235" t="s">
        <v>13797</v>
      </c>
      <c r="K1755" s="235" t="s">
        <v>13798</v>
      </c>
      <c r="N1755" s="235" t="s">
        <v>47</v>
      </c>
      <c r="O1755" s="235" t="s">
        <v>270</v>
      </c>
      <c r="P1755" s="238">
        <v>1.0</v>
      </c>
      <c r="Q1755" s="235" t="s">
        <v>627</v>
      </c>
      <c r="R1755" s="238">
        <v>237.14</v>
      </c>
      <c r="S1755" s="238">
        <v>11.86</v>
      </c>
      <c r="T1755" s="238">
        <v>0.0</v>
      </c>
      <c r="U1755" s="238">
        <v>0.0</v>
      </c>
      <c r="V1755" s="238">
        <v>0.0</v>
      </c>
      <c r="W1755" s="238">
        <v>0.0</v>
      </c>
      <c r="X1755" s="235" t="s">
        <v>628</v>
      </c>
      <c r="Z1755" s="244"/>
      <c r="AA1755" s="244"/>
      <c r="AB1755" s="244"/>
      <c r="AC1755" s="235" t="s">
        <v>13799</v>
      </c>
      <c r="AD1755" s="235" t="s">
        <v>833</v>
      </c>
      <c r="AE1755" s="238">
        <v>522616.0</v>
      </c>
      <c r="AF1755" s="235" t="s">
        <v>631</v>
      </c>
      <c r="AG1755" s="244"/>
      <c r="AH1755" s="244"/>
      <c r="AI1755" s="245"/>
      <c r="AJ1755" s="245"/>
      <c r="AK1755" s="245"/>
      <c r="AL1755" s="245"/>
      <c r="AM1755" s="244"/>
      <c r="AN1755" s="244"/>
      <c r="AO1755" s="238">
        <v>0.0</v>
      </c>
      <c r="AP1755" s="238">
        <v>0.0</v>
      </c>
      <c r="AQ1755" s="235" t="s">
        <v>632</v>
      </c>
      <c r="AR1755" s="243">
        <v>3.71E11</v>
      </c>
      <c r="AS1755" s="235" t="s">
        <v>11171</v>
      </c>
      <c r="AT1755" s="235" t="s">
        <v>156</v>
      </c>
      <c r="AU1755" s="235" t="s">
        <v>634</v>
      </c>
      <c r="AV1755" s="246" t="s">
        <v>635</v>
      </c>
      <c r="AW1755" s="242"/>
      <c r="AX1755" s="242"/>
      <c r="AY1755" s="231"/>
      <c r="AZ1755" s="231"/>
      <c r="BA1755" s="227"/>
      <c r="BB1755" s="231"/>
      <c r="BC1755" s="227"/>
      <c r="BD1755" s="227"/>
      <c r="BE1755" s="227"/>
      <c r="BF1755" s="227"/>
    </row>
    <row r="1756">
      <c r="A1756" s="235" t="s">
        <v>13800</v>
      </c>
      <c r="C1756" s="235" t="s">
        <v>13801</v>
      </c>
      <c r="D1756" s="235" t="s">
        <v>13802</v>
      </c>
      <c r="E1756" s="243">
        <v>6.55E13</v>
      </c>
      <c r="F1756" s="245"/>
      <c r="G1756" s="235" t="s">
        <v>13803</v>
      </c>
      <c r="H1756" s="235" t="s">
        <v>13804</v>
      </c>
      <c r="I1756" s="235" t="s">
        <v>13805</v>
      </c>
      <c r="J1756" s="235" t="s">
        <v>13806</v>
      </c>
      <c r="K1756" s="235" t="s">
        <v>13807</v>
      </c>
      <c r="N1756" s="235" t="s">
        <v>962</v>
      </c>
      <c r="O1756" s="235" t="s">
        <v>963</v>
      </c>
      <c r="P1756" s="238">
        <v>1.0</v>
      </c>
      <c r="Q1756" s="235" t="s">
        <v>627</v>
      </c>
      <c r="R1756" s="238">
        <v>246.67</v>
      </c>
      <c r="S1756" s="238">
        <v>12.33</v>
      </c>
      <c r="T1756" s="238">
        <v>0.0</v>
      </c>
      <c r="U1756" s="238">
        <v>0.0</v>
      </c>
      <c r="V1756" s="238">
        <v>0.0</v>
      </c>
      <c r="W1756" s="238">
        <v>0.0</v>
      </c>
      <c r="X1756" s="235" t="s">
        <v>628</v>
      </c>
      <c r="Z1756" s="244"/>
      <c r="AA1756" s="244"/>
      <c r="AB1756" s="244"/>
      <c r="AC1756" s="235" t="s">
        <v>6436</v>
      </c>
      <c r="AD1756" s="235" t="s">
        <v>1499</v>
      </c>
      <c r="AE1756" s="238">
        <v>452005.0</v>
      </c>
      <c r="AF1756" s="235" t="s">
        <v>631</v>
      </c>
      <c r="AG1756" s="244"/>
      <c r="AH1756" s="244"/>
      <c r="AI1756" s="245"/>
      <c r="AJ1756" s="245"/>
      <c r="AK1756" s="245"/>
      <c r="AL1756" s="245"/>
      <c r="AM1756" s="244"/>
      <c r="AN1756" s="244"/>
      <c r="AO1756" s="238">
        <v>0.0</v>
      </c>
      <c r="AP1756" s="238">
        <v>0.0</v>
      </c>
      <c r="AQ1756" s="235" t="s">
        <v>632</v>
      </c>
      <c r="AR1756" s="243">
        <v>1.68E11</v>
      </c>
      <c r="AS1756" s="235" t="s">
        <v>12693</v>
      </c>
      <c r="AT1756" s="235" t="s">
        <v>5</v>
      </c>
      <c r="AU1756" s="235" t="s">
        <v>634</v>
      </c>
      <c r="AV1756" s="246" t="s">
        <v>635</v>
      </c>
      <c r="AW1756" s="242"/>
      <c r="AX1756" s="242"/>
      <c r="AY1756" s="231"/>
      <c r="AZ1756" s="231"/>
      <c r="BA1756" s="227"/>
      <c r="BB1756" s="231"/>
      <c r="BC1756" s="227"/>
      <c r="BD1756" s="227"/>
      <c r="BE1756" s="227"/>
      <c r="BF1756" s="227"/>
    </row>
    <row r="1757">
      <c r="A1757" s="235" t="s">
        <v>13808</v>
      </c>
      <c r="C1757" s="235" t="s">
        <v>13809</v>
      </c>
      <c r="D1757" s="235" t="s">
        <v>13810</v>
      </c>
      <c r="E1757" s="243">
        <v>6.54E13</v>
      </c>
      <c r="F1757" s="245"/>
      <c r="G1757" s="235" t="s">
        <v>13811</v>
      </c>
      <c r="H1757" s="235" t="s">
        <v>13812</v>
      </c>
      <c r="I1757" s="235" t="s">
        <v>13812</v>
      </c>
      <c r="J1757" s="235" t="s">
        <v>13813</v>
      </c>
      <c r="K1757" s="235" t="s">
        <v>13814</v>
      </c>
      <c r="N1757" s="235" t="s">
        <v>144</v>
      </c>
      <c r="O1757" s="235" t="s">
        <v>232</v>
      </c>
      <c r="P1757" s="238">
        <v>1.0</v>
      </c>
      <c r="Q1757" s="235" t="s">
        <v>627</v>
      </c>
      <c r="R1757" s="238">
        <v>665.72</v>
      </c>
      <c r="S1757" s="238">
        <v>33.28</v>
      </c>
      <c r="T1757" s="238">
        <v>38.1</v>
      </c>
      <c r="U1757" s="238">
        <v>1.9</v>
      </c>
      <c r="V1757" s="238">
        <v>0.0</v>
      </c>
      <c r="W1757" s="238">
        <v>0.0</v>
      </c>
      <c r="X1757" s="235" t="s">
        <v>628</v>
      </c>
      <c r="Z1757" s="244"/>
      <c r="AA1757" s="244"/>
      <c r="AB1757" s="244"/>
      <c r="AC1757" s="235" t="s">
        <v>1076</v>
      </c>
      <c r="AD1757" s="235" t="s">
        <v>1077</v>
      </c>
      <c r="AE1757" s="238">
        <v>360005.0</v>
      </c>
      <c r="AF1757" s="235" t="s">
        <v>631</v>
      </c>
      <c r="AG1757" s="244"/>
      <c r="AH1757" s="244"/>
      <c r="AI1757" s="245"/>
      <c r="AJ1757" s="245"/>
      <c r="AK1757" s="245"/>
      <c r="AL1757" s="245"/>
      <c r="AM1757" s="244"/>
      <c r="AN1757" s="244"/>
      <c r="AO1757" s="238">
        <v>0.0</v>
      </c>
      <c r="AP1757" s="238">
        <v>-38.1</v>
      </c>
      <c r="AQ1757" s="235" t="s">
        <v>632</v>
      </c>
      <c r="AR1757" s="243">
        <v>3.71E11</v>
      </c>
      <c r="AS1757" s="235" t="s">
        <v>11171</v>
      </c>
      <c r="AT1757" s="235" t="s">
        <v>5</v>
      </c>
      <c r="AU1757" s="235" t="s">
        <v>634</v>
      </c>
      <c r="AV1757" s="246" t="s">
        <v>635</v>
      </c>
      <c r="AW1757" s="242"/>
      <c r="AX1757" s="242"/>
      <c r="AY1757" s="231"/>
      <c r="AZ1757" s="231"/>
      <c r="BA1757" s="227"/>
      <c r="BB1757" s="231"/>
      <c r="BC1757" s="227"/>
      <c r="BD1757" s="227"/>
      <c r="BE1757" s="227"/>
      <c r="BF1757" s="227"/>
    </row>
    <row r="1758">
      <c r="A1758" s="235" t="s">
        <v>13815</v>
      </c>
      <c r="C1758" s="235" t="s">
        <v>13816</v>
      </c>
      <c r="D1758" s="235" t="s">
        <v>13817</v>
      </c>
      <c r="E1758" s="243">
        <v>6.55E13</v>
      </c>
      <c r="F1758" s="245"/>
      <c r="G1758" s="235" t="s">
        <v>13818</v>
      </c>
      <c r="H1758" s="235" t="s">
        <v>13819</v>
      </c>
      <c r="I1758" s="235" t="s">
        <v>13819</v>
      </c>
      <c r="J1758" s="235" t="s">
        <v>13820</v>
      </c>
      <c r="K1758" s="235" t="s">
        <v>13821</v>
      </c>
      <c r="N1758" s="235" t="s">
        <v>127</v>
      </c>
      <c r="O1758" s="235" t="s">
        <v>794</v>
      </c>
      <c r="P1758" s="238">
        <v>1.0</v>
      </c>
      <c r="Q1758" s="235" t="s">
        <v>627</v>
      </c>
      <c r="R1758" s="238">
        <v>246.66</v>
      </c>
      <c r="S1758" s="238">
        <v>12.1</v>
      </c>
      <c r="T1758" s="238">
        <v>0.0</v>
      </c>
      <c r="U1758" s="238">
        <v>0.0</v>
      </c>
      <c r="V1758" s="238">
        <v>0.0</v>
      </c>
      <c r="W1758" s="238">
        <v>0.0</v>
      </c>
      <c r="X1758" s="235" t="s">
        <v>628</v>
      </c>
      <c r="Z1758" s="244"/>
      <c r="AA1758" s="244"/>
      <c r="AB1758" s="244"/>
      <c r="AC1758" s="235" t="s">
        <v>687</v>
      </c>
      <c r="AD1758" s="235" t="s">
        <v>666</v>
      </c>
      <c r="AE1758" s="238">
        <v>600011.0</v>
      </c>
      <c r="AF1758" s="235" t="s">
        <v>631</v>
      </c>
      <c r="AG1758" s="244"/>
      <c r="AH1758" s="244"/>
      <c r="AI1758" s="245"/>
      <c r="AJ1758" s="245"/>
      <c r="AK1758" s="245"/>
      <c r="AL1758" s="245"/>
      <c r="AM1758" s="244"/>
      <c r="AN1758" s="244"/>
      <c r="AO1758" s="238">
        <v>-4.94</v>
      </c>
      <c r="AP1758" s="238">
        <v>0.0</v>
      </c>
      <c r="AQ1758" s="235" t="s">
        <v>632</v>
      </c>
      <c r="AR1758" s="243">
        <v>1.68E11</v>
      </c>
      <c r="AS1758" s="235" t="s">
        <v>13822</v>
      </c>
      <c r="AT1758" s="235" t="s">
        <v>156</v>
      </c>
      <c r="AU1758" s="235" t="s">
        <v>634</v>
      </c>
      <c r="AV1758" s="246" t="s">
        <v>635</v>
      </c>
      <c r="AW1758" s="242"/>
      <c r="AX1758" s="242"/>
      <c r="AY1758" s="231"/>
      <c r="AZ1758" s="231"/>
      <c r="BA1758" s="227"/>
      <c r="BB1758" s="231"/>
      <c r="BC1758" s="227"/>
      <c r="BD1758" s="227"/>
      <c r="BE1758" s="227"/>
      <c r="BF1758" s="227"/>
    </row>
    <row r="1759">
      <c r="A1759" s="235" t="s">
        <v>13823</v>
      </c>
      <c r="C1759" s="235" t="s">
        <v>13824</v>
      </c>
      <c r="D1759" s="235" t="s">
        <v>13825</v>
      </c>
      <c r="E1759" s="243">
        <v>6.55E13</v>
      </c>
      <c r="F1759" s="245"/>
      <c r="G1759" s="235" t="s">
        <v>13826</v>
      </c>
      <c r="H1759" s="235" t="s">
        <v>13827</v>
      </c>
      <c r="I1759" s="235" t="s">
        <v>13827</v>
      </c>
      <c r="J1759" s="235" t="s">
        <v>13828</v>
      </c>
      <c r="K1759" s="235" t="s">
        <v>13829</v>
      </c>
      <c r="N1759" s="235" t="s">
        <v>154</v>
      </c>
      <c r="O1759" s="235" t="s">
        <v>766</v>
      </c>
      <c r="P1759" s="238">
        <v>1.0</v>
      </c>
      <c r="Q1759" s="235" t="s">
        <v>627</v>
      </c>
      <c r="R1759" s="238">
        <v>465.71</v>
      </c>
      <c r="S1759" s="238">
        <v>23.29</v>
      </c>
      <c r="T1759" s="238">
        <v>0.0</v>
      </c>
      <c r="U1759" s="238">
        <v>0.0</v>
      </c>
      <c r="V1759" s="238">
        <v>0.0</v>
      </c>
      <c r="W1759" s="238">
        <v>0.0</v>
      </c>
      <c r="X1759" s="235" t="s">
        <v>628</v>
      </c>
      <c r="Z1759" s="244"/>
      <c r="AA1759" s="244"/>
      <c r="AB1759" s="244"/>
      <c r="AC1759" s="235" t="s">
        <v>8003</v>
      </c>
      <c r="AD1759" s="235" t="s">
        <v>630</v>
      </c>
      <c r="AE1759" s="238">
        <v>202001.0</v>
      </c>
      <c r="AF1759" s="235" t="s">
        <v>631</v>
      </c>
      <c r="AG1759" s="244"/>
      <c r="AH1759" s="244"/>
      <c r="AI1759" s="245"/>
      <c r="AJ1759" s="245"/>
      <c r="AK1759" s="245"/>
      <c r="AL1759" s="245"/>
      <c r="AM1759" s="244"/>
      <c r="AN1759" s="244"/>
      <c r="AO1759" s="238">
        <v>0.0</v>
      </c>
      <c r="AP1759" s="238">
        <v>0.0</v>
      </c>
      <c r="AQ1759" s="235" t="s">
        <v>632</v>
      </c>
      <c r="AR1759" s="243">
        <v>3.71E11</v>
      </c>
      <c r="AS1759" s="235" t="s">
        <v>12693</v>
      </c>
      <c r="AT1759" s="235" t="s">
        <v>533</v>
      </c>
      <c r="AU1759" s="235" t="s">
        <v>634</v>
      </c>
      <c r="AV1759" s="246" t="s">
        <v>635</v>
      </c>
      <c r="AW1759" s="242"/>
      <c r="AX1759" s="242"/>
      <c r="AY1759" s="231"/>
      <c r="AZ1759" s="231"/>
      <c r="BA1759" s="227"/>
      <c r="BB1759" s="231"/>
      <c r="BC1759" s="227"/>
      <c r="BD1759" s="227"/>
      <c r="BE1759" s="227"/>
      <c r="BF1759" s="227"/>
    </row>
    <row r="1760">
      <c r="A1760" s="235" t="s">
        <v>13830</v>
      </c>
      <c r="C1760" s="235" t="s">
        <v>13831</v>
      </c>
      <c r="D1760" s="235" t="s">
        <v>13832</v>
      </c>
      <c r="E1760" s="243">
        <v>6.54E13</v>
      </c>
      <c r="F1760" s="245"/>
      <c r="G1760" s="235" t="s">
        <v>13833</v>
      </c>
      <c r="H1760" s="235" t="s">
        <v>13834</v>
      </c>
      <c r="I1760" s="235" t="s">
        <v>13834</v>
      </c>
      <c r="J1760" s="235" t="s">
        <v>13835</v>
      </c>
      <c r="K1760" s="235" t="s">
        <v>13836</v>
      </c>
      <c r="N1760" s="235" t="s">
        <v>962</v>
      </c>
      <c r="O1760" s="235" t="s">
        <v>963</v>
      </c>
      <c r="P1760" s="238">
        <v>1.0</v>
      </c>
      <c r="Q1760" s="235" t="s">
        <v>627</v>
      </c>
      <c r="R1760" s="238">
        <v>246.66</v>
      </c>
      <c r="S1760" s="238">
        <v>12.34</v>
      </c>
      <c r="T1760" s="238">
        <v>0.0</v>
      </c>
      <c r="U1760" s="238">
        <v>0.0</v>
      </c>
      <c r="V1760" s="238">
        <v>0.0</v>
      </c>
      <c r="W1760" s="238">
        <v>0.0</v>
      </c>
      <c r="X1760" s="235" t="s">
        <v>628</v>
      </c>
      <c r="Z1760" s="244"/>
      <c r="AA1760" s="244"/>
      <c r="AB1760" s="244"/>
      <c r="AC1760" s="235" t="s">
        <v>1887</v>
      </c>
      <c r="AD1760" s="235" t="s">
        <v>679</v>
      </c>
      <c r="AE1760" s="238">
        <v>560035.0</v>
      </c>
      <c r="AF1760" s="235" t="s">
        <v>631</v>
      </c>
      <c r="AG1760" s="244"/>
      <c r="AH1760" s="244"/>
      <c r="AI1760" s="245"/>
      <c r="AJ1760" s="245"/>
      <c r="AK1760" s="245"/>
      <c r="AL1760" s="245"/>
      <c r="AM1760" s="244"/>
      <c r="AN1760" s="244"/>
      <c r="AO1760" s="238">
        <v>0.0</v>
      </c>
      <c r="AP1760" s="238">
        <v>0.0</v>
      </c>
      <c r="AQ1760" s="235" t="s">
        <v>632</v>
      </c>
      <c r="AR1760" s="243">
        <v>3.71E11</v>
      </c>
      <c r="AS1760" s="235" t="s">
        <v>12693</v>
      </c>
      <c r="AT1760" s="235" t="s">
        <v>11</v>
      </c>
      <c r="AU1760" s="235" t="s">
        <v>634</v>
      </c>
      <c r="AV1760" s="246" t="s">
        <v>635</v>
      </c>
      <c r="AW1760" s="242"/>
      <c r="AX1760" s="242"/>
      <c r="AY1760" s="231"/>
      <c r="AZ1760" s="231"/>
      <c r="BA1760" s="227"/>
      <c r="BB1760" s="231"/>
      <c r="BC1760" s="227"/>
      <c r="BD1760" s="227"/>
      <c r="BE1760" s="227"/>
      <c r="BF1760" s="227"/>
    </row>
    <row r="1761">
      <c r="A1761" s="235" t="s">
        <v>13837</v>
      </c>
      <c r="C1761" s="235" t="s">
        <v>13838</v>
      </c>
      <c r="D1761" s="235" t="s">
        <v>13839</v>
      </c>
      <c r="E1761" s="243">
        <v>6.55E13</v>
      </c>
      <c r="F1761" s="245"/>
      <c r="G1761" s="235" t="s">
        <v>13840</v>
      </c>
      <c r="H1761" s="235" t="s">
        <v>13841</v>
      </c>
      <c r="I1761" s="235" t="s">
        <v>13842</v>
      </c>
      <c r="J1761" s="235" t="s">
        <v>13843</v>
      </c>
      <c r="K1761" s="235" t="s">
        <v>13844</v>
      </c>
      <c r="N1761" s="235" t="s">
        <v>144</v>
      </c>
      <c r="O1761" s="235" t="s">
        <v>232</v>
      </c>
      <c r="P1761" s="238">
        <v>1.0</v>
      </c>
      <c r="Q1761" s="235" t="s">
        <v>627</v>
      </c>
      <c r="R1761" s="238">
        <v>665.71</v>
      </c>
      <c r="S1761" s="238">
        <v>33.29</v>
      </c>
      <c r="T1761" s="238">
        <v>0.0</v>
      </c>
      <c r="U1761" s="238">
        <v>0.0</v>
      </c>
      <c r="V1761" s="238">
        <v>0.0</v>
      </c>
      <c r="W1761" s="238">
        <v>0.0</v>
      </c>
      <c r="X1761" s="235" t="s">
        <v>628</v>
      </c>
      <c r="Z1761" s="244"/>
      <c r="AA1761" s="244"/>
      <c r="AB1761" s="244"/>
      <c r="AC1761" s="235" t="s">
        <v>937</v>
      </c>
      <c r="AD1761" s="235" t="s">
        <v>709</v>
      </c>
      <c r="AE1761" s="238">
        <v>800020.0</v>
      </c>
      <c r="AF1761" s="235" t="s">
        <v>631</v>
      </c>
      <c r="AG1761" s="244"/>
      <c r="AH1761" s="244"/>
      <c r="AI1761" s="245"/>
      <c r="AJ1761" s="245"/>
      <c r="AK1761" s="245"/>
      <c r="AL1761" s="245"/>
      <c r="AM1761" s="244"/>
      <c r="AN1761" s="244"/>
      <c r="AO1761" s="238">
        <v>0.0</v>
      </c>
      <c r="AP1761" s="238">
        <v>0.0</v>
      </c>
      <c r="AQ1761" s="235" t="s">
        <v>632</v>
      </c>
      <c r="AR1761" s="243">
        <v>2.02E11</v>
      </c>
      <c r="AS1761" s="235" t="s">
        <v>12693</v>
      </c>
      <c r="AT1761" s="235" t="s">
        <v>13</v>
      </c>
      <c r="AU1761" s="235" t="s">
        <v>634</v>
      </c>
      <c r="AV1761" s="246" t="s">
        <v>635</v>
      </c>
      <c r="AW1761" s="242"/>
      <c r="AX1761" s="242"/>
      <c r="AY1761" s="231"/>
      <c r="AZ1761" s="231"/>
      <c r="BA1761" s="227"/>
      <c r="BB1761" s="231"/>
      <c r="BC1761" s="227"/>
      <c r="BD1761" s="227"/>
      <c r="BE1761" s="227"/>
      <c r="BF1761" s="227"/>
    </row>
    <row r="1762">
      <c r="A1762" s="235" t="s">
        <v>13845</v>
      </c>
      <c r="C1762" s="235" t="s">
        <v>13846</v>
      </c>
      <c r="D1762" s="235" t="s">
        <v>13847</v>
      </c>
      <c r="E1762" s="243">
        <v>6.54E13</v>
      </c>
      <c r="F1762" s="245"/>
      <c r="G1762" s="235" t="s">
        <v>13848</v>
      </c>
      <c r="H1762" s="235" t="s">
        <v>13849</v>
      </c>
      <c r="I1762" s="235" t="s">
        <v>13849</v>
      </c>
      <c r="J1762" s="235" t="s">
        <v>13850</v>
      </c>
      <c r="K1762" s="235" t="s">
        <v>13851</v>
      </c>
      <c r="N1762" s="235" t="s">
        <v>842</v>
      </c>
      <c r="O1762" s="235" t="s">
        <v>843</v>
      </c>
      <c r="P1762" s="238">
        <v>1.0</v>
      </c>
      <c r="Q1762" s="235" t="s">
        <v>627</v>
      </c>
      <c r="R1762" s="238">
        <v>246.67</v>
      </c>
      <c r="S1762" s="238">
        <v>12.33</v>
      </c>
      <c r="T1762" s="238">
        <v>38.1</v>
      </c>
      <c r="U1762" s="238">
        <v>1.9</v>
      </c>
      <c r="V1762" s="238">
        <v>0.0</v>
      </c>
      <c r="W1762" s="238">
        <v>0.0</v>
      </c>
      <c r="X1762" s="235" t="s">
        <v>628</v>
      </c>
      <c r="Z1762" s="244"/>
      <c r="AA1762" s="244"/>
      <c r="AB1762" s="244"/>
      <c r="AC1762" s="235" t="s">
        <v>10173</v>
      </c>
      <c r="AD1762" s="235" t="s">
        <v>917</v>
      </c>
      <c r="AE1762" s="238">
        <v>313001.0</v>
      </c>
      <c r="AF1762" s="235" t="s">
        <v>631</v>
      </c>
      <c r="AG1762" s="244"/>
      <c r="AH1762" s="244"/>
      <c r="AI1762" s="245"/>
      <c r="AJ1762" s="245"/>
      <c r="AK1762" s="245"/>
      <c r="AL1762" s="245"/>
      <c r="AM1762" s="244"/>
      <c r="AN1762" s="244"/>
      <c r="AO1762" s="238">
        <v>0.0</v>
      </c>
      <c r="AP1762" s="238">
        <v>-38.1</v>
      </c>
      <c r="AQ1762" s="235" t="s">
        <v>632</v>
      </c>
      <c r="AR1762" s="243">
        <v>3.71E11</v>
      </c>
      <c r="AS1762" s="235" t="s">
        <v>12693</v>
      </c>
      <c r="AT1762" s="235" t="s">
        <v>5</v>
      </c>
      <c r="AU1762" s="235" t="s">
        <v>634</v>
      </c>
      <c r="AV1762" s="246" t="s">
        <v>635</v>
      </c>
      <c r="AW1762" s="242"/>
      <c r="AX1762" s="242"/>
      <c r="AY1762" s="231"/>
      <c r="AZ1762" s="231"/>
      <c r="BA1762" s="227"/>
      <c r="BB1762" s="231"/>
      <c r="BC1762" s="227"/>
      <c r="BD1762" s="227"/>
      <c r="BE1762" s="227"/>
      <c r="BF1762" s="227"/>
    </row>
    <row r="1763">
      <c r="A1763" s="235" t="s">
        <v>13852</v>
      </c>
      <c r="C1763" s="235" t="s">
        <v>13853</v>
      </c>
      <c r="D1763" s="235" t="s">
        <v>13854</v>
      </c>
      <c r="E1763" s="243">
        <v>6.54E13</v>
      </c>
      <c r="F1763" s="245"/>
      <c r="G1763" s="235" t="s">
        <v>13855</v>
      </c>
      <c r="H1763" s="235" t="s">
        <v>13856</v>
      </c>
      <c r="I1763" s="235" t="s">
        <v>13857</v>
      </c>
      <c r="J1763" s="235" t="s">
        <v>13858</v>
      </c>
      <c r="K1763" s="235" t="s">
        <v>13859</v>
      </c>
      <c r="N1763" s="235" t="s">
        <v>962</v>
      </c>
      <c r="O1763" s="235" t="s">
        <v>963</v>
      </c>
      <c r="P1763" s="238">
        <v>1.0</v>
      </c>
      <c r="Q1763" s="235" t="s">
        <v>627</v>
      </c>
      <c r="R1763" s="238">
        <v>246.67</v>
      </c>
      <c r="S1763" s="238">
        <v>12.33</v>
      </c>
      <c r="T1763" s="238">
        <v>0.0</v>
      </c>
      <c r="U1763" s="238">
        <v>0.0</v>
      </c>
      <c r="V1763" s="238">
        <v>0.0</v>
      </c>
      <c r="W1763" s="238">
        <v>0.0</v>
      </c>
      <c r="X1763" s="235" t="s">
        <v>628</v>
      </c>
      <c r="Z1763" s="244"/>
      <c r="AA1763" s="244"/>
      <c r="AB1763" s="244"/>
      <c r="AC1763" s="235" t="s">
        <v>4596</v>
      </c>
      <c r="AD1763" s="235" t="s">
        <v>833</v>
      </c>
      <c r="AE1763" s="238">
        <v>532484.0</v>
      </c>
      <c r="AF1763" s="235" t="s">
        <v>631</v>
      </c>
      <c r="AG1763" s="244"/>
      <c r="AH1763" s="244"/>
      <c r="AI1763" s="245"/>
      <c r="AJ1763" s="245"/>
      <c r="AK1763" s="245"/>
      <c r="AL1763" s="245"/>
      <c r="AM1763" s="244"/>
      <c r="AN1763" s="244"/>
      <c r="AO1763" s="238">
        <v>0.0</v>
      </c>
      <c r="AP1763" s="238">
        <v>0.0</v>
      </c>
      <c r="AQ1763" s="235" t="s">
        <v>632</v>
      </c>
      <c r="AR1763" s="243">
        <v>3.71E11</v>
      </c>
      <c r="AS1763" s="235" t="s">
        <v>7365</v>
      </c>
      <c r="AT1763" s="235" t="s">
        <v>546</v>
      </c>
      <c r="AU1763" s="235" t="s">
        <v>634</v>
      </c>
      <c r="AV1763" s="246" t="s">
        <v>635</v>
      </c>
      <c r="AW1763" s="242"/>
      <c r="AX1763" s="242"/>
      <c r="AY1763" s="231"/>
      <c r="AZ1763" s="231"/>
      <c r="BA1763" s="227"/>
      <c r="BB1763" s="231"/>
      <c r="BC1763" s="227"/>
      <c r="BD1763" s="227"/>
      <c r="BE1763" s="227"/>
      <c r="BF1763" s="227"/>
    </row>
    <row r="1764">
      <c r="A1764" s="235" t="s">
        <v>13860</v>
      </c>
      <c r="C1764" s="235" t="s">
        <v>13861</v>
      </c>
      <c r="D1764" s="235" t="s">
        <v>13862</v>
      </c>
      <c r="E1764" s="243">
        <v>6.55E13</v>
      </c>
      <c r="F1764" s="245"/>
      <c r="G1764" s="235" t="s">
        <v>13863</v>
      </c>
      <c r="H1764" s="235" t="s">
        <v>13864</v>
      </c>
      <c r="I1764" s="235" t="s">
        <v>13864</v>
      </c>
      <c r="J1764" s="235" t="s">
        <v>13865</v>
      </c>
      <c r="K1764" s="235" t="s">
        <v>13866</v>
      </c>
      <c r="N1764" s="235" t="s">
        <v>141</v>
      </c>
      <c r="O1764" s="235" t="s">
        <v>342</v>
      </c>
      <c r="P1764" s="238">
        <v>1.0</v>
      </c>
      <c r="Q1764" s="235" t="s">
        <v>627</v>
      </c>
      <c r="R1764" s="238">
        <v>246.67</v>
      </c>
      <c r="S1764" s="238">
        <v>12.08</v>
      </c>
      <c r="T1764" s="238">
        <v>38.1</v>
      </c>
      <c r="U1764" s="238">
        <v>1.9</v>
      </c>
      <c r="V1764" s="238">
        <v>0.0</v>
      </c>
      <c r="W1764" s="238">
        <v>0.0</v>
      </c>
      <c r="X1764" s="235" t="s">
        <v>628</v>
      </c>
      <c r="Z1764" s="244"/>
      <c r="AA1764" s="244"/>
      <c r="AB1764" s="244"/>
      <c r="AC1764" s="235" t="s">
        <v>13867</v>
      </c>
      <c r="AD1764" s="235" t="s">
        <v>709</v>
      </c>
      <c r="AE1764" s="238">
        <v>803202.0</v>
      </c>
      <c r="AF1764" s="235" t="s">
        <v>631</v>
      </c>
      <c r="AG1764" s="244"/>
      <c r="AH1764" s="244"/>
      <c r="AI1764" s="245"/>
      <c r="AJ1764" s="245"/>
      <c r="AK1764" s="245"/>
      <c r="AL1764" s="245"/>
      <c r="AM1764" s="244"/>
      <c r="AN1764" s="244"/>
      <c r="AO1764" s="238">
        <v>-4.93</v>
      </c>
      <c r="AP1764" s="238">
        <v>-38.1</v>
      </c>
      <c r="AQ1764" s="235" t="s">
        <v>632</v>
      </c>
      <c r="AR1764" s="243">
        <v>3.71E11</v>
      </c>
      <c r="AS1764" s="235" t="s">
        <v>8807</v>
      </c>
      <c r="AT1764" s="235" t="s">
        <v>13</v>
      </c>
      <c r="AU1764" s="235" t="s">
        <v>634</v>
      </c>
      <c r="AV1764" s="246" t="s">
        <v>635</v>
      </c>
      <c r="AW1764" s="242"/>
      <c r="AX1764" s="242"/>
      <c r="AY1764" s="231"/>
      <c r="AZ1764" s="231"/>
      <c r="BA1764" s="227"/>
      <c r="BB1764" s="231"/>
      <c r="BC1764" s="227"/>
      <c r="BD1764" s="227"/>
      <c r="BE1764" s="227"/>
      <c r="BF1764" s="227"/>
    </row>
    <row r="1765">
      <c r="A1765" s="235" t="s">
        <v>13868</v>
      </c>
      <c r="C1765" s="235" t="s">
        <v>13869</v>
      </c>
      <c r="D1765" s="235" t="s">
        <v>13870</v>
      </c>
      <c r="E1765" s="243">
        <v>6.54E13</v>
      </c>
      <c r="F1765" s="245"/>
      <c r="G1765" s="235" t="s">
        <v>13871</v>
      </c>
      <c r="H1765" s="235" t="s">
        <v>13872</v>
      </c>
      <c r="I1765" s="235" t="s">
        <v>13872</v>
      </c>
      <c r="J1765" s="235" t="s">
        <v>13873</v>
      </c>
      <c r="K1765" s="235" t="s">
        <v>13874</v>
      </c>
      <c r="N1765" s="235" t="s">
        <v>127</v>
      </c>
      <c r="O1765" s="235" t="s">
        <v>794</v>
      </c>
      <c r="P1765" s="238">
        <v>1.0</v>
      </c>
      <c r="Q1765" s="235" t="s">
        <v>627</v>
      </c>
      <c r="R1765" s="238">
        <v>246.67</v>
      </c>
      <c r="S1765" s="238">
        <v>12.08</v>
      </c>
      <c r="T1765" s="238">
        <v>0.0</v>
      </c>
      <c r="U1765" s="238">
        <v>0.0</v>
      </c>
      <c r="V1765" s="238">
        <v>0.0</v>
      </c>
      <c r="W1765" s="238">
        <v>0.0</v>
      </c>
      <c r="X1765" s="235" t="s">
        <v>628</v>
      </c>
      <c r="Z1765" s="244"/>
      <c r="AA1765" s="244"/>
      <c r="AB1765" s="244"/>
      <c r="AC1765" s="235" t="s">
        <v>13875</v>
      </c>
      <c r="AD1765" s="235" t="s">
        <v>709</v>
      </c>
      <c r="AE1765" s="238">
        <v>800020.0</v>
      </c>
      <c r="AF1765" s="235" t="s">
        <v>631</v>
      </c>
      <c r="AG1765" s="244"/>
      <c r="AH1765" s="244"/>
      <c r="AI1765" s="245"/>
      <c r="AJ1765" s="245"/>
      <c r="AK1765" s="245"/>
      <c r="AL1765" s="245"/>
      <c r="AM1765" s="244"/>
      <c r="AN1765" s="244"/>
      <c r="AO1765" s="238">
        <v>-4.93</v>
      </c>
      <c r="AP1765" s="238">
        <v>0.0</v>
      </c>
      <c r="AQ1765" s="235" t="s">
        <v>632</v>
      </c>
      <c r="AR1765" s="243">
        <v>1.68E11</v>
      </c>
      <c r="AS1765" s="235" t="s">
        <v>11171</v>
      </c>
      <c r="AT1765" s="235" t="s">
        <v>14</v>
      </c>
      <c r="AU1765" s="235" t="s">
        <v>634</v>
      </c>
      <c r="AV1765" s="246" t="s">
        <v>635</v>
      </c>
      <c r="AW1765" s="242"/>
      <c r="AX1765" s="242"/>
      <c r="AY1765" s="231"/>
      <c r="AZ1765" s="231"/>
      <c r="BA1765" s="227"/>
      <c r="BB1765" s="231"/>
      <c r="BC1765" s="227"/>
      <c r="BD1765" s="227"/>
      <c r="BE1765" s="227"/>
      <c r="BF1765" s="227"/>
    </row>
    <row r="1766">
      <c r="A1766" s="235" t="s">
        <v>13876</v>
      </c>
      <c r="C1766" s="235" t="s">
        <v>13877</v>
      </c>
      <c r="D1766" s="235" t="s">
        <v>13878</v>
      </c>
      <c r="E1766" s="243">
        <v>6.54E13</v>
      </c>
      <c r="F1766" s="245"/>
      <c r="G1766" s="235" t="s">
        <v>13879</v>
      </c>
      <c r="H1766" s="235" t="s">
        <v>13880</v>
      </c>
      <c r="I1766" s="235" t="s">
        <v>13880</v>
      </c>
      <c r="J1766" s="235" t="s">
        <v>13881</v>
      </c>
      <c r="K1766" s="235" t="s">
        <v>13882</v>
      </c>
      <c r="N1766" s="235" t="s">
        <v>82</v>
      </c>
      <c r="O1766" s="235" t="s">
        <v>889</v>
      </c>
      <c r="P1766" s="238">
        <v>1.0</v>
      </c>
      <c r="Q1766" s="235" t="s">
        <v>627</v>
      </c>
      <c r="R1766" s="238">
        <v>246.67</v>
      </c>
      <c r="S1766" s="238">
        <v>12.33</v>
      </c>
      <c r="T1766" s="238">
        <v>38.1</v>
      </c>
      <c r="U1766" s="238">
        <v>1.9</v>
      </c>
      <c r="V1766" s="238">
        <v>0.0</v>
      </c>
      <c r="W1766" s="238">
        <v>0.0</v>
      </c>
      <c r="X1766" s="235" t="s">
        <v>628</v>
      </c>
      <c r="Z1766" s="244"/>
      <c r="AA1766" s="244"/>
      <c r="AB1766" s="244"/>
      <c r="AC1766" s="235" t="s">
        <v>697</v>
      </c>
      <c r="AD1766" s="235" t="s">
        <v>698</v>
      </c>
      <c r="AE1766" s="238">
        <v>500055.0</v>
      </c>
      <c r="AF1766" s="235" t="s">
        <v>631</v>
      </c>
      <c r="AG1766" s="244"/>
      <c r="AH1766" s="244"/>
      <c r="AI1766" s="245"/>
      <c r="AJ1766" s="245"/>
      <c r="AK1766" s="245"/>
      <c r="AL1766" s="245"/>
      <c r="AM1766" s="244"/>
      <c r="AN1766" s="244"/>
      <c r="AO1766" s="238">
        <v>0.0</v>
      </c>
      <c r="AP1766" s="238">
        <v>-38.1</v>
      </c>
      <c r="AQ1766" s="235" t="s">
        <v>632</v>
      </c>
      <c r="AR1766" s="243">
        <v>3.71E11</v>
      </c>
      <c r="AS1766" s="235" t="s">
        <v>10017</v>
      </c>
      <c r="AT1766" s="235" t="s">
        <v>546</v>
      </c>
      <c r="AU1766" s="235" t="s">
        <v>634</v>
      </c>
      <c r="AV1766" s="246" t="s">
        <v>635</v>
      </c>
      <c r="AW1766" s="242"/>
      <c r="AX1766" s="242"/>
      <c r="AY1766" s="231"/>
      <c r="AZ1766" s="231"/>
      <c r="BA1766" s="227"/>
      <c r="BB1766" s="231"/>
      <c r="BC1766" s="227"/>
      <c r="BD1766" s="227"/>
      <c r="BE1766" s="227"/>
      <c r="BF1766" s="227"/>
    </row>
    <row r="1767">
      <c r="A1767" s="235" t="s">
        <v>13883</v>
      </c>
      <c r="C1767" s="235" t="s">
        <v>13884</v>
      </c>
      <c r="D1767" s="235" t="s">
        <v>13885</v>
      </c>
      <c r="E1767" s="243">
        <v>6.54E13</v>
      </c>
      <c r="F1767" s="245"/>
      <c r="G1767" s="235" t="s">
        <v>13886</v>
      </c>
      <c r="H1767" s="235" t="s">
        <v>13887</v>
      </c>
      <c r="I1767" s="235" t="s">
        <v>13887</v>
      </c>
      <c r="J1767" s="235" t="s">
        <v>13888</v>
      </c>
      <c r="K1767" s="235" t="s">
        <v>13889</v>
      </c>
      <c r="N1767" s="235" t="s">
        <v>127</v>
      </c>
      <c r="O1767" s="235" t="s">
        <v>794</v>
      </c>
      <c r="P1767" s="238">
        <v>1.0</v>
      </c>
      <c r="Q1767" s="235" t="s">
        <v>627</v>
      </c>
      <c r="R1767" s="238">
        <v>246.67</v>
      </c>
      <c r="S1767" s="238">
        <v>12.33</v>
      </c>
      <c r="T1767" s="238">
        <v>0.0</v>
      </c>
      <c r="U1767" s="238">
        <v>0.0</v>
      </c>
      <c r="V1767" s="238">
        <v>0.0</v>
      </c>
      <c r="W1767" s="238">
        <v>0.0</v>
      </c>
      <c r="X1767" s="235" t="s">
        <v>628</v>
      </c>
      <c r="Z1767" s="244"/>
      <c r="AA1767" s="244"/>
      <c r="AB1767" s="244"/>
      <c r="AC1767" s="235" t="s">
        <v>13890</v>
      </c>
      <c r="AD1767" s="235" t="s">
        <v>630</v>
      </c>
      <c r="AE1767" s="238">
        <v>243006.0</v>
      </c>
      <c r="AF1767" s="235" t="s">
        <v>631</v>
      </c>
      <c r="AG1767" s="244"/>
      <c r="AH1767" s="244"/>
      <c r="AI1767" s="245"/>
      <c r="AJ1767" s="245"/>
      <c r="AK1767" s="245"/>
      <c r="AL1767" s="245"/>
      <c r="AM1767" s="244"/>
      <c r="AN1767" s="244"/>
      <c r="AO1767" s="238">
        <v>0.0</v>
      </c>
      <c r="AP1767" s="238">
        <v>0.0</v>
      </c>
      <c r="AQ1767" s="235" t="s">
        <v>632</v>
      </c>
      <c r="AR1767" s="243">
        <v>3.71E11</v>
      </c>
      <c r="AS1767" s="235" t="s">
        <v>11171</v>
      </c>
      <c r="AT1767" s="235" t="s">
        <v>13</v>
      </c>
      <c r="AU1767" s="235" t="s">
        <v>634</v>
      </c>
      <c r="AV1767" s="246" t="s">
        <v>635</v>
      </c>
      <c r="AW1767" s="242"/>
      <c r="AX1767" s="242"/>
      <c r="AY1767" s="231"/>
      <c r="AZ1767" s="231"/>
      <c r="BA1767" s="227"/>
      <c r="BB1767" s="231"/>
      <c r="BC1767" s="227"/>
      <c r="BD1767" s="227"/>
      <c r="BE1767" s="227"/>
      <c r="BF1767" s="227"/>
    </row>
    <row r="1768">
      <c r="A1768" s="235" t="s">
        <v>13891</v>
      </c>
      <c r="C1768" s="235" t="s">
        <v>13892</v>
      </c>
      <c r="D1768" s="235" t="s">
        <v>13893</v>
      </c>
      <c r="E1768" s="243">
        <v>6.55E13</v>
      </c>
      <c r="F1768" s="245"/>
      <c r="G1768" s="235" t="s">
        <v>13894</v>
      </c>
      <c r="H1768" s="235" t="s">
        <v>13895</v>
      </c>
      <c r="I1768" s="235" t="s">
        <v>13896</v>
      </c>
      <c r="J1768" s="235" t="s">
        <v>13897</v>
      </c>
      <c r="K1768" s="235" t="s">
        <v>13898</v>
      </c>
      <c r="N1768" s="235" t="s">
        <v>962</v>
      </c>
      <c r="O1768" s="235" t="s">
        <v>963</v>
      </c>
      <c r="P1768" s="238">
        <v>1.0</v>
      </c>
      <c r="Q1768" s="235" t="s">
        <v>627</v>
      </c>
      <c r="R1768" s="238">
        <v>246.67</v>
      </c>
      <c r="S1768" s="238">
        <v>12.08</v>
      </c>
      <c r="T1768" s="238">
        <v>0.0</v>
      </c>
      <c r="U1768" s="238">
        <v>0.0</v>
      </c>
      <c r="V1768" s="238">
        <v>0.0</v>
      </c>
      <c r="W1768" s="238">
        <v>0.0</v>
      </c>
      <c r="X1768" s="235" t="s">
        <v>628</v>
      </c>
      <c r="Z1768" s="244"/>
      <c r="AA1768" s="244"/>
      <c r="AB1768" s="244"/>
      <c r="AC1768" s="235" t="s">
        <v>5091</v>
      </c>
      <c r="AD1768" s="235" t="s">
        <v>845</v>
      </c>
      <c r="AE1768" s="238">
        <v>440017.0</v>
      </c>
      <c r="AF1768" s="235" t="s">
        <v>631</v>
      </c>
      <c r="AG1768" s="244"/>
      <c r="AH1768" s="244"/>
      <c r="AI1768" s="245"/>
      <c r="AJ1768" s="245"/>
      <c r="AK1768" s="245"/>
      <c r="AL1768" s="245"/>
      <c r="AM1768" s="244"/>
      <c r="AN1768" s="244"/>
      <c r="AO1768" s="238">
        <v>-4.93</v>
      </c>
      <c r="AP1768" s="238">
        <v>0.0</v>
      </c>
      <c r="AQ1768" s="235" t="s">
        <v>632</v>
      </c>
      <c r="AR1768" s="243">
        <v>2.02E11</v>
      </c>
      <c r="AS1768" s="235" t="s">
        <v>12693</v>
      </c>
      <c r="AT1768" s="235" t="s">
        <v>14</v>
      </c>
      <c r="AU1768" s="235" t="s">
        <v>634</v>
      </c>
      <c r="AV1768" s="246" t="s">
        <v>635</v>
      </c>
      <c r="AW1768" s="242"/>
      <c r="AX1768" s="242"/>
      <c r="AY1768" s="231"/>
      <c r="AZ1768" s="231"/>
      <c r="BA1768" s="227"/>
      <c r="BB1768" s="231"/>
      <c r="BC1768" s="227"/>
      <c r="BD1768" s="227"/>
      <c r="BE1768" s="227"/>
      <c r="BF1768" s="227"/>
    </row>
    <row r="1769">
      <c r="A1769" s="235" t="s">
        <v>13899</v>
      </c>
      <c r="C1769" s="235" t="s">
        <v>13900</v>
      </c>
      <c r="D1769" s="235" t="s">
        <v>13901</v>
      </c>
      <c r="E1769" s="243">
        <v>6.53E13</v>
      </c>
      <c r="F1769" s="245"/>
      <c r="G1769" s="235" t="s">
        <v>13902</v>
      </c>
      <c r="H1769" s="235" t="s">
        <v>13903</v>
      </c>
      <c r="I1769" s="235" t="s">
        <v>13903</v>
      </c>
      <c r="J1769" s="235" t="s">
        <v>13904</v>
      </c>
      <c r="K1769" s="235" t="s">
        <v>13905</v>
      </c>
      <c r="N1769" s="235" t="s">
        <v>962</v>
      </c>
      <c r="O1769" s="235" t="s">
        <v>963</v>
      </c>
      <c r="P1769" s="238">
        <v>1.0</v>
      </c>
      <c r="Q1769" s="235" t="s">
        <v>627</v>
      </c>
      <c r="R1769" s="238">
        <v>245.72</v>
      </c>
      <c r="S1769" s="238">
        <v>12.28</v>
      </c>
      <c r="T1769" s="238">
        <v>0.0</v>
      </c>
      <c r="U1769" s="238">
        <v>0.0</v>
      </c>
      <c r="V1769" s="238">
        <v>0.0</v>
      </c>
      <c r="W1769" s="238">
        <v>0.0</v>
      </c>
      <c r="X1769" s="235" t="s">
        <v>628</v>
      </c>
      <c r="Z1769" s="244"/>
      <c r="AA1769" s="244"/>
      <c r="AB1769" s="244"/>
      <c r="AC1769" s="235" t="s">
        <v>1058</v>
      </c>
      <c r="AD1769" s="235" t="s">
        <v>845</v>
      </c>
      <c r="AE1769" s="238">
        <v>400075.0</v>
      </c>
      <c r="AF1769" s="235" t="s">
        <v>631</v>
      </c>
      <c r="AG1769" s="244"/>
      <c r="AH1769" s="244"/>
      <c r="AI1769" s="245"/>
      <c r="AJ1769" s="245"/>
      <c r="AK1769" s="245"/>
      <c r="AL1769" s="245"/>
      <c r="AM1769" s="244"/>
      <c r="AN1769" s="244"/>
      <c r="AO1769" s="238">
        <v>0.0</v>
      </c>
      <c r="AP1769" s="238">
        <v>0.0</v>
      </c>
      <c r="AQ1769" s="235" t="s">
        <v>632</v>
      </c>
      <c r="AR1769" s="243">
        <v>3.71E11</v>
      </c>
      <c r="AS1769" s="235" t="s">
        <v>12693</v>
      </c>
      <c r="AT1769" s="235" t="s">
        <v>16</v>
      </c>
      <c r="AU1769" s="235" t="s">
        <v>634</v>
      </c>
      <c r="AV1769" s="246" t="s">
        <v>635</v>
      </c>
      <c r="AW1769" s="242"/>
      <c r="AX1769" s="242"/>
      <c r="AY1769" s="231"/>
      <c r="AZ1769" s="231"/>
      <c r="BA1769" s="227"/>
      <c r="BB1769" s="231"/>
      <c r="BC1769" s="227"/>
      <c r="BD1769" s="227"/>
      <c r="BE1769" s="227"/>
      <c r="BF1769" s="227"/>
    </row>
    <row r="1770">
      <c r="A1770" s="235" t="s">
        <v>13906</v>
      </c>
      <c r="C1770" s="235" t="s">
        <v>13907</v>
      </c>
      <c r="D1770" s="235" t="s">
        <v>13908</v>
      </c>
      <c r="E1770" s="243">
        <v>6.54E13</v>
      </c>
      <c r="F1770" s="245"/>
      <c r="G1770" s="235" t="s">
        <v>13909</v>
      </c>
      <c r="H1770" s="235" t="s">
        <v>13910</v>
      </c>
      <c r="I1770" s="235" t="s">
        <v>13910</v>
      </c>
      <c r="J1770" s="235" t="s">
        <v>13911</v>
      </c>
      <c r="K1770" s="235" t="s">
        <v>13912</v>
      </c>
      <c r="N1770" s="235" t="s">
        <v>104</v>
      </c>
      <c r="O1770" s="235" t="s">
        <v>401</v>
      </c>
      <c r="P1770" s="238">
        <v>1.0</v>
      </c>
      <c r="Q1770" s="235" t="s">
        <v>627</v>
      </c>
      <c r="R1770" s="238">
        <v>246.66</v>
      </c>
      <c r="S1770" s="238">
        <v>12.1</v>
      </c>
      <c r="T1770" s="238">
        <v>0.0</v>
      </c>
      <c r="U1770" s="238">
        <v>0.0</v>
      </c>
      <c r="V1770" s="238">
        <v>0.0</v>
      </c>
      <c r="W1770" s="238">
        <v>0.0</v>
      </c>
      <c r="X1770" s="235" t="s">
        <v>628</v>
      </c>
      <c r="Z1770" s="244"/>
      <c r="AA1770" s="244"/>
      <c r="AB1770" s="244"/>
      <c r="AC1770" s="235" t="s">
        <v>2647</v>
      </c>
      <c r="AD1770" s="235" t="s">
        <v>845</v>
      </c>
      <c r="AE1770" s="238">
        <v>400607.0</v>
      </c>
      <c r="AF1770" s="235" t="s">
        <v>631</v>
      </c>
      <c r="AG1770" s="244"/>
      <c r="AH1770" s="244"/>
      <c r="AI1770" s="245"/>
      <c r="AJ1770" s="245"/>
      <c r="AK1770" s="245"/>
      <c r="AL1770" s="245"/>
      <c r="AM1770" s="244"/>
      <c r="AN1770" s="244"/>
      <c r="AO1770" s="238">
        <v>-4.94</v>
      </c>
      <c r="AP1770" s="238">
        <v>0.0</v>
      </c>
      <c r="AQ1770" s="235" t="s">
        <v>632</v>
      </c>
      <c r="AR1770" s="243">
        <v>3.71E11</v>
      </c>
      <c r="AS1770" s="235" t="s">
        <v>12693</v>
      </c>
      <c r="AT1770" s="235" t="s">
        <v>16</v>
      </c>
      <c r="AU1770" s="235" t="s">
        <v>634</v>
      </c>
      <c r="AV1770" s="246" t="s">
        <v>635</v>
      </c>
      <c r="AW1770" s="242"/>
      <c r="AX1770" s="242"/>
      <c r="AY1770" s="231"/>
      <c r="AZ1770" s="231"/>
      <c r="BA1770" s="227"/>
      <c r="BB1770" s="231"/>
      <c r="BC1770" s="227"/>
      <c r="BD1770" s="227"/>
      <c r="BE1770" s="227"/>
      <c r="BF1770" s="227"/>
    </row>
    <row r="1771">
      <c r="A1771" s="235" t="s">
        <v>13913</v>
      </c>
      <c r="C1771" s="235" t="s">
        <v>13914</v>
      </c>
      <c r="D1771" s="235" t="s">
        <v>13915</v>
      </c>
      <c r="E1771" s="243">
        <v>6.54E13</v>
      </c>
      <c r="F1771" s="245"/>
      <c r="G1771" s="235" t="s">
        <v>13916</v>
      </c>
      <c r="H1771" s="235" t="s">
        <v>13917</v>
      </c>
      <c r="I1771" s="235" t="s">
        <v>13917</v>
      </c>
      <c r="J1771" s="235" t="s">
        <v>13918</v>
      </c>
      <c r="K1771" s="235" t="s">
        <v>13919</v>
      </c>
      <c r="N1771" s="235" t="s">
        <v>130</v>
      </c>
      <c r="O1771" s="235" t="s">
        <v>707</v>
      </c>
      <c r="P1771" s="238">
        <v>1.0</v>
      </c>
      <c r="Q1771" s="235" t="s">
        <v>627</v>
      </c>
      <c r="R1771" s="238">
        <v>246.67</v>
      </c>
      <c r="S1771" s="238">
        <v>12.33</v>
      </c>
      <c r="T1771" s="238">
        <v>0.0</v>
      </c>
      <c r="U1771" s="238">
        <v>0.0</v>
      </c>
      <c r="V1771" s="238">
        <v>0.0</v>
      </c>
      <c r="W1771" s="238">
        <v>0.0</v>
      </c>
      <c r="X1771" s="235" t="s">
        <v>628</v>
      </c>
      <c r="Z1771" s="244"/>
      <c r="AA1771" s="244"/>
      <c r="AB1771" s="244"/>
      <c r="AC1771" s="235" t="s">
        <v>697</v>
      </c>
      <c r="AD1771" s="235" t="s">
        <v>698</v>
      </c>
      <c r="AE1771" s="238">
        <v>500008.0</v>
      </c>
      <c r="AF1771" s="235" t="s">
        <v>631</v>
      </c>
      <c r="AG1771" s="244"/>
      <c r="AH1771" s="244"/>
      <c r="AI1771" s="245"/>
      <c r="AJ1771" s="245"/>
      <c r="AK1771" s="245"/>
      <c r="AL1771" s="245"/>
      <c r="AM1771" s="244"/>
      <c r="AN1771" s="244"/>
      <c r="AO1771" s="238">
        <v>0.0</v>
      </c>
      <c r="AP1771" s="238">
        <v>0.0</v>
      </c>
      <c r="AQ1771" s="235" t="s">
        <v>632</v>
      </c>
      <c r="AR1771" s="243">
        <v>1.68E11</v>
      </c>
      <c r="AS1771" s="235" t="s">
        <v>12693</v>
      </c>
      <c r="AT1771" s="235" t="s">
        <v>9</v>
      </c>
      <c r="AU1771" s="235" t="s">
        <v>634</v>
      </c>
      <c r="AV1771" s="246" t="s">
        <v>635</v>
      </c>
      <c r="AW1771" s="242"/>
      <c r="AX1771" s="242"/>
      <c r="AY1771" s="231"/>
      <c r="AZ1771" s="231"/>
      <c r="BA1771" s="227"/>
      <c r="BB1771" s="231"/>
      <c r="BC1771" s="227"/>
      <c r="BD1771" s="227"/>
      <c r="BE1771" s="227"/>
      <c r="BF1771" s="227"/>
    </row>
    <row r="1772">
      <c r="A1772" s="235" t="s">
        <v>13920</v>
      </c>
      <c r="C1772" s="235" t="s">
        <v>13921</v>
      </c>
      <c r="D1772" s="235" t="s">
        <v>13922</v>
      </c>
      <c r="E1772" s="243">
        <v>6.54E13</v>
      </c>
      <c r="F1772" s="245"/>
      <c r="G1772" s="235" t="s">
        <v>13923</v>
      </c>
      <c r="H1772" s="235" t="s">
        <v>13924</v>
      </c>
      <c r="I1772" s="235" t="s">
        <v>13924</v>
      </c>
      <c r="J1772" s="235" t="s">
        <v>13925</v>
      </c>
      <c r="K1772" s="235" t="s">
        <v>13926</v>
      </c>
      <c r="N1772" s="235" t="s">
        <v>68</v>
      </c>
      <c r="O1772" s="235" t="s">
        <v>208</v>
      </c>
      <c r="P1772" s="238">
        <v>1.0</v>
      </c>
      <c r="Q1772" s="235" t="s">
        <v>627</v>
      </c>
      <c r="R1772" s="238">
        <v>246.67</v>
      </c>
      <c r="S1772" s="238">
        <v>12.33</v>
      </c>
      <c r="T1772" s="238">
        <v>0.0</v>
      </c>
      <c r="U1772" s="238">
        <v>0.0</v>
      </c>
      <c r="V1772" s="238">
        <v>0.0</v>
      </c>
      <c r="W1772" s="238">
        <v>0.0</v>
      </c>
      <c r="X1772" s="235" t="s">
        <v>628</v>
      </c>
      <c r="Z1772" s="244"/>
      <c r="AA1772" s="244"/>
      <c r="AB1772" s="244"/>
      <c r="AC1772" s="235" t="s">
        <v>3912</v>
      </c>
      <c r="AD1772" s="235" t="s">
        <v>3913</v>
      </c>
      <c r="AE1772" s="238">
        <v>797116.0</v>
      </c>
      <c r="AF1772" s="235" t="s">
        <v>631</v>
      </c>
      <c r="AG1772" s="244"/>
      <c r="AH1772" s="244"/>
      <c r="AI1772" s="245"/>
      <c r="AJ1772" s="245"/>
      <c r="AK1772" s="245"/>
      <c r="AL1772" s="245"/>
      <c r="AM1772" s="244"/>
      <c r="AN1772" s="244"/>
      <c r="AO1772" s="238">
        <v>0.0</v>
      </c>
      <c r="AP1772" s="238">
        <v>0.0</v>
      </c>
      <c r="AQ1772" s="235" t="s">
        <v>632</v>
      </c>
      <c r="AR1772" s="243">
        <v>3.71E11</v>
      </c>
      <c r="AS1772" s="235" t="s">
        <v>6164</v>
      </c>
      <c r="AT1772" s="235" t="s">
        <v>13</v>
      </c>
      <c r="AU1772" s="235" t="s">
        <v>634</v>
      </c>
      <c r="AV1772" s="246" t="s">
        <v>635</v>
      </c>
      <c r="AW1772" s="242"/>
      <c r="AX1772" s="242"/>
      <c r="AY1772" s="231"/>
      <c r="AZ1772" s="231"/>
      <c r="BA1772" s="227"/>
      <c r="BB1772" s="231"/>
      <c r="BC1772" s="227"/>
      <c r="BD1772" s="227"/>
      <c r="BE1772" s="227"/>
      <c r="BF1772" s="227"/>
    </row>
    <row r="1773">
      <c r="A1773" s="235" t="s">
        <v>13927</v>
      </c>
      <c r="C1773" s="235" t="s">
        <v>13928</v>
      </c>
      <c r="D1773" s="235" t="s">
        <v>13929</v>
      </c>
      <c r="E1773" s="243">
        <v>6.54E13</v>
      </c>
      <c r="F1773" s="245"/>
      <c r="G1773" s="235" t="s">
        <v>13930</v>
      </c>
      <c r="H1773" s="235" t="s">
        <v>13931</v>
      </c>
      <c r="I1773" s="235" t="s">
        <v>13931</v>
      </c>
      <c r="J1773" s="235" t="s">
        <v>13932</v>
      </c>
      <c r="K1773" s="235" t="s">
        <v>13933</v>
      </c>
      <c r="N1773" s="235" t="s">
        <v>22</v>
      </c>
      <c r="O1773" s="235" t="s">
        <v>729</v>
      </c>
      <c r="P1773" s="238">
        <v>1.0</v>
      </c>
      <c r="Q1773" s="235" t="s">
        <v>627</v>
      </c>
      <c r="R1773" s="238">
        <v>360.95</v>
      </c>
      <c r="S1773" s="238">
        <v>18.05</v>
      </c>
      <c r="T1773" s="238">
        <v>0.0</v>
      </c>
      <c r="U1773" s="238">
        <v>0.0</v>
      </c>
      <c r="V1773" s="238">
        <v>0.0</v>
      </c>
      <c r="W1773" s="238">
        <v>0.0</v>
      </c>
      <c r="X1773" s="235" t="s">
        <v>628</v>
      </c>
      <c r="Z1773" s="244"/>
      <c r="AA1773" s="244"/>
      <c r="AB1773" s="244"/>
      <c r="AC1773" s="235" t="s">
        <v>13934</v>
      </c>
      <c r="AD1773" s="235" t="s">
        <v>1086</v>
      </c>
      <c r="AE1773" s="238">
        <v>152004.0</v>
      </c>
      <c r="AF1773" s="235" t="s">
        <v>631</v>
      </c>
      <c r="AG1773" s="244"/>
      <c r="AH1773" s="244"/>
      <c r="AI1773" s="245"/>
      <c r="AJ1773" s="245"/>
      <c r="AK1773" s="245"/>
      <c r="AL1773" s="245"/>
      <c r="AM1773" s="244"/>
      <c r="AN1773" s="244"/>
      <c r="AO1773" s="238">
        <v>0.0</v>
      </c>
      <c r="AP1773" s="238">
        <v>0.0</v>
      </c>
      <c r="AQ1773" s="235" t="s">
        <v>632</v>
      </c>
      <c r="AR1773" s="243">
        <v>3.71E11</v>
      </c>
      <c r="AS1773" s="235" t="s">
        <v>11171</v>
      </c>
      <c r="AT1773" s="235" t="s">
        <v>533</v>
      </c>
      <c r="AU1773" s="235" t="s">
        <v>634</v>
      </c>
      <c r="AV1773" s="246" t="s">
        <v>635</v>
      </c>
      <c r="AW1773" s="242"/>
      <c r="AX1773" s="242"/>
      <c r="AY1773" s="231"/>
      <c r="AZ1773" s="231"/>
      <c r="BA1773" s="227"/>
      <c r="BB1773" s="231"/>
      <c r="BC1773" s="227"/>
      <c r="BD1773" s="227"/>
      <c r="BE1773" s="227"/>
      <c r="BF1773" s="227"/>
    </row>
    <row r="1774">
      <c r="A1774" s="235" t="s">
        <v>13935</v>
      </c>
      <c r="C1774" s="235" t="s">
        <v>13936</v>
      </c>
      <c r="D1774" s="235" t="s">
        <v>13937</v>
      </c>
      <c r="E1774" s="243">
        <v>6.54E13</v>
      </c>
      <c r="F1774" s="245"/>
      <c r="G1774" s="235" t="s">
        <v>13938</v>
      </c>
      <c r="H1774" s="235" t="s">
        <v>13939</v>
      </c>
      <c r="I1774" s="235" t="s">
        <v>13939</v>
      </c>
      <c r="J1774" s="235" t="s">
        <v>13940</v>
      </c>
      <c r="K1774" s="235" t="s">
        <v>13941</v>
      </c>
      <c r="N1774" s="235" t="s">
        <v>42</v>
      </c>
      <c r="O1774" s="235" t="s">
        <v>204</v>
      </c>
      <c r="P1774" s="238">
        <v>1.0</v>
      </c>
      <c r="Q1774" s="235" t="s">
        <v>627</v>
      </c>
      <c r="R1774" s="238">
        <v>237.14</v>
      </c>
      <c r="S1774" s="238">
        <v>11.86</v>
      </c>
      <c r="T1774" s="238">
        <v>38.1</v>
      </c>
      <c r="U1774" s="238">
        <v>1.9</v>
      </c>
      <c r="V1774" s="238">
        <v>0.0</v>
      </c>
      <c r="W1774" s="238">
        <v>0.0</v>
      </c>
      <c r="X1774" s="235" t="s">
        <v>628</v>
      </c>
      <c r="Z1774" s="244"/>
      <c r="AA1774" s="244"/>
      <c r="AB1774" s="244"/>
      <c r="AC1774" s="235" t="s">
        <v>687</v>
      </c>
      <c r="AD1774" s="235" t="s">
        <v>666</v>
      </c>
      <c r="AE1774" s="238">
        <v>600077.0</v>
      </c>
      <c r="AF1774" s="235" t="s">
        <v>631</v>
      </c>
      <c r="AG1774" s="244"/>
      <c r="AH1774" s="244"/>
      <c r="AI1774" s="245"/>
      <c r="AJ1774" s="245"/>
      <c r="AK1774" s="245"/>
      <c r="AL1774" s="245"/>
      <c r="AM1774" s="244"/>
      <c r="AN1774" s="244"/>
      <c r="AO1774" s="238">
        <v>0.0</v>
      </c>
      <c r="AP1774" s="238">
        <v>-38.1</v>
      </c>
      <c r="AQ1774" s="235" t="s">
        <v>632</v>
      </c>
      <c r="AR1774" s="243">
        <v>3.71E11</v>
      </c>
      <c r="AS1774" s="235" t="s">
        <v>12693</v>
      </c>
      <c r="AT1774" s="235" t="s">
        <v>156</v>
      </c>
      <c r="AU1774" s="235" t="s">
        <v>634</v>
      </c>
      <c r="AV1774" s="246" t="s">
        <v>635</v>
      </c>
      <c r="AW1774" s="242"/>
      <c r="AX1774" s="242"/>
      <c r="AY1774" s="231"/>
      <c r="AZ1774" s="231"/>
      <c r="BA1774" s="227"/>
      <c r="BB1774" s="231"/>
      <c r="BC1774" s="227"/>
      <c r="BD1774" s="227"/>
      <c r="BE1774" s="227"/>
      <c r="BF1774" s="227"/>
    </row>
    <row r="1775">
      <c r="A1775" s="235" t="s">
        <v>13942</v>
      </c>
      <c r="C1775" s="235" t="s">
        <v>13943</v>
      </c>
      <c r="D1775" s="235" t="s">
        <v>13944</v>
      </c>
      <c r="E1775" s="243">
        <v>6.54E13</v>
      </c>
      <c r="F1775" s="245"/>
      <c r="G1775" s="235" t="s">
        <v>13945</v>
      </c>
      <c r="H1775" s="235" t="s">
        <v>13946</v>
      </c>
      <c r="I1775" s="235" t="s">
        <v>13946</v>
      </c>
      <c r="J1775" s="235" t="s">
        <v>13947</v>
      </c>
      <c r="K1775" s="235" t="s">
        <v>13948</v>
      </c>
      <c r="N1775" s="235" t="s">
        <v>154</v>
      </c>
      <c r="O1775" s="235" t="s">
        <v>766</v>
      </c>
      <c r="P1775" s="238">
        <v>1.0</v>
      </c>
      <c r="Q1775" s="235" t="s">
        <v>627</v>
      </c>
      <c r="R1775" s="238">
        <v>465.71</v>
      </c>
      <c r="S1775" s="238">
        <v>22.82</v>
      </c>
      <c r="T1775" s="238">
        <v>38.1</v>
      </c>
      <c r="U1775" s="238">
        <v>1.9</v>
      </c>
      <c r="V1775" s="238">
        <v>0.0</v>
      </c>
      <c r="W1775" s="238">
        <v>0.0</v>
      </c>
      <c r="X1775" s="235" t="s">
        <v>628</v>
      </c>
      <c r="Z1775" s="244"/>
      <c r="AA1775" s="244"/>
      <c r="AB1775" s="244"/>
      <c r="AC1775" s="235" t="s">
        <v>13949</v>
      </c>
      <c r="AD1775" s="235" t="s">
        <v>13950</v>
      </c>
      <c r="AE1775" s="238">
        <v>517501.0</v>
      </c>
      <c r="AF1775" s="235" t="s">
        <v>631</v>
      </c>
      <c r="AG1775" s="244"/>
      <c r="AH1775" s="244"/>
      <c r="AI1775" s="245"/>
      <c r="AJ1775" s="245"/>
      <c r="AK1775" s="245"/>
      <c r="AL1775" s="245"/>
      <c r="AM1775" s="244"/>
      <c r="AN1775" s="244"/>
      <c r="AO1775" s="238">
        <v>-9.31</v>
      </c>
      <c r="AP1775" s="238">
        <v>0.0</v>
      </c>
      <c r="AQ1775" s="235" t="s">
        <v>632</v>
      </c>
      <c r="AR1775" s="243">
        <v>3.71E11</v>
      </c>
      <c r="AS1775" s="235" t="s">
        <v>12693</v>
      </c>
      <c r="AT1775" s="235" t="s">
        <v>156</v>
      </c>
      <c r="AU1775" s="235" t="s">
        <v>634</v>
      </c>
      <c r="AV1775" s="246" t="s">
        <v>635</v>
      </c>
      <c r="AW1775" s="242"/>
      <c r="AX1775" s="242"/>
      <c r="AY1775" s="231"/>
      <c r="AZ1775" s="231"/>
      <c r="BA1775" s="227"/>
      <c r="BB1775" s="231"/>
      <c r="BC1775" s="227"/>
      <c r="BD1775" s="227"/>
      <c r="BE1775" s="227"/>
      <c r="BF1775" s="227"/>
    </row>
    <row r="1776">
      <c r="A1776" s="235" t="s">
        <v>13951</v>
      </c>
      <c r="C1776" s="235" t="s">
        <v>13952</v>
      </c>
      <c r="D1776" s="235" t="s">
        <v>13953</v>
      </c>
      <c r="E1776" s="243">
        <v>6.54E13</v>
      </c>
      <c r="F1776" s="245"/>
      <c r="G1776" s="235" t="s">
        <v>13954</v>
      </c>
      <c r="H1776" s="235" t="s">
        <v>13955</v>
      </c>
      <c r="I1776" s="235" t="s">
        <v>13956</v>
      </c>
      <c r="J1776" s="235" t="s">
        <v>13957</v>
      </c>
      <c r="K1776" s="235" t="s">
        <v>13958</v>
      </c>
      <c r="N1776" s="235" t="s">
        <v>42</v>
      </c>
      <c r="O1776" s="235" t="s">
        <v>204</v>
      </c>
      <c r="P1776" s="238">
        <v>1.0</v>
      </c>
      <c r="Q1776" s="235" t="s">
        <v>627</v>
      </c>
      <c r="R1776" s="238">
        <v>237.14</v>
      </c>
      <c r="S1776" s="238">
        <v>11.62</v>
      </c>
      <c r="T1776" s="238">
        <v>0.0</v>
      </c>
      <c r="U1776" s="238">
        <v>0.0</v>
      </c>
      <c r="V1776" s="238">
        <v>0.0</v>
      </c>
      <c r="W1776" s="238">
        <v>0.0</v>
      </c>
      <c r="X1776" s="235" t="s">
        <v>628</v>
      </c>
      <c r="Z1776" s="244"/>
      <c r="AA1776" s="244"/>
      <c r="AB1776" s="244"/>
      <c r="AC1776" s="235" t="s">
        <v>6060</v>
      </c>
      <c r="AD1776" s="235" t="s">
        <v>666</v>
      </c>
      <c r="AE1776" s="238">
        <v>613001.0</v>
      </c>
      <c r="AF1776" s="235" t="s">
        <v>631</v>
      </c>
      <c r="AG1776" s="244"/>
      <c r="AH1776" s="244"/>
      <c r="AI1776" s="245"/>
      <c r="AJ1776" s="245"/>
      <c r="AK1776" s="245"/>
      <c r="AL1776" s="245"/>
      <c r="AM1776" s="244"/>
      <c r="AN1776" s="244"/>
      <c r="AO1776" s="238">
        <v>-4.74</v>
      </c>
      <c r="AP1776" s="238">
        <v>0.0</v>
      </c>
      <c r="AQ1776" s="235" t="s">
        <v>632</v>
      </c>
      <c r="AR1776" s="243">
        <v>3.71E11</v>
      </c>
      <c r="AS1776" s="235" t="s">
        <v>12693</v>
      </c>
      <c r="AT1776" s="235" t="s">
        <v>155</v>
      </c>
      <c r="AU1776" s="235" t="s">
        <v>634</v>
      </c>
      <c r="AV1776" s="246" t="s">
        <v>635</v>
      </c>
      <c r="AW1776" s="242"/>
      <c r="AX1776" s="242"/>
      <c r="AY1776" s="231"/>
      <c r="AZ1776" s="231"/>
      <c r="BA1776" s="227"/>
      <c r="BB1776" s="231"/>
      <c r="BC1776" s="227"/>
      <c r="BD1776" s="227"/>
      <c r="BE1776" s="227"/>
      <c r="BF1776" s="227"/>
    </row>
    <row r="1777">
      <c r="A1777" s="235" t="s">
        <v>13959</v>
      </c>
      <c r="C1777" s="235" t="s">
        <v>13960</v>
      </c>
      <c r="D1777" s="235" t="s">
        <v>13961</v>
      </c>
      <c r="E1777" s="243">
        <v>6.54E13</v>
      </c>
      <c r="F1777" s="245"/>
      <c r="G1777" s="235" t="s">
        <v>13962</v>
      </c>
      <c r="H1777" s="235" t="s">
        <v>13963</v>
      </c>
      <c r="I1777" s="235" t="s">
        <v>13963</v>
      </c>
      <c r="J1777" s="235" t="s">
        <v>13964</v>
      </c>
      <c r="K1777" s="235" t="s">
        <v>13965</v>
      </c>
      <c r="N1777" s="235" t="s">
        <v>141</v>
      </c>
      <c r="O1777" s="235" t="s">
        <v>342</v>
      </c>
      <c r="P1777" s="238">
        <v>1.0</v>
      </c>
      <c r="Q1777" s="235" t="s">
        <v>627</v>
      </c>
      <c r="R1777" s="238">
        <v>246.67</v>
      </c>
      <c r="S1777" s="238">
        <v>12.33</v>
      </c>
      <c r="T1777" s="238">
        <v>38.1</v>
      </c>
      <c r="U1777" s="238">
        <v>1.9</v>
      </c>
      <c r="V1777" s="238">
        <v>0.0</v>
      </c>
      <c r="W1777" s="238">
        <v>0.0</v>
      </c>
      <c r="X1777" s="235" t="s">
        <v>628</v>
      </c>
      <c r="Z1777" s="244"/>
      <c r="AA1777" s="244"/>
      <c r="AB1777" s="244"/>
      <c r="AC1777" s="235" t="s">
        <v>795</v>
      </c>
      <c r="AD1777" s="235" t="s">
        <v>796</v>
      </c>
      <c r="AE1777" s="238">
        <v>110059.0</v>
      </c>
      <c r="AF1777" s="235" t="s">
        <v>631</v>
      </c>
      <c r="AG1777" s="244"/>
      <c r="AH1777" s="244"/>
      <c r="AI1777" s="245"/>
      <c r="AJ1777" s="245"/>
      <c r="AK1777" s="245"/>
      <c r="AL1777" s="245"/>
      <c r="AM1777" s="244"/>
      <c r="AN1777" s="244"/>
      <c r="AO1777" s="238">
        <v>0.0</v>
      </c>
      <c r="AP1777" s="238">
        <v>-38.1</v>
      </c>
      <c r="AQ1777" s="235" t="s">
        <v>632</v>
      </c>
      <c r="AR1777" s="243">
        <v>3.71E11</v>
      </c>
      <c r="AS1777" s="235" t="s">
        <v>12693</v>
      </c>
      <c r="AT1777" s="235" t="s">
        <v>13</v>
      </c>
      <c r="AU1777" s="235" t="s">
        <v>634</v>
      </c>
      <c r="AV1777" s="246" t="s">
        <v>635</v>
      </c>
      <c r="AW1777" s="242"/>
      <c r="AX1777" s="242"/>
      <c r="AY1777" s="231"/>
      <c r="AZ1777" s="231"/>
      <c r="BA1777" s="227"/>
      <c r="BB1777" s="231"/>
      <c r="BC1777" s="227"/>
      <c r="BD1777" s="227"/>
      <c r="BE1777" s="227"/>
      <c r="BF1777" s="227"/>
    </row>
    <row r="1778">
      <c r="A1778" s="235" t="s">
        <v>13966</v>
      </c>
      <c r="C1778" s="235" t="s">
        <v>13967</v>
      </c>
      <c r="D1778" s="235" t="s">
        <v>13968</v>
      </c>
      <c r="E1778" s="243">
        <v>6.54E13</v>
      </c>
      <c r="F1778" s="245"/>
      <c r="G1778" s="235" t="s">
        <v>13969</v>
      </c>
      <c r="H1778" s="235" t="s">
        <v>13970</v>
      </c>
      <c r="I1778" s="235" t="s">
        <v>13970</v>
      </c>
      <c r="J1778" s="235" t="s">
        <v>13971</v>
      </c>
      <c r="K1778" s="235" t="s">
        <v>13972</v>
      </c>
      <c r="N1778" s="235" t="s">
        <v>92</v>
      </c>
      <c r="O1778" s="235" t="s">
        <v>248</v>
      </c>
      <c r="P1778" s="238">
        <v>1.0</v>
      </c>
      <c r="Q1778" s="235" t="s">
        <v>627</v>
      </c>
      <c r="R1778" s="238">
        <v>246.66</v>
      </c>
      <c r="S1778" s="238">
        <v>12.1</v>
      </c>
      <c r="T1778" s="238">
        <v>38.1</v>
      </c>
      <c r="U1778" s="238">
        <v>1.9</v>
      </c>
      <c r="V1778" s="238">
        <v>0.0</v>
      </c>
      <c r="W1778" s="238">
        <v>0.0</v>
      </c>
      <c r="X1778" s="235" t="s">
        <v>628</v>
      </c>
      <c r="Z1778" s="244"/>
      <c r="AA1778" s="244"/>
      <c r="AB1778" s="244"/>
      <c r="AC1778" s="235" t="s">
        <v>8737</v>
      </c>
      <c r="AD1778" s="235" t="s">
        <v>666</v>
      </c>
      <c r="AE1778" s="238">
        <v>635805.0</v>
      </c>
      <c r="AF1778" s="235" t="s">
        <v>631</v>
      </c>
      <c r="AG1778" s="244"/>
      <c r="AH1778" s="244"/>
      <c r="AI1778" s="245"/>
      <c r="AJ1778" s="245"/>
      <c r="AK1778" s="245"/>
      <c r="AL1778" s="245"/>
      <c r="AM1778" s="244"/>
      <c r="AN1778" s="244"/>
      <c r="AO1778" s="238">
        <v>-4.94</v>
      </c>
      <c r="AP1778" s="238">
        <v>-38.1</v>
      </c>
      <c r="AQ1778" s="235" t="s">
        <v>632</v>
      </c>
      <c r="AR1778" s="243">
        <v>3.71E11</v>
      </c>
      <c r="AS1778" s="235" t="s">
        <v>12693</v>
      </c>
      <c r="AT1778" s="235" t="s">
        <v>156</v>
      </c>
      <c r="AU1778" s="235" t="s">
        <v>634</v>
      </c>
      <c r="AV1778" s="246" t="s">
        <v>635</v>
      </c>
      <c r="AW1778" s="242"/>
      <c r="AX1778" s="242"/>
      <c r="AY1778" s="231"/>
      <c r="AZ1778" s="231"/>
      <c r="BA1778" s="227"/>
      <c r="BB1778" s="231"/>
      <c r="BC1778" s="227"/>
      <c r="BD1778" s="227"/>
      <c r="BE1778" s="227"/>
      <c r="BF1778" s="227"/>
    </row>
    <row r="1779">
      <c r="A1779" s="235" t="s">
        <v>13973</v>
      </c>
      <c r="C1779" s="235" t="s">
        <v>13974</v>
      </c>
      <c r="D1779" s="235" t="s">
        <v>13975</v>
      </c>
      <c r="E1779" s="243">
        <v>6.54E13</v>
      </c>
      <c r="F1779" s="245"/>
      <c r="G1779" s="235" t="s">
        <v>13976</v>
      </c>
      <c r="H1779" s="235" t="s">
        <v>13977</v>
      </c>
      <c r="I1779" s="235" t="s">
        <v>13977</v>
      </c>
      <c r="J1779" s="235" t="s">
        <v>13978</v>
      </c>
      <c r="K1779" s="235" t="s">
        <v>13979</v>
      </c>
      <c r="N1779" s="235" t="s">
        <v>15</v>
      </c>
      <c r="O1779" s="235" t="s">
        <v>856</v>
      </c>
      <c r="P1779" s="238">
        <v>1.0</v>
      </c>
      <c r="Q1779" s="235" t="s">
        <v>627</v>
      </c>
      <c r="R1779" s="238">
        <v>360.96</v>
      </c>
      <c r="S1779" s="238">
        <v>17.5</v>
      </c>
      <c r="T1779" s="238">
        <v>38.1</v>
      </c>
      <c r="U1779" s="238">
        <v>1.9</v>
      </c>
      <c r="V1779" s="238">
        <v>0.0</v>
      </c>
      <c r="W1779" s="238">
        <v>0.0</v>
      </c>
      <c r="X1779" s="235" t="s">
        <v>628</v>
      </c>
      <c r="Z1779" s="244"/>
      <c r="AA1779" s="244"/>
      <c r="AB1779" s="244"/>
      <c r="AC1779" s="235" t="s">
        <v>13980</v>
      </c>
      <c r="AD1779" s="235" t="s">
        <v>928</v>
      </c>
      <c r="AE1779" s="238">
        <v>125001.0</v>
      </c>
      <c r="AF1779" s="235" t="s">
        <v>631</v>
      </c>
      <c r="AG1779" s="244"/>
      <c r="AH1779" s="244"/>
      <c r="AI1779" s="245"/>
      <c r="AJ1779" s="245"/>
      <c r="AK1779" s="245"/>
      <c r="AL1779" s="245"/>
      <c r="AM1779" s="244"/>
      <c r="AN1779" s="244"/>
      <c r="AO1779" s="238">
        <v>-10.83</v>
      </c>
      <c r="AP1779" s="238">
        <v>-38.1</v>
      </c>
      <c r="AQ1779" s="235" t="s">
        <v>632</v>
      </c>
      <c r="AR1779" s="243">
        <v>3.71E11</v>
      </c>
      <c r="AS1779" s="235" t="s">
        <v>12693</v>
      </c>
      <c r="AT1779" s="235" t="s">
        <v>533</v>
      </c>
      <c r="AU1779" s="235" t="s">
        <v>634</v>
      </c>
      <c r="AV1779" s="246" t="s">
        <v>635</v>
      </c>
      <c r="AW1779" s="242"/>
      <c r="AX1779" s="242"/>
      <c r="AY1779" s="231"/>
      <c r="AZ1779" s="231"/>
      <c r="BA1779" s="227"/>
      <c r="BB1779" s="231"/>
      <c r="BC1779" s="227"/>
      <c r="BD1779" s="227"/>
      <c r="BE1779" s="227"/>
      <c r="BF1779" s="227"/>
    </row>
    <row r="1780">
      <c r="A1780" s="235" t="s">
        <v>13973</v>
      </c>
      <c r="C1780" s="235" t="s">
        <v>13974</v>
      </c>
      <c r="D1780" s="235" t="s">
        <v>13981</v>
      </c>
      <c r="E1780" s="243">
        <v>6.54E13</v>
      </c>
      <c r="F1780" s="245"/>
      <c r="G1780" s="235" t="s">
        <v>13976</v>
      </c>
      <c r="H1780" s="235" t="s">
        <v>13977</v>
      </c>
      <c r="I1780" s="235" t="s">
        <v>13977</v>
      </c>
      <c r="J1780" s="235" t="s">
        <v>13978</v>
      </c>
      <c r="K1780" s="235" t="s">
        <v>13979</v>
      </c>
      <c r="N1780" s="235" t="s">
        <v>15</v>
      </c>
      <c r="O1780" s="235" t="s">
        <v>856</v>
      </c>
      <c r="P1780" s="238">
        <v>1.0</v>
      </c>
      <c r="Q1780" s="235" t="s">
        <v>627</v>
      </c>
      <c r="R1780" s="238">
        <v>360.96</v>
      </c>
      <c r="S1780" s="238">
        <v>17.5</v>
      </c>
      <c r="T1780" s="238">
        <v>38.1</v>
      </c>
      <c r="U1780" s="238">
        <v>1.9</v>
      </c>
      <c r="V1780" s="238">
        <v>0.0</v>
      </c>
      <c r="W1780" s="238">
        <v>0.0</v>
      </c>
      <c r="X1780" s="235" t="s">
        <v>628</v>
      </c>
      <c r="Z1780" s="244"/>
      <c r="AA1780" s="244"/>
      <c r="AB1780" s="244"/>
      <c r="AC1780" s="235" t="s">
        <v>13980</v>
      </c>
      <c r="AD1780" s="235" t="s">
        <v>928</v>
      </c>
      <c r="AE1780" s="238">
        <v>125001.0</v>
      </c>
      <c r="AF1780" s="235" t="s">
        <v>631</v>
      </c>
      <c r="AG1780" s="244"/>
      <c r="AH1780" s="244"/>
      <c r="AI1780" s="245"/>
      <c r="AJ1780" s="245"/>
      <c r="AK1780" s="245"/>
      <c r="AL1780" s="245"/>
      <c r="AM1780" s="244"/>
      <c r="AN1780" s="244"/>
      <c r="AO1780" s="238">
        <v>-10.83</v>
      </c>
      <c r="AP1780" s="238">
        <v>-38.1</v>
      </c>
      <c r="AQ1780" s="235" t="s">
        <v>632</v>
      </c>
      <c r="AR1780" s="243">
        <v>3.71E11</v>
      </c>
      <c r="AS1780" s="235" t="s">
        <v>12693</v>
      </c>
      <c r="AT1780" s="235" t="s">
        <v>533</v>
      </c>
      <c r="AU1780" s="235" t="s">
        <v>634</v>
      </c>
      <c r="AV1780" s="246" t="s">
        <v>635</v>
      </c>
      <c r="AW1780" s="242"/>
      <c r="AX1780" s="242"/>
      <c r="AY1780" s="231"/>
      <c r="AZ1780" s="231"/>
      <c r="BA1780" s="227"/>
      <c r="BB1780" s="231"/>
      <c r="BC1780" s="227"/>
      <c r="BD1780" s="227"/>
      <c r="BE1780" s="227"/>
      <c r="BF1780" s="227"/>
    </row>
    <row r="1781">
      <c r="A1781" s="235" t="s">
        <v>13982</v>
      </c>
      <c r="C1781" s="235" t="s">
        <v>13983</v>
      </c>
      <c r="D1781" s="235" t="s">
        <v>13984</v>
      </c>
      <c r="E1781" s="243">
        <v>6.54E13</v>
      </c>
      <c r="F1781" s="245"/>
      <c r="G1781" s="235" t="s">
        <v>13985</v>
      </c>
      <c r="H1781" s="235" t="s">
        <v>13986</v>
      </c>
      <c r="I1781" s="235" t="s">
        <v>13986</v>
      </c>
      <c r="J1781" s="235" t="s">
        <v>13987</v>
      </c>
      <c r="K1781" s="235" t="s">
        <v>13988</v>
      </c>
      <c r="N1781" s="235" t="s">
        <v>49</v>
      </c>
      <c r="O1781" s="235" t="s">
        <v>321</v>
      </c>
      <c r="P1781" s="238">
        <v>1.0</v>
      </c>
      <c r="Q1781" s="235" t="s">
        <v>627</v>
      </c>
      <c r="R1781" s="238">
        <v>237.14</v>
      </c>
      <c r="S1781" s="238">
        <v>11.86</v>
      </c>
      <c r="T1781" s="238">
        <v>38.1</v>
      </c>
      <c r="U1781" s="238">
        <v>1.9</v>
      </c>
      <c r="V1781" s="238">
        <v>0.0</v>
      </c>
      <c r="W1781" s="238">
        <v>0.0</v>
      </c>
      <c r="X1781" s="235" t="s">
        <v>628</v>
      </c>
      <c r="Z1781" s="244"/>
      <c r="AA1781" s="244"/>
      <c r="AB1781" s="244"/>
      <c r="AC1781" s="235" t="s">
        <v>13989</v>
      </c>
      <c r="AD1781" s="235" t="s">
        <v>881</v>
      </c>
      <c r="AE1781" s="238">
        <v>764001.0</v>
      </c>
      <c r="AF1781" s="235" t="s">
        <v>631</v>
      </c>
      <c r="AG1781" s="244"/>
      <c r="AH1781" s="244"/>
      <c r="AI1781" s="245"/>
      <c r="AJ1781" s="245"/>
      <c r="AK1781" s="245"/>
      <c r="AL1781" s="245"/>
      <c r="AM1781" s="244"/>
      <c r="AN1781" s="244"/>
      <c r="AO1781" s="238">
        <v>0.0</v>
      </c>
      <c r="AP1781" s="238">
        <v>-38.1</v>
      </c>
      <c r="AQ1781" s="235" t="s">
        <v>632</v>
      </c>
      <c r="AR1781" s="243">
        <v>3.71E11</v>
      </c>
      <c r="AS1781" s="235" t="s">
        <v>8807</v>
      </c>
      <c r="AT1781" s="235" t="s">
        <v>17</v>
      </c>
      <c r="AU1781" s="235" t="s">
        <v>634</v>
      </c>
      <c r="AV1781" s="246" t="s">
        <v>635</v>
      </c>
      <c r="AW1781" s="242"/>
      <c r="AX1781" s="242"/>
      <c r="AY1781" s="231"/>
      <c r="AZ1781" s="231"/>
      <c r="BA1781" s="227"/>
      <c r="BB1781" s="231"/>
      <c r="BC1781" s="227"/>
      <c r="BD1781" s="227"/>
      <c r="BE1781" s="227"/>
      <c r="BF1781" s="227"/>
    </row>
    <row r="1782">
      <c r="A1782" s="235" t="s">
        <v>13990</v>
      </c>
      <c r="C1782" s="235" t="s">
        <v>13991</v>
      </c>
      <c r="D1782" s="235" t="s">
        <v>13992</v>
      </c>
      <c r="E1782" s="243">
        <v>6.54E13</v>
      </c>
      <c r="F1782" s="245"/>
      <c r="G1782" s="235" t="s">
        <v>13993</v>
      </c>
      <c r="H1782" s="235" t="s">
        <v>13994</v>
      </c>
      <c r="I1782" s="235" t="s">
        <v>13994</v>
      </c>
      <c r="J1782" s="235" t="s">
        <v>13995</v>
      </c>
      <c r="K1782" s="235" t="s">
        <v>13996</v>
      </c>
      <c r="N1782" s="235" t="s">
        <v>117</v>
      </c>
      <c r="O1782" s="235" t="s">
        <v>334</v>
      </c>
      <c r="P1782" s="238">
        <v>1.0</v>
      </c>
      <c r="Q1782" s="235" t="s">
        <v>627</v>
      </c>
      <c r="R1782" s="238">
        <v>237.14</v>
      </c>
      <c r="S1782" s="238">
        <v>11.62</v>
      </c>
      <c r="T1782" s="238">
        <v>0.0</v>
      </c>
      <c r="U1782" s="238">
        <v>0.0</v>
      </c>
      <c r="V1782" s="238">
        <v>0.0</v>
      </c>
      <c r="W1782" s="238">
        <v>0.0</v>
      </c>
      <c r="X1782" s="235" t="s">
        <v>628</v>
      </c>
      <c r="Z1782" s="244"/>
      <c r="AA1782" s="244"/>
      <c r="AB1782" s="244"/>
      <c r="AC1782" s="235" t="s">
        <v>2647</v>
      </c>
      <c r="AD1782" s="235" t="s">
        <v>845</v>
      </c>
      <c r="AE1782" s="238">
        <v>400606.0</v>
      </c>
      <c r="AF1782" s="235" t="s">
        <v>631</v>
      </c>
      <c r="AG1782" s="244"/>
      <c r="AH1782" s="244"/>
      <c r="AI1782" s="245"/>
      <c r="AJ1782" s="245"/>
      <c r="AK1782" s="245"/>
      <c r="AL1782" s="245"/>
      <c r="AM1782" s="244"/>
      <c r="AN1782" s="244"/>
      <c r="AO1782" s="238">
        <v>-4.74</v>
      </c>
      <c r="AP1782" s="238">
        <v>0.0</v>
      </c>
      <c r="AQ1782" s="235" t="s">
        <v>632</v>
      </c>
      <c r="AR1782" s="243">
        <v>3.71E11</v>
      </c>
      <c r="AS1782" s="235" t="s">
        <v>12693</v>
      </c>
      <c r="AT1782" s="235" t="s">
        <v>17</v>
      </c>
      <c r="AU1782" s="235" t="s">
        <v>634</v>
      </c>
      <c r="AV1782" s="246" t="s">
        <v>635</v>
      </c>
      <c r="AW1782" s="242"/>
      <c r="AX1782" s="242"/>
      <c r="AY1782" s="231"/>
      <c r="AZ1782" s="231"/>
      <c r="BA1782" s="227"/>
      <c r="BB1782" s="227"/>
      <c r="BC1782" s="227"/>
      <c r="BD1782" s="227"/>
      <c r="BE1782" s="227"/>
      <c r="BF1782" s="227"/>
    </row>
    <row r="1783">
      <c r="A1783" s="235" t="s">
        <v>13997</v>
      </c>
      <c r="C1783" s="235" t="s">
        <v>13998</v>
      </c>
      <c r="D1783" s="235" t="s">
        <v>13999</v>
      </c>
      <c r="E1783" s="243">
        <v>6.55E13</v>
      </c>
      <c r="F1783" s="245"/>
      <c r="G1783" s="235" t="s">
        <v>14000</v>
      </c>
      <c r="H1783" s="235" t="s">
        <v>14001</v>
      </c>
      <c r="I1783" s="235" t="s">
        <v>14002</v>
      </c>
      <c r="J1783" s="235" t="s">
        <v>14003</v>
      </c>
      <c r="K1783" s="235" t="s">
        <v>14004</v>
      </c>
      <c r="N1783" s="235" t="s">
        <v>53</v>
      </c>
      <c r="O1783" s="235" t="s">
        <v>512</v>
      </c>
      <c r="P1783" s="238">
        <v>1.0</v>
      </c>
      <c r="Q1783" s="235" t="s">
        <v>627</v>
      </c>
      <c r="R1783" s="238">
        <v>237.14</v>
      </c>
      <c r="S1783" s="238">
        <v>11.86</v>
      </c>
      <c r="T1783" s="238">
        <v>0.0</v>
      </c>
      <c r="U1783" s="238">
        <v>0.0</v>
      </c>
      <c r="V1783" s="238">
        <v>0.0</v>
      </c>
      <c r="W1783" s="238">
        <v>0.0</v>
      </c>
      <c r="X1783" s="235" t="s">
        <v>628</v>
      </c>
      <c r="Z1783" s="244"/>
      <c r="AA1783" s="244"/>
      <c r="AB1783" s="244"/>
      <c r="AC1783" s="235" t="s">
        <v>687</v>
      </c>
      <c r="AD1783" s="235" t="s">
        <v>666</v>
      </c>
      <c r="AE1783" s="238">
        <v>600037.0</v>
      </c>
      <c r="AF1783" s="235" t="s">
        <v>631</v>
      </c>
      <c r="AG1783" s="244"/>
      <c r="AH1783" s="244"/>
      <c r="AI1783" s="245"/>
      <c r="AJ1783" s="245"/>
      <c r="AK1783" s="245"/>
      <c r="AL1783" s="245"/>
      <c r="AM1783" s="244"/>
      <c r="AN1783" s="244"/>
      <c r="AO1783" s="238">
        <v>0.0</v>
      </c>
      <c r="AP1783" s="238">
        <v>0.0</v>
      </c>
      <c r="AQ1783" s="235" t="s">
        <v>632</v>
      </c>
      <c r="AR1783" s="243">
        <v>1.68E11</v>
      </c>
      <c r="AS1783" s="235" t="s">
        <v>13822</v>
      </c>
      <c r="AT1783" s="235" t="s">
        <v>156</v>
      </c>
      <c r="AU1783" s="235" t="s">
        <v>634</v>
      </c>
      <c r="AV1783" s="246" t="s">
        <v>635</v>
      </c>
      <c r="AW1783" s="242"/>
      <c r="AX1783" s="242"/>
      <c r="AY1783" s="231"/>
      <c r="AZ1783" s="231"/>
      <c r="BA1783" s="227"/>
      <c r="BB1783" s="231"/>
      <c r="BC1783" s="227"/>
      <c r="BD1783" s="227"/>
      <c r="BE1783" s="227"/>
      <c r="BF1783" s="227"/>
    </row>
    <row r="1784">
      <c r="A1784" s="235" t="s">
        <v>14005</v>
      </c>
      <c r="C1784" s="235" t="s">
        <v>14006</v>
      </c>
      <c r="D1784" s="235" t="s">
        <v>14007</v>
      </c>
      <c r="E1784" s="243">
        <v>6.54E13</v>
      </c>
      <c r="F1784" s="245"/>
      <c r="G1784" s="235" t="s">
        <v>14008</v>
      </c>
      <c r="H1784" s="235" t="s">
        <v>14009</v>
      </c>
      <c r="I1784" s="235" t="s">
        <v>14010</v>
      </c>
      <c r="J1784" s="235" t="s">
        <v>14011</v>
      </c>
      <c r="K1784" s="235" t="s">
        <v>14012</v>
      </c>
      <c r="N1784" s="235" t="s">
        <v>42</v>
      </c>
      <c r="O1784" s="235" t="s">
        <v>204</v>
      </c>
      <c r="P1784" s="238">
        <v>1.0</v>
      </c>
      <c r="Q1784" s="235" t="s">
        <v>627</v>
      </c>
      <c r="R1784" s="238">
        <v>237.14</v>
      </c>
      <c r="S1784" s="238">
        <v>11.62</v>
      </c>
      <c r="T1784" s="238">
        <v>0.0</v>
      </c>
      <c r="U1784" s="238">
        <v>0.0</v>
      </c>
      <c r="V1784" s="238">
        <v>0.0</v>
      </c>
      <c r="W1784" s="238">
        <v>0.0</v>
      </c>
      <c r="X1784" s="235" t="s">
        <v>628</v>
      </c>
      <c r="Z1784" s="244"/>
      <c r="AA1784" s="244"/>
      <c r="AB1784" s="244"/>
      <c r="AC1784" s="235" t="s">
        <v>814</v>
      </c>
      <c r="AD1784" s="235" t="s">
        <v>698</v>
      </c>
      <c r="AE1784" s="238">
        <v>500075.0</v>
      </c>
      <c r="AF1784" s="235" t="s">
        <v>631</v>
      </c>
      <c r="AG1784" s="244"/>
      <c r="AH1784" s="244"/>
      <c r="AI1784" s="245"/>
      <c r="AJ1784" s="245"/>
      <c r="AK1784" s="245"/>
      <c r="AL1784" s="245"/>
      <c r="AM1784" s="244"/>
      <c r="AN1784" s="244"/>
      <c r="AO1784" s="238">
        <v>-4.74</v>
      </c>
      <c r="AP1784" s="238">
        <v>0.0</v>
      </c>
      <c r="AQ1784" s="235" t="s">
        <v>632</v>
      </c>
      <c r="AR1784" s="243">
        <v>2.02E11</v>
      </c>
      <c r="AS1784" s="235" t="s">
        <v>12693</v>
      </c>
      <c r="AT1784" s="235" t="s">
        <v>546</v>
      </c>
      <c r="AU1784" s="235" t="s">
        <v>634</v>
      </c>
      <c r="AV1784" s="246" t="s">
        <v>635</v>
      </c>
      <c r="AW1784" s="242"/>
      <c r="AX1784" s="242"/>
      <c r="AY1784" s="231"/>
      <c r="AZ1784" s="231"/>
      <c r="BA1784" s="227"/>
      <c r="BB1784" s="231"/>
      <c r="BC1784" s="227"/>
      <c r="BD1784" s="227"/>
      <c r="BE1784" s="227"/>
      <c r="BF1784" s="227"/>
    </row>
    <row r="1785">
      <c r="A1785" s="235" t="s">
        <v>14013</v>
      </c>
      <c r="C1785" s="235" t="s">
        <v>14014</v>
      </c>
      <c r="D1785" s="235" t="s">
        <v>14015</v>
      </c>
      <c r="E1785" s="243">
        <v>6.54E13</v>
      </c>
      <c r="F1785" s="245"/>
      <c r="G1785" s="235" t="s">
        <v>14016</v>
      </c>
      <c r="H1785" s="235" t="s">
        <v>14017</v>
      </c>
      <c r="I1785" s="235" t="s">
        <v>14017</v>
      </c>
      <c r="J1785" s="235" t="s">
        <v>14018</v>
      </c>
      <c r="K1785" s="235" t="s">
        <v>14019</v>
      </c>
      <c r="N1785" s="235" t="s">
        <v>50</v>
      </c>
      <c r="O1785" s="235" t="s">
        <v>367</v>
      </c>
      <c r="P1785" s="238">
        <v>1.0</v>
      </c>
      <c r="Q1785" s="235" t="s">
        <v>627</v>
      </c>
      <c r="R1785" s="238">
        <v>237.14</v>
      </c>
      <c r="S1785" s="238">
        <v>11.86</v>
      </c>
      <c r="T1785" s="238">
        <v>0.0</v>
      </c>
      <c r="U1785" s="238">
        <v>0.0</v>
      </c>
      <c r="V1785" s="238">
        <v>0.0</v>
      </c>
      <c r="W1785" s="238">
        <v>0.0</v>
      </c>
      <c r="X1785" s="235" t="s">
        <v>628</v>
      </c>
      <c r="Z1785" s="244"/>
      <c r="AA1785" s="244"/>
      <c r="AB1785" s="244"/>
      <c r="AC1785" s="235" t="s">
        <v>1320</v>
      </c>
      <c r="AD1785" s="235" t="s">
        <v>666</v>
      </c>
      <c r="AE1785" s="238">
        <v>600091.0</v>
      </c>
      <c r="AF1785" s="235" t="s">
        <v>631</v>
      </c>
      <c r="AG1785" s="244"/>
      <c r="AH1785" s="244"/>
      <c r="AI1785" s="245"/>
      <c r="AJ1785" s="245"/>
      <c r="AK1785" s="245"/>
      <c r="AL1785" s="245"/>
      <c r="AM1785" s="244"/>
      <c r="AN1785" s="244"/>
      <c r="AO1785" s="238">
        <v>0.0</v>
      </c>
      <c r="AP1785" s="238">
        <v>0.0</v>
      </c>
      <c r="AQ1785" s="235" t="s">
        <v>632</v>
      </c>
      <c r="AR1785" s="243">
        <v>1.68E11</v>
      </c>
      <c r="AS1785" s="235" t="s">
        <v>13822</v>
      </c>
      <c r="AT1785" s="235" t="s">
        <v>156</v>
      </c>
      <c r="AU1785" s="235" t="s">
        <v>634</v>
      </c>
      <c r="AV1785" s="246" t="s">
        <v>635</v>
      </c>
      <c r="AW1785" s="242"/>
      <c r="AX1785" s="242"/>
      <c r="AY1785" s="231"/>
      <c r="AZ1785" s="231"/>
      <c r="BA1785" s="227"/>
      <c r="BB1785" s="231"/>
      <c r="BC1785" s="227"/>
      <c r="BD1785" s="227"/>
      <c r="BE1785" s="227"/>
      <c r="BF1785" s="227"/>
    </row>
    <row r="1786">
      <c r="A1786" s="235" t="s">
        <v>14020</v>
      </c>
      <c r="C1786" s="235" t="s">
        <v>14021</v>
      </c>
      <c r="D1786" s="235" t="s">
        <v>14022</v>
      </c>
      <c r="E1786" s="243">
        <v>6.54E13</v>
      </c>
      <c r="F1786" s="245"/>
      <c r="G1786" s="235" t="s">
        <v>14023</v>
      </c>
      <c r="H1786" s="235" t="s">
        <v>14024</v>
      </c>
      <c r="I1786" s="235" t="s">
        <v>14024</v>
      </c>
      <c r="J1786" s="235" t="s">
        <v>14025</v>
      </c>
      <c r="K1786" s="235" t="s">
        <v>14026</v>
      </c>
      <c r="N1786" s="235" t="s">
        <v>50</v>
      </c>
      <c r="O1786" s="235" t="s">
        <v>367</v>
      </c>
      <c r="P1786" s="238">
        <v>1.0</v>
      </c>
      <c r="Q1786" s="235" t="s">
        <v>627</v>
      </c>
      <c r="R1786" s="238">
        <v>237.14</v>
      </c>
      <c r="S1786" s="238">
        <v>11.86</v>
      </c>
      <c r="T1786" s="238">
        <v>0.0</v>
      </c>
      <c r="U1786" s="238">
        <v>0.0</v>
      </c>
      <c r="V1786" s="238">
        <v>0.0</v>
      </c>
      <c r="W1786" s="238">
        <v>0.0</v>
      </c>
      <c r="X1786" s="235" t="s">
        <v>628</v>
      </c>
      <c r="Z1786" s="244"/>
      <c r="AA1786" s="244"/>
      <c r="AB1786" s="244"/>
      <c r="AC1786" s="235" t="s">
        <v>1887</v>
      </c>
      <c r="AD1786" s="235" t="s">
        <v>679</v>
      </c>
      <c r="AE1786" s="238">
        <v>560054.0</v>
      </c>
      <c r="AF1786" s="235" t="s">
        <v>631</v>
      </c>
      <c r="AG1786" s="244"/>
      <c r="AH1786" s="244"/>
      <c r="AI1786" s="245"/>
      <c r="AJ1786" s="245"/>
      <c r="AK1786" s="245"/>
      <c r="AL1786" s="245"/>
      <c r="AM1786" s="244"/>
      <c r="AN1786" s="244"/>
      <c r="AO1786" s="238">
        <v>0.0</v>
      </c>
      <c r="AP1786" s="238">
        <v>0.0</v>
      </c>
      <c r="AQ1786" s="235" t="s">
        <v>632</v>
      </c>
      <c r="AR1786" s="243">
        <v>1.68E11</v>
      </c>
      <c r="AS1786" s="235" t="s">
        <v>13822</v>
      </c>
      <c r="AT1786" s="235" t="s">
        <v>9</v>
      </c>
      <c r="AU1786" s="235" t="s">
        <v>634</v>
      </c>
      <c r="AV1786" s="246" t="s">
        <v>635</v>
      </c>
      <c r="AW1786" s="242"/>
      <c r="AX1786" s="242"/>
      <c r="AY1786" s="231"/>
      <c r="AZ1786" s="231"/>
      <c r="BA1786" s="227"/>
      <c r="BB1786" s="231"/>
      <c r="BC1786" s="227"/>
      <c r="BD1786" s="227"/>
      <c r="BE1786" s="227"/>
      <c r="BF1786" s="227"/>
    </row>
    <row r="1787">
      <c r="A1787" s="235" t="s">
        <v>14027</v>
      </c>
      <c r="C1787" s="235" t="s">
        <v>14028</v>
      </c>
      <c r="D1787" s="235" t="s">
        <v>14029</v>
      </c>
      <c r="E1787" s="243">
        <v>6.54E13</v>
      </c>
      <c r="F1787" s="245"/>
      <c r="G1787" s="235" t="s">
        <v>14030</v>
      </c>
      <c r="H1787" s="235" t="s">
        <v>14031</v>
      </c>
      <c r="I1787" s="235" t="s">
        <v>14032</v>
      </c>
      <c r="J1787" s="235" t="s">
        <v>14033</v>
      </c>
      <c r="K1787" s="235" t="s">
        <v>14034</v>
      </c>
      <c r="N1787" s="235" t="s">
        <v>1346</v>
      </c>
      <c r="O1787" s="235" t="s">
        <v>1347</v>
      </c>
      <c r="P1787" s="238">
        <v>1.0</v>
      </c>
      <c r="Q1787" s="235" t="s">
        <v>627</v>
      </c>
      <c r="R1787" s="238">
        <v>256.19</v>
      </c>
      <c r="S1787" s="238">
        <v>12.81</v>
      </c>
      <c r="T1787" s="238">
        <v>0.0</v>
      </c>
      <c r="U1787" s="238">
        <v>0.0</v>
      </c>
      <c r="V1787" s="238">
        <v>0.0</v>
      </c>
      <c r="W1787" s="238">
        <v>0.0</v>
      </c>
      <c r="X1787" s="235" t="s">
        <v>628</v>
      </c>
      <c r="Z1787" s="244"/>
      <c r="AA1787" s="244"/>
      <c r="AB1787" s="244"/>
      <c r="AC1787" s="235" t="s">
        <v>1095</v>
      </c>
      <c r="AD1787" s="235" t="s">
        <v>845</v>
      </c>
      <c r="AE1787" s="238">
        <v>410206.0</v>
      </c>
      <c r="AF1787" s="235" t="s">
        <v>631</v>
      </c>
      <c r="AG1787" s="244"/>
      <c r="AH1787" s="244"/>
      <c r="AI1787" s="245"/>
      <c r="AJ1787" s="245"/>
      <c r="AK1787" s="245"/>
      <c r="AL1787" s="245"/>
      <c r="AM1787" s="244"/>
      <c r="AN1787" s="244"/>
      <c r="AO1787" s="238">
        <v>0.0</v>
      </c>
      <c r="AP1787" s="238">
        <v>0.0</v>
      </c>
      <c r="AQ1787" s="235" t="s">
        <v>632</v>
      </c>
      <c r="AR1787" s="243">
        <v>3.71E11</v>
      </c>
      <c r="AS1787" s="235" t="s">
        <v>8807</v>
      </c>
      <c r="AT1787" s="235" t="s">
        <v>5</v>
      </c>
      <c r="AU1787" s="235" t="s">
        <v>634</v>
      </c>
      <c r="AV1787" s="246" t="s">
        <v>635</v>
      </c>
      <c r="AW1787" s="242"/>
      <c r="AX1787" s="242"/>
      <c r="AY1787" s="231"/>
      <c r="AZ1787" s="231"/>
      <c r="BA1787" s="227"/>
      <c r="BB1787" s="231"/>
      <c r="BC1787" s="227"/>
      <c r="BD1787" s="227"/>
      <c r="BE1787" s="227"/>
      <c r="BF1787" s="227"/>
    </row>
    <row r="1788">
      <c r="A1788" s="235" t="s">
        <v>14035</v>
      </c>
      <c r="C1788" s="235" t="s">
        <v>14036</v>
      </c>
      <c r="D1788" s="235" t="s">
        <v>14037</v>
      </c>
      <c r="E1788" s="243">
        <v>6.54E13</v>
      </c>
      <c r="F1788" s="245"/>
      <c r="G1788" s="235" t="s">
        <v>14038</v>
      </c>
      <c r="H1788" s="235" t="s">
        <v>14039</v>
      </c>
      <c r="I1788" s="235" t="s">
        <v>14039</v>
      </c>
      <c r="J1788" s="235" t="s">
        <v>14040</v>
      </c>
      <c r="K1788" s="235" t="s">
        <v>14041</v>
      </c>
      <c r="N1788" s="235" t="s">
        <v>42</v>
      </c>
      <c r="O1788" s="235" t="s">
        <v>204</v>
      </c>
      <c r="P1788" s="238">
        <v>1.0</v>
      </c>
      <c r="Q1788" s="235" t="s">
        <v>627</v>
      </c>
      <c r="R1788" s="238">
        <v>237.14</v>
      </c>
      <c r="S1788" s="238">
        <v>11.86</v>
      </c>
      <c r="T1788" s="238">
        <v>0.0</v>
      </c>
      <c r="U1788" s="238">
        <v>0.0</v>
      </c>
      <c r="V1788" s="238">
        <v>0.0</v>
      </c>
      <c r="W1788" s="238">
        <v>0.0</v>
      </c>
      <c r="X1788" s="235" t="s">
        <v>628</v>
      </c>
      <c r="Z1788" s="244"/>
      <c r="AA1788" s="244"/>
      <c r="AB1788" s="244"/>
      <c r="AC1788" s="235" t="s">
        <v>832</v>
      </c>
      <c r="AD1788" s="235" t="s">
        <v>833</v>
      </c>
      <c r="AE1788" s="238">
        <v>530046.0</v>
      </c>
      <c r="AF1788" s="235" t="s">
        <v>631</v>
      </c>
      <c r="AG1788" s="244"/>
      <c r="AH1788" s="244"/>
      <c r="AI1788" s="245"/>
      <c r="AJ1788" s="245"/>
      <c r="AK1788" s="245"/>
      <c r="AL1788" s="245"/>
      <c r="AM1788" s="244"/>
      <c r="AN1788" s="244"/>
      <c r="AO1788" s="238">
        <v>0.0</v>
      </c>
      <c r="AP1788" s="238">
        <v>0.0</v>
      </c>
      <c r="AQ1788" s="235" t="s">
        <v>632</v>
      </c>
      <c r="AR1788" s="243">
        <v>3.71E11</v>
      </c>
      <c r="AS1788" s="235" t="s">
        <v>10017</v>
      </c>
      <c r="AT1788" s="235" t="s">
        <v>16</v>
      </c>
      <c r="AU1788" s="235" t="s">
        <v>634</v>
      </c>
      <c r="AV1788" s="246" t="s">
        <v>635</v>
      </c>
      <c r="AW1788" s="242"/>
      <c r="AX1788" s="242"/>
      <c r="AY1788" s="231"/>
      <c r="AZ1788" s="231"/>
      <c r="BA1788" s="227"/>
      <c r="BB1788" s="231"/>
      <c r="BC1788" s="227"/>
      <c r="BD1788" s="227"/>
      <c r="BE1788" s="227"/>
      <c r="BF1788" s="227"/>
    </row>
    <row r="1789">
      <c r="A1789" s="235" t="s">
        <v>14042</v>
      </c>
      <c r="C1789" s="235" t="s">
        <v>14043</v>
      </c>
      <c r="D1789" s="235" t="s">
        <v>14044</v>
      </c>
      <c r="E1789" s="243">
        <v>6.54E13</v>
      </c>
      <c r="F1789" s="245"/>
      <c r="G1789" s="235" t="s">
        <v>14045</v>
      </c>
      <c r="H1789" s="235" t="s">
        <v>14046</v>
      </c>
      <c r="I1789" s="235" t="s">
        <v>14046</v>
      </c>
      <c r="J1789" s="235" t="s">
        <v>14047</v>
      </c>
      <c r="K1789" s="235" t="s">
        <v>14048</v>
      </c>
      <c r="N1789" s="235" t="s">
        <v>130</v>
      </c>
      <c r="O1789" s="235" t="s">
        <v>707</v>
      </c>
      <c r="P1789" s="238">
        <v>1.0</v>
      </c>
      <c r="Q1789" s="235" t="s">
        <v>627</v>
      </c>
      <c r="R1789" s="238">
        <v>246.66</v>
      </c>
      <c r="S1789" s="238">
        <v>12.1</v>
      </c>
      <c r="T1789" s="238">
        <v>0.0</v>
      </c>
      <c r="U1789" s="238">
        <v>0.0</v>
      </c>
      <c r="V1789" s="238">
        <v>0.0</v>
      </c>
      <c r="W1789" s="238">
        <v>0.0</v>
      </c>
      <c r="X1789" s="235" t="s">
        <v>628</v>
      </c>
      <c r="Z1789" s="244"/>
      <c r="AA1789" s="244"/>
      <c r="AB1789" s="244"/>
      <c r="AC1789" s="235" t="s">
        <v>678</v>
      </c>
      <c r="AD1789" s="235" t="s">
        <v>679</v>
      </c>
      <c r="AE1789" s="238">
        <v>560062.0</v>
      </c>
      <c r="AF1789" s="235" t="s">
        <v>631</v>
      </c>
      <c r="AG1789" s="244"/>
      <c r="AH1789" s="244"/>
      <c r="AI1789" s="245"/>
      <c r="AJ1789" s="245"/>
      <c r="AK1789" s="245"/>
      <c r="AL1789" s="245"/>
      <c r="AM1789" s="244"/>
      <c r="AN1789" s="244"/>
      <c r="AO1789" s="238">
        <v>-4.94</v>
      </c>
      <c r="AP1789" s="238">
        <v>0.0</v>
      </c>
      <c r="AQ1789" s="235" t="s">
        <v>632</v>
      </c>
      <c r="AR1789" s="243">
        <v>1.68E11</v>
      </c>
      <c r="AS1789" s="235" t="s">
        <v>13822</v>
      </c>
      <c r="AT1789" s="235" t="s">
        <v>11</v>
      </c>
      <c r="AU1789" s="235" t="s">
        <v>634</v>
      </c>
      <c r="AV1789" s="246" t="s">
        <v>635</v>
      </c>
      <c r="AW1789" s="242"/>
      <c r="AX1789" s="242"/>
      <c r="AY1789" s="231"/>
      <c r="AZ1789" s="231"/>
      <c r="BA1789" s="227"/>
      <c r="BB1789" s="231"/>
      <c r="BC1789" s="227"/>
      <c r="BD1789" s="227"/>
      <c r="BE1789" s="227"/>
      <c r="BF1789" s="227"/>
    </row>
    <row r="1790">
      <c r="A1790" s="235" t="s">
        <v>14049</v>
      </c>
      <c r="C1790" s="235" t="s">
        <v>14050</v>
      </c>
      <c r="D1790" s="235" t="s">
        <v>14051</v>
      </c>
      <c r="E1790" s="243">
        <v>6.54E13</v>
      </c>
      <c r="F1790" s="245"/>
      <c r="G1790" s="235" t="s">
        <v>14052</v>
      </c>
      <c r="H1790" s="235" t="s">
        <v>14053</v>
      </c>
      <c r="I1790" s="235" t="s">
        <v>14053</v>
      </c>
      <c r="J1790" s="235" t="s">
        <v>14054</v>
      </c>
      <c r="K1790" s="235" t="s">
        <v>14055</v>
      </c>
      <c r="N1790" s="235" t="s">
        <v>68</v>
      </c>
      <c r="O1790" s="235" t="s">
        <v>208</v>
      </c>
      <c r="P1790" s="238">
        <v>1.0</v>
      </c>
      <c r="Q1790" s="235" t="s">
        <v>627</v>
      </c>
      <c r="R1790" s="238">
        <v>242.86</v>
      </c>
      <c r="S1790" s="238">
        <v>12.14</v>
      </c>
      <c r="T1790" s="238">
        <v>0.0</v>
      </c>
      <c r="U1790" s="238">
        <v>0.0</v>
      </c>
      <c r="V1790" s="238">
        <v>0.0</v>
      </c>
      <c r="W1790" s="238">
        <v>0.0</v>
      </c>
      <c r="X1790" s="235" t="s">
        <v>628</v>
      </c>
      <c r="Z1790" s="244"/>
      <c r="AA1790" s="244"/>
      <c r="AB1790" s="244"/>
      <c r="AC1790" s="235" t="s">
        <v>8639</v>
      </c>
      <c r="AD1790" s="235" t="s">
        <v>666</v>
      </c>
      <c r="AE1790" s="238">
        <v>638051.0</v>
      </c>
      <c r="AF1790" s="235" t="s">
        <v>631</v>
      </c>
      <c r="AG1790" s="244"/>
      <c r="AH1790" s="244"/>
      <c r="AI1790" s="245"/>
      <c r="AJ1790" s="245"/>
      <c r="AK1790" s="245"/>
      <c r="AL1790" s="245"/>
      <c r="AM1790" s="244"/>
      <c r="AN1790" s="244"/>
      <c r="AO1790" s="238">
        <v>0.0</v>
      </c>
      <c r="AP1790" s="238">
        <v>0.0</v>
      </c>
      <c r="AQ1790" s="235" t="s">
        <v>632</v>
      </c>
      <c r="AR1790" s="243">
        <v>3.71E11</v>
      </c>
      <c r="AS1790" s="235" t="s">
        <v>12693</v>
      </c>
      <c r="AT1790" s="235" t="s">
        <v>11</v>
      </c>
      <c r="AU1790" s="235" t="s">
        <v>634</v>
      </c>
      <c r="AV1790" s="246" t="s">
        <v>635</v>
      </c>
      <c r="AW1790" s="242"/>
      <c r="AX1790" s="242"/>
      <c r="AY1790" s="231"/>
      <c r="AZ1790" s="231"/>
      <c r="BA1790" s="227"/>
      <c r="BB1790" s="231"/>
      <c r="BC1790" s="227"/>
      <c r="BD1790" s="227"/>
      <c r="BE1790" s="227"/>
      <c r="BF1790" s="227"/>
    </row>
    <row r="1791">
      <c r="A1791" s="235" t="s">
        <v>14056</v>
      </c>
      <c r="C1791" s="235" t="s">
        <v>14057</v>
      </c>
      <c r="D1791" s="235" t="s">
        <v>14058</v>
      </c>
      <c r="E1791" s="243">
        <v>6.54E13</v>
      </c>
      <c r="F1791" s="245"/>
      <c r="G1791" s="235" t="s">
        <v>14059</v>
      </c>
      <c r="H1791" s="235" t="s">
        <v>14060</v>
      </c>
      <c r="I1791" s="235" t="s">
        <v>14060</v>
      </c>
      <c r="J1791" s="235" t="s">
        <v>14061</v>
      </c>
      <c r="K1791" s="235" t="s">
        <v>14062</v>
      </c>
      <c r="N1791" s="235" t="s">
        <v>43</v>
      </c>
      <c r="O1791" s="235" t="s">
        <v>276</v>
      </c>
      <c r="P1791" s="238">
        <v>1.0</v>
      </c>
      <c r="Q1791" s="235" t="s">
        <v>627</v>
      </c>
      <c r="R1791" s="238">
        <v>237.14</v>
      </c>
      <c r="S1791" s="238">
        <v>11.86</v>
      </c>
      <c r="T1791" s="238">
        <v>38.1</v>
      </c>
      <c r="U1791" s="238">
        <v>1.9</v>
      </c>
      <c r="V1791" s="238">
        <v>0.0</v>
      </c>
      <c r="W1791" s="238">
        <v>0.0</v>
      </c>
      <c r="X1791" s="235" t="s">
        <v>628</v>
      </c>
      <c r="Z1791" s="244"/>
      <c r="AA1791" s="244"/>
      <c r="AB1791" s="244"/>
      <c r="AC1791" s="235" t="s">
        <v>697</v>
      </c>
      <c r="AD1791" s="235" t="s">
        <v>698</v>
      </c>
      <c r="AE1791" s="238">
        <v>500028.0</v>
      </c>
      <c r="AF1791" s="235" t="s">
        <v>631</v>
      </c>
      <c r="AG1791" s="244"/>
      <c r="AH1791" s="244"/>
      <c r="AI1791" s="245"/>
      <c r="AJ1791" s="245"/>
      <c r="AK1791" s="245"/>
      <c r="AL1791" s="245"/>
      <c r="AM1791" s="244"/>
      <c r="AN1791" s="244"/>
      <c r="AO1791" s="238">
        <v>0.0</v>
      </c>
      <c r="AP1791" s="238">
        <v>-38.1</v>
      </c>
      <c r="AQ1791" s="235" t="s">
        <v>632</v>
      </c>
      <c r="AR1791" s="243">
        <v>3.71E11</v>
      </c>
      <c r="AS1791" s="235" t="s">
        <v>11171</v>
      </c>
      <c r="AT1791" s="235" t="s">
        <v>11</v>
      </c>
      <c r="AU1791" s="235" t="s">
        <v>634</v>
      </c>
      <c r="AV1791" s="246" t="s">
        <v>635</v>
      </c>
      <c r="AW1791" s="242"/>
      <c r="AX1791" s="242"/>
      <c r="AY1791" s="231"/>
      <c r="AZ1791" s="231"/>
      <c r="BA1791" s="227"/>
      <c r="BB1791" s="231"/>
      <c r="BC1791" s="227"/>
      <c r="BD1791" s="227"/>
      <c r="BE1791" s="227"/>
      <c r="BF1791" s="227"/>
    </row>
    <row r="1792">
      <c r="A1792" s="235" t="s">
        <v>14063</v>
      </c>
      <c r="C1792" s="235" t="s">
        <v>14064</v>
      </c>
      <c r="D1792" s="235" t="s">
        <v>14065</v>
      </c>
      <c r="E1792" s="243">
        <v>6.54E13</v>
      </c>
      <c r="F1792" s="245"/>
      <c r="G1792" s="235" t="s">
        <v>14066</v>
      </c>
      <c r="H1792" s="235" t="s">
        <v>14067</v>
      </c>
      <c r="I1792" s="235" t="s">
        <v>14067</v>
      </c>
      <c r="J1792" s="235" t="s">
        <v>14068</v>
      </c>
      <c r="K1792" s="235" t="s">
        <v>14069</v>
      </c>
      <c r="N1792" s="235" t="s">
        <v>154</v>
      </c>
      <c r="O1792" s="235" t="s">
        <v>766</v>
      </c>
      <c r="P1792" s="238">
        <v>1.0</v>
      </c>
      <c r="Q1792" s="235" t="s">
        <v>627</v>
      </c>
      <c r="R1792" s="238">
        <v>465.71</v>
      </c>
      <c r="S1792" s="238">
        <v>23.29</v>
      </c>
      <c r="T1792" s="238">
        <v>0.0</v>
      </c>
      <c r="U1792" s="238">
        <v>0.0</v>
      </c>
      <c r="V1792" s="238">
        <v>0.0</v>
      </c>
      <c r="W1792" s="238">
        <v>0.0</v>
      </c>
      <c r="X1792" s="235" t="s">
        <v>628</v>
      </c>
      <c r="Z1792" s="244"/>
      <c r="AA1792" s="244"/>
      <c r="AB1792" s="244"/>
      <c r="AC1792" s="235" t="s">
        <v>9365</v>
      </c>
      <c r="AD1792" s="235" t="s">
        <v>2688</v>
      </c>
      <c r="AE1792" s="238">
        <v>180005.0</v>
      </c>
      <c r="AF1792" s="235" t="s">
        <v>631</v>
      </c>
      <c r="AG1792" s="244"/>
      <c r="AH1792" s="244"/>
      <c r="AI1792" s="245"/>
      <c r="AJ1792" s="245"/>
      <c r="AK1792" s="245"/>
      <c r="AL1792" s="245"/>
      <c r="AM1792" s="244"/>
      <c r="AN1792" s="244"/>
      <c r="AO1792" s="238">
        <v>0.0</v>
      </c>
      <c r="AP1792" s="238">
        <v>0.0</v>
      </c>
      <c r="AQ1792" s="235" t="s">
        <v>632</v>
      </c>
      <c r="AR1792" s="243">
        <v>3.71E11</v>
      </c>
      <c r="AS1792" s="235" t="s">
        <v>11171</v>
      </c>
      <c r="AT1792" s="235" t="s">
        <v>533</v>
      </c>
      <c r="AU1792" s="235" t="s">
        <v>634</v>
      </c>
      <c r="AV1792" s="246" t="s">
        <v>635</v>
      </c>
      <c r="AW1792" s="242"/>
      <c r="AX1792" s="242"/>
      <c r="AY1792" s="231"/>
      <c r="AZ1792" s="231"/>
      <c r="BA1792" s="227"/>
      <c r="BB1792" s="231"/>
      <c r="BC1792" s="227"/>
      <c r="BD1792" s="227"/>
      <c r="BE1792" s="227"/>
      <c r="BF1792" s="227"/>
    </row>
    <row r="1793">
      <c r="A1793" s="235" t="s">
        <v>14070</v>
      </c>
      <c r="C1793" s="235" t="s">
        <v>14071</v>
      </c>
      <c r="D1793" s="235" t="s">
        <v>14072</v>
      </c>
      <c r="E1793" s="243">
        <v>6.54E13</v>
      </c>
      <c r="F1793" s="245"/>
      <c r="G1793" s="235" t="s">
        <v>14073</v>
      </c>
      <c r="H1793" s="235" t="s">
        <v>14074</v>
      </c>
      <c r="I1793" s="235" t="s">
        <v>14075</v>
      </c>
      <c r="J1793" s="235" t="s">
        <v>14076</v>
      </c>
      <c r="K1793" s="235" t="s">
        <v>14077</v>
      </c>
      <c r="N1793" s="235" t="s">
        <v>153</v>
      </c>
      <c r="O1793" s="235" t="s">
        <v>390</v>
      </c>
      <c r="P1793" s="238">
        <v>1.0</v>
      </c>
      <c r="Q1793" s="235" t="s">
        <v>627</v>
      </c>
      <c r="R1793" s="238">
        <v>490.68</v>
      </c>
      <c r="S1793" s="238">
        <v>88.32</v>
      </c>
      <c r="T1793" s="238">
        <v>0.0</v>
      </c>
      <c r="U1793" s="238">
        <v>0.0</v>
      </c>
      <c r="V1793" s="238">
        <v>0.0</v>
      </c>
      <c r="W1793" s="238">
        <v>0.0</v>
      </c>
      <c r="X1793" s="235" t="s">
        <v>628</v>
      </c>
      <c r="Z1793" s="244"/>
      <c r="AA1793" s="244"/>
      <c r="AB1793" s="244"/>
      <c r="AC1793" s="235" t="s">
        <v>795</v>
      </c>
      <c r="AD1793" s="235" t="s">
        <v>796</v>
      </c>
      <c r="AE1793" s="238">
        <v>110088.0</v>
      </c>
      <c r="AF1793" s="235" t="s">
        <v>631</v>
      </c>
      <c r="AG1793" s="244"/>
      <c r="AH1793" s="244"/>
      <c r="AI1793" s="245"/>
      <c r="AJ1793" s="245"/>
      <c r="AK1793" s="245"/>
      <c r="AL1793" s="245"/>
      <c r="AM1793" s="244"/>
      <c r="AN1793" s="244"/>
      <c r="AO1793" s="238">
        <v>0.0</v>
      </c>
      <c r="AP1793" s="238">
        <v>0.0</v>
      </c>
      <c r="AQ1793" s="235" t="s">
        <v>632</v>
      </c>
      <c r="AR1793" s="243">
        <v>1.68E11</v>
      </c>
      <c r="AS1793" s="235" t="s">
        <v>13822</v>
      </c>
      <c r="AT1793" s="235" t="s">
        <v>13</v>
      </c>
      <c r="AU1793" s="235" t="s">
        <v>634</v>
      </c>
      <c r="AV1793" s="246" t="s">
        <v>635</v>
      </c>
      <c r="AW1793" s="242"/>
      <c r="AX1793" s="242"/>
      <c r="AY1793" s="231"/>
      <c r="AZ1793" s="231"/>
      <c r="BA1793" s="227"/>
      <c r="BB1793" s="231"/>
      <c r="BC1793" s="227"/>
      <c r="BD1793" s="227"/>
      <c r="BE1793" s="227"/>
      <c r="BF1793" s="227"/>
    </row>
    <row r="1794">
      <c r="A1794" s="235" t="s">
        <v>14078</v>
      </c>
      <c r="C1794" s="235" t="s">
        <v>14079</v>
      </c>
      <c r="D1794" s="235" t="s">
        <v>14080</v>
      </c>
      <c r="E1794" s="243">
        <v>6.54E13</v>
      </c>
      <c r="F1794" s="245"/>
      <c r="G1794" s="235" t="s">
        <v>14081</v>
      </c>
      <c r="H1794" s="235" t="s">
        <v>14082</v>
      </c>
      <c r="I1794" s="235" t="s">
        <v>14082</v>
      </c>
      <c r="J1794" s="235" t="s">
        <v>14083</v>
      </c>
      <c r="K1794" s="235" t="s">
        <v>14084</v>
      </c>
      <c r="N1794" s="235" t="s">
        <v>141</v>
      </c>
      <c r="O1794" s="235" t="s">
        <v>342</v>
      </c>
      <c r="P1794" s="238">
        <v>1.0</v>
      </c>
      <c r="Q1794" s="235" t="s">
        <v>627</v>
      </c>
      <c r="R1794" s="238">
        <v>246.67</v>
      </c>
      <c r="S1794" s="238">
        <v>12.33</v>
      </c>
      <c r="T1794" s="238">
        <v>38.1</v>
      </c>
      <c r="U1794" s="238">
        <v>1.9</v>
      </c>
      <c r="V1794" s="238">
        <v>0.0</v>
      </c>
      <c r="W1794" s="238">
        <v>0.0</v>
      </c>
      <c r="X1794" s="235" t="s">
        <v>628</v>
      </c>
      <c r="Z1794" s="244"/>
      <c r="AA1794" s="244"/>
      <c r="AB1794" s="244"/>
      <c r="AC1794" s="235" t="s">
        <v>4672</v>
      </c>
      <c r="AD1794" s="235" t="s">
        <v>630</v>
      </c>
      <c r="AE1794" s="238">
        <v>221005.0</v>
      </c>
      <c r="AF1794" s="235" t="s">
        <v>631</v>
      </c>
      <c r="AG1794" s="244"/>
      <c r="AH1794" s="244"/>
      <c r="AI1794" s="245"/>
      <c r="AJ1794" s="245"/>
      <c r="AK1794" s="245"/>
      <c r="AL1794" s="245"/>
      <c r="AM1794" s="244"/>
      <c r="AN1794" s="244"/>
      <c r="AO1794" s="238">
        <v>0.0</v>
      </c>
      <c r="AP1794" s="238">
        <v>-38.1</v>
      </c>
      <c r="AQ1794" s="235" t="s">
        <v>632</v>
      </c>
      <c r="AR1794" s="243">
        <v>2.02E11</v>
      </c>
      <c r="AS1794" s="235" t="s">
        <v>11171</v>
      </c>
      <c r="AT1794" s="235" t="s">
        <v>533</v>
      </c>
      <c r="AU1794" s="235" t="s">
        <v>634</v>
      </c>
      <c r="AV1794" s="246" t="s">
        <v>635</v>
      </c>
      <c r="AW1794" s="242"/>
      <c r="AX1794" s="242"/>
      <c r="AY1794" s="231"/>
      <c r="AZ1794" s="231"/>
      <c r="BA1794" s="227"/>
      <c r="BB1794" s="231"/>
      <c r="BC1794" s="227"/>
      <c r="BD1794" s="227"/>
      <c r="BE1794" s="227"/>
      <c r="BF1794" s="227"/>
    </row>
    <row r="1795">
      <c r="A1795" s="235" t="s">
        <v>14085</v>
      </c>
      <c r="C1795" s="235" t="s">
        <v>14086</v>
      </c>
      <c r="D1795" s="235" t="s">
        <v>14087</v>
      </c>
      <c r="E1795" s="243">
        <v>6.54E13</v>
      </c>
      <c r="F1795" s="245"/>
      <c r="G1795" s="235" t="s">
        <v>14088</v>
      </c>
      <c r="H1795" s="235" t="s">
        <v>14089</v>
      </c>
      <c r="I1795" s="235" t="s">
        <v>14090</v>
      </c>
      <c r="J1795" s="235" t="s">
        <v>14091</v>
      </c>
      <c r="K1795" s="235" t="s">
        <v>14092</v>
      </c>
      <c r="N1795" s="235" t="s">
        <v>127</v>
      </c>
      <c r="O1795" s="235" t="s">
        <v>794</v>
      </c>
      <c r="P1795" s="238">
        <v>1.0</v>
      </c>
      <c r="Q1795" s="235" t="s">
        <v>627</v>
      </c>
      <c r="R1795" s="238">
        <v>246.67</v>
      </c>
      <c r="S1795" s="238">
        <v>12.33</v>
      </c>
      <c r="T1795" s="238">
        <v>38.1</v>
      </c>
      <c r="U1795" s="238">
        <v>1.9</v>
      </c>
      <c r="V1795" s="238">
        <v>0.0</v>
      </c>
      <c r="W1795" s="238">
        <v>0.0</v>
      </c>
      <c r="X1795" s="235" t="s">
        <v>628</v>
      </c>
      <c r="Z1795" s="244"/>
      <c r="AA1795" s="244"/>
      <c r="AB1795" s="244"/>
      <c r="AC1795" s="235" t="s">
        <v>964</v>
      </c>
      <c r="AD1795" s="235" t="s">
        <v>965</v>
      </c>
      <c r="AE1795" s="238">
        <v>174101.0</v>
      </c>
      <c r="AF1795" s="235" t="s">
        <v>631</v>
      </c>
      <c r="AG1795" s="244"/>
      <c r="AH1795" s="244"/>
      <c r="AI1795" s="245"/>
      <c r="AJ1795" s="245"/>
      <c r="AK1795" s="245"/>
      <c r="AL1795" s="245"/>
      <c r="AM1795" s="244"/>
      <c r="AN1795" s="244"/>
      <c r="AO1795" s="238">
        <v>0.0</v>
      </c>
      <c r="AP1795" s="238">
        <v>-38.1</v>
      </c>
      <c r="AQ1795" s="235" t="s">
        <v>632</v>
      </c>
      <c r="AR1795" s="243">
        <v>3.71E11</v>
      </c>
      <c r="AS1795" s="235" t="s">
        <v>11171</v>
      </c>
      <c r="AT1795" s="235" t="s">
        <v>13</v>
      </c>
      <c r="AU1795" s="235" t="s">
        <v>634</v>
      </c>
      <c r="AV1795" s="246" t="s">
        <v>635</v>
      </c>
      <c r="AW1795" s="242"/>
      <c r="AX1795" s="242"/>
      <c r="AY1795" s="231"/>
      <c r="AZ1795" s="231"/>
      <c r="BA1795" s="227"/>
      <c r="BB1795" s="231"/>
      <c r="BC1795" s="227"/>
      <c r="BD1795" s="227"/>
      <c r="BE1795" s="227"/>
      <c r="BF1795" s="227"/>
    </row>
    <row r="1796">
      <c r="A1796" s="235" t="s">
        <v>14093</v>
      </c>
      <c r="C1796" s="235" t="s">
        <v>14094</v>
      </c>
      <c r="D1796" s="235" t="s">
        <v>14095</v>
      </c>
      <c r="E1796" s="243">
        <v>6.54E13</v>
      </c>
      <c r="F1796" s="245"/>
      <c r="G1796" s="235" t="s">
        <v>14096</v>
      </c>
      <c r="H1796" s="235" t="s">
        <v>14097</v>
      </c>
      <c r="I1796" s="235" t="s">
        <v>14097</v>
      </c>
      <c r="J1796" s="235" t="s">
        <v>14098</v>
      </c>
      <c r="K1796" s="235" t="s">
        <v>14099</v>
      </c>
      <c r="N1796" s="235" t="s">
        <v>154</v>
      </c>
      <c r="O1796" s="235" t="s">
        <v>766</v>
      </c>
      <c r="P1796" s="238">
        <v>1.0</v>
      </c>
      <c r="Q1796" s="235" t="s">
        <v>627</v>
      </c>
      <c r="R1796" s="238">
        <v>465.72</v>
      </c>
      <c r="S1796" s="238">
        <v>23.28</v>
      </c>
      <c r="T1796" s="238">
        <v>0.0</v>
      </c>
      <c r="U1796" s="238">
        <v>0.0</v>
      </c>
      <c r="V1796" s="238">
        <v>0.0</v>
      </c>
      <c r="W1796" s="238">
        <v>0.0</v>
      </c>
      <c r="X1796" s="235" t="s">
        <v>628</v>
      </c>
      <c r="Z1796" s="244"/>
      <c r="AA1796" s="244"/>
      <c r="AB1796" s="244"/>
      <c r="AC1796" s="235" t="s">
        <v>1887</v>
      </c>
      <c r="AD1796" s="235" t="s">
        <v>679</v>
      </c>
      <c r="AE1796" s="238">
        <v>560100.0</v>
      </c>
      <c r="AF1796" s="235" t="s">
        <v>631</v>
      </c>
      <c r="AG1796" s="244"/>
      <c r="AH1796" s="244"/>
      <c r="AI1796" s="245"/>
      <c r="AJ1796" s="245"/>
      <c r="AK1796" s="245"/>
      <c r="AL1796" s="245"/>
      <c r="AM1796" s="244"/>
      <c r="AN1796" s="244"/>
      <c r="AO1796" s="238">
        <v>0.0</v>
      </c>
      <c r="AP1796" s="238">
        <v>0.0</v>
      </c>
      <c r="AQ1796" s="235" t="s">
        <v>632</v>
      </c>
      <c r="AR1796" s="243">
        <v>1.68E11</v>
      </c>
      <c r="AS1796" s="235" t="s">
        <v>13822</v>
      </c>
      <c r="AT1796" s="235" t="s">
        <v>11</v>
      </c>
      <c r="AU1796" s="235" t="s">
        <v>634</v>
      </c>
      <c r="AV1796" s="246" t="s">
        <v>635</v>
      </c>
      <c r="AW1796" s="242"/>
      <c r="AX1796" s="242"/>
      <c r="AY1796" s="231"/>
      <c r="AZ1796" s="231"/>
      <c r="BA1796" s="227"/>
      <c r="BB1796" s="231"/>
      <c r="BC1796" s="227"/>
      <c r="BD1796" s="227"/>
      <c r="BE1796" s="227"/>
      <c r="BF1796" s="227"/>
    </row>
    <row r="1797">
      <c r="A1797" s="235" t="s">
        <v>14100</v>
      </c>
      <c r="C1797" s="235" t="s">
        <v>14101</v>
      </c>
      <c r="D1797" s="235" t="s">
        <v>14102</v>
      </c>
      <c r="E1797" s="243">
        <v>6.54E13</v>
      </c>
      <c r="F1797" s="245"/>
      <c r="G1797" s="235" t="s">
        <v>14103</v>
      </c>
      <c r="H1797" s="235" t="s">
        <v>14104</v>
      </c>
      <c r="I1797" s="235" t="s">
        <v>14104</v>
      </c>
      <c r="J1797" s="235" t="s">
        <v>14105</v>
      </c>
      <c r="K1797" s="235" t="s">
        <v>14106</v>
      </c>
      <c r="N1797" s="235" t="s">
        <v>726</v>
      </c>
      <c r="O1797" s="235" t="s">
        <v>727</v>
      </c>
      <c r="P1797" s="238">
        <v>1.0</v>
      </c>
      <c r="Q1797" s="235" t="s">
        <v>627</v>
      </c>
      <c r="R1797" s="238">
        <v>246.66</v>
      </c>
      <c r="S1797" s="238">
        <v>12.34</v>
      </c>
      <c r="T1797" s="238">
        <v>0.0</v>
      </c>
      <c r="U1797" s="238">
        <v>0.0</v>
      </c>
      <c r="V1797" s="238">
        <v>0.0</v>
      </c>
      <c r="W1797" s="238">
        <v>0.0</v>
      </c>
      <c r="X1797" s="235" t="s">
        <v>628</v>
      </c>
      <c r="Z1797" s="244"/>
      <c r="AA1797" s="244"/>
      <c r="AB1797" s="244"/>
      <c r="AC1797" s="235" t="s">
        <v>14107</v>
      </c>
      <c r="AD1797" s="235" t="s">
        <v>666</v>
      </c>
      <c r="AE1797" s="238">
        <v>638183.0</v>
      </c>
      <c r="AF1797" s="235" t="s">
        <v>631</v>
      </c>
      <c r="AG1797" s="244"/>
      <c r="AH1797" s="244"/>
      <c r="AI1797" s="245"/>
      <c r="AJ1797" s="245"/>
      <c r="AK1797" s="245"/>
      <c r="AL1797" s="245"/>
      <c r="AM1797" s="244"/>
      <c r="AN1797" s="244"/>
      <c r="AO1797" s="238">
        <v>0.0</v>
      </c>
      <c r="AP1797" s="238">
        <v>0.0</v>
      </c>
      <c r="AQ1797" s="235" t="s">
        <v>632</v>
      </c>
      <c r="AR1797" s="243">
        <v>3.71E11</v>
      </c>
      <c r="AS1797" s="235" t="s">
        <v>12693</v>
      </c>
      <c r="AT1797" s="235" t="s">
        <v>155</v>
      </c>
      <c r="AU1797" s="235" t="s">
        <v>634</v>
      </c>
      <c r="AV1797" s="246" t="s">
        <v>635</v>
      </c>
      <c r="AW1797" s="242"/>
      <c r="AX1797" s="242"/>
      <c r="AY1797" s="231"/>
      <c r="AZ1797" s="231"/>
      <c r="BA1797" s="227"/>
      <c r="BB1797" s="231"/>
      <c r="BC1797" s="227"/>
      <c r="BD1797" s="227"/>
      <c r="BE1797" s="227"/>
      <c r="BF1797" s="227"/>
    </row>
    <row r="1798">
      <c r="A1798" s="235" t="s">
        <v>14108</v>
      </c>
      <c r="C1798" s="235" t="s">
        <v>14109</v>
      </c>
      <c r="D1798" s="235" t="s">
        <v>14110</v>
      </c>
      <c r="E1798" s="243">
        <v>6.54E13</v>
      </c>
      <c r="F1798" s="245"/>
      <c r="G1798" s="235" t="s">
        <v>14111</v>
      </c>
      <c r="H1798" s="235" t="s">
        <v>14112</v>
      </c>
      <c r="I1798" s="235" t="s">
        <v>14112</v>
      </c>
      <c r="J1798" s="235" t="s">
        <v>14113</v>
      </c>
      <c r="K1798" s="235" t="s">
        <v>14114</v>
      </c>
      <c r="N1798" s="235" t="s">
        <v>43</v>
      </c>
      <c r="O1798" s="235" t="s">
        <v>276</v>
      </c>
      <c r="P1798" s="238">
        <v>1.0</v>
      </c>
      <c r="Q1798" s="235" t="s">
        <v>627</v>
      </c>
      <c r="R1798" s="238">
        <v>237.14</v>
      </c>
      <c r="S1798" s="238">
        <v>11.86</v>
      </c>
      <c r="T1798" s="238">
        <v>38.1</v>
      </c>
      <c r="U1798" s="238">
        <v>1.9</v>
      </c>
      <c r="V1798" s="238">
        <v>0.0</v>
      </c>
      <c r="W1798" s="238">
        <v>0.0</v>
      </c>
      <c r="X1798" s="235" t="s">
        <v>628</v>
      </c>
      <c r="Z1798" s="244"/>
      <c r="AA1798" s="244"/>
      <c r="AB1798" s="244"/>
      <c r="AC1798" s="235" t="s">
        <v>14115</v>
      </c>
      <c r="AD1798" s="235" t="s">
        <v>666</v>
      </c>
      <c r="AE1798" s="238">
        <v>620013.0</v>
      </c>
      <c r="AF1798" s="235" t="s">
        <v>631</v>
      </c>
      <c r="AG1798" s="244"/>
      <c r="AH1798" s="244"/>
      <c r="AI1798" s="245"/>
      <c r="AJ1798" s="245"/>
      <c r="AK1798" s="245"/>
      <c r="AL1798" s="245"/>
      <c r="AM1798" s="244"/>
      <c r="AN1798" s="244"/>
      <c r="AO1798" s="238">
        <v>0.0</v>
      </c>
      <c r="AP1798" s="238">
        <v>-38.1</v>
      </c>
      <c r="AQ1798" s="235" t="s">
        <v>632</v>
      </c>
      <c r="AR1798" s="243">
        <v>3.71E11</v>
      </c>
      <c r="AS1798" s="235" t="s">
        <v>11171</v>
      </c>
      <c r="AT1798" s="235" t="s">
        <v>156</v>
      </c>
      <c r="AU1798" s="235" t="s">
        <v>634</v>
      </c>
      <c r="AV1798" s="246" t="s">
        <v>635</v>
      </c>
      <c r="AW1798" s="242"/>
      <c r="AX1798" s="242"/>
      <c r="AY1798" s="231"/>
      <c r="AZ1798" s="231"/>
      <c r="BA1798" s="227"/>
      <c r="BB1798" s="231"/>
      <c r="BC1798" s="227"/>
      <c r="BD1798" s="227"/>
      <c r="BE1798" s="227"/>
      <c r="BF1798" s="227"/>
    </row>
    <row r="1799">
      <c r="A1799" s="235" t="s">
        <v>14116</v>
      </c>
      <c r="C1799" s="235" t="s">
        <v>14117</v>
      </c>
      <c r="D1799" s="235" t="s">
        <v>14118</v>
      </c>
      <c r="E1799" s="243">
        <v>6.54E13</v>
      </c>
      <c r="F1799" s="245"/>
      <c r="G1799" s="235" t="s">
        <v>14119</v>
      </c>
      <c r="H1799" s="235" t="s">
        <v>14120</v>
      </c>
      <c r="I1799" s="235" t="s">
        <v>14120</v>
      </c>
      <c r="J1799" s="235" t="s">
        <v>14121</v>
      </c>
      <c r="K1799" s="235" t="s">
        <v>14122</v>
      </c>
      <c r="N1799" s="235" t="s">
        <v>42</v>
      </c>
      <c r="O1799" s="235" t="s">
        <v>204</v>
      </c>
      <c r="P1799" s="238">
        <v>1.0</v>
      </c>
      <c r="Q1799" s="235" t="s">
        <v>627</v>
      </c>
      <c r="R1799" s="238">
        <v>237.14</v>
      </c>
      <c r="S1799" s="238">
        <v>11.86</v>
      </c>
      <c r="T1799" s="238">
        <v>38.1</v>
      </c>
      <c r="U1799" s="238">
        <v>1.9</v>
      </c>
      <c r="V1799" s="238">
        <v>0.0</v>
      </c>
      <c r="W1799" s="238">
        <v>0.0</v>
      </c>
      <c r="X1799" s="235" t="s">
        <v>628</v>
      </c>
      <c r="Z1799" s="244"/>
      <c r="AA1799" s="244"/>
      <c r="AB1799" s="244"/>
      <c r="AC1799" s="235" t="s">
        <v>678</v>
      </c>
      <c r="AD1799" s="235" t="s">
        <v>679</v>
      </c>
      <c r="AE1799" s="238">
        <v>560078.0</v>
      </c>
      <c r="AF1799" s="235" t="s">
        <v>631</v>
      </c>
      <c r="AG1799" s="244"/>
      <c r="AH1799" s="244"/>
      <c r="AI1799" s="245"/>
      <c r="AJ1799" s="245"/>
      <c r="AK1799" s="245"/>
      <c r="AL1799" s="245"/>
      <c r="AM1799" s="244"/>
      <c r="AN1799" s="244"/>
      <c r="AO1799" s="238">
        <v>0.0</v>
      </c>
      <c r="AP1799" s="238">
        <v>-38.1</v>
      </c>
      <c r="AQ1799" s="235" t="s">
        <v>632</v>
      </c>
      <c r="AR1799" s="243">
        <v>3.71E11</v>
      </c>
      <c r="AS1799" s="235" t="s">
        <v>12693</v>
      </c>
      <c r="AT1799" s="235" t="s">
        <v>9</v>
      </c>
      <c r="AU1799" s="235" t="s">
        <v>634</v>
      </c>
      <c r="AV1799" s="246" t="s">
        <v>635</v>
      </c>
      <c r="AW1799" s="242"/>
      <c r="AX1799" s="242"/>
      <c r="AY1799" s="231"/>
      <c r="AZ1799" s="231"/>
      <c r="BA1799" s="227"/>
      <c r="BB1799" s="231"/>
      <c r="BC1799" s="227"/>
      <c r="BD1799" s="227"/>
      <c r="BE1799" s="227"/>
      <c r="BF1799" s="227"/>
    </row>
    <row r="1800">
      <c r="A1800" s="235" t="s">
        <v>14123</v>
      </c>
      <c r="C1800" s="235" t="s">
        <v>14124</v>
      </c>
      <c r="D1800" s="235" t="s">
        <v>14125</v>
      </c>
      <c r="E1800" s="243">
        <v>6.54E13</v>
      </c>
      <c r="F1800" s="245"/>
      <c r="G1800" s="235" t="s">
        <v>14126</v>
      </c>
      <c r="H1800" s="235" t="s">
        <v>14127</v>
      </c>
      <c r="I1800" s="235" t="s">
        <v>14127</v>
      </c>
      <c r="J1800" s="235" t="s">
        <v>14128</v>
      </c>
      <c r="K1800" s="235" t="s">
        <v>14129</v>
      </c>
      <c r="N1800" s="235" t="s">
        <v>90</v>
      </c>
      <c r="O1800" s="235" t="s">
        <v>279</v>
      </c>
      <c r="P1800" s="238">
        <v>1.0</v>
      </c>
      <c r="Q1800" s="235" t="s">
        <v>627</v>
      </c>
      <c r="R1800" s="238">
        <v>246.67</v>
      </c>
      <c r="S1800" s="238">
        <v>12.08</v>
      </c>
      <c r="T1800" s="238">
        <v>0.0</v>
      </c>
      <c r="U1800" s="238">
        <v>0.0</v>
      </c>
      <c r="V1800" s="238">
        <v>0.0</v>
      </c>
      <c r="W1800" s="238">
        <v>0.0</v>
      </c>
      <c r="X1800" s="235" t="s">
        <v>628</v>
      </c>
      <c r="Z1800" s="244"/>
      <c r="AA1800" s="244"/>
      <c r="AB1800" s="244"/>
      <c r="AC1800" s="235" t="s">
        <v>822</v>
      </c>
      <c r="AD1800" s="235" t="s">
        <v>630</v>
      </c>
      <c r="AE1800" s="238">
        <v>201303.0</v>
      </c>
      <c r="AF1800" s="235" t="s">
        <v>631</v>
      </c>
      <c r="AG1800" s="244"/>
      <c r="AH1800" s="244"/>
      <c r="AI1800" s="245"/>
      <c r="AJ1800" s="245"/>
      <c r="AK1800" s="245"/>
      <c r="AL1800" s="245"/>
      <c r="AM1800" s="244"/>
      <c r="AN1800" s="244"/>
      <c r="AO1800" s="238">
        <v>-4.93</v>
      </c>
      <c r="AP1800" s="238">
        <v>0.0</v>
      </c>
      <c r="AQ1800" s="235" t="s">
        <v>632</v>
      </c>
      <c r="AR1800" s="243">
        <v>1.68E11</v>
      </c>
      <c r="AS1800" s="235" t="s">
        <v>13822</v>
      </c>
      <c r="AT1800" s="235" t="s">
        <v>533</v>
      </c>
      <c r="AU1800" s="235" t="s">
        <v>634</v>
      </c>
      <c r="AV1800" s="246" t="s">
        <v>635</v>
      </c>
      <c r="AW1800" s="242"/>
      <c r="AX1800" s="242"/>
      <c r="AY1800" s="231"/>
      <c r="AZ1800" s="231"/>
      <c r="BA1800" s="227"/>
      <c r="BB1800" s="231"/>
      <c r="BC1800" s="227"/>
      <c r="BD1800" s="227"/>
      <c r="BE1800" s="227"/>
      <c r="BF1800" s="227"/>
    </row>
    <row r="1801">
      <c r="A1801" s="235" t="s">
        <v>14130</v>
      </c>
      <c r="C1801" s="235" t="s">
        <v>14131</v>
      </c>
      <c r="D1801" s="235" t="s">
        <v>14132</v>
      </c>
      <c r="E1801" s="243">
        <v>6.53E13</v>
      </c>
      <c r="F1801" s="245"/>
      <c r="G1801" s="235" t="s">
        <v>14133</v>
      </c>
      <c r="H1801" s="235" t="s">
        <v>14134</v>
      </c>
      <c r="I1801" s="235" t="s">
        <v>14134</v>
      </c>
      <c r="J1801" s="235" t="s">
        <v>14135</v>
      </c>
      <c r="K1801" s="235" t="s">
        <v>14136</v>
      </c>
      <c r="N1801" s="235" t="s">
        <v>127</v>
      </c>
      <c r="O1801" s="235" t="s">
        <v>794</v>
      </c>
      <c r="P1801" s="238">
        <v>1.0</v>
      </c>
      <c r="Q1801" s="235" t="s">
        <v>627</v>
      </c>
      <c r="R1801" s="238">
        <v>270.48</v>
      </c>
      <c r="S1801" s="238">
        <v>13.25</v>
      </c>
      <c r="T1801" s="238">
        <v>0.0</v>
      </c>
      <c r="U1801" s="238">
        <v>0.0</v>
      </c>
      <c r="V1801" s="238">
        <v>0.0</v>
      </c>
      <c r="W1801" s="238">
        <v>0.0</v>
      </c>
      <c r="X1801" s="235" t="s">
        <v>628</v>
      </c>
      <c r="Z1801" s="244"/>
      <c r="AA1801" s="244"/>
      <c r="AB1801" s="244"/>
      <c r="AC1801" s="235" t="s">
        <v>1800</v>
      </c>
      <c r="AD1801" s="235" t="s">
        <v>845</v>
      </c>
      <c r="AE1801" s="238">
        <v>421311.0</v>
      </c>
      <c r="AF1801" s="235" t="s">
        <v>631</v>
      </c>
      <c r="AG1801" s="244"/>
      <c r="AH1801" s="244"/>
      <c r="AI1801" s="245"/>
      <c r="AJ1801" s="245"/>
      <c r="AK1801" s="245"/>
      <c r="AL1801" s="245"/>
      <c r="AM1801" s="244"/>
      <c r="AN1801" s="244"/>
      <c r="AO1801" s="238">
        <v>-5.41</v>
      </c>
      <c r="AP1801" s="238">
        <v>0.0</v>
      </c>
      <c r="AQ1801" s="235" t="s">
        <v>632</v>
      </c>
      <c r="AR1801" s="243">
        <v>3.71E11</v>
      </c>
      <c r="AS1801" s="235" t="s">
        <v>12693</v>
      </c>
      <c r="AT1801" s="235" t="s">
        <v>17</v>
      </c>
      <c r="AU1801" s="235" t="s">
        <v>634</v>
      </c>
      <c r="AV1801" s="246" t="s">
        <v>635</v>
      </c>
      <c r="AW1801" s="242"/>
      <c r="AX1801" s="242"/>
      <c r="AY1801" s="231"/>
      <c r="AZ1801" s="231"/>
      <c r="BA1801" s="227"/>
      <c r="BB1801" s="231"/>
      <c r="BC1801" s="227"/>
      <c r="BD1801" s="227"/>
      <c r="BE1801" s="227"/>
      <c r="BF1801" s="227"/>
    </row>
    <row r="1802">
      <c r="A1802" s="235" t="s">
        <v>14137</v>
      </c>
      <c r="C1802" s="235" t="s">
        <v>14138</v>
      </c>
      <c r="D1802" s="235" t="s">
        <v>14139</v>
      </c>
      <c r="E1802" s="243">
        <v>6.54E13</v>
      </c>
      <c r="F1802" s="245"/>
      <c r="G1802" s="235" t="s">
        <v>14140</v>
      </c>
      <c r="H1802" s="235" t="s">
        <v>14141</v>
      </c>
      <c r="I1802" s="235" t="s">
        <v>14141</v>
      </c>
      <c r="J1802" s="235" t="s">
        <v>14142</v>
      </c>
      <c r="K1802" s="235" t="s">
        <v>14143</v>
      </c>
      <c r="N1802" s="235" t="s">
        <v>148</v>
      </c>
      <c r="O1802" s="235" t="s">
        <v>1006</v>
      </c>
      <c r="P1802" s="238">
        <v>1.0</v>
      </c>
      <c r="Q1802" s="235" t="s">
        <v>627</v>
      </c>
      <c r="R1802" s="238">
        <v>283.81</v>
      </c>
      <c r="S1802" s="238">
        <v>14.19</v>
      </c>
      <c r="T1802" s="238">
        <v>38.1</v>
      </c>
      <c r="U1802" s="238">
        <v>1.9</v>
      </c>
      <c r="V1802" s="238">
        <v>0.0</v>
      </c>
      <c r="W1802" s="238">
        <v>0.0</v>
      </c>
      <c r="X1802" s="235" t="s">
        <v>628</v>
      </c>
      <c r="Z1802" s="244"/>
      <c r="AA1802" s="244"/>
      <c r="AB1802" s="244"/>
      <c r="AC1802" s="235" t="s">
        <v>14144</v>
      </c>
      <c r="AD1802" s="235" t="s">
        <v>645</v>
      </c>
      <c r="AE1802" s="238">
        <v>680571.0</v>
      </c>
      <c r="AF1802" s="235" t="s">
        <v>631</v>
      </c>
      <c r="AG1802" s="244"/>
      <c r="AH1802" s="244"/>
      <c r="AI1802" s="245"/>
      <c r="AJ1802" s="245"/>
      <c r="AK1802" s="245"/>
      <c r="AL1802" s="245"/>
      <c r="AM1802" s="244"/>
      <c r="AN1802" s="244"/>
      <c r="AO1802" s="238">
        <v>0.0</v>
      </c>
      <c r="AP1802" s="238">
        <v>-38.1</v>
      </c>
      <c r="AQ1802" s="235" t="s">
        <v>632</v>
      </c>
      <c r="AR1802" s="243">
        <v>3.71E11</v>
      </c>
      <c r="AS1802" s="235" t="s">
        <v>11171</v>
      </c>
      <c r="AT1802" s="235" t="s">
        <v>9</v>
      </c>
      <c r="AU1802" s="235" t="s">
        <v>634</v>
      </c>
      <c r="AV1802" s="246" t="s">
        <v>635</v>
      </c>
      <c r="AW1802" s="242"/>
      <c r="AX1802" s="242"/>
      <c r="AY1802" s="231"/>
      <c r="AZ1802" s="231"/>
      <c r="BA1802" s="227"/>
      <c r="BB1802" s="231"/>
      <c r="BC1802" s="227"/>
      <c r="BD1802" s="227"/>
      <c r="BE1802" s="227"/>
      <c r="BF1802" s="227"/>
    </row>
    <row r="1803">
      <c r="A1803" s="235" t="s">
        <v>14145</v>
      </c>
      <c r="C1803" s="235" t="s">
        <v>14146</v>
      </c>
      <c r="D1803" s="235" t="s">
        <v>14147</v>
      </c>
      <c r="E1803" s="243">
        <v>6.54E13</v>
      </c>
      <c r="F1803" s="245"/>
      <c r="G1803" s="235" t="s">
        <v>14148</v>
      </c>
      <c r="H1803" s="235" t="s">
        <v>14149</v>
      </c>
      <c r="I1803" s="235" t="s">
        <v>14150</v>
      </c>
      <c r="J1803" s="235" t="s">
        <v>14151</v>
      </c>
      <c r="K1803" s="235" t="s">
        <v>14152</v>
      </c>
      <c r="N1803" s="235" t="s">
        <v>962</v>
      </c>
      <c r="O1803" s="235" t="s">
        <v>963</v>
      </c>
      <c r="P1803" s="238">
        <v>1.0</v>
      </c>
      <c r="Q1803" s="235" t="s">
        <v>627</v>
      </c>
      <c r="R1803" s="238">
        <v>246.66</v>
      </c>
      <c r="S1803" s="238">
        <v>12.34</v>
      </c>
      <c r="T1803" s="238">
        <v>0.0</v>
      </c>
      <c r="U1803" s="238">
        <v>0.0</v>
      </c>
      <c r="V1803" s="238">
        <v>0.0</v>
      </c>
      <c r="W1803" s="238">
        <v>0.0</v>
      </c>
      <c r="X1803" s="235" t="s">
        <v>628</v>
      </c>
      <c r="Z1803" s="244"/>
      <c r="AA1803" s="244"/>
      <c r="AB1803" s="244"/>
      <c r="AC1803" s="235" t="s">
        <v>14153</v>
      </c>
      <c r="AD1803" s="235" t="s">
        <v>679</v>
      </c>
      <c r="AE1803" s="238">
        <v>583201.0</v>
      </c>
      <c r="AF1803" s="235" t="s">
        <v>631</v>
      </c>
      <c r="AG1803" s="244"/>
      <c r="AH1803" s="244"/>
      <c r="AI1803" s="245"/>
      <c r="AJ1803" s="245"/>
      <c r="AK1803" s="245"/>
      <c r="AL1803" s="245"/>
      <c r="AM1803" s="244"/>
      <c r="AN1803" s="244"/>
      <c r="AO1803" s="238">
        <v>0.0</v>
      </c>
      <c r="AP1803" s="238">
        <v>0.0</v>
      </c>
      <c r="AQ1803" s="235" t="s">
        <v>632</v>
      </c>
      <c r="AR1803" s="243">
        <v>3.71E11</v>
      </c>
      <c r="AS1803" s="235" t="s">
        <v>11171</v>
      </c>
      <c r="AT1803" s="235" t="s">
        <v>11</v>
      </c>
      <c r="AU1803" s="235" t="s">
        <v>634</v>
      </c>
      <c r="AV1803" s="246" t="s">
        <v>635</v>
      </c>
      <c r="AW1803" s="242"/>
      <c r="AX1803" s="242"/>
      <c r="AY1803" s="231"/>
      <c r="AZ1803" s="231"/>
      <c r="BA1803" s="227"/>
      <c r="BB1803" s="231"/>
      <c r="BC1803" s="227"/>
      <c r="BD1803" s="227"/>
      <c r="BE1803" s="227"/>
      <c r="BF1803" s="227"/>
    </row>
    <row r="1804">
      <c r="A1804" s="235" t="s">
        <v>14154</v>
      </c>
      <c r="C1804" s="235" t="s">
        <v>14155</v>
      </c>
      <c r="D1804" s="235" t="s">
        <v>14156</v>
      </c>
      <c r="E1804" s="243">
        <v>6.54E13</v>
      </c>
      <c r="F1804" s="245"/>
      <c r="G1804" s="235" t="s">
        <v>14157</v>
      </c>
      <c r="H1804" s="235" t="s">
        <v>14158</v>
      </c>
      <c r="I1804" s="235" t="s">
        <v>14158</v>
      </c>
      <c r="J1804" s="235" t="s">
        <v>14159</v>
      </c>
      <c r="K1804" s="235" t="s">
        <v>14160</v>
      </c>
      <c r="N1804" s="235" t="s">
        <v>55</v>
      </c>
      <c r="O1804" s="235" t="s">
        <v>244</v>
      </c>
      <c r="P1804" s="238">
        <v>1.0</v>
      </c>
      <c r="Q1804" s="235" t="s">
        <v>627</v>
      </c>
      <c r="R1804" s="238">
        <v>246.67</v>
      </c>
      <c r="S1804" s="238">
        <v>12.33</v>
      </c>
      <c r="T1804" s="238">
        <v>0.0</v>
      </c>
      <c r="U1804" s="238">
        <v>0.0</v>
      </c>
      <c r="V1804" s="238">
        <v>0.0</v>
      </c>
      <c r="W1804" s="238">
        <v>0.0</v>
      </c>
      <c r="X1804" s="235" t="s">
        <v>628</v>
      </c>
      <c r="Z1804" s="244"/>
      <c r="AA1804" s="244"/>
      <c r="AB1804" s="244"/>
      <c r="AC1804" s="235" t="s">
        <v>14161</v>
      </c>
      <c r="AD1804" s="235" t="s">
        <v>14162</v>
      </c>
      <c r="AE1804" s="238">
        <v>796017.0</v>
      </c>
      <c r="AF1804" s="235" t="s">
        <v>631</v>
      </c>
      <c r="AG1804" s="244"/>
      <c r="AH1804" s="244"/>
      <c r="AI1804" s="245"/>
      <c r="AJ1804" s="245"/>
      <c r="AK1804" s="245"/>
      <c r="AL1804" s="245"/>
      <c r="AM1804" s="244"/>
      <c r="AN1804" s="244"/>
      <c r="AO1804" s="238">
        <v>0.0</v>
      </c>
      <c r="AP1804" s="238">
        <v>0.0</v>
      </c>
      <c r="AQ1804" s="235" t="s">
        <v>632</v>
      </c>
      <c r="AR1804" s="243">
        <v>3.71E11</v>
      </c>
      <c r="AS1804" s="235" t="s">
        <v>4697</v>
      </c>
      <c r="AT1804" s="235" t="s">
        <v>533</v>
      </c>
      <c r="AU1804" s="235" t="s">
        <v>634</v>
      </c>
      <c r="AV1804" s="246" t="s">
        <v>635</v>
      </c>
      <c r="AW1804" s="242"/>
      <c r="AX1804" s="242"/>
      <c r="AY1804" s="231"/>
      <c r="AZ1804" s="231"/>
      <c r="BA1804" s="227"/>
      <c r="BB1804" s="231"/>
      <c r="BC1804" s="227"/>
      <c r="BD1804" s="227"/>
      <c r="BE1804" s="227"/>
      <c r="BF1804" s="227"/>
    </row>
    <row r="1805">
      <c r="A1805" s="235" t="s">
        <v>14163</v>
      </c>
      <c r="C1805" s="235" t="s">
        <v>14164</v>
      </c>
      <c r="D1805" s="235" t="s">
        <v>14165</v>
      </c>
      <c r="E1805" s="243">
        <v>6.54E13</v>
      </c>
      <c r="F1805" s="245"/>
      <c r="G1805" s="235" t="s">
        <v>14166</v>
      </c>
      <c r="H1805" s="235" t="s">
        <v>14167</v>
      </c>
      <c r="I1805" s="235" t="s">
        <v>14167</v>
      </c>
      <c r="J1805" s="235" t="s">
        <v>14168</v>
      </c>
      <c r="K1805" s="235" t="s">
        <v>14169</v>
      </c>
      <c r="N1805" s="235" t="s">
        <v>141</v>
      </c>
      <c r="O1805" s="235" t="s">
        <v>342</v>
      </c>
      <c r="P1805" s="238">
        <v>1.0</v>
      </c>
      <c r="Q1805" s="235" t="s">
        <v>627</v>
      </c>
      <c r="R1805" s="238">
        <v>246.66</v>
      </c>
      <c r="S1805" s="238">
        <v>12.1</v>
      </c>
      <c r="T1805" s="238">
        <v>0.0</v>
      </c>
      <c r="U1805" s="238">
        <v>0.0</v>
      </c>
      <c r="V1805" s="238">
        <v>0.0</v>
      </c>
      <c r="W1805" s="238">
        <v>0.0</v>
      </c>
      <c r="X1805" s="235" t="s">
        <v>628</v>
      </c>
      <c r="Z1805" s="244"/>
      <c r="AA1805" s="244"/>
      <c r="AB1805" s="244"/>
      <c r="AC1805" s="235" t="s">
        <v>14170</v>
      </c>
      <c r="AD1805" s="235" t="s">
        <v>1077</v>
      </c>
      <c r="AE1805" s="238">
        <v>385310.0</v>
      </c>
      <c r="AF1805" s="235" t="s">
        <v>631</v>
      </c>
      <c r="AG1805" s="244"/>
      <c r="AH1805" s="244"/>
      <c r="AI1805" s="245"/>
      <c r="AJ1805" s="245"/>
      <c r="AK1805" s="245"/>
      <c r="AL1805" s="245"/>
      <c r="AM1805" s="244"/>
      <c r="AN1805" s="244"/>
      <c r="AO1805" s="238">
        <v>-4.94</v>
      </c>
      <c r="AP1805" s="238">
        <v>0.0</v>
      </c>
      <c r="AQ1805" s="235" t="s">
        <v>2778</v>
      </c>
      <c r="AR1805" s="243">
        <v>7.82E10</v>
      </c>
      <c r="AS1805" s="235" t="s">
        <v>6164</v>
      </c>
      <c r="AT1805" s="235" t="s">
        <v>5</v>
      </c>
      <c r="AU1805" s="235" t="s">
        <v>634</v>
      </c>
      <c r="AV1805" s="246" t="s">
        <v>635</v>
      </c>
      <c r="AW1805" s="242"/>
      <c r="AX1805" s="242"/>
      <c r="AY1805" s="231"/>
      <c r="AZ1805" s="231"/>
      <c r="BA1805" s="227"/>
      <c r="BB1805" s="231"/>
      <c r="BC1805" s="227"/>
      <c r="BD1805" s="227"/>
      <c r="BE1805" s="227"/>
      <c r="BF1805" s="227"/>
    </row>
    <row r="1806">
      <c r="A1806" s="235" t="s">
        <v>14171</v>
      </c>
      <c r="C1806" s="235" t="s">
        <v>14172</v>
      </c>
      <c r="D1806" s="235" t="s">
        <v>14173</v>
      </c>
      <c r="E1806" s="243">
        <v>6.54E13</v>
      </c>
      <c r="F1806" s="245"/>
      <c r="G1806" s="235" t="s">
        <v>14174</v>
      </c>
      <c r="H1806" s="235" t="s">
        <v>14175</v>
      </c>
      <c r="I1806" s="235" t="s">
        <v>14175</v>
      </c>
      <c r="J1806" s="235" t="s">
        <v>14176</v>
      </c>
      <c r="K1806" s="235" t="s">
        <v>14177</v>
      </c>
      <c r="N1806" s="235" t="s">
        <v>22</v>
      </c>
      <c r="O1806" s="235" t="s">
        <v>729</v>
      </c>
      <c r="P1806" s="238">
        <v>1.0</v>
      </c>
      <c r="Q1806" s="235" t="s">
        <v>627</v>
      </c>
      <c r="R1806" s="238">
        <v>380.0</v>
      </c>
      <c r="S1806" s="238">
        <v>18.43</v>
      </c>
      <c r="T1806" s="238">
        <v>38.1</v>
      </c>
      <c r="U1806" s="238">
        <v>1.9</v>
      </c>
      <c r="V1806" s="238">
        <v>0.0</v>
      </c>
      <c r="W1806" s="238">
        <v>0.0</v>
      </c>
      <c r="X1806" s="235" t="s">
        <v>628</v>
      </c>
      <c r="Z1806" s="244"/>
      <c r="AA1806" s="244"/>
      <c r="AB1806" s="244"/>
      <c r="AC1806" s="235" t="s">
        <v>795</v>
      </c>
      <c r="AD1806" s="235" t="s">
        <v>796</v>
      </c>
      <c r="AE1806" s="238">
        <v>110059.0</v>
      </c>
      <c r="AF1806" s="235" t="s">
        <v>631</v>
      </c>
      <c r="AG1806" s="244"/>
      <c r="AH1806" s="244"/>
      <c r="AI1806" s="245"/>
      <c r="AJ1806" s="245"/>
      <c r="AK1806" s="245"/>
      <c r="AL1806" s="245"/>
      <c r="AM1806" s="244"/>
      <c r="AN1806" s="244"/>
      <c r="AO1806" s="238">
        <v>-11.4</v>
      </c>
      <c r="AP1806" s="238">
        <v>-38.1</v>
      </c>
      <c r="AQ1806" s="235" t="s">
        <v>632</v>
      </c>
      <c r="AR1806" s="243">
        <v>3.71E11</v>
      </c>
      <c r="AS1806" s="235" t="s">
        <v>12693</v>
      </c>
      <c r="AT1806" s="235" t="s">
        <v>13</v>
      </c>
      <c r="AU1806" s="235" t="s">
        <v>634</v>
      </c>
      <c r="AV1806" s="246" t="s">
        <v>635</v>
      </c>
      <c r="AW1806" s="242"/>
      <c r="AX1806" s="242"/>
      <c r="AY1806" s="231"/>
      <c r="AZ1806" s="231"/>
      <c r="BA1806" s="227"/>
      <c r="BB1806" s="227"/>
      <c r="BC1806" s="227"/>
      <c r="BD1806" s="227"/>
      <c r="BE1806" s="227"/>
      <c r="BF1806" s="227"/>
    </row>
    <row r="1807">
      <c r="A1807" s="235" t="s">
        <v>14171</v>
      </c>
      <c r="C1807" s="235" t="s">
        <v>14172</v>
      </c>
      <c r="D1807" s="235" t="s">
        <v>14178</v>
      </c>
      <c r="E1807" s="243">
        <v>6.54E13</v>
      </c>
      <c r="F1807" s="245"/>
      <c r="G1807" s="235" t="s">
        <v>14174</v>
      </c>
      <c r="H1807" s="235" t="s">
        <v>14175</v>
      </c>
      <c r="I1807" s="235" t="s">
        <v>14175</v>
      </c>
      <c r="J1807" s="235" t="s">
        <v>14176</v>
      </c>
      <c r="K1807" s="235" t="s">
        <v>14177</v>
      </c>
      <c r="N1807" s="235" t="s">
        <v>22</v>
      </c>
      <c r="O1807" s="235" t="s">
        <v>729</v>
      </c>
      <c r="P1807" s="238">
        <v>1.0</v>
      </c>
      <c r="Q1807" s="235" t="s">
        <v>627</v>
      </c>
      <c r="R1807" s="238">
        <v>380.0</v>
      </c>
      <c r="S1807" s="238">
        <v>18.43</v>
      </c>
      <c r="T1807" s="238">
        <v>38.1</v>
      </c>
      <c r="U1807" s="238">
        <v>1.9</v>
      </c>
      <c r="V1807" s="238">
        <v>0.0</v>
      </c>
      <c r="W1807" s="238">
        <v>0.0</v>
      </c>
      <c r="X1807" s="235" t="s">
        <v>628</v>
      </c>
      <c r="Z1807" s="244"/>
      <c r="AA1807" s="244"/>
      <c r="AB1807" s="244"/>
      <c r="AC1807" s="235" t="s">
        <v>795</v>
      </c>
      <c r="AD1807" s="235" t="s">
        <v>796</v>
      </c>
      <c r="AE1807" s="238">
        <v>110059.0</v>
      </c>
      <c r="AF1807" s="235" t="s">
        <v>631</v>
      </c>
      <c r="AG1807" s="244"/>
      <c r="AH1807" s="244"/>
      <c r="AI1807" s="245"/>
      <c r="AJ1807" s="245"/>
      <c r="AK1807" s="245"/>
      <c r="AL1807" s="245"/>
      <c r="AM1807" s="244"/>
      <c r="AN1807" s="244"/>
      <c r="AO1807" s="238">
        <v>-11.4</v>
      </c>
      <c r="AP1807" s="238">
        <v>-38.1</v>
      </c>
      <c r="AQ1807" s="235" t="s">
        <v>632</v>
      </c>
      <c r="AR1807" s="243">
        <v>3.71E11</v>
      </c>
      <c r="AS1807" s="235" t="s">
        <v>12693</v>
      </c>
      <c r="AT1807" s="235" t="s">
        <v>13</v>
      </c>
      <c r="AU1807" s="235" t="s">
        <v>634</v>
      </c>
      <c r="AV1807" s="246" t="s">
        <v>635</v>
      </c>
      <c r="AW1807" s="242"/>
      <c r="AX1807" s="242"/>
      <c r="AY1807" s="231"/>
      <c r="AZ1807" s="231"/>
      <c r="BA1807" s="227"/>
      <c r="BB1807" s="231"/>
      <c r="BC1807" s="227"/>
      <c r="BD1807" s="227"/>
      <c r="BE1807" s="227"/>
      <c r="BF1807" s="227"/>
    </row>
    <row r="1808">
      <c r="A1808" s="235" t="s">
        <v>14179</v>
      </c>
      <c r="C1808" s="235" t="s">
        <v>14180</v>
      </c>
      <c r="D1808" s="235" t="s">
        <v>14181</v>
      </c>
      <c r="E1808" s="243">
        <v>6.54E13</v>
      </c>
      <c r="F1808" s="245"/>
      <c r="G1808" s="235" t="s">
        <v>14182</v>
      </c>
      <c r="H1808" s="235" t="s">
        <v>14183</v>
      </c>
      <c r="I1808" s="235" t="s">
        <v>14184</v>
      </c>
      <c r="J1808" s="235" t="s">
        <v>14185</v>
      </c>
      <c r="K1808" s="235" t="s">
        <v>14186</v>
      </c>
      <c r="N1808" s="235" t="s">
        <v>962</v>
      </c>
      <c r="O1808" s="235" t="s">
        <v>963</v>
      </c>
      <c r="P1808" s="238">
        <v>1.0</v>
      </c>
      <c r="Q1808" s="235" t="s">
        <v>627</v>
      </c>
      <c r="R1808" s="238">
        <v>246.66</v>
      </c>
      <c r="S1808" s="238">
        <v>12.34</v>
      </c>
      <c r="T1808" s="238">
        <v>0.0</v>
      </c>
      <c r="U1808" s="238">
        <v>0.0</v>
      </c>
      <c r="V1808" s="238">
        <v>0.0</v>
      </c>
      <c r="W1808" s="238">
        <v>0.0</v>
      </c>
      <c r="X1808" s="235" t="s">
        <v>628</v>
      </c>
      <c r="Z1808" s="244"/>
      <c r="AA1808" s="244"/>
      <c r="AB1808" s="244"/>
      <c r="AC1808" s="235" t="s">
        <v>678</v>
      </c>
      <c r="AD1808" s="235" t="s">
        <v>679</v>
      </c>
      <c r="AE1808" s="238">
        <v>560066.0</v>
      </c>
      <c r="AF1808" s="235" t="s">
        <v>631</v>
      </c>
      <c r="AG1808" s="244"/>
      <c r="AH1808" s="244"/>
      <c r="AI1808" s="245"/>
      <c r="AJ1808" s="245"/>
      <c r="AK1808" s="245"/>
      <c r="AL1808" s="245"/>
      <c r="AM1808" s="244"/>
      <c r="AN1808" s="244"/>
      <c r="AO1808" s="238">
        <v>0.0</v>
      </c>
      <c r="AP1808" s="238">
        <v>0.0</v>
      </c>
      <c r="AQ1808" s="235" t="s">
        <v>632</v>
      </c>
      <c r="AR1808" s="243">
        <v>1.68E11</v>
      </c>
      <c r="AS1808" s="235" t="s">
        <v>13822</v>
      </c>
      <c r="AT1808" s="235" t="s">
        <v>9</v>
      </c>
      <c r="AU1808" s="235" t="s">
        <v>634</v>
      </c>
      <c r="AV1808" s="246" t="s">
        <v>635</v>
      </c>
      <c r="AW1808" s="242"/>
      <c r="AX1808" s="242"/>
      <c r="AY1808" s="231"/>
      <c r="AZ1808" s="231"/>
      <c r="BA1808" s="227"/>
      <c r="BB1808" s="231"/>
      <c r="BC1808" s="227"/>
      <c r="BD1808" s="227"/>
      <c r="BE1808" s="227"/>
      <c r="BF1808" s="227"/>
    </row>
    <row r="1809">
      <c r="A1809" s="235" t="s">
        <v>14187</v>
      </c>
      <c r="C1809" s="235" t="s">
        <v>14188</v>
      </c>
      <c r="D1809" s="235" t="s">
        <v>14189</v>
      </c>
      <c r="E1809" s="243">
        <v>6.54E13</v>
      </c>
      <c r="F1809" s="245"/>
      <c r="G1809" s="235" t="s">
        <v>14190</v>
      </c>
      <c r="H1809" s="235" t="s">
        <v>14191</v>
      </c>
      <c r="I1809" s="235" t="s">
        <v>14191</v>
      </c>
      <c r="J1809" s="235" t="s">
        <v>14192</v>
      </c>
      <c r="K1809" s="235" t="s">
        <v>14193</v>
      </c>
      <c r="N1809" s="235" t="s">
        <v>92</v>
      </c>
      <c r="O1809" s="235" t="s">
        <v>248</v>
      </c>
      <c r="P1809" s="238">
        <v>1.0</v>
      </c>
      <c r="Q1809" s="235" t="s">
        <v>627</v>
      </c>
      <c r="R1809" s="238">
        <v>246.67</v>
      </c>
      <c r="S1809" s="238">
        <v>12.33</v>
      </c>
      <c r="T1809" s="238">
        <v>38.1</v>
      </c>
      <c r="U1809" s="238">
        <v>1.9</v>
      </c>
      <c r="V1809" s="238">
        <v>0.0</v>
      </c>
      <c r="W1809" s="238">
        <v>0.0</v>
      </c>
      <c r="X1809" s="235" t="s">
        <v>628</v>
      </c>
      <c r="Z1809" s="244"/>
      <c r="AA1809" s="244"/>
      <c r="AB1809" s="244"/>
      <c r="AC1809" s="235" t="s">
        <v>14194</v>
      </c>
      <c r="AD1809" s="235" t="s">
        <v>1499</v>
      </c>
      <c r="AE1809" s="238">
        <v>481051.0</v>
      </c>
      <c r="AF1809" s="235" t="s">
        <v>631</v>
      </c>
      <c r="AG1809" s="244"/>
      <c r="AH1809" s="244"/>
      <c r="AI1809" s="245"/>
      <c r="AJ1809" s="245"/>
      <c r="AK1809" s="245"/>
      <c r="AL1809" s="245"/>
      <c r="AM1809" s="244"/>
      <c r="AN1809" s="244"/>
      <c r="AO1809" s="238">
        <v>0.0</v>
      </c>
      <c r="AP1809" s="238">
        <v>-38.1</v>
      </c>
      <c r="AQ1809" s="235" t="s">
        <v>1328</v>
      </c>
      <c r="AR1809" s="243">
        <v>1.34E13</v>
      </c>
      <c r="AS1809" s="235" t="s">
        <v>7365</v>
      </c>
      <c r="AT1809" s="235" t="s">
        <v>13</v>
      </c>
      <c r="AU1809" s="235" t="s">
        <v>634</v>
      </c>
      <c r="AV1809" s="246" t="s">
        <v>635</v>
      </c>
      <c r="AW1809" s="242"/>
      <c r="AX1809" s="242"/>
      <c r="AY1809" s="231"/>
      <c r="AZ1809" s="231"/>
      <c r="BA1809" s="227"/>
      <c r="BB1809" s="231"/>
      <c r="BC1809" s="227"/>
      <c r="BD1809" s="227"/>
      <c r="BE1809" s="227"/>
      <c r="BF1809" s="227"/>
    </row>
    <row r="1810">
      <c r="A1810" s="235" t="s">
        <v>14195</v>
      </c>
      <c r="C1810" s="235" t="s">
        <v>14196</v>
      </c>
      <c r="D1810" s="235" t="s">
        <v>14197</v>
      </c>
      <c r="E1810" s="243">
        <v>6.54E13</v>
      </c>
      <c r="F1810" s="245"/>
      <c r="G1810" s="235" t="s">
        <v>14198</v>
      </c>
      <c r="H1810" s="235" t="s">
        <v>14199</v>
      </c>
      <c r="I1810" s="235" t="s">
        <v>14200</v>
      </c>
      <c r="J1810" s="235" t="s">
        <v>14201</v>
      </c>
      <c r="K1810" s="235" t="s">
        <v>14202</v>
      </c>
      <c r="N1810" s="235" t="s">
        <v>132</v>
      </c>
      <c r="O1810" s="235" t="s">
        <v>8600</v>
      </c>
      <c r="P1810" s="238">
        <v>1.0</v>
      </c>
      <c r="Q1810" s="235" t="s">
        <v>627</v>
      </c>
      <c r="R1810" s="238">
        <v>246.67</v>
      </c>
      <c r="S1810" s="238">
        <v>12.33</v>
      </c>
      <c r="T1810" s="238">
        <v>38.1</v>
      </c>
      <c r="U1810" s="238">
        <v>1.9</v>
      </c>
      <c r="V1810" s="238">
        <v>0.0</v>
      </c>
      <c r="W1810" s="238">
        <v>0.0</v>
      </c>
      <c r="X1810" s="235" t="s">
        <v>628</v>
      </c>
      <c r="Z1810" s="244"/>
      <c r="AA1810" s="244"/>
      <c r="AB1810" s="244"/>
      <c r="AC1810" s="235" t="s">
        <v>678</v>
      </c>
      <c r="AD1810" s="235" t="s">
        <v>679</v>
      </c>
      <c r="AE1810" s="238">
        <v>560058.0</v>
      </c>
      <c r="AF1810" s="235" t="s">
        <v>631</v>
      </c>
      <c r="AG1810" s="244"/>
      <c r="AH1810" s="244"/>
      <c r="AI1810" s="245"/>
      <c r="AJ1810" s="245"/>
      <c r="AK1810" s="245"/>
      <c r="AL1810" s="245"/>
      <c r="AM1810" s="244"/>
      <c r="AN1810" s="244"/>
      <c r="AO1810" s="238">
        <v>0.0</v>
      </c>
      <c r="AP1810" s="238">
        <v>-38.1</v>
      </c>
      <c r="AQ1810" s="235" t="s">
        <v>632</v>
      </c>
      <c r="AR1810" s="243">
        <v>3.71E11</v>
      </c>
      <c r="AS1810" s="235" t="s">
        <v>11171</v>
      </c>
      <c r="AT1810" s="235" t="s">
        <v>156</v>
      </c>
      <c r="AU1810" s="235" t="s">
        <v>634</v>
      </c>
      <c r="AV1810" s="246" t="s">
        <v>635</v>
      </c>
      <c r="AW1810" s="242"/>
      <c r="AX1810" s="242"/>
      <c r="AY1810" s="231"/>
      <c r="AZ1810" s="231"/>
      <c r="BA1810" s="227"/>
      <c r="BB1810" s="231"/>
      <c r="BC1810" s="227"/>
      <c r="BD1810" s="227"/>
      <c r="BE1810" s="227"/>
      <c r="BF1810" s="227"/>
    </row>
    <row r="1811">
      <c r="A1811" s="235" t="s">
        <v>14203</v>
      </c>
      <c r="C1811" s="235" t="s">
        <v>14204</v>
      </c>
      <c r="D1811" s="235" t="s">
        <v>14205</v>
      </c>
      <c r="E1811" s="243">
        <v>6.54E13</v>
      </c>
      <c r="F1811" s="245"/>
      <c r="G1811" s="235" t="s">
        <v>14206</v>
      </c>
      <c r="H1811" s="235" t="s">
        <v>14207</v>
      </c>
      <c r="I1811" s="235" t="s">
        <v>14208</v>
      </c>
      <c r="J1811" s="235" t="s">
        <v>14209</v>
      </c>
      <c r="K1811" s="235" t="s">
        <v>14210</v>
      </c>
      <c r="N1811" s="235" t="s">
        <v>106</v>
      </c>
      <c r="O1811" s="235" t="s">
        <v>338</v>
      </c>
      <c r="P1811" s="238">
        <v>1.0</v>
      </c>
      <c r="Q1811" s="235" t="s">
        <v>627</v>
      </c>
      <c r="R1811" s="238">
        <v>246.66</v>
      </c>
      <c r="S1811" s="238">
        <v>12.1</v>
      </c>
      <c r="T1811" s="238">
        <v>0.0</v>
      </c>
      <c r="U1811" s="238">
        <v>0.0</v>
      </c>
      <c r="V1811" s="238">
        <v>0.0</v>
      </c>
      <c r="W1811" s="238">
        <v>0.0</v>
      </c>
      <c r="X1811" s="235" t="s">
        <v>628</v>
      </c>
      <c r="Z1811" s="244"/>
      <c r="AA1811" s="244"/>
      <c r="AB1811" s="244"/>
      <c r="AC1811" s="235" t="s">
        <v>4294</v>
      </c>
      <c r="AD1811" s="235" t="s">
        <v>666</v>
      </c>
      <c r="AE1811" s="238">
        <v>641606.0</v>
      </c>
      <c r="AF1811" s="235" t="s">
        <v>631</v>
      </c>
      <c r="AG1811" s="244"/>
      <c r="AH1811" s="244"/>
      <c r="AI1811" s="245"/>
      <c r="AJ1811" s="245"/>
      <c r="AK1811" s="245"/>
      <c r="AL1811" s="245"/>
      <c r="AM1811" s="244"/>
      <c r="AN1811" s="244"/>
      <c r="AO1811" s="238">
        <v>-4.94</v>
      </c>
      <c r="AP1811" s="238">
        <v>0.0</v>
      </c>
      <c r="AQ1811" s="235" t="s">
        <v>632</v>
      </c>
      <c r="AR1811" s="243">
        <v>3.71E11</v>
      </c>
      <c r="AS1811" s="235" t="s">
        <v>11171</v>
      </c>
      <c r="AT1811" s="235" t="s">
        <v>156</v>
      </c>
      <c r="AU1811" s="235" t="s">
        <v>634</v>
      </c>
      <c r="AV1811" s="246" t="s">
        <v>635</v>
      </c>
      <c r="AW1811" s="242"/>
      <c r="AX1811" s="242"/>
      <c r="AY1811" s="231"/>
      <c r="AZ1811" s="231"/>
      <c r="BA1811" s="227"/>
      <c r="BB1811" s="231"/>
      <c r="BC1811" s="227"/>
      <c r="BD1811" s="227"/>
      <c r="BE1811" s="227"/>
      <c r="BF1811" s="227"/>
    </row>
    <row r="1812">
      <c r="A1812" s="235" t="s">
        <v>14211</v>
      </c>
      <c r="C1812" s="235" t="s">
        <v>14212</v>
      </c>
      <c r="D1812" s="235" t="s">
        <v>14213</v>
      </c>
      <c r="E1812" s="243">
        <v>6.54E13</v>
      </c>
      <c r="F1812" s="245"/>
      <c r="G1812" s="235" t="s">
        <v>14214</v>
      </c>
      <c r="H1812" s="235" t="s">
        <v>14215</v>
      </c>
      <c r="I1812" s="235" t="s">
        <v>14215</v>
      </c>
      <c r="J1812" s="235" t="s">
        <v>14216</v>
      </c>
      <c r="K1812" s="235" t="s">
        <v>14217</v>
      </c>
      <c r="N1812" s="235" t="s">
        <v>53</v>
      </c>
      <c r="O1812" s="235" t="s">
        <v>512</v>
      </c>
      <c r="P1812" s="238">
        <v>1.0</v>
      </c>
      <c r="Q1812" s="235" t="s">
        <v>627</v>
      </c>
      <c r="R1812" s="238">
        <v>237.14</v>
      </c>
      <c r="S1812" s="238">
        <v>11.86</v>
      </c>
      <c r="T1812" s="238">
        <v>38.1</v>
      </c>
      <c r="U1812" s="238">
        <v>1.9</v>
      </c>
      <c r="V1812" s="238">
        <v>0.0</v>
      </c>
      <c r="W1812" s="238">
        <v>0.0</v>
      </c>
      <c r="X1812" s="235" t="s">
        <v>628</v>
      </c>
      <c r="Z1812" s="244"/>
      <c r="AA1812" s="244"/>
      <c r="AB1812" s="244"/>
      <c r="AC1812" s="235" t="s">
        <v>687</v>
      </c>
      <c r="AD1812" s="235" t="s">
        <v>666</v>
      </c>
      <c r="AE1812" s="238">
        <v>600100.0</v>
      </c>
      <c r="AF1812" s="235" t="s">
        <v>631</v>
      </c>
      <c r="AG1812" s="244"/>
      <c r="AH1812" s="244"/>
      <c r="AI1812" s="245"/>
      <c r="AJ1812" s="245"/>
      <c r="AK1812" s="245"/>
      <c r="AL1812" s="245"/>
      <c r="AM1812" s="244"/>
      <c r="AN1812" s="244"/>
      <c r="AO1812" s="238">
        <v>0.0</v>
      </c>
      <c r="AP1812" s="238">
        <v>-38.1</v>
      </c>
      <c r="AQ1812" s="235" t="s">
        <v>632</v>
      </c>
      <c r="AR1812" s="243">
        <v>1.68E11</v>
      </c>
      <c r="AS1812" s="235" t="s">
        <v>12693</v>
      </c>
      <c r="AT1812" s="235" t="s">
        <v>11</v>
      </c>
      <c r="AU1812" s="235" t="s">
        <v>634</v>
      </c>
      <c r="AV1812" s="246" t="s">
        <v>635</v>
      </c>
      <c r="AW1812" s="242"/>
      <c r="AX1812" s="242"/>
      <c r="AY1812" s="231"/>
      <c r="AZ1812" s="231"/>
      <c r="BA1812" s="227"/>
      <c r="BB1812" s="231"/>
      <c r="BC1812" s="227"/>
      <c r="BD1812" s="227"/>
      <c r="BE1812" s="227"/>
      <c r="BF1812" s="227"/>
    </row>
    <row r="1813">
      <c r="A1813" s="235" t="s">
        <v>14218</v>
      </c>
      <c r="C1813" s="235" t="s">
        <v>14219</v>
      </c>
      <c r="D1813" s="235" t="s">
        <v>14220</v>
      </c>
      <c r="E1813" s="243">
        <v>6.54E13</v>
      </c>
      <c r="F1813" s="245"/>
      <c r="G1813" s="235" t="s">
        <v>14221</v>
      </c>
      <c r="H1813" s="235" t="s">
        <v>14222</v>
      </c>
      <c r="I1813" s="235" t="s">
        <v>14222</v>
      </c>
      <c r="J1813" s="235" t="s">
        <v>14223</v>
      </c>
      <c r="K1813" s="235" t="s">
        <v>14224</v>
      </c>
      <c r="N1813" s="235" t="s">
        <v>130</v>
      </c>
      <c r="O1813" s="235" t="s">
        <v>707</v>
      </c>
      <c r="P1813" s="238">
        <v>1.0</v>
      </c>
      <c r="Q1813" s="235" t="s">
        <v>627</v>
      </c>
      <c r="R1813" s="238">
        <v>246.66</v>
      </c>
      <c r="S1813" s="238">
        <v>12.34</v>
      </c>
      <c r="T1813" s="238">
        <v>0.0</v>
      </c>
      <c r="U1813" s="238">
        <v>0.0</v>
      </c>
      <c r="V1813" s="238">
        <v>0.0</v>
      </c>
      <c r="W1813" s="238">
        <v>0.0</v>
      </c>
      <c r="X1813" s="235" t="s">
        <v>628</v>
      </c>
      <c r="Z1813" s="244"/>
      <c r="AA1813" s="244"/>
      <c r="AB1813" s="244"/>
      <c r="AC1813" s="235" t="s">
        <v>6555</v>
      </c>
      <c r="AD1813" s="235" t="s">
        <v>679</v>
      </c>
      <c r="AE1813" s="238">
        <v>575002.0</v>
      </c>
      <c r="AF1813" s="235" t="s">
        <v>631</v>
      </c>
      <c r="AG1813" s="244"/>
      <c r="AH1813" s="244"/>
      <c r="AI1813" s="245"/>
      <c r="AJ1813" s="245"/>
      <c r="AK1813" s="245"/>
      <c r="AL1813" s="245"/>
      <c r="AM1813" s="244"/>
      <c r="AN1813" s="244"/>
      <c r="AO1813" s="238">
        <v>0.0</v>
      </c>
      <c r="AP1813" s="238">
        <v>0.0</v>
      </c>
      <c r="AQ1813" s="235" t="s">
        <v>632</v>
      </c>
      <c r="AR1813" s="243">
        <v>3.71E11</v>
      </c>
      <c r="AS1813" s="235" t="s">
        <v>12693</v>
      </c>
      <c r="AT1813" s="235" t="s">
        <v>9</v>
      </c>
      <c r="AU1813" s="235" t="s">
        <v>634</v>
      </c>
      <c r="AV1813" s="246" t="s">
        <v>635</v>
      </c>
      <c r="AW1813" s="242"/>
      <c r="AX1813" s="242"/>
      <c r="AY1813" s="231"/>
      <c r="AZ1813" s="231"/>
      <c r="BA1813" s="227"/>
      <c r="BB1813" s="231"/>
      <c r="BC1813" s="227"/>
      <c r="BD1813" s="227"/>
      <c r="BE1813" s="227"/>
      <c r="BF1813" s="227"/>
    </row>
    <row r="1814">
      <c r="A1814" s="235" t="s">
        <v>14225</v>
      </c>
      <c r="C1814" s="235" t="s">
        <v>14226</v>
      </c>
      <c r="D1814" s="235" t="s">
        <v>14227</v>
      </c>
      <c r="E1814" s="243">
        <v>6.54E13</v>
      </c>
      <c r="F1814" s="245"/>
      <c r="G1814" s="235" t="s">
        <v>14228</v>
      </c>
      <c r="H1814" s="235" t="s">
        <v>14229</v>
      </c>
      <c r="I1814" s="235" t="s">
        <v>14229</v>
      </c>
      <c r="J1814" s="235" t="s">
        <v>14230</v>
      </c>
      <c r="K1814" s="235" t="s">
        <v>14231</v>
      </c>
      <c r="N1814" s="235" t="s">
        <v>113</v>
      </c>
      <c r="O1814" s="235" t="s">
        <v>452</v>
      </c>
      <c r="P1814" s="238">
        <v>1.0</v>
      </c>
      <c r="Q1814" s="235" t="s">
        <v>627</v>
      </c>
      <c r="R1814" s="238">
        <v>246.66</v>
      </c>
      <c r="S1814" s="238">
        <v>12.34</v>
      </c>
      <c r="T1814" s="238">
        <v>0.0</v>
      </c>
      <c r="U1814" s="238">
        <v>0.0</v>
      </c>
      <c r="V1814" s="238">
        <v>0.0</v>
      </c>
      <c r="W1814" s="238">
        <v>0.0</v>
      </c>
      <c r="X1814" s="235" t="s">
        <v>628</v>
      </c>
      <c r="Z1814" s="244"/>
      <c r="AA1814" s="244"/>
      <c r="AB1814" s="244"/>
      <c r="AC1814" s="235" t="s">
        <v>1456</v>
      </c>
      <c r="AD1814" s="235" t="s">
        <v>928</v>
      </c>
      <c r="AE1814" s="238">
        <v>122004.0</v>
      </c>
      <c r="AF1814" s="235" t="s">
        <v>631</v>
      </c>
      <c r="AG1814" s="244"/>
      <c r="AH1814" s="244"/>
      <c r="AI1814" s="245"/>
      <c r="AJ1814" s="245"/>
      <c r="AK1814" s="245"/>
      <c r="AL1814" s="245"/>
      <c r="AM1814" s="244"/>
      <c r="AN1814" s="244"/>
      <c r="AO1814" s="238">
        <v>0.0</v>
      </c>
      <c r="AP1814" s="238">
        <v>0.0</v>
      </c>
      <c r="AQ1814" s="235" t="s">
        <v>632</v>
      </c>
      <c r="AR1814" s="243">
        <v>3.71E11</v>
      </c>
      <c r="AS1814" s="235" t="s">
        <v>12693</v>
      </c>
      <c r="AT1814" s="235" t="s">
        <v>533</v>
      </c>
      <c r="AU1814" s="235" t="s">
        <v>634</v>
      </c>
      <c r="AV1814" s="246" t="s">
        <v>635</v>
      </c>
      <c r="AW1814" s="242"/>
      <c r="AX1814" s="242"/>
      <c r="AY1814" s="231"/>
      <c r="AZ1814" s="231"/>
      <c r="BA1814" s="227"/>
      <c r="BB1814" s="231"/>
      <c r="BC1814" s="227"/>
      <c r="BD1814" s="227"/>
      <c r="BE1814" s="227"/>
      <c r="BF1814" s="227"/>
    </row>
    <row r="1815">
      <c r="A1815" s="235" t="s">
        <v>14232</v>
      </c>
      <c r="C1815" s="235" t="s">
        <v>14233</v>
      </c>
      <c r="D1815" s="235" t="s">
        <v>14234</v>
      </c>
      <c r="E1815" s="243">
        <v>6.54E13</v>
      </c>
      <c r="F1815" s="245"/>
      <c r="G1815" s="235" t="s">
        <v>14235</v>
      </c>
      <c r="H1815" s="235" t="s">
        <v>14236</v>
      </c>
      <c r="I1815" s="235" t="s">
        <v>14236</v>
      </c>
      <c r="J1815" s="235" t="s">
        <v>14237</v>
      </c>
      <c r="K1815" s="235" t="s">
        <v>10947</v>
      </c>
      <c r="N1815" s="235" t="s">
        <v>726</v>
      </c>
      <c r="O1815" s="235" t="s">
        <v>727</v>
      </c>
      <c r="P1815" s="238">
        <v>1.0</v>
      </c>
      <c r="Q1815" s="235" t="s">
        <v>627</v>
      </c>
      <c r="R1815" s="238">
        <v>246.67</v>
      </c>
      <c r="S1815" s="238">
        <v>12.33</v>
      </c>
      <c r="T1815" s="238">
        <v>0.0</v>
      </c>
      <c r="U1815" s="238">
        <v>0.0</v>
      </c>
      <c r="V1815" s="238">
        <v>0.0</v>
      </c>
      <c r="W1815" s="238">
        <v>0.0</v>
      </c>
      <c r="X1815" s="235" t="s">
        <v>628</v>
      </c>
      <c r="Z1815" s="244"/>
      <c r="AA1815" s="244"/>
      <c r="AB1815" s="244"/>
      <c r="AC1815" s="235" t="s">
        <v>8056</v>
      </c>
      <c r="AD1815" s="235" t="s">
        <v>666</v>
      </c>
      <c r="AE1815" s="238">
        <v>638002.0</v>
      </c>
      <c r="AF1815" s="235" t="s">
        <v>631</v>
      </c>
      <c r="AG1815" s="244"/>
      <c r="AH1815" s="244"/>
      <c r="AI1815" s="245"/>
      <c r="AJ1815" s="245"/>
      <c r="AK1815" s="245"/>
      <c r="AL1815" s="245"/>
      <c r="AM1815" s="244"/>
      <c r="AN1815" s="244"/>
      <c r="AO1815" s="238">
        <v>0.0</v>
      </c>
      <c r="AP1815" s="238">
        <v>0.0</v>
      </c>
      <c r="AQ1815" s="235" t="s">
        <v>632</v>
      </c>
      <c r="AR1815" s="243">
        <v>3.71E11</v>
      </c>
      <c r="AS1815" s="235" t="s">
        <v>12693</v>
      </c>
      <c r="AT1815" s="235" t="s">
        <v>9</v>
      </c>
      <c r="AU1815" s="235" t="s">
        <v>634</v>
      </c>
      <c r="AV1815" s="246" t="s">
        <v>635</v>
      </c>
      <c r="AW1815" s="242"/>
      <c r="AX1815" s="242"/>
      <c r="AY1815" s="231"/>
      <c r="AZ1815" s="231"/>
      <c r="BA1815" s="227"/>
      <c r="BB1815" s="231"/>
      <c r="BC1815" s="227"/>
      <c r="BD1815" s="227"/>
      <c r="BE1815" s="227"/>
      <c r="BF1815" s="227"/>
    </row>
    <row r="1816">
      <c r="A1816" s="235" t="s">
        <v>14238</v>
      </c>
      <c r="C1816" s="235" t="s">
        <v>14239</v>
      </c>
      <c r="D1816" s="235" t="s">
        <v>14240</v>
      </c>
      <c r="E1816" s="243">
        <v>6.54E13</v>
      </c>
      <c r="F1816" s="245"/>
      <c r="G1816" s="235" t="s">
        <v>14241</v>
      </c>
      <c r="H1816" s="235" t="s">
        <v>14242</v>
      </c>
      <c r="I1816" s="235" t="s">
        <v>14242</v>
      </c>
      <c r="J1816" s="235" t="s">
        <v>14243</v>
      </c>
      <c r="K1816" s="235" t="s">
        <v>14244</v>
      </c>
      <c r="N1816" s="235" t="s">
        <v>126</v>
      </c>
      <c r="O1816" s="235" t="s">
        <v>407</v>
      </c>
      <c r="P1816" s="238">
        <v>1.0</v>
      </c>
      <c r="Q1816" s="235" t="s">
        <v>627</v>
      </c>
      <c r="R1816" s="238">
        <v>237.14</v>
      </c>
      <c r="S1816" s="238">
        <v>11.86</v>
      </c>
      <c r="T1816" s="238">
        <v>0.0</v>
      </c>
      <c r="U1816" s="238">
        <v>0.0</v>
      </c>
      <c r="V1816" s="238">
        <v>0.0</v>
      </c>
      <c r="W1816" s="238">
        <v>0.0</v>
      </c>
      <c r="X1816" s="235" t="s">
        <v>628</v>
      </c>
      <c r="Z1816" s="244"/>
      <c r="AA1816" s="244"/>
      <c r="AB1816" s="244"/>
      <c r="AC1816" s="235" t="s">
        <v>678</v>
      </c>
      <c r="AD1816" s="235" t="s">
        <v>679</v>
      </c>
      <c r="AE1816" s="238">
        <v>560077.0</v>
      </c>
      <c r="AF1816" s="235" t="s">
        <v>631</v>
      </c>
      <c r="AG1816" s="244"/>
      <c r="AH1816" s="244"/>
      <c r="AI1816" s="245"/>
      <c r="AJ1816" s="245"/>
      <c r="AK1816" s="245"/>
      <c r="AL1816" s="245"/>
      <c r="AM1816" s="244"/>
      <c r="AN1816" s="244"/>
      <c r="AO1816" s="238">
        <v>0.0</v>
      </c>
      <c r="AP1816" s="238">
        <v>0.0</v>
      </c>
      <c r="AQ1816" s="235" t="s">
        <v>632</v>
      </c>
      <c r="AR1816" s="243">
        <v>3.71E11</v>
      </c>
      <c r="AS1816" s="235" t="s">
        <v>11171</v>
      </c>
      <c r="AT1816" s="235" t="s">
        <v>155</v>
      </c>
      <c r="AU1816" s="235" t="s">
        <v>634</v>
      </c>
      <c r="AV1816" s="246" t="s">
        <v>635</v>
      </c>
      <c r="AW1816" s="242"/>
      <c r="AX1816" s="242"/>
      <c r="AY1816" s="231"/>
      <c r="AZ1816" s="231"/>
      <c r="BA1816" s="227"/>
      <c r="BB1816" s="231"/>
      <c r="BC1816" s="227"/>
      <c r="BD1816" s="227"/>
      <c r="BE1816" s="227"/>
      <c r="BF1816" s="227"/>
    </row>
    <row r="1817">
      <c r="A1817" s="235" t="s">
        <v>14245</v>
      </c>
      <c r="C1817" s="235" t="s">
        <v>14246</v>
      </c>
      <c r="D1817" s="235" t="s">
        <v>14247</v>
      </c>
      <c r="E1817" s="243">
        <v>6.54E13</v>
      </c>
      <c r="F1817" s="245"/>
      <c r="G1817" s="235" t="s">
        <v>14248</v>
      </c>
      <c r="H1817" s="235" t="s">
        <v>14249</v>
      </c>
      <c r="I1817" s="235" t="s">
        <v>14249</v>
      </c>
      <c r="J1817" s="235" t="s">
        <v>14250</v>
      </c>
      <c r="K1817" s="235" t="s">
        <v>14251</v>
      </c>
      <c r="N1817" s="235" t="s">
        <v>92</v>
      </c>
      <c r="O1817" s="235" t="s">
        <v>248</v>
      </c>
      <c r="P1817" s="238">
        <v>1.0</v>
      </c>
      <c r="Q1817" s="235" t="s">
        <v>627</v>
      </c>
      <c r="R1817" s="238">
        <v>246.67</v>
      </c>
      <c r="S1817" s="238">
        <v>12.33</v>
      </c>
      <c r="T1817" s="238">
        <v>0.0</v>
      </c>
      <c r="U1817" s="238">
        <v>0.0</v>
      </c>
      <c r="V1817" s="238">
        <v>0.0</v>
      </c>
      <c r="W1817" s="238">
        <v>0.0</v>
      </c>
      <c r="X1817" s="235" t="s">
        <v>628</v>
      </c>
      <c r="Z1817" s="244"/>
      <c r="AA1817" s="244"/>
      <c r="AB1817" s="244"/>
      <c r="AC1817" s="235" t="s">
        <v>6654</v>
      </c>
      <c r="AD1817" s="235" t="s">
        <v>666</v>
      </c>
      <c r="AE1817" s="238">
        <v>627358.0</v>
      </c>
      <c r="AF1817" s="235" t="s">
        <v>631</v>
      </c>
      <c r="AG1817" s="244"/>
      <c r="AH1817" s="244"/>
      <c r="AI1817" s="245"/>
      <c r="AJ1817" s="245"/>
      <c r="AK1817" s="245"/>
      <c r="AL1817" s="245"/>
      <c r="AM1817" s="244"/>
      <c r="AN1817" s="244"/>
      <c r="AO1817" s="238">
        <v>0.0</v>
      </c>
      <c r="AP1817" s="238">
        <v>0.0</v>
      </c>
      <c r="AQ1817" s="235" t="s">
        <v>632</v>
      </c>
      <c r="AR1817" s="243">
        <v>3.71E11</v>
      </c>
      <c r="AS1817" s="235" t="s">
        <v>12693</v>
      </c>
      <c r="AT1817" s="235" t="s">
        <v>9</v>
      </c>
      <c r="AU1817" s="235" t="s">
        <v>634</v>
      </c>
      <c r="AV1817" s="246" t="s">
        <v>635</v>
      </c>
      <c r="AW1817" s="242"/>
      <c r="AX1817" s="242"/>
      <c r="AY1817" s="231"/>
      <c r="AZ1817" s="231"/>
      <c r="BA1817" s="227"/>
      <c r="BB1817" s="231"/>
      <c r="BC1817" s="227"/>
      <c r="BD1817" s="227"/>
      <c r="BE1817" s="227"/>
      <c r="BF1817" s="227"/>
    </row>
    <row r="1818">
      <c r="A1818" s="235" t="s">
        <v>14252</v>
      </c>
      <c r="C1818" s="235" t="s">
        <v>14253</v>
      </c>
      <c r="D1818" s="235" t="s">
        <v>14254</v>
      </c>
      <c r="E1818" s="243">
        <v>6.54E13</v>
      </c>
      <c r="F1818" s="245"/>
      <c r="G1818" s="235" t="s">
        <v>14255</v>
      </c>
      <c r="H1818" s="235" t="s">
        <v>14256</v>
      </c>
      <c r="I1818" s="235" t="s">
        <v>14257</v>
      </c>
      <c r="J1818" s="235" t="s">
        <v>14258</v>
      </c>
      <c r="K1818" s="235" t="s">
        <v>14259</v>
      </c>
      <c r="N1818" s="235" t="s">
        <v>154</v>
      </c>
      <c r="O1818" s="235" t="s">
        <v>766</v>
      </c>
      <c r="P1818" s="238">
        <v>1.0</v>
      </c>
      <c r="Q1818" s="235" t="s">
        <v>627</v>
      </c>
      <c r="R1818" s="238">
        <v>465.72</v>
      </c>
      <c r="S1818" s="238">
        <v>22.82</v>
      </c>
      <c r="T1818" s="238">
        <v>0.0</v>
      </c>
      <c r="U1818" s="238">
        <v>0.0</v>
      </c>
      <c r="V1818" s="238">
        <v>0.0</v>
      </c>
      <c r="W1818" s="238">
        <v>0.0</v>
      </c>
      <c r="X1818" s="235" t="s">
        <v>628</v>
      </c>
      <c r="Z1818" s="244"/>
      <c r="AA1818" s="244"/>
      <c r="AB1818" s="244"/>
      <c r="AC1818" s="235" t="s">
        <v>14260</v>
      </c>
      <c r="AD1818" s="235" t="s">
        <v>1077</v>
      </c>
      <c r="AE1818" s="238">
        <v>363002.0</v>
      </c>
      <c r="AF1818" s="235" t="s">
        <v>631</v>
      </c>
      <c r="AG1818" s="244"/>
      <c r="AH1818" s="244"/>
      <c r="AI1818" s="245"/>
      <c r="AJ1818" s="245"/>
      <c r="AK1818" s="245"/>
      <c r="AL1818" s="245"/>
      <c r="AM1818" s="244"/>
      <c r="AN1818" s="244"/>
      <c r="AO1818" s="238">
        <v>-9.32</v>
      </c>
      <c r="AP1818" s="238">
        <v>0.0</v>
      </c>
      <c r="AQ1818" s="235" t="s">
        <v>632</v>
      </c>
      <c r="AR1818" s="243">
        <v>3.71E11</v>
      </c>
      <c r="AS1818" s="235" t="s">
        <v>12693</v>
      </c>
      <c r="AT1818" s="235" t="s">
        <v>5</v>
      </c>
      <c r="AU1818" s="235" t="s">
        <v>634</v>
      </c>
      <c r="AV1818" s="246" t="s">
        <v>635</v>
      </c>
      <c r="AW1818" s="242"/>
      <c r="AX1818" s="242"/>
      <c r="AY1818" s="231"/>
      <c r="AZ1818" s="231"/>
      <c r="BA1818" s="227"/>
      <c r="BB1818" s="231"/>
      <c r="BC1818" s="227"/>
      <c r="BD1818" s="227"/>
      <c r="BE1818" s="227"/>
      <c r="BF1818" s="227"/>
    </row>
    <row r="1819">
      <c r="A1819" s="235" t="s">
        <v>14261</v>
      </c>
      <c r="C1819" s="235" t="s">
        <v>14262</v>
      </c>
      <c r="D1819" s="235" t="s">
        <v>14263</v>
      </c>
      <c r="E1819" s="243">
        <v>6.54E13</v>
      </c>
      <c r="F1819" s="245"/>
      <c r="G1819" s="235" t="s">
        <v>14264</v>
      </c>
      <c r="H1819" s="235" t="s">
        <v>14265</v>
      </c>
      <c r="I1819" s="235" t="s">
        <v>14265</v>
      </c>
      <c r="J1819" s="235" t="s">
        <v>14266</v>
      </c>
      <c r="K1819" s="235" t="s">
        <v>14267</v>
      </c>
      <c r="N1819" s="235" t="s">
        <v>98</v>
      </c>
      <c r="O1819" s="235" t="s">
        <v>357</v>
      </c>
      <c r="P1819" s="238">
        <v>1.0</v>
      </c>
      <c r="Q1819" s="235" t="s">
        <v>627</v>
      </c>
      <c r="R1819" s="238">
        <v>246.67</v>
      </c>
      <c r="S1819" s="238">
        <v>12.33</v>
      </c>
      <c r="T1819" s="238">
        <v>0.0</v>
      </c>
      <c r="U1819" s="238">
        <v>0.0</v>
      </c>
      <c r="V1819" s="238">
        <v>0.0</v>
      </c>
      <c r="W1819" s="238">
        <v>0.0</v>
      </c>
      <c r="X1819" s="235" t="s">
        <v>628</v>
      </c>
      <c r="Z1819" s="244"/>
      <c r="AA1819" s="244"/>
      <c r="AB1819" s="244"/>
      <c r="AC1819" s="235" t="s">
        <v>1613</v>
      </c>
      <c r="AD1819" s="235" t="s">
        <v>630</v>
      </c>
      <c r="AE1819" s="238">
        <v>226023.0</v>
      </c>
      <c r="AF1819" s="235" t="s">
        <v>631</v>
      </c>
      <c r="AG1819" s="244"/>
      <c r="AH1819" s="244"/>
      <c r="AI1819" s="245"/>
      <c r="AJ1819" s="245"/>
      <c r="AK1819" s="245"/>
      <c r="AL1819" s="245"/>
      <c r="AM1819" s="244"/>
      <c r="AN1819" s="244"/>
      <c r="AO1819" s="238">
        <v>0.0</v>
      </c>
      <c r="AP1819" s="238">
        <v>0.0</v>
      </c>
      <c r="AQ1819" s="235" t="s">
        <v>632</v>
      </c>
      <c r="AR1819" s="243">
        <v>2.02E11</v>
      </c>
      <c r="AS1819" s="235" t="s">
        <v>12693</v>
      </c>
      <c r="AT1819" s="235" t="s">
        <v>13</v>
      </c>
      <c r="AU1819" s="235" t="s">
        <v>634</v>
      </c>
      <c r="AV1819" s="246" t="s">
        <v>635</v>
      </c>
      <c r="AW1819" s="242"/>
      <c r="AX1819" s="242"/>
      <c r="AY1819" s="231"/>
      <c r="AZ1819" s="231"/>
      <c r="BA1819" s="227"/>
      <c r="BB1819" s="231"/>
      <c r="BC1819" s="227"/>
      <c r="BD1819" s="227"/>
      <c r="BE1819" s="227"/>
      <c r="BF1819" s="227"/>
    </row>
    <row r="1820">
      <c r="A1820" s="235" t="s">
        <v>14268</v>
      </c>
      <c r="C1820" s="235" t="s">
        <v>14269</v>
      </c>
      <c r="D1820" s="235" t="s">
        <v>14270</v>
      </c>
      <c r="E1820" s="243">
        <v>6.53E13</v>
      </c>
      <c r="F1820" s="245"/>
      <c r="G1820" s="235" t="s">
        <v>14271</v>
      </c>
      <c r="H1820" s="235" t="s">
        <v>14272</v>
      </c>
      <c r="I1820" s="235" t="s">
        <v>14272</v>
      </c>
      <c r="J1820" s="235" t="s">
        <v>14273</v>
      </c>
      <c r="K1820" s="235" t="s">
        <v>14274</v>
      </c>
      <c r="N1820" s="235" t="s">
        <v>42</v>
      </c>
      <c r="O1820" s="235" t="s">
        <v>204</v>
      </c>
      <c r="P1820" s="238">
        <v>1.0</v>
      </c>
      <c r="Q1820" s="235" t="s">
        <v>627</v>
      </c>
      <c r="R1820" s="238">
        <v>270.48</v>
      </c>
      <c r="S1820" s="238">
        <v>13.52</v>
      </c>
      <c r="T1820" s="238">
        <v>38.1</v>
      </c>
      <c r="U1820" s="238">
        <v>1.9</v>
      </c>
      <c r="V1820" s="238">
        <v>0.0</v>
      </c>
      <c r="W1820" s="238">
        <v>0.0</v>
      </c>
      <c r="X1820" s="235" t="s">
        <v>628</v>
      </c>
      <c r="Z1820" s="244"/>
      <c r="AA1820" s="244"/>
      <c r="AB1820" s="244"/>
      <c r="AC1820" s="235" t="s">
        <v>5679</v>
      </c>
      <c r="AD1820" s="235" t="s">
        <v>679</v>
      </c>
      <c r="AE1820" s="238">
        <v>570026.0</v>
      </c>
      <c r="AF1820" s="235" t="s">
        <v>631</v>
      </c>
      <c r="AG1820" s="244"/>
      <c r="AH1820" s="244"/>
      <c r="AI1820" s="245"/>
      <c r="AJ1820" s="245"/>
      <c r="AK1820" s="245"/>
      <c r="AL1820" s="245"/>
      <c r="AM1820" s="244"/>
      <c r="AN1820" s="244"/>
      <c r="AO1820" s="238">
        <v>0.0</v>
      </c>
      <c r="AP1820" s="238">
        <v>-38.1</v>
      </c>
      <c r="AQ1820" s="235" t="s">
        <v>632</v>
      </c>
      <c r="AR1820" s="243">
        <v>3.71E11</v>
      </c>
      <c r="AS1820" s="235" t="s">
        <v>12693</v>
      </c>
      <c r="AT1820" s="235" t="s">
        <v>9</v>
      </c>
      <c r="AU1820" s="235" t="s">
        <v>634</v>
      </c>
      <c r="AV1820" s="246" t="s">
        <v>635</v>
      </c>
      <c r="AW1820" s="242"/>
      <c r="AX1820" s="242"/>
      <c r="AY1820" s="231"/>
      <c r="AZ1820" s="231"/>
      <c r="BA1820" s="227"/>
      <c r="BB1820" s="231"/>
      <c r="BC1820" s="227"/>
      <c r="BD1820" s="227"/>
      <c r="BE1820" s="227"/>
      <c r="BF1820" s="227"/>
    </row>
    <row r="1821">
      <c r="A1821" s="235" t="s">
        <v>14275</v>
      </c>
      <c r="C1821" s="235" t="s">
        <v>14276</v>
      </c>
      <c r="D1821" s="235" t="s">
        <v>14277</v>
      </c>
      <c r="E1821" s="243">
        <v>6.54E13</v>
      </c>
      <c r="F1821" s="245"/>
      <c r="G1821" s="235" t="s">
        <v>14278</v>
      </c>
      <c r="H1821" s="235" t="s">
        <v>14279</v>
      </c>
      <c r="I1821" s="235" t="s">
        <v>14279</v>
      </c>
      <c r="J1821" s="235" t="s">
        <v>14280</v>
      </c>
      <c r="K1821" s="235" t="s">
        <v>14281</v>
      </c>
      <c r="N1821" s="235" t="s">
        <v>144</v>
      </c>
      <c r="O1821" s="235" t="s">
        <v>232</v>
      </c>
      <c r="P1821" s="238">
        <v>1.0</v>
      </c>
      <c r="Q1821" s="235" t="s">
        <v>627</v>
      </c>
      <c r="R1821" s="238">
        <v>665.71</v>
      </c>
      <c r="S1821" s="238">
        <v>32.62</v>
      </c>
      <c r="T1821" s="238">
        <v>0.0</v>
      </c>
      <c r="U1821" s="238">
        <v>0.0</v>
      </c>
      <c r="V1821" s="238">
        <v>0.0</v>
      </c>
      <c r="W1821" s="238">
        <v>0.0</v>
      </c>
      <c r="X1821" s="235" t="s">
        <v>628</v>
      </c>
      <c r="Z1821" s="244"/>
      <c r="AA1821" s="244"/>
      <c r="AB1821" s="244"/>
      <c r="AC1821" s="235" t="s">
        <v>5260</v>
      </c>
      <c r="AD1821" s="235" t="s">
        <v>5260</v>
      </c>
      <c r="AE1821" s="238">
        <v>160036.0</v>
      </c>
      <c r="AF1821" s="235" t="s">
        <v>631</v>
      </c>
      <c r="AG1821" s="244"/>
      <c r="AH1821" s="244"/>
      <c r="AI1821" s="245"/>
      <c r="AJ1821" s="245"/>
      <c r="AK1821" s="245"/>
      <c r="AL1821" s="245"/>
      <c r="AM1821" s="244"/>
      <c r="AN1821" s="244"/>
      <c r="AO1821" s="238">
        <v>-13.31</v>
      </c>
      <c r="AP1821" s="238">
        <v>0.0</v>
      </c>
      <c r="AQ1821" s="235" t="s">
        <v>632</v>
      </c>
      <c r="AR1821" s="243">
        <v>1.68E11</v>
      </c>
      <c r="AS1821" s="235" t="s">
        <v>12693</v>
      </c>
      <c r="AT1821" s="235" t="s">
        <v>14</v>
      </c>
      <c r="AU1821" s="235" t="s">
        <v>634</v>
      </c>
      <c r="AV1821" s="246" t="s">
        <v>635</v>
      </c>
      <c r="AW1821" s="242"/>
      <c r="AX1821" s="242"/>
      <c r="AY1821" s="231"/>
      <c r="AZ1821" s="231"/>
      <c r="BA1821" s="227"/>
      <c r="BB1821" s="231"/>
      <c r="BC1821" s="227"/>
      <c r="BD1821" s="227"/>
      <c r="BE1821" s="227"/>
      <c r="BF1821" s="227"/>
    </row>
    <row r="1822">
      <c r="A1822" s="235" t="s">
        <v>14282</v>
      </c>
      <c r="C1822" s="235" t="s">
        <v>14283</v>
      </c>
      <c r="D1822" s="235" t="s">
        <v>14284</v>
      </c>
      <c r="E1822" s="243">
        <v>6.53E13</v>
      </c>
      <c r="F1822" s="245"/>
      <c r="G1822" s="235" t="s">
        <v>14285</v>
      </c>
      <c r="H1822" s="235" t="s">
        <v>14286</v>
      </c>
      <c r="I1822" s="235" t="s">
        <v>14287</v>
      </c>
      <c r="J1822" s="235" t="s">
        <v>14288</v>
      </c>
      <c r="K1822" s="235" t="s">
        <v>14289</v>
      </c>
      <c r="N1822" s="235" t="s">
        <v>42</v>
      </c>
      <c r="O1822" s="235" t="s">
        <v>204</v>
      </c>
      <c r="P1822" s="238">
        <v>1.0</v>
      </c>
      <c r="Q1822" s="235" t="s">
        <v>627</v>
      </c>
      <c r="R1822" s="238">
        <v>270.48</v>
      </c>
      <c r="S1822" s="238">
        <v>13.52</v>
      </c>
      <c r="T1822" s="238">
        <v>38.1</v>
      </c>
      <c r="U1822" s="238">
        <v>1.9</v>
      </c>
      <c r="V1822" s="238">
        <v>0.0</v>
      </c>
      <c r="W1822" s="238">
        <v>0.0</v>
      </c>
      <c r="X1822" s="235" t="s">
        <v>628</v>
      </c>
      <c r="Z1822" s="244"/>
      <c r="AA1822" s="244"/>
      <c r="AB1822" s="244"/>
      <c r="AC1822" s="235" t="s">
        <v>832</v>
      </c>
      <c r="AD1822" s="235" t="s">
        <v>833</v>
      </c>
      <c r="AE1822" s="238">
        <v>530024.0</v>
      </c>
      <c r="AF1822" s="235" t="s">
        <v>631</v>
      </c>
      <c r="AG1822" s="244"/>
      <c r="AH1822" s="244"/>
      <c r="AI1822" s="245"/>
      <c r="AJ1822" s="245"/>
      <c r="AK1822" s="245"/>
      <c r="AL1822" s="245"/>
      <c r="AM1822" s="244"/>
      <c r="AN1822" s="244"/>
      <c r="AO1822" s="238">
        <v>0.0</v>
      </c>
      <c r="AP1822" s="238">
        <v>-38.1</v>
      </c>
      <c r="AQ1822" s="235" t="s">
        <v>632</v>
      </c>
      <c r="AR1822" s="243">
        <v>3.71E11</v>
      </c>
      <c r="AS1822" s="235" t="s">
        <v>10017</v>
      </c>
      <c r="AT1822" s="235" t="s">
        <v>17</v>
      </c>
      <c r="AU1822" s="235" t="s">
        <v>634</v>
      </c>
      <c r="AV1822" s="246" t="s">
        <v>635</v>
      </c>
      <c r="AW1822" s="242"/>
      <c r="AX1822" s="242"/>
      <c r="AY1822" s="231"/>
      <c r="AZ1822" s="231"/>
      <c r="BA1822" s="227"/>
      <c r="BB1822" s="231"/>
      <c r="BC1822" s="227"/>
      <c r="BD1822" s="227"/>
      <c r="BE1822" s="227"/>
      <c r="BF1822" s="227"/>
    </row>
    <row r="1823">
      <c r="A1823" s="235" t="s">
        <v>14290</v>
      </c>
      <c r="C1823" s="235" t="s">
        <v>14291</v>
      </c>
      <c r="D1823" s="235" t="s">
        <v>14292</v>
      </c>
      <c r="E1823" s="243">
        <v>6.54E13</v>
      </c>
      <c r="F1823" s="245"/>
      <c r="G1823" s="235" t="s">
        <v>14293</v>
      </c>
      <c r="H1823" s="235" t="s">
        <v>14294</v>
      </c>
      <c r="I1823" s="235" t="s">
        <v>14294</v>
      </c>
      <c r="J1823" s="235" t="s">
        <v>14295</v>
      </c>
      <c r="K1823" s="235" t="s">
        <v>14296</v>
      </c>
      <c r="N1823" s="235" t="s">
        <v>127</v>
      </c>
      <c r="O1823" s="235" t="s">
        <v>794</v>
      </c>
      <c r="P1823" s="238">
        <v>1.0</v>
      </c>
      <c r="Q1823" s="235" t="s">
        <v>627</v>
      </c>
      <c r="R1823" s="238">
        <v>246.67</v>
      </c>
      <c r="S1823" s="238">
        <v>12.33</v>
      </c>
      <c r="T1823" s="238">
        <v>38.1</v>
      </c>
      <c r="U1823" s="238">
        <v>1.9</v>
      </c>
      <c r="V1823" s="238">
        <v>0.0</v>
      </c>
      <c r="W1823" s="238">
        <v>0.0</v>
      </c>
      <c r="X1823" s="235" t="s">
        <v>628</v>
      </c>
      <c r="Z1823" s="244"/>
      <c r="AA1823" s="244"/>
      <c r="AB1823" s="244"/>
      <c r="AC1823" s="235" t="s">
        <v>697</v>
      </c>
      <c r="AD1823" s="235" t="s">
        <v>698</v>
      </c>
      <c r="AE1823" s="238">
        <v>500077.0</v>
      </c>
      <c r="AF1823" s="235" t="s">
        <v>631</v>
      </c>
      <c r="AG1823" s="244"/>
      <c r="AH1823" s="244"/>
      <c r="AI1823" s="245"/>
      <c r="AJ1823" s="245"/>
      <c r="AK1823" s="245"/>
      <c r="AL1823" s="245"/>
      <c r="AM1823" s="244"/>
      <c r="AN1823" s="244"/>
      <c r="AO1823" s="238">
        <v>0.0</v>
      </c>
      <c r="AP1823" s="238">
        <v>-38.1</v>
      </c>
      <c r="AQ1823" s="235" t="s">
        <v>632</v>
      </c>
      <c r="AR1823" s="243">
        <v>3.71E11</v>
      </c>
      <c r="AS1823" s="235" t="s">
        <v>11171</v>
      </c>
      <c r="AT1823" s="235" t="s">
        <v>9</v>
      </c>
      <c r="AU1823" s="235" t="s">
        <v>634</v>
      </c>
      <c r="AV1823" s="246" t="s">
        <v>635</v>
      </c>
      <c r="AW1823" s="242"/>
      <c r="AX1823" s="242"/>
      <c r="AY1823" s="231"/>
      <c r="AZ1823" s="231"/>
      <c r="BA1823" s="227"/>
      <c r="BB1823" s="231"/>
      <c r="BC1823" s="227"/>
      <c r="BD1823" s="227"/>
      <c r="BE1823" s="227"/>
      <c r="BF1823" s="227"/>
    </row>
    <row r="1824">
      <c r="A1824" s="235" t="s">
        <v>14297</v>
      </c>
      <c r="C1824" s="235" t="s">
        <v>14298</v>
      </c>
      <c r="D1824" s="235" t="s">
        <v>14299</v>
      </c>
      <c r="E1824" s="243">
        <v>6.54E13</v>
      </c>
      <c r="F1824" s="245"/>
      <c r="G1824" s="235" t="s">
        <v>14300</v>
      </c>
      <c r="H1824" s="235" t="s">
        <v>14301</v>
      </c>
      <c r="I1824" s="235" t="s">
        <v>14302</v>
      </c>
      <c r="J1824" s="235" t="s">
        <v>14303</v>
      </c>
      <c r="K1824" s="235" t="s">
        <v>14304</v>
      </c>
      <c r="N1824" s="235" t="s">
        <v>2964</v>
      </c>
      <c r="O1824" s="235" t="s">
        <v>2965</v>
      </c>
      <c r="P1824" s="238">
        <v>1.0</v>
      </c>
      <c r="Q1824" s="235" t="s">
        <v>627</v>
      </c>
      <c r="R1824" s="238">
        <v>246.67</v>
      </c>
      <c r="S1824" s="238">
        <v>12.33</v>
      </c>
      <c r="T1824" s="238">
        <v>0.0</v>
      </c>
      <c r="U1824" s="238">
        <v>0.0</v>
      </c>
      <c r="V1824" s="238">
        <v>0.0</v>
      </c>
      <c r="W1824" s="238">
        <v>0.0</v>
      </c>
      <c r="X1824" s="235" t="s">
        <v>628</v>
      </c>
      <c r="Z1824" s="244"/>
      <c r="AA1824" s="244"/>
      <c r="AB1824" s="244"/>
      <c r="AC1824" s="235" t="s">
        <v>14305</v>
      </c>
      <c r="AD1824" s="235" t="s">
        <v>2067</v>
      </c>
      <c r="AE1824" s="238">
        <v>831004.0</v>
      </c>
      <c r="AF1824" s="235" t="s">
        <v>631</v>
      </c>
      <c r="AG1824" s="244"/>
      <c r="AH1824" s="244"/>
      <c r="AI1824" s="245"/>
      <c r="AJ1824" s="245"/>
      <c r="AK1824" s="245"/>
      <c r="AL1824" s="245"/>
      <c r="AM1824" s="244"/>
      <c r="AN1824" s="244"/>
      <c r="AO1824" s="238">
        <v>0.0</v>
      </c>
      <c r="AP1824" s="238">
        <v>0.0</v>
      </c>
      <c r="AQ1824" s="235" t="s">
        <v>632</v>
      </c>
      <c r="AR1824" s="243">
        <v>3.71E11</v>
      </c>
      <c r="AS1824" s="235" t="s">
        <v>6164</v>
      </c>
      <c r="AT1824" s="235" t="s">
        <v>9</v>
      </c>
      <c r="AU1824" s="235" t="s">
        <v>634</v>
      </c>
      <c r="AV1824" s="246" t="s">
        <v>635</v>
      </c>
      <c r="AW1824" s="242"/>
      <c r="AX1824" s="242"/>
      <c r="AY1824" s="231"/>
      <c r="AZ1824" s="231"/>
      <c r="BA1824" s="227"/>
      <c r="BB1824" s="231"/>
      <c r="BC1824" s="227"/>
      <c r="BD1824" s="227"/>
      <c r="BE1824" s="227"/>
      <c r="BF1824" s="227"/>
    </row>
    <row r="1825">
      <c r="A1825" s="235" t="s">
        <v>14306</v>
      </c>
      <c r="C1825" s="235" t="s">
        <v>14307</v>
      </c>
      <c r="D1825" s="235" t="s">
        <v>14308</v>
      </c>
      <c r="E1825" s="243">
        <v>6.54E13</v>
      </c>
      <c r="F1825" s="245"/>
      <c r="G1825" s="235" t="s">
        <v>14309</v>
      </c>
      <c r="H1825" s="235" t="s">
        <v>14310</v>
      </c>
      <c r="I1825" s="235" t="s">
        <v>14310</v>
      </c>
      <c r="J1825" s="235" t="s">
        <v>14311</v>
      </c>
      <c r="K1825" s="235" t="s">
        <v>14312</v>
      </c>
      <c r="N1825" s="235" t="s">
        <v>127</v>
      </c>
      <c r="O1825" s="235" t="s">
        <v>794</v>
      </c>
      <c r="P1825" s="238">
        <v>1.0</v>
      </c>
      <c r="Q1825" s="235" t="s">
        <v>627</v>
      </c>
      <c r="R1825" s="238">
        <v>246.67</v>
      </c>
      <c r="S1825" s="238">
        <v>12.33</v>
      </c>
      <c r="T1825" s="238">
        <v>38.1</v>
      </c>
      <c r="U1825" s="238">
        <v>1.9</v>
      </c>
      <c r="V1825" s="238">
        <v>0.0</v>
      </c>
      <c r="W1825" s="238">
        <v>0.0</v>
      </c>
      <c r="X1825" s="235" t="s">
        <v>628</v>
      </c>
      <c r="Z1825" s="244"/>
      <c r="AA1825" s="244"/>
      <c r="AB1825" s="244"/>
      <c r="AC1825" s="235" t="s">
        <v>795</v>
      </c>
      <c r="AD1825" s="235" t="s">
        <v>796</v>
      </c>
      <c r="AE1825" s="238">
        <v>110092.0</v>
      </c>
      <c r="AF1825" s="235" t="s">
        <v>631</v>
      </c>
      <c r="AG1825" s="244"/>
      <c r="AH1825" s="244"/>
      <c r="AI1825" s="245"/>
      <c r="AJ1825" s="245"/>
      <c r="AK1825" s="245"/>
      <c r="AL1825" s="245"/>
      <c r="AM1825" s="244"/>
      <c r="AN1825" s="244"/>
      <c r="AO1825" s="238">
        <v>0.0</v>
      </c>
      <c r="AP1825" s="238">
        <v>-38.1</v>
      </c>
      <c r="AQ1825" s="235" t="s">
        <v>632</v>
      </c>
      <c r="AR1825" s="243">
        <v>2.02E11</v>
      </c>
      <c r="AS1825" s="235" t="s">
        <v>12693</v>
      </c>
      <c r="AT1825" s="235" t="s">
        <v>11</v>
      </c>
      <c r="AU1825" s="235" t="s">
        <v>634</v>
      </c>
      <c r="AV1825" s="246" t="s">
        <v>635</v>
      </c>
      <c r="AW1825" s="242"/>
      <c r="AX1825" s="242"/>
      <c r="AY1825" s="231"/>
      <c r="AZ1825" s="231"/>
      <c r="BA1825" s="227"/>
      <c r="BB1825" s="231"/>
      <c r="BC1825" s="227"/>
      <c r="BD1825" s="227"/>
      <c r="BE1825" s="227"/>
      <c r="BF1825" s="227"/>
    </row>
    <row r="1826">
      <c r="A1826" s="235" t="s">
        <v>14313</v>
      </c>
      <c r="C1826" s="235" t="s">
        <v>14314</v>
      </c>
      <c r="D1826" s="235" t="s">
        <v>14315</v>
      </c>
      <c r="E1826" s="243">
        <v>6.54E13</v>
      </c>
      <c r="F1826" s="245"/>
      <c r="G1826" s="235" t="s">
        <v>14316</v>
      </c>
      <c r="H1826" s="235" t="s">
        <v>14317</v>
      </c>
      <c r="I1826" s="235" t="s">
        <v>14317</v>
      </c>
      <c r="J1826" s="235" t="s">
        <v>14318</v>
      </c>
      <c r="K1826" s="235" t="s">
        <v>14319</v>
      </c>
      <c r="N1826" s="235" t="s">
        <v>82</v>
      </c>
      <c r="O1826" s="235" t="s">
        <v>889</v>
      </c>
      <c r="P1826" s="238">
        <v>1.0</v>
      </c>
      <c r="Q1826" s="235" t="s">
        <v>627</v>
      </c>
      <c r="R1826" s="238">
        <v>246.67</v>
      </c>
      <c r="S1826" s="238">
        <v>12.33</v>
      </c>
      <c r="T1826" s="238">
        <v>0.0</v>
      </c>
      <c r="U1826" s="238">
        <v>0.0</v>
      </c>
      <c r="V1826" s="238">
        <v>0.0</v>
      </c>
      <c r="W1826" s="238">
        <v>0.0</v>
      </c>
      <c r="X1826" s="235" t="s">
        <v>628</v>
      </c>
      <c r="Z1826" s="244"/>
      <c r="AA1826" s="244"/>
      <c r="AB1826" s="244"/>
      <c r="AC1826" s="235" t="s">
        <v>697</v>
      </c>
      <c r="AD1826" s="235" t="s">
        <v>698</v>
      </c>
      <c r="AE1826" s="238">
        <v>500049.0</v>
      </c>
      <c r="AF1826" s="235" t="s">
        <v>631</v>
      </c>
      <c r="AG1826" s="244"/>
      <c r="AH1826" s="244"/>
      <c r="AI1826" s="245"/>
      <c r="AJ1826" s="245"/>
      <c r="AK1826" s="245"/>
      <c r="AL1826" s="245"/>
      <c r="AM1826" s="244"/>
      <c r="AN1826" s="244"/>
      <c r="AO1826" s="238">
        <v>0.0</v>
      </c>
      <c r="AP1826" s="238">
        <v>0.0</v>
      </c>
      <c r="AQ1826" s="235" t="s">
        <v>632</v>
      </c>
      <c r="AR1826" s="243">
        <v>2.02E11</v>
      </c>
      <c r="AS1826" s="235" t="s">
        <v>12693</v>
      </c>
      <c r="AT1826" s="235" t="s">
        <v>546</v>
      </c>
      <c r="AU1826" s="235" t="s">
        <v>634</v>
      </c>
      <c r="AV1826" s="246" t="s">
        <v>635</v>
      </c>
      <c r="AW1826" s="242"/>
      <c r="AX1826" s="242"/>
      <c r="AY1826" s="231"/>
      <c r="AZ1826" s="231"/>
      <c r="BA1826" s="227"/>
      <c r="BB1826" s="231"/>
      <c r="BC1826" s="227"/>
      <c r="BD1826" s="227"/>
      <c r="BE1826" s="227"/>
      <c r="BF1826" s="227"/>
    </row>
    <row r="1827">
      <c r="A1827" s="235" t="s">
        <v>14320</v>
      </c>
      <c r="C1827" s="235" t="s">
        <v>14321</v>
      </c>
      <c r="D1827" s="235" t="s">
        <v>14322</v>
      </c>
      <c r="E1827" s="243">
        <v>6.54E13</v>
      </c>
      <c r="F1827" s="245"/>
      <c r="G1827" s="235" t="s">
        <v>14323</v>
      </c>
      <c r="H1827" s="235" t="s">
        <v>14324</v>
      </c>
      <c r="I1827" s="235" t="s">
        <v>14324</v>
      </c>
      <c r="J1827" s="235" t="s">
        <v>14325</v>
      </c>
      <c r="K1827" s="235" t="s">
        <v>14326</v>
      </c>
      <c r="N1827" s="235" t="s">
        <v>92</v>
      </c>
      <c r="O1827" s="235" t="s">
        <v>248</v>
      </c>
      <c r="P1827" s="238">
        <v>1.0</v>
      </c>
      <c r="Q1827" s="235" t="s">
        <v>627</v>
      </c>
      <c r="R1827" s="238">
        <v>246.67</v>
      </c>
      <c r="S1827" s="238">
        <v>12.33</v>
      </c>
      <c r="T1827" s="238">
        <v>38.1</v>
      </c>
      <c r="U1827" s="238">
        <v>1.9</v>
      </c>
      <c r="V1827" s="238">
        <v>0.0</v>
      </c>
      <c r="W1827" s="238">
        <v>0.0</v>
      </c>
      <c r="X1827" s="235" t="s">
        <v>628</v>
      </c>
      <c r="Z1827" s="244"/>
      <c r="AA1827" s="244"/>
      <c r="AB1827" s="244"/>
      <c r="AC1827" s="235" t="s">
        <v>3449</v>
      </c>
      <c r="AD1827" s="235" t="s">
        <v>833</v>
      </c>
      <c r="AE1827" s="238">
        <v>533101.0</v>
      </c>
      <c r="AF1827" s="235" t="s">
        <v>631</v>
      </c>
      <c r="AG1827" s="244"/>
      <c r="AH1827" s="244"/>
      <c r="AI1827" s="245"/>
      <c r="AJ1827" s="245"/>
      <c r="AK1827" s="245"/>
      <c r="AL1827" s="245"/>
      <c r="AM1827" s="244"/>
      <c r="AN1827" s="244"/>
      <c r="AO1827" s="238">
        <v>0.0</v>
      </c>
      <c r="AP1827" s="238">
        <v>-38.1</v>
      </c>
      <c r="AQ1827" s="235" t="s">
        <v>632</v>
      </c>
      <c r="AR1827" s="243">
        <v>3.71E11</v>
      </c>
      <c r="AS1827" s="235" t="s">
        <v>10017</v>
      </c>
      <c r="AT1827" s="235" t="s">
        <v>11</v>
      </c>
      <c r="AU1827" s="235" t="s">
        <v>634</v>
      </c>
      <c r="AV1827" s="246" t="s">
        <v>635</v>
      </c>
      <c r="AW1827" s="242"/>
      <c r="AX1827" s="242"/>
      <c r="AY1827" s="231"/>
      <c r="AZ1827" s="231"/>
      <c r="BA1827" s="227"/>
      <c r="BB1827" s="231"/>
      <c r="BC1827" s="227"/>
      <c r="BD1827" s="227"/>
      <c r="BE1827" s="227"/>
      <c r="BF1827" s="227"/>
    </row>
    <row r="1828">
      <c r="A1828" s="235" t="s">
        <v>14327</v>
      </c>
      <c r="C1828" s="235" t="s">
        <v>14328</v>
      </c>
      <c r="D1828" s="235" t="s">
        <v>14329</v>
      </c>
      <c r="E1828" s="243">
        <v>6.54E13</v>
      </c>
      <c r="F1828" s="245"/>
      <c r="G1828" s="235" t="s">
        <v>14330</v>
      </c>
      <c r="H1828" s="235" t="s">
        <v>14331</v>
      </c>
      <c r="I1828" s="235" t="s">
        <v>14331</v>
      </c>
      <c r="J1828" s="235" t="s">
        <v>14332</v>
      </c>
      <c r="K1828" s="235" t="s">
        <v>14333</v>
      </c>
      <c r="N1828" s="235" t="s">
        <v>68</v>
      </c>
      <c r="O1828" s="235" t="s">
        <v>208</v>
      </c>
      <c r="P1828" s="238">
        <v>1.0</v>
      </c>
      <c r="Q1828" s="235" t="s">
        <v>627</v>
      </c>
      <c r="R1828" s="238">
        <v>246.66</v>
      </c>
      <c r="S1828" s="238">
        <v>12.34</v>
      </c>
      <c r="T1828" s="238">
        <v>38.1</v>
      </c>
      <c r="U1828" s="238">
        <v>1.9</v>
      </c>
      <c r="V1828" s="238">
        <v>0.0</v>
      </c>
      <c r="W1828" s="238">
        <v>0.0</v>
      </c>
      <c r="X1828" s="235" t="s">
        <v>628</v>
      </c>
      <c r="Z1828" s="244"/>
      <c r="AA1828" s="244"/>
      <c r="AB1828" s="244"/>
      <c r="AC1828" s="235" t="s">
        <v>14334</v>
      </c>
      <c r="AD1828" s="235" t="s">
        <v>928</v>
      </c>
      <c r="AE1828" s="238">
        <v>132001.0</v>
      </c>
      <c r="AF1828" s="235" t="s">
        <v>631</v>
      </c>
      <c r="AG1828" s="244"/>
      <c r="AH1828" s="244"/>
      <c r="AI1828" s="245"/>
      <c r="AJ1828" s="245"/>
      <c r="AK1828" s="245"/>
      <c r="AL1828" s="245"/>
      <c r="AM1828" s="244"/>
      <c r="AN1828" s="244"/>
      <c r="AO1828" s="238">
        <v>0.0</v>
      </c>
      <c r="AP1828" s="238">
        <v>-38.1</v>
      </c>
      <c r="AQ1828" s="235" t="s">
        <v>632</v>
      </c>
      <c r="AR1828" s="243">
        <v>3.71E11</v>
      </c>
      <c r="AS1828" s="235" t="s">
        <v>11171</v>
      </c>
      <c r="AT1828" s="235" t="s">
        <v>14</v>
      </c>
      <c r="AU1828" s="235" t="s">
        <v>634</v>
      </c>
      <c r="AV1828" s="246" t="s">
        <v>635</v>
      </c>
      <c r="AW1828" s="242"/>
      <c r="AX1828" s="242"/>
      <c r="AY1828" s="231"/>
      <c r="AZ1828" s="231"/>
      <c r="BA1828" s="227"/>
      <c r="BB1828" s="231"/>
      <c r="BC1828" s="227"/>
      <c r="BD1828" s="227"/>
      <c r="BE1828" s="227"/>
      <c r="BF1828" s="227"/>
    </row>
    <row r="1829">
      <c r="A1829" s="235" t="s">
        <v>14335</v>
      </c>
      <c r="C1829" s="235" t="s">
        <v>14336</v>
      </c>
      <c r="D1829" s="235" t="s">
        <v>14337</v>
      </c>
      <c r="E1829" s="243">
        <v>6.53E13</v>
      </c>
      <c r="F1829" s="245"/>
      <c r="G1829" s="235" t="s">
        <v>14338</v>
      </c>
      <c r="H1829" s="235" t="s">
        <v>14339</v>
      </c>
      <c r="I1829" s="235" t="s">
        <v>14339</v>
      </c>
      <c r="J1829" s="235" t="s">
        <v>14340</v>
      </c>
      <c r="K1829" s="235" t="s">
        <v>14341</v>
      </c>
      <c r="N1829" s="235" t="s">
        <v>726</v>
      </c>
      <c r="O1829" s="235" t="s">
        <v>727</v>
      </c>
      <c r="P1829" s="238">
        <v>1.0</v>
      </c>
      <c r="Q1829" s="235" t="s">
        <v>627</v>
      </c>
      <c r="R1829" s="238">
        <v>284.76</v>
      </c>
      <c r="S1829" s="238">
        <v>14.24</v>
      </c>
      <c r="T1829" s="238">
        <v>38.1</v>
      </c>
      <c r="U1829" s="238">
        <v>1.9</v>
      </c>
      <c r="V1829" s="238">
        <v>0.0</v>
      </c>
      <c r="W1829" s="238">
        <v>0.0</v>
      </c>
      <c r="X1829" s="235" t="s">
        <v>628</v>
      </c>
      <c r="Z1829" s="244"/>
      <c r="AA1829" s="244"/>
      <c r="AB1829" s="244"/>
      <c r="AC1829" s="235" t="s">
        <v>14342</v>
      </c>
      <c r="AD1829" s="235" t="s">
        <v>630</v>
      </c>
      <c r="AE1829" s="238">
        <v>262902.0</v>
      </c>
      <c r="AF1829" s="235" t="s">
        <v>631</v>
      </c>
      <c r="AG1829" s="244"/>
      <c r="AH1829" s="244"/>
      <c r="AI1829" s="245"/>
      <c r="AJ1829" s="245"/>
      <c r="AK1829" s="245"/>
      <c r="AL1829" s="245"/>
      <c r="AM1829" s="244"/>
      <c r="AN1829" s="244"/>
      <c r="AO1829" s="238">
        <v>0.0</v>
      </c>
      <c r="AP1829" s="238">
        <v>-38.1</v>
      </c>
      <c r="AQ1829" s="235" t="s">
        <v>632</v>
      </c>
      <c r="AR1829" s="243">
        <v>3.71E11</v>
      </c>
      <c r="AS1829" s="235" t="s">
        <v>8807</v>
      </c>
      <c r="AT1829" s="235" t="s">
        <v>533</v>
      </c>
      <c r="AU1829" s="235" t="s">
        <v>634</v>
      </c>
      <c r="AV1829" s="246" t="s">
        <v>635</v>
      </c>
      <c r="AW1829" s="242"/>
      <c r="AX1829" s="242"/>
      <c r="AY1829" s="231"/>
      <c r="AZ1829" s="231"/>
      <c r="BA1829" s="227"/>
      <c r="BB1829" s="231"/>
      <c r="BC1829" s="227"/>
      <c r="BD1829" s="227"/>
      <c r="BE1829" s="227"/>
      <c r="BF1829" s="227"/>
    </row>
    <row r="1830">
      <c r="A1830" s="235" t="s">
        <v>14343</v>
      </c>
      <c r="C1830" s="235" t="s">
        <v>14344</v>
      </c>
      <c r="D1830" s="235" t="s">
        <v>14345</v>
      </c>
      <c r="E1830" s="243">
        <v>6.54E13</v>
      </c>
      <c r="F1830" s="245"/>
      <c r="G1830" s="235" t="s">
        <v>14346</v>
      </c>
      <c r="H1830" s="235" t="s">
        <v>14347</v>
      </c>
      <c r="I1830" s="235" t="s">
        <v>14347</v>
      </c>
      <c r="J1830" s="235" t="s">
        <v>14348</v>
      </c>
      <c r="K1830" s="235" t="s">
        <v>14349</v>
      </c>
      <c r="N1830" s="235" t="s">
        <v>42</v>
      </c>
      <c r="O1830" s="235" t="s">
        <v>204</v>
      </c>
      <c r="P1830" s="238">
        <v>1.0</v>
      </c>
      <c r="Q1830" s="235" t="s">
        <v>627</v>
      </c>
      <c r="R1830" s="238">
        <v>270.48</v>
      </c>
      <c r="S1830" s="238">
        <v>13.52</v>
      </c>
      <c r="T1830" s="238">
        <v>0.0</v>
      </c>
      <c r="U1830" s="238">
        <v>0.0</v>
      </c>
      <c r="V1830" s="238">
        <v>0.0</v>
      </c>
      <c r="W1830" s="238">
        <v>0.0</v>
      </c>
      <c r="X1830" s="235" t="s">
        <v>628</v>
      </c>
      <c r="Z1830" s="244"/>
      <c r="AA1830" s="244"/>
      <c r="AB1830" s="244"/>
      <c r="AC1830" s="235" t="s">
        <v>1058</v>
      </c>
      <c r="AD1830" s="235" t="s">
        <v>845</v>
      </c>
      <c r="AE1830" s="238">
        <v>400102.0</v>
      </c>
      <c r="AF1830" s="235" t="s">
        <v>631</v>
      </c>
      <c r="AG1830" s="244"/>
      <c r="AH1830" s="244"/>
      <c r="AI1830" s="245"/>
      <c r="AJ1830" s="245"/>
      <c r="AK1830" s="245"/>
      <c r="AL1830" s="245"/>
      <c r="AM1830" s="244"/>
      <c r="AN1830" s="244"/>
      <c r="AO1830" s="238">
        <v>0.0</v>
      </c>
      <c r="AP1830" s="238">
        <v>0.0</v>
      </c>
      <c r="AQ1830" s="235" t="s">
        <v>632</v>
      </c>
      <c r="AR1830" s="243">
        <v>3.71E11</v>
      </c>
      <c r="AS1830" s="235" t="s">
        <v>12693</v>
      </c>
      <c r="AT1830" s="235" t="s">
        <v>16</v>
      </c>
      <c r="AU1830" s="235" t="s">
        <v>634</v>
      </c>
      <c r="AV1830" s="246" t="s">
        <v>635</v>
      </c>
      <c r="AW1830" s="242"/>
      <c r="AX1830" s="242"/>
      <c r="AY1830" s="231"/>
      <c r="AZ1830" s="231"/>
      <c r="BA1830" s="227"/>
      <c r="BB1830" s="231"/>
      <c r="BC1830" s="227"/>
      <c r="BD1830" s="227"/>
      <c r="BE1830" s="227"/>
      <c r="BF1830" s="227"/>
    </row>
    <row r="1831">
      <c r="A1831" s="235" t="s">
        <v>14350</v>
      </c>
      <c r="C1831" s="235" t="s">
        <v>14351</v>
      </c>
      <c r="D1831" s="235" t="s">
        <v>14352</v>
      </c>
      <c r="E1831" s="243">
        <v>6.54E13</v>
      </c>
      <c r="F1831" s="245"/>
      <c r="G1831" s="235" t="s">
        <v>14353</v>
      </c>
      <c r="H1831" s="235" t="s">
        <v>14354</v>
      </c>
      <c r="I1831" s="235" t="s">
        <v>14354</v>
      </c>
      <c r="J1831" s="235" t="s">
        <v>14355</v>
      </c>
      <c r="K1831" s="235" t="s">
        <v>14356</v>
      </c>
      <c r="N1831" s="235" t="s">
        <v>1346</v>
      </c>
      <c r="O1831" s="235" t="s">
        <v>1347</v>
      </c>
      <c r="P1831" s="238">
        <v>1.0</v>
      </c>
      <c r="Q1831" s="235" t="s">
        <v>627</v>
      </c>
      <c r="R1831" s="238">
        <v>256.19</v>
      </c>
      <c r="S1831" s="238">
        <v>12.81</v>
      </c>
      <c r="T1831" s="238">
        <v>38.1</v>
      </c>
      <c r="U1831" s="238">
        <v>1.9</v>
      </c>
      <c r="V1831" s="238">
        <v>0.0</v>
      </c>
      <c r="W1831" s="238">
        <v>0.0</v>
      </c>
      <c r="X1831" s="235" t="s">
        <v>628</v>
      </c>
      <c r="Z1831" s="244"/>
      <c r="AA1831" s="244"/>
      <c r="AB1831" s="244"/>
      <c r="AC1831" s="235" t="s">
        <v>14357</v>
      </c>
      <c r="AD1831" s="235" t="s">
        <v>1077</v>
      </c>
      <c r="AE1831" s="238">
        <v>361335.0</v>
      </c>
      <c r="AF1831" s="235" t="s">
        <v>631</v>
      </c>
      <c r="AG1831" s="244"/>
      <c r="AH1831" s="244"/>
      <c r="AI1831" s="245"/>
      <c r="AJ1831" s="245"/>
      <c r="AK1831" s="245"/>
      <c r="AL1831" s="245"/>
      <c r="AM1831" s="244"/>
      <c r="AN1831" s="244"/>
      <c r="AO1831" s="238">
        <v>0.0</v>
      </c>
      <c r="AP1831" s="238">
        <v>-38.1</v>
      </c>
      <c r="AQ1831" s="235" t="s">
        <v>632</v>
      </c>
      <c r="AR1831" s="243">
        <v>3.71E11</v>
      </c>
      <c r="AS1831" s="235" t="s">
        <v>8807</v>
      </c>
      <c r="AT1831" s="235" t="s">
        <v>533</v>
      </c>
      <c r="AU1831" s="235" t="s">
        <v>634</v>
      </c>
      <c r="AV1831" s="246" t="s">
        <v>635</v>
      </c>
      <c r="AW1831" s="242"/>
      <c r="AX1831" s="242"/>
      <c r="AY1831" s="231"/>
      <c r="AZ1831" s="231"/>
      <c r="BA1831" s="227"/>
      <c r="BB1831" s="231"/>
      <c r="BC1831" s="227"/>
      <c r="BD1831" s="227"/>
      <c r="BE1831" s="227"/>
      <c r="BF1831" s="227"/>
    </row>
    <row r="1832">
      <c r="A1832" s="235" t="s">
        <v>14358</v>
      </c>
      <c r="C1832" s="235" t="s">
        <v>14359</v>
      </c>
      <c r="D1832" s="235" t="s">
        <v>14360</v>
      </c>
      <c r="E1832" s="243">
        <v>6.54E13</v>
      </c>
      <c r="F1832" s="245"/>
      <c r="G1832" s="235" t="s">
        <v>14361</v>
      </c>
      <c r="H1832" s="235" t="s">
        <v>14362</v>
      </c>
      <c r="I1832" s="235" t="s">
        <v>14363</v>
      </c>
      <c r="J1832" s="235" t="s">
        <v>14364</v>
      </c>
      <c r="K1832" s="235" t="s">
        <v>14365</v>
      </c>
      <c r="N1832" s="235" t="s">
        <v>85</v>
      </c>
      <c r="O1832" s="235" t="s">
        <v>872</v>
      </c>
      <c r="P1832" s="238">
        <v>1.0</v>
      </c>
      <c r="Q1832" s="235" t="s">
        <v>627</v>
      </c>
      <c r="R1832" s="238">
        <v>246.67</v>
      </c>
      <c r="S1832" s="238">
        <v>12.33</v>
      </c>
      <c r="T1832" s="238">
        <v>0.0</v>
      </c>
      <c r="U1832" s="238">
        <v>0.0</v>
      </c>
      <c r="V1832" s="238">
        <v>0.0</v>
      </c>
      <c r="W1832" s="238">
        <v>0.0</v>
      </c>
      <c r="X1832" s="235" t="s">
        <v>628</v>
      </c>
      <c r="Z1832" s="244"/>
      <c r="AA1832" s="244"/>
      <c r="AB1832" s="244"/>
      <c r="AC1832" s="235" t="s">
        <v>14366</v>
      </c>
      <c r="AD1832" s="235" t="s">
        <v>630</v>
      </c>
      <c r="AE1832" s="238">
        <v>221712.0</v>
      </c>
      <c r="AF1832" s="235" t="s">
        <v>631</v>
      </c>
      <c r="AG1832" s="244"/>
      <c r="AH1832" s="244"/>
      <c r="AI1832" s="245"/>
      <c r="AJ1832" s="245"/>
      <c r="AK1832" s="245"/>
      <c r="AL1832" s="245"/>
      <c r="AM1832" s="244"/>
      <c r="AN1832" s="244"/>
      <c r="AO1832" s="238">
        <v>0.0</v>
      </c>
      <c r="AP1832" s="238">
        <v>0.0</v>
      </c>
      <c r="AQ1832" s="235" t="s">
        <v>632</v>
      </c>
      <c r="AR1832" s="243">
        <v>3.71E11</v>
      </c>
      <c r="AS1832" s="235" t="s">
        <v>8807</v>
      </c>
      <c r="AT1832" s="235" t="s">
        <v>13</v>
      </c>
      <c r="AU1832" s="235" t="s">
        <v>634</v>
      </c>
      <c r="AV1832" s="246" t="s">
        <v>635</v>
      </c>
      <c r="AW1832" s="242"/>
      <c r="AX1832" s="242"/>
      <c r="AY1832" s="231"/>
      <c r="AZ1832" s="231"/>
      <c r="BA1832" s="227"/>
      <c r="BB1832" s="231"/>
      <c r="BC1832" s="227"/>
      <c r="BD1832" s="227"/>
      <c r="BE1832" s="227"/>
      <c r="BF1832" s="227"/>
    </row>
    <row r="1833">
      <c r="A1833" s="235" t="s">
        <v>14367</v>
      </c>
      <c r="C1833" s="235" t="s">
        <v>14368</v>
      </c>
      <c r="D1833" s="235" t="s">
        <v>14369</v>
      </c>
      <c r="E1833" s="243">
        <v>6.54E13</v>
      </c>
      <c r="F1833" s="245"/>
      <c r="G1833" s="235" t="s">
        <v>14370</v>
      </c>
      <c r="H1833" s="235" t="s">
        <v>14371</v>
      </c>
      <c r="I1833" s="235" t="s">
        <v>14371</v>
      </c>
      <c r="J1833" s="235" t="s">
        <v>14372</v>
      </c>
      <c r="K1833" s="235" t="s">
        <v>14373</v>
      </c>
      <c r="N1833" s="235" t="s">
        <v>53</v>
      </c>
      <c r="O1833" s="235" t="s">
        <v>512</v>
      </c>
      <c r="P1833" s="238">
        <v>1.0</v>
      </c>
      <c r="Q1833" s="235" t="s">
        <v>627</v>
      </c>
      <c r="R1833" s="238">
        <v>237.14</v>
      </c>
      <c r="S1833" s="238">
        <v>11.86</v>
      </c>
      <c r="T1833" s="238">
        <v>38.1</v>
      </c>
      <c r="U1833" s="238">
        <v>1.9</v>
      </c>
      <c r="V1833" s="238">
        <v>0.0</v>
      </c>
      <c r="W1833" s="238">
        <v>0.0</v>
      </c>
      <c r="X1833" s="235" t="s">
        <v>628</v>
      </c>
      <c r="Z1833" s="244"/>
      <c r="AA1833" s="244"/>
      <c r="AB1833" s="244"/>
      <c r="AC1833" s="235" t="s">
        <v>14374</v>
      </c>
      <c r="AD1833" s="235" t="s">
        <v>833</v>
      </c>
      <c r="AE1833" s="238">
        <v>534216.0</v>
      </c>
      <c r="AF1833" s="235" t="s">
        <v>631</v>
      </c>
      <c r="AG1833" s="244"/>
      <c r="AH1833" s="244"/>
      <c r="AI1833" s="245"/>
      <c r="AJ1833" s="245"/>
      <c r="AK1833" s="245"/>
      <c r="AL1833" s="245"/>
      <c r="AM1833" s="244"/>
      <c r="AN1833" s="244"/>
      <c r="AO1833" s="238">
        <v>0.0</v>
      </c>
      <c r="AP1833" s="238">
        <v>-38.1</v>
      </c>
      <c r="AQ1833" s="235" t="s">
        <v>632</v>
      </c>
      <c r="AR1833" s="243">
        <v>3.71E11</v>
      </c>
      <c r="AS1833" s="235" t="s">
        <v>11171</v>
      </c>
      <c r="AT1833" s="235" t="s">
        <v>156</v>
      </c>
      <c r="AU1833" s="235" t="s">
        <v>634</v>
      </c>
      <c r="AV1833" s="246" t="s">
        <v>635</v>
      </c>
      <c r="AW1833" s="242"/>
      <c r="AX1833" s="242"/>
      <c r="AY1833" s="231"/>
      <c r="AZ1833" s="231"/>
      <c r="BA1833" s="227"/>
      <c r="BB1833" s="231"/>
      <c r="BC1833" s="227"/>
      <c r="BD1833" s="227"/>
      <c r="BE1833" s="227"/>
      <c r="BF1833" s="227"/>
    </row>
    <row r="1834">
      <c r="A1834" s="235" t="s">
        <v>14375</v>
      </c>
      <c r="C1834" s="235" t="s">
        <v>14376</v>
      </c>
      <c r="D1834" s="235" t="s">
        <v>14377</v>
      </c>
      <c r="E1834" s="243">
        <v>6.54E13</v>
      </c>
      <c r="F1834" s="245"/>
      <c r="G1834" s="235" t="s">
        <v>14378</v>
      </c>
      <c r="H1834" s="235" t="s">
        <v>14379</v>
      </c>
      <c r="I1834" s="235" t="s">
        <v>14379</v>
      </c>
      <c r="J1834" s="235" t="s">
        <v>14380</v>
      </c>
      <c r="K1834" s="235" t="s">
        <v>14381</v>
      </c>
      <c r="N1834" s="235" t="s">
        <v>50</v>
      </c>
      <c r="O1834" s="235" t="s">
        <v>367</v>
      </c>
      <c r="P1834" s="238">
        <v>1.0</v>
      </c>
      <c r="Q1834" s="235" t="s">
        <v>627</v>
      </c>
      <c r="R1834" s="238">
        <v>237.14</v>
      </c>
      <c r="S1834" s="238">
        <v>11.86</v>
      </c>
      <c r="T1834" s="238">
        <v>0.0</v>
      </c>
      <c r="U1834" s="238">
        <v>0.0</v>
      </c>
      <c r="V1834" s="238">
        <v>0.0</v>
      </c>
      <c r="W1834" s="238">
        <v>0.0</v>
      </c>
      <c r="X1834" s="235" t="s">
        <v>628</v>
      </c>
      <c r="Z1834" s="244"/>
      <c r="AA1834" s="244"/>
      <c r="AB1834" s="244"/>
      <c r="AC1834" s="235" t="s">
        <v>687</v>
      </c>
      <c r="AD1834" s="235" t="s">
        <v>666</v>
      </c>
      <c r="AE1834" s="238">
        <v>600016.0</v>
      </c>
      <c r="AF1834" s="235" t="s">
        <v>631</v>
      </c>
      <c r="AG1834" s="244"/>
      <c r="AH1834" s="244"/>
      <c r="AI1834" s="245"/>
      <c r="AJ1834" s="245"/>
      <c r="AK1834" s="245"/>
      <c r="AL1834" s="245"/>
      <c r="AM1834" s="244"/>
      <c r="AN1834" s="244"/>
      <c r="AO1834" s="238">
        <v>0.0</v>
      </c>
      <c r="AP1834" s="238">
        <v>0.0</v>
      </c>
      <c r="AQ1834" s="235" t="s">
        <v>632</v>
      </c>
      <c r="AR1834" s="243">
        <v>3.71E11</v>
      </c>
      <c r="AS1834" s="235" t="s">
        <v>13822</v>
      </c>
      <c r="AT1834" s="235" t="s">
        <v>156</v>
      </c>
      <c r="AU1834" s="235" t="s">
        <v>634</v>
      </c>
      <c r="AV1834" s="246" t="s">
        <v>635</v>
      </c>
      <c r="AW1834" s="242"/>
      <c r="AX1834" s="242"/>
      <c r="AY1834" s="231"/>
      <c r="AZ1834" s="231"/>
      <c r="BA1834" s="227"/>
      <c r="BB1834" s="231"/>
      <c r="BC1834" s="227"/>
      <c r="BD1834" s="227"/>
      <c r="BE1834" s="227"/>
      <c r="BF1834" s="227"/>
    </row>
    <row r="1835">
      <c r="A1835" s="235" t="s">
        <v>14382</v>
      </c>
      <c r="C1835" s="235" t="s">
        <v>14383</v>
      </c>
      <c r="D1835" s="235" t="s">
        <v>14384</v>
      </c>
      <c r="E1835" s="243">
        <v>6.54E13</v>
      </c>
      <c r="F1835" s="245"/>
      <c r="G1835" s="235" t="s">
        <v>14385</v>
      </c>
      <c r="H1835" s="235" t="s">
        <v>14386</v>
      </c>
      <c r="I1835" s="235" t="s">
        <v>14387</v>
      </c>
      <c r="J1835" s="235" t="s">
        <v>14388</v>
      </c>
      <c r="K1835" s="235" t="s">
        <v>14389</v>
      </c>
      <c r="N1835" s="235" t="s">
        <v>90</v>
      </c>
      <c r="O1835" s="235" t="s">
        <v>279</v>
      </c>
      <c r="P1835" s="238">
        <v>1.0</v>
      </c>
      <c r="Q1835" s="235" t="s">
        <v>627</v>
      </c>
      <c r="R1835" s="238">
        <v>246.66</v>
      </c>
      <c r="S1835" s="238">
        <v>12.1</v>
      </c>
      <c r="T1835" s="238">
        <v>0.0</v>
      </c>
      <c r="U1835" s="238">
        <v>0.0</v>
      </c>
      <c r="V1835" s="238">
        <v>0.0</v>
      </c>
      <c r="W1835" s="238">
        <v>0.0</v>
      </c>
      <c r="X1835" s="235" t="s">
        <v>628</v>
      </c>
      <c r="Z1835" s="244"/>
      <c r="AA1835" s="244"/>
      <c r="AB1835" s="244"/>
      <c r="AC1835" s="235" t="s">
        <v>678</v>
      </c>
      <c r="AD1835" s="235" t="s">
        <v>679</v>
      </c>
      <c r="AE1835" s="238">
        <v>560108.0</v>
      </c>
      <c r="AF1835" s="235" t="s">
        <v>631</v>
      </c>
      <c r="AG1835" s="244"/>
      <c r="AH1835" s="244"/>
      <c r="AI1835" s="245"/>
      <c r="AJ1835" s="245"/>
      <c r="AK1835" s="245"/>
      <c r="AL1835" s="245"/>
      <c r="AM1835" s="244"/>
      <c r="AN1835" s="244"/>
      <c r="AO1835" s="238">
        <v>-4.94</v>
      </c>
      <c r="AP1835" s="238">
        <v>0.0</v>
      </c>
      <c r="AQ1835" s="235" t="s">
        <v>632</v>
      </c>
      <c r="AR1835" s="243">
        <v>1.68E11</v>
      </c>
      <c r="AS1835" s="235" t="s">
        <v>14390</v>
      </c>
      <c r="AT1835" s="235" t="s">
        <v>11</v>
      </c>
      <c r="AU1835" s="235" t="s">
        <v>634</v>
      </c>
      <c r="AV1835" s="246" t="s">
        <v>635</v>
      </c>
      <c r="AW1835" s="242"/>
      <c r="AX1835" s="242"/>
      <c r="AY1835" s="231"/>
      <c r="AZ1835" s="231"/>
      <c r="BA1835" s="227"/>
      <c r="BB1835" s="231"/>
      <c r="BC1835" s="227"/>
      <c r="BD1835" s="227"/>
      <c r="BE1835" s="227"/>
      <c r="BF1835" s="227"/>
    </row>
    <row r="1836">
      <c r="A1836" s="235" t="s">
        <v>14391</v>
      </c>
      <c r="C1836" s="235" t="s">
        <v>14392</v>
      </c>
      <c r="D1836" s="235" t="s">
        <v>14393</v>
      </c>
      <c r="E1836" s="243">
        <v>6.54E13</v>
      </c>
      <c r="F1836" s="245"/>
      <c r="G1836" s="235" t="s">
        <v>14394</v>
      </c>
      <c r="H1836" s="235" t="s">
        <v>14395</v>
      </c>
      <c r="I1836" s="235" t="s">
        <v>14395</v>
      </c>
      <c r="J1836" s="235" t="s">
        <v>14396</v>
      </c>
      <c r="K1836" s="235" t="s">
        <v>14397</v>
      </c>
      <c r="N1836" s="235" t="s">
        <v>6</v>
      </c>
      <c r="O1836" s="235" t="s">
        <v>806</v>
      </c>
      <c r="P1836" s="238">
        <v>1.0</v>
      </c>
      <c r="Q1836" s="235" t="s">
        <v>627</v>
      </c>
      <c r="R1836" s="238">
        <v>265.71</v>
      </c>
      <c r="S1836" s="238">
        <v>13.29</v>
      </c>
      <c r="T1836" s="238">
        <v>38.1</v>
      </c>
      <c r="U1836" s="238">
        <v>1.9</v>
      </c>
      <c r="V1836" s="238">
        <v>0.0</v>
      </c>
      <c r="W1836" s="238">
        <v>0.0</v>
      </c>
      <c r="X1836" s="235" t="s">
        <v>628</v>
      </c>
      <c r="Z1836" s="244"/>
      <c r="AA1836" s="244"/>
      <c r="AB1836" s="244"/>
      <c r="AC1836" s="235" t="s">
        <v>9365</v>
      </c>
      <c r="AD1836" s="235" t="s">
        <v>2688</v>
      </c>
      <c r="AE1836" s="238">
        <v>181205.0</v>
      </c>
      <c r="AF1836" s="235" t="s">
        <v>631</v>
      </c>
      <c r="AG1836" s="244"/>
      <c r="AH1836" s="244"/>
      <c r="AI1836" s="245"/>
      <c r="AJ1836" s="245"/>
      <c r="AK1836" s="245"/>
      <c r="AL1836" s="245"/>
      <c r="AM1836" s="244"/>
      <c r="AN1836" s="244"/>
      <c r="AO1836" s="238">
        <v>0.0</v>
      </c>
      <c r="AP1836" s="238">
        <v>-38.1</v>
      </c>
      <c r="AQ1836" s="235" t="s">
        <v>632</v>
      </c>
      <c r="AR1836" s="243">
        <v>1.68E11</v>
      </c>
      <c r="AS1836" s="235" t="s">
        <v>11171</v>
      </c>
      <c r="AT1836" s="235" t="s">
        <v>14</v>
      </c>
      <c r="AU1836" s="235" t="s">
        <v>634</v>
      </c>
      <c r="AV1836" s="246" t="s">
        <v>635</v>
      </c>
      <c r="AW1836" s="242"/>
      <c r="AX1836" s="242"/>
      <c r="AY1836" s="231"/>
      <c r="AZ1836" s="231"/>
      <c r="BA1836" s="227"/>
      <c r="BB1836" s="231"/>
      <c r="BC1836" s="227"/>
      <c r="BD1836" s="227"/>
      <c r="BE1836" s="227"/>
      <c r="BF1836" s="227"/>
    </row>
    <row r="1837">
      <c r="A1837" s="235" t="s">
        <v>14398</v>
      </c>
      <c r="C1837" s="235" t="s">
        <v>14399</v>
      </c>
      <c r="D1837" s="235" t="s">
        <v>14400</v>
      </c>
      <c r="E1837" s="243">
        <v>6.54E13</v>
      </c>
      <c r="F1837" s="245"/>
      <c r="G1837" s="235" t="s">
        <v>14401</v>
      </c>
      <c r="H1837" s="235" t="s">
        <v>14402</v>
      </c>
      <c r="I1837" s="235" t="s">
        <v>14403</v>
      </c>
      <c r="J1837" s="235" t="s">
        <v>14404</v>
      </c>
      <c r="K1837" s="235" t="s">
        <v>14405</v>
      </c>
      <c r="N1837" s="235" t="s">
        <v>153</v>
      </c>
      <c r="O1837" s="235" t="s">
        <v>390</v>
      </c>
      <c r="P1837" s="238">
        <v>2.0</v>
      </c>
      <c r="Q1837" s="235" t="s">
        <v>627</v>
      </c>
      <c r="R1837" s="238">
        <v>981.36</v>
      </c>
      <c r="S1837" s="238">
        <v>171.36</v>
      </c>
      <c r="T1837" s="238">
        <v>0.0</v>
      </c>
      <c r="U1837" s="238">
        <v>0.0</v>
      </c>
      <c r="V1837" s="238">
        <v>0.0</v>
      </c>
      <c r="W1837" s="238">
        <v>0.0</v>
      </c>
      <c r="X1837" s="235" t="s">
        <v>628</v>
      </c>
      <c r="Z1837" s="244"/>
      <c r="AA1837" s="244"/>
      <c r="AB1837" s="244"/>
      <c r="AC1837" s="235" t="s">
        <v>687</v>
      </c>
      <c r="AD1837" s="235" t="s">
        <v>666</v>
      </c>
      <c r="AE1837" s="238">
        <v>600041.0</v>
      </c>
      <c r="AF1837" s="235" t="s">
        <v>631</v>
      </c>
      <c r="AG1837" s="244"/>
      <c r="AH1837" s="244"/>
      <c r="AI1837" s="245"/>
      <c r="AJ1837" s="245"/>
      <c r="AK1837" s="245"/>
      <c r="AL1837" s="245"/>
      <c r="AM1837" s="244"/>
      <c r="AN1837" s="244"/>
      <c r="AO1837" s="238">
        <v>-29.46</v>
      </c>
      <c r="AP1837" s="238">
        <v>0.0</v>
      </c>
      <c r="AQ1837" s="235" t="s">
        <v>632</v>
      </c>
      <c r="AR1837" s="243">
        <v>3.71E11</v>
      </c>
      <c r="AS1837" s="235" t="s">
        <v>13822</v>
      </c>
      <c r="AT1837" s="235" t="s">
        <v>156</v>
      </c>
      <c r="AU1837" s="235" t="s">
        <v>634</v>
      </c>
      <c r="AV1837" s="246" t="s">
        <v>635</v>
      </c>
      <c r="AW1837" s="242"/>
      <c r="AX1837" s="242"/>
      <c r="AY1837" s="231"/>
      <c r="AZ1837" s="231"/>
      <c r="BA1837" s="227"/>
      <c r="BB1837" s="231"/>
      <c r="BC1837" s="227"/>
      <c r="BD1837" s="227"/>
      <c r="BE1837" s="227"/>
      <c r="BF1837" s="227"/>
    </row>
    <row r="1838">
      <c r="A1838" s="235" t="s">
        <v>14406</v>
      </c>
      <c r="C1838" s="235" t="s">
        <v>14407</v>
      </c>
      <c r="D1838" s="235" t="s">
        <v>14408</v>
      </c>
      <c r="E1838" s="243">
        <v>6.54E13</v>
      </c>
      <c r="F1838" s="245"/>
      <c r="G1838" s="235" t="s">
        <v>14409</v>
      </c>
      <c r="H1838" s="235" t="s">
        <v>14410</v>
      </c>
      <c r="I1838" s="235" t="s">
        <v>14410</v>
      </c>
      <c r="J1838" s="235" t="s">
        <v>14411</v>
      </c>
      <c r="K1838" s="235" t="s">
        <v>14412</v>
      </c>
      <c r="N1838" s="235" t="s">
        <v>141</v>
      </c>
      <c r="O1838" s="235" t="s">
        <v>342</v>
      </c>
      <c r="P1838" s="238">
        <v>1.0</v>
      </c>
      <c r="Q1838" s="235" t="s">
        <v>627</v>
      </c>
      <c r="R1838" s="238">
        <v>246.67</v>
      </c>
      <c r="S1838" s="238">
        <v>12.33</v>
      </c>
      <c r="T1838" s="238">
        <v>38.1</v>
      </c>
      <c r="U1838" s="238">
        <v>1.9</v>
      </c>
      <c r="V1838" s="238">
        <v>0.0</v>
      </c>
      <c r="W1838" s="238">
        <v>0.0</v>
      </c>
      <c r="X1838" s="235" t="s">
        <v>628</v>
      </c>
      <c r="Z1838" s="244"/>
      <c r="AA1838" s="244"/>
      <c r="AB1838" s="244"/>
      <c r="AC1838" s="235" t="s">
        <v>1279</v>
      </c>
      <c r="AD1838" s="235" t="s">
        <v>917</v>
      </c>
      <c r="AE1838" s="238">
        <v>302033.0</v>
      </c>
      <c r="AF1838" s="235" t="s">
        <v>631</v>
      </c>
      <c r="AG1838" s="244"/>
      <c r="AH1838" s="244"/>
      <c r="AI1838" s="245"/>
      <c r="AJ1838" s="245"/>
      <c r="AK1838" s="245"/>
      <c r="AL1838" s="245"/>
      <c r="AM1838" s="244"/>
      <c r="AN1838" s="244"/>
      <c r="AO1838" s="238">
        <v>0.0</v>
      </c>
      <c r="AP1838" s="238">
        <v>-38.1</v>
      </c>
      <c r="AQ1838" s="235" t="s">
        <v>632</v>
      </c>
      <c r="AR1838" s="243">
        <v>1.68E11</v>
      </c>
      <c r="AS1838" s="235" t="s">
        <v>13822</v>
      </c>
      <c r="AT1838" s="235" t="s">
        <v>14</v>
      </c>
      <c r="AU1838" s="235" t="s">
        <v>634</v>
      </c>
      <c r="AV1838" s="246" t="s">
        <v>635</v>
      </c>
      <c r="AW1838" s="242"/>
      <c r="AX1838" s="242"/>
      <c r="AY1838" s="231"/>
      <c r="AZ1838" s="231"/>
      <c r="BA1838" s="227"/>
      <c r="BB1838" s="231"/>
      <c r="BC1838" s="227"/>
      <c r="BD1838" s="227"/>
      <c r="BE1838" s="227"/>
      <c r="BF1838" s="227"/>
    </row>
    <row r="1839">
      <c r="A1839" s="235" t="s">
        <v>14413</v>
      </c>
      <c r="C1839" s="235" t="s">
        <v>14414</v>
      </c>
      <c r="D1839" s="235" t="s">
        <v>14415</v>
      </c>
      <c r="E1839" s="243">
        <v>6.54E13</v>
      </c>
      <c r="F1839" s="245"/>
      <c r="G1839" s="235" t="s">
        <v>14416</v>
      </c>
      <c r="H1839" s="235" t="s">
        <v>14417</v>
      </c>
      <c r="I1839" s="235" t="s">
        <v>14417</v>
      </c>
      <c r="J1839" s="235" t="s">
        <v>14418</v>
      </c>
      <c r="K1839" s="235" t="s">
        <v>14419</v>
      </c>
      <c r="N1839" s="235" t="s">
        <v>127</v>
      </c>
      <c r="O1839" s="235" t="s">
        <v>794</v>
      </c>
      <c r="P1839" s="238">
        <v>1.0</v>
      </c>
      <c r="Q1839" s="235" t="s">
        <v>627</v>
      </c>
      <c r="R1839" s="238">
        <v>246.66</v>
      </c>
      <c r="S1839" s="238">
        <v>12.34</v>
      </c>
      <c r="T1839" s="238">
        <v>0.0</v>
      </c>
      <c r="U1839" s="238">
        <v>0.0</v>
      </c>
      <c r="V1839" s="238">
        <v>0.0</v>
      </c>
      <c r="W1839" s="238">
        <v>0.0</v>
      </c>
      <c r="X1839" s="235" t="s">
        <v>628</v>
      </c>
      <c r="Z1839" s="244"/>
      <c r="AA1839" s="244"/>
      <c r="AB1839" s="244"/>
      <c r="AC1839" s="235" t="s">
        <v>11952</v>
      </c>
      <c r="AD1839" s="235" t="s">
        <v>845</v>
      </c>
      <c r="AE1839" s="238">
        <v>411033.0</v>
      </c>
      <c r="AF1839" s="235" t="s">
        <v>631</v>
      </c>
      <c r="AG1839" s="244"/>
      <c r="AH1839" s="244"/>
      <c r="AI1839" s="245"/>
      <c r="AJ1839" s="245"/>
      <c r="AK1839" s="245"/>
      <c r="AL1839" s="245"/>
      <c r="AM1839" s="244"/>
      <c r="AN1839" s="244"/>
      <c r="AO1839" s="238">
        <v>0.0</v>
      </c>
      <c r="AP1839" s="238">
        <v>0.0</v>
      </c>
      <c r="AQ1839" s="235" t="s">
        <v>632</v>
      </c>
      <c r="AR1839" s="243">
        <v>1.68E11</v>
      </c>
      <c r="AS1839" s="235" t="s">
        <v>14390</v>
      </c>
      <c r="AT1839" s="235" t="s">
        <v>546</v>
      </c>
      <c r="AU1839" s="235" t="s">
        <v>634</v>
      </c>
      <c r="AV1839" s="246" t="s">
        <v>635</v>
      </c>
      <c r="AW1839" s="242"/>
      <c r="AX1839" s="242"/>
      <c r="AY1839" s="231"/>
      <c r="AZ1839" s="231"/>
      <c r="BA1839" s="227"/>
      <c r="BB1839" s="231"/>
      <c r="BC1839" s="227"/>
      <c r="BD1839" s="227"/>
      <c r="BE1839" s="227"/>
      <c r="BF1839" s="227"/>
    </row>
    <row r="1840">
      <c r="A1840" s="235" t="s">
        <v>14420</v>
      </c>
      <c r="C1840" s="235" t="s">
        <v>14421</v>
      </c>
      <c r="D1840" s="235" t="s">
        <v>14422</v>
      </c>
      <c r="E1840" s="243">
        <v>6.54E13</v>
      </c>
      <c r="F1840" s="245"/>
      <c r="G1840" s="235" t="s">
        <v>14423</v>
      </c>
      <c r="H1840" s="235" t="s">
        <v>14424</v>
      </c>
      <c r="I1840" s="235" t="s">
        <v>14424</v>
      </c>
      <c r="J1840" s="235" t="s">
        <v>14425</v>
      </c>
      <c r="K1840" s="235" t="s">
        <v>14426</v>
      </c>
      <c r="N1840" s="235" t="s">
        <v>29</v>
      </c>
      <c r="O1840" s="235" t="s">
        <v>677</v>
      </c>
      <c r="P1840" s="238">
        <v>1.0</v>
      </c>
      <c r="Q1840" s="235" t="s">
        <v>627</v>
      </c>
      <c r="R1840" s="238">
        <v>446.67</v>
      </c>
      <c r="S1840" s="238">
        <v>22.33</v>
      </c>
      <c r="T1840" s="238">
        <v>38.1</v>
      </c>
      <c r="U1840" s="238">
        <v>1.9</v>
      </c>
      <c r="V1840" s="238">
        <v>0.0</v>
      </c>
      <c r="W1840" s="238">
        <v>0.0</v>
      </c>
      <c r="X1840" s="235" t="s">
        <v>628</v>
      </c>
      <c r="Z1840" s="244"/>
      <c r="AA1840" s="244"/>
      <c r="AB1840" s="244"/>
      <c r="AC1840" s="235" t="s">
        <v>14427</v>
      </c>
      <c r="AD1840" s="235" t="s">
        <v>731</v>
      </c>
      <c r="AE1840" s="238">
        <v>783124.0</v>
      </c>
      <c r="AF1840" s="235" t="s">
        <v>631</v>
      </c>
      <c r="AG1840" s="244"/>
      <c r="AH1840" s="244"/>
      <c r="AI1840" s="245"/>
      <c r="AJ1840" s="245"/>
      <c r="AK1840" s="245"/>
      <c r="AL1840" s="245"/>
      <c r="AM1840" s="244"/>
      <c r="AN1840" s="244"/>
      <c r="AO1840" s="238">
        <v>0.0</v>
      </c>
      <c r="AP1840" s="238">
        <v>-38.1</v>
      </c>
      <c r="AQ1840" s="235" t="s">
        <v>632</v>
      </c>
      <c r="AR1840" s="243">
        <v>3.71E11</v>
      </c>
      <c r="AS1840" s="235" t="s">
        <v>8807</v>
      </c>
      <c r="AT1840" s="235" t="s">
        <v>14</v>
      </c>
      <c r="AU1840" s="235" t="s">
        <v>634</v>
      </c>
      <c r="AV1840" s="246" t="s">
        <v>635</v>
      </c>
      <c r="AW1840" s="242"/>
      <c r="AX1840" s="242"/>
      <c r="AY1840" s="231"/>
      <c r="AZ1840" s="231"/>
      <c r="BA1840" s="227"/>
      <c r="BB1840" s="231"/>
      <c r="BC1840" s="227"/>
      <c r="BD1840" s="227"/>
      <c r="BE1840" s="227"/>
      <c r="BF1840" s="227"/>
    </row>
    <row r="1841">
      <c r="A1841" s="235" t="s">
        <v>14428</v>
      </c>
      <c r="C1841" s="235" t="s">
        <v>14429</v>
      </c>
      <c r="D1841" s="235" t="s">
        <v>14430</v>
      </c>
      <c r="E1841" s="243">
        <v>6.54E13</v>
      </c>
      <c r="F1841" s="245"/>
      <c r="G1841" s="235" t="s">
        <v>14431</v>
      </c>
      <c r="H1841" s="235" t="s">
        <v>14432</v>
      </c>
      <c r="I1841" s="235" t="s">
        <v>14433</v>
      </c>
      <c r="J1841" s="235" t="s">
        <v>14434</v>
      </c>
      <c r="K1841" s="235" t="s">
        <v>14435</v>
      </c>
      <c r="N1841" s="235" t="s">
        <v>23</v>
      </c>
      <c r="O1841" s="235" t="s">
        <v>974</v>
      </c>
      <c r="P1841" s="238">
        <v>1.0</v>
      </c>
      <c r="Q1841" s="235" t="s">
        <v>627</v>
      </c>
      <c r="R1841" s="238">
        <v>360.95</v>
      </c>
      <c r="S1841" s="238">
        <v>17.69</v>
      </c>
      <c r="T1841" s="238">
        <v>0.0</v>
      </c>
      <c r="U1841" s="238">
        <v>0.0</v>
      </c>
      <c r="V1841" s="238">
        <v>0.0</v>
      </c>
      <c r="W1841" s="238">
        <v>0.0</v>
      </c>
      <c r="X1841" s="235" t="s">
        <v>628</v>
      </c>
      <c r="Z1841" s="244"/>
      <c r="AA1841" s="244"/>
      <c r="AB1841" s="244"/>
      <c r="AC1841" s="235" t="s">
        <v>1671</v>
      </c>
      <c r="AD1841" s="235" t="s">
        <v>666</v>
      </c>
      <c r="AE1841" s="238">
        <v>641035.0</v>
      </c>
      <c r="AF1841" s="235" t="s">
        <v>631</v>
      </c>
      <c r="AG1841" s="244"/>
      <c r="AH1841" s="244"/>
      <c r="AI1841" s="245"/>
      <c r="AJ1841" s="245"/>
      <c r="AK1841" s="245"/>
      <c r="AL1841" s="245"/>
      <c r="AM1841" s="244"/>
      <c r="AN1841" s="244"/>
      <c r="AO1841" s="238">
        <v>-7.22</v>
      </c>
      <c r="AP1841" s="238">
        <v>0.0</v>
      </c>
      <c r="AQ1841" s="235" t="s">
        <v>632</v>
      </c>
      <c r="AR1841" s="243">
        <v>2.02E11</v>
      </c>
      <c r="AS1841" s="235" t="s">
        <v>12693</v>
      </c>
      <c r="AT1841" s="235" t="s">
        <v>11</v>
      </c>
      <c r="AU1841" s="235" t="s">
        <v>634</v>
      </c>
      <c r="AV1841" s="246" t="s">
        <v>635</v>
      </c>
      <c r="AW1841" s="242"/>
      <c r="AX1841" s="242"/>
      <c r="AY1841" s="231"/>
      <c r="AZ1841" s="231"/>
      <c r="BA1841" s="227"/>
      <c r="BB1841" s="231"/>
      <c r="BC1841" s="227"/>
      <c r="BD1841" s="227"/>
      <c r="BE1841" s="227"/>
      <c r="BF1841" s="227"/>
    </row>
    <row r="1842">
      <c r="A1842" s="235" t="s">
        <v>14436</v>
      </c>
      <c r="C1842" s="235" t="s">
        <v>14437</v>
      </c>
      <c r="D1842" s="235" t="s">
        <v>14438</v>
      </c>
      <c r="E1842" s="243">
        <v>6.54E13</v>
      </c>
      <c r="F1842" s="245"/>
      <c r="G1842" s="235" t="s">
        <v>14439</v>
      </c>
      <c r="H1842" s="235" t="s">
        <v>14440</v>
      </c>
      <c r="I1842" s="235" t="s">
        <v>14440</v>
      </c>
      <c r="J1842" s="235" t="s">
        <v>14441</v>
      </c>
      <c r="K1842" s="235" t="s">
        <v>14442</v>
      </c>
      <c r="N1842" s="235" t="s">
        <v>42</v>
      </c>
      <c r="O1842" s="235" t="s">
        <v>204</v>
      </c>
      <c r="P1842" s="238">
        <v>1.0</v>
      </c>
      <c r="Q1842" s="235" t="s">
        <v>627</v>
      </c>
      <c r="R1842" s="238">
        <v>0.0</v>
      </c>
      <c r="S1842" s="238">
        <v>0.0</v>
      </c>
      <c r="T1842" s="238">
        <v>0.0</v>
      </c>
      <c r="U1842" s="238">
        <v>0.0</v>
      </c>
      <c r="V1842" s="238">
        <v>0.0</v>
      </c>
      <c r="W1842" s="238">
        <v>0.0</v>
      </c>
      <c r="X1842" s="235" t="s">
        <v>628</v>
      </c>
      <c r="Z1842" s="244"/>
      <c r="AA1842" s="244"/>
      <c r="AB1842" s="244"/>
      <c r="AC1842" s="235" t="s">
        <v>1206</v>
      </c>
      <c r="AD1842" s="235" t="s">
        <v>679</v>
      </c>
      <c r="AE1842" s="238">
        <v>560037.0</v>
      </c>
      <c r="AF1842" s="235" t="s">
        <v>631</v>
      </c>
      <c r="AG1842" s="244"/>
      <c r="AH1842" s="244"/>
      <c r="AI1842" s="245"/>
      <c r="AJ1842" s="245"/>
      <c r="AK1842" s="245"/>
      <c r="AL1842" s="245"/>
      <c r="AM1842" s="244"/>
      <c r="AN1842" s="244"/>
      <c r="AO1842" s="238">
        <v>0.0</v>
      </c>
      <c r="AP1842" s="238">
        <v>0.0</v>
      </c>
      <c r="AQ1842" s="235" t="s">
        <v>632</v>
      </c>
      <c r="AR1842" s="243">
        <v>1.68E11</v>
      </c>
      <c r="AS1842" s="235" t="s">
        <v>14390</v>
      </c>
      <c r="AT1842" s="235" t="s">
        <v>9</v>
      </c>
      <c r="AU1842" s="235" t="s">
        <v>634</v>
      </c>
      <c r="AV1842" s="246" t="s">
        <v>635</v>
      </c>
      <c r="AW1842" s="242"/>
      <c r="AX1842" s="242"/>
      <c r="AY1842" s="231"/>
      <c r="AZ1842" s="231"/>
      <c r="BA1842" s="227"/>
      <c r="BB1842" s="231"/>
      <c r="BC1842" s="227"/>
      <c r="BD1842" s="227"/>
      <c r="BE1842" s="227"/>
      <c r="BF1842" s="227"/>
    </row>
    <row r="1843">
      <c r="A1843" s="235" t="s">
        <v>14443</v>
      </c>
      <c r="C1843" s="235" t="s">
        <v>14444</v>
      </c>
      <c r="D1843" s="235" t="s">
        <v>14445</v>
      </c>
      <c r="E1843" s="243">
        <v>6.54E13</v>
      </c>
      <c r="F1843" s="245"/>
      <c r="G1843" s="235" t="s">
        <v>14446</v>
      </c>
      <c r="H1843" s="235" t="s">
        <v>14447</v>
      </c>
      <c r="I1843" s="235" t="s">
        <v>14447</v>
      </c>
      <c r="J1843" s="235" t="s">
        <v>14448</v>
      </c>
      <c r="K1843" s="235" t="s">
        <v>14449</v>
      </c>
      <c r="N1843" s="235" t="s">
        <v>136</v>
      </c>
      <c r="O1843" s="235" t="s">
        <v>256</v>
      </c>
      <c r="P1843" s="238">
        <v>1.0</v>
      </c>
      <c r="Q1843" s="235" t="s">
        <v>627</v>
      </c>
      <c r="R1843" s="238">
        <v>246.66</v>
      </c>
      <c r="S1843" s="238">
        <v>12.34</v>
      </c>
      <c r="T1843" s="238">
        <v>0.0</v>
      </c>
      <c r="U1843" s="238">
        <v>0.0</v>
      </c>
      <c r="V1843" s="238">
        <v>0.0</v>
      </c>
      <c r="W1843" s="238">
        <v>0.0</v>
      </c>
      <c r="X1843" s="235" t="s">
        <v>628</v>
      </c>
      <c r="Z1843" s="244"/>
      <c r="AA1843" s="244"/>
      <c r="AB1843" s="244"/>
      <c r="AC1843" s="235" t="s">
        <v>14450</v>
      </c>
      <c r="AD1843" s="235" t="s">
        <v>1077</v>
      </c>
      <c r="AE1843" s="238">
        <v>382421.0</v>
      </c>
      <c r="AF1843" s="235" t="s">
        <v>631</v>
      </c>
      <c r="AG1843" s="244"/>
      <c r="AH1843" s="244"/>
      <c r="AI1843" s="245"/>
      <c r="AJ1843" s="245"/>
      <c r="AK1843" s="245"/>
      <c r="AL1843" s="245"/>
      <c r="AM1843" s="244"/>
      <c r="AN1843" s="244"/>
      <c r="AO1843" s="238">
        <v>0.0</v>
      </c>
      <c r="AP1843" s="238">
        <v>0.0</v>
      </c>
      <c r="AQ1843" s="235" t="s">
        <v>632</v>
      </c>
      <c r="AR1843" s="243">
        <v>3.71E11</v>
      </c>
      <c r="AS1843" s="235" t="s">
        <v>12693</v>
      </c>
      <c r="AT1843" s="235" t="s">
        <v>5</v>
      </c>
      <c r="AU1843" s="235" t="s">
        <v>634</v>
      </c>
      <c r="AV1843" s="246" t="s">
        <v>635</v>
      </c>
      <c r="AW1843" s="242"/>
      <c r="AX1843" s="242"/>
      <c r="AY1843" s="231"/>
      <c r="AZ1843" s="231"/>
      <c r="BA1843" s="227"/>
      <c r="BB1843" s="231"/>
      <c r="BC1843" s="227"/>
      <c r="BD1843" s="227"/>
      <c r="BE1843" s="227"/>
      <c r="BF1843" s="227"/>
    </row>
    <row r="1844">
      <c r="A1844" s="235" t="s">
        <v>14451</v>
      </c>
      <c r="C1844" s="235" t="s">
        <v>14452</v>
      </c>
      <c r="D1844" s="235" t="s">
        <v>14453</v>
      </c>
      <c r="E1844" s="243">
        <v>6.54E13</v>
      </c>
      <c r="F1844" s="245"/>
      <c r="G1844" s="235" t="s">
        <v>14454</v>
      </c>
      <c r="H1844" s="235" t="s">
        <v>14455</v>
      </c>
      <c r="I1844" s="235" t="s">
        <v>14455</v>
      </c>
      <c r="J1844" s="235" t="s">
        <v>14456</v>
      </c>
      <c r="K1844" s="235" t="s">
        <v>14457</v>
      </c>
      <c r="N1844" s="235" t="s">
        <v>22</v>
      </c>
      <c r="O1844" s="235" t="s">
        <v>729</v>
      </c>
      <c r="P1844" s="238">
        <v>1.0</v>
      </c>
      <c r="Q1844" s="235" t="s">
        <v>627</v>
      </c>
      <c r="R1844" s="238">
        <v>360.95</v>
      </c>
      <c r="S1844" s="238">
        <v>18.05</v>
      </c>
      <c r="T1844" s="238">
        <v>38.1</v>
      </c>
      <c r="U1844" s="238">
        <v>1.9</v>
      </c>
      <c r="V1844" s="238">
        <v>0.0</v>
      </c>
      <c r="W1844" s="238">
        <v>0.0</v>
      </c>
      <c r="X1844" s="235" t="s">
        <v>628</v>
      </c>
      <c r="Z1844" s="244"/>
      <c r="AA1844" s="244"/>
      <c r="AB1844" s="244"/>
      <c r="AC1844" s="235" t="s">
        <v>14458</v>
      </c>
      <c r="AD1844" s="235" t="s">
        <v>3913</v>
      </c>
      <c r="AE1844" s="238">
        <v>797108.0</v>
      </c>
      <c r="AF1844" s="235" t="s">
        <v>631</v>
      </c>
      <c r="AG1844" s="244"/>
      <c r="AH1844" s="244"/>
      <c r="AI1844" s="245"/>
      <c r="AJ1844" s="245"/>
      <c r="AK1844" s="245"/>
      <c r="AL1844" s="245"/>
      <c r="AM1844" s="244"/>
      <c r="AN1844" s="244"/>
      <c r="AO1844" s="238">
        <v>0.0</v>
      </c>
      <c r="AP1844" s="238">
        <v>-38.1</v>
      </c>
      <c r="AQ1844" s="235" t="s">
        <v>1328</v>
      </c>
      <c r="AR1844" s="243">
        <v>1.34E13</v>
      </c>
      <c r="AS1844" s="235" t="s">
        <v>667</v>
      </c>
      <c r="AT1844" s="235" t="s">
        <v>156</v>
      </c>
      <c r="AU1844" s="235" t="s">
        <v>634</v>
      </c>
      <c r="AV1844" s="246" t="s">
        <v>635</v>
      </c>
      <c r="AW1844" s="242"/>
      <c r="AX1844" s="242"/>
      <c r="AY1844" s="231"/>
      <c r="AZ1844" s="231"/>
      <c r="BA1844" s="227"/>
      <c r="BB1844" s="231"/>
      <c r="BC1844" s="227"/>
      <c r="BD1844" s="227"/>
      <c r="BE1844" s="227"/>
      <c r="BF1844" s="227"/>
    </row>
    <row r="1845">
      <c r="A1845" s="235" t="s">
        <v>14459</v>
      </c>
      <c r="C1845" s="235" t="s">
        <v>14460</v>
      </c>
      <c r="D1845" s="235" t="s">
        <v>14461</v>
      </c>
      <c r="E1845" s="243">
        <v>6.54E13</v>
      </c>
      <c r="F1845" s="245"/>
      <c r="G1845" s="235" t="s">
        <v>14462</v>
      </c>
      <c r="H1845" s="235" t="s">
        <v>14463</v>
      </c>
      <c r="I1845" s="235" t="s">
        <v>14463</v>
      </c>
      <c r="J1845" s="235" t="s">
        <v>14464</v>
      </c>
      <c r="K1845" s="235" t="s">
        <v>14465</v>
      </c>
      <c r="N1845" s="235" t="s">
        <v>154</v>
      </c>
      <c r="O1845" s="235" t="s">
        <v>766</v>
      </c>
      <c r="P1845" s="238">
        <v>1.0</v>
      </c>
      <c r="Q1845" s="235" t="s">
        <v>627</v>
      </c>
      <c r="R1845" s="238">
        <v>465.71</v>
      </c>
      <c r="S1845" s="238">
        <v>22.82</v>
      </c>
      <c r="T1845" s="238">
        <v>0.0</v>
      </c>
      <c r="U1845" s="238">
        <v>0.0</v>
      </c>
      <c r="V1845" s="238">
        <v>0.0</v>
      </c>
      <c r="W1845" s="238">
        <v>0.0</v>
      </c>
      <c r="X1845" s="235" t="s">
        <v>628</v>
      </c>
      <c r="Z1845" s="244"/>
      <c r="AA1845" s="244"/>
      <c r="AB1845" s="244"/>
      <c r="AC1845" s="235" t="s">
        <v>6414</v>
      </c>
      <c r="AD1845" s="235" t="s">
        <v>645</v>
      </c>
      <c r="AE1845" s="238">
        <v>678682.0</v>
      </c>
      <c r="AF1845" s="235" t="s">
        <v>631</v>
      </c>
      <c r="AG1845" s="244"/>
      <c r="AH1845" s="244"/>
      <c r="AI1845" s="245"/>
      <c r="AJ1845" s="245"/>
      <c r="AK1845" s="245"/>
      <c r="AL1845" s="245"/>
      <c r="AM1845" s="244"/>
      <c r="AN1845" s="244"/>
      <c r="AO1845" s="238">
        <v>-9.31</v>
      </c>
      <c r="AP1845" s="238">
        <v>0.0</v>
      </c>
      <c r="AQ1845" s="235" t="s">
        <v>632</v>
      </c>
      <c r="AR1845" s="243">
        <v>3.71E11</v>
      </c>
      <c r="AS1845" s="235" t="s">
        <v>13822</v>
      </c>
      <c r="AT1845" s="235" t="s">
        <v>155</v>
      </c>
      <c r="AU1845" s="235" t="s">
        <v>634</v>
      </c>
      <c r="AV1845" s="246" t="s">
        <v>635</v>
      </c>
      <c r="AW1845" s="242"/>
      <c r="AX1845" s="242"/>
      <c r="AY1845" s="231"/>
      <c r="AZ1845" s="231"/>
      <c r="BA1845" s="227"/>
      <c r="BB1845" s="231"/>
      <c r="BC1845" s="227"/>
      <c r="BD1845" s="227"/>
      <c r="BE1845" s="227"/>
      <c r="BF1845" s="227"/>
    </row>
    <row r="1846">
      <c r="A1846" s="235" t="s">
        <v>14466</v>
      </c>
      <c r="C1846" s="235" t="s">
        <v>14467</v>
      </c>
      <c r="D1846" s="235" t="s">
        <v>14468</v>
      </c>
      <c r="E1846" s="243">
        <v>6.54E13</v>
      </c>
      <c r="F1846" s="245"/>
      <c r="G1846" s="235" t="s">
        <v>14469</v>
      </c>
      <c r="H1846" s="235" t="s">
        <v>14470</v>
      </c>
      <c r="I1846" s="235" t="s">
        <v>14470</v>
      </c>
      <c r="J1846" s="235" t="s">
        <v>14471</v>
      </c>
      <c r="K1846" s="235" t="s">
        <v>14472</v>
      </c>
      <c r="N1846" s="235" t="s">
        <v>152</v>
      </c>
      <c r="O1846" s="235" t="s">
        <v>3192</v>
      </c>
      <c r="P1846" s="238">
        <v>1.0</v>
      </c>
      <c r="Q1846" s="235" t="s">
        <v>627</v>
      </c>
      <c r="R1846" s="238">
        <v>422.88</v>
      </c>
      <c r="S1846" s="238">
        <v>76.12</v>
      </c>
      <c r="T1846" s="238">
        <v>0.0</v>
      </c>
      <c r="U1846" s="238">
        <v>0.0</v>
      </c>
      <c r="V1846" s="238">
        <v>0.0</v>
      </c>
      <c r="W1846" s="238">
        <v>0.0</v>
      </c>
      <c r="X1846" s="235" t="s">
        <v>628</v>
      </c>
      <c r="Z1846" s="244"/>
      <c r="AA1846" s="244"/>
      <c r="AB1846" s="244"/>
      <c r="AC1846" s="235" t="s">
        <v>1604</v>
      </c>
      <c r="AD1846" s="235" t="s">
        <v>845</v>
      </c>
      <c r="AE1846" s="238">
        <v>400027.0</v>
      </c>
      <c r="AF1846" s="235" t="s">
        <v>631</v>
      </c>
      <c r="AG1846" s="244"/>
      <c r="AH1846" s="244"/>
      <c r="AI1846" s="245"/>
      <c r="AJ1846" s="245"/>
      <c r="AK1846" s="245"/>
      <c r="AL1846" s="245"/>
      <c r="AM1846" s="244"/>
      <c r="AN1846" s="244"/>
      <c r="AO1846" s="238">
        <v>0.0</v>
      </c>
      <c r="AP1846" s="238">
        <v>0.0</v>
      </c>
      <c r="AQ1846" s="235" t="s">
        <v>632</v>
      </c>
      <c r="AR1846" s="243">
        <v>3.71E11</v>
      </c>
      <c r="AS1846" s="235" t="s">
        <v>13822</v>
      </c>
      <c r="AT1846" s="235" t="s">
        <v>16</v>
      </c>
      <c r="AU1846" s="235" t="s">
        <v>634</v>
      </c>
      <c r="AV1846" s="246" t="s">
        <v>635</v>
      </c>
      <c r="AW1846" s="242"/>
      <c r="AX1846" s="242"/>
      <c r="AY1846" s="231"/>
      <c r="AZ1846" s="231"/>
      <c r="BA1846" s="227"/>
      <c r="BB1846" s="231"/>
      <c r="BC1846" s="227"/>
      <c r="BD1846" s="227"/>
      <c r="BE1846" s="227"/>
      <c r="BF1846" s="227"/>
    </row>
    <row r="1847">
      <c r="A1847" s="235" t="s">
        <v>14473</v>
      </c>
      <c r="C1847" s="235" t="s">
        <v>14474</v>
      </c>
      <c r="D1847" s="235" t="s">
        <v>14475</v>
      </c>
      <c r="E1847" s="243">
        <v>6.54E13</v>
      </c>
      <c r="F1847" s="245"/>
      <c r="G1847" s="235" t="s">
        <v>14476</v>
      </c>
      <c r="H1847" s="235" t="s">
        <v>14477</v>
      </c>
      <c r="I1847" s="235" t="s">
        <v>14477</v>
      </c>
      <c r="J1847" s="235" t="s">
        <v>14478</v>
      </c>
      <c r="K1847" s="235" t="s">
        <v>14479</v>
      </c>
      <c r="N1847" s="235" t="s">
        <v>144</v>
      </c>
      <c r="O1847" s="235" t="s">
        <v>232</v>
      </c>
      <c r="P1847" s="238">
        <v>1.0</v>
      </c>
      <c r="Q1847" s="235" t="s">
        <v>627</v>
      </c>
      <c r="R1847" s="238">
        <v>665.72</v>
      </c>
      <c r="S1847" s="238">
        <v>32.62</v>
      </c>
      <c r="T1847" s="238">
        <v>6.03</v>
      </c>
      <c r="U1847" s="238">
        <v>0.3</v>
      </c>
      <c r="V1847" s="238">
        <v>0.0</v>
      </c>
      <c r="W1847" s="238">
        <v>0.0</v>
      </c>
      <c r="X1847" s="235" t="s">
        <v>628</v>
      </c>
      <c r="Z1847" s="244"/>
      <c r="AA1847" s="244"/>
      <c r="AB1847" s="244"/>
      <c r="AC1847" s="235" t="s">
        <v>1887</v>
      </c>
      <c r="AD1847" s="235" t="s">
        <v>679</v>
      </c>
      <c r="AE1847" s="238">
        <v>560038.0</v>
      </c>
      <c r="AF1847" s="235" t="s">
        <v>631</v>
      </c>
      <c r="AG1847" s="244"/>
      <c r="AH1847" s="244"/>
      <c r="AI1847" s="245"/>
      <c r="AJ1847" s="245"/>
      <c r="AK1847" s="245"/>
      <c r="AL1847" s="245"/>
      <c r="AM1847" s="244"/>
      <c r="AN1847" s="244"/>
      <c r="AO1847" s="238">
        <v>-13.32</v>
      </c>
      <c r="AP1847" s="238">
        <v>-6.03</v>
      </c>
      <c r="AQ1847" s="235" t="s">
        <v>632</v>
      </c>
      <c r="AR1847" s="243">
        <v>1.68E11</v>
      </c>
      <c r="AS1847" s="235" t="s">
        <v>14390</v>
      </c>
      <c r="AT1847" s="235" t="s">
        <v>11</v>
      </c>
      <c r="AU1847" s="235" t="s">
        <v>634</v>
      </c>
      <c r="AV1847" s="246" t="s">
        <v>635</v>
      </c>
      <c r="AW1847" s="242"/>
      <c r="AX1847" s="242"/>
      <c r="AY1847" s="231"/>
      <c r="AZ1847" s="231"/>
      <c r="BA1847" s="227"/>
      <c r="BB1847" s="231"/>
      <c r="BC1847" s="227"/>
      <c r="BD1847" s="227"/>
      <c r="BE1847" s="227"/>
      <c r="BF1847" s="227"/>
    </row>
    <row r="1848">
      <c r="A1848" s="235" t="s">
        <v>14480</v>
      </c>
      <c r="C1848" s="235" t="s">
        <v>14481</v>
      </c>
      <c r="D1848" s="235" t="s">
        <v>14482</v>
      </c>
      <c r="E1848" s="243">
        <v>6.54E13</v>
      </c>
      <c r="F1848" s="245"/>
      <c r="G1848" s="235" t="s">
        <v>14483</v>
      </c>
      <c r="H1848" s="235" t="s">
        <v>14484</v>
      </c>
      <c r="I1848" s="235" t="s">
        <v>14484</v>
      </c>
      <c r="J1848" s="235" t="s">
        <v>14485</v>
      </c>
      <c r="K1848" s="235" t="s">
        <v>14486</v>
      </c>
      <c r="N1848" s="235" t="s">
        <v>144</v>
      </c>
      <c r="O1848" s="235" t="s">
        <v>232</v>
      </c>
      <c r="P1848" s="238">
        <v>1.0</v>
      </c>
      <c r="Q1848" s="235" t="s">
        <v>627</v>
      </c>
      <c r="R1848" s="238">
        <v>656.19</v>
      </c>
      <c r="S1848" s="238">
        <v>32.15</v>
      </c>
      <c r="T1848" s="238">
        <v>18.1</v>
      </c>
      <c r="U1848" s="238">
        <v>0.9</v>
      </c>
      <c r="V1848" s="238">
        <v>0.0</v>
      </c>
      <c r="W1848" s="238">
        <v>0.0</v>
      </c>
      <c r="X1848" s="235" t="s">
        <v>628</v>
      </c>
      <c r="Z1848" s="244"/>
      <c r="AA1848" s="244"/>
      <c r="AB1848" s="244"/>
      <c r="AC1848" s="235" t="s">
        <v>844</v>
      </c>
      <c r="AD1848" s="235" t="s">
        <v>845</v>
      </c>
      <c r="AE1848" s="238">
        <v>411028.0</v>
      </c>
      <c r="AF1848" s="235" t="s">
        <v>631</v>
      </c>
      <c r="AG1848" s="244"/>
      <c r="AH1848" s="244"/>
      <c r="AI1848" s="245"/>
      <c r="AJ1848" s="245"/>
      <c r="AK1848" s="245"/>
      <c r="AL1848" s="245"/>
      <c r="AM1848" s="244"/>
      <c r="AN1848" s="244"/>
      <c r="AO1848" s="238">
        <v>-13.12</v>
      </c>
      <c r="AP1848" s="238">
        <v>-18.1</v>
      </c>
      <c r="AQ1848" s="235" t="s">
        <v>632</v>
      </c>
      <c r="AR1848" s="243">
        <v>1.68E11</v>
      </c>
      <c r="AS1848" s="235" t="s">
        <v>14390</v>
      </c>
      <c r="AT1848" s="235" t="s">
        <v>546</v>
      </c>
      <c r="AU1848" s="235" t="s">
        <v>634</v>
      </c>
      <c r="AV1848" s="246" t="s">
        <v>635</v>
      </c>
      <c r="AW1848" s="242"/>
      <c r="AX1848" s="242"/>
      <c r="AY1848" s="231"/>
      <c r="AZ1848" s="231"/>
      <c r="BA1848" s="227"/>
      <c r="BB1848" s="231"/>
      <c r="BC1848" s="227"/>
      <c r="BD1848" s="227"/>
      <c r="BE1848" s="227"/>
      <c r="BF1848" s="227"/>
    </row>
    <row r="1849">
      <c r="A1849" s="235" t="s">
        <v>14487</v>
      </c>
      <c r="C1849" s="235" t="s">
        <v>14488</v>
      </c>
      <c r="D1849" s="235" t="s">
        <v>14489</v>
      </c>
      <c r="E1849" s="243">
        <v>6.54E13</v>
      </c>
      <c r="F1849" s="245"/>
      <c r="G1849" s="235" t="s">
        <v>14490</v>
      </c>
      <c r="H1849" s="235" t="s">
        <v>14491</v>
      </c>
      <c r="I1849" s="235" t="s">
        <v>14491</v>
      </c>
      <c r="J1849" s="235" t="s">
        <v>14492</v>
      </c>
      <c r="K1849" s="235" t="s">
        <v>14493</v>
      </c>
      <c r="N1849" s="235" t="s">
        <v>127</v>
      </c>
      <c r="O1849" s="235" t="s">
        <v>794</v>
      </c>
      <c r="P1849" s="238">
        <v>1.0</v>
      </c>
      <c r="Q1849" s="235" t="s">
        <v>627</v>
      </c>
      <c r="R1849" s="238">
        <v>246.66</v>
      </c>
      <c r="S1849" s="238">
        <v>12.34</v>
      </c>
      <c r="T1849" s="238">
        <v>18.1</v>
      </c>
      <c r="U1849" s="238">
        <v>0.9</v>
      </c>
      <c r="V1849" s="238">
        <v>0.0</v>
      </c>
      <c r="W1849" s="238">
        <v>0.0</v>
      </c>
      <c r="X1849" s="235" t="s">
        <v>628</v>
      </c>
      <c r="Z1849" s="244"/>
      <c r="AA1849" s="244"/>
      <c r="AB1849" s="244"/>
      <c r="AC1849" s="235" t="s">
        <v>1887</v>
      </c>
      <c r="AD1849" s="235" t="s">
        <v>679</v>
      </c>
      <c r="AE1849" s="238">
        <v>560059.0</v>
      </c>
      <c r="AF1849" s="235" t="s">
        <v>631</v>
      </c>
      <c r="AG1849" s="244"/>
      <c r="AH1849" s="244"/>
      <c r="AI1849" s="245"/>
      <c r="AJ1849" s="245"/>
      <c r="AK1849" s="245"/>
      <c r="AL1849" s="245"/>
      <c r="AM1849" s="244"/>
      <c r="AN1849" s="244"/>
      <c r="AO1849" s="238">
        <v>0.0</v>
      </c>
      <c r="AP1849" s="238">
        <v>-18.1</v>
      </c>
      <c r="AQ1849" s="235" t="s">
        <v>632</v>
      </c>
      <c r="AR1849" s="243">
        <v>1.68E11</v>
      </c>
      <c r="AS1849" s="235" t="s">
        <v>14390</v>
      </c>
      <c r="AT1849" s="235" t="s">
        <v>11</v>
      </c>
      <c r="AU1849" s="235" t="s">
        <v>634</v>
      </c>
      <c r="AV1849" s="246" t="s">
        <v>635</v>
      </c>
      <c r="AW1849" s="242"/>
      <c r="AX1849" s="242"/>
      <c r="AY1849" s="231"/>
      <c r="AZ1849" s="231"/>
      <c r="BA1849" s="227"/>
      <c r="BB1849" s="231"/>
      <c r="BC1849" s="227"/>
      <c r="BD1849" s="227"/>
      <c r="BE1849" s="227"/>
      <c r="BF1849" s="227"/>
    </row>
    <row r="1850">
      <c r="A1850" s="235" t="s">
        <v>14494</v>
      </c>
      <c r="C1850" s="235" t="s">
        <v>14495</v>
      </c>
      <c r="D1850" s="235" t="s">
        <v>14496</v>
      </c>
      <c r="E1850" s="243">
        <v>6.54E13</v>
      </c>
      <c r="F1850" s="245"/>
      <c r="G1850" s="235" t="s">
        <v>14497</v>
      </c>
      <c r="H1850" s="235" t="s">
        <v>14498</v>
      </c>
      <c r="I1850" s="235" t="s">
        <v>14498</v>
      </c>
      <c r="J1850" s="235" t="s">
        <v>14499</v>
      </c>
      <c r="K1850" s="235" t="s">
        <v>14500</v>
      </c>
      <c r="N1850" s="235" t="s">
        <v>3</v>
      </c>
      <c r="O1850" s="235" t="s">
        <v>654</v>
      </c>
      <c r="P1850" s="238">
        <v>1.0</v>
      </c>
      <c r="Q1850" s="235" t="s">
        <v>627</v>
      </c>
      <c r="R1850" s="238">
        <v>265.72</v>
      </c>
      <c r="S1850" s="238">
        <v>13.28</v>
      </c>
      <c r="T1850" s="238">
        <v>0.0</v>
      </c>
      <c r="U1850" s="238">
        <v>0.0</v>
      </c>
      <c r="V1850" s="238">
        <v>0.0</v>
      </c>
      <c r="W1850" s="238">
        <v>0.0</v>
      </c>
      <c r="X1850" s="235" t="s">
        <v>628</v>
      </c>
      <c r="Z1850" s="244"/>
      <c r="AA1850" s="244"/>
      <c r="AB1850" s="244"/>
      <c r="AC1850" s="235" t="s">
        <v>1910</v>
      </c>
      <c r="AD1850" s="235" t="s">
        <v>928</v>
      </c>
      <c r="AE1850" s="238">
        <v>122009.0</v>
      </c>
      <c r="AF1850" s="235" t="s">
        <v>631</v>
      </c>
      <c r="AG1850" s="244"/>
      <c r="AH1850" s="244"/>
      <c r="AI1850" s="245"/>
      <c r="AJ1850" s="245"/>
      <c r="AK1850" s="245"/>
      <c r="AL1850" s="245"/>
      <c r="AM1850" s="244"/>
      <c r="AN1850" s="244"/>
      <c r="AO1850" s="238">
        <v>0.0</v>
      </c>
      <c r="AP1850" s="238">
        <v>0.0</v>
      </c>
      <c r="AQ1850" s="235" t="s">
        <v>632</v>
      </c>
      <c r="AR1850" s="243">
        <v>1.68E11</v>
      </c>
      <c r="AS1850" s="235" t="s">
        <v>14390</v>
      </c>
      <c r="AT1850" s="235" t="s">
        <v>14</v>
      </c>
      <c r="AU1850" s="235" t="s">
        <v>634</v>
      </c>
      <c r="AV1850" s="246" t="s">
        <v>635</v>
      </c>
      <c r="AW1850" s="242"/>
      <c r="AX1850" s="242"/>
      <c r="AY1850" s="231"/>
      <c r="AZ1850" s="231"/>
      <c r="BA1850" s="227"/>
      <c r="BB1850" s="231"/>
      <c r="BC1850" s="227"/>
      <c r="BD1850" s="227"/>
      <c r="BE1850" s="227"/>
      <c r="BF1850" s="227"/>
    </row>
    <row r="1851">
      <c r="A1851" s="235" t="s">
        <v>14501</v>
      </c>
      <c r="C1851" s="235" t="s">
        <v>14502</v>
      </c>
      <c r="D1851" s="235" t="s">
        <v>14503</v>
      </c>
      <c r="E1851" s="243">
        <v>6.54E13</v>
      </c>
      <c r="F1851" s="245"/>
      <c r="G1851" s="235" t="s">
        <v>14504</v>
      </c>
      <c r="H1851" s="235" t="s">
        <v>14505</v>
      </c>
      <c r="I1851" s="235" t="s">
        <v>14505</v>
      </c>
      <c r="J1851" s="235" t="s">
        <v>14506</v>
      </c>
      <c r="K1851" s="235" t="s">
        <v>14507</v>
      </c>
      <c r="N1851" s="235" t="s">
        <v>61</v>
      </c>
      <c r="O1851" s="235" t="s">
        <v>382</v>
      </c>
      <c r="P1851" s="238">
        <v>2.0</v>
      </c>
      <c r="Q1851" s="235" t="s">
        <v>627</v>
      </c>
      <c r="R1851" s="238">
        <v>721.92</v>
      </c>
      <c r="S1851" s="238">
        <v>35.0</v>
      </c>
      <c r="T1851" s="238">
        <v>18.08</v>
      </c>
      <c r="U1851" s="238">
        <v>0.92</v>
      </c>
      <c r="V1851" s="238">
        <v>0.0</v>
      </c>
      <c r="W1851" s="238">
        <v>0.0</v>
      </c>
      <c r="X1851" s="235" t="s">
        <v>628</v>
      </c>
      <c r="Z1851" s="244"/>
      <c r="AA1851" s="244"/>
      <c r="AB1851" s="244"/>
      <c r="AC1851" s="235" t="s">
        <v>678</v>
      </c>
      <c r="AD1851" s="235" t="s">
        <v>679</v>
      </c>
      <c r="AE1851" s="238">
        <v>560054.0</v>
      </c>
      <c r="AF1851" s="235" t="s">
        <v>631</v>
      </c>
      <c r="AG1851" s="244"/>
      <c r="AH1851" s="244"/>
      <c r="AI1851" s="245"/>
      <c r="AJ1851" s="245"/>
      <c r="AK1851" s="245"/>
      <c r="AL1851" s="245"/>
      <c r="AM1851" s="244"/>
      <c r="AN1851" s="244"/>
      <c r="AO1851" s="238">
        <v>-21.66</v>
      </c>
      <c r="AP1851" s="238">
        <v>-18.08</v>
      </c>
      <c r="AQ1851" s="235" t="s">
        <v>632</v>
      </c>
      <c r="AR1851" s="243">
        <v>1.68E11</v>
      </c>
      <c r="AS1851" s="235" t="s">
        <v>14390</v>
      </c>
      <c r="AT1851" s="235" t="s">
        <v>9</v>
      </c>
      <c r="AU1851" s="235" t="s">
        <v>634</v>
      </c>
      <c r="AV1851" s="246" t="s">
        <v>635</v>
      </c>
      <c r="AW1851" s="242"/>
      <c r="AX1851" s="242"/>
      <c r="AY1851" s="231"/>
      <c r="AZ1851" s="231"/>
      <c r="BA1851" s="227"/>
      <c r="BB1851" s="231"/>
      <c r="BC1851" s="227"/>
      <c r="BD1851" s="227"/>
      <c r="BE1851" s="227"/>
      <c r="BF1851" s="227"/>
    </row>
    <row r="1852">
      <c r="A1852" s="235" t="s">
        <v>14508</v>
      </c>
      <c r="C1852" s="235" t="s">
        <v>14509</v>
      </c>
      <c r="D1852" s="235" t="s">
        <v>14510</v>
      </c>
      <c r="E1852" s="243">
        <v>6.54E13</v>
      </c>
      <c r="F1852" s="245"/>
      <c r="G1852" s="235" t="s">
        <v>14511</v>
      </c>
      <c r="H1852" s="235" t="s">
        <v>14512</v>
      </c>
      <c r="I1852" s="235" t="s">
        <v>14512</v>
      </c>
      <c r="J1852" s="235" t="s">
        <v>14513</v>
      </c>
      <c r="K1852" s="235" t="s">
        <v>14514</v>
      </c>
      <c r="N1852" s="235" t="s">
        <v>136</v>
      </c>
      <c r="O1852" s="235" t="s">
        <v>256</v>
      </c>
      <c r="P1852" s="238">
        <v>1.0</v>
      </c>
      <c r="Q1852" s="235" t="s">
        <v>627</v>
      </c>
      <c r="R1852" s="238">
        <v>246.66</v>
      </c>
      <c r="S1852" s="238">
        <v>12.1</v>
      </c>
      <c r="T1852" s="238">
        <v>0.0</v>
      </c>
      <c r="U1852" s="238">
        <v>0.0</v>
      </c>
      <c r="V1852" s="238">
        <v>0.0</v>
      </c>
      <c r="W1852" s="238">
        <v>0.0</v>
      </c>
      <c r="X1852" s="235" t="s">
        <v>628</v>
      </c>
      <c r="Z1852" s="244"/>
      <c r="AA1852" s="244"/>
      <c r="AB1852" s="244"/>
      <c r="AC1852" s="235" t="s">
        <v>1058</v>
      </c>
      <c r="AD1852" s="235" t="s">
        <v>845</v>
      </c>
      <c r="AE1852" s="238">
        <v>400101.0</v>
      </c>
      <c r="AF1852" s="235" t="s">
        <v>631</v>
      </c>
      <c r="AG1852" s="244"/>
      <c r="AH1852" s="244"/>
      <c r="AI1852" s="245"/>
      <c r="AJ1852" s="245"/>
      <c r="AK1852" s="245"/>
      <c r="AL1852" s="245"/>
      <c r="AM1852" s="244"/>
      <c r="AN1852" s="244"/>
      <c r="AO1852" s="238">
        <v>-4.94</v>
      </c>
      <c r="AP1852" s="238">
        <v>0.0</v>
      </c>
      <c r="AQ1852" s="235" t="s">
        <v>632</v>
      </c>
      <c r="AR1852" s="243">
        <v>3.71E11</v>
      </c>
      <c r="AS1852" s="235" t="s">
        <v>12693</v>
      </c>
      <c r="AT1852" s="235" t="s">
        <v>17</v>
      </c>
      <c r="AU1852" s="235" t="s">
        <v>634</v>
      </c>
      <c r="AV1852" s="246" t="s">
        <v>635</v>
      </c>
      <c r="AW1852" s="242"/>
      <c r="AX1852" s="242"/>
      <c r="AY1852" s="231"/>
      <c r="AZ1852" s="231"/>
      <c r="BA1852" s="227"/>
      <c r="BB1852" s="231"/>
      <c r="BC1852" s="227"/>
      <c r="BD1852" s="227"/>
      <c r="BE1852" s="227"/>
      <c r="BF1852" s="227"/>
    </row>
    <row r="1853">
      <c r="A1853" s="235" t="s">
        <v>14515</v>
      </c>
      <c r="C1853" s="235" t="s">
        <v>14516</v>
      </c>
      <c r="D1853" s="235" t="s">
        <v>14517</v>
      </c>
      <c r="E1853" s="243">
        <v>6.54E13</v>
      </c>
      <c r="F1853" s="245"/>
      <c r="G1853" s="235" t="s">
        <v>14518</v>
      </c>
      <c r="H1853" s="235" t="s">
        <v>14519</v>
      </c>
      <c r="I1853" s="235" t="s">
        <v>14519</v>
      </c>
      <c r="J1853" s="235" t="s">
        <v>14520</v>
      </c>
      <c r="K1853" s="235" t="s">
        <v>14521</v>
      </c>
      <c r="N1853" s="235" t="s">
        <v>154</v>
      </c>
      <c r="O1853" s="235" t="s">
        <v>766</v>
      </c>
      <c r="P1853" s="238">
        <v>1.0</v>
      </c>
      <c r="Q1853" s="235" t="s">
        <v>627</v>
      </c>
      <c r="R1853" s="238">
        <v>465.72</v>
      </c>
      <c r="S1853" s="238">
        <v>23.28</v>
      </c>
      <c r="T1853" s="238">
        <v>0.0</v>
      </c>
      <c r="U1853" s="238">
        <v>0.0</v>
      </c>
      <c r="V1853" s="238">
        <v>0.0</v>
      </c>
      <c r="W1853" s="238">
        <v>0.0</v>
      </c>
      <c r="X1853" s="235" t="s">
        <v>628</v>
      </c>
      <c r="Z1853" s="244"/>
      <c r="AA1853" s="244"/>
      <c r="AB1853" s="244"/>
      <c r="AC1853" s="235" t="s">
        <v>1998</v>
      </c>
      <c r="AD1853" s="235" t="s">
        <v>928</v>
      </c>
      <c r="AE1853" s="238">
        <v>121004.0</v>
      </c>
      <c r="AF1853" s="235" t="s">
        <v>631</v>
      </c>
      <c r="AG1853" s="244"/>
      <c r="AH1853" s="244"/>
      <c r="AI1853" s="245"/>
      <c r="AJ1853" s="245"/>
      <c r="AK1853" s="245"/>
      <c r="AL1853" s="245"/>
      <c r="AM1853" s="244"/>
      <c r="AN1853" s="244"/>
      <c r="AO1853" s="238">
        <v>0.0</v>
      </c>
      <c r="AP1853" s="238">
        <v>0.0</v>
      </c>
      <c r="AQ1853" s="235" t="s">
        <v>632</v>
      </c>
      <c r="AR1853" s="243">
        <v>3.71E11</v>
      </c>
      <c r="AS1853" s="235" t="s">
        <v>13822</v>
      </c>
      <c r="AT1853" s="235" t="s">
        <v>533</v>
      </c>
      <c r="AU1853" s="235" t="s">
        <v>634</v>
      </c>
      <c r="AV1853" s="246" t="s">
        <v>635</v>
      </c>
      <c r="AW1853" s="242"/>
      <c r="AX1853" s="242"/>
      <c r="AY1853" s="231"/>
      <c r="AZ1853" s="231"/>
      <c r="BA1853" s="227"/>
      <c r="BB1853" s="231"/>
      <c r="BC1853" s="227"/>
      <c r="BD1853" s="227"/>
      <c r="BE1853" s="227"/>
      <c r="BF1853" s="227"/>
    </row>
    <row r="1854">
      <c r="A1854" s="235" t="s">
        <v>14522</v>
      </c>
      <c r="C1854" s="235" t="s">
        <v>14523</v>
      </c>
      <c r="D1854" s="235" t="s">
        <v>14524</v>
      </c>
      <c r="E1854" s="243">
        <v>6.54E13</v>
      </c>
      <c r="F1854" s="245"/>
      <c r="G1854" s="235" t="s">
        <v>14525</v>
      </c>
      <c r="H1854" s="235" t="s">
        <v>14526</v>
      </c>
      <c r="I1854" s="235" t="s">
        <v>14526</v>
      </c>
      <c r="J1854" s="235" t="s">
        <v>14527</v>
      </c>
      <c r="K1854" s="235" t="s">
        <v>14528</v>
      </c>
      <c r="N1854" s="235" t="s">
        <v>139</v>
      </c>
      <c r="O1854" s="235" t="s">
        <v>2091</v>
      </c>
      <c r="P1854" s="238">
        <v>1.0</v>
      </c>
      <c r="Q1854" s="235" t="s">
        <v>627</v>
      </c>
      <c r="R1854" s="238">
        <v>246.66</v>
      </c>
      <c r="S1854" s="238">
        <v>12.34</v>
      </c>
      <c r="T1854" s="238">
        <v>38.1</v>
      </c>
      <c r="U1854" s="238">
        <v>1.9</v>
      </c>
      <c r="V1854" s="238">
        <v>0.0</v>
      </c>
      <c r="W1854" s="238">
        <v>0.0</v>
      </c>
      <c r="X1854" s="235" t="s">
        <v>628</v>
      </c>
      <c r="Z1854" s="244"/>
      <c r="AA1854" s="244"/>
      <c r="AB1854" s="244"/>
      <c r="AC1854" s="235" t="s">
        <v>14529</v>
      </c>
      <c r="AD1854" s="235" t="s">
        <v>845</v>
      </c>
      <c r="AE1854" s="238">
        <v>442401.0</v>
      </c>
      <c r="AF1854" s="235" t="s">
        <v>631</v>
      </c>
      <c r="AG1854" s="244"/>
      <c r="AH1854" s="244"/>
      <c r="AI1854" s="245"/>
      <c r="AJ1854" s="245"/>
      <c r="AK1854" s="245"/>
      <c r="AL1854" s="245"/>
      <c r="AM1854" s="244"/>
      <c r="AN1854" s="244"/>
      <c r="AO1854" s="238">
        <v>0.0</v>
      </c>
      <c r="AP1854" s="238">
        <v>-38.1</v>
      </c>
      <c r="AQ1854" s="235" t="s">
        <v>632</v>
      </c>
      <c r="AR1854" s="243">
        <v>3.71E11</v>
      </c>
      <c r="AS1854" s="235" t="s">
        <v>11171</v>
      </c>
      <c r="AT1854" s="235" t="s">
        <v>17</v>
      </c>
      <c r="AU1854" s="235" t="s">
        <v>634</v>
      </c>
      <c r="AV1854" s="246" t="s">
        <v>635</v>
      </c>
      <c r="AW1854" s="242"/>
      <c r="AX1854" s="242"/>
      <c r="AY1854" s="231"/>
      <c r="AZ1854" s="231"/>
      <c r="BA1854" s="227"/>
      <c r="BB1854" s="231"/>
      <c r="BC1854" s="227"/>
      <c r="BD1854" s="227"/>
      <c r="BE1854" s="227"/>
      <c r="BF1854" s="227"/>
    </row>
    <row r="1855">
      <c r="A1855" s="235" t="s">
        <v>14530</v>
      </c>
      <c r="C1855" s="235" t="s">
        <v>14531</v>
      </c>
      <c r="D1855" s="235" t="s">
        <v>14532</v>
      </c>
      <c r="E1855" s="243">
        <v>6.52E13</v>
      </c>
      <c r="F1855" s="245"/>
      <c r="G1855" s="235" t="s">
        <v>14533</v>
      </c>
      <c r="H1855" s="235" t="s">
        <v>14534</v>
      </c>
      <c r="I1855" s="235" t="s">
        <v>14534</v>
      </c>
      <c r="J1855" s="235" t="s">
        <v>14535</v>
      </c>
      <c r="K1855" s="235" t="s">
        <v>14536</v>
      </c>
      <c r="N1855" s="235" t="s">
        <v>141</v>
      </c>
      <c r="O1855" s="235" t="s">
        <v>342</v>
      </c>
      <c r="P1855" s="238">
        <v>1.0</v>
      </c>
      <c r="Q1855" s="235" t="s">
        <v>627</v>
      </c>
      <c r="R1855" s="238">
        <v>246.67</v>
      </c>
      <c r="S1855" s="238">
        <v>12.33</v>
      </c>
      <c r="T1855" s="238">
        <v>0.0</v>
      </c>
      <c r="U1855" s="238">
        <v>0.0</v>
      </c>
      <c r="V1855" s="238">
        <v>0.0</v>
      </c>
      <c r="W1855" s="238">
        <v>0.0</v>
      </c>
      <c r="X1855" s="235" t="s">
        <v>628</v>
      </c>
      <c r="Z1855" s="244"/>
      <c r="AA1855" s="244"/>
      <c r="AB1855" s="244"/>
      <c r="AC1855" s="235" t="s">
        <v>1255</v>
      </c>
      <c r="AD1855" s="235" t="s">
        <v>845</v>
      </c>
      <c r="AE1855" s="238">
        <v>401107.0</v>
      </c>
      <c r="AF1855" s="235" t="s">
        <v>631</v>
      </c>
      <c r="AG1855" s="244"/>
      <c r="AH1855" s="244"/>
      <c r="AI1855" s="245"/>
      <c r="AJ1855" s="245"/>
      <c r="AK1855" s="245"/>
      <c r="AL1855" s="245"/>
      <c r="AM1855" s="244"/>
      <c r="AN1855" s="244"/>
      <c r="AO1855" s="238">
        <v>0.0</v>
      </c>
      <c r="AP1855" s="238">
        <v>0.0</v>
      </c>
      <c r="AQ1855" s="235" t="s">
        <v>632</v>
      </c>
      <c r="AR1855" s="243">
        <v>3.71E11</v>
      </c>
      <c r="AS1855" s="235" t="s">
        <v>10017</v>
      </c>
      <c r="AT1855" s="235" t="s">
        <v>14</v>
      </c>
      <c r="AU1855" s="235" t="s">
        <v>634</v>
      </c>
      <c r="AV1855" s="246" t="s">
        <v>635</v>
      </c>
      <c r="AW1855" s="242"/>
      <c r="AX1855" s="242"/>
      <c r="AY1855" s="231"/>
      <c r="AZ1855" s="231"/>
      <c r="BA1855" s="227"/>
      <c r="BB1855" s="231"/>
      <c r="BC1855" s="227"/>
      <c r="BD1855" s="227"/>
      <c r="BE1855" s="227"/>
      <c r="BF1855" s="227"/>
    </row>
    <row r="1856">
      <c r="A1856" s="235" t="s">
        <v>14537</v>
      </c>
      <c r="C1856" s="235" t="s">
        <v>14538</v>
      </c>
      <c r="D1856" s="235" t="s">
        <v>14539</v>
      </c>
      <c r="E1856" s="243">
        <v>6.54E13</v>
      </c>
      <c r="F1856" s="245"/>
      <c r="G1856" s="235" t="s">
        <v>14540</v>
      </c>
      <c r="H1856" s="235" t="s">
        <v>14541</v>
      </c>
      <c r="I1856" s="235" t="s">
        <v>14541</v>
      </c>
      <c r="J1856" s="235" t="s">
        <v>14542</v>
      </c>
      <c r="K1856" s="235" t="s">
        <v>14543</v>
      </c>
      <c r="N1856" s="235" t="s">
        <v>42</v>
      </c>
      <c r="O1856" s="235" t="s">
        <v>204</v>
      </c>
      <c r="P1856" s="238">
        <v>1.0</v>
      </c>
      <c r="Q1856" s="235" t="s">
        <v>627</v>
      </c>
      <c r="R1856" s="238">
        <v>237.14</v>
      </c>
      <c r="S1856" s="238">
        <v>11.86</v>
      </c>
      <c r="T1856" s="238">
        <v>56.19</v>
      </c>
      <c r="U1856" s="238">
        <v>2.81</v>
      </c>
      <c r="V1856" s="238">
        <v>0.0</v>
      </c>
      <c r="W1856" s="238">
        <v>0.0</v>
      </c>
      <c r="X1856" s="235" t="s">
        <v>628</v>
      </c>
      <c r="Z1856" s="244"/>
      <c r="AA1856" s="244"/>
      <c r="AB1856" s="244"/>
      <c r="AC1856" s="235" t="s">
        <v>14544</v>
      </c>
      <c r="AD1856" s="235" t="s">
        <v>833</v>
      </c>
      <c r="AE1856" s="238">
        <v>522426.0</v>
      </c>
      <c r="AF1856" s="235" t="s">
        <v>631</v>
      </c>
      <c r="AG1856" s="244"/>
      <c r="AH1856" s="244"/>
      <c r="AI1856" s="245"/>
      <c r="AJ1856" s="245"/>
      <c r="AK1856" s="245"/>
      <c r="AL1856" s="245"/>
      <c r="AM1856" s="244"/>
      <c r="AN1856" s="244"/>
      <c r="AO1856" s="238">
        <v>0.0</v>
      </c>
      <c r="AP1856" s="238">
        <v>-56.19</v>
      </c>
      <c r="AQ1856" s="235" t="s">
        <v>632</v>
      </c>
      <c r="AR1856" s="243">
        <v>3.71E11</v>
      </c>
      <c r="AS1856" s="235" t="s">
        <v>11171</v>
      </c>
      <c r="AT1856" s="235" t="s">
        <v>156</v>
      </c>
      <c r="AU1856" s="235" t="s">
        <v>634</v>
      </c>
      <c r="AV1856" s="246" t="s">
        <v>635</v>
      </c>
      <c r="AW1856" s="242"/>
      <c r="AX1856" s="242"/>
      <c r="AY1856" s="231"/>
      <c r="AZ1856" s="231"/>
      <c r="BA1856" s="227"/>
      <c r="BB1856" s="231"/>
      <c r="BC1856" s="227"/>
      <c r="BD1856" s="227"/>
      <c r="BE1856" s="227"/>
      <c r="BF1856" s="227"/>
    </row>
    <row r="1857">
      <c r="A1857" s="235" t="s">
        <v>14545</v>
      </c>
      <c r="C1857" s="235" t="s">
        <v>14546</v>
      </c>
      <c r="D1857" s="235" t="s">
        <v>14547</v>
      </c>
      <c r="E1857" s="243">
        <v>6.54E13</v>
      </c>
      <c r="F1857" s="245"/>
      <c r="G1857" s="235" t="s">
        <v>14548</v>
      </c>
      <c r="H1857" s="235" t="s">
        <v>14549</v>
      </c>
      <c r="I1857" s="235" t="s">
        <v>14549</v>
      </c>
      <c r="J1857" s="235" t="s">
        <v>14550</v>
      </c>
      <c r="K1857" s="235" t="s">
        <v>14551</v>
      </c>
      <c r="N1857" s="235" t="s">
        <v>842</v>
      </c>
      <c r="O1857" s="235" t="s">
        <v>843</v>
      </c>
      <c r="P1857" s="238">
        <v>1.0</v>
      </c>
      <c r="Q1857" s="235" t="s">
        <v>627</v>
      </c>
      <c r="R1857" s="238">
        <v>246.66</v>
      </c>
      <c r="S1857" s="238">
        <v>12.34</v>
      </c>
      <c r="T1857" s="238">
        <v>0.0</v>
      </c>
      <c r="U1857" s="238">
        <v>0.0</v>
      </c>
      <c r="V1857" s="238">
        <v>0.0</v>
      </c>
      <c r="W1857" s="238">
        <v>0.0</v>
      </c>
      <c r="X1857" s="235" t="s">
        <v>628</v>
      </c>
      <c r="Z1857" s="244"/>
      <c r="AA1857" s="244"/>
      <c r="AB1857" s="244"/>
      <c r="AC1857" s="235" t="s">
        <v>2165</v>
      </c>
      <c r="AD1857" s="235" t="s">
        <v>928</v>
      </c>
      <c r="AE1857" s="238">
        <v>121006.0</v>
      </c>
      <c r="AF1857" s="235" t="s">
        <v>631</v>
      </c>
      <c r="AG1857" s="244"/>
      <c r="AH1857" s="244"/>
      <c r="AI1857" s="245"/>
      <c r="AJ1857" s="245"/>
      <c r="AK1857" s="245"/>
      <c r="AL1857" s="245"/>
      <c r="AM1857" s="244"/>
      <c r="AN1857" s="244"/>
      <c r="AO1857" s="238">
        <v>0.0</v>
      </c>
      <c r="AP1857" s="238">
        <v>0.0</v>
      </c>
      <c r="AQ1857" s="235" t="s">
        <v>632</v>
      </c>
      <c r="AR1857" s="243">
        <v>1.68E11</v>
      </c>
      <c r="AS1857" s="235" t="s">
        <v>14390</v>
      </c>
      <c r="AT1857" s="235" t="s">
        <v>13</v>
      </c>
      <c r="AU1857" s="235" t="s">
        <v>634</v>
      </c>
      <c r="AV1857" s="246" t="s">
        <v>635</v>
      </c>
      <c r="AW1857" s="242"/>
      <c r="AX1857" s="242"/>
      <c r="AY1857" s="231"/>
      <c r="AZ1857" s="231"/>
      <c r="BA1857" s="227"/>
      <c r="BB1857" s="231"/>
      <c r="BC1857" s="227"/>
      <c r="BD1857" s="227"/>
      <c r="BE1857" s="227"/>
      <c r="BF1857" s="227"/>
    </row>
    <row r="1858">
      <c r="A1858" s="235" t="s">
        <v>14552</v>
      </c>
      <c r="C1858" s="235" t="s">
        <v>14553</v>
      </c>
      <c r="D1858" s="235" t="s">
        <v>14554</v>
      </c>
      <c r="E1858" s="243">
        <v>6.54E13</v>
      </c>
      <c r="F1858" s="245"/>
      <c r="G1858" s="235" t="s">
        <v>14555</v>
      </c>
      <c r="H1858" s="235" t="s">
        <v>14556</v>
      </c>
      <c r="I1858" s="235" t="s">
        <v>14556</v>
      </c>
      <c r="J1858" s="235" t="s">
        <v>14557</v>
      </c>
      <c r="K1858" s="235" t="s">
        <v>14558</v>
      </c>
      <c r="N1858" s="235" t="s">
        <v>842</v>
      </c>
      <c r="O1858" s="235" t="s">
        <v>843</v>
      </c>
      <c r="P1858" s="238">
        <v>1.0</v>
      </c>
      <c r="Q1858" s="235" t="s">
        <v>627</v>
      </c>
      <c r="R1858" s="238">
        <v>246.67</v>
      </c>
      <c r="S1858" s="238">
        <v>12.08</v>
      </c>
      <c r="T1858" s="238">
        <v>18.1</v>
      </c>
      <c r="U1858" s="238">
        <v>0.9</v>
      </c>
      <c r="V1858" s="238">
        <v>0.0</v>
      </c>
      <c r="W1858" s="238">
        <v>0.0</v>
      </c>
      <c r="X1858" s="235" t="s">
        <v>628</v>
      </c>
      <c r="Z1858" s="244"/>
      <c r="AA1858" s="244"/>
      <c r="AB1858" s="244"/>
      <c r="AC1858" s="235" t="s">
        <v>11319</v>
      </c>
      <c r="AD1858" s="235" t="s">
        <v>796</v>
      </c>
      <c r="AE1858" s="238">
        <v>110085.0</v>
      </c>
      <c r="AF1858" s="235" t="s">
        <v>631</v>
      </c>
      <c r="AG1858" s="244"/>
      <c r="AH1858" s="244"/>
      <c r="AI1858" s="245"/>
      <c r="AJ1858" s="245"/>
      <c r="AK1858" s="245"/>
      <c r="AL1858" s="245"/>
      <c r="AM1858" s="244"/>
      <c r="AN1858" s="244"/>
      <c r="AO1858" s="238">
        <v>-4.93</v>
      </c>
      <c r="AP1858" s="238">
        <v>-18.1</v>
      </c>
      <c r="AQ1858" s="235" t="s">
        <v>632</v>
      </c>
      <c r="AR1858" s="243">
        <v>1.68E11</v>
      </c>
      <c r="AS1858" s="235" t="s">
        <v>14390</v>
      </c>
      <c r="AT1858" s="235" t="s">
        <v>13</v>
      </c>
      <c r="AU1858" s="235" t="s">
        <v>634</v>
      </c>
      <c r="AV1858" s="246" t="s">
        <v>635</v>
      </c>
      <c r="AW1858" s="242"/>
      <c r="AX1858" s="242"/>
      <c r="AY1858" s="231"/>
      <c r="AZ1858" s="231"/>
      <c r="BA1858" s="227"/>
      <c r="BB1858" s="231"/>
      <c r="BC1858" s="227"/>
      <c r="BD1858" s="227"/>
      <c r="BE1858" s="227"/>
      <c r="BF1858" s="227"/>
    </row>
    <row r="1859">
      <c r="A1859" s="235" t="s">
        <v>14559</v>
      </c>
      <c r="C1859" s="235" t="s">
        <v>14560</v>
      </c>
      <c r="D1859" s="235" t="s">
        <v>14561</v>
      </c>
      <c r="E1859" s="243">
        <v>6.54E13</v>
      </c>
      <c r="F1859" s="245"/>
      <c r="G1859" s="235" t="s">
        <v>14562</v>
      </c>
      <c r="H1859" s="235" t="s">
        <v>14563</v>
      </c>
      <c r="I1859" s="235" t="s">
        <v>14563</v>
      </c>
      <c r="J1859" s="235" t="s">
        <v>14564</v>
      </c>
      <c r="K1859" s="235" t="s">
        <v>14565</v>
      </c>
      <c r="N1859" s="235" t="s">
        <v>989</v>
      </c>
      <c r="O1859" s="235" t="s">
        <v>990</v>
      </c>
      <c r="P1859" s="238">
        <v>1.0</v>
      </c>
      <c r="Q1859" s="235" t="s">
        <v>627</v>
      </c>
      <c r="R1859" s="238">
        <v>256.19</v>
      </c>
      <c r="S1859" s="238">
        <v>12.81</v>
      </c>
      <c r="T1859" s="238">
        <v>0.0</v>
      </c>
      <c r="U1859" s="238">
        <v>0.0</v>
      </c>
      <c r="V1859" s="238">
        <v>0.0</v>
      </c>
      <c r="W1859" s="238">
        <v>0.0</v>
      </c>
      <c r="X1859" s="235" t="s">
        <v>628</v>
      </c>
      <c r="Z1859" s="244"/>
      <c r="AA1859" s="244"/>
      <c r="AB1859" s="244"/>
      <c r="AC1859" s="235" t="s">
        <v>795</v>
      </c>
      <c r="AD1859" s="235" t="s">
        <v>796</v>
      </c>
      <c r="AE1859" s="238">
        <v>110003.0</v>
      </c>
      <c r="AF1859" s="235" t="s">
        <v>631</v>
      </c>
      <c r="AG1859" s="244"/>
      <c r="AH1859" s="244"/>
      <c r="AI1859" s="245"/>
      <c r="AJ1859" s="245"/>
      <c r="AK1859" s="245"/>
      <c r="AL1859" s="245"/>
      <c r="AM1859" s="244"/>
      <c r="AN1859" s="244"/>
      <c r="AO1859" s="238">
        <v>0.0</v>
      </c>
      <c r="AP1859" s="238">
        <v>0.0</v>
      </c>
      <c r="AQ1859" s="235" t="s">
        <v>632</v>
      </c>
      <c r="AR1859" s="243">
        <v>3.71E11</v>
      </c>
      <c r="AS1859" s="235" t="s">
        <v>13822</v>
      </c>
      <c r="AT1859" s="235" t="s">
        <v>533</v>
      </c>
      <c r="AU1859" s="235" t="s">
        <v>634</v>
      </c>
      <c r="AV1859" s="246" t="s">
        <v>635</v>
      </c>
      <c r="AW1859" s="242"/>
      <c r="AX1859" s="242"/>
      <c r="AY1859" s="231"/>
      <c r="AZ1859" s="231"/>
      <c r="BA1859" s="227"/>
      <c r="BB1859" s="231"/>
      <c r="BC1859" s="227"/>
      <c r="BD1859" s="227"/>
      <c r="BE1859" s="227"/>
      <c r="BF1859" s="227"/>
    </row>
    <row r="1860">
      <c r="A1860" s="235" t="s">
        <v>14566</v>
      </c>
      <c r="C1860" s="235" t="s">
        <v>14567</v>
      </c>
      <c r="D1860" s="235" t="s">
        <v>14568</v>
      </c>
      <c r="E1860" s="243">
        <v>6.53E13</v>
      </c>
      <c r="F1860" s="245"/>
      <c r="G1860" s="235" t="s">
        <v>14569</v>
      </c>
      <c r="H1860" s="235" t="s">
        <v>14570</v>
      </c>
      <c r="I1860" s="235" t="s">
        <v>14570</v>
      </c>
      <c r="J1860" s="235" t="s">
        <v>14571</v>
      </c>
      <c r="K1860" s="235" t="s">
        <v>14572</v>
      </c>
      <c r="N1860" s="235" t="s">
        <v>989</v>
      </c>
      <c r="O1860" s="235" t="s">
        <v>990</v>
      </c>
      <c r="P1860" s="238">
        <v>1.0</v>
      </c>
      <c r="Q1860" s="235" t="s">
        <v>627</v>
      </c>
      <c r="R1860" s="238">
        <v>256.2</v>
      </c>
      <c r="S1860" s="238">
        <v>12.8</v>
      </c>
      <c r="T1860" s="238">
        <v>38.1</v>
      </c>
      <c r="U1860" s="238">
        <v>1.9</v>
      </c>
      <c r="V1860" s="238">
        <v>0.0</v>
      </c>
      <c r="W1860" s="238">
        <v>0.0</v>
      </c>
      <c r="X1860" s="235" t="s">
        <v>628</v>
      </c>
      <c r="Z1860" s="244"/>
      <c r="AA1860" s="244"/>
      <c r="AB1860" s="244"/>
      <c r="AC1860" s="235" t="s">
        <v>6912</v>
      </c>
      <c r="AD1860" s="235" t="s">
        <v>845</v>
      </c>
      <c r="AE1860" s="238">
        <v>400706.0</v>
      </c>
      <c r="AF1860" s="235" t="s">
        <v>631</v>
      </c>
      <c r="AG1860" s="244"/>
      <c r="AH1860" s="244"/>
      <c r="AI1860" s="245"/>
      <c r="AJ1860" s="245"/>
      <c r="AK1860" s="245"/>
      <c r="AL1860" s="245"/>
      <c r="AM1860" s="244"/>
      <c r="AN1860" s="244"/>
      <c r="AO1860" s="238">
        <v>0.0</v>
      </c>
      <c r="AP1860" s="238">
        <v>-38.1</v>
      </c>
      <c r="AQ1860" s="235" t="s">
        <v>632</v>
      </c>
      <c r="AR1860" s="243">
        <v>3.71E11</v>
      </c>
      <c r="AS1860" s="235" t="s">
        <v>13822</v>
      </c>
      <c r="AT1860" s="235" t="s">
        <v>17</v>
      </c>
      <c r="AU1860" s="235" t="s">
        <v>634</v>
      </c>
      <c r="AV1860" s="246" t="s">
        <v>635</v>
      </c>
      <c r="AW1860" s="242"/>
      <c r="AX1860" s="242"/>
      <c r="AY1860" s="231"/>
      <c r="AZ1860" s="231"/>
      <c r="BA1860" s="227"/>
      <c r="BB1860" s="231"/>
      <c r="BC1860" s="227"/>
      <c r="BD1860" s="227"/>
      <c r="BE1860" s="227"/>
      <c r="BF1860" s="227"/>
    </row>
    <row r="1861">
      <c r="A1861" s="235" t="s">
        <v>14566</v>
      </c>
      <c r="C1861" s="235" t="s">
        <v>14567</v>
      </c>
      <c r="D1861" s="235" t="s">
        <v>14573</v>
      </c>
      <c r="E1861" s="243">
        <v>6.53E13</v>
      </c>
      <c r="F1861" s="245"/>
      <c r="G1861" s="235" t="s">
        <v>14569</v>
      </c>
      <c r="H1861" s="235" t="s">
        <v>14570</v>
      </c>
      <c r="I1861" s="235" t="s">
        <v>14570</v>
      </c>
      <c r="J1861" s="235" t="s">
        <v>14571</v>
      </c>
      <c r="K1861" s="235" t="s">
        <v>14572</v>
      </c>
      <c r="N1861" s="235" t="s">
        <v>51</v>
      </c>
      <c r="O1861" s="235" t="s">
        <v>273</v>
      </c>
      <c r="P1861" s="238">
        <v>1.0</v>
      </c>
      <c r="Q1861" s="235" t="s">
        <v>627</v>
      </c>
      <c r="R1861" s="238">
        <v>270.48</v>
      </c>
      <c r="S1861" s="238">
        <v>13.25</v>
      </c>
      <c r="T1861" s="238">
        <v>38.1</v>
      </c>
      <c r="U1861" s="238">
        <v>1.9</v>
      </c>
      <c r="V1861" s="238">
        <v>0.0</v>
      </c>
      <c r="W1861" s="238">
        <v>0.0</v>
      </c>
      <c r="X1861" s="235" t="s">
        <v>628</v>
      </c>
      <c r="Z1861" s="244"/>
      <c r="AA1861" s="244"/>
      <c r="AB1861" s="244"/>
      <c r="AC1861" s="235" t="s">
        <v>6912</v>
      </c>
      <c r="AD1861" s="235" t="s">
        <v>845</v>
      </c>
      <c r="AE1861" s="238">
        <v>400706.0</v>
      </c>
      <c r="AF1861" s="235" t="s">
        <v>631</v>
      </c>
      <c r="AG1861" s="244"/>
      <c r="AH1861" s="244"/>
      <c r="AI1861" s="245"/>
      <c r="AJ1861" s="245"/>
      <c r="AK1861" s="245"/>
      <c r="AL1861" s="245"/>
      <c r="AM1861" s="244"/>
      <c r="AN1861" s="244"/>
      <c r="AO1861" s="238">
        <v>-5.41</v>
      </c>
      <c r="AP1861" s="238">
        <v>-38.1</v>
      </c>
      <c r="AQ1861" s="235" t="s">
        <v>632</v>
      </c>
      <c r="AR1861" s="243">
        <v>3.71E11</v>
      </c>
      <c r="AS1861" s="235" t="s">
        <v>13822</v>
      </c>
      <c r="AT1861" s="235" t="s">
        <v>17</v>
      </c>
      <c r="AU1861" s="235" t="s">
        <v>634</v>
      </c>
      <c r="AV1861" s="246" t="s">
        <v>635</v>
      </c>
      <c r="AW1861" s="242"/>
      <c r="AX1861" s="242"/>
      <c r="AY1861" s="231"/>
      <c r="AZ1861" s="231"/>
      <c r="BA1861" s="227"/>
      <c r="BB1861" s="231"/>
      <c r="BC1861" s="227"/>
      <c r="BD1861" s="227"/>
      <c r="BE1861" s="227"/>
      <c r="BF1861" s="227"/>
    </row>
    <row r="1862">
      <c r="A1862" s="235" t="s">
        <v>14574</v>
      </c>
      <c r="C1862" s="235" t="s">
        <v>14575</v>
      </c>
      <c r="D1862" s="235" t="s">
        <v>14576</v>
      </c>
      <c r="E1862" s="243">
        <v>6.54E13</v>
      </c>
      <c r="F1862" s="245"/>
      <c r="G1862" s="235" t="s">
        <v>14577</v>
      </c>
      <c r="H1862" s="235" t="s">
        <v>14578</v>
      </c>
      <c r="I1862" s="235" t="s">
        <v>14578</v>
      </c>
      <c r="J1862" s="235" t="s">
        <v>14579</v>
      </c>
      <c r="K1862" s="235" t="s">
        <v>14580</v>
      </c>
      <c r="N1862" s="235" t="s">
        <v>92</v>
      </c>
      <c r="O1862" s="235" t="s">
        <v>248</v>
      </c>
      <c r="P1862" s="238">
        <v>1.0</v>
      </c>
      <c r="Q1862" s="235" t="s">
        <v>627</v>
      </c>
      <c r="R1862" s="238">
        <v>246.66</v>
      </c>
      <c r="S1862" s="238">
        <v>12.34</v>
      </c>
      <c r="T1862" s="238">
        <v>0.0</v>
      </c>
      <c r="U1862" s="238">
        <v>0.0</v>
      </c>
      <c r="V1862" s="238">
        <v>0.0</v>
      </c>
      <c r="W1862" s="238">
        <v>0.0</v>
      </c>
      <c r="X1862" s="235" t="s">
        <v>628</v>
      </c>
      <c r="Z1862" s="244"/>
      <c r="AA1862" s="244"/>
      <c r="AB1862" s="244"/>
      <c r="AC1862" s="235" t="s">
        <v>9927</v>
      </c>
      <c r="AD1862" s="235" t="s">
        <v>8663</v>
      </c>
      <c r="AE1862" s="238">
        <v>422101.0</v>
      </c>
      <c r="AF1862" s="235" t="s">
        <v>631</v>
      </c>
      <c r="AG1862" s="244"/>
      <c r="AH1862" s="244"/>
      <c r="AI1862" s="245"/>
      <c r="AJ1862" s="245"/>
      <c r="AK1862" s="245"/>
      <c r="AL1862" s="245"/>
      <c r="AM1862" s="244"/>
      <c r="AN1862" s="244"/>
      <c r="AO1862" s="238">
        <v>0.0</v>
      </c>
      <c r="AP1862" s="238">
        <v>0.0</v>
      </c>
      <c r="AQ1862" s="235" t="s">
        <v>632</v>
      </c>
      <c r="AR1862" s="243">
        <v>3.71E11</v>
      </c>
      <c r="AS1862" s="235" t="s">
        <v>13822</v>
      </c>
      <c r="AT1862" s="235" t="s">
        <v>17</v>
      </c>
      <c r="AU1862" s="235" t="s">
        <v>634</v>
      </c>
      <c r="AV1862" s="246" t="s">
        <v>635</v>
      </c>
      <c r="AW1862" s="242"/>
      <c r="AX1862" s="242"/>
      <c r="AY1862" s="231"/>
      <c r="AZ1862" s="231"/>
      <c r="BA1862" s="227"/>
      <c r="BB1862" s="231"/>
      <c r="BC1862" s="227"/>
      <c r="BD1862" s="227"/>
      <c r="BE1862" s="227"/>
      <c r="BF1862" s="227"/>
    </row>
    <row r="1863">
      <c r="A1863" s="235" t="s">
        <v>14581</v>
      </c>
      <c r="C1863" s="235" t="s">
        <v>14582</v>
      </c>
      <c r="D1863" s="235" t="s">
        <v>14583</v>
      </c>
      <c r="E1863" s="243">
        <v>6.54E13</v>
      </c>
      <c r="F1863" s="245"/>
      <c r="G1863" s="235" t="s">
        <v>14584</v>
      </c>
      <c r="H1863" s="235" t="s">
        <v>14585</v>
      </c>
      <c r="I1863" s="235" t="s">
        <v>14585</v>
      </c>
      <c r="J1863" s="235" t="s">
        <v>14586</v>
      </c>
      <c r="K1863" s="235" t="s">
        <v>14587</v>
      </c>
      <c r="N1863" s="235" t="s">
        <v>90</v>
      </c>
      <c r="O1863" s="235" t="s">
        <v>279</v>
      </c>
      <c r="P1863" s="238">
        <v>1.0</v>
      </c>
      <c r="Q1863" s="235" t="s">
        <v>627</v>
      </c>
      <c r="R1863" s="238">
        <v>246.67</v>
      </c>
      <c r="S1863" s="238">
        <v>12.33</v>
      </c>
      <c r="T1863" s="238">
        <v>38.1</v>
      </c>
      <c r="U1863" s="238">
        <v>1.9</v>
      </c>
      <c r="V1863" s="238">
        <v>0.0</v>
      </c>
      <c r="W1863" s="238">
        <v>0.0</v>
      </c>
      <c r="X1863" s="235" t="s">
        <v>628</v>
      </c>
      <c r="Z1863" s="244"/>
      <c r="AA1863" s="244"/>
      <c r="AB1863" s="244"/>
      <c r="AC1863" s="235" t="s">
        <v>4790</v>
      </c>
      <c r="AD1863" s="235" t="s">
        <v>1086</v>
      </c>
      <c r="AE1863" s="238">
        <v>151001.0</v>
      </c>
      <c r="AF1863" s="235" t="s">
        <v>631</v>
      </c>
      <c r="AG1863" s="244"/>
      <c r="AH1863" s="244"/>
      <c r="AI1863" s="245"/>
      <c r="AJ1863" s="245"/>
      <c r="AK1863" s="245"/>
      <c r="AL1863" s="245"/>
      <c r="AM1863" s="244"/>
      <c r="AN1863" s="244"/>
      <c r="AO1863" s="238">
        <v>0.0</v>
      </c>
      <c r="AP1863" s="238">
        <v>-38.1</v>
      </c>
      <c r="AQ1863" s="235" t="s">
        <v>632</v>
      </c>
      <c r="AR1863" s="243">
        <v>3.71E11</v>
      </c>
      <c r="AS1863" s="235" t="s">
        <v>11171</v>
      </c>
      <c r="AT1863" s="235" t="s">
        <v>14</v>
      </c>
      <c r="AU1863" s="235" t="s">
        <v>634</v>
      </c>
      <c r="AV1863" s="246" t="s">
        <v>635</v>
      </c>
      <c r="AW1863" s="242"/>
      <c r="AX1863" s="242"/>
      <c r="AY1863" s="231"/>
      <c r="AZ1863" s="231"/>
      <c r="BA1863" s="227"/>
      <c r="BB1863" s="231"/>
      <c r="BC1863" s="227"/>
      <c r="BD1863" s="227"/>
      <c r="BE1863" s="227"/>
      <c r="BF1863" s="227"/>
    </row>
    <row r="1864">
      <c r="A1864" s="235" t="s">
        <v>14588</v>
      </c>
      <c r="C1864" s="235" t="s">
        <v>14589</v>
      </c>
      <c r="D1864" s="235" t="s">
        <v>14590</v>
      </c>
      <c r="E1864" s="243">
        <v>6.54E13</v>
      </c>
      <c r="F1864" s="245"/>
      <c r="G1864" s="235" t="s">
        <v>14591</v>
      </c>
      <c r="H1864" s="235" t="s">
        <v>14592</v>
      </c>
      <c r="I1864" s="235" t="s">
        <v>14592</v>
      </c>
      <c r="J1864" s="235" t="s">
        <v>14593</v>
      </c>
      <c r="K1864" s="235" t="s">
        <v>14594</v>
      </c>
      <c r="N1864" s="235" t="s">
        <v>82</v>
      </c>
      <c r="O1864" s="235" t="s">
        <v>889</v>
      </c>
      <c r="P1864" s="238">
        <v>1.0</v>
      </c>
      <c r="Q1864" s="235" t="s">
        <v>627</v>
      </c>
      <c r="R1864" s="238">
        <v>246.66</v>
      </c>
      <c r="S1864" s="238">
        <v>12.34</v>
      </c>
      <c r="T1864" s="238">
        <v>38.1</v>
      </c>
      <c r="U1864" s="238">
        <v>1.9</v>
      </c>
      <c r="V1864" s="238">
        <v>0.0</v>
      </c>
      <c r="W1864" s="238">
        <v>0.0</v>
      </c>
      <c r="X1864" s="235" t="s">
        <v>628</v>
      </c>
      <c r="Z1864" s="244"/>
      <c r="AA1864" s="244"/>
      <c r="AB1864" s="244"/>
      <c r="AC1864" s="235" t="s">
        <v>1887</v>
      </c>
      <c r="AD1864" s="235" t="s">
        <v>679</v>
      </c>
      <c r="AE1864" s="238">
        <v>560032.0</v>
      </c>
      <c r="AF1864" s="235" t="s">
        <v>631</v>
      </c>
      <c r="AG1864" s="244"/>
      <c r="AH1864" s="244"/>
      <c r="AI1864" s="245"/>
      <c r="AJ1864" s="245"/>
      <c r="AK1864" s="245"/>
      <c r="AL1864" s="245"/>
      <c r="AM1864" s="244"/>
      <c r="AN1864" s="244"/>
      <c r="AO1864" s="238">
        <v>0.0</v>
      </c>
      <c r="AP1864" s="238">
        <v>-38.1</v>
      </c>
      <c r="AQ1864" s="235" t="s">
        <v>632</v>
      </c>
      <c r="AR1864" s="243">
        <v>3.71E11</v>
      </c>
      <c r="AS1864" s="235" t="s">
        <v>13822</v>
      </c>
      <c r="AT1864" s="235" t="s">
        <v>11</v>
      </c>
      <c r="AU1864" s="235" t="s">
        <v>634</v>
      </c>
      <c r="AV1864" s="246" t="s">
        <v>635</v>
      </c>
      <c r="AW1864" s="242"/>
      <c r="AX1864" s="242"/>
      <c r="AY1864" s="231"/>
      <c r="AZ1864" s="231"/>
      <c r="BA1864" s="227"/>
      <c r="BB1864" s="231"/>
      <c r="BC1864" s="227"/>
      <c r="BD1864" s="227"/>
      <c r="BE1864" s="227"/>
      <c r="BF1864" s="227"/>
    </row>
    <row r="1865">
      <c r="A1865" s="235" t="s">
        <v>14595</v>
      </c>
      <c r="C1865" s="235" t="s">
        <v>14596</v>
      </c>
      <c r="D1865" s="235" t="s">
        <v>14597</v>
      </c>
      <c r="E1865" s="243">
        <v>6.54E13</v>
      </c>
      <c r="F1865" s="245"/>
      <c r="G1865" s="235" t="s">
        <v>14598</v>
      </c>
      <c r="H1865" s="235" t="s">
        <v>14599</v>
      </c>
      <c r="I1865" s="235" t="s">
        <v>14600</v>
      </c>
      <c r="J1865" s="235" t="s">
        <v>14601</v>
      </c>
      <c r="K1865" s="235" t="s">
        <v>14602</v>
      </c>
      <c r="N1865" s="235" t="s">
        <v>154</v>
      </c>
      <c r="O1865" s="235" t="s">
        <v>766</v>
      </c>
      <c r="P1865" s="238">
        <v>1.0</v>
      </c>
      <c r="Q1865" s="235" t="s">
        <v>627</v>
      </c>
      <c r="R1865" s="238">
        <v>465.71</v>
      </c>
      <c r="S1865" s="238">
        <v>23.29</v>
      </c>
      <c r="T1865" s="238">
        <v>0.0</v>
      </c>
      <c r="U1865" s="238">
        <v>0.0</v>
      </c>
      <c r="V1865" s="238">
        <v>0.0</v>
      </c>
      <c r="W1865" s="238">
        <v>0.0</v>
      </c>
      <c r="X1865" s="235" t="s">
        <v>628</v>
      </c>
      <c r="Z1865" s="244"/>
      <c r="AA1865" s="244"/>
      <c r="AB1865" s="244"/>
      <c r="AC1865" s="235" t="s">
        <v>697</v>
      </c>
      <c r="AD1865" s="235" t="s">
        <v>698</v>
      </c>
      <c r="AE1865" s="238">
        <v>500045.0</v>
      </c>
      <c r="AF1865" s="235" t="s">
        <v>631</v>
      </c>
      <c r="AG1865" s="244"/>
      <c r="AH1865" s="244"/>
      <c r="AI1865" s="245"/>
      <c r="AJ1865" s="245"/>
      <c r="AK1865" s="245"/>
      <c r="AL1865" s="245"/>
      <c r="AM1865" s="244"/>
      <c r="AN1865" s="244"/>
      <c r="AO1865" s="238">
        <v>0.0</v>
      </c>
      <c r="AP1865" s="238">
        <v>0.0</v>
      </c>
      <c r="AQ1865" s="235" t="s">
        <v>632</v>
      </c>
      <c r="AR1865" s="243">
        <v>3.71E11</v>
      </c>
      <c r="AS1865" s="235" t="s">
        <v>12693</v>
      </c>
      <c r="AT1865" s="235" t="s">
        <v>11</v>
      </c>
      <c r="AU1865" s="235" t="s">
        <v>634</v>
      </c>
      <c r="AV1865" s="246" t="s">
        <v>635</v>
      </c>
      <c r="AW1865" s="242"/>
      <c r="AX1865" s="242"/>
      <c r="AY1865" s="231"/>
      <c r="AZ1865" s="231"/>
      <c r="BA1865" s="227"/>
      <c r="BB1865" s="231"/>
      <c r="BC1865" s="227"/>
      <c r="BD1865" s="227"/>
      <c r="BE1865" s="227"/>
      <c r="BF1865" s="227"/>
    </row>
    <row r="1866">
      <c r="A1866" s="235" t="s">
        <v>14603</v>
      </c>
      <c r="C1866" s="235" t="s">
        <v>14604</v>
      </c>
      <c r="D1866" s="235" t="s">
        <v>14605</v>
      </c>
      <c r="E1866" s="243">
        <v>6.54E13</v>
      </c>
      <c r="F1866" s="245"/>
      <c r="G1866" s="235" t="s">
        <v>14606</v>
      </c>
      <c r="H1866" s="235" t="s">
        <v>14607</v>
      </c>
      <c r="I1866" s="235" t="s">
        <v>14608</v>
      </c>
      <c r="J1866" s="235" t="s">
        <v>14609</v>
      </c>
      <c r="K1866" s="235" t="s">
        <v>14610</v>
      </c>
      <c r="N1866" s="235" t="s">
        <v>42</v>
      </c>
      <c r="O1866" s="235" t="s">
        <v>204</v>
      </c>
      <c r="P1866" s="238">
        <v>1.0</v>
      </c>
      <c r="Q1866" s="235" t="s">
        <v>627</v>
      </c>
      <c r="R1866" s="238">
        <v>237.14</v>
      </c>
      <c r="S1866" s="238">
        <v>11.86</v>
      </c>
      <c r="T1866" s="238">
        <v>94.28</v>
      </c>
      <c r="U1866" s="238">
        <v>4.72</v>
      </c>
      <c r="V1866" s="238">
        <v>0.0</v>
      </c>
      <c r="W1866" s="238">
        <v>0.0</v>
      </c>
      <c r="X1866" s="235" t="s">
        <v>628</v>
      </c>
      <c r="Z1866" s="244"/>
      <c r="AA1866" s="244"/>
      <c r="AB1866" s="244"/>
      <c r="AC1866" s="235" t="s">
        <v>678</v>
      </c>
      <c r="AD1866" s="235" t="s">
        <v>679</v>
      </c>
      <c r="AE1866" s="238">
        <v>560064.0</v>
      </c>
      <c r="AF1866" s="235" t="s">
        <v>631</v>
      </c>
      <c r="AG1866" s="244"/>
      <c r="AH1866" s="244"/>
      <c r="AI1866" s="245"/>
      <c r="AJ1866" s="245"/>
      <c r="AK1866" s="245"/>
      <c r="AL1866" s="245"/>
      <c r="AM1866" s="244"/>
      <c r="AN1866" s="244"/>
      <c r="AO1866" s="238">
        <v>0.0</v>
      </c>
      <c r="AP1866" s="238">
        <v>-94.28</v>
      </c>
      <c r="AQ1866" s="235" t="s">
        <v>632</v>
      </c>
      <c r="AR1866" s="243">
        <v>1.68E11</v>
      </c>
      <c r="AS1866" s="235" t="s">
        <v>14390</v>
      </c>
      <c r="AT1866" s="235" t="s">
        <v>9</v>
      </c>
      <c r="AU1866" s="235" t="s">
        <v>634</v>
      </c>
      <c r="AV1866" s="246" t="s">
        <v>635</v>
      </c>
      <c r="AW1866" s="242"/>
      <c r="AX1866" s="242"/>
      <c r="AY1866" s="231"/>
      <c r="AZ1866" s="231"/>
      <c r="BA1866" s="227"/>
      <c r="BB1866" s="231"/>
      <c r="BC1866" s="227"/>
      <c r="BD1866" s="227"/>
      <c r="BE1866" s="227"/>
      <c r="BF1866" s="227"/>
    </row>
    <row r="1867">
      <c r="A1867" s="235" t="s">
        <v>14611</v>
      </c>
      <c r="C1867" s="235" t="s">
        <v>14612</v>
      </c>
      <c r="D1867" s="235" t="s">
        <v>14613</v>
      </c>
      <c r="E1867" s="243">
        <v>6.54E13</v>
      </c>
      <c r="F1867" s="245"/>
      <c r="G1867" s="235" t="s">
        <v>14614</v>
      </c>
      <c r="H1867" s="235" t="s">
        <v>14615</v>
      </c>
      <c r="I1867" s="235" t="s">
        <v>14615</v>
      </c>
      <c r="J1867" s="235" t="s">
        <v>14616</v>
      </c>
      <c r="K1867" s="235" t="s">
        <v>14617</v>
      </c>
      <c r="N1867" s="235" t="s">
        <v>3</v>
      </c>
      <c r="O1867" s="235" t="s">
        <v>654</v>
      </c>
      <c r="P1867" s="238">
        <v>1.0</v>
      </c>
      <c r="Q1867" s="235" t="s">
        <v>627</v>
      </c>
      <c r="R1867" s="238">
        <v>265.71</v>
      </c>
      <c r="S1867" s="238">
        <v>13.02</v>
      </c>
      <c r="T1867" s="238">
        <v>38.1</v>
      </c>
      <c r="U1867" s="238">
        <v>1.9</v>
      </c>
      <c r="V1867" s="238">
        <v>0.0</v>
      </c>
      <c r="W1867" s="238">
        <v>0.0</v>
      </c>
      <c r="X1867" s="235" t="s">
        <v>628</v>
      </c>
      <c r="Z1867" s="244"/>
      <c r="AA1867" s="244"/>
      <c r="AB1867" s="244"/>
      <c r="AC1867" s="235" t="s">
        <v>14618</v>
      </c>
      <c r="AD1867" s="235" t="s">
        <v>645</v>
      </c>
      <c r="AE1867" s="238">
        <v>670702.0</v>
      </c>
      <c r="AF1867" s="235" t="s">
        <v>631</v>
      </c>
      <c r="AG1867" s="244"/>
      <c r="AH1867" s="244"/>
      <c r="AI1867" s="245"/>
      <c r="AJ1867" s="245"/>
      <c r="AK1867" s="245"/>
      <c r="AL1867" s="245"/>
      <c r="AM1867" s="244"/>
      <c r="AN1867" s="244"/>
      <c r="AO1867" s="238">
        <v>-5.31</v>
      </c>
      <c r="AP1867" s="238">
        <v>-38.1</v>
      </c>
      <c r="AQ1867" s="235" t="s">
        <v>632</v>
      </c>
      <c r="AR1867" s="243">
        <v>3.71E11</v>
      </c>
      <c r="AS1867" s="235" t="s">
        <v>11171</v>
      </c>
      <c r="AT1867" s="235" t="s">
        <v>155</v>
      </c>
      <c r="AU1867" s="235" t="s">
        <v>634</v>
      </c>
      <c r="AV1867" s="246" t="s">
        <v>635</v>
      </c>
      <c r="AW1867" s="242"/>
      <c r="AX1867" s="242"/>
      <c r="AY1867" s="231"/>
      <c r="AZ1867" s="231"/>
      <c r="BA1867" s="227"/>
      <c r="BB1867" s="227"/>
      <c r="BC1867" s="227"/>
      <c r="BD1867" s="227"/>
      <c r="BE1867" s="227"/>
      <c r="BF1867" s="227"/>
    </row>
    <row r="1868">
      <c r="A1868" s="235" t="s">
        <v>14619</v>
      </c>
      <c r="C1868" s="235" t="s">
        <v>14620</v>
      </c>
      <c r="D1868" s="235" t="s">
        <v>14621</v>
      </c>
      <c r="E1868" s="243">
        <v>6.54E13</v>
      </c>
      <c r="F1868" s="245"/>
      <c r="G1868" s="235" t="s">
        <v>14622</v>
      </c>
      <c r="H1868" s="235" t="s">
        <v>14623</v>
      </c>
      <c r="I1868" s="235" t="s">
        <v>14623</v>
      </c>
      <c r="J1868" s="235" t="s">
        <v>14624</v>
      </c>
      <c r="K1868" s="235" t="s">
        <v>14625</v>
      </c>
      <c r="N1868" s="235" t="s">
        <v>154</v>
      </c>
      <c r="O1868" s="235" t="s">
        <v>766</v>
      </c>
      <c r="P1868" s="238">
        <v>1.0</v>
      </c>
      <c r="Q1868" s="235" t="s">
        <v>627</v>
      </c>
      <c r="R1868" s="238">
        <v>465.71</v>
      </c>
      <c r="S1868" s="238">
        <v>23.29</v>
      </c>
      <c r="T1868" s="238">
        <v>0.0</v>
      </c>
      <c r="U1868" s="238">
        <v>0.0</v>
      </c>
      <c r="V1868" s="238">
        <v>0.0</v>
      </c>
      <c r="W1868" s="238">
        <v>0.0</v>
      </c>
      <c r="X1868" s="235" t="s">
        <v>628</v>
      </c>
      <c r="Z1868" s="244"/>
      <c r="AA1868" s="244"/>
      <c r="AB1868" s="244"/>
      <c r="AC1868" s="235" t="s">
        <v>1279</v>
      </c>
      <c r="AD1868" s="235" t="s">
        <v>917</v>
      </c>
      <c r="AE1868" s="238">
        <v>302004.0</v>
      </c>
      <c r="AF1868" s="235" t="s">
        <v>631</v>
      </c>
      <c r="AG1868" s="244"/>
      <c r="AH1868" s="244"/>
      <c r="AI1868" s="245"/>
      <c r="AJ1868" s="245"/>
      <c r="AK1868" s="245"/>
      <c r="AL1868" s="245"/>
      <c r="AM1868" s="244"/>
      <c r="AN1868" s="244"/>
      <c r="AO1868" s="238">
        <v>0.0</v>
      </c>
      <c r="AP1868" s="238">
        <v>0.0</v>
      </c>
      <c r="AQ1868" s="235" t="s">
        <v>632</v>
      </c>
      <c r="AR1868" s="243">
        <v>1.68E11</v>
      </c>
      <c r="AS1868" s="235" t="s">
        <v>13822</v>
      </c>
      <c r="AT1868" s="235" t="s">
        <v>533</v>
      </c>
      <c r="AU1868" s="235" t="s">
        <v>634</v>
      </c>
      <c r="AV1868" s="246" t="s">
        <v>635</v>
      </c>
      <c r="AW1868" s="242"/>
      <c r="AX1868" s="242"/>
      <c r="AY1868" s="231"/>
      <c r="AZ1868" s="231"/>
      <c r="BA1868" s="227"/>
      <c r="BB1868" s="231"/>
      <c r="BC1868" s="227"/>
      <c r="BD1868" s="227"/>
      <c r="BE1868" s="227"/>
      <c r="BF1868" s="227"/>
    </row>
    <row r="1869">
      <c r="A1869" s="235" t="s">
        <v>14626</v>
      </c>
      <c r="C1869" s="235" t="s">
        <v>14627</v>
      </c>
      <c r="D1869" s="235" t="s">
        <v>14628</v>
      </c>
      <c r="E1869" s="243">
        <v>6.53E13</v>
      </c>
      <c r="F1869" s="245"/>
      <c r="G1869" s="235" t="s">
        <v>14629</v>
      </c>
      <c r="H1869" s="235" t="s">
        <v>14630</v>
      </c>
      <c r="I1869" s="235" t="s">
        <v>14631</v>
      </c>
      <c r="J1869" s="235" t="s">
        <v>14632</v>
      </c>
      <c r="K1869" s="235" t="s">
        <v>14633</v>
      </c>
      <c r="N1869" s="235" t="s">
        <v>141</v>
      </c>
      <c r="O1869" s="235" t="s">
        <v>342</v>
      </c>
      <c r="P1869" s="238">
        <v>1.0</v>
      </c>
      <c r="Q1869" s="235" t="s">
        <v>627</v>
      </c>
      <c r="R1869" s="238">
        <v>270.48</v>
      </c>
      <c r="S1869" s="238">
        <v>13.52</v>
      </c>
      <c r="T1869" s="238">
        <v>38.1</v>
      </c>
      <c r="U1869" s="238">
        <v>1.9</v>
      </c>
      <c r="V1869" s="238">
        <v>0.0</v>
      </c>
      <c r="W1869" s="238">
        <v>0.0</v>
      </c>
      <c r="X1869" s="235" t="s">
        <v>628</v>
      </c>
      <c r="Z1869" s="244"/>
      <c r="AA1869" s="244"/>
      <c r="AB1869" s="244"/>
      <c r="AC1869" s="235" t="s">
        <v>14634</v>
      </c>
      <c r="AD1869" s="235" t="s">
        <v>917</v>
      </c>
      <c r="AE1869" s="238">
        <v>301701.0</v>
      </c>
      <c r="AF1869" s="235" t="s">
        <v>631</v>
      </c>
      <c r="AG1869" s="244"/>
      <c r="AH1869" s="244"/>
      <c r="AI1869" s="245"/>
      <c r="AJ1869" s="245"/>
      <c r="AK1869" s="245"/>
      <c r="AL1869" s="245"/>
      <c r="AM1869" s="244"/>
      <c r="AN1869" s="244"/>
      <c r="AO1869" s="238">
        <v>0.0</v>
      </c>
      <c r="AP1869" s="238">
        <v>-38.1</v>
      </c>
      <c r="AQ1869" s="235" t="s">
        <v>632</v>
      </c>
      <c r="AR1869" s="243">
        <v>3.71E11</v>
      </c>
      <c r="AS1869" s="235" t="s">
        <v>11171</v>
      </c>
      <c r="AT1869" s="235" t="s">
        <v>13</v>
      </c>
      <c r="AU1869" s="235" t="s">
        <v>634</v>
      </c>
      <c r="AV1869" s="246" t="s">
        <v>635</v>
      </c>
      <c r="AW1869" s="242"/>
      <c r="AX1869" s="242"/>
      <c r="AY1869" s="231"/>
      <c r="AZ1869" s="231"/>
      <c r="BA1869" s="227"/>
      <c r="BB1869" s="231"/>
      <c r="BC1869" s="227"/>
      <c r="BD1869" s="227"/>
      <c r="BE1869" s="227"/>
      <c r="BF1869" s="227"/>
    </row>
    <row r="1870">
      <c r="A1870" s="235" t="s">
        <v>14635</v>
      </c>
      <c r="C1870" s="235" t="s">
        <v>14636</v>
      </c>
      <c r="D1870" s="235" t="s">
        <v>14637</v>
      </c>
      <c r="E1870" s="243">
        <v>6.54E13</v>
      </c>
      <c r="F1870" s="245"/>
      <c r="G1870" s="235" t="s">
        <v>14638</v>
      </c>
      <c r="H1870" s="235" t="s">
        <v>14639</v>
      </c>
      <c r="I1870" s="235" t="s">
        <v>14639</v>
      </c>
      <c r="J1870" s="235" t="s">
        <v>14640</v>
      </c>
      <c r="K1870" s="235" t="s">
        <v>14641</v>
      </c>
      <c r="N1870" s="235" t="s">
        <v>134</v>
      </c>
      <c r="O1870" s="235" t="s">
        <v>314</v>
      </c>
      <c r="P1870" s="238">
        <v>1.0</v>
      </c>
      <c r="Q1870" s="235" t="s">
        <v>627</v>
      </c>
      <c r="R1870" s="238">
        <v>246.66</v>
      </c>
      <c r="S1870" s="238">
        <v>12.34</v>
      </c>
      <c r="T1870" s="238">
        <v>0.0</v>
      </c>
      <c r="U1870" s="238">
        <v>0.0</v>
      </c>
      <c r="V1870" s="238">
        <v>0.0</v>
      </c>
      <c r="W1870" s="238">
        <v>0.0</v>
      </c>
      <c r="X1870" s="235" t="s">
        <v>628</v>
      </c>
      <c r="Z1870" s="244"/>
      <c r="AA1870" s="244"/>
      <c r="AB1870" s="244"/>
      <c r="AC1870" s="235" t="s">
        <v>678</v>
      </c>
      <c r="AD1870" s="235" t="s">
        <v>679</v>
      </c>
      <c r="AE1870" s="238">
        <v>560046.0</v>
      </c>
      <c r="AF1870" s="235" t="s">
        <v>631</v>
      </c>
      <c r="AG1870" s="244"/>
      <c r="AH1870" s="244"/>
      <c r="AI1870" s="245"/>
      <c r="AJ1870" s="245"/>
      <c r="AK1870" s="245"/>
      <c r="AL1870" s="245"/>
      <c r="AM1870" s="244"/>
      <c r="AN1870" s="244"/>
      <c r="AO1870" s="238">
        <v>0.0</v>
      </c>
      <c r="AP1870" s="238">
        <v>0.0</v>
      </c>
      <c r="AQ1870" s="235" t="s">
        <v>632</v>
      </c>
      <c r="AR1870" s="243">
        <v>3.71E11</v>
      </c>
      <c r="AS1870" s="235" t="s">
        <v>13822</v>
      </c>
      <c r="AT1870" s="235" t="s">
        <v>11</v>
      </c>
      <c r="AU1870" s="235" t="s">
        <v>634</v>
      </c>
      <c r="AV1870" s="246" t="s">
        <v>635</v>
      </c>
      <c r="AW1870" s="242"/>
      <c r="AX1870" s="242"/>
      <c r="AY1870" s="231"/>
      <c r="AZ1870" s="231"/>
      <c r="BA1870" s="227"/>
      <c r="BB1870" s="231"/>
      <c r="BC1870" s="227"/>
      <c r="BD1870" s="227"/>
      <c r="BE1870" s="227"/>
      <c r="BF1870" s="227"/>
    </row>
    <row r="1871">
      <c r="A1871" s="235" t="s">
        <v>14642</v>
      </c>
      <c r="C1871" s="235" t="s">
        <v>14643</v>
      </c>
      <c r="D1871" s="235" t="s">
        <v>14644</v>
      </c>
      <c r="E1871" s="243">
        <v>6.54E13</v>
      </c>
      <c r="F1871" s="245"/>
      <c r="G1871" s="235" t="s">
        <v>14645</v>
      </c>
      <c r="H1871" s="235" t="s">
        <v>14646</v>
      </c>
      <c r="I1871" s="235" t="s">
        <v>14646</v>
      </c>
      <c r="J1871" s="235" t="s">
        <v>14647</v>
      </c>
      <c r="K1871" s="235" t="s">
        <v>14648</v>
      </c>
      <c r="N1871" s="235" t="s">
        <v>42</v>
      </c>
      <c r="O1871" s="235" t="s">
        <v>204</v>
      </c>
      <c r="P1871" s="238">
        <v>1.0</v>
      </c>
      <c r="Q1871" s="235" t="s">
        <v>627</v>
      </c>
      <c r="R1871" s="238">
        <v>237.14</v>
      </c>
      <c r="S1871" s="238">
        <v>11.62</v>
      </c>
      <c r="T1871" s="238">
        <v>0.0</v>
      </c>
      <c r="U1871" s="238">
        <v>0.0</v>
      </c>
      <c r="V1871" s="238">
        <v>0.0</v>
      </c>
      <c r="W1871" s="238">
        <v>0.0</v>
      </c>
      <c r="X1871" s="235" t="s">
        <v>628</v>
      </c>
      <c r="Z1871" s="244"/>
      <c r="AA1871" s="244"/>
      <c r="AB1871" s="244"/>
      <c r="AC1871" s="235" t="s">
        <v>14649</v>
      </c>
      <c r="AD1871" s="235" t="s">
        <v>666</v>
      </c>
      <c r="AE1871" s="238">
        <v>602106.0</v>
      </c>
      <c r="AF1871" s="235" t="s">
        <v>631</v>
      </c>
      <c r="AG1871" s="244"/>
      <c r="AH1871" s="244"/>
      <c r="AI1871" s="245"/>
      <c r="AJ1871" s="245"/>
      <c r="AK1871" s="245"/>
      <c r="AL1871" s="245"/>
      <c r="AM1871" s="244"/>
      <c r="AN1871" s="244"/>
      <c r="AO1871" s="238">
        <v>-4.74</v>
      </c>
      <c r="AP1871" s="238">
        <v>0.0</v>
      </c>
      <c r="AQ1871" s="235" t="s">
        <v>632</v>
      </c>
      <c r="AR1871" s="243">
        <v>3.71E11</v>
      </c>
      <c r="AS1871" s="235" t="s">
        <v>12693</v>
      </c>
      <c r="AT1871" s="235" t="s">
        <v>156</v>
      </c>
      <c r="AU1871" s="235" t="s">
        <v>634</v>
      </c>
      <c r="AV1871" s="246" t="s">
        <v>635</v>
      </c>
      <c r="AW1871" s="242"/>
      <c r="AX1871" s="242"/>
      <c r="AY1871" s="231"/>
      <c r="AZ1871" s="231"/>
      <c r="BA1871" s="227"/>
      <c r="BB1871" s="231"/>
      <c r="BC1871" s="227"/>
      <c r="BD1871" s="227"/>
      <c r="BE1871" s="227"/>
      <c r="BF1871" s="227"/>
    </row>
    <row r="1872">
      <c r="A1872" s="235" t="s">
        <v>14650</v>
      </c>
      <c r="C1872" s="235" t="s">
        <v>14651</v>
      </c>
      <c r="D1872" s="235" t="s">
        <v>14652</v>
      </c>
      <c r="E1872" s="243">
        <v>6.54E13</v>
      </c>
      <c r="F1872" s="245"/>
      <c r="G1872" s="235" t="s">
        <v>14653</v>
      </c>
      <c r="H1872" s="235" t="s">
        <v>14654</v>
      </c>
      <c r="I1872" s="235" t="s">
        <v>14654</v>
      </c>
      <c r="J1872" s="235" t="s">
        <v>14655</v>
      </c>
      <c r="K1872" s="235" t="s">
        <v>14656</v>
      </c>
      <c r="N1872" s="235" t="s">
        <v>962</v>
      </c>
      <c r="O1872" s="235" t="s">
        <v>963</v>
      </c>
      <c r="P1872" s="238">
        <v>1.0</v>
      </c>
      <c r="Q1872" s="235" t="s">
        <v>627</v>
      </c>
      <c r="R1872" s="238">
        <v>242.86</v>
      </c>
      <c r="S1872" s="238">
        <v>12.14</v>
      </c>
      <c r="T1872" s="238">
        <v>0.0</v>
      </c>
      <c r="U1872" s="238">
        <v>0.0</v>
      </c>
      <c r="V1872" s="238">
        <v>0.0</v>
      </c>
      <c r="W1872" s="238">
        <v>0.0</v>
      </c>
      <c r="X1872" s="235" t="s">
        <v>628</v>
      </c>
      <c r="Z1872" s="244"/>
      <c r="AA1872" s="244"/>
      <c r="AB1872" s="244"/>
      <c r="AC1872" s="235" t="s">
        <v>1058</v>
      </c>
      <c r="AD1872" s="235" t="s">
        <v>845</v>
      </c>
      <c r="AE1872" s="238">
        <v>400010.0</v>
      </c>
      <c r="AF1872" s="235" t="s">
        <v>631</v>
      </c>
      <c r="AG1872" s="244"/>
      <c r="AH1872" s="244"/>
      <c r="AI1872" s="245"/>
      <c r="AJ1872" s="245"/>
      <c r="AK1872" s="245"/>
      <c r="AL1872" s="245"/>
      <c r="AM1872" s="244"/>
      <c r="AN1872" s="244"/>
      <c r="AO1872" s="238">
        <v>0.0</v>
      </c>
      <c r="AP1872" s="238">
        <v>0.0</v>
      </c>
      <c r="AQ1872" s="235" t="s">
        <v>632</v>
      </c>
      <c r="AR1872" s="243">
        <v>1.68E11</v>
      </c>
      <c r="AS1872" s="235" t="s">
        <v>14390</v>
      </c>
      <c r="AT1872" s="235" t="s">
        <v>17</v>
      </c>
      <c r="AU1872" s="235" t="s">
        <v>634</v>
      </c>
      <c r="AV1872" s="246" t="s">
        <v>635</v>
      </c>
      <c r="AW1872" s="242"/>
      <c r="AX1872" s="242"/>
      <c r="AY1872" s="231"/>
      <c r="AZ1872" s="231"/>
      <c r="BA1872" s="227"/>
      <c r="BB1872" s="231"/>
      <c r="BC1872" s="227"/>
      <c r="BD1872" s="227"/>
      <c r="BE1872" s="227"/>
      <c r="BF1872" s="227"/>
    </row>
    <row r="1873">
      <c r="A1873" s="235" t="s">
        <v>14657</v>
      </c>
      <c r="C1873" s="235" t="s">
        <v>14658</v>
      </c>
      <c r="D1873" s="235" t="s">
        <v>14659</v>
      </c>
      <c r="E1873" s="243">
        <v>6.54E13</v>
      </c>
      <c r="F1873" s="245"/>
      <c r="G1873" s="235" t="s">
        <v>14660</v>
      </c>
      <c r="H1873" s="235" t="s">
        <v>14661</v>
      </c>
      <c r="I1873" s="235" t="s">
        <v>14661</v>
      </c>
      <c r="J1873" s="235" t="s">
        <v>14662</v>
      </c>
      <c r="K1873" s="235" t="s">
        <v>14663</v>
      </c>
      <c r="N1873" s="235" t="s">
        <v>43</v>
      </c>
      <c r="O1873" s="235" t="s">
        <v>276</v>
      </c>
      <c r="P1873" s="238">
        <v>1.0</v>
      </c>
      <c r="Q1873" s="235" t="s">
        <v>627</v>
      </c>
      <c r="R1873" s="238">
        <v>237.14</v>
      </c>
      <c r="S1873" s="238">
        <v>11.62</v>
      </c>
      <c r="T1873" s="238">
        <v>0.0</v>
      </c>
      <c r="U1873" s="238">
        <v>0.0</v>
      </c>
      <c r="V1873" s="238">
        <v>0.0</v>
      </c>
      <c r="W1873" s="238">
        <v>0.0</v>
      </c>
      <c r="X1873" s="235" t="s">
        <v>628</v>
      </c>
      <c r="Z1873" s="244"/>
      <c r="AA1873" s="244"/>
      <c r="AB1873" s="244"/>
      <c r="AC1873" s="235" t="s">
        <v>687</v>
      </c>
      <c r="AD1873" s="235" t="s">
        <v>666</v>
      </c>
      <c r="AE1873" s="238">
        <v>600089.0</v>
      </c>
      <c r="AF1873" s="235" t="s">
        <v>631</v>
      </c>
      <c r="AG1873" s="244"/>
      <c r="AH1873" s="244"/>
      <c r="AI1873" s="245"/>
      <c r="AJ1873" s="245"/>
      <c r="AK1873" s="245"/>
      <c r="AL1873" s="245"/>
      <c r="AM1873" s="244"/>
      <c r="AN1873" s="244"/>
      <c r="AO1873" s="238">
        <v>-4.74</v>
      </c>
      <c r="AP1873" s="238">
        <v>0.0</v>
      </c>
      <c r="AQ1873" s="235" t="s">
        <v>632</v>
      </c>
      <c r="AR1873" s="243">
        <v>1.68E11</v>
      </c>
      <c r="AS1873" s="235" t="s">
        <v>13822</v>
      </c>
      <c r="AT1873" s="235" t="s">
        <v>156</v>
      </c>
      <c r="AU1873" s="235" t="s">
        <v>634</v>
      </c>
      <c r="AV1873" s="246" t="s">
        <v>635</v>
      </c>
      <c r="AW1873" s="242"/>
      <c r="AX1873" s="242"/>
      <c r="AY1873" s="231"/>
      <c r="AZ1873" s="231"/>
      <c r="BA1873" s="227"/>
      <c r="BB1873" s="231"/>
      <c r="BC1873" s="227"/>
      <c r="BD1873" s="227"/>
      <c r="BE1873" s="227"/>
      <c r="BF1873" s="227"/>
    </row>
    <row r="1874">
      <c r="A1874" s="235" t="s">
        <v>14664</v>
      </c>
      <c r="C1874" s="235" t="s">
        <v>14665</v>
      </c>
      <c r="D1874" s="235" t="s">
        <v>14666</v>
      </c>
      <c r="E1874" s="243">
        <v>6.54E13</v>
      </c>
      <c r="F1874" s="245"/>
      <c r="G1874" s="235" t="s">
        <v>14667</v>
      </c>
      <c r="H1874" s="235" t="s">
        <v>14668</v>
      </c>
      <c r="I1874" s="235" t="s">
        <v>14669</v>
      </c>
      <c r="J1874" s="235" t="s">
        <v>14670</v>
      </c>
      <c r="K1874" s="235" t="s">
        <v>14671</v>
      </c>
      <c r="N1874" s="235" t="s">
        <v>726</v>
      </c>
      <c r="O1874" s="235" t="s">
        <v>727</v>
      </c>
      <c r="P1874" s="238">
        <v>1.0</v>
      </c>
      <c r="Q1874" s="235" t="s">
        <v>627</v>
      </c>
      <c r="R1874" s="238">
        <v>246.67</v>
      </c>
      <c r="S1874" s="238">
        <v>12.08</v>
      </c>
      <c r="T1874" s="238">
        <v>0.0</v>
      </c>
      <c r="U1874" s="238">
        <v>0.0</v>
      </c>
      <c r="V1874" s="238">
        <v>0.0</v>
      </c>
      <c r="W1874" s="238">
        <v>0.0</v>
      </c>
      <c r="X1874" s="235" t="s">
        <v>628</v>
      </c>
      <c r="Z1874" s="244"/>
      <c r="AA1874" s="244"/>
      <c r="AB1874" s="244"/>
      <c r="AC1874" s="235" t="s">
        <v>1475</v>
      </c>
      <c r="AD1874" s="235" t="s">
        <v>796</v>
      </c>
      <c r="AE1874" s="238">
        <v>110058.0</v>
      </c>
      <c r="AF1874" s="235" t="s">
        <v>631</v>
      </c>
      <c r="AG1874" s="244"/>
      <c r="AH1874" s="244"/>
      <c r="AI1874" s="245"/>
      <c r="AJ1874" s="245"/>
      <c r="AK1874" s="245"/>
      <c r="AL1874" s="245"/>
      <c r="AM1874" s="244"/>
      <c r="AN1874" s="244"/>
      <c r="AO1874" s="238">
        <v>-4.93</v>
      </c>
      <c r="AP1874" s="238">
        <v>0.0</v>
      </c>
      <c r="AQ1874" s="235" t="s">
        <v>632</v>
      </c>
      <c r="AR1874" s="243">
        <v>1.68E11</v>
      </c>
      <c r="AS1874" s="235" t="s">
        <v>14390</v>
      </c>
      <c r="AT1874" s="235" t="s">
        <v>14</v>
      </c>
      <c r="AU1874" s="235" t="s">
        <v>634</v>
      </c>
      <c r="AV1874" s="246" t="s">
        <v>635</v>
      </c>
      <c r="AW1874" s="242"/>
      <c r="AX1874" s="242"/>
      <c r="AY1874" s="231"/>
      <c r="AZ1874" s="231"/>
      <c r="BA1874" s="227"/>
      <c r="BB1874" s="231"/>
      <c r="BC1874" s="227"/>
      <c r="BD1874" s="227"/>
      <c r="BE1874" s="227"/>
      <c r="BF1874" s="227"/>
    </row>
    <row r="1875">
      <c r="A1875" s="235" t="s">
        <v>14672</v>
      </c>
      <c r="C1875" s="235" t="s">
        <v>14673</v>
      </c>
      <c r="D1875" s="235" t="s">
        <v>14674</v>
      </c>
      <c r="E1875" s="243">
        <v>6.54E13</v>
      </c>
      <c r="F1875" s="245"/>
      <c r="G1875" s="235" t="s">
        <v>14675</v>
      </c>
      <c r="H1875" s="235" t="s">
        <v>14676</v>
      </c>
      <c r="I1875" s="235" t="s">
        <v>14676</v>
      </c>
      <c r="J1875" s="235" t="s">
        <v>14677</v>
      </c>
      <c r="K1875" s="235" t="s">
        <v>14678</v>
      </c>
      <c r="N1875" s="235" t="s">
        <v>144</v>
      </c>
      <c r="O1875" s="235" t="s">
        <v>232</v>
      </c>
      <c r="P1875" s="238">
        <v>1.0</v>
      </c>
      <c r="Q1875" s="235" t="s">
        <v>627</v>
      </c>
      <c r="R1875" s="238">
        <v>656.2</v>
      </c>
      <c r="S1875" s="238">
        <v>32.8</v>
      </c>
      <c r="T1875" s="238">
        <v>0.0</v>
      </c>
      <c r="U1875" s="238">
        <v>0.0</v>
      </c>
      <c r="V1875" s="238">
        <v>0.0</v>
      </c>
      <c r="W1875" s="238">
        <v>0.0</v>
      </c>
      <c r="X1875" s="235" t="s">
        <v>628</v>
      </c>
      <c r="Z1875" s="244"/>
      <c r="AA1875" s="244"/>
      <c r="AB1875" s="244"/>
      <c r="AC1875" s="235" t="s">
        <v>687</v>
      </c>
      <c r="AD1875" s="235" t="s">
        <v>666</v>
      </c>
      <c r="AE1875" s="238">
        <v>600048.0</v>
      </c>
      <c r="AF1875" s="235" t="s">
        <v>631</v>
      </c>
      <c r="AG1875" s="244"/>
      <c r="AH1875" s="244"/>
      <c r="AI1875" s="245"/>
      <c r="AJ1875" s="245"/>
      <c r="AK1875" s="245"/>
      <c r="AL1875" s="245"/>
      <c r="AM1875" s="244"/>
      <c r="AN1875" s="244"/>
      <c r="AO1875" s="238">
        <v>0.0</v>
      </c>
      <c r="AP1875" s="238">
        <v>0.0</v>
      </c>
      <c r="AQ1875" s="235" t="s">
        <v>632</v>
      </c>
      <c r="AR1875" s="243">
        <v>3.71E11</v>
      </c>
      <c r="AS1875" s="235" t="s">
        <v>13822</v>
      </c>
      <c r="AT1875" s="235" t="s">
        <v>156</v>
      </c>
      <c r="AU1875" s="235" t="s">
        <v>634</v>
      </c>
      <c r="AV1875" s="246" t="s">
        <v>635</v>
      </c>
      <c r="AW1875" s="242"/>
      <c r="AX1875" s="242"/>
      <c r="AY1875" s="231"/>
      <c r="AZ1875" s="231"/>
      <c r="BA1875" s="227"/>
      <c r="BB1875" s="231"/>
      <c r="BC1875" s="227"/>
      <c r="BD1875" s="227"/>
      <c r="BE1875" s="227"/>
      <c r="BF1875" s="227"/>
    </row>
    <row r="1876">
      <c r="A1876" s="235" t="s">
        <v>14679</v>
      </c>
      <c r="C1876" s="235" t="s">
        <v>14680</v>
      </c>
      <c r="D1876" s="235" t="s">
        <v>14681</v>
      </c>
      <c r="E1876" s="243">
        <v>6.54E13</v>
      </c>
      <c r="F1876" s="245"/>
      <c r="G1876" s="235" t="s">
        <v>14682</v>
      </c>
      <c r="H1876" s="235" t="s">
        <v>14683</v>
      </c>
      <c r="I1876" s="235" t="s">
        <v>14683</v>
      </c>
      <c r="J1876" s="235" t="s">
        <v>14684</v>
      </c>
      <c r="K1876" s="235" t="s">
        <v>14685</v>
      </c>
      <c r="N1876" s="235" t="s">
        <v>136</v>
      </c>
      <c r="O1876" s="235" t="s">
        <v>256</v>
      </c>
      <c r="P1876" s="238">
        <v>1.0</v>
      </c>
      <c r="Q1876" s="235" t="s">
        <v>627</v>
      </c>
      <c r="R1876" s="238">
        <v>246.66</v>
      </c>
      <c r="S1876" s="238">
        <v>12.1</v>
      </c>
      <c r="T1876" s="238">
        <v>6.03</v>
      </c>
      <c r="U1876" s="238">
        <v>0.3</v>
      </c>
      <c r="V1876" s="238">
        <v>0.0</v>
      </c>
      <c r="W1876" s="238">
        <v>0.0</v>
      </c>
      <c r="X1876" s="235" t="s">
        <v>628</v>
      </c>
      <c r="Z1876" s="244"/>
      <c r="AA1876" s="244"/>
      <c r="AB1876" s="244"/>
      <c r="AC1876" s="235" t="s">
        <v>844</v>
      </c>
      <c r="AD1876" s="235" t="s">
        <v>845</v>
      </c>
      <c r="AE1876" s="238">
        <v>411021.0</v>
      </c>
      <c r="AF1876" s="235" t="s">
        <v>631</v>
      </c>
      <c r="AG1876" s="244"/>
      <c r="AH1876" s="244"/>
      <c r="AI1876" s="245"/>
      <c r="AJ1876" s="245"/>
      <c r="AK1876" s="245"/>
      <c r="AL1876" s="245"/>
      <c r="AM1876" s="244"/>
      <c r="AN1876" s="244"/>
      <c r="AO1876" s="238">
        <v>-4.94</v>
      </c>
      <c r="AP1876" s="238">
        <v>-6.03</v>
      </c>
      <c r="AQ1876" s="235" t="s">
        <v>632</v>
      </c>
      <c r="AR1876" s="243">
        <v>1.68E11</v>
      </c>
      <c r="AS1876" s="235" t="s">
        <v>14390</v>
      </c>
      <c r="AT1876" s="235" t="s">
        <v>546</v>
      </c>
      <c r="AU1876" s="235" t="s">
        <v>634</v>
      </c>
      <c r="AV1876" s="246" t="s">
        <v>635</v>
      </c>
      <c r="AW1876" s="242"/>
      <c r="AX1876" s="242"/>
      <c r="AY1876" s="231"/>
      <c r="AZ1876" s="231"/>
      <c r="BA1876" s="227"/>
      <c r="BB1876" s="231"/>
      <c r="BC1876" s="227"/>
      <c r="BD1876" s="227"/>
      <c r="BE1876" s="227"/>
      <c r="BF1876" s="227"/>
    </row>
    <row r="1877">
      <c r="A1877" s="235" t="s">
        <v>14686</v>
      </c>
      <c r="C1877" s="235" t="s">
        <v>14687</v>
      </c>
      <c r="D1877" s="235" t="s">
        <v>14688</v>
      </c>
      <c r="E1877" s="243">
        <v>6.54E13</v>
      </c>
      <c r="F1877" s="245"/>
      <c r="G1877" s="235" t="s">
        <v>14689</v>
      </c>
      <c r="H1877" s="235" t="s">
        <v>14690</v>
      </c>
      <c r="I1877" s="235" t="s">
        <v>14690</v>
      </c>
      <c r="J1877" s="235" t="s">
        <v>14691</v>
      </c>
      <c r="K1877" s="235" t="s">
        <v>14692</v>
      </c>
      <c r="N1877" s="235" t="s">
        <v>989</v>
      </c>
      <c r="O1877" s="235" t="s">
        <v>990</v>
      </c>
      <c r="P1877" s="238">
        <v>1.0</v>
      </c>
      <c r="Q1877" s="235" t="s">
        <v>627</v>
      </c>
      <c r="R1877" s="238">
        <v>256.19</v>
      </c>
      <c r="S1877" s="238">
        <v>12.81</v>
      </c>
      <c r="T1877" s="238">
        <v>0.0</v>
      </c>
      <c r="U1877" s="238">
        <v>0.0</v>
      </c>
      <c r="V1877" s="238">
        <v>0.0</v>
      </c>
      <c r="W1877" s="238">
        <v>0.0</v>
      </c>
      <c r="X1877" s="235" t="s">
        <v>628</v>
      </c>
      <c r="Z1877" s="244"/>
      <c r="AA1877" s="244"/>
      <c r="AB1877" s="244"/>
      <c r="AC1877" s="235" t="s">
        <v>10940</v>
      </c>
      <c r="AD1877" s="235" t="s">
        <v>645</v>
      </c>
      <c r="AE1877" s="238">
        <v>682022.0</v>
      </c>
      <c r="AF1877" s="235" t="s">
        <v>631</v>
      </c>
      <c r="AG1877" s="244"/>
      <c r="AH1877" s="244"/>
      <c r="AI1877" s="245"/>
      <c r="AJ1877" s="245"/>
      <c r="AK1877" s="245"/>
      <c r="AL1877" s="245"/>
      <c r="AM1877" s="244"/>
      <c r="AN1877" s="244"/>
      <c r="AO1877" s="238">
        <v>0.0</v>
      </c>
      <c r="AP1877" s="238">
        <v>0.0</v>
      </c>
      <c r="AQ1877" s="235" t="s">
        <v>632</v>
      </c>
      <c r="AR1877" s="243">
        <v>1.68E11</v>
      </c>
      <c r="AS1877" s="235" t="s">
        <v>13822</v>
      </c>
      <c r="AT1877" s="235" t="s">
        <v>155</v>
      </c>
      <c r="AU1877" s="235" t="s">
        <v>634</v>
      </c>
      <c r="AV1877" s="246" t="s">
        <v>635</v>
      </c>
      <c r="AW1877" s="242"/>
      <c r="AX1877" s="242"/>
      <c r="AY1877" s="231"/>
      <c r="AZ1877" s="231"/>
      <c r="BA1877" s="227"/>
      <c r="BB1877" s="231"/>
      <c r="BC1877" s="227"/>
      <c r="BD1877" s="227"/>
      <c r="BE1877" s="227"/>
      <c r="BF1877" s="227"/>
    </row>
    <row r="1878">
      <c r="A1878" s="235" t="s">
        <v>14693</v>
      </c>
      <c r="C1878" s="235" t="s">
        <v>14694</v>
      </c>
      <c r="D1878" s="235" t="s">
        <v>14695</v>
      </c>
      <c r="E1878" s="243">
        <v>6.54E13</v>
      </c>
      <c r="F1878" s="245"/>
      <c r="G1878" s="235" t="s">
        <v>14696</v>
      </c>
      <c r="H1878" s="235" t="s">
        <v>14697</v>
      </c>
      <c r="I1878" s="235" t="s">
        <v>14697</v>
      </c>
      <c r="J1878" s="235" t="s">
        <v>14698</v>
      </c>
      <c r="K1878" s="235" t="s">
        <v>14699</v>
      </c>
      <c r="N1878" s="235" t="s">
        <v>154</v>
      </c>
      <c r="O1878" s="235" t="s">
        <v>766</v>
      </c>
      <c r="P1878" s="238">
        <v>1.0</v>
      </c>
      <c r="Q1878" s="235" t="s">
        <v>627</v>
      </c>
      <c r="R1878" s="238">
        <v>465.71</v>
      </c>
      <c r="S1878" s="238">
        <v>23.29</v>
      </c>
      <c r="T1878" s="238">
        <v>56.19</v>
      </c>
      <c r="U1878" s="238">
        <v>2.81</v>
      </c>
      <c r="V1878" s="238">
        <v>0.0</v>
      </c>
      <c r="W1878" s="238">
        <v>0.0</v>
      </c>
      <c r="X1878" s="235" t="s">
        <v>628</v>
      </c>
      <c r="Z1878" s="244"/>
      <c r="AA1878" s="244"/>
      <c r="AB1878" s="244"/>
      <c r="AC1878" s="235" t="s">
        <v>14700</v>
      </c>
      <c r="AD1878" s="235" t="s">
        <v>965</v>
      </c>
      <c r="AE1878" s="238">
        <v>175001.0</v>
      </c>
      <c r="AF1878" s="235" t="s">
        <v>631</v>
      </c>
      <c r="AG1878" s="244"/>
      <c r="AH1878" s="244"/>
      <c r="AI1878" s="245"/>
      <c r="AJ1878" s="245"/>
      <c r="AK1878" s="245"/>
      <c r="AL1878" s="245"/>
      <c r="AM1878" s="244"/>
      <c r="AN1878" s="244"/>
      <c r="AO1878" s="238">
        <v>0.0</v>
      </c>
      <c r="AP1878" s="238">
        <v>-56.19</v>
      </c>
      <c r="AQ1878" s="235" t="s">
        <v>632</v>
      </c>
      <c r="AR1878" s="243">
        <v>3.71E11</v>
      </c>
      <c r="AS1878" s="235" t="s">
        <v>12693</v>
      </c>
      <c r="AT1878" s="235" t="s">
        <v>14</v>
      </c>
      <c r="AU1878" s="235" t="s">
        <v>634</v>
      </c>
      <c r="AV1878" s="246" t="s">
        <v>635</v>
      </c>
      <c r="AW1878" s="242"/>
      <c r="AX1878" s="242"/>
      <c r="AY1878" s="231"/>
      <c r="AZ1878" s="231"/>
      <c r="BA1878" s="227"/>
      <c r="BB1878" s="231"/>
      <c r="BC1878" s="227"/>
      <c r="BD1878" s="227"/>
      <c r="BE1878" s="227"/>
      <c r="BF1878" s="227"/>
    </row>
    <row r="1879">
      <c r="A1879" s="235" t="s">
        <v>14701</v>
      </c>
      <c r="C1879" s="235" t="s">
        <v>14702</v>
      </c>
      <c r="D1879" s="235" t="s">
        <v>14703</v>
      </c>
      <c r="E1879" s="243">
        <v>6.54E13</v>
      </c>
      <c r="F1879" s="245"/>
      <c r="G1879" s="235" t="s">
        <v>14704</v>
      </c>
      <c r="H1879" s="235" t="s">
        <v>14705</v>
      </c>
      <c r="I1879" s="235" t="s">
        <v>14705</v>
      </c>
      <c r="J1879" s="235" t="s">
        <v>14706</v>
      </c>
      <c r="K1879" s="235" t="s">
        <v>14707</v>
      </c>
      <c r="N1879" s="235" t="s">
        <v>130</v>
      </c>
      <c r="O1879" s="235" t="s">
        <v>707</v>
      </c>
      <c r="P1879" s="238">
        <v>1.0</v>
      </c>
      <c r="Q1879" s="235" t="s">
        <v>627</v>
      </c>
      <c r="R1879" s="238">
        <v>246.67</v>
      </c>
      <c r="S1879" s="238">
        <v>12.08</v>
      </c>
      <c r="T1879" s="238">
        <v>0.0</v>
      </c>
      <c r="U1879" s="238">
        <v>0.0</v>
      </c>
      <c r="V1879" s="238">
        <v>0.0</v>
      </c>
      <c r="W1879" s="238">
        <v>0.0</v>
      </c>
      <c r="X1879" s="235" t="s">
        <v>628</v>
      </c>
      <c r="Z1879" s="244"/>
      <c r="AA1879" s="244"/>
      <c r="AB1879" s="244"/>
      <c r="AC1879" s="235" t="s">
        <v>1279</v>
      </c>
      <c r="AD1879" s="235" t="s">
        <v>917</v>
      </c>
      <c r="AE1879" s="238">
        <v>302016.0</v>
      </c>
      <c r="AF1879" s="235" t="s">
        <v>631</v>
      </c>
      <c r="AG1879" s="244"/>
      <c r="AH1879" s="244"/>
      <c r="AI1879" s="245"/>
      <c r="AJ1879" s="245"/>
      <c r="AK1879" s="245"/>
      <c r="AL1879" s="245"/>
      <c r="AM1879" s="244"/>
      <c r="AN1879" s="244"/>
      <c r="AO1879" s="238">
        <v>-4.93</v>
      </c>
      <c r="AP1879" s="238">
        <v>0.0</v>
      </c>
      <c r="AQ1879" s="235" t="s">
        <v>632</v>
      </c>
      <c r="AR1879" s="243">
        <v>1.68E11</v>
      </c>
      <c r="AS1879" s="235" t="s">
        <v>13822</v>
      </c>
      <c r="AT1879" s="235" t="s">
        <v>14</v>
      </c>
      <c r="AU1879" s="235" t="s">
        <v>634</v>
      </c>
      <c r="AV1879" s="246" t="s">
        <v>635</v>
      </c>
      <c r="AW1879" s="242"/>
      <c r="AX1879" s="242"/>
      <c r="AY1879" s="231"/>
      <c r="AZ1879" s="231"/>
      <c r="BA1879" s="227"/>
      <c r="BB1879" s="231"/>
      <c r="BC1879" s="227"/>
      <c r="BD1879" s="227"/>
      <c r="BE1879" s="227"/>
      <c r="BF1879" s="227"/>
    </row>
    <row r="1880">
      <c r="A1880" s="235" t="s">
        <v>14708</v>
      </c>
      <c r="C1880" s="235" t="s">
        <v>14709</v>
      </c>
      <c r="D1880" s="235" t="s">
        <v>14710</v>
      </c>
      <c r="E1880" s="243">
        <v>6.54E13</v>
      </c>
      <c r="F1880" s="245"/>
      <c r="G1880" s="235" t="s">
        <v>14711</v>
      </c>
      <c r="H1880" s="235" t="s">
        <v>14712</v>
      </c>
      <c r="I1880" s="235" t="s">
        <v>14712</v>
      </c>
      <c r="J1880" s="235" t="s">
        <v>14713</v>
      </c>
      <c r="K1880" s="235" t="s">
        <v>14714</v>
      </c>
      <c r="N1880" s="235" t="s">
        <v>53</v>
      </c>
      <c r="O1880" s="235" t="s">
        <v>512</v>
      </c>
      <c r="P1880" s="238">
        <v>1.0</v>
      </c>
      <c r="Q1880" s="235" t="s">
        <v>627</v>
      </c>
      <c r="R1880" s="238">
        <v>237.14</v>
      </c>
      <c r="S1880" s="238">
        <v>11.62</v>
      </c>
      <c r="T1880" s="238">
        <v>3.0</v>
      </c>
      <c r="U1880" s="238">
        <v>0.16</v>
      </c>
      <c r="V1880" s="238">
        <v>0.0</v>
      </c>
      <c r="W1880" s="238">
        <v>0.0</v>
      </c>
      <c r="X1880" s="235" t="s">
        <v>628</v>
      </c>
      <c r="Z1880" s="244"/>
      <c r="AA1880" s="244"/>
      <c r="AB1880" s="244"/>
      <c r="AC1880" s="235" t="s">
        <v>1887</v>
      </c>
      <c r="AD1880" s="235" t="s">
        <v>679</v>
      </c>
      <c r="AE1880" s="238">
        <v>560100.0</v>
      </c>
      <c r="AF1880" s="235" t="s">
        <v>631</v>
      </c>
      <c r="AG1880" s="244"/>
      <c r="AH1880" s="244"/>
      <c r="AI1880" s="245"/>
      <c r="AJ1880" s="245"/>
      <c r="AK1880" s="245"/>
      <c r="AL1880" s="245"/>
      <c r="AM1880" s="244"/>
      <c r="AN1880" s="244"/>
      <c r="AO1880" s="238">
        <v>-4.74</v>
      </c>
      <c r="AP1880" s="238">
        <v>-3.0</v>
      </c>
      <c r="AQ1880" s="235" t="s">
        <v>632</v>
      </c>
      <c r="AR1880" s="243">
        <v>1.68E11</v>
      </c>
      <c r="AS1880" s="235" t="s">
        <v>14390</v>
      </c>
      <c r="AT1880" s="235" t="s">
        <v>9</v>
      </c>
      <c r="AU1880" s="235" t="s">
        <v>634</v>
      </c>
      <c r="AV1880" s="246" t="s">
        <v>635</v>
      </c>
      <c r="AW1880" s="242"/>
      <c r="AX1880" s="242"/>
      <c r="AY1880" s="231"/>
      <c r="AZ1880" s="231"/>
      <c r="BA1880" s="227"/>
      <c r="BB1880" s="231"/>
      <c r="BC1880" s="227"/>
      <c r="BD1880" s="227"/>
      <c r="BE1880" s="227"/>
      <c r="BF1880" s="227"/>
    </row>
    <row r="1881">
      <c r="A1881" s="235" t="s">
        <v>14715</v>
      </c>
      <c r="C1881" s="235" t="s">
        <v>14716</v>
      </c>
      <c r="D1881" s="235" t="s">
        <v>14717</v>
      </c>
      <c r="E1881" s="243">
        <v>6.54E13</v>
      </c>
      <c r="F1881" s="245"/>
      <c r="G1881" s="235" t="s">
        <v>14718</v>
      </c>
      <c r="H1881" s="235" t="s">
        <v>14719</v>
      </c>
      <c r="I1881" s="235" t="s">
        <v>14719</v>
      </c>
      <c r="J1881" s="235" t="s">
        <v>14720</v>
      </c>
      <c r="K1881" s="235" t="s">
        <v>14721</v>
      </c>
      <c r="N1881" s="235" t="s">
        <v>78</v>
      </c>
      <c r="O1881" s="235" t="s">
        <v>360</v>
      </c>
      <c r="P1881" s="238">
        <v>1.0</v>
      </c>
      <c r="Q1881" s="235" t="s">
        <v>627</v>
      </c>
      <c r="R1881" s="238">
        <v>357.14</v>
      </c>
      <c r="S1881" s="238">
        <v>17.86</v>
      </c>
      <c r="T1881" s="238">
        <v>0.0</v>
      </c>
      <c r="U1881" s="238">
        <v>0.0</v>
      </c>
      <c r="V1881" s="238">
        <v>0.0</v>
      </c>
      <c r="W1881" s="238">
        <v>0.0</v>
      </c>
      <c r="X1881" s="235" t="s">
        <v>628</v>
      </c>
      <c r="Z1881" s="244"/>
      <c r="AA1881" s="244"/>
      <c r="AB1881" s="244"/>
      <c r="AC1881" s="235" t="s">
        <v>678</v>
      </c>
      <c r="AD1881" s="235" t="s">
        <v>679</v>
      </c>
      <c r="AE1881" s="238">
        <v>560040.0</v>
      </c>
      <c r="AF1881" s="235" t="s">
        <v>631</v>
      </c>
      <c r="AG1881" s="244"/>
      <c r="AH1881" s="244"/>
      <c r="AI1881" s="245"/>
      <c r="AJ1881" s="245"/>
      <c r="AK1881" s="245"/>
      <c r="AL1881" s="245"/>
      <c r="AM1881" s="244"/>
      <c r="AN1881" s="244"/>
      <c r="AO1881" s="238">
        <v>0.0</v>
      </c>
      <c r="AP1881" s="238">
        <v>0.0</v>
      </c>
      <c r="AQ1881" s="235" t="s">
        <v>632</v>
      </c>
      <c r="AR1881" s="243">
        <v>1.68E11</v>
      </c>
      <c r="AS1881" s="235" t="s">
        <v>13822</v>
      </c>
      <c r="AT1881" s="235" t="s">
        <v>156</v>
      </c>
      <c r="AU1881" s="235" t="s">
        <v>634</v>
      </c>
      <c r="AV1881" s="246" t="s">
        <v>635</v>
      </c>
      <c r="AW1881" s="242"/>
      <c r="AX1881" s="242"/>
      <c r="AY1881" s="231"/>
      <c r="AZ1881" s="231"/>
      <c r="BA1881" s="227"/>
      <c r="BB1881" s="231"/>
      <c r="BC1881" s="227"/>
      <c r="BD1881" s="227"/>
      <c r="BE1881" s="227"/>
      <c r="BF1881" s="227"/>
    </row>
    <row r="1882">
      <c r="A1882" s="235" t="s">
        <v>14722</v>
      </c>
      <c r="C1882" s="235" t="s">
        <v>14723</v>
      </c>
      <c r="D1882" s="235" t="s">
        <v>14724</v>
      </c>
      <c r="E1882" s="243">
        <v>6.54E13</v>
      </c>
      <c r="F1882" s="245"/>
      <c r="G1882" s="235" t="s">
        <v>14725</v>
      </c>
      <c r="H1882" s="235" t="s">
        <v>14726</v>
      </c>
      <c r="I1882" s="235" t="s">
        <v>14726</v>
      </c>
      <c r="J1882" s="235" t="s">
        <v>14727</v>
      </c>
      <c r="K1882" s="235" t="s">
        <v>14728</v>
      </c>
      <c r="N1882" s="235" t="s">
        <v>145</v>
      </c>
      <c r="O1882" s="235" t="s">
        <v>370</v>
      </c>
      <c r="P1882" s="238">
        <v>1.0</v>
      </c>
      <c r="Q1882" s="235" t="s">
        <v>627</v>
      </c>
      <c r="R1882" s="238">
        <v>1522.86</v>
      </c>
      <c r="S1882" s="238">
        <v>76.14</v>
      </c>
      <c r="T1882" s="238">
        <v>0.0</v>
      </c>
      <c r="U1882" s="238">
        <v>0.0</v>
      </c>
      <c r="V1882" s="238">
        <v>0.0</v>
      </c>
      <c r="W1882" s="238">
        <v>0.0</v>
      </c>
      <c r="X1882" s="235" t="s">
        <v>628</v>
      </c>
      <c r="Z1882" s="244"/>
      <c r="AA1882" s="244"/>
      <c r="AB1882" s="244"/>
      <c r="AC1882" s="235" t="s">
        <v>1514</v>
      </c>
      <c r="AD1882" s="235" t="s">
        <v>1077</v>
      </c>
      <c r="AE1882" s="238">
        <v>380058.0</v>
      </c>
      <c r="AF1882" s="235" t="s">
        <v>631</v>
      </c>
      <c r="AG1882" s="244"/>
      <c r="AH1882" s="244"/>
      <c r="AI1882" s="245"/>
      <c r="AJ1882" s="245"/>
      <c r="AK1882" s="245"/>
      <c r="AL1882" s="245"/>
      <c r="AM1882" s="244"/>
      <c r="AN1882" s="244"/>
      <c r="AO1882" s="238">
        <v>0.0</v>
      </c>
      <c r="AP1882" s="238">
        <v>0.0</v>
      </c>
      <c r="AQ1882" s="235" t="s">
        <v>632</v>
      </c>
      <c r="AR1882" s="243">
        <v>3.71E11</v>
      </c>
      <c r="AS1882" s="235" t="s">
        <v>13822</v>
      </c>
      <c r="AT1882" s="235" t="s">
        <v>5</v>
      </c>
      <c r="AU1882" s="235" t="s">
        <v>634</v>
      </c>
      <c r="AV1882" s="246" t="s">
        <v>635</v>
      </c>
      <c r="AW1882" s="242"/>
      <c r="AX1882" s="242"/>
      <c r="AY1882" s="231"/>
      <c r="AZ1882" s="231"/>
      <c r="BA1882" s="227"/>
      <c r="BB1882" s="231"/>
      <c r="BC1882" s="227"/>
      <c r="BD1882" s="227"/>
      <c r="BE1882" s="227"/>
      <c r="BF1882" s="227"/>
    </row>
    <row r="1883">
      <c r="A1883" s="235" t="s">
        <v>14729</v>
      </c>
      <c r="C1883" s="235" t="s">
        <v>14730</v>
      </c>
      <c r="D1883" s="235" t="s">
        <v>14731</v>
      </c>
      <c r="E1883" s="243">
        <v>6.54E13</v>
      </c>
      <c r="F1883" s="245"/>
      <c r="G1883" s="235" t="s">
        <v>14732</v>
      </c>
      <c r="H1883" s="235" t="s">
        <v>14733</v>
      </c>
      <c r="I1883" s="235" t="s">
        <v>14733</v>
      </c>
      <c r="J1883" s="235" t="s">
        <v>14734</v>
      </c>
      <c r="K1883" s="235" t="s">
        <v>9766</v>
      </c>
      <c r="N1883" s="235" t="s">
        <v>154</v>
      </c>
      <c r="O1883" s="235" t="s">
        <v>766</v>
      </c>
      <c r="P1883" s="238">
        <v>1.0</v>
      </c>
      <c r="Q1883" s="235" t="s">
        <v>627</v>
      </c>
      <c r="R1883" s="238">
        <v>465.71</v>
      </c>
      <c r="S1883" s="238">
        <v>22.82</v>
      </c>
      <c r="T1883" s="238">
        <v>0.0</v>
      </c>
      <c r="U1883" s="238">
        <v>0.0</v>
      </c>
      <c r="V1883" s="238">
        <v>0.0</v>
      </c>
      <c r="W1883" s="238">
        <v>0.0</v>
      </c>
      <c r="X1883" s="235" t="s">
        <v>628</v>
      </c>
      <c r="Z1883" s="244"/>
      <c r="AA1883" s="244"/>
      <c r="AB1883" s="244"/>
      <c r="AC1883" s="235" t="s">
        <v>9767</v>
      </c>
      <c r="AD1883" s="235" t="s">
        <v>1151</v>
      </c>
      <c r="AE1883" s="238">
        <v>711104.0</v>
      </c>
      <c r="AF1883" s="235" t="s">
        <v>631</v>
      </c>
      <c r="AG1883" s="244"/>
      <c r="AH1883" s="244"/>
      <c r="AI1883" s="245"/>
      <c r="AJ1883" s="245"/>
      <c r="AK1883" s="245"/>
      <c r="AL1883" s="245"/>
      <c r="AM1883" s="244"/>
      <c r="AN1883" s="244"/>
      <c r="AO1883" s="238">
        <v>-9.31</v>
      </c>
      <c r="AP1883" s="238">
        <v>0.0</v>
      </c>
      <c r="AQ1883" s="235" t="s">
        <v>632</v>
      </c>
      <c r="AR1883" s="243">
        <v>3.71E11</v>
      </c>
      <c r="AS1883" s="235" t="s">
        <v>10017</v>
      </c>
      <c r="AT1883" s="235" t="s">
        <v>14</v>
      </c>
      <c r="AU1883" s="235" t="s">
        <v>634</v>
      </c>
      <c r="AV1883" s="246" t="s">
        <v>635</v>
      </c>
      <c r="AW1883" s="242"/>
      <c r="AX1883" s="242"/>
      <c r="AY1883" s="231"/>
      <c r="AZ1883" s="231"/>
      <c r="BA1883" s="227"/>
      <c r="BB1883" s="231"/>
      <c r="BC1883" s="227"/>
      <c r="BD1883" s="227"/>
      <c r="BE1883" s="227"/>
      <c r="BF1883" s="227"/>
    </row>
    <row r="1884">
      <c r="A1884" s="235" t="s">
        <v>14735</v>
      </c>
      <c r="C1884" s="235" t="s">
        <v>14736</v>
      </c>
      <c r="D1884" s="235" t="s">
        <v>14737</v>
      </c>
      <c r="E1884" s="243">
        <v>6.54E13</v>
      </c>
      <c r="F1884" s="245"/>
      <c r="G1884" s="235" t="s">
        <v>14738</v>
      </c>
      <c r="H1884" s="235" t="s">
        <v>14739</v>
      </c>
      <c r="I1884" s="235" t="s">
        <v>14739</v>
      </c>
      <c r="J1884" s="235" t="s">
        <v>14740</v>
      </c>
      <c r="K1884" s="235" t="s">
        <v>14741</v>
      </c>
      <c r="N1884" s="235" t="s">
        <v>43</v>
      </c>
      <c r="O1884" s="235" t="s">
        <v>276</v>
      </c>
      <c r="P1884" s="238">
        <v>1.0</v>
      </c>
      <c r="Q1884" s="235" t="s">
        <v>627</v>
      </c>
      <c r="R1884" s="238">
        <v>237.14</v>
      </c>
      <c r="S1884" s="238">
        <v>11.86</v>
      </c>
      <c r="T1884" s="238">
        <v>38.1</v>
      </c>
      <c r="U1884" s="238">
        <v>1.9</v>
      </c>
      <c r="V1884" s="238">
        <v>0.0</v>
      </c>
      <c r="W1884" s="238">
        <v>0.0</v>
      </c>
      <c r="X1884" s="235" t="s">
        <v>628</v>
      </c>
      <c r="Z1884" s="244"/>
      <c r="AA1884" s="244"/>
      <c r="AB1884" s="244"/>
      <c r="AC1884" s="235" t="s">
        <v>14742</v>
      </c>
      <c r="AD1884" s="235" t="s">
        <v>666</v>
      </c>
      <c r="AE1884" s="238">
        <v>627401.0</v>
      </c>
      <c r="AF1884" s="235" t="s">
        <v>631</v>
      </c>
      <c r="AG1884" s="244"/>
      <c r="AH1884" s="244"/>
      <c r="AI1884" s="245"/>
      <c r="AJ1884" s="245"/>
      <c r="AK1884" s="245"/>
      <c r="AL1884" s="245"/>
      <c r="AM1884" s="244"/>
      <c r="AN1884" s="244"/>
      <c r="AO1884" s="238">
        <v>0.0</v>
      </c>
      <c r="AP1884" s="238">
        <v>-38.1</v>
      </c>
      <c r="AQ1884" s="235" t="s">
        <v>632</v>
      </c>
      <c r="AR1884" s="243">
        <v>3.71E11</v>
      </c>
      <c r="AS1884" s="235" t="s">
        <v>12693</v>
      </c>
      <c r="AT1884" s="235" t="s">
        <v>156</v>
      </c>
      <c r="AU1884" s="235" t="s">
        <v>634</v>
      </c>
      <c r="AV1884" s="246" t="s">
        <v>635</v>
      </c>
      <c r="AW1884" s="242"/>
      <c r="AX1884" s="242"/>
      <c r="AY1884" s="231"/>
      <c r="AZ1884" s="231"/>
      <c r="BA1884" s="227"/>
      <c r="BB1884" s="231"/>
      <c r="BC1884" s="227"/>
      <c r="BD1884" s="227"/>
      <c r="BE1884" s="227"/>
      <c r="BF1884" s="227"/>
    </row>
    <row r="1885">
      <c r="A1885" s="235" t="s">
        <v>14743</v>
      </c>
      <c r="C1885" s="235" t="s">
        <v>14744</v>
      </c>
      <c r="D1885" s="235" t="s">
        <v>14745</v>
      </c>
      <c r="E1885" s="243">
        <v>6.54E13</v>
      </c>
      <c r="F1885" s="245"/>
      <c r="G1885" s="235" t="s">
        <v>14746</v>
      </c>
      <c r="H1885" s="235" t="s">
        <v>14747</v>
      </c>
      <c r="I1885" s="235" t="s">
        <v>14747</v>
      </c>
      <c r="J1885" s="235" t="s">
        <v>14748</v>
      </c>
      <c r="K1885" s="235" t="s">
        <v>14749</v>
      </c>
      <c r="N1885" s="235" t="s">
        <v>71</v>
      </c>
      <c r="O1885" s="235" t="s">
        <v>240</v>
      </c>
      <c r="P1885" s="238">
        <v>1.0</v>
      </c>
      <c r="Q1885" s="235" t="s">
        <v>627</v>
      </c>
      <c r="R1885" s="238">
        <v>246.67</v>
      </c>
      <c r="S1885" s="238">
        <v>12.08</v>
      </c>
      <c r="T1885" s="238">
        <v>0.0</v>
      </c>
      <c r="U1885" s="238">
        <v>0.0</v>
      </c>
      <c r="V1885" s="238">
        <v>0.0</v>
      </c>
      <c r="W1885" s="238">
        <v>0.0</v>
      </c>
      <c r="X1885" s="235" t="s">
        <v>628</v>
      </c>
      <c r="Z1885" s="244"/>
      <c r="AA1885" s="244"/>
      <c r="AB1885" s="244"/>
      <c r="AC1885" s="235" t="s">
        <v>1287</v>
      </c>
      <c r="AD1885" s="235" t="s">
        <v>630</v>
      </c>
      <c r="AE1885" s="238">
        <v>201017.0</v>
      </c>
      <c r="AF1885" s="235" t="s">
        <v>631</v>
      </c>
      <c r="AG1885" s="244"/>
      <c r="AH1885" s="244"/>
      <c r="AI1885" s="245"/>
      <c r="AJ1885" s="245"/>
      <c r="AK1885" s="245"/>
      <c r="AL1885" s="245"/>
      <c r="AM1885" s="244"/>
      <c r="AN1885" s="244"/>
      <c r="AO1885" s="238">
        <v>-4.93</v>
      </c>
      <c r="AP1885" s="238">
        <v>0.0</v>
      </c>
      <c r="AQ1885" s="235" t="s">
        <v>632</v>
      </c>
      <c r="AR1885" s="243">
        <v>1.68E11</v>
      </c>
      <c r="AS1885" s="235" t="s">
        <v>14390</v>
      </c>
      <c r="AT1885" s="235" t="s">
        <v>14</v>
      </c>
      <c r="AU1885" s="235" t="s">
        <v>634</v>
      </c>
      <c r="AV1885" s="246" t="s">
        <v>635</v>
      </c>
      <c r="AW1885" s="242"/>
      <c r="AX1885" s="242"/>
      <c r="AY1885" s="231"/>
      <c r="AZ1885" s="231"/>
      <c r="BA1885" s="227"/>
      <c r="BB1885" s="231"/>
      <c r="BC1885" s="227"/>
      <c r="BD1885" s="227"/>
      <c r="BE1885" s="227"/>
      <c r="BF1885" s="227"/>
    </row>
    <row r="1886">
      <c r="A1886" s="235" t="s">
        <v>14750</v>
      </c>
      <c r="C1886" s="235" t="s">
        <v>14751</v>
      </c>
      <c r="D1886" s="235" t="s">
        <v>14752</v>
      </c>
      <c r="E1886" s="243">
        <v>6.54E13</v>
      </c>
      <c r="F1886" s="245"/>
      <c r="G1886" s="235" t="s">
        <v>14753</v>
      </c>
      <c r="H1886" s="235" t="s">
        <v>14754</v>
      </c>
      <c r="I1886" s="235" t="s">
        <v>14754</v>
      </c>
      <c r="J1886" s="235" t="s">
        <v>14755</v>
      </c>
      <c r="K1886" s="235" t="s">
        <v>14756</v>
      </c>
      <c r="N1886" s="235" t="s">
        <v>962</v>
      </c>
      <c r="O1886" s="235" t="s">
        <v>963</v>
      </c>
      <c r="P1886" s="238">
        <v>1.0</v>
      </c>
      <c r="Q1886" s="235" t="s">
        <v>627</v>
      </c>
      <c r="R1886" s="238">
        <v>246.66</v>
      </c>
      <c r="S1886" s="238">
        <v>12.1</v>
      </c>
      <c r="T1886" s="238">
        <v>38.1</v>
      </c>
      <c r="U1886" s="238">
        <v>1.9</v>
      </c>
      <c r="V1886" s="238">
        <v>0.0</v>
      </c>
      <c r="W1886" s="238">
        <v>0.0</v>
      </c>
      <c r="X1886" s="235" t="s">
        <v>628</v>
      </c>
      <c r="Z1886" s="244"/>
      <c r="AA1886" s="244"/>
      <c r="AB1886" s="244"/>
      <c r="AC1886" s="235" t="s">
        <v>14757</v>
      </c>
      <c r="AD1886" s="235" t="s">
        <v>845</v>
      </c>
      <c r="AE1886" s="238">
        <v>416505.0</v>
      </c>
      <c r="AF1886" s="235" t="s">
        <v>631</v>
      </c>
      <c r="AG1886" s="244"/>
      <c r="AH1886" s="244"/>
      <c r="AI1886" s="245"/>
      <c r="AJ1886" s="245"/>
      <c r="AK1886" s="245"/>
      <c r="AL1886" s="245"/>
      <c r="AM1886" s="244"/>
      <c r="AN1886" s="244"/>
      <c r="AO1886" s="238">
        <v>-4.94</v>
      </c>
      <c r="AP1886" s="238">
        <v>-38.1</v>
      </c>
      <c r="AQ1886" s="235" t="s">
        <v>1328</v>
      </c>
      <c r="AR1886" s="243">
        <v>1.34E13</v>
      </c>
      <c r="AS1886" s="235" t="s">
        <v>7365</v>
      </c>
      <c r="AT1886" s="235" t="s">
        <v>16</v>
      </c>
      <c r="AU1886" s="235" t="s">
        <v>634</v>
      </c>
      <c r="AV1886" s="246" t="s">
        <v>635</v>
      </c>
      <c r="AW1886" s="242"/>
      <c r="AX1886" s="242"/>
      <c r="AY1886" s="231"/>
      <c r="AZ1886" s="231"/>
      <c r="BA1886" s="227"/>
      <c r="BB1886" s="231"/>
      <c r="BC1886" s="227"/>
      <c r="BD1886" s="227"/>
      <c r="BE1886" s="227"/>
      <c r="BF1886" s="227"/>
    </row>
    <row r="1887">
      <c r="A1887" s="235" t="s">
        <v>14758</v>
      </c>
      <c r="C1887" s="235" t="s">
        <v>14759</v>
      </c>
      <c r="D1887" s="235" t="s">
        <v>14760</v>
      </c>
      <c r="E1887" s="243">
        <v>6.54E13</v>
      </c>
      <c r="F1887" s="245"/>
      <c r="G1887" s="235" t="s">
        <v>14761</v>
      </c>
      <c r="H1887" s="235" t="s">
        <v>14762</v>
      </c>
      <c r="I1887" s="235" t="s">
        <v>14762</v>
      </c>
      <c r="J1887" s="235" t="s">
        <v>14763</v>
      </c>
      <c r="K1887" s="235" t="s">
        <v>14764</v>
      </c>
      <c r="N1887" s="235" t="s">
        <v>71</v>
      </c>
      <c r="O1887" s="235" t="s">
        <v>240</v>
      </c>
      <c r="P1887" s="238">
        <v>1.0</v>
      </c>
      <c r="Q1887" s="235" t="s">
        <v>627</v>
      </c>
      <c r="R1887" s="238">
        <v>246.67</v>
      </c>
      <c r="S1887" s="238">
        <v>12.33</v>
      </c>
      <c r="T1887" s="238">
        <v>0.0</v>
      </c>
      <c r="U1887" s="238">
        <v>0.0</v>
      </c>
      <c r="V1887" s="238">
        <v>0.0</v>
      </c>
      <c r="W1887" s="238">
        <v>0.0</v>
      </c>
      <c r="X1887" s="235" t="s">
        <v>628</v>
      </c>
      <c r="Z1887" s="244"/>
      <c r="AA1887" s="244"/>
      <c r="AB1887" s="244"/>
      <c r="AC1887" s="235" t="s">
        <v>2639</v>
      </c>
      <c r="AD1887" s="235" t="s">
        <v>630</v>
      </c>
      <c r="AE1887" s="238">
        <v>201308.0</v>
      </c>
      <c r="AF1887" s="235" t="s">
        <v>631</v>
      </c>
      <c r="AG1887" s="244"/>
      <c r="AH1887" s="244"/>
      <c r="AI1887" s="245"/>
      <c r="AJ1887" s="245"/>
      <c r="AK1887" s="245"/>
      <c r="AL1887" s="245"/>
      <c r="AM1887" s="244"/>
      <c r="AN1887" s="244"/>
      <c r="AO1887" s="238">
        <v>0.0</v>
      </c>
      <c r="AP1887" s="238">
        <v>0.0</v>
      </c>
      <c r="AQ1887" s="235" t="s">
        <v>632</v>
      </c>
      <c r="AR1887" s="243">
        <v>1.68E11</v>
      </c>
      <c r="AS1887" s="235" t="s">
        <v>14390</v>
      </c>
      <c r="AT1887" s="235" t="s">
        <v>14</v>
      </c>
      <c r="AU1887" s="235" t="s">
        <v>634</v>
      </c>
      <c r="AV1887" s="246" t="s">
        <v>635</v>
      </c>
      <c r="AW1887" s="242"/>
      <c r="AX1887" s="242"/>
      <c r="AY1887" s="231"/>
      <c r="AZ1887" s="231"/>
      <c r="BA1887" s="227"/>
      <c r="BB1887" s="231"/>
      <c r="BC1887" s="227"/>
      <c r="BD1887" s="227"/>
      <c r="BE1887" s="227"/>
      <c r="BF1887" s="227"/>
    </row>
    <row r="1888">
      <c r="A1888" s="235" t="s">
        <v>14765</v>
      </c>
      <c r="C1888" s="235" t="s">
        <v>14766</v>
      </c>
      <c r="D1888" s="235" t="s">
        <v>14767</v>
      </c>
      <c r="E1888" s="243">
        <v>6.54E13</v>
      </c>
      <c r="F1888" s="245"/>
      <c r="G1888" s="235" t="s">
        <v>14768</v>
      </c>
      <c r="H1888" s="235" t="s">
        <v>14769</v>
      </c>
      <c r="I1888" s="235" t="s">
        <v>14769</v>
      </c>
      <c r="J1888" s="235" t="s">
        <v>14770</v>
      </c>
      <c r="K1888" s="235" t="s">
        <v>14771</v>
      </c>
      <c r="N1888" s="235" t="s">
        <v>71</v>
      </c>
      <c r="O1888" s="235" t="s">
        <v>240</v>
      </c>
      <c r="P1888" s="238">
        <v>1.0</v>
      </c>
      <c r="Q1888" s="235" t="s">
        <v>627</v>
      </c>
      <c r="R1888" s="238">
        <v>246.67</v>
      </c>
      <c r="S1888" s="238">
        <v>12.33</v>
      </c>
      <c r="T1888" s="238">
        <v>0.0</v>
      </c>
      <c r="U1888" s="238">
        <v>0.0</v>
      </c>
      <c r="V1888" s="238">
        <v>0.0</v>
      </c>
      <c r="W1888" s="238">
        <v>0.0</v>
      </c>
      <c r="X1888" s="235" t="s">
        <v>628</v>
      </c>
      <c r="Z1888" s="244"/>
      <c r="AA1888" s="244"/>
      <c r="AB1888" s="244"/>
      <c r="AC1888" s="235" t="s">
        <v>1531</v>
      </c>
      <c r="AD1888" s="235" t="s">
        <v>1151</v>
      </c>
      <c r="AE1888" s="238">
        <v>700041.0</v>
      </c>
      <c r="AF1888" s="235" t="s">
        <v>631</v>
      </c>
      <c r="AG1888" s="244"/>
      <c r="AH1888" s="244"/>
      <c r="AI1888" s="245"/>
      <c r="AJ1888" s="245"/>
      <c r="AK1888" s="245"/>
      <c r="AL1888" s="245"/>
      <c r="AM1888" s="244"/>
      <c r="AN1888" s="244"/>
      <c r="AO1888" s="238">
        <v>0.0</v>
      </c>
      <c r="AP1888" s="238">
        <v>0.0</v>
      </c>
      <c r="AQ1888" s="235" t="s">
        <v>632</v>
      </c>
      <c r="AR1888" s="243">
        <v>2.02E11</v>
      </c>
      <c r="AS1888" s="235" t="s">
        <v>13822</v>
      </c>
      <c r="AT1888" s="235" t="s">
        <v>156</v>
      </c>
      <c r="AU1888" s="235" t="s">
        <v>634</v>
      </c>
      <c r="AV1888" s="246" t="s">
        <v>635</v>
      </c>
      <c r="AW1888" s="242"/>
      <c r="AX1888" s="242"/>
      <c r="AY1888" s="231"/>
      <c r="AZ1888" s="231"/>
      <c r="BA1888" s="227"/>
      <c r="BB1888" s="231"/>
      <c r="BC1888" s="227"/>
      <c r="BD1888" s="227"/>
      <c r="BE1888" s="227"/>
      <c r="BF1888" s="227"/>
    </row>
    <row r="1889">
      <c r="A1889" s="235" t="s">
        <v>14772</v>
      </c>
      <c r="C1889" s="235" t="s">
        <v>14773</v>
      </c>
      <c r="D1889" s="235" t="s">
        <v>14774</v>
      </c>
      <c r="E1889" s="243">
        <v>6.54E13</v>
      </c>
      <c r="F1889" s="245"/>
      <c r="G1889" s="235" t="s">
        <v>14775</v>
      </c>
      <c r="H1889" s="235" t="s">
        <v>14776</v>
      </c>
      <c r="I1889" s="235" t="s">
        <v>14776</v>
      </c>
      <c r="J1889" s="235" t="s">
        <v>14777</v>
      </c>
      <c r="K1889" s="235" t="s">
        <v>14778</v>
      </c>
      <c r="N1889" s="235" t="s">
        <v>90</v>
      </c>
      <c r="O1889" s="235" t="s">
        <v>279</v>
      </c>
      <c r="P1889" s="238">
        <v>1.0</v>
      </c>
      <c r="Q1889" s="235" t="s">
        <v>627</v>
      </c>
      <c r="R1889" s="238">
        <v>246.66</v>
      </c>
      <c r="S1889" s="238">
        <v>12.34</v>
      </c>
      <c r="T1889" s="238">
        <v>0.0</v>
      </c>
      <c r="U1889" s="238">
        <v>0.0</v>
      </c>
      <c r="V1889" s="238">
        <v>0.0</v>
      </c>
      <c r="W1889" s="238">
        <v>0.0</v>
      </c>
      <c r="X1889" s="235" t="s">
        <v>628</v>
      </c>
      <c r="Z1889" s="244"/>
      <c r="AA1889" s="244"/>
      <c r="AB1889" s="244"/>
      <c r="AC1889" s="235" t="s">
        <v>14779</v>
      </c>
      <c r="AD1889" s="235" t="s">
        <v>845</v>
      </c>
      <c r="AE1889" s="238">
        <v>412106.0</v>
      </c>
      <c r="AF1889" s="235" t="s">
        <v>631</v>
      </c>
      <c r="AG1889" s="244"/>
      <c r="AH1889" s="244"/>
      <c r="AI1889" s="245"/>
      <c r="AJ1889" s="245"/>
      <c r="AK1889" s="245"/>
      <c r="AL1889" s="245"/>
      <c r="AM1889" s="244"/>
      <c r="AN1889" s="244"/>
      <c r="AO1889" s="238">
        <v>0.0</v>
      </c>
      <c r="AP1889" s="238">
        <v>0.0</v>
      </c>
      <c r="AQ1889" s="235" t="s">
        <v>632</v>
      </c>
      <c r="AR1889" s="243">
        <v>1.68E11</v>
      </c>
      <c r="AS1889" s="235" t="s">
        <v>14390</v>
      </c>
      <c r="AT1889" s="235" t="s">
        <v>546</v>
      </c>
      <c r="AU1889" s="235" t="s">
        <v>634</v>
      </c>
      <c r="AV1889" s="246" t="s">
        <v>635</v>
      </c>
      <c r="AW1889" s="242"/>
      <c r="AX1889" s="242"/>
      <c r="AY1889" s="231"/>
      <c r="AZ1889" s="231"/>
      <c r="BA1889" s="227"/>
      <c r="BB1889" s="231"/>
      <c r="BC1889" s="227"/>
      <c r="BD1889" s="227"/>
      <c r="BE1889" s="227"/>
      <c r="BF1889" s="227"/>
    </row>
    <row r="1890">
      <c r="A1890" s="235" t="s">
        <v>14780</v>
      </c>
      <c r="C1890" s="235" t="s">
        <v>14781</v>
      </c>
      <c r="D1890" s="235" t="s">
        <v>14782</v>
      </c>
      <c r="E1890" s="243">
        <v>6.54E13</v>
      </c>
      <c r="F1890" s="245"/>
      <c r="G1890" s="235" t="s">
        <v>14783</v>
      </c>
      <c r="H1890" s="235" t="s">
        <v>14784</v>
      </c>
      <c r="I1890" s="235" t="s">
        <v>14784</v>
      </c>
      <c r="J1890" s="235" t="s">
        <v>14785</v>
      </c>
      <c r="K1890" s="235" t="s">
        <v>14786</v>
      </c>
      <c r="N1890" s="235" t="s">
        <v>141</v>
      </c>
      <c r="O1890" s="235" t="s">
        <v>342</v>
      </c>
      <c r="P1890" s="238">
        <v>1.0</v>
      </c>
      <c r="Q1890" s="235" t="s">
        <v>627</v>
      </c>
      <c r="R1890" s="238">
        <v>246.67</v>
      </c>
      <c r="S1890" s="238">
        <v>12.08</v>
      </c>
      <c r="T1890" s="238">
        <v>0.0</v>
      </c>
      <c r="U1890" s="238">
        <v>0.0</v>
      </c>
      <c r="V1890" s="238">
        <v>0.0</v>
      </c>
      <c r="W1890" s="238">
        <v>0.0</v>
      </c>
      <c r="X1890" s="235" t="s">
        <v>628</v>
      </c>
      <c r="Z1890" s="244"/>
      <c r="AA1890" s="244"/>
      <c r="AB1890" s="244"/>
      <c r="AC1890" s="235" t="s">
        <v>795</v>
      </c>
      <c r="AD1890" s="235" t="s">
        <v>796</v>
      </c>
      <c r="AE1890" s="238">
        <v>110036.0</v>
      </c>
      <c r="AF1890" s="235" t="s">
        <v>631</v>
      </c>
      <c r="AG1890" s="244"/>
      <c r="AH1890" s="244"/>
      <c r="AI1890" s="245"/>
      <c r="AJ1890" s="245"/>
      <c r="AK1890" s="245"/>
      <c r="AL1890" s="245"/>
      <c r="AM1890" s="244"/>
      <c r="AN1890" s="244"/>
      <c r="AO1890" s="238">
        <v>-4.93</v>
      </c>
      <c r="AP1890" s="238">
        <v>0.0</v>
      </c>
      <c r="AQ1890" s="235" t="s">
        <v>632</v>
      </c>
      <c r="AR1890" s="243">
        <v>1.68E11</v>
      </c>
      <c r="AS1890" s="235" t="s">
        <v>14390</v>
      </c>
      <c r="AT1890" s="235" t="s">
        <v>13</v>
      </c>
      <c r="AU1890" s="235" t="s">
        <v>634</v>
      </c>
      <c r="AV1890" s="246" t="s">
        <v>635</v>
      </c>
      <c r="AW1890" s="242"/>
      <c r="AX1890" s="242"/>
      <c r="AY1890" s="231"/>
      <c r="AZ1890" s="231"/>
      <c r="BA1890" s="227"/>
      <c r="BB1890" s="231"/>
      <c r="BC1890" s="227"/>
      <c r="BD1890" s="227"/>
      <c r="BE1890" s="227"/>
      <c r="BF1890" s="227"/>
    </row>
    <row r="1891">
      <c r="A1891" s="235" t="s">
        <v>14787</v>
      </c>
      <c r="C1891" s="235" t="s">
        <v>14788</v>
      </c>
      <c r="D1891" s="235" t="s">
        <v>14789</v>
      </c>
      <c r="E1891" s="243">
        <v>6.54E13</v>
      </c>
      <c r="F1891" s="245"/>
      <c r="G1891" s="235" t="s">
        <v>14790</v>
      </c>
      <c r="H1891" s="235" t="s">
        <v>14791</v>
      </c>
      <c r="I1891" s="235" t="s">
        <v>14791</v>
      </c>
      <c r="J1891" s="235" t="s">
        <v>14792</v>
      </c>
      <c r="K1891" s="235" t="s">
        <v>14793</v>
      </c>
      <c r="N1891" s="235" t="s">
        <v>842</v>
      </c>
      <c r="O1891" s="235" t="s">
        <v>843</v>
      </c>
      <c r="P1891" s="238">
        <v>1.0</v>
      </c>
      <c r="Q1891" s="235" t="s">
        <v>627</v>
      </c>
      <c r="R1891" s="238">
        <v>246.67</v>
      </c>
      <c r="S1891" s="238">
        <v>12.33</v>
      </c>
      <c r="T1891" s="238">
        <v>0.0</v>
      </c>
      <c r="U1891" s="238">
        <v>0.0</v>
      </c>
      <c r="V1891" s="238">
        <v>0.0</v>
      </c>
      <c r="W1891" s="238">
        <v>0.0</v>
      </c>
      <c r="X1891" s="235" t="s">
        <v>628</v>
      </c>
      <c r="Z1891" s="244"/>
      <c r="AA1891" s="244"/>
      <c r="AB1891" s="244"/>
      <c r="AC1891" s="235" t="s">
        <v>937</v>
      </c>
      <c r="AD1891" s="235" t="s">
        <v>709</v>
      </c>
      <c r="AE1891" s="238">
        <v>800024.0</v>
      </c>
      <c r="AF1891" s="235" t="s">
        <v>631</v>
      </c>
      <c r="AG1891" s="244"/>
      <c r="AH1891" s="244"/>
      <c r="AI1891" s="245"/>
      <c r="AJ1891" s="245"/>
      <c r="AK1891" s="245"/>
      <c r="AL1891" s="245"/>
      <c r="AM1891" s="244"/>
      <c r="AN1891" s="244"/>
      <c r="AO1891" s="238">
        <v>0.0</v>
      </c>
      <c r="AP1891" s="238">
        <v>0.0</v>
      </c>
      <c r="AQ1891" s="235" t="s">
        <v>632</v>
      </c>
      <c r="AR1891" s="243">
        <v>1.68E11</v>
      </c>
      <c r="AS1891" s="235" t="s">
        <v>12693</v>
      </c>
      <c r="AT1891" s="235" t="s">
        <v>14</v>
      </c>
      <c r="AU1891" s="235" t="s">
        <v>634</v>
      </c>
      <c r="AV1891" s="246" t="s">
        <v>635</v>
      </c>
      <c r="AW1891" s="242"/>
      <c r="AX1891" s="242"/>
      <c r="AY1891" s="231"/>
      <c r="AZ1891" s="231"/>
      <c r="BA1891" s="227"/>
      <c r="BB1891" s="231"/>
      <c r="BC1891" s="227"/>
      <c r="BD1891" s="227"/>
      <c r="BE1891" s="227"/>
      <c r="BF1891" s="227"/>
    </row>
    <row r="1892">
      <c r="A1892" s="235" t="s">
        <v>14794</v>
      </c>
      <c r="C1892" s="235" t="s">
        <v>14795</v>
      </c>
      <c r="D1892" s="235" t="s">
        <v>14796</v>
      </c>
      <c r="E1892" s="243">
        <v>6.54E13</v>
      </c>
      <c r="F1892" s="245"/>
      <c r="G1892" s="235" t="s">
        <v>14797</v>
      </c>
      <c r="H1892" s="235" t="s">
        <v>14798</v>
      </c>
      <c r="I1892" s="235" t="s">
        <v>14798</v>
      </c>
      <c r="J1892" s="235" t="s">
        <v>14799</v>
      </c>
      <c r="K1892" s="235" t="s">
        <v>14800</v>
      </c>
      <c r="N1892" s="235" t="s">
        <v>15</v>
      </c>
      <c r="O1892" s="235" t="s">
        <v>856</v>
      </c>
      <c r="P1892" s="238">
        <v>2.0</v>
      </c>
      <c r="Q1892" s="235" t="s">
        <v>627</v>
      </c>
      <c r="R1892" s="238">
        <v>721.9</v>
      </c>
      <c r="S1892" s="238">
        <v>35.02</v>
      </c>
      <c r="T1892" s="238">
        <v>0.0</v>
      </c>
      <c r="U1892" s="238">
        <v>0.0</v>
      </c>
      <c r="V1892" s="238">
        <v>0.0</v>
      </c>
      <c r="W1892" s="238">
        <v>0.0</v>
      </c>
      <c r="X1892" s="235" t="s">
        <v>628</v>
      </c>
      <c r="Z1892" s="244"/>
      <c r="AA1892" s="244"/>
      <c r="AB1892" s="244"/>
      <c r="AC1892" s="235" t="s">
        <v>6571</v>
      </c>
      <c r="AD1892" s="235" t="s">
        <v>731</v>
      </c>
      <c r="AE1892" s="238">
        <v>781022.0</v>
      </c>
      <c r="AF1892" s="235" t="s">
        <v>631</v>
      </c>
      <c r="AG1892" s="244"/>
      <c r="AH1892" s="244"/>
      <c r="AI1892" s="245"/>
      <c r="AJ1892" s="245"/>
      <c r="AK1892" s="245"/>
      <c r="AL1892" s="245"/>
      <c r="AM1892" s="244"/>
      <c r="AN1892" s="244"/>
      <c r="AO1892" s="238">
        <v>-21.66</v>
      </c>
      <c r="AP1892" s="238">
        <v>0.0</v>
      </c>
      <c r="AQ1892" s="235" t="s">
        <v>632</v>
      </c>
      <c r="AR1892" s="243">
        <v>3.71E11</v>
      </c>
      <c r="AS1892" s="235" t="s">
        <v>8807</v>
      </c>
      <c r="AT1892" s="235" t="s">
        <v>14</v>
      </c>
      <c r="AU1892" s="235" t="s">
        <v>634</v>
      </c>
      <c r="AV1892" s="246" t="s">
        <v>635</v>
      </c>
      <c r="AW1892" s="242"/>
      <c r="AX1892" s="242"/>
      <c r="AY1892" s="231"/>
      <c r="AZ1892" s="231"/>
      <c r="BA1892" s="227"/>
      <c r="BB1892" s="231"/>
      <c r="BC1892" s="227"/>
      <c r="BD1892" s="227"/>
      <c r="BE1892" s="227"/>
      <c r="BF1892" s="227"/>
    </row>
    <row r="1893">
      <c r="A1893" s="235" t="s">
        <v>14801</v>
      </c>
      <c r="C1893" s="235" t="s">
        <v>14802</v>
      </c>
      <c r="D1893" s="235" t="s">
        <v>14803</v>
      </c>
      <c r="E1893" s="243">
        <v>6.54E13</v>
      </c>
      <c r="F1893" s="245"/>
      <c r="G1893" s="235" t="s">
        <v>14804</v>
      </c>
      <c r="H1893" s="235" t="s">
        <v>14805</v>
      </c>
      <c r="I1893" s="235" t="s">
        <v>14806</v>
      </c>
      <c r="J1893" s="235" t="s">
        <v>14807</v>
      </c>
      <c r="K1893" s="235" t="s">
        <v>14808</v>
      </c>
      <c r="N1893" s="235" t="s">
        <v>47</v>
      </c>
      <c r="O1893" s="235" t="s">
        <v>270</v>
      </c>
      <c r="P1893" s="238">
        <v>1.0</v>
      </c>
      <c r="Q1893" s="235" t="s">
        <v>627</v>
      </c>
      <c r="R1893" s="238">
        <v>237.14</v>
      </c>
      <c r="S1893" s="238">
        <v>11.62</v>
      </c>
      <c r="T1893" s="238">
        <v>0.0</v>
      </c>
      <c r="U1893" s="238">
        <v>0.0</v>
      </c>
      <c r="V1893" s="238">
        <v>0.0</v>
      </c>
      <c r="W1893" s="238">
        <v>0.0</v>
      </c>
      <c r="X1893" s="235" t="s">
        <v>628</v>
      </c>
      <c r="Z1893" s="244"/>
      <c r="AA1893" s="244"/>
      <c r="AB1893" s="244"/>
      <c r="AC1893" s="235" t="s">
        <v>697</v>
      </c>
      <c r="AD1893" s="235" t="s">
        <v>698</v>
      </c>
      <c r="AE1893" s="238">
        <v>500090.0</v>
      </c>
      <c r="AF1893" s="235" t="s">
        <v>631</v>
      </c>
      <c r="AG1893" s="244"/>
      <c r="AH1893" s="244"/>
      <c r="AI1893" s="245"/>
      <c r="AJ1893" s="245"/>
      <c r="AK1893" s="245"/>
      <c r="AL1893" s="245"/>
      <c r="AM1893" s="244"/>
      <c r="AN1893" s="244"/>
      <c r="AO1893" s="238">
        <v>-4.74</v>
      </c>
      <c r="AP1893" s="238">
        <v>0.0</v>
      </c>
      <c r="AQ1893" s="235" t="s">
        <v>632</v>
      </c>
      <c r="AR1893" s="243">
        <v>2.02E11</v>
      </c>
      <c r="AS1893" s="235" t="s">
        <v>13822</v>
      </c>
      <c r="AT1893" s="235" t="s">
        <v>11</v>
      </c>
      <c r="AU1893" s="235" t="s">
        <v>634</v>
      </c>
      <c r="AV1893" s="246" t="s">
        <v>635</v>
      </c>
      <c r="AW1893" s="242"/>
      <c r="AX1893" s="242"/>
      <c r="AY1893" s="231"/>
      <c r="AZ1893" s="231"/>
      <c r="BA1893" s="227"/>
      <c r="BB1893" s="231"/>
      <c r="BC1893" s="227"/>
      <c r="BD1893" s="227"/>
      <c r="BE1893" s="227"/>
      <c r="BF1893" s="227"/>
    </row>
    <row r="1894">
      <c r="A1894" s="235" t="s">
        <v>14809</v>
      </c>
      <c r="C1894" s="235" t="s">
        <v>14810</v>
      </c>
      <c r="D1894" s="235" t="s">
        <v>14811</v>
      </c>
      <c r="E1894" s="243">
        <v>6.54E13</v>
      </c>
      <c r="F1894" s="245"/>
      <c r="G1894" s="235" t="s">
        <v>14812</v>
      </c>
      <c r="H1894" s="235" t="s">
        <v>14813</v>
      </c>
      <c r="I1894" s="235" t="s">
        <v>14813</v>
      </c>
      <c r="J1894" s="235" t="s">
        <v>14814</v>
      </c>
      <c r="K1894" s="235" t="s">
        <v>14815</v>
      </c>
      <c r="N1894" s="235" t="s">
        <v>130</v>
      </c>
      <c r="O1894" s="235" t="s">
        <v>707</v>
      </c>
      <c r="P1894" s="238">
        <v>1.0</v>
      </c>
      <c r="Q1894" s="235" t="s">
        <v>627</v>
      </c>
      <c r="R1894" s="238">
        <v>246.67</v>
      </c>
      <c r="S1894" s="238">
        <v>12.33</v>
      </c>
      <c r="T1894" s="238">
        <v>0.0</v>
      </c>
      <c r="U1894" s="238">
        <v>0.0</v>
      </c>
      <c r="V1894" s="238">
        <v>0.0</v>
      </c>
      <c r="W1894" s="238">
        <v>0.0</v>
      </c>
      <c r="X1894" s="235" t="s">
        <v>628</v>
      </c>
      <c r="Z1894" s="244"/>
      <c r="AA1894" s="244"/>
      <c r="AB1894" s="244"/>
      <c r="AC1894" s="235" t="s">
        <v>4397</v>
      </c>
      <c r="AD1894" s="235" t="s">
        <v>14816</v>
      </c>
      <c r="AE1894" s="238">
        <v>700008.0</v>
      </c>
      <c r="AF1894" s="235" t="s">
        <v>631</v>
      </c>
      <c r="AG1894" s="244"/>
      <c r="AH1894" s="244"/>
      <c r="AI1894" s="245"/>
      <c r="AJ1894" s="245"/>
      <c r="AK1894" s="245"/>
      <c r="AL1894" s="245"/>
      <c r="AM1894" s="244"/>
      <c r="AN1894" s="244"/>
      <c r="AO1894" s="238">
        <v>0.0</v>
      </c>
      <c r="AP1894" s="238">
        <v>0.0</v>
      </c>
      <c r="AQ1894" s="235" t="s">
        <v>632</v>
      </c>
      <c r="AR1894" s="243">
        <v>3.71E11</v>
      </c>
      <c r="AS1894" s="235" t="s">
        <v>11171</v>
      </c>
      <c r="AT1894" s="235" t="s">
        <v>13</v>
      </c>
      <c r="AU1894" s="235" t="s">
        <v>634</v>
      </c>
      <c r="AV1894" s="246" t="s">
        <v>635</v>
      </c>
      <c r="AW1894" s="242"/>
      <c r="AX1894" s="242"/>
      <c r="AY1894" s="231"/>
      <c r="AZ1894" s="231"/>
      <c r="BA1894" s="227"/>
      <c r="BB1894" s="231"/>
      <c r="BC1894" s="227"/>
      <c r="BD1894" s="227"/>
      <c r="BE1894" s="227"/>
      <c r="BF1894" s="227"/>
    </row>
    <row r="1895">
      <c r="A1895" s="235" t="s">
        <v>14817</v>
      </c>
      <c r="C1895" s="235" t="s">
        <v>14818</v>
      </c>
      <c r="D1895" s="235" t="s">
        <v>14819</v>
      </c>
      <c r="E1895" s="243">
        <v>6.53E13</v>
      </c>
      <c r="F1895" s="245"/>
      <c r="G1895" s="235" t="s">
        <v>14820</v>
      </c>
      <c r="H1895" s="235" t="s">
        <v>14821</v>
      </c>
      <c r="I1895" s="235" t="s">
        <v>14821</v>
      </c>
      <c r="J1895" s="235" t="s">
        <v>14822</v>
      </c>
      <c r="K1895" s="235" t="s">
        <v>11565</v>
      </c>
      <c r="N1895" s="235" t="s">
        <v>85</v>
      </c>
      <c r="O1895" s="235" t="s">
        <v>872</v>
      </c>
      <c r="P1895" s="238">
        <v>1.0</v>
      </c>
      <c r="Q1895" s="235" t="s">
        <v>627</v>
      </c>
      <c r="R1895" s="238">
        <v>270.48</v>
      </c>
      <c r="S1895" s="238">
        <v>13.52</v>
      </c>
      <c r="T1895" s="238">
        <v>0.0</v>
      </c>
      <c r="U1895" s="238">
        <v>0.0</v>
      </c>
      <c r="V1895" s="238">
        <v>0.0</v>
      </c>
      <c r="W1895" s="238">
        <v>0.0</v>
      </c>
      <c r="X1895" s="235" t="s">
        <v>628</v>
      </c>
      <c r="Z1895" s="244"/>
      <c r="AA1895" s="244"/>
      <c r="AB1895" s="244"/>
      <c r="AC1895" s="235" t="s">
        <v>3503</v>
      </c>
      <c r="AD1895" s="235" t="s">
        <v>630</v>
      </c>
      <c r="AE1895" s="238">
        <v>244901.0</v>
      </c>
      <c r="AF1895" s="235" t="s">
        <v>631</v>
      </c>
      <c r="AG1895" s="244"/>
      <c r="AH1895" s="244"/>
      <c r="AI1895" s="245"/>
      <c r="AJ1895" s="245"/>
      <c r="AK1895" s="245"/>
      <c r="AL1895" s="245"/>
      <c r="AM1895" s="244"/>
      <c r="AN1895" s="244"/>
      <c r="AO1895" s="238">
        <v>0.0</v>
      </c>
      <c r="AP1895" s="238">
        <v>0.0</v>
      </c>
      <c r="AQ1895" s="235" t="s">
        <v>632</v>
      </c>
      <c r="AR1895" s="243">
        <v>3.71E11</v>
      </c>
      <c r="AS1895" s="235" t="s">
        <v>12693</v>
      </c>
      <c r="AT1895" s="235" t="s">
        <v>13</v>
      </c>
      <c r="AU1895" s="235" t="s">
        <v>634</v>
      </c>
      <c r="AV1895" s="246" t="s">
        <v>635</v>
      </c>
      <c r="AW1895" s="242"/>
      <c r="AX1895" s="242"/>
      <c r="AY1895" s="231"/>
      <c r="AZ1895" s="231"/>
      <c r="BA1895" s="227"/>
      <c r="BB1895" s="231"/>
      <c r="BC1895" s="227"/>
      <c r="BD1895" s="227"/>
      <c r="BE1895" s="227"/>
      <c r="BF1895" s="227"/>
    </row>
    <row r="1896">
      <c r="A1896" s="235" t="s">
        <v>14823</v>
      </c>
      <c r="C1896" s="235" t="s">
        <v>14824</v>
      </c>
      <c r="D1896" s="235" t="s">
        <v>14825</v>
      </c>
      <c r="E1896" s="243">
        <v>6.54E13</v>
      </c>
      <c r="F1896" s="245"/>
      <c r="G1896" s="235" t="s">
        <v>14826</v>
      </c>
      <c r="H1896" s="235" t="s">
        <v>14827</v>
      </c>
      <c r="I1896" s="235" t="s">
        <v>14827</v>
      </c>
      <c r="J1896" s="235" t="s">
        <v>14828</v>
      </c>
      <c r="K1896" s="235" t="s">
        <v>14829</v>
      </c>
      <c r="N1896" s="235" t="s">
        <v>82</v>
      </c>
      <c r="O1896" s="235" t="s">
        <v>889</v>
      </c>
      <c r="P1896" s="238">
        <v>1.0</v>
      </c>
      <c r="Q1896" s="235" t="s">
        <v>627</v>
      </c>
      <c r="R1896" s="238">
        <v>242.86</v>
      </c>
      <c r="S1896" s="238">
        <v>12.14</v>
      </c>
      <c r="T1896" s="238">
        <v>0.0</v>
      </c>
      <c r="U1896" s="238">
        <v>0.0</v>
      </c>
      <c r="V1896" s="238">
        <v>0.0</v>
      </c>
      <c r="W1896" s="238">
        <v>0.0</v>
      </c>
      <c r="X1896" s="235" t="s">
        <v>628</v>
      </c>
      <c r="Z1896" s="244"/>
      <c r="AA1896" s="244"/>
      <c r="AB1896" s="244"/>
      <c r="AC1896" s="235" t="s">
        <v>14830</v>
      </c>
      <c r="AD1896" s="235" t="s">
        <v>908</v>
      </c>
      <c r="AE1896" s="238">
        <v>244715.0</v>
      </c>
      <c r="AF1896" s="235" t="s">
        <v>631</v>
      </c>
      <c r="AG1896" s="244"/>
      <c r="AH1896" s="244"/>
      <c r="AI1896" s="245"/>
      <c r="AJ1896" s="245"/>
      <c r="AK1896" s="245"/>
      <c r="AL1896" s="245"/>
      <c r="AM1896" s="244"/>
      <c r="AN1896" s="244"/>
      <c r="AO1896" s="238">
        <v>0.0</v>
      </c>
      <c r="AP1896" s="238">
        <v>0.0</v>
      </c>
      <c r="AQ1896" s="235" t="s">
        <v>632</v>
      </c>
      <c r="AR1896" s="243">
        <v>3.71E11</v>
      </c>
      <c r="AS1896" s="235" t="s">
        <v>12693</v>
      </c>
      <c r="AT1896" s="235" t="s">
        <v>13</v>
      </c>
      <c r="AU1896" s="235" t="s">
        <v>634</v>
      </c>
      <c r="AV1896" s="246" t="s">
        <v>635</v>
      </c>
      <c r="AW1896" s="242"/>
      <c r="AX1896" s="242"/>
      <c r="AY1896" s="231"/>
      <c r="AZ1896" s="231"/>
      <c r="BA1896" s="227"/>
      <c r="BB1896" s="231"/>
      <c r="BC1896" s="227"/>
      <c r="BD1896" s="227"/>
      <c r="BE1896" s="227"/>
      <c r="BF1896" s="227"/>
    </row>
    <row r="1897">
      <c r="A1897" s="235" t="s">
        <v>14831</v>
      </c>
      <c r="C1897" s="235" t="s">
        <v>14832</v>
      </c>
      <c r="D1897" s="235" t="s">
        <v>14833</v>
      </c>
      <c r="E1897" s="243">
        <v>6.54E13</v>
      </c>
      <c r="F1897" s="245"/>
      <c r="G1897" s="235" t="s">
        <v>14834</v>
      </c>
      <c r="H1897" s="235" t="s">
        <v>14835</v>
      </c>
      <c r="I1897" s="235" t="s">
        <v>14835</v>
      </c>
      <c r="J1897" s="235" t="s">
        <v>14836</v>
      </c>
      <c r="K1897" s="235" t="s">
        <v>14837</v>
      </c>
      <c r="N1897" s="235" t="s">
        <v>35</v>
      </c>
      <c r="O1897" s="235" t="s">
        <v>831</v>
      </c>
      <c r="P1897" s="238">
        <v>1.0</v>
      </c>
      <c r="Q1897" s="235" t="s">
        <v>627</v>
      </c>
      <c r="R1897" s="238">
        <v>446.67</v>
      </c>
      <c r="S1897" s="238">
        <v>21.88</v>
      </c>
      <c r="T1897" s="238">
        <v>0.0</v>
      </c>
      <c r="U1897" s="238">
        <v>0.0</v>
      </c>
      <c r="V1897" s="238">
        <v>0.0</v>
      </c>
      <c r="W1897" s="238">
        <v>0.0</v>
      </c>
      <c r="X1897" s="235" t="s">
        <v>628</v>
      </c>
      <c r="Z1897" s="244"/>
      <c r="AA1897" s="244"/>
      <c r="AB1897" s="244"/>
      <c r="AC1897" s="235" t="s">
        <v>1456</v>
      </c>
      <c r="AD1897" s="235" t="s">
        <v>928</v>
      </c>
      <c r="AE1897" s="238">
        <v>122001.0</v>
      </c>
      <c r="AF1897" s="235" t="s">
        <v>631</v>
      </c>
      <c r="AG1897" s="244"/>
      <c r="AH1897" s="244"/>
      <c r="AI1897" s="245"/>
      <c r="AJ1897" s="245"/>
      <c r="AK1897" s="245"/>
      <c r="AL1897" s="245"/>
      <c r="AM1897" s="244"/>
      <c r="AN1897" s="244"/>
      <c r="AO1897" s="238">
        <v>-8.93</v>
      </c>
      <c r="AP1897" s="238">
        <v>0.0</v>
      </c>
      <c r="AQ1897" s="235" t="s">
        <v>632</v>
      </c>
      <c r="AR1897" s="243">
        <v>2.02E11</v>
      </c>
      <c r="AS1897" s="235" t="s">
        <v>13822</v>
      </c>
      <c r="AT1897" s="235" t="s">
        <v>546</v>
      </c>
      <c r="AU1897" s="235" t="s">
        <v>634</v>
      </c>
      <c r="AV1897" s="246" t="s">
        <v>635</v>
      </c>
      <c r="AW1897" s="242"/>
      <c r="AX1897" s="242"/>
      <c r="AY1897" s="231"/>
      <c r="AZ1897" s="231"/>
      <c r="BA1897" s="227"/>
      <c r="BB1897" s="231"/>
      <c r="BC1897" s="227"/>
      <c r="BD1897" s="227"/>
      <c r="BE1897" s="227"/>
      <c r="BF1897" s="227"/>
    </row>
    <row r="1898">
      <c r="A1898" s="235" t="s">
        <v>14838</v>
      </c>
      <c r="C1898" s="235" t="s">
        <v>14839</v>
      </c>
      <c r="D1898" s="235" t="s">
        <v>14840</v>
      </c>
      <c r="E1898" s="243">
        <v>6.53E13</v>
      </c>
      <c r="F1898" s="245"/>
      <c r="G1898" s="235" t="s">
        <v>14841</v>
      </c>
      <c r="H1898" s="235" t="s">
        <v>14842</v>
      </c>
      <c r="I1898" s="235" t="s">
        <v>14842</v>
      </c>
      <c r="J1898" s="235" t="s">
        <v>14843</v>
      </c>
      <c r="K1898" s="235" t="s">
        <v>14844</v>
      </c>
      <c r="N1898" s="235" t="s">
        <v>126</v>
      </c>
      <c r="O1898" s="235" t="s">
        <v>407</v>
      </c>
      <c r="P1898" s="238">
        <v>1.0</v>
      </c>
      <c r="Q1898" s="235" t="s">
        <v>627</v>
      </c>
      <c r="R1898" s="238">
        <v>237.14</v>
      </c>
      <c r="S1898" s="238">
        <v>11.62</v>
      </c>
      <c r="T1898" s="238">
        <v>0.0</v>
      </c>
      <c r="U1898" s="238">
        <v>0.0</v>
      </c>
      <c r="V1898" s="238">
        <v>0.0</v>
      </c>
      <c r="W1898" s="238">
        <v>0.0</v>
      </c>
      <c r="X1898" s="235" t="s">
        <v>628</v>
      </c>
      <c r="Z1898" s="244"/>
      <c r="AA1898" s="244"/>
      <c r="AB1898" s="244"/>
      <c r="AC1898" s="235" t="s">
        <v>14845</v>
      </c>
      <c r="AD1898" s="235" t="s">
        <v>1151</v>
      </c>
      <c r="AE1898" s="238">
        <v>712408.0</v>
      </c>
      <c r="AF1898" s="235" t="s">
        <v>631</v>
      </c>
      <c r="AG1898" s="244"/>
      <c r="AH1898" s="244"/>
      <c r="AI1898" s="245"/>
      <c r="AJ1898" s="245"/>
      <c r="AK1898" s="245"/>
      <c r="AL1898" s="245"/>
      <c r="AM1898" s="244"/>
      <c r="AN1898" s="244"/>
      <c r="AO1898" s="238">
        <v>-4.74</v>
      </c>
      <c r="AP1898" s="238">
        <v>0.0</v>
      </c>
      <c r="AQ1898" s="235" t="s">
        <v>632</v>
      </c>
      <c r="AR1898" s="243">
        <v>3.71E11</v>
      </c>
      <c r="AS1898" s="235" t="s">
        <v>8807</v>
      </c>
      <c r="AT1898" s="235" t="s">
        <v>13</v>
      </c>
      <c r="AU1898" s="235" t="s">
        <v>634</v>
      </c>
      <c r="AV1898" s="246" t="s">
        <v>635</v>
      </c>
      <c r="AW1898" s="242"/>
      <c r="AX1898" s="242"/>
      <c r="AY1898" s="231"/>
      <c r="AZ1898" s="231"/>
      <c r="BA1898" s="227"/>
      <c r="BB1898" s="231"/>
      <c r="BC1898" s="227"/>
      <c r="BD1898" s="227"/>
      <c r="BE1898" s="227"/>
      <c r="BF1898" s="227"/>
    </row>
    <row r="1899">
      <c r="A1899" s="235" t="s">
        <v>14846</v>
      </c>
      <c r="C1899" s="235" t="s">
        <v>14847</v>
      </c>
      <c r="D1899" s="235" t="s">
        <v>14848</v>
      </c>
      <c r="E1899" s="243">
        <v>6.54E13</v>
      </c>
      <c r="F1899" s="245"/>
      <c r="G1899" s="235" t="s">
        <v>14849</v>
      </c>
      <c r="H1899" s="235" t="s">
        <v>14850</v>
      </c>
      <c r="I1899" s="235" t="s">
        <v>14850</v>
      </c>
      <c r="J1899" s="235" t="s">
        <v>14851</v>
      </c>
      <c r="K1899" s="235" t="s">
        <v>14852</v>
      </c>
      <c r="N1899" s="235" t="s">
        <v>68</v>
      </c>
      <c r="O1899" s="235" t="s">
        <v>208</v>
      </c>
      <c r="P1899" s="238">
        <v>1.0</v>
      </c>
      <c r="Q1899" s="235" t="s">
        <v>627</v>
      </c>
      <c r="R1899" s="238">
        <v>246.67</v>
      </c>
      <c r="S1899" s="238">
        <v>12.08</v>
      </c>
      <c r="T1899" s="238">
        <v>0.0</v>
      </c>
      <c r="U1899" s="238">
        <v>0.0</v>
      </c>
      <c r="V1899" s="238">
        <v>0.0</v>
      </c>
      <c r="W1899" s="238">
        <v>0.0</v>
      </c>
      <c r="X1899" s="235" t="s">
        <v>628</v>
      </c>
      <c r="Z1899" s="244"/>
      <c r="AA1899" s="244"/>
      <c r="AB1899" s="244"/>
      <c r="AC1899" s="235" t="s">
        <v>757</v>
      </c>
      <c r="AD1899" s="235" t="s">
        <v>666</v>
      </c>
      <c r="AE1899" s="238">
        <v>625014.0</v>
      </c>
      <c r="AF1899" s="235" t="s">
        <v>631</v>
      </c>
      <c r="AG1899" s="244"/>
      <c r="AH1899" s="244"/>
      <c r="AI1899" s="245"/>
      <c r="AJ1899" s="245"/>
      <c r="AK1899" s="245"/>
      <c r="AL1899" s="245"/>
      <c r="AM1899" s="244"/>
      <c r="AN1899" s="244"/>
      <c r="AO1899" s="238">
        <v>-4.93</v>
      </c>
      <c r="AP1899" s="238">
        <v>0.0</v>
      </c>
      <c r="AQ1899" s="235" t="s">
        <v>632</v>
      </c>
      <c r="AR1899" s="243">
        <v>3.71E11</v>
      </c>
      <c r="AS1899" s="235" t="s">
        <v>12693</v>
      </c>
      <c r="AT1899" s="235" t="s">
        <v>9</v>
      </c>
      <c r="AU1899" s="235" t="s">
        <v>634</v>
      </c>
      <c r="AV1899" s="246" t="s">
        <v>635</v>
      </c>
      <c r="AW1899" s="242"/>
      <c r="AX1899" s="242"/>
      <c r="AY1899" s="231"/>
      <c r="AZ1899" s="231"/>
      <c r="BA1899" s="227"/>
      <c r="BB1899" s="231"/>
      <c r="BC1899" s="227"/>
      <c r="BD1899" s="227"/>
      <c r="BE1899" s="227"/>
      <c r="BF1899" s="227"/>
    </row>
    <row r="1900">
      <c r="A1900" s="235" t="s">
        <v>14853</v>
      </c>
      <c r="C1900" s="235" t="s">
        <v>14854</v>
      </c>
      <c r="D1900" s="235" t="s">
        <v>14855</v>
      </c>
      <c r="E1900" s="243">
        <v>6.54E13</v>
      </c>
      <c r="F1900" s="245"/>
      <c r="G1900" s="235" t="s">
        <v>14856</v>
      </c>
      <c r="H1900" s="235" t="s">
        <v>14857</v>
      </c>
      <c r="I1900" s="235" t="s">
        <v>14857</v>
      </c>
      <c r="J1900" s="235" t="s">
        <v>14858</v>
      </c>
      <c r="K1900" s="235" t="s">
        <v>14859</v>
      </c>
      <c r="N1900" s="235" t="s">
        <v>144</v>
      </c>
      <c r="O1900" s="235" t="s">
        <v>232</v>
      </c>
      <c r="P1900" s="238">
        <v>1.0</v>
      </c>
      <c r="Q1900" s="235" t="s">
        <v>627</v>
      </c>
      <c r="R1900" s="238">
        <v>665.71</v>
      </c>
      <c r="S1900" s="238">
        <v>32.29</v>
      </c>
      <c r="T1900" s="238">
        <v>0.0</v>
      </c>
      <c r="U1900" s="238">
        <v>0.0</v>
      </c>
      <c r="V1900" s="238">
        <v>0.0</v>
      </c>
      <c r="W1900" s="238">
        <v>0.0</v>
      </c>
      <c r="X1900" s="235" t="s">
        <v>628</v>
      </c>
      <c r="Z1900" s="244"/>
      <c r="AA1900" s="244"/>
      <c r="AB1900" s="244"/>
      <c r="AC1900" s="235" t="s">
        <v>14860</v>
      </c>
      <c r="AD1900" s="235" t="s">
        <v>731</v>
      </c>
      <c r="AE1900" s="238">
        <v>781104.0</v>
      </c>
      <c r="AF1900" s="235" t="s">
        <v>631</v>
      </c>
      <c r="AG1900" s="244"/>
      <c r="AH1900" s="244"/>
      <c r="AI1900" s="245"/>
      <c r="AJ1900" s="245"/>
      <c r="AK1900" s="245"/>
      <c r="AL1900" s="245"/>
      <c r="AM1900" s="244"/>
      <c r="AN1900" s="244"/>
      <c r="AO1900" s="238">
        <v>-19.97</v>
      </c>
      <c r="AP1900" s="238">
        <v>0.0</v>
      </c>
      <c r="AQ1900" s="235" t="s">
        <v>632</v>
      </c>
      <c r="AR1900" s="243">
        <v>3.71E11</v>
      </c>
      <c r="AS1900" s="235" t="s">
        <v>8807</v>
      </c>
      <c r="AT1900" s="235" t="s">
        <v>14</v>
      </c>
      <c r="AU1900" s="235" t="s">
        <v>634</v>
      </c>
      <c r="AV1900" s="246" t="s">
        <v>635</v>
      </c>
      <c r="AW1900" s="242"/>
      <c r="AX1900" s="242"/>
      <c r="AY1900" s="231"/>
      <c r="AZ1900" s="231"/>
      <c r="BA1900" s="227"/>
      <c r="BB1900" s="231"/>
      <c r="BC1900" s="227"/>
      <c r="BD1900" s="227"/>
      <c r="BE1900" s="227"/>
      <c r="BF1900" s="227"/>
    </row>
    <row r="1901">
      <c r="A1901" s="235" t="s">
        <v>14861</v>
      </c>
      <c r="C1901" s="235" t="s">
        <v>14862</v>
      </c>
      <c r="D1901" s="235" t="s">
        <v>14863</v>
      </c>
      <c r="E1901" s="243">
        <v>6.54E13</v>
      </c>
      <c r="F1901" s="245"/>
      <c r="G1901" s="235" t="s">
        <v>14864</v>
      </c>
      <c r="H1901" s="235" t="s">
        <v>14865</v>
      </c>
      <c r="I1901" s="235" t="s">
        <v>14865</v>
      </c>
      <c r="J1901" s="235" t="s">
        <v>14866</v>
      </c>
      <c r="K1901" s="235" t="s">
        <v>14867</v>
      </c>
      <c r="N1901" s="235" t="s">
        <v>92</v>
      </c>
      <c r="O1901" s="235" t="s">
        <v>248</v>
      </c>
      <c r="P1901" s="238">
        <v>1.0</v>
      </c>
      <c r="Q1901" s="235" t="s">
        <v>627</v>
      </c>
      <c r="R1901" s="238">
        <v>246.67</v>
      </c>
      <c r="S1901" s="238">
        <v>12.33</v>
      </c>
      <c r="T1901" s="238">
        <v>0.0</v>
      </c>
      <c r="U1901" s="238">
        <v>0.0</v>
      </c>
      <c r="V1901" s="238">
        <v>0.0</v>
      </c>
      <c r="W1901" s="238">
        <v>0.0</v>
      </c>
      <c r="X1901" s="235" t="s">
        <v>628</v>
      </c>
      <c r="Z1901" s="244"/>
      <c r="AA1901" s="244"/>
      <c r="AB1901" s="244"/>
      <c r="AC1901" s="235" t="s">
        <v>1279</v>
      </c>
      <c r="AD1901" s="235" t="s">
        <v>917</v>
      </c>
      <c r="AE1901" s="238">
        <v>302029.0</v>
      </c>
      <c r="AF1901" s="235" t="s">
        <v>631</v>
      </c>
      <c r="AG1901" s="244"/>
      <c r="AH1901" s="244"/>
      <c r="AI1901" s="245"/>
      <c r="AJ1901" s="245"/>
      <c r="AK1901" s="245"/>
      <c r="AL1901" s="245"/>
      <c r="AM1901" s="244"/>
      <c r="AN1901" s="244"/>
      <c r="AO1901" s="238">
        <v>0.0</v>
      </c>
      <c r="AP1901" s="238">
        <v>0.0</v>
      </c>
      <c r="AQ1901" s="235" t="s">
        <v>632</v>
      </c>
      <c r="AR1901" s="243">
        <v>3.71E11</v>
      </c>
      <c r="AS1901" s="235" t="s">
        <v>12693</v>
      </c>
      <c r="AT1901" s="235" t="s">
        <v>13</v>
      </c>
      <c r="AU1901" s="235" t="s">
        <v>634</v>
      </c>
      <c r="AV1901" s="246" t="s">
        <v>635</v>
      </c>
      <c r="AW1901" s="242"/>
      <c r="AX1901" s="242"/>
      <c r="AY1901" s="231"/>
      <c r="AZ1901" s="231"/>
      <c r="BA1901" s="227"/>
      <c r="BB1901" s="231"/>
      <c r="BC1901" s="227"/>
      <c r="BD1901" s="227"/>
      <c r="BE1901" s="227"/>
      <c r="BF1901" s="227"/>
    </row>
    <row r="1902">
      <c r="A1902" s="235" t="s">
        <v>14868</v>
      </c>
      <c r="C1902" s="235" t="s">
        <v>14869</v>
      </c>
      <c r="D1902" s="235" t="s">
        <v>14870</v>
      </c>
      <c r="E1902" s="243">
        <v>6.54E13</v>
      </c>
      <c r="F1902" s="245"/>
      <c r="G1902" s="235" t="s">
        <v>14871</v>
      </c>
      <c r="H1902" s="235" t="s">
        <v>14872</v>
      </c>
      <c r="I1902" s="235" t="s">
        <v>14872</v>
      </c>
      <c r="J1902" s="235" t="s">
        <v>14873</v>
      </c>
      <c r="K1902" s="235" t="s">
        <v>14874</v>
      </c>
      <c r="N1902" s="235" t="s">
        <v>85</v>
      </c>
      <c r="O1902" s="235" t="s">
        <v>872</v>
      </c>
      <c r="P1902" s="238">
        <v>1.0</v>
      </c>
      <c r="Q1902" s="235" t="s">
        <v>627</v>
      </c>
      <c r="R1902" s="238">
        <v>246.66</v>
      </c>
      <c r="S1902" s="238">
        <v>12.34</v>
      </c>
      <c r="T1902" s="238">
        <v>0.0</v>
      </c>
      <c r="U1902" s="238">
        <v>0.0</v>
      </c>
      <c r="V1902" s="238">
        <v>0.0</v>
      </c>
      <c r="W1902" s="238">
        <v>0.0</v>
      </c>
      <c r="X1902" s="235" t="s">
        <v>628</v>
      </c>
      <c r="Z1902" s="244"/>
      <c r="AA1902" s="244"/>
      <c r="AB1902" s="244"/>
      <c r="AC1902" s="235" t="s">
        <v>14875</v>
      </c>
      <c r="AD1902" s="235" t="s">
        <v>845</v>
      </c>
      <c r="AE1902" s="238">
        <v>401501.0</v>
      </c>
      <c r="AF1902" s="235" t="s">
        <v>631</v>
      </c>
      <c r="AG1902" s="244"/>
      <c r="AH1902" s="244"/>
      <c r="AI1902" s="245"/>
      <c r="AJ1902" s="245"/>
      <c r="AK1902" s="245"/>
      <c r="AL1902" s="245"/>
      <c r="AM1902" s="244"/>
      <c r="AN1902" s="244"/>
      <c r="AO1902" s="238">
        <v>0.0</v>
      </c>
      <c r="AP1902" s="238">
        <v>0.0</v>
      </c>
      <c r="AQ1902" s="235" t="s">
        <v>632</v>
      </c>
      <c r="AR1902" s="243">
        <v>1.68E11</v>
      </c>
      <c r="AS1902" s="235" t="s">
        <v>12693</v>
      </c>
      <c r="AT1902" s="235" t="s">
        <v>16</v>
      </c>
      <c r="AU1902" s="235" t="s">
        <v>634</v>
      </c>
      <c r="AV1902" s="246" t="s">
        <v>635</v>
      </c>
      <c r="AW1902" s="242"/>
      <c r="AX1902" s="242"/>
      <c r="AY1902" s="231"/>
      <c r="AZ1902" s="231"/>
      <c r="BA1902" s="227"/>
      <c r="BB1902" s="231"/>
      <c r="BC1902" s="227"/>
      <c r="BD1902" s="227"/>
      <c r="BE1902" s="227"/>
      <c r="BF1902" s="227"/>
    </row>
    <row r="1903">
      <c r="A1903" s="235" t="s">
        <v>14876</v>
      </c>
      <c r="C1903" s="235" t="s">
        <v>14877</v>
      </c>
      <c r="D1903" s="235" t="s">
        <v>14878</v>
      </c>
      <c r="E1903" s="243">
        <v>6.52E13</v>
      </c>
      <c r="F1903" s="245"/>
      <c r="G1903" s="235" t="s">
        <v>14879</v>
      </c>
      <c r="H1903" s="235" t="s">
        <v>14880</v>
      </c>
      <c r="I1903" s="235" t="s">
        <v>14880</v>
      </c>
      <c r="J1903" s="235" t="s">
        <v>14881</v>
      </c>
      <c r="K1903" s="235" t="s">
        <v>14882</v>
      </c>
      <c r="N1903" s="235" t="s">
        <v>141</v>
      </c>
      <c r="O1903" s="235" t="s">
        <v>342</v>
      </c>
      <c r="P1903" s="238">
        <v>1.0</v>
      </c>
      <c r="Q1903" s="235" t="s">
        <v>627</v>
      </c>
      <c r="R1903" s="238">
        <v>243.8</v>
      </c>
      <c r="S1903" s="238">
        <v>12.2</v>
      </c>
      <c r="T1903" s="238">
        <v>38.1</v>
      </c>
      <c r="U1903" s="238">
        <v>1.9</v>
      </c>
      <c r="V1903" s="238">
        <v>0.0</v>
      </c>
      <c r="W1903" s="238">
        <v>0.0</v>
      </c>
      <c r="X1903" s="235" t="s">
        <v>628</v>
      </c>
      <c r="Z1903" s="244"/>
      <c r="AA1903" s="244"/>
      <c r="AB1903" s="244"/>
      <c r="AC1903" s="235" t="s">
        <v>3527</v>
      </c>
      <c r="AD1903" s="235" t="s">
        <v>845</v>
      </c>
      <c r="AE1903" s="238">
        <v>431001.0</v>
      </c>
      <c r="AF1903" s="235" t="s">
        <v>631</v>
      </c>
      <c r="AG1903" s="244"/>
      <c r="AH1903" s="244"/>
      <c r="AI1903" s="245"/>
      <c r="AJ1903" s="245"/>
      <c r="AK1903" s="245"/>
      <c r="AL1903" s="245"/>
      <c r="AM1903" s="244"/>
      <c r="AN1903" s="244"/>
      <c r="AO1903" s="238">
        <v>0.0</v>
      </c>
      <c r="AP1903" s="238">
        <v>-38.1</v>
      </c>
      <c r="AQ1903" s="235" t="s">
        <v>632</v>
      </c>
      <c r="AR1903" s="243">
        <v>3.71E11</v>
      </c>
      <c r="AS1903" s="235" t="s">
        <v>12693</v>
      </c>
      <c r="AT1903" s="235" t="s">
        <v>16</v>
      </c>
      <c r="AU1903" s="235" t="s">
        <v>634</v>
      </c>
      <c r="AV1903" s="246" t="s">
        <v>635</v>
      </c>
      <c r="AW1903" s="242"/>
      <c r="AX1903" s="242"/>
      <c r="AY1903" s="231"/>
      <c r="AZ1903" s="231"/>
      <c r="BA1903" s="227"/>
      <c r="BB1903" s="231"/>
      <c r="BC1903" s="227"/>
      <c r="BD1903" s="227"/>
      <c r="BE1903" s="227"/>
      <c r="BF1903" s="227"/>
    </row>
    <row r="1904">
      <c r="A1904" s="235" t="s">
        <v>14883</v>
      </c>
      <c r="C1904" s="235" t="s">
        <v>14884</v>
      </c>
      <c r="D1904" s="235" t="s">
        <v>14885</v>
      </c>
      <c r="E1904" s="243">
        <v>6.54E13</v>
      </c>
      <c r="F1904" s="245"/>
      <c r="G1904" s="235" t="s">
        <v>14886</v>
      </c>
      <c r="H1904" s="235" t="s">
        <v>14887</v>
      </c>
      <c r="I1904" s="235" t="s">
        <v>14887</v>
      </c>
      <c r="J1904" s="235" t="s">
        <v>14888</v>
      </c>
      <c r="K1904" s="235" t="s">
        <v>14889</v>
      </c>
      <c r="N1904" s="235" t="s">
        <v>138</v>
      </c>
      <c r="O1904" s="235" t="s">
        <v>675</v>
      </c>
      <c r="P1904" s="238">
        <v>1.0</v>
      </c>
      <c r="Q1904" s="235" t="s">
        <v>627</v>
      </c>
      <c r="R1904" s="238">
        <v>246.67</v>
      </c>
      <c r="S1904" s="238">
        <v>12.33</v>
      </c>
      <c r="T1904" s="238">
        <v>38.1</v>
      </c>
      <c r="U1904" s="238">
        <v>1.9</v>
      </c>
      <c r="V1904" s="238">
        <v>0.0</v>
      </c>
      <c r="W1904" s="238">
        <v>0.0</v>
      </c>
      <c r="X1904" s="235" t="s">
        <v>628</v>
      </c>
      <c r="Z1904" s="244"/>
      <c r="AA1904" s="244"/>
      <c r="AB1904" s="244"/>
      <c r="AC1904" s="235" t="s">
        <v>3449</v>
      </c>
      <c r="AD1904" s="235" t="s">
        <v>833</v>
      </c>
      <c r="AE1904" s="238">
        <v>533106.0</v>
      </c>
      <c r="AF1904" s="235" t="s">
        <v>631</v>
      </c>
      <c r="AG1904" s="244"/>
      <c r="AH1904" s="244"/>
      <c r="AI1904" s="245"/>
      <c r="AJ1904" s="245"/>
      <c r="AK1904" s="245"/>
      <c r="AL1904" s="245"/>
      <c r="AM1904" s="244"/>
      <c r="AN1904" s="244"/>
      <c r="AO1904" s="238">
        <v>0.0</v>
      </c>
      <c r="AP1904" s="238">
        <v>-38.1</v>
      </c>
      <c r="AQ1904" s="235" t="s">
        <v>632</v>
      </c>
      <c r="AR1904" s="243">
        <v>3.71E11</v>
      </c>
      <c r="AS1904" s="235" t="s">
        <v>11171</v>
      </c>
      <c r="AT1904" s="235" t="s">
        <v>156</v>
      </c>
      <c r="AU1904" s="235" t="s">
        <v>634</v>
      </c>
      <c r="AV1904" s="246" t="s">
        <v>635</v>
      </c>
      <c r="AW1904" s="242"/>
      <c r="AX1904" s="242"/>
      <c r="AY1904" s="231"/>
      <c r="AZ1904" s="231"/>
      <c r="BA1904" s="227"/>
      <c r="BB1904" s="231"/>
      <c r="BC1904" s="227"/>
      <c r="BD1904" s="227"/>
      <c r="BE1904" s="227"/>
      <c r="BF1904" s="227"/>
    </row>
    <row r="1905">
      <c r="A1905" s="235" t="s">
        <v>14890</v>
      </c>
      <c r="C1905" s="235" t="s">
        <v>14891</v>
      </c>
      <c r="D1905" s="235" t="s">
        <v>14892</v>
      </c>
      <c r="E1905" s="243">
        <v>6.54E13</v>
      </c>
      <c r="F1905" s="245"/>
      <c r="G1905" s="235" t="s">
        <v>14893</v>
      </c>
      <c r="H1905" s="235" t="s">
        <v>14894</v>
      </c>
      <c r="I1905" s="235" t="s">
        <v>14894</v>
      </c>
      <c r="J1905" s="235" t="s">
        <v>14895</v>
      </c>
      <c r="K1905" s="235" t="s">
        <v>14896</v>
      </c>
      <c r="N1905" s="235" t="s">
        <v>147</v>
      </c>
      <c r="O1905" s="235" t="s">
        <v>1068</v>
      </c>
      <c r="P1905" s="238">
        <v>1.0</v>
      </c>
      <c r="Q1905" s="235" t="s">
        <v>627</v>
      </c>
      <c r="R1905" s="238">
        <v>332.38</v>
      </c>
      <c r="S1905" s="238">
        <v>16.62</v>
      </c>
      <c r="T1905" s="238">
        <v>38.1</v>
      </c>
      <c r="U1905" s="238">
        <v>1.9</v>
      </c>
      <c r="V1905" s="238">
        <v>0.0</v>
      </c>
      <c r="W1905" s="238">
        <v>0.0</v>
      </c>
      <c r="X1905" s="235" t="s">
        <v>628</v>
      </c>
      <c r="Z1905" s="244"/>
      <c r="AA1905" s="244"/>
      <c r="AB1905" s="244"/>
      <c r="AC1905" s="235" t="s">
        <v>14897</v>
      </c>
      <c r="AD1905" s="235" t="s">
        <v>1151</v>
      </c>
      <c r="AE1905" s="238">
        <v>700129.0</v>
      </c>
      <c r="AF1905" s="235" t="s">
        <v>631</v>
      </c>
      <c r="AG1905" s="244"/>
      <c r="AH1905" s="244"/>
      <c r="AI1905" s="245"/>
      <c r="AJ1905" s="245"/>
      <c r="AK1905" s="245"/>
      <c r="AL1905" s="245"/>
      <c r="AM1905" s="244"/>
      <c r="AN1905" s="244"/>
      <c r="AO1905" s="238">
        <v>0.0</v>
      </c>
      <c r="AP1905" s="238">
        <v>-38.1</v>
      </c>
      <c r="AQ1905" s="235" t="s">
        <v>632</v>
      </c>
      <c r="AR1905" s="243">
        <v>3.71E11</v>
      </c>
      <c r="AS1905" s="235" t="s">
        <v>8807</v>
      </c>
      <c r="AT1905" s="235" t="s">
        <v>14</v>
      </c>
      <c r="AU1905" s="235" t="s">
        <v>634</v>
      </c>
      <c r="AV1905" s="246" t="s">
        <v>635</v>
      </c>
      <c r="AW1905" s="242"/>
      <c r="AX1905" s="242"/>
      <c r="AY1905" s="231"/>
      <c r="AZ1905" s="231"/>
      <c r="BA1905" s="227"/>
      <c r="BB1905" s="231"/>
      <c r="BC1905" s="227"/>
      <c r="BD1905" s="227"/>
      <c r="BE1905" s="227"/>
      <c r="BF1905" s="227"/>
    </row>
    <row r="1906">
      <c r="A1906" s="235" t="s">
        <v>14898</v>
      </c>
      <c r="C1906" s="235" t="s">
        <v>14899</v>
      </c>
      <c r="D1906" s="235" t="s">
        <v>14900</v>
      </c>
      <c r="E1906" s="243">
        <v>6.54E13</v>
      </c>
      <c r="F1906" s="245"/>
      <c r="G1906" s="235" t="s">
        <v>14901</v>
      </c>
      <c r="H1906" s="235" t="s">
        <v>14902</v>
      </c>
      <c r="I1906" s="235" t="s">
        <v>14902</v>
      </c>
      <c r="J1906" s="235" t="s">
        <v>14903</v>
      </c>
      <c r="K1906" s="235" t="s">
        <v>14904</v>
      </c>
      <c r="N1906" s="235" t="s">
        <v>962</v>
      </c>
      <c r="O1906" s="235" t="s">
        <v>963</v>
      </c>
      <c r="P1906" s="238">
        <v>1.0</v>
      </c>
      <c r="Q1906" s="235" t="s">
        <v>627</v>
      </c>
      <c r="R1906" s="238">
        <v>246.67</v>
      </c>
      <c r="S1906" s="238">
        <v>12.33</v>
      </c>
      <c r="T1906" s="238">
        <v>38.1</v>
      </c>
      <c r="U1906" s="238">
        <v>1.9</v>
      </c>
      <c r="V1906" s="238">
        <v>0.0</v>
      </c>
      <c r="W1906" s="238">
        <v>0.0</v>
      </c>
      <c r="X1906" s="235" t="s">
        <v>628</v>
      </c>
      <c r="Z1906" s="244"/>
      <c r="AA1906" s="244"/>
      <c r="AB1906" s="244"/>
      <c r="AC1906" s="235" t="s">
        <v>10009</v>
      </c>
      <c r="AD1906" s="235" t="s">
        <v>666</v>
      </c>
      <c r="AE1906" s="238">
        <v>626205.0</v>
      </c>
      <c r="AF1906" s="235" t="s">
        <v>631</v>
      </c>
      <c r="AG1906" s="244"/>
      <c r="AH1906" s="244"/>
      <c r="AI1906" s="245"/>
      <c r="AJ1906" s="245"/>
      <c r="AK1906" s="245"/>
      <c r="AL1906" s="245"/>
      <c r="AM1906" s="244"/>
      <c r="AN1906" s="244"/>
      <c r="AO1906" s="238">
        <v>0.0</v>
      </c>
      <c r="AP1906" s="238">
        <v>-38.1</v>
      </c>
      <c r="AQ1906" s="235" t="s">
        <v>2581</v>
      </c>
      <c r="AR1906" s="247" t="s">
        <v>14905</v>
      </c>
      <c r="AS1906" s="235" t="s">
        <v>8807</v>
      </c>
      <c r="AT1906" s="235" t="s">
        <v>11</v>
      </c>
      <c r="AU1906" s="235" t="s">
        <v>634</v>
      </c>
      <c r="AV1906" s="246" t="s">
        <v>635</v>
      </c>
      <c r="AW1906" s="242"/>
      <c r="AX1906" s="242"/>
      <c r="AY1906" s="231"/>
      <c r="AZ1906" s="231"/>
      <c r="BA1906" s="227"/>
      <c r="BB1906" s="231"/>
      <c r="BC1906" s="227"/>
      <c r="BD1906" s="227"/>
      <c r="BE1906" s="227"/>
      <c r="BF1906" s="227"/>
    </row>
    <row r="1907">
      <c r="A1907" s="235" t="s">
        <v>14906</v>
      </c>
      <c r="C1907" s="235" t="s">
        <v>14907</v>
      </c>
      <c r="D1907" s="235" t="s">
        <v>14908</v>
      </c>
      <c r="E1907" s="243">
        <v>6.54E13</v>
      </c>
      <c r="F1907" s="245"/>
      <c r="G1907" s="235" t="s">
        <v>14909</v>
      </c>
      <c r="H1907" s="235" t="s">
        <v>14910</v>
      </c>
      <c r="I1907" s="235" t="s">
        <v>14910</v>
      </c>
      <c r="J1907" s="235" t="s">
        <v>14911</v>
      </c>
      <c r="K1907" s="235" t="s">
        <v>14912</v>
      </c>
      <c r="N1907" s="235" t="s">
        <v>1346</v>
      </c>
      <c r="O1907" s="235" t="s">
        <v>1347</v>
      </c>
      <c r="P1907" s="238">
        <v>1.0</v>
      </c>
      <c r="Q1907" s="235" t="s">
        <v>627</v>
      </c>
      <c r="R1907" s="238">
        <v>256.2</v>
      </c>
      <c r="S1907" s="238">
        <v>12.8</v>
      </c>
      <c r="T1907" s="238">
        <v>38.1</v>
      </c>
      <c r="U1907" s="238">
        <v>1.9</v>
      </c>
      <c r="V1907" s="238">
        <v>0.0</v>
      </c>
      <c r="W1907" s="238">
        <v>0.0</v>
      </c>
      <c r="X1907" s="235" t="s">
        <v>628</v>
      </c>
      <c r="Z1907" s="244"/>
      <c r="AA1907" s="244"/>
      <c r="AB1907" s="244"/>
      <c r="AC1907" s="235" t="s">
        <v>14913</v>
      </c>
      <c r="AD1907" s="235" t="s">
        <v>1077</v>
      </c>
      <c r="AE1907" s="238">
        <v>396191.0</v>
      </c>
      <c r="AF1907" s="235" t="s">
        <v>631</v>
      </c>
      <c r="AG1907" s="244"/>
      <c r="AH1907" s="244"/>
      <c r="AI1907" s="245"/>
      <c r="AJ1907" s="245"/>
      <c r="AK1907" s="245"/>
      <c r="AL1907" s="245"/>
      <c r="AM1907" s="244"/>
      <c r="AN1907" s="244"/>
      <c r="AO1907" s="238">
        <v>0.0</v>
      </c>
      <c r="AP1907" s="238">
        <v>-38.1</v>
      </c>
      <c r="AQ1907" s="235" t="s">
        <v>632</v>
      </c>
      <c r="AR1907" s="243">
        <v>3.71E11</v>
      </c>
      <c r="AS1907" s="235" t="s">
        <v>12693</v>
      </c>
      <c r="AT1907" s="235" t="s">
        <v>5</v>
      </c>
      <c r="AU1907" s="235" t="s">
        <v>634</v>
      </c>
      <c r="AV1907" s="246" t="s">
        <v>635</v>
      </c>
      <c r="AW1907" s="242"/>
      <c r="AX1907" s="242"/>
      <c r="AY1907" s="231"/>
      <c r="AZ1907" s="231"/>
      <c r="BA1907" s="227"/>
      <c r="BB1907" s="231"/>
      <c r="BC1907" s="227"/>
      <c r="BD1907" s="227"/>
      <c r="BE1907" s="227"/>
      <c r="BF1907" s="227"/>
    </row>
    <row r="1908">
      <c r="A1908" s="235" t="s">
        <v>14914</v>
      </c>
      <c r="C1908" s="235" t="s">
        <v>14915</v>
      </c>
      <c r="D1908" s="235" t="s">
        <v>14916</v>
      </c>
      <c r="E1908" s="243">
        <v>6.53E13</v>
      </c>
      <c r="F1908" s="245"/>
      <c r="G1908" s="235" t="s">
        <v>14917</v>
      </c>
      <c r="H1908" s="235" t="s">
        <v>14918</v>
      </c>
      <c r="I1908" s="235" t="s">
        <v>14918</v>
      </c>
      <c r="J1908" s="235" t="s">
        <v>14919</v>
      </c>
      <c r="K1908" s="235" t="s">
        <v>14920</v>
      </c>
      <c r="N1908" s="235" t="s">
        <v>726</v>
      </c>
      <c r="O1908" s="235" t="s">
        <v>727</v>
      </c>
      <c r="P1908" s="238">
        <v>1.0</v>
      </c>
      <c r="Q1908" s="235" t="s">
        <v>627</v>
      </c>
      <c r="R1908" s="238">
        <v>284.76</v>
      </c>
      <c r="S1908" s="238">
        <v>13.96</v>
      </c>
      <c r="T1908" s="238">
        <v>0.0</v>
      </c>
      <c r="U1908" s="238">
        <v>0.0</v>
      </c>
      <c r="V1908" s="238">
        <v>0.0</v>
      </c>
      <c r="W1908" s="238">
        <v>0.0</v>
      </c>
      <c r="X1908" s="235" t="s">
        <v>628</v>
      </c>
      <c r="Z1908" s="244"/>
      <c r="AA1908" s="244"/>
      <c r="AB1908" s="244"/>
      <c r="AC1908" s="235" t="s">
        <v>1961</v>
      </c>
      <c r="AD1908" s="235" t="s">
        <v>845</v>
      </c>
      <c r="AE1908" s="238">
        <v>412105.0</v>
      </c>
      <c r="AF1908" s="235" t="s">
        <v>631</v>
      </c>
      <c r="AG1908" s="244"/>
      <c r="AH1908" s="244"/>
      <c r="AI1908" s="245"/>
      <c r="AJ1908" s="245"/>
      <c r="AK1908" s="245"/>
      <c r="AL1908" s="245"/>
      <c r="AM1908" s="244"/>
      <c r="AN1908" s="244"/>
      <c r="AO1908" s="238">
        <v>-5.7</v>
      </c>
      <c r="AP1908" s="238">
        <v>0.0</v>
      </c>
      <c r="AQ1908" s="235" t="s">
        <v>632</v>
      </c>
      <c r="AR1908" s="243">
        <v>3.71E11</v>
      </c>
      <c r="AS1908" s="235" t="s">
        <v>11171</v>
      </c>
      <c r="AT1908" s="235" t="s">
        <v>11</v>
      </c>
      <c r="AU1908" s="235" t="s">
        <v>634</v>
      </c>
      <c r="AV1908" s="246" t="s">
        <v>635</v>
      </c>
      <c r="AW1908" s="242"/>
      <c r="AX1908" s="242"/>
      <c r="AY1908" s="231"/>
      <c r="AZ1908" s="231"/>
      <c r="BA1908" s="227"/>
      <c r="BB1908" s="231"/>
      <c r="BC1908" s="227"/>
      <c r="BD1908" s="227"/>
      <c r="BE1908" s="227"/>
      <c r="BF1908" s="227"/>
    </row>
    <row r="1909">
      <c r="A1909" s="235" t="s">
        <v>14921</v>
      </c>
      <c r="C1909" s="235" t="s">
        <v>14922</v>
      </c>
      <c r="D1909" s="235" t="s">
        <v>14923</v>
      </c>
      <c r="E1909" s="243">
        <v>6.54E13</v>
      </c>
      <c r="F1909" s="245"/>
      <c r="G1909" s="235" t="s">
        <v>14924</v>
      </c>
      <c r="H1909" s="235" t="s">
        <v>14925</v>
      </c>
      <c r="I1909" s="235" t="s">
        <v>14925</v>
      </c>
      <c r="J1909" s="235" t="s">
        <v>14926</v>
      </c>
      <c r="K1909" s="235" t="s">
        <v>14927</v>
      </c>
      <c r="N1909" s="235" t="s">
        <v>53</v>
      </c>
      <c r="O1909" s="235" t="s">
        <v>512</v>
      </c>
      <c r="P1909" s="238">
        <v>1.0</v>
      </c>
      <c r="Q1909" s="235" t="s">
        <v>627</v>
      </c>
      <c r="R1909" s="238">
        <v>237.14</v>
      </c>
      <c r="S1909" s="238">
        <v>11.86</v>
      </c>
      <c r="T1909" s="238">
        <v>38.1</v>
      </c>
      <c r="U1909" s="238">
        <v>1.9</v>
      </c>
      <c r="V1909" s="238">
        <v>0.0</v>
      </c>
      <c r="W1909" s="238">
        <v>0.0</v>
      </c>
      <c r="X1909" s="235" t="s">
        <v>628</v>
      </c>
      <c r="Z1909" s="244"/>
      <c r="AA1909" s="244"/>
      <c r="AB1909" s="244"/>
      <c r="AC1909" s="235" t="s">
        <v>14928</v>
      </c>
      <c r="AD1909" s="235" t="s">
        <v>698</v>
      </c>
      <c r="AE1909" s="238">
        <v>503002.0</v>
      </c>
      <c r="AF1909" s="235" t="s">
        <v>631</v>
      </c>
      <c r="AG1909" s="244"/>
      <c r="AH1909" s="244"/>
      <c r="AI1909" s="245"/>
      <c r="AJ1909" s="245"/>
      <c r="AK1909" s="245"/>
      <c r="AL1909" s="245"/>
      <c r="AM1909" s="244"/>
      <c r="AN1909" s="244"/>
      <c r="AO1909" s="238">
        <v>0.0</v>
      </c>
      <c r="AP1909" s="238">
        <v>-38.1</v>
      </c>
      <c r="AQ1909" s="235" t="s">
        <v>632</v>
      </c>
      <c r="AR1909" s="243">
        <v>3.71E11</v>
      </c>
      <c r="AS1909" s="235" t="s">
        <v>11171</v>
      </c>
      <c r="AT1909" s="235" t="s">
        <v>9</v>
      </c>
      <c r="AU1909" s="235" t="s">
        <v>634</v>
      </c>
      <c r="AV1909" s="246" t="s">
        <v>635</v>
      </c>
      <c r="AW1909" s="242"/>
      <c r="AX1909" s="242"/>
      <c r="AY1909" s="231"/>
      <c r="AZ1909" s="231"/>
      <c r="BA1909" s="227"/>
      <c r="BB1909" s="231"/>
      <c r="BC1909" s="227"/>
      <c r="BD1909" s="227"/>
      <c r="BE1909" s="227"/>
      <c r="BF1909" s="227"/>
    </row>
    <row r="1910">
      <c r="A1910" s="235" t="s">
        <v>14929</v>
      </c>
      <c r="C1910" s="235" t="s">
        <v>14930</v>
      </c>
      <c r="D1910" s="235" t="s">
        <v>14931</v>
      </c>
      <c r="E1910" s="243">
        <v>6.54E13</v>
      </c>
      <c r="F1910" s="245"/>
      <c r="G1910" s="235" t="s">
        <v>14932</v>
      </c>
      <c r="H1910" s="235" t="s">
        <v>14933</v>
      </c>
      <c r="I1910" s="235" t="s">
        <v>14933</v>
      </c>
      <c r="J1910" s="235" t="s">
        <v>14934</v>
      </c>
      <c r="K1910" s="235" t="s">
        <v>14935</v>
      </c>
      <c r="N1910" s="235" t="s">
        <v>0</v>
      </c>
      <c r="O1910" s="235" t="s">
        <v>740</v>
      </c>
      <c r="P1910" s="238">
        <v>1.0</v>
      </c>
      <c r="Q1910" s="235" t="s">
        <v>627</v>
      </c>
      <c r="R1910" s="238">
        <v>265.71</v>
      </c>
      <c r="S1910" s="238">
        <v>13.29</v>
      </c>
      <c r="T1910" s="238">
        <v>38.1</v>
      </c>
      <c r="U1910" s="238">
        <v>1.9</v>
      </c>
      <c r="V1910" s="238">
        <v>0.0</v>
      </c>
      <c r="W1910" s="238">
        <v>0.0</v>
      </c>
      <c r="X1910" s="235" t="s">
        <v>628</v>
      </c>
      <c r="Z1910" s="244"/>
      <c r="AA1910" s="244"/>
      <c r="AB1910" s="244"/>
      <c r="AC1910" s="235" t="s">
        <v>1671</v>
      </c>
      <c r="AD1910" s="235" t="s">
        <v>666</v>
      </c>
      <c r="AE1910" s="238">
        <v>641017.0</v>
      </c>
      <c r="AF1910" s="235" t="s">
        <v>631</v>
      </c>
      <c r="AG1910" s="244"/>
      <c r="AH1910" s="244"/>
      <c r="AI1910" s="245"/>
      <c r="AJ1910" s="245"/>
      <c r="AK1910" s="245"/>
      <c r="AL1910" s="245"/>
      <c r="AM1910" s="244"/>
      <c r="AN1910" s="244"/>
      <c r="AO1910" s="238">
        <v>0.0</v>
      </c>
      <c r="AP1910" s="238">
        <v>-38.1</v>
      </c>
      <c r="AQ1910" s="235" t="s">
        <v>632</v>
      </c>
      <c r="AR1910" s="243">
        <v>3.71E11</v>
      </c>
      <c r="AS1910" s="235" t="s">
        <v>13822</v>
      </c>
      <c r="AT1910" s="235" t="s">
        <v>9</v>
      </c>
      <c r="AU1910" s="235" t="s">
        <v>634</v>
      </c>
      <c r="AV1910" s="246" t="s">
        <v>635</v>
      </c>
      <c r="AW1910" s="242"/>
      <c r="AX1910" s="242"/>
      <c r="AY1910" s="231"/>
      <c r="AZ1910" s="231"/>
      <c r="BA1910" s="227"/>
      <c r="BB1910" s="231"/>
      <c r="BC1910" s="227"/>
      <c r="BD1910" s="227"/>
      <c r="BE1910" s="227"/>
      <c r="BF1910" s="227"/>
    </row>
    <row r="1911">
      <c r="A1911" s="235" t="s">
        <v>14936</v>
      </c>
      <c r="C1911" s="235" t="s">
        <v>14937</v>
      </c>
      <c r="D1911" s="235" t="s">
        <v>14938</v>
      </c>
      <c r="E1911" s="243">
        <v>6.54E13</v>
      </c>
      <c r="F1911" s="245"/>
      <c r="G1911" s="235" t="s">
        <v>14939</v>
      </c>
      <c r="H1911" s="235" t="s">
        <v>14940</v>
      </c>
      <c r="I1911" s="235" t="s">
        <v>14941</v>
      </c>
      <c r="J1911" s="235" t="s">
        <v>14942</v>
      </c>
      <c r="K1911" s="235" t="s">
        <v>14943</v>
      </c>
      <c r="N1911" s="235" t="s">
        <v>92</v>
      </c>
      <c r="O1911" s="235" t="s">
        <v>248</v>
      </c>
      <c r="P1911" s="238">
        <v>1.0</v>
      </c>
      <c r="Q1911" s="235" t="s">
        <v>627</v>
      </c>
      <c r="R1911" s="238">
        <v>246.67</v>
      </c>
      <c r="S1911" s="238">
        <v>12.33</v>
      </c>
      <c r="T1911" s="238">
        <v>0.0</v>
      </c>
      <c r="U1911" s="238">
        <v>0.0</v>
      </c>
      <c r="V1911" s="238">
        <v>0.0</v>
      </c>
      <c r="W1911" s="238">
        <v>0.0</v>
      </c>
      <c r="X1911" s="235" t="s">
        <v>628</v>
      </c>
      <c r="Z1911" s="244"/>
      <c r="AA1911" s="244"/>
      <c r="AB1911" s="244"/>
      <c r="AC1911" s="235" t="s">
        <v>2639</v>
      </c>
      <c r="AD1911" s="235" t="s">
        <v>630</v>
      </c>
      <c r="AE1911" s="238">
        <v>201310.0</v>
      </c>
      <c r="AF1911" s="235" t="s">
        <v>631</v>
      </c>
      <c r="AG1911" s="244"/>
      <c r="AH1911" s="244"/>
      <c r="AI1911" s="245"/>
      <c r="AJ1911" s="245"/>
      <c r="AK1911" s="245"/>
      <c r="AL1911" s="245"/>
      <c r="AM1911" s="244"/>
      <c r="AN1911" s="244"/>
      <c r="AO1911" s="238">
        <v>0.0</v>
      </c>
      <c r="AP1911" s="238">
        <v>0.0</v>
      </c>
      <c r="AQ1911" s="235" t="s">
        <v>632</v>
      </c>
      <c r="AR1911" s="243">
        <v>3.71E11</v>
      </c>
      <c r="AS1911" s="235" t="s">
        <v>13822</v>
      </c>
      <c r="AT1911" s="235" t="s">
        <v>14</v>
      </c>
      <c r="AU1911" s="235" t="s">
        <v>634</v>
      </c>
      <c r="AV1911" s="246" t="s">
        <v>635</v>
      </c>
      <c r="AW1911" s="242"/>
      <c r="AX1911" s="242"/>
      <c r="AY1911" s="231"/>
      <c r="AZ1911" s="231"/>
      <c r="BA1911" s="227"/>
      <c r="BB1911" s="231"/>
      <c r="BC1911" s="227"/>
      <c r="BD1911" s="227"/>
      <c r="BE1911" s="227"/>
      <c r="BF1911" s="227"/>
    </row>
    <row r="1912">
      <c r="A1912" s="235" t="s">
        <v>14944</v>
      </c>
      <c r="C1912" s="235" t="s">
        <v>14945</v>
      </c>
      <c r="D1912" s="235" t="s">
        <v>14946</v>
      </c>
      <c r="E1912" s="243">
        <v>6.54E13</v>
      </c>
      <c r="F1912" s="245"/>
      <c r="G1912" s="235" t="s">
        <v>14947</v>
      </c>
      <c r="H1912" s="235" t="s">
        <v>14948</v>
      </c>
      <c r="I1912" s="235" t="s">
        <v>14949</v>
      </c>
      <c r="J1912" s="235" t="s">
        <v>14950</v>
      </c>
      <c r="K1912" s="235" t="s">
        <v>14951</v>
      </c>
      <c r="N1912" s="235" t="s">
        <v>127</v>
      </c>
      <c r="O1912" s="235" t="s">
        <v>794</v>
      </c>
      <c r="P1912" s="238">
        <v>1.0</v>
      </c>
      <c r="Q1912" s="235" t="s">
        <v>627</v>
      </c>
      <c r="R1912" s="238">
        <v>246.67</v>
      </c>
      <c r="S1912" s="238">
        <v>12.08</v>
      </c>
      <c r="T1912" s="238">
        <v>0.0</v>
      </c>
      <c r="U1912" s="238">
        <v>0.0</v>
      </c>
      <c r="V1912" s="238">
        <v>0.0</v>
      </c>
      <c r="W1912" s="238">
        <v>0.0</v>
      </c>
      <c r="X1912" s="235" t="s">
        <v>628</v>
      </c>
      <c r="Z1912" s="244"/>
      <c r="AA1912" s="244"/>
      <c r="AB1912" s="244"/>
      <c r="AC1912" s="235" t="s">
        <v>907</v>
      </c>
      <c r="AD1912" s="235" t="s">
        <v>908</v>
      </c>
      <c r="AE1912" s="238">
        <v>248001.0</v>
      </c>
      <c r="AF1912" s="235" t="s">
        <v>631</v>
      </c>
      <c r="AG1912" s="244"/>
      <c r="AH1912" s="244"/>
      <c r="AI1912" s="245"/>
      <c r="AJ1912" s="245"/>
      <c r="AK1912" s="245"/>
      <c r="AL1912" s="245"/>
      <c r="AM1912" s="244"/>
      <c r="AN1912" s="244"/>
      <c r="AO1912" s="238">
        <v>-4.93</v>
      </c>
      <c r="AP1912" s="238">
        <v>0.0</v>
      </c>
      <c r="AQ1912" s="235" t="s">
        <v>632</v>
      </c>
      <c r="AR1912" s="243">
        <v>3.71E11</v>
      </c>
      <c r="AS1912" s="235" t="s">
        <v>12693</v>
      </c>
      <c r="AT1912" s="235" t="s">
        <v>14</v>
      </c>
      <c r="AU1912" s="235" t="s">
        <v>634</v>
      </c>
      <c r="AV1912" s="246" t="s">
        <v>635</v>
      </c>
      <c r="AW1912" s="242"/>
      <c r="AX1912" s="242"/>
      <c r="AY1912" s="231"/>
      <c r="AZ1912" s="231"/>
      <c r="BA1912" s="227"/>
      <c r="BB1912" s="231"/>
      <c r="BC1912" s="227"/>
      <c r="BD1912" s="227"/>
      <c r="BE1912" s="227"/>
      <c r="BF1912" s="227"/>
    </row>
    <row r="1913">
      <c r="A1913" s="235" t="s">
        <v>14952</v>
      </c>
      <c r="C1913" s="235" t="s">
        <v>14953</v>
      </c>
      <c r="D1913" s="235" t="s">
        <v>14954</v>
      </c>
      <c r="E1913" s="243">
        <v>6.53E13</v>
      </c>
      <c r="F1913" s="245"/>
      <c r="G1913" s="235" t="s">
        <v>14955</v>
      </c>
      <c r="H1913" s="235" t="s">
        <v>14956</v>
      </c>
      <c r="I1913" s="235" t="s">
        <v>14956</v>
      </c>
      <c r="J1913" s="235" t="s">
        <v>14957</v>
      </c>
      <c r="K1913" s="235" t="s">
        <v>14958</v>
      </c>
      <c r="N1913" s="235" t="s">
        <v>15</v>
      </c>
      <c r="O1913" s="235" t="s">
        <v>856</v>
      </c>
      <c r="P1913" s="238">
        <v>1.0</v>
      </c>
      <c r="Q1913" s="235" t="s">
        <v>627</v>
      </c>
      <c r="R1913" s="238">
        <v>380.0</v>
      </c>
      <c r="S1913" s="238">
        <v>19.0</v>
      </c>
      <c r="T1913" s="238">
        <v>38.1</v>
      </c>
      <c r="U1913" s="238">
        <v>1.9</v>
      </c>
      <c r="V1913" s="238">
        <v>0.0</v>
      </c>
      <c r="W1913" s="238">
        <v>0.0</v>
      </c>
      <c r="X1913" s="235" t="s">
        <v>628</v>
      </c>
      <c r="Z1913" s="244"/>
      <c r="AA1913" s="244"/>
      <c r="AB1913" s="244"/>
      <c r="AC1913" s="235" t="s">
        <v>14959</v>
      </c>
      <c r="AD1913" s="235" t="s">
        <v>6097</v>
      </c>
      <c r="AE1913" s="238">
        <v>737101.0</v>
      </c>
      <c r="AF1913" s="235" t="s">
        <v>631</v>
      </c>
      <c r="AG1913" s="244"/>
      <c r="AH1913" s="244"/>
      <c r="AI1913" s="245"/>
      <c r="AJ1913" s="245"/>
      <c r="AK1913" s="245"/>
      <c r="AL1913" s="245"/>
      <c r="AM1913" s="244"/>
      <c r="AN1913" s="244"/>
      <c r="AO1913" s="238">
        <v>0.0</v>
      </c>
      <c r="AP1913" s="238">
        <v>-38.1</v>
      </c>
      <c r="AQ1913" s="235" t="s">
        <v>632</v>
      </c>
      <c r="AR1913" s="243">
        <v>3.71E11</v>
      </c>
      <c r="AS1913" s="235" t="s">
        <v>8807</v>
      </c>
      <c r="AT1913" s="235" t="s">
        <v>13</v>
      </c>
      <c r="AU1913" s="235" t="s">
        <v>634</v>
      </c>
      <c r="AV1913" s="246" t="s">
        <v>635</v>
      </c>
      <c r="AW1913" s="242"/>
      <c r="AX1913" s="242"/>
      <c r="AY1913" s="231"/>
      <c r="AZ1913" s="231"/>
      <c r="BA1913" s="227"/>
      <c r="BB1913" s="231"/>
      <c r="BC1913" s="227"/>
      <c r="BD1913" s="227"/>
      <c r="BE1913" s="227"/>
      <c r="BF1913" s="227"/>
    </row>
    <row r="1914">
      <c r="A1914" s="235" t="s">
        <v>14960</v>
      </c>
      <c r="C1914" s="235" t="s">
        <v>14961</v>
      </c>
      <c r="D1914" s="235" t="s">
        <v>14962</v>
      </c>
      <c r="E1914" s="243">
        <v>6.54E13</v>
      </c>
      <c r="F1914" s="245"/>
      <c r="G1914" s="235" t="s">
        <v>14963</v>
      </c>
      <c r="H1914" s="235" t="s">
        <v>14964</v>
      </c>
      <c r="I1914" s="235" t="s">
        <v>14965</v>
      </c>
      <c r="J1914" s="235" t="s">
        <v>14966</v>
      </c>
      <c r="K1914" s="235" t="s">
        <v>14967</v>
      </c>
      <c r="N1914" s="235" t="s">
        <v>130</v>
      </c>
      <c r="O1914" s="235" t="s">
        <v>707</v>
      </c>
      <c r="P1914" s="238">
        <v>1.0</v>
      </c>
      <c r="Q1914" s="235" t="s">
        <v>627</v>
      </c>
      <c r="R1914" s="238">
        <v>246.67</v>
      </c>
      <c r="S1914" s="238">
        <v>12.33</v>
      </c>
      <c r="T1914" s="238">
        <v>38.1</v>
      </c>
      <c r="U1914" s="238">
        <v>1.9</v>
      </c>
      <c r="V1914" s="238">
        <v>0.0</v>
      </c>
      <c r="W1914" s="238">
        <v>0.0</v>
      </c>
      <c r="X1914" s="235" t="s">
        <v>628</v>
      </c>
      <c r="Z1914" s="244"/>
      <c r="AA1914" s="244"/>
      <c r="AB1914" s="244"/>
      <c r="AC1914" s="235" t="s">
        <v>10332</v>
      </c>
      <c r="AD1914" s="235" t="s">
        <v>1086</v>
      </c>
      <c r="AE1914" s="238">
        <v>145001.0</v>
      </c>
      <c r="AF1914" s="235" t="s">
        <v>631</v>
      </c>
      <c r="AG1914" s="244"/>
      <c r="AH1914" s="244"/>
      <c r="AI1914" s="245"/>
      <c r="AJ1914" s="245"/>
      <c r="AK1914" s="245"/>
      <c r="AL1914" s="245"/>
      <c r="AM1914" s="244"/>
      <c r="AN1914" s="244"/>
      <c r="AO1914" s="238">
        <v>0.0</v>
      </c>
      <c r="AP1914" s="238">
        <v>-38.1</v>
      </c>
      <c r="AQ1914" s="235" t="s">
        <v>632</v>
      </c>
      <c r="AR1914" s="243">
        <v>3.71E11</v>
      </c>
      <c r="AS1914" s="235" t="s">
        <v>12693</v>
      </c>
      <c r="AT1914" s="235" t="s">
        <v>14</v>
      </c>
      <c r="AU1914" s="235" t="s">
        <v>634</v>
      </c>
      <c r="AV1914" s="246" t="s">
        <v>635</v>
      </c>
      <c r="AW1914" s="242"/>
      <c r="AX1914" s="242"/>
      <c r="AY1914" s="231"/>
      <c r="AZ1914" s="231"/>
      <c r="BA1914" s="227"/>
      <c r="BB1914" s="231"/>
      <c r="BC1914" s="227"/>
      <c r="BD1914" s="227"/>
      <c r="BE1914" s="227"/>
      <c r="BF1914" s="227"/>
    </row>
    <row r="1915">
      <c r="A1915" s="235" t="s">
        <v>14968</v>
      </c>
      <c r="C1915" s="235" t="s">
        <v>14969</v>
      </c>
      <c r="D1915" s="235" t="s">
        <v>14970</v>
      </c>
      <c r="E1915" s="243">
        <v>6.54E13</v>
      </c>
      <c r="F1915" s="245"/>
      <c r="G1915" s="235" t="s">
        <v>14971</v>
      </c>
      <c r="H1915" s="235" t="s">
        <v>14972</v>
      </c>
      <c r="I1915" s="235" t="s">
        <v>14972</v>
      </c>
      <c r="J1915" s="235" t="s">
        <v>14973</v>
      </c>
      <c r="K1915" s="235" t="s">
        <v>14974</v>
      </c>
      <c r="N1915" s="235" t="s">
        <v>3</v>
      </c>
      <c r="O1915" s="235" t="s">
        <v>654</v>
      </c>
      <c r="P1915" s="238">
        <v>1.0</v>
      </c>
      <c r="Q1915" s="235" t="s">
        <v>627</v>
      </c>
      <c r="R1915" s="238">
        <v>265.72</v>
      </c>
      <c r="S1915" s="238">
        <v>13.28</v>
      </c>
      <c r="T1915" s="238">
        <v>38.1</v>
      </c>
      <c r="U1915" s="238">
        <v>1.9</v>
      </c>
      <c r="V1915" s="238">
        <v>0.0</v>
      </c>
      <c r="W1915" s="238">
        <v>0.0</v>
      </c>
      <c r="X1915" s="235" t="s">
        <v>628</v>
      </c>
      <c r="Z1915" s="244"/>
      <c r="AA1915" s="244"/>
      <c r="AB1915" s="244"/>
      <c r="AC1915" s="235" t="s">
        <v>1456</v>
      </c>
      <c r="AD1915" s="235" t="s">
        <v>928</v>
      </c>
      <c r="AE1915" s="238">
        <v>122505.0</v>
      </c>
      <c r="AF1915" s="235" t="s">
        <v>631</v>
      </c>
      <c r="AG1915" s="244"/>
      <c r="AH1915" s="244"/>
      <c r="AI1915" s="245"/>
      <c r="AJ1915" s="245"/>
      <c r="AK1915" s="245"/>
      <c r="AL1915" s="245"/>
      <c r="AM1915" s="244"/>
      <c r="AN1915" s="244"/>
      <c r="AO1915" s="238">
        <v>0.0</v>
      </c>
      <c r="AP1915" s="238">
        <v>-38.1</v>
      </c>
      <c r="AQ1915" s="235" t="s">
        <v>632</v>
      </c>
      <c r="AR1915" s="243">
        <v>3.71E11</v>
      </c>
      <c r="AS1915" s="235" t="s">
        <v>13822</v>
      </c>
      <c r="AT1915" s="235" t="s">
        <v>14</v>
      </c>
      <c r="AU1915" s="235" t="s">
        <v>634</v>
      </c>
      <c r="AV1915" s="246" t="s">
        <v>635</v>
      </c>
      <c r="AW1915" s="242"/>
      <c r="AX1915" s="242"/>
      <c r="AY1915" s="231"/>
      <c r="AZ1915" s="231"/>
      <c r="BA1915" s="227"/>
      <c r="BB1915" s="231"/>
      <c r="BC1915" s="227"/>
      <c r="BD1915" s="227"/>
      <c r="BE1915" s="227"/>
      <c r="BF1915" s="227"/>
    </row>
    <row r="1916">
      <c r="A1916" s="235" t="s">
        <v>14975</v>
      </c>
      <c r="C1916" s="235" t="s">
        <v>14976</v>
      </c>
      <c r="D1916" s="235" t="s">
        <v>14977</v>
      </c>
      <c r="E1916" s="243">
        <v>6.54E13</v>
      </c>
      <c r="F1916" s="245"/>
      <c r="G1916" s="235" t="s">
        <v>14978</v>
      </c>
      <c r="H1916" s="235" t="s">
        <v>14979</v>
      </c>
      <c r="I1916" s="235" t="s">
        <v>14979</v>
      </c>
      <c r="J1916" s="235" t="s">
        <v>14980</v>
      </c>
      <c r="K1916" s="235" t="s">
        <v>14981</v>
      </c>
      <c r="N1916" s="235" t="s">
        <v>127</v>
      </c>
      <c r="O1916" s="235" t="s">
        <v>794</v>
      </c>
      <c r="P1916" s="238">
        <v>1.0</v>
      </c>
      <c r="Q1916" s="235" t="s">
        <v>627</v>
      </c>
      <c r="R1916" s="238">
        <v>246.66</v>
      </c>
      <c r="S1916" s="238">
        <v>12.34</v>
      </c>
      <c r="T1916" s="238">
        <v>0.0</v>
      </c>
      <c r="U1916" s="238">
        <v>0.0</v>
      </c>
      <c r="V1916" s="238">
        <v>0.0</v>
      </c>
      <c r="W1916" s="238">
        <v>0.0</v>
      </c>
      <c r="X1916" s="235" t="s">
        <v>628</v>
      </c>
      <c r="Z1916" s="244"/>
      <c r="AA1916" s="244"/>
      <c r="AB1916" s="244"/>
      <c r="AC1916" s="235" t="s">
        <v>687</v>
      </c>
      <c r="AD1916" s="235" t="s">
        <v>666</v>
      </c>
      <c r="AE1916" s="238">
        <v>602024.0</v>
      </c>
      <c r="AF1916" s="235" t="s">
        <v>631</v>
      </c>
      <c r="AG1916" s="244"/>
      <c r="AH1916" s="244"/>
      <c r="AI1916" s="245"/>
      <c r="AJ1916" s="245"/>
      <c r="AK1916" s="245"/>
      <c r="AL1916" s="245"/>
      <c r="AM1916" s="244"/>
      <c r="AN1916" s="244"/>
      <c r="AO1916" s="238">
        <v>0.0</v>
      </c>
      <c r="AP1916" s="238">
        <v>0.0</v>
      </c>
      <c r="AQ1916" s="235" t="s">
        <v>632</v>
      </c>
      <c r="AR1916" s="243">
        <v>3.71E11</v>
      </c>
      <c r="AS1916" s="235" t="s">
        <v>13822</v>
      </c>
      <c r="AT1916" s="235" t="s">
        <v>156</v>
      </c>
      <c r="AU1916" s="235" t="s">
        <v>634</v>
      </c>
      <c r="AV1916" s="246" t="s">
        <v>635</v>
      </c>
      <c r="AW1916" s="242"/>
      <c r="AX1916" s="242"/>
      <c r="AY1916" s="231"/>
      <c r="AZ1916" s="231"/>
      <c r="BA1916" s="227"/>
      <c r="BB1916" s="231"/>
      <c r="BC1916" s="227"/>
      <c r="BD1916" s="227"/>
      <c r="BE1916" s="227"/>
      <c r="BF1916" s="227"/>
    </row>
    <row r="1917">
      <c r="A1917" s="235" t="s">
        <v>14982</v>
      </c>
      <c r="C1917" s="235" t="s">
        <v>14983</v>
      </c>
      <c r="D1917" s="235" t="s">
        <v>14984</v>
      </c>
      <c r="E1917" s="243">
        <v>6.54E13</v>
      </c>
      <c r="F1917" s="245"/>
      <c r="G1917" s="235" t="s">
        <v>14985</v>
      </c>
      <c r="H1917" s="235" t="s">
        <v>14986</v>
      </c>
      <c r="I1917" s="235" t="s">
        <v>14986</v>
      </c>
      <c r="J1917" s="235" t="s">
        <v>14987</v>
      </c>
      <c r="K1917" s="235" t="s">
        <v>14988</v>
      </c>
      <c r="N1917" s="235" t="s">
        <v>145</v>
      </c>
      <c r="O1917" s="235" t="s">
        <v>370</v>
      </c>
      <c r="P1917" s="238">
        <v>1.0</v>
      </c>
      <c r="Q1917" s="235" t="s">
        <v>627</v>
      </c>
      <c r="R1917" s="238">
        <v>1522.86</v>
      </c>
      <c r="S1917" s="238">
        <v>76.14</v>
      </c>
      <c r="T1917" s="238">
        <v>0.0</v>
      </c>
      <c r="U1917" s="238">
        <v>0.0</v>
      </c>
      <c r="V1917" s="238">
        <v>0.0</v>
      </c>
      <c r="W1917" s="238">
        <v>0.0</v>
      </c>
      <c r="X1917" s="235" t="s">
        <v>628</v>
      </c>
      <c r="Z1917" s="244"/>
      <c r="AA1917" s="244"/>
      <c r="AB1917" s="244"/>
      <c r="AC1917" s="235" t="s">
        <v>6555</v>
      </c>
      <c r="AD1917" s="235" t="s">
        <v>679</v>
      </c>
      <c r="AE1917" s="238">
        <v>575015.0</v>
      </c>
      <c r="AF1917" s="235" t="s">
        <v>631</v>
      </c>
      <c r="AG1917" s="244"/>
      <c r="AH1917" s="244"/>
      <c r="AI1917" s="245"/>
      <c r="AJ1917" s="245"/>
      <c r="AK1917" s="245"/>
      <c r="AL1917" s="245"/>
      <c r="AM1917" s="244"/>
      <c r="AN1917" s="244"/>
      <c r="AO1917" s="238">
        <v>0.0</v>
      </c>
      <c r="AP1917" s="238">
        <v>0.0</v>
      </c>
      <c r="AQ1917" s="235" t="s">
        <v>632</v>
      </c>
      <c r="AR1917" s="243">
        <v>3.71E11</v>
      </c>
      <c r="AS1917" s="235" t="s">
        <v>12693</v>
      </c>
      <c r="AT1917" s="235" t="s">
        <v>11</v>
      </c>
      <c r="AU1917" s="235" t="s">
        <v>634</v>
      </c>
      <c r="AV1917" s="246" t="s">
        <v>635</v>
      </c>
      <c r="AW1917" s="242"/>
      <c r="AX1917" s="242"/>
      <c r="AY1917" s="231"/>
      <c r="AZ1917" s="231"/>
      <c r="BA1917" s="227"/>
      <c r="BB1917" s="231"/>
      <c r="BC1917" s="227"/>
      <c r="BD1917" s="227"/>
      <c r="BE1917" s="227"/>
      <c r="BF1917" s="227"/>
    </row>
    <row r="1918">
      <c r="A1918" s="235" t="s">
        <v>14989</v>
      </c>
      <c r="C1918" s="235" t="s">
        <v>14990</v>
      </c>
      <c r="D1918" s="235" t="s">
        <v>14991</v>
      </c>
      <c r="E1918" s="243">
        <v>6.54E13</v>
      </c>
      <c r="F1918" s="245"/>
      <c r="G1918" s="235" t="s">
        <v>14992</v>
      </c>
      <c r="H1918" s="235" t="s">
        <v>14993</v>
      </c>
      <c r="I1918" s="235" t="s">
        <v>14993</v>
      </c>
      <c r="J1918" s="235" t="s">
        <v>14994</v>
      </c>
      <c r="K1918" s="235" t="s">
        <v>14995</v>
      </c>
      <c r="N1918" s="235" t="s">
        <v>842</v>
      </c>
      <c r="O1918" s="235" t="s">
        <v>843</v>
      </c>
      <c r="P1918" s="238">
        <v>1.0</v>
      </c>
      <c r="Q1918" s="235" t="s">
        <v>627</v>
      </c>
      <c r="R1918" s="238">
        <v>242.86</v>
      </c>
      <c r="S1918" s="238">
        <v>12.14</v>
      </c>
      <c r="T1918" s="238">
        <v>38.1</v>
      </c>
      <c r="U1918" s="238">
        <v>1.9</v>
      </c>
      <c r="V1918" s="238">
        <v>0.0</v>
      </c>
      <c r="W1918" s="238">
        <v>0.0</v>
      </c>
      <c r="X1918" s="235" t="s">
        <v>628</v>
      </c>
      <c r="Z1918" s="244"/>
      <c r="AA1918" s="244"/>
      <c r="AB1918" s="244"/>
      <c r="AC1918" s="235" t="s">
        <v>697</v>
      </c>
      <c r="AD1918" s="235" t="s">
        <v>698</v>
      </c>
      <c r="AE1918" s="238">
        <v>500088.0</v>
      </c>
      <c r="AF1918" s="235" t="s">
        <v>631</v>
      </c>
      <c r="AG1918" s="244"/>
      <c r="AH1918" s="244"/>
      <c r="AI1918" s="245"/>
      <c r="AJ1918" s="245"/>
      <c r="AK1918" s="245"/>
      <c r="AL1918" s="245"/>
      <c r="AM1918" s="244"/>
      <c r="AN1918" s="244"/>
      <c r="AO1918" s="238">
        <v>0.0</v>
      </c>
      <c r="AP1918" s="238">
        <v>-38.1</v>
      </c>
      <c r="AQ1918" s="235" t="s">
        <v>632</v>
      </c>
      <c r="AR1918" s="243">
        <v>3.71E11</v>
      </c>
      <c r="AS1918" s="235" t="s">
        <v>11171</v>
      </c>
      <c r="AT1918" s="235" t="s">
        <v>546</v>
      </c>
      <c r="AU1918" s="235" t="s">
        <v>634</v>
      </c>
      <c r="AV1918" s="246" t="s">
        <v>635</v>
      </c>
      <c r="AW1918" s="242"/>
      <c r="AX1918" s="242"/>
      <c r="AY1918" s="231"/>
      <c r="AZ1918" s="231"/>
      <c r="BA1918" s="227"/>
      <c r="BB1918" s="231"/>
      <c r="BC1918" s="227"/>
      <c r="BD1918" s="227"/>
      <c r="BE1918" s="227"/>
      <c r="BF1918" s="227"/>
    </row>
    <row r="1919">
      <c r="A1919" s="235" t="s">
        <v>14996</v>
      </c>
      <c r="C1919" s="235" t="s">
        <v>14997</v>
      </c>
      <c r="D1919" s="235" t="s">
        <v>14998</v>
      </c>
      <c r="E1919" s="243">
        <v>6.54E13</v>
      </c>
      <c r="F1919" s="245"/>
      <c r="G1919" s="235" t="s">
        <v>14999</v>
      </c>
      <c r="H1919" s="235" t="s">
        <v>15000</v>
      </c>
      <c r="I1919" s="235" t="s">
        <v>15000</v>
      </c>
      <c r="J1919" s="235" t="s">
        <v>15001</v>
      </c>
      <c r="K1919" s="235" t="s">
        <v>15002</v>
      </c>
      <c r="N1919" s="235" t="s">
        <v>842</v>
      </c>
      <c r="O1919" s="235" t="s">
        <v>843</v>
      </c>
      <c r="P1919" s="238">
        <v>1.0</v>
      </c>
      <c r="Q1919" s="235" t="s">
        <v>627</v>
      </c>
      <c r="R1919" s="238">
        <v>242.86</v>
      </c>
      <c r="S1919" s="238">
        <v>11.9</v>
      </c>
      <c r="T1919" s="238">
        <v>0.0</v>
      </c>
      <c r="U1919" s="238">
        <v>0.0</v>
      </c>
      <c r="V1919" s="238">
        <v>0.0</v>
      </c>
      <c r="W1919" s="238">
        <v>0.0</v>
      </c>
      <c r="X1919" s="235" t="s">
        <v>628</v>
      </c>
      <c r="Z1919" s="244"/>
      <c r="AA1919" s="244"/>
      <c r="AB1919" s="244"/>
      <c r="AC1919" s="235" t="s">
        <v>1320</v>
      </c>
      <c r="AD1919" s="235" t="s">
        <v>666</v>
      </c>
      <c r="AE1919" s="238">
        <v>600015.0</v>
      </c>
      <c r="AF1919" s="235" t="s">
        <v>631</v>
      </c>
      <c r="AG1919" s="244"/>
      <c r="AH1919" s="244"/>
      <c r="AI1919" s="245"/>
      <c r="AJ1919" s="245"/>
      <c r="AK1919" s="245"/>
      <c r="AL1919" s="245"/>
      <c r="AM1919" s="244"/>
      <c r="AN1919" s="244"/>
      <c r="AO1919" s="238">
        <v>-4.86</v>
      </c>
      <c r="AP1919" s="238">
        <v>0.0</v>
      </c>
      <c r="AQ1919" s="235" t="s">
        <v>632</v>
      </c>
      <c r="AR1919" s="243">
        <v>1.68E11</v>
      </c>
      <c r="AS1919" s="235" t="s">
        <v>14390</v>
      </c>
      <c r="AT1919" s="235" t="s">
        <v>156</v>
      </c>
      <c r="AU1919" s="235" t="s">
        <v>634</v>
      </c>
      <c r="AV1919" s="246" t="s">
        <v>635</v>
      </c>
      <c r="AW1919" s="242"/>
      <c r="AX1919" s="242"/>
      <c r="AY1919" s="231"/>
      <c r="AZ1919" s="231"/>
      <c r="BA1919" s="227"/>
      <c r="BB1919" s="231"/>
      <c r="BC1919" s="227"/>
      <c r="BD1919" s="227"/>
      <c r="BE1919" s="227"/>
      <c r="BF1919" s="227"/>
    </row>
    <row r="1920">
      <c r="A1920" s="235" t="s">
        <v>15003</v>
      </c>
      <c r="C1920" s="235" t="s">
        <v>15004</v>
      </c>
      <c r="D1920" s="235" t="s">
        <v>15005</v>
      </c>
      <c r="E1920" s="243">
        <v>6.54E13</v>
      </c>
      <c r="F1920" s="245"/>
      <c r="G1920" s="235" t="s">
        <v>15006</v>
      </c>
      <c r="H1920" s="235" t="s">
        <v>15007</v>
      </c>
      <c r="I1920" s="235" t="s">
        <v>15007</v>
      </c>
      <c r="J1920" s="235" t="s">
        <v>15008</v>
      </c>
      <c r="K1920" s="235" t="s">
        <v>15009</v>
      </c>
      <c r="N1920" s="235" t="s">
        <v>126</v>
      </c>
      <c r="O1920" s="235" t="s">
        <v>407</v>
      </c>
      <c r="P1920" s="238">
        <v>1.0</v>
      </c>
      <c r="Q1920" s="235" t="s">
        <v>627</v>
      </c>
      <c r="R1920" s="238">
        <v>237.14</v>
      </c>
      <c r="S1920" s="238">
        <v>11.86</v>
      </c>
      <c r="T1920" s="238">
        <v>0.0</v>
      </c>
      <c r="U1920" s="238">
        <v>0.0</v>
      </c>
      <c r="V1920" s="238">
        <v>0.0</v>
      </c>
      <c r="W1920" s="238">
        <v>0.0</v>
      </c>
      <c r="X1920" s="235" t="s">
        <v>628</v>
      </c>
      <c r="Z1920" s="244"/>
      <c r="AA1920" s="244"/>
      <c r="AB1920" s="244"/>
      <c r="AC1920" s="235" t="s">
        <v>678</v>
      </c>
      <c r="AD1920" s="235" t="s">
        <v>679</v>
      </c>
      <c r="AE1920" s="238">
        <v>560035.0</v>
      </c>
      <c r="AF1920" s="235" t="s">
        <v>631</v>
      </c>
      <c r="AG1920" s="244"/>
      <c r="AH1920" s="244"/>
      <c r="AI1920" s="245"/>
      <c r="AJ1920" s="245"/>
      <c r="AK1920" s="245"/>
      <c r="AL1920" s="245"/>
      <c r="AM1920" s="244"/>
      <c r="AN1920" s="244"/>
      <c r="AO1920" s="238">
        <v>0.0</v>
      </c>
      <c r="AP1920" s="238">
        <v>0.0</v>
      </c>
      <c r="AQ1920" s="235" t="s">
        <v>632</v>
      </c>
      <c r="AR1920" s="243">
        <v>1.68E11</v>
      </c>
      <c r="AS1920" s="235" t="s">
        <v>13822</v>
      </c>
      <c r="AT1920" s="235" t="s">
        <v>9</v>
      </c>
      <c r="AU1920" s="235" t="s">
        <v>634</v>
      </c>
      <c r="AV1920" s="246" t="s">
        <v>635</v>
      </c>
      <c r="AW1920" s="242"/>
      <c r="AX1920" s="242"/>
      <c r="AY1920" s="231"/>
      <c r="AZ1920" s="231"/>
      <c r="BA1920" s="227"/>
      <c r="BB1920" s="231"/>
      <c r="BC1920" s="227"/>
      <c r="BD1920" s="227"/>
      <c r="BE1920" s="227"/>
      <c r="BF1920" s="227"/>
    </row>
    <row r="1921">
      <c r="A1921" s="235" t="s">
        <v>15010</v>
      </c>
      <c r="C1921" s="235" t="s">
        <v>15011</v>
      </c>
      <c r="D1921" s="235" t="s">
        <v>15012</v>
      </c>
      <c r="E1921" s="243">
        <v>6.54E13</v>
      </c>
      <c r="F1921" s="245"/>
      <c r="G1921" s="235" t="s">
        <v>15013</v>
      </c>
      <c r="H1921" s="235" t="s">
        <v>15014</v>
      </c>
      <c r="I1921" s="235" t="s">
        <v>15014</v>
      </c>
      <c r="J1921" s="235" t="s">
        <v>15015</v>
      </c>
      <c r="K1921" s="235" t="s">
        <v>15016</v>
      </c>
      <c r="N1921" s="235" t="s">
        <v>143</v>
      </c>
      <c r="O1921" s="235" t="s">
        <v>220</v>
      </c>
      <c r="P1921" s="238">
        <v>1.0</v>
      </c>
      <c r="Q1921" s="235" t="s">
        <v>627</v>
      </c>
      <c r="R1921" s="238">
        <v>246.67</v>
      </c>
      <c r="S1921" s="238">
        <v>12.08</v>
      </c>
      <c r="T1921" s="238">
        <v>0.0</v>
      </c>
      <c r="U1921" s="238">
        <v>0.0</v>
      </c>
      <c r="V1921" s="238">
        <v>0.0</v>
      </c>
      <c r="W1921" s="238">
        <v>0.0</v>
      </c>
      <c r="X1921" s="235" t="s">
        <v>628</v>
      </c>
      <c r="Z1921" s="244"/>
      <c r="AA1921" s="244"/>
      <c r="AB1921" s="244"/>
      <c r="AC1921" s="235" t="s">
        <v>15017</v>
      </c>
      <c r="AD1921" s="235" t="s">
        <v>15017</v>
      </c>
      <c r="AE1921" s="238">
        <v>160023.0</v>
      </c>
      <c r="AF1921" s="235" t="s">
        <v>631</v>
      </c>
      <c r="AG1921" s="244"/>
      <c r="AH1921" s="244"/>
      <c r="AI1921" s="245"/>
      <c r="AJ1921" s="245"/>
      <c r="AK1921" s="245"/>
      <c r="AL1921" s="245"/>
      <c r="AM1921" s="244"/>
      <c r="AN1921" s="244"/>
      <c r="AO1921" s="238">
        <v>-4.93</v>
      </c>
      <c r="AP1921" s="238">
        <v>0.0</v>
      </c>
      <c r="AQ1921" s="235" t="s">
        <v>632</v>
      </c>
      <c r="AR1921" s="243">
        <v>3.71E11</v>
      </c>
      <c r="AS1921" s="235" t="s">
        <v>12693</v>
      </c>
      <c r="AT1921" s="235" t="s">
        <v>13</v>
      </c>
      <c r="AU1921" s="235" t="s">
        <v>634</v>
      </c>
      <c r="AV1921" s="246" t="s">
        <v>635</v>
      </c>
      <c r="AW1921" s="242"/>
      <c r="AX1921" s="242"/>
      <c r="AY1921" s="231"/>
      <c r="AZ1921" s="231"/>
      <c r="BA1921" s="227"/>
      <c r="BB1921" s="231"/>
      <c r="BC1921" s="227"/>
      <c r="BD1921" s="227"/>
      <c r="BE1921" s="227"/>
      <c r="BF1921" s="227"/>
    </row>
    <row r="1922">
      <c r="A1922" s="235" t="s">
        <v>15018</v>
      </c>
      <c r="C1922" s="235" t="s">
        <v>15019</v>
      </c>
      <c r="D1922" s="235" t="s">
        <v>15020</v>
      </c>
      <c r="E1922" s="243">
        <v>6.54E13</v>
      </c>
      <c r="F1922" s="245"/>
      <c r="G1922" s="235" t="s">
        <v>15021</v>
      </c>
      <c r="H1922" s="235" t="s">
        <v>15022</v>
      </c>
      <c r="I1922" s="235" t="s">
        <v>15022</v>
      </c>
      <c r="J1922" s="235" t="s">
        <v>15023</v>
      </c>
      <c r="K1922" s="235" t="s">
        <v>15024</v>
      </c>
      <c r="N1922" s="235" t="s">
        <v>962</v>
      </c>
      <c r="O1922" s="235" t="s">
        <v>963</v>
      </c>
      <c r="P1922" s="238">
        <v>1.0</v>
      </c>
      <c r="Q1922" s="235" t="s">
        <v>627</v>
      </c>
      <c r="R1922" s="238">
        <v>246.67</v>
      </c>
      <c r="S1922" s="238">
        <v>12.33</v>
      </c>
      <c r="T1922" s="238">
        <v>38.1</v>
      </c>
      <c r="U1922" s="238">
        <v>1.9</v>
      </c>
      <c r="V1922" s="238">
        <v>0.0</v>
      </c>
      <c r="W1922" s="238">
        <v>0.0</v>
      </c>
      <c r="X1922" s="235" t="s">
        <v>628</v>
      </c>
      <c r="Z1922" s="244"/>
      <c r="AA1922" s="244"/>
      <c r="AB1922" s="244"/>
      <c r="AC1922" s="235" t="s">
        <v>15025</v>
      </c>
      <c r="AD1922" s="235" t="s">
        <v>1499</v>
      </c>
      <c r="AE1922" s="238">
        <v>457550.0</v>
      </c>
      <c r="AF1922" s="235" t="s">
        <v>631</v>
      </c>
      <c r="AG1922" s="244"/>
      <c r="AH1922" s="244"/>
      <c r="AI1922" s="245"/>
      <c r="AJ1922" s="245"/>
      <c r="AK1922" s="245"/>
      <c r="AL1922" s="245"/>
      <c r="AM1922" s="244"/>
      <c r="AN1922" s="244"/>
      <c r="AO1922" s="238">
        <v>0.0</v>
      </c>
      <c r="AP1922" s="238">
        <v>0.0</v>
      </c>
      <c r="AQ1922" s="235" t="s">
        <v>632</v>
      </c>
      <c r="AR1922" s="243">
        <v>3.71E11</v>
      </c>
      <c r="AS1922" s="235" t="s">
        <v>12693</v>
      </c>
      <c r="AT1922" s="235" t="s">
        <v>17</v>
      </c>
      <c r="AU1922" s="235" t="s">
        <v>634</v>
      </c>
      <c r="AV1922" s="246" t="s">
        <v>635</v>
      </c>
      <c r="AW1922" s="242"/>
      <c r="AX1922" s="242"/>
      <c r="AY1922" s="231"/>
      <c r="AZ1922" s="231"/>
      <c r="BA1922" s="227"/>
      <c r="BB1922" s="231"/>
      <c r="BC1922" s="227"/>
      <c r="BD1922" s="227"/>
      <c r="BE1922" s="227"/>
      <c r="BF1922" s="227"/>
    </row>
    <row r="1923">
      <c r="A1923" s="235" t="s">
        <v>15026</v>
      </c>
      <c r="C1923" s="235" t="s">
        <v>15027</v>
      </c>
      <c r="D1923" s="235" t="s">
        <v>15028</v>
      </c>
      <c r="E1923" s="243">
        <v>6.54E13</v>
      </c>
      <c r="F1923" s="245"/>
      <c r="G1923" s="235" t="s">
        <v>15029</v>
      </c>
      <c r="H1923" s="235" t="s">
        <v>15030</v>
      </c>
      <c r="I1923" s="235" t="s">
        <v>15022</v>
      </c>
      <c r="J1923" s="235" t="s">
        <v>15031</v>
      </c>
      <c r="K1923" s="235" t="s">
        <v>15032</v>
      </c>
      <c r="N1923" s="235" t="s">
        <v>68</v>
      </c>
      <c r="O1923" s="235" t="s">
        <v>208</v>
      </c>
      <c r="P1923" s="238">
        <v>1.0</v>
      </c>
      <c r="Q1923" s="235" t="s">
        <v>627</v>
      </c>
      <c r="R1923" s="238">
        <v>246.66</v>
      </c>
      <c r="S1923" s="238">
        <v>12.34</v>
      </c>
      <c r="T1923" s="238">
        <v>0.0</v>
      </c>
      <c r="U1923" s="238">
        <v>0.0</v>
      </c>
      <c r="V1923" s="238">
        <v>0.0</v>
      </c>
      <c r="W1923" s="238">
        <v>0.0</v>
      </c>
      <c r="X1923" s="235" t="s">
        <v>628</v>
      </c>
      <c r="Z1923" s="244"/>
      <c r="AA1923" s="244"/>
      <c r="AB1923" s="244"/>
      <c r="AC1923" s="235" t="s">
        <v>1604</v>
      </c>
      <c r="AD1923" s="235" t="s">
        <v>8663</v>
      </c>
      <c r="AE1923" s="238">
        <v>400001.0</v>
      </c>
      <c r="AF1923" s="235" t="s">
        <v>631</v>
      </c>
      <c r="AG1923" s="244"/>
      <c r="AH1923" s="244"/>
      <c r="AI1923" s="245"/>
      <c r="AJ1923" s="245"/>
      <c r="AK1923" s="245"/>
      <c r="AL1923" s="245"/>
      <c r="AM1923" s="244"/>
      <c r="AN1923" s="244"/>
      <c r="AO1923" s="238">
        <v>0.0</v>
      </c>
      <c r="AP1923" s="238">
        <v>0.0</v>
      </c>
      <c r="AQ1923" s="235" t="s">
        <v>632</v>
      </c>
      <c r="AR1923" s="243">
        <v>1.68E11</v>
      </c>
      <c r="AS1923" s="235" t="s">
        <v>14390</v>
      </c>
      <c r="AT1923" s="235" t="s">
        <v>17</v>
      </c>
      <c r="AU1923" s="235" t="s">
        <v>634</v>
      </c>
      <c r="AV1923" s="246" t="s">
        <v>635</v>
      </c>
      <c r="AW1923" s="242"/>
      <c r="AX1923" s="242"/>
      <c r="AY1923" s="231"/>
      <c r="AZ1923" s="231"/>
      <c r="BA1923" s="227"/>
      <c r="BB1923" s="231"/>
      <c r="BC1923" s="227"/>
      <c r="BD1923" s="227"/>
      <c r="BE1923" s="227"/>
      <c r="BF1923" s="227"/>
    </row>
    <row r="1924">
      <c r="A1924" s="235" t="s">
        <v>15033</v>
      </c>
      <c r="C1924" s="235" t="s">
        <v>15034</v>
      </c>
      <c r="D1924" s="235" t="s">
        <v>15035</v>
      </c>
      <c r="E1924" s="243">
        <v>6.54E13</v>
      </c>
      <c r="F1924" s="245"/>
      <c r="G1924" s="235" t="s">
        <v>15036</v>
      </c>
      <c r="H1924" s="235" t="s">
        <v>15037</v>
      </c>
      <c r="I1924" s="235" t="s">
        <v>15037</v>
      </c>
      <c r="J1924" s="235" t="s">
        <v>15023</v>
      </c>
      <c r="K1924" s="235" t="s">
        <v>15038</v>
      </c>
      <c r="N1924" s="235" t="s">
        <v>842</v>
      </c>
      <c r="O1924" s="235" t="s">
        <v>843</v>
      </c>
      <c r="P1924" s="238">
        <v>1.0</v>
      </c>
      <c r="Q1924" s="235" t="s">
        <v>627</v>
      </c>
      <c r="R1924" s="238">
        <v>246.67</v>
      </c>
      <c r="S1924" s="238">
        <v>12.08</v>
      </c>
      <c r="T1924" s="238">
        <v>38.1</v>
      </c>
      <c r="U1924" s="238">
        <v>1.9</v>
      </c>
      <c r="V1924" s="238">
        <v>0.0</v>
      </c>
      <c r="W1924" s="238">
        <v>0.0</v>
      </c>
      <c r="X1924" s="235" t="s">
        <v>628</v>
      </c>
      <c r="Z1924" s="244"/>
      <c r="AA1924" s="244"/>
      <c r="AB1924" s="244"/>
      <c r="AC1924" s="235" t="s">
        <v>15039</v>
      </c>
      <c r="AD1924" s="235" t="s">
        <v>917</v>
      </c>
      <c r="AE1924" s="238">
        <v>341001.0</v>
      </c>
      <c r="AF1924" s="235" t="s">
        <v>631</v>
      </c>
      <c r="AG1924" s="244"/>
      <c r="AH1924" s="244"/>
      <c r="AI1924" s="245"/>
      <c r="AJ1924" s="245"/>
      <c r="AK1924" s="245"/>
      <c r="AL1924" s="245"/>
      <c r="AM1924" s="244"/>
      <c r="AN1924" s="244"/>
      <c r="AO1924" s="238">
        <v>-4.93</v>
      </c>
      <c r="AP1924" s="238">
        <v>-38.1</v>
      </c>
      <c r="AQ1924" s="235" t="s">
        <v>632</v>
      </c>
      <c r="AR1924" s="243">
        <v>3.71E11</v>
      </c>
      <c r="AS1924" s="235" t="s">
        <v>12693</v>
      </c>
      <c r="AT1924" s="235" t="s">
        <v>13</v>
      </c>
      <c r="AU1924" s="235" t="s">
        <v>634</v>
      </c>
      <c r="AV1924" s="246" t="s">
        <v>635</v>
      </c>
      <c r="AW1924" s="242"/>
      <c r="AX1924" s="242"/>
      <c r="AY1924" s="231"/>
      <c r="AZ1924" s="231"/>
      <c r="BA1924" s="227"/>
      <c r="BB1924" s="231"/>
      <c r="BC1924" s="227"/>
      <c r="BD1924" s="227"/>
      <c r="BE1924" s="227"/>
      <c r="BF1924" s="227"/>
    </row>
    <row r="1925">
      <c r="A1925" s="235" t="s">
        <v>15040</v>
      </c>
      <c r="C1925" s="235" t="s">
        <v>15041</v>
      </c>
      <c r="D1925" s="235" t="s">
        <v>15042</v>
      </c>
      <c r="E1925" s="243">
        <v>6.54E13</v>
      </c>
      <c r="F1925" s="245"/>
      <c r="G1925" s="235" t="s">
        <v>15043</v>
      </c>
      <c r="H1925" s="235" t="s">
        <v>15044</v>
      </c>
      <c r="I1925" s="235" t="s">
        <v>15044</v>
      </c>
      <c r="J1925" s="235" t="s">
        <v>15045</v>
      </c>
      <c r="K1925" s="235" t="s">
        <v>15046</v>
      </c>
      <c r="N1925" s="235" t="s">
        <v>85</v>
      </c>
      <c r="O1925" s="235" t="s">
        <v>872</v>
      </c>
      <c r="P1925" s="238">
        <v>1.0</v>
      </c>
      <c r="Q1925" s="235" t="s">
        <v>627</v>
      </c>
      <c r="R1925" s="238">
        <v>246.66</v>
      </c>
      <c r="S1925" s="238">
        <v>12.34</v>
      </c>
      <c r="T1925" s="238">
        <v>0.0</v>
      </c>
      <c r="U1925" s="238">
        <v>0.0</v>
      </c>
      <c r="V1925" s="238">
        <v>0.0</v>
      </c>
      <c r="W1925" s="238">
        <v>0.0</v>
      </c>
      <c r="X1925" s="235" t="s">
        <v>628</v>
      </c>
      <c r="Z1925" s="244"/>
      <c r="AA1925" s="244"/>
      <c r="AB1925" s="244"/>
      <c r="AC1925" s="235" t="s">
        <v>15047</v>
      </c>
      <c r="AD1925" s="235" t="s">
        <v>679</v>
      </c>
      <c r="AE1925" s="238">
        <v>575007.0</v>
      </c>
      <c r="AF1925" s="235" t="s">
        <v>631</v>
      </c>
      <c r="AG1925" s="244"/>
      <c r="AH1925" s="244"/>
      <c r="AI1925" s="245"/>
      <c r="AJ1925" s="245"/>
      <c r="AK1925" s="245"/>
      <c r="AL1925" s="245"/>
      <c r="AM1925" s="244"/>
      <c r="AN1925" s="244"/>
      <c r="AO1925" s="238">
        <v>0.0</v>
      </c>
      <c r="AP1925" s="238">
        <v>0.0</v>
      </c>
      <c r="AQ1925" s="235" t="s">
        <v>632</v>
      </c>
      <c r="AR1925" s="243">
        <v>3.71E11</v>
      </c>
      <c r="AS1925" s="235" t="s">
        <v>13822</v>
      </c>
      <c r="AT1925" s="235" t="s">
        <v>11</v>
      </c>
      <c r="AU1925" s="235" t="s">
        <v>634</v>
      </c>
      <c r="AV1925" s="246" t="s">
        <v>635</v>
      </c>
      <c r="AW1925" s="242"/>
      <c r="AX1925" s="242"/>
      <c r="AY1925" s="231"/>
      <c r="AZ1925" s="231"/>
      <c r="BA1925" s="227"/>
      <c r="BB1925" s="231"/>
      <c r="BC1925" s="227"/>
      <c r="BD1925" s="227"/>
      <c r="BE1925" s="227"/>
      <c r="BF1925" s="227"/>
    </row>
    <row r="1926">
      <c r="A1926" s="235" t="s">
        <v>15048</v>
      </c>
      <c r="C1926" s="235" t="s">
        <v>15049</v>
      </c>
      <c r="D1926" s="235" t="s">
        <v>15050</v>
      </c>
      <c r="E1926" s="243">
        <v>6.54E13</v>
      </c>
      <c r="F1926" s="245"/>
      <c r="G1926" s="235" t="s">
        <v>15051</v>
      </c>
      <c r="H1926" s="235" t="s">
        <v>15052</v>
      </c>
      <c r="I1926" s="235" t="s">
        <v>15053</v>
      </c>
      <c r="J1926" s="235" t="s">
        <v>15054</v>
      </c>
      <c r="K1926" s="235" t="s">
        <v>15055</v>
      </c>
      <c r="N1926" s="235" t="s">
        <v>842</v>
      </c>
      <c r="O1926" s="235" t="s">
        <v>843</v>
      </c>
      <c r="P1926" s="238">
        <v>1.0</v>
      </c>
      <c r="Q1926" s="235" t="s">
        <v>627</v>
      </c>
      <c r="R1926" s="238">
        <v>246.67</v>
      </c>
      <c r="S1926" s="238">
        <v>12.33</v>
      </c>
      <c r="T1926" s="238">
        <v>0.0</v>
      </c>
      <c r="U1926" s="238">
        <v>0.0</v>
      </c>
      <c r="V1926" s="238">
        <v>0.0</v>
      </c>
      <c r="W1926" s="238">
        <v>0.0</v>
      </c>
      <c r="X1926" s="235" t="s">
        <v>628</v>
      </c>
      <c r="Z1926" s="244"/>
      <c r="AA1926" s="244"/>
      <c r="AB1926" s="244"/>
      <c r="AC1926" s="235" t="s">
        <v>15056</v>
      </c>
      <c r="AD1926" s="235" t="s">
        <v>965</v>
      </c>
      <c r="AE1926" s="238">
        <v>173206.0</v>
      </c>
      <c r="AF1926" s="235" t="s">
        <v>631</v>
      </c>
      <c r="AG1926" s="244"/>
      <c r="AH1926" s="244"/>
      <c r="AI1926" s="245"/>
      <c r="AJ1926" s="245"/>
      <c r="AK1926" s="245"/>
      <c r="AL1926" s="245"/>
      <c r="AM1926" s="244"/>
      <c r="AN1926" s="244"/>
      <c r="AO1926" s="238">
        <v>0.0</v>
      </c>
      <c r="AP1926" s="238">
        <v>0.0</v>
      </c>
      <c r="AQ1926" s="235" t="s">
        <v>632</v>
      </c>
      <c r="AR1926" s="243">
        <v>3.71E11</v>
      </c>
      <c r="AS1926" s="235" t="s">
        <v>12693</v>
      </c>
      <c r="AT1926" s="235" t="s">
        <v>533</v>
      </c>
      <c r="AU1926" s="235" t="s">
        <v>634</v>
      </c>
      <c r="AV1926" s="246" t="s">
        <v>635</v>
      </c>
      <c r="AW1926" s="242"/>
      <c r="AX1926" s="242"/>
      <c r="AY1926" s="231"/>
      <c r="AZ1926" s="231"/>
      <c r="BA1926" s="227"/>
      <c r="BB1926" s="231"/>
      <c r="BC1926" s="227"/>
      <c r="BD1926" s="227"/>
      <c r="BE1926" s="227"/>
      <c r="BF1926" s="227"/>
    </row>
    <row r="1927">
      <c r="A1927" s="235" t="s">
        <v>15057</v>
      </c>
      <c r="C1927" s="235" t="s">
        <v>15058</v>
      </c>
      <c r="D1927" s="235" t="s">
        <v>15059</v>
      </c>
      <c r="E1927" s="243">
        <v>6.54E13</v>
      </c>
      <c r="F1927" s="245"/>
      <c r="G1927" s="235" t="s">
        <v>15060</v>
      </c>
      <c r="H1927" s="235" t="s">
        <v>15061</v>
      </c>
      <c r="I1927" s="235" t="s">
        <v>15061</v>
      </c>
      <c r="J1927" s="235" t="s">
        <v>15062</v>
      </c>
      <c r="K1927" s="235" t="s">
        <v>15063</v>
      </c>
      <c r="N1927" s="235" t="s">
        <v>90</v>
      </c>
      <c r="O1927" s="235" t="s">
        <v>279</v>
      </c>
      <c r="P1927" s="238">
        <v>1.0</v>
      </c>
      <c r="Q1927" s="235" t="s">
        <v>627</v>
      </c>
      <c r="R1927" s="238">
        <v>246.66</v>
      </c>
      <c r="S1927" s="238">
        <v>12.34</v>
      </c>
      <c r="T1927" s="238">
        <v>0.0</v>
      </c>
      <c r="U1927" s="238">
        <v>0.0</v>
      </c>
      <c r="V1927" s="238">
        <v>0.0</v>
      </c>
      <c r="W1927" s="238">
        <v>0.0</v>
      </c>
      <c r="X1927" s="235" t="s">
        <v>628</v>
      </c>
      <c r="Z1927" s="244"/>
      <c r="AA1927" s="244"/>
      <c r="AB1927" s="244"/>
      <c r="AC1927" s="235" t="s">
        <v>2236</v>
      </c>
      <c r="AD1927" s="235" t="s">
        <v>666</v>
      </c>
      <c r="AE1927" s="238">
        <v>641005.0</v>
      </c>
      <c r="AF1927" s="235" t="s">
        <v>631</v>
      </c>
      <c r="AG1927" s="244"/>
      <c r="AH1927" s="244"/>
      <c r="AI1927" s="245"/>
      <c r="AJ1927" s="245"/>
      <c r="AK1927" s="245"/>
      <c r="AL1927" s="245"/>
      <c r="AM1927" s="244"/>
      <c r="AN1927" s="244"/>
      <c r="AO1927" s="238">
        <v>0.0</v>
      </c>
      <c r="AP1927" s="238">
        <v>0.0</v>
      </c>
      <c r="AQ1927" s="235" t="s">
        <v>632</v>
      </c>
      <c r="AR1927" s="243">
        <v>1.68E11</v>
      </c>
      <c r="AS1927" s="235" t="s">
        <v>15064</v>
      </c>
      <c r="AT1927" s="235" t="s">
        <v>155</v>
      </c>
      <c r="AU1927" s="235" t="s">
        <v>634</v>
      </c>
      <c r="AV1927" s="246" t="s">
        <v>635</v>
      </c>
      <c r="AW1927" s="242"/>
      <c r="AX1927" s="242"/>
      <c r="AY1927" s="231"/>
      <c r="AZ1927" s="231"/>
      <c r="BA1927" s="227"/>
      <c r="BB1927" s="231"/>
      <c r="BC1927" s="227"/>
      <c r="BD1927" s="227"/>
      <c r="BE1927" s="227"/>
      <c r="BF1927" s="227"/>
    </row>
    <row r="1928">
      <c r="A1928" s="235" t="s">
        <v>15065</v>
      </c>
      <c r="C1928" s="235" t="s">
        <v>15066</v>
      </c>
      <c r="D1928" s="235" t="s">
        <v>15067</v>
      </c>
      <c r="E1928" s="243">
        <v>6.54E13</v>
      </c>
      <c r="F1928" s="245"/>
      <c r="G1928" s="235" t="s">
        <v>15068</v>
      </c>
      <c r="H1928" s="235" t="s">
        <v>15069</v>
      </c>
      <c r="I1928" s="235" t="s">
        <v>15069</v>
      </c>
      <c r="J1928" s="235" t="s">
        <v>15070</v>
      </c>
      <c r="K1928" s="235" t="s">
        <v>15071</v>
      </c>
      <c r="N1928" s="235" t="s">
        <v>71</v>
      </c>
      <c r="O1928" s="235" t="s">
        <v>240</v>
      </c>
      <c r="P1928" s="238">
        <v>1.0</v>
      </c>
      <c r="Q1928" s="235" t="s">
        <v>627</v>
      </c>
      <c r="R1928" s="238">
        <v>246.66</v>
      </c>
      <c r="S1928" s="238">
        <v>12.1</v>
      </c>
      <c r="T1928" s="238">
        <v>0.0</v>
      </c>
      <c r="U1928" s="238">
        <v>0.0</v>
      </c>
      <c r="V1928" s="238">
        <v>0.0</v>
      </c>
      <c r="W1928" s="238">
        <v>0.0</v>
      </c>
      <c r="X1928" s="235" t="s">
        <v>628</v>
      </c>
      <c r="Z1928" s="244"/>
      <c r="AA1928" s="244"/>
      <c r="AB1928" s="244"/>
      <c r="AC1928" s="235" t="s">
        <v>687</v>
      </c>
      <c r="AD1928" s="235" t="s">
        <v>666</v>
      </c>
      <c r="AE1928" s="238">
        <v>600020.0</v>
      </c>
      <c r="AF1928" s="235" t="s">
        <v>631</v>
      </c>
      <c r="AG1928" s="244"/>
      <c r="AH1928" s="244"/>
      <c r="AI1928" s="245"/>
      <c r="AJ1928" s="245"/>
      <c r="AK1928" s="245"/>
      <c r="AL1928" s="245"/>
      <c r="AM1928" s="244"/>
      <c r="AN1928" s="244"/>
      <c r="AO1928" s="238">
        <v>-4.94</v>
      </c>
      <c r="AP1928" s="238">
        <v>0.0</v>
      </c>
      <c r="AQ1928" s="235" t="s">
        <v>632</v>
      </c>
      <c r="AR1928" s="243">
        <v>1.68E11</v>
      </c>
      <c r="AS1928" s="235" t="s">
        <v>14390</v>
      </c>
      <c r="AT1928" s="235" t="s">
        <v>156</v>
      </c>
      <c r="AU1928" s="235" t="s">
        <v>634</v>
      </c>
      <c r="AV1928" s="246" t="s">
        <v>635</v>
      </c>
      <c r="AW1928" s="242"/>
      <c r="AX1928" s="242"/>
      <c r="AY1928" s="231"/>
      <c r="AZ1928" s="231"/>
      <c r="BA1928" s="227"/>
      <c r="BB1928" s="231"/>
      <c r="BC1928" s="227"/>
      <c r="BD1928" s="227"/>
      <c r="BE1928" s="227"/>
      <c r="BF1928" s="227"/>
    </row>
    <row r="1929">
      <c r="A1929" s="235" t="s">
        <v>15072</v>
      </c>
      <c r="C1929" s="235" t="s">
        <v>15073</v>
      </c>
      <c r="D1929" s="235" t="s">
        <v>15074</v>
      </c>
      <c r="E1929" s="243">
        <v>6.54E13</v>
      </c>
      <c r="F1929" s="245"/>
      <c r="G1929" s="235" t="s">
        <v>15075</v>
      </c>
      <c r="H1929" s="235" t="s">
        <v>15076</v>
      </c>
      <c r="I1929" s="235" t="s">
        <v>15076</v>
      </c>
      <c r="J1929" s="235" t="s">
        <v>15077</v>
      </c>
      <c r="K1929" s="235" t="s">
        <v>15078</v>
      </c>
      <c r="N1929" s="235" t="s">
        <v>962</v>
      </c>
      <c r="O1929" s="235" t="s">
        <v>963</v>
      </c>
      <c r="P1929" s="238">
        <v>1.0</v>
      </c>
      <c r="Q1929" s="235" t="s">
        <v>627</v>
      </c>
      <c r="R1929" s="238">
        <v>246.67</v>
      </c>
      <c r="S1929" s="238">
        <v>12.33</v>
      </c>
      <c r="T1929" s="238">
        <v>0.0</v>
      </c>
      <c r="U1929" s="238">
        <v>0.0</v>
      </c>
      <c r="V1929" s="238">
        <v>0.0</v>
      </c>
      <c r="W1929" s="238">
        <v>0.0</v>
      </c>
      <c r="X1929" s="235" t="s">
        <v>628</v>
      </c>
      <c r="Z1929" s="244"/>
      <c r="AA1929" s="244"/>
      <c r="AB1929" s="244"/>
      <c r="AC1929" s="235" t="s">
        <v>15079</v>
      </c>
      <c r="AD1929" s="235" t="s">
        <v>645</v>
      </c>
      <c r="AE1929" s="238">
        <v>670006.0</v>
      </c>
      <c r="AF1929" s="235" t="s">
        <v>631</v>
      </c>
      <c r="AG1929" s="244"/>
      <c r="AH1929" s="244"/>
      <c r="AI1929" s="245"/>
      <c r="AJ1929" s="245"/>
      <c r="AK1929" s="245"/>
      <c r="AL1929" s="245"/>
      <c r="AM1929" s="244"/>
      <c r="AN1929" s="244"/>
      <c r="AO1929" s="238">
        <v>0.0</v>
      </c>
      <c r="AP1929" s="238">
        <v>0.0</v>
      </c>
      <c r="AQ1929" s="235" t="s">
        <v>632</v>
      </c>
      <c r="AR1929" s="243">
        <v>3.71E11</v>
      </c>
      <c r="AS1929" s="235" t="s">
        <v>13822</v>
      </c>
      <c r="AT1929" s="235" t="s">
        <v>155</v>
      </c>
      <c r="AU1929" s="235" t="s">
        <v>634</v>
      </c>
      <c r="AV1929" s="246" t="s">
        <v>635</v>
      </c>
      <c r="AW1929" s="242"/>
      <c r="AX1929" s="242"/>
      <c r="AY1929" s="231"/>
      <c r="AZ1929" s="231"/>
      <c r="BA1929" s="227"/>
      <c r="BB1929" s="231"/>
      <c r="BC1929" s="227"/>
      <c r="BD1929" s="227"/>
      <c r="BE1929" s="227"/>
      <c r="BF1929" s="227"/>
    </row>
    <row r="1930">
      <c r="A1930" s="235" t="s">
        <v>15080</v>
      </c>
      <c r="C1930" s="235" t="s">
        <v>15081</v>
      </c>
      <c r="D1930" s="235" t="s">
        <v>15082</v>
      </c>
      <c r="E1930" s="243">
        <v>6.53E13</v>
      </c>
      <c r="F1930" s="245"/>
      <c r="G1930" s="235" t="s">
        <v>15083</v>
      </c>
      <c r="H1930" s="235" t="s">
        <v>15084</v>
      </c>
      <c r="I1930" s="235" t="s">
        <v>15084</v>
      </c>
      <c r="J1930" s="235" t="s">
        <v>15085</v>
      </c>
      <c r="K1930" s="235" t="s">
        <v>15086</v>
      </c>
      <c r="N1930" s="235" t="s">
        <v>127</v>
      </c>
      <c r="O1930" s="235" t="s">
        <v>794</v>
      </c>
      <c r="P1930" s="238">
        <v>1.0</v>
      </c>
      <c r="Q1930" s="235" t="s">
        <v>627</v>
      </c>
      <c r="R1930" s="238">
        <v>270.48</v>
      </c>
      <c r="S1930" s="238">
        <v>13.52</v>
      </c>
      <c r="T1930" s="238">
        <v>0.0</v>
      </c>
      <c r="U1930" s="238">
        <v>0.0</v>
      </c>
      <c r="V1930" s="238">
        <v>0.0</v>
      </c>
      <c r="W1930" s="238">
        <v>0.0</v>
      </c>
      <c r="X1930" s="235" t="s">
        <v>628</v>
      </c>
      <c r="Z1930" s="244"/>
      <c r="AA1930" s="244"/>
      <c r="AB1930" s="244"/>
      <c r="AC1930" s="235" t="s">
        <v>1255</v>
      </c>
      <c r="AD1930" s="235" t="s">
        <v>845</v>
      </c>
      <c r="AE1930" s="238">
        <v>400607.0</v>
      </c>
      <c r="AF1930" s="235" t="s">
        <v>631</v>
      </c>
      <c r="AG1930" s="244"/>
      <c r="AH1930" s="244"/>
      <c r="AI1930" s="245"/>
      <c r="AJ1930" s="245"/>
      <c r="AK1930" s="245"/>
      <c r="AL1930" s="245"/>
      <c r="AM1930" s="244"/>
      <c r="AN1930" s="244"/>
      <c r="AO1930" s="238">
        <v>0.0</v>
      </c>
      <c r="AP1930" s="238">
        <v>0.0</v>
      </c>
      <c r="AQ1930" s="235" t="s">
        <v>632</v>
      </c>
      <c r="AR1930" s="243">
        <v>3.71E11</v>
      </c>
      <c r="AS1930" s="235" t="s">
        <v>13822</v>
      </c>
      <c r="AT1930" s="235" t="s">
        <v>17</v>
      </c>
      <c r="AU1930" s="235" t="s">
        <v>634</v>
      </c>
      <c r="AV1930" s="246" t="s">
        <v>635</v>
      </c>
      <c r="AW1930" s="242"/>
      <c r="AX1930" s="242"/>
      <c r="AY1930" s="231"/>
      <c r="AZ1930" s="231"/>
      <c r="BA1930" s="227"/>
      <c r="BB1930" s="231"/>
      <c r="BC1930" s="227"/>
      <c r="BD1930" s="227"/>
      <c r="BE1930" s="227"/>
      <c r="BF1930" s="227"/>
    </row>
    <row r="1931">
      <c r="A1931" s="235" t="s">
        <v>15087</v>
      </c>
      <c r="C1931" s="235" t="s">
        <v>15088</v>
      </c>
      <c r="D1931" s="235" t="s">
        <v>15089</v>
      </c>
      <c r="E1931" s="243">
        <v>6.54E13</v>
      </c>
      <c r="F1931" s="245"/>
      <c r="G1931" s="235" t="s">
        <v>15090</v>
      </c>
      <c r="H1931" s="235" t="s">
        <v>15091</v>
      </c>
      <c r="I1931" s="235" t="s">
        <v>15091</v>
      </c>
      <c r="J1931" s="235" t="s">
        <v>15092</v>
      </c>
      <c r="K1931" s="235" t="s">
        <v>13470</v>
      </c>
      <c r="N1931" s="235" t="s">
        <v>144</v>
      </c>
      <c r="O1931" s="235" t="s">
        <v>232</v>
      </c>
      <c r="P1931" s="238">
        <v>1.0</v>
      </c>
      <c r="Q1931" s="235" t="s">
        <v>627</v>
      </c>
      <c r="R1931" s="238">
        <v>665.72</v>
      </c>
      <c r="S1931" s="238">
        <v>33.28</v>
      </c>
      <c r="T1931" s="238">
        <v>0.0</v>
      </c>
      <c r="U1931" s="238">
        <v>0.0</v>
      </c>
      <c r="V1931" s="238">
        <v>0.0</v>
      </c>
      <c r="W1931" s="238">
        <v>0.0</v>
      </c>
      <c r="X1931" s="235" t="s">
        <v>628</v>
      </c>
      <c r="Z1931" s="244"/>
      <c r="AA1931" s="244"/>
      <c r="AB1931" s="244"/>
      <c r="AC1931" s="235" t="s">
        <v>1058</v>
      </c>
      <c r="AD1931" s="235" t="s">
        <v>845</v>
      </c>
      <c r="AE1931" s="238">
        <v>400012.0</v>
      </c>
      <c r="AF1931" s="235" t="s">
        <v>631</v>
      </c>
      <c r="AG1931" s="244"/>
      <c r="AH1931" s="244"/>
      <c r="AI1931" s="245"/>
      <c r="AJ1931" s="245"/>
      <c r="AK1931" s="245"/>
      <c r="AL1931" s="245"/>
      <c r="AM1931" s="244"/>
      <c r="AN1931" s="244"/>
      <c r="AO1931" s="238">
        <v>0.0</v>
      </c>
      <c r="AP1931" s="238">
        <v>0.0</v>
      </c>
      <c r="AQ1931" s="235" t="s">
        <v>632</v>
      </c>
      <c r="AR1931" s="243">
        <v>1.68E11</v>
      </c>
      <c r="AS1931" s="235" t="s">
        <v>14390</v>
      </c>
      <c r="AT1931" s="235" t="s">
        <v>16</v>
      </c>
      <c r="AU1931" s="235" t="s">
        <v>634</v>
      </c>
      <c r="AV1931" s="246" t="s">
        <v>635</v>
      </c>
      <c r="AW1931" s="242"/>
      <c r="AX1931" s="242"/>
      <c r="AY1931" s="231"/>
      <c r="AZ1931" s="231"/>
      <c r="BA1931" s="227"/>
      <c r="BB1931" s="231"/>
      <c r="BC1931" s="227"/>
      <c r="BD1931" s="227"/>
      <c r="BE1931" s="227"/>
      <c r="BF1931" s="227"/>
    </row>
    <row r="1932">
      <c r="A1932" s="235" t="s">
        <v>15093</v>
      </c>
      <c r="C1932" s="235" t="s">
        <v>15094</v>
      </c>
      <c r="D1932" s="235" t="s">
        <v>15095</v>
      </c>
      <c r="E1932" s="243">
        <v>6.54E13</v>
      </c>
      <c r="F1932" s="245"/>
      <c r="G1932" s="235" t="s">
        <v>15096</v>
      </c>
      <c r="H1932" s="235" t="s">
        <v>15097</v>
      </c>
      <c r="I1932" s="235" t="s">
        <v>15097</v>
      </c>
      <c r="J1932" s="235" t="s">
        <v>15098</v>
      </c>
      <c r="K1932" s="235" t="s">
        <v>15099</v>
      </c>
      <c r="N1932" s="235" t="s">
        <v>141</v>
      </c>
      <c r="O1932" s="235" t="s">
        <v>342</v>
      </c>
      <c r="P1932" s="238">
        <v>1.0</v>
      </c>
      <c r="Q1932" s="235" t="s">
        <v>627</v>
      </c>
      <c r="R1932" s="238">
        <v>246.67</v>
      </c>
      <c r="S1932" s="238">
        <v>12.33</v>
      </c>
      <c r="T1932" s="238">
        <v>38.1</v>
      </c>
      <c r="U1932" s="238">
        <v>1.9</v>
      </c>
      <c r="V1932" s="238">
        <v>0.0</v>
      </c>
      <c r="W1932" s="238">
        <v>0.0</v>
      </c>
      <c r="X1932" s="235" t="s">
        <v>628</v>
      </c>
      <c r="Z1932" s="244"/>
      <c r="AA1932" s="244"/>
      <c r="AB1932" s="244"/>
      <c r="AC1932" s="235" t="s">
        <v>7611</v>
      </c>
      <c r="AD1932" s="235" t="s">
        <v>630</v>
      </c>
      <c r="AE1932" s="238">
        <v>250223.0</v>
      </c>
      <c r="AF1932" s="235" t="s">
        <v>631</v>
      </c>
      <c r="AG1932" s="244"/>
      <c r="AH1932" s="244"/>
      <c r="AI1932" s="245"/>
      <c r="AJ1932" s="245"/>
      <c r="AK1932" s="245"/>
      <c r="AL1932" s="245"/>
      <c r="AM1932" s="244"/>
      <c r="AN1932" s="244"/>
      <c r="AO1932" s="238">
        <v>0.0</v>
      </c>
      <c r="AP1932" s="238">
        <v>-38.1</v>
      </c>
      <c r="AQ1932" s="235" t="s">
        <v>632</v>
      </c>
      <c r="AR1932" s="243">
        <v>3.71E11</v>
      </c>
      <c r="AS1932" s="235" t="s">
        <v>12693</v>
      </c>
      <c r="AT1932" s="235" t="s">
        <v>14</v>
      </c>
      <c r="AU1932" s="235" t="s">
        <v>634</v>
      </c>
      <c r="AV1932" s="246" t="s">
        <v>635</v>
      </c>
      <c r="AW1932" s="242"/>
      <c r="AX1932" s="242"/>
      <c r="AY1932" s="231"/>
      <c r="AZ1932" s="231"/>
      <c r="BA1932" s="227"/>
      <c r="BB1932" s="231"/>
      <c r="BC1932" s="227"/>
      <c r="BD1932" s="227"/>
      <c r="BE1932" s="227"/>
      <c r="BF1932" s="227"/>
    </row>
    <row r="1933">
      <c r="A1933" s="235" t="s">
        <v>15100</v>
      </c>
      <c r="C1933" s="235" t="s">
        <v>15101</v>
      </c>
      <c r="D1933" s="235" t="s">
        <v>15102</v>
      </c>
      <c r="E1933" s="243">
        <v>6.54E13</v>
      </c>
      <c r="F1933" s="245"/>
      <c r="G1933" s="235" t="s">
        <v>15103</v>
      </c>
      <c r="H1933" s="235" t="s">
        <v>15104</v>
      </c>
      <c r="I1933" s="235" t="s">
        <v>15105</v>
      </c>
      <c r="J1933" s="235" t="s">
        <v>15106</v>
      </c>
      <c r="K1933" s="235" t="s">
        <v>15107</v>
      </c>
      <c r="N1933" s="235" t="s">
        <v>139</v>
      </c>
      <c r="O1933" s="235" t="s">
        <v>2091</v>
      </c>
      <c r="P1933" s="238">
        <v>1.0</v>
      </c>
      <c r="Q1933" s="235" t="s">
        <v>627</v>
      </c>
      <c r="R1933" s="238">
        <v>246.67</v>
      </c>
      <c r="S1933" s="238">
        <v>12.08</v>
      </c>
      <c r="T1933" s="238">
        <v>0.0</v>
      </c>
      <c r="U1933" s="238">
        <v>0.0</v>
      </c>
      <c r="V1933" s="238">
        <v>0.0</v>
      </c>
      <c r="W1933" s="238">
        <v>0.0</v>
      </c>
      <c r="X1933" s="235" t="s">
        <v>628</v>
      </c>
      <c r="Z1933" s="244"/>
      <c r="AA1933" s="244"/>
      <c r="AB1933" s="244"/>
      <c r="AC1933" s="235" t="s">
        <v>1531</v>
      </c>
      <c r="AD1933" s="235" t="s">
        <v>1151</v>
      </c>
      <c r="AE1933" s="238">
        <v>700063.0</v>
      </c>
      <c r="AF1933" s="235" t="s">
        <v>631</v>
      </c>
      <c r="AG1933" s="244"/>
      <c r="AH1933" s="244"/>
      <c r="AI1933" s="245"/>
      <c r="AJ1933" s="245"/>
      <c r="AK1933" s="245"/>
      <c r="AL1933" s="245"/>
      <c r="AM1933" s="244"/>
      <c r="AN1933" s="244"/>
      <c r="AO1933" s="238">
        <v>-4.93</v>
      </c>
      <c r="AP1933" s="238">
        <v>0.0</v>
      </c>
      <c r="AQ1933" s="235" t="s">
        <v>632</v>
      </c>
      <c r="AR1933" s="243">
        <v>3.71E11</v>
      </c>
      <c r="AS1933" s="235" t="s">
        <v>8807</v>
      </c>
      <c r="AT1933" s="235" t="s">
        <v>13</v>
      </c>
      <c r="AU1933" s="235" t="s">
        <v>634</v>
      </c>
      <c r="AV1933" s="246" t="s">
        <v>635</v>
      </c>
      <c r="AW1933" s="242"/>
      <c r="AX1933" s="242"/>
      <c r="AY1933" s="231"/>
      <c r="AZ1933" s="231"/>
      <c r="BA1933" s="227"/>
      <c r="BB1933" s="231"/>
      <c r="BC1933" s="227"/>
      <c r="BD1933" s="227"/>
      <c r="BE1933" s="227"/>
      <c r="BF1933" s="227"/>
    </row>
    <row r="1934">
      <c r="A1934" s="235" t="s">
        <v>15108</v>
      </c>
      <c r="C1934" s="235" t="s">
        <v>15109</v>
      </c>
      <c r="D1934" s="235" t="s">
        <v>15110</v>
      </c>
      <c r="E1934" s="243">
        <v>6.54E13</v>
      </c>
      <c r="F1934" s="245"/>
      <c r="G1934" s="235" t="s">
        <v>15111</v>
      </c>
      <c r="H1934" s="235" t="s">
        <v>15112</v>
      </c>
      <c r="I1934" s="235" t="s">
        <v>15104</v>
      </c>
      <c r="J1934" s="235" t="s">
        <v>15113</v>
      </c>
      <c r="K1934" s="235" t="s">
        <v>9146</v>
      </c>
      <c r="N1934" s="235" t="s">
        <v>82</v>
      </c>
      <c r="O1934" s="235" t="s">
        <v>889</v>
      </c>
      <c r="P1934" s="238">
        <v>1.0</v>
      </c>
      <c r="Q1934" s="235" t="s">
        <v>627</v>
      </c>
      <c r="R1934" s="238">
        <v>246.66</v>
      </c>
      <c r="S1934" s="238">
        <v>12.34</v>
      </c>
      <c r="T1934" s="238">
        <v>94.28</v>
      </c>
      <c r="U1934" s="238">
        <v>4.72</v>
      </c>
      <c r="V1934" s="238">
        <v>0.0</v>
      </c>
      <c r="W1934" s="238">
        <v>0.0</v>
      </c>
      <c r="X1934" s="235" t="s">
        <v>628</v>
      </c>
      <c r="Z1934" s="244"/>
      <c r="AA1934" s="244"/>
      <c r="AB1934" s="244"/>
      <c r="AC1934" s="235" t="s">
        <v>1058</v>
      </c>
      <c r="AD1934" s="235" t="s">
        <v>845</v>
      </c>
      <c r="AE1934" s="238">
        <v>400057.0</v>
      </c>
      <c r="AF1934" s="235" t="s">
        <v>631</v>
      </c>
      <c r="AG1934" s="244"/>
      <c r="AH1934" s="244"/>
      <c r="AI1934" s="245"/>
      <c r="AJ1934" s="245"/>
      <c r="AK1934" s="245"/>
      <c r="AL1934" s="245"/>
      <c r="AM1934" s="244"/>
      <c r="AN1934" s="244"/>
      <c r="AO1934" s="238">
        <v>0.0</v>
      </c>
      <c r="AP1934" s="238">
        <v>-94.28</v>
      </c>
      <c r="AQ1934" s="235" t="s">
        <v>632</v>
      </c>
      <c r="AR1934" s="243">
        <v>1.68E11</v>
      </c>
      <c r="AS1934" s="235" t="s">
        <v>14390</v>
      </c>
      <c r="AT1934" s="235" t="s">
        <v>17</v>
      </c>
      <c r="AU1934" s="235" t="s">
        <v>634</v>
      </c>
      <c r="AV1934" s="246" t="s">
        <v>635</v>
      </c>
      <c r="AW1934" s="242"/>
      <c r="AX1934" s="242"/>
      <c r="AY1934" s="231"/>
      <c r="AZ1934" s="231"/>
      <c r="BA1934" s="227"/>
      <c r="BB1934" s="231"/>
      <c r="BC1934" s="227"/>
      <c r="BD1934" s="227"/>
      <c r="BE1934" s="227"/>
      <c r="BF1934" s="227"/>
    </row>
    <row r="1935">
      <c r="A1935" s="235" t="s">
        <v>15114</v>
      </c>
      <c r="C1935" s="235" t="s">
        <v>15115</v>
      </c>
      <c r="D1935" s="235" t="s">
        <v>15116</v>
      </c>
      <c r="E1935" s="243">
        <v>6.53E13</v>
      </c>
      <c r="F1935" s="245"/>
      <c r="G1935" s="235" t="s">
        <v>15117</v>
      </c>
      <c r="H1935" s="235" t="s">
        <v>15118</v>
      </c>
      <c r="I1935" s="235" t="s">
        <v>15118</v>
      </c>
      <c r="J1935" s="235" t="s">
        <v>15119</v>
      </c>
      <c r="K1935" s="235" t="s">
        <v>15120</v>
      </c>
      <c r="N1935" s="235" t="s">
        <v>92</v>
      </c>
      <c r="O1935" s="235" t="s">
        <v>248</v>
      </c>
      <c r="P1935" s="238">
        <v>1.0</v>
      </c>
      <c r="Q1935" s="235" t="s">
        <v>627</v>
      </c>
      <c r="R1935" s="238">
        <v>270.48</v>
      </c>
      <c r="S1935" s="238">
        <v>13.52</v>
      </c>
      <c r="T1935" s="238">
        <v>38.1</v>
      </c>
      <c r="U1935" s="238">
        <v>1.9</v>
      </c>
      <c r="V1935" s="238">
        <v>0.0</v>
      </c>
      <c r="W1935" s="238">
        <v>0.0</v>
      </c>
      <c r="X1935" s="235" t="s">
        <v>628</v>
      </c>
      <c r="Z1935" s="244"/>
      <c r="AA1935" s="244"/>
      <c r="AB1935" s="244"/>
      <c r="AC1935" s="235" t="s">
        <v>12352</v>
      </c>
      <c r="AD1935" s="235" t="s">
        <v>709</v>
      </c>
      <c r="AE1935" s="238">
        <v>852201.0</v>
      </c>
      <c r="AF1935" s="235" t="s">
        <v>631</v>
      </c>
      <c r="AG1935" s="244"/>
      <c r="AH1935" s="244"/>
      <c r="AI1935" s="245"/>
      <c r="AJ1935" s="245"/>
      <c r="AK1935" s="245"/>
      <c r="AL1935" s="245"/>
      <c r="AM1935" s="244"/>
      <c r="AN1935" s="244"/>
      <c r="AO1935" s="238">
        <v>0.0</v>
      </c>
      <c r="AP1935" s="238">
        <v>-38.1</v>
      </c>
      <c r="AQ1935" s="235" t="s">
        <v>632</v>
      </c>
      <c r="AR1935" s="243">
        <v>3.71E11</v>
      </c>
      <c r="AS1935" s="235" t="s">
        <v>8807</v>
      </c>
      <c r="AT1935" s="235" t="s">
        <v>11</v>
      </c>
      <c r="AU1935" s="235" t="s">
        <v>634</v>
      </c>
      <c r="AV1935" s="246" t="s">
        <v>635</v>
      </c>
      <c r="AW1935" s="242"/>
      <c r="AX1935" s="242"/>
      <c r="AY1935" s="231"/>
      <c r="AZ1935" s="231"/>
      <c r="BA1935" s="227"/>
      <c r="BB1935" s="231"/>
      <c r="BC1935" s="227"/>
      <c r="BD1935" s="227"/>
      <c r="BE1935" s="227"/>
      <c r="BF1935" s="227"/>
    </row>
    <row r="1936">
      <c r="A1936" s="235" t="s">
        <v>15121</v>
      </c>
      <c r="C1936" s="235" t="s">
        <v>15122</v>
      </c>
      <c r="D1936" s="235" t="s">
        <v>15123</v>
      </c>
      <c r="E1936" s="243">
        <v>6.54E13</v>
      </c>
      <c r="F1936" s="245"/>
      <c r="G1936" s="235" t="s">
        <v>15124</v>
      </c>
      <c r="H1936" s="235" t="s">
        <v>15125</v>
      </c>
      <c r="I1936" s="235" t="s">
        <v>15125</v>
      </c>
      <c r="J1936" s="235" t="s">
        <v>15126</v>
      </c>
      <c r="K1936" s="235" t="s">
        <v>15127</v>
      </c>
      <c r="N1936" s="235" t="s">
        <v>111</v>
      </c>
      <c r="O1936" s="235" t="s">
        <v>464</v>
      </c>
      <c r="P1936" s="238">
        <v>1.0</v>
      </c>
      <c r="Q1936" s="235" t="s">
        <v>627</v>
      </c>
      <c r="R1936" s="238">
        <v>246.67</v>
      </c>
      <c r="S1936" s="238">
        <v>12.33</v>
      </c>
      <c r="T1936" s="238">
        <v>0.0</v>
      </c>
      <c r="U1936" s="238">
        <v>0.0</v>
      </c>
      <c r="V1936" s="238">
        <v>0.0</v>
      </c>
      <c r="W1936" s="238">
        <v>0.0</v>
      </c>
      <c r="X1936" s="235" t="s">
        <v>628</v>
      </c>
      <c r="Z1936" s="244"/>
      <c r="AA1936" s="244"/>
      <c r="AB1936" s="244"/>
      <c r="AC1936" s="235" t="s">
        <v>15128</v>
      </c>
      <c r="AD1936" s="235" t="s">
        <v>666</v>
      </c>
      <c r="AE1936" s="238">
        <v>627811.0</v>
      </c>
      <c r="AF1936" s="235" t="s">
        <v>631</v>
      </c>
      <c r="AG1936" s="244"/>
      <c r="AH1936" s="244"/>
      <c r="AI1936" s="245"/>
      <c r="AJ1936" s="245"/>
      <c r="AK1936" s="245"/>
      <c r="AL1936" s="245"/>
      <c r="AM1936" s="244"/>
      <c r="AN1936" s="244"/>
      <c r="AO1936" s="238">
        <v>0.0</v>
      </c>
      <c r="AP1936" s="238">
        <v>0.0</v>
      </c>
      <c r="AQ1936" s="235" t="s">
        <v>632</v>
      </c>
      <c r="AR1936" s="243">
        <v>3.71E11</v>
      </c>
      <c r="AS1936" s="235" t="s">
        <v>8807</v>
      </c>
      <c r="AT1936" s="235" t="s">
        <v>5</v>
      </c>
      <c r="AU1936" s="235" t="s">
        <v>634</v>
      </c>
      <c r="AV1936" s="246" t="s">
        <v>635</v>
      </c>
      <c r="AW1936" s="242"/>
      <c r="AX1936" s="242"/>
      <c r="AY1936" s="231"/>
      <c r="AZ1936" s="231"/>
      <c r="BA1936" s="227"/>
      <c r="BB1936" s="231"/>
      <c r="BC1936" s="227"/>
      <c r="BD1936" s="227"/>
      <c r="BE1936" s="227"/>
      <c r="BF1936" s="227"/>
    </row>
    <row r="1937">
      <c r="A1937" s="235" t="s">
        <v>15129</v>
      </c>
      <c r="C1937" s="235" t="s">
        <v>15130</v>
      </c>
      <c r="D1937" s="235" t="s">
        <v>15131</v>
      </c>
      <c r="E1937" s="243">
        <v>6.53E13</v>
      </c>
      <c r="F1937" s="245"/>
      <c r="G1937" s="235" t="s">
        <v>15132</v>
      </c>
      <c r="H1937" s="235" t="s">
        <v>15133</v>
      </c>
      <c r="I1937" s="235" t="s">
        <v>15133</v>
      </c>
      <c r="J1937" s="235" t="s">
        <v>15134</v>
      </c>
      <c r="K1937" s="235" t="s">
        <v>15135</v>
      </c>
      <c r="N1937" s="235" t="s">
        <v>136</v>
      </c>
      <c r="O1937" s="235" t="s">
        <v>256</v>
      </c>
      <c r="P1937" s="238">
        <v>1.0</v>
      </c>
      <c r="Q1937" s="235" t="s">
        <v>627</v>
      </c>
      <c r="R1937" s="238">
        <v>244.76</v>
      </c>
      <c r="S1937" s="238">
        <v>12.24</v>
      </c>
      <c r="T1937" s="238">
        <v>0.0</v>
      </c>
      <c r="U1937" s="238">
        <v>0.0</v>
      </c>
      <c r="V1937" s="238">
        <v>0.0</v>
      </c>
      <c r="W1937" s="238">
        <v>0.0</v>
      </c>
      <c r="X1937" s="235" t="s">
        <v>628</v>
      </c>
      <c r="Z1937" s="244"/>
      <c r="AA1937" s="244"/>
      <c r="AB1937" s="244"/>
      <c r="AC1937" s="235" t="s">
        <v>1961</v>
      </c>
      <c r="AD1937" s="235" t="s">
        <v>845</v>
      </c>
      <c r="AE1937" s="238">
        <v>412114.0</v>
      </c>
      <c r="AF1937" s="235" t="s">
        <v>631</v>
      </c>
      <c r="AG1937" s="244"/>
      <c r="AH1937" s="244"/>
      <c r="AI1937" s="245"/>
      <c r="AJ1937" s="245"/>
      <c r="AK1937" s="245"/>
      <c r="AL1937" s="245"/>
      <c r="AM1937" s="244"/>
      <c r="AN1937" s="244"/>
      <c r="AO1937" s="238">
        <v>0.0</v>
      </c>
      <c r="AP1937" s="238">
        <v>0.0</v>
      </c>
      <c r="AQ1937" s="235" t="s">
        <v>632</v>
      </c>
      <c r="AR1937" s="243">
        <v>1.68E11</v>
      </c>
      <c r="AS1937" s="235" t="s">
        <v>11171</v>
      </c>
      <c r="AT1937" s="235" t="s">
        <v>17</v>
      </c>
      <c r="AU1937" s="235" t="s">
        <v>634</v>
      </c>
      <c r="AV1937" s="246" t="s">
        <v>635</v>
      </c>
      <c r="AW1937" s="242"/>
      <c r="AX1937" s="242"/>
      <c r="AY1937" s="231"/>
      <c r="AZ1937" s="231"/>
      <c r="BA1937" s="227"/>
      <c r="BB1937" s="231"/>
      <c r="BC1937" s="227"/>
      <c r="BD1937" s="227"/>
      <c r="BE1937" s="227"/>
      <c r="BF1937" s="227"/>
    </row>
    <row r="1938">
      <c r="A1938" s="235" t="s">
        <v>15136</v>
      </c>
      <c r="C1938" s="235" t="s">
        <v>15137</v>
      </c>
      <c r="D1938" s="235" t="s">
        <v>15138</v>
      </c>
      <c r="E1938" s="243">
        <v>6.54E13</v>
      </c>
      <c r="F1938" s="245"/>
      <c r="G1938" s="235" t="s">
        <v>15139</v>
      </c>
      <c r="H1938" s="235" t="s">
        <v>15140</v>
      </c>
      <c r="I1938" s="235" t="s">
        <v>15140</v>
      </c>
      <c r="J1938" s="235" t="s">
        <v>15141</v>
      </c>
      <c r="K1938" s="235" t="s">
        <v>15142</v>
      </c>
      <c r="N1938" s="235" t="s">
        <v>31</v>
      </c>
      <c r="O1938" s="235" t="s">
        <v>954</v>
      </c>
      <c r="P1938" s="238">
        <v>1.0</v>
      </c>
      <c r="Q1938" s="235" t="s">
        <v>627</v>
      </c>
      <c r="R1938" s="238">
        <v>446.67</v>
      </c>
      <c r="S1938" s="238">
        <v>22.33</v>
      </c>
      <c r="T1938" s="238">
        <v>0.0</v>
      </c>
      <c r="U1938" s="238">
        <v>0.0</v>
      </c>
      <c r="V1938" s="238">
        <v>0.0</v>
      </c>
      <c r="W1938" s="238">
        <v>0.0</v>
      </c>
      <c r="X1938" s="235" t="s">
        <v>628</v>
      </c>
      <c r="Z1938" s="244"/>
      <c r="AA1938" s="244"/>
      <c r="AB1938" s="244"/>
      <c r="AC1938" s="235" t="s">
        <v>3872</v>
      </c>
      <c r="AD1938" s="235" t="s">
        <v>666</v>
      </c>
      <c r="AE1938" s="238">
        <v>601301.0</v>
      </c>
      <c r="AF1938" s="235" t="s">
        <v>631</v>
      </c>
      <c r="AG1938" s="244"/>
      <c r="AH1938" s="244"/>
      <c r="AI1938" s="245"/>
      <c r="AJ1938" s="245"/>
      <c r="AK1938" s="245"/>
      <c r="AL1938" s="245"/>
      <c r="AM1938" s="244"/>
      <c r="AN1938" s="244"/>
      <c r="AO1938" s="238">
        <v>0.0</v>
      </c>
      <c r="AP1938" s="238">
        <v>0.0</v>
      </c>
      <c r="AQ1938" s="235" t="s">
        <v>1328</v>
      </c>
      <c r="AR1938" s="243">
        <v>1.34E13</v>
      </c>
      <c r="AS1938" s="235" t="s">
        <v>6164</v>
      </c>
      <c r="AT1938" s="235" t="s">
        <v>16</v>
      </c>
      <c r="AU1938" s="235" t="s">
        <v>634</v>
      </c>
      <c r="AV1938" s="246" t="s">
        <v>635</v>
      </c>
      <c r="AW1938" s="242"/>
      <c r="AX1938" s="242"/>
      <c r="AY1938" s="231"/>
      <c r="AZ1938" s="231"/>
      <c r="BA1938" s="227"/>
      <c r="BB1938" s="231"/>
      <c r="BC1938" s="227"/>
      <c r="BD1938" s="227"/>
      <c r="BE1938" s="227"/>
      <c r="BF1938" s="227"/>
    </row>
    <row r="1939">
      <c r="A1939" s="235" t="s">
        <v>15143</v>
      </c>
      <c r="C1939" s="235" t="s">
        <v>15144</v>
      </c>
      <c r="D1939" s="235" t="s">
        <v>15145</v>
      </c>
      <c r="E1939" s="243">
        <v>6.54E13</v>
      </c>
      <c r="F1939" s="245"/>
      <c r="G1939" s="235" t="s">
        <v>15146</v>
      </c>
      <c r="H1939" s="235" t="s">
        <v>15147</v>
      </c>
      <c r="I1939" s="235" t="s">
        <v>15147</v>
      </c>
      <c r="J1939" s="235" t="s">
        <v>15148</v>
      </c>
      <c r="K1939" s="235" t="s">
        <v>15149</v>
      </c>
      <c r="N1939" s="235" t="s">
        <v>47</v>
      </c>
      <c r="O1939" s="235" t="s">
        <v>270</v>
      </c>
      <c r="P1939" s="238">
        <v>1.0</v>
      </c>
      <c r="Q1939" s="235" t="s">
        <v>627</v>
      </c>
      <c r="R1939" s="238">
        <v>237.14</v>
      </c>
      <c r="S1939" s="238">
        <v>11.62</v>
      </c>
      <c r="T1939" s="238">
        <v>0.0</v>
      </c>
      <c r="U1939" s="238">
        <v>0.0</v>
      </c>
      <c r="V1939" s="238">
        <v>0.0</v>
      </c>
      <c r="W1939" s="238">
        <v>0.0</v>
      </c>
      <c r="X1939" s="235" t="s">
        <v>628</v>
      </c>
      <c r="Z1939" s="244"/>
      <c r="AA1939" s="244"/>
      <c r="AB1939" s="244"/>
      <c r="AC1939" s="235" t="s">
        <v>5091</v>
      </c>
      <c r="AD1939" s="235" t="s">
        <v>845</v>
      </c>
      <c r="AE1939" s="238">
        <v>440027.0</v>
      </c>
      <c r="AF1939" s="235" t="s">
        <v>631</v>
      </c>
      <c r="AG1939" s="244"/>
      <c r="AH1939" s="244"/>
      <c r="AI1939" s="245"/>
      <c r="AJ1939" s="245"/>
      <c r="AK1939" s="245"/>
      <c r="AL1939" s="245"/>
      <c r="AM1939" s="244"/>
      <c r="AN1939" s="244"/>
      <c r="AO1939" s="238">
        <v>-4.74</v>
      </c>
      <c r="AP1939" s="238">
        <v>0.0</v>
      </c>
      <c r="AQ1939" s="235" t="s">
        <v>632</v>
      </c>
      <c r="AR1939" s="243">
        <v>1.68E11</v>
      </c>
      <c r="AS1939" s="235" t="s">
        <v>13822</v>
      </c>
      <c r="AT1939" s="235" t="s">
        <v>16</v>
      </c>
      <c r="AU1939" s="235" t="s">
        <v>634</v>
      </c>
      <c r="AV1939" s="246" t="s">
        <v>635</v>
      </c>
      <c r="AW1939" s="242"/>
      <c r="AX1939" s="242"/>
      <c r="AY1939" s="231"/>
      <c r="AZ1939" s="231"/>
      <c r="BA1939" s="227"/>
      <c r="BB1939" s="231"/>
      <c r="BC1939" s="227"/>
      <c r="BD1939" s="227"/>
      <c r="BE1939" s="227"/>
      <c r="BF1939" s="227"/>
    </row>
    <row r="1940">
      <c r="A1940" s="235" t="s">
        <v>15150</v>
      </c>
      <c r="C1940" s="235" t="s">
        <v>15151</v>
      </c>
      <c r="D1940" s="235" t="s">
        <v>15152</v>
      </c>
      <c r="E1940" s="243">
        <v>6.54E13</v>
      </c>
      <c r="F1940" s="245"/>
      <c r="G1940" s="235" t="s">
        <v>15153</v>
      </c>
      <c r="H1940" s="235" t="s">
        <v>15154</v>
      </c>
      <c r="I1940" s="235" t="s">
        <v>15154</v>
      </c>
      <c r="J1940" s="235" t="s">
        <v>15155</v>
      </c>
      <c r="K1940" s="235" t="s">
        <v>15156</v>
      </c>
      <c r="N1940" s="235" t="s">
        <v>147</v>
      </c>
      <c r="O1940" s="235" t="s">
        <v>1068</v>
      </c>
      <c r="P1940" s="238">
        <v>1.0</v>
      </c>
      <c r="Q1940" s="235" t="s">
        <v>627</v>
      </c>
      <c r="R1940" s="238">
        <v>332.38</v>
      </c>
      <c r="S1940" s="238">
        <v>16.62</v>
      </c>
      <c r="T1940" s="238">
        <v>0.0</v>
      </c>
      <c r="U1940" s="238">
        <v>0.0</v>
      </c>
      <c r="V1940" s="238">
        <v>0.0</v>
      </c>
      <c r="W1940" s="238">
        <v>0.0</v>
      </c>
      <c r="X1940" s="235" t="s">
        <v>628</v>
      </c>
      <c r="Z1940" s="244"/>
      <c r="AA1940" s="244"/>
      <c r="AB1940" s="244"/>
      <c r="AC1940" s="235" t="s">
        <v>6436</v>
      </c>
      <c r="AD1940" s="235" t="s">
        <v>1499</v>
      </c>
      <c r="AE1940" s="238">
        <v>452001.0</v>
      </c>
      <c r="AF1940" s="235" t="s">
        <v>631</v>
      </c>
      <c r="AG1940" s="244"/>
      <c r="AH1940" s="244"/>
      <c r="AI1940" s="245"/>
      <c r="AJ1940" s="245"/>
      <c r="AK1940" s="245"/>
      <c r="AL1940" s="245"/>
      <c r="AM1940" s="244"/>
      <c r="AN1940" s="244"/>
      <c r="AO1940" s="238">
        <v>0.0</v>
      </c>
      <c r="AP1940" s="238">
        <v>0.0</v>
      </c>
      <c r="AQ1940" s="235" t="s">
        <v>632</v>
      </c>
      <c r="AR1940" s="243">
        <v>1.68E11</v>
      </c>
      <c r="AS1940" s="235" t="s">
        <v>12693</v>
      </c>
      <c r="AT1940" s="235" t="s">
        <v>14</v>
      </c>
      <c r="AU1940" s="235" t="s">
        <v>634</v>
      </c>
      <c r="AV1940" s="246" t="s">
        <v>635</v>
      </c>
      <c r="AW1940" s="242"/>
      <c r="AX1940" s="242"/>
      <c r="AY1940" s="231"/>
      <c r="AZ1940" s="231"/>
      <c r="BA1940" s="227"/>
      <c r="BB1940" s="231"/>
      <c r="BC1940" s="227"/>
      <c r="BD1940" s="227"/>
      <c r="BE1940" s="227"/>
      <c r="BF1940" s="227"/>
    </row>
    <row r="1941">
      <c r="A1941" s="235" t="s">
        <v>15157</v>
      </c>
      <c r="C1941" s="235" t="s">
        <v>15158</v>
      </c>
      <c r="D1941" s="235" t="s">
        <v>15159</v>
      </c>
      <c r="E1941" s="243">
        <v>6.54E13</v>
      </c>
      <c r="F1941" s="245"/>
      <c r="G1941" s="235" t="s">
        <v>15160</v>
      </c>
      <c r="H1941" s="235" t="s">
        <v>15161</v>
      </c>
      <c r="I1941" s="235" t="s">
        <v>15161</v>
      </c>
      <c r="J1941" s="235" t="s">
        <v>15162</v>
      </c>
      <c r="K1941" s="235" t="s">
        <v>15163</v>
      </c>
      <c r="N1941" s="235" t="s">
        <v>29</v>
      </c>
      <c r="O1941" s="235" t="s">
        <v>677</v>
      </c>
      <c r="P1941" s="238">
        <v>1.0</v>
      </c>
      <c r="Q1941" s="235" t="s">
        <v>627</v>
      </c>
      <c r="R1941" s="238">
        <v>446.66</v>
      </c>
      <c r="S1941" s="238">
        <v>22.34</v>
      </c>
      <c r="T1941" s="238">
        <v>0.0</v>
      </c>
      <c r="U1941" s="238">
        <v>0.0</v>
      </c>
      <c r="V1941" s="238">
        <v>0.0</v>
      </c>
      <c r="W1941" s="238">
        <v>0.0</v>
      </c>
      <c r="X1941" s="235" t="s">
        <v>628</v>
      </c>
      <c r="Z1941" s="244"/>
      <c r="AA1941" s="244"/>
      <c r="AB1941" s="244"/>
      <c r="AC1941" s="235" t="s">
        <v>2165</v>
      </c>
      <c r="AD1941" s="235" t="s">
        <v>928</v>
      </c>
      <c r="AE1941" s="238">
        <v>121009.0</v>
      </c>
      <c r="AF1941" s="235" t="s">
        <v>631</v>
      </c>
      <c r="AG1941" s="244"/>
      <c r="AH1941" s="244"/>
      <c r="AI1941" s="245"/>
      <c r="AJ1941" s="245"/>
      <c r="AK1941" s="245"/>
      <c r="AL1941" s="245"/>
      <c r="AM1941" s="244"/>
      <c r="AN1941" s="244"/>
      <c r="AO1941" s="238">
        <v>0.0</v>
      </c>
      <c r="AP1941" s="238">
        <v>0.0</v>
      </c>
      <c r="AQ1941" s="235" t="s">
        <v>632</v>
      </c>
      <c r="AR1941" s="243">
        <v>3.71E11</v>
      </c>
      <c r="AS1941" s="235" t="s">
        <v>13822</v>
      </c>
      <c r="AT1941" s="235" t="s">
        <v>14</v>
      </c>
      <c r="AU1941" s="235" t="s">
        <v>634</v>
      </c>
      <c r="AV1941" s="246" t="s">
        <v>635</v>
      </c>
      <c r="AW1941" s="242"/>
      <c r="AX1941" s="242"/>
      <c r="AY1941" s="231"/>
      <c r="AZ1941" s="231"/>
      <c r="BA1941" s="227"/>
      <c r="BB1941" s="231"/>
      <c r="BC1941" s="227"/>
      <c r="BD1941" s="227"/>
      <c r="BE1941" s="227"/>
      <c r="BF1941" s="227"/>
    </row>
    <row r="1942">
      <c r="A1942" s="235" t="s">
        <v>15164</v>
      </c>
      <c r="C1942" s="235" t="s">
        <v>15165</v>
      </c>
      <c r="D1942" s="235" t="s">
        <v>15166</v>
      </c>
      <c r="E1942" s="243">
        <v>6.54E13</v>
      </c>
      <c r="F1942" s="245"/>
      <c r="G1942" s="235" t="s">
        <v>15167</v>
      </c>
      <c r="H1942" s="235" t="s">
        <v>15168</v>
      </c>
      <c r="I1942" s="235" t="s">
        <v>15168</v>
      </c>
      <c r="J1942" s="235" t="s">
        <v>15169</v>
      </c>
      <c r="K1942" s="235" t="s">
        <v>15170</v>
      </c>
      <c r="N1942" s="235" t="s">
        <v>127</v>
      </c>
      <c r="O1942" s="235" t="s">
        <v>794</v>
      </c>
      <c r="P1942" s="238">
        <v>1.0</v>
      </c>
      <c r="Q1942" s="235" t="s">
        <v>627</v>
      </c>
      <c r="R1942" s="238">
        <v>246.67</v>
      </c>
      <c r="S1942" s="238">
        <v>12.33</v>
      </c>
      <c r="T1942" s="238">
        <v>0.0</v>
      </c>
      <c r="U1942" s="238">
        <v>0.0</v>
      </c>
      <c r="V1942" s="238">
        <v>0.0</v>
      </c>
      <c r="W1942" s="238">
        <v>0.0</v>
      </c>
      <c r="X1942" s="235" t="s">
        <v>628</v>
      </c>
      <c r="Z1942" s="244"/>
      <c r="AA1942" s="244"/>
      <c r="AB1942" s="244"/>
      <c r="AC1942" s="235" t="s">
        <v>899</v>
      </c>
      <c r="AD1942" s="235" t="s">
        <v>833</v>
      </c>
      <c r="AE1942" s="238">
        <v>517501.0</v>
      </c>
      <c r="AF1942" s="235" t="s">
        <v>631</v>
      </c>
      <c r="AG1942" s="244"/>
      <c r="AH1942" s="244"/>
      <c r="AI1942" s="245"/>
      <c r="AJ1942" s="245"/>
      <c r="AK1942" s="245"/>
      <c r="AL1942" s="245"/>
      <c r="AM1942" s="244"/>
      <c r="AN1942" s="244"/>
      <c r="AO1942" s="238">
        <v>0.0</v>
      </c>
      <c r="AP1942" s="238">
        <v>0.0</v>
      </c>
      <c r="AQ1942" s="235" t="s">
        <v>632</v>
      </c>
      <c r="AR1942" s="243">
        <v>1.68E11</v>
      </c>
      <c r="AS1942" s="235" t="s">
        <v>13822</v>
      </c>
      <c r="AT1942" s="235" t="s">
        <v>11</v>
      </c>
      <c r="AU1942" s="235" t="s">
        <v>634</v>
      </c>
      <c r="AV1942" s="246" t="s">
        <v>635</v>
      </c>
      <c r="AW1942" s="242"/>
      <c r="AX1942" s="242"/>
      <c r="AY1942" s="231"/>
      <c r="AZ1942" s="231"/>
      <c r="BA1942" s="227"/>
      <c r="BB1942" s="231"/>
      <c r="BC1942" s="227"/>
      <c r="BD1942" s="227"/>
      <c r="BE1942" s="227"/>
      <c r="BF1942" s="227"/>
    </row>
    <row r="1943">
      <c r="A1943" s="235" t="s">
        <v>15171</v>
      </c>
      <c r="C1943" s="235" t="s">
        <v>15172</v>
      </c>
      <c r="D1943" s="235" t="s">
        <v>15173</v>
      </c>
      <c r="E1943" s="243">
        <v>6.53E13</v>
      </c>
      <c r="F1943" s="245"/>
      <c r="G1943" s="235" t="s">
        <v>15174</v>
      </c>
      <c r="H1943" s="235" t="s">
        <v>15175</v>
      </c>
      <c r="I1943" s="235" t="s">
        <v>15175</v>
      </c>
      <c r="J1943" s="235" t="s">
        <v>15176</v>
      </c>
      <c r="K1943" s="235" t="s">
        <v>15177</v>
      </c>
      <c r="N1943" s="235" t="s">
        <v>1346</v>
      </c>
      <c r="O1943" s="235" t="s">
        <v>1347</v>
      </c>
      <c r="P1943" s="238">
        <v>1.0</v>
      </c>
      <c r="Q1943" s="235" t="s">
        <v>627</v>
      </c>
      <c r="R1943" s="238">
        <v>256.2</v>
      </c>
      <c r="S1943" s="238">
        <v>12.8</v>
      </c>
      <c r="T1943" s="238">
        <v>38.1</v>
      </c>
      <c r="U1943" s="238">
        <v>1.9</v>
      </c>
      <c r="V1943" s="238">
        <v>0.0</v>
      </c>
      <c r="W1943" s="238">
        <v>0.0</v>
      </c>
      <c r="X1943" s="235" t="s">
        <v>628</v>
      </c>
      <c r="Z1943" s="244"/>
      <c r="AA1943" s="244"/>
      <c r="AB1943" s="244"/>
      <c r="AC1943" s="235" t="s">
        <v>678</v>
      </c>
      <c r="AD1943" s="235" t="s">
        <v>679</v>
      </c>
      <c r="AE1943" s="238">
        <v>560072.0</v>
      </c>
      <c r="AF1943" s="235" t="s">
        <v>631</v>
      </c>
      <c r="AG1943" s="244"/>
      <c r="AH1943" s="244"/>
      <c r="AI1943" s="245"/>
      <c r="AJ1943" s="245"/>
      <c r="AK1943" s="245"/>
      <c r="AL1943" s="245"/>
      <c r="AM1943" s="244"/>
      <c r="AN1943" s="244"/>
      <c r="AO1943" s="238">
        <v>0.0</v>
      </c>
      <c r="AP1943" s="238">
        <v>-38.1</v>
      </c>
      <c r="AQ1943" s="235" t="s">
        <v>632</v>
      </c>
      <c r="AR1943" s="243">
        <v>3.71E11</v>
      </c>
      <c r="AS1943" s="235" t="s">
        <v>13822</v>
      </c>
      <c r="AT1943" s="235" t="s">
        <v>9</v>
      </c>
      <c r="AU1943" s="235" t="s">
        <v>634</v>
      </c>
      <c r="AV1943" s="246" t="s">
        <v>635</v>
      </c>
      <c r="AW1943" s="242"/>
      <c r="AX1943" s="242"/>
      <c r="AY1943" s="231"/>
      <c r="AZ1943" s="231"/>
      <c r="BA1943" s="227"/>
      <c r="BB1943" s="231"/>
      <c r="BC1943" s="227"/>
      <c r="BD1943" s="227"/>
      <c r="BE1943" s="227"/>
      <c r="BF1943" s="227"/>
    </row>
    <row r="1944">
      <c r="A1944" s="235" t="s">
        <v>15178</v>
      </c>
      <c r="C1944" s="235" t="s">
        <v>15179</v>
      </c>
      <c r="D1944" s="235" t="s">
        <v>15180</v>
      </c>
      <c r="E1944" s="243">
        <v>6.54E13</v>
      </c>
      <c r="F1944" s="245"/>
      <c r="G1944" s="235" t="s">
        <v>15181</v>
      </c>
      <c r="H1944" s="235" t="s">
        <v>15182</v>
      </c>
      <c r="I1944" s="235" t="s">
        <v>15182</v>
      </c>
      <c r="J1944" s="235" t="s">
        <v>15183</v>
      </c>
      <c r="K1944" s="235" t="s">
        <v>15184</v>
      </c>
      <c r="N1944" s="235" t="s">
        <v>42</v>
      </c>
      <c r="O1944" s="235" t="s">
        <v>204</v>
      </c>
      <c r="P1944" s="238">
        <v>1.0</v>
      </c>
      <c r="Q1944" s="235" t="s">
        <v>627</v>
      </c>
      <c r="R1944" s="238">
        <v>0.0</v>
      </c>
      <c r="S1944" s="238">
        <v>0.0</v>
      </c>
      <c r="T1944" s="238">
        <v>0.0</v>
      </c>
      <c r="U1944" s="238">
        <v>0.0</v>
      </c>
      <c r="V1944" s="238">
        <v>0.0</v>
      </c>
      <c r="W1944" s="238">
        <v>0.0</v>
      </c>
      <c r="X1944" s="235" t="s">
        <v>628</v>
      </c>
      <c r="Z1944" s="244"/>
      <c r="AA1944" s="244"/>
      <c r="AB1944" s="244"/>
      <c r="AC1944" s="235" t="s">
        <v>697</v>
      </c>
      <c r="AD1944" s="235" t="s">
        <v>698</v>
      </c>
      <c r="AE1944" s="238">
        <v>500068.0</v>
      </c>
      <c r="AF1944" s="235" t="s">
        <v>631</v>
      </c>
      <c r="AG1944" s="244"/>
      <c r="AH1944" s="244"/>
      <c r="AI1944" s="245"/>
      <c r="AJ1944" s="245"/>
      <c r="AK1944" s="245"/>
      <c r="AL1944" s="245"/>
      <c r="AM1944" s="244"/>
      <c r="AN1944" s="244"/>
      <c r="AO1944" s="238">
        <v>0.0</v>
      </c>
      <c r="AP1944" s="238">
        <v>0.0</v>
      </c>
      <c r="AQ1944" s="235" t="s">
        <v>632</v>
      </c>
      <c r="AR1944" s="243">
        <v>1.68E11</v>
      </c>
      <c r="AS1944" s="235" t="s">
        <v>13822</v>
      </c>
      <c r="AT1944" s="235" t="s">
        <v>9</v>
      </c>
      <c r="AU1944" s="235" t="s">
        <v>634</v>
      </c>
      <c r="AV1944" s="246" t="s">
        <v>635</v>
      </c>
      <c r="AW1944" s="242"/>
      <c r="AX1944" s="242"/>
      <c r="AY1944" s="231"/>
      <c r="AZ1944" s="231"/>
      <c r="BA1944" s="227"/>
      <c r="BB1944" s="231"/>
      <c r="BC1944" s="227"/>
      <c r="BD1944" s="227"/>
      <c r="BE1944" s="227"/>
      <c r="BF1944" s="227"/>
    </row>
    <row r="1945">
      <c r="A1945" s="235" t="s">
        <v>15185</v>
      </c>
      <c r="C1945" s="235" t="s">
        <v>15186</v>
      </c>
      <c r="D1945" s="235" t="s">
        <v>15187</v>
      </c>
      <c r="E1945" s="243">
        <v>6.54E13</v>
      </c>
      <c r="F1945" s="245"/>
      <c r="G1945" s="235" t="s">
        <v>15188</v>
      </c>
      <c r="H1945" s="235" t="s">
        <v>15189</v>
      </c>
      <c r="I1945" s="235" t="s">
        <v>15189</v>
      </c>
      <c r="J1945" s="235" t="s">
        <v>15190</v>
      </c>
      <c r="K1945" s="235" t="s">
        <v>15191</v>
      </c>
      <c r="N1945" s="235" t="s">
        <v>1646</v>
      </c>
      <c r="O1945" s="235" t="s">
        <v>1647</v>
      </c>
      <c r="P1945" s="238">
        <v>1.0</v>
      </c>
      <c r="Q1945" s="235" t="s">
        <v>627</v>
      </c>
      <c r="R1945" s="238">
        <v>270.48</v>
      </c>
      <c r="S1945" s="238">
        <v>13.25</v>
      </c>
      <c r="T1945" s="238">
        <v>38.1</v>
      </c>
      <c r="U1945" s="238">
        <v>1.9</v>
      </c>
      <c r="V1945" s="238">
        <v>0.0</v>
      </c>
      <c r="W1945" s="238">
        <v>0.0</v>
      </c>
      <c r="X1945" s="235" t="s">
        <v>628</v>
      </c>
      <c r="Z1945" s="244"/>
      <c r="AA1945" s="244"/>
      <c r="AB1945" s="244"/>
      <c r="AC1945" s="235" t="s">
        <v>15192</v>
      </c>
      <c r="AD1945" s="235" t="s">
        <v>630</v>
      </c>
      <c r="AE1945" s="238">
        <v>242407.0</v>
      </c>
      <c r="AF1945" s="235" t="s">
        <v>631</v>
      </c>
      <c r="AG1945" s="244"/>
      <c r="AH1945" s="244"/>
      <c r="AI1945" s="245"/>
      <c r="AJ1945" s="245"/>
      <c r="AK1945" s="245"/>
      <c r="AL1945" s="245"/>
      <c r="AM1945" s="244"/>
      <c r="AN1945" s="244"/>
      <c r="AO1945" s="238">
        <v>-5.41</v>
      </c>
      <c r="AP1945" s="238">
        <v>-38.1</v>
      </c>
      <c r="AQ1945" s="235" t="s">
        <v>632</v>
      </c>
      <c r="AR1945" s="243">
        <v>3.71E11</v>
      </c>
      <c r="AS1945" s="235" t="s">
        <v>11171</v>
      </c>
      <c r="AT1945" s="235" t="s">
        <v>14</v>
      </c>
      <c r="AU1945" s="235" t="s">
        <v>634</v>
      </c>
      <c r="AV1945" s="246" t="s">
        <v>635</v>
      </c>
      <c r="AW1945" s="242"/>
      <c r="AX1945" s="242"/>
      <c r="AY1945" s="231"/>
      <c r="AZ1945" s="231"/>
      <c r="BA1945" s="227"/>
      <c r="BB1945" s="231"/>
      <c r="BC1945" s="227"/>
      <c r="BD1945" s="227"/>
      <c r="BE1945" s="227"/>
      <c r="BF1945" s="227"/>
    </row>
    <row r="1946">
      <c r="A1946" s="235" t="s">
        <v>15193</v>
      </c>
      <c r="C1946" s="235" t="s">
        <v>15194</v>
      </c>
      <c r="D1946" s="235" t="s">
        <v>15195</v>
      </c>
      <c r="E1946" s="243">
        <v>6.54E13</v>
      </c>
      <c r="F1946" s="245"/>
      <c r="G1946" s="235" t="s">
        <v>15196</v>
      </c>
      <c r="H1946" s="235" t="s">
        <v>15197</v>
      </c>
      <c r="I1946" s="235" t="s">
        <v>15197</v>
      </c>
      <c r="J1946" s="235" t="s">
        <v>15198</v>
      </c>
      <c r="K1946" s="235" t="s">
        <v>15199</v>
      </c>
      <c r="N1946" s="235" t="s">
        <v>154</v>
      </c>
      <c r="O1946" s="235" t="s">
        <v>766</v>
      </c>
      <c r="P1946" s="238">
        <v>2.0</v>
      </c>
      <c r="Q1946" s="235" t="s">
        <v>627</v>
      </c>
      <c r="R1946" s="238">
        <v>931.42</v>
      </c>
      <c r="S1946" s="238">
        <v>45.18</v>
      </c>
      <c r="T1946" s="238">
        <v>0.0</v>
      </c>
      <c r="U1946" s="238">
        <v>0.0</v>
      </c>
      <c r="V1946" s="238">
        <v>0.0</v>
      </c>
      <c r="W1946" s="238">
        <v>0.0</v>
      </c>
      <c r="X1946" s="235" t="s">
        <v>628</v>
      </c>
      <c r="Z1946" s="244"/>
      <c r="AA1946" s="244"/>
      <c r="AB1946" s="244"/>
      <c r="AC1946" s="235" t="s">
        <v>15200</v>
      </c>
      <c r="AD1946" s="235" t="s">
        <v>854</v>
      </c>
      <c r="AE1946" s="238">
        <v>403005.0</v>
      </c>
      <c r="AF1946" s="235" t="s">
        <v>631</v>
      </c>
      <c r="AG1946" s="244"/>
      <c r="AH1946" s="244"/>
      <c r="AI1946" s="245"/>
      <c r="AJ1946" s="245"/>
      <c r="AK1946" s="245"/>
      <c r="AL1946" s="245"/>
      <c r="AM1946" s="244"/>
      <c r="AN1946" s="244"/>
      <c r="AO1946" s="238">
        <v>-27.94</v>
      </c>
      <c r="AP1946" s="238">
        <v>0.0</v>
      </c>
      <c r="AQ1946" s="235" t="s">
        <v>632</v>
      </c>
      <c r="AR1946" s="243">
        <v>2.02E11</v>
      </c>
      <c r="AS1946" s="235" t="s">
        <v>13822</v>
      </c>
      <c r="AT1946" s="235" t="s">
        <v>16</v>
      </c>
      <c r="AU1946" s="235" t="s">
        <v>634</v>
      </c>
      <c r="AV1946" s="246" t="s">
        <v>635</v>
      </c>
      <c r="AW1946" s="242"/>
      <c r="AX1946" s="242"/>
      <c r="AY1946" s="231"/>
      <c r="AZ1946" s="231"/>
      <c r="BA1946" s="227"/>
      <c r="BB1946" s="231"/>
      <c r="BC1946" s="227"/>
      <c r="BD1946" s="227"/>
      <c r="BE1946" s="227"/>
      <c r="BF1946" s="227"/>
    </row>
    <row r="1947">
      <c r="A1947" s="235" t="s">
        <v>15193</v>
      </c>
      <c r="C1947" s="235" t="s">
        <v>15194</v>
      </c>
      <c r="D1947" s="235" t="s">
        <v>15201</v>
      </c>
      <c r="E1947" s="243">
        <v>6.54E13</v>
      </c>
      <c r="F1947" s="245"/>
      <c r="G1947" s="235" t="s">
        <v>15196</v>
      </c>
      <c r="H1947" s="235" t="s">
        <v>15197</v>
      </c>
      <c r="I1947" s="235" t="s">
        <v>15197</v>
      </c>
      <c r="J1947" s="235" t="s">
        <v>15198</v>
      </c>
      <c r="K1947" s="235" t="s">
        <v>15199</v>
      </c>
      <c r="N1947" s="235" t="s">
        <v>154</v>
      </c>
      <c r="O1947" s="235" t="s">
        <v>766</v>
      </c>
      <c r="P1947" s="238">
        <v>1.0</v>
      </c>
      <c r="Q1947" s="235" t="s">
        <v>627</v>
      </c>
      <c r="R1947" s="238">
        <v>465.71</v>
      </c>
      <c r="S1947" s="238">
        <v>22.59</v>
      </c>
      <c r="T1947" s="238">
        <v>0.0</v>
      </c>
      <c r="U1947" s="238">
        <v>0.0</v>
      </c>
      <c r="V1947" s="238">
        <v>0.0</v>
      </c>
      <c r="W1947" s="238">
        <v>0.0</v>
      </c>
      <c r="X1947" s="235" t="s">
        <v>628</v>
      </c>
      <c r="Z1947" s="244"/>
      <c r="AA1947" s="244"/>
      <c r="AB1947" s="244"/>
      <c r="AC1947" s="235" t="s">
        <v>15200</v>
      </c>
      <c r="AD1947" s="235" t="s">
        <v>854</v>
      </c>
      <c r="AE1947" s="238">
        <v>403005.0</v>
      </c>
      <c r="AF1947" s="235" t="s">
        <v>631</v>
      </c>
      <c r="AG1947" s="244"/>
      <c r="AH1947" s="244"/>
      <c r="AI1947" s="245"/>
      <c r="AJ1947" s="245"/>
      <c r="AK1947" s="245"/>
      <c r="AL1947" s="245"/>
      <c r="AM1947" s="244"/>
      <c r="AN1947" s="244"/>
      <c r="AO1947" s="238">
        <v>-13.97</v>
      </c>
      <c r="AP1947" s="238">
        <v>0.0</v>
      </c>
      <c r="AQ1947" s="235" t="s">
        <v>632</v>
      </c>
      <c r="AR1947" s="243">
        <v>2.02E11</v>
      </c>
      <c r="AS1947" s="235" t="s">
        <v>13822</v>
      </c>
      <c r="AT1947" s="235" t="s">
        <v>16</v>
      </c>
      <c r="AU1947" s="235" t="s">
        <v>634</v>
      </c>
      <c r="AV1947" s="246" t="s">
        <v>635</v>
      </c>
      <c r="AW1947" s="242"/>
      <c r="AX1947" s="242"/>
      <c r="AY1947" s="231"/>
      <c r="AZ1947" s="231"/>
      <c r="BA1947" s="227"/>
      <c r="BB1947" s="231"/>
      <c r="BC1947" s="227"/>
      <c r="BD1947" s="227"/>
      <c r="BE1947" s="227"/>
      <c r="BF1947" s="227"/>
    </row>
    <row r="1948">
      <c r="A1948" s="235" t="s">
        <v>15202</v>
      </c>
      <c r="C1948" s="235" t="s">
        <v>15203</v>
      </c>
      <c r="D1948" s="235" t="s">
        <v>15204</v>
      </c>
      <c r="E1948" s="243">
        <v>6.54E13</v>
      </c>
      <c r="F1948" s="245"/>
      <c r="G1948" s="235" t="s">
        <v>15205</v>
      </c>
      <c r="H1948" s="235" t="s">
        <v>15206</v>
      </c>
      <c r="I1948" s="235" t="s">
        <v>15206</v>
      </c>
      <c r="J1948" s="235" t="s">
        <v>15207</v>
      </c>
      <c r="K1948" s="235" t="s">
        <v>15208</v>
      </c>
      <c r="N1948" s="235" t="s">
        <v>42</v>
      </c>
      <c r="O1948" s="235" t="s">
        <v>204</v>
      </c>
      <c r="P1948" s="238">
        <v>1.0</v>
      </c>
      <c r="Q1948" s="235" t="s">
        <v>627</v>
      </c>
      <c r="R1948" s="238">
        <v>237.14</v>
      </c>
      <c r="S1948" s="238">
        <v>11.62</v>
      </c>
      <c r="T1948" s="238">
        <v>38.1</v>
      </c>
      <c r="U1948" s="238">
        <v>1.9</v>
      </c>
      <c r="V1948" s="238">
        <v>0.0</v>
      </c>
      <c r="W1948" s="238">
        <v>0.0</v>
      </c>
      <c r="X1948" s="235" t="s">
        <v>628</v>
      </c>
      <c r="Z1948" s="244"/>
      <c r="AA1948" s="244"/>
      <c r="AB1948" s="244"/>
      <c r="AC1948" s="235" t="s">
        <v>697</v>
      </c>
      <c r="AD1948" s="235" t="s">
        <v>698</v>
      </c>
      <c r="AE1948" s="238">
        <v>500049.0</v>
      </c>
      <c r="AF1948" s="235" t="s">
        <v>631</v>
      </c>
      <c r="AG1948" s="244"/>
      <c r="AH1948" s="244"/>
      <c r="AI1948" s="245"/>
      <c r="AJ1948" s="245"/>
      <c r="AK1948" s="245"/>
      <c r="AL1948" s="245"/>
      <c r="AM1948" s="244"/>
      <c r="AN1948" s="244"/>
      <c r="AO1948" s="238">
        <v>-4.74</v>
      </c>
      <c r="AP1948" s="238">
        <v>-38.1</v>
      </c>
      <c r="AQ1948" s="235" t="s">
        <v>632</v>
      </c>
      <c r="AR1948" s="243">
        <v>3.71E11</v>
      </c>
      <c r="AS1948" s="235" t="s">
        <v>10017</v>
      </c>
      <c r="AT1948" s="235" t="s">
        <v>533</v>
      </c>
      <c r="AU1948" s="235" t="s">
        <v>634</v>
      </c>
      <c r="AV1948" s="246" t="s">
        <v>635</v>
      </c>
      <c r="AW1948" s="242"/>
      <c r="AX1948" s="242"/>
      <c r="AY1948" s="231"/>
      <c r="AZ1948" s="231"/>
      <c r="BA1948" s="227"/>
      <c r="BB1948" s="231"/>
      <c r="BC1948" s="227"/>
      <c r="BD1948" s="227"/>
      <c r="BE1948" s="227"/>
      <c r="BF1948" s="227"/>
    </row>
    <row r="1949">
      <c r="A1949" s="235" t="s">
        <v>15209</v>
      </c>
      <c r="C1949" s="235" t="s">
        <v>15210</v>
      </c>
      <c r="D1949" s="235" t="s">
        <v>15211</v>
      </c>
      <c r="E1949" s="243">
        <v>6.54E13</v>
      </c>
      <c r="F1949" s="245"/>
      <c r="G1949" s="235" t="s">
        <v>15212</v>
      </c>
      <c r="H1949" s="235" t="s">
        <v>15213</v>
      </c>
      <c r="I1949" s="235" t="s">
        <v>15213</v>
      </c>
      <c r="J1949" s="235" t="s">
        <v>15214</v>
      </c>
      <c r="K1949" s="235" t="s">
        <v>15215</v>
      </c>
      <c r="N1949" s="235" t="s">
        <v>127</v>
      </c>
      <c r="O1949" s="235" t="s">
        <v>794</v>
      </c>
      <c r="P1949" s="238">
        <v>1.0</v>
      </c>
      <c r="Q1949" s="235" t="s">
        <v>627</v>
      </c>
      <c r="R1949" s="238">
        <v>246.67</v>
      </c>
      <c r="S1949" s="238">
        <v>12.08</v>
      </c>
      <c r="T1949" s="238">
        <v>0.0</v>
      </c>
      <c r="U1949" s="238">
        <v>0.0</v>
      </c>
      <c r="V1949" s="238">
        <v>0.0</v>
      </c>
      <c r="W1949" s="238">
        <v>0.0</v>
      </c>
      <c r="X1949" s="235" t="s">
        <v>628</v>
      </c>
      <c r="Z1949" s="244"/>
      <c r="AA1949" s="244"/>
      <c r="AB1949" s="244"/>
      <c r="AC1949" s="235" t="s">
        <v>15216</v>
      </c>
      <c r="AD1949" s="235" t="s">
        <v>645</v>
      </c>
      <c r="AE1949" s="238">
        <v>682314.0</v>
      </c>
      <c r="AF1949" s="235" t="s">
        <v>631</v>
      </c>
      <c r="AG1949" s="244"/>
      <c r="AH1949" s="244"/>
      <c r="AI1949" s="245"/>
      <c r="AJ1949" s="245"/>
      <c r="AK1949" s="245"/>
      <c r="AL1949" s="245"/>
      <c r="AM1949" s="244"/>
      <c r="AN1949" s="244"/>
      <c r="AO1949" s="238">
        <v>-4.93</v>
      </c>
      <c r="AP1949" s="238">
        <v>0.0</v>
      </c>
      <c r="AQ1949" s="235" t="s">
        <v>632</v>
      </c>
      <c r="AR1949" s="243">
        <v>3.71E11</v>
      </c>
      <c r="AS1949" s="235" t="s">
        <v>13822</v>
      </c>
      <c r="AT1949" s="235" t="s">
        <v>155</v>
      </c>
      <c r="AU1949" s="235" t="s">
        <v>634</v>
      </c>
      <c r="AV1949" s="246" t="s">
        <v>635</v>
      </c>
      <c r="AW1949" s="242"/>
      <c r="AX1949" s="242"/>
      <c r="AY1949" s="231"/>
      <c r="AZ1949" s="231"/>
      <c r="BA1949" s="227"/>
      <c r="BB1949" s="231"/>
      <c r="BC1949" s="227"/>
      <c r="BD1949" s="227"/>
      <c r="BE1949" s="227"/>
      <c r="BF1949" s="227"/>
    </row>
    <row r="1950">
      <c r="A1950" s="235" t="s">
        <v>15217</v>
      </c>
      <c r="C1950" s="235" t="s">
        <v>15218</v>
      </c>
      <c r="D1950" s="235" t="s">
        <v>15219</v>
      </c>
      <c r="E1950" s="243">
        <v>6.54E13</v>
      </c>
      <c r="F1950" s="245"/>
      <c r="G1950" s="235" t="s">
        <v>15220</v>
      </c>
      <c r="H1950" s="235" t="s">
        <v>15221</v>
      </c>
      <c r="I1950" s="235" t="s">
        <v>15221</v>
      </c>
      <c r="J1950" s="235" t="s">
        <v>15222</v>
      </c>
      <c r="K1950" s="235" t="s">
        <v>15223</v>
      </c>
      <c r="N1950" s="235" t="s">
        <v>92</v>
      </c>
      <c r="O1950" s="235" t="s">
        <v>248</v>
      </c>
      <c r="P1950" s="238">
        <v>1.0</v>
      </c>
      <c r="Q1950" s="235" t="s">
        <v>627</v>
      </c>
      <c r="R1950" s="238">
        <v>246.67</v>
      </c>
      <c r="S1950" s="238">
        <v>12.08</v>
      </c>
      <c r="T1950" s="238">
        <v>0.0</v>
      </c>
      <c r="U1950" s="238">
        <v>0.0</v>
      </c>
      <c r="V1950" s="238">
        <v>0.0</v>
      </c>
      <c r="W1950" s="238">
        <v>0.0</v>
      </c>
      <c r="X1950" s="235" t="s">
        <v>628</v>
      </c>
      <c r="Z1950" s="244"/>
      <c r="AA1950" s="244"/>
      <c r="AB1950" s="244"/>
      <c r="AC1950" s="235" t="s">
        <v>7088</v>
      </c>
      <c r="AD1950" s="235" t="s">
        <v>630</v>
      </c>
      <c r="AE1950" s="238">
        <v>201318.0</v>
      </c>
      <c r="AF1950" s="235" t="s">
        <v>631</v>
      </c>
      <c r="AG1950" s="244"/>
      <c r="AH1950" s="244"/>
      <c r="AI1950" s="245"/>
      <c r="AJ1950" s="245"/>
      <c r="AK1950" s="245"/>
      <c r="AL1950" s="245"/>
      <c r="AM1950" s="244"/>
      <c r="AN1950" s="244"/>
      <c r="AO1950" s="238">
        <v>-4.93</v>
      </c>
      <c r="AP1950" s="238">
        <v>0.0</v>
      </c>
      <c r="AQ1950" s="235" t="s">
        <v>632</v>
      </c>
      <c r="AR1950" s="243">
        <v>3.71E11</v>
      </c>
      <c r="AS1950" s="235" t="s">
        <v>13822</v>
      </c>
      <c r="AT1950" s="235" t="s">
        <v>14</v>
      </c>
      <c r="AU1950" s="235" t="s">
        <v>634</v>
      </c>
      <c r="AV1950" s="246" t="s">
        <v>635</v>
      </c>
      <c r="AW1950" s="242"/>
      <c r="AX1950" s="242"/>
      <c r="AY1950" s="231"/>
      <c r="AZ1950" s="231"/>
      <c r="BA1950" s="227"/>
      <c r="BB1950" s="231"/>
      <c r="BC1950" s="227"/>
      <c r="BD1950" s="227"/>
      <c r="BE1950" s="227"/>
      <c r="BF1950" s="227"/>
    </row>
    <row r="1951">
      <c r="A1951" s="235" t="s">
        <v>15224</v>
      </c>
      <c r="C1951" s="235" t="s">
        <v>15225</v>
      </c>
      <c r="D1951" s="235" t="s">
        <v>15226</v>
      </c>
      <c r="E1951" s="243">
        <v>6.54E13</v>
      </c>
      <c r="F1951" s="245"/>
      <c r="G1951" s="235" t="s">
        <v>15227</v>
      </c>
      <c r="H1951" s="235" t="s">
        <v>15228</v>
      </c>
      <c r="I1951" s="235" t="s">
        <v>15228</v>
      </c>
      <c r="J1951" s="235" t="s">
        <v>15229</v>
      </c>
      <c r="K1951" s="235" t="s">
        <v>15230</v>
      </c>
      <c r="N1951" s="235" t="s">
        <v>68</v>
      </c>
      <c r="O1951" s="235" t="s">
        <v>208</v>
      </c>
      <c r="P1951" s="238">
        <v>1.0</v>
      </c>
      <c r="Q1951" s="235" t="s">
        <v>627</v>
      </c>
      <c r="R1951" s="238">
        <v>242.86</v>
      </c>
      <c r="S1951" s="238">
        <v>12.14</v>
      </c>
      <c r="T1951" s="238">
        <v>0.0</v>
      </c>
      <c r="U1951" s="238">
        <v>0.0</v>
      </c>
      <c r="V1951" s="238">
        <v>0.0</v>
      </c>
      <c r="W1951" s="238">
        <v>0.0</v>
      </c>
      <c r="X1951" s="235" t="s">
        <v>628</v>
      </c>
      <c r="Z1951" s="244"/>
      <c r="AA1951" s="244"/>
      <c r="AB1951" s="244"/>
      <c r="AC1951" s="235" t="s">
        <v>678</v>
      </c>
      <c r="AD1951" s="235" t="s">
        <v>679</v>
      </c>
      <c r="AE1951" s="238">
        <v>560037.0</v>
      </c>
      <c r="AF1951" s="235" t="s">
        <v>631</v>
      </c>
      <c r="AG1951" s="244"/>
      <c r="AH1951" s="244"/>
      <c r="AI1951" s="245"/>
      <c r="AJ1951" s="245"/>
      <c r="AK1951" s="245"/>
      <c r="AL1951" s="245"/>
      <c r="AM1951" s="244"/>
      <c r="AN1951" s="244"/>
      <c r="AO1951" s="238">
        <v>0.0</v>
      </c>
      <c r="AP1951" s="238">
        <v>0.0</v>
      </c>
      <c r="AQ1951" s="235" t="s">
        <v>632</v>
      </c>
      <c r="AR1951" s="243">
        <v>1.68E11</v>
      </c>
      <c r="AS1951" s="235" t="s">
        <v>15064</v>
      </c>
      <c r="AT1951" s="235" t="s">
        <v>11</v>
      </c>
      <c r="AU1951" s="235" t="s">
        <v>634</v>
      </c>
      <c r="AV1951" s="246" t="s">
        <v>635</v>
      </c>
      <c r="AW1951" s="242"/>
      <c r="AX1951" s="242"/>
      <c r="AY1951" s="231"/>
      <c r="AZ1951" s="231"/>
      <c r="BA1951" s="227"/>
      <c r="BB1951" s="231"/>
      <c r="BC1951" s="227"/>
      <c r="BD1951" s="227"/>
      <c r="BE1951" s="227"/>
      <c r="BF1951" s="227"/>
    </row>
    <row r="1952">
      <c r="A1952" s="235" t="s">
        <v>15231</v>
      </c>
      <c r="C1952" s="235" t="s">
        <v>15232</v>
      </c>
      <c r="D1952" s="235" t="s">
        <v>15233</v>
      </c>
      <c r="E1952" s="243">
        <v>6.53E13</v>
      </c>
      <c r="F1952" s="245"/>
      <c r="G1952" s="235" t="s">
        <v>15234</v>
      </c>
      <c r="H1952" s="235" t="s">
        <v>15235</v>
      </c>
      <c r="I1952" s="235" t="s">
        <v>15235</v>
      </c>
      <c r="J1952" s="235" t="s">
        <v>15236</v>
      </c>
      <c r="K1952" s="235" t="s">
        <v>15237</v>
      </c>
      <c r="N1952" s="235" t="s">
        <v>106</v>
      </c>
      <c r="O1952" s="235" t="s">
        <v>338</v>
      </c>
      <c r="P1952" s="238">
        <v>1.0</v>
      </c>
      <c r="Q1952" s="235" t="s">
        <v>627</v>
      </c>
      <c r="R1952" s="238">
        <v>269.52</v>
      </c>
      <c r="S1952" s="238">
        <v>13.22</v>
      </c>
      <c r="T1952" s="238">
        <v>0.0</v>
      </c>
      <c r="U1952" s="238">
        <v>0.0</v>
      </c>
      <c r="V1952" s="238">
        <v>0.0</v>
      </c>
      <c r="W1952" s="238">
        <v>0.0</v>
      </c>
      <c r="X1952" s="235" t="s">
        <v>628</v>
      </c>
      <c r="Z1952" s="244"/>
      <c r="AA1952" s="244"/>
      <c r="AB1952" s="244"/>
      <c r="AC1952" s="235" t="s">
        <v>1058</v>
      </c>
      <c r="AD1952" s="235" t="s">
        <v>845</v>
      </c>
      <c r="AE1952" s="238">
        <v>400068.0</v>
      </c>
      <c r="AF1952" s="235" t="s">
        <v>631</v>
      </c>
      <c r="AG1952" s="244"/>
      <c r="AH1952" s="244"/>
      <c r="AI1952" s="245"/>
      <c r="AJ1952" s="245"/>
      <c r="AK1952" s="245"/>
      <c r="AL1952" s="245"/>
      <c r="AM1952" s="244"/>
      <c r="AN1952" s="244"/>
      <c r="AO1952" s="238">
        <v>-5.4</v>
      </c>
      <c r="AP1952" s="238">
        <v>0.0</v>
      </c>
      <c r="AQ1952" s="235" t="s">
        <v>632</v>
      </c>
      <c r="AR1952" s="243">
        <v>3.71E11</v>
      </c>
      <c r="AS1952" s="235" t="s">
        <v>13822</v>
      </c>
      <c r="AT1952" s="235" t="s">
        <v>16</v>
      </c>
      <c r="AU1952" s="235" t="s">
        <v>634</v>
      </c>
      <c r="AV1952" s="246" t="s">
        <v>635</v>
      </c>
      <c r="AW1952" s="242"/>
      <c r="AX1952" s="242"/>
      <c r="AY1952" s="231"/>
      <c r="AZ1952" s="231"/>
      <c r="BA1952" s="227"/>
      <c r="BB1952" s="231"/>
      <c r="BC1952" s="227"/>
      <c r="BD1952" s="227"/>
      <c r="BE1952" s="227"/>
      <c r="BF1952" s="227"/>
    </row>
    <row r="1953">
      <c r="A1953" s="235" t="s">
        <v>15238</v>
      </c>
      <c r="C1953" s="235" t="s">
        <v>15239</v>
      </c>
      <c r="D1953" s="235" t="s">
        <v>15240</v>
      </c>
      <c r="E1953" s="243">
        <v>6.54E13</v>
      </c>
      <c r="F1953" s="245"/>
      <c r="G1953" s="235" t="s">
        <v>15241</v>
      </c>
      <c r="H1953" s="235" t="s">
        <v>15242</v>
      </c>
      <c r="I1953" s="235" t="s">
        <v>15242</v>
      </c>
      <c r="J1953" s="235" t="s">
        <v>15243</v>
      </c>
      <c r="K1953" s="235" t="s">
        <v>15244</v>
      </c>
      <c r="N1953" s="235" t="s">
        <v>29</v>
      </c>
      <c r="O1953" s="235" t="s">
        <v>677</v>
      </c>
      <c r="P1953" s="238">
        <v>1.0</v>
      </c>
      <c r="Q1953" s="235" t="s">
        <v>627</v>
      </c>
      <c r="R1953" s="238">
        <v>446.67</v>
      </c>
      <c r="S1953" s="238">
        <v>22.33</v>
      </c>
      <c r="T1953" s="238">
        <v>0.0</v>
      </c>
      <c r="U1953" s="238">
        <v>0.0</v>
      </c>
      <c r="V1953" s="238">
        <v>0.0</v>
      </c>
      <c r="W1953" s="238">
        <v>0.0</v>
      </c>
      <c r="X1953" s="235" t="s">
        <v>628</v>
      </c>
      <c r="Z1953" s="244"/>
      <c r="AA1953" s="244"/>
      <c r="AB1953" s="244"/>
      <c r="AC1953" s="235" t="s">
        <v>678</v>
      </c>
      <c r="AD1953" s="235" t="s">
        <v>679</v>
      </c>
      <c r="AE1953" s="238">
        <v>560092.0</v>
      </c>
      <c r="AF1953" s="235" t="s">
        <v>631</v>
      </c>
      <c r="AG1953" s="244"/>
      <c r="AH1953" s="244"/>
      <c r="AI1953" s="245"/>
      <c r="AJ1953" s="245"/>
      <c r="AK1953" s="245"/>
      <c r="AL1953" s="245"/>
      <c r="AM1953" s="244"/>
      <c r="AN1953" s="244"/>
      <c r="AO1953" s="238">
        <v>0.0</v>
      </c>
      <c r="AP1953" s="238">
        <v>0.0</v>
      </c>
      <c r="AQ1953" s="235" t="s">
        <v>632</v>
      </c>
      <c r="AR1953" s="243">
        <v>1.68E11</v>
      </c>
      <c r="AS1953" s="235" t="s">
        <v>13822</v>
      </c>
      <c r="AT1953" s="235" t="s">
        <v>156</v>
      </c>
      <c r="AU1953" s="235" t="s">
        <v>634</v>
      </c>
      <c r="AV1953" s="246" t="s">
        <v>635</v>
      </c>
      <c r="AW1953" s="242"/>
      <c r="AX1953" s="242"/>
      <c r="AY1953" s="231"/>
      <c r="AZ1953" s="231"/>
      <c r="BA1953" s="227"/>
      <c r="BB1953" s="231"/>
      <c r="BC1953" s="227"/>
      <c r="BD1953" s="227"/>
      <c r="BE1953" s="227"/>
      <c r="BF1953" s="227"/>
    </row>
    <row r="1954">
      <c r="A1954" s="235" t="s">
        <v>15245</v>
      </c>
      <c r="C1954" s="235" t="s">
        <v>15246</v>
      </c>
      <c r="D1954" s="235" t="s">
        <v>15247</v>
      </c>
      <c r="E1954" s="243">
        <v>6.53E13</v>
      </c>
      <c r="F1954" s="245"/>
      <c r="G1954" s="235" t="s">
        <v>15248</v>
      </c>
      <c r="H1954" s="235" t="s">
        <v>15249</v>
      </c>
      <c r="I1954" s="235" t="s">
        <v>15250</v>
      </c>
      <c r="J1954" s="235" t="s">
        <v>15251</v>
      </c>
      <c r="K1954" s="235" t="s">
        <v>15252</v>
      </c>
      <c r="N1954" s="235" t="s">
        <v>128</v>
      </c>
      <c r="O1954" s="235" t="s">
        <v>2710</v>
      </c>
      <c r="P1954" s="238">
        <v>1.0</v>
      </c>
      <c r="Q1954" s="235" t="s">
        <v>627</v>
      </c>
      <c r="R1954" s="238">
        <v>270.48</v>
      </c>
      <c r="S1954" s="238">
        <v>13.52</v>
      </c>
      <c r="T1954" s="238">
        <v>38.1</v>
      </c>
      <c r="U1954" s="238">
        <v>1.9</v>
      </c>
      <c r="V1954" s="238">
        <v>0.0</v>
      </c>
      <c r="W1954" s="238">
        <v>0.0</v>
      </c>
      <c r="X1954" s="235" t="s">
        <v>628</v>
      </c>
      <c r="Z1954" s="244"/>
      <c r="AA1954" s="244"/>
      <c r="AB1954" s="244"/>
      <c r="AC1954" s="235" t="s">
        <v>687</v>
      </c>
      <c r="AD1954" s="235" t="s">
        <v>666</v>
      </c>
      <c r="AE1954" s="238">
        <v>600089.0</v>
      </c>
      <c r="AF1954" s="235" t="s">
        <v>631</v>
      </c>
      <c r="AG1954" s="244"/>
      <c r="AH1954" s="244"/>
      <c r="AI1954" s="245"/>
      <c r="AJ1954" s="245"/>
      <c r="AK1954" s="245"/>
      <c r="AL1954" s="245"/>
      <c r="AM1954" s="244"/>
      <c r="AN1954" s="244"/>
      <c r="AO1954" s="238">
        <v>0.0</v>
      </c>
      <c r="AP1954" s="238">
        <v>-38.1</v>
      </c>
      <c r="AQ1954" s="235" t="s">
        <v>632</v>
      </c>
      <c r="AR1954" s="243">
        <v>3.71E11</v>
      </c>
      <c r="AS1954" s="235" t="s">
        <v>13822</v>
      </c>
      <c r="AT1954" s="235" t="s">
        <v>156</v>
      </c>
      <c r="AU1954" s="235" t="s">
        <v>634</v>
      </c>
      <c r="AV1954" s="246" t="s">
        <v>635</v>
      </c>
      <c r="AW1954" s="242"/>
      <c r="AX1954" s="242"/>
      <c r="AY1954" s="231"/>
      <c r="AZ1954" s="231"/>
      <c r="BA1954" s="227"/>
      <c r="BB1954" s="231"/>
      <c r="BC1954" s="227"/>
      <c r="BD1954" s="227"/>
      <c r="BE1954" s="227"/>
      <c r="BF1954" s="227"/>
    </row>
    <row r="1955">
      <c r="A1955" s="235" t="s">
        <v>15253</v>
      </c>
      <c r="C1955" s="235" t="s">
        <v>15254</v>
      </c>
      <c r="D1955" s="235" t="s">
        <v>15255</v>
      </c>
      <c r="E1955" s="243">
        <v>6.54E13</v>
      </c>
      <c r="F1955" s="245"/>
      <c r="G1955" s="235" t="s">
        <v>15256</v>
      </c>
      <c r="H1955" s="235" t="s">
        <v>15257</v>
      </c>
      <c r="I1955" s="235" t="s">
        <v>15257</v>
      </c>
      <c r="J1955" s="235" t="s">
        <v>15258</v>
      </c>
      <c r="K1955" s="235" t="s">
        <v>15259</v>
      </c>
      <c r="N1955" s="235" t="s">
        <v>153</v>
      </c>
      <c r="O1955" s="235" t="s">
        <v>390</v>
      </c>
      <c r="P1955" s="238">
        <v>1.0</v>
      </c>
      <c r="Q1955" s="235" t="s">
        <v>627</v>
      </c>
      <c r="R1955" s="238">
        <v>490.68</v>
      </c>
      <c r="S1955" s="238">
        <v>88.32</v>
      </c>
      <c r="T1955" s="238">
        <v>0.0</v>
      </c>
      <c r="U1955" s="238">
        <v>0.0</v>
      </c>
      <c r="V1955" s="238">
        <v>0.0</v>
      </c>
      <c r="W1955" s="238">
        <v>0.0</v>
      </c>
      <c r="X1955" s="235" t="s">
        <v>628</v>
      </c>
      <c r="Z1955" s="244"/>
      <c r="AA1955" s="244"/>
      <c r="AB1955" s="244"/>
      <c r="AC1955" s="235" t="s">
        <v>3374</v>
      </c>
      <c r="AD1955" s="235" t="s">
        <v>645</v>
      </c>
      <c r="AE1955" s="238">
        <v>695017.0</v>
      </c>
      <c r="AF1955" s="235" t="s">
        <v>631</v>
      </c>
      <c r="AG1955" s="244"/>
      <c r="AH1955" s="244"/>
      <c r="AI1955" s="245"/>
      <c r="AJ1955" s="245"/>
      <c r="AK1955" s="245"/>
      <c r="AL1955" s="245"/>
      <c r="AM1955" s="244"/>
      <c r="AN1955" s="244"/>
      <c r="AO1955" s="238">
        <v>0.0</v>
      </c>
      <c r="AP1955" s="238">
        <v>0.0</v>
      </c>
      <c r="AQ1955" s="235" t="s">
        <v>632</v>
      </c>
      <c r="AR1955" s="243">
        <v>3.71E11</v>
      </c>
      <c r="AS1955" s="235" t="s">
        <v>13822</v>
      </c>
      <c r="AT1955" s="235" t="s">
        <v>155</v>
      </c>
      <c r="AU1955" s="235" t="s">
        <v>634</v>
      </c>
      <c r="AV1955" s="246" t="s">
        <v>635</v>
      </c>
      <c r="AW1955" s="242"/>
      <c r="AX1955" s="242"/>
      <c r="AY1955" s="231"/>
      <c r="AZ1955" s="231"/>
      <c r="BA1955" s="227"/>
      <c r="BB1955" s="231"/>
      <c r="BC1955" s="227"/>
      <c r="BD1955" s="227"/>
      <c r="BE1955" s="227"/>
      <c r="BF1955" s="227"/>
    </row>
    <row r="1956">
      <c r="A1956" s="235" t="s">
        <v>15260</v>
      </c>
      <c r="C1956" s="235" t="s">
        <v>15261</v>
      </c>
      <c r="D1956" s="235" t="s">
        <v>15262</v>
      </c>
      <c r="E1956" s="243">
        <v>6.54E13</v>
      </c>
      <c r="F1956" s="245"/>
      <c r="G1956" s="235" t="s">
        <v>15263</v>
      </c>
      <c r="H1956" s="235" t="s">
        <v>14999</v>
      </c>
      <c r="I1956" s="235" t="s">
        <v>15264</v>
      </c>
      <c r="J1956" s="235" t="s">
        <v>15265</v>
      </c>
      <c r="K1956" s="235" t="s">
        <v>15266</v>
      </c>
      <c r="N1956" s="235" t="s">
        <v>1346</v>
      </c>
      <c r="O1956" s="235" t="s">
        <v>1347</v>
      </c>
      <c r="P1956" s="238">
        <v>1.0</v>
      </c>
      <c r="Q1956" s="235" t="s">
        <v>627</v>
      </c>
      <c r="R1956" s="238">
        <v>256.2</v>
      </c>
      <c r="S1956" s="238">
        <v>12.8</v>
      </c>
      <c r="T1956" s="238">
        <v>0.0</v>
      </c>
      <c r="U1956" s="238">
        <v>0.0</v>
      </c>
      <c r="V1956" s="238">
        <v>0.0</v>
      </c>
      <c r="W1956" s="238">
        <v>0.0</v>
      </c>
      <c r="X1956" s="235" t="s">
        <v>628</v>
      </c>
      <c r="Z1956" s="244"/>
      <c r="AA1956" s="244"/>
      <c r="AB1956" s="244"/>
      <c r="AC1956" s="235" t="s">
        <v>1456</v>
      </c>
      <c r="AD1956" s="235" t="s">
        <v>928</v>
      </c>
      <c r="AE1956" s="238">
        <v>122002.0</v>
      </c>
      <c r="AF1956" s="235" t="s">
        <v>631</v>
      </c>
      <c r="AG1956" s="244"/>
      <c r="AH1956" s="244"/>
      <c r="AI1956" s="245"/>
      <c r="AJ1956" s="245"/>
      <c r="AK1956" s="245"/>
      <c r="AL1956" s="245"/>
      <c r="AM1956" s="244"/>
      <c r="AN1956" s="244"/>
      <c r="AO1956" s="238">
        <v>0.0</v>
      </c>
      <c r="AP1956" s="238">
        <v>0.0</v>
      </c>
      <c r="AQ1956" s="235" t="s">
        <v>632</v>
      </c>
      <c r="AR1956" s="243">
        <v>1.68E11</v>
      </c>
      <c r="AS1956" s="235" t="s">
        <v>15064</v>
      </c>
      <c r="AT1956" s="235" t="s">
        <v>13</v>
      </c>
      <c r="AU1956" s="235" t="s">
        <v>634</v>
      </c>
      <c r="AV1956" s="246" t="s">
        <v>635</v>
      </c>
      <c r="AW1956" s="242"/>
      <c r="AX1956" s="242"/>
      <c r="AY1956" s="231"/>
      <c r="AZ1956" s="231"/>
      <c r="BA1956" s="227"/>
      <c r="BB1956" s="231"/>
      <c r="BC1956" s="227"/>
      <c r="BD1956" s="227"/>
      <c r="BE1956" s="227"/>
      <c r="BF1956" s="227"/>
    </row>
    <row r="1957">
      <c r="A1957" s="235" t="s">
        <v>15267</v>
      </c>
      <c r="C1957" s="235" t="s">
        <v>15268</v>
      </c>
      <c r="D1957" s="235" t="s">
        <v>15269</v>
      </c>
      <c r="E1957" s="243">
        <v>6.54E13</v>
      </c>
      <c r="F1957" s="245"/>
      <c r="G1957" s="235" t="s">
        <v>15270</v>
      </c>
      <c r="H1957" s="235" t="s">
        <v>15271</v>
      </c>
      <c r="I1957" s="235" t="s">
        <v>15271</v>
      </c>
      <c r="J1957" s="235" t="s">
        <v>15272</v>
      </c>
      <c r="K1957" s="235" t="s">
        <v>15273</v>
      </c>
      <c r="N1957" s="235" t="s">
        <v>131</v>
      </c>
      <c r="O1957" s="235" t="s">
        <v>2148</v>
      </c>
      <c r="P1957" s="238">
        <v>1.0</v>
      </c>
      <c r="Q1957" s="235" t="s">
        <v>627</v>
      </c>
      <c r="R1957" s="238">
        <v>246.67</v>
      </c>
      <c r="S1957" s="238">
        <v>12.08</v>
      </c>
      <c r="T1957" s="238">
        <v>0.0</v>
      </c>
      <c r="U1957" s="238">
        <v>0.0</v>
      </c>
      <c r="V1957" s="238">
        <v>0.0</v>
      </c>
      <c r="W1957" s="238">
        <v>0.0</v>
      </c>
      <c r="X1957" s="235" t="s">
        <v>628</v>
      </c>
      <c r="Z1957" s="244"/>
      <c r="AA1957" s="244"/>
      <c r="AB1957" s="244"/>
      <c r="AC1957" s="235" t="s">
        <v>15274</v>
      </c>
      <c r="AD1957" s="235" t="s">
        <v>1151</v>
      </c>
      <c r="AE1957" s="238">
        <v>721455.0</v>
      </c>
      <c r="AF1957" s="235" t="s">
        <v>631</v>
      </c>
      <c r="AG1957" s="244"/>
      <c r="AH1957" s="244"/>
      <c r="AI1957" s="245"/>
      <c r="AJ1957" s="245"/>
      <c r="AK1957" s="245"/>
      <c r="AL1957" s="245"/>
      <c r="AM1957" s="244"/>
      <c r="AN1957" s="244"/>
      <c r="AO1957" s="238">
        <v>-4.93</v>
      </c>
      <c r="AP1957" s="238">
        <v>0.0</v>
      </c>
      <c r="AQ1957" s="235" t="s">
        <v>632</v>
      </c>
      <c r="AR1957" s="243">
        <v>3.71E11</v>
      </c>
      <c r="AS1957" s="235" t="s">
        <v>8807</v>
      </c>
      <c r="AT1957" s="235" t="s">
        <v>13</v>
      </c>
      <c r="AU1957" s="235" t="s">
        <v>634</v>
      </c>
      <c r="AV1957" s="246" t="s">
        <v>635</v>
      </c>
      <c r="AW1957" s="242"/>
      <c r="AX1957" s="242"/>
      <c r="AY1957" s="231"/>
      <c r="AZ1957" s="231"/>
      <c r="BA1957" s="227"/>
      <c r="BB1957" s="231"/>
      <c r="BC1957" s="227"/>
      <c r="BD1957" s="227"/>
      <c r="BE1957" s="227"/>
      <c r="BF1957" s="227"/>
    </row>
    <row r="1958">
      <c r="A1958" s="235" t="s">
        <v>15275</v>
      </c>
      <c r="C1958" s="235" t="s">
        <v>15276</v>
      </c>
      <c r="D1958" s="235" t="s">
        <v>15277</v>
      </c>
      <c r="E1958" s="243">
        <v>6.54E13</v>
      </c>
      <c r="F1958" s="245"/>
      <c r="G1958" s="235" t="s">
        <v>15278</v>
      </c>
      <c r="H1958" s="235" t="s">
        <v>15279</v>
      </c>
      <c r="I1958" s="235" t="s">
        <v>15279</v>
      </c>
      <c r="J1958" s="235" t="s">
        <v>15280</v>
      </c>
      <c r="K1958" s="235" t="s">
        <v>15281</v>
      </c>
      <c r="N1958" s="235" t="s">
        <v>90</v>
      </c>
      <c r="O1958" s="235" t="s">
        <v>279</v>
      </c>
      <c r="P1958" s="238">
        <v>1.0</v>
      </c>
      <c r="Q1958" s="235" t="s">
        <v>627</v>
      </c>
      <c r="R1958" s="238">
        <v>246.66</v>
      </c>
      <c r="S1958" s="238">
        <v>12.1</v>
      </c>
      <c r="T1958" s="238">
        <v>0.0</v>
      </c>
      <c r="U1958" s="238">
        <v>0.0</v>
      </c>
      <c r="V1958" s="238">
        <v>0.0</v>
      </c>
      <c r="W1958" s="238">
        <v>0.0</v>
      </c>
      <c r="X1958" s="235" t="s">
        <v>628</v>
      </c>
      <c r="Z1958" s="244"/>
      <c r="AA1958" s="244"/>
      <c r="AB1958" s="244"/>
      <c r="AC1958" s="235" t="s">
        <v>757</v>
      </c>
      <c r="AD1958" s="235" t="s">
        <v>666</v>
      </c>
      <c r="AE1958" s="238">
        <v>625014.0</v>
      </c>
      <c r="AF1958" s="235" t="s">
        <v>631</v>
      </c>
      <c r="AG1958" s="244"/>
      <c r="AH1958" s="244"/>
      <c r="AI1958" s="245"/>
      <c r="AJ1958" s="245"/>
      <c r="AK1958" s="245"/>
      <c r="AL1958" s="245"/>
      <c r="AM1958" s="244"/>
      <c r="AN1958" s="244"/>
      <c r="AO1958" s="238">
        <v>-4.94</v>
      </c>
      <c r="AP1958" s="238">
        <v>0.0</v>
      </c>
      <c r="AQ1958" s="235" t="s">
        <v>632</v>
      </c>
      <c r="AR1958" s="243">
        <v>3.71E11</v>
      </c>
      <c r="AS1958" s="235" t="s">
        <v>13822</v>
      </c>
      <c r="AT1958" s="235" t="s">
        <v>155</v>
      </c>
      <c r="AU1958" s="235" t="s">
        <v>634</v>
      </c>
      <c r="AV1958" s="246" t="s">
        <v>635</v>
      </c>
      <c r="AW1958" s="242"/>
      <c r="AX1958" s="242"/>
      <c r="AY1958" s="231"/>
      <c r="AZ1958" s="231"/>
      <c r="BA1958" s="227"/>
      <c r="BB1958" s="231"/>
      <c r="BC1958" s="227"/>
      <c r="BD1958" s="227"/>
      <c r="BE1958" s="227"/>
      <c r="BF1958" s="227"/>
    </row>
    <row r="1959">
      <c r="A1959" s="235" t="s">
        <v>15282</v>
      </c>
      <c r="C1959" s="235" t="s">
        <v>15283</v>
      </c>
      <c r="D1959" s="235" t="s">
        <v>15284</v>
      </c>
      <c r="E1959" s="243">
        <v>6.54E13</v>
      </c>
      <c r="F1959" s="245"/>
      <c r="G1959" s="235" t="s">
        <v>15285</v>
      </c>
      <c r="H1959" s="235" t="s">
        <v>15286</v>
      </c>
      <c r="I1959" s="235" t="s">
        <v>15286</v>
      </c>
      <c r="J1959" s="235" t="s">
        <v>15287</v>
      </c>
      <c r="K1959" s="235" t="s">
        <v>15288</v>
      </c>
      <c r="N1959" s="235" t="s">
        <v>117</v>
      </c>
      <c r="O1959" s="235" t="s">
        <v>334</v>
      </c>
      <c r="P1959" s="238">
        <v>1.0</v>
      </c>
      <c r="Q1959" s="235" t="s">
        <v>627</v>
      </c>
      <c r="R1959" s="238">
        <v>237.14</v>
      </c>
      <c r="S1959" s="238">
        <v>11.86</v>
      </c>
      <c r="T1959" s="238">
        <v>56.19</v>
      </c>
      <c r="U1959" s="238">
        <v>2.81</v>
      </c>
      <c r="V1959" s="238">
        <v>0.0</v>
      </c>
      <c r="W1959" s="238">
        <v>0.0</v>
      </c>
      <c r="X1959" s="235" t="s">
        <v>628</v>
      </c>
      <c r="Z1959" s="244"/>
      <c r="AA1959" s="244"/>
      <c r="AB1959" s="244"/>
      <c r="AC1959" s="235" t="s">
        <v>687</v>
      </c>
      <c r="AD1959" s="235" t="s">
        <v>666</v>
      </c>
      <c r="AE1959" s="238">
        <v>600004.0</v>
      </c>
      <c r="AF1959" s="235" t="s">
        <v>631</v>
      </c>
      <c r="AG1959" s="244"/>
      <c r="AH1959" s="244"/>
      <c r="AI1959" s="245"/>
      <c r="AJ1959" s="245"/>
      <c r="AK1959" s="245"/>
      <c r="AL1959" s="245"/>
      <c r="AM1959" s="244"/>
      <c r="AN1959" s="244"/>
      <c r="AO1959" s="238">
        <v>0.0</v>
      </c>
      <c r="AP1959" s="238">
        <v>0.0</v>
      </c>
      <c r="AQ1959" s="235" t="s">
        <v>632</v>
      </c>
      <c r="AR1959" s="243">
        <v>1.68E11</v>
      </c>
      <c r="AS1959" s="235" t="s">
        <v>13822</v>
      </c>
      <c r="AT1959" s="235" t="s">
        <v>11</v>
      </c>
      <c r="AU1959" s="235" t="s">
        <v>634</v>
      </c>
      <c r="AV1959" s="246" t="s">
        <v>635</v>
      </c>
      <c r="AW1959" s="242"/>
      <c r="AX1959" s="242"/>
      <c r="AY1959" s="231"/>
      <c r="AZ1959" s="231"/>
      <c r="BA1959" s="227"/>
      <c r="BB1959" s="231"/>
      <c r="BC1959" s="227"/>
      <c r="BD1959" s="227"/>
      <c r="BE1959" s="227"/>
      <c r="BF1959" s="227"/>
    </row>
    <row r="1960">
      <c r="A1960" s="235" t="s">
        <v>14853</v>
      </c>
      <c r="C1960" s="235" t="s">
        <v>15289</v>
      </c>
      <c r="D1960" s="235" t="s">
        <v>15290</v>
      </c>
      <c r="E1960" s="243">
        <v>6.54E13</v>
      </c>
      <c r="F1960" s="245"/>
      <c r="G1960" s="235" t="s">
        <v>14856</v>
      </c>
      <c r="H1960" s="235" t="s">
        <v>15291</v>
      </c>
      <c r="I1960" s="235" t="s">
        <v>15291</v>
      </c>
      <c r="J1960" s="235" t="s">
        <v>15292</v>
      </c>
      <c r="K1960" s="235" t="s">
        <v>14859</v>
      </c>
      <c r="N1960" s="235" t="s">
        <v>717</v>
      </c>
      <c r="O1960" s="235" t="s">
        <v>718</v>
      </c>
      <c r="P1960" s="238">
        <v>1.0</v>
      </c>
      <c r="Q1960" s="235" t="s">
        <v>627</v>
      </c>
      <c r="R1960" s="238">
        <v>456.19</v>
      </c>
      <c r="S1960" s="238">
        <v>22.13</v>
      </c>
      <c r="T1960" s="238">
        <v>0.0</v>
      </c>
      <c r="U1960" s="238">
        <v>0.0</v>
      </c>
      <c r="V1960" s="238">
        <v>0.0</v>
      </c>
      <c r="W1960" s="238">
        <v>0.0</v>
      </c>
      <c r="X1960" s="235" t="s">
        <v>628</v>
      </c>
      <c r="Z1960" s="244"/>
      <c r="AA1960" s="244"/>
      <c r="AB1960" s="244"/>
      <c r="AC1960" s="235" t="s">
        <v>14860</v>
      </c>
      <c r="AD1960" s="235" t="s">
        <v>731</v>
      </c>
      <c r="AE1960" s="238">
        <v>781104.0</v>
      </c>
      <c r="AF1960" s="235" t="s">
        <v>631</v>
      </c>
      <c r="AG1960" s="244"/>
      <c r="AH1960" s="244"/>
      <c r="AI1960" s="245"/>
      <c r="AJ1960" s="245"/>
      <c r="AK1960" s="245"/>
      <c r="AL1960" s="245"/>
      <c r="AM1960" s="244"/>
      <c r="AN1960" s="244"/>
      <c r="AO1960" s="238">
        <v>-13.69</v>
      </c>
      <c r="AP1960" s="238">
        <v>0.0</v>
      </c>
      <c r="AQ1960" s="235" t="s">
        <v>632</v>
      </c>
      <c r="AR1960" s="243">
        <v>3.71E11</v>
      </c>
      <c r="AS1960" s="235" t="s">
        <v>8807</v>
      </c>
      <c r="AT1960" s="235" t="s">
        <v>533</v>
      </c>
      <c r="AU1960" s="235" t="s">
        <v>634</v>
      </c>
      <c r="AV1960" s="246" t="s">
        <v>635</v>
      </c>
      <c r="AW1960" s="242"/>
      <c r="AX1960" s="242"/>
      <c r="AY1960" s="231"/>
      <c r="AZ1960" s="231"/>
      <c r="BA1960" s="227"/>
      <c r="BB1960" s="231"/>
      <c r="BC1960" s="227"/>
      <c r="BD1960" s="227"/>
      <c r="BE1960" s="227"/>
      <c r="BF1960" s="227"/>
    </row>
    <row r="1961">
      <c r="A1961" s="235" t="s">
        <v>15293</v>
      </c>
      <c r="C1961" s="235" t="s">
        <v>15294</v>
      </c>
      <c r="D1961" s="235" t="s">
        <v>15295</v>
      </c>
      <c r="E1961" s="243">
        <v>6.54E13</v>
      </c>
      <c r="F1961" s="245"/>
      <c r="G1961" s="235" t="s">
        <v>15296</v>
      </c>
      <c r="H1961" s="235" t="s">
        <v>15297</v>
      </c>
      <c r="I1961" s="235" t="s">
        <v>15297</v>
      </c>
      <c r="J1961" s="235" t="s">
        <v>15298</v>
      </c>
      <c r="K1961" s="235" t="s">
        <v>15299</v>
      </c>
      <c r="N1961" s="235" t="s">
        <v>82</v>
      </c>
      <c r="O1961" s="235" t="s">
        <v>889</v>
      </c>
      <c r="P1961" s="238">
        <v>1.0</v>
      </c>
      <c r="Q1961" s="235" t="s">
        <v>627</v>
      </c>
      <c r="R1961" s="238">
        <v>246.67</v>
      </c>
      <c r="S1961" s="238">
        <v>12.33</v>
      </c>
      <c r="T1961" s="238">
        <v>0.0</v>
      </c>
      <c r="U1961" s="238">
        <v>0.0</v>
      </c>
      <c r="V1961" s="238">
        <v>0.0</v>
      </c>
      <c r="W1961" s="238">
        <v>0.0</v>
      </c>
      <c r="X1961" s="235" t="s">
        <v>628</v>
      </c>
      <c r="Z1961" s="244"/>
      <c r="AA1961" s="244"/>
      <c r="AB1961" s="244"/>
      <c r="AC1961" s="235" t="s">
        <v>795</v>
      </c>
      <c r="AD1961" s="235" t="s">
        <v>796</v>
      </c>
      <c r="AE1961" s="238">
        <v>110052.0</v>
      </c>
      <c r="AF1961" s="235" t="s">
        <v>631</v>
      </c>
      <c r="AG1961" s="244"/>
      <c r="AH1961" s="244"/>
      <c r="AI1961" s="245"/>
      <c r="AJ1961" s="245"/>
      <c r="AK1961" s="245"/>
      <c r="AL1961" s="245"/>
      <c r="AM1961" s="244"/>
      <c r="AN1961" s="244"/>
      <c r="AO1961" s="238">
        <v>0.0</v>
      </c>
      <c r="AP1961" s="238">
        <v>0.0</v>
      </c>
      <c r="AQ1961" s="235" t="s">
        <v>632</v>
      </c>
      <c r="AR1961" s="243">
        <v>1.68E11</v>
      </c>
      <c r="AS1961" s="235" t="s">
        <v>15064</v>
      </c>
      <c r="AT1961" s="235" t="s">
        <v>13</v>
      </c>
      <c r="AU1961" s="235" t="s">
        <v>634</v>
      </c>
      <c r="AV1961" s="246" t="s">
        <v>635</v>
      </c>
      <c r="AW1961" s="242"/>
      <c r="AX1961" s="242"/>
      <c r="AY1961" s="231"/>
      <c r="AZ1961" s="231"/>
      <c r="BA1961" s="227"/>
      <c r="BB1961" s="231"/>
      <c r="BC1961" s="227"/>
      <c r="BD1961" s="227"/>
      <c r="BE1961" s="227"/>
      <c r="BF1961" s="227"/>
    </row>
    <row r="1962">
      <c r="A1962" s="235" t="s">
        <v>15300</v>
      </c>
      <c r="C1962" s="235" t="s">
        <v>15301</v>
      </c>
      <c r="D1962" s="235" t="s">
        <v>15302</v>
      </c>
      <c r="E1962" s="243">
        <v>6.54E13</v>
      </c>
      <c r="F1962" s="245"/>
      <c r="G1962" s="235" t="s">
        <v>15303</v>
      </c>
      <c r="H1962" s="235" t="s">
        <v>15304</v>
      </c>
      <c r="I1962" s="235" t="s">
        <v>15304</v>
      </c>
      <c r="J1962" s="235" t="s">
        <v>15305</v>
      </c>
      <c r="K1962" s="235" t="s">
        <v>15306</v>
      </c>
      <c r="N1962" s="235" t="s">
        <v>90</v>
      </c>
      <c r="O1962" s="235" t="s">
        <v>279</v>
      </c>
      <c r="P1962" s="238">
        <v>1.0</v>
      </c>
      <c r="Q1962" s="235" t="s">
        <v>627</v>
      </c>
      <c r="R1962" s="238">
        <v>246.67</v>
      </c>
      <c r="S1962" s="238">
        <v>12.33</v>
      </c>
      <c r="T1962" s="238">
        <v>38.1</v>
      </c>
      <c r="U1962" s="238">
        <v>1.9</v>
      </c>
      <c r="V1962" s="238">
        <v>0.0</v>
      </c>
      <c r="W1962" s="238">
        <v>0.0</v>
      </c>
      <c r="X1962" s="235" t="s">
        <v>628</v>
      </c>
      <c r="Z1962" s="244"/>
      <c r="AA1962" s="244"/>
      <c r="AB1962" s="244"/>
      <c r="AC1962" s="235" t="s">
        <v>15307</v>
      </c>
      <c r="AD1962" s="235" t="s">
        <v>917</v>
      </c>
      <c r="AE1962" s="238">
        <v>326033.0</v>
      </c>
      <c r="AF1962" s="235" t="s">
        <v>631</v>
      </c>
      <c r="AG1962" s="244"/>
      <c r="AH1962" s="244"/>
      <c r="AI1962" s="245"/>
      <c r="AJ1962" s="245"/>
      <c r="AK1962" s="245"/>
      <c r="AL1962" s="245"/>
      <c r="AM1962" s="244"/>
      <c r="AN1962" s="244"/>
      <c r="AO1962" s="238">
        <v>0.0</v>
      </c>
      <c r="AP1962" s="238">
        <v>-38.1</v>
      </c>
      <c r="AQ1962" s="235" t="s">
        <v>1328</v>
      </c>
      <c r="AR1962" s="243">
        <v>1.34E13</v>
      </c>
      <c r="AS1962" s="235" t="s">
        <v>8807</v>
      </c>
      <c r="AT1962" s="235" t="s">
        <v>14</v>
      </c>
      <c r="AU1962" s="235" t="s">
        <v>634</v>
      </c>
      <c r="AV1962" s="246" t="s">
        <v>635</v>
      </c>
      <c r="AW1962" s="242"/>
      <c r="AX1962" s="242"/>
      <c r="AY1962" s="231"/>
      <c r="AZ1962" s="231"/>
      <c r="BA1962" s="227"/>
      <c r="BB1962" s="231"/>
      <c r="BC1962" s="227"/>
      <c r="BD1962" s="227"/>
      <c r="BE1962" s="227"/>
      <c r="BF1962" s="227"/>
    </row>
    <row r="1963">
      <c r="A1963" s="235" t="s">
        <v>15308</v>
      </c>
      <c r="C1963" s="235" t="s">
        <v>15309</v>
      </c>
      <c r="D1963" s="235" t="s">
        <v>15310</v>
      </c>
      <c r="E1963" s="243">
        <v>6.54E13</v>
      </c>
      <c r="F1963" s="245"/>
      <c r="G1963" s="235" t="s">
        <v>15311</v>
      </c>
      <c r="H1963" s="235" t="s">
        <v>15312</v>
      </c>
      <c r="I1963" s="235" t="s">
        <v>15312</v>
      </c>
      <c r="J1963" s="235" t="s">
        <v>15313</v>
      </c>
      <c r="K1963" s="235" t="s">
        <v>15314</v>
      </c>
      <c r="N1963" s="235" t="s">
        <v>138</v>
      </c>
      <c r="O1963" s="235" t="s">
        <v>675</v>
      </c>
      <c r="P1963" s="238">
        <v>1.0</v>
      </c>
      <c r="Q1963" s="235" t="s">
        <v>627</v>
      </c>
      <c r="R1963" s="238">
        <v>246.66</v>
      </c>
      <c r="S1963" s="238">
        <v>12.34</v>
      </c>
      <c r="T1963" s="238">
        <v>38.1</v>
      </c>
      <c r="U1963" s="238">
        <v>1.9</v>
      </c>
      <c r="V1963" s="238">
        <v>0.0</v>
      </c>
      <c r="W1963" s="238">
        <v>0.0</v>
      </c>
      <c r="X1963" s="235" t="s">
        <v>628</v>
      </c>
      <c r="Z1963" s="244"/>
      <c r="AA1963" s="244"/>
      <c r="AB1963" s="244"/>
      <c r="AC1963" s="235" t="s">
        <v>687</v>
      </c>
      <c r="AD1963" s="235" t="s">
        <v>666</v>
      </c>
      <c r="AE1963" s="238">
        <v>600095.0</v>
      </c>
      <c r="AF1963" s="235" t="s">
        <v>631</v>
      </c>
      <c r="AG1963" s="244"/>
      <c r="AH1963" s="244"/>
      <c r="AI1963" s="245"/>
      <c r="AJ1963" s="245"/>
      <c r="AK1963" s="245"/>
      <c r="AL1963" s="245"/>
      <c r="AM1963" s="244"/>
      <c r="AN1963" s="244"/>
      <c r="AO1963" s="238">
        <v>0.0</v>
      </c>
      <c r="AP1963" s="238">
        <v>0.0</v>
      </c>
      <c r="AQ1963" s="235" t="s">
        <v>632</v>
      </c>
      <c r="AR1963" s="243">
        <v>3.71E11</v>
      </c>
      <c r="AS1963" s="235" t="s">
        <v>13822</v>
      </c>
      <c r="AT1963" s="235" t="s">
        <v>156</v>
      </c>
      <c r="AU1963" s="235" t="s">
        <v>634</v>
      </c>
      <c r="AV1963" s="246" t="s">
        <v>635</v>
      </c>
      <c r="AW1963" s="242"/>
      <c r="AX1963" s="242"/>
      <c r="AY1963" s="231"/>
      <c r="AZ1963" s="231"/>
      <c r="BA1963" s="227"/>
      <c r="BB1963" s="231"/>
      <c r="BC1963" s="227"/>
      <c r="BD1963" s="227"/>
      <c r="BE1963" s="227"/>
      <c r="BF1963" s="227"/>
    </row>
    <row r="1964">
      <c r="A1964" s="235" t="s">
        <v>15315</v>
      </c>
      <c r="C1964" s="235" t="s">
        <v>15316</v>
      </c>
      <c r="D1964" s="235" t="s">
        <v>15317</v>
      </c>
      <c r="E1964" s="243">
        <v>6.54E13</v>
      </c>
      <c r="F1964" s="245"/>
      <c r="G1964" s="235" t="s">
        <v>15318</v>
      </c>
      <c r="H1964" s="235" t="s">
        <v>15319</v>
      </c>
      <c r="I1964" s="235" t="s">
        <v>15319</v>
      </c>
      <c r="J1964" s="235" t="s">
        <v>15320</v>
      </c>
      <c r="K1964" s="235" t="s">
        <v>15321</v>
      </c>
      <c r="N1964" s="235" t="s">
        <v>39</v>
      </c>
      <c r="O1964" s="235" t="s">
        <v>291</v>
      </c>
      <c r="P1964" s="238">
        <v>1.0</v>
      </c>
      <c r="Q1964" s="235" t="s">
        <v>627</v>
      </c>
      <c r="R1964" s="238">
        <v>270.48</v>
      </c>
      <c r="S1964" s="238">
        <v>13.52</v>
      </c>
      <c r="T1964" s="238">
        <v>0.0</v>
      </c>
      <c r="U1964" s="238">
        <v>0.0</v>
      </c>
      <c r="V1964" s="238">
        <v>0.0</v>
      </c>
      <c r="W1964" s="238">
        <v>0.0</v>
      </c>
      <c r="X1964" s="235" t="s">
        <v>628</v>
      </c>
      <c r="Z1964" s="244"/>
      <c r="AA1964" s="244"/>
      <c r="AB1964" s="244"/>
      <c r="AC1964" s="235" t="s">
        <v>678</v>
      </c>
      <c r="AD1964" s="235" t="s">
        <v>679</v>
      </c>
      <c r="AE1964" s="238">
        <v>560084.0</v>
      </c>
      <c r="AF1964" s="235" t="s">
        <v>631</v>
      </c>
      <c r="AG1964" s="244"/>
      <c r="AH1964" s="244"/>
      <c r="AI1964" s="245"/>
      <c r="AJ1964" s="245"/>
      <c r="AK1964" s="245"/>
      <c r="AL1964" s="245"/>
      <c r="AM1964" s="244"/>
      <c r="AN1964" s="244"/>
      <c r="AO1964" s="238">
        <v>0.0</v>
      </c>
      <c r="AP1964" s="238">
        <v>0.0</v>
      </c>
      <c r="AQ1964" s="235" t="s">
        <v>632</v>
      </c>
      <c r="AR1964" s="243">
        <v>1.68E11</v>
      </c>
      <c r="AS1964" s="235" t="s">
        <v>15064</v>
      </c>
      <c r="AT1964" s="235" t="s">
        <v>11</v>
      </c>
      <c r="AU1964" s="235" t="s">
        <v>634</v>
      </c>
      <c r="AV1964" s="246" t="s">
        <v>635</v>
      </c>
      <c r="AW1964" s="242"/>
      <c r="AX1964" s="242"/>
      <c r="AY1964" s="231"/>
      <c r="AZ1964" s="231"/>
      <c r="BA1964" s="227"/>
      <c r="BB1964" s="231"/>
      <c r="BC1964" s="227"/>
      <c r="BD1964" s="227"/>
      <c r="BE1964" s="227"/>
      <c r="BF1964" s="227"/>
    </row>
    <row r="1965">
      <c r="A1965" s="235" t="s">
        <v>15322</v>
      </c>
      <c r="C1965" s="235" t="s">
        <v>15323</v>
      </c>
      <c r="D1965" s="235" t="s">
        <v>15324</v>
      </c>
      <c r="E1965" s="243">
        <v>6.53E13</v>
      </c>
      <c r="F1965" s="245"/>
      <c r="G1965" s="235" t="s">
        <v>15325</v>
      </c>
      <c r="H1965" s="235" t="s">
        <v>15326</v>
      </c>
      <c r="I1965" s="235" t="s">
        <v>15326</v>
      </c>
      <c r="J1965" s="235" t="s">
        <v>15327</v>
      </c>
      <c r="K1965" s="235" t="s">
        <v>15328</v>
      </c>
      <c r="N1965" s="235" t="s">
        <v>92</v>
      </c>
      <c r="O1965" s="235" t="s">
        <v>248</v>
      </c>
      <c r="P1965" s="238">
        <v>1.0</v>
      </c>
      <c r="Q1965" s="235" t="s">
        <v>627</v>
      </c>
      <c r="R1965" s="238">
        <v>270.48</v>
      </c>
      <c r="S1965" s="238">
        <v>13.52</v>
      </c>
      <c r="T1965" s="238">
        <v>0.0</v>
      </c>
      <c r="U1965" s="238">
        <v>0.0</v>
      </c>
      <c r="V1965" s="238">
        <v>0.0</v>
      </c>
      <c r="W1965" s="238">
        <v>0.0</v>
      </c>
      <c r="X1965" s="235" t="s">
        <v>628</v>
      </c>
      <c r="Z1965" s="244"/>
      <c r="AA1965" s="244"/>
      <c r="AB1965" s="244"/>
      <c r="AC1965" s="235" t="s">
        <v>6182</v>
      </c>
      <c r="AD1965" s="235" t="s">
        <v>845</v>
      </c>
      <c r="AE1965" s="238">
        <v>401303.0</v>
      </c>
      <c r="AF1965" s="235" t="s">
        <v>631</v>
      </c>
      <c r="AG1965" s="244"/>
      <c r="AH1965" s="244"/>
      <c r="AI1965" s="245"/>
      <c r="AJ1965" s="245"/>
      <c r="AK1965" s="245"/>
      <c r="AL1965" s="245"/>
      <c r="AM1965" s="244"/>
      <c r="AN1965" s="244"/>
      <c r="AO1965" s="238">
        <v>0.0</v>
      </c>
      <c r="AP1965" s="238">
        <v>0.0</v>
      </c>
      <c r="AQ1965" s="235" t="s">
        <v>632</v>
      </c>
      <c r="AR1965" s="243">
        <v>3.71E11</v>
      </c>
      <c r="AS1965" s="235" t="s">
        <v>13822</v>
      </c>
      <c r="AT1965" s="235" t="s">
        <v>17</v>
      </c>
      <c r="AU1965" s="235" t="s">
        <v>634</v>
      </c>
      <c r="AV1965" s="246" t="s">
        <v>635</v>
      </c>
      <c r="AW1965" s="242"/>
      <c r="AX1965" s="242"/>
      <c r="AY1965" s="231"/>
      <c r="AZ1965" s="231"/>
      <c r="BA1965" s="227"/>
      <c r="BB1965" s="231"/>
      <c r="BC1965" s="227"/>
      <c r="BD1965" s="227"/>
      <c r="BE1965" s="227"/>
      <c r="BF1965" s="227"/>
    </row>
    <row r="1966">
      <c r="A1966" s="235" t="s">
        <v>15329</v>
      </c>
      <c r="C1966" s="235" t="s">
        <v>15330</v>
      </c>
      <c r="D1966" s="235" t="s">
        <v>15331</v>
      </c>
      <c r="E1966" s="243">
        <v>6.54E13</v>
      </c>
      <c r="F1966" s="245"/>
      <c r="G1966" s="235" t="s">
        <v>15332</v>
      </c>
      <c r="H1966" s="235" t="s">
        <v>15333</v>
      </c>
      <c r="I1966" s="235" t="s">
        <v>15333</v>
      </c>
      <c r="J1966" s="235" t="s">
        <v>15334</v>
      </c>
      <c r="K1966" s="235" t="s">
        <v>15335</v>
      </c>
      <c r="N1966" s="235" t="s">
        <v>42</v>
      </c>
      <c r="O1966" s="235" t="s">
        <v>204</v>
      </c>
      <c r="P1966" s="238">
        <v>1.0</v>
      </c>
      <c r="Q1966" s="235" t="s">
        <v>627</v>
      </c>
      <c r="R1966" s="238">
        <v>237.14</v>
      </c>
      <c r="S1966" s="238">
        <v>11.62</v>
      </c>
      <c r="T1966" s="238">
        <v>0.0</v>
      </c>
      <c r="U1966" s="238">
        <v>0.0</v>
      </c>
      <c r="V1966" s="238">
        <v>0.0</v>
      </c>
      <c r="W1966" s="238">
        <v>0.0</v>
      </c>
      <c r="X1966" s="235" t="s">
        <v>628</v>
      </c>
      <c r="Z1966" s="244"/>
      <c r="AA1966" s="244"/>
      <c r="AB1966" s="244"/>
      <c r="AC1966" s="235" t="s">
        <v>697</v>
      </c>
      <c r="AD1966" s="235" t="s">
        <v>698</v>
      </c>
      <c r="AE1966" s="238">
        <v>500040.0</v>
      </c>
      <c r="AF1966" s="235" t="s">
        <v>631</v>
      </c>
      <c r="AG1966" s="244"/>
      <c r="AH1966" s="244"/>
      <c r="AI1966" s="245"/>
      <c r="AJ1966" s="245"/>
      <c r="AK1966" s="245"/>
      <c r="AL1966" s="245"/>
      <c r="AM1966" s="244"/>
      <c r="AN1966" s="244"/>
      <c r="AO1966" s="238">
        <v>-4.74</v>
      </c>
      <c r="AP1966" s="238">
        <v>0.0</v>
      </c>
      <c r="AQ1966" s="235" t="s">
        <v>632</v>
      </c>
      <c r="AR1966" s="243">
        <v>1.68E11</v>
      </c>
      <c r="AS1966" s="235" t="s">
        <v>13822</v>
      </c>
      <c r="AT1966" s="235" t="s">
        <v>9</v>
      </c>
      <c r="AU1966" s="235" t="s">
        <v>634</v>
      </c>
      <c r="AV1966" s="246" t="s">
        <v>635</v>
      </c>
      <c r="AW1966" s="242"/>
      <c r="AX1966" s="242"/>
      <c r="AY1966" s="231"/>
      <c r="AZ1966" s="231"/>
      <c r="BA1966" s="227"/>
      <c r="BB1966" s="231"/>
      <c r="BC1966" s="227"/>
      <c r="BD1966" s="227"/>
      <c r="BE1966" s="227"/>
      <c r="BF1966" s="227"/>
    </row>
    <row r="1967">
      <c r="A1967" s="235" t="s">
        <v>15336</v>
      </c>
      <c r="C1967" s="235" t="s">
        <v>15337</v>
      </c>
      <c r="D1967" s="235" t="s">
        <v>15338</v>
      </c>
      <c r="E1967" s="243">
        <v>6.54E13</v>
      </c>
      <c r="F1967" s="245"/>
      <c r="G1967" s="235" t="s">
        <v>15339</v>
      </c>
      <c r="H1967" s="235" t="s">
        <v>15340</v>
      </c>
      <c r="I1967" s="235" t="s">
        <v>15341</v>
      </c>
      <c r="J1967" s="235" t="s">
        <v>15342</v>
      </c>
      <c r="K1967" s="235" t="s">
        <v>15343</v>
      </c>
      <c r="N1967" s="235" t="s">
        <v>2163</v>
      </c>
      <c r="O1967" s="235" t="s">
        <v>2164</v>
      </c>
      <c r="P1967" s="238">
        <v>1.0</v>
      </c>
      <c r="Q1967" s="235" t="s">
        <v>627</v>
      </c>
      <c r="R1967" s="238">
        <v>242.86</v>
      </c>
      <c r="S1967" s="238">
        <v>11.9</v>
      </c>
      <c r="T1967" s="238">
        <v>0.0</v>
      </c>
      <c r="U1967" s="238">
        <v>0.0</v>
      </c>
      <c r="V1967" s="238">
        <v>0.0</v>
      </c>
      <c r="W1967" s="238">
        <v>0.0</v>
      </c>
      <c r="X1967" s="235" t="s">
        <v>628</v>
      </c>
      <c r="Z1967" s="244"/>
      <c r="AA1967" s="244"/>
      <c r="AB1967" s="244"/>
      <c r="AC1967" s="235" t="s">
        <v>1475</v>
      </c>
      <c r="AD1967" s="235" t="s">
        <v>796</v>
      </c>
      <c r="AE1967" s="238">
        <v>110044.0</v>
      </c>
      <c r="AF1967" s="235" t="s">
        <v>631</v>
      </c>
      <c r="AG1967" s="244"/>
      <c r="AH1967" s="244"/>
      <c r="AI1967" s="245"/>
      <c r="AJ1967" s="245"/>
      <c r="AK1967" s="245"/>
      <c r="AL1967" s="245"/>
      <c r="AM1967" s="244"/>
      <c r="AN1967" s="244"/>
      <c r="AO1967" s="238">
        <v>-4.86</v>
      </c>
      <c r="AP1967" s="238">
        <v>0.0</v>
      </c>
      <c r="AQ1967" s="235" t="s">
        <v>632</v>
      </c>
      <c r="AR1967" s="243">
        <v>1.68E11</v>
      </c>
      <c r="AS1967" s="235" t="s">
        <v>15064</v>
      </c>
      <c r="AT1967" s="235" t="s">
        <v>13</v>
      </c>
      <c r="AU1967" s="235" t="s">
        <v>634</v>
      </c>
      <c r="AV1967" s="246" t="s">
        <v>635</v>
      </c>
      <c r="AW1967" s="242"/>
      <c r="AX1967" s="242"/>
      <c r="AY1967" s="231"/>
      <c r="AZ1967" s="231"/>
      <c r="BA1967" s="227"/>
      <c r="BB1967" s="231"/>
      <c r="BC1967" s="227"/>
      <c r="BD1967" s="227"/>
      <c r="BE1967" s="227"/>
      <c r="BF1967" s="227"/>
    </row>
    <row r="1968">
      <c r="A1968" s="235" t="s">
        <v>15344</v>
      </c>
      <c r="C1968" s="235" t="s">
        <v>15345</v>
      </c>
      <c r="D1968" s="235" t="s">
        <v>15346</v>
      </c>
      <c r="E1968" s="243">
        <v>6.53E13</v>
      </c>
      <c r="F1968" s="245"/>
      <c r="G1968" s="235" t="s">
        <v>15347</v>
      </c>
      <c r="H1968" s="235" t="s">
        <v>15348</v>
      </c>
      <c r="I1968" s="235" t="s">
        <v>15349</v>
      </c>
      <c r="J1968" s="235" t="s">
        <v>15350</v>
      </c>
      <c r="K1968" s="235" t="s">
        <v>15351</v>
      </c>
      <c r="N1968" s="235" t="s">
        <v>127</v>
      </c>
      <c r="O1968" s="235" t="s">
        <v>794</v>
      </c>
      <c r="P1968" s="238">
        <v>1.0</v>
      </c>
      <c r="Q1968" s="235" t="s">
        <v>627</v>
      </c>
      <c r="R1968" s="238">
        <v>270.48</v>
      </c>
      <c r="S1968" s="238">
        <v>13.52</v>
      </c>
      <c r="T1968" s="238">
        <v>0.0</v>
      </c>
      <c r="U1968" s="238">
        <v>0.0</v>
      </c>
      <c r="V1968" s="238">
        <v>0.0</v>
      </c>
      <c r="W1968" s="238">
        <v>0.0</v>
      </c>
      <c r="X1968" s="235" t="s">
        <v>628</v>
      </c>
      <c r="Z1968" s="244"/>
      <c r="AA1968" s="244"/>
      <c r="AB1968" s="244"/>
      <c r="AC1968" s="235" t="s">
        <v>1058</v>
      </c>
      <c r="AD1968" s="235" t="s">
        <v>845</v>
      </c>
      <c r="AE1968" s="238">
        <v>400072.0</v>
      </c>
      <c r="AF1968" s="235" t="s">
        <v>631</v>
      </c>
      <c r="AG1968" s="244"/>
      <c r="AH1968" s="244"/>
      <c r="AI1968" s="245"/>
      <c r="AJ1968" s="245"/>
      <c r="AK1968" s="245"/>
      <c r="AL1968" s="245"/>
      <c r="AM1968" s="244"/>
      <c r="AN1968" s="244"/>
      <c r="AO1968" s="238">
        <v>0.0</v>
      </c>
      <c r="AP1968" s="238">
        <v>0.0</v>
      </c>
      <c r="AQ1968" s="235" t="s">
        <v>632</v>
      </c>
      <c r="AR1968" s="243">
        <v>3.71E11</v>
      </c>
      <c r="AS1968" s="235" t="s">
        <v>13822</v>
      </c>
      <c r="AT1968" s="235" t="s">
        <v>16</v>
      </c>
      <c r="AU1968" s="235" t="s">
        <v>634</v>
      </c>
      <c r="AV1968" s="246" t="s">
        <v>635</v>
      </c>
      <c r="AW1968" s="242"/>
      <c r="AX1968" s="242"/>
      <c r="AY1968" s="231"/>
      <c r="AZ1968" s="231"/>
      <c r="BA1968" s="227"/>
      <c r="BB1968" s="231"/>
      <c r="BC1968" s="227"/>
      <c r="BD1968" s="227"/>
      <c r="BE1968" s="227"/>
      <c r="BF1968" s="227"/>
    </row>
    <row r="1969">
      <c r="A1969" s="235" t="s">
        <v>15352</v>
      </c>
      <c r="C1969" s="235" t="s">
        <v>15353</v>
      </c>
      <c r="D1969" s="235" t="s">
        <v>15354</v>
      </c>
      <c r="E1969" s="243">
        <v>6.54E13</v>
      </c>
      <c r="F1969" s="245"/>
      <c r="G1969" s="235" t="s">
        <v>15355</v>
      </c>
      <c r="H1969" s="235" t="s">
        <v>15356</v>
      </c>
      <c r="I1969" s="235" t="s">
        <v>15357</v>
      </c>
      <c r="J1969" s="235" t="s">
        <v>15358</v>
      </c>
      <c r="K1969" s="235" t="s">
        <v>15359</v>
      </c>
      <c r="N1969" s="235" t="s">
        <v>111</v>
      </c>
      <c r="O1969" s="235" t="s">
        <v>464</v>
      </c>
      <c r="P1969" s="238">
        <v>1.0</v>
      </c>
      <c r="Q1969" s="235" t="s">
        <v>627</v>
      </c>
      <c r="R1969" s="238">
        <v>246.67</v>
      </c>
      <c r="S1969" s="238">
        <v>12.08</v>
      </c>
      <c r="T1969" s="238">
        <v>0.0</v>
      </c>
      <c r="U1969" s="238">
        <v>0.0</v>
      </c>
      <c r="V1969" s="238">
        <v>0.0</v>
      </c>
      <c r="W1969" s="238">
        <v>0.0</v>
      </c>
      <c r="X1969" s="235" t="s">
        <v>628</v>
      </c>
      <c r="Z1969" s="244"/>
      <c r="AA1969" s="244"/>
      <c r="AB1969" s="244"/>
      <c r="AC1969" s="235" t="s">
        <v>1531</v>
      </c>
      <c r="AD1969" s="235" t="s">
        <v>1151</v>
      </c>
      <c r="AE1969" s="238">
        <v>700053.0</v>
      </c>
      <c r="AF1969" s="235" t="s">
        <v>631</v>
      </c>
      <c r="AG1969" s="244"/>
      <c r="AH1969" s="244"/>
      <c r="AI1969" s="245"/>
      <c r="AJ1969" s="245"/>
      <c r="AK1969" s="245"/>
      <c r="AL1969" s="245"/>
      <c r="AM1969" s="244"/>
      <c r="AN1969" s="244"/>
      <c r="AO1969" s="238">
        <v>-4.93</v>
      </c>
      <c r="AP1969" s="238">
        <v>0.0</v>
      </c>
      <c r="AQ1969" s="235" t="s">
        <v>632</v>
      </c>
      <c r="AR1969" s="243">
        <v>2.02E11</v>
      </c>
      <c r="AS1969" s="235" t="s">
        <v>13822</v>
      </c>
      <c r="AT1969" s="235" t="s">
        <v>14</v>
      </c>
      <c r="AU1969" s="235" t="s">
        <v>634</v>
      </c>
      <c r="AV1969" s="246" t="s">
        <v>635</v>
      </c>
      <c r="AW1969" s="242"/>
      <c r="AX1969" s="242"/>
      <c r="AY1969" s="231"/>
      <c r="AZ1969" s="231"/>
      <c r="BA1969" s="227"/>
      <c r="BB1969" s="231"/>
      <c r="BC1969" s="227"/>
      <c r="BD1969" s="227"/>
      <c r="BE1969" s="227"/>
      <c r="BF1969" s="227"/>
    </row>
    <row r="1970">
      <c r="A1970" s="235" t="s">
        <v>15360</v>
      </c>
      <c r="C1970" s="235" t="s">
        <v>15361</v>
      </c>
      <c r="D1970" s="235" t="s">
        <v>15362</v>
      </c>
      <c r="E1970" s="243">
        <v>6.54E13</v>
      </c>
      <c r="F1970" s="245"/>
      <c r="G1970" s="235" t="s">
        <v>15363</v>
      </c>
      <c r="H1970" s="235" t="s">
        <v>15364</v>
      </c>
      <c r="I1970" s="235" t="s">
        <v>15364</v>
      </c>
      <c r="J1970" s="235" t="s">
        <v>15365</v>
      </c>
      <c r="K1970" s="235" t="s">
        <v>15366</v>
      </c>
      <c r="N1970" s="235" t="s">
        <v>90</v>
      </c>
      <c r="O1970" s="235" t="s">
        <v>279</v>
      </c>
      <c r="P1970" s="238">
        <v>1.0</v>
      </c>
      <c r="Q1970" s="235" t="s">
        <v>627</v>
      </c>
      <c r="R1970" s="238">
        <v>246.66</v>
      </c>
      <c r="S1970" s="238">
        <v>12.34</v>
      </c>
      <c r="T1970" s="238">
        <v>0.0</v>
      </c>
      <c r="U1970" s="238">
        <v>0.0</v>
      </c>
      <c r="V1970" s="238">
        <v>0.0</v>
      </c>
      <c r="W1970" s="238">
        <v>0.0</v>
      </c>
      <c r="X1970" s="235" t="s">
        <v>628</v>
      </c>
      <c r="Z1970" s="244"/>
      <c r="AA1970" s="244"/>
      <c r="AB1970" s="244"/>
      <c r="AC1970" s="235" t="s">
        <v>1058</v>
      </c>
      <c r="AD1970" s="235" t="s">
        <v>845</v>
      </c>
      <c r="AE1970" s="238">
        <v>400057.0</v>
      </c>
      <c r="AF1970" s="235" t="s">
        <v>631</v>
      </c>
      <c r="AG1970" s="244"/>
      <c r="AH1970" s="244"/>
      <c r="AI1970" s="245"/>
      <c r="AJ1970" s="245"/>
      <c r="AK1970" s="245"/>
      <c r="AL1970" s="245"/>
      <c r="AM1970" s="244"/>
      <c r="AN1970" s="244"/>
      <c r="AO1970" s="238">
        <v>0.0</v>
      </c>
      <c r="AP1970" s="238">
        <v>0.0</v>
      </c>
      <c r="AQ1970" s="235" t="s">
        <v>632</v>
      </c>
      <c r="AR1970" s="243">
        <v>3.71E11</v>
      </c>
      <c r="AS1970" s="235" t="s">
        <v>13822</v>
      </c>
      <c r="AT1970" s="235" t="s">
        <v>16</v>
      </c>
      <c r="AU1970" s="235" t="s">
        <v>634</v>
      </c>
      <c r="AV1970" s="246" t="s">
        <v>635</v>
      </c>
      <c r="AW1970" s="242"/>
      <c r="AX1970" s="242"/>
      <c r="AY1970" s="231"/>
      <c r="AZ1970" s="231"/>
      <c r="BA1970" s="227"/>
      <c r="BB1970" s="231"/>
      <c r="BC1970" s="227"/>
      <c r="BD1970" s="227"/>
      <c r="BE1970" s="227"/>
      <c r="BF1970" s="227"/>
    </row>
    <row r="1971">
      <c r="A1971" s="235" t="s">
        <v>15367</v>
      </c>
      <c r="C1971" s="235" t="s">
        <v>15368</v>
      </c>
      <c r="D1971" s="235" t="s">
        <v>15369</v>
      </c>
      <c r="E1971" s="243">
        <v>6.54E13</v>
      </c>
      <c r="F1971" s="245"/>
      <c r="G1971" s="235" t="s">
        <v>15370</v>
      </c>
      <c r="H1971" s="235" t="s">
        <v>15371</v>
      </c>
      <c r="I1971" s="235" t="s">
        <v>15371</v>
      </c>
      <c r="J1971" s="235" t="s">
        <v>15372</v>
      </c>
      <c r="K1971" s="235" t="s">
        <v>15373</v>
      </c>
      <c r="N1971" s="235" t="s">
        <v>127</v>
      </c>
      <c r="O1971" s="235" t="s">
        <v>794</v>
      </c>
      <c r="P1971" s="238">
        <v>1.0</v>
      </c>
      <c r="Q1971" s="235" t="s">
        <v>627</v>
      </c>
      <c r="R1971" s="238">
        <v>243.81</v>
      </c>
      <c r="S1971" s="238">
        <v>12.19</v>
      </c>
      <c r="T1971" s="238">
        <v>0.0</v>
      </c>
      <c r="U1971" s="238">
        <v>0.0</v>
      </c>
      <c r="V1971" s="238">
        <v>0.0</v>
      </c>
      <c r="W1971" s="238">
        <v>0.0</v>
      </c>
      <c r="X1971" s="235" t="s">
        <v>628</v>
      </c>
      <c r="Z1971" s="244"/>
      <c r="AA1971" s="244"/>
      <c r="AB1971" s="244"/>
      <c r="AC1971" s="235" t="s">
        <v>697</v>
      </c>
      <c r="AD1971" s="235" t="s">
        <v>698</v>
      </c>
      <c r="AE1971" s="238">
        <v>500044.0</v>
      </c>
      <c r="AF1971" s="235" t="s">
        <v>631</v>
      </c>
      <c r="AG1971" s="244"/>
      <c r="AH1971" s="244"/>
      <c r="AI1971" s="245"/>
      <c r="AJ1971" s="245"/>
      <c r="AK1971" s="245"/>
      <c r="AL1971" s="245"/>
      <c r="AM1971" s="244"/>
      <c r="AN1971" s="244"/>
      <c r="AO1971" s="238">
        <v>0.0</v>
      </c>
      <c r="AP1971" s="238">
        <v>0.0</v>
      </c>
      <c r="AQ1971" s="235" t="s">
        <v>632</v>
      </c>
      <c r="AR1971" s="243">
        <v>1.68E11</v>
      </c>
      <c r="AS1971" s="235" t="s">
        <v>13822</v>
      </c>
      <c r="AT1971" s="235" t="s">
        <v>9</v>
      </c>
      <c r="AU1971" s="235" t="s">
        <v>634</v>
      </c>
      <c r="AV1971" s="246" t="s">
        <v>635</v>
      </c>
      <c r="AW1971" s="242"/>
      <c r="AX1971" s="242"/>
      <c r="AY1971" s="231"/>
      <c r="AZ1971" s="231"/>
      <c r="BA1971" s="227"/>
      <c r="BB1971" s="231"/>
      <c r="BC1971" s="227"/>
      <c r="BD1971" s="227"/>
      <c r="BE1971" s="227"/>
      <c r="BF1971" s="227"/>
    </row>
    <row r="1972">
      <c r="A1972" s="235" t="s">
        <v>15374</v>
      </c>
      <c r="C1972" s="235" t="s">
        <v>15375</v>
      </c>
      <c r="D1972" s="235" t="s">
        <v>15376</v>
      </c>
      <c r="E1972" s="243">
        <v>6.54E13</v>
      </c>
      <c r="F1972" s="245"/>
      <c r="G1972" s="235" t="s">
        <v>15377</v>
      </c>
      <c r="H1972" s="235" t="s">
        <v>15378</v>
      </c>
      <c r="I1972" s="235" t="s">
        <v>15378</v>
      </c>
      <c r="J1972" s="235" t="s">
        <v>15379</v>
      </c>
      <c r="K1972" s="235" t="s">
        <v>15380</v>
      </c>
      <c r="N1972" s="235" t="s">
        <v>139</v>
      </c>
      <c r="O1972" s="235" t="s">
        <v>2091</v>
      </c>
      <c r="P1972" s="238">
        <v>1.0</v>
      </c>
      <c r="Q1972" s="235" t="s">
        <v>627</v>
      </c>
      <c r="R1972" s="238">
        <v>246.67</v>
      </c>
      <c r="S1972" s="238">
        <v>12.33</v>
      </c>
      <c r="T1972" s="238">
        <v>0.0</v>
      </c>
      <c r="U1972" s="238">
        <v>0.0</v>
      </c>
      <c r="V1972" s="238">
        <v>0.0</v>
      </c>
      <c r="W1972" s="238">
        <v>0.0</v>
      </c>
      <c r="X1972" s="235" t="s">
        <v>628</v>
      </c>
      <c r="Z1972" s="244"/>
      <c r="AA1972" s="244"/>
      <c r="AB1972" s="244"/>
      <c r="AC1972" s="235" t="s">
        <v>814</v>
      </c>
      <c r="AD1972" s="235" t="s">
        <v>698</v>
      </c>
      <c r="AE1972" s="238">
        <v>500084.0</v>
      </c>
      <c r="AF1972" s="235" t="s">
        <v>631</v>
      </c>
      <c r="AG1972" s="244"/>
      <c r="AH1972" s="244"/>
      <c r="AI1972" s="245"/>
      <c r="AJ1972" s="245"/>
      <c r="AK1972" s="245"/>
      <c r="AL1972" s="245"/>
      <c r="AM1972" s="244"/>
      <c r="AN1972" s="244"/>
      <c r="AO1972" s="238">
        <v>0.0</v>
      </c>
      <c r="AP1972" s="238">
        <v>0.0</v>
      </c>
      <c r="AQ1972" s="235" t="s">
        <v>632</v>
      </c>
      <c r="AR1972" s="243">
        <v>3.71E11</v>
      </c>
      <c r="AS1972" s="235" t="s">
        <v>12693</v>
      </c>
      <c r="AT1972" s="235" t="s">
        <v>17</v>
      </c>
      <c r="AU1972" s="235" t="s">
        <v>634</v>
      </c>
      <c r="AV1972" s="246" t="s">
        <v>635</v>
      </c>
      <c r="AW1972" s="242"/>
      <c r="AX1972" s="242"/>
      <c r="AY1972" s="231"/>
      <c r="AZ1972" s="231"/>
      <c r="BA1972" s="227"/>
      <c r="BB1972" s="231"/>
      <c r="BC1972" s="227"/>
      <c r="BD1972" s="227"/>
      <c r="BE1972" s="227"/>
      <c r="BF1972" s="227"/>
    </row>
    <row r="1973">
      <c r="A1973" s="235" t="s">
        <v>15381</v>
      </c>
      <c r="C1973" s="235" t="s">
        <v>15382</v>
      </c>
      <c r="D1973" s="235" t="s">
        <v>15383</v>
      </c>
      <c r="E1973" s="243">
        <v>6.54E13</v>
      </c>
      <c r="F1973" s="245"/>
      <c r="G1973" s="235" t="s">
        <v>15384</v>
      </c>
      <c r="H1973" s="235" t="s">
        <v>15385</v>
      </c>
      <c r="I1973" s="235" t="s">
        <v>15385</v>
      </c>
      <c r="J1973" s="235" t="s">
        <v>15386</v>
      </c>
      <c r="K1973" s="235" t="s">
        <v>15387</v>
      </c>
      <c r="N1973" s="235" t="s">
        <v>71</v>
      </c>
      <c r="O1973" s="235" t="s">
        <v>240</v>
      </c>
      <c r="P1973" s="238">
        <v>1.0</v>
      </c>
      <c r="Q1973" s="235" t="s">
        <v>627</v>
      </c>
      <c r="R1973" s="238">
        <v>246.67</v>
      </c>
      <c r="S1973" s="238">
        <v>12.08</v>
      </c>
      <c r="T1973" s="238">
        <v>0.0</v>
      </c>
      <c r="U1973" s="238">
        <v>0.0</v>
      </c>
      <c r="V1973" s="238">
        <v>0.0</v>
      </c>
      <c r="W1973" s="238">
        <v>0.0</v>
      </c>
      <c r="X1973" s="235" t="s">
        <v>628</v>
      </c>
      <c r="Z1973" s="244"/>
      <c r="AA1973" s="244"/>
      <c r="AB1973" s="244"/>
      <c r="AC1973" s="235" t="s">
        <v>2057</v>
      </c>
      <c r="AD1973" s="235" t="s">
        <v>698</v>
      </c>
      <c r="AE1973" s="238">
        <v>500003.0</v>
      </c>
      <c r="AF1973" s="235" t="s">
        <v>631</v>
      </c>
      <c r="AG1973" s="244"/>
      <c r="AH1973" s="244"/>
      <c r="AI1973" s="245"/>
      <c r="AJ1973" s="245"/>
      <c r="AK1973" s="245"/>
      <c r="AL1973" s="245"/>
      <c r="AM1973" s="244"/>
      <c r="AN1973" s="244"/>
      <c r="AO1973" s="238">
        <v>-4.93</v>
      </c>
      <c r="AP1973" s="238">
        <v>0.0</v>
      </c>
      <c r="AQ1973" s="235" t="s">
        <v>632</v>
      </c>
      <c r="AR1973" s="243">
        <v>1.68E11</v>
      </c>
      <c r="AS1973" s="235" t="s">
        <v>13822</v>
      </c>
      <c r="AT1973" s="235" t="s">
        <v>9</v>
      </c>
      <c r="AU1973" s="235" t="s">
        <v>634</v>
      </c>
      <c r="AV1973" s="246" t="s">
        <v>635</v>
      </c>
      <c r="AW1973" s="242"/>
      <c r="AX1973" s="242"/>
      <c r="AY1973" s="231"/>
      <c r="AZ1973" s="231"/>
      <c r="BA1973" s="227"/>
      <c r="BB1973" s="231"/>
      <c r="BC1973" s="227"/>
      <c r="BD1973" s="227"/>
      <c r="BE1973" s="227"/>
      <c r="BF1973" s="227"/>
    </row>
    <row r="1974">
      <c r="A1974" s="235" t="s">
        <v>15388</v>
      </c>
      <c r="C1974" s="235" t="s">
        <v>15389</v>
      </c>
      <c r="D1974" s="235" t="s">
        <v>15390</v>
      </c>
      <c r="E1974" s="243">
        <v>6.54E13</v>
      </c>
      <c r="F1974" s="245"/>
      <c r="G1974" s="235" t="s">
        <v>15391</v>
      </c>
      <c r="H1974" s="235" t="s">
        <v>15392</v>
      </c>
      <c r="I1974" s="235" t="s">
        <v>15392</v>
      </c>
      <c r="J1974" s="235" t="s">
        <v>15393</v>
      </c>
      <c r="K1974" s="235" t="s">
        <v>15394</v>
      </c>
      <c r="N1974" s="235" t="s">
        <v>42</v>
      </c>
      <c r="O1974" s="235" t="s">
        <v>204</v>
      </c>
      <c r="P1974" s="238">
        <v>1.0</v>
      </c>
      <c r="Q1974" s="235" t="s">
        <v>627</v>
      </c>
      <c r="R1974" s="238">
        <v>237.14</v>
      </c>
      <c r="S1974" s="238">
        <v>11.86</v>
      </c>
      <c r="T1974" s="238">
        <v>38.1</v>
      </c>
      <c r="U1974" s="238">
        <v>1.9</v>
      </c>
      <c r="V1974" s="238">
        <v>0.0</v>
      </c>
      <c r="W1974" s="238">
        <v>0.0</v>
      </c>
      <c r="X1974" s="235" t="s">
        <v>628</v>
      </c>
      <c r="Z1974" s="244"/>
      <c r="AA1974" s="244"/>
      <c r="AB1974" s="244"/>
      <c r="AC1974" s="235" t="s">
        <v>15395</v>
      </c>
      <c r="AD1974" s="235" t="s">
        <v>679</v>
      </c>
      <c r="AE1974" s="238">
        <v>574220.0</v>
      </c>
      <c r="AF1974" s="235" t="s">
        <v>631</v>
      </c>
      <c r="AG1974" s="244"/>
      <c r="AH1974" s="244"/>
      <c r="AI1974" s="245"/>
      <c r="AJ1974" s="245"/>
      <c r="AK1974" s="245"/>
      <c r="AL1974" s="245"/>
      <c r="AM1974" s="244"/>
      <c r="AN1974" s="244"/>
      <c r="AO1974" s="238">
        <v>0.0</v>
      </c>
      <c r="AP1974" s="238">
        <v>-38.1</v>
      </c>
      <c r="AQ1974" s="235" t="s">
        <v>632</v>
      </c>
      <c r="AR1974" s="243">
        <v>3.71E11</v>
      </c>
      <c r="AS1974" s="235" t="s">
        <v>12693</v>
      </c>
      <c r="AT1974" s="235" t="s">
        <v>9</v>
      </c>
      <c r="AU1974" s="235" t="s">
        <v>634</v>
      </c>
      <c r="AV1974" s="246" t="s">
        <v>635</v>
      </c>
      <c r="AW1974" s="242"/>
      <c r="AX1974" s="242"/>
      <c r="AY1974" s="231"/>
      <c r="AZ1974" s="231"/>
      <c r="BA1974" s="227"/>
      <c r="BB1974" s="231"/>
      <c r="BC1974" s="227"/>
      <c r="BD1974" s="227"/>
      <c r="BE1974" s="227"/>
      <c r="BF1974" s="227"/>
    </row>
    <row r="1975">
      <c r="A1975" s="235" t="s">
        <v>15396</v>
      </c>
      <c r="C1975" s="235" t="s">
        <v>15397</v>
      </c>
      <c r="D1975" s="235" t="s">
        <v>15398</v>
      </c>
      <c r="E1975" s="243">
        <v>6.53E13</v>
      </c>
      <c r="F1975" s="245"/>
      <c r="G1975" s="235" t="s">
        <v>15399</v>
      </c>
      <c r="H1975" s="235" t="s">
        <v>15400</v>
      </c>
      <c r="I1975" s="235" t="s">
        <v>15400</v>
      </c>
      <c r="J1975" s="235" t="s">
        <v>15401</v>
      </c>
      <c r="K1975" s="235" t="s">
        <v>15402</v>
      </c>
      <c r="N1975" s="235" t="s">
        <v>145</v>
      </c>
      <c r="O1975" s="235" t="s">
        <v>370</v>
      </c>
      <c r="P1975" s="238">
        <v>1.0</v>
      </c>
      <c r="Q1975" s="235" t="s">
        <v>627</v>
      </c>
      <c r="R1975" s="238">
        <v>1703.8</v>
      </c>
      <c r="S1975" s="238">
        <v>85.2</v>
      </c>
      <c r="T1975" s="238">
        <v>0.0</v>
      </c>
      <c r="U1975" s="238">
        <v>0.0</v>
      </c>
      <c r="V1975" s="238">
        <v>0.0</v>
      </c>
      <c r="W1975" s="238">
        <v>0.0</v>
      </c>
      <c r="X1975" s="235" t="s">
        <v>628</v>
      </c>
      <c r="Z1975" s="244"/>
      <c r="AA1975" s="244"/>
      <c r="AB1975" s="244"/>
      <c r="AC1975" s="235" t="s">
        <v>1058</v>
      </c>
      <c r="AD1975" s="235" t="s">
        <v>845</v>
      </c>
      <c r="AE1975" s="238">
        <v>400101.0</v>
      </c>
      <c r="AF1975" s="235" t="s">
        <v>631</v>
      </c>
      <c r="AG1975" s="244"/>
      <c r="AH1975" s="244"/>
      <c r="AI1975" s="245"/>
      <c r="AJ1975" s="245"/>
      <c r="AK1975" s="245"/>
      <c r="AL1975" s="245"/>
      <c r="AM1975" s="244"/>
      <c r="AN1975" s="244"/>
      <c r="AO1975" s="238">
        <v>0.0</v>
      </c>
      <c r="AP1975" s="238">
        <v>0.0</v>
      </c>
      <c r="AQ1975" s="235" t="s">
        <v>632</v>
      </c>
      <c r="AR1975" s="243">
        <v>3.71E11</v>
      </c>
      <c r="AS1975" s="235" t="s">
        <v>13822</v>
      </c>
      <c r="AT1975" s="235" t="s">
        <v>16</v>
      </c>
      <c r="AU1975" s="235" t="s">
        <v>634</v>
      </c>
      <c r="AV1975" s="246" t="s">
        <v>635</v>
      </c>
      <c r="AW1975" s="242"/>
      <c r="AX1975" s="242"/>
      <c r="AY1975" s="231"/>
      <c r="AZ1975" s="231"/>
      <c r="BA1975" s="227"/>
      <c r="BB1975" s="231"/>
      <c r="BC1975" s="227"/>
      <c r="BD1975" s="227"/>
      <c r="BE1975" s="227"/>
      <c r="BF1975" s="227"/>
    </row>
    <row r="1976">
      <c r="A1976" s="235" t="s">
        <v>15403</v>
      </c>
      <c r="C1976" s="235" t="s">
        <v>15404</v>
      </c>
      <c r="D1976" s="235" t="s">
        <v>15405</v>
      </c>
      <c r="E1976" s="243">
        <v>6.52E13</v>
      </c>
      <c r="F1976" s="245"/>
      <c r="G1976" s="235" t="s">
        <v>15406</v>
      </c>
      <c r="H1976" s="235" t="s">
        <v>15407</v>
      </c>
      <c r="I1976" s="235" t="s">
        <v>15407</v>
      </c>
      <c r="J1976" s="235" t="s">
        <v>15408</v>
      </c>
      <c r="K1976" s="235" t="s">
        <v>15409</v>
      </c>
      <c r="N1976" s="235" t="s">
        <v>726</v>
      </c>
      <c r="O1976" s="235" t="s">
        <v>727</v>
      </c>
      <c r="P1976" s="238">
        <v>1.0</v>
      </c>
      <c r="Q1976" s="235" t="s">
        <v>627</v>
      </c>
      <c r="R1976" s="238">
        <v>246.66</v>
      </c>
      <c r="S1976" s="238">
        <v>12.34</v>
      </c>
      <c r="T1976" s="238">
        <v>38.1</v>
      </c>
      <c r="U1976" s="238">
        <v>1.9</v>
      </c>
      <c r="V1976" s="238">
        <v>0.0</v>
      </c>
      <c r="W1976" s="238">
        <v>0.0</v>
      </c>
      <c r="X1976" s="235" t="s">
        <v>628</v>
      </c>
      <c r="Z1976" s="244"/>
      <c r="AA1976" s="244"/>
      <c r="AB1976" s="244"/>
      <c r="AC1976" s="235" t="s">
        <v>1058</v>
      </c>
      <c r="AD1976" s="235" t="s">
        <v>845</v>
      </c>
      <c r="AE1976" s="238">
        <v>400078.0</v>
      </c>
      <c r="AF1976" s="235" t="s">
        <v>631</v>
      </c>
      <c r="AG1976" s="244"/>
      <c r="AH1976" s="244"/>
      <c r="AI1976" s="245"/>
      <c r="AJ1976" s="245"/>
      <c r="AK1976" s="245"/>
      <c r="AL1976" s="245"/>
      <c r="AM1976" s="244"/>
      <c r="AN1976" s="244"/>
      <c r="AO1976" s="238">
        <v>0.0</v>
      </c>
      <c r="AP1976" s="238">
        <v>-38.1</v>
      </c>
      <c r="AQ1976" s="235" t="s">
        <v>632</v>
      </c>
      <c r="AR1976" s="243">
        <v>3.71E11</v>
      </c>
      <c r="AS1976" s="235" t="s">
        <v>13822</v>
      </c>
      <c r="AT1976" s="235" t="s">
        <v>17</v>
      </c>
      <c r="AU1976" s="235" t="s">
        <v>634</v>
      </c>
      <c r="AV1976" s="246" t="s">
        <v>635</v>
      </c>
      <c r="AW1976" s="242"/>
      <c r="AX1976" s="242"/>
      <c r="AY1976" s="231"/>
      <c r="AZ1976" s="231"/>
      <c r="BA1976" s="227"/>
      <c r="BB1976" s="231"/>
      <c r="BC1976" s="227"/>
      <c r="BD1976" s="227"/>
      <c r="BE1976" s="227"/>
      <c r="BF1976" s="227"/>
    </row>
    <row r="1977">
      <c r="A1977" s="235" t="s">
        <v>15410</v>
      </c>
      <c r="C1977" s="235" t="s">
        <v>15411</v>
      </c>
      <c r="D1977" s="235" t="s">
        <v>15412</v>
      </c>
      <c r="E1977" s="243">
        <v>6.54E13</v>
      </c>
      <c r="F1977" s="245"/>
      <c r="G1977" s="235" t="s">
        <v>15413</v>
      </c>
      <c r="H1977" s="235" t="s">
        <v>15414</v>
      </c>
      <c r="I1977" s="235" t="s">
        <v>15414</v>
      </c>
      <c r="J1977" s="235" t="s">
        <v>15415</v>
      </c>
      <c r="K1977" s="235" t="s">
        <v>15416</v>
      </c>
      <c r="N1977" s="235" t="s">
        <v>154</v>
      </c>
      <c r="O1977" s="235" t="s">
        <v>766</v>
      </c>
      <c r="P1977" s="238">
        <v>1.0</v>
      </c>
      <c r="Q1977" s="235" t="s">
        <v>627</v>
      </c>
      <c r="R1977" s="238">
        <v>465.72</v>
      </c>
      <c r="S1977" s="238">
        <v>22.58</v>
      </c>
      <c r="T1977" s="238">
        <v>38.1</v>
      </c>
      <c r="U1977" s="238">
        <v>1.9</v>
      </c>
      <c r="V1977" s="238">
        <v>0.0</v>
      </c>
      <c r="W1977" s="238">
        <v>0.0</v>
      </c>
      <c r="X1977" s="235" t="s">
        <v>628</v>
      </c>
      <c r="Z1977" s="244"/>
      <c r="AA1977" s="244"/>
      <c r="AB1977" s="244"/>
      <c r="AC1977" s="235" t="s">
        <v>15417</v>
      </c>
      <c r="AD1977" s="235" t="s">
        <v>845</v>
      </c>
      <c r="AE1977" s="238">
        <v>421201.0</v>
      </c>
      <c r="AF1977" s="235" t="s">
        <v>631</v>
      </c>
      <c r="AG1977" s="244"/>
      <c r="AH1977" s="244"/>
      <c r="AI1977" s="245"/>
      <c r="AJ1977" s="245"/>
      <c r="AK1977" s="245"/>
      <c r="AL1977" s="245"/>
      <c r="AM1977" s="244"/>
      <c r="AN1977" s="244"/>
      <c r="AO1977" s="238">
        <v>-13.97</v>
      </c>
      <c r="AP1977" s="238">
        <v>-38.1</v>
      </c>
      <c r="AQ1977" s="235" t="s">
        <v>632</v>
      </c>
      <c r="AR1977" s="243">
        <v>3.71E11</v>
      </c>
      <c r="AS1977" s="235" t="s">
        <v>13822</v>
      </c>
      <c r="AT1977" s="235" t="s">
        <v>16</v>
      </c>
      <c r="AU1977" s="235" t="s">
        <v>634</v>
      </c>
      <c r="AV1977" s="246" t="s">
        <v>635</v>
      </c>
      <c r="AW1977" s="242"/>
      <c r="AX1977" s="242"/>
      <c r="AY1977" s="231"/>
      <c r="AZ1977" s="231"/>
      <c r="BA1977" s="227"/>
      <c r="BB1977" s="231"/>
      <c r="BC1977" s="227"/>
      <c r="BD1977" s="227"/>
      <c r="BE1977" s="227"/>
      <c r="BF1977" s="227"/>
    </row>
    <row r="1978">
      <c r="A1978" s="235" t="s">
        <v>15410</v>
      </c>
      <c r="C1978" s="235" t="s">
        <v>15411</v>
      </c>
      <c r="D1978" s="235" t="s">
        <v>15418</v>
      </c>
      <c r="E1978" s="243">
        <v>6.54E13</v>
      </c>
      <c r="F1978" s="245"/>
      <c r="G1978" s="235" t="s">
        <v>15413</v>
      </c>
      <c r="H1978" s="235" t="s">
        <v>15414</v>
      </c>
      <c r="I1978" s="235" t="s">
        <v>15414</v>
      </c>
      <c r="J1978" s="235" t="s">
        <v>15415</v>
      </c>
      <c r="K1978" s="235" t="s">
        <v>15416</v>
      </c>
      <c r="N1978" s="235" t="s">
        <v>154</v>
      </c>
      <c r="O1978" s="235" t="s">
        <v>766</v>
      </c>
      <c r="P1978" s="238">
        <v>1.0</v>
      </c>
      <c r="Q1978" s="235" t="s">
        <v>627</v>
      </c>
      <c r="R1978" s="238">
        <v>465.72</v>
      </c>
      <c r="S1978" s="238">
        <v>22.58</v>
      </c>
      <c r="T1978" s="238">
        <v>38.1</v>
      </c>
      <c r="U1978" s="238">
        <v>1.9</v>
      </c>
      <c r="V1978" s="238">
        <v>0.0</v>
      </c>
      <c r="W1978" s="238">
        <v>0.0</v>
      </c>
      <c r="X1978" s="235" t="s">
        <v>628</v>
      </c>
      <c r="Z1978" s="244"/>
      <c r="AA1978" s="244"/>
      <c r="AB1978" s="244"/>
      <c r="AC1978" s="235" t="s">
        <v>15417</v>
      </c>
      <c r="AD1978" s="235" t="s">
        <v>845</v>
      </c>
      <c r="AE1978" s="238">
        <v>421201.0</v>
      </c>
      <c r="AF1978" s="235" t="s">
        <v>631</v>
      </c>
      <c r="AG1978" s="244"/>
      <c r="AH1978" s="244"/>
      <c r="AI1978" s="245"/>
      <c r="AJ1978" s="245"/>
      <c r="AK1978" s="245"/>
      <c r="AL1978" s="245"/>
      <c r="AM1978" s="244"/>
      <c r="AN1978" s="244"/>
      <c r="AO1978" s="238">
        <v>-13.97</v>
      </c>
      <c r="AP1978" s="238">
        <v>-38.1</v>
      </c>
      <c r="AQ1978" s="235" t="s">
        <v>632</v>
      </c>
      <c r="AR1978" s="243">
        <v>3.71E11</v>
      </c>
      <c r="AS1978" s="235" t="s">
        <v>13822</v>
      </c>
      <c r="AT1978" s="235" t="s">
        <v>16</v>
      </c>
      <c r="AU1978" s="235" t="s">
        <v>634</v>
      </c>
      <c r="AV1978" s="246" t="s">
        <v>635</v>
      </c>
      <c r="AW1978" s="242"/>
      <c r="AX1978" s="242"/>
      <c r="AY1978" s="231"/>
      <c r="AZ1978" s="231"/>
      <c r="BA1978" s="227"/>
      <c r="BB1978" s="231"/>
      <c r="BC1978" s="227"/>
      <c r="BD1978" s="227"/>
      <c r="BE1978" s="227"/>
      <c r="BF1978" s="227"/>
    </row>
    <row r="1979">
      <c r="A1979" s="235" t="s">
        <v>15419</v>
      </c>
      <c r="C1979" s="235" t="s">
        <v>15420</v>
      </c>
      <c r="D1979" s="235" t="s">
        <v>15421</v>
      </c>
      <c r="E1979" s="243">
        <v>6.54E13</v>
      </c>
      <c r="F1979" s="245"/>
      <c r="G1979" s="235" t="s">
        <v>15422</v>
      </c>
      <c r="H1979" s="235" t="s">
        <v>15423</v>
      </c>
      <c r="I1979" s="235" t="s">
        <v>15423</v>
      </c>
      <c r="J1979" s="235" t="s">
        <v>15424</v>
      </c>
      <c r="K1979" s="235" t="s">
        <v>15425</v>
      </c>
      <c r="N1979" s="235" t="s">
        <v>51</v>
      </c>
      <c r="O1979" s="235" t="s">
        <v>273</v>
      </c>
      <c r="P1979" s="238">
        <v>1.0</v>
      </c>
      <c r="Q1979" s="235" t="s">
        <v>627</v>
      </c>
      <c r="R1979" s="238">
        <v>270.48</v>
      </c>
      <c r="S1979" s="238">
        <v>13.52</v>
      </c>
      <c r="T1979" s="238">
        <v>38.1</v>
      </c>
      <c r="U1979" s="238">
        <v>1.9</v>
      </c>
      <c r="V1979" s="238">
        <v>0.0</v>
      </c>
      <c r="W1979" s="238">
        <v>0.0</v>
      </c>
      <c r="X1979" s="235" t="s">
        <v>628</v>
      </c>
      <c r="Z1979" s="244"/>
      <c r="AA1979" s="244"/>
      <c r="AB1979" s="244"/>
      <c r="AC1979" s="235" t="s">
        <v>814</v>
      </c>
      <c r="AD1979" s="235" t="s">
        <v>698</v>
      </c>
      <c r="AE1979" s="238">
        <v>500049.0</v>
      </c>
      <c r="AF1979" s="235" t="s">
        <v>631</v>
      </c>
      <c r="AG1979" s="244"/>
      <c r="AH1979" s="244"/>
      <c r="AI1979" s="245"/>
      <c r="AJ1979" s="245"/>
      <c r="AK1979" s="245"/>
      <c r="AL1979" s="245"/>
      <c r="AM1979" s="244"/>
      <c r="AN1979" s="244"/>
      <c r="AO1979" s="238">
        <v>0.0</v>
      </c>
      <c r="AP1979" s="238">
        <v>-38.1</v>
      </c>
      <c r="AQ1979" s="235" t="s">
        <v>632</v>
      </c>
      <c r="AR1979" s="243">
        <v>3.71E11</v>
      </c>
      <c r="AS1979" s="235" t="s">
        <v>12693</v>
      </c>
      <c r="AT1979" s="235" t="s">
        <v>11</v>
      </c>
      <c r="AU1979" s="235" t="s">
        <v>634</v>
      </c>
      <c r="AV1979" s="246" t="s">
        <v>635</v>
      </c>
      <c r="AW1979" s="242"/>
      <c r="AX1979" s="242"/>
      <c r="AY1979" s="231"/>
      <c r="AZ1979" s="231"/>
      <c r="BA1979" s="227"/>
      <c r="BB1979" s="231"/>
      <c r="BC1979" s="227"/>
      <c r="BD1979" s="227"/>
      <c r="BE1979" s="227"/>
      <c r="BF1979" s="227"/>
    </row>
    <row r="1980">
      <c r="A1980" s="235" t="s">
        <v>15426</v>
      </c>
      <c r="C1980" s="235" t="s">
        <v>15427</v>
      </c>
      <c r="D1980" s="235" t="s">
        <v>15428</v>
      </c>
      <c r="E1980" s="243">
        <v>6.54E13</v>
      </c>
      <c r="F1980" s="245"/>
      <c r="G1980" s="235" t="s">
        <v>15429</v>
      </c>
      <c r="H1980" s="235" t="s">
        <v>15430</v>
      </c>
      <c r="I1980" s="235" t="s">
        <v>15430</v>
      </c>
      <c r="J1980" s="235" t="s">
        <v>15431</v>
      </c>
      <c r="K1980" s="235" t="s">
        <v>15432</v>
      </c>
      <c r="N1980" s="235" t="s">
        <v>144</v>
      </c>
      <c r="O1980" s="235" t="s">
        <v>232</v>
      </c>
      <c r="P1980" s="238">
        <v>1.0</v>
      </c>
      <c r="Q1980" s="235" t="s">
        <v>627</v>
      </c>
      <c r="R1980" s="238">
        <v>665.71</v>
      </c>
      <c r="S1980" s="238">
        <v>33.29</v>
      </c>
      <c r="T1980" s="238">
        <v>0.0</v>
      </c>
      <c r="U1980" s="238">
        <v>0.0</v>
      </c>
      <c r="V1980" s="238">
        <v>0.0</v>
      </c>
      <c r="W1980" s="238">
        <v>0.0</v>
      </c>
      <c r="X1980" s="235" t="s">
        <v>628</v>
      </c>
      <c r="Z1980" s="244"/>
      <c r="AA1980" s="244"/>
      <c r="AB1980" s="244"/>
      <c r="AC1980" s="235" t="s">
        <v>1920</v>
      </c>
      <c r="AD1980" s="235" t="s">
        <v>833</v>
      </c>
      <c r="AE1980" s="238">
        <v>522006.0</v>
      </c>
      <c r="AF1980" s="235" t="s">
        <v>631</v>
      </c>
      <c r="AG1980" s="244"/>
      <c r="AH1980" s="244"/>
      <c r="AI1980" s="245"/>
      <c r="AJ1980" s="245"/>
      <c r="AK1980" s="245"/>
      <c r="AL1980" s="245"/>
      <c r="AM1980" s="244"/>
      <c r="AN1980" s="244"/>
      <c r="AO1980" s="238">
        <v>0.0</v>
      </c>
      <c r="AP1980" s="238">
        <v>0.0</v>
      </c>
      <c r="AQ1980" s="235" t="s">
        <v>632</v>
      </c>
      <c r="AR1980" s="243">
        <v>1.68E11</v>
      </c>
      <c r="AS1980" s="235" t="s">
        <v>13822</v>
      </c>
      <c r="AT1980" s="235" t="s">
        <v>156</v>
      </c>
      <c r="AU1980" s="235" t="s">
        <v>634</v>
      </c>
      <c r="AV1980" s="246" t="s">
        <v>635</v>
      </c>
      <c r="AW1980" s="242"/>
      <c r="AX1980" s="242"/>
      <c r="AY1980" s="231"/>
      <c r="AZ1980" s="231"/>
      <c r="BA1980" s="227"/>
      <c r="BB1980" s="231"/>
      <c r="BC1980" s="227"/>
      <c r="BD1980" s="227"/>
      <c r="BE1980" s="227"/>
      <c r="BF1980" s="227"/>
    </row>
    <row r="1981">
      <c r="A1981" s="235" t="s">
        <v>15433</v>
      </c>
      <c r="C1981" s="235" t="s">
        <v>15434</v>
      </c>
      <c r="D1981" s="235" t="s">
        <v>15435</v>
      </c>
      <c r="E1981" s="243">
        <v>6.54E13</v>
      </c>
      <c r="F1981" s="245"/>
      <c r="G1981" s="235" t="s">
        <v>15436</v>
      </c>
      <c r="H1981" s="235" t="s">
        <v>15437</v>
      </c>
      <c r="I1981" s="235" t="s">
        <v>15437</v>
      </c>
      <c r="J1981" s="235" t="s">
        <v>15438</v>
      </c>
      <c r="K1981" s="235" t="s">
        <v>15439</v>
      </c>
      <c r="N1981" s="235" t="s">
        <v>92</v>
      </c>
      <c r="O1981" s="235" t="s">
        <v>248</v>
      </c>
      <c r="P1981" s="238">
        <v>1.0</v>
      </c>
      <c r="Q1981" s="235" t="s">
        <v>627</v>
      </c>
      <c r="R1981" s="238">
        <v>246.67</v>
      </c>
      <c r="S1981" s="238">
        <v>12.33</v>
      </c>
      <c r="T1981" s="238">
        <v>0.0</v>
      </c>
      <c r="U1981" s="238">
        <v>0.0</v>
      </c>
      <c r="V1981" s="238">
        <v>0.0</v>
      </c>
      <c r="W1981" s="238">
        <v>0.0</v>
      </c>
      <c r="X1981" s="235" t="s">
        <v>628</v>
      </c>
      <c r="Z1981" s="244"/>
      <c r="AA1981" s="244"/>
      <c r="AB1981" s="244"/>
      <c r="AC1981" s="235" t="s">
        <v>15440</v>
      </c>
      <c r="AD1981" s="235" t="s">
        <v>731</v>
      </c>
      <c r="AE1981" s="238">
        <v>784104.0</v>
      </c>
      <c r="AF1981" s="235" t="s">
        <v>631</v>
      </c>
      <c r="AG1981" s="244"/>
      <c r="AH1981" s="244"/>
      <c r="AI1981" s="245"/>
      <c r="AJ1981" s="245"/>
      <c r="AK1981" s="245"/>
      <c r="AL1981" s="245"/>
      <c r="AM1981" s="244"/>
      <c r="AN1981" s="244"/>
      <c r="AO1981" s="238">
        <v>0.0</v>
      </c>
      <c r="AP1981" s="238">
        <v>0.0</v>
      </c>
      <c r="AQ1981" s="235" t="s">
        <v>632</v>
      </c>
      <c r="AR1981" s="243">
        <v>3.71E11</v>
      </c>
      <c r="AS1981" s="235" t="s">
        <v>8807</v>
      </c>
      <c r="AT1981" s="235" t="s">
        <v>13</v>
      </c>
      <c r="AU1981" s="235" t="s">
        <v>634</v>
      </c>
      <c r="AV1981" s="246" t="s">
        <v>635</v>
      </c>
      <c r="AW1981" s="242"/>
      <c r="AX1981" s="242"/>
      <c r="AY1981" s="231"/>
      <c r="AZ1981" s="231"/>
      <c r="BA1981" s="227"/>
      <c r="BB1981" s="231"/>
      <c r="BC1981" s="227"/>
      <c r="BD1981" s="227"/>
      <c r="BE1981" s="227"/>
      <c r="BF1981" s="227"/>
    </row>
    <row r="1982">
      <c r="A1982" s="235" t="s">
        <v>15441</v>
      </c>
      <c r="C1982" s="235" t="s">
        <v>15442</v>
      </c>
      <c r="D1982" s="235" t="s">
        <v>15443</v>
      </c>
      <c r="E1982" s="243">
        <v>6.54E13</v>
      </c>
      <c r="F1982" s="245"/>
      <c r="G1982" s="235" t="s">
        <v>15444</v>
      </c>
      <c r="H1982" s="235" t="s">
        <v>15445</v>
      </c>
      <c r="I1982" s="235" t="s">
        <v>15445</v>
      </c>
      <c r="J1982" s="235" t="s">
        <v>15446</v>
      </c>
      <c r="K1982" s="235" t="s">
        <v>15447</v>
      </c>
      <c r="N1982" s="235" t="s">
        <v>71</v>
      </c>
      <c r="O1982" s="235" t="s">
        <v>240</v>
      </c>
      <c r="P1982" s="238">
        <v>1.0</v>
      </c>
      <c r="Q1982" s="235" t="s">
        <v>627</v>
      </c>
      <c r="R1982" s="238">
        <v>246.67</v>
      </c>
      <c r="S1982" s="238">
        <v>12.33</v>
      </c>
      <c r="T1982" s="238">
        <v>0.0</v>
      </c>
      <c r="U1982" s="238">
        <v>0.0</v>
      </c>
      <c r="V1982" s="238">
        <v>0.0</v>
      </c>
      <c r="W1982" s="238">
        <v>0.0</v>
      </c>
      <c r="X1982" s="235" t="s">
        <v>628</v>
      </c>
      <c r="Z1982" s="244"/>
      <c r="AA1982" s="244"/>
      <c r="AB1982" s="244"/>
      <c r="AC1982" s="235" t="s">
        <v>1076</v>
      </c>
      <c r="AD1982" s="235" t="s">
        <v>1077</v>
      </c>
      <c r="AE1982" s="238">
        <v>360001.0</v>
      </c>
      <c r="AF1982" s="235" t="s">
        <v>631</v>
      </c>
      <c r="AG1982" s="244"/>
      <c r="AH1982" s="244"/>
      <c r="AI1982" s="245"/>
      <c r="AJ1982" s="245"/>
      <c r="AK1982" s="245"/>
      <c r="AL1982" s="245"/>
      <c r="AM1982" s="244"/>
      <c r="AN1982" s="244"/>
      <c r="AO1982" s="238">
        <v>0.0</v>
      </c>
      <c r="AP1982" s="238">
        <v>0.0</v>
      </c>
      <c r="AQ1982" s="235" t="s">
        <v>632</v>
      </c>
      <c r="AR1982" s="243">
        <v>1.68E11</v>
      </c>
      <c r="AS1982" s="235" t="s">
        <v>13822</v>
      </c>
      <c r="AT1982" s="235" t="s">
        <v>17</v>
      </c>
      <c r="AU1982" s="235" t="s">
        <v>634</v>
      </c>
      <c r="AV1982" s="246" t="s">
        <v>635</v>
      </c>
      <c r="AW1982" s="242"/>
      <c r="AX1982" s="242"/>
      <c r="AY1982" s="231"/>
      <c r="AZ1982" s="231"/>
      <c r="BA1982" s="227"/>
      <c r="BB1982" s="231"/>
      <c r="BC1982" s="227"/>
      <c r="BD1982" s="227"/>
      <c r="BE1982" s="227"/>
      <c r="BF1982" s="227"/>
    </row>
    <row r="1983">
      <c r="A1983" s="235" t="s">
        <v>15448</v>
      </c>
      <c r="C1983" s="235" t="s">
        <v>15449</v>
      </c>
      <c r="D1983" s="235" t="s">
        <v>15450</v>
      </c>
      <c r="E1983" s="243">
        <v>6.54E13</v>
      </c>
      <c r="F1983" s="245"/>
      <c r="G1983" s="235" t="s">
        <v>15451</v>
      </c>
      <c r="H1983" s="235" t="s">
        <v>15452</v>
      </c>
      <c r="I1983" s="235" t="s">
        <v>15452</v>
      </c>
      <c r="J1983" s="235" t="s">
        <v>15453</v>
      </c>
      <c r="K1983" s="235" t="s">
        <v>15454</v>
      </c>
      <c r="N1983" s="235" t="s">
        <v>68</v>
      </c>
      <c r="O1983" s="235" t="s">
        <v>208</v>
      </c>
      <c r="P1983" s="238">
        <v>1.0</v>
      </c>
      <c r="Q1983" s="235" t="s">
        <v>627</v>
      </c>
      <c r="R1983" s="238">
        <v>246.67</v>
      </c>
      <c r="S1983" s="238">
        <v>12.33</v>
      </c>
      <c r="T1983" s="238">
        <v>38.1</v>
      </c>
      <c r="U1983" s="238">
        <v>1.9</v>
      </c>
      <c r="V1983" s="238">
        <v>0.0</v>
      </c>
      <c r="W1983" s="238">
        <v>0.0</v>
      </c>
      <c r="X1983" s="235" t="s">
        <v>628</v>
      </c>
      <c r="Z1983" s="244"/>
      <c r="AA1983" s="244"/>
      <c r="AB1983" s="244"/>
      <c r="AC1983" s="235" t="s">
        <v>15455</v>
      </c>
      <c r="AD1983" s="235" t="s">
        <v>645</v>
      </c>
      <c r="AE1983" s="238">
        <v>683550.0</v>
      </c>
      <c r="AF1983" s="235" t="s">
        <v>631</v>
      </c>
      <c r="AG1983" s="244"/>
      <c r="AH1983" s="244"/>
      <c r="AI1983" s="245"/>
      <c r="AJ1983" s="245"/>
      <c r="AK1983" s="245"/>
      <c r="AL1983" s="245"/>
      <c r="AM1983" s="244"/>
      <c r="AN1983" s="244"/>
      <c r="AO1983" s="238">
        <v>0.0</v>
      </c>
      <c r="AP1983" s="238">
        <v>-38.1</v>
      </c>
      <c r="AQ1983" s="235" t="s">
        <v>632</v>
      </c>
      <c r="AR1983" s="243">
        <v>3.71E11</v>
      </c>
      <c r="AS1983" s="235" t="s">
        <v>12693</v>
      </c>
      <c r="AT1983" s="235" t="s">
        <v>9</v>
      </c>
      <c r="AU1983" s="235" t="s">
        <v>634</v>
      </c>
      <c r="AV1983" s="246" t="s">
        <v>635</v>
      </c>
      <c r="AW1983" s="242"/>
      <c r="AX1983" s="242"/>
      <c r="AY1983" s="231"/>
      <c r="AZ1983" s="231"/>
      <c r="BA1983" s="227"/>
      <c r="BB1983" s="231"/>
      <c r="BC1983" s="227"/>
      <c r="BD1983" s="227"/>
      <c r="BE1983" s="227"/>
      <c r="BF1983" s="227"/>
    </row>
    <row r="1984">
      <c r="A1984" s="235" t="s">
        <v>15456</v>
      </c>
      <c r="C1984" s="235" t="s">
        <v>15457</v>
      </c>
      <c r="D1984" s="235" t="s">
        <v>15458</v>
      </c>
      <c r="E1984" s="243">
        <v>6.54E13</v>
      </c>
      <c r="F1984" s="245"/>
      <c r="G1984" s="235" t="s">
        <v>15459</v>
      </c>
      <c r="H1984" s="235" t="s">
        <v>15460</v>
      </c>
      <c r="I1984" s="235" t="s">
        <v>15460</v>
      </c>
      <c r="J1984" s="235" t="s">
        <v>15461</v>
      </c>
      <c r="K1984" s="235" t="s">
        <v>15462</v>
      </c>
      <c r="N1984" s="235" t="s">
        <v>153</v>
      </c>
      <c r="O1984" s="235" t="s">
        <v>390</v>
      </c>
      <c r="P1984" s="238">
        <v>1.0</v>
      </c>
      <c r="Q1984" s="235" t="s">
        <v>627</v>
      </c>
      <c r="R1984" s="238">
        <v>490.68</v>
      </c>
      <c r="S1984" s="238">
        <v>85.67</v>
      </c>
      <c r="T1984" s="238">
        <v>33.9</v>
      </c>
      <c r="U1984" s="238">
        <v>6.1</v>
      </c>
      <c r="V1984" s="238">
        <v>0.0</v>
      </c>
      <c r="W1984" s="238">
        <v>0.0</v>
      </c>
      <c r="X1984" s="235" t="s">
        <v>628</v>
      </c>
      <c r="Z1984" s="244"/>
      <c r="AA1984" s="244"/>
      <c r="AB1984" s="244"/>
      <c r="AC1984" s="235" t="s">
        <v>15463</v>
      </c>
      <c r="AD1984" s="235" t="s">
        <v>1086</v>
      </c>
      <c r="AE1984" s="238">
        <v>143001.0</v>
      </c>
      <c r="AF1984" s="235" t="s">
        <v>631</v>
      </c>
      <c r="AG1984" s="244"/>
      <c r="AH1984" s="244"/>
      <c r="AI1984" s="245"/>
      <c r="AJ1984" s="245"/>
      <c r="AK1984" s="245"/>
      <c r="AL1984" s="245"/>
      <c r="AM1984" s="244"/>
      <c r="AN1984" s="244"/>
      <c r="AO1984" s="238">
        <v>-14.72</v>
      </c>
      <c r="AP1984" s="238">
        <v>-33.9</v>
      </c>
      <c r="AQ1984" s="235" t="s">
        <v>632</v>
      </c>
      <c r="AR1984" s="243">
        <v>3.71E11</v>
      </c>
      <c r="AS1984" s="235" t="s">
        <v>12693</v>
      </c>
      <c r="AT1984" s="235" t="s">
        <v>14</v>
      </c>
      <c r="AU1984" s="235" t="s">
        <v>634</v>
      </c>
      <c r="AV1984" s="246" t="s">
        <v>635</v>
      </c>
      <c r="AW1984" s="242"/>
      <c r="AX1984" s="242"/>
      <c r="AY1984" s="231"/>
      <c r="AZ1984" s="231"/>
      <c r="BA1984" s="227"/>
      <c r="BB1984" s="231"/>
      <c r="BC1984" s="227"/>
      <c r="BD1984" s="227"/>
      <c r="BE1984" s="227"/>
      <c r="BF1984" s="227"/>
    </row>
    <row r="1985">
      <c r="A1985" s="235" t="s">
        <v>15456</v>
      </c>
      <c r="C1985" s="235" t="s">
        <v>15457</v>
      </c>
      <c r="D1985" s="235" t="s">
        <v>15464</v>
      </c>
      <c r="E1985" s="243">
        <v>6.54E13</v>
      </c>
      <c r="F1985" s="245"/>
      <c r="G1985" s="235" t="s">
        <v>15459</v>
      </c>
      <c r="H1985" s="235" t="s">
        <v>15460</v>
      </c>
      <c r="I1985" s="235" t="s">
        <v>15460</v>
      </c>
      <c r="J1985" s="235" t="s">
        <v>15461</v>
      </c>
      <c r="K1985" s="235" t="s">
        <v>15462</v>
      </c>
      <c r="N1985" s="235" t="s">
        <v>153</v>
      </c>
      <c r="O1985" s="235" t="s">
        <v>390</v>
      </c>
      <c r="P1985" s="238">
        <v>1.0</v>
      </c>
      <c r="Q1985" s="235" t="s">
        <v>627</v>
      </c>
      <c r="R1985" s="238">
        <v>490.68</v>
      </c>
      <c r="S1985" s="238">
        <v>85.67</v>
      </c>
      <c r="T1985" s="238">
        <v>33.9</v>
      </c>
      <c r="U1985" s="238">
        <v>6.1</v>
      </c>
      <c r="V1985" s="238">
        <v>0.0</v>
      </c>
      <c r="W1985" s="238">
        <v>0.0</v>
      </c>
      <c r="X1985" s="235" t="s">
        <v>628</v>
      </c>
      <c r="Z1985" s="244"/>
      <c r="AA1985" s="244"/>
      <c r="AB1985" s="244"/>
      <c r="AC1985" s="235" t="s">
        <v>15463</v>
      </c>
      <c r="AD1985" s="235" t="s">
        <v>1086</v>
      </c>
      <c r="AE1985" s="238">
        <v>143001.0</v>
      </c>
      <c r="AF1985" s="235" t="s">
        <v>631</v>
      </c>
      <c r="AG1985" s="244"/>
      <c r="AH1985" s="244"/>
      <c r="AI1985" s="245"/>
      <c r="AJ1985" s="245"/>
      <c r="AK1985" s="245"/>
      <c r="AL1985" s="245"/>
      <c r="AM1985" s="244"/>
      <c r="AN1985" s="244"/>
      <c r="AO1985" s="238">
        <v>-14.72</v>
      </c>
      <c r="AP1985" s="238">
        <v>-33.9</v>
      </c>
      <c r="AQ1985" s="235" t="s">
        <v>632</v>
      </c>
      <c r="AR1985" s="243">
        <v>3.71E11</v>
      </c>
      <c r="AS1985" s="235" t="s">
        <v>12693</v>
      </c>
      <c r="AT1985" s="235" t="s">
        <v>14</v>
      </c>
      <c r="AU1985" s="235" t="s">
        <v>634</v>
      </c>
      <c r="AV1985" s="246" t="s">
        <v>635</v>
      </c>
      <c r="AW1985" s="242"/>
      <c r="AX1985" s="242"/>
      <c r="AY1985" s="231"/>
      <c r="AZ1985" s="231"/>
      <c r="BA1985" s="227"/>
      <c r="BB1985" s="231"/>
      <c r="BC1985" s="227"/>
      <c r="BD1985" s="227"/>
      <c r="BE1985" s="227"/>
      <c r="BF1985" s="227"/>
    </row>
    <row r="1986">
      <c r="A1986" s="235" t="s">
        <v>15465</v>
      </c>
      <c r="C1986" s="235" t="s">
        <v>15466</v>
      </c>
      <c r="D1986" s="235" t="s">
        <v>15467</v>
      </c>
      <c r="E1986" s="243">
        <v>6.54E13</v>
      </c>
      <c r="F1986" s="245"/>
      <c r="G1986" s="235" t="s">
        <v>15468</v>
      </c>
      <c r="H1986" s="235" t="s">
        <v>15469</v>
      </c>
      <c r="I1986" s="235" t="s">
        <v>15469</v>
      </c>
      <c r="J1986" s="235" t="s">
        <v>15470</v>
      </c>
      <c r="K1986" s="235" t="s">
        <v>15471</v>
      </c>
      <c r="N1986" s="235" t="s">
        <v>989</v>
      </c>
      <c r="O1986" s="235" t="s">
        <v>990</v>
      </c>
      <c r="P1986" s="238">
        <v>1.0</v>
      </c>
      <c r="Q1986" s="235" t="s">
        <v>627</v>
      </c>
      <c r="R1986" s="238">
        <v>256.19</v>
      </c>
      <c r="S1986" s="238">
        <v>12.81</v>
      </c>
      <c r="T1986" s="238">
        <v>38.1</v>
      </c>
      <c r="U1986" s="238">
        <v>1.9</v>
      </c>
      <c r="V1986" s="238">
        <v>0.0</v>
      </c>
      <c r="W1986" s="238">
        <v>0.0</v>
      </c>
      <c r="X1986" s="235" t="s">
        <v>628</v>
      </c>
      <c r="Z1986" s="244"/>
      <c r="AA1986" s="244"/>
      <c r="AB1986" s="244"/>
      <c r="AC1986" s="235" t="s">
        <v>1935</v>
      </c>
      <c r="AD1986" s="235" t="s">
        <v>630</v>
      </c>
      <c r="AE1986" s="238">
        <v>282002.0</v>
      </c>
      <c r="AF1986" s="235" t="s">
        <v>631</v>
      </c>
      <c r="AG1986" s="244"/>
      <c r="AH1986" s="244"/>
      <c r="AI1986" s="245"/>
      <c r="AJ1986" s="245"/>
      <c r="AK1986" s="245"/>
      <c r="AL1986" s="245"/>
      <c r="AM1986" s="244"/>
      <c r="AN1986" s="244"/>
      <c r="AO1986" s="238">
        <v>0.0</v>
      </c>
      <c r="AP1986" s="238">
        <v>-38.1</v>
      </c>
      <c r="AQ1986" s="235" t="s">
        <v>632</v>
      </c>
      <c r="AR1986" s="243">
        <v>2.02E11</v>
      </c>
      <c r="AS1986" s="235" t="s">
        <v>13822</v>
      </c>
      <c r="AT1986" s="235" t="s">
        <v>13</v>
      </c>
      <c r="AU1986" s="235" t="s">
        <v>634</v>
      </c>
      <c r="AV1986" s="246" t="s">
        <v>635</v>
      </c>
      <c r="AW1986" s="242"/>
      <c r="AX1986" s="242"/>
      <c r="AY1986" s="231"/>
      <c r="AZ1986" s="231"/>
      <c r="BA1986" s="227"/>
      <c r="BB1986" s="231"/>
      <c r="BC1986" s="227"/>
      <c r="BD1986" s="227"/>
      <c r="BE1986" s="227"/>
      <c r="BF1986" s="227"/>
    </row>
    <row r="1987">
      <c r="A1987" s="235" t="s">
        <v>15472</v>
      </c>
      <c r="C1987" s="235" t="s">
        <v>15473</v>
      </c>
      <c r="D1987" s="235" t="s">
        <v>15474</v>
      </c>
      <c r="E1987" s="243">
        <v>6.54E13</v>
      </c>
      <c r="F1987" s="245"/>
      <c r="G1987" s="235" t="s">
        <v>15475</v>
      </c>
      <c r="H1987" s="235" t="s">
        <v>15476</v>
      </c>
      <c r="I1987" s="235" t="s">
        <v>15476</v>
      </c>
      <c r="J1987" s="235" t="s">
        <v>15477</v>
      </c>
      <c r="K1987" s="235" t="s">
        <v>15478</v>
      </c>
      <c r="N1987" s="235" t="s">
        <v>144</v>
      </c>
      <c r="O1987" s="235" t="s">
        <v>232</v>
      </c>
      <c r="P1987" s="238">
        <v>1.0</v>
      </c>
      <c r="Q1987" s="235" t="s">
        <v>627</v>
      </c>
      <c r="R1987" s="238">
        <v>665.71</v>
      </c>
      <c r="S1987" s="238">
        <v>33.29</v>
      </c>
      <c r="T1987" s="238">
        <v>38.1</v>
      </c>
      <c r="U1987" s="238">
        <v>1.9</v>
      </c>
      <c r="V1987" s="238">
        <v>0.0</v>
      </c>
      <c r="W1987" s="238">
        <v>0.0</v>
      </c>
      <c r="X1987" s="235" t="s">
        <v>628</v>
      </c>
      <c r="Z1987" s="244"/>
      <c r="AA1987" s="244"/>
      <c r="AB1987" s="244"/>
      <c r="AC1987" s="235" t="s">
        <v>2325</v>
      </c>
      <c r="AD1987" s="235" t="s">
        <v>645</v>
      </c>
      <c r="AE1987" s="238">
        <v>682018.0</v>
      </c>
      <c r="AF1987" s="235" t="s">
        <v>631</v>
      </c>
      <c r="AG1987" s="244"/>
      <c r="AH1987" s="244"/>
      <c r="AI1987" s="245"/>
      <c r="AJ1987" s="245"/>
      <c r="AK1987" s="245"/>
      <c r="AL1987" s="245"/>
      <c r="AM1987" s="244"/>
      <c r="AN1987" s="244"/>
      <c r="AO1987" s="238">
        <v>0.0</v>
      </c>
      <c r="AP1987" s="238">
        <v>-38.1</v>
      </c>
      <c r="AQ1987" s="235" t="s">
        <v>632</v>
      </c>
      <c r="AR1987" s="243">
        <v>3.71E11</v>
      </c>
      <c r="AS1987" s="235" t="s">
        <v>13822</v>
      </c>
      <c r="AT1987" s="235" t="s">
        <v>155</v>
      </c>
      <c r="AU1987" s="235" t="s">
        <v>634</v>
      </c>
      <c r="AV1987" s="246" t="s">
        <v>635</v>
      </c>
      <c r="AW1987" s="242"/>
      <c r="AX1987" s="242"/>
      <c r="AY1987" s="231"/>
      <c r="AZ1987" s="231"/>
      <c r="BA1987" s="227"/>
      <c r="BB1987" s="231"/>
      <c r="BC1987" s="227"/>
      <c r="BD1987" s="227"/>
      <c r="BE1987" s="227"/>
      <c r="BF1987" s="227"/>
    </row>
    <row r="1988">
      <c r="A1988" s="235" t="s">
        <v>15479</v>
      </c>
      <c r="C1988" s="235" t="s">
        <v>15480</v>
      </c>
      <c r="D1988" s="235" t="s">
        <v>15481</v>
      </c>
      <c r="E1988" s="243">
        <v>6.54E13</v>
      </c>
      <c r="F1988" s="245"/>
      <c r="G1988" s="235" t="s">
        <v>15482</v>
      </c>
      <c r="H1988" s="235" t="s">
        <v>15483</v>
      </c>
      <c r="I1988" s="235" t="s">
        <v>15483</v>
      </c>
      <c r="J1988" s="235" t="s">
        <v>15484</v>
      </c>
      <c r="K1988" s="235" t="s">
        <v>15485</v>
      </c>
      <c r="N1988" s="235" t="s">
        <v>104</v>
      </c>
      <c r="O1988" s="235" t="s">
        <v>401</v>
      </c>
      <c r="P1988" s="238">
        <v>1.0</v>
      </c>
      <c r="Q1988" s="235" t="s">
        <v>627</v>
      </c>
      <c r="R1988" s="238">
        <v>246.67</v>
      </c>
      <c r="S1988" s="238">
        <v>12.08</v>
      </c>
      <c r="T1988" s="238">
        <v>38.1</v>
      </c>
      <c r="U1988" s="238">
        <v>1.9</v>
      </c>
      <c r="V1988" s="238">
        <v>0.0</v>
      </c>
      <c r="W1988" s="238">
        <v>0.0</v>
      </c>
      <c r="X1988" s="235" t="s">
        <v>628</v>
      </c>
      <c r="Z1988" s="244"/>
      <c r="AA1988" s="244"/>
      <c r="AB1988" s="244"/>
      <c r="AC1988" s="235" t="s">
        <v>4790</v>
      </c>
      <c r="AD1988" s="235" t="s">
        <v>1086</v>
      </c>
      <c r="AE1988" s="238">
        <v>151001.0</v>
      </c>
      <c r="AF1988" s="235" t="s">
        <v>631</v>
      </c>
      <c r="AG1988" s="244"/>
      <c r="AH1988" s="244"/>
      <c r="AI1988" s="245"/>
      <c r="AJ1988" s="245"/>
      <c r="AK1988" s="245"/>
      <c r="AL1988" s="245"/>
      <c r="AM1988" s="244"/>
      <c r="AN1988" s="244"/>
      <c r="AO1988" s="238">
        <v>-4.93</v>
      </c>
      <c r="AP1988" s="238">
        <v>-38.1</v>
      </c>
      <c r="AQ1988" s="235" t="s">
        <v>632</v>
      </c>
      <c r="AR1988" s="243">
        <v>3.71E11</v>
      </c>
      <c r="AS1988" s="235" t="s">
        <v>12693</v>
      </c>
      <c r="AT1988" s="235" t="s">
        <v>13</v>
      </c>
      <c r="AU1988" s="235" t="s">
        <v>634</v>
      </c>
      <c r="AV1988" s="246" t="s">
        <v>635</v>
      </c>
      <c r="AW1988" s="242"/>
      <c r="AX1988" s="242"/>
      <c r="AY1988" s="231"/>
      <c r="AZ1988" s="231"/>
      <c r="BA1988" s="227"/>
      <c r="BB1988" s="231"/>
      <c r="BC1988" s="227"/>
      <c r="BD1988" s="227"/>
      <c r="BE1988" s="227"/>
      <c r="BF1988" s="227"/>
    </row>
    <row r="1989">
      <c r="A1989" s="235" t="s">
        <v>15486</v>
      </c>
      <c r="C1989" s="235" t="s">
        <v>15487</v>
      </c>
      <c r="D1989" s="235" t="s">
        <v>15488</v>
      </c>
      <c r="E1989" s="243">
        <v>6.53E13</v>
      </c>
      <c r="F1989" s="245"/>
      <c r="G1989" s="235" t="s">
        <v>15489</v>
      </c>
      <c r="H1989" s="235" t="s">
        <v>15490</v>
      </c>
      <c r="I1989" s="235" t="s">
        <v>15490</v>
      </c>
      <c r="J1989" s="235" t="s">
        <v>15491</v>
      </c>
      <c r="K1989" s="235" t="s">
        <v>15492</v>
      </c>
      <c r="N1989" s="235" t="s">
        <v>39</v>
      </c>
      <c r="O1989" s="235" t="s">
        <v>291</v>
      </c>
      <c r="P1989" s="238">
        <v>1.0</v>
      </c>
      <c r="Q1989" s="235" t="s">
        <v>627</v>
      </c>
      <c r="R1989" s="238">
        <v>270.48</v>
      </c>
      <c r="S1989" s="238">
        <v>13.52</v>
      </c>
      <c r="T1989" s="238">
        <v>38.1</v>
      </c>
      <c r="U1989" s="238">
        <v>1.9</v>
      </c>
      <c r="V1989" s="238">
        <v>0.0</v>
      </c>
      <c r="W1989" s="238">
        <v>0.0</v>
      </c>
      <c r="X1989" s="235" t="s">
        <v>628</v>
      </c>
      <c r="Z1989" s="244"/>
      <c r="AA1989" s="244"/>
      <c r="AB1989" s="244"/>
      <c r="AC1989" s="235" t="s">
        <v>15493</v>
      </c>
      <c r="AD1989" s="235" t="s">
        <v>679</v>
      </c>
      <c r="AE1989" s="238">
        <v>583104.0</v>
      </c>
      <c r="AF1989" s="235" t="s">
        <v>631</v>
      </c>
      <c r="AG1989" s="244"/>
      <c r="AH1989" s="244"/>
      <c r="AI1989" s="245"/>
      <c r="AJ1989" s="245"/>
      <c r="AK1989" s="245"/>
      <c r="AL1989" s="245"/>
      <c r="AM1989" s="244"/>
      <c r="AN1989" s="244"/>
      <c r="AO1989" s="238">
        <v>0.0</v>
      </c>
      <c r="AP1989" s="238">
        <v>0.0</v>
      </c>
      <c r="AQ1989" s="235" t="s">
        <v>632</v>
      </c>
      <c r="AR1989" s="243">
        <v>3.71E11</v>
      </c>
      <c r="AS1989" s="235" t="s">
        <v>12693</v>
      </c>
      <c r="AT1989" s="235" t="s">
        <v>11</v>
      </c>
      <c r="AU1989" s="235" t="s">
        <v>634</v>
      </c>
      <c r="AV1989" s="246" t="s">
        <v>635</v>
      </c>
      <c r="AW1989" s="242"/>
      <c r="AX1989" s="242"/>
      <c r="AY1989" s="231"/>
      <c r="AZ1989" s="231"/>
      <c r="BA1989" s="227"/>
      <c r="BB1989" s="231"/>
      <c r="BC1989" s="227"/>
      <c r="BD1989" s="227"/>
      <c r="BE1989" s="227"/>
      <c r="BF1989" s="227"/>
    </row>
    <row r="1990">
      <c r="A1990" s="235" t="s">
        <v>15494</v>
      </c>
      <c r="C1990" s="235" t="s">
        <v>15495</v>
      </c>
      <c r="D1990" s="235" t="s">
        <v>15496</v>
      </c>
      <c r="E1990" s="243">
        <v>6.54E13</v>
      </c>
      <c r="F1990" s="245"/>
      <c r="G1990" s="235" t="s">
        <v>15497</v>
      </c>
      <c r="H1990" s="235" t="s">
        <v>15498</v>
      </c>
      <c r="I1990" s="235" t="s">
        <v>15498</v>
      </c>
      <c r="J1990" s="235" t="s">
        <v>15499</v>
      </c>
      <c r="K1990" s="235" t="s">
        <v>15500</v>
      </c>
      <c r="N1990" s="235" t="s">
        <v>92</v>
      </c>
      <c r="O1990" s="235" t="s">
        <v>248</v>
      </c>
      <c r="P1990" s="238">
        <v>1.0</v>
      </c>
      <c r="Q1990" s="235" t="s">
        <v>627</v>
      </c>
      <c r="R1990" s="238">
        <v>246.67</v>
      </c>
      <c r="S1990" s="238">
        <v>12.33</v>
      </c>
      <c r="T1990" s="238">
        <v>38.1</v>
      </c>
      <c r="U1990" s="238">
        <v>1.9</v>
      </c>
      <c r="V1990" s="238">
        <v>0.0</v>
      </c>
      <c r="W1990" s="238">
        <v>0.0</v>
      </c>
      <c r="X1990" s="235" t="s">
        <v>628</v>
      </c>
      <c r="Z1990" s="244"/>
      <c r="AA1990" s="244"/>
      <c r="AB1990" s="244"/>
      <c r="AC1990" s="235" t="s">
        <v>15501</v>
      </c>
      <c r="AD1990" s="235" t="s">
        <v>2067</v>
      </c>
      <c r="AE1990" s="238">
        <v>822101.0</v>
      </c>
      <c r="AF1990" s="235" t="s">
        <v>631</v>
      </c>
      <c r="AG1990" s="244"/>
      <c r="AH1990" s="244"/>
      <c r="AI1990" s="245"/>
      <c r="AJ1990" s="245"/>
      <c r="AK1990" s="245"/>
      <c r="AL1990" s="245"/>
      <c r="AM1990" s="244"/>
      <c r="AN1990" s="244"/>
      <c r="AO1990" s="238">
        <v>0.0</v>
      </c>
      <c r="AP1990" s="238">
        <v>-38.1</v>
      </c>
      <c r="AQ1990" s="235" t="s">
        <v>632</v>
      </c>
      <c r="AR1990" s="243">
        <v>3.71E11</v>
      </c>
      <c r="AS1990" s="235" t="s">
        <v>8807</v>
      </c>
      <c r="AT1990" s="235" t="s">
        <v>13</v>
      </c>
      <c r="AU1990" s="235" t="s">
        <v>634</v>
      </c>
      <c r="AV1990" s="246" t="s">
        <v>635</v>
      </c>
      <c r="AW1990" s="242"/>
      <c r="AX1990" s="242"/>
      <c r="AY1990" s="231"/>
      <c r="AZ1990" s="231"/>
      <c r="BA1990" s="227"/>
      <c r="BB1990" s="231"/>
      <c r="BC1990" s="227"/>
      <c r="BD1990" s="227"/>
      <c r="BE1990" s="227"/>
      <c r="BF1990" s="227"/>
    </row>
    <row r="1991">
      <c r="A1991" s="235" t="s">
        <v>15502</v>
      </c>
      <c r="C1991" s="235" t="s">
        <v>15503</v>
      </c>
      <c r="D1991" s="235" t="s">
        <v>15504</v>
      </c>
      <c r="E1991" s="243">
        <v>6.54E13</v>
      </c>
      <c r="F1991" s="245"/>
      <c r="G1991" s="235" t="s">
        <v>15505</v>
      </c>
      <c r="H1991" s="235" t="s">
        <v>15506</v>
      </c>
      <c r="I1991" s="235" t="s">
        <v>15506</v>
      </c>
      <c r="J1991" s="235" t="s">
        <v>15507</v>
      </c>
      <c r="K1991" s="235" t="s">
        <v>15508</v>
      </c>
      <c r="N1991" s="235" t="s">
        <v>153</v>
      </c>
      <c r="O1991" s="235" t="s">
        <v>390</v>
      </c>
      <c r="P1991" s="238">
        <v>1.0</v>
      </c>
      <c r="Q1991" s="235" t="s">
        <v>627</v>
      </c>
      <c r="R1991" s="238">
        <v>490.68</v>
      </c>
      <c r="S1991" s="238">
        <v>88.32</v>
      </c>
      <c r="T1991" s="238">
        <v>33.9</v>
      </c>
      <c r="U1991" s="238">
        <v>6.1</v>
      </c>
      <c r="V1991" s="238">
        <v>0.0</v>
      </c>
      <c r="W1991" s="238">
        <v>0.0</v>
      </c>
      <c r="X1991" s="235" t="s">
        <v>628</v>
      </c>
      <c r="Z1991" s="244"/>
      <c r="AA1991" s="244"/>
      <c r="AB1991" s="244"/>
      <c r="AC1991" s="235" t="s">
        <v>1058</v>
      </c>
      <c r="AD1991" s="235" t="s">
        <v>845</v>
      </c>
      <c r="AE1991" s="238">
        <v>400051.0</v>
      </c>
      <c r="AF1991" s="235" t="s">
        <v>631</v>
      </c>
      <c r="AG1991" s="244"/>
      <c r="AH1991" s="244"/>
      <c r="AI1991" s="245"/>
      <c r="AJ1991" s="245"/>
      <c r="AK1991" s="245"/>
      <c r="AL1991" s="245"/>
      <c r="AM1991" s="244"/>
      <c r="AN1991" s="244"/>
      <c r="AO1991" s="238">
        <v>0.0</v>
      </c>
      <c r="AP1991" s="238">
        <v>-33.9</v>
      </c>
      <c r="AQ1991" s="235" t="s">
        <v>632</v>
      </c>
      <c r="AR1991" s="243">
        <v>3.71E11</v>
      </c>
      <c r="AS1991" s="235" t="s">
        <v>13822</v>
      </c>
      <c r="AT1991" s="235" t="s">
        <v>16</v>
      </c>
      <c r="AU1991" s="235" t="s">
        <v>634</v>
      </c>
      <c r="AV1991" s="246" t="s">
        <v>635</v>
      </c>
      <c r="AW1991" s="242"/>
      <c r="AX1991" s="242"/>
      <c r="AY1991" s="231"/>
      <c r="AZ1991" s="231"/>
      <c r="BA1991" s="227"/>
      <c r="BB1991" s="231"/>
      <c r="BC1991" s="227"/>
      <c r="BD1991" s="227"/>
      <c r="BE1991" s="227"/>
      <c r="BF1991" s="227"/>
    </row>
    <row r="1992">
      <c r="A1992" s="235" t="s">
        <v>15509</v>
      </c>
      <c r="C1992" s="235" t="s">
        <v>15510</v>
      </c>
      <c r="D1992" s="235" t="s">
        <v>15511</v>
      </c>
      <c r="E1992" s="243">
        <v>6.54E13</v>
      </c>
      <c r="F1992" s="245"/>
      <c r="G1992" s="235" t="s">
        <v>15512</v>
      </c>
      <c r="H1992" s="235" t="s">
        <v>15513</v>
      </c>
      <c r="I1992" s="235" t="s">
        <v>15513</v>
      </c>
      <c r="J1992" s="235" t="s">
        <v>15514</v>
      </c>
      <c r="K1992" s="235" t="s">
        <v>15515</v>
      </c>
      <c r="N1992" s="235" t="s">
        <v>68</v>
      </c>
      <c r="O1992" s="235" t="s">
        <v>208</v>
      </c>
      <c r="P1992" s="238">
        <v>1.0</v>
      </c>
      <c r="Q1992" s="235" t="s">
        <v>627</v>
      </c>
      <c r="R1992" s="238">
        <v>242.86</v>
      </c>
      <c r="S1992" s="238">
        <v>11.9</v>
      </c>
      <c r="T1992" s="238">
        <v>0.0</v>
      </c>
      <c r="U1992" s="238">
        <v>0.0</v>
      </c>
      <c r="V1992" s="238">
        <v>0.0</v>
      </c>
      <c r="W1992" s="238">
        <v>0.0</v>
      </c>
      <c r="X1992" s="235" t="s">
        <v>628</v>
      </c>
      <c r="Z1992" s="244"/>
      <c r="AA1992" s="244"/>
      <c r="AB1992" s="244"/>
      <c r="AC1992" s="235" t="s">
        <v>15516</v>
      </c>
      <c r="AD1992" s="235" t="s">
        <v>1077</v>
      </c>
      <c r="AE1992" s="238">
        <v>387560.0</v>
      </c>
      <c r="AF1992" s="235" t="s">
        <v>631</v>
      </c>
      <c r="AG1992" s="244"/>
      <c r="AH1992" s="244"/>
      <c r="AI1992" s="245"/>
      <c r="AJ1992" s="245"/>
      <c r="AK1992" s="245"/>
      <c r="AL1992" s="245"/>
      <c r="AM1992" s="244"/>
      <c r="AN1992" s="244"/>
      <c r="AO1992" s="238">
        <v>-4.86</v>
      </c>
      <c r="AP1992" s="238">
        <v>0.0</v>
      </c>
      <c r="AQ1992" s="235" t="s">
        <v>1328</v>
      </c>
      <c r="AR1992" s="243">
        <v>1.34E13</v>
      </c>
      <c r="AS1992" s="235" t="s">
        <v>8807</v>
      </c>
      <c r="AT1992" s="235" t="s">
        <v>5</v>
      </c>
      <c r="AU1992" s="235" t="s">
        <v>634</v>
      </c>
      <c r="AV1992" s="246" t="s">
        <v>635</v>
      </c>
      <c r="AW1992" s="242"/>
      <c r="AX1992" s="242"/>
      <c r="AY1992" s="231"/>
      <c r="AZ1992" s="231"/>
      <c r="BA1992" s="227"/>
      <c r="BB1992" s="231"/>
      <c r="BC1992" s="227"/>
      <c r="BD1992" s="227"/>
      <c r="BE1992" s="227"/>
      <c r="BF1992" s="227"/>
    </row>
    <row r="1993">
      <c r="A1993" s="235" t="s">
        <v>15517</v>
      </c>
      <c r="C1993" s="235" t="s">
        <v>15518</v>
      </c>
      <c r="D1993" s="235" t="s">
        <v>15519</v>
      </c>
      <c r="E1993" s="243">
        <v>6.52E13</v>
      </c>
      <c r="F1993" s="245"/>
      <c r="G1993" s="235" t="s">
        <v>15520</v>
      </c>
      <c r="H1993" s="235" t="s">
        <v>15521</v>
      </c>
      <c r="I1993" s="235" t="s">
        <v>15521</v>
      </c>
      <c r="J1993" s="235" t="s">
        <v>15522</v>
      </c>
      <c r="K1993" s="235" t="s">
        <v>15523</v>
      </c>
      <c r="N1993" s="235" t="s">
        <v>38</v>
      </c>
      <c r="O1993" s="235" t="s">
        <v>291</v>
      </c>
      <c r="P1993" s="238">
        <v>1.0</v>
      </c>
      <c r="Q1993" s="235" t="s">
        <v>627</v>
      </c>
      <c r="R1993" s="238">
        <v>270.48</v>
      </c>
      <c r="S1993" s="238">
        <v>13.52</v>
      </c>
      <c r="T1993" s="238">
        <v>38.1</v>
      </c>
      <c r="U1993" s="238">
        <v>1.9</v>
      </c>
      <c r="V1993" s="238">
        <v>0.0</v>
      </c>
      <c r="W1993" s="238">
        <v>0.0</v>
      </c>
      <c r="X1993" s="235" t="s">
        <v>628</v>
      </c>
      <c r="Z1993" s="244"/>
      <c r="AA1993" s="244"/>
      <c r="AB1993" s="244"/>
      <c r="AC1993" s="235" t="s">
        <v>5035</v>
      </c>
      <c r="AD1993" s="235" t="s">
        <v>881</v>
      </c>
      <c r="AE1993" s="238">
        <v>760007.0</v>
      </c>
      <c r="AF1993" s="235" t="s">
        <v>631</v>
      </c>
      <c r="AG1993" s="244"/>
      <c r="AH1993" s="244"/>
      <c r="AI1993" s="245"/>
      <c r="AJ1993" s="245"/>
      <c r="AK1993" s="245"/>
      <c r="AL1993" s="245"/>
      <c r="AM1993" s="244"/>
      <c r="AN1993" s="244"/>
      <c r="AO1993" s="238">
        <v>0.0</v>
      </c>
      <c r="AP1993" s="238">
        <v>-38.1</v>
      </c>
      <c r="AQ1993" s="235" t="s">
        <v>632</v>
      </c>
      <c r="AR1993" s="243">
        <v>3.71E11</v>
      </c>
      <c r="AS1993" s="235" t="s">
        <v>10017</v>
      </c>
      <c r="AT1993" s="235" t="s">
        <v>13</v>
      </c>
      <c r="AU1993" s="235" t="s">
        <v>634</v>
      </c>
      <c r="AV1993" s="246" t="s">
        <v>635</v>
      </c>
      <c r="AW1993" s="242"/>
      <c r="AX1993" s="242"/>
      <c r="AY1993" s="231"/>
      <c r="AZ1993" s="231"/>
      <c r="BA1993" s="227"/>
      <c r="BB1993" s="231"/>
      <c r="BC1993" s="227"/>
      <c r="BD1993" s="227"/>
      <c r="BE1993" s="227"/>
      <c r="BF1993" s="227"/>
    </row>
    <row r="1994">
      <c r="A1994" s="235" t="s">
        <v>15524</v>
      </c>
      <c r="C1994" s="235" t="s">
        <v>15525</v>
      </c>
      <c r="D1994" s="235" t="s">
        <v>15526</v>
      </c>
      <c r="E1994" s="243">
        <v>6.54E13</v>
      </c>
      <c r="F1994" s="245"/>
      <c r="G1994" s="235" t="s">
        <v>15527</v>
      </c>
      <c r="H1994" s="235" t="s">
        <v>15528</v>
      </c>
      <c r="I1994" s="235" t="s">
        <v>15528</v>
      </c>
      <c r="J1994" s="235" t="s">
        <v>15529</v>
      </c>
      <c r="K1994" s="235" t="s">
        <v>15530</v>
      </c>
      <c r="N1994" s="235" t="s">
        <v>85</v>
      </c>
      <c r="O1994" s="235" t="s">
        <v>872</v>
      </c>
      <c r="P1994" s="238">
        <v>1.0</v>
      </c>
      <c r="Q1994" s="235" t="s">
        <v>627</v>
      </c>
      <c r="R1994" s="238">
        <v>246.66</v>
      </c>
      <c r="S1994" s="238">
        <v>12.34</v>
      </c>
      <c r="T1994" s="238">
        <v>0.0</v>
      </c>
      <c r="U1994" s="238">
        <v>0.0</v>
      </c>
      <c r="V1994" s="238">
        <v>0.0</v>
      </c>
      <c r="W1994" s="238">
        <v>0.0</v>
      </c>
      <c r="X1994" s="235" t="s">
        <v>628</v>
      </c>
      <c r="Z1994" s="244"/>
      <c r="AA1994" s="244"/>
      <c r="AB1994" s="244"/>
      <c r="AC1994" s="235" t="s">
        <v>678</v>
      </c>
      <c r="AD1994" s="235" t="s">
        <v>679</v>
      </c>
      <c r="AE1994" s="238">
        <v>560098.0</v>
      </c>
      <c r="AF1994" s="235" t="s">
        <v>631</v>
      </c>
      <c r="AG1994" s="244"/>
      <c r="AH1994" s="244"/>
      <c r="AI1994" s="245"/>
      <c r="AJ1994" s="245"/>
      <c r="AK1994" s="245"/>
      <c r="AL1994" s="245"/>
      <c r="AM1994" s="244"/>
      <c r="AN1994" s="244"/>
      <c r="AO1994" s="238">
        <v>0.0</v>
      </c>
      <c r="AP1994" s="238">
        <v>0.0</v>
      </c>
      <c r="AQ1994" s="235" t="s">
        <v>632</v>
      </c>
      <c r="AR1994" s="243">
        <v>1.68E11</v>
      </c>
      <c r="AS1994" s="235" t="s">
        <v>15064</v>
      </c>
      <c r="AT1994" s="235" t="s">
        <v>9</v>
      </c>
      <c r="AU1994" s="235" t="s">
        <v>634</v>
      </c>
      <c r="AV1994" s="246" t="s">
        <v>635</v>
      </c>
      <c r="AW1994" s="242"/>
      <c r="AX1994" s="242"/>
      <c r="AY1994" s="231"/>
      <c r="AZ1994" s="231"/>
      <c r="BA1994" s="227"/>
      <c r="BB1994" s="231"/>
      <c r="BC1994" s="227"/>
      <c r="BD1994" s="227"/>
      <c r="BE1994" s="227"/>
      <c r="BF1994" s="227"/>
    </row>
    <row r="1995">
      <c r="A1995" s="235" t="s">
        <v>15531</v>
      </c>
      <c r="C1995" s="235" t="s">
        <v>15532</v>
      </c>
      <c r="D1995" s="235" t="s">
        <v>15533</v>
      </c>
      <c r="E1995" s="243">
        <v>6.53E13</v>
      </c>
      <c r="F1995" s="245"/>
      <c r="G1995" s="235" t="s">
        <v>15534</v>
      </c>
      <c r="H1995" s="235" t="s">
        <v>15535</v>
      </c>
      <c r="I1995" s="235" t="s">
        <v>15535</v>
      </c>
      <c r="J1995" s="235" t="s">
        <v>15536</v>
      </c>
      <c r="K1995" s="235" t="s">
        <v>15537</v>
      </c>
      <c r="N1995" s="235" t="s">
        <v>51</v>
      </c>
      <c r="O1995" s="235" t="s">
        <v>273</v>
      </c>
      <c r="P1995" s="238">
        <v>1.0</v>
      </c>
      <c r="Q1995" s="235" t="s">
        <v>627</v>
      </c>
      <c r="R1995" s="238">
        <v>233.33</v>
      </c>
      <c r="S1995" s="238">
        <v>11.67</v>
      </c>
      <c r="T1995" s="238">
        <v>38.1</v>
      </c>
      <c r="U1995" s="238">
        <v>1.9</v>
      </c>
      <c r="V1995" s="238">
        <v>0.0</v>
      </c>
      <c r="W1995" s="238">
        <v>0.0</v>
      </c>
      <c r="X1995" s="235" t="s">
        <v>628</v>
      </c>
      <c r="Z1995" s="244"/>
      <c r="AA1995" s="244"/>
      <c r="AB1995" s="244"/>
      <c r="AC1995" s="235" t="s">
        <v>15538</v>
      </c>
      <c r="AD1995" s="235" t="s">
        <v>698</v>
      </c>
      <c r="AE1995" s="238">
        <v>502278.0</v>
      </c>
      <c r="AF1995" s="235" t="s">
        <v>631</v>
      </c>
      <c r="AG1995" s="244"/>
      <c r="AH1995" s="244"/>
      <c r="AI1995" s="245"/>
      <c r="AJ1995" s="245"/>
      <c r="AK1995" s="245"/>
      <c r="AL1995" s="245"/>
      <c r="AM1995" s="244"/>
      <c r="AN1995" s="244"/>
      <c r="AO1995" s="238">
        <v>0.0</v>
      </c>
      <c r="AP1995" s="238">
        <v>-38.1</v>
      </c>
      <c r="AQ1995" s="235" t="s">
        <v>632</v>
      </c>
      <c r="AR1995" s="243">
        <v>3.71E11</v>
      </c>
      <c r="AS1995" s="235" t="s">
        <v>8807</v>
      </c>
      <c r="AT1995" s="235" t="s">
        <v>5</v>
      </c>
      <c r="AU1995" s="235" t="s">
        <v>634</v>
      </c>
      <c r="AV1995" s="246" t="s">
        <v>635</v>
      </c>
      <c r="AW1995" s="242"/>
      <c r="AX1995" s="242"/>
      <c r="AY1995" s="231"/>
      <c r="AZ1995" s="231"/>
      <c r="BA1995" s="227"/>
      <c r="BB1995" s="231"/>
      <c r="BC1995" s="227"/>
      <c r="BD1995" s="227"/>
      <c r="BE1995" s="227"/>
      <c r="BF1995" s="227"/>
    </row>
    <row r="1996">
      <c r="A1996" s="235" t="s">
        <v>15539</v>
      </c>
      <c r="C1996" s="235" t="s">
        <v>15540</v>
      </c>
      <c r="D1996" s="235" t="s">
        <v>15541</v>
      </c>
      <c r="E1996" s="243">
        <v>6.54E13</v>
      </c>
      <c r="F1996" s="245"/>
      <c r="G1996" s="235" t="s">
        <v>15542</v>
      </c>
      <c r="H1996" s="235" t="s">
        <v>15543</v>
      </c>
      <c r="I1996" s="235" t="s">
        <v>15543</v>
      </c>
      <c r="J1996" s="235" t="s">
        <v>15544</v>
      </c>
      <c r="K1996" s="235" t="s">
        <v>15545</v>
      </c>
      <c r="N1996" s="235" t="s">
        <v>88</v>
      </c>
      <c r="O1996" s="235" t="s">
        <v>1748</v>
      </c>
      <c r="P1996" s="238">
        <v>1.0</v>
      </c>
      <c r="Q1996" s="235" t="s">
        <v>627</v>
      </c>
      <c r="R1996" s="238">
        <v>246.67</v>
      </c>
      <c r="S1996" s="238">
        <v>12.33</v>
      </c>
      <c r="T1996" s="238">
        <v>38.1</v>
      </c>
      <c r="U1996" s="238">
        <v>1.9</v>
      </c>
      <c r="V1996" s="238">
        <v>0.0</v>
      </c>
      <c r="W1996" s="238">
        <v>0.0</v>
      </c>
      <c r="X1996" s="235" t="s">
        <v>628</v>
      </c>
      <c r="Z1996" s="244"/>
      <c r="AA1996" s="244"/>
      <c r="AB1996" s="244"/>
      <c r="AC1996" s="235" t="s">
        <v>15546</v>
      </c>
      <c r="AD1996" s="235" t="s">
        <v>881</v>
      </c>
      <c r="AE1996" s="238">
        <v>767017.0</v>
      </c>
      <c r="AF1996" s="235" t="s">
        <v>631</v>
      </c>
      <c r="AG1996" s="244"/>
      <c r="AH1996" s="244"/>
      <c r="AI1996" s="245"/>
      <c r="AJ1996" s="245"/>
      <c r="AK1996" s="245"/>
      <c r="AL1996" s="245"/>
      <c r="AM1996" s="244"/>
      <c r="AN1996" s="244"/>
      <c r="AO1996" s="238">
        <v>0.0</v>
      </c>
      <c r="AP1996" s="238">
        <v>-38.1</v>
      </c>
      <c r="AQ1996" s="235" t="s">
        <v>632</v>
      </c>
      <c r="AR1996" s="243">
        <v>3.71E11</v>
      </c>
      <c r="AS1996" s="235" t="s">
        <v>8807</v>
      </c>
      <c r="AT1996" s="235" t="s">
        <v>11</v>
      </c>
      <c r="AU1996" s="235" t="s">
        <v>634</v>
      </c>
      <c r="AV1996" s="246" t="s">
        <v>635</v>
      </c>
      <c r="AW1996" s="242"/>
      <c r="AX1996" s="242"/>
      <c r="AY1996" s="231"/>
      <c r="AZ1996" s="231"/>
      <c r="BA1996" s="227"/>
      <c r="BB1996" s="231"/>
      <c r="BC1996" s="227"/>
      <c r="BD1996" s="227"/>
      <c r="BE1996" s="227"/>
      <c r="BF1996" s="227"/>
    </row>
    <row r="1997">
      <c r="A1997" s="235" t="s">
        <v>15547</v>
      </c>
      <c r="C1997" s="235" t="s">
        <v>15548</v>
      </c>
      <c r="D1997" s="235" t="s">
        <v>15549</v>
      </c>
      <c r="E1997" s="243">
        <v>6.53E13</v>
      </c>
      <c r="F1997" s="245"/>
      <c r="G1997" s="235" t="s">
        <v>15550</v>
      </c>
      <c r="H1997" s="235" t="s">
        <v>15551</v>
      </c>
      <c r="I1997" s="235" t="s">
        <v>15551</v>
      </c>
      <c r="J1997" s="235" t="s">
        <v>15552</v>
      </c>
      <c r="K1997" s="235" t="s">
        <v>15553</v>
      </c>
      <c r="N1997" s="235" t="s">
        <v>35</v>
      </c>
      <c r="O1997" s="235" t="s">
        <v>831</v>
      </c>
      <c r="P1997" s="238">
        <v>1.0</v>
      </c>
      <c r="Q1997" s="235" t="s">
        <v>627</v>
      </c>
      <c r="R1997" s="238">
        <v>475.24</v>
      </c>
      <c r="S1997" s="238">
        <v>23.76</v>
      </c>
      <c r="T1997" s="238">
        <v>38.1</v>
      </c>
      <c r="U1997" s="238">
        <v>1.9</v>
      </c>
      <c r="V1997" s="238">
        <v>0.0</v>
      </c>
      <c r="W1997" s="238">
        <v>0.0</v>
      </c>
      <c r="X1997" s="235" t="s">
        <v>628</v>
      </c>
      <c r="Z1997" s="244"/>
      <c r="AA1997" s="244"/>
      <c r="AB1997" s="244"/>
      <c r="AC1997" s="235" t="s">
        <v>880</v>
      </c>
      <c r="AD1997" s="235" t="s">
        <v>881</v>
      </c>
      <c r="AE1997" s="238">
        <v>751024.0</v>
      </c>
      <c r="AF1997" s="235" t="s">
        <v>631</v>
      </c>
      <c r="AG1997" s="244"/>
      <c r="AH1997" s="244"/>
      <c r="AI1997" s="245"/>
      <c r="AJ1997" s="245"/>
      <c r="AK1997" s="245"/>
      <c r="AL1997" s="245"/>
      <c r="AM1997" s="244"/>
      <c r="AN1997" s="244"/>
      <c r="AO1997" s="238">
        <v>0.0</v>
      </c>
      <c r="AP1997" s="238">
        <v>-38.1</v>
      </c>
      <c r="AQ1997" s="235" t="s">
        <v>632</v>
      </c>
      <c r="AR1997" s="243">
        <v>3.71E11</v>
      </c>
      <c r="AS1997" s="235" t="s">
        <v>10017</v>
      </c>
      <c r="AT1997" s="235" t="s">
        <v>14</v>
      </c>
      <c r="AU1997" s="235" t="s">
        <v>634</v>
      </c>
      <c r="AV1997" s="246" t="s">
        <v>635</v>
      </c>
      <c r="AW1997" s="242"/>
      <c r="AX1997" s="242"/>
      <c r="AY1997" s="231"/>
      <c r="AZ1997" s="231"/>
      <c r="BA1997" s="227"/>
      <c r="BB1997" s="231"/>
      <c r="BC1997" s="227"/>
      <c r="BD1997" s="227"/>
      <c r="BE1997" s="227"/>
      <c r="BF1997" s="227"/>
    </row>
    <row r="1998">
      <c r="A1998" s="235" t="s">
        <v>15554</v>
      </c>
      <c r="C1998" s="235" t="s">
        <v>15555</v>
      </c>
      <c r="D1998" s="235" t="s">
        <v>15556</v>
      </c>
      <c r="E1998" s="243">
        <v>6.54E13</v>
      </c>
      <c r="F1998" s="245"/>
      <c r="G1998" s="235" t="s">
        <v>15557</v>
      </c>
      <c r="H1998" s="235" t="s">
        <v>15558</v>
      </c>
      <c r="I1998" s="235" t="s">
        <v>15558</v>
      </c>
      <c r="J1998" s="235" t="s">
        <v>15559</v>
      </c>
      <c r="K1998" s="235" t="s">
        <v>15560</v>
      </c>
      <c r="N1998" s="235" t="s">
        <v>138</v>
      </c>
      <c r="O1998" s="235" t="s">
        <v>675</v>
      </c>
      <c r="P1998" s="238">
        <v>1.0</v>
      </c>
      <c r="Q1998" s="235" t="s">
        <v>627</v>
      </c>
      <c r="R1998" s="238">
        <v>246.66</v>
      </c>
      <c r="S1998" s="238">
        <v>12.34</v>
      </c>
      <c r="T1998" s="238">
        <v>0.0</v>
      </c>
      <c r="U1998" s="238">
        <v>0.0</v>
      </c>
      <c r="V1998" s="238">
        <v>0.0</v>
      </c>
      <c r="W1998" s="238">
        <v>0.0</v>
      </c>
      <c r="X1998" s="235" t="s">
        <v>628</v>
      </c>
      <c r="Z1998" s="244"/>
      <c r="AA1998" s="244"/>
      <c r="AB1998" s="244"/>
      <c r="AC1998" s="235" t="s">
        <v>15561</v>
      </c>
      <c r="AD1998" s="235" t="s">
        <v>928</v>
      </c>
      <c r="AE1998" s="238">
        <v>136135.0</v>
      </c>
      <c r="AF1998" s="235" t="s">
        <v>631</v>
      </c>
      <c r="AG1998" s="244"/>
      <c r="AH1998" s="244"/>
      <c r="AI1998" s="245"/>
      <c r="AJ1998" s="245"/>
      <c r="AK1998" s="245"/>
      <c r="AL1998" s="245"/>
      <c r="AM1998" s="244"/>
      <c r="AN1998" s="244"/>
      <c r="AO1998" s="238">
        <v>0.0</v>
      </c>
      <c r="AP1998" s="238">
        <v>0.0</v>
      </c>
      <c r="AQ1998" s="235" t="s">
        <v>632</v>
      </c>
      <c r="AR1998" s="243">
        <v>3.71E11</v>
      </c>
      <c r="AS1998" s="235" t="s">
        <v>12693</v>
      </c>
      <c r="AT1998" s="235" t="s">
        <v>13</v>
      </c>
      <c r="AU1998" s="235" t="s">
        <v>634</v>
      </c>
      <c r="AV1998" s="246" t="s">
        <v>635</v>
      </c>
      <c r="AW1998" s="242"/>
      <c r="AX1998" s="242"/>
      <c r="AY1998" s="231"/>
      <c r="AZ1998" s="231"/>
      <c r="BA1998" s="227"/>
      <c r="BB1998" s="231"/>
      <c r="BC1998" s="227"/>
      <c r="BD1998" s="227"/>
      <c r="BE1998" s="227"/>
      <c r="BF1998" s="227"/>
    </row>
    <row r="1999">
      <c r="A1999" s="235" t="s">
        <v>15562</v>
      </c>
      <c r="C1999" s="235" t="s">
        <v>15563</v>
      </c>
      <c r="D1999" s="235" t="s">
        <v>15564</v>
      </c>
      <c r="E1999" s="243">
        <v>6.54E13</v>
      </c>
      <c r="F1999" s="245"/>
      <c r="G1999" s="235" t="s">
        <v>15565</v>
      </c>
      <c r="H1999" s="235" t="s">
        <v>15566</v>
      </c>
      <c r="I1999" s="235" t="s">
        <v>15567</v>
      </c>
      <c r="J1999" s="235" t="s">
        <v>15568</v>
      </c>
      <c r="K1999" s="235" t="s">
        <v>15569</v>
      </c>
      <c r="N1999" s="235" t="s">
        <v>47</v>
      </c>
      <c r="O1999" s="235" t="s">
        <v>270</v>
      </c>
      <c r="P1999" s="238">
        <v>1.0</v>
      </c>
      <c r="Q1999" s="235" t="s">
        <v>627</v>
      </c>
      <c r="R1999" s="238">
        <v>237.14</v>
      </c>
      <c r="S1999" s="238">
        <v>11.86</v>
      </c>
      <c r="T1999" s="238">
        <v>38.1</v>
      </c>
      <c r="U1999" s="238">
        <v>1.9</v>
      </c>
      <c r="V1999" s="238">
        <v>0.0</v>
      </c>
      <c r="W1999" s="238">
        <v>0.0</v>
      </c>
      <c r="X1999" s="235" t="s">
        <v>628</v>
      </c>
      <c r="Z1999" s="244"/>
      <c r="AA1999" s="244"/>
      <c r="AB1999" s="244"/>
      <c r="AC1999" s="235" t="s">
        <v>697</v>
      </c>
      <c r="AD1999" s="235" t="s">
        <v>698</v>
      </c>
      <c r="AE1999" s="238">
        <v>500054.0</v>
      </c>
      <c r="AF1999" s="235" t="s">
        <v>631</v>
      </c>
      <c r="AG1999" s="244"/>
      <c r="AH1999" s="244"/>
      <c r="AI1999" s="245"/>
      <c r="AJ1999" s="245"/>
      <c r="AK1999" s="245"/>
      <c r="AL1999" s="245"/>
      <c r="AM1999" s="244"/>
      <c r="AN1999" s="244"/>
      <c r="AO1999" s="238">
        <v>0.0</v>
      </c>
      <c r="AP1999" s="238">
        <v>-38.1</v>
      </c>
      <c r="AQ1999" s="235" t="s">
        <v>632</v>
      </c>
      <c r="AR1999" s="243">
        <v>3.71E11</v>
      </c>
      <c r="AS1999" s="235" t="s">
        <v>11171</v>
      </c>
      <c r="AT1999" s="235" t="s">
        <v>546</v>
      </c>
      <c r="AU1999" s="235" t="s">
        <v>634</v>
      </c>
      <c r="AV1999" s="246" t="s">
        <v>635</v>
      </c>
      <c r="AW1999" s="242"/>
      <c r="AX1999" s="242"/>
      <c r="AY1999" s="231"/>
      <c r="AZ1999" s="231"/>
      <c r="BA1999" s="227"/>
      <c r="BB1999" s="231"/>
      <c r="BC1999" s="227"/>
      <c r="BD1999" s="227"/>
      <c r="BE1999" s="227"/>
      <c r="BF1999" s="227"/>
    </row>
    <row r="2000">
      <c r="A2000" s="235" t="s">
        <v>15570</v>
      </c>
      <c r="C2000" s="235" t="s">
        <v>15571</v>
      </c>
      <c r="D2000" s="235" t="s">
        <v>15572</v>
      </c>
      <c r="E2000" s="243">
        <v>6.54E13</v>
      </c>
      <c r="F2000" s="245"/>
      <c r="G2000" s="235" t="s">
        <v>15573</v>
      </c>
      <c r="H2000" s="235" t="s">
        <v>15574</v>
      </c>
      <c r="I2000" s="235" t="s">
        <v>15574</v>
      </c>
      <c r="J2000" s="235" t="s">
        <v>15575</v>
      </c>
      <c r="K2000" s="235" t="s">
        <v>15576</v>
      </c>
      <c r="N2000" s="235" t="s">
        <v>144</v>
      </c>
      <c r="O2000" s="235" t="s">
        <v>232</v>
      </c>
      <c r="P2000" s="238">
        <v>1.0</v>
      </c>
      <c r="Q2000" s="235" t="s">
        <v>627</v>
      </c>
      <c r="R2000" s="238">
        <v>665.71</v>
      </c>
      <c r="S2000" s="238">
        <v>33.29</v>
      </c>
      <c r="T2000" s="238">
        <v>38.1</v>
      </c>
      <c r="U2000" s="238">
        <v>1.9</v>
      </c>
      <c r="V2000" s="238">
        <v>0.0</v>
      </c>
      <c r="W2000" s="238">
        <v>0.0</v>
      </c>
      <c r="X2000" s="235" t="s">
        <v>628</v>
      </c>
      <c r="Z2000" s="244"/>
      <c r="AA2000" s="244"/>
      <c r="AB2000" s="244"/>
      <c r="AC2000" s="235" t="s">
        <v>7073</v>
      </c>
      <c r="AD2000" s="235" t="s">
        <v>965</v>
      </c>
      <c r="AE2000" s="238">
        <v>176057.0</v>
      </c>
      <c r="AF2000" s="235" t="s">
        <v>631</v>
      </c>
      <c r="AG2000" s="244"/>
      <c r="AH2000" s="244"/>
      <c r="AI2000" s="245"/>
      <c r="AJ2000" s="245"/>
      <c r="AK2000" s="245"/>
      <c r="AL2000" s="245"/>
      <c r="AM2000" s="244"/>
      <c r="AN2000" s="244"/>
      <c r="AO2000" s="238">
        <v>0.0</v>
      </c>
      <c r="AP2000" s="238">
        <v>-38.1</v>
      </c>
      <c r="AQ2000" s="235" t="s">
        <v>632</v>
      </c>
      <c r="AR2000" s="243">
        <v>3.71E11</v>
      </c>
      <c r="AS2000" s="235" t="s">
        <v>12693</v>
      </c>
      <c r="AT2000" s="235" t="s">
        <v>13</v>
      </c>
      <c r="AU2000" s="235" t="s">
        <v>634</v>
      </c>
      <c r="AV2000" s="246" t="s">
        <v>635</v>
      </c>
      <c r="AW2000" s="242"/>
      <c r="AX2000" s="242"/>
      <c r="AY2000" s="231"/>
      <c r="AZ2000" s="231"/>
      <c r="BA2000" s="227"/>
      <c r="BB2000" s="231"/>
      <c r="BC2000" s="227"/>
      <c r="BD2000" s="227"/>
      <c r="BE2000" s="227"/>
      <c r="BF2000" s="227"/>
    </row>
    <row r="2001">
      <c r="A2001" s="235" t="s">
        <v>15577</v>
      </c>
      <c r="C2001" s="235" t="s">
        <v>15578</v>
      </c>
      <c r="D2001" s="235" t="s">
        <v>15579</v>
      </c>
      <c r="E2001" s="243">
        <v>6.54E13</v>
      </c>
      <c r="F2001" s="245"/>
      <c r="G2001" s="235" t="s">
        <v>15580</v>
      </c>
      <c r="H2001" s="235" t="s">
        <v>15581</v>
      </c>
      <c r="I2001" s="235" t="s">
        <v>15581</v>
      </c>
      <c r="J2001" s="235" t="s">
        <v>15582</v>
      </c>
      <c r="K2001" s="235" t="s">
        <v>15583</v>
      </c>
      <c r="N2001" s="235" t="s">
        <v>78</v>
      </c>
      <c r="O2001" s="235" t="s">
        <v>360</v>
      </c>
      <c r="P2001" s="238">
        <v>1.0</v>
      </c>
      <c r="Q2001" s="235" t="s">
        <v>627</v>
      </c>
      <c r="R2001" s="238">
        <v>360.95</v>
      </c>
      <c r="S2001" s="238">
        <v>18.05</v>
      </c>
      <c r="T2001" s="238">
        <v>38.1</v>
      </c>
      <c r="U2001" s="238">
        <v>1.9</v>
      </c>
      <c r="V2001" s="238">
        <v>0.0</v>
      </c>
      <c r="W2001" s="238">
        <v>0.0</v>
      </c>
      <c r="X2001" s="235" t="s">
        <v>628</v>
      </c>
      <c r="Z2001" s="244"/>
      <c r="AA2001" s="244"/>
      <c r="AB2001" s="244"/>
      <c r="AC2001" s="235" t="s">
        <v>15584</v>
      </c>
      <c r="AD2001" s="235" t="s">
        <v>845</v>
      </c>
      <c r="AE2001" s="238">
        <v>444605.0</v>
      </c>
      <c r="AF2001" s="235" t="s">
        <v>631</v>
      </c>
      <c r="AG2001" s="244"/>
      <c r="AH2001" s="244"/>
      <c r="AI2001" s="245"/>
      <c r="AJ2001" s="245"/>
      <c r="AK2001" s="245"/>
      <c r="AL2001" s="245"/>
      <c r="AM2001" s="244"/>
      <c r="AN2001" s="244"/>
      <c r="AO2001" s="238">
        <v>0.0</v>
      </c>
      <c r="AP2001" s="238">
        <v>-38.1</v>
      </c>
      <c r="AQ2001" s="235" t="s">
        <v>632</v>
      </c>
      <c r="AR2001" s="243">
        <v>3.71E11</v>
      </c>
      <c r="AS2001" s="235" t="s">
        <v>8807</v>
      </c>
      <c r="AT2001" s="235" t="s">
        <v>533</v>
      </c>
      <c r="AU2001" s="235" t="s">
        <v>634</v>
      </c>
      <c r="AV2001" s="246" t="s">
        <v>635</v>
      </c>
      <c r="AW2001" s="242"/>
      <c r="AX2001" s="242"/>
      <c r="AY2001" s="231"/>
      <c r="AZ2001" s="231"/>
      <c r="BA2001" s="227"/>
      <c r="BB2001" s="231"/>
      <c r="BC2001" s="227"/>
      <c r="BD2001" s="227"/>
      <c r="BE2001" s="227"/>
      <c r="BF2001" s="227"/>
    </row>
    <row r="2002">
      <c r="A2002" s="235" t="s">
        <v>15585</v>
      </c>
      <c r="C2002" s="235" t="s">
        <v>15586</v>
      </c>
      <c r="D2002" s="235" t="s">
        <v>15587</v>
      </c>
      <c r="E2002" s="243">
        <v>6.54E13</v>
      </c>
      <c r="F2002" s="245"/>
      <c r="G2002" s="235" t="s">
        <v>15588</v>
      </c>
      <c r="H2002" s="235" t="s">
        <v>15589</v>
      </c>
      <c r="I2002" s="235" t="s">
        <v>15589</v>
      </c>
      <c r="J2002" s="235" t="s">
        <v>15590</v>
      </c>
      <c r="K2002" s="235" t="s">
        <v>15591</v>
      </c>
      <c r="N2002" s="235" t="s">
        <v>962</v>
      </c>
      <c r="O2002" s="235" t="s">
        <v>963</v>
      </c>
      <c r="P2002" s="238">
        <v>1.0</v>
      </c>
      <c r="Q2002" s="235" t="s">
        <v>627</v>
      </c>
      <c r="R2002" s="238">
        <v>246.67</v>
      </c>
      <c r="S2002" s="238">
        <v>12.08</v>
      </c>
      <c r="T2002" s="238">
        <v>0.0</v>
      </c>
      <c r="U2002" s="238">
        <v>0.0</v>
      </c>
      <c r="V2002" s="238">
        <v>0.0</v>
      </c>
      <c r="W2002" s="238">
        <v>0.0</v>
      </c>
      <c r="X2002" s="235" t="s">
        <v>628</v>
      </c>
      <c r="Z2002" s="244"/>
      <c r="AA2002" s="244"/>
      <c r="AB2002" s="244"/>
      <c r="AC2002" s="235" t="s">
        <v>3824</v>
      </c>
      <c r="AD2002" s="235" t="s">
        <v>645</v>
      </c>
      <c r="AE2002" s="238">
        <v>695006.0</v>
      </c>
      <c r="AF2002" s="235" t="s">
        <v>631</v>
      </c>
      <c r="AG2002" s="244"/>
      <c r="AH2002" s="244"/>
      <c r="AI2002" s="245"/>
      <c r="AJ2002" s="245"/>
      <c r="AK2002" s="245"/>
      <c r="AL2002" s="245"/>
      <c r="AM2002" s="244"/>
      <c r="AN2002" s="244"/>
      <c r="AO2002" s="238">
        <v>-4.93</v>
      </c>
      <c r="AP2002" s="238">
        <v>0.0</v>
      </c>
      <c r="AQ2002" s="235" t="s">
        <v>632</v>
      </c>
      <c r="AR2002" s="243">
        <v>1.68E11</v>
      </c>
      <c r="AS2002" s="235" t="s">
        <v>13822</v>
      </c>
      <c r="AT2002" s="235" t="s">
        <v>9</v>
      </c>
      <c r="AU2002" s="235" t="s">
        <v>634</v>
      </c>
      <c r="AV2002" s="246" t="s">
        <v>635</v>
      </c>
      <c r="AW2002" s="242"/>
      <c r="AX2002" s="242"/>
      <c r="AY2002" s="231"/>
      <c r="AZ2002" s="231"/>
      <c r="BA2002" s="227"/>
      <c r="BB2002" s="231"/>
      <c r="BC2002" s="227"/>
      <c r="BD2002" s="227"/>
      <c r="BE2002" s="227"/>
      <c r="BF2002" s="227"/>
    </row>
    <row r="2003">
      <c r="A2003" s="235" t="s">
        <v>15592</v>
      </c>
      <c r="C2003" s="235" t="s">
        <v>15593</v>
      </c>
      <c r="D2003" s="235" t="s">
        <v>15594</v>
      </c>
      <c r="E2003" s="243">
        <v>6.54E13</v>
      </c>
      <c r="F2003" s="245"/>
      <c r="G2003" s="235" t="s">
        <v>15595</v>
      </c>
      <c r="H2003" s="235" t="s">
        <v>15596</v>
      </c>
      <c r="I2003" s="235" t="s">
        <v>15596</v>
      </c>
      <c r="J2003" s="235" t="s">
        <v>15597</v>
      </c>
      <c r="K2003" s="235" t="s">
        <v>15598</v>
      </c>
      <c r="N2003" s="235" t="s">
        <v>138</v>
      </c>
      <c r="O2003" s="235" t="s">
        <v>675</v>
      </c>
      <c r="P2003" s="238">
        <v>1.0</v>
      </c>
      <c r="Q2003" s="235" t="s">
        <v>627</v>
      </c>
      <c r="R2003" s="238">
        <v>246.66</v>
      </c>
      <c r="S2003" s="238">
        <v>12.1</v>
      </c>
      <c r="T2003" s="238">
        <v>0.0</v>
      </c>
      <c r="U2003" s="238">
        <v>0.0</v>
      </c>
      <c r="V2003" s="238">
        <v>0.0</v>
      </c>
      <c r="W2003" s="238">
        <v>0.0</v>
      </c>
      <c r="X2003" s="235" t="s">
        <v>628</v>
      </c>
      <c r="Z2003" s="244"/>
      <c r="AA2003" s="244"/>
      <c r="AB2003" s="244"/>
      <c r="AC2003" s="235" t="s">
        <v>687</v>
      </c>
      <c r="AD2003" s="235" t="s">
        <v>666</v>
      </c>
      <c r="AE2003" s="238">
        <v>600051.0</v>
      </c>
      <c r="AF2003" s="235" t="s">
        <v>631</v>
      </c>
      <c r="AG2003" s="244"/>
      <c r="AH2003" s="244"/>
      <c r="AI2003" s="245"/>
      <c r="AJ2003" s="245"/>
      <c r="AK2003" s="245"/>
      <c r="AL2003" s="245"/>
      <c r="AM2003" s="244"/>
      <c r="AN2003" s="244"/>
      <c r="AO2003" s="238">
        <v>-4.94</v>
      </c>
      <c r="AP2003" s="238">
        <v>0.0</v>
      </c>
      <c r="AQ2003" s="235" t="s">
        <v>632</v>
      </c>
      <c r="AR2003" s="243">
        <v>1.68E11</v>
      </c>
      <c r="AS2003" s="235" t="s">
        <v>15599</v>
      </c>
      <c r="AT2003" s="235" t="s">
        <v>156</v>
      </c>
      <c r="AU2003" s="235" t="s">
        <v>634</v>
      </c>
      <c r="AV2003" s="246" t="s">
        <v>635</v>
      </c>
      <c r="AW2003" s="242"/>
      <c r="AX2003" s="242"/>
      <c r="AY2003" s="231"/>
      <c r="AZ2003" s="231"/>
      <c r="BA2003" s="227"/>
      <c r="BB2003" s="231"/>
      <c r="BC2003" s="227"/>
      <c r="BD2003" s="227"/>
      <c r="BE2003" s="227"/>
      <c r="BF2003" s="227"/>
    </row>
    <row r="2004">
      <c r="A2004" s="235" t="s">
        <v>15600</v>
      </c>
      <c r="C2004" s="235" t="s">
        <v>15601</v>
      </c>
      <c r="D2004" s="235" t="s">
        <v>15602</v>
      </c>
      <c r="E2004" s="243">
        <v>6.54E13</v>
      </c>
      <c r="F2004" s="245"/>
      <c r="G2004" s="235" t="s">
        <v>15603</v>
      </c>
      <c r="H2004" s="235" t="s">
        <v>15604</v>
      </c>
      <c r="I2004" s="235" t="s">
        <v>15604</v>
      </c>
      <c r="J2004" s="235" t="s">
        <v>15605</v>
      </c>
      <c r="K2004" s="235" t="s">
        <v>15606</v>
      </c>
      <c r="N2004" s="235" t="s">
        <v>94</v>
      </c>
      <c r="O2004" s="235" t="s">
        <v>509</v>
      </c>
      <c r="P2004" s="238">
        <v>1.0</v>
      </c>
      <c r="Q2004" s="235" t="s">
        <v>627</v>
      </c>
      <c r="R2004" s="238">
        <v>246.66</v>
      </c>
      <c r="S2004" s="238">
        <v>12.34</v>
      </c>
      <c r="T2004" s="238">
        <v>0.0</v>
      </c>
      <c r="U2004" s="238">
        <v>0.0</v>
      </c>
      <c r="V2004" s="238">
        <v>0.0</v>
      </c>
      <c r="W2004" s="238">
        <v>0.0</v>
      </c>
      <c r="X2004" s="235" t="s">
        <v>628</v>
      </c>
      <c r="Z2004" s="244"/>
      <c r="AA2004" s="244"/>
      <c r="AB2004" s="244"/>
      <c r="AC2004" s="235" t="s">
        <v>4294</v>
      </c>
      <c r="AD2004" s="235" t="s">
        <v>666</v>
      </c>
      <c r="AE2004" s="238">
        <v>641604.0</v>
      </c>
      <c r="AF2004" s="235" t="s">
        <v>631</v>
      </c>
      <c r="AG2004" s="244"/>
      <c r="AH2004" s="244"/>
      <c r="AI2004" s="245"/>
      <c r="AJ2004" s="245"/>
      <c r="AK2004" s="245"/>
      <c r="AL2004" s="245"/>
      <c r="AM2004" s="244"/>
      <c r="AN2004" s="244"/>
      <c r="AO2004" s="238">
        <v>0.0</v>
      </c>
      <c r="AP2004" s="238">
        <v>0.0</v>
      </c>
      <c r="AQ2004" s="235" t="s">
        <v>632</v>
      </c>
      <c r="AR2004" s="243">
        <v>3.71E11</v>
      </c>
      <c r="AS2004" s="235" t="s">
        <v>15064</v>
      </c>
      <c r="AT2004" s="235" t="s">
        <v>155</v>
      </c>
      <c r="AU2004" s="235" t="s">
        <v>634</v>
      </c>
      <c r="AV2004" s="246" t="s">
        <v>635</v>
      </c>
      <c r="AW2004" s="242"/>
      <c r="AX2004" s="242"/>
      <c r="AY2004" s="231"/>
      <c r="AZ2004" s="231"/>
      <c r="BA2004" s="227"/>
      <c r="BB2004" s="231"/>
      <c r="BC2004" s="227"/>
      <c r="BD2004" s="227"/>
      <c r="BE2004" s="227"/>
      <c r="BF2004" s="227"/>
    </row>
    <row r="2005">
      <c r="A2005" s="235" t="s">
        <v>15607</v>
      </c>
      <c r="C2005" s="235" t="s">
        <v>15608</v>
      </c>
      <c r="D2005" s="235" t="s">
        <v>15609</v>
      </c>
      <c r="E2005" s="243">
        <v>6.54E13</v>
      </c>
      <c r="F2005" s="245"/>
      <c r="G2005" s="235" t="s">
        <v>15610</v>
      </c>
      <c r="H2005" s="235" t="s">
        <v>15611</v>
      </c>
      <c r="I2005" s="235" t="s">
        <v>15611</v>
      </c>
      <c r="J2005" s="235" t="s">
        <v>15612</v>
      </c>
      <c r="K2005" s="235" t="s">
        <v>15613</v>
      </c>
      <c r="N2005" s="235" t="s">
        <v>53</v>
      </c>
      <c r="O2005" s="235" t="s">
        <v>512</v>
      </c>
      <c r="P2005" s="238">
        <v>1.0</v>
      </c>
      <c r="Q2005" s="235" t="s">
        <v>627</v>
      </c>
      <c r="R2005" s="238">
        <v>237.14</v>
      </c>
      <c r="S2005" s="238">
        <v>11.86</v>
      </c>
      <c r="T2005" s="238">
        <v>0.0</v>
      </c>
      <c r="U2005" s="238">
        <v>0.0</v>
      </c>
      <c r="V2005" s="238">
        <v>0.0</v>
      </c>
      <c r="W2005" s="238">
        <v>0.0</v>
      </c>
      <c r="X2005" s="235" t="s">
        <v>628</v>
      </c>
      <c r="Z2005" s="244"/>
      <c r="AA2005" s="244"/>
      <c r="AB2005" s="244"/>
      <c r="AC2005" s="235" t="s">
        <v>1671</v>
      </c>
      <c r="AD2005" s="235" t="s">
        <v>666</v>
      </c>
      <c r="AE2005" s="238">
        <v>641021.0</v>
      </c>
      <c r="AF2005" s="235" t="s">
        <v>631</v>
      </c>
      <c r="AG2005" s="244"/>
      <c r="AH2005" s="244"/>
      <c r="AI2005" s="245"/>
      <c r="AJ2005" s="245"/>
      <c r="AK2005" s="245"/>
      <c r="AL2005" s="245"/>
      <c r="AM2005" s="244"/>
      <c r="AN2005" s="244"/>
      <c r="AO2005" s="238">
        <v>0.0</v>
      </c>
      <c r="AP2005" s="238">
        <v>0.0</v>
      </c>
      <c r="AQ2005" s="235" t="s">
        <v>632</v>
      </c>
      <c r="AR2005" s="243">
        <v>3.71E11</v>
      </c>
      <c r="AS2005" s="235" t="s">
        <v>15064</v>
      </c>
      <c r="AT2005" s="235" t="s">
        <v>155</v>
      </c>
      <c r="AU2005" s="235" t="s">
        <v>634</v>
      </c>
      <c r="AV2005" s="246" t="s">
        <v>635</v>
      </c>
      <c r="AW2005" s="242"/>
      <c r="AX2005" s="242"/>
      <c r="AY2005" s="231"/>
      <c r="AZ2005" s="231"/>
      <c r="BA2005" s="227"/>
      <c r="BB2005" s="231"/>
      <c r="BC2005" s="227"/>
      <c r="BD2005" s="227"/>
      <c r="BE2005" s="227"/>
      <c r="BF2005" s="227"/>
    </row>
    <row r="2006">
      <c r="A2006" s="235" t="s">
        <v>15614</v>
      </c>
      <c r="C2006" s="235" t="s">
        <v>15615</v>
      </c>
      <c r="D2006" s="235" t="s">
        <v>15616</v>
      </c>
      <c r="E2006" s="243">
        <v>6.54E13</v>
      </c>
      <c r="F2006" s="245"/>
      <c r="G2006" s="235" t="s">
        <v>15617</v>
      </c>
      <c r="H2006" s="235" t="s">
        <v>15618</v>
      </c>
      <c r="I2006" s="235" t="s">
        <v>15618</v>
      </c>
      <c r="J2006" s="235" t="s">
        <v>15619</v>
      </c>
      <c r="K2006" s="235" t="s">
        <v>15620</v>
      </c>
      <c r="N2006" s="235" t="s">
        <v>136</v>
      </c>
      <c r="O2006" s="235" t="s">
        <v>256</v>
      </c>
      <c r="P2006" s="238">
        <v>1.0</v>
      </c>
      <c r="Q2006" s="235" t="s">
        <v>627</v>
      </c>
      <c r="R2006" s="238">
        <v>246.66</v>
      </c>
      <c r="S2006" s="238">
        <v>12.34</v>
      </c>
      <c r="T2006" s="238">
        <v>0.0</v>
      </c>
      <c r="U2006" s="238">
        <v>0.0</v>
      </c>
      <c r="V2006" s="238">
        <v>0.0</v>
      </c>
      <c r="W2006" s="238">
        <v>0.0</v>
      </c>
      <c r="X2006" s="235" t="s">
        <v>628</v>
      </c>
      <c r="Z2006" s="244"/>
      <c r="AA2006" s="244"/>
      <c r="AB2006" s="244"/>
      <c r="AC2006" s="235" t="s">
        <v>12864</v>
      </c>
      <c r="AD2006" s="235" t="s">
        <v>845</v>
      </c>
      <c r="AE2006" s="238">
        <v>421004.0</v>
      </c>
      <c r="AF2006" s="235" t="s">
        <v>631</v>
      </c>
      <c r="AG2006" s="244"/>
      <c r="AH2006" s="244"/>
      <c r="AI2006" s="245"/>
      <c r="AJ2006" s="245"/>
      <c r="AK2006" s="245"/>
      <c r="AL2006" s="245"/>
      <c r="AM2006" s="244"/>
      <c r="AN2006" s="244"/>
      <c r="AO2006" s="238">
        <v>0.0</v>
      </c>
      <c r="AP2006" s="238">
        <v>0.0</v>
      </c>
      <c r="AQ2006" s="235" t="s">
        <v>632</v>
      </c>
      <c r="AR2006" s="243">
        <v>1.68E11</v>
      </c>
      <c r="AS2006" s="235" t="s">
        <v>15599</v>
      </c>
      <c r="AT2006" s="235" t="s">
        <v>17</v>
      </c>
      <c r="AU2006" s="235" t="s">
        <v>634</v>
      </c>
      <c r="AV2006" s="246" t="s">
        <v>635</v>
      </c>
      <c r="AW2006" s="242"/>
      <c r="AX2006" s="242"/>
      <c r="AY2006" s="231"/>
      <c r="AZ2006" s="231"/>
      <c r="BA2006" s="227"/>
      <c r="BB2006" s="231"/>
      <c r="BC2006" s="227"/>
      <c r="BD2006" s="227"/>
      <c r="BE2006" s="227"/>
      <c r="BF2006" s="227"/>
    </row>
    <row r="2007">
      <c r="A2007" s="235" t="s">
        <v>15621</v>
      </c>
      <c r="C2007" s="235" t="s">
        <v>15622</v>
      </c>
      <c r="D2007" s="235" t="s">
        <v>15623</v>
      </c>
      <c r="E2007" s="243">
        <v>6.54E13</v>
      </c>
      <c r="F2007" s="245"/>
      <c r="G2007" s="235" t="s">
        <v>15624</v>
      </c>
      <c r="H2007" s="235" t="s">
        <v>15625</v>
      </c>
      <c r="I2007" s="235" t="s">
        <v>15625</v>
      </c>
      <c r="J2007" s="235" t="s">
        <v>15626</v>
      </c>
      <c r="K2007" s="235" t="s">
        <v>12585</v>
      </c>
      <c r="N2007" s="235" t="s">
        <v>68</v>
      </c>
      <c r="O2007" s="235" t="s">
        <v>208</v>
      </c>
      <c r="P2007" s="238">
        <v>1.0</v>
      </c>
      <c r="Q2007" s="235" t="s">
        <v>627</v>
      </c>
      <c r="R2007" s="238">
        <v>246.66</v>
      </c>
      <c r="S2007" s="238">
        <v>12.34</v>
      </c>
      <c r="T2007" s="238">
        <v>6.03</v>
      </c>
      <c r="U2007" s="238">
        <v>0.3</v>
      </c>
      <c r="V2007" s="238">
        <v>0.0</v>
      </c>
      <c r="W2007" s="238">
        <v>0.0</v>
      </c>
      <c r="X2007" s="235" t="s">
        <v>628</v>
      </c>
      <c r="Z2007" s="244"/>
      <c r="AA2007" s="244"/>
      <c r="AB2007" s="244"/>
      <c r="AC2007" s="235" t="s">
        <v>678</v>
      </c>
      <c r="AD2007" s="235" t="s">
        <v>679</v>
      </c>
      <c r="AE2007" s="238">
        <v>560100.0</v>
      </c>
      <c r="AF2007" s="235" t="s">
        <v>631</v>
      </c>
      <c r="AG2007" s="244"/>
      <c r="AH2007" s="244"/>
      <c r="AI2007" s="245"/>
      <c r="AJ2007" s="245"/>
      <c r="AK2007" s="245"/>
      <c r="AL2007" s="245"/>
      <c r="AM2007" s="244"/>
      <c r="AN2007" s="244"/>
      <c r="AO2007" s="238">
        <v>0.0</v>
      </c>
      <c r="AP2007" s="238">
        <v>-6.03</v>
      </c>
      <c r="AQ2007" s="235" t="s">
        <v>632</v>
      </c>
      <c r="AR2007" s="243">
        <v>1.68E11</v>
      </c>
      <c r="AS2007" s="235" t="s">
        <v>15599</v>
      </c>
      <c r="AT2007" s="235" t="s">
        <v>11</v>
      </c>
      <c r="AU2007" s="235" t="s">
        <v>634</v>
      </c>
      <c r="AV2007" s="246" t="s">
        <v>635</v>
      </c>
      <c r="AW2007" s="242"/>
      <c r="AX2007" s="242"/>
      <c r="AY2007" s="231"/>
      <c r="AZ2007" s="231"/>
      <c r="BA2007" s="227"/>
      <c r="BB2007" s="231"/>
      <c r="BC2007" s="227"/>
      <c r="BD2007" s="227"/>
      <c r="BE2007" s="227"/>
      <c r="BF2007" s="227"/>
    </row>
    <row r="2008">
      <c r="A2008" s="235" t="s">
        <v>15627</v>
      </c>
      <c r="C2008" s="235" t="s">
        <v>15628</v>
      </c>
      <c r="D2008" s="235" t="s">
        <v>15629</v>
      </c>
      <c r="E2008" s="243">
        <v>6.54E13</v>
      </c>
      <c r="F2008" s="245"/>
      <c r="G2008" s="235" t="s">
        <v>15630</v>
      </c>
      <c r="H2008" s="235" t="s">
        <v>15631</v>
      </c>
      <c r="I2008" s="235" t="s">
        <v>15631</v>
      </c>
      <c r="J2008" s="235" t="s">
        <v>15632</v>
      </c>
      <c r="K2008" s="235" t="s">
        <v>15633</v>
      </c>
      <c r="N2008" s="235" t="s">
        <v>127</v>
      </c>
      <c r="O2008" s="235" t="s">
        <v>794</v>
      </c>
      <c r="P2008" s="238">
        <v>1.0</v>
      </c>
      <c r="Q2008" s="235" t="s">
        <v>627</v>
      </c>
      <c r="R2008" s="238">
        <v>270.48</v>
      </c>
      <c r="S2008" s="238">
        <v>13.52</v>
      </c>
      <c r="T2008" s="238">
        <v>38.1</v>
      </c>
      <c r="U2008" s="238">
        <v>1.9</v>
      </c>
      <c r="V2008" s="238">
        <v>0.0</v>
      </c>
      <c r="W2008" s="238">
        <v>0.0</v>
      </c>
      <c r="X2008" s="235" t="s">
        <v>628</v>
      </c>
      <c r="Z2008" s="244"/>
      <c r="AA2008" s="244"/>
      <c r="AB2008" s="244"/>
      <c r="AC2008" s="235" t="s">
        <v>687</v>
      </c>
      <c r="AD2008" s="235" t="s">
        <v>666</v>
      </c>
      <c r="AE2008" s="238">
        <v>602105.0</v>
      </c>
      <c r="AF2008" s="235" t="s">
        <v>631</v>
      </c>
      <c r="AG2008" s="244"/>
      <c r="AH2008" s="244"/>
      <c r="AI2008" s="245"/>
      <c r="AJ2008" s="245"/>
      <c r="AK2008" s="245"/>
      <c r="AL2008" s="245"/>
      <c r="AM2008" s="244"/>
      <c r="AN2008" s="244"/>
      <c r="AO2008" s="238">
        <v>0.0</v>
      </c>
      <c r="AP2008" s="238">
        <v>-38.1</v>
      </c>
      <c r="AQ2008" s="235" t="s">
        <v>632</v>
      </c>
      <c r="AR2008" s="243">
        <v>3.71E11</v>
      </c>
      <c r="AS2008" s="235" t="s">
        <v>13822</v>
      </c>
      <c r="AT2008" s="235" t="s">
        <v>156</v>
      </c>
      <c r="AU2008" s="235" t="s">
        <v>634</v>
      </c>
      <c r="AV2008" s="246" t="s">
        <v>635</v>
      </c>
      <c r="AW2008" s="242"/>
      <c r="AX2008" s="242"/>
      <c r="AY2008" s="231"/>
      <c r="AZ2008" s="231"/>
      <c r="BA2008" s="227"/>
      <c r="BB2008" s="231"/>
      <c r="BC2008" s="227"/>
      <c r="BD2008" s="227"/>
      <c r="BE2008" s="227"/>
      <c r="BF2008" s="227"/>
    </row>
    <row r="2009">
      <c r="A2009" s="235" t="s">
        <v>15634</v>
      </c>
      <c r="C2009" s="235" t="s">
        <v>15635</v>
      </c>
      <c r="D2009" s="235" t="s">
        <v>15636</v>
      </c>
      <c r="E2009" s="243">
        <v>6.54E13</v>
      </c>
      <c r="F2009" s="245"/>
      <c r="G2009" s="235" t="s">
        <v>15637</v>
      </c>
      <c r="H2009" s="235" t="s">
        <v>15638</v>
      </c>
      <c r="I2009" s="235" t="s">
        <v>15639</v>
      </c>
      <c r="J2009" s="235" t="s">
        <v>15640</v>
      </c>
      <c r="K2009" s="235" t="s">
        <v>15641</v>
      </c>
      <c r="N2009" s="235" t="s">
        <v>42</v>
      </c>
      <c r="O2009" s="235" t="s">
        <v>204</v>
      </c>
      <c r="P2009" s="238">
        <v>1.0</v>
      </c>
      <c r="Q2009" s="235" t="s">
        <v>627</v>
      </c>
      <c r="R2009" s="238">
        <v>237.14</v>
      </c>
      <c r="S2009" s="238">
        <v>11.62</v>
      </c>
      <c r="T2009" s="238">
        <v>0.0</v>
      </c>
      <c r="U2009" s="238">
        <v>0.0</v>
      </c>
      <c r="V2009" s="238">
        <v>0.0</v>
      </c>
      <c r="W2009" s="238">
        <v>0.0</v>
      </c>
      <c r="X2009" s="235" t="s">
        <v>628</v>
      </c>
      <c r="Z2009" s="244"/>
      <c r="AA2009" s="244"/>
      <c r="AB2009" s="244"/>
      <c r="AC2009" s="235" t="s">
        <v>687</v>
      </c>
      <c r="AD2009" s="235" t="s">
        <v>666</v>
      </c>
      <c r="AE2009" s="238">
        <v>600033.0</v>
      </c>
      <c r="AF2009" s="235" t="s">
        <v>631</v>
      </c>
      <c r="AG2009" s="244"/>
      <c r="AH2009" s="244"/>
      <c r="AI2009" s="245"/>
      <c r="AJ2009" s="245"/>
      <c r="AK2009" s="245"/>
      <c r="AL2009" s="245"/>
      <c r="AM2009" s="244"/>
      <c r="AN2009" s="244"/>
      <c r="AO2009" s="238">
        <v>-4.74</v>
      </c>
      <c r="AP2009" s="238">
        <v>0.0</v>
      </c>
      <c r="AQ2009" s="235" t="s">
        <v>632</v>
      </c>
      <c r="AR2009" s="243">
        <v>1.68E11</v>
      </c>
      <c r="AS2009" s="235" t="s">
        <v>15599</v>
      </c>
      <c r="AT2009" s="235" t="s">
        <v>156</v>
      </c>
      <c r="AU2009" s="235" t="s">
        <v>634</v>
      </c>
      <c r="AV2009" s="246" t="s">
        <v>635</v>
      </c>
      <c r="AW2009" s="242"/>
      <c r="AX2009" s="242"/>
      <c r="AY2009" s="231"/>
      <c r="AZ2009" s="231"/>
      <c r="BA2009" s="227"/>
      <c r="BB2009" s="231"/>
      <c r="BC2009" s="227"/>
      <c r="BD2009" s="227"/>
      <c r="BE2009" s="227"/>
      <c r="BF2009" s="227"/>
    </row>
    <row r="2010">
      <c r="A2010" s="235" t="s">
        <v>15642</v>
      </c>
      <c r="C2010" s="235" t="s">
        <v>15643</v>
      </c>
      <c r="D2010" s="235" t="s">
        <v>15644</v>
      </c>
      <c r="E2010" s="243">
        <v>6.52E13</v>
      </c>
      <c r="F2010" s="245"/>
      <c r="G2010" s="235" t="s">
        <v>15645</v>
      </c>
      <c r="H2010" s="235" t="s">
        <v>15646</v>
      </c>
      <c r="I2010" s="235" t="s">
        <v>15646</v>
      </c>
      <c r="J2010" s="235" t="s">
        <v>15647</v>
      </c>
      <c r="K2010" s="235" t="s">
        <v>15648</v>
      </c>
      <c r="N2010" s="235" t="s">
        <v>53</v>
      </c>
      <c r="O2010" s="235" t="s">
        <v>512</v>
      </c>
      <c r="P2010" s="238">
        <v>1.0</v>
      </c>
      <c r="Q2010" s="235" t="s">
        <v>627</v>
      </c>
      <c r="R2010" s="238">
        <v>237.14</v>
      </c>
      <c r="S2010" s="238">
        <v>11.86</v>
      </c>
      <c r="T2010" s="238">
        <v>38.1</v>
      </c>
      <c r="U2010" s="238">
        <v>1.9</v>
      </c>
      <c r="V2010" s="238">
        <v>0.0</v>
      </c>
      <c r="W2010" s="238">
        <v>0.0</v>
      </c>
      <c r="X2010" s="235" t="s">
        <v>628</v>
      </c>
      <c r="Z2010" s="244"/>
      <c r="AA2010" s="244"/>
      <c r="AB2010" s="244"/>
      <c r="AC2010" s="235" t="s">
        <v>15649</v>
      </c>
      <c r="AD2010" s="235" t="s">
        <v>666</v>
      </c>
      <c r="AE2010" s="238">
        <v>635109.0</v>
      </c>
      <c r="AF2010" s="235" t="s">
        <v>631</v>
      </c>
      <c r="AG2010" s="244"/>
      <c r="AH2010" s="244"/>
      <c r="AI2010" s="245"/>
      <c r="AJ2010" s="245"/>
      <c r="AK2010" s="245"/>
      <c r="AL2010" s="245"/>
      <c r="AM2010" s="244"/>
      <c r="AN2010" s="244"/>
      <c r="AO2010" s="238">
        <v>0.0</v>
      </c>
      <c r="AP2010" s="238">
        <v>-38.1</v>
      </c>
      <c r="AQ2010" s="235" t="s">
        <v>632</v>
      </c>
      <c r="AR2010" s="243">
        <v>3.71E11</v>
      </c>
      <c r="AS2010" s="235" t="s">
        <v>13822</v>
      </c>
      <c r="AT2010" s="235" t="s">
        <v>9</v>
      </c>
      <c r="AU2010" s="235" t="s">
        <v>634</v>
      </c>
      <c r="AV2010" s="246" t="s">
        <v>635</v>
      </c>
      <c r="AW2010" s="242"/>
      <c r="AX2010" s="242"/>
      <c r="AY2010" s="231"/>
      <c r="AZ2010" s="231"/>
      <c r="BA2010" s="227"/>
      <c r="BB2010" s="231"/>
      <c r="BC2010" s="227"/>
      <c r="BD2010" s="227"/>
      <c r="BE2010" s="227"/>
      <c r="BF2010" s="227"/>
    </row>
    <row r="2011">
      <c r="A2011" s="235" t="s">
        <v>15650</v>
      </c>
      <c r="C2011" s="235" t="s">
        <v>15651</v>
      </c>
      <c r="D2011" s="235" t="s">
        <v>15652</v>
      </c>
      <c r="E2011" s="243">
        <v>6.54E13</v>
      </c>
      <c r="F2011" s="245"/>
      <c r="G2011" s="235" t="s">
        <v>15653</v>
      </c>
      <c r="H2011" s="235" t="s">
        <v>15654</v>
      </c>
      <c r="I2011" s="235" t="s">
        <v>15654</v>
      </c>
      <c r="J2011" s="235" t="s">
        <v>15655</v>
      </c>
      <c r="K2011" s="235" t="s">
        <v>15656</v>
      </c>
      <c r="N2011" s="235" t="s">
        <v>130</v>
      </c>
      <c r="O2011" s="235" t="s">
        <v>707</v>
      </c>
      <c r="P2011" s="238">
        <v>1.0</v>
      </c>
      <c r="Q2011" s="235" t="s">
        <v>627</v>
      </c>
      <c r="R2011" s="238">
        <v>246.66</v>
      </c>
      <c r="S2011" s="238">
        <v>12.34</v>
      </c>
      <c r="T2011" s="238">
        <v>0.0</v>
      </c>
      <c r="U2011" s="238">
        <v>0.0</v>
      </c>
      <c r="V2011" s="238">
        <v>0.0</v>
      </c>
      <c r="W2011" s="238">
        <v>0.0</v>
      </c>
      <c r="X2011" s="235" t="s">
        <v>628</v>
      </c>
      <c r="Z2011" s="244"/>
      <c r="AA2011" s="244"/>
      <c r="AB2011" s="244"/>
      <c r="AC2011" s="235" t="s">
        <v>15657</v>
      </c>
      <c r="AD2011" s="235" t="s">
        <v>666</v>
      </c>
      <c r="AE2011" s="238">
        <v>641301.0</v>
      </c>
      <c r="AF2011" s="235" t="s">
        <v>631</v>
      </c>
      <c r="AG2011" s="244"/>
      <c r="AH2011" s="244"/>
      <c r="AI2011" s="245"/>
      <c r="AJ2011" s="245"/>
      <c r="AK2011" s="245"/>
      <c r="AL2011" s="245"/>
      <c r="AM2011" s="244"/>
      <c r="AN2011" s="244"/>
      <c r="AO2011" s="238">
        <v>0.0</v>
      </c>
      <c r="AP2011" s="238">
        <v>0.0</v>
      </c>
      <c r="AQ2011" s="235" t="s">
        <v>632</v>
      </c>
      <c r="AR2011" s="243">
        <v>3.71E11</v>
      </c>
      <c r="AS2011" s="235" t="s">
        <v>13822</v>
      </c>
      <c r="AT2011" s="235" t="s">
        <v>155</v>
      </c>
      <c r="AU2011" s="235" t="s">
        <v>634</v>
      </c>
      <c r="AV2011" s="246" t="s">
        <v>635</v>
      </c>
      <c r="AW2011" s="242"/>
      <c r="AX2011" s="242"/>
      <c r="AY2011" s="231"/>
      <c r="AZ2011" s="231"/>
      <c r="BA2011" s="227"/>
      <c r="BB2011" s="231"/>
      <c r="BC2011" s="227"/>
      <c r="BD2011" s="227"/>
      <c r="BE2011" s="227"/>
      <c r="BF2011" s="227"/>
    </row>
    <row r="2012">
      <c r="A2012" s="235" t="s">
        <v>15658</v>
      </c>
      <c r="C2012" s="235" t="s">
        <v>15659</v>
      </c>
      <c r="D2012" s="235" t="s">
        <v>15660</v>
      </c>
      <c r="E2012" s="243">
        <v>6.54E13</v>
      </c>
      <c r="F2012" s="245"/>
      <c r="G2012" s="235" t="s">
        <v>15661</v>
      </c>
      <c r="H2012" s="235" t="s">
        <v>15662</v>
      </c>
      <c r="I2012" s="235" t="s">
        <v>15662</v>
      </c>
      <c r="J2012" s="235" t="s">
        <v>15663</v>
      </c>
      <c r="K2012" s="235" t="s">
        <v>15664</v>
      </c>
      <c r="N2012" s="235" t="s">
        <v>53</v>
      </c>
      <c r="O2012" s="235" t="s">
        <v>512</v>
      </c>
      <c r="P2012" s="238">
        <v>1.0</v>
      </c>
      <c r="Q2012" s="235" t="s">
        <v>627</v>
      </c>
      <c r="R2012" s="238">
        <v>237.14</v>
      </c>
      <c r="S2012" s="238">
        <v>11.86</v>
      </c>
      <c r="T2012" s="238">
        <v>38.1</v>
      </c>
      <c r="U2012" s="238">
        <v>1.9</v>
      </c>
      <c r="V2012" s="238">
        <v>0.0</v>
      </c>
      <c r="W2012" s="238">
        <v>0.0</v>
      </c>
      <c r="X2012" s="235" t="s">
        <v>628</v>
      </c>
      <c r="Z2012" s="244"/>
      <c r="AA2012" s="244"/>
      <c r="AB2012" s="244"/>
      <c r="AC2012" s="235" t="s">
        <v>15665</v>
      </c>
      <c r="AD2012" s="235" t="s">
        <v>679</v>
      </c>
      <c r="AE2012" s="238">
        <v>577004.0</v>
      </c>
      <c r="AF2012" s="235" t="s">
        <v>631</v>
      </c>
      <c r="AG2012" s="244"/>
      <c r="AH2012" s="244"/>
      <c r="AI2012" s="245"/>
      <c r="AJ2012" s="245"/>
      <c r="AK2012" s="245"/>
      <c r="AL2012" s="245"/>
      <c r="AM2012" s="244"/>
      <c r="AN2012" s="244"/>
      <c r="AO2012" s="238">
        <v>0.0</v>
      </c>
      <c r="AP2012" s="238">
        <v>-38.1</v>
      </c>
      <c r="AQ2012" s="235" t="s">
        <v>632</v>
      </c>
      <c r="AR2012" s="243">
        <v>3.71E11</v>
      </c>
      <c r="AS2012" s="235" t="s">
        <v>13822</v>
      </c>
      <c r="AT2012" s="235" t="s">
        <v>9</v>
      </c>
      <c r="AU2012" s="235" t="s">
        <v>634</v>
      </c>
      <c r="AV2012" s="246" t="s">
        <v>635</v>
      </c>
      <c r="AW2012" s="242"/>
      <c r="AX2012" s="242"/>
      <c r="AY2012" s="231"/>
      <c r="AZ2012" s="231"/>
      <c r="BA2012" s="227"/>
      <c r="BB2012" s="231"/>
      <c r="BC2012" s="227"/>
      <c r="BD2012" s="227"/>
      <c r="BE2012" s="227"/>
      <c r="BF2012" s="227"/>
    </row>
    <row r="2013">
      <c r="A2013" s="235" t="s">
        <v>15666</v>
      </c>
      <c r="C2013" s="235" t="s">
        <v>15667</v>
      </c>
      <c r="D2013" s="235" t="s">
        <v>15668</v>
      </c>
      <c r="E2013" s="243">
        <v>6.54E13</v>
      </c>
      <c r="F2013" s="245"/>
      <c r="G2013" s="235" t="s">
        <v>15669</v>
      </c>
      <c r="H2013" s="235" t="s">
        <v>15670</v>
      </c>
      <c r="I2013" s="235" t="s">
        <v>15670</v>
      </c>
      <c r="J2013" s="235" t="s">
        <v>15671</v>
      </c>
      <c r="K2013" s="235" t="s">
        <v>15672</v>
      </c>
      <c r="N2013" s="235" t="s">
        <v>130</v>
      </c>
      <c r="O2013" s="235" t="s">
        <v>707</v>
      </c>
      <c r="P2013" s="238">
        <v>1.0</v>
      </c>
      <c r="Q2013" s="235" t="s">
        <v>627</v>
      </c>
      <c r="R2013" s="238">
        <v>246.67</v>
      </c>
      <c r="S2013" s="238">
        <v>12.33</v>
      </c>
      <c r="T2013" s="238">
        <v>38.1</v>
      </c>
      <c r="U2013" s="238">
        <v>1.9</v>
      </c>
      <c r="V2013" s="238">
        <v>0.0</v>
      </c>
      <c r="W2013" s="238">
        <v>0.0</v>
      </c>
      <c r="X2013" s="235" t="s">
        <v>628</v>
      </c>
      <c r="Z2013" s="244"/>
      <c r="AA2013" s="244"/>
      <c r="AB2013" s="244"/>
      <c r="AC2013" s="235" t="s">
        <v>795</v>
      </c>
      <c r="AD2013" s="235" t="s">
        <v>796</v>
      </c>
      <c r="AE2013" s="238">
        <v>110009.0</v>
      </c>
      <c r="AF2013" s="235" t="s">
        <v>631</v>
      </c>
      <c r="AG2013" s="244"/>
      <c r="AH2013" s="244"/>
      <c r="AI2013" s="245"/>
      <c r="AJ2013" s="245"/>
      <c r="AK2013" s="245"/>
      <c r="AL2013" s="245"/>
      <c r="AM2013" s="244"/>
      <c r="AN2013" s="244"/>
      <c r="AO2013" s="238">
        <v>0.0</v>
      </c>
      <c r="AP2013" s="238">
        <v>-38.1</v>
      </c>
      <c r="AQ2013" s="235" t="s">
        <v>632</v>
      </c>
      <c r="AR2013" s="243">
        <v>3.71E11</v>
      </c>
      <c r="AS2013" s="235" t="s">
        <v>15064</v>
      </c>
      <c r="AT2013" s="235" t="s">
        <v>13</v>
      </c>
      <c r="AU2013" s="235" t="s">
        <v>634</v>
      </c>
      <c r="AV2013" s="246" t="s">
        <v>635</v>
      </c>
      <c r="AW2013" s="242"/>
      <c r="AX2013" s="242"/>
      <c r="AY2013" s="231"/>
      <c r="AZ2013" s="231"/>
      <c r="BA2013" s="227"/>
      <c r="BB2013" s="231"/>
      <c r="BC2013" s="227"/>
      <c r="BD2013" s="227"/>
      <c r="BE2013" s="227"/>
      <c r="BF2013" s="227"/>
    </row>
    <row r="2014">
      <c r="A2014" s="235" t="s">
        <v>15673</v>
      </c>
      <c r="C2014" s="235" t="s">
        <v>15674</v>
      </c>
      <c r="D2014" s="235" t="s">
        <v>15675</v>
      </c>
      <c r="E2014" s="243">
        <v>6.54E13</v>
      </c>
      <c r="F2014" s="245"/>
      <c r="G2014" s="235" t="s">
        <v>15676</v>
      </c>
      <c r="H2014" s="235" t="s">
        <v>15677</v>
      </c>
      <c r="I2014" s="235" t="s">
        <v>15678</v>
      </c>
      <c r="J2014" s="235" t="s">
        <v>15679</v>
      </c>
      <c r="K2014" s="235" t="s">
        <v>15680</v>
      </c>
      <c r="N2014" s="235" t="s">
        <v>2163</v>
      </c>
      <c r="O2014" s="235" t="s">
        <v>2164</v>
      </c>
      <c r="P2014" s="238">
        <v>1.0</v>
      </c>
      <c r="Q2014" s="235" t="s">
        <v>627</v>
      </c>
      <c r="R2014" s="238">
        <v>246.67</v>
      </c>
      <c r="S2014" s="238">
        <v>12.33</v>
      </c>
      <c r="T2014" s="238">
        <v>0.0</v>
      </c>
      <c r="U2014" s="238">
        <v>0.0</v>
      </c>
      <c r="V2014" s="238">
        <v>0.0</v>
      </c>
      <c r="W2014" s="238">
        <v>0.0</v>
      </c>
      <c r="X2014" s="235" t="s">
        <v>628</v>
      </c>
      <c r="Z2014" s="244"/>
      <c r="AA2014" s="244"/>
      <c r="AB2014" s="244"/>
      <c r="AC2014" s="235" t="s">
        <v>767</v>
      </c>
      <c r="AD2014" s="235" t="s">
        <v>679</v>
      </c>
      <c r="AE2014" s="238">
        <v>562114.0</v>
      </c>
      <c r="AF2014" s="235" t="s">
        <v>631</v>
      </c>
      <c r="AG2014" s="244"/>
      <c r="AH2014" s="244"/>
      <c r="AI2014" s="245"/>
      <c r="AJ2014" s="245"/>
      <c r="AK2014" s="245"/>
      <c r="AL2014" s="245"/>
      <c r="AM2014" s="244"/>
      <c r="AN2014" s="244"/>
      <c r="AO2014" s="238">
        <v>0.0</v>
      </c>
      <c r="AP2014" s="238">
        <v>0.0</v>
      </c>
      <c r="AQ2014" s="235" t="s">
        <v>632</v>
      </c>
      <c r="AR2014" s="243">
        <v>3.71E11</v>
      </c>
      <c r="AS2014" s="235" t="s">
        <v>11171</v>
      </c>
      <c r="AT2014" s="235" t="s">
        <v>16</v>
      </c>
      <c r="AU2014" s="235" t="s">
        <v>634</v>
      </c>
      <c r="AV2014" s="246" t="s">
        <v>635</v>
      </c>
      <c r="AW2014" s="242"/>
      <c r="AX2014" s="242"/>
      <c r="AY2014" s="231"/>
      <c r="AZ2014" s="231"/>
      <c r="BA2014" s="227"/>
      <c r="BB2014" s="231"/>
      <c r="BC2014" s="227"/>
      <c r="BD2014" s="227"/>
      <c r="BE2014" s="227"/>
      <c r="BF2014" s="227"/>
    </row>
    <row r="2015">
      <c r="A2015" s="235" t="s">
        <v>15681</v>
      </c>
      <c r="C2015" s="235" t="s">
        <v>15682</v>
      </c>
      <c r="D2015" s="235" t="s">
        <v>15683</v>
      </c>
      <c r="E2015" s="243">
        <v>6.54E13</v>
      </c>
      <c r="F2015" s="245"/>
      <c r="G2015" s="235" t="s">
        <v>15684</v>
      </c>
      <c r="H2015" s="235" t="s">
        <v>15685</v>
      </c>
      <c r="I2015" s="235" t="s">
        <v>15685</v>
      </c>
      <c r="J2015" s="235" t="s">
        <v>15686</v>
      </c>
      <c r="K2015" s="235" t="s">
        <v>15687</v>
      </c>
      <c r="N2015" s="235" t="s">
        <v>541</v>
      </c>
      <c r="O2015" s="235" t="s">
        <v>664</v>
      </c>
      <c r="P2015" s="238">
        <v>1.0</v>
      </c>
      <c r="Q2015" s="235" t="s">
        <v>627</v>
      </c>
      <c r="R2015" s="238">
        <v>668.64</v>
      </c>
      <c r="S2015" s="238">
        <v>120.36</v>
      </c>
      <c r="T2015" s="238">
        <v>33.9</v>
      </c>
      <c r="U2015" s="238">
        <v>6.1</v>
      </c>
      <c r="V2015" s="238">
        <v>0.0</v>
      </c>
      <c r="W2015" s="238">
        <v>0.0</v>
      </c>
      <c r="X2015" s="235" t="s">
        <v>628</v>
      </c>
      <c r="Z2015" s="244"/>
      <c r="AA2015" s="244"/>
      <c r="AB2015" s="244"/>
      <c r="AC2015" s="235" t="s">
        <v>15688</v>
      </c>
      <c r="AD2015" s="235" t="s">
        <v>833</v>
      </c>
      <c r="AE2015" s="238">
        <v>518003.0</v>
      </c>
      <c r="AF2015" s="235" t="s">
        <v>631</v>
      </c>
      <c r="AG2015" s="244"/>
      <c r="AH2015" s="244"/>
      <c r="AI2015" s="245"/>
      <c r="AJ2015" s="245"/>
      <c r="AK2015" s="245"/>
      <c r="AL2015" s="245"/>
      <c r="AM2015" s="244"/>
      <c r="AN2015" s="244"/>
      <c r="AO2015" s="238">
        <v>0.0</v>
      </c>
      <c r="AP2015" s="238">
        <v>-33.9</v>
      </c>
      <c r="AQ2015" s="235" t="s">
        <v>632</v>
      </c>
      <c r="AR2015" s="243">
        <v>3.71E11</v>
      </c>
      <c r="AS2015" s="235" t="s">
        <v>12693</v>
      </c>
      <c r="AT2015" s="235" t="s">
        <v>9</v>
      </c>
      <c r="AU2015" s="235" t="s">
        <v>634</v>
      </c>
      <c r="AV2015" s="246" t="s">
        <v>635</v>
      </c>
      <c r="AW2015" s="242"/>
      <c r="AX2015" s="242"/>
      <c r="AY2015" s="231"/>
      <c r="AZ2015" s="231"/>
      <c r="BA2015" s="227"/>
      <c r="BB2015" s="231"/>
      <c r="BC2015" s="227"/>
      <c r="BD2015" s="227"/>
      <c r="BE2015" s="227"/>
      <c r="BF2015" s="227"/>
    </row>
    <row r="2016">
      <c r="A2016" s="235" t="s">
        <v>15689</v>
      </c>
      <c r="C2016" s="235" t="s">
        <v>15690</v>
      </c>
      <c r="D2016" s="235" t="s">
        <v>15691</v>
      </c>
      <c r="E2016" s="243">
        <v>6.54E13</v>
      </c>
      <c r="F2016" s="245"/>
      <c r="G2016" s="235" t="s">
        <v>15692</v>
      </c>
      <c r="H2016" s="235" t="s">
        <v>15693</v>
      </c>
      <c r="I2016" s="235" t="s">
        <v>15694</v>
      </c>
      <c r="J2016" s="235" t="s">
        <v>15695</v>
      </c>
      <c r="K2016" s="235" t="s">
        <v>15696</v>
      </c>
      <c r="N2016" s="235" t="s">
        <v>717</v>
      </c>
      <c r="O2016" s="235" t="s">
        <v>718</v>
      </c>
      <c r="P2016" s="238">
        <v>2.0</v>
      </c>
      <c r="Q2016" s="235" t="s">
        <v>627</v>
      </c>
      <c r="R2016" s="238">
        <v>912.38</v>
      </c>
      <c r="S2016" s="238">
        <v>44.26</v>
      </c>
      <c r="T2016" s="238">
        <v>0.0</v>
      </c>
      <c r="U2016" s="238">
        <v>0.0</v>
      </c>
      <c r="V2016" s="238">
        <v>0.0</v>
      </c>
      <c r="W2016" s="238">
        <v>0.0</v>
      </c>
      <c r="X2016" s="235" t="s">
        <v>628</v>
      </c>
      <c r="Z2016" s="244"/>
      <c r="AA2016" s="244"/>
      <c r="AB2016" s="244"/>
      <c r="AC2016" s="235" t="s">
        <v>822</v>
      </c>
      <c r="AD2016" s="235" t="s">
        <v>630</v>
      </c>
      <c r="AE2016" s="238">
        <v>201301.0</v>
      </c>
      <c r="AF2016" s="235" t="s">
        <v>631</v>
      </c>
      <c r="AG2016" s="244"/>
      <c r="AH2016" s="244"/>
      <c r="AI2016" s="245"/>
      <c r="AJ2016" s="245"/>
      <c r="AK2016" s="245"/>
      <c r="AL2016" s="245"/>
      <c r="AM2016" s="244"/>
      <c r="AN2016" s="244"/>
      <c r="AO2016" s="238">
        <v>-27.38</v>
      </c>
      <c r="AP2016" s="238">
        <v>0.0</v>
      </c>
      <c r="AQ2016" s="235" t="s">
        <v>632</v>
      </c>
      <c r="AR2016" s="243">
        <v>1.68E11</v>
      </c>
      <c r="AS2016" s="235" t="s">
        <v>15599</v>
      </c>
      <c r="AT2016" s="235" t="s">
        <v>533</v>
      </c>
      <c r="AU2016" s="235" t="s">
        <v>634</v>
      </c>
      <c r="AV2016" s="246" t="s">
        <v>635</v>
      </c>
      <c r="AW2016" s="242"/>
      <c r="AX2016" s="242"/>
      <c r="AY2016" s="231"/>
      <c r="AZ2016" s="231"/>
      <c r="BA2016" s="227"/>
      <c r="BB2016" s="231"/>
      <c r="BC2016" s="227"/>
      <c r="BD2016" s="227"/>
      <c r="BE2016" s="227"/>
      <c r="BF2016" s="227"/>
    </row>
    <row r="2017">
      <c r="A2017" s="235" t="s">
        <v>15697</v>
      </c>
      <c r="C2017" s="235" t="s">
        <v>15698</v>
      </c>
      <c r="D2017" s="235" t="s">
        <v>15699</v>
      </c>
      <c r="E2017" s="243">
        <v>6.54E13</v>
      </c>
      <c r="F2017" s="245"/>
      <c r="G2017" s="235" t="s">
        <v>15700</v>
      </c>
      <c r="H2017" s="235" t="s">
        <v>15701</v>
      </c>
      <c r="I2017" s="235" t="s">
        <v>15694</v>
      </c>
      <c r="J2017" s="235" t="s">
        <v>15702</v>
      </c>
      <c r="K2017" s="235" t="s">
        <v>15703</v>
      </c>
      <c r="N2017" s="235" t="s">
        <v>82</v>
      </c>
      <c r="O2017" s="235" t="s">
        <v>889</v>
      </c>
      <c r="P2017" s="238">
        <v>1.0</v>
      </c>
      <c r="Q2017" s="235" t="s">
        <v>627</v>
      </c>
      <c r="R2017" s="238">
        <v>246.67</v>
      </c>
      <c r="S2017" s="238">
        <v>12.33</v>
      </c>
      <c r="T2017" s="238">
        <v>0.0</v>
      </c>
      <c r="U2017" s="238">
        <v>0.0</v>
      </c>
      <c r="V2017" s="238">
        <v>0.0</v>
      </c>
      <c r="W2017" s="238">
        <v>0.0</v>
      </c>
      <c r="X2017" s="235" t="s">
        <v>628</v>
      </c>
      <c r="Z2017" s="244"/>
      <c r="AA2017" s="244"/>
      <c r="AB2017" s="244"/>
      <c r="AC2017" s="235" t="s">
        <v>15704</v>
      </c>
      <c r="AD2017" s="235" t="s">
        <v>698</v>
      </c>
      <c r="AE2017" s="238">
        <v>504302.0</v>
      </c>
      <c r="AF2017" s="235" t="s">
        <v>631</v>
      </c>
      <c r="AG2017" s="244"/>
      <c r="AH2017" s="244"/>
      <c r="AI2017" s="245"/>
      <c r="AJ2017" s="245"/>
      <c r="AK2017" s="245"/>
      <c r="AL2017" s="245"/>
      <c r="AM2017" s="244"/>
      <c r="AN2017" s="244"/>
      <c r="AO2017" s="238">
        <v>0.0</v>
      </c>
      <c r="AP2017" s="238">
        <v>0.0</v>
      </c>
      <c r="AQ2017" s="235" t="s">
        <v>632</v>
      </c>
      <c r="AR2017" s="243">
        <v>3.71E11</v>
      </c>
      <c r="AS2017" s="235" t="s">
        <v>11171</v>
      </c>
      <c r="AT2017" s="235" t="s">
        <v>9</v>
      </c>
      <c r="AU2017" s="235" t="s">
        <v>634</v>
      </c>
      <c r="AV2017" s="246" t="s">
        <v>635</v>
      </c>
      <c r="AW2017" s="242"/>
      <c r="AX2017" s="242"/>
      <c r="AY2017" s="231"/>
      <c r="AZ2017" s="231"/>
      <c r="BA2017" s="227"/>
      <c r="BB2017" s="231"/>
      <c r="BC2017" s="227"/>
      <c r="BD2017" s="227"/>
      <c r="BE2017" s="227"/>
      <c r="BF2017" s="227"/>
    </row>
    <row r="2018">
      <c r="A2018" s="235" t="s">
        <v>15705</v>
      </c>
      <c r="C2018" s="235" t="s">
        <v>15706</v>
      </c>
      <c r="D2018" s="235" t="s">
        <v>15707</v>
      </c>
      <c r="E2018" s="243">
        <v>6.54E13</v>
      </c>
      <c r="F2018" s="245"/>
      <c r="G2018" s="235" t="s">
        <v>15708</v>
      </c>
      <c r="H2018" s="235" t="s">
        <v>15709</v>
      </c>
      <c r="I2018" s="235" t="s">
        <v>15709</v>
      </c>
      <c r="J2018" s="235" t="s">
        <v>15710</v>
      </c>
      <c r="K2018" s="235" t="s">
        <v>15711</v>
      </c>
      <c r="N2018" s="235" t="s">
        <v>127</v>
      </c>
      <c r="O2018" s="235" t="s">
        <v>794</v>
      </c>
      <c r="P2018" s="238">
        <v>1.0</v>
      </c>
      <c r="Q2018" s="235" t="s">
        <v>627</v>
      </c>
      <c r="R2018" s="238">
        <v>246.67</v>
      </c>
      <c r="S2018" s="238">
        <v>12.08</v>
      </c>
      <c r="T2018" s="238">
        <v>0.0</v>
      </c>
      <c r="U2018" s="238">
        <v>0.0</v>
      </c>
      <c r="V2018" s="238">
        <v>0.0</v>
      </c>
      <c r="W2018" s="238">
        <v>0.0</v>
      </c>
      <c r="X2018" s="235" t="s">
        <v>628</v>
      </c>
      <c r="Z2018" s="244"/>
      <c r="AA2018" s="244"/>
      <c r="AB2018" s="244"/>
      <c r="AC2018" s="235" t="s">
        <v>880</v>
      </c>
      <c r="AD2018" s="235" t="s">
        <v>881</v>
      </c>
      <c r="AE2018" s="238">
        <v>751024.0</v>
      </c>
      <c r="AF2018" s="235" t="s">
        <v>631</v>
      </c>
      <c r="AG2018" s="244"/>
      <c r="AH2018" s="244"/>
      <c r="AI2018" s="245"/>
      <c r="AJ2018" s="245"/>
      <c r="AK2018" s="245"/>
      <c r="AL2018" s="245"/>
      <c r="AM2018" s="244"/>
      <c r="AN2018" s="244"/>
      <c r="AO2018" s="238">
        <v>-4.93</v>
      </c>
      <c r="AP2018" s="238">
        <v>0.0</v>
      </c>
      <c r="AQ2018" s="235" t="s">
        <v>632</v>
      </c>
      <c r="AR2018" s="243">
        <v>3.71E11</v>
      </c>
      <c r="AS2018" s="235" t="s">
        <v>10017</v>
      </c>
      <c r="AT2018" s="235" t="s">
        <v>14</v>
      </c>
      <c r="AU2018" s="235" t="s">
        <v>634</v>
      </c>
      <c r="AV2018" s="246" t="s">
        <v>635</v>
      </c>
      <c r="AW2018" s="242"/>
      <c r="AX2018" s="242"/>
      <c r="AY2018" s="231"/>
      <c r="AZ2018" s="231"/>
      <c r="BA2018" s="227"/>
      <c r="BB2018" s="231"/>
      <c r="BC2018" s="227"/>
      <c r="BD2018" s="227"/>
      <c r="BE2018" s="227"/>
      <c r="BF2018" s="227"/>
    </row>
    <row r="2019">
      <c r="A2019" s="235" t="s">
        <v>15712</v>
      </c>
      <c r="C2019" s="235" t="s">
        <v>15713</v>
      </c>
      <c r="D2019" s="235" t="s">
        <v>15714</v>
      </c>
      <c r="E2019" s="243">
        <v>6.54E13</v>
      </c>
      <c r="F2019" s="245"/>
      <c r="G2019" s="235" t="s">
        <v>15715</v>
      </c>
      <c r="H2019" s="235" t="s">
        <v>15716</v>
      </c>
      <c r="I2019" s="235" t="s">
        <v>15716</v>
      </c>
      <c r="J2019" s="235" t="s">
        <v>15717</v>
      </c>
      <c r="K2019" s="235" t="s">
        <v>15718</v>
      </c>
      <c r="N2019" s="235" t="s">
        <v>130</v>
      </c>
      <c r="O2019" s="235" t="s">
        <v>707</v>
      </c>
      <c r="P2019" s="238">
        <v>1.0</v>
      </c>
      <c r="Q2019" s="235" t="s">
        <v>627</v>
      </c>
      <c r="R2019" s="238">
        <v>246.67</v>
      </c>
      <c r="S2019" s="238">
        <v>12.33</v>
      </c>
      <c r="T2019" s="238">
        <v>38.1</v>
      </c>
      <c r="U2019" s="238">
        <v>1.9</v>
      </c>
      <c r="V2019" s="238">
        <v>0.0</v>
      </c>
      <c r="W2019" s="238">
        <v>0.0</v>
      </c>
      <c r="X2019" s="235" t="s">
        <v>628</v>
      </c>
      <c r="Z2019" s="244"/>
      <c r="AA2019" s="244"/>
      <c r="AB2019" s="244"/>
      <c r="AC2019" s="235" t="s">
        <v>15719</v>
      </c>
      <c r="AD2019" s="235" t="s">
        <v>679</v>
      </c>
      <c r="AE2019" s="238">
        <v>585401.0</v>
      </c>
      <c r="AF2019" s="235" t="s">
        <v>631</v>
      </c>
      <c r="AG2019" s="244"/>
      <c r="AH2019" s="244"/>
      <c r="AI2019" s="245"/>
      <c r="AJ2019" s="245"/>
      <c r="AK2019" s="245"/>
      <c r="AL2019" s="245"/>
      <c r="AM2019" s="244"/>
      <c r="AN2019" s="244"/>
      <c r="AO2019" s="238">
        <v>0.0</v>
      </c>
      <c r="AP2019" s="238">
        <v>-38.1</v>
      </c>
      <c r="AQ2019" s="235" t="s">
        <v>632</v>
      </c>
      <c r="AR2019" s="243">
        <v>3.71E11</v>
      </c>
      <c r="AS2019" s="235" t="s">
        <v>12693</v>
      </c>
      <c r="AT2019" s="235" t="s">
        <v>17</v>
      </c>
      <c r="AU2019" s="235" t="s">
        <v>634</v>
      </c>
      <c r="AV2019" s="246" t="s">
        <v>635</v>
      </c>
      <c r="AW2019" s="242"/>
      <c r="AX2019" s="242"/>
      <c r="AY2019" s="231"/>
      <c r="AZ2019" s="231"/>
      <c r="BA2019" s="227"/>
      <c r="BB2019" s="231"/>
      <c r="BC2019" s="227"/>
      <c r="BD2019" s="227"/>
      <c r="BE2019" s="227"/>
      <c r="BF2019" s="227"/>
    </row>
    <row r="2020">
      <c r="A2020" s="235" t="s">
        <v>15720</v>
      </c>
      <c r="C2020" s="235" t="s">
        <v>15721</v>
      </c>
      <c r="D2020" s="235" t="s">
        <v>15722</v>
      </c>
      <c r="E2020" s="243">
        <v>6.54E13</v>
      </c>
      <c r="F2020" s="245"/>
      <c r="G2020" s="235" t="s">
        <v>15723</v>
      </c>
      <c r="H2020" s="235" t="s">
        <v>15724</v>
      </c>
      <c r="I2020" s="235" t="s">
        <v>15724</v>
      </c>
      <c r="J2020" s="235" t="s">
        <v>15725</v>
      </c>
      <c r="K2020" s="235" t="s">
        <v>15726</v>
      </c>
      <c r="N2020" s="235" t="s">
        <v>136</v>
      </c>
      <c r="O2020" s="235" t="s">
        <v>256</v>
      </c>
      <c r="P2020" s="238">
        <v>1.0</v>
      </c>
      <c r="Q2020" s="235" t="s">
        <v>627</v>
      </c>
      <c r="R2020" s="238">
        <v>246.67</v>
      </c>
      <c r="S2020" s="238">
        <v>12.33</v>
      </c>
      <c r="T2020" s="238">
        <v>0.0</v>
      </c>
      <c r="U2020" s="238">
        <v>0.0</v>
      </c>
      <c r="V2020" s="238">
        <v>0.0</v>
      </c>
      <c r="W2020" s="238">
        <v>0.0</v>
      </c>
      <c r="X2020" s="235" t="s">
        <v>628</v>
      </c>
      <c r="Z2020" s="244"/>
      <c r="AA2020" s="244"/>
      <c r="AB2020" s="244"/>
      <c r="AC2020" s="235" t="s">
        <v>15727</v>
      </c>
      <c r="AD2020" s="235" t="s">
        <v>645</v>
      </c>
      <c r="AE2020" s="238">
        <v>682301.0</v>
      </c>
      <c r="AF2020" s="235" t="s">
        <v>631</v>
      </c>
      <c r="AG2020" s="244"/>
      <c r="AH2020" s="244"/>
      <c r="AI2020" s="245"/>
      <c r="AJ2020" s="245"/>
      <c r="AK2020" s="245"/>
      <c r="AL2020" s="245"/>
      <c r="AM2020" s="244"/>
      <c r="AN2020" s="244"/>
      <c r="AO2020" s="238">
        <v>0.0</v>
      </c>
      <c r="AP2020" s="238">
        <v>0.0</v>
      </c>
      <c r="AQ2020" s="235" t="s">
        <v>632</v>
      </c>
      <c r="AR2020" s="243">
        <v>1.68E11</v>
      </c>
      <c r="AS2020" s="235" t="s">
        <v>15064</v>
      </c>
      <c r="AT2020" s="235" t="s">
        <v>155</v>
      </c>
      <c r="AU2020" s="235" t="s">
        <v>634</v>
      </c>
      <c r="AV2020" s="246" t="s">
        <v>635</v>
      </c>
      <c r="AW2020" s="242"/>
      <c r="AX2020" s="242"/>
      <c r="AY2020" s="231"/>
      <c r="AZ2020" s="231"/>
      <c r="BA2020" s="227"/>
      <c r="BB2020" s="231"/>
      <c r="BC2020" s="227"/>
      <c r="BD2020" s="227"/>
      <c r="BE2020" s="227"/>
      <c r="BF2020" s="227"/>
    </row>
    <row r="2021">
      <c r="A2021" s="235" t="s">
        <v>15728</v>
      </c>
      <c r="C2021" s="235" t="s">
        <v>15729</v>
      </c>
      <c r="D2021" s="235" t="s">
        <v>15730</v>
      </c>
      <c r="E2021" s="243">
        <v>6.54E13</v>
      </c>
      <c r="F2021" s="245"/>
      <c r="G2021" s="235" t="s">
        <v>15731</v>
      </c>
      <c r="H2021" s="235" t="s">
        <v>15732</v>
      </c>
      <c r="I2021" s="235" t="s">
        <v>15732</v>
      </c>
      <c r="J2021" s="235" t="s">
        <v>15733</v>
      </c>
      <c r="K2021" s="235" t="s">
        <v>15734</v>
      </c>
      <c r="N2021" s="235" t="s">
        <v>42</v>
      </c>
      <c r="O2021" s="235" t="s">
        <v>204</v>
      </c>
      <c r="P2021" s="238">
        <v>1.0</v>
      </c>
      <c r="Q2021" s="235" t="s">
        <v>627</v>
      </c>
      <c r="R2021" s="238">
        <v>236.2</v>
      </c>
      <c r="S2021" s="238">
        <v>11.8</v>
      </c>
      <c r="T2021" s="238">
        <v>0.0</v>
      </c>
      <c r="U2021" s="238">
        <v>0.0</v>
      </c>
      <c r="V2021" s="238">
        <v>0.0</v>
      </c>
      <c r="W2021" s="238">
        <v>0.0</v>
      </c>
      <c r="X2021" s="235" t="s">
        <v>628</v>
      </c>
      <c r="Z2021" s="244"/>
      <c r="AA2021" s="244"/>
      <c r="AB2021" s="244"/>
      <c r="AC2021" s="235" t="s">
        <v>5203</v>
      </c>
      <c r="AD2021" s="235" t="s">
        <v>666</v>
      </c>
      <c r="AE2021" s="238">
        <v>636002.0</v>
      </c>
      <c r="AF2021" s="235" t="s">
        <v>631</v>
      </c>
      <c r="AG2021" s="244"/>
      <c r="AH2021" s="244"/>
      <c r="AI2021" s="245"/>
      <c r="AJ2021" s="245"/>
      <c r="AK2021" s="245"/>
      <c r="AL2021" s="245"/>
      <c r="AM2021" s="244"/>
      <c r="AN2021" s="244"/>
      <c r="AO2021" s="238">
        <v>0.0</v>
      </c>
      <c r="AP2021" s="238">
        <v>0.0</v>
      </c>
      <c r="AQ2021" s="235" t="s">
        <v>632</v>
      </c>
      <c r="AR2021" s="243">
        <v>1.68E11</v>
      </c>
      <c r="AS2021" s="235" t="s">
        <v>15064</v>
      </c>
      <c r="AT2021" s="235" t="s">
        <v>155</v>
      </c>
      <c r="AU2021" s="235" t="s">
        <v>634</v>
      </c>
      <c r="AV2021" s="246" t="s">
        <v>635</v>
      </c>
      <c r="AW2021" s="242"/>
      <c r="AX2021" s="242"/>
      <c r="AY2021" s="231"/>
      <c r="AZ2021" s="231"/>
      <c r="BA2021" s="227"/>
      <c r="BB2021" s="231"/>
      <c r="BC2021" s="227"/>
      <c r="BD2021" s="227"/>
      <c r="BE2021" s="227"/>
      <c r="BF2021" s="227"/>
    </row>
    <row r="2022">
      <c r="A2022" s="235" t="s">
        <v>15735</v>
      </c>
      <c r="C2022" s="235" t="s">
        <v>15736</v>
      </c>
      <c r="D2022" s="235" t="s">
        <v>15737</v>
      </c>
      <c r="E2022" s="243">
        <v>6.54E13</v>
      </c>
      <c r="F2022" s="245"/>
      <c r="G2022" s="235" t="s">
        <v>15738</v>
      </c>
      <c r="H2022" s="235" t="s">
        <v>15739</v>
      </c>
      <c r="I2022" s="235" t="s">
        <v>15739</v>
      </c>
      <c r="J2022" s="235" t="s">
        <v>15740</v>
      </c>
      <c r="K2022" s="235" t="s">
        <v>15741</v>
      </c>
      <c r="N2022" s="235" t="s">
        <v>146</v>
      </c>
      <c r="O2022" s="235" t="s">
        <v>438</v>
      </c>
      <c r="P2022" s="238">
        <v>1.0</v>
      </c>
      <c r="Q2022" s="235" t="s">
        <v>627</v>
      </c>
      <c r="R2022" s="238">
        <v>256.19</v>
      </c>
      <c r="S2022" s="238">
        <v>12.81</v>
      </c>
      <c r="T2022" s="238">
        <v>38.1</v>
      </c>
      <c r="U2022" s="238">
        <v>1.9</v>
      </c>
      <c r="V2022" s="238">
        <v>0.0</v>
      </c>
      <c r="W2022" s="238">
        <v>0.0</v>
      </c>
      <c r="X2022" s="235" t="s">
        <v>628</v>
      </c>
      <c r="Z2022" s="244"/>
      <c r="AA2022" s="244"/>
      <c r="AB2022" s="244"/>
      <c r="AC2022" s="235" t="s">
        <v>1058</v>
      </c>
      <c r="AD2022" s="235" t="s">
        <v>845</v>
      </c>
      <c r="AE2022" s="238">
        <v>400008.0</v>
      </c>
      <c r="AF2022" s="235" t="s">
        <v>631</v>
      </c>
      <c r="AG2022" s="244"/>
      <c r="AH2022" s="244"/>
      <c r="AI2022" s="245"/>
      <c r="AJ2022" s="245"/>
      <c r="AK2022" s="245"/>
      <c r="AL2022" s="245"/>
      <c r="AM2022" s="244"/>
      <c r="AN2022" s="244"/>
      <c r="AO2022" s="238">
        <v>0.0</v>
      </c>
      <c r="AP2022" s="238">
        <v>-38.1</v>
      </c>
      <c r="AQ2022" s="235" t="s">
        <v>632</v>
      </c>
      <c r="AR2022" s="243">
        <v>3.71E11</v>
      </c>
      <c r="AS2022" s="235" t="s">
        <v>11171</v>
      </c>
      <c r="AT2022" s="235" t="s">
        <v>5</v>
      </c>
      <c r="AU2022" s="235" t="s">
        <v>634</v>
      </c>
      <c r="AV2022" s="246" t="s">
        <v>635</v>
      </c>
      <c r="AW2022" s="242"/>
      <c r="AX2022" s="242"/>
      <c r="AY2022" s="231"/>
      <c r="AZ2022" s="231"/>
      <c r="BA2022" s="227"/>
      <c r="BB2022" s="231"/>
      <c r="BC2022" s="227"/>
      <c r="BD2022" s="227"/>
      <c r="BE2022" s="227"/>
      <c r="BF2022" s="227"/>
    </row>
    <row r="2023">
      <c r="A2023" s="235" t="s">
        <v>15742</v>
      </c>
      <c r="C2023" s="235" t="s">
        <v>15743</v>
      </c>
      <c r="D2023" s="235" t="s">
        <v>15744</v>
      </c>
      <c r="E2023" s="243">
        <v>6.54E13</v>
      </c>
      <c r="F2023" s="245"/>
      <c r="G2023" s="235" t="s">
        <v>15745</v>
      </c>
      <c r="H2023" s="235" t="s">
        <v>15746</v>
      </c>
      <c r="I2023" s="235" t="s">
        <v>15746</v>
      </c>
      <c r="J2023" s="235" t="s">
        <v>15747</v>
      </c>
      <c r="K2023" s="235" t="s">
        <v>15748</v>
      </c>
      <c r="N2023" s="235" t="s">
        <v>154</v>
      </c>
      <c r="O2023" s="235" t="s">
        <v>766</v>
      </c>
      <c r="P2023" s="238">
        <v>1.0</v>
      </c>
      <c r="Q2023" s="235" t="s">
        <v>627</v>
      </c>
      <c r="R2023" s="238">
        <v>461.9</v>
      </c>
      <c r="S2023" s="238">
        <v>23.1</v>
      </c>
      <c r="T2023" s="238">
        <v>0.0</v>
      </c>
      <c r="U2023" s="238">
        <v>0.0</v>
      </c>
      <c r="V2023" s="238">
        <v>0.0</v>
      </c>
      <c r="W2023" s="238">
        <v>0.0</v>
      </c>
      <c r="X2023" s="235" t="s">
        <v>628</v>
      </c>
      <c r="Z2023" s="244"/>
      <c r="AA2023" s="244"/>
      <c r="AB2023" s="244"/>
      <c r="AC2023" s="235" t="s">
        <v>795</v>
      </c>
      <c r="AD2023" s="235" t="s">
        <v>796</v>
      </c>
      <c r="AE2023" s="238">
        <v>110017.0</v>
      </c>
      <c r="AF2023" s="235" t="s">
        <v>631</v>
      </c>
      <c r="AG2023" s="244"/>
      <c r="AH2023" s="244"/>
      <c r="AI2023" s="245"/>
      <c r="AJ2023" s="245"/>
      <c r="AK2023" s="245"/>
      <c r="AL2023" s="245"/>
      <c r="AM2023" s="244"/>
      <c r="AN2023" s="244"/>
      <c r="AO2023" s="238">
        <v>0.0</v>
      </c>
      <c r="AP2023" s="238">
        <v>0.0</v>
      </c>
      <c r="AQ2023" s="235" t="s">
        <v>632</v>
      </c>
      <c r="AR2023" s="243">
        <v>3.71E11</v>
      </c>
      <c r="AS2023" s="235" t="s">
        <v>15064</v>
      </c>
      <c r="AT2023" s="235" t="s">
        <v>14</v>
      </c>
      <c r="AU2023" s="235" t="s">
        <v>634</v>
      </c>
      <c r="AV2023" s="246" t="s">
        <v>635</v>
      </c>
      <c r="AW2023" s="242"/>
      <c r="AX2023" s="242"/>
      <c r="AY2023" s="231"/>
      <c r="AZ2023" s="231"/>
      <c r="BA2023" s="227"/>
      <c r="BB2023" s="231"/>
      <c r="BC2023" s="227"/>
      <c r="BD2023" s="227"/>
      <c r="BE2023" s="227"/>
      <c r="BF2023" s="227"/>
    </row>
    <row r="2024">
      <c r="A2024" s="235" t="s">
        <v>15749</v>
      </c>
      <c r="C2024" s="235" t="s">
        <v>15750</v>
      </c>
      <c r="D2024" s="235" t="s">
        <v>15751</v>
      </c>
      <c r="E2024" s="243">
        <v>6.54E13</v>
      </c>
      <c r="F2024" s="245"/>
      <c r="G2024" s="235" t="s">
        <v>15752</v>
      </c>
      <c r="H2024" s="235" t="s">
        <v>15753</v>
      </c>
      <c r="I2024" s="235" t="s">
        <v>15753</v>
      </c>
      <c r="J2024" s="235" t="s">
        <v>15754</v>
      </c>
      <c r="K2024" s="235" t="s">
        <v>15755</v>
      </c>
      <c r="N2024" s="235" t="s">
        <v>51</v>
      </c>
      <c r="O2024" s="235" t="s">
        <v>273</v>
      </c>
      <c r="P2024" s="238">
        <v>1.0</v>
      </c>
      <c r="Q2024" s="235" t="s">
        <v>627</v>
      </c>
      <c r="R2024" s="238">
        <v>237.14</v>
      </c>
      <c r="S2024" s="238">
        <v>11.86</v>
      </c>
      <c r="T2024" s="238">
        <v>0.0</v>
      </c>
      <c r="U2024" s="238">
        <v>0.0</v>
      </c>
      <c r="V2024" s="238">
        <v>0.0</v>
      </c>
      <c r="W2024" s="238">
        <v>0.0</v>
      </c>
      <c r="X2024" s="235" t="s">
        <v>628</v>
      </c>
      <c r="Z2024" s="244"/>
      <c r="AA2024" s="244"/>
      <c r="AB2024" s="244"/>
      <c r="AC2024" s="235" t="s">
        <v>687</v>
      </c>
      <c r="AD2024" s="235" t="s">
        <v>666</v>
      </c>
      <c r="AE2024" s="238">
        <v>600125.0</v>
      </c>
      <c r="AF2024" s="235" t="s">
        <v>631</v>
      </c>
      <c r="AG2024" s="244"/>
      <c r="AH2024" s="244"/>
      <c r="AI2024" s="245"/>
      <c r="AJ2024" s="245"/>
      <c r="AK2024" s="245"/>
      <c r="AL2024" s="245"/>
      <c r="AM2024" s="244"/>
      <c r="AN2024" s="244"/>
      <c r="AO2024" s="238">
        <v>0.0</v>
      </c>
      <c r="AP2024" s="238">
        <v>0.0</v>
      </c>
      <c r="AQ2024" s="235" t="s">
        <v>632</v>
      </c>
      <c r="AR2024" s="243">
        <v>1.68E11</v>
      </c>
      <c r="AS2024" s="235" t="s">
        <v>15064</v>
      </c>
      <c r="AT2024" s="235" t="s">
        <v>156</v>
      </c>
      <c r="AU2024" s="235" t="s">
        <v>634</v>
      </c>
      <c r="AV2024" s="246" t="s">
        <v>635</v>
      </c>
      <c r="AW2024" s="242"/>
      <c r="AX2024" s="242"/>
      <c r="AY2024" s="231"/>
      <c r="AZ2024" s="231"/>
      <c r="BA2024" s="227"/>
      <c r="BB2024" s="231"/>
      <c r="BC2024" s="227"/>
      <c r="BD2024" s="227"/>
      <c r="BE2024" s="227"/>
      <c r="BF2024" s="227"/>
    </row>
    <row r="2025">
      <c r="A2025" s="235" t="s">
        <v>15756</v>
      </c>
      <c r="C2025" s="235" t="s">
        <v>15757</v>
      </c>
      <c r="D2025" s="235" t="s">
        <v>15758</v>
      </c>
      <c r="E2025" s="243">
        <v>6.54E13</v>
      </c>
      <c r="F2025" s="245"/>
      <c r="G2025" s="235" t="s">
        <v>15759</v>
      </c>
      <c r="H2025" s="235" t="s">
        <v>15760</v>
      </c>
      <c r="I2025" s="235" t="s">
        <v>15760</v>
      </c>
      <c r="J2025" s="235" t="s">
        <v>15761</v>
      </c>
      <c r="K2025" s="235" t="s">
        <v>15762</v>
      </c>
      <c r="N2025" s="235" t="s">
        <v>726</v>
      </c>
      <c r="O2025" s="235" t="s">
        <v>727</v>
      </c>
      <c r="P2025" s="238">
        <v>1.0</v>
      </c>
      <c r="Q2025" s="235" t="s">
        <v>627</v>
      </c>
      <c r="R2025" s="238">
        <v>246.66</v>
      </c>
      <c r="S2025" s="238">
        <v>12.34</v>
      </c>
      <c r="T2025" s="238">
        <v>0.0</v>
      </c>
      <c r="U2025" s="238">
        <v>0.0</v>
      </c>
      <c r="V2025" s="238">
        <v>0.0</v>
      </c>
      <c r="W2025" s="238">
        <v>0.0</v>
      </c>
      <c r="X2025" s="235" t="s">
        <v>628</v>
      </c>
      <c r="Z2025" s="244"/>
      <c r="AA2025" s="244"/>
      <c r="AB2025" s="244"/>
      <c r="AC2025" s="235" t="s">
        <v>1514</v>
      </c>
      <c r="AD2025" s="235" t="s">
        <v>1077</v>
      </c>
      <c r="AE2025" s="238">
        <v>380051.0</v>
      </c>
      <c r="AF2025" s="235" t="s">
        <v>631</v>
      </c>
      <c r="AG2025" s="244"/>
      <c r="AH2025" s="244"/>
      <c r="AI2025" s="245"/>
      <c r="AJ2025" s="245"/>
      <c r="AK2025" s="245"/>
      <c r="AL2025" s="245"/>
      <c r="AM2025" s="244"/>
      <c r="AN2025" s="244"/>
      <c r="AO2025" s="238">
        <v>0.0</v>
      </c>
      <c r="AP2025" s="238">
        <v>0.0</v>
      </c>
      <c r="AQ2025" s="235" t="s">
        <v>632</v>
      </c>
      <c r="AR2025" s="243">
        <v>1.68E11</v>
      </c>
      <c r="AS2025" s="235" t="s">
        <v>15599</v>
      </c>
      <c r="AT2025" s="235" t="s">
        <v>5</v>
      </c>
      <c r="AU2025" s="235" t="s">
        <v>634</v>
      </c>
      <c r="AV2025" s="246" t="s">
        <v>635</v>
      </c>
      <c r="AW2025" s="242"/>
      <c r="AX2025" s="242"/>
      <c r="AY2025" s="231"/>
      <c r="AZ2025" s="231"/>
      <c r="BA2025" s="227"/>
      <c r="BB2025" s="231"/>
      <c r="BC2025" s="227"/>
      <c r="BD2025" s="227"/>
      <c r="BE2025" s="227"/>
      <c r="BF2025" s="227"/>
    </row>
    <row r="2026">
      <c r="A2026" s="235" t="s">
        <v>15763</v>
      </c>
      <c r="C2026" s="235" t="s">
        <v>15764</v>
      </c>
      <c r="D2026" s="235" t="s">
        <v>15765</v>
      </c>
      <c r="E2026" s="243">
        <v>6.54E13</v>
      </c>
      <c r="F2026" s="245"/>
      <c r="G2026" s="235" t="s">
        <v>15766</v>
      </c>
      <c r="H2026" s="235" t="s">
        <v>15767</v>
      </c>
      <c r="I2026" s="235" t="s">
        <v>15768</v>
      </c>
      <c r="J2026" s="235" t="s">
        <v>15769</v>
      </c>
      <c r="K2026" s="235" t="s">
        <v>15770</v>
      </c>
      <c r="N2026" s="235" t="s">
        <v>126</v>
      </c>
      <c r="O2026" s="235" t="s">
        <v>407</v>
      </c>
      <c r="P2026" s="238">
        <v>1.0</v>
      </c>
      <c r="Q2026" s="235" t="s">
        <v>627</v>
      </c>
      <c r="R2026" s="238">
        <v>237.14</v>
      </c>
      <c r="S2026" s="238">
        <v>11.86</v>
      </c>
      <c r="T2026" s="238">
        <v>0.0</v>
      </c>
      <c r="U2026" s="238">
        <v>0.0</v>
      </c>
      <c r="V2026" s="238">
        <v>0.0</v>
      </c>
      <c r="W2026" s="238">
        <v>0.0</v>
      </c>
      <c r="X2026" s="235" t="s">
        <v>628</v>
      </c>
      <c r="Z2026" s="244"/>
      <c r="AA2026" s="244"/>
      <c r="AB2026" s="244"/>
      <c r="AC2026" s="235" t="s">
        <v>1320</v>
      </c>
      <c r="AD2026" s="235" t="s">
        <v>666</v>
      </c>
      <c r="AE2026" s="238">
        <v>600042.0</v>
      </c>
      <c r="AF2026" s="235" t="s">
        <v>631</v>
      </c>
      <c r="AG2026" s="244"/>
      <c r="AH2026" s="244"/>
      <c r="AI2026" s="245"/>
      <c r="AJ2026" s="245"/>
      <c r="AK2026" s="245"/>
      <c r="AL2026" s="245"/>
      <c r="AM2026" s="244"/>
      <c r="AN2026" s="244"/>
      <c r="AO2026" s="238">
        <v>0.0</v>
      </c>
      <c r="AP2026" s="238">
        <v>0.0</v>
      </c>
      <c r="AQ2026" s="235" t="s">
        <v>632</v>
      </c>
      <c r="AR2026" s="243">
        <v>1.68E11</v>
      </c>
      <c r="AS2026" s="235" t="s">
        <v>15064</v>
      </c>
      <c r="AT2026" s="235" t="s">
        <v>9</v>
      </c>
      <c r="AU2026" s="235" t="s">
        <v>634</v>
      </c>
      <c r="AV2026" s="246" t="s">
        <v>635</v>
      </c>
      <c r="AW2026" s="242"/>
      <c r="AX2026" s="242"/>
      <c r="AY2026" s="231"/>
      <c r="AZ2026" s="231"/>
      <c r="BA2026" s="227"/>
      <c r="BB2026" s="231"/>
      <c r="BC2026" s="227"/>
      <c r="BD2026" s="227"/>
      <c r="BE2026" s="227"/>
      <c r="BF2026" s="227"/>
    </row>
    <row r="2027">
      <c r="A2027" s="235" t="s">
        <v>15771</v>
      </c>
      <c r="C2027" s="235" t="s">
        <v>15772</v>
      </c>
      <c r="D2027" s="235" t="s">
        <v>15773</v>
      </c>
      <c r="E2027" s="243">
        <v>6.54E13</v>
      </c>
      <c r="F2027" s="245"/>
      <c r="G2027" s="235" t="s">
        <v>15774</v>
      </c>
      <c r="H2027" s="235" t="s">
        <v>15775</v>
      </c>
      <c r="I2027" s="235" t="s">
        <v>15775</v>
      </c>
      <c r="J2027" s="235" t="s">
        <v>15776</v>
      </c>
      <c r="K2027" s="235" t="s">
        <v>15777</v>
      </c>
      <c r="N2027" s="235" t="s">
        <v>92</v>
      </c>
      <c r="O2027" s="235" t="s">
        <v>248</v>
      </c>
      <c r="P2027" s="238">
        <v>1.0</v>
      </c>
      <c r="Q2027" s="235" t="s">
        <v>627</v>
      </c>
      <c r="R2027" s="238">
        <v>246.67</v>
      </c>
      <c r="S2027" s="238">
        <v>12.33</v>
      </c>
      <c r="T2027" s="238">
        <v>0.0</v>
      </c>
      <c r="U2027" s="238">
        <v>0.0</v>
      </c>
      <c r="V2027" s="238">
        <v>0.0</v>
      </c>
      <c r="W2027" s="238">
        <v>0.0</v>
      </c>
      <c r="X2027" s="235" t="s">
        <v>628</v>
      </c>
      <c r="Z2027" s="244"/>
      <c r="AA2027" s="244"/>
      <c r="AB2027" s="244"/>
      <c r="AC2027" s="235" t="s">
        <v>795</v>
      </c>
      <c r="AD2027" s="235" t="s">
        <v>796</v>
      </c>
      <c r="AE2027" s="238">
        <v>110078.0</v>
      </c>
      <c r="AF2027" s="235" t="s">
        <v>631</v>
      </c>
      <c r="AG2027" s="244"/>
      <c r="AH2027" s="244"/>
      <c r="AI2027" s="245"/>
      <c r="AJ2027" s="245"/>
      <c r="AK2027" s="245"/>
      <c r="AL2027" s="245"/>
      <c r="AM2027" s="244"/>
      <c r="AN2027" s="244"/>
      <c r="AO2027" s="238">
        <v>0.0</v>
      </c>
      <c r="AP2027" s="238">
        <v>0.0</v>
      </c>
      <c r="AQ2027" s="235" t="s">
        <v>632</v>
      </c>
      <c r="AR2027" s="243">
        <v>1.68E11</v>
      </c>
      <c r="AS2027" s="235" t="s">
        <v>15599</v>
      </c>
      <c r="AT2027" s="235" t="s">
        <v>533</v>
      </c>
      <c r="AU2027" s="235" t="s">
        <v>634</v>
      </c>
      <c r="AV2027" s="246" t="s">
        <v>635</v>
      </c>
      <c r="AW2027" s="242"/>
      <c r="AX2027" s="242"/>
      <c r="AY2027" s="231"/>
      <c r="AZ2027" s="231"/>
      <c r="BA2027" s="227"/>
      <c r="BB2027" s="231"/>
      <c r="BC2027" s="227"/>
      <c r="BD2027" s="227"/>
      <c r="BE2027" s="227"/>
      <c r="BF2027" s="227"/>
    </row>
    <row r="2028">
      <c r="A2028" s="235" t="s">
        <v>15778</v>
      </c>
      <c r="C2028" s="235" t="s">
        <v>15779</v>
      </c>
      <c r="D2028" s="235" t="s">
        <v>15780</v>
      </c>
      <c r="E2028" s="243">
        <v>6.54E13</v>
      </c>
      <c r="F2028" s="245"/>
      <c r="G2028" s="235" t="s">
        <v>15781</v>
      </c>
      <c r="H2028" s="235" t="s">
        <v>15782</v>
      </c>
      <c r="I2028" s="235" t="s">
        <v>15783</v>
      </c>
      <c r="J2028" s="235" t="s">
        <v>15784</v>
      </c>
      <c r="K2028" s="235" t="s">
        <v>15785</v>
      </c>
      <c r="N2028" s="235" t="s">
        <v>27</v>
      </c>
      <c r="O2028" s="235" t="s">
        <v>573</v>
      </c>
      <c r="P2028" s="238">
        <v>1.0</v>
      </c>
      <c r="Q2028" s="235" t="s">
        <v>627</v>
      </c>
      <c r="R2028" s="238">
        <v>360.96</v>
      </c>
      <c r="S2028" s="238">
        <v>18.04</v>
      </c>
      <c r="T2028" s="238">
        <v>18.1</v>
      </c>
      <c r="U2028" s="238">
        <v>0.9</v>
      </c>
      <c r="V2028" s="238">
        <v>0.0</v>
      </c>
      <c r="W2028" s="238">
        <v>0.0</v>
      </c>
      <c r="X2028" s="235" t="s">
        <v>628</v>
      </c>
      <c r="Z2028" s="244"/>
      <c r="AA2028" s="244"/>
      <c r="AB2028" s="244"/>
      <c r="AC2028" s="235" t="s">
        <v>678</v>
      </c>
      <c r="AD2028" s="235" t="s">
        <v>679</v>
      </c>
      <c r="AE2028" s="238">
        <v>560087.0</v>
      </c>
      <c r="AF2028" s="235" t="s">
        <v>631</v>
      </c>
      <c r="AG2028" s="244"/>
      <c r="AH2028" s="244"/>
      <c r="AI2028" s="245"/>
      <c r="AJ2028" s="245"/>
      <c r="AK2028" s="245"/>
      <c r="AL2028" s="245"/>
      <c r="AM2028" s="244"/>
      <c r="AN2028" s="244"/>
      <c r="AO2028" s="238">
        <v>0.0</v>
      </c>
      <c r="AP2028" s="238">
        <v>-18.1</v>
      </c>
      <c r="AQ2028" s="235" t="s">
        <v>632</v>
      </c>
      <c r="AR2028" s="243">
        <v>1.68E11</v>
      </c>
      <c r="AS2028" s="235" t="s">
        <v>15599</v>
      </c>
      <c r="AT2028" s="235" t="s">
        <v>11</v>
      </c>
      <c r="AU2028" s="235" t="s">
        <v>634</v>
      </c>
      <c r="AV2028" s="246" t="s">
        <v>635</v>
      </c>
      <c r="AW2028" s="242"/>
      <c r="AX2028" s="242"/>
      <c r="AY2028" s="231"/>
      <c r="AZ2028" s="231"/>
      <c r="BA2028" s="227"/>
      <c r="BB2028" s="231"/>
      <c r="BC2028" s="227"/>
      <c r="BD2028" s="227"/>
      <c r="BE2028" s="227"/>
      <c r="BF2028" s="227"/>
    </row>
    <row r="2029">
      <c r="A2029" s="235" t="s">
        <v>15786</v>
      </c>
      <c r="C2029" s="235" t="s">
        <v>15787</v>
      </c>
      <c r="D2029" s="235" t="s">
        <v>15788</v>
      </c>
      <c r="E2029" s="243">
        <v>6.53E13</v>
      </c>
      <c r="F2029" s="245"/>
      <c r="G2029" s="235" t="s">
        <v>15789</v>
      </c>
      <c r="H2029" s="235" t="s">
        <v>15790</v>
      </c>
      <c r="I2029" s="235" t="s">
        <v>15791</v>
      </c>
      <c r="J2029" s="235" t="s">
        <v>15792</v>
      </c>
      <c r="K2029" s="235" t="s">
        <v>15793</v>
      </c>
      <c r="N2029" s="235" t="s">
        <v>29</v>
      </c>
      <c r="O2029" s="235" t="s">
        <v>677</v>
      </c>
      <c r="P2029" s="238">
        <v>1.0</v>
      </c>
      <c r="Q2029" s="235" t="s">
        <v>627</v>
      </c>
      <c r="R2029" s="238">
        <v>475.24</v>
      </c>
      <c r="S2029" s="238">
        <v>23.76</v>
      </c>
      <c r="T2029" s="238">
        <v>0.0</v>
      </c>
      <c r="U2029" s="238">
        <v>0.0</v>
      </c>
      <c r="V2029" s="238">
        <v>0.0</v>
      </c>
      <c r="W2029" s="238">
        <v>0.0</v>
      </c>
      <c r="X2029" s="235" t="s">
        <v>628</v>
      </c>
      <c r="Z2029" s="244"/>
      <c r="AA2029" s="244"/>
      <c r="AB2029" s="244"/>
      <c r="AC2029" s="235" t="s">
        <v>2092</v>
      </c>
      <c r="AD2029" s="235" t="s">
        <v>845</v>
      </c>
      <c r="AE2029" s="238">
        <v>411001.0</v>
      </c>
      <c r="AF2029" s="235" t="s">
        <v>631</v>
      </c>
      <c r="AG2029" s="244"/>
      <c r="AH2029" s="244"/>
      <c r="AI2029" s="245"/>
      <c r="AJ2029" s="245"/>
      <c r="AK2029" s="245"/>
      <c r="AL2029" s="245"/>
      <c r="AM2029" s="244"/>
      <c r="AN2029" s="244"/>
      <c r="AO2029" s="238">
        <v>0.0</v>
      </c>
      <c r="AP2029" s="238">
        <v>0.0</v>
      </c>
      <c r="AQ2029" s="235" t="s">
        <v>632</v>
      </c>
      <c r="AR2029" s="243">
        <v>3.71E11</v>
      </c>
      <c r="AS2029" s="235" t="s">
        <v>11171</v>
      </c>
      <c r="AT2029" s="235" t="s">
        <v>16</v>
      </c>
      <c r="AU2029" s="235" t="s">
        <v>634</v>
      </c>
      <c r="AV2029" s="246" t="s">
        <v>635</v>
      </c>
      <c r="AW2029" s="242"/>
      <c r="AX2029" s="242"/>
      <c r="AY2029" s="231"/>
      <c r="AZ2029" s="231"/>
      <c r="BA2029" s="227"/>
      <c r="BB2029" s="231"/>
      <c r="BC2029" s="227"/>
      <c r="BD2029" s="227"/>
      <c r="BE2029" s="227"/>
      <c r="BF2029" s="227"/>
    </row>
    <row r="2030">
      <c r="A2030" s="235" t="s">
        <v>15794</v>
      </c>
      <c r="C2030" s="235" t="s">
        <v>15795</v>
      </c>
      <c r="D2030" s="235" t="s">
        <v>15796</v>
      </c>
      <c r="E2030" s="243">
        <v>6.54E13</v>
      </c>
      <c r="F2030" s="245"/>
      <c r="G2030" s="235" t="s">
        <v>15797</v>
      </c>
      <c r="H2030" s="235" t="s">
        <v>15798</v>
      </c>
      <c r="I2030" s="235" t="s">
        <v>15798</v>
      </c>
      <c r="J2030" s="235" t="s">
        <v>15799</v>
      </c>
      <c r="K2030" s="235" t="s">
        <v>15800</v>
      </c>
      <c r="N2030" s="235" t="s">
        <v>42</v>
      </c>
      <c r="O2030" s="235" t="s">
        <v>204</v>
      </c>
      <c r="P2030" s="238">
        <v>1.0</v>
      </c>
      <c r="Q2030" s="235" t="s">
        <v>627</v>
      </c>
      <c r="R2030" s="238">
        <v>237.14</v>
      </c>
      <c r="S2030" s="238">
        <v>11.86</v>
      </c>
      <c r="T2030" s="238">
        <v>0.0</v>
      </c>
      <c r="U2030" s="238">
        <v>0.0</v>
      </c>
      <c r="V2030" s="238">
        <v>0.0</v>
      </c>
      <c r="W2030" s="238">
        <v>0.0</v>
      </c>
      <c r="X2030" s="235" t="s">
        <v>628</v>
      </c>
      <c r="Z2030" s="244"/>
      <c r="AA2030" s="244"/>
      <c r="AB2030" s="244"/>
      <c r="AC2030" s="235" t="s">
        <v>15801</v>
      </c>
      <c r="AD2030" s="235" t="s">
        <v>698</v>
      </c>
      <c r="AE2030" s="238">
        <v>508213.0</v>
      </c>
      <c r="AF2030" s="235" t="s">
        <v>631</v>
      </c>
      <c r="AG2030" s="244"/>
      <c r="AH2030" s="244"/>
      <c r="AI2030" s="245"/>
      <c r="AJ2030" s="245"/>
      <c r="AK2030" s="245"/>
      <c r="AL2030" s="245"/>
      <c r="AM2030" s="244"/>
      <c r="AN2030" s="244"/>
      <c r="AO2030" s="238">
        <v>0.0</v>
      </c>
      <c r="AP2030" s="238">
        <v>0.0</v>
      </c>
      <c r="AQ2030" s="235" t="s">
        <v>632</v>
      </c>
      <c r="AR2030" s="243">
        <v>3.71E11</v>
      </c>
      <c r="AS2030" s="235" t="s">
        <v>11171</v>
      </c>
      <c r="AT2030" s="235" t="s">
        <v>16</v>
      </c>
      <c r="AU2030" s="235" t="s">
        <v>634</v>
      </c>
      <c r="AV2030" s="246" t="s">
        <v>635</v>
      </c>
      <c r="AW2030" s="242"/>
      <c r="AX2030" s="242"/>
      <c r="AY2030" s="231"/>
      <c r="AZ2030" s="231"/>
      <c r="BA2030" s="227"/>
      <c r="BB2030" s="231"/>
      <c r="BC2030" s="227"/>
      <c r="BD2030" s="227"/>
      <c r="BE2030" s="227"/>
      <c r="BF2030" s="227"/>
    </row>
    <row r="2031">
      <c r="A2031" s="235" t="s">
        <v>15802</v>
      </c>
      <c r="C2031" s="235" t="s">
        <v>15803</v>
      </c>
      <c r="D2031" s="235" t="s">
        <v>15804</v>
      </c>
      <c r="E2031" s="243">
        <v>6.54E13</v>
      </c>
      <c r="F2031" s="245"/>
      <c r="G2031" s="235" t="s">
        <v>15805</v>
      </c>
      <c r="H2031" s="235" t="s">
        <v>15806</v>
      </c>
      <c r="I2031" s="235" t="s">
        <v>15807</v>
      </c>
      <c r="J2031" s="235" t="s">
        <v>15808</v>
      </c>
      <c r="K2031" s="235" t="s">
        <v>15809</v>
      </c>
      <c r="N2031" s="235" t="s">
        <v>43</v>
      </c>
      <c r="O2031" s="235" t="s">
        <v>276</v>
      </c>
      <c r="P2031" s="238">
        <v>1.0</v>
      </c>
      <c r="Q2031" s="235" t="s">
        <v>627</v>
      </c>
      <c r="R2031" s="238">
        <v>237.14</v>
      </c>
      <c r="S2031" s="238">
        <v>11.86</v>
      </c>
      <c r="T2031" s="238">
        <v>0.0</v>
      </c>
      <c r="U2031" s="238">
        <v>0.0</v>
      </c>
      <c r="V2031" s="238">
        <v>0.0</v>
      </c>
      <c r="W2031" s="238">
        <v>0.0</v>
      </c>
      <c r="X2031" s="235" t="s">
        <v>628</v>
      </c>
      <c r="Z2031" s="244"/>
      <c r="AA2031" s="244"/>
      <c r="AB2031" s="244"/>
      <c r="AC2031" s="235" t="s">
        <v>687</v>
      </c>
      <c r="AD2031" s="235" t="s">
        <v>666</v>
      </c>
      <c r="AE2031" s="238">
        <v>600051.0</v>
      </c>
      <c r="AF2031" s="235" t="s">
        <v>631</v>
      </c>
      <c r="AG2031" s="244"/>
      <c r="AH2031" s="244"/>
      <c r="AI2031" s="245"/>
      <c r="AJ2031" s="245"/>
      <c r="AK2031" s="245"/>
      <c r="AL2031" s="245"/>
      <c r="AM2031" s="244"/>
      <c r="AN2031" s="244"/>
      <c r="AO2031" s="238">
        <v>0.0</v>
      </c>
      <c r="AP2031" s="238">
        <v>0.0</v>
      </c>
      <c r="AQ2031" s="235" t="s">
        <v>632</v>
      </c>
      <c r="AR2031" s="243">
        <v>1.68E11</v>
      </c>
      <c r="AS2031" s="235" t="s">
        <v>15599</v>
      </c>
      <c r="AT2031" s="235" t="s">
        <v>156</v>
      </c>
      <c r="AU2031" s="235" t="s">
        <v>634</v>
      </c>
      <c r="AV2031" s="246" t="s">
        <v>635</v>
      </c>
      <c r="AW2031" s="242"/>
      <c r="AX2031" s="242"/>
      <c r="AY2031" s="231"/>
      <c r="AZ2031" s="231"/>
      <c r="BA2031" s="227"/>
      <c r="BB2031" s="231"/>
      <c r="BC2031" s="227"/>
      <c r="BD2031" s="227"/>
      <c r="BE2031" s="227"/>
      <c r="BF2031" s="227"/>
    </row>
    <row r="2032">
      <c r="A2032" s="235" t="s">
        <v>15810</v>
      </c>
      <c r="C2032" s="235" t="s">
        <v>15811</v>
      </c>
      <c r="D2032" s="235" t="s">
        <v>15812</v>
      </c>
      <c r="E2032" s="243">
        <v>6.54E13</v>
      </c>
      <c r="F2032" s="245"/>
      <c r="G2032" s="235" t="s">
        <v>15813</v>
      </c>
      <c r="H2032" s="235" t="s">
        <v>15814</v>
      </c>
      <c r="I2032" s="235" t="s">
        <v>15814</v>
      </c>
      <c r="J2032" s="235" t="s">
        <v>15815</v>
      </c>
      <c r="K2032" s="235" t="s">
        <v>15816</v>
      </c>
      <c r="N2032" s="235" t="s">
        <v>152</v>
      </c>
      <c r="O2032" s="235" t="s">
        <v>3192</v>
      </c>
      <c r="P2032" s="238">
        <v>1.0</v>
      </c>
      <c r="Q2032" s="235" t="s">
        <v>627</v>
      </c>
      <c r="R2032" s="238">
        <v>422.88</v>
      </c>
      <c r="S2032" s="238">
        <v>76.12</v>
      </c>
      <c r="T2032" s="238">
        <v>0.0</v>
      </c>
      <c r="U2032" s="238">
        <v>0.0</v>
      </c>
      <c r="V2032" s="238">
        <v>0.0</v>
      </c>
      <c r="W2032" s="238">
        <v>0.0</v>
      </c>
      <c r="X2032" s="235" t="s">
        <v>628</v>
      </c>
      <c r="Z2032" s="244"/>
      <c r="AA2032" s="244"/>
      <c r="AB2032" s="244"/>
      <c r="AC2032" s="235" t="s">
        <v>687</v>
      </c>
      <c r="AD2032" s="235" t="s">
        <v>666</v>
      </c>
      <c r="AE2032" s="238">
        <v>600031.0</v>
      </c>
      <c r="AF2032" s="235" t="s">
        <v>631</v>
      </c>
      <c r="AG2032" s="244"/>
      <c r="AH2032" s="244"/>
      <c r="AI2032" s="245"/>
      <c r="AJ2032" s="245"/>
      <c r="AK2032" s="245"/>
      <c r="AL2032" s="245"/>
      <c r="AM2032" s="244"/>
      <c r="AN2032" s="244"/>
      <c r="AO2032" s="238">
        <v>0.0</v>
      </c>
      <c r="AP2032" s="238">
        <v>0.0</v>
      </c>
      <c r="AQ2032" s="235" t="s">
        <v>632</v>
      </c>
      <c r="AR2032" s="243">
        <v>1.68E11</v>
      </c>
      <c r="AS2032" s="235" t="s">
        <v>15064</v>
      </c>
      <c r="AT2032" s="235" t="s">
        <v>9</v>
      </c>
      <c r="AU2032" s="235" t="s">
        <v>634</v>
      </c>
      <c r="AV2032" s="246" t="s">
        <v>635</v>
      </c>
      <c r="AW2032" s="242"/>
      <c r="AX2032" s="242"/>
      <c r="AY2032" s="231"/>
      <c r="AZ2032" s="231"/>
      <c r="BA2032" s="227"/>
      <c r="BB2032" s="231"/>
      <c r="BC2032" s="227"/>
      <c r="BD2032" s="227"/>
      <c r="BE2032" s="227"/>
      <c r="BF2032" s="227"/>
    </row>
    <row r="2033">
      <c r="A2033" s="235" t="s">
        <v>15817</v>
      </c>
      <c r="C2033" s="235" t="s">
        <v>15818</v>
      </c>
      <c r="D2033" s="235" t="s">
        <v>15819</v>
      </c>
      <c r="E2033" s="243">
        <v>6.54E13</v>
      </c>
      <c r="F2033" s="245"/>
      <c r="G2033" s="235" t="s">
        <v>15820</v>
      </c>
      <c r="H2033" s="235" t="s">
        <v>15821</v>
      </c>
      <c r="I2033" s="235" t="s">
        <v>15821</v>
      </c>
      <c r="J2033" s="235" t="s">
        <v>15822</v>
      </c>
      <c r="K2033" s="235" t="s">
        <v>15823</v>
      </c>
      <c r="N2033" s="235" t="s">
        <v>141</v>
      </c>
      <c r="O2033" s="235" t="s">
        <v>342</v>
      </c>
      <c r="P2033" s="238">
        <v>1.0</v>
      </c>
      <c r="Q2033" s="235" t="s">
        <v>627</v>
      </c>
      <c r="R2033" s="238">
        <v>246.67</v>
      </c>
      <c r="S2033" s="238">
        <v>12.33</v>
      </c>
      <c r="T2033" s="238">
        <v>0.0</v>
      </c>
      <c r="U2033" s="238">
        <v>0.0</v>
      </c>
      <c r="V2033" s="238">
        <v>0.0</v>
      </c>
      <c r="W2033" s="238">
        <v>0.0</v>
      </c>
      <c r="X2033" s="235" t="s">
        <v>628</v>
      </c>
      <c r="Z2033" s="244"/>
      <c r="AA2033" s="244"/>
      <c r="AB2033" s="244"/>
      <c r="AC2033" s="235" t="s">
        <v>1279</v>
      </c>
      <c r="AD2033" s="235" t="s">
        <v>917</v>
      </c>
      <c r="AE2033" s="238">
        <v>302015.0</v>
      </c>
      <c r="AF2033" s="235" t="s">
        <v>631</v>
      </c>
      <c r="AG2033" s="244"/>
      <c r="AH2033" s="244"/>
      <c r="AI2033" s="245"/>
      <c r="AJ2033" s="245"/>
      <c r="AK2033" s="245"/>
      <c r="AL2033" s="245"/>
      <c r="AM2033" s="244"/>
      <c r="AN2033" s="244"/>
      <c r="AO2033" s="238">
        <v>0.0</v>
      </c>
      <c r="AP2033" s="238">
        <v>0.0</v>
      </c>
      <c r="AQ2033" s="235" t="s">
        <v>632</v>
      </c>
      <c r="AR2033" s="243">
        <v>1.68E11</v>
      </c>
      <c r="AS2033" s="235" t="s">
        <v>15064</v>
      </c>
      <c r="AT2033" s="235" t="s">
        <v>14</v>
      </c>
      <c r="AU2033" s="235" t="s">
        <v>634</v>
      </c>
      <c r="AV2033" s="246" t="s">
        <v>635</v>
      </c>
      <c r="AW2033" s="242"/>
      <c r="AX2033" s="242"/>
      <c r="AY2033" s="231"/>
      <c r="AZ2033" s="231"/>
      <c r="BA2033" s="227"/>
      <c r="BB2033" s="231"/>
      <c r="BC2033" s="227"/>
      <c r="BD2033" s="227"/>
      <c r="BE2033" s="227"/>
      <c r="BF2033" s="227"/>
    </row>
    <row r="2034">
      <c r="A2034" s="235" t="s">
        <v>15824</v>
      </c>
      <c r="C2034" s="235" t="s">
        <v>15825</v>
      </c>
      <c r="D2034" s="235" t="s">
        <v>15826</v>
      </c>
      <c r="E2034" s="243">
        <v>6.54E13</v>
      </c>
      <c r="F2034" s="245"/>
      <c r="G2034" s="235" t="s">
        <v>15827</v>
      </c>
      <c r="H2034" s="235" t="s">
        <v>15828</v>
      </c>
      <c r="I2034" s="235" t="s">
        <v>15828</v>
      </c>
      <c r="J2034" s="235" t="s">
        <v>15829</v>
      </c>
      <c r="K2034" s="235" t="s">
        <v>15830</v>
      </c>
      <c r="N2034" s="235" t="s">
        <v>962</v>
      </c>
      <c r="O2034" s="235" t="s">
        <v>963</v>
      </c>
      <c r="P2034" s="238">
        <v>1.0</v>
      </c>
      <c r="Q2034" s="235" t="s">
        <v>627</v>
      </c>
      <c r="R2034" s="238">
        <v>246.67</v>
      </c>
      <c r="S2034" s="238">
        <v>12.08</v>
      </c>
      <c r="T2034" s="238">
        <v>0.0</v>
      </c>
      <c r="U2034" s="238">
        <v>0.0</v>
      </c>
      <c r="V2034" s="238">
        <v>0.0</v>
      </c>
      <c r="W2034" s="238">
        <v>0.0</v>
      </c>
      <c r="X2034" s="235" t="s">
        <v>628</v>
      </c>
      <c r="Z2034" s="244"/>
      <c r="AA2034" s="244"/>
      <c r="AB2034" s="244"/>
      <c r="AC2034" s="235" t="s">
        <v>1320</v>
      </c>
      <c r="AD2034" s="235" t="s">
        <v>666</v>
      </c>
      <c r="AE2034" s="238">
        <v>600091.0</v>
      </c>
      <c r="AF2034" s="235" t="s">
        <v>631</v>
      </c>
      <c r="AG2034" s="244"/>
      <c r="AH2034" s="244"/>
      <c r="AI2034" s="245"/>
      <c r="AJ2034" s="245"/>
      <c r="AK2034" s="245"/>
      <c r="AL2034" s="245"/>
      <c r="AM2034" s="244"/>
      <c r="AN2034" s="244"/>
      <c r="AO2034" s="238">
        <v>-4.93</v>
      </c>
      <c r="AP2034" s="238">
        <v>0.0</v>
      </c>
      <c r="AQ2034" s="235" t="s">
        <v>632</v>
      </c>
      <c r="AR2034" s="243">
        <v>3.71E11</v>
      </c>
      <c r="AS2034" s="235" t="s">
        <v>13822</v>
      </c>
      <c r="AT2034" s="235" t="s">
        <v>9</v>
      </c>
      <c r="AU2034" s="235" t="s">
        <v>634</v>
      </c>
      <c r="AV2034" s="246" t="s">
        <v>635</v>
      </c>
      <c r="AW2034" s="242"/>
      <c r="AX2034" s="242"/>
      <c r="AY2034" s="231"/>
      <c r="AZ2034" s="231"/>
      <c r="BA2034" s="227"/>
      <c r="BB2034" s="231"/>
      <c r="BC2034" s="227"/>
      <c r="BD2034" s="227"/>
      <c r="BE2034" s="227"/>
      <c r="BF2034" s="227"/>
    </row>
    <row r="2035">
      <c r="A2035" s="235" t="s">
        <v>15831</v>
      </c>
      <c r="C2035" s="235" t="s">
        <v>15832</v>
      </c>
      <c r="D2035" s="235" t="s">
        <v>15833</v>
      </c>
      <c r="E2035" s="243">
        <v>6.53E13</v>
      </c>
      <c r="F2035" s="245"/>
      <c r="G2035" s="235" t="s">
        <v>15834</v>
      </c>
      <c r="H2035" s="235" t="s">
        <v>15835</v>
      </c>
      <c r="I2035" s="235" t="s">
        <v>15835</v>
      </c>
      <c r="J2035" s="235" t="s">
        <v>15836</v>
      </c>
      <c r="K2035" s="235" t="s">
        <v>15837</v>
      </c>
      <c r="N2035" s="235" t="s">
        <v>842</v>
      </c>
      <c r="O2035" s="235" t="s">
        <v>843</v>
      </c>
      <c r="P2035" s="238">
        <v>1.0</v>
      </c>
      <c r="Q2035" s="235" t="s">
        <v>627</v>
      </c>
      <c r="R2035" s="238">
        <v>270.48</v>
      </c>
      <c r="S2035" s="238">
        <v>13.52</v>
      </c>
      <c r="T2035" s="238">
        <v>38.1</v>
      </c>
      <c r="U2035" s="238">
        <v>1.9</v>
      </c>
      <c r="V2035" s="238">
        <v>0.0</v>
      </c>
      <c r="W2035" s="238">
        <v>0.0</v>
      </c>
      <c r="X2035" s="235" t="s">
        <v>628</v>
      </c>
      <c r="Z2035" s="244"/>
      <c r="AA2035" s="244"/>
      <c r="AB2035" s="244"/>
      <c r="AC2035" s="235" t="s">
        <v>4139</v>
      </c>
      <c r="AD2035" s="235" t="s">
        <v>7876</v>
      </c>
      <c r="AE2035" s="238">
        <v>110062.0</v>
      </c>
      <c r="AF2035" s="235" t="s">
        <v>631</v>
      </c>
      <c r="AG2035" s="244"/>
      <c r="AH2035" s="244"/>
      <c r="AI2035" s="245"/>
      <c r="AJ2035" s="245"/>
      <c r="AK2035" s="245"/>
      <c r="AL2035" s="245"/>
      <c r="AM2035" s="244"/>
      <c r="AN2035" s="244"/>
      <c r="AO2035" s="238">
        <v>0.0</v>
      </c>
      <c r="AP2035" s="238">
        <v>-38.1</v>
      </c>
      <c r="AQ2035" s="235" t="s">
        <v>632</v>
      </c>
      <c r="AR2035" s="243">
        <v>2.02E11</v>
      </c>
      <c r="AS2035" s="235" t="s">
        <v>13822</v>
      </c>
      <c r="AT2035" s="235" t="s">
        <v>9</v>
      </c>
      <c r="AU2035" s="235" t="s">
        <v>634</v>
      </c>
      <c r="AV2035" s="246" t="s">
        <v>635</v>
      </c>
      <c r="AW2035" s="242"/>
      <c r="AX2035" s="242"/>
      <c r="AY2035" s="231"/>
      <c r="AZ2035" s="231"/>
      <c r="BA2035" s="227"/>
      <c r="BB2035" s="231"/>
      <c r="BC2035" s="227"/>
      <c r="BD2035" s="227"/>
      <c r="BE2035" s="227"/>
      <c r="BF2035" s="227"/>
    </row>
    <row r="2036">
      <c r="A2036" s="235" t="s">
        <v>15838</v>
      </c>
      <c r="C2036" s="235" t="s">
        <v>15839</v>
      </c>
      <c r="D2036" s="235" t="s">
        <v>15840</v>
      </c>
      <c r="E2036" s="243">
        <v>6.54E13</v>
      </c>
      <c r="F2036" s="245"/>
      <c r="G2036" s="235" t="s">
        <v>15841</v>
      </c>
      <c r="H2036" s="235" t="s">
        <v>15842</v>
      </c>
      <c r="I2036" s="235" t="s">
        <v>15843</v>
      </c>
      <c r="J2036" s="235" t="s">
        <v>15844</v>
      </c>
      <c r="K2036" s="235" t="s">
        <v>15845</v>
      </c>
      <c r="N2036" s="235" t="s">
        <v>962</v>
      </c>
      <c r="O2036" s="235" t="s">
        <v>963</v>
      </c>
      <c r="P2036" s="238">
        <v>1.0</v>
      </c>
      <c r="Q2036" s="235" t="s">
        <v>627</v>
      </c>
      <c r="R2036" s="238">
        <v>246.66</v>
      </c>
      <c r="S2036" s="238">
        <v>12.1</v>
      </c>
      <c r="T2036" s="238">
        <v>0.0</v>
      </c>
      <c r="U2036" s="238">
        <v>0.0</v>
      </c>
      <c r="V2036" s="238">
        <v>0.0</v>
      </c>
      <c r="W2036" s="238">
        <v>0.0</v>
      </c>
      <c r="X2036" s="235" t="s">
        <v>628</v>
      </c>
      <c r="Z2036" s="244"/>
      <c r="AA2036" s="244"/>
      <c r="AB2036" s="244"/>
      <c r="AC2036" s="235" t="s">
        <v>1887</v>
      </c>
      <c r="AD2036" s="235" t="s">
        <v>679</v>
      </c>
      <c r="AE2036" s="238">
        <v>560090.0</v>
      </c>
      <c r="AF2036" s="235" t="s">
        <v>631</v>
      </c>
      <c r="AG2036" s="244"/>
      <c r="AH2036" s="244"/>
      <c r="AI2036" s="245"/>
      <c r="AJ2036" s="245"/>
      <c r="AK2036" s="245"/>
      <c r="AL2036" s="245"/>
      <c r="AM2036" s="244"/>
      <c r="AN2036" s="244"/>
      <c r="AO2036" s="238">
        <v>-4.94</v>
      </c>
      <c r="AP2036" s="238">
        <v>0.0</v>
      </c>
      <c r="AQ2036" s="235" t="s">
        <v>632</v>
      </c>
      <c r="AR2036" s="243">
        <v>3.71E11</v>
      </c>
      <c r="AS2036" s="235" t="s">
        <v>15064</v>
      </c>
      <c r="AT2036" s="235" t="s">
        <v>9</v>
      </c>
      <c r="AU2036" s="235" t="s">
        <v>634</v>
      </c>
      <c r="AV2036" s="246" t="s">
        <v>635</v>
      </c>
      <c r="AW2036" s="242"/>
      <c r="AX2036" s="242"/>
      <c r="AY2036" s="231"/>
      <c r="AZ2036" s="231"/>
      <c r="BA2036" s="227"/>
      <c r="BB2036" s="231"/>
      <c r="BC2036" s="227"/>
      <c r="BD2036" s="227"/>
      <c r="BE2036" s="227"/>
      <c r="BF2036" s="227"/>
    </row>
    <row r="2037">
      <c r="A2037" s="235" t="s">
        <v>15846</v>
      </c>
      <c r="C2037" s="235" t="s">
        <v>15847</v>
      </c>
      <c r="D2037" s="235" t="s">
        <v>15848</v>
      </c>
      <c r="E2037" s="243">
        <v>6.54E13</v>
      </c>
      <c r="F2037" s="245"/>
      <c r="G2037" s="235" t="s">
        <v>15849</v>
      </c>
      <c r="H2037" s="235" t="s">
        <v>15850</v>
      </c>
      <c r="I2037" s="235" t="s">
        <v>15851</v>
      </c>
      <c r="J2037" s="235" t="s">
        <v>15852</v>
      </c>
      <c r="K2037" s="235" t="s">
        <v>15853</v>
      </c>
      <c r="N2037" s="235" t="s">
        <v>127</v>
      </c>
      <c r="O2037" s="235" t="s">
        <v>794</v>
      </c>
      <c r="P2037" s="238">
        <v>1.0</v>
      </c>
      <c r="Q2037" s="235" t="s">
        <v>627</v>
      </c>
      <c r="R2037" s="238">
        <v>246.67</v>
      </c>
      <c r="S2037" s="238">
        <v>12.08</v>
      </c>
      <c r="T2037" s="238">
        <v>0.0</v>
      </c>
      <c r="U2037" s="238">
        <v>0.0</v>
      </c>
      <c r="V2037" s="238">
        <v>0.0</v>
      </c>
      <c r="W2037" s="238">
        <v>0.0</v>
      </c>
      <c r="X2037" s="235" t="s">
        <v>628</v>
      </c>
      <c r="Z2037" s="244"/>
      <c r="AA2037" s="244"/>
      <c r="AB2037" s="244"/>
      <c r="AC2037" s="235" t="s">
        <v>697</v>
      </c>
      <c r="AD2037" s="235" t="s">
        <v>698</v>
      </c>
      <c r="AE2037" s="238">
        <v>500055.0</v>
      </c>
      <c r="AF2037" s="235" t="s">
        <v>631</v>
      </c>
      <c r="AG2037" s="244"/>
      <c r="AH2037" s="244"/>
      <c r="AI2037" s="245"/>
      <c r="AJ2037" s="245"/>
      <c r="AK2037" s="245"/>
      <c r="AL2037" s="245"/>
      <c r="AM2037" s="244"/>
      <c r="AN2037" s="244"/>
      <c r="AO2037" s="238">
        <v>-4.93</v>
      </c>
      <c r="AP2037" s="238">
        <v>0.0</v>
      </c>
      <c r="AQ2037" s="235" t="s">
        <v>632</v>
      </c>
      <c r="AR2037" s="243">
        <v>3.71E11</v>
      </c>
      <c r="AS2037" s="235" t="s">
        <v>13822</v>
      </c>
      <c r="AT2037" s="235" t="s">
        <v>11</v>
      </c>
      <c r="AU2037" s="235" t="s">
        <v>634</v>
      </c>
      <c r="AV2037" s="246" t="s">
        <v>635</v>
      </c>
      <c r="AW2037" s="242"/>
      <c r="AX2037" s="242"/>
      <c r="AY2037" s="231"/>
      <c r="AZ2037" s="231"/>
      <c r="BA2037" s="227"/>
      <c r="BB2037" s="231"/>
      <c r="BC2037" s="227"/>
      <c r="BD2037" s="227"/>
      <c r="BE2037" s="227"/>
      <c r="BF2037" s="227"/>
    </row>
    <row r="2038">
      <c r="A2038" s="235" t="s">
        <v>15854</v>
      </c>
      <c r="C2038" s="235" t="s">
        <v>15855</v>
      </c>
      <c r="D2038" s="235" t="s">
        <v>15856</v>
      </c>
      <c r="E2038" s="243">
        <v>6.54E13</v>
      </c>
      <c r="F2038" s="245"/>
      <c r="G2038" s="235" t="s">
        <v>15857</v>
      </c>
      <c r="H2038" s="235" t="s">
        <v>15858</v>
      </c>
      <c r="I2038" s="235" t="s">
        <v>15858</v>
      </c>
      <c r="J2038" s="235" t="s">
        <v>15859</v>
      </c>
      <c r="K2038" s="235" t="s">
        <v>15860</v>
      </c>
      <c r="N2038" s="235" t="s">
        <v>144</v>
      </c>
      <c r="O2038" s="235" t="s">
        <v>232</v>
      </c>
      <c r="P2038" s="238">
        <v>1.0</v>
      </c>
      <c r="Q2038" s="235" t="s">
        <v>627</v>
      </c>
      <c r="R2038" s="238">
        <v>665.72</v>
      </c>
      <c r="S2038" s="238">
        <v>33.28</v>
      </c>
      <c r="T2038" s="238">
        <v>0.0</v>
      </c>
      <c r="U2038" s="238">
        <v>0.0</v>
      </c>
      <c r="V2038" s="238">
        <v>0.0</v>
      </c>
      <c r="W2038" s="238">
        <v>0.0</v>
      </c>
      <c r="X2038" s="235" t="s">
        <v>628</v>
      </c>
      <c r="Z2038" s="244"/>
      <c r="AA2038" s="244"/>
      <c r="AB2038" s="244"/>
      <c r="AC2038" s="235" t="s">
        <v>15861</v>
      </c>
      <c r="AD2038" s="235" t="s">
        <v>666</v>
      </c>
      <c r="AE2038" s="238">
        <v>631051.0</v>
      </c>
      <c r="AF2038" s="235" t="s">
        <v>631</v>
      </c>
      <c r="AG2038" s="244"/>
      <c r="AH2038" s="244"/>
      <c r="AI2038" s="245"/>
      <c r="AJ2038" s="245"/>
      <c r="AK2038" s="245"/>
      <c r="AL2038" s="245"/>
      <c r="AM2038" s="244"/>
      <c r="AN2038" s="244"/>
      <c r="AO2038" s="238">
        <v>0.0</v>
      </c>
      <c r="AP2038" s="238">
        <v>0.0</v>
      </c>
      <c r="AQ2038" s="235" t="s">
        <v>632</v>
      </c>
      <c r="AR2038" s="243">
        <v>3.71E11</v>
      </c>
      <c r="AS2038" s="235" t="s">
        <v>15064</v>
      </c>
      <c r="AT2038" s="235" t="s">
        <v>156</v>
      </c>
      <c r="AU2038" s="235" t="s">
        <v>634</v>
      </c>
      <c r="AV2038" s="246" t="s">
        <v>635</v>
      </c>
      <c r="AW2038" s="242"/>
      <c r="AX2038" s="242"/>
      <c r="AY2038" s="231"/>
      <c r="AZ2038" s="231"/>
      <c r="BA2038" s="227"/>
      <c r="BB2038" s="231"/>
      <c r="BC2038" s="227"/>
      <c r="BD2038" s="227"/>
      <c r="BE2038" s="227"/>
      <c r="BF2038" s="227"/>
    </row>
    <row r="2039">
      <c r="A2039" s="235" t="s">
        <v>15862</v>
      </c>
      <c r="C2039" s="235" t="s">
        <v>15863</v>
      </c>
      <c r="D2039" s="235" t="s">
        <v>15864</v>
      </c>
      <c r="E2039" s="243">
        <v>6.54E13</v>
      </c>
      <c r="F2039" s="245"/>
      <c r="G2039" s="235" t="s">
        <v>15865</v>
      </c>
      <c r="H2039" s="235" t="s">
        <v>15866</v>
      </c>
      <c r="I2039" s="235" t="s">
        <v>15866</v>
      </c>
      <c r="J2039" s="235" t="s">
        <v>15867</v>
      </c>
      <c r="K2039" s="235" t="s">
        <v>15868</v>
      </c>
      <c r="N2039" s="235" t="s">
        <v>47</v>
      </c>
      <c r="O2039" s="235" t="s">
        <v>270</v>
      </c>
      <c r="P2039" s="238">
        <v>1.0</v>
      </c>
      <c r="Q2039" s="235" t="s">
        <v>627</v>
      </c>
      <c r="R2039" s="238">
        <v>237.14</v>
      </c>
      <c r="S2039" s="238">
        <v>11.62</v>
      </c>
      <c r="T2039" s="238">
        <v>0.0</v>
      </c>
      <c r="U2039" s="238">
        <v>0.0</v>
      </c>
      <c r="V2039" s="238">
        <v>0.0</v>
      </c>
      <c r="W2039" s="238">
        <v>0.0</v>
      </c>
      <c r="X2039" s="235" t="s">
        <v>628</v>
      </c>
      <c r="Z2039" s="244"/>
      <c r="AA2039" s="244"/>
      <c r="AB2039" s="244"/>
      <c r="AC2039" s="235" t="s">
        <v>832</v>
      </c>
      <c r="AD2039" s="235" t="s">
        <v>833</v>
      </c>
      <c r="AE2039" s="238">
        <v>530009.0</v>
      </c>
      <c r="AF2039" s="235" t="s">
        <v>631</v>
      </c>
      <c r="AG2039" s="244"/>
      <c r="AH2039" s="244"/>
      <c r="AI2039" s="245"/>
      <c r="AJ2039" s="245"/>
      <c r="AK2039" s="245"/>
      <c r="AL2039" s="245"/>
      <c r="AM2039" s="244"/>
      <c r="AN2039" s="244"/>
      <c r="AO2039" s="238">
        <v>-4.74</v>
      </c>
      <c r="AP2039" s="238">
        <v>0.0</v>
      </c>
      <c r="AQ2039" s="235" t="s">
        <v>632</v>
      </c>
      <c r="AR2039" s="243">
        <v>3.71E11</v>
      </c>
      <c r="AS2039" s="235" t="s">
        <v>11171</v>
      </c>
      <c r="AT2039" s="235" t="s">
        <v>17</v>
      </c>
      <c r="AU2039" s="235" t="s">
        <v>634</v>
      </c>
      <c r="AV2039" s="246" t="s">
        <v>635</v>
      </c>
      <c r="AW2039" s="242"/>
      <c r="AX2039" s="242"/>
      <c r="AY2039" s="231"/>
      <c r="AZ2039" s="231"/>
      <c r="BA2039" s="227"/>
      <c r="BB2039" s="231"/>
      <c r="BC2039" s="227"/>
      <c r="BD2039" s="227"/>
      <c r="BE2039" s="227"/>
      <c r="BF2039" s="227"/>
    </row>
    <row r="2040">
      <c r="A2040" s="235" t="s">
        <v>15869</v>
      </c>
      <c r="C2040" s="235" t="s">
        <v>15870</v>
      </c>
      <c r="D2040" s="235" t="s">
        <v>15871</v>
      </c>
      <c r="E2040" s="243">
        <v>6.54E13</v>
      </c>
      <c r="F2040" s="245"/>
      <c r="G2040" s="235" t="s">
        <v>15872</v>
      </c>
      <c r="H2040" s="235" t="s">
        <v>15873</v>
      </c>
      <c r="I2040" s="235" t="s">
        <v>15873</v>
      </c>
      <c r="J2040" s="235" t="s">
        <v>15874</v>
      </c>
      <c r="K2040" s="235" t="s">
        <v>15875</v>
      </c>
      <c r="N2040" s="235" t="s">
        <v>130</v>
      </c>
      <c r="O2040" s="235" t="s">
        <v>707</v>
      </c>
      <c r="P2040" s="238">
        <v>1.0</v>
      </c>
      <c r="Q2040" s="235" t="s">
        <v>627</v>
      </c>
      <c r="R2040" s="238">
        <v>242.86</v>
      </c>
      <c r="S2040" s="238">
        <v>11.9</v>
      </c>
      <c r="T2040" s="238">
        <v>0.0</v>
      </c>
      <c r="U2040" s="238">
        <v>0.0</v>
      </c>
      <c r="V2040" s="238">
        <v>0.0</v>
      </c>
      <c r="W2040" s="238">
        <v>0.0</v>
      </c>
      <c r="X2040" s="235" t="s">
        <v>628</v>
      </c>
      <c r="Z2040" s="244"/>
      <c r="AA2040" s="244"/>
      <c r="AB2040" s="244"/>
      <c r="AC2040" s="235" t="s">
        <v>6182</v>
      </c>
      <c r="AD2040" s="235" t="s">
        <v>845</v>
      </c>
      <c r="AE2040" s="238">
        <v>401210.0</v>
      </c>
      <c r="AF2040" s="235" t="s">
        <v>631</v>
      </c>
      <c r="AG2040" s="244"/>
      <c r="AH2040" s="244"/>
      <c r="AI2040" s="245"/>
      <c r="AJ2040" s="245"/>
      <c r="AK2040" s="245"/>
      <c r="AL2040" s="245"/>
      <c r="AM2040" s="244"/>
      <c r="AN2040" s="244"/>
      <c r="AO2040" s="238">
        <v>-4.86</v>
      </c>
      <c r="AP2040" s="238">
        <v>0.0</v>
      </c>
      <c r="AQ2040" s="235" t="s">
        <v>632</v>
      </c>
      <c r="AR2040" s="243">
        <v>3.71E11</v>
      </c>
      <c r="AS2040" s="235" t="s">
        <v>15064</v>
      </c>
      <c r="AT2040" s="235" t="s">
        <v>16</v>
      </c>
      <c r="AU2040" s="235" t="s">
        <v>634</v>
      </c>
      <c r="AV2040" s="246" t="s">
        <v>635</v>
      </c>
      <c r="AW2040" s="242"/>
      <c r="AX2040" s="242"/>
      <c r="AY2040" s="231"/>
      <c r="AZ2040" s="231"/>
      <c r="BA2040" s="227"/>
      <c r="BB2040" s="227"/>
      <c r="BC2040" s="227"/>
      <c r="BD2040" s="227"/>
      <c r="BE2040" s="227"/>
      <c r="BF2040" s="227"/>
    </row>
    <row r="2041">
      <c r="A2041" s="235" t="s">
        <v>15876</v>
      </c>
      <c r="C2041" s="235" t="s">
        <v>15877</v>
      </c>
      <c r="D2041" s="235" t="s">
        <v>15878</v>
      </c>
      <c r="E2041" s="243">
        <v>6.53E13</v>
      </c>
      <c r="F2041" s="245"/>
      <c r="G2041" s="235" t="s">
        <v>15879</v>
      </c>
      <c r="H2041" s="235" t="s">
        <v>15880</v>
      </c>
      <c r="I2041" s="235" t="s">
        <v>15880</v>
      </c>
      <c r="J2041" s="235" t="s">
        <v>15881</v>
      </c>
      <c r="K2041" s="235" t="s">
        <v>15882</v>
      </c>
      <c r="N2041" s="235" t="s">
        <v>138</v>
      </c>
      <c r="O2041" s="235" t="s">
        <v>675</v>
      </c>
      <c r="P2041" s="238">
        <v>1.0</v>
      </c>
      <c r="Q2041" s="235" t="s">
        <v>627</v>
      </c>
      <c r="R2041" s="238">
        <v>270.48</v>
      </c>
      <c r="S2041" s="238">
        <v>13.25</v>
      </c>
      <c r="T2041" s="238">
        <v>38.1</v>
      </c>
      <c r="U2041" s="238">
        <v>1.9</v>
      </c>
      <c r="V2041" s="238">
        <v>0.0</v>
      </c>
      <c r="W2041" s="238">
        <v>0.0</v>
      </c>
      <c r="X2041" s="235" t="s">
        <v>628</v>
      </c>
      <c r="Z2041" s="244"/>
      <c r="AA2041" s="244"/>
      <c r="AB2041" s="244"/>
      <c r="AC2041" s="235" t="s">
        <v>15883</v>
      </c>
      <c r="AD2041" s="235" t="s">
        <v>15884</v>
      </c>
      <c r="AE2041" s="238">
        <v>854311.0</v>
      </c>
      <c r="AF2041" s="235" t="s">
        <v>631</v>
      </c>
      <c r="AG2041" s="244"/>
      <c r="AH2041" s="244"/>
      <c r="AI2041" s="245"/>
      <c r="AJ2041" s="245"/>
      <c r="AK2041" s="245"/>
      <c r="AL2041" s="245"/>
      <c r="AM2041" s="244"/>
      <c r="AN2041" s="244"/>
      <c r="AO2041" s="238">
        <v>-5.41</v>
      </c>
      <c r="AP2041" s="238">
        <v>-38.1</v>
      </c>
      <c r="AQ2041" s="235" t="s">
        <v>632</v>
      </c>
      <c r="AR2041" s="243">
        <v>3.71E11</v>
      </c>
      <c r="AS2041" s="235" t="s">
        <v>8807</v>
      </c>
      <c r="AT2041" s="235" t="s">
        <v>533</v>
      </c>
      <c r="AU2041" s="235" t="s">
        <v>634</v>
      </c>
      <c r="AV2041" s="246" t="s">
        <v>635</v>
      </c>
      <c r="AW2041" s="242"/>
      <c r="AX2041" s="242"/>
      <c r="AY2041" s="231"/>
      <c r="AZ2041" s="231"/>
      <c r="BA2041" s="227"/>
      <c r="BB2041" s="231"/>
      <c r="BC2041" s="227"/>
      <c r="BD2041" s="227"/>
      <c r="BE2041" s="227"/>
      <c r="BF2041" s="227"/>
    </row>
    <row r="2042">
      <c r="A2042" s="235" t="s">
        <v>15885</v>
      </c>
      <c r="C2042" s="235" t="s">
        <v>15886</v>
      </c>
      <c r="D2042" s="235" t="s">
        <v>15887</v>
      </c>
      <c r="E2042" s="243">
        <v>6.54E13</v>
      </c>
      <c r="F2042" s="245"/>
      <c r="G2042" s="235" t="s">
        <v>15888</v>
      </c>
      <c r="H2042" s="235" t="s">
        <v>15889</v>
      </c>
      <c r="I2042" s="235" t="s">
        <v>15889</v>
      </c>
      <c r="J2042" s="235" t="s">
        <v>15890</v>
      </c>
      <c r="K2042" s="235" t="s">
        <v>15891</v>
      </c>
      <c r="N2042" s="235" t="s">
        <v>127</v>
      </c>
      <c r="O2042" s="235" t="s">
        <v>794</v>
      </c>
      <c r="P2042" s="238">
        <v>1.0</v>
      </c>
      <c r="Q2042" s="235" t="s">
        <v>627</v>
      </c>
      <c r="R2042" s="238">
        <v>246.66</v>
      </c>
      <c r="S2042" s="238">
        <v>12.34</v>
      </c>
      <c r="T2042" s="238">
        <v>0.0</v>
      </c>
      <c r="U2042" s="238">
        <v>0.0</v>
      </c>
      <c r="V2042" s="238">
        <v>0.0</v>
      </c>
      <c r="W2042" s="238">
        <v>0.0</v>
      </c>
      <c r="X2042" s="235" t="s">
        <v>628</v>
      </c>
      <c r="Z2042" s="244"/>
      <c r="AA2042" s="244"/>
      <c r="AB2042" s="244"/>
      <c r="AC2042" s="235" t="s">
        <v>5091</v>
      </c>
      <c r="AD2042" s="235" t="s">
        <v>845</v>
      </c>
      <c r="AE2042" s="238">
        <v>440012.0</v>
      </c>
      <c r="AF2042" s="235" t="s">
        <v>631</v>
      </c>
      <c r="AG2042" s="244"/>
      <c r="AH2042" s="244"/>
      <c r="AI2042" s="245"/>
      <c r="AJ2042" s="245"/>
      <c r="AK2042" s="245"/>
      <c r="AL2042" s="245"/>
      <c r="AM2042" s="244"/>
      <c r="AN2042" s="244"/>
      <c r="AO2042" s="238">
        <v>0.0</v>
      </c>
      <c r="AP2042" s="238">
        <v>0.0</v>
      </c>
      <c r="AQ2042" s="235" t="s">
        <v>632</v>
      </c>
      <c r="AR2042" s="243">
        <v>3.71E11</v>
      </c>
      <c r="AS2042" s="235" t="s">
        <v>12693</v>
      </c>
      <c r="AT2042" s="235" t="s">
        <v>16</v>
      </c>
      <c r="AU2042" s="235" t="s">
        <v>634</v>
      </c>
      <c r="AV2042" s="246" t="s">
        <v>635</v>
      </c>
      <c r="AW2042" s="242"/>
      <c r="AX2042" s="242"/>
      <c r="AY2042" s="231"/>
      <c r="AZ2042" s="231"/>
      <c r="BA2042" s="227"/>
      <c r="BB2042" s="231"/>
      <c r="BC2042" s="227"/>
      <c r="BD2042" s="227"/>
      <c r="BE2042" s="227"/>
      <c r="BF2042" s="227"/>
    </row>
    <row r="2043">
      <c r="A2043" s="235" t="s">
        <v>15892</v>
      </c>
      <c r="C2043" s="235" t="s">
        <v>15893</v>
      </c>
      <c r="D2043" s="235" t="s">
        <v>15894</v>
      </c>
      <c r="E2043" s="243">
        <v>6.54E13</v>
      </c>
      <c r="F2043" s="245"/>
      <c r="G2043" s="235" t="s">
        <v>15895</v>
      </c>
      <c r="H2043" s="235" t="s">
        <v>15896</v>
      </c>
      <c r="I2043" s="235" t="s">
        <v>15896</v>
      </c>
      <c r="J2043" s="235" t="s">
        <v>15897</v>
      </c>
      <c r="K2043" s="235" t="s">
        <v>15898</v>
      </c>
      <c r="N2043" s="235" t="s">
        <v>117</v>
      </c>
      <c r="O2043" s="235" t="s">
        <v>334</v>
      </c>
      <c r="P2043" s="238">
        <v>1.0</v>
      </c>
      <c r="Q2043" s="235" t="s">
        <v>627</v>
      </c>
      <c r="R2043" s="238">
        <v>270.48</v>
      </c>
      <c r="S2043" s="238">
        <v>13.25</v>
      </c>
      <c r="T2043" s="238">
        <v>0.0</v>
      </c>
      <c r="U2043" s="238">
        <v>0.0</v>
      </c>
      <c r="V2043" s="238">
        <v>0.0</v>
      </c>
      <c r="W2043" s="238">
        <v>0.0</v>
      </c>
      <c r="X2043" s="235" t="s">
        <v>628</v>
      </c>
      <c r="Z2043" s="244"/>
      <c r="AA2043" s="244"/>
      <c r="AB2043" s="244"/>
      <c r="AC2043" s="235" t="s">
        <v>907</v>
      </c>
      <c r="AD2043" s="235" t="s">
        <v>908</v>
      </c>
      <c r="AE2043" s="238">
        <v>248001.0</v>
      </c>
      <c r="AF2043" s="235" t="s">
        <v>631</v>
      </c>
      <c r="AG2043" s="244"/>
      <c r="AH2043" s="244"/>
      <c r="AI2043" s="245"/>
      <c r="AJ2043" s="245"/>
      <c r="AK2043" s="245"/>
      <c r="AL2043" s="245"/>
      <c r="AM2043" s="244"/>
      <c r="AN2043" s="244"/>
      <c r="AO2043" s="238">
        <v>-5.41</v>
      </c>
      <c r="AP2043" s="238">
        <v>0.0</v>
      </c>
      <c r="AQ2043" s="235" t="s">
        <v>632</v>
      </c>
      <c r="AR2043" s="243">
        <v>1.68E11</v>
      </c>
      <c r="AS2043" s="235" t="s">
        <v>15064</v>
      </c>
      <c r="AT2043" s="235" t="s">
        <v>14</v>
      </c>
      <c r="AU2043" s="235" t="s">
        <v>634</v>
      </c>
      <c r="AV2043" s="246" t="s">
        <v>635</v>
      </c>
      <c r="AW2043" s="242"/>
      <c r="AX2043" s="242"/>
      <c r="AY2043" s="231"/>
      <c r="AZ2043" s="231"/>
      <c r="BA2043" s="227"/>
      <c r="BB2043" s="231"/>
      <c r="BC2043" s="227"/>
      <c r="BD2043" s="227"/>
      <c r="BE2043" s="227"/>
      <c r="BF2043" s="227"/>
    </row>
    <row r="2044">
      <c r="A2044" s="235" t="s">
        <v>15899</v>
      </c>
      <c r="C2044" s="235" t="s">
        <v>15900</v>
      </c>
      <c r="D2044" s="235" t="s">
        <v>15901</v>
      </c>
      <c r="E2044" s="243">
        <v>6.54E13</v>
      </c>
      <c r="F2044" s="245"/>
      <c r="G2044" s="235" t="s">
        <v>15902</v>
      </c>
      <c r="H2044" s="235" t="s">
        <v>15903</v>
      </c>
      <c r="I2044" s="235" t="s">
        <v>15903</v>
      </c>
      <c r="J2044" s="235" t="s">
        <v>15904</v>
      </c>
      <c r="K2044" s="235" t="s">
        <v>15905</v>
      </c>
      <c r="N2044" s="235" t="s">
        <v>154</v>
      </c>
      <c r="O2044" s="235" t="s">
        <v>766</v>
      </c>
      <c r="P2044" s="238">
        <v>1.0</v>
      </c>
      <c r="Q2044" s="235" t="s">
        <v>627</v>
      </c>
      <c r="R2044" s="238">
        <v>465.71</v>
      </c>
      <c r="S2044" s="238">
        <v>23.29</v>
      </c>
      <c r="T2044" s="238">
        <v>0.0</v>
      </c>
      <c r="U2044" s="238">
        <v>0.0</v>
      </c>
      <c r="V2044" s="238">
        <v>0.0</v>
      </c>
      <c r="W2044" s="238">
        <v>0.0</v>
      </c>
      <c r="X2044" s="235" t="s">
        <v>628</v>
      </c>
      <c r="Z2044" s="244"/>
      <c r="AA2044" s="244"/>
      <c r="AB2044" s="244"/>
      <c r="AC2044" s="235" t="s">
        <v>3374</v>
      </c>
      <c r="AD2044" s="235" t="s">
        <v>645</v>
      </c>
      <c r="AE2044" s="238">
        <v>695024.0</v>
      </c>
      <c r="AF2044" s="235" t="s">
        <v>631</v>
      </c>
      <c r="AG2044" s="244"/>
      <c r="AH2044" s="244"/>
      <c r="AI2044" s="245"/>
      <c r="AJ2044" s="245"/>
      <c r="AK2044" s="245"/>
      <c r="AL2044" s="245"/>
      <c r="AM2044" s="244"/>
      <c r="AN2044" s="244"/>
      <c r="AO2044" s="238">
        <v>0.0</v>
      </c>
      <c r="AP2044" s="238">
        <v>0.0</v>
      </c>
      <c r="AQ2044" s="235" t="s">
        <v>632</v>
      </c>
      <c r="AR2044" s="243">
        <v>3.71E11</v>
      </c>
      <c r="AS2044" s="235" t="s">
        <v>13822</v>
      </c>
      <c r="AT2044" s="235" t="s">
        <v>155</v>
      </c>
      <c r="AU2044" s="235" t="s">
        <v>634</v>
      </c>
      <c r="AV2044" s="246" t="s">
        <v>635</v>
      </c>
      <c r="AW2044" s="242"/>
      <c r="AX2044" s="242"/>
      <c r="AY2044" s="231"/>
      <c r="AZ2044" s="231"/>
      <c r="BA2044" s="227"/>
      <c r="BB2044" s="231"/>
      <c r="BC2044" s="227"/>
      <c r="BD2044" s="227"/>
      <c r="BE2044" s="227"/>
      <c r="BF2044" s="227"/>
    </row>
    <row r="2045">
      <c r="A2045" s="235" t="s">
        <v>15906</v>
      </c>
      <c r="C2045" s="235" t="s">
        <v>15907</v>
      </c>
      <c r="D2045" s="235" t="s">
        <v>15908</v>
      </c>
      <c r="E2045" s="243">
        <v>6.54E13</v>
      </c>
      <c r="F2045" s="245"/>
      <c r="G2045" s="235" t="s">
        <v>15909</v>
      </c>
      <c r="H2045" s="235" t="s">
        <v>15910</v>
      </c>
      <c r="I2045" s="235" t="s">
        <v>15910</v>
      </c>
      <c r="J2045" s="235" t="s">
        <v>15911</v>
      </c>
      <c r="K2045" s="235" t="s">
        <v>15912</v>
      </c>
      <c r="N2045" s="235" t="s">
        <v>90</v>
      </c>
      <c r="O2045" s="235" t="s">
        <v>279</v>
      </c>
      <c r="P2045" s="238">
        <v>1.0</v>
      </c>
      <c r="Q2045" s="235" t="s">
        <v>627</v>
      </c>
      <c r="R2045" s="238">
        <v>246.67</v>
      </c>
      <c r="S2045" s="238">
        <v>12.33</v>
      </c>
      <c r="T2045" s="238">
        <v>38.1</v>
      </c>
      <c r="U2045" s="238">
        <v>1.9</v>
      </c>
      <c r="V2045" s="238">
        <v>0.0</v>
      </c>
      <c r="W2045" s="238">
        <v>0.0</v>
      </c>
      <c r="X2045" s="235" t="s">
        <v>628</v>
      </c>
      <c r="Z2045" s="244"/>
      <c r="AA2045" s="244"/>
      <c r="AB2045" s="244"/>
      <c r="AC2045" s="235" t="s">
        <v>15913</v>
      </c>
      <c r="AD2045" s="235" t="s">
        <v>845</v>
      </c>
      <c r="AE2045" s="238">
        <v>425409.0</v>
      </c>
      <c r="AF2045" s="235" t="s">
        <v>631</v>
      </c>
      <c r="AG2045" s="244"/>
      <c r="AH2045" s="244"/>
      <c r="AI2045" s="245"/>
      <c r="AJ2045" s="245"/>
      <c r="AK2045" s="245"/>
      <c r="AL2045" s="245"/>
      <c r="AM2045" s="244"/>
      <c r="AN2045" s="244"/>
      <c r="AO2045" s="238">
        <v>0.0</v>
      </c>
      <c r="AP2045" s="238">
        <v>-38.1</v>
      </c>
      <c r="AQ2045" s="235" t="s">
        <v>632</v>
      </c>
      <c r="AR2045" s="243">
        <v>3.71E11</v>
      </c>
      <c r="AS2045" s="235" t="s">
        <v>8807</v>
      </c>
      <c r="AT2045" s="235" t="s">
        <v>5</v>
      </c>
      <c r="AU2045" s="235" t="s">
        <v>634</v>
      </c>
      <c r="AV2045" s="246" t="s">
        <v>635</v>
      </c>
      <c r="AW2045" s="242"/>
      <c r="AX2045" s="242"/>
      <c r="AY2045" s="231"/>
      <c r="AZ2045" s="231"/>
      <c r="BA2045" s="227"/>
      <c r="BB2045" s="231"/>
      <c r="BC2045" s="227"/>
      <c r="BD2045" s="227"/>
      <c r="BE2045" s="227"/>
      <c r="BF2045" s="227"/>
    </row>
    <row r="2046">
      <c r="A2046" s="235" t="s">
        <v>15914</v>
      </c>
      <c r="C2046" s="235" t="s">
        <v>15915</v>
      </c>
      <c r="D2046" s="235" t="s">
        <v>15916</v>
      </c>
      <c r="E2046" s="243">
        <v>6.54E13</v>
      </c>
      <c r="F2046" s="245"/>
      <c r="G2046" s="235" t="s">
        <v>15917</v>
      </c>
      <c r="H2046" s="235" t="s">
        <v>15918</v>
      </c>
      <c r="I2046" s="235" t="s">
        <v>15918</v>
      </c>
      <c r="J2046" s="235" t="s">
        <v>15919</v>
      </c>
      <c r="K2046" s="235" t="s">
        <v>15912</v>
      </c>
      <c r="N2046" s="235" t="s">
        <v>92</v>
      </c>
      <c r="O2046" s="235" t="s">
        <v>248</v>
      </c>
      <c r="P2046" s="238">
        <v>1.0</v>
      </c>
      <c r="Q2046" s="235" t="s">
        <v>627</v>
      </c>
      <c r="R2046" s="238">
        <v>246.67</v>
      </c>
      <c r="S2046" s="238">
        <v>12.33</v>
      </c>
      <c r="T2046" s="238">
        <v>38.1</v>
      </c>
      <c r="U2046" s="238">
        <v>1.9</v>
      </c>
      <c r="V2046" s="238">
        <v>0.0</v>
      </c>
      <c r="W2046" s="238">
        <v>0.0</v>
      </c>
      <c r="X2046" s="235" t="s">
        <v>628</v>
      </c>
      <c r="Z2046" s="244"/>
      <c r="AA2046" s="244"/>
      <c r="AB2046" s="244"/>
      <c r="AC2046" s="235" t="s">
        <v>15913</v>
      </c>
      <c r="AD2046" s="235" t="s">
        <v>845</v>
      </c>
      <c r="AE2046" s="238">
        <v>425409.0</v>
      </c>
      <c r="AF2046" s="235" t="s">
        <v>631</v>
      </c>
      <c r="AG2046" s="244"/>
      <c r="AH2046" s="244"/>
      <c r="AI2046" s="245"/>
      <c r="AJ2046" s="245"/>
      <c r="AK2046" s="245"/>
      <c r="AL2046" s="245"/>
      <c r="AM2046" s="244"/>
      <c r="AN2046" s="244"/>
      <c r="AO2046" s="238">
        <v>0.0</v>
      </c>
      <c r="AP2046" s="238">
        <v>-38.1</v>
      </c>
      <c r="AQ2046" s="235" t="s">
        <v>632</v>
      </c>
      <c r="AR2046" s="243">
        <v>3.71E11</v>
      </c>
      <c r="AS2046" s="235" t="s">
        <v>8807</v>
      </c>
      <c r="AT2046" s="235" t="s">
        <v>5</v>
      </c>
      <c r="AU2046" s="235" t="s">
        <v>634</v>
      </c>
      <c r="AV2046" s="246" t="s">
        <v>635</v>
      </c>
      <c r="AW2046" s="242"/>
      <c r="AX2046" s="242"/>
      <c r="AY2046" s="231"/>
      <c r="AZ2046" s="231"/>
      <c r="BA2046" s="227"/>
      <c r="BB2046" s="231"/>
      <c r="BC2046" s="227"/>
      <c r="BD2046" s="227"/>
      <c r="BE2046" s="227"/>
      <c r="BF2046" s="227"/>
    </row>
    <row r="2047">
      <c r="A2047" s="235" t="s">
        <v>15920</v>
      </c>
      <c r="C2047" s="235" t="s">
        <v>15921</v>
      </c>
      <c r="D2047" s="235" t="s">
        <v>15922</v>
      </c>
      <c r="E2047" s="243">
        <v>6.54E13</v>
      </c>
      <c r="F2047" s="245"/>
      <c r="G2047" s="235" t="s">
        <v>15923</v>
      </c>
      <c r="H2047" s="235" t="s">
        <v>15924</v>
      </c>
      <c r="I2047" s="235" t="s">
        <v>15924</v>
      </c>
      <c r="J2047" s="235" t="s">
        <v>15925</v>
      </c>
      <c r="K2047" s="235" t="s">
        <v>15926</v>
      </c>
      <c r="N2047" s="235" t="s">
        <v>10</v>
      </c>
      <c r="O2047" s="235" t="s">
        <v>936</v>
      </c>
      <c r="P2047" s="238">
        <v>1.0</v>
      </c>
      <c r="Q2047" s="235" t="s">
        <v>627</v>
      </c>
      <c r="R2047" s="238">
        <v>265.71</v>
      </c>
      <c r="S2047" s="238">
        <v>13.29</v>
      </c>
      <c r="T2047" s="238">
        <v>0.0</v>
      </c>
      <c r="U2047" s="238">
        <v>0.0</v>
      </c>
      <c r="V2047" s="238">
        <v>0.0</v>
      </c>
      <c r="W2047" s="238">
        <v>0.0</v>
      </c>
      <c r="X2047" s="235" t="s">
        <v>628</v>
      </c>
      <c r="Z2047" s="244"/>
      <c r="AA2047" s="244"/>
      <c r="AB2047" s="244"/>
      <c r="AC2047" s="235" t="s">
        <v>1514</v>
      </c>
      <c r="AD2047" s="235" t="s">
        <v>1077</v>
      </c>
      <c r="AE2047" s="238">
        <v>380059.0</v>
      </c>
      <c r="AF2047" s="235" t="s">
        <v>631</v>
      </c>
      <c r="AG2047" s="244"/>
      <c r="AH2047" s="244"/>
      <c r="AI2047" s="245"/>
      <c r="AJ2047" s="245"/>
      <c r="AK2047" s="245"/>
      <c r="AL2047" s="245"/>
      <c r="AM2047" s="244"/>
      <c r="AN2047" s="244"/>
      <c r="AO2047" s="238">
        <v>0.0</v>
      </c>
      <c r="AP2047" s="238">
        <v>0.0</v>
      </c>
      <c r="AQ2047" s="235" t="s">
        <v>632</v>
      </c>
      <c r="AR2047" s="243">
        <v>3.71E11</v>
      </c>
      <c r="AS2047" s="235" t="s">
        <v>12693</v>
      </c>
      <c r="AT2047" s="235" t="s">
        <v>13</v>
      </c>
      <c r="AU2047" s="235" t="s">
        <v>634</v>
      </c>
      <c r="AV2047" s="246" t="s">
        <v>635</v>
      </c>
      <c r="AW2047" s="242"/>
      <c r="AX2047" s="242"/>
      <c r="AY2047" s="231"/>
      <c r="AZ2047" s="231"/>
      <c r="BA2047" s="227"/>
      <c r="BB2047" s="231"/>
      <c r="BC2047" s="227"/>
      <c r="BD2047" s="227"/>
      <c r="BE2047" s="227"/>
      <c r="BF2047" s="227"/>
    </row>
    <row r="2048">
      <c r="A2048" s="235" t="s">
        <v>15927</v>
      </c>
      <c r="C2048" s="235" t="s">
        <v>15928</v>
      </c>
      <c r="D2048" s="235" t="s">
        <v>15929</v>
      </c>
      <c r="E2048" s="243">
        <v>6.54E13</v>
      </c>
      <c r="F2048" s="245"/>
      <c r="G2048" s="235" t="s">
        <v>15930</v>
      </c>
      <c r="H2048" s="235" t="s">
        <v>15931</v>
      </c>
      <c r="I2048" s="235" t="s">
        <v>15931</v>
      </c>
      <c r="J2048" s="235" t="s">
        <v>15932</v>
      </c>
      <c r="K2048" s="235" t="s">
        <v>15933</v>
      </c>
      <c r="N2048" s="235" t="s">
        <v>2163</v>
      </c>
      <c r="O2048" s="235" t="s">
        <v>2164</v>
      </c>
      <c r="P2048" s="238">
        <v>1.0</v>
      </c>
      <c r="Q2048" s="235" t="s">
        <v>627</v>
      </c>
      <c r="R2048" s="238">
        <v>246.67</v>
      </c>
      <c r="S2048" s="238">
        <v>12.33</v>
      </c>
      <c r="T2048" s="238">
        <v>0.0</v>
      </c>
      <c r="U2048" s="238">
        <v>0.0</v>
      </c>
      <c r="V2048" s="238">
        <v>0.0</v>
      </c>
      <c r="W2048" s="238">
        <v>0.0</v>
      </c>
      <c r="X2048" s="235" t="s">
        <v>628</v>
      </c>
      <c r="Z2048" s="244"/>
      <c r="AA2048" s="244"/>
      <c r="AB2048" s="244"/>
      <c r="AC2048" s="235" t="s">
        <v>3329</v>
      </c>
      <c r="AD2048" s="235" t="s">
        <v>666</v>
      </c>
      <c r="AE2048" s="238">
        <v>625104.0</v>
      </c>
      <c r="AF2048" s="235" t="s">
        <v>631</v>
      </c>
      <c r="AG2048" s="244"/>
      <c r="AH2048" s="244"/>
      <c r="AI2048" s="245"/>
      <c r="AJ2048" s="245"/>
      <c r="AK2048" s="245"/>
      <c r="AL2048" s="245"/>
      <c r="AM2048" s="244"/>
      <c r="AN2048" s="244"/>
      <c r="AO2048" s="238">
        <v>0.0</v>
      </c>
      <c r="AP2048" s="238">
        <v>0.0</v>
      </c>
      <c r="AQ2048" s="235" t="s">
        <v>632</v>
      </c>
      <c r="AR2048" s="243">
        <v>3.71E11</v>
      </c>
      <c r="AS2048" s="235" t="s">
        <v>10017</v>
      </c>
      <c r="AT2048" s="235" t="s">
        <v>16</v>
      </c>
      <c r="AU2048" s="235" t="s">
        <v>634</v>
      </c>
      <c r="AV2048" s="246" t="s">
        <v>635</v>
      </c>
      <c r="AW2048" s="242"/>
      <c r="AX2048" s="242"/>
      <c r="AY2048" s="231"/>
      <c r="AZ2048" s="231"/>
      <c r="BA2048" s="227"/>
      <c r="BB2048" s="231"/>
      <c r="BC2048" s="227"/>
      <c r="BD2048" s="227"/>
      <c r="BE2048" s="227"/>
      <c r="BF2048" s="227"/>
    </row>
    <row r="2049">
      <c r="A2049" s="235" t="s">
        <v>15934</v>
      </c>
      <c r="C2049" s="235" t="s">
        <v>15935</v>
      </c>
      <c r="D2049" s="235" t="s">
        <v>15936</v>
      </c>
      <c r="E2049" s="243">
        <v>6.54E13</v>
      </c>
      <c r="F2049" s="245"/>
      <c r="G2049" s="235" t="s">
        <v>15937</v>
      </c>
      <c r="H2049" s="235" t="s">
        <v>15938</v>
      </c>
      <c r="I2049" s="235" t="s">
        <v>15938</v>
      </c>
      <c r="J2049" s="235" t="s">
        <v>15939</v>
      </c>
      <c r="K2049" s="235" t="s">
        <v>15940</v>
      </c>
      <c r="N2049" s="235" t="s">
        <v>85</v>
      </c>
      <c r="O2049" s="235" t="s">
        <v>872</v>
      </c>
      <c r="P2049" s="238">
        <v>1.0</v>
      </c>
      <c r="Q2049" s="235" t="s">
        <v>627</v>
      </c>
      <c r="R2049" s="238">
        <v>246.66</v>
      </c>
      <c r="S2049" s="238">
        <v>12.34</v>
      </c>
      <c r="T2049" s="238">
        <v>0.0</v>
      </c>
      <c r="U2049" s="238">
        <v>0.0</v>
      </c>
      <c r="V2049" s="238">
        <v>0.0</v>
      </c>
      <c r="W2049" s="238">
        <v>0.0</v>
      </c>
      <c r="X2049" s="235" t="s">
        <v>628</v>
      </c>
      <c r="Z2049" s="244"/>
      <c r="AA2049" s="244"/>
      <c r="AB2049" s="244"/>
      <c r="AC2049" s="235" t="s">
        <v>687</v>
      </c>
      <c r="AD2049" s="235" t="s">
        <v>666</v>
      </c>
      <c r="AE2049" s="238">
        <v>600014.0</v>
      </c>
      <c r="AF2049" s="235" t="s">
        <v>631</v>
      </c>
      <c r="AG2049" s="244"/>
      <c r="AH2049" s="244"/>
      <c r="AI2049" s="245"/>
      <c r="AJ2049" s="245"/>
      <c r="AK2049" s="245"/>
      <c r="AL2049" s="245"/>
      <c r="AM2049" s="244"/>
      <c r="AN2049" s="244"/>
      <c r="AO2049" s="238">
        <v>0.0</v>
      </c>
      <c r="AP2049" s="238">
        <v>0.0</v>
      </c>
      <c r="AQ2049" s="235" t="s">
        <v>632</v>
      </c>
      <c r="AR2049" s="243">
        <v>1.68E11</v>
      </c>
      <c r="AS2049" s="235" t="s">
        <v>15599</v>
      </c>
      <c r="AT2049" s="235" t="s">
        <v>156</v>
      </c>
      <c r="AU2049" s="235" t="s">
        <v>634</v>
      </c>
      <c r="AV2049" s="246" t="s">
        <v>635</v>
      </c>
      <c r="AW2049" s="242"/>
      <c r="AX2049" s="242"/>
      <c r="AY2049" s="231"/>
      <c r="AZ2049" s="231"/>
      <c r="BA2049" s="227"/>
      <c r="BB2049" s="231"/>
      <c r="BC2049" s="227"/>
      <c r="BD2049" s="227"/>
      <c r="BE2049" s="227"/>
      <c r="BF2049" s="227"/>
    </row>
    <row r="2050">
      <c r="A2050" s="235" t="s">
        <v>15941</v>
      </c>
      <c r="C2050" s="235" t="s">
        <v>15942</v>
      </c>
      <c r="D2050" s="235" t="s">
        <v>15943</v>
      </c>
      <c r="E2050" s="243">
        <v>6.54E13</v>
      </c>
      <c r="F2050" s="245"/>
      <c r="G2050" s="235" t="s">
        <v>15944</v>
      </c>
      <c r="H2050" s="235" t="s">
        <v>15945</v>
      </c>
      <c r="I2050" s="235" t="s">
        <v>15945</v>
      </c>
      <c r="J2050" s="235" t="s">
        <v>15946</v>
      </c>
      <c r="K2050" s="235" t="s">
        <v>15947</v>
      </c>
      <c r="N2050" s="235" t="s">
        <v>51</v>
      </c>
      <c r="O2050" s="235" t="s">
        <v>273</v>
      </c>
      <c r="P2050" s="238">
        <v>1.0</v>
      </c>
      <c r="Q2050" s="235" t="s">
        <v>627</v>
      </c>
      <c r="R2050" s="238">
        <v>236.2</v>
      </c>
      <c r="S2050" s="238">
        <v>11.8</v>
      </c>
      <c r="T2050" s="238">
        <v>0.0</v>
      </c>
      <c r="U2050" s="238">
        <v>0.0</v>
      </c>
      <c r="V2050" s="238">
        <v>0.0</v>
      </c>
      <c r="W2050" s="238">
        <v>0.0</v>
      </c>
      <c r="X2050" s="235" t="s">
        <v>628</v>
      </c>
      <c r="Z2050" s="244"/>
      <c r="AA2050" s="244"/>
      <c r="AB2050" s="244"/>
      <c r="AC2050" s="235" t="s">
        <v>1671</v>
      </c>
      <c r="AD2050" s="235" t="s">
        <v>666</v>
      </c>
      <c r="AE2050" s="238">
        <v>641030.0</v>
      </c>
      <c r="AF2050" s="235" t="s">
        <v>631</v>
      </c>
      <c r="AG2050" s="244"/>
      <c r="AH2050" s="244"/>
      <c r="AI2050" s="245"/>
      <c r="AJ2050" s="245"/>
      <c r="AK2050" s="245"/>
      <c r="AL2050" s="245"/>
      <c r="AM2050" s="244"/>
      <c r="AN2050" s="244"/>
      <c r="AO2050" s="238">
        <v>0.0</v>
      </c>
      <c r="AP2050" s="238">
        <v>0.0</v>
      </c>
      <c r="AQ2050" s="235" t="s">
        <v>632</v>
      </c>
      <c r="AR2050" s="243">
        <v>1.68E11</v>
      </c>
      <c r="AS2050" s="235" t="s">
        <v>15599</v>
      </c>
      <c r="AT2050" s="235" t="s">
        <v>155</v>
      </c>
      <c r="AU2050" s="235" t="s">
        <v>634</v>
      </c>
      <c r="AV2050" s="246" t="s">
        <v>635</v>
      </c>
      <c r="AW2050" s="242"/>
      <c r="AX2050" s="242"/>
      <c r="AY2050" s="231"/>
      <c r="AZ2050" s="231"/>
      <c r="BA2050" s="227"/>
      <c r="BB2050" s="231"/>
      <c r="BC2050" s="227"/>
      <c r="BD2050" s="227"/>
      <c r="BE2050" s="227"/>
      <c r="BF2050" s="227"/>
    </row>
    <row r="2051">
      <c r="A2051" s="235" t="s">
        <v>15948</v>
      </c>
      <c r="C2051" s="235" t="s">
        <v>15949</v>
      </c>
      <c r="D2051" s="235" t="s">
        <v>15950</v>
      </c>
      <c r="E2051" s="243">
        <v>6.54E13</v>
      </c>
      <c r="F2051" s="245"/>
      <c r="G2051" s="235" t="s">
        <v>15951</v>
      </c>
      <c r="H2051" s="235" t="s">
        <v>15952</v>
      </c>
      <c r="I2051" s="235" t="s">
        <v>15952</v>
      </c>
      <c r="J2051" s="235" t="s">
        <v>15953</v>
      </c>
      <c r="K2051" s="235" t="s">
        <v>15954</v>
      </c>
      <c r="N2051" s="235" t="s">
        <v>154</v>
      </c>
      <c r="O2051" s="235" t="s">
        <v>766</v>
      </c>
      <c r="P2051" s="238">
        <v>1.0</v>
      </c>
      <c r="Q2051" s="235" t="s">
        <v>627</v>
      </c>
      <c r="R2051" s="238">
        <v>465.72</v>
      </c>
      <c r="S2051" s="238">
        <v>23.28</v>
      </c>
      <c r="T2051" s="238">
        <v>0.0</v>
      </c>
      <c r="U2051" s="238">
        <v>0.0</v>
      </c>
      <c r="V2051" s="238">
        <v>0.0</v>
      </c>
      <c r="W2051" s="238">
        <v>0.0</v>
      </c>
      <c r="X2051" s="235" t="s">
        <v>628</v>
      </c>
      <c r="Z2051" s="244"/>
      <c r="AA2051" s="244"/>
      <c r="AB2051" s="244"/>
      <c r="AC2051" s="235" t="s">
        <v>1058</v>
      </c>
      <c r="AD2051" s="235" t="s">
        <v>4240</v>
      </c>
      <c r="AE2051" s="238">
        <v>400088.0</v>
      </c>
      <c r="AF2051" s="235" t="s">
        <v>631</v>
      </c>
      <c r="AG2051" s="244"/>
      <c r="AH2051" s="244"/>
      <c r="AI2051" s="245"/>
      <c r="AJ2051" s="245"/>
      <c r="AK2051" s="245"/>
      <c r="AL2051" s="245"/>
      <c r="AM2051" s="244"/>
      <c r="AN2051" s="244"/>
      <c r="AO2051" s="238">
        <v>0.0</v>
      </c>
      <c r="AP2051" s="238">
        <v>0.0</v>
      </c>
      <c r="AQ2051" s="235" t="s">
        <v>632</v>
      </c>
      <c r="AR2051" s="243">
        <v>3.71E11</v>
      </c>
      <c r="AS2051" s="235" t="s">
        <v>15064</v>
      </c>
      <c r="AT2051" s="235" t="s">
        <v>16</v>
      </c>
      <c r="AU2051" s="235" t="s">
        <v>634</v>
      </c>
      <c r="AV2051" s="246" t="s">
        <v>635</v>
      </c>
      <c r="AW2051" s="242"/>
      <c r="AX2051" s="242"/>
      <c r="AY2051" s="231"/>
      <c r="AZ2051" s="231"/>
      <c r="BA2051" s="227"/>
      <c r="BB2051" s="231"/>
      <c r="BC2051" s="227"/>
      <c r="BD2051" s="227"/>
      <c r="BE2051" s="227"/>
      <c r="BF2051" s="227"/>
    </row>
    <row r="2052">
      <c r="A2052" s="235" t="s">
        <v>15955</v>
      </c>
      <c r="C2052" s="235" t="s">
        <v>15956</v>
      </c>
      <c r="D2052" s="235" t="s">
        <v>15957</v>
      </c>
      <c r="E2052" s="243">
        <v>6.54E13</v>
      </c>
      <c r="F2052" s="245"/>
      <c r="G2052" s="235" t="s">
        <v>15958</v>
      </c>
      <c r="H2052" s="235" t="s">
        <v>15959</v>
      </c>
      <c r="I2052" s="235" t="s">
        <v>15959</v>
      </c>
      <c r="J2052" s="235" t="s">
        <v>15960</v>
      </c>
      <c r="K2052" s="235" t="s">
        <v>15961</v>
      </c>
      <c r="N2052" s="235" t="s">
        <v>53</v>
      </c>
      <c r="O2052" s="235" t="s">
        <v>512</v>
      </c>
      <c r="P2052" s="238">
        <v>1.0</v>
      </c>
      <c r="Q2052" s="235" t="s">
        <v>627</v>
      </c>
      <c r="R2052" s="238">
        <v>237.14</v>
      </c>
      <c r="S2052" s="238">
        <v>11.62</v>
      </c>
      <c r="T2052" s="238">
        <v>0.0</v>
      </c>
      <c r="U2052" s="238">
        <v>0.0</v>
      </c>
      <c r="V2052" s="238">
        <v>0.0</v>
      </c>
      <c r="W2052" s="238">
        <v>0.0</v>
      </c>
      <c r="X2052" s="235" t="s">
        <v>628</v>
      </c>
      <c r="Z2052" s="244"/>
      <c r="AA2052" s="244"/>
      <c r="AB2052" s="244"/>
      <c r="AC2052" s="235" t="s">
        <v>5138</v>
      </c>
      <c r="AD2052" s="235" t="s">
        <v>833</v>
      </c>
      <c r="AE2052" s="238">
        <v>524003.0</v>
      </c>
      <c r="AF2052" s="235" t="s">
        <v>631</v>
      </c>
      <c r="AG2052" s="244"/>
      <c r="AH2052" s="244"/>
      <c r="AI2052" s="245"/>
      <c r="AJ2052" s="245"/>
      <c r="AK2052" s="245"/>
      <c r="AL2052" s="245"/>
      <c r="AM2052" s="244"/>
      <c r="AN2052" s="244"/>
      <c r="AO2052" s="238">
        <v>-4.74</v>
      </c>
      <c r="AP2052" s="238">
        <v>0.0</v>
      </c>
      <c r="AQ2052" s="235" t="s">
        <v>632</v>
      </c>
      <c r="AR2052" s="243">
        <v>3.71E11</v>
      </c>
      <c r="AS2052" s="235" t="s">
        <v>15064</v>
      </c>
      <c r="AT2052" s="235" t="s">
        <v>156</v>
      </c>
      <c r="AU2052" s="235" t="s">
        <v>634</v>
      </c>
      <c r="AV2052" s="246" t="s">
        <v>635</v>
      </c>
      <c r="AW2052" s="242"/>
      <c r="AX2052" s="242"/>
      <c r="AY2052" s="231"/>
      <c r="AZ2052" s="231"/>
      <c r="BA2052" s="227"/>
      <c r="BB2052" s="231"/>
      <c r="BC2052" s="227"/>
      <c r="BD2052" s="227"/>
      <c r="BE2052" s="227"/>
      <c r="BF2052" s="227"/>
    </row>
    <row r="2053">
      <c r="A2053" s="235" t="s">
        <v>15962</v>
      </c>
      <c r="C2053" s="235" t="s">
        <v>15963</v>
      </c>
      <c r="D2053" s="235" t="s">
        <v>15964</v>
      </c>
      <c r="E2053" s="243">
        <v>6.54E13</v>
      </c>
      <c r="F2053" s="245"/>
      <c r="G2053" s="235" t="s">
        <v>15965</v>
      </c>
      <c r="H2053" s="235" t="s">
        <v>15966</v>
      </c>
      <c r="I2053" s="235" t="s">
        <v>15966</v>
      </c>
      <c r="J2053" s="235" t="s">
        <v>15967</v>
      </c>
      <c r="K2053" s="235" t="s">
        <v>15968</v>
      </c>
      <c r="N2053" s="235" t="s">
        <v>154</v>
      </c>
      <c r="O2053" s="235" t="s">
        <v>766</v>
      </c>
      <c r="P2053" s="238">
        <v>1.0</v>
      </c>
      <c r="Q2053" s="235" t="s">
        <v>627</v>
      </c>
      <c r="R2053" s="238">
        <v>465.72</v>
      </c>
      <c r="S2053" s="238">
        <v>23.28</v>
      </c>
      <c r="T2053" s="238">
        <v>56.2</v>
      </c>
      <c r="U2053" s="238">
        <v>2.8</v>
      </c>
      <c r="V2053" s="238">
        <v>0.0</v>
      </c>
      <c r="W2053" s="238">
        <v>0.0</v>
      </c>
      <c r="X2053" s="235" t="s">
        <v>628</v>
      </c>
      <c r="Z2053" s="244"/>
      <c r="AA2053" s="244"/>
      <c r="AB2053" s="244"/>
      <c r="AC2053" s="235" t="s">
        <v>1255</v>
      </c>
      <c r="AD2053" s="235" t="s">
        <v>845</v>
      </c>
      <c r="AE2053" s="238">
        <v>400604.0</v>
      </c>
      <c r="AF2053" s="235" t="s">
        <v>631</v>
      </c>
      <c r="AG2053" s="244"/>
      <c r="AH2053" s="244"/>
      <c r="AI2053" s="245"/>
      <c r="AJ2053" s="245"/>
      <c r="AK2053" s="245"/>
      <c r="AL2053" s="245"/>
      <c r="AM2053" s="244"/>
      <c r="AN2053" s="244"/>
      <c r="AO2053" s="238">
        <v>0.0</v>
      </c>
      <c r="AP2053" s="238">
        <v>0.0</v>
      </c>
      <c r="AQ2053" s="235" t="s">
        <v>632</v>
      </c>
      <c r="AR2053" s="243">
        <v>1.68E11</v>
      </c>
      <c r="AS2053" s="235" t="s">
        <v>15599</v>
      </c>
      <c r="AT2053" s="235" t="s">
        <v>16</v>
      </c>
      <c r="AU2053" s="235" t="s">
        <v>634</v>
      </c>
      <c r="AV2053" s="246" t="s">
        <v>635</v>
      </c>
      <c r="AW2053" s="242"/>
      <c r="AX2053" s="242"/>
      <c r="AY2053" s="231"/>
      <c r="AZ2053" s="231"/>
      <c r="BA2053" s="227"/>
      <c r="BB2053" s="231"/>
      <c r="BC2053" s="227"/>
      <c r="BD2053" s="227"/>
      <c r="BE2053" s="227"/>
      <c r="BF2053" s="227"/>
    </row>
    <row r="2054">
      <c r="A2054" s="235" t="s">
        <v>15969</v>
      </c>
      <c r="C2054" s="235" t="s">
        <v>15970</v>
      </c>
      <c r="D2054" s="235" t="s">
        <v>15971</v>
      </c>
      <c r="E2054" s="243">
        <v>6.54E13</v>
      </c>
      <c r="F2054" s="245"/>
      <c r="G2054" s="235" t="s">
        <v>15972</v>
      </c>
      <c r="H2054" s="235" t="s">
        <v>15973</v>
      </c>
      <c r="I2054" s="235" t="s">
        <v>15973</v>
      </c>
      <c r="J2054" s="235" t="s">
        <v>15974</v>
      </c>
      <c r="K2054" s="235" t="s">
        <v>15975</v>
      </c>
      <c r="N2054" s="235" t="s">
        <v>42</v>
      </c>
      <c r="O2054" s="235" t="s">
        <v>204</v>
      </c>
      <c r="P2054" s="238">
        <v>1.0</v>
      </c>
      <c r="Q2054" s="235" t="s">
        <v>627</v>
      </c>
      <c r="R2054" s="238">
        <v>237.14</v>
      </c>
      <c r="S2054" s="238">
        <v>11.62</v>
      </c>
      <c r="T2054" s="238">
        <v>0.0</v>
      </c>
      <c r="U2054" s="238">
        <v>0.0</v>
      </c>
      <c r="V2054" s="238">
        <v>0.0</v>
      </c>
      <c r="W2054" s="238">
        <v>0.0</v>
      </c>
      <c r="X2054" s="235" t="s">
        <v>628</v>
      </c>
      <c r="Z2054" s="244"/>
      <c r="AA2054" s="244"/>
      <c r="AB2054" s="244"/>
      <c r="AC2054" s="235" t="s">
        <v>697</v>
      </c>
      <c r="AD2054" s="235" t="s">
        <v>698</v>
      </c>
      <c r="AE2054" s="238">
        <v>500034.0</v>
      </c>
      <c r="AF2054" s="235" t="s">
        <v>631</v>
      </c>
      <c r="AG2054" s="244"/>
      <c r="AH2054" s="244"/>
      <c r="AI2054" s="245"/>
      <c r="AJ2054" s="245"/>
      <c r="AK2054" s="245"/>
      <c r="AL2054" s="245"/>
      <c r="AM2054" s="244"/>
      <c r="AN2054" s="244"/>
      <c r="AO2054" s="238">
        <v>-4.74</v>
      </c>
      <c r="AP2054" s="238">
        <v>0.0</v>
      </c>
      <c r="AQ2054" s="235" t="s">
        <v>632</v>
      </c>
      <c r="AR2054" s="243">
        <v>2.02E11</v>
      </c>
      <c r="AS2054" s="235" t="s">
        <v>15064</v>
      </c>
      <c r="AT2054" s="235" t="s">
        <v>11</v>
      </c>
      <c r="AU2054" s="235" t="s">
        <v>634</v>
      </c>
      <c r="AV2054" s="246" t="s">
        <v>635</v>
      </c>
      <c r="AW2054" s="242"/>
      <c r="AX2054" s="242"/>
      <c r="AY2054" s="231"/>
      <c r="AZ2054" s="231"/>
      <c r="BA2054" s="227"/>
      <c r="BB2054" s="231"/>
      <c r="BC2054" s="227"/>
      <c r="BD2054" s="227"/>
      <c r="BE2054" s="227"/>
      <c r="BF2054" s="227"/>
    </row>
    <row r="2055">
      <c r="A2055" s="235" t="s">
        <v>15976</v>
      </c>
      <c r="C2055" s="235" t="s">
        <v>15977</v>
      </c>
      <c r="D2055" s="235" t="s">
        <v>15978</v>
      </c>
      <c r="E2055" s="243">
        <v>6.52E13</v>
      </c>
      <c r="F2055" s="245"/>
      <c r="G2055" s="235" t="s">
        <v>15979</v>
      </c>
      <c r="H2055" s="235" t="s">
        <v>15980</v>
      </c>
      <c r="I2055" s="235" t="s">
        <v>15980</v>
      </c>
      <c r="J2055" s="235" t="s">
        <v>15981</v>
      </c>
      <c r="K2055" s="235" t="s">
        <v>15982</v>
      </c>
      <c r="N2055" s="235" t="s">
        <v>51</v>
      </c>
      <c r="O2055" s="235" t="s">
        <v>273</v>
      </c>
      <c r="P2055" s="238">
        <v>1.0</v>
      </c>
      <c r="Q2055" s="235" t="s">
        <v>627</v>
      </c>
      <c r="R2055" s="238">
        <v>246.67</v>
      </c>
      <c r="S2055" s="238">
        <v>12.33</v>
      </c>
      <c r="T2055" s="238">
        <v>38.1</v>
      </c>
      <c r="U2055" s="238">
        <v>1.9</v>
      </c>
      <c r="V2055" s="238">
        <v>0.0</v>
      </c>
      <c r="W2055" s="238">
        <v>0.0</v>
      </c>
      <c r="X2055" s="235" t="s">
        <v>628</v>
      </c>
      <c r="Z2055" s="244"/>
      <c r="AA2055" s="244"/>
      <c r="AB2055" s="244"/>
      <c r="AC2055" s="235" t="s">
        <v>5923</v>
      </c>
      <c r="AD2055" s="235" t="s">
        <v>666</v>
      </c>
      <c r="AE2055" s="238">
        <v>620006.0</v>
      </c>
      <c r="AF2055" s="235" t="s">
        <v>631</v>
      </c>
      <c r="AG2055" s="244"/>
      <c r="AH2055" s="244"/>
      <c r="AI2055" s="245"/>
      <c r="AJ2055" s="245"/>
      <c r="AK2055" s="245"/>
      <c r="AL2055" s="245"/>
      <c r="AM2055" s="244"/>
      <c r="AN2055" s="244"/>
      <c r="AO2055" s="238">
        <v>0.0</v>
      </c>
      <c r="AP2055" s="238">
        <v>-38.1</v>
      </c>
      <c r="AQ2055" s="235" t="s">
        <v>632</v>
      </c>
      <c r="AR2055" s="243">
        <v>3.71E11</v>
      </c>
      <c r="AS2055" s="235" t="s">
        <v>12693</v>
      </c>
      <c r="AT2055" s="235" t="s">
        <v>9</v>
      </c>
      <c r="AU2055" s="235" t="s">
        <v>634</v>
      </c>
      <c r="AV2055" s="246" t="s">
        <v>635</v>
      </c>
      <c r="AW2055" s="242"/>
      <c r="AX2055" s="242"/>
      <c r="AY2055" s="231"/>
      <c r="AZ2055" s="231"/>
      <c r="BA2055" s="227"/>
      <c r="BB2055" s="231"/>
      <c r="BC2055" s="227"/>
      <c r="BD2055" s="227"/>
      <c r="BE2055" s="227"/>
      <c r="BF2055" s="227"/>
    </row>
    <row r="2056">
      <c r="A2056" s="235" t="s">
        <v>15983</v>
      </c>
      <c r="C2056" s="235" t="s">
        <v>15984</v>
      </c>
      <c r="D2056" s="235" t="s">
        <v>15985</v>
      </c>
      <c r="E2056" s="243">
        <v>6.53E13</v>
      </c>
      <c r="F2056" s="245"/>
      <c r="G2056" s="235" t="s">
        <v>15986</v>
      </c>
      <c r="H2056" s="235" t="s">
        <v>15987</v>
      </c>
      <c r="I2056" s="235" t="s">
        <v>15987</v>
      </c>
      <c r="J2056" s="235" t="s">
        <v>15988</v>
      </c>
      <c r="K2056" s="235" t="s">
        <v>15989</v>
      </c>
      <c r="N2056" s="235" t="s">
        <v>144</v>
      </c>
      <c r="O2056" s="235" t="s">
        <v>232</v>
      </c>
      <c r="P2056" s="238">
        <v>1.0</v>
      </c>
      <c r="Q2056" s="235" t="s">
        <v>627</v>
      </c>
      <c r="R2056" s="238">
        <v>808.58</v>
      </c>
      <c r="S2056" s="238">
        <v>40.42</v>
      </c>
      <c r="T2056" s="238">
        <v>0.0</v>
      </c>
      <c r="U2056" s="238">
        <v>0.0</v>
      </c>
      <c r="V2056" s="238">
        <v>0.0</v>
      </c>
      <c r="W2056" s="238">
        <v>0.0</v>
      </c>
      <c r="X2056" s="235" t="s">
        <v>628</v>
      </c>
      <c r="Z2056" s="244"/>
      <c r="AA2056" s="244"/>
      <c r="AB2056" s="244"/>
      <c r="AC2056" s="235" t="s">
        <v>15990</v>
      </c>
      <c r="AD2056" s="235" t="s">
        <v>845</v>
      </c>
      <c r="AE2056" s="238">
        <v>401202.0</v>
      </c>
      <c r="AF2056" s="235" t="s">
        <v>631</v>
      </c>
      <c r="AG2056" s="244"/>
      <c r="AH2056" s="244"/>
      <c r="AI2056" s="245"/>
      <c r="AJ2056" s="245"/>
      <c r="AK2056" s="245"/>
      <c r="AL2056" s="245"/>
      <c r="AM2056" s="244"/>
      <c r="AN2056" s="244"/>
      <c r="AO2056" s="238">
        <v>0.0</v>
      </c>
      <c r="AP2056" s="238">
        <v>0.0</v>
      </c>
      <c r="AQ2056" s="235" t="s">
        <v>632</v>
      </c>
      <c r="AR2056" s="243">
        <v>3.71E11</v>
      </c>
      <c r="AS2056" s="235" t="s">
        <v>15064</v>
      </c>
      <c r="AT2056" s="235" t="s">
        <v>16</v>
      </c>
      <c r="AU2056" s="235" t="s">
        <v>634</v>
      </c>
      <c r="AV2056" s="246" t="s">
        <v>635</v>
      </c>
      <c r="AW2056" s="242"/>
      <c r="AX2056" s="242"/>
      <c r="AY2056" s="231"/>
      <c r="AZ2056" s="231"/>
      <c r="BA2056" s="227"/>
      <c r="BB2056" s="231"/>
      <c r="BC2056" s="227"/>
      <c r="BD2056" s="227"/>
      <c r="BE2056" s="227"/>
      <c r="BF2056" s="227"/>
    </row>
    <row r="2057">
      <c r="A2057" s="235" t="s">
        <v>15991</v>
      </c>
      <c r="C2057" s="235" t="s">
        <v>15992</v>
      </c>
      <c r="D2057" s="235" t="s">
        <v>15993</v>
      </c>
      <c r="E2057" s="243">
        <v>6.54E13</v>
      </c>
      <c r="F2057" s="245"/>
      <c r="G2057" s="235" t="s">
        <v>15994</v>
      </c>
      <c r="H2057" s="235" t="s">
        <v>15995</v>
      </c>
      <c r="I2057" s="235" t="s">
        <v>15996</v>
      </c>
      <c r="J2057" s="235" t="s">
        <v>15997</v>
      </c>
      <c r="K2057" s="235" t="s">
        <v>15998</v>
      </c>
      <c r="N2057" s="235" t="s">
        <v>94</v>
      </c>
      <c r="O2057" s="235" t="s">
        <v>509</v>
      </c>
      <c r="P2057" s="238">
        <v>1.0</v>
      </c>
      <c r="Q2057" s="235" t="s">
        <v>627</v>
      </c>
      <c r="R2057" s="238">
        <v>246.66</v>
      </c>
      <c r="S2057" s="238">
        <v>12.34</v>
      </c>
      <c r="T2057" s="238">
        <v>18.1</v>
      </c>
      <c r="U2057" s="238">
        <v>0.9</v>
      </c>
      <c r="V2057" s="238">
        <v>0.0</v>
      </c>
      <c r="W2057" s="238">
        <v>0.0</v>
      </c>
      <c r="X2057" s="235" t="s">
        <v>628</v>
      </c>
      <c r="Z2057" s="244"/>
      <c r="AA2057" s="244"/>
      <c r="AB2057" s="244"/>
      <c r="AC2057" s="235" t="s">
        <v>687</v>
      </c>
      <c r="AD2057" s="235" t="s">
        <v>666</v>
      </c>
      <c r="AE2057" s="238">
        <v>600073.0</v>
      </c>
      <c r="AF2057" s="235" t="s">
        <v>631</v>
      </c>
      <c r="AG2057" s="244"/>
      <c r="AH2057" s="244"/>
      <c r="AI2057" s="245"/>
      <c r="AJ2057" s="245"/>
      <c r="AK2057" s="245"/>
      <c r="AL2057" s="245"/>
      <c r="AM2057" s="244"/>
      <c r="AN2057" s="244"/>
      <c r="AO2057" s="238">
        <v>0.0</v>
      </c>
      <c r="AP2057" s="238">
        <v>-18.1</v>
      </c>
      <c r="AQ2057" s="235" t="s">
        <v>632</v>
      </c>
      <c r="AR2057" s="243">
        <v>1.68E11</v>
      </c>
      <c r="AS2057" s="235" t="s">
        <v>15599</v>
      </c>
      <c r="AT2057" s="235" t="s">
        <v>156</v>
      </c>
      <c r="AU2057" s="235" t="s">
        <v>634</v>
      </c>
      <c r="AV2057" s="246" t="s">
        <v>635</v>
      </c>
      <c r="AW2057" s="242"/>
      <c r="AX2057" s="242"/>
      <c r="AY2057" s="231"/>
      <c r="AZ2057" s="231"/>
      <c r="BA2057" s="227"/>
      <c r="BB2057" s="231"/>
      <c r="BC2057" s="227"/>
      <c r="BD2057" s="227"/>
      <c r="BE2057" s="227"/>
      <c r="BF2057" s="227"/>
    </row>
    <row r="2058">
      <c r="A2058" s="235" t="s">
        <v>15999</v>
      </c>
      <c r="C2058" s="235" t="s">
        <v>16000</v>
      </c>
      <c r="D2058" s="235" t="s">
        <v>16001</v>
      </c>
      <c r="E2058" s="243">
        <v>6.54E13</v>
      </c>
      <c r="F2058" s="245"/>
      <c r="G2058" s="235" t="s">
        <v>16002</v>
      </c>
      <c r="H2058" s="235" t="s">
        <v>16003</v>
      </c>
      <c r="I2058" s="235" t="s">
        <v>16003</v>
      </c>
      <c r="J2058" s="235" t="s">
        <v>16004</v>
      </c>
      <c r="K2058" s="235" t="s">
        <v>16005</v>
      </c>
      <c r="N2058" s="235" t="s">
        <v>71</v>
      </c>
      <c r="O2058" s="235" t="s">
        <v>240</v>
      </c>
      <c r="P2058" s="238">
        <v>1.0</v>
      </c>
      <c r="Q2058" s="235" t="s">
        <v>627</v>
      </c>
      <c r="R2058" s="238">
        <v>246.66</v>
      </c>
      <c r="S2058" s="238">
        <v>12.34</v>
      </c>
      <c r="T2058" s="238">
        <v>0.0</v>
      </c>
      <c r="U2058" s="238">
        <v>0.0</v>
      </c>
      <c r="V2058" s="238">
        <v>0.0</v>
      </c>
      <c r="W2058" s="238">
        <v>0.0</v>
      </c>
      <c r="X2058" s="235" t="s">
        <v>628</v>
      </c>
      <c r="Z2058" s="244"/>
      <c r="AA2058" s="244"/>
      <c r="AB2058" s="244"/>
      <c r="AC2058" s="235" t="s">
        <v>1320</v>
      </c>
      <c r="AD2058" s="235" t="s">
        <v>666</v>
      </c>
      <c r="AE2058" s="238">
        <v>600060.0</v>
      </c>
      <c r="AF2058" s="235" t="s">
        <v>631</v>
      </c>
      <c r="AG2058" s="244"/>
      <c r="AH2058" s="244"/>
      <c r="AI2058" s="245"/>
      <c r="AJ2058" s="245"/>
      <c r="AK2058" s="245"/>
      <c r="AL2058" s="245"/>
      <c r="AM2058" s="244"/>
      <c r="AN2058" s="244"/>
      <c r="AO2058" s="238">
        <v>0.0</v>
      </c>
      <c r="AP2058" s="238">
        <v>0.0</v>
      </c>
      <c r="AQ2058" s="235" t="s">
        <v>632</v>
      </c>
      <c r="AR2058" s="243">
        <v>1.68E11</v>
      </c>
      <c r="AS2058" s="235" t="s">
        <v>15599</v>
      </c>
      <c r="AT2058" s="235" t="s">
        <v>156</v>
      </c>
      <c r="AU2058" s="235" t="s">
        <v>634</v>
      </c>
      <c r="AV2058" s="246" t="s">
        <v>635</v>
      </c>
      <c r="AW2058" s="242"/>
      <c r="AX2058" s="242"/>
      <c r="AY2058" s="231"/>
      <c r="AZ2058" s="231"/>
      <c r="BA2058" s="227"/>
      <c r="BB2058" s="231"/>
      <c r="BC2058" s="227"/>
      <c r="BD2058" s="227"/>
      <c r="BE2058" s="227"/>
      <c r="BF2058" s="227"/>
    </row>
    <row r="2059">
      <c r="A2059" s="235" t="s">
        <v>16006</v>
      </c>
      <c r="C2059" s="235" t="s">
        <v>16007</v>
      </c>
      <c r="D2059" s="235" t="s">
        <v>16008</v>
      </c>
      <c r="E2059" s="243">
        <v>6.54E13</v>
      </c>
      <c r="F2059" s="245"/>
      <c r="G2059" s="235" t="s">
        <v>16009</v>
      </c>
      <c r="H2059" s="235" t="s">
        <v>16010</v>
      </c>
      <c r="I2059" s="235" t="s">
        <v>16010</v>
      </c>
      <c r="J2059" s="235" t="s">
        <v>16011</v>
      </c>
      <c r="K2059" s="235" t="s">
        <v>16012</v>
      </c>
      <c r="N2059" s="235" t="s">
        <v>154</v>
      </c>
      <c r="O2059" s="235" t="s">
        <v>766</v>
      </c>
      <c r="P2059" s="238">
        <v>1.0</v>
      </c>
      <c r="Q2059" s="235" t="s">
        <v>627</v>
      </c>
      <c r="R2059" s="238">
        <v>465.71</v>
      </c>
      <c r="S2059" s="238">
        <v>23.29</v>
      </c>
      <c r="T2059" s="238">
        <v>0.0</v>
      </c>
      <c r="U2059" s="238">
        <v>0.0</v>
      </c>
      <c r="V2059" s="238">
        <v>0.0</v>
      </c>
      <c r="W2059" s="238">
        <v>0.0</v>
      </c>
      <c r="X2059" s="235" t="s">
        <v>628</v>
      </c>
      <c r="Z2059" s="244"/>
      <c r="AA2059" s="244"/>
      <c r="AB2059" s="244"/>
      <c r="AC2059" s="235" t="s">
        <v>6912</v>
      </c>
      <c r="AD2059" s="235" t="s">
        <v>8663</v>
      </c>
      <c r="AE2059" s="238">
        <v>400708.0</v>
      </c>
      <c r="AF2059" s="235" t="s">
        <v>631</v>
      </c>
      <c r="AG2059" s="244"/>
      <c r="AH2059" s="244"/>
      <c r="AI2059" s="245"/>
      <c r="AJ2059" s="245"/>
      <c r="AK2059" s="245"/>
      <c r="AL2059" s="245"/>
      <c r="AM2059" s="244"/>
      <c r="AN2059" s="244"/>
      <c r="AO2059" s="238">
        <v>0.0</v>
      </c>
      <c r="AP2059" s="238">
        <v>0.0</v>
      </c>
      <c r="AQ2059" s="235" t="s">
        <v>632</v>
      </c>
      <c r="AR2059" s="243">
        <v>2.02E11</v>
      </c>
      <c r="AS2059" s="235" t="s">
        <v>13822</v>
      </c>
      <c r="AT2059" s="235" t="s">
        <v>5</v>
      </c>
      <c r="AU2059" s="235" t="s">
        <v>634</v>
      </c>
      <c r="AV2059" s="246" t="s">
        <v>635</v>
      </c>
      <c r="AW2059" s="242"/>
      <c r="AX2059" s="242"/>
      <c r="AY2059" s="231"/>
      <c r="AZ2059" s="231"/>
      <c r="BA2059" s="227"/>
      <c r="BB2059" s="231"/>
      <c r="BC2059" s="227"/>
      <c r="BD2059" s="227"/>
      <c r="BE2059" s="227"/>
      <c r="BF2059" s="227"/>
    </row>
    <row r="2060">
      <c r="A2060" s="235" t="s">
        <v>16013</v>
      </c>
      <c r="C2060" s="235" t="s">
        <v>16014</v>
      </c>
      <c r="D2060" s="235" t="s">
        <v>16015</v>
      </c>
      <c r="E2060" s="243">
        <v>6.54E13</v>
      </c>
      <c r="F2060" s="245"/>
      <c r="G2060" s="235" t="s">
        <v>16016</v>
      </c>
      <c r="H2060" s="235" t="s">
        <v>16017</v>
      </c>
      <c r="I2060" s="235" t="s">
        <v>16017</v>
      </c>
      <c r="J2060" s="235" t="s">
        <v>16018</v>
      </c>
      <c r="K2060" s="235" t="s">
        <v>16019</v>
      </c>
      <c r="N2060" s="235" t="s">
        <v>144</v>
      </c>
      <c r="O2060" s="235" t="s">
        <v>232</v>
      </c>
      <c r="P2060" s="238">
        <v>1.0</v>
      </c>
      <c r="Q2060" s="235" t="s">
        <v>627</v>
      </c>
      <c r="R2060" s="238">
        <v>665.72</v>
      </c>
      <c r="S2060" s="238">
        <v>32.28</v>
      </c>
      <c r="T2060" s="238">
        <v>0.0</v>
      </c>
      <c r="U2060" s="238">
        <v>0.0</v>
      </c>
      <c r="V2060" s="238">
        <v>0.0</v>
      </c>
      <c r="W2060" s="238">
        <v>0.0</v>
      </c>
      <c r="X2060" s="235" t="s">
        <v>628</v>
      </c>
      <c r="Z2060" s="244"/>
      <c r="AA2060" s="244"/>
      <c r="AB2060" s="244"/>
      <c r="AC2060" s="235" t="s">
        <v>844</v>
      </c>
      <c r="AD2060" s="235" t="s">
        <v>845</v>
      </c>
      <c r="AE2060" s="238">
        <v>411013.0</v>
      </c>
      <c r="AF2060" s="235" t="s">
        <v>631</v>
      </c>
      <c r="AG2060" s="244"/>
      <c r="AH2060" s="244"/>
      <c r="AI2060" s="245"/>
      <c r="AJ2060" s="245"/>
      <c r="AK2060" s="245"/>
      <c r="AL2060" s="245"/>
      <c r="AM2060" s="244"/>
      <c r="AN2060" s="244"/>
      <c r="AO2060" s="238">
        <v>-19.97</v>
      </c>
      <c r="AP2060" s="238">
        <v>0.0</v>
      </c>
      <c r="AQ2060" s="235" t="s">
        <v>632</v>
      </c>
      <c r="AR2060" s="243">
        <v>3.71E11</v>
      </c>
      <c r="AS2060" s="235" t="s">
        <v>15064</v>
      </c>
      <c r="AT2060" s="235" t="s">
        <v>546</v>
      </c>
      <c r="AU2060" s="235" t="s">
        <v>634</v>
      </c>
      <c r="AV2060" s="246" t="s">
        <v>635</v>
      </c>
      <c r="AW2060" s="242"/>
      <c r="AX2060" s="242"/>
      <c r="AY2060" s="231"/>
      <c r="AZ2060" s="231"/>
      <c r="BA2060" s="227"/>
      <c r="BB2060" s="231"/>
      <c r="BC2060" s="227"/>
      <c r="BD2060" s="227"/>
      <c r="BE2060" s="227"/>
      <c r="BF2060" s="227"/>
    </row>
    <row r="2061">
      <c r="A2061" s="235" t="s">
        <v>16013</v>
      </c>
      <c r="C2061" s="235" t="s">
        <v>16020</v>
      </c>
      <c r="D2061" s="235" t="s">
        <v>16021</v>
      </c>
      <c r="E2061" s="243">
        <v>6.54E13</v>
      </c>
      <c r="F2061" s="245"/>
      <c r="G2061" s="235" t="s">
        <v>16016</v>
      </c>
      <c r="H2061" s="235" t="s">
        <v>16022</v>
      </c>
      <c r="I2061" s="235" t="s">
        <v>16022</v>
      </c>
      <c r="J2061" s="235" t="s">
        <v>16023</v>
      </c>
      <c r="K2061" s="235" t="s">
        <v>16019</v>
      </c>
      <c r="N2061" s="235" t="s">
        <v>144</v>
      </c>
      <c r="O2061" s="235" t="s">
        <v>232</v>
      </c>
      <c r="P2061" s="238">
        <v>1.0</v>
      </c>
      <c r="Q2061" s="235" t="s">
        <v>627</v>
      </c>
      <c r="R2061" s="238">
        <v>665.72</v>
      </c>
      <c r="S2061" s="238">
        <v>32.28</v>
      </c>
      <c r="T2061" s="238">
        <v>0.0</v>
      </c>
      <c r="U2061" s="238">
        <v>0.0</v>
      </c>
      <c r="V2061" s="238">
        <v>0.0</v>
      </c>
      <c r="W2061" s="238">
        <v>0.0</v>
      </c>
      <c r="X2061" s="235" t="s">
        <v>628</v>
      </c>
      <c r="Z2061" s="244"/>
      <c r="AA2061" s="244"/>
      <c r="AB2061" s="244"/>
      <c r="AC2061" s="235" t="s">
        <v>844</v>
      </c>
      <c r="AD2061" s="235" t="s">
        <v>845</v>
      </c>
      <c r="AE2061" s="238">
        <v>411013.0</v>
      </c>
      <c r="AF2061" s="235" t="s">
        <v>631</v>
      </c>
      <c r="AG2061" s="244"/>
      <c r="AH2061" s="244"/>
      <c r="AI2061" s="245"/>
      <c r="AJ2061" s="245"/>
      <c r="AK2061" s="245"/>
      <c r="AL2061" s="245"/>
      <c r="AM2061" s="244"/>
      <c r="AN2061" s="244"/>
      <c r="AO2061" s="238">
        <v>-19.97</v>
      </c>
      <c r="AP2061" s="238">
        <v>0.0</v>
      </c>
      <c r="AQ2061" s="235" t="s">
        <v>632</v>
      </c>
      <c r="AR2061" s="243">
        <v>3.71E11</v>
      </c>
      <c r="AS2061" s="235" t="s">
        <v>15064</v>
      </c>
      <c r="AT2061" s="235" t="s">
        <v>546</v>
      </c>
      <c r="AU2061" s="235" t="s">
        <v>634</v>
      </c>
      <c r="AV2061" s="246" t="s">
        <v>635</v>
      </c>
      <c r="AW2061" s="242"/>
      <c r="AX2061" s="242"/>
      <c r="AY2061" s="231"/>
      <c r="AZ2061" s="231"/>
      <c r="BA2061" s="227"/>
      <c r="BB2061" s="231"/>
      <c r="BC2061" s="227"/>
      <c r="BD2061" s="227"/>
      <c r="BE2061" s="227"/>
      <c r="BF2061" s="227"/>
    </row>
    <row r="2062">
      <c r="A2062" s="235" t="s">
        <v>16024</v>
      </c>
      <c r="C2062" s="235" t="s">
        <v>16025</v>
      </c>
      <c r="D2062" s="235" t="s">
        <v>16026</v>
      </c>
      <c r="E2062" s="243">
        <v>6.53E13</v>
      </c>
      <c r="F2062" s="245"/>
      <c r="G2062" s="235" t="s">
        <v>16027</v>
      </c>
      <c r="H2062" s="235" t="s">
        <v>16028</v>
      </c>
      <c r="I2062" s="235" t="s">
        <v>16028</v>
      </c>
      <c r="J2062" s="235" t="s">
        <v>16029</v>
      </c>
      <c r="K2062" s="235" t="s">
        <v>16030</v>
      </c>
      <c r="N2062" s="235" t="s">
        <v>42</v>
      </c>
      <c r="O2062" s="235" t="s">
        <v>204</v>
      </c>
      <c r="P2062" s="238">
        <v>1.0</v>
      </c>
      <c r="Q2062" s="235" t="s">
        <v>627</v>
      </c>
      <c r="R2062" s="238">
        <v>270.48</v>
      </c>
      <c r="S2062" s="238">
        <v>13.52</v>
      </c>
      <c r="T2062" s="238">
        <v>38.1</v>
      </c>
      <c r="U2062" s="238">
        <v>1.9</v>
      </c>
      <c r="V2062" s="238">
        <v>0.0</v>
      </c>
      <c r="W2062" s="238">
        <v>0.0</v>
      </c>
      <c r="X2062" s="235" t="s">
        <v>628</v>
      </c>
      <c r="Z2062" s="244"/>
      <c r="AA2062" s="244"/>
      <c r="AB2062" s="244"/>
      <c r="AC2062" s="235" t="s">
        <v>16031</v>
      </c>
      <c r="AD2062" s="235" t="s">
        <v>666</v>
      </c>
      <c r="AE2062" s="238">
        <v>627117.0</v>
      </c>
      <c r="AF2062" s="235" t="s">
        <v>631</v>
      </c>
      <c r="AG2062" s="244"/>
      <c r="AH2062" s="244"/>
      <c r="AI2062" s="245"/>
      <c r="AJ2062" s="245"/>
      <c r="AK2062" s="245"/>
      <c r="AL2062" s="245"/>
      <c r="AM2062" s="244"/>
      <c r="AN2062" s="244"/>
      <c r="AO2062" s="238">
        <v>0.0</v>
      </c>
      <c r="AP2062" s="238">
        <v>0.0</v>
      </c>
      <c r="AQ2062" s="235" t="s">
        <v>632</v>
      </c>
      <c r="AR2062" s="243">
        <v>3.71E11</v>
      </c>
      <c r="AS2062" s="235" t="s">
        <v>13822</v>
      </c>
      <c r="AT2062" s="235" t="s">
        <v>155</v>
      </c>
      <c r="AU2062" s="235" t="s">
        <v>634</v>
      </c>
      <c r="AV2062" s="246" t="s">
        <v>635</v>
      </c>
      <c r="AW2062" s="242"/>
      <c r="AX2062" s="242"/>
      <c r="AY2062" s="231"/>
      <c r="AZ2062" s="231"/>
      <c r="BA2062" s="227"/>
      <c r="BB2062" s="231"/>
      <c r="BC2062" s="227"/>
      <c r="BD2062" s="227"/>
      <c r="BE2062" s="227"/>
      <c r="BF2062" s="227"/>
    </row>
    <row r="2063">
      <c r="A2063" s="235" t="s">
        <v>16032</v>
      </c>
      <c r="C2063" s="235" t="s">
        <v>16033</v>
      </c>
      <c r="D2063" s="235" t="s">
        <v>16034</v>
      </c>
      <c r="E2063" s="243">
        <v>6.54E13</v>
      </c>
      <c r="F2063" s="245"/>
      <c r="G2063" s="235" t="s">
        <v>16035</v>
      </c>
      <c r="H2063" s="235" t="s">
        <v>16036</v>
      </c>
      <c r="I2063" s="235" t="s">
        <v>16036</v>
      </c>
      <c r="J2063" s="235" t="s">
        <v>16037</v>
      </c>
      <c r="K2063" s="235" t="s">
        <v>9550</v>
      </c>
      <c r="N2063" s="235" t="s">
        <v>42</v>
      </c>
      <c r="O2063" s="235" t="s">
        <v>204</v>
      </c>
      <c r="P2063" s="238">
        <v>1.0</v>
      </c>
      <c r="Q2063" s="235" t="s">
        <v>627</v>
      </c>
      <c r="R2063" s="238">
        <v>237.14</v>
      </c>
      <c r="S2063" s="238">
        <v>11.86</v>
      </c>
      <c r="T2063" s="238">
        <v>38.1</v>
      </c>
      <c r="U2063" s="238">
        <v>1.9</v>
      </c>
      <c r="V2063" s="238">
        <v>0.0</v>
      </c>
      <c r="W2063" s="238">
        <v>0.0</v>
      </c>
      <c r="X2063" s="235" t="s">
        <v>628</v>
      </c>
      <c r="Z2063" s="244"/>
      <c r="AA2063" s="244"/>
      <c r="AB2063" s="244"/>
      <c r="AC2063" s="235" t="s">
        <v>5923</v>
      </c>
      <c r="AD2063" s="235" t="s">
        <v>666</v>
      </c>
      <c r="AE2063" s="238">
        <v>620019.0</v>
      </c>
      <c r="AF2063" s="235" t="s">
        <v>631</v>
      </c>
      <c r="AG2063" s="244"/>
      <c r="AH2063" s="244"/>
      <c r="AI2063" s="245"/>
      <c r="AJ2063" s="245"/>
      <c r="AK2063" s="245"/>
      <c r="AL2063" s="245"/>
      <c r="AM2063" s="244"/>
      <c r="AN2063" s="244"/>
      <c r="AO2063" s="238">
        <v>0.0</v>
      </c>
      <c r="AP2063" s="238">
        <v>-38.1</v>
      </c>
      <c r="AQ2063" s="235" t="s">
        <v>632</v>
      </c>
      <c r="AR2063" s="243">
        <v>3.71E11</v>
      </c>
      <c r="AS2063" s="235" t="s">
        <v>15064</v>
      </c>
      <c r="AT2063" s="235" t="s">
        <v>155</v>
      </c>
      <c r="AU2063" s="235" t="s">
        <v>634</v>
      </c>
      <c r="AV2063" s="246" t="s">
        <v>635</v>
      </c>
      <c r="AW2063" s="242"/>
      <c r="AX2063" s="242"/>
      <c r="AY2063" s="231"/>
      <c r="AZ2063" s="231"/>
      <c r="BA2063" s="227"/>
      <c r="BB2063" s="231"/>
      <c r="BC2063" s="227"/>
      <c r="BD2063" s="227"/>
      <c r="BE2063" s="227"/>
      <c r="BF2063" s="227"/>
    </row>
    <row r="2064">
      <c r="A2064" s="235" t="s">
        <v>16038</v>
      </c>
      <c r="C2064" s="235" t="s">
        <v>16039</v>
      </c>
      <c r="D2064" s="235" t="s">
        <v>16040</v>
      </c>
      <c r="E2064" s="243">
        <v>6.54E13</v>
      </c>
      <c r="F2064" s="245"/>
      <c r="G2064" s="235" t="s">
        <v>16041</v>
      </c>
      <c r="H2064" s="235" t="s">
        <v>16042</v>
      </c>
      <c r="I2064" s="235" t="s">
        <v>16043</v>
      </c>
      <c r="J2064" s="235" t="s">
        <v>16044</v>
      </c>
      <c r="K2064" s="235" t="s">
        <v>16045</v>
      </c>
      <c r="N2064" s="235" t="s">
        <v>71</v>
      </c>
      <c r="O2064" s="235" t="s">
        <v>240</v>
      </c>
      <c r="P2064" s="238">
        <v>1.0</v>
      </c>
      <c r="Q2064" s="235" t="s">
        <v>627</v>
      </c>
      <c r="R2064" s="238">
        <v>246.67</v>
      </c>
      <c r="S2064" s="238">
        <v>12.33</v>
      </c>
      <c r="T2064" s="238">
        <v>0.0</v>
      </c>
      <c r="U2064" s="238">
        <v>0.0</v>
      </c>
      <c r="V2064" s="238">
        <v>0.0</v>
      </c>
      <c r="W2064" s="238">
        <v>0.0</v>
      </c>
      <c r="X2064" s="235" t="s">
        <v>628</v>
      </c>
      <c r="Z2064" s="244"/>
      <c r="AA2064" s="244"/>
      <c r="AB2064" s="244"/>
      <c r="AC2064" s="235" t="s">
        <v>814</v>
      </c>
      <c r="AD2064" s="235" t="s">
        <v>698</v>
      </c>
      <c r="AE2064" s="238">
        <v>500032.0</v>
      </c>
      <c r="AF2064" s="235" t="s">
        <v>631</v>
      </c>
      <c r="AG2064" s="244"/>
      <c r="AH2064" s="244"/>
      <c r="AI2064" s="245"/>
      <c r="AJ2064" s="245"/>
      <c r="AK2064" s="245"/>
      <c r="AL2064" s="245"/>
      <c r="AM2064" s="244"/>
      <c r="AN2064" s="244"/>
      <c r="AO2064" s="238">
        <v>0.0</v>
      </c>
      <c r="AP2064" s="238">
        <v>0.0</v>
      </c>
      <c r="AQ2064" s="235" t="s">
        <v>632</v>
      </c>
      <c r="AR2064" s="243">
        <v>2.02E11</v>
      </c>
      <c r="AS2064" s="235" t="s">
        <v>15064</v>
      </c>
      <c r="AT2064" s="235" t="s">
        <v>11</v>
      </c>
      <c r="AU2064" s="235" t="s">
        <v>634</v>
      </c>
      <c r="AV2064" s="246" t="s">
        <v>635</v>
      </c>
      <c r="AW2064" s="242"/>
      <c r="AX2064" s="242"/>
      <c r="AY2064" s="231"/>
      <c r="AZ2064" s="231"/>
      <c r="BA2064" s="227"/>
      <c r="BB2064" s="231"/>
      <c r="BC2064" s="227"/>
      <c r="BD2064" s="227"/>
      <c r="BE2064" s="227"/>
      <c r="BF2064" s="227"/>
    </row>
    <row r="2065">
      <c r="A2065" s="235" t="s">
        <v>16046</v>
      </c>
      <c r="C2065" s="235" t="s">
        <v>16047</v>
      </c>
      <c r="D2065" s="235" t="s">
        <v>16048</v>
      </c>
      <c r="E2065" s="243">
        <v>6.54E13</v>
      </c>
      <c r="F2065" s="245"/>
      <c r="G2065" s="235" t="s">
        <v>16049</v>
      </c>
      <c r="H2065" s="235" t="s">
        <v>16050</v>
      </c>
      <c r="I2065" s="235" t="s">
        <v>16050</v>
      </c>
      <c r="J2065" s="235" t="s">
        <v>16051</v>
      </c>
      <c r="K2065" s="235" t="s">
        <v>16052</v>
      </c>
      <c r="N2065" s="235" t="s">
        <v>127</v>
      </c>
      <c r="O2065" s="235" t="s">
        <v>794</v>
      </c>
      <c r="P2065" s="238">
        <v>1.0</v>
      </c>
      <c r="Q2065" s="235" t="s">
        <v>627</v>
      </c>
      <c r="R2065" s="238">
        <v>246.67</v>
      </c>
      <c r="S2065" s="238">
        <v>12.08</v>
      </c>
      <c r="T2065" s="238">
        <v>0.0</v>
      </c>
      <c r="U2065" s="238">
        <v>0.0</v>
      </c>
      <c r="V2065" s="238">
        <v>0.0</v>
      </c>
      <c r="W2065" s="238">
        <v>0.0</v>
      </c>
      <c r="X2065" s="235" t="s">
        <v>628</v>
      </c>
      <c r="Z2065" s="244"/>
      <c r="AA2065" s="244"/>
      <c r="AB2065" s="244"/>
      <c r="AC2065" s="235" t="s">
        <v>1703</v>
      </c>
      <c r="AD2065" s="235" t="s">
        <v>1151</v>
      </c>
      <c r="AE2065" s="238">
        <v>734001.0</v>
      </c>
      <c r="AF2065" s="235" t="s">
        <v>631</v>
      </c>
      <c r="AG2065" s="244"/>
      <c r="AH2065" s="244"/>
      <c r="AI2065" s="245"/>
      <c r="AJ2065" s="245"/>
      <c r="AK2065" s="245"/>
      <c r="AL2065" s="245"/>
      <c r="AM2065" s="244"/>
      <c r="AN2065" s="244"/>
      <c r="AO2065" s="238">
        <v>-4.93</v>
      </c>
      <c r="AP2065" s="238">
        <v>0.0</v>
      </c>
      <c r="AQ2065" s="235" t="s">
        <v>632</v>
      </c>
      <c r="AR2065" s="243">
        <v>2.02E11</v>
      </c>
      <c r="AS2065" s="235" t="s">
        <v>13822</v>
      </c>
      <c r="AT2065" s="235" t="s">
        <v>13</v>
      </c>
      <c r="AU2065" s="235" t="s">
        <v>634</v>
      </c>
      <c r="AV2065" s="246" t="s">
        <v>635</v>
      </c>
      <c r="AW2065" s="242"/>
      <c r="AX2065" s="242"/>
      <c r="AY2065" s="231"/>
      <c r="AZ2065" s="231"/>
      <c r="BA2065" s="227"/>
      <c r="BB2065" s="231"/>
      <c r="BC2065" s="227"/>
      <c r="BD2065" s="227"/>
      <c r="BE2065" s="227"/>
      <c r="BF2065" s="227"/>
    </row>
    <row r="2066">
      <c r="A2066" s="235" t="s">
        <v>16053</v>
      </c>
      <c r="C2066" s="235" t="s">
        <v>16054</v>
      </c>
      <c r="D2066" s="235" t="s">
        <v>16055</v>
      </c>
      <c r="E2066" s="243">
        <v>6.54E13</v>
      </c>
      <c r="F2066" s="245"/>
      <c r="G2066" s="235" t="s">
        <v>16056</v>
      </c>
      <c r="H2066" s="235" t="s">
        <v>16057</v>
      </c>
      <c r="I2066" s="235" t="s">
        <v>16057</v>
      </c>
      <c r="J2066" s="235" t="s">
        <v>16058</v>
      </c>
      <c r="K2066" s="235" t="s">
        <v>16059</v>
      </c>
      <c r="N2066" s="235" t="s">
        <v>43</v>
      </c>
      <c r="O2066" s="235" t="s">
        <v>276</v>
      </c>
      <c r="P2066" s="238">
        <v>1.0</v>
      </c>
      <c r="Q2066" s="235" t="s">
        <v>627</v>
      </c>
      <c r="R2066" s="238">
        <v>237.14</v>
      </c>
      <c r="S2066" s="238">
        <v>11.86</v>
      </c>
      <c r="T2066" s="238">
        <v>0.0</v>
      </c>
      <c r="U2066" s="238">
        <v>0.0</v>
      </c>
      <c r="V2066" s="238">
        <v>0.0</v>
      </c>
      <c r="W2066" s="238">
        <v>0.0</v>
      </c>
      <c r="X2066" s="235" t="s">
        <v>628</v>
      </c>
      <c r="Z2066" s="244"/>
      <c r="AA2066" s="244"/>
      <c r="AB2066" s="244"/>
      <c r="AC2066" s="235" t="s">
        <v>6896</v>
      </c>
      <c r="AD2066" s="235" t="s">
        <v>833</v>
      </c>
      <c r="AE2066" s="238">
        <v>533001.0</v>
      </c>
      <c r="AF2066" s="235" t="s">
        <v>631</v>
      </c>
      <c r="AG2066" s="244"/>
      <c r="AH2066" s="244"/>
      <c r="AI2066" s="245"/>
      <c r="AJ2066" s="245"/>
      <c r="AK2066" s="245"/>
      <c r="AL2066" s="245"/>
      <c r="AM2066" s="244"/>
      <c r="AN2066" s="244"/>
      <c r="AO2066" s="238">
        <v>0.0</v>
      </c>
      <c r="AP2066" s="238">
        <v>0.0</v>
      </c>
      <c r="AQ2066" s="235" t="s">
        <v>632</v>
      </c>
      <c r="AR2066" s="243">
        <v>3.71E11</v>
      </c>
      <c r="AS2066" s="235" t="s">
        <v>8807</v>
      </c>
      <c r="AT2066" s="235" t="s">
        <v>16</v>
      </c>
      <c r="AU2066" s="235" t="s">
        <v>634</v>
      </c>
      <c r="AV2066" s="246" t="s">
        <v>635</v>
      </c>
      <c r="AW2066" s="242"/>
      <c r="AX2066" s="242"/>
      <c r="AY2066" s="231"/>
      <c r="AZ2066" s="231"/>
      <c r="BA2066" s="227"/>
      <c r="BB2066" s="231"/>
      <c r="BC2066" s="227"/>
      <c r="BD2066" s="227"/>
      <c r="BE2066" s="227"/>
      <c r="BF2066" s="227"/>
    </row>
    <row r="2067">
      <c r="A2067" s="235" t="s">
        <v>16060</v>
      </c>
      <c r="C2067" s="235" t="s">
        <v>16061</v>
      </c>
      <c r="D2067" s="235" t="s">
        <v>16062</v>
      </c>
      <c r="E2067" s="243">
        <v>6.54E13</v>
      </c>
      <c r="F2067" s="245"/>
      <c r="G2067" s="235" t="s">
        <v>16063</v>
      </c>
      <c r="H2067" s="235" t="s">
        <v>16064</v>
      </c>
      <c r="I2067" s="235" t="s">
        <v>16064</v>
      </c>
      <c r="J2067" s="235" t="s">
        <v>16065</v>
      </c>
      <c r="K2067" s="235" t="s">
        <v>16066</v>
      </c>
      <c r="N2067" s="235" t="s">
        <v>51</v>
      </c>
      <c r="O2067" s="235" t="s">
        <v>273</v>
      </c>
      <c r="P2067" s="238">
        <v>1.0</v>
      </c>
      <c r="Q2067" s="235" t="s">
        <v>627</v>
      </c>
      <c r="R2067" s="238">
        <v>237.14</v>
      </c>
      <c r="S2067" s="238">
        <v>11.86</v>
      </c>
      <c r="T2067" s="238">
        <v>0.0</v>
      </c>
      <c r="U2067" s="238">
        <v>0.0</v>
      </c>
      <c r="V2067" s="238">
        <v>0.0</v>
      </c>
      <c r="W2067" s="238">
        <v>0.0</v>
      </c>
      <c r="X2067" s="235" t="s">
        <v>628</v>
      </c>
      <c r="Z2067" s="244"/>
      <c r="AA2067" s="244"/>
      <c r="AB2067" s="244"/>
      <c r="AC2067" s="235" t="s">
        <v>697</v>
      </c>
      <c r="AD2067" s="235" t="s">
        <v>698</v>
      </c>
      <c r="AE2067" s="238">
        <v>500089.0</v>
      </c>
      <c r="AF2067" s="235" t="s">
        <v>631</v>
      </c>
      <c r="AG2067" s="244"/>
      <c r="AH2067" s="244"/>
      <c r="AI2067" s="245"/>
      <c r="AJ2067" s="245"/>
      <c r="AK2067" s="245"/>
      <c r="AL2067" s="245"/>
      <c r="AM2067" s="244"/>
      <c r="AN2067" s="244"/>
      <c r="AO2067" s="238">
        <v>0.0</v>
      </c>
      <c r="AP2067" s="238">
        <v>0.0</v>
      </c>
      <c r="AQ2067" s="235" t="s">
        <v>632</v>
      </c>
      <c r="AR2067" s="243">
        <v>2.02E11</v>
      </c>
      <c r="AS2067" s="235" t="s">
        <v>15064</v>
      </c>
      <c r="AT2067" s="235" t="s">
        <v>11</v>
      </c>
      <c r="AU2067" s="235" t="s">
        <v>634</v>
      </c>
      <c r="AV2067" s="246" t="s">
        <v>635</v>
      </c>
      <c r="AW2067" s="242"/>
      <c r="AX2067" s="242"/>
      <c r="AY2067" s="231"/>
      <c r="AZ2067" s="231"/>
      <c r="BA2067" s="227"/>
      <c r="BB2067" s="231"/>
      <c r="BC2067" s="227"/>
      <c r="BD2067" s="227"/>
      <c r="BE2067" s="227"/>
      <c r="BF2067" s="227"/>
    </row>
    <row r="2068">
      <c r="A2068" s="235" t="s">
        <v>16067</v>
      </c>
      <c r="C2068" s="235" t="s">
        <v>16068</v>
      </c>
      <c r="D2068" s="235" t="s">
        <v>16069</v>
      </c>
      <c r="E2068" s="243">
        <v>6.54E13</v>
      </c>
      <c r="F2068" s="245"/>
      <c r="G2068" s="235" t="s">
        <v>16070</v>
      </c>
      <c r="H2068" s="235" t="s">
        <v>16071</v>
      </c>
      <c r="I2068" s="235" t="s">
        <v>16071</v>
      </c>
      <c r="J2068" s="235" t="s">
        <v>16072</v>
      </c>
      <c r="K2068" s="235" t="s">
        <v>16073</v>
      </c>
      <c r="N2068" s="235" t="s">
        <v>141</v>
      </c>
      <c r="O2068" s="235" t="s">
        <v>342</v>
      </c>
      <c r="P2068" s="238">
        <v>1.0</v>
      </c>
      <c r="Q2068" s="235" t="s">
        <v>627</v>
      </c>
      <c r="R2068" s="238">
        <v>246.67</v>
      </c>
      <c r="S2068" s="238">
        <v>12.33</v>
      </c>
      <c r="T2068" s="238">
        <v>38.1</v>
      </c>
      <c r="U2068" s="238">
        <v>1.9</v>
      </c>
      <c r="V2068" s="238">
        <v>0.0</v>
      </c>
      <c r="W2068" s="238">
        <v>0.0</v>
      </c>
      <c r="X2068" s="235" t="s">
        <v>628</v>
      </c>
      <c r="Z2068" s="244"/>
      <c r="AA2068" s="244"/>
      <c r="AB2068" s="244"/>
      <c r="AC2068" s="235" t="s">
        <v>16074</v>
      </c>
      <c r="AD2068" s="235" t="s">
        <v>845</v>
      </c>
      <c r="AE2068" s="238">
        <v>445202.0</v>
      </c>
      <c r="AF2068" s="235" t="s">
        <v>631</v>
      </c>
      <c r="AG2068" s="244"/>
      <c r="AH2068" s="244"/>
      <c r="AI2068" s="245"/>
      <c r="AJ2068" s="245"/>
      <c r="AK2068" s="245"/>
      <c r="AL2068" s="245"/>
      <c r="AM2068" s="244"/>
      <c r="AN2068" s="244"/>
      <c r="AO2068" s="238">
        <v>0.0</v>
      </c>
      <c r="AP2068" s="238">
        <v>-38.1</v>
      </c>
      <c r="AQ2068" s="235" t="s">
        <v>632</v>
      </c>
      <c r="AR2068" s="243">
        <v>3.71E11</v>
      </c>
      <c r="AS2068" s="235" t="s">
        <v>10017</v>
      </c>
      <c r="AT2068" s="235" t="s">
        <v>533</v>
      </c>
      <c r="AU2068" s="235" t="s">
        <v>634</v>
      </c>
      <c r="AV2068" s="246" t="s">
        <v>635</v>
      </c>
      <c r="AW2068" s="242"/>
      <c r="AX2068" s="242"/>
      <c r="AY2068" s="231"/>
      <c r="AZ2068" s="231"/>
      <c r="BA2068" s="227"/>
      <c r="BB2068" s="231"/>
      <c r="BC2068" s="227"/>
      <c r="BD2068" s="227"/>
      <c r="BE2068" s="227"/>
      <c r="BF2068" s="227"/>
    </row>
    <row r="2069">
      <c r="A2069" s="235" t="s">
        <v>16075</v>
      </c>
      <c r="C2069" s="235" t="s">
        <v>16076</v>
      </c>
      <c r="D2069" s="235" t="s">
        <v>16077</v>
      </c>
      <c r="E2069" s="243">
        <v>6.54E13</v>
      </c>
      <c r="F2069" s="245"/>
      <c r="G2069" s="235" t="s">
        <v>16078</v>
      </c>
      <c r="H2069" s="235" t="s">
        <v>16079</v>
      </c>
      <c r="I2069" s="235" t="s">
        <v>16079</v>
      </c>
      <c r="J2069" s="235" t="s">
        <v>16080</v>
      </c>
      <c r="K2069" s="235" t="s">
        <v>16081</v>
      </c>
      <c r="N2069" s="235" t="s">
        <v>144</v>
      </c>
      <c r="O2069" s="235" t="s">
        <v>232</v>
      </c>
      <c r="P2069" s="238">
        <v>1.0</v>
      </c>
      <c r="Q2069" s="235" t="s">
        <v>627</v>
      </c>
      <c r="R2069" s="238">
        <v>665.72</v>
      </c>
      <c r="S2069" s="238">
        <v>33.28</v>
      </c>
      <c r="T2069" s="238">
        <v>0.0</v>
      </c>
      <c r="U2069" s="238">
        <v>0.0</v>
      </c>
      <c r="V2069" s="238">
        <v>0.0</v>
      </c>
      <c r="W2069" s="238">
        <v>0.0</v>
      </c>
      <c r="X2069" s="235" t="s">
        <v>628</v>
      </c>
      <c r="Z2069" s="244"/>
      <c r="AA2069" s="244"/>
      <c r="AB2069" s="244"/>
      <c r="AC2069" s="235" t="s">
        <v>687</v>
      </c>
      <c r="AD2069" s="235" t="s">
        <v>666</v>
      </c>
      <c r="AE2069" s="238">
        <v>600033.0</v>
      </c>
      <c r="AF2069" s="235" t="s">
        <v>631</v>
      </c>
      <c r="AG2069" s="244"/>
      <c r="AH2069" s="244"/>
      <c r="AI2069" s="245"/>
      <c r="AJ2069" s="245"/>
      <c r="AK2069" s="245"/>
      <c r="AL2069" s="245"/>
      <c r="AM2069" s="244"/>
      <c r="AN2069" s="244"/>
      <c r="AO2069" s="238">
        <v>0.0</v>
      </c>
      <c r="AP2069" s="238">
        <v>0.0</v>
      </c>
      <c r="AQ2069" s="235" t="s">
        <v>632</v>
      </c>
      <c r="AR2069" s="243">
        <v>1.68E11</v>
      </c>
      <c r="AS2069" s="235" t="s">
        <v>15599</v>
      </c>
      <c r="AT2069" s="235" t="s">
        <v>156</v>
      </c>
      <c r="AU2069" s="235" t="s">
        <v>634</v>
      </c>
      <c r="AV2069" s="246" t="s">
        <v>635</v>
      </c>
      <c r="AW2069" s="242"/>
      <c r="AX2069" s="242"/>
      <c r="AY2069" s="231"/>
      <c r="AZ2069" s="231"/>
      <c r="BA2069" s="227"/>
      <c r="BB2069" s="231"/>
      <c r="BC2069" s="227"/>
      <c r="BD2069" s="227"/>
      <c r="BE2069" s="227"/>
      <c r="BF2069" s="227"/>
    </row>
    <row r="2070">
      <c r="A2070" s="235" t="s">
        <v>16082</v>
      </c>
      <c r="C2070" s="235" t="s">
        <v>16083</v>
      </c>
      <c r="D2070" s="235" t="s">
        <v>16084</v>
      </c>
      <c r="E2070" s="243">
        <v>6.54E13</v>
      </c>
      <c r="F2070" s="245"/>
      <c r="G2070" s="235" t="s">
        <v>16085</v>
      </c>
      <c r="H2070" s="235" t="s">
        <v>16086</v>
      </c>
      <c r="I2070" s="235" t="s">
        <v>16087</v>
      </c>
      <c r="J2070" s="235" t="s">
        <v>16088</v>
      </c>
      <c r="K2070" s="235" t="s">
        <v>16089</v>
      </c>
      <c r="N2070" s="235" t="s">
        <v>154</v>
      </c>
      <c r="O2070" s="235" t="s">
        <v>766</v>
      </c>
      <c r="P2070" s="238">
        <v>1.0</v>
      </c>
      <c r="Q2070" s="235" t="s">
        <v>627</v>
      </c>
      <c r="R2070" s="238">
        <v>465.72</v>
      </c>
      <c r="S2070" s="238">
        <v>22.82</v>
      </c>
      <c r="T2070" s="238">
        <v>18.1</v>
      </c>
      <c r="U2070" s="238">
        <v>0.9</v>
      </c>
      <c r="V2070" s="238">
        <v>0.0</v>
      </c>
      <c r="W2070" s="238">
        <v>0.0</v>
      </c>
      <c r="X2070" s="235" t="s">
        <v>628</v>
      </c>
      <c r="Z2070" s="244"/>
      <c r="AA2070" s="244"/>
      <c r="AB2070" s="244"/>
      <c r="AC2070" s="235" t="s">
        <v>1058</v>
      </c>
      <c r="AD2070" s="235" t="s">
        <v>845</v>
      </c>
      <c r="AE2070" s="238">
        <v>400083.0</v>
      </c>
      <c r="AF2070" s="235" t="s">
        <v>631</v>
      </c>
      <c r="AG2070" s="244"/>
      <c r="AH2070" s="244"/>
      <c r="AI2070" s="245"/>
      <c r="AJ2070" s="245"/>
      <c r="AK2070" s="245"/>
      <c r="AL2070" s="245"/>
      <c r="AM2070" s="244"/>
      <c r="AN2070" s="244"/>
      <c r="AO2070" s="238">
        <v>-9.32</v>
      </c>
      <c r="AP2070" s="238">
        <v>-18.1</v>
      </c>
      <c r="AQ2070" s="235" t="s">
        <v>632</v>
      </c>
      <c r="AR2070" s="243">
        <v>1.68E11</v>
      </c>
      <c r="AS2070" s="235" t="s">
        <v>15599</v>
      </c>
      <c r="AT2070" s="235" t="s">
        <v>17</v>
      </c>
      <c r="AU2070" s="235" t="s">
        <v>634</v>
      </c>
      <c r="AV2070" s="246" t="s">
        <v>635</v>
      </c>
      <c r="AW2070" s="242"/>
      <c r="AX2070" s="242"/>
      <c r="AY2070" s="231"/>
      <c r="AZ2070" s="231"/>
      <c r="BA2070" s="227"/>
      <c r="BB2070" s="231"/>
      <c r="BC2070" s="227"/>
      <c r="BD2070" s="227"/>
      <c r="BE2070" s="227"/>
      <c r="BF2070" s="227"/>
    </row>
    <row r="2071">
      <c r="A2071" s="235" t="s">
        <v>16090</v>
      </c>
      <c r="C2071" s="235" t="s">
        <v>16091</v>
      </c>
      <c r="D2071" s="235" t="s">
        <v>16092</v>
      </c>
      <c r="E2071" s="243">
        <v>6.54E13</v>
      </c>
      <c r="F2071" s="245"/>
      <c r="G2071" s="235" t="s">
        <v>16093</v>
      </c>
      <c r="H2071" s="235" t="s">
        <v>16094</v>
      </c>
      <c r="I2071" s="235" t="s">
        <v>16094</v>
      </c>
      <c r="J2071" s="235" t="s">
        <v>16095</v>
      </c>
      <c r="K2071" s="235" t="s">
        <v>16096</v>
      </c>
      <c r="N2071" s="235" t="s">
        <v>141</v>
      </c>
      <c r="O2071" s="235" t="s">
        <v>342</v>
      </c>
      <c r="P2071" s="238">
        <v>1.0</v>
      </c>
      <c r="Q2071" s="235" t="s">
        <v>627</v>
      </c>
      <c r="R2071" s="238">
        <v>246.67</v>
      </c>
      <c r="S2071" s="238">
        <v>12.33</v>
      </c>
      <c r="T2071" s="238">
        <v>38.1</v>
      </c>
      <c r="U2071" s="238">
        <v>1.9</v>
      </c>
      <c r="V2071" s="238">
        <v>0.0</v>
      </c>
      <c r="W2071" s="238">
        <v>0.0</v>
      </c>
      <c r="X2071" s="235" t="s">
        <v>628</v>
      </c>
      <c r="Z2071" s="244"/>
      <c r="AA2071" s="244"/>
      <c r="AB2071" s="244"/>
      <c r="AC2071" s="235" t="s">
        <v>16097</v>
      </c>
      <c r="AD2071" s="235" t="s">
        <v>917</v>
      </c>
      <c r="AE2071" s="238">
        <v>301404.0</v>
      </c>
      <c r="AF2071" s="235" t="s">
        <v>631</v>
      </c>
      <c r="AG2071" s="244"/>
      <c r="AH2071" s="244"/>
      <c r="AI2071" s="245"/>
      <c r="AJ2071" s="245"/>
      <c r="AK2071" s="245"/>
      <c r="AL2071" s="245"/>
      <c r="AM2071" s="244"/>
      <c r="AN2071" s="244"/>
      <c r="AO2071" s="238">
        <v>0.0</v>
      </c>
      <c r="AP2071" s="238">
        <v>-38.1</v>
      </c>
      <c r="AQ2071" s="235" t="s">
        <v>632</v>
      </c>
      <c r="AR2071" s="243">
        <v>3.71E11</v>
      </c>
      <c r="AS2071" s="235" t="s">
        <v>13822</v>
      </c>
      <c r="AT2071" s="235" t="s">
        <v>14</v>
      </c>
      <c r="AU2071" s="235" t="s">
        <v>634</v>
      </c>
      <c r="AV2071" s="246" t="s">
        <v>635</v>
      </c>
      <c r="AW2071" s="242"/>
      <c r="AX2071" s="242"/>
      <c r="AY2071" s="231"/>
      <c r="AZ2071" s="231"/>
      <c r="BA2071" s="227"/>
      <c r="BB2071" s="231"/>
      <c r="BC2071" s="227"/>
      <c r="BD2071" s="227"/>
      <c r="BE2071" s="227"/>
      <c r="BF2071" s="227"/>
    </row>
    <row r="2072">
      <c r="A2072" s="235" t="s">
        <v>16098</v>
      </c>
      <c r="C2072" s="235" t="s">
        <v>16099</v>
      </c>
      <c r="D2072" s="235" t="s">
        <v>16100</v>
      </c>
      <c r="E2072" s="243">
        <v>6.54E13</v>
      </c>
      <c r="F2072" s="245"/>
      <c r="G2072" s="235" t="s">
        <v>16101</v>
      </c>
      <c r="H2072" s="235" t="s">
        <v>16102</v>
      </c>
      <c r="I2072" s="235" t="s">
        <v>16103</v>
      </c>
      <c r="J2072" s="235" t="s">
        <v>16104</v>
      </c>
      <c r="K2072" s="235" t="s">
        <v>16105</v>
      </c>
      <c r="N2072" s="235" t="s">
        <v>104</v>
      </c>
      <c r="O2072" s="235" t="s">
        <v>401</v>
      </c>
      <c r="P2072" s="238">
        <v>1.0</v>
      </c>
      <c r="Q2072" s="235" t="s">
        <v>627</v>
      </c>
      <c r="R2072" s="238">
        <v>246.67</v>
      </c>
      <c r="S2072" s="238">
        <v>12.33</v>
      </c>
      <c r="T2072" s="238">
        <v>0.0</v>
      </c>
      <c r="U2072" s="238">
        <v>0.0</v>
      </c>
      <c r="V2072" s="238">
        <v>0.0</v>
      </c>
      <c r="W2072" s="238">
        <v>0.0</v>
      </c>
      <c r="X2072" s="235" t="s">
        <v>628</v>
      </c>
      <c r="Z2072" s="244"/>
      <c r="AA2072" s="244"/>
      <c r="AB2072" s="244"/>
      <c r="AC2072" s="235" t="s">
        <v>795</v>
      </c>
      <c r="AD2072" s="235" t="s">
        <v>796</v>
      </c>
      <c r="AE2072" s="238">
        <v>110045.0</v>
      </c>
      <c r="AF2072" s="235" t="s">
        <v>631</v>
      </c>
      <c r="AG2072" s="244"/>
      <c r="AH2072" s="244"/>
      <c r="AI2072" s="245"/>
      <c r="AJ2072" s="245"/>
      <c r="AK2072" s="245"/>
      <c r="AL2072" s="245"/>
      <c r="AM2072" s="244"/>
      <c r="AN2072" s="244"/>
      <c r="AO2072" s="238">
        <v>0.0</v>
      </c>
      <c r="AP2072" s="238">
        <v>0.0</v>
      </c>
      <c r="AQ2072" s="235" t="s">
        <v>632</v>
      </c>
      <c r="AR2072" s="243">
        <v>1.68E11</v>
      </c>
      <c r="AS2072" s="235" t="s">
        <v>15599</v>
      </c>
      <c r="AT2072" s="235" t="s">
        <v>533</v>
      </c>
      <c r="AU2072" s="235" t="s">
        <v>634</v>
      </c>
      <c r="AV2072" s="246" t="s">
        <v>635</v>
      </c>
      <c r="AW2072" s="242"/>
      <c r="AX2072" s="242"/>
      <c r="AY2072" s="231"/>
      <c r="AZ2072" s="231"/>
      <c r="BA2072" s="227"/>
      <c r="BB2072" s="231"/>
      <c r="BC2072" s="227"/>
      <c r="BD2072" s="227"/>
      <c r="BE2072" s="227"/>
      <c r="BF2072" s="227"/>
    </row>
    <row r="2073">
      <c r="A2073" s="235" t="s">
        <v>16106</v>
      </c>
      <c r="C2073" s="235" t="s">
        <v>16107</v>
      </c>
      <c r="D2073" s="235" t="s">
        <v>16108</v>
      </c>
      <c r="E2073" s="243">
        <v>6.53E13</v>
      </c>
      <c r="F2073" s="245"/>
      <c r="G2073" s="235" t="s">
        <v>16109</v>
      </c>
      <c r="H2073" s="235" t="s">
        <v>16110</v>
      </c>
      <c r="I2073" s="235" t="s">
        <v>16110</v>
      </c>
      <c r="J2073" s="235" t="s">
        <v>16111</v>
      </c>
      <c r="K2073" s="235" t="s">
        <v>16112</v>
      </c>
      <c r="N2073" s="235" t="s">
        <v>54</v>
      </c>
      <c r="O2073" s="235" t="s">
        <v>294</v>
      </c>
      <c r="P2073" s="238">
        <v>3.0</v>
      </c>
      <c r="Q2073" s="235" t="s">
        <v>627</v>
      </c>
      <c r="R2073" s="238">
        <v>785.7</v>
      </c>
      <c r="S2073" s="238">
        <v>38.13</v>
      </c>
      <c r="T2073" s="238">
        <v>114.3</v>
      </c>
      <c r="U2073" s="238">
        <v>5.7</v>
      </c>
      <c r="V2073" s="238">
        <v>0.0</v>
      </c>
      <c r="W2073" s="238">
        <v>0.0</v>
      </c>
      <c r="X2073" s="235" t="s">
        <v>628</v>
      </c>
      <c r="Z2073" s="244"/>
      <c r="AA2073" s="244"/>
      <c r="AB2073" s="244"/>
      <c r="AC2073" s="235" t="s">
        <v>1671</v>
      </c>
      <c r="AD2073" s="235" t="s">
        <v>666</v>
      </c>
      <c r="AE2073" s="238">
        <v>641014.0</v>
      </c>
      <c r="AF2073" s="235" t="s">
        <v>631</v>
      </c>
      <c r="AG2073" s="244"/>
      <c r="AH2073" s="244"/>
      <c r="AI2073" s="245"/>
      <c r="AJ2073" s="245"/>
      <c r="AK2073" s="245"/>
      <c r="AL2073" s="245"/>
      <c r="AM2073" s="244"/>
      <c r="AN2073" s="244"/>
      <c r="AO2073" s="238">
        <v>-23.58</v>
      </c>
      <c r="AP2073" s="238">
        <v>-114.3</v>
      </c>
      <c r="AQ2073" s="235" t="s">
        <v>632</v>
      </c>
      <c r="AR2073" s="243">
        <v>3.71E11</v>
      </c>
      <c r="AS2073" s="235" t="s">
        <v>15064</v>
      </c>
      <c r="AT2073" s="235" t="s">
        <v>155</v>
      </c>
      <c r="AU2073" s="235" t="s">
        <v>634</v>
      </c>
      <c r="AV2073" s="246" t="s">
        <v>635</v>
      </c>
      <c r="AW2073" s="242"/>
      <c r="AX2073" s="242"/>
      <c r="AY2073" s="231"/>
      <c r="AZ2073" s="231"/>
      <c r="BA2073" s="227"/>
      <c r="BB2073" s="231"/>
      <c r="BC2073" s="227"/>
      <c r="BD2073" s="227"/>
      <c r="BE2073" s="227"/>
      <c r="BF2073" s="227"/>
    </row>
    <row r="2074">
      <c r="A2074" s="235" t="s">
        <v>16106</v>
      </c>
      <c r="C2074" s="235" t="s">
        <v>16107</v>
      </c>
      <c r="D2074" s="235" t="s">
        <v>16113</v>
      </c>
      <c r="E2074" s="243">
        <v>6.53E13</v>
      </c>
      <c r="F2074" s="245"/>
      <c r="G2074" s="235" t="s">
        <v>16109</v>
      </c>
      <c r="H2074" s="235" t="s">
        <v>16110</v>
      </c>
      <c r="I2074" s="235" t="s">
        <v>16110</v>
      </c>
      <c r="J2074" s="235" t="s">
        <v>16111</v>
      </c>
      <c r="K2074" s="235" t="s">
        <v>16112</v>
      </c>
      <c r="N2074" s="235" t="s">
        <v>54</v>
      </c>
      <c r="O2074" s="235" t="s">
        <v>294</v>
      </c>
      <c r="P2074" s="238">
        <v>5.0</v>
      </c>
      <c r="Q2074" s="235" t="s">
        <v>627</v>
      </c>
      <c r="R2074" s="238">
        <v>1309.5</v>
      </c>
      <c r="S2074" s="238">
        <v>63.55</v>
      </c>
      <c r="T2074" s="238">
        <v>190.5</v>
      </c>
      <c r="U2074" s="238">
        <v>9.5</v>
      </c>
      <c r="V2074" s="238">
        <v>0.0</v>
      </c>
      <c r="W2074" s="238">
        <v>0.0</v>
      </c>
      <c r="X2074" s="235" t="s">
        <v>628</v>
      </c>
      <c r="Z2074" s="244"/>
      <c r="AA2074" s="244"/>
      <c r="AB2074" s="244"/>
      <c r="AC2074" s="235" t="s">
        <v>1671</v>
      </c>
      <c r="AD2074" s="235" t="s">
        <v>666</v>
      </c>
      <c r="AE2074" s="238">
        <v>641014.0</v>
      </c>
      <c r="AF2074" s="235" t="s">
        <v>631</v>
      </c>
      <c r="AG2074" s="244"/>
      <c r="AH2074" s="244"/>
      <c r="AI2074" s="245"/>
      <c r="AJ2074" s="245"/>
      <c r="AK2074" s="245"/>
      <c r="AL2074" s="245"/>
      <c r="AM2074" s="244"/>
      <c r="AN2074" s="244"/>
      <c r="AO2074" s="238">
        <v>-39.3</v>
      </c>
      <c r="AP2074" s="238">
        <v>-190.5</v>
      </c>
      <c r="AQ2074" s="235" t="s">
        <v>632</v>
      </c>
      <c r="AR2074" s="243">
        <v>3.71E11</v>
      </c>
      <c r="AS2074" s="235" t="s">
        <v>15064</v>
      </c>
      <c r="AT2074" s="235" t="s">
        <v>155</v>
      </c>
      <c r="AU2074" s="235" t="s">
        <v>634</v>
      </c>
      <c r="AV2074" s="246" t="s">
        <v>635</v>
      </c>
      <c r="AW2074" s="242"/>
      <c r="AX2074" s="242"/>
      <c r="AY2074" s="231"/>
      <c r="AZ2074" s="231"/>
      <c r="BA2074" s="227"/>
      <c r="BB2074" s="231"/>
      <c r="BC2074" s="227"/>
      <c r="BD2074" s="227"/>
      <c r="BE2074" s="227"/>
      <c r="BF2074" s="227"/>
    </row>
    <row r="2075">
      <c r="A2075" s="235" t="s">
        <v>16114</v>
      </c>
      <c r="C2075" s="235" t="s">
        <v>16115</v>
      </c>
      <c r="D2075" s="235" t="s">
        <v>16116</v>
      </c>
      <c r="E2075" s="243">
        <v>6.54E13</v>
      </c>
      <c r="F2075" s="245"/>
      <c r="G2075" s="235" t="s">
        <v>16117</v>
      </c>
      <c r="H2075" s="235" t="s">
        <v>16118</v>
      </c>
      <c r="I2075" s="235" t="s">
        <v>16118</v>
      </c>
      <c r="J2075" s="235" t="s">
        <v>16119</v>
      </c>
      <c r="K2075" s="235" t="s">
        <v>16120</v>
      </c>
      <c r="N2075" s="235" t="s">
        <v>962</v>
      </c>
      <c r="O2075" s="235" t="s">
        <v>963</v>
      </c>
      <c r="P2075" s="238">
        <v>1.0</v>
      </c>
      <c r="Q2075" s="235" t="s">
        <v>627</v>
      </c>
      <c r="R2075" s="238">
        <v>246.66</v>
      </c>
      <c r="S2075" s="238">
        <v>12.1</v>
      </c>
      <c r="T2075" s="238">
        <v>0.0</v>
      </c>
      <c r="U2075" s="238">
        <v>0.0</v>
      </c>
      <c r="V2075" s="238">
        <v>0.0</v>
      </c>
      <c r="W2075" s="238">
        <v>0.0</v>
      </c>
      <c r="X2075" s="235" t="s">
        <v>628</v>
      </c>
      <c r="Z2075" s="244"/>
      <c r="AA2075" s="244"/>
      <c r="AB2075" s="244"/>
      <c r="AC2075" s="235" t="s">
        <v>1961</v>
      </c>
      <c r="AD2075" s="235" t="s">
        <v>845</v>
      </c>
      <c r="AE2075" s="238">
        <v>411033.0</v>
      </c>
      <c r="AF2075" s="235" t="s">
        <v>631</v>
      </c>
      <c r="AG2075" s="244"/>
      <c r="AH2075" s="244"/>
      <c r="AI2075" s="245"/>
      <c r="AJ2075" s="245"/>
      <c r="AK2075" s="245"/>
      <c r="AL2075" s="245"/>
      <c r="AM2075" s="244"/>
      <c r="AN2075" s="244"/>
      <c r="AO2075" s="238">
        <v>-4.94</v>
      </c>
      <c r="AP2075" s="238">
        <v>0.0</v>
      </c>
      <c r="AQ2075" s="235" t="s">
        <v>632</v>
      </c>
      <c r="AR2075" s="243">
        <v>3.71E11</v>
      </c>
      <c r="AS2075" s="235" t="s">
        <v>15064</v>
      </c>
      <c r="AT2075" s="235" t="s">
        <v>546</v>
      </c>
      <c r="AU2075" s="235" t="s">
        <v>634</v>
      </c>
      <c r="AV2075" s="246" t="s">
        <v>635</v>
      </c>
      <c r="AW2075" s="242"/>
      <c r="AX2075" s="242"/>
      <c r="AY2075" s="231"/>
      <c r="AZ2075" s="231"/>
      <c r="BA2075" s="227"/>
      <c r="BB2075" s="231"/>
      <c r="BC2075" s="227"/>
      <c r="BD2075" s="227"/>
      <c r="BE2075" s="227"/>
      <c r="BF2075" s="227"/>
    </row>
    <row r="2076">
      <c r="A2076" s="235" t="s">
        <v>16121</v>
      </c>
      <c r="C2076" s="235" t="s">
        <v>16122</v>
      </c>
      <c r="D2076" s="235" t="s">
        <v>16123</v>
      </c>
      <c r="E2076" s="243">
        <v>6.54E13</v>
      </c>
      <c r="F2076" s="245"/>
      <c r="G2076" s="235" t="s">
        <v>16124</v>
      </c>
      <c r="H2076" s="235" t="s">
        <v>16125</v>
      </c>
      <c r="I2076" s="235" t="s">
        <v>16125</v>
      </c>
      <c r="J2076" s="235" t="s">
        <v>16126</v>
      </c>
      <c r="K2076" s="235" t="s">
        <v>16127</v>
      </c>
      <c r="N2076" s="235" t="s">
        <v>136</v>
      </c>
      <c r="O2076" s="235" t="s">
        <v>256</v>
      </c>
      <c r="P2076" s="238">
        <v>1.0</v>
      </c>
      <c r="Q2076" s="235" t="s">
        <v>627</v>
      </c>
      <c r="R2076" s="238">
        <v>246.66</v>
      </c>
      <c r="S2076" s="238">
        <v>12.1</v>
      </c>
      <c r="T2076" s="238">
        <v>0.0</v>
      </c>
      <c r="U2076" s="238">
        <v>0.0</v>
      </c>
      <c r="V2076" s="238">
        <v>0.0</v>
      </c>
      <c r="W2076" s="238">
        <v>0.0</v>
      </c>
      <c r="X2076" s="235" t="s">
        <v>628</v>
      </c>
      <c r="Z2076" s="244"/>
      <c r="AA2076" s="244"/>
      <c r="AB2076" s="244"/>
      <c r="AC2076" s="235" t="s">
        <v>1514</v>
      </c>
      <c r="AD2076" s="235" t="s">
        <v>1077</v>
      </c>
      <c r="AE2076" s="238">
        <v>380015.0</v>
      </c>
      <c r="AF2076" s="235" t="s">
        <v>631</v>
      </c>
      <c r="AG2076" s="244"/>
      <c r="AH2076" s="244"/>
      <c r="AI2076" s="245"/>
      <c r="AJ2076" s="245"/>
      <c r="AK2076" s="245"/>
      <c r="AL2076" s="245"/>
      <c r="AM2076" s="244"/>
      <c r="AN2076" s="244"/>
      <c r="AO2076" s="238">
        <v>-4.94</v>
      </c>
      <c r="AP2076" s="238">
        <v>0.0</v>
      </c>
      <c r="AQ2076" s="235" t="s">
        <v>632</v>
      </c>
      <c r="AR2076" s="243">
        <v>3.71E11</v>
      </c>
      <c r="AS2076" s="235" t="s">
        <v>15064</v>
      </c>
      <c r="AT2076" s="235" t="s">
        <v>5</v>
      </c>
      <c r="AU2076" s="235" t="s">
        <v>634</v>
      </c>
      <c r="AV2076" s="246" t="s">
        <v>635</v>
      </c>
      <c r="AW2076" s="242"/>
      <c r="AX2076" s="242"/>
      <c r="AY2076" s="231"/>
      <c r="AZ2076" s="231"/>
      <c r="BA2076" s="227"/>
      <c r="BB2076" s="231"/>
      <c r="BC2076" s="227"/>
      <c r="BD2076" s="227"/>
      <c r="BE2076" s="227"/>
      <c r="BF2076" s="227"/>
    </row>
    <row r="2077">
      <c r="A2077" s="235" t="s">
        <v>16128</v>
      </c>
      <c r="C2077" s="235" t="s">
        <v>16129</v>
      </c>
      <c r="D2077" s="235" t="s">
        <v>16130</v>
      </c>
      <c r="E2077" s="243">
        <v>6.54E13</v>
      </c>
      <c r="F2077" s="245"/>
      <c r="G2077" s="235" t="s">
        <v>16131</v>
      </c>
      <c r="H2077" s="235" t="s">
        <v>16132</v>
      </c>
      <c r="I2077" s="235" t="s">
        <v>16132</v>
      </c>
      <c r="J2077" s="235" t="s">
        <v>16133</v>
      </c>
      <c r="K2077" s="235" t="s">
        <v>16134</v>
      </c>
      <c r="N2077" s="235" t="s">
        <v>3</v>
      </c>
      <c r="O2077" s="235" t="s">
        <v>654</v>
      </c>
      <c r="P2077" s="238">
        <v>2.0</v>
      </c>
      <c r="Q2077" s="235" t="s">
        <v>627</v>
      </c>
      <c r="R2077" s="238">
        <v>531.44</v>
      </c>
      <c r="S2077" s="238">
        <v>25.76</v>
      </c>
      <c r="T2077" s="238">
        <v>0.0</v>
      </c>
      <c r="U2077" s="238">
        <v>0.0</v>
      </c>
      <c r="V2077" s="238">
        <v>0.0</v>
      </c>
      <c r="W2077" s="238">
        <v>0.0</v>
      </c>
      <c r="X2077" s="235" t="s">
        <v>628</v>
      </c>
      <c r="Z2077" s="244"/>
      <c r="AA2077" s="244"/>
      <c r="AB2077" s="244"/>
      <c r="AC2077" s="235" t="s">
        <v>1604</v>
      </c>
      <c r="AD2077" s="235" t="s">
        <v>845</v>
      </c>
      <c r="AE2077" s="238">
        <v>400052.0</v>
      </c>
      <c r="AF2077" s="235" t="s">
        <v>631</v>
      </c>
      <c r="AG2077" s="244"/>
      <c r="AH2077" s="244"/>
      <c r="AI2077" s="245"/>
      <c r="AJ2077" s="245"/>
      <c r="AK2077" s="245"/>
      <c r="AL2077" s="245"/>
      <c r="AM2077" s="244"/>
      <c r="AN2077" s="244"/>
      <c r="AO2077" s="238">
        <v>-15.94</v>
      </c>
      <c r="AP2077" s="238">
        <v>0.0</v>
      </c>
      <c r="AQ2077" s="235" t="s">
        <v>632</v>
      </c>
      <c r="AR2077" s="243">
        <v>1.68E11</v>
      </c>
      <c r="AS2077" s="235" t="s">
        <v>15599</v>
      </c>
      <c r="AT2077" s="235" t="s">
        <v>16</v>
      </c>
      <c r="AU2077" s="235" t="s">
        <v>634</v>
      </c>
      <c r="AV2077" s="246" t="s">
        <v>635</v>
      </c>
      <c r="AW2077" s="242"/>
      <c r="AX2077" s="242"/>
      <c r="AY2077" s="231"/>
      <c r="AZ2077" s="231"/>
      <c r="BA2077" s="227"/>
      <c r="BB2077" s="231"/>
      <c r="BC2077" s="227"/>
      <c r="BD2077" s="227"/>
      <c r="BE2077" s="227"/>
      <c r="BF2077" s="227"/>
    </row>
    <row r="2078">
      <c r="A2078" s="235" t="s">
        <v>16135</v>
      </c>
      <c r="C2078" s="235" t="s">
        <v>16136</v>
      </c>
      <c r="D2078" s="235" t="s">
        <v>16137</v>
      </c>
      <c r="E2078" s="243">
        <v>6.54E13</v>
      </c>
      <c r="F2078" s="245"/>
      <c r="G2078" s="235" t="s">
        <v>16138</v>
      </c>
      <c r="H2078" s="235" t="s">
        <v>16139</v>
      </c>
      <c r="I2078" s="235" t="s">
        <v>16139</v>
      </c>
      <c r="J2078" s="235" t="s">
        <v>16140</v>
      </c>
      <c r="K2078" s="235" t="s">
        <v>16141</v>
      </c>
      <c r="N2078" s="235" t="s">
        <v>154</v>
      </c>
      <c r="O2078" s="235" t="s">
        <v>766</v>
      </c>
      <c r="P2078" s="238">
        <v>1.0</v>
      </c>
      <c r="Q2078" s="235" t="s">
        <v>627</v>
      </c>
      <c r="R2078" s="238">
        <v>465.72</v>
      </c>
      <c r="S2078" s="238">
        <v>23.28</v>
      </c>
      <c r="T2078" s="238">
        <v>0.0</v>
      </c>
      <c r="U2078" s="238">
        <v>0.0</v>
      </c>
      <c r="V2078" s="238">
        <v>0.0</v>
      </c>
      <c r="W2078" s="238">
        <v>0.0</v>
      </c>
      <c r="X2078" s="235" t="s">
        <v>628</v>
      </c>
      <c r="Z2078" s="244"/>
      <c r="AA2078" s="244"/>
      <c r="AB2078" s="244"/>
      <c r="AC2078" s="235" t="s">
        <v>1910</v>
      </c>
      <c r="AD2078" s="235" t="s">
        <v>928</v>
      </c>
      <c r="AE2078" s="238">
        <v>122008.0</v>
      </c>
      <c r="AF2078" s="235" t="s">
        <v>631</v>
      </c>
      <c r="AG2078" s="244"/>
      <c r="AH2078" s="244"/>
      <c r="AI2078" s="245"/>
      <c r="AJ2078" s="245"/>
      <c r="AK2078" s="245"/>
      <c r="AL2078" s="245"/>
      <c r="AM2078" s="244"/>
      <c r="AN2078" s="244"/>
      <c r="AO2078" s="238">
        <v>0.0</v>
      </c>
      <c r="AP2078" s="238">
        <v>0.0</v>
      </c>
      <c r="AQ2078" s="235" t="s">
        <v>632</v>
      </c>
      <c r="AR2078" s="243">
        <v>1.68E11</v>
      </c>
      <c r="AS2078" s="235" t="s">
        <v>15599</v>
      </c>
      <c r="AT2078" s="235" t="s">
        <v>13</v>
      </c>
      <c r="AU2078" s="235" t="s">
        <v>634</v>
      </c>
      <c r="AV2078" s="246" t="s">
        <v>635</v>
      </c>
      <c r="AW2078" s="242"/>
      <c r="AX2078" s="242"/>
      <c r="AY2078" s="231"/>
      <c r="AZ2078" s="231"/>
      <c r="BA2078" s="227"/>
      <c r="BB2078" s="231"/>
      <c r="BC2078" s="227"/>
      <c r="BD2078" s="227"/>
      <c r="BE2078" s="227"/>
      <c r="BF2078" s="227"/>
    </row>
    <row r="2079">
      <c r="A2079" s="235" t="s">
        <v>16142</v>
      </c>
      <c r="C2079" s="235" t="s">
        <v>16143</v>
      </c>
      <c r="D2079" s="235" t="s">
        <v>16144</v>
      </c>
      <c r="E2079" s="243">
        <v>6.54E13</v>
      </c>
      <c r="F2079" s="245"/>
      <c r="G2079" s="235" t="s">
        <v>16145</v>
      </c>
      <c r="H2079" s="235" t="s">
        <v>16146</v>
      </c>
      <c r="I2079" s="235" t="s">
        <v>16146</v>
      </c>
      <c r="J2079" s="235" t="s">
        <v>16147</v>
      </c>
      <c r="K2079" s="235" t="s">
        <v>16148</v>
      </c>
      <c r="N2079" s="235" t="s">
        <v>55</v>
      </c>
      <c r="O2079" s="235" t="s">
        <v>244</v>
      </c>
      <c r="P2079" s="238">
        <v>1.0</v>
      </c>
      <c r="Q2079" s="235" t="s">
        <v>627</v>
      </c>
      <c r="R2079" s="238">
        <v>246.66</v>
      </c>
      <c r="S2079" s="238">
        <v>12.34</v>
      </c>
      <c r="T2079" s="238">
        <v>0.0</v>
      </c>
      <c r="U2079" s="238">
        <v>0.0</v>
      </c>
      <c r="V2079" s="238">
        <v>0.0</v>
      </c>
      <c r="W2079" s="238">
        <v>0.0</v>
      </c>
      <c r="X2079" s="235" t="s">
        <v>628</v>
      </c>
      <c r="Z2079" s="244"/>
      <c r="AA2079" s="244"/>
      <c r="AB2079" s="244"/>
      <c r="AC2079" s="235" t="s">
        <v>1456</v>
      </c>
      <c r="AD2079" s="235" t="s">
        <v>928</v>
      </c>
      <c r="AE2079" s="238">
        <v>122003.0</v>
      </c>
      <c r="AF2079" s="235" t="s">
        <v>631</v>
      </c>
      <c r="AG2079" s="244"/>
      <c r="AH2079" s="244"/>
      <c r="AI2079" s="245"/>
      <c r="AJ2079" s="245"/>
      <c r="AK2079" s="245"/>
      <c r="AL2079" s="245"/>
      <c r="AM2079" s="244"/>
      <c r="AN2079" s="244"/>
      <c r="AO2079" s="238">
        <v>0.0</v>
      </c>
      <c r="AP2079" s="238">
        <v>0.0</v>
      </c>
      <c r="AQ2079" s="235" t="s">
        <v>632</v>
      </c>
      <c r="AR2079" s="243">
        <v>1.68E11</v>
      </c>
      <c r="AS2079" s="235" t="s">
        <v>15599</v>
      </c>
      <c r="AT2079" s="235" t="s">
        <v>14</v>
      </c>
      <c r="AU2079" s="235" t="s">
        <v>634</v>
      </c>
      <c r="AV2079" s="246" t="s">
        <v>635</v>
      </c>
      <c r="AW2079" s="242"/>
      <c r="AX2079" s="242"/>
      <c r="AY2079" s="231"/>
      <c r="AZ2079" s="231"/>
      <c r="BA2079" s="227"/>
      <c r="BB2079" s="231"/>
      <c r="BC2079" s="227"/>
      <c r="BD2079" s="227"/>
      <c r="BE2079" s="227"/>
      <c r="BF2079" s="227"/>
    </row>
    <row r="2080">
      <c r="A2080" s="235" t="s">
        <v>16149</v>
      </c>
      <c r="C2080" s="235" t="s">
        <v>16150</v>
      </c>
      <c r="D2080" s="235" t="s">
        <v>16151</v>
      </c>
      <c r="E2080" s="243">
        <v>6.54E13</v>
      </c>
      <c r="F2080" s="245"/>
      <c r="G2080" s="235" t="s">
        <v>16152</v>
      </c>
      <c r="H2080" s="235" t="s">
        <v>16153</v>
      </c>
      <c r="I2080" s="235" t="s">
        <v>16154</v>
      </c>
      <c r="J2080" s="235" t="s">
        <v>16155</v>
      </c>
      <c r="K2080" s="235" t="s">
        <v>16156</v>
      </c>
      <c r="N2080" s="235" t="s">
        <v>127</v>
      </c>
      <c r="O2080" s="235" t="s">
        <v>794</v>
      </c>
      <c r="P2080" s="238">
        <v>1.0</v>
      </c>
      <c r="Q2080" s="235" t="s">
        <v>627</v>
      </c>
      <c r="R2080" s="238">
        <v>246.67</v>
      </c>
      <c r="S2080" s="238">
        <v>12.33</v>
      </c>
      <c r="T2080" s="238">
        <v>0.0</v>
      </c>
      <c r="U2080" s="238">
        <v>0.0</v>
      </c>
      <c r="V2080" s="238">
        <v>0.0</v>
      </c>
      <c r="W2080" s="238">
        <v>0.0</v>
      </c>
      <c r="X2080" s="235" t="s">
        <v>628</v>
      </c>
      <c r="Z2080" s="244"/>
      <c r="AA2080" s="244"/>
      <c r="AB2080" s="244"/>
      <c r="AC2080" s="235" t="s">
        <v>1613</v>
      </c>
      <c r="AD2080" s="235" t="s">
        <v>630</v>
      </c>
      <c r="AE2080" s="238">
        <v>226010.0</v>
      </c>
      <c r="AF2080" s="235" t="s">
        <v>631</v>
      </c>
      <c r="AG2080" s="244"/>
      <c r="AH2080" s="244"/>
      <c r="AI2080" s="245"/>
      <c r="AJ2080" s="245"/>
      <c r="AK2080" s="245"/>
      <c r="AL2080" s="245"/>
      <c r="AM2080" s="244"/>
      <c r="AN2080" s="244"/>
      <c r="AO2080" s="238">
        <v>0.0</v>
      </c>
      <c r="AP2080" s="238">
        <v>0.0</v>
      </c>
      <c r="AQ2080" s="235" t="s">
        <v>632</v>
      </c>
      <c r="AR2080" s="243">
        <v>2.02E11</v>
      </c>
      <c r="AS2080" s="235" t="s">
        <v>15064</v>
      </c>
      <c r="AT2080" s="235" t="s">
        <v>533</v>
      </c>
      <c r="AU2080" s="235" t="s">
        <v>634</v>
      </c>
      <c r="AV2080" s="246" t="s">
        <v>635</v>
      </c>
      <c r="AW2080" s="242"/>
      <c r="AX2080" s="242"/>
      <c r="AY2080" s="231"/>
      <c r="AZ2080" s="231"/>
      <c r="BA2080" s="227"/>
      <c r="BB2080" s="231"/>
      <c r="BC2080" s="227"/>
      <c r="BD2080" s="227"/>
      <c r="BE2080" s="227"/>
      <c r="BF2080" s="227"/>
    </row>
    <row r="2081">
      <c r="A2081" s="235" t="s">
        <v>16157</v>
      </c>
      <c r="C2081" s="235" t="s">
        <v>16158</v>
      </c>
      <c r="D2081" s="235" t="s">
        <v>16159</v>
      </c>
      <c r="E2081" s="243">
        <v>6.54E13</v>
      </c>
      <c r="F2081" s="245"/>
      <c r="G2081" s="235" t="s">
        <v>16160</v>
      </c>
      <c r="H2081" s="235" t="s">
        <v>16161</v>
      </c>
      <c r="I2081" s="235" t="s">
        <v>16161</v>
      </c>
      <c r="J2081" s="235" t="s">
        <v>16162</v>
      </c>
      <c r="K2081" s="235" t="s">
        <v>16163</v>
      </c>
      <c r="N2081" s="235" t="s">
        <v>53</v>
      </c>
      <c r="O2081" s="235" t="s">
        <v>512</v>
      </c>
      <c r="P2081" s="238">
        <v>1.0</v>
      </c>
      <c r="Q2081" s="235" t="s">
        <v>627</v>
      </c>
      <c r="R2081" s="238">
        <v>237.14</v>
      </c>
      <c r="S2081" s="238">
        <v>11.86</v>
      </c>
      <c r="T2081" s="238">
        <v>0.0</v>
      </c>
      <c r="U2081" s="238">
        <v>0.0</v>
      </c>
      <c r="V2081" s="238">
        <v>0.0</v>
      </c>
      <c r="W2081" s="238">
        <v>0.0</v>
      </c>
      <c r="X2081" s="235" t="s">
        <v>628</v>
      </c>
      <c r="Z2081" s="244"/>
      <c r="AA2081" s="244"/>
      <c r="AB2081" s="244"/>
      <c r="AC2081" s="235" t="s">
        <v>757</v>
      </c>
      <c r="AD2081" s="235" t="s">
        <v>666</v>
      </c>
      <c r="AE2081" s="238">
        <v>625016.0</v>
      </c>
      <c r="AF2081" s="235" t="s">
        <v>631</v>
      </c>
      <c r="AG2081" s="244"/>
      <c r="AH2081" s="244"/>
      <c r="AI2081" s="245"/>
      <c r="AJ2081" s="245"/>
      <c r="AK2081" s="245"/>
      <c r="AL2081" s="245"/>
      <c r="AM2081" s="244"/>
      <c r="AN2081" s="244"/>
      <c r="AO2081" s="238">
        <v>0.0</v>
      </c>
      <c r="AP2081" s="238">
        <v>0.0</v>
      </c>
      <c r="AQ2081" s="235" t="s">
        <v>632</v>
      </c>
      <c r="AR2081" s="243">
        <v>3.71E11</v>
      </c>
      <c r="AS2081" s="235" t="s">
        <v>15064</v>
      </c>
      <c r="AT2081" s="235" t="s">
        <v>155</v>
      </c>
      <c r="AU2081" s="235" t="s">
        <v>634</v>
      </c>
      <c r="AV2081" s="246" t="s">
        <v>635</v>
      </c>
      <c r="AW2081" s="242"/>
      <c r="AX2081" s="242"/>
      <c r="AY2081" s="231"/>
      <c r="AZ2081" s="231"/>
      <c r="BA2081" s="227"/>
      <c r="BB2081" s="231"/>
      <c r="BC2081" s="227"/>
      <c r="BD2081" s="227"/>
      <c r="BE2081" s="227"/>
      <c r="BF2081" s="227"/>
    </row>
    <row r="2082">
      <c r="A2082" s="235" t="s">
        <v>16164</v>
      </c>
      <c r="C2082" s="235" t="s">
        <v>16165</v>
      </c>
      <c r="D2082" s="235" t="s">
        <v>16166</v>
      </c>
      <c r="E2082" s="243">
        <v>6.53E13</v>
      </c>
      <c r="F2082" s="245"/>
      <c r="G2082" s="235" t="s">
        <v>16167</v>
      </c>
      <c r="H2082" s="235" t="s">
        <v>16168</v>
      </c>
      <c r="I2082" s="235" t="s">
        <v>16169</v>
      </c>
      <c r="J2082" s="235" t="s">
        <v>16170</v>
      </c>
      <c r="K2082" s="235" t="s">
        <v>16171</v>
      </c>
      <c r="N2082" s="235" t="s">
        <v>47</v>
      </c>
      <c r="O2082" s="235" t="s">
        <v>270</v>
      </c>
      <c r="P2082" s="238">
        <v>1.0</v>
      </c>
      <c r="Q2082" s="235" t="s">
        <v>627</v>
      </c>
      <c r="R2082" s="238">
        <v>270.48</v>
      </c>
      <c r="S2082" s="238">
        <v>13.52</v>
      </c>
      <c r="T2082" s="238">
        <v>0.0</v>
      </c>
      <c r="U2082" s="238">
        <v>0.0</v>
      </c>
      <c r="V2082" s="238">
        <v>0.0</v>
      </c>
      <c r="W2082" s="238">
        <v>0.0</v>
      </c>
      <c r="X2082" s="235" t="s">
        <v>628</v>
      </c>
      <c r="Z2082" s="244"/>
      <c r="AA2082" s="244"/>
      <c r="AB2082" s="244"/>
      <c r="AC2082" s="235" t="s">
        <v>697</v>
      </c>
      <c r="AD2082" s="235" t="s">
        <v>698</v>
      </c>
      <c r="AE2082" s="238">
        <v>500072.0</v>
      </c>
      <c r="AF2082" s="235" t="s">
        <v>631</v>
      </c>
      <c r="AG2082" s="244"/>
      <c r="AH2082" s="244"/>
      <c r="AI2082" s="245"/>
      <c r="AJ2082" s="245"/>
      <c r="AK2082" s="245"/>
      <c r="AL2082" s="245"/>
      <c r="AM2082" s="244"/>
      <c r="AN2082" s="244"/>
      <c r="AO2082" s="238">
        <v>0.0</v>
      </c>
      <c r="AP2082" s="238">
        <v>0.0</v>
      </c>
      <c r="AQ2082" s="235" t="s">
        <v>632</v>
      </c>
      <c r="AR2082" s="243">
        <v>3.71E11</v>
      </c>
      <c r="AS2082" s="235" t="s">
        <v>13822</v>
      </c>
      <c r="AT2082" s="235" t="s">
        <v>11</v>
      </c>
      <c r="AU2082" s="235" t="s">
        <v>634</v>
      </c>
      <c r="AV2082" s="246" t="s">
        <v>635</v>
      </c>
      <c r="AW2082" s="242"/>
      <c r="AX2082" s="242"/>
      <c r="AY2082" s="231"/>
      <c r="AZ2082" s="231"/>
      <c r="BA2082" s="227"/>
      <c r="BB2082" s="231"/>
      <c r="BC2082" s="227"/>
      <c r="BD2082" s="227"/>
      <c r="BE2082" s="227"/>
      <c r="BF2082" s="227"/>
    </row>
    <row r="2083">
      <c r="A2083" s="235" t="s">
        <v>16172</v>
      </c>
      <c r="C2083" s="235" t="s">
        <v>16173</v>
      </c>
      <c r="D2083" s="235" t="s">
        <v>16174</v>
      </c>
      <c r="E2083" s="243">
        <v>6.54E13</v>
      </c>
      <c r="F2083" s="245"/>
      <c r="G2083" s="235" t="s">
        <v>16175</v>
      </c>
      <c r="H2083" s="235" t="s">
        <v>16176</v>
      </c>
      <c r="I2083" s="235" t="s">
        <v>16177</v>
      </c>
      <c r="J2083" s="235" t="s">
        <v>16178</v>
      </c>
      <c r="K2083" s="235" t="s">
        <v>16179</v>
      </c>
      <c r="N2083" s="235" t="s">
        <v>989</v>
      </c>
      <c r="O2083" s="235" t="s">
        <v>990</v>
      </c>
      <c r="P2083" s="238">
        <v>1.0</v>
      </c>
      <c r="Q2083" s="235" t="s">
        <v>627</v>
      </c>
      <c r="R2083" s="238">
        <v>256.19</v>
      </c>
      <c r="S2083" s="238">
        <v>12.81</v>
      </c>
      <c r="T2083" s="238">
        <v>0.0</v>
      </c>
      <c r="U2083" s="238">
        <v>0.0</v>
      </c>
      <c r="V2083" s="238">
        <v>0.0</v>
      </c>
      <c r="W2083" s="238">
        <v>0.0</v>
      </c>
      <c r="X2083" s="235" t="s">
        <v>628</v>
      </c>
      <c r="Z2083" s="244"/>
      <c r="AA2083" s="244"/>
      <c r="AB2083" s="244"/>
      <c r="AC2083" s="235" t="s">
        <v>2639</v>
      </c>
      <c r="AD2083" s="235" t="s">
        <v>630</v>
      </c>
      <c r="AE2083" s="238">
        <v>201310.0</v>
      </c>
      <c r="AF2083" s="235" t="s">
        <v>631</v>
      </c>
      <c r="AG2083" s="244"/>
      <c r="AH2083" s="244"/>
      <c r="AI2083" s="245"/>
      <c r="AJ2083" s="245"/>
      <c r="AK2083" s="245"/>
      <c r="AL2083" s="245"/>
      <c r="AM2083" s="244"/>
      <c r="AN2083" s="244"/>
      <c r="AO2083" s="238">
        <v>0.0</v>
      </c>
      <c r="AP2083" s="238">
        <v>0.0</v>
      </c>
      <c r="AQ2083" s="235" t="s">
        <v>632</v>
      </c>
      <c r="AR2083" s="243">
        <v>1.68E11</v>
      </c>
      <c r="AS2083" s="235" t="s">
        <v>15599</v>
      </c>
      <c r="AT2083" s="235" t="s">
        <v>533</v>
      </c>
      <c r="AU2083" s="235" t="s">
        <v>634</v>
      </c>
      <c r="AV2083" s="246" t="s">
        <v>635</v>
      </c>
      <c r="AW2083" s="242"/>
      <c r="AX2083" s="242"/>
      <c r="AY2083" s="231"/>
      <c r="AZ2083" s="231"/>
      <c r="BA2083" s="227"/>
      <c r="BB2083" s="231"/>
      <c r="BC2083" s="227"/>
      <c r="BD2083" s="227"/>
      <c r="BE2083" s="227"/>
      <c r="BF2083" s="227"/>
    </row>
    <row r="2084">
      <c r="A2084" s="235" t="s">
        <v>16180</v>
      </c>
      <c r="C2084" s="235" t="s">
        <v>16181</v>
      </c>
      <c r="D2084" s="235" t="s">
        <v>16182</v>
      </c>
      <c r="E2084" s="243">
        <v>6.54E13</v>
      </c>
      <c r="F2084" s="245"/>
      <c r="G2084" s="235" t="s">
        <v>16183</v>
      </c>
      <c r="H2084" s="235" t="s">
        <v>16184</v>
      </c>
      <c r="I2084" s="235" t="s">
        <v>16185</v>
      </c>
      <c r="J2084" s="235" t="s">
        <v>16186</v>
      </c>
      <c r="K2084" s="235" t="s">
        <v>16187</v>
      </c>
      <c r="N2084" s="235" t="s">
        <v>55</v>
      </c>
      <c r="O2084" s="235" t="s">
        <v>244</v>
      </c>
      <c r="P2084" s="238">
        <v>1.0</v>
      </c>
      <c r="Q2084" s="235" t="s">
        <v>627</v>
      </c>
      <c r="R2084" s="238">
        <v>246.67</v>
      </c>
      <c r="S2084" s="238">
        <v>12.33</v>
      </c>
      <c r="T2084" s="238">
        <v>0.0</v>
      </c>
      <c r="U2084" s="238">
        <v>0.0</v>
      </c>
      <c r="V2084" s="238">
        <v>0.0</v>
      </c>
      <c r="W2084" s="238">
        <v>0.0</v>
      </c>
      <c r="X2084" s="235" t="s">
        <v>628</v>
      </c>
      <c r="Z2084" s="244"/>
      <c r="AA2084" s="244"/>
      <c r="AB2084" s="244"/>
      <c r="AC2084" s="235" t="s">
        <v>795</v>
      </c>
      <c r="AD2084" s="235" t="s">
        <v>796</v>
      </c>
      <c r="AE2084" s="238">
        <v>110003.0</v>
      </c>
      <c r="AF2084" s="235" t="s">
        <v>631</v>
      </c>
      <c r="AG2084" s="244"/>
      <c r="AH2084" s="244"/>
      <c r="AI2084" s="245"/>
      <c r="AJ2084" s="245"/>
      <c r="AK2084" s="245"/>
      <c r="AL2084" s="245"/>
      <c r="AM2084" s="244"/>
      <c r="AN2084" s="244"/>
      <c r="AO2084" s="238">
        <v>0.0</v>
      </c>
      <c r="AP2084" s="238">
        <v>0.0</v>
      </c>
      <c r="AQ2084" s="235" t="s">
        <v>632</v>
      </c>
      <c r="AR2084" s="243">
        <v>3.71E11</v>
      </c>
      <c r="AS2084" s="235" t="s">
        <v>15064</v>
      </c>
      <c r="AT2084" s="235" t="s">
        <v>533</v>
      </c>
      <c r="AU2084" s="235" t="s">
        <v>634</v>
      </c>
      <c r="AV2084" s="246" t="s">
        <v>635</v>
      </c>
      <c r="AW2084" s="242"/>
      <c r="AX2084" s="242"/>
      <c r="AY2084" s="231"/>
      <c r="AZ2084" s="231"/>
      <c r="BA2084" s="227"/>
      <c r="BB2084" s="231"/>
      <c r="BC2084" s="227"/>
      <c r="BD2084" s="227"/>
      <c r="BE2084" s="227"/>
      <c r="BF2084" s="227"/>
    </row>
    <row r="2085">
      <c r="A2085" s="235" t="s">
        <v>16188</v>
      </c>
      <c r="C2085" s="235" t="s">
        <v>16189</v>
      </c>
      <c r="D2085" s="235" t="s">
        <v>16190</v>
      </c>
      <c r="E2085" s="243">
        <v>6.54E13</v>
      </c>
      <c r="F2085" s="245"/>
      <c r="G2085" s="235" t="s">
        <v>16191</v>
      </c>
      <c r="H2085" s="235" t="s">
        <v>16192</v>
      </c>
      <c r="I2085" s="235" t="s">
        <v>16192</v>
      </c>
      <c r="J2085" s="235" t="s">
        <v>16193</v>
      </c>
      <c r="K2085" s="235" t="s">
        <v>16194</v>
      </c>
      <c r="N2085" s="235" t="s">
        <v>144</v>
      </c>
      <c r="O2085" s="235" t="s">
        <v>232</v>
      </c>
      <c r="P2085" s="238">
        <v>1.0</v>
      </c>
      <c r="Q2085" s="235" t="s">
        <v>627</v>
      </c>
      <c r="R2085" s="238">
        <v>665.71</v>
      </c>
      <c r="S2085" s="238">
        <v>32.62</v>
      </c>
      <c r="T2085" s="238">
        <v>0.0</v>
      </c>
      <c r="U2085" s="238">
        <v>0.0</v>
      </c>
      <c r="V2085" s="238">
        <v>0.0</v>
      </c>
      <c r="W2085" s="238">
        <v>0.0</v>
      </c>
      <c r="X2085" s="235" t="s">
        <v>628</v>
      </c>
      <c r="Z2085" s="244"/>
      <c r="AA2085" s="244"/>
      <c r="AB2085" s="244"/>
      <c r="AC2085" s="235" t="s">
        <v>5138</v>
      </c>
      <c r="AD2085" s="235" t="s">
        <v>833</v>
      </c>
      <c r="AE2085" s="238">
        <v>524002.0</v>
      </c>
      <c r="AF2085" s="235" t="s">
        <v>631</v>
      </c>
      <c r="AG2085" s="244"/>
      <c r="AH2085" s="244"/>
      <c r="AI2085" s="245"/>
      <c r="AJ2085" s="245"/>
      <c r="AK2085" s="245"/>
      <c r="AL2085" s="245"/>
      <c r="AM2085" s="244"/>
      <c r="AN2085" s="244"/>
      <c r="AO2085" s="238">
        <v>-13.31</v>
      </c>
      <c r="AP2085" s="238">
        <v>0.0</v>
      </c>
      <c r="AQ2085" s="235" t="s">
        <v>632</v>
      </c>
      <c r="AR2085" s="243">
        <v>3.71E11</v>
      </c>
      <c r="AS2085" s="235" t="s">
        <v>15064</v>
      </c>
      <c r="AT2085" s="235" t="s">
        <v>156</v>
      </c>
      <c r="AU2085" s="235" t="s">
        <v>634</v>
      </c>
      <c r="AV2085" s="246" t="s">
        <v>635</v>
      </c>
      <c r="AW2085" s="242"/>
      <c r="AX2085" s="242"/>
      <c r="AY2085" s="231"/>
      <c r="AZ2085" s="231"/>
      <c r="BA2085" s="227"/>
      <c r="BB2085" s="231"/>
      <c r="BC2085" s="227"/>
      <c r="BD2085" s="227"/>
      <c r="BE2085" s="227"/>
      <c r="BF2085" s="227"/>
    </row>
    <row r="2086">
      <c r="A2086" s="235" t="s">
        <v>16195</v>
      </c>
      <c r="C2086" s="235" t="s">
        <v>16196</v>
      </c>
      <c r="D2086" s="235" t="s">
        <v>16197</v>
      </c>
      <c r="E2086" s="243">
        <v>6.52E13</v>
      </c>
      <c r="F2086" s="245"/>
      <c r="G2086" s="235" t="s">
        <v>16198</v>
      </c>
      <c r="H2086" s="235" t="s">
        <v>16199</v>
      </c>
      <c r="I2086" s="235" t="s">
        <v>16199</v>
      </c>
      <c r="J2086" s="235" t="s">
        <v>16200</v>
      </c>
      <c r="K2086" s="235" t="s">
        <v>16201</v>
      </c>
      <c r="N2086" s="235" t="s">
        <v>138</v>
      </c>
      <c r="O2086" s="235" t="s">
        <v>675</v>
      </c>
      <c r="P2086" s="238">
        <v>1.0</v>
      </c>
      <c r="Q2086" s="235" t="s">
        <v>627</v>
      </c>
      <c r="R2086" s="238">
        <v>243.8</v>
      </c>
      <c r="S2086" s="238">
        <v>12.2</v>
      </c>
      <c r="T2086" s="238">
        <v>0.0</v>
      </c>
      <c r="U2086" s="238">
        <v>0.0</v>
      </c>
      <c r="V2086" s="238">
        <v>0.0</v>
      </c>
      <c r="W2086" s="238">
        <v>0.0</v>
      </c>
      <c r="X2086" s="235" t="s">
        <v>628</v>
      </c>
      <c r="Z2086" s="244"/>
      <c r="AA2086" s="244"/>
      <c r="AB2086" s="244"/>
      <c r="AC2086" s="235" t="s">
        <v>844</v>
      </c>
      <c r="AD2086" s="235" t="s">
        <v>845</v>
      </c>
      <c r="AE2086" s="238">
        <v>411046.0</v>
      </c>
      <c r="AF2086" s="235" t="s">
        <v>631</v>
      </c>
      <c r="AG2086" s="244"/>
      <c r="AH2086" s="244"/>
      <c r="AI2086" s="245"/>
      <c r="AJ2086" s="245"/>
      <c r="AK2086" s="245"/>
      <c r="AL2086" s="245"/>
      <c r="AM2086" s="244"/>
      <c r="AN2086" s="244"/>
      <c r="AO2086" s="238">
        <v>0.0</v>
      </c>
      <c r="AP2086" s="238">
        <v>0.0</v>
      </c>
      <c r="AQ2086" s="235" t="s">
        <v>632</v>
      </c>
      <c r="AR2086" s="243">
        <v>3.71E11</v>
      </c>
      <c r="AS2086" s="235" t="s">
        <v>15064</v>
      </c>
      <c r="AT2086" s="235" t="s">
        <v>546</v>
      </c>
      <c r="AU2086" s="235" t="s">
        <v>634</v>
      </c>
      <c r="AV2086" s="246" t="s">
        <v>635</v>
      </c>
      <c r="AW2086" s="242"/>
      <c r="AX2086" s="242"/>
      <c r="AY2086" s="231"/>
      <c r="AZ2086" s="231"/>
      <c r="BA2086" s="227"/>
      <c r="BB2086" s="231"/>
      <c r="BC2086" s="227"/>
      <c r="BD2086" s="227"/>
      <c r="BE2086" s="227"/>
      <c r="BF2086" s="227"/>
    </row>
    <row r="2087">
      <c r="A2087" s="235" t="s">
        <v>16202</v>
      </c>
      <c r="C2087" s="235" t="s">
        <v>16203</v>
      </c>
      <c r="D2087" s="235" t="s">
        <v>16204</v>
      </c>
      <c r="E2087" s="243">
        <v>6.53E13</v>
      </c>
      <c r="F2087" s="245"/>
      <c r="G2087" s="235" t="s">
        <v>16205</v>
      </c>
      <c r="H2087" s="235" t="s">
        <v>16206</v>
      </c>
      <c r="I2087" s="235" t="s">
        <v>16206</v>
      </c>
      <c r="J2087" s="235" t="s">
        <v>16207</v>
      </c>
      <c r="K2087" s="235" t="s">
        <v>16208</v>
      </c>
      <c r="N2087" s="235" t="s">
        <v>962</v>
      </c>
      <c r="O2087" s="235" t="s">
        <v>963</v>
      </c>
      <c r="P2087" s="238">
        <v>1.0</v>
      </c>
      <c r="Q2087" s="235" t="s">
        <v>627</v>
      </c>
      <c r="R2087" s="238">
        <v>270.48</v>
      </c>
      <c r="S2087" s="238">
        <v>13.25</v>
      </c>
      <c r="T2087" s="238">
        <v>0.0</v>
      </c>
      <c r="U2087" s="238">
        <v>0.0</v>
      </c>
      <c r="V2087" s="238">
        <v>0.0</v>
      </c>
      <c r="W2087" s="238">
        <v>0.0</v>
      </c>
      <c r="X2087" s="235" t="s">
        <v>628</v>
      </c>
      <c r="Z2087" s="244"/>
      <c r="AA2087" s="244"/>
      <c r="AB2087" s="244"/>
      <c r="AC2087" s="235" t="s">
        <v>844</v>
      </c>
      <c r="AD2087" s="235" t="s">
        <v>845</v>
      </c>
      <c r="AE2087" s="238">
        <v>411060.0</v>
      </c>
      <c r="AF2087" s="235" t="s">
        <v>631</v>
      </c>
      <c r="AG2087" s="244"/>
      <c r="AH2087" s="244"/>
      <c r="AI2087" s="245"/>
      <c r="AJ2087" s="245"/>
      <c r="AK2087" s="245"/>
      <c r="AL2087" s="245"/>
      <c r="AM2087" s="244"/>
      <c r="AN2087" s="244"/>
      <c r="AO2087" s="238">
        <v>-5.41</v>
      </c>
      <c r="AP2087" s="238">
        <v>0.0</v>
      </c>
      <c r="AQ2087" s="235" t="s">
        <v>632</v>
      </c>
      <c r="AR2087" s="243">
        <v>3.71E11</v>
      </c>
      <c r="AS2087" s="235" t="s">
        <v>10017</v>
      </c>
      <c r="AT2087" s="235" t="s">
        <v>11</v>
      </c>
      <c r="AU2087" s="235" t="s">
        <v>634</v>
      </c>
      <c r="AV2087" s="246" t="s">
        <v>635</v>
      </c>
      <c r="AW2087" s="242"/>
      <c r="AX2087" s="242"/>
      <c r="AY2087" s="231"/>
      <c r="AZ2087" s="231"/>
      <c r="BA2087" s="227"/>
      <c r="BB2087" s="231"/>
      <c r="BC2087" s="227"/>
      <c r="BD2087" s="227"/>
      <c r="BE2087" s="227"/>
      <c r="BF2087" s="227"/>
    </row>
    <row r="2088">
      <c r="A2088" s="235" t="s">
        <v>16209</v>
      </c>
      <c r="C2088" s="235" t="s">
        <v>16210</v>
      </c>
      <c r="D2088" s="235" t="s">
        <v>16211</v>
      </c>
      <c r="E2088" s="243">
        <v>6.54E13</v>
      </c>
      <c r="F2088" s="245"/>
      <c r="G2088" s="235" t="s">
        <v>16212</v>
      </c>
      <c r="H2088" s="235" t="s">
        <v>16213</v>
      </c>
      <c r="I2088" s="235" t="s">
        <v>16213</v>
      </c>
      <c r="J2088" s="235" t="s">
        <v>16214</v>
      </c>
      <c r="K2088" s="235" t="s">
        <v>16215</v>
      </c>
      <c r="N2088" s="235" t="s">
        <v>126</v>
      </c>
      <c r="O2088" s="235" t="s">
        <v>407</v>
      </c>
      <c r="P2088" s="238">
        <v>1.0</v>
      </c>
      <c r="Q2088" s="235" t="s">
        <v>627</v>
      </c>
      <c r="R2088" s="238">
        <v>237.14</v>
      </c>
      <c r="S2088" s="238">
        <v>11.86</v>
      </c>
      <c r="T2088" s="238">
        <v>0.0</v>
      </c>
      <c r="U2088" s="238">
        <v>0.0</v>
      </c>
      <c r="V2088" s="238">
        <v>0.0</v>
      </c>
      <c r="W2088" s="238">
        <v>0.0</v>
      </c>
      <c r="X2088" s="235" t="s">
        <v>628</v>
      </c>
      <c r="Z2088" s="244"/>
      <c r="AA2088" s="244"/>
      <c r="AB2088" s="244"/>
      <c r="AC2088" s="235" t="s">
        <v>678</v>
      </c>
      <c r="AD2088" s="235" t="s">
        <v>679</v>
      </c>
      <c r="AE2088" s="238">
        <v>562162.0</v>
      </c>
      <c r="AF2088" s="235" t="s">
        <v>631</v>
      </c>
      <c r="AG2088" s="244"/>
      <c r="AH2088" s="244"/>
      <c r="AI2088" s="245"/>
      <c r="AJ2088" s="245"/>
      <c r="AK2088" s="245"/>
      <c r="AL2088" s="245"/>
      <c r="AM2088" s="244"/>
      <c r="AN2088" s="244"/>
      <c r="AO2088" s="238">
        <v>0.0</v>
      </c>
      <c r="AP2088" s="238">
        <v>0.0</v>
      </c>
      <c r="AQ2088" s="235" t="s">
        <v>632</v>
      </c>
      <c r="AR2088" s="243">
        <v>3.71E11</v>
      </c>
      <c r="AS2088" s="235" t="s">
        <v>15064</v>
      </c>
      <c r="AT2088" s="235" t="s">
        <v>9</v>
      </c>
      <c r="AU2088" s="235" t="s">
        <v>634</v>
      </c>
      <c r="AV2088" s="246" t="s">
        <v>635</v>
      </c>
      <c r="AW2088" s="242"/>
      <c r="AX2088" s="242"/>
      <c r="AY2088" s="231"/>
      <c r="AZ2088" s="231"/>
      <c r="BA2088" s="227"/>
      <c r="BB2088" s="231"/>
      <c r="BC2088" s="227"/>
      <c r="BD2088" s="227"/>
      <c r="BE2088" s="227"/>
      <c r="BF2088" s="227"/>
    </row>
    <row r="2089">
      <c r="A2089" s="235" t="s">
        <v>16216</v>
      </c>
      <c r="C2089" s="235" t="s">
        <v>16217</v>
      </c>
      <c r="D2089" s="235" t="s">
        <v>16218</v>
      </c>
      <c r="E2089" s="243">
        <v>6.54E13</v>
      </c>
      <c r="F2089" s="245"/>
      <c r="G2089" s="235" t="s">
        <v>16219</v>
      </c>
      <c r="H2089" s="235" t="s">
        <v>16220</v>
      </c>
      <c r="I2089" s="235" t="s">
        <v>16220</v>
      </c>
      <c r="J2089" s="235" t="s">
        <v>16221</v>
      </c>
      <c r="K2089" s="235" t="s">
        <v>16222</v>
      </c>
      <c r="N2089" s="235" t="s">
        <v>145</v>
      </c>
      <c r="O2089" s="235" t="s">
        <v>370</v>
      </c>
      <c r="P2089" s="238">
        <v>1.0</v>
      </c>
      <c r="Q2089" s="235" t="s">
        <v>627</v>
      </c>
      <c r="R2089" s="238">
        <v>1522.86</v>
      </c>
      <c r="S2089" s="238">
        <v>76.14</v>
      </c>
      <c r="T2089" s="238">
        <v>0.0</v>
      </c>
      <c r="U2089" s="238">
        <v>0.0</v>
      </c>
      <c r="V2089" s="238">
        <v>0.0</v>
      </c>
      <c r="W2089" s="238">
        <v>0.0</v>
      </c>
      <c r="X2089" s="235" t="s">
        <v>628</v>
      </c>
      <c r="Z2089" s="244"/>
      <c r="AA2089" s="244"/>
      <c r="AB2089" s="244"/>
      <c r="AC2089" s="235" t="s">
        <v>3824</v>
      </c>
      <c r="AD2089" s="235" t="s">
        <v>645</v>
      </c>
      <c r="AE2089" s="238">
        <v>695001.0</v>
      </c>
      <c r="AF2089" s="235" t="s">
        <v>631</v>
      </c>
      <c r="AG2089" s="244"/>
      <c r="AH2089" s="244"/>
      <c r="AI2089" s="245"/>
      <c r="AJ2089" s="245"/>
      <c r="AK2089" s="245"/>
      <c r="AL2089" s="245"/>
      <c r="AM2089" s="244"/>
      <c r="AN2089" s="244"/>
      <c r="AO2089" s="238">
        <v>0.0</v>
      </c>
      <c r="AP2089" s="238">
        <v>0.0</v>
      </c>
      <c r="AQ2089" s="235" t="s">
        <v>632</v>
      </c>
      <c r="AR2089" s="243">
        <v>3.71E11</v>
      </c>
      <c r="AS2089" s="235" t="s">
        <v>13822</v>
      </c>
      <c r="AT2089" s="235" t="s">
        <v>155</v>
      </c>
      <c r="AU2089" s="235" t="s">
        <v>634</v>
      </c>
      <c r="AV2089" s="246" t="s">
        <v>635</v>
      </c>
      <c r="AW2089" s="242"/>
      <c r="AX2089" s="242"/>
      <c r="AY2089" s="231"/>
      <c r="AZ2089" s="231"/>
      <c r="BA2089" s="227"/>
      <c r="BB2089" s="231"/>
      <c r="BC2089" s="227"/>
      <c r="BD2089" s="227"/>
      <c r="BE2089" s="227"/>
      <c r="BF2089" s="227"/>
    </row>
    <row r="2090">
      <c r="A2090" s="235" t="s">
        <v>16223</v>
      </c>
      <c r="C2090" s="235" t="s">
        <v>16224</v>
      </c>
      <c r="D2090" s="235" t="s">
        <v>16225</v>
      </c>
      <c r="E2090" s="243">
        <v>6.54E13</v>
      </c>
      <c r="F2090" s="245"/>
      <c r="G2090" s="235" t="s">
        <v>16226</v>
      </c>
      <c r="H2090" s="235" t="s">
        <v>16227</v>
      </c>
      <c r="I2090" s="235" t="s">
        <v>16228</v>
      </c>
      <c r="J2090" s="235" t="s">
        <v>16229</v>
      </c>
      <c r="K2090" s="235" t="s">
        <v>12376</v>
      </c>
      <c r="N2090" s="235" t="s">
        <v>138</v>
      </c>
      <c r="O2090" s="235" t="s">
        <v>675</v>
      </c>
      <c r="P2090" s="238">
        <v>1.0</v>
      </c>
      <c r="Q2090" s="235" t="s">
        <v>627</v>
      </c>
      <c r="R2090" s="238">
        <v>246.67</v>
      </c>
      <c r="S2090" s="238">
        <v>12.08</v>
      </c>
      <c r="T2090" s="238">
        <v>0.0</v>
      </c>
      <c r="U2090" s="238">
        <v>0.0</v>
      </c>
      <c r="V2090" s="238">
        <v>0.0</v>
      </c>
      <c r="W2090" s="238">
        <v>0.0</v>
      </c>
      <c r="X2090" s="235" t="s">
        <v>628</v>
      </c>
      <c r="Z2090" s="244"/>
      <c r="AA2090" s="244"/>
      <c r="AB2090" s="244"/>
      <c r="AC2090" s="235" t="s">
        <v>8003</v>
      </c>
      <c r="AD2090" s="235" t="s">
        <v>630</v>
      </c>
      <c r="AE2090" s="238">
        <v>202165.0</v>
      </c>
      <c r="AF2090" s="235" t="s">
        <v>631</v>
      </c>
      <c r="AG2090" s="244"/>
      <c r="AH2090" s="244"/>
      <c r="AI2090" s="245"/>
      <c r="AJ2090" s="245"/>
      <c r="AK2090" s="245"/>
      <c r="AL2090" s="245"/>
      <c r="AM2090" s="244"/>
      <c r="AN2090" s="244"/>
      <c r="AO2090" s="238">
        <v>-4.93</v>
      </c>
      <c r="AP2090" s="238">
        <v>0.0</v>
      </c>
      <c r="AQ2090" s="235" t="s">
        <v>632</v>
      </c>
      <c r="AR2090" s="243">
        <v>3.71E11</v>
      </c>
      <c r="AS2090" s="235" t="s">
        <v>13822</v>
      </c>
      <c r="AT2090" s="235" t="s">
        <v>533</v>
      </c>
      <c r="AU2090" s="235" t="s">
        <v>634</v>
      </c>
      <c r="AV2090" s="246" t="s">
        <v>635</v>
      </c>
      <c r="AW2090" s="242"/>
      <c r="AX2090" s="242"/>
      <c r="AY2090" s="231"/>
      <c r="AZ2090" s="231"/>
      <c r="BA2090" s="227"/>
      <c r="BB2090" s="231"/>
      <c r="BC2090" s="227"/>
      <c r="BD2090" s="227"/>
      <c r="BE2090" s="227"/>
      <c r="BF2090" s="227"/>
    </row>
    <row r="2091">
      <c r="A2091" s="235" t="s">
        <v>16230</v>
      </c>
      <c r="C2091" s="235" t="s">
        <v>16231</v>
      </c>
      <c r="D2091" s="235" t="s">
        <v>16232</v>
      </c>
      <c r="E2091" s="243">
        <v>6.54E13</v>
      </c>
      <c r="F2091" s="245"/>
      <c r="G2091" s="235" t="s">
        <v>16233</v>
      </c>
      <c r="H2091" s="235" t="s">
        <v>16234</v>
      </c>
      <c r="I2091" s="235" t="s">
        <v>16234</v>
      </c>
      <c r="J2091" s="235" t="s">
        <v>16235</v>
      </c>
      <c r="K2091" s="235" t="s">
        <v>16236</v>
      </c>
      <c r="N2091" s="235" t="s">
        <v>541</v>
      </c>
      <c r="O2091" s="235" t="s">
        <v>664</v>
      </c>
      <c r="P2091" s="238">
        <v>1.0</v>
      </c>
      <c r="Q2091" s="235" t="s">
        <v>627</v>
      </c>
      <c r="R2091" s="238">
        <v>668.64</v>
      </c>
      <c r="S2091" s="238">
        <v>120.36</v>
      </c>
      <c r="T2091" s="238">
        <v>0.0</v>
      </c>
      <c r="U2091" s="238">
        <v>0.0</v>
      </c>
      <c r="V2091" s="238">
        <v>0.0</v>
      </c>
      <c r="W2091" s="238">
        <v>0.0</v>
      </c>
      <c r="X2091" s="235" t="s">
        <v>628</v>
      </c>
      <c r="Z2091" s="244"/>
      <c r="AA2091" s="244"/>
      <c r="AB2091" s="244"/>
      <c r="AC2091" s="235" t="s">
        <v>687</v>
      </c>
      <c r="AD2091" s="235" t="s">
        <v>666</v>
      </c>
      <c r="AE2091" s="238">
        <v>600056.0</v>
      </c>
      <c r="AF2091" s="235" t="s">
        <v>631</v>
      </c>
      <c r="AG2091" s="244"/>
      <c r="AH2091" s="244"/>
      <c r="AI2091" s="245"/>
      <c r="AJ2091" s="245"/>
      <c r="AK2091" s="245"/>
      <c r="AL2091" s="245"/>
      <c r="AM2091" s="244"/>
      <c r="AN2091" s="244"/>
      <c r="AO2091" s="238">
        <v>0.0</v>
      </c>
      <c r="AP2091" s="238">
        <v>0.0</v>
      </c>
      <c r="AQ2091" s="235" t="s">
        <v>632</v>
      </c>
      <c r="AR2091" s="243">
        <v>1.68E11</v>
      </c>
      <c r="AS2091" s="235" t="s">
        <v>15599</v>
      </c>
      <c r="AT2091" s="235" t="s">
        <v>156</v>
      </c>
      <c r="AU2091" s="235" t="s">
        <v>634</v>
      </c>
      <c r="AV2091" s="246" t="s">
        <v>635</v>
      </c>
      <c r="AW2091" s="242"/>
      <c r="AX2091" s="242"/>
      <c r="AY2091" s="231"/>
      <c r="AZ2091" s="231"/>
      <c r="BA2091" s="227"/>
      <c r="BB2091" s="231"/>
      <c r="BC2091" s="227"/>
      <c r="BD2091" s="227"/>
      <c r="BE2091" s="227"/>
      <c r="BF2091" s="227"/>
    </row>
    <row r="2092">
      <c r="A2092" s="235" t="s">
        <v>16237</v>
      </c>
      <c r="C2092" s="235" t="s">
        <v>16238</v>
      </c>
      <c r="D2092" s="235" t="s">
        <v>16239</v>
      </c>
      <c r="E2092" s="243">
        <v>6.54E13</v>
      </c>
      <c r="F2092" s="245"/>
      <c r="G2092" s="235" t="s">
        <v>16240</v>
      </c>
      <c r="H2092" s="235" t="s">
        <v>16241</v>
      </c>
      <c r="I2092" s="235" t="s">
        <v>16241</v>
      </c>
      <c r="J2092" s="235" t="s">
        <v>16242</v>
      </c>
      <c r="K2092" s="235" t="s">
        <v>16243</v>
      </c>
      <c r="N2092" s="235" t="s">
        <v>54</v>
      </c>
      <c r="O2092" s="235" t="s">
        <v>294</v>
      </c>
      <c r="P2092" s="238">
        <v>1.0</v>
      </c>
      <c r="Q2092" s="235" t="s">
        <v>627</v>
      </c>
      <c r="R2092" s="238">
        <v>246.66</v>
      </c>
      <c r="S2092" s="238">
        <v>12.34</v>
      </c>
      <c r="T2092" s="238">
        <v>38.1</v>
      </c>
      <c r="U2092" s="238">
        <v>1.9</v>
      </c>
      <c r="V2092" s="238">
        <v>0.0</v>
      </c>
      <c r="W2092" s="238">
        <v>0.0</v>
      </c>
      <c r="X2092" s="235" t="s">
        <v>628</v>
      </c>
      <c r="Z2092" s="244"/>
      <c r="AA2092" s="244"/>
      <c r="AB2092" s="244"/>
      <c r="AC2092" s="235" t="s">
        <v>1076</v>
      </c>
      <c r="AD2092" s="235" t="s">
        <v>1077</v>
      </c>
      <c r="AE2092" s="238">
        <v>360005.0</v>
      </c>
      <c r="AF2092" s="235" t="s">
        <v>631</v>
      </c>
      <c r="AG2092" s="244"/>
      <c r="AH2092" s="244"/>
      <c r="AI2092" s="245"/>
      <c r="AJ2092" s="245"/>
      <c r="AK2092" s="245"/>
      <c r="AL2092" s="245"/>
      <c r="AM2092" s="244"/>
      <c r="AN2092" s="244"/>
      <c r="AO2092" s="238">
        <v>0.0</v>
      </c>
      <c r="AP2092" s="238">
        <v>-38.1</v>
      </c>
      <c r="AQ2092" s="235" t="s">
        <v>632</v>
      </c>
      <c r="AR2092" s="243">
        <v>3.71E11</v>
      </c>
      <c r="AS2092" s="235" t="s">
        <v>13822</v>
      </c>
      <c r="AT2092" s="235" t="s">
        <v>5</v>
      </c>
      <c r="AU2092" s="235" t="s">
        <v>634</v>
      </c>
      <c r="AV2092" s="246" t="s">
        <v>635</v>
      </c>
      <c r="AW2092" s="242"/>
      <c r="AX2092" s="242"/>
      <c r="AY2092" s="231"/>
      <c r="AZ2092" s="231"/>
      <c r="BA2092" s="227"/>
      <c r="BB2092" s="231"/>
      <c r="BC2092" s="227"/>
      <c r="BD2092" s="227"/>
      <c r="BE2092" s="227"/>
      <c r="BF2092" s="227"/>
    </row>
    <row r="2093">
      <c r="A2093" s="235" t="s">
        <v>16244</v>
      </c>
      <c r="C2093" s="235" t="s">
        <v>16245</v>
      </c>
      <c r="D2093" s="235" t="s">
        <v>16246</v>
      </c>
      <c r="E2093" s="243">
        <v>6.54E13</v>
      </c>
      <c r="F2093" s="245"/>
      <c r="G2093" s="235" t="s">
        <v>16247</v>
      </c>
      <c r="H2093" s="235" t="s">
        <v>16248</v>
      </c>
      <c r="I2093" s="235" t="s">
        <v>16248</v>
      </c>
      <c r="J2093" s="235" t="s">
        <v>16249</v>
      </c>
      <c r="K2093" s="235" t="s">
        <v>16250</v>
      </c>
      <c r="N2093" s="235" t="s">
        <v>68</v>
      </c>
      <c r="O2093" s="235" t="s">
        <v>208</v>
      </c>
      <c r="P2093" s="238">
        <v>1.0</v>
      </c>
      <c r="Q2093" s="235" t="s">
        <v>627</v>
      </c>
      <c r="R2093" s="238">
        <v>246.67</v>
      </c>
      <c r="S2093" s="238">
        <v>12.33</v>
      </c>
      <c r="T2093" s="238">
        <v>0.0</v>
      </c>
      <c r="U2093" s="238">
        <v>0.0</v>
      </c>
      <c r="V2093" s="238">
        <v>0.0</v>
      </c>
      <c r="W2093" s="238">
        <v>0.0</v>
      </c>
      <c r="X2093" s="235" t="s">
        <v>628</v>
      </c>
      <c r="Z2093" s="244"/>
      <c r="AA2093" s="244"/>
      <c r="AB2093" s="244"/>
      <c r="AC2093" s="235" t="s">
        <v>678</v>
      </c>
      <c r="AD2093" s="235" t="s">
        <v>679</v>
      </c>
      <c r="AE2093" s="238">
        <v>560092.0</v>
      </c>
      <c r="AF2093" s="235" t="s">
        <v>631</v>
      </c>
      <c r="AG2093" s="244"/>
      <c r="AH2093" s="244"/>
      <c r="AI2093" s="245"/>
      <c r="AJ2093" s="245"/>
      <c r="AK2093" s="245"/>
      <c r="AL2093" s="245"/>
      <c r="AM2093" s="244"/>
      <c r="AN2093" s="244"/>
      <c r="AO2093" s="238">
        <v>0.0</v>
      </c>
      <c r="AP2093" s="238">
        <v>0.0</v>
      </c>
      <c r="AQ2093" s="235" t="s">
        <v>632</v>
      </c>
      <c r="AR2093" s="243">
        <v>1.68E11</v>
      </c>
      <c r="AS2093" s="235" t="s">
        <v>15064</v>
      </c>
      <c r="AT2093" s="235" t="s">
        <v>156</v>
      </c>
      <c r="AU2093" s="235" t="s">
        <v>634</v>
      </c>
      <c r="AV2093" s="246" t="s">
        <v>635</v>
      </c>
      <c r="AW2093" s="242"/>
      <c r="AX2093" s="242"/>
      <c r="AY2093" s="231"/>
      <c r="AZ2093" s="231"/>
      <c r="BA2093" s="227"/>
      <c r="BB2093" s="231"/>
      <c r="BC2093" s="227"/>
      <c r="BD2093" s="227"/>
      <c r="BE2093" s="227"/>
      <c r="BF2093" s="227"/>
    </row>
    <row r="2094">
      <c r="A2094" s="235" t="s">
        <v>16251</v>
      </c>
      <c r="C2094" s="235" t="s">
        <v>16252</v>
      </c>
      <c r="D2094" s="235" t="s">
        <v>16253</v>
      </c>
      <c r="E2094" s="243">
        <v>6.54E13</v>
      </c>
      <c r="F2094" s="245"/>
      <c r="G2094" s="235" t="s">
        <v>16254</v>
      </c>
      <c r="H2094" s="235" t="s">
        <v>16255</v>
      </c>
      <c r="I2094" s="235" t="s">
        <v>16256</v>
      </c>
      <c r="J2094" s="235" t="s">
        <v>16257</v>
      </c>
      <c r="K2094" s="235" t="s">
        <v>16258</v>
      </c>
      <c r="N2094" s="235" t="s">
        <v>58</v>
      </c>
      <c r="O2094" s="235" t="s">
        <v>349</v>
      </c>
      <c r="P2094" s="238">
        <v>1.0</v>
      </c>
      <c r="Q2094" s="235" t="s">
        <v>627</v>
      </c>
      <c r="R2094" s="238">
        <v>627.62</v>
      </c>
      <c r="S2094" s="238">
        <v>31.38</v>
      </c>
      <c r="T2094" s="238">
        <v>0.0</v>
      </c>
      <c r="U2094" s="238">
        <v>0.0</v>
      </c>
      <c r="V2094" s="238">
        <v>0.0</v>
      </c>
      <c r="W2094" s="238">
        <v>0.0</v>
      </c>
      <c r="X2094" s="235" t="s">
        <v>628</v>
      </c>
      <c r="Z2094" s="244"/>
      <c r="AA2094" s="244"/>
      <c r="AB2094" s="244"/>
      <c r="AC2094" s="235" t="s">
        <v>822</v>
      </c>
      <c r="AD2094" s="235" t="s">
        <v>630</v>
      </c>
      <c r="AE2094" s="238">
        <v>201309.0</v>
      </c>
      <c r="AF2094" s="235" t="s">
        <v>631</v>
      </c>
      <c r="AG2094" s="244"/>
      <c r="AH2094" s="244"/>
      <c r="AI2094" s="245"/>
      <c r="AJ2094" s="245"/>
      <c r="AK2094" s="245"/>
      <c r="AL2094" s="245"/>
      <c r="AM2094" s="244"/>
      <c r="AN2094" s="244"/>
      <c r="AO2094" s="238">
        <v>0.0</v>
      </c>
      <c r="AP2094" s="238">
        <v>0.0</v>
      </c>
      <c r="AQ2094" s="235" t="s">
        <v>632</v>
      </c>
      <c r="AR2094" s="243">
        <v>3.71E11</v>
      </c>
      <c r="AS2094" s="235" t="s">
        <v>12693</v>
      </c>
      <c r="AT2094" s="235" t="s">
        <v>17</v>
      </c>
      <c r="AU2094" s="235" t="s">
        <v>634</v>
      </c>
      <c r="AV2094" s="246" t="s">
        <v>635</v>
      </c>
      <c r="AW2094" s="242"/>
      <c r="AX2094" s="242"/>
      <c r="AY2094" s="231"/>
      <c r="AZ2094" s="231"/>
      <c r="BA2094" s="227"/>
      <c r="BB2094" s="231"/>
      <c r="BC2094" s="227"/>
      <c r="BD2094" s="227"/>
      <c r="BE2094" s="227"/>
      <c r="BF2094" s="227"/>
    </row>
    <row r="2095">
      <c r="A2095" s="235" t="s">
        <v>16259</v>
      </c>
      <c r="C2095" s="235" t="s">
        <v>16260</v>
      </c>
      <c r="D2095" s="235" t="s">
        <v>16261</v>
      </c>
      <c r="E2095" s="243">
        <v>6.54E13</v>
      </c>
      <c r="F2095" s="245"/>
      <c r="G2095" s="235" t="s">
        <v>16262</v>
      </c>
      <c r="H2095" s="235" t="s">
        <v>16263</v>
      </c>
      <c r="I2095" s="235" t="s">
        <v>16263</v>
      </c>
      <c r="J2095" s="235" t="s">
        <v>16264</v>
      </c>
      <c r="K2095" s="235" t="s">
        <v>16265</v>
      </c>
      <c r="N2095" s="235" t="s">
        <v>566</v>
      </c>
      <c r="O2095" s="235" t="s">
        <v>1834</v>
      </c>
      <c r="P2095" s="238">
        <v>1.0</v>
      </c>
      <c r="Q2095" s="235" t="s">
        <v>627</v>
      </c>
      <c r="R2095" s="238">
        <v>422.88</v>
      </c>
      <c r="S2095" s="238">
        <v>76.12</v>
      </c>
      <c r="T2095" s="238">
        <v>0.0</v>
      </c>
      <c r="U2095" s="238">
        <v>0.0</v>
      </c>
      <c r="V2095" s="238">
        <v>0.0</v>
      </c>
      <c r="W2095" s="238">
        <v>0.0</v>
      </c>
      <c r="X2095" s="235" t="s">
        <v>628</v>
      </c>
      <c r="Z2095" s="244"/>
      <c r="AA2095" s="244"/>
      <c r="AB2095" s="244"/>
      <c r="AC2095" s="235" t="s">
        <v>16266</v>
      </c>
      <c r="AD2095" s="235" t="s">
        <v>679</v>
      </c>
      <c r="AE2095" s="238">
        <v>562109.0</v>
      </c>
      <c r="AF2095" s="235" t="s">
        <v>631</v>
      </c>
      <c r="AG2095" s="244"/>
      <c r="AH2095" s="244"/>
      <c r="AI2095" s="245"/>
      <c r="AJ2095" s="245"/>
      <c r="AK2095" s="245"/>
      <c r="AL2095" s="245"/>
      <c r="AM2095" s="244"/>
      <c r="AN2095" s="244"/>
      <c r="AO2095" s="238">
        <v>0.0</v>
      </c>
      <c r="AP2095" s="238">
        <v>0.0</v>
      </c>
      <c r="AQ2095" s="235" t="s">
        <v>632</v>
      </c>
      <c r="AR2095" s="243">
        <v>3.71E11</v>
      </c>
      <c r="AS2095" s="235" t="s">
        <v>15064</v>
      </c>
      <c r="AT2095" s="235" t="s">
        <v>11</v>
      </c>
      <c r="AU2095" s="235" t="s">
        <v>634</v>
      </c>
      <c r="AV2095" s="246" t="s">
        <v>635</v>
      </c>
      <c r="AW2095" s="242"/>
      <c r="AX2095" s="242"/>
      <c r="AY2095" s="231"/>
      <c r="AZ2095" s="231"/>
      <c r="BA2095" s="227"/>
      <c r="BB2095" s="231"/>
      <c r="BC2095" s="227"/>
      <c r="BD2095" s="227"/>
      <c r="BE2095" s="227"/>
      <c r="BF2095" s="227"/>
    </row>
    <row r="2096">
      <c r="A2096" s="235" t="s">
        <v>16267</v>
      </c>
      <c r="C2096" s="235" t="s">
        <v>16268</v>
      </c>
      <c r="D2096" s="235" t="s">
        <v>16269</v>
      </c>
      <c r="E2096" s="243">
        <v>6.54E13</v>
      </c>
      <c r="F2096" s="245"/>
      <c r="G2096" s="235" t="s">
        <v>16270</v>
      </c>
      <c r="H2096" s="235" t="s">
        <v>16271</v>
      </c>
      <c r="I2096" s="235" t="s">
        <v>16272</v>
      </c>
      <c r="J2096" s="235" t="s">
        <v>16273</v>
      </c>
      <c r="K2096" s="235" t="s">
        <v>16274</v>
      </c>
      <c r="N2096" s="235" t="s">
        <v>144</v>
      </c>
      <c r="O2096" s="235" t="s">
        <v>232</v>
      </c>
      <c r="P2096" s="238">
        <v>1.0</v>
      </c>
      <c r="Q2096" s="235" t="s">
        <v>627</v>
      </c>
      <c r="R2096" s="238">
        <v>665.71</v>
      </c>
      <c r="S2096" s="238">
        <v>33.29</v>
      </c>
      <c r="T2096" s="238">
        <v>0.0</v>
      </c>
      <c r="U2096" s="238">
        <v>0.0</v>
      </c>
      <c r="V2096" s="238">
        <v>0.0</v>
      </c>
      <c r="W2096" s="238">
        <v>0.0</v>
      </c>
      <c r="X2096" s="235" t="s">
        <v>628</v>
      </c>
      <c r="Z2096" s="244"/>
      <c r="AA2096" s="244"/>
      <c r="AB2096" s="244"/>
      <c r="AC2096" s="235" t="s">
        <v>1475</v>
      </c>
      <c r="AD2096" s="235" t="s">
        <v>796</v>
      </c>
      <c r="AE2096" s="238">
        <v>110049.0</v>
      </c>
      <c r="AF2096" s="235" t="s">
        <v>631</v>
      </c>
      <c r="AG2096" s="244"/>
      <c r="AH2096" s="244"/>
      <c r="AI2096" s="245"/>
      <c r="AJ2096" s="245"/>
      <c r="AK2096" s="245"/>
      <c r="AL2096" s="245"/>
      <c r="AM2096" s="244"/>
      <c r="AN2096" s="244"/>
      <c r="AO2096" s="238">
        <v>0.0</v>
      </c>
      <c r="AP2096" s="238">
        <v>0.0</v>
      </c>
      <c r="AQ2096" s="235" t="s">
        <v>632</v>
      </c>
      <c r="AR2096" s="243">
        <v>1.68E11</v>
      </c>
      <c r="AS2096" s="235" t="s">
        <v>15599</v>
      </c>
      <c r="AT2096" s="235" t="s">
        <v>13</v>
      </c>
      <c r="AU2096" s="235" t="s">
        <v>634</v>
      </c>
      <c r="AV2096" s="246" t="s">
        <v>635</v>
      </c>
      <c r="AW2096" s="242"/>
      <c r="AX2096" s="242"/>
      <c r="AY2096" s="231"/>
      <c r="AZ2096" s="231"/>
      <c r="BA2096" s="227"/>
      <c r="BB2096" s="231"/>
      <c r="BC2096" s="227"/>
      <c r="BD2096" s="227"/>
      <c r="BE2096" s="227"/>
      <c r="BF2096" s="227"/>
    </row>
    <row r="2097">
      <c r="A2097" s="235" t="s">
        <v>16275</v>
      </c>
      <c r="C2097" s="235" t="s">
        <v>16276</v>
      </c>
      <c r="D2097" s="235" t="s">
        <v>16277</v>
      </c>
      <c r="E2097" s="243">
        <v>6.54E13</v>
      </c>
      <c r="F2097" s="245"/>
      <c r="G2097" s="235" t="s">
        <v>16278</v>
      </c>
      <c r="H2097" s="235" t="s">
        <v>16279</v>
      </c>
      <c r="I2097" s="235" t="s">
        <v>16279</v>
      </c>
      <c r="J2097" s="235" t="s">
        <v>16280</v>
      </c>
      <c r="K2097" s="235" t="s">
        <v>16281</v>
      </c>
      <c r="N2097" s="235" t="s">
        <v>82</v>
      </c>
      <c r="O2097" s="235" t="s">
        <v>889</v>
      </c>
      <c r="P2097" s="238">
        <v>1.0</v>
      </c>
      <c r="Q2097" s="235" t="s">
        <v>627</v>
      </c>
      <c r="R2097" s="238">
        <v>246.66</v>
      </c>
      <c r="S2097" s="238">
        <v>12.1</v>
      </c>
      <c r="T2097" s="238">
        <v>38.1</v>
      </c>
      <c r="U2097" s="238">
        <v>1.9</v>
      </c>
      <c r="V2097" s="238">
        <v>0.0</v>
      </c>
      <c r="W2097" s="238">
        <v>0.0</v>
      </c>
      <c r="X2097" s="235" t="s">
        <v>628</v>
      </c>
      <c r="Z2097" s="244"/>
      <c r="AA2097" s="244"/>
      <c r="AB2097" s="244"/>
      <c r="AC2097" s="235" t="s">
        <v>16282</v>
      </c>
      <c r="AD2097" s="235" t="s">
        <v>928</v>
      </c>
      <c r="AE2097" s="238">
        <v>124507.0</v>
      </c>
      <c r="AF2097" s="235" t="s">
        <v>631</v>
      </c>
      <c r="AG2097" s="244"/>
      <c r="AH2097" s="244"/>
      <c r="AI2097" s="245"/>
      <c r="AJ2097" s="245"/>
      <c r="AK2097" s="245"/>
      <c r="AL2097" s="245"/>
      <c r="AM2097" s="244"/>
      <c r="AN2097" s="244"/>
      <c r="AO2097" s="238">
        <v>-4.94</v>
      </c>
      <c r="AP2097" s="238">
        <v>-38.1</v>
      </c>
      <c r="AQ2097" s="235" t="s">
        <v>632</v>
      </c>
      <c r="AR2097" s="243">
        <v>3.71E11</v>
      </c>
      <c r="AS2097" s="235" t="s">
        <v>15064</v>
      </c>
      <c r="AT2097" s="235" t="s">
        <v>14</v>
      </c>
      <c r="AU2097" s="235" t="s">
        <v>634</v>
      </c>
      <c r="AV2097" s="246" t="s">
        <v>635</v>
      </c>
      <c r="AW2097" s="242"/>
      <c r="AX2097" s="242"/>
      <c r="AY2097" s="231"/>
      <c r="AZ2097" s="231"/>
      <c r="BA2097" s="227"/>
      <c r="BB2097" s="231"/>
      <c r="BC2097" s="227"/>
      <c r="BD2097" s="227"/>
      <c r="BE2097" s="227"/>
      <c r="BF2097" s="227"/>
    </row>
    <row r="2098">
      <c r="A2098" s="235" t="s">
        <v>16283</v>
      </c>
      <c r="C2098" s="235" t="s">
        <v>16284</v>
      </c>
      <c r="D2098" s="235" t="s">
        <v>16285</v>
      </c>
      <c r="E2098" s="243">
        <v>6.54E13</v>
      </c>
      <c r="F2098" s="245"/>
      <c r="G2098" s="235" t="s">
        <v>16286</v>
      </c>
      <c r="H2098" s="235" t="s">
        <v>16287</v>
      </c>
      <c r="I2098" s="235" t="s">
        <v>16287</v>
      </c>
      <c r="J2098" s="235" t="s">
        <v>16288</v>
      </c>
      <c r="K2098" s="235" t="s">
        <v>16289</v>
      </c>
      <c r="N2098" s="235" t="s">
        <v>43</v>
      </c>
      <c r="O2098" s="235" t="s">
        <v>276</v>
      </c>
      <c r="P2098" s="238">
        <v>1.0</v>
      </c>
      <c r="Q2098" s="235" t="s">
        <v>627</v>
      </c>
      <c r="R2098" s="238">
        <v>237.14</v>
      </c>
      <c r="S2098" s="238">
        <v>11.86</v>
      </c>
      <c r="T2098" s="238">
        <v>6.03</v>
      </c>
      <c r="U2098" s="238">
        <v>0.3</v>
      </c>
      <c r="V2098" s="238">
        <v>0.0</v>
      </c>
      <c r="W2098" s="238">
        <v>0.0</v>
      </c>
      <c r="X2098" s="235" t="s">
        <v>628</v>
      </c>
      <c r="Z2098" s="244"/>
      <c r="AA2098" s="244"/>
      <c r="AB2098" s="244"/>
      <c r="AC2098" s="235" t="s">
        <v>1095</v>
      </c>
      <c r="AD2098" s="235" t="s">
        <v>845</v>
      </c>
      <c r="AE2098" s="238">
        <v>410210.0</v>
      </c>
      <c r="AF2098" s="235" t="s">
        <v>631</v>
      </c>
      <c r="AG2098" s="244"/>
      <c r="AH2098" s="244"/>
      <c r="AI2098" s="245"/>
      <c r="AJ2098" s="245"/>
      <c r="AK2098" s="245"/>
      <c r="AL2098" s="245"/>
      <c r="AM2098" s="244"/>
      <c r="AN2098" s="244"/>
      <c r="AO2098" s="238">
        <v>0.0</v>
      </c>
      <c r="AP2098" s="238">
        <v>-6.03</v>
      </c>
      <c r="AQ2098" s="235" t="s">
        <v>632</v>
      </c>
      <c r="AR2098" s="243">
        <v>1.68E11</v>
      </c>
      <c r="AS2098" s="235" t="s">
        <v>15599</v>
      </c>
      <c r="AT2098" s="235" t="s">
        <v>17</v>
      </c>
      <c r="AU2098" s="235" t="s">
        <v>634</v>
      </c>
      <c r="AV2098" s="246" t="s">
        <v>635</v>
      </c>
      <c r="AW2098" s="242"/>
      <c r="AX2098" s="242"/>
      <c r="AY2098" s="231"/>
      <c r="AZ2098" s="231"/>
      <c r="BA2098" s="227"/>
      <c r="BB2098" s="231"/>
      <c r="BC2098" s="227"/>
      <c r="BD2098" s="227"/>
      <c r="BE2098" s="227"/>
      <c r="BF2098" s="227"/>
    </row>
    <row r="2099">
      <c r="A2099" s="235" t="s">
        <v>16290</v>
      </c>
      <c r="C2099" s="235" t="s">
        <v>16291</v>
      </c>
      <c r="D2099" s="235" t="s">
        <v>16292</v>
      </c>
      <c r="E2099" s="243">
        <v>6.54E13</v>
      </c>
      <c r="F2099" s="245"/>
      <c r="G2099" s="235" t="s">
        <v>16293</v>
      </c>
      <c r="H2099" s="235" t="s">
        <v>16294</v>
      </c>
      <c r="I2099" s="235" t="s">
        <v>16294</v>
      </c>
      <c r="J2099" s="235" t="s">
        <v>16295</v>
      </c>
      <c r="K2099" s="235" t="s">
        <v>16296</v>
      </c>
      <c r="N2099" s="235" t="s">
        <v>127</v>
      </c>
      <c r="O2099" s="235" t="s">
        <v>794</v>
      </c>
      <c r="P2099" s="238">
        <v>1.0</v>
      </c>
      <c r="Q2099" s="235" t="s">
        <v>627</v>
      </c>
      <c r="R2099" s="238">
        <v>246.67</v>
      </c>
      <c r="S2099" s="238">
        <v>12.33</v>
      </c>
      <c r="T2099" s="238">
        <v>0.0</v>
      </c>
      <c r="U2099" s="238">
        <v>0.0</v>
      </c>
      <c r="V2099" s="238">
        <v>0.0</v>
      </c>
      <c r="W2099" s="238">
        <v>0.0</v>
      </c>
      <c r="X2099" s="235" t="s">
        <v>628</v>
      </c>
      <c r="Z2099" s="244"/>
      <c r="AA2099" s="244"/>
      <c r="AB2099" s="244"/>
      <c r="AC2099" s="235" t="s">
        <v>795</v>
      </c>
      <c r="AD2099" s="235" t="s">
        <v>796</v>
      </c>
      <c r="AE2099" s="238">
        <v>110051.0</v>
      </c>
      <c r="AF2099" s="235" t="s">
        <v>631</v>
      </c>
      <c r="AG2099" s="244"/>
      <c r="AH2099" s="244"/>
      <c r="AI2099" s="245"/>
      <c r="AJ2099" s="245"/>
      <c r="AK2099" s="245"/>
      <c r="AL2099" s="245"/>
      <c r="AM2099" s="244"/>
      <c r="AN2099" s="244"/>
      <c r="AO2099" s="238">
        <v>0.0</v>
      </c>
      <c r="AP2099" s="238">
        <v>0.0</v>
      </c>
      <c r="AQ2099" s="235" t="s">
        <v>632</v>
      </c>
      <c r="AR2099" s="243">
        <v>1.68E11</v>
      </c>
      <c r="AS2099" s="235" t="s">
        <v>15599</v>
      </c>
      <c r="AT2099" s="235" t="s">
        <v>13</v>
      </c>
      <c r="AU2099" s="235" t="s">
        <v>634</v>
      </c>
      <c r="AV2099" s="246" t="s">
        <v>635</v>
      </c>
      <c r="AW2099" s="242"/>
      <c r="AX2099" s="242"/>
      <c r="AY2099" s="231"/>
      <c r="AZ2099" s="231"/>
      <c r="BA2099" s="227"/>
      <c r="BB2099" s="231"/>
      <c r="BC2099" s="227"/>
      <c r="BD2099" s="227"/>
      <c r="BE2099" s="227"/>
      <c r="BF2099" s="227"/>
    </row>
    <row r="2100">
      <c r="A2100" s="235" t="s">
        <v>16297</v>
      </c>
      <c r="C2100" s="235" t="s">
        <v>16298</v>
      </c>
      <c r="D2100" s="235" t="s">
        <v>16299</v>
      </c>
      <c r="E2100" s="243">
        <v>6.54E13</v>
      </c>
      <c r="F2100" s="245"/>
      <c r="G2100" s="235" t="s">
        <v>16300</v>
      </c>
      <c r="H2100" s="235" t="s">
        <v>16301</v>
      </c>
      <c r="I2100" s="235" t="s">
        <v>16301</v>
      </c>
      <c r="J2100" s="235" t="s">
        <v>16302</v>
      </c>
      <c r="K2100" s="235" t="s">
        <v>16303</v>
      </c>
      <c r="N2100" s="235" t="s">
        <v>51</v>
      </c>
      <c r="O2100" s="235" t="s">
        <v>273</v>
      </c>
      <c r="P2100" s="238">
        <v>1.0</v>
      </c>
      <c r="Q2100" s="235" t="s">
        <v>627</v>
      </c>
      <c r="R2100" s="238">
        <v>237.14</v>
      </c>
      <c r="S2100" s="238">
        <v>11.86</v>
      </c>
      <c r="T2100" s="238">
        <v>0.0</v>
      </c>
      <c r="U2100" s="238">
        <v>0.0</v>
      </c>
      <c r="V2100" s="238">
        <v>0.0</v>
      </c>
      <c r="W2100" s="238">
        <v>0.0</v>
      </c>
      <c r="X2100" s="235" t="s">
        <v>628</v>
      </c>
      <c r="Z2100" s="244"/>
      <c r="AA2100" s="244"/>
      <c r="AB2100" s="244"/>
      <c r="AC2100" s="235" t="s">
        <v>832</v>
      </c>
      <c r="AD2100" s="235" t="s">
        <v>833</v>
      </c>
      <c r="AE2100" s="238">
        <v>530012.0</v>
      </c>
      <c r="AF2100" s="235" t="s">
        <v>631</v>
      </c>
      <c r="AG2100" s="244"/>
      <c r="AH2100" s="244"/>
      <c r="AI2100" s="245"/>
      <c r="AJ2100" s="245"/>
      <c r="AK2100" s="245"/>
      <c r="AL2100" s="245"/>
      <c r="AM2100" s="244"/>
      <c r="AN2100" s="244"/>
      <c r="AO2100" s="238">
        <v>0.0</v>
      </c>
      <c r="AP2100" s="238">
        <v>0.0</v>
      </c>
      <c r="AQ2100" s="235" t="s">
        <v>632</v>
      </c>
      <c r="AR2100" s="243">
        <v>3.71E11</v>
      </c>
      <c r="AS2100" s="235" t="s">
        <v>11171</v>
      </c>
      <c r="AT2100" s="235" t="s">
        <v>16</v>
      </c>
      <c r="AU2100" s="235" t="s">
        <v>634</v>
      </c>
      <c r="AV2100" s="246" t="s">
        <v>635</v>
      </c>
      <c r="AW2100" s="242"/>
      <c r="AX2100" s="242"/>
      <c r="AY2100" s="231"/>
      <c r="AZ2100" s="231"/>
      <c r="BA2100" s="227"/>
      <c r="BB2100" s="231"/>
      <c r="BC2100" s="227"/>
      <c r="BD2100" s="227"/>
      <c r="BE2100" s="227"/>
      <c r="BF2100" s="227"/>
    </row>
    <row r="2101">
      <c r="A2101" s="235" t="s">
        <v>16304</v>
      </c>
      <c r="C2101" s="235" t="s">
        <v>16305</v>
      </c>
      <c r="D2101" s="235" t="s">
        <v>16306</v>
      </c>
      <c r="E2101" s="243">
        <v>6.54E13</v>
      </c>
      <c r="F2101" s="245"/>
      <c r="G2101" s="235" t="s">
        <v>16307</v>
      </c>
      <c r="H2101" s="235" t="s">
        <v>16308</v>
      </c>
      <c r="I2101" s="235" t="s">
        <v>16309</v>
      </c>
      <c r="J2101" s="235" t="s">
        <v>16310</v>
      </c>
      <c r="K2101" s="235" t="s">
        <v>16311</v>
      </c>
      <c r="N2101" s="235" t="s">
        <v>962</v>
      </c>
      <c r="O2101" s="235" t="s">
        <v>963</v>
      </c>
      <c r="P2101" s="238">
        <v>1.0</v>
      </c>
      <c r="Q2101" s="235" t="s">
        <v>627</v>
      </c>
      <c r="R2101" s="238">
        <v>246.67</v>
      </c>
      <c r="S2101" s="238">
        <v>12.08</v>
      </c>
      <c r="T2101" s="238">
        <v>0.0</v>
      </c>
      <c r="U2101" s="238">
        <v>0.0</v>
      </c>
      <c r="V2101" s="238">
        <v>0.0</v>
      </c>
      <c r="W2101" s="238">
        <v>0.0</v>
      </c>
      <c r="X2101" s="235" t="s">
        <v>628</v>
      </c>
      <c r="Z2101" s="244"/>
      <c r="AA2101" s="244"/>
      <c r="AB2101" s="244"/>
      <c r="AC2101" s="235" t="s">
        <v>16312</v>
      </c>
      <c r="AD2101" s="235" t="s">
        <v>1086</v>
      </c>
      <c r="AE2101" s="238">
        <v>142001.0</v>
      </c>
      <c r="AF2101" s="235" t="s">
        <v>631</v>
      </c>
      <c r="AG2101" s="244"/>
      <c r="AH2101" s="244"/>
      <c r="AI2101" s="245"/>
      <c r="AJ2101" s="245"/>
      <c r="AK2101" s="245"/>
      <c r="AL2101" s="245"/>
      <c r="AM2101" s="244"/>
      <c r="AN2101" s="244"/>
      <c r="AO2101" s="238">
        <v>-4.93</v>
      </c>
      <c r="AP2101" s="238">
        <v>0.0</v>
      </c>
      <c r="AQ2101" s="235" t="s">
        <v>632</v>
      </c>
      <c r="AR2101" s="243">
        <v>3.71E11</v>
      </c>
      <c r="AS2101" s="235" t="s">
        <v>13822</v>
      </c>
      <c r="AT2101" s="235" t="s">
        <v>533</v>
      </c>
      <c r="AU2101" s="235" t="s">
        <v>634</v>
      </c>
      <c r="AV2101" s="246" t="s">
        <v>635</v>
      </c>
      <c r="AW2101" s="242"/>
      <c r="AX2101" s="242"/>
      <c r="AY2101" s="231"/>
      <c r="AZ2101" s="231"/>
      <c r="BA2101" s="227"/>
      <c r="BB2101" s="231"/>
      <c r="BC2101" s="227"/>
      <c r="BD2101" s="227"/>
      <c r="BE2101" s="227"/>
      <c r="BF2101" s="227"/>
    </row>
    <row r="2102">
      <c r="A2102" s="235" t="s">
        <v>16313</v>
      </c>
      <c r="C2102" s="235" t="s">
        <v>16314</v>
      </c>
      <c r="D2102" s="235" t="s">
        <v>16315</v>
      </c>
      <c r="E2102" s="243">
        <v>6.54E13</v>
      </c>
      <c r="F2102" s="245"/>
      <c r="G2102" s="235" t="s">
        <v>16316</v>
      </c>
      <c r="H2102" s="235" t="s">
        <v>16317</v>
      </c>
      <c r="I2102" s="235" t="s">
        <v>16317</v>
      </c>
      <c r="J2102" s="235" t="s">
        <v>16318</v>
      </c>
      <c r="K2102" s="235" t="s">
        <v>16319</v>
      </c>
      <c r="N2102" s="235" t="s">
        <v>154</v>
      </c>
      <c r="O2102" s="235" t="s">
        <v>766</v>
      </c>
      <c r="P2102" s="238">
        <v>1.0</v>
      </c>
      <c r="Q2102" s="235" t="s">
        <v>627</v>
      </c>
      <c r="R2102" s="238">
        <v>465.72</v>
      </c>
      <c r="S2102" s="238">
        <v>23.28</v>
      </c>
      <c r="T2102" s="238">
        <v>0.0</v>
      </c>
      <c r="U2102" s="238">
        <v>0.0</v>
      </c>
      <c r="V2102" s="238">
        <v>0.0</v>
      </c>
      <c r="W2102" s="238">
        <v>0.0</v>
      </c>
      <c r="X2102" s="235" t="s">
        <v>628</v>
      </c>
      <c r="Z2102" s="244"/>
      <c r="AA2102" s="244"/>
      <c r="AB2102" s="244"/>
      <c r="AC2102" s="235" t="s">
        <v>16320</v>
      </c>
      <c r="AD2102" s="235" t="s">
        <v>666</v>
      </c>
      <c r="AE2102" s="238">
        <v>625531.0</v>
      </c>
      <c r="AF2102" s="235" t="s">
        <v>631</v>
      </c>
      <c r="AG2102" s="244"/>
      <c r="AH2102" s="244"/>
      <c r="AI2102" s="245"/>
      <c r="AJ2102" s="245"/>
      <c r="AK2102" s="245"/>
      <c r="AL2102" s="245"/>
      <c r="AM2102" s="244"/>
      <c r="AN2102" s="244"/>
      <c r="AO2102" s="238">
        <v>0.0</v>
      </c>
      <c r="AP2102" s="238">
        <v>0.0</v>
      </c>
      <c r="AQ2102" s="235" t="s">
        <v>632</v>
      </c>
      <c r="AR2102" s="243">
        <v>3.71E11</v>
      </c>
      <c r="AS2102" s="235" t="s">
        <v>15064</v>
      </c>
      <c r="AT2102" s="235" t="s">
        <v>155</v>
      </c>
      <c r="AU2102" s="235" t="s">
        <v>634</v>
      </c>
      <c r="AV2102" s="246" t="s">
        <v>635</v>
      </c>
      <c r="AW2102" s="242"/>
      <c r="AX2102" s="242"/>
      <c r="AY2102" s="231"/>
      <c r="AZ2102" s="231"/>
      <c r="BA2102" s="227"/>
      <c r="BB2102" s="231"/>
      <c r="BC2102" s="227"/>
      <c r="BD2102" s="227"/>
      <c r="BE2102" s="227"/>
      <c r="BF2102" s="227"/>
    </row>
    <row r="2103">
      <c r="A2103" s="235" t="s">
        <v>16321</v>
      </c>
      <c r="C2103" s="235" t="s">
        <v>16322</v>
      </c>
      <c r="D2103" s="235" t="s">
        <v>16323</v>
      </c>
      <c r="E2103" s="243">
        <v>6.53E13</v>
      </c>
      <c r="F2103" s="245"/>
      <c r="G2103" s="235" t="s">
        <v>16324</v>
      </c>
      <c r="H2103" s="235" t="s">
        <v>16325</v>
      </c>
      <c r="I2103" s="235" t="s">
        <v>16326</v>
      </c>
      <c r="J2103" s="235" t="s">
        <v>16327</v>
      </c>
      <c r="K2103" s="235" t="s">
        <v>16328</v>
      </c>
      <c r="N2103" s="235" t="s">
        <v>8</v>
      </c>
      <c r="O2103" s="235" t="s">
        <v>16329</v>
      </c>
      <c r="P2103" s="238">
        <v>1.0</v>
      </c>
      <c r="Q2103" s="235" t="s">
        <v>627</v>
      </c>
      <c r="R2103" s="238">
        <v>284.76</v>
      </c>
      <c r="S2103" s="238">
        <v>13.96</v>
      </c>
      <c r="T2103" s="238">
        <v>0.0</v>
      </c>
      <c r="U2103" s="238">
        <v>0.0</v>
      </c>
      <c r="V2103" s="238">
        <v>0.0</v>
      </c>
      <c r="W2103" s="238">
        <v>0.0</v>
      </c>
      <c r="X2103" s="235" t="s">
        <v>628</v>
      </c>
      <c r="Z2103" s="244"/>
      <c r="AA2103" s="244"/>
      <c r="AB2103" s="244"/>
      <c r="AC2103" s="235" t="s">
        <v>16330</v>
      </c>
      <c r="AD2103" s="235" t="s">
        <v>845</v>
      </c>
      <c r="AE2103" s="238">
        <v>416416.0</v>
      </c>
      <c r="AF2103" s="235" t="s">
        <v>631</v>
      </c>
      <c r="AG2103" s="244"/>
      <c r="AH2103" s="244"/>
      <c r="AI2103" s="245"/>
      <c r="AJ2103" s="245"/>
      <c r="AK2103" s="245"/>
      <c r="AL2103" s="245"/>
      <c r="AM2103" s="244"/>
      <c r="AN2103" s="244"/>
      <c r="AO2103" s="238">
        <v>-5.7</v>
      </c>
      <c r="AP2103" s="238">
        <v>0.0</v>
      </c>
      <c r="AQ2103" s="235" t="s">
        <v>632</v>
      </c>
      <c r="AR2103" s="243">
        <v>3.71E11</v>
      </c>
      <c r="AS2103" s="235" t="s">
        <v>8807</v>
      </c>
      <c r="AT2103" s="235" t="s">
        <v>16</v>
      </c>
      <c r="AU2103" s="235" t="s">
        <v>634</v>
      </c>
      <c r="AV2103" s="246" t="s">
        <v>635</v>
      </c>
      <c r="AW2103" s="242"/>
      <c r="AX2103" s="242"/>
      <c r="AY2103" s="231"/>
      <c r="AZ2103" s="231"/>
      <c r="BA2103" s="227"/>
      <c r="BB2103" s="231"/>
      <c r="BC2103" s="227"/>
      <c r="BD2103" s="227"/>
      <c r="BE2103" s="227"/>
      <c r="BF2103" s="227"/>
    </row>
    <row r="2104">
      <c r="A2104" s="235" t="s">
        <v>16331</v>
      </c>
      <c r="C2104" s="235" t="s">
        <v>16332</v>
      </c>
      <c r="D2104" s="235" t="s">
        <v>16333</v>
      </c>
      <c r="E2104" s="243">
        <v>6.54E13</v>
      </c>
      <c r="F2104" s="245"/>
      <c r="G2104" s="235" t="s">
        <v>16334</v>
      </c>
      <c r="H2104" s="235" t="s">
        <v>16335</v>
      </c>
      <c r="I2104" s="235" t="s">
        <v>16335</v>
      </c>
      <c r="J2104" s="235" t="s">
        <v>16336</v>
      </c>
      <c r="K2104" s="235" t="s">
        <v>16337</v>
      </c>
      <c r="N2104" s="235" t="s">
        <v>138</v>
      </c>
      <c r="O2104" s="235" t="s">
        <v>675</v>
      </c>
      <c r="P2104" s="238">
        <v>1.0</v>
      </c>
      <c r="Q2104" s="235" t="s">
        <v>627</v>
      </c>
      <c r="R2104" s="238">
        <v>246.66</v>
      </c>
      <c r="S2104" s="238">
        <v>12.34</v>
      </c>
      <c r="T2104" s="238">
        <v>0.0</v>
      </c>
      <c r="U2104" s="238">
        <v>0.0</v>
      </c>
      <c r="V2104" s="238">
        <v>0.0</v>
      </c>
      <c r="W2104" s="238">
        <v>0.0</v>
      </c>
      <c r="X2104" s="235" t="s">
        <v>628</v>
      </c>
      <c r="Z2104" s="244"/>
      <c r="AA2104" s="244"/>
      <c r="AB2104" s="244"/>
      <c r="AC2104" s="235" t="s">
        <v>1792</v>
      </c>
      <c r="AD2104" s="235" t="s">
        <v>1077</v>
      </c>
      <c r="AE2104" s="238">
        <v>390001.0</v>
      </c>
      <c r="AF2104" s="235" t="s">
        <v>631</v>
      </c>
      <c r="AG2104" s="244"/>
      <c r="AH2104" s="244"/>
      <c r="AI2104" s="245"/>
      <c r="AJ2104" s="245"/>
      <c r="AK2104" s="245"/>
      <c r="AL2104" s="245"/>
      <c r="AM2104" s="244"/>
      <c r="AN2104" s="244"/>
      <c r="AO2104" s="238">
        <v>0.0</v>
      </c>
      <c r="AP2104" s="238">
        <v>0.0</v>
      </c>
      <c r="AQ2104" s="235" t="s">
        <v>632</v>
      </c>
      <c r="AR2104" s="243">
        <v>1.68E11</v>
      </c>
      <c r="AS2104" s="235" t="s">
        <v>15064</v>
      </c>
      <c r="AT2104" s="235" t="s">
        <v>5</v>
      </c>
      <c r="AU2104" s="235" t="s">
        <v>634</v>
      </c>
      <c r="AV2104" s="246" t="s">
        <v>635</v>
      </c>
      <c r="AW2104" s="242"/>
      <c r="AX2104" s="242"/>
      <c r="AY2104" s="231"/>
      <c r="AZ2104" s="231"/>
      <c r="BA2104" s="227"/>
      <c r="BB2104" s="231"/>
      <c r="BC2104" s="227"/>
      <c r="BD2104" s="227"/>
      <c r="BE2104" s="227"/>
      <c r="BF2104" s="227"/>
    </row>
    <row r="2105">
      <c r="A2105" s="235" t="s">
        <v>16338</v>
      </c>
      <c r="C2105" s="235" t="s">
        <v>16339</v>
      </c>
      <c r="D2105" s="235" t="s">
        <v>16340</v>
      </c>
      <c r="E2105" s="243">
        <v>6.53E13</v>
      </c>
      <c r="F2105" s="245"/>
      <c r="G2105" s="235" t="s">
        <v>16341</v>
      </c>
      <c r="H2105" s="235" t="s">
        <v>16342</v>
      </c>
      <c r="I2105" s="235" t="s">
        <v>16342</v>
      </c>
      <c r="J2105" s="235" t="s">
        <v>16343</v>
      </c>
      <c r="K2105" s="235" t="s">
        <v>16344</v>
      </c>
      <c r="N2105" s="235" t="s">
        <v>85</v>
      </c>
      <c r="O2105" s="235" t="s">
        <v>872</v>
      </c>
      <c r="P2105" s="238">
        <v>1.0</v>
      </c>
      <c r="Q2105" s="235" t="s">
        <v>627</v>
      </c>
      <c r="R2105" s="238">
        <v>270.48</v>
      </c>
      <c r="S2105" s="238">
        <v>13.52</v>
      </c>
      <c r="T2105" s="238">
        <v>38.1</v>
      </c>
      <c r="U2105" s="238">
        <v>1.9</v>
      </c>
      <c r="V2105" s="238">
        <v>0.0</v>
      </c>
      <c r="W2105" s="238">
        <v>0.0</v>
      </c>
      <c r="X2105" s="235" t="s">
        <v>628</v>
      </c>
      <c r="Z2105" s="244"/>
      <c r="AA2105" s="244"/>
      <c r="AB2105" s="244"/>
      <c r="AC2105" s="235" t="s">
        <v>16345</v>
      </c>
      <c r="AD2105" s="235" t="s">
        <v>679</v>
      </c>
      <c r="AE2105" s="238">
        <v>581108.0</v>
      </c>
      <c r="AF2105" s="235" t="s">
        <v>631</v>
      </c>
      <c r="AG2105" s="244"/>
      <c r="AH2105" s="244"/>
      <c r="AI2105" s="245"/>
      <c r="AJ2105" s="245"/>
      <c r="AK2105" s="245"/>
      <c r="AL2105" s="245"/>
      <c r="AM2105" s="244"/>
      <c r="AN2105" s="244"/>
      <c r="AO2105" s="238">
        <v>0.0</v>
      </c>
      <c r="AP2105" s="238">
        <v>-38.1</v>
      </c>
      <c r="AQ2105" s="235" t="s">
        <v>1328</v>
      </c>
      <c r="AR2105" s="243">
        <v>1.34E13</v>
      </c>
      <c r="AS2105" s="235" t="s">
        <v>8807</v>
      </c>
      <c r="AT2105" s="235" t="s">
        <v>155</v>
      </c>
      <c r="AU2105" s="235" t="s">
        <v>634</v>
      </c>
      <c r="AV2105" s="246" t="s">
        <v>635</v>
      </c>
      <c r="AW2105" s="242"/>
      <c r="AX2105" s="242"/>
      <c r="AY2105" s="231"/>
      <c r="AZ2105" s="231"/>
      <c r="BA2105" s="227"/>
      <c r="BB2105" s="231"/>
      <c r="BC2105" s="227"/>
      <c r="BD2105" s="227"/>
      <c r="BE2105" s="227"/>
      <c r="BF2105" s="227"/>
    </row>
    <row r="2106">
      <c r="A2106" s="235" t="s">
        <v>16346</v>
      </c>
      <c r="C2106" s="235" t="s">
        <v>16347</v>
      </c>
      <c r="D2106" s="235" t="s">
        <v>16348</v>
      </c>
      <c r="E2106" s="243">
        <v>6.54E13</v>
      </c>
      <c r="F2106" s="245"/>
      <c r="G2106" s="235" t="s">
        <v>16349</v>
      </c>
      <c r="H2106" s="235" t="s">
        <v>16350</v>
      </c>
      <c r="I2106" s="235" t="s">
        <v>16350</v>
      </c>
      <c r="J2106" s="235" t="s">
        <v>16351</v>
      </c>
      <c r="K2106" s="235" t="s">
        <v>16352</v>
      </c>
      <c r="N2106" s="235" t="s">
        <v>98</v>
      </c>
      <c r="O2106" s="235" t="s">
        <v>357</v>
      </c>
      <c r="P2106" s="238">
        <v>1.0</v>
      </c>
      <c r="Q2106" s="235" t="s">
        <v>627</v>
      </c>
      <c r="R2106" s="238">
        <v>246.67</v>
      </c>
      <c r="S2106" s="238">
        <v>12.33</v>
      </c>
      <c r="T2106" s="238">
        <v>0.0</v>
      </c>
      <c r="U2106" s="238">
        <v>0.0</v>
      </c>
      <c r="V2106" s="238">
        <v>0.0</v>
      </c>
      <c r="W2106" s="238">
        <v>0.0</v>
      </c>
      <c r="X2106" s="235" t="s">
        <v>628</v>
      </c>
      <c r="Z2106" s="244"/>
      <c r="AA2106" s="244"/>
      <c r="AB2106" s="244"/>
      <c r="AC2106" s="235" t="s">
        <v>697</v>
      </c>
      <c r="AD2106" s="235" t="s">
        <v>698</v>
      </c>
      <c r="AE2106" s="238">
        <v>500032.0</v>
      </c>
      <c r="AF2106" s="235" t="s">
        <v>631</v>
      </c>
      <c r="AG2106" s="244"/>
      <c r="AH2106" s="244"/>
      <c r="AI2106" s="245"/>
      <c r="AJ2106" s="245"/>
      <c r="AK2106" s="245"/>
      <c r="AL2106" s="245"/>
      <c r="AM2106" s="244"/>
      <c r="AN2106" s="244"/>
      <c r="AO2106" s="238">
        <v>0.0</v>
      </c>
      <c r="AP2106" s="238">
        <v>0.0</v>
      </c>
      <c r="AQ2106" s="235" t="s">
        <v>632</v>
      </c>
      <c r="AR2106" s="243">
        <v>2.02E11</v>
      </c>
      <c r="AS2106" s="235" t="s">
        <v>15064</v>
      </c>
      <c r="AT2106" s="235" t="s">
        <v>9</v>
      </c>
      <c r="AU2106" s="235" t="s">
        <v>634</v>
      </c>
      <c r="AV2106" s="246" t="s">
        <v>635</v>
      </c>
      <c r="AW2106" s="242"/>
      <c r="AX2106" s="242"/>
      <c r="AY2106" s="231"/>
      <c r="AZ2106" s="231"/>
      <c r="BA2106" s="227"/>
      <c r="BB2106" s="231"/>
      <c r="BC2106" s="227"/>
      <c r="BD2106" s="227"/>
      <c r="BE2106" s="227"/>
      <c r="BF2106" s="227"/>
    </row>
    <row r="2107">
      <c r="A2107" s="235" t="s">
        <v>16353</v>
      </c>
      <c r="C2107" s="235" t="s">
        <v>16354</v>
      </c>
      <c r="D2107" s="235" t="s">
        <v>16355</v>
      </c>
      <c r="E2107" s="243">
        <v>6.54E13</v>
      </c>
      <c r="F2107" s="245"/>
      <c r="G2107" s="235" t="s">
        <v>16356</v>
      </c>
      <c r="H2107" s="235" t="s">
        <v>16357</v>
      </c>
      <c r="I2107" s="235" t="s">
        <v>16357</v>
      </c>
      <c r="J2107" s="235" t="s">
        <v>16358</v>
      </c>
      <c r="K2107" s="235" t="s">
        <v>16359</v>
      </c>
      <c r="N2107" s="235" t="s">
        <v>145</v>
      </c>
      <c r="O2107" s="235" t="s">
        <v>370</v>
      </c>
      <c r="P2107" s="238">
        <v>1.0</v>
      </c>
      <c r="Q2107" s="235" t="s">
        <v>627</v>
      </c>
      <c r="R2107" s="238">
        <v>1522.86</v>
      </c>
      <c r="S2107" s="238">
        <v>76.14</v>
      </c>
      <c r="T2107" s="238">
        <v>0.0</v>
      </c>
      <c r="U2107" s="238">
        <v>0.0</v>
      </c>
      <c r="V2107" s="238">
        <v>0.0</v>
      </c>
      <c r="W2107" s="238">
        <v>0.0</v>
      </c>
      <c r="X2107" s="235" t="s">
        <v>628</v>
      </c>
      <c r="Z2107" s="244"/>
      <c r="AA2107" s="244"/>
      <c r="AB2107" s="244"/>
      <c r="AC2107" s="235" t="s">
        <v>1085</v>
      </c>
      <c r="AD2107" s="235" t="s">
        <v>1086</v>
      </c>
      <c r="AE2107" s="238">
        <v>141012.0</v>
      </c>
      <c r="AF2107" s="235" t="s">
        <v>631</v>
      </c>
      <c r="AG2107" s="244"/>
      <c r="AH2107" s="244"/>
      <c r="AI2107" s="245"/>
      <c r="AJ2107" s="245"/>
      <c r="AK2107" s="245"/>
      <c r="AL2107" s="245"/>
      <c r="AM2107" s="244"/>
      <c r="AN2107" s="244"/>
      <c r="AO2107" s="238">
        <v>0.0</v>
      </c>
      <c r="AP2107" s="238">
        <v>0.0</v>
      </c>
      <c r="AQ2107" s="235" t="s">
        <v>632</v>
      </c>
      <c r="AR2107" s="243">
        <v>1.68E11</v>
      </c>
      <c r="AS2107" s="235" t="s">
        <v>15064</v>
      </c>
      <c r="AT2107" s="235" t="s">
        <v>533</v>
      </c>
      <c r="AU2107" s="235" t="s">
        <v>634</v>
      </c>
      <c r="AV2107" s="246" t="s">
        <v>635</v>
      </c>
      <c r="AW2107" s="242"/>
      <c r="AX2107" s="242"/>
      <c r="AY2107" s="231"/>
      <c r="AZ2107" s="231"/>
      <c r="BA2107" s="227"/>
      <c r="BB2107" s="231"/>
      <c r="BC2107" s="227"/>
      <c r="BD2107" s="227"/>
      <c r="BE2107" s="227"/>
      <c r="BF2107" s="227"/>
    </row>
    <row r="2108">
      <c r="A2108" s="235" t="s">
        <v>16360</v>
      </c>
      <c r="C2108" s="235" t="s">
        <v>16361</v>
      </c>
      <c r="D2108" s="235" t="s">
        <v>16362</v>
      </c>
      <c r="E2108" s="243">
        <v>6.54E13</v>
      </c>
      <c r="F2108" s="245"/>
      <c r="G2108" s="235" t="s">
        <v>16363</v>
      </c>
      <c r="H2108" s="235" t="s">
        <v>16364</v>
      </c>
      <c r="I2108" s="235" t="s">
        <v>16364</v>
      </c>
      <c r="J2108" s="235" t="s">
        <v>16365</v>
      </c>
      <c r="K2108" s="235" t="s">
        <v>16366</v>
      </c>
      <c r="N2108" s="235" t="s">
        <v>71</v>
      </c>
      <c r="O2108" s="235" t="s">
        <v>240</v>
      </c>
      <c r="P2108" s="238">
        <v>1.0</v>
      </c>
      <c r="Q2108" s="235" t="s">
        <v>627</v>
      </c>
      <c r="R2108" s="238">
        <v>246.66</v>
      </c>
      <c r="S2108" s="238">
        <v>12.34</v>
      </c>
      <c r="T2108" s="238">
        <v>0.0</v>
      </c>
      <c r="U2108" s="238">
        <v>0.0</v>
      </c>
      <c r="V2108" s="238">
        <v>0.0</v>
      </c>
      <c r="W2108" s="238">
        <v>0.0</v>
      </c>
      <c r="X2108" s="235" t="s">
        <v>628</v>
      </c>
      <c r="Z2108" s="244"/>
      <c r="AA2108" s="244"/>
      <c r="AB2108" s="244"/>
      <c r="AC2108" s="235" t="s">
        <v>5679</v>
      </c>
      <c r="AD2108" s="235" t="s">
        <v>679</v>
      </c>
      <c r="AE2108" s="238">
        <v>570029.0</v>
      </c>
      <c r="AF2108" s="235" t="s">
        <v>631</v>
      </c>
      <c r="AG2108" s="244"/>
      <c r="AH2108" s="244"/>
      <c r="AI2108" s="245"/>
      <c r="AJ2108" s="245"/>
      <c r="AK2108" s="245"/>
      <c r="AL2108" s="245"/>
      <c r="AM2108" s="244"/>
      <c r="AN2108" s="244"/>
      <c r="AO2108" s="238">
        <v>0.0</v>
      </c>
      <c r="AP2108" s="238">
        <v>0.0</v>
      </c>
      <c r="AQ2108" s="235" t="s">
        <v>632</v>
      </c>
      <c r="AR2108" s="243">
        <v>3.71E11</v>
      </c>
      <c r="AS2108" s="235" t="s">
        <v>15064</v>
      </c>
      <c r="AT2108" s="235" t="s">
        <v>9</v>
      </c>
      <c r="AU2108" s="235" t="s">
        <v>634</v>
      </c>
      <c r="AV2108" s="246" t="s">
        <v>635</v>
      </c>
      <c r="AW2108" s="242"/>
      <c r="AX2108" s="242"/>
      <c r="AY2108" s="231"/>
      <c r="AZ2108" s="231"/>
      <c r="BA2108" s="227"/>
      <c r="BB2108" s="231"/>
      <c r="BC2108" s="227"/>
      <c r="BD2108" s="227"/>
      <c r="BE2108" s="227"/>
      <c r="BF2108" s="227"/>
    </row>
    <row r="2109">
      <c r="A2109" s="235" t="s">
        <v>16367</v>
      </c>
      <c r="C2109" s="235" t="s">
        <v>16368</v>
      </c>
      <c r="D2109" s="235" t="s">
        <v>16369</v>
      </c>
      <c r="E2109" s="243">
        <v>6.54E13</v>
      </c>
      <c r="F2109" s="245"/>
      <c r="G2109" s="235" t="s">
        <v>16370</v>
      </c>
      <c r="H2109" s="235" t="s">
        <v>16371</v>
      </c>
      <c r="I2109" s="235" t="s">
        <v>16372</v>
      </c>
      <c r="J2109" s="235" t="s">
        <v>16373</v>
      </c>
      <c r="K2109" s="235" t="s">
        <v>16374</v>
      </c>
      <c r="N2109" s="235" t="s">
        <v>82</v>
      </c>
      <c r="O2109" s="235" t="s">
        <v>889</v>
      </c>
      <c r="P2109" s="238">
        <v>1.0</v>
      </c>
      <c r="Q2109" s="235" t="s">
        <v>627</v>
      </c>
      <c r="R2109" s="238">
        <v>246.66</v>
      </c>
      <c r="S2109" s="238">
        <v>12.1</v>
      </c>
      <c r="T2109" s="238">
        <v>0.0</v>
      </c>
      <c r="U2109" s="238">
        <v>0.0</v>
      </c>
      <c r="V2109" s="238">
        <v>0.0</v>
      </c>
      <c r="W2109" s="238">
        <v>0.0</v>
      </c>
      <c r="X2109" s="235" t="s">
        <v>628</v>
      </c>
      <c r="Z2109" s="244"/>
      <c r="AA2109" s="244"/>
      <c r="AB2109" s="244"/>
      <c r="AC2109" s="235" t="s">
        <v>1887</v>
      </c>
      <c r="AD2109" s="235" t="s">
        <v>679</v>
      </c>
      <c r="AE2109" s="238">
        <v>560066.0</v>
      </c>
      <c r="AF2109" s="235" t="s">
        <v>631</v>
      </c>
      <c r="AG2109" s="244"/>
      <c r="AH2109" s="244"/>
      <c r="AI2109" s="245"/>
      <c r="AJ2109" s="245"/>
      <c r="AK2109" s="245"/>
      <c r="AL2109" s="245"/>
      <c r="AM2109" s="244"/>
      <c r="AN2109" s="244"/>
      <c r="AO2109" s="238">
        <v>-4.94</v>
      </c>
      <c r="AP2109" s="238">
        <v>0.0</v>
      </c>
      <c r="AQ2109" s="235" t="s">
        <v>632</v>
      </c>
      <c r="AR2109" s="243">
        <v>1.68E11</v>
      </c>
      <c r="AS2109" s="235" t="s">
        <v>15599</v>
      </c>
      <c r="AT2109" s="235" t="s">
        <v>9</v>
      </c>
      <c r="AU2109" s="235" t="s">
        <v>634</v>
      </c>
      <c r="AV2109" s="246" t="s">
        <v>635</v>
      </c>
      <c r="AW2109" s="242"/>
      <c r="AX2109" s="242"/>
      <c r="AY2109" s="231"/>
      <c r="AZ2109" s="231"/>
      <c r="BA2109" s="227"/>
      <c r="BB2109" s="231"/>
      <c r="BC2109" s="227"/>
      <c r="BD2109" s="227"/>
      <c r="BE2109" s="227"/>
      <c r="BF2109" s="227"/>
    </row>
    <row r="2110">
      <c r="A2110" s="235" t="s">
        <v>16375</v>
      </c>
      <c r="C2110" s="235" t="s">
        <v>16376</v>
      </c>
      <c r="D2110" s="235" t="s">
        <v>16377</v>
      </c>
      <c r="E2110" s="243">
        <v>6.54E13</v>
      </c>
      <c r="F2110" s="245"/>
      <c r="G2110" s="235" t="s">
        <v>16378</v>
      </c>
      <c r="H2110" s="235" t="s">
        <v>16379</v>
      </c>
      <c r="I2110" s="235" t="s">
        <v>16379</v>
      </c>
      <c r="J2110" s="235" t="s">
        <v>16380</v>
      </c>
      <c r="K2110" s="235" t="s">
        <v>16381</v>
      </c>
      <c r="N2110" s="235" t="s">
        <v>842</v>
      </c>
      <c r="O2110" s="235" t="s">
        <v>843</v>
      </c>
      <c r="P2110" s="238">
        <v>1.0</v>
      </c>
      <c r="Q2110" s="235" t="s">
        <v>627</v>
      </c>
      <c r="R2110" s="238">
        <v>242.86</v>
      </c>
      <c r="S2110" s="238">
        <v>12.14</v>
      </c>
      <c r="T2110" s="238">
        <v>38.1</v>
      </c>
      <c r="U2110" s="238">
        <v>1.9</v>
      </c>
      <c r="V2110" s="238">
        <v>0.0</v>
      </c>
      <c r="W2110" s="238">
        <v>0.0</v>
      </c>
      <c r="X2110" s="235" t="s">
        <v>628</v>
      </c>
      <c r="Z2110" s="244"/>
      <c r="AA2110" s="244"/>
      <c r="AB2110" s="244"/>
      <c r="AC2110" s="235" t="s">
        <v>678</v>
      </c>
      <c r="AD2110" s="235" t="s">
        <v>679</v>
      </c>
      <c r="AE2110" s="238">
        <v>560035.0</v>
      </c>
      <c r="AF2110" s="235" t="s">
        <v>631</v>
      </c>
      <c r="AG2110" s="244"/>
      <c r="AH2110" s="244"/>
      <c r="AI2110" s="245"/>
      <c r="AJ2110" s="245"/>
      <c r="AK2110" s="245"/>
      <c r="AL2110" s="245"/>
      <c r="AM2110" s="244"/>
      <c r="AN2110" s="244"/>
      <c r="AO2110" s="238">
        <v>0.0</v>
      </c>
      <c r="AP2110" s="238">
        <v>-38.1</v>
      </c>
      <c r="AQ2110" s="235" t="s">
        <v>632</v>
      </c>
      <c r="AR2110" s="243">
        <v>3.71E11</v>
      </c>
      <c r="AS2110" s="235" t="s">
        <v>11171</v>
      </c>
      <c r="AT2110" s="235" t="s">
        <v>533</v>
      </c>
      <c r="AU2110" s="235" t="s">
        <v>634</v>
      </c>
      <c r="AV2110" s="246" t="s">
        <v>635</v>
      </c>
      <c r="AW2110" s="242"/>
      <c r="AX2110" s="242"/>
      <c r="AY2110" s="231"/>
      <c r="AZ2110" s="231"/>
      <c r="BA2110" s="227"/>
      <c r="BB2110" s="231"/>
      <c r="BC2110" s="227"/>
      <c r="BD2110" s="227"/>
      <c r="BE2110" s="227"/>
      <c r="BF2110" s="227"/>
    </row>
    <row r="2111">
      <c r="A2111" s="235" t="s">
        <v>16382</v>
      </c>
      <c r="C2111" s="235" t="s">
        <v>16383</v>
      </c>
      <c r="D2111" s="235" t="s">
        <v>16384</v>
      </c>
      <c r="E2111" s="243">
        <v>6.53E13</v>
      </c>
      <c r="F2111" s="245"/>
      <c r="G2111" s="235" t="s">
        <v>16385</v>
      </c>
      <c r="H2111" s="235" t="s">
        <v>16386</v>
      </c>
      <c r="I2111" s="235" t="s">
        <v>16386</v>
      </c>
      <c r="J2111" s="235" t="s">
        <v>16387</v>
      </c>
      <c r="K2111" s="235" t="s">
        <v>16388</v>
      </c>
      <c r="N2111" s="235" t="s">
        <v>134</v>
      </c>
      <c r="O2111" s="235" t="s">
        <v>314</v>
      </c>
      <c r="P2111" s="238">
        <v>1.0</v>
      </c>
      <c r="Q2111" s="235" t="s">
        <v>627</v>
      </c>
      <c r="R2111" s="238">
        <v>246.66</v>
      </c>
      <c r="S2111" s="238">
        <v>12.1</v>
      </c>
      <c r="T2111" s="238">
        <v>0.0</v>
      </c>
      <c r="U2111" s="238">
        <v>0.0</v>
      </c>
      <c r="V2111" s="238">
        <v>0.0</v>
      </c>
      <c r="W2111" s="238">
        <v>0.0</v>
      </c>
      <c r="X2111" s="235" t="s">
        <v>628</v>
      </c>
      <c r="Z2111" s="244"/>
      <c r="AA2111" s="244"/>
      <c r="AB2111" s="244"/>
      <c r="AC2111" s="235" t="s">
        <v>1255</v>
      </c>
      <c r="AD2111" s="235" t="s">
        <v>845</v>
      </c>
      <c r="AE2111" s="238">
        <v>400601.0</v>
      </c>
      <c r="AF2111" s="235" t="s">
        <v>631</v>
      </c>
      <c r="AG2111" s="244"/>
      <c r="AH2111" s="244"/>
      <c r="AI2111" s="245"/>
      <c r="AJ2111" s="245"/>
      <c r="AK2111" s="245"/>
      <c r="AL2111" s="245"/>
      <c r="AM2111" s="244"/>
      <c r="AN2111" s="244"/>
      <c r="AO2111" s="238">
        <v>-4.94</v>
      </c>
      <c r="AP2111" s="238">
        <v>0.0</v>
      </c>
      <c r="AQ2111" s="235" t="s">
        <v>632</v>
      </c>
      <c r="AR2111" s="243">
        <v>1.68E11</v>
      </c>
      <c r="AS2111" s="235" t="s">
        <v>13822</v>
      </c>
      <c r="AT2111" s="235" t="s">
        <v>546</v>
      </c>
      <c r="AU2111" s="235" t="s">
        <v>634</v>
      </c>
      <c r="AV2111" s="246" t="s">
        <v>635</v>
      </c>
      <c r="AW2111" s="242"/>
      <c r="AX2111" s="242"/>
      <c r="AY2111" s="231"/>
      <c r="AZ2111" s="231"/>
      <c r="BA2111" s="227"/>
      <c r="BB2111" s="231"/>
      <c r="BC2111" s="227"/>
      <c r="BD2111" s="227"/>
      <c r="BE2111" s="227"/>
      <c r="BF2111" s="227"/>
    </row>
    <row r="2112">
      <c r="A2112" s="235" t="s">
        <v>16389</v>
      </c>
      <c r="C2112" s="235" t="s">
        <v>16390</v>
      </c>
      <c r="D2112" s="235" t="s">
        <v>16391</v>
      </c>
      <c r="E2112" s="243">
        <v>6.53E13</v>
      </c>
      <c r="F2112" s="245"/>
      <c r="G2112" s="235" t="s">
        <v>16392</v>
      </c>
      <c r="H2112" s="235" t="s">
        <v>16393</v>
      </c>
      <c r="I2112" s="235" t="s">
        <v>16393</v>
      </c>
      <c r="J2112" s="235" t="s">
        <v>16394</v>
      </c>
      <c r="K2112" s="235" t="s">
        <v>16395</v>
      </c>
      <c r="N2112" s="235" t="s">
        <v>127</v>
      </c>
      <c r="O2112" s="235" t="s">
        <v>794</v>
      </c>
      <c r="P2112" s="238">
        <v>1.0</v>
      </c>
      <c r="Q2112" s="235" t="s">
        <v>627</v>
      </c>
      <c r="R2112" s="238">
        <v>270.48</v>
      </c>
      <c r="S2112" s="238">
        <v>13.25</v>
      </c>
      <c r="T2112" s="238">
        <v>0.0</v>
      </c>
      <c r="U2112" s="238">
        <v>0.0</v>
      </c>
      <c r="V2112" s="238">
        <v>0.0</v>
      </c>
      <c r="W2112" s="238">
        <v>0.0</v>
      </c>
      <c r="X2112" s="235" t="s">
        <v>628</v>
      </c>
      <c r="Z2112" s="244"/>
      <c r="AA2112" s="244"/>
      <c r="AB2112" s="244"/>
      <c r="AC2112" s="235" t="s">
        <v>687</v>
      </c>
      <c r="AD2112" s="235" t="s">
        <v>666</v>
      </c>
      <c r="AE2112" s="238">
        <v>600127.0</v>
      </c>
      <c r="AF2112" s="235" t="s">
        <v>631</v>
      </c>
      <c r="AG2112" s="244"/>
      <c r="AH2112" s="244"/>
      <c r="AI2112" s="245"/>
      <c r="AJ2112" s="245"/>
      <c r="AK2112" s="245"/>
      <c r="AL2112" s="245"/>
      <c r="AM2112" s="244"/>
      <c r="AN2112" s="244"/>
      <c r="AO2112" s="238">
        <v>-5.41</v>
      </c>
      <c r="AP2112" s="238">
        <v>0.0</v>
      </c>
      <c r="AQ2112" s="235" t="s">
        <v>632</v>
      </c>
      <c r="AR2112" s="243">
        <v>3.71E11</v>
      </c>
      <c r="AS2112" s="235" t="s">
        <v>15064</v>
      </c>
      <c r="AT2112" s="235" t="s">
        <v>156</v>
      </c>
      <c r="AU2112" s="235" t="s">
        <v>634</v>
      </c>
      <c r="AV2112" s="246" t="s">
        <v>635</v>
      </c>
      <c r="AW2112" s="242"/>
      <c r="AX2112" s="242"/>
      <c r="AY2112" s="231"/>
      <c r="AZ2112" s="231"/>
      <c r="BA2112" s="227"/>
      <c r="BB2112" s="231"/>
      <c r="BC2112" s="227"/>
      <c r="BD2112" s="227"/>
      <c r="BE2112" s="227"/>
      <c r="BF2112" s="227"/>
    </row>
    <row r="2113">
      <c r="A2113" s="235" t="s">
        <v>16396</v>
      </c>
      <c r="C2113" s="235" t="s">
        <v>16397</v>
      </c>
      <c r="D2113" s="235" t="s">
        <v>16398</v>
      </c>
      <c r="E2113" s="243">
        <v>6.52E13</v>
      </c>
      <c r="F2113" s="245"/>
      <c r="G2113" s="235" t="s">
        <v>16399</v>
      </c>
      <c r="H2113" s="235" t="s">
        <v>16400</v>
      </c>
      <c r="I2113" s="235" t="s">
        <v>16400</v>
      </c>
      <c r="J2113" s="235" t="s">
        <v>16401</v>
      </c>
      <c r="K2113" s="235" t="s">
        <v>16402</v>
      </c>
      <c r="N2113" s="235" t="s">
        <v>58</v>
      </c>
      <c r="O2113" s="235" t="s">
        <v>349</v>
      </c>
      <c r="P2113" s="238">
        <v>1.0</v>
      </c>
      <c r="Q2113" s="235" t="s">
        <v>627</v>
      </c>
      <c r="R2113" s="238">
        <v>627.62</v>
      </c>
      <c r="S2113" s="238">
        <v>30.44</v>
      </c>
      <c r="T2113" s="238">
        <v>38.1</v>
      </c>
      <c r="U2113" s="238">
        <v>1.9</v>
      </c>
      <c r="V2113" s="238">
        <v>0.0</v>
      </c>
      <c r="W2113" s="238">
        <v>0.0</v>
      </c>
      <c r="X2113" s="235" t="s">
        <v>628</v>
      </c>
      <c r="Z2113" s="244"/>
      <c r="AA2113" s="244"/>
      <c r="AB2113" s="244"/>
      <c r="AC2113" s="235" t="s">
        <v>678</v>
      </c>
      <c r="AD2113" s="235" t="s">
        <v>679</v>
      </c>
      <c r="AE2113" s="238">
        <v>562112.0</v>
      </c>
      <c r="AF2113" s="235" t="s">
        <v>631</v>
      </c>
      <c r="AG2113" s="244"/>
      <c r="AH2113" s="244"/>
      <c r="AI2113" s="245"/>
      <c r="AJ2113" s="245"/>
      <c r="AK2113" s="245"/>
      <c r="AL2113" s="245"/>
      <c r="AM2113" s="244"/>
      <c r="AN2113" s="244"/>
      <c r="AO2113" s="238">
        <v>-18.83</v>
      </c>
      <c r="AP2113" s="238">
        <v>-38.1</v>
      </c>
      <c r="AQ2113" s="235" t="s">
        <v>632</v>
      </c>
      <c r="AR2113" s="243">
        <v>3.71E11</v>
      </c>
      <c r="AS2113" s="235" t="s">
        <v>13822</v>
      </c>
      <c r="AT2113" s="235" t="s">
        <v>9</v>
      </c>
      <c r="AU2113" s="235" t="s">
        <v>634</v>
      </c>
      <c r="AV2113" s="246" t="s">
        <v>635</v>
      </c>
      <c r="AW2113" s="242"/>
      <c r="AX2113" s="242"/>
      <c r="AY2113" s="231"/>
      <c r="AZ2113" s="231"/>
      <c r="BA2113" s="227"/>
      <c r="BB2113" s="231"/>
      <c r="BC2113" s="227"/>
      <c r="BD2113" s="227"/>
      <c r="BE2113" s="227"/>
      <c r="BF2113" s="227"/>
    </row>
    <row r="2114">
      <c r="A2114" s="235" t="s">
        <v>16403</v>
      </c>
      <c r="C2114" s="235" t="s">
        <v>16404</v>
      </c>
      <c r="D2114" s="235" t="s">
        <v>16405</v>
      </c>
      <c r="E2114" s="243">
        <v>6.54E13</v>
      </c>
      <c r="F2114" s="245"/>
      <c r="G2114" s="235" t="s">
        <v>16406</v>
      </c>
      <c r="H2114" s="235" t="s">
        <v>16407</v>
      </c>
      <c r="I2114" s="235" t="s">
        <v>16407</v>
      </c>
      <c r="J2114" s="235" t="s">
        <v>16408</v>
      </c>
      <c r="K2114" s="235" t="s">
        <v>16409</v>
      </c>
      <c r="N2114" s="235" t="s">
        <v>3</v>
      </c>
      <c r="O2114" s="235" t="s">
        <v>654</v>
      </c>
      <c r="P2114" s="238">
        <v>1.0</v>
      </c>
      <c r="Q2114" s="235" t="s">
        <v>627</v>
      </c>
      <c r="R2114" s="238">
        <v>265.71</v>
      </c>
      <c r="S2114" s="238">
        <v>12.89</v>
      </c>
      <c r="T2114" s="238">
        <v>38.1</v>
      </c>
      <c r="U2114" s="238">
        <v>1.9</v>
      </c>
      <c r="V2114" s="238">
        <v>0.0</v>
      </c>
      <c r="W2114" s="238">
        <v>0.0</v>
      </c>
      <c r="X2114" s="235" t="s">
        <v>628</v>
      </c>
      <c r="Z2114" s="244"/>
      <c r="AA2114" s="244"/>
      <c r="AB2114" s="244"/>
      <c r="AC2114" s="235" t="s">
        <v>16410</v>
      </c>
      <c r="AD2114" s="235" t="s">
        <v>917</v>
      </c>
      <c r="AE2114" s="238">
        <v>334004.0</v>
      </c>
      <c r="AF2114" s="235" t="s">
        <v>631</v>
      </c>
      <c r="AG2114" s="244"/>
      <c r="AH2114" s="244"/>
      <c r="AI2114" s="245"/>
      <c r="AJ2114" s="245"/>
      <c r="AK2114" s="245"/>
      <c r="AL2114" s="245"/>
      <c r="AM2114" s="244"/>
      <c r="AN2114" s="244"/>
      <c r="AO2114" s="238">
        <v>-7.97</v>
      </c>
      <c r="AP2114" s="238">
        <v>-38.1</v>
      </c>
      <c r="AQ2114" s="235" t="s">
        <v>632</v>
      </c>
      <c r="AR2114" s="243">
        <v>3.71E11</v>
      </c>
      <c r="AS2114" s="235" t="s">
        <v>13822</v>
      </c>
      <c r="AT2114" s="235" t="s">
        <v>533</v>
      </c>
      <c r="AU2114" s="235" t="s">
        <v>634</v>
      </c>
      <c r="AV2114" s="246" t="s">
        <v>635</v>
      </c>
      <c r="AW2114" s="242"/>
      <c r="AX2114" s="242"/>
      <c r="AY2114" s="231"/>
      <c r="AZ2114" s="231"/>
      <c r="BA2114" s="227"/>
      <c r="BB2114" s="231"/>
      <c r="BC2114" s="227"/>
      <c r="BD2114" s="227"/>
      <c r="BE2114" s="227"/>
      <c r="BF2114" s="227"/>
    </row>
    <row r="2115">
      <c r="A2115" s="235" t="s">
        <v>16403</v>
      </c>
      <c r="C2115" s="235" t="s">
        <v>16404</v>
      </c>
      <c r="D2115" s="235" t="s">
        <v>16411</v>
      </c>
      <c r="E2115" s="243">
        <v>6.54E13</v>
      </c>
      <c r="F2115" s="245"/>
      <c r="G2115" s="235" t="s">
        <v>16406</v>
      </c>
      <c r="H2115" s="235" t="s">
        <v>16407</v>
      </c>
      <c r="I2115" s="235" t="s">
        <v>16407</v>
      </c>
      <c r="J2115" s="235" t="s">
        <v>16408</v>
      </c>
      <c r="K2115" s="235" t="s">
        <v>16409</v>
      </c>
      <c r="N2115" s="235" t="s">
        <v>0</v>
      </c>
      <c r="O2115" s="235" t="s">
        <v>740</v>
      </c>
      <c r="P2115" s="238">
        <v>1.0</v>
      </c>
      <c r="Q2115" s="235" t="s">
        <v>627</v>
      </c>
      <c r="R2115" s="238">
        <v>265.71</v>
      </c>
      <c r="S2115" s="238">
        <v>12.89</v>
      </c>
      <c r="T2115" s="238">
        <v>38.1</v>
      </c>
      <c r="U2115" s="238">
        <v>1.9</v>
      </c>
      <c r="V2115" s="238">
        <v>0.0</v>
      </c>
      <c r="W2115" s="238">
        <v>0.0</v>
      </c>
      <c r="X2115" s="235" t="s">
        <v>628</v>
      </c>
      <c r="Z2115" s="244"/>
      <c r="AA2115" s="244"/>
      <c r="AB2115" s="244"/>
      <c r="AC2115" s="235" t="s">
        <v>16410</v>
      </c>
      <c r="AD2115" s="235" t="s">
        <v>917</v>
      </c>
      <c r="AE2115" s="238">
        <v>334004.0</v>
      </c>
      <c r="AF2115" s="235" t="s">
        <v>631</v>
      </c>
      <c r="AG2115" s="244"/>
      <c r="AH2115" s="244"/>
      <c r="AI2115" s="245"/>
      <c r="AJ2115" s="245"/>
      <c r="AK2115" s="245"/>
      <c r="AL2115" s="245"/>
      <c r="AM2115" s="244"/>
      <c r="AN2115" s="244"/>
      <c r="AO2115" s="238">
        <v>-7.97</v>
      </c>
      <c r="AP2115" s="238">
        <v>-38.1</v>
      </c>
      <c r="AQ2115" s="235" t="s">
        <v>632</v>
      </c>
      <c r="AR2115" s="243">
        <v>3.71E11</v>
      </c>
      <c r="AS2115" s="235" t="s">
        <v>13822</v>
      </c>
      <c r="AT2115" s="235" t="s">
        <v>533</v>
      </c>
      <c r="AU2115" s="235" t="s">
        <v>634</v>
      </c>
      <c r="AV2115" s="246" t="s">
        <v>635</v>
      </c>
      <c r="AW2115" s="242"/>
      <c r="AX2115" s="242"/>
      <c r="AY2115" s="231"/>
      <c r="AZ2115" s="231"/>
      <c r="BA2115" s="227"/>
      <c r="BB2115" s="231"/>
      <c r="BC2115" s="227"/>
      <c r="BD2115" s="227"/>
      <c r="BE2115" s="227"/>
      <c r="BF2115" s="227"/>
    </row>
    <row r="2116">
      <c r="A2116" s="235" t="s">
        <v>16412</v>
      </c>
      <c r="C2116" s="235" t="s">
        <v>16413</v>
      </c>
      <c r="D2116" s="235" t="s">
        <v>16414</v>
      </c>
      <c r="E2116" s="243">
        <v>6.54E13</v>
      </c>
      <c r="F2116" s="245"/>
      <c r="G2116" s="235" t="s">
        <v>16415</v>
      </c>
      <c r="H2116" s="235" t="s">
        <v>16416</v>
      </c>
      <c r="I2116" s="235" t="s">
        <v>16416</v>
      </c>
      <c r="J2116" s="235" t="s">
        <v>16417</v>
      </c>
      <c r="K2116" s="235" t="s">
        <v>16418</v>
      </c>
      <c r="N2116" s="235" t="s">
        <v>85</v>
      </c>
      <c r="O2116" s="235" t="s">
        <v>872</v>
      </c>
      <c r="P2116" s="238">
        <v>1.0</v>
      </c>
      <c r="Q2116" s="235" t="s">
        <v>627</v>
      </c>
      <c r="R2116" s="238">
        <v>246.67</v>
      </c>
      <c r="S2116" s="238">
        <v>12.33</v>
      </c>
      <c r="T2116" s="238">
        <v>38.1</v>
      </c>
      <c r="U2116" s="238">
        <v>1.9</v>
      </c>
      <c r="V2116" s="238">
        <v>28.57</v>
      </c>
      <c r="W2116" s="238">
        <v>1.43</v>
      </c>
      <c r="X2116" s="235" t="s">
        <v>628</v>
      </c>
      <c r="Z2116" s="244"/>
      <c r="AA2116" s="244"/>
      <c r="AB2116" s="244"/>
      <c r="AC2116" s="235" t="s">
        <v>9767</v>
      </c>
      <c r="AD2116" s="235" t="s">
        <v>1151</v>
      </c>
      <c r="AE2116" s="238">
        <v>711104.0</v>
      </c>
      <c r="AF2116" s="235" t="s">
        <v>631</v>
      </c>
      <c r="AG2116" s="244"/>
      <c r="AH2116" s="244"/>
      <c r="AI2116" s="245"/>
      <c r="AJ2116" s="245"/>
      <c r="AK2116" s="245"/>
      <c r="AL2116" s="245"/>
      <c r="AM2116" s="244"/>
      <c r="AN2116" s="244"/>
      <c r="AO2116" s="238">
        <v>0.0</v>
      </c>
      <c r="AP2116" s="238">
        <v>-38.1</v>
      </c>
      <c r="AQ2116" s="235" t="s">
        <v>632</v>
      </c>
      <c r="AR2116" s="243">
        <v>3.71E11</v>
      </c>
      <c r="AS2116" s="235" t="s">
        <v>11171</v>
      </c>
      <c r="AT2116" s="235" t="s">
        <v>13</v>
      </c>
      <c r="AU2116" s="235" t="s">
        <v>634</v>
      </c>
      <c r="AV2116" s="246" t="s">
        <v>635</v>
      </c>
      <c r="AW2116" s="242"/>
      <c r="AX2116" s="242"/>
      <c r="AY2116" s="231"/>
      <c r="AZ2116" s="231"/>
      <c r="BA2116" s="227"/>
      <c r="BB2116" s="231"/>
      <c r="BC2116" s="227"/>
      <c r="BD2116" s="227"/>
      <c r="BE2116" s="227"/>
      <c r="BF2116" s="227"/>
    </row>
    <row r="2117">
      <c r="A2117" s="235" t="s">
        <v>16419</v>
      </c>
      <c r="C2117" s="235" t="s">
        <v>16420</v>
      </c>
      <c r="D2117" s="235" t="s">
        <v>16421</v>
      </c>
      <c r="E2117" s="243">
        <v>6.54E13</v>
      </c>
      <c r="F2117" s="245"/>
      <c r="G2117" s="235" t="s">
        <v>16422</v>
      </c>
      <c r="H2117" s="235" t="s">
        <v>16423</v>
      </c>
      <c r="I2117" s="235" t="s">
        <v>16423</v>
      </c>
      <c r="J2117" s="235" t="s">
        <v>12210</v>
      </c>
      <c r="K2117" s="235" t="s">
        <v>16424</v>
      </c>
      <c r="N2117" s="235" t="s">
        <v>134</v>
      </c>
      <c r="O2117" s="235" t="s">
        <v>314</v>
      </c>
      <c r="P2117" s="238">
        <v>1.0</v>
      </c>
      <c r="Q2117" s="235" t="s">
        <v>627</v>
      </c>
      <c r="R2117" s="238">
        <v>246.66</v>
      </c>
      <c r="S2117" s="238">
        <v>12.34</v>
      </c>
      <c r="T2117" s="238">
        <v>0.0</v>
      </c>
      <c r="U2117" s="238">
        <v>0.0</v>
      </c>
      <c r="V2117" s="238">
        <v>0.0</v>
      </c>
      <c r="W2117" s="238">
        <v>0.0</v>
      </c>
      <c r="X2117" s="235" t="s">
        <v>628</v>
      </c>
      <c r="Z2117" s="244"/>
      <c r="AA2117" s="244"/>
      <c r="AB2117" s="244"/>
      <c r="AC2117" s="235" t="s">
        <v>687</v>
      </c>
      <c r="AD2117" s="235" t="s">
        <v>666</v>
      </c>
      <c r="AE2117" s="238">
        <v>600117.0</v>
      </c>
      <c r="AF2117" s="235" t="s">
        <v>631</v>
      </c>
      <c r="AG2117" s="244"/>
      <c r="AH2117" s="244"/>
      <c r="AI2117" s="245"/>
      <c r="AJ2117" s="245"/>
      <c r="AK2117" s="245"/>
      <c r="AL2117" s="245"/>
      <c r="AM2117" s="244"/>
      <c r="AN2117" s="244"/>
      <c r="AO2117" s="238">
        <v>0.0</v>
      </c>
      <c r="AP2117" s="238">
        <v>0.0</v>
      </c>
      <c r="AQ2117" s="235" t="s">
        <v>632</v>
      </c>
      <c r="AR2117" s="243">
        <v>3.71E11</v>
      </c>
      <c r="AS2117" s="235" t="s">
        <v>15064</v>
      </c>
      <c r="AT2117" s="235" t="s">
        <v>156</v>
      </c>
      <c r="AU2117" s="235" t="s">
        <v>634</v>
      </c>
      <c r="AV2117" s="246" t="s">
        <v>635</v>
      </c>
      <c r="AW2117" s="242"/>
      <c r="AX2117" s="242"/>
      <c r="AY2117" s="231"/>
      <c r="AZ2117" s="231"/>
      <c r="BA2117" s="227"/>
      <c r="BB2117" s="231"/>
      <c r="BC2117" s="227"/>
      <c r="BD2117" s="227"/>
      <c r="BE2117" s="227"/>
      <c r="BF2117" s="227"/>
    </row>
    <row r="2118">
      <c r="A2118" s="235" t="s">
        <v>16425</v>
      </c>
      <c r="C2118" s="235" t="s">
        <v>16426</v>
      </c>
      <c r="D2118" s="235" t="s">
        <v>16427</v>
      </c>
      <c r="E2118" s="243">
        <v>6.54E13</v>
      </c>
      <c r="F2118" s="245"/>
      <c r="G2118" s="235" t="s">
        <v>16428</v>
      </c>
      <c r="H2118" s="235" t="s">
        <v>16429</v>
      </c>
      <c r="I2118" s="235" t="s">
        <v>16429</v>
      </c>
      <c r="J2118" s="235" t="s">
        <v>16430</v>
      </c>
      <c r="K2118" s="235" t="s">
        <v>16431</v>
      </c>
      <c r="N2118" s="235" t="s">
        <v>962</v>
      </c>
      <c r="O2118" s="235" t="s">
        <v>963</v>
      </c>
      <c r="P2118" s="238">
        <v>1.0</v>
      </c>
      <c r="Q2118" s="235" t="s">
        <v>627</v>
      </c>
      <c r="R2118" s="238">
        <v>242.86</v>
      </c>
      <c r="S2118" s="238">
        <v>12.14</v>
      </c>
      <c r="T2118" s="238">
        <v>0.0</v>
      </c>
      <c r="U2118" s="238">
        <v>0.0</v>
      </c>
      <c r="V2118" s="238">
        <v>0.0</v>
      </c>
      <c r="W2118" s="238">
        <v>0.0</v>
      </c>
      <c r="X2118" s="235" t="s">
        <v>628</v>
      </c>
      <c r="Z2118" s="244"/>
      <c r="AA2118" s="244"/>
      <c r="AB2118" s="244"/>
      <c r="AC2118" s="235" t="s">
        <v>16432</v>
      </c>
      <c r="AD2118" s="235" t="s">
        <v>679</v>
      </c>
      <c r="AE2118" s="238">
        <v>562110.0</v>
      </c>
      <c r="AF2118" s="235" t="s">
        <v>631</v>
      </c>
      <c r="AG2118" s="244"/>
      <c r="AH2118" s="244"/>
      <c r="AI2118" s="245"/>
      <c r="AJ2118" s="245"/>
      <c r="AK2118" s="245"/>
      <c r="AL2118" s="245"/>
      <c r="AM2118" s="244"/>
      <c r="AN2118" s="244"/>
      <c r="AO2118" s="238">
        <v>0.0</v>
      </c>
      <c r="AP2118" s="238">
        <v>0.0</v>
      </c>
      <c r="AQ2118" s="235" t="s">
        <v>632</v>
      </c>
      <c r="AR2118" s="243">
        <v>3.71E11</v>
      </c>
      <c r="AS2118" s="235" t="s">
        <v>15064</v>
      </c>
      <c r="AT2118" s="235" t="s">
        <v>11</v>
      </c>
      <c r="AU2118" s="235" t="s">
        <v>634</v>
      </c>
      <c r="AV2118" s="246" t="s">
        <v>635</v>
      </c>
      <c r="AW2118" s="242"/>
      <c r="AX2118" s="242"/>
      <c r="AY2118" s="231"/>
      <c r="AZ2118" s="231"/>
      <c r="BA2118" s="227"/>
      <c r="BB2118" s="231"/>
      <c r="BC2118" s="227"/>
      <c r="BD2118" s="227"/>
      <c r="BE2118" s="227"/>
      <c r="BF2118" s="227"/>
    </row>
    <row r="2119">
      <c r="A2119" s="235" t="s">
        <v>16433</v>
      </c>
      <c r="C2119" s="235" t="s">
        <v>16434</v>
      </c>
      <c r="D2119" s="235" t="s">
        <v>16435</v>
      </c>
      <c r="E2119" s="243">
        <v>6.54E13</v>
      </c>
      <c r="F2119" s="245"/>
      <c r="G2119" s="235" t="s">
        <v>16436</v>
      </c>
      <c r="H2119" s="235" t="s">
        <v>16437</v>
      </c>
      <c r="I2119" s="235" t="s">
        <v>16437</v>
      </c>
      <c r="J2119" s="235" t="s">
        <v>16438</v>
      </c>
      <c r="K2119" s="235" t="s">
        <v>16439</v>
      </c>
      <c r="N2119" s="235" t="s">
        <v>82</v>
      </c>
      <c r="O2119" s="235" t="s">
        <v>889</v>
      </c>
      <c r="P2119" s="238">
        <v>1.0</v>
      </c>
      <c r="Q2119" s="235" t="s">
        <v>627</v>
      </c>
      <c r="R2119" s="238">
        <v>246.67</v>
      </c>
      <c r="S2119" s="238">
        <v>12.33</v>
      </c>
      <c r="T2119" s="238">
        <v>38.1</v>
      </c>
      <c r="U2119" s="238">
        <v>1.9</v>
      </c>
      <c r="V2119" s="238">
        <v>0.0</v>
      </c>
      <c r="W2119" s="238">
        <v>0.0</v>
      </c>
      <c r="X2119" s="235" t="s">
        <v>628</v>
      </c>
      <c r="Z2119" s="244"/>
      <c r="AA2119" s="244"/>
      <c r="AB2119" s="244"/>
      <c r="AC2119" s="235" t="s">
        <v>6506</v>
      </c>
      <c r="AD2119" s="235" t="s">
        <v>1086</v>
      </c>
      <c r="AE2119" s="238">
        <v>144515.0</v>
      </c>
      <c r="AF2119" s="235" t="s">
        <v>631</v>
      </c>
      <c r="AG2119" s="244"/>
      <c r="AH2119" s="244"/>
      <c r="AI2119" s="245"/>
      <c r="AJ2119" s="245"/>
      <c r="AK2119" s="245"/>
      <c r="AL2119" s="245"/>
      <c r="AM2119" s="244"/>
      <c r="AN2119" s="244"/>
      <c r="AO2119" s="238">
        <v>0.0</v>
      </c>
      <c r="AP2119" s="238">
        <v>-38.1</v>
      </c>
      <c r="AQ2119" s="235" t="s">
        <v>632</v>
      </c>
      <c r="AR2119" s="243">
        <v>3.71E11</v>
      </c>
      <c r="AS2119" s="235" t="s">
        <v>13822</v>
      </c>
      <c r="AT2119" s="235" t="s">
        <v>13</v>
      </c>
      <c r="AU2119" s="235" t="s">
        <v>634</v>
      </c>
      <c r="AV2119" s="246" t="s">
        <v>635</v>
      </c>
      <c r="AW2119" s="242"/>
      <c r="AX2119" s="242"/>
      <c r="AY2119" s="231"/>
      <c r="AZ2119" s="231"/>
      <c r="BA2119" s="227"/>
      <c r="BB2119" s="231"/>
      <c r="BC2119" s="227"/>
      <c r="BD2119" s="227"/>
      <c r="BE2119" s="227"/>
      <c r="BF2119" s="227"/>
    </row>
    <row r="2120">
      <c r="A2120" s="235" t="s">
        <v>16440</v>
      </c>
      <c r="C2120" s="235" t="s">
        <v>16441</v>
      </c>
      <c r="D2120" s="235" t="s">
        <v>16442</v>
      </c>
      <c r="E2120" s="243">
        <v>6.54E13</v>
      </c>
      <c r="F2120" s="245"/>
      <c r="G2120" s="235" t="s">
        <v>16443</v>
      </c>
      <c r="H2120" s="235" t="s">
        <v>16444</v>
      </c>
      <c r="I2120" s="235" t="s">
        <v>16445</v>
      </c>
      <c r="J2120" s="235" t="s">
        <v>16446</v>
      </c>
      <c r="K2120" s="235" t="s">
        <v>16447</v>
      </c>
      <c r="N2120" s="235" t="s">
        <v>85</v>
      </c>
      <c r="O2120" s="235" t="s">
        <v>872</v>
      </c>
      <c r="P2120" s="238">
        <v>1.0</v>
      </c>
      <c r="Q2120" s="235" t="s">
        <v>627</v>
      </c>
      <c r="R2120" s="238">
        <v>246.67</v>
      </c>
      <c r="S2120" s="238">
        <v>12.33</v>
      </c>
      <c r="T2120" s="238">
        <v>0.0</v>
      </c>
      <c r="U2120" s="238">
        <v>0.0</v>
      </c>
      <c r="V2120" s="238">
        <v>0.0</v>
      </c>
      <c r="W2120" s="238">
        <v>0.0</v>
      </c>
      <c r="X2120" s="235" t="s">
        <v>628</v>
      </c>
      <c r="Z2120" s="244"/>
      <c r="AA2120" s="244"/>
      <c r="AB2120" s="244"/>
      <c r="AC2120" s="235" t="s">
        <v>15079</v>
      </c>
      <c r="AD2120" s="235" t="s">
        <v>645</v>
      </c>
      <c r="AE2120" s="238">
        <v>670325.0</v>
      </c>
      <c r="AF2120" s="235" t="s">
        <v>631</v>
      </c>
      <c r="AG2120" s="244"/>
      <c r="AH2120" s="244"/>
      <c r="AI2120" s="245"/>
      <c r="AJ2120" s="245"/>
      <c r="AK2120" s="245"/>
      <c r="AL2120" s="245"/>
      <c r="AM2120" s="244"/>
      <c r="AN2120" s="244"/>
      <c r="AO2120" s="238">
        <v>0.0</v>
      </c>
      <c r="AP2120" s="238">
        <v>0.0</v>
      </c>
      <c r="AQ2120" s="235" t="s">
        <v>632</v>
      </c>
      <c r="AR2120" s="243">
        <v>3.71E11</v>
      </c>
      <c r="AS2120" s="235" t="s">
        <v>15064</v>
      </c>
      <c r="AT2120" s="235" t="s">
        <v>155</v>
      </c>
      <c r="AU2120" s="235" t="s">
        <v>634</v>
      </c>
      <c r="AV2120" s="246" t="s">
        <v>635</v>
      </c>
      <c r="AW2120" s="242"/>
      <c r="AX2120" s="242"/>
      <c r="AY2120" s="231"/>
      <c r="AZ2120" s="231"/>
      <c r="BA2120" s="227"/>
      <c r="BB2120" s="231"/>
      <c r="BC2120" s="227"/>
      <c r="BD2120" s="227"/>
      <c r="BE2120" s="227"/>
      <c r="BF2120" s="227"/>
    </row>
    <row r="2121">
      <c r="A2121" s="235" t="s">
        <v>16448</v>
      </c>
      <c r="C2121" s="235" t="s">
        <v>16449</v>
      </c>
      <c r="D2121" s="235" t="s">
        <v>16450</v>
      </c>
      <c r="E2121" s="243">
        <v>6.54E13</v>
      </c>
      <c r="F2121" s="245"/>
      <c r="G2121" s="235" t="s">
        <v>16451</v>
      </c>
      <c r="H2121" s="235" t="s">
        <v>16452</v>
      </c>
      <c r="I2121" s="235" t="s">
        <v>16452</v>
      </c>
      <c r="J2121" s="235" t="s">
        <v>16453</v>
      </c>
      <c r="K2121" s="235" t="s">
        <v>16454</v>
      </c>
      <c r="N2121" s="235" t="s">
        <v>78</v>
      </c>
      <c r="O2121" s="235" t="s">
        <v>360</v>
      </c>
      <c r="P2121" s="238">
        <v>1.0</v>
      </c>
      <c r="Q2121" s="235" t="s">
        <v>627</v>
      </c>
      <c r="R2121" s="238">
        <v>360.96</v>
      </c>
      <c r="S2121" s="238">
        <v>17.5</v>
      </c>
      <c r="T2121" s="238">
        <v>38.1</v>
      </c>
      <c r="U2121" s="238">
        <v>1.9</v>
      </c>
      <c r="V2121" s="238">
        <v>0.0</v>
      </c>
      <c r="W2121" s="238">
        <v>0.0</v>
      </c>
      <c r="X2121" s="235" t="s">
        <v>628</v>
      </c>
      <c r="Z2121" s="244"/>
      <c r="AA2121" s="244"/>
      <c r="AB2121" s="244"/>
      <c r="AC2121" s="235" t="s">
        <v>1671</v>
      </c>
      <c r="AD2121" s="235" t="s">
        <v>666</v>
      </c>
      <c r="AE2121" s="238">
        <v>641035.0</v>
      </c>
      <c r="AF2121" s="235" t="s">
        <v>631</v>
      </c>
      <c r="AG2121" s="244"/>
      <c r="AH2121" s="244"/>
      <c r="AI2121" s="245"/>
      <c r="AJ2121" s="245"/>
      <c r="AK2121" s="245"/>
      <c r="AL2121" s="245"/>
      <c r="AM2121" s="244"/>
      <c r="AN2121" s="244"/>
      <c r="AO2121" s="238">
        <v>-10.83</v>
      </c>
      <c r="AP2121" s="238">
        <v>-38.1</v>
      </c>
      <c r="AQ2121" s="235" t="s">
        <v>632</v>
      </c>
      <c r="AR2121" s="243">
        <v>3.71E11</v>
      </c>
      <c r="AS2121" s="235" t="s">
        <v>15064</v>
      </c>
      <c r="AT2121" s="235" t="s">
        <v>155</v>
      </c>
      <c r="AU2121" s="235" t="s">
        <v>634</v>
      </c>
      <c r="AV2121" s="246" t="s">
        <v>635</v>
      </c>
      <c r="AW2121" s="242"/>
      <c r="AX2121" s="242"/>
      <c r="AY2121" s="231"/>
      <c r="AZ2121" s="231"/>
      <c r="BA2121" s="227"/>
      <c r="BB2121" s="231"/>
      <c r="BC2121" s="227"/>
      <c r="BD2121" s="227"/>
      <c r="BE2121" s="227"/>
      <c r="BF2121" s="227"/>
    </row>
    <row r="2122">
      <c r="A2122" s="235" t="s">
        <v>16448</v>
      </c>
      <c r="C2122" s="235" t="s">
        <v>16449</v>
      </c>
      <c r="D2122" s="235" t="s">
        <v>16455</v>
      </c>
      <c r="E2122" s="243">
        <v>6.54E13</v>
      </c>
      <c r="F2122" s="245"/>
      <c r="G2122" s="235" t="s">
        <v>16451</v>
      </c>
      <c r="H2122" s="235" t="s">
        <v>16452</v>
      </c>
      <c r="I2122" s="235" t="s">
        <v>16452</v>
      </c>
      <c r="J2122" s="235" t="s">
        <v>16453</v>
      </c>
      <c r="K2122" s="235" t="s">
        <v>16454</v>
      </c>
      <c r="N2122" s="235" t="s">
        <v>78</v>
      </c>
      <c r="O2122" s="235" t="s">
        <v>360</v>
      </c>
      <c r="P2122" s="238">
        <v>1.0</v>
      </c>
      <c r="Q2122" s="235" t="s">
        <v>627</v>
      </c>
      <c r="R2122" s="238">
        <v>360.96</v>
      </c>
      <c r="S2122" s="238">
        <v>17.5</v>
      </c>
      <c r="T2122" s="238">
        <v>38.1</v>
      </c>
      <c r="U2122" s="238">
        <v>1.9</v>
      </c>
      <c r="V2122" s="238">
        <v>0.0</v>
      </c>
      <c r="W2122" s="238">
        <v>0.0</v>
      </c>
      <c r="X2122" s="235" t="s">
        <v>628</v>
      </c>
      <c r="Z2122" s="244"/>
      <c r="AA2122" s="244"/>
      <c r="AB2122" s="244"/>
      <c r="AC2122" s="235" t="s">
        <v>1671</v>
      </c>
      <c r="AD2122" s="235" t="s">
        <v>666</v>
      </c>
      <c r="AE2122" s="238">
        <v>641035.0</v>
      </c>
      <c r="AF2122" s="235" t="s">
        <v>631</v>
      </c>
      <c r="AG2122" s="244"/>
      <c r="AH2122" s="244"/>
      <c r="AI2122" s="245"/>
      <c r="AJ2122" s="245"/>
      <c r="AK2122" s="245"/>
      <c r="AL2122" s="245"/>
      <c r="AM2122" s="244"/>
      <c r="AN2122" s="244"/>
      <c r="AO2122" s="238">
        <v>-10.83</v>
      </c>
      <c r="AP2122" s="238">
        <v>-38.1</v>
      </c>
      <c r="AQ2122" s="235" t="s">
        <v>632</v>
      </c>
      <c r="AR2122" s="243">
        <v>3.71E11</v>
      </c>
      <c r="AS2122" s="235" t="s">
        <v>15064</v>
      </c>
      <c r="AT2122" s="235" t="s">
        <v>155</v>
      </c>
      <c r="AU2122" s="235" t="s">
        <v>634</v>
      </c>
      <c r="AV2122" s="246" t="s">
        <v>635</v>
      </c>
      <c r="AW2122" s="242"/>
      <c r="AX2122" s="242"/>
      <c r="AY2122" s="231"/>
      <c r="AZ2122" s="231"/>
      <c r="BA2122" s="227"/>
      <c r="BB2122" s="231"/>
      <c r="BC2122" s="227"/>
      <c r="BD2122" s="227"/>
      <c r="BE2122" s="227"/>
      <c r="BF2122" s="227"/>
    </row>
    <row r="2123">
      <c r="A2123" s="235" t="s">
        <v>16456</v>
      </c>
      <c r="C2123" s="235" t="s">
        <v>16457</v>
      </c>
      <c r="D2123" s="235" t="s">
        <v>16458</v>
      </c>
      <c r="E2123" s="243">
        <v>6.53E13</v>
      </c>
      <c r="F2123" s="245"/>
      <c r="G2123" s="235" t="s">
        <v>16459</v>
      </c>
      <c r="H2123" s="235" t="s">
        <v>16460</v>
      </c>
      <c r="I2123" s="235" t="s">
        <v>16460</v>
      </c>
      <c r="J2123" s="235" t="s">
        <v>16461</v>
      </c>
      <c r="K2123" s="235" t="s">
        <v>16462</v>
      </c>
      <c r="N2123" s="235" t="s">
        <v>154</v>
      </c>
      <c r="O2123" s="235" t="s">
        <v>766</v>
      </c>
      <c r="P2123" s="238">
        <v>1.0</v>
      </c>
      <c r="Q2123" s="235" t="s">
        <v>627</v>
      </c>
      <c r="R2123" s="238">
        <v>500.96</v>
      </c>
      <c r="S2123" s="238">
        <v>25.04</v>
      </c>
      <c r="T2123" s="238">
        <v>38.1</v>
      </c>
      <c r="U2123" s="238">
        <v>1.9</v>
      </c>
      <c r="V2123" s="238">
        <v>0.0</v>
      </c>
      <c r="W2123" s="238">
        <v>0.0</v>
      </c>
      <c r="X2123" s="235" t="s">
        <v>628</v>
      </c>
      <c r="Z2123" s="244"/>
      <c r="AA2123" s="244"/>
      <c r="AB2123" s="244"/>
      <c r="AC2123" s="235" t="s">
        <v>678</v>
      </c>
      <c r="AD2123" s="235" t="s">
        <v>679</v>
      </c>
      <c r="AE2123" s="238">
        <v>560067.0</v>
      </c>
      <c r="AF2123" s="235" t="s">
        <v>631</v>
      </c>
      <c r="AG2123" s="244"/>
      <c r="AH2123" s="244"/>
      <c r="AI2123" s="245"/>
      <c r="AJ2123" s="245"/>
      <c r="AK2123" s="245"/>
      <c r="AL2123" s="245"/>
      <c r="AM2123" s="244"/>
      <c r="AN2123" s="244"/>
      <c r="AO2123" s="238">
        <v>0.0</v>
      </c>
      <c r="AP2123" s="238">
        <v>-38.1</v>
      </c>
      <c r="AQ2123" s="235" t="s">
        <v>632</v>
      </c>
      <c r="AR2123" s="243">
        <v>3.71E11</v>
      </c>
      <c r="AS2123" s="235" t="s">
        <v>15064</v>
      </c>
      <c r="AT2123" s="235" t="s">
        <v>11</v>
      </c>
      <c r="AU2123" s="235" t="s">
        <v>634</v>
      </c>
      <c r="AV2123" s="246" t="s">
        <v>635</v>
      </c>
      <c r="AW2123" s="242"/>
      <c r="AX2123" s="242"/>
      <c r="AY2123" s="231"/>
      <c r="AZ2123" s="231"/>
      <c r="BA2123" s="227"/>
      <c r="BB2123" s="231"/>
      <c r="BC2123" s="227"/>
      <c r="BD2123" s="227"/>
      <c r="BE2123" s="227"/>
      <c r="BF2123" s="227"/>
    </row>
    <row r="2124">
      <c r="A2124" s="235" t="s">
        <v>16463</v>
      </c>
      <c r="C2124" s="235" t="s">
        <v>16464</v>
      </c>
      <c r="D2124" s="235" t="s">
        <v>16465</v>
      </c>
      <c r="E2124" s="243">
        <v>6.52E13</v>
      </c>
      <c r="F2124" s="245"/>
      <c r="G2124" s="235" t="s">
        <v>16466</v>
      </c>
      <c r="H2124" s="235" t="s">
        <v>16467</v>
      </c>
      <c r="I2124" s="235" t="s">
        <v>16467</v>
      </c>
      <c r="J2124" s="235" t="s">
        <v>16468</v>
      </c>
      <c r="K2124" s="235" t="s">
        <v>16469</v>
      </c>
      <c r="N2124" s="235" t="s">
        <v>61</v>
      </c>
      <c r="O2124" s="235" t="s">
        <v>382</v>
      </c>
      <c r="P2124" s="238">
        <v>1.0</v>
      </c>
      <c r="Q2124" s="235" t="s">
        <v>627</v>
      </c>
      <c r="R2124" s="238">
        <v>360.96</v>
      </c>
      <c r="S2124" s="238">
        <v>18.04</v>
      </c>
      <c r="T2124" s="238">
        <v>38.1</v>
      </c>
      <c r="U2124" s="238">
        <v>1.9</v>
      </c>
      <c r="V2124" s="238">
        <v>0.0</v>
      </c>
      <c r="W2124" s="238">
        <v>0.0</v>
      </c>
      <c r="X2124" s="235" t="s">
        <v>628</v>
      </c>
      <c r="Z2124" s="244"/>
      <c r="AA2124" s="244"/>
      <c r="AB2124" s="244"/>
      <c r="AC2124" s="235" t="s">
        <v>678</v>
      </c>
      <c r="AD2124" s="235" t="s">
        <v>679</v>
      </c>
      <c r="AE2124" s="238">
        <v>560076.0</v>
      </c>
      <c r="AF2124" s="235" t="s">
        <v>631</v>
      </c>
      <c r="AG2124" s="244"/>
      <c r="AH2124" s="244"/>
      <c r="AI2124" s="245"/>
      <c r="AJ2124" s="245"/>
      <c r="AK2124" s="245"/>
      <c r="AL2124" s="245"/>
      <c r="AM2124" s="244"/>
      <c r="AN2124" s="244"/>
      <c r="AO2124" s="238">
        <v>0.0</v>
      </c>
      <c r="AP2124" s="238">
        <v>-38.1</v>
      </c>
      <c r="AQ2124" s="235" t="s">
        <v>632</v>
      </c>
      <c r="AR2124" s="243">
        <v>3.71E11</v>
      </c>
      <c r="AS2124" s="235" t="s">
        <v>15064</v>
      </c>
      <c r="AT2124" s="235" t="s">
        <v>9</v>
      </c>
      <c r="AU2124" s="235" t="s">
        <v>634</v>
      </c>
      <c r="AV2124" s="246" t="s">
        <v>635</v>
      </c>
      <c r="AW2124" s="242"/>
      <c r="AX2124" s="242"/>
      <c r="AY2124" s="231"/>
      <c r="AZ2124" s="231"/>
      <c r="BA2124" s="227"/>
      <c r="BB2124" s="231"/>
      <c r="BC2124" s="227"/>
      <c r="BD2124" s="227"/>
      <c r="BE2124" s="227"/>
      <c r="BF2124" s="227"/>
    </row>
    <row r="2125">
      <c r="A2125" s="235" t="s">
        <v>16470</v>
      </c>
      <c r="C2125" s="235" t="s">
        <v>16471</v>
      </c>
      <c r="D2125" s="235" t="s">
        <v>16472</v>
      </c>
      <c r="E2125" s="243">
        <v>6.54E13</v>
      </c>
      <c r="F2125" s="245"/>
      <c r="G2125" s="235" t="s">
        <v>16473</v>
      </c>
      <c r="H2125" s="235" t="s">
        <v>16474</v>
      </c>
      <c r="I2125" s="235" t="s">
        <v>16474</v>
      </c>
      <c r="J2125" s="235" t="s">
        <v>16475</v>
      </c>
      <c r="K2125" s="235" t="s">
        <v>16476</v>
      </c>
      <c r="N2125" s="235" t="s">
        <v>139</v>
      </c>
      <c r="O2125" s="235" t="s">
        <v>2091</v>
      </c>
      <c r="P2125" s="238">
        <v>1.0</v>
      </c>
      <c r="Q2125" s="235" t="s">
        <v>627</v>
      </c>
      <c r="R2125" s="238">
        <v>246.67</v>
      </c>
      <c r="S2125" s="238">
        <v>12.08</v>
      </c>
      <c r="T2125" s="238">
        <v>0.0</v>
      </c>
      <c r="U2125" s="238">
        <v>0.0</v>
      </c>
      <c r="V2125" s="238">
        <v>0.0</v>
      </c>
      <c r="W2125" s="238">
        <v>0.0</v>
      </c>
      <c r="X2125" s="235" t="s">
        <v>628</v>
      </c>
      <c r="Z2125" s="244"/>
      <c r="AA2125" s="244"/>
      <c r="AB2125" s="244"/>
      <c r="AC2125" s="235" t="s">
        <v>4397</v>
      </c>
      <c r="AD2125" s="235" t="s">
        <v>1151</v>
      </c>
      <c r="AE2125" s="238">
        <v>700090.0</v>
      </c>
      <c r="AF2125" s="235" t="s">
        <v>631</v>
      </c>
      <c r="AG2125" s="244"/>
      <c r="AH2125" s="244"/>
      <c r="AI2125" s="245"/>
      <c r="AJ2125" s="245"/>
      <c r="AK2125" s="245"/>
      <c r="AL2125" s="245"/>
      <c r="AM2125" s="244"/>
      <c r="AN2125" s="244"/>
      <c r="AO2125" s="238">
        <v>-4.93</v>
      </c>
      <c r="AP2125" s="238">
        <v>0.0</v>
      </c>
      <c r="AQ2125" s="235" t="s">
        <v>632</v>
      </c>
      <c r="AR2125" s="243">
        <v>3.71E11</v>
      </c>
      <c r="AS2125" s="235" t="s">
        <v>11171</v>
      </c>
      <c r="AT2125" s="235" t="s">
        <v>13</v>
      </c>
      <c r="AU2125" s="235" t="s">
        <v>634</v>
      </c>
      <c r="AV2125" s="246" t="s">
        <v>635</v>
      </c>
      <c r="AW2125" s="242"/>
      <c r="AX2125" s="242"/>
      <c r="AY2125" s="231"/>
      <c r="AZ2125" s="231"/>
      <c r="BA2125" s="227"/>
      <c r="BB2125" s="231"/>
      <c r="BC2125" s="227"/>
      <c r="BD2125" s="227"/>
      <c r="BE2125" s="227"/>
      <c r="BF2125" s="227"/>
    </row>
    <row r="2126">
      <c r="A2126" s="235" t="s">
        <v>16477</v>
      </c>
      <c r="C2126" s="235" t="s">
        <v>16478</v>
      </c>
      <c r="D2126" s="235" t="s">
        <v>16479</v>
      </c>
      <c r="E2126" s="243">
        <v>6.54E13</v>
      </c>
      <c r="F2126" s="245"/>
      <c r="G2126" s="235" t="s">
        <v>16480</v>
      </c>
      <c r="H2126" s="235" t="s">
        <v>16481</v>
      </c>
      <c r="I2126" s="235" t="s">
        <v>16481</v>
      </c>
      <c r="J2126" s="235" t="s">
        <v>16482</v>
      </c>
      <c r="K2126" s="235" t="s">
        <v>16483</v>
      </c>
      <c r="N2126" s="235" t="s">
        <v>154</v>
      </c>
      <c r="O2126" s="235" t="s">
        <v>766</v>
      </c>
      <c r="P2126" s="238">
        <v>1.0</v>
      </c>
      <c r="Q2126" s="235" t="s">
        <v>627</v>
      </c>
      <c r="R2126" s="238">
        <v>465.71</v>
      </c>
      <c r="S2126" s="238">
        <v>23.29</v>
      </c>
      <c r="T2126" s="238">
        <v>0.0</v>
      </c>
      <c r="U2126" s="238">
        <v>0.0</v>
      </c>
      <c r="V2126" s="238">
        <v>0.0</v>
      </c>
      <c r="W2126" s="238">
        <v>0.0</v>
      </c>
      <c r="X2126" s="235" t="s">
        <v>628</v>
      </c>
      <c r="Z2126" s="244"/>
      <c r="AA2126" s="244"/>
      <c r="AB2126" s="244"/>
      <c r="AC2126" s="235" t="s">
        <v>14959</v>
      </c>
      <c r="AD2126" s="235" t="s">
        <v>6097</v>
      </c>
      <c r="AE2126" s="238">
        <v>737101.0</v>
      </c>
      <c r="AF2126" s="235" t="s">
        <v>631</v>
      </c>
      <c r="AG2126" s="244"/>
      <c r="AH2126" s="244"/>
      <c r="AI2126" s="245"/>
      <c r="AJ2126" s="245"/>
      <c r="AK2126" s="245"/>
      <c r="AL2126" s="245"/>
      <c r="AM2126" s="244"/>
      <c r="AN2126" s="244"/>
      <c r="AO2126" s="238">
        <v>0.0</v>
      </c>
      <c r="AP2126" s="238">
        <v>0.0</v>
      </c>
      <c r="AQ2126" s="235" t="s">
        <v>632</v>
      </c>
      <c r="AR2126" s="243">
        <v>3.71E11</v>
      </c>
      <c r="AS2126" s="235" t="s">
        <v>10017</v>
      </c>
      <c r="AT2126" s="235" t="s">
        <v>13</v>
      </c>
      <c r="AU2126" s="235" t="s">
        <v>634</v>
      </c>
      <c r="AV2126" s="246" t="s">
        <v>635</v>
      </c>
      <c r="AW2126" s="242"/>
      <c r="AX2126" s="242"/>
      <c r="AY2126" s="231"/>
      <c r="AZ2126" s="231"/>
      <c r="BA2126" s="227"/>
      <c r="BB2126" s="231"/>
      <c r="BC2126" s="227"/>
      <c r="BD2126" s="227"/>
      <c r="BE2126" s="227"/>
      <c r="BF2126" s="227"/>
    </row>
    <row r="2127">
      <c r="A2127" s="235" t="s">
        <v>16484</v>
      </c>
      <c r="C2127" s="235" t="s">
        <v>16485</v>
      </c>
      <c r="D2127" s="235" t="s">
        <v>16486</v>
      </c>
      <c r="E2127" s="243">
        <v>6.54E13</v>
      </c>
      <c r="F2127" s="245"/>
      <c r="G2127" s="235" t="s">
        <v>16487</v>
      </c>
      <c r="H2127" s="235" t="s">
        <v>16488</v>
      </c>
      <c r="I2127" s="235" t="s">
        <v>16488</v>
      </c>
      <c r="J2127" s="235" t="s">
        <v>16489</v>
      </c>
      <c r="K2127" s="235" t="s">
        <v>16490</v>
      </c>
      <c r="N2127" s="235" t="s">
        <v>42</v>
      </c>
      <c r="O2127" s="235" t="s">
        <v>204</v>
      </c>
      <c r="P2127" s="238">
        <v>1.0</v>
      </c>
      <c r="Q2127" s="235" t="s">
        <v>627</v>
      </c>
      <c r="R2127" s="238">
        <v>237.14</v>
      </c>
      <c r="S2127" s="238">
        <v>11.62</v>
      </c>
      <c r="T2127" s="238">
        <v>0.0</v>
      </c>
      <c r="U2127" s="238">
        <v>0.0</v>
      </c>
      <c r="V2127" s="238">
        <v>0.0</v>
      </c>
      <c r="W2127" s="238">
        <v>0.0</v>
      </c>
      <c r="X2127" s="235" t="s">
        <v>628</v>
      </c>
      <c r="Z2127" s="244"/>
      <c r="AA2127" s="244"/>
      <c r="AB2127" s="244"/>
      <c r="AC2127" s="235" t="s">
        <v>4596</v>
      </c>
      <c r="AD2127" s="235" t="s">
        <v>833</v>
      </c>
      <c r="AE2127" s="238">
        <v>532001.0</v>
      </c>
      <c r="AF2127" s="235" t="s">
        <v>631</v>
      </c>
      <c r="AG2127" s="244"/>
      <c r="AH2127" s="244"/>
      <c r="AI2127" s="245"/>
      <c r="AJ2127" s="245"/>
      <c r="AK2127" s="245"/>
      <c r="AL2127" s="245"/>
      <c r="AM2127" s="244"/>
      <c r="AN2127" s="244"/>
      <c r="AO2127" s="238">
        <v>-4.74</v>
      </c>
      <c r="AP2127" s="238">
        <v>0.0</v>
      </c>
      <c r="AQ2127" s="235" t="s">
        <v>632</v>
      </c>
      <c r="AR2127" s="243">
        <v>3.71E11</v>
      </c>
      <c r="AS2127" s="235" t="s">
        <v>11171</v>
      </c>
      <c r="AT2127" s="235" t="s">
        <v>156</v>
      </c>
      <c r="AU2127" s="235" t="s">
        <v>634</v>
      </c>
      <c r="AV2127" s="246" t="s">
        <v>635</v>
      </c>
      <c r="AW2127" s="242"/>
      <c r="AX2127" s="242"/>
      <c r="AY2127" s="231"/>
      <c r="AZ2127" s="231"/>
      <c r="BA2127" s="227"/>
      <c r="BB2127" s="231"/>
      <c r="BC2127" s="227"/>
      <c r="BD2127" s="227"/>
      <c r="BE2127" s="227"/>
      <c r="BF2127" s="227"/>
    </row>
    <row r="2128">
      <c r="A2128" s="235" t="s">
        <v>16491</v>
      </c>
      <c r="C2128" s="235" t="s">
        <v>16492</v>
      </c>
      <c r="D2128" s="235" t="s">
        <v>16493</v>
      </c>
      <c r="E2128" s="243">
        <v>6.54E13</v>
      </c>
      <c r="F2128" s="245"/>
      <c r="G2128" s="235" t="s">
        <v>16494</v>
      </c>
      <c r="H2128" s="235" t="s">
        <v>16495</v>
      </c>
      <c r="I2128" s="235" t="s">
        <v>16495</v>
      </c>
      <c r="J2128" s="235" t="s">
        <v>16496</v>
      </c>
      <c r="K2128" s="235" t="s">
        <v>16497</v>
      </c>
      <c r="N2128" s="235" t="s">
        <v>154</v>
      </c>
      <c r="O2128" s="235" t="s">
        <v>766</v>
      </c>
      <c r="P2128" s="238">
        <v>1.0</v>
      </c>
      <c r="Q2128" s="235" t="s">
        <v>627</v>
      </c>
      <c r="R2128" s="238">
        <v>465.71</v>
      </c>
      <c r="S2128" s="238">
        <v>23.29</v>
      </c>
      <c r="T2128" s="238">
        <v>38.1</v>
      </c>
      <c r="U2128" s="238">
        <v>1.9</v>
      </c>
      <c r="V2128" s="238">
        <v>0.0</v>
      </c>
      <c r="W2128" s="238">
        <v>0.0</v>
      </c>
      <c r="X2128" s="235" t="s">
        <v>628</v>
      </c>
      <c r="Z2128" s="244"/>
      <c r="AA2128" s="244"/>
      <c r="AB2128" s="244"/>
      <c r="AC2128" s="235" t="s">
        <v>16498</v>
      </c>
      <c r="AD2128" s="235" t="s">
        <v>645</v>
      </c>
      <c r="AE2128" s="238">
        <v>688539.0</v>
      </c>
      <c r="AF2128" s="235" t="s">
        <v>631</v>
      </c>
      <c r="AG2128" s="244"/>
      <c r="AH2128" s="244"/>
      <c r="AI2128" s="245"/>
      <c r="AJ2128" s="245"/>
      <c r="AK2128" s="245"/>
      <c r="AL2128" s="245"/>
      <c r="AM2128" s="244"/>
      <c r="AN2128" s="244"/>
      <c r="AO2128" s="238">
        <v>0.0</v>
      </c>
      <c r="AP2128" s="238">
        <v>-38.1</v>
      </c>
      <c r="AQ2128" s="235" t="s">
        <v>632</v>
      </c>
      <c r="AR2128" s="243">
        <v>3.71E11</v>
      </c>
      <c r="AS2128" s="235" t="s">
        <v>13822</v>
      </c>
      <c r="AT2128" s="235" t="s">
        <v>11</v>
      </c>
      <c r="AU2128" s="235" t="s">
        <v>634</v>
      </c>
      <c r="AV2128" s="246" t="s">
        <v>635</v>
      </c>
      <c r="AW2128" s="242"/>
      <c r="AX2128" s="242"/>
      <c r="AY2128" s="231"/>
      <c r="AZ2128" s="231"/>
      <c r="BA2128" s="227"/>
      <c r="BB2128" s="231"/>
      <c r="BC2128" s="227"/>
      <c r="BD2128" s="227"/>
      <c r="BE2128" s="227"/>
      <c r="BF2128" s="227"/>
    </row>
    <row r="2129">
      <c r="A2129" s="235" t="s">
        <v>16499</v>
      </c>
      <c r="C2129" s="235" t="s">
        <v>16500</v>
      </c>
      <c r="D2129" s="235" t="s">
        <v>16501</v>
      </c>
      <c r="E2129" s="243">
        <v>6.54E13</v>
      </c>
      <c r="F2129" s="245"/>
      <c r="G2129" s="235" t="s">
        <v>16502</v>
      </c>
      <c r="H2129" s="235" t="s">
        <v>16503</v>
      </c>
      <c r="I2129" s="235" t="s">
        <v>16503</v>
      </c>
      <c r="J2129" s="235" t="s">
        <v>16504</v>
      </c>
      <c r="K2129" s="235" t="s">
        <v>16505</v>
      </c>
      <c r="N2129" s="235" t="s">
        <v>127</v>
      </c>
      <c r="O2129" s="235" t="s">
        <v>794</v>
      </c>
      <c r="P2129" s="238">
        <v>1.0</v>
      </c>
      <c r="Q2129" s="235" t="s">
        <v>627</v>
      </c>
      <c r="R2129" s="238">
        <v>246.66</v>
      </c>
      <c r="S2129" s="238">
        <v>12.34</v>
      </c>
      <c r="T2129" s="238">
        <v>0.0</v>
      </c>
      <c r="U2129" s="238">
        <v>0.0</v>
      </c>
      <c r="V2129" s="238">
        <v>0.0</v>
      </c>
      <c r="W2129" s="238">
        <v>0.0</v>
      </c>
      <c r="X2129" s="235" t="s">
        <v>628</v>
      </c>
      <c r="Z2129" s="244"/>
      <c r="AA2129" s="244"/>
      <c r="AB2129" s="244"/>
      <c r="AC2129" s="235" t="s">
        <v>16506</v>
      </c>
      <c r="AD2129" s="235" t="s">
        <v>16507</v>
      </c>
      <c r="AE2129" s="238">
        <v>133001.0</v>
      </c>
      <c r="AF2129" s="235" t="s">
        <v>631</v>
      </c>
      <c r="AG2129" s="244"/>
      <c r="AH2129" s="244"/>
      <c r="AI2129" s="245"/>
      <c r="AJ2129" s="245"/>
      <c r="AK2129" s="245"/>
      <c r="AL2129" s="245"/>
      <c r="AM2129" s="244"/>
      <c r="AN2129" s="244"/>
      <c r="AO2129" s="238">
        <v>0.0</v>
      </c>
      <c r="AP2129" s="238">
        <v>0.0</v>
      </c>
      <c r="AQ2129" s="235" t="s">
        <v>632</v>
      </c>
      <c r="AR2129" s="243">
        <v>3.71E11</v>
      </c>
      <c r="AS2129" s="235" t="s">
        <v>15064</v>
      </c>
      <c r="AT2129" s="235" t="s">
        <v>533</v>
      </c>
      <c r="AU2129" s="235" t="s">
        <v>634</v>
      </c>
      <c r="AV2129" s="246" t="s">
        <v>635</v>
      </c>
      <c r="AW2129" s="242"/>
      <c r="AX2129" s="242"/>
      <c r="AY2129" s="231"/>
      <c r="AZ2129" s="231"/>
      <c r="BA2129" s="227"/>
      <c r="BB2129" s="231"/>
      <c r="BC2129" s="227"/>
      <c r="BD2129" s="227"/>
      <c r="BE2129" s="227"/>
      <c r="BF2129" s="227"/>
    </row>
    <row r="2130">
      <c r="A2130" s="235" t="s">
        <v>16508</v>
      </c>
      <c r="C2130" s="235" t="s">
        <v>16509</v>
      </c>
      <c r="D2130" s="235" t="s">
        <v>16510</v>
      </c>
      <c r="E2130" s="243">
        <v>6.54E13</v>
      </c>
      <c r="F2130" s="245"/>
      <c r="G2130" s="235" t="s">
        <v>16511</v>
      </c>
      <c r="H2130" s="235" t="s">
        <v>16512</v>
      </c>
      <c r="I2130" s="235" t="s">
        <v>16512</v>
      </c>
      <c r="J2130" s="235" t="s">
        <v>16513</v>
      </c>
      <c r="K2130" s="235" t="s">
        <v>16514</v>
      </c>
      <c r="N2130" s="235" t="s">
        <v>92</v>
      </c>
      <c r="O2130" s="235" t="s">
        <v>248</v>
      </c>
      <c r="P2130" s="238">
        <v>1.0</v>
      </c>
      <c r="Q2130" s="235" t="s">
        <v>627</v>
      </c>
      <c r="R2130" s="238">
        <v>246.67</v>
      </c>
      <c r="S2130" s="238">
        <v>12.08</v>
      </c>
      <c r="T2130" s="238">
        <v>0.0</v>
      </c>
      <c r="U2130" s="238">
        <v>0.0</v>
      </c>
      <c r="V2130" s="238">
        <v>0.0</v>
      </c>
      <c r="W2130" s="238">
        <v>0.0</v>
      </c>
      <c r="X2130" s="235" t="s">
        <v>628</v>
      </c>
      <c r="Z2130" s="244"/>
      <c r="AA2130" s="244"/>
      <c r="AB2130" s="244"/>
      <c r="AC2130" s="235" t="s">
        <v>2228</v>
      </c>
      <c r="AD2130" s="235" t="s">
        <v>1151</v>
      </c>
      <c r="AE2130" s="238">
        <v>700135.0</v>
      </c>
      <c r="AF2130" s="235" t="s">
        <v>631</v>
      </c>
      <c r="AG2130" s="244"/>
      <c r="AH2130" s="244"/>
      <c r="AI2130" s="245"/>
      <c r="AJ2130" s="245"/>
      <c r="AK2130" s="245"/>
      <c r="AL2130" s="245"/>
      <c r="AM2130" s="244"/>
      <c r="AN2130" s="244"/>
      <c r="AO2130" s="238">
        <v>-4.93</v>
      </c>
      <c r="AP2130" s="238">
        <v>0.0</v>
      </c>
      <c r="AQ2130" s="235" t="s">
        <v>632</v>
      </c>
      <c r="AR2130" s="243">
        <v>2.02E11</v>
      </c>
      <c r="AS2130" s="235" t="s">
        <v>15064</v>
      </c>
      <c r="AT2130" s="235" t="s">
        <v>156</v>
      </c>
      <c r="AU2130" s="235" t="s">
        <v>634</v>
      </c>
      <c r="AV2130" s="246" t="s">
        <v>635</v>
      </c>
      <c r="AW2130" s="242"/>
      <c r="AX2130" s="242"/>
      <c r="AY2130" s="231"/>
      <c r="AZ2130" s="231"/>
      <c r="BA2130" s="227"/>
      <c r="BB2130" s="231"/>
      <c r="BC2130" s="227"/>
      <c r="BD2130" s="227"/>
      <c r="BE2130" s="227"/>
      <c r="BF2130" s="227"/>
    </row>
    <row r="2131">
      <c r="A2131" s="235" t="s">
        <v>16515</v>
      </c>
      <c r="C2131" s="235" t="s">
        <v>16516</v>
      </c>
      <c r="D2131" s="235" t="s">
        <v>16517</v>
      </c>
      <c r="E2131" s="243">
        <v>6.54E13</v>
      </c>
      <c r="F2131" s="245"/>
      <c r="G2131" s="235" t="s">
        <v>16518</v>
      </c>
      <c r="H2131" s="235" t="s">
        <v>16519</v>
      </c>
      <c r="I2131" s="235" t="s">
        <v>16519</v>
      </c>
      <c r="J2131" s="235" t="s">
        <v>16520</v>
      </c>
      <c r="K2131" s="235" t="s">
        <v>16521</v>
      </c>
      <c r="N2131" s="235" t="s">
        <v>47</v>
      </c>
      <c r="O2131" s="235" t="s">
        <v>270</v>
      </c>
      <c r="P2131" s="238">
        <v>1.0</v>
      </c>
      <c r="Q2131" s="235" t="s">
        <v>627</v>
      </c>
      <c r="R2131" s="238">
        <v>237.14</v>
      </c>
      <c r="S2131" s="238">
        <v>11.62</v>
      </c>
      <c r="T2131" s="238">
        <v>0.0</v>
      </c>
      <c r="U2131" s="238">
        <v>0.0</v>
      </c>
      <c r="V2131" s="238">
        <v>0.0</v>
      </c>
      <c r="W2131" s="238">
        <v>0.0</v>
      </c>
      <c r="X2131" s="235" t="s">
        <v>628</v>
      </c>
      <c r="Z2131" s="244"/>
      <c r="AA2131" s="244"/>
      <c r="AB2131" s="244"/>
      <c r="AC2131" s="235" t="s">
        <v>3449</v>
      </c>
      <c r="AD2131" s="235" t="s">
        <v>833</v>
      </c>
      <c r="AE2131" s="238">
        <v>533103.0</v>
      </c>
      <c r="AF2131" s="235" t="s">
        <v>631</v>
      </c>
      <c r="AG2131" s="244"/>
      <c r="AH2131" s="244"/>
      <c r="AI2131" s="245"/>
      <c r="AJ2131" s="245"/>
      <c r="AK2131" s="245"/>
      <c r="AL2131" s="245"/>
      <c r="AM2131" s="244"/>
      <c r="AN2131" s="244"/>
      <c r="AO2131" s="238">
        <v>-4.74</v>
      </c>
      <c r="AP2131" s="238">
        <v>0.0</v>
      </c>
      <c r="AQ2131" s="235" t="s">
        <v>632</v>
      </c>
      <c r="AR2131" s="243">
        <v>3.71E11</v>
      </c>
      <c r="AS2131" s="235" t="s">
        <v>13822</v>
      </c>
      <c r="AT2131" s="235" t="s">
        <v>156</v>
      </c>
      <c r="AU2131" s="235" t="s">
        <v>634</v>
      </c>
      <c r="AV2131" s="246" t="s">
        <v>635</v>
      </c>
      <c r="AW2131" s="242"/>
      <c r="AX2131" s="242"/>
      <c r="AY2131" s="231"/>
      <c r="AZ2131" s="231"/>
      <c r="BA2131" s="227"/>
      <c r="BB2131" s="231"/>
      <c r="BC2131" s="227"/>
      <c r="BD2131" s="227"/>
      <c r="BE2131" s="227"/>
      <c r="BF2131" s="227"/>
    </row>
    <row r="2132">
      <c r="A2132" s="235" t="s">
        <v>16522</v>
      </c>
      <c r="C2132" s="235" t="s">
        <v>16523</v>
      </c>
      <c r="D2132" s="235" t="s">
        <v>16524</v>
      </c>
      <c r="E2132" s="243">
        <v>6.53E13</v>
      </c>
      <c r="F2132" s="245"/>
      <c r="G2132" s="235" t="s">
        <v>16525</v>
      </c>
      <c r="H2132" s="235" t="s">
        <v>16526</v>
      </c>
      <c r="I2132" s="235" t="s">
        <v>16526</v>
      </c>
      <c r="J2132" s="235" t="s">
        <v>16527</v>
      </c>
      <c r="K2132" s="235" t="s">
        <v>16528</v>
      </c>
      <c r="N2132" s="235" t="s">
        <v>50</v>
      </c>
      <c r="O2132" s="235" t="s">
        <v>367</v>
      </c>
      <c r="P2132" s="238">
        <v>1.0</v>
      </c>
      <c r="Q2132" s="235" t="s">
        <v>627</v>
      </c>
      <c r="R2132" s="238">
        <v>233.33</v>
      </c>
      <c r="S2132" s="238">
        <v>11.67</v>
      </c>
      <c r="T2132" s="238">
        <v>38.1</v>
      </c>
      <c r="U2132" s="238">
        <v>1.9</v>
      </c>
      <c r="V2132" s="238">
        <v>0.0</v>
      </c>
      <c r="W2132" s="238">
        <v>0.0</v>
      </c>
      <c r="X2132" s="235" t="s">
        <v>628</v>
      </c>
      <c r="Z2132" s="244"/>
      <c r="AA2132" s="244"/>
      <c r="AB2132" s="244"/>
      <c r="AC2132" s="235" t="s">
        <v>697</v>
      </c>
      <c r="AD2132" s="235" t="s">
        <v>698</v>
      </c>
      <c r="AE2132" s="238">
        <v>500087.0</v>
      </c>
      <c r="AF2132" s="235" t="s">
        <v>631</v>
      </c>
      <c r="AG2132" s="244"/>
      <c r="AH2132" s="244"/>
      <c r="AI2132" s="245"/>
      <c r="AJ2132" s="245"/>
      <c r="AK2132" s="245"/>
      <c r="AL2132" s="245"/>
      <c r="AM2132" s="244"/>
      <c r="AN2132" s="244"/>
      <c r="AO2132" s="238">
        <v>0.0</v>
      </c>
      <c r="AP2132" s="238">
        <v>-38.1</v>
      </c>
      <c r="AQ2132" s="235" t="s">
        <v>632</v>
      </c>
      <c r="AR2132" s="243">
        <v>3.71E11</v>
      </c>
      <c r="AS2132" s="235" t="s">
        <v>13822</v>
      </c>
      <c r="AT2132" s="235" t="s">
        <v>11</v>
      </c>
      <c r="AU2132" s="235" t="s">
        <v>634</v>
      </c>
      <c r="AV2132" s="246" t="s">
        <v>635</v>
      </c>
      <c r="AW2132" s="242"/>
      <c r="AX2132" s="242"/>
      <c r="AY2132" s="231"/>
      <c r="AZ2132" s="231"/>
      <c r="BA2132" s="227"/>
      <c r="BB2132" s="231"/>
      <c r="BC2132" s="227"/>
      <c r="BD2132" s="227"/>
      <c r="BE2132" s="227"/>
      <c r="BF2132" s="227"/>
    </row>
    <row r="2133">
      <c r="A2133" s="235" t="s">
        <v>16529</v>
      </c>
      <c r="C2133" s="235" t="s">
        <v>16530</v>
      </c>
      <c r="D2133" s="235" t="s">
        <v>16531</v>
      </c>
      <c r="E2133" s="243">
        <v>6.54E13</v>
      </c>
      <c r="F2133" s="245"/>
      <c r="G2133" s="235" t="s">
        <v>16532</v>
      </c>
      <c r="H2133" s="235" t="s">
        <v>16533</v>
      </c>
      <c r="I2133" s="235" t="s">
        <v>16533</v>
      </c>
      <c r="J2133" s="235" t="s">
        <v>16534</v>
      </c>
      <c r="K2133" s="235" t="s">
        <v>16535</v>
      </c>
      <c r="N2133" s="235" t="s">
        <v>61</v>
      </c>
      <c r="O2133" s="235" t="s">
        <v>382</v>
      </c>
      <c r="P2133" s="238">
        <v>1.0</v>
      </c>
      <c r="Q2133" s="235" t="s">
        <v>627</v>
      </c>
      <c r="R2133" s="238">
        <v>380.0</v>
      </c>
      <c r="S2133" s="238">
        <v>18.62</v>
      </c>
      <c r="T2133" s="238">
        <v>38.1</v>
      </c>
      <c r="U2133" s="238">
        <v>1.9</v>
      </c>
      <c r="V2133" s="238">
        <v>0.0</v>
      </c>
      <c r="W2133" s="238">
        <v>0.0</v>
      </c>
      <c r="X2133" s="235" t="s">
        <v>628</v>
      </c>
      <c r="Z2133" s="244"/>
      <c r="AA2133" s="244"/>
      <c r="AB2133" s="244"/>
      <c r="AC2133" s="235" t="s">
        <v>795</v>
      </c>
      <c r="AD2133" s="235" t="s">
        <v>796</v>
      </c>
      <c r="AE2133" s="238">
        <v>110075.0</v>
      </c>
      <c r="AF2133" s="235" t="s">
        <v>631</v>
      </c>
      <c r="AG2133" s="244"/>
      <c r="AH2133" s="244"/>
      <c r="AI2133" s="245"/>
      <c r="AJ2133" s="245"/>
      <c r="AK2133" s="245"/>
      <c r="AL2133" s="245"/>
      <c r="AM2133" s="244"/>
      <c r="AN2133" s="244"/>
      <c r="AO2133" s="238">
        <v>-7.6</v>
      </c>
      <c r="AP2133" s="238">
        <v>-38.1</v>
      </c>
      <c r="AQ2133" s="235" t="s">
        <v>632</v>
      </c>
      <c r="AR2133" s="243">
        <v>3.71E11</v>
      </c>
      <c r="AS2133" s="235" t="s">
        <v>15064</v>
      </c>
      <c r="AT2133" s="235" t="s">
        <v>14</v>
      </c>
      <c r="AU2133" s="235" t="s">
        <v>634</v>
      </c>
      <c r="AV2133" s="246" t="s">
        <v>635</v>
      </c>
      <c r="AW2133" s="242"/>
      <c r="AX2133" s="242"/>
      <c r="AY2133" s="231"/>
      <c r="AZ2133" s="231"/>
      <c r="BA2133" s="227"/>
      <c r="BB2133" s="231"/>
      <c r="BC2133" s="227"/>
      <c r="BD2133" s="227"/>
      <c r="BE2133" s="227"/>
      <c r="BF2133" s="227"/>
    </row>
    <row r="2134">
      <c r="A2134" s="235" t="s">
        <v>16536</v>
      </c>
      <c r="C2134" s="235" t="s">
        <v>16537</v>
      </c>
      <c r="D2134" s="235" t="s">
        <v>16538</v>
      </c>
      <c r="E2134" s="243">
        <v>6.54E13</v>
      </c>
      <c r="F2134" s="245"/>
      <c r="G2134" s="235" t="s">
        <v>16539</v>
      </c>
      <c r="H2134" s="235" t="s">
        <v>16540</v>
      </c>
      <c r="I2134" s="235" t="s">
        <v>16540</v>
      </c>
      <c r="J2134" s="235" t="s">
        <v>16541</v>
      </c>
      <c r="K2134" s="235" t="s">
        <v>16542</v>
      </c>
      <c r="N2134" s="235" t="s">
        <v>42</v>
      </c>
      <c r="O2134" s="235" t="s">
        <v>204</v>
      </c>
      <c r="P2134" s="238">
        <v>1.0</v>
      </c>
      <c r="Q2134" s="235" t="s">
        <v>627</v>
      </c>
      <c r="R2134" s="238">
        <v>237.14</v>
      </c>
      <c r="S2134" s="238">
        <v>11.86</v>
      </c>
      <c r="T2134" s="238">
        <v>0.0</v>
      </c>
      <c r="U2134" s="238">
        <v>0.0</v>
      </c>
      <c r="V2134" s="238">
        <v>0.0</v>
      </c>
      <c r="W2134" s="238">
        <v>0.0</v>
      </c>
      <c r="X2134" s="235" t="s">
        <v>628</v>
      </c>
      <c r="Z2134" s="244"/>
      <c r="AA2134" s="244"/>
      <c r="AB2134" s="244"/>
      <c r="AC2134" s="235" t="s">
        <v>16543</v>
      </c>
      <c r="AD2134" s="235" t="s">
        <v>833</v>
      </c>
      <c r="AE2134" s="238">
        <v>517640.0</v>
      </c>
      <c r="AF2134" s="235" t="s">
        <v>631</v>
      </c>
      <c r="AG2134" s="244"/>
      <c r="AH2134" s="244"/>
      <c r="AI2134" s="245"/>
      <c r="AJ2134" s="245"/>
      <c r="AK2134" s="245"/>
      <c r="AL2134" s="245"/>
      <c r="AM2134" s="244"/>
      <c r="AN2134" s="244"/>
      <c r="AO2134" s="238">
        <v>0.0</v>
      </c>
      <c r="AP2134" s="238">
        <v>0.0</v>
      </c>
      <c r="AQ2134" s="235" t="s">
        <v>632</v>
      </c>
      <c r="AR2134" s="243">
        <v>1.68E11</v>
      </c>
      <c r="AS2134" s="235" t="s">
        <v>15064</v>
      </c>
      <c r="AT2134" s="235" t="s">
        <v>11</v>
      </c>
      <c r="AU2134" s="235" t="s">
        <v>634</v>
      </c>
      <c r="AV2134" s="246" t="s">
        <v>635</v>
      </c>
      <c r="AW2134" s="242"/>
      <c r="AX2134" s="242"/>
      <c r="AY2134" s="231"/>
      <c r="AZ2134" s="231"/>
      <c r="BA2134" s="227"/>
      <c r="BB2134" s="231"/>
      <c r="BC2134" s="227"/>
      <c r="BD2134" s="227"/>
      <c r="BE2134" s="227"/>
      <c r="BF2134" s="227"/>
    </row>
    <row r="2135">
      <c r="A2135" s="235" t="s">
        <v>16544</v>
      </c>
      <c r="C2135" s="235" t="s">
        <v>16545</v>
      </c>
      <c r="D2135" s="235" t="s">
        <v>16546</v>
      </c>
      <c r="E2135" s="243">
        <v>6.54E13</v>
      </c>
      <c r="F2135" s="245"/>
      <c r="G2135" s="235" t="s">
        <v>16547</v>
      </c>
      <c r="H2135" s="235" t="s">
        <v>16548</v>
      </c>
      <c r="I2135" s="235" t="s">
        <v>16548</v>
      </c>
      <c r="J2135" s="235" t="s">
        <v>16549</v>
      </c>
      <c r="K2135" s="235" t="s">
        <v>16550</v>
      </c>
      <c r="N2135" s="235" t="s">
        <v>85</v>
      </c>
      <c r="O2135" s="235" t="s">
        <v>872</v>
      </c>
      <c r="P2135" s="238">
        <v>1.0</v>
      </c>
      <c r="Q2135" s="235" t="s">
        <v>627</v>
      </c>
      <c r="R2135" s="238">
        <v>246.67</v>
      </c>
      <c r="S2135" s="238">
        <v>12.33</v>
      </c>
      <c r="T2135" s="238">
        <v>38.1</v>
      </c>
      <c r="U2135" s="238">
        <v>1.9</v>
      </c>
      <c r="V2135" s="238">
        <v>0.0</v>
      </c>
      <c r="W2135" s="238">
        <v>0.0</v>
      </c>
      <c r="X2135" s="235" t="s">
        <v>628</v>
      </c>
      <c r="Z2135" s="244"/>
      <c r="AA2135" s="244"/>
      <c r="AB2135" s="244"/>
      <c r="AC2135" s="235" t="s">
        <v>795</v>
      </c>
      <c r="AD2135" s="235" t="s">
        <v>796</v>
      </c>
      <c r="AE2135" s="238">
        <v>110094.0</v>
      </c>
      <c r="AF2135" s="235" t="s">
        <v>631</v>
      </c>
      <c r="AG2135" s="244"/>
      <c r="AH2135" s="244"/>
      <c r="AI2135" s="245"/>
      <c r="AJ2135" s="245"/>
      <c r="AK2135" s="245"/>
      <c r="AL2135" s="245"/>
      <c r="AM2135" s="244"/>
      <c r="AN2135" s="244"/>
      <c r="AO2135" s="238">
        <v>0.0</v>
      </c>
      <c r="AP2135" s="238">
        <v>-38.1</v>
      </c>
      <c r="AQ2135" s="235" t="s">
        <v>632</v>
      </c>
      <c r="AR2135" s="243">
        <v>2.02E11</v>
      </c>
      <c r="AS2135" s="235" t="s">
        <v>15064</v>
      </c>
      <c r="AT2135" s="235" t="s">
        <v>9</v>
      </c>
      <c r="AU2135" s="235" t="s">
        <v>634</v>
      </c>
      <c r="AV2135" s="246" t="s">
        <v>635</v>
      </c>
      <c r="AW2135" s="242"/>
      <c r="AX2135" s="242"/>
      <c r="AY2135" s="231"/>
      <c r="AZ2135" s="231"/>
      <c r="BA2135" s="227"/>
      <c r="BB2135" s="231"/>
      <c r="BC2135" s="227"/>
      <c r="BD2135" s="227"/>
      <c r="BE2135" s="227"/>
      <c r="BF2135" s="227"/>
    </row>
    <row r="2136">
      <c r="A2136" s="235" t="s">
        <v>16551</v>
      </c>
      <c r="C2136" s="235" t="s">
        <v>16552</v>
      </c>
      <c r="D2136" s="235" t="s">
        <v>16553</v>
      </c>
      <c r="E2136" s="243">
        <v>6.53E13</v>
      </c>
      <c r="F2136" s="245"/>
      <c r="G2136" s="235" t="s">
        <v>16554</v>
      </c>
      <c r="H2136" s="235" t="s">
        <v>16555</v>
      </c>
      <c r="I2136" s="235" t="s">
        <v>16555</v>
      </c>
      <c r="J2136" s="235" t="s">
        <v>16556</v>
      </c>
      <c r="K2136" s="235" t="s">
        <v>8822</v>
      </c>
      <c r="N2136" s="235" t="s">
        <v>842</v>
      </c>
      <c r="O2136" s="235" t="s">
        <v>843</v>
      </c>
      <c r="P2136" s="238">
        <v>1.0</v>
      </c>
      <c r="Q2136" s="235" t="s">
        <v>627</v>
      </c>
      <c r="R2136" s="238">
        <v>270.48</v>
      </c>
      <c r="S2136" s="238">
        <v>13.52</v>
      </c>
      <c r="T2136" s="238">
        <v>38.1</v>
      </c>
      <c r="U2136" s="238">
        <v>1.9</v>
      </c>
      <c r="V2136" s="238">
        <v>0.0</v>
      </c>
      <c r="W2136" s="238">
        <v>0.0</v>
      </c>
      <c r="X2136" s="235" t="s">
        <v>628</v>
      </c>
      <c r="Z2136" s="244"/>
      <c r="AA2136" s="244"/>
      <c r="AB2136" s="244"/>
      <c r="AC2136" s="235" t="s">
        <v>2639</v>
      </c>
      <c r="AD2136" s="235" t="s">
        <v>630</v>
      </c>
      <c r="AE2136" s="238">
        <v>201306.0</v>
      </c>
      <c r="AF2136" s="235" t="s">
        <v>631</v>
      </c>
      <c r="AG2136" s="244"/>
      <c r="AH2136" s="244"/>
      <c r="AI2136" s="245"/>
      <c r="AJ2136" s="245"/>
      <c r="AK2136" s="245"/>
      <c r="AL2136" s="245"/>
      <c r="AM2136" s="244"/>
      <c r="AN2136" s="244"/>
      <c r="AO2136" s="238">
        <v>0.0</v>
      </c>
      <c r="AP2136" s="238">
        <v>-38.1</v>
      </c>
      <c r="AQ2136" s="235" t="s">
        <v>632</v>
      </c>
      <c r="AR2136" s="243">
        <v>3.71E11</v>
      </c>
      <c r="AS2136" s="235" t="s">
        <v>15064</v>
      </c>
      <c r="AT2136" s="235" t="s">
        <v>533</v>
      </c>
      <c r="AU2136" s="235" t="s">
        <v>634</v>
      </c>
      <c r="AV2136" s="246" t="s">
        <v>635</v>
      </c>
      <c r="AW2136" s="242"/>
      <c r="AX2136" s="242"/>
      <c r="AY2136" s="231"/>
      <c r="AZ2136" s="231"/>
      <c r="BA2136" s="227"/>
      <c r="BB2136" s="231"/>
      <c r="BC2136" s="227"/>
      <c r="BD2136" s="227"/>
      <c r="BE2136" s="227"/>
      <c r="BF2136" s="227"/>
    </row>
    <row r="2137">
      <c r="A2137" s="235" t="s">
        <v>16557</v>
      </c>
      <c r="C2137" s="235" t="s">
        <v>16558</v>
      </c>
      <c r="D2137" s="235" t="s">
        <v>16559</v>
      </c>
      <c r="E2137" s="243">
        <v>6.54E13</v>
      </c>
      <c r="F2137" s="245"/>
      <c r="G2137" s="235" t="s">
        <v>16560</v>
      </c>
      <c r="H2137" s="235" t="s">
        <v>16561</v>
      </c>
      <c r="I2137" s="235" t="s">
        <v>16561</v>
      </c>
      <c r="J2137" s="235" t="s">
        <v>16562</v>
      </c>
      <c r="K2137" s="235" t="s">
        <v>16563</v>
      </c>
      <c r="N2137" s="235" t="s">
        <v>82</v>
      </c>
      <c r="O2137" s="235" t="s">
        <v>889</v>
      </c>
      <c r="P2137" s="238">
        <v>1.0</v>
      </c>
      <c r="Q2137" s="235" t="s">
        <v>627</v>
      </c>
      <c r="R2137" s="238">
        <v>246.67</v>
      </c>
      <c r="S2137" s="238">
        <v>12.33</v>
      </c>
      <c r="T2137" s="238">
        <v>38.1</v>
      </c>
      <c r="U2137" s="238">
        <v>1.9</v>
      </c>
      <c r="V2137" s="238">
        <v>0.0</v>
      </c>
      <c r="W2137" s="238">
        <v>0.0</v>
      </c>
      <c r="X2137" s="235" t="s">
        <v>628</v>
      </c>
      <c r="Z2137" s="244"/>
      <c r="AA2137" s="244"/>
      <c r="AB2137" s="244"/>
      <c r="AC2137" s="235" t="s">
        <v>2325</v>
      </c>
      <c r="AD2137" s="235" t="s">
        <v>645</v>
      </c>
      <c r="AE2137" s="238">
        <v>686664.0</v>
      </c>
      <c r="AF2137" s="235" t="s">
        <v>631</v>
      </c>
      <c r="AG2137" s="244"/>
      <c r="AH2137" s="244"/>
      <c r="AI2137" s="245"/>
      <c r="AJ2137" s="245"/>
      <c r="AK2137" s="245"/>
      <c r="AL2137" s="245"/>
      <c r="AM2137" s="244"/>
      <c r="AN2137" s="244"/>
      <c r="AO2137" s="238">
        <v>0.0</v>
      </c>
      <c r="AP2137" s="238">
        <v>-38.1</v>
      </c>
      <c r="AQ2137" s="235" t="s">
        <v>632</v>
      </c>
      <c r="AR2137" s="243">
        <v>3.71E11</v>
      </c>
      <c r="AS2137" s="235" t="s">
        <v>15064</v>
      </c>
      <c r="AT2137" s="235" t="s">
        <v>155</v>
      </c>
      <c r="AU2137" s="235" t="s">
        <v>634</v>
      </c>
      <c r="AV2137" s="246" t="s">
        <v>635</v>
      </c>
      <c r="AW2137" s="242"/>
      <c r="AX2137" s="242"/>
      <c r="AY2137" s="231"/>
      <c r="AZ2137" s="231"/>
      <c r="BA2137" s="227"/>
      <c r="BB2137" s="231"/>
      <c r="BC2137" s="227"/>
      <c r="BD2137" s="227"/>
      <c r="BE2137" s="227"/>
      <c r="BF2137" s="227"/>
    </row>
    <row r="2138">
      <c r="A2138" s="235" t="s">
        <v>16564</v>
      </c>
      <c r="C2138" s="235" t="s">
        <v>16565</v>
      </c>
      <c r="D2138" s="235" t="s">
        <v>16566</v>
      </c>
      <c r="E2138" s="243">
        <v>6.54E13</v>
      </c>
      <c r="F2138" s="245"/>
      <c r="G2138" s="235" t="s">
        <v>16567</v>
      </c>
      <c r="H2138" s="235" t="s">
        <v>16568</v>
      </c>
      <c r="I2138" s="235" t="s">
        <v>16569</v>
      </c>
      <c r="J2138" s="235" t="s">
        <v>16570</v>
      </c>
      <c r="K2138" s="235" t="s">
        <v>16571</v>
      </c>
      <c r="N2138" s="235" t="s">
        <v>127</v>
      </c>
      <c r="O2138" s="235" t="s">
        <v>794</v>
      </c>
      <c r="P2138" s="238">
        <v>1.0</v>
      </c>
      <c r="Q2138" s="235" t="s">
        <v>627</v>
      </c>
      <c r="R2138" s="238">
        <v>246.66</v>
      </c>
      <c r="S2138" s="238">
        <v>12.34</v>
      </c>
      <c r="T2138" s="238">
        <v>0.0</v>
      </c>
      <c r="U2138" s="238">
        <v>0.0</v>
      </c>
      <c r="V2138" s="238">
        <v>0.0</v>
      </c>
      <c r="W2138" s="238">
        <v>0.0</v>
      </c>
      <c r="X2138" s="235" t="s">
        <v>628</v>
      </c>
      <c r="Z2138" s="244"/>
      <c r="AA2138" s="244"/>
      <c r="AB2138" s="244"/>
      <c r="AC2138" s="235" t="s">
        <v>16432</v>
      </c>
      <c r="AD2138" s="235" t="s">
        <v>679</v>
      </c>
      <c r="AE2138" s="238">
        <v>562110.0</v>
      </c>
      <c r="AF2138" s="235" t="s">
        <v>631</v>
      </c>
      <c r="AG2138" s="244"/>
      <c r="AH2138" s="244"/>
      <c r="AI2138" s="245"/>
      <c r="AJ2138" s="245"/>
      <c r="AK2138" s="245"/>
      <c r="AL2138" s="245"/>
      <c r="AM2138" s="244"/>
      <c r="AN2138" s="244"/>
      <c r="AO2138" s="238">
        <v>0.0</v>
      </c>
      <c r="AP2138" s="238">
        <v>0.0</v>
      </c>
      <c r="AQ2138" s="235" t="s">
        <v>632</v>
      </c>
      <c r="AR2138" s="243">
        <v>3.71E11</v>
      </c>
      <c r="AS2138" s="235" t="s">
        <v>15064</v>
      </c>
      <c r="AT2138" s="235" t="s">
        <v>11</v>
      </c>
      <c r="AU2138" s="235" t="s">
        <v>634</v>
      </c>
      <c r="AV2138" s="246" t="s">
        <v>635</v>
      </c>
      <c r="AW2138" s="242"/>
      <c r="AX2138" s="242"/>
      <c r="AY2138" s="231"/>
      <c r="AZ2138" s="231"/>
      <c r="BA2138" s="227"/>
      <c r="BB2138" s="231"/>
      <c r="BC2138" s="227"/>
      <c r="BD2138" s="227"/>
      <c r="BE2138" s="227"/>
      <c r="BF2138" s="227"/>
    </row>
    <row r="2139">
      <c r="A2139" s="235" t="s">
        <v>16572</v>
      </c>
      <c r="C2139" s="235" t="s">
        <v>16573</v>
      </c>
      <c r="D2139" s="235" t="s">
        <v>16574</v>
      </c>
      <c r="E2139" s="243">
        <v>6.54E13</v>
      </c>
      <c r="F2139" s="245"/>
      <c r="G2139" s="235" t="s">
        <v>16575</v>
      </c>
      <c r="H2139" s="235" t="s">
        <v>16576</v>
      </c>
      <c r="I2139" s="235" t="s">
        <v>16576</v>
      </c>
      <c r="J2139" s="235" t="s">
        <v>16577</v>
      </c>
      <c r="K2139" s="235" t="s">
        <v>16578</v>
      </c>
      <c r="N2139" s="235" t="s">
        <v>144</v>
      </c>
      <c r="O2139" s="235" t="s">
        <v>232</v>
      </c>
      <c r="P2139" s="238">
        <v>1.0</v>
      </c>
      <c r="Q2139" s="235" t="s">
        <v>627</v>
      </c>
      <c r="R2139" s="238">
        <v>665.71</v>
      </c>
      <c r="S2139" s="238">
        <v>33.29</v>
      </c>
      <c r="T2139" s="238">
        <v>0.0</v>
      </c>
      <c r="U2139" s="238">
        <v>0.0</v>
      </c>
      <c r="V2139" s="238">
        <v>0.0</v>
      </c>
      <c r="W2139" s="238">
        <v>0.0</v>
      </c>
      <c r="X2139" s="235" t="s">
        <v>628</v>
      </c>
      <c r="Z2139" s="244"/>
      <c r="AA2139" s="244"/>
      <c r="AB2139" s="244"/>
      <c r="AC2139" s="235" t="s">
        <v>1032</v>
      </c>
      <c r="AD2139" s="235" t="s">
        <v>630</v>
      </c>
      <c r="AE2139" s="238">
        <v>243001.0</v>
      </c>
      <c r="AF2139" s="235" t="s">
        <v>631</v>
      </c>
      <c r="AG2139" s="244"/>
      <c r="AH2139" s="244"/>
      <c r="AI2139" s="245"/>
      <c r="AJ2139" s="245"/>
      <c r="AK2139" s="245"/>
      <c r="AL2139" s="245"/>
      <c r="AM2139" s="244"/>
      <c r="AN2139" s="244"/>
      <c r="AO2139" s="238">
        <v>0.0</v>
      </c>
      <c r="AP2139" s="238">
        <v>0.0</v>
      </c>
      <c r="AQ2139" s="235" t="s">
        <v>632</v>
      </c>
      <c r="AR2139" s="243">
        <v>3.71E11</v>
      </c>
      <c r="AS2139" s="235" t="s">
        <v>13822</v>
      </c>
      <c r="AT2139" s="235" t="s">
        <v>13</v>
      </c>
      <c r="AU2139" s="235" t="s">
        <v>634</v>
      </c>
      <c r="AV2139" s="246" t="s">
        <v>635</v>
      </c>
      <c r="AW2139" s="242"/>
      <c r="AX2139" s="242"/>
      <c r="AY2139" s="231"/>
      <c r="AZ2139" s="231"/>
      <c r="BA2139" s="227"/>
      <c r="BB2139" s="231"/>
      <c r="BC2139" s="227"/>
      <c r="BD2139" s="227"/>
      <c r="BE2139" s="227"/>
      <c r="BF2139" s="227"/>
    </row>
    <row r="2140">
      <c r="A2140" s="235" t="s">
        <v>16579</v>
      </c>
      <c r="C2140" s="235" t="s">
        <v>16580</v>
      </c>
      <c r="D2140" s="235" t="s">
        <v>16581</v>
      </c>
      <c r="E2140" s="243">
        <v>6.54E13</v>
      </c>
      <c r="F2140" s="245"/>
      <c r="G2140" s="235" t="s">
        <v>16582</v>
      </c>
      <c r="H2140" s="235" t="s">
        <v>16583</v>
      </c>
      <c r="I2140" s="235" t="s">
        <v>16583</v>
      </c>
      <c r="J2140" s="235" t="s">
        <v>16584</v>
      </c>
      <c r="K2140" s="235" t="s">
        <v>16585</v>
      </c>
      <c r="N2140" s="235" t="s">
        <v>92</v>
      </c>
      <c r="O2140" s="235" t="s">
        <v>248</v>
      </c>
      <c r="P2140" s="238">
        <v>1.0</v>
      </c>
      <c r="Q2140" s="235" t="s">
        <v>627</v>
      </c>
      <c r="R2140" s="238">
        <v>246.67</v>
      </c>
      <c r="S2140" s="238">
        <v>12.08</v>
      </c>
      <c r="T2140" s="238">
        <v>38.1</v>
      </c>
      <c r="U2140" s="238">
        <v>1.9</v>
      </c>
      <c r="V2140" s="238">
        <v>0.0</v>
      </c>
      <c r="W2140" s="238">
        <v>0.0</v>
      </c>
      <c r="X2140" s="235" t="s">
        <v>628</v>
      </c>
      <c r="Z2140" s="244"/>
      <c r="AA2140" s="244"/>
      <c r="AB2140" s="244"/>
      <c r="AC2140" s="235" t="s">
        <v>16586</v>
      </c>
      <c r="AD2140" s="235" t="s">
        <v>666</v>
      </c>
      <c r="AE2140" s="238">
        <v>624601.0</v>
      </c>
      <c r="AF2140" s="235" t="s">
        <v>631</v>
      </c>
      <c r="AG2140" s="244"/>
      <c r="AH2140" s="244"/>
      <c r="AI2140" s="245"/>
      <c r="AJ2140" s="245"/>
      <c r="AK2140" s="245"/>
      <c r="AL2140" s="245"/>
      <c r="AM2140" s="244"/>
      <c r="AN2140" s="244"/>
      <c r="AO2140" s="238">
        <v>-4.93</v>
      </c>
      <c r="AP2140" s="238">
        <v>-38.1</v>
      </c>
      <c r="AQ2140" s="235" t="s">
        <v>632</v>
      </c>
      <c r="AR2140" s="243">
        <v>3.71E11</v>
      </c>
      <c r="AS2140" s="235" t="s">
        <v>12693</v>
      </c>
      <c r="AT2140" s="235" t="s">
        <v>11</v>
      </c>
      <c r="AU2140" s="235" t="s">
        <v>634</v>
      </c>
      <c r="AV2140" s="246" t="s">
        <v>635</v>
      </c>
      <c r="AW2140" s="242"/>
      <c r="AX2140" s="242"/>
      <c r="AY2140" s="231"/>
      <c r="AZ2140" s="231"/>
      <c r="BA2140" s="227"/>
      <c r="BB2140" s="231"/>
      <c r="BC2140" s="227"/>
      <c r="BD2140" s="227"/>
      <c r="BE2140" s="227"/>
      <c r="BF2140" s="227"/>
    </row>
    <row r="2141">
      <c r="A2141" s="235" t="s">
        <v>16587</v>
      </c>
      <c r="C2141" s="235" t="s">
        <v>16588</v>
      </c>
      <c r="D2141" s="235" t="s">
        <v>16589</v>
      </c>
      <c r="E2141" s="243">
        <v>6.53E13</v>
      </c>
      <c r="F2141" s="245"/>
      <c r="G2141" s="235" t="s">
        <v>16590</v>
      </c>
      <c r="H2141" s="235" t="s">
        <v>16591</v>
      </c>
      <c r="I2141" s="235" t="s">
        <v>16591</v>
      </c>
      <c r="J2141" s="235" t="s">
        <v>16592</v>
      </c>
      <c r="K2141" s="235" t="s">
        <v>16593</v>
      </c>
      <c r="N2141" s="235" t="s">
        <v>842</v>
      </c>
      <c r="O2141" s="235" t="s">
        <v>843</v>
      </c>
      <c r="P2141" s="238">
        <v>1.0</v>
      </c>
      <c r="Q2141" s="235" t="s">
        <v>627</v>
      </c>
      <c r="R2141" s="238">
        <v>246.66</v>
      </c>
      <c r="S2141" s="238">
        <v>11.97</v>
      </c>
      <c r="T2141" s="238">
        <v>38.1</v>
      </c>
      <c r="U2141" s="238">
        <v>1.9</v>
      </c>
      <c r="V2141" s="238">
        <v>0.0</v>
      </c>
      <c r="W2141" s="238">
        <v>0.0</v>
      </c>
      <c r="X2141" s="235" t="s">
        <v>628</v>
      </c>
      <c r="Z2141" s="244"/>
      <c r="AA2141" s="244"/>
      <c r="AB2141" s="244"/>
      <c r="AC2141" s="235" t="s">
        <v>16594</v>
      </c>
      <c r="AD2141" s="235" t="s">
        <v>845</v>
      </c>
      <c r="AE2141" s="238">
        <v>413701.0</v>
      </c>
      <c r="AF2141" s="235" t="s">
        <v>631</v>
      </c>
      <c r="AG2141" s="244"/>
      <c r="AH2141" s="244"/>
      <c r="AI2141" s="245"/>
      <c r="AJ2141" s="245"/>
      <c r="AK2141" s="245"/>
      <c r="AL2141" s="245"/>
      <c r="AM2141" s="244"/>
      <c r="AN2141" s="244"/>
      <c r="AO2141" s="238">
        <v>-7.4</v>
      </c>
      <c r="AP2141" s="238">
        <v>-38.1</v>
      </c>
      <c r="AQ2141" s="235" t="s">
        <v>1328</v>
      </c>
      <c r="AR2141" s="243">
        <v>1.34E13</v>
      </c>
      <c r="AS2141" s="235" t="s">
        <v>11171</v>
      </c>
      <c r="AT2141" s="235" t="s">
        <v>17</v>
      </c>
      <c r="AU2141" s="235" t="s">
        <v>634</v>
      </c>
      <c r="AV2141" s="246" t="s">
        <v>635</v>
      </c>
      <c r="AW2141" s="242"/>
      <c r="AX2141" s="242"/>
      <c r="AY2141" s="231"/>
      <c r="AZ2141" s="231"/>
      <c r="BA2141" s="227"/>
      <c r="BB2141" s="231"/>
      <c r="BC2141" s="227"/>
      <c r="BD2141" s="227"/>
      <c r="BE2141" s="227"/>
      <c r="BF2141" s="227"/>
    </row>
    <row r="2142">
      <c r="A2142" s="235" t="s">
        <v>16587</v>
      </c>
      <c r="C2142" s="235" t="s">
        <v>16588</v>
      </c>
      <c r="D2142" s="235" t="s">
        <v>16595</v>
      </c>
      <c r="E2142" s="243">
        <v>6.53E13</v>
      </c>
      <c r="F2142" s="245"/>
      <c r="G2142" s="235" t="s">
        <v>16590</v>
      </c>
      <c r="H2142" s="235" t="s">
        <v>16591</v>
      </c>
      <c r="I2142" s="235" t="s">
        <v>16591</v>
      </c>
      <c r="J2142" s="235" t="s">
        <v>16592</v>
      </c>
      <c r="K2142" s="235" t="s">
        <v>16593</v>
      </c>
      <c r="N2142" s="235" t="s">
        <v>842</v>
      </c>
      <c r="O2142" s="235" t="s">
        <v>843</v>
      </c>
      <c r="P2142" s="238">
        <v>1.0</v>
      </c>
      <c r="Q2142" s="235" t="s">
        <v>627</v>
      </c>
      <c r="R2142" s="238">
        <v>246.66</v>
      </c>
      <c r="S2142" s="238">
        <v>11.97</v>
      </c>
      <c r="T2142" s="238">
        <v>38.1</v>
      </c>
      <c r="U2142" s="238">
        <v>1.9</v>
      </c>
      <c r="V2142" s="238">
        <v>0.0</v>
      </c>
      <c r="W2142" s="238">
        <v>0.0</v>
      </c>
      <c r="X2142" s="235" t="s">
        <v>628</v>
      </c>
      <c r="Z2142" s="244"/>
      <c r="AA2142" s="244"/>
      <c r="AB2142" s="244"/>
      <c r="AC2142" s="235" t="s">
        <v>16594</v>
      </c>
      <c r="AD2142" s="235" t="s">
        <v>845</v>
      </c>
      <c r="AE2142" s="238">
        <v>413701.0</v>
      </c>
      <c r="AF2142" s="235" t="s">
        <v>631</v>
      </c>
      <c r="AG2142" s="244"/>
      <c r="AH2142" s="244"/>
      <c r="AI2142" s="245"/>
      <c r="AJ2142" s="245"/>
      <c r="AK2142" s="245"/>
      <c r="AL2142" s="245"/>
      <c r="AM2142" s="244"/>
      <c r="AN2142" s="244"/>
      <c r="AO2142" s="238">
        <v>-7.4</v>
      </c>
      <c r="AP2142" s="238">
        <v>-38.1</v>
      </c>
      <c r="AQ2142" s="235" t="s">
        <v>1328</v>
      </c>
      <c r="AR2142" s="243">
        <v>1.34E13</v>
      </c>
      <c r="AS2142" s="235" t="s">
        <v>11171</v>
      </c>
      <c r="AT2142" s="235" t="s">
        <v>17</v>
      </c>
      <c r="AU2142" s="235" t="s">
        <v>634</v>
      </c>
      <c r="AV2142" s="246" t="s">
        <v>635</v>
      </c>
      <c r="AW2142" s="242"/>
      <c r="AX2142" s="242"/>
      <c r="AY2142" s="231"/>
      <c r="AZ2142" s="231"/>
      <c r="BA2142" s="227"/>
      <c r="BB2142" s="231"/>
      <c r="BC2142" s="227"/>
      <c r="BD2142" s="227"/>
      <c r="BE2142" s="227"/>
      <c r="BF2142" s="227"/>
    </row>
    <row r="2143">
      <c r="A2143" s="235" t="s">
        <v>16587</v>
      </c>
      <c r="C2143" s="235" t="s">
        <v>16588</v>
      </c>
      <c r="D2143" s="235" t="s">
        <v>16596</v>
      </c>
      <c r="E2143" s="243">
        <v>6.53E13</v>
      </c>
      <c r="F2143" s="245"/>
      <c r="G2143" s="235" t="s">
        <v>16590</v>
      </c>
      <c r="H2143" s="235" t="s">
        <v>16591</v>
      </c>
      <c r="I2143" s="235" t="s">
        <v>16591</v>
      </c>
      <c r="J2143" s="235" t="s">
        <v>16592</v>
      </c>
      <c r="K2143" s="235" t="s">
        <v>16593</v>
      </c>
      <c r="N2143" s="235" t="s">
        <v>842</v>
      </c>
      <c r="O2143" s="235" t="s">
        <v>843</v>
      </c>
      <c r="P2143" s="238">
        <v>1.0</v>
      </c>
      <c r="Q2143" s="235" t="s">
        <v>627</v>
      </c>
      <c r="R2143" s="238">
        <v>246.66</v>
      </c>
      <c r="S2143" s="238">
        <v>11.97</v>
      </c>
      <c r="T2143" s="238">
        <v>38.1</v>
      </c>
      <c r="U2143" s="238">
        <v>1.9</v>
      </c>
      <c r="V2143" s="238">
        <v>0.0</v>
      </c>
      <c r="W2143" s="238">
        <v>0.0</v>
      </c>
      <c r="X2143" s="235" t="s">
        <v>628</v>
      </c>
      <c r="Z2143" s="244"/>
      <c r="AA2143" s="244"/>
      <c r="AB2143" s="244"/>
      <c r="AC2143" s="235" t="s">
        <v>16594</v>
      </c>
      <c r="AD2143" s="235" t="s">
        <v>845</v>
      </c>
      <c r="AE2143" s="238">
        <v>413701.0</v>
      </c>
      <c r="AF2143" s="235" t="s">
        <v>631</v>
      </c>
      <c r="AG2143" s="244"/>
      <c r="AH2143" s="244"/>
      <c r="AI2143" s="245"/>
      <c r="AJ2143" s="245"/>
      <c r="AK2143" s="245"/>
      <c r="AL2143" s="245"/>
      <c r="AM2143" s="244"/>
      <c r="AN2143" s="244"/>
      <c r="AO2143" s="238">
        <v>-7.4</v>
      </c>
      <c r="AP2143" s="238">
        <v>-38.1</v>
      </c>
      <c r="AQ2143" s="235" t="s">
        <v>1328</v>
      </c>
      <c r="AR2143" s="243">
        <v>1.34E13</v>
      </c>
      <c r="AS2143" s="235" t="s">
        <v>11171</v>
      </c>
      <c r="AT2143" s="235" t="s">
        <v>17</v>
      </c>
      <c r="AU2143" s="235" t="s">
        <v>634</v>
      </c>
      <c r="AV2143" s="246" t="s">
        <v>635</v>
      </c>
      <c r="AW2143" s="242"/>
      <c r="AX2143" s="242"/>
      <c r="AY2143" s="231"/>
      <c r="AZ2143" s="231"/>
      <c r="BA2143" s="227"/>
      <c r="BB2143" s="231"/>
      <c r="BC2143" s="227"/>
      <c r="BD2143" s="227"/>
      <c r="BE2143" s="227"/>
      <c r="BF2143" s="227"/>
    </row>
    <row r="2144">
      <c r="A2144" s="235" t="s">
        <v>16597</v>
      </c>
      <c r="C2144" s="235" t="s">
        <v>16598</v>
      </c>
      <c r="D2144" s="235" t="s">
        <v>16599</v>
      </c>
      <c r="E2144" s="243">
        <v>6.53E13</v>
      </c>
      <c r="F2144" s="245"/>
      <c r="G2144" s="235" t="s">
        <v>16600</v>
      </c>
      <c r="H2144" s="235" t="s">
        <v>16601</v>
      </c>
      <c r="I2144" s="235" t="s">
        <v>16601</v>
      </c>
      <c r="J2144" s="235" t="s">
        <v>16602</v>
      </c>
      <c r="K2144" s="235" t="s">
        <v>16603</v>
      </c>
      <c r="N2144" s="235" t="s">
        <v>42</v>
      </c>
      <c r="O2144" s="235" t="s">
        <v>204</v>
      </c>
      <c r="P2144" s="238">
        <v>1.0</v>
      </c>
      <c r="Q2144" s="235" t="s">
        <v>627</v>
      </c>
      <c r="R2144" s="238">
        <v>270.48</v>
      </c>
      <c r="S2144" s="238">
        <v>13.52</v>
      </c>
      <c r="T2144" s="238">
        <v>38.1</v>
      </c>
      <c r="U2144" s="238">
        <v>1.9</v>
      </c>
      <c r="V2144" s="238">
        <v>0.0</v>
      </c>
      <c r="W2144" s="238">
        <v>0.0</v>
      </c>
      <c r="X2144" s="235" t="s">
        <v>628</v>
      </c>
      <c r="Z2144" s="244"/>
      <c r="AA2144" s="244"/>
      <c r="AB2144" s="244"/>
      <c r="AC2144" s="235" t="s">
        <v>2769</v>
      </c>
      <c r="AD2144" s="235" t="s">
        <v>666</v>
      </c>
      <c r="AE2144" s="238">
        <v>610001.0</v>
      </c>
      <c r="AF2144" s="235" t="s">
        <v>631</v>
      </c>
      <c r="AG2144" s="244"/>
      <c r="AH2144" s="244"/>
      <c r="AI2144" s="245"/>
      <c r="AJ2144" s="245"/>
      <c r="AK2144" s="245"/>
      <c r="AL2144" s="245"/>
      <c r="AM2144" s="244"/>
      <c r="AN2144" s="244"/>
      <c r="AO2144" s="238">
        <v>0.0</v>
      </c>
      <c r="AP2144" s="238">
        <v>-38.1</v>
      </c>
      <c r="AQ2144" s="235" t="s">
        <v>632</v>
      </c>
      <c r="AR2144" s="243">
        <v>3.71E11</v>
      </c>
      <c r="AS2144" s="235" t="s">
        <v>15064</v>
      </c>
      <c r="AT2144" s="235" t="s">
        <v>155</v>
      </c>
      <c r="AU2144" s="235" t="s">
        <v>634</v>
      </c>
      <c r="AV2144" s="246" t="s">
        <v>635</v>
      </c>
      <c r="AW2144" s="242"/>
      <c r="AX2144" s="242"/>
      <c r="AY2144" s="231"/>
      <c r="AZ2144" s="231"/>
      <c r="BA2144" s="227"/>
      <c r="BB2144" s="231"/>
      <c r="BC2144" s="227"/>
      <c r="BD2144" s="227"/>
      <c r="BE2144" s="227"/>
      <c r="BF2144" s="227"/>
    </row>
    <row r="2145">
      <c r="A2145" s="235" t="s">
        <v>16604</v>
      </c>
      <c r="C2145" s="235" t="s">
        <v>16605</v>
      </c>
      <c r="D2145" s="235" t="s">
        <v>16606</v>
      </c>
      <c r="E2145" s="243">
        <v>6.53E13</v>
      </c>
      <c r="F2145" s="245"/>
      <c r="G2145" s="235" t="s">
        <v>16607</v>
      </c>
      <c r="H2145" s="235" t="s">
        <v>16608</v>
      </c>
      <c r="I2145" s="235" t="s">
        <v>16608</v>
      </c>
      <c r="J2145" s="235" t="s">
        <v>16609</v>
      </c>
      <c r="K2145" s="235" t="s">
        <v>16610</v>
      </c>
      <c r="N2145" s="235" t="s">
        <v>144</v>
      </c>
      <c r="O2145" s="235" t="s">
        <v>232</v>
      </c>
      <c r="P2145" s="238">
        <v>2.0</v>
      </c>
      <c r="Q2145" s="235" t="s">
        <v>627</v>
      </c>
      <c r="R2145" s="238">
        <v>1617.14</v>
      </c>
      <c r="S2145" s="238">
        <v>78.44</v>
      </c>
      <c r="T2145" s="238">
        <v>0.0</v>
      </c>
      <c r="U2145" s="238">
        <v>0.0</v>
      </c>
      <c r="V2145" s="238">
        <v>0.0</v>
      </c>
      <c r="W2145" s="238">
        <v>0.0</v>
      </c>
      <c r="X2145" s="235" t="s">
        <v>628</v>
      </c>
      <c r="Z2145" s="244"/>
      <c r="AA2145" s="244"/>
      <c r="AB2145" s="244"/>
      <c r="AC2145" s="235" t="s">
        <v>832</v>
      </c>
      <c r="AD2145" s="235" t="s">
        <v>833</v>
      </c>
      <c r="AE2145" s="238">
        <v>530014.0</v>
      </c>
      <c r="AF2145" s="235" t="s">
        <v>631</v>
      </c>
      <c r="AG2145" s="244"/>
      <c r="AH2145" s="244"/>
      <c r="AI2145" s="245"/>
      <c r="AJ2145" s="245"/>
      <c r="AK2145" s="245"/>
      <c r="AL2145" s="245"/>
      <c r="AM2145" s="244"/>
      <c r="AN2145" s="244"/>
      <c r="AO2145" s="238">
        <v>-48.52</v>
      </c>
      <c r="AP2145" s="238">
        <v>0.0</v>
      </c>
      <c r="AQ2145" s="235" t="s">
        <v>632</v>
      </c>
      <c r="AR2145" s="243">
        <v>3.71E11</v>
      </c>
      <c r="AS2145" s="235" t="s">
        <v>12693</v>
      </c>
      <c r="AT2145" s="235" t="s">
        <v>156</v>
      </c>
      <c r="AU2145" s="235" t="s">
        <v>634</v>
      </c>
      <c r="AV2145" s="246" t="s">
        <v>635</v>
      </c>
      <c r="AW2145" s="242"/>
      <c r="AX2145" s="242"/>
      <c r="AY2145" s="231"/>
      <c r="AZ2145" s="231"/>
      <c r="BA2145" s="227"/>
      <c r="BB2145" s="231"/>
      <c r="BC2145" s="227"/>
      <c r="BD2145" s="227"/>
      <c r="BE2145" s="227"/>
      <c r="BF2145" s="227"/>
    </row>
    <row r="2146">
      <c r="A2146" s="235" t="s">
        <v>16611</v>
      </c>
      <c r="C2146" s="235" t="s">
        <v>16612</v>
      </c>
      <c r="D2146" s="235" t="s">
        <v>16613</v>
      </c>
      <c r="E2146" s="243">
        <v>6.54E13</v>
      </c>
      <c r="F2146" s="245"/>
      <c r="G2146" s="235" t="s">
        <v>16614</v>
      </c>
      <c r="H2146" s="235" t="s">
        <v>16615</v>
      </c>
      <c r="I2146" s="235" t="s">
        <v>16615</v>
      </c>
      <c r="J2146" s="235" t="s">
        <v>16616</v>
      </c>
      <c r="K2146" s="235" t="s">
        <v>16617</v>
      </c>
      <c r="N2146" s="235" t="s">
        <v>3</v>
      </c>
      <c r="O2146" s="235" t="s">
        <v>654</v>
      </c>
      <c r="P2146" s="238">
        <v>1.0</v>
      </c>
      <c r="Q2146" s="235" t="s">
        <v>627</v>
      </c>
      <c r="R2146" s="238">
        <v>265.71</v>
      </c>
      <c r="S2146" s="238">
        <v>13.29</v>
      </c>
      <c r="T2146" s="238">
        <v>38.1</v>
      </c>
      <c r="U2146" s="238">
        <v>1.9</v>
      </c>
      <c r="V2146" s="238">
        <v>0.0</v>
      </c>
      <c r="W2146" s="238">
        <v>0.0</v>
      </c>
      <c r="X2146" s="235" t="s">
        <v>628</v>
      </c>
      <c r="Z2146" s="244"/>
      <c r="AA2146" s="244"/>
      <c r="AB2146" s="244"/>
      <c r="AC2146" s="235" t="s">
        <v>4420</v>
      </c>
      <c r="AD2146" s="235" t="s">
        <v>630</v>
      </c>
      <c r="AE2146" s="238">
        <v>208001.0</v>
      </c>
      <c r="AF2146" s="235" t="s">
        <v>631</v>
      </c>
      <c r="AG2146" s="244"/>
      <c r="AH2146" s="244"/>
      <c r="AI2146" s="245"/>
      <c r="AJ2146" s="245"/>
      <c r="AK2146" s="245"/>
      <c r="AL2146" s="245"/>
      <c r="AM2146" s="244"/>
      <c r="AN2146" s="244"/>
      <c r="AO2146" s="238">
        <v>0.0</v>
      </c>
      <c r="AP2146" s="238">
        <v>-38.1</v>
      </c>
      <c r="AQ2146" s="235" t="s">
        <v>632</v>
      </c>
      <c r="AR2146" s="243">
        <v>3.71E11</v>
      </c>
      <c r="AS2146" s="235" t="s">
        <v>12693</v>
      </c>
      <c r="AT2146" s="235" t="s">
        <v>14</v>
      </c>
      <c r="AU2146" s="235" t="s">
        <v>634</v>
      </c>
      <c r="AV2146" s="246" t="s">
        <v>635</v>
      </c>
      <c r="AW2146" s="242"/>
      <c r="AX2146" s="242"/>
      <c r="AY2146" s="231"/>
      <c r="AZ2146" s="231"/>
      <c r="BA2146" s="227"/>
      <c r="BB2146" s="231"/>
      <c r="BC2146" s="227"/>
      <c r="BD2146" s="227"/>
      <c r="BE2146" s="227"/>
      <c r="BF2146" s="227"/>
    </row>
    <row r="2147">
      <c r="A2147" s="235" t="s">
        <v>16618</v>
      </c>
      <c r="C2147" s="235" t="s">
        <v>16619</v>
      </c>
      <c r="D2147" s="235" t="s">
        <v>16620</v>
      </c>
      <c r="E2147" s="243">
        <v>6.54E13</v>
      </c>
      <c r="F2147" s="245"/>
      <c r="G2147" s="235" t="s">
        <v>16621</v>
      </c>
      <c r="H2147" s="235" t="s">
        <v>16622</v>
      </c>
      <c r="I2147" s="235" t="s">
        <v>16623</v>
      </c>
      <c r="J2147" s="235" t="s">
        <v>16624</v>
      </c>
      <c r="K2147" s="235" t="s">
        <v>16625</v>
      </c>
      <c r="N2147" s="235" t="s">
        <v>127</v>
      </c>
      <c r="O2147" s="235" t="s">
        <v>794</v>
      </c>
      <c r="P2147" s="238">
        <v>1.0</v>
      </c>
      <c r="Q2147" s="235" t="s">
        <v>627</v>
      </c>
      <c r="R2147" s="238">
        <v>246.66</v>
      </c>
      <c r="S2147" s="238">
        <v>12.34</v>
      </c>
      <c r="T2147" s="238">
        <v>0.0</v>
      </c>
      <c r="U2147" s="238">
        <v>0.0</v>
      </c>
      <c r="V2147" s="238">
        <v>0.0</v>
      </c>
      <c r="W2147" s="238">
        <v>0.0</v>
      </c>
      <c r="X2147" s="235" t="s">
        <v>628</v>
      </c>
      <c r="Z2147" s="244"/>
      <c r="AA2147" s="244"/>
      <c r="AB2147" s="244"/>
      <c r="AC2147" s="235" t="s">
        <v>687</v>
      </c>
      <c r="AD2147" s="235" t="s">
        <v>666</v>
      </c>
      <c r="AE2147" s="238">
        <v>600050.0</v>
      </c>
      <c r="AF2147" s="235" t="s">
        <v>631</v>
      </c>
      <c r="AG2147" s="244"/>
      <c r="AH2147" s="244"/>
      <c r="AI2147" s="245"/>
      <c r="AJ2147" s="245"/>
      <c r="AK2147" s="245"/>
      <c r="AL2147" s="245"/>
      <c r="AM2147" s="244"/>
      <c r="AN2147" s="244"/>
      <c r="AO2147" s="238">
        <v>0.0</v>
      </c>
      <c r="AP2147" s="238">
        <v>0.0</v>
      </c>
      <c r="AQ2147" s="235" t="s">
        <v>632</v>
      </c>
      <c r="AR2147" s="243">
        <v>1.68E11</v>
      </c>
      <c r="AS2147" s="235" t="s">
        <v>16626</v>
      </c>
      <c r="AT2147" s="235" t="s">
        <v>156</v>
      </c>
      <c r="AU2147" s="235" t="s">
        <v>634</v>
      </c>
      <c r="AV2147" s="246" t="s">
        <v>635</v>
      </c>
      <c r="AW2147" s="242"/>
      <c r="AX2147" s="242"/>
      <c r="AY2147" s="231"/>
      <c r="AZ2147" s="231"/>
      <c r="BA2147" s="227"/>
      <c r="BB2147" s="231"/>
      <c r="BC2147" s="227"/>
      <c r="BD2147" s="227"/>
      <c r="BE2147" s="227"/>
      <c r="BF2147" s="227"/>
    </row>
    <row r="2148">
      <c r="A2148" s="235" t="s">
        <v>16627</v>
      </c>
      <c r="C2148" s="235" t="s">
        <v>16628</v>
      </c>
      <c r="D2148" s="235" t="s">
        <v>16629</v>
      </c>
      <c r="E2148" s="243">
        <v>6.53E13</v>
      </c>
      <c r="F2148" s="245"/>
      <c r="G2148" s="235" t="s">
        <v>16630</v>
      </c>
      <c r="H2148" s="235" t="s">
        <v>16631</v>
      </c>
      <c r="I2148" s="235" t="s">
        <v>16632</v>
      </c>
      <c r="J2148" s="235" t="s">
        <v>16633</v>
      </c>
      <c r="K2148" s="235" t="s">
        <v>16634</v>
      </c>
      <c r="N2148" s="235" t="s">
        <v>127</v>
      </c>
      <c r="O2148" s="235" t="s">
        <v>794</v>
      </c>
      <c r="P2148" s="238">
        <v>1.0</v>
      </c>
      <c r="Q2148" s="235" t="s">
        <v>627</v>
      </c>
      <c r="R2148" s="238">
        <v>270.48</v>
      </c>
      <c r="S2148" s="238">
        <v>13.52</v>
      </c>
      <c r="T2148" s="238">
        <v>0.0</v>
      </c>
      <c r="U2148" s="238">
        <v>0.0</v>
      </c>
      <c r="V2148" s="238">
        <v>0.0</v>
      </c>
      <c r="W2148" s="238">
        <v>0.0</v>
      </c>
      <c r="X2148" s="235" t="s">
        <v>628</v>
      </c>
      <c r="Z2148" s="244"/>
      <c r="AA2148" s="244"/>
      <c r="AB2148" s="244"/>
      <c r="AC2148" s="235" t="s">
        <v>9365</v>
      </c>
      <c r="AD2148" s="235" t="s">
        <v>2688</v>
      </c>
      <c r="AE2148" s="238">
        <v>180011.0</v>
      </c>
      <c r="AF2148" s="235" t="s">
        <v>631</v>
      </c>
      <c r="AG2148" s="244"/>
      <c r="AH2148" s="244"/>
      <c r="AI2148" s="245"/>
      <c r="AJ2148" s="245"/>
      <c r="AK2148" s="245"/>
      <c r="AL2148" s="245"/>
      <c r="AM2148" s="244"/>
      <c r="AN2148" s="244"/>
      <c r="AO2148" s="238">
        <v>0.0</v>
      </c>
      <c r="AP2148" s="238">
        <v>0.0</v>
      </c>
      <c r="AQ2148" s="235" t="s">
        <v>632</v>
      </c>
      <c r="AR2148" s="243">
        <v>1.68E11</v>
      </c>
      <c r="AS2148" s="235" t="s">
        <v>13822</v>
      </c>
      <c r="AT2148" s="235" t="s">
        <v>14</v>
      </c>
      <c r="AU2148" s="235" t="s">
        <v>634</v>
      </c>
      <c r="AV2148" s="246" t="s">
        <v>635</v>
      </c>
      <c r="AW2148" s="242"/>
      <c r="AX2148" s="242"/>
      <c r="AY2148" s="231"/>
      <c r="AZ2148" s="231"/>
      <c r="BA2148" s="227"/>
      <c r="BB2148" s="231"/>
      <c r="BC2148" s="227"/>
      <c r="BD2148" s="227"/>
      <c r="BE2148" s="227"/>
      <c r="BF2148" s="227"/>
    </row>
    <row r="2149">
      <c r="A2149" s="235" t="s">
        <v>16635</v>
      </c>
      <c r="C2149" s="235" t="s">
        <v>16636</v>
      </c>
      <c r="D2149" s="235" t="s">
        <v>16637</v>
      </c>
      <c r="E2149" s="243">
        <v>6.54E13</v>
      </c>
      <c r="F2149" s="245"/>
      <c r="G2149" s="235" t="s">
        <v>16638</v>
      </c>
      <c r="H2149" s="235" t="s">
        <v>16639</v>
      </c>
      <c r="I2149" s="235" t="s">
        <v>16640</v>
      </c>
      <c r="J2149" s="235" t="s">
        <v>16641</v>
      </c>
      <c r="K2149" s="235" t="s">
        <v>16642</v>
      </c>
      <c r="N2149" s="235" t="s">
        <v>139</v>
      </c>
      <c r="O2149" s="235" t="s">
        <v>2091</v>
      </c>
      <c r="P2149" s="238">
        <v>1.0</v>
      </c>
      <c r="Q2149" s="235" t="s">
        <v>627</v>
      </c>
      <c r="R2149" s="238">
        <v>246.67</v>
      </c>
      <c r="S2149" s="238">
        <v>12.08</v>
      </c>
      <c r="T2149" s="238">
        <v>0.0</v>
      </c>
      <c r="U2149" s="238">
        <v>0.0</v>
      </c>
      <c r="V2149" s="238">
        <v>0.0</v>
      </c>
      <c r="W2149" s="238">
        <v>0.0</v>
      </c>
      <c r="X2149" s="235" t="s">
        <v>628</v>
      </c>
      <c r="Z2149" s="244"/>
      <c r="AA2149" s="244"/>
      <c r="AB2149" s="244"/>
      <c r="AC2149" s="235" t="s">
        <v>7088</v>
      </c>
      <c r="AD2149" s="235" t="s">
        <v>630</v>
      </c>
      <c r="AE2149" s="238">
        <v>201318.0</v>
      </c>
      <c r="AF2149" s="235" t="s">
        <v>631</v>
      </c>
      <c r="AG2149" s="244"/>
      <c r="AH2149" s="244"/>
      <c r="AI2149" s="245"/>
      <c r="AJ2149" s="245"/>
      <c r="AK2149" s="245"/>
      <c r="AL2149" s="245"/>
      <c r="AM2149" s="244"/>
      <c r="AN2149" s="244"/>
      <c r="AO2149" s="238">
        <v>-4.93</v>
      </c>
      <c r="AP2149" s="238">
        <v>0.0</v>
      </c>
      <c r="AQ2149" s="235" t="s">
        <v>632</v>
      </c>
      <c r="AR2149" s="243">
        <v>1.68E11</v>
      </c>
      <c r="AS2149" s="235" t="s">
        <v>16626</v>
      </c>
      <c r="AT2149" s="235" t="s">
        <v>13</v>
      </c>
      <c r="AU2149" s="235" t="s">
        <v>634</v>
      </c>
      <c r="AV2149" s="246" t="s">
        <v>635</v>
      </c>
      <c r="AW2149" s="242"/>
      <c r="AX2149" s="242"/>
      <c r="AY2149" s="231"/>
      <c r="AZ2149" s="231"/>
      <c r="BA2149" s="227"/>
      <c r="BB2149" s="231"/>
      <c r="BC2149" s="227"/>
      <c r="BD2149" s="227"/>
      <c r="BE2149" s="227"/>
      <c r="BF2149" s="227"/>
    </row>
    <row r="2150">
      <c r="A2150" s="235" t="s">
        <v>16643</v>
      </c>
      <c r="C2150" s="235" t="s">
        <v>16644</v>
      </c>
      <c r="D2150" s="235" t="s">
        <v>16645</v>
      </c>
      <c r="E2150" s="243">
        <v>6.54E13</v>
      </c>
      <c r="F2150" s="245"/>
      <c r="G2150" s="235" t="s">
        <v>16646</v>
      </c>
      <c r="H2150" s="235" t="s">
        <v>16647</v>
      </c>
      <c r="I2150" s="235" t="s">
        <v>16647</v>
      </c>
      <c r="J2150" s="235" t="s">
        <v>16648</v>
      </c>
      <c r="K2150" s="235" t="s">
        <v>16649</v>
      </c>
      <c r="N2150" s="235" t="s">
        <v>92</v>
      </c>
      <c r="O2150" s="235" t="s">
        <v>248</v>
      </c>
      <c r="P2150" s="238">
        <v>1.0</v>
      </c>
      <c r="Q2150" s="235" t="s">
        <v>627</v>
      </c>
      <c r="R2150" s="238">
        <v>246.67</v>
      </c>
      <c r="S2150" s="238">
        <v>12.08</v>
      </c>
      <c r="T2150" s="238">
        <v>0.0</v>
      </c>
      <c r="U2150" s="238">
        <v>0.0</v>
      </c>
      <c r="V2150" s="238">
        <v>0.0</v>
      </c>
      <c r="W2150" s="238">
        <v>0.0</v>
      </c>
      <c r="X2150" s="235" t="s">
        <v>628</v>
      </c>
      <c r="Z2150" s="244"/>
      <c r="AA2150" s="244"/>
      <c r="AB2150" s="244"/>
      <c r="AC2150" s="235" t="s">
        <v>9127</v>
      </c>
      <c r="AD2150" s="235" t="s">
        <v>645</v>
      </c>
      <c r="AE2150" s="238">
        <v>673020.0</v>
      </c>
      <c r="AF2150" s="235" t="s">
        <v>631</v>
      </c>
      <c r="AG2150" s="244"/>
      <c r="AH2150" s="244"/>
      <c r="AI2150" s="245"/>
      <c r="AJ2150" s="245"/>
      <c r="AK2150" s="245"/>
      <c r="AL2150" s="245"/>
      <c r="AM2150" s="244"/>
      <c r="AN2150" s="244"/>
      <c r="AO2150" s="238">
        <v>-4.93</v>
      </c>
      <c r="AP2150" s="238">
        <v>0.0</v>
      </c>
      <c r="AQ2150" s="235" t="s">
        <v>632</v>
      </c>
      <c r="AR2150" s="243">
        <v>3.71E11</v>
      </c>
      <c r="AS2150" s="235" t="s">
        <v>15064</v>
      </c>
      <c r="AT2150" s="235" t="s">
        <v>155</v>
      </c>
      <c r="AU2150" s="235" t="s">
        <v>634</v>
      </c>
      <c r="AV2150" s="246" t="s">
        <v>635</v>
      </c>
      <c r="AW2150" s="242"/>
      <c r="AX2150" s="242"/>
      <c r="AY2150" s="231"/>
      <c r="AZ2150" s="231"/>
      <c r="BA2150" s="227"/>
      <c r="BB2150" s="231"/>
      <c r="BC2150" s="227"/>
      <c r="BD2150" s="227"/>
      <c r="BE2150" s="227"/>
      <c r="BF2150" s="227"/>
    </row>
    <row r="2151">
      <c r="A2151" s="235" t="s">
        <v>16650</v>
      </c>
      <c r="C2151" s="235" t="s">
        <v>16651</v>
      </c>
      <c r="D2151" s="235" t="s">
        <v>16652</v>
      </c>
      <c r="E2151" s="243">
        <v>6.54E13</v>
      </c>
      <c r="F2151" s="245"/>
      <c r="G2151" s="235" t="s">
        <v>16653</v>
      </c>
      <c r="H2151" s="235" t="s">
        <v>16654</v>
      </c>
      <c r="I2151" s="235" t="s">
        <v>16654</v>
      </c>
      <c r="J2151" s="235" t="s">
        <v>16655</v>
      </c>
      <c r="K2151" s="235" t="s">
        <v>16656</v>
      </c>
      <c r="N2151" s="235" t="s">
        <v>42</v>
      </c>
      <c r="O2151" s="235" t="s">
        <v>204</v>
      </c>
      <c r="P2151" s="238">
        <v>1.0</v>
      </c>
      <c r="Q2151" s="235" t="s">
        <v>627</v>
      </c>
      <c r="R2151" s="238">
        <v>237.14</v>
      </c>
      <c r="S2151" s="238">
        <v>11.86</v>
      </c>
      <c r="T2151" s="238">
        <v>0.0</v>
      </c>
      <c r="U2151" s="238">
        <v>0.0</v>
      </c>
      <c r="V2151" s="238">
        <v>0.0</v>
      </c>
      <c r="W2151" s="238">
        <v>0.0</v>
      </c>
      <c r="X2151" s="235" t="s">
        <v>628</v>
      </c>
      <c r="Z2151" s="244"/>
      <c r="AA2151" s="244"/>
      <c r="AB2151" s="244"/>
      <c r="AC2151" s="235" t="s">
        <v>697</v>
      </c>
      <c r="AD2151" s="235" t="s">
        <v>698</v>
      </c>
      <c r="AE2151" s="238">
        <v>500049.0</v>
      </c>
      <c r="AF2151" s="235" t="s">
        <v>631</v>
      </c>
      <c r="AG2151" s="244"/>
      <c r="AH2151" s="244"/>
      <c r="AI2151" s="245"/>
      <c r="AJ2151" s="245"/>
      <c r="AK2151" s="245"/>
      <c r="AL2151" s="245"/>
      <c r="AM2151" s="244"/>
      <c r="AN2151" s="244"/>
      <c r="AO2151" s="238">
        <v>0.0</v>
      </c>
      <c r="AP2151" s="238">
        <v>0.0</v>
      </c>
      <c r="AQ2151" s="235" t="s">
        <v>632</v>
      </c>
      <c r="AR2151" s="243">
        <v>3.71E11</v>
      </c>
      <c r="AS2151" s="235" t="s">
        <v>13822</v>
      </c>
      <c r="AT2151" s="235" t="s">
        <v>11</v>
      </c>
      <c r="AU2151" s="235" t="s">
        <v>634</v>
      </c>
      <c r="AV2151" s="246" t="s">
        <v>635</v>
      </c>
      <c r="AW2151" s="242"/>
      <c r="AX2151" s="242"/>
      <c r="AY2151" s="231"/>
      <c r="AZ2151" s="231"/>
      <c r="BA2151" s="227"/>
      <c r="BB2151" s="231"/>
      <c r="BC2151" s="227"/>
      <c r="BD2151" s="227"/>
      <c r="BE2151" s="227"/>
      <c r="BF2151" s="227"/>
    </row>
    <row r="2152">
      <c r="A2152" s="235" t="s">
        <v>16657</v>
      </c>
      <c r="C2152" s="235" t="s">
        <v>16658</v>
      </c>
      <c r="D2152" s="235" t="s">
        <v>16659</v>
      </c>
      <c r="E2152" s="243">
        <v>6.53E13</v>
      </c>
      <c r="F2152" s="245"/>
      <c r="G2152" s="235" t="s">
        <v>16660</v>
      </c>
      <c r="H2152" s="235" t="s">
        <v>16661</v>
      </c>
      <c r="I2152" s="235" t="s">
        <v>16661</v>
      </c>
      <c r="J2152" s="235" t="s">
        <v>16662</v>
      </c>
      <c r="K2152" s="235" t="s">
        <v>16663</v>
      </c>
      <c r="N2152" s="235" t="s">
        <v>127</v>
      </c>
      <c r="O2152" s="235" t="s">
        <v>794</v>
      </c>
      <c r="P2152" s="238">
        <v>1.0</v>
      </c>
      <c r="Q2152" s="235" t="s">
        <v>627</v>
      </c>
      <c r="R2152" s="238">
        <v>270.48</v>
      </c>
      <c r="S2152" s="238">
        <v>13.52</v>
      </c>
      <c r="T2152" s="238">
        <v>38.1</v>
      </c>
      <c r="U2152" s="238">
        <v>1.9</v>
      </c>
      <c r="V2152" s="238">
        <v>0.0</v>
      </c>
      <c r="W2152" s="238">
        <v>0.0</v>
      </c>
      <c r="X2152" s="235" t="s">
        <v>628</v>
      </c>
      <c r="Z2152" s="244"/>
      <c r="AA2152" s="244"/>
      <c r="AB2152" s="244"/>
      <c r="AC2152" s="235" t="s">
        <v>6436</v>
      </c>
      <c r="AD2152" s="235" t="s">
        <v>1499</v>
      </c>
      <c r="AE2152" s="238">
        <v>452003.0</v>
      </c>
      <c r="AF2152" s="235" t="s">
        <v>631</v>
      </c>
      <c r="AG2152" s="244"/>
      <c r="AH2152" s="244"/>
      <c r="AI2152" s="245"/>
      <c r="AJ2152" s="245"/>
      <c r="AK2152" s="245"/>
      <c r="AL2152" s="245"/>
      <c r="AM2152" s="244"/>
      <c r="AN2152" s="244"/>
      <c r="AO2152" s="238">
        <v>0.0</v>
      </c>
      <c r="AP2152" s="238">
        <v>-38.1</v>
      </c>
      <c r="AQ2152" s="235" t="s">
        <v>632</v>
      </c>
      <c r="AR2152" s="243">
        <v>3.71E11</v>
      </c>
      <c r="AS2152" s="235" t="s">
        <v>13822</v>
      </c>
      <c r="AT2152" s="235" t="s">
        <v>17</v>
      </c>
      <c r="AU2152" s="235" t="s">
        <v>634</v>
      </c>
      <c r="AV2152" s="246" t="s">
        <v>635</v>
      </c>
      <c r="AW2152" s="242"/>
      <c r="AX2152" s="242"/>
      <c r="AY2152" s="231"/>
      <c r="AZ2152" s="231"/>
      <c r="BA2152" s="227"/>
      <c r="BB2152" s="231"/>
      <c r="BC2152" s="227"/>
      <c r="BD2152" s="227"/>
      <c r="BE2152" s="227"/>
      <c r="BF2152" s="227"/>
    </row>
    <row r="2153">
      <c r="A2153" s="235" t="s">
        <v>16664</v>
      </c>
      <c r="C2153" s="235" t="s">
        <v>16665</v>
      </c>
      <c r="D2153" s="235" t="s">
        <v>16666</v>
      </c>
      <c r="E2153" s="243">
        <v>6.54E13</v>
      </c>
      <c r="F2153" s="245"/>
      <c r="G2153" s="235" t="s">
        <v>16667</v>
      </c>
      <c r="H2153" s="235" t="s">
        <v>16668</v>
      </c>
      <c r="I2153" s="235" t="s">
        <v>16668</v>
      </c>
      <c r="J2153" s="235" t="s">
        <v>16669</v>
      </c>
      <c r="K2153" s="235" t="s">
        <v>16670</v>
      </c>
      <c r="N2153" s="235" t="s">
        <v>15</v>
      </c>
      <c r="O2153" s="235" t="s">
        <v>856</v>
      </c>
      <c r="P2153" s="238">
        <v>1.0</v>
      </c>
      <c r="Q2153" s="235" t="s">
        <v>627</v>
      </c>
      <c r="R2153" s="238">
        <v>360.95</v>
      </c>
      <c r="S2153" s="238">
        <v>18.05</v>
      </c>
      <c r="T2153" s="238">
        <v>0.0</v>
      </c>
      <c r="U2153" s="238">
        <v>0.0</v>
      </c>
      <c r="V2153" s="238">
        <v>0.0</v>
      </c>
      <c r="W2153" s="238">
        <v>0.0</v>
      </c>
      <c r="X2153" s="235" t="s">
        <v>628</v>
      </c>
      <c r="Z2153" s="244"/>
      <c r="AA2153" s="244"/>
      <c r="AB2153" s="244"/>
      <c r="AC2153" s="235" t="s">
        <v>697</v>
      </c>
      <c r="AD2153" s="235" t="s">
        <v>698</v>
      </c>
      <c r="AE2153" s="238">
        <v>501218.0</v>
      </c>
      <c r="AF2153" s="235" t="s">
        <v>631</v>
      </c>
      <c r="AG2153" s="244"/>
      <c r="AH2153" s="244"/>
      <c r="AI2153" s="245"/>
      <c r="AJ2153" s="245"/>
      <c r="AK2153" s="245"/>
      <c r="AL2153" s="245"/>
      <c r="AM2153" s="244"/>
      <c r="AN2153" s="244"/>
      <c r="AO2153" s="238">
        <v>0.0</v>
      </c>
      <c r="AP2153" s="238">
        <v>0.0</v>
      </c>
      <c r="AQ2153" s="235" t="s">
        <v>632</v>
      </c>
      <c r="AR2153" s="243">
        <v>3.71E11</v>
      </c>
      <c r="AS2153" s="235" t="s">
        <v>13822</v>
      </c>
      <c r="AT2153" s="235" t="s">
        <v>156</v>
      </c>
      <c r="AU2153" s="235" t="s">
        <v>634</v>
      </c>
      <c r="AV2153" s="246" t="s">
        <v>635</v>
      </c>
      <c r="AW2153" s="242"/>
      <c r="AX2153" s="242"/>
      <c r="AY2153" s="231"/>
      <c r="AZ2153" s="231"/>
      <c r="BA2153" s="227"/>
      <c r="BB2153" s="231"/>
      <c r="BC2153" s="227"/>
      <c r="BD2153" s="227"/>
      <c r="BE2153" s="227"/>
      <c r="BF2153" s="227"/>
    </row>
    <row r="2154">
      <c r="A2154" s="235" t="s">
        <v>16671</v>
      </c>
      <c r="C2154" s="235" t="s">
        <v>16672</v>
      </c>
      <c r="D2154" s="235" t="s">
        <v>16673</v>
      </c>
      <c r="E2154" s="243">
        <v>6.54E13</v>
      </c>
      <c r="F2154" s="245"/>
      <c r="G2154" s="235" t="s">
        <v>16674</v>
      </c>
      <c r="H2154" s="235" t="s">
        <v>16675</v>
      </c>
      <c r="I2154" s="235" t="s">
        <v>16675</v>
      </c>
      <c r="J2154" s="235" t="s">
        <v>16676</v>
      </c>
      <c r="K2154" s="235" t="s">
        <v>16677</v>
      </c>
      <c r="N2154" s="235" t="s">
        <v>92</v>
      </c>
      <c r="O2154" s="235" t="s">
        <v>248</v>
      </c>
      <c r="P2154" s="238">
        <v>1.0</v>
      </c>
      <c r="Q2154" s="235" t="s">
        <v>627</v>
      </c>
      <c r="R2154" s="238">
        <v>246.66</v>
      </c>
      <c r="S2154" s="238">
        <v>12.34</v>
      </c>
      <c r="T2154" s="238">
        <v>0.0</v>
      </c>
      <c r="U2154" s="238">
        <v>0.0</v>
      </c>
      <c r="V2154" s="238">
        <v>0.0</v>
      </c>
      <c r="W2154" s="238">
        <v>0.0</v>
      </c>
      <c r="X2154" s="235" t="s">
        <v>628</v>
      </c>
      <c r="Z2154" s="244"/>
      <c r="AA2154" s="244"/>
      <c r="AB2154" s="244"/>
      <c r="AC2154" s="235" t="s">
        <v>16678</v>
      </c>
      <c r="AD2154" s="235" t="s">
        <v>666</v>
      </c>
      <c r="AE2154" s="238">
        <v>632503.0</v>
      </c>
      <c r="AF2154" s="235" t="s">
        <v>631</v>
      </c>
      <c r="AG2154" s="244"/>
      <c r="AH2154" s="244"/>
      <c r="AI2154" s="245"/>
      <c r="AJ2154" s="245"/>
      <c r="AK2154" s="245"/>
      <c r="AL2154" s="245"/>
      <c r="AM2154" s="244"/>
      <c r="AN2154" s="244"/>
      <c r="AO2154" s="238">
        <v>0.0</v>
      </c>
      <c r="AP2154" s="238">
        <v>0.0</v>
      </c>
      <c r="AQ2154" s="235" t="s">
        <v>632</v>
      </c>
      <c r="AR2154" s="243">
        <v>3.71E11</v>
      </c>
      <c r="AS2154" s="235" t="s">
        <v>15064</v>
      </c>
      <c r="AT2154" s="235" t="s">
        <v>156</v>
      </c>
      <c r="AU2154" s="235" t="s">
        <v>634</v>
      </c>
      <c r="AV2154" s="246" t="s">
        <v>635</v>
      </c>
      <c r="AW2154" s="242"/>
      <c r="AX2154" s="242"/>
      <c r="AY2154" s="231"/>
      <c r="AZ2154" s="231"/>
      <c r="BA2154" s="227"/>
      <c r="BB2154" s="231"/>
      <c r="BC2154" s="227"/>
      <c r="BD2154" s="227"/>
      <c r="BE2154" s="227"/>
      <c r="BF2154" s="227"/>
    </row>
    <row r="2155">
      <c r="A2155" s="235" t="s">
        <v>16679</v>
      </c>
      <c r="C2155" s="235" t="s">
        <v>16680</v>
      </c>
      <c r="D2155" s="235" t="s">
        <v>16681</v>
      </c>
      <c r="E2155" s="243">
        <v>6.54E13</v>
      </c>
      <c r="F2155" s="245"/>
      <c r="G2155" s="235" t="s">
        <v>16682</v>
      </c>
      <c r="H2155" s="235" t="s">
        <v>16683</v>
      </c>
      <c r="I2155" s="235" t="s">
        <v>16683</v>
      </c>
      <c r="J2155" s="235" t="s">
        <v>16684</v>
      </c>
      <c r="K2155" s="235" t="s">
        <v>16685</v>
      </c>
      <c r="N2155" s="235" t="s">
        <v>42</v>
      </c>
      <c r="O2155" s="235" t="s">
        <v>204</v>
      </c>
      <c r="P2155" s="238">
        <v>1.0</v>
      </c>
      <c r="Q2155" s="235" t="s">
        <v>627</v>
      </c>
      <c r="R2155" s="238">
        <v>237.14</v>
      </c>
      <c r="S2155" s="238">
        <v>11.86</v>
      </c>
      <c r="T2155" s="238">
        <v>0.0</v>
      </c>
      <c r="U2155" s="238">
        <v>0.0</v>
      </c>
      <c r="V2155" s="238">
        <v>0.0</v>
      </c>
      <c r="W2155" s="238">
        <v>0.0</v>
      </c>
      <c r="X2155" s="235" t="s">
        <v>628</v>
      </c>
      <c r="Z2155" s="244"/>
      <c r="AA2155" s="244"/>
      <c r="AB2155" s="244"/>
      <c r="AC2155" s="235" t="s">
        <v>697</v>
      </c>
      <c r="AD2155" s="235" t="s">
        <v>698</v>
      </c>
      <c r="AE2155" s="238">
        <v>500018.0</v>
      </c>
      <c r="AF2155" s="235" t="s">
        <v>631</v>
      </c>
      <c r="AG2155" s="244"/>
      <c r="AH2155" s="244"/>
      <c r="AI2155" s="245"/>
      <c r="AJ2155" s="245"/>
      <c r="AK2155" s="245"/>
      <c r="AL2155" s="245"/>
      <c r="AM2155" s="244"/>
      <c r="AN2155" s="244"/>
      <c r="AO2155" s="238">
        <v>0.0</v>
      </c>
      <c r="AP2155" s="238">
        <v>0.0</v>
      </c>
      <c r="AQ2155" s="235" t="s">
        <v>632</v>
      </c>
      <c r="AR2155" s="243">
        <v>2.02E11</v>
      </c>
      <c r="AS2155" s="235" t="s">
        <v>15064</v>
      </c>
      <c r="AT2155" s="235" t="s">
        <v>156</v>
      </c>
      <c r="AU2155" s="235" t="s">
        <v>634</v>
      </c>
      <c r="AV2155" s="246" t="s">
        <v>635</v>
      </c>
      <c r="AW2155" s="242"/>
      <c r="AX2155" s="242"/>
      <c r="AY2155" s="231"/>
      <c r="AZ2155" s="231"/>
      <c r="BA2155" s="227"/>
      <c r="BB2155" s="231"/>
      <c r="BC2155" s="227"/>
      <c r="BD2155" s="227"/>
      <c r="BE2155" s="227"/>
      <c r="BF2155" s="227"/>
    </row>
    <row r="2156">
      <c r="A2156" s="235" t="s">
        <v>16686</v>
      </c>
      <c r="C2156" s="235" t="s">
        <v>16687</v>
      </c>
      <c r="D2156" s="235" t="s">
        <v>16688</v>
      </c>
      <c r="E2156" s="243">
        <v>6.54E13</v>
      </c>
      <c r="F2156" s="245"/>
      <c r="G2156" s="235" t="s">
        <v>16689</v>
      </c>
      <c r="H2156" s="235" t="s">
        <v>16690</v>
      </c>
      <c r="I2156" s="235" t="s">
        <v>16690</v>
      </c>
      <c r="J2156" s="235" t="s">
        <v>16691</v>
      </c>
      <c r="K2156" s="235" t="s">
        <v>16692</v>
      </c>
      <c r="N2156" s="235" t="s">
        <v>49</v>
      </c>
      <c r="O2156" s="235" t="s">
        <v>321</v>
      </c>
      <c r="P2156" s="238">
        <v>1.0</v>
      </c>
      <c r="Q2156" s="235" t="s">
        <v>627</v>
      </c>
      <c r="R2156" s="238">
        <v>0.0</v>
      </c>
      <c r="S2156" s="238">
        <v>0.0</v>
      </c>
      <c r="T2156" s="238">
        <v>0.0</v>
      </c>
      <c r="U2156" s="238">
        <v>0.0</v>
      </c>
      <c r="V2156" s="238">
        <v>0.0</v>
      </c>
      <c r="W2156" s="238">
        <v>0.0</v>
      </c>
      <c r="X2156" s="235" t="s">
        <v>628</v>
      </c>
      <c r="Z2156" s="244"/>
      <c r="AA2156" s="244"/>
      <c r="AB2156" s="244"/>
      <c r="AC2156" s="235" t="s">
        <v>697</v>
      </c>
      <c r="AD2156" s="235" t="s">
        <v>698</v>
      </c>
      <c r="AE2156" s="238">
        <v>500086.0</v>
      </c>
      <c r="AF2156" s="235" t="s">
        <v>631</v>
      </c>
      <c r="AG2156" s="244"/>
      <c r="AH2156" s="244"/>
      <c r="AI2156" s="245"/>
      <c r="AJ2156" s="245"/>
      <c r="AK2156" s="245"/>
      <c r="AL2156" s="245"/>
      <c r="AM2156" s="244"/>
      <c r="AN2156" s="244"/>
      <c r="AO2156" s="238">
        <v>0.0</v>
      </c>
      <c r="AP2156" s="238">
        <v>0.0</v>
      </c>
      <c r="AQ2156" s="235" t="s">
        <v>632</v>
      </c>
      <c r="AR2156" s="243">
        <v>2.02E11</v>
      </c>
      <c r="AS2156" s="235" t="s">
        <v>15064</v>
      </c>
      <c r="AT2156" s="235" t="s">
        <v>546</v>
      </c>
      <c r="AU2156" s="235" t="s">
        <v>634</v>
      </c>
      <c r="AV2156" s="246" t="s">
        <v>635</v>
      </c>
      <c r="AW2156" s="242"/>
      <c r="AX2156" s="242"/>
      <c r="AY2156" s="231"/>
      <c r="AZ2156" s="231"/>
      <c r="BA2156" s="227"/>
      <c r="BB2156" s="231"/>
      <c r="BC2156" s="227"/>
      <c r="BD2156" s="227"/>
      <c r="BE2156" s="227"/>
      <c r="BF2156" s="227"/>
    </row>
    <row r="2157">
      <c r="A2157" s="235" t="s">
        <v>16693</v>
      </c>
      <c r="C2157" s="235" t="s">
        <v>16694</v>
      </c>
      <c r="D2157" s="235" t="s">
        <v>16695</v>
      </c>
      <c r="E2157" s="243">
        <v>6.54E13</v>
      </c>
      <c r="F2157" s="245"/>
      <c r="G2157" s="235" t="s">
        <v>16696</v>
      </c>
      <c r="H2157" s="235" t="s">
        <v>16697</v>
      </c>
      <c r="I2157" s="235" t="s">
        <v>16697</v>
      </c>
      <c r="J2157" s="235" t="s">
        <v>16698</v>
      </c>
      <c r="K2157" s="235" t="s">
        <v>16699</v>
      </c>
      <c r="N2157" s="235" t="s">
        <v>143</v>
      </c>
      <c r="O2157" s="235" t="s">
        <v>220</v>
      </c>
      <c r="P2157" s="238">
        <v>1.0</v>
      </c>
      <c r="Q2157" s="235" t="s">
        <v>627</v>
      </c>
      <c r="R2157" s="238">
        <v>246.66</v>
      </c>
      <c r="S2157" s="238">
        <v>12.1</v>
      </c>
      <c r="T2157" s="238">
        <v>0.0</v>
      </c>
      <c r="U2157" s="238">
        <v>0.0</v>
      </c>
      <c r="V2157" s="238">
        <v>0.0</v>
      </c>
      <c r="W2157" s="238">
        <v>0.0</v>
      </c>
      <c r="X2157" s="235" t="s">
        <v>628</v>
      </c>
      <c r="Z2157" s="244"/>
      <c r="AA2157" s="244"/>
      <c r="AB2157" s="244"/>
      <c r="AC2157" s="235" t="s">
        <v>6182</v>
      </c>
      <c r="AD2157" s="235" t="s">
        <v>845</v>
      </c>
      <c r="AE2157" s="238">
        <v>401208.0</v>
      </c>
      <c r="AF2157" s="235" t="s">
        <v>631</v>
      </c>
      <c r="AG2157" s="244"/>
      <c r="AH2157" s="244"/>
      <c r="AI2157" s="245"/>
      <c r="AJ2157" s="245"/>
      <c r="AK2157" s="245"/>
      <c r="AL2157" s="245"/>
      <c r="AM2157" s="244"/>
      <c r="AN2157" s="244"/>
      <c r="AO2157" s="238">
        <v>-4.94</v>
      </c>
      <c r="AP2157" s="238">
        <v>0.0</v>
      </c>
      <c r="AQ2157" s="235" t="s">
        <v>632</v>
      </c>
      <c r="AR2157" s="243">
        <v>3.71E11</v>
      </c>
      <c r="AS2157" s="235" t="s">
        <v>15064</v>
      </c>
      <c r="AT2157" s="235" t="s">
        <v>17</v>
      </c>
      <c r="AU2157" s="235" t="s">
        <v>634</v>
      </c>
      <c r="AV2157" s="246" t="s">
        <v>635</v>
      </c>
      <c r="AW2157" s="242"/>
      <c r="AX2157" s="242"/>
      <c r="AY2157" s="231"/>
      <c r="AZ2157" s="231"/>
      <c r="BA2157" s="227"/>
      <c r="BB2157" s="231"/>
      <c r="BC2157" s="227"/>
      <c r="BD2157" s="227"/>
      <c r="BE2157" s="227"/>
      <c r="BF2157" s="227"/>
    </row>
    <row r="2158">
      <c r="A2158" s="235" t="s">
        <v>16700</v>
      </c>
      <c r="C2158" s="235" t="s">
        <v>16701</v>
      </c>
      <c r="D2158" s="235" t="s">
        <v>16702</v>
      </c>
      <c r="E2158" s="243">
        <v>6.54E13</v>
      </c>
      <c r="F2158" s="245"/>
      <c r="G2158" s="235" t="s">
        <v>16703</v>
      </c>
      <c r="H2158" s="235" t="s">
        <v>16704</v>
      </c>
      <c r="I2158" s="235" t="s">
        <v>16704</v>
      </c>
      <c r="J2158" s="235" t="s">
        <v>16705</v>
      </c>
      <c r="K2158" s="235" t="s">
        <v>16706</v>
      </c>
      <c r="N2158" s="235" t="s">
        <v>3758</v>
      </c>
      <c r="O2158" s="235" t="s">
        <v>3759</v>
      </c>
      <c r="P2158" s="238">
        <v>1.0</v>
      </c>
      <c r="Q2158" s="235" t="s">
        <v>627</v>
      </c>
      <c r="R2158" s="238">
        <v>422.88</v>
      </c>
      <c r="S2158" s="238">
        <v>74.6</v>
      </c>
      <c r="T2158" s="238">
        <v>0.0</v>
      </c>
      <c r="U2158" s="238">
        <v>0.0</v>
      </c>
      <c r="V2158" s="238">
        <v>0.0</v>
      </c>
      <c r="W2158" s="238">
        <v>0.0</v>
      </c>
      <c r="X2158" s="235" t="s">
        <v>628</v>
      </c>
      <c r="Z2158" s="244"/>
      <c r="AA2158" s="244"/>
      <c r="AB2158" s="244"/>
      <c r="AC2158" s="235" t="s">
        <v>749</v>
      </c>
      <c r="AD2158" s="235" t="s">
        <v>630</v>
      </c>
      <c r="AE2158" s="238">
        <v>201318.0</v>
      </c>
      <c r="AF2158" s="235" t="s">
        <v>631</v>
      </c>
      <c r="AG2158" s="244"/>
      <c r="AH2158" s="244"/>
      <c r="AI2158" s="245"/>
      <c r="AJ2158" s="245"/>
      <c r="AK2158" s="245"/>
      <c r="AL2158" s="245"/>
      <c r="AM2158" s="244"/>
      <c r="AN2158" s="244"/>
      <c r="AO2158" s="238">
        <v>-8.46</v>
      </c>
      <c r="AP2158" s="238">
        <v>0.0</v>
      </c>
      <c r="AQ2158" s="235" t="s">
        <v>632</v>
      </c>
      <c r="AR2158" s="243">
        <v>1.68E11</v>
      </c>
      <c r="AS2158" s="235" t="s">
        <v>16626</v>
      </c>
      <c r="AT2158" s="235" t="s">
        <v>533</v>
      </c>
      <c r="AU2158" s="235" t="s">
        <v>634</v>
      </c>
      <c r="AV2158" s="246" t="s">
        <v>635</v>
      </c>
      <c r="AW2158" s="242"/>
      <c r="AX2158" s="242"/>
      <c r="AY2158" s="231"/>
      <c r="AZ2158" s="231"/>
      <c r="BA2158" s="227"/>
      <c r="BB2158" s="231"/>
      <c r="BC2158" s="227"/>
      <c r="BD2158" s="227"/>
      <c r="BE2158" s="227"/>
      <c r="BF2158" s="227"/>
    </row>
    <row r="2159">
      <c r="A2159" s="235" t="s">
        <v>16707</v>
      </c>
      <c r="C2159" s="235" t="s">
        <v>16708</v>
      </c>
      <c r="D2159" s="235" t="s">
        <v>16709</v>
      </c>
      <c r="E2159" s="243">
        <v>6.54E13</v>
      </c>
      <c r="F2159" s="245"/>
      <c r="G2159" s="235" t="s">
        <v>16710</v>
      </c>
      <c r="H2159" s="235" t="s">
        <v>16711</v>
      </c>
      <c r="I2159" s="235" t="s">
        <v>16711</v>
      </c>
      <c r="J2159" s="235" t="s">
        <v>16712</v>
      </c>
      <c r="K2159" s="235" t="s">
        <v>16713</v>
      </c>
      <c r="N2159" s="235" t="s">
        <v>78</v>
      </c>
      <c r="O2159" s="235" t="s">
        <v>360</v>
      </c>
      <c r="P2159" s="238">
        <v>1.0</v>
      </c>
      <c r="Q2159" s="235" t="s">
        <v>627</v>
      </c>
      <c r="R2159" s="238">
        <v>360.95</v>
      </c>
      <c r="S2159" s="238">
        <v>18.05</v>
      </c>
      <c r="T2159" s="238">
        <v>38.1</v>
      </c>
      <c r="U2159" s="238">
        <v>1.9</v>
      </c>
      <c r="V2159" s="238">
        <v>0.0</v>
      </c>
      <c r="W2159" s="238">
        <v>0.0</v>
      </c>
      <c r="X2159" s="235" t="s">
        <v>628</v>
      </c>
      <c r="Z2159" s="244"/>
      <c r="AA2159" s="244"/>
      <c r="AB2159" s="244"/>
      <c r="AC2159" s="235" t="s">
        <v>16714</v>
      </c>
      <c r="AD2159" s="235" t="s">
        <v>1086</v>
      </c>
      <c r="AE2159" s="238">
        <v>140001.0</v>
      </c>
      <c r="AF2159" s="235" t="s">
        <v>631</v>
      </c>
      <c r="AG2159" s="244"/>
      <c r="AH2159" s="244"/>
      <c r="AI2159" s="245"/>
      <c r="AJ2159" s="245"/>
      <c r="AK2159" s="245"/>
      <c r="AL2159" s="245"/>
      <c r="AM2159" s="244"/>
      <c r="AN2159" s="244"/>
      <c r="AO2159" s="238">
        <v>0.0</v>
      </c>
      <c r="AP2159" s="238">
        <v>-38.1</v>
      </c>
      <c r="AQ2159" s="235" t="s">
        <v>632</v>
      </c>
      <c r="AR2159" s="243">
        <v>3.71E11</v>
      </c>
      <c r="AS2159" s="235" t="s">
        <v>13822</v>
      </c>
      <c r="AT2159" s="235" t="s">
        <v>14</v>
      </c>
      <c r="AU2159" s="235" t="s">
        <v>634</v>
      </c>
      <c r="AV2159" s="246" t="s">
        <v>635</v>
      </c>
      <c r="AW2159" s="242"/>
      <c r="AX2159" s="242"/>
      <c r="AY2159" s="231"/>
      <c r="AZ2159" s="231"/>
      <c r="BA2159" s="227"/>
      <c r="BB2159" s="231"/>
      <c r="BC2159" s="227"/>
      <c r="BD2159" s="227"/>
      <c r="BE2159" s="227"/>
      <c r="BF2159" s="227"/>
    </row>
    <row r="2160">
      <c r="A2160" s="235" t="s">
        <v>16715</v>
      </c>
      <c r="C2160" s="235" t="s">
        <v>16716</v>
      </c>
      <c r="D2160" s="235" t="s">
        <v>16717</v>
      </c>
      <c r="E2160" s="243">
        <v>6.54E13</v>
      </c>
      <c r="F2160" s="245"/>
      <c r="G2160" s="235" t="s">
        <v>16718</v>
      </c>
      <c r="H2160" s="235" t="s">
        <v>16719</v>
      </c>
      <c r="I2160" s="235" t="s">
        <v>16719</v>
      </c>
      <c r="J2160" s="235" t="s">
        <v>16720</v>
      </c>
      <c r="K2160" s="235" t="s">
        <v>16721</v>
      </c>
      <c r="N2160" s="235" t="s">
        <v>989</v>
      </c>
      <c r="O2160" s="235" t="s">
        <v>990</v>
      </c>
      <c r="P2160" s="238">
        <v>1.0</v>
      </c>
      <c r="Q2160" s="235" t="s">
        <v>627</v>
      </c>
      <c r="R2160" s="238">
        <v>256.2</v>
      </c>
      <c r="S2160" s="238">
        <v>12.8</v>
      </c>
      <c r="T2160" s="238">
        <v>0.0</v>
      </c>
      <c r="U2160" s="238">
        <v>0.0</v>
      </c>
      <c r="V2160" s="238">
        <v>0.0</v>
      </c>
      <c r="W2160" s="238">
        <v>0.0</v>
      </c>
      <c r="X2160" s="235" t="s">
        <v>628</v>
      </c>
      <c r="Z2160" s="244"/>
      <c r="AA2160" s="244"/>
      <c r="AB2160" s="244"/>
      <c r="AC2160" s="235" t="s">
        <v>1058</v>
      </c>
      <c r="AD2160" s="235" t="s">
        <v>845</v>
      </c>
      <c r="AE2160" s="238">
        <v>400067.0</v>
      </c>
      <c r="AF2160" s="235" t="s">
        <v>631</v>
      </c>
      <c r="AG2160" s="244"/>
      <c r="AH2160" s="244"/>
      <c r="AI2160" s="245"/>
      <c r="AJ2160" s="245"/>
      <c r="AK2160" s="245"/>
      <c r="AL2160" s="245"/>
      <c r="AM2160" s="244"/>
      <c r="AN2160" s="244"/>
      <c r="AO2160" s="238">
        <v>0.0</v>
      </c>
      <c r="AP2160" s="238">
        <v>0.0</v>
      </c>
      <c r="AQ2160" s="235" t="s">
        <v>632</v>
      </c>
      <c r="AR2160" s="243">
        <v>3.71E11</v>
      </c>
      <c r="AS2160" s="235" t="s">
        <v>13822</v>
      </c>
      <c r="AT2160" s="235" t="s">
        <v>546</v>
      </c>
      <c r="AU2160" s="235" t="s">
        <v>634</v>
      </c>
      <c r="AV2160" s="246" t="s">
        <v>635</v>
      </c>
      <c r="AW2160" s="242"/>
      <c r="AX2160" s="242"/>
      <c r="AY2160" s="231"/>
      <c r="AZ2160" s="231"/>
      <c r="BA2160" s="227"/>
      <c r="BB2160" s="231"/>
      <c r="BC2160" s="227"/>
      <c r="BD2160" s="227"/>
      <c r="BE2160" s="227"/>
      <c r="BF2160" s="227"/>
    </row>
    <row r="2161">
      <c r="A2161" s="235" t="s">
        <v>16722</v>
      </c>
      <c r="C2161" s="235" t="s">
        <v>16723</v>
      </c>
      <c r="D2161" s="235" t="s">
        <v>16724</v>
      </c>
      <c r="E2161" s="243">
        <v>6.54E13</v>
      </c>
      <c r="F2161" s="245"/>
      <c r="G2161" s="235" t="s">
        <v>16725</v>
      </c>
      <c r="H2161" s="235" t="s">
        <v>16726</v>
      </c>
      <c r="I2161" s="235" t="s">
        <v>16726</v>
      </c>
      <c r="J2161" s="235" t="s">
        <v>16727</v>
      </c>
      <c r="K2161" s="235" t="s">
        <v>16728</v>
      </c>
      <c r="N2161" s="235" t="s">
        <v>842</v>
      </c>
      <c r="O2161" s="235" t="s">
        <v>843</v>
      </c>
      <c r="P2161" s="238">
        <v>1.0</v>
      </c>
      <c r="Q2161" s="235" t="s">
        <v>627</v>
      </c>
      <c r="R2161" s="238">
        <v>242.86</v>
      </c>
      <c r="S2161" s="238">
        <v>11.9</v>
      </c>
      <c r="T2161" s="238">
        <v>38.1</v>
      </c>
      <c r="U2161" s="238">
        <v>1.9</v>
      </c>
      <c r="V2161" s="238">
        <v>0.0</v>
      </c>
      <c r="W2161" s="238">
        <v>0.0</v>
      </c>
      <c r="X2161" s="235" t="s">
        <v>628</v>
      </c>
      <c r="Z2161" s="244"/>
      <c r="AA2161" s="244"/>
      <c r="AB2161" s="244"/>
      <c r="AC2161" s="235" t="s">
        <v>9499</v>
      </c>
      <c r="AD2161" s="235" t="s">
        <v>1151</v>
      </c>
      <c r="AE2161" s="238">
        <v>713301.0</v>
      </c>
      <c r="AF2161" s="235" t="s">
        <v>631</v>
      </c>
      <c r="AG2161" s="244"/>
      <c r="AH2161" s="244"/>
      <c r="AI2161" s="245"/>
      <c r="AJ2161" s="245"/>
      <c r="AK2161" s="245"/>
      <c r="AL2161" s="245"/>
      <c r="AM2161" s="244"/>
      <c r="AN2161" s="244"/>
      <c r="AO2161" s="238">
        <v>-4.86</v>
      </c>
      <c r="AP2161" s="238">
        <v>-38.1</v>
      </c>
      <c r="AQ2161" s="235" t="s">
        <v>632</v>
      </c>
      <c r="AR2161" s="243">
        <v>3.71E11</v>
      </c>
      <c r="AS2161" s="235" t="s">
        <v>10017</v>
      </c>
      <c r="AT2161" s="235" t="s">
        <v>9</v>
      </c>
      <c r="AU2161" s="235" t="s">
        <v>634</v>
      </c>
      <c r="AV2161" s="246" t="s">
        <v>635</v>
      </c>
      <c r="AW2161" s="242"/>
      <c r="AX2161" s="242"/>
      <c r="AY2161" s="231"/>
      <c r="AZ2161" s="231"/>
      <c r="BA2161" s="227"/>
      <c r="BB2161" s="231"/>
      <c r="BC2161" s="227"/>
      <c r="BD2161" s="227"/>
      <c r="BE2161" s="227"/>
      <c r="BF2161" s="227"/>
    </row>
    <row r="2162">
      <c r="A2162" s="235" t="s">
        <v>16729</v>
      </c>
      <c r="C2162" s="235" t="s">
        <v>16730</v>
      </c>
      <c r="D2162" s="235" t="s">
        <v>16731</v>
      </c>
      <c r="E2162" s="243">
        <v>6.54E13</v>
      </c>
      <c r="F2162" s="245"/>
      <c r="G2162" s="235" t="s">
        <v>16732</v>
      </c>
      <c r="H2162" s="235" t="s">
        <v>16733</v>
      </c>
      <c r="I2162" s="235" t="s">
        <v>16733</v>
      </c>
      <c r="J2162" s="235" t="s">
        <v>16734</v>
      </c>
      <c r="K2162" s="235" t="s">
        <v>16735</v>
      </c>
      <c r="N2162" s="235" t="s">
        <v>64</v>
      </c>
      <c r="O2162" s="235" t="s">
        <v>378</v>
      </c>
      <c r="P2162" s="238">
        <v>1.0</v>
      </c>
      <c r="Q2162" s="235" t="s">
        <v>627</v>
      </c>
      <c r="R2162" s="238">
        <v>360.95</v>
      </c>
      <c r="S2162" s="238">
        <v>18.05</v>
      </c>
      <c r="T2162" s="238">
        <v>0.0</v>
      </c>
      <c r="U2162" s="238">
        <v>0.0</v>
      </c>
      <c r="V2162" s="238">
        <v>0.0</v>
      </c>
      <c r="W2162" s="238">
        <v>0.0</v>
      </c>
      <c r="X2162" s="235" t="s">
        <v>628</v>
      </c>
      <c r="Z2162" s="244"/>
      <c r="AA2162" s="244"/>
      <c r="AB2162" s="244"/>
      <c r="AC2162" s="235" t="s">
        <v>795</v>
      </c>
      <c r="AD2162" s="235" t="s">
        <v>796</v>
      </c>
      <c r="AE2162" s="238">
        <v>110027.0</v>
      </c>
      <c r="AF2162" s="235" t="s">
        <v>631</v>
      </c>
      <c r="AG2162" s="244"/>
      <c r="AH2162" s="244"/>
      <c r="AI2162" s="245"/>
      <c r="AJ2162" s="245"/>
      <c r="AK2162" s="245"/>
      <c r="AL2162" s="245"/>
      <c r="AM2162" s="244"/>
      <c r="AN2162" s="244"/>
      <c r="AO2162" s="238">
        <v>0.0</v>
      </c>
      <c r="AP2162" s="238">
        <v>0.0</v>
      </c>
      <c r="AQ2162" s="235" t="s">
        <v>632</v>
      </c>
      <c r="AR2162" s="243">
        <v>1.68E11</v>
      </c>
      <c r="AS2162" s="235" t="s">
        <v>16626</v>
      </c>
      <c r="AT2162" s="235" t="s">
        <v>13</v>
      </c>
      <c r="AU2162" s="235" t="s">
        <v>634</v>
      </c>
      <c r="AV2162" s="246" t="s">
        <v>635</v>
      </c>
      <c r="AW2162" s="242"/>
      <c r="AX2162" s="242"/>
      <c r="AY2162" s="231"/>
      <c r="AZ2162" s="231"/>
      <c r="BA2162" s="227"/>
      <c r="BB2162" s="231"/>
      <c r="BC2162" s="227"/>
      <c r="BD2162" s="227"/>
      <c r="BE2162" s="227"/>
      <c r="BF2162" s="227"/>
    </row>
    <row r="2163">
      <c r="A2163" s="235" t="s">
        <v>16736</v>
      </c>
      <c r="C2163" s="235" t="s">
        <v>16737</v>
      </c>
      <c r="D2163" s="235" t="s">
        <v>16738</v>
      </c>
      <c r="E2163" s="243">
        <v>6.52E13</v>
      </c>
      <c r="F2163" s="245"/>
      <c r="G2163" s="235" t="s">
        <v>16739</v>
      </c>
      <c r="H2163" s="235" t="s">
        <v>16740</v>
      </c>
      <c r="I2163" s="235" t="s">
        <v>16740</v>
      </c>
      <c r="J2163" s="235" t="s">
        <v>16741</v>
      </c>
      <c r="K2163" s="235" t="s">
        <v>16742</v>
      </c>
      <c r="N2163" s="235" t="s">
        <v>82</v>
      </c>
      <c r="O2163" s="235" t="s">
        <v>889</v>
      </c>
      <c r="P2163" s="238">
        <v>1.0</v>
      </c>
      <c r="Q2163" s="235" t="s">
        <v>627</v>
      </c>
      <c r="R2163" s="238">
        <v>246.66</v>
      </c>
      <c r="S2163" s="238">
        <v>12.34</v>
      </c>
      <c r="T2163" s="238">
        <v>38.1</v>
      </c>
      <c r="U2163" s="238">
        <v>1.9</v>
      </c>
      <c r="V2163" s="238">
        <v>0.0</v>
      </c>
      <c r="W2163" s="238">
        <v>0.0</v>
      </c>
      <c r="X2163" s="235" t="s">
        <v>628</v>
      </c>
      <c r="Z2163" s="244"/>
      <c r="AA2163" s="244"/>
      <c r="AB2163" s="244"/>
      <c r="AC2163" s="235" t="s">
        <v>1255</v>
      </c>
      <c r="AD2163" s="235" t="s">
        <v>845</v>
      </c>
      <c r="AE2163" s="238">
        <v>400606.0</v>
      </c>
      <c r="AF2163" s="235" t="s">
        <v>631</v>
      </c>
      <c r="AG2163" s="244"/>
      <c r="AH2163" s="244"/>
      <c r="AI2163" s="245"/>
      <c r="AJ2163" s="245"/>
      <c r="AK2163" s="245"/>
      <c r="AL2163" s="245"/>
      <c r="AM2163" s="244"/>
      <c r="AN2163" s="244"/>
      <c r="AO2163" s="238">
        <v>0.0</v>
      </c>
      <c r="AP2163" s="238">
        <v>-38.1</v>
      </c>
      <c r="AQ2163" s="235" t="s">
        <v>632</v>
      </c>
      <c r="AR2163" s="243">
        <v>3.71E11</v>
      </c>
      <c r="AS2163" s="235" t="s">
        <v>15064</v>
      </c>
      <c r="AT2163" s="235" t="s">
        <v>16</v>
      </c>
      <c r="AU2163" s="235" t="s">
        <v>634</v>
      </c>
      <c r="AV2163" s="246" t="s">
        <v>635</v>
      </c>
      <c r="AW2163" s="242"/>
      <c r="AX2163" s="242"/>
      <c r="AY2163" s="231"/>
      <c r="AZ2163" s="231"/>
      <c r="BA2163" s="227"/>
      <c r="BB2163" s="231"/>
      <c r="BC2163" s="227"/>
      <c r="BD2163" s="227"/>
      <c r="BE2163" s="227"/>
      <c r="BF2163" s="227"/>
    </row>
    <row r="2164">
      <c r="A2164" s="235" t="s">
        <v>16743</v>
      </c>
      <c r="C2164" s="235" t="s">
        <v>16744</v>
      </c>
      <c r="D2164" s="235" t="s">
        <v>16745</v>
      </c>
      <c r="E2164" s="243">
        <v>6.54E13</v>
      </c>
      <c r="F2164" s="245"/>
      <c r="G2164" s="235" t="s">
        <v>16746</v>
      </c>
      <c r="H2164" s="235" t="s">
        <v>16747</v>
      </c>
      <c r="I2164" s="235" t="s">
        <v>16747</v>
      </c>
      <c r="J2164" s="235" t="s">
        <v>16748</v>
      </c>
      <c r="K2164" s="235" t="s">
        <v>16749</v>
      </c>
      <c r="N2164" s="235" t="s">
        <v>989</v>
      </c>
      <c r="O2164" s="235" t="s">
        <v>990</v>
      </c>
      <c r="P2164" s="238">
        <v>1.0</v>
      </c>
      <c r="Q2164" s="235" t="s">
        <v>627</v>
      </c>
      <c r="R2164" s="238">
        <v>256.19</v>
      </c>
      <c r="S2164" s="238">
        <v>12.81</v>
      </c>
      <c r="T2164" s="238">
        <v>0.0</v>
      </c>
      <c r="U2164" s="238">
        <v>0.0</v>
      </c>
      <c r="V2164" s="238">
        <v>0.0</v>
      </c>
      <c r="W2164" s="238">
        <v>0.0</v>
      </c>
      <c r="X2164" s="235" t="s">
        <v>628</v>
      </c>
      <c r="Z2164" s="244"/>
      <c r="AA2164" s="244"/>
      <c r="AB2164" s="244"/>
      <c r="AC2164" s="235" t="s">
        <v>1514</v>
      </c>
      <c r="AD2164" s="235" t="s">
        <v>1077</v>
      </c>
      <c r="AE2164" s="238">
        <v>382470.0</v>
      </c>
      <c r="AF2164" s="235" t="s">
        <v>631</v>
      </c>
      <c r="AG2164" s="244"/>
      <c r="AH2164" s="244"/>
      <c r="AI2164" s="245"/>
      <c r="AJ2164" s="245"/>
      <c r="AK2164" s="245"/>
      <c r="AL2164" s="245"/>
      <c r="AM2164" s="244"/>
      <c r="AN2164" s="244"/>
      <c r="AO2164" s="238">
        <v>0.0</v>
      </c>
      <c r="AP2164" s="238">
        <v>0.0</v>
      </c>
      <c r="AQ2164" s="235" t="s">
        <v>632</v>
      </c>
      <c r="AR2164" s="243">
        <v>2.02E11</v>
      </c>
      <c r="AS2164" s="235" t="s">
        <v>15064</v>
      </c>
      <c r="AT2164" s="235" t="s">
        <v>17</v>
      </c>
      <c r="AU2164" s="235" t="s">
        <v>634</v>
      </c>
      <c r="AV2164" s="246" t="s">
        <v>635</v>
      </c>
      <c r="AW2164" s="242"/>
      <c r="AX2164" s="242"/>
      <c r="AY2164" s="231"/>
      <c r="AZ2164" s="231"/>
      <c r="BA2164" s="227"/>
      <c r="BB2164" s="231"/>
      <c r="BC2164" s="227"/>
      <c r="BD2164" s="227"/>
      <c r="BE2164" s="227"/>
      <c r="BF2164" s="227"/>
    </row>
    <row r="2165">
      <c r="A2165" s="235" t="s">
        <v>16750</v>
      </c>
      <c r="C2165" s="235" t="s">
        <v>16751</v>
      </c>
      <c r="D2165" s="235" t="s">
        <v>16752</v>
      </c>
      <c r="E2165" s="243">
        <v>6.52E13</v>
      </c>
      <c r="F2165" s="245"/>
      <c r="G2165" s="235" t="s">
        <v>16753</v>
      </c>
      <c r="H2165" s="235" t="s">
        <v>16754</v>
      </c>
      <c r="I2165" s="235" t="s">
        <v>16754</v>
      </c>
      <c r="J2165" s="235" t="s">
        <v>16755</v>
      </c>
      <c r="K2165" s="235" t="s">
        <v>16756</v>
      </c>
      <c r="N2165" s="235" t="s">
        <v>64</v>
      </c>
      <c r="O2165" s="235" t="s">
        <v>378</v>
      </c>
      <c r="P2165" s="238">
        <v>1.0</v>
      </c>
      <c r="Q2165" s="235" t="s">
        <v>627</v>
      </c>
      <c r="R2165" s="238">
        <v>360.96</v>
      </c>
      <c r="S2165" s="238">
        <v>17.5</v>
      </c>
      <c r="T2165" s="238">
        <v>38.1</v>
      </c>
      <c r="U2165" s="238">
        <v>1.9</v>
      </c>
      <c r="V2165" s="238">
        <v>0.0</v>
      </c>
      <c r="W2165" s="238">
        <v>0.0</v>
      </c>
      <c r="X2165" s="235" t="s">
        <v>628</v>
      </c>
      <c r="Z2165" s="244"/>
      <c r="AA2165" s="244"/>
      <c r="AB2165" s="244"/>
      <c r="AC2165" s="235" t="s">
        <v>1058</v>
      </c>
      <c r="AD2165" s="235" t="s">
        <v>845</v>
      </c>
      <c r="AE2165" s="238">
        <v>400054.0</v>
      </c>
      <c r="AF2165" s="235" t="s">
        <v>631</v>
      </c>
      <c r="AG2165" s="244"/>
      <c r="AH2165" s="244"/>
      <c r="AI2165" s="245"/>
      <c r="AJ2165" s="245"/>
      <c r="AK2165" s="245"/>
      <c r="AL2165" s="245"/>
      <c r="AM2165" s="244"/>
      <c r="AN2165" s="244"/>
      <c r="AO2165" s="238">
        <v>-10.83</v>
      </c>
      <c r="AP2165" s="238">
        <v>-38.1</v>
      </c>
      <c r="AQ2165" s="235" t="s">
        <v>632</v>
      </c>
      <c r="AR2165" s="243">
        <v>3.71E11</v>
      </c>
      <c r="AS2165" s="235" t="s">
        <v>15064</v>
      </c>
      <c r="AT2165" s="235" t="s">
        <v>16</v>
      </c>
      <c r="AU2165" s="235" t="s">
        <v>634</v>
      </c>
      <c r="AV2165" s="246" t="s">
        <v>635</v>
      </c>
      <c r="AW2165" s="242"/>
      <c r="AX2165" s="242"/>
      <c r="AY2165" s="231"/>
      <c r="AZ2165" s="231"/>
      <c r="BA2165" s="227"/>
      <c r="BB2165" s="231"/>
      <c r="BC2165" s="227"/>
      <c r="BD2165" s="227"/>
      <c r="BE2165" s="227"/>
      <c r="BF2165" s="227"/>
    </row>
    <row r="2166">
      <c r="A2166" s="235" t="s">
        <v>16750</v>
      </c>
      <c r="C2166" s="235" t="s">
        <v>16751</v>
      </c>
      <c r="D2166" s="235" t="s">
        <v>16757</v>
      </c>
      <c r="E2166" s="243">
        <v>6.52E13</v>
      </c>
      <c r="F2166" s="245"/>
      <c r="G2166" s="235" t="s">
        <v>16753</v>
      </c>
      <c r="H2166" s="235" t="s">
        <v>16754</v>
      </c>
      <c r="I2166" s="235" t="s">
        <v>16754</v>
      </c>
      <c r="J2166" s="235" t="s">
        <v>16755</v>
      </c>
      <c r="K2166" s="235" t="s">
        <v>16756</v>
      </c>
      <c r="N2166" s="235" t="s">
        <v>64</v>
      </c>
      <c r="O2166" s="235" t="s">
        <v>378</v>
      </c>
      <c r="P2166" s="238">
        <v>1.0</v>
      </c>
      <c r="Q2166" s="235" t="s">
        <v>627</v>
      </c>
      <c r="R2166" s="238">
        <v>360.96</v>
      </c>
      <c r="S2166" s="238">
        <v>17.5</v>
      </c>
      <c r="T2166" s="238">
        <v>38.1</v>
      </c>
      <c r="U2166" s="238">
        <v>1.9</v>
      </c>
      <c r="V2166" s="238">
        <v>0.0</v>
      </c>
      <c r="W2166" s="238">
        <v>0.0</v>
      </c>
      <c r="X2166" s="235" t="s">
        <v>628</v>
      </c>
      <c r="Z2166" s="244"/>
      <c r="AA2166" s="244"/>
      <c r="AB2166" s="244"/>
      <c r="AC2166" s="235" t="s">
        <v>1058</v>
      </c>
      <c r="AD2166" s="235" t="s">
        <v>845</v>
      </c>
      <c r="AE2166" s="238">
        <v>400054.0</v>
      </c>
      <c r="AF2166" s="235" t="s">
        <v>631</v>
      </c>
      <c r="AG2166" s="244"/>
      <c r="AH2166" s="244"/>
      <c r="AI2166" s="245"/>
      <c r="AJ2166" s="245"/>
      <c r="AK2166" s="245"/>
      <c r="AL2166" s="245"/>
      <c r="AM2166" s="244"/>
      <c r="AN2166" s="244"/>
      <c r="AO2166" s="238">
        <v>-10.83</v>
      </c>
      <c r="AP2166" s="238">
        <v>-38.1</v>
      </c>
      <c r="AQ2166" s="235" t="s">
        <v>632</v>
      </c>
      <c r="AR2166" s="243">
        <v>3.71E11</v>
      </c>
      <c r="AS2166" s="235" t="s">
        <v>15064</v>
      </c>
      <c r="AT2166" s="235" t="s">
        <v>16</v>
      </c>
      <c r="AU2166" s="235" t="s">
        <v>634</v>
      </c>
      <c r="AV2166" s="246" t="s">
        <v>635</v>
      </c>
      <c r="AW2166" s="242"/>
      <c r="AX2166" s="242"/>
      <c r="AY2166" s="231"/>
      <c r="AZ2166" s="231"/>
      <c r="BA2166" s="227"/>
      <c r="BB2166" s="231"/>
      <c r="BC2166" s="227"/>
      <c r="BD2166" s="227"/>
      <c r="BE2166" s="227"/>
      <c r="BF2166" s="227"/>
    </row>
    <row r="2167">
      <c r="A2167" s="235" t="s">
        <v>16758</v>
      </c>
      <c r="C2167" s="235" t="s">
        <v>16759</v>
      </c>
      <c r="D2167" s="235" t="s">
        <v>16760</v>
      </c>
      <c r="E2167" s="243">
        <v>6.54E13</v>
      </c>
      <c r="F2167" s="245"/>
      <c r="G2167" s="235" t="s">
        <v>16761</v>
      </c>
      <c r="H2167" s="235" t="s">
        <v>16762</v>
      </c>
      <c r="I2167" s="235" t="s">
        <v>16762</v>
      </c>
      <c r="J2167" s="235" t="s">
        <v>16763</v>
      </c>
      <c r="K2167" s="235" t="s">
        <v>16764</v>
      </c>
      <c r="N2167" s="235" t="s">
        <v>51</v>
      </c>
      <c r="O2167" s="235" t="s">
        <v>273</v>
      </c>
      <c r="P2167" s="238">
        <v>1.0</v>
      </c>
      <c r="Q2167" s="235" t="s">
        <v>627</v>
      </c>
      <c r="R2167" s="238">
        <v>237.14</v>
      </c>
      <c r="S2167" s="238">
        <v>11.86</v>
      </c>
      <c r="T2167" s="238">
        <v>0.0</v>
      </c>
      <c r="U2167" s="238">
        <v>0.0</v>
      </c>
      <c r="V2167" s="238">
        <v>0.0</v>
      </c>
      <c r="W2167" s="238">
        <v>0.0</v>
      </c>
      <c r="X2167" s="235" t="s">
        <v>628</v>
      </c>
      <c r="Z2167" s="244"/>
      <c r="AA2167" s="244"/>
      <c r="AB2167" s="244"/>
      <c r="AC2167" s="235" t="s">
        <v>16765</v>
      </c>
      <c r="AD2167" s="235" t="s">
        <v>698</v>
      </c>
      <c r="AE2167" s="238">
        <v>509125.0</v>
      </c>
      <c r="AF2167" s="235" t="s">
        <v>631</v>
      </c>
      <c r="AG2167" s="244"/>
      <c r="AH2167" s="244"/>
      <c r="AI2167" s="245"/>
      <c r="AJ2167" s="245"/>
      <c r="AK2167" s="245"/>
      <c r="AL2167" s="245"/>
      <c r="AM2167" s="244"/>
      <c r="AN2167" s="244"/>
      <c r="AO2167" s="238">
        <v>0.0</v>
      </c>
      <c r="AP2167" s="238">
        <v>0.0</v>
      </c>
      <c r="AQ2167" s="235" t="s">
        <v>632</v>
      </c>
      <c r="AR2167" s="243">
        <v>3.71E11</v>
      </c>
      <c r="AS2167" s="235" t="s">
        <v>13822</v>
      </c>
      <c r="AT2167" s="235" t="s">
        <v>9</v>
      </c>
      <c r="AU2167" s="235" t="s">
        <v>634</v>
      </c>
      <c r="AV2167" s="246" t="s">
        <v>635</v>
      </c>
      <c r="AW2167" s="242"/>
      <c r="AX2167" s="242"/>
      <c r="AY2167" s="231"/>
      <c r="AZ2167" s="231"/>
      <c r="BA2167" s="227"/>
      <c r="BB2167" s="231"/>
      <c r="BC2167" s="227"/>
      <c r="BD2167" s="227"/>
      <c r="BE2167" s="227"/>
      <c r="BF2167" s="227"/>
    </row>
    <row r="2168">
      <c r="A2168" s="235" t="s">
        <v>16766</v>
      </c>
      <c r="C2168" s="235" t="s">
        <v>16767</v>
      </c>
      <c r="D2168" s="235" t="s">
        <v>16768</v>
      </c>
      <c r="E2168" s="243">
        <v>6.53E13</v>
      </c>
      <c r="F2168" s="245"/>
      <c r="G2168" s="235" t="s">
        <v>16769</v>
      </c>
      <c r="H2168" s="235" t="s">
        <v>16770</v>
      </c>
      <c r="I2168" s="235" t="s">
        <v>16770</v>
      </c>
      <c r="J2168" s="235" t="s">
        <v>16771</v>
      </c>
      <c r="K2168" s="235" t="s">
        <v>16772</v>
      </c>
      <c r="N2168" s="235" t="s">
        <v>128</v>
      </c>
      <c r="O2168" s="235" t="s">
        <v>2710</v>
      </c>
      <c r="P2168" s="238">
        <v>1.0</v>
      </c>
      <c r="Q2168" s="235" t="s">
        <v>627</v>
      </c>
      <c r="R2168" s="238">
        <v>270.48</v>
      </c>
      <c r="S2168" s="238">
        <v>13.52</v>
      </c>
      <c r="T2168" s="238">
        <v>38.1</v>
      </c>
      <c r="U2168" s="238">
        <v>1.9</v>
      </c>
      <c r="V2168" s="238">
        <v>0.0</v>
      </c>
      <c r="W2168" s="238">
        <v>0.0</v>
      </c>
      <c r="X2168" s="235" t="s">
        <v>628</v>
      </c>
      <c r="Z2168" s="244"/>
      <c r="AA2168" s="244"/>
      <c r="AB2168" s="244"/>
      <c r="AC2168" s="235" t="s">
        <v>1961</v>
      </c>
      <c r="AD2168" s="235" t="s">
        <v>845</v>
      </c>
      <c r="AE2168" s="238">
        <v>412101.0</v>
      </c>
      <c r="AF2168" s="235" t="s">
        <v>631</v>
      </c>
      <c r="AG2168" s="244"/>
      <c r="AH2168" s="244"/>
      <c r="AI2168" s="245"/>
      <c r="AJ2168" s="245"/>
      <c r="AK2168" s="245"/>
      <c r="AL2168" s="245"/>
      <c r="AM2168" s="244"/>
      <c r="AN2168" s="244"/>
      <c r="AO2168" s="238">
        <v>0.0</v>
      </c>
      <c r="AP2168" s="238">
        <v>-38.1</v>
      </c>
      <c r="AQ2168" s="235" t="s">
        <v>632</v>
      </c>
      <c r="AR2168" s="243">
        <v>3.71E11</v>
      </c>
      <c r="AS2168" s="235" t="s">
        <v>15064</v>
      </c>
      <c r="AT2168" s="235" t="s">
        <v>546</v>
      </c>
      <c r="AU2168" s="235" t="s">
        <v>634</v>
      </c>
      <c r="AV2168" s="246" t="s">
        <v>635</v>
      </c>
      <c r="AW2168" s="242"/>
      <c r="AX2168" s="242"/>
      <c r="AY2168" s="231"/>
      <c r="AZ2168" s="231"/>
      <c r="BA2168" s="227"/>
      <c r="BB2168" s="231"/>
      <c r="BC2168" s="227"/>
      <c r="BD2168" s="227"/>
      <c r="BE2168" s="227"/>
      <c r="BF2168" s="227"/>
    </row>
    <row r="2169">
      <c r="A2169" s="235" t="s">
        <v>16773</v>
      </c>
      <c r="C2169" s="235" t="s">
        <v>16774</v>
      </c>
      <c r="D2169" s="235" t="s">
        <v>16775</v>
      </c>
      <c r="E2169" s="243">
        <v>6.54E13</v>
      </c>
      <c r="F2169" s="245"/>
      <c r="G2169" s="235" t="s">
        <v>16776</v>
      </c>
      <c r="H2169" s="235" t="s">
        <v>16777</v>
      </c>
      <c r="I2169" s="235" t="s">
        <v>16777</v>
      </c>
      <c r="J2169" s="235" t="s">
        <v>16778</v>
      </c>
      <c r="K2169" s="235" t="s">
        <v>16779</v>
      </c>
      <c r="N2169" s="235" t="s">
        <v>134</v>
      </c>
      <c r="O2169" s="235" t="s">
        <v>314</v>
      </c>
      <c r="P2169" s="238">
        <v>1.0</v>
      </c>
      <c r="Q2169" s="235" t="s">
        <v>627</v>
      </c>
      <c r="R2169" s="238">
        <v>246.67</v>
      </c>
      <c r="S2169" s="238">
        <v>12.08</v>
      </c>
      <c r="T2169" s="238">
        <v>0.0</v>
      </c>
      <c r="U2169" s="238">
        <v>0.0</v>
      </c>
      <c r="V2169" s="238">
        <v>0.0</v>
      </c>
      <c r="W2169" s="238">
        <v>0.0</v>
      </c>
      <c r="X2169" s="235" t="s">
        <v>628</v>
      </c>
      <c r="Z2169" s="244"/>
      <c r="AA2169" s="244"/>
      <c r="AB2169" s="244"/>
      <c r="AC2169" s="235" t="s">
        <v>3374</v>
      </c>
      <c r="AD2169" s="235" t="s">
        <v>645</v>
      </c>
      <c r="AE2169" s="238">
        <v>695035.0</v>
      </c>
      <c r="AF2169" s="235" t="s">
        <v>631</v>
      </c>
      <c r="AG2169" s="244"/>
      <c r="AH2169" s="244"/>
      <c r="AI2169" s="245"/>
      <c r="AJ2169" s="245"/>
      <c r="AK2169" s="245"/>
      <c r="AL2169" s="245"/>
      <c r="AM2169" s="244"/>
      <c r="AN2169" s="244"/>
      <c r="AO2169" s="238">
        <v>-4.93</v>
      </c>
      <c r="AP2169" s="238">
        <v>0.0</v>
      </c>
      <c r="AQ2169" s="235" t="s">
        <v>632</v>
      </c>
      <c r="AR2169" s="243">
        <v>1.68E11</v>
      </c>
      <c r="AS2169" s="235" t="s">
        <v>15064</v>
      </c>
      <c r="AT2169" s="235" t="s">
        <v>9</v>
      </c>
      <c r="AU2169" s="235" t="s">
        <v>634</v>
      </c>
      <c r="AV2169" s="246" t="s">
        <v>635</v>
      </c>
      <c r="AW2169" s="242"/>
      <c r="AX2169" s="242"/>
      <c r="AY2169" s="231"/>
      <c r="AZ2169" s="231"/>
      <c r="BA2169" s="227"/>
      <c r="BB2169" s="231"/>
      <c r="BC2169" s="227"/>
      <c r="BD2169" s="227"/>
      <c r="BE2169" s="227"/>
      <c r="BF2169" s="227"/>
    </row>
    <row r="2170">
      <c r="A2170" s="235" t="s">
        <v>16780</v>
      </c>
      <c r="C2170" s="235" t="s">
        <v>16781</v>
      </c>
      <c r="D2170" s="235" t="s">
        <v>16782</v>
      </c>
      <c r="E2170" s="243">
        <v>6.52E13</v>
      </c>
      <c r="F2170" s="245"/>
      <c r="G2170" s="235" t="s">
        <v>16783</v>
      </c>
      <c r="H2170" s="235" t="s">
        <v>16784</v>
      </c>
      <c r="I2170" s="235" t="s">
        <v>16785</v>
      </c>
      <c r="J2170" s="235" t="s">
        <v>16786</v>
      </c>
      <c r="K2170" s="235" t="s">
        <v>16787</v>
      </c>
      <c r="N2170" s="235" t="s">
        <v>117</v>
      </c>
      <c r="O2170" s="235" t="s">
        <v>334</v>
      </c>
      <c r="P2170" s="238">
        <v>1.0</v>
      </c>
      <c r="Q2170" s="235" t="s">
        <v>627</v>
      </c>
      <c r="R2170" s="238">
        <v>237.14</v>
      </c>
      <c r="S2170" s="238">
        <v>11.62</v>
      </c>
      <c r="T2170" s="238">
        <v>0.0</v>
      </c>
      <c r="U2170" s="238">
        <v>0.0</v>
      </c>
      <c r="V2170" s="238">
        <v>0.0</v>
      </c>
      <c r="W2170" s="238">
        <v>0.0</v>
      </c>
      <c r="X2170" s="235" t="s">
        <v>628</v>
      </c>
      <c r="Z2170" s="244"/>
      <c r="AA2170" s="244"/>
      <c r="AB2170" s="244"/>
      <c r="AC2170" s="235" t="s">
        <v>1604</v>
      </c>
      <c r="AD2170" s="235" t="s">
        <v>845</v>
      </c>
      <c r="AE2170" s="238">
        <v>400104.0</v>
      </c>
      <c r="AF2170" s="235" t="s">
        <v>631</v>
      </c>
      <c r="AG2170" s="244"/>
      <c r="AH2170" s="244"/>
      <c r="AI2170" s="245"/>
      <c r="AJ2170" s="245"/>
      <c r="AK2170" s="245"/>
      <c r="AL2170" s="245"/>
      <c r="AM2170" s="244"/>
      <c r="AN2170" s="244"/>
      <c r="AO2170" s="238">
        <v>-4.74</v>
      </c>
      <c r="AP2170" s="238">
        <v>0.0</v>
      </c>
      <c r="AQ2170" s="235" t="s">
        <v>632</v>
      </c>
      <c r="AR2170" s="243">
        <v>3.71E11</v>
      </c>
      <c r="AS2170" s="235" t="s">
        <v>15064</v>
      </c>
      <c r="AT2170" s="235" t="s">
        <v>16</v>
      </c>
      <c r="AU2170" s="235" t="s">
        <v>634</v>
      </c>
      <c r="AV2170" s="246" t="s">
        <v>635</v>
      </c>
      <c r="AW2170" s="242"/>
      <c r="AX2170" s="242"/>
      <c r="AY2170" s="231"/>
      <c r="AZ2170" s="231"/>
      <c r="BA2170" s="227"/>
      <c r="BB2170" s="231"/>
      <c r="BC2170" s="227"/>
      <c r="BD2170" s="227"/>
      <c r="BE2170" s="227"/>
      <c r="BF2170" s="227"/>
    </row>
    <row r="2171">
      <c r="A2171" s="235" t="s">
        <v>16788</v>
      </c>
      <c r="C2171" s="235" t="s">
        <v>16789</v>
      </c>
      <c r="D2171" s="235" t="s">
        <v>16790</v>
      </c>
      <c r="E2171" s="243">
        <v>6.54E13</v>
      </c>
      <c r="F2171" s="245"/>
      <c r="G2171" s="235" t="s">
        <v>16791</v>
      </c>
      <c r="H2171" s="235" t="s">
        <v>16792</v>
      </c>
      <c r="I2171" s="235" t="s">
        <v>16792</v>
      </c>
      <c r="J2171" s="235" t="s">
        <v>16793</v>
      </c>
      <c r="K2171" s="235" t="s">
        <v>16794</v>
      </c>
      <c r="N2171" s="235" t="s">
        <v>75</v>
      </c>
      <c r="O2171" s="235" t="s">
        <v>2108</v>
      </c>
      <c r="P2171" s="238">
        <v>1.0</v>
      </c>
      <c r="Q2171" s="235" t="s">
        <v>627</v>
      </c>
      <c r="R2171" s="238">
        <v>354.29</v>
      </c>
      <c r="S2171" s="238">
        <v>17.18</v>
      </c>
      <c r="T2171" s="238">
        <v>0.0</v>
      </c>
      <c r="U2171" s="238">
        <v>0.0</v>
      </c>
      <c r="V2171" s="238">
        <v>0.0</v>
      </c>
      <c r="W2171" s="238">
        <v>0.0</v>
      </c>
      <c r="X2171" s="235" t="s">
        <v>628</v>
      </c>
      <c r="Z2171" s="244"/>
      <c r="AA2171" s="244"/>
      <c r="AB2171" s="244"/>
      <c r="AC2171" s="235" t="s">
        <v>1058</v>
      </c>
      <c r="AD2171" s="235" t="s">
        <v>845</v>
      </c>
      <c r="AE2171" s="238">
        <v>400064.0</v>
      </c>
      <c r="AF2171" s="235" t="s">
        <v>631</v>
      </c>
      <c r="AG2171" s="244"/>
      <c r="AH2171" s="244"/>
      <c r="AI2171" s="245"/>
      <c r="AJ2171" s="245"/>
      <c r="AK2171" s="245"/>
      <c r="AL2171" s="245"/>
      <c r="AM2171" s="244"/>
      <c r="AN2171" s="244"/>
      <c r="AO2171" s="238">
        <v>-10.63</v>
      </c>
      <c r="AP2171" s="238">
        <v>0.0</v>
      </c>
      <c r="AQ2171" s="235" t="s">
        <v>632</v>
      </c>
      <c r="AR2171" s="243">
        <v>2.02E11</v>
      </c>
      <c r="AS2171" s="235" t="s">
        <v>15064</v>
      </c>
      <c r="AT2171" s="235" t="s">
        <v>533</v>
      </c>
      <c r="AU2171" s="235" t="s">
        <v>634</v>
      </c>
      <c r="AV2171" s="246" t="s">
        <v>635</v>
      </c>
      <c r="AW2171" s="242"/>
      <c r="AX2171" s="242"/>
      <c r="AY2171" s="231"/>
      <c r="AZ2171" s="231"/>
      <c r="BA2171" s="227"/>
      <c r="BB2171" s="231"/>
      <c r="BC2171" s="227"/>
      <c r="BD2171" s="227"/>
      <c r="BE2171" s="227"/>
      <c r="BF2171" s="227"/>
    </row>
    <row r="2172">
      <c r="A2172" s="235" t="s">
        <v>16788</v>
      </c>
      <c r="C2172" s="235" t="s">
        <v>16789</v>
      </c>
      <c r="D2172" s="235" t="s">
        <v>16795</v>
      </c>
      <c r="E2172" s="243">
        <v>6.54E13</v>
      </c>
      <c r="F2172" s="245"/>
      <c r="G2172" s="235" t="s">
        <v>16791</v>
      </c>
      <c r="H2172" s="235" t="s">
        <v>16792</v>
      </c>
      <c r="I2172" s="235" t="s">
        <v>16792</v>
      </c>
      <c r="J2172" s="235" t="s">
        <v>16793</v>
      </c>
      <c r="K2172" s="235" t="s">
        <v>16794</v>
      </c>
      <c r="N2172" s="235" t="s">
        <v>75</v>
      </c>
      <c r="O2172" s="235" t="s">
        <v>2108</v>
      </c>
      <c r="P2172" s="238">
        <v>1.0</v>
      </c>
      <c r="Q2172" s="235" t="s">
        <v>627</v>
      </c>
      <c r="R2172" s="238">
        <v>354.29</v>
      </c>
      <c r="S2172" s="238">
        <v>17.18</v>
      </c>
      <c r="T2172" s="238">
        <v>0.0</v>
      </c>
      <c r="U2172" s="238">
        <v>0.0</v>
      </c>
      <c r="V2172" s="238">
        <v>0.0</v>
      </c>
      <c r="W2172" s="238">
        <v>0.0</v>
      </c>
      <c r="X2172" s="235" t="s">
        <v>628</v>
      </c>
      <c r="Z2172" s="244"/>
      <c r="AA2172" s="244"/>
      <c r="AB2172" s="244"/>
      <c r="AC2172" s="235" t="s">
        <v>1058</v>
      </c>
      <c r="AD2172" s="235" t="s">
        <v>845</v>
      </c>
      <c r="AE2172" s="238">
        <v>400064.0</v>
      </c>
      <c r="AF2172" s="235" t="s">
        <v>631</v>
      </c>
      <c r="AG2172" s="244"/>
      <c r="AH2172" s="244"/>
      <c r="AI2172" s="245"/>
      <c r="AJ2172" s="245"/>
      <c r="AK2172" s="245"/>
      <c r="AL2172" s="245"/>
      <c r="AM2172" s="244"/>
      <c r="AN2172" s="244"/>
      <c r="AO2172" s="238">
        <v>-10.63</v>
      </c>
      <c r="AP2172" s="238">
        <v>0.0</v>
      </c>
      <c r="AQ2172" s="235" t="s">
        <v>632</v>
      </c>
      <c r="AR2172" s="243">
        <v>2.02E11</v>
      </c>
      <c r="AS2172" s="235" t="s">
        <v>15064</v>
      </c>
      <c r="AT2172" s="235" t="s">
        <v>533</v>
      </c>
      <c r="AU2172" s="235" t="s">
        <v>634</v>
      </c>
      <c r="AV2172" s="246" t="s">
        <v>635</v>
      </c>
      <c r="AW2172" s="242"/>
      <c r="AX2172" s="242"/>
      <c r="AY2172" s="231"/>
      <c r="AZ2172" s="231"/>
      <c r="BA2172" s="227"/>
      <c r="BB2172" s="231"/>
      <c r="BC2172" s="227"/>
      <c r="BD2172" s="227"/>
      <c r="BE2172" s="227"/>
      <c r="BF2172" s="227"/>
    </row>
    <row r="2173">
      <c r="A2173" s="235" t="s">
        <v>16796</v>
      </c>
      <c r="C2173" s="235" t="s">
        <v>16797</v>
      </c>
      <c r="D2173" s="235" t="s">
        <v>16798</v>
      </c>
      <c r="E2173" s="243">
        <v>6.54E13</v>
      </c>
      <c r="F2173" s="245"/>
      <c r="G2173" s="235" t="s">
        <v>16799</v>
      </c>
      <c r="H2173" s="235" t="s">
        <v>16800</v>
      </c>
      <c r="I2173" s="235" t="s">
        <v>16801</v>
      </c>
      <c r="J2173" s="235" t="s">
        <v>16802</v>
      </c>
      <c r="K2173" s="235" t="s">
        <v>16803</v>
      </c>
      <c r="N2173" s="235" t="s">
        <v>962</v>
      </c>
      <c r="O2173" s="235" t="s">
        <v>963</v>
      </c>
      <c r="P2173" s="238">
        <v>1.0</v>
      </c>
      <c r="Q2173" s="235" t="s">
        <v>627</v>
      </c>
      <c r="R2173" s="238">
        <v>246.67</v>
      </c>
      <c r="S2173" s="238">
        <v>12.33</v>
      </c>
      <c r="T2173" s="238">
        <v>0.0</v>
      </c>
      <c r="U2173" s="238">
        <v>0.0</v>
      </c>
      <c r="V2173" s="238">
        <v>0.0</v>
      </c>
      <c r="W2173" s="238">
        <v>0.0</v>
      </c>
      <c r="X2173" s="235" t="s">
        <v>628</v>
      </c>
      <c r="Z2173" s="244"/>
      <c r="AA2173" s="244"/>
      <c r="AB2173" s="244"/>
      <c r="AC2173" s="235" t="s">
        <v>3824</v>
      </c>
      <c r="AD2173" s="235" t="s">
        <v>3825</v>
      </c>
      <c r="AE2173" s="238">
        <v>695015.0</v>
      </c>
      <c r="AF2173" s="235" t="s">
        <v>631</v>
      </c>
      <c r="AG2173" s="244"/>
      <c r="AH2173" s="244"/>
      <c r="AI2173" s="245"/>
      <c r="AJ2173" s="245"/>
      <c r="AK2173" s="245"/>
      <c r="AL2173" s="245"/>
      <c r="AM2173" s="244"/>
      <c r="AN2173" s="244"/>
      <c r="AO2173" s="238">
        <v>0.0</v>
      </c>
      <c r="AP2173" s="238">
        <v>0.0</v>
      </c>
      <c r="AQ2173" s="235" t="s">
        <v>632</v>
      </c>
      <c r="AR2173" s="243">
        <v>1.68E11</v>
      </c>
      <c r="AS2173" s="235" t="s">
        <v>15064</v>
      </c>
      <c r="AT2173" s="235" t="s">
        <v>9</v>
      </c>
      <c r="AU2173" s="235" t="s">
        <v>634</v>
      </c>
      <c r="AV2173" s="246" t="s">
        <v>635</v>
      </c>
      <c r="AW2173" s="242"/>
      <c r="AX2173" s="242"/>
      <c r="AY2173" s="231"/>
      <c r="AZ2173" s="231"/>
      <c r="BA2173" s="227"/>
      <c r="BB2173" s="231"/>
      <c r="BC2173" s="227"/>
      <c r="BD2173" s="227"/>
      <c r="BE2173" s="227"/>
      <c r="BF2173" s="227"/>
    </row>
    <row r="2174">
      <c r="A2174" s="235" t="s">
        <v>16804</v>
      </c>
      <c r="C2174" s="235" t="s">
        <v>16805</v>
      </c>
      <c r="D2174" s="235" t="s">
        <v>16806</v>
      </c>
      <c r="E2174" s="243">
        <v>6.54E13</v>
      </c>
      <c r="F2174" s="245"/>
      <c r="G2174" s="235" t="s">
        <v>16807</v>
      </c>
      <c r="H2174" s="235" t="s">
        <v>16808</v>
      </c>
      <c r="I2174" s="235" t="s">
        <v>16808</v>
      </c>
      <c r="J2174" s="235" t="s">
        <v>16809</v>
      </c>
      <c r="K2174" s="235" t="s">
        <v>16810</v>
      </c>
      <c r="N2174" s="235" t="s">
        <v>1346</v>
      </c>
      <c r="O2174" s="235" t="s">
        <v>1347</v>
      </c>
      <c r="P2174" s="238">
        <v>1.0</v>
      </c>
      <c r="Q2174" s="235" t="s">
        <v>627</v>
      </c>
      <c r="R2174" s="238">
        <v>256.19</v>
      </c>
      <c r="S2174" s="238">
        <v>12.81</v>
      </c>
      <c r="T2174" s="238">
        <v>0.0</v>
      </c>
      <c r="U2174" s="238">
        <v>0.0</v>
      </c>
      <c r="V2174" s="238">
        <v>0.0</v>
      </c>
      <c r="W2174" s="238">
        <v>0.0</v>
      </c>
      <c r="X2174" s="235" t="s">
        <v>628</v>
      </c>
      <c r="Z2174" s="244"/>
      <c r="AA2174" s="244"/>
      <c r="AB2174" s="244"/>
      <c r="AC2174" s="235" t="s">
        <v>2639</v>
      </c>
      <c r="AD2174" s="235" t="s">
        <v>630</v>
      </c>
      <c r="AE2174" s="238">
        <v>201310.0</v>
      </c>
      <c r="AF2174" s="235" t="s">
        <v>631</v>
      </c>
      <c r="AG2174" s="244"/>
      <c r="AH2174" s="244"/>
      <c r="AI2174" s="245"/>
      <c r="AJ2174" s="245"/>
      <c r="AK2174" s="245"/>
      <c r="AL2174" s="245"/>
      <c r="AM2174" s="244"/>
      <c r="AN2174" s="244"/>
      <c r="AO2174" s="238">
        <v>0.0</v>
      </c>
      <c r="AP2174" s="238">
        <v>0.0</v>
      </c>
      <c r="AQ2174" s="235" t="s">
        <v>632</v>
      </c>
      <c r="AR2174" s="243">
        <v>3.71E11</v>
      </c>
      <c r="AS2174" s="235" t="s">
        <v>11171</v>
      </c>
      <c r="AT2174" s="235" t="s">
        <v>156</v>
      </c>
      <c r="AU2174" s="235" t="s">
        <v>634</v>
      </c>
      <c r="AV2174" s="246" t="s">
        <v>635</v>
      </c>
      <c r="AW2174" s="242"/>
      <c r="AX2174" s="242"/>
      <c r="AY2174" s="231"/>
      <c r="AZ2174" s="231"/>
      <c r="BA2174" s="227"/>
      <c r="BB2174" s="231"/>
      <c r="BC2174" s="227"/>
      <c r="BD2174" s="227"/>
      <c r="BE2174" s="227"/>
      <c r="BF2174" s="227"/>
    </row>
    <row r="2175">
      <c r="A2175" s="235" t="s">
        <v>16811</v>
      </c>
      <c r="C2175" s="235" t="s">
        <v>16812</v>
      </c>
      <c r="D2175" s="235" t="s">
        <v>16813</v>
      </c>
      <c r="E2175" s="243">
        <v>6.54E13</v>
      </c>
      <c r="F2175" s="245"/>
      <c r="G2175" s="235" t="s">
        <v>16814</v>
      </c>
      <c r="H2175" s="235" t="s">
        <v>16815</v>
      </c>
      <c r="I2175" s="235" t="s">
        <v>16815</v>
      </c>
      <c r="J2175" s="235" t="s">
        <v>16816</v>
      </c>
      <c r="K2175" s="235" t="s">
        <v>16817</v>
      </c>
      <c r="N2175" s="235" t="s">
        <v>989</v>
      </c>
      <c r="O2175" s="235" t="s">
        <v>990</v>
      </c>
      <c r="P2175" s="238">
        <v>1.0</v>
      </c>
      <c r="Q2175" s="235" t="s">
        <v>627</v>
      </c>
      <c r="R2175" s="238">
        <v>256.2</v>
      </c>
      <c r="S2175" s="238">
        <v>12.8</v>
      </c>
      <c r="T2175" s="238">
        <v>0.0</v>
      </c>
      <c r="U2175" s="238">
        <v>0.0</v>
      </c>
      <c r="V2175" s="238">
        <v>0.0</v>
      </c>
      <c r="W2175" s="238">
        <v>0.0</v>
      </c>
      <c r="X2175" s="235" t="s">
        <v>628</v>
      </c>
      <c r="Z2175" s="244"/>
      <c r="AA2175" s="244"/>
      <c r="AB2175" s="244"/>
      <c r="AC2175" s="235" t="s">
        <v>844</v>
      </c>
      <c r="AD2175" s="235" t="s">
        <v>845</v>
      </c>
      <c r="AE2175" s="238">
        <v>412207.0</v>
      </c>
      <c r="AF2175" s="235" t="s">
        <v>631</v>
      </c>
      <c r="AG2175" s="244"/>
      <c r="AH2175" s="244"/>
      <c r="AI2175" s="245"/>
      <c r="AJ2175" s="245"/>
      <c r="AK2175" s="245"/>
      <c r="AL2175" s="245"/>
      <c r="AM2175" s="244"/>
      <c r="AN2175" s="244"/>
      <c r="AO2175" s="238">
        <v>0.0</v>
      </c>
      <c r="AP2175" s="238">
        <v>0.0</v>
      </c>
      <c r="AQ2175" s="235" t="s">
        <v>632</v>
      </c>
      <c r="AR2175" s="243">
        <v>3.71E11</v>
      </c>
      <c r="AS2175" s="235" t="s">
        <v>15064</v>
      </c>
      <c r="AT2175" s="235" t="s">
        <v>546</v>
      </c>
      <c r="AU2175" s="235" t="s">
        <v>634</v>
      </c>
      <c r="AV2175" s="246" t="s">
        <v>635</v>
      </c>
      <c r="AW2175" s="242"/>
      <c r="AX2175" s="242"/>
      <c r="AY2175" s="231"/>
      <c r="AZ2175" s="231"/>
      <c r="BA2175" s="227"/>
      <c r="BB2175" s="231"/>
      <c r="BC2175" s="227"/>
      <c r="BD2175" s="227"/>
      <c r="BE2175" s="227"/>
      <c r="BF2175" s="227"/>
    </row>
    <row r="2176">
      <c r="A2176" s="235" t="s">
        <v>16818</v>
      </c>
      <c r="C2176" s="235" t="s">
        <v>16819</v>
      </c>
      <c r="D2176" s="235" t="s">
        <v>16820</v>
      </c>
      <c r="E2176" s="243">
        <v>6.53E13</v>
      </c>
      <c r="F2176" s="245"/>
      <c r="G2176" s="235" t="s">
        <v>16821</v>
      </c>
      <c r="H2176" s="235" t="s">
        <v>16822</v>
      </c>
      <c r="I2176" s="235" t="s">
        <v>16822</v>
      </c>
      <c r="J2176" s="235" t="s">
        <v>16823</v>
      </c>
      <c r="K2176" s="235" t="s">
        <v>16824</v>
      </c>
      <c r="N2176" s="235" t="s">
        <v>51</v>
      </c>
      <c r="O2176" s="235" t="s">
        <v>273</v>
      </c>
      <c r="P2176" s="238">
        <v>1.0</v>
      </c>
      <c r="Q2176" s="235" t="s">
        <v>627</v>
      </c>
      <c r="R2176" s="238">
        <v>270.48</v>
      </c>
      <c r="S2176" s="238">
        <v>13.52</v>
      </c>
      <c r="T2176" s="238">
        <v>38.1</v>
      </c>
      <c r="U2176" s="238">
        <v>1.9</v>
      </c>
      <c r="V2176" s="238">
        <v>0.0</v>
      </c>
      <c r="W2176" s="238">
        <v>0.0</v>
      </c>
      <c r="X2176" s="235" t="s">
        <v>628</v>
      </c>
      <c r="Z2176" s="244"/>
      <c r="AA2176" s="244"/>
      <c r="AB2176" s="244"/>
      <c r="AC2176" s="235" t="s">
        <v>697</v>
      </c>
      <c r="AD2176" s="235" t="s">
        <v>698</v>
      </c>
      <c r="AE2176" s="238">
        <v>500079.0</v>
      </c>
      <c r="AF2176" s="235" t="s">
        <v>631</v>
      </c>
      <c r="AG2176" s="244"/>
      <c r="AH2176" s="244"/>
      <c r="AI2176" s="245"/>
      <c r="AJ2176" s="245"/>
      <c r="AK2176" s="245"/>
      <c r="AL2176" s="245"/>
      <c r="AM2176" s="244"/>
      <c r="AN2176" s="244"/>
      <c r="AO2176" s="238">
        <v>0.0</v>
      </c>
      <c r="AP2176" s="238">
        <v>-38.1</v>
      </c>
      <c r="AQ2176" s="235" t="s">
        <v>632</v>
      </c>
      <c r="AR2176" s="243">
        <v>3.71E11</v>
      </c>
      <c r="AS2176" s="235" t="s">
        <v>13822</v>
      </c>
      <c r="AT2176" s="235" t="s">
        <v>156</v>
      </c>
      <c r="AU2176" s="235" t="s">
        <v>634</v>
      </c>
      <c r="AV2176" s="246" t="s">
        <v>635</v>
      </c>
      <c r="AW2176" s="242"/>
      <c r="AX2176" s="242"/>
      <c r="AY2176" s="231"/>
      <c r="AZ2176" s="231"/>
      <c r="BA2176" s="227"/>
      <c r="BB2176" s="231"/>
      <c r="BC2176" s="227"/>
      <c r="BD2176" s="227"/>
      <c r="BE2176" s="227"/>
      <c r="BF2176" s="227"/>
    </row>
    <row r="2177">
      <c r="A2177" s="235" t="s">
        <v>16825</v>
      </c>
      <c r="C2177" s="235" t="s">
        <v>16826</v>
      </c>
      <c r="D2177" s="235" t="s">
        <v>16827</v>
      </c>
      <c r="E2177" s="243">
        <v>6.53E13</v>
      </c>
      <c r="F2177" s="245"/>
      <c r="G2177" s="235" t="s">
        <v>16828</v>
      </c>
      <c r="H2177" s="235" t="s">
        <v>16829</v>
      </c>
      <c r="I2177" s="235" t="s">
        <v>16829</v>
      </c>
      <c r="J2177" s="235" t="s">
        <v>16830</v>
      </c>
      <c r="K2177" s="235" t="s">
        <v>16831</v>
      </c>
      <c r="N2177" s="235" t="s">
        <v>127</v>
      </c>
      <c r="O2177" s="235" t="s">
        <v>794</v>
      </c>
      <c r="P2177" s="238">
        <v>1.0</v>
      </c>
      <c r="Q2177" s="235" t="s">
        <v>627</v>
      </c>
      <c r="R2177" s="238">
        <v>242.86</v>
      </c>
      <c r="S2177" s="238">
        <v>12.14</v>
      </c>
      <c r="T2177" s="238">
        <v>38.1</v>
      </c>
      <c r="U2177" s="238">
        <v>1.9</v>
      </c>
      <c r="V2177" s="238">
        <v>0.0</v>
      </c>
      <c r="W2177" s="238">
        <v>0.0</v>
      </c>
      <c r="X2177" s="235" t="s">
        <v>628</v>
      </c>
      <c r="Z2177" s="244"/>
      <c r="AA2177" s="244"/>
      <c r="AB2177" s="244"/>
      <c r="AC2177" s="235" t="s">
        <v>7088</v>
      </c>
      <c r="AD2177" s="235" t="s">
        <v>630</v>
      </c>
      <c r="AE2177" s="238">
        <v>201318.0</v>
      </c>
      <c r="AF2177" s="235" t="s">
        <v>631</v>
      </c>
      <c r="AG2177" s="244"/>
      <c r="AH2177" s="244"/>
      <c r="AI2177" s="245"/>
      <c r="AJ2177" s="245"/>
      <c r="AK2177" s="245"/>
      <c r="AL2177" s="245"/>
      <c r="AM2177" s="244"/>
      <c r="AN2177" s="244"/>
      <c r="AO2177" s="238">
        <v>0.0</v>
      </c>
      <c r="AP2177" s="238">
        <v>-38.1</v>
      </c>
      <c r="AQ2177" s="235" t="s">
        <v>632</v>
      </c>
      <c r="AR2177" s="243">
        <v>3.71E11</v>
      </c>
      <c r="AS2177" s="235" t="s">
        <v>15064</v>
      </c>
      <c r="AT2177" s="235" t="s">
        <v>14</v>
      </c>
      <c r="AU2177" s="235" t="s">
        <v>634</v>
      </c>
      <c r="AV2177" s="246" t="s">
        <v>635</v>
      </c>
      <c r="AW2177" s="242"/>
      <c r="AX2177" s="242"/>
      <c r="AY2177" s="231"/>
      <c r="AZ2177" s="231"/>
      <c r="BA2177" s="227"/>
      <c r="BB2177" s="231"/>
      <c r="BC2177" s="227"/>
      <c r="BD2177" s="227"/>
      <c r="BE2177" s="227"/>
      <c r="BF2177" s="227"/>
    </row>
    <row r="2178">
      <c r="A2178" s="235" t="s">
        <v>16832</v>
      </c>
      <c r="C2178" s="235" t="s">
        <v>16833</v>
      </c>
      <c r="D2178" s="235" t="s">
        <v>16834</v>
      </c>
      <c r="E2178" s="243">
        <v>6.54E13</v>
      </c>
      <c r="F2178" s="245"/>
      <c r="G2178" s="235" t="s">
        <v>16835</v>
      </c>
      <c r="H2178" s="235" t="s">
        <v>16836</v>
      </c>
      <c r="I2178" s="235" t="s">
        <v>16836</v>
      </c>
      <c r="J2178" s="235" t="s">
        <v>16837</v>
      </c>
      <c r="K2178" s="235" t="s">
        <v>16838</v>
      </c>
      <c r="N2178" s="235" t="s">
        <v>61</v>
      </c>
      <c r="O2178" s="235" t="s">
        <v>382</v>
      </c>
      <c r="P2178" s="238">
        <v>1.0</v>
      </c>
      <c r="Q2178" s="235" t="s">
        <v>627</v>
      </c>
      <c r="R2178" s="238">
        <v>360.95</v>
      </c>
      <c r="S2178" s="238">
        <v>18.05</v>
      </c>
      <c r="T2178" s="238">
        <v>38.1</v>
      </c>
      <c r="U2178" s="238">
        <v>1.9</v>
      </c>
      <c r="V2178" s="238">
        <v>0.0</v>
      </c>
      <c r="W2178" s="238">
        <v>0.0</v>
      </c>
      <c r="X2178" s="235" t="s">
        <v>628</v>
      </c>
      <c r="Z2178" s="244"/>
      <c r="AA2178" s="244"/>
      <c r="AB2178" s="244"/>
      <c r="AC2178" s="235" t="s">
        <v>15017</v>
      </c>
      <c r="AD2178" s="235" t="s">
        <v>5260</v>
      </c>
      <c r="AE2178" s="238">
        <v>160019.0</v>
      </c>
      <c r="AF2178" s="235" t="s">
        <v>631</v>
      </c>
      <c r="AG2178" s="244"/>
      <c r="AH2178" s="244"/>
      <c r="AI2178" s="245"/>
      <c r="AJ2178" s="245"/>
      <c r="AK2178" s="245"/>
      <c r="AL2178" s="245"/>
      <c r="AM2178" s="244"/>
      <c r="AN2178" s="244"/>
      <c r="AO2178" s="238">
        <v>0.0</v>
      </c>
      <c r="AP2178" s="238">
        <v>-38.1</v>
      </c>
      <c r="AQ2178" s="235" t="s">
        <v>632</v>
      </c>
      <c r="AR2178" s="243">
        <v>3.71E11</v>
      </c>
      <c r="AS2178" s="235" t="s">
        <v>13822</v>
      </c>
      <c r="AT2178" s="235" t="s">
        <v>13</v>
      </c>
      <c r="AU2178" s="235" t="s">
        <v>634</v>
      </c>
      <c r="AV2178" s="246" t="s">
        <v>635</v>
      </c>
      <c r="AW2178" s="242"/>
      <c r="AX2178" s="242"/>
      <c r="AY2178" s="231"/>
      <c r="AZ2178" s="231"/>
      <c r="BA2178" s="227"/>
      <c r="BB2178" s="231"/>
      <c r="BC2178" s="227"/>
      <c r="BD2178" s="227"/>
      <c r="BE2178" s="227"/>
      <c r="BF2178" s="227"/>
    </row>
    <row r="2179">
      <c r="A2179" s="235" t="s">
        <v>16839</v>
      </c>
      <c r="C2179" s="235" t="s">
        <v>16840</v>
      </c>
      <c r="D2179" s="235" t="s">
        <v>16841</v>
      </c>
      <c r="E2179" s="243">
        <v>6.54E13</v>
      </c>
      <c r="F2179" s="245"/>
      <c r="G2179" s="235" t="s">
        <v>16842</v>
      </c>
      <c r="H2179" s="235" t="s">
        <v>16843</v>
      </c>
      <c r="I2179" s="235" t="s">
        <v>16843</v>
      </c>
      <c r="J2179" s="235" t="s">
        <v>16844</v>
      </c>
      <c r="K2179" s="235" t="s">
        <v>16845</v>
      </c>
      <c r="N2179" s="235" t="s">
        <v>94</v>
      </c>
      <c r="O2179" s="235" t="s">
        <v>509</v>
      </c>
      <c r="P2179" s="238">
        <v>1.0</v>
      </c>
      <c r="Q2179" s="235" t="s">
        <v>627</v>
      </c>
      <c r="R2179" s="238">
        <v>246.67</v>
      </c>
      <c r="S2179" s="238">
        <v>12.33</v>
      </c>
      <c r="T2179" s="238">
        <v>0.0</v>
      </c>
      <c r="U2179" s="238">
        <v>0.0</v>
      </c>
      <c r="V2179" s="238">
        <v>0.0</v>
      </c>
      <c r="W2179" s="238">
        <v>0.0</v>
      </c>
      <c r="X2179" s="235" t="s">
        <v>628</v>
      </c>
      <c r="Z2179" s="244"/>
      <c r="AA2179" s="244"/>
      <c r="AB2179" s="244"/>
      <c r="AC2179" s="235" t="s">
        <v>16846</v>
      </c>
      <c r="AD2179" s="235" t="s">
        <v>13950</v>
      </c>
      <c r="AE2179" s="238">
        <v>515201.0</v>
      </c>
      <c r="AF2179" s="235" t="s">
        <v>631</v>
      </c>
      <c r="AG2179" s="244"/>
      <c r="AH2179" s="244"/>
      <c r="AI2179" s="245"/>
      <c r="AJ2179" s="245"/>
      <c r="AK2179" s="245"/>
      <c r="AL2179" s="245"/>
      <c r="AM2179" s="244"/>
      <c r="AN2179" s="244"/>
      <c r="AO2179" s="238">
        <v>0.0</v>
      </c>
      <c r="AP2179" s="238">
        <v>0.0</v>
      </c>
      <c r="AQ2179" s="235" t="s">
        <v>632</v>
      </c>
      <c r="AR2179" s="243">
        <v>3.71E11</v>
      </c>
      <c r="AS2179" s="235" t="s">
        <v>15064</v>
      </c>
      <c r="AT2179" s="235" t="s">
        <v>11</v>
      </c>
      <c r="AU2179" s="235" t="s">
        <v>634</v>
      </c>
      <c r="AV2179" s="246" t="s">
        <v>635</v>
      </c>
      <c r="AW2179" s="242"/>
      <c r="AX2179" s="242"/>
      <c r="AY2179" s="231"/>
      <c r="AZ2179" s="231"/>
      <c r="BA2179" s="227"/>
      <c r="BB2179" s="231"/>
      <c r="BC2179" s="227"/>
      <c r="BD2179" s="227"/>
      <c r="BE2179" s="227"/>
      <c r="BF2179" s="227"/>
    </row>
    <row r="2180">
      <c r="A2180" s="235" t="s">
        <v>16847</v>
      </c>
      <c r="C2180" s="235" t="s">
        <v>16848</v>
      </c>
      <c r="D2180" s="235" t="s">
        <v>16849</v>
      </c>
      <c r="E2180" s="243">
        <v>6.54E13</v>
      </c>
      <c r="F2180" s="245"/>
      <c r="G2180" s="235" t="s">
        <v>16850</v>
      </c>
      <c r="H2180" s="235" t="s">
        <v>16851</v>
      </c>
      <c r="I2180" s="235" t="s">
        <v>16851</v>
      </c>
      <c r="J2180" s="235" t="s">
        <v>16852</v>
      </c>
      <c r="K2180" s="235" t="s">
        <v>16853</v>
      </c>
      <c r="N2180" s="235" t="s">
        <v>129</v>
      </c>
      <c r="O2180" s="235" t="s">
        <v>522</v>
      </c>
      <c r="P2180" s="238">
        <v>1.0</v>
      </c>
      <c r="Q2180" s="235" t="s">
        <v>627</v>
      </c>
      <c r="R2180" s="238">
        <v>246.67</v>
      </c>
      <c r="S2180" s="238">
        <v>12.33</v>
      </c>
      <c r="T2180" s="238">
        <v>38.1</v>
      </c>
      <c r="U2180" s="238">
        <v>1.9</v>
      </c>
      <c r="V2180" s="238">
        <v>0.0</v>
      </c>
      <c r="W2180" s="238">
        <v>0.0</v>
      </c>
      <c r="X2180" s="235" t="s">
        <v>628</v>
      </c>
      <c r="Z2180" s="244"/>
      <c r="AA2180" s="244"/>
      <c r="AB2180" s="244"/>
      <c r="AC2180" s="235" t="s">
        <v>16854</v>
      </c>
      <c r="AD2180" s="235" t="s">
        <v>1151</v>
      </c>
      <c r="AE2180" s="238">
        <v>711315.0</v>
      </c>
      <c r="AF2180" s="235" t="s">
        <v>631</v>
      </c>
      <c r="AG2180" s="244"/>
      <c r="AH2180" s="244"/>
      <c r="AI2180" s="245"/>
      <c r="AJ2180" s="245"/>
      <c r="AK2180" s="245"/>
      <c r="AL2180" s="245"/>
      <c r="AM2180" s="244"/>
      <c r="AN2180" s="244"/>
      <c r="AO2180" s="238">
        <v>0.0</v>
      </c>
      <c r="AP2180" s="238">
        <v>-38.1</v>
      </c>
      <c r="AQ2180" s="235" t="s">
        <v>632</v>
      </c>
      <c r="AR2180" s="243">
        <v>3.71E11</v>
      </c>
      <c r="AS2180" s="235" t="s">
        <v>12693</v>
      </c>
      <c r="AT2180" s="235" t="s">
        <v>13</v>
      </c>
      <c r="AU2180" s="235" t="s">
        <v>634</v>
      </c>
      <c r="AV2180" s="246" t="s">
        <v>635</v>
      </c>
      <c r="AW2180" s="242"/>
      <c r="AX2180" s="242"/>
      <c r="AY2180" s="231"/>
      <c r="AZ2180" s="231"/>
      <c r="BA2180" s="227"/>
      <c r="BB2180" s="231"/>
      <c r="BC2180" s="227"/>
      <c r="BD2180" s="227"/>
      <c r="BE2180" s="227"/>
      <c r="BF2180" s="227"/>
    </row>
    <row r="2181">
      <c r="A2181" s="235" t="s">
        <v>16855</v>
      </c>
      <c r="C2181" s="235" t="s">
        <v>16856</v>
      </c>
      <c r="D2181" s="235" t="s">
        <v>16857</v>
      </c>
      <c r="E2181" s="243">
        <v>6.54E13</v>
      </c>
      <c r="F2181" s="245"/>
      <c r="G2181" s="235" t="s">
        <v>16858</v>
      </c>
      <c r="H2181" s="235" t="s">
        <v>16859</v>
      </c>
      <c r="I2181" s="235" t="s">
        <v>16859</v>
      </c>
      <c r="J2181" s="235" t="s">
        <v>16860</v>
      </c>
      <c r="K2181" s="235" t="s">
        <v>16861</v>
      </c>
      <c r="N2181" s="235" t="s">
        <v>136</v>
      </c>
      <c r="O2181" s="235" t="s">
        <v>256</v>
      </c>
      <c r="P2181" s="238">
        <v>1.0</v>
      </c>
      <c r="Q2181" s="235" t="s">
        <v>627</v>
      </c>
      <c r="R2181" s="238">
        <v>246.67</v>
      </c>
      <c r="S2181" s="238">
        <v>12.08</v>
      </c>
      <c r="T2181" s="238">
        <v>0.0</v>
      </c>
      <c r="U2181" s="238">
        <v>0.0</v>
      </c>
      <c r="V2181" s="238">
        <v>0.0</v>
      </c>
      <c r="W2181" s="238">
        <v>0.0</v>
      </c>
      <c r="X2181" s="235" t="s">
        <v>628</v>
      </c>
      <c r="Z2181" s="244"/>
      <c r="AA2181" s="244"/>
      <c r="AB2181" s="244"/>
      <c r="AC2181" s="235" t="s">
        <v>6571</v>
      </c>
      <c r="AD2181" s="235" t="s">
        <v>731</v>
      </c>
      <c r="AE2181" s="238">
        <v>781022.0</v>
      </c>
      <c r="AF2181" s="235" t="s">
        <v>631</v>
      </c>
      <c r="AG2181" s="244"/>
      <c r="AH2181" s="244"/>
      <c r="AI2181" s="245"/>
      <c r="AJ2181" s="245"/>
      <c r="AK2181" s="245"/>
      <c r="AL2181" s="245"/>
      <c r="AM2181" s="244"/>
      <c r="AN2181" s="244"/>
      <c r="AO2181" s="238">
        <v>-4.93</v>
      </c>
      <c r="AP2181" s="238">
        <v>0.0</v>
      </c>
      <c r="AQ2181" s="235" t="s">
        <v>632</v>
      </c>
      <c r="AR2181" s="243">
        <v>3.71E11</v>
      </c>
      <c r="AS2181" s="235" t="s">
        <v>11171</v>
      </c>
      <c r="AT2181" s="235" t="s">
        <v>14</v>
      </c>
      <c r="AU2181" s="235" t="s">
        <v>634</v>
      </c>
      <c r="AV2181" s="246" t="s">
        <v>635</v>
      </c>
      <c r="AW2181" s="242"/>
      <c r="AX2181" s="242"/>
      <c r="AY2181" s="231"/>
      <c r="AZ2181" s="231"/>
      <c r="BA2181" s="227"/>
      <c r="BB2181" s="231"/>
      <c r="BC2181" s="227"/>
      <c r="BD2181" s="227"/>
      <c r="BE2181" s="227"/>
      <c r="BF2181" s="227"/>
    </row>
    <row r="2182">
      <c r="A2182" s="235" t="s">
        <v>16862</v>
      </c>
      <c r="C2182" s="235" t="s">
        <v>16863</v>
      </c>
      <c r="D2182" s="235" t="s">
        <v>16864</v>
      </c>
      <c r="E2182" s="243">
        <v>6.54E13</v>
      </c>
      <c r="F2182" s="245"/>
      <c r="G2182" s="235" t="s">
        <v>16865</v>
      </c>
      <c r="H2182" s="235" t="s">
        <v>16866</v>
      </c>
      <c r="I2182" s="235" t="s">
        <v>16866</v>
      </c>
      <c r="J2182" s="235" t="s">
        <v>16867</v>
      </c>
      <c r="K2182" s="235" t="s">
        <v>16868</v>
      </c>
      <c r="N2182" s="235" t="s">
        <v>4</v>
      </c>
      <c r="O2182" s="235" t="s">
        <v>1791</v>
      </c>
      <c r="P2182" s="238">
        <v>1.0</v>
      </c>
      <c r="Q2182" s="235" t="s">
        <v>627</v>
      </c>
      <c r="R2182" s="238">
        <v>265.71</v>
      </c>
      <c r="S2182" s="238">
        <v>12.63</v>
      </c>
      <c r="T2182" s="238">
        <v>0.0</v>
      </c>
      <c r="U2182" s="238">
        <v>0.0</v>
      </c>
      <c r="V2182" s="238">
        <v>0.0</v>
      </c>
      <c r="W2182" s="238">
        <v>0.0</v>
      </c>
      <c r="X2182" s="235" t="s">
        <v>628</v>
      </c>
      <c r="Z2182" s="244"/>
      <c r="AA2182" s="244"/>
      <c r="AB2182" s="244"/>
      <c r="AC2182" s="235" t="s">
        <v>3195</v>
      </c>
      <c r="AD2182" s="235" t="s">
        <v>881</v>
      </c>
      <c r="AE2182" s="238">
        <v>751001.0</v>
      </c>
      <c r="AF2182" s="235" t="s">
        <v>631</v>
      </c>
      <c r="AG2182" s="244"/>
      <c r="AH2182" s="244"/>
      <c r="AI2182" s="245"/>
      <c r="AJ2182" s="245"/>
      <c r="AK2182" s="245"/>
      <c r="AL2182" s="245"/>
      <c r="AM2182" s="244"/>
      <c r="AN2182" s="244"/>
      <c r="AO2182" s="238">
        <v>-13.29</v>
      </c>
      <c r="AP2182" s="238">
        <v>0.0</v>
      </c>
      <c r="AQ2182" s="235" t="s">
        <v>632</v>
      </c>
      <c r="AR2182" s="243">
        <v>3.71E11</v>
      </c>
      <c r="AS2182" s="235" t="s">
        <v>11171</v>
      </c>
      <c r="AT2182" s="235" t="s">
        <v>13</v>
      </c>
      <c r="AU2182" s="235" t="s">
        <v>634</v>
      </c>
      <c r="AV2182" s="246" t="s">
        <v>635</v>
      </c>
      <c r="AW2182" s="242"/>
      <c r="AX2182" s="242"/>
      <c r="AY2182" s="231"/>
      <c r="AZ2182" s="231"/>
      <c r="BA2182" s="227"/>
      <c r="BB2182" s="231"/>
      <c r="BC2182" s="227"/>
      <c r="BD2182" s="227"/>
      <c r="BE2182" s="227"/>
      <c r="BF2182" s="227"/>
    </row>
    <row r="2183">
      <c r="A2183" s="235" t="s">
        <v>16862</v>
      </c>
      <c r="C2183" s="235" t="s">
        <v>16863</v>
      </c>
      <c r="D2183" s="235" t="s">
        <v>16869</v>
      </c>
      <c r="E2183" s="243">
        <v>6.54E13</v>
      </c>
      <c r="F2183" s="245"/>
      <c r="G2183" s="235" t="s">
        <v>16865</v>
      </c>
      <c r="H2183" s="235" t="s">
        <v>16866</v>
      </c>
      <c r="I2183" s="235" t="s">
        <v>16866</v>
      </c>
      <c r="J2183" s="235" t="s">
        <v>16867</v>
      </c>
      <c r="K2183" s="235" t="s">
        <v>16868</v>
      </c>
      <c r="N2183" s="235" t="s">
        <v>4</v>
      </c>
      <c r="O2183" s="235" t="s">
        <v>1791</v>
      </c>
      <c r="P2183" s="238">
        <v>1.0</v>
      </c>
      <c r="Q2183" s="235" t="s">
        <v>627</v>
      </c>
      <c r="R2183" s="238">
        <v>265.71</v>
      </c>
      <c r="S2183" s="238">
        <v>12.63</v>
      </c>
      <c r="T2183" s="238">
        <v>0.0</v>
      </c>
      <c r="U2183" s="238">
        <v>0.0</v>
      </c>
      <c r="V2183" s="238">
        <v>0.0</v>
      </c>
      <c r="W2183" s="238">
        <v>0.0</v>
      </c>
      <c r="X2183" s="235" t="s">
        <v>628</v>
      </c>
      <c r="Z2183" s="244"/>
      <c r="AA2183" s="244"/>
      <c r="AB2183" s="244"/>
      <c r="AC2183" s="235" t="s">
        <v>3195</v>
      </c>
      <c r="AD2183" s="235" t="s">
        <v>881</v>
      </c>
      <c r="AE2183" s="238">
        <v>751001.0</v>
      </c>
      <c r="AF2183" s="235" t="s">
        <v>631</v>
      </c>
      <c r="AG2183" s="244"/>
      <c r="AH2183" s="244"/>
      <c r="AI2183" s="245"/>
      <c r="AJ2183" s="245"/>
      <c r="AK2183" s="245"/>
      <c r="AL2183" s="245"/>
      <c r="AM2183" s="244"/>
      <c r="AN2183" s="244"/>
      <c r="AO2183" s="238">
        <v>-13.29</v>
      </c>
      <c r="AP2183" s="238">
        <v>0.0</v>
      </c>
      <c r="AQ2183" s="235" t="s">
        <v>632</v>
      </c>
      <c r="AR2183" s="243">
        <v>3.71E11</v>
      </c>
      <c r="AS2183" s="235" t="s">
        <v>11171</v>
      </c>
      <c r="AT2183" s="235" t="s">
        <v>13</v>
      </c>
      <c r="AU2183" s="235" t="s">
        <v>634</v>
      </c>
      <c r="AV2183" s="246" t="s">
        <v>635</v>
      </c>
      <c r="AW2183" s="242"/>
      <c r="AX2183" s="242"/>
      <c r="AY2183" s="231"/>
      <c r="AZ2183" s="231"/>
      <c r="BA2183" s="227"/>
      <c r="BB2183" s="231"/>
      <c r="BC2183" s="227"/>
      <c r="BD2183" s="227"/>
      <c r="BE2183" s="227"/>
      <c r="BF2183" s="227"/>
    </row>
    <row r="2184">
      <c r="A2184" s="235" t="s">
        <v>16862</v>
      </c>
      <c r="C2184" s="235" t="s">
        <v>16863</v>
      </c>
      <c r="D2184" s="235" t="s">
        <v>16870</v>
      </c>
      <c r="E2184" s="243">
        <v>6.54E13</v>
      </c>
      <c r="F2184" s="245"/>
      <c r="G2184" s="235" t="s">
        <v>16865</v>
      </c>
      <c r="H2184" s="235" t="s">
        <v>16866</v>
      </c>
      <c r="I2184" s="235" t="s">
        <v>16866</v>
      </c>
      <c r="J2184" s="235" t="s">
        <v>16867</v>
      </c>
      <c r="K2184" s="235" t="s">
        <v>16868</v>
      </c>
      <c r="N2184" s="235" t="s">
        <v>4</v>
      </c>
      <c r="O2184" s="235" t="s">
        <v>1791</v>
      </c>
      <c r="P2184" s="238">
        <v>1.0</v>
      </c>
      <c r="Q2184" s="235" t="s">
        <v>627</v>
      </c>
      <c r="R2184" s="238">
        <v>265.71</v>
      </c>
      <c r="S2184" s="238">
        <v>12.63</v>
      </c>
      <c r="T2184" s="238">
        <v>0.0</v>
      </c>
      <c r="U2184" s="238">
        <v>0.0</v>
      </c>
      <c r="V2184" s="238">
        <v>0.0</v>
      </c>
      <c r="W2184" s="238">
        <v>0.0</v>
      </c>
      <c r="X2184" s="235" t="s">
        <v>628</v>
      </c>
      <c r="Z2184" s="244"/>
      <c r="AA2184" s="244"/>
      <c r="AB2184" s="244"/>
      <c r="AC2184" s="235" t="s">
        <v>3195</v>
      </c>
      <c r="AD2184" s="235" t="s">
        <v>881</v>
      </c>
      <c r="AE2184" s="238">
        <v>751001.0</v>
      </c>
      <c r="AF2184" s="235" t="s">
        <v>631</v>
      </c>
      <c r="AG2184" s="244"/>
      <c r="AH2184" s="244"/>
      <c r="AI2184" s="245"/>
      <c r="AJ2184" s="245"/>
      <c r="AK2184" s="245"/>
      <c r="AL2184" s="245"/>
      <c r="AM2184" s="244"/>
      <c r="AN2184" s="244"/>
      <c r="AO2184" s="238">
        <v>-13.29</v>
      </c>
      <c r="AP2184" s="238">
        <v>0.0</v>
      </c>
      <c r="AQ2184" s="235" t="s">
        <v>632</v>
      </c>
      <c r="AR2184" s="243">
        <v>3.71E11</v>
      </c>
      <c r="AS2184" s="235" t="s">
        <v>11171</v>
      </c>
      <c r="AT2184" s="235" t="s">
        <v>13</v>
      </c>
      <c r="AU2184" s="235" t="s">
        <v>634</v>
      </c>
      <c r="AV2184" s="246" t="s">
        <v>635</v>
      </c>
      <c r="AW2184" s="242"/>
      <c r="AX2184" s="242"/>
      <c r="AY2184" s="231"/>
      <c r="AZ2184" s="231"/>
      <c r="BA2184" s="227"/>
      <c r="BB2184" s="231"/>
      <c r="BC2184" s="227"/>
      <c r="BD2184" s="227"/>
      <c r="BE2184" s="227"/>
      <c r="BF2184" s="227"/>
    </row>
    <row r="2185">
      <c r="A2185" s="235" t="s">
        <v>16862</v>
      </c>
      <c r="C2185" s="235" t="s">
        <v>16863</v>
      </c>
      <c r="D2185" s="235" t="s">
        <v>16871</v>
      </c>
      <c r="E2185" s="243">
        <v>6.54E13</v>
      </c>
      <c r="F2185" s="245"/>
      <c r="G2185" s="235" t="s">
        <v>16865</v>
      </c>
      <c r="H2185" s="235" t="s">
        <v>16866</v>
      </c>
      <c r="I2185" s="235" t="s">
        <v>16866</v>
      </c>
      <c r="J2185" s="235" t="s">
        <v>16867</v>
      </c>
      <c r="K2185" s="235" t="s">
        <v>16868</v>
      </c>
      <c r="N2185" s="235" t="s">
        <v>4</v>
      </c>
      <c r="O2185" s="235" t="s">
        <v>1791</v>
      </c>
      <c r="P2185" s="238">
        <v>1.0</v>
      </c>
      <c r="Q2185" s="235" t="s">
        <v>627</v>
      </c>
      <c r="R2185" s="238">
        <v>265.71</v>
      </c>
      <c r="S2185" s="238">
        <v>12.63</v>
      </c>
      <c r="T2185" s="238">
        <v>0.0</v>
      </c>
      <c r="U2185" s="238">
        <v>0.0</v>
      </c>
      <c r="V2185" s="238">
        <v>0.0</v>
      </c>
      <c r="W2185" s="238">
        <v>0.0</v>
      </c>
      <c r="X2185" s="235" t="s">
        <v>628</v>
      </c>
      <c r="Z2185" s="244"/>
      <c r="AA2185" s="244"/>
      <c r="AB2185" s="244"/>
      <c r="AC2185" s="235" t="s">
        <v>3195</v>
      </c>
      <c r="AD2185" s="235" t="s">
        <v>881</v>
      </c>
      <c r="AE2185" s="238">
        <v>751001.0</v>
      </c>
      <c r="AF2185" s="235" t="s">
        <v>631</v>
      </c>
      <c r="AG2185" s="244"/>
      <c r="AH2185" s="244"/>
      <c r="AI2185" s="245"/>
      <c r="AJ2185" s="245"/>
      <c r="AK2185" s="245"/>
      <c r="AL2185" s="245"/>
      <c r="AM2185" s="244"/>
      <c r="AN2185" s="244"/>
      <c r="AO2185" s="238">
        <v>-13.29</v>
      </c>
      <c r="AP2185" s="238">
        <v>0.0</v>
      </c>
      <c r="AQ2185" s="235" t="s">
        <v>632</v>
      </c>
      <c r="AR2185" s="243">
        <v>3.71E11</v>
      </c>
      <c r="AS2185" s="235" t="s">
        <v>11171</v>
      </c>
      <c r="AT2185" s="235" t="s">
        <v>13</v>
      </c>
      <c r="AU2185" s="235" t="s">
        <v>634</v>
      </c>
      <c r="AV2185" s="246" t="s">
        <v>635</v>
      </c>
      <c r="AW2185" s="242"/>
      <c r="AX2185" s="242"/>
      <c r="AY2185" s="231"/>
      <c r="AZ2185" s="231"/>
      <c r="BA2185" s="227"/>
      <c r="BB2185" s="231"/>
      <c r="BC2185" s="227"/>
      <c r="BD2185" s="227"/>
      <c r="BE2185" s="227"/>
      <c r="BF2185" s="227"/>
    </row>
    <row r="2186">
      <c r="A2186" s="235" t="s">
        <v>16862</v>
      </c>
      <c r="C2186" s="235" t="s">
        <v>16863</v>
      </c>
      <c r="D2186" s="235" t="s">
        <v>16872</v>
      </c>
      <c r="E2186" s="243">
        <v>6.54E13</v>
      </c>
      <c r="F2186" s="245"/>
      <c r="G2186" s="235" t="s">
        <v>16865</v>
      </c>
      <c r="H2186" s="235" t="s">
        <v>16866</v>
      </c>
      <c r="I2186" s="235" t="s">
        <v>16866</v>
      </c>
      <c r="J2186" s="235" t="s">
        <v>16867</v>
      </c>
      <c r="K2186" s="235" t="s">
        <v>16868</v>
      </c>
      <c r="N2186" s="235" t="s">
        <v>4</v>
      </c>
      <c r="O2186" s="235" t="s">
        <v>1791</v>
      </c>
      <c r="P2186" s="238">
        <v>1.0</v>
      </c>
      <c r="Q2186" s="235" t="s">
        <v>627</v>
      </c>
      <c r="R2186" s="238">
        <v>265.71</v>
      </c>
      <c r="S2186" s="238">
        <v>12.63</v>
      </c>
      <c r="T2186" s="238">
        <v>0.0</v>
      </c>
      <c r="U2186" s="238">
        <v>0.0</v>
      </c>
      <c r="V2186" s="238">
        <v>0.0</v>
      </c>
      <c r="W2186" s="238">
        <v>0.0</v>
      </c>
      <c r="X2186" s="235" t="s">
        <v>628</v>
      </c>
      <c r="Z2186" s="244"/>
      <c r="AA2186" s="244"/>
      <c r="AB2186" s="244"/>
      <c r="AC2186" s="235" t="s">
        <v>3195</v>
      </c>
      <c r="AD2186" s="235" t="s">
        <v>881</v>
      </c>
      <c r="AE2186" s="238">
        <v>751001.0</v>
      </c>
      <c r="AF2186" s="235" t="s">
        <v>631</v>
      </c>
      <c r="AG2186" s="244"/>
      <c r="AH2186" s="244"/>
      <c r="AI2186" s="245"/>
      <c r="AJ2186" s="245"/>
      <c r="AK2186" s="245"/>
      <c r="AL2186" s="245"/>
      <c r="AM2186" s="244"/>
      <c r="AN2186" s="244"/>
      <c r="AO2186" s="238">
        <v>-13.29</v>
      </c>
      <c r="AP2186" s="238">
        <v>0.0</v>
      </c>
      <c r="AQ2186" s="235" t="s">
        <v>632</v>
      </c>
      <c r="AR2186" s="243">
        <v>3.71E11</v>
      </c>
      <c r="AS2186" s="235" t="s">
        <v>11171</v>
      </c>
      <c r="AT2186" s="235" t="s">
        <v>13</v>
      </c>
      <c r="AU2186" s="235" t="s">
        <v>634</v>
      </c>
      <c r="AV2186" s="246" t="s">
        <v>635</v>
      </c>
      <c r="AW2186" s="242"/>
      <c r="AX2186" s="242"/>
      <c r="AY2186" s="231"/>
      <c r="AZ2186" s="231"/>
      <c r="BA2186" s="227"/>
      <c r="BB2186" s="231"/>
      <c r="BC2186" s="227"/>
      <c r="BD2186" s="227"/>
      <c r="BE2186" s="227"/>
      <c r="BF2186" s="227"/>
    </row>
    <row r="2187">
      <c r="A2187" s="235" t="s">
        <v>16862</v>
      </c>
      <c r="C2187" s="235" t="s">
        <v>16863</v>
      </c>
      <c r="D2187" s="235" t="s">
        <v>16873</v>
      </c>
      <c r="E2187" s="243">
        <v>6.54E13</v>
      </c>
      <c r="F2187" s="245"/>
      <c r="G2187" s="235" t="s">
        <v>16865</v>
      </c>
      <c r="H2187" s="235" t="s">
        <v>16866</v>
      </c>
      <c r="I2187" s="235" t="s">
        <v>16866</v>
      </c>
      <c r="J2187" s="235" t="s">
        <v>16867</v>
      </c>
      <c r="K2187" s="235" t="s">
        <v>16868</v>
      </c>
      <c r="N2187" s="235" t="s">
        <v>4</v>
      </c>
      <c r="O2187" s="235" t="s">
        <v>1791</v>
      </c>
      <c r="P2187" s="238">
        <v>1.0</v>
      </c>
      <c r="Q2187" s="235" t="s">
        <v>627</v>
      </c>
      <c r="R2187" s="238">
        <v>265.71</v>
      </c>
      <c r="S2187" s="238">
        <v>12.63</v>
      </c>
      <c r="T2187" s="238">
        <v>0.0</v>
      </c>
      <c r="U2187" s="238">
        <v>0.0</v>
      </c>
      <c r="V2187" s="238">
        <v>0.0</v>
      </c>
      <c r="W2187" s="238">
        <v>0.0</v>
      </c>
      <c r="X2187" s="235" t="s">
        <v>628</v>
      </c>
      <c r="Z2187" s="244"/>
      <c r="AA2187" s="244"/>
      <c r="AB2187" s="244"/>
      <c r="AC2187" s="235" t="s">
        <v>3195</v>
      </c>
      <c r="AD2187" s="235" t="s">
        <v>881</v>
      </c>
      <c r="AE2187" s="238">
        <v>751001.0</v>
      </c>
      <c r="AF2187" s="235" t="s">
        <v>631</v>
      </c>
      <c r="AG2187" s="244"/>
      <c r="AH2187" s="244"/>
      <c r="AI2187" s="245"/>
      <c r="AJ2187" s="245"/>
      <c r="AK2187" s="245"/>
      <c r="AL2187" s="245"/>
      <c r="AM2187" s="244"/>
      <c r="AN2187" s="244"/>
      <c r="AO2187" s="238">
        <v>-13.29</v>
      </c>
      <c r="AP2187" s="238">
        <v>0.0</v>
      </c>
      <c r="AQ2187" s="235" t="s">
        <v>632</v>
      </c>
      <c r="AR2187" s="243">
        <v>3.71E11</v>
      </c>
      <c r="AS2187" s="235" t="s">
        <v>11171</v>
      </c>
      <c r="AT2187" s="235" t="s">
        <v>13</v>
      </c>
      <c r="AU2187" s="235" t="s">
        <v>634</v>
      </c>
      <c r="AV2187" s="246" t="s">
        <v>635</v>
      </c>
      <c r="AW2187" s="242"/>
      <c r="AX2187" s="242"/>
      <c r="AY2187" s="231"/>
      <c r="AZ2187" s="231"/>
      <c r="BA2187" s="227"/>
      <c r="BB2187" s="231"/>
      <c r="BC2187" s="227"/>
      <c r="BD2187" s="227"/>
      <c r="BE2187" s="227"/>
      <c r="BF2187" s="227"/>
    </row>
    <row r="2188">
      <c r="A2188" s="235" t="s">
        <v>16874</v>
      </c>
      <c r="C2188" s="235" t="s">
        <v>16875</v>
      </c>
      <c r="D2188" s="235" t="s">
        <v>16876</v>
      </c>
      <c r="E2188" s="243">
        <v>6.54E13</v>
      </c>
      <c r="F2188" s="245"/>
      <c r="G2188" s="235" t="s">
        <v>16877</v>
      </c>
      <c r="H2188" s="235" t="s">
        <v>16878</v>
      </c>
      <c r="I2188" s="235" t="s">
        <v>16879</v>
      </c>
      <c r="J2188" s="235" t="s">
        <v>16880</v>
      </c>
      <c r="K2188" s="235" t="s">
        <v>16881</v>
      </c>
      <c r="N2188" s="235" t="s">
        <v>42</v>
      </c>
      <c r="O2188" s="235" t="s">
        <v>204</v>
      </c>
      <c r="P2188" s="238">
        <v>1.0</v>
      </c>
      <c r="Q2188" s="235" t="s">
        <v>627</v>
      </c>
      <c r="R2188" s="238">
        <v>237.14</v>
      </c>
      <c r="S2188" s="238">
        <v>11.86</v>
      </c>
      <c r="T2188" s="238">
        <v>0.0</v>
      </c>
      <c r="U2188" s="238">
        <v>0.0</v>
      </c>
      <c r="V2188" s="238">
        <v>0.0</v>
      </c>
      <c r="W2188" s="238">
        <v>0.0</v>
      </c>
      <c r="X2188" s="235" t="s">
        <v>628</v>
      </c>
      <c r="Z2188" s="244"/>
      <c r="AA2188" s="244"/>
      <c r="AB2188" s="244"/>
      <c r="AC2188" s="235" t="s">
        <v>678</v>
      </c>
      <c r="AD2188" s="235" t="s">
        <v>679</v>
      </c>
      <c r="AE2188" s="238">
        <v>560004.0</v>
      </c>
      <c r="AF2188" s="235" t="s">
        <v>631</v>
      </c>
      <c r="AG2188" s="244"/>
      <c r="AH2188" s="244"/>
      <c r="AI2188" s="245"/>
      <c r="AJ2188" s="245"/>
      <c r="AK2188" s="245"/>
      <c r="AL2188" s="245"/>
      <c r="AM2188" s="244"/>
      <c r="AN2188" s="244"/>
      <c r="AO2188" s="238">
        <v>0.0</v>
      </c>
      <c r="AP2188" s="238">
        <v>0.0</v>
      </c>
      <c r="AQ2188" s="235" t="s">
        <v>632</v>
      </c>
      <c r="AR2188" s="243">
        <v>1.68E11</v>
      </c>
      <c r="AS2188" s="235" t="s">
        <v>16626</v>
      </c>
      <c r="AT2188" s="235" t="s">
        <v>9</v>
      </c>
      <c r="AU2188" s="235" t="s">
        <v>634</v>
      </c>
      <c r="AV2188" s="246" t="s">
        <v>635</v>
      </c>
      <c r="AW2188" s="242"/>
      <c r="AX2188" s="242"/>
      <c r="AY2188" s="231"/>
      <c r="AZ2188" s="231"/>
      <c r="BA2188" s="227"/>
      <c r="BB2188" s="231"/>
      <c r="BC2188" s="227"/>
      <c r="BD2188" s="227"/>
      <c r="BE2188" s="227"/>
      <c r="BF2188" s="227"/>
    </row>
    <row r="2189">
      <c r="A2189" s="235" t="s">
        <v>16882</v>
      </c>
      <c r="C2189" s="235" t="s">
        <v>16883</v>
      </c>
      <c r="D2189" s="235" t="s">
        <v>16884</v>
      </c>
      <c r="E2189" s="243">
        <v>6.53E13</v>
      </c>
      <c r="F2189" s="245"/>
      <c r="G2189" s="235" t="s">
        <v>16885</v>
      </c>
      <c r="H2189" s="235" t="s">
        <v>16886</v>
      </c>
      <c r="I2189" s="235" t="s">
        <v>16886</v>
      </c>
      <c r="J2189" s="235" t="s">
        <v>16887</v>
      </c>
      <c r="K2189" s="235" t="s">
        <v>16888</v>
      </c>
      <c r="N2189" s="235" t="s">
        <v>23</v>
      </c>
      <c r="O2189" s="235" t="s">
        <v>974</v>
      </c>
      <c r="P2189" s="238">
        <v>1.0</v>
      </c>
      <c r="Q2189" s="235" t="s">
        <v>627</v>
      </c>
      <c r="R2189" s="238">
        <v>380.0</v>
      </c>
      <c r="S2189" s="238">
        <v>19.0</v>
      </c>
      <c r="T2189" s="238">
        <v>38.1</v>
      </c>
      <c r="U2189" s="238">
        <v>1.9</v>
      </c>
      <c r="V2189" s="238">
        <v>0.0</v>
      </c>
      <c r="W2189" s="238">
        <v>0.0</v>
      </c>
      <c r="X2189" s="235" t="s">
        <v>628</v>
      </c>
      <c r="Z2189" s="244"/>
      <c r="AA2189" s="244"/>
      <c r="AB2189" s="244"/>
      <c r="AC2189" s="235" t="s">
        <v>16889</v>
      </c>
      <c r="AD2189" s="235" t="s">
        <v>2688</v>
      </c>
      <c r="AE2189" s="238">
        <v>192306.0</v>
      </c>
      <c r="AF2189" s="235" t="s">
        <v>631</v>
      </c>
      <c r="AG2189" s="244"/>
      <c r="AH2189" s="244"/>
      <c r="AI2189" s="245"/>
      <c r="AJ2189" s="245"/>
      <c r="AK2189" s="245"/>
      <c r="AL2189" s="245"/>
      <c r="AM2189" s="244"/>
      <c r="AN2189" s="244"/>
      <c r="AO2189" s="238">
        <v>0.0</v>
      </c>
      <c r="AP2189" s="238">
        <v>-38.1</v>
      </c>
      <c r="AQ2189" s="235" t="s">
        <v>632</v>
      </c>
      <c r="AR2189" s="243">
        <v>3.71E11</v>
      </c>
      <c r="AS2189" s="235" t="s">
        <v>7365</v>
      </c>
      <c r="AT2189" s="235" t="s">
        <v>16</v>
      </c>
      <c r="AU2189" s="235" t="s">
        <v>634</v>
      </c>
      <c r="AV2189" s="246" t="s">
        <v>635</v>
      </c>
      <c r="AW2189" s="242"/>
      <c r="AX2189" s="242"/>
      <c r="AY2189" s="231"/>
      <c r="AZ2189" s="231"/>
      <c r="BA2189" s="227"/>
      <c r="BB2189" s="231"/>
      <c r="BC2189" s="227"/>
      <c r="BD2189" s="227"/>
      <c r="BE2189" s="227"/>
      <c r="BF2189" s="227"/>
    </row>
    <row r="2190">
      <c r="A2190" s="235" t="s">
        <v>16890</v>
      </c>
      <c r="C2190" s="235" t="s">
        <v>16891</v>
      </c>
      <c r="D2190" s="235" t="s">
        <v>16892</v>
      </c>
      <c r="E2190" s="243">
        <v>6.53E13</v>
      </c>
      <c r="F2190" s="245"/>
      <c r="G2190" s="235" t="s">
        <v>16893</v>
      </c>
      <c r="H2190" s="235" t="s">
        <v>16894</v>
      </c>
      <c r="I2190" s="235" t="s">
        <v>16894</v>
      </c>
      <c r="J2190" s="235" t="s">
        <v>16895</v>
      </c>
      <c r="K2190" s="235" t="s">
        <v>13323</v>
      </c>
      <c r="N2190" s="235" t="s">
        <v>141</v>
      </c>
      <c r="O2190" s="235" t="s">
        <v>342</v>
      </c>
      <c r="P2190" s="238">
        <v>1.0</v>
      </c>
      <c r="Q2190" s="235" t="s">
        <v>627</v>
      </c>
      <c r="R2190" s="238">
        <v>243.81</v>
      </c>
      <c r="S2190" s="238">
        <v>12.19</v>
      </c>
      <c r="T2190" s="238">
        <v>38.1</v>
      </c>
      <c r="U2190" s="238">
        <v>1.9</v>
      </c>
      <c r="V2190" s="238">
        <v>0.0</v>
      </c>
      <c r="W2190" s="238">
        <v>0.0</v>
      </c>
      <c r="X2190" s="235" t="s">
        <v>628</v>
      </c>
      <c r="Z2190" s="244"/>
      <c r="AA2190" s="244"/>
      <c r="AB2190" s="244"/>
      <c r="AC2190" s="235" t="s">
        <v>7611</v>
      </c>
      <c r="AD2190" s="235" t="s">
        <v>630</v>
      </c>
      <c r="AE2190" s="238">
        <v>250001.0</v>
      </c>
      <c r="AF2190" s="235" t="s">
        <v>631</v>
      </c>
      <c r="AG2190" s="244"/>
      <c r="AH2190" s="244"/>
      <c r="AI2190" s="245"/>
      <c r="AJ2190" s="245"/>
      <c r="AK2190" s="245"/>
      <c r="AL2190" s="245"/>
      <c r="AM2190" s="244"/>
      <c r="AN2190" s="244"/>
      <c r="AO2190" s="238">
        <v>0.0</v>
      </c>
      <c r="AP2190" s="238">
        <v>-38.1</v>
      </c>
      <c r="AQ2190" s="235" t="s">
        <v>632</v>
      </c>
      <c r="AR2190" s="243">
        <v>3.71E11</v>
      </c>
      <c r="AS2190" s="235" t="s">
        <v>15064</v>
      </c>
      <c r="AT2190" s="235" t="s">
        <v>533</v>
      </c>
      <c r="AU2190" s="235" t="s">
        <v>634</v>
      </c>
      <c r="AV2190" s="246" t="s">
        <v>635</v>
      </c>
      <c r="AW2190" s="242"/>
      <c r="AX2190" s="242"/>
      <c r="AY2190" s="231"/>
      <c r="AZ2190" s="231"/>
      <c r="BA2190" s="227"/>
      <c r="BB2190" s="231"/>
      <c r="BC2190" s="227"/>
      <c r="BD2190" s="227"/>
      <c r="BE2190" s="227"/>
      <c r="BF2190" s="227"/>
    </row>
    <row r="2191">
      <c r="A2191" s="235" t="s">
        <v>16896</v>
      </c>
      <c r="C2191" s="235" t="s">
        <v>16897</v>
      </c>
      <c r="D2191" s="235" t="s">
        <v>16898</v>
      </c>
      <c r="E2191" s="243">
        <v>6.54E13</v>
      </c>
      <c r="F2191" s="245"/>
      <c r="G2191" s="235" t="s">
        <v>16899</v>
      </c>
      <c r="H2191" s="235" t="s">
        <v>16900</v>
      </c>
      <c r="I2191" s="235" t="s">
        <v>16900</v>
      </c>
      <c r="J2191" s="235" t="s">
        <v>16901</v>
      </c>
      <c r="K2191" s="235" t="s">
        <v>16902</v>
      </c>
      <c r="N2191" s="235" t="s">
        <v>130</v>
      </c>
      <c r="O2191" s="235" t="s">
        <v>707</v>
      </c>
      <c r="P2191" s="238">
        <v>1.0</v>
      </c>
      <c r="Q2191" s="235" t="s">
        <v>627</v>
      </c>
      <c r="R2191" s="238">
        <v>246.67</v>
      </c>
      <c r="S2191" s="238">
        <v>12.33</v>
      </c>
      <c r="T2191" s="238">
        <v>38.1</v>
      </c>
      <c r="U2191" s="238">
        <v>1.9</v>
      </c>
      <c r="V2191" s="238">
        <v>0.0</v>
      </c>
      <c r="W2191" s="238">
        <v>0.0</v>
      </c>
      <c r="X2191" s="235" t="s">
        <v>628</v>
      </c>
      <c r="Z2191" s="244"/>
      <c r="AA2191" s="244"/>
      <c r="AB2191" s="244"/>
      <c r="AC2191" s="235" t="s">
        <v>16903</v>
      </c>
      <c r="AD2191" s="235" t="s">
        <v>16904</v>
      </c>
      <c r="AE2191" s="238">
        <v>793018.0</v>
      </c>
      <c r="AF2191" s="235" t="s">
        <v>631</v>
      </c>
      <c r="AG2191" s="244"/>
      <c r="AH2191" s="244"/>
      <c r="AI2191" s="245"/>
      <c r="AJ2191" s="245"/>
      <c r="AK2191" s="245"/>
      <c r="AL2191" s="245"/>
      <c r="AM2191" s="244"/>
      <c r="AN2191" s="244"/>
      <c r="AO2191" s="238">
        <v>0.0</v>
      </c>
      <c r="AP2191" s="238">
        <v>-38.1</v>
      </c>
      <c r="AQ2191" s="235" t="s">
        <v>632</v>
      </c>
      <c r="AR2191" s="243">
        <v>3.71E11</v>
      </c>
      <c r="AS2191" s="235" t="s">
        <v>11171</v>
      </c>
      <c r="AT2191" s="235" t="s">
        <v>14</v>
      </c>
      <c r="AU2191" s="235" t="s">
        <v>634</v>
      </c>
      <c r="AV2191" s="246" t="s">
        <v>635</v>
      </c>
      <c r="AW2191" s="242"/>
      <c r="AX2191" s="242"/>
      <c r="AY2191" s="231"/>
      <c r="AZ2191" s="231"/>
      <c r="BA2191" s="227"/>
      <c r="BB2191" s="231"/>
      <c r="BC2191" s="227"/>
      <c r="BD2191" s="227"/>
      <c r="BE2191" s="227"/>
      <c r="BF2191" s="227"/>
    </row>
    <row r="2192">
      <c r="A2192" s="235" t="s">
        <v>16905</v>
      </c>
      <c r="C2192" s="235" t="s">
        <v>16906</v>
      </c>
      <c r="D2192" s="235" t="s">
        <v>16907</v>
      </c>
      <c r="E2192" s="243">
        <v>6.53E13</v>
      </c>
      <c r="F2192" s="245"/>
      <c r="G2192" s="235" t="s">
        <v>16908</v>
      </c>
      <c r="H2192" s="235" t="s">
        <v>16909</v>
      </c>
      <c r="I2192" s="235" t="s">
        <v>16909</v>
      </c>
      <c r="J2192" s="235" t="s">
        <v>16910</v>
      </c>
      <c r="K2192" s="235" t="s">
        <v>16911</v>
      </c>
      <c r="N2192" s="235" t="s">
        <v>15</v>
      </c>
      <c r="O2192" s="235" t="s">
        <v>856</v>
      </c>
      <c r="P2192" s="238">
        <v>1.0</v>
      </c>
      <c r="Q2192" s="235" t="s">
        <v>627</v>
      </c>
      <c r="R2192" s="238">
        <v>380.0</v>
      </c>
      <c r="S2192" s="238">
        <v>18.43</v>
      </c>
      <c r="T2192" s="238">
        <v>0.0</v>
      </c>
      <c r="U2192" s="238">
        <v>0.0</v>
      </c>
      <c r="V2192" s="238">
        <v>0.0</v>
      </c>
      <c r="W2192" s="238">
        <v>0.0</v>
      </c>
      <c r="X2192" s="235" t="s">
        <v>628</v>
      </c>
      <c r="Z2192" s="244"/>
      <c r="AA2192" s="244"/>
      <c r="AB2192" s="244"/>
      <c r="AC2192" s="235" t="s">
        <v>1058</v>
      </c>
      <c r="AD2192" s="235" t="s">
        <v>845</v>
      </c>
      <c r="AE2192" s="238">
        <v>400067.0</v>
      </c>
      <c r="AF2192" s="235" t="s">
        <v>631</v>
      </c>
      <c r="AG2192" s="244"/>
      <c r="AH2192" s="244"/>
      <c r="AI2192" s="245"/>
      <c r="AJ2192" s="245"/>
      <c r="AK2192" s="245"/>
      <c r="AL2192" s="245"/>
      <c r="AM2192" s="244"/>
      <c r="AN2192" s="244"/>
      <c r="AO2192" s="238">
        <v>-11.4</v>
      </c>
      <c r="AP2192" s="238">
        <v>0.0</v>
      </c>
      <c r="AQ2192" s="235" t="s">
        <v>632</v>
      </c>
      <c r="AR2192" s="243">
        <v>3.71E11</v>
      </c>
      <c r="AS2192" s="235" t="s">
        <v>15064</v>
      </c>
      <c r="AT2192" s="235" t="s">
        <v>16</v>
      </c>
      <c r="AU2192" s="235" t="s">
        <v>634</v>
      </c>
      <c r="AV2192" s="246" t="s">
        <v>635</v>
      </c>
      <c r="AW2192" s="242"/>
      <c r="AX2192" s="242"/>
      <c r="AY2192" s="231"/>
      <c r="AZ2192" s="231"/>
      <c r="BA2192" s="227"/>
      <c r="BB2192" s="231"/>
      <c r="BC2192" s="227"/>
      <c r="BD2192" s="227"/>
      <c r="BE2192" s="227"/>
      <c r="BF2192" s="227"/>
    </row>
    <row r="2193">
      <c r="A2193" s="235" t="s">
        <v>16905</v>
      </c>
      <c r="C2193" s="235" t="s">
        <v>16906</v>
      </c>
      <c r="D2193" s="235" t="s">
        <v>16912</v>
      </c>
      <c r="E2193" s="243">
        <v>6.53E13</v>
      </c>
      <c r="F2193" s="245"/>
      <c r="G2193" s="235" t="s">
        <v>16908</v>
      </c>
      <c r="H2193" s="235" t="s">
        <v>16909</v>
      </c>
      <c r="I2193" s="235" t="s">
        <v>16909</v>
      </c>
      <c r="J2193" s="235" t="s">
        <v>16910</v>
      </c>
      <c r="K2193" s="235" t="s">
        <v>16911</v>
      </c>
      <c r="N2193" s="235" t="s">
        <v>15</v>
      </c>
      <c r="O2193" s="235" t="s">
        <v>856</v>
      </c>
      <c r="P2193" s="238">
        <v>1.0</v>
      </c>
      <c r="Q2193" s="235" t="s">
        <v>627</v>
      </c>
      <c r="R2193" s="238">
        <v>380.0</v>
      </c>
      <c r="S2193" s="238">
        <v>18.43</v>
      </c>
      <c r="T2193" s="238">
        <v>0.0</v>
      </c>
      <c r="U2193" s="238">
        <v>0.0</v>
      </c>
      <c r="V2193" s="238">
        <v>0.0</v>
      </c>
      <c r="W2193" s="238">
        <v>0.0</v>
      </c>
      <c r="X2193" s="235" t="s">
        <v>628</v>
      </c>
      <c r="Z2193" s="244"/>
      <c r="AA2193" s="244"/>
      <c r="AB2193" s="244"/>
      <c r="AC2193" s="235" t="s">
        <v>1058</v>
      </c>
      <c r="AD2193" s="235" t="s">
        <v>845</v>
      </c>
      <c r="AE2193" s="238">
        <v>400067.0</v>
      </c>
      <c r="AF2193" s="235" t="s">
        <v>631</v>
      </c>
      <c r="AG2193" s="244"/>
      <c r="AH2193" s="244"/>
      <c r="AI2193" s="245"/>
      <c r="AJ2193" s="245"/>
      <c r="AK2193" s="245"/>
      <c r="AL2193" s="245"/>
      <c r="AM2193" s="244"/>
      <c r="AN2193" s="244"/>
      <c r="AO2193" s="238">
        <v>-11.4</v>
      </c>
      <c r="AP2193" s="238">
        <v>0.0</v>
      </c>
      <c r="AQ2193" s="235" t="s">
        <v>632</v>
      </c>
      <c r="AR2193" s="243">
        <v>3.71E11</v>
      </c>
      <c r="AS2193" s="235" t="s">
        <v>15064</v>
      </c>
      <c r="AT2193" s="235" t="s">
        <v>16</v>
      </c>
      <c r="AU2193" s="235" t="s">
        <v>634</v>
      </c>
      <c r="AV2193" s="246" t="s">
        <v>635</v>
      </c>
      <c r="AW2193" s="242"/>
      <c r="AX2193" s="242"/>
      <c r="AY2193" s="231"/>
      <c r="AZ2193" s="231"/>
      <c r="BA2193" s="227"/>
      <c r="BB2193" s="231"/>
      <c r="BC2193" s="227"/>
      <c r="BD2193" s="227"/>
      <c r="BE2193" s="227"/>
      <c r="BF2193" s="227"/>
    </row>
    <row r="2194">
      <c r="A2194" s="235" t="s">
        <v>16905</v>
      </c>
      <c r="C2194" s="235" t="s">
        <v>16906</v>
      </c>
      <c r="D2194" s="235" t="s">
        <v>16913</v>
      </c>
      <c r="E2194" s="243">
        <v>6.53E13</v>
      </c>
      <c r="F2194" s="245"/>
      <c r="G2194" s="235" t="s">
        <v>16908</v>
      </c>
      <c r="H2194" s="235" t="s">
        <v>16909</v>
      </c>
      <c r="I2194" s="235" t="s">
        <v>16909</v>
      </c>
      <c r="J2194" s="235" t="s">
        <v>16910</v>
      </c>
      <c r="K2194" s="235" t="s">
        <v>16911</v>
      </c>
      <c r="N2194" s="235" t="s">
        <v>15</v>
      </c>
      <c r="O2194" s="235" t="s">
        <v>856</v>
      </c>
      <c r="P2194" s="238">
        <v>1.0</v>
      </c>
      <c r="Q2194" s="235" t="s">
        <v>627</v>
      </c>
      <c r="R2194" s="238">
        <v>380.0</v>
      </c>
      <c r="S2194" s="238">
        <v>18.43</v>
      </c>
      <c r="T2194" s="238">
        <v>0.0</v>
      </c>
      <c r="U2194" s="238">
        <v>0.0</v>
      </c>
      <c r="V2194" s="238">
        <v>0.0</v>
      </c>
      <c r="W2194" s="238">
        <v>0.0</v>
      </c>
      <c r="X2194" s="235" t="s">
        <v>628</v>
      </c>
      <c r="Z2194" s="244"/>
      <c r="AA2194" s="244"/>
      <c r="AB2194" s="244"/>
      <c r="AC2194" s="235" t="s">
        <v>1058</v>
      </c>
      <c r="AD2194" s="235" t="s">
        <v>845</v>
      </c>
      <c r="AE2194" s="238">
        <v>400067.0</v>
      </c>
      <c r="AF2194" s="235" t="s">
        <v>631</v>
      </c>
      <c r="AG2194" s="244"/>
      <c r="AH2194" s="244"/>
      <c r="AI2194" s="245"/>
      <c r="AJ2194" s="245"/>
      <c r="AK2194" s="245"/>
      <c r="AL2194" s="245"/>
      <c r="AM2194" s="244"/>
      <c r="AN2194" s="244"/>
      <c r="AO2194" s="238">
        <v>-11.4</v>
      </c>
      <c r="AP2194" s="238">
        <v>0.0</v>
      </c>
      <c r="AQ2194" s="235" t="s">
        <v>632</v>
      </c>
      <c r="AR2194" s="243">
        <v>3.71E11</v>
      </c>
      <c r="AS2194" s="235" t="s">
        <v>15064</v>
      </c>
      <c r="AT2194" s="235" t="s">
        <v>16</v>
      </c>
      <c r="AU2194" s="235" t="s">
        <v>634</v>
      </c>
      <c r="AV2194" s="246" t="s">
        <v>635</v>
      </c>
      <c r="AW2194" s="242"/>
      <c r="AX2194" s="242"/>
      <c r="AY2194" s="231"/>
      <c r="AZ2194" s="231"/>
      <c r="BA2194" s="227"/>
      <c r="BB2194" s="231"/>
      <c r="BC2194" s="227"/>
      <c r="BD2194" s="227"/>
      <c r="BE2194" s="227"/>
      <c r="BF2194" s="227"/>
    </row>
    <row r="2195">
      <c r="A2195" s="235" t="s">
        <v>16914</v>
      </c>
      <c r="C2195" s="235" t="s">
        <v>16915</v>
      </c>
      <c r="D2195" s="235" t="s">
        <v>16916</v>
      </c>
      <c r="E2195" s="243">
        <v>6.54E13</v>
      </c>
      <c r="F2195" s="245"/>
      <c r="G2195" s="235" t="s">
        <v>16917</v>
      </c>
      <c r="H2195" s="235" t="s">
        <v>16918</v>
      </c>
      <c r="I2195" s="235" t="s">
        <v>16919</v>
      </c>
      <c r="J2195" s="235" t="s">
        <v>16920</v>
      </c>
      <c r="K2195" s="235" t="s">
        <v>16921</v>
      </c>
      <c r="N2195" s="235" t="s">
        <v>92</v>
      </c>
      <c r="O2195" s="235" t="s">
        <v>248</v>
      </c>
      <c r="P2195" s="238">
        <v>1.0</v>
      </c>
      <c r="Q2195" s="235" t="s">
        <v>627</v>
      </c>
      <c r="R2195" s="238">
        <v>246.67</v>
      </c>
      <c r="S2195" s="238">
        <v>12.08</v>
      </c>
      <c r="T2195" s="238">
        <v>0.0</v>
      </c>
      <c r="U2195" s="238">
        <v>0.0</v>
      </c>
      <c r="V2195" s="238">
        <v>0.0</v>
      </c>
      <c r="W2195" s="238">
        <v>0.0</v>
      </c>
      <c r="X2195" s="235" t="s">
        <v>628</v>
      </c>
      <c r="Z2195" s="244"/>
      <c r="AA2195" s="244"/>
      <c r="AB2195" s="244"/>
      <c r="AC2195" s="235" t="s">
        <v>697</v>
      </c>
      <c r="AD2195" s="235" t="s">
        <v>698</v>
      </c>
      <c r="AE2195" s="238">
        <v>500046.0</v>
      </c>
      <c r="AF2195" s="235" t="s">
        <v>631</v>
      </c>
      <c r="AG2195" s="244"/>
      <c r="AH2195" s="244"/>
      <c r="AI2195" s="245"/>
      <c r="AJ2195" s="245"/>
      <c r="AK2195" s="245"/>
      <c r="AL2195" s="245"/>
      <c r="AM2195" s="244"/>
      <c r="AN2195" s="244"/>
      <c r="AO2195" s="238">
        <v>-4.93</v>
      </c>
      <c r="AP2195" s="238">
        <v>0.0</v>
      </c>
      <c r="AQ2195" s="235" t="s">
        <v>632</v>
      </c>
      <c r="AR2195" s="243">
        <v>1.68E11</v>
      </c>
      <c r="AS2195" s="235" t="s">
        <v>15064</v>
      </c>
      <c r="AT2195" s="235" t="s">
        <v>9</v>
      </c>
      <c r="AU2195" s="235" t="s">
        <v>634</v>
      </c>
      <c r="AV2195" s="246" t="s">
        <v>635</v>
      </c>
      <c r="AW2195" s="242"/>
      <c r="AX2195" s="242"/>
      <c r="AY2195" s="231"/>
      <c r="AZ2195" s="231"/>
      <c r="BA2195" s="227"/>
      <c r="BB2195" s="231"/>
      <c r="BC2195" s="227"/>
      <c r="BD2195" s="227"/>
      <c r="BE2195" s="227"/>
      <c r="BF2195" s="227"/>
    </row>
    <row r="2196">
      <c r="A2196" s="235" t="s">
        <v>16922</v>
      </c>
      <c r="C2196" s="235" t="s">
        <v>16923</v>
      </c>
      <c r="D2196" s="235" t="s">
        <v>16924</v>
      </c>
      <c r="E2196" s="243">
        <v>6.53E13</v>
      </c>
      <c r="F2196" s="245"/>
      <c r="G2196" s="235" t="s">
        <v>16925</v>
      </c>
      <c r="H2196" s="235" t="s">
        <v>16918</v>
      </c>
      <c r="I2196" s="235" t="s">
        <v>16918</v>
      </c>
      <c r="J2196" s="235" t="s">
        <v>16926</v>
      </c>
      <c r="K2196" s="235" t="s">
        <v>16927</v>
      </c>
      <c r="N2196" s="235" t="s">
        <v>962</v>
      </c>
      <c r="O2196" s="235" t="s">
        <v>963</v>
      </c>
      <c r="P2196" s="238">
        <v>1.0</v>
      </c>
      <c r="Q2196" s="235" t="s">
        <v>627</v>
      </c>
      <c r="R2196" s="238">
        <v>270.48</v>
      </c>
      <c r="S2196" s="238">
        <v>13.25</v>
      </c>
      <c r="T2196" s="238">
        <v>0.0</v>
      </c>
      <c r="U2196" s="238">
        <v>0.0</v>
      </c>
      <c r="V2196" s="238">
        <v>0.0</v>
      </c>
      <c r="W2196" s="238">
        <v>0.0</v>
      </c>
      <c r="X2196" s="235" t="s">
        <v>628</v>
      </c>
      <c r="Z2196" s="244"/>
      <c r="AA2196" s="244"/>
      <c r="AB2196" s="244"/>
      <c r="AC2196" s="235" t="s">
        <v>687</v>
      </c>
      <c r="AD2196" s="235" t="s">
        <v>666</v>
      </c>
      <c r="AE2196" s="238">
        <v>600127.0</v>
      </c>
      <c r="AF2196" s="235" t="s">
        <v>631</v>
      </c>
      <c r="AG2196" s="244"/>
      <c r="AH2196" s="244"/>
      <c r="AI2196" s="245"/>
      <c r="AJ2196" s="245"/>
      <c r="AK2196" s="245"/>
      <c r="AL2196" s="245"/>
      <c r="AM2196" s="244"/>
      <c r="AN2196" s="244"/>
      <c r="AO2196" s="238">
        <v>-5.41</v>
      </c>
      <c r="AP2196" s="238">
        <v>0.0</v>
      </c>
      <c r="AQ2196" s="235" t="s">
        <v>632</v>
      </c>
      <c r="AR2196" s="243">
        <v>3.71E11</v>
      </c>
      <c r="AS2196" s="235" t="s">
        <v>15064</v>
      </c>
      <c r="AT2196" s="235" t="s">
        <v>156</v>
      </c>
      <c r="AU2196" s="235" t="s">
        <v>634</v>
      </c>
      <c r="AV2196" s="246" t="s">
        <v>635</v>
      </c>
      <c r="AW2196" s="242"/>
      <c r="AX2196" s="242"/>
      <c r="AY2196" s="231"/>
      <c r="AZ2196" s="231"/>
      <c r="BA2196" s="227"/>
      <c r="BB2196" s="231"/>
      <c r="BC2196" s="227"/>
      <c r="BD2196" s="227"/>
      <c r="BE2196" s="227"/>
      <c r="BF2196" s="227"/>
    </row>
    <row r="2197">
      <c r="A2197" s="235" t="s">
        <v>16928</v>
      </c>
      <c r="C2197" s="235" t="s">
        <v>16929</v>
      </c>
      <c r="D2197" s="235" t="s">
        <v>16930</v>
      </c>
      <c r="E2197" s="243">
        <v>6.54E13</v>
      </c>
      <c r="F2197" s="245"/>
      <c r="G2197" s="235" t="s">
        <v>16931</v>
      </c>
      <c r="H2197" s="235" t="s">
        <v>16932</v>
      </c>
      <c r="I2197" s="235" t="s">
        <v>16932</v>
      </c>
      <c r="J2197" s="235" t="s">
        <v>16933</v>
      </c>
      <c r="K2197" s="235" t="s">
        <v>16934</v>
      </c>
      <c r="N2197" s="235" t="s">
        <v>2163</v>
      </c>
      <c r="O2197" s="235" t="s">
        <v>2164</v>
      </c>
      <c r="P2197" s="238">
        <v>1.0</v>
      </c>
      <c r="Q2197" s="235" t="s">
        <v>627</v>
      </c>
      <c r="R2197" s="238">
        <v>246.67</v>
      </c>
      <c r="S2197" s="238">
        <v>12.08</v>
      </c>
      <c r="T2197" s="238">
        <v>0.0</v>
      </c>
      <c r="U2197" s="238">
        <v>0.0</v>
      </c>
      <c r="V2197" s="238">
        <v>0.0</v>
      </c>
      <c r="W2197" s="238">
        <v>0.0</v>
      </c>
      <c r="X2197" s="235" t="s">
        <v>628</v>
      </c>
      <c r="Z2197" s="244"/>
      <c r="AA2197" s="244"/>
      <c r="AB2197" s="244"/>
      <c r="AC2197" s="235" t="s">
        <v>697</v>
      </c>
      <c r="AD2197" s="235" t="s">
        <v>698</v>
      </c>
      <c r="AE2197" s="238">
        <v>500030.0</v>
      </c>
      <c r="AF2197" s="235" t="s">
        <v>631</v>
      </c>
      <c r="AG2197" s="244"/>
      <c r="AH2197" s="244"/>
      <c r="AI2197" s="245"/>
      <c r="AJ2197" s="245"/>
      <c r="AK2197" s="245"/>
      <c r="AL2197" s="245"/>
      <c r="AM2197" s="244"/>
      <c r="AN2197" s="244"/>
      <c r="AO2197" s="238">
        <v>-4.93</v>
      </c>
      <c r="AP2197" s="238">
        <v>0.0</v>
      </c>
      <c r="AQ2197" s="235" t="s">
        <v>632</v>
      </c>
      <c r="AR2197" s="243">
        <v>2.02E11</v>
      </c>
      <c r="AS2197" s="235" t="s">
        <v>15064</v>
      </c>
      <c r="AT2197" s="235" t="s">
        <v>156</v>
      </c>
      <c r="AU2197" s="235" t="s">
        <v>634</v>
      </c>
      <c r="AV2197" s="246" t="s">
        <v>635</v>
      </c>
      <c r="AW2197" s="242"/>
      <c r="AX2197" s="242"/>
      <c r="AY2197" s="231"/>
      <c r="AZ2197" s="231"/>
      <c r="BA2197" s="227"/>
      <c r="BB2197" s="231"/>
      <c r="BC2197" s="227"/>
      <c r="BD2197" s="227"/>
      <c r="BE2197" s="227"/>
      <c r="BF2197" s="227"/>
    </row>
    <row r="2198">
      <c r="A2198" s="235" t="s">
        <v>16935</v>
      </c>
      <c r="C2198" s="235" t="s">
        <v>16936</v>
      </c>
      <c r="D2198" s="235" t="s">
        <v>16937</v>
      </c>
      <c r="E2198" s="243">
        <v>6.54E13</v>
      </c>
      <c r="F2198" s="245"/>
      <c r="G2198" s="235" t="s">
        <v>16938</v>
      </c>
      <c r="H2198" s="235" t="s">
        <v>16939</v>
      </c>
      <c r="I2198" s="235" t="s">
        <v>16939</v>
      </c>
      <c r="J2198" s="235" t="s">
        <v>16940</v>
      </c>
      <c r="K2198" s="235" t="s">
        <v>16941</v>
      </c>
      <c r="N2198" s="235" t="s">
        <v>989</v>
      </c>
      <c r="O2198" s="235" t="s">
        <v>990</v>
      </c>
      <c r="P2198" s="238">
        <v>1.0</v>
      </c>
      <c r="Q2198" s="235" t="s">
        <v>627</v>
      </c>
      <c r="R2198" s="238">
        <v>256.19</v>
      </c>
      <c r="S2198" s="238">
        <v>12.81</v>
      </c>
      <c r="T2198" s="238">
        <v>0.0</v>
      </c>
      <c r="U2198" s="238">
        <v>0.0</v>
      </c>
      <c r="V2198" s="238">
        <v>0.0</v>
      </c>
      <c r="W2198" s="238">
        <v>0.0</v>
      </c>
      <c r="X2198" s="235" t="s">
        <v>628</v>
      </c>
      <c r="Z2198" s="244"/>
      <c r="AA2198" s="244"/>
      <c r="AB2198" s="244"/>
      <c r="AC2198" s="235" t="s">
        <v>697</v>
      </c>
      <c r="AD2198" s="235" t="s">
        <v>698</v>
      </c>
      <c r="AE2198" s="238">
        <v>500072.0</v>
      </c>
      <c r="AF2198" s="235" t="s">
        <v>631</v>
      </c>
      <c r="AG2198" s="244"/>
      <c r="AH2198" s="244"/>
      <c r="AI2198" s="245"/>
      <c r="AJ2198" s="245"/>
      <c r="AK2198" s="245"/>
      <c r="AL2198" s="245"/>
      <c r="AM2198" s="244"/>
      <c r="AN2198" s="244"/>
      <c r="AO2198" s="238">
        <v>0.0</v>
      </c>
      <c r="AP2198" s="238">
        <v>0.0</v>
      </c>
      <c r="AQ2198" s="235" t="s">
        <v>632</v>
      </c>
      <c r="AR2198" s="243">
        <v>1.68E11</v>
      </c>
      <c r="AS2198" s="235" t="s">
        <v>15064</v>
      </c>
      <c r="AT2198" s="235" t="s">
        <v>156</v>
      </c>
      <c r="AU2198" s="235" t="s">
        <v>634</v>
      </c>
      <c r="AV2198" s="246" t="s">
        <v>635</v>
      </c>
      <c r="AW2198" s="242"/>
      <c r="AX2198" s="242"/>
      <c r="AY2198" s="231"/>
      <c r="AZ2198" s="231"/>
      <c r="BA2198" s="227"/>
      <c r="BB2198" s="231"/>
      <c r="BC2198" s="227"/>
      <c r="BD2198" s="227"/>
      <c r="BE2198" s="227"/>
      <c r="BF2198" s="227"/>
    </row>
    <row r="2199">
      <c r="A2199" s="235" t="s">
        <v>16942</v>
      </c>
      <c r="C2199" s="235" t="s">
        <v>16943</v>
      </c>
      <c r="D2199" s="235" t="s">
        <v>16944</v>
      </c>
      <c r="E2199" s="243">
        <v>6.53E13</v>
      </c>
      <c r="F2199" s="245"/>
      <c r="G2199" s="235" t="s">
        <v>16945</v>
      </c>
      <c r="H2199" s="235" t="s">
        <v>16946</v>
      </c>
      <c r="I2199" s="235" t="s">
        <v>16947</v>
      </c>
      <c r="J2199" s="235" t="s">
        <v>16948</v>
      </c>
      <c r="K2199" s="235" t="s">
        <v>16949</v>
      </c>
      <c r="N2199" s="235" t="s">
        <v>85</v>
      </c>
      <c r="O2199" s="235" t="s">
        <v>872</v>
      </c>
      <c r="P2199" s="238">
        <v>1.0</v>
      </c>
      <c r="Q2199" s="235" t="s">
        <v>627</v>
      </c>
      <c r="R2199" s="238">
        <v>270.48</v>
      </c>
      <c r="S2199" s="238">
        <v>13.52</v>
      </c>
      <c r="T2199" s="238">
        <v>0.0</v>
      </c>
      <c r="U2199" s="238">
        <v>0.0</v>
      </c>
      <c r="V2199" s="238">
        <v>0.0</v>
      </c>
      <c r="W2199" s="238">
        <v>0.0</v>
      </c>
      <c r="X2199" s="235" t="s">
        <v>628</v>
      </c>
      <c r="Z2199" s="244"/>
      <c r="AA2199" s="244"/>
      <c r="AB2199" s="244"/>
      <c r="AC2199" s="235" t="s">
        <v>1604</v>
      </c>
      <c r="AD2199" s="235" t="s">
        <v>845</v>
      </c>
      <c r="AE2199" s="238">
        <v>400068.0</v>
      </c>
      <c r="AF2199" s="235" t="s">
        <v>631</v>
      </c>
      <c r="AG2199" s="244"/>
      <c r="AH2199" s="244"/>
      <c r="AI2199" s="245"/>
      <c r="AJ2199" s="245"/>
      <c r="AK2199" s="245"/>
      <c r="AL2199" s="245"/>
      <c r="AM2199" s="244"/>
      <c r="AN2199" s="244"/>
      <c r="AO2199" s="238">
        <v>0.0</v>
      </c>
      <c r="AP2199" s="238">
        <v>0.0</v>
      </c>
      <c r="AQ2199" s="235" t="s">
        <v>632</v>
      </c>
      <c r="AR2199" s="243">
        <v>3.71E11</v>
      </c>
      <c r="AS2199" s="235" t="s">
        <v>15064</v>
      </c>
      <c r="AT2199" s="235" t="s">
        <v>16</v>
      </c>
      <c r="AU2199" s="235" t="s">
        <v>634</v>
      </c>
      <c r="AV2199" s="246" t="s">
        <v>635</v>
      </c>
      <c r="AW2199" s="242"/>
      <c r="AX2199" s="242"/>
      <c r="AY2199" s="231"/>
      <c r="AZ2199" s="231"/>
      <c r="BA2199" s="227"/>
      <c r="BB2199" s="231"/>
      <c r="BC2199" s="227"/>
      <c r="BD2199" s="227"/>
      <c r="BE2199" s="227"/>
      <c r="BF2199" s="227"/>
    </row>
    <row r="2200">
      <c r="A2200" s="235" t="s">
        <v>16950</v>
      </c>
      <c r="C2200" s="235" t="s">
        <v>16951</v>
      </c>
      <c r="D2200" s="235" t="s">
        <v>16952</v>
      </c>
      <c r="E2200" s="243">
        <v>6.53E13</v>
      </c>
      <c r="F2200" s="245"/>
      <c r="G2200" s="235" t="s">
        <v>16953</v>
      </c>
      <c r="H2200" s="235" t="s">
        <v>16954</v>
      </c>
      <c r="I2200" s="235" t="s">
        <v>16954</v>
      </c>
      <c r="J2200" s="235" t="s">
        <v>16955</v>
      </c>
      <c r="K2200" s="235" t="s">
        <v>16956</v>
      </c>
      <c r="N2200" s="235" t="s">
        <v>127</v>
      </c>
      <c r="O2200" s="235" t="s">
        <v>794</v>
      </c>
      <c r="P2200" s="238">
        <v>1.0</v>
      </c>
      <c r="Q2200" s="235" t="s">
        <v>627</v>
      </c>
      <c r="R2200" s="238">
        <v>270.48</v>
      </c>
      <c r="S2200" s="238">
        <v>13.52</v>
      </c>
      <c r="T2200" s="238">
        <v>38.1</v>
      </c>
      <c r="U2200" s="238">
        <v>1.9</v>
      </c>
      <c r="V2200" s="238">
        <v>0.0</v>
      </c>
      <c r="W2200" s="238">
        <v>0.0</v>
      </c>
      <c r="X2200" s="235" t="s">
        <v>628</v>
      </c>
      <c r="Z2200" s="244"/>
      <c r="AA2200" s="244"/>
      <c r="AB2200" s="244"/>
      <c r="AC2200" s="235" t="s">
        <v>1475</v>
      </c>
      <c r="AD2200" s="235" t="s">
        <v>796</v>
      </c>
      <c r="AE2200" s="238">
        <v>110019.0</v>
      </c>
      <c r="AF2200" s="235" t="s">
        <v>631</v>
      </c>
      <c r="AG2200" s="244"/>
      <c r="AH2200" s="244"/>
      <c r="AI2200" s="245"/>
      <c r="AJ2200" s="245"/>
      <c r="AK2200" s="245"/>
      <c r="AL2200" s="245"/>
      <c r="AM2200" s="244"/>
      <c r="AN2200" s="244"/>
      <c r="AO2200" s="238">
        <v>0.0</v>
      </c>
      <c r="AP2200" s="238">
        <v>-38.1</v>
      </c>
      <c r="AQ2200" s="235" t="s">
        <v>632</v>
      </c>
      <c r="AR2200" s="243">
        <v>3.71E11</v>
      </c>
      <c r="AS2200" s="235" t="s">
        <v>15064</v>
      </c>
      <c r="AT2200" s="235" t="s">
        <v>14</v>
      </c>
      <c r="AU2200" s="235" t="s">
        <v>634</v>
      </c>
      <c r="AV2200" s="246" t="s">
        <v>635</v>
      </c>
      <c r="AW2200" s="242"/>
      <c r="AX2200" s="242"/>
      <c r="AY2200" s="231"/>
      <c r="AZ2200" s="231"/>
      <c r="BA2200" s="227"/>
      <c r="BB2200" s="231"/>
      <c r="BC2200" s="227"/>
      <c r="BD2200" s="227"/>
      <c r="BE2200" s="227"/>
      <c r="BF2200" s="227"/>
    </row>
    <row r="2201">
      <c r="A2201" s="235" t="s">
        <v>16957</v>
      </c>
      <c r="C2201" s="235" t="s">
        <v>16958</v>
      </c>
      <c r="D2201" s="235" t="s">
        <v>16959</v>
      </c>
      <c r="E2201" s="243">
        <v>6.53E13</v>
      </c>
      <c r="F2201" s="245"/>
      <c r="G2201" s="235" t="s">
        <v>16960</v>
      </c>
      <c r="H2201" s="235" t="s">
        <v>16961</v>
      </c>
      <c r="I2201" s="235" t="s">
        <v>16961</v>
      </c>
      <c r="J2201" s="235" t="s">
        <v>16962</v>
      </c>
      <c r="K2201" s="235" t="s">
        <v>16963</v>
      </c>
      <c r="N2201" s="235" t="s">
        <v>130</v>
      </c>
      <c r="O2201" s="235" t="s">
        <v>707</v>
      </c>
      <c r="P2201" s="238">
        <v>1.0</v>
      </c>
      <c r="Q2201" s="235" t="s">
        <v>627</v>
      </c>
      <c r="R2201" s="238">
        <v>270.48</v>
      </c>
      <c r="S2201" s="238">
        <v>13.52</v>
      </c>
      <c r="T2201" s="238">
        <v>38.1</v>
      </c>
      <c r="U2201" s="238">
        <v>1.9</v>
      </c>
      <c r="V2201" s="238">
        <v>0.0</v>
      </c>
      <c r="W2201" s="238">
        <v>0.0</v>
      </c>
      <c r="X2201" s="235" t="s">
        <v>628</v>
      </c>
      <c r="Z2201" s="244"/>
      <c r="AA2201" s="244"/>
      <c r="AB2201" s="244"/>
      <c r="AC2201" s="235" t="s">
        <v>2639</v>
      </c>
      <c r="AD2201" s="235" t="s">
        <v>630</v>
      </c>
      <c r="AE2201" s="238">
        <v>201310.0</v>
      </c>
      <c r="AF2201" s="235" t="s">
        <v>631</v>
      </c>
      <c r="AG2201" s="244"/>
      <c r="AH2201" s="244"/>
      <c r="AI2201" s="245"/>
      <c r="AJ2201" s="245"/>
      <c r="AK2201" s="245"/>
      <c r="AL2201" s="245"/>
      <c r="AM2201" s="244"/>
      <c r="AN2201" s="244"/>
      <c r="AO2201" s="238">
        <v>0.0</v>
      </c>
      <c r="AP2201" s="238">
        <v>-38.1</v>
      </c>
      <c r="AQ2201" s="235" t="s">
        <v>632</v>
      </c>
      <c r="AR2201" s="243">
        <v>2.02E11</v>
      </c>
      <c r="AS2201" s="235" t="s">
        <v>15064</v>
      </c>
      <c r="AT2201" s="235" t="s">
        <v>11</v>
      </c>
      <c r="AU2201" s="235" t="s">
        <v>634</v>
      </c>
      <c r="AV2201" s="246" t="s">
        <v>635</v>
      </c>
      <c r="AW2201" s="242"/>
      <c r="AX2201" s="242"/>
      <c r="AY2201" s="231"/>
      <c r="AZ2201" s="231"/>
      <c r="BA2201" s="227"/>
      <c r="BB2201" s="231"/>
      <c r="BC2201" s="227"/>
      <c r="BD2201" s="227"/>
      <c r="BE2201" s="227"/>
      <c r="BF2201" s="227"/>
    </row>
    <row r="2202">
      <c r="A2202" s="235" t="s">
        <v>16964</v>
      </c>
      <c r="C2202" s="235" t="s">
        <v>16965</v>
      </c>
      <c r="D2202" s="235" t="s">
        <v>16966</v>
      </c>
      <c r="E2202" s="243">
        <v>6.54E13</v>
      </c>
      <c r="F2202" s="245"/>
      <c r="G2202" s="235" t="s">
        <v>16967</v>
      </c>
      <c r="H2202" s="235" t="s">
        <v>16968</v>
      </c>
      <c r="I2202" s="235" t="s">
        <v>16968</v>
      </c>
      <c r="J2202" s="235" t="s">
        <v>16969</v>
      </c>
      <c r="K2202" s="235" t="s">
        <v>16970</v>
      </c>
      <c r="N2202" s="235" t="s">
        <v>22</v>
      </c>
      <c r="O2202" s="235" t="s">
        <v>729</v>
      </c>
      <c r="P2202" s="238">
        <v>1.0</v>
      </c>
      <c r="Q2202" s="235" t="s">
        <v>627</v>
      </c>
      <c r="R2202" s="238">
        <v>360.95</v>
      </c>
      <c r="S2202" s="238">
        <v>18.05</v>
      </c>
      <c r="T2202" s="238">
        <v>38.1</v>
      </c>
      <c r="U2202" s="238">
        <v>1.9</v>
      </c>
      <c r="V2202" s="238">
        <v>0.0</v>
      </c>
      <c r="W2202" s="238">
        <v>0.0</v>
      </c>
      <c r="X2202" s="235" t="s">
        <v>628</v>
      </c>
      <c r="Z2202" s="244"/>
      <c r="AA2202" s="244"/>
      <c r="AB2202" s="244"/>
      <c r="AC2202" s="235" t="s">
        <v>10769</v>
      </c>
      <c r="AD2202" s="235" t="s">
        <v>845</v>
      </c>
      <c r="AE2202" s="238">
        <v>422101.0</v>
      </c>
      <c r="AF2202" s="235" t="s">
        <v>631</v>
      </c>
      <c r="AG2202" s="244"/>
      <c r="AH2202" s="244"/>
      <c r="AI2202" s="245"/>
      <c r="AJ2202" s="245"/>
      <c r="AK2202" s="245"/>
      <c r="AL2202" s="245"/>
      <c r="AM2202" s="244"/>
      <c r="AN2202" s="244"/>
      <c r="AO2202" s="238">
        <v>0.0</v>
      </c>
      <c r="AP2202" s="238">
        <v>-38.1</v>
      </c>
      <c r="AQ2202" s="235" t="s">
        <v>632</v>
      </c>
      <c r="AR2202" s="243">
        <v>3.71E11</v>
      </c>
      <c r="AS2202" s="235" t="s">
        <v>12693</v>
      </c>
      <c r="AT2202" s="235" t="s">
        <v>9</v>
      </c>
      <c r="AU2202" s="235" t="s">
        <v>634</v>
      </c>
      <c r="AV2202" s="246" t="s">
        <v>635</v>
      </c>
      <c r="AW2202" s="242"/>
      <c r="AX2202" s="242"/>
      <c r="AY2202" s="231"/>
      <c r="AZ2202" s="231"/>
      <c r="BA2202" s="227"/>
      <c r="BB2202" s="231"/>
      <c r="BC2202" s="227"/>
      <c r="BD2202" s="227"/>
      <c r="BE2202" s="227"/>
      <c r="BF2202" s="227"/>
    </row>
    <row r="2203">
      <c r="A2203" s="235" t="s">
        <v>16971</v>
      </c>
      <c r="C2203" s="235" t="s">
        <v>16972</v>
      </c>
      <c r="D2203" s="235" t="s">
        <v>16973</v>
      </c>
      <c r="E2203" s="243">
        <v>6.53E13</v>
      </c>
      <c r="F2203" s="245"/>
      <c r="G2203" s="235" t="s">
        <v>16974</v>
      </c>
      <c r="H2203" s="235" t="s">
        <v>16975</v>
      </c>
      <c r="I2203" s="235" t="s">
        <v>16975</v>
      </c>
      <c r="J2203" s="235" t="s">
        <v>16976</v>
      </c>
      <c r="K2203" s="235" t="s">
        <v>16977</v>
      </c>
      <c r="N2203" s="235" t="s">
        <v>71</v>
      </c>
      <c r="O2203" s="235" t="s">
        <v>240</v>
      </c>
      <c r="P2203" s="238">
        <v>1.0</v>
      </c>
      <c r="Q2203" s="235" t="s">
        <v>627</v>
      </c>
      <c r="R2203" s="238">
        <v>261.9</v>
      </c>
      <c r="S2203" s="238">
        <v>13.1</v>
      </c>
      <c r="T2203" s="238">
        <v>75.24</v>
      </c>
      <c r="U2203" s="238">
        <v>3.76</v>
      </c>
      <c r="V2203" s="238">
        <v>0.0</v>
      </c>
      <c r="W2203" s="238">
        <v>0.0</v>
      </c>
      <c r="X2203" s="235" t="s">
        <v>628</v>
      </c>
      <c r="Z2203" s="244"/>
      <c r="AA2203" s="244"/>
      <c r="AB2203" s="244"/>
      <c r="AC2203" s="235" t="s">
        <v>15649</v>
      </c>
      <c r="AD2203" s="235" t="s">
        <v>666</v>
      </c>
      <c r="AE2203" s="238">
        <v>635126.0</v>
      </c>
      <c r="AF2203" s="235" t="s">
        <v>631</v>
      </c>
      <c r="AG2203" s="244"/>
      <c r="AH2203" s="244"/>
      <c r="AI2203" s="245"/>
      <c r="AJ2203" s="245"/>
      <c r="AK2203" s="245"/>
      <c r="AL2203" s="245"/>
      <c r="AM2203" s="244"/>
      <c r="AN2203" s="244"/>
      <c r="AO2203" s="238">
        <v>0.0</v>
      </c>
      <c r="AP2203" s="238">
        <v>0.0</v>
      </c>
      <c r="AQ2203" s="235" t="s">
        <v>632</v>
      </c>
      <c r="AR2203" s="243">
        <v>3.71E11</v>
      </c>
      <c r="AS2203" s="235" t="s">
        <v>15064</v>
      </c>
      <c r="AT2203" s="235" t="s">
        <v>11</v>
      </c>
      <c r="AU2203" s="235" t="s">
        <v>634</v>
      </c>
      <c r="AV2203" s="246" t="s">
        <v>635</v>
      </c>
      <c r="AW2203" s="242"/>
      <c r="AX2203" s="242"/>
      <c r="AY2203" s="231"/>
      <c r="AZ2203" s="231"/>
      <c r="BA2203" s="227"/>
      <c r="BB2203" s="231"/>
      <c r="BC2203" s="227"/>
      <c r="BD2203" s="227"/>
      <c r="BE2203" s="227"/>
      <c r="BF2203" s="227"/>
    </row>
    <row r="2204">
      <c r="A2204" s="235" t="s">
        <v>16978</v>
      </c>
      <c r="C2204" s="235" t="s">
        <v>16979</v>
      </c>
      <c r="D2204" s="235" t="s">
        <v>16980</v>
      </c>
      <c r="E2204" s="243">
        <v>6.53E13</v>
      </c>
      <c r="F2204" s="245"/>
      <c r="G2204" s="235" t="s">
        <v>16981</v>
      </c>
      <c r="H2204" s="235" t="s">
        <v>16982</v>
      </c>
      <c r="I2204" s="235" t="s">
        <v>16983</v>
      </c>
      <c r="J2204" s="235" t="s">
        <v>16984</v>
      </c>
      <c r="K2204" s="235" t="s">
        <v>16985</v>
      </c>
      <c r="N2204" s="235" t="s">
        <v>130</v>
      </c>
      <c r="O2204" s="235" t="s">
        <v>707</v>
      </c>
      <c r="P2204" s="238">
        <v>1.0</v>
      </c>
      <c r="Q2204" s="235" t="s">
        <v>627</v>
      </c>
      <c r="R2204" s="238">
        <v>242.86</v>
      </c>
      <c r="S2204" s="238">
        <v>12.14</v>
      </c>
      <c r="T2204" s="238">
        <v>0.0</v>
      </c>
      <c r="U2204" s="238">
        <v>0.0</v>
      </c>
      <c r="V2204" s="238">
        <v>0.0</v>
      </c>
      <c r="W2204" s="238">
        <v>0.0</v>
      </c>
      <c r="X2204" s="235" t="s">
        <v>628</v>
      </c>
      <c r="Z2204" s="244"/>
      <c r="AA2204" s="244"/>
      <c r="AB2204" s="244"/>
      <c r="AC2204" s="235" t="s">
        <v>1058</v>
      </c>
      <c r="AD2204" s="235" t="s">
        <v>845</v>
      </c>
      <c r="AE2204" s="238">
        <v>400101.0</v>
      </c>
      <c r="AF2204" s="235" t="s">
        <v>631</v>
      </c>
      <c r="AG2204" s="244"/>
      <c r="AH2204" s="244"/>
      <c r="AI2204" s="245"/>
      <c r="AJ2204" s="245"/>
      <c r="AK2204" s="245"/>
      <c r="AL2204" s="245"/>
      <c r="AM2204" s="244"/>
      <c r="AN2204" s="244"/>
      <c r="AO2204" s="238">
        <v>0.0</v>
      </c>
      <c r="AP2204" s="238">
        <v>0.0</v>
      </c>
      <c r="AQ2204" s="235" t="s">
        <v>632</v>
      </c>
      <c r="AR2204" s="243">
        <v>3.71E11</v>
      </c>
      <c r="AS2204" s="235" t="s">
        <v>15064</v>
      </c>
      <c r="AT2204" s="235" t="s">
        <v>17</v>
      </c>
      <c r="AU2204" s="235" t="s">
        <v>634</v>
      </c>
      <c r="AV2204" s="246" t="s">
        <v>635</v>
      </c>
      <c r="AW2204" s="242"/>
      <c r="AX2204" s="242"/>
      <c r="AY2204" s="231"/>
      <c r="AZ2204" s="231"/>
      <c r="BA2204" s="227"/>
      <c r="BB2204" s="231"/>
      <c r="BC2204" s="227"/>
      <c r="BD2204" s="227"/>
      <c r="BE2204" s="227"/>
      <c r="BF2204" s="227"/>
    </row>
    <row r="2205">
      <c r="A2205" s="235" t="s">
        <v>16986</v>
      </c>
      <c r="C2205" s="235" t="s">
        <v>16987</v>
      </c>
      <c r="D2205" s="235" t="s">
        <v>16988</v>
      </c>
      <c r="E2205" s="243">
        <v>6.53E13</v>
      </c>
      <c r="F2205" s="245"/>
      <c r="G2205" s="235" t="s">
        <v>16989</v>
      </c>
      <c r="H2205" s="235" t="s">
        <v>16990</v>
      </c>
      <c r="I2205" s="235" t="s">
        <v>16991</v>
      </c>
      <c r="J2205" s="235" t="s">
        <v>16992</v>
      </c>
      <c r="K2205" s="235" t="s">
        <v>16993</v>
      </c>
      <c r="N2205" s="235" t="s">
        <v>47</v>
      </c>
      <c r="O2205" s="235" t="s">
        <v>270</v>
      </c>
      <c r="P2205" s="238">
        <v>1.0</v>
      </c>
      <c r="Q2205" s="235" t="s">
        <v>627</v>
      </c>
      <c r="R2205" s="238">
        <v>270.48</v>
      </c>
      <c r="S2205" s="238">
        <v>13.25</v>
      </c>
      <c r="T2205" s="238">
        <v>0.0</v>
      </c>
      <c r="U2205" s="238">
        <v>0.0</v>
      </c>
      <c r="V2205" s="238">
        <v>0.0</v>
      </c>
      <c r="W2205" s="238">
        <v>0.0</v>
      </c>
      <c r="X2205" s="235" t="s">
        <v>628</v>
      </c>
      <c r="Z2205" s="244"/>
      <c r="AA2205" s="244"/>
      <c r="AB2205" s="244"/>
      <c r="AC2205" s="235" t="s">
        <v>687</v>
      </c>
      <c r="AD2205" s="235" t="s">
        <v>666</v>
      </c>
      <c r="AE2205" s="238">
        <v>600069.0</v>
      </c>
      <c r="AF2205" s="235" t="s">
        <v>631</v>
      </c>
      <c r="AG2205" s="244"/>
      <c r="AH2205" s="244"/>
      <c r="AI2205" s="245"/>
      <c r="AJ2205" s="245"/>
      <c r="AK2205" s="245"/>
      <c r="AL2205" s="245"/>
      <c r="AM2205" s="244"/>
      <c r="AN2205" s="244"/>
      <c r="AO2205" s="238">
        <v>-5.41</v>
      </c>
      <c r="AP2205" s="238">
        <v>0.0</v>
      </c>
      <c r="AQ2205" s="235" t="s">
        <v>1356</v>
      </c>
      <c r="AR2205" s="247" t="s">
        <v>16994</v>
      </c>
      <c r="AS2205" s="235" t="s">
        <v>3284</v>
      </c>
      <c r="AT2205" s="235" t="s">
        <v>9</v>
      </c>
      <c r="AU2205" s="235" t="s">
        <v>634</v>
      </c>
      <c r="AV2205" s="246" t="s">
        <v>635</v>
      </c>
      <c r="AW2205" s="242"/>
      <c r="AX2205" s="242"/>
      <c r="AY2205" s="231"/>
      <c r="AZ2205" s="231"/>
      <c r="BA2205" s="227"/>
      <c r="BB2205" s="231"/>
      <c r="BC2205" s="227"/>
      <c r="BD2205" s="227"/>
      <c r="BE2205" s="227"/>
      <c r="BF2205" s="227"/>
    </row>
    <row r="2206">
      <c r="A2206" s="235" t="s">
        <v>16995</v>
      </c>
      <c r="C2206" s="235" t="s">
        <v>16996</v>
      </c>
      <c r="D2206" s="235" t="s">
        <v>16997</v>
      </c>
      <c r="E2206" s="243">
        <v>6.53E13</v>
      </c>
      <c r="F2206" s="245"/>
      <c r="G2206" s="235" t="s">
        <v>16998</v>
      </c>
      <c r="H2206" s="235" t="s">
        <v>16999</v>
      </c>
      <c r="I2206" s="235" t="s">
        <v>16999</v>
      </c>
      <c r="J2206" s="235" t="s">
        <v>17000</v>
      </c>
      <c r="K2206" s="235" t="s">
        <v>17001</v>
      </c>
      <c r="N2206" s="235" t="s">
        <v>50</v>
      </c>
      <c r="O2206" s="235" t="s">
        <v>367</v>
      </c>
      <c r="P2206" s="238">
        <v>1.0</v>
      </c>
      <c r="Q2206" s="235" t="s">
        <v>627</v>
      </c>
      <c r="R2206" s="238">
        <v>270.48</v>
      </c>
      <c r="S2206" s="238">
        <v>13.52</v>
      </c>
      <c r="T2206" s="238">
        <v>38.1</v>
      </c>
      <c r="U2206" s="238">
        <v>1.9</v>
      </c>
      <c r="V2206" s="238">
        <v>0.0</v>
      </c>
      <c r="W2206" s="238">
        <v>0.0</v>
      </c>
      <c r="X2206" s="235" t="s">
        <v>628</v>
      </c>
      <c r="Z2206" s="244"/>
      <c r="AA2206" s="244"/>
      <c r="AB2206" s="244"/>
      <c r="AC2206" s="235" t="s">
        <v>3449</v>
      </c>
      <c r="AD2206" s="235" t="s">
        <v>833</v>
      </c>
      <c r="AE2206" s="238">
        <v>533103.0</v>
      </c>
      <c r="AF2206" s="235" t="s">
        <v>631</v>
      </c>
      <c r="AG2206" s="244"/>
      <c r="AH2206" s="244"/>
      <c r="AI2206" s="245"/>
      <c r="AJ2206" s="245"/>
      <c r="AK2206" s="245"/>
      <c r="AL2206" s="245"/>
      <c r="AM2206" s="244"/>
      <c r="AN2206" s="244"/>
      <c r="AO2206" s="238">
        <v>0.0</v>
      </c>
      <c r="AP2206" s="238">
        <v>-38.1</v>
      </c>
      <c r="AQ2206" s="235" t="s">
        <v>632</v>
      </c>
      <c r="AR2206" s="243">
        <v>3.71E11</v>
      </c>
      <c r="AS2206" s="235" t="s">
        <v>12693</v>
      </c>
      <c r="AT2206" s="235" t="s">
        <v>11</v>
      </c>
      <c r="AU2206" s="235" t="s">
        <v>634</v>
      </c>
      <c r="AV2206" s="246" t="s">
        <v>635</v>
      </c>
      <c r="AW2206" s="242"/>
      <c r="AX2206" s="242"/>
      <c r="AY2206" s="231"/>
      <c r="AZ2206" s="231"/>
      <c r="BA2206" s="227"/>
      <c r="BB2206" s="231"/>
      <c r="BC2206" s="227"/>
      <c r="BD2206" s="227"/>
      <c r="BE2206" s="227"/>
      <c r="BF2206" s="227"/>
    </row>
    <row r="2207">
      <c r="A2207" s="235" t="s">
        <v>17002</v>
      </c>
      <c r="C2207" s="235" t="s">
        <v>17003</v>
      </c>
      <c r="D2207" s="235" t="s">
        <v>17004</v>
      </c>
      <c r="E2207" s="243">
        <v>6.53E13</v>
      </c>
      <c r="F2207" s="245"/>
      <c r="G2207" s="235" t="s">
        <v>17005</v>
      </c>
      <c r="H2207" s="235" t="s">
        <v>17006</v>
      </c>
      <c r="I2207" s="235" t="s">
        <v>17006</v>
      </c>
      <c r="J2207" s="235" t="s">
        <v>17007</v>
      </c>
      <c r="K2207" s="235" t="s">
        <v>17008</v>
      </c>
      <c r="N2207" s="235" t="s">
        <v>989</v>
      </c>
      <c r="O2207" s="235" t="s">
        <v>990</v>
      </c>
      <c r="P2207" s="238">
        <v>1.0</v>
      </c>
      <c r="Q2207" s="235" t="s">
        <v>627</v>
      </c>
      <c r="R2207" s="238">
        <v>256.19</v>
      </c>
      <c r="S2207" s="238">
        <v>12.81</v>
      </c>
      <c r="T2207" s="238">
        <v>0.0</v>
      </c>
      <c r="U2207" s="238">
        <v>0.0</v>
      </c>
      <c r="V2207" s="238">
        <v>0.0</v>
      </c>
      <c r="W2207" s="238">
        <v>0.0</v>
      </c>
      <c r="X2207" s="235" t="s">
        <v>628</v>
      </c>
      <c r="Z2207" s="244"/>
      <c r="AA2207" s="244"/>
      <c r="AB2207" s="244"/>
      <c r="AC2207" s="235" t="s">
        <v>17009</v>
      </c>
      <c r="AD2207" s="235" t="s">
        <v>1151</v>
      </c>
      <c r="AE2207" s="238">
        <v>722173.0</v>
      </c>
      <c r="AF2207" s="235" t="s">
        <v>631</v>
      </c>
      <c r="AG2207" s="244"/>
      <c r="AH2207" s="244"/>
      <c r="AI2207" s="245"/>
      <c r="AJ2207" s="245"/>
      <c r="AK2207" s="245"/>
      <c r="AL2207" s="245"/>
      <c r="AM2207" s="244"/>
      <c r="AN2207" s="244"/>
      <c r="AO2207" s="238">
        <v>0.0</v>
      </c>
      <c r="AP2207" s="238">
        <v>0.0</v>
      </c>
      <c r="AQ2207" s="235" t="s">
        <v>1356</v>
      </c>
      <c r="AR2207" s="247" t="s">
        <v>17010</v>
      </c>
      <c r="AS2207" s="235" t="s">
        <v>6164</v>
      </c>
      <c r="AT2207" s="235" t="s">
        <v>13</v>
      </c>
      <c r="AU2207" s="235" t="s">
        <v>634</v>
      </c>
      <c r="AV2207" s="246" t="s">
        <v>635</v>
      </c>
      <c r="AW2207" s="242"/>
      <c r="AX2207" s="242"/>
      <c r="AY2207" s="231"/>
      <c r="AZ2207" s="231"/>
      <c r="BA2207" s="227"/>
      <c r="BB2207" s="231"/>
      <c r="BC2207" s="227"/>
      <c r="BD2207" s="227"/>
      <c r="BE2207" s="227"/>
      <c r="BF2207" s="227"/>
    </row>
    <row r="2208">
      <c r="A2208" s="235" t="s">
        <v>17011</v>
      </c>
      <c r="C2208" s="235" t="s">
        <v>17012</v>
      </c>
      <c r="D2208" s="235" t="s">
        <v>17013</v>
      </c>
      <c r="E2208" s="243">
        <v>6.54E13</v>
      </c>
      <c r="F2208" s="245"/>
      <c r="G2208" s="235" t="s">
        <v>17014</v>
      </c>
      <c r="H2208" s="235" t="s">
        <v>17015</v>
      </c>
      <c r="I2208" s="235" t="s">
        <v>17015</v>
      </c>
      <c r="J2208" s="235" t="s">
        <v>17016</v>
      </c>
      <c r="K2208" s="235" t="s">
        <v>17017</v>
      </c>
      <c r="N2208" s="235" t="s">
        <v>726</v>
      </c>
      <c r="O2208" s="235" t="s">
        <v>727</v>
      </c>
      <c r="P2208" s="238">
        <v>1.0</v>
      </c>
      <c r="Q2208" s="235" t="s">
        <v>627</v>
      </c>
      <c r="R2208" s="238">
        <v>284.76</v>
      </c>
      <c r="S2208" s="238">
        <v>13.96</v>
      </c>
      <c r="T2208" s="238">
        <v>38.1</v>
      </c>
      <c r="U2208" s="238">
        <v>1.9</v>
      </c>
      <c r="V2208" s="238">
        <v>0.0</v>
      </c>
      <c r="W2208" s="238">
        <v>0.0</v>
      </c>
      <c r="X2208" s="235" t="s">
        <v>628</v>
      </c>
      <c r="Z2208" s="244"/>
      <c r="AA2208" s="244"/>
      <c r="AB2208" s="244"/>
      <c r="AC2208" s="235" t="s">
        <v>795</v>
      </c>
      <c r="AD2208" s="235" t="s">
        <v>796</v>
      </c>
      <c r="AE2208" s="238">
        <v>110059.0</v>
      </c>
      <c r="AF2208" s="235" t="s">
        <v>631</v>
      </c>
      <c r="AG2208" s="244"/>
      <c r="AH2208" s="244"/>
      <c r="AI2208" s="245"/>
      <c r="AJ2208" s="245"/>
      <c r="AK2208" s="245"/>
      <c r="AL2208" s="245"/>
      <c r="AM2208" s="244"/>
      <c r="AN2208" s="244"/>
      <c r="AO2208" s="238">
        <v>-5.7</v>
      </c>
      <c r="AP2208" s="238">
        <v>-38.1</v>
      </c>
      <c r="AQ2208" s="235" t="s">
        <v>632</v>
      </c>
      <c r="AR2208" s="243">
        <v>2.02E11</v>
      </c>
      <c r="AS2208" s="235" t="s">
        <v>15064</v>
      </c>
      <c r="AT2208" s="235" t="s">
        <v>11</v>
      </c>
      <c r="AU2208" s="235" t="s">
        <v>634</v>
      </c>
      <c r="AV2208" s="246" t="s">
        <v>635</v>
      </c>
      <c r="AW2208" s="242"/>
      <c r="AX2208" s="242"/>
      <c r="AY2208" s="231"/>
      <c r="AZ2208" s="231"/>
      <c r="BA2208" s="227"/>
      <c r="BB2208" s="231"/>
      <c r="BC2208" s="227"/>
      <c r="BD2208" s="227"/>
      <c r="BE2208" s="227"/>
      <c r="BF2208" s="227"/>
    </row>
    <row r="2209">
      <c r="A2209" s="235" t="s">
        <v>17018</v>
      </c>
      <c r="C2209" s="235" t="s">
        <v>17019</v>
      </c>
      <c r="D2209" s="235" t="s">
        <v>17020</v>
      </c>
      <c r="E2209" s="243">
        <v>6.53E13</v>
      </c>
      <c r="F2209" s="245"/>
      <c r="G2209" s="235" t="s">
        <v>17021</v>
      </c>
      <c r="H2209" s="235" t="s">
        <v>17022</v>
      </c>
      <c r="I2209" s="235" t="s">
        <v>17023</v>
      </c>
      <c r="J2209" s="235" t="s">
        <v>17024</v>
      </c>
      <c r="K2209" s="235" t="s">
        <v>17025</v>
      </c>
      <c r="N2209" s="235" t="s">
        <v>145</v>
      </c>
      <c r="O2209" s="235" t="s">
        <v>370</v>
      </c>
      <c r="P2209" s="238">
        <v>1.0</v>
      </c>
      <c r="Q2209" s="235" t="s">
        <v>627</v>
      </c>
      <c r="R2209" s="238">
        <v>1703.81</v>
      </c>
      <c r="S2209" s="238">
        <v>85.19</v>
      </c>
      <c r="T2209" s="238">
        <v>38.1</v>
      </c>
      <c r="U2209" s="238">
        <v>1.9</v>
      </c>
      <c r="V2209" s="238">
        <v>0.0</v>
      </c>
      <c r="W2209" s="238">
        <v>0.0</v>
      </c>
      <c r="X2209" s="235" t="s">
        <v>628</v>
      </c>
      <c r="Z2209" s="244"/>
      <c r="AA2209" s="244"/>
      <c r="AB2209" s="244"/>
      <c r="AC2209" s="235" t="s">
        <v>1237</v>
      </c>
      <c r="AD2209" s="235" t="s">
        <v>917</v>
      </c>
      <c r="AE2209" s="238">
        <v>305004.0</v>
      </c>
      <c r="AF2209" s="235" t="s">
        <v>631</v>
      </c>
      <c r="AG2209" s="244"/>
      <c r="AH2209" s="244"/>
      <c r="AI2209" s="245"/>
      <c r="AJ2209" s="245"/>
      <c r="AK2209" s="245"/>
      <c r="AL2209" s="245"/>
      <c r="AM2209" s="244"/>
      <c r="AN2209" s="244"/>
      <c r="AO2209" s="238">
        <v>0.0</v>
      </c>
      <c r="AP2209" s="238">
        <v>-38.1</v>
      </c>
      <c r="AQ2209" s="235" t="s">
        <v>632</v>
      </c>
      <c r="AR2209" s="243">
        <v>3.71E11</v>
      </c>
      <c r="AS2209" s="235" t="s">
        <v>13822</v>
      </c>
      <c r="AT2209" s="235" t="s">
        <v>14</v>
      </c>
      <c r="AU2209" s="235" t="s">
        <v>634</v>
      </c>
      <c r="AV2209" s="246" t="s">
        <v>635</v>
      </c>
      <c r="AW2209" s="242"/>
      <c r="AX2209" s="242"/>
      <c r="AY2209" s="231"/>
      <c r="AZ2209" s="231"/>
      <c r="BA2209" s="227"/>
      <c r="BB2209" s="231"/>
      <c r="BC2209" s="227"/>
      <c r="BD2209" s="227"/>
      <c r="BE2209" s="227"/>
      <c r="BF2209" s="227"/>
    </row>
    <row r="2210">
      <c r="A2210" s="235" t="s">
        <v>17026</v>
      </c>
      <c r="C2210" s="235" t="s">
        <v>17027</v>
      </c>
      <c r="D2210" s="235" t="s">
        <v>17028</v>
      </c>
      <c r="E2210" s="243">
        <v>6.53E13</v>
      </c>
      <c r="F2210" s="245"/>
      <c r="G2210" s="235" t="s">
        <v>17029</v>
      </c>
      <c r="H2210" s="235" t="s">
        <v>17030</v>
      </c>
      <c r="I2210" s="235" t="s">
        <v>17030</v>
      </c>
      <c r="J2210" s="235" t="s">
        <v>17031</v>
      </c>
      <c r="K2210" s="235" t="s">
        <v>17032</v>
      </c>
      <c r="N2210" s="235" t="s">
        <v>143</v>
      </c>
      <c r="O2210" s="235" t="s">
        <v>220</v>
      </c>
      <c r="P2210" s="238">
        <v>1.0</v>
      </c>
      <c r="Q2210" s="235" t="s">
        <v>627</v>
      </c>
      <c r="R2210" s="238">
        <v>246.66</v>
      </c>
      <c r="S2210" s="238">
        <v>12.34</v>
      </c>
      <c r="T2210" s="238">
        <v>38.1</v>
      </c>
      <c r="U2210" s="238">
        <v>1.9</v>
      </c>
      <c r="V2210" s="238">
        <v>0.0</v>
      </c>
      <c r="W2210" s="238">
        <v>0.0</v>
      </c>
      <c r="X2210" s="235" t="s">
        <v>628</v>
      </c>
      <c r="Z2210" s="244"/>
      <c r="AA2210" s="244"/>
      <c r="AB2210" s="244"/>
      <c r="AC2210" s="235" t="s">
        <v>14260</v>
      </c>
      <c r="AD2210" s="235" t="s">
        <v>1077</v>
      </c>
      <c r="AE2210" s="238">
        <v>363001.0</v>
      </c>
      <c r="AF2210" s="235" t="s">
        <v>631</v>
      </c>
      <c r="AG2210" s="244"/>
      <c r="AH2210" s="244"/>
      <c r="AI2210" s="245"/>
      <c r="AJ2210" s="245"/>
      <c r="AK2210" s="245"/>
      <c r="AL2210" s="245"/>
      <c r="AM2210" s="244"/>
      <c r="AN2210" s="244"/>
      <c r="AO2210" s="238">
        <v>0.0</v>
      </c>
      <c r="AP2210" s="238">
        <v>0.0</v>
      </c>
      <c r="AQ2210" s="235" t="s">
        <v>632</v>
      </c>
      <c r="AR2210" s="243">
        <v>1.68E11</v>
      </c>
      <c r="AS2210" s="235" t="s">
        <v>15064</v>
      </c>
      <c r="AT2210" s="235" t="s">
        <v>5</v>
      </c>
      <c r="AU2210" s="235" t="s">
        <v>634</v>
      </c>
      <c r="AV2210" s="246" t="s">
        <v>635</v>
      </c>
      <c r="AW2210" s="242"/>
      <c r="AX2210" s="242"/>
      <c r="AY2210" s="231"/>
      <c r="AZ2210" s="231"/>
      <c r="BA2210" s="227"/>
      <c r="BB2210" s="231"/>
      <c r="BC2210" s="227"/>
      <c r="BD2210" s="227"/>
      <c r="BE2210" s="227"/>
      <c r="BF2210" s="227"/>
    </row>
    <row r="2211">
      <c r="A2211" s="235" t="s">
        <v>17033</v>
      </c>
      <c r="C2211" s="235" t="s">
        <v>17034</v>
      </c>
      <c r="D2211" s="235" t="s">
        <v>17035</v>
      </c>
      <c r="E2211" s="243">
        <v>6.54E13</v>
      </c>
      <c r="F2211" s="245"/>
      <c r="G2211" s="235" t="s">
        <v>17036</v>
      </c>
      <c r="H2211" s="235" t="s">
        <v>17037</v>
      </c>
      <c r="I2211" s="235" t="s">
        <v>17037</v>
      </c>
      <c r="J2211" s="235" t="s">
        <v>17038</v>
      </c>
      <c r="K2211" s="235" t="s">
        <v>17039</v>
      </c>
      <c r="N2211" s="235" t="s">
        <v>139</v>
      </c>
      <c r="O2211" s="235" t="s">
        <v>2091</v>
      </c>
      <c r="P2211" s="238">
        <v>1.0</v>
      </c>
      <c r="Q2211" s="235" t="s">
        <v>627</v>
      </c>
      <c r="R2211" s="238">
        <v>246.67</v>
      </c>
      <c r="S2211" s="238">
        <v>12.33</v>
      </c>
      <c r="T2211" s="238">
        <v>38.1</v>
      </c>
      <c r="U2211" s="238">
        <v>1.9</v>
      </c>
      <c r="V2211" s="238">
        <v>0.0</v>
      </c>
      <c r="W2211" s="238">
        <v>0.0</v>
      </c>
      <c r="X2211" s="235" t="s">
        <v>628</v>
      </c>
      <c r="Z2211" s="244"/>
      <c r="AA2211" s="244"/>
      <c r="AB2211" s="244"/>
      <c r="AC2211" s="235" t="s">
        <v>678</v>
      </c>
      <c r="AD2211" s="235" t="s">
        <v>679</v>
      </c>
      <c r="AE2211" s="238">
        <v>560062.0</v>
      </c>
      <c r="AF2211" s="235" t="s">
        <v>631</v>
      </c>
      <c r="AG2211" s="244"/>
      <c r="AH2211" s="244"/>
      <c r="AI2211" s="245"/>
      <c r="AJ2211" s="245"/>
      <c r="AK2211" s="245"/>
      <c r="AL2211" s="245"/>
      <c r="AM2211" s="244"/>
      <c r="AN2211" s="244"/>
      <c r="AO2211" s="238">
        <v>0.0</v>
      </c>
      <c r="AP2211" s="238">
        <v>-38.1</v>
      </c>
      <c r="AQ2211" s="235" t="s">
        <v>632</v>
      </c>
      <c r="AR2211" s="243">
        <v>3.71E11</v>
      </c>
      <c r="AS2211" s="235" t="s">
        <v>13822</v>
      </c>
      <c r="AT2211" s="235" t="s">
        <v>155</v>
      </c>
      <c r="AU2211" s="235" t="s">
        <v>634</v>
      </c>
      <c r="AV2211" s="246" t="s">
        <v>635</v>
      </c>
      <c r="AW2211" s="242"/>
      <c r="AX2211" s="242"/>
      <c r="AY2211" s="231"/>
      <c r="AZ2211" s="231"/>
      <c r="BA2211" s="227"/>
      <c r="BB2211" s="231"/>
      <c r="BC2211" s="227"/>
      <c r="BD2211" s="227"/>
      <c r="BE2211" s="227"/>
      <c r="BF2211" s="227"/>
    </row>
    <row r="2212">
      <c r="A2212" s="235" t="s">
        <v>17040</v>
      </c>
      <c r="C2212" s="235" t="s">
        <v>17041</v>
      </c>
      <c r="D2212" s="235" t="s">
        <v>17042</v>
      </c>
      <c r="E2212" s="243">
        <v>6.54E13</v>
      </c>
      <c r="F2212" s="245"/>
      <c r="G2212" s="235" t="s">
        <v>17043</v>
      </c>
      <c r="H2212" s="235" t="s">
        <v>17044</v>
      </c>
      <c r="I2212" s="235" t="s">
        <v>17044</v>
      </c>
      <c r="J2212" s="235" t="s">
        <v>17045</v>
      </c>
      <c r="K2212" s="235" t="s">
        <v>17046</v>
      </c>
      <c r="N2212" s="235" t="s">
        <v>53</v>
      </c>
      <c r="O2212" s="235" t="s">
        <v>512</v>
      </c>
      <c r="P2212" s="238">
        <v>1.0</v>
      </c>
      <c r="Q2212" s="235" t="s">
        <v>627</v>
      </c>
      <c r="R2212" s="238">
        <v>237.14</v>
      </c>
      <c r="S2212" s="238">
        <v>11.86</v>
      </c>
      <c r="T2212" s="238">
        <v>0.0</v>
      </c>
      <c r="U2212" s="238">
        <v>0.0</v>
      </c>
      <c r="V2212" s="238">
        <v>0.0</v>
      </c>
      <c r="W2212" s="238">
        <v>0.0</v>
      </c>
      <c r="X2212" s="235" t="s">
        <v>628</v>
      </c>
      <c r="Z2212" s="244"/>
      <c r="AA2212" s="244"/>
      <c r="AB2212" s="244"/>
      <c r="AC2212" s="235" t="s">
        <v>5100</v>
      </c>
      <c r="AD2212" s="235" t="s">
        <v>666</v>
      </c>
      <c r="AE2212" s="238">
        <v>603202.0</v>
      </c>
      <c r="AF2212" s="235" t="s">
        <v>631</v>
      </c>
      <c r="AG2212" s="244"/>
      <c r="AH2212" s="244"/>
      <c r="AI2212" s="245"/>
      <c r="AJ2212" s="245"/>
      <c r="AK2212" s="245"/>
      <c r="AL2212" s="245"/>
      <c r="AM2212" s="244"/>
      <c r="AN2212" s="244"/>
      <c r="AO2212" s="238">
        <v>0.0</v>
      </c>
      <c r="AP2212" s="238">
        <v>0.0</v>
      </c>
      <c r="AQ2212" s="235" t="s">
        <v>632</v>
      </c>
      <c r="AR2212" s="243">
        <v>3.71E11</v>
      </c>
      <c r="AS2212" s="235" t="s">
        <v>16626</v>
      </c>
      <c r="AT2212" s="235" t="s">
        <v>156</v>
      </c>
      <c r="AU2212" s="235" t="s">
        <v>634</v>
      </c>
      <c r="AV2212" s="246" t="s">
        <v>635</v>
      </c>
      <c r="AW2212" s="242"/>
      <c r="AX2212" s="242"/>
      <c r="AY2212" s="231"/>
      <c r="AZ2212" s="231"/>
      <c r="BA2212" s="227"/>
      <c r="BB2212" s="231"/>
      <c r="BC2212" s="227"/>
      <c r="BD2212" s="227"/>
      <c r="BE2212" s="227"/>
      <c r="BF2212" s="227"/>
    </row>
    <row r="2213">
      <c r="A2213" s="235" t="s">
        <v>17047</v>
      </c>
      <c r="C2213" s="235" t="s">
        <v>17048</v>
      </c>
      <c r="D2213" s="235" t="s">
        <v>17049</v>
      </c>
      <c r="E2213" s="243">
        <v>6.54E13</v>
      </c>
      <c r="F2213" s="245"/>
      <c r="G2213" s="235" t="s">
        <v>17050</v>
      </c>
      <c r="H2213" s="235" t="s">
        <v>17051</v>
      </c>
      <c r="I2213" s="235" t="s">
        <v>17051</v>
      </c>
      <c r="J2213" s="235" t="s">
        <v>17052</v>
      </c>
      <c r="K2213" s="235" t="s">
        <v>17053</v>
      </c>
      <c r="N2213" s="235" t="s">
        <v>92</v>
      </c>
      <c r="O2213" s="235" t="s">
        <v>248</v>
      </c>
      <c r="P2213" s="238">
        <v>1.0</v>
      </c>
      <c r="Q2213" s="235" t="s">
        <v>627</v>
      </c>
      <c r="R2213" s="238">
        <v>270.48</v>
      </c>
      <c r="S2213" s="238">
        <v>13.52</v>
      </c>
      <c r="T2213" s="238">
        <v>38.1</v>
      </c>
      <c r="U2213" s="238">
        <v>1.9</v>
      </c>
      <c r="V2213" s="238">
        <v>0.0</v>
      </c>
      <c r="W2213" s="238">
        <v>0.0</v>
      </c>
      <c r="X2213" s="235" t="s">
        <v>628</v>
      </c>
      <c r="Z2213" s="244"/>
      <c r="AA2213" s="244"/>
      <c r="AB2213" s="244"/>
      <c r="AC2213" s="235" t="s">
        <v>17054</v>
      </c>
      <c r="AD2213" s="235" t="s">
        <v>630</v>
      </c>
      <c r="AE2213" s="238">
        <v>244001.0</v>
      </c>
      <c r="AF2213" s="235" t="s">
        <v>631</v>
      </c>
      <c r="AG2213" s="244"/>
      <c r="AH2213" s="244"/>
      <c r="AI2213" s="245"/>
      <c r="AJ2213" s="245"/>
      <c r="AK2213" s="245"/>
      <c r="AL2213" s="245"/>
      <c r="AM2213" s="244"/>
      <c r="AN2213" s="244"/>
      <c r="AO2213" s="238">
        <v>0.0</v>
      </c>
      <c r="AP2213" s="238">
        <v>-38.1</v>
      </c>
      <c r="AQ2213" s="235" t="s">
        <v>632</v>
      </c>
      <c r="AR2213" s="243">
        <v>3.71E11</v>
      </c>
      <c r="AS2213" s="235" t="s">
        <v>15064</v>
      </c>
      <c r="AT2213" s="235" t="s">
        <v>14</v>
      </c>
      <c r="AU2213" s="235" t="s">
        <v>634</v>
      </c>
      <c r="AV2213" s="246" t="s">
        <v>635</v>
      </c>
      <c r="AW2213" s="242"/>
      <c r="AX2213" s="242"/>
      <c r="AY2213" s="231"/>
      <c r="AZ2213" s="231"/>
      <c r="BA2213" s="227"/>
      <c r="BB2213" s="231"/>
      <c r="BC2213" s="227"/>
      <c r="BD2213" s="227"/>
      <c r="BE2213" s="227"/>
      <c r="BF2213" s="227"/>
    </row>
    <row r="2214">
      <c r="A2214" s="235" t="s">
        <v>17055</v>
      </c>
      <c r="C2214" s="235" t="s">
        <v>17056</v>
      </c>
      <c r="D2214" s="235" t="s">
        <v>17057</v>
      </c>
      <c r="E2214" s="243">
        <v>6.54E13</v>
      </c>
      <c r="F2214" s="245"/>
      <c r="G2214" s="235" t="s">
        <v>17058</v>
      </c>
      <c r="H2214" s="235" t="s">
        <v>17059</v>
      </c>
      <c r="I2214" s="235" t="s">
        <v>17059</v>
      </c>
      <c r="J2214" s="235" t="s">
        <v>17060</v>
      </c>
      <c r="K2214" s="235" t="s">
        <v>17061</v>
      </c>
      <c r="N2214" s="235" t="s">
        <v>127</v>
      </c>
      <c r="O2214" s="235" t="s">
        <v>794</v>
      </c>
      <c r="P2214" s="238">
        <v>1.0</v>
      </c>
      <c r="Q2214" s="235" t="s">
        <v>627</v>
      </c>
      <c r="R2214" s="238">
        <v>246.67</v>
      </c>
      <c r="S2214" s="238">
        <v>12.08</v>
      </c>
      <c r="T2214" s="238">
        <v>0.0</v>
      </c>
      <c r="U2214" s="238">
        <v>0.0</v>
      </c>
      <c r="V2214" s="238">
        <v>0.0</v>
      </c>
      <c r="W2214" s="238">
        <v>0.0</v>
      </c>
      <c r="X2214" s="235" t="s">
        <v>628</v>
      </c>
      <c r="Z2214" s="244"/>
      <c r="AA2214" s="244"/>
      <c r="AB2214" s="244"/>
      <c r="AC2214" s="235" t="s">
        <v>10363</v>
      </c>
      <c r="AD2214" s="235" t="s">
        <v>645</v>
      </c>
      <c r="AE2214" s="238">
        <v>682001.0</v>
      </c>
      <c r="AF2214" s="235" t="s">
        <v>631</v>
      </c>
      <c r="AG2214" s="244"/>
      <c r="AH2214" s="244"/>
      <c r="AI2214" s="245"/>
      <c r="AJ2214" s="245"/>
      <c r="AK2214" s="245"/>
      <c r="AL2214" s="245"/>
      <c r="AM2214" s="244"/>
      <c r="AN2214" s="244"/>
      <c r="AO2214" s="238">
        <v>-4.93</v>
      </c>
      <c r="AP2214" s="238">
        <v>0.0</v>
      </c>
      <c r="AQ2214" s="235" t="s">
        <v>632</v>
      </c>
      <c r="AR2214" s="243">
        <v>1.68E11</v>
      </c>
      <c r="AS2214" s="235" t="s">
        <v>16626</v>
      </c>
      <c r="AT2214" s="235" t="s">
        <v>155</v>
      </c>
      <c r="AU2214" s="235" t="s">
        <v>634</v>
      </c>
      <c r="AV2214" s="246" t="s">
        <v>635</v>
      </c>
      <c r="AW2214" s="242"/>
      <c r="AX2214" s="242"/>
      <c r="AY2214" s="231"/>
      <c r="AZ2214" s="231"/>
      <c r="BA2214" s="227"/>
      <c r="BB2214" s="231"/>
      <c r="BC2214" s="227"/>
      <c r="BD2214" s="227"/>
      <c r="BE2214" s="227"/>
      <c r="BF2214" s="227"/>
    </row>
    <row r="2215">
      <c r="A2215" s="235" t="s">
        <v>17062</v>
      </c>
      <c r="C2215" s="235" t="s">
        <v>17063</v>
      </c>
      <c r="D2215" s="235" t="s">
        <v>17064</v>
      </c>
      <c r="E2215" s="243">
        <v>6.53E13</v>
      </c>
      <c r="F2215" s="245"/>
      <c r="G2215" s="235" t="s">
        <v>17065</v>
      </c>
      <c r="H2215" s="235" t="s">
        <v>17066</v>
      </c>
      <c r="I2215" s="235" t="s">
        <v>17066</v>
      </c>
      <c r="J2215" s="235" t="s">
        <v>17067</v>
      </c>
      <c r="K2215" s="235" t="s">
        <v>17068</v>
      </c>
      <c r="N2215" s="235" t="s">
        <v>85</v>
      </c>
      <c r="O2215" s="235" t="s">
        <v>872</v>
      </c>
      <c r="P2215" s="238">
        <v>1.0</v>
      </c>
      <c r="Q2215" s="235" t="s">
        <v>627</v>
      </c>
      <c r="R2215" s="238">
        <v>270.48</v>
      </c>
      <c r="S2215" s="238">
        <v>13.52</v>
      </c>
      <c r="T2215" s="238">
        <v>38.1</v>
      </c>
      <c r="U2215" s="238">
        <v>1.9</v>
      </c>
      <c r="V2215" s="238">
        <v>0.0</v>
      </c>
      <c r="W2215" s="238">
        <v>0.0</v>
      </c>
      <c r="X2215" s="235" t="s">
        <v>628</v>
      </c>
      <c r="Z2215" s="244"/>
      <c r="AA2215" s="244"/>
      <c r="AB2215" s="244"/>
      <c r="AC2215" s="235" t="s">
        <v>17069</v>
      </c>
      <c r="AD2215" s="235" t="s">
        <v>666</v>
      </c>
      <c r="AE2215" s="238">
        <v>631402.0</v>
      </c>
      <c r="AF2215" s="235" t="s">
        <v>631</v>
      </c>
      <c r="AG2215" s="244"/>
      <c r="AH2215" s="244"/>
      <c r="AI2215" s="245"/>
      <c r="AJ2215" s="245"/>
      <c r="AK2215" s="245"/>
      <c r="AL2215" s="245"/>
      <c r="AM2215" s="244"/>
      <c r="AN2215" s="244"/>
      <c r="AO2215" s="238">
        <v>0.0</v>
      </c>
      <c r="AP2215" s="238">
        <v>-38.1</v>
      </c>
      <c r="AQ2215" s="235" t="s">
        <v>1356</v>
      </c>
      <c r="AR2215" s="247" t="s">
        <v>17070</v>
      </c>
      <c r="AS2215" s="235" t="s">
        <v>7365</v>
      </c>
      <c r="AT2215" s="235" t="s">
        <v>156</v>
      </c>
      <c r="AU2215" s="235" t="s">
        <v>634</v>
      </c>
      <c r="AV2215" s="246" t="s">
        <v>635</v>
      </c>
      <c r="AW2215" s="242"/>
      <c r="AX2215" s="242"/>
      <c r="AY2215" s="231"/>
      <c r="AZ2215" s="231"/>
      <c r="BA2215" s="227"/>
      <c r="BB2215" s="231"/>
      <c r="BC2215" s="227"/>
      <c r="BD2215" s="227"/>
      <c r="BE2215" s="227"/>
      <c r="BF2215" s="227"/>
    </row>
    <row r="2216">
      <c r="A2216" s="235" t="s">
        <v>17071</v>
      </c>
      <c r="C2216" s="235" t="s">
        <v>17072</v>
      </c>
      <c r="D2216" s="235" t="s">
        <v>17073</v>
      </c>
      <c r="E2216" s="243">
        <v>6.54E13</v>
      </c>
      <c r="F2216" s="245"/>
      <c r="G2216" s="235" t="s">
        <v>17074</v>
      </c>
      <c r="H2216" s="235" t="s">
        <v>17075</v>
      </c>
      <c r="I2216" s="235" t="s">
        <v>17075</v>
      </c>
      <c r="J2216" s="235" t="s">
        <v>17076</v>
      </c>
      <c r="K2216" s="235" t="s">
        <v>17077</v>
      </c>
      <c r="N2216" s="235" t="s">
        <v>51</v>
      </c>
      <c r="O2216" s="235" t="s">
        <v>273</v>
      </c>
      <c r="P2216" s="238">
        <v>1.0</v>
      </c>
      <c r="Q2216" s="235" t="s">
        <v>627</v>
      </c>
      <c r="R2216" s="238">
        <v>237.14</v>
      </c>
      <c r="S2216" s="238">
        <v>11.62</v>
      </c>
      <c r="T2216" s="238">
        <v>0.0</v>
      </c>
      <c r="U2216" s="238">
        <v>0.0</v>
      </c>
      <c r="V2216" s="238">
        <v>0.0</v>
      </c>
      <c r="W2216" s="238">
        <v>0.0</v>
      </c>
      <c r="X2216" s="235" t="s">
        <v>628</v>
      </c>
      <c r="Z2216" s="244"/>
      <c r="AA2216" s="244"/>
      <c r="AB2216" s="244"/>
      <c r="AC2216" s="235" t="s">
        <v>3374</v>
      </c>
      <c r="AD2216" s="235" t="s">
        <v>645</v>
      </c>
      <c r="AE2216" s="238">
        <v>695001.0</v>
      </c>
      <c r="AF2216" s="235" t="s">
        <v>631</v>
      </c>
      <c r="AG2216" s="244"/>
      <c r="AH2216" s="244"/>
      <c r="AI2216" s="245"/>
      <c r="AJ2216" s="245"/>
      <c r="AK2216" s="245"/>
      <c r="AL2216" s="245"/>
      <c r="AM2216" s="244"/>
      <c r="AN2216" s="244"/>
      <c r="AO2216" s="238">
        <v>-4.74</v>
      </c>
      <c r="AP2216" s="238">
        <v>0.0</v>
      </c>
      <c r="AQ2216" s="235" t="s">
        <v>632</v>
      </c>
      <c r="AR2216" s="243">
        <v>1.68E11</v>
      </c>
      <c r="AS2216" s="235" t="s">
        <v>13822</v>
      </c>
      <c r="AT2216" s="235" t="s">
        <v>9</v>
      </c>
      <c r="AU2216" s="235" t="s">
        <v>634</v>
      </c>
      <c r="AV2216" s="246" t="s">
        <v>635</v>
      </c>
      <c r="AW2216" s="242"/>
      <c r="AX2216" s="242"/>
      <c r="AY2216" s="231"/>
      <c r="AZ2216" s="231"/>
      <c r="BA2216" s="227"/>
      <c r="BB2216" s="231"/>
      <c r="BC2216" s="227"/>
      <c r="BD2216" s="227"/>
      <c r="BE2216" s="227"/>
      <c r="BF2216" s="227"/>
    </row>
    <row r="2217">
      <c r="A2217" s="235" t="s">
        <v>17078</v>
      </c>
      <c r="C2217" s="235" t="s">
        <v>17079</v>
      </c>
      <c r="D2217" s="235" t="s">
        <v>17080</v>
      </c>
      <c r="E2217" s="243">
        <v>6.54E13</v>
      </c>
      <c r="F2217" s="245"/>
      <c r="G2217" s="235" t="s">
        <v>17081</v>
      </c>
      <c r="H2217" s="235" t="s">
        <v>17082</v>
      </c>
      <c r="I2217" s="235" t="s">
        <v>17082</v>
      </c>
      <c r="J2217" s="235" t="s">
        <v>17083</v>
      </c>
      <c r="K2217" s="235" t="s">
        <v>17084</v>
      </c>
      <c r="N2217" s="235" t="s">
        <v>24</v>
      </c>
      <c r="O2217" s="235" t="s">
        <v>786</v>
      </c>
      <c r="P2217" s="238">
        <v>1.0</v>
      </c>
      <c r="Q2217" s="235" t="s">
        <v>627</v>
      </c>
      <c r="R2217" s="238">
        <v>360.96</v>
      </c>
      <c r="S2217" s="238">
        <v>18.04</v>
      </c>
      <c r="T2217" s="238">
        <v>0.0</v>
      </c>
      <c r="U2217" s="238">
        <v>0.0</v>
      </c>
      <c r="V2217" s="238">
        <v>0.0</v>
      </c>
      <c r="W2217" s="238">
        <v>0.0</v>
      </c>
      <c r="X2217" s="235" t="s">
        <v>628</v>
      </c>
      <c r="Z2217" s="244"/>
      <c r="AA2217" s="244"/>
      <c r="AB2217" s="244"/>
      <c r="AC2217" s="235" t="s">
        <v>2092</v>
      </c>
      <c r="AD2217" s="235" t="s">
        <v>845</v>
      </c>
      <c r="AE2217" s="238">
        <v>411007.0</v>
      </c>
      <c r="AF2217" s="235" t="s">
        <v>631</v>
      </c>
      <c r="AG2217" s="244"/>
      <c r="AH2217" s="244"/>
      <c r="AI2217" s="245"/>
      <c r="AJ2217" s="245"/>
      <c r="AK2217" s="245"/>
      <c r="AL2217" s="245"/>
      <c r="AM2217" s="244"/>
      <c r="AN2217" s="244"/>
      <c r="AO2217" s="238">
        <v>0.0</v>
      </c>
      <c r="AP2217" s="238">
        <v>0.0</v>
      </c>
      <c r="AQ2217" s="235" t="s">
        <v>632</v>
      </c>
      <c r="AR2217" s="243">
        <v>3.71E11</v>
      </c>
      <c r="AS2217" s="235" t="s">
        <v>16626</v>
      </c>
      <c r="AT2217" s="235" t="s">
        <v>546</v>
      </c>
      <c r="AU2217" s="235" t="s">
        <v>634</v>
      </c>
      <c r="AV2217" s="246" t="s">
        <v>635</v>
      </c>
      <c r="AW2217" s="242"/>
      <c r="AX2217" s="242"/>
      <c r="AY2217" s="231"/>
      <c r="AZ2217" s="231"/>
      <c r="BA2217" s="227"/>
      <c r="BB2217" s="231"/>
      <c r="BC2217" s="227"/>
      <c r="BD2217" s="227"/>
      <c r="BE2217" s="227"/>
      <c r="BF2217" s="227"/>
    </row>
    <row r="2218">
      <c r="A2218" s="235" t="s">
        <v>17085</v>
      </c>
      <c r="C2218" s="235" t="s">
        <v>17086</v>
      </c>
      <c r="D2218" s="235" t="s">
        <v>17087</v>
      </c>
      <c r="E2218" s="243">
        <v>6.54E13</v>
      </c>
      <c r="F2218" s="245"/>
      <c r="G2218" s="235" t="s">
        <v>17088</v>
      </c>
      <c r="H2218" s="235" t="s">
        <v>17089</v>
      </c>
      <c r="I2218" s="235" t="s">
        <v>17090</v>
      </c>
      <c r="J2218" s="235" t="s">
        <v>17091</v>
      </c>
      <c r="K2218" s="235" t="s">
        <v>17092</v>
      </c>
      <c r="N2218" s="235" t="s">
        <v>962</v>
      </c>
      <c r="O2218" s="235" t="s">
        <v>963</v>
      </c>
      <c r="P2218" s="238">
        <v>1.0</v>
      </c>
      <c r="Q2218" s="235" t="s">
        <v>627</v>
      </c>
      <c r="R2218" s="238">
        <v>246.66</v>
      </c>
      <c r="S2218" s="238">
        <v>12.1</v>
      </c>
      <c r="T2218" s="238">
        <v>0.0</v>
      </c>
      <c r="U2218" s="238">
        <v>0.0</v>
      </c>
      <c r="V2218" s="238">
        <v>0.0</v>
      </c>
      <c r="W2218" s="238">
        <v>0.0</v>
      </c>
      <c r="X2218" s="235" t="s">
        <v>628</v>
      </c>
      <c r="Z2218" s="244"/>
      <c r="AA2218" s="244"/>
      <c r="AB2218" s="244"/>
      <c r="AC2218" s="235" t="s">
        <v>678</v>
      </c>
      <c r="AD2218" s="235" t="s">
        <v>679</v>
      </c>
      <c r="AE2218" s="238">
        <v>560067.0</v>
      </c>
      <c r="AF2218" s="235" t="s">
        <v>631</v>
      </c>
      <c r="AG2218" s="244"/>
      <c r="AH2218" s="244"/>
      <c r="AI2218" s="245"/>
      <c r="AJ2218" s="245"/>
      <c r="AK2218" s="245"/>
      <c r="AL2218" s="245"/>
      <c r="AM2218" s="244"/>
      <c r="AN2218" s="244"/>
      <c r="AO2218" s="238">
        <v>-4.94</v>
      </c>
      <c r="AP2218" s="238">
        <v>0.0</v>
      </c>
      <c r="AQ2218" s="235" t="s">
        <v>632</v>
      </c>
      <c r="AR2218" s="243">
        <v>1.68E11</v>
      </c>
      <c r="AS2218" s="235" t="s">
        <v>16626</v>
      </c>
      <c r="AT2218" s="235" t="s">
        <v>11</v>
      </c>
      <c r="AU2218" s="235" t="s">
        <v>634</v>
      </c>
      <c r="AV2218" s="246" t="s">
        <v>635</v>
      </c>
      <c r="AW2218" s="242"/>
      <c r="AX2218" s="242"/>
      <c r="AY2218" s="231"/>
      <c r="AZ2218" s="231"/>
      <c r="BA2218" s="227"/>
      <c r="BB2218" s="231"/>
      <c r="BC2218" s="227"/>
      <c r="BD2218" s="227"/>
      <c r="BE2218" s="227"/>
      <c r="BF2218" s="227"/>
    </row>
    <row r="2219">
      <c r="A2219" s="235" t="s">
        <v>17093</v>
      </c>
      <c r="C2219" s="235" t="s">
        <v>17094</v>
      </c>
      <c r="D2219" s="235" t="s">
        <v>17095</v>
      </c>
      <c r="E2219" s="243">
        <v>6.54E13</v>
      </c>
      <c r="F2219" s="245"/>
      <c r="G2219" s="235" t="s">
        <v>17096</v>
      </c>
      <c r="H2219" s="235" t="s">
        <v>17097</v>
      </c>
      <c r="I2219" s="235" t="s">
        <v>17098</v>
      </c>
      <c r="J2219" s="235" t="s">
        <v>17099</v>
      </c>
      <c r="K2219" s="235" t="s">
        <v>17100</v>
      </c>
      <c r="N2219" s="235" t="s">
        <v>962</v>
      </c>
      <c r="O2219" s="235" t="s">
        <v>963</v>
      </c>
      <c r="P2219" s="238">
        <v>1.0</v>
      </c>
      <c r="Q2219" s="235" t="s">
        <v>627</v>
      </c>
      <c r="R2219" s="238">
        <v>246.66</v>
      </c>
      <c r="S2219" s="238">
        <v>12.1</v>
      </c>
      <c r="T2219" s="238">
        <v>0.0</v>
      </c>
      <c r="U2219" s="238">
        <v>0.0</v>
      </c>
      <c r="V2219" s="238">
        <v>0.0</v>
      </c>
      <c r="W2219" s="238">
        <v>0.0</v>
      </c>
      <c r="X2219" s="235" t="s">
        <v>628</v>
      </c>
      <c r="Z2219" s="244"/>
      <c r="AA2219" s="244"/>
      <c r="AB2219" s="244"/>
      <c r="AC2219" s="235" t="s">
        <v>678</v>
      </c>
      <c r="AD2219" s="235" t="s">
        <v>679</v>
      </c>
      <c r="AE2219" s="238">
        <v>560068.0</v>
      </c>
      <c r="AF2219" s="235" t="s">
        <v>631</v>
      </c>
      <c r="AG2219" s="244"/>
      <c r="AH2219" s="244"/>
      <c r="AI2219" s="245"/>
      <c r="AJ2219" s="245"/>
      <c r="AK2219" s="245"/>
      <c r="AL2219" s="245"/>
      <c r="AM2219" s="244"/>
      <c r="AN2219" s="244"/>
      <c r="AO2219" s="238">
        <v>-4.94</v>
      </c>
      <c r="AP2219" s="238">
        <v>0.0</v>
      </c>
      <c r="AQ2219" s="235" t="s">
        <v>632</v>
      </c>
      <c r="AR2219" s="243">
        <v>1.68E11</v>
      </c>
      <c r="AS2219" s="235" t="s">
        <v>16626</v>
      </c>
      <c r="AT2219" s="235" t="s">
        <v>9</v>
      </c>
      <c r="AU2219" s="235" t="s">
        <v>634</v>
      </c>
      <c r="AV2219" s="246" t="s">
        <v>635</v>
      </c>
      <c r="AW2219" s="242"/>
      <c r="AX2219" s="242"/>
      <c r="AY2219" s="231"/>
      <c r="AZ2219" s="231"/>
      <c r="BA2219" s="227"/>
      <c r="BB2219" s="227"/>
      <c r="BC2219" s="227"/>
      <c r="BD2219" s="227"/>
      <c r="BE2219" s="227"/>
      <c r="BF2219" s="227"/>
    </row>
    <row r="2220">
      <c r="A2220" s="235" t="s">
        <v>17101</v>
      </c>
      <c r="C2220" s="235" t="s">
        <v>17102</v>
      </c>
      <c r="D2220" s="235" t="s">
        <v>17103</v>
      </c>
      <c r="E2220" s="243">
        <v>6.54E13</v>
      </c>
      <c r="F2220" s="245"/>
      <c r="G2220" s="235" t="s">
        <v>17104</v>
      </c>
      <c r="H2220" s="235" t="s">
        <v>17105</v>
      </c>
      <c r="I2220" s="235" t="s">
        <v>17106</v>
      </c>
      <c r="J2220" s="235" t="s">
        <v>17107</v>
      </c>
      <c r="K2220" s="235" t="s">
        <v>17108</v>
      </c>
      <c r="N2220" s="235" t="s">
        <v>41</v>
      </c>
      <c r="O2220" s="235" t="s">
        <v>291</v>
      </c>
      <c r="P2220" s="238">
        <v>1.0</v>
      </c>
      <c r="Q2220" s="235" t="s">
        <v>627</v>
      </c>
      <c r="R2220" s="238">
        <v>237.14</v>
      </c>
      <c r="S2220" s="238">
        <v>11.62</v>
      </c>
      <c r="T2220" s="238">
        <v>0.0</v>
      </c>
      <c r="U2220" s="238">
        <v>0.0</v>
      </c>
      <c r="V2220" s="238">
        <v>0.0</v>
      </c>
      <c r="W2220" s="238">
        <v>0.0</v>
      </c>
      <c r="X2220" s="235" t="s">
        <v>628</v>
      </c>
      <c r="Z2220" s="244"/>
      <c r="AA2220" s="244"/>
      <c r="AB2220" s="244"/>
      <c r="AC2220" s="235" t="s">
        <v>678</v>
      </c>
      <c r="AD2220" s="235" t="s">
        <v>679</v>
      </c>
      <c r="AE2220" s="238">
        <v>560066.0</v>
      </c>
      <c r="AF2220" s="235" t="s">
        <v>631</v>
      </c>
      <c r="AG2220" s="244"/>
      <c r="AH2220" s="244"/>
      <c r="AI2220" s="245"/>
      <c r="AJ2220" s="245"/>
      <c r="AK2220" s="245"/>
      <c r="AL2220" s="245"/>
      <c r="AM2220" s="244"/>
      <c r="AN2220" s="244"/>
      <c r="AO2220" s="238">
        <v>-4.74</v>
      </c>
      <c r="AP2220" s="238">
        <v>0.0</v>
      </c>
      <c r="AQ2220" s="235" t="s">
        <v>632</v>
      </c>
      <c r="AR2220" s="243">
        <v>1.68E11</v>
      </c>
      <c r="AS2220" s="235" t="s">
        <v>17109</v>
      </c>
      <c r="AT2220" s="235" t="s">
        <v>11</v>
      </c>
      <c r="AU2220" s="235" t="s">
        <v>634</v>
      </c>
      <c r="AV2220" s="246" t="s">
        <v>635</v>
      </c>
      <c r="AW2220" s="242"/>
      <c r="AX2220" s="242"/>
      <c r="AY2220" s="231"/>
      <c r="AZ2220" s="231"/>
      <c r="BA2220" s="227"/>
      <c r="BB2220" s="231"/>
      <c r="BC2220" s="227"/>
      <c r="BD2220" s="227"/>
      <c r="BE2220" s="227"/>
      <c r="BF2220" s="227"/>
    </row>
    <row r="2221">
      <c r="A2221" s="235" t="s">
        <v>17110</v>
      </c>
      <c r="C2221" s="235" t="s">
        <v>17111</v>
      </c>
      <c r="D2221" s="235" t="s">
        <v>17112</v>
      </c>
      <c r="E2221" s="243">
        <v>6.53E13</v>
      </c>
      <c r="F2221" s="245"/>
      <c r="G2221" s="235" t="s">
        <v>17113</v>
      </c>
      <c r="H2221" s="235" t="s">
        <v>17114</v>
      </c>
      <c r="I2221" s="235" t="s">
        <v>17114</v>
      </c>
      <c r="J2221" s="235" t="s">
        <v>17115</v>
      </c>
      <c r="K2221" s="235" t="s">
        <v>17116</v>
      </c>
      <c r="N2221" s="235" t="s">
        <v>117</v>
      </c>
      <c r="O2221" s="235" t="s">
        <v>334</v>
      </c>
      <c r="P2221" s="238">
        <v>1.0</v>
      </c>
      <c r="Q2221" s="235" t="s">
        <v>627</v>
      </c>
      <c r="R2221" s="238">
        <v>270.48</v>
      </c>
      <c r="S2221" s="238">
        <v>13.52</v>
      </c>
      <c r="T2221" s="238">
        <v>38.1</v>
      </c>
      <c r="U2221" s="238">
        <v>1.9</v>
      </c>
      <c r="V2221" s="238">
        <v>0.0</v>
      </c>
      <c r="W2221" s="238">
        <v>0.0</v>
      </c>
      <c r="X2221" s="235" t="s">
        <v>628</v>
      </c>
      <c r="Z2221" s="244"/>
      <c r="AA2221" s="244"/>
      <c r="AB2221" s="244"/>
      <c r="AC2221" s="235" t="s">
        <v>17117</v>
      </c>
      <c r="AD2221" s="235" t="s">
        <v>666</v>
      </c>
      <c r="AE2221" s="238">
        <v>632519.0</v>
      </c>
      <c r="AF2221" s="235" t="s">
        <v>631</v>
      </c>
      <c r="AG2221" s="244"/>
      <c r="AH2221" s="244"/>
      <c r="AI2221" s="245"/>
      <c r="AJ2221" s="245"/>
      <c r="AK2221" s="245"/>
      <c r="AL2221" s="245"/>
      <c r="AM2221" s="244"/>
      <c r="AN2221" s="244"/>
      <c r="AO2221" s="238">
        <v>0.0</v>
      </c>
      <c r="AP2221" s="238">
        <v>0.0</v>
      </c>
      <c r="AQ2221" s="235" t="s">
        <v>632</v>
      </c>
      <c r="AR2221" s="243">
        <v>3.71E11</v>
      </c>
      <c r="AS2221" s="235" t="s">
        <v>15064</v>
      </c>
      <c r="AT2221" s="235" t="s">
        <v>156</v>
      </c>
      <c r="AU2221" s="235" t="s">
        <v>634</v>
      </c>
      <c r="AV2221" s="246" t="s">
        <v>635</v>
      </c>
      <c r="AW2221" s="242"/>
      <c r="AX2221" s="242"/>
      <c r="AY2221" s="231"/>
      <c r="AZ2221" s="231"/>
      <c r="BA2221" s="227"/>
      <c r="BB2221" s="231"/>
      <c r="BC2221" s="227"/>
      <c r="BD2221" s="227"/>
      <c r="BE2221" s="227"/>
      <c r="BF2221" s="227"/>
    </row>
    <row r="2222">
      <c r="A2222" s="235" t="s">
        <v>17118</v>
      </c>
      <c r="C2222" s="235" t="s">
        <v>17119</v>
      </c>
      <c r="D2222" s="235" t="s">
        <v>17120</v>
      </c>
      <c r="E2222" s="243">
        <v>6.53E13</v>
      </c>
      <c r="F2222" s="245"/>
      <c r="G2222" s="235" t="s">
        <v>17121</v>
      </c>
      <c r="H2222" s="235" t="s">
        <v>17122</v>
      </c>
      <c r="I2222" s="235" t="s">
        <v>17123</v>
      </c>
      <c r="J2222" s="235" t="s">
        <v>17124</v>
      </c>
      <c r="K2222" s="235" t="s">
        <v>17125</v>
      </c>
      <c r="N2222" s="235" t="s">
        <v>154</v>
      </c>
      <c r="O2222" s="235" t="s">
        <v>766</v>
      </c>
      <c r="P2222" s="238">
        <v>1.0</v>
      </c>
      <c r="Q2222" s="235" t="s">
        <v>627</v>
      </c>
      <c r="R2222" s="238">
        <v>500.96</v>
      </c>
      <c r="S2222" s="238">
        <v>25.04</v>
      </c>
      <c r="T2222" s="238">
        <v>38.1</v>
      </c>
      <c r="U2222" s="238">
        <v>1.9</v>
      </c>
      <c r="V2222" s="238">
        <v>0.0</v>
      </c>
      <c r="W2222" s="238">
        <v>0.0</v>
      </c>
      <c r="X2222" s="235" t="s">
        <v>628</v>
      </c>
      <c r="Z2222" s="244"/>
      <c r="AA2222" s="244"/>
      <c r="AB2222" s="244"/>
      <c r="AC2222" s="235" t="s">
        <v>687</v>
      </c>
      <c r="AD2222" s="235" t="s">
        <v>666</v>
      </c>
      <c r="AE2222" s="238">
        <v>600042.0</v>
      </c>
      <c r="AF2222" s="235" t="s">
        <v>631</v>
      </c>
      <c r="AG2222" s="244"/>
      <c r="AH2222" s="244"/>
      <c r="AI2222" s="245"/>
      <c r="AJ2222" s="245"/>
      <c r="AK2222" s="245"/>
      <c r="AL2222" s="245"/>
      <c r="AM2222" s="244"/>
      <c r="AN2222" s="244"/>
      <c r="AO2222" s="238">
        <v>0.0</v>
      </c>
      <c r="AP2222" s="238">
        <v>-38.1</v>
      </c>
      <c r="AQ2222" s="235" t="s">
        <v>632</v>
      </c>
      <c r="AR2222" s="243">
        <v>3.71E11</v>
      </c>
      <c r="AS2222" s="235" t="s">
        <v>16626</v>
      </c>
      <c r="AT2222" s="235" t="s">
        <v>156</v>
      </c>
      <c r="AU2222" s="235" t="s">
        <v>634</v>
      </c>
      <c r="AV2222" s="246" t="s">
        <v>635</v>
      </c>
      <c r="AW2222" s="242"/>
      <c r="AX2222" s="242"/>
      <c r="AY2222" s="231"/>
      <c r="AZ2222" s="231"/>
      <c r="BA2222" s="227"/>
      <c r="BB2222" s="231"/>
      <c r="BC2222" s="227"/>
      <c r="BD2222" s="227"/>
      <c r="BE2222" s="227"/>
      <c r="BF2222" s="227"/>
    </row>
    <row r="2223">
      <c r="A2223" s="235" t="s">
        <v>17126</v>
      </c>
      <c r="C2223" s="235" t="s">
        <v>17127</v>
      </c>
      <c r="D2223" s="235" t="s">
        <v>17128</v>
      </c>
      <c r="E2223" s="243">
        <v>6.54E13</v>
      </c>
      <c r="F2223" s="245"/>
      <c r="G2223" s="235" t="s">
        <v>17129</v>
      </c>
      <c r="H2223" s="235" t="s">
        <v>17130</v>
      </c>
      <c r="I2223" s="235" t="s">
        <v>17130</v>
      </c>
      <c r="J2223" s="235" t="s">
        <v>17131</v>
      </c>
      <c r="K2223" s="235" t="s">
        <v>17132</v>
      </c>
      <c r="N2223" s="235" t="s">
        <v>117</v>
      </c>
      <c r="O2223" s="235" t="s">
        <v>334</v>
      </c>
      <c r="P2223" s="238">
        <v>1.0</v>
      </c>
      <c r="Q2223" s="235" t="s">
        <v>627</v>
      </c>
      <c r="R2223" s="238">
        <v>237.14</v>
      </c>
      <c r="S2223" s="238">
        <v>11.86</v>
      </c>
      <c r="T2223" s="238">
        <v>0.0</v>
      </c>
      <c r="U2223" s="238">
        <v>0.0</v>
      </c>
      <c r="V2223" s="238">
        <v>0.0</v>
      </c>
      <c r="W2223" s="238">
        <v>0.0</v>
      </c>
      <c r="X2223" s="235" t="s">
        <v>628</v>
      </c>
      <c r="Z2223" s="244"/>
      <c r="AA2223" s="244"/>
      <c r="AB2223" s="244"/>
      <c r="AC2223" s="235" t="s">
        <v>678</v>
      </c>
      <c r="AD2223" s="235" t="s">
        <v>679</v>
      </c>
      <c r="AE2223" s="238">
        <v>560016.0</v>
      </c>
      <c r="AF2223" s="235" t="s">
        <v>631</v>
      </c>
      <c r="AG2223" s="244"/>
      <c r="AH2223" s="244"/>
      <c r="AI2223" s="245"/>
      <c r="AJ2223" s="245"/>
      <c r="AK2223" s="245"/>
      <c r="AL2223" s="245"/>
      <c r="AM2223" s="244"/>
      <c r="AN2223" s="244"/>
      <c r="AO2223" s="238">
        <v>0.0</v>
      </c>
      <c r="AP2223" s="238">
        <v>0.0</v>
      </c>
      <c r="AQ2223" s="235" t="s">
        <v>632</v>
      </c>
      <c r="AR2223" s="243">
        <v>1.68E11</v>
      </c>
      <c r="AS2223" s="235" t="s">
        <v>17109</v>
      </c>
      <c r="AT2223" s="235" t="s">
        <v>9</v>
      </c>
      <c r="AU2223" s="235" t="s">
        <v>634</v>
      </c>
      <c r="AV2223" s="246" t="s">
        <v>635</v>
      </c>
      <c r="AW2223" s="242"/>
      <c r="AX2223" s="242"/>
      <c r="AY2223" s="231"/>
      <c r="AZ2223" s="231"/>
      <c r="BA2223" s="227"/>
      <c r="BB2223" s="231"/>
      <c r="BC2223" s="227"/>
      <c r="BD2223" s="227"/>
      <c r="BE2223" s="227"/>
      <c r="BF2223" s="227"/>
    </row>
    <row r="2224">
      <c r="A2224" s="235" t="s">
        <v>17133</v>
      </c>
      <c r="C2224" s="235" t="s">
        <v>17134</v>
      </c>
      <c r="D2224" s="235" t="s">
        <v>17135</v>
      </c>
      <c r="E2224" s="243">
        <v>6.54E13</v>
      </c>
      <c r="F2224" s="245"/>
      <c r="G2224" s="235" t="s">
        <v>17136</v>
      </c>
      <c r="H2224" s="235" t="s">
        <v>17137</v>
      </c>
      <c r="I2224" s="235" t="s">
        <v>17137</v>
      </c>
      <c r="J2224" s="235" t="s">
        <v>17138</v>
      </c>
      <c r="K2224" s="235" t="s">
        <v>17139</v>
      </c>
      <c r="N2224" s="235" t="s">
        <v>127</v>
      </c>
      <c r="O2224" s="235" t="s">
        <v>794</v>
      </c>
      <c r="P2224" s="238">
        <v>1.0</v>
      </c>
      <c r="Q2224" s="235" t="s">
        <v>627</v>
      </c>
      <c r="R2224" s="238">
        <v>246.66</v>
      </c>
      <c r="S2224" s="238">
        <v>12.34</v>
      </c>
      <c r="T2224" s="238">
        <v>0.0</v>
      </c>
      <c r="U2224" s="238">
        <v>0.0</v>
      </c>
      <c r="V2224" s="238">
        <v>0.0</v>
      </c>
      <c r="W2224" s="238">
        <v>0.0</v>
      </c>
      <c r="X2224" s="235" t="s">
        <v>628</v>
      </c>
      <c r="Z2224" s="244"/>
      <c r="AA2224" s="244"/>
      <c r="AB2224" s="244"/>
      <c r="AC2224" s="235" t="s">
        <v>678</v>
      </c>
      <c r="AD2224" s="235" t="s">
        <v>679</v>
      </c>
      <c r="AE2224" s="238">
        <v>560064.0</v>
      </c>
      <c r="AF2224" s="235" t="s">
        <v>631</v>
      </c>
      <c r="AG2224" s="244"/>
      <c r="AH2224" s="244"/>
      <c r="AI2224" s="245"/>
      <c r="AJ2224" s="245"/>
      <c r="AK2224" s="245"/>
      <c r="AL2224" s="245"/>
      <c r="AM2224" s="244"/>
      <c r="AN2224" s="244"/>
      <c r="AO2224" s="238">
        <v>0.0</v>
      </c>
      <c r="AP2224" s="238">
        <v>0.0</v>
      </c>
      <c r="AQ2224" s="235" t="s">
        <v>632</v>
      </c>
      <c r="AR2224" s="243">
        <v>1.68E11</v>
      </c>
      <c r="AS2224" s="235" t="s">
        <v>17109</v>
      </c>
      <c r="AT2224" s="235" t="s">
        <v>11</v>
      </c>
      <c r="AU2224" s="235" t="s">
        <v>634</v>
      </c>
      <c r="AV2224" s="246" t="s">
        <v>635</v>
      </c>
      <c r="AW2224" s="242"/>
      <c r="AX2224" s="242"/>
      <c r="AY2224" s="231"/>
      <c r="AZ2224" s="231"/>
      <c r="BA2224" s="227"/>
      <c r="BB2224" s="231"/>
      <c r="BC2224" s="227"/>
      <c r="BD2224" s="227"/>
      <c r="BE2224" s="227"/>
      <c r="BF2224" s="227"/>
    </row>
    <row r="2225">
      <c r="A2225" s="235" t="s">
        <v>17140</v>
      </c>
      <c r="C2225" s="235" t="s">
        <v>17141</v>
      </c>
      <c r="D2225" s="235" t="s">
        <v>17142</v>
      </c>
      <c r="E2225" s="243">
        <v>6.54E13</v>
      </c>
      <c r="F2225" s="245"/>
      <c r="G2225" s="235" t="s">
        <v>17143</v>
      </c>
      <c r="H2225" s="235" t="s">
        <v>17144</v>
      </c>
      <c r="I2225" s="235" t="s">
        <v>17144</v>
      </c>
      <c r="J2225" s="235" t="s">
        <v>17145</v>
      </c>
      <c r="K2225" s="235" t="s">
        <v>17146</v>
      </c>
      <c r="N2225" s="235" t="s">
        <v>78</v>
      </c>
      <c r="O2225" s="235" t="s">
        <v>360</v>
      </c>
      <c r="P2225" s="238">
        <v>1.0</v>
      </c>
      <c r="Q2225" s="235" t="s">
        <v>627</v>
      </c>
      <c r="R2225" s="238">
        <v>360.95</v>
      </c>
      <c r="S2225" s="238">
        <v>18.05</v>
      </c>
      <c r="T2225" s="238">
        <v>0.0</v>
      </c>
      <c r="U2225" s="238">
        <v>0.0</v>
      </c>
      <c r="V2225" s="238">
        <v>0.0</v>
      </c>
      <c r="W2225" s="238">
        <v>0.0</v>
      </c>
      <c r="X2225" s="235" t="s">
        <v>628</v>
      </c>
      <c r="Z2225" s="244"/>
      <c r="AA2225" s="244"/>
      <c r="AB2225" s="244"/>
      <c r="AC2225" s="235" t="s">
        <v>17147</v>
      </c>
      <c r="AD2225" s="235" t="s">
        <v>908</v>
      </c>
      <c r="AE2225" s="238">
        <v>262401.0</v>
      </c>
      <c r="AF2225" s="235" t="s">
        <v>631</v>
      </c>
      <c r="AG2225" s="244"/>
      <c r="AH2225" s="244"/>
      <c r="AI2225" s="245"/>
      <c r="AJ2225" s="245"/>
      <c r="AK2225" s="245"/>
      <c r="AL2225" s="245"/>
      <c r="AM2225" s="244"/>
      <c r="AN2225" s="244"/>
      <c r="AO2225" s="238">
        <v>0.0</v>
      </c>
      <c r="AP2225" s="238">
        <v>0.0</v>
      </c>
      <c r="AQ2225" s="235" t="s">
        <v>632</v>
      </c>
      <c r="AR2225" s="243">
        <v>3.71E11</v>
      </c>
      <c r="AS2225" s="235" t="s">
        <v>15064</v>
      </c>
      <c r="AT2225" s="235" t="s">
        <v>533</v>
      </c>
      <c r="AU2225" s="235" t="s">
        <v>634</v>
      </c>
      <c r="AV2225" s="246" t="s">
        <v>635</v>
      </c>
      <c r="AW2225" s="242"/>
      <c r="AX2225" s="242"/>
      <c r="AY2225" s="231"/>
      <c r="AZ2225" s="231"/>
      <c r="BA2225" s="227"/>
      <c r="BB2225" s="231"/>
      <c r="BC2225" s="227"/>
      <c r="BD2225" s="227"/>
      <c r="BE2225" s="227"/>
      <c r="BF2225" s="227"/>
    </row>
    <row r="2226">
      <c r="A2226" s="235" t="s">
        <v>17148</v>
      </c>
      <c r="C2226" s="235" t="s">
        <v>17149</v>
      </c>
      <c r="D2226" s="235" t="s">
        <v>17150</v>
      </c>
      <c r="E2226" s="243">
        <v>6.54E13</v>
      </c>
      <c r="F2226" s="245"/>
      <c r="G2226" s="235" t="s">
        <v>17151</v>
      </c>
      <c r="H2226" s="235" t="s">
        <v>17152</v>
      </c>
      <c r="I2226" s="235" t="s">
        <v>17152</v>
      </c>
      <c r="J2226" s="235" t="s">
        <v>17153</v>
      </c>
      <c r="K2226" s="235" t="s">
        <v>17154</v>
      </c>
      <c r="N2226" s="235" t="s">
        <v>127</v>
      </c>
      <c r="O2226" s="235" t="s">
        <v>794</v>
      </c>
      <c r="P2226" s="238">
        <v>1.0</v>
      </c>
      <c r="Q2226" s="235" t="s">
        <v>627</v>
      </c>
      <c r="R2226" s="238">
        <v>246.66</v>
      </c>
      <c r="S2226" s="238">
        <v>12.34</v>
      </c>
      <c r="T2226" s="238">
        <v>0.0</v>
      </c>
      <c r="U2226" s="238">
        <v>0.0</v>
      </c>
      <c r="V2226" s="238">
        <v>0.0</v>
      </c>
      <c r="W2226" s="238">
        <v>0.0</v>
      </c>
      <c r="X2226" s="235" t="s">
        <v>628</v>
      </c>
      <c r="Z2226" s="244"/>
      <c r="AA2226" s="244"/>
      <c r="AB2226" s="244"/>
      <c r="AC2226" s="235" t="s">
        <v>678</v>
      </c>
      <c r="AD2226" s="235" t="s">
        <v>679</v>
      </c>
      <c r="AE2226" s="238">
        <v>560099.0</v>
      </c>
      <c r="AF2226" s="235" t="s">
        <v>631</v>
      </c>
      <c r="AG2226" s="244"/>
      <c r="AH2226" s="244"/>
      <c r="AI2226" s="245"/>
      <c r="AJ2226" s="245"/>
      <c r="AK2226" s="245"/>
      <c r="AL2226" s="245"/>
      <c r="AM2226" s="244"/>
      <c r="AN2226" s="244"/>
      <c r="AO2226" s="238">
        <v>0.0</v>
      </c>
      <c r="AP2226" s="238">
        <v>0.0</v>
      </c>
      <c r="AQ2226" s="235" t="s">
        <v>632</v>
      </c>
      <c r="AR2226" s="243">
        <v>1.68E11</v>
      </c>
      <c r="AS2226" s="235" t="s">
        <v>17109</v>
      </c>
      <c r="AT2226" s="235" t="s">
        <v>9</v>
      </c>
      <c r="AU2226" s="235" t="s">
        <v>634</v>
      </c>
      <c r="AV2226" s="246" t="s">
        <v>635</v>
      </c>
      <c r="AW2226" s="242"/>
      <c r="AX2226" s="242"/>
      <c r="AY2226" s="231"/>
      <c r="AZ2226" s="231"/>
      <c r="BA2226" s="227"/>
      <c r="BB2226" s="231"/>
      <c r="BC2226" s="227"/>
      <c r="BD2226" s="227"/>
      <c r="BE2226" s="227"/>
      <c r="BF2226" s="227"/>
    </row>
    <row r="2227">
      <c r="A2227" s="235" t="s">
        <v>17155</v>
      </c>
      <c r="C2227" s="235" t="s">
        <v>17156</v>
      </c>
      <c r="D2227" s="235" t="s">
        <v>17157</v>
      </c>
      <c r="E2227" s="243">
        <v>6.54E13</v>
      </c>
      <c r="F2227" s="245"/>
      <c r="G2227" s="235" t="s">
        <v>17158</v>
      </c>
      <c r="H2227" s="235" t="s">
        <v>17159</v>
      </c>
      <c r="I2227" s="235" t="s">
        <v>17159</v>
      </c>
      <c r="J2227" s="235" t="s">
        <v>17160</v>
      </c>
      <c r="K2227" s="235" t="s">
        <v>17161</v>
      </c>
      <c r="N2227" s="235" t="s">
        <v>71</v>
      </c>
      <c r="O2227" s="235" t="s">
        <v>240</v>
      </c>
      <c r="P2227" s="238">
        <v>1.0</v>
      </c>
      <c r="Q2227" s="235" t="s">
        <v>627</v>
      </c>
      <c r="R2227" s="238">
        <v>246.67</v>
      </c>
      <c r="S2227" s="238">
        <v>12.33</v>
      </c>
      <c r="T2227" s="238">
        <v>38.1</v>
      </c>
      <c r="U2227" s="238">
        <v>1.9</v>
      </c>
      <c r="V2227" s="238">
        <v>0.0</v>
      </c>
      <c r="W2227" s="238">
        <v>0.0</v>
      </c>
      <c r="X2227" s="235" t="s">
        <v>628</v>
      </c>
      <c r="Z2227" s="244"/>
      <c r="AA2227" s="244"/>
      <c r="AB2227" s="244"/>
      <c r="AC2227" s="235" t="s">
        <v>5091</v>
      </c>
      <c r="AD2227" s="235" t="s">
        <v>845</v>
      </c>
      <c r="AE2227" s="238">
        <v>440001.0</v>
      </c>
      <c r="AF2227" s="235" t="s">
        <v>631</v>
      </c>
      <c r="AG2227" s="244"/>
      <c r="AH2227" s="244"/>
      <c r="AI2227" s="245"/>
      <c r="AJ2227" s="245"/>
      <c r="AK2227" s="245"/>
      <c r="AL2227" s="245"/>
      <c r="AM2227" s="244"/>
      <c r="AN2227" s="244"/>
      <c r="AO2227" s="238">
        <v>0.0</v>
      </c>
      <c r="AP2227" s="238">
        <v>-38.1</v>
      </c>
      <c r="AQ2227" s="235" t="s">
        <v>632</v>
      </c>
      <c r="AR2227" s="243">
        <v>3.71E11</v>
      </c>
      <c r="AS2227" s="235" t="s">
        <v>11171</v>
      </c>
      <c r="AT2227" s="235" t="s">
        <v>5</v>
      </c>
      <c r="AU2227" s="235" t="s">
        <v>634</v>
      </c>
      <c r="AV2227" s="246" t="s">
        <v>635</v>
      </c>
      <c r="AW2227" s="242"/>
      <c r="AX2227" s="242"/>
      <c r="AY2227" s="231"/>
      <c r="AZ2227" s="231"/>
      <c r="BA2227" s="227"/>
      <c r="BB2227" s="231"/>
      <c r="BC2227" s="227"/>
      <c r="BD2227" s="227"/>
      <c r="BE2227" s="227"/>
      <c r="BF2227" s="227"/>
    </row>
    <row r="2228">
      <c r="A2228" s="235" t="s">
        <v>17162</v>
      </c>
      <c r="C2228" s="235" t="s">
        <v>17163</v>
      </c>
      <c r="D2228" s="235" t="s">
        <v>17164</v>
      </c>
      <c r="E2228" s="243">
        <v>6.54E13</v>
      </c>
      <c r="F2228" s="245"/>
      <c r="G2228" s="235" t="s">
        <v>17165</v>
      </c>
      <c r="H2228" s="235" t="s">
        <v>17166</v>
      </c>
      <c r="I2228" s="235" t="s">
        <v>17166</v>
      </c>
      <c r="J2228" s="235" t="s">
        <v>17167</v>
      </c>
      <c r="K2228" s="235" t="s">
        <v>17168</v>
      </c>
      <c r="N2228" s="235" t="s">
        <v>38</v>
      </c>
      <c r="O2228" s="235" t="s">
        <v>291</v>
      </c>
      <c r="P2228" s="238">
        <v>1.0</v>
      </c>
      <c r="Q2228" s="235" t="s">
        <v>627</v>
      </c>
      <c r="R2228" s="238">
        <v>270.48</v>
      </c>
      <c r="S2228" s="238">
        <v>13.52</v>
      </c>
      <c r="T2228" s="238">
        <v>38.1</v>
      </c>
      <c r="U2228" s="238">
        <v>1.9</v>
      </c>
      <c r="V2228" s="238">
        <v>0.0</v>
      </c>
      <c r="W2228" s="238">
        <v>0.0</v>
      </c>
      <c r="X2228" s="235" t="s">
        <v>628</v>
      </c>
      <c r="Z2228" s="244"/>
      <c r="AA2228" s="244"/>
      <c r="AB2228" s="244"/>
      <c r="AC2228" s="235" t="s">
        <v>17169</v>
      </c>
      <c r="AD2228" s="235" t="s">
        <v>2067</v>
      </c>
      <c r="AE2228" s="238">
        <v>834008.0</v>
      </c>
      <c r="AF2228" s="235" t="s">
        <v>631</v>
      </c>
      <c r="AG2228" s="244"/>
      <c r="AH2228" s="244"/>
      <c r="AI2228" s="245"/>
      <c r="AJ2228" s="245"/>
      <c r="AK2228" s="245"/>
      <c r="AL2228" s="245"/>
      <c r="AM2228" s="244"/>
      <c r="AN2228" s="244"/>
      <c r="AO2228" s="238">
        <v>0.0</v>
      </c>
      <c r="AP2228" s="238">
        <v>-38.1</v>
      </c>
      <c r="AQ2228" s="235" t="s">
        <v>632</v>
      </c>
      <c r="AR2228" s="243">
        <v>3.71E11</v>
      </c>
      <c r="AS2228" s="235" t="s">
        <v>10017</v>
      </c>
      <c r="AT2228" s="235" t="s">
        <v>156</v>
      </c>
      <c r="AU2228" s="235" t="s">
        <v>634</v>
      </c>
      <c r="AV2228" s="246" t="s">
        <v>635</v>
      </c>
      <c r="AW2228" s="242"/>
      <c r="AX2228" s="242"/>
      <c r="AY2228" s="231"/>
      <c r="AZ2228" s="231"/>
      <c r="BA2228" s="227"/>
      <c r="BB2228" s="231"/>
      <c r="BC2228" s="227"/>
      <c r="BD2228" s="227"/>
      <c r="BE2228" s="227"/>
      <c r="BF2228" s="227"/>
    </row>
    <row r="2229">
      <c r="A2229" s="235" t="s">
        <v>17170</v>
      </c>
      <c r="C2229" s="235" t="s">
        <v>17171</v>
      </c>
      <c r="D2229" s="235" t="s">
        <v>17172</v>
      </c>
      <c r="E2229" s="243">
        <v>6.53E13</v>
      </c>
      <c r="F2229" s="245"/>
      <c r="G2229" s="235" t="s">
        <v>17173</v>
      </c>
      <c r="H2229" s="235" t="s">
        <v>17174</v>
      </c>
      <c r="I2229" s="235" t="s">
        <v>17175</v>
      </c>
      <c r="J2229" s="235" t="s">
        <v>17176</v>
      </c>
      <c r="K2229" s="235" t="s">
        <v>17177</v>
      </c>
      <c r="N2229" s="235" t="s">
        <v>842</v>
      </c>
      <c r="O2229" s="235" t="s">
        <v>843</v>
      </c>
      <c r="P2229" s="238">
        <v>1.0</v>
      </c>
      <c r="Q2229" s="235" t="s">
        <v>627</v>
      </c>
      <c r="R2229" s="238">
        <v>270.48</v>
      </c>
      <c r="S2229" s="238">
        <v>13.52</v>
      </c>
      <c r="T2229" s="238">
        <v>38.1</v>
      </c>
      <c r="U2229" s="238">
        <v>1.9</v>
      </c>
      <c r="V2229" s="238">
        <v>0.0</v>
      </c>
      <c r="W2229" s="238">
        <v>0.0</v>
      </c>
      <c r="X2229" s="235" t="s">
        <v>628</v>
      </c>
      <c r="Z2229" s="244"/>
      <c r="AA2229" s="244"/>
      <c r="AB2229" s="244"/>
      <c r="AC2229" s="235" t="s">
        <v>17178</v>
      </c>
      <c r="AD2229" s="235" t="s">
        <v>908</v>
      </c>
      <c r="AE2229" s="238">
        <v>248140.0</v>
      </c>
      <c r="AF2229" s="235" t="s">
        <v>631</v>
      </c>
      <c r="AG2229" s="244"/>
      <c r="AH2229" s="244"/>
      <c r="AI2229" s="245"/>
      <c r="AJ2229" s="245"/>
      <c r="AK2229" s="245"/>
      <c r="AL2229" s="245"/>
      <c r="AM2229" s="244"/>
      <c r="AN2229" s="244"/>
      <c r="AO2229" s="238">
        <v>0.0</v>
      </c>
      <c r="AP2229" s="238">
        <v>-38.1</v>
      </c>
      <c r="AQ2229" s="235" t="s">
        <v>632</v>
      </c>
      <c r="AR2229" s="243">
        <v>3.71E11</v>
      </c>
      <c r="AS2229" s="235" t="s">
        <v>15064</v>
      </c>
      <c r="AT2229" s="235" t="s">
        <v>533</v>
      </c>
      <c r="AU2229" s="235" t="s">
        <v>634</v>
      </c>
      <c r="AV2229" s="246" t="s">
        <v>635</v>
      </c>
      <c r="AW2229" s="242"/>
      <c r="AX2229" s="242"/>
      <c r="AY2229" s="231"/>
      <c r="AZ2229" s="231"/>
      <c r="BA2229" s="227"/>
      <c r="BB2229" s="231"/>
      <c r="BC2229" s="227"/>
      <c r="BD2229" s="227"/>
      <c r="BE2229" s="227"/>
      <c r="BF2229" s="227"/>
    </row>
    <row r="2230">
      <c r="A2230" s="235" t="s">
        <v>17179</v>
      </c>
      <c r="C2230" s="235" t="s">
        <v>17180</v>
      </c>
      <c r="D2230" s="235" t="s">
        <v>17181</v>
      </c>
      <c r="E2230" s="243">
        <v>6.54E13</v>
      </c>
      <c r="F2230" s="245"/>
      <c r="G2230" s="235" t="s">
        <v>17182</v>
      </c>
      <c r="H2230" s="235" t="s">
        <v>17183</v>
      </c>
      <c r="I2230" s="235" t="s">
        <v>17183</v>
      </c>
      <c r="J2230" s="235" t="s">
        <v>17184</v>
      </c>
      <c r="K2230" s="235" t="s">
        <v>17185</v>
      </c>
      <c r="N2230" s="235" t="s">
        <v>127</v>
      </c>
      <c r="O2230" s="235" t="s">
        <v>794</v>
      </c>
      <c r="P2230" s="238">
        <v>1.0</v>
      </c>
      <c r="Q2230" s="235" t="s">
        <v>627</v>
      </c>
      <c r="R2230" s="238">
        <v>246.66</v>
      </c>
      <c r="S2230" s="238">
        <v>12.1</v>
      </c>
      <c r="T2230" s="238">
        <v>0.0</v>
      </c>
      <c r="U2230" s="238">
        <v>0.0</v>
      </c>
      <c r="V2230" s="238">
        <v>0.0</v>
      </c>
      <c r="W2230" s="238">
        <v>0.0</v>
      </c>
      <c r="X2230" s="235" t="s">
        <v>628</v>
      </c>
      <c r="Z2230" s="244"/>
      <c r="AA2230" s="244"/>
      <c r="AB2230" s="244"/>
      <c r="AC2230" s="235" t="s">
        <v>775</v>
      </c>
      <c r="AD2230" s="235" t="s">
        <v>679</v>
      </c>
      <c r="AE2230" s="238">
        <v>560100.0</v>
      </c>
      <c r="AF2230" s="235" t="s">
        <v>631</v>
      </c>
      <c r="AG2230" s="244"/>
      <c r="AH2230" s="244"/>
      <c r="AI2230" s="245"/>
      <c r="AJ2230" s="245"/>
      <c r="AK2230" s="245"/>
      <c r="AL2230" s="245"/>
      <c r="AM2230" s="244"/>
      <c r="AN2230" s="244"/>
      <c r="AO2230" s="238">
        <v>-4.94</v>
      </c>
      <c r="AP2230" s="238">
        <v>0.0</v>
      </c>
      <c r="AQ2230" s="235" t="s">
        <v>632</v>
      </c>
      <c r="AR2230" s="243">
        <v>1.68E11</v>
      </c>
      <c r="AS2230" s="235" t="s">
        <v>17109</v>
      </c>
      <c r="AT2230" s="235" t="s">
        <v>9</v>
      </c>
      <c r="AU2230" s="235" t="s">
        <v>634</v>
      </c>
      <c r="AV2230" s="246" t="s">
        <v>635</v>
      </c>
      <c r="AW2230" s="242"/>
      <c r="AX2230" s="242"/>
      <c r="AY2230" s="231"/>
      <c r="AZ2230" s="231"/>
      <c r="BA2230" s="227"/>
      <c r="BB2230" s="231"/>
      <c r="BC2230" s="227"/>
      <c r="BD2230" s="227"/>
      <c r="BE2230" s="227"/>
      <c r="BF2230" s="227"/>
    </row>
    <row r="2231">
      <c r="A2231" s="235" t="s">
        <v>17186</v>
      </c>
      <c r="C2231" s="235" t="s">
        <v>17187</v>
      </c>
      <c r="D2231" s="235" t="s">
        <v>17188</v>
      </c>
      <c r="E2231" s="243">
        <v>6.53E13</v>
      </c>
      <c r="F2231" s="245"/>
      <c r="G2231" s="235" t="s">
        <v>17189</v>
      </c>
      <c r="H2231" s="235" t="s">
        <v>17190</v>
      </c>
      <c r="I2231" s="235" t="s">
        <v>17191</v>
      </c>
      <c r="J2231" s="235" t="s">
        <v>17192</v>
      </c>
      <c r="K2231" s="235" t="s">
        <v>17193</v>
      </c>
      <c r="N2231" s="235" t="s">
        <v>92</v>
      </c>
      <c r="O2231" s="235" t="s">
        <v>248</v>
      </c>
      <c r="P2231" s="238">
        <v>1.0</v>
      </c>
      <c r="Q2231" s="235" t="s">
        <v>627</v>
      </c>
      <c r="R2231" s="238">
        <v>246.67</v>
      </c>
      <c r="S2231" s="238">
        <v>12.33</v>
      </c>
      <c r="T2231" s="238">
        <v>0.0</v>
      </c>
      <c r="U2231" s="238">
        <v>0.0</v>
      </c>
      <c r="V2231" s="238">
        <v>0.0</v>
      </c>
      <c r="W2231" s="238">
        <v>0.0</v>
      </c>
      <c r="X2231" s="235" t="s">
        <v>628</v>
      </c>
      <c r="Z2231" s="244"/>
      <c r="AA2231" s="244"/>
      <c r="AB2231" s="244"/>
      <c r="AC2231" s="235" t="s">
        <v>749</v>
      </c>
      <c r="AD2231" s="235" t="s">
        <v>630</v>
      </c>
      <c r="AE2231" s="238">
        <v>201306.0</v>
      </c>
      <c r="AF2231" s="235" t="s">
        <v>631</v>
      </c>
      <c r="AG2231" s="244"/>
      <c r="AH2231" s="244"/>
      <c r="AI2231" s="245"/>
      <c r="AJ2231" s="245"/>
      <c r="AK2231" s="245"/>
      <c r="AL2231" s="245"/>
      <c r="AM2231" s="244"/>
      <c r="AN2231" s="244"/>
      <c r="AO2231" s="238">
        <v>0.0</v>
      </c>
      <c r="AP2231" s="238">
        <v>0.0</v>
      </c>
      <c r="AQ2231" s="235" t="s">
        <v>632</v>
      </c>
      <c r="AR2231" s="243">
        <v>3.71E11</v>
      </c>
      <c r="AS2231" s="235" t="s">
        <v>16626</v>
      </c>
      <c r="AT2231" s="235" t="s">
        <v>533</v>
      </c>
      <c r="AU2231" s="235" t="s">
        <v>634</v>
      </c>
      <c r="AV2231" s="246" t="s">
        <v>635</v>
      </c>
      <c r="AW2231" s="242"/>
      <c r="AX2231" s="242"/>
      <c r="AY2231" s="231"/>
      <c r="AZ2231" s="231"/>
      <c r="BA2231" s="227"/>
      <c r="BB2231" s="231"/>
      <c r="BC2231" s="227"/>
      <c r="BD2231" s="227"/>
      <c r="BE2231" s="227"/>
      <c r="BF2231" s="227"/>
    </row>
    <row r="2232">
      <c r="A2232" s="235" t="s">
        <v>17194</v>
      </c>
      <c r="C2232" s="235" t="s">
        <v>17195</v>
      </c>
      <c r="D2232" s="235" t="s">
        <v>17196</v>
      </c>
      <c r="E2232" s="243">
        <v>6.54E13</v>
      </c>
      <c r="F2232" s="245"/>
      <c r="G2232" s="235" t="s">
        <v>17197</v>
      </c>
      <c r="H2232" s="235" t="s">
        <v>17198</v>
      </c>
      <c r="I2232" s="235" t="s">
        <v>17198</v>
      </c>
      <c r="J2232" s="235" t="s">
        <v>17199</v>
      </c>
      <c r="K2232" s="235" t="s">
        <v>17200</v>
      </c>
      <c r="N2232" s="235" t="s">
        <v>71</v>
      </c>
      <c r="O2232" s="235" t="s">
        <v>240</v>
      </c>
      <c r="P2232" s="238">
        <v>1.0</v>
      </c>
      <c r="Q2232" s="235" t="s">
        <v>627</v>
      </c>
      <c r="R2232" s="238">
        <v>246.67</v>
      </c>
      <c r="S2232" s="238">
        <v>12.33</v>
      </c>
      <c r="T2232" s="238">
        <v>0.0</v>
      </c>
      <c r="U2232" s="238">
        <v>0.0</v>
      </c>
      <c r="V2232" s="238">
        <v>0.0</v>
      </c>
      <c r="W2232" s="238">
        <v>0.0</v>
      </c>
      <c r="X2232" s="235" t="s">
        <v>628</v>
      </c>
      <c r="Z2232" s="244"/>
      <c r="AA2232" s="244"/>
      <c r="AB2232" s="244"/>
      <c r="AC2232" s="235" t="s">
        <v>17201</v>
      </c>
      <c r="AD2232" s="235" t="s">
        <v>666</v>
      </c>
      <c r="AE2232" s="238">
        <v>636115.0</v>
      </c>
      <c r="AF2232" s="235" t="s">
        <v>631</v>
      </c>
      <c r="AG2232" s="244"/>
      <c r="AH2232" s="244"/>
      <c r="AI2232" s="245"/>
      <c r="AJ2232" s="245"/>
      <c r="AK2232" s="245"/>
      <c r="AL2232" s="245"/>
      <c r="AM2232" s="244"/>
      <c r="AN2232" s="244"/>
      <c r="AO2232" s="238">
        <v>0.0</v>
      </c>
      <c r="AP2232" s="238">
        <v>0.0</v>
      </c>
      <c r="AQ2232" s="235" t="s">
        <v>1328</v>
      </c>
      <c r="AR2232" s="243">
        <v>1.34E13</v>
      </c>
      <c r="AS2232" s="235" t="s">
        <v>11171</v>
      </c>
      <c r="AT2232" s="235" t="s">
        <v>9</v>
      </c>
      <c r="AU2232" s="235" t="s">
        <v>634</v>
      </c>
      <c r="AV2232" s="246" t="s">
        <v>635</v>
      </c>
      <c r="AW2232" s="242"/>
      <c r="AX2232" s="242"/>
      <c r="AY2232" s="231"/>
      <c r="AZ2232" s="231"/>
      <c r="BA2232" s="227"/>
      <c r="BB2232" s="231"/>
      <c r="BC2232" s="227"/>
      <c r="BD2232" s="227"/>
      <c r="BE2232" s="227"/>
      <c r="BF2232" s="227"/>
    </row>
    <row r="2233">
      <c r="A2233" s="235" t="s">
        <v>17202</v>
      </c>
      <c r="C2233" s="235" t="s">
        <v>17203</v>
      </c>
      <c r="D2233" s="235" t="s">
        <v>17204</v>
      </c>
      <c r="E2233" s="243">
        <v>6.54E13</v>
      </c>
      <c r="F2233" s="245"/>
      <c r="G2233" s="235" t="s">
        <v>17205</v>
      </c>
      <c r="H2233" s="235" t="s">
        <v>17206</v>
      </c>
      <c r="I2233" s="235" t="s">
        <v>17206</v>
      </c>
      <c r="J2233" s="235" t="s">
        <v>17207</v>
      </c>
      <c r="K2233" s="235" t="s">
        <v>17208</v>
      </c>
      <c r="N2233" s="235" t="s">
        <v>85</v>
      </c>
      <c r="O2233" s="235" t="s">
        <v>872</v>
      </c>
      <c r="P2233" s="238">
        <v>1.0</v>
      </c>
      <c r="Q2233" s="235" t="s">
        <v>627</v>
      </c>
      <c r="R2233" s="238">
        <v>246.66</v>
      </c>
      <c r="S2233" s="238">
        <v>12.1</v>
      </c>
      <c r="T2233" s="238">
        <v>0.0</v>
      </c>
      <c r="U2233" s="238">
        <v>0.0</v>
      </c>
      <c r="V2233" s="238">
        <v>0.0</v>
      </c>
      <c r="W2233" s="238">
        <v>0.0</v>
      </c>
      <c r="X2233" s="235" t="s">
        <v>628</v>
      </c>
      <c r="Z2233" s="244"/>
      <c r="AA2233" s="244"/>
      <c r="AB2233" s="244"/>
      <c r="AC2233" s="235" t="s">
        <v>687</v>
      </c>
      <c r="AD2233" s="235" t="s">
        <v>666</v>
      </c>
      <c r="AE2233" s="238">
        <v>600126.0</v>
      </c>
      <c r="AF2233" s="235" t="s">
        <v>631</v>
      </c>
      <c r="AG2233" s="244"/>
      <c r="AH2233" s="244"/>
      <c r="AI2233" s="245"/>
      <c r="AJ2233" s="245"/>
      <c r="AK2233" s="245"/>
      <c r="AL2233" s="245"/>
      <c r="AM2233" s="244"/>
      <c r="AN2233" s="244"/>
      <c r="AO2233" s="238">
        <v>-4.94</v>
      </c>
      <c r="AP2233" s="238">
        <v>0.0</v>
      </c>
      <c r="AQ2233" s="235" t="s">
        <v>632</v>
      </c>
      <c r="AR2233" s="243">
        <v>3.71E11</v>
      </c>
      <c r="AS2233" s="235" t="s">
        <v>16626</v>
      </c>
      <c r="AT2233" s="235" t="s">
        <v>156</v>
      </c>
      <c r="AU2233" s="235" t="s">
        <v>634</v>
      </c>
      <c r="AV2233" s="246" t="s">
        <v>635</v>
      </c>
      <c r="AW2233" s="242"/>
      <c r="AX2233" s="242"/>
      <c r="AY2233" s="231"/>
      <c r="AZ2233" s="231"/>
      <c r="BA2233" s="227"/>
      <c r="BB2233" s="231"/>
      <c r="BC2233" s="227"/>
      <c r="BD2233" s="227"/>
      <c r="BE2233" s="227"/>
      <c r="BF2233" s="227"/>
    </row>
    <row r="2234">
      <c r="A2234" s="235" t="s">
        <v>17209</v>
      </c>
      <c r="C2234" s="235" t="s">
        <v>17210</v>
      </c>
      <c r="D2234" s="235" t="s">
        <v>17211</v>
      </c>
      <c r="E2234" s="243">
        <v>6.53E13</v>
      </c>
      <c r="F2234" s="245"/>
      <c r="G2234" s="235" t="s">
        <v>17212</v>
      </c>
      <c r="H2234" s="235" t="s">
        <v>17213</v>
      </c>
      <c r="I2234" s="235" t="s">
        <v>17213</v>
      </c>
      <c r="J2234" s="235" t="s">
        <v>17214</v>
      </c>
      <c r="K2234" s="235" t="s">
        <v>17215</v>
      </c>
      <c r="N2234" s="235" t="s">
        <v>15</v>
      </c>
      <c r="O2234" s="235" t="s">
        <v>856</v>
      </c>
      <c r="P2234" s="238">
        <v>1.0</v>
      </c>
      <c r="Q2234" s="235" t="s">
        <v>627</v>
      </c>
      <c r="R2234" s="238">
        <v>380.0</v>
      </c>
      <c r="S2234" s="238">
        <v>18.43</v>
      </c>
      <c r="T2234" s="238">
        <v>38.1</v>
      </c>
      <c r="U2234" s="238">
        <v>1.9</v>
      </c>
      <c r="V2234" s="238">
        <v>0.0</v>
      </c>
      <c r="W2234" s="238">
        <v>0.0</v>
      </c>
      <c r="X2234" s="235" t="s">
        <v>628</v>
      </c>
      <c r="Z2234" s="244"/>
      <c r="AA2234" s="244"/>
      <c r="AB2234" s="244"/>
      <c r="AC2234" s="235" t="s">
        <v>17216</v>
      </c>
      <c r="AD2234" s="235" t="s">
        <v>1077</v>
      </c>
      <c r="AE2234" s="238">
        <v>370421.0</v>
      </c>
      <c r="AF2234" s="235" t="s">
        <v>631</v>
      </c>
      <c r="AG2234" s="244"/>
      <c r="AH2234" s="244"/>
      <c r="AI2234" s="245"/>
      <c r="AJ2234" s="245"/>
      <c r="AK2234" s="245"/>
      <c r="AL2234" s="245"/>
      <c r="AM2234" s="244"/>
      <c r="AN2234" s="244"/>
      <c r="AO2234" s="238">
        <v>-11.4</v>
      </c>
      <c r="AP2234" s="238">
        <v>-38.1</v>
      </c>
      <c r="AQ2234" s="235" t="s">
        <v>632</v>
      </c>
      <c r="AR2234" s="243">
        <v>1.68E11</v>
      </c>
      <c r="AS2234" s="235" t="s">
        <v>13822</v>
      </c>
      <c r="AT2234" s="235" t="s">
        <v>5</v>
      </c>
      <c r="AU2234" s="235" t="s">
        <v>634</v>
      </c>
      <c r="AV2234" s="246" t="s">
        <v>635</v>
      </c>
      <c r="AW2234" s="242"/>
      <c r="AX2234" s="242"/>
      <c r="AY2234" s="231"/>
      <c r="AZ2234" s="231"/>
      <c r="BA2234" s="227"/>
      <c r="BB2234" s="231"/>
      <c r="BC2234" s="227"/>
      <c r="BD2234" s="227"/>
      <c r="BE2234" s="227"/>
      <c r="BF2234" s="227"/>
    </row>
    <row r="2235">
      <c r="A2235" s="235" t="s">
        <v>17209</v>
      </c>
      <c r="C2235" s="235" t="s">
        <v>17210</v>
      </c>
      <c r="D2235" s="235" t="s">
        <v>17217</v>
      </c>
      <c r="E2235" s="243">
        <v>6.53E13</v>
      </c>
      <c r="F2235" s="245"/>
      <c r="G2235" s="235" t="s">
        <v>17212</v>
      </c>
      <c r="H2235" s="235" t="s">
        <v>17213</v>
      </c>
      <c r="I2235" s="235" t="s">
        <v>17213</v>
      </c>
      <c r="J2235" s="235" t="s">
        <v>17214</v>
      </c>
      <c r="K2235" s="235" t="s">
        <v>17215</v>
      </c>
      <c r="N2235" s="235" t="s">
        <v>15</v>
      </c>
      <c r="O2235" s="235" t="s">
        <v>856</v>
      </c>
      <c r="P2235" s="238">
        <v>1.0</v>
      </c>
      <c r="Q2235" s="235" t="s">
        <v>627</v>
      </c>
      <c r="R2235" s="238">
        <v>380.0</v>
      </c>
      <c r="S2235" s="238">
        <v>18.43</v>
      </c>
      <c r="T2235" s="238">
        <v>38.1</v>
      </c>
      <c r="U2235" s="238">
        <v>1.9</v>
      </c>
      <c r="V2235" s="238">
        <v>0.0</v>
      </c>
      <c r="W2235" s="238">
        <v>0.0</v>
      </c>
      <c r="X2235" s="235" t="s">
        <v>628</v>
      </c>
      <c r="Z2235" s="244"/>
      <c r="AA2235" s="244"/>
      <c r="AB2235" s="244"/>
      <c r="AC2235" s="235" t="s">
        <v>17216</v>
      </c>
      <c r="AD2235" s="235" t="s">
        <v>1077</v>
      </c>
      <c r="AE2235" s="238">
        <v>370421.0</v>
      </c>
      <c r="AF2235" s="235" t="s">
        <v>631</v>
      </c>
      <c r="AG2235" s="244"/>
      <c r="AH2235" s="244"/>
      <c r="AI2235" s="245"/>
      <c r="AJ2235" s="245"/>
      <c r="AK2235" s="245"/>
      <c r="AL2235" s="245"/>
      <c r="AM2235" s="244"/>
      <c r="AN2235" s="244"/>
      <c r="AO2235" s="238">
        <v>-11.4</v>
      </c>
      <c r="AP2235" s="238">
        <v>-38.1</v>
      </c>
      <c r="AQ2235" s="235" t="s">
        <v>632</v>
      </c>
      <c r="AR2235" s="243">
        <v>1.68E11</v>
      </c>
      <c r="AS2235" s="235" t="s">
        <v>13822</v>
      </c>
      <c r="AT2235" s="235" t="s">
        <v>5</v>
      </c>
      <c r="AU2235" s="235" t="s">
        <v>634</v>
      </c>
      <c r="AV2235" s="246" t="s">
        <v>635</v>
      </c>
      <c r="AW2235" s="242"/>
      <c r="AX2235" s="242"/>
      <c r="AY2235" s="231"/>
      <c r="AZ2235" s="231"/>
      <c r="BA2235" s="227"/>
      <c r="BB2235" s="231"/>
      <c r="BC2235" s="227"/>
      <c r="BD2235" s="227"/>
      <c r="BE2235" s="227"/>
      <c r="BF2235" s="227"/>
    </row>
    <row r="2236">
      <c r="A2236" s="235" t="s">
        <v>17218</v>
      </c>
      <c r="C2236" s="235" t="s">
        <v>17219</v>
      </c>
      <c r="D2236" s="235" t="s">
        <v>17220</v>
      </c>
      <c r="E2236" s="243">
        <v>6.53E13</v>
      </c>
      <c r="F2236" s="245"/>
      <c r="G2236" s="235" t="s">
        <v>17221</v>
      </c>
      <c r="H2236" s="235" t="s">
        <v>17222</v>
      </c>
      <c r="I2236" s="235" t="s">
        <v>17222</v>
      </c>
      <c r="J2236" s="235" t="s">
        <v>17223</v>
      </c>
      <c r="K2236" s="235" t="s">
        <v>17224</v>
      </c>
      <c r="N2236" s="235" t="s">
        <v>541</v>
      </c>
      <c r="O2236" s="235" t="s">
        <v>664</v>
      </c>
      <c r="P2236" s="238">
        <v>1.0</v>
      </c>
      <c r="Q2236" s="235" t="s">
        <v>627</v>
      </c>
      <c r="R2236" s="238">
        <v>668.64</v>
      </c>
      <c r="S2236" s="238">
        <v>120.36</v>
      </c>
      <c r="T2236" s="238">
        <v>33.9</v>
      </c>
      <c r="U2236" s="238">
        <v>6.1</v>
      </c>
      <c r="V2236" s="238">
        <v>0.0</v>
      </c>
      <c r="W2236" s="238">
        <v>0.0</v>
      </c>
      <c r="X2236" s="235" t="s">
        <v>628</v>
      </c>
      <c r="Z2236" s="244"/>
      <c r="AA2236" s="244"/>
      <c r="AB2236" s="244"/>
      <c r="AC2236" s="235" t="s">
        <v>17225</v>
      </c>
      <c r="AD2236" s="235" t="s">
        <v>645</v>
      </c>
      <c r="AE2236" s="238">
        <v>685508.0</v>
      </c>
      <c r="AF2236" s="235" t="s">
        <v>631</v>
      </c>
      <c r="AG2236" s="244"/>
      <c r="AH2236" s="244"/>
      <c r="AI2236" s="245"/>
      <c r="AJ2236" s="245"/>
      <c r="AK2236" s="245"/>
      <c r="AL2236" s="245"/>
      <c r="AM2236" s="244"/>
      <c r="AN2236" s="244"/>
      <c r="AO2236" s="238">
        <v>0.0</v>
      </c>
      <c r="AP2236" s="238">
        <v>-33.9</v>
      </c>
      <c r="AQ2236" s="235" t="s">
        <v>632</v>
      </c>
      <c r="AR2236" s="243">
        <v>3.71E11</v>
      </c>
      <c r="AS2236" s="235" t="s">
        <v>13822</v>
      </c>
      <c r="AT2236" s="235" t="s">
        <v>155</v>
      </c>
      <c r="AU2236" s="235" t="s">
        <v>634</v>
      </c>
      <c r="AV2236" s="246" t="s">
        <v>635</v>
      </c>
      <c r="AW2236" s="242"/>
      <c r="AX2236" s="242"/>
      <c r="AY2236" s="231"/>
      <c r="AZ2236" s="231"/>
      <c r="BA2236" s="227"/>
      <c r="BB2236" s="231"/>
      <c r="BC2236" s="227"/>
      <c r="BD2236" s="227"/>
      <c r="BE2236" s="227"/>
      <c r="BF2236" s="227"/>
    </row>
    <row r="2237">
      <c r="A2237" s="235" t="s">
        <v>17226</v>
      </c>
      <c r="C2237" s="235" t="s">
        <v>17227</v>
      </c>
      <c r="D2237" s="235" t="s">
        <v>17228</v>
      </c>
      <c r="E2237" s="243">
        <v>6.54E13</v>
      </c>
      <c r="F2237" s="245"/>
      <c r="G2237" s="235" t="s">
        <v>17229</v>
      </c>
      <c r="H2237" s="235" t="s">
        <v>17230</v>
      </c>
      <c r="I2237" s="235" t="s">
        <v>17230</v>
      </c>
      <c r="J2237" s="235" t="s">
        <v>17231</v>
      </c>
      <c r="K2237" s="235" t="s">
        <v>17232</v>
      </c>
      <c r="N2237" s="235" t="s">
        <v>51</v>
      </c>
      <c r="O2237" s="235" t="s">
        <v>273</v>
      </c>
      <c r="P2237" s="238">
        <v>1.0</v>
      </c>
      <c r="Q2237" s="235" t="s">
        <v>627</v>
      </c>
      <c r="R2237" s="238">
        <v>237.14</v>
      </c>
      <c r="S2237" s="238">
        <v>11.86</v>
      </c>
      <c r="T2237" s="238">
        <v>0.0</v>
      </c>
      <c r="U2237" s="238">
        <v>0.0</v>
      </c>
      <c r="V2237" s="238">
        <v>0.0</v>
      </c>
      <c r="W2237" s="238">
        <v>0.0</v>
      </c>
      <c r="X2237" s="235" t="s">
        <v>628</v>
      </c>
      <c r="Z2237" s="244"/>
      <c r="AA2237" s="244"/>
      <c r="AB2237" s="244"/>
      <c r="AC2237" s="235" t="s">
        <v>678</v>
      </c>
      <c r="AD2237" s="235" t="s">
        <v>679</v>
      </c>
      <c r="AE2237" s="238">
        <v>560003.0</v>
      </c>
      <c r="AF2237" s="235" t="s">
        <v>631</v>
      </c>
      <c r="AG2237" s="244"/>
      <c r="AH2237" s="244"/>
      <c r="AI2237" s="245"/>
      <c r="AJ2237" s="245"/>
      <c r="AK2237" s="245"/>
      <c r="AL2237" s="245"/>
      <c r="AM2237" s="244"/>
      <c r="AN2237" s="244"/>
      <c r="AO2237" s="238">
        <v>0.0</v>
      </c>
      <c r="AP2237" s="238">
        <v>0.0</v>
      </c>
      <c r="AQ2237" s="235" t="s">
        <v>632</v>
      </c>
      <c r="AR2237" s="243">
        <v>1.68E11</v>
      </c>
      <c r="AS2237" s="235" t="s">
        <v>17109</v>
      </c>
      <c r="AT2237" s="235" t="s">
        <v>11</v>
      </c>
      <c r="AU2237" s="235" t="s">
        <v>634</v>
      </c>
      <c r="AV2237" s="246" t="s">
        <v>635</v>
      </c>
      <c r="AW2237" s="242"/>
      <c r="AX2237" s="242"/>
      <c r="AY2237" s="231"/>
      <c r="AZ2237" s="231"/>
      <c r="BA2237" s="227"/>
      <c r="BB2237" s="231"/>
      <c r="BC2237" s="227"/>
      <c r="BD2237" s="227"/>
      <c r="BE2237" s="227"/>
      <c r="BF2237" s="227"/>
    </row>
    <row r="2238">
      <c r="A2238" s="235" t="s">
        <v>17233</v>
      </c>
      <c r="C2238" s="235" t="s">
        <v>17234</v>
      </c>
      <c r="D2238" s="235" t="s">
        <v>17235</v>
      </c>
      <c r="E2238" s="243">
        <v>6.54E13</v>
      </c>
      <c r="F2238" s="245"/>
      <c r="G2238" s="235" t="s">
        <v>17236</v>
      </c>
      <c r="H2238" s="235" t="s">
        <v>17237</v>
      </c>
      <c r="I2238" s="235" t="s">
        <v>17237</v>
      </c>
      <c r="J2238" s="235" t="s">
        <v>17238</v>
      </c>
      <c r="K2238" s="235" t="s">
        <v>17239</v>
      </c>
      <c r="N2238" s="235" t="s">
        <v>726</v>
      </c>
      <c r="O2238" s="235" t="s">
        <v>727</v>
      </c>
      <c r="P2238" s="238">
        <v>1.0</v>
      </c>
      <c r="Q2238" s="235" t="s">
        <v>627</v>
      </c>
      <c r="R2238" s="238">
        <v>242.86</v>
      </c>
      <c r="S2238" s="238">
        <v>12.14</v>
      </c>
      <c r="T2238" s="238">
        <v>0.0</v>
      </c>
      <c r="U2238" s="238">
        <v>0.0</v>
      </c>
      <c r="V2238" s="238">
        <v>0.0</v>
      </c>
      <c r="W2238" s="238">
        <v>0.0</v>
      </c>
      <c r="X2238" s="235" t="s">
        <v>628</v>
      </c>
      <c r="Z2238" s="244"/>
      <c r="AA2238" s="244"/>
      <c r="AB2238" s="244"/>
      <c r="AC2238" s="235" t="s">
        <v>795</v>
      </c>
      <c r="AD2238" s="235" t="s">
        <v>796</v>
      </c>
      <c r="AE2238" s="238">
        <v>110074.0</v>
      </c>
      <c r="AF2238" s="235" t="s">
        <v>631</v>
      </c>
      <c r="AG2238" s="244"/>
      <c r="AH2238" s="244"/>
      <c r="AI2238" s="245"/>
      <c r="AJ2238" s="245"/>
      <c r="AK2238" s="245"/>
      <c r="AL2238" s="245"/>
      <c r="AM2238" s="244"/>
      <c r="AN2238" s="244"/>
      <c r="AO2238" s="238">
        <v>0.0</v>
      </c>
      <c r="AP2238" s="238">
        <v>0.0</v>
      </c>
      <c r="AQ2238" s="235" t="s">
        <v>632</v>
      </c>
      <c r="AR2238" s="243">
        <v>3.71E11</v>
      </c>
      <c r="AS2238" s="235" t="s">
        <v>16626</v>
      </c>
      <c r="AT2238" s="235" t="s">
        <v>533</v>
      </c>
      <c r="AU2238" s="235" t="s">
        <v>634</v>
      </c>
      <c r="AV2238" s="246" t="s">
        <v>635</v>
      </c>
      <c r="AW2238" s="242"/>
      <c r="AX2238" s="242"/>
      <c r="AY2238" s="231"/>
      <c r="AZ2238" s="231"/>
      <c r="BA2238" s="227"/>
      <c r="BB2238" s="231"/>
      <c r="BC2238" s="227"/>
      <c r="BD2238" s="227"/>
      <c r="BE2238" s="227"/>
      <c r="BF2238" s="227"/>
    </row>
    <row r="2239">
      <c r="A2239" s="235" t="s">
        <v>17240</v>
      </c>
      <c r="C2239" s="235" t="s">
        <v>17241</v>
      </c>
      <c r="D2239" s="235" t="s">
        <v>17242</v>
      </c>
      <c r="E2239" s="243">
        <v>6.54E13</v>
      </c>
      <c r="F2239" s="245"/>
      <c r="G2239" s="235" t="s">
        <v>17243</v>
      </c>
      <c r="H2239" s="235" t="s">
        <v>17244</v>
      </c>
      <c r="I2239" s="235" t="s">
        <v>17245</v>
      </c>
      <c r="J2239" s="235" t="s">
        <v>17246</v>
      </c>
      <c r="K2239" s="235" t="s">
        <v>17247</v>
      </c>
      <c r="N2239" s="235" t="s">
        <v>4781</v>
      </c>
      <c r="O2239" s="235" t="s">
        <v>4782</v>
      </c>
      <c r="P2239" s="238">
        <v>1.0</v>
      </c>
      <c r="Q2239" s="235" t="s">
        <v>627</v>
      </c>
      <c r="R2239" s="238">
        <v>507.63</v>
      </c>
      <c r="S2239" s="238">
        <v>89.54</v>
      </c>
      <c r="T2239" s="238">
        <v>0.0</v>
      </c>
      <c r="U2239" s="238">
        <v>0.0</v>
      </c>
      <c r="V2239" s="238">
        <v>0.0</v>
      </c>
      <c r="W2239" s="238">
        <v>0.0</v>
      </c>
      <c r="X2239" s="235" t="s">
        <v>628</v>
      </c>
      <c r="Z2239" s="244"/>
      <c r="AA2239" s="244"/>
      <c r="AB2239" s="244"/>
      <c r="AC2239" s="235" t="s">
        <v>822</v>
      </c>
      <c r="AD2239" s="235" t="s">
        <v>630</v>
      </c>
      <c r="AE2239" s="238">
        <v>201305.0</v>
      </c>
      <c r="AF2239" s="235" t="s">
        <v>631</v>
      </c>
      <c r="AG2239" s="244"/>
      <c r="AH2239" s="244"/>
      <c r="AI2239" s="245"/>
      <c r="AJ2239" s="245"/>
      <c r="AK2239" s="245"/>
      <c r="AL2239" s="245"/>
      <c r="AM2239" s="244"/>
      <c r="AN2239" s="244"/>
      <c r="AO2239" s="238">
        <v>-10.15</v>
      </c>
      <c r="AP2239" s="238">
        <v>0.0</v>
      </c>
      <c r="AQ2239" s="235" t="s">
        <v>632</v>
      </c>
      <c r="AR2239" s="243">
        <v>1.68E11</v>
      </c>
      <c r="AS2239" s="235" t="s">
        <v>17109</v>
      </c>
      <c r="AT2239" s="235" t="s">
        <v>533</v>
      </c>
      <c r="AU2239" s="235" t="s">
        <v>634</v>
      </c>
      <c r="AV2239" s="246" t="s">
        <v>635</v>
      </c>
      <c r="AW2239" s="242"/>
      <c r="AX2239" s="242"/>
      <c r="AY2239" s="231"/>
      <c r="AZ2239" s="231"/>
      <c r="BA2239" s="227"/>
      <c r="BB2239" s="231"/>
      <c r="BC2239" s="227"/>
      <c r="BD2239" s="227"/>
      <c r="BE2239" s="227"/>
      <c r="BF2239" s="227"/>
    </row>
    <row r="2240">
      <c r="A2240" s="235" t="s">
        <v>17248</v>
      </c>
      <c r="C2240" s="235" t="s">
        <v>17249</v>
      </c>
      <c r="D2240" s="235" t="s">
        <v>17250</v>
      </c>
      <c r="E2240" s="243">
        <v>6.53E13</v>
      </c>
      <c r="F2240" s="245"/>
      <c r="G2240" s="235" t="s">
        <v>17251</v>
      </c>
      <c r="H2240" s="235" t="s">
        <v>17252</v>
      </c>
      <c r="I2240" s="235" t="s">
        <v>17252</v>
      </c>
      <c r="J2240" s="235" t="s">
        <v>17253</v>
      </c>
      <c r="K2240" s="235" t="s">
        <v>17254</v>
      </c>
      <c r="N2240" s="235" t="s">
        <v>962</v>
      </c>
      <c r="O2240" s="235" t="s">
        <v>963</v>
      </c>
      <c r="P2240" s="238">
        <v>1.0</v>
      </c>
      <c r="Q2240" s="235" t="s">
        <v>627</v>
      </c>
      <c r="R2240" s="238">
        <v>270.48</v>
      </c>
      <c r="S2240" s="238">
        <v>13.52</v>
      </c>
      <c r="T2240" s="238">
        <v>38.1</v>
      </c>
      <c r="U2240" s="238">
        <v>1.9</v>
      </c>
      <c r="V2240" s="238">
        <v>0.0</v>
      </c>
      <c r="W2240" s="238">
        <v>0.0</v>
      </c>
      <c r="X2240" s="235" t="s">
        <v>628</v>
      </c>
      <c r="Z2240" s="244"/>
      <c r="AA2240" s="244"/>
      <c r="AB2240" s="244"/>
      <c r="AC2240" s="235" t="s">
        <v>17255</v>
      </c>
      <c r="AD2240" s="235" t="s">
        <v>666</v>
      </c>
      <c r="AE2240" s="238">
        <v>601201.0</v>
      </c>
      <c r="AF2240" s="235" t="s">
        <v>631</v>
      </c>
      <c r="AG2240" s="244"/>
      <c r="AH2240" s="244"/>
      <c r="AI2240" s="245"/>
      <c r="AJ2240" s="245"/>
      <c r="AK2240" s="245"/>
      <c r="AL2240" s="245"/>
      <c r="AM2240" s="244"/>
      <c r="AN2240" s="244"/>
      <c r="AO2240" s="238">
        <v>0.0</v>
      </c>
      <c r="AP2240" s="238">
        <v>-38.1</v>
      </c>
      <c r="AQ2240" s="235" t="s">
        <v>632</v>
      </c>
      <c r="AR2240" s="243">
        <v>3.71E11</v>
      </c>
      <c r="AS2240" s="235" t="s">
        <v>15064</v>
      </c>
      <c r="AT2240" s="235" t="s">
        <v>156</v>
      </c>
      <c r="AU2240" s="235" t="s">
        <v>634</v>
      </c>
      <c r="AV2240" s="246" t="s">
        <v>635</v>
      </c>
      <c r="AW2240" s="242"/>
      <c r="AX2240" s="242"/>
      <c r="AY2240" s="231"/>
      <c r="AZ2240" s="231"/>
      <c r="BA2240" s="227"/>
      <c r="BB2240" s="231"/>
      <c r="BC2240" s="227"/>
      <c r="BD2240" s="227"/>
      <c r="BE2240" s="227"/>
      <c r="BF2240" s="227"/>
    </row>
    <row r="2241">
      <c r="A2241" s="235" t="s">
        <v>17256</v>
      </c>
      <c r="C2241" s="235" t="s">
        <v>17257</v>
      </c>
      <c r="D2241" s="235" t="s">
        <v>17258</v>
      </c>
      <c r="E2241" s="243">
        <v>6.54E13</v>
      </c>
      <c r="F2241" s="245"/>
      <c r="G2241" s="235" t="s">
        <v>17259</v>
      </c>
      <c r="H2241" s="235" t="s">
        <v>17260</v>
      </c>
      <c r="I2241" s="235" t="s">
        <v>17260</v>
      </c>
      <c r="J2241" s="235" t="s">
        <v>17261</v>
      </c>
      <c r="K2241" s="235" t="s">
        <v>17262</v>
      </c>
      <c r="N2241" s="235" t="s">
        <v>43</v>
      </c>
      <c r="O2241" s="235" t="s">
        <v>276</v>
      </c>
      <c r="P2241" s="238">
        <v>1.0</v>
      </c>
      <c r="Q2241" s="235" t="s">
        <v>627</v>
      </c>
      <c r="R2241" s="238">
        <v>270.48</v>
      </c>
      <c r="S2241" s="238">
        <v>13.52</v>
      </c>
      <c r="T2241" s="238">
        <v>0.0</v>
      </c>
      <c r="U2241" s="238">
        <v>0.0</v>
      </c>
      <c r="V2241" s="238">
        <v>0.0</v>
      </c>
      <c r="W2241" s="238">
        <v>0.0</v>
      </c>
      <c r="X2241" s="235" t="s">
        <v>628</v>
      </c>
      <c r="Z2241" s="244"/>
      <c r="AA2241" s="244"/>
      <c r="AB2241" s="244"/>
      <c r="AC2241" s="235" t="s">
        <v>687</v>
      </c>
      <c r="AD2241" s="235" t="s">
        <v>666</v>
      </c>
      <c r="AE2241" s="238">
        <v>600093.0</v>
      </c>
      <c r="AF2241" s="235" t="s">
        <v>631</v>
      </c>
      <c r="AG2241" s="244"/>
      <c r="AH2241" s="244"/>
      <c r="AI2241" s="245"/>
      <c r="AJ2241" s="245"/>
      <c r="AK2241" s="245"/>
      <c r="AL2241" s="245"/>
      <c r="AM2241" s="244"/>
      <c r="AN2241" s="244"/>
      <c r="AO2241" s="238">
        <v>0.0</v>
      </c>
      <c r="AP2241" s="238">
        <v>0.0</v>
      </c>
      <c r="AQ2241" s="235" t="s">
        <v>632</v>
      </c>
      <c r="AR2241" s="243">
        <v>1.68E11</v>
      </c>
      <c r="AS2241" s="235" t="s">
        <v>17109</v>
      </c>
      <c r="AT2241" s="235" t="s">
        <v>156</v>
      </c>
      <c r="AU2241" s="235" t="s">
        <v>634</v>
      </c>
      <c r="AV2241" s="246" t="s">
        <v>635</v>
      </c>
      <c r="AW2241" s="242"/>
      <c r="AX2241" s="242"/>
      <c r="AY2241" s="231"/>
      <c r="AZ2241" s="231"/>
      <c r="BA2241" s="227"/>
      <c r="BB2241" s="231"/>
      <c r="BC2241" s="227"/>
      <c r="BD2241" s="227"/>
      <c r="BE2241" s="227"/>
      <c r="BF2241" s="227"/>
    </row>
    <row r="2242">
      <c r="A2242" s="235" t="s">
        <v>17263</v>
      </c>
      <c r="C2242" s="235" t="s">
        <v>17264</v>
      </c>
      <c r="D2242" s="235" t="s">
        <v>17265</v>
      </c>
      <c r="E2242" s="243">
        <v>6.54E13</v>
      </c>
      <c r="F2242" s="245"/>
      <c r="G2242" s="235" t="s">
        <v>17266</v>
      </c>
      <c r="H2242" s="235" t="s">
        <v>17267</v>
      </c>
      <c r="I2242" s="235" t="s">
        <v>17267</v>
      </c>
      <c r="J2242" s="235" t="s">
        <v>17268</v>
      </c>
      <c r="K2242" s="235" t="s">
        <v>17269</v>
      </c>
      <c r="N2242" s="235" t="s">
        <v>82</v>
      </c>
      <c r="O2242" s="235" t="s">
        <v>889</v>
      </c>
      <c r="P2242" s="238">
        <v>1.0</v>
      </c>
      <c r="Q2242" s="235" t="s">
        <v>627</v>
      </c>
      <c r="R2242" s="238">
        <v>270.48</v>
      </c>
      <c r="S2242" s="238">
        <v>13.12</v>
      </c>
      <c r="T2242" s="238">
        <v>0.0</v>
      </c>
      <c r="U2242" s="238">
        <v>0.0</v>
      </c>
      <c r="V2242" s="238">
        <v>0.0</v>
      </c>
      <c r="W2242" s="238">
        <v>0.0</v>
      </c>
      <c r="X2242" s="235" t="s">
        <v>628</v>
      </c>
      <c r="Z2242" s="244"/>
      <c r="AA2242" s="244"/>
      <c r="AB2242" s="244"/>
      <c r="AC2242" s="235" t="s">
        <v>1320</v>
      </c>
      <c r="AD2242" s="235" t="s">
        <v>666</v>
      </c>
      <c r="AE2242" s="238">
        <v>600095.0</v>
      </c>
      <c r="AF2242" s="235" t="s">
        <v>631</v>
      </c>
      <c r="AG2242" s="244"/>
      <c r="AH2242" s="244"/>
      <c r="AI2242" s="245"/>
      <c r="AJ2242" s="245"/>
      <c r="AK2242" s="245"/>
      <c r="AL2242" s="245"/>
      <c r="AM2242" s="244"/>
      <c r="AN2242" s="244"/>
      <c r="AO2242" s="238">
        <v>-8.12</v>
      </c>
      <c r="AP2242" s="238">
        <v>0.0</v>
      </c>
      <c r="AQ2242" s="235" t="s">
        <v>632</v>
      </c>
      <c r="AR2242" s="243">
        <v>3.71E11</v>
      </c>
      <c r="AS2242" s="235" t="s">
        <v>16626</v>
      </c>
      <c r="AT2242" s="235" t="s">
        <v>156</v>
      </c>
      <c r="AU2242" s="235" t="s">
        <v>634</v>
      </c>
      <c r="AV2242" s="246" t="s">
        <v>635</v>
      </c>
      <c r="AW2242" s="242"/>
      <c r="AX2242" s="242"/>
      <c r="AY2242" s="231"/>
      <c r="AZ2242" s="231"/>
      <c r="BA2242" s="227"/>
      <c r="BB2242" s="231"/>
      <c r="BC2242" s="227"/>
      <c r="BD2242" s="227"/>
      <c r="BE2242" s="227"/>
      <c r="BF2242" s="227"/>
    </row>
    <row r="2243">
      <c r="A2243" s="235" t="s">
        <v>17263</v>
      </c>
      <c r="C2243" s="235" t="s">
        <v>17264</v>
      </c>
      <c r="D2243" s="235" t="s">
        <v>17270</v>
      </c>
      <c r="E2243" s="243">
        <v>6.54E13</v>
      </c>
      <c r="F2243" s="245"/>
      <c r="G2243" s="235" t="s">
        <v>17266</v>
      </c>
      <c r="H2243" s="235" t="s">
        <v>17267</v>
      </c>
      <c r="I2243" s="235" t="s">
        <v>17267</v>
      </c>
      <c r="J2243" s="235" t="s">
        <v>17268</v>
      </c>
      <c r="K2243" s="235" t="s">
        <v>17269</v>
      </c>
      <c r="N2243" s="235" t="s">
        <v>82</v>
      </c>
      <c r="O2243" s="235" t="s">
        <v>889</v>
      </c>
      <c r="P2243" s="238">
        <v>1.0</v>
      </c>
      <c r="Q2243" s="235" t="s">
        <v>627</v>
      </c>
      <c r="R2243" s="238">
        <v>270.48</v>
      </c>
      <c r="S2243" s="238">
        <v>13.12</v>
      </c>
      <c r="T2243" s="238">
        <v>0.0</v>
      </c>
      <c r="U2243" s="238">
        <v>0.0</v>
      </c>
      <c r="V2243" s="238">
        <v>0.0</v>
      </c>
      <c r="W2243" s="238">
        <v>0.0</v>
      </c>
      <c r="X2243" s="235" t="s">
        <v>628</v>
      </c>
      <c r="Z2243" s="244"/>
      <c r="AA2243" s="244"/>
      <c r="AB2243" s="244"/>
      <c r="AC2243" s="235" t="s">
        <v>1320</v>
      </c>
      <c r="AD2243" s="235" t="s">
        <v>666</v>
      </c>
      <c r="AE2243" s="238">
        <v>600095.0</v>
      </c>
      <c r="AF2243" s="235" t="s">
        <v>631</v>
      </c>
      <c r="AG2243" s="244"/>
      <c r="AH2243" s="244"/>
      <c r="AI2243" s="245"/>
      <c r="AJ2243" s="245"/>
      <c r="AK2243" s="245"/>
      <c r="AL2243" s="245"/>
      <c r="AM2243" s="244"/>
      <c r="AN2243" s="244"/>
      <c r="AO2243" s="238">
        <v>-8.12</v>
      </c>
      <c r="AP2243" s="238">
        <v>0.0</v>
      </c>
      <c r="AQ2243" s="235" t="s">
        <v>632</v>
      </c>
      <c r="AR2243" s="243">
        <v>3.71E11</v>
      </c>
      <c r="AS2243" s="235" t="s">
        <v>16626</v>
      </c>
      <c r="AT2243" s="235" t="s">
        <v>156</v>
      </c>
      <c r="AU2243" s="235" t="s">
        <v>634</v>
      </c>
      <c r="AV2243" s="246" t="s">
        <v>635</v>
      </c>
      <c r="AW2243" s="242"/>
      <c r="AX2243" s="242"/>
      <c r="AY2243" s="231"/>
      <c r="AZ2243" s="231"/>
      <c r="BA2243" s="227"/>
      <c r="BB2243" s="231"/>
      <c r="BC2243" s="227"/>
      <c r="BD2243" s="227"/>
      <c r="BE2243" s="227"/>
      <c r="BF2243" s="227"/>
    </row>
    <row r="2244">
      <c r="A2244" s="235" t="s">
        <v>17271</v>
      </c>
      <c r="C2244" s="235" t="s">
        <v>17272</v>
      </c>
      <c r="D2244" s="235" t="s">
        <v>17273</v>
      </c>
      <c r="E2244" s="243">
        <v>6.54E13</v>
      </c>
      <c r="F2244" s="245"/>
      <c r="G2244" s="235" t="s">
        <v>17274</v>
      </c>
      <c r="H2244" s="235" t="s">
        <v>17275</v>
      </c>
      <c r="I2244" s="235" t="s">
        <v>17275</v>
      </c>
      <c r="J2244" s="235" t="s">
        <v>17276</v>
      </c>
      <c r="K2244" s="235" t="s">
        <v>17277</v>
      </c>
      <c r="N2244" s="235" t="s">
        <v>104</v>
      </c>
      <c r="O2244" s="235" t="s">
        <v>401</v>
      </c>
      <c r="P2244" s="238">
        <v>1.0</v>
      </c>
      <c r="Q2244" s="235" t="s">
        <v>627</v>
      </c>
      <c r="R2244" s="238">
        <v>246.67</v>
      </c>
      <c r="S2244" s="238">
        <v>12.33</v>
      </c>
      <c r="T2244" s="238">
        <v>0.0</v>
      </c>
      <c r="U2244" s="238">
        <v>0.0</v>
      </c>
      <c r="V2244" s="238">
        <v>0.0</v>
      </c>
      <c r="W2244" s="238">
        <v>0.0</v>
      </c>
      <c r="X2244" s="235" t="s">
        <v>628</v>
      </c>
      <c r="Z2244" s="244"/>
      <c r="AA2244" s="244"/>
      <c r="AB2244" s="244"/>
      <c r="AC2244" s="235" t="s">
        <v>687</v>
      </c>
      <c r="AD2244" s="235" t="s">
        <v>666</v>
      </c>
      <c r="AE2244" s="238">
        <v>600077.0</v>
      </c>
      <c r="AF2244" s="235" t="s">
        <v>631</v>
      </c>
      <c r="AG2244" s="244"/>
      <c r="AH2244" s="244"/>
      <c r="AI2244" s="245"/>
      <c r="AJ2244" s="245"/>
      <c r="AK2244" s="245"/>
      <c r="AL2244" s="245"/>
      <c r="AM2244" s="244"/>
      <c r="AN2244" s="244"/>
      <c r="AO2244" s="238">
        <v>0.0</v>
      </c>
      <c r="AP2244" s="238">
        <v>0.0</v>
      </c>
      <c r="AQ2244" s="235" t="s">
        <v>632</v>
      </c>
      <c r="AR2244" s="243">
        <v>1.68E11</v>
      </c>
      <c r="AS2244" s="235" t="s">
        <v>16626</v>
      </c>
      <c r="AT2244" s="235" t="s">
        <v>9</v>
      </c>
      <c r="AU2244" s="235" t="s">
        <v>634</v>
      </c>
      <c r="AV2244" s="246" t="s">
        <v>635</v>
      </c>
      <c r="AW2244" s="242"/>
      <c r="AX2244" s="242"/>
      <c r="AY2244" s="231"/>
      <c r="AZ2244" s="231"/>
      <c r="BA2244" s="227"/>
      <c r="BB2244" s="231"/>
      <c r="BC2244" s="227"/>
      <c r="BD2244" s="227"/>
      <c r="BE2244" s="227"/>
      <c r="BF2244" s="227"/>
    </row>
    <row r="2245">
      <c r="A2245" s="235" t="s">
        <v>17278</v>
      </c>
      <c r="C2245" s="235" t="s">
        <v>17279</v>
      </c>
      <c r="D2245" s="235" t="s">
        <v>17280</v>
      </c>
      <c r="E2245" s="243">
        <v>6.54E13</v>
      </c>
      <c r="F2245" s="245"/>
      <c r="G2245" s="235" t="s">
        <v>17281</v>
      </c>
      <c r="H2245" s="235" t="s">
        <v>17282</v>
      </c>
      <c r="I2245" s="235" t="s">
        <v>17282</v>
      </c>
      <c r="J2245" s="235" t="s">
        <v>17283</v>
      </c>
      <c r="K2245" s="235" t="s">
        <v>17284</v>
      </c>
      <c r="N2245" s="235" t="s">
        <v>24</v>
      </c>
      <c r="O2245" s="235" t="s">
        <v>786</v>
      </c>
      <c r="P2245" s="238">
        <v>1.0</v>
      </c>
      <c r="Q2245" s="235" t="s">
        <v>627</v>
      </c>
      <c r="R2245" s="238">
        <v>380.0</v>
      </c>
      <c r="S2245" s="238">
        <v>19.0</v>
      </c>
      <c r="T2245" s="238">
        <v>0.0</v>
      </c>
      <c r="U2245" s="238">
        <v>0.0</v>
      </c>
      <c r="V2245" s="238">
        <v>0.0</v>
      </c>
      <c r="W2245" s="238">
        <v>0.0</v>
      </c>
      <c r="X2245" s="235" t="s">
        <v>628</v>
      </c>
      <c r="Z2245" s="244"/>
      <c r="AA2245" s="244"/>
      <c r="AB2245" s="244"/>
      <c r="AC2245" s="235" t="s">
        <v>795</v>
      </c>
      <c r="AD2245" s="235" t="s">
        <v>796</v>
      </c>
      <c r="AE2245" s="238">
        <v>110019.0</v>
      </c>
      <c r="AF2245" s="235" t="s">
        <v>631</v>
      </c>
      <c r="AG2245" s="244"/>
      <c r="AH2245" s="244"/>
      <c r="AI2245" s="245"/>
      <c r="AJ2245" s="245"/>
      <c r="AK2245" s="245"/>
      <c r="AL2245" s="245"/>
      <c r="AM2245" s="244"/>
      <c r="AN2245" s="244"/>
      <c r="AO2245" s="238">
        <v>0.0</v>
      </c>
      <c r="AP2245" s="238">
        <v>0.0</v>
      </c>
      <c r="AQ2245" s="235" t="s">
        <v>632</v>
      </c>
      <c r="AR2245" s="243">
        <v>1.68E11</v>
      </c>
      <c r="AS2245" s="235" t="s">
        <v>17109</v>
      </c>
      <c r="AT2245" s="235" t="s">
        <v>14</v>
      </c>
      <c r="AU2245" s="235" t="s">
        <v>634</v>
      </c>
      <c r="AV2245" s="246" t="s">
        <v>635</v>
      </c>
      <c r="AW2245" s="242"/>
      <c r="AX2245" s="242"/>
      <c r="AY2245" s="231"/>
      <c r="AZ2245" s="231"/>
      <c r="BA2245" s="227"/>
      <c r="BB2245" s="231"/>
      <c r="BC2245" s="227"/>
      <c r="BD2245" s="227"/>
      <c r="BE2245" s="227"/>
      <c r="BF2245" s="227"/>
    </row>
    <row r="2246">
      <c r="A2246" s="235" t="s">
        <v>17285</v>
      </c>
      <c r="C2246" s="235" t="s">
        <v>17286</v>
      </c>
      <c r="D2246" s="235" t="s">
        <v>17287</v>
      </c>
      <c r="E2246" s="243">
        <v>6.54E13</v>
      </c>
      <c r="F2246" s="245"/>
      <c r="G2246" s="235" t="s">
        <v>17288</v>
      </c>
      <c r="H2246" s="235" t="s">
        <v>17289</v>
      </c>
      <c r="I2246" s="235" t="s">
        <v>17290</v>
      </c>
      <c r="J2246" s="235" t="s">
        <v>17291</v>
      </c>
      <c r="K2246" s="235" t="s">
        <v>17292</v>
      </c>
      <c r="N2246" s="235" t="s">
        <v>126</v>
      </c>
      <c r="O2246" s="235" t="s">
        <v>407</v>
      </c>
      <c r="P2246" s="238">
        <v>1.0</v>
      </c>
      <c r="Q2246" s="235" t="s">
        <v>627</v>
      </c>
      <c r="R2246" s="238">
        <v>237.14</v>
      </c>
      <c r="S2246" s="238">
        <v>11.62</v>
      </c>
      <c r="T2246" s="238">
        <v>0.0</v>
      </c>
      <c r="U2246" s="238">
        <v>0.0</v>
      </c>
      <c r="V2246" s="238">
        <v>0.0</v>
      </c>
      <c r="W2246" s="238">
        <v>0.0</v>
      </c>
      <c r="X2246" s="235" t="s">
        <v>628</v>
      </c>
      <c r="Z2246" s="244"/>
      <c r="AA2246" s="244"/>
      <c r="AB2246" s="244"/>
      <c r="AC2246" s="235" t="s">
        <v>697</v>
      </c>
      <c r="AD2246" s="235" t="s">
        <v>698</v>
      </c>
      <c r="AE2246" s="238">
        <v>500048.0</v>
      </c>
      <c r="AF2246" s="235" t="s">
        <v>631</v>
      </c>
      <c r="AG2246" s="244"/>
      <c r="AH2246" s="244"/>
      <c r="AI2246" s="245"/>
      <c r="AJ2246" s="245"/>
      <c r="AK2246" s="245"/>
      <c r="AL2246" s="245"/>
      <c r="AM2246" s="244"/>
      <c r="AN2246" s="244"/>
      <c r="AO2246" s="238">
        <v>-4.74</v>
      </c>
      <c r="AP2246" s="238">
        <v>0.0</v>
      </c>
      <c r="AQ2246" s="235" t="s">
        <v>632</v>
      </c>
      <c r="AR2246" s="243">
        <v>3.71E11</v>
      </c>
      <c r="AS2246" s="235" t="s">
        <v>15064</v>
      </c>
      <c r="AT2246" s="235" t="s">
        <v>11</v>
      </c>
      <c r="AU2246" s="235" t="s">
        <v>634</v>
      </c>
      <c r="AV2246" s="246" t="s">
        <v>635</v>
      </c>
      <c r="AW2246" s="242"/>
      <c r="AX2246" s="242"/>
      <c r="AY2246" s="231"/>
      <c r="AZ2246" s="231"/>
      <c r="BA2246" s="227"/>
      <c r="BB2246" s="231"/>
      <c r="BC2246" s="227"/>
      <c r="BD2246" s="227"/>
      <c r="BE2246" s="227"/>
      <c r="BF2246" s="227"/>
    </row>
    <row r="2247">
      <c r="A2247" s="235" t="s">
        <v>17293</v>
      </c>
      <c r="C2247" s="235" t="s">
        <v>17294</v>
      </c>
      <c r="D2247" s="235" t="s">
        <v>17295</v>
      </c>
      <c r="E2247" s="243">
        <v>6.54E13</v>
      </c>
      <c r="F2247" s="245"/>
      <c r="G2247" s="235" t="s">
        <v>17296</v>
      </c>
      <c r="H2247" s="235" t="s">
        <v>17297</v>
      </c>
      <c r="I2247" s="235" t="s">
        <v>17297</v>
      </c>
      <c r="J2247" s="235" t="s">
        <v>17298</v>
      </c>
      <c r="K2247" s="235" t="s">
        <v>17299</v>
      </c>
      <c r="N2247" s="235" t="s">
        <v>154</v>
      </c>
      <c r="O2247" s="235" t="s">
        <v>766</v>
      </c>
      <c r="P2247" s="238">
        <v>1.0</v>
      </c>
      <c r="Q2247" s="235" t="s">
        <v>627</v>
      </c>
      <c r="R2247" s="238">
        <v>465.71</v>
      </c>
      <c r="S2247" s="238">
        <v>23.29</v>
      </c>
      <c r="T2247" s="238">
        <v>0.0</v>
      </c>
      <c r="U2247" s="238">
        <v>0.0</v>
      </c>
      <c r="V2247" s="238">
        <v>0.0</v>
      </c>
      <c r="W2247" s="238">
        <v>0.0</v>
      </c>
      <c r="X2247" s="235" t="s">
        <v>628</v>
      </c>
      <c r="Z2247" s="244"/>
      <c r="AA2247" s="244"/>
      <c r="AB2247" s="244"/>
      <c r="AC2247" s="235" t="s">
        <v>5499</v>
      </c>
      <c r="AD2247" s="235" t="s">
        <v>630</v>
      </c>
      <c r="AE2247" s="238">
        <v>211002.0</v>
      </c>
      <c r="AF2247" s="235" t="s">
        <v>631</v>
      </c>
      <c r="AG2247" s="244"/>
      <c r="AH2247" s="244"/>
      <c r="AI2247" s="245"/>
      <c r="AJ2247" s="245"/>
      <c r="AK2247" s="245"/>
      <c r="AL2247" s="245"/>
      <c r="AM2247" s="244"/>
      <c r="AN2247" s="244"/>
      <c r="AO2247" s="238">
        <v>0.0</v>
      </c>
      <c r="AP2247" s="238">
        <v>0.0</v>
      </c>
      <c r="AQ2247" s="235" t="s">
        <v>632</v>
      </c>
      <c r="AR2247" s="243">
        <v>3.71E11</v>
      </c>
      <c r="AS2247" s="235" t="s">
        <v>12693</v>
      </c>
      <c r="AT2247" s="235" t="s">
        <v>14</v>
      </c>
      <c r="AU2247" s="235" t="s">
        <v>634</v>
      </c>
      <c r="AV2247" s="246" t="s">
        <v>635</v>
      </c>
      <c r="AW2247" s="242"/>
      <c r="AX2247" s="242"/>
      <c r="AY2247" s="231"/>
      <c r="AZ2247" s="231"/>
      <c r="BA2247" s="227"/>
      <c r="BB2247" s="231"/>
      <c r="BC2247" s="227"/>
      <c r="BD2247" s="227"/>
      <c r="BE2247" s="227"/>
      <c r="BF2247" s="227"/>
    </row>
    <row r="2248">
      <c r="A2248" s="235" t="s">
        <v>17300</v>
      </c>
      <c r="C2248" s="235" t="s">
        <v>17301</v>
      </c>
      <c r="D2248" s="235" t="s">
        <v>17302</v>
      </c>
      <c r="E2248" s="243">
        <v>6.54E13</v>
      </c>
      <c r="F2248" s="245"/>
      <c r="G2248" s="235" t="s">
        <v>17303</v>
      </c>
      <c r="H2248" s="235" t="s">
        <v>17304</v>
      </c>
      <c r="I2248" s="235" t="s">
        <v>17305</v>
      </c>
      <c r="J2248" s="235" t="s">
        <v>17306</v>
      </c>
      <c r="K2248" s="235" t="s">
        <v>17307</v>
      </c>
      <c r="N2248" s="235" t="s">
        <v>148</v>
      </c>
      <c r="O2248" s="235" t="s">
        <v>1006</v>
      </c>
      <c r="P2248" s="238">
        <v>1.0</v>
      </c>
      <c r="Q2248" s="235" t="s">
        <v>627</v>
      </c>
      <c r="R2248" s="238">
        <v>283.81</v>
      </c>
      <c r="S2248" s="238">
        <v>14.19</v>
      </c>
      <c r="T2248" s="238">
        <v>0.0</v>
      </c>
      <c r="U2248" s="238">
        <v>0.0</v>
      </c>
      <c r="V2248" s="238">
        <v>0.0</v>
      </c>
      <c r="W2248" s="238">
        <v>0.0</v>
      </c>
      <c r="X2248" s="235" t="s">
        <v>628</v>
      </c>
      <c r="Z2248" s="244"/>
      <c r="AA2248" s="244"/>
      <c r="AB2248" s="244"/>
      <c r="AC2248" s="235" t="s">
        <v>814</v>
      </c>
      <c r="AD2248" s="235" t="s">
        <v>698</v>
      </c>
      <c r="AE2248" s="238">
        <v>500089.0</v>
      </c>
      <c r="AF2248" s="235" t="s">
        <v>631</v>
      </c>
      <c r="AG2248" s="244"/>
      <c r="AH2248" s="244"/>
      <c r="AI2248" s="245"/>
      <c r="AJ2248" s="245"/>
      <c r="AK2248" s="245"/>
      <c r="AL2248" s="245"/>
      <c r="AM2248" s="244"/>
      <c r="AN2248" s="244"/>
      <c r="AO2248" s="238">
        <v>0.0</v>
      </c>
      <c r="AP2248" s="238">
        <v>0.0</v>
      </c>
      <c r="AQ2248" s="235" t="s">
        <v>632</v>
      </c>
      <c r="AR2248" s="243">
        <v>3.71E11</v>
      </c>
      <c r="AS2248" s="235" t="s">
        <v>15064</v>
      </c>
      <c r="AT2248" s="235" t="s">
        <v>11</v>
      </c>
      <c r="AU2248" s="235" t="s">
        <v>634</v>
      </c>
      <c r="AV2248" s="246" t="s">
        <v>635</v>
      </c>
      <c r="AW2248" s="242"/>
      <c r="AX2248" s="242"/>
      <c r="AY2248" s="231"/>
      <c r="AZ2248" s="231"/>
      <c r="BA2248" s="227"/>
      <c r="BB2248" s="231"/>
      <c r="BC2248" s="227"/>
      <c r="BD2248" s="227"/>
      <c r="BE2248" s="227"/>
      <c r="BF2248" s="227"/>
    </row>
    <row r="2249">
      <c r="A2249" s="235" t="s">
        <v>17308</v>
      </c>
      <c r="C2249" s="235" t="s">
        <v>17309</v>
      </c>
      <c r="D2249" s="235" t="s">
        <v>17310</v>
      </c>
      <c r="E2249" s="243">
        <v>6.54E13</v>
      </c>
      <c r="F2249" s="245"/>
      <c r="G2249" s="235" t="s">
        <v>17311</v>
      </c>
      <c r="H2249" s="235" t="s">
        <v>17312</v>
      </c>
      <c r="I2249" s="235" t="s">
        <v>17313</v>
      </c>
      <c r="J2249" s="235" t="s">
        <v>17314</v>
      </c>
      <c r="K2249" s="235" t="s">
        <v>17315</v>
      </c>
      <c r="N2249" s="235" t="s">
        <v>962</v>
      </c>
      <c r="O2249" s="235" t="s">
        <v>963</v>
      </c>
      <c r="P2249" s="238">
        <v>1.0</v>
      </c>
      <c r="Q2249" s="235" t="s">
        <v>627</v>
      </c>
      <c r="R2249" s="238">
        <v>246.66</v>
      </c>
      <c r="S2249" s="238">
        <v>12.1</v>
      </c>
      <c r="T2249" s="238">
        <v>0.0</v>
      </c>
      <c r="U2249" s="238">
        <v>0.0</v>
      </c>
      <c r="V2249" s="238">
        <v>0.0</v>
      </c>
      <c r="W2249" s="238">
        <v>0.0</v>
      </c>
      <c r="X2249" s="235" t="s">
        <v>628</v>
      </c>
      <c r="Z2249" s="244"/>
      <c r="AA2249" s="244"/>
      <c r="AB2249" s="244"/>
      <c r="AC2249" s="235" t="s">
        <v>678</v>
      </c>
      <c r="AD2249" s="235" t="s">
        <v>679</v>
      </c>
      <c r="AE2249" s="238">
        <v>560032.0</v>
      </c>
      <c r="AF2249" s="235" t="s">
        <v>631</v>
      </c>
      <c r="AG2249" s="244"/>
      <c r="AH2249" s="244"/>
      <c r="AI2249" s="245"/>
      <c r="AJ2249" s="245"/>
      <c r="AK2249" s="245"/>
      <c r="AL2249" s="245"/>
      <c r="AM2249" s="244"/>
      <c r="AN2249" s="244"/>
      <c r="AO2249" s="238">
        <v>-4.94</v>
      </c>
      <c r="AP2249" s="238">
        <v>0.0</v>
      </c>
      <c r="AQ2249" s="235" t="s">
        <v>632</v>
      </c>
      <c r="AR2249" s="243">
        <v>1.68E11</v>
      </c>
      <c r="AS2249" s="235" t="s">
        <v>17109</v>
      </c>
      <c r="AT2249" s="235" t="s">
        <v>11</v>
      </c>
      <c r="AU2249" s="235" t="s">
        <v>634</v>
      </c>
      <c r="AV2249" s="246" t="s">
        <v>635</v>
      </c>
      <c r="AW2249" s="242"/>
      <c r="AX2249" s="242"/>
      <c r="AY2249" s="231"/>
      <c r="AZ2249" s="231"/>
      <c r="BA2249" s="227"/>
      <c r="BB2249" s="231"/>
      <c r="BC2249" s="227"/>
      <c r="BD2249" s="227"/>
      <c r="BE2249" s="227"/>
      <c r="BF2249" s="227"/>
    </row>
    <row r="2250">
      <c r="A2250" s="235" t="s">
        <v>17316</v>
      </c>
      <c r="C2250" s="235" t="s">
        <v>17317</v>
      </c>
      <c r="D2250" s="235" t="s">
        <v>17318</v>
      </c>
      <c r="E2250" s="243">
        <v>6.54E13</v>
      </c>
      <c r="F2250" s="245"/>
      <c r="G2250" s="235" t="s">
        <v>17319</v>
      </c>
      <c r="H2250" s="235" t="s">
        <v>17320</v>
      </c>
      <c r="I2250" s="235" t="s">
        <v>17320</v>
      </c>
      <c r="J2250" s="235" t="s">
        <v>17321</v>
      </c>
      <c r="K2250" s="235" t="s">
        <v>17322</v>
      </c>
      <c r="N2250" s="235" t="s">
        <v>154</v>
      </c>
      <c r="O2250" s="235" t="s">
        <v>766</v>
      </c>
      <c r="P2250" s="238">
        <v>1.0</v>
      </c>
      <c r="Q2250" s="235" t="s">
        <v>627</v>
      </c>
      <c r="R2250" s="238">
        <v>465.72</v>
      </c>
      <c r="S2250" s="238">
        <v>23.28</v>
      </c>
      <c r="T2250" s="238">
        <v>94.28</v>
      </c>
      <c r="U2250" s="238">
        <v>4.72</v>
      </c>
      <c r="V2250" s="238">
        <v>0.0</v>
      </c>
      <c r="W2250" s="238">
        <v>0.0</v>
      </c>
      <c r="X2250" s="235" t="s">
        <v>628</v>
      </c>
      <c r="Z2250" s="244"/>
      <c r="AA2250" s="244"/>
      <c r="AB2250" s="244"/>
      <c r="AC2250" s="235" t="s">
        <v>678</v>
      </c>
      <c r="AD2250" s="235" t="s">
        <v>679</v>
      </c>
      <c r="AE2250" s="238">
        <v>562123.0</v>
      </c>
      <c r="AF2250" s="235" t="s">
        <v>631</v>
      </c>
      <c r="AG2250" s="244"/>
      <c r="AH2250" s="244"/>
      <c r="AI2250" s="245"/>
      <c r="AJ2250" s="245"/>
      <c r="AK2250" s="245"/>
      <c r="AL2250" s="245"/>
      <c r="AM2250" s="244"/>
      <c r="AN2250" s="244"/>
      <c r="AO2250" s="238">
        <v>0.0</v>
      </c>
      <c r="AP2250" s="238">
        <v>0.0</v>
      </c>
      <c r="AQ2250" s="235" t="s">
        <v>632</v>
      </c>
      <c r="AR2250" s="243">
        <v>1.68E11</v>
      </c>
      <c r="AS2250" s="235" t="s">
        <v>17109</v>
      </c>
      <c r="AT2250" s="235" t="s">
        <v>11</v>
      </c>
      <c r="AU2250" s="235" t="s">
        <v>634</v>
      </c>
      <c r="AV2250" s="246" t="s">
        <v>635</v>
      </c>
      <c r="AW2250" s="242"/>
      <c r="AX2250" s="242"/>
      <c r="AY2250" s="231"/>
      <c r="AZ2250" s="231"/>
      <c r="BA2250" s="227"/>
      <c r="BB2250" s="231"/>
      <c r="BC2250" s="227"/>
      <c r="BD2250" s="227"/>
      <c r="BE2250" s="227"/>
      <c r="BF2250" s="227"/>
    </row>
    <row r="2251">
      <c r="A2251" s="235" t="s">
        <v>17323</v>
      </c>
      <c r="C2251" s="235" t="s">
        <v>17324</v>
      </c>
      <c r="D2251" s="235" t="s">
        <v>17325</v>
      </c>
      <c r="E2251" s="243">
        <v>6.54E13</v>
      </c>
      <c r="F2251" s="245"/>
      <c r="G2251" s="235" t="s">
        <v>17326</v>
      </c>
      <c r="H2251" s="235" t="s">
        <v>17327</v>
      </c>
      <c r="I2251" s="235" t="s">
        <v>17327</v>
      </c>
      <c r="J2251" s="235" t="s">
        <v>17328</v>
      </c>
      <c r="K2251" s="235" t="s">
        <v>17329</v>
      </c>
      <c r="N2251" s="235" t="s">
        <v>127</v>
      </c>
      <c r="O2251" s="235" t="s">
        <v>794</v>
      </c>
      <c r="P2251" s="238">
        <v>1.0</v>
      </c>
      <c r="Q2251" s="235" t="s">
        <v>627</v>
      </c>
      <c r="R2251" s="238">
        <v>270.48</v>
      </c>
      <c r="S2251" s="238">
        <v>13.52</v>
      </c>
      <c r="T2251" s="238">
        <v>0.0</v>
      </c>
      <c r="U2251" s="238">
        <v>0.0</v>
      </c>
      <c r="V2251" s="238">
        <v>0.0</v>
      </c>
      <c r="W2251" s="238">
        <v>0.0</v>
      </c>
      <c r="X2251" s="235" t="s">
        <v>628</v>
      </c>
      <c r="Z2251" s="244"/>
      <c r="AA2251" s="244"/>
      <c r="AB2251" s="244"/>
      <c r="AC2251" s="235" t="s">
        <v>17330</v>
      </c>
      <c r="AD2251" s="235" t="s">
        <v>679</v>
      </c>
      <c r="AE2251" s="238">
        <v>563130.0</v>
      </c>
      <c r="AF2251" s="235" t="s">
        <v>631</v>
      </c>
      <c r="AG2251" s="244"/>
      <c r="AH2251" s="244"/>
      <c r="AI2251" s="245"/>
      <c r="AJ2251" s="245"/>
      <c r="AK2251" s="245"/>
      <c r="AL2251" s="245"/>
      <c r="AM2251" s="244"/>
      <c r="AN2251" s="244"/>
      <c r="AO2251" s="238">
        <v>0.0</v>
      </c>
      <c r="AP2251" s="238">
        <v>0.0</v>
      </c>
      <c r="AQ2251" s="235" t="s">
        <v>632</v>
      </c>
      <c r="AR2251" s="243">
        <v>3.71E11</v>
      </c>
      <c r="AS2251" s="235" t="s">
        <v>16626</v>
      </c>
      <c r="AT2251" s="235" t="s">
        <v>11</v>
      </c>
      <c r="AU2251" s="235" t="s">
        <v>634</v>
      </c>
      <c r="AV2251" s="246" t="s">
        <v>635</v>
      </c>
      <c r="AW2251" s="242"/>
      <c r="AX2251" s="242"/>
      <c r="AY2251" s="231"/>
      <c r="AZ2251" s="231"/>
      <c r="BA2251" s="227"/>
      <c r="BB2251" s="231"/>
      <c r="BC2251" s="227"/>
      <c r="BD2251" s="227"/>
      <c r="BE2251" s="227"/>
      <c r="BF2251" s="227"/>
    </row>
    <row r="2252">
      <c r="A2252" s="235" t="s">
        <v>17331</v>
      </c>
      <c r="C2252" s="235" t="s">
        <v>17332</v>
      </c>
      <c r="D2252" s="235" t="s">
        <v>17333</v>
      </c>
      <c r="E2252" s="243">
        <v>6.52E13</v>
      </c>
      <c r="F2252" s="245"/>
      <c r="G2252" s="235" t="s">
        <v>17334</v>
      </c>
      <c r="H2252" s="235" t="s">
        <v>17335</v>
      </c>
      <c r="I2252" s="235" t="s">
        <v>17335</v>
      </c>
      <c r="J2252" s="235" t="s">
        <v>17336</v>
      </c>
      <c r="K2252" s="235" t="s">
        <v>17337</v>
      </c>
      <c r="N2252" s="235" t="s">
        <v>566</v>
      </c>
      <c r="O2252" s="235" t="s">
        <v>1834</v>
      </c>
      <c r="P2252" s="238">
        <v>1.0</v>
      </c>
      <c r="Q2252" s="235" t="s">
        <v>627</v>
      </c>
      <c r="R2252" s="238">
        <v>422.88</v>
      </c>
      <c r="S2252" s="238">
        <v>76.12</v>
      </c>
      <c r="T2252" s="238">
        <v>33.9</v>
      </c>
      <c r="U2252" s="238">
        <v>6.1</v>
      </c>
      <c r="V2252" s="238">
        <v>0.0</v>
      </c>
      <c r="W2252" s="238">
        <v>0.0</v>
      </c>
      <c r="X2252" s="235" t="s">
        <v>628</v>
      </c>
      <c r="Z2252" s="244"/>
      <c r="AA2252" s="244"/>
      <c r="AB2252" s="244"/>
      <c r="AC2252" s="235" t="s">
        <v>795</v>
      </c>
      <c r="AD2252" s="235" t="s">
        <v>796</v>
      </c>
      <c r="AE2252" s="238">
        <v>110052.0</v>
      </c>
      <c r="AF2252" s="235" t="s">
        <v>631</v>
      </c>
      <c r="AG2252" s="244"/>
      <c r="AH2252" s="244"/>
      <c r="AI2252" s="245"/>
      <c r="AJ2252" s="245"/>
      <c r="AK2252" s="245"/>
      <c r="AL2252" s="245"/>
      <c r="AM2252" s="244"/>
      <c r="AN2252" s="244"/>
      <c r="AO2252" s="238">
        <v>0.0</v>
      </c>
      <c r="AP2252" s="238">
        <v>-33.9</v>
      </c>
      <c r="AQ2252" s="235" t="s">
        <v>632</v>
      </c>
      <c r="AR2252" s="243">
        <v>3.71E11</v>
      </c>
      <c r="AS2252" s="235" t="s">
        <v>16626</v>
      </c>
      <c r="AT2252" s="235" t="s">
        <v>533</v>
      </c>
      <c r="AU2252" s="235" t="s">
        <v>634</v>
      </c>
      <c r="AV2252" s="246" t="s">
        <v>635</v>
      </c>
      <c r="AW2252" s="242"/>
      <c r="AX2252" s="242"/>
      <c r="AY2252" s="231"/>
      <c r="AZ2252" s="231"/>
      <c r="BA2252" s="227"/>
      <c r="BB2252" s="231"/>
      <c r="BC2252" s="227"/>
      <c r="BD2252" s="227"/>
      <c r="BE2252" s="227"/>
      <c r="BF2252" s="227"/>
    </row>
    <row r="2253">
      <c r="A2253" s="235" t="s">
        <v>17338</v>
      </c>
      <c r="C2253" s="235" t="s">
        <v>17339</v>
      </c>
      <c r="D2253" s="235" t="s">
        <v>17340</v>
      </c>
      <c r="E2253" s="243">
        <v>6.54E13</v>
      </c>
      <c r="F2253" s="245"/>
      <c r="G2253" s="235" t="s">
        <v>17341</v>
      </c>
      <c r="H2253" s="235" t="s">
        <v>17342</v>
      </c>
      <c r="I2253" s="235" t="s">
        <v>17342</v>
      </c>
      <c r="J2253" s="235" t="s">
        <v>17343</v>
      </c>
      <c r="K2253" s="235" t="s">
        <v>17344</v>
      </c>
      <c r="N2253" s="235" t="s">
        <v>92</v>
      </c>
      <c r="O2253" s="235" t="s">
        <v>248</v>
      </c>
      <c r="P2253" s="238">
        <v>1.0</v>
      </c>
      <c r="Q2253" s="235" t="s">
        <v>627</v>
      </c>
      <c r="R2253" s="238">
        <v>270.48</v>
      </c>
      <c r="S2253" s="238">
        <v>13.52</v>
      </c>
      <c r="T2253" s="238">
        <v>0.0</v>
      </c>
      <c r="U2253" s="238">
        <v>0.0</v>
      </c>
      <c r="V2253" s="238">
        <v>0.0</v>
      </c>
      <c r="W2253" s="238">
        <v>0.0</v>
      </c>
      <c r="X2253" s="235" t="s">
        <v>628</v>
      </c>
      <c r="Z2253" s="244"/>
      <c r="AA2253" s="244"/>
      <c r="AB2253" s="244"/>
      <c r="AC2253" s="235" t="s">
        <v>697</v>
      </c>
      <c r="AD2253" s="235" t="s">
        <v>698</v>
      </c>
      <c r="AE2253" s="238">
        <v>500049.0</v>
      </c>
      <c r="AF2253" s="235" t="s">
        <v>631</v>
      </c>
      <c r="AG2253" s="244"/>
      <c r="AH2253" s="244"/>
      <c r="AI2253" s="245"/>
      <c r="AJ2253" s="245"/>
      <c r="AK2253" s="245"/>
      <c r="AL2253" s="245"/>
      <c r="AM2253" s="244"/>
      <c r="AN2253" s="244"/>
      <c r="AO2253" s="238">
        <v>0.0</v>
      </c>
      <c r="AP2253" s="238">
        <v>0.0</v>
      </c>
      <c r="AQ2253" s="235" t="s">
        <v>632</v>
      </c>
      <c r="AR2253" s="243">
        <v>3.71E11</v>
      </c>
      <c r="AS2253" s="235" t="s">
        <v>15064</v>
      </c>
      <c r="AT2253" s="235" t="s">
        <v>11</v>
      </c>
      <c r="AU2253" s="235" t="s">
        <v>634</v>
      </c>
      <c r="AV2253" s="246" t="s">
        <v>635</v>
      </c>
      <c r="AW2253" s="242"/>
      <c r="AX2253" s="242"/>
      <c r="AY2253" s="231"/>
      <c r="AZ2253" s="231"/>
      <c r="BA2253" s="227"/>
      <c r="BB2253" s="231"/>
      <c r="BC2253" s="227"/>
      <c r="BD2253" s="227"/>
      <c r="BE2253" s="227"/>
      <c r="BF2253" s="227"/>
    </row>
    <row r="2254">
      <c r="A2254" s="235" t="s">
        <v>17345</v>
      </c>
      <c r="C2254" s="235" t="s">
        <v>17346</v>
      </c>
      <c r="D2254" s="235" t="s">
        <v>17347</v>
      </c>
      <c r="E2254" s="243">
        <v>6.53E13</v>
      </c>
      <c r="F2254" s="245"/>
      <c r="G2254" s="235" t="s">
        <v>17348</v>
      </c>
      <c r="H2254" s="235" t="s">
        <v>17349</v>
      </c>
      <c r="I2254" s="235" t="s">
        <v>17349</v>
      </c>
      <c r="J2254" s="235" t="s">
        <v>17350</v>
      </c>
      <c r="K2254" s="235" t="s">
        <v>17351</v>
      </c>
      <c r="N2254" s="235" t="s">
        <v>989</v>
      </c>
      <c r="O2254" s="235" t="s">
        <v>990</v>
      </c>
      <c r="P2254" s="238">
        <v>1.0</v>
      </c>
      <c r="Q2254" s="235" t="s">
        <v>627</v>
      </c>
      <c r="R2254" s="238">
        <v>256.19</v>
      </c>
      <c r="S2254" s="238">
        <v>12.81</v>
      </c>
      <c r="T2254" s="238">
        <v>0.0</v>
      </c>
      <c r="U2254" s="238">
        <v>0.0</v>
      </c>
      <c r="V2254" s="238">
        <v>0.0</v>
      </c>
      <c r="W2254" s="238">
        <v>0.0</v>
      </c>
      <c r="X2254" s="235" t="s">
        <v>628</v>
      </c>
      <c r="Z2254" s="244"/>
      <c r="AA2254" s="244"/>
      <c r="AB2254" s="244"/>
      <c r="AC2254" s="235" t="s">
        <v>1287</v>
      </c>
      <c r="AD2254" s="235" t="s">
        <v>630</v>
      </c>
      <c r="AE2254" s="238">
        <v>201002.0</v>
      </c>
      <c r="AF2254" s="235" t="s">
        <v>631</v>
      </c>
      <c r="AG2254" s="244"/>
      <c r="AH2254" s="244"/>
      <c r="AI2254" s="245"/>
      <c r="AJ2254" s="245"/>
      <c r="AK2254" s="245"/>
      <c r="AL2254" s="245"/>
      <c r="AM2254" s="244"/>
      <c r="AN2254" s="244"/>
      <c r="AO2254" s="238">
        <v>0.0</v>
      </c>
      <c r="AP2254" s="238">
        <v>0.0</v>
      </c>
      <c r="AQ2254" s="235" t="s">
        <v>632</v>
      </c>
      <c r="AR2254" s="243">
        <v>3.71E11</v>
      </c>
      <c r="AS2254" s="235" t="s">
        <v>16626</v>
      </c>
      <c r="AT2254" s="235" t="s">
        <v>533</v>
      </c>
      <c r="AU2254" s="235" t="s">
        <v>634</v>
      </c>
      <c r="AV2254" s="246" t="s">
        <v>635</v>
      </c>
      <c r="AW2254" s="242"/>
      <c r="AX2254" s="242"/>
      <c r="AY2254" s="231"/>
      <c r="AZ2254" s="231"/>
      <c r="BA2254" s="227"/>
      <c r="BB2254" s="231"/>
      <c r="BC2254" s="227"/>
      <c r="BD2254" s="227"/>
      <c r="BE2254" s="227"/>
      <c r="BF2254" s="227"/>
    </row>
    <row r="2255">
      <c r="A2255" s="235" t="s">
        <v>17352</v>
      </c>
      <c r="C2255" s="235" t="s">
        <v>17353</v>
      </c>
      <c r="D2255" s="235" t="s">
        <v>17354</v>
      </c>
      <c r="E2255" s="243">
        <v>6.54E13</v>
      </c>
      <c r="F2255" s="245"/>
      <c r="G2255" s="235" t="s">
        <v>17355</v>
      </c>
      <c r="H2255" s="235" t="s">
        <v>17356</v>
      </c>
      <c r="I2255" s="235" t="s">
        <v>17356</v>
      </c>
      <c r="J2255" s="235" t="s">
        <v>17357</v>
      </c>
      <c r="K2255" s="235" t="s">
        <v>17358</v>
      </c>
      <c r="N2255" s="235" t="s">
        <v>47</v>
      </c>
      <c r="O2255" s="235" t="s">
        <v>270</v>
      </c>
      <c r="P2255" s="238">
        <v>1.0</v>
      </c>
      <c r="Q2255" s="235" t="s">
        <v>627</v>
      </c>
      <c r="R2255" s="238">
        <v>237.14</v>
      </c>
      <c r="S2255" s="238">
        <v>11.86</v>
      </c>
      <c r="T2255" s="238">
        <v>0.0</v>
      </c>
      <c r="U2255" s="238">
        <v>0.0</v>
      </c>
      <c r="V2255" s="238">
        <v>0.0</v>
      </c>
      <c r="W2255" s="238">
        <v>0.0</v>
      </c>
      <c r="X2255" s="235" t="s">
        <v>628</v>
      </c>
      <c r="Z2255" s="244"/>
      <c r="AA2255" s="244"/>
      <c r="AB2255" s="244"/>
      <c r="AC2255" s="235" t="s">
        <v>814</v>
      </c>
      <c r="AD2255" s="235" t="s">
        <v>698</v>
      </c>
      <c r="AE2255" s="238">
        <v>500049.0</v>
      </c>
      <c r="AF2255" s="235" t="s">
        <v>631</v>
      </c>
      <c r="AG2255" s="244"/>
      <c r="AH2255" s="244"/>
      <c r="AI2255" s="245"/>
      <c r="AJ2255" s="245"/>
      <c r="AK2255" s="245"/>
      <c r="AL2255" s="245"/>
      <c r="AM2255" s="244"/>
      <c r="AN2255" s="244"/>
      <c r="AO2255" s="238">
        <v>0.0</v>
      </c>
      <c r="AP2255" s="238">
        <v>0.0</v>
      </c>
      <c r="AQ2255" s="235" t="s">
        <v>632</v>
      </c>
      <c r="AR2255" s="243">
        <v>3.71E11</v>
      </c>
      <c r="AS2255" s="235" t="s">
        <v>15064</v>
      </c>
      <c r="AT2255" s="235" t="s">
        <v>11</v>
      </c>
      <c r="AU2255" s="235" t="s">
        <v>634</v>
      </c>
      <c r="AV2255" s="246" t="s">
        <v>635</v>
      </c>
      <c r="AW2255" s="242"/>
      <c r="AX2255" s="242"/>
      <c r="AY2255" s="231"/>
      <c r="AZ2255" s="231"/>
      <c r="BA2255" s="227"/>
      <c r="BB2255" s="231"/>
      <c r="BC2255" s="227"/>
      <c r="BD2255" s="227"/>
      <c r="BE2255" s="227"/>
      <c r="BF2255" s="227"/>
    </row>
    <row r="2256">
      <c r="A2256" s="235" t="s">
        <v>17359</v>
      </c>
      <c r="C2256" s="235" t="s">
        <v>17360</v>
      </c>
      <c r="D2256" s="235" t="s">
        <v>17361</v>
      </c>
      <c r="E2256" s="243">
        <v>6.53E13</v>
      </c>
      <c r="F2256" s="245"/>
      <c r="G2256" s="235" t="s">
        <v>17362</v>
      </c>
      <c r="H2256" s="235" t="s">
        <v>17363</v>
      </c>
      <c r="I2256" s="235" t="s">
        <v>17363</v>
      </c>
      <c r="J2256" s="235" t="s">
        <v>17364</v>
      </c>
      <c r="K2256" s="235" t="s">
        <v>17365</v>
      </c>
      <c r="N2256" s="235" t="s">
        <v>138</v>
      </c>
      <c r="O2256" s="235" t="s">
        <v>675</v>
      </c>
      <c r="P2256" s="238">
        <v>1.0</v>
      </c>
      <c r="Q2256" s="235" t="s">
        <v>627</v>
      </c>
      <c r="R2256" s="238">
        <v>270.48</v>
      </c>
      <c r="S2256" s="238">
        <v>13.52</v>
      </c>
      <c r="T2256" s="238">
        <v>38.1</v>
      </c>
      <c r="U2256" s="238">
        <v>1.9</v>
      </c>
      <c r="V2256" s="238">
        <v>0.0</v>
      </c>
      <c r="W2256" s="238">
        <v>0.0</v>
      </c>
      <c r="X2256" s="235" t="s">
        <v>628</v>
      </c>
      <c r="Z2256" s="244"/>
      <c r="AA2256" s="244"/>
      <c r="AB2256" s="244"/>
      <c r="AC2256" s="235" t="s">
        <v>17366</v>
      </c>
      <c r="AD2256" s="235" t="s">
        <v>731</v>
      </c>
      <c r="AE2256" s="238">
        <v>788722.0</v>
      </c>
      <c r="AF2256" s="235" t="s">
        <v>631</v>
      </c>
      <c r="AG2256" s="244"/>
      <c r="AH2256" s="244"/>
      <c r="AI2256" s="245"/>
      <c r="AJ2256" s="245"/>
      <c r="AK2256" s="245"/>
      <c r="AL2256" s="245"/>
      <c r="AM2256" s="244"/>
      <c r="AN2256" s="244"/>
      <c r="AO2256" s="238">
        <v>0.0</v>
      </c>
      <c r="AP2256" s="238">
        <v>-38.1</v>
      </c>
      <c r="AQ2256" s="235" t="s">
        <v>632</v>
      </c>
      <c r="AR2256" s="243">
        <v>3.71E11</v>
      </c>
      <c r="AS2256" s="235" t="s">
        <v>7365</v>
      </c>
      <c r="AT2256" s="235" t="s">
        <v>14</v>
      </c>
      <c r="AU2256" s="235" t="s">
        <v>634</v>
      </c>
      <c r="AV2256" s="246" t="s">
        <v>635</v>
      </c>
      <c r="AW2256" s="242"/>
      <c r="AX2256" s="242"/>
      <c r="AY2256" s="231"/>
      <c r="AZ2256" s="231"/>
      <c r="BA2256" s="227"/>
      <c r="BB2256" s="231"/>
      <c r="BC2256" s="227"/>
      <c r="BD2256" s="227"/>
      <c r="BE2256" s="227"/>
      <c r="BF2256" s="227"/>
    </row>
    <row r="2257">
      <c r="A2257" s="235" t="s">
        <v>17367</v>
      </c>
      <c r="C2257" s="235" t="s">
        <v>17368</v>
      </c>
      <c r="D2257" s="235" t="s">
        <v>17369</v>
      </c>
      <c r="E2257" s="243">
        <v>6.54E13</v>
      </c>
      <c r="F2257" s="245"/>
      <c r="G2257" s="235" t="s">
        <v>17370</v>
      </c>
      <c r="H2257" s="235" t="s">
        <v>17371</v>
      </c>
      <c r="I2257" s="235" t="s">
        <v>17371</v>
      </c>
      <c r="J2257" s="235" t="s">
        <v>17372</v>
      </c>
      <c r="K2257" s="235" t="s">
        <v>17373</v>
      </c>
      <c r="N2257" s="235" t="s">
        <v>53</v>
      </c>
      <c r="O2257" s="235" t="s">
        <v>512</v>
      </c>
      <c r="P2257" s="238">
        <v>1.0</v>
      </c>
      <c r="Q2257" s="235" t="s">
        <v>627</v>
      </c>
      <c r="R2257" s="238">
        <v>237.14</v>
      </c>
      <c r="S2257" s="238">
        <v>11.86</v>
      </c>
      <c r="T2257" s="238">
        <v>0.0</v>
      </c>
      <c r="U2257" s="238">
        <v>0.0</v>
      </c>
      <c r="V2257" s="238">
        <v>0.0</v>
      </c>
      <c r="W2257" s="238">
        <v>0.0</v>
      </c>
      <c r="X2257" s="235" t="s">
        <v>628</v>
      </c>
      <c r="Z2257" s="244"/>
      <c r="AA2257" s="244"/>
      <c r="AB2257" s="244"/>
      <c r="AC2257" s="235" t="s">
        <v>5203</v>
      </c>
      <c r="AD2257" s="235" t="s">
        <v>666</v>
      </c>
      <c r="AE2257" s="238">
        <v>636008.0</v>
      </c>
      <c r="AF2257" s="235" t="s">
        <v>631</v>
      </c>
      <c r="AG2257" s="244"/>
      <c r="AH2257" s="244"/>
      <c r="AI2257" s="245"/>
      <c r="AJ2257" s="245"/>
      <c r="AK2257" s="245"/>
      <c r="AL2257" s="245"/>
      <c r="AM2257" s="244"/>
      <c r="AN2257" s="244"/>
      <c r="AO2257" s="238">
        <v>0.0</v>
      </c>
      <c r="AP2257" s="238">
        <v>0.0</v>
      </c>
      <c r="AQ2257" s="235" t="s">
        <v>632</v>
      </c>
      <c r="AR2257" s="243">
        <v>1.68E11</v>
      </c>
      <c r="AS2257" s="235" t="s">
        <v>16626</v>
      </c>
      <c r="AT2257" s="235" t="s">
        <v>9</v>
      </c>
      <c r="AU2257" s="235" t="s">
        <v>634</v>
      </c>
      <c r="AV2257" s="246" t="s">
        <v>635</v>
      </c>
      <c r="AW2257" s="242"/>
      <c r="AX2257" s="242"/>
      <c r="AY2257" s="231"/>
      <c r="AZ2257" s="231"/>
      <c r="BA2257" s="227"/>
      <c r="BB2257" s="231"/>
      <c r="BC2257" s="227"/>
      <c r="BD2257" s="227"/>
      <c r="BE2257" s="227"/>
      <c r="BF2257" s="227"/>
    </row>
    <row r="2258">
      <c r="A2258" s="235" t="s">
        <v>17374</v>
      </c>
      <c r="C2258" s="235" t="s">
        <v>17375</v>
      </c>
      <c r="D2258" s="235" t="s">
        <v>17376</v>
      </c>
      <c r="E2258" s="243">
        <v>6.54E13</v>
      </c>
      <c r="F2258" s="245"/>
      <c r="G2258" s="235" t="s">
        <v>17377</v>
      </c>
      <c r="H2258" s="235" t="s">
        <v>17378</v>
      </c>
      <c r="I2258" s="235" t="s">
        <v>17378</v>
      </c>
      <c r="J2258" s="235" t="s">
        <v>17379</v>
      </c>
      <c r="K2258" s="235" t="s">
        <v>17380</v>
      </c>
      <c r="N2258" s="235" t="s">
        <v>842</v>
      </c>
      <c r="O2258" s="235" t="s">
        <v>843</v>
      </c>
      <c r="P2258" s="238">
        <v>1.0</v>
      </c>
      <c r="Q2258" s="235" t="s">
        <v>627</v>
      </c>
      <c r="R2258" s="238">
        <v>242.86</v>
      </c>
      <c r="S2258" s="238">
        <v>11.9</v>
      </c>
      <c r="T2258" s="238">
        <v>0.0</v>
      </c>
      <c r="U2258" s="238">
        <v>0.0</v>
      </c>
      <c r="V2258" s="238">
        <v>0.0</v>
      </c>
      <c r="W2258" s="238">
        <v>0.0</v>
      </c>
      <c r="X2258" s="235" t="s">
        <v>628</v>
      </c>
      <c r="Z2258" s="244"/>
      <c r="AA2258" s="244"/>
      <c r="AB2258" s="244"/>
      <c r="AC2258" s="235" t="s">
        <v>795</v>
      </c>
      <c r="AD2258" s="235" t="s">
        <v>796</v>
      </c>
      <c r="AE2258" s="238">
        <v>110017.0</v>
      </c>
      <c r="AF2258" s="235" t="s">
        <v>631</v>
      </c>
      <c r="AG2258" s="244"/>
      <c r="AH2258" s="244"/>
      <c r="AI2258" s="245"/>
      <c r="AJ2258" s="245"/>
      <c r="AK2258" s="245"/>
      <c r="AL2258" s="245"/>
      <c r="AM2258" s="244"/>
      <c r="AN2258" s="244"/>
      <c r="AO2258" s="238">
        <v>-4.86</v>
      </c>
      <c r="AP2258" s="238">
        <v>0.0</v>
      </c>
      <c r="AQ2258" s="235" t="s">
        <v>632</v>
      </c>
      <c r="AR2258" s="243">
        <v>3.71E11</v>
      </c>
      <c r="AS2258" s="235" t="s">
        <v>16626</v>
      </c>
      <c r="AT2258" s="235" t="s">
        <v>533</v>
      </c>
      <c r="AU2258" s="235" t="s">
        <v>634</v>
      </c>
      <c r="AV2258" s="246" t="s">
        <v>635</v>
      </c>
      <c r="AW2258" s="242"/>
      <c r="AX2258" s="242"/>
      <c r="AY2258" s="231"/>
      <c r="AZ2258" s="231"/>
      <c r="BA2258" s="227"/>
      <c r="BB2258" s="231"/>
      <c r="BC2258" s="227"/>
      <c r="BD2258" s="227"/>
      <c r="BE2258" s="227"/>
      <c r="BF2258" s="227"/>
    </row>
    <row r="2259">
      <c r="A2259" s="235" t="s">
        <v>17381</v>
      </c>
      <c r="C2259" s="235" t="s">
        <v>17382</v>
      </c>
      <c r="D2259" s="235" t="s">
        <v>17383</v>
      </c>
      <c r="E2259" s="243">
        <v>6.54E13</v>
      </c>
      <c r="F2259" s="245"/>
      <c r="G2259" s="235" t="s">
        <v>17384</v>
      </c>
      <c r="H2259" s="235" t="s">
        <v>17385</v>
      </c>
      <c r="I2259" s="235" t="s">
        <v>17385</v>
      </c>
      <c r="J2259" s="235" t="s">
        <v>17386</v>
      </c>
      <c r="K2259" s="235" t="s">
        <v>17387</v>
      </c>
      <c r="N2259" s="235" t="s">
        <v>10</v>
      </c>
      <c r="O2259" s="235" t="s">
        <v>936</v>
      </c>
      <c r="P2259" s="238">
        <v>1.0</v>
      </c>
      <c r="Q2259" s="235" t="s">
        <v>627</v>
      </c>
      <c r="R2259" s="238">
        <v>265.72</v>
      </c>
      <c r="S2259" s="238">
        <v>13.28</v>
      </c>
      <c r="T2259" s="238">
        <v>0.0</v>
      </c>
      <c r="U2259" s="238">
        <v>0.0</v>
      </c>
      <c r="V2259" s="238">
        <v>0.0</v>
      </c>
      <c r="W2259" s="238">
        <v>0.0</v>
      </c>
      <c r="X2259" s="235" t="s">
        <v>628</v>
      </c>
      <c r="Z2259" s="244"/>
      <c r="AA2259" s="244"/>
      <c r="AB2259" s="244"/>
      <c r="AC2259" s="235" t="s">
        <v>678</v>
      </c>
      <c r="AD2259" s="235" t="s">
        <v>679</v>
      </c>
      <c r="AE2259" s="238">
        <v>560005.0</v>
      </c>
      <c r="AF2259" s="235" t="s">
        <v>631</v>
      </c>
      <c r="AG2259" s="244"/>
      <c r="AH2259" s="244"/>
      <c r="AI2259" s="245"/>
      <c r="AJ2259" s="245"/>
      <c r="AK2259" s="245"/>
      <c r="AL2259" s="245"/>
      <c r="AM2259" s="244"/>
      <c r="AN2259" s="244"/>
      <c r="AO2259" s="238">
        <v>0.0</v>
      </c>
      <c r="AP2259" s="238">
        <v>0.0</v>
      </c>
      <c r="AQ2259" s="235" t="s">
        <v>632</v>
      </c>
      <c r="AR2259" s="243">
        <v>1.68E11</v>
      </c>
      <c r="AS2259" s="235" t="s">
        <v>17109</v>
      </c>
      <c r="AT2259" s="235" t="s">
        <v>11</v>
      </c>
      <c r="AU2259" s="235" t="s">
        <v>634</v>
      </c>
      <c r="AV2259" s="246" t="s">
        <v>635</v>
      </c>
      <c r="AW2259" s="242"/>
      <c r="AX2259" s="242"/>
      <c r="AY2259" s="231"/>
      <c r="AZ2259" s="231"/>
      <c r="BA2259" s="227"/>
      <c r="BB2259" s="231"/>
      <c r="BC2259" s="227"/>
      <c r="BD2259" s="227"/>
      <c r="BE2259" s="227"/>
      <c r="BF2259" s="227"/>
    </row>
    <row r="2260">
      <c r="A2260" s="235" t="s">
        <v>17388</v>
      </c>
      <c r="C2260" s="235" t="s">
        <v>17389</v>
      </c>
      <c r="D2260" s="235" t="s">
        <v>17390</v>
      </c>
      <c r="E2260" s="243">
        <v>6.54E13</v>
      </c>
      <c r="F2260" s="245"/>
      <c r="G2260" s="235" t="s">
        <v>17391</v>
      </c>
      <c r="H2260" s="235" t="s">
        <v>17392</v>
      </c>
      <c r="I2260" s="235" t="s">
        <v>17392</v>
      </c>
      <c r="J2260" s="235" t="s">
        <v>17393</v>
      </c>
      <c r="K2260" s="235" t="s">
        <v>17394</v>
      </c>
      <c r="N2260" s="235" t="s">
        <v>962</v>
      </c>
      <c r="O2260" s="235" t="s">
        <v>963</v>
      </c>
      <c r="P2260" s="238">
        <v>1.0</v>
      </c>
      <c r="Q2260" s="235" t="s">
        <v>627</v>
      </c>
      <c r="R2260" s="238">
        <v>246.66</v>
      </c>
      <c r="S2260" s="238">
        <v>12.1</v>
      </c>
      <c r="T2260" s="238">
        <v>0.0</v>
      </c>
      <c r="U2260" s="238">
        <v>0.0</v>
      </c>
      <c r="V2260" s="238">
        <v>0.0</v>
      </c>
      <c r="W2260" s="238">
        <v>0.0</v>
      </c>
      <c r="X2260" s="235" t="s">
        <v>628</v>
      </c>
      <c r="Z2260" s="244"/>
      <c r="AA2260" s="244"/>
      <c r="AB2260" s="244"/>
      <c r="AC2260" s="235" t="s">
        <v>687</v>
      </c>
      <c r="AD2260" s="235" t="s">
        <v>666</v>
      </c>
      <c r="AE2260" s="238">
        <v>600089.0</v>
      </c>
      <c r="AF2260" s="235" t="s">
        <v>631</v>
      </c>
      <c r="AG2260" s="244"/>
      <c r="AH2260" s="244"/>
      <c r="AI2260" s="245"/>
      <c r="AJ2260" s="245"/>
      <c r="AK2260" s="245"/>
      <c r="AL2260" s="245"/>
      <c r="AM2260" s="244"/>
      <c r="AN2260" s="244"/>
      <c r="AO2260" s="238">
        <v>-4.94</v>
      </c>
      <c r="AP2260" s="238">
        <v>0.0</v>
      </c>
      <c r="AQ2260" s="235" t="s">
        <v>632</v>
      </c>
      <c r="AR2260" s="243">
        <v>1.68E11</v>
      </c>
      <c r="AS2260" s="235" t="s">
        <v>16626</v>
      </c>
      <c r="AT2260" s="235" t="s">
        <v>156</v>
      </c>
      <c r="AU2260" s="235" t="s">
        <v>634</v>
      </c>
      <c r="AV2260" s="246" t="s">
        <v>635</v>
      </c>
      <c r="AW2260" s="242"/>
      <c r="AX2260" s="242"/>
      <c r="AY2260" s="231"/>
      <c r="AZ2260" s="231"/>
      <c r="BA2260" s="227"/>
      <c r="BB2260" s="231"/>
      <c r="BC2260" s="227"/>
      <c r="BD2260" s="227"/>
      <c r="BE2260" s="227"/>
      <c r="BF2260" s="227"/>
    </row>
    <row r="2261">
      <c r="A2261" s="235" t="s">
        <v>17395</v>
      </c>
      <c r="C2261" s="235" t="s">
        <v>17396</v>
      </c>
      <c r="D2261" s="235" t="s">
        <v>17397</v>
      </c>
      <c r="E2261" s="243">
        <v>6.54E13</v>
      </c>
      <c r="F2261" s="245"/>
      <c r="G2261" s="235" t="s">
        <v>17398</v>
      </c>
      <c r="H2261" s="235" t="s">
        <v>17399</v>
      </c>
      <c r="I2261" s="235" t="s">
        <v>17399</v>
      </c>
      <c r="J2261" s="235" t="s">
        <v>17400</v>
      </c>
      <c r="K2261" s="235" t="s">
        <v>17401</v>
      </c>
      <c r="N2261" s="235" t="s">
        <v>90</v>
      </c>
      <c r="O2261" s="235" t="s">
        <v>279</v>
      </c>
      <c r="P2261" s="238">
        <v>1.0</v>
      </c>
      <c r="Q2261" s="235" t="s">
        <v>627</v>
      </c>
      <c r="R2261" s="238">
        <v>246.66</v>
      </c>
      <c r="S2261" s="238">
        <v>12.1</v>
      </c>
      <c r="T2261" s="238">
        <v>0.0</v>
      </c>
      <c r="U2261" s="238">
        <v>0.0</v>
      </c>
      <c r="V2261" s="238">
        <v>0.0</v>
      </c>
      <c r="W2261" s="238">
        <v>0.0</v>
      </c>
      <c r="X2261" s="235" t="s">
        <v>628</v>
      </c>
      <c r="Z2261" s="244"/>
      <c r="AA2261" s="244"/>
      <c r="AB2261" s="244"/>
      <c r="AC2261" s="235" t="s">
        <v>1792</v>
      </c>
      <c r="AD2261" s="235" t="s">
        <v>1077</v>
      </c>
      <c r="AE2261" s="238">
        <v>390007.0</v>
      </c>
      <c r="AF2261" s="235" t="s">
        <v>631</v>
      </c>
      <c r="AG2261" s="244"/>
      <c r="AH2261" s="244"/>
      <c r="AI2261" s="245"/>
      <c r="AJ2261" s="245"/>
      <c r="AK2261" s="245"/>
      <c r="AL2261" s="245"/>
      <c r="AM2261" s="244"/>
      <c r="AN2261" s="244"/>
      <c r="AO2261" s="238">
        <v>-4.94</v>
      </c>
      <c r="AP2261" s="238">
        <v>0.0</v>
      </c>
      <c r="AQ2261" s="235" t="s">
        <v>632</v>
      </c>
      <c r="AR2261" s="243">
        <v>1.68E11</v>
      </c>
      <c r="AS2261" s="235" t="s">
        <v>16626</v>
      </c>
      <c r="AT2261" s="235" t="s">
        <v>5</v>
      </c>
      <c r="AU2261" s="235" t="s">
        <v>634</v>
      </c>
      <c r="AV2261" s="246" t="s">
        <v>635</v>
      </c>
      <c r="AW2261" s="242"/>
      <c r="AX2261" s="242"/>
      <c r="AY2261" s="231"/>
      <c r="AZ2261" s="231"/>
      <c r="BA2261" s="227"/>
      <c r="BB2261" s="231"/>
      <c r="BC2261" s="227"/>
      <c r="BD2261" s="227"/>
      <c r="BE2261" s="227"/>
      <c r="BF2261" s="227"/>
    </row>
    <row r="2262">
      <c r="A2262" s="235" t="s">
        <v>17402</v>
      </c>
      <c r="C2262" s="235" t="s">
        <v>17403</v>
      </c>
      <c r="D2262" s="235" t="s">
        <v>17404</v>
      </c>
      <c r="E2262" s="243">
        <v>6.53E13</v>
      </c>
      <c r="F2262" s="245"/>
      <c r="G2262" s="235" t="s">
        <v>17405</v>
      </c>
      <c r="H2262" s="235" t="s">
        <v>17406</v>
      </c>
      <c r="I2262" s="235" t="s">
        <v>17406</v>
      </c>
      <c r="J2262" s="235" t="s">
        <v>17407</v>
      </c>
      <c r="K2262" s="235" t="s">
        <v>17408</v>
      </c>
      <c r="N2262" s="235" t="s">
        <v>42</v>
      </c>
      <c r="O2262" s="235" t="s">
        <v>204</v>
      </c>
      <c r="P2262" s="238">
        <v>1.0</v>
      </c>
      <c r="Q2262" s="235" t="s">
        <v>627</v>
      </c>
      <c r="R2262" s="238">
        <v>270.48</v>
      </c>
      <c r="S2262" s="238">
        <v>13.25</v>
      </c>
      <c r="T2262" s="238">
        <v>0.0</v>
      </c>
      <c r="U2262" s="238">
        <v>0.0</v>
      </c>
      <c r="V2262" s="238">
        <v>0.0</v>
      </c>
      <c r="W2262" s="238">
        <v>0.0</v>
      </c>
      <c r="X2262" s="235" t="s">
        <v>628</v>
      </c>
      <c r="Z2262" s="244"/>
      <c r="AA2262" s="244"/>
      <c r="AB2262" s="244"/>
      <c r="AC2262" s="235" t="s">
        <v>17409</v>
      </c>
      <c r="AD2262" s="235" t="s">
        <v>1077</v>
      </c>
      <c r="AE2262" s="238">
        <v>392001.0</v>
      </c>
      <c r="AF2262" s="235" t="s">
        <v>631</v>
      </c>
      <c r="AG2262" s="244"/>
      <c r="AH2262" s="244"/>
      <c r="AI2262" s="245"/>
      <c r="AJ2262" s="245"/>
      <c r="AK2262" s="245"/>
      <c r="AL2262" s="245"/>
      <c r="AM2262" s="244"/>
      <c r="AN2262" s="244"/>
      <c r="AO2262" s="238">
        <v>-5.41</v>
      </c>
      <c r="AP2262" s="238">
        <v>0.0</v>
      </c>
      <c r="AQ2262" s="235" t="s">
        <v>632</v>
      </c>
      <c r="AR2262" s="243">
        <v>1.68E11</v>
      </c>
      <c r="AS2262" s="235" t="s">
        <v>15064</v>
      </c>
      <c r="AT2262" s="235" t="s">
        <v>16</v>
      </c>
      <c r="AU2262" s="235" t="s">
        <v>634</v>
      </c>
      <c r="AV2262" s="246" t="s">
        <v>635</v>
      </c>
      <c r="AW2262" s="242"/>
      <c r="AX2262" s="242"/>
      <c r="AY2262" s="231"/>
      <c r="AZ2262" s="231"/>
      <c r="BA2262" s="227"/>
      <c r="BB2262" s="231"/>
      <c r="BC2262" s="227"/>
      <c r="BD2262" s="227"/>
      <c r="BE2262" s="227"/>
      <c r="BF2262" s="227"/>
    </row>
    <row r="2263">
      <c r="A2263" s="235" t="s">
        <v>17410</v>
      </c>
      <c r="C2263" s="235" t="s">
        <v>17411</v>
      </c>
      <c r="D2263" s="235" t="s">
        <v>17412</v>
      </c>
      <c r="E2263" s="243">
        <v>6.54E13</v>
      </c>
      <c r="F2263" s="245"/>
      <c r="G2263" s="235" t="s">
        <v>17413</v>
      </c>
      <c r="H2263" s="235" t="s">
        <v>17414</v>
      </c>
      <c r="I2263" s="235" t="s">
        <v>17414</v>
      </c>
      <c r="J2263" s="235" t="s">
        <v>17415</v>
      </c>
      <c r="K2263" s="235" t="s">
        <v>17416</v>
      </c>
      <c r="N2263" s="235" t="s">
        <v>138</v>
      </c>
      <c r="O2263" s="235" t="s">
        <v>675</v>
      </c>
      <c r="P2263" s="238">
        <v>1.0</v>
      </c>
      <c r="Q2263" s="235" t="s">
        <v>627</v>
      </c>
      <c r="R2263" s="238">
        <v>246.66</v>
      </c>
      <c r="S2263" s="238">
        <v>12.1</v>
      </c>
      <c r="T2263" s="238">
        <v>0.0</v>
      </c>
      <c r="U2263" s="238">
        <v>0.0</v>
      </c>
      <c r="V2263" s="238">
        <v>0.0</v>
      </c>
      <c r="W2263" s="238">
        <v>0.0</v>
      </c>
      <c r="X2263" s="235" t="s">
        <v>628</v>
      </c>
      <c r="Z2263" s="244"/>
      <c r="AA2263" s="244"/>
      <c r="AB2263" s="244"/>
      <c r="AC2263" s="235" t="s">
        <v>687</v>
      </c>
      <c r="AD2263" s="235" t="s">
        <v>666</v>
      </c>
      <c r="AE2263" s="238">
        <v>600122.0</v>
      </c>
      <c r="AF2263" s="235" t="s">
        <v>631</v>
      </c>
      <c r="AG2263" s="244"/>
      <c r="AH2263" s="244"/>
      <c r="AI2263" s="245"/>
      <c r="AJ2263" s="245"/>
      <c r="AK2263" s="245"/>
      <c r="AL2263" s="245"/>
      <c r="AM2263" s="244"/>
      <c r="AN2263" s="244"/>
      <c r="AO2263" s="238">
        <v>-4.94</v>
      </c>
      <c r="AP2263" s="238">
        <v>0.0</v>
      </c>
      <c r="AQ2263" s="235" t="s">
        <v>632</v>
      </c>
      <c r="AR2263" s="243">
        <v>1.68E11</v>
      </c>
      <c r="AS2263" s="235" t="s">
        <v>17109</v>
      </c>
      <c r="AT2263" s="235" t="s">
        <v>156</v>
      </c>
      <c r="AU2263" s="235" t="s">
        <v>634</v>
      </c>
      <c r="AV2263" s="246" t="s">
        <v>635</v>
      </c>
      <c r="AW2263" s="242"/>
      <c r="AX2263" s="242"/>
      <c r="AY2263" s="231"/>
      <c r="AZ2263" s="231"/>
      <c r="BA2263" s="227"/>
      <c r="BB2263" s="231"/>
      <c r="BC2263" s="227"/>
      <c r="BD2263" s="227"/>
      <c r="BE2263" s="227"/>
      <c r="BF2263" s="227"/>
    </row>
    <row r="2264">
      <c r="A2264" s="235" t="s">
        <v>17417</v>
      </c>
      <c r="C2264" s="235" t="s">
        <v>17418</v>
      </c>
      <c r="D2264" s="235" t="s">
        <v>17419</v>
      </c>
      <c r="E2264" s="243">
        <v>6.53E13</v>
      </c>
      <c r="F2264" s="245"/>
      <c r="G2264" s="235" t="s">
        <v>17420</v>
      </c>
      <c r="H2264" s="235" t="s">
        <v>17421</v>
      </c>
      <c r="I2264" s="235" t="s">
        <v>17422</v>
      </c>
      <c r="J2264" s="235" t="s">
        <v>17423</v>
      </c>
      <c r="K2264" s="235" t="s">
        <v>17424</v>
      </c>
      <c r="N2264" s="235" t="s">
        <v>566</v>
      </c>
      <c r="O2264" s="235" t="s">
        <v>1834</v>
      </c>
      <c r="P2264" s="238">
        <v>1.0</v>
      </c>
      <c r="Q2264" s="235" t="s">
        <v>627</v>
      </c>
      <c r="R2264" s="238">
        <v>507.63</v>
      </c>
      <c r="S2264" s="238">
        <v>91.37</v>
      </c>
      <c r="T2264" s="238">
        <v>0.0</v>
      </c>
      <c r="U2264" s="238">
        <v>0.0</v>
      </c>
      <c r="V2264" s="238">
        <v>0.0</v>
      </c>
      <c r="W2264" s="238">
        <v>0.0</v>
      </c>
      <c r="X2264" s="235" t="s">
        <v>628</v>
      </c>
      <c r="Z2264" s="244"/>
      <c r="AA2264" s="244"/>
      <c r="AB2264" s="244"/>
      <c r="AC2264" s="235" t="s">
        <v>1058</v>
      </c>
      <c r="AD2264" s="235" t="s">
        <v>845</v>
      </c>
      <c r="AE2264" s="238">
        <v>400078.0</v>
      </c>
      <c r="AF2264" s="235" t="s">
        <v>631</v>
      </c>
      <c r="AG2264" s="244"/>
      <c r="AH2264" s="244"/>
      <c r="AI2264" s="245"/>
      <c r="AJ2264" s="245"/>
      <c r="AK2264" s="245"/>
      <c r="AL2264" s="245"/>
      <c r="AM2264" s="244"/>
      <c r="AN2264" s="244"/>
      <c r="AO2264" s="238">
        <v>0.0</v>
      </c>
      <c r="AP2264" s="238">
        <v>0.0</v>
      </c>
      <c r="AQ2264" s="235" t="s">
        <v>632</v>
      </c>
      <c r="AR2264" s="243">
        <v>3.71E11</v>
      </c>
      <c r="AS2264" s="235" t="s">
        <v>13822</v>
      </c>
      <c r="AT2264" s="235" t="s">
        <v>5</v>
      </c>
      <c r="AU2264" s="235" t="s">
        <v>634</v>
      </c>
      <c r="AV2264" s="246" t="s">
        <v>635</v>
      </c>
      <c r="AW2264" s="242"/>
      <c r="AX2264" s="242"/>
      <c r="AY2264" s="231"/>
      <c r="AZ2264" s="231"/>
      <c r="BA2264" s="227"/>
      <c r="BB2264" s="231"/>
      <c r="BC2264" s="227"/>
      <c r="BD2264" s="227"/>
      <c r="BE2264" s="227"/>
      <c r="BF2264" s="227"/>
    </row>
    <row r="2265">
      <c r="A2265" s="235" t="s">
        <v>17425</v>
      </c>
      <c r="C2265" s="235" t="s">
        <v>17426</v>
      </c>
      <c r="D2265" s="235" t="s">
        <v>17427</v>
      </c>
      <c r="E2265" s="243">
        <v>6.54E13</v>
      </c>
      <c r="F2265" s="245"/>
      <c r="G2265" s="235" t="s">
        <v>17428</v>
      </c>
      <c r="H2265" s="235" t="s">
        <v>17429</v>
      </c>
      <c r="I2265" s="235" t="s">
        <v>17430</v>
      </c>
      <c r="J2265" s="235" t="s">
        <v>17431</v>
      </c>
      <c r="K2265" s="235" t="s">
        <v>17432</v>
      </c>
      <c r="N2265" s="235" t="s">
        <v>139</v>
      </c>
      <c r="O2265" s="235" t="s">
        <v>2091</v>
      </c>
      <c r="P2265" s="238">
        <v>1.0</v>
      </c>
      <c r="Q2265" s="235" t="s">
        <v>627</v>
      </c>
      <c r="R2265" s="238">
        <v>246.66</v>
      </c>
      <c r="S2265" s="238">
        <v>12.1</v>
      </c>
      <c r="T2265" s="238">
        <v>0.0</v>
      </c>
      <c r="U2265" s="238">
        <v>0.0</v>
      </c>
      <c r="V2265" s="238">
        <v>0.0</v>
      </c>
      <c r="W2265" s="238">
        <v>0.0</v>
      </c>
      <c r="X2265" s="235" t="s">
        <v>628</v>
      </c>
      <c r="Z2265" s="244"/>
      <c r="AA2265" s="244"/>
      <c r="AB2265" s="244"/>
      <c r="AC2265" s="235" t="s">
        <v>1671</v>
      </c>
      <c r="AD2265" s="235" t="s">
        <v>666</v>
      </c>
      <c r="AE2265" s="238">
        <v>641035.0</v>
      </c>
      <c r="AF2265" s="235" t="s">
        <v>631</v>
      </c>
      <c r="AG2265" s="244"/>
      <c r="AH2265" s="244"/>
      <c r="AI2265" s="245"/>
      <c r="AJ2265" s="245"/>
      <c r="AK2265" s="245"/>
      <c r="AL2265" s="245"/>
      <c r="AM2265" s="244"/>
      <c r="AN2265" s="244"/>
      <c r="AO2265" s="238">
        <v>-4.94</v>
      </c>
      <c r="AP2265" s="238">
        <v>0.0</v>
      </c>
      <c r="AQ2265" s="235" t="s">
        <v>632</v>
      </c>
      <c r="AR2265" s="243">
        <v>3.71E11</v>
      </c>
      <c r="AS2265" s="235" t="s">
        <v>16626</v>
      </c>
      <c r="AT2265" s="235" t="s">
        <v>155</v>
      </c>
      <c r="AU2265" s="235" t="s">
        <v>634</v>
      </c>
      <c r="AV2265" s="246" t="s">
        <v>635</v>
      </c>
      <c r="AW2265" s="242"/>
      <c r="AX2265" s="242"/>
      <c r="AY2265" s="231"/>
      <c r="AZ2265" s="231"/>
      <c r="BA2265" s="227"/>
      <c r="BB2265" s="231"/>
      <c r="BC2265" s="227"/>
      <c r="BD2265" s="227"/>
      <c r="BE2265" s="227"/>
      <c r="BF2265" s="227"/>
    </row>
    <row r="2266">
      <c r="A2266" s="235" t="s">
        <v>17433</v>
      </c>
      <c r="C2266" s="235" t="s">
        <v>17434</v>
      </c>
      <c r="D2266" s="235" t="s">
        <v>17435</v>
      </c>
      <c r="E2266" s="243">
        <v>6.54E13</v>
      </c>
      <c r="F2266" s="245"/>
      <c r="G2266" s="235" t="s">
        <v>17436</v>
      </c>
      <c r="H2266" s="235" t="s">
        <v>17437</v>
      </c>
      <c r="I2266" s="235" t="s">
        <v>17437</v>
      </c>
      <c r="J2266" s="235" t="s">
        <v>17438</v>
      </c>
      <c r="K2266" s="235" t="s">
        <v>17439</v>
      </c>
      <c r="N2266" s="235" t="s">
        <v>127</v>
      </c>
      <c r="O2266" s="235" t="s">
        <v>794</v>
      </c>
      <c r="P2266" s="238">
        <v>1.0</v>
      </c>
      <c r="Q2266" s="235" t="s">
        <v>627</v>
      </c>
      <c r="R2266" s="238">
        <v>246.67</v>
      </c>
      <c r="S2266" s="238">
        <v>11.96</v>
      </c>
      <c r="T2266" s="238">
        <v>0.0</v>
      </c>
      <c r="U2266" s="238">
        <v>0.0</v>
      </c>
      <c r="V2266" s="238">
        <v>0.0</v>
      </c>
      <c r="W2266" s="238">
        <v>0.0</v>
      </c>
      <c r="X2266" s="235" t="s">
        <v>628</v>
      </c>
      <c r="Z2266" s="244"/>
      <c r="AA2266" s="244"/>
      <c r="AB2266" s="244"/>
      <c r="AC2266" s="235" t="s">
        <v>2452</v>
      </c>
      <c r="AD2266" s="235" t="s">
        <v>1151</v>
      </c>
      <c r="AE2266" s="238">
        <v>700091.0</v>
      </c>
      <c r="AF2266" s="235" t="s">
        <v>631</v>
      </c>
      <c r="AG2266" s="244"/>
      <c r="AH2266" s="244"/>
      <c r="AI2266" s="245"/>
      <c r="AJ2266" s="245"/>
      <c r="AK2266" s="245"/>
      <c r="AL2266" s="245"/>
      <c r="AM2266" s="244"/>
      <c r="AN2266" s="244"/>
      <c r="AO2266" s="238">
        <v>-7.4</v>
      </c>
      <c r="AP2266" s="238">
        <v>0.0</v>
      </c>
      <c r="AQ2266" s="235" t="s">
        <v>632</v>
      </c>
      <c r="AR2266" s="243">
        <v>2.02E11</v>
      </c>
      <c r="AS2266" s="235" t="s">
        <v>15064</v>
      </c>
      <c r="AT2266" s="235" t="s">
        <v>14</v>
      </c>
      <c r="AU2266" s="235" t="s">
        <v>634</v>
      </c>
      <c r="AV2266" s="246" t="s">
        <v>635</v>
      </c>
      <c r="AW2266" s="242"/>
      <c r="AX2266" s="242"/>
      <c r="AY2266" s="231"/>
      <c r="AZ2266" s="231"/>
      <c r="BA2266" s="227"/>
      <c r="BB2266" s="231"/>
      <c r="BC2266" s="227"/>
      <c r="BD2266" s="227"/>
      <c r="BE2266" s="227"/>
      <c r="BF2266" s="227"/>
    </row>
    <row r="2267">
      <c r="A2267" s="235" t="s">
        <v>17433</v>
      </c>
      <c r="C2267" s="235" t="s">
        <v>17434</v>
      </c>
      <c r="D2267" s="235" t="s">
        <v>17440</v>
      </c>
      <c r="E2267" s="243">
        <v>6.54E13</v>
      </c>
      <c r="F2267" s="245"/>
      <c r="G2267" s="235" t="s">
        <v>17436</v>
      </c>
      <c r="H2267" s="235" t="s">
        <v>17437</v>
      </c>
      <c r="I2267" s="235" t="s">
        <v>17437</v>
      </c>
      <c r="J2267" s="235" t="s">
        <v>17438</v>
      </c>
      <c r="K2267" s="235" t="s">
        <v>17439</v>
      </c>
      <c r="N2267" s="235" t="s">
        <v>127</v>
      </c>
      <c r="O2267" s="235" t="s">
        <v>794</v>
      </c>
      <c r="P2267" s="238">
        <v>1.0</v>
      </c>
      <c r="Q2267" s="235" t="s">
        <v>627</v>
      </c>
      <c r="R2267" s="238">
        <v>246.67</v>
      </c>
      <c r="S2267" s="238">
        <v>11.96</v>
      </c>
      <c r="T2267" s="238">
        <v>0.0</v>
      </c>
      <c r="U2267" s="238">
        <v>0.0</v>
      </c>
      <c r="V2267" s="238">
        <v>0.0</v>
      </c>
      <c r="W2267" s="238">
        <v>0.0</v>
      </c>
      <c r="X2267" s="235" t="s">
        <v>628</v>
      </c>
      <c r="Z2267" s="244"/>
      <c r="AA2267" s="244"/>
      <c r="AB2267" s="244"/>
      <c r="AC2267" s="235" t="s">
        <v>2452</v>
      </c>
      <c r="AD2267" s="235" t="s">
        <v>1151</v>
      </c>
      <c r="AE2267" s="238">
        <v>700091.0</v>
      </c>
      <c r="AF2267" s="235" t="s">
        <v>631</v>
      </c>
      <c r="AG2267" s="244"/>
      <c r="AH2267" s="244"/>
      <c r="AI2267" s="245"/>
      <c r="AJ2267" s="245"/>
      <c r="AK2267" s="245"/>
      <c r="AL2267" s="245"/>
      <c r="AM2267" s="244"/>
      <c r="AN2267" s="244"/>
      <c r="AO2267" s="238">
        <v>-7.4</v>
      </c>
      <c r="AP2267" s="238">
        <v>0.0</v>
      </c>
      <c r="AQ2267" s="235" t="s">
        <v>632</v>
      </c>
      <c r="AR2267" s="243">
        <v>2.02E11</v>
      </c>
      <c r="AS2267" s="235" t="s">
        <v>15064</v>
      </c>
      <c r="AT2267" s="235" t="s">
        <v>14</v>
      </c>
      <c r="AU2267" s="235" t="s">
        <v>634</v>
      </c>
      <c r="AV2267" s="246" t="s">
        <v>635</v>
      </c>
      <c r="AW2267" s="242"/>
      <c r="AX2267" s="242"/>
      <c r="AY2267" s="231"/>
      <c r="AZ2267" s="231"/>
      <c r="BA2267" s="227"/>
      <c r="BB2267" s="231"/>
      <c r="BC2267" s="227"/>
      <c r="BD2267" s="227"/>
      <c r="BE2267" s="227"/>
      <c r="BF2267" s="227"/>
    </row>
    <row r="2268">
      <c r="A2268" s="235" t="s">
        <v>17441</v>
      </c>
      <c r="C2268" s="235" t="s">
        <v>17442</v>
      </c>
      <c r="D2268" s="235" t="s">
        <v>17443</v>
      </c>
      <c r="E2268" s="243">
        <v>6.53E13</v>
      </c>
      <c r="F2268" s="245"/>
      <c r="G2268" s="235" t="s">
        <v>17444</v>
      </c>
      <c r="H2268" s="235" t="s">
        <v>17445</v>
      </c>
      <c r="I2268" s="235" t="s">
        <v>17445</v>
      </c>
      <c r="J2268" s="235" t="s">
        <v>17446</v>
      </c>
      <c r="K2268" s="235" t="s">
        <v>17447</v>
      </c>
      <c r="N2268" s="235" t="s">
        <v>39</v>
      </c>
      <c r="O2268" s="235" t="s">
        <v>291</v>
      </c>
      <c r="P2268" s="238">
        <v>1.0</v>
      </c>
      <c r="Q2268" s="235" t="s">
        <v>627</v>
      </c>
      <c r="R2268" s="238">
        <v>270.48</v>
      </c>
      <c r="S2268" s="238">
        <v>13.25</v>
      </c>
      <c r="T2268" s="238">
        <v>38.1</v>
      </c>
      <c r="U2268" s="238">
        <v>1.9</v>
      </c>
      <c r="V2268" s="238">
        <v>0.0</v>
      </c>
      <c r="W2268" s="238">
        <v>0.0</v>
      </c>
      <c r="X2268" s="235" t="s">
        <v>628</v>
      </c>
      <c r="Z2268" s="244"/>
      <c r="AA2268" s="244"/>
      <c r="AB2268" s="244"/>
      <c r="AC2268" s="235" t="s">
        <v>1355</v>
      </c>
      <c r="AD2268" s="235" t="s">
        <v>833</v>
      </c>
      <c r="AE2268" s="238">
        <v>518380.0</v>
      </c>
      <c r="AF2268" s="235" t="s">
        <v>631</v>
      </c>
      <c r="AG2268" s="244"/>
      <c r="AH2268" s="244"/>
      <c r="AI2268" s="245"/>
      <c r="AJ2268" s="245"/>
      <c r="AK2268" s="245"/>
      <c r="AL2268" s="245"/>
      <c r="AM2268" s="244"/>
      <c r="AN2268" s="244"/>
      <c r="AO2268" s="238">
        <v>-5.41</v>
      </c>
      <c r="AP2268" s="238">
        <v>-38.1</v>
      </c>
      <c r="AQ2268" s="235" t="s">
        <v>632</v>
      </c>
      <c r="AR2268" s="243">
        <v>3.71E11</v>
      </c>
      <c r="AS2268" s="235" t="s">
        <v>13822</v>
      </c>
      <c r="AT2268" s="235" t="s">
        <v>9</v>
      </c>
      <c r="AU2268" s="235" t="s">
        <v>634</v>
      </c>
      <c r="AV2268" s="246" t="s">
        <v>635</v>
      </c>
      <c r="AW2268" s="242"/>
      <c r="AX2268" s="242"/>
      <c r="AY2268" s="231"/>
      <c r="AZ2268" s="231"/>
      <c r="BA2268" s="227"/>
      <c r="BB2268" s="231"/>
      <c r="BC2268" s="227"/>
      <c r="BD2268" s="227"/>
      <c r="BE2268" s="227"/>
      <c r="BF2268" s="227"/>
    </row>
    <row r="2269">
      <c r="A2269" s="235" t="s">
        <v>17448</v>
      </c>
      <c r="C2269" s="235" t="s">
        <v>17449</v>
      </c>
      <c r="D2269" s="235" t="s">
        <v>17450</v>
      </c>
      <c r="E2269" s="243">
        <v>6.53E13</v>
      </c>
      <c r="F2269" s="245"/>
      <c r="G2269" s="235" t="s">
        <v>17451</v>
      </c>
      <c r="H2269" s="235" t="s">
        <v>17452</v>
      </c>
      <c r="I2269" s="235" t="s">
        <v>17452</v>
      </c>
      <c r="J2269" s="235" t="s">
        <v>17453</v>
      </c>
      <c r="K2269" s="235" t="s">
        <v>17454</v>
      </c>
      <c r="N2269" s="235" t="s">
        <v>842</v>
      </c>
      <c r="O2269" s="235" t="s">
        <v>843</v>
      </c>
      <c r="P2269" s="238">
        <v>1.0</v>
      </c>
      <c r="Q2269" s="235" t="s">
        <v>627</v>
      </c>
      <c r="R2269" s="238">
        <v>242.86</v>
      </c>
      <c r="S2269" s="238">
        <v>12.14</v>
      </c>
      <c r="T2269" s="238">
        <v>0.0</v>
      </c>
      <c r="U2269" s="238">
        <v>0.0</v>
      </c>
      <c r="V2269" s="238">
        <v>0.0</v>
      </c>
      <c r="W2269" s="238">
        <v>0.0</v>
      </c>
      <c r="X2269" s="235" t="s">
        <v>628</v>
      </c>
      <c r="Z2269" s="244"/>
      <c r="AA2269" s="244"/>
      <c r="AB2269" s="244"/>
      <c r="AC2269" s="235" t="s">
        <v>1058</v>
      </c>
      <c r="AD2269" s="235" t="s">
        <v>845</v>
      </c>
      <c r="AE2269" s="238">
        <v>400057.0</v>
      </c>
      <c r="AF2269" s="235" t="s">
        <v>631</v>
      </c>
      <c r="AG2269" s="244"/>
      <c r="AH2269" s="244"/>
      <c r="AI2269" s="245"/>
      <c r="AJ2269" s="245"/>
      <c r="AK2269" s="245"/>
      <c r="AL2269" s="245"/>
      <c r="AM2269" s="244"/>
      <c r="AN2269" s="244"/>
      <c r="AO2269" s="238">
        <v>0.0</v>
      </c>
      <c r="AP2269" s="238">
        <v>0.0</v>
      </c>
      <c r="AQ2269" s="235" t="s">
        <v>632</v>
      </c>
      <c r="AR2269" s="243">
        <v>1.68E11</v>
      </c>
      <c r="AS2269" s="235" t="s">
        <v>17109</v>
      </c>
      <c r="AT2269" s="235" t="s">
        <v>16</v>
      </c>
      <c r="AU2269" s="235" t="s">
        <v>634</v>
      </c>
      <c r="AV2269" s="246" t="s">
        <v>635</v>
      </c>
      <c r="AW2269" s="242"/>
      <c r="AX2269" s="242"/>
      <c r="AY2269" s="231"/>
      <c r="AZ2269" s="231"/>
      <c r="BA2269" s="227"/>
      <c r="BB2269" s="231"/>
      <c r="BC2269" s="227"/>
      <c r="BD2269" s="227"/>
      <c r="BE2269" s="227"/>
      <c r="BF2269" s="227"/>
    </row>
    <row r="2270">
      <c r="A2270" s="235" t="s">
        <v>17455</v>
      </c>
      <c r="C2270" s="235" t="s">
        <v>17456</v>
      </c>
      <c r="D2270" s="235" t="s">
        <v>17457</v>
      </c>
      <c r="E2270" s="243">
        <v>6.53E13</v>
      </c>
      <c r="F2270" s="245"/>
      <c r="G2270" s="235" t="s">
        <v>17458</v>
      </c>
      <c r="H2270" s="235" t="s">
        <v>17459</v>
      </c>
      <c r="I2270" s="235" t="s">
        <v>17459</v>
      </c>
      <c r="J2270" s="235" t="s">
        <v>17460</v>
      </c>
      <c r="K2270" s="235" t="s">
        <v>17461</v>
      </c>
      <c r="N2270" s="235" t="s">
        <v>130</v>
      </c>
      <c r="O2270" s="235" t="s">
        <v>707</v>
      </c>
      <c r="P2270" s="238">
        <v>1.0</v>
      </c>
      <c r="Q2270" s="235" t="s">
        <v>627</v>
      </c>
      <c r="R2270" s="238">
        <v>246.66</v>
      </c>
      <c r="S2270" s="238">
        <v>12.1</v>
      </c>
      <c r="T2270" s="238">
        <v>0.0</v>
      </c>
      <c r="U2270" s="238">
        <v>0.0</v>
      </c>
      <c r="V2270" s="238">
        <v>0.0</v>
      </c>
      <c r="W2270" s="238">
        <v>0.0</v>
      </c>
      <c r="X2270" s="235" t="s">
        <v>628</v>
      </c>
      <c r="Z2270" s="244"/>
      <c r="AA2270" s="244"/>
      <c r="AB2270" s="244"/>
      <c r="AC2270" s="235" t="s">
        <v>2580</v>
      </c>
      <c r="AD2270" s="235" t="s">
        <v>1077</v>
      </c>
      <c r="AE2270" s="238">
        <v>395010.0</v>
      </c>
      <c r="AF2270" s="235" t="s">
        <v>631</v>
      </c>
      <c r="AG2270" s="244"/>
      <c r="AH2270" s="244"/>
      <c r="AI2270" s="245"/>
      <c r="AJ2270" s="245"/>
      <c r="AK2270" s="245"/>
      <c r="AL2270" s="245"/>
      <c r="AM2270" s="244"/>
      <c r="AN2270" s="244"/>
      <c r="AO2270" s="238">
        <v>-4.94</v>
      </c>
      <c r="AP2270" s="238">
        <v>0.0</v>
      </c>
      <c r="AQ2270" s="235" t="s">
        <v>632</v>
      </c>
      <c r="AR2270" s="243">
        <v>3.71E11</v>
      </c>
      <c r="AS2270" s="235" t="s">
        <v>13822</v>
      </c>
      <c r="AT2270" s="235" t="s">
        <v>5</v>
      </c>
      <c r="AU2270" s="235" t="s">
        <v>634</v>
      </c>
      <c r="AV2270" s="246" t="s">
        <v>635</v>
      </c>
      <c r="AW2270" s="242"/>
      <c r="AX2270" s="242"/>
      <c r="AY2270" s="231"/>
      <c r="AZ2270" s="231"/>
      <c r="BA2270" s="227"/>
      <c r="BB2270" s="231"/>
      <c r="BC2270" s="227"/>
      <c r="BD2270" s="227"/>
      <c r="BE2270" s="227"/>
      <c r="BF2270" s="227"/>
    </row>
    <row r="2271">
      <c r="A2271" s="235" t="s">
        <v>17462</v>
      </c>
      <c r="C2271" s="235" t="s">
        <v>17463</v>
      </c>
      <c r="D2271" s="235" t="s">
        <v>17464</v>
      </c>
      <c r="E2271" s="243">
        <v>6.54E13</v>
      </c>
      <c r="F2271" s="245"/>
      <c r="G2271" s="235" t="s">
        <v>17465</v>
      </c>
      <c r="H2271" s="235" t="s">
        <v>17466</v>
      </c>
      <c r="I2271" s="235" t="s">
        <v>17466</v>
      </c>
      <c r="J2271" s="235" t="s">
        <v>17467</v>
      </c>
      <c r="K2271" s="235" t="s">
        <v>17468</v>
      </c>
      <c r="N2271" s="235" t="s">
        <v>115</v>
      </c>
      <c r="O2271" s="235" t="s">
        <v>548</v>
      </c>
      <c r="P2271" s="238">
        <v>1.0</v>
      </c>
      <c r="Q2271" s="235" t="s">
        <v>627</v>
      </c>
      <c r="R2271" s="238">
        <v>270.48</v>
      </c>
      <c r="S2271" s="238">
        <v>13.52</v>
      </c>
      <c r="T2271" s="238">
        <v>0.0</v>
      </c>
      <c r="U2271" s="238">
        <v>0.0</v>
      </c>
      <c r="V2271" s="238">
        <v>0.0</v>
      </c>
      <c r="W2271" s="238">
        <v>0.0</v>
      </c>
      <c r="X2271" s="235" t="s">
        <v>628</v>
      </c>
      <c r="Z2271" s="244"/>
      <c r="AA2271" s="244"/>
      <c r="AB2271" s="244"/>
      <c r="AC2271" s="235" t="s">
        <v>17469</v>
      </c>
      <c r="AD2271" s="235" t="s">
        <v>1086</v>
      </c>
      <c r="AE2271" s="238">
        <v>144804.0</v>
      </c>
      <c r="AF2271" s="235" t="s">
        <v>631</v>
      </c>
      <c r="AG2271" s="244"/>
      <c r="AH2271" s="244"/>
      <c r="AI2271" s="245"/>
      <c r="AJ2271" s="245"/>
      <c r="AK2271" s="245"/>
      <c r="AL2271" s="245"/>
      <c r="AM2271" s="244"/>
      <c r="AN2271" s="244"/>
      <c r="AO2271" s="238">
        <v>0.0</v>
      </c>
      <c r="AP2271" s="238">
        <v>0.0</v>
      </c>
      <c r="AQ2271" s="235" t="s">
        <v>632</v>
      </c>
      <c r="AR2271" s="243">
        <v>3.71E11</v>
      </c>
      <c r="AS2271" s="235" t="s">
        <v>11171</v>
      </c>
      <c r="AT2271" s="235" t="s">
        <v>9</v>
      </c>
      <c r="AU2271" s="235" t="s">
        <v>634</v>
      </c>
      <c r="AV2271" s="246" t="s">
        <v>635</v>
      </c>
      <c r="AW2271" s="242"/>
      <c r="AX2271" s="242"/>
      <c r="AY2271" s="231"/>
      <c r="AZ2271" s="231"/>
      <c r="BA2271" s="227"/>
      <c r="BB2271" s="231"/>
      <c r="BC2271" s="227"/>
      <c r="BD2271" s="227"/>
      <c r="BE2271" s="227"/>
      <c r="BF2271" s="227"/>
    </row>
    <row r="2272">
      <c r="A2272" s="235" t="s">
        <v>17470</v>
      </c>
      <c r="C2272" s="235" t="s">
        <v>17471</v>
      </c>
      <c r="D2272" s="235" t="s">
        <v>17472</v>
      </c>
      <c r="E2272" s="243">
        <v>6.54E13</v>
      </c>
      <c r="F2272" s="245"/>
      <c r="G2272" s="235" t="s">
        <v>17473</v>
      </c>
      <c r="H2272" s="235" t="s">
        <v>17474</v>
      </c>
      <c r="I2272" s="235" t="s">
        <v>17474</v>
      </c>
      <c r="J2272" s="235" t="s">
        <v>17475</v>
      </c>
      <c r="K2272" s="235" t="s">
        <v>17476</v>
      </c>
      <c r="N2272" s="235" t="s">
        <v>141</v>
      </c>
      <c r="O2272" s="235" t="s">
        <v>342</v>
      </c>
      <c r="P2272" s="238">
        <v>1.0</v>
      </c>
      <c r="Q2272" s="235" t="s">
        <v>627</v>
      </c>
      <c r="R2272" s="238">
        <v>270.48</v>
      </c>
      <c r="S2272" s="238">
        <v>13.25</v>
      </c>
      <c r="T2272" s="238">
        <v>0.0</v>
      </c>
      <c r="U2272" s="238">
        <v>0.0</v>
      </c>
      <c r="V2272" s="238">
        <v>0.0</v>
      </c>
      <c r="W2272" s="238">
        <v>0.0</v>
      </c>
      <c r="X2272" s="235" t="s">
        <v>628</v>
      </c>
      <c r="Z2272" s="244"/>
      <c r="AA2272" s="244"/>
      <c r="AB2272" s="244"/>
      <c r="AC2272" s="235" t="s">
        <v>17169</v>
      </c>
      <c r="AD2272" s="235" t="s">
        <v>2067</v>
      </c>
      <c r="AE2272" s="238">
        <v>834008.0</v>
      </c>
      <c r="AF2272" s="235" t="s">
        <v>631</v>
      </c>
      <c r="AG2272" s="244"/>
      <c r="AH2272" s="244"/>
      <c r="AI2272" s="245"/>
      <c r="AJ2272" s="245"/>
      <c r="AK2272" s="245"/>
      <c r="AL2272" s="245"/>
      <c r="AM2272" s="244"/>
      <c r="AN2272" s="244"/>
      <c r="AO2272" s="238">
        <v>-5.41</v>
      </c>
      <c r="AP2272" s="238">
        <v>0.0</v>
      </c>
      <c r="AQ2272" s="235" t="s">
        <v>632</v>
      </c>
      <c r="AR2272" s="243">
        <v>2.02E11</v>
      </c>
      <c r="AS2272" s="235" t="s">
        <v>16626</v>
      </c>
      <c r="AT2272" s="235" t="s">
        <v>11</v>
      </c>
      <c r="AU2272" s="235" t="s">
        <v>634</v>
      </c>
      <c r="AV2272" s="246" t="s">
        <v>635</v>
      </c>
      <c r="AW2272" s="242"/>
      <c r="AX2272" s="242"/>
      <c r="AY2272" s="231"/>
      <c r="AZ2272" s="231"/>
      <c r="BA2272" s="227"/>
      <c r="BB2272" s="231"/>
      <c r="BC2272" s="227"/>
      <c r="BD2272" s="227"/>
      <c r="BE2272" s="227"/>
      <c r="BF2272" s="227"/>
    </row>
    <row r="2273">
      <c r="A2273" s="235" t="s">
        <v>17477</v>
      </c>
      <c r="C2273" s="235" t="s">
        <v>17478</v>
      </c>
      <c r="D2273" s="235" t="s">
        <v>17479</v>
      </c>
      <c r="E2273" s="243">
        <v>6.53E13</v>
      </c>
      <c r="F2273" s="245"/>
      <c r="G2273" s="235" t="s">
        <v>17480</v>
      </c>
      <c r="H2273" s="235" t="s">
        <v>17481</v>
      </c>
      <c r="I2273" s="235" t="s">
        <v>17481</v>
      </c>
      <c r="J2273" s="235" t="s">
        <v>17482</v>
      </c>
      <c r="K2273" s="235" t="s">
        <v>17483</v>
      </c>
      <c r="N2273" s="235" t="s">
        <v>111</v>
      </c>
      <c r="O2273" s="235" t="s">
        <v>464</v>
      </c>
      <c r="P2273" s="238">
        <v>1.0</v>
      </c>
      <c r="Q2273" s="235" t="s">
        <v>627</v>
      </c>
      <c r="R2273" s="238">
        <v>269.52</v>
      </c>
      <c r="S2273" s="238">
        <v>13.22</v>
      </c>
      <c r="T2273" s="238">
        <v>0.0</v>
      </c>
      <c r="U2273" s="238">
        <v>0.0</v>
      </c>
      <c r="V2273" s="238">
        <v>0.0</v>
      </c>
      <c r="W2273" s="238">
        <v>0.0</v>
      </c>
      <c r="X2273" s="235" t="s">
        <v>628</v>
      </c>
      <c r="Z2273" s="244"/>
      <c r="AA2273" s="244"/>
      <c r="AB2273" s="244"/>
      <c r="AC2273" s="235" t="s">
        <v>2647</v>
      </c>
      <c r="AD2273" s="235" t="s">
        <v>845</v>
      </c>
      <c r="AE2273" s="238">
        <v>400607.0</v>
      </c>
      <c r="AF2273" s="235" t="s">
        <v>631</v>
      </c>
      <c r="AG2273" s="244"/>
      <c r="AH2273" s="244"/>
      <c r="AI2273" s="245"/>
      <c r="AJ2273" s="245"/>
      <c r="AK2273" s="245"/>
      <c r="AL2273" s="245"/>
      <c r="AM2273" s="244"/>
      <c r="AN2273" s="244"/>
      <c r="AO2273" s="238">
        <v>-5.4</v>
      </c>
      <c r="AP2273" s="238">
        <v>0.0</v>
      </c>
      <c r="AQ2273" s="235" t="s">
        <v>632</v>
      </c>
      <c r="AR2273" s="243">
        <v>3.71E11</v>
      </c>
      <c r="AS2273" s="235" t="s">
        <v>13822</v>
      </c>
      <c r="AT2273" s="235" t="s">
        <v>546</v>
      </c>
      <c r="AU2273" s="235" t="s">
        <v>634</v>
      </c>
      <c r="AV2273" s="246" t="s">
        <v>635</v>
      </c>
      <c r="AW2273" s="242"/>
      <c r="AX2273" s="242"/>
      <c r="AY2273" s="231"/>
      <c r="AZ2273" s="231"/>
      <c r="BA2273" s="227"/>
      <c r="BB2273" s="231"/>
      <c r="BC2273" s="227"/>
      <c r="BD2273" s="227"/>
      <c r="BE2273" s="227"/>
      <c r="BF2273" s="227"/>
    </row>
    <row r="2274">
      <c r="A2274" s="235" t="s">
        <v>17484</v>
      </c>
      <c r="C2274" s="235" t="s">
        <v>17485</v>
      </c>
      <c r="D2274" s="235" t="s">
        <v>17486</v>
      </c>
      <c r="E2274" s="243">
        <v>6.54E13</v>
      </c>
      <c r="F2274" s="245"/>
      <c r="G2274" s="235" t="s">
        <v>17487</v>
      </c>
      <c r="H2274" s="235" t="s">
        <v>17488</v>
      </c>
      <c r="I2274" s="235" t="s">
        <v>17488</v>
      </c>
      <c r="J2274" s="235" t="s">
        <v>17489</v>
      </c>
      <c r="K2274" s="235" t="s">
        <v>17490</v>
      </c>
      <c r="N2274" s="235" t="s">
        <v>556</v>
      </c>
      <c r="O2274" s="235" t="s">
        <v>555</v>
      </c>
      <c r="P2274" s="238">
        <v>1.0</v>
      </c>
      <c r="Q2274" s="235" t="s">
        <v>627</v>
      </c>
      <c r="R2274" s="238">
        <v>246.66</v>
      </c>
      <c r="S2274" s="238">
        <v>12.34</v>
      </c>
      <c r="T2274" s="238">
        <v>0.0</v>
      </c>
      <c r="U2274" s="238">
        <v>0.0</v>
      </c>
      <c r="V2274" s="238">
        <v>0.0</v>
      </c>
      <c r="W2274" s="238">
        <v>0.0</v>
      </c>
      <c r="X2274" s="235" t="s">
        <v>628</v>
      </c>
      <c r="Z2274" s="244"/>
      <c r="AA2274" s="244"/>
      <c r="AB2274" s="244"/>
      <c r="AC2274" s="235" t="s">
        <v>678</v>
      </c>
      <c r="AD2274" s="235" t="s">
        <v>679</v>
      </c>
      <c r="AE2274" s="238">
        <v>560087.0</v>
      </c>
      <c r="AF2274" s="235" t="s">
        <v>631</v>
      </c>
      <c r="AG2274" s="244"/>
      <c r="AH2274" s="244"/>
      <c r="AI2274" s="245"/>
      <c r="AJ2274" s="245"/>
      <c r="AK2274" s="245"/>
      <c r="AL2274" s="245"/>
      <c r="AM2274" s="244"/>
      <c r="AN2274" s="244"/>
      <c r="AO2274" s="238">
        <v>0.0</v>
      </c>
      <c r="AP2274" s="238">
        <v>0.0</v>
      </c>
      <c r="AQ2274" s="235" t="s">
        <v>632</v>
      </c>
      <c r="AR2274" s="243">
        <v>3.71E11</v>
      </c>
      <c r="AS2274" s="235" t="s">
        <v>16626</v>
      </c>
      <c r="AT2274" s="235" t="s">
        <v>9</v>
      </c>
      <c r="AU2274" s="235" t="s">
        <v>634</v>
      </c>
      <c r="AV2274" s="246" t="s">
        <v>635</v>
      </c>
      <c r="AW2274" s="242"/>
      <c r="AX2274" s="242"/>
      <c r="AY2274" s="231"/>
      <c r="AZ2274" s="231"/>
      <c r="BA2274" s="227"/>
      <c r="BB2274" s="231"/>
      <c r="BC2274" s="227"/>
      <c r="BD2274" s="227"/>
      <c r="BE2274" s="227"/>
      <c r="BF2274" s="227"/>
    </row>
    <row r="2275">
      <c r="A2275" s="235" t="s">
        <v>17491</v>
      </c>
      <c r="C2275" s="235" t="s">
        <v>17492</v>
      </c>
      <c r="D2275" s="235" t="s">
        <v>17493</v>
      </c>
      <c r="E2275" s="243">
        <v>6.52E13</v>
      </c>
      <c r="F2275" s="245"/>
      <c r="G2275" s="235" t="s">
        <v>17494</v>
      </c>
      <c r="H2275" s="235" t="s">
        <v>17495</v>
      </c>
      <c r="I2275" s="235" t="s">
        <v>17495</v>
      </c>
      <c r="J2275" s="235" t="s">
        <v>17496</v>
      </c>
      <c r="K2275" s="235" t="s">
        <v>17497</v>
      </c>
      <c r="N2275" s="235" t="s">
        <v>47</v>
      </c>
      <c r="O2275" s="235" t="s">
        <v>270</v>
      </c>
      <c r="P2275" s="238">
        <v>1.0</v>
      </c>
      <c r="Q2275" s="235" t="s">
        <v>627</v>
      </c>
      <c r="R2275" s="238">
        <v>237.14</v>
      </c>
      <c r="S2275" s="238">
        <v>11.86</v>
      </c>
      <c r="T2275" s="238">
        <v>38.1</v>
      </c>
      <c r="U2275" s="238">
        <v>1.9</v>
      </c>
      <c r="V2275" s="238">
        <v>0.0</v>
      </c>
      <c r="W2275" s="238">
        <v>0.0</v>
      </c>
      <c r="X2275" s="235" t="s">
        <v>628</v>
      </c>
      <c r="Z2275" s="244"/>
      <c r="AA2275" s="244"/>
      <c r="AB2275" s="244"/>
      <c r="AC2275" s="235" t="s">
        <v>17498</v>
      </c>
      <c r="AD2275" s="235" t="s">
        <v>17499</v>
      </c>
      <c r="AE2275" s="238">
        <v>500090.0</v>
      </c>
      <c r="AF2275" s="235" t="s">
        <v>631</v>
      </c>
      <c r="AG2275" s="244"/>
      <c r="AH2275" s="244"/>
      <c r="AI2275" s="245"/>
      <c r="AJ2275" s="245"/>
      <c r="AK2275" s="245"/>
      <c r="AL2275" s="245"/>
      <c r="AM2275" s="244"/>
      <c r="AN2275" s="244"/>
      <c r="AO2275" s="238">
        <v>0.0</v>
      </c>
      <c r="AP2275" s="238">
        <v>-38.1</v>
      </c>
      <c r="AQ2275" s="235" t="s">
        <v>632</v>
      </c>
      <c r="AR2275" s="243">
        <v>3.71E11</v>
      </c>
      <c r="AS2275" s="235" t="s">
        <v>13822</v>
      </c>
      <c r="AT2275" s="235" t="s">
        <v>17</v>
      </c>
      <c r="AU2275" s="235" t="s">
        <v>634</v>
      </c>
      <c r="AV2275" s="246" t="s">
        <v>635</v>
      </c>
      <c r="AW2275" s="242"/>
      <c r="AX2275" s="242"/>
      <c r="AY2275" s="231"/>
      <c r="AZ2275" s="231"/>
      <c r="BA2275" s="227"/>
      <c r="BB2275" s="231"/>
      <c r="BC2275" s="227"/>
      <c r="BD2275" s="227"/>
      <c r="BE2275" s="227"/>
      <c r="BF2275" s="227"/>
    </row>
    <row r="2276">
      <c r="A2276" s="235" t="s">
        <v>17500</v>
      </c>
      <c r="C2276" s="235" t="s">
        <v>17501</v>
      </c>
      <c r="D2276" s="235" t="s">
        <v>17502</v>
      </c>
      <c r="E2276" s="243">
        <v>6.54E13</v>
      </c>
      <c r="F2276" s="245"/>
      <c r="G2276" s="235" t="s">
        <v>17503</v>
      </c>
      <c r="H2276" s="235" t="s">
        <v>17504</v>
      </c>
      <c r="I2276" s="235" t="s">
        <v>17504</v>
      </c>
      <c r="J2276" s="235" t="s">
        <v>17505</v>
      </c>
      <c r="K2276" s="235" t="s">
        <v>17506</v>
      </c>
      <c r="N2276" s="235" t="s">
        <v>115</v>
      </c>
      <c r="O2276" s="235" t="s">
        <v>548</v>
      </c>
      <c r="P2276" s="238">
        <v>1.0</v>
      </c>
      <c r="Q2276" s="235" t="s">
        <v>627</v>
      </c>
      <c r="R2276" s="238">
        <v>246.67</v>
      </c>
      <c r="S2276" s="238">
        <v>12.33</v>
      </c>
      <c r="T2276" s="238">
        <v>0.0</v>
      </c>
      <c r="U2276" s="238">
        <v>0.0</v>
      </c>
      <c r="V2276" s="238">
        <v>0.0</v>
      </c>
      <c r="W2276" s="238">
        <v>0.0</v>
      </c>
      <c r="X2276" s="235" t="s">
        <v>628</v>
      </c>
      <c r="Z2276" s="244"/>
      <c r="AA2276" s="244"/>
      <c r="AB2276" s="244"/>
      <c r="AC2276" s="235" t="s">
        <v>678</v>
      </c>
      <c r="AD2276" s="235" t="s">
        <v>679</v>
      </c>
      <c r="AE2276" s="238">
        <v>560076.0</v>
      </c>
      <c r="AF2276" s="235" t="s">
        <v>631</v>
      </c>
      <c r="AG2276" s="244"/>
      <c r="AH2276" s="244"/>
      <c r="AI2276" s="245"/>
      <c r="AJ2276" s="245"/>
      <c r="AK2276" s="245"/>
      <c r="AL2276" s="245"/>
      <c r="AM2276" s="244"/>
      <c r="AN2276" s="244"/>
      <c r="AO2276" s="238">
        <v>0.0</v>
      </c>
      <c r="AP2276" s="238">
        <v>0.0</v>
      </c>
      <c r="AQ2276" s="235" t="s">
        <v>632</v>
      </c>
      <c r="AR2276" s="243">
        <v>1.68E11</v>
      </c>
      <c r="AS2276" s="235" t="s">
        <v>16626</v>
      </c>
      <c r="AT2276" s="235" t="s">
        <v>156</v>
      </c>
      <c r="AU2276" s="235" t="s">
        <v>634</v>
      </c>
      <c r="AV2276" s="246" t="s">
        <v>635</v>
      </c>
      <c r="AW2276" s="242"/>
      <c r="AX2276" s="242"/>
      <c r="AY2276" s="231"/>
      <c r="AZ2276" s="231"/>
      <c r="BA2276" s="227"/>
      <c r="BB2276" s="231"/>
      <c r="BC2276" s="227"/>
      <c r="BD2276" s="227"/>
      <c r="BE2276" s="227"/>
      <c r="BF2276" s="227"/>
    </row>
    <row r="2277">
      <c r="A2277" s="235" t="s">
        <v>17507</v>
      </c>
      <c r="C2277" s="235" t="s">
        <v>17508</v>
      </c>
      <c r="D2277" s="235" t="s">
        <v>17509</v>
      </c>
      <c r="E2277" s="243">
        <v>6.53E13</v>
      </c>
      <c r="F2277" s="245"/>
      <c r="G2277" s="235" t="s">
        <v>17510</v>
      </c>
      <c r="H2277" s="235" t="s">
        <v>17511</v>
      </c>
      <c r="I2277" s="235" t="s">
        <v>17512</v>
      </c>
      <c r="J2277" s="235" t="s">
        <v>17513</v>
      </c>
      <c r="K2277" s="235" t="s">
        <v>17514</v>
      </c>
      <c r="N2277" s="235" t="s">
        <v>134</v>
      </c>
      <c r="O2277" s="235" t="s">
        <v>314</v>
      </c>
      <c r="P2277" s="238">
        <v>1.0</v>
      </c>
      <c r="Q2277" s="235" t="s">
        <v>627</v>
      </c>
      <c r="R2277" s="238">
        <v>270.48</v>
      </c>
      <c r="S2277" s="238">
        <v>13.52</v>
      </c>
      <c r="T2277" s="238">
        <v>0.0</v>
      </c>
      <c r="U2277" s="238">
        <v>0.0</v>
      </c>
      <c r="V2277" s="238">
        <v>0.0</v>
      </c>
      <c r="W2277" s="238">
        <v>0.0</v>
      </c>
      <c r="X2277" s="235" t="s">
        <v>628</v>
      </c>
      <c r="Z2277" s="244"/>
      <c r="AA2277" s="244"/>
      <c r="AB2277" s="244"/>
      <c r="AC2277" s="235" t="s">
        <v>844</v>
      </c>
      <c r="AD2277" s="235" t="s">
        <v>845</v>
      </c>
      <c r="AE2277" s="238">
        <v>411047.0</v>
      </c>
      <c r="AF2277" s="235" t="s">
        <v>631</v>
      </c>
      <c r="AG2277" s="244"/>
      <c r="AH2277" s="244"/>
      <c r="AI2277" s="245"/>
      <c r="AJ2277" s="245"/>
      <c r="AK2277" s="245"/>
      <c r="AL2277" s="245"/>
      <c r="AM2277" s="244"/>
      <c r="AN2277" s="244"/>
      <c r="AO2277" s="238">
        <v>0.0</v>
      </c>
      <c r="AP2277" s="238">
        <v>0.0</v>
      </c>
      <c r="AQ2277" s="235" t="s">
        <v>632</v>
      </c>
      <c r="AR2277" s="243">
        <v>3.71E11</v>
      </c>
      <c r="AS2277" s="235" t="s">
        <v>16626</v>
      </c>
      <c r="AT2277" s="235" t="s">
        <v>546</v>
      </c>
      <c r="AU2277" s="235" t="s">
        <v>634</v>
      </c>
      <c r="AV2277" s="246" t="s">
        <v>635</v>
      </c>
      <c r="AW2277" s="242"/>
      <c r="AX2277" s="242"/>
      <c r="AY2277" s="231"/>
      <c r="AZ2277" s="231"/>
      <c r="BA2277" s="227"/>
      <c r="BB2277" s="231"/>
      <c r="BC2277" s="227"/>
      <c r="BD2277" s="227"/>
      <c r="BE2277" s="227"/>
      <c r="BF2277" s="227"/>
    </row>
    <row r="2278">
      <c r="A2278" s="235" t="s">
        <v>17515</v>
      </c>
      <c r="C2278" s="235" t="s">
        <v>17516</v>
      </c>
      <c r="D2278" s="235" t="s">
        <v>17517</v>
      </c>
      <c r="E2278" s="243">
        <v>6.53E13</v>
      </c>
      <c r="F2278" s="245"/>
      <c r="G2278" s="235" t="s">
        <v>17518</v>
      </c>
      <c r="H2278" s="235" t="s">
        <v>17519</v>
      </c>
      <c r="I2278" s="235" t="s">
        <v>17519</v>
      </c>
      <c r="J2278" s="235" t="s">
        <v>17520</v>
      </c>
      <c r="K2278" s="235" t="s">
        <v>17521</v>
      </c>
      <c r="N2278" s="235" t="s">
        <v>8</v>
      </c>
      <c r="O2278" s="235" t="s">
        <v>16329</v>
      </c>
      <c r="P2278" s="238">
        <v>1.0</v>
      </c>
      <c r="Q2278" s="235" t="s">
        <v>627</v>
      </c>
      <c r="R2278" s="238">
        <v>284.76</v>
      </c>
      <c r="S2278" s="238">
        <v>13.96</v>
      </c>
      <c r="T2278" s="238">
        <v>0.0</v>
      </c>
      <c r="U2278" s="238">
        <v>0.0</v>
      </c>
      <c r="V2278" s="238">
        <v>0.0</v>
      </c>
      <c r="W2278" s="238">
        <v>0.0</v>
      </c>
      <c r="X2278" s="235" t="s">
        <v>628</v>
      </c>
      <c r="Z2278" s="244"/>
      <c r="AA2278" s="244"/>
      <c r="AB2278" s="244"/>
      <c r="AC2278" s="235" t="s">
        <v>1475</v>
      </c>
      <c r="AD2278" s="235" t="s">
        <v>796</v>
      </c>
      <c r="AE2278" s="238">
        <v>110085.0</v>
      </c>
      <c r="AF2278" s="235" t="s">
        <v>631</v>
      </c>
      <c r="AG2278" s="244"/>
      <c r="AH2278" s="244"/>
      <c r="AI2278" s="245"/>
      <c r="AJ2278" s="245"/>
      <c r="AK2278" s="245"/>
      <c r="AL2278" s="245"/>
      <c r="AM2278" s="244"/>
      <c r="AN2278" s="244"/>
      <c r="AO2278" s="238">
        <v>-5.7</v>
      </c>
      <c r="AP2278" s="238">
        <v>0.0</v>
      </c>
      <c r="AQ2278" s="235" t="s">
        <v>632</v>
      </c>
      <c r="AR2278" s="243">
        <v>1.68E11</v>
      </c>
      <c r="AS2278" s="235" t="s">
        <v>17109</v>
      </c>
      <c r="AT2278" s="235" t="s">
        <v>14</v>
      </c>
      <c r="AU2278" s="235" t="s">
        <v>634</v>
      </c>
      <c r="AV2278" s="246" t="s">
        <v>635</v>
      </c>
      <c r="AW2278" s="242"/>
      <c r="AX2278" s="242"/>
      <c r="AY2278" s="231"/>
      <c r="AZ2278" s="231"/>
      <c r="BA2278" s="227"/>
      <c r="BB2278" s="231"/>
      <c r="BC2278" s="227"/>
      <c r="BD2278" s="227"/>
      <c r="BE2278" s="227"/>
      <c r="BF2278" s="227"/>
    </row>
    <row r="2279">
      <c r="A2279" s="235" t="s">
        <v>17522</v>
      </c>
      <c r="C2279" s="235" t="s">
        <v>17523</v>
      </c>
      <c r="D2279" s="235" t="s">
        <v>17524</v>
      </c>
      <c r="E2279" s="243">
        <v>6.54E13</v>
      </c>
      <c r="F2279" s="245"/>
      <c r="G2279" s="235" t="s">
        <v>17525</v>
      </c>
      <c r="H2279" s="235" t="s">
        <v>17526</v>
      </c>
      <c r="I2279" s="235" t="s">
        <v>17527</v>
      </c>
      <c r="J2279" s="235" t="s">
        <v>17528</v>
      </c>
      <c r="K2279" s="235" t="s">
        <v>17529</v>
      </c>
      <c r="N2279" s="235" t="s">
        <v>130</v>
      </c>
      <c r="O2279" s="235" t="s">
        <v>707</v>
      </c>
      <c r="P2279" s="238">
        <v>1.0</v>
      </c>
      <c r="Q2279" s="235" t="s">
        <v>627</v>
      </c>
      <c r="R2279" s="238">
        <v>270.48</v>
      </c>
      <c r="S2279" s="238">
        <v>13.52</v>
      </c>
      <c r="T2279" s="238">
        <v>0.0</v>
      </c>
      <c r="U2279" s="238">
        <v>0.0</v>
      </c>
      <c r="V2279" s="238">
        <v>0.0</v>
      </c>
      <c r="W2279" s="238">
        <v>0.0</v>
      </c>
      <c r="X2279" s="235" t="s">
        <v>628</v>
      </c>
      <c r="Z2279" s="244"/>
      <c r="AA2279" s="244"/>
      <c r="AB2279" s="244"/>
      <c r="AC2279" s="235" t="s">
        <v>1792</v>
      </c>
      <c r="AD2279" s="235" t="s">
        <v>1077</v>
      </c>
      <c r="AE2279" s="238">
        <v>390025.0</v>
      </c>
      <c r="AF2279" s="235" t="s">
        <v>631</v>
      </c>
      <c r="AG2279" s="244"/>
      <c r="AH2279" s="244"/>
      <c r="AI2279" s="245"/>
      <c r="AJ2279" s="245"/>
      <c r="AK2279" s="245"/>
      <c r="AL2279" s="245"/>
      <c r="AM2279" s="244"/>
      <c r="AN2279" s="244"/>
      <c r="AO2279" s="238">
        <v>0.0</v>
      </c>
      <c r="AP2279" s="238">
        <v>0.0</v>
      </c>
      <c r="AQ2279" s="235" t="s">
        <v>632</v>
      </c>
      <c r="AR2279" s="243">
        <v>3.71E11</v>
      </c>
      <c r="AS2279" s="235" t="s">
        <v>16626</v>
      </c>
      <c r="AT2279" s="235" t="s">
        <v>5</v>
      </c>
      <c r="AU2279" s="235" t="s">
        <v>634</v>
      </c>
      <c r="AV2279" s="246" t="s">
        <v>635</v>
      </c>
      <c r="AW2279" s="242"/>
      <c r="AX2279" s="242"/>
      <c r="AY2279" s="231"/>
      <c r="AZ2279" s="231"/>
      <c r="BA2279" s="227"/>
      <c r="BB2279" s="231"/>
      <c r="BC2279" s="227"/>
      <c r="BD2279" s="227"/>
      <c r="BE2279" s="227"/>
      <c r="BF2279" s="227"/>
    </row>
    <row r="2280">
      <c r="A2280" s="235" t="s">
        <v>17530</v>
      </c>
      <c r="C2280" s="235" t="s">
        <v>17531</v>
      </c>
      <c r="D2280" s="235" t="s">
        <v>17532</v>
      </c>
      <c r="E2280" s="243">
        <v>6.54E13</v>
      </c>
      <c r="F2280" s="245"/>
      <c r="G2280" s="235" t="s">
        <v>17533</v>
      </c>
      <c r="H2280" s="235" t="s">
        <v>17534</v>
      </c>
      <c r="I2280" s="235" t="s">
        <v>17534</v>
      </c>
      <c r="J2280" s="235" t="s">
        <v>17535</v>
      </c>
      <c r="K2280" s="235" t="s">
        <v>17536</v>
      </c>
      <c r="N2280" s="235" t="s">
        <v>68</v>
      </c>
      <c r="O2280" s="235" t="s">
        <v>208</v>
      </c>
      <c r="P2280" s="238">
        <v>1.0</v>
      </c>
      <c r="Q2280" s="235" t="s">
        <v>627</v>
      </c>
      <c r="R2280" s="238">
        <v>261.9</v>
      </c>
      <c r="S2280" s="238">
        <v>12.84</v>
      </c>
      <c r="T2280" s="238">
        <v>38.1</v>
      </c>
      <c r="U2280" s="238">
        <v>1.9</v>
      </c>
      <c r="V2280" s="238">
        <v>0.0</v>
      </c>
      <c r="W2280" s="238">
        <v>0.0</v>
      </c>
      <c r="X2280" s="235" t="s">
        <v>628</v>
      </c>
      <c r="Z2280" s="244"/>
      <c r="AA2280" s="244"/>
      <c r="AB2280" s="244"/>
      <c r="AC2280" s="235" t="s">
        <v>5732</v>
      </c>
      <c r="AD2280" s="235" t="s">
        <v>2688</v>
      </c>
      <c r="AE2280" s="238">
        <v>190001.0</v>
      </c>
      <c r="AF2280" s="235" t="s">
        <v>631</v>
      </c>
      <c r="AG2280" s="244"/>
      <c r="AH2280" s="244"/>
      <c r="AI2280" s="245"/>
      <c r="AJ2280" s="245"/>
      <c r="AK2280" s="245"/>
      <c r="AL2280" s="245"/>
      <c r="AM2280" s="244"/>
      <c r="AN2280" s="244"/>
      <c r="AO2280" s="238">
        <v>-5.24</v>
      </c>
      <c r="AP2280" s="238">
        <v>-38.1</v>
      </c>
      <c r="AQ2280" s="235" t="s">
        <v>632</v>
      </c>
      <c r="AR2280" s="243">
        <v>3.71E11</v>
      </c>
      <c r="AS2280" s="235" t="s">
        <v>8807</v>
      </c>
      <c r="AT2280" s="235" t="s">
        <v>13</v>
      </c>
      <c r="AU2280" s="235" t="s">
        <v>634</v>
      </c>
      <c r="AV2280" s="246" t="s">
        <v>635</v>
      </c>
      <c r="AW2280" s="242"/>
      <c r="AX2280" s="242"/>
      <c r="AY2280" s="231"/>
      <c r="AZ2280" s="231"/>
      <c r="BA2280" s="227"/>
      <c r="BB2280" s="231"/>
      <c r="BC2280" s="227"/>
      <c r="BD2280" s="227"/>
      <c r="BE2280" s="227"/>
      <c r="BF2280" s="227"/>
    </row>
    <row r="2281">
      <c r="A2281" s="235" t="s">
        <v>17537</v>
      </c>
      <c r="C2281" s="235" t="s">
        <v>17538</v>
      </c>
      <c r="D2281" s="235" t="s">
        <v>17539</v>
      </c>
      <c r="E2281" s="243">
        <v>6.54E13</v>
      </c>
      <c r="F2281" s="245"/>
      <c r="G2281" s="235" t="s">
        <v>17540</v>
      </c>
      <c r="H2281" s="235" t="s">
        <v>17541</v>
      </c>
      <c r="I2281" s="235" t="s">
        <v>17541</v>
      </c>
      <c r="J2281" s="235" t="s">
        <v>17542</v>
      </c>
      <c r="K2281" s="235" t="s">
        <v>17543</v>
      </c>
      <c r="N2281" s="235" t="s">
        <v>842</v>
      </c>
      <c r="O2281" s="235" t="s">
        <v>843</v>
      </c>
      <c r="P2281" s="238">
        <v>1.0</v>
      </c>
      <c r="Q2281" s="235" t="s">
        <v>627</v>
      </c>
      <c r="R2281" s="238">
        <v>246.66</v>
      </c>
      <c r="S2281" s="238">
        <v>12.1</v>
      </c>
      <c r="T2281" s="238">
        <v>0.0</v>
      </c>
      <c r="U2281" s="238">
        <v>0.0</v>
      </c>
      <c r="V2281" s="238">
        <v>0.0</v>
      </c>
      <c r="W2281" s="238">
        <v>0.0</v>
      </c>
      <c r="X2281" s="235" t="s">
        <v>628</v>
      </c>
      <c r="Z2281" s="244"/>
      <c r="AA2281" s="244"/>
      <c r="AB2281" s="244"/>
      <c r="AC2281" s="235" t="s">
        <v>17544</v>
      </c>
      <c r="AD2281" s="235" t="s">
        <v>679</v>
      </c>
      <c r="AE2281" s="238">
        <v>583275.0</v>
      </c>
      <c r="AF2281" s="235" t="s">
        <v>631</v>
      </c>
      <c r="AG2281" s="244"/>
      <c r="AH2281" s="244"/>
      <c r="AI2281" s="245"/>
      <c r="AJ2281" s="245"/>
      <c r="AK2281" s="245"/>
      <c r="AL2281" s="245"/>
      <c r="AM2281" s="244"/>
      <c r="AN2281" s="244"/>
      <c r="AO2281" s="238">
        <v>-4.94</v>
      </c>
      <c r="AP2281" s="238">
        <v>0.0</v>
      </c>
      <c r="AQ2281" s="235" t="s">
        <v>632</v>
      </c>
      <c r="AR2281" s="243">
        <v>3.71E11</v>
      </c>
      <c r="AS2281" s="235" t="s">
        <v>15064</v>
      </c>
      <c r="AT2281" s="235" t="s">
        <v>11</v>
      </c>
      <c r="AU2281" s="235" t="s">
        <v>634</v>
      </c>
      <c r="AV2281" s="246" t="s">
        <v>635</v>
      </c>
      <c r="AW2281" s="242"/>
      <c r="AX2281" s="242"/>
      <c r="AY2281" s="231"/>
      <c r="AZ2281" s="231"/>
      <c r="BA2281" s="227"/>
      <c r="BB2281" s="231"/>
      <c r="BC2281" s="227"/>
      <c r="BD2281" s="227"/>
      <c r="BE2281" s="227"/>
      <c r="BF2281" s="227"/>
    </row>
    <row r="2282">
      <c r="A2282" s="235" t="s">
        <v>17545</v>
      </c>
      <c r="C2282" s="235" t="s">
        <v>17546</v>
      </c>
      <c r="D2282" s="235" t="s">
        <v>17547</v>
      </c>
      <c r="E2282" s="243">
        <v>6.54E13</v>
      </c>
      <c r="F2282" s="245"/>
      <c r="G2282" s="235" t="s">
        <v>17548</v>
      </c>
      <c r="H2282" s="235" t="s">
        <v>17549</v>
      </c>
      <c r="I2282" s="235" t="s">
        <v>17549</v>
      </c>
      <c r="J2282" s="235" t="s">
        <v>17550</v>
      </c>
      <c r="K2282" s="235" t="s">
        <v>17551</v>
      </c>
      <c r="N2282" s="235" t="s">
        <v>2706</v>
      </c>
      <c r="O2282" s="235" t="s">
        <v>2707</v>
      </c>
      <c r="P2282" s="238">
        <v>1.0</v>
      </c>
      <c r="Q2282" s="235" t="s">
        <v>627</v>
      </c>
      <c r="R2282" s="238">
        <v>761.86</v>
      </c>
      <c r="S2282" s="238">
        <v>134.4</v>
      </c>
      <c r="T2282" s="238">
        <v>0.0</v>
      </c>
      <c r="U2282" s="238">
        <v>0.0</v>
      </c>
      <c r="V2282" s="238">
        <v>0.0</v>
      </c>
      <c r="W2282" s="238">
        <v>0.0</v>
      </c>
      <c r="X2282" s="235" t="s">
        <v>628</v>
      </c>
      <c r="Z2282" s="244"/>
      <c r="AA2282" s="244"/>
      <c r="AB2282" s="244"/>
      <c r="AC2282" s="235" t="s">
        <v>937</v>
      </c>
      <c r="AD2282" s="235" t="s">
        <v>709</v>
      </c>
      <c r="AE2282" s="238">
        <v>800026.0</v>
      </c>
      <c r="AF2282" s="235" t="s">
        <v>631</v>
      </c>
      <c r="AG2282" s="244"/>
      <c r="AH2282" s="244"/>
      <c r="AI2282" s="245"/>
      <c r="AJ2282" s="245"/>
      <c r="AK2282" s="245"/>
      <c r="AL2282" s="245"/>
      <c r="AM2282" s="244"/>
      <c r="AN2282" s="244"/>
      <c r="AO2282" s="238">
        <v>-15.24</v>
      </c>
      <c r="AP2282" s="238">
        <v>0.0</v>
      </c>
      <c r="AQ2282" s="235" t="s">
        <v>632</v>
      </c>
      <c r="AR2282" s="243">
        <v>1.68E11</v>
      </c>
      <c r="AS2282" s="235" t="s">
        <v>15064</v>
      </c>
      <c r="AT2282" s="235" t="s">
        <v>14</v>
      </c>
      <c r="AU2282" s="235" t="s">
        <v>634</v>
      </c>
      <c r="AV2282" s="246" t="s">
        <v>635</v>
      </c>
      <c r="AW2282" s="242"/>
      <c r="AX2282" s="242"/>
      <c r="AY2282" s="231"/>
      <c r="AZ2282" s="231"/>
      <c r="BA2282" s="227"/>
      <c r="BB2282" s="231"/>
      <c r="BC2282" s="227"/>
      <c r="BD2282" s="227"/>
      <c r="BE2282" s="227"/>
      <c r="BF2282" s="227"/>
    </row>
    <row r="2283">
      <c r="A2283" s="235" t="s">
        <v>17552</v>
      </c>
      <c r="C2283" s="235" t="s">
        <v>17553</v>
      </c>
      <c r="D2283" s="235" t="s">
        <v>17554</v>
      </c>
      <c r="E2283" s="243">
        <v>6.53E13</v>
      </c>
      <c r="F2283" s="245"/>
      <c r="G2283" s="235" t="s">
        <v>17555</v>
      </c>
      <c r="H2283" s="235" t="s">
        <v>17556</v>
      </c>
      <c r="I2283" s="235" t="s">
        <v>17556</v>
      </c>
      <c r="J2283" s="235" t="s">
        <v>17557</v>
      </c>
      <c r="K2283" s="235" t="s">
        <v>17558</v>
      </c>
      <c r="N2283" s="235" t="s">
        <v>85</v>
      </c>
      <c r="O2283" s="235" t="s">
        <v>872</v>
      </c>
      <c r="P2283" s="238">
        <v>1.0</v>
      </c>
      <c r="Q2283" s="235" t="s">
        <v>627</v>
      </c>
      <c r="R2283" s="238">
        <v>246.67</v>
      </c>
      <c r="S2283" s="238">
        <v>12.33</v>
      </c>
      <c r="T2283" s="238">
        <v>38.1</v>
      </c>
      <c r="U2283" s="238">
        <v>1.9</v>
      </c>
      <c r="V2283" s="238">
        <v>0.0</v>
      </c>
      <c r="W2283" s="238">
        <v>0.0</v>
      </c>
      <c r="X2283" s="235" t="s">
        <v>628</v>
      </c>
      <c r="Z2283" s="244"/>
      <c r="AA2283" s="244"/>
      <c r="AB2283" s="244"/>
      <c r="AC2283" s="235" t="s">
        <v>795</v>
      </c>
      <c r="AD2283" s="235" t="s">
        <v>796</v>
      </c>
      <c r="AE2283" s="238">
        <v>110053.0</v>
      </c>
      <c r="AF2283" s="235" t="s">
        <v>631</v>
      </c>
      <c r="AG2283" s="244"/>
      <c r="AH2283" s="244"/>
      <c r="AI2283" s="245"/>
      <c r="AJ2283" s="245"/>
      <c r="AK2283" s="245"/>
      <c r="AL2283" s="245"/>
      <c r="AM2283" s="244"/>
      <c r="AN2283" s="244"/>
      <c r="AO2283" s="238">
        <v>0.0</v>
      </c>
      <c r="AP2283" s="238">
        <v>-38.1</v>
      </c>
      <c r="AQ2283" s="235" t="s">
        <v>632</v>
      </c>
      <c r="AR2283" s="243">
        <v>3.71E11</v>
      </c>
      <c r="AS2283" s="235" t="s">
        <v>16626</v>
      </c>
      <c r="AT2283" s="235" t="s">
        <v>533</v>
      </c>
      <c r="AU2283" s="235" t="s">
        <v>634</v>
      </c>
      <c r="AV2283" s="246" t="s">
        <v>635</v>
      </c>
      <c r="AW2283" s="242"/>
      <c r="AX2283" s="242"/>
      <c r="AY2283" s="231"/>
      <c r="AZ2283" s="231"/>
      <c r="BA2283" s="227"/>
      <c r="BB2283" s="231"/>
      <c r="BC2283" s="227"/>
      <c r="BD2283" s="227"/>
      <c r="BE2283" s="227"/>
      <c r="BF2283" s="227"/>
    </row>
    <row r="2284">
      <c r="A2284" s="235" t="s">
        <v>17559</v>
      </c>
      <c r="C2284" s="235" t="s">
        <v>17560</v>
      </c>
      <c r="D2284" s="235" t="s">
        <v>17561</v>
      </c>
      <c r="E2284" s="243">
        <v>6.53E13</v>
      </c>
      <c r="F2284" s="245"/>
      <c r="G2284" s="235" t="s">
        <v>17562</v>
      </c>
      <c r="H2284" s="235" t="s">
        <v>17563</v>
      </c>
      <c r="I2284" s="235" t="s">
        <v>17564</v>
      </c>
      <c r="J2284" s="235" t="s">
        <v>17565</v>
      </c>
      <c r="K2284" s="235" t="s">
        <v>17566</v>
      </c>
      <c r="N2284" s="235" t="s">
        <v>136</v>
      </c>
      <c r="O2284" s="235" t="s">
        <v>256</v>
      </c>
      <c r="P2284" s="238">
        <v>1.0</v>
      </c>
      <c r="Q2284" s="235" t="s">
        <v>627</v>
      </c>
      <c r="R2284" s="238">
        <v>270.48</v>
      </c>
      <c r="S2284" s="238">
        <v>13.25</v>
      </c>
      <c r="T2284" s="238">
        <v>38.1</v>
      </c>
      <c r="U2284" s="238">
        <v>1.9</v>
      </c>
      <c r="V2284" s="238">
        <v>0.0</v>
      </c>
      <c r="W2284" s="238">
        <v>0.0</v>
      </c>
      <c r="X2284" s="235" t="s">
        <v>628</v>
      </c>
      <c r="Z2284" s="244"/>
      <c r="AA2284" s="244"/>
      <c r="AB2284" s="244"/>
      <c r="AC2284" s="235" t="s">
        <v>1514</v>
      </c>
      <c r="AD2284" s="235" t="s">
        <v>1077</v>
      </c>
      <c r="AE2284" s="238">
        <v>382405.0</v>
      </c>
      <c r="AF2284" s="235" t="s">
        <v>631</v>
      </c>
      <c r="AG2284" s="244"/>
      <c r="AH2284" s="244"/>
      <c r="AI2284" s="245"/>
      <c r="AJ2284" s="245"/>
      <c r="AK2284" s="245"/>
      <c r="AL2284" s="245"/>
      <c r="AM2284" s="244"/>
      <c r="AN2284" s="244"/>
      <c r="AO2284" s="238">
        <v>-5.41</v>
      </c>
      <c r="AP2284" s="238">
        <v>-38.1</v>
      </c>
      <c r="AQ2284" s="235" t="s">
        <v>632</v>
      </c>
      <c r="AR2284" s="243">
        <v>3.71E11</v>
      </c>
      <c r="AS2284" s="235" t="s">
        <v>13822</v>
      </c>
      <c r="AT2284" s="235" t="s">
        <v>13</v>
      </c>
      <c r="AU2284" s="235" t="s">
        <v>634</v>
      </c>
      <c r="AV2284" s="246" t="s">
        <v>635</v>
      </c>
      <c r="AW2284" s="242"/>
      <c r="AX2284" s="242"/>
      <c r="AY2284" s="231"/>
      <c r="AZ2284" s="231"/>
      <c r="BA2284" s="227"/>
      <c r="BB2284" s="231"/>
      <c r="BC2284" s="227"/>
      <c r="BD2284" s="227"/>
      <c r="BE2284" s="227"/>
      <c r="BF2284" s="227"/>
    </row>
    <row r="2285">
      <c r="A2285" s="235" t="s">
        <v>17567</v>
      </c>
      <c r="C2285" s="235" t="s">
        <v>17568</v>
      </c>
      <c r="D2285" s="235" t="s">
        <v>17569</v>
      </c>
      <c r="E2285" s="243">
        <v>6.54E13</v>
      </c>
      <c r="F2285" s="245"/>
      <c r="G2285" s="235" t="s">
        <v>17570</v>
      </c>
      <c r="H2285" s="235" t="s">
        <v>17563</v>
      </c>
      <c r="I2285" s="235" t="s">
        <v>17563</v>
      </c>
      <c r="J2285" s="235" t="s">
        <v>17571</v>
      </c>
      <c r="K2285" s="235" t="s">
        <v>17572</v>
      </c>
      <c r="N2285" s="235" t="s">
        <v>92</v>
      </c>
      <c r="O2285" s="235" t="s">
        <v>248</v>
      </c>
      <c r="P2285" s="238">
        <v>1.0</v>
      </c>
      <c r="Q2285" s="235" t="s">
        <v>627</v>
      </c>
      <c r="R2285" s="238">
        <v>246.67</v>
      </c>
      <c r="S2285" s="238">
        <v>12.08</v>
      </c>
      <c r="T2285" s="238">
        <v>0.0</v>
      </c>
      <c r="U2285" s="238">
        <v>0.0</v>
      </c>
      <c r="V2285" s="238">
        <v>0.0</v>
      </c>
      <c r="W2285" s="238">
        <v>0.0</v>
      </c>
      <c r="X2285" s="235" t="s">
        <v>628</v>
      </c>
      <c r="Z2285" s="244"/>
      <c r="AA2285" s="244"/>
      <c r="AB2285" s="244"/>
      <c r="AC2285" s="235" t="s">
        <v>17573</v>
      </c>
      <c r="AD2285" s="235" t="s">
        <v>1086</v>
      </c>
      <c r="AE2285" s="238">
        <v>140406.0</v>
      </c>
      <c r="AF2285" s="235" t="s">
        <v>631</v>
      </c>
      <c r="AG2285" s="244"/>
      <c r="AH2285" s="244"/>
      <c r="AI2285" s="245"/>
      <c r="AJ2285" s="245"/>
      <c r="AK2285" s="245"/>
      <c r="AL2285" s="245"/>
      <c r="AM2285" s="244"/>
      <c r="AN2285" s="244"/>
      <c r="AO2285" s="238">
        <v>-4.93</v>
      </c>
      <c r="AP2285" s="238">
        <v>0.0</v>
      </c>
      <c r="AQ2285" s="235" t="s">
        <v>632</v>
      </c>
      <c r="AR2285" s="243">
        <v>3.71E11</v>
      </c>
      <c r="AS2285" s="235" t="s">
        <v>15064</v>
      </c>
      <c r="AT2285" s="235" t="s">
        <v>14</v>
      </c>
      <c r="AU2285" s="235" t="s">
        <v>634</v>
      </c>
      <c r="AV2285" s="246" t="s">
        <v>635</v>
      </c>
      <c r="AW2285" s="242"/>
      <c r="AX2285" s="242"/>
      <c r="AY2285" s="231"/>
      <c r="AZ2285" s="231"/>
      <c r="BA2285" s="227"/>
      <c r="BB2285" s="231"/>
      <c r="BC2285" s="227"/>
      <c r="BD2285" s="227"/>
      <c r="BE2285" s="227"/>
      <c r="BF2285" s="227"/>
    </row>
    <row r="2286">
      <c r="A2286" s="235" t="s">
        <v>17574</v>
      </c>
      <c r="C2286" s="235" t="s">
        <v>17575</v>
      </c>
      <c r="D2286" s="235" t="s">
        <v>17576</v>
      </c>
      <c r="E2286" s="243">
        <v>6.53E13</v>
      </c>
      <c r="F2286" s="245"/>
      <c r="G2286" s="235" t="s">
        <v>17577</v>
      </c>
      <c r="H2286" s="235" t="s">
        <v>17578</v>
      </c>
      <c r="I2286" s="235" t="s">
        <v>17579</v>
      </c>
      <c r="J2286" s="235" t="s">
        <v>17580</v>
      </c>
      <c r="K2286" s="235" t="s">
        <v>17581</v>
      </c>
      <c r="N2286" s="235" t="s">
        <v>43</v>
      </c>
      <c r="O2286" s="235" t="s">
        <v>276</v>
      </c>
      <c r="P2286" s="238">
        <v>1.0</v>
      </c>
      <c r="Q2286" s="235" t="s">
        <v>627</v>
      </c>
      <c r="R2286" s="238">
        <v>270.48</v>
      </c>
      <c r="S2286" s="238">
        <v>13.52</v>
      </c>
      <c r="T2286" s="238">
        <v>0.0</v>
      </c>
      <c r="U2286" s="238">
        <v>0.0</v>
      </c>
      <c r="V2286" s="238">
        <v>0.0</v>
      </c>
      <c r="W2286" s="238">
        <v>0.0</v>
      </c>
      <c r="X2286" s="235" t="s">
        <v>628</v>
      </c>
      <c r="Z2286" s="244"/>
      <c r="AA2286" s="244"/>
      <c r="AB2286" s="244"/>
      <c r="AC2286" s="235" t="s">
        <v>1182</v>
      </c>
      <c r="AD2286" s="235" t="s">
        <v>833</v>
      </c>
      <c r="AE2286" s="238">
        <v>530048.0</v>
      </c>
      <c r="AF2286" s="235" t="s">
        <v>631</v>
      </c>
      <c r="AG2286" s="244"/>
      <c r="AH2286" s="244"/>
      <c r="AI2286" s="245"/>
      <c r="AJ2286" s="245"/>
      <c r="AK2286" s="245"/>
      <c r="AL2286" s="245"/>
      <c r="AM2286" s="244"/>
      <c r="AN2286" s="244"/>
      <c r="AO2286" s="238">
        <v>0.0</v>
      </c>
      <c r="AP2286" s="238">
        <v>0.0</v>
      </c>
      <c r="AQ2286" s="235" t="s">
        <v>632</v>
      </c>
      <c r="AR2286" s="243">
        <v>3.71E11</v>
      </c>
      <c r="AS2286" s="235" t="s">
        <v>12693</v>
      </c>
      <c r="AT2286" s="235" t="s">
        <v>16</v>
      </c>
      <c r="AU2286" s="235" t="s">
        <v>634</v>
      </c>
      <c r="AV2286" s="246" t="s">
        <v>635</v>
      </c>
      <c r="AW2286" s="242"/>
      <c r="AX2286" s="242"/>
      <c r="AY2286" s="231"/>
      <c r="AZ2286" s="231"/>
      <c r="BA2286" s="227"/>
      <c r="BB2286" s="231"/>
      <c r="BC2286" s="227"/>
      <c r="BD2286" s="227"/>
      <c r="BE2286" s="227"/>
      <c r="BF2286" s="227"/>
    </row>
    <row r="2287">
      <c r="A2287" s="235" t="s">
        <v>17582</v>
      </c>
      <c r="C2287" s="235" t="s">
        <v>17583</v>
      </c>
      <c r="D2287" s="235" t="s">
        <v>17584</v>
      </c>
      <c r="E2287" s="243">
        <v>6.53E13</v>
      </c>
      <c r="F2287" s="245"/>
      <c r="G2287" s="235" t="s">
        <v>17585</v>
      </c>
      <c r="H2287" s="235" t="s">
        <v>17586</v>
      </c>
      <c r="I2287" s="235" t="s">
        <v>17586</v>
      </c>
      <c r="J2287" s="235" t="s">
        <v>17587</v>
      </c>
      <c r="K2287" s="235" t="s">
        <v>17588</v>
      </c>
      <c r="N2287" s="235" t="s">
        <v>85</v>
      </c>
      <c r="O2287" s="235" t="s">
        <v>872</v>
      </c>
      <c r="P2287" s="238">
        <v>1.0</v>
      </c>
      <c r="Q2287" s="235" t="s">
        <v>627</v>
      </c>
      <c r="R2287" s="238">
        <v>270.48</v>
      </c>
      <c r="S2287" s="238">
        <v>13.25</v>
      </c>
      <c r="T2287" s="238">
        <v>0.0</v>
      </c>
      <c r="U2287" s="238">
        <v>0.0</v>
      </c>
      <c r="V2287" s="238">
        <v>0.0</v>
      </c>
      <c r="W2287" s="238">
        <v>0.0</v>
      </c>
      <c r="X2287" s="235" t="s">
        <v>628</v>
      </c>
      <c r="Z2287" s="244"/>
      <c r="AA2287" s="244"/>
      <c r="AB2287" s="244"/>
      <c r="AC2287" s="235" t="s">
        <v>17589</v>
      </c>
      <c r="AD2287" s="235" t="s">
        <v>1151</v>
      </c>
      <c r="AE2287" s="238">
        <v>712406.0</v>
      </c>
      <c r="AF2287" s="235" t="s">
        <v>631</v>
      </c>
      <c r="AG2287" s="244"/>
      <c r="AH2287" s="244"/>
      <c r="AI2287" s="245"/>
      <c r="AJ2287" s="245"/>
      <c r="AK2287" s="245"/>
      <c r="AL2287" s="245"/>
      <c r="AM2287" s="244"/>
      <c r="AN2287" s="244"/>
      <c r="AO2287" s="238">
        <v>-5.41</v>
      </c>
      <c r="AP2287" s="238">
        <v>0.0</v>
      </c>
      <c r="AQ2287" s="235" t="s">
        <v>632</v>
      </c>
      <c r="AR2287" s="243">
        <v>3.71E11</v>
      </c>
      <c r="AS2287" s="235" t="s">
        <v>12693</v>
      </c>
      <c r="AT2287" s="235" t="s">
        <v>533</v>
      </c>
      <c r="AU2287" s="235" t="s">
        <v>634</v>
      </c>
      <c r="AV2287" s="246" t="s">
        <v>635</v>
      </c>
      <c r="AW2287" s="242"/>
      <c r="AX2287" s="242"/>
      <c r="AY2287" s="231"/>
      <c r="AZ2287" s="231"/>
      <c r="BA2287" s="227"/>
      <c r="BB2287" s="231"/>
      <c r="BC2287" s="227"/>
      <c r="BD2287" s="227"/>
      <c r="BE2287" s="227"/>
      <c r="BF2287" s="227"/>
    </row>
    <row r="2288">
      <c r="A2288" s="235" t="s">
        <v>17590</v>
      </c>
      <c r="C2288" s="235" t="s">
        <v>17591</v>
      </c>
      <c r="D2288" s="235" t="s">
        <v>17592</v>
      </c>
      <c r="E2288" s="243">
        <v>6.53E13</v>
      </c>
      <c r="F2288" s="245"/>
      <c r="G2288" s="235" t="s">
        <v>17593</v>
      </c>
      <c r="H2288" s="235" t="s">
        <v>17594</v>
      </c>
      <c r="I2288" s="235" t="s">
        <v>17594</v>
      </c>
      <c r="J2288" s="235" t="s">
        <v>17595</v>
      </c>
      <c r="K2288" s="235" t="s">
        <v>17596</v>
      </c>
      <c r="N2288" s="235" t="s">
        <v>85</v>
      </c>
      <c r="O2288" s="235" t="s">
        <v>872</v>
      </c>
      <c r="P2288" s="238">
        <v>1.0</v>
      </c>
      <c r="Q2288" s="235" t="s">
        <v>627</v>
      </c>
      <c r="R2288" s="238">
        <v>270.48</v>
      </c>
      <c r="S2288" s="238">
        <v>13.25</v>
      </c>
      <c r="T2288" s="238">
        <v>0.0</v>
      </c>
      <c r="U2288" s="238">
        <v>0.0</v>
      </c>
      <c r="V2288" s="238">
        <v>0.0</v>
      </c>
      <c r="W2288" s="238">
        <v>0.0</v>
      </c>
      <c r="X2288" s="235" t="s">
        <v>628</v>
      </c>
      <c r="Z2288" s="244"/>
      <c r="AA2288" s="244"/>
      <c r="AB2288" s="244"/>
      <c r="AC2288" s="235" t="s">
        <v>1613</v>
      </c>
      <c r="AD2288" s="235" t="s">
        <v>630</v>
      </c>
      <c r="AE2288" s="238">
        <v>226022.0</v>
      </c>
      <c r="AF2288" s="235" t="s">
        <v>631</v>
      </c>
      <c r="AG2288" s="244"/>
      <c r="AH2288" s="244"/>
      <c r="AI2288" s="245"/>
      <c r="AJ2288" s="245"/>
      <c r="AK2288" s="245"/>
      <c r="AL2288" s="245"/>
      <c r="AM2288" s="244"/>
      <c r="AN2288" s="244"/>
      <c r="AO2288" s="238">
        <v>-5.41</v>
      </c>
      <c r="AP2288" s="238">
        <v>0.0</v>
      </c>
      <c r="AQ2288" s="235" t="s">
        <v>632</v>
      </c>
      <c r="AR2288" s="243">
        <v>2.02E11</v>
      </c>
      <c r="AS2288" s="235" t="s">
        <v>16626</v>
      </c>
      <c r="AT2288" s="235" t="s">
        <v>533</v>
      </c>
      <c r="AU2288" s="235" t="s">
        <v>634</v>
      </c>
      <c r="AV2288" s="246" t="s">
        <v>635</v>
      </c>
      <c r="AW2288" s="242"/>
      <c r="AX2288" s="242"/>
      <c r="AY2288" s="231"/>
      <c r="AZ2288" s="231"/>
      <c r="BA2288" s="227"/>
      <c r="BB2288" s="231"/>
      <c r="BC2288" s="227"/>
      <c r="BD2288" s="227"/>
      <c r="BE2288" s="227"/>
      <c r="BF2288" s="227"/>
    </row>
    <row r="2289">
      <c r="A2289" s="235" t="s">
        <v>17597</v>
      </c>
      <c r="C2289" s="235" t="s">
        <v>17598</v>
      </c>
      <c r="D2289" s="235" t="s">
        <v>17599</v>
      </c>
      <c r="E2289" s="243">
        <v>6.53E13</v>
      </c>
      <c r="F2289" s="245"/>
      <c r="G2289" s="235" t="s">
        <v>17600</v>
      </c>
      <c r="H2289" s="235" t="s">
        <v>17601</v>
      </c>
      <c r="I2289" s="235" t="s">
        <v>17601</v>
      </c>
      <c r="J2289" s="235" t="s">
        <v>17602</v>
      </c>
      <c r="K2289" s="235" t="s">
        <v>17603</v>
      </c>
      <c r="N2289" s="235" t="s">
        <v>85</v>
      </c>
      <c r="O2289" s="235" t="s">
        <v>872</v>
      </c>
      <c r="P2289" s="238">
        <v>1.0</v>
      </c>
      <c r="Q2289" s="235" t="s">
        <v>627</v>
      </c>
      <c r="R2289" s="238">
        <v>246.67</v>
      </c>
      <c r="S2289" s="238">
        <v>12.08</v>
      </c>
      <c r="T2289" s="238">
        <v>38.1</v>
      </c>
      <c r="U2289" s="238">
        <v>1.9</v>
      </c>
      <c r="V2289" s="238">
        <v>0.0</v>
      </c>
      <c r="W2289" s="238">
        <v>0.0</v>
      </c>
      <c r="X2289" s="235" t="s">
        <v>628</v>
      </c>
      <c r="Z2289" s="244"/>
      <c r="AA2289" s="244"/>
      <c r="AB2289" s="244"/>
      <c r="AC2289" s="235" t="s">
        <v>795</v>
      </c>
      <c r="AD2289" s="235" t="s">
        <v>796</v>
      </c>
      <c r="AE2289" s="238">
        <v>110005.0</v>
      </c>
      <c r="AF2289" s="235" t="s">
        <v>631</v>
      </c>
      <c r="AG2289" s="244"/>
      <c r="AH2289" s="244"/>
      <c r="AI2289" s="245"/>
      <c r="AJ2289" s="245"/>
      <c r="AK2289" s="245"/>
      <c r="AL2289" s="245"/>
      <c r="AM2289" s="244"/>
      <c r="AN2289" s="244"/>
      <c r="AO2289" s="238">
        <v>-4.93</v>
      </c>
      <c r="AP2289" s="238">
        <v>0.0</v>
      </c>
      <c r="AQ2289" s="235" t="s">
        <v>632</v>
      </c>
      <c r="AR2289" s="243">
        <v>3.71E11</v>
      </c>
      <c r="AS2289" s="235" t="s">
        <v>16626</v>
      </c>
      <c r="AT2289" s="235" t="s">
        <v>533</v>
      </c>
      <c r="AU2289" s="235" t="s">
        <v>634</v>
      </c>
      <c r="AV2289" s="246" t="s">
        <v>635</v>
      </c>
      <c r="AW2289" s="242"/>
      <c r="AX2289" s="242"/>
      <c r="AY2289" s="231"/>
      <c r="AZ2289" s="231"/>
      <c r="BA2289" s="227"/>
      <c r="BB2289" s="231"/>
      <c r="BC2289" s="227"/>
      <c r="BD2289" s="227"/>
      <c r="BE2289" s="227"/>
      <c r="BF2289" s="227"/>
    </row>
    <row r="2290">
      <c r="A2290" s="235" t="s">
        <v>17604</v>
      </c>
      <c r="C2290" s="235" t="s">
        <v>17605</v>
      </c>
      <c r="D2290" s="235" t="s">
        <v>17606</v>
      </c>
      <c r="E2290" s="243">
        <v>6.54E13</v>
      </c>
      <c r="F2290" s="245"/>
      <c r="G2290" s="235" t="s">
        <v>17607</v>
      </c>
      <c r="H2290" s="235" t="s">
        <v>17608</v>
      </c>
      <c r="I2290" s="235" t="s">
        <v>17608</v>
      </c>
      <c r="J2290" s="235" t="s">
        <v>17609</v>
      </c>
      <c r="K2290" s="235" t="s">
        <v>17610</v>
      </c>
      <c r="N2290" s="235" t="s">
        <v>154</v>
      </c>
      <c r="O2290" s="235" t="s">
        <v>766</v>
      </c>
      <c r="P2290" s="238">
        <v>1.0</v>
      </c>
      <c r="Q2290" s="235" t="s">
        <v>627</v>
      </c>
      <c r="R2290" s="238">
        <v>465.71</v>
      </c>
      <c r="S2290" s="238">
        <v>22.82</v>
      </c>
      <c r="T2290" s="238">
        <v>0.0</v>
      </c>
      <c r="U2290" s="238">
        <v>0.0</v>
      </c>
      <c r="V2290" s="238">
        <v>0.0</v>
      </c>
      <c r="W2290" s="238">
        <v>0.0</v>
      </c>
      <c r="X2290" s="235" t="s">
        <v>628</v>
      </c>
      <c r="Z2290" s="244"/>
      <c r="AA2290" s="244"/>
      <c r="AB2290" s="244"/>
      <c r="AC2290" s="235" t="s">
        <v>844</v>
      </c>
      <c r="AD2290" s="235" t="s">
        <v>845</v>
      </c>
      <c r="AE2290" s="238">
        <v>411045.0</v>
      </c>
      <c r="AF2290" s="235" t="s">
        <v>631</v>
      </c>
      <c r="AG2290" s="244"/>
      <c r="AH2290" s="244"/>
      <c r="AI2290" s="245"/>
      <c r="AJ2290" s="245"/>
      <c r="AK2290" s="245"/>
      <c r="AL2290" s="245"/>
      <c r="AM2290" s="244"/>
      <c r="AN2290" s="244"/>
      <c r="AO2290" s="238">
        <v>-9.31</v>
      </c>
      <c r="AP2290" s="238">
        <v>0.0</v>
      </c>
      <c r="AQ2290" s="235" t="s">
        <v>632</v>
      </c>
      <c r="AR2290" s="243">
        <v>2.02E11</v>
      </c>
      <c r="AS2290" s="235" t="s">
        <v>16626</v>
      </c>
      <c r="AT2290" s="235" t="s">
        <v>9</v>
      </c>
      <c r="AU2290" s="235" t="s">
        <v>634</v>
      </c>
      <c r="AV2290" s="246" t="s">
        <v>635</v>
      </c>
      <c r="AW2290" s="242"/>
      <c r="AX2290" s="242"/>
      <c r="AY2290" s="231"/>
      <c r="AZ2290" s="231"/>
      <c r="BA2290" s="227"/>
      <c r="BB2290" s="231"/>
      <c r="BC2290" s="227"/>
      <c r="BD2290" s="227"/>
      <c r="BE2290" s="227"/>
      <c r="BF2290" s="227"/>
    </row>
    <row r="2291">
      <c r="A2291" s="235" t="s">
        <v>17611</v>
      </c>
      <c r="C2291" s="235" t="s">
        <v>17612</v>
      </c>
      <c r="D2291" s="235" t="s">
        <v>17613</v>
      </c>
      <c r="E2291" s="243">
        <v>6.54E13</v>
      </c>
      <c r="F2291" s="245"/>
      <c r="G2291" s="235" t="s">
        <v>17614</v>
      </c>
      <c r="H2291" s="235" t="s">
        <v>17615</v>
      </c>
      <c r="I2291" s="235" t="s">
        <v>17615</v>
      </c>
      <c r="J2291" s="235" t="s">
        <v>17616</v>
      </c>
      <c r="K2291" s="235" t="s">
        <v>17617</v>
      </c>
      <c r="N2291" s="235" t="s">
        <v>90</v>
      </c>
      <c r="O2291" s="235" t="s">
        <v>279</v>
      </c>
      <c r="P2291" s="238">
        <v>1.0</v>
      </c>
      <c r="Q2291" s="235" t="s">
        <v>627</v>
      </c>
      <c r="R2291" s="238">
        <v>270.48</v>
      </c>
      <c r="S2291" s="238">
        <v>13.52</v>
      </c>
      <c r="T2291" s="238">
        <v>38.1</v>
      </c>
      <c r="U2291" s="238">
        <v>1.9</v>
      </c>
      <c r="V2291" s="238">
        <v>0.0</v>
      </c>
      <c r="W2291" s="238">
        <v>0.0</v>
      </c>
      <c r="X2291" s="235" t="s">
        <v>628</v>
      </c>
      <c r="Z2291" s="244"/>
      <c r="AA2291" s="244"/>
      <c r="AB2291" s="244"/>
      <c r="AC2291" s="235" t="s">
        <v>13058</v>
      </c>
      <c r="AD2291" s="235" t="s">
        <v>1086</v>
      </c>
      <c r="AE2291" s="238">
        <v>143529.0</v>
      </c>
      <c r="AF2291" s="235" t="s">
        <v>631</v>
      </c>
      <c r="AG2291" s="244"/>
      <c r="AH2291" s="244"/>
      <c r="AI2291" s="245"/>
      <c r="AJ2291" s="245"/>
      <c r="AK2291" s="245"/>
      <c r="AL2291" s="245"/>
      <c r="AM2291" s="244"/>
      <c r="AN2291" s="244"/>
      <c r="AO2291" s="238">
        <v>0.0</v>
      </c>
      <c r="AP2291" s="238">
        <v>-38.1</v>
      </c>
      <c r="AQ2291" s="235" t="s">
        <v>632</v>
      </c>
      <c r="AR2291" s="243">
        <v>3.71E11</v>
      </c>
      <c r="AS2291" s="235" t="s">
        <v>15064</v>
      </c>
      <c r="AT2291" s="235" t="s">
        <v>14</v>
      </c>
      <c r="AU2291" s="235" t="s">
        <v>634</v>
      </c>
      <c r="AV2291" s="246" t="s">
        <v>635</v>
      </c>
      <c r="AW2291" s="242"/>
      <c r="AX2291" s="242"/>
      <c r="AY2291" s="231"/>
      <c r="AZ2291" s="231"/>
      <c r="BA2291" s="227"/>
      <c r="BB2291" s="231"/>
      <c r="BC2291" s="227"/>
      <c r="BD2291" s="227"/>
      <c r="BE2291" s="227"/>
      <c r="BF2291" s="227"/>
    </row>
    <row r="2292">
      <c r="A2292" s="235" t="s">
        <v>17618</v>
      </c>
      <c r="C2292" s="235" t="s">
        <v>17619</v>
      </c>
      <c r="D2292" s="235" t="s">
        <v>17620</v>
      </c>
      <c r="E2292" s="243">
        <v>6.54E13</v>
      </c>
      <c r="F2292" s="245"/>
      <c r="G2292" s="235" t="s">
        <v>17621</v>
      </c>
      <c r="H2292" s="235" t="s">
        <v>17622</v>
      </c>
      <c r="I2292" s="235" t="s">
        <v>17622</v>
      </c>
      <c r="J2292" s="235" t="s">
        <v>17623</v>
      </c>
      <c r="K2292" s="235" t="s">
        <v>17624</v>
      </c>
      <c r="N2292" s="235" t="s">
        <v>3</v>
      </c>
      <c r="O2292" s="235" t="s">
        <v>654</v>
      </c>
      <c r="P2292" s="238">
        <v>1.0</v>
      </c>
      <c r="Q2292" s="235" t="s">
        <v>627</v>
      </c>
      <c r="R2292" s="238">
        <v>265.71</v>
      </c>
      <c r="S2292" s="238">
        <v>13.29</v>
      </c>
      <c r="T2292" s="238">
        <v>0.0</v>
      </c>
      <c r="U2292" s="238">
        <v>0.0</v>
      </c>
      <c r="V2292" s="238">
        <v>0.0</v>
      </c>
      <c r="W2292" s="238">
        <v>0.0</v>
      </c>
      <c r="X2292" s="235" t="s">
        <v>628</v>
      </c>
      <c r="Z2292" s="244"/>
      <c r="AA2292" s="244"/>
      <c r="AB2292" s="244"/>
      <c r="AC2292" s="235" t="s">
        <v>1287</v>
      </c>
      <c r="AD2292" s="235" t="s">
        <v>630</v>
      </c>
      <c r="AE2292" s="238">
        <v>201016.0</v>
      </c>
      <c r="AF2292" s="235" t="s">
        <v>631</v>
      </c>
      <c r="AG2292" s="244"/>
      <c r="AH2292" s="244"/>
      <c r="AI2292" s="245"/>
      <c r="AJ2292" s="245"/>
      <c r="AK2292" s="245"/>
      <c r="AL2292" s="245"/>
      <c r="AM2292" s="244"/>
      <c r="AN2292" s="244"/>
      <c r="AO2292" s="238">
        <v>0.0</v>
      </c>
      <c r="AP2292" s="238">
        <v>0.0</v>
      </c>
      <c r="AQ2292" s="235" t="s">
        <v>632</v>
      </c>
      <c r="AR2292" s="243">
        <v>1.68E11</v>
      </c>
      <c r="AS2292" s="235" t="s">
        <v>17109</v>
      </c>
      <c r="AT2292" s="235" t="s">
        <v>13</v>
      </c>
      <c r="AU2292" s="235" t="s">
        <v>634</v>
      </c>
      <c r="AV2292" s="246" t="s">
        <v>635</v>
      </c>
      <c r="AW2292" s="242"/>
      <c r="AX2292" s="242"/>
      <c r="AY2292" s="231"/>
      <c r="AZ2292" s="231"/>
      <c r="BA2292" s="227"/>
      <c r="BB2292" s="231"/>
      <c r="BC2292" s="227"/>
      <c r="BD2292" s="227"/>
      <c r="BE2292" s="227"/>
      <c r="BF2292" s="227"/>
    </row>
    <row r="2293">
      <c r="A2293" s="235" t="s">
        <v>17618</v>
      </c>
      <c r="C2293" s="235" t="s">
        <v>17619</v>
      </c>
      <c r="D2293" s="235" t="s">
        <v>17625</v>
      </c>
      <c r="E2293" s="243">
        <v>6.54E13</v>
      </c>
      <c r="F2293" s="245"/>
      <c r="G2293" s="235" t="s">
        <v>17621</v>
      </c>
      <c r="H2293" s="235" t="s">
        <v>17622</v>
      </c>
      <c r="I2293" s="235" t="s">
        <v>17622</v>
      </c>
      <c r="J2293" s="235" t="s">
        <v>17623</v>
      </c>
      <c r="K2293" s="235" t="s">
        <v>17624</v>
      </c>
      <c r="N2293" s="235" t="s">
        <v>10</v>
      </c>
      <c r="O2293" s="235" t="s">
        <v>936</v>
      </c>
      <c r="P2293" s="238">
        <v>1.0</v>
      </c>
      <c r="Q2293" s="235" t="s">
        <v>627</v>
      </c>
      <c r="R2293" s="238">
        <v>265.71</v>
      </c>
      <c r="S2293" s="238">
        <v>13.29</v>
      </c>
      <c r="T2293" s="238">
        <v>0.0</v>
      </c>
      <c r="U2293" s="238">
        <v>0.0</v>
      </c>
      <c r="V2293" s="238">
        <v>0.0</v>
      </c>
      <c r="W2293" s="238">
        <v>0.0</v>
      </c>
      <c r="X2293" s="235" t="s">
        <v>628</v>
      </c>
      <c r="Z2293" s="244"/>
      <c r="AA2293" s="244"/>
      <c r="AB2293" s="244"/>
      <c r="AC2293" s="235" t="s">
        <v>1287</v>
      </c>
      <c r="AD2293" s="235" t="s">
        <v>630</v>
      </c>
      <c r="AE2293" s="238">
        <v>201016.0</v>
      </c>
      <c r="AF2293" s="235" t="s">
        <v>631</v>
      </c>
      <c r="AG2293" s="244"/>
      <c r="AH2293" s="244"/>
      <c r="AI2293" s="245"/>
      <c r="AJ2293" s="245"/>
      <c r="AK2293" s="245"/>
      <c r="AL2293" s="245"/>
      <c r="AM2293" s="244"/>
      <c r="AN2293" s="244"/>
      <c r="AO2293" s="238">
        <v>0.0</v>
      </c>
      <c r="AP2293" s="238">
        <v>0.0</v>
      </c>
      <c r="AQ2293" s="235" t="s">
        <v>632</v>
      </c>
      <c r="AR2293" s="243">
        <v>1.68E11</v>
      </c>
      <c r="AS2293" s="235" t="s">
        <v>17109</v>
      </c>
      <c r="AT2293" s="235" t="s">
        <v>13</v>
      </c>
      <c r="AU2293" s="235" t="s">
        <v>634</v>
      </c>
      <c r="AV2293" s="246" t="s">
        <v>635</v>
      </c>
      <c r="AW2293" s="242"/>
      <c r="AX2293" s="242"/>
      <c r="AY2293" s="231"/>
      <c r="AZ2293" s="231"/>
      <c r="BA2293" s="227"/>
      <c r="BB2293" s="231"/>
      <c r="BC2293" s="227"/>
      <c r="BD2293" s="227"/>
      <c r="BE2293" s="227"/>
      <c r="BF2293" s="227"/>
    </row>
    <row r="2294">
      <c r="A2294" s="235" t="s">
        <v>17626</v>
      </c>
      <c r="C2294" s="235" t="s">
        <v>17627</v>
      </c>
      <c r="D2294" s="235" t="s">
        <v>17628</v>
      </c>
      <c r="E2294" s="243">
        <v>6.54E13</v>
      </c>
      <c r="F2294" s="245"/>
      <c r="G2294" s="235" t="s">
        <v>17629</v>
      </c>
      <c r="H2294" s="235" t="s">
        <v>17630</v>
      </c>
      <c r="I2294" s="235" t="s">
        <v>17630</v>
      </c>
      <c r="J2294" s="235" t="s">
        <v>17631</v>
      </c>
      <c r="K2294" s="235" t="s">
        <v>17632</v>
      </c>
      <c r="N2294" s="235" t="s">
        <v>42</v>
      </c>
      <c r="O2294" s="235" t="s">
        <v>204</v>
      </c>
      <c r="P2294" s="238">
        <v>1.0</v>
      </c>
      <c r="Q2294" s="235" t="s">
        <v>627</v>
      </c>
      <c r="R2294" s="238">
        <v>270.48</v>
      </c>
      <c r="S2294" s="238">
        <v>13.52</v>
      </c>
      <c r="T2294" s="238">
        <v>0.0</v>
      </c>
      <c r="U2294" s="238">
        <v>0.0</v>
      </c>
      <c r="V2294" s="238">
        <v>0.0</v>
      </c>
      <c r="W2294" s="238">
        <v>0.0</v>
      </c>
      <c r="X2294" s="235" t="s">
        <v>628</v>
      </c>
      <c r="Z2294" s="244"/>
      <c r="AA2294" s="244"/>
      <c r="AB2294" s="244"/>
      <c r="AC2294" s="235" t="s">
        <v>17633</v>
      </c>
      <c r="AD2294" s="235" t="s">
        <v>666</v>
      </c>
      <c r="AE2294" s="238">
        <v>608601.0</v>
      </c>
      <c r="AF2294" s="235" t="s">
        <v>631</v>
      </c>
      <c r="AG2294" s="244"/>
      <c r="AH2294" s="244"/>
      <c r="AI2294" s="245"/>
      <c r="AJ2294" s="245"/>
      <c r="AK2294" s="245"/>
      <c r="AL2294" s="245"/>
      <c r="AM2294" s="244"/>
      <c r="AN2294" s="244"/>
      <c r="AO2294" s="238">
        <v>0.0</v>
      </c>
      <c r="AP2294" s="238">
        <v>0.0</v>
      </c>
      <c r="AQ2294" s="235" t="s">
        <v>632</v>
      </c>
      <c r="AR2294" s="243">
        <v>3.71E11</v>
      </c>
      <c r="AS2294" s="235" t="s">
        <v>15064</v>
      </c>
      <c r="AT2294" s="235" t="s">
        <v>156</v>
      </c>
      <c r="AU2294" s="235" t="s">
        <v>634</v>
      </c>
      <c r="AV2294" s="246" t="s">
        <v>635</v>
      </c>
      <c r="AW2294" s="242"/>
      <c r="AX2294" s="242"/>
      <c r="AY2294" s="231"/>
      <c r="AZ2294" s="231"/>
      <c r="BA2294" s="227"/>
      <c r="BB2294" s="231"/>
      <c r="BC2294" s="227"/>
      <c r="BD2294" s="227"/>
      <c r="BE2294" s="227"/>
      <c r="BF2294" s="227"/>
    </row>
    <row r="2295">
      <c r="A2295" s="235" t="s">
        <v>17634</v>
      </c>
      <c r="C2295" s="235" t="s">
        <v>17635</v>
      </c>
      <c r="D2295" s="235" t="s">
        <v>17636</v>
      </c>
      <c r="E2295" s="243">
        <v>6.53E13</v>
      </c>
      <c r="F2295" s="245"/>
      <c r="G2295" s="235" t="s">
        <v>17637</v>
      </c>
      <c r="H2295" s="235" t="s">
        <v>17638</v>
      </c>
      <c r="I2295" s="235" t="s">
        <v>17638</v>
      </c>
      <c r="J2295" s="235" t="s">
        <v>17639</v>
      </c>
      <c r="K2295" s="235" t="s">
        <v>17640</v>
      </c>
      <c r="N2295" s="235" t="s">
        <v>726</v>
      </c>
      <c r="O2295" s="235" t="s">
        <v>727</v>
      </c>
      <c r="P2295" s="238">
        <v>1.0</v>
      </c>
      <c r="Q2295" s="235" t="s">
        <v>627</v>
      </c>
      <c r="R2295" s="238">
        <v>284.76</v>
      </c>
      <c r="S2295" s="238">
        <v>14.24</v>
      </c>
      <c r="T2295" s="238">
        <v>38.1</v>
      </c>
      <c r="U2295" s="238">
        <v>1.9</v>
      </c>
      <c r="V2295" s="238">
        <v>0.0</v>
      </c>
      <c r="W2295" s="238">
        <v>0.0</v>
      </c>
      <c r="X2295" s="235" t="s">
        <v>628</v>
      </c>
      <c r="Z2295" s="244"/>
      <c r="AA2295" s="244"/>
      <c r="AB2295" s="244"/>
      <c r="AC2295" s="235" t="s">
        <v>17641</v>
      </c>
      <c r="AD2295" s="235" t="s">
        <v>845</v>
      </c>
      <c r="AE2295" s="238">
        <v>413512.0</v>
      </c>
      <c r="AF2295" s="235" t="s">
        <v>631</v>
      </c>
      <c r="AG2295" s="244"/>
      <c r="AH2295" s="244"/>
      <c r="AI2295" s="245"/>
      <c r="AJ2295" s="245"/>
      <c r="AK2295" s="245"/>
      <c r="AL2295" s="245"/>
      <c r="AM2295" s="244"/>
      <c r="AN2295" s="244"/>
      <c r="AO2295" s="238">
        <v>0.0</v>
      </c>
      <c r="AP2295" s="238">
        <v>-38.1</v>
      </c>
      <c r="AQ2295" s="235" t="s">
        <v>632</v>
      </c>
      <c r="AR2295" s="243">
        <v>3.71E11</v>
      </c>
      <c r="AS2295" s="235" t="s">
        <v>13822</v>
      </c>
      <c r="AT2295" s="235" t="s">
        <v>156</v>
      </c>
      <c r="AU2295" s="235" t="s">
        <v>634</v>
      </c>
      <c r="AV2295" s="246" t="s">
        <v>635</v>
      </c>
      <c r="AW2295" s="242"/>
      <c r="AX2295" s="242"/>
      <c r="AY2295" s="231"/>
      <c r="AZ2295" s="231"/>
      <c r="BA2295" s="227"/>
      <c r="BB2295" s="231"/>
      <c r="BC2295" s="227"/>
      <c r="BD2295" s="227"/>
      <c r="BE2295" s="227"/>
      <c r="BF2295" s="227"/>
    </row>
    <row r="2296">
      <c r="A2296" s="235" t="s">
        <v>17642</v>
      </c>
      <c r="C2296" s="235" t="s">
        <v>17643</v>
      </c>
      <c r="D2296" s="235" t="s">
        <v>17644</v>
      </c>
      <c r="E2296" s="243">
        <v>6.53E13</v>
      </c>
      <c r="F2296" s="245"/>
      <c r="G2296" s="235" t="s">
        <v>17645</v>
      </c>
      <c r="H2296" s="235" t="s">
        <v>17646</v>
      </c>
      <c r="I2296" s="235" t="s">
        <v>17646</v>
      </c>
      <c r="J2296" s="235" t="s">
        <v>17647</v>
      </c>
      <c r="K2296" s="235" t="s">
        <v>17648</v>
      </c>
      <c r="N2296" s="235" t="s">
        <v>153</v>
      </c>
      <c r="O2296" s="235" t="s">
        <v>390</v>
      </c>
      <c r="P2296" s="238">
        <v>1.0</v>
      </c>
      <c r="Q2296" s="235" t="s">
        <v>627</v>
      </c>
      <c r="R2296" s="238">
        <v>617.8</v>
      </c>
      <c r="S2296" s="238">
        <v>107.86</v>
      </c>
      <c r="T2296" s="238">
        <v>33.9</v>
      </c>
      <c r="U2296" s="238">
        <v>6.1</v>
      </c>
      <c r="V2296" s="238">
        <v>0.0</v>
      </c>
      <c r="W2296" s="238">
        <v>0.0</v>
      </c>
      <c r="X2296" s="235" t="s">
        <v>628</v>
      </c>
      <c r="Z2296" s="244"/>
      <c r="AA2296" s="244"/>
      <c r="AB2296" s="244"/>
      <c r="AC2296" s="235" t="s">
        <v>17649</v>
      </c>
      <c r="AD2296" s="235" t="s">
        <v>917</v>
      </c>
      <c r="AE2296" s="238">
        <v>304804.0</v>
      </c>
      <c r="AF2296" s="235" t="s">
        <v>631</v>
      </c>
      <c r="AG2296" s="244"/>
      <c r="AH2296" s="244"/>
      <c r="AI2296" s="245"/>
      <c r="AJ2296" s="245"/>
      <c r="AK2296" s="245"/>
      <c r="AL2296" s="245"/>
      <c r="AM2296" s="244"/>
      <c r="AN2296" s="244"/>
      <c r="AO2296" s="238">
        <v>-18.53</v>
      </c>
      <c r="AP2296" s="238">
        <v>-33.9</v>
      </c>
      <c r="AQ2296" s="235" t="s">
        <v>632</v>
      </c>
      <c r="AR2296" s="243">
        <v>3.71E11</v>
      </c>
      <c r="AS2296" s="235" t="s">
        <v>15064</v>
      </c>
      <c r="AT2296" s="235" t="s">
        <v>533</v>
      </c>
      <c r="AU2296" s="235" t="s">
        <v>634</v>
      </c>
      <c r="AV2296" s="246" t="s">
        <v>635</v>
      </c>
      <c r="AW2296" s="242"/>
      <c r="AX2296" s="242"/>
      <c r="AY2296" s="231"/>
      <c r="AZ2296" s="231"/>
      <c r="BA2296" s="227"/>
      <c r="BB2296" s="231"/>
      <c r="BC2296" s="227"/>
      <c r="BD2296" s="227"/>
      <c r="BE2296" s="227"/>
      <c r="BF2296" s="227"/>
    </row>
    <row r="2297">
      <c r="A2297" s="235" t="s">
        <v>17642</v>
      </c>
      <c r="C2297" s="235" t="s">
        <v>17643</v>
      </c>
      <c r="D2297" s="235" t="s">
        <v>17650</v>
      </c>
      <c r="E2297" s="243">
        <v>6.53E13</v>
      </c>
      <c r="F2297" s="245"/>
      <c r="G2297" s="235" t="s">
        <v>17645</v>
      </c>
      <c r="H2297" s="235" t="s">
        <v>17646</v>
      </c>
      <c r="I2297" s="235" t="s">
        <v>17646</v>
      </c>
      <c r="J2297" s="235" t="s">
        <v>17647</v>
      </c>
      <c r="K2297" s="235" t="s">
        <v>17648</v>
      </c>
      <c r="N2297" s="235" t="s">
        <v>153</v>
      </c>
      <c r="O2297" s="235" t="s">
        <v>390</v>
      </c>
      <c r="P2297" s="238">
        <v>1.0</v>
      </c>
      <c r="Q2297" s="235" t="s">
        <v>627</v>
      </c>
      <c r="R2297" s="238">
        <v>617.8</v>
      </c>
      <c r="S2297" s="238">
        <v>107.86</v>
      </c>
      <c r="T2297" s="238">
        <v>33.9</v>
      </c>
      <c r="U2297" s="238">
        <v>6.1</v>
      </c>
      <c r="V2297" s="238">
        <v>0.0</v>
      </c>
      <c r="W2297" s="238">
        <v>0.0</v>
      </c>
      <c r="X2297" s="235" t="s">
        <v>628</v>
      </c>
      <c r="Z2297" s="244"/>
      <c r="AA2297" s="244"/>
      <c r="AB2297" s="244"/>
      <c r="AC2297" s="235" t="s">
        <v>17649</v>
      </c>
      <c r="AD2297" s="235" t="s">
        <v>917</v>
      </c>
      <c r="AE2297" s="238">
        <v>304804.0</v>
      </c>
      <c r="AF2297" s="235" t="s">
        <v>631</v>
      </c>
      <c r="AG2297" s="244"/>
      <c r="AH2297" s="244"/>
      <c r="AI2297" s="245"/>
      <c r="AJ2297" s="245"/>
      <c r="AK2297" s="245"/>
      <c r="AL2297" s="245"/>
      <c r="AM2297" s="244"/>
      <c r="AN2297" s="244"/>
      <c r="AO2297" s="238">
        <v>-18.53</v>
      </c>
      <c r="AP2297" s="238">
        <v>-33.9</v>
      </c>
      <c r="AQ2297" s="235" t="s">
        <v>632</v>
      </c>
      <c r="AR2297" s="243">
        <v>3.71E11</v>
      </c>
      <c r="AS2297" s="235" t="s">
        <v>15064</v>
      </c>
      <c r="AT2297" s="235" t="s">
        <v>533</v>
      </c>
      <c r="AU2297" s="235" t="s">
        <v>634</v>
      </c>
      <c r="AV2297" s="246" t="s">
        <v>635</v>
      </c>
      <c r="AW2297" s="242"/>
      <c r="AX2297" s="242"/>
      <c r="AY2297" s="231"/>
      <c r="AZ2297" s="231"/>
      <c r="BA2297" s="227"/>
      <c r="BB2297" s="231"/>
      <c r="BC2297" s="227"/>
      <c r="BD2297" s="227"/>
      <c r="BE2297" s="227"/>
      <c r="BF2297" s="227"/>
    </row>
    <row r="2298">
      <c r="A2298" s="235" t="s">
        <v>17642</v>
      </c>
      <c r="C2298" s="235" t="s">
        <v>17643</v>
      </c>
      <c r="D2298" s="235" t="s">
        <v>17651</v>
      </c>
      <c r="E2298" s="243">
        <v>6.53E13</v>
      </c>
      <c r="F2298" s="245"/>
      <c r="G2298" s="235" t="s">
        <v>17645</v>
      </c>
      <c r="H2298" s="235" t="s">
        <v>17646</v>
      </c>
      <c r="I2298" s="235" t="s">
        <v>17646</v>
      </c>
      <c r="J2298" s="235" t="s">
        <v>17647</v>
      </c>
      <c r="K2298" s="235" t="s">
        <v>17648</v>
      </c>
      <c r="N2298" s="235" t="s">
        <v>153</v>
      </c>
      <c r="O2298" s="235" t="s">
        <v>390</v>
      </c>
      <c r="P2298" s="238">
        <v>1.0</v>
      </c>
      <c r="Q2298" s="235" t="s">
        <v>627</v>
      </c>
      <c r="R2298" s="238">
        <v>617.8</v>
      </c>
      <c r="S2298" s="238">
        <v>107.86</v>
      </c>
      <c r="T2298" s="238">
        <v>33.9</v>
      </c>
      <c r="U2298" s="238">
        <v>6.1</v>
      </c>
      <c r="V2298" s="238">
        <v>0.0</v>
      </c>
      <c r="W2298" s="238">
        <v>0.0</v>
      </c>
      <c r="X2298" s="235" t="s">
        <v>628</v>
      </c>
      <c r="Z2298" s="244"/>
      <c r="AA2298" s="244"/>
      <c r="AB2298" s="244"/>
      <c r="AC2298" s="235" t="s">
        <v>17649</v>
      </c>
      <c r="AD2298" s="235" t="s">
        <v>917</v>
      </c>
      <c r="AE2298" s="238">
        <v>304804.0</v>
      </c>
      <c r="AF2298" s="235" t="s">
        <v>631</v>
      </c>
      <c r="AG2298" s="244"/>
      <c r="AH2298" s="244"/>
      <c r="AI2298" s="245"/>
      <c r="AJ2298" s="245"/>
      <c r="AK2298" s="245"/>
      <c r="AL2298" s="245"/>
      <c r="AM2298" s="244"/>
      <c r="AN2298" s="244"/>
      <c r="AO2298" s="238">
        <v>-18.53</v>
      </c>
      <c r="AP2298" s="238">
        <v>-33.9</v>
      </c>
      <c r="AQ2298" s="235" t="s">
        <v>632</v>
      </c>
      <c r="AR2298" s="243">
        <v>3.71E11</v>
      </c>
      <c r="AS2298" s="235" t="s">
        <v>15064</v>
      </c>
      <c r="AT2298" s="235" t="s">
        <v>533</v>
      </c>
      <c r="AU2298" s="235" t="s">
        <v>634</v>
      </c>
      <c r="AV2298" s="246" t="s">
        <v>635</v>
      </c>
      <c r="AW2298" s="242"/>
      <c r="AX2298" s="242"/>
      <c r="AY2298" s="231"/>
      <c r="AZ2298" s="231"/>
      <c r="BA2298" s="227"/>
      <c r="BB2298" s="231"/>
      <c r="BC2298" s="227"/>
      <c r="BD2298" s="227"/>
      <c r="BE2298" s="227"/>
      <c r="BF2298" s="227"/>
    </row>
    <row r="2299">
      <c r="A2299" s="235" t="s">
        <v>17652</v>
      </c>
      <c r="C2299" s="235" t="s">
        <v>17653</v>
      </c>
      <c r="D2299" s="235" t="s">
        <v>17654</v>
      </c>
      <c r="E2299" s="243">
        <v>6.53E13</v>
      </c>
      <c r="F2299" s="245"/>
      <c r="G2299" s="235" t="s">
        <v>17655</v>
      </c>
      <c r="H2299" s="235" t="s">
        <v>17656</v>
      </c>
      <c r="I2299" s="235" t="s">
        <v>17656</v>
      </c>
      <c r="J2299" s="235" t="s">
        <v>17657</v>
      </c>
      <c r="K2299" s="235" t="s">
        <v>17658</v>
      </c>
      <c r="N2299" s="235" t="s">
        <v>134</v>
      </c>
      <c r="O2299" s="235" t="s">
        <v>314</v>
      </c>
      <c r="P2299" s="238">
        <v>1.0</v>
      </c>
      <c r="Q2299" s="235" t="s">
        <v>627</v>
      </c>
      <c r="R2299" s="238">
        <v>270.48</v>
      </c>
      <c r="S2299" s="238">
        <v>13.52</v>
      </c>
      <c r="T2299" s="238">
        <v>38.1</v>
      </c>
      <c r="U2299" s="238">
        <v>1.9</v>
      </c>
      <c r="V2299" s="238">
        <v>0.0</v>
      </c>
      <c r="W2299" s="238">
        <v>0.0</v>
      </c>
      <c r="X2299" s="235" t="s">
        <v>628</v>
      </c>
      <c r="Z2299" s="244"/>
      <c r="AA2299" s="244"/>
      <c r="AB2299" s="244"/>
      <c r="AC2299" s="235" t="s">
        <v>6896</v>
      </c>
      <c r="AD2299" s="235" t="s">
        <v>833</v>
      </c>
      <c r="AE2299" s="238">
        <v>533001.0</v>
      </c>
      <c r="AF2299" s="235" t="s">
        <v>631</v>
      </c>
      <c r="AG2299" s="244"/>
      <c r="AH2299" s="244"/>
      <c r="AI2299" s="245"/>
      <c r="AJ2299" s="245"/>
      <c r="AK2299" s="245"/>
      <c r="AL2299" s="245"/>
      <c r="AM2299" s="244"/>
      <c r="AN2299" s="244"/>
      <c r="AO2299" s="238">
        <v>0.0</v>
      </c>
      <c r="AP2299" s="238">
        <v>-38.1</v>
      </c>
      <c r="AQ2299" s="235" t="s">
        <v>632</v>
      </c>
      <c r="AR2299" s="243">
        <v>3.71E11</v>
      </c>
      <c r="AS2299" s="235" t="s">
        <v>11171</v>
      </c>
      <c r="AT2299" s="235" t="s">
        <v>156</v>
      </c>
      <c r="AU2299" s="235" t="s">
        <v>634</v>
      </c>
      <c r="AV2299" s="246" t="s">
        <v>635</v>
      </c>
      <c r="AW2299" s="242"/>
      <c r="AX2299" s="242"/>
      <c r="AY2299" s="231"/>
      <c r="AZ2299" s="231"/>
      <c r="BA2299" s="227"/>
      <c r="BB2299" s="231"/>
      <c r="BC2299" s="227"/>
      <c r="BD2299" s="227"/>
      <c r="BE2299" s="227"/>
      <c r="BF2299" s="227"/>
    </row>
    <row r="2300">
      <c r="A2300" s="235" t="s">
        <v>17659</v>
      </c>
      <c r="C2300" s="235" t="s">
        <v>17660</v>
      </c>
      <c r="D2300" s="235" t="s">
        <v>17661</v>
      </c>
      <c r="E2300" s="243">
        <v>6.54E13</v>
      </c>
      <c r="F2300" s="245"/>
      <c r="G2300" s="235" t="s">
        <v>17662</v>
      </c>
      <c r="H2300" s="235" t="s">
        <v>17663</v>
      </c>
      <c r="I2300" s="235" t="s">
        <v>17664</v>
      </c>
      <c r="J2300" s="235" t="s">
        <v>17665</v>
      </c>
      <c r="K2300" s="235" t="s">
        <v>17666</v>
      </c>
      <c r="N2300" s="235" t="s">
        <v>55</v>
      </c>
      <c r="O2300" s="235" t="s">
        <v>244</v>
      </c>
      <c r="P2300" s="238">
        <v>1.0</v>
      </c>
      <c r="Q2300" s="235" t="s">
        <v>627</v>
      </c>
      <c r="R2300" s="238">
        <v>246.66</v>
      </c>
      <c r="S2300" s="238">
        <v>12.34</v>
      </c>
      <c r="T2300" s="238">
        <v>0.0</v>
      </c>
      <c r="U2300" s="238">
        <v>0.0</v>
      </c>
      <c r="V2300" s="238">
        <v>0.0</v>
      </c>
      <c r="W2300" s="238">
        <v>0.0</v>
      </c>
      <c r="X2300" s="235" t="s">
        <v>628</v>
      </c>
      <c r="Z2300" s="244"/>
      <c r="AA2300" s="244"/>
      <c r="AB2300" s="244"/>
      <c r="AC2300" s="235" t="s">
        <v>687</v>
      </c>
      <c r="AD2300" s="235" t="s">
        <v>666</v>
      </c>
      <c r="AE2300" s="238">
        <v>600002.0</v>
      </c>
      <c r="AF2300" s="235" t="s">
        <v>631</v>
      </c>
      <c r="AG2300" s="244"/>
      <c r="AH2300" s="244"/>
      <c r="AI2300" s="245"/>
      <c r="AJ2300" s="245"/>
      <c r="AK2300" s="245"/>
      <c r="AL2300" s="245"/>
      <c r="AM2300" s="244"/>
      <c r="AN2300" s="244"/>
      <c r="AO2300" s="238">
        <v>0.0</v>
      </c>
      <c r="AP2300" s="238">
        <v>0.0</v>
      </c>
      <c r="AQ2300" s="235" t="s">
        <v>632</v>
      </c>
      <c r="AR2300" s="243">
        <v>1.68E11</v>
      </c>
      <c r="AS2300" s="235" t="s">
        <v>17109</v>
      </c>
      <c r="AT2300" s="235" t="s">
        <v>156</v>
      </c>
      <c r="AU2300" s="235" t="s">
        <v>634</v>
      </c>
      <c r="AV2300" s="246" t="s">
        <v>635</v>
      </c>
      <c r="AW2300" s="242"/>
      <c r="AX2300" s="242"/>
      <c r="AY2300" s="231"/>
      <c r="AZ2300" s="231"/>
      <c r="BA2300" s="227"/>
      <c r="BB2300" s="231"/>
      <c r="BC2300" s="227"/>
      <c r="BD2300" s="227"/>
      <c r="BE2300" s="227"/>
      <c r="BF2300" s="227"/>
    </row>
    <row r="2301">
      <c r="A2301" s="235" t="s">
        <v>17667</v>
      </c>
      <c r="C2301" s="235" t="s">
        <v>17668</v>
      </c>
      <c r="D2301" s="235" t="s">
        <v>17669</v>
      </c>
      <c r="E2301" s="243">
        <v>6.54E13</v>
      </c>
      <c r="F2301" s="245"/>
      <c r="G2301" s="235" t="s">
        <v>17670</v>
      </c>
      <c r="H2301" s="235" t="s">
        <v>17671</v>
      </c>
      <c r="I2301" s="235" t="s">
        <v>17671</v>
      </c>
      <c r="J2301" s="235" t="s">
        <v>17672</v>
      </c>
      <c r="K2301" s="235" t="s">
        <v>17673</v>
      </c>
      <c r="N2301" s="235" t="s">
        <v>54</v>
      </c>
      <c r="O2301" s="235" t="s">
        <v>294</v>
      </c>
      <c r="P2301" s="238">
        <v>1.0</v>
      </c>
      <c r="Q2301" s="235" t="s">
        <v>627</v>
      </c>
      <c r="R2301" s="238">
        <v>261.9</v>
      </c>
      <c r="S2301" s="238">
        <v>13.1</v>
      </c>
      <c r="T2301" s="238">
        <v>38.1</v>
      </c>
      <c r="U2301" s="238">
        <v>1.9</v>
      </c>
      <c r="V2301" s="238">
        <v>0.0</v>
      </c>
      <c r="W2301" s="238">
        <v>0.0</v>
      </c>
      <c r="X2301" s="235" t="s">
        <v>628</v>
      </c>
      <c r="Z2301" s="244"/>
      <c r="AA2301" s="244"/>
      <c r="AB2301" s="244"/>
      <c r="AC2301" s="235" t="s">
        <v>17674</v>
      </c>
      <c r="AD2301" s="235" t="s">
        <v>1077</v>
      </c>
      <c r="AE2301" s="238">
        <v>394116.0</v>
      </c>
      <c r="AF2301" s="235" t="s">
        <v>631</v>
      </c>
      <c r="AG2301" s="244"/>
      <c r="AH2301" s="244"/>
      <c r="AI2301" s="245"/>
      <c r="AJ2301" s="245"/>
      <c r="AK2301" s="245"/>
      <c r="AL2301" s="245"/>
      <c r="AM2301" s="244"/>
      <c r="AN2301" s="244"/>
      <c r="AO2301" s="238">
        <v>0.0</v>
      </c>
      <c r="AP2301" s="238">
        <v>-38.1</v>
      </c>
      <c r="AQ2301" s="235" t="s">
        <v>632</v>
      </c>
      <c r="AR2301" s="243">
        <v>3.71E11</v>
      </c>
      <c r="AS2301" s="235" t="s">
        <v>15064</v>
      </c>
      <c r="AT2301" s="235" t="s">
        <v>5</v>
      </c>
      <c r="AU2301" s="235" t="s">
        <v>634</v>
      </c>
      <c r="AV2301" s="246" t="s">
        <v>635</v>
      </c>
      <c r="AW2301" s="242"/>
      <c r="AX2301" s="242"/>
      <c r="AY2301" s="231"/>
      <c r="AZ2301" s="231"/>
      <c r="BA2301" s="227"/>
      <c r="BB2301" s="231"/>
      <c r="BC2301" s="227"/>
      <c r="BD2301" s="227"/>
      <c r="BE2301" s="227"/>
      <c r="BF2301" s="227"/>
    </row>
    <row r="2302">
      <c r="A2302" s="235" t="s">
        <v>17675</v>
      </c>
      <c r="C2302" s="235" t="s">
        <v>17676</v>
      </c>
      <c r="D2302" s="235" t="s">
        <v>17677</v>
      </c>
      <c r="E2302" s="243">
        <v>6.53E13</v>
      </c>
      <c r="F2302" s="245"/>
      <c r="G2302" s="235" t="s">
        <v>17678</v>
      </c>
      <c r="H2302" s="235" t="s">
        <v>17679</v>
      </c>
      <c r="I2302" s="235" t="s">
        <v>17679</v>
      </c>
      <c r="J2302" s="235" t="s">
        <v>17680</v>
      </c>
      <c r="K2302" s="235" t="s">
        <v>17681</v>
      </c>
      <c r="N2302" s="235" t="s">
        <v>50</v>
      </c>
      <c r="O2302" s="235" t="s">
        <v>367</v>
      </c>
      <c r="P2302" s="238">
        <v>1.0</v>
      </c>
      <c r="Q2302" s="235" t="s">
        <v>627</v>
      </c>
      <c r="R2302" s="238">
        <v>270.48</v>
      </c>
      <c r="S2302" s="238">
        <v>13.52</v>
      </c>
      <c r="T2302" s="238">
        <v>38.1</v>
      </c>
      <c r="U2302" s="238">
        <v>1.9</v>
      </c>
      <c r="V2302" s="238">
        <v>0.0</v>
      </c>
      <c r="W2302" s="238">
        <v>0.0</v>
      </c>
      <c r="X2302" s="235" t="s">
        <v>628</v>
      </c>
      <c r="Z2302" s="244"/>
      <c r="AA2302" s="244"/>
      <c r="AB2302" s="244"/>
      <c r="AC2302" s="235" t="s">
        <v>3449</v>
      </c>
      <c r="AD2302" s="235" t="s">
        <v>833</v>
      </c>
      <c r="AE2302" s="238">
        <v>533105.0</v>
      </c>
      <c r="AF2302" s="235" t="s">
        <v>631</v>
      </c>
      <c r="AG2302" s="244"/>
      <c r="AH2302" s="244"/>
      <c r="AI2302" s="245"/>
      <c r="AJ2302" s="245"/>
      <c r="AK2302" s="245"/>
      <c r="AL2302" s="245"/>
      <c r="AM2302" s="244"/>
      <c r="AN2302" s="244"/>
      <c r="AO2302" s="238">
        <v>0.0</v>
      </c>
      <c r="AP2302" s="238">
        <v>-38.1</v>
      </c>
      <c r="AQ2302" s="235" t="s">
        <v>632</v>
      </c>
      <c r="AR2302" s="243">
        <v>3.71E11</v>
      </c>
      <c r="AS2302" s="235" t="s">
        <v>13822</v>
      </c>
      <c r="AT2302" s="235" t="s">
        <v>156</v>
      </c>
      <c r="AU2302" s="235" t="s">
        <v>634</v>
      </c>
      <c r="AV2302" s="246" t="s">
        <v>635</v>
      </c>
      <c r="AW2302" s="242"/>
      <c r="AX2302" s="242"/>
      <c r="AY2302" s="231"/>
      <c r="AZ2302" s="231"/>
      <c r="BA2302" s="227"/>
      <c r="BB2302" s="231"/>
      <c r="BC2302" s="227"/>
      <c r="BD2302" s="227"/>
      <c r="BE2302" s="227"/>
      <c r="BF2302" s="227"/>
    </row>
    <row r="2303">
      <c r="A2303" s="235" t="s">
        <v>17682</v>
      </c>
      <c r="C2303" s="235" t="s">
        <v>17683</v>
      </c>
      <c r="D2303" s="235" t="s">
        <v>17684</v>
      </c>
      <c r="E2303" s="243">
        <v>6.54E13</v>
      </c>
      <c r="F2303" s="245"/>
      <c r="G2303" s="235" t="s">
        <v>17685</v>
      </c>
      <c r="H2303" s="235" t="s">
        <v>17686</v>
      </c>
      <c r="I2303" s="235" t="s">
        <v>17686</v>
      </c>
      <c r="J2303" s="235" t="s">
        <v>17687</v>
      </c>
      <c r="K2303" s="235" t="s">
        <v>17688</v>
      </c>
      <c r="N2303" s="235" t="s">
        <v>3962</v>
      </c>
      <c r="O2303" s="235" t="s">
        <v>3963</v>
      </c>
      <c r="P2303" s="238">
        <v>1.0</v>
      </c>
      <c r="Q2303" s="235" t="s">
        <v>627</v>
      </c>
      <c r="R2303" s="238">
        <v>550.0</v>
      </c>
      <c r="S2303" s="238">
        <v>99.0</v>
      </c>
      <c r="T2303" s="238">
        <v>0.0</v>
      </c>
      <c r="U2303" s="238">
        <v>0.0</v>
      </c>
      <c r="V2303" s="238">
        <v>0.0</v>
      </c>
      <c r="W2303" s="238">
        <v>0.0</v>
      </c>
      <c r="X2303" s="235" t="s">
        <v>628</v>
      </c>
      <c r="Z2303" s="244"/>
      <c r="AA2303" s="244"/>
      <c r="AB2303" s="244"/>
      <c r="AC2303" s="235" t="s">
        <v>1531</v>
      </c>
      <c r="AD2303" s="235" t="s">
        <v>1151</v>
      </c>
      <c r="AE2303" s="238">
        <v>700061.0</v>
      </c>
      <c r="AF2303" s="235" t="s">
        <v>631</v>
      </c>
      <c r="AG2303" s="244"/>
      <c r="AH2303" s="244"/>
      <c r="AI2303" s="245"/>
      <c r="AJ2303" s="245"/>
      <c r="AK2303" s="245"/>
      <c r="AL2303" s="245"/>
      <c r="AM2303" s="244"/>
      <c r="AN2303" s="244"/>
      <c r="AO2303" s="238">
        <v>0.0</v>
      </c>
      <c r="AP2303" s="238">
        <v>0.0</v>
      </c>
      <c r="AQ2303" s="235" t="s">
        <v>632</v>
      </c>
      <c r="AR2303" s="243">
        <v>2.02E11</v>
      </c>
      <c r="AS2303" s="235" t="s">
        <v>16626</v>
      </c>
      <c r="AT2303" s="235" t="s">
        <v>9</v>
      </c>
      <c r="AU2303" s="235" t="s">
        <v>634</v>
      </c>
      <c r="AV2303" s="246" t="s">
        <v>635</v>
      </c>
      <c r="AW2303" s="242"/>
      <c r="AX2303" s="242"/>
      <c r="AY2303" s="231"/>
      <c r="AZ2303" s="231"/>
      <c r="BA2303" s="227"/>
      <c r="BB2303" s="231"/>
      <c r="BC2303" s="227"/>
      <c r="BD2303" s="227"/>
      <c r="BE2303" s="227"/>
      <c r="BF2303" s="227"/>
    </row>
    <row r="2304">
      <c r="A2304" s="235" t="s">
        <v>17689</v>
      </c>
      <c r="C2304" s="235" t="s">
        <v>17690</v>
      </c>
      <c r="D2304" s="235" t="s">
        <v>17691</v>
      </c>
      <c r="E2304" s="243">
        <v>6.54E13</v>
      </c>
      <c r="F2304" s="245"/>
      <c r="G2304" s="235" t="s">
        <v>17692</v>
      </c>
      <c r="H2304" s="235" t="s">
        <v>17693</v>
      </c>
      <c r="I2304" s="235" t="s">
        <v>17694</v>
      </c>
      <c r="J2304" s="235" t="s">
        <v>17695</v>
      </c>
      <c r="K2304" s="235" t="s">
        <v>17696</v>
      </c>
      <c r="N2304" s="235" t="s">
        <v>989</v>
      </c>
      <c r="O2304" s="235" t="s">
        <v>990</v>
      </c>
      <c r="P2304" s="238">
        <v>1.0</v>
      </c>
      <c r="Q2304" s="235" t="s">
        <v>627</v>
      </c>
      <c r="R2304" s="238">
        <v>256.19</v>
      </c>
      <c r="S2304" s="238">
        <v>12.81</v>
      </c>
      <c r="T2304" s="238">
        <v>0.0</v>
      </c>
      <c r="U2304" s="238">
        <v>0.0</v>
      </c>
      <c r="V2304" s="238">
        <v>0.0</v>
      </c>
      <c r="W2304" s="238">
        <v>0.0</v>
      </c>
      <c r="X2304" s="235" t="s">
        <v>628</v>
      </c>
      <c r="Z2304" s="244"/>
      <c r="AA2304" s="244"/>
      <c r="AB2304" s="244"/>
      <c r="AC2304" s="235" t="s">
        <v>795</v>
      </c>
      <c r="AD2304" s="235" t="s">
        <v>796</v>
      </c>
      <c r="AE2304" s="238">
        <v>110027.0</v>
      </c>
      <c r="AF2304" s="235" t="s">
        <v>631</v>
      </c>
      <c r="AG2304" s="244"/>
      <c r="AH2304" s="244"/>
      <c r="AI2304" s="245"/>
      <c r="AJ2304" s="245"/>
      <c r="AK2304" s="245"/>
      <c r="AL2304" s="245"/>
      <c r="AM2304" s="244"/>
      <c r="AN2304" s="244"/>
      <c r="AO2304" s="238">
        <v>0.0</v>
      </c>
      <c r="AP2304" s="238">
        <v>0.0</v>
      </c>
      <c r="AQ2304" s="235" t="s">
        <v>632</v>
      </c>
      <c r="AR2304" s="243">
        <v>1.68E11</v>
      </c>
      <c r="AS2304" s="235" t="s">
        <v>17109</v>
      </c>
      <c r="AT2304" s="235" t="s">
        <v>533</v>
      </c>
      <c r="AU2304" s="235" t="s">
        <v>634</v>
      </c>
      <c r="AV2304" s="246" t="s">
        <v>635</v>
      </c>
      <c r="AW2304" s="242"/>
      <c r="AX2304" s="242"/>
      <c r="AY2304" s="231"/>
      <c r="AZ2304" s="231"/>
      <c r="BA2304" s="227"/>
      <c r="BB2304" s="231"/>
      <c r="BC2304" s="227"/>
      <c r="BD2304" s="227"/>
      <c r="BE2304" s="227"/>
      <c r="BF2304" s="227"/>
    </row>
    <row r="2305">
      <c r="A2305" s="235" t="s">
        <v>17697</v>
      </c>
      <c r="C2305" s="235" t="s">
        <v>17698</v>
      </c>
      <c r="D2305" s="235" t="s">
        <v>17699</v>
      </c>
      <c r="E2305" s="243">
        <v>6.53E13</v>
      </c>
      <c r="F2305" s="245"/>
      <c r="G2305" s="235" t="s">
        <v>17700</v>
      </c>
      <c r="H2305" s="235" t="s">
        <v>17701</v>
      </c>
      <c r="I2305" s="235" t="s">
        <v>17701</v>
      </c>
      <c r="J2305" s="235" t="s">
        <v>17702</v>
      </c>
      <c r="K2305" s="235" t="s">
        <v>17703</v>
      </c>
      <c r="N2305" s="235" t="s">
        <v>47</v>
      </c>
      <c r="O2305" s="235" t="s">
        <v>270</v>
      </c>
      <c r="P2305" s="238">
        <v>1.0</v>
      </c>
      <c r="Q2305" s="235" t="s">
        <v>627</v>
      </c>
      <c r="R2305" s="238">
        <v>235.24</v>
      </c>
      <c r="S2305" s="238">
        <v>11.76</v>
      </c>
      <c r="T2305" s="238">
        <v>0.0</v>
      </c>
      <c r="U2305" s="238">
        <v>0.0</v>
      </c>
      <c r="V2305" s="238">
        <v>0.0</v>
      </c>
      <c r="W2305" s="238">
        <v>0.0</v>
      </c>
      <c r="X2305" s="235" t="s">
        <v>628</v>
      </c>
      <c r="Z2305" s="244"/>
      <c r="AA2305" s="244"/>
      <c r="AB2305" s="244"/>
      <c r="AC2305" s="235" t="s">
        <v>832</v>
      </c>
      <c r="AD2305" s="235" t="s">
        <v>833</v>
      </c>
      <c r="AE2305" s="238">
        <v>530049.0</v>
      </c>
      <c r="AF2305" s="235" t="s">
        <v>631</v>
      </c>
      <c r="AG2305" s="244"/>
      <c r="AH2305" s="244"/>
      <c r="AI2305" s="245"/>
      <c r="AJ2305" s="245"/>
      <c r="AK2305" s="245"/>
      <c r="AL2305" s="245"/>
      <c r="AM2305" s="244"/>
      <c r="AN2305" s="244"/>
      <c r="AO2305" s="238">
        <v>0.0</v>
      </c>
      <c r="AP2305" s="238">
        <v>0.0</v>
      </c>
      <c r="AQ2305" s="235" t="s">
        <v>632</v>
      </c>
      <c r="AR2305" s="243">
        <v>3.71E11</v>
      </c>
      <c r="AS2305" s="235" t="s">
        <v>12693</v>
      </c>
      <c r="AT2305" s="235" t="s">
        <v>17</v>
      </c>
      <c r="AU2305" s="235" t="s">
        <v>634</v>
      </c>
      <c r="AV2305" s="246" t="s">
        <v>635</v>
      </c>
      <c r="AW2305" s="242"/>
      <c r="AX2305" s="242"/>
      <c r="AY2305" s="231"/>
      <c r="AZ2305" s="231"/>
      <c r="BA2305" s="227"/>
      <c r="BB2305" s="231"/>
      <c r="BC2305" s="227"/>
      <c r="BD2305" s="227"/>
      <c r="BE2305" s="227"/>
      <c r="BF2305" s="227"/>
    </row>
    <row r="2306">
      <c r="A2306" s="235" t="s">
        <v>17704</v>
      </c>
      <c r="C2306" s="235" t="s">
        <v>17705</v>
      </c>
      <c r="D2306" s="235" t="s">
        <v>17706</v>
      </c>
      <c r="E2306" s="243">
        <v>6.54E13</v>
      </c>
      <c r="F2306" s="245"/>
      <c r="G2306" s="235" t="s">
        <v>17707</v>
      </c>
      <c r="H2306" s="235" t="s">
        <v>17708</v>
      </c>
      <c r="I2306" s="235" t="s">
        <v>17708</v>
      </c>
      <c r="J2306" s="235" t="s">
        <v>17709</v>
      </c>
      <c r="K2306" s="235" t="s">
        <v>17710</v>
      </c>
      <c r="N2306" s="235" t="s">
        <v>113</v>
      </c>
      <c r="O2306" s="235" t="s">
        <v>452</v>
      </c>
      <c r="P2306" s="238">
        <v>1.0</v>
      </c>
      <c r="Q2306" s="235" t="s">
        <v>627</v>
      </c>
      <c r="R2306" s="238">
        <v>246.66</v>
      </c>
      <c r="S2306" s="238">
        <v>12.34</v>
      </c>
      <c r="T2306" s="238">
        <v>0.0</v>
      </c>
      <c r="U2306" s="238">
        <v>0.0</v>
      </c>
      <c r="V2306" s="238">
        <v>0.0</v>
      </c>
      <c r="W2306" s="238">
        <v>0.0</v>
      </c>
      <c r="X2306" s="235" t="s">
        <v>628</v>
      </c>
      <c r="Z2306" s="244"/>
      <c r="AA2306" s="244"/>
      <c r="AB2306" s="244"/>
      <c r="AC2306" s="235" t="s">
        <v>844</v>
      </c>
      <c r="AD2306" s="235" t="s">
        <v>845</v>
      </c>
      <c r="AE2306" s="238">
        <v>411058.0</v>
      </c>
      <c r="AF2306" s="235" t="s">
        <v>631</v>
      </c>
      <c r="AG2306" s="244"/>
      <c r="AH2306" s="244"/>
      <c r="AI2306" s="245"/>
      <c r="AJ2306" s="245"/>
      <c r="AK2306" s="245"/>
      <c r="AL2306" s="245"/>
      <c r="AM2306" s="244"/>
      <c r="AN2306" s="244"/>
      <c r="AO2306" s="238">
        <v>0.0</v>
      </c>
      <c r="AP2306" s="238">
        <v>0.0</v>
      </c>
      <c r="AQ2306" s="235" t="s">
        <v>632</v>
      </c>
      <c r="AR2306" s="243">
        <v>3.71E11</v>
      </c>
      <c r="AS2306" s="235" t="s">
        <v>16626</v>
      </c>
      <c r="AT2306" s="235" t="s">
        <v>546</v>
      </c>
      <c r="AU2306" s="235" t="s">
        <v>634</v>
      </c>
      <c r="AV2306" s="246" t="s">
        <v>635</v>
      </c>
      <c r="AW2306" s="242"/>
      <c r="AX2306" s="242"/>
      <c r="AY2306" s="231"/>
      <c r="AZ2306" s="231"/>
      <c r="BA2306" s="227"/>
      <c r="BB2306" s="231"/>
      <c r="BC2306" s="227"/>
      <c r="BD2306" s="227"/>
      <c r="BE2306" s="227"/>
      <c r="BF2306" s="227"/>
    </row>
    <row r="2307">
      <c r="A2307" s="235" t="s">
        <v>17711</v>
      </c>
      <c r="C2307" s="235" t="s">
        <v>17712</v>
      </c>
      <c r="D2307" s="235" t="s">
        <v>17713</v>
      </c>
      <c r="E2307" s="243">
        <v>6.53E13</v>
      </c>
      <c r="F2307" s="245"/>
      <c r="G2307" s="235" t="s">
        <v>17714</v>
      </c>
      <c r="H2307" s="235" t="s">
        <v>17715</v>
      </c>
      <c r="I2307" s="235" t="s">
        <v>17715</v>
      </c>
      <c r="J2307" s="235" t="s">
        <v>17716</v>
      </c>
      <c r="K2307" s="235" t="s">
        <v>17717</v>
      </c>
      <c r="N2307" s="235" t="s">
        <v>141</v>
      </c>
      <c r="O2307" s="235" t="s">
        <v>342</v>
      </c>
      <c r="P2307" s="238">
        <v>1.0</v>
      </c>
      <c r="Q2307" s="235" t="s">
        <v>627</v>
      </c>
      <c r="R2307" s="238">
        <v>270.48</v>
      </c>
      <c r="S2307" s="238">
        <v>13.52</v>
      </c>
      <c r="T2307" s="238">
        <v>38.1</v>
      </c>
      <c r="U2307" s="238">
        <v>1.9</v>
      </c>
      <c r="V2307" s="238">
        <v>0.0</v>
      </c>
      <c r="W2307" s="238">
        <v>0.0</v>
      </c>
      <c r="X2307" s="235" t="s">
        <v>628</v>
      </c>
      <c r="Z2307" s="244"/>
      <c r="AA2307" s="244"/>
      <c r="AB2307" s="244"/>
      <c r="AC2307" s="235" t="s">
        <v>17718</v>
      </c>
      <c r="AD2307" s="235" t="s">
        <v>1077</v>
      </c>
      <c r="AE2307" s="238">
        <v>370421.0</v>
      </c>
      <c r="AF2307" s="235" t="s">
        <v>631</v>
      </c>
      <c r="AG2307" s="244"/>
      <c r="AH2307" s="244"/>
      <c r="AI2307" s="245"/>
      <c r="AJ2307" s="245"/>
      <c r="AK2307" s="245"/>
      <c r="AL2307" s="245"/>
      <c r="AM2307" s="244"/>
      <c r="AN2307" s="244"/>
      <c r="AO2307" s="238">
        <v>0.0</v>
      </c>
      <c r="AP2307" s="238">
        <v>-38.1</v>
      </c>
      <c r="AQ2307" s="235" t="s">
        <v>632</v>
      </c>
      <c r="AR2307" s="243">
        <v>3.71E11</v>
      </c>
      <c r="AS2307" s="235" t="s">
        <v>13822</v>
      </c>
      <c r="AT2307" s="235" t="s">
        <v>5</v>
      </c>
      <c r="AU2307" s="235" t="s">
        <v>634</v>
      </c>
      <c r="AV2307" s="246" t="s">
        <v>635</v>
      </c>
      <c r="AW2307" s="242"/>
      <c r="AX2307" s="242"/>
      <c r="AY2307" s="231"/>
      <c r="AZ2307" s="231"/>
      <c r="BA2307" s="227"/>
      <c r="BB2307" s="231"/>
      <c r="BC2307" s="227"/>
      <c r="BD2307" s="227"/>
      <c r="BE2307" s="227"/>
      <c r="BF2307" s="227"/>
    </row>
    <row r="2308">
      <c r="A2308" s="235" t="s">
        <v>17719</v>
      </c>
      <c r="C2308" s="235" t="s">
        <v>17720</v>
      </c>
      <c r="D2308" s="235" t="s">
        <v>17721</v>
      </c>
      <c r="E2308" s="243">
        <v>6.53E13</v>
      </c>
      <c r="F2308" s="245"/>
      <c r="G2308" s="235" t="s">
        <v>17722</v>
      </c>
      <c r="H2308" s="235" t="s">
        <v>17723</v>
      </c>
      <c r="I2308" s="235" t="s">
        <v>17723</v>
      </c>
      <c r="J2308" s="235" t="s">
        <v>17724</v>
      </c>
      <c r="K2308" s="235" t="s">
        <v>17725</v>
      </c>
      <c r="N2308" s="235" t="s">
        <v>962</v>
      </c>
      <c r="O2308" s="235" t="s">
        <v>963</v>
      </c>
      <c r="P2308" s="238">
        <v>1.0</v>
      </c>
      <c r="Q2308" s="235" t="s">
        <v>627</v>
      </c>
      <c r="R2308" s="238">
        <v>245.71</v>
      </c>
      <c r="S2308" s="238">
        <v>12.29</v>
      </c>
      <c r="T2308" s="238">
        <v>38.1</v>
      </c>
      <c r="U2308" s="238">
        <v>1.9</v>
      </c>
      <c r="V2308" s="238">
        <v>0.0</v>
      </c>
      <c r="W2308" s="238">
        <v>0.0</v>
      </c>
      <c r="X2308" s="235" t="s">
        <v>628</v>
      </c>
      <c r="Z2308" s="244"/>
      <c r="AA2308" s="244"/>
      <c r="AB2308" s="244"/>
      <c r="AC2308" s="235" t="s">
        <v>17726</v>
      </c>
      <c r="AD2308" s="235" t="s">
        <v>698</v>
      </c>
      <c r="AE2308" s="238">
        <v>502318.0</v>
      </c>
      <c r="AF2308" s="235" t="s">
        <v>631</v>
      </c>
      <c r="AG2308" s="244"/>
      <c r="AH2308" s="244"/>
      <c r="AI2308" s="245"/>
      <c r="AJ2308" s="245"/>
      <c r="AK2308" s="245"/>
      <c r="AL2308" s="245"/>
      <c r="AM2308" s="244"/>
      <c r="AN2308" s="244"/>
      <c r="AO2308" s="238">
        <v>0.0</v>
      </c>
      <c r="AP2308" s="238">
        <v>-38.1</v>
      </c>
      <c r="AQ2308" s="235" t="s">
        <v>632</v>
      </c>
      <c r="AR2308" s="243">
        <v>3.71E11</v>
      </c>
      <c r="AS2308" s="235" t="s">
        <v>12693</v>
      </c>
      <c r="AT2308" s="235" t="s">
        <v>16</v>
      </c>
      <c r="AU2308" s="235" t="s">
        <v>634</v>
      </c>
      <c r="AV2308" s="246" t="s">
        <v>635</v>
      </c>
      <c r="AW2308" s="242"/>
      <c r="AX2308" s="242"/>
      <c r="AY2308" s="231"/>
      <c r="AZ2308" s="231"/>
      <c r="BA2308" s="227"/>
      <c r="BB2308" s="231"/>
      <c r="BC2308" s="227"/>
      <c r="BD2308" s="227"/>
      <c r="BE2308" s="227"/>
      <c r="BF2308" s="227"/>
    </row>
    <row r="2309">
      <c r="A2309" s="235" t="s">
        <v>17727</v>
      </c>
      <c r="C2309" s="235" t="s">
        <v>17728</v>
      </c>
      <c r="D2309" s="235" t="s">
        <v>17729</v>
      </c>
      <c r="E2309" s="243">
        <v>6.54E13</v>
      </c>
      <c r="F2309" s="245"/>
      <c r="G2309" s="235" t="s">
        <v>17730</v>
      </c>
      <c r="H2309" s="235" t="s">
        <v>17731</v>
      </c>
      <c r="I2309" s="235" t="s">
        <v>17731</v>
      </c>
      <c r="J2309" s="235" t="s">
        <v>17732</v>
      </c>
      <c r="K2309" s="235" t="s">
        <v>17733</v>
      </c>
      <c r="N2309" s="235" t="s">
        <v>71</v>
      </c>
      <c r="O2309" s="235" t="s">
        <v>240</v>
      </c>
      <c r="P2309" s="238">
        <v>1.0</v>
      </c>
      <c r="Q2309" s="235" t="s">
        <v>627</v>
      </c>
      <c r="R2309" s="238">
        <v>246.66</v>
      </c>
      <c r="S2309" s="238">
        <v>12.34</v>
      </c>
      <c r="T2309" s="238">
        <v>0.0</v>
      </c>
      <c r="U2309" s="238">
        <v>0.0</v>
      </c>
      <c r="V2309" s="238">
        <v>0.0</v>
      </c>
      <c r="W2309" s="238">
        <v>0.0</v>
      </c>
      <c r="X2309" s="235" t="s">
        <v>628</v>
      </c>
      <c r="Z2309" s="244"/>
      <c r="AA2309" s="244"/>
      <c r="AB2309" s="244"/>
      <c r="AC2309" s="235" t="s">
        <v>1887</v>
      </c>
      <c r="AD2309" s="235" t="s">
        <v>679</v>
      </c>
      <c r="AE2309" s="238">
        <v>560016.0</v>
      </c>
      <c r="AF2309" s="235" t="s">
        <v>631</v>
      </c>
      <c r="AG2309" s="244"/>
      <c r="AH2309" s="244"/>
      <c r="AI2309" s="245"/>
      <c r="AJ2309" s="245"/>
      <c r="AK2309" s="245"/>
      <c r="AL2309" s="245"/>
      <c r="AM2309" s="244"/>
      <c r="AN2309" s="244"/>
      <c r="AO2309" s="238">
        <v>0.0</v>
      </c>
      <c r="AP2309" s="238">
        <v>0.0</v>
      </c>
      <c r="AQ2309" s="235" t="s">
        <v>632</v>
      </c>
      <c r="AR2309" s="243">
        <v>1.68E11</v>
      </c>
      <c r="AS2309" s="235" t="s">
        <v>17109</v>
      </c>
      <c r="AT2309" s="235" t="s">
        <v>9</v>
      </c>
      <c r="AU2309" s="235" t="s">
        <v>634</v>
      </c>
      <c r="AV2309" s="246" t="s">
        <v>635</v>
      </c>
      <c r="AW2309" s="242"/>
      <c r="AX2309" s="242"/>
      <c r="AY2309" s="231"/>
      <c r="AZ2309" s="231"/>
      <c r="BA2309" s="227"/>
      <c r="BB2309" s="231"/>
      <c r="BC2309" s="227"/>
      <c r="BD2309" s="227"/>
      <c r="BE2309" s="227"/>
      <c r="BF2309" s="227"/>
    </row>
    <row r="2310">
      <c r="A2310" s="235" t="s">
        <v>17734</v>
      </c>
      <c r="C2310" s="235" t="s">
        <v>17735</v>
      </c>
      <c r="D2310" s="235" t="s">
        <v>17736</v>
      </c>
      <c r="E2310" s="243">
        <v>6.54E13</v>
      </c>
      <c r="F2310" s="245"/>
      <c r="G2310" s="235" t="s">
        <v>17737</v>
      </c>
      <c r="H2310" s="235" t="s">
        <v>17738</v>
      </c>
      <c r="I2310" s="235" t="s">
        <v>17738</v>
      </c>
      <c r="J2310" s="235" t="s">
        <v>17739</v>
      </c>
      <c r="K2310" s="235" t="s">
        <v>17740</v>
      </c>
      <c r="N2310" s="235" t="s">
        <v>127</v>
      </c>
      <c r="O2310" s="235" t="s">
        <v>794</v>
      </c>
      <c r="P2310" s="238">
        <v>1.0</v>
      </c>
      <c r="Q2310" s="235" t="s">
        <v>627</v>
      </c>
      <c r="R2310" s="238">
        <v>270.48</v>
      </c>
      <c r="S2310" s="238">
        <v>13.52</v>
      </c>
      <c r="T2310" s="238">
        <v>0.0</v>
      </c>
      <c r="U2310" s="238">
        <v>0.0</v>
      </c>
      <c r="V2310" s="238">
        <v>0.0</v>
      </c>
      <c r="W2310" s="238">
        <v>0.0</v>
      </c>
      <c r="X2310" s="235" t="s">
        <v>628</v>
      </c>
      <c r="Z2310" s="244"/>
      <c r="AA2310" s="244"/>
      <c r="AB2310" s="244"/>
      <c r="AC2310" s="235" t="s">
        <v>1475</v>
      </c>
      <c r="AD2310" s="235" t="s">
        <v>795</v>
      </c>
      <c r="AE2310" s="238">
        <v>110060.0</v>
      </c>
      <c r="AF2310" s="235" t="s">
        <v>631</v>
      </c>
      <c r="AG2310" s="244"/>
      <c r="AH2310" s="244"/>
      <c r="AI2310" s="245"/>
      <c r="AJ2310" s="245"/>
      <c r="AK2310" s="245"/>
      <c r="AL2310" s="245"/>
      <c r="AM2310" s="244"/>
      <c r="AN2310" s="244"/>
      <c r="AO2310" s="238">
        <v>0.0</v>
      </c>
      <c r="AP2310" s="238">
        <v>0.0</v>
      </c>
      <c r="AQ2310" s="235" t="s">
        <v>632</v>
      </c>
      <c r="AR2310" s="243">
        <v>1.68E11</v>
      </c>
      <c r="AS2310" s="235" t="s">
        <v>17109</v>
      </c>
      <c r="AT2310" s="235" t="s">
        <v>14</v>
      </c>
      <c r="AU2310" s="235" t="s">
        <v>634</v>
      </c>
      <c r="AV2310" s="246" t="s">
        <v>635</v>
      </c>
      <c r="AW2310" s="242"/>
      <c r="AX2310" s="242"/>
      <c r="AY2310" s="231"/>
      <c r="AZ2310" s="231"/>
      <c r="BA2310" s="227"/>
      <c r="BB2310" s="231"/>
      <c r="BC2310" s="227"/>
      <c r="BD2310" s="227"/>
      <c r="BE2310" s="227"/>
      <c r="BF2310" s="227"/>
    </row>
    <row r="2311">
      <c r="A2311" s="235" t="s">
        <v>17741</v>
      </c>
      <c r="C2311" s="235" t="s">
        <v>17742</v>
      </c>
      <c r="D2311" s="235" t="s">
        <v>17743</v>
      </c>
      <c r="E2311" s="243">
        <v>6.54E13</v>
      </c>
      <c r="F2311" s="245"/>
      <c r="G2311" s="235" t="s">
        <v>17744</v>
      </c>
      <c r="H2311" s="235" t="s">
        <v>17745</v>
      </c>
      <c r="I2311" s="235" t="s">
        <v>17746</v>
      </c>
      <c r="J2311" s="235" t="s">
        <v>17747</v>
      </c>
      <c r="K2311" s="235" t="s">
        <v>17748</v>
      </c>
      <c r="N2311" s="235" t="s">
        <v>127</v>
      </c>
      <c r="O2311" s="235" t="s">
        <v>794</v>
      </c>
      <c r="P2311" s="238">
        <v>1.0</v>
      </c>
      <c r="Q2311" s="235" t="s">
        <v>627</v>
      </c>
      <c r="R2311" s="238">
        <v>270.48</v>
      </c>
      <c r="S2311" s="238">
        <v>13.52</v>
      </c>
      <c r="T2311" s="238">
        <v>0.0</v>
      </c>
      <c r="U2311" s="238">
        <v>0.0</v>
      </c>
      <c r="V2311" s="238">
        <v>0.0</v>
      </c>
      <c r="W2311" s="238">
        <v>0.0</v>
      </c>
      <c r="X2311" s="235" t="s">
        <v>628</v>
      </c>
      <c r="Z2311" s="244"/>
      <c r="AA2311" s="244"/>
      <c r="AB2311" s="244"/>
      <c r="AC2311" s="235" t="s">
        <v>678</v>
      </c>
      <c r="AD2311" s="235" t="s">
        <v>679</v>
      </c>
      <c r="AE2311" s="238">
        <v>562107.0</v>
      </c>
      <c r="AF2311" s="235" t="s">
        <v>631</v>
      </c>
      <c r="AG2311" s="244"/>
      <c r="AH2311" s="244"/>
      <c r="AI2311" s="245"/>
      <c r="AJ2311" s="245"/>
      <c r="AK2311" s="245"/>
      <c r="AL2311" s="245"/>
      <c r="AM2311" s="244"/>
      <c r="AN2311" s="244"/>
      <c r="AO2311" s="238">
        <v>0.0</v>
      </c>
      <c r="AP2311" s="238">
        <v>0.0</v>
      </c>
      <c r="AQ2311" s="235" t="s">
        <v>632</v>
      </c>
      <c r="AR2311" s="243">
        <v>1.68E11</v>
      </c>
      <c r="AS2311" s="235" t="s">
        <v>17109</v>
      </c>
      <c r="AT2311" s="235" t="s">
        <v>9</v>
      </c>
      <c r="AU2311" s="235" t="s">
        <v>634</v>
      </c>
      <c r="AV2311" s="246" t="s">
        <v>635</v>
      </c>
      <c r="AW2311" s="242"/>
      <c r="AX2311" s="242"/>
      <c r="AY2311" s="231"/>
      <c r="AZ2311" s="231"/>
      <c r="BA2311" s="227"/>
      <c r="BB2311" s="231"/>
      <c r="BC2311" s="227"/>
      <c r="BD2311" s="227"/>
      <c r="BE2311" s="227"/>
      <c r="BF2311" s="227"/>
    </row>
    <row r="2312">
      <c r="A2312" s="235" t="s">
        <v>17749</v>
      </c>
      <c r="C2312" s="235" t="s">
        <v>17750</v>
      </c>
      <c r="D2312" s="235" t="s">
        <v>17751</v>
      </c>
      <c r="E2312" s="243">
        <v>6.54E13</v>
      </c>
      <c r="F2312" s="245"/>
      <c r="G2312" s="235" t="s">
        <v>17752</v>
      </c>
      <c r="H2312" s="235" t="s">
        <v>17753</v>
      </c>
      <c r="I2312" s="235" t="s">
        <v>17753</v>
      </c>
      <c r="J2312" s="235" t="s">
        <v>17754</v>
      </c>
      <c r="K2312" s="235" t="s">
        <v>17755</v>
      </c>
      <c r="N2312" s="235" t="s">
        <v>42</v>
      </c>
      <c r="O2312" s="235" t="s">
        <v>204</v>
      </c>
      <c r="P2312" s="238">
        <v>1.0</v>
      </c>
      <c r="Q2312" s="235" t="s">
        <v>627</v>
      </c>
      <c r="R2312" s="238">
        <v>237.14</v>
      </c>
      <c r="S2312" s="238">
        <v>11.62</v>
      </c>
      <c r="T2312" s="238">
        <v>0.0</v>
      </c>
      <c r="U2312" s="238">
        <v>0.0</v>
      </c>
      <c r="V2312" s="238">
        <v>0.0</v>
      </c>
      <c r="W2312" s="238">
        <v>0.0</v>
      </c>
      <c r="X2312" s="235" t="s">
        <v>628</v>
      </c>
      <c r="Z2312" s="244"/>
      <c r="AA2312" s="244"/>
      <c r="AB2312" s="244"/>
      <c r="AC2312" s="235" t="s">
        <v>814</v>
      </c>
      <c r="AD2312" s="235" t="s">
        <v>698</v>
      </c>
      <c r="AE2312" s="238">
        <v>500072.0</v>
      </c>
      <c r="AF2312" s="235" t="s">
        <v>631</v>
      </c>
      <c r="AG2312" s="244"/>
      <c r="AH2312" s="244"/>
      <c r="AI2312" s="245"/>
      <c r="AJ2312" s="245"/>
      <c r="AK2312" s="245"/>
      <c r="AL2312" s="245"/>
      <c r="AM2312" s="244"/>
      <c r="AN2312" s="244"/>
      <c r="AO2312" s="238">
        <v>-4.74</v>
      </c>
      <c r="AP2312" s="238">
        <v>0.0</v>
      </c>
      <c r="AQ2312" s="235" t="s">
        <v>632</v>
      </c>
      <c r="AR2312" s="243">
        <v>2.02E11</v>
      </c>
      <c r="AS2312" s="235" t="s">
        <v>16626</v>
      </c>
      <c r="AT2312" s="235" t="s">
        <v>546</v>
      </c>
      <c r="AU2312" s="235" t="s">
        <v>634</v>
      </c>
      <c r="AV2312" s="246" t="s">
        <v>635</v>
      </c>
      <c r="AW2312" s="242"/>
      <c r="AX2312" s="242"/>
      <c r="AY2312" s="231"/>
      <c r="AZ2312" s="231"/>
      <c r="BA2312" s="227"/>
      <c r="BB2312" s="231"/>
      <c r="BC2312" s="227"/>
      <c r="BD2312" s="227"/>
      <c r="BE2312" s="227"/>
      <c r="BF2312" s="227"/>
    </row>
    <row r="2313">
      <c r="A2313" s="235" t="s">
        <v>17756</v>
      </c>
      <c r="C2313" s="235" t="s">
        <v>17757</v>
      </c>
      <c r="D2313" s="235" t="s">
        <v>17758</v>
      </c>
      <c r="E2313" s="243">
        <v>6.54E13</v>
      </c>
      <c r="F2313" s="245"/>
      <c r="G2313" s="235" t="s">
        <v>17759</v>
      </c>
      <c r="H2313" s="235" t="s">
        <v>17760</v>
      </c>
      <c r="I2313" s="235" t="s">
        <v>17760</v>
      </c>
      <c r="J2313" s="235" t="s">
        <v>17761</v>
      </c>
      <c r="K2313" s="235" t="s">
        <v>17762</v>
      </c>
      <c r="N2313" s="235" t="s">
        <v>58</v>
      </c>
      <c r="O2313" s="235" t="s">
        <v>349</v>
      </c>
      <c r="P2313" s="238">
        <v>1.0</v>
      </c>
      <c r="Q2313" s="235" t="s">
        <v>627</v>
      </c>
      <c r="R2313" s="238">
        <v>665.71</v>
      </c>
      <c r="S2313" s="238">
        <v>33.29</v>
      </c>
      <c r="T2313" s="238">
        <v>38.1</v>
      </c>
      <c r="U2313" s="238">
        <v>1.9</v>
      </c>
      <c r="V2313" s="238">
        <v>0.0</v>
      </c>
      <c r="W2313" s="238">
        <v>0.0</v>
      </c>
      <c r="X2313" s="235" t="s">
        <v>628</v>
      </c>
      <c r="Z2313" s="244"/>
      <c r="AA2313" s="244"/>
      <c r="AB2313" s="244"/>
      <c r="AC2313" s="235" t="s">
        <v>2394</v>
      </c>
      <c r="AD2313" s="235" t="s">
        <v>854</v>
      </c>
      <c r="AE2313" s="238">
        <v>403001.0</v>
      </c>
      <c r="AF2313" s="235" t="s">
        <v>631</v>
      </c>
      <c r="AG2313" s="244"/>
      <c r="AH2313" s="244"/>
      <c r="AI2313" s="245"/>
      <c r="AJ2313" s="245"/>
      <c r="AK2313" s="245"/>
      <c r="AL2313" s="245"/>
      <c r="AM2313" s="244"/>
      <c r="AN2313" s="244"/>
      <c r="AO2313" s="238">
        <v>0.0</v>
      </c>
      <c r="AP2313" s="238">
        <v>-38.1</v>
      </c>
      <c r="AQ2313" s="235" t="s">
        <v>632</v>
      </c>
      <c r="AR2313" s="243">
        <v>3.71E11</v>
      </c>
      <c r="AS2313" s="235" t="s">
        <v>15064</v>
      </c>
      <c r="AT2313" s="235" t="s">
        <v>11</v>
      </c>
      <c r="AU2313" s="235" t="s">
        <v>634</v>
      </c>
      <c r="AV2313" s="246" t="s">
        <v>635</v>
      </c>
      <c r="AW2313" s="242"/>
      <c r="AX2313" s="242"/>
      <c r="AY2313" s="231"/>
      <c r="AZ2313" s="231"/>
      <c r="BA2313" s="227"/>
      <c r="BB2313" s="231"/>
      <c r="BC2313" s="227"/>
      <c r="BD2313" s="227"/>
      <c r="BE2313" s="227"/>
      <c r="BF2313" s="227"/>
    </row>
    <row r="2314">
      <c r="A2314" s="235" t="s">
        <v>17763</v>
      </c>
      <c r="C2314" s="235" t="s">
        <v>17764</v>
      </c>
      <c r="D2314" s="235" t="s">
        <v>17765</v>
      </c>
      <c r="E2314" s="243">
        <v>6.53E13</v>
      </c>
      <c r="F2314" s="245"/>
      <c r="G2314" s="235" t="s">
        <v>17766</v>
      </c>
      <c r="H2314" s="235" t="s">
        <v>17767</v>
      </c>
      <c r="I2314" s="235" t="s">
        <v>17768</v>
      </c>
      <c r="J2314" s="235" t="s">
        <v>17769</v>
      </c>
      <c r="K2314" s="235" t="s">
        <v>17770</v>
      </c>
      <c r="N2314" s="235" t="s">
        <v>120</v>
      </c>
      <c r="O2314" s="235" t="s">
        <v>324</v>
      </c>
      <c r="P2314" s="238">
        <v>1.0</v>
      </c>
      <c r="Q2314" s="235" t="s">
        <v>627</v>
      </c>
      <c r="R2314" s="238">
        <v>270.48</v>
      </c>
      <c r="S2314" s="238">
        <v>13.25</v>
      </c>
      <c r="T2314" s="238">
        <v>0.0</v>
      </c>
      <c r="U2314" s="238">
        <v>0.0</v>
      </c>
      <c r="V2314" s="238">
        <v>0.0</v>
      </c>
      <c r="W2314" s="238">
        <v>0.0</v>
      </c>
      <c r="X2314" s="235" t="s">
        <v>628</v>
      </c>
      <c r="Z2314" s="244"/>
      <c r="AA2314" s="244"/>
      <c r="AB2314" s="244"/>
      <c r="AC2314" s="235" t="s">
        <v>1456</v>
      </c>
      <c r="AD2314" s="235" t="s">
        <v>928</v>
      </c>
      <c r="AE2314" s="238">
        <v>122505.0</v>
      </c>
      <c r="AF2314" s="235" t="s">
        <v>631</v>
      </c>
      <c r="AG2314" s="244"/>
      <c r="AH2314" s="244"/>
      <c r="AI2314" s="245"/>
      <c r="AJ2314" s="245"/>
      <c r="AK2314" s="245"/>
      <c r="AL2314" s="245"/>
      <c r="AM2314" s="244"/>
      <c r="AN2314" s="244"/>
      <c r="AO2314" s="238">
        <v>-5.41</v>
      </c>
      <c r="AP2314" s="238">
        <v>0.0</v>
      </c>
      <c r="AQ2314" s="235" t="s">
        <v>632</v>
      </c>
      <c r="AR2314" s="243">
        <v>3.71E11</v>
      </c>
      <c r="AS2314" s="235" t="s">
        <v>16626</v>
      </c>
      <c r="AT2314" s="235" t="s">
        <v>533</v>
      </c>
      <c r="AU2314" s="235" t="s">
        <v>634</v>
      </c>
      <c r="AV2314" s="246" t="s">
        <v>635</v>
      </c>
      <c r="AW2314" s="242"/>
      <c r="AX2314" s="242"/>
      <c r="AY2314" s="231"/>
      <c r="AZ2314" s="231"/>
      <c r="BA2314" s="227"/>
      <c r="BB2314" s="231"/>
      <c r="BC2314" s="227"/>
      <c r="BD2314" s="227"/>
      <c r="BE2314" s="227"/>
      <c r="BF2314" s="227"/>
    </row>
    <row r="2315">
      <c r="A2315" s="235" t="s">
        <v>17771</v>
      </c>
      <c r="C2315" s="235" t="s">
        <v>17772</v>
      </c>
      <c r="D2315" s="235" t="s">
        <v>17773</v>
      </c>
      <c r="E2315" s="243">
        <v>6.53E13</v>
      </c>
      <c r="F2315" s="245"/>
      <c r="G2315" s="235" t="s">
        <v>17774</v>
      </c>
      <c r="H2315" s="235" t="s">
        <v>17775</v>
      </c>
      <c r="I2315" s="235" t="s">
        <v>17775</v>
      </c>
      <c r="J2315" s="235" t="s">
        <v>17776</v>
      </c>
      <c r="K2315" s="235" t="s">
        <v>17777</v>
      </c>
      <c r="N2315" s="235" t="s">
        <v>106</v>
      </c>
      <c r="O2315" s="235" t="s">
        <v>338</v>
      </c>
      <c r="P2315" s="238">
        <v>1.0</v>
      </c>
      <c r="Q2315" s="235" t="s">
        <v>627</v>
      </c>
      <c r="R2315" s="238">
        <v>270.48</v>
      </c>
      <c r="S2315" s="238">
        <v>13.52</v>
      </c>
      <c r="T2315" s="238">
        <v>0.0</v>
      </c>
      <c r="U2315" s="238">
        <v>0.0</v>
      </c>
      <c r="V2315" s="238">
        <v>0.0</v>
      </c>
      <c r="W2315" s="238">
        <v>0.0</v>
      </c>
      <c r="X2315" s="235" t="s">
        <v>628</v>
      </c>
      <c r="Z2315" s="244"/>
      <c r="AA2315" s="244"/>
      <c r="AB2315" s="244"/>
      <c r="AC2315" s="235" t="s">
        <v>17778</v>
      </c>
      <c r="AD2315" s="235" t="s">
        <v>1151</v>
      </c>
      <c r="AE2315" s="238">
        <v>712136.0</v>
      </c>
      <c r="AF2315" s="235" t="s">
        <v>631</v>
      </c>
      <c r="AG2315" s="244"/>
      <c r="AH2315" s="244"/>
      <c r="AI2315" s="245"/>
      <c r="AJ2315" s="245"/>
      <c r="AK2315" s="245"/>
      <c r="AL2315" s="245"/>
      <c r="AM2315" s="244"/>
      <c r="AN2315" s="244"/>
      <c r="AO2315" s="238">
        <v>0.0</v>
      </c>
      <c r="AP2315" s="238">
        <v>0.0</v>
      </c>
      <c r="AQ2315" s="235" t="s">
        <v>632</v>
      </c>
      <c r="AR2315" s="243">
        <v>3.71E11</v>
      </c>
      <c r="AS2315" s="235" t="s">
        <v>12693</v>
      </c>
      <c r="AT2315" s="235" t="s">
        <v>14</v>
      </c>
      <c r="AU2315" s="235" t="s">
        <v>634</v>
      </c>
      <c r="AV2315" s="246" t="s">
        <v>635</v>
      </c>
      <c r="AW2315" s="242"/>
      <c r="AX2315" s="242"/>
      <c r="AY2315" s="231"/>
      <c r="AZ2315" s="231"/>
      <c r="BA2315" s="227"/>
      <c r="BB2315" s="231"/>
      <c r="BC2315" s="227"/>
      <c r="BD2315" s="227"/>
      <c r="BE2315" s="227"/>
      <c r="BF2315" s="227"/>
    </row>
    <row r="2316">
      <c r="A2316" s="235" t="s">
        <v>17779</v>
      </c>
      <c r="C2316" s="235" t="s">
        <v>17780</v>
      </c>
      <c r="D2316" s="235" t="s">
        <v>17781</v>
      </c>
      <c r="E2316" s="243">
        <v>6.52E13</v>
      </c>
      <c r="F2316" s="245"/>
      <c r="G2316" s="235" t="s">
        <v>17782</v>
      </c>
      <c r="H2316" s="235" t="s">
        <v>17783</v>
      </c>
      <c r="I2316" s="235" t="s">
        <v>17783</v>
      </c>
      <c r="J2316" s="235" t="s">
        <v>17784</v>
      </c>
      <c r="K2316" s="235" t="s">
        <v>17785</v>
      </c>
      <c r="N2316" s="235" t="s">
        <v>130</v>
      </c>
      <c r="O2316" s="235" t="s">
        <v>707</v>
      </c>
      <c r="P2316" s="238">
        <v>1.0</v>
      </c>
      <c r="Q2316" s="235" t="s">
        <v>627</v>
      </c>
      <c r="R2316" s="238">
        <v>246.66</v>
      </c>
      <c r="S2316" s="238">
        <v>12.34</v>
      </c>
      <c r="T2316" s="238">
        <v>0.0</v>
      </c>
      <c r="U2316" s="238">
        <v>0.0</v>
      </c>
      <c r="V2316" s="238">
        <v>0.0</v>
      </c>
      <c r="W2316" s="238">
        <v>0.0</v>
      </c>
      <c r="X2316" s="235" t="s">
        <v>628</v>
      </c>
      <c r="Z2316" s="244"/>
      <c r="AA2316" s="244"/>
      <c r="AB2316" s="244"/>
      <c r="AC2316" s="235" t="s">
        <v>2092</v>
      </c>
      <c r="AD2316" s="235" t="s">
        <v>845</v>
      </c>
      <c r="AE2316" s="238">
        <v>411001.0</v>
      </c>
      <c r="AF2316" s="235" t="s">
        <v>631</v>
      </c>
      <c r="AG2316" s="244"/>
      <c r="AH2316" s="244"/>
      <c r="AI2316" s="245"/>
      <c r="AJ2316" s="245"/>
      <c r="AK2316" s="245"/>
      <c r="AL2316" s="245"/>
      <c r="AM2316" s="244"/>
      <c r="AN2316" s="244"/>
      <c r="AO2316" s="238">
        <v>0.0</v>
      </c>
      <c r="AP2316" s="238">
        <v>0.0</v>
      </c>
      <c r="AQ2316" s="235" t="s">
        <v>632</v>
      </c>
      <c r="AR2316" s="243">
        <v>3.71E11</v>
      </c>
      <c r="AS2316" s="235" t="s">
        <v>16626</v>
      </c>
      <c r="AT2316" s="235" t="s">
        <v>546</v>
      </c>
      <c r="AU2316" s="235" t="s">
        <v>634</v>
      </c>
      <c r="AV2316" s="246" t="s">
        <v>635</v>
      </c>
      <c r="AW2316" s="242"/>
      <c r="AX2316" s="242"/>
      <c r="AY2316" s="231"/>
      <c r="AZ2316" s="231"/>
      <c r="BA2316" s="227"/>
      <c r="BB2316" s="231"/>
      <c r="BC2316" s="227"/>
      <c r="BD2316" s="227"/>
      <c r="BE2316" s="227"/>
      <c r="BF2316" s="227"/>
    </row>
    <row r="2317">
      <c r="A2317" s="235" t="s">
        <v>17786</v>
      </c>
      <c r="C2317" s="235" t="s">
        <v>17787</v>
      </c>
      <c r="D2317" s="235" t="s">
        <v>17788</v>
      </c>
      <c r="E2317" s="243">
        <v>6.53E13</v>
      </c>
      <c r="F2317" s="245"/>
      <c r="G2317" s="235" t="s">
        <v>17789</v>
      </c>
      <c r="H2317" s="235" t="s">
        <v>17790</v>
      </c>
      <c r="I2317" s="235" t="s">
        <v>17790</v>
      </c>
      <c r="J2317" s="235" t="s">
        <v>17791</v>
      </c>
      <c r="K2317" s="235" t="s">
        <v>17792</v>
      </c>
      <c r="N2317" s="235" t="s">
        <v>1346</v>
      </c>
      <c r="O2317" s="235" t="s">
        <v>1347</v>
      </c>
      <c r="P2317" s="238">
        <v>1.0</v>
      </c>
      <c r="Q2317" s="235" t="s">
        <v>627</v>
      </c>
      <c r="R2317" s="238">
        <v>256.19</v>
      </c>
      <c r="S2317" s="238">
        <v>12.81</v>
      </c>
      <c r="T2317" s="238">
        <v>0.0</v>
      </c>
      <c r="U2317" s="238">
        <v>0.0</v>
      </c>
      <c r="V2317" s="238">
        <v>0.0</v>
      </c>
      <c r="W2317" s="238">
        <v>0.0</v>
      </c>
      <c r="X2317" s="235" t="s">
        <v>628</v>
      </c>
      <c r="Z2317" s="244"/>
      <c r="AA2317" s="244"/>
      <c r="AB2317" s="244"/>
      <c r="AC2317" s="235" t="s">
        <v>1287</v>
      </c>
      <c r="AD2317" s="235" t="s">
        <v>630</v>
      </c>
      <c r="AE2317" s="238">
        <v>201001.0</v>
      </c>
      <c r="AF2317" s="235" t="s">
        <v>631</v>
      </c>
      <c r="AG2317" s="244"/>
      <c r="AH2317" s="244"/>
      <c r="AI2317" s="245"/>
      <c r="AJ2317" s="245"/>
      <c r="AK2317" s="245"/>
      <c r="AL2317" s="245"/>
      <c r="AM2317" s="244"/>
      <c r="AN2317" s="244"/>
      <c r="AO2317" s="238">
        <v>0.0</v>
      </c>
      <c r="AP2317" s="238">
        <v>0.0</v>
      </c>
      <c r="AQ2317" s="235" t="s">
        <v>632</v>
      </c>
      <c r="AR2317" s="243">
        <v>3.71E11</v>
      </c>
      <c r="AS2317" s="235" t="s">
        <v>12693</v>
      </c>
      <c r="AT2317" s="235" t="s">
        <v>156</v>
      </c>
      <c r="AU2317" s="235" t="s">
        <v>634</v>
      </c>
      <c r="AV2317" s="246" t="s">
        <v>635</v>
      </c>
      <c r="AW2317" s="242"/>
      <c r="AX2317" s="242"/>
      <c r="AY2317" s="231"/>
      <c r="AZ2317" s="231"/>
      <c r="BA2317" s="227"/>
      <c r="BB2317" s="231"/>
      <c r="BC2317" s="227"/>
      <c r="BD2317" s="227"/>
      <c r="BE2317" s="227"/>
      <c r="BF2317" s="227"/>
    </row>
    <row r="2318">
      <c r="A2318" s="235" t="s">
        <v>17793</v>
      </c>
      <c r="C2318" s="235" t="s">
        <v>17794</v>
      </c>
      <c r="D2318" s="235" t="s">
        <v>17795</v>
      </c>
      <c r="E2318" s="243">
        <v>6.54E13</v>
      </c>
      <c r="F2318" s="245"/>
      <c r="G2318" s="235" t="s">
        <v>17796</v>
      </c>
      <c r="H2318" s="235" t="s">
        <v>17797</v>
      </c>
      <c r="I2318" s="235" t="s">
        <v>17798</v>
      </c>
      <c r="J2318" s="235" t="s">
        <v>17799</v>
      </c>
      <c r="K2318" s="235" t="s">
        <v>17800</v>
      </c>
      <c r="N2318" s="235" t="s">
        <v>842</v>
      </c>
      <c r="O2318" s="235" t="s">
        <v>843</v>
      </c>
      <c r="P2318" s="238">
        <v>1.0</v>
      </c>
      <c r="Q2318" s="235" t="s">
        <v>627</v>
      </c>
      <c r="R2318" s="238">
        <v>270.48</v>
      </c>
      <c r="S2318" s="238">
        <v>13.52</v>
      </c>
      <c r="T2318" s="238">
        <v>0.0</v>
      </c>
      <c r="U2318" s="238">
        <v>0.0</v>
      </c>
      <c r="V2318" s="238">
        <v>0.0</v>
      </c>
      <c r="W2318" s="238">
        <v>0.0</v>
      </c>
      <c r="X2318" s="235" t="s">
        <v>628</v>
      </c>
      <c r="Z2318" s="244"/>
      <c r="AA2318" s="244"/>
      <c r="AB2318" s="244"/>
      <c r="AC2318" s="235" t="s">
        <v>687</v>
      </c>
      <c r="AD2318" s="235" t="s">
        <v>666</v>
      </c>
      <c r="AE2318" s="238">
        <v>600062.0</v>
      </c>
      <c r="AF2318" s="235" t="s">
        <v>631</v>
      </c>
      <c r="AG2318" s="244"/>
      <c r="AH2318" s="244"/>
      <c r="AI2318" s="245"/>
      <c r="AJ2318" s="245"/>
      <c r="AK2318" s="245"/>
      <c r="AL2318" s="245"/>
      <c r="AM2318" s="244"/>
      <c r="AN2318" s="244"/>
      <c r="AO2318" s="238">
        <v>0.0</v>
      </c>
      <c r="AP2318" s="238">
        <v>0.0</v>
      </c>
      <c r="AQ2318" s="235" t="s">
        <v>632</v>
      </c>
      <c r="AR2318" s="243">
        <v>3.71E11</v>
      </c>
      <c r="AS2318" s="235" t="s">
        <v>16626</v>
      </c>
      <c r="AT2318" s="235" t="s">
        <v>156</v>
      </c>
      <c r="AU2318" s="235" t="s">
        <v>634</v>
      </c>
      <c r="AV2318" s="246" t="s">
        <v>635</v>
      </c>
      <c r="AW2318" s="242"/>
      <c r="AX2318" s="242"/>
      <c r="AY2318" s="231"/>
      <c r="AZ2318" s="231"/>
      <c r="BA2318" s="227"/>
      <c r="BB2318" s="231"/>
      <c r="BC2318" s="227"/>
      <c r="BD2318" s="227"/>
      <c r="BE2318" s="227"/>
      <c r="BF2318" s="227"/>
    </row>
    <row r="2319">
      <c r="A2319" s="235" t="s">
        <v>17801</v>
      </c>
      <c r="C2319" s="235" t="s">
        <v>17802</v>
      </c>
      <c r="D2319" s="235" t="s">
        <v>17803</v>
      </c>
      <c r="E2319" s="243">
        <v>6.53E13</v>
      </c>
      <c r="F2319" s="245"/>
      <c r="G2319" s="235" t="s">
        <v>17804</v>
      </c>
      <c r="H2319" s="235" t="s">
        <v>17805</v>
      </c>
      <c r="I2319" s="235" t="s">
        <v>17805</v>
      </c>
      <c r="J2319" s="235" t="s">
        <v>17806</v>
      </c>
      <c r="K2319" s="235" t="s">
        <v>17807</v>
      </c>
      <c r="N2319" s="235" t="s">
        <v>127</v>
      </c>
      <c r="O2319" s="235" t="s">
        <v>794</v>
      </c>
      <c r="P2319" s="238">
        <v>1.0</v>
      </c>
      <c r="Q2319" s="235" t="s">
        <v>627</v>
      </c>
      <c r="R2319" s="238">
        <v>270.48</v>
      </c>
      <c r="S2319" s="238">
        <v>13.52</v>
      </c>
      <c r="T2319" s="238">
        <v>0.0</v>
      </c>
      <c r="U2319" s="238">
        <v>0.0</v>
      </c>
      <c r="V2319" s="238">
        <v>0.0</v>
      </c>
      <c r="W2319" s="238">
        <v>0.0</v>
      </c>
      <c r="X2319" s="235" t="s">
        <v>628</v>
      </c>
      <c r="Z2319" s="244"/>
      <c r="AA2319" s="244"/>
      <c r="AB2319" s="244"/>
      <c r="AC2319" s="235" t="s">
        <v>687</v>
      </c>
      <c r="AD2319" s="235" t="s">
        <v>666</v>
      </c>
      <c r="AE2319" s="238">
        <v>600043.0</v>
      </c>
      <c r="AF2319" s="235" t="s">
        <v>631</v>
      </c>
      <c r="AG2319" s="244"/>
      <c r="AH2319" s="244"/>
      <c r="AI2319" s="245"/>
      <c r="AJ2319" s="245"/>
      <c r="AK2319" s="245"/>
      <c r="AL2319" s="245"/>
      <c r="AM2319" s="244"/>
      <c r="AN2319" s="244"/>
      <c r="AO2319" s="238">
        <v>0.0</v>
      </c>
      <c r="AP2319" s="238">
        <v>0.0</v>
      </c>
      <c r="AQ2319" s="235" t="s">
        <v>632</v>
      </c>
      <c r="AR2319" s="243">
        <v>3.71E11</v>
      </c>
      <c r="AS2319" s="235" t="s">
        <v>16626</v>
      </c>
      <c r="AT2319" s="235" t="s">
        <v>156</v>
      </c>
      <c r="AU2319" s="235" t="s">
        <v>634</v>
      </c>
      <c r="AV2319" s="246" t="s">
        <v>635</v>
      </c>
      <c r="AW2319" s="242"/>
      <c r="AX2319" s="242"/>
      <c r="AY2319" s="231"/>
      <c r="AZ2319" s="231"/>
      <c r="BA2319" s="227"/>
      <c r="BB2319" s="231"/>
      <c r="BC2319" s="227"/>
      <c r="BD2319" s="227"/>
      <c r="BE2319" s="227"/>
      <c r="BF2319" s="227"/>
    </row>
    <row r="2320">
      <c r="A2320" s="235" t="s">
        <v>17808</v>
      </c>
      <c r="C2320" s="235" t="s">
        <v>17809</v>
      </c>
      <c r="D2320" s="235" t="s">
        <v>17810</v>
      </c>
      <c r="E2320" s="243">
        <v>6.54E13</v>
      </c>
      <c r="F2320" s="245"/>
      <c r="G2320" s="235" t="s">
        <v>17811</v>
      </c>
      <c r="H2320" s="235" t="s">
        <v>17812</v>
      </c>
      <c r="I2320" s="235" t="s">
        <v>17812</v>
      </c>
      <c r="J2320" s="235" t="s">
        <v>17813</v>
      </c>
      <c r="K2320" s="235" t="s">
        <v>17814</v>
      </c>
      <c r="N2320" s="235" t="s">
        <v>139</v>
      </c>
      <c r="O2320" s="235" t="s">
        <v>2091</v>
      </c>
      <c r="P2320" s="238">
        <v>1.0</v>
      </c>
      <c r="Q2320" s="235" t="s">
        <v>627</v>
      </c>
      <c r="R2320" s="238">
        <v>270.48</v>
      </c>
      <c r="S2320" s="238">
        <v>13.52</v>
      </c>
      <c r="T2320" s="238">
        <v>0.0</v>
      </c>
      <c r="U2320" s="238">
        <v>0.0</v>
      </c>
      <c r="V2320" s="238">
        <v>0.0</v>
      </c>
      <c r="W2320" s="238">
        <v>0.0</v>
      </c>
      <c r="X2320" s="235" t="s">
        <v>628</v>
      </c>
      <c r="Z2320" s="244"/>
      <c r="AA2320" s="244"/>
      <c r="AB2320" s="244"/>
      <c r="AC2320" s="235" t="s">
        <v>678</v>
      </c>
      <c r="AD2320" s="235" t="s">
        <v>679</v>
      </c>
      <c r="AE2320" s="238">
        <v>560100.0</v>
      </c>
      <c r="AF2320" s="235" t="s">
        <v>631</v>
      </c>
      <c r="AG2320" s="244"/>
      <c r="AH2320" s="244"/>
      <c r="AI2320" s="245"/>
      <c r="AJ2320" s="245"/>
      <c r="AK2320" s="245"/>
      <c r="AL2320" s="245"/>
      <c r="AM2320" s="244"/>
      <c r="AN2320" s="244"/>
      <c r="AO2320" s="238">
        <v>0.0</v>
      </c>
      <c r="AP2320" s="238">
        <v>0.0</v>
      </c>
      <c r="AQ2320" s="235" t="s">
        <v>632</v>
      </c>
      <c r="AR2320" s="243">
        <v>2.02E11</v>
      </c>
      <c r="AS2320" s="235" t="s">
        <v>16626</v>
      </c>
      <c r="AT2320" s="235" t="s">
        <v>16</v>
      </c>
      <c r="AU2320" s="235" t="s">
        <v>634</v>
      </c>
      <c r="AV2320" s="246" t="s">
        <v>635</v>
      </c>
      <c r="AW2320" s="242"/>
      <c r="AX2320" s="242"/>
      <c r="AY2320" s="231"/>
      <c r="AZ2320" s="231"/>
      <c r="BA2320" s="227"/>
      <c r="BB2320" s="231"/>
      <c r="BC2320" s="227"/>
      <c r="BD2320" s="227"/>
      <c r="BE2320" s="227"/>
      <c r="BF2320" s="227"/>
    </row>
    <row r="2321">
      <c r="A2321" s="235" t="s">
        <v>17815</v>
      </c>
      <c r="C2321" s="235" t="s">
        <v>17816</v>
      </c>
      <c r="D2321" s="235" t="s">
        <v>17817</v>
      </c>
      <c r="E2321" s="243">
        <v>6.54E13</v>
      </c>
      <c r="F2321" s="245"/>
      <c r="G2321" s="235" t="s">
        <v>17818</v>
      </c>
      <c r="H2321" s="235" t="s">
        <v>17819</v>
      </c>
      <c r="I2321" s="235" t="s">
        <v>17819</v>
      </c>
      <c r="J2321" s="235" t="s">
        <v>17820</v>
      </c>
      <c r="K2321" s="235" t="s">
        <v>17821</v>
      </c>
      <c r="N2321" s="235" t="s">
        <v>154</v>
      </c>
      <c r="O2321" s="235" t="s">
        <v>766</v>
      </c>
      <c r="P2321" s="238">
        <v>1.0</v>
      </c>
      <c r="Q2321" s="235" t="s">
        <v>627</v>
      </c>
      <c r="R2321" s="238">
        <v>500.96</v>
      </c>
      <c r="S2321" s="238">
        <v>25.04</v>
      </c>
      <c r="T2321" s="238">
        <v>0.0</v>
      </c>
      <c r="U2321" s="238">
        <v>0.0</v>
      </c>
      <c r="V2321" s="238">
        <v>0.0</v>
      </c>
      <c r="W2321" s="238">
        <v>0.0</v>
      </c>
      <c r="X2321" s="235" t="s">
        <v>628</v>
      </c>
      <c r="Z2321" s="244"/>
      <c r="AA2321" s="244"/>
      <c r="AB2321" s="244"/>
      <c r="AC2321" s="235" t="s">
        <v>1058</v>
      </c>
      <c r="AD2321" s="235" t="s">
        <v>845</v>
      </c>
      <c r="AE2321" s="238">
        <v>400059.0</v>
      </c>
      <c r="AF2321" s="235" t="s">
        <v>631</v>
      </c>
      <c r="AG2321" s="244"/>
      <c r="AH2321" s="244"/>
      <c r="AI2321" s="245"/>
      <c r="AJ2321" s="245"/>
      <c r="AK2321" s="245"/>
      <c r="AL2321" s="245"/>
      <c r="AM2321" s="244"/>
      <c r="AN2321" s="244"/>
      <c r="AO2321" s="238">
        <v>0.0</v>
      </c>
      <c r="AP2321" s="238">
        <v>0.0</v>
      </c>
      <c r="AQ2321" s="235" t="s">
        <v>632</v>
      </c>
      <c r="AR2321" s="243">
        <v>1.68E11</v>
      </c>
      <c r="AS2321" s="235" t="s">
        <v>17109</v>
      </c>
      <c r="AT2321" s="235" t="s">
        <v>17</v>
      </c>
      <c r="AU2321" s="235" t="s">
        <v>634</v>
      </c>
      <c r="AV2321" s="246" t="s">
        <v>635</v>
      </c>
      <c r="AW2321" s="242"/>
      <c r="AX2321" s="242"/>
      <c r="AY2321" s="231"/>
      <c r="AZ2321" s="231"/>
      <c r="BA2321" s="227"/>
      <c r="BB2321" s="231"/>
      <c r="BC2321" s="227"/>
      <c r="BD2321" s="227"/>
      <c r="BE2321" s="227"/>
      <c r="BF2321" s="227"/>
    </row>
    <row r="2322">
      <c r="A2322" s="235" t="s">
        <v>17822</v>
      </c>
      <c r="C2322" s="235" t="s">
        <v>17823</v>
      </c>
      <c r="D2322" s="235" t="s">
        <v>17824</v>
      </c>
      <c r="E2322" s="243">
        <v>6.53E13</v>
      </c>
      <c r="F2322" s="245"/>
      <c r="G2322" s="235" t="s">
        <v>17825</v>
      </c>
      <c r="H2322" s="235" t="s">
        <v>17826</v>
      </c>
      <c r="I2322" s="235" t="s">
        <v>17827</v>
      </c>
      <c r="J2322" s="235" t="s">
        <v>17828</v>
      </c>
      <c r="K2322" s="235" t="s">
        <v>17829</v>
      </c>
      <c r="N2322" s="235" t="s">
        <v>127</v>
      </c>
      <c r="O2322" s="235" t="s">
        <v>794</v>
      </c>
      <c r="P2322" s="238">
        <v>1.0</v>
      </c>
      <c r="Q2322" s="235" t="s">
        <v>627</v>
      </c>
      <c r="R2322" s="238">
        <v>270.48</v>
      </c>
      <c r="S2322" s="238">
        <v>13.25</v>
      </c>
      <c r="T2322" s="238">
        <v>0.0</v>
      </c>
      <c r="U2322" s="238">
        <v>0.0</v>
      </c>
      <c r="V2322" s="238">
        <v>0.0</v>
      </c>
      <c r="W2322" s="238">
        <v>0.0</v>
      </c>
      <c r="X2322" s="235" t="s">
        <v>628</v>
      </c>
      <c r="Z2322" s="244"/>
      <c r="AA2322" s="244"/>
      <c r="AB2322" s="244"/>
      <c r="AC2322" s="235" t="s">
        <v>17830</v>
      </c>
      <c r="AD2322" s="235" t="s">
        <v>666</v>
      </c>
      <c r="AE2322" s="238">
        <v>624614.0</v>
      </c>
      <c r="AF2322" s="235" t="s">
        <v>631</v>
      </c>
      <c r="AG2322" s="244"/>
      <c r="AH2322" s="244"/>
      <c r="AI2322" s="245"/>
      <c r="AJ2322" s="245"/>
      <c r="AK2322" s="245"/>
      <c r="AL2322" s="245"/>
      <c r="AM2322" s="244"/>
      <c r="AN2322" s="244"/>
      <c r="AO2322" s="238">
        <v>-5.41</v>
      </c>
      <c r="AP2322" s="238">
        <v>0.0</v>
      </c>
      <c r="AQ2322" s="235" t="s">
        <v>632</v>
      </c>
      <c r="AR2322" s="243">
        <v>3.71E11</v>
      </c>
      <c r="AS2322" s="235" t="s">
        <v>13822</v>
      </c>
      <c r="AT2322" s="235" t="s">
        <v>11</v>
      </c>
      <c r="AU2322" s="235" t="s">
        <v>634</v>
      </c>
      <c r="AV2322" s="246" t="s">
        <v>635</v>
      </c>
      <c r="AW2322" s="242"/>
      <c r="AX2322" s="242"/>
      <c r="AY2322" s="231"/>
      <c r="AZ2322" s="231"/>
      <c r="BA2322" s="227"/>
      <c r="BB2322" s="231"/>
      <c r="BC2322" s="227"/>
      <c r="BD2322" s="227"/>
      <c r="BE2322" s="227"/>
      <c r="BF2322" s="227"/>
    </row>
    <row r="2323">
      <c r="A2323" s="235" t="s">
        <v>17831</v>
      </c>
      <c r="C2323" s="235" t="s">
        <v>17832</v>
      </c>
      <c r="D2323" s="235" t="s">
        <v>17833</v>
      </c>
      <c r="E2323" s="243">
        <v>6.52E13</v>
      </c>
      <c r="F2323" s="245"/>
      <c r="G2323" s="235" t="s">
        <v>17834</v>
      </c>
      <c r="H2323" s="235" t="s">
        <v>17835</v>
      </c>
      <c r="I2323" s="235" t="s">
        <v>17836</v>
      </c>
      <c r="J2323" s="235" t="s">
        <v>17837</v>
      </c>
      <c r="K2323" s="235" t="s">
        <v>17838</v>
      </c>
      <c r="N2323" s="235" t="s">
        <v>144</v>
      </c>
      <c r="O2323" s="235" t="s">
        <v>232</v>
      </c>
      <c r="P2323" s="238">
        <v>1.0</v>
      </c>
      <c r="Q2323" s="235" t="s">
        <v>627</v>
      </c>
      <c r="R2323" s="238">
        <v>665.72</v>
      </c>
      <c r="S2323" s="238">
        <v>33.28</v>
      </c>
      <c r="T2323" s="238">
        <v>0.0</v>
      </c>
      <c r="U2323" s="238">
        <v>0.0</v>
      </c>
      <c r="V2323" s="238">
        <v>0.0</v>
      </c>
      <c r="W2323" s="238">
        <v>0.0</v>
      </c>
      <c r="X2323" s="235" t="s">
        <v>628</v>
      </c>
      <c r="Z2323" s="244"/>
      <c r="AA2323" s="244"/>
      <c r="AB2323" s="244"/>
      <c r="AC2323" s="235" t="s">
        <v>17839</v>
      </c>
      <c r="AD2323" s="235" t="s">
        <v>845</v>
      </c>
      <c r="AE2323" s="238">
        <v>415001.0</v>
      </c>
      <c r="AF2323" s="235" t="s">
        <v>631</v>
      </c>
      <c r="AG2323" s="244"/>
      <c r="AH2323" s="244"/>
      <c r="AI2323" s="245"/>
      <c r="AJ2323" s="245"/>
      <c r="AK2323" s="245"/>
      <c r="AL2323" s="245"/>
      <c r="AM2323" s="244"/>
      <c r="AN2323" s="244"/>
      <c r="AO2323" s="238">
        <v>0.0</v>
      </c>
      <c r="AP2323" s="238">
        <v>0.0</v>
      </c>
      <c r="AQ2323" s="235" t="s">
        <v>632</v>
      </c>
      <c r="AR2323" s="243">
        <v>3.71E11</v>
      </c>
      <c r="AS2323" s="235" t="s">
        <v>12693</v>
      </c>
      <c r="AT2323" s="235" t="s">
        <v>16</v>
      </c>
      <c r="AU2323" s="235" t="s">
        <v>634</v>
      </c>
      <c r="AV2323" s="246" t="s">
        <v>635</v>
      </c>
      <c r="AW2323" s="242"/>
      <c r="AX2323" s="242"/>
      <c r="AY2323" s="231"/>
      <c r="AZ2323" s="231"/>
      <c r="BA2323" s="227"/>
      <c r="BB2323" s="231"/>
      <c r="BC2323" s="227"/>
      <c r="BD2323" s="227"/>
      <c r="BE2323" s="227"/>
      <c r="BF2323" s="227"/>
    </row>
    <row r="2324">
      <c r="A2324" s="235" t="s">
        <v>17840</v>
      </c>
      <c r="C2324" s="235" t="s">
        <v>17841</v>
      </c>
      <c r="D2324" s="235" t="s">
        <v>17842</v>
      </c>
      <c r="E2324" s="243">
        <v>6.53E13</v>
      </c>
      <c r="F2324" s="245"/>
      <c r="G2324" s="235" t="s">
        <v>17843</v>
      </c>
      <c r="H2324" s="235" t="s">
        <v>17844</v>
      </c>
      <c r="I2324" s="235" t="s">
        <v>17844</v>
      </c>
      <c r="J2324" s="235" t="s">
        <v>17845</v>
      </c>
      <c r="K2324" s="235" t="s">
        <v>17846</v>
      </c>
      <c r="N2324" s="235" t="s">
        <v>541</v>
      </c>
      <c r="O2324" s="235" t="s">
        <v>664</v>
      </c>
      <c r="P2324" s="238">
        <v>1.0</v>
      </c>
      <c r="Q2324" s="235" t="s">
        <v>627</v>
      </c>
      <c r="R2324" s="238">
        <v>668.64</v>
      </c>
      <c r="S2324" s="238">
        <v>120.36</v>
      </c>
      <c r="T2324" s="238">
        <v>0.0</v>
      </c>
      <c r="U2324" s="238">
        <v>0.0</v>
      </c>
      <c r="V2324" s="238">
        <v>0.0</v>
      </c>
      <c r="W2324" s="238">
        <v>0.0</v>
      </c>
      <c r="X2324" s="235" t="s">
        <v>628</v>
      </c>
      <c r="Z2324" s="244"/>
      <c r="AA2324" s="244"/>
      <c r="AB2324" s="244"/>
      <c r="AC2324" s="235" t="s">
        <v>687</v>
      </c>
      <c r="AD2324" s="235" t="s">
        <v>666</v>
      </c>
      <c r="AE2324" s="238">
        <v>600126.0</v>
      </c>
      <c r="AF2324" s="235" t="s">
        <v>631</v>
      </c>
      <c r="AG2324" s="244"/>
      <c r="AH2324" s="244"/>
      <c r="AI2324" s="245"/>
      <c r="AJ2324" s="245"/>
      <c r="AK2324" s="245"/>
      <c r="AL2324" s="245"/>
      <c r="AM2324" s="244"/>
      <c r="AN2324" s="244"/>
      <c r="AO2324" s="238">
        <v>0.0</v>
      </c>
      <c r="AP2324" s="238">
        <v>0.0</v>
      </c>
      <c r="AQ2324" s="235" t="s">
        <v>632</v>
      </c>
      <c r="AR2324" s="243">
        <v>1.68E11</v>
      </c>
      <c r="AS2324" s="235" t="s">
        <v>16626</v>
      </c>
      <c r="AT2324" s="235" t="s">
        <v>11</v>
      </c>
      <c r="AU2324" s="235" t="s">
        <v>634</v>
      </c>
      <c r="AV2324" s="246" t="s">
        <v>635</v>
      </c>
      <c r="AW2324" s="242"/>
      <c r="AX2324" s="242"/>
      <c r="AY2324" s="231"/>
      <c r="AZ2324" s="231"/>
      <c r="BA2324" s="227"/>
      <c r="BB2324" s="231"/>
      <c r="BC2324" s="227"/>
      <c r="BD2324" s="227"/>
      <c r="BE2324" s="227"/>
      <c r="BF2324" s="227"/>
    </row>
    <row r="2325">
      <c r="A2325" s="235" t="s">
        <v>17847</v>
      </c>
      <c r="C2325" s="235" t="s">
        <v>17848</v>
      </c>
      <c r="D2325" s="235" t="s">
        <v>17849</v>
      </c>
      <c r="E2325" s="243">
        <v>6.52E13</v>
      </c>
      <c r="F2325" s="245"/>
      <c r="G2325" s="235" t="s">
        <v>17850</v>
      </c>
      <c r="H2325" s="235" t="s">
        <v>17851</v>
      </c>
      <c r="I2325" s="235" t="s">
        <v>17851</v>
      </c>
      <c r="J2325" s="235" t="s">
        <v>17852</v>
      </c>
      <c r="K2325" s="235" t="s">
        <v>17853</v>
      </c>
      <c r="N2325" s="235" t="s">
        <v>39</v>
      </c>
      <c r="O2325" s="235" t="s">
        <v>291</v>
      </c>
      <c r="P2325" s="238">
        <v>1.0</v>
      </c>
      <c r="Q2325" s="235" t="s">
        <v>627</v>
      </c>
      <c r="R2325" s="238">
        <v>270.48</v>
      </c>
      <c r="S2325" s="238">
        <v>13.52</v>
      </c>
      <c r="T2325" s="238">
        <v>38.1</v>
      </c>
      <c r="U2325" s="238">
        <v>1.9</v>
      </c>
      <c r="V2325" s="238">
        <v>0.0</v>
      </c>
      <c r="W2325" s="238">
        <v>0.0</v>
      </c>
      <c r="X2325" s="235" t="s">
        <v>628</v>
      </c>
      <c r="Z2325" s="244"/>
      <c r="AA2325" s="244"/>
      <c r="AB2325" s="244"/>
      <c r="AC2325" s="235" t="s">
        <v>814</v>
      </c>
      <c r="AD2325" s="235" t="s">
        <v>698</v>
      </c>
      <c r="AE2325" s="238">
        <v>500019.0</v>
      </c>
      <c r="AF2325" s="235" t="s">
        <v>631</v>
      </c>
      <c r="AG2325" s="244"/>
      <c r="AH2325" s="244"/>
      <c r="AI2325" s="245"/>
      <c r="AJ2325" s="245"/>
      <c r="AK2325" s="245"/>
      <c r="AL2325" s="245"/>
      <c r="AM2325" s="244"/>
      <c r="AN2325" s="244"/>
      <c r="AO2325" s="238">
        <v>0.0</v>
      </c>
      <c r="AP2325" s="238">
        <v>-38.1</v>
      </c>
      <c r="AQ2325" s="235" t="s">
        <v>1356</v>
      </c>
      <c r="AR2325" s="247" t="s">
        <v>17854</v>
      </c>
      <c r="AS2325" s="235" t="s">
        <v>8807</v>
      </c>
      <c r="AT2325" s="235" t="s">
        <v>16</v>
      </c>
      <c r="AU2325" s="235" t="s">
        <v>634</v>
      </c>
      <c r="AV2325" s="246" t="s">
        <v>635</v>
      </c>
      <c r="AW2325" s="242"/>
      <c r="AX2325" s="242"/>
      <c r="AY2325" s="231"/>
      <c r="AZ2325" s="231"/>
      <c r="BA2325" s="227"/>
      <c r="BB2325" s="231"/>
      <c r="BC2325" s="227"/>
      <c r="BD2325" s="227"/>
      <c r="BE2325" s="227"/>
      <c r="BF2325" s="227"/>
    </row>
    <row r="2326">
      <c r="A2326" s="235" t="s">
        <v>17855</v>
      </c>
      <c r="C2326" s="235" t="s">
        <v>17856</v>
      </c>
      <c r="D2326" s="235" t="s">
        <v>17857</v>
      </c>
      <c r="E2326" s="243">
        <v>6.54E13</v>
      </c>
      <c r="F2326" s="245"/>
      <c r="G2326" s="235" t="s">
        <v>17858</v>
      </c>
      <c r="H2326" s="235" t="s">
        <v>17859</v>
      </c>
      <c r="I2326" s="235" t="s">
        <v>17859</v>
      </c>
      <c r="J2326" s="235" t="s">
        <v>17860</v>
      </c>
      <c r="K2326" s="235" t="s">
        <v>17861</v>
      </c>
      <c r="N2326" s="235" t="s">
        <v>138</v>
      </c>
      <c r="O2326" s="235" t="s">
        <v>675</v>
      </c>
      <c r="P2326" s="238">
        <v>1.0</v>
      </c>
      <c r="Q2326" s="235" t="s">
        <v>627</v>
      </c>
      <c r="R2326" s="238">
        <v>270.48</v>
      </c>
      <c r="S2326" s="238">
        <v>13.25</v>
      </c>
      <c r="T2326" s="238">
        <v>0.0</v>
      </c>
      <c r="U2326" s="238">
        <v>0.0</v>
      </c>
      <c r="V2326" s="238">
        <v>0.0</v>
      </c>
      <c r="W2326" s="238">
        <v>0.0</v>
      </c>
      <c r="X2326" s="235" t="s">
        <v>628</v>
      </c>
      <c r="Z2326" s="244"/>
      <c r="AA2326" s="244"/>
      <c r="AB2326" s="244"/>
      <c r="AC2326" s="235" t="s">
        <v>17862</v>
      </c>
      <c r="AD2326" s="235" t="s">
        <v>630</v>
      </c>
      <c r="AE2326" s="238">
        <v>281403.0</v>
      </c>
      <c r="AF2326" s="235" t="s">
        <v>631</v>
      </c>
      <c r="AG2326" s="244"/>
      <c r="AH2326" s="244"/>
      <c r="AI2326" s="245"/>
      <c r="AJ2326" s="245"/>
      <c r="AK2326" s="245"/>
      <c r="AL2326" s="245"/>
      <c r="AM2326" s="244"/>
      <c r="AN2326" s="244"/>
      <c r="AO2326" s="238">
        <v>-5.41</v>
      </c>
      <c r="AP2326" s="238">
        <v>0.0</v>
      </c>
      <c r="AQ2326" s="235" t="s">
        <v>632</v>
      </c>
      <c r="AR2326" s="243">
        <v>1.68E11</v>
      </c>
      <c r="AS2326" s="235" t="s">
        <v>16626</v>
      </c>
      <c r="AT2326" s="235" t="s">
        <v>14</v>
      </c>
      <c r="AU2326" s="235" t="s">
        <v>634</v>
      </c>
      <c r="AV2326" s="246" t="s">
        <v>635</v>
      </c>
      <c r="AW2326" s="242"/>
      <c r="AX2326" s="242"/>
      <c r="AY2326" s="231"/>
      <c r="AZ2326" s="231"/>
      <c r="BA2326" s="227"/>
      <c r="BB2326" s="231"/>
      <c r="BC2326" s="227"/>
      <c r="BD2326" s="227"/>
      <c r="BE2326" s="227"/>
      <c r="BF2326" s="227"/>
    </row>
    <row r="2327">
      <c r="A2327" s="235" t="s">
        <v>17863</v>
      </c>
      <c r="C2327" s="235" t="s">
        <v>17864</v>
      </c>
      <c r="D2327" s="235" t="s">
        <v>17865</v>
      </c>
      <c r="E2327" s="243">
        <v>6.52E13</v>
      </c>
      <c r="F2327" s="245"/>
      <c r="G2327" s="235" t="s">
        <v>17866</v>
      </c>
      <c r="H2327" s="235" t="s">
        <v>17867</v>
      </c>
      <c r="I2327" s="235" t="s">
        <v>17867</v>
      </c>
      <c r="J2327" s="235" t="s">
        <v>17868</v>
      </c>
      <c r="K2327" s="235" t="s">
        <v>17869</v>
      </c>
      <c r="N2327" s="235" t="s">
        <v>2163</v>
      </c>
      <c r="O2327" s="235" t="s">
        <v>2164</v>
      </c>
      <c r="P2327" s="238">
        <v>1.0</v>
      </c>
      <c r="Q2327" s="235" t="s">
        <v>627</v>
      </c>
      <c r="R2327" s="238">
        <v>233.34</v>
      </c>
      <c r="S2327" s="238">
        <v>11.32</v>
      </c>
      <c r="T2327" s="238">
        <v>0.0</v>
      </c>
      <c r="U2327" s="238">
        <v>0.0</v>
      </c>
      <c r="V2327" s="238">
        <v>0.0</v>
      </c>
      <c r="W2327" s="238">
        <v>0.0</v>
      </c>
      <c r="X2327" s="235" t="s">
        <v>628</v>
      </c>
      <c r="Z2327" s="244"/>
      <c r="AA2327" s="244"/>
      <c r="AB2327" s="244"/>
      <c r="AC2327" s="235" t="s">
        <v>844</v>
      </c>
      <c r="AD2327" s="235" t="s">
        <v>845</v>
      </c>
      <c r="AE2327" s="238">
        <v>411048.0</v>
      </c>
      <c r="AF2327" s="235" t="s">
        <v>631</v>
      </c>
      <c r="AG2327" s="244"/>
      <c r="AH2327" s="244"/>
      <c r="AI2327" s="245"/>
      <c r="AJ2327" s="245"/>
      <c r="AK2327" s="245"/>
      <c r="AL2327" s="245"/>
      <c r="AM2327" s="244"/>
      <c r="AN2327" s="244"/>
      <c r="AO2327" s="238">
        <v>-7.01</v>
      </c>
      <c r="AP2327" s="238">
        <v>0.0</v>
      </c>
      <c r="AQ2327" s="235" t="s">
        <v>632</v>
      </c>
      <c r="AR2327" s="243">
        <v>3.71E11</v>
      </c>
      <c r="AS2327" s="235" t="s">
        <v>16626</v>
      </c>
      <c r="AT2327" s="235" t="s">
        <v>546</v>
      </c>
      <c r="AU2327" s="235" t="s">
        <v>634</v>
      </c>
      <c r="AV2327" s="246" t="s">
        <v>635</v>
      </c>
      <c r="AW2327" s="242"/>
      <c r="AX2327" s="242"/>
      <c r="AY2327" s="231"/>
      <c r="AZ2327" s="231"/>
      <c r="BA2327" s="227"/>
      <c r="BB2327" s="231"/>
      <c r="BC2327" s="227"/>
      <c r="BD2327" s="227"/>
      <c r="BE2327" s="227"/>
      <c r="BF2327" s="227"/>
    </row>
    <row r="2328">
      <c r="A2328" s="235" t="s">
        <v>17870</v>
      </c>
      <c r="C2328" s="235" t="s">
        <v>17871</v>
      </c>
      <c r="D2328" s="235" t="s">
        <v>17872</v>
      </c>
      <c r="E2328" s="243">
        <v>6.52E13</v>
      </c>
      <c r="F2328" s="245"/>
      <c r="G2328" s="235" t="s">
        <v>17873</v>
      </c>
      <c r="H2328" s="235" t="s">
        <v>17874</v>
      </c>
      <c r="I2328" s="235" t="s">
        <v>17875</v>
      </c>
      <c r="J2328" s="235" t="s">
        <v>17876</v>
      </c>
      <c r="K2328" s="235" t="s">
        <v>17877</v>
      </c>
      <c r="N2328" s="235" t="s">
        <v>962</v>
      </c>
      <c r="O2328" s="235" t="s">
        <v>963</v>
      </c>
      <c r="P2328" s="238">
        <v>1.0</v>
      </c>
      <c r="Q2328" s="235" t="s">
        <v>627</v>
      </c>
      <c r="R2328" s="238">
        <v>246.66</v>
      </c>
      <c r="S2328" s="238">
        <v>12.1</v>
      </c>
      <c r="T2328" s="238">
        <v>0.0</v>
      </c>
      <c r="U2328" s="238">
        <v>0.0</v>
      </c>
      <c r="V2328" s="238">
        <v>0.0</v>
      </c>
      <c r="W2328" s="238">
        <v>0.0</v>
      </c>
      <c r="X2328" s="235" t="s">
        <v>628</v>
      </c>
      <c r="Z2328" s="244"/>
      <c r="AA2328" s="244"/>
      <c r="AB2328" s="244"/>
      <c r="AC2328" s="235" t="s">
        <v>844</v>
      </c>
      <c r="AD2328" s="235" t="s">
        <v>845</v>
      </c>
      <c r="AE2328" s="238">
        <v>411045.0</v>
      </c>
      <c r="AF2328" s="235" t="s">
        <v>631</v>
      </c>
      <c r="AG2328" s="244"/>
      <c r="AH2328" s="244"/>
      <c r="AI2328" s="245"/>
      <c r="AJ2328" s="245"/>
      <c r="AK2328" s="245"/>
      <c r="AL2328" s="245"/>
      <c r="AM2328" s="244"/>
      <c r="AN2328" s="244"/>
      <c r="AO2328" s="238">
        <v>-4.94</v>
      </c>
      <c r="AP2328" s="238">
        <v>0.0</v>
      </c>
      <c r="AQ2328" s="235" t="s">
        <v>632</v>
      </c>
      <c r="AR2328" s="243">
        <v>1.68E11</v>
      </c>
      <c r="AS2328" s="235" t="s">
        <v>16626</v>
      </c>
      <c r="AT2328" s="235" t="s">
        <v>16</v>
      </c>
      <c r="AU2328" s="235" t="s">
        <v>634</v>
      </c>
      <c r="AV2328" s="246" t="s">
        <v>635</v>
      </c>
      <c r="AW2328" s="242"/>
      <c r="AX2328" s="242"/>
      <c r="AY2328" s="231"/>
      <c r="AZ2328" s="231"/>
      <c r="BA2328" s="227"/>
      <c r="BB2328" s="231"/>
      <c r="BC2328" s="227"/>
      <c r="BD2328" s="227"/>
      <c r="BE2328" s="227"/>
      <c r="BF2328" s="227"/>
    </row>
    <row r="2329">
      <c r="A2329" s="235" t="s">
        <v>17878</v>
      </c>
      <c r="C2329" s="235" t="s">
        <v>17879</v>
      </c>
      <c r="D2329" s="235" t="s">
        <v>17880</v>
      </c>
      <c r="E2329" s="243">
        <v>6.54E13</v>
      </c>
      <c r="F2329" s="245"/>
      <c r="G2329" s="235" t="s">
        <v>17881</v>
      </c>
      <c r="H2329" s="235" t="s">
        <v>17882</v>
      </c>
      <c r="I2329" s="235" t="s">
        <v>17882</v>
      </c>
      <c r="J2329" s="235" t="s">
        <v>17883</v>
      </c>
      <c r="K2329" s="235" t="s">
        <v>17884</v>
      </c>
      <c r="N2329" s="235" t="s">
        <v>153</v>
      </c>
      <c r="O2329" s="235" t="s">
        <v>390</v>
      </c>
      <c r="P2329" s="238">
        <v>1.0</v>
      </c>
      <c r="Q2329" s="235" t="s">
        <v>627</v>
      </c>
      <c r="R2329" s="238">
        <v>617.8</v>
      </c>
      <c r="S2329" s="238">
        <v>111.2</v>
      </c>
      <c r="T2329" s="238">
        <v>0.0</v>
      </c>
      <c r="U2329" s="238">
        <v>0.0</v>
      </c>
      <c r="V2329" s="238">
        <v>0.0</v>
      </c>
      <c r="W2329" s="238">
        <v>0.0</v>
      </c>
      <c r="X2329" s="235" t="s">
        <v>628</v>
      </c>
      <c r="Z2329" s="244"/>
      <c r="AA2329" s="244"/>
      <c r="AB2329" s="244"/>
      <c r="AC2329" s="235" t="s">
        <v>678</v>
      </c>
      <c r="AD2329" s="235" t="s">
        <v>679</v>
      </c>
      <c r="AE2329" s="238">
        <v>560043.0</v>
      </c>
      <c r="AF2329" s="235" t="s">
        <v>631</v>
      </c>
      <c r="AG2329" s="244"/>
      <c r="AH2329" s="244"/>
      <c r="AI2329" s="245"/>
      <c r="AJ2329" s="245"/>
      <c r="AK2329" s="245"/>
      <c r="AL2329" s="245"/>
      <c r="AM2329" s="244"/>
      <c r="AN2329" s="244"/>
      <c r="AO2329" s="238">
        <v>0.0</v>
      </c>
      <c r="AP2329" s="238">
        <v>0.0</v>
      </c>
      <c r="AQ2329" s="235" t="s">
        <v>632</v>
      </c>
      <c r="AR2329" s="243">
        <v>1.68E11</v>
      </c>
      <c r="AS2329" s="235" t="s">
        <v>17109</v>
      </c>
      <c r="AT2329" s="235" t="s">
        <v>11</v>
      </c>
      <c r="AU2329" s="235" t="s">
        <v>634</v>
      </c>
      <c r="AV2329" s="246" t="s">
        <v>635</v>
      </c>
      <c r="AW2329" s="242"/>
      <c r="AX2329" s="242"/>
      <c r="AY2329" s="231"/>
      <c r="AZ2329" s="231"/>
      <c r="BA2329" s="227"/>
      <c r="BB2329" s="231"/>
      <c r="BC2329" s="227"/>
      <c r="BD2329" s="227"/>
      <c r="BE2329" s="227"/>
      <c r="BF2329" s="227"/>
    </row>
    <row r="2330">
      <c r="A2330" s="235" t="s">
        <v>17885</v>
      </c>
      <c r="C2330" s="235" t="s">
        <v>17886</v>
      </c>
      <c r="D2330" s="235" t="s">
        <v>17887</v>
      </c>
      <c r="E2330" s="243">
        <v>6.53E13</v>
      </c>
      <c r="F2330" s="245"/>
      <c r="G2330" s="235" t="s">
        <v>17888</v>
      </c>
      <c r="H2330" s="235" t="s">
        <v>17889</v>
      </c>
      <c r="I2330" s="235" t="s">
        <v>17889</v>
      </c>
      <c r="J2330" s="235" t="s">
        <v>17890</v>
      </c>
      <c r="K2330" s="235" t="s">
        <v>17891</v>
      </c>
      <c r="N2330" s="235" t="s">
        <v>82</v>
      </c>
      <c r="O2330" s="235" t="s">
        <v>889</v>
      </c>
      <c r="P2330" s="238">
        <v>1.0</v>
      </c>
      <c r="Q2330" s="235" t="s">
        <v>627</v>
      </c>
      <c r="R2330" s="238">
        <v>270.48</v>
      </c>
      <c r="S2330" s="238">
        <v>13.52</v>
      </c>
      <c r="T2330" s="238">
        <v>0.0</v>
      </c>
      <c r="U2330" s="238">
        <v>0.0</v>
      </c>
      <c r="V2330" s="238">
        <v>0.0</v>
      </c>
      <c r="W2330" s="238">
        <v>0.0</v>
      </c>
      <c r="X2330" s="235" t="s">
        <v>628</v>
      </c>
      <c r="Z2330" s="244"/>
      <c r="AA2330" s="244"/>
      <c r="AB2330" s="244"/>
      <c r="AC2330" s="235" t="s">
        <v>678</v>
      </c>
      <c r="AD2330" s="235" t="s">
        <v>679</v>
      </c>
      <c r="AE2330" s="238">
        <v>560036.0</v>
      </c>
      <c r="AF2330" s="235" t="s">
        <v>631</v>
      </c>
      <c r="AG2330" s="244"/>
      <c r="AH2330" s="244"/>
      <c r="AI2330" s="245"/>
      <c r="AJ2330" s="245"/>
      <c r="AK2330" s="245"/>
      <c r="AL2330" s="245"/>
      <c r="AM2330" s="244"/>
      <c r="AN2330" s="244"/>
      <c r="AO2330" s="238">
        <v>0.0</v>
      </c>
      <c r="AP2330" s="238">
        <v>0.0</v>
      </c>
      <c r="AQ2330" s="235" t="s">
        <v>632</v>
      </c>
      <c r="AR2330" s="243">
        <v>1.68E11</v>
      </c>
      <c r="AS2330" s="235" t="s">
        <v>17109</v>
      </c>
      <c r="AT2330" s="235" t="s">
        <v>9</v>
      </c>
      <c r="AU2330" s="235" t="s">
        <v>634</v>
      </c>
      <c r="AV2330" s="246" t="s">
        <v>635</v>
      </c>
      <c r="AW2330" s="242"/>
      <c r="AX2330" s="242"/>
      <c r="AY2330" s="231"/>
      <c r="AZ2330" s="231"/>
      <c r="BA2330" s="227"/>
      <c r="BB2330" s="231"/>
      <c r="BC2330" s="227"/>
      <c r="BD2330" s="227"/>
      <c r="BE2330" s="227"/>
      <c r="BF2330" s="227"/>
    </row>
    <row r="2331">
      <c r="A2331" s="235" t="s">
        <v>17892</v>
      </c>
      <c r="C2331" s="235" t="s">
        <v>17893</v>
      </c>
      <c r="D2331" s="235" t="s">
        <v>17894</v>
      </c>
      <c r="E2331" s="243">
        <v>6.53E13</v>
      </c>
      <c r="F2331" s="245"/>
      <c r="G2331" s="235" t="s">
        <v>17895</v>
      </c>
      <c r="H2331" s="235" t="s">
        <v>17896</v>
      </c>
      <c r="I2331" s="235" t="s">
        <v>17896</v>
      </c>
      <c r="J2331" s="235" t="s">
        <v>17897</v>
      </c>
      <c r="K2331" s="235" t="s">
        <v>17898</v>
      </c>
      <c r="N2331" s="235" t="s">
        <v>127</v>
      </c>
      <c r="O2331" s="235" t="s">
        <v>794</v>
      </c>
      <c r="P2331" s="238">
        <v>1.0</v>
      </c>
      <c r="Q2331" s="235" t="s">
        <v>627</v>
      </c>
      <c r="R2331" s="238">
        <v>270.48</v>
      </c>
      <c r="S2331" s="238">
        <v>13.52</v>
      </c>
      <c r="T2331" s="238">
        <v>38.1</v>
      </c>
      <c r="U2331" s="238">
        <v>1.9</v>
      </c>
      <c r="V2331" s="238">
        <v>0.0</v>
      </c>
      <c r="W2331" s="238">
        <v>0.0</v>
      </c>
      <c r="X2331" s="235" t="s">
        <v>628</v>
      </c>
      <c r="Z2331" s="244"/>
      <c r="AA2331" s="244"/>
      <c r="AB2331" s="244"/>
      <c r="AC2331" s="235" t="s">
        <v>5412</v>
      </c>
      <c r="AD2331" s="235" t="s">
        <v>908</v>
      </c>
      <c r="AE2331" s="238">
        <v>263153.0</v>
      </c>
      <c r="AF2331" s="235" t="s">
        <v>631</v>
      </c>
      <c r="AG2331" s="244"/>
      <c r="AH2331" s="244"/>
      <c r="AI2331" s="245"/>
      <c r="AJ2331" s="245"/>
      <c r="AK2331" s="245"/>
      <c r="AL2331" s="245"/>
      <c r="AM2331" s="244"/>
      <c r="AN2331" s="244"/>
      <c r="AO2331" s="238">
        <v>0.0</v>
      </c>
      <c r="AP2331" s="238">
        <v>-38.1</v>
      </c>
      <c r="AQ2331" s="235" t="s">
        <v>632</v>
      </c>
      <c r="AR2331" s="243">
        <v>3.71E11</v>
      </c>
      <c r="AS2331" s="235" t="s">
        <v>15064</v>
      </c>
      <c r="AT2331" s="235" t="s">
        <v>533</v>
      </c>
      <c r="AU2331" s="235" t="s">
        <v>634</v>
      </c>
      <c r="AV2331" s="246" t="s">
        <v>635</v>
      </c>
      <c r="AW2331" s="242"/>
      <c r="AX2331" s="242"/>
      <c r="AY2331" s="231"/>
      <c r="AZ2331" s="231"/>
      <c r="BA2331" s="227"/>
      <c r="BB2331" s="231"/>
      <c r="BC2331" s="227"/>
      <c r="BD2331" s="227"/>
      <c r="BE2331" s="227"/>
      <c r="BF2331" s="227"/>
    </row>
    <row r="2332">
      <c r="A2332" s="235" t="s">
        <v>17899</v>
      </c>
      <c r="C2332" s="235" t="s">
        <v>17900</v>
      </c>
      <c r="D2332" s="235" t="s">
        <v>17901</v>
      </c>
      <c r="E2332" s="243">
        <v>6.54E13</v>
      </c>
      <c r="F2332" s="245"/>
      <c r="G2332" s="235" t="s">
        <v>17902</v>
      </c>
      <c r="H2332" s="235" t="s">
        <v>17903</v>
      </c>
      <c r="I2332" s="235" t="s">
        <v>17904</v>
      </c>
      <c r="J2332" s="235" t="s">
        <v>17905</v>
      </c>
      <c r="K2332" s="235" t="s">
        <v>17906</v>
      </c>
      <c r="N2332" s="235" t="s">
        <v>71</v>
      </c>
      <c r="O2332" s="235" t="s">
        <v>240</v>
      </c>
      <c r="P2332" s="238">
        <v>1.0</v>
      </c>
      <c r="Q2332" s="235" t="s">
        <v>627</v>
      </c>
      <c r="R2332" s="238">
        <v>261.9</v>
      </c>
      <c r="S2332" s="238">
        <v>12.84</v>
      </c>
      <c r="T2332" s="238">
        <v>0.0</v>
      </c>
      <c r="U2332" s="238">
        <v>0.0</v>
      </c>
      <c r="V2332" s="238">
        <v>0.0</v>
      </c>
      <c r="W2332" s="238">
        <v>0.0</v>
      </c>
      <c r="X2332" s="235" t="s">
        <v>628</v>
      </c>
      <c r="Z2332" s="244"/>
      <c r="AA2332" s="244"/>
      <c r="AB2332" s="244"/>
      <c r="AC2332" s="235" t="s">
        <v>14897</v>
      </c>
      <c r="AD2332" s="235" t="s">
        <v>1151</v>
      </c>
      <c r="AE2332" s="238">
        <v>700124.0</v>
      </c>
      <c r="AF2332" s="235" t="s">
        <v>631</v>
      </c>
      <c r="AG2332" s="244"/>
      <c r="AH2332" s="244"/>
      <c r="AI2332" s="245"/>
      <c r="AJ2332" s="245"/>
      <c r="AK2332" s="245"/>
      <c r="AL2332" s="245"/>
      <c r="AM2332" s="244"/>
      <c r="AN2332" s="244"/>
      <c r="AO2332" s="238">
        <v>-5.24</v>
      </c>
      <c r="AP2332" s="238">
        <v>0.0</v>
      </c>
      <c r="AQ2332" s="235" t="s">
        <v>632</v>
      </c>
      <c r="AR2332" s="243">
        <v>2.02E11</v>
      </c>
      <c r="AS2332" s="235" t="s">
        <v>16626</v>
      </c>
      <c r="AT2332" s="235" t="s">
        <v>156</v>
      </c>
      <c r="AU2332" s="235" t="s">
        <v>634</v>
      </c>
      <c r="AV2332" s="246" t="s">
        <v>635</v>
      </c>
      <c r="AW2332" s="242"/>
      <c r="AX2332" s="242"/>
      <c r="AY2332" s="231"/>
      <c r="AZ2332" s="231"/>
      <c r="BA2332" s="227"/>
      <c r="BB2332" s="231"/>
      <c r="BC2332" s="227"/>
      <c r="BD2332" s="227"/>
      <c r="BE2332" s="227"/>
      <c r="BF2332" s="227"/>
    </row>
    <row r="2333">
      <c r="A2333" s="235" t="s">
        <v>17907</v>
      </c>
      <c r="C2333" s="235" t="s">
        <v>17908</v>
      </c>
      <c r="D2333" s="235" t="s">
        <v>17909</v>
      </c>
      <c r="E2333" s="243">
        <v>6.52E13</v>
      </c>
      <c r="F2333" s="245"/>
      <c r="G2333" s="235" t="s">
        <v>17910</v>
      </c>
      <c r="H2333" s="235" t="s">
        <v>17911</v>
      </c>
      <c r="I2333" s="235" t="s">
        <v>17911</v>
      </c>
      <c r="J2333" s="235" t="s">
        <v>17912</v>
      </c>
      <c r="K2333" s="235" t="s">
        <v>17913</v>
      </c>
      <c r="N2333" s="235" t="s">
        <v>117</v>
      </c>
      <c r="O2333" s="235" t="s">
        <v>334</v>
      </c>
      <c r="P2333" s="238">
        <v>1.0</v>
      </c>
      <c r="Q2333" s="235" t="s">
        <v>627</v>
      </c>
      <c r="R2333" s="238">
        <v>233.34</v>
      </c>
      <c r="S2333" s="238">
        <v>11.32</v>
      </c>
      <c r="T2333" s="238">
        <v>0.0</v>
      </c>
      <c r="U2333" s="238">
        <v>0.0</v>
      </c>
      <c r="V2333" s="238">
        <v>0.0</v>
      </c>
      <c r="W2333" s="238">
        <v>0.0</v>
      </c>
      <c r="X2333" s="235" t="s">
        <v>628</v>
      </c>
      <c r="Z2333" s="244"/>
      <c r="AA2333" s="244"/>
      <c r="AB2333" s="244"/>
      <c r="AC2333" s="235" t="s">
        <v>2092</v>
      </c>
      <c r="AD2333" s="235" t="s">
        <v>845</v>
      </c>
      <c r="AE2333" s="238">
        <v>412207.0</v>
      </c>
      <c r="AF2333" s="235" t="s">
        <v>631</v>
      </c>
      <c r="AG2333" s="244"/>
      <c r="AH2333" s="244"/>
      <c r="AI2333" s="245"/>
      <c r="AJ2333" s="245"/>
      <c r="AK2333" s="245"/>
      <c r="AL2333" s="245"/>
      <c r="AM2333" s="244"/>
      <c r="AN2333" s="244"/>
      <c r="AO2333" s="238">
        <v>-7.01</v>
      </c>
      <c r="AP2333" s="238">
        <v>0.0</v>
      </c>
      <c r="AQ2333" s="235" t="s">
        <v>632</v>
      </c>
      <c r="AR2333" s="243">
        <v>3.71E11</v>
      </c>
      <c r="AS2333" s="235" t="s">
        <v>16626</v>
      </c>
      <c r="AT2333" s="235" t="s">
        <v>546</v>
      </c>
      <c r="AU2333" s="235" t="s">
        <v>634</v>
      </c>
      <c r="AV2333" s="246" t="s">
        <v>635</v>
      </c>
      <c r="AW2333" s="242"/>
      <c r="AX2333" s="242"/>
      <c r="AY2333" s="231"/>
      <c r="AZ2333" s="231"/>
      <c r="BA2333" s="227"/>
      <c r="BB2333" s="231"/>
      <c r="BC2333" s="227"/>
      <c r="BD2333" s="227"/>
      <c r="BE2333" s="227"/>
      <c r="BF2333" s="227"/>
    </row>
    <row r="2334">
      <c r="A2334" s="235" t="s">
        <v>17914</v>
      </c>
      <c r="C2334" s="235" t="s">
        <v>17915</v>
      </c>
      <c r="D2334" s="235" t="s">
        <v>17916</v>
      </c>
      <c r="E2334" s="243">
        <v>6.51E13</v>
      </c>
      <c r="F2334" s="245"/>
      <c r="G2334" s="235" t="s">
        <v>17917</v>
      </c>
      <c r="H2334" s="235" t="s">
        <v>17918</v>
      </c>
      <c r="I2334" s="235" t="s">
        <v>17918</v>
      </c>
      <c r="J2334" s="235" t="s">
        <v>17919</v>
      </c>
      <c r="K2334" s="235" t="s">
        <v>17920</v>
      </c>
      <c r="N2334" s="235" t="s">
        <v>68</v>
      </c>
      <c r="O2334" s="235" t="s">
        <v>208</v>
      </c>
      <c r="P2334" s="238">
        <v>1.0</v>
      </c>
      <c r="Q2334" s="235" t="s">
        <v>627</v>
      </c>
      <c r="R2334" s="238">
        <v>261.9</v>
      </c>
      <c r="S2334" s="238">
        <v>13.1</v>
      </c>
      <c r="T2334" s="238">
        <v>38.1</v>
      </c>
      <c r="U2334" s="238">
        <v>1.9</v>
      </c>
      <c r="V2334" s="238">
        <v>0.0</v>
      </c>
      <c r="W2334" s="238">
        <v>0.0</v>
      </c>
      <c r="X2334" s="235" t="s">
        <v>628</v>
      </c>
      <c r="Z2334" s="244"/>
      <c r="AA2334" s="244"/>
      <c r="AB2334" s="244"/>
      <c r="AC2334" s="235" t="s">
        <v>1287</v>
      </c>
      <c r="AD2334" s="235" t="s">
        <v>630</v>
      </c>
      <c r="AE2334" s="238">
        <v>201012.0</v>
      </c>
      <c r="AF2334" s="235" t="s">
        <v>631</v>
      </c>
      <c r="AG2334" s="244"/>
      <c r="AH2334" s="244"/>
      <c r="AI2334" s="245"/>
      <c r="AJ2334" s="245"/>
      <c r="AK2334" s="245"/>
      <c r="AL2334" s="245"/>
      <c r="AM2334" s="244"/>
      <c r="AN2334" s="244"/>
      <c r="AO2334" s="238">
        <v>0.0</v>
      </c>
      <c r="AP2334" s="238">
        <v>-38.1</v>
      </c>
      <c r="AQ2334" s="235" t="s">
        <v>632</v>
      </c>
      <c r="AR2334" s="243">
        <v>3.71E11</v>
      </c>
      <c r="AS2334" s="235" t="s">
        <v>16626</v>
      </c>
      <c r="AT2334" s="235" t="s">
        <v>533</v>
      </c>
      <c r="AU2334" s="235" t="s">
        <v>634</v>
      </c>
      <c r="AV2334" s="246" t="s">
        <v>635</v>
      </c>
      <c r="AW2334" s="242"/>
      <c r="AX2334" s="242"/>
      <c r="AY2334" s="231"/>
      <c r="AZ2334" s="231"/>
      <c r="BA2334" s="227"/>
      <c r="BB2334" s="231"/>
      <c r="BC2334" s="227"/>
      <c r="BD2334" s="227"/>
      <c r="BE2334" s="227"/>
      <c r="BF2334" s="227"/>
    </row>
    <row r="2335">
      <c r="A2335" s="235" t="s">
        <v>17921</v>
      </c>
      <c r="C2335" s="235" t="s">
        <v>17922</v>
      </c>
      <c r="D2335" s="235" t="s">
        <v>17923</v>
      </c>
      <c r="E2335" s="243">
        <v>6.53E13</v>
      </c>
      <c r="F2335" s="245"/>
      <c r="G2335" s="235" t="s">
        <v>17924</v>
      </c>
      <c r="H2335" s="235" t="s">
        <v>17925</v>
      </c>
      <c r="I2335" s="235" t="s">
        <v>17926</v>
      </c>
      <c r="J2335" s="235" t="s">
        <v>17927</v>
      </c>
      <c r="K2335" s="235" t="s">
        <v>17928</v>
      </c>
      <c r="N2335" s="235" t="s">
        <v>71</v>
      </c>
      <c r="O2335" s="235" t="s">
        <v>240</v>
      </c>
      <c r="P2335" s="238">
        <v>1.0</v>
      </c>
      <c r="Q2335" s="235" t="s">
        <v>627</v>
      </c>
      <c r="R2335" s="238">
        <v>261.9</v>
      </c>
      <c r="S2335" s="238">
        <v>13.1</v>
      </c>
      <c r="T2335" s="238">
        <v>0.0</v>
      </c>
      <c r="U2335" s="238">
        <v>0.0</v>
      </c>
      <c r="V2335" s="238">
        <v>0.0</v>
      </c>
      <c r="W2335" s="238">
        <v>0.0</v>
      </c>
      <c r="X2335" s="235" t="s">
        <v>628</v>
      </c>
      <c r="Z2335" s="244"/>
      <c r="AA2335" s="244"/>
      <c r="AB2335" s="244"/>
      <c r="AC2335" s="235" t="s">
        <v>17929</v>
      </c>
      <c r="AD2335" s="235" t="s">
        <v>845</v>
      </c>
      <c r="AE2335" s="238">
        <v>415605.0</v>
      </c>
      <c r="AF2335" s="235" t="s">
        <v>631</v>
      </c>
      <c r="AG2335" s="244"/>
      <c r="AH2335" s="244"/>
      <c r="AI2335" s="245"/>
      <c r="AJ2335" s="245"/>
      <c r="AK2335" s="245"/>
      <c r="AL2335" s="245"/>
      <c r="AM2335" s="244"/>
      <c r="AN2335" s="244"/>
      <c r="AO2335" s="238">
        <v>0.0</v>
      </c>
      <c r="AP2335" s="238">
        <v>0.0</v>
      </c>
      <c r="AQ2335" s="235" t="s">
        <v>632</v>
      </c>
      <c r="AR2335" s="243">
        <v>3.71E11</v>
      </c>
      <c r="AS2335" s="235" t="s">
        <v>15064</v>
      </c>
      <c r="AT2335" s="235" t="s">
        <v>17</v>
      </c>
      <c r="AU2335" s="235" t="s">
        <v>634</v>
      </c>
      <c r="AV2335" s="246" t="s">
        <v>635</v>
      </c>
      <c r="AW2335" s="242"/>
      <c r="AX2335" s="242"/>
      <c r="AY2335" s="231"/>
      <c r="AZ2335" s="231"/>
      <c r="BA2335" s="227"/>
      <c r="BB2335" s="231"/>
      <c r="BC2335" s="227"/>
      <c r="BD2335" s="227"/>
      <c r="BE2335" s="227"/>
      <c r="BF2335" s="227"/>
    </row>
    <row r="2336">
      <c r="A2336" s="235" t="s">
        <v>17930</v>
      </c>
      <c r="C2336" s="235" t="s">
        <v>17931</v>
      </c>
      <c r="D2336" s="235" t="s">
        <v>17932</v>
      </c>
      <c r="E2336" s="243">
        <v>6.53E13</v>
      </c>
      <c r="F2336" s="245"/>
      <c r="G2336" s="235" t="s">
        <v>17933</v>
      </c>
      <c r="H2336" s="235" t="s">
        <v>17934</v>
      </c>
      <c r="I2336" s="235" t="s">
        <v>17934</v>
      </c>
      <c r="J2336" s="235" t="s">
        <v>17935</v>
      </c>
      <c r="K2336" s="235" t="s">
        <v>17936</v>
      </c>
      <c r="N2336" s="235" t="s">
        <v>127</v>
      </c>
      <c r="O2336" s="235" t="s">
        <v>794</v>
      </c>
      <c r="P2336" s="238">
        <v>1.0</v>
      </c>
      <c r="Q2336" s="235" t="s">
        <v>627</v>
      </c>
      <c r="R2336" s="238">
        <v>242.86</v>
      </c>
      <c r="S2336" s="238">
        <v>11.9</v>
      </c>
      <c r="T2336" s="238">
        <v>38.1</v>
      </c>
      <c r="U2336" s="238">
        <v>1.9</v>
      </c>
      <c r="V2336" s="238">
        <v>0.0</v>
      </c>
      <c r="W2336" s="238">
        <v>0.0</v>
      </c>
      <c r="X2336" s="235" t="s">
        <v>628</v>
      </c>
      <c r="Z2336" s="244"/>
      <c r="AA2336" s="244"/>
      <c r="AB2336" s="244"/>
      <c r="AC2336" s="235" t="s">
        <v>785</v>
      </c>
      <c r="AD2336" s="235" t="s">
        <v>630</v>
      </c>
      <c r="AE2336" s="238">
        <v>201014.0</v>
      </c>
      <c r="AF2336" s="235" t="s">
        <v>631</v>
      </c>
      <c r="AG2336" s="244"/>
      <c r="AH2336" s="244"/>
      <c r="AI2336" s="245"/>
      <c r="AJ2336" s="245"/>
      <c r="AK2336" s="245"/>
      <c r="AL2336" s="245"/>
      <c r="AM2336" s="244"/>
      <c r="AN2336" s="244"/>
      <c r="AO2336" s="238">
        <v>-4.86</v>
      </c>
      <c r="AP2336" s="238">
        <v>-38.1</v>
      </c>
      <c r="AQ2336" s="235" t="s">
        <v>632</v>
      </c>
      <c r="AR2336" s="243">
        <v>3.71E11</v>
      </c>
      <c r="AS2336" s="235" t="s">
        <v>16626</v>
      </c>
      <c r="AT2336" s="235" t="s">
        <v>14</v>
      </c>
      <c r="AU2336" s="235" t="s">
        <v>634</v>
      </c>
      <c r="AV2336" s="246" t="s">
        <v>635</v>
      </c>
      <c r="AW2336" s="242"/>
      <c r="AX2336" s="242"/>
      <c r="AY2336" s="231"/>
      <c r="AZ2336" s="231"/>
      <c r="BA2336" s="227"/>
      <c r="BB2336" s="231"/>
      <c r="BC2336" s="227"/>
      <c r="BD2336" s="227"/>
      <c r="BE2336" s="227"/>
      <c r="BF2336" s="227"/>
    </row>
    <row r="2337">
      <c r="A2337" s="235" t="s">
        <v>17937</v>
      </c>
      <c r="C2337" s="235" t="s">
        <v>17938</v>
      </c>
      <c r="D2337" s="235" t="s">
        <v>17939</v>
      </c>
      <c r="E2337" s="243">
        <v>6.53E13</v>
      </c>
      <c r="F2337" s="245"/>
      <c r="G2337" s="235" t="s">
        <v>17940</v>
      </c>
      <c r="H2337" s="235" t="s">
        <v>17941</v>
      </c>
      <c r="I2337" s="235" t="s">
        <v>17941</v>
      </c>
      <c r="J2337" s="235" t="s">
        <v>17942</v>
      </c>
      <c r="K2337" s="235" t="s">
        <v>17943</v>
      </c>
      <c r="N2337" s="235" t="s">
        <v>51</v>
      </c>
      <c r="O2337" s="235" t="s">
        <v>273</v>
      </c>
      <c r="P2337" s="238">
        <v>1.0</v>
      </c>
      <c r="Q2337" s="235" t="s">
        <v>627</v>
      </c>
      <c r="R2337" s="238">
        <v>270.48</v>
      </c>
      <c r="S2337" s="238">
        <v>13.52</v>
      </c>
      <c r="T2337" s="238">
        <v>38.1</v>
      </c>
      <c r="U2337" s="238">
        <v>1.9</v>
      </c>
      <c r="V2337" s="238">
        <v>0.0</v>
      </c>
      <c r="W2337" s="238">
        <v>0.0</v>
      </c>
      <c r="X2337" s="235" t="s">
        <v>628</v>
      </c>
      <c r="Z2337" s="244"/>
      <c r="AA2337" s="244"/>
      <c r="AB2337" s="244"/>
      <c r="AC2337" s="235" t="s">
        <v>17944</v>
      </c>
      <c r="AD2337" s="235" t="s">
        <v>854</v>
      </c>
      <c r="AE2337" s="238">
        <v>403502.0</v>
      </c>
      <c r="AF2337" s="235" t="s">
        <v>631</v>
      </c>
      <c r="AG2337" s="244"/>
      <c r="AH2337" s="244"/>
      <c r="AI2337" s="245"/>
      <c r="AJ2337" s="245"/>
      <c r="AK2337" s="245"/>
      <c r="AL2337" s="245"/>
      <c r="AM2337" s="244"/>
      <c r="AN2337" s="244"/>
      <c r="AO2337" s="238">
        <v>0.0</v>
      </c>
      <c r="AP2337" s="238">
        <v>-38.1</v>
      </c>
      <c r="AQ2337" s="235" t="s">
        <v>632</v>
      </c>
      <c r="AR2337" s="243">
        <v>3.71E11</v>
      </c>
      <c r="AS2337" s="235" t="s">
        <v>15064</v>
      </c>
      <c r="AT2337" s="235" t="s">
        <v>11</v>
      </c>
      <c r="AU2337" s="235" t="s">
        <v>634</v>
      </c>
      <c r="AV2337" s="246" t="s">
        <v>635</v>
      </c>
      <c r="AW2337" s="242"/>
      <c r="AX2337" s="242"/>
      <c r="AY2337" s="231"/>
      <c r="AZ2337" s="231"/>
      <c r="BA2337" s="227"/>
      <c r="BB2337" s="231"/>
      <c r="BC2337" s="227"/>
      <c r="BD2337" s="227"/>
      <c r="BE2337" s="227"/>
      <c r="BF2337" s="227"/>
    </row>
    <row r="2338">
      <c r="A2338" s="235" t="s">
        <v>17945</v>
      </c>
      <c r="C2338" s="235" t="s">
        <v>17946</v>
      </c>
      <c r="D2338" s="235" t="s">
        <v>17947</v>
      </c>
      <c r="E2338" s="243">
        <v>6.53E13</v>
      </c>
      <c r="F2338" s="245"/>
      <c r="G2338" s="235" t="s">
        <v>17948</v>
      </c>
      <c r="H2338" s="235" t="s">
        <v>17949</v>
      </c>
      <c r="I2338" s="235" t="s">
        <v>17949</v>
      </c>
      <c r="J2338" s="235" t="s">
        <v>17950</v>
      </c>
      <c r="K2338" s="235" t="s">
        <v>17951</v>
      </c>
      <c r="N2338" s="235" t="s">
        <v>139</v>
      </c>
      <c r="O2338" s="235" t="s">
        <v>2091</v>
      </c>
      <c r="P2338" s="238">
        <v>1.0</v>
      </c>
      <c r="Q2338" s="235" t="s">
        <v>627</v>
      </c>
      <c r="R2338" s="238">
        <v>270.48</v>
      </c>
      <c r="S2338" s="238">
        <v>13.25</v>
      </c>
      <c r="T2338" s="238">
        <v>0.0</v>
      </c>
      <c r="U2338" s="238">
        <v>0.0</v>
      </c>
      <c r="V2338" s="238">
        <v>0.0</v>
      </c>
      <c r="W2338" s="238">
        <v>0.0</v>
      </c>
      <c r="X2338" s="235" t="s">
        <v>628</v>
      </c>
      <c r="Z2338" s="244"/>
      <c r="AA2338" s="244"/>
      <c r="AB2338" s="244"/>
      <c r="AC2338" s="235" t="s">
        <v>1255</v>
      </c>
      <c r="AD2338" s="235" t="s">
        <v>845</v>
      </c>
      <c r="AE2338" s="238">
        <v>400607.0</v>
      </c>
      <c r="AF2338" s="235" t="s">
        <v>631</v>
      </c>
      <c r="AG2338" s="244"/>
      <c r="AH2338" s="244"/>
      <c r="AI2338" s="245"/>
      <c r="AJ2338" s="245"/>
      <c r="AK2338" s="245"/>
      <c r="AL2338" s="245"/>
      <c r="AM2338" s="244"/>
      <c r="AN2338" s="244"/>
      <c r="AO2338" s="238">
        <v>-5.41</v>
      </c>
      <c r="AP2338" s="238">
        <v>0.0</v>
      </c>
      <c r="AQ2338" s="235" t="s">
        <v>632</v>
      </c>
      <c r="AR2338" s="243">
        <v>3.71E11</v>
      </c>
      <c r="AS2338" s="235" t="s">
        <v>16626</v>
      </c>
      <c r="AT2338" s="235" t="s">
        <v>17</v>
      </c>
      <c r="AU2338" s="235" t="s">
        <v>634</v>
      </c>
      <c r="AV2338" s="246" t="s">
        <v>635</v>
      </c>
      <c r="AW2338" s="242"/>
      <c r="AX2338" s="242"/>
      <c r="AY2338" s="231"/>
      <c r="AZ2338" s="231"/>
      <c r="BA2338" s="227"/>
      <c r="BB2338" s="231"/>
      <c r="BC2338" s="227"/>
      <c r="BD2338" s="227"/>
      <c r="BE2338" s="227"/>
      <c r="BF2338" s="227"/>
    </row>
    <row r="2339">
      <c r="A2339" s="235" t="s">
        <v>17952</v>
      </c>
      <c r="C2339" s="235" t="s">
        <v>17953</v>
      </c>
      <c r="D2339" s="235" t="s">
        <v>17954</v>
      </c>
      <c r="E2339" s="243">
        <v>6.53E13</v>
      </c>
      <c r="F2339" s="245"/>
      <c r="G2339" s="235" t="s">
        <v>17955</v>
      </c>
      <c r="H2339" s="235" t="s">
        <v>17956</v>
      </c>
      <c r="I2339" s="235" t="s">
        <v>17956</v>
      </c>
      <c r="J2339" s="235" t="s">
        <v>17957</v>
      </c>
      <c r="K2339" s="235" t="s">
        <v>17958</v>
      </c>
      <c r="N2339" s="235" t="s">
        <v>111</v>
      </c>
      <c r="O2339" s="235" t="s">
        <v>464</v>
      </c>
      <c r="P2339" s="238">
        <v>1.0</v>
      </c>
      <c r="Q2339" s="235" t="s">
        <v>627</v>
      </c>
      <c r="R2339" s="238">
        <v>270.48</v>
      </c>
      <c r="S2339" s="238">
        <v>13.52</v>
      </c>
      <c r="T2339" s="238">
        <v>38.1</v>
      </c>
      <c r="U2339" s="238">
        <v>1.9</v>
      </c>
      <c r="V2339" s="238">
        <v>0.0</v>
      </c>
      <c r="W2339" s="238">
        <v>0.0</v>
      </c>
      <c r="X2339" s="235" t="s">
        <v>628</v>
      </c>
      <c r="Z2339" s="244"/>
      <c r="AA2339" s="244"/>
      <c r="AB2339" s="244"/>
      <c r="AC2339" s="235" t="s">
        <v>3425</v>
      </c>
      <c r="AD2339" s="235" t="s">
        <v>2067</v>
      </c>
      <c r="AE2339" s="238">
        <v>826001.0</v>
      </c>
      <c r="AF2339" s="235" t="s">
        <v>631</v>
      </c>
      <c r="AG2339" s="244"/>
      <c r="AH2339" s="244"/>
      <c r="AI2339" s="245"/>
      <c r="AJ2339" s="245"/>
      <c r="AK2339" s="245"/>
      <c r="AL2339" s="245"/>
      <c r="AM2339" s="244"/>
      <c r="AN2339" s="244"/>
      <c r="AO2339" s="238">
        <v>0.0</v>
      </c>
      <c r="AP2339" s="238">
        <v>-38.1</v>
      </c>
      <c r="AQ2339" s="235" t="s">
        <v>632</v>
      </c>
      <c r="AR2339" s="243">
        <v>3.71E11</v>
      </c>
      <c r="AS2339" s="235" t="s">
        <v>11171</v>
      </c>
      <c r="AT2339" s="235" t="s">
        <v>533</v>
      </c>
      <c r="AU2339" s="235" t="s">
        <v>634</v>
      </c>
      <c r="AV2339" s="246" t="s">
        <v>635</v>
      </c>
      <c r="AW2339" s="242"/>
      <c r="AX2339" s="242"/>
      <c r="AY2339" s="231"/>
      <c r="AZ2339" s="231"/>
      <c r="BA2339" s="227"/>
      <c r="BB2339" s="231"/>
      <c r="BC2339" s="227"/>
      <c r="BD2339" s="227"/>
      <c r="BE2339" s="227"/>
      <c r="BF2339" s="227"/>
    </row>
    <row r="2340">
      <c r="A2340" s="235" t="s">
        <v>17959</v>
      </c>
      <c r="C2340" s="235" t="s">
        <v>17960</v>
      </c>
      <c r="D2340" s="235" t="s">
        <v>17961</v>
      </c>
      <c r="E2340" s="243">
        <v>6.53E13</v>
      </c>
      <c r="F2340" s="245"/>
      <c r="G2340" s="235" t="s">
        <v>17962</v>
      </c>
      <c r="H2340" s="235" t="s">
        <v>17963</v>
      </c>
      <c r="I2340" s="235" t="s">
        <v>17964</v>
      </c>
      <c r="J2340" s="235" t="s">
        <v>17965</v>
      </c>
      <c r="K2340" s="235" t="s">
        <v>17966</v>
      </c>
      <c r="N2340" s="235" t="s">
        <v>138</v>
      </c>
      <c r="O2340" s="235" t="s">
        <v>675</v>
      </c>
      <c r="P2340" s="238">
        <v>1.0</v>
      </c>
      <c r="Q2340" s="235" t="s">
        <v>627</v>
      </c>
      <c r="R2340" s="238">
        <v>270.48</v>
      </c>
      <c r="S2340" s="238">
        <v>13.25</v>
      </c>
      <c r="T2340" s="238">
        <v>0.0</v>
      </c>
      <c r="U2340" s="238">
        <v>0.0</v>
      </c>
      <c r="V2340" s="238">
        <v>0.0</v>
      </c>
      <c r="W2340" s="238">
        <v>0.0</v>
      </c>
      <c r="X2340" s="235" t="s">
        <v>628</v>
      </c>
      <c r="Z2340" s="244"/>
      <c r="AA2340" s="244"/>
      <c r="AB2340" s="244"/>
      <c r="AC2340" s="235" t="s">
        <v>814</v>
      </c>
      <c r="AD2340" s="235" t="s">
        <v>698</v>
      </c>
      <c r="AE2340" s="238">
        <v>500090.0</v>
      </c>
      <c r="AF2340" s="235" t="s">
        <v>631</v>
      </c>
      <c r="AG2340" s="244"/>
      <c r="AH2340" s="244"/>
      <c r="AI2340" s="245"/>
      <c r="AJ2340" s="245"/>
      <c r="AK2340" s="245"/>
      <c r="AL2340" s="245"/>
      <c r="AM2340" s="244"/>
      <c r="AN2340" s="244"/>
      <c r="AO2340" s="238">
        <v>-5.41</v>
      </c>
      <c r="AP2340" s="238">
        <v>0.0</v>
      </c>
      <c r="AQ2340" s="235" t="s">
        <v>632</v>
      </c>
      <c r="AR2340" s="243">
        <v>2.02E11</v>
      </c>
      <c r="AS2340" s="235" t="s">
        <v>16626</v>
      </c>
      <c r="AT2340" s="235" t="s">
        <v>156</v>
      </c>
      <c r="AU2340" s="235" t="s">
        <v>634</v>
      </c>
      <c r="AV2340" s="246" t="s">
        <v>635</v>
      </c>
      <c r="AW2340" s="242"/>
      <c r="AX2340" s="242"/>
      <c r="AY2340" s="231"/>
      <c r="AZ2340" s="231"/>
      <c r="BA2340" s="227"/>
      <c r="BB2340" s="231"/>
      <c r="BC2340" s="227"/>
      <c r="BD2340" s="227"/>
      <c r="BE2340" s="227"/>
      <c r="BF2340" s="227"/>
    </row>
    <row r="2341">
      <c r="A2341" s="235" t="s">
        <v>17967</v>
      </c>
      <c r="C2341" s="235" t="s">
        <v>17968</v>
      </c>
      <c r="D2341" s="235" t="s">
        <v>17969</v>
      </c>
      <c r="E2341" s="243">
        <v>6.53E13</v>
      </c>
      <c r="F2341" s="245"/>
      <c r="G2341" s="235" t="s">
        <v>17970</v>
      </c>
      <c r="H2341" s="235" t="s">
        <v>17971</v>
      </c>
      <c r="I2341" s="235" t="s">
        <v>17971</v>
      </c>
      <c r="J2341" s="235" t="s">
        <v>17972</v>
      </c>
      <c r="K2341" s="235" t="s">
        <v>17973</v>
      </c>
      <c r="N2341" s="235" t="s">
        <v>541</v>
      </c>
      <c r="O2341" s="235" t="s">
        <v>664</v>
      </c>
      <c r="P2341" s="238">
        <v>1.0</v>
      </c>
      <c r="Q2341" s="235" t="s">
        <v>627</v>
      </c>
      <c r="R2341" s="238">
        <v>668.64</v>
      </c>
      <c r="S2341" s="238">
        <v>120.36</v>
      </c>
      <c r="T2341" s="238">
        <v>0.0</v>
      </c>
      <c r="U2341" s="238">
        <v>0.0</v>
      </c>
      <c r="V2341" s="238">
        <v>0.0</v>
      </c>
      <c r="W2341" s="238">
        <v>0.0</v>
      </c>
      <c r="X2341" s="235" t="s">
        <v>628</v>
      </c>
      <c r="Z2341" s="244"/>
      <c r="AA2341" s="244"/>
      <c r="AB2341" s="244"/>
      <c r="AC2341" s="235" t="s">
        <v>1058</v>
      </c>
      <c r="AD2341" s="235" t="s">
        <v>845</v>
      </c>
      <c r="AE2341" s="238">
        <v>400101.0</v>
      </c>
      <c r="AF2341" s="235" t="s">
        <v>631</v>
      </c>
      <c r="AG2341" s="244"/>
      <c r="AH2341" s="244"/>
      <c r="AI2341" s="245"/>
      <c r="AJ2341" s="245"/>
      <c r="AK2341" s="245"/>
      <c r="AL2341" s="245"/>
      <c r="AM2341" s="244"/>
      <c r="AN2341" s="244"/>
      <c r="AO2341" s="238">
        <v>0.0</v>
      </c>
      <c r="AP2341" s="238">
        <v>0.0</v>
      </c>
      <c r="AQ2341" s="235" t="s">
        <v>632</v>
      </c>
      <c r="AR2341" s="243">
        <v>3.71E11</v>
      </c>
      <c r="AS2341" s="235" t="s">
        <v>16626</v>
      </c>
      <c r="AT2341" s="235" t="s">
        <v>16</v>
      </c>
      <c r="AU2341" s="235" t="s">
        <v>634</v>
      </c>
      <c r="AV2341" s="246" t="s">
        <v>635</v>
      </c>
      <c r="AW2341" s="242"/>
      <c r="AX2341" s="242"/>
      <c r="AY2341" s="231"/>
      <c r="AZ2341" s="231"/>
      <c r="BA2341" s="227"/>
      <c r="BB2341" s="231"/>
      <c r="BC2341" s="227"/>
      <c r="BD2341" s="227"/>
      <c r="BE2341" s="227"/>
      <c r="BF2341" s="227"/>
    </row>
    <row r="2342">
      <c r="A2342" s="235" t="s">
        <v>17974</v>
      </c>
      <c r="C2342" s="235" t="s">
        <v>17975</v>
      </c>
      <c r="D2342" s="235" t="s">
        <v>17976</v>
      </c>
      <c r="E2342" s="243">
        <v>6.53E13</v>
      </c>
      <c r="F2342" s="245"/>
      <c r="G2342" s="235" t="s">
        <v>17977</v>
      </c>
      <c r="H2342" s="235" t="s">
        <v>17978</v>
      </c>
      <c r="I2342" s="235" t="s">
        <v>17978</v>
      </c>
      <c r="J2342" s="235" t="s">
        <v>17979</v>
      </c>
      <c r="K2342" s="235" t="s">
        <v>17980</v>
      </c>
      <c r="N2342" s="235" t="s">
        <v>82</v>
      </c>
      <c r="O2342" s="235" t="s">
        <v>889</v>
      </c>
      <c r="P2342" s="238">
        <v>1.0</v>
      </c>
      <c r="Q2342" s="235" t="s">
        <v>627</v>
      </c>
      <c r="R2342" s="238">
        <v>270.48</v>
      </c>
      <c r="S2342" s="238">
        <v>13.52</v>
      </c>
      <c r="T2342" s="238">
        <v>38.1</v>
      </c>
      <c r="U2342" s="238">
        <v>1.9</v>
      </c>
      <c r="V2342" s="238">
        <v>0.0</v>
      </c>
      <c r="W2342" s="238">
        <v>0.0</v>
      </c>
      <c r="X2342" s="235" t="s">
        <v>628</v>
      </c>
      <c r="Z2342" s="244"/>
      <c r="AA2342" s="244"/>
      <c r="AB2342" s="244"/>
      <c r="AC2342" s="235" t="s">
        <v>678</v>
      </c>
      <c r="AD2342" s="235" t="s">
        <v>679</v>
      </c>
      <c r="AE2342" s="238">
        <v>560063.0</v>
      </c>
      <c r="AF2342" s="235" t="s">
        <v>631</v>
      </c>
      <c r="AG2342" s="244"/>
      <c r="AH2342" s="244"/>
      <c r="AI2342" s="245"/>
      <c r="AJ2342" s="245"/>
      <c r="AK2342" s="245"/>
      <c r="AL2342" s="245"/>
      <c r="AM2342" s="244"/>
      <c r="AN2342" s="244"/>
      <c r="AO2342" s="238">
        <v>0.0</v>
      </c>
      <c r="AP2342" s="238">
        <v>-38.1</v>
      </c>
      <c r="AQ2342" s="235" t="s">
        <v>632</v>
      </c>
      <c r="AR2342" s="243">
        <v>3.71E11</v>
      </c>
      <c r="AS2342" s="235" t="s">
        <v>16626</v>
      </c>
      <c r="AT2342" s="235" t="s">
        <v>9</v>
      </c>
      <c r="AU2342" s="235" t="s">
        <v>634</v>
      </c>
      <c r="AV2342" s="246" t="s">
        <v>635</v>
      </c>
      <c r="AW2342" s="242"/>
      <c r="AX2342" s="242"/>
      <c r="AY2342" s="231"/>
      <c r="AZ2342" s="231"/>
      <c r="BA2342" s="227"/>
      <c r="BB2342" s="231"/>
      <c r="BC2342" s="227"/>
      <c r="BD2342" s="227"/>
      <c r="BE2342" s="227"/>
      <c r="BF2342" s="227"/>
    </row>
    <row r="2343">
      <c r="A2343" s="235" t="s">
        <v>17981</v>
      </c>
      <c r="C2343" s="235" t="s">
        <v>17982</v>
      </c>
      <c r="D2343" s="235" t="s">
        <v>17983</v>
      </c>
      <c r="E2343" s="243">
        <v>6.53E13</v>
      </c>
      <c r="F2343" s="245"/>
      <c r="G2343" s="235" t="s">
        <v>17984</v>
      </c>
      <c r="H2343" s="235" t="s">
        <v>17985</v>
      </c>
      <c r="I2343" s="235" t="s">
        <v>17985</v>
      </c>
      <c r="J2343" s="235" t="s">
        <v>17986</v>
      </c>
      <c r="K2343" s="235" t="s">
        <v>17987</v>
      </c>
      <c r="N2343" s="235" t="s">
        <v>136</v>
      </c>
      <c r="O2343" s="235" t="s">
        <v>256</v>
      </c>
      <c r="P2343" s="238">
        <v>1.0</v>
      </c>
      <c r="Q2343" s="235" t="s">
        <v>627</v>
      </c>
      <c r="R2343" s="238">
        <v>270.48</v>
      </c>
      <c r="S2343" s="238">
        <v>13.52</v>
      </c>
      <c r="T2343" s="238">
        <v>0.0</v>
      </c>
      <c r="U2343" s="238">
        <v>0.0</v>
      </c>
      <c r="V2343" s="238">
        <v>0.0</v>
      </c>
      <c r="W2343" s="238">
        <v>0.0</v>
      </c>
      <c r="X2343" s="235" t="s">
        <v>628</v>
      </c>
      <c r="Z2343" s="244"/>
      <c r="AA2343" s="244"/>
      <c r="AB2343" s="244"/>
      <c r="AC2343" s="235" t="s">
        <v>678</v>
      </c>
      <c r="AD2343" s="235" t="s">
        <v>679</v>
      </c>
      <c r="AE2343" s="238">
        <v>560036.0</v>
      </c>
      <c r="AF2343" s="235" t="s">
        <v>631</v>
      </c>
      <c r="AG2343" s="244"/>
      <c r="AH2343" s="244"/>
      <c r="AI2343" s="245"/>
      <c r="AJ2343" s="245"/>
      <c r="AK2343" s="245"/>
      <c r="AL2343" s="245"/>
      <c r="AM2343" s="244"/>
      <c r="AN2343" s="244"/>
      <c r="AO2343" s="238">
        <v>0.0</v>
      </c>
      <c r="AP2343" s="238">
        <v>0.0</v>
      </c>
      <c r="AQ2343" s="235" t="s">
        <v>632</v>
      </c>
      <c r="AR2343" s="243">
        <v>1.68E11</v>
      </c>
      <c r="AS2343" s="235" t="s">
        <v>17988</v>
      </c>
      <c r="AT2343" s="235" t="s">
        <v>11</v>
      </c>
      <c r="AU2343" s="235" t="s">
        <v>634</v>
      </c>
      <c r="AV2343" s="246" t="s">
        <v>635</v>
      </c>
      <c r="AW2343" s="242"/>
      <c r="AX2343" s="242"/>
      <c r="AY2343" s="231"/>
      <c r="AZ2343" s="231"/>
      <c r="BA2343" s="227"/>
      <c r="BB2343" s="231"/>
      <c r="BC2343" s="227"/>
      <c r="BD2343" s="227"/>
      <c r="BE2343" s="227"/>
      <c r="BF2343" s="227"/>
    </row>
    <row r="2344">
      <c r="A2344" s="235" t="s">
        <v>17989</v>
      </c>
      <c r="C2344" s="235" t="s">
        <v>17990</v>
      </c>
      <c r="D2344" s="235" t="s">
        <v>17991</v>
      </c>
      <c r="E2344" s="243">
        <v>6.53E13</v>
      </c>
      <c r="F2344" s="245"/>
      <c r="G2344" s="235" t="s">
        <v>17992</v>
      </c>
      <c r="H2344" s="235" t="s">
        <v>17993</v>
      </c>
      <c r="I2344" s="235" t="s">
        <v>17993</v>
      </c>
      <c r="J2344" s="235" t="s">
        <v>17994</v>
      </c>
      <c r="K2344" s="235" t="s">
        <v>17995</v>
      </c>
      <c r="N2344" s="235" t="s">
        <v>71</v>
      </c>
      <c r="O2344" s="235" t="s">
        <v>240</v>
      </c>
      <c r="P2344" s="238">
        <v>1.0</v>
      </c>
      <c r="Q2344" s="235" t="s">
        <v>627</v>
      </c>
      <c r="R2344" s="238">
        <v>261.9</v>
      </c>
      <c r="S2344" s="238">
        <v>13.1</v>
      </c>
      <c r="T2344" s="238">
        <v>0.0</v>
      </c>
      <c r="U2344" s="238">
        <v>0.0</v>
      </c>
      <c r="V2344" s="238">
        <v>0.0</v>
      </c>
      <c r="W2344" s="238">
        <v>0.0</v>
      </c>
      <c r="X2344" s="235" t="s">
        <v>628</v>
      </c>
      <c r="Z2344" s="244"/>
      <c r="AA2344" s="244"/>
      <c r="AB2344" s="244"/>
      <c r="AC2344" s="235" t="s">
        <v>697</v>
      </c>
      <c r="AD2344" s="235" t="s">
        <v>698</v>
      </c>
      <c r="AE2344" s="238">
        <v>500015.0</v>
      </c>
      <c r="AF2344" s="235" t="s">
        <v>631</v>
      </c>
      <c r="AG2344" s="244"/>
      <c r="AH2344" s="244"/>
      <c r="AI2344" s="245"/>
      <c r="AJ2344" s="245"/>
      <c r="AK2344" s="245"/>
      <c r="AL2344" s="245"/>
      <c r="AM2344" s="244"/>
      <c r="AN2344" s="244"/>
      <c r="AO2344" s="238">
        <v>0.0</v>
      </c>
      <c r="AP2344" s="238">
        <v>0.0</v>
      </c>
      <c r="AQ2344" s="235" t="s">
        <v>632</v>
      </c>
      <c r="AR2344" s="243">
        <v>1.68E11</v>
      </c>
      <c r="AS2344" s="235" t="s">
        <v>16626</v>
      </c>
      <c r="AT2344" s="235" t="s">
        <v>9</v>
      </c>
      <c r="AU2344" s="235" t="s">
        <v>634</v>
      </c>
      <c r="AV2344" s="246" t="s">
        <v>635</v>
      </c>
      <c r="AW2344" s="242"/>
      <c r="AX2344" s="242"/>
      <c r="AY2344" s="231"/>
      <c r="AZ2344" s="231"/>
      <c r="BA2344" s="227"/>
      <c r="BB2344" s="231"/>
      <c r="BC2344" s="227"/>
      <c r="BD2344" s="227"/>
      <c r="BE2344" s="227"/>
      <c r="BF2344" s="227"/>
    </row>
    <row r="2345">
      <c r="A2345" s="235" t="s">
        <v>17996</v>
      </c>
      <c r="C2345" s="235" t="s">
        <v>17997</v>
      </c>
      <c r="D2345" s="235" t="s">
        <v>17998</v>
      </c>
      <c r="E2345" s="243">
        <v>6.53E13</v>
      </c>
      <c r="F2345" s="245"/>
      <c r="G2345" s="235" t="s">
        <v>17999</v>
      </c>
      <c r="H2345" s="235" t="s">
        <v>18000</v>
      </c>
      <c r="I2345" s="235" t="s">
        <v>18000</v>
      </c>
      <c r="J2345" s="235" t="s">
        <v>18001</v>
      </c>
      <c r="K2345" s="235" t="s">
        <v>18002</v>
      </c>
      <c r="N2345" s="235" t="s">
        <v>138</v>
      </c>
      <c r="O2345" s="235" t="s">
        <v>675</v>
      </c>
      <c r="P2345" s="238">
        <v>1.0</v>
      </c>
      <c r="Q2345" s="235" t="s">
        <v>627</v>
      </c>
      <c r="R2345" s="238">
        <v>270.48</v>
      </c>
      <c r="S2345" s="238">
        <v>13.52</v>
      </c>
      <c r="T2345" s="238">
        <v>0.0</v>
      </c>
      <c r="U2345" s="238">
        <v>0.0</v>
      </c>
      <c r="V2345" s="238">
        <v>0.0</v>
      </c>
      <c r="W2345" s="238">
        <v>0.0</v>
      </c>
      <c r="X2345" s="235" t="s">
        <v>628</v>
      </c>
      <c r="Z2345" s="244"/>
      <c r="AA2345" s="244"/>
      <c r="AB2345" s="244"/>
      <c r="AC2345" s="235" t="s">
        <v>18003</v>
      </c>
      <c r="AD2345" s="235" t="s">
        <v>731</v>
      </c>
      <c r="AE2345" s="238">
        <v>784105.0</v>
      </c>
      <c r="AF2345" s="235" t="s">
        <v>631</v>
      </c>
      <c r="AG2345" s="244"/>
      <c r="AH2345" s="244"/>
      <c r="AI2345" s="245"/>
      <c r="AJ2345" s="245"/>
      <c r="AK2345" s="245"/>
      <c r="AL2345" s="245"/>
      <c r="AM2345" s="244"/>
      <c r="AN2345" s="244"/>
      <c r="AO2345" s="238">
        <v>0.0</v>
      </c>
      <c r="AP2345" s="238">
        <v>0.0</v>
      </c>
      <c r="AQ2345" s="235" t="s">
        <v>632</v>
      </c>
      <c r="AR2345" s="243">
        <v>3.71E11</v>
      </c>
      <c r="AS2345" s="235" t="s">
        <v>8807</v>
      </c>
      <c r="AT2345" s="235" t="s">
        <v>156</v>
      </c>
      <c r="AU2345" s="235" t="s">
        <v>634</v>
      </c>
      <c r="AV2345" s="246" t="s">
        <v>635</v>
      </c>
      <c r="AW2345" s="242"/>
      <c r="AX2345" s="242"/>
      <c r="AY2345" s="231"/>
      <c r="AZ2345" s="231"/>
      <c r="BA2345" s="227"/>
      <c r="BB2345" s="231"/>
      <c r="BC2345" s="227"/>
      <c r="BD2345" s="227"/>
      <c r="BE2345" s="227"/>
      <c r="BF2345" s="227"/>
    </row>
    <row r="2346">
      <c r="A2346" s="235" t="s">
        <v>18004</v>
      </c>
      <c r="C2346" s="235" t="s">
        <v>18005</v>
      </c>
      <c r="D2346" s="235" t="s">
        <v>18006</v>
      </c>
      <c r="E2346" s="243">
        <v>6.53E13</v>
      </c>
      <c r="F2346" s="245"/>
      <c r="G2346" s="235" t="s">
        <v>18007</v>
      </c>
      <c r="H2346" s="235" t="s">
        <v>18008</v>
      </c>
      <c r="I2346" s="235" t="s">
        <v>18008</v>
      </c>
      <c r="J2346" s="235" t="s">
        <v>18009</v>
      </c>
      <c r="K2346" s="235" t="s">
        <v>18010</v>
      </c>
      <c r="N2346" s="235" t="s">
        <v>541</v>
      </c>
      <c r="O2346" s="235" t="s">
        <v>664</v>
      </c>
      <c r="P2346" s="238">
        <v>1.0</v>
      </c>
      <c r="Q2346" s="235" t="s">
        <v>627</v>
      </c>
      <c r="R2346" s="238">
        <v>668.64</v>
      </c>
      <c r="S2346" s="238">
        <v>120.36</v>
      </c>
      <c r="T2346" s="238">
        <v>33.9</v>
      </c>
      <c r="U2346" s="238">
        <v>6.1</v>
      </c>
      <c r="V2346" s="238">
        <v>0.0</v>
      </c>
      <c r="W2346" s="238">
        <v>0.0</v>
      </c>
      <c r="X2346" s="235" t="s">
        <v>628</v>
      </c>
      <c r="Z2346" s="244"/>
      <c r="AA2346" s="244"/>
      <c r="AB2346" s="244"/>
      <c r="AC2346" s="235" t="s">
        <v>687</v>
      </c>
      <c r="AD2346" s="235" t="s">
        <v>666</v>
      </c>
      <c r="AE2346" s="238">
        <v>600119.0</v>
      </c>
      <c r="AF2346" s="235" t="s">
        <v>631</v>
      </c>
      <c r="AG2346" s="244"/>
      <c r="AH2346" s="244"/>
      <c r="AI2346" s="245"/>
      <c r="AJ2346" s="245"/>
      <c r="AK2346" s="245"/>
      <c r="AL2346" s="245"/>
      <c r="AM2346" s="244"/>
      <c r="AN2346" s="244"/>
      <c r="AO2346" s="238">
        <v>0.0</v>
      </c>
      <c r="AP2346" s="238">
        <v>-33.9</v>
      </c>
      <c r="AQ2346" s="235" t="s">
        <v>632</v>
      </c>
      <c r="AR2346" s="243">
        <v>3.71E11</v>
      </c>
      <c r="AS2346" s="235" t="s">
        <v>16626</v>
      </c>
      <c r="AT2346" s="235" t="s">
        <v>156</v>
      </c>
      <c r="AU2346" s="235" t="s">
        <v>634</v>
      </c>
      <c r="AV2346" s="246" t="s">
        <v>635</v>
      </c>
      <c r="AW2346" s="242"/>
      <c r="AX2346" s="242"/>
      <c r="AY2346" s="231"/>
      <c r="AZ2346" s="231"/>
      <c r="BA2346" s="227"/>
      <c r="BB2346" s="231"/>
      <c r="BC2346" s="227"/>
      <c r="BD2346" s="227"/>
      <c r="BE2346" s="227"/>
      <c r="BF2346" s="227"/>
    </row>
    <row r="2347">
      <c r="A2347" s="235" t="s">
        <v>18011</v>
      </c>
      <c r="C2347" s="235" t="s">
        <v>18012</v>
      </c>
      <c r="D2347" s="235" t="s">
        <v>18013</v>
      </c>
      <c r="E2347" s="243">
        <v>6.52E13</v>
      </c>
      <c r="F2347" s="245"/>
      <c r="G2347" s="235" t="s">
        <v>18014</v>
      </c>
      <c r="H2347" s="235" t="s">
        <v>18015</v>
      </c>
      <c r="I2347" s="235" t="s">
        <v>18015</v>
      </c>
      <c r="J2347" s="235" t="s">
        <v>18016</v>
      </c>
      <c r="K2347" s="235" t="s">
        <v>18017</v>
      </c>
      <c r="N2347" s="235" t="s">
        <v>127</v>
      </c>
      <c r="O2347" s="235" t="s">
        <v>794</v>
      </c>
      <c r="P2347" s="238">
        <v>1.0</v>
      </c>
      <c r="Q2347" s="235" t="s">
        <v>627</v>
      </c>
      <c r="R2347" s="238">
        <v>236.2</v>
      </c>
      <c r="S2347" s="238">
        <v>11.45</v>
      </c>
      <c r="T2347" s="238">
        <v>0.0</v>
      </c>
      <c r="U2347" s="238">
        <v>0.0</v>
      </c>
      <c r="V2347" s="238">
        <v>0.0</v>
      </c>
      <c r="W2347" s="238">
        <v>0.0</v>
      </c>
      <c r="X2347" s="235" t="s">
        <v>628</v>
      </c>
      <c r="Z2347" s="244"/>
      <c r="AA2347" s="244"/>
      <c r="AB2347" s="244"/>
      <c r="AC2347" s="235" t="s">
        <v>1058</v>
      </c>
      <c r="AD2347" s="235" t="s">
        <v>845</v>
      </c>
      <c r="AE2347" s="238">
        <v>400089.0</v>
      </c>
      <c r="AF2347" s="235" t="s">
        <v>631</v>
      </c>
      <c r="AG2347" s="244"/>
      <c r="AH2347" s="244"/>
      <c r="AI2347" s="245"/>
      <c r="AJ2347" s="245"/>
      <c r="AK2347" s="245"/>
      <c r="AL2347" s="245"/>
      <c r="AM2347" s="244"/>
      <c r="AN2347" s="244"/>
      <c r="AO2347" s="238">
        <v>-7.09</v>
      </c>
      <c r="AP2347" s="238">
        <v>0.0</v>
      </c>
      <c r="AQ2347" s="235" t="s">
        <v>632</v>
      </c>
      <c r="AR2347" s="243">
        <v>3.71E11</v>
      </c>
      <c r="AS2347" s="235" t="s">
        <v>16626</v>
      </c>
      <c r="AT2347" s="235" t="s">
        <v>16</v>
      </c>
      <c r="AU2347" s="235" t="s">
        <v>634</v>
      </c>
      <c r="AV2347" s="246" t="s">
        <v>635</v>
      </c>
      <c r="AW2347" s="242"/>
      <c r="AX2347" s="242"/>
      <c r="AY2347" s="231"/>
      <c r="AZ2347" s="231"/>
      <c r="BA2347" s="227"/>
      <c r="BB2347" s="231"/>
      <c r="BC2347" s="227"/>
      <c r="BD2347" s="227"/>
      <c r="BE2347" s="227"/>
      <c r="BF2347" s="227"/>
    </row>
    <row r="2348">
      <c r="A2348" s="235" t="s">
        <v>18018</v>
      </c>
      <c r="C2348" s="235" t="s">
        <v>18019</v>
      </c>
      <c r="D2348" s="235" t="s">
        <v>18020</v>
      </c>
      <c r="E2348" s="243">
        <v>6.53E13</v>
      </c>
      <c r="F2348" s="245"/>
      <c r="G2348" s="235" t="s">
        <v>18021</v>
      </c>
      <c r="H2348" s="235" t="s">
        <v>18022</v>
      </c>
      <c r="I2348" s="235" t="s">
        <v>18023</v>
      </c>
      <c r="J2348" s="235" t="s">
        <v>18024</v>
      </c>
      <c r="K2348" s="235" t="s">
        <v>18025</v>
      </c>
      <c r="N2348" s="235" t="s">
        <v>127</v>
      </c>
      <c r="O2348" s="235" t="s">
        <v>794</v>
      </c>
      <c r="P2348" s="238">
        <v>1.0</v>
      </c>
      <c r="Q2348" s="235" t="s">
        <v>627</v>
      </c>
      <c r="R2348" s="238">
        <v>270.48</v>
      </c>
      <c r="S2348" s="238">
        <v>13.52</v>
      </c>
      <c r="T2348" s="238">
        <v>0.0</v>
      </c>
      <c r="U2348" s="238">
        <v>0.0</v>
      </c>
      <c r="V2348" s="238">
        <v>0.0</v>
      </c>
      <c r="W2348" s="238">
        <v>0.0</v>
      </c>
      <c r="X2348" s="235" t="s">
        <v>628</v>
      </c>
      <c r="Z2348" s="244"/>
      <c r="AA2348" s="244"/>
      <c r="AB2348" s="244"/>
      <c r="AC2348" s="235" t="s">
        <v>1531</v>
      </c>
      <c r="AD2348" s="235" t="s">
        <v>1151</v>
      </c>
      <c r="AE2348" s="238">
        <v>700084.0</v>
      </c>
      <c r="AF2348" s="235" t="s">
        <v>631</v>
      </c>
      <c r="AG2348" s="244"/>
      <c r="AH2348" s="244"/>
      <c r="AI2348" s="245"/>
      <c r="AJ2348" s="245"/>
      <c r="AK2348" s="245"/>
      <c r="AL2348" s="245"/>
      <c r="AM2348" s="244"/>
      <c r="AN2348" s="244"/>
      <c r="AO2348" s="238">
        <v>0.0</v>
      </c>
      <c r="AP2348" s="238">
        <v>0.0</v>
      </c>
      <c r="AQ2348" s="235" t="s">
        <v>632</v>
      </c>
      <c r="AR2348" s="243">
        <v>2.02E11</v>
      </c>
      <c r="AS2348" s="235" t="s">
        <v>16626</v>
      </c>
      <c r="AT2348" s="235" t="s">
        <v>156</v>
      </c>
      <c r="AU2348" s="235" t="s">
        <v>634</v>
      </c>
      <c r="AV2348" s="246" t="s">
        <v>635</v>
      </c>
      <c r="AW2348" s="242"/>
      <c r="AX2348" s="242"/>
      <c r="AY2348" s="231"/>
      <c r="AZ2348" s="231"/>
      <c r="BA2348" s="227"/>
      <c r="BB2348" s="231"/>
      <c r="BC2348" s="227"/>
      <c r="BD2348" s="227"/>
      <c r="BE2348" s="227"/>
      <c r="BF2348" s="227"/>
    </row>
    <row r="2349">
      <c r="A2349" s="235" t="s">
        <v>18026</v>
      </c>
      <c r="C2349" s="235" t="s">
        <v>18027</v>
      </c>
      <c r="D2349" s="235" t="s">
        <v>18028</v>
      </c>
      <c r="E2349" s="243">
        <v>6.53E13</v>
      </c>
      <c r="F2349" s="245"/>
      <c r="G2349" s="235" t="s">
        <v>18029</v>
      </c>
      <c r="H2349" s="235" t="s">
        <v>18030</v>
      </c>
      <c r="I2349" s="235" t="s">
        <v>18030</v>
      </c>
      <c r="J2349" s="235" t="s">
        <v>18031</v>
      </c>
      <c r="K2349" s="235" t="s">
        <v>18032</v>
      </c>
      <c r="N2349" s="235" t="s">
        <v>127</v>
      </c>
      <c r="O2349" s="235" t="s">
        <v>794</v>
      </c>
      <c r="P2349" s="238">
        <v>1.0</v>
      </c>
      <c r="Q2349" s="235" t="s">
        <v>627</v>
      </c>
      <c r="R2349" s="238">
        <v>270.48</v>
      </c>
      <c r="S2349" s="238">
        <v>13.52</v>
      </c>
      <c r="T2349" s="238">
        <v>0.0</v>
      </c>
      <c r="U2349" s="238">
        <v>0.0</v>
      </c>
      <c r="V2349" s="238">
        <v>0.0</v>
      </c>
      <c r="W2349" s="238">
        <v>0.0</v>
      </c>
      <c r="X2349" s="235" t="s">
        <v>628</v>
      </c>
      <c r="Z2349" s="244"/>
      <c r="AA2349" s="244"/>
      <c r="AB2349" s="244"/>
      <c r="AC2349" s="235" t="s">
        <v>18033</v>
      </c>
      <c r="AD2349" s="235" t="s">
        <v>666</v>
      </c>
      <c r="AE2349" s="238">
        <v>602108.0</v>
      </c>
      <c r="AF2349" s="235" t="s">
        <v>631</v>
      </c>
      <c r="AG2349" s="244"/>
      <c r="AH2349" s="244"/>
      <c r="AI2349" s="245"/>
      <c r="AJ2349" s="245"/>
      <c r="AK2349" s="245"/>
      <c r="AL2349" s="245"/>
      <c r="AM2349" s="244"/>
      <c r="AN2349" s="244"/>
      <c r="AO2349" s="238">
        <v>0.0</v>
      </c>
      <c r="AP2349" s="238">
        <v>0.0</v>
      </c>
      <c r="AQ2349" s="235" t="s">
        <v>632</v>
      </c>
      <c r="AR2349" s="243">
        <v>3.71E11</v>
      </c>
      <c r="AS2349" s="235" t="s">
        <v>16626</v>
      </c>
      <c r="AT2349" s="235" t="s">
        <v>156</v>
      </c>
      <c r="AU2349" s="235" t="s">
        <v>634</v>
      </c>
      <c r="AV2349" s="246" t="s">
        <v>635</v>
      </c>
      <c r="AW2349" s="242"/>
      <c r="AX2349" s="242"/>
      <c r="AY2349" s="231"/>
      <c r="AZ2349" s="231"/>
      <c r="BA2349" s="227"/>
      <c r="BB2349" s="231"/>
      <c r="BC2349" s="227"/>
      <c r="BD2349" s="227"/>
      <c r="BE2349" s="227"/>
      <c r="BF2349" s="227"/>
    </row>
    <row r="2350">
      <c r="A2350" s="235" t="s">
        <v>18034</v>
      </c>
      <c r="C2350" s="235" t="s">
        <v>18035</v>
      </c>
      <c r="D2350" s="235" t="s">
        <v>18036</v>
      </c>
      <c r="E2350" s="243">
        <v>6.53E13</v>
      </c>
      <c r="F2350" s="245"/>
      <c r="G2350" s="235" t="s">
        <v>18037</v>
      </c>
      <c r="H2350" s="235" t="s">
        <v>18038</v>
      </c>
      <c r="I2350" s="235" t="s">
        <v>18038</v>
      </c>
      <c r="J2350" s="235" t="s">
        <v>18039</v>
      </c>
      <c r="K2350" s="235" t="s">
        <v>18040</v>
      </c>
      <c r="N2350" s="235" t="s">
        <v>51</v>
      </c>
      <c r="O2350" s="235" t="s">
        <v>273</v>
      </c>
      <c r="P2350" s="238">
        <v>1.0</v>
      </c>
      <c r="Q2350" s="235" t="s">
        <v>627</v>
      </c>
      <c r="R2350" s="238">
        <v>270.48</v>
      </c>
      <c r="S2350" s="238">
        <v>13.52</v>
      </c>
      <c r="T2350" s="238">
        <v>0.0</v>
      </c>
      <c r="U2350" s="238">
        <v>0.0</v>
      </c>
      <c r="V2350" s="238">
        <v>0.0</v>
      </c>
      <c r="W2350" s="238">
        <v>0.0</v>
      </c>
      <c r="X2350" s="235" t="s">
        <v>628</v>
      </c>
      <c r="Z2350" s="244"/>
      <c r="AA2350" s="244"/>
      <c r="AB2350" s="244"/>
      <c r="AC2350" s="235" t="s">
        <v>6896</v>
      </c>
      <c r="AD2350" s="235" t="s">
        <v>833</v>
      </c>
      <c r="AE2350" s="238">
        <v>533004.0</v>
      </c>
      <c r="AF2350" s="235" t="s">
        <v>631</v>
      </c>
      <c r="AG2350" s="244"/>
      <c r="AH2350" s="244"/>
      <c r="AI2350" s="245"/>
      <c r="AJ2350" s="245"/>
      <c r="AK2350" s="245"/>
      <c r="AL2350" s="245"/>
      <c r="AM2350" s="244"/>
      <c r="AN2350" s="244"/>
      <c r="AO2350" s="238">
        <v>0.0</v>
      </c>
      <c r="AP2350" s="238">
        <v>0.0</v>
      </c>
      <c r="AQ2350" s="235" t="s">
        <v>632</v>
      </c>
      <c r="AR2350" s="243">
        <v>3.71E11</v>
      </c>
      <c r="AS2350" s="235" t="s">
        <v>12693</v>
      </c>
      <c r="AT2350" s="235" t="s">
        <v>17</v>
      </c>
      <c r="AU2350" s="235" t="s">
        <v>634</v>
      </c>
      <c r="AV2350" s="246" t="s">
        <v>635</v>
      </c>
      <c r="AW2350" s="242"/>
      <c r="AX2350" s="242"/>
      <c r="AY2350" s="231"/>
      <c r="AZ2350" s="231"/>
      <c r="BA2350" s="227"/>
      <c r="BB2350" s="231"/>
      <c r="BC2350" s="227"/>
      <c r="BD2350" s="227"/>
      <c r="BE2350" s="227"/>
      <c r="BF2350" s="227"/>
    </row>
    <row r="2351">
      <c r="A2351" s="235" t="s">
        <v>18041</v>
      </c>
      <c r="C2351" s="235" t="s">
        <v>18042</v>
      </c>
      <c r="D2351" s="235" t="s">
        <v>18043</v>
      </c>
      <c r="E2351" s="243">
        <v>6.53E13</v>
      </c>
      <c r="F2351" s="245"/>
      <c r="G2351" s="235" t="s">
        <v>18044</v>
      </c>
      <c r="H2351" s="235" t="s">
        <v>18045</v>
      </c>
      <c r="I2351" s="235" t="s">
        <v>18045</v>
      </c>
      <c r="J2351" s="235" t="s">
        <v>18046</v>
      </c>
      <c r="K2351" s="235" t="s">
        <v>18047</v>
      </c>
      <c r="N2351" s="235" t="s">
        <v>92</v>
      </c>
      <c r="O2351" s="235" t="s">
        <v>248</v>
      </c>
      <c r="P2351" s="238">
        <v>1.0</v>
      </c>
      <c r="Q2351" s="235" t="s">
        <v>627</v>
      </c>
      <c r="R2351" s="238">
        <v>270.48</v>
      </c>
      <c r="S2351" s="238">
        <v>13.25</v>
      </c>
      <c r="T2351" s="238">
        <v>0.0</v>
      </c>
      <c r="U2351" s="238">
        <v>0.0</v>
      </c>
      <c r="V2351" s="238">
        <v>0.0</v>
      </c>
      <c r="W2351" s="238">
        <v>0.0</v>
      </c>
      <c r="X2351" s="235" t="s">
        <v>628</v>
      </c>
      <c r="Z2351" s="244"/>
      <c r="AA2351" s="244"/>
      <c r="AB2351" s="244"/>
      <c r="AC2351" s="235" t="s">
        <v>1998</v>
      </c>
      <c r="AD2351" s="235" t="s">
        <v>928</v>
      </c>
      <c r="AE2351" s="238">
        <v>121010.0</v>
      </c>
      <c r="AF2351" s="235" t="s">
        <v>631</v>
      </c>
      <c r="AG2351" s="244"/>
      <c r="AH2351" s="244"/>
      <c r="AI2351" s="245"/>
      <c r="AJ2351" s="245"/>
      <c r="AK2351" s="245"/>
      <c r="AL2351" s="245"/>
      <c r="AM2351" s="244"/>
      <c r="AN2351" s="244"/>
      <c r="AO2351" s="238">
        <v>-5.41</v>
      </c>
      <c r="AP2351" s="238">
        <v>0.0</v>
      </c>
      <c r="AQ2351" s="235" t="s">
        <v>632</v>
      </c>
      <c r="AR2351" s="243">
        <v>3.71E11</v>
      </c>
      <c r="AS2351" s="235" t="s">
        <v>13822</v>
      </c>
      <c r="AT2351" s="235" t="s">
        <v>16</v>
      </c>
      <c r="AU2351" s="235" t="s">
        <v>634</v>
      </c>
      <c r="AV2351" s="246" t="s">
        <v>635</v>
      </c>
      <c r="AW2351" s="242"/>
      <c r="AX2351" s="242"/>
      <c r="AY2351" s="231"/>
      <c r="AZ2351" s="231"/>
      <c r="BA2351" s="227"/>
      <c r="BB2351" s="231"/>
      <c r="BC2351" s="227"/>
      <c r="BD2351" s="227"/>
      <c r="BE2351" s="227"/>
      <c r="BF2351" s="227"/>
    </row>
    <row r="2352">
      <c r="A2352" s="235" t="s">
        <v>18048</v>
      </c>
      <c r="C2352" s="235" t="s">
        <v>18049</v>
      </c>
      <c r="D2352" s="235" t="s">
        <v>18050</v>
      </c>
      <c r="E2352" s="243">
        <v>6.52E13</v>
      </c>
      <c r="F2352" s="245"/>
      <c r="G2352" s="235" t="s">
        <v>18051</v>
      </c>
      <c r="H2352" s="235" t="s">
        <v>18052</v>
      </c>
      <c r="I2352" s="235" t="s">
        <v>18052</v>
      </c>
      <c r="J2352" s="235" t="s">
        <v>18053</v>
      </c>
      <c r="K2352" s="235" t="s">
        <v>18054</v>
      </c>
      <c r="N2352" s="235" t="s">
        <v>2706</v>
      </c>
      <c r="O2352" s="235" t="s">
        <v>2707</v>
      </c>
      <c r="P2352" s="238">
        <v>1.0</v>
      </c>
      <c r="Q2352" s="235" t="s">
        <v>627</v>
      </c>
      <c r="R2352" s="238">
        <v>761.86</v>
      </c>
      <c r="S2352" s="238">
        <v>137.14</v>
      </c>
      <c r="T2352" s="238">
        <v>0.0</v>
      </c>
      <c r="U2352" s="238">
        <v>0.0</v>
      </c>
      <c r="V2352" s="238">
        <v>0.0</v>
      </c>
      <c r="W2352" s="238">
        <v>0.0</v>
      </c>
      <c r="X2352" s="235" t="s">
        <v>628</v>
      </c>
      <c r="Z2352" s="244"/>
      <c r="AA2352" s="244"/>
      <c r="AB2352" s="244"/>
      <c r="AC2352" s="235" t="s">
        <v>1961</v>
      </c>
      <c r="AD2352" s="235" t="s">
        <v>845</v>
      </c>
      <c r="AE2352" s="238">
        <v>411044.0</v>
      </c>
      <c r="AF2352" s="235" t="s">
        <v>631</v>
      </c>
      <c r="AG2352" s="244"/>
      <c r="AH2352" s="244"/>
      <c r="AI2352" s="245"/>
      <c r="AJ2352" s="245"/>
      <c r="AK2352" s="245"/>
      <c r="AL2352" s="245"/>
      <c r="AM2352" s="244"/>
      <c r="AN2352" s="244"/>
      <c r="AO2352" s="238">
        <v>0.0</v>
      </c>
      <c r="AP2352" s="238">
        <v>0.0</v>
      </c>
      <c r="AQ2352" s="235" t="s">
        <v>632</v>
      </c>
      <c r="AR2352" s="243">
        <v>3.71E11</v>
      </c>
      <c r="AS2352" s="235" t="s">
        <v>16626</v>
      </c>
      <c r="AT2352" s="235" t="s">
        <v>546</v>
      </c>
      <c r="AU2352" s="235" t="s">
        <v>634</v>
      </c>
      <c r="AV2352" s="246" t="s">
        <v>635</v>
      </c>
      <c r="AW2352" s="242"/>
      <c r="AX2352" s="242"/>
      <c r="AY2352" s="231"/>
      <c r="AZ2352" s="231"/>
      <c r="BA2352" s="227"/>
      <c r="BB2352" s="231"/>
      <c r="BC2352" s="227"/>
      <c r="BD2352" s="227"/>
      <c r="BE2352" s="227"/>
      <c r="BF2352" s="227"/>
    </row>
    <row r="2353">
      <c r="A2353" s="235" t="s">
        <v>18055</v>
      </c>
      <c r="C2353" s="235" t="s">
        <v>18056</v>
      </c>
      <c r="D2353" s="235" t="s">
        <v>18057</v>
      </c>
      <c r="E2353" s="243">
        <v>6.53E13</v>
      </c>
      <c r="F2353" s="245"/>
      <c r="G2353" s="235" t="s">
        <v>18058</v>
      </c>
      <c r="H2353" s="235" t="s">
        <v>18059</v>
      </c>
      <c r="I2353" s="235" t="s">
        <v>18059</v>
      </c>
      <c r="J2353" s="235" t="s">
        <v>18060</v>
      </c>
      <c r="K2353" s="235" t="s">
        <v>18061</v>
      </c>
      <c r="N2353" s="235" t="s">
        <v>139</v>
      </c>
      <c r="O2353" s="235" t="s">
        <v>2091</v>
      </c>
      <c r="P2353" s="238">
        <v>1.0</v>
      </c>
      <c r="Q2353" s="235" t="s">
        <v>627</v>
      </c>
      <c r="R2353" s="238">
        <v>270.48</v>
      </c>
      <c r="S2353" s="238">
        <v>13.52</v>
      </c>
      <c r="T2353" s="238">
        <v>0.0</v>
      </c>
      <c r="U2353" s="238">
        <v>0.0</v>
      </c>
      <c r="V2353" s="238">
        <v>0.0</v>
      </c>
      <c r="W2353" s="238">
        <v>0.0</v>
      </c>
      <c r="X2353" s="235" t="s">
        <v>628</v>
      </c>
      <c r="Z2353" s="244"/>
      <c r="AA2353" s="244"/>
      <c r="AB2353" s="244"/>
      <c r="AC2353" s="235" t="s">
        <v>18033</v>
      </c>
      <c r="AD2353" s="235" t="s">
        <v>666</v>
      </c>
      <c r="AE2353" s="238">
        <v>602108.0</v>
      </c>
      <c r="AF2353" s="235" t="s">
        <v>631</v>
      </c>
      <c r="AG2353" s="244"/>
      <c r="AH2353" s="244"/>
      <c r="AI2353" s="245"/>
      <c r="AJ2353" s="245"/>
      <c r="AK2353" s="245"/>
      <c r="AL2353" s="245"/>
      <c r="AM2353" s="244"/>
      <c r="AN2353" s="244"/>
      <c r="AO2353" s="238">
        <v>0.0</v>
      </c>
      <c r="AP2353" s="238">
        <v>0.0</v>
      </c>
      <c r="AQ2353" s="235" t="s">
        <v>632</v>
      </c>
      <c r="AR2353" s="243">
        <v>3.71E11</v>
      </c>
      <c r="AS2353" s="235" t="s">
        <v>16626</v>
      </c>
      <c r="AT2353" s="235" t="s">
        <v>156</v>
      </c>
      <c r="AU2353" s="235" t="s">
        <v>634</v>
      </c>
      <c r="AV2353" s="246" t="s">
        <v>635</v>
      </c>
      <c r="AW2353" s="242"/>
      <c r="AX2353" s="242"/>
      <c r="AY2353" s="231"/>
      <c r="AZ2353" s="231"/>
      <c r="BA2353" s="227"/>
      <c r="BB2353" s="231"/>
      <c r="BC2353" s="227"/>
      <c r="BD2353" s="227"/>
      <c r="BE2353" s="227"/>
      <c r="BF2353" s="227"/>
    </row>
    <row r="2354">
      <c r="A2354" s="235" t="s">
        <v>18062</v>
      </c>
      <c r="C2354" s="235" t="s">
        <v>18063</v>
      </c>
      <c r="D2354" s="235" t="s">
        <v>18064</v>
      </c>
      <c r="E2354" s="243">
        <v>6.53E13</v>
      </c>
      <c r="F2354" s="245"/>
      <c r="G2354" s="235" t="s">
        <v>18065</v>
      </c>
      <c r="H2354" s="235" t="s">
        <v>18066</v>
      </c>
      <c r="I2354" s="235" t="s">
        <v>18066</v>
      </c>
      <c r="J2354" s="235" t="s">
        <v>18067</v>
      </c>
      <c r="K2354" s="235" t="s">
        <v>18068</v>
      </c>
      <c r="N2354" s="235" t="s">
        <v>989</v>
      </c>
      <c r="O2354" s="235" t="s">
        <v>990</v>
      </c>
      <c r="P2354" s="238">
        <v>1.0</v>
      </c>
      <c r="Q2354" s="235" t="s">
        <v>627</v>
      </c>
      <c r="R2354" s="238">
        <v>256.19</v>
      </c>
      <c r="S2354" s="238">
        <v>12.81</v>
      </c>
      <c r="T2354" s="238">
        <v>0.0</v>
      </c>
      <c r="U2354" s="238">
        <v>0.0</v>
      </c>
      <c r="V2354" s="238">
        <v>0.0</v>
      </c>
      <c r="W2354" s="238">
        <v>0.0</v>
      </c>
      <c r="X2354" s="235" t="s">
        <v>628</v>
      </c>
      <c r="Z2354" s="244"/>
      <c r="AA2354" s="244"/>
      <c r="AB2354" s="244"/>
      <c r="AC2354" s="235" t="s">
        <v>18069</v>
      </c>
      <c r="AD2354" s="235" t="s">
        <v>630</v>
      </c>
      <c r="AE2354" s="238">
        <v>244302.0</v>
      </c>
      <c r="AF2354" s="235" t="s">
        <v>631</v>
      </c>
      <c r="AG2354" s="244"/>
      <c r="AH2354" s="244"/>
      <c r="AI2354" s="245"/>
      <c r="AJ2354" s="245"/>
      <c r="AK2354" s="245"/>
      <c r="AL2354" s="245"/>
      <c r="AM2354" s="244"/>
      <c r="AN2354" s="244"/>
      <c r="AO2354" s="238">
        <v>0.0</v>
      </c>
      <c r="AP2354" s="238">
        <v>0.0</v>
      </c>
      <c r="AQ2354" s="235" t="s">
        <v>632</v>
      </c>
      <c r="AR2354" s="243">
        <v>3.71E11</v>
      </c>
      <c r="AS2354" s="235" t="s">
        <v>16626</v>
      </c>
      <c r="AT2354" s="235" t="s">
        <v>533</v>
      </c>
      <c r="AU2354" s="235" t="s">
        <v>634</v>
      </c>
      <c r="AV2354" s="246" t="s">
        <v>635</v>
      </c>
      <c r="AW2354" s="242"/>
      <c r="AX2354" s="242"/>
      <c r="AY2354" s="231"/>
      <c r="AZ2354" s="231"/>
      <c r="BA2354" s="227"/>
      <c r="BB2354" s="231"/>
      <c r="BC2354" s="227"/>
      <c r="BD2354" s="227"/>
      <c r="BE2354" s="227"/>
      <c r="BF2354" s="227"/>
    </row>
    <row r="2355">
      <c r="A2355" s="235" t="s">
        <v>18070</v>
      </c>
      <c r="C2355" s="235" t="s">
        <v>18071</v>
      </c>
      <c r="D2355" s="235" t="s">
        <v>18072</v>
      </c>
      <c r="E2355" s="243">
        <v>6.53E13</v>
      </c>
      <c r="F2355" s="245"/>
      <c r="G2355" s="235" t="s">
        <v>18073</v>
      </c>
      <c r="H2355" s="235" t="s">
        <v>18074</v>
      </c>
      <c r="I2355" s="235" t="s">
        <v>18074</v>
      </c>
      <c r="J2355" s="235" t="s">
        <v>18075</v>
      </c>
      <c r="K2355" s="235" t="s">
        <v>18076</v>
      </c>
      <c r="N2355" s="235" t="s">
        <v>51</v>
      </c>
      <c r="O2355" s="235" t="s">
        <v>273</v>
      </c>
      <c r="P2355" s="238">
        <v>1.0</v>
      </c>
      <c r="Q2355" s="235" t="s">
        <v>627</v>
      </c>
      <c r="R2355" s="238">
        <v>270.48</v>
      </c>
      <c r="S2355" s="238">
        <v>13.52</v>
      </c>
      <c r="T2355" s="238">
        <v>0.0</v>
      </c>
      <c r="U2355" s="238">
        <v>0.0</v>
      </c>
      <c r="V2355" s="238">
        <v>0.0</v>
      </c>
      <c r="W2355" s="238">
        <v>0.0</v>
      </c>
      <c r="X2355" s="235" t="s">
        <v>628</v>
      </c>
      <c r="Z2355" s="244"/>
      <c r="AA2355" s="244"/>
      <c r="AB2355" s="244"/>
      <c r="AC2355" s="235" t="s">
        <v>687</v>
      </c>
      <c r="AD2355" s="235" t="s">
        <v>666</v>
      </c>
      <c r="AE2355" s="238">
        <v>600077.0</v>
      </c>
      <c r="AF2355" s="235" t="s">
        <v>631</v>
      </c>
      <c r="AG2355" s="244"/>
      <c r="AH2355" s="244"/>
      <c r="AI2355" s="245"/>
      <c r="AJ2355" s="245"/>
      <c r="AK2355" s="245"/>
      <c r="AL2355" s="245"/>
      <c r="AM2355" s="244"/>
      <c r="AN2355" s="244"/>
      <c r="AO2355" s="238">
        <v>0.0</v>
      </c>
      <c r="AP2355" s="238">
        <v>0.0</v>
      </c>
      <c r="AQ2355" s="235" t="s">
        <v>632</v>
      </c>
      <c r="AR2355" s="243">
        <v>1.68E11</v>
      </c>
      <c r="AS2355" s="235" t="s">
        <v>17109</v>
      </c>
      <c r="AT2355" s="235" t="s">
        <v>156</v>
      </c>
      <c r="AU2355" s="235" t="s">
        <v>634</v>
      </c>
      <c r="AV2355" s="246" t="s">
        <v>635</v>
      </c>
      <c r="AW2355" s="242"/>
      <c r="AX2355" s="242"/>
      <c r="AY2355" s="231"/>
      <c r="AZ2355" s="231"/>
      <c r="BA2355" s="227"/>
      <c r="BB2355" s="231"/>
      <c r="BC2355" s="227"/>
      <c r="BD2355" s="227"/>
      <c r="BE2355" s="227"/>
      <c r="BF2355" s="227"/>
    </row>
    <row r="2356">
      <c r="A2356" s="235" t="s">
        <v>18077</v>
      </c>
      <c r="C2356" s="235" t="s">
        <v>18078</v>
      </c>
      <c r="D2356" s="235" t="s">
        <v>18079</v>
      </c>
      <c r="E2356" s="243">
        <v>6.53E13</v>
      </c>
      <c r="F2356" s="245"/>
      <c r="G2356" s="235" t="s">
        <v>18080</v>
      </c>
      <c r="H2356" s="235" t="s">
        <v>18081</v>
      </c>
      <c r="I2356" s="235" t="s">
        <v>18081</v>
      </c>
      <c r="J2356" s="235" t="s">
        <v>18082</v>
      </c>
      <c r="K2356" s="235" t="s">
        <v>18083</v>
      </c>
      <c r="N2356" s="235" t="s">
        <v>138</v>
      </c>
      <c r="O2356" s="235" t="s">
        <v>675</v>
      </c>
      <c r="P2356" s="238">
        <v>1.0</v>
      </c>
      <c r="Q2356" s="235" t="s">
        <v>627</v>
      </c>
      <c r="R2356" s="238">
        <v>270.48</v>
      </c>
      <c r="S2356" s="238">
        <v>13.25</v>
      </c>
      <c r="T2356" s="238">
        <v>0.0</v>
      </c>
      <c r="U2356" s="238">
        <v>0.0</v>
      </c>
      <c r="V2356" s="238">
        <v>0.0</v>
      </c>
      <c r="W2356" s="238">
        <v>0.0</v>
      </c>
      <c r="X2356" s="235" t="s">
        <v>628</v>
      </c>
      <c r="Z2356" s="244"/>
      <c r="AA2356" s="244"/>
      <c r="AB2356" s="244"/>
      <c r="AC2356" s="235" t="s">
        <v>6127</v>
      </c>
      <c r="AD2356" s="235" t="s">
        <v>645</v>
      </c>
      <c r="AE2356" s="238">
        <v>683561.0</v>
      </c>
      <c r="AF2356" s="235" t="s">
        <v>631</v>
      </c>
      <c r="AG2356" s="244"/>
      <c r="AH2356" s="244"/>
      <c r="AI2356" s="245"/>
      <c r="AJ2356" s="245"/>
      <c r="AK2356" s="245"/>
      <c r="AL2356" s="245"/>
      <c r="AM2356" s="244"/>
      <c r="AN2356" s="244"/>
      <c r="AO2356" s="238">
        <v>-5.41</v>
      </c>
      <c r="AP2356" s="238">
        <v>0.0</v>
      </c>
      <c r="AQ2356" s="235" t="s">
        <v>632</v>
      </c>
      <c r="AR2356" s="243">
        <v>3.71E11</v>
      </c>
      <c r="AS2356" s="235" t="s">
        <v>16626</v>
      </c>
      <c r="AT2356" s="235" t="s">
        <v>155</v>
      </c>
      <c r="AU2356" s="235" t="s">
        <v>634</v>
      </c>
      <c r="AV2356" s="246" t="s">
        <v>635</v>
      </c>
      <c r="AW2356" s="242"/>
      <c r="AX2356" s="242"/>
      <c r="AY2356" s="231"/>
      <c r="AZ2356" s="231"/>
      <c r="BA2356" s="227"/>
      <c r="BB2356" s="231"/>
      <c r="BC2356" s="227"/>
      <c r="BD2356" s="227"/>
      <c r="BE2356" s="227"/>
      <c r="BF2356" s="227"/>
    </row>
    <row r="2357">
      <c r="A2357" s="235" t="s">
        <v>18084</v>
      </c>
      <c r="C2357" s="235" t="s">
        <v>18085</v>
      </c>
      <c r="D2357" s="235" t="s">
        <v>18086</v>
      </c>
      <c r="E2357" s="243">
        <v>6.53E13</v>
      </c>
      <c r="F2357" s="245"/>
      <c r="G2357" s="235" t="s">
        <v>18087</v>
      </c>
      <c r="H2357" s="235" t="s">
        <v>18088</v>
      </c>
      <c r="I2357" s="235" t="s">
        <v>18089</v>
      </c>
      <c r="J2357" s="235" t="s">
        <v>18090</v>
      </c>
      <c r="K2357" s="235" t="s">
        <v>18091</v>
      </c>
      <c r="N2357" s="235" t="s">
        <v>989</v>
      </c>
      <c r="O2357" s="235" t="s">
        <v>990</v>
      </c>
      <c r="P2357" s="238">
        <v>1.0</v>
      </c>
      <c r="Q2357" s="235" t="s">
        <v>627</v>
      </c>
      <c r="R2357" s="238">
        <v>256.2</v>
      </c>
      <c r="S2357" s="238">
        <v>12.8</v>
      </c>
      <c r="T2357" s="238">
        <v>0.0</v>
      </c>
      <c r="U2357" s="238">
        <v>0.0</v>
      </c>
      <c r="V2357" s="238">
        <v>0.0</v>
      </c>
      <c r="W2357" s="238">
        <v>0.0</v>
      </c>
      <c r="X2357" s="235" t="s">
        <v>628</v>
      </c>
      <c r="Z2357" s="244"/>
      <c r="AA2357" s="244"/>
      <c r="AB2357" s="244"/>
      <c r="AC2357" s="235" t="s">
        <v>4343</v>
      </c>
      <c r="AD2357" s="235" t="s">
        <v>845</v>
      </c>
      <c r="AE2357" s="238">
        <v>413003.0</v>
      </c>
      <c r="AF2357" s="235" t="s">
        <v>631</v>
      </c>
      <c r="AG2357" s="244"/>
      <c r="AH2357" s="244"/>
      <c r="AI2357" s="245"/>
      <c r="AJ2357" s="245"/>
      <c r="AK2357" s="245"/>
      <c r="AL2357" s="245"/>
      <c r="AM2357" s="244"/>
      <c r="AN2357" s="244"/>
      <c r="AO2357" s="238">
        <v>0.0</v>
      </c>
      <c r="AP2357" s="238">
        <v>0.0</v>
      </c>
      <c r="AQ2357" s="235" t="s">
        <v>632</v>
      </c>
      <c r="AR2357" s="243">
        <v>3.71E11</v>
      </c>
      <c r="AS2357" s="235" t="s">
        <v>12693</v>
      </c>
      <c r="AT2357" s="235" t="s">
        <v>17</v>
      </c>
      <c r="AU2357" s="235" t="s">
        <v>634</v>
      </c>
      <c r="AV2357" s="246" t="s">
        <v>635</v>
      </c>
      <c r="AW2357" s="242"/>
      <c r="AX2357" s="242"/>
      <c r="AY2357" s="231"/>
      <c r="AZ2357" s="231"/>
      <c r="BA2357" s="227"/>
      <c r="BB2357" s="231"/>
      <c r="BC2357" s="227"/>
      <c r="BD2357" s="227"/>
      <c r="BE2357" s="227"/>
      <c r="BF2357" s="227"/>
    </row>
    <row r="2358">
      <c r="A2358" s="235" t="s">
        <v>18092</v>
      </c>
      <c r="C2358" s="235" t="s">
        <v>18093</v>
      </c>
      <c r="D2358" s="235" t="s">
        <v>18094</v>
      </c>
      <c r="E2358" s="243">
        <v>6.53E13</v>
      </c>
      <c r="F2358" s="245"/>
      <c r="G2358" s="235" t="s">
        <v>18095</v>
      </c>
      <c r="H2358" s="235" t="s">
        <v>18096</v>
      </c>
      <c r="I2358" s="235" t="s">
        <v>18096</v>
      </c>
      <c r="J2358" s="235" t="s">
        <v>18097</v>
      </c>
      <c r="K2358" s="235" t="s">
        <v>18098</v>
      </c>
      <c r="N2358" s="235" t="s">
        <v>42</v>
      </c>
      <c r="O2358" s="235" t="s">
        <v>204</v>
      </c>
      <c r="P2358" s="238">
        <v>1.0</v>
      </c>
      <c r="Q2358" s="235" t="s">
        <v>627</v>
      </c>
      <c r="R2358" s="238">
        <v>270.48</v>
      </c>
      <c r="S2358" s="238">
        <v>13.52</v>
      </c>
      <c r="T2358" s="238">
        <v>0.0</v>
      </c>
      <c r="U2358" s="238">
        <v>0.0</v>
      </c>
      <c r="V2358" s="238">
        <v>0.0</v>
      </c>
      <c r="W2358" s="238">
        <v>0.0</v>
      </c>
      <c r="X2358" s="235" t="s">
        <v>628</v>
      </c>
      <c r="Z2358" s="244"/>
      <c r="AA2358" s="244"/>
      <c r="AB2358" s="244"/>
      <c r="AC2358" s="235" t="s">
        <v>687</v>
      </c>
      <c r="AD2358" s="235" t="s">
        <v>666</v>
      </c>
      <c r="AE2358" s="238">
        <v>600127.0</v>
      </c>
      <c r="AF2358" s="235" t="s">
        <v>631</v>
      </c>
      <c r="AG2358" s="244"/>
      <c r="AH2358" s="244"/>
      <c r="AI2358" s="245"/>
      <c r="AJ2358" s="245"/>
      <c r="AK2358" s="245"/>
      <c r="AL2358" s="245"/>
      <c r="AM2358" s="244"/>
      <c r="AN2358" s="244"/>
      <c r="AO2358" s="238">
        <v>0.0</v>
      </c>
      <c r="AP2358" s="238">
        <v>0.0</v>
      </c>
      <c r="AQ2358" s="235" t="s">
        <v>632</v>
      </c>
      <c r="AR2358" s="243">
        <v>1.68E11</v>
      </c>
      <c r="AS2358" s="235" t="s">
        <v>16626</v>
      </c>
      <c r="AT2358" s="235" t="s">
        <v>9</v>
      </c>
      <c r="AU2358" s="235" t="s">
        <v>634</v>
      </c>
      <c r="AV2358" s="246" t="s">
        <v>635</v>
      </c>
      <c r="AW2358" s="242"/>
      <c r="AX2358" s="242"/>
      <c r="AY2358" s="231"/>
      <c r="AZ2358" s="231"/>
      <c r="BA2358" s="227"/>
      <c r="BB2358" s="231"/>
      <c r="BC2358" s="227"/>
      <c r="BD2358" s="227"/>
      <c r="BE2358" s="227"/>
      <c r="BF2358" s="227"/>
    </row>
    <row r="2359">
      <c r="A2359" s="235" t="s">
        <v>18099</v>
      </c>
      <c r="C2359" s="235" t="s">
        <v>18100</v>
      </c>
      <c r="D2359" s="235" t="s">
        <v>18101</v>
      </c>
      <c r="E2359" s="243">
        <v>6.53E13</v>
      </c>
      <c r="F2359" s="245"/>
      <c r="G2359" s="235" t="s">
        <v>18102</v>
      </c>
      <c r="H2359" s="235" t="s">
        <v>18103</v>
      </c>
      <c r="I2359" s="235" t="s">
        <v>18104</v>
      </c>
      <c r="J2359" s="235" t="s">
        <v>18105</v>
      </c>
      <c r="K2359" s="235" t="s">
        <v>18106</v>
      </c>
      <c r="N2359" s="235" t="s">
        <v>138</v>
      </c>
      <c r="O2359" s="235" t="s">
        <v>675</v>
      </c>
      <c r="P2359" s="238">
        <v>1.0</v>
      </c>
      <c r="Q2359" s="235" t="s">
        <v>627</v>
      </c>
      <c r="R2359" s="238">
        <v>270.48</v>
      </c>
      <c r="S2359" s="238">
        <v>13.25</v>
      </c>
      <c r="T2359" s="238">
        <v>0.0</v>
      </c>
      <c r="U2359" s="238">
        <v>0.0</v>
      </c>
      <c r="V2359" s="238">
        <v>0.0</v>
      </c>
      <c r="W2359" s="238">
        <v>0.0</v>
      </c>
      <c r="X2359" s="235" t="s">
        <v>628</v>
      </c>
      <c r="Z2359" s="244"/>
      <c r="AA2359" s="244"/>
      <c r="AB2359" s="244"/>
      <c r="AC2359" s="235" t="s">
        <v>1320</v>
      </c>
      <c r="AD2359" s="235" t="s">
        <v>666</v>
      </c>
      <c r="AE2359" s="238">
        <v>600126.0</v>
      </c>
      <c r="AF2359" s="235" t="s">
        <v>631</v>
      </c>
      <c r="AG2359" s="244"/>
      <c r="AH2359" s="244"/>
      <c r="AI2359" s="245"/>
      <c r="AJ2359" s="245"/>
      <c r="AK2359" s="245"/>
      <c r="AL2359" s="245"/>
      <c r="AM2359" s="244"/>
      <c r="AN2359" s="244"/>
      <c r="AO2359" s="238">
        <v>-5.41</v>
      </c>
      <c r="AP2359" s="238">
        <v>0.0</v>
      </c>
      <c r="AQ2359" s="235" t="s">
        <v>632</v>
      </c>
      <c r="AR2359" s="243">
        <v>1.68E11</v>
      </c>
      <c r="AS2359" s="235" t="s">
        <v>16626</v>
      </c>
      <c r="AT2359" s="235" t="s">
        <v>9</v>
      </c>
      <c r="AU2359" s="235" t="s">
        <v>634</v>
      </c>
      <c r="AV2359" s="246" t="s">
        <v>635</v>
      </c>
      <c r="AW2359" s="242"/>
      <c r="AX2359" s="242"/>
      <c r="AY2359" s="231"/>
      <c r="AZ2359" s="231"/>
      <c r="BA2359" s="227"/>
      <c r="BB2359" s="231"/>
      <c r="BC2359" s="227"/>
      <c r="BD2359" s="227"/>
      <c r="BE2359" s="227"/>
      <c r="BF2359" s="227"/>
    </row>
    <row r="2360">
      <c r="A2360" s="235" t="s">
        <v>18107</v>
      </c>
      <c r="C2360" s="235" t="s">
        <v>18108</v>
      </c>
      <c r="D2360" s="235" t="s">
        <v>18109</v>
      </c>
      <c r="E2360" s="243">
        <v>6.53E13</v>
      </c>
      <c r="F2360" s="245"/>
      <c r="G2360" s="235" t="s">
        <v>18110</v>
      </c>
      <c r="H2360" s="235" t="s">
        <v>18111</v>
      </c>
      <c r="I2360" s="235" t="s">
        <v>18111</v>
      </c>
      <c r="J2360" s="235" t="s">
        <v>18112</v>
      </c>
      <c r="K2360" s="235" t="s">
        <v>18113</v>
      </c>
      <c r="N2360" s="235" t="s">
        <v>131</v>
      </c>
      <c r="O2360" s="235" t="s">
        <v>2148</v>
      </c>
      <c r="P2360" s="238">
        <v>1.0</v>
      </c>
      <c r="Q2360" s="235" t="s">
        <v>627</v>
      </c>
      <c r="R2360" s="238">
        <v>0.0</v>
      </c>
      <c r="S2360" s="238">
        <v>0.0</v>
      </c>
      <c r="T2360" s="238">
        <v>0.0</v>
      </c>
      <c r="U2360" s="238">
        <v>0.0</v>
      </c>
      <c r="V2360" s="238">
        <v>0.0</v>
      </c>
      <c r="W2360" s="238">
        <v>0.0</v>
      </c>
      <c r="X2360" s="235" t="s">
        <v>628</v>
      </c>
      <c r="Z2360" s="244"/>
      <c r="AA2360" s="244"/>
      <c r="AB2360" s="244"/>
      <c r="AC2360" s="235" t="s">
        <v>1613</v>
      </c>
      <c r="AD2360" s="235" t="s">
        <v>630</v>
      </c>
      <c r="AE2360" s="238">
        <v>226024.0</v>
      </c>
      <c r="AF2360" s="235" t="s">
        <v>631</v>
      </c>
      <c r="AG2360" s="244"/>
      <c r="AH2360" s="244"/>
      <c r="AI2360" s="245"/>
      <c r="AJ2360" s="245"/>
      <c r="AK2360" s="245"/>
      <c r="AL2360" s="245"/>
      <c r="AM2360" s="244"/>
      <c r="AN2360" s="244"/>
      <c r="AO2360" s="238">
        <v>0.0</v>
      </c>
      <c r="AP2360" s="238">
        <v>0.0</v>
      </c>
      <c r="AQ2360" s="235" t="s">
        <v>632</v>
      </c>
      <c r="AR2360" s="243">
        <v>2.02E11</v>
      </c>
      <c r="AS2360" s="235" t="s">
        <v>16626</v>
      </c>
      <c r="AT2360" s="235" t="s">
        <v>533</v>
      </c>
      <c r="AU2360" s="235" t="s">
        <v>634</v>
      </c>
      <c r="AV2360" s="246" t="s">
        <v>635</v>
      </c>
      <c r="AW2360" s="242"/>
      <c r="AX2360" s="242"/>
      <c r="AY2360" s="231"/>
      <c r="AZ2360" s="231"/>
      <c r="BA2360" s="227"/>
      <c r="BB2360" s="231"/>
      <c r="BC2360" s="227"/>
      <c r="BD2360" s="227"/>
      <c r="BE2360" s="227"/>
      <c r="BF2360" s="227"/>
    </row>
    <row r="2361">
      <c r="A2361" s="235" t="s">
        <v>18114</v>
      </c>
      <c r="C2361" s="235" t="s">
        <v>18115</v>
      </c>
      <c r="D2361" s="235" t="s">
        <v>18116</v>
      </c>
      <c r="E2361" s="243">
        <v>6.53E13</v>
      </c>
      <c r="F2361" s="245"/>
      <c r="G2361" s="235" t="s">
        <v>18117</v>
      </c>
      <c r="H2361" s="235" t="s">
        <v>18118</v>
      </c>
      <c r="I2361" s="235" t="s">
        <v>18118</v>
      </c>
      <c r="J2361" s="235" t="s">
        <v>18119</v>
      </c>
      <c r="K2361" s="235" t="s">
        <v>18120</v>
      </c>
      <c r="N2361" s="235" t="s">
        <v>90</v>
      </c>
      <c r="O2361" s="235" t="s">
        <v>279</v>
      </c>
      <c r="P2361" s="238">
        <v>1.0</v>
      </c>
      <c r="Q2361" s="235" t="s">
        <v>627</v>
      </c>
      <c r="R2361" s="238">
        <v>270.48</v>
      </c>
      <c r="S2361" s="238">
        <v>13.52</v>
      </c>
      <c r="T2361" s="238">
        <v>0.0</v>
      </c>
      <c r="U2361" s="238">
        <v>0.0</v>
      </c>
      <c r="V2361" s="238">
        <v>0.0</v>
      </c>
      <c r="W2361" s="238">
        <v>0.0</v>
      </c>
      <c r="X2361" s="235" t="s">
        <v>628</v>
      </c>
      <c r="Z2361" s="244"/>
      <c r="AA2361" s="244"/>
      <c r="AB2361" s="244"/>
      <c r="AC2361" s="235" t="s">
        <v>10173</v>
      </c>
      <c r="AD2361" s="235" t="s">
        <v>917</v>
      </c>
      <c r="AE2361" s="238">
        <v>313001.0</v>
      </c>
      <c r="AF2361" s="235" t="s">
        <v>631</v>
      </c>
      <c r="AG2361" s="244"/>
      <c r="AH2361" s="244"/>
      <c r="AI2361" s="245"/>
      <c r="AJ2361" s="245"/>
      <c r="AK2361" s="245"/>
      <c r="AL2361" s="245"/>
      <c r="AM2361" s="244"/>
      <c r="AN2361" s="244"/>
      <c r="AO2361" s="238">
        <v>0.0</v>
      </c>
      <c r="AP2361" s="238">
        <v>0.0</v>
      </c>
      <c r="AQ2361" s="235" t="s">
        <v>632</v>
      </c>
      <c r="AR2361" s="243">
        <v>3.71E11</v>
      </c>
      <c r="AS2361" s="235" t="s">
        <v>16626</v>
      </c>
      <c r="AT2361" s="235" t="s">
        <v>5</v>
      </c>
      <c r="AU2361" s="235" t="s">
        <v>634</v>
      </c>
      <c r="AV2361" s="246" t="s">
        <v>635</v>
      </c>
      <c r="AW2361" s="242"/>
      <c r="AX2361" s="242"/>
      <c r="AY2361" s="231"/>
      <c r="AZ2361" s="231"/>
      <c r="BA2361" s="227"/>
      <c r="BB2361" s="231"/>
      <c r="BC2361" s="227"/>
      <c r="BD2361" s="227"/>
      <c r="BE2361" s="227"/>
      <c r="BF2361" s="227"/>
    </row>
    <row r="2362">
      <c r="A2362" s="235" t="s">
        <v>18121</v>
      </c>
      <c r="C2362" s="235" t="s">
        <v>18122</v>
      </c>
      <c r="D2362" s="235" t="s">
        <v>18123</v>
      </c>
      <c r="E2362" s="243">
        <v>6.53E13</v>
      </c>
      <c r="F2362" s="245"/>
      <c r="G2362" s="235" t="s">
        <v>18124</v>
      </c>
      <c r="H2362" s="235" t="s">
        <v>18125</v>
      </c>
      <c r="I2362" s="235" t="s">
        <v>18125</v>
      </c>
      <c r="J2362" s="235" t="s">
        <v>18126</v>
      </c>
      <c r="K2362" s="235" t="s">
        <v>18127</v>
      </c>
      <c r="N2362" s="235" t="s">
        <v>42</v>
      </c>
      <c r="O2362" s="235" t="s">
        <v>204</v>
      </c>
      <c r="P2362" s="238">
        <v>1.0</v>
      </c>
      <c r="Q2362" s="235" t="s">
        <v>627</v>
      </c>
      <c r="R2362" s="238">
        <v>270.48</v>
      </c>
      <c r="S2362" s="238">
        <v>13.25</v>
      </c>
      <c r="T2362" s="238">
        <v>0.0</v>
      </c>
      <c r="U2362" s="238">
        <v>0.0</v>
      </c>
      <c r="V2362" s="238">
        <v>0.0</v>
      </c>
      <c r="W2362" s="238">
        <v>0.0</v>
      </c>
      <c r="X2362" s="235" t="s">
        <v>628</v>
      </c>
      <c r="Z2362" s="244"/>
      <c r="AA2362" s="244"/>
      <c r="AB2362" s="244"/>
      <c r="AC2362" s="235" t="s">
        <v>678</v>
      </c>
      <c r="AD2362" s="235" t="s">
        <v>679</v>
      </c>
      <c r="AE2362" s="238">
        <v>560070.0</v>
      </c>
      <c r="AF2362" s="235" t="s">
        <v>631</v>
      </c>
      <c r="AG2362" s="244"/>
      <c r="AH2362" s="244"/>
      <c r="AI2362" s="245"/>
      <c r="AJ2362" s="245"/>
      <c r="AK2362" s="245"/>
      <c r="AL2362" s="245"/>
      <c r="AM2362" s="244"/>
      <c r="AN2362" s="244"/>
      <c r="AO2362" s="238">
        <v>-5.41</v>
      </c>
      <c r="AP2362" s="238">
        <v>0.0</v>
      </c>
      <c r="AQ2362" s="235" t="s">
        <v>632</v>
      </c>
      <c r="AR2362" s="243">
        <v>1.68E11</v>
      </c>
      <c r="AS2362" s="235" t="s">
        <v>17988</v>
      </c>
      <c r="AT2362" s="235" t="s">
        <v>9</v>
      </c>
      <c r="AU2362" s="235" t="s">
        <v>634</v>
      </c>
      <c r="AV2362" s="246" t="s">
        <v>635</v>
      </c>
      <c r="AW2362" s="242"/>
      <c r="AX2362" s="242"/>
      <c r="AY2362" s="231"/>
      <c r="AZ2362" s="231"/>
      <c r="BA2362" s="227"/>
      <c r="BB2362" s="231"/>
      <c r="BC2362" s="227"/>
      <c r="BD2362" s="227"/>
      <c r="BE2362" s="227"/>
      <c r="BF2362" s="227"/>
    </row>
    <row r="2363">
      <c r="A2363" s="235" t="s">
        <v>18128</v>
      </c>
      <c r="C2363" s="235" t="s">
        <v>18129</v>
      </c>
      <c r="D2363" s="235" t="s">
        <v>18130</v>
      </c>
      <c r="E2363" s="243">
        <v>6.53E13</v>
      </c>
      <c r="F2363" s="245"/>
      <c r="G2363" s="235" t="s">
        <v>18131</v>
      </c>
      <c r="H2363" s="235" t="s">
        <v>18132</v>
      </c>
      <c r="I2363" s="235" t="s">
        <v>18132</v>
      </c>
      <c r="J2363" s="235" t="s">
        <v>18133</v>
      </c>
      <c r="K2363" s="235" t="s">
        <v>18134</v>
      </c>
      <c r="N2363" s="235" t="s">
        <v>90</v>
      </c>
      <c r="O2363" s="235" t="s">
        <v>279</v>
      </c>
      <c r="P2363" s="238">
        <v>1.0</v>
      </c>
      <c r="Q2363" s="235" t="s">
        <v>627</v>
      </c>
      <c r="R2363" s="238">
        <v>270.48</v>
      </c>
      <c r="S2363" s="238">
        <v>13.52</v>
      </c>
      <c r="T2363" s="238">
        <v>38.1</v>
      </c>
      <c r="U2363" s="238">
        <v>1.9</v>
      </c>
      <c r="V2363" s="238">
        <v>0.0</v>
      </c>
      <c r="W2363" s="238">
        <v>0.0</v>
      </c>
      <c r="X2363" s="235" t="s">
        <v>628</v>
      </c>
      <c r="Z2363" s="244"/>
      <c r="AA2363" s="244"/>
      <c r="AB2363" s="244"/>
      <c r="AC2363" s="235" t="s">
        <v>18135</v>
      </c>
      <c r="AD2363" s="235" t="s">
        <v>666</v>
      </c>
      <c r="AE2363" s="238">
        <v>632520.0</v>
      </c>
      <c r="AF2363" s="235" t="s">
        <v>631</v>
      </c>
      <c r="AG2363" s="244"/>
      <c r="AH2363" s="244"/>
      <c r="AI2363" s="245"/>
      <c r="AJ2363" s="245"/>
      <c r="AK2363" s="245"/>
      <c r="AL2363" s="245"/>
      <c r="AM2363" s="244"/>
      <c r="AN2363" s="244"/>
      <c r="AO2363" s="238">
        <v>0.0</v>
      </c>
      <c r="AP2363" s="238">
        <v>-38.1</v>
      </c>
      <c r="AQ2363" s="235" t="s">
        <v>632</v>
      </c>
      <c r="AR2363" s="243">
        <v>3.71E11</v>
      </c>
      <c r="AS2363" s="235" t="s">
        <v>15064</v>
      </c>
      <c r="AT2363" s="235" t="s">
        <v>9</v>
      </c>
      <c r="AU2363" s="235" t="s">
        <v>634</v>
      </c>
      <c r="AV2363" s="246" t="s">
        <v>635</v>
      </c>
      <c r="AW2363" s="242"/>
      <c r="AX2363" s="242"/>
      <c r="AY2363" s="231"/>
      <c r="AZ2363" s="231"/>
      <c r="BA2363" s="227"/>
      <c r="BB2363" s="231"/>
      <c r="BC2363" s="227"/>
      <c r="BD2363" s="227"/>
      <c r="BE2363" s="227"/>
      <c r="BF2363" s="227"/>
    </row>
    <row r="2364">
      <c r="A2364" s="235" t="s">
        <v>18136</v>
      </c>
      <c r="C2364" s="235" t="s">
        <v>18137</v>
      </c>
      <c r="D2364" s="235" t="s">
        <v>18138</v>
      </c>
      <c r="E2364" s="243">
        <v>6.53E13</v>
      </c>
      <c r="F2364" s="245"/>
      <c r="G2364" s="235" t="s">
        <v>18139</v>
      </c>
      <c r="H2364" s="235" t="s">
        <v>18140</v>
      </c>
      <c r="I2364" s="235" t="s">
        <v>18140</v>
      </c>
      <c r="J2364" s="235" t="s">
        <v>18141</v>
      </c>
      <c r="K2364" s="235" t="s">
        <v>18142</v>
      </c>
      <c r="N2364" s="235" t="s">
        <v>138</v>
      </c>
      <c r="O2364" s="235" t="s">
        <v>675</v>
      </c>
      <c r="P2364" s="238">
        <v>1.0</v>
      </c>
      <c r="Q2364" s="235" t="s">
        <v>627</v>
      </c>
      <c r="R2364" s="238">
        <v>270.48</v>
      </c>
      <c r="S2364" s="238">
        <v>13.52</v>
      </c>
      <c r="T2364" s="238">
        <v>38.1</v>
      </c>
      <c r="U2364" s="238">
        <v>1.9</v>
      </c>
      <c r="V2364" s="238">
        <v>0.0</v>
      </c>
      <c r="W2364" s="238">
        <v>0.0</v>
      </c>
      <c r="X2364" s="235" t="s">
        <v>628</v>
      </c>
      <c r="Z2364" s="244"/>
      <c r="AA2364" s="244"/>
      <c r="AB2364" s="244"/>
      <c r="AC2364" s="235" t="s">
        <v>678</v>
      </c>
      <c r="AD2364" s="235" t="s">
        <v>679</v>
      </c>
      <c r="AE2364" s="238">
        <v>560067.0</v>
      </c>
      <c r="AF2364" s="235" t="s">
        <v>631</v>
      </c>
      <c r="AG2364" s="244"/>
      <c r="AH2364" s="244"/>
      <c r="AI2364" s="245"/>
      <c r="AJ2364" s="245"/>
      <c r="AK2364" s="245"/>
      <c r="AL2364" s="245"/>
      <c r="AM2364" s="244"/>
      <c r="AN2364" s="244"/>
      <c r="AO2364" s="238">
        <v>0.0</v>
      </c>
      <c r="AP2364" s="238">
        <v>-38.1</v>
      </c>
      <c r="AQ2364" s="235" t="s">
        <v>632</v>
      </c>
      <c r="AR2364" s="243">
        <v>3.71E11</v>
      </c>
      <c r="AS2364" s="235" t="s">
        <v>16626</v>
      </c>
      <c r="AT2364" s="235" t="s">
        <v>9</v>
      </c>
      <c r="AU2364" s="235" t="s">
        <v>634</v>
      </c>
      <c r="AV2364" s="246" t="s">
        <v>635</v>
      </c>
      <c r="AW2364" s="242"/>
      <c r="AX2364" s="242"/>
      <c r="AY2364" s="231"/>
      <c r="AZ2364" s="231"/>
      <c r="BA2364" s="227"/>
      <c r="BB2364" s="231"/>
      <c r="BC2364" s="227"/>
      <c r="BD2364" s="227"/>
      <c r="BE2364" s="227"/>
      <c r="BF2364" s="227"/>
    </row>
    <row r="2365">
      <c r="A2365" s="235" t="s">
        <v>18143</v>
      </c>
      <c r="C2365" s="235" t="s">
        <v>18144</v>
      </c>
      <c r="D2365" s="235" t="s">
        <v>18145</v>
      </c>
      <c r="E2365" s="243">
        <v>6.53E13</v>
      </c>
      <c r="F2365" s="245"/>
      <c r="G2365" s="235" t="s">
        <v>18146</v>
      </c>
      <c r="H2365" s="235" t="s">
        <v>18147</v>
      </c>
      <c r="I2365" s="235" t="s">
        <v>18147</v>
      </c>
      <c r="J2365" s="235" t="s">
        <v>18148</v>
      </c>
      <c r="K2365" s="235" t="s">
        <v>18149</v>
      </c>
      <c r="N2365" s="235" t="s">
        <v>71</v>
      </c>
      <c r="O2365" s="235" t="s">
        <v>240</v>
      </c>
      <c r="P2365" s="238">
        <v>1.0</v>
      </c>
      <c r="Q2365" s="235" t="s">
        <v>627</v>
      </c>
      <c r="R2365" s="238">
        <v>261.9</v>
      </c>
      <c r="S2365" s="238">
        <v>13.1</v>
      </c>
      <c r="T2365" s="238">
        <v>38.1</v>
      </c>
      <c r="U2365" s="238">
        <v>1.9</v>
      </c>
      <c r="V2365" s="238">
        <v>0.0</v>
      </c>
      <c r="W2365" s="238">
        <v>0.0</v>
      </c>
      <c r="X2365" s="235" t="s">
        <v>628</v>
      </c>
      <c r="Z2365" s="244"/>
      <c r="AA2365" s="244"/>
      <c r="AB2365" s="244"/>
      <c r="AC2365" s="235" t="s">
        <v>678</v>
      </c>
      <c r="AD2365" s="235" t="s">
        <v>679</v>
      </c>
      <c r="AE2365" s="238">
        <v>560041.0</v>
      </c>
      <c r="AF2365" s="235" t="s">
        <v>631</v>
      </c>
      <c r="AG2365" s="244"/>
      <c r="AH2365" s="244"/>
      <c r="AI2365" s="245"/>
      <c r="AJ2365" s="245"/>
      <c r="AK2365" s="245"/>
      <c r="AL2365" s="245"/>
      <c r="AM2365" s="244"/>
      <c r="AN2365" s="244"/>
      <c r="AO2365" s="238">
        <v>0.0</v>
      </c>
      <c r="AP2365" s="238">
        <v>-38.1</v>
      </c>
      <c r="AQ2365" s="235" t="s">
        <v>632</v>
      </c>
      <c r="AR2365" s="243">
        <v>3.71E11</v>
      </c>
      <c r="AS2365" s="235" t="s">
        <v>16626</v>
      </c>
      <c r="AT2365" s="235" t="s">
        <v>9</v>
      </c>
      <c r="AU2365" s="235" t="s">
        <v>634</v>
      </c>
      <c r="AV2365" s="246" t="s">
        <v>635</v>
      </c>
      <c r="AW2365" s="242"/>
      <c r="AX2365" s="242"/>
      <c r="AY2365" s="231"/>
      <c r="AZ2365" s="231"/>
      <c r="BA2365" s="227"/>
      <c r="BB2365" s="231"/>
      <c r="BC2365" s="227"/>
      <c r="BD2365" s="227"/>
      <c r="BE2365" s="227"/>
      <c r="BF2365" s="227"/>
    </row>
    <row r="2366">
      <c r="A2366" s="235" t="s">
        <v>18150</v>
      </c>
      <c r="C2366" s="235" t="s">
        <v>18151</v>
      </c>
      <c r="D2366" s="235" t="s">
        <v>18152</v>
      </c>
      <c r="E2366" s="243">
        <v>6.53E13</v>
      </c>
      <c r="F2366" s="245"/>
      <c r="G2366" s="235" t="s">
        <v>18153</v>
      </c>
      <c r="H2366" s="235" t="s">
        <v>18154</v>
      </c>
      <c r="I2366" s="235" t="s">
        <v>18155</v>
      </c>
      <c r="J2366" s="235" t="s">
        <v>18156</v>
      </c>
      <c r="K2366" s="235" t="s">
        <v>18157</v>
      </c>
      <c r="N2366" s="235" t="s">
        <v>154</v>
      </c>
      <c r="O2366" s="235" t="s">
        <v>766</v>
      </c>
      <c r="P2366" s="238">
        <v>1.0</v>
      </c>
      <c r="Q2366" s="235" t="s">
        <v>627</v>
      </c>
      <c r="R2366" s="238">
        <v>461.9</v>
      </c>
      <c r="S2366" s="238">
        <v>22.64</v>
      </c>
      <c r="T2366" s="238">
        <v>0.0</v>
      </c>
      <c r="U2366" s="238">
        <v>0.0</v>
      </c>
      <c r="V2366" s="238">
        <v>0.0</v>
      </c>
      <c r="W2366" s="238">
        <v>0.0</v>
      </c>
      <c r="X2366" s="235" t="s">
        <v>628</v>
      </c>
      <c r="Z2366" s="244"/>
      <c r="AA2366" s="244"/>
      <c r="AB2366" s="244"/>
      <c r="AC2366" s="235" t="s">
        <v>687</v>
      </c>
      <c r="AD2366" s="235" t="s">
        <v>666</v>
      </c>
      <c r="AE2366" s="238">
        <v>600026.0</v>
      </c>
      <c r="AF2366" s="235" t="s">
        <v>631</v>
      </c>
      <c r="AG2366" s="244"/>
      <c r="AH2366" s="244"/>
      <c r="AI2366" s="245"/>
      <c r="AJ2366" s="245"/>
      <c r="AK2366" s="245"/>
      <c r="AL2366" s="245"/>
      <c r="AM2366" s="244"/>
      <c r="AN2366" s="244"/>
      <c r="AO2366" s="238">
        <v>-9.24</v>
      </c>
      <c r="AP2366" s="238">
        <v>0.0</v>
      </c>
      <c r="AQ2366" s="235" t="s">
        <v>632</v>
      </c>
      <c r="AR2366" s="243">
        <v>1.68E11</v>
      </c>
      <c r="AS2366" s="235" t="s">
        <v>17988</v>
      </c>
      <c r="AT2366" s="235" t="s">
        <v>156</v>
      </c>
      <c r="AU2366" s="235" t="s">
        <v>634</v>
      </c>
      <c r="AV2366" s="246" t="s">
        <v>635</v>
      </c>
      <c r="AW2366" s="242"/>
      <c r="AX2366" s="242"/>
      <c r="AY2366" s="231"/>
      <c r="AZ2366" s="231"/>
      <c r="BA2366" s="227"/>
      <c r="BB2366" s="231"/>
      <c r="BC2366" s="227"/>
      <c r="BD2366" s="227"/>
      <c r="BE2366" s="227"/>
      <c r="BF2366" s="227"/>
    </row>
    <row r="2367">
      <c r="A2367" s="235" t="s">
        <v>18158</v>
      </c>
      <c r="C2367" s="235" t="s">
        <v>18159</v>
      </c>
      <c r="D2367" s="235" t="s">
        <v>18160</v>
      </c>
      <c r="E2367" s="243">
        <v>6.53E13</v>
      </c>
      <c r="F2367" s="245"/>
      <c r="G2367" s="235" t="s">
        <v>18161</v>
      </c>
      <c r="H2367" s="235" t="s">
        <v>18162</v>
      </c>
      <c r="I2367" s="235" t="s">
        <v>18162</v>
      </c>
      <c r="J2367" s="235" t="s">
        <v>18163</v>
      </c>
      <c r="K2367" s="235" t="s">
        <v>18164</v>
      </c>
      <c r="N2367" s="235" t="s">
        <v>92</v>
      </c>
      <c r="O2367" s="235" t="s">
        <v>248</v>
      </c>
      <c r="P2367" s="238">
        <v>1.0</v>
      </c>
      <c r="Q2367" s="235" t="s">
        <v>627</v>
      </c>
      <c r="R2367" s="238">
        <v>270.48</v>
      </c>
      <c r="S2367" s="238">
        <v>13.25</v>
      </c>
      <c r="T2367" s="238">
        <v>0.0</v>
      </c>
      <c r="U2367" s="238">
        <v>0.0</v>
      </c>
      <c r="V2367" s="238">
        <v>0.0</v>
      </c>
      <c r="W2367" s="238">
        <v>0.0</v>
      </c>
      <c r="X2367" s="235" t="s">
        <v>628</v>
      </c>
      <c r="Z2367" s="244"/>
      <c r="AA2367" s="244"/>
      <c r="AB2367" s="244"/>
      <c r="AC2367" s="235" t="s">
        <v>678</v>
      </c>
      <c r="AD2367" s="235" t="s">
        <v>679</v>
      </c>
      <c r="AE2367" s="238">
        <v>560100.0</v>
      </c>
      <c r="AF2367" s="235" t="s">
        <v>631</v>
      </c>
      <c r="AG2367" s="244"/>
      <c r="AH2367" s="244"/>
      <c r="AI2367" s="245"/>
      <c r="AJ2367" s="245"/>
      <c r="AK2367" s="245"/>
      <c r="AL2367" s="245"/>
      <c r="AM2367" s="244"/>
      <c r="AN2367" s="244"/>
      <c r="AO2367" s="238">
        <v>-5.41</v>
      </c>
      <c r="AP2367" s="238">
        <v>0.0</v>
      </c>
      <c r="AQ2367" s="235" t="s">
        <v>632</v>
      </c>
      <c r="AR2367" s="243">
        <v>1.68E11</v>
      </c>
      <c r="AS2367" s="235" t="s">
        <v>17988</v>
      </c>
      <c r="AT2367" s="235" t="s">
        <v>11</v>
      </c>
      <c r="AU2367" s="235" t="s">
        <v>634</v>
      </c>
      <c r="AV2367" s="246" t="s">
        <v>635</v>
      </c>
      <c r="AW2367" s="242"/>
      <c r="AX2367" s="242"/>
      <c r="AY2367" s="231"/>
      <c r="AZ2367" s="231"/>
      <c r="BA2367" s="227"/>
      <c r="BB2367" s="231"/>
      <c r="BC2367" s="227"/>
      <c r="BD2367" s="227"/>
      <c r="BE2367" s="227"/>
      <c r="BF2367" s="227"/>
    </row>
    <row r="2368">
      <c r="A2368" s="235" t="s">
        <v>18165</v>
      </c>
      <c r="C2368" s="235" t="s">
        <v>18166</v>
      </c>
      <c r="D2368" s="235" t="s">
        <v>18167</v>
      </c>
      <c r="E2368" s="243">
        <v>6.53E13</v>
      </c>
      <c r="F2368" s="245"/>
      <c r="G2368" s="235" t="s">
        <v>18168</v>
      </c>
      <c r="H2368" s="235" t="s">
        <v>18169</v>
      </c>
      <c r="I2368" s="235" t="s">
        <v>18170</v>
      </c>
      <c r="J2368" s="235" t="s">
        <v>18171</v>
      </c>
      <c r="K2368" s="235" t="s">
        <v>18172</v>
      </c>
      <c r="N2368" s="235" t="s">
        <v>842</v>
      </c>
      <c r="O2368" s="235" t="s">
        <v>843</v>
      </c>
      <c r="P2368" s="238">
        <v>1.0</v>
      </c>
      <c r="Q2368" s="235" t="s">
        <v>627</v>
      </c>
      <c r="R2368" s="238">
        <v>270.48</v>
      </c>
      <c r="S2368" s="238">
        <v>13.25</v>
      </c>
      <c r="T2368" s="238">
        <v>0.0</v>
      </c>
      <c r="U2368" s="238">
        <v>0.0</v>
      </c>
      <c r="V2368" s="238">
        <v>0.0</v>
      </c>
      <c r="W2368" s="238">
        <v>0.0</v>
      </c>
      <c r="X2368" s="235" t="s">
        <v>628</v>
      </c>
      <c r="Z2368" s="244"/>
      <c r="AA2368" s="244"/>
      <c r="AB2368" s="244"/>
      <c r="AC2368" s="235" t="s">
        <v>2341</v>
      </c>
      <c r="AD2368" s="235" t="s">
        <v>928</v>
      </c>
      <c r="AE2368" s="238">
        <v>122006.0</v>
      </c>
      <c r="AF2368" s="235" t="s">
        <v>631</v>
      </c>
      <c r="AG2368" s="244"/>
      <c r="AH2368" s="244"/>
      <c r="AI2368" s="245"/>
      <c r="AJ2368" s="245"/>
      <c r="AK2368" s="245"/>
      <c r="AL2368" s="245"/>
      <c r="AM2368" s="244"/>
      <c r="AN2368" s="244"/>
      <c r="AO2368" s="238">
        <v>-5.41</v>
      </c>
      <c r="AP2368" s="238">
        <v>0.0</v>
      </c>
      <c r="AQ2368" s="235" t="s">
        <v>632</v>
      </c>
      <c r="AR2368" s="243">
        <v>1.68E11</v>
      </c>
      <c r="AS2368" s="235" t="s">
        <v>17988</v>
      </c>
      <c r="AT2368" s="235" t="s">
        <v>533</v>
      </c>
      <c r="AU2368" s="235" t="s">
        <v>634</v>
      </c>
      <c r="AV2368" s="246" t="s">
        <v>635</v>
      </c>
      <c r="AW2368" s="242"/>
      <c r="AX2368" s="242"/>
      <c r="AY2368" s="231"/>
      <c r="AZ2368" s="231"/>
      <c r="BA2368" s="227"/>
      <c r="BB2368" s="231"/>
      <c r="BC2368" s="227"/>
      <c r="BD2368" s="227"/>
      <c r="BE2368" s="227"/>
      <c r="BF2368" s="227"/>
    </row>
    <row r="2369">
      <c r="A2369" s="235" t="s">
        <v>18173</v>
      </c>
      <c r="C2369" s="235" t="s">
        <v>18174</v>
      </c>
      <c r="D2369" s="235" t="s">
        <v>18175</v>
      </c>
      <c r="E2369" s="243">
        <v>6.53E13</v>
      </c>
      <c r="F2369" s="245"/>
      <c r="G2369" s="235" t="s">
        <v>18176</v>
      </c>
      <c r="H2369" s="235" t="s">
        <v>18177</v>
      </c>
      <c r="I2369" s="235" t="s">
        <v>18178</v>
      </c>
      <c r="J2369" s="235" t="s">
        <v>18179</v>
      </c>
      <c r="K2369" s="235" t="s">
        <v>16274</v>
      </c>
      <c r="N2369" s="235" t="s">
        <v>144</v>
      </c>
      <c r="O2369" s="235" t="s">
        <v>232</v>
      </c>
      <c r="P2369" s="238">
        <v>1.0</v>
      </c>
      <c r="Q2369" s="235" t="s">
        <v>627</v>
      </c>
      <c r="R2369" s="238">
        <v>808.57</v>
      </c>
      <c r="S2369" s="238">
        <v>40.43</v>
      </c>
      <c r="T2369" s="238">
        <v>0.0</v>
      </c>
      <c r="U2369" s="238">
        <v>0.0</v>
      </c>
      <c r="V2369" s="238">
        <v>0.0</v>
      </c>
      <c r="W2369" s="238">
        <v>0.0</v>
      </c>
      <c r="X2369" s="235" t="s">
        <v>628</v>
      </c>
      <c r="Z2369" s="244"/>
      <c r="AA2369" s="244"/>
      <c r="AB2369" s="244"/>
      <c r="AC2369" s="235" t="s">
        <v>1475</v>
      </c>
      <c r="AD2369" s="235" t="s">
        <v>796</v>
      </c>
      <c r="AE2369" s="238">
        <v>110049.0</v>
      </c>
      <c r="AF2369" s="235" t="s">
        <v>631</v>
      </c>
      <c r="AG2369" s="244"/>
      <c r="AH2369" s="244"/>
      <c r="AI2369" s="245"/>
      <c r="AJ2369" s="245"/>
      <c r="AK2369" s="245"/>
      <c r="AL2369" s="245"/>
      <c r="AM2369" s="244"/>
      <c r="AN2369" s="244"/>
      <c r="AO2369" s="238">
        <v>0.0</v>
      </c>
      <c r="AP2369" s="238">
        <v>0.0</v>
      </c>
      <c r="AQ2369" s="235" t="s">
        <v>632</v>
      </c>
      <c r="AR2369" s="243">
        <v>1.68E11</v>
      </c>
      <c r="AS2369" s="235" t="s">
        <v>17988</v>
      </c>
      <c r="AT2369" s="235" t="s">
        <v>14</v>
      </c>
      <c r="AU2369" s="235" t="s">
        <v>634</v>
      </c>
      <c r="AV2369" s="246" t="s">
        <v>635</v>
      </c>
      <c r="AW2369" s="242"/>
      <c r="AX2369" s="242"/>
      <c r="AY2369" s="231"/>
      <c r="AZ2369" s="231"/>
      <c r="BA2369" s="227"/>
      <c r="BB2369" s="231"/>
      <c r="BC2369" s="227"/>
      <c r="BD2369" s="227"/>
      <c r="BE2369" s="227"/>
      <c r="BF2369" s="227"/>
    </row>
    <row r="2370">
      <c r="A2370" s="235" t="s">
        <v>18180</v>
      </c>
      <c r="C2370" s="235" t="s">
        <v>18181</v>
      </c>
      <c r="D2370" s="235" t="s">
        <v>18182</v>
      </c>
      <c r="E2370" s="243">
        <v>6.53E13</v>
      </c>
      <c r="F2370" s="245"/>
      <c r="G2370" s="235" t="s">
        <v>18183</v>
      </c>
      <c r="H2370" s="235" t="s">
        <v>18184</v>
      </c>
      <c r="I2370" s="235" t="s">
        <v>18184</v>
      </c>
      <c r="J2370" s="235" t="s">
        <v>18185</v>
      </c>
      <c r="K2370" s="235" t="s">
        <v>18186</v>
      </c>
      <c r="N2370" s="235" t="s">
        <v>127</v>
      </c>
      <c r="O2370" s="235" t="s">
        <v>794</v>
      </c>
      <c r="P2370" s="238">
        <v>1.0</v>
      </c>
      <c r="Q2370" s="235" t="s">
        <v>627</v>
      </c>
      <c r="R2370" s="238">
        <v>270.48</v>
      </c>
      <c r="S2370" s="238">
        <v>13.52</v>
      </c>
      <c r="T2370" s="238">
        <v>38.1</v>
      </c>
      <c r="U2370" s="238">
        <v>1.9</v>
      </c>
      <c r="V2370" s="238">
        <v>0.0</v>
      </c>
      <c r="W2370" s="238">
        <v>0.0</v>
      </c>
      <c r="X2370" s="235" t="s">
        <v>628</v>
      </c>
      <c r="Z2370" s="244"/>
      <c r="AA2370" s="244"/>
      <c r="AB2370" s="244"/>
      <c r="AC2370" s="235" t="s">
        <v>749</v>
      </c>
      <c r="AD2370" s="235" t="s">
        <v>630</v>
      </c>
      <c r="AE2370" s="238">
        <v>201310.0</v>
      </c>
      <c r="AF2370" s="235" t="s">
        <v>631</v>
      </c>
      <c r="AG2370" s="244"/>
      <c r="AH2370" s="244"/>
      <c r="AI2370" s="245"/>
      <c r="AJ2370" s="245"/>
      <c r="AK2370" s="245"/>
      <c r="AL2370" s="245"/>
      <c r="AM2370" s="244"/>
      <c r="AN2370" s="244"/>
      <c r="AO2370" s="238">
        <v>0.0</v>
      </c>
      <c r="AP2370" s="238">
        <v>-38.1</v>
      </c>
      <c r="AQ2370" s="235" t="s">
        <v>632</v>
      </c>
      <c r="AR2370" s="243">
        <v>2.02E11</v>
      </c>
      <c r="AS2370" s="235" t="s">
        <v>16626</v>
      </c>
      <c r="AT2370" s="235" t="s">
        <v>11</v>
      </c>
      <c r="AU2370" s="235" t="s">
        <v>634</v>
      </c>
      <c r="AV2370" s="246" t="s">
        <v>635</v>
      </c>
      <c r="AW2370" s="242"/>
      <c r="AX2370" s="242"/>
      <c r="AY2370" s="231"/>
      <c r="AZ2370" s="231"/>
      <c r="BA2370" s="227"/>
      <c r="BB2370" s="231"/>
      <c r="BC2370" s="227"/>
      <c r="BD2370" s="227"/>
      <c r="BE2370" s="227"/>
      <c r="BF2370" s="227"/>
    </row>
    <row r="2371">
      <c r="A2371" s="235" t="s">
        <v>18187</v>
      </c>
      <c r="C2371" s="235" t="s">
        <v>18188</v>
      </c>
      <c r="D2371" s="235" t="s">
        <v>18189</v>
      </c>
      <c r="E2371" s="243">
        <v>6.53E13</v>
      </c>
      <c r="F2371" s="245"/>
      <c r="G2371" s="235" t="s">
        <v>18190</v>
      </c>
      <c r="H2371" s="235" t="s">
        <v>18191</v>
      </c>
      <c r="I2371" s="235" t="s">
        <v>18191</v>
      </c>
      <c r="J2371" s="235" t="s">
        <v>18192</v>
      </c>
      <c r="K2371" s="235" t="s">
        <v>18193</v>
      </c>
      <c r="N2371" s="235" t="s">
        <v>962</v>
      </c>
      <c r="O2371" s="235" t="s">
        <v>963</v>
      </c>
      <c r="P2371" s="238">
        <v>1.0</v>
      </c>
      <c r="Q2371" s="235" t="s">
        <v>627</v>
      </c>
      <c r="R2371" s="238">
        <v>270.48</v>
      </c>
      <c r="S2371" s="238">
        <v>13.52</v>
      </c>
      <c r="T2371" s="238">
        <v>0.0</v>
      </c>
      <c r="U2371" s="238">
        <v>0.0</v>
      </c>
      <c r="V2371" s="238">
        <v>0.0</v>
      </c>
      <c r="W2371" s="238">
        <v>0.0</v>
      </c>
      <c r="X2371" s="235" t="s">
        <v>628</v>
      </c>
      <c r="Z2371" s="244"/>
      <c r="AA2371" s="244"/>
      <c r="AB2371" s="244"/>
      <c r="AC2371" s="235" t="s">
        <v>1604</v>
      </c>
      <c r="AD2371" s="235" t="s">
        <v>8663</v>
      </c>
      <c r="AE2371" s="238">
        <v>400067.0</v>
      </c>
      <c r="AF2371" s="235" t="s">
        <v>631</v>
      </c>
      <c r="AG2371" s="244"/>
      <c r="AH2371" s="244"/>
      <c r="AI2371" s="245"/>
      <c r="AJ2371" s="245"/>
      <c r="AK2371" s="245"/>
      <c r="AL2371" s="245"/>
      <c r="AM2371" s="244"/>
      <c r="AN2371" s="244"/>
      <c r="AO2371" s="238">
        <v>0.0</v>
      </c>
      <c r="AP2371" s="238">
        <v>0.0</v>
      </c>
      <c r="AQ2371" s="235" t="s">
        <v>632</v>
      </c>
      <c r="AR2371" s="243">
        <v>3.71E11</v>
      </c>
      <c r="AS2371" s="235" t="s">
        <v>16626</v>
      </c>
      <c r="AT2371" s="235" t="s">
        <v>16</v>
      </c>
      <c r="AU2371" s="235" t="s">
        <v>634</v>
      </c>
      <c r="AV2371" s="246" t="s">
        <v>635</v>
      </c>
      <c r="AW2371" s="242"/>
      <c r="AX2371" s="242"/>
      <c r="AY2371" s="231"/>
      <c r="AZ2371" s="231"/>
      <c r="BA2371" s="227"/>
      <c r="BB2371" s="231"/>
      <c r="BC2371" s="227"/>
      <c r="BD2371" s="227"/>
      <c r="BE2371" s="227"/>
      <c r="BF2371" s="227"/>
    </row>
    <row r="2372">
      <c r="A2372" s="235" t="s">
        <v>18194</v>
      </c>
      <c r="C2372" s="235" t="s">
        <v>18195</v>
      </c>
      <c r="D2372" s="235" t="s">
        <v>18196</v>
      </c>
      <c r="E2372" s="243">
        <v>6.53E13</v>
      </c>
      <c r="F2372" s="245"/>
      <c r="G2372" s="235" t="s">
        <v>18197</v>
      </c>
      <c r="H2372" s="235" t="s">
        <v>18198</v>
      </c>
      <c r="I2372" s="235" t="s">
        <v>18199</v>
      </c>
      <c r="J2372" s="235" t="s">
        <v>18200</v>
      </c>
      <c r="K2372" s="235" t="s">
        <v>18201</v>
      </c>
      <c r="N2372" s="235" t="s">
        <v>3</v>
      </c>
      <c r="O2372" s="235" t="s">
        <v>654</v>
      </c>
      <c r="P2372" s="238">
        <v>1.0</v>
      </c>
      <c r="Q2372" s="235" t="s">
        <v>627</v>
      </c>
      <c r="R2372" s="238">
        <v>284.76</v>
      </c>
      <c r="S2372" s="238">
        <v>14.24</v>
      </c>
      <c r="T2372" s="238">
        <v>0.0</v>
      </c>
      <c r="U2372" s="238">
        <v>0.0</v>
      </c>
      <c r="V2372" s="238">
        <v>0.0</v>
      </c>
      <c r="W2372" s="238">
        <v>0.0</v>
      </c>
      <c r="X2372" s="235" t="s">
        <v>628</v>
      </c>
      <c r="Z2372" s="244"/>
      <c r="AA2372" s="244"/>
      <c r="AB2372" s="244"/>
      <c r="AC2372" s="235" t="s">
        <v>18202</v>
      </c>
      <c r="AD2372" s="235" t="s">
        <v>845</v>
      </c>
      <c r="AE2372" s="238">
        <v>421202.0</v>
      </c>
      <c r="AF2372" s="235" t="s">
        <v>631</v>
      </c>
      <c r="AG2372" s="244"/>
      <c r="AH2372" s="244"/>
      <c r="AI2372" s="245"/>
      <c r="AJ2372" s="245"/>
      <c r="AK2372" s="245"/>
      <c r="AL2372" s="245"/>
      <c r="AM2372" s="244"/>
      <c r="AN2372" s="244"/>
      <c r="AO2372" s="238">
        <v>0.0</v>
      </c>
      <c r="AP2372" s="238">
        <v>0.0</v>
      </c>
      <c r="AQ2372" s="235" t="s">
        <v>632</v>
      </c>
      <c r="AR2372" s="243">
        <v>1.68E11</v>
      </c>
      <c r="AS2372" s="235" t="s">
        <v>17109</v>
      </c>
      <c r="AT2372" s="235" t="s">
        <v>16</v>
      </c>
      <c r="AU2372" s="235" t="s">
        <v>634</v>
      </c>
      <c r="AV2372" s="246" t="s">
        <v>635</v>
      </c>
      <c r="AW2372" s="242"/>
      <c r="AX2372" s="242"/>
      <c r="AY2372" s="231"/>
      <c r="AZ2372" s="231"/>
      <c r="BA2372" s="227"/>
      <c r="BB2372" s="227"/>
      <c r="BC2372" s="227"/>
      <c r="BD2372" s="227"/>
      <c r="BE2372" s="227"/>
      <c r="BF2372" s="227"/>
    </row>
    <row r="2373">
      <c r="A2373" s="235" t="s">
        <v>18203</v>
      </c>
      <c r="C2373" s="235" t="s">
        <v>18204</v>
      </c>
      <c r="D2373" s="235" t="s">
        <v>18205</v>
      </c>
      <c r="E2373" s="243">
        <v>6.53E13</v>
      </c>
      <c r="F2373" s="245"/>
      <c r="G2373" s="235" t="s">
        <v>18206</v>
      </c>
      <c r="H2373" s="235" t="s">
        <v>18207</v>
      </c>
      <c r="I2373" s="235" t="s">
        <v>18207</v>
      </c>
      <c r="J2373" s="235" t="s">
        <v>18208</v>
      </c>
      <c r="K2373" s="235" t="s">
        <v>18209</v>
      </c>
      <c r="N2373" s="235" t="s">
        <v>127</v>
      </c>
      <c r="O2373" s="235" t="s">
        <v>794</v>
      </c>
      <c r="P2373" s="238">
        <v>1.0</v>
      </c>
      <c r="Q2373" s="235" t="s">
        <v>627</v>
      </c>
      <c r="R2373" s="238">
        <v>270.48</v>
      </c>
      <c r="S2373" s="238">
        <v>13.52</v>
      </c>
      <c r="T2373" s="238">
        <v>0.0</v>
      </c>
      <c r="U2373" s="238">
        <v>0.0</v>
      </c>
      <c r="V2373" s="238">
        <v>0.0</v>
      </c>
      <c r="W2373" s="238">
        <v>0.0</v>
      </c>
      <c r="X2373" s="235" t="s">
        <v>628</v>
      </c>
      <c r="Z2373" s="244"/>
      <c r="AA2373" s="244"/>
      <c r="AB2373" s="244"/>
      <c r="AC2373" s="235" t="s">
        <v>1456</v>
      </c>
      <c r="AD2373" s="235" t="s">
        <v>928</v>
      </c>
      <c r="AE2373" s="238">
        <v>122015.0</v>
      </c>
      <c r="AF2373" s="235" t="s">
        <v>631</v>
      </c>
      <c r="AG2373" s="244"/>
      <c r="AH2373" s="244"/>
      <c r="AI2373" s="245"/>
      <c r="AJ2373" s="245"/>
      <c r="AK2373" s="245"/>
      <c r="AL2373" s="245"/>
      <c r="AM2373" s="244"/>
      <c r="AN2373" s="244"/>
      <c r="AO2373" s="238">
        <v>0.0</v>
      </c>
      <c r="AP2373" s="238">
        <v>0.0</v>
      </c>
      <c r="AQ2373" s="235" t="s">
        <v>632</v>
      </c>
      <c r="AR2373" s="243">
        <v>1.68E11</v>
      </c>
      <c r="AS2373" s="235" t="s">
        <v>17988</v>
      </c>
      <c r="AT2373" s="235" t="s">
        <v>14</v>
      </c>
      <c r="AU2373" s="235" t="s">
        <v>634</v>
      </c>
      <c r="AV2373" s="246" t="s">
        <v>635</v>
      </c>
      <c r="AW2373" s="242"/>
      <c r="AX2373" s="242"/>
      <c r="AY2373" s="231"/>
      <c r="AZ2373" s="231"/>
      <c r="BA2373" s="227"/>
      <c r="BB2373" s="231"/>
      <c r="BC2373" s="227"/>
      <c r="BD2373" s="227"/>
      <c r="BE2373" s="227"/>
      <c r="BF2373" s="227"/>
    </row>
    <row r="2374">
      <c r="A2374" s="235" t="s">
        <v>18210</v>
      </c>
      <c r="C2374" s="235" t="s">
        <v>18211</v>
      </c>
      <c r="D2374" s="235" t="s">
        <v>18212</v>
      </c>
      <c r="E2374" s="243">
        <v>6.53E13</v>
      </c>
      <c r="F2374" s="245"/>
      <c r="G2374" s="235" t="s">
        <v>18213</v>
      </c>
      <c r="H2374" s="235" t="s">
        <v>18214</v>
      </c>
      <c r="I2374" s="235" t="s">
        <v>18214</v>
      </c>
      <c r="J2374" s="235" t="s">
        <v>18215</v>
      </c>
      <c r="K2374" s="235" t="s">
        <v>18216</v>
      </c>
      <c r="N2374" s="235" t="s">
        <v>47</v>
      </c>
      <c r="O2374" s="235" t="s">
        <v>270</v>
      </c>
      <c r="P2374" s="238">
        <v>1.0</v>
      </c>
      <c r="Q2374" s="235" t="s">
        <v>627</v>
      </c>
      <c r="R2374" s="238">
        <v>270.48</v>
      </c>
      <c r="S2374" s="238">
        <v>13.52</v>
      </c>
      <c r="T2374" s="238">
        <v>0.0</v>
      </c>
      <c r="U2374" s="238">
        <v>0.0</v>
      </c>
      <c r="V2374" s="238">
        <v>0.0</v>
      </c>
      <c r="W2374" s="238">
        <v>0.0</v>
      </c>
      <c r="X2374" s="235" t="s">
        <v>628</v>
      </c>
      <c r="Z2374" s="244"/>
      <c r="AA2374" s="244"/>
      <c r="AB2374" s="244"/>
      <c r="AC2374" s="235" t="s">
        <v>8737</v>
      </c>
      <c r="AD2374" s="235" t="s">
        <v>666</v>
      </c>
      <c r="AE2374" s="238">
        <v>632007.0</v>
      </c>
      <c r="AF2374" s="235" t="s">
        <v>631</v>
      </c>
      <c r="AG2374" s="244"/>
      <c r="AH2374" s="244"/>
      <c r="AI2374" s="245"/>
      <c r="AJ2374" s="245"/>
      <c r="AK2374" s="245"/>
      <c r="AL2374" s="245"/>
      <c r="AM2374" s="244"/>
      <c r="AN2374" s="244"/>
      <c r="AO2374" s="238">
        <v>0.0</v>
      </c>
      <c r="AP2374" s="238">
        <v>0.0</v>
      </c>
      <c r="AQ2374" s="235" t="s">
        <v>632</v>
      </c>
      <c r="AR2374" s="243">
        <v>3.71E11</v>
      </c>
      <c r="AS2374" s="235" t="s">
        <v>16626</v>
      </c>
      <c r="AT2374" s="235" t="s">
        <v>156</v>
      </c>
      <c r="AU2374" s="235" t="s">
        <v>634</v>
      </c>
      <c r="AV2374" s="246" t="s">
        <v>635</v>
      </c>
      <c r="AW2374" s="242"/>
      <c r="AX2374" s="242"/>
      <c r="AY2374" s="231"/>
      <c r="AZ2374" s="231"/>
      <c r="BA2374" s="227"/>
      <c r="BB2374" s="231"/>
      <c r="BC2374" s="227"/>
      <c r="BD2374" s="227"/>
      <c r="BE2374" s="227"/>
      <c r="BF2374" s="227"/>
    </row>
    <row r="2375">
      <c r="A2375" s="235" t="s">
        <v>18217</v>
      </c>
      <c r="C2375" s="235" t="s">
        <v>18218</v>
      </c>
      <c r="D2375" s="235" t="s">
        <v>18219</v>
      </c>
      <c r="E2375" s="243">
        <v>6.53E13</v>
      </c>
      <c r="F2375" s="245"/>
      <c r="G2375" s="235" t="s">
        <v>18220</v>
      </c>
      <c r="H2375" s="235" t="s">
        <v>18221</v>
      </c>
      <c r="I2375" s="235" t="s">
        <v>18222</v>
      </c>
      <c r="J2375" s="235" t="s">
        <v>18223</v>
      </c>
      <c r="K2375" s="235" t="s">
        <v>18224</v>
      </c>
      <c r="N2375" s="235" t="s">
        <v>842</v>
      </c>
      <c r="O2375" s="235" t="s">
        <v>843</v>
      </c>
      <c r="P2375" s="238">
        <v>1.0</v>
      </c>
      <c r="Q2375" s="235" t="s">
        <v>627</v>
      </c>
      <c r="R2375" s="238">
        <v>246.67</v>
      </c>
      <c r="S2375" s="238">
        <v>12.08</v>
      </c>
      <c r="T2375" s="238">
        <v>38.1</v>
      </c>
      <c r="U2375" s="238">
        <v>1.9</v>
      </c>
      <c r="V2375" s="238">
        <v>0.0</v>
      </c>
      <c r="W2375" s="238">
        <v>0.0</v>
      </c>
      <c r="X2375" s="235" t="s">
        <v>628</v>
      </c>
      <c r="Z2375" s="244"/>
      <c r="AA2375" s="244"/>
      <c r="AB2375" s="244"/>
      <c r="AC2375" s="235" t="s">
        <v>697</v>
      </c>
      <c r="AD2375" s="235" t="s">
        <v>698</v>
      </c>
      <c r="AE2375" s="238">
        <v>500082.0</v>
      </c>
      <c r="AF2375" s="235" t="s">
        <v>631</v>
      </c>
      <c r="AG2375" s="244"/>
      <c r="AH2375" s="244"/>
      <c r="AI2375" s="245"/>
      <c r="AJ2375" s="245"/>
      <c r="AK2375" s="245"/>
      <c r="AL2375" s="245"/>
      <c r="AM2375" s="244"/>
      <c r="AN2375" s="244"/>
      <c r="AO2375" s="238">
        <v>-4.93</v>
      </c>
      <c r="AP2375" s="238">
        <v>-38.1</v>
      </c>
      <c r="AQ2375" s="235" t="s">
        <v>632</v>
      </c>
      <c r="AR2375" s="243">
        <v>3.71E11</v>
      </c>
      <c r="AS2375" s="235" t="s">
        <v>15064</v>
      </c>
      <c r="AT2375" s="235" t="s">
        <v>156</v>
      </c>
      <c r="AU2375" s="235" t="s">
        <v>634</v>
      </c>
      <c r="AV2375" s="246" t="s">
        <v>635</v>
      </c>
      <c r="AW2375" s="242"/>
      <c r="AX2375" s="242"/>
      <c r="AY2375" s="231"/>
      <c r="AZ2375" s="231"/>
      <c r="BA2375" s="227"/>
      <c r="BB2375" s="231"/>
      <c r="BC2375" s="227"/>
      <c r="BD2375" s="227"/>
      <c r="BE2375" s="227"/>
      <c r="BF2375" s="227"/>
    </row>
    <row r="2376">
      <c r="A2376" s="235" t="s">
        <v>18225</v>
      </c>
      <c r="C2376" s="235" t="s">
        <v>18226</v>
      </c>
      <c r="D2376" s="235" t="s">
        <v>18227</v>
      </c>
      <c r="E2376" s="243">
        <v>6.53E13</v>
      </c>
      <c r="F2376" s="245"/>
      <c r="G2376" s="235" t="s">
        <v>18228</v>
      </c>
      <c r="H2376" s="235" t="s">
        <v>18229</v>
      </c>
      <c r="I2376" s="235" t="s">
        <v>18229</v>
      </c>
      <c r="J2376" s="235" t="s">
        <v>18230</v>
      </c>
      <c r="K2376" s="235" t="s">
        <v>18231</v>
      </c>
      <c r="N2376" s="235" t="s">
        <v>134</v>
      </c>
      <c r="O2376" s="235" t="s">
        <v>314</v>
      </c>
      <c r="P2376" s="238">
        <v>1.0</v>
      </c>
      <c r="Q2376" s="235" t="s">
        <v>627</v>
      </c>
      <c r="R2376" s="238">
        <v>270.48</v>
      </c>
      <c r="S2376" s="238">
        <v>13.52</v>
      </c>
      <c r="T2376" s="238">
        <v>38.1</v>
      </c>
      <c r="U2376" s="238">
        <v>1.9</v>
      </c>
      <c r="V2376" s="238">
        <v>0.0</v>
      </c>
      <c r="W2376" s="238">
        <v>0.0</v>
      </c>
      <c r="X2376" s="235" t="s">
        <v>628</v>
      </c>
      <c r="Z2376" s="244"/>
      <c r="AA2376" s="244"/>
      <c r="AB2376" s="244"/>
      <c r="AC2376" s="235" t="s">
        <v>18232</v>
      </c>
      <c r="AD2376" s="235" t="s">
        <v>709</v>
      </c>
      <c r="AE2376" s="238">
        <v>841226.0</v>
      </c>
      <c r="AF2376" s="235" t="s">
        <v>631</v>
      </c>
      <c r="AG2376" s="244"/>
      <c r="AH2376" s="244"/>
      <c r="AI2376" s="245"/>
      <c r="AJ2376" s="245"/>
      <c r="AK2376" s="245"/>
      <c r="AL2376" s="245"/>
      <c r="AM2376" s="244"/>
      <c r="AN2376" s="244"/>
      <c r="AO2376" s="238">
        <v>0.0</v>
      </c>
      <c r="AP2376" s="238">
        <v>-38.1</v>
      </c>
      <c r="AQ2376" s="235" t="s">
        <v>632</v>
      </c>
      <c r="AR2376" s="243">
        <v>3.71E11</v>
      </c>
      <c r="AS2376" s="235" t="s">
        <v>12693</v>
      </c>
      <c r="AT2376" s="235" t="s">
        <v>13</v>
      </c>
      <c r="AU2376" s="235" t="s">
        <v>634</v>
      </c>
      <c r="AV2376" s="246" t="s">
        <v>635</v>
      </c>
      <c r="AW2376" s="242"/>
      <c r="AX2376" s="242"/>
      <c r="AY2376" s="231"/>
      <c r="AZ2376" s="231"/>
      <c r="BA2376" s="227"/>
      <c r="BB2376" s="231"/>
      <c r="BC2376" s="227"/>
      <c r="BD2376" s="227"/>
      <c r="BE2376" s="227"/>
      <c r="BF2376" s="227"/>
    </row>
    <row r="2377">
      <c r="A2377" s="235" t="s">
        <v>18233</v>
      </c>
      <c r="C2377" s="235" t="s">
        <v>18234</v>
      </c>
      <c r="D2377" s="235" t="s">
        <v>18235</v>
      </c>
      <c r="E2377" s="243">
        <v>6.53E13</v>
      </c>
      <c r="F2377" s="245"/>
      <c r="G2377" s="235" t="s">
        <v>18236</v>
      </c>
      <c r="H2377" s="235" t="s">
        <v>18237</v>
      </c>
      <c r="I2377" s="235" t="s">
        <v>18238</v>
      </c>
      <c r="J2377" s="235" t="s">
        <v>18239</v>
      </c>
      <c r="K2377" s="235" t="s">
        <v>18240</v>
      </c>
      <c r="N2377" s="235" t="s">
        <v>2848</v>
      </c>
      <c r="O2377" s="235" t="s">
        <v>2849</v>
      </c>
      <c r="P2377" s="238">
        <v>1.0</v>
      </c>
      <c r="Q2377" s="235" t="s">
        <v>627</v>
      </c>
      <c r="R2377" s="238">
        <v>256.19</v>
      </c>
      <c r="S2377" s="238">
        <v>12.55</v>
      </c>
      <c r="T2377" s="238">
        <v>0.0</v>
      </c>
      <c r="U2377" s="238">
        <v>0.0</v>
      </c>
      <c r="V2377" s="238">
        <v>0.0</v>
      </c>
      <c r="W2377" s="238">
        <v>0.0</v>
      </c>
      <c r="X2377" s="235" t="s">
        <v>628</v>
      </c>
      <c r="Z2377" s="244"/>
      <c r="AA2377" s="244"/>
      <c r="AB2377" s="244"/>
      <c r="AC2377" s="235" t="s">
        <v>11319</v>
      </c>
      <c r="AD2377" s="235" t="s">
        <v>796</v>
      </c>
      <c r="AE2377" s="238">
        <v>110032.0</v>
      </c>
      <c r="AF2377" s="235" t="s">
        <v>631</v>
      </c>
      <c r="AG2377" s="244"/>
      <c r="AH2377" s="244"/>
      <c r="AI2377" s="245"/>
      <c r="AJ2377" s="245"/>
      <c r="AK2377" s="245"/>
      <c r="AL2377" s="245"/>
      <c r="AM2377" s="244"/>
      <c r="AN2377" s="244"/>
      <c r="AO2377" s="238">
        <v>-5.12</v>
      </c>
      <c r="AP2377" s="238">
        <v>0.0</v>
      </c>
      <c r="AQ2377" s="235" t="s">
        <v>632</v>
      </c>
      <c r="AR2377" s="243">
        <v>2.02E11</v>
      </c>
      <c r="AS2377" s="235" t="s">
        <v>16626</v>
      </c>
      <c r="AT2377" s="235" t="s">
        <v>9</v>
      </c>
      <c r="AU2377" s="235" t="s">
        <v>634</v>
      </c>
      <c r="AV2377" s="246" t="s">
        <v>635</v>
      </c>
      <c r="AW2377" s="242"/>
      <c r="AX2377" s="242"/>
      <c r="AY2377" s="231"/>
      <c r="AZ2377" s="231"/>
      <c r="BA2377" s="227"/>
      <c r="BB2377" s="231"/>
      <c r="BC2377" s="227"/>
      <c r="BD2377" s="227"/>
      <c r="BE2377" s="227"/>
      <c r="BF2377" s="227"/>
    </row>
    <row r="2378">
      <c r="A2378" s="235" t="s">
        <v>18241</v>
      </c>
      <c r="C2378" s="235" t="s">
        <v>18242</v>
      </c>
      <c r="D2378" s="235" t="s">
        <v>18243</v>
      </c>
      <c r="E2378" s="243">
        <v>6.53E13</v>
      </c>
      <c r="F2378" s="245"/>
      <c r="G2378" s="235" t="s">
        <v>18244</v>
      </c>
      <c r="H2378" s="235" t="s">
        <v>18245</v>
      </c>
      <c r="I2378" s="235" t="s">
        <v>18245</v>
      </c>
      <c r="J2378" s="235" t="s">
        <v>18246</v>
      </c>
      <c r="K2378" s="235" t="s">
        <v>18247</v>
      </c>
      <c r="N2378" s="235" t="s">
        <v>42</v>
      </c>
      <c r="O2378" s="235" t="s">
        <v>204</v>
      </c>
      <c r="P2378" s="238">
        <v>1.0</v>
      </c>
      <c r="Q2378" s="235" t="s">
        <v>627</v>
      </c>
      <c r="R2378" s="238">
        <v>270.48</v>
      </c>
      <c r="S2378" s="238">
        <v>13.52</v>
      </c>
      <c r="T2378" s="238">
        <v>0.0</v>
      </c>
      <c r="U2378" s="238">
        <v>0.0</v>
      </c>
      <c r="V2378" s="238">
        <v>0.0</v>
      </c>
      <c r="W2378" s="238">
        <v>0.0</v>
      </c>
      <c r="X2378" s="235" t="s">
        <v>628</v>
      </c>
      <c r="Z2378" s="244"/>
      <c r="AA2378" s="244"/>
      <c r="AB2378" s="244"/>
      <c r="AC2378" s="235" t="s">
        <v>697</v>
      </c>
      <c r="AD2378" s="235" t="s">
        <v>698</v>
      </c>
      <c r="AE2378" s="238">
        <v>500008.0</v>
      </c>
      <c r="AF2378" s="235" t="s">
        <v>631</v>
      </c>
      <c r="AG2378" s="244"/>
      <c r="AH2378" s="244"/>
      <c r="AI2378" s="245"/>
      <c r="AJ2378" s="245"/>
      <c r="AK2378" s="245"/>
      <c r="AL2378" s="245"/>
      <c r="AM2378" s="244"/>
      <c r="AN2378" s="244"/>
      <c r="AO2378" s="238">
        <v>0.0</v>
      </c>
      <c r="AP2378" s="238">
        <v>0.0</v>
      </c>
      <c r="AQ2378" s="235" t="s">
        <v>632</v>
      </c>
      <c r="AR2378" s="243">
        <v>1.68E11</v>
      </c>
      <c r="AS2378" s="235" t="s">
        <v>16626</v>
      </c>
      <c r="AT2378" s="235" t="s">
        <v>156</v>
      </c>
      <c r="AU2378" s="235" t="s">
        <v>634</v>
      </c>
      <c r="AV2378" s="246" t="s">
        <v>635</v>
      </c>
      <c r="AW2378" s="242"/>
      <c r="AX2378" s="242"/>
      <c r="AY2378" s="231"/>
      <c r="AZ2378" s="231"/>
      <c r="BA2378" s="227"/>
      <c r="BB2378" s="231"/>
      <c r="BC2378" s="227"/>
      <c r="BD2378" s="227"/>
      <c r="BE2378" s="227"/>
      <c r="BF2378" s="227"/>
    </row>
    <row r="2379">
      <c r="A2379" s="235" t="s">
        <v>18248</v>
      </c>
      <c r="C2379" s="235" t="s">
        <v>18249</v>
      </c>
      <c r="D2379" s="235" t="s">
        <v>18250</v>
      </c>
      <c r="E2379" s="243">
        <v>6.53E13</v>
      </c>
      <c r="F2379" s="245"/>
      <c r="G2379" s="235" t="s">
        <v>18251</v>
      </c>
      <c r="H2379" s="235" t="s">
        <v>18252</v>
      </c>
      <c r="I2379" s="235" t="s">
        <v>18252</v>
      </c>
      <c r="J2379" s="235" t="s">
        <v>18253</v>
      </c>
      <c r="K2379" s="235" t="s">
        <v>18254</v>
      </c>
      <c r="N2379" s="235" t="s">
        <v>82</v>
      </c>
      <c r="O2379" s="235" t="s">
        <v>889</v>
      </c>
      <c r="P2379" s="238">
        <v>1.0</v>
      </c>
      <c r="Q2379" s="235" t="s">
        <v>627</v>
      </c>
      <c r="R2379" s="238">
        <v>270.48</v>
      </c>
      <c r="S2379" s="238">
        <v>13.52</v>
      </c>
      <c r="T2379" s="238">
        <v>0.0</v>
      </c>
      <c r="U2379" s="238">
        <v>0.0</v>
      </c>
      <c r="V2379" s="238">
        <v>0.0</v>
      </c>
      <c r="W2379" s="238">
        <v>0.0</v>
      </c>
      <c r="X2379" s="235" t="s">
        <v>628</v>
      </c>
      <c r="Z2379" s="244"/>
      <c r="AA2379" s="244"/>
      <c r="AB2379" s="244"/>
      <c r="AC2379" s="235" t="s">
        <v>18255</v>
      </c>
      <c r="AD2379" s="235" t="s">
        <v>881</v>
      </c>
      <c r="AE2379" s="238">
        <v>768001.0</v>
      </c>
      <c r="AF2379" s="235" t="s">
        <v>631</v>
      </c>
      <c r="AG2379" s="244"/>
      <c r="AH2379" s="244"/>
      <c r="AI2379" s="245"/>
      <c r="AJ2379" s="245"/>
      <c r="AK2379" s="245"/>
      <c r="AL2379" s="245"/>
      <c r="AM2379" s="244"/>
      <c r="AN2379" s="244"/>
      <c r="AO2379" s="238">
        <v>0.0</v>
      </c>
      <c r="AP2379" s="238">
        <v>0.0</v>
      </c>
      <c r="AQ2379" s="235" t="s">
        <v>632</v>
      </c>
      <c r="AR2379" s="243">
        <v>3.71E11</v>
      </c>
      <c r="AS2379" s="235" t="s">
        <v>12693</v>
      </c>
      <c r="AT2379" s="235" t="s">
        <v>14</v>
      </c>
      <c r="AU2379" s="235" t="s">
        <v>634</v>
      </c>
      <c r="AV2379" s="246" t="s">
        <v>635</v>
      </c>
      <c r="AW2379" s="242"/>
      <c r="AX2379" s="242"/>
      <c r="AY2379" s="231"/>
      <c r="AZ2379" s="231"/>
      <c r="BA2379" s="227"/>
      <c r="BB2379" s="231"/>
      <c r="BC2379" s="227"/>
      <c r="BD2379" s="227"/>
      <c r="BE2379" s="227"/>
      <c r="BF2379" s="227"/>
    </row>
    <row r="2380">
      <c r="A2380" s="235" t="s">
        <v>18256</v>
      </c>
      <c r="C2380" s="235" t="s">
        <v>18257</v>
      </c>
      <c r="D2380" s="235" t="s">
        <v>18258</v>
      </c>
      <c r="E2380" s="243">
        <v>6.53E13</v>
      </c>
      <c r="F2380" s="245"/>
      <c r="G2380" s="235" t="s">
        <v>18259</v>
      </c>
      <c r="H2380" s="235" t="s">
        <v>18260</v>
      </c>
      <c r="I2380" s="235" t="s">
        <v>18260</v>
      </c>
      <c r="J2380" s="235" t="s">
        <v>18261</v>
      </c>
      <c r="K2380" s="235" t="s">
        <v>18262</v>
      </c>
      <c r="N2380" s="235" t="s">
        <v>53</v>
      </c>
      <c r="O2380" s="235" t="s">
        <v>512</v>
      </c>
      <c r="P2380" s="238">
        <v>1.0</v>
      </c>
      <c r="Q2380" s="235" t="s">
        <v>627</v>
      </c>
      <c r="R2380" s="238">
        <v>270.48</v>
      </c>
      <c r="S2380" s="238">
        <v>13.52</v>
      </c>
      <c r="T2380" s="238">
        <v>38.1</v>
      </c>
      <c r="U2380" s="238">
        <v>1.9</v>
      </c>
      <c r="V2380" s="238">
        <v>0.0</v>
      </c>
      <c r="W2380" s="238">
        <v>0.0</v>
      </c>
      <c r="X2380" s="235" t="s">
        <v>628</v>
      </c>
      <c r="Z2380" s="244"/>
      <c r="AA2380" s="244"/>
      <c r="AB2380" s="244"/>
      <c r="AC2380" s="235" t="s">
        <v>6804</v>
      </c>
      <c r="AD2380" s="235" t="s">
        <v>666</v>
      </c>
      <c r="AE2380" s="238">
        <v>624001.0</v>
      </c>
      <c r="AF2380" s="235" t="s">
        <v>631</v>
      </c>
      <c r="AG2380" s="244"/>
      <c r="AH2380" s="244"/>
      <c r="AI2380" s="245"/>
      <c r="AJ2380" s="245"/>
      <c r="AK2380" s="245"/>
      <c r="AL2380" s="245"/>
      <c r="AM2380" s="244"/>
      <c r="AN2380" s="244"/>
      <c r="AO2380" s="238">
        <v>0.0</v>
      </c>
      <c r="AP2380" s="238">
        <v>-38.1</v>
      </c>
      <c r="AQ2380" s="235" t="s">
        <v>632</v>
      </c>
      <c r="AR2380" s="243">
        <v>3.71E11</v>
      </c>
      <c r="AS2380" s="235" t="s">
        <v>16626</v>
      </c>
      <c r="AT2380" s="235" t="s">
        <v>155</v>
      </c>
      <c r="AU2380" s="235" t="s">
        <v>634</v>
      </c>
      <c r="AV2380" s="246" t="s">
        <v>635</v>
      </c>
      <c r="AW2380" s="242"/>
      <c r="AX2380" s="242"/>
      <c r="AY2380" s="231"/>
      <c r="AZ2380" s="231"/>
      <c r="BA2380" s="227"/>
      <c r="BB2380" s="231"/>
      <c r="BC2380" s="227"/>
      <c r="BD2380" s="227"/>
      <c r="BE2380" s="227"/>
      <c r="BF2380" s="227"/>
    </row>
    <row r="2381">
      <c r="A2381" s="235" t="s">
        <v>18263</v>
      </c>
      <c r="C2381" s="235" t="s">
        <v>18264</v>
      </c>
      <c r="D2381" s="235" t="s">
        <v>18265</v>
      </c>
      <c r="E2381" s="243">
        <v>6.53E13</v>
      </c>
      <c r="F2381" s="245"/>
      <c r="G2381" s="235" t="s">
        <v>18266</v>
      </c>
      <c r="H2381" s="235" t="s">
        <v>18267</v>
      </c>
      <c r="I2381" s="235" t="s">
        <v>18267</v>
      </c>
      <c r="J2381" s="235" t="s">
        <v>18268</v>
      </c>
      <c r="K2381" s="235" t="s">
        <v>18269</v>
      </c>
      <c r="N2381" s="235" t="s">
        <v>51</v>
      </c>
      <c r="O2381" s="235" t="s">
        <v>273</v>
      </c>
      <c r="P2381" s="238">
        <v>1.0</v>
      </c>
      <c r="Q2381" s="235" t="s">
        <v>627</v>
      </c>
      <c r="R2381" s="238">
        <v>270.48</v>
      </c>
      <c r="S2381" s="238">
        <v>13.25</v>
      </c>
      <c r="T2381" s="238">
        <v>0.0</v>
      </c>
      <c r="U2381" s="238">
        <v>0.0</v>
      </c>
      <c r="V2381" s="238">
        <v>0.0</v>
      </c>
      <c r="W2381" s="238">
        <v>0.0</v>
      </c>
      <c r="X2381" s="235" t="s">
        <v>628</v>
      </c>
      <c r="Z2381" s="244"/>
      <c r="AA2381" s="244"/>
      <c r="AB2381" s="244"/>
      <c r="AC2381" s="235" t="s">
        <v>697</v>
      </c>
      <c r="AD2381" s="235" t="s">
        <v>698</v>
      </c>
      <c r="AE2381" s="238">
        <v>500018.0</v>
      </c>
      <c r="AF2381" s="235" t="s">
        <v>631</v>
      </c>
      <c r="AG2381" s="244"/>
      <c r="AH2381" s="244"/>
      <c r="AI2381" s="245"/>
      <c r="AJ2381" s="245"/>
      <c r="AK2381" s="245"/>
      <c r="AL2381" s="245"/>
      <c r="AM2381" s="244"/>
      <c r="AN2381" s="244"/>
      <c r="AO2381" s="238">
        <v>-5.41</v>
      </c>
      <c r="AP2381" s="238">
        <v>0.0</v>
      </c>
      <c r="AQ2381" s="235" t="s">
        <v>632</v>
      </c>
      <c r="AR2381" s="243">
        <v>3.71E11</v>
      </c>
      <c r="AS2381" s="235" t="s">
        <v>15064</v>
      </c>
      <c r="AT2381" s="235" t="s">
        <v>16</v>
      </c>
      <c r="AU2381" s="235" t="s">
        <v>634</v>
      </c>
      <c r="AV2381" s="246" t="s">
        <v>635</v>
      </c>
      <c r="AW2381" s="242"/>
      <c r="AX2381" s="242"/>
      <c r="AY2381" s="231"/>
      <c r="AZ2381" s="231"/>
      <c r="BA2381" s="227"/>
      <c r="BB2381" s="231"/>
      <c r="BC2381" s="227"/>
      <c r="BD2381" s="227"/>
      <c r="BE2381" s="227"/>
      <c r="BF2381" s="227"/>
    </row>
    <row r="2382">
      <c r="A2382" s="235" t="s">
        <v>18270</v>
      </c>
      <c r="C2382" s="235" t="s">
        <v>18271</v>
      </c>
      <c r="D2382" s="235" t="s">
        <v>18272</v>
      </c>
      <c r="E2382" s="243">
        <v>6.53E13</v>
      </c>
      <c r="F2382" s="245"/>
      <c r="G2382" s="235" t="s">
        <v>18273</v>
      </c>
      <c r="H2382" s="235" t="s">
        <v>18274</v>
      </c>
      <c r="I2382" s="235" t="s">
        <v>18274</v>
      </c>
      <c r="J2382" s="235" t="s">
        <v>18275</v>
      </c>
      <c r="K2382" s="235" t="s">
        <v>18276</v>
      </c>
      <c r="N2382" s="235" t="s">
        <v>117</v>
      </c>
      <c r="O2382" s="235" t="s">
        <v>334</v>
      </c>
      <c r="P2382" s="238">
        <v>1.0</v>
      </c>
      <c r="Q2382" s="235" t="s">
        <v>627</v>
      </c>
      <c r="R2382" s="238">
        <v>270.48</v>
      </c>
      <c r="S2382" s="238">
        <v>13.25</v>
      </c>
      <c r="T2382" s="238">
        <v>0.0</v>
      </c>
      <c r="U2382" s="238">
        <v>0.0</v>
      </c>
      <c r="V2382" s="238">
        <v>0.0</v>
      </c>
      <c r="W2382" s="238">
        <v>0.0</v>
      </c>
      <c r="X2382" s="235" t="s">
        <v>628</v>
      </c>
      <c r="Z2382" s="244"/>
      <c r="AA2382" s="244"/>
      <c r="AB2382" s="244"/>
      <c r="AC2382" s="235" t="s">
        <v>1604</v>
      </c>
      <c r="AD2382" s="235" t="s">
        <v>845</v>
      </c>
      <c r="AE2382" s="238">
        <v>400067.0</v>
      </c>
      <c r="AF2382" s="235" t="s">
        <v>631</v>
      </c>
      <c r="AG2382" s="244"/>
      <c r="AH2382" s="244"/>
      <c r="AI2382" s="245"/>
      <c r="AJ2382" s="245"/>
      <c r="AK2382" s="245"/>
      <c r="AL2382" s="245"/>
      <c r="AM2382" s="244"/>
      <c r="AN2382" s="244"/>
      <c r="AO2382" s="238">
        <v>-5.41</v>
      </c>
      <c r="AP2382" s="238">
        <v>0.0</v>
      </c>
      <c r="AQ2382" s="235" t="s">
        <v>632</v>
      </c>
      <c r="AR2382" s="243">
        <v>3.71E11</v>
      </c>
      <c r="AS2382" s="235" t="s">
        <v>16626</v>
      </c>
      <c r="AT2382" s="235" t="s">
        <v>16</v>
      </c>
      <c r="AU2382" s="235" t="s">
        <v>634</v>
      </c>
      <c r="AV2382" s="246" t="s">
        <v>635</v>
      </c>
      <c r="AW2382" s="242"/>
      <c r="AX2382" s="242"/>
      <c r="AY2382" s="231"/>
      <c r="AZ2382" s="231"/>
      <c r="BA2382" s="227"/>
      <c r="BB2382" s="231"/>
      <c r="BC2382" s="227"/>
      <c r="BD2382" s="227"/>
      <c r="BE2382" s="227"/>
      <c r="BF2382" s="227"/>
    </row>
    <row r="2383">
      <c r="A2383" s="235" t="s">
        <v>18277</v>
      </c>
      <c r="C2383" s="235" t="s">
        <v>18278</v>
      </c>
      <c r="D2383" s="235" t="s">
        <v>18279</v>
      </c>
      <c r="E2383" s="243">
        <v>6.53E13</v>
      </c>
      <c r="F2383" s="245"/>
      <c r="G2383" s="235" t="s">
        <v>18280</v>
      </c>
      <c r="H2383" s="235" t="s">
        <v>18281</v>
      </c>
      <c r="I2383" s="235" t="s">
        <v>18281</v>
      </c>
      <c r="J2383" s="235" t="s">
        <v>18282</v>
      </c>
      <c r="K2383" s="235" t="s">
        <v>18283</v>
      </c>
      <c r="N2383" s="235" t="s">
        <v>85</v>
      </c>
      <c r="O2383" s="235" t="s">
        <v>872</v>
      </c>
      <c r="P2383" s="238">
        <v>1.0</v>
      </c>
      <c r="Q2383" s="235" t="s">
        <v>627</v>
      </c>
      <c r="R2383" s="238">
        <v>270.48</v>
      </c>
      <c r="S2383" s="238">
        <v>13.52</v>
      </c>
      <c r="T2383" s="238">
        <v>38.1</v>
      </c>
      <c r="U2383" s="238">
        <v>1.9</v>
      </c>
      <c r="V2383" s="238">
        <v>0.0</v>
      </c>
      <c r="W2383" s="238">
        <v>0.0</v>
      </c>
      <c r="X2383" s="235" t="s">
        <v>628</v>
      </c>
      <c r="Z2383" s="244"/>
      <c r="AA2383" s="244"/>
      <c r="AB2383" s="244"/>
      <c r="AC2383" s="235" t="s">
        <v>18284</v>
      </c>
      <c r="AD2383" s="235" t="s">
        <v>698</v>
      </c>
      <c r="AE2383" s="238">
        <v>505503.0</v>
      </c>
      <c r="AF2383" s="235" t="s">
        <v>631</v>
      </c>
      <c r="AG2383" s="244"/>
      <c r="AH2383" s="244"/>
      <c r="AI2383" s="245"/>
      <c r="AJ2383" s="245"/>
      <c r="AK2383" s="245"/>
      <c r="AL2383" s="245"/>
      <c r="AM2383" s="244"/>
      <c r="AN2383" s="244"/>
      <c r="AO2383" s="238">
        <v>0.0</v>
      </c>
      <c r="AP2383" s="238">
        <v>-38.1</v>
      </c>
      <c r="AQ2383" s="235" t="s">
        <v>1328</v>
      </c>
      <c r="AR2383" s="243">
        <v>1.34E13</v>
      </c>
      <c r="AS2383" s="235" t="s">
        <v>8807</v>
      </c>
      <c r="AT2383" s="235" t="s">
        <v>17</v>
      </c>
      <c r="AU2383" s="235" t="s">
        <v>634</v>
      </c>
      <c r="AV2383" s="246" t="s">
        <v>635</v>
      </c>
      <c r="AW2383" s="242"/>
      <c r="AX2383" s="242"/>
      <c r="AY2383" s="231"/>
      <c r="AZ2383" s="231"/>
      <c r="BA2383" s="227"/>
      <c r="BB2383" s="231"/>
      <c r="BC2383" s="227"/>
      <c r="BD2383" s="227"/>
      <c r="BE2383" s="227"/>
      <c r="BF2383" s="227"/>
    </row>
    <row r="2384">
      <c r="A2384" s="235" t="s">
        <v>18285</v>
      </c>
      <c r="C2384" s="235" t="s">
        <v>18286</v>
      </c>
      <c r="D2384" s="235" t="s">
        <v>18287</v>
      </c>
      <c r="E2384" s="243">
        <v>6.53E13</v>
      </c>
      <c r="F2384" s="245"/>
      <c r="G2384" s="235" t="s">
        <v>18288</v>
      </c>
      <c r="H2384" s="235" t="s">
        <v>18289</v>
      </c>
      <c r="I2384" s="235" t="s">
        <v>18289</v>
      </c>
      <c r="J2384" s="235" t="s">
        <v>18290</v>
      </c>
      <c r="K2384" s="235" t="s">
        <v>18291</v>
      </c>
      <c r="N2384" s="235" t="s">
        <v>85</v>
      </c>
      <c r="O2384" s="235" t="s">
        <v>872</v>
      </c>
      <c r="P2384" s="238">
        <v>1.0</v>
      </c>
      <c r="Q2384" s="235" t="s">
        <v>627</v>
      </c>
      <c r="R2384" s="238">
        <v>270.48</v>
      </c>
      <c r="S2384" s="238">
        <v>13.52</v>
      </c>
      <c r="T2384" s="238">
        <v>0.0</v>
      </c>
      <c r="U2384" s="238">
        <v>0.0</v>
      </c>
      <c r="V2384" s="238">
        <v>0.0</v>
      </c>
      <c r="W2384" s="238">
        <v>0.0</v>
      </c>
      <c r="X2384" s="235" t="s">
        <v>628</v>
      </c>
      <c r="Z2384" s="244"/>
      <c r="AA2384" s="244"/>
      <c r="AB2384" s="244"/>
      <c r="AC2384" s="235" t="s">
        <v>2260</v>
      </c>
      <c r="AD2384" s="235" t="s">
        <v>630</v>
      </c>
      <c r="AE2384" s="238">
        <v>273001.0</v>
      </c>
      <c r="AF2384" s="235" t="s">
        <v>631</v>
      </c>
      <c r="AG2384" s="244"/>
      <c r="AH2384" s="244"/>
      <c r="AI2384" s="245"/>
      <c r="AJ2384" s="245"/>
      <c r="AK2384" s="245"/>
      <c r="AL2384" s="245"/>
      <c r="AM2384" s="244"/>
      <c r="AN2384" s="244"/>
      <c r="AO2384" s="238">
        <v>0.0</v>
      </c>
      <c r="AP2384" s="238">
        <v>0.0</v>
      </c>
      <c r="AQ2384" s="235" t="s">
        <v>632</v>
      </c>
      <c r="AR2384" s="243">
        <v>1.68E11</v>
      </c>
      <c r="AS2384" s="235" t="s">
        <v>15064</v>
      </c>
      <c r="AT2384" s="235" t="s">
        <v>533</v>
      </c>
      <c r="AU2384" s="235" t="s">
        <v>634</v>
      </c>
      <c r="AV2384" s="246" t="s">
        <v>635</v>
      </c>
      <c r="AW2384" s="242"/>
      <c r="AX2384" s="242"/>
      <c r="AY2384" s="231"/>
      <c r="AZ2384" s="231"/>
      <c r="BA2384" s="227"/>
      <c r="BB2384" s="231"/>
      <c r="BC2384" s="227"/>
      <c r="BD2384" s="227"/>
      <c r="BE2384" s="227"/>
      <c r="BF2384" s="227"/>
    </row>
    <row r="2385">
      <c r="A2385" s="235" t="s">
        <v>18292</v>
      </c>
      <c r="C2385" s="235" t="s">
        <v>18293</v>
      </c>
      <c r="D2385" s="235" t="s">
        <v>18294</v>
      </c>
      <c r="E2385" s="243">
        <v>6.53E13</v>
      </c>
      <c r="F2385" s="245"/>
      <c r="G2385" s="235" t="s">
        <v>18295</v>
      </c>
      <c r="H2385" s="235" t="s">
        <v>18296</v>
      </c>
      <c r="I2385" s="235" t="s">
        <v>18296</v>
      </c>
      <c r="J2385" s="235" t="s">
        <v>18297</v>
      </c>
      <c r="K2385" s="235" t="s">
        <v>18298</v>
      </c>
      <c r="N2385" s="235" t="s">
        <v>42</v>
      </c>
      <c r="O2385" s="235" t="s">
        <v>204</v>
      </c>
      <c r="P2385" s="238">
        <v>1.0</v>
      </c>
      <c r="Q2385" s="235" t="s">
        <v>627</v>
      </c>
      <c r="R2385" s="238">
        <v>270.48</v>
      </c>
      <c r="S2385" s="238">
        <v>13.52</v>
      </c>
      <c r="T2385" s="238">
        <v>38.1</v>
      </c>
      <c r="U2385" s="238">
        <v>1.9</v>
      </c>
      <c r="V2385" s="238">
        <v>0.0</v>
      </c>
      <c r="W2385" s="238">
        <v>0.0</v>
      </c>
      <c r="X2385" s="235" t="s">
        <v>628</v>
      </c>
      <c r="Z2385" s="244"/>
      <c r="AA2385" s="244"/>
      <c r="AB2385" s="244"/>
      <c r="AC2385" s="235" t="s">
        <v>3195</v>
      </c>
      <c r="AD2385" s="235" t="s">
        <v>881</v>
      </c>
      <c r="AE2385" s="238">
        <v>751021.0</v>
      </c>
      <c r="AF2385" s="235" t="s">
        <v>631</v>
      </c>
      <c r="AG2385" s="244"/>
      <c r="AH2385" s="244"/>
      <c r="AI2385" s="245"/>
      <c r="AJ2385" s="245"/>
      <c r="AK2385" s="245"/>
      <c r="AL2385" s="245"/>
      <c r="AM2385" s="244"/>
      <c r="AN2385" s="244"/>
      <c r="AO2385" s="238">
        <v>0.0</v>
      </c>
      <c r="AP2385" s="238">
        <v>-38.1</v>
      </c>
      <c r="AQ2385" s="235" t="s">
        <v>632</v>
      </c>
      <c r="AR2385" s="243">
        <v>3.71E11</v>
      </c>
      <c r="AS2385" s="235" t="s">
        <v>12693</v>
      </c>
      <c r="AT2385" s="235" t="s">
        <v>14</v>
      </c>
      <c r="AU2385" s="235" t="s">
        <v>634</v>
      </c>
      <c r="AV2385" s="246" t="s">
        <v>635</v>
      </c>
      <c r="AW2385" s="242"/>
      <c r="AX2385" s="242"/>
      <c r="AY2385" s="231"/>
      <c r="AZ2385" s="231"/>
      <c r="BA2385" s="227"/>
      <c r="BB2385" s="231"/>
      <c r="BC2385" s="227"/>
      <c r="BD2385" s="227"/>
      <c r="BE2385" s="227"/>
      <c r="BF2385" s="227"/>
    </row>
    <row r="2386">
      <c r="A2386" s="235" t="s">
        <v>18299</v>
      </c>
      <c r="C2386" s="235" t="s">
        <v>18300</v>
      </c>
      <c r="D2386" s="235" t="s">
        <v>18301</v>
      </c>
      <c r="E2386" s="243">
        <v>6.53E13</v>
      </c>
      <c r="F2386" s="245"/>
      <c r="G2386" s="235" t="s">
        <v>18302</v>
      </c>
      <c r="H2386" s="235" t="s">
        <v>18303</v>
      </c>
      <c r="I2386" s="235" t="s">
        <v>18303</v>
      </c>
      <c r="J2386" s="235" t="s">
        <v>18304</v>
      </c>
      <c r="K2386" s="235" t="s">
        <v>18305</v>
      </c>
      <c r="N2386" s="235" t="s">
        <v>42</v>
      </c>
      <c r="O2386" s="235" t="s">
        <v>204</v>
      </c>
      <c r="P2386" s="238">
        <v>1.0</v>
      </c>
      <c r="Q2386" s="235" t="s">
        <v>627</v>
      </c>
      <c r="R2386" s="238">
        <v>270.48</v>
      </c>
      <c r="S2386" s="238">
        <v>13.25</v>
      </c>
      <c r="T2386" s="238">
        <v>38.1</v>
      </c>
      <c r="U2386" s="238">
        <v>1.9</v>
      </c>
      <c r="V2386" s="238">
        <v>0.0</v>
      </c>
      <c r="W2386" s="238">
        <v>0.0</v>
      </c>
      <c r="X2386" s="235" t="s">
        <v>628</v>
      </c>
      <c r="Z2386" s="244"/>
      <c r="AA2386" s="244"/>
      <c r="AB2386" s="244"/>
      <c r="AC2386" s="235" t="s">
        <v>8056</v>
      </c>
      <c r="AD2386" s="235" t="s">
        <v>666</v>
      </c>
      <c r="AE2386" s="238">
        <v>638002.0</v>
      </c>
      <c r="AF2386" s="235" t="s">
        <v>631</v>
      </c>
      <c r="AG2386" s="244"/>
      <c r="AH2386" s="244"/>
      <c r="AI2386" s="245"/>
      <c r="AJ2386" s="245"/>
      <c r="AK2386" s="245"/>
      <c r="AL2386" s="245"/>
      <c r="AM2386" s="244"/>
      <c r="AN2386" s="244"/>
      <c r="AO2386" s="238">
        <v>-5.41</v>
      </c>
      <c r="AP2386" s="238">
        <v>-38.1</v>
      </c>
      <c r="AQ2386" s="235" t="s">
        <v>632</v>
      </c>
      <c r="AR2386" s="243">
        <v>3.71E11</v>
      </c>
      <c r="AS2386" s="235" t="s">
        <v>16626</v>
      </c>
      <c r="AT2386" s="235" t="s">
        <v>155</v>
      </c>
      <c r="AU2386" s="235" t="s">
        <v>634</v>
      </c>
      <c r="AV2386" s="246" t="s">
        <v>635</v>
      </c>
      <c r="AW2386" s="242"/>
      <c r="AX2386" s="242"/>
      <c r="AY2386" s="231"/>
      <c r="AZ2386" s="231"/>
      <c r="BA2386" s="227"/>
      <c r="BB2386" s="231"/>
      <c r="BC2386" s="227"/>
      <c r="BD2386" s="227"/>
      <c r="BE2386" s="227"/>
      <c r="BF2386" s="227"/>
    </row>
    <row r="2387">
      <c r="A2387" s="235" t="s">
        <v>18306</v>
      </c>
      <c r="C2387" s="235" t="s">
        <v>18307</v>
      </c>
      <c r="D2387" s="235" t="s">
        <v>18308</v>
      </c>
      <c r="E2387" s="243">
        <v>6.52E13</v>
      </c>
      <c r="F2387" s="245"/>
      <c r="G2387" s="235" t="s">
        <v>18309</v>
      </c>
      <c r="H2387" s="235" t="s">
        <v>18310</v>
      </c>
      <c r="I2387" s="235" t="s">
        <v>18310</v>
      </c>
      <c r="J2387" s="235" t="s">
        <v>18311</v>
      </c>
      <c r="K2387" s="235" t="s">
        <v>18312</v>
      </c>
      <c r="N2387" s="235" t="s">
        <v>154</v>
      </c>
      <c r="O2387" s="235" t="s">
        <v>766</v>
      </c>
      <c r="P2387" s="238">
        <v>1.0</v>
      </c>
      <c r="Q2387" s="235" t="s">
        <v>627</v>
      </c>
      <c r="R2387" s="238">
        <v>423.8</v>
      </c>
      <c r="S2387" s="238">
        <v>21.2</v>
      </c>
      <c r="T2387" s="238">
        <v>38.1</v>
      </c>
      <c r="U2387" s="238">
        <v>1.9</v>
      </c>
      <c r="V2387" s="238">
        <v>0.0</v>
      </c>
      <c r="W2387" s="238">
        <v>0.0</v>
      </c>
      <c r="X2387" s="235" t="s">
        <v>628</v>
      </c>
      <c r="Z2387" s="244"/>
      <c r="AA2387" s="244"/>
      <c r="AB2387" s="244"/>
      <c r="AC2387" s="235" t="s">
        <v>687</v>
      </c>
      <c r="AD2387" s="235" t="s">
        <v>666</v>
      </c>
      <c r="AE2387" s="238">
        <v>600077.0</v>
      </c>
      <c r="AF2387" s="235" t="s">
        <v>631</v>
      </c>
      <c r="AG2387" s="244"/>
      <c r="AH2387" s="244"/>
      <c r="AI2387" s="245"/>
      <c r="AJ2387" s="245"/>
      <c r="AK2387" s="245"/>
      <c r="AL2387" s="245"/>
      <c r="AM2387" s="244"/>
      <c r="AN2387" s="244"/>
      <c r="AO2387" s="238">
        <v>0.0</v>
      </c>
      <c r="AP2387" s="238">
        <v>-38.1</v>
      </c>
      <c r="AQ2387" s="235" t="s">
        <v>1356</v>
      </c>
      <c r="AR2387" s="247" t="s">
        <v>18313</v>
      </c>
      <c r="AS2387" s="235" t="s">
        <v>13822</v>
      </c>
      <c r="AT2387" s="235" t="s">
        <v>156</v>
      </c>
      <c r="AU2387" s="235" t="s">
        <v>634</v>
      </c>
      <c r="AV2387" s="246" t="s">
        <v>635</v>
      </c>
      <c r="AW2387" s="242"/>
      <c r="AX2387" s="242"/>
      <c r="AY2387" s="231"/>
      <c r="AZ2387" s="231"/>
      <c r="BA2387" s="227"/>
      <c r="BB2387" s="231"/>
      <c r="BC2387" s="227"/>
      <c r="BD2387" s="227"/>
      <c r="BE2387" s="227"/>
      <c r="BF2387" s="227"/>
    </row>
    <row r="2388">
      <c r="A2388" s="235" t="s">
        <v>18314</v>
      </c>
      <c r="C2388" s="235" t="s">
        <v>18315</v>
      </c>
      <c r="D2388" s="235" t="s">
        <v>18316</v>
      </c>
      <c r="E2388" s="243">
        <v>6.53E13</v>
      </c>
      <c r="F2388" s="245"/>
      <c r="G2388" s="235" t="s">
        <v>18317</v>
      </c>
      <c r="H2388" s="235" t="s">
        <v>18318</v>
      </c>
      <c r="I2388" s="235" t="s">
        <v>18318</v>
      </c>
      <c r="J2388" s="235" t="s">
        <v>18319</v>
      </c>
      <c r="K2388" s="235" t="s">
        <v>18320</v>
      </c>
      <c r="N2388" s="235" t="s">
        <v>39</v>
      </c>
      <c r="O2388" s="235" t="s">
        <v>291</v>
      </c>
      <c r="P2388" s="238">
        <v>1.0</v>
      </c>
      <c r="Q2388" s="235" t="s">
        <v>627</v>
      </c>
      <c r="R2388" s="238">
        <v>270.48</v>
      </c>
      <c r="S2388" s="238">
        <v>13.52</v>
      </c>
      <c r="T2388" s="238">
        <v>38.1</v>
      </c>
      <c r="U2388" s="238">
        <v>1.9</v>
      </c>
      <c r="V2388" s="238">
        <v>0.0</v>
      </c>
      <c r="W2388" s="238">
        <v>0.0</v>
      </c>
      <c r="X2388" s="235" t="s">
        <v>628</v>
      </c>
      <c r="Z2388" s="244"/>
      <c r="AA2388" s="244"/>
      <c r="AB2388" s="244"/>
      <c r="AC2388" s="235" t="s">
        <v>18321</v>
      </c>
      <c r="AD2388" s="235" t="s">
        <v>666</v>
      </c>
      <c r="AE2388" s="238">
        <v>629158.0</v>
      </c>
      <c r="AF2388" s="235" t="s">
        <v>631</v>
      </c>
      <c r="AG2388" s="244"/>
      <c r="AH2388" s="244"/>
      <c r="AI2388" s="245"/>
      <c r="AJ2388" s="245"/>
      <c r="AK2388" s="245"/>
      <c r="AL2388" s="245"/>
      <c r="AM2388" s="244"/>
      <c r="AN2388" s="244"/>
      <c r="AO2388" s="238">
        <v>0.0</v>
      </c>
      <c r="AP2388" s="238">
        <v>-38.1</v>
      </c>
      <c r="AQ2388" s="235" t="s">
        <v>632</v>
      </c>
      <c r="AR2388" s="243">
        <v>3.71E11</v>
      </c>
      <c r="AS2388" s="235" t="s">
        <v>15064</v>
      </c>
      <c r="AT2388" s="235" t="s">
        <v>155</v>
      </c>
      <c r="AU2388" s="235" t="s">
        <v>634</v>
      </c>
      <c r="AV2388" s="246" t="s">
        <v>635</v>
      </c>
      <c r="AW2388" s="242"/>
      <c r="AX2388" s="242"/>
      <c r="AY2388" s="231"/>
      <c r="AZ2388" s="231"/>
      <c r="BA2388" s="227"/>
      <c r="BB2388" s="227"/>
      <c r="BC2388" s="227"/>
      <c r="BD2388" s="227"/>
      <c r="BE2388" s="227"/>
      <c r="BF2388" s="227"/>
    </row>
    <row r="2389">
      <c r="A2389" s="235" t="s">
        <v>18322</v>
      </c>
      <c r="C2389" s="235" t="s">
        <v>18323</v>
      </c>
      <c r="D2389" s="235" t="s">
        <v>18324</v>
      </c>
      <c r="E2389" s="243">
        <v>6.53E13</v>
      </c>
      <c r="F2389" s="245"/>
      <c r="G2389" s="235" t="s">
        <v>18325</v>
      </c>
      <c r="H2389" s="235" t="s">
        <v>18326</v>
      </c>
      <c r="I2389" s="235" t="s">
        <v>18326</v>
      </c>
      <c r="J2389" s="235" t="s">
        <v>18327</v>
      </c>
      <c r="K2389" s="235" t="s">
        <v>18328</v>
      </c>
      <c r="N2389" s="235" t="s">
        <v>85</v>
      </c>
      <c r="O2389" s="235" t="s">
        <v>872</v>
      </c>
      <c r="P2389" s="238">
        <v>1.0</v>
      </c>
      <c r="Q2389" s="235" t="s">
        <v>627</v>
      </c>
      <c r="R2389" s="238">
        <v>270.48</v>
      </c>
      <c r="S2389" s="238">
        <v>13.25</v>
      </c>
      <c r="T2389" s="238">
        <v>0.0</v>
      </c>
      <c r="U2389" s="238">
        <v>0.0</v>
      </c>
      <c r="V2389" s="238">
        <v>0.0</v>
      </c>
      <c r="W2389" s="238">
        <v>0.0</v>
      </c>
      <c r="X2389" s="235" t="s">
        <v>628</v>
      </c>
      <c r="Z2389" s="244"/>
      <c r="AA2389" s="244"/>
      <c r="AB2389" s="244"/>
      <c r="AC2389" s="235" t="s">
        <v>18329</v>
      </c>
      <c r="AD2389" s="235" t="s">
        <v>18330</v>
      </c>
      <c r="AE2389" s="238">
        <v>403713.0</v>
      </c>
      <c r="AF2389" s="235" t="s">
        <v>631</v>
      </c>
      <c r="AG2389" s="244"/>
      <c r="AH2389" s="244"/>
      <c r="AI2389" s="245"/>
      <c r="AJ2389" s="245"/>
      <c r="AK2389" s="245"/>
      <c r="AL2389" s="245"/>
      <c r="AM2389" s="244"/>
      <c r="AN2389" s="244"/>
      <c r="AO2389" s="238">
        <v>-5.41</v>
      </c>
      <c r="AP2389" s="238">
        <v>0.0</v>
      </c>
      <c r="AQ2389" s="235" t="s">
        <v>632</v>
      </c>
      <c r="AR2389" s="243">
        <v>1.68E11</v>
      </c>
      <c r="AS2389" s="235" t="s">
        <v>16626</v>
      </c>
      <c r="AT2389" s="235" t="s">
        <v>9</v>
      </c>
      <c r="AU2389" s="235" t="s">
        <v>634</v>
      </c>
      <c r="AV2389" s="246" t="s">
        <v>635</v>
      </c>
      <c r="AW2389" s="242"/>
      <c r="AX2389" s="242"/>
      <c r="AY2389" s="231"/>
      <c r="AZ2389" s="231"/>
      <c r="BA2389" s="227"/>
      <c r="BB2389" s="227"/>
      <c r="BC2389" s="227"/>
      <c r="BD2389" s="227"/>
      <c r="BE2389" s="227"/>
      <c r="BF2389" s="227"/>
    </row>
    <row r="2390">
      <c r="A2390" s="235" t="s">
        <v>18331</v>
      </c>
      <c r="C2390" s="235" t="s">
        <v>18332</v>
      </c>
      <c r="D2390" s="235" t="s">
        <v>18333</v>
      </c>
      <c r="E2390" s="243">
        <v>6.53E13</v>
      </c>
      <c r="F2390" s="245"/>
      <c r="G2390" s="235" t="s">
        <v>18334</v>
      </c>
      <c r="H2390" s="235" t="s">
        <v>18335</v>
      </c>
      <c r="I2390" s="235" t="s">
        <v>18335</v>
      </c>
      <c r="J2390" s="235" t="s">
        <v>18336</v>
      </c>
      <c r="K2390" s="235" t="s">
        <v>18337</v>
      </c>
      <c r="N2390" s="235" t="s">
        <v>134</v>
      </c>
      <c r="O2390" s="235" t="s">
        <v>314</v>
      </c>
      <c r="P2390" s="238">
        <v>1.0</v>
      </c>
      <c r="Q2390" s="235" t="s">
        <v>627</v>
      </c>
      <c r="R2390" s="238">
        <v>270.48</v>
      </c>
      <c r="S2390" s="238">
        <v>13.52</v>
      </c>
      <c r="T2390" s="238">
        <v>38.1</v>
      </c>
      <c r="U2390" s="238">
        <v>1.9</v>
      </c>
      <c r="V2390" s="238">
        <v>0.0</v>
      </c>
      <c r="W2390" s="238">
        <v>0.0</v>
      </c>
      <c r="X2390" s="235" t="s">
        <v>628</v>
      </c>
      <c r="Z2390" s="244"/>
      <c r="AA2390" s="244"/>
      <c r="AB2390" s="244"/>
      <c r="AC2390" s="235" t="s">
        <v>18338</v>
      </c>
      <c r="AD2390" s="235" t="s">
        <v>908</v>
      </c>
      <c r="AE2390" s="238">
        <v>262308.0</v>
      </c>
      <c r="AF2390" s="235" t="s">
        <v>631</v>
      </c>
      <c r="AG2390" s="244"/>
      <c r="AH2390" s="244"/>
      <c r="AI2390" s="245"/>
      <c r="AJ2390" s="245"/>
      <c r="AK2390" s="245"/>
      <c r="AL2390" s="245"/>
      <c r="AM2390" s="244"/>
      <c r="AN2390" s="244"/>
      <c r="AO2390" s="238">
        <v>0.0</v>
      </c>
      <c r="AP2390" s="238">
        <v>-38.1</v>
      </c>
      <c r="AQ2390" s="235" t="s">
        <v>632</v>
      </c>
      <c r="AR2390" s="243">
        <v>3.71E11</v>
      </c>
      <c r="AS2390" s="235" t="s">
        <v>16626</v>
      </c>
      <c r="AT2390" s="235" t="s">
        <v>533</v>
      </c>
      <c r="AU2390" s="235" t="s">
        <v>634</v>
      </c>
      <c r="AV2390" s="246" t="s">
        <v>635</v>
      </c>
      <c r="AW2390" s="242"/>
      <c r="AX2390" s="242"/>
      <c r="AY2390" s="231"/>
      <c r="AZ2390" s="231"/>
      <c r="BA2390" s="227"/>
      <c r="BB2390" s="231"/>
      <c r="BC2390" s="227"/>
      <c r="BD2390" s="227"/>
      <c r="BE2390" s="227"/>
      <c r="BF2390" s="227"/>
    </row>
    <row r="2391">
      <c r="A2391" s="235" t="s">
        <v>18339</v>
      </c>
      <c r="C2391" s="235" t="s">
        <v>18340</v>
      </c>
      <c r="D2391" s="235" t="s">
        <v>18341</v>
      </c>
      <c r="E2391" s="243">
        <v>6.53E13</v>
      </c>
      <c r="F2391" s="245"/>
      <c r="G2391" s="235" t="s">
        <v>18342</v>
      </c>
      <c r="H2391" s="235" t="s">
        <v>18343</v>
      </c>
      <c r="I2391" s="235" t="s">
        <v>18343</v>
      </c>
      <c r="J2391" s="235" t="s">
        <v>18344</v>
      </c>
      <c r="K2391" s="235" t="s">
        <v>18345</v>
      </c>
      <c r="N2391" s="235" t="s">
        <v>90</v>
      </c>
      <c r="O2391" s="235" t="s">
        <v>279</v>
      </c>
      <c r="P2391" s="238">
        <v>1.0</v>
      </c>
      <c r="Q2391" s="235" t="s">
        <v>627</v>
      </c>
      <c r="R2391" s="238">
        <v>270.48</v>
      </c>
      <c r="S2391" s="238">
        <v>13.25</v>
      </c>
      <c r="T2391" s="238">
        <v>0.0</v>
      </c>
      <c r="U2391" s="238">
        <v>0.0</v>
      </c>
      <c r="V2391" s="238">
        <v>0.0</v>
      </c>
      <c r="W2391" s="238">
        <v>0.0</v>
      </c>
      <c r="X2391" s="235" t="s">
        <v>628</v>
      </c>
      <c r="Z2391" s="244"/>
      <c r="AA2391" s="244"/>
      <c r="AB2391" s="244"/>
      <c r="AC2391" s="235" t="s">
        <v>5091</v>
      </c>
      <c r="AD2391" s="235" t="s">
        <v>845</v>
      </c>
      <c r="AE2391" s="238">
        <v>440034.0</v>
      </c>
      <c r="AF2391" s="235" t="s">
        <v>631</v>
      </c>
      <c r="AG2391" s="244"/>
      <c r="AH2391" s="244"/>
      <c r="AI2391" s="245"/>
      <c r="AJ2391" s="245"/>
      <c r="AK2391" s="245"/>
      <c r="AL2391" s="245"/>
      <c r="AM2391" s="244"/>
      <c r="AN2391" s="244"/>
      <c r="AO2391" s="238">
        <v>-5.41</v>
      </c>
      <c r="AP2391" s="238">
        <v>0.0</v>
      </c>
      <c r="AQ2391" s="235" t="s">
        <v>632</v>
      </c>
      <c r="AR2391" s="243">
        <v>3.71E11</v>
      </c>
      <c r="AS2391" s="235" t="s">
        <v>15064</v>
      </c>
      <c r="AT2391" s="235" t="s">
        <v>17</v>
      </c>
      <c r="AU2391" s="235" t="s">
        <v>634</v>
      </c>
      <c r="AV2391" s="246" t="s">
        <v>635</v>
      </c>
      <c r="AW2391" s="242"/>
      <c r="AX2391" s="242"/>
      <c r="AY2391" s="231"/>
      <c r="AZ2391" s="231"/>
      <c r="BA2391" s="227"/>
      <c r="BB2391" s="231"/>
      <c r="BC2391" s="227"/>
      <c r="BD2391" s="227"/>
      <c r="BE2391" s="227"/>
      <c r="BF2391" s="227"/>
    </row>
    <row r="2392">
      <c r="A2392" s="235" t="s">
        <v>18346</v>
      </c>
      <c r="C2392" s="235" t="s">
        <v>18347</v>
      </c>
      <c r="D2392" s="235" t="s">
        <v>18348</v>
      </c>
      <c r="E2392" s="243">
        <v>6.53E13</v>
      </c>
      <c r="F2392" s="245"/>
      <c r="G2392" s="235" t="s">
        <v>18349</v>
      </c>
      <c r="H2392" s="235" t="s">
        <v>18350</v>
      </c>
      <c r="I2392" s="235" t="s">
        <v>18350</v>
      </c>
      <c r="J2392" s="235" t="s">
        <v>18351</v>
      </c>
      <c r="K2392" s="235" t="s">
        <v>18352</v>
      </c>
      <c r="N2392" s="235" t="s">
        <v>43</v>
      </c>
      <c r="O2392" s="235" t="s">
        <v>276</v>
      </c>
      <c r="P2392" s="238">
        <v>1.0</v>
      </c>
      <c r="Q2392" s="235" t="s">
        <v>627</v>
      </c>
      <c r="R2392" s="238">
        <v>270.48</v>
      </c>
      <c r="S2392" s="238">
        <v>13.52</v>
      </c>
      <c r="T2392" s="238">
        <v>0.0</v>
      </c>
      <c r="U2392" s="238">
        <v>0.0</v>
      </c>
      <c r="V2392" s="238">
        <v>0.0</v>
      </c>
      <c r="W2392" s="238">
        <v>0.0</v>
      </c>
      <c r="X2392" s="235" t="s">
        <v>628</v>
      </c>
      <c r="Z2392" s="244"/>
      <c r="AA2392" s="244"/>
      <c r="AB2392" s="244"/>
      <c r="AC2392" s="235" t="s">
        <v>18353</v>
      </c>
      <c r="AD2392" s="235" t="s">
        <v>666</v>
      </c>
      <c r="AE2392" s="238">
        <v>630302.0</v>
      </c>
      <c r="AF2392" s="235" t="s">
        <v>631</v>
      </c>
      <c r="AG2392" s="244"/>
      <c r="AH2392" s="244"/>
      <c r="AI2392" s="245"/>
      <c r="AJ2392" s="245"/>
      <c r="AK2392" s="245"/>
      <c r="AL2392" s="245"/>
      <c r="AM2392" s="244"/>
      <c r="AN2392" s="244"/>
      <c r="AO2392" s="238">
        <v>0.0</v>
      </c>
      <c r="AP2392" s="238">
        <v>0.0</v>
      </c>
      <c r="AQ2392" s="235" t="s">
        <v>632</v>
      </c>
      <c r="AR2392" s="243">
        <v>3.71E11</v>
      </c>
      <c r="AS2392" s="235" t="s">
        <v>16626</v>
      </c>
      <c r="AT2392" s="235" t="s">
        <v>9</v>
      </c>
      <c r="AU2392" s="235" t="s">
        <v>634</v>
      </c>
      <c r="AV2392" s="246" t="s">
        <v>635</v>
      </c>
      <c r="AW2392" s="242"/>
      <c r="AX2392" s="242"/>
      <c r="AY2392" s="231"/>
      <c r="AZ2392" s="231"/>
      <c r="BA2392" s="227"/>
      <c r="BB2392" s="231"/>
      <c r="BC2392" s="227"/>
      <c r="BD2392" s="227"/>
      <c r="BE2392" s="227"/>
      <c r="BF2392" s="227"/>
    </row>
    <row r="2393">
      <c r="A2393" s="235" t="s">
        <v>18354</v>
      </c>
      <c r="C2393" s="235" t="s">
        <v>18355</v>
      </c>
      <c r="D2393" s="235" t="s">
        <v>18356</v>
      </c>
      <c r="E2393" s="243">
        <v>6.53E13</v>
      </c>
      <c r="F2393" s="245"/>
      <c r="G2393" s="235" t="s">
        <v>18357</v>
      </c>
      <c r="H2393" s="235" t="s">
        <v>18358</v>
      </c>
      <c r="I2393" s="235" t="s">
        <v>18359</v>
      </c>
      <c r="J2393" s="235" t="s">
        <v>18360</v>
      </c>
      <c r="K2393" s="235" t="s">
        <v>18361</v>
      </c>
      <c r="N2393" s="235" t="s">
        <v>962</v>
      </c>
      <c r="O2393" s="235" t="s">
        <v>963</v>
      </c>
      <c r="P2393" s="238">
        <v>1.0</v>
      </c>
      <c r="Q2393" s="235" t="s">
        <v>627</v>
      </c>
      <c r="R2393" s="238">
        <v>270.48</v>
      </c>
      <c r="S2393" s="238">
        <v>13.52</v>
      </c>
      <c r="T2393" s="238">
        <v>38.1</v>
      </c>
      <c r="U2393" s="238">
        <v>1.9</v>
      </c>
      <c r="V2393" s="238">
        <v>0.0</v>
      </c>
      <c r="W2393" s="238">
        <v>0.0</v>
      </c>
      <c r="X2393" s="235" t="s">
        <v>628</v>
      </c>
      <c r="Z2393" s="244"/>
      <c r="AA2393" s="244"/>
      <c r="AB2393" s="244"/>
      <c r="AC2393" s="235" t="s">
        <v>18362</v>
      </c>
      <c r="AD2393" s="235" t="s">
        <v>679</v>
      </c>
      <c r="AE2393" s="238">
        <v>577201.0</v>
      </c>
      <c r="AF2393" s="235" t="s">
        <v>631</v>
      </c>
      <c r="AG2393" s="244"/>
      <c r="AH2393" s="244"/>
      <c r="AI2393" s="245"/>
      <c r="AJ2393" s="245"/>
      <c r="AK2393" s="245"/>
      <c r="AL2393" s="245"/>
      <c r="AM2393" s="244"/>
      <c r="AN2393" s="244"/>
      <c r="AO2393" s="238">
        <v>0.0</v>
      </c>
      <c r="AP2393" s="238">
        <v>-38.1</v>
      </c>
      <c r="AQ2393" s="235" t="s">
        <v>632</v>
      </c>
      <c r="AR2393" s="243">
        <v>3.71E11</v>
      </c>
      <c r="AS2393" s="235" t="s">
        <v>15064</v>
      </c>
      <c r="AT2393" s="235" t="s">
        <v>9</v>
      </c>
      <c r="AU2393" s="235" t="s">
        <v>634</v>
      </c>
      <c r="AV2393" s="246" t="s">
        <v>635</v>
      </c>
      <c r="AW2393" s="242"/>
      <c r="AX2393" s="242"/>
      <c r="AY2393" s="231"/>
      <c r="AZ2393" s="231"/>
      <c r="BA2393" s="227"/>
      <c r="BB2393" s="231"/>
      <c r="BC2393" s="227"/>
      <c r="BD2393" s="227"/>
      <c r="BE2393" s="227"/>
      <c r="BF2393" s="227"/>
    </row>
    <row r="2394">
      <c r="A2394" s="235" t="s">
        <v>18363</v>
      </c>
      <c r="C2394" s="235" t="s">
        <v>18364</v>
      </c>
      <c r="D2394" s="235" t="s">
        <v>18365</v>
      </c>
      <c r="E2394" s="243">
        <v>6.53E13</v>
      </c>
      <c r="F2394" s="245"/>
      <c r="G2394" s="235" t="s">
        <v>18366</v>
      </c>
      <c r="H2394" s="235" t="s">
        <v>18367</v>
      </c>
      <c r="I2394" s="235" t="s">
        <v>18367</v>
      </c>
      <c r="J2394" s="235" t="s">
        <v>18368</v>
      </c>
      <c r="K2394" s="235" t="s">
        <v>13276</v>
      </c>
      <c r="N2394" s="235" t="s">
        <v>30</v>
      </c>
      <c r="O2394" s="235" t="s">
        <v>692</v>
      </c>
      <c r="P2394" s="238">
        <v>1.0</v>
      </c>
      <c r="Q2394" s="235" t="s">
        <v>627</v>
      </c>
      <c r="R2394" s="238">
        <v>475.24</v>
      </c>
      <c r="S2394" s="238">
        <v>23.76</v>
      </c>
      <c r="T2394" s="238">
        <v>0.0</v>
      </c>
      <c r="U2394" s="238">
        <v>0.0</v>
      </c>
      <c r="V2394" s="238">
        <v>0.0</v>
      </c>
      <c r="W2394" s="238">
        <v>0.0</v>
      </c>
      <c r="X2394" s="235" t="s">
        <v>628</v>
      </c>
      <c r="Z2394" s="244"/>
      <c r="AA2394" s="244"/>
      <c r="AB2394" s="244"/>
      <c r="AC2394" s="235" t="s">
        <v>1483</v>
      </c>
      <c r="AD2394" s="235" t="s">
        <v>854</v>
      </c>
      <c r="AE2394" s="238">
        <v>403702.0</v>
      </c>
      <c r="AF2394" s="235" t="s">
        <v>631</v>
      </c>
      <c r="AG2394" s="244"/>
      <c r="AH2394" s="244"/>
      <c r="AI2394" s="245"/>
      <c r="AJ2394" s="245"/>
      <c r="AK2394" s="245"/>
      <c r="AL2394" s="245"/>
      <c r="AM2394" s="244"/>
      <c r="AN2394" s="244"/>
      <c r="AO2394" s="238">
        <v>0.0</v>
      </c>
      <c r="AP2394" s="238">
        <v>0.0</v>
      </c>
      <c r="AQ2394" s="235" t="s">
        <v>632</v>
      </c>
      <c r="AR2394" s="243">
        <v>3.71E11</v>
      </c>
      <c r="AS2394" s="235" t="s">
        <v>15064</v>
      </c>
      <c r="AT2394" s="235" t="s">
        <v>9</v>
      </c>
      <c r="AU2394" s="235" t="s">
        <v>634</v>
      </c>
      <c r="AV2394" s="246" t="s">
        <v>635</v>
      </c>
      <c r="AW2394" s="242"/>
      <c r="AX2394" s="242"/>
      <c r="AY2394" s="231"/>
      <c r="AZ2394" s="231"/>
      <c r="BA2394" s="227"/>
      <c r="BB2394" s="231"/>
      <c r="BC2394" s="227"/>
      <c r="BD2394" s="227"/>
      <c r="BE2394" s="227"/>
      <c r="BF2394" s="227"/>
    </row>
    <row r="2395">
      <c r="A2395" s="235" t="s">
        <v>18369</v>
      </c>
      <c r="C2395" s="235" t="s">
        <v>18370</v>
      </c>
      <c r="D2395" s="235" t="s">
        <v>18371</v>
      </c>
      <c r="E2395" s="243">
        <v>6.53E13</v>
      </c>
      <c r="F2395" s="245"/>
      <c r="G2395" s="235" t="s">
        <v>18372</v>
      </c>
      <c r="H2395" s="235" t="s">
        <v>18373</v>
      </c>
      <c r="I2395" s="235" t="s">
        <v>18373</v>
      </c>
      <c r="J2395" s="235" t="s">
        <v>18374</v>
      </c>
      <c r="K2395" s="235" t="s">
        <v>18375</v>
      </c>
      <c r="N2395" s="235" t="s">
        <v>68</v>
      </c>
      <c r="O2395" s="235" t="s">
        <v>208</v>
      </c>
      <c r="P2395" s="238">
        <v>1.0</v>
      </c>
      <c r="Q2395" s="235" t="s">
        <v>627</v>
      </c>
      <c r="R2395" s="238">
        <v>261.9</v>
      </c>
      <c r="S2395" s="238">
        <v>13.1</v>
      </c>
      <c r="T2395" s="238">
        <v>0.0</v>
      </c>
      <c r="U2395" s="238">
        <v>0.0</v>
      </c>
      <c r="V2395" s="238">
        <v>0.0</v>
      </c>
      <c r="W2395" s="238">
        <v>0.0</v>
      </c>
      <c r="X2395" s="235" t="s">
        <v>628</v>
      </c>
      <c r="Z2395" s="244"/>
      <c r="AA2395" s="244"/>
      <c r="AB2395" s="244"/>
      <c r="AC2395" s="235" t="s">
        <v>697</v>
      </c>
      <c r="AD2395" s="235" t="s">
        <v>698</v>
      </c>
      <c r="AE2395" s="238">
        <v>500032.0</v>
      </c>
      <c r="AF2395" s="235" t="s">
        <v>631</v>
      </c>
      <c r="AG2395" s="244"/>
      <c r="AH2395" s="244"/>
      <c r="AI2395" s="245"/>
      <c r="AJ2395" s="245"/>
      <c r="AK2395" s="245"/>
      <c r="AL2395" s="245"/>
      <c r="AM2395" s="244"/>
      <c r="AN2395" s="244"/>
      <c r="AO2395" s="238">
        <v>0.0</v>
      </c>
      <c r="AP2395" s="238">
        <v>0.0</v>
      </c>
      <c r="AQ2395" s="235" t="s">
        <v>632</v>
      </c>
      <c r="AR2395" s="243">
        <v>1.68E11</v>
      </c>
      <c r="AS2395" s="235" t="s">
        <v>16626</v>
      </c>
      <c r="AT2395" s="235" t="s">
        <v>9</v>
      </c>
      <c r="AU2395" s="235" t="s">
        <v>634</v>
      </c>
      <c r="AV2395" s="246" t="s">
        <v>635</v>
      </c>
      <c r="AW2395" s="242"/>
      <c r="AX2395" s="242"/>
      <c r="AY2395" s="231"/>
      <c r="AZ2395" s="231"/>
      <c r="BA2395" s="227"/>
      <c r="BB2395" s="231"/>
      <c r="BC2395" s="227"/>
      <c r="BD2395" s="227"/>
      <c r="BE2395" s="227"/>
      <c r="BF2395" s="227"/>
    </row>
    <row r="2396">
      <c r="A2396" s="235" t="s">
        <v>18376</v>
      </c>
      <c r="C2396" s="235" t="s">
        <v>18377</v>
      </c>
      <c r="D2396" s="235" t="s">
        <v>18378</v>
      </c>
      <c r="E2396" s="243">
        <v>6.52E13</v>
      </c>
      <c r="F2396" s="245"/>
      <c r="G2396" s="235" t="s">
        <v>18379</v>
      </c>
      <c r="H2396" s="235" t="s">
        <v>18380</v>
      </c>
      <c r="I2396" s="235" t="s">
        <v>18380</v>
      </c>
      <c r="J2396" s="235" t="s">
        <v>18381</v>
      </c>
      <c r="K2396" s="235" t="s">
        <v>18382</v>
      </c>
      <c r="N2396" s="235" t="s">
        <v>541</v>
      </c>
      <c r="O2396" s="235" t="s">
        <v>664</v>
      </c>
      <c r="P2396" s="238">
        <v>1.0</v>
      </c>
      <c r="Q2396" s="235" t="s">
        <v>627</v>
      </c>
      <c r="R2396" s="238">
        <v>668.64</v>
      </c>
      <c r="S2396" s="238">
        <v>120.36</v>
      </c>
      <c r="T2396" s="238">
        <v>0.0</v>
      </c>
      <c r="U2396" s="238">
        <v>0.0</v>
      </c>
      <c r="V2396" s="238">
        <v>0.0</v>
      </c>
      <c r="W2396" s="238">
        <v>0.0</v>
      </c>
      <c r="X2396" s="235" t="s">
        <v>628</v>
      </c>
      <c r="Z2396" s="244"/>
      <c r="AA2396" s="244"/>
      <c r="AB2396" s="244"/>
      <c r="AC2396" s="235" t="s">
        <v>1058</v>
      </c>
      <c r="AD2396" s="235" t="s">
        <v>845</v>
      </c>
      <c r="AE2396" s="238">
        <v>400072.0</v>
      </c>
      <c r="AF2396" s="235" t="s">
        <v>631</v>
      </c>
      <c r="AG2396" s="244"/>
      <c r="AH2396" s="244"/>
      <c r="AI2396" s="245"/>
      <c r="AJ2396" s="245"/>
      <c r="AK2396" s="245"/>
      <c r="AL2396" s="245"/>
      <c r="AM2396" s="244"/>
      <c r="AN2396" s="244"/>
      <c r="AO2396" s="238">
        <v>0.0</v>
      </c>
      <c r="AP2396" s="238">
        <v>0.0</v>
      </c>
      <c r="AQ2396" s="235" t="s">
        <v>632</v>
      </c>
      <c r="AR2396" s="243">
        <v>3.71E11</v>
      </c>
      <c r="AS2396" s="235" t="s">
        <v>16626</v>
      </c>
      <c r="AT2396" s="235" t="s">
        <v>16</v>
      </c>
      <c r="AU2396" s="235" t="s">
        <v>634</v>
      </c>
      <c r="AV2396" s="246" t="s">
        <v>635</v>
      </c>
      <c r="AW2396" s="242"/>
      <c r="AX2396" s="242"/>
      <c r="AY2396" s="231"/>
      <c r="AZ2396" s="231"/>
      <c r="BA2396" s="227"/>
      <c r="BB2396" s="231"/>
      <c r="BC2396" s="227"/>
      <c r="BD2396" s="227"/>
      <c r="BE2396" s="227"/>
      <c r="BF2396" s="227"/>
    </row>
    <row r="2397">
      <c r="A2397" s="235" t="s">
        <v>18383</v>
      </c>
      <c r="C2397" s="235" t="s">
        <v>18384</v>
      </c>
      <c r="D2397" s="235" t="s">
        <v>18385</v>
      </c>
      <c r="E2397" s="243">
        <v>6.53E13</v>
      </c>
      <c r="F2397" s="245"/>
      <c r="G2397" s="235" t="s">
        <v>18386</v>
      </c>
      <c r="H2397" s="235" t="s">
        <v>18387</v>
      </c>
      <c r="I2397" s="235" t="s">
        <v>18387</v>
      </c>
      <c r="J2397" s="235" t="s">
        <v>18388</v>
      </c>
      <c r="K2397" s="235" t="s">
        <v>18389</v>
      </c>
      <c r="N2397" s="235" t="s">
        <v>717</v>
      </c>
      <c r="O2397" s="235" t="s">
        <v>718</v>
      </c>
      <c r="P2397" s="238">
        <v>1.0</v>
      </c>
      <c r="Q2397" s="235" t="s">
        <v>627</v>
      </c>
      <c r="R2397" s="238">
        <v>500.95</v>
      </c>
      <c r="S2397" s="238">
        <v>25.05</v>
      </c>
      <c r="T2397" s="238">
        <v>0.0</v>
      </c>
      <c r="U2397" s="238">
        <v>0.0</v>
      </c>
      <c r="V2397" s="238">
        <v>0.0</v>
      </c>
      <c r="W2397" s="238">
        <v>0.0</v>
      </c>
      <c r="X2397" s="235" t="s">
        <v>628</v>
      </c>
      <c r="Z2397" s="244"/>
      <c r="AA2397" s="244"/>
      <c r="AB2397" s="244"/>
      <c r="AC2397" s="235" t="s">
        <v>749</v>
      </c>
      <c r="AD2397" s="235" t="s">
        <v>630</v>
      </c>
      <c r="AE2397" s="238">
        <v>201318.0</v>
      </c>
      <c r="AF2397" s="235" t="s">
        <v>631</v>
      </c>
      <c r="AG2397" s="244"/>
      <c r="AH2397" s="244"/>
      <c r="AI2397" s="245"/>
      <c r="AJ2397" s="245"/>
      <c r="AK2397" s="245"/>
      <c r="AL2397" s="245"/>
      <c r="AM2397" s="244"/>
      <c r="AN2397" s="244"/>
      <c r="AO2397" s="238">
        <v>0.0</v>
      </c>
      <c r="AP2397" s="238">
        <v>0.0</v>
      </c>
      <c r="AQ2397" s="235" t="s">
        <v>632</v>
      </c>
      <c r="AR2397" s="243">
        <v>3.71E11</v>
      </c>
      <c r="AS2397" s="235" t="s">
        <v>16626</v>
      </c>
      <c r="AT2397" s="235" t="s">
        <v>13</v>
      </c>
      <c r="AU2397" s="235" t="s">
        <v>634</v>
      </c>
      <c r="AV2397" s="246" t="s">
        <v>635</v>
      </c>
      <c r="AW2397" s="242"/>
      <c r="AX2397" s="242"/>
      <c r="AY2397" s="231"/>
      <c r="AZ2397" s="231"/>
      <c r="BA2397" s="227"/>
      <c r="BB2397" s="231"/>
      <c r="BC2397" s="227"/>
      <c r="BD2397" s="227"/>
      <c r="BE2397" s="227"/>
      <c r="BF2397" s="227"/>
    </row>
    <row r="2398">
      <c r="A2398" s="235" t="s">
        <v>18390</v>
      </c>
      <c r="C2398" s="235" t="s">
        <v>18391</v>
      </c>
      <c r="D2398" s="235" t="s">
        <v>18392</v>
      </c>
      <c r="E2398" s="243">
        <v>6.53E13</v>
      </c>
      <c r="F2398" s="245"/>
      <c r="G2398" s="235" t="s">
        <v>18393</v>
      </c>
      <c r="H2398" s="235" t="s">
        <v>18394</v>
      </c>
      <c r="I2398" s="235" t="s">
        <v>18394</v>
      </c>
      <c r="J2398" s="235" t="s">
        <v>18395</v>
      </c>
      <c r="K2398" s="235" t="s">
        <v>18396</v>
      </c>
      <c r="N2398" s="235" t="s">
        <v>127</v>
      </c>
      <c r="O2398" s="235" t="s">
        <v>794</v>
      </c>
      <c r="P2398" s="238">
        <v>1.0</v>
      </c>
      <c r="Q2398" s="235" t="s">
        <v>627</v>
      </c>
      <c r="R2398" s="238">
        <v>270.48</v>
      </c>
      <c r="S2398" s="238">
        <v>13.52</v>
      </c>
      <c r="T2398" s="238">
        <v>0.0</v>
      </c>
      <c r="U2398" s="238">
        <v>0.0</v>
      </c>
      <c r="V2398" s="238">
        <v>0.0</v>
      </c>
      <c r="W2398" s="238">
        <v>0.0</v>
      </c>
      <c r="X2398" s="235" t="s">
        <v>628</v>
      </c>
      <c r="Z2398" s="244"/>
      <c r="AA2398" s="244"/>
      <c r="AB2398" s="244"/>
      <c r="AC2398" s="235" t="s">
        <v>1058</v>
      </c>
      <c r="AD2398" s="235" t="s">
        <v>845</v>
      </c>
      <c r="AE2398" s="238">
        <v>400061.0</v>
      </c>
      <c r="AF2398" s="235" t="s">
        <v>631</v>
      </c>
      <c r="AG2398" s="244"/>
      <c r="AH2398" s="244"/>
      <c r="AI2398" s="245"/>
      <c r="AJ2398" s="245"/>
      <c r="AK2398" s="245"/>
      <c r="AL2398" s="245"/>
      <c r="AM2398" s="244"/>
      <c r="AN2398" s="244"/>
      <c r="AO2398" s="238">
        <v>0.0</v>
      </c>
      <c r="AP2398" s="238">
        <v>0.0</v>
      </c>
      <c r="AQ2398" s="235" t="s">
        <v>632</v>
      </c>
      <c r="AR2398" s="243">
        <v>3.71E11</v>
      </c>
      <c r="AS2398" s="235" t="s">
        <v>16626</v>
      </c>
      <c r="AT2398" s="235" t="s">
        <v>16</v>
      </c>
      <c r="AU2398" s="235" t="s">
        <v>634</v>
      </c>
      <c r="AV2398" s="246" t="s">
        <v>635</v>
      </c>
      <c r="AW2398" s="242"/>
      <c r="AX2398" s="242"/>
      <c r="AY2398" s="231"/>
      <c r="AZ2398" s="231"/>
      <c r="BA2398" s="227"/>
      <c r="BB2398" s="231"/>
      <c r="BC2398" s="227"/>
      <c r="BD2398" s="227"/>
      <c r="BE2398" s="227"/>
      <c r="BF2398" s="227"/>
    </row>
    <row r="2399">
      <c r="A2399" s="235" t="s">
        <v>18397</v>
      </c>
      <c r="C2399" s="235" t="s">
        <v>18398</v>
      </c>
      <c r="D2399" s="235" t="s">
        <v>18399</v>
      </c>
      <c r="E2399" s="243">
        <v>6.53E13</v>
      </c>
      <c r="F2399" s="245"/>
      <c r="G2399" s="235" t="s">
        <v>18400</v>
      </c>
      <c r="H2399" s="235" t="s">
        <v>18401</v>
      </c>
      <c r="I2399" s="235" t="s">
        <v>18401</v>
      </c>
      <c r="J2399" s="235" t="s">
        <v>18402</v>
      </c>
      <c r="K2399" s="235" t="s">
        <v>18403</v>
      </c>
      <c r="N2399" s="235" t="s">
        <v>127</v>
      </c>
      <c r="O2399" s="235" t="s">
        <v>794</v>
      </c>
      <c r="P2399" s="238">
        <v>1.0</v>
      </c>
      <c r="Q2399" s="235" t="s">
        <v>627</v>
      </c>
      <c r="R2399" s="238">
        <v>270.48</v>
      </c>
      <c r="S2399" s="238">
        <v>13.52</v>
      </c>
      <c r="T2399" s="238">
        <v>0.0</v>
      </c>
      <c r="U2399" s="238">
        <v>0.0</v>
      </c>
      <c r="V2399" s="238">
        <v>0.0</v>
      </c>
      <c r="W2399" s="238">
        <v>0.0</v>
      </c>
      <c r="X2399" s="235" t="s">
        <v>628</v>
      </c>
      <c r="Z2399" s="244"/>
      <c r="AA2399" s="244"/>
      <c r="AB2399" s="244"/>
      <c r="AC2399" s="235" t="s">
        <v>697</v>
      </c>
      <c r="AD2399" s="235" t="s">
        <v>698</v>
      </c>
      <c r="AE2399" s="238">
        <v>500019.0</v>
      </c>
      <c r="AF2399" s="235" t="s">
        <v>631</v>
      </c>
      <c r="AG2399" s="244"/>
      <c r="AH2399" s="244"/>
      <c r="AI2399" s="245"/>
      <c r="AJ2399" s="245"/>
      <c r="AK2399" s="245"/>
      <c r="AL2399" s="245"/>
      <c r="AM2399" s="244"/>
      <c r="AN2399" s="244"/>
      <c r="AO2399" s="238">
        <v>0.0</v>
      </c>
      <c r="AP2399" s="238">
        <v>0.0</v>
      </c>
      <c r="AQ2399" s="235" t="s">
        <v>632</v>
      </c>
      <c r="AR2399" s="243">
        <v>1.68E11</v>
      </c>
      <c r="AS2399" s="235" t="s">
        <v>16626</v>
      </c>
      <c r="AT2399" s="235" t="s">
        <v>156</v>
      </c>
      <c r="AU2399" s="235" t="s">
        <v>634</v>
      </c>
      <c r="AV2399" s="246" t="s">
        <v>635</v>
      </c>
      <c r="AW2399" s="242"/>
      <c r="AX2399" s="242"/>
      <c r="AY2399" s="231"/>
      <c r="AZ2399" s="231"/>
      <c r="BA2399" s="227"/>
      <c r="BB2399" s="231"/>
      <c r="BC2399" s="227"/>
      <c r="BD2399" s="227"/>
      <c r="BE2399" s="227"/>
      <c r="BF2399" s="227"/>
    </row>
    <row r="2400">
      <c r="A2400" s="235" t="s">
        <v>18404</v>
      </c>
      <c r="C2400" s="235" t="s">
        <v>18405</v>
      </c>
      <c r="D2400" s="235" t="s">
        <v>18406</v>
      </c>
      <c r="E2400" s="243">
        <v>6.53E13</v>
      </c>
      <c r="F2400" s="245"/>
      <c r="G2400" s="235" t="s">
        <v>18407</v>
      </c>
      <c r="H2400" s="235" t="s">
        <v>18408</v>
      </c>
      <c r="I2400" s="235" t="s">
        <v>18409</v>
      </c>
      <c r="J2400" s="235" t="s">
        <v>18410</v>
      </c>
      <c r="K2400" s="235" t="s">
        <v>18411</v>
      </c>
      <c r="N2400" s="235" t="s">
        <v>49</v>
      </c>
      <c r="O2400" s="235" t="s">
        <v>321</v>
      </c>
      <c r="P2400" s="238">
        <v>1.0</v>
      </c>
      <c r="Q2400" s="235" t="s">
        <v>627</v>
      </c>
      <c r="R2400" s="238">
        <v>270.48</v>
      </c>
      <c r="S2400" s="238">
        <v>13.52</v>
      </c>
      <c r="T2400" s="238">
        <v>0.0</v>
      </c>
      <c r="U2400" s="238">
        <v>0.0</v>
      </c>
      <c r="V2400" s="238">
        <v>0.0</v>
      </c>
      <c r="W2400" s="238">
        <v>0.0</v>
      </c>
      <c r="X2400" s="235" t="s">
        <v>628</v>
      </c>
      <c r="Z2400" s="244"/>
      <c r="AA2400" s="244"/>
      <c r="AB2400" s="244"/>
      <c r="AC2400" s="235" t="s">
        <v>1887</v>
      </c>
      <c r="AD2400" s="235" t="s">
        <v>679</v>
      </c>
      <c r="AE2400" s="238">
        <v>560037.0</v>
      </c>
      <c r="AF2400" s="235" t="s">
        <v>631</v>
      </c>
      <c r="AG2400" s="244"/>
      <c r="AH2400" s="244"/>
      <c r="AI2400" s="245"/>
      <c r="AJ2400" s="245"/>
      <c r="AK2400" s="245"/>
      <c r="AL2400" s="245"/>
      <c r="AM2400" s="244"/>
      <c r="AN2400" s="244"/>
      <c r="AO2400" s="238">
        <v>0.0</v>
      </c>
      <c r="AP2400" s="238">
        <v>0.0</v>
      </c>
      <c r="AQ2400" s="235" t="s">
        <v>632</v>
      </c>
      <c r="AR2400" s="243">
        <v>1.68E11</v>
      </c>
      <c r="AS2400" s="235" t="s">
        <v>16626</v>
      </c>
      <c r="AT2400" s="235" t="s">
        <v>156</v>
      </c>
      <c r="AU2400" s="235" t="s">
        <v>634</v>
      </c>
      <c r="AV2400" s="246" t="s">
        <v>635</v>
      </c>
      <c r="AW2400" s="242"/>
      <c r="AX2400" s="242"/>
      <c r="AY2400" s="231"/>
      <c r="AZ2400" s="231"/>
      <c r="BA2400" s="227"/>
      <c r="BB2400" s="231"/>
      <c r="BC2400" s="227"/>
      <c r="BD2400" s="227"/>
      <c r="BE2400" s="227"/>
      <c r="BF2400" s="227"/>
    </row>
    <row r="2401">
      <c r="A2401" s="235" t="s">
        <v>18412</v>
      </c>
      <c r="C2401" s="235" t="s">
        <v>18413</v>
      </c>
      <c r="D2401" s="235" t="s">
        <v>18414</v>
      </c>
      <c r="E2401" s="243">
        <v>6.53E13</v>
      </c>
      <c r="F2401" s="245"/>
      <c r="G2401" s="235" t="s">
        <v>18415</v>
      </c>
      <c r="H2401" s="235" t="s">
        <v>18416</v>
      </c>
      <c r="I2401" s="235" t="s">
        <v>18416</v>
      </c>
      <c r="J2401" s="235" t="s">
        <v>18417</v>
      </c>
      <c r="K2401" s="235" t="s">
        <v>18418</v>
      </c>
      <c r="N2401" s="235" t="s">
        <v>42</v>
      </c>
      <c r="O2401" s="235" t="s">
        <v>204</v>
      </c>
      <c r="P2401" s="238">
        <v>1.0</v>
      </c>
      <c r="Q2401" s="235" t="s">
        <v>627</v>
      </c>
      <c r="R2401" s="238">
        <v>270.48</v>
      </c>
      <c r="S2401" s="238">
        <v>13.52</v>
      </c>
      <c r="T2401" s="238">
        <v>0.0</v>
      </c>
      <c r="U2401" s="238">
        <v>0.0</v>
      </c>
      <c r="V2401" s="238">
        <v>0.0</v>
      </c>
      <c r="W2401" s="238">
        <v>0.0</v>
      </c>
      <c r="X2401" s="235" t="s">
        <v>628</v>
      </c>
      <c r="Z2401" s="244"/>
      <c r="AA2401" s="244"/>
      <c r="AB2401" s="244"/>
      <c r="AC2401" s="235" t="s">
        <v>697</v>
      </c>
      <c r="AD2401" s="235" t="s">
        <v>698</v>
      </c>
      <c r="AE2401" s="238">
        <v>500085.0</v>
      </c>
      <c r="AF2401" s="235" t="s">
        <v>631</v>
      </c>
      <c r="AG2401" s="244"/>
      <c r="AH2401" s="244"/>
      <c r="AI2401" s="245"/>
      <c r="AJ2401" s="245"/>
      <c r="AK2401" s="245"/>
      <c r="AL2401" s="245"/>
      <c r="AM2401" s="244"/>
      <c r="AN2401" s="244"/>
      <c r="AO2401" s="238">
        <v>0.0</v>
      </c>
      <c r="AP2401" s="238">
        <v>0.0</v>
      </c>
      <c r="AQ2401" s="235" t="s">
        <v>632</v>
      </c>
      <c r="AR2401" s="243">
        <v>1.68E11</v>
      </c>
      <c r="AS2401" s="235" t="s">
        <v>16626</v>
      </c>
      <c r="AT2401" s="235" t="s">
        <v>156</v>
      </c>
      <c r="AU2401" s="235" t="s">
        <v>634</v>
      </c>
      <c r="AV2401" s="246" t="s">
        <v>635</v>
      </c>
      <c r="AW2401" s="242"/>
      <c r="AX2401" s="242"/>
      <c r="AY2401" s="231"/>
      <c r="AZ2401" s="231"/>
      <c r="BA2401" s="227"/>
      <c r="BB2401" s="231"/>
      <c r="BC2401" s="227"/>
      <c r="BD2401" s="227"/>
      <c r="BE2401" s="227"/>
      <c r="BF2401" s="227"/>
    </row>
    <row r="2402">
      <c r="A2402" s="235" t="s">
        <v>18419</v>
      </c>
      <c r="C2402" s="235" t="s">
        <v>18420</v>
      </c>
      <c r="D2402" s="235" t="s">
        <v>18421</v>
      </c>
      <c r="E2402" s="243">
        <v>6.53E13</v>
      </c>
      <c r="F2402" s="245"/>
      <c r="G2402" s="235" t="s">
        <v>18422</v>
      </c>
      <c r="H2402" s="235" t="s">
        <v>18423</v>
      </c>
      <c r="I2402" s="235" t="s">
        <v>18423</v>
      </c>
      <c r="J2402" s="235" t="s">
        <v>18424</v>
      </c>
      <c r="K2402" s="235" t="s">
        <v>18425</v>
      </c>
      <c r="N2402" s="235" t="s">
        <v>726</v>
      </c>
      <c r="O2402" s="235" t="s">
        <v>727</v>
      </c>
      <c r="P2402" s="238">
        <v>1.0</v>
      </c>
      <c r="Q2402" s="235" t="s">
        <v>627</v>
      </c>
      <c r="R2402" s="238">
        <v>244.76</v>
      </c>
      <c r="S2402" s="238">
        <v>12.24</v>
      </c>
      <c r="T2402" s="238">
        <v>38.1</v>
      </c>
      <c r="U2402" s="238">
        <v>1.9</v>
      </c>
      <c r="V2402" s="238">
        <v>0.0</v>
      </c>
      <c r="W2402" s="238">
        <v>0.0</v>
      </c>
      <c r="X2402" s="235" t="s">
        <v>628</v>
      </c>
      <c r="Z2402" s="244"/>
      <c r="AA2402" s="244"/>
      <c r="AB2402" s="244"/>
      <c r="AC2402" s="235" t="s">
        <v>1613</v>
      </c>
      <c r="AD2402" s="235" t="s">
        <v>630</v>
      </c>
      <c r="AE2402" s="238">
        <v>226024.0</v>
      </c>
      <c r="AF2402" s="235" t="s">
        <v>631</v>
      </c>
      <c r="AG2402" s="244"/>
      <c r="AH2402" s="244"/>
      <c r="AI2402" s="245"/>
      <c r="AJ2402" s="245"/>
      <c r="AK2402" s="245"/>
      <c r="AL2402" s="245"/>
      <c r="AM2402" s="244"/>
      <c r="AN2402" s="244"/>
      <c r="AO2402" s="238">
        <v>0.0</v>
      </c>
      <c r="AP2402" s="238">
        <v>-38.1</v>
      </c>
      <c r="AQ2402" s="235" t="s">
        <v>632</v>
      </c>
      <c r="AR2402" s="243">
        <v>3.71E11</v>
      </c>
      <c r="AS2402" s="235" t="s">
        <v>13822</v>
      </c>
      <c r="AT2402" s="235" t="s">
        <v>533</v>
      </c>
      <c r="AU2402" s="235" t="s">
        <v>634</v>
      </c>
      <c r="AV2402" s="246" t="s">
        <v>635</v>
      </c>
      <c r="AW2402" s="242"/>
      <c r="AX2402" s="242"/>
      <c r="AY2402" s="231"/>
      <c r="AZ2402" s="231"/>
      <c r="BA2402" s="227"/>
      <c r="BB2402" s="231"/>
      <c r="BC2402" s="227"/>
      <c r="BD2402" s="227"/>
      <c r="BE2402" s="227"/>
      <c r="BF2402" s="227"/>
    </row>
    <row r="2403">
      <c r="A2403" s="235" t="s">
        <v>18426</v>
      </c>
      <c r="C2403" s="235" t="s">
        <v>18427</v>
      </c>
      <c r="D2403" s="235" t="s">
        <v>18428</v>
      </c>
      <c r="E2403" s="243">
        <v>6.53E13</v>
      </c>
      <c r="F2403" s="245"/>
      <c r="G2403" s="235" t="s">
        <v>18429</v>
      </c>
      <c r="H2403" s="235" t="s">
        <v>18430</v>
      </c>
      <c r="I2403" s="235" t="s">
        <v>18430</v>
      </c>
      <c r="J2403" s="235" t="s">
        <v>18431</v>
      </c>
      <c r="K2403" s="235" t="s">
        <v>18432</v>
      </c>
      <c r="N2403" s="235" t="s">
        <v>1346</v>
      </c>
      <c r="O2403" s="235" t="s">
        <v>1347</v>
      </c>
      <c r="P2403" s="238">
        <v>1.0</v>
      </c>
      <c r="Q2403" s="235" t="s">
        <v>627</v>
      </c>
      <c r="R2403" s="238">
        <v>256.19</v>
      </c>
      <c r="S2403" s="238">
        <v>12.55</v>
      </c>
      <c r="T2403" s="238">
        <v>0.0</v>
      </c>
      <c r="U2403" s="238">
        <v>0.0</v>
      </c>
      <c r="V2403" s="238">
        <v>0.0</v>
      </c>
      <c r="W2403" s="238">
        <v>0.0</v>
      </c>
      <c r="X2403" s="235" t="s">
        <v>628</v>
      </c>
      <c r="Z2403" s="244"/>
      <c r="AA2403" s="244"/>
      <c r="AB2403" s="244"/>
      <c r="AC2403" s="235" t="s">
        <v>1613</v>
      </c>
      <c r="AD2403" s="235" t="s">
        <v>630</v>
      </c>
      <c r="AE2403" s="238">
        <v>226013.0</v>
      </c>
      <c r="AF2403" s="235" t="s">
        <v>631</v>
      </c>
      <c r="AG2403" s="244"/>
      <c r="AH2403" s="244"/>
      <c r="AI2403" s="245"/>
      <c r="AJ2403" s="245"/>
      <c r="AK2403" s="245"/>
      <c r="AL2403" s="245"/>
      <c r="AM2403" s="244"/>
      <c r="AN2403" s="244"/>
      <c r="AO2403" s="238">
        <v>-5.12</v>
      </c>
      <c r="AP2403" s="238">
        <v>0.0</v>
      </c>
      <c r="AQ2403" s="235" t="s">
        <v>632</v>
      </c>
      <c r="AR2403" s="243">
        <v>3.71E11</v>
      </c>
      <c r="AS2403" s="235" t="s">
        <v>11171</v>
      </c>
      <c r="AT2403" s="235" t="s">
        <v>156</v>
      </c>
      <c r="AU2403" s="235" t="s">
        <v>634</v>
      </c>
      <c r="AV2403" s="246" t="s">
        <v>635</v>
      </c>
      <c r="AW2403" s="242"/>
      <c r="AX2403" s="242"/>
      <c r="AY2403" s="231"/>
      <c r="AZ2403" s="231"/>
      <c r="BA2403" s="227"/>
      <c r="BB2403" s="231"/>
      <c r="BC2403" s="227"/>
      <c r="BD2403" s="227"/>
      <c r="BE2403" s="227"/>
      <c r="BF2403" s="227"/>
    </row>
    <row r="2404">
      <c r="A2404" s="235" t="s">
        <v>18433</v>
      </c>
      <c r="C2404" s="235" t="s">
        <v>18434</v>
      </c>
      <c r="D2404" s="235" t="s">
        <v>18435</v>
      </c>
      <c r="E2404" s="243">
        <v>6.53E13</v>
      </c>
      <c r="F2404" s="245"/>
      <c r="G2404" s="235" t="s">
        <v>18436</v>
      </c>
      <c r="H2404" s="235" t="s">
        <v>18437</v>
      </c>
      <c r="I2404" s="235" t="s">
        <v>18437</v>
      </c>
      <c r="J2404" s="235" t="s">
        <v>18438</v>
      </c>
      <c r="K2404" s="235" t="s">
        <v>18439</v>
      </c>
      <c r="N2404" s="235" t="s">
        <v>127</v>
      </c>
      <c r="O2404" s="235" t="s">
        <v>794</v>
      </c>
      <c r="P2404" s="238">
        <v>1.0</v>
      </c>
      <c r="Q2404" s="235" t="s">
        <v>627</v>
      </c>
      <c r="R2404" s="238">
        <v>270.48</v>
      </c>
      <c r="S2404" s="238">
        <v>13.52</v>
      </c>
      <c r="T2404" s="238">
        <v>0.0</v>
      </c>
      <c r="U2404" s="238">
        <v>0.0</v>
      </c>
      <c r="V2404" s="238">
        <v>0.0</v>
      </c>
      <c r="W2404" s="238">
        <v>0.0</v>
      </c>
      <c r="X2404" s="235" t="s">
        <v>628</v>
      </c>
      <c r="Z2404" s="244"/>
      <c r="AA2404" s="244"/>
      <c r="AB2404" s="244"/>
      <c r="AC2404" s="235" t="s">
        <v>18440</v>
      </c>
      <c r="AD2404" s="235" t="s">
        <v>1077</v>
      </c>
      <c r="AE2404" s="238">
        <v>362265.0</v>
      </c>
      <c r="AF2404" s="235" t="s">
        <v>631</v>
      </c>
      <c r="AG2404" s="244"/>
      <c r="AH2404" s="244"/>
      <c r="AI2404" s="245"/>
      <c r="AJ2404" s="245"/>
      <c r="AK2404" s="245"/>
      <c r="AL2404" s="245"/>
      <c r="AM2404" s="244"/>
      <c r="AN2404" s="244"/>
      <c r="AO2404" s="238">
        <v>0.0</v>
      </c>
      <c r="AP2404" s="238">
        <v>0.0</v>
      </c>
      <c r="AQ2404" s="235" t="s">
        <v>632</v>
      </c>
      <c r="AR2404" s="243">
        <v>3.71E11</v>
      </c>
      <c r="AS2404" s="235" t="s">
        <v>12693</v>
      </c>
      <c r="AT2404" s="235" t="s">
        <v>533</v>
      </c>
      <c r="AU2404" s="235" t="s">
        <v>634</v>
      </c>
      <c r="AV2404" s="246" t="s">
        <v>635</v>
      </c>
      <c r="AW2404" s="242"/>
      <c r="AX2404" s="242"/>
      <c r="AY2404" s="231"/>
      <c r="AZ2404" s="231"/>
      <c r="BA2404" s="227"/>
      <c r="BB2404" s="231"/>
      <c r="BC2404" s="227"/>
      <c r="BD2404" s="227"/>
      <c r="BE2404" s="227"/>
      <c r="BF2404" s="227"/>
    </row>
    <row r="2405">
      <c r="A2405" s="235" t="s">
        <v>18441</v>
      </c>
      <c r="C2405" s="235" t="s">
        <v>18442</v>
      </c>
      <c r="D2405" s="235" t="s">
        <v>18443</v>
      </c>
      <c r="E2405" s="243">
        <v>6.53E13</v>
      </c>
      <c r="F2405" s="245"/>
      <c r="G2405" s="235" t="s">
        <v>18444</v>
      </c>
      <c r="H2405" s="235" t="s">
        <v>18445</v>
      </c>
      <c r="I2405" s="235" t="s">
        <v>18445</v>
      </c>
      <c r="J2405" s="235" t="s">
        <v>18446</v>
      </c>
      <c r="K2405" s="235" t="s">
        <v>18447</v>
      </c>
      <c r="N2405" s="235" t="s">
        <v>42</v>
      </c>
      <c r="O2405" s="235" t="s">
        <v>204</v>
      </c>
      <c r="P2405" s="238">
        <v>1.0</v>
      </c>
      <c r="Q2405" s="235" t="s">
        <v>627</v>
      </c>
      <c r="R2405" s="238">
        <v>270.48</v>
      </c>
      <c r="S2405" s="238">
        <v>13.52</v>
      </c>
      <c r="T2405" s="238">
        <v>0.0</v>
      </c>
      <c r="U2405" s="238">
        <v>0.0</v>
      </c>
      <c r="V2405" s="238">
        <v>0.0</v>
      </c>
      <c r="W2405" s="238">
        <v>0.0</v>
      </c>
      <c r="X2405" s="235" t="s">
        <v>628</v>
      </c>
      <c r="Z2405" s="244"/>
      <c r="AA2405" s="244"/>
      <c r="AB2405" s="244"/>
      <c r="AC2405" s="235" t="s">
        <v>3546</v>
      </c>
      <c r="AD2405" s="235" t="s">
        <v>833</v>
      </c>
      <c r="AE2405" s="238">
        <v>522005.0</v>
      </c>
      <c r="AF2405" s="235" t="s">
        <v>631</v>
      </c>
      <c r="AG2405" s="244"/>
      <c r="AH2405" s="244"/>
      <c r="AI2405" s="245"/>
      <c r="AJ2405" s="245"/>
      <c r="AK2405" s="245"/>
      <c r="AL2405" s="245"/>
      <c r="AM2405" s="244"/>
      <c r="AN2405" s="244"/>
      <c r="AO2405" s="238">
        <v>0.0</v>
      </c>
      <c r="AP2405" s="238">
        <v>0.0</v>
      </c>
      <c r="AQ2405" s="235" t="s">
        <v>632</v>
      </c>
      <c r="AR2405" s="243">
        <v>1.68E11</v>
      </c>
      <c r="AS2405" s="235" t="s">
        <v>16626</v>
      </c>
      <c r="AT2405" s="235" t="s">
        <v>156</v>
      </c>
      <c r="AU2405" s="235" t="s">
        <v>634</v>
      </c>
      <c r="AV2405" s="246" t="s">
        <v>635</v>
      </c>
      <c r="AW2405" s="242"/>
      <c r="AX2405" s="242"/>
      <c r="AY2405" s="231"/>
      <c r="AZ2405" s="231"/>
      <c r="BA2405" s="227"/>
      <c r="BB2405" s="231"/>
      <c r="BC2405" s="227"/>
      <c r="BD2405" s="227"/>
      <c r="BE2405" s="227"/>
      <c r="BF2405" s="227"/>
    </row>
    <row r="2406">
      <c r="A2406" s="235" t="s">
        <v>18448</v>
      </c>
      <c r="C2406" s="235" t="s">
        <v>18449</v>
      </c>
      <c r="D2406" s="235" t="s">
        <v>18450</v>
      </c>
      <c r="E2406" s="243">
        <v>6.53E13</v>
      </c>
      <c r="F2406" s="245"/>
      <c r="G2406" s="235" t="s">
        <v>18451</v>
      </c>
      <c r="H2406" s="235" t="s">
        <v>18452</v>
      </c>
      <c r="I2406" s="235" t="s">
        <v>18452</v>
      </c>
      <c r="J2406" s="235" t="s">
        <v>18453</v>
      </c>
      <c r="K2406" s="235" t="s">
        <v>10656</v>
      </c>
      <c r="N2406" s="235" t="s">
        <v>92</v>
      </c>
      <c r="O2406" s="235" t="s">
        <v>248</v>
      </c>
      <c r="P2406" s="238">
        <v>1.0</v>
      </c>
      <c r="Q2406" s="235" t="s">
        <v>627</v>
      </c>
      <c r="R2406" s="238">
        <v>270.48</v>
      </c>
      <c r="S2406" s="238">
        <v>13.52</v>
      </c>
      <c r="T2406" s="238">
        <v>38.1</v>
      </c>
      <c r="U2406" s="238">
        <v>1.9</v>
      </c>
      <c r="V2406" s="238">
        <v>0.0</v>
      </c>
      <c r="W2406" s="238">
        <v>0.0</v>
      </c>
      <c r="X2406" s="235" t="s">
        <v>628</v>
      </c>
      <c r="Z2406" s="244"/>
      <c r="AA2406" s="244"/>
      <c r="AB2406" s="244"/>
      <c r="AC2406" s="235" t="s">
        <v>10657</v>
      </c>
      <c r="AD2406" s="235" t="s">
        <v>2688</v>
      </c>
      <c r="AE2406" s="238">
        <v>181133.0</v>
      </c>
      <c r="AF2406" s="235" t="s">
        <v>631</v>
      </c>
      <c r="AG2406" s="244"/>
      <c r="AH2406" s="244"/>
      <c r="AI2406" s="245"/>
      <c r="AJ2406" s="245"/>
      <c r="AK2406" s="245"/>
      <c r="AL2406" s="245"/>
      <c r="AM2406" s="244"/>
      <c r="AN2406" s="244"/>
      <c r="AO2406" s="238">
        <v>0.0</v>
      </c>
      <c r="AP2406" s="238">
        <v>-38.1</v>
      </c>
      <c r="AQ2406" s="235" t="s">
        <v>632</v>
      </c>
      <c r="AR2406" s="243">
        <v>3.71E11</v>
      </c>
      <c r="AS2406" s="235" t="s">
        <v>11171</v>
      </c>
      <c r="AT2406" s="235" t="s">
        <v>156</v>
      </c>
      <c r="AU2406" s="235" t="s">
        <v>634</v>
      </c>
      <c r="AV2406" s="246" t="s">
        <v>635</v>
      </c>
      <c r="AW2406" s="242"/>
      <c r="AX2406" s="242"/>
      <c r="AY2406" s="231"/>
      <c r="AZ2406" s="231"/>
      <c r="BA2406" s="227"/>
      <c r="BB2406" s="231"/>
      <c r="BC2406" s="227"/>
      <c r="BD2406" s="227"/>
      <c r="BE2406" s="227"/>
      <c r="BF2406" s="227"/>
    </row>
    <row r="2407">
      <c r="A2407" s="235" t="s">
        <v>18454</v>
      </c>
      <c r="C2407" s="235" t="s">
        <v>18455</v>
      </c>
      <c r="D2407" s="235" t="s">
        <v>18456</v>
      </c>
      <c r="E2407" s="243">
        <v>6.53E13</v>
      </c>
      <c r="F2407" s="245"/>
      <c r="G2407" s="235" t="s">
        <v>18457</v>
      </c>
      <c r="H2407" s="235" t="s">
        <v>18458</v>
      </c>
      <c r="I2407" s="235" t="s">
        <v>18459</v>
      </c>
      <c r="J2407" s="235" t="s">
        <v>18460</v>
      </c>
      <c r="K2407" s="235" t="s">
        <v>18461</v>
      </c>
      <c r="N2407" s="235" t="s">
        <v>842</v>
      </c>
      <c r="O2407" s="235" t="s">
        <v>843</v>
      </c>
      <c r="P2407" s="238">
        <v>1.0</v>
      </c>
      <c r="Q2407" s="235" t="s">
        <v>627</v>
      </c>
      <c r="R2407" s="238">
        <v>270.48</v>
      </c>
      <c r="S2407" s="238">
        <v>13.25</v>
      </c>
      <c r="T2407" s="238">
        <v>0.0</v>
      </c>
      <c r="U2407" s="238">
        <v>0.0</v>
      </c>
      <c r="V2407" s="238">
        <v>0.0</v>
      </c>
      <c r="W2407" s="238">
        <v>0.0</v>
      </c>
      <c r="X2407" s="235" t="s">
        <v>628</v>
      </c>
      <c r="Z2407" s="244"/>
      <c r="AA2407" s="244"/>
      <c r="AB2407" s="244"/>
      <c r="AC2407" s="235" t="s">
        <v>687</v>
      </c>
      <c r="AD2407" s="235" t="s">
        <v>666</v>
      </c>
      <c r="AE2407" s="238">
        <v>600080.0</v>
      </c>
      <c r="AF2407" s="235" t="s">
        <v>631</v>
      </c>
      <c r="AG2407" s="244"/>
      <c r="AH2407" s="244"/>
      <c r="AI2407" s="245"/>
      <c r="AJ2407" s="245"/>
      <c r="AK2407" s="245"/>
      <c r="AL2407" s="245"/>
      <c r="AM2407" s="244"/>
      <c r="AN2407" s="244"/>
      <c r="AO2407" s="238">
        <v>-5.41</v>
      </c>
      <c r="AP2407" s="238">
        <v>0.0</v>
      </c>
      <c r="AQ2407" s="235" t="s">
        <v>632</v>
      </c>
      <c r="AR2407" s="243">
        <v>1.68E11</v>
      </c>
      <c r="AS2407" s="235" t="s">
        <v>18462</v>
      </c>
      <c r="AT2407" s="235" t="s">
        <v>156</v>
      </c>
      <c r="AU2407" s="235" t="s">
        <v>634</v>
      </c>
      <c r="AV2407" s="246" t="s">
        <v>635</v>
      </c>
      <c r="AW2407" s="242"/>
      <c r="AX2407" s="242"/>
      <c r="AY2407" s="231"/>
      <c r="AZ2407" s="231"/>
      <c r="BA2407" s="227"/>
      <c r="BB2407" s="231"/>
      <c r="BC2407" s="227"/>
      <c r="BD2407" s="227"/>
      <c r="BE2407" s="227"/>
      <c r="BF2407" s="227"/>
    </row>
    <row r="2408">
      <c r="A2408" s="235" t="s">
        <v>18463</v>
      </c>
      <c r="C2408" s="235" t="s">
        <v>18464</v>
      </c>
      <c r="D2408" s="235" t="s">
        <v>18465</v>
      </c>
      <c r="E2408" s="243">
        <v>6.53E13</v>
      </c>
      <c r="F2408" s="245"/>
      <c r="G2408" s="235" t="s">
        <v>18466</v>
      </c>
      <c r="H2408" s="235" t="s">
        <v>18467</v>
      </c>
      <c r="I2408" s="235" t="s">
        <v>18467</v>
      </c>
      <c r="J2408" s="235" t="s">
        <v>18468</v>
      </c>
      <c r="K2408" s="235" t="s">
        <v>18469</v>
      </c>
      <c r="N2408" s="235" t="s">
        <v>127</v>
      </c>
      <c r="O2408" s="235" t="s">
        <v>794</v>
      </c>
      <c r="P2408" s="238">
        <v>1.0</v>
      </c>
      <c r="Q2408" s="235" t="s">
        <v>627</v>
      </c>
      <c r="R2408" s="238">
        <v>270.48</v>
      </c>
      <c r="S2408" s="238">
        <v>13.25</v>
      </c>
      <c r="T2408" s="238">
        <v>0.0</v>
      </c>
      <c r="U2408" s="238">
        <v>0.0</v>
      </c>
      <c r="V2408" s="238">
        <v>0.0</v>
      </c>
      <c r="W2408" s="238">
        <v>0.0</v>
      </c>
      <c r="X2408" s="235" t="s">
        <v>628</v>
      </c>
      <c r="Z2408" s="244"/>
      <c r="AA2408" s="244"/>
      <c r="AB2408" s="244"/>
      <c r="AC2408" s="235" t="s">
        <v>2092</v>
      </c>
      <c r="AD2408" s="235" t="s">
        <v>845</v>
      </c>
      <c r="AE2408" s="238">
        <v>411021.0</v>
      </c>
      <c r="AF2408" s="235" t="s">
        <v>631</v>
      </c>
      <c r="AG2408" s="244"/>
      <c r="AH2408" s="244"/>
      <c r="AI2408" s="245"/>
      <c r="AJ2408" s="245"/>
      <c r="AK2408" s="245"/>
      <c r="AL2408" s="245"/>
      <c r="AM2408" s="244"/>
      <c r="AN2408" s="244"/>
      <c r="AO2408" s="238">
        <v>-5.41</v>
      </c>
      <c r="AP2408" s="238">
        <v>0.0</v>
      </c>
      <c r="AQ2408" s="235" t="s">
        <v>632</v>
      </c>
      <c r="AR2408" s="243">
        <v>2.02E11</v>
      </c>
      <c r="AS2408" s="235" t="s">
        <v>12693</v>
      </c>
      <c r="AT2408" s="235" t="s">
        <v>5</v>
      </c>
      <c r="AU2408" s="235" t="s">
        <v>634</v>
      </c>
      <c r="AV2408" s="246" t="s">
        <v>635</v>
      </c>
      <c r="AW2408" s="242"/>
      <c r="AX2408" s="242"/>
      <c r="AY2408" s="231"/>
      <c r="AZ2408" s="231"/>
      <c r="BA2408" s="227"/>
      <c r="BB2408" s="231"/>
      <c r="BC2408" s="227"/>
      <c r="BD2408" s="227"/>
      <c r="BE2408" s="227"/>
      <c r="BF2408" s="227"/>
    </row>
    <row r="2409">
      <c r="A2409" s="235" t="s">
        <v>18470</v>
      </c>
      <c r="C2409" s="235" t="s">
        <v>18471</v>
      </c>
      <c r="D2409" s="235" t="s">
        <v>18472</v>
      </c>
      <c r="E2409" s="243">
        <v>6.53E13</v>
      </c>
      <c r="F2409" s="245"/>
      <c r="G2409" s="235" t="s">
        <v>18473</v>
      </c>
      <c r="H2409" s="235" t="s">
        <v>18474</v>
      </c>
      <c r="I2409" s="235" t="s">
        <v>18474</v>
      </c>
      <c r="J2409" s="235" t="s">
        <v>18475</v>
      </c>
      <c r="K2409" s="235" t="s">
        <v>18476</v>
      </c>
      <c r="N2409" s="235" t="s">
        <v>50</v>
      </c>
      <c r="O2409" s="235" t="s">
        <v>367</v>
      </c>
      <c r="P2409" s="238">
        <v>1.0</v>
      </c>
      <c r="Q2409" s="235" t="s">
        <v>627</v>
      </c>
      <c r="R2409" s="238">
        <v>270.48</v>
      </c>
      <c r="S2409" s="238">
        <v>13.25</v>
      </c>
      <c r="T2409" s="238">
        <v>0.0</v>
      </c>
      <c r="U2409" s="238">
        <v>0.0</v>
      </c>
      <c r="V2409" s="238">
        <v>0.0</v>
      </c>
      <c r="W2409" s="238">
        <v>0.0</v>
      </c>
      <c r="X2409" s="235" t="s">
        <v>628</v>
      </c>
      <c r="Z2409" s="244"/>
      <c r="AA2409" s="244"/>
      <c r="AB2409" s="244"/>
      <c r="AC2409" s="235" t="s">
        <v>687</v>
      </c>
      <c r="AD2409" s="235" t="s">
        <v>666</v>
      </c>
      <c r="AE2409" s="238">
        <v>600021.0</v>
      </c>
      <c r="AF2409" s="235" t="s">
        <v>631</v>
      </c>
      <c r="AG2409" s="244"/>
      <c r="AH2409" s="244"/>
      <c r="AI2409" s="245"/>
      <c r="AJ2409" s="245"/>
      <c r="AK2409" s="245"/>
      <c r="AL2409" s="245"/>
      <c r="AM2409" s="244"/>
      <c r="AN2409" s="244"/>
      <c r="AO2409" s="238">
        <v>-5.41</v>
      </c>
      <c r="AP2409" s="238">
        <v>0.0</v>
      </c>
      <c r="AQ2409" s="235" t="s">
        <v>632</v>
      </c>
      <c r="AR2409" s="243">
        <v>3.71E11</v>
      </c>
      <c r="AS2409" s="235" t="s">
        <v>17988</v>
      </c>
      <c r="AT2409" s="235" t="s">
        <v>156</v>
      </c>
      <c r="AU2409" s="235" t="s">
        <v>634</v>
      </c>
      <c r="AV2409" s="246" t="s">
        <v>635</v>
      </c>
      <c r="AW2409" s="242"/>
      <c r="AX2409" s="242"/>
      <c r="AY2409" s="231"/>
      <c r="AZ2409" s="231"/>
      <c r="BA2409" s="227"/>
      <c r="BB2409" s="231"/>
      <c r="BC2409" s="227"/>
      <c r="BD2409" s="227"/>
      <c r="BE2409" s="227"/>
      <c r="BF2409" s="227"/>
    </row>
    <row r="2410">
      <c r="A2410" s="235" t="s">
        <v>18477</v>
      </c>
      <c r="C2410" s="235" t="s">
        <v>18478</v>
      </c>
      <c r="D2410" s="235" t="s">
        <v>18479</v>
      </c>
      <c r="E2410" s="243">
        <v>6.53E13</v>
      </c>
      <c r="F2410" s="245"/>
      <c r="G2410" s="235" t="s">
        <v>18480</v>
      </c>
      <c r="H2410" s="235" t="s">
        <v>18481</v>
      </c>
      <c r="I2410" s="235" t="s">
        <v>18481</v>
      </c>
      <c r="J2410" s="235" t="s">
        <v>18482</v>
      </c>
      <c r="K2410" s="235" t="s">
        <v>18483</v>
      </c>
      <c r="N2410" s="235" t="s">
        <v>85</v>
      </c>
      <c r="O2410" s="235" t="s">
        <v>872</v>
      </c>
      <c r="P2410" s="238">
        <v>1.0</v>
      </c>
      <c r="Q2410" s="235" t="s">
        <v>627</v>
      </c>
      <c r="R2410" s="238">
        <v>270.48</v>
      </c>
      <c r="S2410" s="238">
        <v>13.25</v>
      </c>
      <c r="T2410" s="238">
        <v>0.0</v>
      </c>
      <c r="U2410" s="238">
        <v>0.0</v>
      </c>
      <c r="V2410" s="238">
        <v>0.0</v>
      </c>
      <c r="W2410" s="238">
        <v>0.0</v>
      </c>
      <c r="X2410" s="235" t="s">
        <v>628</v>
      </c>
      <c r="Z2410" s="244"/>
      <c r="AA2410" s="244"/>
      <c r="AB2410" s="244"/>
      <c r="AC2410" s="235" t="s">
        <v>2236</v>
      </c>
      <c r="AD2410" s="235" t="s">
        <v>666</v>
      </c>
      <c r="AE2410" s="238">
        <v>641025.0</v>
      </c>
      <c r="AF2410" s="235" t="s">
        <v>631</v>
      </c>
      <c r="AG2410" s="244"/>
      <c r="AH2410" s="244"/>
      <c r="AI2410" s="245"/>
      <c r="AJ2410" s="245"/>
      <c r="AK2410" s="245"/>
      <c r="AL2410" s="245"/>
      <c r="AM2410" s="244"/>
      <c r="AN2410" s="244"/>
      <c r="AO2410" s="238">
        <v>-5.41</v>
      </c>
      <c r="AP2410" s="238">
        <v>0.0</v>
      </c>
      <c r="AQ2410" s="235" t="s">
        <v>632</v>
      </c>
      <c r="AR2410" s="243">
        <v>3.71E11</v>
      </c>
      <c r="AS2410" s="235" t="s">
        <v>17988</v>
      </c>
      <c r="AT2410" s="235" t="s">
        <v>155</v>
      </c>
      <c r="AU2410" s="235" t="s">
        <v>634</v>
      </c>
      <c r="AV2410" s="246" t="s">
        <v>635</v>
      </c>
      <c r="AW2410" s="242"/>
      <c r="AX2410" s="242"/>
      <c r="AY2410" s="231"/>
      <c r="AZ2410" s="231"/>
      <c r="BA2410" s="227"/>
      <c r="BB2410" s="231"/>
      <c r="BC2410" s="227"/>
      <c r="BD2410" s="227"/>
      <c r="BE2410" s="227"/>
      <c r="BF2410" s="227"/>
    </row>
    <row r="2411">
      <c r="A2411" s="235" t="s">
        <v>18484</v>
      </c>
      <c r="C2411" s="235" t="s">
        <v>18485</v>
      </c>
      <c r="D2411" s="235" t="s">
        <v>18486</v>
      </c>
      <c r="E2411" s="243">
        <v>6.53E13</v>
      </c>
      <c r="F2411" s="245"/>
      <c r="G2411" s="235" t="s">
        <v>18487</v>
      </c>
      <c r="H2411" s="235" t="s">
        <v>18488</v>
      </c>
      <c r="I2411" s="235" t="s">
        <v>18488</v>
      </c>
      <c r="J2411" s="235" t="s">
        <v>18489</v>
      </c>
      <c r="K2411" s="235" t="s">
        <v>18490</v>
      </c>
      <c r="N2411" s="235" t="s">
        <v>130</v>
      </c>
      <c r="O2411" s="235" t="s">
        <v>707</v>
      </c>
      <c r="P2411" s="238">
        <v>1.0</v>
      </c>
      <c r="Q2411" s="235" t="s">
        <v>627</v>
      </c>
      <c r="R2411" s="238">
        <v>0.0</v>
      </c>
      <c r="S2411" s="238">
        <v>0.0</v>
      </c>
      <c r="T2411" s="238">
        <v>0.0</v>
      </c>
      <c r="U2411" s="238">
        <v>0.0</v>
      </c>
      <c r="V2411" s="238">
        <v>0.0</v>
      </c>
      <c r="W2411" s="238">
        <v>0.0</v>
      </c>
      <c r="X2411" s="235" t="s">
        <v>628</v>
      </c>
      <c r="Z2411" s="244"/>
      <c r="AA2411" s="244"/>
      <c r="AB2411" s="244"/>
      <c r="AC2411" s="235" t="s">
        <v>10976</v>
      </c>
      <c r="AD2411" s="235" t="s">
        <v>679</v>
      </c>
      <c r="AE2411" s="238">
        <v>576283.0</v>
      </c>
      <c r="AF2411" s="235" t="s">
        <v>631</v>
      </c>
      <c r="AG2411" s="244"/>
      <c r="AH2411" s="244"/>
      <c r="AI2411" s="245"/>
      <c r="AJ2411" s="245"/>
      <c r="AK2411" s="245"/>
      <c r="AL2411" s="245"/>
      <c r="AM2411" s="244"/>
      <c r="AN2411" s="244"/>
      <c r="AO2411" s="238">
        <v>0.0</v>
      </c>
      <c r="AP2411" s="238">
        <v>0.0</v>
      </c>
      <c r="AQ2411" s="235" t="s">
        <v>2778</v>
      </c>
      <c r="AR2411" s="243">
        <v>7.64E10</v>
      </c>
      <c r="AS2411" s="235" t="s">
        <v>6164</v>
      </c>
      <c r="AT2411" s="235" t="s">
        <v>9</v>
      </c>
      <c r="AU2411" s="235" t="s">
        <v>634</v>
      </c>
      <c r="AV2411" s="246" t="s">
        <v>635</v>
      </c>
      <c r="AW2411" s="242"/>
      <c r="AX2411" s="242"/>
      <c r="AY2411" s="231"/>
      <c r="AZ2411" s="231"/>
      <c r="BA2411" s="227"/>
      <c r="BB2411" s="231"/>
      <c r="BC2411" s="227"/>
      <c r="BD2411" s="227"/>
      <c r="BE2411" s="227"/>
      <c r="BF2411" s="227"/>
    </row>
    <row r="2412">
      <c r="A2412" s="235" t="s">
        <v>18491</v>
      </c>
      <c r="C2412" s="235" t="s">
        <v>18492</v>
      </c>
      <c r="D2412" s="235" t="s">
        <v>18493</v>
      </c>
      <c r="E2412" s="243">
        <v>6.53E13</v>
      </c>
      <c r="F2412" s="245"/>
      <c r="G2412" s="235" t="s">
        <v>18494</v>
      </c>
      <c r="H2412" s="235" t="s">
        <v>18495</v>
      </c>
      <c r="I2412" s="235" t="s">
        <v>18495</v>
      </c>
      <c r="J2412" s="235" t="s">
        <v>18496</v>
      </c>
      <c r="K2412" s="235" t="s">
        <v>18497</v>
      </c>
      <c r="N2412" s="235" t="s">
        <v>33</v>
      </c>
      <c r="O2412" s="235" t="s">
        <v>1009</v>
      </c>
      <c r="P2412" s="238">
        <v>1.0</v>
      </c>
      <c r="Q2412" s="235" t="s">
        <v>627</v>
      </c>
      <c r="R2412" s="238">
        <v>475.24</v>
      </c>
      <c r="S2412" s="238">
        <v>23.76</v>
      </c>
      <c r="T2412" s="238">
        <v>0.0</v>
      </c>
      <c r="U2412" s="238">
        <v>0.0</v>
      </c>
      <c r="V2412" s="238">
        <v>0.0</v>
      </c>
      <c r="W2412" s="238">
        <v>0.0</v>
      </c>
      <c r="X2412" s="235" t="s">
        <v>628</v>
      </c>
      <c r="Z2412" s="244"/>
      <c r="AA2412" s="244"/>
      <c r="AB2412" s="244"/>
      <c r="AC2412" s="235" t="s">
        <v>18498</v>
      </c>
      <c r="AD2412" s="235" t="s">
        <v>12034</v>
      </c>
      <c r="AE2412" s="238">
        <v>791111.0</v>
      </c>
      <c r="AF2412" s="235" t="s">
        <v>631</v>
      </c>
      <c r="AG2412" s="244"/>
      <c r="AH2412" s="244"/>
      <c r="AI2412" s="245"/>
      <c r="AJ2412" s="245"/>
      <c r="AK2412" s="245"/>
      <c r="AL2412" s="245"/>
      <c r="AM2412" s="244"/>
      <c r="AN2412" s="244"/>
      <c r="AO2412" s="238">
        <v>0.0</v>
      </c>
      <c r="AP2412" s="238">
        <v>0.0</v>
      </c>
      <c r="AQ2412" s="235" t="s">
        <v>632</v>
      </c>
      <c r="AR2412" s="243">
        <v>3.71E11</v>
      </c>
      <c r="AS2412" s="235" t="s">
        <v>7365</v>
      </c>
      <c r="AT2412" s="235" t="s">
        <v>11</v>
      </c>
      <c r="AU2412" s="235" t="s">
        <v>634</v>
      </c>
      <c r="AV2412" s="246" t="s">
        <v>635</v>
      </c>
      <c r="AW2412" s="242"/>
      <c r="AX2412" s="242"/>
      <c r="AY2412" s="231"/>
      <c r="AZ2412" s="231"/>
      <c r="BA2412" s="227"/>
      <c r="BB2412" s="231"/>
      <c r="BC2412" s="227"/>
      <c r="BD2412" s="227"/>
      <c r="BE2412" s="227"/>
      <c r="BF2412" s="227"/>
    </row>
    <row r="2413">
      <c r="A2413" s="235" t="s">
        <v>18499</v>
      </c>
      <c r="C2413" s="235" t="s">
        <v>18500</v>
      </c>
      <c r="D2413" s="235" t="s">
        <v>18501</v>
      </c>
      <c r="E2413" s="243">
        <v>6.53E13</v>
      </c>
      <c r="F2413" s="245"/>
      <c r="G2413" s="235" t="s">
        <v>18502</v>
      </c>
      <c r="H2413" s="235" t="s">
        <v>18503</v>
      </c>
      <c r="I2413" s="235" t="s">
        <v>18503</v>
      </c>
      <c r="J2413" s="235" t="s">
        <v>18504</v>
      </c>
      <c r="K2413" s="235" t="s">
        <v>18505</v>
      </c>
      <c r="N2413" s="235" t="s">
        <v>53</v>
      </c>
      <c r="O2413" s="235" t="s">
        <v>512</v>
      </c>
      <c r="P2413" s="238">
        <v>1.0</v>
      </c>
      <c r="Q2413" s="235" t="s">
        <v>627</v>
      </c>
      <c r="R2413" s="238">
        <v>270.48</v>
      </c>
      <c r="S2413" s="238">
        <v>13.52</v>
      </c>
      <c r="T2413" s="238">
        <v>0.0</v>
      </c>
      <c r="U2413" s="238">
        <v>0.0</v>
      </c>
      <c r="V2413" s="238">
        <v>0.0</v>
      </c>
      <c r="W2413" s="238">
        <v>0.0</v>
      </c>
      <c r="X2413" s="235" t="s">
        <v>628</v>
      </c>
      <c r="Z2413" s="244"/>
      <c r="AA2413" s="244"/>
      <c r="AB2413" s="244"/>
      <c r="AC2413" s="235" t="s">
        <v>18506</v>
      </c>
      <c r="AD2413" s="235" t="s">
        <v>645</v>
      </c>
      <c r="AE2413" s="238">
        <v>695585.0</v>
      </c>
      <c r="AF2413" s="235" t="s">
        <v>631</v>
      </c>
      <c r="AG2413" s="244"/>
      <c r="AH2413" s="244"/>
      <c r="AI2413" s="245"/>
      <c r="AJ2413" s="245"/>
      <c r="AK2413" s="245"/>
      <c r="AL2413" s="245"/>
      <c r="AM2413" s="244"/>
      <c r="AN2413" s="244"/>
      <c r="AO2413" s="238">
        <v>0.0</v>
      </c>
      <c r="AP2413" s="238">
        <v>0.0</v>
      </c>
      <c r="AQ2413" s="235" t="s">
        <v>632</v>
      </c>
      <c r="AR2413" s="243">
        <v>1.68E11</v>
      </c>
      <c r="AS2413" s="235" t="s">
        <v>15064</v>
      </c>
      <c r="AT2413" s="235" t="s">
        <v>9</v>
      </c>
      <c r="AU2413" s="235" t="s">
        <v>634</v>
      </c>
      <c r="AV2413" s="246" t="s">
        <v>635</v>
      </c>
      <c r="AW2413" s="242"/>
      <c r="AX2413" s="242"/>
      <c r="AY2413" s="231"/>
      <c r="AZ2413" s="231"/>
      <c r="BA2413" s="227"/>
      <c r="BB2413" s="231"/>
      <c r="BC2413" s="227"/>
      <c r="BD2413" s="227"/>
      <c r="BE2413" s="227"/>
      <c r="BF2413" s="227"/>
    </row>
    <row r="2414">
      <c r="A2414" s="235" t="s">
        <v>18507</v>
      </c>
      <c r="C2414" s="235" t="s">
        <v>18508</v>
      </c>
      <c r="D2414" s="235" t="s">
        <v>18509</v>
      </c>
      <c r="E2414" s="243">
        <v>6.53E13</v>
      </c>
      <c r="F2414" s="245"/>
      <c r="G2414" s="235" t="s">
        <v>18510</v>
      </c>
      <c r="H2414" s="235" t="s">
        <v>18511</v>
      </c>
      <c r="I2414" s="235" t="s">
        <v>18511</v>
      </c>
      <c r="J2414" s="235" t="s">
        <v>18512</v>
      </c>
      <c r="K2414" s="235" t="s">
        <v>18513</v>
      </c>
      <c r="N2414" s="235" t="s">
        <v>50</v>
      </c>
      <c r="O2414" s="235" t="s">
        <v>367</v>
      </c>
      <c r="P2414" s="238">
        <v>1.0</v>
      </c>
      <c r="Q2414" s="235" t="s">
        <v>627</v>
      </c>
      <c r="R2414" s="238">
        <v>270.48</v>
      </c>
      <c r="S2414" s="238">
        <v>13.25</v>
      </c>
      <c r="T2414" s="238">
        <v>0.0</v>
      </c>
      <c r="U2414" s="238">
        <v>0.0</v>
      </c>
      <c r="V2414" s="238">
        <v>0.0</v>
      </c>
      <c r="W2414" s="238">
        <v>0.0</v>
      </c>
      <c r="X2414" s="235" t="s">
        <v>628</v>
      </c>
      <c r="Z2414" s="244"/>
      <c r="AA2414" s="244"/>
      <c r="AB2414" s="244"/>
      <c r="AC2414" s="235" t="s">
        <v>678</v>
      </c>
      <c r="AD2414" s="235" t="s">
        <v>679</v>
      </c>
      <c r="AE2414" s="238">
        <v>560056.0</v>
      </c>
      <c r="AF2414" s="235" t="s">
        <v>631</v>
      </c>
      <c r="AG2414" s="244"/>
      <c r="AH2414" s="244"/>
      <c r="AI2414" s="245"/>
      <c r="AJ2414" s="245"/>
      <c r="AK2414" s="245"/>
      <c r="AL2414" s="245"/>
      <c r="AM2414" s="244"/>
      <c r="AN2414" s="244"/>
      <c r="AO2414" s="238">
        <v>-5.41</v>
      </c>
      <c r="AP2414" s="238">
        <v>0.0</v>
      </c>
      <c r="AQ2414" s="235" t="s">
        <v>632</v>
      </c>
      <c r="AR2414" s="243">
        <v>3.71E11</v>
      </c>
      <c r="AS2414" s="235" t="s">
        <v>17988</v>
      </c>
      <c r="AT2414" s="235" t="s">
        <v>11</v>
      </c>
      <c r="AU2414" s="235" t="s">
        <v>634</v>
      </c>
      <c r="AV2414" s="246" t="s">
        <v>635</v>
      </c>
      <c r="AW2414" s="242"/>
      <c r="AX2414" s="242"/>
      <c r="AY2414" s="231"/>
      <c r="AZ2414" s="231"/>
      <c r="BA2414" s="227"/>
      <c r="BB2414" s="231"/>
      <c r="BC2414" s="227"/>
      <c r="BD2414" s="227"/>
      <c r="BE2414" s="227"/>
      <c r="BF2414" s="227"/>
    </row>
    <row r="2415">
      <c r="A2415" s="235" t="s">
        <v>18514</v>
      </c>
      <c r="C2415" s="235" t="s">
        <v>18515</v>
      </c>
      <c r="D2415" s="235" t="s">
        <v>18516</v>
      </c>
      <c r="E2415" s="243">
        <v>6.53E13</v>
      </c>
      <c r="F2415" s="245"/>
      <c r="G2415" s="235" t="s">
        <v>18517</v>
      </c>
      <c r="H2415" s="235" t="s">
        <v>18518</v>
      </c>
      <c r="I2415" s="235" t="s">
        <v>18519</v>
      </c>
      <c r="J2415" s="235" t="s">
        <v>18520</v>
      </c>
      <c r="K2415" s="235" t="s">
        <v>18521</v>
      </c>
      <c r="N2415" s="235" t="s">
        <v>127</v>
      </c>
      <c r="O2415" s="235" t="s">
        <v>794</v>
      </c>
      <c r="P2415" s="238">
        <v>1.0</v>
      </c>
      <c r="Q2415" s="235" t="s">
        <v>627</v>
      </c>
      <c r="R2415" s="238">
        <v>242.86</v>
      </c>
      <c r="S2415" s="238">
        <v>12.14</v>
      </c>
      <c r="T2415" s="238">
        <v>0.0</v>
      </c>
      <c r="U2415" s="238">
        <v>0.0</v>
      </c>
      <c r="V2415" s="238">
        <v>0.0</v>
      </c>
      <c r="W2415" s="238">
        <v>0.0</v>
      </c>
      <c r="X2415" s="235" t="s">
        <v>628</v>
      </c>
      <c r="Z2415" s="244"/>
      <c r="AA2415" s="244"/>
      <c r="AB2415" s="244"/>
      <c r="AC2415" s="235" t="s">
        <v>795</v>
      </c>
      <c r="AD2415" s="235" t="s">
        <v>796</v>
      </c>
      <c r="AE2415" s="238">
        <v>110085.0</v>
      </c>
      <c r="AF2415" s="235" t="s">
        <v>631</v>
      </c>
      <c r="AG2415" s="244"/>
      <c r="AH2415" s="244"/>
      <c r="AI2415" s="245"/>
      <c r="AJ2415" s="245"/>
      <c r="AK2415" s="245"/>
      <c r="AL2415" s="245"/>
      <c r="AM2415" s="244"/>
      <c r="AN2415" s="244"/>
      <c r="AO2415" s="238">
        <v>0.0</v>
      </c>
      <c r="AP2415" s="238">
        <v>0.0</v>
      </c>
      <c r="AQ2415" s="235" t="s">
        <v>632</v>
      </c>
      <c r="AR2415" s="243">
        <v>3.71E11</v>
      </c>
      <c r="AS2415" s="235" t="s">
        <v>17988</v>
      </c>
      <c r="AT2415" s="235" t="s">
        <v>533</v>
      </c>
      <c r="AU2415" s="235" t="s">
        <v>634</v>
      </c>
      <c r="AV2415" s="246" t="s">
        <v>635</v>
      </c>
      <c r="AW2415" s="242"/>
      <c r="AX2415" s="242"/>
      <c r="AY2415" s="231"/>
      <c r="AZ2415" s="231"/>
      <c r="BA2415" s="227"/>
      <c r="BB2415" s="231"/>
      <c r="BC2415" s="227"/>
      <c r="BD2415" s="227"/>
      <c r="BE2415" s="227"/>
      <c r="BF2415" s="227"/>
    </row>
    <row r="2416">
      <c r="A2416" s="235" t="s">
        <v>18522</v>
      </c>
      <c r="C2416" s="235" t="s">
        <v>18523</v>
      </c>
      <c r="D2416" s="235" t="s">
        <v>18524</v>
      </c>
      <c r="E2416" s="243">
        <v>6.53E13</v>
      </c>
      <c r="F2416" s="245"/>
      <c r="G2416" s="235" t="s">
        <v>18525</v>
      </c>
      <c r="H2416" s="235" t="s">
        <v>18526</v>
      </c>
      <c r="I2416" s="235" t="s">
        <v>18526</v>
      </c>
      <c r="J2416" s="235" t="s">
        <v>18527</v>
      </c>
      <c r="K2416" s="235" t="s">
        <v>18528</v>
      </c>
      <c r="N2416" s="235" t="s">
        <v>154</v>
      </c>
      <c r="O2416" s="235" t="s">
        <v>766</v>
      </c>
      <c r="P2416" s="238">
        <v>1.0</v>
      </c>
      <c r="Q2416" s="235" t="s">
        <v>627</v>
      </c>
      <c r="R2416" s="238">
        <v>500.95</v>
      </c>
      <c r="S2416" s="238">
        <v>25.05</v>
      </c>
      <c r="T2416" s="238">
        <v>0.0</v>
      </c>
      <c r="U2416" s="238">
        <v>0.0</v>
      </c>
      <c r="V2416" s="238">
        <v>0.0</v>
      </c>
      <c r="W2416" s="238">
        <v>0.0</v>
      </c>
      <c r="X2416" s="235" t="s">
        <v>628</v>
      </c>
      <c r="Z2416" s="244"/>
      <c r="AA2416" s="244"/>
      <c r="AB2416" s="244"/>
      <c r="AC2416" s="235" t="s">
        <v>18529</v>
      </c>
      <c r="AD2416" s="235" t="s">
        <v>645</v>
      </c>
      <c r="AE2416" s="238">
        <v>680312.0</v>
      </c>
      <c r="AF2416" s="235" t="s">
        <v>631</v>
      </c>
      <c r="AG2416" s="244"/>
      <c r="AH2416" s="244"/>
      <c r="AI2416" s="245"/>
      <c r="AJ2416" s="245"/>
      <c r="AK2416" s="245"/>
      <c r="AL2416" s="245"/>
      <c r="AM2416" s="244"/>
      <c r="AN2416" s="244"/>
      <c r="AO2416" s="238">
        <v>0.0</v>
      </c>
      <c r="AP2416" s="238">
        <v>0.0</v>
      </c>
      <c r="AQ2416" s="235" t="s">
        <v>632</v>
      </c>
      <c r="AR2416" s="243">
        <v>3.71E11</v>
      </c>
      <c r="AS2416" s="235" t="s">
        <v>17988</v>
      </c>
      <c r="AT2416" s="235" t="s">
        <v>155</v>
      </c>
      <c r="AU2416" s="235" t="s">
        <v>634</v>
      </c>
      <c r="AV2416" s="246" t="s">
        <v>635</v>
      </c>
      <c r="AW2416" s="242"/>
      <c r="AX2416" s="242"/>
      <c r="AY2416" s="231"/>
      <c r="AZ2416" s="231"/>
      <c r="BA2416" s="227"/>
      <c r="BB2416" s="231"/>
      <c r="BC2416" s="227"/>
      <c r="BD2416" s="227"/>
      <c r="BE2416" s="227"/>
      <c r="BF2416" s="227"/>
    </row>
    <row r="2417">
      <c r="A2417" s="235" t="s">
        <v>18530</v>
      </c>
      <c r="C2417" s="235" t="s">
        <v>18531</v>
      </c>
      <c r="D2417" s="235" t="s">
        <v>18532</v>
      </c>
      <c r="E2417" s="243">
        <v>6.53E13</v>
      </c>
      <c r="F2417" s="245"/>
      <c r="G2417" s="235" t="s">
        <v>18533</v>
      </c>
      <c r="H2417" s="235" t="s">
        <v>18534</v>
      </c>
      <c r="I2417" s="235" t="s">
        <v>18535</v>
      </c>
      <c r="J2417" s="235" t="s">
        <v>18536</v>
      </c>
      <c r="K2417" s="235" t="s">
        <v>18537</v>
      </c>
      <c r="N2417" s="235" t="s">
        <v>139</v>
      </c>
      <c r="O2417" s="235" t="s">
        <v>2091</v>
      </c>
      <c r="P2417" s="238">
        <v>1.0</v>
      </c>
      <c r="Q2417" s="235" t="s">
        <v>627</v>
      </c>
      <c r="R2417" s="238">
        <v>270.48</v>
      </c>
      <c r="S2417" s="238">
        <v>13.25</v>
      </c>
      <c r="T2417" s="238">
        <v>0.0</v>
      </c>
      <c r="U2417" s="238">
        <v>0.0</v>
      </c>
      <c r="V2417" s="238">
        <v>0.0</v>
      </c>
      <c r="W2417" s="238">
        <v>0.0</v>
      </c>
      <c r="X2417" s="235" t="s">
        <v>628</v>
      </c>
      <c r="Z2417" s="244"/>
      <c r="AA2417" s="244"/>
      <c r="AB2417" s="244"/>
      <c r="AC2417" s="235" t="s">
        <v>795</v>
      </c>
      <c r="AD2417" s="235" t="s">
        <v>796</v>
      </c>
      <c r="AE2417" s="238">
        <v>110016.0</v>
      </c>
      <c r="AF2417" s="235" t="s">
        <v>631</v>
      </c>
      <c r="AG2417" s="244"/>
      <c r="AH2417" s="244"/>
      <c r="AI2417" s="245"/>
      <c r="AJ2417" s="245"/>
      <c r="AK2417" s="245"/>
      <c r="AL2417" s="245"/>
      <c r="AM2417" s="244"/>
      <c r="AN2417" s="244"/>
      <c r="AO2417" s="238">
        <v>-5.41</v>
      </c>
      <c r="AP2417" s="238">
        <v>0.0</v>
      </c>
      <c r="AQ2417" s="235" t="s">
        <v>632</v>
      </c>
      <c r="AR2417" s="243">
        <v>1.68E11</v>
      </c>
      <c r="AS2417" s="235" t="s">
        <v>18462</v>
      </c>
      <c r="AT2417" s="235" t="s">
        <v>14</v>
      </c>
      <c r="AU2417" s="235" t="s">
        <v>634</v>
      </c>
      <c r="AV2417" s="246" t="s">
        <v>635</v>
      </c>
      <c r="AW2417" s="242"/>
      <c r="AX2417" s="242"/>
      <c r="AY2417" s="231"/>
      <c r="AZ2417" s="231"/>
      <c r="BA2417" s="227"/>
      <c r="BB2417" s="231"/>
      <c r="BC2417" s="227"/>
      <c r="BD2417" s="227"/>
      <c r="BE2417" s="227"/>
      <c r="BF2417" s="227"/>
    </row>
    <row r="2418">
      <c r="A2418" s="235" t="s">
        <v>18538</v>
      </c>
      <c r="C2418" s="235" t="s">
        <v>18539</v>
      </c>
      <c r="D2418" s="235" t="s">
        <v>18540</v>
      </c>
      <c r="E2418" s="243">
        <v>6.53E13</v>
      </c>
      <c r="F2418" s="245"/>
      <c r="G2418" s="235" t="s">
        <v>18541</v>
      </c>
      <c r="H2418" s="235" t="s">
        <v>18542</v>
      </c>
      <c r="I2418" s="235" t="s">
        <v>18542</v>
      </c>
      <c r="J2418" s="235" t="s">
        <v>18543</v>
      </c>
      <c r="K2418" s="235" t="s">
        <v>18544</v>
      </c>
      <c r="N2418" s="235" t="s">
        <v>85</v>
      </c>
      <c r="O2418" s="235" t="s">
        <v>872</v>
      </c>
      <c r="P2418" s="238">
        <v>1.0</v>
      </c>
      <c r="Q2418" s="235" t="s">
        <v>627</v>
      </c>
      <c r="R2418" s="238">
        <v>270.48</v>
      </c>
      <c r="S2418" s="238">
        <v>13.52</v>
      </c>
      <c r="T2418" s="238">
        <v>0.0</v>
      </c>
      <c r="U2418" s="238">
        <v>0.0</v>
      </c>
      <c r="V2418" s="238">
        <v>0.0</v>
      </c>
      <c r="W2418" s="238">
        <v>0.0</v>
      </c>
      <c r="X2418" s="235" t="s">
        <v>628</v>
      </c>
      <c r="Z2418" s="244"/>
      <c r="AA2418" s="244"/>
      <c r="AB2418" s="244"/>
      <c r="AC2418" s="235" t="s">
        <v>1287</v>
      </c>
      <c r="AD2418" s="235" t="s">
        <v>630</v>
      </c>
      <c r="AE2418" s="238">
        <v>201014.0</v>
      </c>
      <c r="AF2418" s="235" t="s">
        <v>631</v>
      </c>
      <c r="AG2418" s="244"/>
      <c r="AH2418" s="244"/>
      <c r="AI2418" s="245"/>
      <c r="AJ2418" s="245"/>
      <c r="AK2418" s="245"/>
      <c r="AL2418" s="245"/>
      <c r="AM2418" s="244"/>
      <c r="AN2418" s="244"/>
      <c r="AO2418" s="238">
        <v>0.0</v>
      </c>
      <c r="AP2418" s="238">
        <v>0.0</v>
      </c>
      <c r="AQ2418" s="235" t="s">
        <v>632</v>
      </c>
      <c r="AR2418" s="243">
        <v>1.68E11</v>
      </c>
      <c r="AS2418" s="235" t="s">
        <v>17988</v>
      </c>
      <c r="AT2418" s="235" t="s">
        <v>533</v>
      </c>
      <c r="AU2418" s="235" t="s">
        <v>634</v>
      </c>
      <c r="AV2418" s="246" t="s">
        <v>635</v>
      </c>
      <c r="AW2418" s="242"/>
      <c r="AX2418" s="242"/>
      <c r="AY2418" s="231"/>
      <c r="AZ2418" s="231"/>
      <c r="BA2418" s="227"/>
      <c r="BB2418" s="231"/>
      <c r="BC2418" s="227"/>
      <c r="BD2418" s="227"/>
      <c r="BE2418" s="227"/>
      <c r="BF2418" s="227"/>
    </row>
    <row r="2419">
      <c r="A2419" s="235" t="s">
        <v>18545</v>
      </c>
      <c r="C2419" s="235" t="s">
        <v>18546</v>
      </c>
      <c r="D2419" s="235" t="s">
        <v>18547</v>
      </c>
      <c r="E2419" s="243">
        <v>6.53E13</v>
      </c>
      <c r="F2419" s="245"/>
      <c r="G2419" s="235" t="s">
        <v>18548</v>
      </c>
      <c r="H2419" s="235" t="s">
        <v>18549</v>
      </c>
      <c r="I2419" s="235" t="s">
        <v>18549</v>
      </c>
      <c r="J2419" s="235" t="s">
        <v>18550</v>
      </c>
      <c r="K2419" s="235" t="s">
        <v>18551</v>
      </c>
      <c r="N2419" s="235" t="s">
        <v>68</v>
      </c>
      <c r="O2419" s="235" t="s">
        <v>208</v>
      </c>
      <c r="P2419" s="238">
        <v>1.0</v>
      </c>
      <c r="Q2419" s="235" t="s">
        <v>627</v>
      </c>
      <c r="R2419" s="238">
        <v>261.9</v>
      </c>
      <c r="S2419" s="238">
        <v>13.1</v>
      </c>
      <c r="T2419" s="238">
        <v>0.0</v>
      </c>
      <c r="U2419" s="238">
        <v>0.0</v>
      </c>
      <c r="V2419" s="238">
        <v>0.0</v>
      </c>
      <c r="W2419" s="238">
        <v>0.0</v>
      </c>
      <c r="X2419" s="235" t="s">
        <v>628</v>
      </c>
      <c r="Z2419" s="244"/>
      <c r="AA2419" s="244"/>
      <c r="AB2419" s="244"/>
      <c r="AC2419" s="235" t="s">
        <v>822</v>
      </c>
      <c r="AD2419" s="235" t="s">
        <v>630</v>
      </c>
      <c r="AE2419" s="238">
        <v>201304.0</v>
      </c>
      <c r="AF2419" s="235" t="s">
        <v>631</v>
      </c>
      <c r="AG2419" s="244"/>
      <c r="AH2419" s="244"/>
      <c r="AI2419" s="245"/>
      <c r="AJ2419" s="245"/>
      <c r="AK2419" s="245"/>
      <c r="AL2419" s="245"/>
      <c r="AM2419" s="244"/>
      <c r="AN2419" s="244"/>
      <c r="AO2419" s="238">
        <v>0.0</v>
      </c>
      <c r="AP2419" s="238">
        <v>0.0</v>
      </c>
      <c r="AQ2419" s="235" t="s">
        <v>632</v>
      </c>
      <c r="AR2419" s="243">
        <v>1.68E11</v>
      </c>
      <c r="AS2419" s="235" t="s">
        <v>18462</v>
      </c>
      <c r="AT2419" s="235" t="s">
        <v>13</v>
      </c>
      <c r="AU2419" s="235" t="s">
        <v>634</v>
      </c>
      <c r="AV2419" s="246" t="s">
        <v>635</v>
      </c>
      <c r="AW2419" s="242"/>
      <c r="AX2419" s="242"/>
      <c r="AY2419" s="231"/>
      <c r="AZ2419" s="231"/>
      <c r="BA2419" s="227"/>
      <c r="BB2419" s="231"/>
      <c r="BC2419" s="227"/>
      <c r="BD2419" s="227"/>
      <c r="BE2419" s="227"/>
      <c r="BF2419" s="227"/>
    </row>
    <row r="2420">
      <c r="A2420" s="235" t="s">
        <v>18552</v>
      </c>
      <c r="C2420" s="235" t="s">
        <v>18553</v>
      </c>
      <c r="D2420" s="235" t="s">
        <v>18554</v>
      </c>
      <c r="E2420" s="243">
        <v>6.53E13</v>
      </c>
      <c r="F2420" s="245"/>
      <c r="G2420" s="235" t="s">
        <v>18555</v>
      </c>
      <c r="H2420" s="235" t="s">
        <v>18556</v>
      </c>
      <c r="I2420" s="235" t="s">
        <v>18556</v>
      </c>
      <c r="J2420" s="235" t="s">
        <v>18557</v>
      </c>
      <c r="K2420" s="235" t="s">
        <v>18558</v>
      </c>
      <c r="N2420" s="235" t="s">
        <v>962</v>
      </c>
      <c r="O2420" s="235" t="s">
        <v>963</v>
      </c>
      <c r="P2420" s="238">
        <v>1.0</v>
      </c>
      <c r="Q2420" s="235" t="s">
        <v>627</v>
      </c>
      <c r="R2420" s="238">
        <v>270.48</v>
      </c>
      <c r="S2420" s="238">
        <v>13.52</v>
      </c>
      <c r="T2420" s="238">
        <v>0.0</v>
      </c>
      <c r="U2420" s="238">
        <v>0.0</v>
      </c>
      <c r="V2420" s="238">
        <v>0.0</v>
      </c>
      <c r="W2420" s="238">
        <v>0.0</v>
      </c>
      <c r="X2420" s="235" t="s">
        <v>628</v>
      </c>
      <c r="Z2420" s="244"/>
      <c r="AA2420" s="244"/>
      <c r="AB2420" s="244"/>
      <c r="AC2420" s="235" t="s">
        <v>1320</v>
      </c>
      <c r="AD2420" s="235" t="s">
        <v>666</v>
      </c>
      <c r="AE2420" s="238">
        <v>600101.0</v>
      </c>
      <c r="AF2420" s="235" t="s">
        <v>631</v>
      </c>
      <c r="AG2420" s="244"/>
      <c r="AH2420" s="244"/>
      <c r="AI2420" s="245"/>
      <c r="AJ2420" s="245"/>
      <c r="AK2420" s="245"/>
      <c r="AL2420" s="245"/>
      <c r="AM2420" s="244"/>
      <c r="AN2420" s="244"/>
      <c r="AO2420" s="238">
        <v>0.0</v>
      </c>
      <c r="AP2420" s="238">
        <v>0.0</v>
      </c>
      <c r="AQ2420" s="235" t="s">
        <v>632</v>
      </c>
      <c r="AR2420" s="243">
        <v>1.68E11</v>
      </c>
      <c r="AS2420" s="235" t="s">
        <v>18462</v>
      </c>
      <c r="AT2420" s="235" t="s">
        <v>156</v>
      </c>
      <c r="AU2420" s="235" t="s">
        <v>634</v>
      </c>
      <c r="AV2420" s="246" t="s">
        <v>635</v>
      </c>
      <c r="AW2420" s="242"/>
      <c r="AX2420" s="242"/>
      <c r="AY2420" s="231"/>
      <c r="AZ2420" s="231"/>
      <c r="BA2420" s="227"/>
      <c r="BB2420" s="231"/>
      <c r="BC2420" s="227"/>
      <c r="BD2420" s="227"/>
      <c r="BE2420" s="227"/>
      <c r="BF2420" s="227"/>
    </row>
    <row r="2421">
      <c r="A2421" s="235" t="s">
        <v>18559</v>
      </c>
      <c r="C2421" s="235" t="s">
        <v>18560</v>
      </c>
      <c r="D2421" s="235" t="s">
        <v>18561</v>
      </c>
      <c r="E2421" s="243">
        <v>6.53E13</v>
      </c>
      <c r="F2421" s="245"/>
      <c r="G2421" s="235" t="s">
        <v>18562</v>
      </c>
      <c r="H2421" s="235" t="s">
        <v>18563</v>
      </c>
      <c r="I2421" s="235" t="s">
        <v>18563</v>
      </c>
      <c r="J2421" s="235" t="s">
        <v>18564</v>
      </c>
      <c r="K2421" s="235" t="s">
        <v>18565</v>
      </c>
      <c r="N2421" s="235" t="s">
        <v>144</v>
      </c>
      <c r="O2421" s="235" t="s">
        <v>232</v>
      </c>
      <c r="P2421" s="238">
        <v>1.0</v>
      </c>
      <c r="Q2421" s="235" t="s">
        <v>627</v>
      </c>
      <c r="R2421" s="238">
        <v>808.58</v>
      </c>
      <c r="S2421" s="238">
        <v>40.42</v>
      </c>
      <c r="T2421" s="238">
        <v>0.0</v>
      </c>
      <c r="U2421" s="238">
        <v>0.0</v>
      </c>
      <c r="V2421" s="238">
        <v>0.0</v>
      </c>
      <c r="W2421" s="238">
        <v>0.0</v>
      </c>
      <c r="X2421" s="235" t="s">
        <v>628</v>
      </c>
      <c r="Z2421" s="244"/>
      <c r="AA2421" s="244"/>
      <c r="AB2421" s="244"/>
      <c r="AC2421" s="235" t="s">
        <v>678</v>
      </c>
      <c r="AD2421" s="235" t="s">
        <v>679</v>
      </c>
      <c r="AE2421" s="238">
        <v>560102.0</v>
      </c>
      <c r="AF2421" s="235" t="s">
        <v>631</v>
      </c>
      <c r="AG2421" s="244"/>
      <c r="AH2421" s="244"/>
      <c r="AI2421" s="245"/>
      <c r="AJ2421" s="245"/>
      <c r="AK2421" s="245"/>
      <c r="AL2421" s="245"/>
      <c r="AM2421" s="244"/>
      <c r="AN2421" s="244"/>
      <c r="AO2421" s="238">
        <v>0.0</v>
      </c>
      <c r="AP2421" s="238">
        <v>0.0</v>
      </c>
      <c r="AQ2421" s="235" t="s">
        <v>632</v>
      </c>
      <c r="AR2421" s="243">
        <v>1.68E11</v>
      </c>
      <c r="AS2421" s="235" t="s">
        <v>18462</v>
      </c>
      <c r="AT2421" s="235" t="s">
        <v>9</v>
      </c>
      <c r="AU2421" s="235" t="s">
        <v>634</v>
      </c>
      <c r="AV2421" s="246" t="s">
        <v>635</v>
      </c>
      <c r="AW2421" s="242"/>
      <c r="AX2421" s="242"/>
      <c r="AY2421" s="231"/>
      <c r="AZ2421" s="231"/>
      <c r="BA2421" s="227"/>
      <c r="BB2421" s="231"/>
      <c r="BC2421" s="227"/>
      <c r="BD2421" s="227"/>
      <c r="BE2421" s="227"/>
      <c r="BF2421" s="227"/>
    </row>
    <row r="2422">
      <c r="A2422" s="235" t="s">
        <v>18566</v>
      </c>
      <c r="C2422" s="235" t="s">
        <v>18567</v>
      </c>
      <c r="D2422" s="235" t="s">
        <v>18568</v>
      </c>
      <c r="E2422" s="243">
        <v>6.53E13</v>
      </c>
      <c r="F2422" s="245"/>
      <c r="G2422" s="235" t="s">
        <v>18569</v>
      </c>
      <c r="H2422" s="235" t="s">
        <v>18570</v>
      </c>
      <c r="I2422" s="235" t="s">
        <v>18570</v>
      </c>
      <c r="J2422" s="235" t="s">
        <v>18571</v>
      </c>
      <c r="K2422" s="235" t="s">
        <v>18572</v>
      </c>
      <c r="N2422" s="235" t="s">
        <v>49</v>
      </c>
      <c r="O2422" s="235" t="s">
        <v>321</v>
      </c>
      <c r="P2422" s="238">
        <v>1.0</v>
      </c>
      <c r="Q2422" s="235" t="s">
        <v>627</v>
      </c>
      <c r="R2422" s="238">
        <v>235.24</v>
      </c>
      <c r="S2422" s="238">
        <v>11.76</v>
      </c>
      <c r="T2422" s="238">
        <v>38.1</v>
      </c>
      <c r="U2422" s="238">
        <v>1.9</v>
      </c>
      <c r="V2422" s="238">
        <v>0.0</v>
      </c>
      <c r="W2422" s="238">
        <v>0.0</v>
      </c>
      <c r="X2422" s="235" t="s">
        <v>628</v>
      </c>
      <c r="Z2422" s="244"/>
      <c r="AA2422" s="244"/>
      <c r="AB2422" s="244"/>
      <c r="AC2422" s="235" t="s">
        <v>697</v>
      </c>
      <c r="AD2422" s="235" t="s">
        <v>698</v>
      </c>
      <c r="AE2422" s="238">
        <v>500028.0</v>
      </c>
      <c r="AF2422" s="235" t="s">
        <v>631</v>
      </c>
      <c r="AG2422" s="244"/>
      <c r="AH2422" s="244"/>
      <c r="AI2422" s="245"/>
      <c r="AJ2422" s="245"/>
      <c r="AK2422" s="245"/>
      <c r="AL2422" s="245"/>
      <c r="AM2422" s="244"/>
      <c r="AN2422" s="244"/>
      <c r="AO2422" s="238">
        <v>0.0</v>
      </c>
      <c r="AP2422" s="238">
        <v>-38.1</v>
      </c>
      <c r="AQ2422" s="235" t="s">
        <v>632</v>
      </c>
      <c r="AR2422" s="243">
        <v>3.71E11</v>
      </c>
      <c r="AS2422" s="235" t="s">
        <v>15064</v>
      </c>
      <c r="AT2422" s="235" t="s">
        <v>16</v>
      </c>
      <c r="AU2422" s="235" t="s">
        <v>634</v>
      </c>
      <c r="AV2422" s="246" t="s">
        <v>635</v>
      </c>
      <c r="AW2422" s="242"/>
      <c r="AX2422" s="242"/>
      <c r="AY2422" s="231"/>
      <c r="AZ2422" s="231"/>
      <c r="BA2422" s="227"/>
      <c r="BB2422" s="231"/>
      <c r="BC2422" s="227"/>
      <c r="BD2422" s="227"/>
      <c r="BE2422" s="227"/>
      <c r="BF2422" s="227"/>
    </row>
    <row r="2423">
      <c r="A2423" s="235" t="s">
        <v>18573</v>
      </c>
      <c r="C2423" s="235" t="s">
        <v>18574</v>
      </c>
      <c r="D2423" s="235" t="s">
        <v>18575</v>
      </c>
      <c r="E2423" s="243">
        <v>6.53E13</v>
      </c>
      <c r="F2423" s="245"/>
      <c r="G2423" s="235" t="s">
        <v>18576</v>
      </c>
      <c r="H2423" s="235" t="s">
        <v>18577</v>
      </c>
      <c r="I2423" s="235" t="s">
        <v>18577</v>
      </c>
      <c r="J2423" s="235" t="s">
        <v>18578</v>
      </c>
      <c r="K2423" s="235" t="s">
        <v>18579</v>
      </c>
      <c r="N2423" s="235" t="s">
        <v>989</v>
      </c>
      <c r="O2423" s="235" t="s">
        <v>990</v>
      </c>
      <c r="P2423" s="238">
        <v>1.0</v>
      </c>
      <c r="Q2423" s="235" t="s">
        <v>627</v>
      </c>
      <c r="R2423" s="238">
        <v>256.19</v>
      </c>
      <c r="S2423" s="238">
        <v>12.81</v>
      </c>
      <c r="T2423" s="238">
        <v>0.0</v>
      </c>
      <c r="U2423" s="238">
        <v>0.0</v>
      </c>
      <c r="V2423" s="238">
        <v>0.0</v>
      </c>
      <c r="W2423" s="238">
        <v>0.0</v>
      </c>
      <c r="X2423" s="235" t="s">
        <v>628</v>
      </c>
      <c r="Z2423" s="244"/>
      <c r="AA2423" s="244"/>
      <c r="AB2423" s="244"/>
      <c r="AC2423" s="235" t="s">
        <v>795</v>
      </c>
      <c r="AD2423" s="235" t="s">
        <v>796</v>
      </c>
      <c r="AE2423" s="238">
        <v>110006.0</v>
      </c>
      <c r="AF2423" s="235" t="s">
        <v>631</v>
      </c>
      <c r="AG2423" s="244"/>
      <c r="AH2423" s="244"/>
      <c r="AI2423" s="245"/>
      <c r="AJ2423" s="245"/>
      <c r="AK2423" s="245"/>
      <c r="AL2423" s="245"/>
      <c r="AM2423" s="244"/>
      <c r="AN2423" s="244"/>
      <c r="AO2423" s="238">
        <v>0.0</v>
      </c>
      <c r="AP2423" s="238">
        <v>0.0</v>
      </c>
      <c r="AQ2423" s="235" t="s">
        <v>632</v>
      </c>
      <c r="AR2423" s="243">
        <v>3.71E11</v>
      </c>
      <c r="AS2423" s="235" t="s">
        <v>17988</v>
      </c>
      <c r="AT2423" s="235" t="s">
        <v>14</v>
      </c>
      <c r="AU2423" s="235" t="s">
        <v>634</v>
      </c>
      <c r="AV2423" s="246" t="s">
        <v>635</v>
      </c>
      <c r="AW2423" s="242"/>
      <c r="AX2423" s="242"/>
      <c r="AY2423" s="231"/>
      <c r="AZ2423" s="231"/>
      <c r="BA2423" s="227"/>
      <c r="BB2423" s="231"/>
      <c r="BC2423" s="227"/>
      <c r="BD2423" s="227"/>
      <c r="BE2423" s="227"/>
      <c r="BF2423" s="227"/>
    </row>
    <row r="2424">
      <c r="A2424" s="235" t="s">
        <v>18580</v>
      </c>
      <c r="C2424" s="235" t="s">
        <v>18581</v>
      </c>
      <c r="D2424" s="235" t="s">
        <v>18582</v>
      </c>
      <c r="E2424" s="243">
        <v>6.53E13</v>
      </c>
      <c r="F2424" s="245"/>
      <c r="G2424" s="235" t="s">
        <v>18583</v>
      </c>
      <c r="H2424" s="235" t="s">
        <v>18584</v>
      </c>
      <c r="I2424" s="235" t="s">
        <v>18584</v>
      </c>
      <c r="J2424" s="235" t="s">
        <v>18585</v>
      </c>
      <c r="K2424" s="235" t="s">
        <v>18586</v>
      </c>
      <c r="N2424" s="235" t="s">
        <v>51</v>
      </c>
      <c r="O2424" s="235" t="s">
        <v>273</v>
      </c>
      <c r="P2424" s="238">
        <v>1.0</v>
      </c>
      <c r="Q2424" s="235" t="s">
        <v>627</v>
      </c>
      <c r="R2424" s="238">
        <v>270.48</v>
      </c>
      <c r="S2424" s="238">
        <v>13.25</v>
      </c>
      <c r="T2424" s="238">
        <v>0.0</v>
      </c>
      <c r="U2424" s="238">
        <v>0.0</v>
      </c>
      <c r="V2424" s="238">
        <v>0.0</v>
      </c>
      <c r="W2424" s="238">
        <v>0.0</v>
      </c>
      <c r="X2424" s="235" t="s">
        <v>628</v>
      </c>
      <c r="Z2424" s="244"/>
      <c r="AA2424" s="244"/>
      <c r="AB2424" s="244"/>
      <c r="AC2424" s="235" t="s">
        <v>687</v>
      </c>
      <c r="AD2424" s="235" t="s">
        <v>666</v>
      </c>
      <c r="AE2424" s="238">
        <v>600053.0</v>
      </c>
      <c r="AF2424" s="235" t="s">
        <v>631</v>
      </c>
      <c r="AG2424" s="244"/>
      <c r="AH2424" s="244"/>
      <c r="AI2424" s="245"/>
      <c r="AJ2424" s="245"/>
      <c r="AK2424" s="245"/>
      <c r="AL2424" s="245"/>
      <c r="AM2424" s="244"/>
      <c r="AN2424" s="244"/>
      <c r="AO2424" s="238">
        <v>-5.41</v>
      </c>
      <c r="AP2424" s="238">
        <v>0.0</v>
      </c>
      <c r="AQ2424" s="235" t="s">
        <v>632</v>
      </c>
      <c r="AR2424" s="243">
        <v>1.68E11</v>
      </c>
      <c r="AS2424" s="235" t="s">
        <v>18462</v>
      </c>
      <c r="AT2424" s="235" t="s">
        <v>156</v>
      </c>
      <c r="AU2424" s="235" t="s">
        <v>634</v>
      </c>
      <c r="AV2424" s="246" t="s">
        <v>635</v>
      </c>
      <c r="AW2424" s="242"/>
      <c r="AX2424" s="242"/>
      <c r="AY2424" s="231"/>
      <c r="AZ2424" s="231"/>
      <c r="BA2424" s="227"/>
      <c r="BB2424" s="231"/>
      <c r="BC2424" s="227"/>
      <c r="BD2424" s="227"/>
      <c r="BE2424" s="227"/>
      <c r="BF2424" s="227"/>
    </row>
    <row r="2425">
      <c r="A2425" s="235" t="s">
        <v>18587</v>
      </c>
      <c r="C2425" s="235" t="s">
        <v>18588</v>
      </c>
      <c r="D2425" s="235" t="s">
        <v>18589</v>
      </c>
      <c r="E2425" s="243">
        <v>6.53E13</v>
      </c>
      <c r="F2425" s="245"/>
      <c r="G2425" s="235" t="s">
        <v>18590</v>
      </c>
      <c r="H2425" s="235" t="s">
        <v>18591</v>
      </c>
      <c r="I2425" s="235" t="s">
        <v>18591</v>
      </c>
      <c r="J2425" s="235" t="s">
        <v>18592</v>
      </c>
      <c r="K2425" s="235" t="s">
        <v>18593</v>
      </c>
      <c r="N2425" s="235" t="s">
        <v>130</v>
      </c>
      <c r="O2425" s="235" t="s">
        <v>707</v>
      </c>
      <c r="P2425" s="238">
        <v>1.0</v>
      </c>
      <c r="Q2425" s="235" t="s">
        <v>627</v>
      </c>
      <c r="R2425" s="238">
        <v>270.48</v>
      </c>
      <c r="S2425" s="238">
        <v>13.52</v>
      </c>
      <c r="T2425" s="238">
        <v>0.0</v>
      </c>
      <c r="U2425" s="238">
        <v>0.0</v>
      </c>
      <c r="V2425" s="238">
        <v>0.0</v>
      </c>
      <c r="W2425" s="238">
        <v>0.0</v>
      </c>
      <c r="X2425" s="235" t="s">
        <v>628</v>
      </c>
      <c r="Z2425" s="244"/>
      <c r="AA2425" s="244"/>
      <c r="AB2425" s="244"/>
      <c r="AC2425" s="235" t="s">
        <v>795</v>
      </c>
      <c r="AD2425" s="235" t="s">
        <v>796</v>
      </c>
      <c r="AE2425" s="238">
        <v>110001.0</v>
      </c>
      <c r="AF2425" s="235" t="s">
        <v>631</v>
      </c>
      <c r="AG2425" s="244"/>
      <c r="AH2425" s="244"/>
      <c r="AI2425" s="245"/>
      <c r="AJ2425" s="245"/>
      <c r="AK2425" s="245"/>
      <c r="AL2425" s="245"/>
      <c r="AM2425" s="244"/>
      <c r="AN2425" s="244"/>
      <c r="AO2425" s="238">
        <v>0.0</v>
      </c>
      <c r="AP2425" s="238">
        <v>0.0</v>
      </c>
      <c r="AQ2425" s="235" t="s">
        <v>632</v>
      </c>
      <c r="AR2425" s="243">
        <v>3.71E11</v>
      </c>
      <c r="AS2425" s="235" t="s">
        <v>17988</v>
      </c>
      <c r="AT2425" s="235" t="s">
        <v>14</v>
      </c>
      <c r="AU2425" s="235" t="s">
        <v>634</v>
      </c>
      <c r="AV2425" s="246" t="s">
        <v>635</v>
      </c>
      <c r="AW2425" s="242"/>
      <c r="AX2425" s="242"/>
      <c r="AY2425" s="231"/>
      <c r="AZ2425" s="231"/>
      <c r="BA2425" s="227"/>
      <c r="BB2425" s="231"/>
      <c r="BC2425" s="227"/>
      <c r="BD2425" s="227"/>
      <c r="BE2425" s="227"/>
      <c r="BF2425" s="227"/>
    </row>
    <row r="2426">
      <c r="A2426" s="235" t="s">
        <v>18594</v>
      </c>
      <c r="C2426" s="235" t="s">
        <v>18595</v>
      </c>
      <c r="D2426" s="235" t="s">
        <v>18596</v>
      </c>
      <c r="E2426" s="243">
        <v>6.53E13</v>
      </c>
      <c r="F2426" s="245"/>
      <c r="G2426" s="235" t="s">
        <v>18597</v>
      </c>
      <c r="H2426" s="235" t="s">
        <v>18598</v>
      </c>
      <c r="I2426" s="235" t="s">
        <v>18598</v>
      </c>
      <c r="J2426" s="235" t="s">
        <v>18599</v>
      </c>
      <c r="K2426" s="235" t="s">
        <v>18600</v>
      </c>
      <c r="N2426" s="235" t="s">
        <v>154</v>
      </c>
      <c r="O2426" s="235" t="s">
        <v>766</v>
      </c>
      <c r="P2426" s="238">
        <v>1.0</v>
      </c>
      <c r="Q2426" s="235" t="s">
        <v>627</v>
      </c>
      <c r="R2426" s="238">
        <v>500.95</v>
      </c>
      <c r="S2426" s="238">
        <v>25.05</v>
      </c>
      <c r="T2426" s="238">
        <v>38.1</v>
      </c>
      <c r="U2426" s="238">
        <v>1.9</v>
      </c>
      <c r="V2426" s="238">
        <v>0.0</v>
      </c>
      <c r="W2426" s="238">
        <v>0.0</v>
      </c>
      <c r="X2426" s="235" t="s">
        <v>628</v>
      </c>
      <c r="Z2426" s="244"/>
      <c r="AA2426" s="244"/>
      <c r="AB2426" s="244"/>
      <c r="AC2426" s="235" t="s">
        <v>16432</v>
      </c>
      <c r="AD2426" s="235" t="s">
        <v>679</v>
      </c>
      <c r="AE2426" s="238">
        <v>562110.0</v>
      </c>
      <c r="AF2426" s="235" t="s">
        <v>631</v>
      </c>
      <c r="AG2426" s="244"/>
      <c r="AH2426" s="244"/>
      <c r="AI2426" s="245"/>
      <c r="AJ2426" s="245"/>
      <c r="AK2426" s="245"/>
      <c r="AL2426" s="245"/>
      <c r="AM2426" s="244"/>
      <c r="AN2426" s="244"/>
      <c r="AO2426" s="238">
        <v>0.0</v>
      </c>
      <c r="AP2426" s="238">
        <v>-38.1</v>
      </c>
      <c r="AQ2426" s="235" t="s">
        <v>632</v>
      </c>
      <c r="AR2426" s="243">
        <v>3.71E11</v>
      </c>
      <c r="AS2426" s="235" t="s">
        <v>13822</v>
      </c>
      <c r="AT2426" s="235" t="s">
        <v>16</v>
      </c>
      <c r="AU2426" s="235" t="s">
        <v>634</v>
      </c>
      <c r="AV2426" s="246" t="s">
        <v>635</v>
      </c>
      <c r="AW2426" s="242"/>
      <c r="AX2426" s="242"/>
      <c r="AY2426" s="231"/>
      <c r="AZ2426" s="231"/>
      <c r="BA2426" s="227"/>
      <c r="BB2426" s="231"/>
      <c r="BC2426" s="227"/>
      <c r="BD2426" s="227"/>
      <c r="BE2426" s="227"/>
      <c r="BF2426" s="227"/>
    </row>
    <row r="2427">
      <c r="A2427" s="235" t="s">
        <v>18601</v>
      </c>
      <c r="C2427" s="235" t="s">
        <v>18602</v>
      </c>
      <c r="D2427" s="235" t="s">
        <v>18603</v>
      </c>
      <c r="E2427" s="243">
        <v>6.53E13</v>
      </c>
      <c r="F2427" s="245"/>
      <c r="G2427" s="235" t="s">
        <v>18604</v>
      </c>
      <c r="H2427" s="235" t="s">
        <v>18605</v>
      </c>
      <c r="I2427" s="235" t="s">
        <v>18605</v>
      </c>
      <c r="J2427" s="235" t="s">
        <v>18606</v>
      </c>
      <c r="K2427" s="235" t="s">
        <v>18607</v>
      </c>
      <c r="N2427" s="235" t="s">
        <v>54</v>
      </c>
      <c r="O2427" s="235" t="s">
        <v>294</v>
      </c>
      <c r="P2427" s="238">
        <v>1.0</v>
      </c>
      <c r="Q2427" s="235" t="s">
        <v>627</v>
      </c>
      <c r="R2427" s="238">
        <v>261.9</v>
      </c>
      <c r="S2427" s="238">
        <v>13.1</v>
      </c>
      <c r="T2427" s="238">
        <v>0.0</v>
      </c>
      <c r="U2427" s="238">
        <v>0.0</v>
      </c>
      <c r="V2427" s="238">
        <v>0.0</v>
      </c>
      <c r="W2427" s="238">
        <v>0.0</v>
      </c>
      <c r="X2427" s="235" t="s">
        <v>628</v>
      </c>
      <c r="Z2427" s="244"/>
      <c r="AA2427" s="244"/>
      <c r="AB2427" s="244"/>
      <c r="AC2427" s="235" t="s">
        <v>891</v>
      </c>
      <c r="AD2427" s="235" t="s">
        <v>891</v>
      </c>
      <c r="AE2427" s="238">
        <v>605007.0</v>
      </c>
      <c r="AF2427" s="235" t="s">
        <v>631</v>
      </c>
      <c r="AG2427" s="244"/>
      <c r="AH2427" s="244"/>
      <c r="AI2427" s="245"/>
      <c r="AJ2427" s="245"/>
      <c r="AK2427" s="245"/>
      <c r="AL2427" s="245"/>
      <c r="AM2427" s="244"/>
      <c r="AN2427" s="244"/>
      <c r="AO2427" s="238">
        <v>0.0</v>
      </c>
      <c r="AP2427" s="238">
        <v>0.0</v>
      </c>
      <c r="AQ2427" s="235" t="s">
        <v>632</v>
      </c>
      <c r="AR2427" s="243">
        <v>1.68E11</v>
      </c>
      <c r="AS2427" s="235" t="s">
        <v>17988</v>
      </c>
      <c r="AT2427" s="235" t="s">
        <v>156</v>
      </c>
      <c r="AU2427" s="235" t="s">
        <v>634</v>
      </c>
      <c r="AV2427" s="246" t="s">
        <v>635</v>
      </c>
      <c r="AW2427" s="242"/>
      <c r="AX2427" s="242"/>
      <c r="AY2427" s="231"/>
      <c r="AZ2427" s="231"/>
      <c r="BA2427" s="227"/>
      <c r="BB2427" s="231"/>
      <c r="BC2427" s="227"/>
      <c r="BD2427" s="227"/>
      <c r="BE2427" s="227"/>
      <c r="BF2427" s="227"/>
    </row>
    <row r="2428">
      <c r="A2428" s="235" t="s">
        <v>18608</v>
      </c>
      <c r="C2428" s="235" t="s">
        <v>18609</v>
      </c>
      <c r="D2428" s="235" t="s">
        <v>18610</v>
      </c>
      <c r="E2428" s="243">
        <v>6.53E13</v>
      </c>
      <c r="F2428" s="245"/>
      <c r="G2428" s="235" t="s">
        <v>18611</v>
      </c>
      <c r="H2428" s="235" t="s">
        <v>18612</v>
      </c>
      <c r="I2428" s="235" t="s">
        <v>18613</v>
      </c>
      <c r="J2428" s="235" t="s">
        <v>18614</v>
      </c>
      <c r="K2428" s="235" t="s">
        <v>18615</v>
      </c>
      <c r="N2428" s="235" t="s">
        <v>85</v>
      </c>
      <c r="O2428" s="235" t="s">
        <v>872</v>
      </c>
      <c r="P2428" s="238">
        <v>1.0</v>
      </c>
      <c r="Q2428" s="235" t="s">
        <v>627</v>
      </c>
      <c r="R2428" s="238">
        <v>270.48</v>
      </c>
      <c r="S2428" s="238">
        <v>13.25</v>
      </c>
      <c r="T2428" s="238">
        <v>0.0</v>
      </c>
      <c r="U2428" s="238">
        <v>0.0</v>
      </c>
      <c r="V2428" s="238">
        <v>0.0</v>
      </c>
      <c r="W2428" s="238">
        <v>0.0</v>
      </c>
      <c r="X2428" s="235" t="s">
        <v>628</v>
      </c>
      <c r="Z2428" s="244"/>
      <c r="AA2428" s="244"/>
      <c r="AB2428" s="244"/>
      <c r="AC2428" s="235" t="s">
        <v>18616</v>
      </c>
      <c r="AD2428" s="235" t="s">
        <v>845</v>
      </c>
      <c r="AE2428" s="238">
        <v>401404.0</v>
      </c>
      <c r="AF2428" s="235" t="s">
        <v>631</v>
      </c>
      <c r="AG2428" s="244"/>
      <c r="AH2428" s="244"/>
      <c r="AI2428" s="245"/>
      <c r="AJ2428" s="245"/>
      <c r="AK2428" s="245"/>
      <c r="AL2428" s="245"/>
      <c r="AM2428" s="244"/>
      <c r="AN2428" s="244"/>
      <c r="AO2428" s="238">
        <v>-5.41</v>
      </c>
      <c r="AP2428" s="238">
        <v>0.0</v>
      </c>
      <c r="AQ2428" s="235" t="s">
        <v>632</v>
      </c>
      <c r="AR2428" s="243">
        <v>3.71E11</v>
      </c>
      <c r="AS2428" s="235" t="s">
        <v>15064</v>
      </c>
      <c r="AT2428" s="235" t="s">
        <v>17</v>
      </c>
      <c r="AU2428" s="235" t="s">
        <v>634</v>
      </c>
      <c r="AV2428" s="246" t="s">
        <v>635</v>
      </c>
      <c r="AW2428" s="242"/>
      <c r="AX2428" s="242"/>
      <c r="AY2428" s="231"/>
      <c r="AZ2428" s="231"/>
      <c r="BA2428" s="227"/>
      <c r="BB2428" s="231"/>
      <c r="BC2428" s="227"/>
      <c r="BD2428" s="227"/>
      <c r="BE2428" s="227"/>
      <c r="BF2428" s="227"/>
    </row>
    <row r="2429">
      <c r="A2429" s="235" t="s">
        <v>18617</v>
      </c>
      <c r="C2429" s="235" t="s">
        <v>18618</v>
      </c>
      <c r="D2429" s="235" t="s">
        <v>18619</v>
      </c>
      <c r="E2429" s="243">
        <v>6.53E13</v>
      </c>
      <c r="F2429" s="245"/>
      <c r="G2429" s="235" t="s">
        <v>18620</v>
      </c>
      <c r="H2429" s="235" t="s">
        <v>18621</v>
      </c>
      <c r="I2429" s="235" t="s">
        <v>18621</v>
      </c>
      <c r="J2429" s="235" t="s">
        <v>18622</v>
      </c>
      <c r="K2429" s="235" t="s">
        <v>18623</v>
      </c>
      <c r="N2429" s="235" t="s">
        <v>4</v>
      </c>
      <c r="O2429" s="235" t="s">
        <v>1791</v>
      </c>
      <c r="P2429" s="238">
        <v>1.0</v>
      </c>
      <c r="Q2429" s="235" t="s">
        <v>627</v>
      </c>
      <c r="R2429" s="238">
        <v>284.76</v>
      </c>
      <c r="S2429" s="238">
        <v>13.96</v>
      </c>
      <c r="T2429" s="238">
        <v>0.0</v>
      </c>
      <c r="U2429" s="238">
        <v>0.0</v>
      </c>
      <c r="V2429" s="238">
        <v>0.0</v>
      </c>
      <c r="W2429" s="238">
        <v>0.0</v>
      </c>
      <c r="X2429" s="235" t="s">
        <v>628</v>
      </c>
      <c r="Z2429" s="244"/>
      <c r="AA2429" s="244"/>
      <c r="AB2429" s="244"/>
      <c r="AC2429" s="235" t="s">
        <v>678</v>
      </c>
      <c r="AD2429" s="235" t="s">
        <v>679</v>
      </c>
      <c r="AE2429" s="238">
        <v>560092.0</v>
      </c>
      <c r="AF2429" s="235" t="s">
        <v>631</v>
      </c>
      <c r="AG2429" s="244"/>
      <c r="AH2429" s="244"/>
      <c r="AI2429" s="245"/>
      <c r="AJ2429" s="245"/>
      <c r="AK2429" s="245"/>
      <c r="AL2429" s="245"/>
      <c r="AM2429" s="244"/>
      <c r="AN2429" s="244"/>
      <c r="AO2429" s="238">
        <v>-5.7</v>
      </c>
      <c r="AP2429" s="238">
        <v>0.0</v>
      </c>
      <c r="AQ2429" s="235" t="s">
        <v>632</v>
      </c>
      <c r="AR2429" s="243">
        <v>1.68E11</v>
      </c>
      <c r="AS2429" s="235" t="s">
        <v>18462</v>
      </c>
      <c r="AT2429" s="235" t="s">
        <v>9</v>
      </c>
      <c r="AU2429" s="235" t="s">
        <v>634</v>
      </c>
      <c r="AV2429" s="246" t="s">
        <v>635</v>
      </c>
      <c r="AW2429" s="242"/>
      <c r="AX2429" s="242"/>
      <c r="AY2429" s="231"/>
      <c r="AZ2429" s="231"/>
      <c r="BA2429" s="227"/>
      <c r="BB2429" s="231"/>
      <c r="BC2429" s="227"/>
      <c r="BD2429" s="227"/>
      <c r="BE2429" s="227"/>
      <c r="BF2429" s="227"/>
    </row>
    <row r="2430">
      <c r="A2430" s="235" t="s">
        <v>18624</v>
      </c>
      <c r="C2430" s="235" t="s">
        <v>18625</v>
      </c>
      <c r="D2430" s="235" t="s">
        <v>18626</v>
      </c>
      <c r="E2430" s="243">
        <v>6.53E13</v>
      </c>
      <c r="F2430" s="245"/>
      <c r="G2430" s="235" t="s">
        <v>18627</v>
      </c>
      <c r="H2430" s="235" t="s">
        <v>18628</v>
      </c>
      <c r="I2430" s="235" t="s">
        <v>18628</v>
      </c>
      <c r="J2430" s="235" t="s">
        <v>18629</v>
      </c>
      <c r="K2430" s="235" t="s">
        <v>18630</v>
      </c>
      <c r="N2430" s="235" t="s">
        <v>53</v>
      </c>
      <c r="O2430" s="235" t="s">
        <v>512</v>
      </c>
      <c r="P2430" s="238">
        <v>1.0</v>
      </c>
      <c r="Q2430" s="235" t="s">
        <v>627</v>
      </c>
      <c r="R2430" s="238">
        <v>270.48</v>
      </c>
      <c r="S2430" s="238">
        <v>13.52</v>
      </c>
      <c r="T2430" s="238">
        <v>38.1</v>
      </c>
      <c r="U2430" s="238">
        <v>1.9</v>
      </c>
      <c r="V2430" s="238">
        <v>0.0</v>
      </c>
      <c r="W2430" s="238">
        <v>0.0</v>
      </c>
      <c r="X2430" s="235" t="s">
        <v>628</v>
      </c>
      <c r="Z2430" s="244"/>
      <c r="AA2430" s="244"/>
      <c r="AB2430" s="244"/>
      <c r="AC2430" s="235" t="s">
        <v>3406</v>
      </c>
      <c r="AD2430" s="235" t="s">
        <v>666</v>
      </c>
      <c r="AE2430" s="238">
        <v>614001.0</v>
      </c>
      <c r="AF2430" s="235" t="s">
        <v>631</v>
      </c>
      <c r="AG2430" s="244"/>
      <c r="AH2430" s="244"/>
      <c r="AI2430" s="245"/>
      <c r="AJ2430" s="245"/>
      <c r="AK2430" s="245"/>
      <c r="AL2430" s="245"/>
      <c r="AM2430" s="244"/>
      <c r="AN2430" s="244"/>
      <c r="AO2430" s="238">
        <v>0.0</v>
      </c>
      <c r="AP2430" s="238">
        <v>-38.1</v>
      </c>
      <c r="AQ2430" s="235" t="s">
        <v>632</v>
      </c>
      <c r="AR2430" s="243">
        <v>3.71E11</v>
      </c>
      <c r="AS2430" s="235" t="s">
        <v>15064</v>
      </c>
      <c r="AT2430" s="235" t="s">
        <v>11</v>
      </c>
      <c r="AU2430" s="235" t="s">
        <v>634</v>
      </c>
      <c r="AV2430" s="246" t="s">
        <v>635</v>
      </c>
      <c r="AW2430" s="242"/>
      <c r="AX2430" s="242"/>
      <c r="AY2430" s="231"/>
      <c r="AZ2430" s="231"/>
      <c r="BA2430" s="227"/>
      <c r="BB2430" s="231"/>
      <c r="BC2430" s="227"/>
      <c r="BD2430" s="227"/>
      <c r="BE2430" s="227"/>
      <c r="BF2430" s="227"/>
    </row>
    <row r="2431">
      <c r="A2431" s="235" t="s">
        <v>18631</v>
      </c>
      <c r="C2431" s="235" t="s">
        <v>18632</v>
      </c>
      <c r="D2431" s="235" t="s">
        <v>18633</v>
      </c>
      <c r="E2431" s="243">
        <v>6.53E13</v>
      </c>
      <c r="F2431" s="245"/>
      <c r="G2431" s="235" t="s">
        <v>18634</v>
      </c>
      <c r="H2431" s="235" t="s">
        <v>18635</v>
      </c>
      <c r="I2431" s="235" t="s">
        <v>18636</v>
      </c>
      <c r="J2431" s="235" t="s">
        <v>18637</v>
      </c>
      <c r="K2431" s="235" t="s">
        <v>18638</v>
      </c>
      <c r="N2431" s="235" t="s">
        <v>85</v>
      </c>
      <c r="O2431" s="235" t="s">
        <v>872</v>
      </c>
      <c r="P2431" s="238">
        <v>1.0</v>
      </c>
      <c r="Q2431" s="235" t="s">
        <v>627</v>
      </c>
      <c r="R2431" s="238">
        <v>270.48</v>
      </c>
      <c r="S2431" s="238">
        <v>13.25</v>
      </c>
      <c r="T2431" s="238">
        <v>0.0</v>
      </c>
      <c r="U2431" s="238">
        <v>0.0</v>
      </c>
      <c r="V2431" s="238">
        <v>0.0</v>
      </c>
      <c r="W2431" s="238">
        <v>0.0</v>
      </c>
      <c r="X2431" s="235" t="s">
        <v>628</v>
      </c>
      <c r="Z2431" s="244"/>
      <c r="AA2431" s="244"/>
      <c r="AB2431" s="244"/>
      <c r="AC2431" s="235" t="s">
        <v>844</v>
      </c>
      <c r="AD2431" s="235" t="s">
        <v>845</v>
      </c>
      <c r="AE2431" s="238">
        <v>411045.0</v>
      </c>
      <c r="AF2431" s="235" t="s">
        <v>631</v>
      </c>
      <c r="AG2431" s="244"/>
      <c r="AH2431" s="244"/>
      <c r="AI2431" s="245"/>
      <c r="AJ2431" s="245"/>
      <c r="AK2431" s="245"/>
      <c r="AL2431" s="245"/>
      <c r="AM2431" s="244"/>
      <c r="AN2431" s="244"/>
      <c r="AO2431" s="238">
        <v>-5.41</v>
      </c>
      <c r="AP2431" s="238">
        <v>0.0</v>
      </c>
      <c r="AQ2431" s="235" t="s">
        <v>632</v>
      </c>
      <c r="AR2431" s="243">
        <v>2.02E11</v>
      </c>
      <c r="AS2431" s="235" t="s">
        <v>16626</v>
      </c>
      <c r="AT2431" s="235" t="s">
        <v>11</v>
      </c>
      <c r="AU2431" s="235" t="s">
        <v>634</v>
      </c>
      <c r="AV2431" s="246" t="s">
        <v>635</v>
      </c>
      <c r="AW2431" s="242"/>
      <c r="AX2431" s="242"/>
      <c r="AY2431" s="231"/>
      <c r="AZ2431" s="231"/>
      <c r="BA2431" s="227"/>
      <c r="BB2431" s="231"/>
      <c r="BC2431" s="227"/>
      <c r="BD2431" s="227"/>
      <c r="BE2431" s="227"/>
      <c r="BF2431" s="227"/>
    </row>
    <row r="2432">
      <c r="A2432" s="235" t="s">
        <v>18639</v>
      </c>
      <c r="C2432" s="235" t="s">
        <v>18640</v>
      </c>
      <c r="D2432" s="235" t="s">
        <v>18641</v>
      </c>
      <c r="E2432" s="243">
        <v>6.53E13</v>
      </c>
      <c r="F2432" s="245"/>
      <c r="G2432" s="235" t="s">
        <v>18642</v>
      </c>
      <c r="H2432" s="235" t="s">
        <v>18643</v>
      </c>
      <c r="I2432" s="235" t="s">
        <v>18643</v>
      </c>
      <c r="J2432" s="235" t="s">
        <v>18644</v>
      </c>
      <c r="K2432" s="235" t="s">
        <v>18645</v>
      </c>
      <c r="N2432" s="235" t="s">
        <v>51</v>
      </c>
      <c r="O2432" s="235" t="s">
        <v>273</v>
      </c>
      <c r="P2432" s="238">
        <v>1.0</v>
      </c>
      <c r="Q2432" s="235" t="s">
        <v>627</v>
      </c>
      <c r="R2432" s="238">
        <v>270.48</v>
      </c>
      <c r="S2432" s="238">
        <v>13.25</v>
      </c>
      <c r="T2432" s="238">
        <v>38.1</v>
      </c>
      <c r="U2432" s="238">
        <v>1.9</v>
      </c>
      <c r="V2432" s="238">
        <v>0.0</v>
      </c>
      <c r="W2432" s="238">
        <v>0.0</v>
      </c>
      <c r="X2432" s="235" t="s">
        <v>628</v>
      </c>
      <c r="Z2432" s="244"/>
      <c r="AA2432" s="244"/>
      <c r="AB2432" s="244"/>
      <c r="AC2432" s="235" t="s">
        <v>687</v>
      </c>
      <c r="AD2432" s="235" t="s">
        <v>666</v>
      </c>
      <c r="AE2432" s="238">
        <v>600102.0</v>
      </c>
      <c r="AF2432" s="235" t="s">
        <v>631</v>
      </c>
      <c r="AG2432" s="244"/>
      <c r="AH2432" s="244"/>
      <c r="AI2432" s="245"/>
      <c r="AJ2432" s="245"/>
      <c r="AK2432" s="245"/>
      <c r="AL2432" s="245"/>
      <c r="AM2432" s="244"/>
      <c r="AN2432" s="244"/>
      <c r="AO2432" s="238">
        <v>-5.41</v>
      </c>
      <c r="AP2432" s="238">
        <v>-38.1</v>
      </c>
      <c r="AQ2432" s="235" t="s">
        <v>632</v>
      </c>
      <c r="AR2432" s="243">
        <v>3.71E11</v>
      </c>
      <c r="AS2432" s="235" t="s">
        <v>17988</v>
      </c>
      <c r="AT2432" s="235" t="s">
        <v>156</v>
      </c>
      <c r="AU2432" s="235" t="s">
        <v>634</v>
      </c>
      <c r="AV2432" s="246" t="s">
        <v>635</v>
      </c>
      <c r="AW2432" s="242"/>
      <c r="AX2432" s="242"/>
      <c r="AY2432" s="231"/>
      <c r="AZ2432" s="231"/>
      <c r="BA2432" s="227"/>
      <c r="BB2432" s="231"/>
      <c r="BC2432" s="227"/>
      <c r="BD2432" s="227"/>
      <c r="BE2432" s="227"/>
      <c r="BF2432" s="227"/>
    </row>
    <row r="2433">
      <c r="A2433" s="235" t="s">
        <v>18646</v>
      </c>
      <c r="C2433" s="235" t="s">
        <v>18647</v>
      </c>
      <c r="D2433" s="235" t="s">
        <v>18648</v>
      </c>
      <c r="E2433" s="243">
        <v>6.53E13</v>
      </c>
      <c r="F2433" s="245"/>
      <c r="G2433" s="235" t="s">
        <v>18649</v>
      </c>
      <c r="H2433" s="235" t="s">
        <v>18650</v>
      </c>
      <c r="I2433" s="235" t="s">
        <v>18650</v>
      </c>
      <c r="J2433" s="235" t="s">
        <v>18651</v>
      </c>
      <c r="K2433" s="235" t="s">
        <v>18652</v>
      </c>
      <c r="N2433" s="235" t="s">
        <v>42</v>
      </c>
      <c r="O2433" s="235" t="s">
        <v>204</v>
      </c>
      <c r="P2433" s="238">
        <v>1.0</v>
      </c>
      <c r="Q2433" s="235" t="s">
        <v>627</v>
      </c>
      <c r="R2433" s="238">
        <v>270.48</v>
      </c>
      <c r="S2433" s="238">
        <v>13.52</v>
      </c>
      <c r="T2433" s="238">
        <v>0.0</v>
      </c>
      <c r="U2433" s="238">
        <v>0.0</v>
      </c>
      <c r="V2433" s="238">
        <v>0.0</v>
      </c>
      <c r="W2433" s="238">
        <v>0.0</v>
      </c>
      <c r="X2433" s="235" t="s">
        <v>628</v>
      </c>
      <c r="Z2433" s="244"/>
      <c r="AA2433" s="244"/>
      <c r="AB2433" s="244"/>
      <c r="AC2433" s="235" t="s">
        <v>687</v>
      </c>
      <c r="AD2433" s="235" t="s">
        <v>666</v>
      </c>
      <c r="AE2433" s="238">
        <v>600055.0</v>
      </c>
      <c r="AF2433" s="235" t="s">
        <v>631</v>
      </c>
      <c r="AG2433" s="244"/>
      <c r="AH2433" s="244"/>
      <c r="AI2433" s="245"/>
      <c r="AJ2433" s="245"/>
      <c r="AK2433" s="245"/>
      <c r="AL2433" s="245"/>
      <c r="AM2433" s="244"/>
      <c r="AN2433" s="244"/>
      <c r="AO2433" s="238">
        <v>0.0</v>
      </c>
      <c r="AP2433" s="238">
        <v>0.0</v>
      </c>
      <c r="AQ2433" s="235" t="s">
        <v>632</v>
      </c>
      <c r="AR2433" s="243">
        <v>3.71E11</v>
      </c>
      <c r="AS2433" s="235" t="s">
        <v>17988</v>
      </c>
      <c r="AT2433" s="235" t="s">
        <v>156</v>
      </c>
      <c r="AU2433" s="235" t="s">
        <v>634</v>
      </c>
      <c r="AV2433" s="246" t="s">
        <v>635</v>
      </c>
      <c r="AW2433" s="242"/>
      <c r="AX2433" s="242"/>
      <c r="AY2433" s="231"/>
      <c r="AZ2433" s="231"/>
      <c r="BA2433" s="227"/>
      <c r="BB2433" s="231"/>
      <c r="BC2433" s="227"/>
      <c r="BD2433" s="227"/>
      <c r="BE2433" s="227"/>
      <c r="BF2433" s="227"/>
    </row>
    <row r="2434">
      <c r="A2434" s="235" t="s">
        <v>18653</v>
      </c>
      <c r="C2434" s="235" t="s">
        <v>18654</v>
      </c>
      <c r="D2434" s="235" t="s">
        <v>18655</v>
      </c>
      <c r="E2434" s="243">
        <v>6.53E13</v>
      </c>
      <c r="F2434" s="245"/>
      <c r="G2434" s="235" t="s">
        <v>18656</v>
      </c>
      <c r="H2434" s="235" t="s">
        <v>18657</v>
      </c>
      <c r="I2434" s="235" t="s">
        <v>18657</v>
      </c>
      <c r="J2434" s="235" t="s">
        <v>18658</v>
      </c>
      <c r="K2434" s="235" t="s">
        <v>18659</v>
      </c>
      <c r="N2434" s="235" t="s">
        <v>49</v>
      </c>
      <c r="O2434" s="235" t="s">
        <v>321</v>
      </c>
      <c r="P2434" s="238">
        <v>1.0</v>
      </c>
      <c r="Q2434" s="235" t="s">
        <v>627</v>
      </c>
      <c r="R2434" s="238">
        <v>270.48</v>
      </c>
      <c r="S2434" s="238">
        <v>13.25</v>
      </c>
      <c r="T2434" s="238">
        <v>0.0</v>
      </c>
      <c r="U2434" s="238">
        <v>0.0</v>
      </c>
      <c r="V2434" s="238">
        <v>0.0</v>
      </c>
      <c r="W2434" s="238">
        <v>0.0</v>
      </c>
      <c r="X2434" s="235" t="s">
        <v>628</v>
      </c>
      <c r="Z2434" s="244"/>
      <c r="AA2434" s="244"/>
      <c r="AB2434" s="244"/>
      <c r="AC2434" s="235" t="s">
        <v>832</v>
      </c>
      <c r="AD2434" s="235" t="s">
        <v>833</v>
      </c>
      <c r="AE2434" s="238">
        <v>530043.0</v>
      </c>
      <c r="AF2434" s="235" t="s">
        <v>631</v>
      </c>
      <c r="AG2434" s="244"/>
      <c r="AH2434" s="244"/>
      <c r="AI2434" s="245"/>
      <c r="AJ2434" s="245"/>
      <c r="AK2434" s="245"/>
      <c r="AL2434" s="245"/>
      <c r="AM2434" s="244"/>
      <c r="AN2434" s="244"/>
      <c r="AO2434" s="238">
        <v>-5.41</v>
      </c>
      <c r="AP2434" s="238">
        <v>0.0</v>
      </c>
      <c r="AQ2434" s="235" t="s">
        <v>632</v>
      </c>
      <c r="AR2434" s="243">
        <v>3.71E11</v>
      </c>
      <c r="AS2434" s="235" t="s">
        <v>13822</v>
      </c>
      <c r="AT2434" s="235" t="s">
        <v>156</v>
      </c>
      <c r="AU2434" s="235" t="s">
        <v>634</v>
      </c>
      <c r="AV2434" s="246" t="s">
        <v>635</v>
      </c>
      <c r="AW2434" s="242"/>
      <c r="AX2434" s="242"/>
      <c r="AY2434" s="231"/>
      <c r="AZ2434" s="231"/>
      <c r="BA2434" s="227"/>
      <c r="BB2434" s="231"/>
      <c r="BC2434" s="227"/>
      <c r="BD2434" s="227"/>
      <c r="BE2434" s="227"/>
      <c r="BF2434" s="227"/>
    </row>
    <row r="2435">
      <c r="A2435" s="235" t="s">
        <v>18660</v>
      </c>
      <c r="C2435" s="235" t="s">
        <v>18661</v>
      </c>
      <c r="D2435" s="235" t="s">
        <v>18662</v>
      </c>
      <c r="E2435" s="243">
        <v>6.53E13</v>
      </c>
      <c r="F2435" s="245"/>
      <c r="G2435" s="235" t="s">
        <v>18663</v>
      </c>
      <c r="H2435" s="235" t="s">
        <v>18664</v>
      </c>
      <c r="I2435" s="235" t="s">
        <v>18664</v>
      </c>
      <c r="J2435" s="235" t="s">
        <v>18665</v>
      </c>
      <c r="K2435" s="235" t="s">
        <v>18666</v>
      </c>
      <c r="N2435" s="235" t="s">
        <v>47</v>
      </c>
      <c r="O2435" s="235" t="s">
        <v>270</v>
      </c>
      <c r="P2435" s="238">
        <v>1.0</v>
      </c>
      <c r="Q2435" s="235" t="s">
        <v>627</v>
      </c>
      <c r="R2435" s="238">
        <v>237.14</v>
      </c>
      <c r="S2435" s="238">
        <v>11.86</v>
      </c>
      <c r="T2435" s="238">
        <v>38.1</v>
      </c>
      <c r="U2435" s="238">
        <v>1.9</v>
      </c>
      <c r="V2435" s="238">
        <v>0.0</v>
      </c>
      <c r="W2435" s="238">
        <v>0.0</v>
      </c>
      <c r="X2435" s="235" t="s">
        <v>628</v>
      </c>
      <c r="Z2435" s="244"/>
      <c r="AA2435" s="244"/>
      <c r="AB2435" s="244"/>
      <c r="AC2435" s="235" t="s">
        <v>18667</v>
      </c>
      <c r="AD2435" s="235" t="s">
        <v>666</v>
      </c>
      <c r="AE2435" s="238">
        <v>638107.0</v>
      </c>
      <c r="AF2435" s="235" t="s">
        <v>631</v>
      </c>
      <c r="AG2435" s="244"/>
      <c r="AH2435" s="244"/>
      <c r="AI2435" s="245"/>
      <c r="AJ2435" s="245"/>
      <c r="AK2435" s="245"/>
      <c r="AL2435" s="245"/>
      <c r="AM2435" s="244"/>
      <c r="AN2435" s="244"/>
      <c r="AO2435" s="238">
        <v>0.0</v>
      </c>
      <c r="AP2435" s="238">
        <v>-38.1</v>
      </c>
      <c r="AQ2435" s="235" t="s">
        <v>632</v>
      </c>
      <c r="AR2435" s="243">
        <v>3.71E11</v>
      </c>
      <c r="AS2435" s="235" t="s">
        <v>16626</v>
      </c>
      <c r="AT2435" s="235" t="s">
        <v>9</v>
      </c>
      <c r="AU2435" s="235" t="s">
        <v>634</v>
      </c>
      <c r="AV2435" s="246" t="s">
        <v>635</v>
      </c>
      <c r="AW2435" s="242"/>
      <c r="AX2435" s="242"/>
      <c r="AY2435" s="231"/>
      <c r="AZ2435" s="231"/>
      <c r="BA2435" s="227"/>
      <c r="BB2435" s="231"/>
      <c r="BC2435" s="227"/>
      <c r="BD2435" s="227"/>
      <c r="BE2435" s="227"/>
      <c r="BF2435" s="227"/>
    </row>
    <row r="2436">
      <c r="A2436" s="235" t="s">
        <v>18668</v>
      </c>
      <c r="C2436" s="235" t="s">
        <v>18669</v>
      </c>
      <c r="D2436" s="235" t="s">
        <v>18670</v>
      </c>
      <c r="E2436" s="243">
        <v>6.53E13</v>
      </c>
      <c r="F2436" s="245"/>
      <c r="G2436" s="235" t="s">
        <v>18671</v>
      </c>
      <c r="H2436" s="235" t="s">
        <v>18672</v>
      </c>
      <c r="I2436" s="235" t="s">
        <v>18672</v>
      </c>
      <c r="J2436" s="235" t="s">
        <v>18673</v>
      </c>
      <c r="K2436" s="235" t="s">
        <v>18674</v>
      </c>
      <c r="N2436" s="235" t="s">
        <v>962</v>
      </c>
      <c r="O2436" s="235" t="s">
        <v>963</v>
      </c>
      <c r="P2436" s="238">
        <v>1.0</v>
      </c>
      <c r="Q2436" s="235" t="s">
        <v>627</v>
      </c>
      <c r="R2436" s="238">
        <v>270.48</v>
      </c>
      <c r="S2436" s="238">
        <v>13.25</v>
      </c>
      <c r="T2436" s="238">
        <v>0.0</v>
      </c>
      <c r="U2436" s="238">
        <v>0.0</v>
      </c>
      <c r="V2436" s="238">
        <v>0.0</v>
      </c>
      <c r="W2436" s="238">
        <v>0.0</v>
      </c>
      <c r="X2436" s="235" t="s">
        <v>628</v>
      </c>
      <c r="Z2436" s="244"/>
      <c r="AA2436" s="244"/>
      <c r="AB2436" s="244"/>
      <c r="AC2436" s="235" t="s">
        <v>678</v>
      </c>
      <c r="AD2436" s="235" t="s">
        <v>679</v>
      </c>
      <c r="AE2436" s="238">
        <v>560102.0</v>
      </c>
      <c r="AF2436" s="235" t="s">
        <v>631</v>
      </c>
      <c r="AG2436" s="244"/>
      <c r="AH2436" s="244"/>
      <c r="AI2436" s="245"/>
      <c r="AJ2436" s="245"/>
      <c r="AK2436" s="245"/>
      <c r="AL2436" s="245"/>
      <c r="AM2436" s="244"/>
      <c r="AN2436" s="244"/>
      <c r="AO2436" s="238">
        <v>-5.41</v>
      </c>
      <c r="AP2436" s="238">
        <v>0.0</v>
      </c>
      <c r="AQ2436" s="235" t="s">
        <v>632</v>
      </c>
      <c r="AR2436" s="243">
        <v>3.71E11</v>
      </c>
      <c r="AS2436" s="235" t="s">
        <v>17988</v>
      </c>
      <c r="AT2436" s="235" t="s">
        <v>9</v>
      </c>
      <c r="AU2436" s="235" t="s">
        <v>634</v>
      </c>
      <c r="AV2436" s="246" t="s">
        <v>635</v>
      </c>
      <c r="AW2436" s="242"/>
      <c r="AX2436" s="242"/>
      <c r="AY2436" s="231"/>
      <c r="AZ2436" s="231"/>
      <c r="BA2436" s="227"/>
      <c r="BB2436" s="231"/>
      <c r="BC2436" s="227"/>
      <c r="BD2436" s="227"/>
      <c r="BE2436" s="227"/>
      <c r="BF2436" s="227"/>
    </row>
    <row r="2437">
      <c r="A2437" s="235" t="s">
        <v>18675</v>
      </c>
      <c r="C2437" s="235" t="s">
        <v>18676</v>
      </c>
      <c r="D2437" s="235" t="s">
        <v>18677</v>
      </c>
      <c r="E2437" s="243">
        <v>6.53E13</v>
      </c>
      <c r="F2437" s="245"/>
      <c r="G2437" s="235" t="s">
        <v>18678</v>
      </c>
      <c r="H2437" s="235" t="s">
        <v>18672</v>
      </c>
      <c r="I2437" s="235" t="s">
        <v>18672</v>
      </c>
      <c r="J2437" s="235" t="s">
        <v>18679</v>
      </c>
      <c r="K2437" s="235" t="s">
        <v>18680</v>
      </c>
      <c r="N2437" s="235" t="s">
        <v>127</v>
      </c>
      <c r="O2437" s="235" t="s">
        <v>794</v>
      </c>
      <c r="P2437" s="238">
        <v>1.0</v>
      </c>
      <c r="Q2437" s="235" t="s">
        <v>627</v>
      </c>
      <c r="R2437" s="238">
        <v>270.48</v>
      </c>
      <c r="S2437" s="238">
        <v>13.52</v>
      </c>
      <c r="T2437" s="238">
        <v>0.0</v>
      </c>
      <c r="U2437" s="238">
        <v>0.0</v>
      </c>
      <c r="V2437" s="238">
        <v>0.0</v>
      </c>
      <c r="W2437" s="238">
        <v>0.0</v>
      </c>
      <c r="X2437" s="235" t="s">
        <v>628</v>
      </c>
      <c r="Z2437" s="244"/>
      <c r="AA2437" s="244"/>
      <c r="AB2437" s="244"/>
      <c r="AC2437" s="235" t="s">
        <v>795</v>
      </c>
      <c r="AD2437" s="235" t="s">
        <v>796</v>
      </c>
      <c r="AE2437" s="238">
        <v>110025.0</v>
      </c>
      <c r="AF2437" s="235" t="s">
        <v>631</v>
      </c>
      <c r="AG2437" s="244"/>
      <c r="AH2437" s="244"/>
      <c r="AI2437" s="245"/>
      <c r="AJ2437" s="245"/>
      <c r="AK2437" s="245"/>
      <c r="AL2437" s="245"/>
      <c r="AM2437" s="244"/>
      <c r="AN2437" s="244"/>
      <c r="AO2437" s="238">
        <v>0.0</v>
      </c>
      <c r="AP2437" s="238">
        <v>0.0</v>
      </c>
      <c r="AQ2437" s="235" t="s">
        <v>632</v>
      </c>
      <c r="AR2437" s="243">
        <v>3.71E11</v>
      </c>
      <c r="AS2437" s="235" t="s">
        <v>17988</v>
      </c>
      <c r="AT2437" s="235" t="s">
        <v>533</v>
      </c>
      <c r="AU2437" s="235" t="s">
        <v>634</v>
      </c>
      <c r="AV2437" s="246" t="s">
        <v>635</v>
      </c>
      <c r="AW2437" s="242"/>
      <c r="AX2437" s="242"/>
      <c r="AY2437" s="231"/>
      <c r="AZ2437" s="231"/>
      <c r="BA2437" s="227"/>
      <c r="BB2437" s="231"/>
      <c r="BC2437" s="227"/>
      <c r="BD2437" s="227"/>
      <c r="BE2437" s="227"/>
      <c r="BF2437" s="227"/>
    </row>
    <row r="2438">
      <c r="A2438" s="235" t="s">
        <v>18681</v>
      </c>
      <c r="C2438" s="235" t="s">
        <v>18682</v>
      </c>
      <c r="D2438" s="235" t="s">
        <v>18683</v>
      </c>
      <c r="E2438" s="243">
        <v>6.53E13</v>
      </c>
      <c r="F2438" s="245"/>
      <c r="G2438" s="235" t="s">
        <v>18684</v>
      </c>
      <c r="H2438" s="235" t="s">
        <v>18685</v>
      </c>
      <c r="I2438" s="235" t="s">
        <v>18685</v>
      </c>
      <c r="J2438" s="235" t="s">
        <v>18686</v>
      </c>
      <c r="K2438" s="235" t="s">
        <v>18687</v>
      </c>
      <c r="N2438" s="235" t="s">
        <v>117</v>
      </c>
      <c r="O2438" s="235" t="s">
        <v>334</v>
      </c>
      <c r="P2438" s="238">
        <v>1.0</v>
      </c>
      <c r="Q2438" s="235" t="s">
        <v>627</v>
      </c>
      <c r="R2438" s="238">
        <v>270.48</v>
      </c>
      <c r="S2438" s="238">
        <v>13.52</v>
      </c>
      <c r="T2438" s="238">
        <v>0.0</v>
      </c>
      <c r="U2438" s="238">
        <v>0.0</v>
      </c>
      <c r="V2438" s="238">
        <v>0.0</v>
      </c>
      <c r="W2438" s="238">
        <v>0.0</v>
      </c>
      <c r="X2438" s="235" t="s">
        <v>628</v>
      </c>
      <c r="Z2438" s="244"/>
      <c r="AA2438" s="244"/>
      <c r="AB2438" s="244"/>
      <c r="AC2438" s="235" t="s">
        <v>1887</v>
      </c>
      <c r="AD2438" s="235" t="s">
        <v>679</v>
      </c>
      <c r="AE2438" s="238">
        <v>560087.0</v>
      </c>
      <c r="AF2438" s="235" t="s">
        <v>631</v>
      </c>
      <c r="AG2438" s="244"/>
      <c r="AH2438" s="244"/>
      <c r="AI2438" s="245"/>
      <c r="AJ2438" s="245"/>
      <c r="AK2438" s="245"/>
      <c r="AL2438" s="245"/>
      <c r="AM2438" s="244"/>
      <c r="AN2438" s="244"/>
      <c r="AO2438" s="238">
        <v>0.0</v>
      </c>
      <c r="AP2438" s="238">
        <v>0.0</v>
      </c>
      <c r="AQ2438" s="235" t="s">
        <v>632</v>
      </c>
      <c r="AR2438" s="243">
        <v>1.68E11</v>
      </c>
      <c r="AS2438" s="235" t="s">
        <v>18462</v>
      </c>
      <c r="AT2438" s="235" t="s">
        <v>9</v>
      </c>
      <c r="AU2438" s="235" t="s">
        <v>634</v>
      </c>
      <c r="AV2438" s="246" t="s">
        <v>635</v>
      </c>
      <c r="AW2438" s="242"/>
      <c r="AX2438" s="242"/>
      <c r="AY2438" s="231"/>
      <c r="AZ2438" s="231"/>
      <c r="BA2438" s="227"/>
      <c r="BB2438" s="231"/>
      <c r="BC2438" s="227"/>
      <c r="BD2438" s="227"/>
      <c r="BE2438" s="227"/>
      <c r="BF2438" s="227"/>
    </row>
    <row r="2439">
      <c r="A2439" s="235" t="s">
        <v>18688</v>
      </c>
      <c r="C2439" s="235" t="s">
        <v>18689</v>
      </c>
      <c r="D2439" s="235" t="s">
        <v>18690</v>
      </c>
      <c r="E2439" s="243">
        <v>6.53E13</v>
      </c>
      <c r="F2439" s="245"/>
      <c r="G2439" s="235" t="s">
        <v>18691</v>
      </c>
      <c r="H2439" s="235" t="s">
        <v>18692</v>
      </c>
      <c r="I2439" s="235" t="s">
        <v>18693</v>
      </c>
      <c r="J2439" s="235" t="s">
        <v>18694</v>
      </c>
      <c r="K2439" s="235" t="s">
        <v>18695</v>
      </c>
      <c r="N2439" s="235" t="s">
        <v>2163</v>
      </c>
      <c r="O2439" s="235" t="s">
        <v>2164</v>
      </c>
      <c r="P2439" s="238">
        <v>1.0</v>
      </c>
      <c r="Q2439" s="235" t="s">
        <v>627</v>
      </c>
      <c r="R2439" s="238">
        <v>246.67</v>
      </c>
      <c r="S2439" s="238">
        <v>12.08</v>
      </c>
      <c r="T2439" s="238">
        <v>0.0</v>
      </c>
      <c r="U2439" s="238">
        <v>0.0</v>
      </c>
      <c r="V2439" s="238">
        <v>0.0</v>
      </c>
      <c r="W2439" s="238">
        <v>0.0</v>
      </c>
      <c r="X2439" s="235" t="s">
        <v>628</v>
      </c>
      <c r="Z2439" s="244"/>
      <c r="AA2439" s="244"/>
      <c r="AB2439" s="244"/>
      <c r="AC2439" s="235" t="s">
        <v>844</v>
      </c>
      <c r="AD2439" s="235" t="s">
        <v>845</v>
      </c>
      <c r="AE2439" s="238">
        <v>411048.0</v>
      </c>
      <c r="AF2439" s="235" t="s">
        <v>631</v>
      </c>
      <c r="AG2439" s="244"/>
      <c r="AH2439" s="244"/>
      <c r="AI2439" s="245"/>
      <c r="AJ2439" s="245"/>
      <c r="AK2439" s="245"/>
      <c r="AL2439" s="245"/>
      <c r="AM2439" s="244"/>
      <c r="AN2439" s="244"/>
      <c r="AO2439" s="238">
        <v>-4.93</v>
      </c>
      <c r="AP2439" s="238">
        <v>0.0</v>
      </c>
      <c r="AQ2439" s="235" t="s">
        <v>632</v>
      </c>
      <c r="AR2439" s="243">
        <v>2.02E11</v>
      </c>
      <c r="AS2439" s="235" t="s">
        <v>16626</v>
      </c>
      <c r="AT2439" s="235" t="s">
        <v>533</v>
      </c>
      <c r="AU2439" s="235" t="s">
        <v>634</v>
      </c>
      <c r="AV2439" s="246" t="s">
        <v>635</v>
      </c>
      <c r="AW2439" s="242"/>
      <c r="AX2439" s="242"/>
      <c r="AY2439" s="231"/>
      <c r="AZ2439" s="231"/>
      <c r="BA2439" s="227"/>
      <c r="BB2439" s="231"/>
      <c r="BC2439" s="227"/>
      <c r="BD2439" s="227"/>
      <c r="BE2439" s="227"/>
      <c r="BF2439" s="227"/>
    </row>
    <row r="2440">
      <c r="A2440" s="235" t="s">
        <v>18696</v>
      </c>
      <c r="C2440" s="235" t="s">
        <v>18697</v>
      </c>
      <c r="D2440" s="235" t="s">
        <v>18698</v>
      </c>
      <c r="E2440" s="243">
        <v>6.53E13</v>
      </c>
      <c r="F2440" s="245"/>
      <c r="G2440" s="235" t="s">
        <v>18699</v>
      </c>
      <c r="H2440" s="235" t="s">
        <v>18700</v>
      </c>
      <c r="I2440" s="235" t="s">
        <v>18700</v>
      </c>
      <c r="J2440" s="235" t="s">
        <v>18701</v>
      </c>
      <c r="K2440" s="235" t="s">
        <v>18702</v>
      </c>
      <c r="N2440" s="235" t="s">
        <v>92</v>
      </c>
      <c r="O2440" s="235" t="s">
        <v>248</v>
      </c>
      <c r="P2440" s="238">
        <v>1.0</v>
      </c>
      <c r="Q2440" s="235" t="s">
        <v>627</v>
      </c>
      <c r="R2440" s="238">
        <v>270.48</v>
      </c>
      <c r="S2440" s="238">
        <v>13.25</v>
      </c>
      <c r="T2440" s="238">
        <v>0.0</v>
      </c>
      <c r="U2440" s="238">
        <v>0.0</v>
      </c>
      <c r="V2440" s="238">
        <v>0.0</v>
      </c>
      <c r="W2440" s="238">
        <v>0.0</v>
      </c>
      <c r="X2440" s="235" t="s">
        <v>628</v>
      </c>
      <c r="Z2440" s="244"/>
      <c r="AA2440" s="244"/>
      <c r="AB2440" s="244"/>
      <c r="AC2440" s="235" t="s">
        <v>678</v>
      </c>
      <c r="AD2440" s="235" t="s">
        <v>679</v>
      </c>
      <c r="AE2440" s="238">
        <v>562125.0</v>
      </c>
      <c r="AF2440" s="235" t="s">
        <v>631</v>
      </c>
      <c r="AG2440" s="244"/>
      <c r="AH2440" s="244"/>
      <c r="AI2440" s="245"/>
      <c r="AJ2440" s="245"/>
      <c r="AK2440" s="245"/>
      <c r="AL2440" s="245"/>
      <c r="AM2440" s="244"/>
      <c r="AN2440" s="244"/>
      <c r="AO2440" s="238">
        <v>-5.41</v>
      </c>
      <c r="AP2440" s="238">
        <v>0.0</v>
      </c>
      <c r="AQ2440" s="235" t="s">
        <v>632</v>
      </c>
      <c r="AR2440" s="243">
        <v>3.71E11</v>
      </c>
      <c r="AS2440" s="235" t="s">
        <v>17988</v>
      </c>
      <c r="AT2440" s="235" t="s">
        <v>9</v>
      </c>
      <c r="AU2440" s="235" t="s">
        <v>634</v>
      </c>
      <c r="AV2440" s="246" t="s">
        <v>635</v>
      </c>
      <c r="AW2440" s="242"/>
      <c r="AX2440" s="242"/>
      <c r="AY2440" s="231"/>
      <c r="AZ2440" s="231"/>
      <c r="BA2440" s="227"/>
      <c r="BB2440" s="231"/>
      <c r="BC2440" s="227"/>
      <c r="BD2440" s="227"/>
      <c r="BE2440" s="227"/>
      <c r="BF2440" s="227"/>
    </row>
    <row r="2441">
      <c r="A2441" s="235" t="s">
        <v>18703</v>
      </c>
      <c r="C2441" s="235" t="s">
        <v>18704</v>
      </c>
      <c r="D2441" s="235" t="s">
        <v>18705</v>
      </c>
      <c r="E2441" s="243">
        <v>6.53E13</v>
      </c>
      <c r="F2441" s="245"/>
      <c r="G2441" s="235" t="s">
        <v>18706</v>
      </c>
      <c r="H2441" s="235" t="s">
        <v>18707</v>
      </c>
      <c r="I2441" s="235" t="s">
        <v>18707</v>
      </c>
      <c r="J2441" s="235" t="s">
        <v>18708</v>
      </c>
      <c r="K2441" s="235" t="s">
        <v>18709</v>
      </c>
      <c r="N2441" s="235" t="s">
        <v>962</v>
      </c>
      <c r="O2441" s="235" t="s">
        <v>963</v>
      </c>
      <c r="P2441" s="238">
        <v>1.0</v>
      </c>
      <c r="Q2441" s="235" t="s">
        <v>627</v>
      </c>
      <c r="R2441" s="238">
        <v>270.48</v>
      </c>
      <c r="S2441" s="238">
        <v>13.25</v>
      </c>
      <c r="T2441" s="238">
        <v>0.0</v>
      </c>
      <c r="U2441" s="238">
        <v>0.0</v>
      </c>
      <c r="V2441" s="238">
        <v>0.0</v>
      </c>
      <c r="W2441" s="238">
        <v>0.0</v>
      </c>
      <c r="X2441" s="235" t="s">
        <v>628</v>
      </c>
      <c r="Z2441" s="244"/>
      <c r="AA2441" s="244"/>
      <c r="AB2441" s="244"/>
      <c r="AC2441" s="235" t="s">
        <v>844</v>
      </c>
      <c r="AD2441" s="235" t="s">
        <v>845</v>
      </c>
      <c r="AE2441" s="238">
        <v>411014.0</v>
      </c>
      <c r="AF2441" s="235" t="s">
        <v>631</v>
      </c>
      <c r="AG2441" s="244"/>
      <c r="AH2441" s="244"/>
      <c r="AI2441" s="245"/>
      <c r="AJ2441" s="245"/>
      <c r="AK2441" s="245"/>
      <c r="AL2441" s="245"/>
      <c r="AM2441" s="244"/>
      <c r="AN2441" s="244"/>
      <c r="AO2441" s="238">
        <v>-5.41</v>
      </c>
      <c r="AP2441" s="238">
        <v>0.0</v>
      </c>
      <c r="AQ2441" s="235" t="s">
        <v>632</v>
      </c>
      <c r="AR2441" s="243">
        <v>3.71E11</v>
      </c>
      <c r="AS2441" s="235" t="s">
        <v>17988</v>
      </c>
      <c r="AT2441" s="235" t="s">
        <v>546</v>
      </c>
      <c r="AU2441" s="235" t="s">
        <v>634</v>
      </c>
      <c r="AV2441" s="246" t="s">
        <v>635</v>
      </c>
      <c r="AW2441" s="242"/>
      <c r="AX2441" s="242"/>
      <c r="AY2441" s="231"/>
      <c r="AZ2441" s="231"/>
      <c r="BA2441" s="227"/>
      <c r="BB2441" s="231"/>
      <c r="BC2441" s="227"/>
      <c r="BD2441" s="227"/>
      <c r="BE2441" s="227"/>
      <c r="BF2441" s="227"/>
    </row>
    <row r="2442">
      <c r="A2442" s="235" t="s">
        <v>18710</v>
      </c>
      <c r="C2442" s="235" t="s">
        <v>18711</v>
      </c>
      <c r="D2442" s="235" t="s">
        <v>18712</v>
      </c>
      <c r="E2442" s="243">
        <v>6.53E13</v>
      </c>
      <c r="F2442" s="245"/>
      <c r="G2442" s="235" t="s">
        <v>18713</v>
      </c>
      <c r="H2442" s="235" t="s">
        <v>18714</v>
      </c>
      <c r="I2442" s="235" t="s">
        <v>18714</v>
      </c>
      <c r="J2442" s="235" t="s">
        <v>18715</v>
      </c>
      <c r="K2442" s="235" t="s">
        <v>18716</v>
      </c>
      <c r="N2442" s="235" t="s">
        <v>68</v>
      </c>
      <c r="O2442" s="235" t="s">
        <v>208</v>
      </c>
      <c r="P2442" s="238">
        <v>1.0</v>
      </c>
      <c r="Q2442" s="235" t="s">
        <v>627</v>
      </c>
      <c r="R2442" s="238">
        <v>261.9</v>
      </c>
      <c r="S2442" s="238">
        <v>13.1</v>
      </c>
      <c r="T2442" s="238">
        <v>0.0</v>
      </c>
      <c r="U2442" s="238">
        <v>0.0</v>
      </c>
      <c r="V2442" s="238">
        <v>0.0</v>
      </c>
      <c r="W2442" s="238">
        <v>0.0</v>
      </c>
      <c r="X2442" s="235" t="s">
        <v>628</v>
      </c>
      <c r="Z2442" s="244"/>
      <c r="AA2442" s="244"/>
      <c r="AB2442" s="244"/>
      <c r="AC2442" s="235" t="s">
        <v>1671</v>
      </c>
      <c r="AD2442" s="235" t="s">
        <v>666</v>
      </c>
      <c r="AE2442" s="238">
        <v>641050.0</v>
      </c>
      <c r="AF2442" s="235" t="s">
        <v>631</v>
      </c>
      <c r="AG2442" s="244"/>
      <c r="AH2442" s="244"/>
      <c r="AI2442" s="245"/>
      <c r="AJ2442" s="245"/>
      <c r="AK2442" s="245"/>
      <c r="AL2442" s="245"/>
      <c r="AM2442" s="244"/>
      <c r="AN2442" s="244"/>
      <c r="AO2442" s="238">
        <v>0.0</v>
      </c>
      <c r="AP2442" s="238">
        <v>0.0</v>
      </c>
      <c r="AQ2442" s="235" t="s">
        <v>632</v>
      </c>
      <c r="AR2442" s="243">
        <v>3.71E11</v>
      </c>
      <c r="AS2442" s="235" t="s">
        <v>17988</v>
      </c>
      <c r="AT2442" s="235" t="s">
        <v>155</v>
      </c>
      <c r="AU2442" s="235" t="s">
        <v>634</v>
      </c>
      <c r="AV2442" s="246" t="s">
        <v>635</v>
      </c>
      <c r="AW2442" s="242"/>
      <c r="AX2442" s="242"/>
      <c r="AY2442" s="231"/>
      <c r="AZ2442" s="231"/>
      <c r="BA2442" s="227"/>
      <c r="BB2442" s="231"/>
      <c r="BC2442" s="227"/>
      <c r="BD2442" s="227"/>
      <c r="BE2442" s="227"/>
      <c r="BF2442" s="227"/>
    </row>
    <row r="2443">
      <c r="A2443" s="235" t="s">
        <v>18717</v>
      </c>
      <c r="C2443" s="235" t="s">
        <v>18718</v>
      </c>
      <c r="D2443" s="235" t="s">
        <v>18719</v>
      </c>
      <c r="E2443" s="243">
        <v>6.53E13</v>
      </c>
      <c r="F2443" s="245"/>
      <c r="G2443" s="235" t="s">
        <v>18720</v>
      </c>
      <c r="H2443" s="235" t="s">
        <v>18721</v>
      </c>
      <c r="I2443" s="235" t="s">
        <v>18721</v>
      </c>
      <c r="J2443" s="235" t="s">
        <v>17766</v>
      </c>
      <c r="K2443" s="235" t="s">
        <v>18722</v>
      </c>
      <c r="N2443" s="235" t="s">
        <v>113</v>
      </c>
      <c r="O2443" s="235" t="s">
        <v>452</v>
      </c>
      <c r="P2443" s="238">
        <v>1.0</v>
      </c>
      <c r="Q2443" s="235" t="s">
        <v>627</v>
      </c>
      <c r="R2443" s="238">
        <v>270.48</v>
      </c>
      <c r="S2443" s="238">
        <v>13.52</v>
      </c>
      <c r="T2443" s="238">
        <v>38.1</v>
      </c>
      <c r="U2443" s="238">
        <v>1.9</v>
      </c>
      <c r="V2443" s="238">
        <v>0.0</v>
      </c>
      <c r="W2443" s="238">
        <v>0.0</v>
      </c>
      <c r="X2443" s="235" t="s">
        <v>628</v>
      </c>
      <c r="Z2443" s="244"/>
      <c r="AA2443" s="244"/>
      <c r="AB2443" s="244"/>
      <c r="AC2443" s="235" t="s">
        <v>18723</v>
      </c>
      <c r="AD2443" s="235" t="s">
        <v>917</v>
      </c>
      <c r="AE2443" s="238">
        <v>305022.0</v>
      </c>
      <c r="AF2443" s="235" t="s">
        <v>631</v>
      </c>
      <c r="AG2443" s="244"/>
      <c r="AH2443" s="244"/>
      <c r="AI2443" s="245"/>
      <c r="AJ2443" s="245"/>
      <c r="AK2443" s="245"/>
      <c r="AL2443" s="245"/>
      <c r="AM2443" s="244"/>
      <c r="AN2443" s="244"/>
      <c r="AO2443" s="238">
        <v>0.0</v>
      </c>
      <c r="AP2443" s="238">
        <v>-38.1</v>
      </c>
      <c r="AQ2443" s="235" t="s">
        <v>632</v>
      </c>
      <c r="AR2443" s="243">
        <v>3.71E11</v>
      </c>
      <c r="AS2443" s="235" t="s">
        <v>12693</v>
      </c>
      <c r="AT2443" s="235" t="s">
        <v>9</v>
      </c>
      <c r="AU2443" s="235" t="s">
        <v>634</v>
      </c>
      <c r="AV2443" s="246" t="s">
        <v>635</v>
      </c>
      <c r="AW2443" s="242"/>
      <c r="AX2443" s="242"/>
      <c r="AY2443" s="231"/>
      <c r="AZ2443" s="231"/>
      <c r="BA2443" s="227"/>
      <c r="BB2443" s="231"/>
      <c r="BC2443" s="227"/>
      <c r="BD2443" s="227"/>
      <c r="BE2443" s="227"/>
      <c r="BF2443" s="227"/>
    </row>
    <row r="2444">
      <c r="A2444" s="235" t="s">
        <v>18724</v>
      </c>
      <c r="C2444" s="235" t="s">
        <v>18725</v>
      </c>
      <c r="D2444" s="235" t="s">
        <v>18726</v>
      </c>
      <c r="E2444" s="243">
        <v>6.53E13</v>
      </c>
      <c r="F2444" s="245"/>
      <c r="G2444" s="235" t="s">
        <v>18727</v>
      </c>
      <c r="H2444" s="235" t="s">
        <v>18728</v>
      </c>
      <c r="I2444" s="235" t="s">
        <v>18729</v>
      </c>
      <c r="J2444" s="235" t="s">
        <v>18730</v>
      </c>
      <c r="K2444" s="235" t="s">
        <v>18731</v>
      </c>
      <c r="N2444" s="235" t="s">
        <v>127</v>
      </c>
      <c r="O2444" s="235" t="s">
        <v>794</v>
      </c>
      <c r="P2444" s="238">
        <v>1.0</v>
      </c>
      <c r="Q2444" s="235" t="s">
        <v>627</v>
      </c>
      <c r="R2444" s="238">
        <v>243.81</v>
      </c>
      <c r="S2444" s="238">
        <v>11.95</v>
      </c>
      <c r="T2444" s="238">
        <v>0.0</v>
      </c>
      <c r="U2444" s="238">
        <v>0.0</v>
      </c>
      <c r="V2444" s="238">
        <v>0.0</v>
      </c>
      <c r="W2444" s="238">
        <v>0.0</v>
      </c>
      <c r="X2444" s="235" t="s">
        <v>628</v>
      </c>
      <c r="Z2444" s="244"/>
      <c r="AA2444" s="244"/>
      <c r="AB2444" s="244"/>
      <c r="AC2444" s="235" t="s">
        <v>1514</v>
      </c>
      <c r="AD2444" s="235" t="s">
        <v>1077</v>
      </c>
      <c r="AE2444" s="238">
        <v>382475.0</v>
      </c>
      <c r="AF2444" s="235" t="s">
        <v>631</v>
      </c>
      <c r="AG2444" s="244"/>
      <c r="AH2444" s="244"/>
      <c r="AI2444" s="245"/>
      <c r="AJ2444" s="245"/>
      <c r="AK2444" s="245"/>
      <c r="AL2444" s="245"/>
      <c r="AM2444" s="244"/>
      <c r="AN2444" s="244"/>
      <c r="AO2444" s="238">
        <v>-4.88</v>
      </c>
      <c r="AP2444" s="238">
        <v>0.0</v>
      </c>
      <c r="AQ2444" s="235" t="s">
        <v>632</v>
      </c>
      <c r="AR2444" s="243">
        <v>2.02E11</v>
      </c>
      <c r="AS2444" s="235" t="s">
        <v>15064</v>
      </c>
      <c r="AT2444" s="235" t="s">
        <v>14</v>
      </c>
      <c r="AU2444" s="235" t="s">
        <v>634</v>
      </c>
      <c r="AV2444" s="246" t="s">
        <v>635</v>
      </c>
      <c r="AW2444" s="242"/>
      <c r="AX2444" s="242"/>
      <c r="AY2444" s="231"/>
      <c r="AZ2444" s="231"/>
      <c r="BA2444" s="227"/>
      <c r="BB2444" s="231"/>
      <c r="BC2444" s="227"/>
      <c r="BD2444" s="227"/>
      <c r="BE2444" s="227"/>
      <c r="BF2444" s="227"/>
    </row>
    <row r="2445">
      <c r="A2445" s="235" t="s">
        <v>18732</v>
      </c>
      <c r="C2445" s="235" t="s">
        <v>18733</v>
      </c>
      <c r="D2445" s="235" t="s">
        <v>18734</v>
      </c>
      <c r="E2445" s="243">
        <v>6.53E13</v>
      </c>
      <c r="F2445" s="245"/>
      <c r="G2445" s="235" t="s">
        <v>18735</v>
      </c>
      <c r="H2445" s="235" t="s">
        <v>18736</v>
      </c>
      <c r="I2445" s="235" t="s">
        <v>18736</v>
      </c>
      <c r="J2445" s="235" t="s">
        <v>18737</v>
      </c>
      <c r="K2445" s="235" t="s">
        <v>18738</v>
      </c>
      <c r="N2445" s="235" t="s">
        <v>42</v>
      </c>
      <c r="O2445" s="235" t="s">
        <v>204</v>
      </c>
      <c r="P2445" s="238">
        <v>1.0</v>
      </c>
      <c r="Q2445" s="235" t="s">
        <v>627</v>
      </c>
      <c r="R2445" s="238">
        <v>0.0</v>
      </c>
      <c r="S2445" s="238">
        <v>0.0</v>
      </c>
      <c r="T2445" s="238">
        <v>0.0</v>
      </c>
      <c r="U2445" s="238">
        <v>0.0</v>
      </c>
      <c r="V2445" s="238">
        <v>0.0</v>
      </c>
      <c r="W2445" s="238">
        <v>0.0</v>
      </c>
      <c r="X2445" s="235" t="s">
        <v>628</v>
      </c>
      <c r="Z2445" s="244"/>
      <c r="AA2445" s="244"/>
      <c r="AB2445" s="244"/>
      <c r="AC2445" s="235" t="s">
        <v>2493</v>
      </c>
      <c r="AD2445" s="235" t="s">
        <v>833</v>
      </c>
      <c r="AE2445" s="238">
        <v>520010.0</v>
      </c>
      <c r="AF2445" s="235" t="s">
        <v>631</v>
      </c>
      <c r="AG2445" s="244"/>
      <c r="AH2445" s="244"/>
      <c r="AI2445" s="245"/>
      <c r="AJ2445" s="245"/>
      <c r="AK2445" s="245"/>
      <c r="AL2445" s="245"/>
      <c r="AM2445" s="244"/>
      <c r="AN2445" s="244"/>
      <c r="AO2445" s="238">
        <v>0.0</v>
      </c>
      <c r="AP2445" s="238">
        <v>0.0</v>
      </c>
      <c r="AQ2445" s="235" t="s">
        <v>632</v>
      </c>
      <c r="AR2445" s="243">
        <v>3.71E11</v>
      </c>
      <c r="AS2445" s="235" t="s">
        <v>15064</v>
      </c>
      <c r="AT2445" s="235" t="s">
        <v>156</v>
      </c>
      <c r="AU2445" s="235" t="s">
        <v>634</v>
      </c>
      <c r="AV2445" s="246" t="s">
        <v>635</v>
      </c>
      <c r="AW2445" s="242"/>
      <c r="AX2445" s="242"/>
      <c r="AY2445" s="231"/>
      <c r="AZ2445" s="231"/>
      <c r="BA2445" s="227"/>
      <c r="BB2445" s="231"/>
      <c r="BC2445" s="227"/>
      <c r="BD2445" s="227"/>
      <c r="BE2445" s="227"/>
      <c r="BF2445" s="227"/>
    </row>
    <row r="2446">
      <c r="A2446" s="235" t="s">
        <v>18739</v>
      </c>
      <c r="C2446" s="235" t="s">
        <v>18740</v>
      </c>
      <c r="D2446" s="235" t="s">
        <v>18741</v>
      </c>
      <c r="E2446" s="243">
        <v>6.53E13</v>
      </c>
      <c r="F2446" s="245"/>
      <c r="G2446" s="235" t="s">
        <v>18742</v>
      </c>
      <c r="H2446" s="235" t="s">
        <v>18743</v>
      </c>
      <c r="I2446" s="235" t="s">
        <v>18744</v>
      </c>
      <c r="J2446" s="235" t="s">
        <v>18745</v>
      </c>
      <c r="K2446" s="235" t="s">
        <v>18746</v>
      </c>
      <c r="N2446" s="235" t="s">
        <v>134</v>
      </c>
      <c r="O2446" s="235" t="s">
        <v>314</v>
      </c>
      <c r="P2446" s="238">
        <v>1.0</v>
      </c>
      <c r="Q2446" s="235" t="s">
        <v>627</v>
      </c>
      <c r="R2446" s="238">
        <v>246.67</v>
      </c>
      <c r="S2446" s="238">
        <v>12.08</v>
      </c>
      <c r="T2446" s="238">
        <v>38.1</v>
      </c>
      <c r="U2446" s="238">
        <v>1.9</v>
      </c>
      <c r="V2446" s="238">
        <v>0.0</v>
      </c>
      <c r="W2446" s="238">
        <v>0.0</v>
      </c>
      <c r="X2446" s="235" t="s">
        <v>628</v>
      </c>
      <c r="Z2446" s="244"/>
      <c r="AA2446" s="244"/>
      <c r="AB2446" s="244"/>
      <c r="AC2446" s="235" t="s">
        <v>3398</v>
      </c>
      <c r="AD2446" s="235" t="s">
        <v>698</v>
      </c>
      <c r="AE2446" s="238">
        <v>500011.0</v>
      </c>
      <c r="AF2446" s="235" t="s">
        <v>631</v>
      </c>
      <c r="AG2446" s="244"/>
      <c r="AH2446" s="244"/>
      <c r="AI2446" s="245"/>
      <c r="AJ2446" s="245"/>
      <c r="AK2446" s="245"/>
      <c r="AL2446" s="245"/>
      <c r="AM2446" s="244"/>
      <c r="AN2446" s="244"/>
      <c r="AO2446" s="238">
        <v>-4.93</v>
      </c>
      <c r="AP2446" s="238">
        <v>-38.1</v>
      </c>
      <c r="AQ2446" s="235" t="s">
        <v>632</v>
      </c>
      <c r="AR2446" s="243">
        <v>3.71E11</v>
      </c>
      <c r="AS2446" s="235" t="s">
        <v>15064</v>
      </c>
      <c r="AT2446" s="235" t="s">
        <v>9</v>
      </c>
      <c r="AU2446" s="235" t="s">
        <v>634</v>
      </c>
      <c r="AV2446" s="246" t="s">
        <v>635</v>
      </c>
      <c r="AW2446" s="242"/>
      <c r="AX2446" s="242"/>
      <c r="AY2446" s="231"/>
      <c r="AZ2446" s="231"/>
      <c r="BA2446" s="227"/>
      <c r="BB2446" s="231"/>
      <c r="BC2446" s="227"/>
      <c r="BD2446" s="227"/>
      <c r="BE2446" s="227"/>
      <c r="BF2446" s="227"/>
    </row>
    <row r="2447">
      <c r="A2447" s="235" t="s">
        <v>18747</v>
      </c>
      <c r="C2447" s="235" t="s">
        <v>18748</v>
      </c>
      <c r="D2447" s="235" t="s">
        <v>18749</v>
      </c>
      <c r="E2447" s="243">
        <v>6.53E13</v>
      </c>
      <c r="F2447" s="245"/>
      <c r="G2447" s="235" t="s">
        <v>18750</v>
      </c>
      <c r="H2447" s="235" t="s">
        <v>18751</v>
      </c>
      <c r="I2447" s="235" t="s">
        <v>18751</v>
      </c>
      <c r="J2447" s="235" t="s">
        <v>18752</v>
      </c>
      <c r="K2447" s="235" t="s">
        <v>18753</v>
      </c>
      <c r="N2447" s="235" t="s">
        <v>55</v>
      </c>
      <c r="O2447" s="235" t="s">
        <v>244</v>
      </c>
      <c r="P2447" s="238">
        <v>1.0</v>
      </c>
      <c r="Q2447" s="235" t="s">
        <v>627</v>
      </c>
      <c r="R2447" s="238">
        <v>261.9</v>
      </c>
      <c r="S2447" s="238">
        <v>12.71</v>
      </c>
      <c r="T2447" s="238">
        <v>0.0</v>
      </c>
      <c r="U2447" s="238">
        <v>0.0</v>
      </c>
      <c r="V2447" s="238">
        <v>0.0</v>
      </c>
      <c r="W2447" s="238">
        <v>0.0</v>
      </c>
      <c r="X2447" s="235" t="s">
        <v>628</v>
      </c>
      <c r="Z2447" s="244"/>
      <c r="AA2447" s="244"/>
      <c r="AB2447" s="244"/>
      <c r="AC2447" s="235" t="s">
        <v>687</v>
      </c>
      <c r="AD2447" s="235" t="s">
        <v>666</v>
      </c>
      <c r="AE2447" s="238">
        <v>600032.0</v>
      </c>
      <c r="AF2447" s="235" t="s">
        <v>631</v>
      </c>
      <c r="AG2447" s="244"/>
      <c r="AH2447" s="244"/>
      <c r="AI2447" s="245"/>
      <c r="AJ2447" s="245"/>
      <c r="AK2447" s="245"/>
      <c r="AL2447" s="245"/>
      <c r="AM2447" s="244"/>
      <c r="AN2447" s="244"/>
      <c r="AO2447" s="238">
        <v>-7.86</v>
      </c>
      <c r="AP2447" s="238">
        <v>0.0</v>
      </c>
      <c r="AQ2447" s="235" t="s">
        <v>632</v>
      </c>
      <c r="AR2447" s="243">
        <v>3.71E11</v>
      </c>
      <c r="AS2447" s="235" t="s">
        <v>17988</v>
      </c>
      <c r="AT2447" s="235" t="s">
        <v>156</v>
      </c>
      <c r="AU2447" s="235" t="s">
        <v>634</v>
      </c>
      <c r="AV2447" s="246" t="s">
        <v>635</v>
      </c>
      <c r="AW2447" s="242"/>
      <c r="AX2447" s="242"/>
      <c r="AY2447" s="231"/>
      <c r="AZ2447" s="231"/>
      <c r="BA2447" s="227"/>
      <c r="BB2447" s="231"/>
      <c r="BC2447" s="227"/>
      <c r="BD2447" s="227"/>
      <c r="BE2447" s="227"/>
      <c r="BF2447" s="227"/>
    </row>
    <row r="2448">
      <c r="A2448" s="235" t="s">
        <v>18747</v>
      </c>
      <c r="C2448" s="235" t="s">
        <v>18748</v>
      </c>
      <c r="D2448" s="235" t="s">
        <v>18754</v>
      </c>
      <c r="E2448" s="243">
        <v>6.53E13</v>
      </c>
      <c r="F2448" s="245"/>
      <c r="G2448" s="235" t="s">
        <v>18750</v>
      </c>
      <c r="H2448" s="235" t="s">
        <v>18751</v>
      </c>
      <c r="I2448" s="235" t="s">
        <v>18751</v>
      </c>
      <c r="J2448" s="235" t="s">
        <v>18752</v>
      </c>
      <c r="K2448" s="235" t="s">
        <v>18753</v>
      </c>
      <c r="N2448" s="235" t="s">
        <v>55</v>
      </c>
      <c r="O2448" s="235" t="s">
        <v>244</v>
      </c>
      <c r="P2448" s="238">
        <v>1.0</v>
      </c>
      <c r="Q2448" s="235" t="s">
        <v>627</v>
      </c>
      <c r="R2448" s="238">
        <v>261.9</v>
      </c>
      <c r="S2448" s="238">
        <v>12.71</v>
      </c>
      <c r="T2448" s="238">
        <v>0.0</v>
      </c>
      <c r="U2448" s="238">
        <v>0.0</v>
      </c>
      <c r="V2448" s="238">
        <v>0.0</v>
      </c>
      <c r="W2448" s="238">
        <v>0.0</v>
      </c>
      <c r="X2448" s="235" t="s">
        <v>628</v>
      </c>
      <c r="Z2448" s="244"/>
      <c r="AA2448" s="244"/>
      <c r="AB2448" s="244"/>
      <c r="AC2448" s="235" t="s">
        <v>687</v>
      </c>
      <c r="AD2448" s="235" t="s">
        <v>666</v>
      </c>
      <c r="AE2448" s="238">
        <v>600032.0</v>
      </c>
      <c r="AF2448" s="235" t="s">
        <v>631</v>
      </c>
      <c r="AG2448" s="244"/>
      <c r="AH2448" s="244"/>
      <c r="AI2448" s="245"/>
      <c r="AJ2448" s="245"/>
      <c r="AK2448" s="245"/>
      <c r="AL2448" s="245"/>
      <c r="AM2448" s="244"/>
      <c r="AN2448" s="244"/>
      <c r="AO2448" s="238">
        <v>-7.86</v>
      </c>
      <c r="AP2448" s="238">
        <v>0.0</v>
      </c>
      <c r="AQ2448" s="235" t="s">
        <v>632</v>
      </c>
      <c r="AR2448" s="243">
        <v>3.71E11</v>
      </c>
      <c r="AS2448" s="235" t="s">
        <v>17988</v>
      </c>
      <c r="AT2448" s="235" t="s">
        <v>156</v>
      </c>
      <c r="AU2448" s="235" t="s">
        <v>634</v>
      </c>
      <c r="AV2448" s="246" t="s">
        <v>635</v>
      </c>
      <c r="AW2448" s="242"/>
      <c r="AX2448" s="242"/>
      <c r="AY2448" s="231"/>
      <c r="AZ2448" s="231"/>
      <c r="BA2448" s="227"/>
      <c r="BB2448" s="231"/>
      <c r="BC2448" s="227"/>
      <c r="BD2448" s="227"/>
      <c r="BE2448" s="227"/>
      <c r="BF2448" s="227"/>
    </row>
    <row r="2449">
      <c r="A2449" s="235" t="s">
        <v>18755</v>
      </c>
      <c r="C2449" s="235" t="s">
        <v>18756</v>
      </c>
      <c r="D2449" s="235" t="s">
        <v>18757</v>
      </c>
      <c r="E2449" s="243">
        <v>6.53E13</v>
      </c>
      <c r="F2449" s="245"/>
      <c r="G2449" s="235" t="s">
        <v>18758</v>
      </c>
      <c r="H2449" s="235" t="s">
        <v>18759</v>
      </c>
      <c r="I2449" s="235" t="s">
        <v>18759</v>
      </c>
      <c r="J2449" s="235" t="s">
        <v>18760</v>
      </c>
      <c r="K2449" s="235" t="s">
        <v>18761</v>
      </c>
      <c r="N2449" s="235" t="s">
        <v>134</v>
      </c>
      <c r="O2449" s="235" t="s">
        <v>314</v>
      </c>
      <c r="P2449" s="238">
        <v>1.0</v>
      </c>
      <c r="Q2449" s="235" t="s">
        <v>627</v>
      </c>
      <c r="R2449" s="238">
        <v>242.86</v>
      </c>
      <c r="S2449" s="238">
        <v>12.14</v>
      </c>
      <c r="T2449" s="238">
        <v>0.0</v>
      </c>
      <c r="U2449" s="238">
        <v>0.0</v>
      </c>
      <c r="V2449" s="238">
        <v>0.0</v>
      </c>
      <c r="W2449" s="238">
        <v>0.0</v>
      </c>
      <c r="X2449" s="235" t="s">
        <v>628</v>
      </c>
      <c r="Z2449" s="244"/>
      <c r="AA2449" s="244"/>
      <c r="AB2449" s="244"/>
      <c r="AC2449" s="235" t="s">
        <v>18762</v>
      </c>
      <c r="AD2449" s="235" t="s">
        <v>3113</v>
      </c>
      <c r="AE2449" s="238">
        <v>493885.0</v>
      </c>
      <c r="AF2449" s="235" t="s">
        <v>631</v>
      </c>
      <c r="AG2449" s="244"/>
      <c r="AH2449" s="244"/>
      <c r="AI2449" s="245"/>
      <c r="AJ2449" s="245"/>
      <c r="AK2449" s="245"/>
      <c r="AL2449" s="245"/>
      <c r="AM2449" s="244"/>
      <c r="AN2449" s="244"/>
      <c r="AO2449" s="238">
        <v>0.0</v>
      </c>
      <c r="AP2449" s="238">
        <v>0.0</v>
      </c>
      <c r="AQ2449" s="235" t="s">
        <v>632</v>
      </c>
      <c r="AR2449" s="243">
        <v>3.71E11</v>
      </c>
      <c r="AS2449" s="235" t="s">
        <v>13822</v>
      </c>
      <c r="AT2449" s="235" t="s">
        <v>9</v>
      </c>
      <c r="AU2449" s="235" t="s">
        <v>634</v>
      </c>
      <c r="AV2449" s="246" t="s">
        <v>635</v>
      </c>
      <c r="AW2449" s="242"/>
      <c r="AX2449" s="242"/>
      <c r="AY2449" s="231"/>
      <c r="AZ2449" s="231"/>
      <c r="BA2449" s="227"/>
      <c r="BB2449" s="231"/>
      <c r="BC2449" s="227"/>
      <c r="BD2449" s="227"/>
      <c r="BE2449" s="227"/>
      <c r="BF2449" s="227"/>
    </row>
    <row r="2450">
      <c r="A2450" s="235" t="s">
        <v>18763</v>
      </c>
      <c r="C2450" s="235" t="s">
        <v>18764</v>
      </c>
      <c r="D2450" s="235" t="s">
        <v>18765</v>
      </c>
      <c r="E2450" s="243">
        <v>6.52E13</v>
      </c>
      <c r="F2450" s="245"/>
      <c r="G2450" s="235" t="s">
        <v>18766</v>
      </c>
      <c r="H2450" s="235" t="s">
        <v>18767</v>
      </c>
      <c r="I2450" s="235" t="s">
        <v>18767</v>
      </c>
      <c r="J2450" s="235" t="s">
        <v>18768</v>
      </c>
      <c r="K2450" s="235" t="s">
        <v>18769</v>
      </c>
      <c r="N2450" s="235" t="s">
        <v>98</v>
      </c>
      <c r="O2450" s="235" t="s">
        <v>357</v>
      </c>
      <c r="P2450" s="238">
        <v>1.0</v>
      </c>
      <c r="Q2450" s="235" t="s">
        <v>627</v>
      </c>
      <c r="R2450" s="238">
        <v>246.67</v>
      </c>
      <c r="S2450" s="238">
        <v>12.33</v>
      </c>
      <c r="T2450" s="238">
        <v>38.1</v>
      </c>
      <c r="U2450" s="238">
        <v>1.9</v>
      </c>
      <c r="V2450" s="238">
        <v>0.0</v>
      </c>
      <c r="W2450" s="238">
        <v>0.0</v>
      </c>
      <c r="X2450" s="235" t="s">
        <v>628</v>
      </c>
      <c r="Z2450" s="244"/>
      <c r="AA2450" s="244"/>
      <c r="AB2450" s="244"/>
      <c r="AC2450" s="235" t="s">
        <v>844</v>
      </c>
      <c r="AD2450" s="235" t="s">
        <v>845</v>
      </c>
      <c r="AE2450" s="238">
        <v>411002.0</v>
      </c>
      <c r="AF2450" s="235" t="s">
        <v>631</v>
      </c>
      <c r="AG2450" s="244"/>
      <c r="AH2450" s="244"/>
      <c r="AI2450" s="245"/>
      <c r="AJ2450" s="245"/>
      <c r="AK2450" s="245"/>
      <c r="AL2450" s="245"/>
      <c r="AM2450" s="244"/>
      <c r="AN2450" s="244"/>
      <c r="AO2450" s="238">
        <v>0.0</v>
      </c>
      <c r="AP2450" s="238">
        <v>-38.1</v>
      </c>
      <c r="AQ2450" s="235" t="s">
        <v>632</v>
      </c>
      <c r="AR2450" s="243">
        <v>3.71E11</v>
      </c>
      <c r="AS2450" s="235" t="s">
        <v>12693</v>
      </c>
      <c r="AT2450" s="235" t="s">
        <v>11</v>
      </c>
      <c r="AU2450" s="235" t="s">
        <v>634</v>
      </c>
      <c r="AV2450" s="246" t="s">
        <v>635</v>
      </c>
      <c r="AW2450" s="242"/>
      <c r="AX2450" s="242"/>
      <c r="AY2450" s="231"/>
      <c r="AZ2450" s="231"/>
      <c r="BA2450" s="227"/>
      <c r="BB2450" s="231"/>
      <c r="BC2450" s="227"/>
      <c r="BD2450" s="227"/>
      <c r="BE2450" s="227"/>
      <c r="BF2450" s="227"/>
    </row>
    <row r="2451">
      <c r="A2451" s="235" t="s">
        <v>18770</v>
      </c>
      <c r="C2451" s="235" t="s">
        <v>18771</v>
      </c>
      <c r="D2451" s="235" t="s">
        <v>18772</v>
      </c>
      <c r="E2451" s="243">
        <v>6.53E13</v>
      </c>
      <c r="F2451" s="245"/>
      <c r="G2451" s="235" t="s">
        <v>18773</v>
      </c>
      <c r="H2451" s="235" t="s">
        <v>18774</v>
      </c>
      <c r="I2451" s="235" t="s">
        <v>18774</v>
      </c>
      <c r="J2451" s="235" t="s">
        <v>18775</v>
      </c>
      <c r="K2451" s="235" t="s">
        <v>18776</v>
      </c>
      <c r="N2451" s="235" t="s">
        <v>68</v>
      </c>
      <c r="O2451" s="235" t="s">
        <v>208</v>
      </c>
      <c r="P2451" s="238">
        <v>1.0</v>
      </c>
      <c r="Q2451" s="235" t="s">
        <v>627</v>
      </c>
      <c r="R2451" s="238">
        <v>261.9</v>
      </c>
      <c r="S2451" s="238">
        <v>13.1</v>
      </c>
      <c r="T2451" s="238">
        <v>0.0</v>
      </c>
      <c r="U2451" s="238">
        <v>0.0</v>
      </c>
      <c r="V2451" s="238">
        <v>0.0</v>
      </c>
      <c r="W2451" s="238">
        <v>0.0</v>
      </c>
      <c r="X2451" s="235" t="s">
        <v>628</v>
      </c>
      <c r="Z2451" s="244"/>
      <c r="AA2451" s="244"/>
      <c r="AB2451" s="244"/>
      <c r="AC2451" s="235" t="s">
        <v>687</v>
      </c>
      <c r="AD2451" s="235" t="s">
        <v>666</v>
      </c>
      <c r="AE2451" s="238">
        <v>600071.0</v>
      </c>
      <c r="AF2451" s="235" t="s">
        <v>631</v>
      </c>
      <c r="AG2451" s="244"/>
      <c r="AH2451" s="244"/>
      <c r="AI2451" s="245"/>
      <c r="AJ2451" s="245"/>
      <c r="AK2451" s="245"/>
      <c r="AL2451" s="245"/>
      <c r="AM2451" s="244"/>
      <c r="AN2451" s="244"/>
      <c r="AO2451" s="238">
        <v>0.0</v>
      </c>
      <c r="AP2451" s="238">
        <v>0.0</v>
      </c>
      <c r="AQ2451" s="235" t="s">
        <v>632</v>
      </c>
      <c r="AR2451" s="243">
        <v>1.68E11</v>
      </c>
      <c r="AS2451" s="235" t="s">
        <v>18462</v>
      </c>
      <c r="AT2451" s="235" t="s">
        <v>156</v>
      </c>
      <c r="AU2451" s="235" t="s">
        <v>634</v>
      </c>
      <c r="AV2451" s="246" t="s">
        <v>635</v>
      </c>
      <c r="AW2451" s="242"/>
      <c r="AX2451" s="242"/>
      <c r="AY2451" s="231"/>
      <c r="AZ2451" s="231"/>
      <c r="BA2451" s="227"/>
      <c r="BB2451" s="231"/>
      <c r="BC2451" s="227"/>
      <c r="BD2451" s="227"/>
      <c r="BE2451" s="227"/>
      <c r="BF2451" s="227"/>
    </row>
    <row r="2452">
      <c r="A2452" s="235" t="s">
        <v>18777</v>
      </c>
      <c r="C2452" s="235" t="s">
        <v>18778</v>
      </c>
      <c r="D2452" s="235" t="s">
        <v>18779</v>
      </c>
      <c r="E2452" s="243">
        <v>6.53E13</v>
      </c>
      <c r="F2452" s="245"/>
      <c r="G2452" s="235" t="s">
        <v>18780</v>
      </c>
      <c r="H2452" s="235" t="s">
        <v>18781</v>
      </c>
      <c r="I2452" s="235" t="s">
        <v>18713</v>
      </c>
      <c r="J2452" s="235" t="s">
        <v>18782</v>
      </c>
      <c r="K2452" s="235" t="s">
        <v>18783</v>
      </c>
      <c r="N2452" s="235" t="s">
        <v>120</v>
      </c>
      <c r="O2452" s="235" t="s">
        <v>324</v>
      </c>
      <c r="P2452" s="238">
        <v>1.0</v>
      </c>
      <c r="Q2452" s="235" t="s">
        <v>627</v>
      </c>
      <c r="R2452" s="238">
        <v>270.48</v>
      </c>
      <c r="S2452" s="238">
        <v>13.52</v>
      </c>
      <c r="T2452" s="238">
        <v>0.0</v>
      </c>
      <c r="U2452" s="238">
        <v>0.0</v>
      </c>
      <c r="V2452" s="238">
        <v>0.0</v>
      </c>
      <c r="W2452" s="238">
        <v>0.0</v>
      </c>
      <c r="X2452" s="235" t="s">
        <v>628</v>
      </c>
      <c r="Z2452" s="244"/>
      <c r="AA2452" s="244"/>
      <c r="AB2452" s="244"/>
      <c r="AC2452" s="235" t="s">
        <v>687</v>
      </c>
      <c r="AD2452" s="235" t="s">
        <v>666</v>
      </c>
      <c r="AE2452" s="238">
        <v>600086.0</v>
      </c>
      <c r="AF2452" s="235" t="s">
        <v>631</v>
      </c>
      <c r="AG2452" s="244"/>
      <c r="AH2452" s="244"/>
      <c r="AI2452" s="245"/>
      <c r="AJ2452" s="245"/>
      <c r="AK2452" s="245"/>
      <c r="AL2452" s="245"/>
      <c r="AM2452" s="244"/>
      <c r="AN2452" s="244"/>
      <c r="AO2452" s="238">
        <v>0.0</v>
      </c>
      <c r="AP2452" s="238">
        <v>0.0</v>
      </c>
      <c r="AQ2452" s="235" t="s">
        <v>632</v>
      </c>
      <c r="AR2452" s="243">
        <v>1.68E11</v>
      </c>
      <c r="AS2452" s="235" t="s">
        <v>18462</v>
      </c>
      <c r="AT2452" s="235" t="s">
        <v>156</v>
      </c>
      <c r="AU2452" s="235" t="s">
        <v>634</v>
      </c>
      <c r="AV2452" s="246" t="s">
        <v>635</v>
      </c>
      <c r="AW2452" s="242"/>
      <c r="AX2452" s="242"/>
      <c r="AY2452" s="231"/>
      <c r="AZ2452" s="231"/>
      <c r="BA2452" s="227"/>
      <c r="BB2452" s="231"/>
      <c r="BC2452" s="227"/>
      <c r="BD2452" s="227"/>
      <c r="BE2452" s="227"/>
      <c r="BF2452" s="227"/>
    </row>
    <row r="2453">
      <c r="A2453" s="235" t="s">
        <v>18784</v>
      </c>
      <c r="C2453" s="235" t="s">
        <v>18785</v>
      </c>
      <c r="D2453" s="235" t="s">
        <v>18786</v>
      </c>
      <c r="E2453" s="243">
        <v>6.53E13</v>
      </c>
      <c r="F2453" s="245"/>
      <c r="G2453" s="235" t="s">
        <v>18787</v>
      </c>
      <c r="H2453" s="235" t="s">
        <v>18788</v>
      </c>
      <c r="I2453" s="235" t="s">
        <v>18788</v>
      </c>
      <c r="J2453" s="235" t="s">
        <v>18789</v>
      </c>
      <c r="K2453" s="235" t="s">
        <v>18790</v>
      </c>
      <c r="N2453" s="235" t="s">
        <v>962</v>
      </c>
      <c r="O2453" s="235" t="s">
        <v>963</v>
      </c>
      <c r="P2453" s="238">
        <v>1.0</v>
      </c>
      <c r="Q2453" s="235" t="s">
        <v>627</v>
      </c>
      <c r="R2453" s="238">
        <v>270.48</v>
      </c>
      <c r="S2453" s="238">
        <v>13.52</v>
      </c>
      <c r="T2453" s="238">
        <v>0.0</v>
      </c>
      <c r="U2453" s="238">
        <v>0.0</v>
      </c>
      <c r="V2453" s="238">
        <v>0.0</v>
      </c>
      <c r="W2453" s="238">
        <v>0.0</v>
      </c>
      <c r="X2453" s="235" t="s">
        <v>628</v>
      </c>
      <c r="Z2453" s="244"/>
      <c r="AA2453" s="244"/>
      <c r="AB2453" s="244"/>
      <c r="AC2453" s="235" t="s">
        <v>687</v>
      </c>
      <c r="AD2453" s="235" t="s">
        <v>666</v>
      </c>
      <c r="AE2453" s="238">
        <v>600078.0</v>
      </c>
      <c r="AF2453" s="235" t="s">
        <v>631</v>
      </c>
      <c r="AG2453" s="244"/>
      <c r="AH2453" s="244"/>
      <c r="AI2453" s="245"/>
      <c r="AJ2453" s="245"/>
      <c r="AK2453" s="245"/>
      <c r="AL2453" s="245"/>
      <c r="AM2453" s="244"/>
      <c r="AN2453" s="244"/>
      <c r="AO2453" s="238">
        <v>0.0</v>
      </c>
      <c r="AP2453" s="238">
        <v>0.0</v>
      </c>
      <c r="AQ2453" s="235" t="s">
        <v>632</v>
      </c>
      <c r="AR2453" s="243">
        <v>1.68E11</v>
      </c>
      <c r="AS2453" s="235" t="s">
        <v>18462</v>
      </c>
      <c r="AT2453" s="235" t="s">
        <v>156</v>
      </c>
      <c r="AU2453" s="235" t="s">
        <v>634</v>
      </c>
      <c r="AV2453" s="246" t="s">
        <v>635</v>
      </c>
      <c r="AW2453" s="242"/>
      <c r="AX2453" s="242"/>
      <c r="AY2453" s="231"/>
      <c r="AZ2453" s="231"/>
      <c r="BA2453" s="227"/>
      <c r="BB2453" s="231"/>
      <c r="BC2453" s="227"/>
      <c r="BD2453" s="227"/>
      <c r="BE2453" s="227"/>
      <c r="BF2453" s="227"/>
    </row>
    <row r="2454">
      <c r="A2454" s="235" t="s">
        <v>18791</v>
      </c>
      <c r="C2454" s="235" t="s">
        <v>18792</v>
      </c>
      <c r="D2454" s="235" t="s">
        <v>18793</v>
      </c>
      <c r="E2454" s="243">
        <v>6.53E13</v>
      </c>
      <c r="F2454" s="245"/>
      <c r="G2454" s="235" t="s">
        <v>18794</v>
      </c>
      <c r="H2454" s="235" t="s">
        <v>18795</v>
      </c>
      <c r="I2454" s="235" t="s">
        <v>18795</v>
      </c>
      <c r="J2454" s="235" t="s">
        <v>18796</v>
      </c>
      <c r="K2454" s="235" t="s">
        <v>18797</v>
      </c>
      <c r="N2454" s="235" t="s">
        <v>154</v>
      </c>
      <c r="O2454" s="235" t="s">
        <v>766</v>
      </c>
      <c r="P2454" s="238">
        <v>1.0</v>
      </c>
      <c r="Q2454" s="235" t="s">
        <v>627</v>
      </c>
      <c r="R2454" s="238">
        <v>500.96</v>
      </c>
      <c r="S2454" s="238">
        <v>25.04</v>
      </c>
      <c r="T2454" s="238">
        <v>0.0</v>
      </c>
      <c r="U2454" s="238">
        <v>0.0</v>
      </c>
      <c r="V2454" s="238">
        <v>0.0</v>
      </c>
      <c r="W2454" s="238">
        <v>0.0</v>
      </c>
      <c r="X2454" s="235" t="s">
        <v>628</v>
      </c>
      <c r="Z2454" s="244"/>
      <c r="AA2454" s="244"/>
      <c r="AB2454" s="244"/>
      <c r="AC2454" s="235" t="s">
        <v>5679</v>
      </c>
      <c r="AD2454" s="235" t="s">
        <v>679</v>
      </c>
      <c r="AE2454" s="238">
        <v>570001.0</v>
      </c>
      <c r="AF2454" s="235" t="s">
        <v>631</v>
      </c>
      <c r="AG2454" s="244"/>
      <c r="AH2454" s="244"/>
      <c r="AI2454" s="245"/>
      <c r="AJ2454" s="245"/>
      <c r="AK2454" s="245"/>
      <c r="AL2454" s="245"/>
      <c r="AM2454" s="244"/>
      <c r="AN2454" s="244"/>
      <c r="AO2454" s="238">
        <v>0.0</v>
      </c>
      <c r="AP2454" s="238">
        <v>0.0</v>
      </c>
      <c r="AQ2454" s="235" t="s">
        <v>632</v>
      </c>
      <c r="AR2454" s="243">
        <v>3.71E11</v>
      </c>
      <c r="AS2454" s="235" t="s">
        <v>17988</v>
      </c>
      <c r="AT2454" s="235" t="s">
        <v>11</v>
      </c>
      <c r="AU2454" s="235" t="s">
        <v>634</v>
      </c>
      <c r="AV2454" s="246" t="s">
        <v>635</v>
      </c>
      <c r="AW2454" s="242"/>
      <c r="AX2454" s="242"/>
      <c r="AY2454" s="231"/>
      <c r="AZ2454" s="231"/>
      <c r="BA2454" s="227"/>
      <c r="BB2454" s="231"/>
      <c r="BC2454" s="227"/>
      <c r="BD2454" s="227"/>
      <c r="BE2454" s="227"/>
      <c r="BF2454" s="227"/>
    </row>
    <row r="2455">
      <c r="A2455" s="235" t="s">
        <v>18798</v>
      </c>
      <c r="C2455" s="235" t="s">
        <v>18799</v>
      </c>
      <c r="D2455" s="235" t="s">
        <v>18800</v>
      </c>
      <c r="E2455" s="243">
        <v>6.53E13</v>
      </c>
      <c r="F2455" s="245"/>
      <c r="G2455" s="235" t="s">
        <v>18801</v>
      </c>
      <c r="H2455" s="235" t="s">
        <v>18802</v>
      </c>
      <c r="I2455" s="235" t="s">
        <v>18803</v>
      </c>
      <c r="J2455" s="235" t="s">
        <v>18804</v>
      </c>
      <c r="K2455" s="235" t="s">
        <v>18805</v>
      </c>
      <c r="N2455" s="235" t="s">
        <v>962</v>
      </c>
      <c r="O2455" s="235" t="s">
        <v>963</v>
      </c>
      <c r="P2455" s="238">
        <v>1.0</v>
      </c>
      <c r="Q2455" s="235" t="s">
        <v>627</v>
      </c>
      <c r="R2455" s="238">
        <v>245.72</v>
      </c>
      <c r="S2455" s="238">
        <v>12.04</v>
      </c>
      <c r="T2455" s="238">
        <v>0.0</v>
      </c>
      <c r="U2455" s="238">
        <v>0.0</v>
      </c>
      <c r="V2455" s="238">
        <v>0.0</v>
      </c>
      <c r="W2455" s="238">
        <v>0.0</v>
      </c>
      <c r="X2455" s="235" t="s">
        <v>628</v>
      </c>
      <c r="Z2455" s="244"/>
      <c r="AA2455" s="244"/>
      <c r="AB2455" s="244"/>
      <c r="AC2455" s="235" t="s">
        <v>1058</v>
      </c>
      <c r="AD2455" s="235" t="s">
        <v>845</v>
      </c>
      <c r="AE2455" s="238">
        <v>400053.0</v>
      </c>
      <c r="AF2455" s="235" t="s">
        <v>631</v>
      </c>
      <c r="AG2455" s="244"/>
      <c r="AH2455" s="244"/>
      <c r="AI2455" s="245"/>
      <c r="AJ2455" s="245"/>
      <c r="AK2455" s="245"/>
      <c r="AL2455" s="245"/>
      <c r="AM2455" s="244"/>
      <c r="AN2455" s="244"/>
      <c r="AO2455" s="238">
        <v>-4.92</v>
      </c>
      <c r="AP2455" s="238">
        <v>0.0</v>
      </c>
      <c r="AQ2455" s="235" t="s">
        <v>632</v>
      </c>
      <c r="AR2455" s="243">
        <v>3.71E11</v>
      </c>
      <c r="AS2455" s="235" t="s">
        <v>17988</v>
      </c>
      <c r="AT2455" s="235" t="s">
        <v>17</v>
      </c>
      <c r="AU2455" s="235" t="s">
        <v>634</v>
      </c>
      <c r="AV2455" s="246" t="s">
        <v>635</v>
      </c>
      <c r="AW2455" s="242"/>
      <c r="AX2455" s="242"/>
      <c r="AY2455" s="231"/>
      <c r="AZ2455" s="231"/>
      <c r="BA2455" s="227"/>
      <c r="BB2455" s="231"/>
      <c r="BC2455" s="227"/>
      <c r="BD2455" s="227"/>
      <c r="BE2455" s="227"/>
      <c r="BF2455" s="227"/>
    </row>
    <row r="2456">
      <c r="A2456" s="235" t="s">
        <v>18806</v>
      </c>
      <c r="C2456" s="235" t="s">
        <v>18807</v>
      </c>
      <c r="D2456" s="235" t="s">
        <v>18808</v>
      </c>
      <c r="E2456" s="243">
        <v>6.53E13</v>
      </c>
      <c r="F2456" s="245"/>
      <c r="G2456" s="235" t="s">
        <v>18809</v>
      </c>
      <c r="H2456" s="235" t="s">
        <v>18810</v>
      </c>
      <c r="I2456" s="235" t="s">
        <v>18810</v>
      </c>
      <c r="J2456" s="235" t="s">
        <v>18811</v>
      </c>
      <c r="K2456" s="235" t="s">
        <v>18812</v>
      </c>
      <c r="N2456" s="235" t="s">
        <v>41</v>
      </c>
      <c r="O2456" s="235" t="s">
        <v>291</v>
      </c>
      <c r="P2456" s="238">
        <v>1.0</v>
      </c>
      <c r="Q2456" s="235" t="s">
        <v>627</v>
      </c>
      <c r="R2456" s="238">
        <v>270.48</v>
      </c>
      <c r="S2456" s="238">
        <v>13.52</v>
      </c>
      <c r="T2456" s="238">
        <v>0.0</v>
      </c>
      <c r="U2456" s="238">
        <v>0.0</v>
      </c>
      <c r="V2456" s="238">
        <v>0.0</v>
      </c>
      <c r="W2456" s="238">
        <v>0.0</v>
      </c>
      <c r="X2456" s="235" t="s">
        <v>628</v>
      </c>
      <c r="Z2456" s="244"/>
      <c r="AA2456" s="244"/>
      <c r="AB2456" s="244"/>
      <c r="AC2456" s="235" t="s">
        <v>18813</v>
      </c>
      <c r="AD2456" s="235" t="s">
        <v>666</v>
      </c>
      <c r="AE2456" s="238">
        <v>624001.0</v>
      </c>
      <c r="AF2456" s="235" t="s">
        <v>631</v>
      </c>
      <c r="AG2456" s="244"/>
      <c r="AH2456" s="244"/>
      <c r="AI2456" s="245"/>
      <c r="AJ2456" s="245"/>
      <c r="AK2456" s="245"/>
      <c r="AL2456" s="245"/>
      <c r="AM2456" s="244"/>
      <c r="AN2456" s="244"/>
      <c r="AO2456" s="238">
        <v>0.0</v>
      </c>
      <c r="AP2456" s="238">
        <v>0.0</v>
      </c>
      <c r="AQ2456" s="235" t="s">
        <v>632</v>
      </c>
      <c r="AR2456" s="243">
        <v>3.71E11</v>
      </c>
      <c r="AS2456" s="235" t="s">
        <v>16626</v>
      </c>
      <c r="AT2456" s="235" t="s">
        <v>156</v>
      </c>
      <c r="AU2456" s="235" t="s">
        <v>634</v>
      </c>
      <c r="AV2456" s="246" t="s">
        <v>635</v>
      </c>
      <c r="AW2456" s="242"/>
      <c r="AX2456" s="242"/>
      <c r="AY2456" s="231"/>
      <c r="AZ2456" s="231"/>
      <c r="BA2456" s="227"/>
      <c r="BB2456" s="231"/>
      <c r="BC2456" s="227"/>
      <c r="BD2456" s="227"/>
      <c r="BE2456" s="227"/>
      <c r="BF2456" s="227"/>
    </row>
    <row r="2457">
      <c r="A2457" s="235" t="s">
        <v>18814</v>
      </c>
      <c r="C2457" s="235" t="s">
        <v>18815</v>
      </c>
      <c r="D2457" s="235" t="s">
        <v>18816</v>
      </c>
      <c r="E2457" s="243">
        <v>6.53E13</v>
      </c>
      <c r="F2457" s="245"/>
      <c r="G2457" s="235" t="s">
        <v>18817</v>
      </c>
      <c r="H2457" s="235" t="s">
        <v>18818</v>
      </c>
      <c r="I2457" s="235" t="s">
        <v>18818</v>
      </c>
      <c r="J2457" s="235" t="s">
        <v>18819</v>
      </c>
      <c r="K2457" s="235" t="s">
        <v>18820</v>
      </c>
      <c r="N2457" s="235" t="s">
        <v>51</v>
      </c>
      <c r="O2457" s="235" t="s">
        <v>273</v>
      </c>
      <c r="P2457" s="238">
        <v>1.0</v>
      </c>
      <c r="Q2457" s="235" t="s">
        <v>627</v>
      </c>
      <c r="R2457" s="238">
        <v>270.48</v>
      </c>
      <c r="S2457" s="238">
        <v>13.52</v>
      </c>
      <c r="T2457" s="238">
        <v>0.0</v>
      </c>
      <c r="U2457" s="238">
        <v>0.0</v>
      </c>
      <c r="V2457" s="238">
        <v>0.0</v>
      </c>
      <c r="W2457" s="238">
        <v>0.0</v>
      </c>
      <c r="X2457" s="235" t="s">
        <v>628</v>
      </c>
      <c r="Z2457" s="244"/>
      <c r="AA2457" s="244"/>
      <c r="AB2457" s="244"/>
      <c r="AC2457" s="235" t="s">
        <v>687</v>
      </c>
      <c r="AD2457" s="235" t="s">
        <v>666</v>
      </c>
      <c r="AE2457" s="238">
        <v>600059.0</v>
      </c>
      <c r="AF2457" s="235" t="s">
        <v>631</v>
      </c>
      <c r="AG2457" s="244"/>
      <c r="AH2457" s="244"/>
      <c r="AI2457" s="245"/>
      <c r="AJ2457" s="245"/>
      <c r="AK2457" s="245"/>
      <c r="AL2457" s="245"/>
      <c r="AM2457" s="244"/>
      <c r="AN2457" s="244"/>
      <c r="AO2457" s="238">
        <v>0.0</v>
      </c>
      <c r="AP2457" s="238">
        <v>0.0</v>
      </c>
      <c r="AQ2457" s="235" t="s">
        <v>632</v>
      </c>
      <c r="AR2457" s="243">
        <v>1.68E11</v>
      </c>
      <c r="AS2457" s="235" t="s">
        <v>18462</v>
      </c>
      <c r="AT2457" s="235" t="s">
        <v>156</v>
      </c>
      <c r="AU2457" s="235" t="s">
        <v>634</v>
      </c>
      <c r="AV2457" s="246" t="s">
        <v>635</v>
      </c>
      <c r="AW2457" s="242"/>
      <c r="AX2457" s="242"/>
      <c r="AY2457" s="231"/>
      <c r="AZ2457" s="231"/>
      <c r="BA2457" s="227"/>
      <c r="BB2457" s="231"/>
      <c r="BC2457" s="227"/>
      <c r="BD2457" s="227"/>
      <c r="BE2457" s="227"/>
      <c r="BF2457" s="227"/>
    </row>
    <row r="2458">
      <c r="A2458" s="235" t="s">
        <v>18821</v>
      </c>
      <c r="C2458" s="235" t="s">
        <v>18822</v>
      </c>
      <c r="D2458" s="235" t="s">
        <v>18823</v>
      </c>
      <c r="E2458" s="243">
        <v>6.53E13</v>
      </c>
      <c r="F2458" s="245"/>
      <c r="G2458" s="235" t="s">
        <v>18824</v>
      </c>
      <c r="H2458" s="235" t="s">
        <v>18825</v>
      </c>
      <c r="I2458" s="235" t="s">
        <v>18825</v>
      </c>
      <c r="J2458" s="235" t="s">
        <v>18826</v>
      </c>
      <c r="K2458" s="235" t="s">
        <v>18827</v>
      </c>
      <c r="N2458" s="235" t="s">
        <v>3</v>
      </c>
      <c r="O2458" s="235" t="s">
        <v>654</v>
      </c>
      <c r="P2458" s="238">
        <v>1.0</v>
      </c>
      <c r="Q2458" s="235" t="s">
        <v>627</v>
      </c>
      <c r="R2458" s="238">
        <v>284.76</v>
      </c>
      <c r="S2458" s="238">
        <v>14.24</v>
      </c>
      <c r="T2458" s="238">
        <v>0.0</v>
      </c>
      <c r="U2458" s="238">
        <v>0.0</v>
      </c>
      <c r="V2458" s="238">
        <v>0.0</v>
      </c>
      <c r="W2458" s="238">
        <v>0.0</v>
      </c>
      <c r="X2458" s="235" t="s">
        <v>628</v>
      </c>
      <c r="Z2458" s="244"/>
      <c r="AA2458" s="244"/>
      <c r="AB2458" s="244"/>
      <c r="AC2458" s="235" t="s">
        <v>4533</v>
      </c>
      <c r="AD2458" s="235" t="s">
        <v>833</v>
      </c>
      <c r="AE2458" s="238">
        <v>517002.0</v>
      </c>
      <c r="AF2458" s="235" t="s">
        <v>631</v>
      </c>
      <c r="AG2458" s="244"/>
      <c r="AH2458" s="244"/>
      <c r="AI2458" s="245"/>
      <c r="AJ2458" s="245"/>
      <c r="AK2458" s="245"/>
      <c r="AL2458" s="245"/>
      <c r="AM2458" s="244"/>
      <c r="AN2458" s="244"/>
      <c r="AO2458" s="238">
        <v>0.0</v>
      </c>
      <c r="AP2458" s="238">
        <v>0.0</v>
      </c>
      <c r="AQ2458" s="235" t="s">
        <v>632</v>
      </c>
      <c r="AR2458" s="243">
        <v>3.71E11</v>
      </c>
      <c r="AS2458" s="235" t="s">
        <v>17988</v>
      </c>
      <c r="AT2458" s="235" t="s">
        <v>156</v>
      </c>
      <c r="AU2458" s="235" t="s">
        <v>634</v>
      </c>
      <c r="AV2458" s="246" t="s">
        <v>635</v>
      </c>
      <c r="AW2458" s="242"/>
      <c r="AX2458" s="242"/>
      <c r="AY2458" s="231"/>
      <c r="AZ2458" s="231"/>
      <c r="BA2458" s="227"/>
      <c r="BB2458" s="231"/>
      <c r="BC2458" s="227"/>
      <c r="BD2458" s="227"/>
      <c r="BE2458" s="227"/>
      <c r="BF2458" s="227"/>
    </row>
    <row r="2459">
      <c r="A2459" s="235" t="s">
        <v>18828</v>
      </c>
      <c r="C2459" s="235" t="s">
        <v>18829</v>
      </c>
      <c r="D2459" s="235" t="s">
        <v>18830</v>
      </c>
      <c r="E2459" s="243">
        <v>6.53E13</v>
      </c>
      <c r="F2459" s="245"/>
      <c r="G2459" s="235" t="s">
        <v>18831</v>
      </c>
      <c r="H2459" s="235" t="s">
        <v>18832</v>
      </c>
      <c r="I2459" s="235" t="s">
        <v>18832</v>
      </c>
      <c r="J2459" s="235" t="s">
        <v>18833</v>
      </c>
      <c r="K2459" s="235" t="s">
        <v>18834</v>
      </c>
      <c r="N2459" s="235" t="s">
        <v>1346</v>
      </c>
      <c r="O2459" s="235" t="s">
        <v>1347</v>
      </c>
      <c r="P2459" s="238">
        <v>1.0</v>
      </c>
      <c r="Q2459" s="235" t="s">
        <v>627</v>
      </c>
      <c r="R2459" s="238">
        <v>256.19</v>
      </c>
      <c r="S2459" s="238">
        <v>12.81</v>
      </c>
      <c r="T2459" s="238">
        <v>0.0</v>
      </c>
      <c r="U2459" s="238">
        <v>0.0</v>
      </c>
      <c r="V2459" s="238">
        <v>0.0</v>
      </c>
      <c r="W2459" s="238">
        <v>0.0</v>
      </c>
      <c r="X2459" s="235" t="s">
        <v>628</v>
      </c>
      <c r="Z2459" s="244"/>
      <c r="AA2459" s="244"/>
      <c r="AB2459" s="244"/>
      <c r="AC2459" s="235" t="s">
        <v>18835</v>
      </c>
      <c r="AD2459" s="235" t="s">
        <v>833</v>
      </c>
      <c r="AE2459" s="238">
        <v>533437.0</v>
      </c>
      <c r="AF2459" s="235" t="s">
        <v>631</v>
      </c>
      <c r="AG2459" s="244"/>
      <c r="AH2459" s="244"/>
      <c r="AI2459" s="245"/>
      <c r="AJ2459" s="245"/>
      <c r="AK2459" s="245"/>
      <c r="AL2459" s="245"/>
      <c r="AM2459" s="244"/>
      <c r="AN2459" s="244"/>
      <c r="AO2459" s="238">
        <v>0.0</v>
      </c>
      <c r="AP2459" s="238">
        <v>0.0</v>
      </c>
      <c r="AQ2459" s="235" t="s">
        <v>632</v>
      </c>
      <c r="AR2459" s="243">
        <v>3.71E11</v>
      </c>
      <c r="AS2459" s="235" t="s">
        <v>12693</v>
      </c>
      <c r="AT2459" s="235" t="s">
        <v>156</v>
      </c>
      <c r="AU2459" s="235" t="s">
        <v>634</v>
      </c>
      <c r="AV2459" s="246" t="s">
        <v>635</v>
      </c>
      <c r="AW2459" s="242"/>
      <c r="AX2459" s="242"/>
      <c r="AY2459" s="231"/>
      <c r="AZ2459" s="231"/>
      <c r="BA2459" s="227"/>
      <c r="BB2459" s="231"/>
      <c r="BC2459" s="227"/>
      <c r="BD2459" s="227"/>
      <c r="BE2459" s="227"/>
      <c r="BF2459" s="227"/>
    </row>
    <row r="2460">
      <c r="A2460" s="235" t="s">
        <v>18836</v>
      </c>
      <c r="C2460" s="235" t="s">
        <v>18837</v>
      </c>
      <c r="D2460" s="235" t="s">
        <v>18838</v>
      </c>
      <c r="E2460" s="243">
        <v>6.53E13</v>
      </c>
      <c r="F2460" s="245"/>
      <c r="G2460" s="235" t="s">
        <v>18839</v>
      </c>
      <c r="H2460" s="235" t="s">
        <v>18840</v>
      </c>
      <c r="I2460" s="235" t="s">
        <v>18840</v>
      </c>
      <c r="J2460" s="235" t="s">
        <v>18841</v>
      </c>
      <c r="K2460" s="235" t="s">
        <v>18842</v>
      </c>
      <c r="N2460" s="235" t="s">
        <v>54</v>
      </c>
      <c r="O2460" s="235" t="s">
        <v>294</v>
      </c>
      <c r="P2460" s="238">
        <v>1.0</v>
      </c>
      <c r="Q2460" s="235" t="s">
        <v>627</v>
      </c>
      <c r="R2460" s="238">
        <v>261.9</v>
      </c>
      <c r="S2460" s="238">
        <v>13.1</v>
      </c>
      <c r="T2460" s="238">
        <v>38.1</v>
      </c>
      <c r="U2460" s="238">
        <v>1.9</v>
      </c>
      <c r="V2460" s="238">
        <v>0.0</v>
      </c>
      <c r="W2460" s="238">
        <v>0.0</v>
      </c>
      <c r="X2460" s="235" t="s">
        <v>628</v>
      </c>
      <c r="Z2460" s="244"/>
      <c r="AA2460" s="244"/>
      <c r="AB2460" s="244"/>
      <c r="AC2460" s="235" t="s">
        <v>18843</v>
      </c>
      <c r="AD2460" s="235" t="s">
        <v>1086</v>
      </c>
      <c r="AE2460" s="238">
        <v>144601.0</v>
      </c>
      <c r="AF2460" s="235" t="s">
        <v>631</v>
      </c>
      <c r="AG2460" s="244"/>
      <c r="AH2460" s="244"/>
      <c r="AI2460" s="245"/>
      <c r="AJ2460" s="245"/>
      <c r="AK2460" s="245"/>
      <c r="AL2460" s="245"/>
      <c r="AM2460" s="244"/>
      <c r="AN2460" s="244"/>
      <c r="AO2460" s="238">
        <v>0.0</v>
      </c>
      <c r="AP2460" s="238">
        <v>-38.1</v>
      </c>
      <c r="AQ2460" s="235" t="s">
        <v>632</v>
      </c>
      <c r="AR2460" s="243">
        <v>3.71E11</v>
      </c>
      <c r="AS2460" s="235" t="s">
        <v>12693</v>
      </c>
      <c r="AT2460" s="235" t="s">
        <v>9</v>
      </c>
      <c r="AU2460" s="235" t="s">
        <v>634</v>
      </c>
      <c r="AV2460" s="246" t="s">
        <v>635</v>
      </c>
      <c r="AW2460" s="242"/>
      <c r="AX2460" s="242"/>
      <c r="AY2460" s="231"/>
      <c r="AZ2460" s="231"/>
      <c r="BA2460" s="227"/>
      <c r="BB2460" s="231"/>
      <c r="BC2460" s="227"/>
      <c r="BD2460" s="227"/>
      <c r="BE2460" s="227"/>
      <c r="BF2460" s="227"/>
    </row>
    <row r="2461">
      <c r="A2461" s="235" t="s">
        <v>18844</v>
      </c>
      <c r="C2461" s="235" t="s">
        <v>18845</v>
      </c>
      <c r="D2461" s="235" t="s">
        <v>18846</v>
      </c>
      <c r="E2461" s="243">
        <v>6.53E13</v>
      </c>
      <c r="F2461" s="245"/>
      <c r="G2461" s="235" t="s">
        <v>18847</v>
      </c>
      <c r="H2461" s="235" t="s">
        <v>18848</v>
      </c>
      <c r="I2461" s="235" t="s">
        <v>18848</v>
      </c>
      <c r="J2461" s="235" t="s">
        <v>18849</v>
      </c>
      <c r="K2461" s="235" t="s">
        <v>18850</v>
      </c>
      <c r="N2461" s="235" t="s">
        <v>47</v>
      </c>
      <c r="O2461" s="235" t="s">
        <v>270</v>
      </c>
      <c r="P2461" s="238">
        <v>1.0</v>
      </c>
      <c r="Q2461" s="235" t="s">
        <v>627</v>
      </c>
      <c r="R2461" s="238">
        <v>270.48</v>
      </c>
      <c r="S2461" s="238">
        <v>13.52</v>
      </c>
      <c r="T2461" s="238">
        <v>0.0</v>
      </c>
      <c r="U2461" s="238">
        <v>0.0</v>
      </c>
      <c r="V2461" s="238">
        <v>0.0</v>
      </c>
      <c r="W2461" s="238">
        <v>0.0</v>
      </c>
      <c r="X2461" s="235" t="s">
        <v>628</v>
      </c>
      <c r="Z2461" s="244"/>
      <c r="AA2461" s="244"/>
      <c r="AB2461" s="244"/>
      <c r="AC2461" s="235" t="s">
        <v>687</v>
      </c>
      <c r="AD2461" s="235" t="s">
        <v>666</v>
      </c>
      <c r="AE2461" s="238">
        <v>600088.0</v>
      </c>
      <c r="AF2461" s="235" t="s">
        <v>631</v>
      </c>
      <c r="AG2461" s="244"/>
      <c r="AH2461" s="244"/>
      <c r="AI2461" s="245"/>
      <c r="AJ2461" s="245"/>
      <c r="AK2461" s="245"/>
      <c r="AL2461" s="245"/>
      <c r="AM2461" s="244"/>
      <c r="AN2461" s="244"/>
      <c r="AO2461" s="238">
        <v>0.0</v>
      </c>
      <c r="AP2461" s="238">
        <v>0.0</v>
      </c>
      <c r="AQ2461" s="235" t="s">
        <v>632</v>
      </c>
      <c r="AR2461" s="243">
        <v>1.68E11</v>
      </c>
      <c r="AS2461" s="235" t="s">
        <v>18462</v>
      </c>
      <c r="AT2461" s="235" t="s">
        <v>156</v>
      </c>
      <c r="AU2461" s="235" t="s">
        <v>634</v>
      </c>
      <c r="AV2461" s="246" t="s">
        <v>635</v>
      </c>
      <c r="AW2461" s="242"/>
      <c r="AX2461" s="242"/>
      <c r="AY2461" s="231"/>
      <c r="AZ2461" s="231"/>
      <c r="BA2461" s="227"/>
      <c r="BB2461" s="231"/>
      <c r="BC2461" s="227"/>
      <c r="BD2461" s="227"/>
      <c r="BE2461" s="227"/>
      <c r="BF2461" s="227"/>
    </row>
    <row r="2462">
      <c r="A2462" s="235" t="s">
        <v>18851</v>
      </c>
      <c r="C2462" s="235" t="s">
        <v>18852</v>
      </c>
      <c r="D2462" s="235" t="s">
        <v>18853</v>
      </c>
      <c r="E2462" s="243">
        <v>6.53E13</v>
      </c>
      <c r="F2462" s="245"/>
      <c r="G2462" s="235" t="s">
        <v>18854</v>
      </c>
      <c r="H2462" s="235" t="s">
        <v>18855</v>
      </c>
      <c r="I2462" s="235" t="s">
        <v>18855</v>
      </c>
      <c r="J2462" s="235" t="s">
        <v>18856</v>
      </c>
      <c r="K2462" s="235" t="s">
        <v>18857</v>
      </c>
      <c r="N2462" s="235" t="s">
        <v>127</v>
      </c>
      <c r="O2462" s="235" t="s">
        <v>794</v>
      </c>
      <c r="P2462" s="238">
        <v>1.0</v>
      </c>
      <c r="Q2462" s="235" t="s">
        <v>627</v>
      </c>
      <c r="R2462" s="238">
        <v>270.48</v>
      </c>
      <c r="S2462" s="238">
        <v>13.52</v>
      </c>
      <c r="T2462" s="238">
        <v>0.0</v>
      </c>
      <c r="U2462" s="238">
        <v>0.0</v>
      </c>
      <c r="V2462" s="238">
        <v>0.0</v>
      </c>
      <c r="W2462" s="238">
        <v>0.0</v>
      </c>
      <c r="X2462" s="235" t="s">
        <v>628</v>
      </c>
      <c r="Z2462" s="244"/>
      <c r="AA2462" s="244"/>
      <c r="AB2462" s="244"/>
      <c r="AC2462" s="235" t="s">
        <v>795</v>
      </c>
      <c r="AD2462" s="235" t="s">
        <v>796</v>
      </c>
      <c r="AE2462" s="238">
        <v>110032.0</v>
      </c>
      <c r="AF2462" s="235" t="s">
        <v>631</v>
      </c>
      <c r="AG2462" s="244"/>
      <c r="AH2462" s="244"/>
      <c r="AI2462" s="245"/>
      <c r="AJ2462" s="245"/>
      <c r="AK2462" s="245"/>
      <c r="AL2462" s="245"/>
      <c r="AM2462" s="244"/>
      <c r="AN2462" s="244"/>
      <c r="AO2462" s="238">
        <v>0.0</v>
      </c>
      <c r="AP2462" s="238">
        <v>0.0</v>
      </c>
      <c r="AQ2462" s="235" t="s">
        <v>632</v>
      </c>
      <c r="AR2462" s="243">
        <v>1.68E11</v>
      </c>
      <c r="AS2462" s="235" t="s">
        <v>18462</v>
      </c>
      <c r="AT2462" s="235" t="s">
        <v>14</v>
      </c>
      <c r="AU2462" s="235" t="s">
        <v>634</v>
      </c>
      <c r="AV2462" s="246" t="s">
        <v>635</v>
      </c>
      <c r="AW2462" s="242"/>
      <c r="AX2462" s="242"/>
      <c r="AY2462" s="231"/>
      <c r="AZ2462" s="231"/>
      <c r="BA2462" s="227"/>
      <c r="BB2462" s="231"/>
      <c r="BC2462" s="227"/>
      <c r="BD2462" s="227"/>
      <c r="BE2462" s="227"/>
      <c r="BF2462" s="227"/>
    </row>
    <row r="2463">
      <c r="A2463" s="235" t="s">
        <v>18858</v>
      </c>
      <c r="C2463" s="235" t="s">
        <v>18859</v>
      </c>
      <c r="D2463" s="235" t="s">
        <v>18860</v>
      </c>
      <c r="E2463" s="243">
        <v>6.52E13</v>
      </c>
      <c r="F2463" s="245"/>
      <c r="G2463" s="235" t="s">
        <v>18861</v>
      </c>
      <c r="H2463" s="235" t="s">
        <v>18862</v>
      </c>
      <c r="I2463" s="235" t="s">
        <v>18862</v>
      </c>
      <c r="J2463" s="235" t="s">
        <v>18863</v>
      </c>
      <c r="K2463" s="235" t="s">
        <v>18864</v>
      </c>
      <c r="N2463" s="235" t="s">
        <v>55</v>
      </c>
      <c r="O2463" s="235" t="s">
        <v>244</v>
      </c>
      <c r="P2463" s="238">
        <v>1.0</v>
      </c>
      <c r="Q2463" s="235" t="s">
        <v>627</v>
      </c>
      <c r="R2463" s="238">
        <v>246.67</v>
      </c>
      <c r="S2463" s="238">
        <v>12.33</v>
      </c>
      <c r="T2463" s="238">
        <v>38.1</v>
      </c>
      <c r="U2463" s="238">
        <v>1.9</v>
      </c>
      <c r="V2463" s="238">
        <v>0.0</v>
      </c>
      <c r="W2463" s="238">
        <v>0.0</v>
      </c>
      <c r="X2463" s="235" t="s">
        <v>628</v>
      </c>
      <c r="Z2463" s="244"/>
      <c r="AA2463" s="244"/>
      <c r="AB2463" s="244"/>
      <c r="AC2463" s="235" t="s">
        <v>18865</v>
      </c>
      <c r="AD2463" s="235" t="s">
        <v>1077</v>
      </c>
      <c r="AE2463" s="238">
        <v>396521.0</v>
      </c>
      <c r="AF2463" s="235" t="s">
        <v>631</v>
      </c>
      <c r="AG2463" s="244"/>
      <c r="AH2463" s="244"/>
      <c r="AI2463" s="245"/>
      <c r="AJ2463" s="245"/>
      <c r="AK2463" s="245"/>
      <c r="AL2463" s="245"/>
      <c r="AM2463" s="244"/>
      <c r="AN2463" s="244"/>
      <c r="AO2463" s="238">
        <v>0.0</v>
      </c>
      <c r="AP2463" s="238">
        <v>-38.1</v>
      </c>
      <c r="AQ2463" s="235" t="s">
        <v>632</v>
      </c>
      <c r="AR2463" s="243">
        <v>3.71E11</v>
      </c>
      <c r="AS2463" s="235" t="s">
        <v>13822</v>
      </c>
      <c r="AT2463" s="235" t="s">
        <v>17</v>
      </c>
      <c r="AU2463" s="235" t="s">
        <v>634</v>
      </c>
      <c r="AV2463" s="246" t="s">
        <v>635</v>
      </c>
      <c r="AW2463" s="242"/>
      <c r="AX2463" s="242"/>
      <c r="AY2463" s="231"/>
      <c r="AZ2463" s="231"/>
      <c r="BA2463" s="227"/>
      <c r="BB2463" s="231"/>
      <c r="BC2463" s="227"/>
      <c r="BD2463" s="227"/>
      <c r="BE2463" s="227"/>
      <c r="BF2463" s="227"/>
    </row>
    <row r="2464">
      <c r="A2464" s="235" t="s">
        <v>18866</v>
      </c>
      <c r="C2464" s="235" t="s">
        <v>18867</v>
      </c>
      <c r="D2464" s="235" t="s">
        <v>18868</v>
      </c>
      <c r="E2464" s="243">
        <v>6.53E13</v>
      </c>
      <c r="F2464" s="245"/>
      <c r="G2464" s="235" t="s">
        <v>18869</v>
      </c>
      <c r="H2464" s="235" t="s">
        <v>18870</v>
      </c>
      <c r="I2464" s="235" t="s">
        <v>18870</v>
      </c>
      <c r="J2464" s="235" t="s">
        <v>18871</v>
      </c>
      <c r="K2464" s="235" t="s">
        <v>18872</v>
      </c>
      <c r="N2464" s="235" t="s">
        <v>85</v>
      </c>
      <c r="O2464" s="235" t="s">
        <v>872</v>
      </c>
      <c r="P2464" s="238">
        <v>1.0</v>
      </c>
      <c r="Q2464" s="235" t="s">
        <v>627</v>
      </c>
      <c r="R2464" s="238">
        <v>270.48</v>
      </c>
      <c r="S2464" s="238">
        <v>13.25</v>
      </c>
      <c r="T2464" s="238">
        <v>0.0</v>
      </c>
      <c r="U2464" s="238">
        <v>0.0</v>
      </c>
      <c r="V2464" s="238">
        <v>0.0</v>
      </c>
      <c r="W2464" s="238">
        <v>0.0</v>
      </c>
      <c r="X2464" s="235" t="s">
        <v>628</v>
      </c>
      <c r="Z2464" s="244"/>
      <c r="AA2464" s="244"/>
      <c r="AB2464" s="244"/>
      <c r="AC2464" s="235" t="s">
        <v>1935</v>
      </c>
      <c r="AD2464" s="235" t="s">
        <v>630</v>
      </c>
      <c r="AE2464" s="238">
        <v>282007.0</v>
      </c>
      <c r="AF2464" s="235" t="s">
        <v>631</v>
      </c>
      <c r="AG2464" s="244"/>
      <c r="AH2464" s="244"/>
      <c r="AI2464" s="245"/>
      <c r="AJ2464" s="245"/>
      <c r="AK2464" s="245"/>
      <c r="AL2464" s="245"/>
      <c r="AM2464" s="244"/>
      <c r="AN2464" s="244"/>
      <c r="AO2464" s="238">
        <v>-5.41</v>
      </c>
      <c r="AP2464" s="238">
        <v>0.0</v>
      </c>
      <c r="AQ2464" s="235" t="s">
        <v>632</v>
      </c>
      <c r="AR2464" s="243">
        <v>2.02E11</v>
      </c>
      <c r="AS2464" s="235" t="s">
        <v>17988</v>
      </c>
      <c r="AT2464" s="235" t="s">
        <v>533</v>
      </c>
      <c r="AU2464" s="235" t="s">
        <v>634</v>
      </c>
      <c r="AV2464" s="246" t="s">
        <v>635</v>
      </c>
      <c r="AW2464" s="242"/>
      <c r="AX2464" s="242"/>
      <c r="AY2464" s="231"/>
      <c r="AZ2464" s="231"/>
      <c r="BA2464" s="227"/>
      <c r="BB2464" s="231"/>
      <c r="BC2464" s="227"/>
      <c r="BD2464" s="227"/>
      <c r="BE2464" s="227"/>
      <c r="BF2464" s="227"/>
    </row>
    <row r="2465">
      <c r="A2465" s="235" t="s">
        <v>18873</v>
      </c>
      <c r="C2465" s="235" t="s">
        <v>18874</v>
      </c>
      <c r="D2465" s="235" t="s">
        <v>18875</v>
      </c>
      <c r="E2465" s="243">
        <v>6.53E13</v>
      </c>
      <c r="F2465" s="245"/>
      <c r="G2465" s="235" t="s">
        <v>18876</v>
      </c>
      <c r="H2465" s="235" t="s">
        <v>18877</v>
      </c>
      <c r="I2465" s="235" t="s">
        <v>18877</v>
      </c>
      <c r="J2465" s="235" t="s">
        <v>18878</v>
      </c>
      <c r="K2465" s="235" t="s">
        <v>18879</v>
      </c>
      <c r="N2465" s="235" t="s">
        <v>154</v>
      </c>
      <c r="O2465" s="235" t="s">
        <v>766</v>
      </c>
      <c r="P2465" s="238">
        <v>1.0</v>
      </c>
      <c r="Q2465" s="235" t="s">
        <v>627</v>
      </c>
      <c r="R2465" s="238">
        <v>500.96</v>
      </c>
      <c r="S2465" s="238">
        <v>25.04</v>
      </c>
      <c r="T2465" s="238">
        <v>0.0</v>
      </c>
      <c r="U2465" s="238">
        <v>0.0</v>
      </c>
      <c r="V2465" s="238">
        <v>0.0</v>
      </c>
      <c r="W2465" s="238">
        <v>0.0</v>
      </c>
      <c r="X2465" s="235" t="s">
        <v>628</v>
      </c>
      <c r="Z2465" s="244"/>
      <c r="AA2465" s="244"/>
      <c r="AB2465" s="244"/>
      <c r="AC2465" s="235" t="s">
        <v>1456</v>
      </c>
      <c r="AD2465" s="235" t="s">
        <v>928</v>
      </c>
      <c r="AE2465" s="238">
        <v>122002.0</v>
      </c>
      <c r="AF2465" s="235" t="s">
        <v>631</v>
      </c>
      <c r="AG2465" s="244"/>
      <c r="AH2465" s="244"/>
      <c r="AI2465" s="245"/>
      <c r="AJ2465" s="245"/>
      <c r="AK2465" s="245"/>
      <c r="AL2465" s="245"/>
      <c r="AM2465" s="244"/>
      <c r="AN2465" s="244"/>
      <c r="AO2465" s="238">
        <v>0.0</v>
      </c>
      <c r="AP2465" s="238">
        <v>0.0</v>
      </c>
      <c r="AQ2465" s="235" t="s">
        <v>632</v>
      </c>
      <c r="AR2465" s="243">
        <v>1.68E11</v>
      </c>
      <c r="AS2465" s="235" t="s">
        <v>18462</v>
      </c>
      <c r="AT2465" s="235" t="s">
        <v>533</v>
      </c>
      <c r="AU2465" s="235" t="s">
        <v>634</v>
      </c>
      <c r="AV2465" s="246" t="s">
        <v>635</v>
      </c>
      <c r="AW2465" s="242"/>
      <c r="AX2465" s="242"/>
      <c r="AY2465" s="231"/>
      <c r="AZ2465" s="231"/>
      <c r="BA2465" s="227"/>
      <c r="BB2465" s="231"/>
      <c r="BC2465" s="227"/>
      <c r="BD2465" s="227"/>
      <c r="BE2465" s="227"/>
      <c r="BF2465" s="227"/>
    </row>
    <row r="2466">
      <c r="A2466" s="235" t="s">
        <v>18880</v>
      </c>
      <c r="C2466" s="235" t="s">
        <v>18881</v>
      </c>
      <c r="D2466" s="235" t="s">
        <v>18882</v>
      </c>
      <c r="E2466" s="243">
        <v>6.53E13</v>
      </c>
      <c r="F2466" s="245"/>
      <c r="G2466" s="235" t="s">
        <v>18883</v>
      </c>
      <c r="H2466" s="235" t="s">
        <v>18884</v>
      </c>
      <c r="I2466" s="235" t="s">
        <v>18884</v>
      </c>
      <c r="J2466" s="235" t="s">
        <v>18885</v>
      </c>
      <c r="K2466" s="235" t="s">
        <v>18886</v>
      </c>
      <c r="N2466" s="235" t="s">
        <v>92</v>
      </c>
      <c r="O2466" s="235" t="s">
        <v>248</v>
      </c>
      <c r="P2466" s="238">
        <v>1.0</v>
      </c>
      <c r="Q2466" s="235" t="s">
        <v>627</v>
      </c>
      <c r="R2466" s="238">
        <v>270.48</v>
      </c>
      <c r="S2466" s="238">
        <v>13.52</v>
      </c>
      <c r="T2466" s="238">
        <v>0.0</v>
      </c>
      <c r="U2466" s="238">
        <v>0.0</v>
      </c>
      <c r="V2466" s="238">
        <v>0.0</v>
      </c>
      <c r="W2466" s="238">
        <v>0.0</v>
      </c>
      <c r="X2466" s="235" t="s">
        <v>628</v>
      </c>
      <c r="Z2466" s="244"/>
      <c r="AA2466" s="244"/>
      <c r="AB2466" s="244"/>
      <c r="AC2466" s="235" t="s">
        <v>795</v>
      </c>
      <c r="AD2466" s="235" t="s">
        <v>796</v>
      </c>
      <c r="AE2466" s="238">
        <v>110071.0</v>
      </c>
      <c r="AF2466" s="235" t="s">
        <v>631</v>
      </c>
      <c r="AG2466" s="244"/>
      <c r="AH2466" s="244"/>
      <c r="AI2466" s="245"/>
      <c r="AJ2466" s="245"/>
      <c r="AK2466" s="245"/>
      <c r="AL2466" s="245"/>
      <c r="AM2466" s="244"/>
      <c r="AN2466" s="244"/>
      <c r="AO2466" s="238">
        <v>0.0</v>
      </c>
      <c r="AP2466" s="238">
        <v>0.0</v>
      </c>
      <c r="AQ2466" s="235" t="s">
        <v>632</v>
      </c>
      <c r="AR2466" s="243">
        <v>1.68E11</v>
      </c>
      <c r="AS2466" s="235" t="s">
        <v>18462</v>
      </c>
      <c r="AT2466" s="235" t="s">
        <v>533</v>
      </c>
      <c r="AU2466" s="235" t="s">
        <v>634</v>
      </c>
      <c r="AV2466" s="246" t="s">
        <v>635</v>
      </c>
      <c r="AW2466" s="242"/>
      <c r="AX2466" s="242"/>
      <c r="AY2466" s="231"/>
      <c r="AZ2466" s="231"/>
      <c r="BA2466" s="227"/>
      <c r="BB2466" s="231"/>
      <c r="BC2466" s="227"/>
      <c r="BD2466" s="227"/>
      <c r="BE2466" s="227"/>
      <c r="BF2466" s="227"/>
    </row>
    <row r="2467">
      <c r="A2467" s="235" t="s">
        <v>18887</v>
      </c>
      <c r="C2467" s="235" t="s">
        <v>18888</v>
      </c>
      <c r="D2467" s="235" t="s">
        <v>18889</v>
      </c>
      <c r="E2467" s="243">
        <v>6.53E13</v>
      </c>
      <c r="F2467" s="245"/>
      <c r="G2467" s="235" t="s">
        <v>18890</v>
      </c>
      <c r="H2467" s="235" t="s">
        <v>18891</v>
      </c>
      <c r="I2467" s="235" t="s">
        <v>18892</v>
      </c>
      <c r="J2467" s="235" t="s">
        <v>18893</v>
      </c>
      <c r="K2467" s="235" t="s">
        <v>18894</v>
      </c>
      <c r="N2467" s="235" t="s">
        <v>92</v>
      </c>
      <c r="O2467" s="235" t="s">
        <v>248</v>
      </c>
      <c r="P2467" s="238">
        <v>1.0</v>
      </c>
      <c r="Q2467" s="235" t="s">
        <v>627</v>
      </c>
      <c r="R2467" s="238">
        <v>270.48</v>
      </c>
      <c r="S2467" s="238">
        <v>13.52</v>
      </c>
      <c r="T2467" s="238">
        <v>0.0</v>
      </c>
      <c r="U2467" s="238">
        <v>0.0</v>
      </c>
      <c r="V2467" s="238">
        <v>0.0</v>
      </c>
      <c r="W2467" s="238">
        <v>0.0</v>
      </c>
      <c r="X2467" s="235" t="s">
        <v>628</v>
      </c>
      <c r="Z2467" s="244"/>
      <c r="AA2467" s="244"/>
      <c r="AB2467" s="244"/>
      <c r="AC2467" s="235" t="s">
        <v>18895</v>
      </c>
      <c r="AD2467" s="235" t="s">
        <v>1086</v>
      </c>
      <c r="AE2467" s="238">
        <v>144021.0</v>
      </c>
      <c r="AF2467" s="235" t="s">
        <v>631</v>
      </c>
      <c r="AG2467" s="244"/>
      <c r="AH2467" s="244"/>
      <c r="AI2467" s="245"/>
      <c r="AJ2467" s="245"/>
      <c r="AK2467" s="245"/>
      <c r="AL2467" s="245"/>
      <c r="AM2467" s="244"/>
      <c r="AN2467" s="244"/>
      <c r="AO2467" s="238">
        <v>0.0</v>
      </c>
      <c r="AP2467" s="238">
        <v>0.0</v>
      </c>
      <c r="AQ2467" s="235" t="s">
        <v>632</v>
      </c>
      <c r="AR2467" s="243">
        <v>3.71E11</v>
      </c>
      <c r="AS2467" s="235" t="s">
        <v>16626</v>
      </c>
      <c r="AT2467" s="235" t="s">
        <v>14</v>
      </c>
      <c r="AU2467" s="235" t="s">
        <v>634</v>
      </c>
      <c r="AV2467" s="246" t="s">
        <v>635</v>
      </c>
      <c r="AW2467" s="242"/>
      <c r="AX2467" s="242"/>
      <c r="AY2467" s="231"/>
      <c r="AZ2467" s="231"/>
      <c r="BA2467" s="227"/>
      <c r="BB2467" s="231"/>
      <c r="BC2467" s="227"/>
      <c r="BD2467" s="227"/>
      <c r="BE2467" s="227"/>
      <c r="BF2467" s="227"/>
    </row>
    <row r="2468">
      <c r="A2468" s="235" t="s">
        <v>18896</v>
      </c>
      <c r="C2468" s="235" t="s">
        <v>18897</v>
      </c>
      <c r="D2468" s="235" t="s">
        <v>18898</v>
      </c>
      <c r="E2468" s="243">
        <v>6.53E13</v>
      </c>
      <c r="F2468" s="245"/>
      <c r="G2468" s="235" t="s">
        <v>18899</v>
      </c>
      <c r="H2468" s="235" t="s">
        <v>18900</v>
      </c>
      <c r="I2468" s="235" t="s">
        <v>18901</v>
      </c>
      <c r="J2468" s="235" t="s">
        <v>18902</v>
      </c>
      <c r="K2468" s="235" t="s">
        <v>18903</v>
      </c>
      <c r="N2468" s="235" t="s">
        <v>136</v>
      </c>
      <c r="O2468" s="235" t="s">
        <v>256</v>
      </c>
      <c r="P2468" s="238">
        <v>1.0</v>
      </c>
      <c r="Q2468" s="235" t="s">
        <v>627</v>
      </c>
      <c r="R2468" s="238">
        <v>244.76</v>
      </c>
      <c r="S2468" s="238">
        <v>12.0</v>
      </c>
      <c r="T2468" s="238">
        <v>38.1</v>
      </c>
      <c r="U2468" s="238">
        <v>1.9</v>
      </c>
      <c r="V2468" s="238">
        <v>0.0</v>
      </c>
      <c r="W2468" s="238">
        <v>0.0</v>
      </c>
      <c r="X2468" s="235" t="s">
        <v>628</v>
      </c>
      <c r="Z2468" s="244"/>
      <c r="AA2468" s="244"/>
      <c r="AB2468" s="244"/>
      <c r="AC2468" s="235" t="s">
        <v>937</v>
      </c>
      <c r="AD2468" s="235" t="s">
        <v>709</v>
      </c>
      <c r="AE2468" s="238">
        <v>800002.0</v>
      </c>
      <c r="AF2468" s="235" t="s">
        <v>631</v>
      </c>
      <c r="AG2468" s="244"/>
      <c r="AH2468" s="244"/>
      <c r="AI2468" s="245"/>
      <c r="AJ2468" s="245"/>
      <c r="AK2468" s="245"/>
      <c r="AL2468" s="245"/>
      <c r="AM2468" s="244"/>
      <c r="AN2468" s="244"/>
      <c r="AO2468" s="238">
        <v>-4.9</v>
      </c>
      <c r="AP2468" s="238">
        <v>-38.1</v>
      </c>
      <c r="AQ2468" s="235" t="s">
        <v>632</v>
      </c>
      <c r="AR2468" s="243">
        <v>3.71E11</v>
      </c>
      <c r="AS2468" s="235" t="s">
        <v>13822</v>
      </c>
      <c r="AT2468" s="235" t="s">
        <v>14</v>
      </c>
      <c r="AU2468" s="235" t="s">
        <v>634</v>
      </c>
      <c r="AV2468" s="246" t="s">
        <v>635</v>
      </c>
      <c r="AW2468" s="242"/>
      <c r="AX2468" s="242"/>
      <c r="AY2468" s="231"/>
      <c r="AZ2468" s="231"/>
      <c r="BA2468" s="227"/>
      <c r="BB2468" s="231"/>
      <c r="BC2468" s="227"/>
      <c r="BD2468" s="227"/>
      <c r="BE2468" s="227"/>
      <c r="BF2468" s="227"/>
    </row>
    <row r="2469">
      <c r="A2469" s="235" t="s">
        <v>18904</v>
      </c>
      <c r="C2469" s="235" t="s">
        <v>18905</v>
      </c>
      <c r="D2469" s="235" t="s">
        <v>18906</v>
      </c>
      <c r="E2469" s="243">
        <v>6.53E13</v>
      </c>
      <c r="F2469" s="245"/>
      <c r="G2469" s="235" t="s">
        <v>18907</v>
      </c>
      <c r="H2469" s="235" t="s">
        <v>18908</v>
      </c>
      <c r="I2469" s="235" t="s">
        <v>18908</v>
      </c>
      <c r="J2469" s="235" t="s">
        <v>17700</v>
      </c>
      <c r="K2469" s="235" t="s">
        <v>18909</v>
      </c>
      <c r="N2469" s="235" t="s">
        <v>49</v>
      </c>
      <c r="O2469" s="235" t="s">
        <v>321</v>
      </c>
      <c r="P2469" s="238">
        <v>1.0</v>
      </c>
      <c r="Q2469" s="235" t="s">
        <v>627</v>
      </c>
      <c r="R2469" s="238">
        <v>270.48</v>
      </c>
      <c r="S2469" s="238">
        <v>13.25</v>
      </c>
      <c r="T2469" s="238">
        <v>0.0</v>
      </c>
      <c r="U2469" s="238">
        <v>0.0</v>
      </c>
      <c r="V2469" s="238">
        <v>0.0</v>
      </c>
      <c r="W2469" s="238">
        <v>0.0</v>
      </c>
      <c r="X2469" s="235" t="s">
        <v>628</v>
      </c>
      <c r="Z2469" s="244"/>
      <c r="AA2469" s="244"/>
      <c r="AB2469" s="244"/>
      <c r="AC2469" s="235" t="s">
        <v>891</v>
      </c>
      <c r="AD2469" s="235" t="s">
        <v>891</v>
      </c>
      <c r="AE2469" s="238">
        <v>605008.0</v>
      </c>
      <c r="AF2469" s="235" t="s">
        <v>631</v>
      </c>
      <c r="AG2469" s="244"/>
      <c r="AH2469" s="244"/>
      <c r="AI2469" s="245"/>
      <c r="AJ2469" s="245"/>
      <c r="AK2469" s="245"/>
      <c r="AL2469" s="245"/>
      <c r="AM2469" s="244"/>
      <c r="AN2469" s="244"/>
      <c r="AO2469" s="238">
        <v>-5.41</v>
      </c>
      <c r="AP2469" s="238">
        <v>0.0</v>
      </c>
      <c r="AQ2469" s="235" t="s">
        <v>632</v>
      </c>
      <c r="AR2469" s="243">
        <v>1.68E11</v>
      </c>
      <c r="AS2469" s="235" t="s">
        <v>18462</v>
      </c>
      <c r="AT2469" s="235" t="s">
        <v>156</v>
      </c>
      <c r="AU2469" s="235" t="s">
        <v>634</v>
      </c>
      <c r="AV2469" s="246" t="s">
        <v>635</v>
      </c>
      <c r="AW2469" s="242"/>
      <c r="AX2469" s="242"/>
      <c r="AY2469" s="231"/>
      <c r="AZ2469" s="231"/>
      <c r="BA2469" s="227"/>
      <c r="BB2469" s="231"/>
      <c r="BC2469" s="227"/>
      <c r="BD2469" s="227"/>
      <c r="BE2469" s="227"/>
      <c r="BF2469" s="227"/>
    </row>
    <row r="2470">
      <c r="A2470" s="235" t="s">
        <v>18910</v>
      </c>
      <c r="C2470" s="235" t="s">
        <v>18911</v>
      </c>
      <c r="D2470" s="235" t="s">
        <v>18912</v>
      </c>
      <c r="E2470" s="243">
        <v>6.53E13</v>
      </c>
      <c r="F2470" s="245"/>
      <c r="G2470" s="235" t="s">
        <v>18913</v>
      </c>
      <c r="H2470" s="235" t="s">
        <v>18914</v>
      </c>
      <c r="I2470" s="235" t="s">
        <v>18914</v>
      </c>
      <c r="J2470" s="235" t="s">
        <v>18915</v>
      </c>
      <c r="K2470" s="235" t="s">
        <v>18916</v>
      </c>
      <c r="N2470" s="235" t="s">
        <v>39</v>
      </c>
      <c r="O2470" s="235" t="s">
        <v>291</v>
      </c>
      <c r="P2470" s="238">
        <v>1.0</v>
      </c>
      <c r="Q2470" s="235" t="s">
        <v>627</v>
      </c>
      <c r="R2470" s="238">
        <v>270.48</v>
      </c>
      <c r="S2470" s="238">
        <v>13.52</v>
      </c>
      <c r="T2470" s="238">
        <v>0.0</v>
      </c>
      <c r="U2470" s="238">
        <v>0.0</v>
      </c>
      <c r="V2470" s="238">
        <v>0.0</v>
      </c>
      <c r="W2470" s="238">
        <v>0.0</v>
      </c>
      <c r="X2470" s="235" t="s">
        <v>628</v>
      </c>
      <c r="Z2470" s="244"/>
      <c r="AA2470" s="244"/>
      <c r="AB2470" s="244"/>
      <c r="AC2470" s="235" t="s">
        <v>2493</v>
      </c>
      <c r="AD2470" s="235" t="s">
        <v>833</v>
      </c>
      <c r="AE2470" s="238">
        <v>521101.0</v>
      </c>
      <c r="AF2470" s="235" t="s">
        <v>631</v>
      </c>
      <c r="AG2470" s="244"/>
      <c r="AH2470" s="244"/>
      <c r="AI2470" s="245"/>
      <c r="AJ2470" s="245"/>
      <c r="AK2470" s="245"/>
      <c r="AL2470" s="245"/>
      <c r="AM2470" s="244"/>
      <c r="AN2470" s="244"/>
      <c r="AO2470" s="238">
        <v>0.0</v>
      </c>
      <c r="AP2470" s="238">
        <v>0.0</v>
      </c>
      <c r="AQ2470" s="235" t="s">
        <v>632</v>
      </c>
      <c r="AR2470" s="243">
        <v>1.68E11</v>
      </c>
      <c r="AS2470" s="235" t="s">
        <v>16626</v>
      </c>
      <c r="AT2470" s="235" t="s">
        <v>156</v>
      </c>
      <c r="AU2470" s="235" t="s">
        <v>634</v>
      </c>
      <c r="AV2470" s="246" t="s">
        <v>635</v>
      </c>
      <c r="AW2470" s="242"/>
      <c r="AX2470" s="242"/>
      <c r="AY2470" s="231"/>
      <c r="AZ2470" s="231"/>
      <c r="BA2470" s="227"/>
      <c r="BB2470" s="231"/>
      <c r="BC2470" s="227"/>
      <c r="BD2470" s="227"/>
      <c r="BE2470" s="227"/>
      <c r="BF2470" s="227"/>
    </row>
    <row r="2471">
      <c r="A2471" s="235" t="s">
        <v>18917</v>
      </c>
      <c r="C2471" s="235" t="s">
        <v>18918</v>
      </c>
      <c r="D2471" s="235" t="s">
        <v>18919</v>
      </c>
      <c r="E2471" s="243">
        <v>6.53E13</v>
      </c>
      <c r="F2471" s="245"/>
      <c r="G2471" s="235" t="s">
        <v>18920</v>
      </c>
      <c r="H2471" s="235" t="s">
        <v>18921</v>
      </c>
      <c r="I2471" s="235" t="s">
        <v>18922</v>
      </c>
      <c r="J2471" s="235" t="s">
        <v>18923</v>
      </c>
      <c r="K2471" s="235" t="s">
        <v>18924</v>
      </c>
      <c r="N2471" s="235" t="s">
        <v>90</v>
      </c>
      <c r="O2471" s="235" t="s">
        <v>279</v>
      </c>
      <c r="P2471" s="238">
        <v>1.0</v>
      </c>
      <c r="Q2471" s="235" t="s">
        <v>627</v>
      </c>
      <c r="R2471" s="238">
        <v>270.48</v>
      </c>
      <c r="S2471" s="238">
        <v>13.52</v>
      </c>
      <c r="T2471" s="238">
        <v>0.0</v>
      </c>
      <c r="U2471" s="238">
        <v>0.0</v>
      </c>
      <c r="V2471" s="238">
        <v>0.0</v>
      </c>
      <c r="W2471" s="238">
        <v>0.0</v>
      </c>
      <c r="X2471" s="235" t="s">
        <v>628</v>
      </c>
      <c r="Z2471" s="244"/>
      <c r="AA2471" s="244"/>
      <c r="AB2471" s="244"/>
      <c r="AC2471" s="235" t="s">
        <v>795</v>
      </c>
      <c r="AD2471" s="235" t="s">
        <v>796</v>
      </c>
      <c r="AE2471" s="238">
        <v>110015.0</v>
      </c>
      <c r="AF2471" s="235" t="s">
        <v>631</v>
      </c>
      <c r="AG2471" s="244"/>
      <c r="AH2471" s="244"/>
      <c r="AI2471" s="245"/>
      <c r="AJ2471" s="245"/>
      <c r="AK2471" s="245"/>
      <c r="AL2471" s="245"/>
      <c r="AM2471" s="244"/>
      <c r="AN2471" s="244"/>
      <c r="AO2471" s="238">
        <v>0.0</v>
      </c>
      <c r="AP2471" s="238">
        <v>0.0</v>
      </c>
      <c r="AQ2471" s="235" t="s">
        <v>632</v>
      </c>
      <c r="AR2471" s="243">
        <v>1.68E11</v>
      </c>
      <c r="AS2471" s="235" t="s">
        <v>18462</v>
      </c>
      <c r="AT2471" s="235" t="s">
        <v>533</v>
      </c>
      <c r="AU2471" s="235" t="s">
        <v>634</v>
      </c>
      <c r="AV2471" s="246" t="s">
        <v>635</v>
      </c>
      <c r="AW2471" s="242"/>
      <c r="AX2471" s="242"/>
      <c r="AY2471" s="231"/>
      <c r="AZ2471" s="231"/>
      <c r="BA2471" s="227"/>
      <c r="BB2471" s="231"/>
      <c r="BC2471" s="227"/>
      <c r="BD2471" s="227"/>
      <c r="BE2471" s="227"/>
      <c r="BF2471" s="227"/>
    </row>
    <row r="2472">
      <c r="A2472" s="235" t="s">
        <v>18925</v>
      </c>
      <c r="C2472" s="235" t="s">
        <v>18926</v>
      </c>
      <c r="D2472" s="235" t="s">
        <v>18927</v>
      </c>
      <c r="E2472" s="243">
        <v>6.53E13</v>
      </c>
      <c r="F2472" s="245"/>
      <c r="G2472" s="235" t="s">
        <v>18928</v>
      </c>
      <c r="H2472" s="235" t="s">
        <v>18929</v>
      </c>
      <c r="I2472" s="235" t="s">
        <v>18929</v>
      </c>
      <c r="J2472" s="235" t="s">
        <v>18930</v>
      </c>
      <c r="K2472" s="235" t="s">
        <v>18931</v>
      </c>
      <c r="N2472" s="235" t="s">
        <v>1346</v>
      </c>
      <c r="O2472" s="235" t="s">
        <v>1347</v>
      </c>
      <c r="P2472" s="238">
        <v>1.0</v>
      </c>
      <c r="Q2472" s="235" t="s">
        <v>627</v>
      </c>
      <c r="R2472" s="238">
        <v>256.19</v>
      </c>
      <c r="S2472" s="238">
        <v>12.81</v>
      </c>
      <c r="T2472" s="238">
        <v>38.1</v>
      </c>
      <c r="U2472" s="238">
        <v>1.9</v>
      </c>
      <c r="V2472" s="238">
        <v>0.0</v>
      </c>
      <c r="W2472" s="238">
        <v>0.0</v>
      </c>
      <c r="X2472" s="235" t="s">
        <v>628</v>
      </c>
      <c r="Z2472" s="244"/>
      <c r="AA2472" s="244"/>
      <c r="AB2472" s="244"/>
      <c r="AC2472" s="235" t="s">
        <v>15463</v>
      </c>
      <c r="AD2472" s="235" t="s">
        <v>1086</v>
      </c>
      <c r="AE2472" s="238">
        <v>143001.0</v>
      </c>
      <c r="AF2472" s="235" t="s">
        <v>631</v>
      </c>
      <c r="AG2472" s="244"/>
      <c r="AH2472" s="244"/>
      <c r="AI2472" s="245"/>
      <c r="AJ2472" s="245"/>
      <c r="AK2472" s="245"/>
      <c r="AL2472" s="245"/>
      <c r="AM2472" s="244"/>
      <c r="AN2472" s="244"/>
      <c r="AO2472" s="238">
        <v>0.0</v>
      </c>
      <c r="AP2472" s="238">
        <v>-38.1</v>
      </c>
      <c r="AQ2472" s="235" t="s">
        <v>632</v>
      </c>
      <c r="AR2472" s="243">
        <v>3.71E11</v>
      </c>
      <c r="AS2472" s="235" t="s">
        <v>11171</v>
      </c>
      <c r="AT2472" s="235" t="s">
        <v>156</v>
      </c>
      <c r="AU2472" s="235" t="s">
        <v>634</v>
      </c>
      <c r="AV2472" s="246" t="s">
        <v>635</v>
      </c>
      <c r="AW2472" s="242"/>
      <c r="AX2472" s="242"/>
      <c r="AY2472" s="231"/>
      <c r="AZ2472" s="231"/>
      <c r="BA2472" s="227"/>
      <c r="BB2472" s="231"/>
      <c r="BC2472" s="227"/>
      <c r="BD2472" s="227"/>
      <c r="BE2472" s="227"/>
      <c r="BF2472" s="227"/>
    </row>
    <row r="2473">
      <c r="A2473" s="235" t="s">
        <v>18932</v>
      </c>
      <c r="C2473" s="235" t="s">
        <v>18933</v>
      </c>
      <c r="D2473" s="235" t="s">
        <v>18934</v>
      </c>
      <c r="E2473" s="243">
        <v>6.53E13</v>
      </c>
      <c r="F2473" s="245"/>
      <c r="G2473" s="235" t="s">
        <v>18935</v>
      </c>
      <c r="H2473" s="235" t="s">
        <v>18936</v>
      </c>
      <c r="I2473" s="235" t="s">
        <v>18936</v>
      </c>
      <c r="J2473" s="235" t="s">
        <v>18937</v>
      </c>
      <c r="K2473" s="235" t="s">
        <v>18938</v>
      </c>
      <c r="N2473" s="235" t="s">
        <v>51</v>
      </c>
      <c r="O2473" s="235" t="s">
        <v>273</v>
      </c>
      <c r="P2473" s="238">
        <v>1.0</v>
      </c>
      <c r="Q2473" s="235" t="s">
        <v>627</v>
      </c>
      <c r="R2473" s="238">
        <v>270.48</v>
      </c>
      <c r="S2473" s="238">
        <v>13.52</v>
      </c>
      <c r="T2473" s="238">
        <v>0.0</v>
      </c>
      <c r="U2473" s="238">
        <v>0.0</v>
      </c>
      <c r="V2473" s="238">
        <v>0.0</v>
      </c>
      <c r="W2473" s="238">
        <v>0.0</v>
      </c>
      <c r="X2473" s="235" t="s">
        <v>628</v>
      </c>
      <c r="Z2473" s="244"/>
      <c r="AA2473" s="244"/>
      <c r="AB2473" s="244"/>
      <c r="AC2473" s="235" t="s">
        <v>687</v>
      </c>
      <c r="AD2473" s="235" t="s">
        <v>666</v>
      </c>
      <c r="AE2473" s="238">
        <v>600055.0</v>
      </c>
      <c r="AF2473" s="235" t="s">
        <v>631</v>
      </c>
      <c r="AG2473" s="244"/>
      <c r="AH2473" s="244"/>
      <c r="AI2473" s="245"/>
      <c r="AJ2473" s="245"/>
      <c r="AK2473" s="245"/>
      <c r="AL2473" s="245"/>
      <c r="AM2473" s="244"/>
      <c r="AN2473" s="244"/>
      <c r="AO2473" s="238">
        <v>0.0</v>
      </c>
      <c r="AP2473" s="238">
        <v>0.0</v>
      </c>
      <c r="AQ2473" s="235" t="s">
        <v>632</v>
      </c>
      <c r="AR2473" s="243">
        <v>3.71E11</v>
      </c>
      <c r="AS2473" s="235" t="s">
        <v>17988</v>
      </c>
      <c r="AT2473" s="235" t="s">
        <v>156</v>
      </c>
      <c r="AU2473" s="235" t="s">
        <v>634</v>
      </c>
      <c r="AV2473" s="246" t="s">
        <v>635</v>
      </c>
      <c r="AW2473" s="242"/>
      <c r="AX2473" s="242"/>
      <c r="AY2473" s="231"/>
      <c r="AZ2473" s="231"/>
      <c r="BA2473" s="227"/>
      <c r="BB2473" s="231"/>
      <c r="BC2473" s="227"/>
      <c r="BD2473" s="227"/>
      <c r="BE2473" s="227"/>
      <c r="BF2473" s="227"/>
    </row>
    <row r="2474">
      <c r="A2474" s="235" t="s">
        <v>18939</v>
      </c>
      <c r="C2474" s="235" t="s">
        <v>18940</v>
      </c>
      <c r="D2474" s="235" t="s">
        <v>18941</v>
      </c>
      <c r="E2474" s="243">
        <v>6.53E13</v>
      </c>
      <c r="F2474" s="245"/>
      <c r="G2474" s="235" t="s">
        <v>18942</v>
      </c>
      <c r="H2474" s="235" t="s">
        <v>18943</v>
      </c>
      <c r="I2474" s="235" t="s">
        <v>18944</v>
      </c>
      <c r="J2474" s="235" t="s">
        <v>18945</v>
      </c>
      <c r="K2474" s="235" t="s">
        <v>18946</v>
      </c>
      <c r="N2474" s="235" t="s">
        <v>3467</v>
      </c>
      <c r="O2474" s="235" t="s">
        <v>3468</v>
      </c>
      <c r="P2474" s="238">
        <v>1.0</v>
      </c>
      <c r="Q2474" s="235" t="s">
        <v>627</v>
      </c>
      <c r="R2474" s="238">
        <v>270.48</v>
      </c>
      <c r="S2474" s="238">
        <v>13.52</v>
      </c>
      <c r="T2474" s="238">
        <v>0.0</v>
      </c>
      <c r="U2474" s="238">
        <v>0.0</v>
      </c>
      <c r="V2474" s="238">
        <v>0.0</v>
      </c>
      <c r="W2474" s="238">
        <v>0.0</v>
      </c>
      <c r="X2474" s="235" t="s">
        <v>628</v>
      </c>
      <c r="Z2474" s="244"/>
      <c r="AA2474" s="244"/>
      <c r="AB2474" s="244"/>
      <c r="AC2474" s="235" t="s">
        <v>832</v>
      </c>
      <c r="AD2474" s="235" t="s">
        <v>833</v>
      </c>
      <c r="AE2474" s="238">
        <v>530022.0</v>
      </c>
      <c r="AF2474" s="235" t="s">
        <v>631</v>
      </c>
      <c r="AG2474" s="244"/>
      <c r="AH2474" s="244"/>
      <c r="AI2474" s="245"/>
      <c r="AJ2474" s="245"/>
      <c r="AK2474" s="245"/>
      <c r="AL2474" s="245"/>
      <c r="AM2474" s="244"/>
      <c r="AN2474" s="244"/>
      <c r="AO2474" s="238">
        <v>0.0</v>
      </c>
      <c r="AP2474" s="238">
        <v>0.0</v>
      </c>
      <c r="AQ2474" s="235" t="s">
        <v>632</v>
      </c>
      <c r="AR2474" s="243">
        <v>2.02E11</v>
      </c>
      <c r="AS2474" s="235" t="s">
        <v>17988</v>
      </c>
      <c r="AT2474" s="235" t="s">
        <v>9</v>
      </c>
      <c r="AU2474" s="235" t="s">
        <v>634</v>
      </c>
      <c r="AV2474" s="246" t="s">
        <v>635</v>
      </c>
      <c r="AW2474" s="242"/>
      <c r="AX2474" s="242"/>
      <c r="AY2474" s="231"/>
      <c r="AZ2474" s="231"/>
      <c r="BA2474" s="227"/>
      <c r="BB2474" s="231"/>
      <c r="BC2474" s="227"/>
      <c r="BD2474" s="227"/>
      <c r="BE2474" s="227"/>
      <c r="BF2474" s="227"/>
    </row>
    <row r="2475">
      <c r="A2475" s="235" t="s">
        <v>18947</v>
      </c>
      <c r="C2475" s="235" t="s">
        <v>18948</v>
      </c>
      <c r="D2475" s="235" t="s">
        <v>18949</v>
      </c>
      <c r="E2475" s="243">
        <v>6.53E13</v>
      </c>
      <c r="F2475" s="245"/>
      <c r="G2475" s="235" t="s">
        <v>18950</v>
      </c>
      <c r="H2475" s="235" t="s">
        <v>18951</v>
      </c>
      <c r="I2475" s="235" t="s">
        <v>18951</v>
      </c>
      <c r="J2475" s="235" t="s">
        <v>18952</v>
      </c>
      <c r="K2475" s="235" t="s">
        <v>18953</v>
      </c>
      <c r="N2475" s="235" t="s">
        <v>842</v>
      </c>
      <c r="O2475" s="235" t="s">
        <v>843</v>
      </c>
      <c r="P2475" s="238">
        <v>1.0</v>
      </c>
      <c r="Q2475" s="235" t="s">
        <v>627</v>
      </c>
      <c r="R2475" s="238">
        <v>270.48</v>
      </c>
      <c r="S2475" s="238">
        <v>13.52</v>
      </c>
      <c r="T2475" s="238">
        <v>0.0</v>
      </c>
      <c r="U2475" s="238">
        <v>0.0</v>
      </c>
      <c r="V2475" s="238">
        <v>0.0</v>
      </c>
      <c r="W2475" s="238">
        <v>0.0</v>
      </c>
      <c r="X2475" s="235" t="s">
        <v>628</v>
      </c>
      <c r="Z2475" s="244"/>
      <c r="AA2475" s="244"/>
      <c r="AB2475" s="244"/>
      <c r="AC2475" s="235" t="s">
        <v>18954</v>
      </c>
      <c r="AD2475" s="235" t="s">
        <v>666</v>
      </c>
      <c r="AE2475" s="238">
        <v>636005.0</v>
      </c>
      <c r="AF2475" s="235" t="s">
        <v>631</v>
      </c>
      <c r="AG2475" s="244"/>
      <c r="AH2475" s="244"/>
      <c r="AI2475" s="245"/>
      <c r="AJ2475" s="245"/>
      <c r="AK2475" s="245"/>
      <c r="AL2475" s="245"/>
      <c r="AM2475" s="244"/>
      <c r="AN2475" s="244"/>
      <c r="AO2475" s="238">
        <v>0.0</v>
      </c>
      <c r="AP2475" s="238">
        <v>0.0</v>
      </c>
      <c r="AQ2475" s="235" t="s">
        <v>632</v>
      </c>
      <c r="AR2475" s="243">
        <v>1.68E11</v>
      </c>
      <c r="AS2475" s="235" t="s">
        <v>17988</v>
      </c>
      <c r="AT2475" s="235" t="s">
        <v>155</v>
      </c>
      <c r="AU2475" s="235" t="s">
        <v>634</v>
      </c>
      <c r="AV2475" s="246" t="s">
        <v>635</v>
      </c>
      <c r="AW2475" s="242"/>
      <c r="AX2475" s="242"/>
      <c r="AY2475" s="231"/>
      <c r="AZ2475" s="231"/>
      <c r="BA2475" s="227"/>
      <c r="BB2475" s="231"/>
      <c r="BC2475" s="227"/>
      <c r="BD2475" s="227"/>
      <c r="BE2475" s="227"/>
      <c r="BF2475" s="227"/>
    </row>
    <row r="2476">
      <c r="A2476" s="235" t="s">
        <v>18955</v>
      </c>
      <c r="C2476" s="235" t="s">
        <v>18956</v>
      </c>
      <c r="D2476" s="235" t="s">
        <v>18957</v>
      </c>
      <c r="E2476" s="243">
        <v>6.53E13</v>
      </c>
      <c r="F2476" s="245"/>
      <c r="G2476" s="235" t="s">
        <v>18958</v>
      </c>
      <c r="H2476" s="235" t="s">
        <v>18959</v>
      </c>
      <c r="I2476" s="235" t="s">
        <v>18959</v>
      </c>
      <c r="J2476" s="235" t="s">
        <v>18960</v>
      </c>
      <c r="K2476" s="235" t="s">
        <v>18961</v>
      </c>
      <c r="N2476" s="235" t="s">
        <v>92</v>
      </c>
      <c r="O2476" s="235" t="s">
        <v>248</v>
      </c>
      <c r="P2476" s="238">
        <v>1.0</v>
      </c>
      <c r="Q2476" s="235" t="s">
        <v>627</v>
      </c>
      <c r="R2476" s="238">
        <v>270.48</v>
      </c>
      <c r="S2476" s="238">
        <v>13.25</v>
      </c>
      <c r="T2476" s="238">
        <v>0.0</v>
      </c>
      <c r="U2476" s="238">
        <v>0.0</v>
      </c>
      <c r="V2476" s="238">
        <v>0.0</v>
      </c>
      <c r="W2476" s="238">
        <v>0.0</v>
      </c>
      <c r="X2476" s="235" t="s">
        <v>628</v>
      </c>
      <c r="Z2476" s="244"/>
      <c r="AA2476" s="244"/>
      <c r="AB2476" s="244"/>
      <c r="AC2476" s="235" t="s">
        <v>678</v>
      </c>
      <c r="AD2476" s="235" t="s">
        <v>679</v>
      </c>
      <c r="AE2476" s="238">
        <v>562107.0</v>
      </c>
      <c r="AF2476" s="235" t="s">
        <v>631</v>
      </c>
      <c r="AG2476" s="244"/>
      <c r="AH2476" s="244"/>
      <c r="AI2476" s="245"/>
      <c r="AJ2476" s="245"/>
      <c r="AK2476" s="245"/>
      <c r="AL2476" s="245"/>
      <c r="AM2476" s="244"/>
      <c r="AN2476" s="244"/>
      <c r="AO2476" s="238">
        <v>-5.41</v>
      </c>
      <c r="AP2476" s="238">
        <v>0.0</v>
      </c>
      <c r="AQ2476" s="235" t="s">
        <v>632</v>
      </c>
      <c r="AR2476" s="243">
        <v>1.68E11</v>
      </c>
      <c r="AS2476" s="235" t="s">
        <v>18462</v>
      </c>
      <c r="AT2476" s="235" t="s">
        <v>9</v>
      </c>
      <c r="AU2476" s="235" t="s">
        <v>634</v>
      </c>
      <c r="AV2476" s="246" t="s">
        <v>635</v>
      </c>
      <c r="AW2476" s="242"/>
      <c r="AX2476" s="242"/>
      <c r="AY2476" s="231"/>
      <c r="AZ2476" s="231"/>
      <c r="BA2476" s="227"/>
      <c r="BB2476" s="231"/>
      <c r="BC2476" s="227"/>
      <c r="BD2476" s="227"/>
      <c r="BE2476" s="227"/>
      <c r="BF2476" s="227"/>
    </row>
    <row r="2477">
      <c r="A2477" s="235" t="s">
        <v>18962</v>
      </c>
      <c r="C2477" s="235" t="s">
        <v>18963</v>
      </c>
      <c r="D2477" s="235" t="s">
        <v>18964</v>
      </c>
      <c r="E2477" s="243">
        <v>6.53E13</v>
      </c>
      <c r="F2477" s="245"/>
      <c r="G2477" s="235" t="s">
        <v>18965</v>
      </c>
      <c r="H2477" s="235" t="s">
        <v>18966</v>
      </c>
      <c r="I2477" s="235" t="s">
        <v>18966</v>
      </c>
      <c r="J2477" s="235" t="s">
        <v>18967</v>
      </c>
      <c r="K2477" s="235" t="s">
        <v>18968</v>
      </c>
      <c r="N2477" s="235" t="s">
        <v>1346</v>
      </c>
      <c r="O2477" s="235" t="s">
        <v>1347</v>
      </c>
      <c r="P2477" s="238">
        <v>1.0</v>
      </c>
      <c r="Q2477" s="235" t="s">
        <v>627</v>
      </c>
      <c r="R2477" s="238">
        <v>256.19</v>
      </c>
      <c r="S2477" s="238">
        <v>12.81</v>
      </c>
      <c r="T2477" s="238">
        <v>38.1</v>
      </c>
      <c r="U2477" s="238">
        <v>1.9</v>
      </c>
      <c r="V2477" s="238">
        <v>0.0</v>
      </c>
      <c r="W2477" s="238">
        <v>0.0</v>
      </c>
      <c r="X2477" s="235" t="s">
        <v>628</v>
      </c>
      <c r="Z2477" s="244"/>
      <c r="AA2477" s="244"/>
      <c r="AB2477" s="244"/>
      <c r="AC2477" s="235" t="s">
        <v>18969</v>
      </c>
      <c r="AD2477" s="235" t="s">
        <v>845</v>
      </c>
      <c r="AE2477" s="238">
        <v>422201.0</v>
      </c>
      <c r="AF2477" s="235" t="s">
        <v>631</v>
      </c>
      <c r="AG2477" s="244"/>
      <c r="AH2477" s="244"/>
      <c r="AI2477" s="245"/>
      <c r="AJ2477" s="245"/>
      <c r="AK2477" s="245"/>
      <c r="AL2477" s="245"/>
      <c r="AM2477" s="244"/>
      <c r="AN2477" s="244"/>
      <c r="AO2477" s="238">
        <v>0.0</v>
      </c>
      <c r="AP2477" s="238">
        <v>0.0</v>
      </c>
      <c r="AQ2477" s="235" t="s">
        <v>2581</v>
      </c>
      <c r="AR2477" s="247" t="s">
        <v>18970</v>
      </c>
      <c r="AS2477" s="235" t="s">
        <v>8807</v>
      </c>
      <c r="AT2477" s="235" t="s">
        <v>9</v>
      </c>
      <c r="AU2477" s="235" t="s">
        <v>634</v>
      </c>
      <c r="AV2477" s="246" t="s">
        <v>635</v>
      </c>
      <c r="AW2477" s="242"/>
      <c r="AX2477" s="242"/>
      <c r="AY2477" s="231"/>
      <c r="AZ2477" s="231"/>
      <c r="BA2477" s="227"/>
      <c r="BB2477" s="231"/>
      <c r="BC2477" s="227"/>
      <c r="BD2477" s="227"/>
      <c r="BE2477" s="227"/>
      <c r="BF2477" s="227"/>
    </row>
    <row r="2478">
      <c r="A2478" s="235" t="s">
        <v>18971</v>
      </c>
      <c r="C2478" s="235" t="s">
        <v>18972</v>
      </c>
      <c r="D2478" s="235" t="s">
        <v>18973</v>
      </c>
      <c r="E2478" s="243">
        <v>6.53E13</v>
      </c>
      <c r="F2478" s="245"/>
      <c r="G2478" s="235" t="s">
        <v>18974</v>
      </c>
      <c r="H2478" s="235" t="s">
        <v>18975</v>
      </c>
      <c r="I2478" s="235" t="s">
        <v>18975</v>
      </c>
      <c r="J2478" s="235" t="s">
        <v>18976</v>
      </c>
      <c r="K2478" s="235" t="s">
        <v>18977</v>
      </c>
      <c r="N2478" s="235" t="s">
        <v>138</v>
      </c>
      <c r="O2478" s="235" t="s">
        <v>675</v>
      </c>
      <c r="P2478" s="238">
        <v>1.0</v>
      </c>
      <c r="Q2478" s="235" t="s">
        <v>627</v>
      </c>
      <c r="R2478" s="238">
        <v>270.48</v>
      </c>
      <c r="S2478" s="238">
        <v>13.25</v>
      </c>
      <c r="T2478" s="238">
        <v>0.0</v>
      </c>
      <c r="U2478" s="238">
        <v>0.0</v>
      </c>
      <c r="V2478" s="238">
        <v>0.0</v>
      </c>
      <c r="W2478" s="238">
        <v>0.0</v>
      </c>
      <c r="X2478" s="235" t="s">
        <v>628</v>
      </c>
      <c r="Z2478" s="244"/>
      <c r="AA2478" s="244"/>
      <c r="AB2478" s="244"/>
      <c r="AC2478" s="235" t="s">
        <v>1869</v>
      </c>
      <c r="AD2478" s="235" t="s">
        <v>854</v>
      </c>
      <c r="AE2478" s="238">
        <v>403501.0</v>
      </c>
      <c r="AF2478" s="235" t="s">
        <v>631</v>
      </c>
      <c r="AG2478" s="244"/>
      <c r="AH2478" s="244"/>
      <c r="AI2478" s="245"/>
      <c r="AJ2478" s="245"/>
      <c r="AK2478" s="245"/>
      <c r="AL2478" s="245"/>
      <c r="AM2478" s="244"/>
      <c r="AN2478" s="244"/>
      <c r="AO2478" s="238">
        <v>-5.41</v>
      </c>
      <c r="AP2478" s="238">
        <v>0.0</v>
      </c>
      <c r="AQ2478" s="235" t="s">
        <v>632</v>
      </c>
      <c r="AR2478" s="243">
        <v>2.02E11</v>
      </c>
      <c r="AS2478" s="235" t="s">
        <v>17988</v>
      </c>
      <c r="AT2478" s="235" t="s">
        <v>9</v>
      </c>
      <c r="AU2478" s="235" t="s">
        <v>634</v>
      </c>
      <c r="AV2478" s="246" t="s">
        <v>635</v>
      </c>
      <c r="AW2478" s="242"/>
      <c r="AX2478" s="242"/>
      <c r="AY2478" s="231"/>
      <c r="AZ2478" s="231"/>
      <c r="BA2478" s="227"/>
      <c r="BB2478" s="231"/>
      <c r="BC2478" s="227"/>
      <c r="BD2478" s="227"/>
      <c r="BE2478" s="227"/>
      <c r="BF2478" s="227"/>
    </row>
    <row r="2479">
      <c r="A2479" s="235" t="s">
        <v>18978</v>
      </c>
      <c r="C2479" s="235" t="s">
        <v>18979</v>
      </c>
      <c r="D2479" s="235" t="s">
        <v>18980</v>
      </c>
      <c r="E2479" s="243">
        <v>6.53E13</v>
      </c>
      <c r="F2479" s="245"/>
      <c r="G2479" s="235" t="s">
        <v>18981</v>
      </c>
      <c r="H2479" s="235" t="s">
        <v>18982</v>
      </c>
      <c r="I2479" s="235" t="s">
        <v>18983</v>
      </c>
      <c r="J2479" s="235" t="s">
        <v>18984</v>
      </c>
      <c r="K2479" s="235" t="s">
        <v>18985</v>
      </c>
      <c r="N2479" s="235" t="s">
        <v>154</v>
      </c>
      <c r="O2479" s="235" t="s">
        <v>766</v>
      </c>
      <c r="P2479" s="238">
        <v>1.0</v>
      </c>
      <c r="Q2479" s="235" t="s">
        <v>627</v>
      </c>
      <c r="R2479" s="238">
        <v>500.96</v>
      </c>
      <c r="S2479" s="238">
        <v>25.04</v>
      </c>
      <c r="T2479" s="238">
        <v>0.0</v>
      </c>
      <c r="U2479" s="238">
        <v>0.0</v>
      </c>
      <c r="V2479" s="238">
        <v>0.0</v>
      </c>
      <c r="W2479" s="238">
        <v>0.0</v>
      </c>
      <c r="X2479" s="235" t="s">
        <v>628</v>
      </c>
      <c r="Z2479" s="244"/>
      <c r="AA2479" s="244"/>
      <c r="AB2479" s="244"/>
      <c r="AC2479" s="235" t="s">
        <v>687</v>
      </c>
      <c r="AD2479" s="235" t="s">
        <v>666</v>
      </c>
      <c r="AE2479" s="238">
        <v>600130.0</v>
      </c>
      <c r="AF2479" s="235" t="s">
        <v>631</v>
      </c>
      <c r="AG2479" s="244"/>
      <c r="AH2479" s="244"/>
      <c r="AI2479" s="245"/>
      <c r="AJ2479" s="245"/>
      <c r="AK2479" s="245"/>
      <c r="AL2479" s="245"/>
      <c r="AM2479" s="244"/>
      <c r="AN2479" s="244"/>
      <c r="AO2479" s="238">
        <v>0.0</v>
      </c>
      <c r="AP2479" s="238">
        <v>0.0</v>
      </c>
      <c r="AQ2479" s="235" t="s">
        <v>632</v>
      </c>
      <c r="AR2479" s="243">
        <v>3.71E11</v>
      </c>
      <c r="AS2479" s="235" t="s">
        <v>17988</v>
      </c>
      <c r="AT2479" s="235" t="s">
        <v>156</v>
      </c>
      <c r="AU2479" s="235" t="s">
        <v>634</v>
      </c>
      <c r="AV2479" s="246" t="s">
        <v>635</v>
      </c>
      <c r="AW2479" s="242"/>
      <c r="AX2479" s="242"/>
      <c r="AY2479" s="231"/>
      <c r="AZ2479" s="231"/>
      <c r="BA2479" s="227"/>
      <c r="BB2479" s="231"/>
      <c r="BC2479" s="227"/>
      <c r="BD2479" s="227"/>
      <c r="BE2479" s="227"/>
      <c r="BF2479" s="227"/>
    </row>
    <row r="2480">
      <c r="A2480" s="235" t="s">
        <v>18986</v>
      </c>
      <c r="C2480" s="235" t="s">
        <v>18987</v>
      </c>
      <c r="D2480" s="235" t="s">
        <v>18988</v>
      </c>
      <c r="E2480" s="243">
        <v>6.53E13</v>
      </c>
      <c r="F2480" s="245"/>
      <c r="G2480" s="235" t="s">
        <v>18989</v>
      </c>
      <c r="H2480" s="235" t="s">
        <v>18990</v>
      </c>
      <c r="I2480" s="235" t="s">
        <v>18990</v>
      </c>
      <c r="J2480" s="235" t="s">
        <v>18991</v>
      </c>
      <c r="K2480" s="235" t="s">
        <v>18992</v>
      </c>
      <c r="N2480" s="235" t="s">
        <v>51</v>
      </c>
      <c r="O2480" s="235" t="s">
        <v>273</v>
      </c>
      <c r="P2480" s="238">
        <v>1.0</v>
      </c>
      <c r="Q2480" s="235" t="s">
        <v>627</v>
      </c>
      <c r="R2480" s="238">
        <v>270.48</v>
      </c>
      <c r="S2480" s="238">
        <v>13.52</v>
      </c>
      <c r="T2480" s="238">
        <v>38.1</v>
      </c>
      <c r="U2480" s="238">
        <v>1.9</v>
      </c>
      <c r="V2480" s="238">
        <v>0.0</v>
      </c>
      <c r="W2480" s="238">
        <v>0.0</v>
      </c>
      <c r="X2480" s="235" t="s">
        <v>628</v>
      </c>
      <c r="Z2480" s="244"/>
      <c r="AA2480" s="244"/>
      <c r="AB2480" s="244"/>
      <c r="AC2480" s="235" t="s">
        <v>18993</v>
      </c>
      <c r="AD2480" s="235" t="s">
        <v>833</v>
      </c>
      <c r="AE2480" s="238">
        <v>523247.0</v>
      </c>
      <c r="AF2480" s="235" t="s">
        <v>631</v>
      </c>
      <c r="AG2480" s="244"/>
      <c r="AH2480" s="244"/>
      <c r="AI2480" s="245"/>
      <c r="AJ2480" s="245"/>
      <c r="AK2480" s="245"/>
      <c r="AL2480" s="245"/>
      <c r="AM2480" s="244"/>
      <c r="AN2480" s="244"/>
      <c r="AO2480" s="238">
        <v>0.0</v>
      </c>
      <c r="AP2480" s="238">
        <v>-38.1</v>
      </c>
      <c r="AQ2480" s="235" t="s">
        <v>632</v>
      </c>
      <c r="AR2480" s="243">
        <v>3.71E11</v>
      </c>
      <c r="AS2480" s="235" t="s">
        <v>13822</v>
      </c>
      <c r="AT2480" s="235" t="s">
        <v>156</v>
      </c>
      <c r="AU2480" s="235" t="s">
        <v>634</v>
      </c>
      <c r="AV2480" s="246" t="s">
        <v>635</v>
      </c>
      <c r="AW2480" s="242"/>
      <c r="AX2480" s="242"/>
      <c r="AY2480" s="231"/>
      <c r="AZ2480" s="231"/>
      <c r="BA2480" s="227"/>
      <c r="BB2480" s="231"/>
      <c r="BC2480" s="227"/>
      <c r="BD2480" s="227"/>
      <c r="BE2480" s="227"/>
      <c r="BF2480" s="227"/>
    </row>
    <row r="2481">
      <c r="A2481" s="235" t="s">
        <v>18994</v>
      </c>
      <c r="C2481" s="235" t="s">
        <v>18995</v>
      </c>
      <c r="D2481" s="235" t="s">
        <v>18996</v>
      </c>
      <c r="E2481" s="243">
        <v>6.53E13</v>
      </c>
      <c r="F2481" s="245"/>
      <c r="G2481" s="235" t="s">
        <v>18997</v>
      </c>
      <c r="H2481" s="235" t="s">
        <v>18998</v>
      </c>
      <c r="I2481" s="235" t="s">
        <v>18998</v>
      </c>
      <c r="J2481" s="235" t="s">
        <v>18999</v>
      </c>
      <c r="K2481" s="235" t="s">
        <v>19000</v>
      </c>
      <c r="N2481" s="235" t="s">
        <v>1646</v>
      </c>
      <c r="O2481" s="235" t="s">
        <v>1647</v>
      </c>
      <c r="P2481" s="238">
        <v>1.0</v>
      </c>
      <c r="Q2481" s="235" t="s">
        <v>627</v>
      </c>
      <c r="R2481" s="238">
        <v>270.48</v>
      </c>
      <c r="S2481" s="238">
        <v>13.25</v>
      </c>
      <c r="T2481" s="238">
        <v>0.0</v>
      </c>
      <c r="U2481" s="238">
        <v>0.0</v>
      </c>
      <c r="V2481" s="238">
        <v>0.0</v>
      </c>
      <c r="W2481" s="238">
        <v>0.0</v>
      </c>
      <c r="X2481" s="235" t="s">
        <v>628</v>
      </c>
      <c r="Z2481" s="244"/>
      <c r="AA2481" s="244"/>
      <c r="AB2481" s="244"/>
      <c r="AC2481" s="235" t="s">
        <v>19001</v>
      </c>
      <c r="AD2481" s="235" t="s">
        <v>19002</v>
      </c>
      <c r="AE2481" s="238">
        <v>502313.0</v>
      </c>
      <c r="AF2481" s="235" t="s">
        <v>631</v>
      </c>
      <c r="AG2481" s="244"/>
      <c r="AH2481" s="244"/>
      <c r="AI2481" s="245"/>
      <c r="AJ2481" s="245"/>
      <c r="AK2481" s="245"/>
      <c r="AL2481" s="245"/>
      <c r="AM2481" s="244"/>
      <c r="AN2481" s="244"/>
      <c r="AO2481" s="238">
        <v>-5.41</v>
      </c>
      <c r="AP2481" s="238">
        <v>0.0</v>
      </c>
      <c r="AQ2481" s="235" t="s">
        <v>632</v>
      </c>
      <c r="AR2481" s="243">
        <v>3.71E11</v>
      </c>
      <c r="AS2481" s="235" t="s">
        <v>16626</v>
      </c>
      <c r="AT2481" s="235" t="s">
        <v>11</v>
      </c>
      <c r="AU2481" s="235" t="s">
        <v>634</v>
      </c>
      <c r="AV2481" s="246" t="s">
        <v>635</v>
      </c>
      <c r="AW2481" s="242"/>
      <c r="AX2481" s="242"/>
      <c r="AY2481" s="231"/>
      <c r="AZ2481" s="231"/>
      <c r="BA2481" s="227"/>
      <c r="BB2481" s="231"/>
      <c r="BC2481" s="227"/>
      <c r="BD2481" s="227"/>
      <c r="BE2481" s="227"/>
      <c r="BF2481" s="227"/>
    </row>
    <row r="2482">
      <c r="A2482" s="235" t="s">
        <v>19003</v>
      </c>
      <c r="C2482" s="235" t="s">
        <v>19004</v>
      </c>
      <c r="D2482" s="235" t="s">
        <v>19005</v>
      </c>
      <c r="E2482" s="243">
        <v>6.53E13</v>
      </c>
      <c r="F2482" s="245"/>
      <c r="G2482" s="235" t="s">
        <v>19006</v>
      </c>
      <c r="H2482" s="235" t="s">
        <v>19007</v>
      </c>
      <c r="I2482" s="235" t="s">
        <v>19007</v>
      </c>
      <c r="J2482" s="235" t="s">
        <v>19008</v>
      </c>
      <c r="K2482" s="235" t="s">
        <v>19009</v>
      </c>
      <c r="N2482" s="235" t="s">
        <v>23</v>
      </c>
      <c r="O2482" s="235" t="s">
        <v>974</v>
      </c>
      <c r="P2482" s="238">
        <v>1.0</v>
      </c>
      <c r="Q2482" s="235" t="s">
        <v>627</v>
      </c>
      <c r="R2482" s="238">
        <v>380.0</v>
      </c>
      <c r="S2482" s="238">
        <v>19.0</v>
      </c>
      <c r="T2482" s="238">
        <v>0.0</v>
      </c>
      <c r="U2482" s="238">
        <v>0.0</v>
      </c>
      <c r="V2482" s="238">
        <v>0.0</v>
      </c>
      <c r="W2482" s="238">
        <v>0.0</v>
      </c>
      <c r="X2482" s="235" t="s">
        <v>628</v>
      </c>
      <c r="Z2482" s="244"/>
      <c r="AA2482" s="244"/>
      <c r="AB2482" s="244"/>
      <c r="AC2482" s="235" t="s">
        <v>629</v>
      </c>
      <c r="AD2482" s="235" t="s">
        <v>630</v>
      </c>
      <c r="AE2482" s="238">
        <v>201301.0</v>
      </c>
      <c r="AF2482" s="235" t="s">
        <v>631</v>
      </c>
      <c r="AG2482" s="244"/>
      <c r="AH2482" s="244"/>
      <c r="AI2482" s="245"/>
      <c r="AJ2482" s="245"/>
      <c r="AK2482" s="245"/>
      <c r="AL2482" s="245"/>
      <c r="AM2482" s="244"/>
      <c r="AN2482" s="244"/>
      <c r="AO2482" s="238">
        <v>0.0</v>
      </c>
      <c r="AP2482" s="238">
        <v>0.0</v>
      </c>
      <c r="AQ2482" s="235" t="s">
        <v>632</v>
      </c>
      <c r="AR2482" s="243">
        <v>2.02E11</v>
      </c>
      <c r="AS2482" s="235" t="s">
        <v>17988</v>
      </c>
      <c r="AT2482" s="235" t="s">
        <v>9</v>
      </c>
      <c r="AU2482" s="235" t="s">
        <v>634</v>
      </c>
      <c r="AV2482" s="246" t="s">
        <v>635</v>
      </c>
      <c r="AW2482" s="242"/>
      <c r="AX2482" s="242"/>
      <c r="AY2482" s="231"/>
      <c r="AZ2482" s="231"/>
      <c r="BA2482" s="227"/>
      <c r="BB2482" s="231"/>
      <c r="BC2482" s="227"/>
      <c r="BD2482" s="227"/>
      <c r="BE2482" s="227"/>
      <c r="BF2482" s="227"/>
    </row>
    <row r="2483">
      <c r="A2483" s="235" t="s">
        <v>19010</v>
      </c>
      <c r="C2483" s="235" t="s">
        <v>19011</v>
      </c>
      <c r="D2483" s="235" t="s">
        <v>19012</v>
      </c>
      <c r="E2483" s="243">
        <v>6.53E13</v>
      </c>
      <c r="F2483" s="245"/>
      <c r="G2483" s="235" t="s">
        <v>19013</v>
      </c>
      <c r="H2483" s="235" t="s">
        <v>19014</v>
      </c>
      <c r="I2483" s="235" t="s">
        <v>19014</v>
      </c>
      <c r="J2483" s="235" t="s">
        <v>19015</v>
      </c>
      <c r="K2483" s="235" t="s">
        <v>19016</v>
      </c>
      <c r="N2483" s="235" t="s">
        <v>154</v>
      </c>
      <c r="O2483" s="235" t="s">
        <v>766</v>
      </c>
      <c r="P2483" s="238">
        <v>1.0</v>
      </c>
      <c r="Q2483" s="235" t="s">
        <v>627</v>
      </c>
      <c r="R2483" s="238">
        <v>465.71</v>
      </c>
      <c r="S2483" s="238">
        <v>22.82</v>
      </c>
      <c r="T2483" s="238">
        <v>0.0</v>
      </c>
      <c r="U2483" s="238">
        <v>0.0</v>
      </c>
      <c r="V2483" s="238">
        <v>0.0</v>
      </c>
      <c r="W2483" s="238">
        <v>0.0</v>
      </c>
      <c r="X2483" s="235" t="s">
        <v>628</v>
      </c>
      <c r="Z2483" s="244"/>
      <c r="AA2483" s="244"/>
      <c r="AB2483" s="244"/>
      <c r="AC2483" s="235" t="s">
        <v>629</v>
      </c>
      <c r="AD2483" s="235" t="s">
        <v>630</v>
      </c>
      <c r="AE2483" s="238">
        <v>201304.0</v>
      </c>
      <c r="AF2483" s="235" t="s">
        <v>631</v>
      </c>
      <c r="AG2483" s="244"/>
      <c r="AH2483" s="244"/>
      <c r="AI2483" s="245"/>
      <c r="AJ2483" s="245"/>
      <c r="AK2483" s="245"/>
      <c r="AL2483" s="245"/>
      <c r="AM2483" s="244"/>
      <c r="AN2483" s="244"/>
      <c r="AO2483" s="238">
        <v>-9.31</v>
      </c>
      <c r="AP2483" s="238">
        <v>0.0</v>
      </c>
      <c r="AQ2483" s="235" t="s">
        <v>632</v>
      </c>
      <c r="AR2483" s="243">
        <v>3.71E11</v>
      </c>
      <c r="AS2483" s="235" t="s">
        <v>17988</v>
      </c>
      <c r="AT2483" s="235" t="s">
        <v>13</v>
      </c>
      <c r="AU2483" s="235" t="s">
        <v>634</v>
      </c>
      <c r="AV2483" s="246" t="s">
        <v>635</v>
      </c>
      <c r="AW2483" s="242"/>
      <c r="AX2483" s="242"/>
      <c r="AY2483" s="231"/>
      <c r="AZ2483" s="231"/>
      <c r="BA2483" s="227"/>
      <c r="BB2483" s="231"/>
      <c r="BC2483" s="227"/>
      <c r="BD2483" s="227"/>
      <c r="BE2483" s="227"/>
      <c r="BF2483" s="227"/>
    </row>
    <row r="2484">
      <c r="A2484" s="235" t="s">
        <v>19017</v>
      </c>
      <c r="C2484" s="235" t="s">
        <v>19018</v>
      </c>
      <c r="D2484" s="235" t="s">
        <v>19019</v>
      </c>
      <c r="E2484" s="243">
        <v>6.53E13</v>
      </c>
      <c r="F2484" s="245"/>
      <c r="G2484" s="235" t="s">
        <v>19020</v>
      </c>
      <c r="H2484" s="235" t="s">
        <v>19021</v>
      </c>
      <c r="I2484" s="235" t="s">
        <v>19022</v>
      </c>
      <c r="J2484" s="235" t="s">
        <v>19023</v>
      </c>
      <c r="K2484" s="235" t="s">
        <v>19024</v>
      </c>
      <c r="N2484" s="235" t="s">
        <v>92</v>
      </c>
      <c r="O2484" s="235" t="s">
        <v>248</v>
      </c>
      <c r="P2484" s="238">
        <v>1.0</v>
      </c>
      <c r="Q2484" s="235" t="s">
        <v>627</v>
      </c>
      <c r="R2484" s="238">
        <v>270.48</v>
      </c>
      <c r="S2484" s="238">
        <v>13.25</v>
      </c>
      <c r="T2484" s="238">
        <v>0.0</v>
      </c>
      <c r="U2484" s="238">
        <v>0.0</v>
      </c>
      <c r="V2484" s="238">
        <v>0.0</v>
      </c>
      <c r="W2484" s="238">
        <v>0.0</v>
      </c>
      <c r="X2484" s="235" t="s">
        <v>628</v>
      </c>
      <c r="Z2484" s="244"/>
      <c r="AA2484" s="244"/>
      <c r="AB2484" s="244"/>
      <c r="AC2484" s="235" t="s">
        <v>1085</v>
      </c>
      <c r="AD2484" s="235" t="s">
        <v>1086</v>
      </c>
      <c r="AE2484" s="238">
        <v>141014.0</v>
      </c>
      <c r="AF2484" s="235" t="s">
        <v>631</v>
      </c>
      <c r="AG2484" s="244"/>
      <c r="AH2484" s="244"/>
      <c r="AI2484" s="245"/>
      <c r="AJ2484" s="245"/>
      <c r="AK2484" s="245"/>
      <c r="AL2484" s="245"/>
      <c r="AM2484" s="244"/>
      <c r="AN2484" s="244"/>
      <c r="AO2484" s="238">
        <v>-5.41</v>
      </c>
      <c r="AP2484" s="238">
        <v>0.0</v>
      </c>
      <c r="AQ2484" s="235" t="s">
        <v>632</v>
      </c>
      <c r="AR2484" s="243">
        <v>3.71E11</v>
      </c>
      <c r="AS2484" s="235" t="s">
        <v>16626</v>
      </c>
      <c r="AT2484" s="235" t="s">
        <v>14</v>
      </c>
      <c r="AU2484" s="235" t="s">
        <v>634</v>
      </c>
      <c r="AV2484" s="246" t="s">
        <v>635</v>
      </c>
      <c r="AW2484" s="242"/>
      <c r="AX2484" s="242"/>
      <c r="AY2484" s="231"/>
      <c r="AZ2484" s="231"/>
      <c r="BA2484" s="227"/>
      <c r="BB2484" s="231"/>
      <c r="BC2484" s="227"/>
      <c r="BD2484" s="227"/>
      <c r="BE2484" s="227"/>
      <c r="BF2484" s="227"/>
    </row>
    <row r="2485">
      <c r="A2485" s="235" t="s">
        <v>19025</v>
      </c>
      <c r="C2485" s="235" t="s">
        <v>19026</v>
      </c>
      <c r="D2485" s="235" t="s">
        <v>19027</v>
      </c>
      <c r="E2485" s="243">
        <v>6.53E13</v>
      </c>
      <c r="F2485" s="245"/>
      <c r="G2485" s="235" t="s">
        <v>19028</v>
      </c>
      <c r="H2485" s="235" t="s">
        <v>19029</v>
      </c>
      <c r="I2485" s="235" t="s">
        <v>19029</v>
      </c>
      <c r="J2485" s="235" t="s">
        <v>19030</v>
      </c>
      <c r="K2485" s="235" t="s">
        <v>19031</v>
      </c>
      <c r="N2485" s="235" t="s">
        <v>68</v>
      </c>
      <c r="O2485" s="235" t="s">
        <v>208</v>
      </c>
      <c r="P2485" s="238">
        <v>1.0</v>
      </c>
      <c r="Q2485" s="235" t="s">
        <v>627</v>
      </c>
      <c r="R2485" s="238">
        <v>261.9</v>
      </c>
      <c r="S2485" s="238">
        <v>13.1</v>
      </c>
      <c r="T2485" s="238">
        <v>0.0</v>
      </c>
      <c r="U2485" s="238">
        <v>0.0</v>
      </c>
      <c r="V2485" s="238">
        <v>0.0</v>
      </c>
      <c r="W2485" s="238">
        <v>0.0</v>
      </c>
      <c r="X2485" s="235" t="s">
        <v>628</v>
      </c>
      <c r="Z2485" s="244"/>
      <c r="AA2485" s="244"/>
      <c r="AB2485" s="244"/>
      <c r="AC2485" s="235" t="s">
        <v>678</v>
      </c>
      <c r="AD2485" s="235" t="s">
        <v>679</v>
      </c>
      <c r="AE2485" s="238">
        <v>560076.0</v>
      </c>
      <c r="AF2485" s="235" t="s">
        <v>631</v>
      </c>
      <c r="AG2485" s="244"/>
      <c r="AH2485" s="244"/>
      <c r="AI2485" s="245"/>
      <c r="AJ2485" s="245"/>
      <c r="AK2485" s="245"/>
      <c r="AL2485" s="245"/>
      <c r="AM2485" s="244"/>
      <c r="AN2485" s="244"/>
      <c r="AO2485" s="238">
        <v>0.0</v>
      </c>
      <c r="AP2485" s="238">
        <v>0.0</v>
      </c>
      <c r="AQ2485" s="235" t="s">
        <v>632</v>
      </c>
      <c r="AR2485" s="243">
        <v>1.68E11</v>
      </c>
      <c r="AS2485" s="235" t="s">
        <v>18462</v>
      </c>
      <c r="AT2485" s="235" t="s">
        <v>11</v>
      </c>
      <c r="AU2485" s="235" t="s">
        <v>634</v>
      </c>
      <c r="AV2485" s="246" t="s">
        <v>635</v>
      </c>
      <c r="AW2485" s="242"/>
      <c r="AX2485" s="242"/>
      <c r="AY2485" s="231"/>
      <c r="AZ2485" s="231"/>
      <c r="BA2485" s="227"/>
      <c r="BB2485" s="231"/>
      <c r="BC2485" s="227"/>
      <c r="BD2485" s="227"/>
      <c r="BE2485" s="227"/>
      <c r="BF2485" s="227"/>
    </row>
    <row r="2486">
      <c r="A2486" s="235" t="s">
        <v>19032</v>
      </c>
      <c r="C2486" s="235" t="s">
        <v>19033</v>
      </c>
      <c r="D2486" s="235" t="s">
        <v>19034</v>
      </c>
      <c r="E2486" s="243">
        <v>6.53E13</v>
      </c>
      <c r="F2486" s="245"/>
      <c r="G2486" s="235" t="s">
        <v>19035</v>
      </c>
      <c r="H2486" s="235" t="s">
        <v>19036</v>
      </c>
      <c r="I2486" s="235" t="s">
        <v>19036</v>
      </c>
      <c r="J2486" s="235" t="s">
        <v>19037</v>
      </c>
      <c r="K2486" s="235" t="s">
        <v>19038</v>
      </c>
      <c r="N2486" s="235" t="s">
        <v>42</v>
      </c>
      <c r="O2486" s="235" t="s">
        <v>204</v>
      </c>
      <c r="P2486" s="238">
        <v>1.0</v>
      </c>
      <c r="Q2486" s="235" t="s">
        <v>627</v>
      </c>
      <c r="R2486" s="238">
        <v>270.48</v>
      </c>
      <c r="S2486" s="238">
        <v>13.52</v>
      </c>
      <c r="T2486" s="238">
        <v>0.0</v>
      </c>
      <c r="U2486" s="238">
        <v>0.0</v>
      </c>
      <c r="V2486" s="238">
        <v>0.0</v>
      </c>
      <c r="W2486" s="238">
        <v>0.0</v>
      </c>
      <c r="X2486" s="235" t="s">
        <v>628</v>
      </c>
      <c r="Z2486" s="244"/>
      <c r="AA2486" s="244"/>
      <c r="AB2486" s="244"/>
      <c r="AC2486" s="235" t="s">
        <v>1887</v>
      </c>
      <c r="AD2486" s="235" t="s">
        <v>679</v>
      </c>
      <c r="AE2486" s="238">
        <v>560099.0</v>
      </c>
      <c r="AF2486" s="235" t="s">
        <v>631</v>
      </c>
      <c r="AG2486" s="244"/>
      <c r="AH2486" s="244"/>
      <c r="AI2486" s="245"/>
      <c r="AJ2486" s="245"/>
      <c r="AK2486" s="245"/>
      <c r="AL2486" s="245"/>
      <c r="AM2486" s="244"/>
      <c r="AN2486" s="244"/>
      <c r="AO2486" s="238">
        <v>0.0</v>
      </c>
      <c r="AP2486" s="238">
        <v>0.0</v>
      </c>
      <c r="AQ2486" s="235" t="s">
        <v>632</v>
      </c>
      <c r="AR2486" s="243">
        <v>1.68E11</v>
      </c>
      <c r="AS2486" s="235" t="s">
        <v>18462</v>
      </c>
      <c r="AT2486" s="235" t="s">
        <v>11</v>
      </c>
      <c r="AU2486" s="235" t="s">
        <v>634</v>
      </c>
      <c r="AV2486" s="246" t="s">
        <v>635</v>
      </c>
      <c r="AW2486" s="242"/>
      <c r="AX2486" s="242"/>
      <c r="AY2486" s="231"/>
      <c r="AZ2486" s="231"/>
      <c r="BA2486" s="227"/>
      <c r="BB2486" s="231"/>
      <c r="BC2486" s="227"/>
      <c r="BD2486" s="227"/>
      <c r="BE2486" s="227"/>
      <c r="BF2486" s="227"/>
    </row>
    <row r="2487">
      <c r="A2487" s="235" t="s">
        <v>19039</v>
      </c>
      <c r="C2487" s="235" t="s">
        <v>19040</v>
      </c>
      <c r="D2487" s="235" t="s">
        <v>19041</v>
      </c>
      <c r="E2487" s="243">
        <v>6.53E13</v>
      </c>
      <c r="F2487" s="245"/>
      <c r="G2487" s="235" t="s">
        <v>19042</v>
      </c>
      <c r="H2487" s="235" t="s">
        <v>19043</v>
      </c>
      <c r="I2487" s="235" t="s">
        <v>19043</v>
      </c>
      <c r="J2487" s="235" t="s">
        <v>19044</v>
      </c>
      <c r="K2487" s="235" t="s">
        <v>19045</v>
      </c>
      <c r="N2487" s="235" t="s">
        <v>138</v>
      </c>
      <c r="O2487" s="235" t="s">
        <v>675</v>
      </c>
      <c r="P2487" s="238">
        <v>1.0</v>
      </c>
      <c r="Q2487" s="235" t="s">
        <v>627</v>
      </c>
      <c r="R2487" s="238">
        <v>270.48</v>
      </c>
      <c r="S2487" s="238">
        <v>13.52</v>
      </c>
      <c r="T2487" s="238">
        <v>0.0</v>
      </c>
      <c r="U2487" s="238">
        <v>0.0</v>
      </c>
      <c r="V2487" s="238">
        <v>0.0</v>
      </c>
      <c r="W2487" s="238">
        <v>0.0</v>
      </c>
      <c r="X2487" s="235" t="s">
        <v>628</v>
      </c>
      <c r="Z2487" s="244"/>
      <c r="AA2487" s="244"/>
      <c r="AB2487" s="244"/>
      <c r="AC2487" s="235" t="s">
        <v>5679</v>
      </c>
      <c r="AD2487" s="235" t="s">
        <v>679</v>
      </c>
      <c r="AE2487" s="238">
        <v>570023.0</v>
      </c>
      <c r="AF2487" s="235" t="s">
        <v>631</v>
      </c>
      <c r="AG2487" s="244"/>
      <c r="AH2487" s="244"/>
      <c r="AI2487" s="245"/>
      <c r="AJ2487" s="245"/>
      <c r="AK2487" s="245"/>
      <c r="AL2487" s="245"/>
      <c r="AM2487" s="244"/>
      <c r="AN2487" s="244"/>
      <c r="AO2487" s="238">
        <v>0.0</v>
      </c>
      <c r="AP2487" s="238">
        <v>0.0</v>
      </c>
      <c r="AQ2487" s="235" t="s">
        <v>632</v>
      </c>
      <c r="AR2487" s="243">
        <v>1.68E11</v>
      </c>
      <c r="AS2487" s="235" t="s">
        <v>18462</v>
      </c>
      <c r="AT2487" s="235" t="s">
        <v>11</v>
      </c>
      <c r="AU2487" s="235" t="s">
        <v>634</v>
      </c>
      <c r="AV2487" s="246" t="s">
        <v>635</v>
      </c>
      <c r="AW2487" s="242"/>
      <c r="AX2487" s="242"/>
      <c r="AY2487" s="231"/>
      <c r="AZ2487" s="231"/>
      <c r="BA2487" s="227"/>
      <c r="BB2487" s="231"/>
      <c r="BC2487" s="227"/>
      <c r="BD2487" s="227"/>
      <c r="BE2487" s="227"/>
      <c r="BF2487" s="227"/>
    </row>
    <row r="2488">
      <c r="A2488" s="235" t="s">
        <v>19046</v>
      </c>
      <c r="C2488" s="235" t="s">
        <v>19047</v>
      </c>
      <c r="D2488" s="235" t="s">
        <v>19048</v>
      </c>
      <c r="E2488" s="243">
        <v>6.53E13</v>
      </c>
      <c r="F2488" s="245"/>
      <c r="G2488" s="235" t="s">
        <v>19049</v>
      </c>
      <c r="H2488" s="235" t="s">
        <v>19050</v>
      </c>
      <c r="I2488" s="235" t="s">
        <v>19050</v>
      </c>
      <c r="J2488" s="235" t="s">
        <v>19051</v>
      </c>
      <c r="K2488" s="235" t="s">
        <v>19052</v>
      </c>
      <c r="N2488" s="235" t="s">
        <v>53</v>
      </c>
      <c r="O2488" s="235" t="s">
        <v>512</v>
      </c>
      <c r="P2488" s="238">
        <v>1.0</v>
      </c>
      <c r="Q2488" s="235" t="s">
        <v>627</v>
      </c>
      <c r="R2488" s="238">
        <v>270.48</v>
      </c>
      <c r="S2488" s="238">
        <v>13.25</v>
      </c>
      <c r="T2488" s="238">
        <v>0.0</v>
      </c>
      <c r="U2488" s="238">
        <v>0.0</v>
      </c>
      <c r="V2488" s="238">
        <v>0.0</v>
      </c>
      <c r="W2488" s="238">
        <v>0.0</v>
      </c>
      <c r="X2488" s="235" t="s">
        <v>628</v>
      </c>
      <c r="Z2488" s="244"/>
      <c r="AA2488" s="244"/>
      <c r="AB2488" s="244"/>
      <c r="AC2488" s="235" t="s">
        <v>1206</v>
      </c>
      <c r="AD2488" s="235" t="s">
        <v>679</v>
      </c>
      <c r="AE2488" s="238">
        <v>560087.0</v>
      </c>
      <c r="AF2488" s="235" t="s">
        <v>631</v>
      </c>
      <c r="AG2488" s="244"/>
      <c r="AH2488" s="244"/>
      <c r="AI2488" s="245"/>
      <c r="AJ2488" s="245"/>
      <c r="AK2488" s="245"/>
      <c r="AL2488" s="245"/>
      <c r="AM2488" s="244"/>
      <c r="AN2488" s="244"/>
      <c r="AO2488" s="238">
        <v>-5.41</v>
      </c>
      <c r="AP2488" s="238">
        <v>0.0</v>
      </c>
      <c r="AQ2488" s="235" t="s">
        <v>632</v>
      </c>
      <c r="AR2488" s="243">
        <v>1.68E11</v>
      </c>
      <c r="AS2488" s="235" t="s">
        <v>18462</v>
      </c>
      <c r="AT2488" s="235" t="s">
        <v>9</v>
      </c>
      <c r="AU2488" s="235" t="s">
        <v>634</v>
      </c>
      <c r="AV2488" s="246" t="s">
        <v>635</v>
      </c>
      <c r="AW2488" s="242"/>
      <c r="AX2488" s="242"/>
      <c r="AY2488" s="231"/>
      <c r="AZ2488" s="231"/>
      <c r="BA2488" s="227"/>
      <c r="BB2488" s="231"/>
      <c r="BC2488" s="227"/>
      <c r="BD2488" s="227"/>
      <c r="BE2488" s="227"/>
      <c r="BF2488" s="227"/>
    </row>
    <row r="2489">
      <c r="A2489" s="235" t="s">
        <v>19053</v>
      </c>
      <c r="C2489" s="235" t="s">
        <v>19054</v>
      </c>
      <c r="D2489" s="235" t="s">
        <v>19055</v>
      </c>
      <c r="E2489" s="243">
        <v>6.52E13</v>
      </c>
      <c r="F2489" s="245"/>
      <c r="G2489" s="235" t="s">
        <v>19056</v>
      </c>
      <c r="H2489" s="235" t="s">
        <v>19057</v>
      </c>
      <c r="I2489" s="235" t="s">
        <v>19058</v>
      </c>
      <c r="J2489" s="235" t="s">
        <v>19059</v>
      </c>
      <c r="K2489" s="235" t="s">
        <v>19060</v>
      </c>
      <c r="N2489" s="235" t="s">
        <v>144</v>
      </c>
      <c r="O2489" s="235" t="s">
        <v>232</v>
      </c>
      <c r="P2489" s="238">
        <v>1.0</v>
      </c>
      <c r="Q2489" s="235" t="s">
        <v>627</v>
      </c>
      <c r="R2489" s="238">
        <v>626.66</v>
      </c>
      <c r="S2489" s="238">
        <v>31.34</v>
      </c>
      <c r="T2489" s="238">
        <v>0.0</v>
      </c>
      <c r="U2489" s="238">
        <v>0.0</v>
      </c>
      <c r="V2489" s="238">
        <v>0.0</v>
      </c>
      <c r="W2489" s="238">
        <v>0.0</v>
      </c>
      <c r="X2489" s="235" t="s">
        <v>628</v>
      </c>
      <c r="Z2489" s="244"/>
      <c r="AA2489" s="244"/>
      <c r="AB2489" s="244"/>
      <c r="AC2489" s="235" t="s">
        <v>1058</v>
      </c>
      <c r="AD2489" s="235" t="s">
        <v>845</v>
      </c>
      <c r="AE2489" s="238">
        <v>400086.0</v>
      </c>
      <c r="AF2489" s="235" t="s">
        <v>631</v>
      </c>
      <c r="AG2489" s="244"/>
      <c r="AH2489" s="244"/>
      <c r="AI2489" s="245"/>
      <c r="AJ2489" s="245"/>
      <c r="AK2489" s="245"/>
      <c r="AL2489" s="245"/>
      <c r="AM2489" s="244"/>
      <c r="AN2489" s="244"/>
      <c r="AO2489" s="238">
        <v>0.0</v>
      </c>
      <c r="AP2489" s="238">
        <v>0.0</v>
      </c>
      <c r="AQ2489" s="235" t="s">
        <v>632</v>
      </c>
      <c r="AR2489" s="243">
        <v>3.71E11</v>
      </c>
      <c r="AS2489" s="235" t="s">
        <v>17988</v>
      </c>
      <c r="AT2489" s="235" t="s">
        <v>16</v>
      </c>
      <c r="AU2489" s="235" t="s">
        <v>634</v>
      </c>
      <c r="AV2489" s="246" t="s">
        <v>635</v>
      </c>
      <c r="AW2489" s="242"/>
      <c r="AX2489" s="242"/>
      <c r="AY2489" s="231"/>
      <c r="AZ2489" s="231"/>
      <c r="BA2489" s="227"/>
      <c r="BB2489" s="231"/>
      <c r="BC2489" s="227"/>
      <c r="BD2489" s="227"/>
      <c r="BE2489" s="227"/>
      <c r="BF2489" s="227"/>
    </row>
    <row r="2490">
      <c r="A2490" s="235" t="s">
        <v>19061</v>
      </c>
      <c r="C2490" s="235" t="s">
        <v>19062</v>
      </c>
      <c r="D2490" s="235" t="s">
        <v>19063</v>
      </c>
      <c r="E2490" s="243">
        <v>6.53E13</v>
      </c>
      <c r="F2490" s="245"/>
      <c r="G2490" s="235" t="s">
        <v>19064</v>
      </c>
      <c r="H2490" s="235" t="s">
        <v>19065</v>
      </c>
      <c r="I2490" s="235" t="s">
        <v>19065</v>
      </c>
      <c r="J2490" s="235" t="s">
        <v>19066</v>
      </c>
      <c r="K2490" s="235" t="s">
        <v>19067</v>
      </c>
      <c r="N2490" s="235" t="s">
        <v>141</v>
      </c>
      <c r="O2490" s="235" t="s">
        <v>342</v>
      </c>
      <c r="P2490" s="238">
        <v>1.0</v>
      </c>
      <c r="Q2490" s="235" t="s">
        <v>627</v>
      </c>
      <c r="R2490" s="238">
        <v>270.48</v>
      </c>
      <c r="S2490" s="238">
        <v>13.52</v>
      </c>
      <c r="T2490" s="238">
        <v>0.0</v>
      </c>
      <c r="U2490" s="238">
        <v>0.0</v>
      </c>
      <c r="V2490" s="238">
        <v>0.0</v>
      </c>
      <c r="W2490" s="238">
        <v>0.0</v>
      </c>
      <c r="X2490" s="235" t="s">
        <v>628</v>
      </c>
      <c r="Z2490" s="244"/>
      <c r="AA2490" s="244"/>
      <c r="AB2490" s="244"/>
      <c r="AC2490" s="235" t="s">
        <v>937</v>
      </c>
      <c r="AD2490" s="235" t="s">
        <v>709</v>
      </c>
      <c r="AE2490" s="238">
        <v>800020.0</v>
      </c>
      <c r="AF2490" s="235" t="s">
        <v>631</v>
      </c>
      <c r="AG2490" s="244"/>
      <c r="AH2490" s="244"/>
      <c r="AI2490" s="245"/>
      <c r="AJ2490" s="245"/>
      <c r="AK2490" s="245"/>
      <c r="AL2490" s="245"/>
      <c r="AM2490" s="244"/>
      <c r="AN2490" s="244"/>
      <c r="AO2490" s="238">
        <v>0.0</v>
      </c>
      <c r="AP2490" s="238">
        <v>0.0</v>
      </c>
      <c r="AQ2490" s="235" t="s">
        <v>632</v>
      </c>
      <c r="AR2490" s="243">
        <v>2.02E11</v>
      </c>
      <c r="AS2490" s="235" t="s">
        <v>17988</v>
      </c>
      <c r="AT2490" s="235" t="s">
        <v>11</v>
      </c>
      <c r="AU2490" s="235" t="s">
        <v>634</v>
      </c>
      <c r="AV2490" s="246" t="s">
        <v>635</v>
      </c>
      <c r="AW2490" s="242"/>
      <c r="AX2490" s="242"/>
      <c r="AY2490" s="231"/>
      <c r="AZ2490" s="231"/>
      <c r="BA2490" s="227"/>
      <c r="BB2490" s="231"/>
      <c r="BC2490" s="227"/>
      <c r="BD2490" s="227"/>
      <c r="BE2490" s="227"/>
      <c r="BF2490" s="227"/>
    </row>
    <row r="2491">
      <c r="A2491" s="235" t="s">
        <v>19068</v>
      </c>
      <c r="C2491" s="235" t="s">
        <v>19069</v>
      </c>
      <c r="D2491" s="235" t="s">
        <v>19070</v>
      </c>
      <c r="E2491" s="243">
        <v>6.53E13</v>
      </c>
      <c r="F2491" s="245"/>
      <c r="G2491" s="235" t="s">
        <v>19071</v>
      </c>
      <c r="H2491" s="235" t="s">
        <v>19072</v>
      </c>
      <c r="I2491" s="235" t="s">
        <v>19072</v>
      </c>
      <c r="J2491" s="235" t="s">
        <v>19073</v>
      </c>
      <c r="K2491" s="235" t="s">
        <v>19074</v>
      </c>
      <c r="N2491" s="235" t="s">
        <v>136</v>
      </c>
      <c r="O2491" s="235" t="s">
        <v>256</v>
      </c>
      <c r="P2491" s="238">
        <v>1.0</v>
      </c>
      <c r="Q2491" s="235" t="s">
        <v>627</v>
      </c>
      <c r="R2491" s="238">
        <v>270.48</v>
      </c>
      <c r="S2491" s="238">
        <v>13.52</v>
      </c>
      <c r="T2491" s="238">
        <v>0.0</v>
      </c>
      <c r="U2491" s="238">
        <v>0.0</v>
      </c>
      <c r="V2491" s="238">
        <v>0.0</v>
      </c>
      <c r="W2491" s="238">
        <v>0.0</v>
      </c>
      <c r="X2491" s="235" t="s">
        <v>628</v>
      </c>
      <c r="Z2491" s="244"/>
      <c r="AA2491" s="244"/>
      <c r="AB2491" s="244"/>
      <c r="AC2491" s="235" t="s">
        <v>19075</v>
      </c>
      <c r="AD2491" s="235" t="s">
        <v>928</v>
      </c>
      <c r="AE2491" s="238">
        <v>122102.0</v>
      </c>
      <c r="AF2491" s="235" t="s">
        <v>631</v>
      </c>
      <c r="AG2491" s="244"/>
      <c r="AH2491" s="244"/>
      <c r="AI2491" s="245"/>
      <c r="AJ2491" s="245"/>
      <c r="AK2491" s="245"/>
      <c r="AL2491" s="245"/>
      <c r="AM2491" s="244"/>
      <c r="AN2491" s="244"/>
      <c r="AO2491" s="238">
        <v>0.0</v>
      </c>
      <c r="AP2491" s="238">
        <v>0.0</v>
      </c>
      <c r="AQ2491" s="235" t="s">
        <v>632</v>
      </c>
      <c r="AR2491" s="243">
        <v>3.71E11</v>
      </c>
      <c r="AS2491" s="235" t="s">
        <v>17988</v>
      </c>
      <c r="AT2491" s="235" t="s">
        <v>13</v>
      </c>
      <c r="AU2491" s="235" t="s">
        <v>634</v>
      </c>
      <c r="AV2491" s="246" t="s">
        <v>635</v>
      </c>
      <c r="AW2491" s="242"/>
      <c r="AX2491" s="242"/>
      <c r="AY2491" s="231"/>
      <c r="AZ2491" s="231"/>
      <c r="BA2491" s="227"/>
      <c r="BB2491" s="231"/>
      <c r="BC2491" s="227"/>
      <c r="BD2491" s="227"/>
      <c r="BE2491" s="227"/>
      <c r="BF2491" s="227"/>
    </row>
    <row r="2492">
      <c r="A2492" s="235" t="s">
        <v>19076</v>
      </c>
      <c r="C2492" s="235" t="s">
        <v>19077</v>
      </c>
      <c r="D2492" s="235" t="s">
        <v>19078</v>
      </c>
      <c r="E2492" s="243">
        <v>6.53E13</v>
      </c>
      <c r="F2492" s="245"/>
      <c r="G2492" s="235" t="s">
        <v>19079</v>
      </c>
      <c r="H2492" s="235" t="s">
        <v>19080</v>
      </c>
      <c r="I2492" s="235" t="s">
        <v>19080</v>
      </c>
      <c r="J2492" s="235" t="s">
        <v>19081</v>
      </c>
      <c r="K2492" s="235" t="s">
        <v>19082</v>
      </c>
      <c r="N2492" s="235" t="s">
        <v>42</v>
      </c>
      <c r="O2492" s="235" t="s">
        <v>204</v>
      </c>
      <c r="P2492" s="238">
        <v>1.0</v>
      </c>
      <c r="Q2492" s="235" t="s">
        <v>627</v>
      </c>
      <c r="R2492" s="238">
        <v>270.48</v>
      </c>
      <c r="S2492" s="238">
        <v>13.52</v>
      </c>
      <c r="T2492" s="238">
        <v>0.0</v>
      </c>
      <c r="U2492" s="238">
        <v>0.0</v>
      </c>
      <c r="V2492" s="238">
        <v>0.0</v>
      </c>
      <c r="W2492" s="238">
        <v>0.0</v>
      </c>
      <c r="X2492" s="235" t="s">
        <v>628</v>
      </c>
      <c r="Z2492" s="244"/>
      <c r="AA2492" s="244"/>
      <c r="AB2492" s="244"/>
      <c r="AC2492" s="235" t="s">
        <v>19083</v>
      </c>
      <c r="AD2492" s="235" t="s">
        <v>645</v>
      </c>
      <c r="AE2492" s="238">
        <v>670662.0</v>
      </c>
      <c r="AF2492" s="235" t="s">
        <v>631</v>
      </c>
      <c r="AG2492" s="244"/>
      <c r="AH2492" s="244"/>
      <c r="AI2492" s="245"/>
      <c r="AJ2492" s="245"/>
      <c r="AK2492" s="245"/>
      <c r="AL2492" s="245"/>
      <c r="AM2492" s="244"/>
      <c r="AN2492" s="244"/>
      <c r="AO2492" s="238">
        <v>0.0</v>
      </c>
      <c r="AP2492" s="238">
        <v>0.0</v>
      </c>
      <c r="AQ2492" s="235" t="s">
        <v>632</v>
      </c>
      <c r="AR2492" s="243">
        <v>3.71E11</v>
      </c>
      <c r="AS2492" s="235" t="s">
        <v>17988</v>
      </c>
      <c r="AT2492" s="235" t="s">
        <v>155</v>
      </c>
      <c r="AU2492" s="235" t="s">
        <v>634</v>
      </c>
      <c r="AV2492" s="246" t="s">
        <v>635</v>
      </c>
      <c r="AW2492" s="242"/>
      <c r="AX2492" s="242"/>
      <c r="AY2492" s="231"/>
      <c r="AZ2492" s="231"/>
      <c r="BA2492" s="227"/>
      <c r="BB2492" s="231"/>
      <c r="BC2492" s="227"/>
      <c r="BD2492" s="227"/>
      <c r="BE2492" s="227"/>
      <c r="BF2492" s="227"/>
    </row>
    <row r="2493">
      <c r="A2493" s="235" t="s">
        <v>19084</v>
      </c>
      <c r="C2493" s="235" t="s">
        <v>19085</v>
      </c>
      <c r="D2493" s="235" t="s">
        <v>19086</v>
      </c>
      <c r="E2493" s="243">
        <v>6.53E13</v>
      </c>
      <c r="F2493" s="245"/>
      <c r="G2493" s="235" t="s">
        <v>19087</v>
      </c>
      <c r="H2493" s="235" t="s">
        <v>19088</v>
      </c>
      <c r="I2493" s="235" t="s">
        <v>19089</v>
      </c>
      <c r="J2493" s="235" t="s">
        <v>19090</v>
      </c>
      <c r="K2493" s="235" t="s">
        <v>19091</v>
      </c>
      <c r="N2493" s="235" t="s">
        <v>842</v>
      </c>
      <c r="O2493" s="235" t="s">
        <v>843</v>
      </c>
      <c r="P2493" s="238">
        <v>1.0</v>
      </c>
      <c r="Q2493" s="235" t="s">
        <v>627</v>
      </c>
      <c r="R2493" s="238">
        <v>242.86</v>
      </c>
      <c r="S2493" s="238">
        <v>12.14</v>
      </c>
      <c r="T2493" s="238">
        <v>0.0</v>
      </c>
      <c r="U2493" s="238">
        <v>0.0</v>
      </c>
      <c r="V2493" s="238">
        <v>0.0</v>
      </c>
      <c r="W2493" s="238">
        <v>0.0</v>
      </c>
      <c r="X2493" s="235" t="s">
        <v>628</v>
      </c>
      <c r="Z2493" s="244"/>
      <c r="AA2493" s="244"/>
      <c r="AB2493" s="244"/>
      <c r="AC2493" s="235" t="s">
        <v>19092</v>
      </c>
      <c r="AD2493" s="235" t="s">
        <v>854</v>
      </c>
      <c r="AE2493" s="238">
        <v>403801.0</v>
      </c>
      <c r="AF2493" s="235" t="s">
        <v>631</v>
      </c>
      <c r="AG2493" s="244"/>
      <c r="AH2493" s="244"/>
      <c r="AI2493" s="245"/>
      <c r="AJ2493" s="245"/>
      <c r="AK2493" s="245"/>
      <c r="AL2493" s="245"/>
      <c r="AM2493" s="244"/>
      <c r="AN2493" s="244"/>
      <c r="AO2493" s="238">
        <v>0.0</v>
      </c>
      <c r="AP2493" s="238">
        <v>0.0</v>
      </c>
      <c r="AQ2493" s="235" t="s">
        <v>632</v>
      </c>
      <c r="AR2493" s="243">
        <v>3.71E11</v>
      </c>
      <c r="AS2493" s="235" t="s">
        <v>16626</v>
      </c>
      <c r="AT2493" s="235" t="s">
        <v>11</v>
      </c>
      <c r="AU2493" s="235" t="s">
        <v>634</v>
      </c>
      <c r="AV2493" s="246" t="s">
        <v>635</v>
      </c>
      <c r="AW2493" s="242"/>
      <c r="AX2493" s="242"/>
      <c r="AY2493" s="231"/>
      <c r="AZ2493" s="231"/>
      <c r="BA2493" s="227"/>
      <c r="BB2493" s="231"/>
      <c r="BC2493" s="227"/>
      <c r="BD2493" s="227"/>
      <c r="BE2493" s="227"/>
      <c r="BF2493" s="227"/>
    </row>
    <row r="2494">
      <c r="A2494" s="235" t="s">
        <v>19093</v>
      </c>
      <c r="C2494" s="235" t="s">
        <v>19094</v>
      </c>
      <c r="D2494" s="235" t="s">
        <v>19095</v>
      </c>
      <c r="E2494" s="243">
        <v>6.53E13</v>
      </c>
      <c r="F2494" s="245"/>
      <c r="G2494" s="235" t="s">
        <v>19096</v>
      </c>
      <c r="H2494" s="235" t="s">
        <v>19097</v>
      </c>
      <c r="I2494" s="235" t="s">
        <v>19097</v>
      </c>
      <c r="J2494" s="235" t="s">
        <v>19098</v>
      </c>
      <c r="K2494" s="235" t="s">
        <v>19099</v>
      </c>
      <c r="N2494" s="235" t="s">
        <v>138</v>
      </c>
      <c r="O2494" s="235" t="s">
        <v>675</v>
      </c>
      <c r="P2494" s="238">
        <v>1.0</v>
      </c>
      <c r="Q2494" s="235" t="s">
        <v>627</v>
      </c>
      <c r="R2494" s="238">
        <v>270.48</v>
      </c>
      <c r="S2494" s="238">
        <v>13.25</v>
      </c>
      <c r="T2494" s="238">
        <v>0.0</v>
      </c>
      <c r="U2494" s="238">
        <v>0.0</v>
      </c>
      <c r="V2494" s="238">
        <v>0.0</v>
      </c>
      <c r="W2494" s="238">
        <v>0.0</v>
      </c>
      <c r="X2494" s="235" t="s">
        <v>628</v>
      </c>
      <c r="Z2494" s="244"/>
      <c r="AA2494" s="244"/>
      <c r="AB2494" s="244"/>
      <c r="AC2494" s="235" t="s">
        <v>1851</v>
      </c>
      <c r="AD2494" s="235" t="s">
        <v>1077</v>
      </c>
      <c r="AE2494" s="238">
        <v>382424.0</v>
      </c>
      <c r="AF2494" s="235" t="s">
        <v>631</v>
      </c>
      <c r="AG2494" s="244"/>
      <c r="AH2494" s="244"/>
      <c r="AI2494" s="245"/>
      <c r="AJ2494" s="245"/>
      <c r="AK2494" s="245"/>
      <c r="AL2494" s="245"/>
      <c r="AM2494" s="244"/>
      <c r="AN2494" s="244"/>
      <c r="AO2494" s="238">
        <v>-5.41</v>
      </c>
      <c r="AP2494" s="238">
        <v>0.0</v>
      </c>
      <c r="AQ2494" s="235" t="s">
        <v>632</v>
      </c>
      <c r="AR2494" s="243">
        <v>3.71E11</v>
      </c>
      <c r="AS2494" s="235" t="s">
        <v>15064</v>
      </c>
      <c r="AT2494" s="235" t="s">
        <v>13</v>
      </c>
      <c r="AU2494" s="235" t="s">
        <v>634</v>
      </c>
      <c r="AV2494" s="246" t="s">
        <v>635</v>
      </c>
      <c r="AW2494" s="242"/>
      <c r="AX2494" s="242"/>
      <c r="AY2494" s="231"/>
      <c r="AZ2494" s="231"/>
      <c r="BA2494" s="227"/>
      <c r="BB2494" s="231"/>
      <c r="BC2494" s="227"/>
      <c r="BD2494" s="227"/>
      <c r="BE2494" s="227"/>
      <c r="BF2494" s="227"/>
    </row>
    <row r="2495">
      <c r="A2495" s="235" t="s">
        <v>19100</v>
      </c>
      <c r="C2495" s="235" t="s">
        <v>19101</v>
      </c>
      <c r="D2495" s="235" t="s">
        <v>19102</v>
      </c>
      <c r="E2495" s="243">
        <v>6.53E13</v>
      </c>
      <c r="F2495" s="245"/>
      <c r="G2495" s="235" t="s">
        <v>19103</v>
      </c>
      <c r="H2495" s="235" t="s">
        <v>19104</v>
      </c>
      <c r="I2495" s="235" t="s">
        <v>19104</v>
      </c>
      <c r="J2495" s="235" t="s">
        <v>19105</v>
      </c>
      <c r="K2495" s="235" t="s">
        <v>19106</v>
      </c>
      <c r="N2495" s="235" t="s">
        <v>842</v>
      </c>
      <c r="O2495" s="235" t="s">
        <v>843</v>
      </c>
      <c r="P2495" s="238">
        <v>1.0</v>
      </c>
      <c r="Q2495" s="235" t="s">
        <v>627</v>
      </c>
      <c r="R2495" s="238">
        <v>270.48</v>
      </c>
      <c r="S2495" s="238">
        <v>13.25</v>
      </c>
      <c r="T2495" s="238">
        <v>0.0</v>
      </c>
      <c r="U2495" s="238">
        <v>0.0</v>
      </c>
      <c r="V2495" s="238">
        <v>0.0</v>
      </c>
      <c r="W2495" s="238">
        <v>0.0</v>
      </c>
      <c r="X2495" s="235" t="s">
        <v>628</v>
      </c>
      <c r="Z2495" s="244"/>
      <c r="AA2495" s="244"/>
      <c r="AB2495" s="244"/>
      <c r="AC2495" s="235" t="s">
        <v>3390</v>
      </c>
      <c r="AD2495" s="235" t="s">
        <v>833</v>
      </c>
      <c r="AE2495" s="238">
        <v>530045.0</v>
      </c>
      <c r="AF2495" s="235" t="s">
        <v>631</v>
      </c>
      <c r="AG2495" s="244"/>
      <c r="AH2495" s="244"/>
      <c r="AI2495" s="245"/>
      <c r="AJ2495" s="245"/>
      <c r="AK2495" s="245"/>
      <c r="AL2495" s="245"/>
      <c r="AM2495" s="244"/>
      <c r="AN2495" s="244"/>
      <c r="AO2495" s="238">
        <v>-5.41</v>
      </c>
      <c r="AP2495" s="238">
        <v>0.0</v>
      </c>
      <c r="AQ2495" s="235" t="s">
        <v>632</v>
      </c>
      <c r="AR2495" s="243">
        <v>2.02E11</v>
      </c>
      <c r="AS2495" s="235" t="s">
        <v>17988</v>
      </c>
      <c r="AT2495" s="235" t="s">
        <v>11</v>
      </c>
      <c r="AU2495" s="235" t="s">
        <v>634</v>
      </c>
      <c r="AV2495" s="246" t="s">
        <v>635</v>
      </c>
      <c r="AW2495" s="242"/>
      <c r="AX2495" s="242"/>
      <c r="AY2495" s="231"/>
      <c r="AZ2495" s="231"/>
      <c r="BA2495" s="227"/>
      <c r="BB2495" s="231"/>
      <c r="BC2495" s="227"/>
      <c r="BD2495" s="227"/>
      <c r="BE2495" s="227"/>
      <c r="BF2495" s="227"/>
    </row>
    <row r="2496">
      <c r="A2496" s="235" t="s">
        <v>19107</v>
      </c>
      <c r="C2496" s="235" t="s">
        <v>19108</v>
      </c>
      <c r="D2496" s="235" t="s">
        <v>19109</v>
      </c>
      <c r="E2496" s="243">
        <v>6.53E13</v>
      </c>
      <c r="F2496" s="245"/>
      <c r="G2496" s="235" t="s">
        <v>19110</v>
      </c>
      <c r="H2496" s="235" t="s">
        <v>19111</v>
      </c>
      <c r="I2496" s="235" t="s">
        <v>19111</v>
      </c>
      <c r="J2496" s="235" t="s">
        <v>19112</v>
      </c>
      <c r="K2496" s="235" t="s">
        <v>19113</v>
      </c>
      <c r="N2496" s="235" t="s">
        <v>42</v>
      </c>
      <c r="O2496" s="235" t="s">
        <v>204</v>
      </c>
      <c r="P2496" s="238">
        <v>1.0</v>
      </c>
      <c r="Q2496" s="235" t="s">
        <v>627</v>
      </c>
      <c r="R2496" s="238">
        <v>270.48</v>
      </c>
      <c r="S2496" s="238">
        <v>13.52</v>
      </c>
      <c r="T2496" s="238">
        <v>38.1</v>
      </c>
      <c r="U2496" s="238">
        <v>1.9</v>
      </c>
      <c r="V2496" s="238">
        <v>0.0</v>
      </c>
      <c r="W2496" s="238">
        <v>0.0</v>
      </c>
      <c r="X2496" s="235" t="s">
        <v>628</v>
      </c>
      <c r="Z2496" s="244"/>
      <c r="AA2496" s="244"/>
      <c r="AB2496" s="244"/>
      <c r="AC2496" s="235" t="s">
        <v>1182</v>
      </c>
      <c r="AD2496" s="235" t="s">
        <v>833</v>
      </c>
      <c r="AE2496" s="238">
        <v>530048.0</v>
      </c>
      <c r="AF2496" s="235" t="s">
        <v>631</v>
      </c>
      <c r="AG2496" s="244"/>
      <c r="AH2496" s="244"/>
      <c r="AI2496" s="245"/>
      <c r="AJ2496" s="245"/>
      <c r="AK2496" s="245"/>
      <c r="AL2496" s="245"/>
      <c r="AM2496" s="244"/>
      <c r="AN2496" s="244"/>
      <c r="AO2496" s="238">
        <v>0.0</v>
      </c>
      <c r="AP2496" s="238">
        <v>-38.1</v>
      </c>
      <c r="AQ2496" s="235" t="s">
        <v>632</v>
      </c>
      <c r="AR2496" s="243">
        <v>3.71E11</v>
      </c>
      <c r="AS2496" s="235" t="s">
        <v>13822</v>
      </c>
      <c r="AT2496" s="235" t="s">
        <v>16</v>
      </c>
      <c r="AU2496" s="235" t="s">
        <v>634</v>
      </c>
      <c r="AV2496" s="246" t="s">
        <v>635</v>
      </c>
      <c r="AW2496" s="242"/>
      <c r="AX2496" s="242"/>
      <c r="AY2496" s="231"/>
      <c r="AZ2496" s="231"/>
      <c r="BA2496" s="227"/>
      <c r="BB2496" s="231"/>
      <c r="BC2496" s="227"/>
      <c r="BD2496" s="227"/>
      <c r="BE2496" s="227"/>
      <c r="BF2496" s="227"/>
    </row>
    <row r="2497">
      <c r="A2497" s="235" t="s">
        <v>19114</v>
      </c>
      <c r="C2497" s="235" t="s">
        <v>19115</v>
      </c>
      <c r="D2497" s="235" t="s">
        <v>19116</v>
      </c>
      <c r="E2497" s="243">
        <v>6.53E13</v>
      </c>
      <c r="F2497" s="245"/>
      <c r="G2497" s="235" t="s">
        <v>19117</v>
      </c>
      <c r="H2497" s="235" t="s">
        <v>19118</v>
      </c>
      <c r="I2497" s="235" t="s">
        <v>19118</v>
      </c>
      <c r="J2497" s="235" t="s">
        <v>19119</v>
      </c>
      <c r="K2497" s="235" t="s">
        <v>19120</v>
      </c>
      <c r="N2497" s="235" t="s">
        <v>842</v>
      </c>
      <c r="O2497" s="235" t="s">
        <v>843</v>
      </c>
      <c r="P2497" s="238">
        <v>1.0</v>
      </c>
      <c r="Q2497" s="235" t="s">
        <v>627</v>
      </c>
      <c r="R2497" s="238">
        <v>270.48</v>
      </c>
      <c r="S2497" s="238">
        <v>13.25</v>
      </c>
      <c r="T2497" s="238">
        <v>0.0</v>
      </c>
      <c r="U2497" s="238">
        <v>0.0</v>
      </c>
      <c r="V2497" s="238">
        <v>0.0</v>
      </c>
      <c r="W2497" s="238">
        <v>0.0</v>
      </c>
      <c r="X2497" s="235" t="s">
        <v>628</v>
      </c>
      <c r="Z2497" s="244"/>
      <c r="AA2497" s="244"/>
      <c r="AB2497" s="244"/>
      <c r="AC2497" s="235" t="s">
        <v>2647</v>
      </c>
      <c r="AD2497" s="235" t="s">
        <v>845</v>
      </c>
      <c r="AE2497" s="238">
        <v>400607.0</v>
      </c>
      <c r="AF2497" s="235" t="s">
        <v>631</v>
      </c>
      <c r="AG2497" s="244"/>
      <c r="AH2497" s="244"/>
      <c r="AI2497" s="245"/>
      <c r="AJ2497" s="245"/>
      <c r="AK2497" s="245"/>
      <c r="AL2497" s="245"/>
      <c r="AM2497" s="244"/>
      <c r="AN2497" s="244"/>
      <c r="AO2497" s="238">
        <v>-5.41</v>
      </c>
      <c r="AP2497" s="238">
        <v>0.0</v>
      </c>
      <c r="AQ2497" s="235" t="s">
        <v>632</v>
      </c>
      <c r="AR2497" s="243">
        <v>1.68E11</v>
      </c>
      <c r="AS2497" s="235" t="s">
        <v>18462</v>
      </c>
      <c r="AT2497" s="235" t="s">
        <v>17</v>
      </c>
      <c r="AU2497" s="235" t="s">
        <v>634</v>
      </c>
      <c r="AV2497" s="246" t="s">
        <v>635</v>
      </c>
      <c r="AW2497" s="242"/>
      <c r="AX2497" s="242"/>
      <c r="AY2497" s="231"/>
      <c r="AZ2497" s="231"/>
      <c r="BA2497" s="227"/>
      <c r="BB2497" s="231"/>
      <c r="BC2497" s="227"/>
      <c r="BD2497" s="227"/>
      <c r="BE2497" s="227"/>
      <c r="BF2497" s="227"/>
    </row>
    <row r="2498">
      <c r="A2498" s="235" t="s">
        <v>19121</v>
      </c>
      <c r="C2498" s="235" t="s">
        <v>19122</v>
      </c>
      <c r="D2498" s="235" t="s">
        <v>19123</v>
      </c>
      <c r="E2498" s="243">
        <v>6.51E13</v>
      </c>
      <c r="F2498" s="245"/>
      <c r="G2498" s="235" t="s">
        <v>19124</v>
      </c>
      <c r="H2498" s="235" t="s">
        <v>19125</v>
      </c>
      <c r="I2498" s="235" t="s">
        <v>19125</v>
      </c>
      <c r="J2498" s="235" t="s">
        <v>19126</v>
      </c>
      <c r="K2498" s="235" t="s">
        <v>19127</v>
      </c>
      <c r="N2498" s="235" t="s">
        <v>110</v>
      </c>
      <c r="O2498" s="235" t="s">
        <v>364</v>
      </c>
      <c r="P2498" s="238">
        <v>1.0</v>
      </c>
      <c r="Q2498" s="235" t="s">
        <v>627</v>
      </c>
      <c r="R2498" s="238">
        <v>237.14</v>
      </c>
      <c r="S2498" s="238">
        <v>11.86</v>
      </c>
      <c r="T2498" s="238">
        <v>38.1</v>
      </c>
      <c r="U2498" s="238">
        <v>1.9</v>
      </c>
      <c r="V2498" s="238">
        <v>0.0</v>
      </c>
      <c r="W2498" s="238">
        <v>0.0</v>
      </c>
      <c r="X2498" s="235" t="s">
        <v>628</v>
      </c>
      <c r="Z2498" s="244"/>
      <c r="AA2498" s="244"/>
      <c r="AB2498" s="244"/>
      <c r="AC2498" s="235" t="s">
        <v>687</v>
      </c>
      <c r="AD2498" s="235" t="s">
        <v>666</v>
      </c>
      <c r="AE2498" s="238">
        <v>600069.0</v>
      </c>
      <c r="AF2498" s="235" t="s">
        <v>631</v>
      </c>
      <c r="AG2498" s="244"/>
      <c r="AH2498" s="244"/>
      <c r="AI2498" s="245"/>
      <c r="AJ2498" s="245"/>
      <c r="AK2498" s="245"/>
      <c r="AL2498" s="245"/>
      <c r="AM2498" s="244"/>
      <c r="AN2498" s="244"/>
      <c r="AO2498" s="238">
        <v>0.0</v>
      </c>
      <c r="AP2498" s="238">
        <v>-38.1</v>
      </c>
      <c r="AQ2498" s="235" t="s">
        <v>1356</v>
      </c>
      <c r="AR2498" s="247" t="s">
        <v>19128</v>
      </c>
      <c r="AS2498" s="235" t="s">
        <v>11171</v>
      </c>
      <c r="AT2498" s="235" t="s">
        <v>156</v>
      </c>
      <c r="AU2498" s="235" t="s">
        <v>634</v>
      </c>
      <c r="AV2498" s="246" t="s">
        <v>635</v>
      </c>
      <c r="AW2498" s="242"/>
      <c r="AX2498" s="242"/>
      <c r="AY2498" s="231"/>
      <c r="AZ2498" s="231"/>
      <c r="BA2498" s="227"/>
      <c r="BB2498" s="231"/>
      <c r="BC2498" s="227"/>
      <c r="BD2498" s="227"/>
      <c r="BE2498" s="227"/>
      <c r="BF2498" s="227"/>
    </row>
    <row r="2499">
      <c r="A2499" s="235" t="s">
        <v>19129</v>
      </c>
      <c r="C2499" s="235" t="s">
        <v>19130</v>
      </c>
      <c r="D2499" s="235" t="s">
        <v>19131</v>
      </c>
      <c r="E2499" s="243">
        <v>6.53E13</v>
      </c>
      <c r="F2499" s="245"/>
      <c r="G2499" s="235" t="s">
        <v>19132</v>
      </c>
      <c r="H2499" s="235" t="s">
        <v>19133</v>
      </c>
      <c r="I2499" s="235" t="s">
        <v>19133</v>
      </c>
      <c r="J2499" s="235" t="s">
        <v>19134</v>
      </c>
      <c r="K2499" s="235" t="s">
        <v>19135</v>
      </c>
      <c r="N2499" s="235" t="s">
        <v>989</v>
      </c>
      <c r="O2499" s="235" t="s">
        <v>990</v>
      </c>
      <c r="P2499" s="238">
        <v>1.0</v>
      </c>
      <c r="Q2499" s="235" t="s">
        <v>627</v>
      </c>
      <c r="R2499" s="238">
        <v>256.19</v>
      </c>
      <c r="S2499" s="238">
        <v>12.81</v>
      </c>
      <c r="T2499" s="238">
        <v>0.0</v>
      </c>
      <c r="U2499" s="238">
        <v>0.0</v>
      </c>
      <c r="V2499" s="238">
        <v>0.0</v>
      </c>
      <c r="W2499" s="238">
        <v>0.0</v>
      </c>
      <c r="X2499" s="235" t="s">
        <v>628</v>
      </c>
      <c r="Z2499" s="244"/>
      <c r="AA2499" s="244"/>
      <c r="AB2499" s="244"/>
      <c r="AC2499" s="235" t="s">
        <v>19136</v>
      </c>
      <c r="AD2499" s="235" t="s">
        <v>1499</v>
      </c>
      <c r="AE2499" s="238">
        <v>482001.0</v>
      </c>
      <c r="AF2499" s="235" t="s">
        <v>631</v>
      </c>
      <c r="AG2499" s="244"/>
      <c r="AH2499" s="244"/>
      <c r="AI2499" s="245"/>
      <c r="AJ2499" s="245"/>
      <c r="AK2499" s="245"/>
      <c r="AL2499" s="245"/>
      <c r="AM2499" s="244"/>
      <c r="AN2499" s="244"/>
      <c r="AO2499" s="238">
        <v>0.0</v>
      </c>
      <c r="AP2499" s="238">
        <v>0.0</v>
      </c>
      <c r="AQ2499" s="235" t="s">
        <v>632</v>
      </c>
      <c r="AR2499" s="243">
        <v>3.71E11</v>
      </c>
      <c r="AS2499" s="235" t="s">
        <v>13822</v>
      </c>
      <c r="AT2499" s="235" t="s">
        <v>5</v>
      </c>
      <c r="AU2499" s="235" t="s">
        <v>634</v>
      </c>
      <c r="AV2499" s="246" t="s">
        <v>635</v>
      </c>
      <c r="AW2499" s="242"/>
      <c r="AX2499" s="242"/>
      <c r="AY2499" s="231"/>
      <c r="AZ2499" s="231"/>
      <c r="BA2499" s="227"/>
      <c r="BB2499" s="231"/>
      <c r="BC2499" s="227"/>
      <c r="BD2499" s="227"/>
      <c r="BE2499" s="227"/>
      <c r="BF2499" s="227"/>
    </row>
    <row r="2500">
      <c r="A2500" s="235" t="s">
        <v>19137</v>
      </c>
      <c r="C2500" s="235" t="s">
        <v>19138</v>
      </c>
      <c r="D2500" s="235" t="s">
        <v>19139</v>
      </c>
      <c r="E2500" s="243">
        <v>6.53E13</v>
      </c>
      <c r="F2500" s="245"/>
      <c r="G2500" s="235" t="s">
        <v>19140</v>
      </c>
      <c r="H2500" s="235" t="s">
        <v>19141</v>
      </c>
      <c r="I2500" s="235" t="s">
        <v>19141</v>
      </c>
      <c r="J2500" s="235" t="s">
        <v>19142</v>
      </c>
      <c r="K2500" s="235" t="s">
        <v>19143</v>
      </c>
      <c r="N2500" s="235" t="s">
        <v>127</v>
      </c>
      <c r="O2500" s="235" t="s">
        <v>794</v>
      </c>
      <c r="P2500" s="238">
        <v>1.0</v>
      </c>
      <c r="Q2500" s="235" t="s">
        <v>627</v>
      </c>
      <c r="R2500" s="238">
        <v>270.48</v>
      </c>
      <c r="S2500" s="238">
        <v>13.52</v>
      </c>
      <c r="T2500" s="238">
        <v>38.1</v>
      </c>
      <c r="U2500" s="238">
        <v>1.9</v>
      </c>
      <c r="V2500" s="238">
        <v>0.0</v>
      </c>
      <c r="W2500" s="238">
        <v>0.0</v>
      </c>
      <c r="X2500" s="235" t="s">
        <v>628</v>
      </c>
      <c r="Z2500" s="244"/>
      <c r="AA2500" s="244"/>
      <c r="AB2500" s="244"/>
      <c r="AC2500" s="235" t="s">
        <v>1382</v>
      </c>
      <c r="AD2500" s="235" t="s">
        <v>679</v>
      </c>
      <c r="AE2500" s="238">
        <v>590016.0</v>
      </c>
      <c r="AF2500" s="235" t="s">
        <v>631</v>
      </c>
      <c r="AG2500" s="244"/>
      <c r="AH2500" s="244"/>
      <c r="AI2500" s="245"/>
      <c r="AJ2500" s="245"/>
      <c r="AK2500" s="245"/>
      <c r="AL2500" s="245"/>
      <c r="AM2500" s="244"/>
      <c r="AN2500" s="244"/>
      <c r="AO2500" s="238">
        <v>0.0</v>
      </c>
      <c r="AP2500" s="238">
        <v>-38.1</v>
      </c>
      <c r="AQ2500" s="235" t="s">
        <v>632</v>
      </c>
      <c r="AR2500" s="243">
        <v>1.68E11</v>
      </c>
      <c r="AS2500" s="235" t="s">
        <v>16626</v>
      </c>
      <c r="AT2500" s="235" t="s">
        <v>11</v>
      </c>
      <c r="AU2500" s="235" t="s">
        <v>634</v>
      </c>
      <c r="AV2500" s="246" t="s">
        <v>635</v>
      </c>
      <c r="AW2500" s="242"/>
      <c r="AX2500" s="242"/>
      <c r="AY2500" s="231"/>
      <c r="AZ2500" s="231"/>
      <c r="BA2500" s="227"/>
      <c r="BB2500" s="231"/>
      <c r="BC2500" s="227"/>
      <c r="BD2500" s="227"/>
      <c r="BE2500" s="227"/>
      <c r="BF2500" s="227"/>
    </row>
    <row r="2501">
      <c r="A2501" s="235" t="s">
        <v>19144</v>
      </c>
      <c r="C2501" s="235" t="s">
        <v>19145</v>
      </c>
      <c r="D2501" s="235" t="s">
        <v>19146</v>
      </c>
      <c r="E2501" s="243">
        <v>6.53E13</v>
      </c>
      <c r="F2501" s="245"/>
      <c r="G2501" s="235" t="s">
        <v>19147</v>
      </c>
      <c r="H2501" s="235" t="s">
        <v>19148</v>
      </c>
      <c r="I2501" s="235" t="s">
        <v>19148</v>
      </c>
      <c r="J2501" s="235" t="s">
        <v>19149</v>
      </c>
      <c r="K2501" s="235" t="s">
        <v>19150</v>
      </c>
      <c r="N2501" s="235" t="s">
        <v>962</v>
      </c>
      <c r="O2501" s="235" t="s">
        <v>963</v>
      </c>
      <c r="P2501" s="238">
        <v>1.0</v>
      </c>
      <c r="Q2501" s="235" t="s">
        <v>627</v>
      </c>
      <c r="R2501" s="238">
        <v>270.48</v>
      </c>
      <c r="S2501" s="238">
        <v>13.25</v>
      </c>
      <c r="T2501" s="238">
        <v>0.0</v>
      </c>
      <c r="U2501" s="238">
        <v>0.0</v>
      </c>
      <c r="V2501" s="238">
        <v>0.0</v>
      </c>
      <c r="W2501" s="238">
        <v>0.0</v>
      </c>
      <c r="X2501" s="235" t="s">
        <v>628</v>
      </c>
      <c r="Z2501" s="244"/>
      <c r="AA2501" s="244"/>
      <c r="AB2501" s="244"/>
      <c r="AC2501" s="235" t="s">
        <v>19151</v>
      </c>
      <c r="AD2501" s="235" t="s">
        <v>833</v>
      </c>
      <c r="AE2501" s="238">
        <v>521456.0</v>
      </c>
      <c r="AF2501" s="235" t="s">
        <v>631</v>
      </c>
      <c r="AG2501" s="244"/>
      <c r="AH2501" s="244"/>
      <c r="AI2501" s="245"/>
      <c r="AJ2501" s="245"/>
      <c r="AK2501" s="245"/>
      <c r="AL2501" s="245"/>
      <c r="AM2501" s="244"/>
      <c r="AN2501" s="244"/>
      <c r="AO2501" s="238">
        <v>-5.41</v>
      </c>
      <c r="AP2501" s="238">
        <v>0.0</v>
      </c>
      <c r="AQ2501" s="235" t="s">
        <v>632</v>
      </c>
      <c r="AR2501" s="243">
        <v>1.68E11</v>
      </c>
      <c r="AS2501" s="235" t="s">
        <v>17988</v>
      </c>
      <c r="AT2501" s="235" t="s">
        <v>156</v>
      </c>
      <c r="AU2501" s="235" t="s">
        <v>634</v>
      </c>
      <c r="AV2501" s="246" t="s">
        <v>635</v>
      </c>
      <c r="AW2501" s="242"/>
      <c r="AX2501" s="242"/>
      <c r="AY2501" s="231"/>
      <c r="AZ2501" s="231"/>
      <c r="BA2501" s="227"/>
      <c r="BB2501" s="227"/>
      <c r="BC2501" s="227"/>
      <c r="BD2501" s="227"/>
      <c r="BE2501" s="227"/>
      <c r="BF2501" s="227"/>
    </row>
    <row r="2502">
      <c r="A2502" s="235" t="s">
        <v>19152</v>
      </c>
      <c r="C2502" s="235" t="s">
        <v>19153</v>
      </c>
      <c r="D2502" s="235" t="s">
        <v>19154</v>
      </c>
      <c r="E2502" s="243">
        <v>6.53E13</v>
      </c>
      <c r="F2502" s="245"/>
      <c r="G2502" s="235" t="s">
        <v>19155</v>
      </c>
      <c r="H2502" s="235" t="s">
        <v>19156</v>
      </c>
      <c r="I2502" s="235" t="s">
        <v>19156</v>
      </c>
      <c r="J2502" s="235" t="s">
        <v>19157</v>
      </c>
      <c r="K2502" s="235" t="s">
        <v>19158</v>
      </c>
      <c r="N2502" s="235" t="s">
        <v>117</v>
      </c>
      <c r="O2502" s="235" t="s">
        <v>334</v>
      </c>
      <c r="P2502" s="238">
        <v>1.0</v>
      </c>
      <c r="Q2502" s="235" t="s">
        <v>627</v>
      </c>
      <c r="R2502" s="238">
        <v>270.48</v>
      </c>
      <c r="S2502" s="238">
        <v>13.52</v>
      </c>
      <c r="T2502" s="238">
        <v>0.0</v>
      </c>
      <c r="U2502" s="238">
        <v>0.0</v>
      </c>
      <c r="V2502" s="238">
        <v>0.0</v>
      </c>
      <c r="W2502" s="238">
        <v>0.0</v>
      </c>
      <c r="X2502" s="235" t="s">
        <v>628</v>
      </c>
      <c r="Z2502" s="244"/>
      <c r="AA2502" s="244"/>
      <c r="AB2502" s="244"/>
      <c r="AC2502" s="235" t="s">
        <v>767</v>
      </c>
      <c r="AD2502" s="235" t="s">
        <v>679</v>
      </c>
      <c r="AE2502" s="238">
        <v>562114.0</v>
      </c>
      <c r="AF2502" s="235" t="s">
        <v>631</v>
      </c>
      <c r="AG2502" s="244"/>
      <c r="AH2502" s="244"/>
      <c r="AI2502" s="245"/>
      <c r="AJ2502" s="245"/>
      <c r="AK2502" s="245"/>
      <c r="AL2502" s="245"/>
      <c r="AM2502" s="244"/>
      <c r="AN2502" s="244"/>
      <c r="AO2502" s="238">
        <v>0.0</v>
      </c>
      <c r="AP2502" s="238">
        <v>0.0</v>
      </c>
      <c r="AQ2502" s="235" t="s">
        <v>632</v>
      </c>
      <c r="AR2502" s="243">
        <v>1.68E11</v>
      </c>
      <c r="AS2502" s="235" t="s">
        <v>18462</v>
      </c>
      <c r="AT2502" s="235" t="s">
        <v>11</v>
      </c>
      <c r="AU2502" s="235" t="s">
        <v>634</v>
      </c>
      <c r="AV2502" s="246" t="s">
        <v>635</v>
      </c>
      <c r="AW2502" s="242"/>
      <c r="AX2502" s="242"/>
      <c r="AY2502" s="231"/>
      <c r="AZ2502" s="231"/>
      <c r="BA2502" s="227"/>
      <c r="BB2502" s="231"/>
      <c r="BC2502" s="227"/>
      <c r="BD2502" s="227"/>
      <c r="BE2502" s="227"/>
      <c r="BF2502" s="227"/>
    </row>
    <row r="2503">
      <c r="A2503" s="235" t="s">
        <v>19159</v>
      </c>
      <c r="C2503" s="235" t="s">
        <v>19160</v>
      </c>
      <c r="D2503" s="235" t="s">
        <v>19161</v>
      </c>
      <c r="E2503" s="243">
        <v>6.53E13</v>
      </c>
      <c r="F2503" s="245"/>
      <c r="G2503" s="235" t="s">
        <v>19162</v>
      </c>
      <c r="H2503" s="235" t="s">
        <v>19163</v>
      </c>
      <c r="I2503" s="235" t="s">
        <v>19163</v>
      </c>
      <c r="J2503" s="235" t="s">
        <v>19164</v>
      </c>
      <c r="K2503" s="235" t="s">
        <v>19165</v>
      </c>
      <c r="N2503" s="235" t="s">
        <v>104</v>
      </c>
      <c r="O2503" s="235" t="s">
        <v>401</v>
      </c>
      <c r="P2503" s="238">
        <v>1.0</v>
      </c>
      <c r="Q2503" s="235" t="s">
        <v>627</v>
      </c>
      <c r="R2503" s="238">
        <v>270.48</v>
      </c>
      <c r="S2503" s="238">
        <v>13.25</v>
      </c>
      <c r="T2503" s="238">
        <v>0.0</v>
      </c>
      <c r="U2503" s="238">
        <v>0.0</v>
      </c>
      <c r="V2503" s="238">
        <v>0.0</v>
      </c>
      <c r="W2503" s="238">
        <v>0.0</v>
      </c>
      <c r="X2503" s="235" t="s">
        <v>628</v>
      </c>
      <c r="Z2503" s="244"/>
      <c r="AA2503" s="244"/>
      <c r="AB2503" s="244"/>
      <c r="AC2503" s="235" t="s">
        <v>19166</v>
      </c>
      <c r="AD2503" s="235" t="s">
        <v>1151</v>
      </c>
      <c r="AE2503" s="238">
        <v>700124.0</v>
      </c>
      <c r="AF2503" s="235" t="s">
        <v>631</v>
      </c>
      <c r="AG2503" s="244"/>
      <c r="AH2503" s="244"/>
      <c r="AI2503" s="245"/>
      <c r="AJ2503" s="245"/>
      <c r="AK2503" s="245"/>
      <c r="AL2503" s="245"/>
      <c r="AM2503" s="244"/>
      <c r="AN2503" s="244"/>
      <c r="AO2503" s="238">
        <v>-5.41</v>
      </c>
      <c r="AP2503" s="238">
        <v>0.0</v>
      </c>
      <c r="AQ2503" s="235" t="s">
        <v>632</v>
      </c>
      <c r="AR2503" s="243">
        <v>2.02E11</v>
      </c>
      <c r="AS2503" s="235" t="s">
        <v>17988</v>
      </c>
      <c r="AT2503" s="235" t="s">
        <v>156</v>
      </c>
      <c r="AU2503" s="235" t="s">
        <v>634</v>
      </c>
      <c r="AV2503" s="246" t="s">
        <v>635</v>
      </c>
      <c r="AW2503" s="242"/>
      <c r="AX2503" s="242"/>
      <c r="AY2503" s="231"/>
      <c r="AZ2503" s="231"/>
      <c r="BA2503" s="227"/>
      <c r="BB2503" s="231"/>
      <c r="BC2503" s="227"/>
      <c r="BD2503" s="227"/>
      <c r="BE2503" s="227"/>
      <c r="BF2503" s="227"/>
    </row>
    <row r="2504">
      <c r="A2504" s="235" t="s">
        <v>19167</v>
      </c>
      <c r="C2504" s="235" t="s">
        <v>19168</v>
      </c>
      <c r="D2504" s="235" t="s">
        <v>19169</v>
      </c>
      <c r="E2504" s="243">
        <v>6.53E13</v>
      </c>
      <c r="F2504" s="245"/>
      <c r="G2504" s="235" t="s">
        <v>19170</v>
      </c>
      <c r="H2504" s="235" t="s">
        <v>19171</v>
      </c>
      <c r="I2504" s="235" t="s">
        <v>19163</v>
      </c>
      <c r="J2504" s="235" t="s">
        <v>19172</v>
      </c>
      <c r="K2504" s="235" t="s">
        <v>19173</v>
      </c>
      <c r="N2504" s="235" t="s">
        <v>154</v>
      </c>
      <c r="O2504" s="235" t="s">
        <v>766</v>
      </c>
      <c r="P2504" s="238">
        <v>1.0</v>
      </c>
      <c r="Q2504" s="235" t="s">
        <v>627</v>
      </c>
      <c r="R2504" s="238">
        <v>500.95</v>
      </c>
      <c r="S2504" s="238">
        <v>25.05</v>
      </c>
      <c r="T2504" s="238">
        <v>0.0</v>
      </c>
      <c r="U2504" s="238">
        <v>0.0</v>
      </c>
      <c r="V2504" s="238">
        <v>0.0</v>
      </c>
      <c r="W2504" s="238">
        <v>0.0</v>
      </c>
      <c r="X2504" s="235" t="s">
        <v>628</v>
      </c>
      <c r="Z2504" s="244"/>
      <c r="AA2504" s="244"/>
      <c r="AB2504" s="244"/>
      <c r="AC2504" s="235" t="s">
        <v>19174</v>
      </c>
      <c r="AD2504" s="235" t="s">
        <v>1499</v>
      </c>
      <c r="AE2504" s="238">
        <v>462026.0</v>
      </c>
      <c r="AF2504" s="235" t="s">
        <v>631</v>
      </c>
      <c r="AG2504" s="244"/>
      <c r="AH2504" s="244"/>
      <c r="AI2504" s="245"/>
      <c r="AJ2504" s="245"/>
      <c r="AK2504" s="245"/>
      <c r="AL2504" s="245"/>
      <c r="AM2504" s="244"/>
      <c r="AN2504" s="244"/>
      <c r="AO2504" s="238">
        <v>0.0</v>
      </c>
      <c r="AP2504" s="238">
        <v>0.0</v>
      </c>
      <c r="AQ2504" s="235" t="s">
        <v>632</v>
      </c>
      <c r="AR2504" s="243">
        <v>3.71E11</v>
      </c>
      <c r="AS2504" s="235" t="s">
        <v>16626</v>
      </c>
      <c r="AT2504" s="235" t="s">
        <v>5</v>
      </c>
      <c r="AU2504" s="235" t="s">
        <v>634</v>
      </c>
      <c r="AV2504" s="246" t="s">
        <v>635</v>
      </c>
      <c r="AW2504" s="242"/>
      <c r="AX2504" s="242"/>
      <c r="AY2504" s="231"/>
      <c r="AZ2504" s="231"/>
      <c r="BA2504" s="227"/>
      <c r="BB2504" s="231"/>
      <c r="BC2504" s="227"/>
      <c r="BD2504" s="227"/>
      <c r="BE2504" s="227"/>
      <c r="BF2504" s="227"/>
    </row>
    <row r="2505">
      <c r="A2505" s="235" t="s">
        <v>19175</v>
      </c>
      <c r="C2505" s="235" t="s">
        <v>19176</v>
      </c>
      <c r="D2505" s="235" t="s">
        <v>19177</v>
      </c>
      <c r="E2505" s="243">
        <v>6.53E13</v>
      </c>
      <c r="F2505" s="245"/>
      <c r="G2505" s="235" t="s">
        <v>19178</v>
      </c>
      <c r="H2505" s="235" t="s">
        <v>19179</v>
      </c>
      <c r="I2505" s="235" t="s">
        <v>19179</v>
      </c>
      <c r="J2505" s="235" t="s">
        <v>19180</v>
      </c>
      <c r="K2505" s="235" t="s">
        <v>19181</v>
      </c>
      <c r="N2505" s="235" t="s">
        <v>130</v>
      </c>
      <c r="O2505" s="235" t="s">
        <v>707</v>
      </c>
      <c r="P2505" s="238">
        <v>1.0</v>
      </c>
      <c r="Q2505" s="235" t="s">
        <v>627</v>
      </c>
      <c r="R2505" s="238">
        <v>270.48</v>
      </c>
      <c r="S2505" s="238">
        <v>13.52</v>
      </c>
      <c r="T2505" s="238">
        <v>0.0</v>
      </c>
      <c r="U2505" s="238">
        <v>0.0</v>
      </c>
      <c r="V2505" s="238">
        <v>0.0</v>
      </c>
      <c r="W2505" s="238">
        <v>0.0</v>
      </c>
      <c r="X2505" s="235" t="s">
        <v>628</v>
      </c>
      <c r="Z2505" s="244"/>
      <c r="AA2505" s="244"/>
      <c r="AB2505" s="244"/>
      <c r="AC2505" s="235" t="s">
        <v>678</v>
      </c>
      <c r="AD2505" s="235" t="s">
        <v>679</v>
      </c>
      <c r="AE2505" s="238">
        <v>560045.0</v>
      </c>
      <c r="AF2505" s="235" t="s">
        <v>631</v>
      </c>
      <c r="AG2505" s="244"/>
      <c r="AH2505" s="244"/>
      <c r="AI2505" s="245"/>
      <c r="AJ2505" s="245"/>
      <c r="AK2505" s="245"/>
      <c r="AL2505" s="245"/>
      <c r="AM2505" s="244"/>
      <c r="AN2505" s="244"/>
      <c r="AO2505" s="238">
        <v>0.0</v>
      </c>
      <c r="AP2505" s="238">
        <v>0.0</v>
      </c>
      <c r="AQ2505" s="235" t="s">
        <v>632</v>
      </c>
      <c r="AR2505" s="243">
        <v>1.68E11</v>
      </c>
      <c r="AS2505" s="235" t="s">
        <v>18462</v>
      </c>
      <c r="AT2505" s="235" t="s">
        <v>9</v>
      </c>
      <c r="AU2505" s="235" t="s">
        <v>634</v>
      </c>
      <c r="AV2505" s="246" t="s">
        <v>635</v>
      </c>
      <c r="AW2505" s="242"/>
      <c r="AX2505" s="242"/>
      <c r="AY2505" s="231"/>
      <c r="AZ2505" s="231"/>
      <c r="BA2505" s="227"/>
      <c r="BB2505" s="231"/>
      <c r="BC2505" s="227"/>
      <c r="BD2505" s="227"/>
      <c r="BE2505" s="227"/>
      <c r="BF2505" s="227"/>
    </row>
    <row r="2506">
      <c r="A2506" s="235" t="s">
        <v>19182</v>
      </c>
      <c r="C2506" s="235" t="s">
        <v>19183</v>
      </c>
      <c r="D2506" s="235" t="s">
        <v>19184</v>
      </c>
      <c r="E2506" s="243">
        <v>6.53E13</v>
      </c>
      <c r="F2506" s="245"/>
      <c r="G2506" s="235" t="s">
        <v>19185</v>
      </c>
      <c r="H2506" s="235" t="s">
        <v>19186</v>
      </c>
      <c r="I2506" s="235" t="s">
        <v>19186</v>
      </c>
      <c r="J2506" s="235" t="s">
        <v>19187</v>
      </c>
      <c r="K2506" s="235" t="s">
        <v>19188</v>
      </c>
      <c r="N2506" s="235" t="s">
        <v>98</v>
      </c>
      <c r="O2506" s="235" t="s">
        <v>357</v>
      </c>
      <c r="P2506" s="238">
        <v>1.0</v>
      </c>
      <c r="Q2506" s="235" t="s">
        <v>627</v>
      </c>
      <c r="R2506" s="238">
        <v>270.48</v>
      </c>
      <c r="S2506" s="238">
        <v>13.25</v>
      </c>
      <c r="T2506" s="238">
        <v>38.1</v>
      </c>
      <c r="U2506" s="238">
        <v>1.9</v>
      </c>
      <c r="V2506" s="238">
        <v>0.0</v>
      </c>
      <c r="W2506" s="238">
        <v>0.0</v>
      </c>
      <c r="X2506" s="235" t="s">
        <v>628</v>
      </c>
      <c r="Z2506" s="244"/>
      <c r="AA2506" s="244"/>
      <c r="AB2506" s="244"/>
      <c r="AC2506" s="235" t="s">
        <v>13890</v>
      </c>
      <c r="AD2506" s="235" t="s">
        <v>630</v>
      </c>
      <c r="AE2506" s="238">
        <v>243006.0</v>
      </c>
      <c r="AF2506" s="235" t="s">
        <v>631</v>
      </c>
      <c r="AG2506" s="244"/>
      <c r="AH2506" s="244"/>
      <c r="AI2506" s="245"/>
      <c r="AJ2506" s="245"/>
      <c r="AK2506" s="245"/>
      <c r="AL2506" s="245"/>
      <c r="AM2506" s="244"/>
      <c r="AN2506" s="244"/>
      <c r="AO2506" s="238">
        <v>-5.41</v>
      </c>
      <c r="AP2506" s="238">
        <v>-38.1</v>
      </c>
      <c r="AQ2506" s="235" t="s">
        <v>632</v>
      </c>
      <c r="AR2506" s="243">
        <v>3.71E11</v>
      </c>
      <c r="AS2506" s="235" t="s">
        <v>16626</v>
      </c>
      <c r="AT2506" s="235" t="s">
        <v>13</v>
      </c>
      <c r="AU2506" s="235" t="s">
        <v>634</v>
      </c>
      <c r="AV2506" s="246" t="s">
        <v>635</v>
      </c>
      <c r="AW2506" s="242"/>
      <c r="AX2506" s="242"/>
      <c r="AY2506" s="231"/>
      <c r="AZ2506" s="231"/>
      <c r="BA2506" s="227"/>
      <c r="BB2506" s="227"/>
      <c r="BC2506" s="227"/>
      <c r="BD2506" s="227"/>
      <c r="BE2506" s="227"/>
      <c r="BF2506" s="227"/>
    </row>
    <row r="2507">
      <c r="A2507" s="235" t="s">
        <v>19189</v>
      </c>
      <c r="C2507" s="235" t="s">
        <v>19190</v>
      </c>
      <c r="D2507" s="235" t="s">
        <v>19191</v>
      </c>
      <c r="E2507" s="243">
        <v>6.53E13</v>
      </c>
      <c r="F2507" s="245"/>
      <c r="G2507" s="235" t="s">
        <v>19192</v>
      </c>
      <c r="H2507" s="235" t="s">
        <v>19193</v>
      </c>
      <c r="I2507" s="235" t="s">
        <v>19193</v>
      </c>
      <c r="J2507" s="235" t="s">
        <v>19194</v>
      </c>
      <c r="K2507" s="235" t="s">
        <v>19195</v>
      </c>
      <c r="N2507" s="235" t="s">
        <v>1346</v>
      </c>
      <c r="O2507" s="235" t="s">
        <v>1347</v>
      </c>
      <c r="P2507" s="238">
        <v>1.0</v>
      </c>
      <c r="Q2507" s="235" t="s">
        <v>627</v>
      </c>
      <c r="R2507" s="238">
        <v>256.19</v>
      </c>
      <c r="S2507" s="238">
        <v>12.81</v>
      </c>
      <c r="T2507" s="238">
        <v>0.0</v>
      </c>
      <c r="U2507" s="238">
        <v>0.0</v>
      </c>
      <c r="V2507" s="238">
        <v>0.0</v>
      </c>
      <c r="W2507" s="238">
        <v>0.0</v>
      </c>
      <c r="X2507" s="235" t="s">
        <v>628</v>
      </c>
      <c r="Z2507" s="244"/>
      <c r="AA2507" s="244"/>
      <c r="AB2507" s="244"/>
      <c r="AC2507" s="235" t="s">
        <v>1475</v>
      </c>
      <c r="AD2507" s="235" t="s">
        <v>796</v>
      </c>
      <c r="AE2507" s="238">
        <v>110054.0</v>
      </c>
      <c r="AF2507" s="235" t="s">
        <v>631</v>
      </c>
      <c r="AG2507" s="244"/>
      <c r="AH2507" s="244"/>
      <c r="AI2507" s="245"/>
      <c r="AJ2507" s="245"/>
      <c r="AK2507" s="245"/>
      <c r="AL2507" s="245"/>
      <c r="AM2507" s="244"/>
      <c r="AN2507" s="244"/>
      <c r="AO2507" s="238">
        <v>0.0</v>
      </c>
      <c r="AP2507" s="238">
        <v>0.0</v>
      </c>
      <c r="AQ2507" s="235" t="s">
        <v>632</v>
      </c>
      <c r="AR2507" s="243">
        <v>2.02E11</v>
      </c>
      <c r="AS2507" s="235" t="s">
        <v>17988</v>
      </c>
      <c r="AT2507" s="235" t="s">
        <v>9</v>
      </c>
      <c r="AU2507" s="235" t="s">
        <v>634</v>
      </c>
      <c r="AV2507" s="246" t="s">
        <v>635</v>
      </c>
      <c r="AW2507" s="242"/>
      <c r="AX2507" s="242"/>
      <c r="AY2507" s="231"/>
      <c r="AZ2507" s="231"/>
      <c r="BA2507" s="227"/>
      <c r="BB2507" s="231"/>
      <c r="BC2507" s="227"/>
      <c r="BD2507" s="227"/>
      <c r="BE2507" s="227"/>
      <c r="BF2507" s="227"/>
    </row>
    <row r="2508">
      <c r="A2508" s="235" t="s">
        <v>19196</v>
      </c>
      <c r="C2508" s="235" t="s">
        <v>19197</v>
      </c>
      <c r="D2508" s="235" t="s">
        <v>19198</v>
      </c>
      <c r="E2508" s="243">
        <v>6.53E13</v>
      </c>
      <c r="F2508" s="245"/>
      <c r="G2508" s="235" t="s">
        <v>19199</v>
      </c>
      <c r="H2508" s="235" t="s">
        <v>19200</v>
      </c>
      <c r="I2508" s="235" t="s">
        <v>19200</v>
      </c>
      <c r="J2508" s="235" t="s">
        <v>19201</v>
      </c>
      <c r="K2508" s="235" t="s">
        <v>19202</v>
      </c>
      <c r="N2508" s="235" t="s">
        <v>50</v>
      </c>
      <c r="O2508" s="235" t="s">
        <v>367</v>
      </c>
      <c r="P2508" s="238">
        <v>1.0</v>
      </c>
      <c r="Q2508" s="235" t="s">
        <v>627</v>
      </c>
      <c r="R2508" s="238">
        <v>270.48</v>
      </c>
      <c r="S2508" s="238">
        <v>13.52</v>
      </c>
      <c r="T2508" s="238">
        <v>38.1</v>
      </c>
      <c r="U2508" s="238">
        <v>1.9</v>
      </c>
      <c r="V2508" s="238">
        <v>0.0</v>
      </c>
      <c r="W2508" s="238">
        <v>0.0</v>
      </c>
      <c r="X2508" s="235" t="s">
        <v>628</v>
      </c>
      <c r="Z2508" s="244"/>
      <c r="AA2508" s="244"/>
      <c r="AB2508" s="244"/>
      <c r="AC2508" s="235" t="s">
        <v>832</v>
      </c>
      <c r="AD2508" s="235" t="s">
        <v>833</v>
      </c>
      <c r="AE2508" s="238">
        <v>530044.0</v>
      </c>
      <c r="AF2508" s="235" t="s">
        <v>631</v>
      </c>
      <c r="AG2508" s="244"/>
      <c r="AH2508" s="244"/>
      <c r="AI2508" s="245"/>
      <c r="AJ2508" s="245"/>
      <c r="AK2508" s="245"/>
      <c r="AL2508" s="245"/>
      <c r="AM2508" s="244"/>
      <c r="AN2508" s="244"/>
      <c r="AO2508" s="238">
        <v>0.0</v>
      </c>
      <c r="AP2508" s="238">
        <v>-38.1</v>
      </c>
      <c r="AQ2508" s="235" t="s">
        <v>632</v>
      </c>
      <c r="AR2508" s="243">
        <v>3.71E11</v>
      </c>
      <c r="AS2508" s="235" t="s">
        <v>13822</v>
      </c>
      <c r="AT2508" s="235" t="s">
        <v>11</v>
      </c>
      <c r="AU2508" s="235" t="s">
        <v>634</v>
      </c>
      <c r="AV2508" s="246" t="s">
        <v>635</v>
      </c>
      <c r="AW2508" s="242"/>
      <c r="AX2508" s="242"/>
      <c r="AY2508" s="231"/>
      <c r="AZ2508" s="231"/>
      <c r="BA2508" s="227"/>
      <c r="BB2508" s="231"/>
      <c r="BC2508" s="227"/>
      <c r="BD2508" s="227"/>
      <c r="BE2508" s="227"/>
      <c r="BF2508" s="227"/>
    </row>
    <row r="2509">
      <c r="A2509" s="235" t="s">
        <v>19203</v>
      </c>
      <c r="C2509" s="235" t="s">
        <v>19204</v>
      </c>
      <c r="D2509" s="235" t="s">
        <v>19205</v>
      </c>
      <c r="E2509" s="243">
        <v>6.53E13</v>
      </c>
      <c r="F2509" s="245"/>
      <c r="G2509" s="235" t="s">
        <v>19206</v>
      </c>
      <c r="H2509" s="235" t="s">
        <v>19207</v>
      </c>
      <c r="I2509" s="235" t="s">
        <v>19208</v>
      </c>
      <c r="J2509" s="235" t="s">
        <v>19209</v>
      </c>
      <c r="K2509" s="235" t="s">
        <v>19210</v>
      </c>
      <c r="N2509" s="235" t="s">
        <v>154</v>
      </c>
      <c r="O2509" s="235" t="s">
        <v>766</v>
      </c>
      <c r="P2509" s="238">
        <v>1.0</v>
      </c>
      <c r="Q2509" s="235" t="s">
        <v>627</v>
      </c>
      <c r="R2509" s="238">
        <v>500.96</v>
      </c>
      <c r="S2509" s="238">
        <v>24.54</v>
      </c>
      <c r="T2509" s="238">
        <v>0.0</v>
      </c>
      <c r="U2509" s="238">
        <v>0.0</v>
      </c>
      <c r="V2509" s="238">
        <v>0.0</v>
      </c>
      <c r="W2509" s="238">
        <v>0.0</v>
      </c>
      <c r="X2509" s="235" t="s">
        <v>628</v>
      </c>
      <c r="Z2509" s="244"/>
      <c r="AA2509" s="244"/>
      <c r="AB2509" s="244"/>
      <c r="AC2509" s="235" t="s">
        <v>678</v>
      </c>
      <c r="AD2509" s="235" t="s">
        <v>679</v>
      </c>
      <c r="AE2509" s="238">
        <v>560068.0</v>
      </c>
      <c r="AF2509" s="235" t="s">
        <v>631</v>
      </c>
      <c r="AG2509" s="244"/>
      <c r="AH2509" s="244"/>
      <c r="AI2509" s="245"/>
      <c r="AJ2509" s="245"/>
      <c r="AK2509" s="245"/>
      <c r="AL2509" s="245"/>
      <c r="AM2509" s="244"/>
      <c r="AN2509" s="244"/>
      <c r="AO2509" s="238">
        <v>-10.02</v>
      </c>
      <c r="AP2509" s="238">
        <v>0.0</v>
      </c>
      <c r="AQ2509" s="235" t="s">
        <v>632</v>
      </c>
      <c r="AR2509" s="243">
        <v>1.68E11</v>
      </c>
      <c r="AS2509" s="235" t="s">
        <v>18462</v>
      </c>
      <c r="AT2509" s="235" t="s">
        <v>11</v>
      </c>
      <c r="AU2509" s="235" t="s">
        <v>634</v>
      </c>
      <c r="AV2509" s="246" t="s">
        <v>635</v>
      </c>
      <c r="AW2509" s="242"/>
      <c r="AX2509" s="242"/>
      <c r="AY2509" s="231"/>
      <c r="AZ2509" s="231"/>
      <c r="BA2509" s="227"/>
      <c r="BB2509" s="231"/>
      <c r="BC2509" s="227"/>
      <c r="BD2509" s="227"/>
      <c r="BE2509" s="227"/>
      <c r="BF2509" s="227"/>
    </row>
    <row r="2510">
      <c r="A2510" s="235" t="s">
        <v>19211</v>
      </c>
      <c r="C2510" s="235" t="s">
        <v>19212</v>
      </c>
      <c r="D2510" s="235" t="s">
        <v>19213</v>
      </c>
      <c r="E2510" s="243">
        <v>6.53E13</v>
      </c>
      <c r="F2510" s="245"/>
      <c r="G2510" s="235" t="s">
        <v>19214</v>
      </c>
      <c r="H2510" s="235" t="s">
        <v>19215</v>
      </c>
      <c r="I2510" s="235" t="s">
        <v>19215</v>
      </c>
      <c r="J2510" s="235" t="s">
        <v>19216</v>
      </c>
      <c r="K2510" s="235" t="s">
        <v>19217</v>
      </c>
      <c r="N2510" s="235" t="s">
        <v>42</v>
      </c>
      <c r="O2510" s="235" t="s">
        <v>204</v>
      </c>
      <c r="P2510" s="238">
        <v>1.0</v>
      </c>
      <c r="Q2510" s="235" t="s">
        <v>627</v>
      </c>
      <c r="R2510" s="238">
        <v>270.48</v>
      </c>
      <c r="S2510" s="238">
        <v>13.52</v>
      </c>
      <c r="T2510" s="238">
        <v>0.0</v>
      </c>
      <c r="U2510" s="238">
        <v>0.0</v>
      </c>
      <c r="V2510" s="238">
        <v>0.0</v>
      </c>
      <c r="W2510" s="238">
        <v>0.0</v>
      </c>
      <c r="X2510" s="235" t="s">
        <v>628</v>
      </c>
      <c r="Z2510" s="244"/>
      <c r="AA2510" s="244"/>
      <c r="AB2510" s="244"/>
      <c r="AC2510" s="235" t="s">
        <v>19218</v>
      </c>
      <c r="AD2510" s="235" t="s">
        <v>666</v>
      </c>
      <c r="AE2510" s="238">
        <v>609106.0</v>
      </c>
      <c r="AF2510" s="235" t="s">
        <v>631</v>
      </c>
      <c r="AG2510" s="244"/>
      <c r="AH2510" s="244"/>
      <c r="AI2510" s="245"/>
      <c r="AJ2510" s="245"/>
      <c r="AK2510" s="245"/>
      <c r="AL2510" s="245"/>
      <c r="AM2510" s="244"/>
      <c r="AN2510" s="244"/>
      <c r="AO2510" s="238">
        <v>0.0</v>
      </c>
      <c r="AP2510" s="238">
        <v>0.0</v>
      </c>
      <c r="AQ2510" s="235" t="s">
        <v>632</v>
      </c>
      <c r="AR2510" s="243">
        <v>3.71E11</v>
      </c>
      <c r="AS2510" s="235" t="s">
        <v>16626</v>
      </c>
      <c r="AT2510" s="235" t="s">
        <v>156</v>
      </c>
      <c r="AU2510" s="235" t="s">
        <v>634</v>
      </c>
      <c r="AV2510" s="246" t="s">
        <v>635</v>
      </c>
      <c r="AW2510" s="242"/>
      <c r="AX2510" s="242"/>
      <c r="AY2510" s="231"/>
      <c r="AZ2510" s="231"/>
      <c r="BA2510" s="227"/>
      <c r="BB2510" s="231"/>
      <c r="BC2510" s="227"/>
      <c r="BD2510" s="227"/>
      <c r="BE2510" s="227"/>
      <c r="BF2510" s="227"/>
    </row>
    <row r="2511">
      <c r="A2511" s="235" t="s">
        <v>19219</v>
      </c>
      <c r="C2511" s="235" t="s">
        <v>19220</v>
      </c>
      <c r="D2511" s="235" t="s">
        <v>19221</v>
      </c>
      <c r="E2511" s="243">
        <v>6.53E13</v>
      </c>
      <c r="F2511" s="245"/>
      <c r="G2511" s="235" t="s">
        <v>19222</v>
      </c>
      <c r="H2511" s="235" t="s">
        <v>19223</v>
      </c>
      <c r="I2511" s="235" t="s">
        <v>19223</v>
      </c>
      <c r="J2511" s="235" t="s">
        <v>19224</v>
      </c>
      <c r="K2511" s="235" t="s">
        <v>19225</v>
      </c>
      <c r="N2511" s="235" t="s">
        <v>82</v>
      </c>
      <c r="O2511" s="235" t="s">
        <v>889</v>
      </c>
      <c r="P2511" s="238">
        <v>1.0</v>
      </c>
      <c r="Q2511" s="235" t="s">
        <v>627</v>
      </c>
      <c r="R2511" s="238">
        <v>270.48</v>
      </c>
      <c r="S2511" s="238">
        <v>13.52</v>
      </c>
      <c r="T2511" s="238">
        <v>38.1</v>
      </c>
      <c r="U2511" s="238">
        <v>1.9</v>
      </c>
      <c r="V2511" s="238">
        <v>0.0</v>
      </c>
      <c r="W2511" s="238">
        <v>0.0</v>
      </c>
      <c r="X2511" s="235" t="s">
        <v>628</v>
      </c>
      <c r="Z2511" s="244"/>
      <c r="AA2511" s="244"/>
      <c r="AB2511" s="244"/>
      <c r="AC2511" s="235" t="s">
        <v>19226</v>
      </c>
      <c r="AD2511" s="235" t="s">
        <v>965</v>
      </c>
      <c r="AE2511" s="238">
        <v>173221.0</v>
      </c>
      <c r="AF2511" s="235" t="s">
        <v>631</v>
      </c>
      <c r="AG2511" s="244"/>
      <c r="AH2511" s="244"/>
      <c r="AI2511" s="245"/>
      <c r="AJ2511" s="245"/>
      <c r="AK2511" s="245"/>
      <c r="AL2511" s="245"/>
      <c r="AM2511" s="244"/>
      <c r="AN2511" s="244"/>
      <c r="AO2511" s="238">
        <v>0.0</v>
      </c>
      <c r="AP2511" s="238">
        <v>-38.1</v>
      </c>
      <c r="AQ2511" s="235" t="s">
        <v>2581</v>
      </c>
      <c r="AR2511" s="247" t="s">
        <v>19227</v>
      </c>
      <c r="AS2511" s="235" t="s">
        <v>7365</v>
      </c>
      <c r="AT2511" s="235" t="s">
        <v>9</v>
      </c>
      <c r="AU2511" s="235" t="s">
        <v>634</v>
      </c>
      <c r="AV2511" s="246" t="s">
        <v>635</v>
      </c>
      <c r="AW2511" s="242"/>
      <c r="AX2511" s="242"/>
      <c r="AY2511" s="231"/>
      <c r="AZ2511" s="231"/>
      <c r="BA2511" s="227"/>
      <c r="BB2511" s="231"/>
      <c r="BC2511" s="227"/>
      <c r="BD2511" s="227"/>
      <c r="BE2511" s="227"/>
      <c r="BF2511" s="227"/>
    </row>
    <row r="2512">
      <c r="A2512" s="235" t="s">
        <v>19228</v>
      </c>
      <c r="C2512" s="235" t="s">
        <v>19229</v>
      </c>
      <c r="D2512" s="235" t="s">
        <v>19230</v>
      </c>
      <c r="E2512" s="243">
        <v>6.53E13</v>
      </c>
      <c r="F2512" s="245"/>
      <c r="G2512" s="235" t="s">
        <v>19231</v>
      </c>
      <c r="H2512" s="235" t="s">
        <v>19232</v>
      </c>
      <c r="I2512" s="235" t="s">
        <v>19233</v>
      </c>
      <c r="J2512" s="235" t="s">
        <v>19234</v>
      </c>
      <c r="K2512" s="235" t="s">
        <v>19235</v>
      </c>
      <c r="N2512" s="235" t="s">
        <v>68</v>
      </c>
      <c r="O2512" s="235" t="s">
        <v>208</v>
      </c>
      <c r="P2512" s="238">
        <v>1.0</v>
      </c>
      <c r="Q2512" s="235" t="s">
        <v>627</v>
      </c>
      <c r="R2512" s="238">
        <v>261.9</v>
      </c>
      <c r="S2512" s="238">
        <v>12.71</v>
      </c>
      <c r="T2512" s="238">
        <v>0.0</v>
      </c>
      <c r="U2512" s="238">
        <v>0.0</v>
      </c>
      <c r="V2512" s="238">
        <v>0.0</v>
      </c>
      <c r="W2512" s="238">
        <v>0.0</v>
      </c>
      <c r="X2512" s="235" t="s">
        <v>628</v>
      </c>
      <c r="Z2512" s="244"/>
      <c r="AA2512" s="244"/>
      <c r="AB2512" s="244"/>
      <c r="AC2512" s="235" t="s">
        <v>3527</v>
      </c>
      <c r="AD2512" s="235" t="s">
        <v>845</v>
      </c>
      <c r="AE2512" s="238">
        <v>431002.0</v>
      </c>
      <c r="AF2512" s="235" t="s">
        <v>631</v>
      </c>
      <c r="AG2512" s="244"/>
      <c r="AH2512" s="244"/>
      <c r="AI2512" s="245"/>
      <c r="AJ2512" s="245"/>
      <c r="AK2512" s="245"/>
      <c r="AL2512" s="245"/>
      <c r="AM2512" s="244"/>
      <c r="AN2512" s="244"/>
      <c r="AO2512" s="238">
        <v>-7.86</v>
      </c>
      <c r="AP2512" s="238">
        <v>0.0</v>
      </c>
      <c r="AQ2512" s="235" t="s">
        <v>632</v>
      </c>
      <c r="AR2512" s="243">
        <v>3.71E11</v>
      </c>
      <c r="AS2512" s="235" t="s">
        <v>15064</v>
      </c>
      <c r="AT2512" s="235" t="s">
        <v>546</v>
      </c>
      <c r="AU2512" s="235" t="s">
        <v>634</v>
      </c>
      <c r="AV2512" s="246" t="s">
        <v>635</v>
      </c>
      <c r="AW2512" s="242"/>
      <c r="AX2512" s="242"/>
      <c r="AY2512" s="231"/>
      <c r="AZ2512" s="231"/>
      <c r="BA2512" s="227"/>
      <c r="BB2512" s="231"/>
      <c r="BC2512" s="227"/>
      <c r="BD2512" s="227"/>
      <c r="BE2512" s="227"/>
      <c r="BF2512" s="227"/>
    </row>
    <row r="2513">
      <c r="A2513" s="235" t="s">
        <v>19228</v>
      </c>
      <c r="C2513" s="235" t="s">
        <v>19229</v>
      </c>
      <c r="D2513" s="235" t="s">
        <v>19236</v>
      </c>
      <c r="E2513" s="243">
        <v>6.53E13</v>
      </c>
      <c r="F2513" s="245"/>
      <c r="G2513" s="235" t="s">
        <v>19231</v>
      </c>
      <c r="H2513" s="235" t="s">
        <v>19232</v>
      </c>
      <c r="I2513" s="235" t="s">
        <v>19233</v>
      </c>
      <c r="J2513" s="235" t="s">
        <v>19234</v>
      </c>
      <c r="K2513" s="235" t="s">
        <v>19235</v>
      </c>
      <c r="N2513" s="235" t="s">
        <v>68</v>
      </c>
      <c r="O2513" s="235" t="s">
        <v>208</v>
      </c>
      <c r="P2513" s="238">
        <v>1.0</v>
      </c>
      <c r="Q2513" s="235" t="s">
        <v>627</v>
      </c>
      <c r="R2513" s="238">
        <v>261.9</v>
      </c>
      <c r="S2513" s="238">
        <v>12.71</v>
      </c>
      <c r="T2513" s="238">
        <v>0.0</v>
      </c>
      <c r="U2513" s="238">
        <v>0.0</v>
      </c>
      <c r="V2513" s="238">
        <v>0.0</v>
      </c>
      <c r="W2513" s="238">
        <v>0.0</v>
      </c>
      <c r="X2513" s="235" t="s">
        <v>628</v>
      </c>
      <c r="Z2513" s="244"/>
      <c r="AA2513" s="244"/>
      <c r="AB2513" s="244"/>
      <c r="AC2513" s="235" t="s">
        <v>3527</v>
      </c>
      <c r="AD2513" s="235" t="s">
        <v>845</v>
      </c>
      <c r="AE2513" s="238">
        <v>431002.0</v>
      </c>
      <c r="AF2513" s="235" t="s">
        <v>631</v>
      </c>
      <c r="AG2513" s="244"/>
      <c r="AH2513" s="244"/>
      <c r="AI2513" s="245"/>
      <c r="AJ2513" s="245"/>
      <c r="AK2513" s="245"/>
      <c r="AL2513" s="245"/>
      <c r="AM2513" s="244"/>
      <c r="AN2513" s="244"/>
      <c r="AO2513" s="238">
        <v>-7.86</v>
      </c>
      <c r="AP2513" s="238">
        <v>0.0</v>
      </c>
      <c r="AQ2513" s="235" t="s">
        <v>632</v>
      </c>
      <c r="AR2513" s="243">
        <v>3.71E11</v>
      </c>
      <c r="AS2513" s="235" t="s">
        <v>15064</v>
      </c>
      <c r="AT2513" s="235" t="s">
        <v>546</v>
      </c>
      <c r="AU2513" s="235" t="s">
        <v>634</v>
      </c>
      <c r="AV2513" s="246" t="s">
        <v>635</v>
      </c>
      <c r="AW2513" s="242"/>
      <c r="AX2513" s="242"/>
      <c r="AY2513" s="231"/>
      <c r="AZ2513" s="231"/>
      <c r="BA2513" s="227"/>
      <c r="BB2513" s="231"/>
      <c r="BC2513" s="227"/>
      <c r="BD2513" s="227"/>
      <c r="BE2513" s="227"/>
      <c r="BF2513" s="227"/>
    </row>
    <row r="2514">
      <c r="A2514" s="235" t="s">
        <v>19237</v>
      </c>
      <c r="C2514" s="235" t="s">
        <v>19238</v>
      </c>
      <c r="D2514" s="235" t="s">
        <v>19239</v>
      </c>
      <c r="E2514" s="243">
        <v>6.53E13</v>
      </c>
      <c r="F2514" s="245"/>
      <c r="G2514" s="235" t="s">
        <v>19240</v>
      </c>
      <c r="H2514" s="235" t="s">
        <v>19241</v>
      </c>
      <c r="I2514" s="235" t="s">
        <v>19241</v>
      </c>
      <c r="J2514" s="235" t="s">
        <v>19242</v>
      </c>
      <c r="K2514" s="235" t="s">
        <v>19243</v>
      </c>
      <c r="N2514" s="235" t="s">
        <v>43</v>
      </c>
      <c r="O2514" s="235" t="s">
        <v>276</v>
      </c>
      <c r="P2514" s="238">
        <v>1.0</v>
      </c>
      <c r="Q2514" s="235" t="s">
        <v>627</v>
      </c>
      <c r="R2514" s="238">
        <v>270.48</v>
      </c>
      <c r="S2514" s="238">
        <v>13.25</v>
      </c>
      <c r="T2514" s="238">
        <v>0.0</v>
      </c>
      <c r="U2514" s="238">
        <v>0.0</v>
      </c>
      <c r="V2514" s="238">
        <v>0.0</v>
      </c>
      <c r="W2514" s="238">
        <v>0.0</v>
      </c>
      <c r="X2514" s="235" t="s">
        <v>628</v>
      </c>
      <c r="Z2514" s="244"/>
      <c r="AA2514" s="244"/>
      <c r="AB2514" s="244"/>
      <c r="AC2514" s="235" t="s">
        <v>697</v>
      </c>
      <c r="AD2514" s="235" t="s">
        <v>698</v>
      </c>
      <c r="AE2514" s="238">
        <v>500089.0</v>
      </c>
      <c r="AF2514" s="235" t="s">
        <v>631</v>
      </c>
      <c r="AG2514" s="244"/>
      <c r="AH2514" s="244"/>
      <c r="AI2514" s="245"/>
      <c r="AJ2514" s="245"/>
      <c r="AK2514" s="245"/>
      <c r="AL2514" s="245"/>
      <c r="AM2514" s="244"/>
      <c r="AN2514" s="244"/>
      <c r="AO2514" s="238">
        <v>-5.41</v>
      </c>
      <c r="AP2514" s="238">
        <v>0.0</v>
      </c>
      <c r="AQ2514" s="235" t="s">
        <v>632</v>
      </c>
      <c r="AR2514" s="243">
        <v>2.02E11</v>
      </c>
      <c r="AS2514" s="235" t="s">
        <v>17988</v>
      </c>
      <c r="AT2514" s="235" t="s">
        <v>156</v>
      </c>
      <c r="AU2514" s="235" t="s">
        <v>634</v>
      </c>
      <c r="AV2514" s="246" t="s">
        <v>635</v>
      </c>
      <c r="AW2514" s="242"/>
      <c r="AX2514" s="242"/>
      <c r="AY2514" s="231"/>
      <c r="AZ2514" s="231"/>
      <c r="BA2514" s="227"/>
      <c r="BB2514" s="231"/>
      <c r="BC2514" s="227"/>
      <c r="BD2514" s="227"/>
      <c r="BE2514" s="227"/>
      <c r="BF2514" s="227"/>
    </row>
    <row r="2515">
      <c r="A2515" s="235" t="s">
        <v>19244</v>
      </c>
      <c r="C2515" s="235" t="s">
        <v>19245</v>
      </c>
      <c r="D2515" s="235" t="s">
        <v>19246</v>
      </c>
      <c r="E2515" s="243">
        <v>6.51E13</v>
      </c>
      <c r="F2515" s="245"/>
      <c r="G2515" s="235" t="s">
        <v>19247</v>
      </c>
      <c r="H2515" s="235" t="s">
        <v>19248</v>
      </c>
      <c r="I2515" s="235" t="s">
        <v>19248</v>
      </c>
      <c r="J2515" s="235" t="s">
        <v>19249</v>
      </c>
      <c r="K2515" s="235" t="s">
        <v>19250</v>
      </c>
      <c r="N2515" s="235" t="s">
        <v>154</v>
      </c>
      <c r="O2515" s="235" t="s">
        <v>766</v>
      </c>
      <c r="P2515" s="238">
        <v>1.0</v>
      </c>
      <c r="Q2515" s="235" t="s">
        <v>627</v>
      </c>
      <c r="R2515" s="238">
        <v>423.8</v>
      </c>
      <c r="S2515" s="238">
        <v>21.2</v>
      </c>
      <c r="T2515" s="238">
        <v>0.0</v>
      </c>
      <c r="U2515" s="238">
        <v>0.0</v>
      </c>
      <c r="V2515" s="238">
        <v>0.0</v>
      </c>
      <c r="W2515" s="238">
        <v>0.0</v>
      </c>
      <c r="X2515" s="235" t="s">
        <v>628</v>
      </c>
      <c r="Z2515" s="244"/>
      <c r="AA2515" s="244"/>
      <c r="AB2515" s="244"/>
      <c r="AC2515" s="235" t="s">
        <v>1058</v>
      </c>
      <c r="AD2515" s="235" t="s">
        <v>845</v>
      </c>
      <c r="AE2515" s="238">
        <v>400042.0</v>
      </c>
      <c r="AF2515" s="235" t="s">
        <v>631</v>
      </c>
      <c r="AG2515" s="244"/>
      <c r="AH2515" s="244"/>
      <c r="AI2515" s="245"/>
      <c r="AJ2515" s="245"/>
      <c r="AK2515" s="245"/>
      <c r="AL2515" s="245"/>
      <c r="AM2515" s="244"/>
      <c r="AN2515" s="244"/>
      <c r="AO2515" s="238">
        <v>0.0</v>
      </c>
      <c r="AP2515" s="238">
        <v>0.0</v>
      </c>
      <c r="AQ2515" s="235" t="s">
        <v>632</v>
      </c>
      <c r="AR2515" s="243">
        <v>3.71E11</v>
      </c>
      <c r="AS2515" s="235" t="s">
        <v>17988</v>
      </c>
      <c r="AT2515" s="235" t="s">
        <v>16</v>
      </c>
      <c r="AU2515" s="235" t="s">
        <v>634</v>
      </c>
      <c r="AV2515" s="246" t="s">
        <v>635</v>
      </c>
      <c r="AW2515" s="242"/>
      <c r="AX2515" s="242"/>
      <c r="AY2515" s="231"/>
      <c r="AZ2515" s="231"/>
      <c r="BA2515" s="227"/>
      <c r="BB2515" s="231"/>
      <c r="BC2515" s="227"/>
      <c r="BD2515" s="227"/>
      <c r="BE2515" s="227"/>
      <c r="BF2515" s="227"/>
    </row>
    <row r="2516">
      <c r="A2516" s="235" t="s">
        <v>19251</v>
      </c>
      <c r="C2516" s="235" t="s">
        <v>19252</v>
      </c>
      <c r="D2516" s="235" t="s">
        <v>19253</v>
      </c>
      <c r="E2516" s="243">
        <v>6.53E13</v>
      </c>
      <c r="F2516" s="245"/>
      <c r="G2516" s="235" t="s">
        <v>19254</v>
      </c>
      <c r="H2516" s="235" t="s">
        <v>19255</v>
      </c>
      <c r="I2516" s="235" t="s">
        <v>19255</v>
      </c>
      <c r="J2516" s="235" t="s">
        <v>19256</v>
      </c>
      <c r="K2516" s="235" t="s">
        <v>19257</v>
      </c>
      <c r="N2516" s="235" t="s">
        <v>144</v>
      </c>
      <c r="O2516" s="235" t="s">
        <v>232</v>
      </c>
      <c r="P2516" s="238">
        <v>1.0</v>
      </c>
      <c r="Q2516" s="235" t="s">
        <v>627</v>
      </c>
      <c r="R2516" s="238">
        <v>808.57</v>
      </c>
      <c r="S2516" s="238">
        <v>40.43</v>
      </c>
      <c r="T2516" s="238">
        <v>0.0</v>
      </c>
      <c r="U2516" s="238">
        <v>0.0</v>
      </c>
      <c r="V2516" s="238">
        <v>0.0</v>
      </c>
      <c r="W2516" s="238">
        <v>0.0</v>
      </c>
      <c r="X2516" s="235" t="s">
        <v>628</v>
      </c>
      <c r="Z2516" s="244"/>
      <c r="AA2516" s="244"/>
      <c r="AB2516" s="244"/>
      <c r="AC2516" s="235" t="s">
        <v>795</v>
      </c>
      <c r="AD2516" s="235" t="s">
        <v>796</v>
      </c>
      <c r="AE2516" s="238">
        <v>110022.0</v>
      </c>
      <c r="AF2516" s="235" t="s">
        <v>631</v>
      </c>
      <c r="AG2516" s="244"/>
      <c r="AH2516" s="244"/>
      <c r="AI2516" s="245"/>
      <c r="AJ2516" s="245"/>
      <c r="AK2516" s="245"/>
      <c r="AL2516" s="245"/>
      <c r="AM2516" s="244"/>
      <c r="AN2516" s="244"/>
      <c r="AO2516" s="238">
        <v>0.0</v>
      </c>
      <c r="AP2516" s="238">
        <v>0.0</v>
      </c>
      <c r="AQ2516" s="235" t="s">
        <v>632</v>
      </c>
      <c r="AR2516" s="243">
        <v>2.02E11</v>
      </c>
      <c r="AS2516" s="235" t="s">
        <v>17988</v>
      </c>
      <c r="AT2516" s="235" t="s">
        <v>11</v>
      </c>
      <c r="AU2516" s="235" t="s">
        <v>634</v>
      </c>
      <c r="AV2516" s="246" t="s">
        <v>635</v>
      </c>
      <c r="AW2516" s="242"/>
      <c r="AX2516" s="242"/>
      <c r="AY2516" s="231"/>
      <c r="AZ2516" s="231"/>
      <c r="BA2516" s="227"/>
      <c r="BB2516" s="231"/>
      <c r="BC2516" s="227"/>
      <c r="BD2516" s="227"/>
      <c r="BE2516" s="227"/>
      <c r="BF2516" s="227"/>
    </row>
    <row r="2517">
      <c r="A2517" s="235" t="s">
        <v>19258</v>
      </c>
      <c r="C2517" s="235" t="s">
        <v>19259</v>
      </c>
      <c r="D2517" s="235" t="s">
        <v>19260</v>
      </c>
      <c r="E2517" s="243">
        <v>6.53E13</v>
      </c>
      <c r="F2517" s="245"/>
      <c r="G2517" s="235" t="s">
        <v>19261</v>
      </c>
      <c r="H2517" s="235" t="s">
        <v>19262</v>
      </c>
      <c r="I2517" s="235" t="s">
        <v>19263</v>
      </c>
      <c r="J2517" s="235" t="s">
        <v>19264</v>
      </c>
      <c r="K2517" s="235" t="s">
        <v>19265</v>
      </c>
      <c r="N2517" s="235" t="s">
        <v>139</v>
      </c>
      <c r="O2517" s="235" t="s">
        <v>2091</v>
      </c>
      <c r="P2517" s="238">
        <v>1.0</v>
      </c>
      <c r="Q2517" s="235" t="s">
        <v>627</v>
      </c>
      <c r="R2517" s="238">
        <v>270.48</v>
      </c>
      <c r="S2517" s="238">
        <v>13.52</v>
      </c>
      <c r="T2517" s="238">
        <v>0.0</v>
      </c>
      <c r="U2517" s="238">
        <v>0.0</v>
      </c>
      <c r="V2517" s="238">
        <v>0.0</v>
      </c>
      <c r="W2517" s="238">
        <v>0.0</v>
      </c>
      <c r="X2517" s="235" t="s">
        <v>628</v>
      </c>
      <c r="Z2517" s="244"/>
      <c r="AA2517" s="244"/>
      <c r="AB2517" s="244"/>
      <c r="AC2517" s="235" t="s">
        <v>687</v>
      </c>
      <c r="AD2517" s="235" t="s">
        <v>666</v>
      </c>
      <c r="AE2517" s="238">
        <v>600073.0</v>
      </c>
      <c r="AF2517" s="235" t="s">
        <v>631</v>
      </c>
      <c r="AG2517" s="244"/>
      <c r="AH2517" s="244"/>
      <c r="AI2517" s="245"/>
      <c r="AJ2517" s="245"/>
      <c r="AK2517" s="245"/>
      <c r="AL2517" s="245"/>
      <c r="AM2517" s="244"/>
      <c r="AN2517" s="244"/>
      <c r="AO2517" s="238">
        <v>0.0</v>
      </c>
      <c r="AP2517" s="238">
        <v>0.0</v>
      </c>
      <c r="AQ2517" s="235" t="s">
        <v>632</v>
      </c>
      <c r="AR2517" s="243">
        <v>3.71E11</v>
      </c>
      <c r="AS2517" s="235" t="s">
        <v>16626</v>
      </c>
      <c r="AT2517" s="235" t="s">
        <v>155</v>
      </c>
      <c r="AU2517" s="235" t="s">
        <v>634</v>
      </c>
      <c r="AV2517" s="246" t="s">
        <v>635</v>
      </c>
      <c r="AW2517" s="242"/>
      <c r="AX2517" s="242"/>
      <c r="AY2517" s="231"/>
      <c r="AZ2517" s="231"/>
      <c r="BA2517" s="227"/>
      <c r="BB2517" s="231"/>
      <c r="BC2517" s="227"/>
      <c r="BD2517" s="227"/>
      <c r="BE2517" s="227"/>
      <c r="BF2517" s="227"/>
    </row>
    <row r="2518">
      <c r="A2518" s="235" t="s">
        <v>19266</v>
      </c>
      <c r="C2518" s="235" t="s">
        <v>19267</v>
      </c>
      <c r="D2518" s="235" t="s">
        <v>19268</v>
      </c>
      <c r="E2518" s="243">
        <v>6.53E13</v>
      </c>
      <c r="F2518" s="245"/>
      <c r="G2518" s="235" t="s">
        <v>19269</v>
      </c>
      <c r="H2518" s="235" t="s">
        <v>19270</v>
      </c>
      <c r="I2518" s="235" t="s">
        <v>19270</v>
      </c>
      <c r="J2518" s="235" t="s">
        <v>19271</v>
      </c>
      <c r="K2518" s="235" t="s">
        <v>19272</v>
      </c>
      <c r="N2518" s="235" t="s">
        <v>127</v>
      </c>
      <c r="O2518" s="235" t="s">
        <v>794</v>
      </c>
      <c r="P2518" s="238">
        <v>1.0</v>
      </c>
      <c r="Q2518" s="235" t="s">
        <v>627</v>
      </c>
      <c r="R2518" s="238">
        <v>270.48</v>
      </c>
      <c r="S2518" s="238">
        <v>13.52</v>
      </c>
      <c r="T2518" s="238">
        <v>0.0</v>
      </c>
      <c r="U2518" s="238">
        <v>0.0</v>
      </c>
      <c r="V2518" s="238">
        <v>0.0</v>
      </c>
      <c r="W2518" s="238">
        <v>0.0</v>
      </c>
      <c r="X2518" s="235" t="s">
        <v>628</v>
      </c>
      <c r="Z2518" s="244"/>
      <c r="AA2518" s="244"/>
      <c r="AB2518" s="244"/>
      <c r="AC2518" s="235" t="s">
        <v>1058</v>
      </c>
      <c r="AD2518" s="235" t="s">
        <v>845</v>
      </c>
      <c r="AE2518" s="238">
        <v>400006.0</v>
      </c>
      <c r="AF2518" s="235" t="s">
        <v>631</v>
      </c>
      <c r="AG2518" s="244"/>
      <c r="AH2518" s="244"/>
      <c r="AI2518" s="245"/>
      <c r="AJ2518" s="245"/>
      <c r="AK2518" s="245"/>
      <c r="AL2518" s="245"/>
      <c r="AM2518" s="244"/>
      <c r="AN2518" s="244"/>
      <c r="AO2518" s="238">
        <v>0.0</v>
      </c>
      <c r="AP2518" s="238">
        <v>0.0</v>
      </c>
      <c r="AQ2518" s="235" t="s">
        <v>632</v>
      </c>
      <c r="AR2518" s="243">
        <v>1.68E11</v>
      </c>
      <c r="AS2518" s="235" t="s">
        <v>18462</v>
      </c>
      <c r="AT2518" s="235" t="s">
        <v>16</v>
      </c>
      <c r="AU2518" s="235" t="s">
        <v>634</v>
      </c>
      <c r="AV2518" s="246" t="s">
        <v>635</v>
      </c>
      <c r="AW2518" s="242"/>
      <c r="AX2518" s="242"/>
      <c r="AY2518" s="231"/>
      <c r="AZ2518" s="231"/>
      <c r="BA2518" s="227"/>
      <c r="BB2518" s="231"/>
      <c r="BC2518" s="227"/>
      <c r="BD2518" s="227"/>
      <c r="BE2518" s="227"/>
      <c r="BF2518" s="227"/>
    </row>
    <row r="2519">
      <c r="A2519" s="235" t="s">
        <v>19273</v>
      </c>
      <c r="C2519" s="235" t="s">
        <v>19274</v>
      </c>
      <c r="D2519" s="235" t="s">
        <v>19275</v>
      </c>
      <c r="E2519" s="243">
        <v>6.53E13</v>
      </c>
      <c r="F2519" s="245"/>
      <c r="G2519" s="235" t="s">
        <v>19276</v>
      </c>
      <c r="H2519" s="235" t="s">
        <v>19277</v>
      </c>
      <c r="I2519" s="235" t="s">
        <v>19277</v>
      </c>
      <c r="J2519" s="235" t="s">
        <v>19278</v>
      </c>
      <c r="K2519" s="235" t="s">
        <v>19279</v>
      </c>
      <c r="N2519" s="235" t="s">
        <v>962</v>
      </c>
      <c r="O2519" s="235" t="s">
        <v>963</v>
      </c>
      <c r="P2519" s="238">
        <v>1.0</v>
      </c>
      <c r="Q2519" s="235" t="s">
        <v>627</v>
      </c>
      <c r="R2519" s="238">
        <v>242.86</v>
      </c>
      <c r="S2519" s="238">
        <v>12.14</v>
      </c>
      <c r="T2519" s="238">
        <v>0.0</v>
      </c>
      <c r="U2519" s="238">
        <v>0.0</v>
      </c>
      <c r="V2519" s="238">
        <v>0.0</v>
      </c>
      <c r="W2519" s="238">
        <v>0.0</v>
      </c>
      <c r="X2519" s="235" t="s">
        <v>628</v>
      </c>
      <c r="Z2519" s="244"/>
      <c r="AA2519" s="244"/>
      <c r="AB2519" s="244"/>
      <c r="AC2519" s="235" t="s">
        <v>1604</v>
      </c>
      <c r="AD2519" s="235" t="s">
        <v>845</v>
      </c>
      <c r="AE2519" s="238">
        <v>400072.0</v>
      </c>
      <c r="AF2519" s="235" t="s">
        <v>631</v>
      </c>
      <c r="AG2519" s="244"/>
      <c r="AH2519" s="244"/>
      <c r="AI2519" s="245"/>
      <c r="AJ2519" s="245"/>
      <c r="AK2519" s="245"/>
      <c r="AL2519" s="245"/>
      <c r="AM2519" s="244"/>
      <c r="AN2519" s="244"/>
      <c r="AO2519" s="238">
        <v>0.0</v>
      </c>
      <c r="AP2519" s="238">
        <v>0.0</v>
      </c>
      <c r="AQ2519" s="235" t="s">
        <v>632</v>
      </c>
      <c r="AR2519" s="243">
        <v>1.68E11</v>
      </c>
      <c r="AS2519" s="235" t="s">
        <v>18462</v>
      </c>
      <c r="AT2519" s="235" t="s">
        <v>17</v>
      </c>
      <c r="AU2519" s="235" t="s">
        <v>634</v>
      </c>
      <c r="AV2519" s="246" t="s">
        <v>635</v>
      </c>
      <c r="AW2519" s="242"/>
      <c r="AX2519" s="242"/>
      <c r="AY2519" s="231"/>
      <c r="AZ2519" s="231"/>
      <c r="BA2519" s="227"/>
      <c r="BB2519" s="231"/>
      <c r="BC2519" s="227"/>
      <c r="BD2519" s="227"/>
      <c r="BE2519" s="227"/>
      <c r="BF2519" s="227"/>
    </row>
    <row r="2520">
      <c r="A2520" s="235" t="s">
        <v>19280</v>
      </c>
      <c r="C2520" s="235" t="s">
        <v>19281</v>
      </c>
      <c r="D2520" s="235" t="s">
        <v>19282</v>
      </c>
      <c r="E2520" s="243">
        <v>6.53E13</v>
      </c>
      <c r="F2520" s="245"/>
      <c r="G2520" s="235" t="s">
        <v>19283</v>
      </c>
      <c r="H2520" s="235" t="s">
        <v>19284</v>
      </c>
      <c r="I2520" s="235" t="s">
        <v>19284</v>
      </c>
      <c r="J2520" s="235" t="s">
        <v>19285</v>
      </c>
      <c r="K2520" s="235" t="s">
        <v>19286</v>
      </c>
      <c r="N2520" s="235" t="s">
        <v>541</v>
      </c>
      <c r="O2520" s="235" t="s">
        <v>664</v>
      </c>
      <c r="P2520" s="238">
        <v>1.0</v>
      </c>
      <c r="Q2520" s="235" t="s">
        <v>627</v>
      </c>
      <c r="R2520" s="238">
        <v>668.64</v>
      </c>
      <c r="S2520" s="238">
        <v>117.95</v>
      </c>
      <c r="T2520" s="238">
        <v>0.0</v>
      </c>
      <c r="U2520" s="238">
        <v>0.0</v>
      </c>
      <c r="V2520" s="238">
        <v>0.0</v>
      </c>
      <c r="W2520" s="238">
        <v>0.0</v>
      </c>
      <c r="X2520" s="235" t="s">
        <v>628</v>
      </c>
      <c r="Z2520" s="244"/>
      <c r="AA2520" s="244"/>
      <c r="AB2520" s="244"/>
      <c r="AC2520" s="235" t="s">
        <v>697</v>
      </c>
      <c r="AD2520" s="235" t="s">
        <v>698</v>
      </c>
      <c r="AE2520" s="238">
        <v>500084.0</v>
      </c>
      <c r="AF2520" s="235" t="s">
        <v>631</v>
      </c>
      <c r="AG2520" s="244"/>
      <c r="AH2520" s="244"/>
      <c r="AI2520" s="245"/>
      <c r="AJ2520" s="245"/>
      <c r="AK2520" s="245"/>
      <c r="AL2520" s="245"/>
      <c r="AM2520" s="244"/>
      <c r="AN2520" s="244"/>
      <c r="AO2520" s="238">
        <v>-13.37</v>
      </c>
      <c r="AP2520" s="238">
        <v>0.0</v>
      </c>
      <c r="AQ2520" s="235" t="s">
        <v>632</v>
      </c>
      <c r="AR2520" s="243">
        <v>2.02E11</v>
      </c>
      <c r="AS2520" s="235" t="s">
        <v>17988</v>
      </c>
      <c r="AT2520" s="235" t="s">
        <v>5</v>
      </c>
      <c r="AU2520" s="235" t="s">
        <v>634</v>
      </c>
      <c r="AV2520" s="246" t="s">
        <v>635</v>
      </c>
      <c r="AW2520" s="242"/>
      <c r="AX2520" s="242"/>
      <c r="AY2520" s="231"/>
      <c r="AZ2520" s="231"/>
      <c r="BA2520" s="227"/>
      <c r="BB2520" s="231"/>
      <c r="BC2520" s="227"/>
      <c r="BD2520" s="227"/>
      <c r="BE2520" s="227"/>
      <c r="BF2520" s="227"/>
    </row>
    <row r="2521">
      <c r="A2521" s="235" t="s">
        <v>19287</v>
      </c>
      <c r="C2521" s="235" t="s">
        <v>19288</v>
      </c>
      <c r="D2521" s="235" t="s">
        <v>19289</v>
      </c>
      <c r="E2521" s="243">
        <v>6.53E13</v>
      </c>
      <c r="F2521" s="245"/>
      <c r="G2521" s="235" t="s">
        <v>19290</v>
      </c>
      <c r="H2521" s="235" t="s">
        <v>19291</v>
      </c>
      <c r="I2521" s="235" t="s">
        <v>19292</v>
      </c>
      <c r="J2521" s="235" t="s">
        <v>19293</v>
      </c>
      <c r="K2521" s="235" t="s">
        <v>19294</v>
      </c>
      <c r="N2521" s="235" t="s">
        <v>145</v>
      </c>
      <c r="O2521" s="235" t="s">
        <v>370</v>
      </c>
      <c r="P2521" s="238">
        <v>1.0</v>
      </c>
      <c r="Q2521" s="235" t="s">
        <v>627</v>
      </c>
      <c r="R2521" s="238">
        <v>1703.81</v>
      </c>
      <c r="S2521" s="238">
        <v>83.49</v>
      </c>
      <c r="T2521" s="238">
        <v>0.0</v>
      </c>
      <c r="U2521" s="238">
        <v>0.0</v>
      </c>
      <c r="V2521" s="238">
        <v>0.0</v>
      </c>
      <c r="W2521" s="238">
        <v>0.0</v>
      </c>
      <c r="X2521" s="235" t="s">
        <v>628</v>
      </c>
      <c r="Z2521" s="244"/>
      <c r="AA2521" s="244"/>
      <c r="AB2521" s="244"/>
      <c r="AC2521" s="235" t="s">
        <v>1287</v>
      </c>
      <c r="AD2521" s="235" t="s">
        <v>630</v>
      </c>
      <c r="AE2521" s="238">
        <v>201002.0</v>
      </c>
      <c r="AF2521" s="235" t="s">
        <v>631</v>
      </c>
      <c r="AG2521" s="244"/>
      <c r="AH2521" s="244"/>
      <c r="AI2521" s="245"/>
      <c r="AJ2521" s="245"/>
      <c r="AK2521" s="245"/>
      <c r="AL2521" s="245"/>
      <c r="AM2521" s="244"/>
      <c r="AN2521" s="244"/>
      <c r="AO2521" s="238">
        <v>-34.08</v>
      </c>
      <c r="AP2521" s="238">
        <v>0.0</v>
      </c>
      <c r="AQ2521" s="235" t="s">
        <v>632</v>
      </c>
      <c r="AR2521" s="243">
        <v>1.68E11</v>
      </c>
      <c r="AS2521" s="235" t="s">
        <v>18462</v>
      </c>
      <c r="AT2521" s="235" t="s">
        <v>13</v>
      </c>
      <c r="AU2521" s="235" t="s">
        <v>634</v>
      </c>
      <c r="AV2521" s="246" t="s">
        <v>635</v>
      </c>
      <c r="AW2521" s="242"/>
      <c r="AX2521" s="242"/>
      <c r="AY2521" s="231"/>
      <c r="AZ2521" s="231"/>
      <c r="BA2521" s="227"/>
      <c r="BB2521" s="231"/>
      <c r="BC2521" s="227"/>
      <c r="BD2521" s="227"/>
      <c r="BE2521" s="227"/>
      <c r="BF2521" s="227"/>
    </row>
    <row r="2522">
      <c r="A2522" s="235" t="s">
        <v>19295</v>
      </c>
      <c r="C2522" s="235" t="s">
        <v>19296</v>
      </c>
      <c r="D2522" s="235" t="s">
        <v>19297</v>
      </c>
      <c r="E2522" s="243">
        <v>6.53E13</v>
      </c>
      <c r="F2522" s="245"/>
      <c r="G2522" s="235" t="s">
        <v>19298</v>
      </c>
      <c r="H2522" s="235" t="s">
        <v>19299</v>
      </c>
      <c r="I2522" s="235" t="s">
        <v>19299</v>
      </c>
      <c r="J2522" s="235" t="s">
        <v>19300</v>
      </c>
      <c r="K2522" s="235" t="s">
        <v>19301</v>
      </c>
      <c r="N2522" s="235" t="s">
        <v>842</v>
      </c>
      <c r="O2522" s="235" t="s">
        <v>843</v>
      </c>
      <c r="P2522" s="238">
        <v>1.0</v>
      </c>
      <c r="Q2522" s="235" t="s">
        <v>627</v>
      </c>
      <c r="R2522" s="238">
        <v>270.48</v>
      </c>
      <c r="S2522" s="238">
        <v>13.52</v>
      </c>
      <c r="T2522" s="238">
        <v>0.0</v>
      </c>
      <c r="U2522" s="238">
        <v>0.0</v>
      </c>
      <c r="V2522" s="238">
        <v>0.0</v>
      </c>
      <c r="W2522" s="238">
        <v>0.0</v>
      </c>
      <c r="X2522" s="235" t="s">
        <v>628</v>
      </c>
      <c r="Z2522" s="244"/>
      <c r="AA2522" s="244"/>
      <c r="AB2522" s="244"/>
      <c r="AC2522" s="235" t="s">
        <v>678</v>
      </c>
      <c r="AD2522" s="235" t="s">
        <v>679</v>
      </c>
      <c r="AE2522" s="238">
        <v>560022.0</v>
      </c>
      <c r="AF2522" s="235" t="s">
        <v>631</v>
      </c>
      <c r="AG2522" s="244"/>
      <c r="AH2522" s="244"/>
      <c r="AI2522" s="245"/>
      <c r="AJ2522" s="245"/>
      <c r="AK2522" s="245"/>
      <c r="AL2522" s="245"/>
      <c r="AM2522" s="244"/>
      <c r="AN2522" s="244"/>
      <c r="AO2522" s="238">
        <v>0.0</v>
      </c>
      <c r="AP2522" s="238">
        <v>0.0</v>
      </c>
      <c r="AQ2522" s="235" t="s">
        <v>632</v>
      </c>
      <c r="AR2522" s="243">
        <v>1.68E11</v>
      </c>
      <c r="AS2522" s="235" t="s">
        <v>18462</v>
      </c>
      <c r="AT2522" s="235" t="s">
        <v>9</v>
      </c>
      <c r="AU2522" s="235" t="s">
        <v>634</v>
      </c>
      <c r="AV2522" s="246" t="s">
        <v>635</v>
      </c>
      <c r="AW2522" s="242"/>
      <c r="AX2522" s="242"/>
      <c r="AY2522" s="231"/>
      <c r="AZ2522" s="231"/>
      <c r="BA2522" s="227"/>
      <c r="BB2522" s="231"/>
      <c r="BC2522" s="227"/>
      <c r="BD2522" s="227"/>
      <c r="BE2522" s="227"/>
      <c r="BF2522" s="227"/>
    </row>
    <row r="2523">
      <c r="A2523" s="235" t="s">
        <v>19302</v>
      </c>
      <c r="C2523" s="235" t="s">
        <v>19303</v>
      </c>
      <c r="D2523" s="235" t="s">
        <v>19304</v>
      </c>
      <c r="E2523" s="243">
        <v>6.53E13</v>
      </c>
      <c r="F2523" s="245"/>
      <c r="G2523" s="235" t="s">
        <v>19305</v>
      </c>
      <c r="H2523" s="235" t="s">
        <v>19306</v>
      </c>
      <c r="I2523" s="235" t="s">
        <v>19306</v>
      </c>
      <c r="J2523" s="235" t="s">
        <v>19307</v>
      </c>
      <c r="K2523" s="235" t="s">
        <v>19308</v>
      </c>
      <c r="N2523" s="235" t="s">
        <v>154</v>
      </c>
      <c r="O2523" s="235" t="s">
        <v>766</v>
      </c>
      <c r="P2523" s="238">
        <v>1.0</v>
      </c>
      <c r="Q2523" s="235" t="s">
        <v>627</v>
      </c>
      <c r="R2523" s="238">
        <v>500.96</v>
      </c>
      <c r="S2523" s="238">
        <v>25.04</v>
      </c>
      <c r="T2523" s="238">
        <v>0.0</v>
      </c>
      <c r="U2523" s="238">
        <v>0.0</v>
      </c>
      <c r="V2523" s="238">
        <v>0.0</v>
      </c>
      <c r="W2523" s="238">
        <v>0.0</v>
      </c>
      <c r="X2523" s="235" t="s">
        <v>628</v>
      </c>
      <c r="Z2523" s="244"/>
      <c r="AA2523" s="244"/>
      <c r="AB2523" s="244"/>
      <c r="AC2523" s="235" t="s">
        <v>1255</v>
      </c>
      <c r="AD2523" s="235" t="s">
        <v>845</v>
      </c>
      <c r="AE2523" s="238">
        <v>400607.0</v>
      </c>
      <c r="AF2523" s="235" t="s">
        <v>631</v>
      </c>
      <c r="AG2523" s="244"/>
      <c r="AH2523" s="244"/>
      <c r="AI2523" s="245"/>
      <c r="AJ2523" s="245"/>
      <c r="AK2523" s="245"/>
      <c r="AL2523" s="245"/>
      <c r="AM2523" s="244"/>
      <c r="AN2523" s="244"/>
      <c r="AO2523" s="238">
        <v>0.0</v>
      </c>
      <c r="AP2523" s="238">
        <v>0.0</v>
      </c>
      <c r="AQ2523" s="235" t="s">
        <v>632</v>
      </c>
      <c r="AR2523" s="243">
        <v>1.68E11</v>
      </c>
      <c r="AS2523" s="235" t="s">
        <v>18462</v>
      </c>
      <c r="AT2523" s="235" t="s">
        <v>16</v>
      </c>
      <c r="AU2523" s="235" t="s">
        <v>634</v>
      </c>
      <c r="AV2523" s="246" t="s">
        <v>635</v>
      </c>
      <c r="AW2523" s="242"/>
      <c r="AX2523" s="242"/>
      <c r="AY2523" s="231"/>
      <c r="AZ2523" s="231"/>
      <c r="BA2523" s="227"/>
      <c r="BB2523" s="231"/>
      <c r="BC2523" s="227"/>
      <c r="BD2523" s="227"/>
      <c r="BE2523" s="227"/>
      <c r="BF2523" s="227"/>
    </row>
    <row r="2524">
      <c r="A2524" s="235" t="s">
        <v>19309</v>
      </c>
      <c r="C2524" s="235" t="s">
        <v>19310</v>
      </c>
      <c r="D2524" s="235" t="s">
        <v>19311</v>
      </c>
      <c r="E2524" s="243">
        <v>6.52E13</v>
      </c>
      <c r="F2524" s="245"/>
      <c r="G2524" s="235" t="s">
        <v>19312</v>
      </c>
      <c r="H2524" s="235" t="s">
        <v>19313</v>
      </c>
      <c r="I2524" s="235" t="s">
        <v>19313</v>
      </c>
      <c r="J2524" s="235" t="s">
        <v>19314</v>
      </c>
      <c r="K2524" s="235" t="s">
        <v>19315</v>
      </c>
      <c r="N2524" s="235" t="s">
        <v>152</v>
      </c>
      <c r="O2524" s="235" t="s">
        <v>3192</v>
      </c>
      <c r="P2524" s="238">
        <v>1.0</v>
      </c>
      <c r="Q2524" s="235" t="s">
        <v>627</v>
      </c>
      <c r="R2524" s="238">
        <v>422.88</v>
      </c>
      <c r="S2524" s="238">
        <v>76.12</v>
      </c>
      <c r="T2524" s="238">
        <v>33.9</v>
      </c>
      <c r="U2524" s="238">
        <v>6.1</v>
      </c>
      <c r="V2524" s="238">
        <v>0.0</v>
      </c>
      <c r="W2524" s="238">
        <v>0.0</v>
      </c>
      <c r="X2524" s="235" t="s">
        <v>628</v>
      </c>
      <c r="Z2524" s="244"/>
      <c r="AA2524" s="244"/>
      <c r="AB2524" s="244"/>
      <c r="AC2524" s="235" t="s">
        <v>795</v>
      </c>
      <c r="AD2524" s="235" t="s">
        <v>796</v>
      </c>
      <c r="AE2524" s="238">
        <v>110007.0</v>
      </c>
      <c r="AF2524" s="235" t="s">
        <v>631</v>
      </c>
      <c r="AG2524" s="244"/>
      <c r="AH2524" s="244"/>
      <c r="AI2524" s="245"/>
      <c r="AJ2524" s="245"/>
      <c r="AK2524" s="245"/>
      <c r="AL2524" s="245"/>
      <c r="AM2524" s="244"/>
      <c r="AN2524" s="244"/>
      <c r="AO2524" s="238">
        <v>0.0</v>
      </c>
      <c r="AP2524" s="238">
        <v>-33.9</v>
      </c>
      <c r="AQ2524" s="235" t="s">
        <v>632</v>
      </c>
      <c r="AR2524" s="243">
        <v>3.71E11</v>
      </c>
      <c r="AS2524" s="235" t="s">
        <v>17988</v>
      </c>
      <c r="AT2524" s="235" t="s">
        <v>13</v>
      </c>
      <c r="AU2524" s="235" t="s">
        <v>634</v>
      </c>
      <c r="AV2524" s="246" t="s">
        <v>635</v>
      </c>
      <c r="AW2524" s="242"/>
      <c r="AX2524" s="242"/>
      <c r="AY2524" s="231"/>
      <c r="AZ2524" s="231"/>
      <c r="BA2524" s="227"/>
      <c r="BB2524" s="231"/>
      <c r="BC2524" s="227"/>
      <c r="BD2524" s="227"/>
      <c r="BE2524" s="227"/>
      <c r="BF2524" s="227"/>
    </row>
    <row r="2525">
      <c r="A2525" s="235" t="s">
        <v>19316</v>
      </c>
      <c r="C2525" s="235" t="s">
        <v>19317</v>
      </c>
      <c r="D2525" s="235" t="s">
        <v>19318</v>
      </c>
      <c r="E2525" s="243">
        <v>6.53E13</v>
      </c>
      <c r="F2525" s="245"/>
      <c r="G2525" s="235" t="s">
        <v>19319</v>
      </c>
      <c r="H2525" s="235" t="s">
        <v>19320</v>
      </c>
      <c r="I2525" s="235" t="s">
        <v>19320</v>
      </c>
      <c r="J2525" s="235" t="s">
        <v>19321</v>
      </c>
      <c r="K2525" s="235" t="s">
        <v>19322</v>
      </c>
      <c r="N2525" s="235" t="s">
        <v>842</v>
      </c>
      <c r="O2525" s="235" t="s">
        <v>843</v>
      </c>
      <c r="P2525" s="238">
        <v>1.0</v>
      </c>
      <c r="Q2525" s="235" t="s">
        <v>627</v>
      </c>
      <c r="R2525" s="238">
        <v>270.48</v>
      </c>
      <c r="S2525" s="238">
        <v>13.25</v>
      </c>
      <c r="T2525" s="238">
        <v>0.0</v>
      </c>
      <c r="U2525" s="238">
        <v>0.0</v>
      </c>
      <c r="V2525" s="238">
        <v>0.0</v>
      </c>
      <c r="W2525" s="238">
        <v>0.0</v>
      </c>
      <c r="X2525" s="235" t="s">
        <v>628</v>
      </c>
      <c r="Z2525" s="244"/>
      <c r="AA2525" s="244"/>
      <c r="AB2525" s="244"/>
      <c r="AC2525" s="235" t="s">
        <v>678</v>
      </c>
      <c r="AD2525" s="235" t="s">
        <v>679</v>
      </c>
      <c r="AE2525" s="238">
        <v>560078.0</v>
      </c>
      <c r="AF2525" s="235" t="s">
        <v>631</v>
      </c>
      <c r="AG2525" s="244"/>
      <c r="AH2525" s="244"/>
      <c r="AI2525" s="245"/>
      <c r="AJ2525" s="245"/>
      <c r="AK2525" s="245"/>
      <c r="AL2525" s="245"/>
      <c r="AM2525" s="244"/>
      <c r="AN2525" s="244"/>
      <c r="AO2525" s="238">
        <v>-5.41</v>
      </c>
      <c r="AP2525" s="238">
        <v>0.0</v>
      </c>
      <c r="AQ2525" s="235" t="s">
        <v>632</v>
      </c>
      <c r="AR2525" s="243">
        <v>1.68E11</v>
      </c>
      <c r="AS2525" s="235" t="s">
        <v>18462</v>
      </c>
      <c r="AT2525" s="235" t="s">
        <v>9</v>
      </c>
      <c r="AU2525" s="235" t="s">
        <v>634</v>
      </c>
      <c r="AV2525" s="246" t="s">
        <v>635</v>
      </c>
      <c r="AW2525" s="242"/>
      <c r="AX2525" s="242"/>
      <c r="AY2525" s="231"/>
      <c r="AZ2525" s="231"/>
      <c r="BA2525" s="227"/>
      <c r="BB2525" s="231"/>
      <c r="BC2525" s="227"/>
      <c r="BD2525" s="227"/>
      <c r="BE2525" s="227"/>
      <c r="BF2525" s="227"/>
    </row>
    <row r="2526">
      <c r="A2526" s="235" t="s">
        <v>19323</v>
      </c>
      <c r="C2526" s="235" t="s">
        <v>19324</v>
      </c>
      <c r="D2526" s="235" t="s">
        <v>19325</v>
      </c>
      <c r="E2526" s="243">
        <v>6.53E13</v>
      </c>
      <c r="F2526" s="245"/>
      <c r="G2526" s="235" t="s">
        <v>19326</v>
      </c>
      <c r="H2526" s="235" t="s">
        <v>19327</v>
      </c>
      <c r="I2526" s="235" t="s">
        <v>19328</v>
      </c>
      <c r="J2526" s="235" t="s">
        <v>19329</v>
      </c>
      <c r="K2526" s="235" t="s">
        <v>19330</v>
      </c>
      <c r="N2526" s="235" t="s">
        <v>127</v>
      </c>
      <c r="O2526" s="235" t="s">
        <v>794</v>
      </c>
      <c r="P2526" s="238">
        <v>1.0</v>
      </c>
      <c r="Q2526" s="235" t="s">
        <v>627</v>
      </c>
      <c r="R2526" s="238">
        <v>270.48</v>
      </c>
      <c r="S2526" s="238">
        <v>13.52</v>
      </c>
      <c r="T2526" s="238">
        <v>0.0</v>
      </c>
      <c r="U2526" s="238">
        <v>0.0</v>
      </c>
      <c r="V2526" s="238">
        <v>0.0</v>
      </c>
      <c r="W2526" s="238">
        <v>0.0</v>
      </c>
      <c r="X2526" s="235" t="s">
        <v>628</v>
      </c>
      <c r="Z2526" s="244"/>
      <c r="AA2526" s="244"/>
      <c r="AB2526" s="244"/>
      <c r="AC2526" s="235" t="s">
        <v>8997</v>
      </c>
      <c r="AD2526" s="235" t="s">
        <v>1086</v>
      </c>
      <c r="AE2526" s="238">
        <v>160062.0</v>
      </c>
      <c r="AF2526" s="235" t="s">
        <v>631</v>
      </c>
      <c r="AG2526" s="244"/>
      <c r="AH2526" s="244"/>
      <c r="AI2526" s="245"/>
      <c r="AJ2526" s="245"/>
      <c r="AK2526" s="245"/>
      <c r="AL2526" s="245"/>
      <c r="AM2526" s="244"/>
      <c r="AN2526" s="244"/>
      <c r="AO2526" s="238">
        <v>0.0</v>
      </c>
      <c r="AP2526" s="238">
        <v>0.0</v>
      </c>
      <c r="AQ2526" s="235" t="s">
        <v>632</v>
      </c>
      <c r="AR2526" s="243">
        <v>3.71E11</v>
      </c>
      <c r="AS2526" s="235" t="s">
        <v>17988</v>
      </c>
      <c r="AT2526" s="235" t="s">
        <v>14</v>
      </c>
      <c r="AU2526" s="235" t="s">
        <v>634</v>
      </c>
      <c r="AV2526" s="246" t="s">
        <v>635</v>
      </c>
      <c r="AW2526" s="242"/>
      <c r="AX2526" s="242"/>
      <c r="AY2526" s="231"/>
      <c r="AZ2526" s="231"/>
      <c r="BA2526" s="227"/>
      <c r="BB2526" s="231"/>
      <c r="BC2526" s="227"/>
      <c r="BD2526" s="227"/>
      <c r="BE2526" s="227"/>
      <c r="BF2526" s="227"/>
    </row>
    <row r="2527">
      <c r="A2527" s="235" t="s">
        <v>19331</v>
      </c>
      <c r="C2527" s="235" t="s">
        <v>19332</v>
      </c>
      <c r="D2527" s="235" t="s">
        <v>19333</v>
      </c>
      <c r="E2527" s="243">
        <v>6.53E13</v>
      </c>
      <c r="F2527" s="245"/>
      <c r="G2527" s="235" t="s">
        <v>19334</v>
      </c>
      <c r="H2527" s="235" t="s">
        <v>19335</v>
      </c>
      <c r="I2527" s="235" t="s">
        <v>19335</v>
      </c>
      <c r="J2527" s="235" t="s">
        <v>19336</v>
      </c>
      <c r="K2527" s="235" t="s">
        <v>19337</v>
      </c>
      <c r="N2527" s="235" t="s">
        <v>842</v>
      </c>
      <c r="O2527" s="235" t="s">
        <v>843</v>
      </c>
      <c r="P2527" s="238">
        <v>1.0</v>
      </c>
      <c r="Q2527" s="235" t="s">
        <v>627</v>
      </c>
      <c r="R2527" s="238">
        <v>246.66</v>
      </c>
      <c r="S2527" s="238">
        <v>12.34</v>
      </c>
      <c r="T2527" s="238">
        <v>0.0</v>
      </c>
      <c r="U2527" s="238">
        <v>0.0</v>
      </c>
      <c r="V2527" s="238">
        <v>0.0</v>
      </c>
      <c r="W2527" s="238">
        <v>0.0</v>
      </c>
      <c r="X2527" s="235" t="s">
        <v>628</v>
      </c>
      <c r="Z2527" s="244"/>
      <c r="AA2527" s="244"/>
      <c r="AB2527" s="244"/>
      <c r="AC2527" s="235" t="s">
        <v>1910</v>
      </c>
      <c r="AD2527" s="235" t="s">
        <v>928</v>
      </c>
      <c r="AE2527" s="238">
        <v>122017.0</v>
      </c>
      <c r="AF2527" s="235" t="s">
        <v>631</v>
      </c>
      <c r="AG2527" s="244"/>
      <c r="AH2527" s="244"/>
      <c r="AI2527" s="245"/>
      <c r="AJ2527" s="245"/>
      <c r="AK2527" s="245"/>
      <c r="AL2527" s="245"/>
      <c r="AM2527" s="244"/>
      <c r="AN2527" s="244"/>
      <c r="AO2527" s="238">
        <v>0.0</v>
      </c>
      <c r="AP2527" s="238">
        <v>0.0</v>
      </c>
      <c r="AQ2527" s="235" t="s">
        <v>632</v>
      </c>
      <c r="AR2527" s="243">
        <v>3.71E11</v>
      </c>
      <c r="AS2527" s="235" t="s">
        <v>17988</v>
      </c>
      <c r="AT2527" s="235" t="s">
        <v>14</v>
      </c>
      <c r="AU2527" s="235" t="s">
        <v>634</v>
      </c>
      <c r="AV2527" s="246" t="s">
        <v>635</v>
      </c>
      <c r="AW2527" s="242"/>
      <c r="AX2527" s="242"/>
      <c r="AY2527" s="231"/>
      <c r="AZ2527" s="231"/>
      <c r="BA2527" s="227"/>
      <c r="BB2527" s="231"/>
      <c r="BC2527" s="227"/>
      <c r="BD2527" s="227"/>
      <c r="BE2527" s="227"/>
      <c r="BF2527" s="227"/>
    </row>
    <row r="2528">
      <c r="A2528" s="235" t="s">
        <v>19338</v>
      </c>
      <c r="C2528" s="235" t="s">
        <v>19339</v>
      </c>
      <c r="D2528" s="235" t="s">
        <v>19340</v>
      </c>
      <c r="E2528" s="243">
        <v>6.53E13</v>
      </c>
      <c r="F2528" s="245"/>
      <c r="G2528" s="235" t="s">
        <v>19341</v>
      </c>
      <c r="H2528" s="235" t="s">
        <v>19342</v>
      </c>
      <c r="I2528" s="235" t="s">
        <v>19343</v>
      </c>
      <c r="J2528" s="235" t="s">
        <v>19344</v>
      </c>
      <c r="K2528" s="235" t="s">
        <v>19345</v>
      </c>
      <c r="N2528" s="235" t="s">
        <v>127</v>
      </c>
      <c r="O2528" s="235" t="s">
        <v>794</v>
      </c>
      <c r="P2528" s="238">
        <v>1.0</v>
      </c>
      <c r="Q2528" s="235" t="s">
        <v>627</v>
      </c>
      <c r="R2528" s="238">
        <v>270.48</v>
      </c>
      <c r="S2528" s="238">
        <v>13.25</v>
      </c>
      <c r="T2528" s="238">
        <v>0.0</v>
      </c>
      <c r="U2528" s="238">
        <v>0.0</v>
      </c>
      <c r="V2528" s="238">
        <v>0.0</v>
      </c>
      <c r="W2528" s="238">
        <v>0.0</v>
      </c>
      <c r="X2528" s="235" t="s">
        <v>628</v>
      </c>
      <c r="Z2528" s="244"/>
      <c r="AA2528" s="244"/>
      <c r="AB2528" s="244"/>
      <c r="AC2528" s="235" t="s">
        <v>4790</v>
      </c>
      <c r="AD2528" s="235" t="s">
        <v>1086</v>
      </c>
      <c r="AE2528" s="238">
        <v>151001.0</v>
      </c>
      <c r="AF2528" s="235" t="s">
        <v>631</v>
      </c>
      <c r="AG2528" s="244"/>
      <c r="AH2528" s="244"/>
      <c r="AI2528" s="245"/>
      <c r="AJ2528" s="245"/>
      <c r="AK2528" s="245"/>
      <c r="AL2528" s="245"/>
      <c r="AM2528" s="244"/>
      <c r="AN2528" s="244"/>
      <c r="AO2528" s="238">
        <v>-5.41</v>
      </c>
      <c r="AP2528" s="238">
        <v>0.0</v>
      </c>
      <c r="AQ2528" s="235" t="s">
        <v>632</v>
      </c>
      <c r="AR2528" s="243">
        <v>1.68E11</v>
      </c>
      <c r="AS2528" s="235" t="s">
        <v>17988</v>
      </c>
      <c r="AT2528" s="235" t="s">
        <v>14</v>
      </c>
      <c r="AU2528" s="235" t="s">
        <v>634</v>
      </c>
      <c r="AV2528" s="246" t="s">
        <v>635</v>
      </c>
      <c r="AW2528" s="242"/>
      <c r="AX2528" s="242"/>
      <c r="AY2528" s="231"/>
      <c r="AZ2528" s="231"/>
      <c r="BA2528" s="227"/>
      <c r="BB2528" s="231"/>
      <c r="BC2528" s="227"/>
      <c r="BD2528" s="227"/>
      <c r="BE2528" s="227"/>
      <c r="BF2528" s="227"/>
    </row>
    <row r="2529">
      <c r="A2529" s="235" t="s">
        <v>19346</v>
      </c>
      <c r="C2529" s="235" t="s">
        <v>19347</v>
      </c>
      <c r="D2529" s="235" t="s">
        <v>19348</v>
      </c>
      <c r="E2529" s="243">
        <v>6.53E13</v>
      </c>
      <c r="F2529" s="245"/>
      <c r="G2529" s="235" t="s">
        <v>19349</v>
      </c>
      <c r="H2529" s="235" t="s">
        <v>19350</v>
      </c>
      <c r="I2529" s="235" t="s">
        <v>19351</v>
      </c>
      <c r="J2529" s="235" t="s">
        <v>19352</v>
      </c>
      <c r="K2529" s="235" t="s">
        <v>19353</v>
      </c>
      <c r="N2529" s="235" t="s">
        <v>2964</v>
      </c>
      <c r="O2529" s="235" t="s">
        <v>2965</v>
      </c>
      <c r="P2529" s="238">
        <v>1.0</v>
      </c>
      <c r="Q2529" s="235" t="s">
        <v>627</v>
      </c>
      <c r="R2529" s="238">
        <v>270.48</v>
      </c>
      <c r="S2529" s="238">
        <v>13.52</v>
      </c>
      <c r="T2529" s="238">
        <v>0.0</v>
      </c>
      <c r="U2529" s="238">
        <v>0.0</v>
      </c>
      <c r="V2529" s="238">
        <v>0.0</v>
      </c>
      <c r="W2529" s="238">
        <v>0.0</v>
      </c>
      <c r="X2529" s="235" t="s">
        <v>628</v>
      </c>
      <c r="Z2529" s="244"/>
      <c r="AA2529" s="244"/>
      <c r="AB2529" s="244"/>
      <c r="AC2529" s="235" t="s">
        <v>1456</v>
      </c>
      <c r="AD2529" s="235" t="s">
        <v>928</v>
      </c>
      <c r="AE2529" s="238">
        <v>122017.0</v>
      </c>
      <c r="AF2529" s="235" t="s">
        <v>631</v>
      </c>
      <c r="AG2529" s="244"/>
      <c r="AH2529" s="244"/>
      <c r="AI2529" s="245"/>
      <c r="AJ2529" s="245"/>
      <c r="AK2529" s="245"/>
      <c r="AL2529" s="245"/>
      <c r="AM2529" s="244"/>
      <c r="AN2529" s="244"/>
      <c r="AO2529" s="238">
        <v>0.0</v>
      </c>
      <c r="AP2529" s="238">
        <v>0.0</v>
      </c>
      <c r="AQ2529" s="235" t="s">
        <v>632</v>
      </c>
      <c r="AR2529" s="243">
        <v>1.68E11</v>
      </c>
      <c r="AS2529" s="235" t="s">
        <v>18462</v>
      </c>
      <c r="AT2529" s="235" t="s">
        <v>533</v>
      </c>
      <c r="AU2529" s="235" t="s">
        <v>634</v>
      </c>
      <c r="AV2529" s="246" t="s">
        <v>635</v>
      </c>
      <c r="AW2529" s="242"/>
      <c r="AX2529" s="242"/>
      <c r="AY2529" s="231"/>
      <c r="AZ2529" s="231"/>
      <c r="BA2529" s="227"/>
      <c r="BB2529" s="231"/>
      <c r="BC2529" s="227"/>
      <c r="BD2529" s="227"/>
      <c r="BE2529" s="227"/>
      <c r="BF2529" s="227"/>
    </row>
    <row r="2530">
      <c r="A2530" s="235" t="s">
        <v>19354</v>
      </c>
      <c r="C2530" s="235" t="s">
        <v>19355</v>
      </c>
      <c r="D2530" s="235" t="s">
        <v>19356</v>
      </c>
      <c r="E2530" s="243">
        <v>6.53E13</v>
      </c>
      <c r="F2530" s="245"/>
      <c r="G2530" s="235" t="s">
        <v>19357</v>
      </c>
      <c r="H2530" s="235" t="s">
        <v>19358</v>
      </c>
      <c r="I2530" s="235" t="s">
        <v>19358</v>
      </c>
      <c r="J2530" s="235" t="s">
        <v>19359</v>
      </c>
      <c r="K2530" s="235" t="s">
        <v>19360</v>
      </c>
      <c r="N2530" s="235" t="s">
        <v>90</v>
      </c>
      <c r="O2530" s="235" t="s">
        <v>279</v>
      </c>
      <c r="P2530" s="238">
        <v>1.0</v>
      </c>
      <c r="Q2530" s="235" t="s">
        <v>627</v>
      </c>
      <c r="R2530" s="238">
        <v>270.48</v>
      </c>
      <c r="S2530" s="238">
        <v>13.52</v>
      </c>
      <c r="T2530" s="238">
        <v>38.1</v>
      </c>
      <c r="U2530" s="238">
        <v>1.9</v>
      </c>
      <c r="V2530" s="238">
        <v>0.0</v>
      </c>
      <c r="W2530" s="238">
        <v>0.0</v>
      </c>
      <c r="X2530" s="235" t="s">
        <v>628</v>
      </c>
      <c r="Z2530" s="244"/>
      <c r="AA2530" s="244"/>
      <c r="AB2530" s="244"/>
      <c r="AC2530" s="235" t="s">
        <v>1085</v>
      </c>
      <c r="AD2530" s="235" t="s">
        <v>1086</v>
      </c>
      <c r="AE2530" s="238">
        <v>141007.0</v>
      </c>
      <c r="AF2530" s="235" t="s">
        <v>631</v>
      </c>
      <c r="AG2530" s="244"/>
      <c r="AH2530" s="244"/>
      <c r="AI2530" s="245"/>
      <c r="AJ2530" s="245"/>
      <c r="AK2530" s="245"/>
      <c r="AL2530" s="245"/>
      <c r="AM2530" s="244"/>
      <c r="AN2530" s="244"/>
      <c r="AO2530" s="238">
        <v>0.0</v>
      </c>
      <c r="AP2530" s="238">
        <v>-38.1</v>
      </c>
      <c r="AQ2530" s="235" t="s">
        <v>632</v>
      </c>
      <c r="AR2530" s="243">
        <v>3.71E11</v>
      </c>
      <c r="AS2530" s="235" t="s">
        <v>16626</v>
      </c>
      <c r="AT2530" s="235" t="s">
        <v>533</v>
      </c>
      <c r="AU2530" s="235" t="s">
        <v>634</v>
      </c>
      <c r="AV2530" s="246" t="s">
        <v>635</v>
      </c>
      <c r="AW2530" s="242"/>
      <c r="AX2530" s="242"/>
      <c r="AY2530" s="231"/>
      <c r="AZ2530" s="231"/>
      <c r="BA2530" s="227"/>
      <c r="BB2530" s="231"/>
      <c r="BC2530" s="227"/>
      <c r="BD2530" s="227"/>
      <c r="BE2530" s="227"/>
      <c r="BF2530" s="227"/>
    </row>
    <row r="2531">
      <c r="A2531" s="235" t="s">
        <v>19361</v>
      </c>
      <c r="C2531" s="235" t="s">
        <v>19362</v>
      </c>
      <c r="D2531" s="235" t="s">
        <v>19363</v>
      </c>
      <c r="E2531" s="243">
        <v>6.53E13</v>
      </c>
      <c r="F2531" s="245"/>
      <c r="G2531" s="235" t="s">
        <v>19364</v>
      </c>
      <c r="H2531" s="235" t="s">
        <v>19365</v>
      </c>
      <c r="I2531" s="235" t="s">
        <v>19365</v>
      </c>
      <c r="J2531" s="235" t="s">
        <v>19366</v>
      </c>
      <c r="K2531" s="235" t="s">
        <v>19367</v>
      </c>
      <c r="N2531" s="235" t="s">
        <v>78</v>
      </c>
      <c r="O2531" s="235" t="s">
        <v>360</v>
      </c>
      <c r="P2531" s="238">
        <v>1.0</v>
      </c>
      <c r="Q2531" s="235" t="s">
        <v>627</v>
      </c>
      <c r="R2531" s="238">
        <v>380.0</v>
      </c>
      <c r="S2531" s="238">
        <v>19.0</v>
      </c>
      <c r="T2531" s="238">
        <v>38.1</v>
      </c>
      <c r="U2531" s="238">
        <v>1.9</v>
      </c>
      <c r="V2531" s="238">
        <v>0.0</v>
      </c>
      <c r="W2531" s="238">
        <v>0.0</v>
      </c>
      <c r="X2531" s="235" t="s">
        <v>628</v>
      </c>
      <c r="Z2531" s="244"/>
      <c r="AA2531" s="244"/>
      <c r="AB2531" s="244"/>
      <c r="AC2531" s="235" t="s">
        <v>795</v>
      </c>
      <c r="AD2531" s="235" t="s">
        <v>796</v>
      </c>
      <c r="AE2531" s="238">
        <v>110033.0</v>
      </c>
      <c r="AF2531" s="235" t="s">
        <v>631</v>
      </c>
      <c r="AG2531" s="244"/>
      <c r="AH2531" s="244"/>
      <c r="AI2531" s="245"/>
      <c r="AJ2531" s="245"/>
      <c r="AK2531" s="245"/>
      <c r="AL2531" s="245"/>
      <c r="AM2531" s="244"/>
      <c r="AN2531" s="244"/>
      <c r="AO2531" s="238">
        <v>0.0</v>
      </c>
      <c r="AP2531" s="238">
        <v>-38.1</v>
      </c>
      <c r="AQ2531" s="235" t="s">
        <v>632</v>
      </c>
      <c r="AR2531" s="243">
        <v>3.71E11</v>
      </c>
      <c r="AS2531" s="235" t="s">
        <v>17988</v>
      </c>
      <c r="AT2531" s="235" t="s">
        <v>14</v>
      </c>
      <c r="AU2531" s="235" t="s">
        <v>634</v>
      </c>
      <c r="AV2531" s="246" t="s">
        <v>635</v>
      </c>
      <c r="AW2531" s="242"/>
      <c r="AX2531" s="242"/>
      <c r="AY2531" s="231"/>
      <c r="AZ2531" s="231"/>
      <c r="BA2531" s="227"/>
      <c r="BB2531" s="231"/>
      <c r="BC2531" s="227"/>
      <c r="BD2531" s="227"/>
      <c r="BE2531" s="227"/>
      <c r="BF2531" s="227"/>
    </row>
    <row r="2532">
      <c r="A2532" s="235" t="s">
        <v>19368</v>
      </c>
      <c r="C2532" s="235" t="s">
        <v>19369</v>
      </c>
      <c r="D2532" s="235" t="s">
        <v>19370</v>
      </c>
      <c r="E2532" s="243">
        <v>6.53E13</v>
      </c>
      <c r="F2532" s="245"/>
      <c r="G2532" s="235" t="s">
        <v>19371</v>
      </c>
      <c r="H2532" s="235" t="s">
        <v>19372</v>
      </c>
      <c r="I2532" s="235" t="s">
        <v>19372</v>
      </c>
      <c r="J2532" s="235" t="s">
        <v>19366</v>
      </c>
      <c r="K2532" s="235" t="s">
        <v>19373</v>
      </c>
      <c r="N2532" s="235" t="s">
        <v>138</v>
      </c>
      <c r="O2532" s="235" t="s">
        <v>675</v>
      </c>
      <c r="P2532" s="238">
        <v>1.0</v>
      </c>
      <c r="Q2532" s="235" t="s">
        <v>627</v>
      </c>
      <c r="R2532" s="238">
        <v>270.48</v>
      </c>
      <c r="S2532" s="238">
        <v>13.52</v>
      </c>
      <c r="T2532" s="238">
        <v>0.0</v>
      </c>
      <c r="U2532" s="238">
        <v>0.0</v>
      </c>
      <c r="V2532" s="238">
        <v>0.0</v>
      </c>
      <c r="W2532" s="238">
        <v>0.0</v>
      </c>
      <c r="X2532" s="235" t="s">
        <v>628</v>
      </c>
      <c r="Z2532" s="244"/>
      <c r="AA2532" s="244"/>
      <c r="AB2532" s="244"/>
      <c r="AC2532" s="235" t="s">
        <v>697</v>
      </c>
      <c r="AD2532" s="235" t="s">
        <v>698</v>
      </c>
      <c r="AE2532" s="238">
        <v>500016.0</v>
      </c>
      <c r="AF2532" s="235" t="s">
        <v>631</v>
      </c>
      <c r="AG2532" s="244"/>
      <c r="AH2532" s="244"/>
      <c r="AI2532" s="245"/>
      <c r="AJ2532" s="245"/>
      <c r="AK2532" s="245"/>
      <c r="AL2532" s="245"/>
      <c r="AM2532" s="244"/>
      <c r="AN2532" s="244"/>
      <c r="AO2532" s="238">
        <v>0.0</v>
      </c>
      <c r="AP2532" s="238">
        <v>0.0</v>
      </c>
      <c r="AQ2532" s="235" t="s">
        <v>632</v>
      </c>
      <c r="AR2532" s="243">
        <v>2.02E11</v>
      </c>
      <c r="AS2532" s="235" t="s">
        <v>17988</v>
      </c>
      <c r="AT2532" s="235" t="s">
        <v>9</v>
      </c>
      <c r="AU2532" s="235" t="s">
        <v>634</v>
      </c>
      <c r="AV2532" s="246" t="s">
        <v>635</v>
      </c>
      <c r="AW2532" s="242"/>
      <c r="AX2532" s="242"/>
      <c r="AY2532" s="231"/>
      <c r="AZ2532" s="231"/>
      <c r="BA2532" s="227"/>
      <c r="BB2532" s="231"/>
      <c r="BC2532" s="227"/>
      <c r="BD2532" s="227"/>
      <c r="BE2532" s="227"/>
      <c r="BF2532" s="227"/>
    </row>
    <row r="2533">
      <c r="A2533" s="235" t="s">
        <v>19374</v>
      </c>
      <c r="C2533" s="235" t="s">
        <v>19375</v>
      </c>
      <c r="D2533" s="235" t="s">
        <v>19376</v>
      </c>
      <c r="E2533" s="243">
        <v>6.52E13</v>
      </c>
      <c r="F2533" s="245"/>
      <c r="G2533" s="235" t="s">
        <v>19377</v>
      </c>
      <c r="H2533" s="235" t="s">
        <v>19378</v>
      </c>
      <c r="I2533" s="235" t="s">
        <v>19378</v>
      </c>
      <c r="J2533" s="235" t="s">
        <v>19379</v>
      </c>
      <c r="K2533" s="235" t="s">
        <v>19380</v>
      </c>
      <c r="N2533" s="235" t="s">
        <v>22</v>
      </c>
      <c r="O2533" s="235" t="s">
        <v>729</v>
      </c>
      <c r="P2533" s="238">
        <v>1.0</v>
      </c>
      <c r="Q2533" s="235" t="s">
        <v>627</v>
      </c>
      <c r="R2533" s="238">
        <v>323.8</v>
      </c>
      <c r="S2533" s="238">
        <v>16.2</v>
      </c>
      <c r="T2533" s="238">
        <v>38.1</v>
      </c>
      <c r="U2533" s="238">
        <v>1.9</v>
      </c>
      <c r="V2533" s="238">
        <v>0.0</v>
      </c>
      <c r="W2533" s="238">
        <v>0.0</v>
      </c>
      <c r="X2533" s="235" t="s">
        <v>628</v>
      </c>
      <c r="Z2533" s="244"/>
      <c r="AA2533" s="244"/>
      <c r="AB2533" s="244"/>
      <c r="AC2533" s="235" t="s">
        <v>678</v>
      </c>
      <c r="AD2533" s="235" t="s">
        <v>679</v>
      </c>
      <c r="AE2533" s="238">
        <v>560056.0</v>
      </c>
      <c r="AF2533" s="235" t="s">
        <v>631</v>
      </c>
      <c r="AG2533" s="244"/>
      <c r="AH2533" s="244"/>
      <c r="AI2533" s="245"/>
      <c r="AJ2533" s="245"/>
      <c r="AK2533" s="245"/>
      <c r="AL2533" s="245"/>
      <c r="AM2533" s="244"/>
      <c r="AN2533" s="244"/>
      <c r="AO2533" s="238">
        <v>0.0</v>
      </c>
      <c r="AP2533" s="238">
        <v>-38.1</v>
      </c>
      <c r="AQ2533" s="235" t="s">
        <v>632</v>
      </c>
      <c r="AR2533" s="243">
        <v>3.71E11</v>
      </c>
      <c r="AS2533" s="235" t="s">
        <v>17988</v>
      </c>
      <c r="AT2533" s="235" t="s">
        <v>11</v>
      </c>
      <c r="AU2533" s="235" t="s">
        <v>634</v>
      </c>
      <c r="AV2533" s="246" t="s">
        <v>635</v>
      </c>
      <c r="AW2533" s="242"/>
      <c r="AX2533" s="242"/>
      <c r="AY2533" s="231"/>
      <c r="AZ2533" s="231"/>
      <c r="BA2533" s="227"/>
      <c r="BB2533" s="231"/>
      <c r="BC2533" s="227"/>
      <c r="BD2533" s="227"/>
      <c r="BE2533" s="227"/>
      <c r="BF2533" s="227"/>
    </row>
    <row r="2534">
      <c r="A2534" s="235" t="s">
        <v>19381</v>
      </c>
      <c r="C2534" s="235" t="s">
        <v>19382</v>
      </c>
      <c r="D2534" s="235" t="s">
        <v>19383</v>
      </c>
      <c r="E2534" s="243">
        <v>6.53E13</v>
      </c>
      <c r="F2534" s="245"/>
      <c r="G2534" s="235" t="s">
        <v>19384</v>
      </c>
      <c r="H2534" s="235" t="s">
        <v>19385</v>
      </c>
      <c r="I2534" s="235" t="s">
        <v>19385</v>
      </c>
      <c r="J2534" s="235" t="s">
        <v>19386</v>
      </c>
      <c r="K2534" s="235" t="s">
        <v>19387</v>
      </c>
      <c r="N2534" s="235" t="s">
        <v>154</v>
      </c>
      <c r="O2534" s="235" t="s">
        <v>766</v>
      </c>
      <c r="P2534" s="238">
        <v>1.0</v>
      </c>
      <c r="Q2534" s="235" t="s">
        <v>627</v>
      </c>
      <c r="R2534" s="238">
        <v>500.96</v>
      </c>
      <c r="S2534" s="238">
        <v>25.04</v>
      </c>
      <c r="T2534" s="238">
        <v>0.0</v>
      </c>
      <c r="U2534" s="238">
        <v>0.0</v>
      </c>
      <c r="V2534" s="238">
        <v>0.0</v>
      </c>
      <c r="W2534" s="238">
        <v>0.0</v>
      </c>
      <c r="X2534" s="235" t="s">
        <v>628</v>
      </c>
      <c r="Z2534" s="244"/>
      <c r="AA2534" s="244"/>
      <c r="AB2534" s="244"/>
      <c r="AC2534" s="235" t="s">
        <v>678</v>
      </c>
      <c r="AD2534" s="235" t="s">
        <v>679</v>
      </c>
      <c r="AE2534" s="238">
        <v>560016.0</v>
      </c>
      <c r="AF2534" s="235" t="s">
        <v>631</v>
      </c>
      <c r="AG2534" s="244"/>
      <c r="AH2534" s="244"/>
      <c r="AI2534" s="245"/>
      <c r="AJ2534" s="245"/>
      <c r="AK2534" s="245"/>
      <c r="AL2534" s="245"/>
      <c r="AM2534" s="244"/>
      <c r="AN2534" s="244"/>
      <c r="AO2534" s="238">
        <v>0.0</v>
      </c>
      <c r="AP2534" s="238">
        <v>0.0</v>
      </c>
      <c r="AQ2534" s="235" t="s">
        <v>632</v>
      </c>
      <c r="AR2534" s="243">
        <v>1.68E11</v>
      </c>
      <c r="AS2534" s="235" t="s">
        <v>19388</v>
      </c>
      <c r="AT2534" s="235" t="s">
        <v>11</v>
      </c>
      <c r="AU2534" s="235" t="s">
        <v>634</v>
      </c>
      <c r="AV2534" s="246" t="s">
        <v>635</v>
      </c>
      <c r="AW2534" s="242"/>
      <c r="AX2534" s="242"/>
      <c r="AY2534" s="231"/>
      <c r="AZ2534" s="231"/>
      <c r="BA2534" s="227"/>
      <c r="BB2534" s="231"/>
      <c r="BC2534" s="227"/>
      <c r="BD2534" s="227"/>
      <c r="BE2534" s="227"/>
      <c r="BF2534" s="227"/>
    </row>
    <row r="2535">
      <c r="A2535" s="235" t="s">
        <v>19389</v>
      </c>
      <c r="C2535" s="235" t="s">
        <v>19390</v>
      </c>
      <c r="D2535" s="235" t="s">
        <v>19391</v>
      </c>
      <c r="E2535" s="243">
        <v>6.53E13</v>
      </c>
      <c r="F2535" s="245"/>
      <c r="G2535" s="235" t="s">
        <v>19392</v>
      </c>
      <c r="H2535" s="235" t="s">
        <v>19393</v>
      </c>
      <c r="I2535" s="235" t="s">
        <v>19393</v>
      </c>
      <c r="J2535" s="235" t="s">
        <v>19394</v>
      </c>
      <c r="K2535" s="235" t="s">
        <v>19395</v>
      </c>
      <c r="N2535" s="235" t="s">
        <v>962</v>
      </c>
      <c r="O2535" s="235" t="s">
        <v>963</v>
      </c>
      <c r="P2535" s="238">
        <v>1.0</v>
      </c>
      <c r="Q2535" s="235" t="s">
        <v>627</v>
      </c>
      <c r="R2535" s="238">
        <v>242.86</v>
      </c>
      <c r="S2535" s="238">
        <v>12.14</v>
      </c>
      <c r="T2535" s="238">
        <v>0.0</v>
      </c>
      <c r="U2535" s="238">
        <v>0.0</v>
      </c>
      <c r="V2535" s="238">
        <v>0.0</v>
      </c>
      <c r="W2535" s="238">
        <v>0.0</v>
      </c>
      <c r="X2535" s="235" t="s">
        <v>628</v>
      </c>
      <c r="Z2535" s="244"/>
      <c r="AA2535" s="244"/>
      <c r="AB2535" s="244"/>
      <c r="AC2535" s="235" t="s">
        <v>678</v>
      </c>
      <c r="AD2535" s="235" t="s">
        <v>679</v>
      </c>
      <c r="AE2535" s="238">
        <v>560102.0</v>
      </c>
      <c r="AF2535" s="235" t="s">
        <v>631</v>
      </c>
      <c r="AG2535" s="244"/>
      <c r="AH2535" s="244"/>
      <c r="AI2535" s="245"/>
      <c r="AJ2535" s="245"/>
      <c r="AK2535" s="245"/>
      <c r="AL2535" s="245"/>
      <c r="AM2535" s="244"/>
      <c r="AN2535" s="244"/>
      <c r="AO2535" s="238">
        <v>0.0</v>
      </c>
      <c r="AP2535" s="238">
        <v>0.0</v>
      </c>
      <c r="AQ2535" s="235" t="s">
        <v>632</v>
      </c>
      <c r="AR2535" s="243">
        <v>1.68E11</v>
      </c>
      <c r="AS2535" s="235" t="s">
        <v>19388</v>
      </c>
      <c r="AT2535" s="235" t="s">
        <v>11</v>
      </c>
      <c r="AU2535" s="235" t="s">
        <v>634</v>
      </c>
      <c r="AV2535" s="246" t="s">
        <v>635</v>
      </c>
      <c r="AW2535" s="242"/>
      <c r="AX2535" s="242"/>
      <c r="AY2535" s="231"/>
      <c r="AZ2535" s="231"/>
      <c r="BA2535" s="227"/>
      <c r="BB2535" s="231"/>
      <c r="BC2535" s="227"/>
      <c r="BD2535" s="227"/>
      <c r="BE2535" s="227"/>
      <c r="BF2535" s="227"/>
    </row>
    <row r="2536">
      <c r="A2536" s="235" t="s">
        <v>19396</v>
      </c>
      <c r="C2536" s="235" t="s">
        <v>19397</v>
      </c>
      <c r="D2536" s="235" t="s">
        <v>19398</v>
      </c>
      <c r="E2536" s="243">
        <v>6.53E13</v>
      </c>
      <c r="F2536" s="245"/>
      <c r="G2536" s="235" t="s">
        <v>19399</v>
      </c>
      <c r="H2536" s="235" t="s">
        <v>19400</v>
      </c>
      <c r="I2536" s="235" t="s">
        <v>19400</v>
      </c>
      <c r="J2536" s="235" t="s">
        <v>19401</v>
      </c>
      <c r="K2536" s="235" t="s">
        <v>19402</v>
      </c>
      <c r="N2536" s="235" t="s">
        <v>842</v>
      </c>
      <c r="O2536" s="235" t="s">
        <v>843</v>
      </c>
      <c r="P2536" s="238">
        <v>1.0</v>
      </c>
      <c r="Q2536" s="235" t="s">
        <v>627</v>
      </c>
      <c r="R2536" s="238">
        <v>270.48</v>
      </c>
      <c r="S2536" s="238">
        <v>13.52</v>
      </c>
      <c r="T2536" s="238">
        <v>0.0</v>
      </c>
      <c r="U2536" s="238">
        <v>0.0</v>
      </c>
      <c r="V2536" s="238">
        <v>0.0</v>
      </c>
      <c r="W2536" s="238">
        <v>0.0</v>
      </c>
      <c r="X2536" s="235" t="s">
        <v>628</v>
      </c>
      <c r="Z2536" s="244"/>
      <c r="AA2536" s="244"/>
      <c r="AB2536" s="244"/>
      <c r="AC2536" s="235" t="s">
        <v>19403</v>
      </c>
      <c r="AD2536" s="235" t="s">
        <v>666</v>
      </c>
      <c r="AE2536" s="238">
        <v>629153.0</v>
      </c>
      <c r="AF2536" s="235" t="s">
        <v>631</v>
      </c>
      <c r="AG2536" s="244"/>
      <c r="AH2536" s="244"/>
      <c r="AI2536" s="245"/>
      <c r="AJ2536" s="245"/>
      <c r="AK2536" s="245"/>
      <c r="AL2536" s="245"/>
      <c r="AM2536" s="244"/>
      <c r="AN2536" s="244"/>
      <c r="AO2536" s="238">
        <v>0.0</v>
      </c>
      <c r="AP2536" s="238">
        <v>0.0</v>
      </c>
      <c r="AQ2536" s="235" t="s">
        <v>632</v>
      </c>
      <c r="AR2536" s="243">
        <v>3.71E11</v>
      </c>
      <c r="AS2536" s="235" t="s">
        <v>16626</v>
      </c>
      <c r="AT2536" s="235" t="s">
        <v>155</v>
      </c>
      <c r="AU2536" s="235" t="s">
        <v>634</v>
      </c>
      <c r="AV2536" s="246" t="s">
        <v>635</v>
      </c>
      <c r="AW2536" s="242"/>
      <c r="AX2536" s="242"/>
      <c r="AY2536" s="231"/>
      <c r="AZ2536" s="231"/>
      <c r="BA2536" s="227"/>
      <c r="BB2536" s="231"/>
      <c r="BC2536" s="227"/>
      <c r="BD2536" s="227"/>
      <c r="BE2536" s="227"/>
      <c r="BF2536" s="227"/>
    </row>
    <row r="2537">
      <c r="A2537" s="235" t="s">
        <v>19404</v>
      </c>
      <c r="C2537" s="235" t="s">
        <v>19405</v>
      </c>
      <c r="D2537" s="235" t="s">
        <v>19406</v>
      </c>
      <c r="E2537" s="243">
        <v>6.53E13</v>
      </c>
      <c r="F2537" s="245"/>
      <c r="G2537" s="235" t="s">
        <v>19407</v>
      </c>
      <c r="H2537" s="235" t="s">
        <v>19408</v>
      </c>
      <c r="I2537" s="235" t="s">
        <v>19408</v>
      </c>
      <c r="J2537" s="235" t="s">
        <v>19409</v>
      </c>
      <c r="K2537" s="235" t="s">
        <v>19410</v>
      </c>
      <c r="N2537" s="235" t="s">
        <v>138</v>
      </c>
      <c r="O2537" s="235" t="s">
        <v>675</v>
      </c>
      <c r="P2537" s="238">
        <v>1.0</v>
      </c>
      <c r="Q2537" s="235" t="s">
        <v>627</v>
      </c>
      <c r="R2537" s="238">
        <v>270.48</v>
      </c>
      <c r="S2537" s="238">
        <v>13.25</v>
      </c>
      <c r="T2537" s="238">
        <v>0.0</v>
      </c>
      <c r="U2537" s="238">
        <v>0.0</v>
      </c>
      <c r="V2537" s="238">
        <v>0.0</v>
      </c>
      <c r="W2537" s="238">
        <v>0.0</v>
      </c>
      <c r="X2537" s="235" t="s">
        <v>628</v>
      </c>
      <c r="Z2537" s="244"/>
      <c r="AA2537" s="244"/>
      <c r="AB2537" s="244"/>
      <c r="AC2537" s="235" t="s">
        <v>1887</v>
      </c>
      <c r="AD2537" s="235" t="s">
        <v>679</v>
      </c>
      <c r="AE2537" s="238">
        <v>560087.0</v>
      </c>
      <c r="AF2537" s="235" t="s">
        <v>631</v>
      </c>
      <c r="AG2537" s="244"/>
      <c r="AH2537" s="244"/>
      <c r="AI2537" s="245"/>
      <c r="AJ2537" s="245"/>
      <c r="AK2537" s="245"/>
      <c r="AL2537" s="245"/>
      <c r="AM2537" s="244"/>
      <c r="AN2537" s="244"/>
      <c r="AO2537" s="238">
        <v>-5.41</v>
      </c>
      <c r="AP2537" s="238">
        <v>0.0</v>
      </c>
      <c r="AQ2537" s="235" t="s">
        <v>632</v>
      </c>
      <c r="AR2537" s="243">
        <v>3.71E11</v>
      </c>
      <c r="AS2537" s="235" t="s">
        <v>17988</v>
      </c>
      <c r="AT2537" s="235" t="s">
        <v>9</v>
      </c>
      <c r="AU2537" s="235" t="s">
        <v>634</v>
      </c>
      <c r="AV2537" s="246" t="s">
        <v>635</v>
      </c>
      <c r="AW2537" s="242"/>
      <c r="AX2537" s="242"/>
      <c r="AY2537" s="231"/>
      <c r="AZ2537" s="231"/>
      <c r="BA2537" s="227"/>
      <c r="BB2537" s="231"/>
      <c r="BC2537" s="227"/>
      <c r="BD2537" s="227"/>
      <c r="BE2537" s="227"/>
      <c r="BF2537" s="227"/>
    </row>
    <row r="2538">
      <c r="A2538" s="235" t="s">
        <v>19411</v>
      </c>
      <c r="C2538" s="235" t="s">
        <v>19412</v>
      </c>
      <c r="D2538" s="235" t="s">
        <v>19413</v>
      </c>
      <c r="E2538" s="243">
        <v>6.53E13</v>
      </c>
      <c r="F2538" s="245"/>
      <c r="G2538" s="235" t="s">
        <v>19414</v>
      </c>
      <c r="H2538" s="235" t="s">
        <v>19415</v>
      </c>
      <c r="I2538" s="235" t="s">
        <v>19415</v>
      </c>
      <c r="J2538" s="235" t="s">
        <v>19416</v>
      </c>
      <c r="K2538" s="235" t="s">
        <v>19417</v>
      </c>
      <c r="N2538" s="235" t="s">
        <v>85</v>
      </c>
      <c r="O2538" s="235" t="s">
        <v>872</v>
      </c>
      <c r="P2538" s="238">
        <v>1.0</v>
      </c>
      <c r="Q2538" s="235" t="s">
        <v>627</v>
      </c>
      <c r="R2538" s="238">
        <v>270.48</v>
      </c>
      <c r="S2538" s="238">
        <v>13.25</v>
      </c>
      <c r="T2538" s="238">
        <v>38.1</v>
      </c>
      <c r="U2538" s="238">
        <v>1.9</v>
      </c>
      <c r="V2538" s="238">
        <v>0.0</v>
      </c>
      <c r="W2538" s="238">
        <v>0.0</v>
      </c>
      <c r="X2538" s="235" t="s">
        <v>628</v>
      </c>
      <c r="Z2538" s="244"/>
      <c r="AA2538" s="244"/>
      <c r="AB2538" s="244"/>
      <c r="AC2538" s="235" t="s">
        <v>19418</v>
      </c>
      <c r="AD2538" s="235" t="s">
        <v>630</v>
      </c>
      <c r="AE2538" s="238">
        <v>209801.0</v>
      </c>
      <c r="AF2538" s="235" t="s">
        <v>631</v>
      </c>
      <c r="AG2538" s="244"/>
      <c r="AH2538" s="244"/>
      <c r="AI2538" s="245"/>
      <c r="AJ2538" s="245"/>
      <c r="AK2538" s="245"/>
      <c r="AL2538" s="245"/>
      <c r="AM2538" s="244"/>
      <c r="AN2538" s="244"/>
      <c r="AO2538" s="238">
        <v>-5.41</v>
      </c>
      <c r="AP2538" s="238">
        <v>-38.1</v>
      </c>
      <c r="AQ2538" s="235" t="s">
        <v>632</v>
      </c>
      <c r="AR2538" s="243">
        <v>3.71E11</v>
      </c>
      <c r="AS2538" s="235" t="s">
        <v>15064</v>
      </c>
      <c r="AT2538" s="235" t="s">
        <v>14</v>
      </c>
      <c r="AU2538" s="235" t="s">
        <v>634</v>
      </c>
      <c r="AV2538" s="246" t="s">
        <v>635</v>
      </c>
      <c r="AW2538" s="242"/>
      <c r="AX2538" s="242"/>
      <c r="AY2538" s="231"/>
      <c r="AZ2538" s="231"/>
      <c r="BA2538" s="227"/>
      <c r="BB2538" s="231"/>
      <c r="BC2538" s="227"/>
      <c r="BD2538" s="227"/>
      <c r="BE2538" s="227"/>
      <c r="BF2538" s="227"/>
    </row>
    <row r="2539">
      <c r="A2539" s="235" t="s">
        <v>19419</v>
      </c>
      <c r="C2539" s="235" t="s">
        <v>19420</v>
      </c>
      <c r="D2539" s="235" t="s">
        <v>19421</v>
      </c>
      <c r="E2539" s="243">
        <v>6.53E13</v>
      </c>
      <c r="F2539" s="245"/>
      <c r="G2539" s="235" t="s">
        <v>19422</v>
      </c>
      <c r="H2539" s="235" t="s">
        <v>19423</v>
      </c>
      <c r="I2539" s="235" t="s">
        <v>19423</v>
      </c>
      <c r="J2539" s="235" t="s">
        <v>19293</v>
      </c>
      <c r="K2539" s="235" t="s">
        <v>19424</v>
      </c>
      <c r="N2539" s="235" t="s">
        <v>136</v>
      </c>
      <c r="O2539" s="235" t="s">
        <v>256</v>
      </c>
      <c r="P2539" s="238">
        <v>1.0</v>
      </c>
      <c r="Q2539" s="235" t="s">
        <v>627</v>
      </c>
      <c r="R2539" s="238">
        <v>270.48</v>
      </c>
      <c r="S2539" s="238">
        <v>13.25</v>
      </c>
      <c r="T2539" s="238">
        <v>0.0</v>
      </c>
      <c r="U2539" s="238">
        <v>0.0</v>
      </c>
      <c r="V2539" s="238">
        <v>0.0</v>
      </c>
      <c r="W2539" s="238">
        <v>0.0</v>
      </c>
      <c r="X2539" s="235" t="s">
        <v>628</v>
      </c>
      <c r="Z2539" s="244"/>
      <c r="AA2539" s="244"/>
      <c r="AB2539" s="244"/>
      <c r="AC2539" s="235" t="s">
        <v>697</v>
      </c>
      <c r="AD2539" s="235" t="s">
        <v>698</v>
      </c>
      <c r="AE2539" s="238">
        <v>500049.0</v>
      </c>
      <c r="AF2539" s="235" t="s">
        <v>631</v>
      </c>
      <c r="AG2539" s="244"/>
      <c r="AH2539" s="244"/>
      <c r="AI2539" s="245"/>
      <c r="AJ2539" s="245"/>
      <c r="AK2539" s="245"/>
      <c r="AL2539" s="245"/>
      <c r="AM2539" s="244"/>
      <c r="AN2539" s="244"/>
      <c r="AO2539" s="238">
        <v>-5.41</v>
      </c>
      <c r="AP2539" s="238">
        <v>0.0</v>
      </c>
      <c r="AQ2539" s="235" t="s">
        <v>632</v>
      </c>
      <c r="AR2539" s="243">
        <v>2.02E11</v>
      </c>
      <c r="AS2539" s="235" t="s">
        <v>17988</v>
      </c>
      <c r="AT2539" s="235" t="s">
        <v>5</v>
      </c>
      <c r="AU2539" s="235" t="s">
        <v>634</v>
      </c>
      <c r="AV2539" s="246" t="s">
        <v>635</v>
      </c>
      <c r="AW2539" s="242"/>
      <c r="AX2539" s="242"/>
      <c r="AY2539" s="231"/>
      <c r="AZ2539" s="231"/>
      <c r="BA2539" s="227"/>
      <c r="BB2539" s="231"/>
      <c r="BC2539" s="227"/>
      <c r="BD2539" s="227"/>
      <c r="BE2539" s="227"/>
      <c r="BF2539" s="227"/>
    </row>
    <row r="2540">
      <c r="A2540" s="235" t="s">
        <v>19425</v>
      </c>
      <c r="C2540" s="235" t="s">
        <v>19426</v>
      </c>
      <c r="D2540" s="235" t="s">
        <v>19427</v>
      </c>
      <c r="E2540" s="243">
        <v>6.53E13</v>
      </c>
      <c r="F2540" s="245"/>
      <c r="G2540" s="235" t="s">
        <v>19428</v>
      </c>
      <c r="H2540" s="235" t="s">
        <v>19429</v>
      </c>
      <c r="I2540" s="235" t="s">
        <v>19429</v>
      </c>
      <c r="J2540" s="235" t="s">
        <v>19430</v>
      </c>
      <c r="K2540" s="235" t="s">
        <v>19431</v>
      </c>
      <c r="N2540" s="235" t="s">
        <v>82</v>
      </c>
      <c r="O2540" s="235" t="s">
        <v>889</v>
      </c>
      <c r="P2540" s="238">
        <v>1.0</v>
      </c>
      <c r="Q2540" s="235" t="s">
        <v>627</v>
      </c>
      <c r="R2540" s="238">
        <v>233.33</v>
      </c>
      <c r="S2540" s="238">
        <v>11.67</v>
      </c>
      <c r="T2540" s="238">
        <v>38.1</v>
      </c>
      <c r="U2540" s="238">
        <v>1.9</v>
      </c>
      <c r="V2540" s="238">
        <v>0.0</v>
      </c>
      <c r="W2540" s="238">
        <v>0.0</v>
      </c>
      <c r="X2540" s="235" t="s">
        <v>628</v>
      </c>
      <c r="Z2540" s="244"/>
      <c r="AA2540" s="244"/>
      <c r="AB2540" s="244"/>
      <c r="AC2540" s="235" t="s">
        <v>17649</v>
      </c>
      <c r="AD2540" s="235" t="s">
        <v>917</v>
      </c>
      <c r="AE2540" s="238">
        <v>304804.0</v>
      </c>
      <c r="AF2540" s="235" t="s">
        <v>631</v>
      </c>
      <c r="AG2540" s="244"/>
      <c r="AH2540" s="244"/>
      <c r="AI2540" s="245"/>
      <c r="AJ2540" s="245"/>
      <c r="AK2540" s="245"/>
      <c r="AL2540" s="245"/>
      <c r="AM2540" s="244"/>
      <c r="AN2540" s="244"/>
      <c r="AO2540" s="238">
        <v>0.0</v>
      </c>
      <c r="AP2540" s="238">
        <v>-38.1</v>
      </c>
      <c r="AQ2540" s="235" t="s">
        <v>632</v>
      </c>
      <c r="AR2540" s="243">
        <v>3.71E11</v>
      </c>
      <c r="AS2540" s="235" t="s">
        <v>16626</v>
      </c>
      <c r="AT2540" s="235" t="s">
        <v>14</v>
      </c>
      <c r="AU2540" s="235" t="s">
        <v>634</v>
      </c>
      <c r="AV2540" s="246" t="s">
        <v>635</v>
      </c>
      <c r="AW2540" s="242"/>
      <c r="AX2540" s="242"/>
      <c r="AY2540" s="231"/>
      <c r="AZ2540" s="231"/>
      <c r="BA2540" s="227"/>
      <c r="BB2540" s="231"/>
      <c r="BC2540" s="227"/>
      <c r="BD2540" s="227"/>
      <c r="BE2540" s="227"/>
      <c r="BF2540" s="227"/>
    </row>
    <row r="2541">
      <c r="A2541" s="235" t="s">
        <v>19432</v>
      </c>
      <c r="C2541" s="235" t="s">
        <v>19433</v>
      </c>
      <c r="D2541" s="235" t="s">
        <v>19434</v>
      </c>
      <c r="E2541" s="243">
        <v>6.53E13</v>
      </c>
      <c r="F2541" s="245"/>
      <c r="G2541" s="235" t="s">
        <v>19435</v>
      </c>
      <c r="H2541" s="235" t="s">
        <v>19436</v>
      </c>
      <c r="I2541" s="235" t="s">
        <v>19436</v>
      </c>
      <c r="J2541" s="235" t="s">
        <v>19437</v>
      </c>
      <c r="K2541" s="235" t="s">
        <v>19438</v>
      </c>
      <c r="N2541" s="235" t="s">
        <v>106</v>
      </c>
      <c r="O2541" s="235" t="s">
        <v>338</v>
      </c>
      <c r="P2541" s="238">
        <v>1.0</v>
      </c>
      <c r="Q2541" s="235" t="s">
        <v>627</v>
      </c>
      <c r="R2541" s="238">
        <v>270.48</v>
      </c>
      <c r="S2541" s="238">
        <v>13.25</v>
      </c>
      <c r="T2541" s="238">
        <v>0.0</v>
      </c>
      <c r="U2541" s="238">
        <v>0.0</v>
      </c>
      <c r="V2541" s="238">
        <v>0.0</v>
      </c>
      <c r="W2541" s="238">
        <v>0.0</v>
      </c>
      <c r="X2541" s="235" t="s">
        <v>628</v>
      </c>
      <c r="Z2541" s="244"/>
      <c r="AA2541" s="244"/>
      <c r="AB2541" s="244"/>
      <c r="AC2541" s="235" t="s">
        <v>678</v>
      </c>
      <c r="AD2541" s="235" t="s">
        <v>679</v>
      </c>
      <c r="AE2541" s="238">
        <v>562149.0</v>
      </c>
      <c r="AF2541" s="235" t="s">
        <v>631</v>
      </c>
      <c r="AG2541" s="244"/>
      <c r="AH2541" s="244"/>
      <c r="AI2541" s="245"/>
      <c r="AJ2541" s="245"/>
      <c r="AK2541" s="245"/>
      <c r="AL2541" s="245"/>
      <c r="AM2541" s="244"/>
      <c r="AN2541" s="244"/>
      <c r="AO2541" s="238">
        <v>-5.41</v>
      </c>
      <c r="AP2541" s="238">
        <v>0.0</v>
      </c>
      <c r="AQ2541" s="235" t="s">
        <v>632</v>
      </c>
      <c r="AR2541" s="243">
        <v>3.71E11</v>
      </c>
      <c r="AS2541" s="235" t="s">
        <v>16626</v>
      </c>
      <c r="AT2541" s="235" t="s">
        <v>156</v>
      </c>
      <c r="AU2541" s="235" t="s">
        <v>634</v>
      </c>
      <c r="AV2541" s="246" t="s">
        <v>635</v>
      </c>
      <c r="AW2541" s="242"/>
      <c r="AX2541" s="242"/>
      <c r="AY2541" s="231"/>
      <c r="AZ2541" s="231"/>
      <c r="BA2541" s="227"/>
      <c r="BB2541" s="231"/>
      <c r="BC2541" s="227"/>
      <c r="BD2541" s="227"/>
      <c r="BE2541" s="227"/>
      <c r="BF2541" s="227"/>
    </row>
    <row r="2542">
      <c r="A2542" s="235" t="s">
        <v>19439</v>
      </c>
      <c r="C2542" s="235" t="s">
        <v>19440</v>
      </c>
      <c r="D2542" s="235" t="s">
        <v>19441</v>
      </c>
      <c r="E2542" s="243">
        <v>6.53E13</v>
      </c>
      <c r="F2542" s="245"/>
      <c r="G2542" s="235" t="s">
        <v>19442</v>
      </c>
      <c r="H2542" s="235" t="s">
        <v>19443</v>
      </c>
      <c r="I2542" s="235" t="s">
        <v>19443</v>
      </c>
      <c r="J2542" s="235" t="s">
        <v>19444</v>
      </c>
      <c r="K2542" s="235" t="s">
        <v>19445</v>
      </c>
      <c r="N2542" s="235" t="s">
        <v>3858</v>
      </c>
      <c r="O2542" s="235" t="s">
        <v>3859</v>
      </c>
      <c r="P2542" s="238">
        <v>1.0</v>
      </c>
      <c r="Q2542" s="235" t="s">
        <v>627</v>
      </c>
      <c r="R2542" s="238">
        <v>245.71</v>
      </c>
      <c r="S2542" s="238">
        <v>12.29</v>
      </c>
      <c r="T2542" s="238">
        <v>0.0</v>
      </c>
      <c r="U2542" s="238">
        <v>0.0</v>
      </c>
      <c r="V2542" s="238">
        <v>0.0</v>
      </c>
      <c r="W2542" s="238">
        <v>0.0</v>
      </c>
      <c r="X2542" s="235" t="s">
        <v>628</v>
      </c>
      <c r="Z2542" s="244"/>
      <c r="AA2542" s="244"/>
      <c r="AB2542" s="244"/>
      <c r="AC2542" s="235" t="s">
        <v>697</v>
      </c>
      <c r="AD2542" s="235" t="s">
        <v>698</v>
      </c>
      <c r="AE2542" s="238">
        <v>500013.0</v>
      </c>
      <c r="AF2542" s="235" t="s">
        <v>631</v>
      </c>
      <c r="AG2542" s="244"/>
      <c r="AH2542" s="244"/>
      <c r="AI2542" s="245"/>
      <c r="AJ2542" s="245"/>
      <c r="AK2542" s="245"/>
      <c r="AL2542" s="245"/>
      <c r="AM2542" s="244"/>
      <c r="AN2542" s="244"/>
      <c r="AO2542" s="238">
        <v>0.0</v>
      </c>
      <c r="AP2542" s="238">
        <v>0.0</v>
      </c>
      <c r="AQ2542" s="235" t="s">
        <v>632</v>
      </c>
      <c r="AR2542" s="243">
        <v>2.02E11</v>
      </c>
      <c r="AS2542" s="235" t="s">
        <v>17988</v>
      </c>
      <c r="AT2542" s="235" t="s">
        <v>5</v>
      </c>
      <c r="AU2542" s="235" t="s">
        <v>634</v>
      </c>
      <c r="AV2542" s="246" t="s">
        <v>635</v>
      </c>
      <c r="AW2542" s="242"/>
      <c r="AX2542" s="242"/>
      <c r="AY2542" s="231"/>
      <c r="AZ2542" s="231"/>
      <c r="BA2542" s="227"/>
      <c r="BB2542" s="231"/>
      <c r="BC2542" s="227"/>
      <c r="BD2542" s="227"/>
      <c r="BE2542" s="227"/>
      <c r="BF2542" s="227"/>
    </row>
    <row r="2543">
      <c r="A2543" s="235" t="s">
        <v>19446</v>
      </c>
      <c r="C2543" s="235" t="s">
        <v>19447</v>
      </c>
      <c r="D2543" s="235" t="s">
        <v>19448</v>
      </c>
      <c r="E2543" s="243">
        <v>6.53E13</v>
      </c>
      <c r="F2543" s="245"/>
      <c r="G2543" s="235" t="s">
        <v>19449</v>
      </c>
      <c r="H2543" s="235" t="s">
        <v>19450</v>
      </c>
      <c r="I2543" s="235" t="s">
        <v>19450</v>
      </c>
      <c r="J2543" s="235" t="s">
        <v>19451</v>
      </c>
      <c r="K2543" s="235" t="s">
        <v>19452</v>
      </c>
      <c r="N2543" s="235" t="s">
        <v>144</v>
      </c>
      <c r="O2543" s="235" t="s">
        <v>232</v>
      </c>
      <c r="P2543" s="238">
        <v>1.0</v>
      </c>
      <c r="Q2543" s="235" t="s">
        <v>627</v>
      </c>
      <c r="R2543" s="238">
        <v>808.57</v>
      </c>
      <c r="S2543" s="238">
        <v>40.43</v>
      </c>
      <c r="T2543" s="238">
        <v>0.0</v>
      </c>
      <c r="U2543" s="238">
        <v>0.0</v>
      </c>
      <c r="V2543" s="238">
        <v>0.0</v>
      </c>
      <c r="W2543" s="238">
        <v>0.0</v>
      </c>
      <c r="X2543" s="235" t="s">
        <v>628</v>
      </c>
      <c r="Z2543" s="244"/>
      <c r="AA2543" s="244"/>
      <c r="AB2543" s="244"/>
      <c r="AC2543" s="235" t="s">
        <v>814</v>
      </c>
      <c r="AD2543" s="235" t="s">
        <v>698</v>
      </c>
      <c r="AE2543" s="238">
        <v>500079.0</v>
      </c>
      <c r="AF2543" s="235" t="s">
        <v>631</v>
      </c>
      <c r="AG2543" s="244"/>
      <c r="AH2543" s="244"/>
      <c r="AI2543" s="245"/>
      <c r="AJ2543" s="245"/>
      <c r="AK2543" s="245"/>
      <c r="AL2543" s="245"/>
      <c r="AM2543" s="244"/>
      <c r="AN2543" s="244"/>
      <c r="AO2543" s="238">
        <v>0.0</v>
      </c>
      <c r="AP2543" s="238">
        <v>0.0</v>
      </c>
      <c r="AQ2543" s="235" t="s">
        <v>632</v>
      </c>
      <c r="AR2543" s="243">
        <v>1.68E11</v>
      </c>
      <c r="AS2543" s="235" t="s">
        <v>17988</v>
      </c>
      <c r="AT2543" s="235" t="s">
        <v>9</v>
      </c>
      <c r="AU2543" s="235" t="s">
        <v>634</v>
      </c>
      <c r="AV2543" s="246" t="s">
        <v>635</v>
      </c>
      <c r="AW2543" s="242"/>
      <c r="AX2543" s="242"/>
      <c r="AY2543" s="231"/>
      <c r="AZ2543" s="231"/>
      <c r="BA2543" s="227"/>
      <c r="BB2543" s="231"/>
      <c r="BC2543" s="227"/>
      <c r="BD2543" s="227"/>
      <c r="BE2543" s="227"/>
      <c r="BF2543" s="227"/>
    </row>
    <row r="2544">
      <c r="A2544" s="235" t="s">
        <v>19453</v>
      </c>
      <c r="C2544" s="235" t="s">
        <v>19454</v>
      </c>
      <c r="D2544" s="235" t="s">
        <v>19455</v>
      </c>
      <c r="E2544" s="243">
        <v>6.53E13</v>
      </c>
      <c r="F2544" s="245"/>
      <c r="G2544" s="235" t="s">
        <v>19456</v>
      </c>
      <c r="H2544" s="235" t="s">
        <v>19457</v>
      </c>
      <c r="I2544" s="235" t="s">
        <v>19458</v>
      </c>
      <c r="J2544" s="235" t="s">
        <v>19459</v>
      </c>
      <c r="K2544" s="235" t="s">
        <v>19460</v>
      </c>
      <c r="N2544" s="235" t="s">
        <v>29</v>
      </c>
      <c r="O2544" s="235" t="s">
        <v>677</v>
      </c>
      <c r="P2544" s="238">
        <v>1.0</v>
      </c>
      <c r="Q2544" s="235" t="s">
        <v>627</v>
      </c>
      <c r="R2544" s="238">
        <v>475.24</v>
      </c>
      <c r="S2544" s="238">
        <v>23.76</v>
      </c>
      <c r="T2544" s="238">
        <v>0.0</v>
      </c>
      <c r="U2544" s="238">
        <v>0.0</v>
      </c>
      <c r="V2544" s="238">
        <v>0.0</v>
      </c>
      <c r="W2544" s="238">
        <v>0.0</v>
      </c>
      <c r="X2544" s="235" t="s">
        <v>628</v>
      </c>
      <c r="Z2544" s="244"/>
      <c r="AA2544" s="244"/>
      <c r="AB2544" s="244"/>
      <c r="AC2544" s="235" t="s">
        <v>1475</v>
      </c>
      <c r="AD2544" s="235" t="s">
        <v>796</v>
      </c>
      <c r="AE2544" s="238">
        <v>110017.0</v>
      </c>
      <c r="AF2544" s="235" t="s">
        <v>631</v>
      </c>
      <c r="AG2544" s="244"/>
      <c r="AH2544" s="244"/>
      <c r="AI2544" s="245"/>
      <c r="AJ2544" s="245"/>
      <c r="AK2544" s="245"/>
      <c r="AL2544" s="245"/>
      <c r="AM2544" s="244"/>
      <c r="AN2544" s="244"/>
      <c r="AO2544" s="238">
        <v>0.0</v>
      </c>
      <c r="AP2544" s="238">
        <v>0.0</v>
      </c>
      <c r="AQ2544" s="235" t="s">
        <v>632</v>
      </c>
      <c r="AR2544" s="243">
        <v>3.71E11</v>
      </c>
      <c r="AS2544" s="235" t="s">
        <v>17988</v>
      </c>
      <c r="AT2544" s="235" t="s">
        <v>14</v>
      </c>
      <c r="AU2544" s="235" t="s">
        <v>634</v>
      </c>
      <c r="AV2544" s="246" t="s">
        <v>635</v>
      </c>
      <c r="AW2544" s="242"/>
      <c r="AX2544" s="242"/>
      <c r="AY2544" s="231"/>
      <c r="AZ2544" s="231"/>
      <c r="BA2544" s="227"/>
      <c r="BB2544" s="231"/>
      <c r="BC2544" s="227"/>
      <c r="BD2544" s="227"/>
      <c r="BE2544" s="227"/>
      <c r="BF2544" s="227"/>
    </row>
    <row r="2545">
      <c r="A2545" s="235" t="s">
        <v>19461</v>
      </c>
      <c r="C2545" s="235" t="s">
        <v>19462</v>
      </c>
      <c r="D2545" s="235" t="s">
        <v>19463</v>
      </c>
      <c r="E2545" s="243">
        <v>6.53E13</v>
      </c>
      <c r="F2545" s="245"/>
      <c r="G2545" s="235" t="s">
        <v>19464</v>
      </c>
      <c r="H2545" s="235" t="s">
        <v>19465</v>
      </c>
      <c r="I2545" s="235" t="s">
        <v>19466</v>
      </c>
      <c r="J2545" s="235" t="s">
        <v>19467</v>
      </c>
      <c r="K2545" s="235" t="s">
        <v>19468</v>
      </c>
      <c r="N2545" s="235" t="s">
        <v>127</v>
      </c>
      <c r="O2545" s="235" t="s">
        <v>794</v>
      </c>
      <c r="P2545" s="238">
        <v>1.0</v>
      </c>
      <c r="Q2545" s="235" t="s">
        <v>627</v>
      </c>
      <c r="R2545" s="238">
        <v>270.48</v>
      </c>
      <c r="S2545" s="238">
        <v>13.52</v>
      </c>
      <c r="T2545" s="238">
        <v>0.0</v>
      </c>
      <c r="U2545" s="238">
        <v>0.0</v>
      </c>
      <c r="V2545" s="238">
        <v>0.0</v>
      </c>
      <c r="W2545" s="238">
        <v>0.0</v>
      </c>
      <c r="X2545" s="235" t="s">
        <v>628</v>
      </c>
      <c r="Z2545" s="244"/>
      <c r="AA2545" s="244"/>
      <c r="AB2545" s="244"/>
      <c r="AC2545" s="235" t="s">
        <v>687</v>
      </c>
      <c r="AD2545" s="235" t="s">
        <v>666</v>
      </c>
      <c r="AE2545" s="238">
        <v>600010.0</v>
      </c>
      <c r="AF2545" s="235" t="s">
        <v>631</v>
      </c>
      <c r="AG2545" s="244"/>
      <c r="AH2545" s="244"/>
      <c r="AI2545" s="245"/>
      <c r="AJ2545" s="245"/>
      <c r="AK2545" s="245"/>
      <c r="AL2545" s="245"/>
      <c r="AM2545" s="244"/>
      <c r="AN2545" s="244"/>
      <c r="AO2545" s="238">
        <v>0.0</v>
      </c>
      <c r="AP2545" s="238">
        <v>0.0</v>
      </c>
      <c r="AQ2545" s="235" t="s">
        <v>632</v>
      </c>
      <c r="AR2545" s="243">
        <v>1.68E11</v>
      </c>
      <c r="AS2545" s="235" t="s">
        <v>19388</v>
      </c>
      <c r="AT2545" s="235" t="s">
        <v>156</v>
      </c>
      <c r="AU2545" s="235" t="s">
        <v>634</v>
      </c>
      <c r="AV2545" s="246" t="s">
        <v>635</v>
      </c>
      <c r="AW2545" s="242"/>
      <c r="AX2545" s="242"/>
      <c r="AY2545" s="231"/>
      <c r="AZ2545" s="231"/>
      <c r="BA2545" s="227"/>
      <c r="BB2545" s="231"/>
      <c r="BC2545" s="227"/>
      <c r="BD2545" s="227"/>
      <c r="BE2545" s="227"/>
      <c r="BF2545" s="227"/>
    </row>
    <row r="2546">
      <c r="A2546" s="235" t="s">
        <v>19469</v>
      </c>
      <c r="C2546" s="235" t="s">
        <v>19470</v>
      </c>
      <c r="D2546" s="235" t="s">
        <v>19471</v>
      </c>
      <c r="E2546" s="243">
        <v>6.53E13</v>
      </c>
      <c r="F2546" s="245"/>
      <c r="G2546" s="235" t="s">
        <v>19472</v>
      </c>
      <c r="H2546" s="235" t="s">
        <v>19473</v>
      </c>
      <c r="I2546" s="235" t="s">
        <v>19474</v>
      </c>
      <c r="J2546" s="235" t="s">
        <v>19475</v>
      </c>
      <c r="K2546" s="235" t="s">
        <v>19476</v>
      </c>
      <c r="N2546" s="235" t="s">
        <v>43</v>
      </c>
      <c r="O2546" s="235" t="s">
        <v>276</v>
      </c>
      <c r="P2546" s="238">
        <v>1.0</v>
      </c>
      <c r="Q2546" s="235" t="s">
        <v>627</v>
      </c>
      <c r="R2546" s="238">
        <v>270.48</v>
      </c>
      <c r="S2546" s="238">
        <v>13.52</v>
      </c>
      <c r="T2546" s="238">
        <v>0.0</v>
      </c>
      <c r="U2546" s="238">
        <v>0.0</v>
      </c>
      <c r="V2546" s="238">
        <v>0.0</v>
      </c>
      <c r="W2546" s="238">
        <v>0.0</v>
      </c>
      <c r="X2546" s="235" t="s">
        <v>628</v>
      </c>
      <c r="Z2546" s="244"/>
      <c r="AA2546" s="244"/>
      <c r="AB2546" s="244"/>
      <c r="AC2546" s="235" t="s">
        <v>687</v>
      </c>
      <c r="AD2546" s="235" t="s">
        <v>666</v>
      </c>
      <c r="AE2546" s="238">
        <v>600100.0</v>
      </c>
      <c r="AF2546" s="235" t="s">
        <v>631</v>
      </c>
      <c r="AG2546" s="244"/>
      <c r="AH2546" s="244"/>
      <c r="AI2546" s="245"/>
      <c r="AJ2546" s="245"/>
      <c r="AK2546" s="245"/>
      <c r="AL2546" s="245"/>
      <c r="AM2546" s="244"/>
      <c r="AN2546" s="244"/>
      <c r="AO2546" s="238">
        <v>0.0</v>
      </c>
      <c r="AP2546" s="238">
        <v>0.0</v>
      </c>
      <c r="AQ2546" s="235" t="s">
        <v>632</v>
      </c>
      <c r="AR2546" s="243">
        <v>3.71E11</v>
      </c>
      <c r="AS2546" s="235" t="s">
        <v>17988</v>
      </c>
      <c r="AT2546" s="235" t="s">
        <v>156</v>
      </c>
      <c r="AU2546" s="235" t="s">
        <v>634</v>
      </c>
      <c r="AV2546" s="246" t="s">
        <v>635</v>
      </c>
      <c r="AW2546" s="242"/>
      <c r="AX2546" s="242"/>
      <c r="AY2546" s="231"/>
      <c r="AZ2546" s="231"/>
      <c r="BA2546" s="227"/>
      <c r="BB2546" s="231"/>
      <c r="BC2546" s="227"/>
      <c r="BD2546" s="227"/>
      <c r="BE2546" s="227"/>
      <c r="BF2546" s="227"/>
    </row>
    <row r="2547">
      <c r="A2547" s="235" t="s">
        <v>19477</v>
      </c>
      <c r="C2547" s="235" t="s">
        <v>19478</v>
      </c>
      <c r="D2547" s="235" t="s">
        <v>19479</v>
      </c>
      <c r="E2547" s="243">
        <v>6.53E13</v>
      </c>
      <c r="F2547" s="245"/>
      <c r="G2547" s="235" t="s">
        <v>19480</v>
      </c>
      <c r="H2547" s="235" t="s">
        <v>19481</v>
      </c>
      <c r="I2547" s="235" t="s">
        <v>19481</v>
      </c>
      <c r="J2547" s="235" t="s">
        <v>19482</v>
      </c>
      <c r="K2547" s="235" t="s">
        <v>19483</v>
      </c>
      <c r="N2547" s="235" t="s">
        <v>42</v>
      </c>
      <c r="O2547" s="235" t="s">
        <v>204</v>
      </c>
      <c r="P2547" s="238">
        <v>1.0</v>
      </c>
      <c r="Q2547" s="235" t="s">
        <v>627</v>
      </c>
      <c r="R2547" s="238">
        <v>270.48</v>
      </c>
      <c r="S2547" s="238">
        <v>13.25</v>
      </c>
      <c r="T2547" s="238">
        <v>0.0</v>
      </c>
      <c r="U2547" s="238">
        <v>0.0</v>
      </c>
      <c r="V2547" s="238">
        <v>0.0</v>
      </c>
      <c r="W2547" s="238">
        <v>0.0</v>
      </c>
      <c r="X2547" s="235" t="s">
        <v>628</v>
      </c>
      <c r="Z2547" s="244"/>
      <c r="AA2547" s="244"/>
      <c r="AB2547" s="244"/>
      <c r="AC2547" s="235" t="s">
        <v>19484</v>
      </c>
      <c r="AD2547" s="235" t="s">
        <v>666</v>
      </c>
      <c r="AE2547" s="238">
        <v>600126.0</v>
      </c>
      <c r="AF2547" s="235" t="s">
        <v>631</v>
      </c>
      <c r="AG2547" s="244"/>
      <c r="AH2547" s="244"/>
      <c r="AI2547" s="245"/>
      <c r="AJ2547" s="245"/>
      <c r="AK2547" s="245"/>
      <c r="AL2547" s="245"/>
      <c r="AM2547" s="244"/>
      <c r="AN2547" s="244"/>
      <c r="AO2547" s="238">
        <v>-5.41</v>
      </c>
      <c r="AP2547" s="238">
        <v>0.0</v>
      </c>
      <c r="AQ2547" s="235" t="s">
        <v>632</v>
      </c>
      <c r="AR2547" s="243">
        <v>3.71E11</v>
      </c>
      <c r="AS2547" s="235" t="s">
        <v>17988</v>
      </c>
      <c r="AT2547" s="235" t="s">
        <v>156</v>
      </c>
      <c r="AU2547" s="235" t="s">
        <v>634</v>
      </c>
      <c r="AV2547" s="246" t="s">
        <v>635</v>
      </c>
      <c r="AW2547" s="242"/>
      <c r="AX2547" s="242"/>
      <c r="AY2547" s="231"/>
      <c r="AZ2547" s="231"/>
      <c r="BA2547" s="227"/>
      <c r="BB2547" s="231"/>
      <c r="BC2547" s="227"/>
      <c r="BD2547" s="227"/>
      <c r="BE2547" s="227"/>
      <c r="BF2547" s="227"/>
    </row>
    <row r="2548">
      <c r="A2548" s="235" t="s">
        <v>19485</v>
      </c>
      <c r="C2548" s="235" t="s">
        <v>19486</v>
      </c>
      <c r="D2548" s="235" t="s">
        <v>19487</v>
      </c>
      <c r="E2548" s="243">
        <v>6.53E13</v>
      </c>
      <c r="F2548" s="245"/>
      <c r="G2548" s="235" t="s">
        <v>19488</v>
      </c>
      <c r="H2548" s="235" t="s">
        <v>19489</v>
      </c>
      <c r="I2548" s="235" t="s">
        <v>19489</v>
      </c>
      <c r="J2548" s="235" t="s">
        <v>19490</v>
      </c>
      <c r="K2548" s="235" t="s">
        <v>19491</v>
      </c>
      <c r="N2548" s="235" t="s">
        <v>0</v>
      </c>
      <c r="O2548" s="235" t="s">
        <v>740</v>
      </c>
      <c r="P2548" s="238">
        <v>1.0</v>
      </c>
      <c r="Q2548" s="235" t="s">
        <v>627</v>
      </c>
      <c r="R2548" s="238">
        <v>284.76</v>
      </c>
      <c r="S2548" s="238">
        <v>14.24</v>
      </c>
      <c r="T2548" s="238">
        <v>0.0</v>
      </c>
      <c r="U2548" s="238">
        <v>0.0</v>
      </c>
      <c r="V2548" s="238">
        <v>0.0</v>
      </c>
      <c r="W2548" s="238">
        <v>0.0</v>
      </c>
      <c r="X2548" s="235" t="s">
        <v>628</v>
      </c>
      <c r="Z2548" s="244"/>
      <c r="AA2548" s="244"/>
      <c r="AB2548" s="244"/>
      <c r="AC2548" s="235" t="s">
        <v>1531</v>
      </c>
      <c r="AD2548" s="235" t="s">
        <v>1151</v>
      </c>
      <c r="AE2548" s="238">
        <v>700035.0</v>
      </c>
      <c r="AF2548" s="235" t="s">
        <v>631</v>
      </c>
      <c r="AG2548" s="244"/>
      <c r="AH2548" s="244"/>
      <c r="AI2548" s="245"/>
      <c r="AJ2548" s="245"/>
      <c r="AK2548" s="245"/>
      <c r="AL2548" s="245"/>
      <c r="AM2548" s="244"/>
      <c r="AN2548" s="244"/>
      <c r="AO2548" s="238">
        <v>0.0</v>
      </c>
      <c r="AP2548" s="238">
        <v>0.0</v>
      </c>
      <c r="AQ2548" s="235" t="s">
        <v>632</v>
      </c>
      <c r="AR2548" s="243">
        <v>2.02E11</v>
      </c>
      <c r="AS2548" s="235" t="s">
        <v>17988</v>
      </c>
      <c r="AT2548" s="235" t="s">
        <v>156</v>
      </c>
      <c r="AU2548" s="235" t="s">
        <v>634</v>
      </c>
      <c r="AV2548" s="246" t="s">
        <v>635</v>
      </c>
      <c r="AW2548" s="242"/>
      <c r="AX2548" s="242"/>
      <c r="AY2548" s="231"/>
      <c r="AZ2548" s="231"/>
      <c r="BA2548" s="227"/>
      <c r="BB2548" s="227"/>
      <c r="BC2548" s="227"/>
      <c r="BD2548" s="227"/>
      <c r="BE2548" s="227"/>
      <c r="BF2548" s="227"/>
    </row>
    <row r="2549">
      <c r="A2549" s="235" t="s">
        <v>19492</v>
      </c>
      <c r="C2549" s="235" t="s">
        <v>19493</v>
      </c>
      <c r="D2549" s="235" t="s">
        <v>19494</v>
      </c>
      <c r="E2549" s="243">
        <v>6.52E13</v>
      </c>
      <c r="F2549" s="245"/>
      <c r="G2549" s="235" t="s">
        <v>19495</v>
      </c>
      <c r="H2549" s="235" t="s">
        <v>19496</v>
      </c>
      <c r="I2549" s="235" t="s">
        <v>19496</v>
      </c>
      <c r="J2549" s="235" t="s">
        <v>19497</v>
      </c>
      <c r="K2549" s="235" t="s">
        <v>19498</v>
      </c>
      <c r="N2549" s="235" t="s">
        <v>42</v>
      </c>
      <c r="O2549" s="235" t="s">
        <v>204</v>
      </c>
      <c r="P2549" s="238">
        <v>1.0</v>
      </c>
      <c r="Q2549" s="235" t="s">
        <v>627</v>
      </c>
      <c r="R2549" s="238">
        <v>0.0</v>
      </c>
      <c r="S2549" s="238">
        <v>0.0</v>
      </c>
      <c r="T2549" s="238">
        <v>0.0</v>
      </c>
      <c r="U2549" s="238">
        <v>0.0</v>
      </c>
      <c r="V2549" s="238">
        <v>0.0</v>
      </c>
      <c r="W2549" s="238">
        <v>0.0</v>
      </c>
      <c r="X2549" s="235" t="s">
        <v>628</v>
      </c>
      <c r="Z2549" s="244"/>
      <c r="AA2549" s="244"/>
      <c r="AB2549" s="244"/>
      <c r="AC2549" s="235" t="s">
        <v>1320</v>
      </c>
      <c r="AD2549" s="235" t="s">
        <v>666</v>
      </c>
      <c r="AE2549" s="238">
        <v>600116.0</v>
      </c>
      <c r="AF2549" s="235" t="s">
        <v>631</v>
      </c>
      <c r="AG2549" s="244"/>
      <c r="AH2549" s="244"/>
      <c r="AI2549" s="245"/>
      <c r="AJ2549" s="245"/>
      <c r="AK2549" s="245"/>
      <c r="AL2549" s="245"/>
      <c r="AM2549" s="244"/>
      <c r="AN2549" s="244"/>
      <c r="AO2549" s="238">
        <v>0.0</v>
      </c>
      <c r="AP2549" s="238">
        <v>0.0</v>
      </c>
      <c r="AQ2549" s="235" t="s">
        <v>632</v>
      </c>
      <c r="AR2549" s="243">
        <v>3.71E11</v>
      </c>
      <c r="AS2549" s="235" t="s">
        <v>17988</v>
      </c>
      <c r="AT2549" s="235" t="s">
        <v>156</v>
      </c>
      <c r="AU2549" s="235" t="s">
        <v>634</v>
      </c>
      <c r="AV2549" s="246" t="s">
        <v>635</v>
      </c>
      <c r="AW2549" s="242"/>
      <c r="AX2549" s="242"/>
      <c r="AY2549" s="231"/>
      <c r="AZ2549" s="231"/>
      <c r="BA2549" s="227"/>
      <c r="BB2549" s="231"/>
      <c r="BC2549" s="227"/>
      <c r="BD2549" s="227"/>
      <c r="BE2549" s="227"/>
      <c r="BF2549" s="227"/>
    </row>
    <row r="2550">
      <c r="A2550" s="235" t="s">
        <v>19499</v>
      </c>
      <c r="C2550" s="235" t="s">
        <v>19500</v>
      </c>
      <c r="D2550" s="235" t="s">
        <v>19501</v>
      </c>
      <c r="E2550" s="243">
        <v>6.53E13</v>
      </c>
      <c r="F2550" s="245"/>
      <c r="G2550" s="235" t="s">
        <v>19502</v>
      </c>
      <c r="H2550" s="235" t="s">
        <v>19503</v>
      </c>
      <c r="I2550" s="235" t="s">
        <v>19504</v>
      </c>
      <c r="J2550" s="235" t="s">
        <v>19505</v>
      </c>
      <c r="K2550" s="235" t="s">
        <v>19506</v>
      </c>
      <c r="N2550" s="235" t="s">
        <v>43</v>
      </c>
      <c r="O2550" s="235" t="s">
        <v>276</v>
      </c>
      <c r="P2550" s="238">
        <v>1.0</v>
      </c>
      <c r="Q2550" s="235" t="s">
        <v>627</v>
      </c>
      <c r="R2550" s="238">
        <v>270.48</v>
      </c>
      <c r="S2550" s="238">
        <v>13.25</v>
      </c>
      <c r="T2550" s="238">
        <v>0.0</v>
      </c>
      <c r="U2550" s="238">
        <v>0.0</v>
      </c>
      <c r="V2550" s="238">
        <v>0.0</v>
      </c>
      <c r="W2550" s="238">
        <v>0.0</v>
      </c>
      <c r="X2550" s="235" t="s">
        <v>628</v>
      </c>
      <c r="Z2550" s="244"/>
      <c r="AA2550" s="244"/>
      <c r="AB2550" s="244"/>
      <c r="AC2550" s="235" t="s">
        <v>697</v>
      </c>
      <c r="AD2550" s="235" t="s">
        <v>698</v>
      </c>
      <c r="AE2550" s="238">
        <v>500049.0</v>
      </c>
      <c r="AF2550" s="235" t="s">
        <v>631</v>
      </c>
      <c r="AG2550" s="244"/>
      <c r="AH2550" s="244"/>
      <c r="AI2550" s="245"/>
      <c r="AJ2550" s="245"/>
      <c r="AK2550" s="245"/>
      <c r="AL2550" s="245"/>
      <c r="AM2550" s="244"/>
      <c r="AN2550" s="244"/>
      <c r="AO2550" s="238">
        <v>-5.41</v>
      </c>
      <c r="AP2550" s="238">
        <v>0.0</v>
      </c>
      <c r="AQ2550" s="235" t="s">
        <v>632</v>
      </c>
      <c r="AR2550" s="243">
        <v>1.68E11</v>
      </c>
      <c r="AS2550" s="235" t="s">
        <v>17988</v>
      </c>
      <c r="AT2550" s="235" t="s">
        <v>156</v>
      </c>
      <c r="AU2550" s="235" t="s">
        <v>634</v>
      </c>
      <c r="AV2550" s="246" t="s">
        <v>635</v>
      </c>
      <c r="AW2550" s="242"/>
      <c r="AX2550" s="242"/>
      <c r="AY2550" s="231"/>
      <c r="AZ2550" s="231"/>
      <c r="BA2550" s="227"/>
      <c r="BB2550" s="231"/>
      <c r="BC2550" s="227"/>
      <c r="BD2550" s="227"/>
      <c r="BE2550" s="227"/>
      <c r="BF2550" s="227"/>
    </row>
    <row r="2551">
      <c r="A2551" s="235" t="s">
        <v>19507</v>
      </c>
      <c r="C2551" s="235" t="s">
        <v>19508</v>
      </c>
      <c r="D2551" s="235" t="s">
        <v>19509</v>
      </c>
      <c r="E2551" s="243">
        <v>6.53E13</v>
      </c>
      <c r="F2551" s="245"/>
      <c r="G2551" s="235" t="s">
        <v>19510</v>
      </c>
      <c r="H2551" s="235" t="s">
        <v>16769</v>
      </c>
      <c r="I2551" s="235" t="s">
        <v>16769</v>
      </c>
      <c r="J2551" s="235" t="s">
        <v>19511</v>
      </c>
      <c r="K2551" s="235" t="s">
        <v>19512</v>
      </c>
      <c r="N2551" s="235" t="s">
        <v>3858</v>
      </c>
      <c r="O2551" s="235" t="s">
        <v>3859</v>
      </c>
      <c r="P2551" s="238">
        <v>1.0</v>
      </c>
      <c r="Q2551" s="235" t="s">
        <v>627</v>
      </c>
      <c r="R2551" s="238">
        <v>270.48</v>
      </c>
      <c r="S2551" s="238">
        <v>13.52</v>
      </c>
      <c r="T2551" s="238">
        <v>38.1</v>
      </c>
      <c r="U2551" s="238">
        <v>1.9</v>
      </c>
      <c r="V2551" s="238">
        <v>0.0</v>
      </c>
      <c r="W2551" s="238">
        <v>0.0</v>
      </c>
      <c r="X2551" s="235" t="s">
        <v>628</v>
      </c>
      <c r="Z2551" s="244"/>
      <c r="AA2551" s="244"/>
      <c r="AB2551" s="244"/>
      <c r="AC2551" s="235" t="s">
        <v>757</v>
      </c>
      <c r="AD2551" s="235" t="s">
        <v>666</v>
      </c>
      <c r="AE2551" s="238">
        <v>625003.0</v>
      </c>
      <c r="AF2551" s="235" t="s">
        <v>631</v>
      </c>
      <c r="AG2551" s="244"/>
      <c r="AH2551" s="244"/>
      <c r="AI2551" s="245"/>
      <c r="AJ2551" s="245"/>
      <c r="AK2551" s="245"/>
      <c r="AL2551" s="245"/>
      <c r="AM2551" s="244"/>
      <c r="AN2551" s="244"/>
      <c r="AO2551" s="238">
        <v>0.0</v>
      </c>
      <c r="AP2551" s="238">
        <v>0.0</v>
      </c>
      <c r="AQ2551" s="235" t="s">
        <v>632</v>
      </c>
      <c r="AR2551" s="243">
        <v>3.71E11</v>
      </c>
      <c r="AS2551" s="235" t="s">
        <v>12693</v>
      </c>
      <c r="AT2551" s="235" t="s">
        <v>5</v>
      </c>
      <c r="AU2551" s="235" t="s">
        <v>634</v>
      </c>
      <c r="AV2551" s="246" t="s">
        <v>635</v>
      </c>
      <c r="AW2551" s="242"/>
      <c r="AX2551" s="242"/>
      <c r="AY2551" s="231"/>
      <c r="AZ2551" s="231"/>
      <c r="BA2551" s="227"/>
      <c r="BB2551" s="231"/>
      <c r="BC2551" s="227"/>
      <c r="BD2551" s="227"/>
      <c r="BE2551" s="227"/>
      <c r="BF2551" s="227"/>
    </row>
    <row r="2552">
      <c r="A2552" s="235" t="s">
        <v>19513</v>
      </c>
      <c r="C2552" s="235" t="s">
        <v>19514</v>
      </c>
      <c r="D2552" s="235" t="s">
        <v>19515</v>
      </c>
      <c r="E2552" s="243">
        <v>6.53E13</v>
      </c>
      <c r="F2552" s="245"/>
      <c r="G2552" s="235" t="s">
        <v>19516</v>
      </c>
      <c r="H2552" s="235" t="s">
        <v>19517</v>
      </c>
      <c r="I2552" s="235" t="s">
        <v>19517</v>
      </c>
      <c r="J2552" s="235" t="s">
        <v>19518</v>
      </c>
      <c r="K2552" s="235" t="s">
        <v>19519</v>
      </c>
      <c r="N2552" s="235" t="s">
        <v>130</v>
      </c>
      <c r="O2552" s="235" t="s">
        <v>707</v>
      </c>
      <c r="P2552" s="238">
        <v>1.0</v>
      </c>
      <c r="Q2552" s="235" t="s">
        <v>627</v>
      </c>
      <c r="R2552" s="238">
        <v>270.48</v>
      </c>
      <c r="S2552" s="238">
        <v>13.52</v>
      </c>
      <c r="T2552" s="238">
        <v>0.0</v>
      </c>
      <c r="U2552" s="238">
        <v>0.0</v>
      </c>
      <c r="V2552" s="238">
        <v>0.0</v>
      </c>
      <c r="W2552" s="238">
        <v>0.0</v>
      </c>
      <c r="X2552" s="235" t="s">
        <v>628</v>
      </c>
      <c r="Z2552" s="244"/>
      <c r="AA2552" s="244"/>
      <c r="AB2552" s="244"/>
      <c r="AC2552" s="235" t="s">
        <v>19520</v>
      </c>
      <c r="AD2552" s="235" t="s">
        <v>3113</v>
      </c>
      <c r="AE2552" s="238">
        <v>493332.0</v>
      </c>
      <c r="AF2552" s="235" t="s">
        <v>631</v>
      </c>
      <c r="AG2552" s="244"/>
      <c r="AH2552" s="244"/>
      <c r="AI2552" s="245"/>
      <c r="AJ2552" s="245"/>
      <c r="AK2552" s="245"/>
      <c r="AL2552" s="245"/>
      <c r="AM2552" s="244"/>
      <c r="AN2552" s="244"/>
      <c r="AO2552" s="238">
        <v>0.0</v>
      </c>
      <c r="AP2552" s="238">
        <v>0.0</v>
      </c>
      <c r="AQ2552" s="235" t="s">
        <v>632</v>
      </c>
      <c r="AR2552" s="243">
        <v>3.71E11</v>
      </c>
      <c r="AS2552" s="235" t="s">
        <v>12693</v>
      </c>
      <c r="AT2552" s="235" t="s">
        <v>5</v>
      </c>
      <c r="AU2552" s="235" t="s">
        <v>634</v>
      </c>
      <c r="AV2552" s="246" t="s">
        <v>635</v>
      </c>
      <c r="AW2552" s="242"/>
      <c r="AX2552" s="242"/>
      <c r="AY2552" s="231"/>
      <c r="AZ2552" s="231"/>
      <c r="BA2552" s="227"/>
      <c r="BB2552" s="231"/>
      <c r="BC2552" s="227"/>
      <c r="BD2552" s="227"/>
      <c r="BE2552" s="227"/>
      <c r="BF2552" s="227"/>
    </row>
    <row r="2553">
      <c r="A2553" s="235" t="s">
        <v>19521</v>
      </c>
      <c r="C2553" s="235" t="s">
        <v>19522</v>
      </c>
      <c r="D2553" s="235" t="s">
        <v>19523</v>
      </c>
      <c r="E2553" s="243">
        <v>6.53E13</v>
      </c>
      <c r="F2553" s="245"/>
      <c r="G2553" s="235" t="s">
        <v>19524</v>
      </c>
      <c r="H2553" s="235" t="s">
        <v>19525</v>
      </c>
      <c r="I2553" s="235" t="s">
        <v>19525</v>
      </c>
      <c r="J2553" s="235" t="s">
        <v>19526</v>
      </c>
      <c r="K2553" s="235" t="s">
        <v>19527</v>
      </c>
      <c r="N2553" s="235" t="s">
        <v>154</v>
      </c>
      <c r="O2553" s="235" t="s">
        <v>766</v>
      </c>
      <c r="P2553" s="238">
        <v>1.0</v>
      </c>
      <c r="Q2553" s="235" t="s">
        <v>627</v>
      </c>
      <c r="R2553" s="238">
        <v>500.96</v>
      </c>
      <c r="S2553" s="238">
        <v>24.54</v>
      </c>
      <c r="T2553" s="238">
        <v>0.0</v>
      </c>
      <c r="U2553" s="238">
        <v>0.0</v>
      </c>
      <c r="V2553" s="238">
        <v>0.0</v>
      </c>
      <c r="W2553" s="238">
        <v>0.0</v>
      </c>
      <c r="X2553" s="235" t="s">
        <v>628</v>
      </c>
      <c r="Z2553" s="244"/>
      <c r="AA2553" s="244"/>
      <c r="AB2553" s="244"/>
      <c r="AC2553" s="235" t="s">
        <v>19528</v>
      </c>
      <c r="AD2553" s="235" t="s">
        <v>666</v>
      </c>
      <c r="AE2553" s="238">
        <v>626101.0</v>
      </c>
      <c r="AF2553" s="235" t="s">
        <v>631</v>
      </c>
      <c r="AG2553" s="244"/>
      <c r="AH2553" s="244"/>
      <c r="AI2553" s="245"/>
      <c r="AJ2553" s="245"/>
      <c r="AK2553" s="245"/>
      <c r="AL2553" s="245"/>
      <c r="AM2553" s="244"/>
      <c r="AN2553" s="244"/>
      <c r="AO2553" s="238">
        <v>-10.02</v>
      </c>
      <c r="AP2553" s="238">
        <v>0.0</v>
      </c>
      <c r="AQ2553" s="235" t="s">
        <v>632</v>
      </c>
      <c r="AR2553" s="243">
        <v>3.71E11</v>
      </c>
      <c r="AS2553" s="235" t="s">
        <v>17988</v>
      </c>
      <c r="AT2553" s="235" t="s">
        <v>155</v>
      </c>
      <c r="AU2553" s="235" t="s">
        <v>634</v>
      </c>
      <c r="AV2553" s="246" t="s">
        <v>635</v>
      </c>
      <c r="AW2553" s="242"/>
      <c r="AX2553" s="242"/>
      <c r="AY2553" s="231"/>
      <c r="AZ2553" s="231"/>
      <c r="BA2553" s="227"/>
      <c r="BB2553" s="231"/>
      <c r="BC2553" s="227"/>
      <c r="BD2553" s="227"/>
      <c r="BE2553" s="227"/>
      <c r="BF2553" s="227"/>
    </row>
    <row r="2554">
      <c r="A2554" s="235" t="s">
        <v>19529</v>
      </c>
      <c r="C2554" s="235" t="s">
        <v>19530</v>
      </c>
      <c r="D2554" s="235" t="s">
        <v>19531</v>
      </c>
      <c r="E2554" s="243">
        <v>6.53E13</v>
      </c>
      <c r="F2554" s="245"/>
      <c r="G2554" s="235" t="s">
        <v>19532</v>
      </c>
      <c r="H2554" s="235" t="s">
        <v>19533</v>
      </c>
      <c r="I2554" s="235" t="s">
        <v>19534</v>
      </c>
      <c r="J2554" s="235" t="s">
        <v>19535</v>
      </c>
      <c r="K2554" s="235" t="s">
        <v>19536</v>
      </c>
      <c r="N2554" s="235" t="s">
        <v>1346</v>
      </c>
      <c r="O2554" s="235" t="s">
        <v>1347</v>
      </c>
      <c r="P2554" s="238">
        <v>1.0</v>
      </c>
      <c r="Q2554" s="235" t="s">
        <v>627</v>
      </c>
      <c r="R2554" s="238">
        <v>256.19</v>
      </c>
      <c r="S2554" s="238">
        <v>12.55</v>
      </c>
      <c r="T2554" s="238">
        <v>0.0</v>
      </c>
      <c r="U2554" s="238">
        <v>0.0</v>
      </c>
      <c r="V2554" s="238">
        <v>0.0</v>
      </c>
      <c r="W2554" s="238">
        <v>0.0</v>
      </c>
      <c r="X2554" s="235" t="s">
        <v>628</v>
      </c>
      <c r="Z2554" s="244"/>
      <c r="AA2554" s="244"/>
      <c r="AB2554" s="244"/>
      <c r="AC2554" s="235" t="s">
        <v>3374</v>
      </c>
      <c r="AD2554" s="235" t="s">
        <v>645</v>
      </c>
      <c r="AE2554" s="238">
        <v>695015.0</v>
      </c>
      <c r="AF2554" s="235" t="s">
        <v>631</v>
      </c>
      <c r="AG2554" s="244"/>
      <c r="AH2554" s="244"/>
      <c r="AI2554" s="245"/>
      <c r="AJ2554" s="245"/>
      <c r="AK2554" s="245"/>
      <c r="AL2554" s="245"/>
      <c r="AM2554" s="244"/>
      <c r="AN2554" s="244"/>
      <c r="AO2554" s="238">
        <v>-5.12</v>
      </c>
      <c r="AP2554" s="238">
        <v>0.0</v>
      </c>
      <c r="AQ2554" s="235" t="s">
        <v>632</v>
      </c>
      <c r="AR2554" s="243">
        <v>1.68E11</v>
      </c>
      <c r="AS2554" s="235" t="s">
        <v>17988</v>
      </c>
      <c r="AT2554" s="235" t="s">
        <v>9</v>
      </c>
      <c r="AU2554" s="235" t="s">
        <v>634</v>
      </c>
      <c r="AV2554" s="246" t="s">
        <v>635</v>
      </c>
      <c r="AW2554" s="242"/>
      <c r="AX2554" s="242"/>
      <c r="AY2554" s="231"/>
      <c r="AZ2554" s="231"/>
      <c r="BA2554" s="227"/>
      <c r="BB2554" s="231"/>
      <c r="BC2554" s="227"/>
      <c r="BD2554" s="227"/>
      <c r="BE2554" s="227"/>
      <c r="BF2554" s="227"/>
    </row>
    <row r="2555">
      <c r="A2555" s="235" t="s">
        <v>19537</v>
      </c>
      <c r="C2555" s="235" t="s">
        <v>19538</v>
      </c>
      <c r="D2555" s="235" t="s">
        <v>19539</v>
      </c>
      <c r="E2555" s="243">
        <v>6.53E13</v>
      </c>
      <c r="F2555" s="245"/>
      <c r="G2555" s="235" t="s">
        <v>19540</v>
      </c>
      <c r="H2555" s="235" t="s">
        <v>19541</v>
      </c>
      <c r="I2555" s="235" t="s">
        <v>19541</v>
      </c>
      <c r="J2555" s="235" t="s">
        <v>19542</v>
      </c>
      <c r="K2555" s="235" t="s">
        <v>19543</v>
      </c>
      <c r="N2555" s="235" t="s">
        <v>138</v>
      </c>
      <c r="O2555" s="235" t="s">
        <v>675</v>
      </c>
      <c r="P2555" s="238">
        <v>1.0</v>
      </c>
      <c r="Q2555" s="235" t="s">
        <v>627</v>
      </c>
      <c r="R2555" s="238">
        <v>270.48</v>
      </c>
      <c r="S2555" s="238">
        <v>13.52</v>
      </c>
      <c r="T2555" s="238">
        <v>38.1</v>
      </c>
      <c r="U2555" s="238">
        <v>1.9</v>
      </c>
      <c r="V2555" s="238">
        <v>0.0</v>
      </c>
      <c r="W2555" s="238">
        <v>0.0</v>
      </c>
      <c r="X2555" s="235" t="s">
        <v>628</v>
      </c>
      <c r="Z2555" s="244"/>
      <c r="AA2555" s="244"/>
      <c r="AB2555" s="244"/>
      <c r="AC2555" s="235" t="s">
        <v>6060</v>
      </c>
      <c r="AD2555" s="235" t="s">
        <v>666</v>
      </c>
      <c r="AE2555" s="238">
        <v>613004.0</v>
      </c>
      <c r="AF2555" s="235" t="s">
        <v>631</v>
      </c>
      <c r="AG2555" s="244"/>
      <c r="AH2555" s="244"/>
      <c r="AI2555" s="245"/>
      <c r="AJ2555" s="245"/>
      <c r="AK2555" s="245"/>
      <c r="AL2555" s="245"/>
      <c r="AM2555" s="244"/>
      <c r="AN2555" s="244"/>
      <c r="AO2555" s="238">
        <v>0.0</v>
      </c>
      <c r="AP2555" s="238">
        <v>-38.1</v>
      </c>
      <c r="AQ2555" s="235" t="s">
        <v>632</v>
      </c>
      <c r="AR2555" s="243">
        <v>3.71E11</v>
      </c>
      <c r="AS2555" s="235" t="s">
        <v>17988</v>
      </c>
      <c r="AT2555" s="235" t="s">
        <v>155</v>
      </c>
      <c r="AU2555" s="235" t="s">
        <v>634</v>
      </c>
      <c r="AV2555" s="246" t="s">
        <v>635</v>
      </c>
      <c r="AW2555" s="242"/>
      <c r="AX2555" s="242"/>
      <c r="AY2555" s="231"/>
      <c r="AZ2555" s="231"/>
      <c r="BA2555" s="227"/>
      <c r="BB2555" s="231"/>
      <c r="BC2555" s="227"/>
      <c r="BD2555" s="227"/>
      <c r="BE2555" s="227"/>
      <c r="BF2555" s="227"/>
    </row>
    <row r="2556">
      <c r="A2556" s="235" t="s">
        <v>19544</v>
      </c>
      <c r="C2556" s="235" t="s">
        <v>19545</v>
      </c>
      <c r="D2556" s="235" t="s">
        <v>19546</v>
      </c>
      <c r="E2556" s="243">
        <v>6.52E13</v>
      </c>
      <c r="F2556" s="245"/>
      <c r="G2556" s="235" t="s">
        <v>19547</v>
      </c>
      <c r="H2556" s="235" t="s">
        <v>19548</v>
      </c>
      <c r="I2556" s="235" t="s">
        <v>19548</v>
      </c>
      <c r="J2556" s="235" t="s">
        <v>19549</v>
      </c>
      <c r="K2556" s="235" t="s">
        <v>19550</v>
      </c>
      <c r="N2556" s="235" t="s">
        <v>127</v>
      </c>
      <c r="O2556" s="235" t="s">
        <v>794</v>
      </c>
      <c r="P2556" s="238">
        <v>1.0</v>
      </c>
      <c r="Q2556" s="235" t="s">
        <v>627</v>
      </c>
      <c r="R2556" s="238">
        <v>243.8</v>
      </c>
      <c r="S2556" s="238">
        <v>12.2</v>
      </c>
      <c r="T2556" s="238">
        <v>38.1</v>
      </c>
      <c r="U2556" s="238">
        <v>1.9</v>
      </c>
      <c r="V2556" s="238">
        <v>0.0</v>
      </c>
      <c r="W2556" s="238">
        <v>0.0</v>
      </c>
      <c r="X2556" s="235" t="s">
        <v>628</v>
      </c>
      <c r="Z2556" s="244"/>
      <c r="AA2556" s="244"/>
      <c r="AB2556" s="244"/>
      <c r="AC2556" s="235" t="s">
        <v>1514</v>
      </c>
      <c r="AD2556" s="235" t="s">
        <v>1077</v>
      </c>
      <c r="AE2556" s="238">
        <v>380006.0</v>
      </c>
      <c r="AF2556" s="235" t="s">
        <v>631</v>
      </c>
      <c r="AG2556" s="244"/>
      <c r="AH2556" s="244"/>
      <c r="AI2556" s="245"/>
      <c r="AJ2556" s="245"/>
      <c r="AK2556" s="245"/>
      <c r="AL2556" s="245"/>
      <c r="AM2556" s="244"/>
      <c r="AN2556" s="244"/>
      <c r="AO2556" s="238">
        <v>0.0</v>
      </c>
      <c r="AP2556" s="238">
        <v>0.0</v>
      </c>
      <c r="AQ2556" s="235" t="s">
        <v>632</v>
      </c>
      <c r="AR2556" s="243">
        <v>3.71E11</v>
      </c>
      <c r="AS2556" s="235" t="s">
        <v>17988</v>
      </c>
      <c r="AT2556" s="235" t="s">
        <v>5</v>
      </c>
      <c r="AU2556" s="235" t="s">
        <v>634</v>
      </c>
      <c r="AV2556" s="246" t="s">
        <v>635</v>
      </c>
      <c r="AW2556" s="242"/>
      <c r="AX2556" s="242"/>
      <c r="AY2556" s="231"/>
      <c r="AZ2556" s="231"/>
      <c r="BA2556" s="227"/>
      <c r="BB2556" s="231"/>
      <c r="BC2556" s="227"/>
      <c r="BD2556" s="227"/>
      <c r="BE2556" s="227"/>
      <c r="BF2556" s="227"/>
    </row>
    <row r="2557">
      <c r="A2557" s="235" t="s">
        <v>19551</v>
      </c>
      <c r="C2557" s="235" t="s">
        <v>19552</v>
      </c>
      <c r="D2557" s="235" t="s">
        <v>19553</v>
      </c>
      <c r="E2557" s="243">
        <v>6.53E13</v>
      </c>
      <c r="F2557" s="245"/>
      <c r="G2557" s="235" t="s">
        <v>19554</v>
      </c>
      <c r="H2557" s="235" t="s">
        <v>19555</v>
      </c>
      <c r="I2557" s="235" t="s">
        <v>19556</v>
      </c>
      <c r="J2557" s="235" t="s">
        <v>19557</v>
      </c>
      <c r="K2557" s="235" t="s">
        <v>19558</v>
      </c>
      <c r="N2557" s="235" t="s">
        <v>8</v>
      </c>
      <c r="O2557" s="235" t="s">
        <v>16329</v>
      </c>
      <c r="P2557" s="238">
        <v>1.0</v>
      </c>
      <c r="Q2557" s="235" t="s">
        <v>627</v>
      </c>
      <c r="R2557" s="238">
        <v>284.76</v>
      </c>
      <c r="S2557" s="238">
        <v>13.82</v>
      </c>
      <c r="T2557" s="238">
        <v>0.0</v>
      </c>
      <c r="U2557" s="238">
        <v>0.0</v>
      </c>
      <c r="V2557" s="238">
        <v>0.0</v>
      </c>
      <c r="W2557" s="238">
        <v>0.0</v>
      </c>
      <c r="X2557" s="235" t="s">
        <v>628</v>
      </c>
      <c r="Z2557" s="244"/>
      <c r="AA2557" s="244"/>
      <c r="AB2557" s="244"/>
      <c r="AC2557" s="235" t="s">
        <v>678</v>
      </c>
      <c r="AD2557" s="235" t="s">
        <v>679</v>
      </c>
      <c r="AE2557" s="238">
        <v>560008.0</v>
      </c>
      <c r="AF2557" s="235" t="s">
        <v>631</v>
      </c>
      <c r="AG2557" s="244"/>
      <c r="AH2557" s="244"/>
      <c r="AI2557" s="245"/>
      <c r="AJ2557" s="245"/>
      <c r="AK2557" s="245"/>
      <c r="AL2557" s="245"/>
      <c r="AM2557" s="244"/>
      <c r="AN2557" s="244"/>
      <c r="AO2557" s="238">
        <v>-8.55</v>
      </c>
      <c r="AP2557" s="238">
        <v>0.0</v>
      </c>
      <c r="AQ2557" s="235" t="s">
        <v>632</v>
      </c>
      <c r="AR2557" s="243">
        <v>3.71E11</v>
      </c>
      <c r="AS2557" s="235" t="s">
        <v>17988</v>
      </c>
      <c r="AT2557" s="235" t="s">
        <v>11</v>
      </c>
      <c r="AU2557" s="235" t="s">
        <v>634</v>
      </c>
      <c r="AV2557" s="246" t="s">
        <v>635</v>
      </c>
      <c r="AW2557" s="242"/>
      <c r="AX2557" s="242"/>
      <c r="AY2557" s="231"/>
      <c r="AZ2557" s="231"/>
      <c r="BA2557" s="227"/>
      <c r="BB2557" s="231"/>
      <c r="BC2557" s="227"/>
      <c r="BD2557" s="227"/>
      <c r="BE2557" s="227"/>
      <c r="BF2557" s="227"/>
    </row>
    <row r="2558">
      <c r="A2558" s="235" t="s">
        <v>19551</v>
      </c>
      <c r="C2558" s="235" t="s">
        <v>19552</v>
      </c>
      <c r="D2558" s="235" t="s">
        <v>19559</v>
      </c>
      <c r="E2558" s="243">
        <v>6.53E13</v>
      </c>
      <c r="F2558" s="245"/>
      <c r="G2558" s="235" t="s">
        <v>19554</v>
      </c>
      <c r="H2558" s="235" t="s">
        <v>19555</v>
      </c>
      <c r="I2558" s="235" t="s">
        <v>19556</v>
      </c>
      <c r="J2558" s="235" t="s">
        <v>19557</v>
      </c>
      <c r="K2558" s="235" t="s">
        <v>19558</v>
      </c>
      <c r="N2558" s="235" t="s">
        <v>8</v>
      </c>
      <c r="O2558" s="235" t="s">
        <v>16329</v>
      </c>
      <c r="P2558" s="238">
        <v>1.0</v>
      </c>
      <c r="Q2558" s="235" t="s">
        <v>627</v>
      </c>
      <c r="R2558" s="238">
        <v>284.76</v>
      </c>
      <c r="S2558" s="238">
        <v>13.82</v>
      </c>
      <c r="T2558" s="238">
        <v>0.0</v>
      </c>
      <c r="U2558" s="238">
        <v>0.0</v>
      </c>
      <c r="V2558" s="238">
        <v>0.0</v>
      </c>
      <c r="W2558" s="238">
        <v>0.0</v>
      </c>
      <c r="X2558" s="235" t="s">
        <v>628</v>
      </c>
      <c r="Z2558" s="244"/>
      <c r="AA2558" s="244"/>
      <c r="AB2558" s="244"/>
      <c r="AC2558" s="235" t="s">
        <v>678</v>
      </c>
      <c r="AD2558" s="235" t="s">
        <v>679</v>
      </c>
      <c r="AE2558" s="238">
        <v>560008.0</v>
      </c>
      <c r="AF2558" s="235" t="s">
        <v>631</v>
      </c>
      <c r="AG2558" s="244"/>
      <c r="AH2558" s="244"/>
      <c r="AI2558" s="245"/>
      <c r="AJ2558" s="245"/>
      <c r="AK2558" s="245"/>
      <c r="AL2558" s="245"/>
      <c r="AM2558" s="244"/>
      <c r="AN2558" s="244"/>
      <c r="AO2558" s="238">
        <v>-8.55</v>
      </c>
      <c r="AP2558" s="238">
        <v>0.0</v>
      </c>
      <c r="AQ2558" s="235" t="s">
        <v>632</v>
      </c>
      <c r="AR2558" s="243">
        <v>3.71E11</v>
      </c>
      <c r="AS2558" s="235" t="s">
        <v>17988</v>
      </c>
      <c r="AT2558" s="235" t="s">
        <v>11</v>
      </c>
      <c r="AU2558" s="235" t="s">
        <v>634</v>
      </c>
      <c r="AV2558" s="246" t="s">
        <v>635</v>
      </c>
      <c r="AW2558" s="242"/>
      <c r="AX2558" s="242"/>
      <c r="AY2558" s="231"/>
      <c r="AZ2558" s="231"/>
      <c r="BA2558" s="227"/>
      <c r="BB2558" s="231"/>
      <c r="BC2558" s="227"/>
      <c r="BD2558" s="227"/>
      <c r="BE2558" s="227"/>
      <c r="BF2558" s="227"/>
    </row>
    <row r="2559">
      <c r="A2559" s="235" t="s">
        <v>19560</v>
      </c>
      <c r="C2559" s="235" t="s">
        <v>19561</v>
      </c>
      <c r="D2559" s="235" t="s">
        <v>19562</v>
      </c>
      <c r="E2559" s="243">
        <v>6.53E13</v>
      </c>
      <c r="F2559" s="245"/>
      <c r="G2559" s="235" t="s">
        <v>19563</v>
      </c>
      <c r="H2559" s="235" t="s">
        <v>19564</v>
      </c>
      <c r="I2559" s="235" t="s">
        <v>19565</v>
      </c>
      <c r="J2559" s="235" t="s">
        <v>19566</v>
      </c>
      <c r="K2559" s="235" t="s">
        <v>19567</v>
      </c>
      <c r="N2559" s="235" t="s">
        <v>127</v>
      </c>
      <c r="O2559" s="235" t="s">
        <v>794</v>
      </c>
      <c r="P2559" s="238">
        <v>1.0</v>
      </c>
      <c r="Q2559" s="235" t="s">
        <v>627</v>
      </c>
      <c r="R2559" s="238">
        <v>270.48</v>
      </c>
      <c r="S2559" s="238">
        <v>13.52</v>
      </c>
      <c r="T2559" s="238">
        <v>0.0</v>
      </c>
      <c r="U2559" s="238">
        <v>0.0</v>
      </c>
      <c r="V2559" s="238">
        <v>0.0</v>
      </c>
      <c r="W2559" s="238">
        <v>0.0</v>
      </c>
      <c r="X2559" s="235" t="s">
        <v>628</v>
      </c>
      <c r="Z2559" s="244"/>
      <c r="AA2559" s="244"/>
      <c r="AB2559" s="244"/>
      <c r="AC2559" s="235" t="s">
        <v>1058</v>
      </c>
      <c r="AD2559" s="235" t="s">
        <v>845</v>
      </c>
      <c r="AE2559" s="238">
        <v>400080.0</v>
      </c>
      <c r="AF2559" s="235" t="s">
        <v>631</v>
      </c>
      <c r="AG2559" s="244"/>
      <c r="AH2559" s="244"/>
      <c r="AI2559" s="245"/>
      <c r="AJ2559" s="245"/>
      <c r="AK2559" s="245"/>
      <c r="AL2559" s="245"/>
      <c r="AM2559" s="244"/>
      <c r="AN2559" s="244"/>
      <c r="AO2559" s="238">
        <v>0.0</v>
      </c>
      <c r="AP2559" s="238">
        <v>0.0</v>
      </c>
      <c r="AQ2559" s="235" t="s">
        <v>632</v>
      </c>
      <c r="AR2559" s="243">
        <v>3.71E11</v>
      </c>
      <c r="AS2559" s="235" t="s">
        <v>17988</v>
      </c>
      <c r="AT2559" s="235" t="s">
        <v>16</v>
      </c>
      <c r="AU2559" s="235" t="s">
        <v>634</v>
      </c>
      <c r="AV2559" s="246" t="s">
        <v>635</v>
      </c>
      <c r="AW2559" s="242"/>
      <c r="AX2559" s="242"/>
      <c r="AY2559" s="231"/>
      <c r="AZ2559" s="231"/>
      <c r="BA2559" s="227"/>
      <c r="BB2559" s="231"/>
      <c r="BC2559" s="227"/>
      <c r="BD2559" s="227"/>
      <c r="BE2559" s="227"/>
      <c r="BF2559" s="227"/>
    </row>
    <row r="2560">
      <c r="A2560" s="235" t="s">
        <v>19568</v>
      </c>
      <c r="C2560" s="235" t="s">
        <v>19569</v>
      </c>
      <c r="D2560" s="235" t="s">
        <v>19570</v>
      </c>
      <c r="E2560" s="243">
        <v>6.53E13</v>
      </c>
      <c r="F2560" s="245"/>
      <c r="G2560" s="235" t="s">
        <v>19571</v>
      </c>
      <c r="H2560" s="235" t="s">
        <v>19572</v>
      </c>
      <c r="I2560" s="235" t="s">
        <v>19572</v>
      </c>
      <c r="J2560" s="235" t="s">
        <v>19573</v>
      </c>
      <c r="K2560" s="235" t="s">
        <v>19574</v>
      </c>
      <c r="N2560" s="235" t="s">
        <v>2848</v>
      </c>
      <c r="O2560" s="235" t="s">
        <v>2849</v>
      </c>
      <c r="P2560" s="238">
        <v>1.0</v>
      </c>
      <c r="Q2560" s="235" t="s">
        <v>627</v>
      </c>
      <c r="R2560" s="238">
        <v>256.19</v>
      </c>
      <c r="S2560" s="238">
        <v>12.81</v>
      </c>
      <c r="T2560" s="238">
        <v>0.0</v>
      </c>
      <c r="U2560" s="238">
        <v>0.0</v>
      </c>
      <c r="V2560" s="238">
        <v>0.0</v>
      </c>
      <c r="W2560" s="238">
        <v>0.0</v>
      </c>
      <c r="X2560" s="235" t="s">
        <v>628</v>
      </c>
      <c r="Z2560" s="244"/>
      <c r="AA2560" s="244"/>
      <c r="AB2560" s="244"/>
      <c r="AC2560" s="235" t="s">
        <v>3307</v>
      </c>
      <c r="AD2560" s="235" t="s">
        <v>1086</v>
      </c>
      <c r="AE2560" s="238">
        <v>141010.0</v>
      </c>
      <c r="AF2560" s="235" t="s">
        <v>631</v>
      </c>
      <c r="AG2560" s="244"/>
      <c r="AH2560" s="244"/>
      <c r="AI2560" s="245"/>
      <c r="AJ2560" s="245"/>
      <c r="AK2560" s="245"/>
      <c r="AL2560" s="245"/>
      <c r="AM2560" s="244"/>
      <c r="AN2560" s="244"/>
      <c r="AO2560" s="238">
        <v>0.0</v>
      </c>
      <c r="AP2560" s="238">
        <v>0.0</v>
      </c>
      <c r="AQ2560" s="235" t="s">
        <v>632</v>
      </c>
      <c r="AR2560" s="243">
        <v>1.68E11</v>
      </c>
      <c r="AS2560" s="235" t="s">
        <v>17988</v>
      </c>
      <c r="AT2560" s="235" t="s">
        <v>13</v>
      </c>
      <c r="AU2560" s="235" t="s">
        <v>634</v>
      </c>
      <c r="AV2560" s="246" t="s">
        <v>635</v>
      </c>
      <c r="AW2560" s="242"/>
      <c r="AX2560" s="242"/>
      <c r="AY2560" s="231"/>
      <c r="AZ2560" s="231"/>
      <c r="BA2560" s="227"/>
      <c r="BB2560" s="231"/>
      <c r="BC2560" s="227"/>
      <c r="BD2560" s="227"/>
      <c r="BE2560" s="227"/>
      <c r="BF2560" s="227"/>
    </row>
    <row r="2561">
      <c r="A2561" s="235" t="s">
        <v>19575</v>
      </c>
      <c r="C2561" s="235" t="s">
        <v>19576</v>
      </c>
      <c r="D2561" s="235" t="s">
        <v>19577</v>
      </c>
      <c r="E2561" s="243">
        <v>6.53E13</v>
      </c>
      <c r="F2561" s="245"/>
      <c r="G2561" s="235" t="s">
        <v>19578</v>
      </c>
      <c r="H2561" s="235" t="s">
        <v>19579</v>
      </c>
      <c r="I2561" s="235" t="s">
        <v>19579</v>
      </c>
      <c r="J2561" s="235" t="s">
        <v>19580</v>
      </c>
      <c r="K2561" s="235" t="s">
        <v>19581</v>
      </c>
      <c r="N2561" s="235" t="s">
        <v>130</v>
      </c>
      <c r="O2561" s="235" t="s">
        <v>707</v>
      </c>
      <c r="P2561" s="238">
        <v>1.0</v>
      </c>
      <c r="Q2561" s="235" t="s">
        <v>627</v>
      </c>
      <c r="R2561" s="238">
        <v>270.48</v>
      </c>
      <c r="S2561" s="238">
        <v>13.52</v>
      </c>
      <c r="T2561" s="238">
        <v>0.0</v>
      </c>
      <c r="U2561" s="238">
        <v>0.0</v>
      </c>
      <c r="V2561" s="238">
        <v>0.0</v>
      </c>
      <c r="W2561" s="238">
        <v>0.0</v>
      </c>
      <c r="X2561" s="235" t="s">
        <v>628</v>
      </c>
      <c r="Z2561" s="244"/>
      <c r="AA2561" s="244"/>
      <c r="AB2561" s="244"/>
      <c r="AC2561" s="235" t="s">
        <v>19582</v>
      </c>
      <c r="AD2561" s="235" t="s">
        <v>1086</v>
      </c>
      <c r="AE2561" s="238">
        <v>144204.0</v>
      </c>
      <c r="AF2561" s="235" t="s">
        <v>631</v>
      </c>
      <c r="AG2561" s="244"/>
      <c r="AH2561" s="244"/>
      <c r="AI2561" s="245"/>
      <c r="AJ2561" s="245"/>
      <c r="AK2561" s="245"/>
      <c r="AL2561" s="245"/>
      <c r="AM2561" s="244"/>
      <c r="AN2561" s="244"/>
      <c r="AO2561" s="238">
        <v>0.0</v>
      </c>
      <c r="AP2561" s="238">
        <v>0.0</v>
      </c>
      <c r="AQ2561" s="235" t="s">
        <v>632</v>
      </c>
      <c r="AR2561" s="243">
        <v>3.71E11</v>
      </c>
      <c r="AS2561" s="235" t="s">
        <v>16626</v>
      </c>
      <c r="AT2561" s="235" t="s">
        <v>13</v>
      </c>
      <c r="AU2561" s="235" t="s">
        <v>634</v>
      </c>
      <c r="AV2561" s="246" t="s">
        <v>635</v>
      </c>
      <c r="AW2561" s="242"/>
      <c r="AX2561" s="242"/>
      <c r="AY2561" s="231"/>
      <c r="AZ2561" s="231"/>
      <c r="BA2561" s="227"/>
      <c r="BB2561" s="231"/>
      <c r="BC2561" s="227"/>
      <c r="BD2561" s="227"/>
      <c r="BE2561" s="227"/>
      <c r="BF2561" s="227"/>
    </row>
    <row r="2562">
      <c r="A2562" s="235" t="s">
        <v>19583</v>
      </c>
      <c r="C2562" s="235" t="s">
        <v>19584</v>
      </c>
      <c r="D2562" s="235" t="s">
        <v>19585</v>
      </c>
      <c r="E2562" s="243">
        <v>6.52E13</v>
      </c>
      <c r="F2562" s="245"/>
      <c r="G2562" s="235" t="s">
        <v>19586</v>
      </c>
      <c r="H2562" s="235" t="s">
        <v>19587</v>
      </c>
      <c r="I2562" s="235" t="s">
        <v>19587</v>
      </c>
      <c r="J2562" s="235" t="s">
        <v>19588</v>
      </c>
      <c r="K2562" s="235" t="s">
        <v>19589</v>
      </c>
      <c r="N2562" s="235" t="s">
        <v>127</v>
      </c>
      <c r="O2562" s="235" t="s">
        <v>794</v>
      </c>
      <c r="P2562" s="238">
        <v>1.0</v>
      </c>
      <c r="Q2562" s="235" t="s">
        <v>627</v>
      </c>
      <c r="R2562" s="238">
        <v>243.8</v>
      </c>
      <c r="S2562" s="238">
        <v>12.2</v>
      </c>
      <c r="T2562" s="238">
        <v>38.1</v>
      </c>
      <c r="U2562" s="238">
        <v>1.9</v>
      </c>
      <c r="V2562" s="238">
        <v>0.0</v>
      </c>
      <c r="W2562" s="238">
        <v>0.0</v>
      </c>
      <c r="X2562" s="235" t="s">
        <v>628</v>
      </c>
      <c r="Z2562" s="244"/>
      <c r="AA2562" s="244"/>
      <c r="AB2562" s="244"/>
      <c r="AC2562" s="235" t="s">
        <v>1644</v>
      </c>
      <c r="AD2562" s="235" t="s">
        <v>845</v>
      </c>
      <c r="AE2562" s="238">
        <v>415709.0</v>
      </c>
      <c r="AF2562" s="235" t="s">
        <v>631</v>
      </c>
      <c r="AG2562" s="244"/>
      <c r="AH2562" s="244"/>
      <c r="AI2562" s="245"/>
      <c r="AJ2562" s="245"/>
      <c r="AK2562" s="245"/>
      <c r="AL2562" s="245"/>
      <c r="AM2562" s="244"/>
      <c r="AN2562" s="244"/>
      <c r="AO2562" s="238">
        <v>0.0</v>
      </c>
      <c r="AP2562" s="238">
        <v>-38.1</v>
      </c>
      <c r="AQ2562" s="235" t="s">
        <v>632</v>
      </c>
      <c r="AR2562" s="243">
        <v>3.71E11</v>
      </c>
      <c r="AS2562" s="235" t="s">
        <v>11171</v>
      </c>
      <c r="AT2562" s="235" t="s">
        <v>546</v>
      </c>
      <c r="AU2562" s="235" t="s">
        <v>634</v>
      </c>
      <c r="AV2562" s="246" t="s">
        <v>635</v>
      </c>
      <c r="AW2562" s="242"/>
      <c r="AX2562" s="242"/>
      <c r="AY2562" s="231"/>
      <c r="AZ2562" s="231"/>
      <c r="BA2562" s="227"/>
      <c r="BB2562" s="231"/>
      <c r="BC2562" s="227"/>
      <c r="BD2562" s="227"/>
      <c r="BE2562" s="227"/>
      <c r="BF2562" s="227"/>
    </row>
    <row r="2563">
      <c r="A2563" s="235" t="s">
        <v>19590</v>
      </c>
      <c r="C2563" s="235" t="s">
        <v>19591</v>
      </c>
      <c r="D2563" s="235" t="s">
        <v>19592</v>
      </c>
      <c r="E2563" s="243">
        <v>6.53E13</v>
      </c>
      <c r="F2563" s="245"/>
      <c r="G2563" s="235" t="s">
        <v>19593</v>
      </c>
      <c r="H2563" s="235" t="s">
        <v>19594</v>
      </c>
      <c r="I2563" s="235" t="s">
        <v>19594</v>
      </c>
      <c r="J2563" s="235" t="s">
        <v>19595</v>
      </c>
      <c r="K2563" s="235" t="s">
        <v>19596</v>
      </c>
      <c r="N2563" s="235" t="s">
        <v>43</v>
      </c>
      <c r="O2563" s="235" t="s">
        <v>276</v>
      </c>
      <c r="P2563" s="238">
        <v>1.0</v>
      </c>
      <c r="Q2563" s="235" t="s">
        <v>627</v>
      </c>
      <c r="R2563" s="238">
        <v>270.48</v>
      </c>
      <c r="S2563" s="238">
        <v>13.52</v>
      </c>
      <c r="T2563" s="238">
        <v>0.0</v>
      </c>
      <c r="U2563" s="238">
        <v>0.0</v>
      </c>
      <c r="V2563" s="238">
        <v>0.0</v>
      </c>
      <c r="W2563" s="238">
        <v>0.0</v>
      </c>
      <c r="X2563" s="235" t="s">
        <v>628</v>
      </c>
      <c r="Z2563" s="244"/>
      <c r="AA2563" s="244"/>
      <c r="AB2563" s="244"/>
      <c r="AC2563" s="235" t="s">
        <v>2325</v>
      </c>
      <c r="AD2563" s="235" t="s">
        <v>645</v>
      </c>
      <c r="AE2563" s="238">
        <v>682025.0</v>
      </c>
      <c r="AF2563" s="235" t="s">
        <v>631</v>
      </c>
      <c r="AG2563" s="244"/>
      <c r="AH2563" s="244"/>
      <c r="AI2563" s="245"/>
      <c r="AJ2563" s="245"/>
      <c r="AK2563" s="245"/>
      <c r="AL2563" s="245"/>
      <c r="AM2563" s="244"/>
      <c r="AN2563" s="244"/>
      <c r="AO2563" s="238">
        <v>0.0</v>
      </c>
      <c r="AP2563" s="238">
        <v>0.0</v>
      </c>
      <c r="AQ2563" s="235" t="s">
        <v>632</v>
      </c>
      <c r="AR2563" s="243">
        <v>3.71E11</v>
      </c>
      <c r="AS2563" s="235" t="s">
        <v>16626</v>
      </c>
      <c r="AT2563" s="235" t="s">
        <v>9</v>
      </c>
      <c r="AU2563" s="235" t="s">
        <v>634</v>
      </c>
      <c r="AV2563" s="246" t="s">
        <v>635</v>
      </c>
      <c r="AW2563" s="242"/>
      <c r="AX2563" s="242"/>
      <c r="AY2563" s="231"/>
      <c r="AZ2563" s="231"/>
      <c r="BA2563" s="227"/>
      <c r="BB2563" s="231"/>
      <c r="BC2563" s="227"/>
      <c r="BD2563" s="227"/>
      <c r="BE2563" s="227"/>
      <c r="BF2563" s="227"/>
    </row>
    <row r="2564">
      <c r="A2564" s="235" t="s">
        <v>19597</v>
      </c>
      <c r="C2564" s="235" t="s">
        <v>19598</v>
      </c>
      <c r="D2564" s="235" t="s">
        <v>19599</v>
      </c>
      <c r="E2564" s="243">
        <v>6.53E13</v>
      </c>
      <c r="F2564" s="245"/>
      <c r="G2564" s="235" t="s">
        <v>19600</v>
      </c>
      <c r="H2564" s="235" t="s">
        <v>19601</v>
      </c>
      <c r="I2564" s="235" t="s">
        <v>19601</v>
      </c>
      <c r="J2564" s="235" t="s">
        <v>19602</v>
      </c>
      <c r="K2564" s="235" t="s">
        <v>19603</v>
      </c>
      <c r="N2564" s="235" t="s">
        <v>130</v>
      </c>
      <c r="O2564" s="235" t="s">
        <v>707</v>
      </c>
      <c r="P2564" s="238">
        <v>1.0</v>
      </c>
      <c r="Q2564" s="235" t="s">
        <v>627</v>
      </c>
      <c r="R2564" s="238">
        <v>270.48</v>
      </c>
      <c r="S2564" s="238">
        <v>13.52</v>
      </c>
      <c r="T2564" s="238">
        <v>0.0</v>
      </c>
      <c r="U2564" s="238">
        <v>0.0</v>
      </c>
      <c r="V2564" s="238">
        <v>0.0</v>
      </c>
      <c r="W2564" s="238">
        <v>0.0</v>
      </c>
      <c r="X2564" s="235" t="s">
        <v>628</v>
      </c>
      <c r="Z2564" s="244"/>
      <c r="AA2564" s="244"/>
      <c r="AB2564" s="244"/>
      <c r="AC2564" s="235" t="s">
        <v>678</v>
      </c>
      <c r="AD2564" s="235" t="s">
        <v>679</v>
      </c>
      <c r="AE2564" s="238">
        <v>560091.0</v>
      </c>
      <c r="AF2564" s="235" t="s">
        <v>631</v>
      </c>
      <c r="AG2564" s="244"/>
      <c r="AH2564" s="244"/>
      <c r="AI2564" s="245"/>
      <c r="AJ2564" s="245"/>
      <c r="AK2564" s="245"/>
      <c r="AL2564" s="245"/>
      <c r="AM2564" s="244"/>
      <c r="AN2564" s="244"/>
      <c r="AO2564" s="238">
        <v>0.0</v>
      </c>
      <c r="AP2564" s="238">
        <v>0.0</v>
      </c>
      <c r="AQ2564" s="235" t="s">
        <v>632</v>
      </c>
      <c r="AR2564" s="243">
        <v>3.71E11</v>
      </c>
      <c r="AS2564" s="235" t="s">
        <v>17988</v>
      </c>
      <c r="AT2564" s="235" t="s">
        <v>11</v>
      </c>
      <c r="AU2564" s="235" t="s">
        <v>634</v>
      </c>
      <c r="AV2564" s="246" t="s">
        <v>635</v>
      </c>
      <c r="AW2564" s="242"/>
      <c r="AX2564" s="242"/>
      <c r="AY2564" s="231"/>
      <c r="AZ2564" s="231"/>
      <c r="BA2564" s="227"/>
      <c r="BB2564" s="231"/>
      <c r="BC2564" s="227"/>
      <c r="BD2564" s="227"/>
      <c r="BE2564" s="227"/>
      <c r="BF2564" s="227"/>
    </row>
    <row r="2565">
      <c r="A2565" s="235" t="s">
        <v>19604</v>
      </c>
      <c r="C2565" s="235" t="s">
        <v>19605</v>
      </c>
      <c r="D2565" s="235" t="s">
        <v>19606</v>
      </c>
      <c r="E2565" s="243">
        <v>6.53E13</v>
      </c>
      <c r="F2565" s="245"/>
      <c r="G2565" s="235" t="s">
        <v>19607</v>
      </c>
      <c r="H2565" s="235" t="s">
        <v>19608</v>
      </c>
      <c r="I2565" s="235" t="s">
        <v>19609</v>
      </c>
      <c r="J2565" s="235" t="s">
        <v>19610</v>
      </c>
      <c r="K2565" s="235" t="s">
        <v>19611</v>
      </c>
      <c r="N2565" s="235" t="s">
        <v>2163</v>
      </c>
      <c r="O2565" s="235" t="s">
        <v>2164</v>
      </c>
      <c r="P2565" s="238">
        <v>1.0</v>
      </c>
      <c r="Q2565" s="235" t="s">
        <v>627</v>
      </c>
      <c r="R2565" s="238">
        <v>270.48</v>
      </c>
      <c r="S2565" s="238">
        <v>13.25</v>
      </c>
      <c r="T2565" s="238">
        <v>0.0</v>
      </c>
      <c r="U2565" s="238">
        <v>0.0</v>
      </c>
      <c r="V2565" s="238">
        <v>0.0</v>
      </c>
      <c r="W2565" s="238">
        <v>0.0</v>
      </c>
      <c r="X2565" s="235" t="s">
        <v>628</v>
      </c>
      <c r="Z2565" s="244"/>
      <c r="AA2565" s="244"/>
      <c r="AB2565" s="244"/>
      <c r="AC2565" s="235" t="s">
        <v>1514</v>
      </c>
      <c r="AD2565" s="235" t="s">
        <v>1077</v>
      </c>
      <c r="AE2565" s="238">
        <v>382481.0</v>
      </c>
      <c r="AF2565" s="235" t="s">
        <v>631</v>
      </c>
      <c r="AG2565" s="244"/>
      <c r="AH2565" s="244"/>
      <c r="AI2565" s="245"/>
      <c r="AJ2565" s="245"/>
      <c r="AK2565" s="245"/>
      <c r="AL2565" s="245"/>
      <c r="AM2565" s="244"/>
      <c r="AN2565" s="244"/>
      <c r="AO2565" s="238">
        <v>-5.41</v>
      </c>
      <c r="AP2565" s="238">
        <v>0.0</v>
      </c>
      <c r="AQ2565" s="235" t="s">
        <v>632</v>
      </c>
      <c r="AR2565" s="243">
        <v>1.68E11</v>
      </c>
      <c r="AS2565" s="235" t="s">
        <v>19388</v>
      </c>
      <c r="AT2565" s="235" t="s">
        <v>5</v>
      </c>
      <c r="AU2565" s="235" t="s">
        <v>634</v>
      </c>
      <c r="AV2565" s="246" t="s">
        <v>635</v>
      </c>
      <c r="AW2565" s="242"/>
      <c r="AX2565" s="242"/>
      <c r="AY2565" s="231"/>
      <c r="AZ2565" s="231"/>
      <c r="BA2565" s="227"/>
      <c r="BB2565" s="231"/>
      <c r="BC2565" s="227"/>
      <c r="BD2565" s="227"/>
      <c r="BE2565" s="227"/>
      <c r="BF2565" s="227"/>
    </row>
    <row r="2566">
      <c r="A2566" s="235" t="s">
        <v>19612</v>
      </c>
      <c r="C2566" s="235" t="s">
        <v>19613</v>
      </c>
      <c r="D2566" s="235" t="s">
        <v>19614</v>
      </c>
      <c r="E2566" s="243">
        <v>6.53E13</v>
      </c>
      <c r="F2566" s="245"/>
      <c r="G2566" s="235" t="s">
        <v>19615</v>
      </c>
      <c r="H2566" s="235" t="s">
        <v>19616</v>
      </c>
      <c r="I2566" s="235" t="s">
        <v>19617</v>
      </c>
      <c r="J2566" s="235" t="s">
        <v>19618</v>
      </c>
      <c r="K2566" s="235" t="s">
        <v>19619</v>
      </c>
      <c r="N2566" s="235" t="s">
        <v>127</v>
      </c>
      <c r="O2566" s="235" t="s">
        <v>794</v>
      </c>
      <c r="P2566" s="238">
        <v>1.0</v>
      </c>
      <c r="Q2566" s="235" t="s">
        <v>627</v>
      </c>
      <c r="R2566" s="238">
        <v>270.48</v>
      </c>
      <c r="S2566" s="238">
        <v>13.25</v>
      </c>
      <c r="T2566" s="238">
        <v>0.0</v>
      </c>
      <c r="U2566" s="238">
        <v>0.0</v>
      </c>
      <c r="V2566" s="238">
        <v>0.0</v>
      </c>
      <c r="W2566" s="238">
        <v>0.0</v>
      </c>
      <c r="X2566" s="235" t="s">
        <v>628</v>
      </c>
      <c r="Z2566" s="244"/>
      <c r="AA2566" s="244"/>
      <c r="AB2566" s="244"/>
      <c r="AC2566" s="235" t="s">
        <v>19620</v>
      </c>
      <c r="AD2566" s="235" t="s">
        <v>845</v>
      </c>
      <c r="AE2566" s="238">
        <v>400603.0</v>
      </c>
      <c r="AF2566" s="235" t="s">
        <v>631</v>
      </c>
      <c r="AG2566" s="244"/>
      <c r="AH2566" s="244"/>
      <c r="AI2566" s="245"/>
      <c r="AJ2566" s="245"/>
      <c r="AK2566" s="245"/>
      <c r="AL2566" s="245"/>
      <c r="AM2566" s="244"/>
      <c r="AN2566" s="244"/>
      <c r="AO2566" s="238">
        <v>-5.41</v>
      </c>
      <c r="AP2566" s="238">
        <v>0.0</v>
      </c>
      <c r="AQ2566" s="235" t="s">
        <v>632</v>
      </c>
      <c r="AR2566" s="243">
        <v>3.71E11</v>
      </c>
      <c r="AS2566" s="235" t="s">
        <v>17988</v>
      </c>
      <c r="AT2566" s="235" t="s">
        <v>17</v>
      </c>
      <c r="AU2566" s="235" t="s">
        <v>634</v>
      </c>
      <c r="AV2566" s="246" t="s">
        <v>635</v>
      </c>
      <c r="AW2566" s="242"/>
      <c r="AX2566" s="242"/>
      <c r="AY2566" s="231"/>
      <c r="AZ2566" s="231"/>
      <c r="BA2566" s="227"/>
      <c r="BB2566" s="231"/>
      <c r="BC2566" s="227"/>
      <c r="BD2566" s="227"/>
      <c r="BE2566" s="227"/>
      <c r="BF2566" s="227"/>
    </row>
    <row r="2567">
      <c r="A2567" s="235" t="s">
        <v>19621</v>
      </c>
      <c r="C2567" s="235" t="s">
        <v>19622</v>
      </c>
      <c r="D2567" s="235" t="s">
        <v>19623</v>
      </c>
      <c r="E2567" s="243">
        <v>6.53E13</v>
      </c>
      <c r="F2567" s="245"/>
      <c r="G2567" s="235" t="s">
        <v>19624</v>
      </c>
      <c r="H2567" s="235" t="s">
        <v>19625</v>
      </c>
      <c r="I2567" s="235" t="s">
        <v>19625</v>
      </c>
      <c r="J2567" s="235" t="s">
        <v>19626</v>
      </c>
      <c r="K2567" s="235" t="s">
        <v>19627</v>
      </c>
      <c r="N2567" s="235" t="s">
        <v>71</v>
      </c>
      <c r="O2567" s="235" t="s">
        <v>240</v>
      </c>
      <c r="P2567" s="238">
        <v>1.0</v>
      </c>
      <c r="Q2567" s="235" t="s">
        <v>627</v>
      </c>
      <c r="R2567" s="238">
        <v>246.67</v>
      </c>
      <c r="S2567" s="238">
        <v>12.33</v>
      </c>
      <c r="T2567" s="238">
        <v>38.1</v>
      </c>
      <c r="U2567" s="238">
        <v>1.9</v>
      </c>
      <c r="V2567" s="238">
        <v>0.0</v>
      </c>
      <c r="W2567" s="238">
        <v>0.0</v>
      </c>
      <c r="X2567" s="235" t="s">
        <v>628</v>
      </c>
      <c r="Z2567" s="244"/>
      <c r="AA2567" s="244"/>
      <c r="AB2567" s="244"/>
      <c r="AC2567" s="235" t="s">
        <v>822</v>
      </c>
      <c r="AD2567" s="235" t="s">
        <v>630</v>
      </c>
      <c r="AE2567" s="238">
        <v>201301.0</v>
      </c>
      <c r="AF2567" s="235" t="s">
        <v>631</v>
      </c>
      <c r="AG2567" s="244"/>
      <c r="AH2567" s="244"/>
      <c r="AI2567" s="245"/>
      <c r="AJ2567" s="245"/>
      <c r="AK2567" s="245"/>
      <c r="AL2567" s="245"/>
      <c r="AM2567" s="244"/>
      <c r="AN2567" s="244"/>
      <c r="AO2567" s="238">
        <v>0.0</v>
      </c>
      <c r="AP2567" s="238">
        <v>-38.1</v>
      </c>
      <c r="AQ2567" s="235" t="s">
        <v>632</v>
      </c>
      <c r="AR2567" s="243">
        <v>3.71E11</v>
      </c>
      <c r="AS2567" s="235" t="s">
        <v>17988</v>
      </c>
      <c r="AT2567" s="235" t="s">
        <v>14</v>
      </c>
      <c r="AU2567" s="235" t="s">
        <v>634</v>
      </c>
      <c r="AV2567" s="246" t="s">
        <v>635</v>
      </c>
      <c r="AW2567" s="242"/>
      <c r="AX2567" s="242"/>
      <c r="AY2567" s="231"/>
      <c r="AZ2567" s="231"/>
      <c r="BA2567" s="227"/>
      <c r="BB2567" s="231"/>
      <c r="BC2567" s="227"/>
      <c r="BD2567" s="227"/>
      <c r="BE2567" s="227"/>
      <c r="BF2567" s="227"/>
    </row>
    <row r="2568">
      <c r="A2568" s="235" t="s">
        <v>19628</v>
      </c>
      <c r="C2568" s="235" t="s">
        <v>19629</v>
      </c>
      <c r="D2568" s="235" t="s">
        <v>19630</v>
      </c>
      <c r="E2568" s="243">
        <v>6.53E13</v>
      </c>
      <c r="F2568" s="245"/>
      <c r="G2568" s="235" t="s">
        <v>19631</v>
      </c>
      <c r="H2568" s="235" t="s">
        <v>19632</v>
      </c>
      <c r="I2568" s="235" t="s">
        <v>19632</v>
      </c>
      <c r="J2568" s="235" t="s">
        <v>19633</v>
      </c>
      <c r="K2568" s="235" t="s">
        <v>19634</v>
      </c>
      <c r="N2568" s="235" t="s">
        <v>90</v>
      </c>
      <c r="O2568" s="235" t="s">
        <v>279</v>
      </c>
      <c r="P2568" s="238">
        <v>1.0</v>
      </c>
      <c r="Q2568" s="235" t="s">
        <v>627</v>
      </c>
      <c r="R2568" s="238">
        <v>270.48</v>
      </c>
      <c r="S2568" s="238">
        <v>13.52</v>
      </c>
      <c r="T2568" s="238">
        <v>0.0</v>
      </c>
      <c r="U2568" s="238">
        <v>0.0</v>
      </c>
      <c r="V2568" s="238">
        <v>0.0</v>
      </c>
      <c r="W2568" s="238">
        <v>0.0</v>
      </c>
      <c r="X2568" s="235" t="s">
        <v>628</v>
      </c>
      <c r="Z2568" s="244"/>
      <c r="AA2568" s="244"/>
      <c r="AB2568" s="244"/>
      <c r="AC2568" s="235" t="s">
        <v>2165</v>
      </c>
      <c r="AD2568" s="235" t="s">
        <v>928</v>
      </c>
      <c r="AE2568" s="238">
        <v>121002.0</v>
      </c>
      <c r="AF2568" s="235" t="s">
        <v>631</v>
      </c>
      <c r="AG2568" s="244"/>
      <c r="AH2568" s="244"/>
      <c r="AI2568" s="245"/>
      <c r="AJ2568" s="245"/>
      <c r="AK2568" s="245"/>
      <c r="AL2568" s="245"/>
      <c r="AM2568" s="244"/>
      <c r="AN2568" s="244"/>
      <c r="AO2568" s="238">
        <v>0.0</v>
      </c>
      <c r="AP2568" s="238">
        <v>0.0</v>
      </c>
      <c r="AQ2568" s="235" t="s">
        <v>632</v>
      </c>
      <c r="AR2568" s="243">
        <v>1.68E11</v>
      </c>
      <c r="AS2568" s="235" t="s">
        <v>19388</v>
      </c>
      <c r="AT2568" s="235" t="s">
        <v>533</v>
      </c>
      <c r="AU2568" s="235" t="s">
        <v>634</v>
      </c>
      <c r="AV2568" s="246" t="s">
        <v>635</v>
      </c>
      <c r="AW2568" s="242"/>
      <c r="AX2568" s="242"/>
      <c r="AY2568" s="231"/>
      <c r="AZ2568" s="231"/>
      <c r="BA2568" s="227"/>
      <c r="BB2568" s="231"/>
      <c r="BC2568" s="227"/>
      <c r="BD2568" s="227"/>
      <c r="BE2568" s="227"/>
      <c r="BF2568" s="227"/>
    </row>
    <row r="2569">
      <c r="A2569" s="235" t="s">
        <v>19635</v>
      </c>
      <c r="C2569" s="235" t="s">
        <v>19636</v>
      </c>
      <c r="D2569" s="235" t="s">
        <v>19637</v>
      </c>
      <c r="E2569" s="243">
        <v>6.53E13</v>
      </c>
      <c r="F2569" s="245"/>
      <c r="G2569" s="235" t="s">
        <v>19638</v>
      </c>
      <c r="H2569" s="235" t="s">
        <v>19639</v>
      </c>
      <c r="I2569" s="235" t="s">
        <v>19639</v>
      </c>
      <c r="J2569" s="235" t="s">
        <v>19640</v>
      </c>
      <c r="K2569" s="235" t="s">
        <v>19641</v>
      </c>
      <c r="N2569" s="235" t="s">
        <v>53</v>
      </c>
      <c r="O2569" s="235" t="s">
        <v>512</v>
      </c>
      <c r="P2569" s="238">
        <v>1.0</v>
      </c>
      <c r="Q2569" s="235" t="s">
        <v>627</v>
      </c>
      <c r="R2569" s="238">
        <v>270.48</v>
      </c>
      <c r="S2569" s="238">
        <v>13.25</v>
      </c>
      <c r="T2569" s="238">
        <v>0.0</v>
      </c>
      <c r="U2569" s="238">
        <v>0.0</v>
      </c>
      <c r="V2569" s="238">
        <v>0.0</v>
      </c>
      <c r="W2569" s="238">
        <v>0.0</v>
      </c>
      <c r="X2569" s="235" t="s">
        <v>628</v>
      </c>
      <c r="Z2569" s="244"/>
      <c r="AA2569" s="244"/>
      <c r="AB2569" s="244"/>
      <c r="AC2569" s="235" t="s">
        <v>814</v>
      </c>
      <c r="AD2569" s="235" t="s">
        <v>698</v>
      </c>
      <c r="AE2569" s="238">
        <v>500032.0</v>
      </c>
      <c r="AF2569" s="235" t="s">
        <v>631</v>
      </c>
      <c r="AG2569" s="244"/>
      <c r="AH2569" s="244"/>
      <c r="AI2569" s="245"/>
      <c r="AJ2569" s="245"/>
      <c r="AK2569" s="245"/>
      <c r="AL2569" s="245"/>
      <c r="AM2569" s="244"/>
      <c r="AN2569" s="244"/>
      <c r="AO2569" s="238">
        <v>-5.41</v>
      </c>
      <c r="AP2569" s="238">
        <v>0.0</v>
      </c>
      <c r="AQ2569" s="235" t="s">
        <v>632</v>
      </c>
      <c r="AR2569" s="243">
        <v>1.68E11</v>
      </c>
      <c r="AS2569" s="235" t="s">
        <v>17988</v>
      </c>
      <c r="AT2569" s="235" t="s">
        <v>9</v>
      </c>
      <c r="AU2569" s="235" t="s">
        <v>634</v>
      </c>
      <c r="AV2569" s="246" t="s">
        <v>635</v>
      </c>
      <c r="AW2569" s="242"/>
      <c r="AX2569" s="242"/>
      <c r="AY2569" s="231"/>
      <c r="AZ2569" s="231"/>
      <c r="BA2569" s="227"/>
      <c r="BB2569" s="231"/>
      <c r="BC2569" s="227"/>
      <c r="BD2569" s="227"/>
      <c r="BE2569" s="227"/>
      <c r="BF2569" s="227"/>
    </row>
    <row r="2570">
      <c r="A2570" s="235" t="s">
        <v>19642</v>
      </c>
      <c r="C2570" s="235" t="s">
        <v>19643</v>
      </c>
      <c r="D2570" s="235" t="s">
        <v>19644</v>
      </c>
      <c r="E2570" s="243">
        <v>6.53E13</v>
      </c>
      <c r="F2570" s="245"/>
      <c r="G2570" s="235" t="s">
        <v>19645</v>
      </c>
      <c r="H2570" s="235" t="s">
        <v>19646</v>
      </c>
      <c r="I2570" s="235" t="s">
        <v>19647</v>
      </c>
      <c r="J2570" s="235" t="s">
        <v>19648</v>
      </c>
      <c r="K2570" s="235" t="s">
        <v>19649</v>
      </c>
      <c r="N2570" s="235" t="s">
        <v>117</v>
      </c>
      <c r="O2570" s="235" t="s">
        <v>334</v>
      </c>
      <c r="P2570" s="238">
        <v>1.0</v>
      </c>
      <c r="Q2570" s="235" t="s">
        <v>627</v>
      </c>
      <c r="R2570" s="238">
        <v>270.48</v>
      </c>
      <c r="S2570" s="238">
        <v>13.25</v>
      </c>
      <c r="T2570" s="238">
        <v>0.0</v>
      </c>
      <c r="U2570" s="238">
        <v>0.0</v>
      </c>
      <c r="V2570" s="238">
        <v>0.0</v>
      </c>
      <c r="W2570" s="238">
        <v>0.0</v>
      </c>
      <c r="X2570" s="235" t="s">
        <v>628</v>
      </c>
      <c r="Z2570" s="244"/>
      <c r="AA2570" s="244"/>
      <c r="AB2570" s="244"/>
      <c r="AC2570" s="235" t="s">
        <v>1514</v>
      </c>
      <c r="AD2570" s="235" t="s">
        <v>1077</v>
      </c>
      <c r="AE2570" s="238">
        <v>382470.0</v>
      </c>
      <c r="AF2570" s="235" t="s">
        <v>631</v>
      </c>
      <c r="AG2570" s="244"/>
      <c r="AH2570" s="244"/>
      <c r="AI2570" s="245"/>
      <c r="AJ2570" s="245"/>
      <c r="AK2570" s="245"/>
      <c r="AL2570" s="245"/>
      <c r="AM2570" s="244"/>
      <c r="AN2570" s="244"/>
      <c r="AO2570" s="238">
        <v>-5.41</v>
      </c>
      <c r="AP2570" s="238">
        <v>0.0</v>
      </c>
      <c r="AQ2570" s="235" t="s">
        <v>632</v>
      </c>
      <c r="AR2570" s="243">
        <v>3.71E11</v>
      </c>
      <c r="AS2570" s="235" t="s">
        <v>16626</v>
      </c>
      <c r="AT2570" s="235" t="s">
        <v>13</v>
      </c>
      <c r="AU2570" s="235" t="s">
        <v>634</v>
      </c>
      <c r="AV2570" s="246" t="s">
        <v>635</v>
      </c>
      <c r="AW2570" s="242"/>
      <c r="AX2570" s="242"/>
      <c r="AY2570" s="231"/>
      <c r="AZ2570" s="231"/>
      <c r="BA2570" s="227"/>
      <c r="BB2570" s="231"/>
      <c r="BC2570" s="227"/>
      <c r="BD2570" s="227"/>
      <c r="BE2570" s="227"/>
      <c r="BF2570" s="227"/>
    </row>
    <row r="2571">
      <c r="A2571" s="235" t="s">
        <v>19650</v>
      </c>
      <c r="C2571" s="235" t="s">
        <v>19651</v>
      </c>
      <c r="D2571" s="235" t="s">
        <v>19652</v>
      </c>
      <c r="E2571" s="243">
        <v>6.53E13</v>
      </c>
      <c r="F2571" s="245"/>
      <c r="G2571" s="235" t="s">
        <v>19653</v>
      </c>
      <c r="H2571" s="235" t="s">
        <v>19654</v>
      </c>
      <c r="I2571" s="235" t="s">
        <v>19654</v>
      </c>
      <c r="J2571" s="235" t="s">
        <v>19655</v>
      </c>
      <c r="K2571" s="235" t="s">
        <v>19656</v>
      </c>
      <c r="N2571" s="235" t="s">
        <v>42</v>
      </c>
      <c r="O2571" s="235" t="s">
        <v>204</v>
      </c>
      <c r="P2571" s="238">
        <v>1.0</v>
      </c>
      <c r="Q2571" s="235" t="s">
        <v>627</v>
      </c>
      <c r="R2571" s="238">
        <v>270.48</v>
      </c>
      <c r="S2571" s="238">
        <v>13.52</v>
      </c>
      <c r="T2571" s="238">
        <v>38.1</v>
      </c>
      <c r="U2571" s="238">
        <v>1.9</v>
      </c>
      <c r="V2571" s="238">
        <v>0.0</v>
      </c>
      <c r="W2571" s="238">
        <v>0.0</v>
      </c>
      <c r="X2571" s="235" t="s">
        <v>628</v>
      </c>
      <c r="Z2571" s="244"/>
      <c r="AA2571" s="244"/>
      <c r="AB2571" s="244"/>
      <c r="AC2571" s="235" t="s">
        <v>5138</v>
      </c>
      <c r="AD2571" s="235" t="s">
        <v>833</v>
      </c>
      <c r="AE2571" s="238">
        <v>524308.0</v>
      </c>
      <c r="AF2571" s="235" t="s">
        <v>631</v>
      </c>
      <c r="AG2571" s="244"/>
      <c r="AH2571" s="244"/>
      <c r="AI2571" s="245"/>
      <c r="AJ2571" s="245"/>
      <c r="AK2571" s="245"/>
      <c r="AL2571" s="245"/>
      <c r="AM2571" s="244"/>
      <c r="AN2571" s="244"/>
      <c r="AO2571" s="238">
        <v>0.0</v>
      </c>
      <c r="AP2571" s="238">
        <v>-38.1</v>
      </c>
      <c r="AQ2571" s="235" t="s">
        <v>632</v>
      </c>
      <c r="AR2571" s="243">
        <v>3.71E11</v>
      </c>
      <c r="AS2571" s="235" t="s">
        <v>15064</v>
      </c>
      <c r="AT2571" s="235" t="s">
        <v>9</v>
      </c>
      <c r="AU2571" s="235" t="s">
        <v>634</v>
      </c>
      <c r="AV2571" s="246" t="s">
        <v>635</v>
      </c>
      <c r="AW2571" s="242"/>
      <c r="AX2571" s="242"/>
      <c r="AY2571" s="231"/>
      <c r="AZ2571" s="231"/>
      <c r="BA2571" s="227"/>
      <c r="BB2571" s="231"/>
      <c r="BC2571" s="227"/>
      <c r="BD2571" s="227"/>
      <c r="BE2571" s="227"/>
      <c r="BF2571" s="227"/>
    </row>
    <row r="2572">
      <c r="A2572" s="235" t="s">
        <v>19657</v>
      </c>
      <c r="C2572" s="235" t="s">
        <v>19658</v>
      </c>
      <c r="D2572" s="235" t="s">
        <v>19659</v>
      </c>
      <c r="E2572" s="243">
        <v>6.53E13</v>
      </c>
      <c r="F2572" s="245"/>
      <c r="G2572" s="235" t="s">
        <v>19660</v>
      </c>
      <c r="H2572" s="235" t="s">
        <v>19661</v>
      </c>
      <c r="I2572" s="235" t="s">
        <v>19662</v>
      </c>
      <c r="J2572" s="235" t="s">
        <v>19663</v>
      </c>
      <c r="K2572" s="235" t="s">
        <v>19664</v>
      </c>
      <c r="N2572" s="235" t="s">
        <v>85</v>
      </c>
      <c r="O2572" s="235" t="s">
        <v>872</v>
      </c>
      <c r="P2572" s="238">
        <v>1.0</v>
      </c>
      <c r="Q2572" s="235" t="s">
        <v>627</v>
      </c>
      <c r="R2572" s="238">
        <v>270.48</v>
      </c>
      <c r="S2572" s="238">
        <v>13.25</v>
      </c>
      <c r="T2572" s="238">
        <v>0.0</v>
      </c>
      <c r="U2572" s="238">
        <v>0.0</v>
      </c>
      <c r="V2572" s="238">
        <v>0.0</v>
      </c>
      <c r="W2572" s="238">
        <v>0.0</v>
      </c>
      <c r="X2572" s="235" t="s">
        <v>628</v>
      </c>
      <c r="Z2572" s="244"/>
      <c r="AA2572" s="244"/>
      <c r="AB2572" s="244"/>
      <c r="AC2572" s="235" t="s">
        <v>19665</v>
      </c>
      <c r="AD2572" s="235" t="s">
        <v>645</v>
      </c>
      <c r="AE2572" s="238">
        <v>686105.0</v>
      </c>
      <c r="AF2572" s="235" t="s">
        <v>631</v>
      </c>
      <c r="AG2572" s="244"/>
      <c r="AH2572" s="244"/>
      <c r="AI2572" s="245"/>
      <c r="AJ2572" s="245"/>
      <c r="AK2572" s="245"/>
      <c r="AL2572" s="245"/>
      <c r="AM2572" s="244"/>
      <c r="AN2572" s="244"/>
      <c r="AO2572" s="238">
        <v>-5.41</v>
      </c>
      <c r="AP2572" s="238">
        <v>0.0</v>
      </c>
      <c r="AQ2572" s="235" t="s">
        <v>632</v>
      </c>
      <c r="AR2572" s="243">
        <v>3.71E11</v>
      </c>
      <c r="AS2572" s="235" t="s">
        <v>17988</v>
      </c>
      <c r="AT2572" s="235" t="s">
        <v>155</v>
      </c>
      <c r="AU2572" s="235" t="s">
        <v>634</v>
      </c>
      <c r="AV2572" s="246" t="s">
        <v>635</v>
      </c>
      <c r="AW2572" s="242"/>
      <c r="AX2572" s="242"/>
      <c r="AY2572" s="231"/>
      <c r="AZ2572" s="231"/>
      <c r="BA2572" s="227"/>
      <c r="BB2572" s="231"/>
      <c r="BC2572" s="227"/>
      <c r="BD2572" s="227"/>
      <c r="BE2572" s="227"/>
      <c r="BF2572" s="227"/>
    </row>
    <row r="2573">
      <c r="A2573" s="235" t="s">
        <v>19666</v>
      </c>
      <c r="C2573" s="235" t="s">
        <v>19667</v>
      </c>
      <c r="D2573" s="235" t="s">
        <v>19668</v>
      </c>
      <c r="E2573" s="243">
        <v>6.53E13</v>
      </c>
      <c r="F2573" s="245"/>
      <c r="G2573" s="235" t="s">
        <v>19669</v>
      </c>
      <c r="H2573" s="235" t="s">
        <v>19670</v>
      </c>
      <c r="I2573" s="235" t="s">
        <v>19670</v>
      </c>
      <c r="J2573" s="235" t="s">
        <v>19671</v>
      </c>
      <c r="K2573" s="235" t="s">
        <v>19672</v>
      </c>
      <c r="N2573" s="235" t="s">
        <v>78</v>
      </c>
      <c r="O2573" s="235" t="s">
        <v>360</v>
      </c>
      <c r="P2573" s="238">
        <v>1.0</v>
      </c>
      <c r="Q2573" s="235" t="s">
        <v>627</v>
      </c>
      <c r="R2573" s="238">
        <v>357.14</v>
      </c>
      <c r="S2573" s="238">
        <v>17.86</v>
      </c>
      <c r="T2573" s="238">
        <v>0.0</v>
      </c>
      <c r="U2573" s="238">
        <v>0.0</v>
      </c>
      <c r="V2573" s="238">
        <v>0.0</v>
      </c>
      <c r="W2573" s="238">
        <v>0.0</v>
      </c>
      <c r="X2573" s="235" t="s">
        <v>628</v>
      </c>
      <c r="Z2573" s="244"/>
      <c r="AA2573" s="244"/>
      <c r="AB2573" s="244"/>
      <c r="AC2573" s="235" t="s">
        <v>1604</v>
      </c>
      <c r="AD2573" s="235" t="s">
        <v>845</v>
      </c>
      <c r="AE2573" s="238">
        <v>400008.0</v>
      </c>
      <c r="AF2573" s="235" t="s">
        <v>631</v>
      </c>
      <c r="AG2573" s="244"/>
      <c r="AH2573" s="244"/>
      <c r="AI2573" s="245"/>
      <c r="AJ2573" s="245"/>
      <c r="AK2573" s="245"/>
      <c r="AL2573" s="245"/>
      <c r="AM2573" s="244"/>
      <c r="AN2573" s="244"/>
      <c r="AO2573" s="238">
        <v>0.0</v>
      </c>
      <c r="AP2573" s="238">
        <v>0.0</v>
      </c>
      <c r="AQ2573" s="235" t="s">
        <v>632</v>
      </c>
      <c r="AR2573" s="243">
        <v>2.02E11</v>
      </c>
      <c r="AS2573" s="235" t="s">
        <v>17988</v>
      </c>
      <c r="AT2573" s="235" t="s">
        <v>14</v>
      </c>
      <c r="AU2573" s="235" t="s">
        <v>634</v>
      </c>
      <c r="AV2573" s="246" t="s">
        <v>635</v>
      </c>
      <c r="AW2573" s="242"/>
      <c r="AX2573" s="242"/>
      <c r="AY2573" s="231"/>
      <c r="AZ2573" s="231"/>
      <c r="BA2573" s="227"/>
      <c r="BB2573" s="231"/>
      <c r="BC2573" s="227"/>
      <c r="BD2573" s="227"/>
      <c r="BE2573" s="227"/>
      <c r="BF2573" s="227"/>
    </row>
    <row r="2574">
      <c r="A2574" s="235" t="s">
        <v>19673</v>
      </c>
      <c r="C2574" s="235" t="s">
        <v>19674</v>
      </c>
      <c r="D2574" s="235" t="s">
        <v>19675</v>
      </c>
      <c r="E2574" s="243">
        <v>6.53E13</v>
      </c>
      <c r="F2574" s="245"/>
      <c r="G2574" s="235" t="s">
        <v>19676</v>
      </c>
      <c r="H2574" s="235" t="s">
        <v>19677</v>
      </c>
      <c r="I2574" s="235" t="s">
        <v>19677</v>
      </c>
      <c r="J2574" s="235" t="s">
        <v>19678</v>
      </c>
      <c r="K2574" s="235" t="s">
        <v>19679</v>
      </c>
      <c r="N2574" s="235" t="s">
        <v>148</v>
      </c>
      <c r="O2574" s="235" t="s">
        <v>1006</v>
      </c>
      <c r="P2574" s="238">
        <v>1.0</v>
      </c>
      <c r="Q2574" s="235" t="s">
        <v>627</v>
      </c>
      <c r="R2574" s="238">
        <v>300.0</v>
      </c>
      <c r="S2574" s="238">
        <v>15.0</v>
      </c>
      <c r="T2574" s="238">
        <v>38.1</v>
      </c>
      <c r="U2574" s="238">
        <v>1.9</v>
      </c>
      <c r="V2574" s="238">
        <v>0.0</v>
      </c>
      <c r="W2574" s="238">
        <v>0.0</v>
      </c>
      <c r="X2574" s="235" t="s">
        <v>628</v>
      </c>
      <c r="Z2574" s="244"/>
      <c r="AA2574" s="244"/>
      <c r="AB2574" s="244"/>
      <c r="AC2574" s="235" t="s">
        <v>19680</v>
      </c>
      <c r="AD2574" s="235" t="s">
        <v>3113</v>
      </c>
      <c r="AE2574" s="238">
        <v>490006.0</v>
      </c>
      <c r="AF2574" s="235" t="s">
        <v>631</v>
      </c>
      <c r="AG2574" s="244"/>
      <c r="AH2574" s="244"/>
      <c r="AI2574" s="245"/>
      <c r="AJ2574" s="245"/>
      <c r="AK2574" s="245"/>
      <c r="AL2574" s="245"/>
      <c r="AM2574" s="244"/>
      <c r="AN2574" s="244"/>
      <c r="AO2574" s="238">
        <v>0.0</v>
      </c>
      <c r="AP2574" s="238">
        <v>-38.1</v>
      </c>
      <c r="AQ2574" s="235" t="s">
        <v>632</v>
      </c>
      <c r="AR2574" s="243">
        <v>3.71E11</v>
      </c>
      <c r="AS2574" s="235" t="s">
        <v>12693</v>
      </c>
      <c r="AT2574" s="235" t="s">
        <v>5</v>
      </c>
      <c r="AU2574" s="235" t="s">
        <v>634</v>
      </c>
      <c r="AV2574" s="246" t="s">
        <v>635</v>
      </c>
      <c r="AW2574" s="242"/>
      <c r="AX2574" s="242"/>
      <c r="AY2574" s="231"/>
      <c r="AZ2574" s="231"/>
      <c r="BA2574" s="227"/>
      <c r="BB2574" s="231"/>
      <c r="BC2574" s="227"/>
      <c r="BD2574" s="227"/>
      <c r="BE2574" s="227"/>
      <c r="BF2574" s="227"/>
    </row>
    <row r="2575">
      <c r="A2575" s="235" t="s">
        <v>19681</v>
      </c>
      <c r="C2575" s="235" t="s">
        <v>19682</v>
      </c>
      <c r="D2575" s="235" t="s">
        <v>19683</v>
      </c>
      <c r="E2575" s="243">
        <v>6.53E13</v>
      </c>
      <c r="F2575" s="245"/>
      <c r="G2575" s="235" t="s">
        <v>19684</v>
      </c>
      <c r="H2575" s="235" t="s">
        <v>19685</v>
      </c>
      <c r="I2575" s="235" t="s">
        <v>19686</v>
      </c>
      <c r="J2575" s="235" t="s">
        <v>19687</v>
      </c>
      <c r="K2575" s="235" t="s">
        <v>19688</v>
      </c>
      <c r="N2575" s="235" t="s">
        <v>141</v>
      </c>
      <c r="O2575" s="235" t="s">
        <v>342</v>
      </c>
      <c r="P2575" s="238">
        <v>1.0</v>
      </c>
      <c r="Q2575" s="235" t="s">
        <v>627</v>
      </c>
      <c r="R2575" s="238">
        <v>270.48</v>
      </c>
      <c r="S2575" s="238">
        <v>13.52</v>
      </c>
      <c r="T2575" s="238">
        <v>0.0</v>
      </c>
      <c r="U2575" s="238">
        <v>0.0</v>
      </c>
      <c r="V2575" s="238">
        <v>0.0</v>
      </c>
      <c r="W2575" s="238">
        <v>0.0</v>
      </c>
      <c r="X2575" s="235" t="s">
        <v>628</v>
      </c>
      <c r="Z2575" s="244"/>
      <c r="AA2575" s="244"/>
      <c r="AB2575" s="244"/>
      <c r="AC2575" s="235" t="s">
        <v>1531</v>
      </c>
      <c r="AD2575" s="235" t="s">
        <v>1151</v>
      </c>
      <c r="AE2575" s="238">
        <v>700051.0</v>
      </c>
      <c r="AF2575" s="235" t="s">
        <v>631</v>
      </c>
      <c r="AG2575" s="244"/>
      <c r="AH2575" s="244"/>
      <c r="AI2575" s="245"/>
      <c r="AJ2575" s="245"/>
      <c r="AK2575" s="245"/>
      <c r="AL2575" s="245"/>
      <c r="AM2575" s="244"/>
      <c r="AN2575" s="244"/>
      <c r="AO2575" s="238">
        <v>0.0</v>
      </c>
      <c r="AP2575" s="238">
        <v>0.0</v>
      </c>
      <c r="AQ2575" s="235" t="s">
        <v>632</v>
      </c>
      <c r="AR2575" s="243">
        <v>2.02E11</v>
      </c>
      <c r="AS2575" s="235" t="s">
        <v>17988</v>
      </c>
      <c r="AT2575" s="235" t="s">
        <v>156</v>
      </c>
      <c r="AU2575" s="235" t="s">
        <v>634</v>
      </c>
      <c r="AV2575" s="246" t="s">
        <v>635</v>
      </c>
      <c r="AW2575" s="242"/>
      <c r="AX2575" s="242"/>
      <c r="AY2575" s="231"/>
      <c r="AZ2575" s="231"/>
      <c r="BA2575" s="227"/>
      <c r="BB2575" s="231"/>
      <c r="BC2575" s="227"/>
      <c r="BD2575" s="227"/>
      <c r="BE2575" s="227"/>
      <c r="BF2575" s="227"/>
    </row>
    <row r="2576">
      <c r="A2576" s="235" t="s">
        <v>19689</v>
      </c>
      <c r="C2576" s="235" t="s">
        <v>19690</v>
      </c>
      <c r="D2576" s="235" t="s">
        <v>19691</v>
      </c>
      <c r="E2576" s="243">
        <v>6.53E13</v>
      </c>
      <c r="F2576" s="245"/>
      <c r="G2576" s="235" t="s">
        <v>19692</v>
      </c>
      <c r="H2576" s="235" t="s">
        <v>19693</v>
      </c>
      <c r="I2576" s="235" t="s">
        <v>19693</v>
      </c>
      <c r="J2576" s="235" t="s">
        <v>19694</v>
      </c>
      <c r="K2576" s="235" t="s">
        <v>19695</v>
      </c>
      <c r="N2576" s="235" t="s">
        <v>43</v>
      </c>
      <c r="O2576" s="235" t="s">
        <v>276</v>
      </c>
      <c r="P2576" s="238">
        <v>1.0</v>
      </c>
      <c r="Q2576" s="235" t="s">
        <v>627</v>
      </c>
      <c r="R2576" s="238">
        <v>270.48</v>
      </c>
      <c r="S2576" s="238">
        <v>13.25</v>
      </c>
      <c r="T2576" s="238">
        <v>0.0</v>
      </c>
      <c r="U2576" s="238">
        <v>0.0</v>
      </c>
      <c r="V2576" s="238">
        <v>0.0</v>
      </c>
      <c r="W2576" s="238">
        <v>0.0</v>
      </c>
      <c r="X2576" s="235" t="s">
        <v>628</v>
      </c>
      <c r="Z2576" s="244"/>
      <c r="AA2576" s="244"/>
      <c r="AB2576" s="244"/>
      <c r="AC2576" s="235" t="s">
        <v>697</v>
      </c>
      <c r="AD2576" s="235" t="s">
        <v>698</v>
      </c>
      <c r="AE2576" s="238">
        <v>500072.0</v>
      </c>
      <c r="AF2576" s="235" t="s">
        <v>631</v>
      </c>
      <c r="AG2576" s="244"/>
      <c r="AH2576" s="244"/>
      <c r="AI2576" s="245"/>
      <c r="AJ2576" s="245"/>
      <c r="AK2576" s="245"/>
      <c r="AL2576" s="245"/>
      <c r="AM2576" s="244"/>
      <c r="AN2576" s="244"/>
      <c r="AO2576" s="238">
        <v>-5.41</v>
      </c>
      <c r="AP2576" s="238">
        <v>0.0</v>
      </c>
      <c r="AQ2576" s="235" t="s">
        <v>632</v>
      </c>
      <c r="AR2576" s="243">
        <v>3.71E11</v>
      </c>
      <c r="AS2576" s="235" t="s">
        <v>16626</v>
      </c>
      <c r="AT2576" s="235" t="s">
        <v>16</v>
      </c>
      <c r="AU2576" s="235" t="s">
        <v>634</v>
      </c>
      <c r="AV2576" s="246" t="s">
        <v>635</v>
      </c>
      <c r="AW2576" s="242"/>
      <c r="AX2576" s="242"/>
      <c r="AY2576" s="231"/>
      <c r="AZ2576" s="231"/>
      <c r="BA2576" s="227"/>
      <c r="BB2576" s="231"/>
      <c r="BC2576" s="227"/>
      <c r="BD2576" s="227"/>
      <c r="BE2576" s="227"/>
      <c r="BF2576" s="227"/>
    </row>
    <row r="2577">
      <c r="A2577" s="235" t="s">
        <v>19696</v>
      </c>
      <c r="C2577" s="235" t="s">
        <v>19697</v>
      </c>
      <c r="D2577" s="235" t="s">
        <v>19698</v>
      </c>
      <c r="E2577" s="243">
        <v>6.51E13</v>
      </c>
      <c r="F2577" s="245"/>
      <c r="G2577" s="235" t="s">
        <v>19699</v>
      </c>
      <c r="H2577" s="235" t="s">
        <v>19700</v>
      </c>
      <c r="I2577" s="235" t="s">
        <v>19700</v>
      </c>
      <c r="J2577" s="235" t="s">
        <v>19701</v>
      </c>
      <c r="K2577" s="235" t="s">
        <v>19702</v>
      </c>
      <c r="N2577" s="235" t="s">
        <v>42</v>
      </c>
      <c r="O2577" s="235" t="s">
        <v>204</v>
      </c>
      <c r="P2577" s="238">
        <v>1.0</v>
      </c>
      <c r="Q2577" s="235" t="s">
        <v>627</v>
      </c>
      <c r="R2577" s="238">
        <v>236.2</v>
      </c>
      <c r="S2577" s="238">
        <v>11.8</v>
      </c>
      <c r="T2577" s="238">
        <v>38.1</v>
      </c>
      <c r="U2577" s="238">
        <v>1.9</v>
      </c>
      <c r="V2577" s="238">
        <v>0.0</v>
      </c>
      <c r="W2577" s="238">
        <v>0.0</v>
      </c>
      <c r="X2577" s="235" t="s">
        <v>628</v>
      </c>
      <c r="Z2577" s="244"/>
      <c r="AA2577" s="244"/>
      <c r="AB2577" s="244"/>
      <c r="AC2577" s="235" t="s">
        <v>1058</v>
      </c>
      <c r="AD2577" s="235" t="s">
        <v>845</v>
      </c>
      <c r="AE2577" s="238">
        <v>400098.0</v>
      </c>
      <c r="AF2577" s="235" t="s">
        <v>631</v>
      </c>
      <c r="AG2577" s="244"/>
      <c r="AH2577" s="244"/>
      <c r="AI2577" s="245"/>
      <c r="AJ2577" s="245"/>
      <c r="AK2577" s="245"/>
      <c r="AL2577" s="245"/>
      <c r="AM2577" s="244"/>
      <c r="AN2577" s="244"/>
      <c r="AO2577" s="238">
        <v>0.0</v>
      </c>
      <c r="AP2577" s="238">
        <v>-38.1</v>
      </c>
      <c r="AQ2577" s="235" t="s">
        <v>632</v>
      </c>
      <c r="AR2577" s="243">
        <v>3.71E11</v>
      </c>
      <c r="AS2577" s="235" t="s">
        <v>17988</v>
      </c>
      <c r="AT2577" s="235" t="s">
        <v>17</v>
      </c>
      <c r="AU2577" s="235" t="s">
        <v>634</v>
      </c>
      <c r="AV2577" s="246" t="s">
        <v>635</v>
      </c>
      <c r="AW2577" s="242"/>
      <c r="AX2577" s="242"/>
      <c r="AY2577" s="231"/>
      <c r="AZ2577" s="231"/>
      <c r="BA2577" s="227"/>
      <c r="BB2577" s="231"/>
      <c r="BC2577" s="227"/>
      <c r="BD2577" s="227"/>
      <c r="BE2577" s="227"/>
      <c r="BF2577" s="227"/>
    </row>
    <row r="2578">
      <c r="A2578" s="235" t="s">
        <v>19703</v>
      </c>
      <c r="C2578" s="235" t="s">
        <v>19704</v>
      </c>
      <c r="D2578" s="235" t="s">
        <v>19705</v>
      </c>
      <c r="E2578" s="243">
        <v>6.53E13</v>
      </c>
      <c r="F2578" s="245"/>
      <c r="G2578" s="235" t="s">
        <v>19706</v>
      </c>
      <c r="H2578" s="235" t="s">
        <v>19707</v>
      </c>
      <c r="I2578" s="235" t="s">
        <v>19707</v>
      </c>
      <c r="J2578" s="235" t="s">
        <v>19708</v>
      </c>
      <c r="K2578" s="235" t="s">
        <v>19709</v>
      </c>
      <c r="N2578" s="235" t="s">
        <v>92</v>
      </c>
      <c r="O2578" s="235" t="s">
        <v>248</v>
      </c>
      <c r="P2578" s="238">
        <v>1.0</v>
      </c>
      <c r="Q2578" s="235" t="s">
        <v>627</v>
      </c>
      <c r="R2578" s="238">
        <v>246.67</v>
      </c>
      <c r="S2578" s="238">
        <v>12.33</v>
      </c>
      <c r="T2578" s="238">
        <v>0.0</v>
      </c>
      <c r="U2578" s="238">
        <v>0.0</v>
      </c>
      <c r="V2578" s="238">
        <v>0.0</v>
      </c>
      <c r="W2578" s="238">
        <v>0.0</v>
      </c>
      <c r="X2578" s="235" t="s">
        <v>628</v>
      </c>
      <c r="Z2578" s="244"/>
      <c r="AA2578" s="244"/>
      <c r="AB2578" s="244"/>
      <c r="AC2578" s="235" t="s">
        <v>19710</v>
      </c>
      <c r="AD2578" s="235" t="s">
        <v>796</v>
      </c>
      <c r="AE2578" s="238">
        <v>110046.0</v>
      </c>
      <c r="AF2578" s="235" t="s">
        <v>631</v>
      </c>
      <c r="AG2578" s="244"/>
      <c r="AH2578" s="244"/>
      <c r="AI2578" s="245"/>
      <c r="AJ2578" s="245"/>
      <c r="AK2578" s="245"/>
      <c r="AL2578" s="245"/>
      <c r="AM2578" s="244"/>
      <c r="AN2578" s="244"/>
      <c r="AO2578" s="238">
        <v>0.0</v>
      </c>
      <c r="AP2578" s="238">
        <v>0.0</v>
      </c>
      <c r="AQ2578" s="235" t="s">
        <v>632</v>
      </c>
      <c r="AR2578" s="243">
        <v>3.71E11</v>
      </c>
      <c r="AS2578" s="235" t="s">
        <v>17988</v>
      </c>
      <c r="AT2578" s="235" t="s">
        <v>533</v>
      </c>
      <c r="AU2578" s="235" t="s">
        <v>634</v>
      </c>
      <c r="AV2578" s="246" t="s">
        <v>635</v>
      </c>
      <c r="AW2578" s="242"/>
      <c r="AX2578" s="242"/>
      <c r="AY2578" s="231"/>
      <c r="AZ2578" s="231"/>
      <c r="BA2578" s="227"/>
      <c r="BB2578" s="231"/>
      <c r="BC2578" s="227"/>
      <c r="BD2578" s="227"/>
      <c r="BE2578" s="227"/>
      <c r="BF2578" s="227"/>
    </row>
    <row r="2579">
      <c r="A2579" s="235" t="s">
        <v>19711</v>
      </c>
      <c r="C2579" s="235" t="s">
        <v>19712</v>
      </c>
      <c r="D2579" s="235" t="s">
        <v>19713</v>
      </c>
      <c r="E2579" s="243">
        <v>6.53E13</v>
      </c>
      <c r="F2579" s="245"/>
      <c r="G2579" s="235" t="s">
        <v>19714</v>
      </c>
      <c r="H2579" s="235" t="s">
        <v>19715</v>
      </c>
      <c r="I2579" s="235" t="s">
        <v>19715</v>
      </c>
      <c r="J2579" s="235" t="s">
        <v>19716</v>
      </c>
      <c r="K2579" s="235" t="s">
        <v>19717</v>
      </c>
      <c r="N2579" s="235" t="s">
        <v>126</v>
      </c>
      <c r="O2579" s="235" t="s">
        <v>407</v>
      </c>
      <c r="P2579" s="238">
        <v>1.0</v>
      </c>
      <c r="Q2579" s="235" t="s">
        <v>627</v>
      </c>
      <c r="R2579" s="238">
        <v>270.48</v>
      </c>
      <c r="S2579" s="238">
        <v>13.52</v>
      </c>
      <c r="T2579" s="238">
        <v>0.0</v>
      </c>
      <c r="U2579" s="238">
        <v>0.0</v>
      </c>
      <c r="V2579" s="238">
        <v>0.0</v>
      </c>
      <c r="W2579" s="238">
        <v>0.0</v>
      </c>
      <c r="X2579" s="235" t="s">
        <v>628</v>
      </c>
      <c r="Z2579" s="244"/>
      <c r="AA2579" s="244"/>
      <c r="AB2579" s="244"/>
      <c r="AC2579" s="235" t="s">
        <v>795</v>
      </c>
      <c r="AD2579" s="235" t="s">
        <v>796</v>
      </c>
      <c r="AE2579" s="238">
        <v>110034.0</v>
      </c>
      <c r="AF2579" s="235" t="s">
        <v>631</v>
      </c>
      <c r="AG2579" s="244"/>
      <c r="AH2579" s="244"/>
      <c r="AI2579" s="245"/>
      <c r="AJ2579" s="245"/>
      <c r="AK2579" s="245"/>
      <c r="AL2579" s="245"/>
      <c r="AM2579" s="244"/>
      <c r="AN2579" s="244"/>
      <c r="AO2579" s="238">
        <v>0.0</v>
      </c>
      <c r="AP2579" s="238">
        <v>0.0</v>
      </c>
      <c r="AQ2579" s="235" t="s">
        <v>632</v>
      </c>
      <c r="AR2579" s="243">
        <v>2.02E11</v>
      </c>
      <c r="AS2579" s="235" t="s">
        <v>17988</v>
      </c>
      <c r="AT2579" s="235" t="s">
        <v>11</v>
      </c>
      <c r="AU2579" s="235" t="s">
        <v>634</v>
      </c>
      <c r="AV2579" s="246" t="s">
        <v>635</v>
      </c>
      <c r="AW2579" s="242"/>
      <c r="AX2579" s="242"/>
      <c r="AY2579" s="231"/>
      <c r="AZ2579" s="231"/>
      <c r="BA2579" s="227"/>
      <c r="BB2579" s="231"/>
      <c r="BC2579" s="227"/>
      <c r="BD2579" s="227"/>
      <c r="BE2579" s="227"/>
      <c r="BF2579" s="227"/>
    </row>
    <row r="2580">
      <c r="A2580" s="235" t="s">
        <v>19718</v>
      </c>
      <c r="C2580" s="235" t="s">
        <v>19719</v>
      </c>
      <c r="D2580" s="235" t="s">
        <v>19720</v>
      </c>
      <c r="E2580" s="243">
        <v>6.53E13</v>
      </c>
      <c r="F2580" s="245"/>
      <c r="G2580" s="235" t="s">
        <v>19721</v>
      </c>
      <c r="H2580" s="235" t="s">
        <v>19722</v>
      </c>
      <c r="I2580" s="235" t="s">
        <v>19723</v>
      </c>
      <c r="J2580" s="235" t="s">
        <v>19724</v>
      </c>
      <c r="K2580" s="235" t="s">
        <v>19725</v>
      </c>
      <c r="N2580" s="235" t="s">
        <v>82</v>
      </c>
      <c r="O2580" s="235" t="s">
        <v>889</v>
      </c>
      <c r="P2580" s="238">
        <v>1.0</v>
      </c>
      <c r="Q2580" s="235" t="s">
        <v>627</v>
      </c>
      <c r="R2580" s="238">
        <v>270.48</v>
      </c>
      <c r="S2580" s="238">
        <v>13.52</v>
      </c>
      <c r="T2580" s="238">
        <v>0.0</v>
      </c>
      <c r="U2580" s="238">
        <v>0.0</v>
      </c>
      <c r="V2580" s="238">
        <v>0.0</v>
      </c>
      <c r="W2580" s="238">
        <v>0.0</v>
      </c>
      <c r="X2580" s="235" t="s">
        <v>628</v>
      </c>
      <c r="Z2580" s="244"/>
      <c r="AA2580" s="244"/>
      <c r="AB2580" s="244"/>
      <c r="AC2580" s="235" t="s">
        <v>3806</v>
      </c>
      <c r="AD2580" s="235" t="s">
        <v>881</v>
      </c>
      <c r="AE2580" s="238">
        <v>753008.0</v>
      </c>
      <c r="AF2580" s="235" t="s">
        <v>631</v>
      </c>
      <c r="AG2580" s="244"/>
      <c r="AH2580" s="244"/>
      <c r="AI2580" s="245"/>
      <c r="AJ2580" s="245"/>
      <c r="AK2580" s="245"/>
      <c r="AL2580" s="245"/>
      <c r="AM2580" s="244"/>
      <c r="AN2580" s="244"/>
      <c r="AO2580" s="238">
        <v>0.0</v>
      </c>
      <c r="AP2580" s="238">
        <v>0.0</v>
      </c>
      <c r="AQ2580" s="235" t="s">
        <v>632</v>
      </c>
      <c r="AR2580" s="243">
        <v>3.71E11</v>
      </c>
      <c r="AS2580" s="235" t="s">
        <v>13822</v>
      </c>
      <c r="AT2580" s="235" t="s">
        <v>14</v>
      </c>
      <c r="AU2580" s="235" t="s">
        <v>634</v>
      </c>
      <c r="AV2580" s="246" t="s">
        <v>635</v>
      </c>
      <c r="AW2580" s="242"/>
      <c r="AX2580" s="242"/>
      <c r="AY2580" s="231"/>
      <c r="AZ2580" s="231"/>
      <c r="BA2580" s="227"/>
      <c r="BB2580" s="231"/>
      <c r="BC2580" s="227"/>
      <c r="BD2580" s="227"/>
      <c r="BE2580" s="227"/>
      <c r="BF2580" s="227"/>
    </row>
    <row r="2581">
      <c r="A2581" s="235" t="s">
        <v>19726</v>
      </c>
      <c r="C2581" s="235" t="s">
        <v>19727</v>
      </c>
      <c r="D2581" s="235" t="s">
        <v>19728</v>
      </c>
      <c r="E2581" s="243">
        <v>6.53E13</v>
      </c>
      <c r="F2581" s="245"/>
      <c r="G2581" s="235" t="s">
        <v>19729</v>
      </c>
      <c r="H2581" s="235" t="s">
        <v>19730</v>
      </c>
      <c r="I2581" s="235" t="s">
        <v>19730</v>
      </c>
      <c r="J2581" s="235" t="s">
        <v>19731</v>
      </c>
      <c r="K2581" s="235" t="s">
        <v>19732</v>
      </c>
      <c r="N2581" s="235" t="s">
        <v>90</v>
      </c>
      <c r="O2581" s="235" t="s">
        <v>279</v>
      </c>
      <c r="P2581" s="238">
        <v>1.0</v>
      </c>
      <c r="Q2581" s="235" t="s">
        <v>627</v>
      </c>
      <c r="R2581" s="238">
        <v>270.48</v>
      </c>
      <c r="S2581" s="238">
        <v>13.52</v>
      </c>
      <c r="T2581" s="238">
        <v>38.1</v>
      </c>
      <c r="U2581" s="238">
        <v>1.9</v>
      </c>
      <c r="V2581" s="238">
        <v>0.0</v>
      </c>
      <c r="W2581" s="238">
        <v>0.0</v>
      </c>
      <c r="X2581" s="235" t="s">
        <v>628</v>
      </c>
      <c r="Z2581" s="244"/>
      <c r="AA2581" s="244"/>
      <c r="AB2581" s="244"/>
      <c r="AC2581" s="235" t="s">
        <v>19733</v>
      </c>
      <c r="AD2581" s="235" t="s">
        <v>854</v>
      </c>
      <c r="AE2581" s="238">
        <v>403502.0</v>
      </c>
      <c r="AF2581" s="235" t="s">
        <v>631</v>
      </c>
      <c r="AG2581" s="244"/>
      <c r="AH2581" s="244"/>
      <c r="AI2581" s="245"/>
      <c r="AJ2581" s="245"/>
      <c r="AK2581" s="245"/>
      <c r="AL2581" s="245"/>
      <c r="AM2581" s="244"/>
      <c r="AN2581" s="244"/>
      <c r="AO2581" s="238">
        <v>0.0</v>
      </c>
      <c r="AP2581" s="238">
        <v>-38.1</v>
      </c>
      <c r="AQ2581" s="235" t="s">
        <v>632</v>
      </c>
      <c r="AR2581" s="243">
        <v>3.71E11</v>
      </c>
      <c r="AS2581" s="235" t="s">
        <v>16626</v>
      </c>
      <c r="AT2581" s="235" t="s">
        <v>11</v>
      </c>
      <c r="AU2581" s="235" t="s">
        <v>634</v>
      </c>
      <c r="AV2581" s="246" t="s">
        <v>635</v>
      </c>
      <c r="AW2581" s="242"/>
      <c r="AX2581" s="242"/>
      <c r="AY2581" s="231"/>
      <c r="AZ2581" s="231"/>
      <c r="BA2581" s="227"/>
      <c r="BB2581" s="231"/>
      <c r="BC2581" s="227"/>
      <c r="BD2581" s="227"/>
      <c r="BE2581" s="227"/>
      <c r="BF2581" s="227"/>
    </row>
    <row r="2582">
      <c r="A2582" s="235" t="s">
        <v>19734</v>
      </c>
      <c r="C2582" s="235" t="s">
        <v>19735</v>
      </c>
      <c r="D2582" s="235" t="s">
        <v>19736</v>
      </c>
      <c r="E2582" s="243">
        <v>6.53E13</v>
      </c>
      <c r="F2582" s="245"/>
      <c r="G2582" s="235" t="s">
        <v>19737</v>
      </c>
      <c r="H2582" s="235" t="s">
        <v>19738</v>
      </c>
      <c r="I2582" s="235" t="s">
        <v>19738</v>
      </c>
      <c r="J2582" s="235" t="s">
        <v>19739</v>
      </c>
      <c r="K2582" s="235" t="s">
        <v>19740</v>
      </c>
      <c r="N2582" s="235" t="s">
        <v>50</v>
      </c>
      <c r="O2582" s="235" t="s">
        <v>367</v>
      </c>
      <c r="P2582" s="238">
        <v>1.0</v>
      </c>
      <c r="Q2582" s="235" t="s">
        <v>627</v>
      </c>
      <c r="R2582" s="238">
        <v>233.33</v>
      </c>
      <c r="S2582" s="238">
        <v>11.67</v>
      </c>
      <c r="T2582" s="238">
        <v>38.1</v>
      </c>
      <c r="U2582" s="238">
        <v>1.9</v>
      </c>
      <c r="V2582" s="238">
        <v>0.0</v>
      </c>
      <c r="W2582" s="238">
        <v>0.0</v>
      </c>
      <c r="X2582" s="235" t="s">
        <v>628</v>
      </c>
      <c r="Z2582" s="244"/>
      <c r="AA2582" s="244"/>
      <c r="AB2582" s="244"/>
      <c r="AC2582" s="235" t="s">
        <v>19741</v>
      </c>
      <c r="AD2582" s="235" t="s">
        <v>666</v>
      </c>
      <c r="AE2582" s="238">
        <v>605759.0</v>
      </c>
      <c r="AF2582" s="235" t="s">
        <v>631</v>
      </c>
      <c r="AG2582" s="244"/>
      <c r="AH2582" s="244"/>
      <c r="AI2582" s="245"/>
      <c r="AJ2582" s="245"/>
      <c r="AK2582" s="245"/>
      <c r="AL2582" s="245"/>
      <c r="AM2582" s="244"/>
      <c r="AN2582" s="244"/>
      <c r="AO2582" s="238">
        <v>0.0</v>
      </c>
      <c r="AP2582" s="238">
        <v>-38.1</v>
      </c>
      <c r="AQ2582" s="235" t="s">
        <v>1328</v>
      </c>
      <c r="AR2582" s="243">
        <v>1.34E13</v>
      </c>
      <c r="AS2582" s="235" t="s">
        <v>12693</v>
      </c>
      <c r="AT2582" s="235" t="s">
        <v>11</v>
      </c>
      <c r="AU2582" s="235" t="s">
        <v>634</v>
      </c>
      <c r="AV2582" s="246" t="s">
        <v>635</v>
      </c>
      <c r="AW2582" s="242"/>
      <c r="AX2582" s="242"/>
      <c r="AY2582" s="231"/>
      <c r="AZ2582" s="231"/>
      <c r="BA2582" s="227"/>
      <c r="BB2582" s="231"/>
      <c r="BC2582" s="227"/>
      <c r="BD2582" s="227"/>
      <c r="BE2582" s="227"/>
      <c r="BF2582" s="227"/>
    </row>
    <row r="2583">
      <c r="A2583" s="235" t="s">
        <v>19742</v>
      </c>
      <c r="C2583" s="235" t="s">
        <v>19743</v>
      </c>
      <c r="D2583" s="235" t="s">
        <v>19744</v>
      </c>
      <c r="E2583" s="243">
        <v>6.52E13</v>
      </c>
      <c r="F2583" s="245"/>
      <c r="G2583" s="235" t="s">
        <v>19745</v>
      </c>
      <c r="H2583" s="235" t="s">
        <v>19746</v>
      </c>
      <c r="I2583" s="235" t="s">
        <v>19746</v>
      </c>
      <c r="J2583" s="235" t="s">
        <v>19747</v>
      </c>
      <c r="K2583" s="235" t="s">
        <v>19748</v>
      </c>
      <c r="N2583" s="235" t="s">
        <v>82</v>
      </c>
      <c r="O2583" s="235" t="s">
        <v>889</v>
      </c>
      <c r="P2583" s="238">
        <v>1.0</v>
      </c>
      <c r="Q2583" s="235" t="s">
        <v>627</v>
      </c>
      <c r="R2583" s="238">
        <v>246.66</v>
      </c>
      <c r="S2583" s="238">
        <v>12.34</v>
      </c>
      <c r="T2583" s="238">
        <v>38.1</v>
      </c>
      <c r="U2583" s="238">
        <v>1.9</v>
      </c>
      <c r="V2583" s="238">
        <v>0.0</v>
      </c>
      <c r="W2583" s="238">
        <v>0.0</v>
      </c>
      <c r="X2583" s="235" t="s">
        <v>628</v>
      </c>
      <c r="Z2583" s="244"/>
      <c r="AA2583" s="244"/>
      <c r="AB2583" s="244"/>
      <c r="AC2583" s="235" t="s">
        <v>1095</v>
      </c>
      <c r="AD2583" s="235" t="s">
        <v>845</v>
      </c>
      <c r="AE2583" s="238">
        <v>410221.0</v>
      </c>
      <c r="AF2583" s="235" t="s">
        <v>631</v>
      </c>
      <c r="AG2583" s="244"/>
      <c r="AH2583" s="244"/>
      <c r="AI2583" s="245"/>
      <c r="AJ2583" s="245"/>
      <c r="AK2583" s="245"/>
      <c r="AL2583" s="245"/>
      <c r="AM2583" s="244"/>
      <c r="AN2583" s="244"/>
      <c r="AO2583" s="238">
        <v>0.0</v>
      </c>
      <c r="AP2583" s="238">
        <v>-38.1</v>
      </c>
      <c r="AQ2583" s="235" t="s">
        <v>632</v>
      </c>
      <c r="AR2583" s="243">
        <v>3.71E11</v>
      </c>
      <c r="AS2583" s="235" t="s">
        <v>17988</v>
      </c>
      <c r="AT2583" s="235" t="s">
        <v>17</v>
      </c>
      <c r="AU2583" s="235" t="s">
        <v>634</v>
      </c>
      <c r="AV2583" s="246" t="s">
        <v>635</v>
      </c>
      <c r="AW2583" s="242"/>
      <c r="AX2583" s="242"/>
      <c r="AY2583" s="231"/>
      <c r="AZ2583" s="231"/>
      <c r="BA2583" s="227"/>
      <c r="BB2583" s="231"/>
      <c r="BC2583" s="227"/>
      <c r="BD2583" s="227"/>
      <c r="BE2583" s="227"/>
      <c r="BF2583" s="227"/>
    </row>
    <row r="2584">
      <c r="A2584" s="235" t="s">
        <v>19749</v>
      </c>
      <c r="C2584" s="235" t="s">
        <v>19750</v>
      </c>
      <c r="D2584" s="235" t="s">
        <v>19751</v>
      </c>
      <c r="E2584" s="243">
        <v>6.53E13</v>
      </c>
      <c r="F2584" s="245"/>
      <c r="G2584" s="235" t="s">
        <v>19752</v>
      </c>
      <c r="H2584" s="235" t="s">
        <v>19753</v>
      </c>
      <c r="I2584" s="235" t="s">
        <v>19753</v>
      </c>
      <c r="J2584" s="235" t="s">
        <v>19754</v>
      </c>
      <c r="K2584" s="235" t="s">
        <v>19755</v>
      </c>
      <c r="N2584" s="235" t="s">
        <v>144</v>
      </c>
      <c r="O2584" s="235" t="s">
        <v>232</v>
      </c>
      <c r="P2584" s="238">
        <v>1.0</v>
      </c>
      <c r="Q2584" s="235" t="s">
        <v>627</v>
      </c>
      <c r="R2584" s="238">
        <v>808.57</v>
      </c>
      <c r="S2584" s="238">
        <v>40.43</v>
      </c>
      <c r="T2584" s="238">
        <v>0.0</v>
      </c>
      <c r="U2584" s="238">
        <v>0.0</v>
      </c>
      <c r="V2584" s="238">
        <v>0.0</v>
      </c>
      <c r="W2584" s="238">
        <v>0.0</v>
      </c>
      <c r="X2584" s="235" t="s">
        <v>628</v>
      </c>
      <c r="Z2584" s="244"/>
      <c r="AA2584" s="244"/>
      <c r="AB2584" s="244"/>
      <c r="AC2584" s="235" t="s">
        <v>3806</v>
      </c>
      <c r="AD2584" s="235" t="s">
        <v>881</v>
      </c>
      <c r="AE2584" s="238">
        <v>753001.0</v>
      </c>
      <c r="AF2584" s="235" t="s">
        <v>631</v>
      </c>
      <c r="AG2584" s="244"/>
      <c r="AH2584" s="244"/>
      <c r="AI2584" s="245"/>
      <c r="AJ2584" s="245"/>
      <c r="AK2584" s="245"/>
      <c r="AL2584" s="245"/>
      <c r="AM2584" s="244"/>
      <c r="AN2584" s="244"/>
      <c r="AO2584" s="238">
        <v>0.0</v>
      </c>
      <c r="AP2584" s="238">
        <v>0.0</v>
      </c>
      <c r="AQ2584" s="235" t="s">
        <v>632</v>
      </c>
      <c r="AR2584" s="243">
        <v>3.71E11</v>
      </c>
      <c r="AS2584" s="235" t="s">
        <v>13822</v>
      </c>
      <c r="AT2584" s="235" t="s">
        <v>11</v>
      </c>
      <c r="AU2584" s="235" t="s">
        <v>634</v>
      </c>
      <c r="AV2584" s="246" t="s">
        <v>635</v>
      </c>
      <c r="AW2584" s="242"/>
      <c r="AX2584" s="242"/>
      <c r="AY2584" s="231"/>
      <c r="AZ2584" s="231"/>
      <c r="BA2584" s="227"/>
      <c r="BB2584" s="231"/>
      <c r="BC2584" s="227"/>
      <c r="BD2584" s="227"/>
      <c r="BE2584" s="227"/>
      <c r="BF2584" s="227"/>
    </row>
    <row r="2585">
      <c r="A2585" s="235" t="s">
        <v>19756</v>
      </c>
      <c r="C2585" s="235" t="s">
        <v>19757</v>
      </c>
      <c r="D2585" s="235" t="s">
        <v>19758</v>
      </c>
      <c r="E2585" s="243">
        <v>6.53E13</v>
      </c>
      <c r="F2585" s="245"/>
      <c r="G2585" s="235" t="s">
        <v>19759</v>
      </c>
      <c r="H2585" s="235" t="s">
        <v>19760</v>
      </c>
      <c r="I2585" s="235" t="s">
        <v>19760</v>
      </c>
      <c r="J2585" s="235" t="s">
        <v>19761</v>
      </c>
      <c r="K2585" s="235" t="s">
        <v>19762</v>
      </c>
      <c r="N2585" s="235" t="s">
        <v>92</v>
      </c>
      <c r="O2585" s="235" t="s">
        <v>248</v>
      </c>
      <c r="P2585" s="238">
        <v>1.0</v>
      </c>
      <c r="Q2585" s="235" t="s">
        <v>627</v>
      </c>
      <c r="R2585" s="238">
        <v>270.48</v>
      </c>
      <c r="S2585" s="238">
        <v>13.52</v>
      </c>
      <c r="T2585" s="238">
        <v>38.1</v>
      </c>
      <c r="U2585" s="238">
        <v>1.9</v>
      </c>
      <c r="V2585" s="238">
        <v>0.0</v>
      </c>
      <c r="W2585" s="238">
        <v>0.0</v>
      </c>
      <c r="X2585" s="235" t="s">
        <v>628</v>
      </c>
      <c r="Z2585" s="244"/>
      <c r="AA2585" s="244"/>
      <c r="AB2585" s="244"/>
      <c r="AC2585" s="235" t="s">
        <v>19763</v>
      </c>
      <c r="AD2585" s="235" t="s">
        <v>928</v>
      </c>
      <c r="AE2585" s="238">
        <v>133001.0</v>
      </c>
      <c r="AF2585" s="235" t="s">
        <v>631</v>
      </c>
      <c r="AG2585" s="244"/>
      <c r="AH2585" s="244"/>
      <c r="AI2585" s="245"/>
      <c r="AJ2585" s="245"/>
      <c r="AK2585" s="245"/>
      <c r="AL2585" s="245"/>
      <c r="AM2585" s="244"/>
      <c r="AN2585" s="244"/>
      <c r="AO2585" s="238">
        <v>0.0</v>
      </c>
      <c r="AP2585" s="238">
        <v>-38.1</v>
      </c>
      <c r="AQ2585" s="235" t="s">
        <v>632</v>
      </c>
      <c r="AR2585" s="243">
        <v>3.71E11</v>
      </c>
      <c r="AS2585" s="235" t="s">
        <v>17988</v>
      </c>
      <c r="AT2585" s="235" t="s">
        <v>533</v>
      </c>
      <c r="AU2585" s="235" t="s">
        <v>634</v>
      </c>
      <c r="AV2585" s="246" t="s">
        <v>635</v>
      </c>
      <c r="AW2585" s="242"/>
      <c r="AX2585" s="242"/>
      <c r="AY2585" s="231"/>
      <c r="AZ2585" s="231"/>
      <c r="BA2585" s="227"/>
      <c r="BB2585" s="231"/>
      <c r="BC2585" s="227"/>
      <c r="BD2585" s="227"/>
      <c r="BE2585" s="227"/>
      <c r="BF2585" s="227"/>
    </row>
    <row r="2586">
      <c r="A2586" s="235" t="s">
        <v>19764</v>
      </c>
      <c r="C2586" s="235" t="s">
        <v>19765</v>
      </c>
      <c r="D2586" s="235" t="s">
        <v>19766</v>
      </c>
      <c r="E2586" s="243">
        <v>6.52E13</v>
      </c>
      <c r="F2586" s="245"/>
      <c r="G2586" s="235" t="s">
        <v>19767</v>
      </c>
      <c r="H2586" s="235" t="s">
        <v>19768</v>
      </c>
      <c r="I2586" s="235" t="s">
        <v>19768</v>
      </c>
      <c r="J2586" s="235" t="s">
        <v>19769</v>
      </c>
      <c r="K2586" s="235" t="s">
        <v>19770</v>
      </c>
      <c r="N2586" s="235" t="s">
        <v>141</v>
      </c>
      <c r="O2586" s="235" t="s">
        <v>342</v>
      </c>
      <c r="P2586" s="238">
        <v>1.0</v>
      </c>
      <c r="Q2586" s="235" t="s">
        <v>627</v>
      </c>
      <c r="R2586" s="238">
        <v>233.34</v>
      </c>
      <c r="S2586" s="238">
        <v>11.66</v>
      </c>
      <c r="T2586" s="238">
        <v>38.1</v>
      </c>
      <c r="U2586" s="238">
        <v>1.9</v>
      </c>
      <c r="V2586" s="238">
        <v>0.0</v>
      </c>
      <c r="W2586" s="238">
        <v>0.0</v>
      </c>
      <c r="X2586" s="235" t="s">
        <v>628</v>
      </c>
      <c r="Z2586" s="244"/>
      <c r="AA2586" s="244"/>
      <c r="AB2586" s="244"/>
      <c r="AC2586" s="235" t="s">
        <v>1604</v>
      </c>
      <c r="AD2586" s="235" t="s">
        <v>845</v>
      </c>
      <c r="AE2586" s="238">
        <v>400061.0</v>
      </c>
      <c r="AF2586" s="235" t="s">
        <v>631</v>
      </c>
      <c r="AG2586" s="244"/>
      <c r="AH2586" s="244"/>
      <c r="AI2586" s="245"/>
      <c r="AJ2586" s="245"/>
      <c r="AK2586" s="245"/>
      <c r="AL2586" s="245"/>
      <c r="AM2586" s="244"/>
      <c r="AN2586" s="244"/>
      <c r="AO2586" s="238">
        <v>0.0</v>
      </c>
      <c r="AP2586" s="238">
        <v>-38.1</v>
      </c>
      <c r="AQ2586" s="235" t="s">
        <v>632</v>
      </c>
      <c r="AR2586" s="243">
        <v>3.71E11</v>
      </c>
      <c r="AS2586" s="235" t="s">
        <v>17988</v>
      </c>
      <c r="AT2586" s="235" t="s">
        <v>16</v>
      </c>
      <c r="AU2586" s="235" t="s">
        <v>634</v>
      </c>
      <c r="AV2586" s="246" t="s">
        <v>635</v>
      </c>
      <c r="AW2586" s="242"/>
      <c r="AX2586" s="242"/>
      <c r="AY2586" s="231"/>
      <c r="AZ2586" s="231"/>
      <c r="BA2586" s="227"/>
      <c r="BB2586" s="231"/>
      <c r="BC2586" s="227"/>
      <c r="BD2586" s="227"/>
      <c r="BE2586" s="227"/>
      <c r="BF2586" s="227"/>
    </row>
    <row r="2587">
      <c r="A2587" s="235" t="s">
        <v>19771</v>
      </c>
      <c r="C2587" s="235" t="s">
        <v>19772</v>
      </c>
      <c r="D2587" s="235" t="s">
        <v>19773</v>
      </c>
      <c r="E2587" s="243">
        <v>6.53E13</v>
      </c>
      <c r="F2587" s="245"/>
      <c r="G2587" s="235" t="s">
        <v>19774</v>
      </c>
      <c r="H2587" s="235" t="s">
        <v>19775</v>
      </c>
      <c r="I2587" s="235" t="s">
        <v>19775</v>
      </c>
      <c r="J2587" s="235" t="s">
        <v>19776</v>
      </c>
      <c r="K2587" s="235" t="s">
        <v>19777</v>
      </c>
      <c r="N2587" s="235" t="s">
        <v>90</v>
      </c>
      <c r="O2587" s="235" t="s">
        <v>279</v>
      </c>
      <c r="P2587" s="238">
        <v>1.0</v>
      </c>
      <c r="Q2587" s="235" t="s">
        <v>627</v>
      </c>
      <c r="R2587" s="238">
        <v>270.48</v>
      </c>
      <c r="S2587" s="238">
        <v>13.25</v>
      </c>
      <c r="T2587" s="238">
        <v>0.0</v>
      </c>
      <c r="U2587" s="238">
        <v>0.0</v>
      </c>
      <c r="V2587" s="238">
        <v>0.0</v>
      </c>
      <c r="W2587" s="238">
        <v>0.0</v>
      </c>
      <c r="X2587" s="235" t="s">
        <v>628</v>
      </c>
      <c r="Z2587" s="244"/>
      <c r="AA2587" s="244"/>
      <c r="AB2587" s="244"/>
      <c r="AC2587" s="235" t="s">
        <v>1671</v>
      </c>
      <c r="AD2587" s="235" t="s">
        <v>666</v>
      </c>
      <c r="AE2587" s="238">
        <v>641048.0</v>
      </c>
      <c r="AF2587" s="235" t="s">
        <v>631</v>
      </c>
      <c r="AG2587" s="244"/>
      <c r="AH2587" s="244"/>
      <c r="AI2587" s="245"/>
      <c r="AJ2587" s="245"/>
      <c r="AK2587" s="245"/>
      <c r="AL2587" s="245"/>
      <c r="AM2587" s="244"/>
      <c r="AN2587" s="244"/>
      <c r="AO2587" s="238">
        <v>-5.41</v>
      </c>
      <c r="AP2587" s="238">
        <v>0.0</v>
      </c>
      <c r="AQ2587" s="235" t="s">
        <v>632</v>
      </c>
      <c r="AR2587" s="243">
        <v>3.71E11</v>
      </c>
      <c r="AS2587" s="235" t="s">
        <v>17988</v>
      </c>
      <c r="AT2587" s="235" t="s">
        <v>155</v>
      </c>
      <c r="AU2587" s="235" t="s">
        <v>634</v>
      </c>
      <c r="AV2587" s="246" t="s">
        <v>635</v>
      </c>
      <c r="AW2587" s="242"/>
      <c r="AX2587" s="242"/>
      <c r="AY2587" s="231"/>
      <c r="AZ2587" s="231"/>
      <c r="BA2587" s="227"/>
      <c r="BB2587" s="231"/>
      <c r="BC2587" s="227"/>
      <c r="BD2587" s="227"/>
      <c r="BE2587" s="227"/>
      <c r="BF2587" s="227"/>
    </row>
    <row r="2588">
      <c r="A2588" s="235" t="s">
        <v>19778</v>
      </c>
      <c r="C2588" s="235" t="s">
        <v>19779</v>
      </c>
      <c r="D2588" s="235" t="s">
        <v>19780</v>
      </c>
      <c r="E2588" s="243">
        <v>6.52E13</v>
      </c>
      <c r="F2588" s="245"/>
      <c r="G2588" s="235" t="s">
        <v>19781</v>
      </c>
      <c r="H2588" s="235" t="s">
        <v>19782</v>
      </c>
      <c r="I2588" s="235" t="s">
        <v>19783</v>
      </c>
      <c r="J2588" s="235" t="s">
        <v>19784</v>
      </c>
      <c r="K2588" s="235" t="s">
        <v>19785</v>
      </c>
      <c r="N2588" s="235" t="s">
        <v>2163</v>
      </c>
      <c r="O2588" s="235" t="s">
        <v>2164</v>
      </c>
      <c r="P2588" s="238">
        <v>1.0</v>
      </c>
      <c r="Q2588" s="235" t="s">
        <v>627</v>
      </c>
      <c r="R2588" s="238">
        <v>233.34</v>
      </c>
      <c r="S2588" s="238">
        <v>11.66</v>
      </c>
      <c r="T2588" s="238">
        <v>0.0</v>
      </c>
      <c r="U2588" s="238">
        <v>0.0</v>
      </c>
      <c r="V2588" s="238">
        <v>0.0</v>
      </c>
      <c r="W2588" s="238">
        <v>0.0</v>
      </c>
      <c r="X2588" s="235" t="s">
        <v>628</v>
      </c>
      <c r="Z2588" s="244"/>
      <c r="AA2588" s="244"/>
      <c r="AB2588" s="244"/>
      <c r="AC2588" s="235" t="s">
        <v>1961</v>
      </c>
      <c r="AD2588" s="235" t="s">
        <v>845</v>
      </c>
      <c r="AE2588" s="238">
        <v>411027.0</v>
      </c>
      <c r="AF2588" s="235" t="s">
        <v>631</v>
      </c>
      <c r="AG2588" s="244"/>
      <c r="AH2588" s="244"/>
      <c r="AI2588" s="245"/>
      <c r="AJ2588" s="245"/>
      <c r="AK2588" s="245"/>
      <c r="AL2588" s="245"/>
      <c r="AM2588" s="244"/>
      <c r="AN2588" s="244"/>
      <c r="AO2588" s="238">
        <v>0.0</v>
      </c>
      <c r="AP2588" s="238">
        <v>0.0</v>
      </c>
      <c r="AQ2588" s="235" t="s">
        <v>632</v>
      </c>
      <c r="AR2588" s="243">
        <v>1.68E11</v>
      </c>
      <c r="AS2588" s="235" t="s">
        <v>17988</v>
      </c>
      <c r="AT2588" s="235" t="s">
        <v>16</v>
      </c>
      <c r="AU2588" s="235" t="s">
        <v>634</v>
      </c>
      <c r="AV2588" s="246" t="s">
        <v>635</v>
      </c>
      <c r="AW2588" s="242"/>
      <c r="AX2588" s="242"/>
      <c r="AY2588" s="231"/>
      <c r="AZ2588" s="231"/>
      <c r="BA2588" s="227"/>
      <c r="BB2588" s="231"/>
      <c r="BC2588" s="227"/>
      <c r="BD2588" s="227"/>
      <c r="BE2588" s="227"/>
      <c r="BF2588" s="227"/>
    </row>
    <row r="2589">
      <c r="A2589" s="235" t="s">
        <v>19786</v>
      </c>
      <c r="C2589" s="235" t="s">
        <v>19787</v>
      </c>
      <c r="D2589" s="235" t="s">
        <v>19788</v>
      </c>
      <c r="E2589" s="243">
        <v>6.53E13</v>
      </c>
      <c r="F2589" s="245"/>
      <c r="G2589" s="235" t="s">
        <v>19789</v>
      </c>
      <c r="H2589" s="235" t="s">
        <v>19790</v>
      </c>
      <c r="I2589" s="235" t="s">
        <v>19790</v>
      </c>
      <c r="J2589" s="235" t="s">
        <v>19791</v>
      </c>
      <c r="K2589" s="235" t="s">
        <v>19792</v>
      </c>
      <c r="N2589" s="235" t="s">
        <v>47</v>
      </c>
      <c r="O2589" s="235" t="s">
        <v>270</v>
      </c>
      <c r="P2589" s="238">
        <v>1.0</v>
      </c>
      <c r="Q2589" s="235" t="s">
        <v>627</v>
      </c>
      <c r="R2589" s="238">
        <v>270.48</v>
      </c>
      <c r="S2589" s="238">
        <v>13.52</v>
      </c>
      <c r="T2589" s="238">
        <v>0.0</v>
      </c>
      <c r="U2589" s="238">
        <v>0.0</v>
      </c>
      <c r="V2589" s="238">
        <v>0.0</v>
      </c>
      <c r="W2589" s="238">
        <v>0.0</v>
      </c>
      <c r="X2589" s="235" t="s">
        <v>628</v>
      </c>
      <c r="Z2589" s="244"/>
      <c r="AA2589" s="244"/>
      <c r="AB2589" s="244"/>
      <c r="AC2589" s="235" t="s">
        <v>687</v>
      </c>
      <c r="AD2589" s="235" t="s">
        <v>666</v>
      </c>
      <c r="AE2589" s="238">
        <v>600075.0</v>
      </c>
      <c r="AF2589" s="235" t="s">
        <v>631</v>
      </c>
      <c r="AG2589" s="244"/>
      <c r="AH2589" s="244"/>
      <c r="AI2589" s="245"/>
      <c r="AJ2589" s="245"/>
      <c r="AK2589" s="245"/>
      <c r="AL2589" s="245"/>
      <c r="AM2589" s="244"/>
      <c r="AN2589" s="244"/>
      <c r="AO2589" s="238">
        <v>0.0</v>
      </c>
      <c r="AP2589" s="238">
        <v>0.0</v>
      </c>
      <c r="AQ2589" s="235" t="s">
        <v>632</v>
      </c>
      <c r="AR2589" s="243">
        <v>1.68E11</v>
      </c>
      <c r="AS2589" s="235" t="s">
        <v>19388</v>
      </c>
      <c r="AT2589" s="235" t="s">
        <v>156</v>
      </c>
      <c r="AU2589" s="235" t="s">
        <v>634</v>
      </c>
      <c r="AV2589" s="246" t="s">
        <v>635</v>
      </c>
      <c r="AW2589" s="242"/>
      <c r="AX2589" s="242"/>
      <c r="AY2589" s="231"/>
      <c r="AZ2589" s="231"/>
      <c r="BA2589" s="227"/>
      <c r="BB2589" s="231"/>
      <c r="BC2589" s="227"/>
      <c r="BD2589" s="227"/>
      <c r="BE2589" s="227"/>
      <c r="BF2589" s="227"/>
    </row>
    <row r="2590">
      <c r="A2590" s="235" t="s">
        <v>19793</v>
      </c>
      <c r="C2590" s="235" t="s">
        <v>19794</v>
      </c>
      <c r="D2590" s="235" t="s">
        <v>19795</v>
      </c>
      <c r="E2590" s="243">
        <v>6.53E13</v>
      </c>
      <c r="F2590" s="245"/>
      <c r="G2590" s="235" t="s">
        <v>19796</v>
      </c>
      <c r="H2590" s="235" t="s">
        <v>19797</v>
      </c>
      <c r="I2590" s="235" t="s">
        <v>19797</v>
      </c>
      <c r="J2590" s="235" t="s">
        <v>19798</v>
      </c>
      <c r="K2590" s="235" t="s">
        <v>19799</v>
      </c>
      <c r="N2590" s="235" t="s">
        <v>127</v>
      </c>
      <c r="O2590" s="235" t="s">
        <v>794</v>
      </c>
      <c r="P2590" s="238">
        <v>1.0</v>
      </c>
      <c r="Q2590" s="235" t="s">
        <v>627</v>
      </c>
      <c r="R2590" s="238">
        <v>270.48</v>
      </c>
      <c r="S2590" s="238">
        <v>13.52</v>
      </c>
      <c r="T2590" s="238">
        <v>0.0</v>
      </c>
      <c r="U2590" s="238">
        <v>0.0</v>
      </c>
      <c r="V2590" s="238">
        <v>0.0</v>
      </c>
      <c r="W2590" s="238">
        <v>0.0</v>
      </c>
      <c r="X2590" s="235" t="s">
        <v>628</v>
      </c>
      <c r="Z2590" s="244"/>
      <c r="AA2590" s="244"/>
      <c r="AB2590" s="244"/>
      <c r="AC2590" s="235" t="s">
        <v>19800</v>
      </c>
      <c r="AD2590" s="235" t="s">
        <v>833</v>
      </c>
      <c r="AE2590" s="238">
        <v>522101.0</v>
      </c>
      <c r="AF2590" s="235" t="s">
        <v>631</v>
      </c>
      <c r="AG2590" s="244"/>
      <c r="AH2590" s="244"/>
      <c r="AI2590" s="245"/>
      <c r="AJ2590" s="245"/>
      <c r="AK2590" s="245"/>
      <c r="AL2590" s="245"/>
      <c r="AM2590" s="244"/>
      <c r="AN2590" s="244"/>
      <c r="AO2590" s="238">
        <v>0.0</v>
      </c>
      <c r="AP2590" s="238">
        <v>0.0</v>
      </c>
      <c r="AQ2590" s="235" t="s">
        <v>632</v>
      </c>
      <c r="AR2590" s="243">
        <v>3.71E11</v>
      </c>
      <c r="AS2590" s="235" t="s">
        <v>16626</v>
      </c>
      <c r="AT2590" s="235" t="s">
        <v>156</v>
      </c>
      <c r="AU2590" s="235" t="s">
        <v>634</v>
      </c>
      <c r="AV2590" s="246" t="s">
        <v>635</v>
      </c>
      <c r="AW2590" s="242"/>
      <c r="AX2590" s="242"/>
      <c r="AY2590" s="231"/>
      <c r="AZ2590" s="231"/>
      <c r="BA2590" s="227"/>
      <c r="BB2590" s="231"/>
      <c r="BC2590" s="227"/>
      <c r="BD2590" s="227"/>
      <c r="BE2590" s="227"/>
      <c r="BF2590" s="227"/>
    </row>
    <row r="2591">
      <c r="A2591" s="235" t="s">
        <v>19801</v>
      </c>
      <c r="C2591" s="235" t="s">
        <v>19802</v>
      </c>
      <c r="D2591" s="235" t="s">
        <v>19803</v>
      </c>
      <c r="E2591" s="243">
        <v>6.53E13</v>
      </c>
      <c r="F2591" s="245"/>
      <c r="G2591" s="235" t="s">
        <v>19804</v>
      </c>
      <c r="H2591" s="235" t="s">
        <v>19805</v>
      </c>
      <c r="I2591" s="235" t="s">
        <v>19806</v>
      </c>
      <c r="J2591" s="235" t="s">
        <v>19807</v>
      </c>
      <c r="K2591" s="235" t="s">
        <v>19808</v>
      </c>
      <c r="N2591" s="235" t="s">
        <v>47</v>
      </c>
      <c r="O2591" s="235" t="s">
        <v>270</v>
      </c>
      <c r="P2591" s="238">
        <v>1.0</v>
      </c>
      <c r="Q2591" s="235" t="s">
        <v>627</v>
      </c>
      <c r="R2591" s="238">
        <v>270.48</v>
      </c>
      <c r="S2591" s="238">
        <v>13.25</v>
      </c>
      <c r="T2591" s="238">
        <v>0.0</v>
      </c>
      <c r="U2591" s="238">
        <v>0.0</v>
      </c>
      <c r="V2591" s="238">
        <v>0.0</v>
      </c>
      <c r="W2591" s="238">
        <v>0.0</v>
      </c>
      <c r="X2591" s="235" t="s">
        <v>628</v>
      </c>
      <c r="Z2591" s="244"/>
      <c r="AA2591" s="244"/>
      <c r="AB2591" s="244"/>
      <c r="AC2591" s="235" t="s">
        <v>687</v>
      </c>
      <c r="AD2591" s="235" t="s">
        <v>666</v>
      </c>
      <c r="AE2591" s="238">
        <v>600109.0</v>
      </c>
      <c r="AF2591" s="235" t="s">
        <v>631</v>
      </c>
      <c r="AG2591" s="244"/>
      <c r="AH2591" s="244"/>
      <c r="AI2591" s="245"/>
      <c r="AJ2591" s="245"/>
      <c r="AK2591" s="245"/>
      <c r="AL2591" s="245"/>
      <c r="AM2591" s="244"/>
      <c r="AN2591" s="244"/>
      <c r="AO2591" s="238">
        <v>-5.41</v>
      </c>
      <c r="AP2591" s="238">
        <v>0.0</v>
      </c>
      <c r="AQ2591" s="235" t="s">
        <v>632</v>
      </c>
      <c r="AR2591" s="243">
        <v>3.71E11</v>
      </c>
      <c r="AS2591" s="235" t="s">
        <v>19388</v>
      </c>
      <c r="AT2591" s="235" t="s">
        <v>156</v>
      </c>
      <c r="AU2591" s="235" t="s">
        <v>634</v>
      </c>
      <c r="AV2591" s="246" t="s">
        <v>635</v>
      </c>
      <c r="AW2591" s="242"/>
      <c r="AX2591" s="242"/>
      <c r="AY2591" s="231"/>
      <c r="AZ2591" s="231"/>
      <c r="BA2591" s="227"/>
      <c r="BB2591" s="231"/>
      <c r="BC2591" s="227"/>
      <c r="BD2591" s="227"/>
      <c r="BE2591" s="227"/>
      <c r="BF2591" s="227"/>
    </row>
    <row r="2592">
      <c r="A2592" s="235" t="s">
        <v>19809</v>
      </c>
      <c r="C2592" s="235" t="s">
        <v>19810</v>
      </c>
      <c r="D2592" s="235" t="s">
        <v>19811</v>
      </c>
      <c r="E2592" s="243">
        <v>6.53E13</v>
      </c>
      <c r="F2592" s="245"/>
      <c r="G2592" s="235" t="s">
        <v>19812</v>
      </c>
      <c r="H2592" s="235" t="s">
        <v>19813</v>
      </c>
      <c r="I2592" s="235" t="s">
        <v>19814</v>
      </c>
      <c r="J2592" s="235" t="s">
        <v>19815</v>
      </c>
      <c r="K2592" s="235" t="s">
        <v>19816</v>
      </c>
      <c r="N2592" s="235" t="s">
        <v>47</v>
      </c>
      <c r="O2592" s="235" t="s">
        <v>270</v>
      </c>
      <c r="P2592" s="238">
        <v>1.0</v>
      </c>
      <c r="Q2592" s="235" t="s">
        <v>627</v>
      </c>
      <c r="R2592" s="238">
        <v>270.48</v>
      </c>
      <c r="S2592" s="238">
        <v>13.52</v>
      </c>
      <c r="T2592" s="238">
        <v>0.0</v>
      </c>
      <c r="U2592" s="238">
        <v>0.0</v>
      </c>
      <c r="V2592" s="238">
        <v>0.0</v>
      </c>
      <c r="W2592" s="238">
        <v>0.0</v>
      </c>
      <c r="X2592" s="235" t="s">
        <v>628</v>
      </c>
      <c r="Z2592" s="244"/>
      <c r="AA2592" s="244"/>
      <c r="AB2592" s="244"/>
      <c r="AC2592" s="235" t="s">
        <v>1320</v>
      </c>
      <c r="AD2592" s="235" t="s">
        <v>666</v>
      </c>
      <c r="AE2592" s="238">
        <v>600056.0</v>
      </c>
      <c r="AF2592" s="235" t="s">
        <v>631</v>
      </c>
      <c r="AG2592" s="244"/>
      <c r="AH2592" s="244"/>
      <c r="AI2592" s="245"/>
      <c r="AJ2592" s="245"/>
      <c r="AK2592" s="245"/>
      <c r="AL2592" s="245"/>
      <c r="AM2592" s="244"/>
      <c r="AN2592" s="244"/>
      <c r="AO2592" s="238">
        <v>0.0</v>
      </c>
      <c r="AP2592" s="238">
        <v>0.0</v>
      </c>
      <c r="AQ2592" s="235" t="s">
        <v>632</v>
      </c>
      <c r="AR2592" s="243">
        <v>3.71E11</v>
      </c>
      <c r="AS2592" s="235" t="s">
        <v>19388</v>
      </c>
      <c r="AT2592" s="235" t="s">
        <v>156</v>
      </c>
      <c r="AU2592" s="235" t="s">
        <v>634</v>
      </c>
      <c r="AV2592" s="246" t="s">
        <v>635</v>
      </c>
      <c r="AW2592" s="242"/>
      <c r="AX2592" s="242"/>
      <c r="AY2592" s="231"/>
      <c r="AZ2592" s="231"/>
      <c r="BA2592" s="227"/>
      <c r="BB2592" s="231"/>
      <c r="BC2592" s="227"/>
      <c r="BD2592" s="227"/>
      <c r="BE2592" s="227"/>
      <c r="BF2592" s="227"/>
    </row>
    <row r="2593">
      <c r="A2593" s="235" t="s">
        <v>19817</v>
      </c>
      <c r="C2593" s="235" t="s">
        <v>19818</v>
      </c>
      <c r="D2593" s="235" t="s">
        <v>19819</v>
      </c>
      <c r="E2593" s="243">
        <v>6.53E13</v>
      </c>
      <c r="F2593" s="245"/>
      <c r="G2593" s="235" t="s">
        <v>19820</v>
      </c>
      <c r="H2593" s="235" t="s">
        <v>19821</v>
      </c>
      <c r="I2593" s="235" t="s">
        <v>19821</v>
      </c>
      <c r="J2593" s="235" t="s">
        <v>19822</v>
      </c>
      <c r="K2593" s="235" t="s">
        <v>19823</v>
      </c>
      <c r="N2593" s="235" t="s">
        <v>110</v>
      </c>
      <c r="O2593" s="235" t="s">
        <v>364</v>
      </c>
      <c r="P2593" s="238">
        <v>1.0</v>
      </c>
      <c r="Q2593" s="235" t="s">
        <v>627</v>
      </c>
      <c r="R2593" s="238">
        <v>270.48</v>
      </c>
      <c r="S2593" s="238">
        <v>13.52</v>
      </c>
      <c r="T2593" s="238">
        <v>0.0</v>
      </c>
      <c r="U2593" s="238">
        <v>0.0</v>
      </c>
      <c r="V2593" s="238">
        <v>0.0</v>
      </c>
      <c r="W2593" s="238">
        <v>0.0</v>
      </c>
      <c r="X2593" s="235" t="s">
        <v>628</v>
      </c>
      <c r="Z2593" s="244"/>
      <c r="AA2593" s="244"/>
      <c r="AB2593" s="244"/>
      <c r="AC2593" s="235" t="s">
        <v>678</v>
      </c>
      <c r="AD2593" s="235" t="s">
        <v>679</v>
      </c>
      <c r="AE2593" s="238">
        <v>561203.0</v>
      </c>
      <c r="AF2593" s="235" t="s">
        <v>631</v>
      </c>
      <c r="AG2593" s="244"/>
      <c r="AH2593" s="244"/>
      <c r="AI2593" s="245"/>
      <c r="AJ2593" s="245"/>
      <c r="AK2593" s="245"/>
      <c r="AL2593" s="245"/>
      <c r="AM2593" s="244"/>
      <c r="AN2593" s="244"/>
      <c r="AO2593" s="238">
        <v>0.0</v>
      </c>
      <c r="AP2593" s="238">
        <v>0.0</v>
      </c>
      <c r="AQ2593" s="235" t="s">
        <v>632</v>
      </c>
      <c r="AR2593" s="243">
        <v>3.71E11</v>
      </c>
      <c r="AS2593" s="235" t="s">
        <v>16626</v>
      </c>
      <c r="AT2593" s="235" t="s">
        <v>155</v>
      </c>
      <c r="AU2593" s="235" t="s">
        <v>634</v>
      </c>
      <c r="AV2593" s="246" t="s">
        <v>635</v>
      </c>
      <c r="AW2593" s="242"/>
      <c r="AX2593" s="242"/>
      <c r="AY2593" s="231"/>
      <c r="AZ2593" s="231"/>
      <c r="BA2593" s="227"/>
      <c r="BB2593" s="231"/>
      <c r="BC2593" s="227"/>
      <c r="BD2593" s="227"/>
      <c r="BE2593" s="227"/>
      <c r="BF2593" s="227"/>
    </row>
    <row r="2594">
      <c r="A2594" s="235" t="s">
        <v>19824</v>
      </c>
      <c r="C2594" s="235" t="s">
        <v>19825</v>
      </c>
      <c r="D2594" s="235" t="s">
        <v>19826</v>
      </c>
      <c r="E2594" s="243">
        <v>6.53E13</v>
      </c>
      <c r="F2594" s="245"/>
      <c r="G2594" s="235" t="s">
        <v>19827</v>
      </c>
      <c r="H2594" s="235" t="s">
        <v>19828</v>
      </c>
      <c r="I2594" s="235" t="s">
        <v>19828</v>
      </c>
      <c r="J2594" s="235" t="s">
        <v>19829</v>
      </c>
      <c r="K2594" s="235" t="s">
        <v>19830</v>
      </c>
      <c r="N2594" s="235" t="s">
        <v>138</v>
      </c>
      <c r="O2594" s="235" t="s">
        <v>675</v>
      </c>
      <c r="P2594" s="238">
        <v>1.0</v>
      </c>
      <c r="Q2594" s="235" t="s">
        <v>627</v>
      </c>
      <c r="R2594" s="238">
        <v>270.48</v>
      </c>
      <c r="S2594" s="238">
        <v>13.25</v>
      </c>
      <c r="T2594" s="238">
        <v>38.1</v>
      </c>
      <c r="U2594" s="238">
        <v>1.9</v>
      </c>
      <c r="V2594" s="238">
        <v>0.0</v>
      </c>
      <c r="W2594" s="238">
        <v>0.0</v>
      </c>
      <c r="X2594" s="235" t="s">
        <v>628</v>
      </c>
      <c r="Z2594" s="244"/>
      <c r="AA2594" s="244"/>
      <c r="AB2594" s="244"/>
      <c r="AC2594" s="235" t="s">
        <v>19831</v>
      </c>
      <c r="AD2594" s="235" t="s">
        <v>881</v>
      </c>
      <c r="AE2594" s="238">
        <v>763008.0</v>
      </c>
      <c r="AF2594" s="235" t="s">
        <v>631</v>
      </c>
      <c r="AG2594" s="244"/>
      <c r="AH2594" s="244"/>
      <c r="AI2594" s="245"/>
      <c r="AJ2594" s="245"/>
      <c r="AK2594" s="245"/>
      <c r="AL2594" s="245"/>
      <c r="AM2594" s="244"/>
      <c r="AN2594" s="244"/>
      <c r="AO2594" s="238">
        <v>-5.41</v>
      </c>
      <c r="AP2594" s="238">
        <v>-38.1</v>
      </c>
      <c r="AQ2594" s="235" t="s">
        <v>632</v>
      </c>
      <c r="AR2594" s="243">
        <v>3.71E11</v>
      </c>
      <c r="AS2594" s="235" t="s">
        <v>13822</v>
      </c>
      <c r="AT2594" s="235" t="s">
        <v>156</v>
      </c>
      <c r="AU2594" s="235" t="s">
        <v>634</v>
      </c>
      <c r="AV2594" s="246" t="s">
        <v>635</v>
      </c>
      <c r="AW2594" s="242"/>
      <c r="AX2594" s="242"/>
      <c r="AY2594" s="231"/>
      <c r="AZ2594" s="231"/>
      <c r="BA2594" s="227"/>
      <c r="BB2594" s="231"/>
      <c r="BC2594" s="227"/>
      <c r="BD2594" s="227"/>
      <c r="BE2594" s="227"/>
      <c r="BF2594" s="227"/>
    </row>
    <row r="2595">
      <c r="A2595" s="235" t="s">
        <v>19832</v>
      </c>
      <c r="C2595" s="235" t="s">
        <v>19833</v>
      </c>
      <c r="D2595" s="235" t="s">
        <v>19834</v>
      </c>
      <c r="E2595" s="243">
        <v>6.53E13</v>
      </c>
      <c r="F2595" s="245"/>
      <c r="G2595" s="235" t="s">
        <v>19835</v>
      </c>
      <c r="H2595" s="235" t="s">
        <v>19836</v>
      </c>
      <c r="I2595" s="235" t="s">
        <v>19837</v>
      </c>
      <c r="J2595" s="235" t="s">
        <v>19838</v>
      </c>
      <c r="K2595" s="235" t="s">
        <v>19839</v>
      </c>
      <c r="N2595" s="235" t="s">
        <v>53</v>
      </c>
      <c r="O2595" s="235" t="s">
        <v>512</v>
      </c>
      <c r="P2595" s="238">
        <v>1.0</v>
      </c>
      <c r="Q2595" s="235" t="s">
        <v>627</v>
      </c>
      <c r="R2595" s="238">
        <v>270.48</v>
      </c>
      <c r="S2595" s="238">
        <v>13.52</v>
      </c>
      <c r="T2595" s="238">
        <v>0.0</v>
      </c>
      <c r="U2595" s="238">
        <v>0.0</v>
      </c>
      <c r="V2595" s="238">
        <v>0.0</v>
      </c>
      <c r="W2595" s="238">
        <v>0.0</v>
      </c>
      <c r="X2595" s="235" t="s">
        <v>628</v>
      </c>
      <c r="Z2595" s="244"/>
      <c r="AA2595" s="244"/>
      <c r="AB2595" s="244"/>
      <c r="AC2595" s="235" t="s">
        <v>678</v>
      </c>
      <c r="AD2595" s="235" t="s">
        <v>679</v>
      </c>
      <c r="AE2595" s="238">
        <v>560043.0</v>
      </c>
      <c r="AF2595" s="235" t="s">
        <v>631</v>
      </c>
      <c r="AG2595" s="244"/>
      <c r="AH2595" s="244"/>
      <c r="AI2595" s="245"/>
      <c r="AJ2595" s="245"/>
      <c r="AK2595" s="245"/>
      <c r="AL2595" s="245"/>
      <c r="AM2595" s="244"/>
      <c r="AN2595" s="244"/>
      <c r="AO2595" s="238">
        <v>0.0</v>
      </c>
      <c r="AP2595" s="238">
        <v>0.0</v>
      </c>
      <c r="AQ2595" s="235" t="s">
        <v>632</v>
      </c>
      <c r="AR2595" s="243">
        <v>1.68E11</v>
      </c>
      <c r="AS2595" s="235" t="s">
        <v>19840</v>
      </c>
      <c r="AT2595" s="235" t="s">
        <v>11</v>
      </c>
      <c r="AU2595" s="235" t="s">
        <v>634</v>
      </c>
      <c r="AV2595" s="246" t="s">
        <v>635</v>
      </c>
      <c r="AW2595" s="242"/>
      <c r="AX2595" s="242"/>
      <c r="AY2595" s="231"/>
      <c r="AZ2595" s="231"/>
      <c r="BA2595" s="227"/>
      <c r="BB2595" s="231"/>
      <c r="BC2595" s="227"/>
      <c r="BD2595" s="227"/>
      <c r="BE2595" s="227"/>
      <c r="BF2595" s="227"/>
    </row>
    <row r="2596">
      <c r="A2596" s="235" t="s">
        <v>19841</v>
      </c>
      <c r="C2596" s="235" t="s">
        <v>19842</v>
      </c>
      <c r="D2596" s="235" t="s">
        <v>19843</v>
      </c>
      <c r="E2596" s="243">
        <v>6.52E13</v>
      </c>
      <c r="F2596" s="245"/>
      <c r="G2596" s="235" t="s">
        <v>19844</v>
      </c>
      <c r="H2596" s="235" t="s">
        <v>19845</v>
      </c>
      <c r="I2596" s="235" t="s">
        <v>19845</v>
      </c>
      <c r="J2596" s="235" t="s">
        <v>19846</v>
      </c>
      <c r="K2596" s="235" t="s">
        <v>19847</v>
      </c>
      <c r="N2596" s="235" t="s">
        <v>92</v>
      </c>
      <c r="O2596" s="235" t="s">
        <v>248</v>
      </c>
      <c r="P2596" s="238">
        <v>1.0</v>
      </c>
      <c r="Q2596" s="235" t="s">
        <v>627</v>
      </c>
      <c r="R2596" s="238">
        <v>246.66</v>
      </c>
      <c r="S2596" s="238">
        <v>12.34</v>
      </c>
      <c r="T2596" s="238">
        <v>38.1</v>
      </c>
      <c r="U2596" s="238">
        <v>1.9</v>
      </c>
      <c r="V2596" s="238">
        <v>0.0</v>
      </c>
      <c r="W2596" s="238">
        <v>0.0</v>
      </c>
      <c r="X2596" s="235" t="s">
        <v>628</v>
      </c>
      <c r="Z2596" s="244"/>
      <c r="AA2596" s="244"/>
      <c r="AB2596" s="244"/>
      <c r="AC2596" s="235" t="s">
        <v>14334</v>
      </c>
      <c r="AD2596" s="235" t="s">
        <v>928</v>
      </c>
      <c r="AE2596" s="238">
        <v>126111.0</v>
      </c>
      <c r="AF2596" s="235" t="s">
        <v>631</v>
      </c>
      <c r="AG2596" s="244"/>
      <c r="AH2596" s="244"/>
      <c r="AI2596" s="245"/>
      <c r="AJ2596" s="245"/>
      <c r="AK2596" s="245"/>
      <c r="AL2596" s="245"/>
      <c r="AM2596" s="244"/>
      <c r="AN2596" s="244"/>
      <c r="AO2596" s="238">
        <v>0.0</v>
      </c>
      <c r="AP2596" s="238">
        <v>-38.1</v>
      </c>
      <c r="AQ2596" s="235" t="s">
        <v>2778</v>
      </c>
      <c r="AR2596" s="243">
        <v>7.82E10</v>
      </c>
      <c r="AS2596" s="235" t="s">
        <v>12693</v>
      </c>
      <c r="AT2596" s="235" t="s">
        <v>13</v>
      </c>
      <c r="AU2596" s="235" t="s">
        <v>634</v>
      </c>
      <c r="AV2596" s="246" t="s">
        <v>635</v>
      </c>
      <c r="AW2596" s="242"/>
      <c r="AX2596" s="242"/>
      <c r="AY2596" s="231"/>
      <c r="AZ2596" s="231"/>
      <c r="BA2596" s="227"/>
      <c r="BB2596" s="231"/>
      <c r="BC2596" s="227"/>
      <c r="BD2596" s="227"/>
      <c r="BE2596" s="227"/>
      <c r="BF2596" s="227"/>
    </row>
    <row r="2597">
      <c r="A2597" s="235" t="s">
        <v>19848</v>
      </c>
      <c r="C2597" s="235" t="s">
        <v>19849</v>
      </c>
      <c r="D2597" s="235" t="s">
        <v>19850</v>
      </c>
      <c r="E2597" s="243">
        <v>6.53E13</v>
      </c>
      <c r="F2597" s="245"/>
      <c r="G2597" s="235" t="s">
        <v>19851</v>
      </c>
      <c r="H2597" s="235" t="s">
        <v>19852</v>
      </c>
      <c r="I2597" s="235" t="s">
        <v>19852</v>
      </c>
      <c r="J2597" s="235" t="s">
        <v>19853</v>
      </c>
      <c r="K2597" s="235" t="s">
        <v>19854</v>
      </c>
      <c r="N2597" s="235" t="s">
        <v>71</v>
      </c>
      <c r="O2597" s="235" t="s">
        <v>240</v>
      </c>
      <c r="P2597" s="238">
        <v>1.0</v>
      </c>
      <c r="Q2597" s="235" t="s">
        <v>627</v>
      </c>
      <c r="R2597" s="238">
        <v>261.9</v>
      </c>
      <c r="S2597" s="238">
        <v>13.1</v>
      </c>
      <c r="T2597" s="238">
        <v>0.0</v>
      </c>
      <c r="U2597" s="238">
        <v>0.0</v>
      </c>
      <c r="V2597" s="238">
        <v>0.0</v>
      </c>
      <c r="W2597" s="238">
        <v>0.0</v>
      </c>
      <c r="X2597" s="235" t="s">
        <v>628</v>
      </c>
      <c r="Z2597" s="244"/>
      <c r="AA2597" s="244"/>
      <c r="AB2597" s="244"/>
      <c r="AC2597" s="235" t="s">
        <v>1287</v>
      </c>
      <c r="AD2597" s="235" t="s">
        <v>630</v>
      </c>
      <c r="AE2597" s="238">
        <v>201014.0</v>
      </c>
      <c r="AF2597" s="235" t="s">
        <v>631</v>
      </c>
      <c r="AG2597" s="244"/>
      <c r="AH2597" s="244"/>
      <c r="AI2597" s="245"/>
      <c r="AJ2597" s="245"/>
      <c r="AK2597" s="245"/>
      <c r="AL2597" s="245"/>
      <c r="AM2597" s="244"/>
      <c r="AN2597" s="244"/>
      <c r="AO2597" s="238">
        <v>0.0</v>
      </c>
      <c r="AP2597" s="238">
        <v>0.0</v>
      </c>
      <c r="AQ2597" s="235" t="s">
        <v>632</v>
      </c>
      <c r="AR2597" s="243">
        <v>1.68E11</v>
      </c>
      <c r="AS2597" s="235" t="s">
        <v>19840</v>
      </c>
      <c r="AT2597" s="235" t="s">
        <v>14</v>
      </c>
      <c r="AU2597" s="235" t="s">
        <v>634</v>
      </c>
      <c r="AV2597" s="246" t="s">
        <v>635</v>
      </c>
      <c r="AW2597" s="242"/>
      <c r="AX2597" s="242"/>
      <c r="AY2597" s="231"/>
      <c r="AZ2597" s="231"/>
      <c r="BA2597" s="227"/>
      <c r="BB2597" s="231"/>
      <c r="BC2597" s="227"/>
      <c r="BD2597" s="227"/>
      <c r="BE2597" s="227"/>
      <c r="BF2597" s="227"/>
    </row>
    <row r="2598">
      <c r="A2598" s="235" t="s">
        <v>19855</v>
      </c>
      <c r="C2598" s="235" t="s">
        <v>19856</v>
      </c>
      <c r="D2598" s="235" t="s">
        <v>19857</v>
      </c>
      <c r="E2598" s="243">
        <v>6.53E13</v>
      </c>
      <c r="F2598" s="245"/>
      <c r="G2598" s="235" t="s">
        <v>19858</v>
      </c>
      <c r="H2598" s="235" t="s">
        <v>19859</v>
      </c>
      <c r="I2598" s="235" t="s">
        <v>19859</v>
      </c>
      <c r="J2598" s="235" t="s">
        <v>19860</v>
      </c>
      <c r="K2598" s="235" t="s">
        <v>19861</v>
      </c>
      <c r="N2598" s="235" t="s">
        <v>51</v>
      </c>
      <c r="O2598" s="235" t="s">
        <v>273</v>
      </c>
      <c r="P2598" s="238">
        <v>1.0</v>
      </c>
      <c r="Q2598" s="235" t="s">
        <v>627</v>
      </c>
      <c r="R2598" s="238">
        <v>270.48</v>
      </c>
      <c r="S2598" s="238">
        <v>13.52</v>
      </c>
      <c r="T2598" s="238">
        <v>38.1</v>
      </c>
      <c r="U2598" s="238">
        <v>1.9</v>
      </c>
      <c r="V2598" s="238">
        <v>0.0</v>
      </c>
      <c r="W2598" s="238">
        <v>0.0</v>
      </c>
      <c r="X2598" s="235" t="s">
        <v>628</v>
      </c>
      <c r="Z2598" s="244"/>
      <c r="AA2598" s="244"/>
      <c r="AB2598" s="244"/>
      <c r="AC2598" s="235" t="s">
        <v>6804</v>
      </c>
      <c r="AD2598" s="235" t="s">
        <v>666</v>
      </c>
      <c r="AE2598" s="238">
        <v>624003.0</v>
      </c>
      <c r="AF2598" s="235" t="s">
        <v>631</v>
      </c>
      <c r="AG2598" s="244"/>
      <c r="AH2598" s="244"/>
      <c r="AI2598" s="245"/>
      <c r="AJ2598" s="245"/>
      <c r="AK2598" s="245"/>
      <c r="AL2598" s="245"/>
      <c r="AM2598" s="244"/>
      <c r="AN2598" s="244"/>
      <c r="AO2598" s="238">
        <v>0.0</v>
      </c>
      <c r="AP2598" s="238">
        <v>-38.1</v>
      </c>
      <c r="AQ2598" s="235" t="s">
        <v>632</v>
      </c>
      <c r="AR2598" s="243">
        <v>3.71E11</v>
      </c>
      <c r="AS2598" s="235" t="s">
        <v>17988</v>
      </c>
      <c r="AT2598" s="235" t="s">
        <v>9</v>
      </c>
      <c r="AU2598" s="235" t="s">
        <v>634</v>
      </c>
      <c r="AV2598" s="246" t="s">
        <v>635</v>
      </c>
      <c r="AW2598" s="242"/>
      <c r="AX2598" s="242"/>
      <c r="AY2598" s="231"/>
      <c r="AZ2598" s="231"/>
      <c r="BA2598" s="227"/>
      <c r="BB2598" s="231"/>
      <c r="BC2598" s="227"/>
      <c r="BD2598" s="227"/>
      <c r="BE2598" s="227"/>
      <c r="BF2598" s="227"/>
    </row>
    <row r="2599">
      <c r="A2599" s="235" t="s">
        <v>19862</v>
      </c>
      <c r="C2599" s="235" t="s">
        <v>19863</v>
      </c>
      <c r="D2599" s="235" t="s">
        <v>19864</v>
      </c>
      <c r="E2599" s="243">
        <v>6.53E13</v>
      </c>
      <c r="F2599" s="245"/>
      <c r="G2599" s="235" t="s">
        <v>19865</v>
      </c>
      <c r="H2599" s="235" t="s">
        <v>19866</v>
      </c>
      <c r="I2599" s="235" t="s">
        <v>19867</v>
      </c>
      <c r="J2599" s="235" t="s">
        <v>19868</v>
      </c>
      <c r="K2599" s="235" t="s">
        <v>19869</v>
      </c>
      <c r="N2599" s="235" t="s">
        <v>127</v>
      </c>
      <c r="O2599" s="235" t="s">
        <v>794</v>
      </c>
      <c r="P2599" s="238">
        <v>1.0</v>
      </c>
      <c r="Q2599" s="235" t="s">
        <v>627</v>
      </c>
      <c r="R2599" s="238">
        <v>270.48</v>
      </c>
      <c r="S2599" s="238">
        <v>13.52</v>
      </c>
      <c r="T2599" s="238">
        <v>0.0</v>
      </c>
      <c r="U2599" s="238">
        <v>0.0</v>
      </c>
      <c r="V2599" s="238">
        <v>0.0</v>
      </c>
      <c r="W2599" s="238">
        <v>0.0</v>
      </c>
      <c r="X2599" s="235" t="s">
        <v>628</v>
      </c>
      <c r="Z2599" s="244"/>
      <c r="AA2599" s="244"/>
      <c r="AB2599" s="244"/>
      <c r="AC2599" s="235" t="s">
        <v>687</v>
      </c>
      <c r="AD2599" s="235" t="s">
        <v>666</v>
      </c>
      <c r="AE2599" s="238">
        <v>600130.0</v>
      </c>
      <c r="AF2599" s="235" t="s">
        <v>631</v>
      </c>
      <c r="AG2599" s="244"/>
      <c r="AH2599" s="244"/>
      <c r="AI2599" s="245"/>
      <c r="AJ2599" s="245"/>
      <c r="AK2599" s="245"/>
      <c r="AL2599" s="245"/>
      <c r="AM2599" s="244"/>
      <c r="AN2599" s="244"/>
      <c r="AO2599" s="238">
        <v>0.0</v>
      </c>
      <c r="AP2599" s="238">
        <v>0.0</v>
      </c>
      <c r="AQ2599" s="235" t="s">
        <v>632</v>
      </c>
      <c r="AR2599" s="243">
        <v>3.71E11</v>
      </c>
      <c r="AS2599" s="235" t="s">
        <v>19388</v>
      </c>
      <c r="AT2599" s="235" t="s">
        <v>156</v>
      </c>
      <c r="AU2599" s="235" t="s">
        <v>634</v>
      </c>
      <c r="AV2599" s="246" t="s">
        <v>635</v>
      </c>
      <c r="AW2599" s="242"/>
      <c r="AX2599" s="242"/>
      <c r="AY2599" s="231"/>
      <c r="AZ2599" s="231"/>
      <c r="BA2599" s="227"/>
      <c r="BB2599" s="231"/>
      <c r="BC2599" s="227"/>
      <c r="BD2599" s="227"/>
      <c r="BE2599" s="227"/>
      <c r="BF2599" s="227"/>
    </row>
    <row r="2600">
      <c r="A2600" s="235" t="s">
        <v>19870</v>
      </c>
      <c r="C2600" s="235" t="s">
        <v>19871</v>
      </c>
      <c r="D2600" s="235" t="s">
        <v>19872</v>
      </c>
      <c r="E2600" s="243">
        <v>6.51E13</v>
      </c>
      <c r="F2600" s="245"/>
      <c r="G2600" s="235" t="s">
        <v>19873</v>
      </c>
      <c r="H2600" s="235" t="s">
        <v>19874</v>
      </c>
      <c r="I2600" s="235" t="s">
        <v>19874</v>
      </c>
      <c r="J2600" s="235" t="s">
        <v>19875</v>
      </c>
      <c r="K2600" s="235" t="s">
        <v>19876</v>
      </c>
      <c r="N2600" s="235" t="s">
        <v>144</v>
      </c>
      <c r="O2600" s="235" t="s">
        <v>232</v>
      </c>
      <c r="P2600" s="238">
        <v>1.0</v>
      </c>
      <c r="Q2600" s="235" t="s">
        <v>627</v>
      </c>
      <c r="R2600" s="238">
        <v>626.66</v>
      </c>
      <c r="S2600" s="238">
        <v>31.34</v>
      </c>
      <c r="T2600" s="238">
        <v>38.1</v>
      </c>
      <c r="U2600" s="238">
        <v>1.9</v>
      </c>
      <c r="V2600" s="238">
        <v>0.0</v>
      </c>
      <c r="W2600" s="238">
        <v>0.0</v>
      </c>
      <c r="X2600" s="235" t="s">
        <v>628</v>
      </c>
      <c r="Z2600" s="244"/>
      <c r="AA2600" s="244"/>
      <c r="AB2600" s="244"/>
      <c r="AC2600" s="235" t="s">
        <v>1095</v>
      </c>
      <c r="AD2600" s="235" t="s">
        <v>845</v>
      </c>
      <c r="AE2600" s="238">
        <v>410210.0</v>
      </c>
      <c r="AF2600" s="235" t="s">
        <v>631</v>
      </c>
      <c r="AG2600" s="244"/>
      <c r="AH2600" s="244"/>
      <c r="AI2600" s="245"/>
      <c r="AJ2600" s="245"/>
      <c r="AK2600" s="245"/>
      <c r="AL2600" s="245"/>
      <c r="AM2600" s="244"/>
      <c r="AN2600" s="244"/>
      <c r="AO2600" s="238">
        <v>0.0</v>
      </c>
      <c r="AP2600" s="238">
        <v>-38.1</v>
      </c>
      <c r="AQ2600" s="235" t="s">
        <v>632</v>
      </c>
      <c r="AR2600" s="243">
        <v>3.71E11</v>
      </c>
      <c r="AS2600" s="235" t="s">
        <v>19388</v>
      </c>
      <c r="AT2600" s="235" t="s">
        <v>17</v>
      </c>
      <c r="AU2600" s="235" t="s">
        <v>634</v>
      </c>
      <c r="AV2600" s="246" t="s">
        <v>635</v>
      </c>
      <c r="AW2600" s="242"/>
      <c r="AX2600" s="242"/>
      <c r="AY2600" s="231"/>
      <c r="AZ2600" s="231"/>
      <c r="BA2600" s="227"/>
      <c r="BB2600" s="231"/>
      <c r="BC2600" s="227"/>
      <c r="BD2600" s="227"/>
      <c r="BE2600" s="227"/>
      <c r="BF2600" s="227"/>
    </row>
    <row r="2601">
      <c r="A2601" s="235" t="s">
        <v>19877</v>
      </c>
      <c r="C2601" s="235" t="s">
        <v>19878</v>
      </c>
      <c r="D2601" s="235" t="s">
        <v>19879</v>
      </c>
      <c r="E2601" s="243">
        <v>6.53E13</v>
      </c>
      <c r="F2601" s="245"/>
      <c r="G2601" s="235" t="s">
        <v>19880</v>
      </c>
      <c r="H2601" s="235" t="s">
        <v>19881</v>
      </c>
      <c r="I2601" s="235" t="s">
        <v>19882</v>
      </c>
      <c r="J2601" s="235" t="s">
        <v>19883</v>
      </c>
      <c r="K2601" s="235" t="s">
        <v>19884</v>
      </c>
      <c r="N2601" s="235" t="s">
        <v>15</v>
      </c>
      <c r="O2601" s="235" t="s">
        <v>856</v>
      </c>
      <c r="P2601" s="238">
        <v>1.0</v>
      </c>
      <c r="Q2601" s="235" t="s">
        <v>627</v>
      </c>
      <c r="R2601" s="238">
        <v>380.0</v>
      </c>
      <c r="S2601" s="238">
        <v>18.43</v>
      </c>
      <c r="T2601" s="238">
        <v>0.0</v>
      </c>
      <c r="U2601" s="238">
        <v>0.0</v>
      </c>
      <c r="V2601" s="238">
        <v>0.0</v>
      </c>
      <c r="W2601" s="238">
        <v>0.0</v>
      </c>
      <c r="X2601" s="235" t="s">
        <v>628</v>
      </c>
      <c r="Z2601" s="244"/>
      <c r="AA2601" s="244"/>
      <c r="AB2601" s="244"/>
      <c r="AC2601" s="235" t="s">
        <v>1320</v>
      </c>
      <c r="AD2601" s="235" t="s">
        <v>666</v>
      </c>
      <c r="AE2601" s="238">
        <v>600024.0</v>
      </c>
      <c r="AF2601" s="235" t="s">
        <v>631</v>
      </c>
      <c r="AG2601" s="244"/>
      <c r="AH2601" s="244"/>
      <c r="AI2601" s="245"/>
      <c r="AJ2601" s="245"/>
      <c r="AK2601" s="245"/>
      <c r="AL2601" s="245"/>
      <c r="AM2601" s="244"/>
      <c r="AN2601" s="244"/>
      <c r="AO2601" s="238">
        <v>-11.4</v>
      </c>
      <c r="AP2601" s="238">
        <v>0.0</v>
      </c>
      <c r="AQ2601" s="235" t="s">
        <v>632</v>
      </c>
      <c r="AR2601" s="243">
        <v>1.68E11</v>
      </c>
      <c r="AS2601" s="235" t="s">
        <v>19840</v>
      </c>
      <c r="AT2601" s="235" t="s">
        <v>156</v>
      </c>
      <c r="AU2601" s="235" t="s">
        <v>634</v>
      </c>
      <c r="AV2601" s="246" t="s">
        <v>635</v>
      </c>
      <c r="AW2601" s="242"/>
      <c r="AX2601" s="242"/>
      <c r="AY2601" s="231"/>
      <c r="AZ2601" s="231"/>
      <c r="BA2601" s="227"/>
      <c r="BB2601" s="231"/>
      <c r="BC2601" s="227"/>
      <c r="BD2601" s="227"/>
      <c r="BE2601" s="227"/>
      <c r="BF2601" s="227"/>
    </row>
    <row r="2602">
      <c r="A2602" s="235" t="s">
        <v>19877</v>
      </c>
      <c r="C2602" s="235" t="s">
        <v>19878</v>
      </c>
      <c r="D2602" s="235" t="s">
        <v>19885</v>
      </c>
      <c r="E2602" s="243">
        <v>6.53E13</v>
      </c>
      <c r="F2602" s="245"/>
      <c r="G2602" s="235" t="s">
        <v>19880</v>
      </c>
      <c r="H2602" s="235" t="s">
        <v>19881</v>
      </c>
      <c r="I2602" s="235" t="s">
        <v>19882</v>
      </c>
      <c r="J2602" s="235" t="s">
        <v>19883</v>
      </c>
      <c r="K2602" s="235" t="s">
        <v>19884</v>
      </c>
      <c r="N2602" s="235" t="s">
        <v>15</v>
      </c>
      <c r="O2602" s="235" t="s">
        <v>856</v>
      </c>
      <c r="P2602" s="238">
        <v>1.0</v>
      </c>
      <c r="Q2602" s="235" t="s">
        <v>627</v>
      </c>
      <c r="R2602" s="238">
        <v>380.0</v>
      </c>
      <c r="S2602" s="238">
        <v>18.43</v>
      </c>
      <c r="T2602" s="238">
        <v>0.0</v>
      </c>
      <c r="U2602" s="238">
        <v>0.0</v>
      </c>
      <c r="V2602" s="238">
        <v>0.0</v>
      </c>
      <c r="W2602" s="238">
        <v>0.0</v>
      </c>
      <c r="X2602" s="235" t="s">
        <v>628</v>
      </c>
      <c r="Z2602" s="244"/>
      <c r="AA2602" s="244"/>
      <c r="AB2602" s="244"/>
      <c r="AC2602" s="235" t="s">
        <v>1320</v>
      </c>
      <c r="AD2602" s="235" t="s">
        <v>666</v>
      </c>
      <c r="AE2602" s="238">
        <v>600024.0</v>
      </c>
      <c r="AF2602" s="235" t="s">
        <v>631</v>
      </c>
      <c r="AG2602" s="244"/>
      <c r="AH2602" s="244"/>
      <c r="AI2602" s="245"/>
      <c r="AJ2602" s="245"/>
      <c r="AK2602" s="245"/>
      <c r="AL2602" s="245"/>
      <c r="AM2602" s="244"/>
      <c r="AN2602" s="244"/>
      <c r="AO2602" s="238">
        <v>-11.4</v>
      </c>
      <c r="AP2602" s="238">
        <v>0.0</v>
      </c>
      <c r="AQ2602" s="235" t="s">
        <v>632</v>
      </c>
      <c r="AR2602" s="243">
        <v>1.68E11</v>
      </c>
      <c r="AS2602" s="235" t="s">
        <v>19840</v>
      </c>
      <c r="AT2602" s="235" t="s">
        <v>156</v>
      </c>
      <c r="AU2602" s="235" t="s">
        <v>634</v>
      </c>
      <c r="AV2602" s="246" t="s">
        <v>635</v>
      </c>
      <c r="AW2602" s="242"/>
      <c r="AX2602" s="242"/>
      <c r="AY2602" s="231"/>
      <c r="AZ2602" s="231"/>
      <c r="BA2602" s="227"/>
      <c r="BB2602" s="231"/>
      <c r="BC2602" s="227"/>
      <c r="BD2602" s="227"/>
      <c r="BE2602" s="227"/>
      <c r="BF2602" s="227"/>
    </row>
    <row r="2603">
      <c r="A2603" s="235" t="s">
        <v>19877</v>
      </c>
      <c r="C2603" s="235" t="s">
        <v>19878</v>
      </c>
      <c r="D2603" s="235" t="s">
        <v>19886</v>
      </c>
      <c r="E2603" s="243">
        <v>6.53E13</v>
      </c>
      <c r="F2603" s="245"/>
      <c r="G2603" s="235" t="s">
        <v>19880</v>
      </c>
      <c r="H2603" s="235" t="s">
        <v>19881</v>
      </c>
      <c r="I2603" s="235" t="s">
        <v>19882</v>
      </c>
      <c r="J2603" s="235" t="s">
        <v>19883</v>
      </c>
      <c r="K2603" s="235" t="s">
        <v>19884</v>
      </c>
      <c r="N2603" s="235" t="s">
        <v>15</v>
      </c>
      <c r="O2603" s="235" t="s">
        <v>856</v>
      </c>
      <c r="P2603" s="238">
        <v>1.0</v>
      </c>
      <c r="Q2603" s="235" t="s">
        <v>627</v>
      </c>
      <c r="R2603" s="238">
        <v>380.0</v>
      </c>
      <c r="S2603" s="238">
        <v>18.43</v>
      </c>
      <c r="T2603" s="238">
        <v>0.0</v>
      </c>
      <c r="U2603" s="238">
        <v>0.0</v>
      </c>
      <c r="V2603" s="238">
        <v>0.0</v>
      </c>
      <c r="W2603" s="238">
        <v>0.0</v>
      </c>
      <c r="X2603" s="235" t="s">
        <v>628</v>
      </c>
      <c r="Z2603" s="244"/>
      <c r="AA2603" s="244"/>
      <c r="AB2603" s="244"/>
      <c r="AC2603" s="235" t="s">
        <v>1320</v>
      </c>
      <c r="AD2603" s="235" t="s">
        <v>666</v>
      </c>
      <c r="AE2603" s="238">
        <v>600024.0</v>
      </c>
      <c r="AF2603" s="235" t="s">
        <v>631</v>
      </c>
      <c r="AG2603" s="244"/>
      <c r="AH2603" s="244"/>
      <c r="AI2603" s="245"/>
      <c r="AJ2603" s="245"/>
      <c r="AK2603" s="245"/>
      <c r="AL2603" s="245"/>
      <c r="AM2603" s="244"/>
      <c r="AN2603" s="244"/>
      <c r="AO2603" s="238">
        <v>-11.4</v>
      </c>
      <c r="AP2603" s="238">
        <v>0.0</v>
      </c>
      <c r="AQ2603" s="235" t="s">
        <v>632</v>
      </c>
      <c r="AR2603" s="243">
        <v>1.68E11</v>
      </c>
      <c r="AS2603" s="235" t="s">
        <v>19840</v>
      </c>
      <c r="AT2603" s="235" t="s">
        <v>156</v>
      </c>
      <c r="AU2603" s="235" t="s">
        <v>634</v>
      </c>
      <c r="AV2603" s="246" t="s">
        <v>635</v>
      </c>
      <c r="AW2603" s="242"/>
      <c r="AX2603" s="242"/>
      <c r="AY2603" s="231"/>
      <c r="AZ2603" s="231"/>
      <c r="BA2603" s="227"/>
      <c r="BB2603" s="231"/>
      <c r="BC2603" s="227"/>
      <c r="BD2603" s="227"/>
      <c r="BE2603" s="227"/>
      <c r="BF2603" s="227"/>
    </row>
    <row r="2604">
      <c r="A2604" s="235" t="s">
        <v>19887</v>
      </c>
      <c r="C2604" s="235" t="s">
        <v>19888</v>
      </c>
      <c r="D2604" s="235" t="s">
        <v>19889</v>
      </c>
      <c r="E2604" s="243">
        <v>6.53E13</v>
      </c>
      <c r="F2604" s="245"/>
      <c r="G2604" s="235" t="s">
        <v>19890</v>
      </c>
      <c r="H2604" s="235" t="s">
        <v>19891</v>
      </c>
      <c r="I2604" s="235" t="s">
        <v>19891</v>
      </c>
      <c r="J2604" s="235" t="s">
        <v>19892</v>
      </c>
      <c r="K2604" s="235" t="s">
        <v>19893</v>
      </c>
      <c r="N2604" s="235" t="s">
        <v>842</v>
      </c>
      <c r="O2604" s="235" t="s">
        <v>843</v>
      </c>
      <c r="P2604" s="238">
        <v>1.0</v>
      </c>
      <c r="Q2604" s="235" t="s">
        <v>627</v>
      </c>
      <c r="R2604" s="238">
        <v>270.48</v>
      </c>
      <c r="S2604" s="238">
        <v>13.52</v>
      </c>
      <c r="T2604" s="238">
        <v>0.0</v>
      </c>
      <c r="U2604" s="238">
        <v>0.0</v>
      </c>
      <c r="V2604" s="238">
        <v>0.0</v>
      </c>
      <c r="W2604" s="238">
        <v>0.0</v>
      </c>
      <c r="X2604" s="235" t="s">
        <v>628</v>
      </c>
      <c r="Z2604" s="244"/>
      <c r="AA2604" s="244"/>
      <c r="AB2604" s="244"/>
      <c r="AC2604" s="235" t="s">
        <v>678</v>
      </c>
      <c r="AD2604" s="235" t="s">
        <v>679</v>
      </c>
      <c r="AE2604" s="238">
        <v>560040.0</v>
      </c>
      <c r="AF2604" s="235" t="s">
        <v>631</v>
      </c>
      <c r="AG2604" s="244"/>
      <c r="AH2604" s="244"/>
      <c r="AI2604" s="245"/>
      <c r="AJ2604" s="245"/>
      <c r="AK2604" s="245"/>
      <c r="AL2604" s="245"/>
      <c r="AM2604" s="244"/>
      <c r="AN2604" s="244"/>
      <c r="AO2604" s="238">
        <v>0.0</v>
      </c>
      <c r="AP2604" s="238">
        <v>0.0</v>
      </c>
      <c r="AQ2604" s="235" t="s">
        <v>632</v>
      </c>
      <c r="AR2604" s="243">
        <v>3.71E11</v>
      </c>
      <c r="AS2604" s="235" t="s">
        <v>19388</v>
      </c>
      <c r="AT2604" s="235" t="s">
        <v>11</v>
      </c>
      <c r="AU2604" s="235" t="s">
        <v>634</v>
      </c>
      <c r="AV2604" s="246" t="s">
        <v>635</v>
      </c>
      <c r="AW2604" s="242"/>
      <c r="AX2604" s="242"/>
      <c r="AY2604" s="231"/>
      <c r="AZ2604" s="231"/>
      <c r="BA2604" s="227"/>
      <c r="BB2604" s="231"/>
      <c r="BC2604" s="227"/>
      <c r="BD2604" s="227"/>
      <c r="BE2604" s="227"/>
      <c r="BF2604" s="227"/>
    </row>
    <row r="2605">
      <c r="A2605" s="235" t="s">
        <v>19894</v>
      </c>
      <c r="C2605" s="235" t="s">
        <v>19895</v>
      </c>
      <c r="D2605" s="235" t="s">
        <v>19896</v>
      </c>
      <c r="E2605" s="243">
        <v>6.53E13</v>
      </c>
      <c r="F2605" s="245"/>
      <c r="G2605" s="235" t="s">
        <v>19897</v>
      </c>
      <c r="H2605" s="235" t="s">
        <v>19898</v>
      </c>
      <c r="I2605" s="235" t="s">
        <v>19898</v>
      </c>
      <c r="J2605" s="235" t="s">
        <v>19899</v>
      </c>
      <c r="K2605" s="235" t="s">
        <v>19900</v>
      </c>
      <c r="N2605" s="235" t="s">
        <v>962</v>
      </c>
      <c r="O2605" s="235" t="s">
        <v>963</v>
      </c>
      <c r="P2605" s="238">
        <v>1.0</v>
      </c>
      <c r="Q2605" s="235" t="s">
        <v>627</v>
      </c>
      <c r="R2605" s="238">
        <v>270.48</v>
      </c>
      <c r="S2605" s="238">
        <v>13.25</v>
      </c>
      <c r="T2605" s="238">
        <v>0.0</v>
      </c>
      <c r="U2605" s="238">
        <v>0.0</v>
      </c>
      <c r="V2605" s="238">
        <v>0.0</v>
      </c>
      <c r="W2605" s="238">
        <v>0.0</v>
      </c>
      <c r="X2605" s="235" t="s">
        <v>628</v>
      </c>
      <c r="Z2605" s="244"/>
      <c r="AA2605" s="244"/>
      <c r="AB2605" s="244"/>
      <c r="AC2605" s="235" t="s">
        <v>678</v>
      </c>
      <c r="AD2605" s="235" t="s">
        <v>679</v>
      </c>
      <c r="AE2605" s="238">
        <v>560076.0</v>
      </c>
      <c r="AF2605" s="235" t="s">
        <v>631</v>
      </c>
      <c r="AG2605" s="244"/>
      <c r="AH2605" s="244"/>
      <c r="AI2605" s="245"/>
      <c r="AJ2605" s="245"/>
      <c r="AK2605" s="245"/>
      <c r="AL2605" s="245"/>
      <c r="AM2605" s="244"/>
      <c r="AN2605" s="244"/>
      <c r="AO2605" s="238">
        <v>-5.41</v>
      </c>
      <c r="AP2605" s="238">
        <v>0.0</v>
      </c>
      <c r="AQ2605" s="235" t="s">
        <v>632</v>
      </c>
      <c r="AR2605" s="243">
        <v>1.68E11</v>
      </c>
      <c r="AS2605" s="235" t="s">
        <v>19840</v>
      </c>
      <c r="AT2605" s="235" t="s">
        <v>9</v>
      </c>
      <c r="AU2605" s="235" t="s">
        <v>634</v>
      </c>
      <c r="AV2605" s="246" t="s">
        <v>635</v>
      </c>
      <c r="AW2605" s="242"/>
      <c r="AX2605" s="242"/>
      <c r="AY2605" s="231"/>
      <c r="AZ2605" s="231"/>
      <c r="BA2605" s="227"/>
      <c r="BB2605" s="231"/>
      <c r="BC2605" s="227"/>
      <c r="BD2605" s="227"/>
      <c r="BE2605" s="227"/>
      <c r="BF2605" s="227"/>
    </row>
    <row r="2606">
      <c r="A2606" s="235" t="s">
        <v>19901</v>
      </c>
      <c r="C2606" s="235" t="s">
        <v>19902</v>
      </c>
      <c r="D2606" s="235" t="s">
        <v>19903</v>
      </c>
      <c r="E2606" s="243">
        <v>6.53E13</v>
      </c>
      <c r="F2606" s="245"/>
      <c r="G2606" s="235" t="s">
        <v>19904</v>
      </c>
      <c r="H2606" s="235" t="s">
        <v>19905</v>
      </c>
      <c r="I2606" s="235" t="s">
        <v>19905</v>
      </c>
      <c r="J2606" s="235" t="s">
        <v>19906</v>
      </c>
      <c r="K2606" s="235" t="s">
        <v>19907</v>
      </c>
      <c r="N2606" s="235" t="s">
        <v>127</v>
      </c>
      <c r="O2606" s="235" t="s">
        <v>794</v>
      </c>
      <c r="P2606" s="238">
        <v>1.0</v>
      </c>
      <c r="Q2606" s="235" t="s">
        <v>627</v>
      </c>
      <c r="R2606" s="238">
        <v>270.48</v>
      </c>
      <c r="S2606" s="238">
        <v>13.25</v>
      </c>
      <c r="T2606" s="238">
        <v>0.0</v>
      </c>
      <c r="U2606" s="238">
        <v>0.0</v>
      </c>
      <c r="V2606" s="238">
        <v>0.0</v>
      </c>
      <c r="W2606" s="238">
        <v>0.0</v>
      </c>
      <c r="X2606" s="235" t="s">
        <v>628</v>
      </c>
      <c r="Z2606" s="244"/>
      <c r="AA2606" s="244"/>
      <c r="AB2606" s="244"/>
      <c r="AC2606" s="235" t="s">
        <v>1671</v>
      </c>
      <c r="AD2606" s="235" t="s">
        <v>666</v>
      </c>
      <c r="AE2606" s="238">
        <v>641027.0</v>
      </c>
      <c r="AF2606" s="235" t="s">
        <v>631</v>
      </c>
      <c r="AG2606" s="244"/>
      <c r="AH2606" s="244"/>
      <c r="AI2606" s="245"/>
      <c r="AJ2606" s="245"/>
      <c r="AK2606" s="245"/>
      <c r="AL2606" s="245"/>
      <c r="AM2606" s="244"/>
      <c r="AN2606" s="244"/>
      <c r="AO2606" s="238">
        <v>-5.41</v>
      </c>
      <c r="AP2606" s="238">
        <v>0.0</v>
      </c>
      <c r="AQ2606" s="235" t="s">
        <v>632</v>
      </c>
      <c r="AR2606" s="243">
        <v>3.71E11</v>
      </c>
      <c r="AS2606" s="235" t="s">
        <v>19388</v>
      </c>
      <c r="AT2606" s="235" t="s">
        <v>155</v>
      </c>
      <c r="AU2606" s="235" t="s">
        <v>634</v>
      </c>
      <c r="AV2606" s="246" t="s">
        <v>635</v>
      </c>
      <c r="AW2606" s="242"/>
      <c r="AX2606" s="242"/>
      <c r="AY2606" s="231"/>
      <c r="AZ2606" s="231"/>
      <c r="BA2606" s="227"/>
      <c r="BB2606" s="231"/>
      <c r="BC2606" s="227"/>
      <c r="BD2606" s="227"/>
      <c r="BE2606" s="227"/>
      <c r="BF2606" s="227"/>
    </row>
    <row r="2607">
      <c r="A2607" s="235" t="s">
        <v>19908</v>
      </c>
      <c r="C2607" s="235" t="s">
        <v>19909</v>
      </c>
      <c r="D2607" s="235" t="s">
        <v>19910</v>
      </c>
      <c r="E2607" s="243">
        <v>6.53E13</v>
      </c>
      <c r="F2607" s="245"/>
      <c r="G2607" s="235" t="s">
        <v>19911</v>
      </c>
      <c r="H2607" s="235" t="s">
        <v>19912</v>
      </c>
      <c r="I2607" s="235" t="s">
        <v>19912</v>
      </c>
      <c r="J2607" s="235" t="s">
        <v>19913</v>
      </c>
      <c r="K2607" s="235" t="s">
        <v>19914</v>
      </c>
      <c r="N2607" s="235" t="s">
        <v>130</v>
      </c>
      <c r="O2607" s="235" t="s">
        <v>707</v>
      </c>
      <c r="P2607" s="238">
        <v>1.0</v>
      </c>
      <c r="Q2607" s="235" t="s">
        <v>627</v>
      </c>
      <c r="R2607" s="238">
        <v>270.48</v>
      </c>
      <c r="S2607" s="238">
        <v>13.25</v>
      </c>
      <c r="T2607" s="238">
        <v>0.0</v>
      </c>
      <c r="U2607" s="238">
        <v>0.0</v>
      </c>
      <c r="V2607" s="238">
        <v>0.0</v>
      </c>
      <c r="W2607" s="238">
        <v>0.0</v>
      </c>
      <c r="X2607" s="235" t="s">
        <v>628</v>
      </c>
      <c r="Z2607" s="244"/>
      <c r="AA2607" s="244"/>
      <c r="AB2607" s="244"/>
      <c r="AC2607" s="235" t="s">
        <v>1095</v>
      </c>
      <c r="AD2607" s="235" t="s">
        <v>845</v>
      </c>
      <c r="AE2607" s="238">
        <v>410210.0</v>
      </c>
      <c r="AF2607" s="235" t="s">
        <v>631</v>
      </c>
      <c r="AG2607" s="244"/>
      <c r="AH2607" s="244"/>
      <c r="AI2607" s="245"/>
      <c r="AJ2607" s="245"/>
      <c r="AK2607" s="245"/>
      <c r="AL2607" s="245"/>
      <c r="AM2607" s="244"/>
      <c r="AN2607" s="244"/>
      <c r="AO2607" s="238">
        <v>-5.41</v>
      </c>
      <c r="AP2607" s="238">
        <v>0.0</v>
      </c>
      <c r="AQ2607" s="235" t="s">
        <v>632</v>
      </c>
      <c r="AR2607" s="243">
        <v>3.71E11</v>
      </c>
      <c r="AS2607" s="235" t="s">
        <v>17988</v>
      </c>
      <c r="AT2607" s="235" t="s">
        <v>16</v>
      </c>
      <c r="AU2607" s="235" t="s">
        <v>634</v>
      </c>
      <c r="AV2607" s="246" t="s">
        <v>635</v>
      </c>
      <c r="AW2607" s="242"/>
      <c r="AX2607" s="242"/>
      <c r="AY2607" s="231"/>
      <c r="AZ2607" s="231"/>
      <c r="BA2607" s="227"/>
      <c r="BB2607" s="231"/>
      <c r="BC2607" s="227"/>
      <c r="BD2607" s="227"/>
      <c r="BE2607" s="227"/>
      <c r="BF2607" s="227"/>
    </row>
    <row r="2608">
      <c r="A2608" s="235" t="s">
        <v>19915</v>
      </c>
      <c r="C2608" s="235" t="s">
        <v>19916</v>
      </c>
      <c r="D2608" s="235" t="s">
        <v>19917</v>
      </c>
      <c r="E2608" s="243">
        <v>6.52E13</v>
      </c>
      <c r="F2608" s="245"/>
      <c r="G2608" s="235" t="s">
        <v>19918</v>
      </c>
      <c r="H2608" s="235" t="s">
        <v>19919</v>
      </c>
      <c r="I2608" s="235" t="s">
        <v>19919</v>
      </c>
      <c r="J2608" s="235" t="s">
        <v>19920</v>
      </c>
      <c r="K2608" s="235" t="s">
        <v>19921</v>
      </c>
      <c r="N2608" s="235" t="s">
        <v>146</v>
      </c>
      <c r="O2608" s="235" t="s">
        <v>438</v>
      </c>
      <c r="P2608" s="238">
        <v>1.0</v>
      </c>
      <c r="Q2608" s="235" t="s">
        <v>627</v>
      </c>
      <c r="R2608" s="238">
        <v>256.19</v>
      </c>
      <c r="S2608" s="238">
        <v>12.81</v>
      </c>
      <c r="T2608" s="238">
        <v>0.0</v>
      </c>
      <c r="U2608" s="238">
        <v>0.0</v>
      </c>
      <c r="V2608" s="238">
        <v>0.0</v>
      </c>
      <c r="W2608" s="238">
        <v>0.0</v>
      </c>
      <c r="X2608" s="235" t="s">
        <v>628</v>
      </c>
      <c r="Z2608" s="244"/>
      <c r="AA2608" s="244"/>
      <c r="AB2608" s="244"/>
      <c r="AC2608" s="235" t="s">
        <v>1531</v>
      </c>
      <c r="AD2608" s="235" t="s">
        <v>1151</v>
      </c>
      <c r="AE2608" s="238">
        <v>700027.0</v>
      </c>
      <c r="AF2608" s="235" t="s">
        <v>631</v>
      </c>
      <c r="AG2608" s="244"/>
      <c r="AH2608" s="244"/>
      <c r="AI2608" s="245"/>
      <c r="AJ2608" s="245"/>
      <c r="AK2608" s="245"/>
      <c r="AL2608" s="245"/>
      <c r="AM2608" s="244"/>
      <c r="AN2608" s="244"/>
      <c r="AO2608" s="238">
        <v>0.0</v>
      </c>
      <c r="AP2608" s="238">
        <v>0.0</v>
      </c>
      <c r="AQ2608" s="235" t="s">
        <v>632</v>
      </c>
      <c r="AR2608" s="243">
        <v>3.71E11</v>
      </c>
      <c r="AS2608" s="235" t="s">
        <v>15064</v>
      </c>
      <c r="AT2608" s="235" t="s">
        <v>14</v>
      </c>
      <c r="AU2608" s="235" t="s">
        <v>634</v>
      </c>
      <c r="AV2608" s="246" t="s">
        <v>635</v>
      </c>
      <c r="AW2608" s="242"/>
      <c r="AX2608" s="242"/>
      <c r="AY2608" s="231"/>
      <c r="AZ2608" s="231"/>
      <c r="BA2608" s="227"/>
      <c r="BB2608" s="231"/>
      <c r="BC2608" s="227"/>
      <c r="BD2608" s="227"/>
      <c r="BE2608" s="227"/>
      <c r="BF2608" s="227"/>
    </row>
    <row r="2609">
      <c r="A2609" s="235" t="s">
        <v>19922</v>
      </c>
      <c r="C2609" s="235" t="s">
        <v>19923</v>
      </c>
      <c r="D2609" s="235" t="s">
        <v>19924</v>
      </c>
      <c r="E2609" s="243">
        <v>6.53E13</v>
      </c>
      <c r="F2609" s="245"/>
      <c r="G2609" s="235" t="s">
        <v>19925</v>
      </c>
      <c r="H2609" s="235" t="s">
        <v>19926</v>
      </c>
      <c r="I2609" s="235" t="s">
        <v>19926</v>
      </c>
      <c r="J2609" s="235" t="s">
        <v>19927</v>
      </c>
      <c r="K2609" s="235" t="s">
        <v>19928</v>
      </c>
      <c r="N2609" s="235" t="s">
        <v>42</v>
      </c>
      <c r="O2609" s="235" t="s">
        <v>204</v>
      </c>
      <c r="P2609" s="238">
        <v>1.0</v>
      </c>
      <c r="Q2609" s="235" t="s">
        <v>627</v>
      </c>
      <c r="R2609" s="238">
        <v>270.48</v>
      </c>
      <c r="S2609" s="238">
        <v>13.52</v>
      </c>
      <c r="T2609" s="238">
        <v>0.0</v>
      </c>
      <c r="U2609" s="238">
        <v>0.0</v>
      </c>
      <c r="V2609" s="238">
        <v>0.0</v>
      </c>
      <c r="W2609" s="238">
        <v>0.0</v>
      </c>
      <c r="X2609" s="235" t="s">
        <v>628</v>
      </c>
      <c r="Z2609" s="244"/>
      <c r="AA2609" s="244"/>
      <c r="AB2609" s="244"/>
      <c r="AC2609" s="235" t="s">
        <v>678</v>
      </c>
      <c r="AD2609" s="235" t="s">
        <v>679</v>
      </c>
      <c r="AE2609" s="238">
        <v>560098.0</v>
      </c>
      <c r="AF2609" s="235" t="s">
        <v>631</v>
      </c>
      <c r="AG2609" s="244"/>
      <c r="AH2609" s="244"/>
      <c r="AI2609" s="245"/>
      <c r="AJ2609" s="245"/>
      <c r="AK2609" s="245"/>
      <c r="AL2609" s="245"/>
      <c r="AM2609" s="244"/>
      <c r="AN2609" s="244"/>
      <c r="AO2609" s="238">
        <v>0.0</v>
      </c>
      <c r="AP2609" s="238">
        <v>0.0</v>
      </c>
      <c r="AQ2609" s="235" t="s">
        <v>632</v>
      </c>
      <c r="AR2609" s="243">
        <v>1.68E11</v>
      </c>
      <c r="AS2609" s="235" t="s">
        <v>19840</v>
      </c>
      <c r="AT2609" s="235" t="s">
        <v>11</v>
      </c>
      <c r="AU2609" s="235" t="s">
        <v>634</v>
      </c>
      <c r="AV2609" s="246" t="s">
        <v>635</v>
      </c>
      <c r="AW2609" s="242"/>
      <c r="AX2609" s="242"/>
      <c r="AY2609" s="231"/>
      <c r="AZ2609" s="231"/>
      <c r="BA2609" s="227"/>
      <c r="BB2609" s="231"/>
      <c r="BC2609" s="227"/>
      <c r="BD2609" s="227"/>
      <c r="BE2609" s="227"/>
      <c r="BF2609" s="227"/>
    </row>
    <row r="2610">
      <c r="A2610" s="235" t="s">
        <v>19929</v>
      </c>
      <c r="C2610" s="235" t="s">
        <v>19930</v>
      </c>
      <c r="D2610" s="235" t="s">
        <v>19931</v>
      </c>
      <c r="E2610" s="243">
        <v>6.53E13</v>
      </c>
      <c r="F2610" s="245"/>
      <c r="G2610" s="235" t="s">
        <v>19932</v>
      </c>
      <c r="H2610" s="235" t="s">
        <v>19933</v>
      </c>
      <c r="I2610" s="235" t="s">
        <v>19933</v>
      </c>
      <c r="J2610" s="235" t="s">
        <v>19934</v>
      </c>
      <c r="K2610" s="235" t="s">
        <v>19935</v>
      </c>
      <c r="N2610" s="235" t="s">
        <v>154</v>
      </c>
      <c r="O2610" s="235" t="s">
        <v>766</v>
      </c>
      <c r="P2610" s="238">
        <v>1.0</v>
      </c>
      <c r="Q2610" s="235" t="s">
        <v>627</v>
      </c>
      <c r="R2610" s="238">
        <v>500.96</v>
      </c>
      <c r="S2610" s="238">
        <v>24.54</v>
      </c>
      <c r="T2610" s="238">
        <v>0.0</v>
      </c>
      <c r="U2610" s="238">
        <v>0.0</v>
      </c>
      <c r="V2610" s="238">
        <v>0.0</v>
      </c>
      <c r="W2610" s="238">
        <v>0.0</v>
      </c>
      <c r="X2610" s="235" t="s">
        <v>628</v>
      </c>
      <c r="Z2610" s="244"/>
      <c r="AA2610" s="244"/>
      <c r="AB2610" s="244"/>
      <c r="AC2610" s="235" t="s">
        <v>678</v>
      </c>
      <c r="AD2610" s="235" t="s">
        <v>679</v>
      </c>
      <c r="AE2610" s="238">
        <v>560087.0</v>
      </c>
      <c r="AF2610" s="235" t="s">
        <v>631</v>
      </c>
      <c r="AG2610" s="244"/>
      <c r="AH2610" s="244"/>
      <c r="AI2610" s="245"/>
      <c r="AJ2610" s="245"/>
      <c r="AK2610" s="245"/>
      <c r="AL2610" s="245"/>
      <c r="AM2610" s="244"/>
      <c r="AN2610" s="244"/>
      <c r="AO2610" s="238">
        <v>-10.02</v>
      </c>
      <c r="AP2610" s="238">
        <v>0.0</v>
      </c>
      <c r="AQ2610" s="235" t="s">
        <v>632</v>
      </c>
      <c r="AR2610" s="243">
        <v>1.68E11</v>
      </c>
      <c r="AS2610" s="235" t="s">
        <v>19840</v>
      </c>
      <c r="AT2610" s="235" t="s">
        <v>9</v>
      </c>
      <c r="AU2610" s="235" t="s">
        <v>634</v>
      </c>
      <c r="AV2610" s="246" t="s">
        <v>635</v>
      </c>
      <c r="AW2610" s="242"/>
      <c r="AX2610" s="242"/>
      <c r="AY2610" s="231"/>
      <c r="AZ2610" s="231"/>
      <c r="BA2610" s="227"/>
      <c r="BB2610" s="231"/>
      <c r="BC2610" s="227"/>
      <c r="BD2610" s="227"/>
      <c r="BE2610" s="227"/>
      <c r="BF2610" s="227"/>
    </row>
    <row r="2611">
      <c r="A2611" s="235" t="s">
        <v>19936</v>
      </c>
      <c r="C2611" s="235" t="s">
        <v>19937</v>
      </c>
      <c r="D2611" s="235" t="s">
        <v>19938</v>
      </c>
      <c r="E2611" s="243">
        <v>6.53E13</v>
      </c>
      <c r="F2611" s="245"/>
      <c r="G2611" s="235" t="s">
        <v>19939</v>
      </c>
      <c r="H2611" s="235" t="s">
        <v>19940</v>
      </c>
      <c r="I2611" s="235" t="s">
        <v>19940</v>
      </c>
      <c r="J2611" s="235" t="s">
        <v>19941</v>
      </c>
      <c r="K2611" s="235" t="s">
        <v>19942</v>
      </c>
      <c r="N2611" s="235" t="s">
        <v>54</v>
      </c>
      <c r="O2611" s="235" t="s">
        <v>294</v>
      </c>
      <c r="P2611" s="238">
        <v>1.0</v>
      </c>
      <c r="Q2611" s="235" t="s">
        <v>627</v>
      </c>
      <c r="R2611" s="238">
        <v>261.9</v>
      </c>
      <c r="S2611" s="238">
        <v>12.84</v>
      </c>
      <c r="T2611" s="238">
        <v>0.0</v>
      </c>
      <c r="U2611" s="238">
        <v>0.0</v>
      </c>
      <c r="V2611" s="238">
        <v>0.0</v>
      </c>
      <c r="W2611" s="238">
        <v>0.0</v>
      </c>
      <c r="X2611" s="235" t="s">
        <v>628</v>
      </c>
      <c r="Z2611" s="244"/>
      <c r="AA2611" s="244"/>
      <c r="AB2611" s="244"/>
      <c r="AC2611" s="235" t="s">
        <v>1680</v>
      </c>
      <c r="AD2611" s="235" t="s">
        <v>928</v>
      </c>
      <c r="AE2611" s="238">
        <v>132103.0</v>
      </c>
      <c r="AF2611" s="235" t="s">
        <v>631</v>
      </c>
      <c r="AG2611" s="244"/>
      <c r="AH2611" s="244"/>
      <c r="AI2611" s="245"/>
      <c r="AJ2611" s="245"/>
      <c r="AK2611" s="245"/>
      <c r="AL2611" s="245"/>
      <c r="AM2611" s="244"/>
      <c r="AN2611" s="244"/>
      <c r="AO2611" s="238">
        <v>-5.24</v>
      </c>
      <c r="AP2611" s="238">
        <v>0.0</v>
      </c>
      <c r="AQ2611" s="235" t="s">
        <v>632</v>
      </c>
      <c r="AR2611" s="243">
        <v>3.71E11</v>
      </c>
      <c r="AS2611" s="235" t="s">
        <v>17988</v>
      </c>
      <c r="AT2611" s="235" t="s">
        <v>533</v>
      </c>
      <c r="AU2611" s="235" t="s">
        <v>634</v>
      </c>
      <c r="AV2611" s="246" t="s">
        <v>635</v>
      </c>
      <c r="AW2611" s="242"/>
      <c r="AX2611" s="242"/>
      <c r="AY2611" s="231"/>
      <c r="AZ2611" s="231"/>
      <c r="BA2611" s="227"/>
      <c r="BB2611" s="231"/>
      <c r="BC2611" s="227"/>
      <c r="BD2611" s="227"/>
      <c r="BE2611" s="227"/>
      <c r="BF2611" s="227"/>
    </row>
    <row r="2612">
      <c r="A2612" s="235" t="s">
        <v>19943</v>
      </c>
      <c r="C2612" s="235" t="s">
        <v>19944</v>
      </c>
      <c r="D2612" s="235" t="s">
        <v>19945</v>
      </c>
      <c r="E2612" s="243">
        <v>6.53E13</v>
      </c>
      <c r="F2612" s="245"/>
      <c r="G2612" s="235" t="s">
        <v>19946</v>
      </c>
      <c r="H2612" s="235" t="s">
        <v>19947</v>
      </c>
      <c r="I2612" s="235" t="s">
        <v>19947</v>
      </c>
      <c r="J2612" s="235" t="s">
        <v>19948</v>
      </c>
      <c r="K2612" s="235" t="s">
        <v>19949</v>
      </c>
      <c r="N2612" s="235" t="s">
        <v>962</v>
      </c>
      <c r="O2612" s="235" t="s">
        <v>963</v>
      </c>
      <c r="P2612" s="238">
        <v>1.0</v>
      </c>
      <c r="Q2612" s="235" t="s">
        <v>627</v>
      </c>
      <c r="R2612" s="238">
        <v>270.48</v>
      </c>
      <c r="S2612" s="238">
        <v>13.52</v>
      </c>
      <c r="T2612" s="238">
        <v>38.1</v>
      </c>
      <c r="U2612" s="238">
        <v>1.9</v>
      </c>
      <c r="V2612" s="238">
        <v>0.0</v>
      </c>
      <c r="W2612" s="238">
        <v>0.0</v>
      </c>
      <c r="X2612" s="235" t="s">
        <v>628</v>
      </c>
      <c r="Z2612" s="244"/>
      <c r="AA2612" s="244"/>
      <c r="AB2612" s="244"/>
      <c r="AC2612" s="235" t="s">
        <v>19950</v>
      </c>
      <c r="AD2612" s="235" t="s">
        <v>630</v>
      </c>
      <c r="AE2612" s="238">
        <v>203001.0</v>
      </c>
      <c r="AF2612" s="235" t="s">
        <v>631</v>
      </c>
      <c r="AG2612" s="244"/>
      <c r="AH2612" s="244"/>
      <c r="AI2612" s="245"/>
      <c r="AJ2612" s="245"/>
      <c r="AK2612" s="245"/>
      <c r="AL2612" s="245"/>
      <c r="AM2612" s="244"/>
      <c r="AN2612" s="244"/>
      <c r="AO2612" s="238">
        <v>0.0</v>
      </c>
      <c r="AP2612" s="238">
        <v>-38.1</v>
      </c>
      <c r="AQ2612" s="235" t="s">
        <v>632</v>
      </c>
      <c r="AR2612" s="243">
        <v>3.71E11</v>
      </c>
      <c r="AS2612" s="235" t="s">
        <v>17988</v>
      </c>
      <c r="AT2612" s="235" t="s">
        <v>13</v>
      </c>
      <c r="AU2612" s="235" t="s">
        <v>634</v>
      </c>
      <c r="AV2612" s="246" t="s">
        <v>635</v>
      </c>
      <c r="AW2612" s="242"/>
      <c r="AX2612" s="242"/>
      <c r="AY2612" s="231"/>
      <c r="AZ2612" s="231"/>
      <c r="BA2612" s="227"/>
      <c r="BB2612" s="231"/>
      <c r="BC2612" s="227"/>
      <c r="BD2612" s="227"/>
      <c r="BE2612" s="227"/>
      <c r="BF2612" s="227"/>
    </row>
    <row r="2613">
      <c r="A2613" s="235" t="s">
        <v>19951</v>
      </c>
      <c r="C2613" s="235" t="s">
        <v>19952</v>
      </c>
      <c r="D2613" s="235" t="s">
        <v>19953</v>
      </c>
      <c r="E2613" s="243">
        <v>6.53E13</v>
      </c>
      <c r="F2613" s="245"/>
      <c r="G2613" s="235" t="s">
        <v>19954</v>
      </c>
      <c r="H2613" s="235" t="s">
        <v>19955</v>
      </c>
      <c r="I2613" s="235" t="s">
        <v>19956</v>
      </c>
      <c r="J2613" s="235" t="s">
        <v>19957</v>
      </c>
      <c r="K2613" s="235" t="s">
        <v>19958</v>
      </c>
      <c r="N2613" s="235" t="s">
        <v>51</v>
      </c>
      <c r="O2613" s="235" t="s">
        <v>273</v>
      </c>
      <c r="P2613" s="238">
        <v>1.0</v>
      </c>
      <c r="Q2613" s="235" t="s">
        <v>627</v>
      </c>
      <c r="R2613" s="238">
        <v>270.48</v>
      </c>
      <c r="S2613" s="238">
        <v>13.52</v>
      </c>
      <c r="T2613" s="238">
        <v>0.0</v>
      </c>
      <c r="U2613" s="238">
        <v>0.0</v>
      </c>
      <c r="V2613" s="238">
        <v>0.0</v>
      </c>
      <c r="W2613" s="238">
        <v>0.0</v>
      </c>
      <c r="X2613" s="235" t="s">
        <v>628</v>
      </c>
      <c r="Z2613" s="244"/>
      <c r="AA2613" s="244"/>
      <c r="AB2613" s="244"/>
      <c r="AC2613" s="235" t="s">
        <v>15649</v>
      </c>
      <c r="AD2613" s="235" t="s">
        <v>666</v>
      </c>
      <c r="AE2613" s="238">
        <v>635109.0</v>
      </c>
      <c r="AF2613" s="235" t="s">
        <v>631</v>
      </c>
      <c r="AG2613" s="244"/>
      <c r="AH2613" s="244"/>
      <c r="AI2613" s="245"/>
      <c r="AJ2613" s="245"/>
      <c r="AK2613" s="245"/>
      <c r="AL2613" s="245"/>
      <c r="AM2613" s="244"/>
      <c r="AN2613" s="244"/>
      <c r="AO2613" s="238">
        <v>0.0</v>
      </c>
      <c r="AP2613" s="238">
        <v>0.0</v>
      </c>
      <c r="AQ2613" s="235" t="s">
        <v>632</v>
      </c>
      <c r="AR2613" s="243">
        <v>3.71E11</v>
      </c>
      <c r="AS2613" s="235" t="s">
        <v>17988</v>
      </c>
      <c r="AT2613" s="235" t="s">
        <v>9</v>
      </c>
      <c r="AU2613" s="235" t="s">
        <v>634</v>
      </c>
      <c r="AV2613" s="246" t="s">
        <v>635</v>
      </c>
      <c r="AW2613" s="242"/>
      <c r="AX2613" s="242"/>
      <c r="AY2613" s="231"/>
      <c r="AZ2613" s="231"/>
      <c r="BA2613" s="227"/>
      <c r="BB2613" s="231"/>
      <c r="BC2613" s="227"/>
      <c r="BD2613" s="227"/>
      <c r="BE2613" s="227"/>
      <c r="BF2613" s="227"/>
    </row>
    <row r="2614">
      <c r="A2614" s="235" t="s">
        <v>19959</v>
      </c>
      <c r="C2614" s="235" t="s">
        <v>19960</v>
      </c>
      <c r="D2614" s="235" t="s">
        <v>19961</v>
      </c>
      <c r="E2614" s="243">
        <v>6.53E13</v>
      </c>
      <c r="F2614" s="245"/>
      <c r="G2614" s="235" t="s">
        <v>19962</v>
      </c>
      <c r="H2614" s="235" t="s">
        <v>19963</v>
      </c>
      <c r="I2614" s="235" t="s">
        <v>19963</v>
      </c>
      <c r="J2614" s="235" t="s">
        <v>19964</v>
      </c>
      <c r="K2614" s="235" t="s">
        <v>19965</v>
      </c>
      <c r="N2614" s="235" t="s">
        <v>68</v>
      </c>
      <c r="O2614" s="235" t="s">
        <v>208</v>
      </c>
      <c r="P2614" s="238">
        <v>1.0</v>
      </c>
      <c r="Q2614" s="235" t="s">
        <v>627</v>
      </c>
      <c r="R2614" s="238">
        <v>261.9</v>
      </c>
      <c r="S2614" s="238">
        <v>12.84</v>
      </c>
      <c r="T2614" s="238">
        <v>0.0</v>
      </c>
      <c r="U2614" s="238">
        <v>0.0</v>
      </c>
      <c r="V2614" s="238">
        <v>0.0</v>
      </c>
      <c r="W2614" s="238">
        <v>0.0</v>
      </c>
      <c r="X2614" s="235" t="s">
        <v>628</v>
      </c>
      <c r="Z2614" s="244"/>
      <c r="AA2614" s="244"/>
      <c r="AB2614" s="244"/>
      <c r="AC2614" s="235" t="s">
        <v>678</v>
      </c>
      <c r="AD2614" s="235" t="s">
        <v>679</v>
      </c>
      <c r="AE2614" s="238">
        <v>560072.0</v>
      </c>
      <c r="AF2614" s="235" t="s">
        <v>631</v>
      </c>
      <c r="AG2614" s="244"/>
      <c r="AH2614" s="244"/>
      <c r="AI2614" s="245"/>
      <c r="AJ2614" s="245"/>
      <c r="AK2614" s="245"/>
      <c r="AL2614" s="245"/>
      <c r="AM2614" s="244"/>
      <c r="AN2614" s="244"/>
      <c r="AO2614" s="238">
        <v>-5.24</v>
      </c>
      <c r="AP2614" s="238">
        <v>0.0</v>
      </c>
      <c r="AQ2614" s="235" t="s">
        <v>632</v>
      </c>
      <c r="AR2614" s="243">
        <v>3.71E11</v>
      </c>
      <c r="AS2614" s="235" t="s">
        <v>17988</v>
      </c>
      <c r="AT2614" s="235" t="s">
        <v>9</v>
      </c>
      <c r="AU2614" s="235" t="s">
        <v>634</v>
      </c>
      <c r="AV2614" s="246" t="s">
        <v>635</v>
      </c>
      <c r="AW2614" s="242"/>
      <c r="AX2614" s="242"/>
      <c r="AY2614" s="231"/>
      <c r="AZ2614" s="231"/>
      <c r="BA2614" s="227"/>
      <c r="BB2614" s="231"/>
      <c r="BC2614" s="227"/>
      <c r="BD2614" s="227"/>
      <c r="BE2614" s="227"/>
      <c r="BF2614" s="227"/>
    </row>
    <row r="2615">
      <c r="A2615" s="235" t="s">
        <v>19966</v>
      </c>
      <c r="C2615" s="235" t="s">
        <v>19967</v>
      </c>
      <c r="D2615" s="235" t="s">
        <v>19968</v>
      </c>
      <c r="E2615" s="243">
        <v>6.53E13</v>
      </c>
      <c r="F2615" s="245"/>
      <c r="G2615" s="235" t="s">
        <v>19969</v>
      </c>
      <c r="H2615" s="235" t="s">
        <v>19970</v>
      </c>
      <c r="I2615" s="235" t="s">
        <v>19970</v>
      </c>
      <c r="J2615" s="235" t="s">
        <v>19971</v>
      </c>
      <c r="K2615" s="235" t="s">
        <v>19972</v>
      </c>
      <c r="N2615" s="235" t="s">
        <v>47</v>
      </c>
      <c r="O2615" s="235" t="s">
        <v>270</v>
      </c>
      <c r="P2615" s="238">
        <v>1.0</v>
      </c>
      <c r="Q2615" s="235" t="s">
        <v>627</v>
      </c>
      <c r="R2615" s="238">
        <v>270.48</v>
      </c>
      <c r="S2615" s="238">
        <v>13.25</v>
      </c>
      <c r="T2615" s="238">
        <v>0.0</v>
      </c>
      <c r="U2615" s="238">
        <v>0.0</v>
      </c>
      <c r="V2615" s="238">
        <v>0.0</v>
      </c>
      <c r="W2615" s="238">
        <v>0.0</v>
      </c>
      <c r="X2615" s="235" t="s">
        <v>628</v>
      </c>
      <c r="Z2615" s="244"/>
      <c r="AA2615" s="244"/>
      <c r="AB2615" s="244"/>
      <c r="AC2615" s="235" t="s">
        <v>678</v>
      </c>
      <c r="AD2615" s="235" t="s">
        <v>679</v>
      </c>
      <c r="AE2615" s="238">
        <v>560099.0</v>
      </c>
      <c r="AF2615" s="235" t="s">
        <v>631</v>
      </c>
      <c r="AG2615" s="244"/>
      <c r="AH2615" s="244"/>
      <c r="AI2615" s="245"/>
      <c r="AJ2615" s="245"/>
      <c r="AK2615" s="245"/>
      <c r="AL2615" s="245"/>
      <c r="AM2615" s="244"/>
      <c r="AN2615" s="244"/>
      <c r="AO2615" s="238">
        <v>-5.41</v>
      </c>
      <c r="AP2615" s="238">
        <v>0.0</v>
      </c>
      <c r="AQ2615" s="235" t="s">
        <v>632</v>
      </c>
      <c r="AR2615" s="243">
        <v>1.68E11</v>
      </c>
      <c r="AS2615" s="235" t="s">
        <v>19840</v>
      </c>
      <c r="AT2615" s="235" t="s">
        <v>9</v>
      </c>
      <c r="AU2615" s="235" t="s">
        <v>634</v>
      </c>
      <c r="AV2615" s="246" t="s">
        <v>635</v>
      </c>
      <c r="AW2615" s="242"/>
      <c r="AX2615" s="242"/>
      <c r="AY2615" s="231"/>
      <c r="AZ2615" s="231"/>
      <c r="BA2615" s="227"/>
      <c r="BB2615" s="231"/>
      <c r="BC2615" s="227"/>
      <c r="BD2615" s="227"/>
      <c r="BE2615" s="227"/>
      <c r="BF2615" s="227"/>
    </row>
    <row r="2616">
      <c r="A2616" s="235" t="s">
        <v>19973</v>
      </c>
      <c r="C2616" s="235" t="s">
        <v>19974</v>
      </c>
      <c r="D2616" s="235" t="s">
        <v>19975</v>
      </c>
      <c r="E2616" s="243">
        <v>6.53E13</v>
      </c>
      <c r="F2616" s="245"/>
      <c r="G2616" s="235" t="s">
        <v>19976</v>
      </c>
      <c r="H2616" s="235" t="s">
        <v>19977</v>
      </c>
      <c r="I2616" s="235" t="s">
        <v>19977</v>
      </c>
      <c r="J2616" s="235" t="s">
        <v>19978</v>
      </c>
      <c r="K2616" s="235" t="s">
        <v>16296</v>
      </c>
      <c r="N2616" s="235" t="s">
        <v>127</v>
      </c>
      <c r="O2616" s="235" t="s">
        <v>794</v>
      </c>
      <c r="P2616" s="238">
        <v>1.0</v>
      </c>
      <c r="Q2616" s="235" t="s">
        <v>627</v>
      </c>
      <c r="R2616" s="238">
        <v>270.48</v>
      </c>
      <c r="S2616" s="238">
        <v>13.52</v>
      </c>
      <c r="T2616" s="238">
        <v>0.0</v>
      </c>
      <c r="U2616" s="238">
        <v>0.0</v>
      </c>
      <c r="V2616" s="238">
        <v>0.0</v>
      </c>
      <c r="W2616" s="238">
        <v>0.0</v>
      </c>
      <c r="X2616" s="235" t="s">
        <v>628</v>
      </c>
      <c r="Z2616" s="244"/>
      <c r="AA2616" s="244"/>
      <c r="AB2616" s="244"/>
      <c r="AC2616" s="235" t="s">
        <v>795</v>
      </c>
      <c r="AD2616" s="235" t="s">
        <v>796</v>
      </c>
      <c r="AE2616" s="238">
        <v>110092.0</v>
      </c>
      <c r="AF2616" s="235" t="s">
        <v>631</v>
      </c>
      <c r="AG2616" s="244"/>
      <c r="AH2616" s="244"/>
      <c r="AI2616" s="245"/>
      <c r="AJ2616" s="245"/>
      <c r="AK2616" s="245"/>
      <c r="AL2616" s="245"/>
      <c r="AM2616" s="244"/>
      <c r="AN2616" s="244"/>
      <c r="AO2616" s="238">
        <v>0.0</v>
      </c>
      <c r="AP2616" s="238">
        <v>0.0</v>
      </c>
      <c r="AQ2616" s="235" t="s">
        <v>632</v>
      </c>
      <c r="AR2616" s="243">
        <v>2.02E11</v>
      </c>
      <c r="AS2616" s="235" t="s">
        <v>17988</v>
      </c>
      <c r="AT2616" s="235" t="s">
        <v>11</v>
      </c>
      <c r="AU2616" s="235" t="s">
        <v>634</v>
      </c>
      <c r="AV2616" s="246" t="s">
        <v>635</v>
      </c>
      <c r="AW2616" s="242"/>
      <c r="AX2616" s="242"/>
      <c r="AY2616" s="231"/>
      <c r="AZ2616" s="231"/>
      <c r="BA2616" s="227"/>
      <c r="BB2616" s="231"/>
      <c r="BC2616" s="227"/>
      <c r="BD2616" s="227"/>
      <c r="BE2616" s="227"/>
      <c r="BF2616" s="227"/>
    </row>
    <row r="2617">
      <c r="A2617" s="235" t="s">
        <v>19979</v>
      </c>
      <c r="C2617" s="235" t="s">
        <v>19980</v>
      </c>
      <c r="D2617" s="235" t="s">
        <v>19981</v>
      </c>
      <c r="E2617" s="243">
        <v>6.52E13</v>
      </c>
      <c r="F2617" s="245"/>
      <c r="G2617" s="235" t="s">
        <v>19982</v>
      </c>
      <c r="H2617" s="235" t="s">
        <v>19977</v>
      </c>
      <c r="I2617" s="235" t="s">
        <v>19977</v>
      </c>
      <c r="J2617" s="235" t="s">
        <v>19978</v>
      </c>
      <c r="K2617" s="235" t="s">
        <v>19983</v>
      </c>
      <c r="N2617" s="235" t="s">
        <v>138</v>
      </c>
      <c r="O2617" s="235" t="s">
        <v>675</v>
      </c>
      <c r="P2617" s="238">
        <v>1.0</v>
      </c>
      <c r="Q2617" s="235" t="s">
        <v>627</v>
      </c>
      <c r="R2617" s="238">
        <v>243.81</v>
      </c>
      <c r="S2617" s="238">
        <v>11.95</v>
      </c>
      <c r="T2617" s="238">
        <v>38.1</v>
      </c>
      <c r="U2617" s="238">
        <v>1.9</v>
      </c>
      <c r="V2617" s="238">
        <v>0.0</v>
      </c>
      <c r="W2617" s="238">
        <v>0.0</v>
      </c>
      <c r="X2617" s="235" t="s">
        <v>628</v>
      </c>
      <c r="Z2617" s="244"/>
      <c r="AA2617" s="244"/>
      <c r="AB2617" s="244"/>
      <c r="AC2617" s="235" t="s">
        <v>19984</v>
      </c>
      <c r="AD2617" s="235" t="s">
        <v>1151</v>
      </c>
      <c r="AE2617" s="238">
        <v>735218.0</v>
      </c>
      <c r="AF2617" s="235" t="s">
        <v>631</v>
      </c>
      <c r="AG2617" s="244"/>
      <c r="AH2617" s="244"/>
      <c r="AI2617" s="245"/>
      <c r="AJ2617" s="245"/>
      <c r="AK2617" s="245"/>
      <c r="AL2617" s="245"/>
      <c r="AM2617" s="244"/>
      <c r="AN2617" s="244"/>
      <c r="AO2617" s="238">
        <v>-4.88</v>
      </c>
      <c r="AP2617" s="238">
        <v>-38.1</v>
      </c>
      <c r="AQ2617" s="235" t="s">
        <v>1328</v>
      </c>
      <c r="AR2617" s="243">
        <v>1.34E13</v>
      </c>
      <c r="AS2617" s="235" t="s">
        <v>11171</v>
      </c>
      <c r="AT2617" s="235" t="s">
        <v>9</v>
      </c>
      <c r="AU2617" s="235" t="s">
        <v>634</v>
      </c>
      <c r="AV2617" s="246" t="s">
        <v>635</v>
      </c>
      <c r="AW2617" s="242"/>
      <c r="AX2617" s="242"/>
      <c r="AY2617" s="231"/>
      <c r="AZ2617" s="231"/>
      <c r="BA2617" s="227"/>
      <c r="BB2617" s="231"/>
      <c r="BC2617" s="227"/>
      <c r="BD2617" s="227"/>
      <c r="BE2617" s="227"/>
      <c r="BF2617" s="227"/>
    </row>
    <row r="2618">
      <c r="A2618" s="235" t="s">
        <v>19985</v>
      </c>
      <c r="C2618" s="235" t="s">
        <v>19986</v>
      </c>
      <c r="D2618" s="235" t="s">
        <v>19987</v>
      </c>
      <c r="E2618" s="243">
        <v>6.53E13</v>
      </c>
      <c r="F2618" s="245"/>
      <c r="G2618" s="235" t="s">
        <v>19988</v>
      </c>
      <c r="H2618" s="235" t="s">
        <v>19989</v>
      </c>
      <c r="I2618" s="235" t="s">
        <v>19989</v>
      </c>
      <c r="J2618" s="235" t="s">
        <v>19990</v>
      </c>
      <c r="K2618" s="235" t="s">
        <v>19991</v>
      </c>
      <c r="N2618" s="235" t="s">
        <v>154</v>
      </c>
      <c r="O2618" s="235" t="s">
        <v>766</v>
      </c>
      <c r="P2618" s="238">
        <v>1.0</v>
      </c>
      <c r="Q2618" s="235" t="s">
        <v>627</v>
      </c>
      <c r="R2618" s="238">
        <v>500.95</v>
      </c>
      <c r="S2618" s="238">
        <v>24.55</v>
      </c>
      <c r="T2618" s="238">
        <v>0.0</v>
      </c>
      <c r="U2618" s="238">
        <v>0.0</v>
      </c>
      <c r="V2618" s="238">
        <v>0.0</v>
      </c>
      <c r="W2618" s="238">
        <v>0.0</v>
      </c>
      <c r="X2618" s="235" t="s">
        <v>628</v>
      </c>
      <c r="Z2618" s="244"/>
      <c r="AA2618" s="244"/>
      <c r="AB2618" s="244"/>
      <c r="AC2618" s="235" t="s">
        <v>814</v>
      </c>
      <c r="AD2618" s="235" t="s">
        <v>17499</v>
      </c>
      <c r="AE2618" s="238">
        <v>500038.0</v>
      </c>
      <c r="AF2618" s="235" t="s">
        <v>631</v>
      </c>
      <c r="AG2618" s="244"/>
      <c r="AH2618" s="244"/>
      <c r="AI2618" s="245"/>
      <c r="AJ2618" s="245"/>
      <c r="AK2618" s="245"/>
      <c r="AL2618" s="245"/>
      <c r="AM2618" s="244"/>
      <c r="AN2618" s="244"/>
      <c r="AO2618" s="238">
        <v>-10.02</v>
      </c>
      <c r="AP2618" s="238">
        <v>0.0</v>
      </c>
      <c r="AQ2618" s="235" t="s">
        <v>632</v>
      </c>
      <c r="AR2618" s="243">
        <v>3.71E11</v>
      </c>
      <c r="AS2618" s="235" t="s">
        <v>17988</v>
      </c>
      <c r="AT2618" s="235" t="s">
        <v>11</v>
      </c>
      <c r="AU2618" s="235" t="s">
        <v>634</v>
      </c>
      <c r="AV2618" s="246" t="s">
        <v>635</v>
      </c>
      <c r="AW2618" s="242"/>
      <c r="AX2618" s="242"/>
      <c r="AY2618" s="231"/>
      <c r="AZ2618" s="231"/>
      <c r="BA2618" s="227"/>
      <c r="BB2618" s="231"/>
      <c r="BC2618" s="227"/>
      <c r="BD2618" s="227"/>
      <c r="BE2618" s="227"/>
      <c r="BF2618" s="227"/>
    </row>
    <row r="2619">
      <c r="A2619" s="235" t="s">
        <v>19992</v>
      </c>
      <c r="C2619" s="235" t="s">
        <v>19993</v>
      </c>
      <c r="D2619" s="235" t="s">
        <v>19994</v>
      </c>
      <c r="E2619" s="243">
        <v>6.53E13</v>
      </c>
      <c r="F2619" s="245"/>
      <c r="G2619" s="235" t="s">
        <v>19995</v>
      </c>
      <c r="H2619" s="235" t="s">
        <v>19996</v>
      </c>
      <c r="I2619" s="235" t="s">
        <v>19996</v>
      </c>
      <c r="J2619" s="235" t="s">
        <v>19997</v>
      </c>
      <c r="K2619" s="235" t="s">
        <v>19998</v>
      </c>
      <c r="N2619" s="235" t="s">
        <v>1346</v>
      </c>
      <c r="O2619" s="235" t="s">
        <v>1347</v>
      </c>
      <c r="P2619" s="238">
        <v>1.0</v>
      </c>
      <c r="Q2619" s="235" t="s">
        <v>627</v>
      </c>
      <c r="R2619" s="238">
        <v>252.38</v>
      </c>
      <c r="S2619" s="238">
        <v>12.62</v>
      </c>
      <c r="T2619" s="238">
        <v>75.24</v>
      </c>
      <c r="U2619" s="238">
        <v>3.76</v>
      </c>
      <c r="V2619" s="238">
        <v>0.0</v>
      </c>
      <c r="W2619" s="238">
        <v>0.0</v>
      </c>
      <c r="X2619" s="235" t="s">
        <v>628</v>
      </c>
      <c r="Z2619" s="244"/>
      <c r="AA2619" s="244"/>
      <c r="AB2619" s="244"/>
      <c r="AC2619" s="235" t="s">
        <v>19999</v>
      </c>
      <c r="AD2619" s="235" t="s">
        <v>1151</v>
      </c>
      <c r="AE2619" s="238">
        <v>734104.0</v>
      </c>
      <c r="AF2619" s="235" t="s">
        <v>631</v>
      </c>
      <c r="AG2619" s="244"/>
      <c r="AH2619" s="244"/>
      <c r="AI2619" s="245"/>
      <c r="AJ2619" s="245"/>
      <c r="AK2619" s="245"/>
      <c r="AL2619" s="245"/>
      <c r="AM2619" s="244"/>
      <c r="AN2619" s="244"/>
      <c r="AO2619" s="238">
        <v>0.0</v>
      </c>
      <c r="AP2619" s="238">
        <v>0.0</v>
      </c>
      <c r="AQ2619" s="235" t="s">
        <v>632</v>
      </c>
      <c r="AR2619" s="243">
        <v>2.02E11</v>
      </c>
      <c r="AS2619" s="235" t="s">
        <v>13822</v>
      </c>
      <c r="AT2619" s="235" t="s">
        <v>9</v>
      </c>
      <c r="AU2619" s="235" t="s">
        <v>634</v>
      </c>
      <c r="AV2619" s="246" t="s">
        <v>635</v>
      </c>
      <c r="AW2619" s="242"/>
      <c r="AX2619" s="242"/>
      <c r="AY2619" s="231"/>
      <c r="AZ2619" s="231"/>
      <c r="BA2619" s="227"/>
      <c r="BB2619" s="231"/>
      <c r="BC2619" s="227"/>
      <c r="BD2619" s="227"/>
      <c r="BE2619" s="227"/>
      <c r="BF2619" s="227"/>
    </row>
    <row r="2620">
      <c r="A2620" s="235" t="s">
        <v>20000</v>
      </c>
      <c r="C2620" s="235" t="s">
        <v>20001</v>
      </c>
      <c r="D2620" s="235" t="s">
        <v>20002</v>
      </c>
      <c r="E2620" s="243">
        <v>6.53E13</v>
      </c>
      <c r="F2620" s="245"/>
      <c r="G2620" s="235" t="s">
        <v>20003</v>
      </c>
      <c r="H2620" s="235" t="s">
        <v>20004</v>
      </c>
      <c r="I2620" s="235" t="s">
        <v>20005</v>
      </c>
      <c r="J2620" s="235" t="s">
        <v>20006</v>
      </c>
      <c r="K2620" s="235" t="s">
        <v>20007</v>
      </c>
      <c r="N2620" s="235" t="s">
        <v>139</v>
      </c>
      <c r="O2620" s="235" t="s">
        <v>2091</v>
      </c>
      <c r="P2620" s="238">
        <v>1.0</v>
      </c>
      <c r="Q2620" s="235" t="s">
        <v>627</v>
      </c>
      <c r="R2620" s="238">
        <v>270.48</v>
      </c>
      <c r="S2620" s="238">
        <v>13.52</v>
      </c>
      <c r="T2620" s="238">
        <v>0.0</v>
      </c>
      <c r="U2620" s="238">
        <v>0.0</v>
      </c>
      <c r="V2620" s="238">
        <v>0.0</v>
      </c>
      <c r="W2620" s="238">
        <v>0.0</v>
      </c>
      <c r="X2620" s="235" t="s">
        <v>628</v>
      </c>
      <c r="Z2620" s="244"/>
      <c r="AA2620" s="244"/>
      <c r="AB2620" s="244"/>
      <c r="AC2620" s="235" t="s">
        <v>8997</v>
      </c>
      <c r="AD2620" s="235" t="s">
        <v>1086</v>
      </c>
      <c r="AE2620" s="238">
        <v>140308.0</v>
      </c>
      <c r="AF2620" s="235" t="s">
        <v>631</v>
      </c>
      <c r="AG2620" s="244"/>
      <c r="AH2620" s="244"/>
      <c r="AI2620" s="245"/>
      <c r="AJ2620" s="245"/>
      <c r="AK2620" s="245"/>
      <c r="AL2620" s="245"/>
      <c r="AM2620" s="244"/>
      <c r="AN2620" s="244"/>
      <c r="AO2620" s="238">
        <v>0.0</v>
      </c>
      <c r="AP2620" s="238">
        <v>0.0</v>
      </c>
      <c r="AQ2620" s="235" t="s">
        <v>632</v>
      </c>
      <c r="AR2620" s="243">
        <v>1.68E11</v>
      </c>
      <c r="AS2620" s="235" t="s">
        <v>17988</v>
      </c>
      <c r="AT2620" s="235" t="s">
        <v>13</v>
      </c>
      <c r="AU2620" s="235" t="s">
        <v>634</v>
      </c>
      <c r="AV2620" s="246" t="s">
        <v>635</v>
      </c>
      <c r="AW2620" s="242"/>
      <c r="AX2620" s="242"/>
      <c r="AY2620" s="231"/>
      <c r="AZ2620" s="231"/>
      <c r="BA2620" s="227"/>
      <c r="BB2620" s="231"/>
      <c r="BC2620" s="227"/>
      <c r="BD2620" s="227"/>
      <c r="BE2620" s="227"/>
      <c r="BF2620" s="227"/>
    </row>
    <row r="2621">
      <c r="A2621" s="235" t="s">
        <v>20008</v>
      </c>
      <c r="C2621" s="235" t="s">
        <v>20009</v>
      </c>
      <c r="D2621" s="235" t="s">
        <v>20010</v>
      </c>
      <c r="E2621" s="243">
        <v>6.53E13</v>
      </c>
      <c r="F2621" s="245"/>
      <c r="G2621" s="235" t="s">
        <v>20011</v>
      </c>
      <c r="H2621" s="235" t="s">
        <v>20012</v>
      </c>
      <c r="I2621" s="235" t="s">
        <v>20012</v>
      </c>
      <c r="J2621" s="235" t="s">
        <v>20013</v>
      </c>
      <c r="K2621" s="235" t="s">
        <v>20014</v>
      </c>
      <c r="N2621" s="235" t="s">
        <v>127</v>
      </c>
      <c r="O2621" s="235" t="s">
        <v>794</v>
      </c>
      <c r="P2621" s="238">
        <v>1.0</v>
      </c>
      <c r="Q2621" s="235" t="s">
        <v>627</v>
      </c>
      <c r="R2621" s="238">
        <v>270.48</v>
      </c>
      <c r="S2621" s="238">
        <v>13.52</v>
      </c>
      <c r="T2621" s="238">
        <v>38.1</v>
      </c>
      <c r="U2621" s="238">
        <v>1.9</v>
      </c>
      <c r="V2621" s="238">
        <v>0.0</v>
      </c>
      <c r="W2621" s="238">
        <v>0.0</v>
      </c>
      <c r="X2621" s="235" t="s">
        <v>628</v>
      </c>
      <c r="Z2621" s="244"/>
      <c r="AA2621" s="244"/>
      <c r="AB2621" s="244"/>
      <c r="AC2621" s="235" t="s">
        <v>20015</v>
      </c>
      <c r="AD2621" s="235" t="s">
        <v>1151</v>
      </c>
      <c r="AE2621" s="238">
        <v>743503.0</v>
      </c>
      <c r="AF2621" s="235" t="s">
        <v>631</v>
      </c>
      <c r="AG2621" s="244"/>
      <c r="AH2621" s="244"/>
      <c r="AI2621" s="245"/>
      <c r="AJ2621" s="245"/>
      <c r="AK2621" s="245"/>
      <c r="AL2621" s="245"/>
      <c r="AM2621" s="244"/>
      <c r="AN2621" s="244"/>
      <c r="AO2621" s="238">
        <v>0.0</v>
      </c>
      <c r="AP2621" s="238">
        <v>-38.1</v>
      </c>
      <c r="AQ2621" s="235" t="s">
        <v>632</v>
      </c>
      <c r="AR2621" s="243">
        <v>3.71E11</v>
      </c>
      <c r="AS2621" s="235" t="s">
        <v>15064</v>
      </c>
      <c r="AT2621" s="235" t="s">
        <v>13</v>
      </c>
      <c r="AU2621" s="235" t="s">
        <v>634</v>
      </c>
      <c r="AV2621" s="246" t="s">
        <v>635</v>
      </c>
      <c r="AW2621" s="242"/>
      <c r="AX2621" s="242"/>
      <c r="AY2621" s="231"/>
      <c r="AZ2621" s="231"/>
      <c r="BA2621" s="227"/>
      <c r="BB2621" s="231"/>
      <c r="BC2621" s="227"/>
      <c r="BD2621" s="227"/>
      <c r="BE2621" s="227"/>
      <c r="BF2621" s="227"/>
    </row>
    <row r="2622">
      <c r="A2622" s="235" t="s">
        <v>20016</v>
      </c>
      <c r="C2622" s="235" t="s">
        <v>20017</v>
      </c>
      <c r="D2622" s="235" t="s">
        <v>20018</v>
      </c>
      <c r="E2622" s="243">
        <v>6.52E13</v>
      </c>
      <c r="F2622" s="245"/>
      <c r="G2622" s="235" t="s">
        <v>20019</v>
      </c>
      <c r="H2622" s="235" t="s">
        <v>20020</v>
      </c>
      <c r="I2622" s="235" t="s">
        <v>20020</v>
      </c>
      <c r="J2622" s="235" t="s">
        <v>20021</v>
      </c>
      <c r="K2622" s="235" t="s">
        <v>20022</v>
      </c>
      <c r="N2622" s="235" t="s">
        <v>92</v>
      </c>
      <c r="O2622" s="235" t="s">
        <v>248</v>
      </c>
      <c r="P2622" s="238">
        <v>1.0</v>
      </c>
      <c r="Q2622" s="235" t="s">
        <v>627</v>
      </c>
      <c r="R2622" s="238">
        <v>246.66</v>
      </c>
      <c r="S2622" s="238">
        <v>12.34</v>
      </c>
      <c r="T2622" s="238">
        <v>0.0</v>
      </c>
      <c r="U2622" s="238">
        <v>0.0</v>
      </c>
      <c r="V2622" s="238">
        <v>0.0</v>
      </c>
      <c r="W2622" s="238">
        <v>0.0</v>
      </c>
      <c r="X2622" s="235" t="s">
        <v>628</v>
      </c>
      <c r="Z2622" s="244"/>
      <c r="AA2622" s="244"/>
      <c r="AB2622" s="244"/>
      <c r="AC2622" s="235" t="s">
        <v>20023</v>
      </c>
      <c r="AD2622" s="235" t="s">
        <v>845</v>
      </c>
      <c r="AE2622" s="238">
        <v>413402.0</v>
      </c>
      <c r="AF2622" s="235" t="s">
        <v>631</v>
      </c>
      <c r="AG2622" s="244"/>
      <c r="AH2622" s="244"/>
      <c r="AI2622" s="245"/>
      <c r="AJ2622" s="245"/>
      <c r="AK2622" s="245"/>
      <c r="AL2622" s="245"/>
      <c r="AM2622" s="244"/>
      <c r="AN2622" s="244"/>
      <c r="AO2622" s="238">
        <v>0.0</v>
      </c>
      <c r="AP2622" s="238">
        <v>0.0</v>
      </c>
      <c r="AQ2622" s="235" t="s">
        <v>632</v>
      </c>
      <c r="AR2622" s="243">
        <v>3.71E11</v>
      </c>
      <c r="AS2622" s="235" t="s">
        <v>11171</v>
      </c>
      <c r="AT2622" s="235" t="s">
        <v>16</v>
      </c>
      <c r="AU2622" s="235" t="s">
        <v>634</v>
      </c>
      <c r="AV2622" s="246" t="s">
        <v>635</v>
      </c>
      <c r="AW2622" s="242"/>
      <c r="AX2622" s="242"/>
      <c r="AY2622" s="231"/>
      <c r="AZ2622" s="231"/>
      <c r="BA2622" s="227"/>
      <c r="BB2622" s="231"/>
      <c r="BC2622" s="227"/>
      <c r="BD2622" s="227"/>
      <c r="BE2622" s="227"/>
      <c r="BF2622" s="227"/>
    </row>
    <row r="2623">
      <c r="A2623" s="235" t="s">
        <v>20024</v>
      </c>
      <c r="C2623" s="235" t="s">
        <v>20025</v>
      </c>
      <c r="D2623" s="235" t="s">
        <v>20026</v>
      </c>
      <c r="E2623" s="243">
        <v>6.52E13</v>
      </c>
      <c r="F2623" s="245"/>
      <c r="G2623" s="235" t="s">
        <v>20027</v>
      </c>
      <c r="H2623" s="235" t="s">
        <v>20028</v>
      </c>
      <c r="I2623" s="235" t="s">
        <v>20029</v>
      </c>
      <c r="J2623" s="235" t="s">
        <v>20030</v>
      </c>
      <c r="K2623" s="235" t="s">
        <v>20031</v>
      </c>
      <c r="N2623" s="235" t="s">
        <v>43</v>
      </c>
      <c r="O2623" s="235" t="s">
        <v>276</v>
      </c>
      <c r="P2623" s="238">
        <v>1.0</v>
      </c>
      <c r="Q2623" s="235" t="s">
        <v>627</v>
      </c>
      <c r="R2623" s="238">
        <v>237.14</v>
      </c>
      <c r="S2623" s="238">
        <v>11.86</v>
      </c>
      <c r="T2623" s="238">
        <v>0.0</v>
      </c>
      <c r="U2623" s="238">
        <v>0.0</v>
      </c>
      <c r="V2623" s="238">
        <v>0.0</v>
      </c>
      <c r="W2623" s="238">
        <v>0.0</v>
      </c>
      <c r="X2623" s="235" t="s">
        <v>628</v>
      </c>
      <c r="Z2623" s="244"/>
      <c r="AA2623" s="244"/>
      <c r="AB2623" s="244"/>
      <c r="AC2623" s="235" t="s">
        <v>1095</v>
      </c>
      <c r="AD2623" s="235" t="s">
        <v>845</v>
      </c>
      <c r="AE2623" s="238">
        <v>400703.0</v>
      </c>
      <c r="AF2623" s="235" t="s">
        <v>631</v>
      </c>
      <c r="AG2623" s="244"/>
      <c r="AH2623" s="244"/>
      <c r="AI2623" s="245"/>
      <c r="AJ2623" s="245"/>
      <c r="AK2623" s="245"/>
      <c r="AL2623" s="245"/>
      <c r="AM2623" s="244"/>
      <c r="AN2623" s="244"/>
      <c r="AO2623" s="238">
        <v>0.0</v>
      </c>
      <c r="AP2623" s="238">
        <v>0.0</v>
      </c>
      <c r="AQ2623" s="235" t="s">
        <v>632</v>
      </c>
      <c r="AR2623" s="243">
        <v>3.71E11</v>
      </c>
      <c r="AS2623" s="235" t="s">
        <v>19388</v>
      </c>
      <c r="AT2623" s="235" t="s">
        <v>17</v>
      </c>
      <c r="AU2623" s="235" t="s">
        <v>634</v>
      </c>
      <c r="AV2623" s="246" t="s">
        <v>635</v>
      </c>
      <c r="AW2623" s="242"/>
      <c r="AX2623" s="242"/>
      <c r="AY2623" s="231"/>
      <c r="AZ2623" s="231"/>
      <c r="BA2623" s="227"/>
      <c r="BB2623" s="231"/>
      <c r="BC2623" s="227"/>
      <c r="BD2623" s="227"/>
      <c r="BE2623" s="227"/>
      <c r="BF2623" s="227"/>
    </row>
    <row r="2624">
      <c r="A2624" s="235" t="s">
        <v>20032</v>
      </c>
      <c r="C2624" s="235" t="s">
        <v>20033</v>
      </c>
      <c r="D2624" s="235" t="s">
        <v>20034</v>
      </c>
      <c r="E2624" s="243">
        <v>6.53E13</v>
      </c>
      <c r="F2624" s="245"/>
      <c r="G2624" s="235" t="s">
        <v>20035</v>
      </c>
      <c r="H2624" s="235" t="s">
        <v>20036</v>
      </c>
      <c r="I2624" s="235" t="s">
        <v>20036</v>
      </c>
      <c r="J2624" s="235" t="s">
        <v>20037</v>
      </c>
      <c r="K2624" s="235" t="s">
        <v>20038</v>
      </c>
      <c r="N2624" s="235" t="s">
        <v>85</v>
      </c>
      <c r="O2624" s="235" t="s">
        <v>872</v>
      </c>
      <c r="P2624" s="238">
        <v>1.0</v>
      </c>
      <c r="Q2624" s="235" t="s">
        <v>627</v>
      </c>
      <c r="R2624" s="238">
        <v>242.86</v>
      </c>
      <c r="S2624" s="238">
        <v>11.9</v>
      </c>
      <c r="T2624" s="238">
        <v>0.0</v>
      </c>
      <c r="U2624" s="238">
        <v>0.0</v>
      </c>
      <c r="V2624" s="238">
        <v>0.0</v>
      </c>
      <c r="W2624" s="238">
        <v>0.0</v>
      </c>
      <c r="X2624" s="235" t="s">
        <v>628</v>
      </c>
      <c r="Z2624" s="244"/>
      <c r="AA2624" s="244"/>
      <c r="AB2624" s="244"/>
      <c r="AC2624" s="235" t="s">
        <v>1887</v>
      </c>
      <c r="AD2624" s="235" t="s">
        <v>679</v>
      </c>
      <c r="AE2624" s="238">
        <v>560100.0</v>
      </c>
      <c r="AF2624" s="235" t="s">
        <v>631</v>
      </c>
      <c r="AG2624" s="244"/>
      <c r="AH2624" s="244"/>
      <c r="AI2624" s="245"/>
      <c r="AJ2624" s="245"/>
      <c r="AK2624" s="245"/>
      <c r="AL2624" s="245"/>
      <c r="AM2624" s="244"/>
      <c r="AN2624" s="244"/>
      <c r="AO2624" s="238">
        <v>-4.86</v>
      </c>
      <c r="AP2624" s="238">
        <v>0.0</v>
      </c>
      <c r="AQ2624" s="235" t="s">
        <v>632</v>
      </c>
      <c r="AR2624" s="243">
        <v>1.68E11</v>
      </c>
      <c r="AS2624" s="235" t="s">
        <v>17988</v>
      </c>
      <c r="AT2624" s="235" t="s">
        <v>155</v>
      </c>
      <c r="AU2624" s="235" t="s">
        <v>634</v>
      </c>
      <c r="AV2624" s="246" t="s">
        <v>635</v>
      </c>
      <c r="AW2624" s="242"/>
      <c r="AX2624" s="242"/>
      <c r="AY2624" s="231"/>
      <c r="AZ2624" s="231"/>
      <c r="BA2624" s="227"/>
      <c r="BB2624" s="231"/>
      <c r="BC2624" s="227"/>
      <c r="BD2624" s="227"/>
      <c r="BE2624" s="227"/>
      <c r="BF2624" s="227"/>
    </row>
    <row r="2625">
      <c r="A2625" s="235" t="s">
        <v>16396</v>
      </c>
      <c r="C2625" s="235" t="s">
        <v>20039</v>
      </c>
      <c r="D2625" s="235" t="s">
        <v>20040</v>
      </c>
      <c r="E2625" s="243">
        <v>6.52E13</v>
      </c>
      <c r="F2625" s="245"/>
      <c r="G2625" s="235" t="s">
        <v>16399</v>
      </c>
      <c r="H2625" s="235" t="s">
        <v>20041</v>
      </c>
      <c r="I2625" s="235" t="s">
        <v>20041</v>
      </c>
      <c r="J2625" s="235" t="s">
        <v>20042</v>
      </c>
      <c r="K2625" s="235" t="s">
        <v>16402</v>
      </c>
      <c r="N2625" s="235" t="s">
        <v>58</v>
      </c>
      <c r="O2625" s="235" t="s">
        <v>349</v>
      </c>
      <c r="P2625" s="238">
        <v>1.0</v>
      </c>
      <c r="Q2625" s="235" t="s">
        <v>627</v>
      </c>
      <c r="R2625" s="238">
        <v>627.62</v>
      </c>
      <c r="S2625" s="238">
        <v>30.44</v>
      </c>
      <c r="T2625" s="238">
        <v>38.1</v>
      </c>
      <c r="U2625" s="238">
        <v>1.9</v>
      </c>
      <c r="V2625" s="238">
        <v>0.0</v>
      </c>
      <c r="W2625" s="238">
        <v>0.0</v>
      </c>
      <c r="X2625" s="235" t="s">
        <v>628</v>
      </c>
      <c r="Z2625" s="244"/>
      <c r="AA2625" s="244"/>
      <c r="AB2625" s="244"/>
      <c r="AC2625" s="235" t="s">
        <v>678</v>
      </c>
      <c r="AD2625" s="235" t="s">
        <v>679</v>
      </c>
      <c r="AE2625" s="238">
        <v>562112.0</v>
      </c>
      <c r="AF2625" s="235" t="s">
        <v>631</v>
      </c>
      <c r="AG2625" s="244"/>
      <c r="AH2625" s="244"/>
      <c r="AI2625" s="245"/>
      <c r="AJ2625" s="245"/>
      <c r="AK2625" s="245"/>
      <c r="AL2625" s="245"/>
      <c r="AM2625" s="244"/>
      <c r="AN2625" s="244"/>
      <c r="AO2625" s="238">
        <v>-18.83</v>
      </c>
      <c r="AP2625" s="238">
        <v>-38.1</v>
      </c>
      <c r="AQ2625" s="235" t="s">
        <v>632</v>
      </c>
      <c r="AR2625" s="243">
        <v>3.71E11</v>
      </c>
      <c r="AS2625" s="235" t="s">
        <v>13822</v>
      </c>
      <c r="AT2625" s="235" t="s">
        <v>17</v>
      </c>
      <c r="AU2625" s="235" t="s">
        <v>634</v>
      </c>
      <c r="AV2625" s="246" t="s">
        <v>635</v>
      </c>
      <c r="AW2625" s="242"/>
      <c r="AX2625" s="242"/>
      <c r="AY2625" s="231"/>
      <c r="AZ2625" s="231"/>
      <c r="BA2625" s="227"/>
      <c r="BB2625" s="231"/>
      <c r="BC2625" s="227"/>
      <c r="BD2625" s="227"/>
      <c r="BE2625" s="227"/>
      <c r="BF2625" s="227"/>
    </row>
    <row r="2626">
      <c r="A2626" s="235" t="s">
        <v>20043</v>
      </c>
      <c r="C2626" s="235" t="s">
        <v>20044</v>
      </c>
      <c r="D2626" s="235" t="s">
        <v>20045</v>
      </c>
      <c r="E2626" s="243">
        <v>6.53E13</v>
      </c>
      <c r="F2626" s="245"/>
      <c r="G2626" s="235" t="s">
        <v>20046</v>
      </c>
      <c r="H2626" s="235" t="s">
        <v>20047</v>
      </c>
      <c r="I2626" s="235" t="s">
        <v>20047</v>
      </c>
      <c r="J2626" s="235" t="s">
        <v>20048</v>
      </c>
      <c r="K2626" s="235" t="s">
        <v>20049</v>
      </c>
      <c r="N2626" s="235" t="s">
        <v>104</v>
      </c>
      <c r="O2626" s="235" t="s">
        <v>401</v>
      </c>
      <c r="P2626" s="238">
        <v>1.0</v>
      </c>
      <c r="Q2626" s="235" t="s">
        <v>627</v>
      </c>
      <c r="R2626" s="238">
        <v>270.48</v>
      </c>
      <c r="S2626" s="238">
        <v>13.52</v>
      </c>
      <c r="T2626" s="238">
        <v>0.0</v>
      </c>
      <c r="U2626" s="238">
        <v>0.0</v>
      </c>
      <c r="V2626" s="238">
        <v>0.0</v>
      </c>
      <c r="W2626" s="238">
        <v>0.0</v>
      </c>
      <c r="X2626" s="235" t="s">
        <v>628</v>
      </c>
      <c r="Z2626" s="244"/>
      <c r="AA2626" s="244"/>
      <c r="AB2626" s="244"/>
      <c r="AC2626" s="235" t="s">
        <v>687</v>
      </c>
      <c r="AD2626" s="235" t="s">
        <v>666</v>
      </c>
      <c r="AE2626" s="238">
        <v>600088.0</v>
      </c>
      <c r="AF2626" s="235" t="s">
        <v>631</v>
      </c>
      <c r="AG2626" s="244"/>
      <c r="AH2626" s="244"/>
      <c r="AI2626" s="245"/>
      <c r="AJ2626" s="245"/>
      <c r="AK2626" s="245"/>
      <c r="AL2626" s="245"/>
      <c r="AM2626" s="244"/>
      <c r="AN2626" s="244"/>
      <c r="AO2626" s="238">
        <v>0.0</v>
      </c>
      <c r="AP2626" s="238">
        <v>0.0</v>
      </c>
      <c r="AQ2626" s="235" t="s">
        <v>632</v>
      </c>
      <c r="AR2626" s="243">
        <v>1.68E11</v>
      </c>
      <c r="AS2626" s="235" t="s">
        <v>19840</v>
      </c>
      <c r="AT2626" s="235" t="s">
        <v>156</v>
      </c>
      <c r="AU2626" s="235" t="s">
        <v>634</v>
      </c>
      <c r="AV2626" s="246" t="s">
        <v>635</v>
      </c>
      <c r="AW2626" s="242"/>
      <c r="AX2626" s="242"/>
      <c r="AY2626" s="231"/>
      <c r="AZ2626" s="231"/>
      <c r="BA2626" s="227"/>
      <c r="BB2626" s="231"/>
      <c r="BC2626" s="227"/>
      <c r="BD2626" s="227"/>
      <c r="BE2626" s="227"/>
      <c r="BF2626" s="227"/>
    </row>
    <row r="2627">
      <c r="A2627" s="235" t="s">
        <v>20050</v>
      </c>
      <c r="C2627" s="235" t="s">
        <v>20051</v>
      </c>
      <c r="D2627" s="235" t="s">
        <v>20052</v>
      </c>
      <c r="E2627" s="243">
        <v>6.53E13</v>
      </c>
      <c r="F2627" s="245"/>
      <c r="G2627" s="235" t="s">
        <v>20053</v>
      </c>
      <c r="H2627" s="235" t="s">
        <v>20054</v>
      </c>
      <c r="I2627" s="235" t="s">
        <v>20055</v>
      </c>
      <c r="J2627" s="235" t="s">
        <v>20056</v>
      </c>
      <c r="K2627" s="235" t="s">
        <v>20057</v>
      </c>
      <c r="N2627" s="235" t="s">
        <v>90</v>
      </c>
      <c r="O2627" s="235" t="s">
        <v>279</v>
      </c>
      <c r="P2627" s="238">
        <v>1.0</v>
      </c>
      <c r="Q2627" s="235" t="s">
        <v>627</v>
      </c>
      <c r="R2627" s="238">
        <v>270.48</v>
      </c>
      <c r="S2627" s="238">
        <v>13.25</v>
      </c>
      <c r="T2627" s="238">
        <v>0.0</v>
      </c>
      <c r="U2627" s="238">
        <v>0.0</v>
      </c>
      <c r="V2627" s="238">
        <v>0.0</v>
      </c>
      <c r="W2627" s="238">
        <v>0.0</v>
      </c>
      <c r="X2627" s="235" t="s">
        <v>628</v>
      </c>
      <c r="Z2627" s="244"/>
      <c r="AA2627" s="244"/>
      <c r="AB2627" s="244"/>
      <c r="AC2627" s="235" t="s">
        <v>10769</v>
      </c>
      <c r="AD2627" s="235" t="s">
        <v>845</v>
      </c>
      <c r="AE2627" s="238">
        <v>422006.0</v>
      </c>
      <c r="AF2627" s="235" t="s">
        <v>631</v>
      </c>
      <c r="AG2627" s="244"/>
      <c r="AH2627" s="244"/>
      <c r="AI2627" s="245"/>
      <c r="AJ2627" s="245"/>
      <c r="AK2627" s="245"/>
      <c r="AL2627" s="245"/>
      <c r="AM2627" s="244"/>
      <c r="AN2627" s="244"/>
      <c r="AO2627" s="238">
        <v>-5.41</v>
      </c>
      <c r="AP2627" s="238">
        <v>0.0</v>
      </c>
      <c r="AQ2627" s="235" t="s">
        <v>632</v>
      </c>
      <c r="AR2627" s="243">
        <v>3.71E11</v>
      </c>
      <c r="AS2627" s="235" t="s">
        <v>19388</v>
      </c>
      <c r="AT2627" s="235" t="s">
        <v>17</v>
      </c>
      <c r="AU2627" s="235" t="s">
        <v>634</v>
      </c>
      <c r="AV2627" s="246" t="s">
        <v>635</v>
      </c>
      <c r="AW2627" s="242"/>
      <c r="AX2627" s="242"/>
      <c r="AY2627" s="231"/>
      <c r="AZ2627" s="231"/>
      <c r="BA2627" s="227"/>
      <c r="BB2627" s="231"/>
      <c r="BC2627" s="227"/>
      <c r="BD2627" s="227"/>
      <c r="BE2627" s="227"/>
      <c r="BF2627" s="227"/>
    </row>
    <row r="2628">
      <c r="A2628" s="235" t="s">
        <v>20058</v>
      </c>
      <c r="C2628" s="235" t="s">
        <v>20059</v>
      </c>
      <c r="D2628" s="235" t="s">
        <v>20060</v>
      </c>
      <c r="E2628" s="243">
        <v>6.52E13</v>
      </c>
      <c r="F2628" s="245"/>
      <c r="G2628" s="235" t="s">
        <v>20061</v>
      </c>
      <c r="H2628" s="235" t="s">
        <v>20062</v>
      </c>
      <c r="I2628" s="235" t="s">
        <v>20062</v>
      </c>
      <c r="J2628" s="235" t="s">
        <v>20063</v>
      </c>
      <c r="K2628" s="235" t="s">
        <v>20064</v>
      </c>
      <c r="N2628" s="235" t="s">
        <v>110</v>
      </c>
      <c r="O2628" s="235" t="s">
        <v>364</v>
      </c>
      <c r="P2628" s="238">
        <v>1.0</v>
      </c>
      <c r="Q2628" s="235" t="s">
        <v>627</v>
      </c>
      <c r="R2628" s="238">
        <v>246.66</v>
      </c>
      <c r="S2628" s="238">
        <v>12.34</v>
      </c>
      <c r="T2628" s="238">
        <v>38.1</v>
      </c>
      <c r="U2628" s="238">
        <v>1.9</v>
      </c>
      <c r="V2628" s="238">
        <v>0.0</v>
      </c>
      <c r="W2628" s="238">
        <v>0.0</v>
      </c>
      <c r="X2628" s="235" t="s">
        <v>628</v>
      </c>
      <c r="Z2628" s="244"/>
      <c r="AA2628" s="244"/>
      <c r="AB2628" s="244"/>
      <c r="AC2628" s="235" t="s">
        <v>20065</v>
      </c>
      <c r="AD2628" s="235" t="s">
        <v>666</v>
      </c>
      <c r="AE2628" s="238">
        <v>637209.0</v>
      </c>
      <c r="AF2628" s="235" t="s">
        <v>631</v>
      </c>
      <c r="AG2628" s="244"/>
      <c r="AH2628" s="244"/>
      <c r="AI2628" s="245"/>
      <c r="AJ2628" s="245"/>
      <c r="AK2628" s="245"/>
      <c r="AL2628" s="245"/>
      <c r="AM2628" s="244"/>
      <c r="AN2628" s="244"/>
      <c r="AO2628" s="238">
        <v>0.0</v>
      </c>
      <c r="AP2628" s="238">
        <v>-38.1</v>
      </c>
      <c r="AQ2628" s="235" t="s">
        <v>632</v>
      </c>
      <c r="AR2628" s="243">
        <v>3.71E11</v>
      </c>
      <c r="AS2628" s="235" t="s">
        <v>17988</v>
      </c>
      <c r="AT2628" s="235" t="s">
        <v>155</v>
      </c>
      <c r="AU2628" s="235" t="s">
        <v>634</v>
      </c>
      <c r="AV2628" s="246" t="s">
        <v>635</v>
      </c>
      <c r="AW2628" s="242"/>
      <c r="AX2628" s="242"/>
      <c r="AY2628" s="231"/>
      <c r="AZ2628" s="231"/>
      <c r="BA2628" s="227"/>
      <c r="BB2628" s="231"/>
      <c r="BC2628" s="227"/>
      <c r="BD2628" s="227"/>
      <c r="BE2628" s="227"/>
      <c r="BF2628" s="227"/>
    </row>
    <row r="2629">
      <c r="A2629" s="235" t="s">
        <v>20066</v>
      </c>
      <c r="C2629" s="235" t="s">
        <v>20067</v>
      </c>
      <c r="D2629" s="235" t="s">
        <v>20068</v>
      </c>
      <c r="E2629" s="243">
        <v>6.53E13</v>
      </c>
      <c r="F2629" s="245"/>
      <c r="G2629" s="235" t="s">
        <v>20069</v>
      </c>
      <c r="H2629" s="235" t="s">
        <v>20070</v>
      </c>
      <c r="I2629" s="235" t="s">
        <v>20070</v>
      </c>
      <c r="J2629" s="235" t="s">
        <v>20071</v>
      </c>
      <c r="K2629" s="235" t="s">
        <v>20072</v>
      </c>
      <c r="N2629" s="235" t="s">
        <v>92</v>
      </c>
      <c r="O2629" s="235" t="s">
        <v>248</v>
      </c>
      <c r="P2629" s="238">
        <v>1.0</v>
      </c>
      <c r="Q2629" s="235" t="s">
        <v>627</v>
      </c>
      <c r="R2629" s="238">
        <v>270.48</v>
      </c>
      <c r="S2629" s="238">
        <v>13.52</v>
      </c>
      <c r="T2629" s="238">
        <v>38.1</v>
      </c>
      <c r="U2629" s="238">
        <v>1.9</v>
      </c>
      <c r="V2629" s="238">
        <v>0.0</v>
      </c>
      <c r="W2629" s="238">
        <v>0.0</v>
      </c>
      <c r="X2629" s="235" t="s">
        <v>628</v>
      </c>
      <c r="Z2629" s="244"/>
      <c r="AA2629" s="244"/>
      <c r="AB2629" s="244"/>
      <c r="AC2629" s="235" t="s">
        <v>20073</v>
      </c>
      <c r="AD2629" s="235" t="s">
        <v>666</v>
      </c>
      <c r="AE2629" s="238">
        <v>622002.0</v>
      </c>
      <c r="AF2629" s="235" t="s">
        <v>631</v>
      </c>
      <c r="AG2629" s="244"/>
      <c r="AH2629" s="244"/>
      <c r="AI2629" s="245"/>
      <c r="AJ2629" s="245"/>
      <c r="AK2629" s="245"/>
      <c r="AL2629" s="245"/>
      <c r="AM2629" s="244"/>
      <c r="AN2629" s="244"/>
      <c r="AO2629" s="238">
        <v>0.0</v>
      </c>
      <c r="AP2629" s="238">
        <v>-38.1</v>
      </c>
      <c r="AQ2629" s="235" t="s">
        <v>632</v>
      </c>
      <c r="AR2629" s="243">
        <v>3.71E11</v>
      </c>
      <c r="AS2629" s="235" t="s">
        <v>17988</v>
      </c>
      <c r="AT2629" s="235" t="s">
        <v>155</v>
      </c>
      <c r="AU2629" s="235" t="s">
        <v>634</v>
      </c>
      <c r="AV2629" s="246" t="s">
        <v>635</v>
      </c>
      <c r="AW2629" s="242"/>
      <c r="AX2629" s="242"/>
      <c r="AY2629" s="231"/>
      <c r="AZ2629" s="231"/>
      <c r="BA2629" s="227"/>
      <c r="BB2629" s="231"/>
      <c r="BC2629" s="227"/>
      <c r="BD2629" s="227"/>
      <c r="BE2629" s="227"/>
      <c r="BF2629" s="227"/>
    </row>
    <row r="2630">
      <c r="A2630" s="235" t="s">
        <v>20074</v>
      </c>
      <c r="C2630" s="235" t="s">
        <v>20075</v>
      </c>
      <c r="D2630" s="235" t="s">
        <v>20076</v>
      </c>
      <c r="E2630" s="243">
        <v>6.52E13</v>
      </c>
      <c r="F2630" s="245"/>
      <c r="G2630" s="235" t="s">
        <v>20077</v>
      </c>
      <c r="H2630" s="235" t="s">
        <v>20078</v>
      </c>
      <c r="I2630" s="235" t="s">
        <v>20078</v>
      </c>
      <c r="J2630" s="235" t="s">
        <v>20079</v>
      </c>
      <c r="K2630" s="235" t="s">
        <v>20080</v>
      </c>
      <c r="N2630" s="235" t="s">
        <v>42</v>
      </c>
      <c r="O2630" s="235" t="s">
        <v>204</v>
      </c>
      <c r="P2630" s="238">
        <v>1.0</v>
      </c>
      <c r="Q2630" s="235" t="s">
        <v>627</v>
      </c>
      <c r="R2630" s="238">
        <v>237.14</v>
      </c>
      <c r="S2630" s="238">
        <v>11.86</v>
      </c>
      <c r="T2630" s="238">
        <v>38.1</v>
      </c>
      <c r="U2630" s="238">
        <v>1.9</v>
      </c>
      <c r="V2630" s="238">
        <v>0.0</v>
      </c>
      <c r="W2630" s="238">
        <v>0.0</v>
      </c>
      <c r="X2630" s="235" t="s">
        <v>628</v>
      </c>
      <c r="Z2630" s="244"/>
      <c r="AA2630" s="244"/>
      <c r="AB2630" s="244"/>
      <c r="AC2630" s="235" t="s">
        <v>20081</v>
      </c>
      <c r="AD2630" s="235" t="s">
        <v>5953</v>
      </c>
      <c r="AE2630" s="238">
        <v>560033.0</v>
      </c>
      <c r="AF2630" s="235" t="s">
        <v>631</v>
      </c>
      <c r="AG2630" s="244"/>
      <c r="AH2630" s="244"/>
      <c r="AI2630" s="245"/>
      <c r="AJ2630" s="245"/>
      <c r="AK2630" s="245"/>
      <c r="AL2630" s="245"/>
      <c r="AM2630" s="244"/>
      <c r="AN2630" s="244"/>
      <c r="AO2630" s="238">
        <v>0.0</v>
      </c>
      <c r="AP2630" s="238">
        <v>-38.1</v>
      </c>
      <c r="AQ2630" s="235" t="s">
        <v>632</v>
      </c>
      <c r="AR2630" s="243">
        <v>3.71E11</v>
      </c>
      <c r="AS2630" s="235" t="s">
        <v>17988</v>
      </c>
      <c r="AT2630" s="235" t="s">
        <v>11</v>
      </c>
      <c r="AU2630" s="235" t="s">
        <v>634</v>
      </c>
      <c r="AV2630" s="246" t="s">
        <v>635</v>
      </c>
      <c r="AW2630" s="242"/>
      <c r="AX2630" s="242"/>
      <c r="AY2630" s="231"/>
      <c r="AZ2630" s="231"/>
      <c r="BA2630" s="227"/>
      <c r="BB2630" s="231"/>
      <c r="BC2630" s="227"/>
      <c r="BD2630" s="227"/>
      <c r="BE2630" s="227"/>
      <c r="BF2630" s="227"/>
    </row>
    <row r="2631">
      <c r="A2631" s="235" t="s">
        <v>20082</v>
      </c>
      <c r="C2631" s="235" t="s">
        <v>20083</v>
      </c>
      <c r="D2631" s="235" t="s">
        <v>20084</v>
      </c>
      <c r="E2631" s="243">
        <v>6.53E13</v>
      </c>
      <c r="F2631" s="245"/>
      <c r="G2631" s="235" t="s">
        <v>20085</v>
      </c>
      <c r="H2631" s="235" t="s">
        <v>20086</v>
      </c>
      <c r="I2631" s="235" t="s">
        <v>20087</v>
      </c>
      <c r="J2631" s="235" t="s">
        <v>20088</v>
      </c>
      <c r="K2631" s="235" t="s">
        <v>20089</v>
      </c>
      <c r="N2631" s="235" t="s">
        <v>82</v>
      </c>
      <c r="O2631" s="235" t="s">
        <v>889</v>
      </c>
      <c r="P2631" s="238">
        <v>1.0</v>
      </c>
      <c r="Q2631" s="235" t="s">
        <v>627</v>
      </c>
      <c r="R2631" s="238">
        <v>233.34</v>
      </c>
      <c r="S2631" s="238">
        <v>11.66</v>
      </c>
      <c r="T2631" s="238">
        <v>38.1</v>
      </c>
      <c r="U2631" s="238">
        <v>1.9</v>
      </c>
      <c r="V2631" s="238">
        <v>0.0</v>
      </c>
      <c r="W2631" s="238">
        <v>0.0</v>
      </c>
      <c r="X2631" s="235" t="s">
        <v>628</v>
      </c>
      <c r="Z2631" s="244"/>
      <c r="AA2631" s="244"/>
      <c r="AB2631" s="244"/>
      <c r="AC2631" s="235" t="s">
        <v>20090</v>
      </c>
      <c r="AD2631" s="235" t="s">
        <v>928</v>
      </c>
      <c r="AE2631" s="238">
        <v>127040.0</v>
      </c>
      <c r="AF2631" s="235" t="s">
        <v>631</v>
      </c>
      <c r="AG2631" s="244"/>
      <c r="AH2631" s="244"/>
      <c r="AI2631" s="245"/>
      <c r="AJ2631" s="245"/>
      <c r="AK2631" s="245"/>
      <c r="AL2631" s="245"/>
      <c r="AM2631" s="244"/>
      <c r="AN2631" s="244"/>
      <c r="AO2631" s="238">
        <v>0.0</v>
      </c>
      <c r="AP2631" s="238">
        <v>-38.1</v>
      </c>
      <c r="AQ2631" s="235" t="s">
        <v>632</v>
      </c>
      <c r="AR2631" s="243">
        <v>3.71E11</v>
      </c>
      <c r="AS2631" s="235" t="s">
        <v>17988</v>
      </c>
      <c r="AT2631" s="235" t="s">
        <v>533</v>
      </c>
      <c r="AU2631" s="235" t="s">
        <v>634</v>
      </c>
      <c r="AV2631" s="246" t="s">
        <v>635</v>
      </c>
      <c r="AW2631" s="242"/>
      <c r="AX2631" s="242"/>
      <c r="AY2631" s="231"/>
      <c r="AZ2631" s="231"/>
      <c r="BA2631" s="227"/>
      <c r="BB2631" s="231"/>
      <c r="BC2631" s="227"/>
      <c r="BD2631" s="227"/>
      <c r="BE2631" s="227"/>
      <c r="BF2631" s="227"/>
    </row>
    <row r="2632">
      <c r="A2632" s="235" t="s">
        <v>20091</v>
      </c>
      <c r="C2632" s="235" t="s">
        <v>20092</v>
      </c>
      <c r="D2632" s="235" t="s">
        <v>20093</v>
      </c>
      <c r="E2632" s="243">
        <v>6.53E13</v>
      </c>
      <c r="F2632" s="245"/>
      <c r="G2632" s="235" t="s">
        <v>20094</v>
      </c>
      <c r="H2632" s="235" t="s">
        <v>20095</v>
      </c>
      <c r="I2632" s="235" t="s">
        <v>20095</v>
      </c>
      <c r="J2632" s="235" t="s">
        <v>20096</v>
      </c>
      <c r="K2632" s="235" t="s">
        <v>20097</v>
      </c>
      <c r="N2632" s="235" t="s">
        <v>962</v>
      </c>
      <c r="O2632" s="235" t="s">
        <v>963</v>
      </c>
      <c r="P2632" s="238">
        <v>1.0</v>
      </c>
      <c r="Q2632" s="235" t="s">
        <v>627</v>
      </c>
      <c r="R2632" s="238">
        <v>270.48</v>
      </c>
      <c r="S2632" s="238">
        <v>13.25</v>
      </c>
      <c r="T2632" s="238">
        <v>0.0</v>
      </c>
      <c r="U2632" s="238">
        <v>0.0</v>
      </c>
      <c r="V2632" s="238">
        <v>0.0</v>
      </c>
      <c r="W2632" s="238">
        <v>0.0</v>
      </c>
      <c r="X2632" s="235" t="s">
        <v>628</v>
      </c>
      <c r="Z2632" s="244"/>
      <c r="AA2632" s="244"/>
      <c r="AB2632" s="244"/>
      <c r="AC2632" s="235" t="s">
        <v>20098</v>
      </c>
      <c r="AD2632" s="235" t="s">
        <v>928</v>
      </c>
      <c r="AE2632" s="238">
        <v>136132.0</v>
      </c>
      <c r="AF2632" s="235" t="s">
        <v>631</v>
      </c>
      <c r="AG2632" s="244"/>
      <c r="AH2632" s="244"/>
      <c r="AI2632" s="245"/>
      <c r="AJ2632" s="245"/>
      <c r="AK2632" s="245"/>
      <c r="AL2632" s="245"/>
      <c r="AM2632" s="244"/>
      <c r="AN2632" s="244"/>
      <c r="AO2632" s="238">
        <v>-5.41</v>
      </c>
      <c r="AP2632" s="238">
        <v>0.0</v>
      </c>
      <c r="AQ2632" s="235" t="s">
        <v>632</v>
      </c>
      <c r="AR2632" s="243">
        <v>3.71E11</v>
      </c>
      <c r="AS2632" s="235" t="s">
        <v>16626</v>
      </c>
      <c r="AT2632" s="235" t="s">
        <v>533</v>
      </c>
      <c r="AU2632" s="235" t="s">
        <v>634</v>
      </c>
      <c r="AV2632" s="246" t="s">
        <v>635</v>
      </c>
      <c r="AW2632" s="242"/>
      <c r="AX2632" s="242"/>
      <c r="AY2632" s="231"/>
      <c r="AZ2632" s="231"/>
      <c r="BA2632" s="227"/>
      <c r="BB2632" s="231"/>
      <c r="BC2632" s="227"/>
      <c r="BD2632" s="227"/>
      <c r="BE2632" s="227"/>
      <c r="BF2632" s="227"/>
    </row>
    <row r="2633">
      <c r="A2633" s="235" t="s">
        <v>20099</v>
      </c>
      <c r="C2633" s="235" t="s">
        <v>20100</v>
      </c>
      <c r="D2633" s="235" t="s">
        <v>20101</v>
      </c>
      <c r="E2633" s="243">
        <v>6.53E13</v>
      </c>
      <c r="F2633" s="245"/>
      <c r="G2633" s="235" t="s">
        <v>20102</v>
      </c>
      <c r="H2633" s="235" t="s">
        <v>20103</v>
      </c>
      <c r="I2633" s="235" t="s">
        <v>20103</v>
      </c>
      <c r="J2633" s="235" t="s">
        <v>20104</v>
      </c>
      <c r="K2633" s="235" t="s">
        <v>20105</v>
      </c>
      <c r="N2633" s="235" t="s">
        <v>138</v>
      </c>
      <c r="O2633" s="235" t="s">
        <v>675</v>
      </c>
      <c r="P2633" s="238">
        <v>1.0</v>
      </c>
      <c r="Q2633" s="235" t="s">
        <v>627</v>
      </c>
      <c r="R2633" s="238">
        <v>270.48</v>
      </c>
      <c r="S2633" s="238">
        <v>13.52</v>
      </c>
      <c r="T2633" s="238">
        <v>0.0</v>
      </c>
      <c r="U2633" s="238">
        <v>0.0</v>
      </c>
      <c r="V2633" s="238">
        <v>0.0</v>
      </c>
      <c r="W2633" s="238">
        <v>0.0</v>
      </c>
      <c r="X2633" s="235" t="s">
        <v>628</v>
      </c>
      <c r="Z2633" s="244"/>
      <c r="AA2633" s="244"/>
      <c r="AB2633" s="244"/>
      <c r="AC2633" s="235" t="s">
        <v>687</v>
      </c>
      <c r="AD2633" s="235" t="s">
        <v>666</v>
      </c>
      <c r="AE2633" s="238">
        <v>600062.0</v>
      </c>
      <c r="AF2633" s="235" t="s">
        <v>631</v>
      </c>
      <c r="AG2633" s="244"/>
      <c r="AH2633" s="244"/>
      <c r="AI2633" s="245"/>
      <c r="AJ2633" s="245"/>
      <c r="AK2633" s="245"/>
      <c r="AL2633" s="245"/>
      <c r="AM2633" s="244"/>
      <c r="AN2633" s="244"/>
      <c r="AO2633" s="238">
        <v>0.0</v>
      </c>
      <c r="AP2633" s="238">
        <v>0.0</v>
      </c>
      <c r="AQ2633" s="235" t="s">
        <v>632</v>
      </c>
      <c r="AR2633" s="243">
        <v>3.71E11</v>
      </c>
      <c r="AS2633" s="235" t="s">
        <v>19388</v>
      </c>
      <c r="AT2633" s="235" t="s">
        <v>156</v>
      </c>
      <c r="AU2633" s="235" t="s">
        <v>634</v>
      </c>
      <c r="AV2633" s="246" t="s">
        <v>635</v>
      </c>
      <c r="AW2633" s="242"/>
      <c r="AX2633" s="242"/>
      <c r="AY2633" s="231"/>
      <c r="AZ2633" s="231"/>
      <c r="BA2633" s="227"/>
      <c r="BB2633" s="231"/>
      <c r="BC2633" s="227"/>
      <c r="BD2633" s="227"/>
      <c r="BE2633" s="227"/>
      <c r="BF2633" s="227"/>
    </row>
    <row r="2634">
      <c r="A2634" s="235" t="s">
        <v>20106</v>
      </c>
      <c r="C2634" s="235" t="s">
        <v>20107</v>
      </c>
      <c r="D2634" s="235" t="s">
        <v>20108</v>
      </c>
      <c r="E2634" s="243">
        <v>6.53E13</v>
      </c>
      <c r="F2634" s="245"/>
      <c r="G2634" s="235" t="s">
        <v>20109</v>
      </c>
      <c r="H2634" s="235" t="s">
        <v>20110</v>
      </c>
      <c r="I2634" s="235" t="s">
        <v>20111</v>
      </c>
      <c r="J2634" s="235" t="s">
        <v>20112</v>
      </c>
      <c r="K2634" s="235" t="s">
        <v>20113</v>
      </c>
      <c r="N2634" s="235" t="s">
        <v>42</v>
      </c>
      <c r="O2634" s="235" t="s">
        <v>204</v>
      </c>
      <c r="P2634" s="238">
        <v>1.0</v>
      </c>
      <c r="Q2634" s="235" t="s">
        <v>627</v>
      </c>
      <c r="R2634" s="238">
        <v>270.48</v>
      </c>
      <c r="S2634" s="238">
        <v>13.25</v>
      </c>
      <c r="T2634" s="238">
        <v>38.1</v>
      </c>
      <c r="U2634" s="238">
        <v>1.9</v>
      </c>
      <c r="V2634" s="238">
        <v>0.0</v>
      </c>
      <c r="W2634" s="238">
        <v>0.0</v>
      </c>
      <c r="X2634" s="235" t="s">
        <v>628</v>
      </c>
      <c r="Z2634" s="244"/>
      <c r="AA2634" s="244"/>
      <c r="AB2634" s="244"/>
      <c r="AC2634" s="235" t="s">
        <v>20114</v>
      </c>
      <c r="AD2634" s="235" t="s">
        <v>833</v>
      </c>
      <c r="AE2634" s="238">
        <v>522529.0</v>
      </c>
      <c r="AF2634" s="235" t="s">
        <v>631</v>
      </c>
      <c r="AG2634" s="244"/>
      <c r="AH2634" s="244"/>
      <c r="AI2634" s="245"/>
      <c r="AJ2634" s="245"/>
      <c r="AK2634" s="245"/>
      <c r="AL2634" s="245"/>
      <c r="AM2634" s="244"/>
      <c r="AN2634" s="244"/>
      <c r="AO2634" s="238">
        <v>-5.41</v>
      </c>
      <c r="AP2634" s="238">
        <v>-38.1</v>
      </c>
      <c r="AQ2634" s="235" t="s">
        <v>632</v>
      </c>
      <c r="AR2634" s="243">
        <v>1.68E11</v>
      </c>
      <c r="AS2634" s="235" t="s">
        <v>16626</v>
      </c>
      <c r="AT2634" s="235" t="s">
        <v>156</v>
      </c>
      <c r="AU2634" s="235" t="s">
        <v>634</v>
      </c>
      <c r="AV2634" s="246" t="s">
        <v>635</v>
      </c>
      <c r="AW2634" s="242"/>
      <c r="AX2634" s="242"/>
      <c r="AY2634" s="231"/>
      <c r="AZ2634" s="231"/>
      <c r="BA2634" s="227"/>
      <c r="BB2634" s="231"/>
      <c r="BC2634" s="227"/>
      <c r="BD2634" s="227"/>
      <c r="BE2634" s="227"/>
      <c r="BF2634" s="227"/>
    </row>
    <row r="2635">
      <c r="A2635" s="235" t="s">
        <v>20115</v>
      </c>
      <c r="C2635" s="235" t="s">
        <v>20116</v>
      </c>
      <c r="D2635" s="235" t="s">
        <v>20117</v>
      </c>
      <c r="E2635" s="243">
        <v>6.53E13</v>
      </c>
      <c r="F2635" s="245"/>
      <c r="G2635" s="235" t="s">
        <v>20118</v>
      </c>
      <c r="H2635" s="235" t="s">
        <v>20119</v>
      </c>
      <c r="I2635" s="235" t="s">
        <v>20119</v>
      </c>
      <c r="J2635" s="235" t="s">
        <v>20120</v>
      </c>
      <c r="K2635" s="235" t="s">
        <v>20121</v>
      </c>
      <c r="N2635" s="235" t="s">
        <v>51</v>
      </c>
      <c r="O2635" s="235" t="s">
        <v>273</v>
      </c>
      <c r="P2635" s="238">
        <v>1.0</v>
      </c>
      <c r="Q2635" s="235" t="s">
        <v>627</v>
      </c>
      <c r="R2635" s="238">
        <v>270.48</v>
      </c>
      <c r="S2635" s="238">
        <v>13.52</v>
      </c>
      <c r="T2635" s="238">
        <v>38.1</v>
      </c>
      <c r="U2635" s="238">
        <v>1.9</v>
      </c>
      <c r="V2635" s="238">
        <v>0.0</v>
      </c>
      <c r="W2635" s="238">
        <v>0.0</v>
      </c>
      <c r="X2635" s="235" t="s">
        <v>628</v>
      </c>
      <c r="Z2635" s="244"/>
      <c r="AA2635" s="244"/>
      <c r="AB2635" s="244"/>
      <c r="AC2635" s="235" t="s">
        <v>5923</v>
      </c>
      <c r="AD2635" s="235" t="s">
        <v>666</v>
      </c>
      <c r="AE2635" s="238">
        <v>620007.0</v>
      </c>
      <c r="AF2635" s="235" t="s">
        <v>631</v>
      </c>
      <c r="AG2635" s="244"/>
      <c r="AH2635" s="244"/>
      <c r="AI2635" s="245"/>
      <c r="AJ2635" s="245"/>
      <c r="AK2635" s="245"/>
      <c r="AL2635" s="245"/>
      <c r="AM2635" s="244"/>
      <c r="AN2635" s="244"/>
      <c r="AO2635" s="238">
        <v>0.0</v>
      </c>
      <c r="AP2635" s="238">
        <v>-38.1</v>
      </c>
      <c r="AQ2635" s="235" t="s">
        <v>632</v>
      </c>
      <c r="AR2635" s="243">
        <v>3.71E11</v>
      </c>
      <c r="AS2635" s="235" t="s">
        <v>17988</v>
      </c>
      <c r="AT2635" s="235" t="s">
        <v>155</v>
      </c>
      <c r="AU2635" s="235" t="s">
        <v>634</v>
      </c>
      <c r="AV2635" s="246" t="s">
        <v>635</v>
      </c>
      <c r="AW2635" s="242"/>
      <c r="AX2635" s="242"/>
      <c r="AY2635" s="231"/>
      <c r="AZ2635" s="231"/>
      <c r="BA2635" s="227"/>
      <c r="BB2635" s="231"/>
      <c r="BC2635" s="227"/>
      <c r="BD2635" s="227"/>
      <c r="BE2635" s="227"/>
      <c r="BF2635" s="227"/>
    </row>
    <row r="2636">
      <c r="A2636" s="235" t="s">
        <v>20122</v>
      </c>
      <c r="C2636" s="235" t="s">
        <v>20123</v>
      </c>
      <c r="D2636" s="235" t="s">
        <v>20124</v>
      </c>
      <c r="E2636" s="243">
        <v>6.53E13</v>
      </c>
      <c r="F2636" s="245"/>
      <c r="G2636" s="235" t="s">
        <v>20125</v>
      </c>
      <c r="H2636" s="235" t="s">
        <v>20126</v>
      </c>
      <c r="I2636" s="235" t="s">
        <v>20127</v>
      </c>
      <c r="J2636" s="235" t="s">
        <v>20128</v>
      </c>
      <c r="K2636" s="235" t="s">
        <v>20129</v>
      </c>
      <c r="N2636" s="235" t="s">
        <v>148</v>
      </c>
      <c r="O2636" s="235" t="s">
        <v>1006</v>
      </c>
      <c r="P2636" s="238">
        <v>1.0</v>
      </c>
      <c r="Q2636" s="235" t="s">
        <v>627</v>
      </c>
      <c r="R2636" s="238">
        <v>300.0</v>
      </c>
      <c r="S2636" s="238">
        <v>15.0</v>
      </c>
      <c r="T2636" s="238">
        <v>0.0</v>
      </c>
      <c r="U2636" s="238">
        <v>0.0</v>
      </c>
      <c r="V2636" s="238">
        <v>0.0</v>
      </c>
      <c r="W2636" s="238">
        <v>0.0</v>
      </c>
      <c r="X2636" s="235" t="s">
        <v>628</v>
      </c>
      <c r="Z2636" s="244"/>
      <c r="AA2636" s="244"/>
      <c r="AB2636" s="244"/>
      <c r="AC2636" s="235" t="s">
        <v>687</v>
      </c>
      <c r="AD2636" s="235" t="s">
        <v>666</v>
      </c>
      <c r="AE2636" s="238">
        <v>600094.0</v>
      </c>
      <c r="AF2636" s="235" t="s">
        <v>631</v>
      </c>
      <c r="AG2636" s="244"/>
      <c r="AH2636" s="244"/>
      <c r="AI2636" s="245"/>
      <c r="AJ2636" s="245"/>
      <c r="AK2636" s="245"/>
      <c r="AL2636" s="245"/>
      <c r="AM2636" s="244"/>
      <c r="AN2636" s="244"/>
      <c r="AO2636" s="238">
        <v>0.0</v>
      </c>
      <c r="AP2636" s="238">
        <v>0.0</v>
      </c>
      <c r="AQ2636" s="235" t="s">
        <v>632</v>
      </c>
      <c r="AR2636" s="243">
        <v>1.68E11</v>
      </c>
      <c r="AS2636" s="235" t="s">
        <v>19840</v>
      </c>
      <c r="AT2636" s="235" t="s">
        <v>156</v>
      </c>
      <c r="AU2636" s="235" t="s">
        <v>634</v>
      </c>
      <c r="AV2636" s="246" t="s">
        <v>635</v>
      </c>
      <c r="AW2636" s="242"/>
      <c r="AX2636" s="242"/>
      <c r="AY2636" s="231"/>
      <c r="AZ2636" s="231"/>
      <c r="BA2636" s="227"/>
      <c r="BB2636" s="231"/>
      <c r="BC2636" s="227"/>
      <c r="BD2636" s="227"/>
      <c r="BE2636" s="227"/>
      <c r="BF2636" s="227"/>
    </row>
    <row r="2637">
      <c r="A2637" s="235" t="s">
        <v>20130</v>
      </c>
      <c r="C2637" s="235" t="s">
        <v>20131</v>
      </c>
      <c r="D2637" s="235" t="s">
        <v>20132</v>
      </c>
      <c r="E2637" s="243">
        <v>6.53E13</v>
      </c>
      <c r="F2637" s="245"/>
      <c r="G2637" s="235" t="s">
        <v>20133</v>
      </c>
      <c r="H2637" s="235" t="s">
        <v>20134</v>
      </c>
      <c r="I2637" s="235" t="s">
        <v>20134</v>
      </c>
      <c r="J2637" s="235" t="s">
        <v>20135</v>
      </c>
      <c r="K2637" s="235" t="s">
        <v>20136</v>
      </c>
      <c r="N2637" s="235" t="s">
        <v>15</v>
      </c>
      <c r="O2637" s="235" t="s">
        <v>856</v>
      </c>
      <c r="P2637" s="238">
        <v>1.0</v>
      </c>
      <c r="Q2637" s="235" t="s">
        <v>627</v>
      </c>
      <c r="R2637" s="238">
        <v>380.0</v>
      </c>
      <c r="S2637" s="238">
        <v>19.0</v>
      </c>
      <c r="T2637" s="238">
        <v>0.0</v>
      </c>
      <c r="U2637" s="238">
        <v>0.0</v>
      </c>
      <c r="V2637" s="238">
        <v>0.0</v>
      </c>
      <c r="W2637" s="238">
        <v>0.0</v>
      </c>
      <c r="X2637" s="235" t="s">
        <v>628</v>
      </c>
      <c r="Z2637" s="244"/>
      <c r="AA2637" s="244"/>
      <c r="AB2637" s="244"/>
      <c r="AC2637" s="235" t="s">
        <v>2639</v>
      </c>
      <c r="AD2637" s="235" t="s">
        <v>630</v>
      </c>
      <c r="AE2637" s="238">
        <v>201306.0</v>
      </c>
      <c r="AF2637" s="235" t="s">
        <v>631</v>
      </c>
      <c r="AG2637" s="244"/>
      <c r="AH2637" s="244"/>
      <c r="AI2637" s="245"/>
      <c r="AJ2637" s="245"/>
      <c r="AK2637" s="245"/>
      <c r="AL2637" s="245"/>
      <c r="AM2637" s="244"/>
      <c r="AN2637" s="244"/>
      <c r="AO2637" s="238">
        <v>0.0</v>
      </c>
      <c r="AP2637" s="238">
        <v>0.0</v>
      </c>
      <c r="AQ2637" s="235" t="s">
        <v>632</v>
      </c>
      <c r="AR2637" s="243">
        <v>1.68E11</v>
      </c>
      <c r="AS2637" s="235" t="s">
        <v>19840</v>
      </c>
      <c r="AT2637" s="235" t="s">
        <v>533</v>
      </c>
      <c r="AU2637" s="235" t="s">
        <v>634</v>
      </c>
      <c r="AV2637" s="246" t="s">
        <v>635</v>
      </c>
      <c r="AW2637" s="242"/>
      <c r="AX2637" s="242"/>
      <c r="AY2637" s="231"/>
      <c r="AZ2637" s="231"/>
      <c r="BA2637" s="227"/>
      <c r="BB2637" s="231"/>
      <c r="BC2637" s="227"/>
      <c r="BD2637" s="227"/>
      <c r="BE2637" s="227"/>
      <c r="BF2637" s="227"/>
    </row>
    <row r="2638">
      <c r="A2638" s="235" t="s">
        <v>20137</v>
      </c>
      <c r="C2638" s="235" t="s">
        <v>20138</v>
      </c>
      <c r="D2638" s="235" t="s">
        <v>20139</v>
      </c>
      <c r="E2638" s="243">
        <v>6.53E13</v>
      </c>
      <c r="F2638" s="245"/>
      <c r="G2638" s="235" t="s">
        <v>20140</v>
      </c>
      <c r="H2638" s="235" t="s">
        <v>20141</v>
      </c>
      <c r="I2638" s="235" t="s">
        <v>20134</v>
      </c>
      <c r="J2638" s="235" t="s">
        <v>20142</v>
      </c>
      <c r="K2638" s="235" t="s">
        <v>20143</v>
      </c>
      <c r="N2638" s="235" t="s">
        <v>154</v>
      </c>
      <c r="O2638" s="235" t="s">
        <v>766</v>
      </c>
      <c r="P2638" s="238">
        <v>1.0</v>
      </c>
      <c r="Q2638" s="235" t="s">
        <v>627</v>
      </c>
      <c r="R2638" s="238">
        <v>500.96</v>
      </c>
      <c r="S2638" s="238">
        <v>25.04</v>
      </c>
      <c r="T2638" s="238">
        <v>0.0</v>
      </c>
      <c r="U2638" s="238">
        <v>0.0</v>
      </c>
      <c r="V2638" s="238">
        <v>0.0</v>
      </c>
      <c r="W2638" s="238">
        <v>0.0</v>
      </c>
      <c r="X2638" s="235" t="s">
        <v>628</v>
      </c>
      <c r="Z2638" s="244"/>
      <c r="AA2638" s="244"/>
      <c r="AB2638" s="244"/>
      <c r="AC2638" s="235" t="s">
        <v>1320</v>
      </c>
      <c r="AD2638" s="235" t="s">
        <v>666</v>
      </c>
      <c r="AE2638" s="238">
        <v>600119.0</v>
      </c>
      <c r="AF2638" s="235" t="s">
        <v>631</v>
      </c>
      <c r="AG2638" s="244"/>
      <c r="AH2638" s="244"/>
      <c r="AI2638" s="245"/>
      <c r="AJ2638" s="245"/>
      <c r="AK2638" s="245"/>
      <c r="AL2638" s="245"/>
      <c r="AM2638" s="244"/>
      <c r="AN2638" s="244"/>
      <c r="AO2638" s="238">
        <v>0.0</v>
      </c>
      <c r="AP2638" s="238">
        <v>0.0</v>
      </c>
      <c r="AQ2638" s="235" t="s">
        <v>632</v>
      </c>
      <c r="AR2638" s="243">
        <v>3.71E11</v>
      </c>
      <c r="AS2638" s="235" t="s">
        <v>19388</v>
      </c>
      <c r="AT2638" s="235" t="s">
        <v>156</v>
      </c>
      <c r="AU2638" s="235" t="s">
        <v>634</v>
      </c>
      <c r="AV2638" s="246" t="s">
        <v>635</v>
      </c>
      <c r="AW2638" s="242"/>
      <c r="AX2638" s="242"/>
      <c r="AY2638" s="231"/>
      <c r="AZ2638" s="231"/>
      <c r="BA2638" s="227"/>
      <c r="BB2638" s="231"/>
      <c r="BC2638" s="227"/>
      <c r="BD2638" s="227"/>
      <c r="BE2638" s="227"/>
      <c r="BF2638" s="227"/>
    </row>
    <row r="2639">
      <c r="A2639" s="235" t="s">
        <v>20144</v>
      </c>
      <c r="C2639" s="235" t="s">
        <v>20145</v>
      </c>
      <c r="D2639" s="235" t="s">
        <v>20146</v>
      </c>
      <c r="E2639" s="243">
        <v>6.53E13</v>
      </c>
      <c r="F2639" s="245"/>
      <c r="G2639" s="235" t="s">
        <v>20147</v>
      </c>
      <c r="H2639" s="235" t="s">
        <v>20148</v>
      </c>
      <c r="I2639" s="235" t="s">
        <v>20148</v>
      </c>
      <c r="J2639" s="235" t="s">
        <v>20149</v>
      </c>
      <c r="K2639" s="235" t="s">
        <v>20150</v>
      </c>
      <c r="N2639" s="235" t="s">
        <v>42</v>
      </c>
      <c r="O2639" s="235" t="s">
        <v>204</v>
      </c>
      <c r="P2639" s="238">
        <v>1.0</v>
      </c>
      <c r="Q2639" s="235" t="s">
        <v>627</v>
      </c>
      <c r="R2639" s="238">
        <v>270.48</v>
      </c>
      <c r="S2639" s="238">
        <v>13.52</v>
      </c>
      <c r="T2639" s="238">
        <v>0.0</v>
      </c>
      <c r="U2639" s="238">
        <v>0.0</v>
      </c>
      <c r="V2639" s="238">
        <v>0.0</v>
      </c>
      <c r="W2639" s="238">
        <v>0.0</v>
      </c>
      <c r="X2639" s="235" t="s">
        <v>628</v>
      </c>
      <c r="Z2639" s="244"/>
      <c r="AA2639" s="244"/>
      <c r="AB2639" s="244"/>
      <c r="AC2639" s="235" t="s">
        <v>1671</v>
      </c>
      <c r="AD2639" s="235" t="s">
        <v>666</v>
      </c>
      <c r="AE2639" s="238">
        <v>641015.0</v>
      </c>
      <c r="AF2639" s="235" t="s">
        <v>631</v>
      </c>
      <c r="AG2639" s="244"/>
      <c r="AH2639" s="244"/>
      <c r="AI2639" s="245"/>
      <c r="AJ2639" s="245"/>
      <c r="AK2639" s="245"/>
      <c r="AL2639" s="245"/>
      <c r="AM2639" s="244"/>
      <c r="AN2639" s="244"/>
      <c r="AO2639" s="238">
        <v>0.0</v>
      </c>
      <c r="AP2639" s="238">
        <v>0.0</v>
      </c>
      <c r="AQ2639" s="235" t="s">
        <v>632</v>
      </c>
      <c r="AR2639" s="243">
        <v>1.68E11</v>
      </c>
      <c r="AS2639" s="235" t="s">
        <v>19840</v>
      </c>
      <c r="AT2639" s="235" t="s">
        <v>155</v>
      </c>
      <c r="AU2639" s="235" t="s">
        <v>634</v>
      </c>
      <c r="AV2639" s="246" t="s">
        <v>635</v>
      </c>
      <c r="AW2639" s="242"/>
      <c r="AX2639" s="242"/>
      <c r="AY2639" s="231"/>
      <c r="AZ2639" s="231"/>
      <c r="BA2639" s="227"/>
      <c r="BB2639" s="231"/>
      <c r="BC2639" s="227"/>
      <c r="BD2639" s="227"/>
      <c r="BE2639" s="227"/>
      <c r="BF2639" s="227"/>
    </row>
    <row r="2640">
      <c r="A2640" s="235" t="s">
        <v>20151</v>
      </c>
      <c r="C2640" s="235" t="s">
        <v>20152</v>
      </c>
      <c r="D2640" s="235" t="s">
        <v>20153</v>
      </c>
      <c r="E2640" s="243">
        <v>6.52E13</v>
      </c>
      <c r="F2640" s="245"/>
      <c r="G2640" s="235" t="s">
        <v>20154</v>
      </c>
      <c r="H2640" s="235" t="s">
        <v>20155</v>
      </c>
      <c r="I2640" s="235" t="s">
        <v>20155</v>
      </c>
      <c r="J2640" s="235" t="s">
        <v>20156</v>
      </c>
      <c r="K2640" s="235" t="s">
        <v>20157</v>
      </c>
      <c r="N2640" s="235" t="s">
        <v>127</v>
      </c>
      <c r="O2640" s="235" t="s">
        <v>794</v>
      </c>
      <c r="P2640" s="238">
        <v>1.0</v>
      </c>
      <c r="Q2640" s="235" t="s">
        <v>627</v>
      </c>
      <c r="R2640" s="238">
        <v>242.86</v>
      </c>
      <c r="S2640" s="238">
        <v>12.14</v>
      </c>
      <c r="T2640" s="238">
        <v>38.1</v>
      </c>
      <c r="U2640" s="238">
        <v>1.9</v>
      </c>
      <c r="V2640" s="238">
        <v>0.0</v>
      </c>
      <c r="W2640" s="238">
        <v>0.0</v>
      </c>
      <c r="X2640" s="235" t="s">
        <v>628</v>
      </c>
      <c r="Z2640" s="244"/>
      <c r="AA2640" s="244"/>
      <c r="AB2640" s="244"/>
      <c r="AC2640" s="235" t="s">
        <v>2905</v>
      </c>
      <c r="AD2640" s="235" t="s">
        <v>908</v>
      </c>
      <c r="AE2640" s="238">
        <v>249407.0</v>
      </c>
      <c r="AF2640" s="235" t="s">
        <v>631</v>
      </c>
      <c r="AG2640" s="244"/>
      <c r="AH2640" s="244"/>
      <c r="AI2640" s="245"/>
      <c r="AJ2640" s="245"/>
      <c r="AK2640" s="245"/>
      <c r="AL2640" s="245"/>
      <c r="AM2640" s="244"/>
      <c r="AN2640" s="244"/>
      <c r="AO2640" s="238">
        <v>0.0</v>
      </c>
      <c r="AP2640" s="238">
        <v>-38.1</v>
      </c>
      <c r="AQ2640" s="235" t="s">
        <v>632</v>
      </c>
      <c r="AR2640" s="243">
        <v>3.71E11</v>
      </c>
      <c r="AS2640" s="235" t="s">
        <v>17988</v>
      </c>
      <c r="AT2640" s="235" t="s">
        <v>13</v>
      </c>
      <c r="AU2640" s="235" t="s">
        <v>634</v>
      </c>
      <c r="AV2640" s="246" t="s">
        <v>635</v>
      </c>
      <c r="AW2640" s="242"/>
      <c r="AX2640" s="242"/>
      <c r="AY2640" s="231"/>
      <c r="AZ2640" s="231"/>
      <c r="BA2640" s="227"/>
      <c r="BB2640" s="231"/>
      <c r="BC2640" s="227"/>
      <c r="BD2640" s="227"/>
      <c r="BE2640" s="227"/>
      <c r="BF2640" s="227"/>
    </row>
    <row r="2641">
      <c r="A2641" s="235" t="s">
        <v>20158</v>
      </c>
      <c r="C2641" s="235" t="s">
        <v>20159</v>
      </c>
      <c r="D2641" s="235" t="s">
        <v>20160</v>
      </c>
      <c r="E2641" s="243">
        <v>6.53E13</v>
      </c>
      <c r="F2641" s="245"/>
      <c r="G2641" s="235" t="s">
        <v>20161</v>
      </c>
      <c r="H2641" s="235" t="s">
        <v>20162</v>
      </c>
      <c r="I2641" s="235" t="s">
        <v>20163</v>
      </c>
      <c r="J2641" s="235" t="s">
        <v>20164</v>
      </c>
      <c r="K2641" s="235" t="s">
        <v>20165</v>
      </c>
      <c r="N2641" s="235" t="s">
        <v>154</v>
      </c>
      <c r="O2641" s="235" t="s">
        <v>766</v>
      </c>
      <c r="P2641" s="238">
        <v>1.0</v>
      </c>
      <c r="Q2641" s="235" t="s">
        <v>627</v>
      </c>
      <c r="R2641" s="238">
        <v>500.96</v>
      </c>
      <c r="S2641" s="238">
        <v>25.04</v>
      </c>
      <c r="T2641" s="238">
        <v>0.0</v>
      </c>
      <c r="U2641" s="238">
        <v>0.0</v>
      </c>
      <c r="V2641" s="238">
        <v>0.0</v>
      </c>
      <c r="W2641" s="238">
        <v>0.0</v>
      </c>
      <c r="X2641" s="235" t="s">
        <v>628</v>
      </c>
      <c r="Z2641" s="244"/>
      <c r="AA2641" s="244"/>
      <c r="AB2641" s="244"/>
      <c r="AC2641" s="235" t="s">
        <v>20166</v>
      </c>
      <c r="AD2641" s="235" t="s">
        <v>666</v>
      </c>
      <c r="AE2641" s="238">
        <v>629180.0</v>
      </c>
      <c r="AF2641" s="235" t="s">
        <v>631</v>
      </c>
      <c r="AG2641" s="244"/>
      <c r="AH2641" s="244"/>
      <c r="AI2641" s="245"/>
      <c r="AJ2641" s="245"/>
      <c r="AK2641" s="245"/>
      <c r="AL2641" s="245"/>
      <c r="AM2641" s="244"/>
      <c r="AN2641" s="244"/>
      <c r="AO2641" s="238">
        <v>0.0</v>
      </c>
      <c r="AP2641" s="238">
        <v>0.0</v>
      </c>
      <c r="AQ2641" s="235" t="s">
        <v>632</v>
      </c>
      <c r="AR2641" s="243">
        <v>3.71E11</v>
      </c>
      <c r="AS2641" s="235" t="s">
        <v>15064</v>
      </c>
      <c r="AT2641" s="235" t="s">
        <v>155</v>
      </c>
      <c r="AU2641" s="235" t="s">
        <v>634</v>
      </c>
      <c r="AV2641" s="246" t="s">
        <v>635</v>
      </c>
      <c r="AW2641" s="242"/>
      <c r="AX2641" s="242"/>
      <c r="AY2641" s="231"/>
      <c r="AZ2641" s="231"/>
      <c r="BA2641" s="227"/>
      <c r="BB2641" s="231"/>
      <c r="BC2641" s="227"/>
      <c r="BD2641" s="227"/>
      <c r="BE2641" s="227"/>
      <c r="BF2641" s="227"/>
    </row>
    <row r="2642">
      <c r="A2642" s="235" t="s">
        <v>20167</v>
      </c>
      <c r="C2642" s="235" t="s">
        <v>20168</v>
      </c>
      <c r="D2642" s="235" t="s">
        <v>20169</v>
      </c>
      <c r="E2642" s="243">
        <v>6.53E13</v>
      </c>
      <c r="F2642" s="245"/>
      <c r="G2642" s="235" t="s">
        <v>20170</v>
      </c>
      <c r="H2642" s="235" t="s">
        <v>20171</v>
      </c>
      <c r="I2642" s="235" t="s">
        <v>20171</v>
      </c>
      <c r="J2642" s="235" t="s">
        <v>20172</v>
      </c>
      <c r="K2642" s="235" t="s">
        <v>20173</v>
      </c>
      <c r="N2642" s="235" t="s">
        <v>82</v>
      </c>
      <c r="O2642" s="235" t="s">
        <v>889</v>
      </c>
      <c r="P2642" s="238">
        <v>1.0</v>
      </c>
      <c r="Q2642" s="235" t="s">
        <v>627</v>
      </c>
      <c r="R2642" s="238">
        <v>270.48</v>
      </c>
      <c r="S2642" s="238">
        <v>13.25</v>
      </c>
      <c r="T2642" s="238">
        <v>0.0</v>
      </c>
      <c r="U2642" s="238">
        <v>0.0</v>
      </c>
      <c r="V2642" s="238">
        <v>0.0</v>
      </c>
      <c r="W2642" s="238">
        <v>0.0</v>
      </c>
      <c r="X2642" s="235" t="s">
        <v>628</v>
      </c>
      <c r="Z2642" s="244"/>
      <c r="AA2642" s="244"/>
      <c r="AB2642" s="244"/>
      <c r="AC2642" s="235" t="s">
        <v>1887</v>
      </c>
      <c r="AD2642" s="235" t="s">
        <v>679</v>
      </c>
      <c r="AE2642" s="238">
        <v>560043.0</v>
      </c>
      <c r="AF2642" s="235" t="s">
        <v>631</v>
      </c>
      <c r="AG2642" s="244"/>
      <c r="AH2642" s="244"/>
      <c r="AI2642" s="245"/>
      <c r="AJ2642" s="245"/>
      <c r="AK2642" s="245"/>
      <c r="AL2642" s="245"/>
      <c r="AM2642" s="244"/>
      <c r="AN2642" s="244"/>
      <c r="AO2642" s="238">
        <v>-5.41</v>
      </c>
      <c r="AP2642" s="238">
        <v>0.0</v>
      </c>
      <c r="AQ2642" s="235" t="s">
        <v>632</v>
      </c>
      <c r="AR2642" s="243">
        <v>1.68E11</v>
      </c>
      <c r="AS2642" s="235" t="s">
        <v>19840</v>
      </c>
      <c r="AT2642" s="235" t="s">
        <v>9</v>
      </c>
      <c r="AU2642" s="235" t="s">
        <v>634</v>
      </c>
      <c r="AV2642" s="246" t="s">
        <v>635</v>
      </c>
      <c r="AW2642" s="242"/>
      <c r="AX2642" s="242"/>
      <c r="AY2642" s="231"/>
      <c r="AZ2642" s="231"/>
      <c r="BA2642" s="227"/>
      <c r="BB2642" s="231"/>
      <c r="BC2642" s="227"/>
      <c r="BD2642" s="227"/>
      <c r="BE2642" s="227"/>
      <c r="BF2642" s="227"/>
    </row>
    <row r="2643">
      <c r="A2643" s="235" t="s">
        <v>20174</v>
      </c>
      <c r="C2643" s="235" t="s">
        <v>20175</v>
      </c>
      <c r="D2643" s="235" t="s">
        <v>20176</v>
      </c>
      <c r="E2643" s="243">
        <v>6.53E13</v>
      </c>
      <c r="F2643" s="245"/>
      <c r="G2643" s="235" t="s">
        <v>20177</v>
      </c>
      <c r="H2643" s="235" t="s">
        <v>20178</v>
      </c>
      <c r="I2643" s="235" t="s">
        <v>20179</v>
      </c>
      <c r="J2643" s="235" t="s">
        <v>20180</v>
      </c>
      <c r="K2643" s="235" t="s">
        <v>20181</v>
      </c>
      <c r="N2643" s="235" t="s">
        <v>144</v>
      </c>
      <c r="O2643" s="235" t="s">
        <v>232</v>
      </c>
      <c r="P2643" s="238">
        <v>1.0</v>
      </c>
      <c r="Q2643" s="235" t="s">
        <v>627</v>
      </c>
      <c r="R2643" s="238">
        <v>665.71</v>
      </c>
      <c r="S2643" s="238">
        <v>33.29</v>
      </c>
      <c r="T2643" s="238">
        <v>38.1</v>
      </c>
      <c r="U2643" s="238">
        <v>1.9</v>
      </c>
      <c r="V2643" s="238">
        <v>0.0</v>
      </c>
      <c r="W2643" s="238">
        <v>0.0</v>
      </c>
      <c r="X2643" s="235" t="s">
        <v>628</v>
      </c>
      <c r="Z2643" s="244"/>
      <c r="AA2643" s="244"/>
      <c r="AB2643" s="244"/>
      <c r="AC2643" s="235" t="s">
        <v>4664</v>
      </c>
      <c r="AD2643" s="235" t="s">
        <v>698</v>
      </c>
      <c r="AE2643" s="238">
        <v>506002.0</v>
      </c>
      <c r="AF2643" s="235" t="s">
        <v>631</v>
      </c>
      <c r="AG2643" s="244"/>
      <c r="AH2643" s="244"/>
      <c r="AI2643" s="245"/>
      <c r="AJ2643" s="245"/>
      <c r="AK2643" s="245"/>
      <c r="AL2643" s="245"/>
      <c r="AM2643" s="244"/>
      <c r="AN2643" s="244"/>
      <c r="AO2643" s="238">
        <v>0.0</v>
      </c>
      <c r="AP2643" s="238">
        <v>-38.1</v>
      </c>
      <c r="AQ2643" s="235" t="s">
        <v>632</v>
      </c>
      <c r="AR2643" s="243">
        <v>3.71E11</v>
      </c>
      <c r="AS2643" s="235" t="s">
        <v>16626</v>
      </c>
      <c r="AT2643" s="235" t="s">
        <v>9</v>
      </c>
      <c r="AU2643" s="235" t="s">
        <v>634</v>
      </c>
      <c r="AV2643" s="246" t="s">
        <v>635</v>
      </c>
      <c r="AW2643" s="242"/>
      <c r="AX2643" s="242"/>
      <c r="AY2643" s="231"/>
      <c r="AZ2643" s="231"/>
      <c r="BA2643" s="227"/>
      <c r="BB2643" s="231"/>
      <c r="BC2643" s="227"/>
      <c r="BD2643" s="227"/>
      <c r="BE2643" s="227"/>
      <c r="BF2643" s="227"/>
    </row>
    <row r="2644">
      <c r="A2644" s="235" t="s">
        <v>20182</v>
      </c>
      <c r="C2644" s="235" t="s">
        <v>20183</v>
      </c>
      <c r="D2644" s="235" t="s">
        <v>20184</v>
      </c>
      <c r="E2644" s="243">
        <v>6.52E13</v>
      </c>
      <c r="F2644" s="245"/>
      <c r="G2644" s="235" t="s">
        <v>20185</v>
      </c>
      <c r="H2644" s="235" t="s">
        <v>20186</v>
      </c>
      <c r="I2644" s="235" t="s">
        <v>20186</v>
      </c>
      <c r="J2644" s="235" t="s">
        <v>20187</v>
      </c>
      <c r="K2644" s="235" t="s">
        <v>20188</v>
      </c>
      <c r="N2644" s="235" t="s">
        <v>42</v>
      </c>
      <c r="O2644" s="235" t="s">
        <v>204</v>
      </c>
      <c r="P2644" s="238">
        <v>1.0</v>
      </c>
      <c r="Q2644" s="235" t="s">
        <v>627</v>
      </c>
      <c r="R2644" s="238">
        <v>237.14</v>
      </c>
      <c r="S2644" s="238">
        <v>11.86</v>
      </c>
      <c r="T2644" s="238">
        <v>38.1</v>
      </c>
      <c r="U2644" s="238">
        <v>1.9</v>
      </c>
      <c r="V2644" s="238">
        <v>0.0</v>
      </c>
      <c r="W2644" s="238">
        <v>0.0</v>
      </c>
      <c r="X2644" s="235" t="s">
        <v>628</v>
      </c>
      <c r="Z2644" s="244"/>
      <c r="AA2644" s="244"/>
      <c r="AB2644" s="244"/>
      <c r="AC2644" s="235" t="s">
        <v>20189</v>
      </c>
      <c r="AD2644" s="235" t="s">
        <v>698</v>
      </c>
      <c r="AE2644" s="238">
        <v>500075.0</v>
      </c>
      <c r="AF2644" s="235" t="s">
        <v>631</v>
      </c>
      <c r="AG2644" s="244"/>
      <c r="AH2644" s="244"/>
      <c r="AI2644" s="245"/>
      <c r="AJ2644" s="245"/>
      <c r="AK2644" s="245"/>
      <c r="AL2644" s="245"/>
      <c r="AM2644" s="244"/>
      <c r="AN2644" s="244"/>
      <c r="AO2644" s="238">
        <v>0.0</v>
      </c>
      <c r="AP2644" s="238">
        <v>-38.1</v>
      </c>
      <c r="AQ2644" s="235" t="s">
        <v>632</v>
      </c>
      <c r="AR2644" s="243">
        <v>3.71E11</v>
      </c>
      <c r="AS2644" s="235" t="s">
        <v>16626</v>
      </c>
      <c r="AT2644" s="235" t="s">
        <v>17</v>
      </c>
      <c r="AU2644" s="235" t="s">
        <v>634</v>
      </c>
      <c r="AV2644" s="246" t="s">
        <v>635</v>
      </c>
      <c r="AW2644" s="242"/>
      <c r="AX2644" s="242"/>
      <c r="AY2644" s="231"/>
      <c r="AZ2644" s="231"/>
      <c r="BA2644" s="227"/>
      <c r="BB2644" s="231"/>
      <c r="BC2644" s="227"/>
      <c r="BD2644" s="227"/>
      <c r="BE2644" s="227"/>
      <c r="BF2644" s="227"/>
    </row>
    <row r="2645">
      <c r="A2645" s="235" t="s">
        <v>20190</v>
      </c>
      <c r="C2645" s="235" t="s">
        <v>20191</v>
      </c>
      <c r="D2645" s="235" t="s">
        <v>20192</v>
      </c>
      <c r="E2645" s="243">
        <v>6.53E13</v>
      </c>
      <c r="F2645" s="245"/>
      <c r="G2645" s="235" t="s">
        <v>20193</v>
      </c>
      <c r="H2645" s="235" t="s">
        <v>20194</v>
      </c>
      <c r="I2645" s="235" t="s">
        <v>20195</v>
      </c>
      <c r="J2645" s="235" t="s">
        <v>20196</v>
      </c>
      <c r="K2645" s="235" t="s">
        <v>20197</v>
      </c>
      <c r="N2645" s="235" t="s">
        <v>962</v>
      </c>
      <c r="O2645" s="235" t="s">
        <v>963</v>
      </c>
      <c r="P2645" s="238">
        <v>1.0</v>
      </c>
      <c r="Q2645" s="235" t="s">
        <v>627</v>
      </c>
      <c r="R2645" s="238">
        <v>270.48</v>
      </c>
      <c r="S2645" s="238">
        <v>13.25</v>
      </c>
      <c r="T2645" s="238">
        <v>0.0</v>
      </c>
      <c r="U2645" s="238">
        <v>0.0</v>
      </c>
      <c r="V2645" s="238">
        <v>0.0</v>
      </c>
      <c r="W2645" s="238">
        <v>0.0</v>
      </c>
      <c r="X2645" s="235" t="s">
        <v>628</v>
      </c>
      <c r="Z2645" s="244"/>
      <c r="AA2645" s="244"/>
      <c r="AB2645" s="244"/>
      <c r="AC2645" s="235" t="s">
        <v>687</v>
      </c>
      <c r="AD2645" s="235" t="s">
        <v>666</v>
      </c>
      <c r="AE2645" s="238">
        <v>600031.0</v>
      </c>
      <c r="AF2645" s="235" t="s">
        <v>631</v>
      </c>
      <c r="AG2645" s="244"/>
      <c r="AH2645" s="244"/>
      <c r="AI2645" s="245"/>
      <c r="AJ2645" s="245"/>
      <c r="AK2645" s="245"/>
      <c r="AL2645" s="245"/>
      <c r="AM2645" s="244"/>
      <c r="AN2645" s="244"/>
      <c r="AO2645" s="238">
        <v>-5.41</v>
      </c>
      <c r="AP2645" s="238">
        <v>0.0</v>
      </c>
      <c r="AQ2645" s="235" t="s">
        <v>632</v>
      </c>
      <c r="AR2645" s="243">
        <v>3.71E11</v>
      </c>
      <c r="AS2645" s="235" t="s">
        <v>17988</v>
      </c>
      <c r="AT2645" s="235" t="s">
        <v>156</v>
      </c>
      <c r="AU2645" s="235" t="s">
        <v>634</v>
      </c>
      <c r="AV2645" s="246" t="s">
        <v>635</v>
      </c>
      <c r="AW2645" s="242"/>
      <c r="AX2645" s="242"/>
      <c r="AY2645" s="231"/>
      <c r="AZ2645" s="231"/>
      <c r="BA2645" s="227"/>
      <c r="BB2645" s="231"/>
      <c r="BC2645" s="227"/>
      <c r="BD2645" s="227"/>
      <c r="BE2645" s="227"/>
      <c r="BF2645" s="227"/>
    </row>
    <row r="2646">
      <c r="A2646" s="235" t="s">
        <v>20198</v>
      </c>
      <c r="C2646" s="235" t="s">
        <v>20199</v>
      </c>
      <c r="D2646" s="235" t="s">
        <v>20200</v>
      </c>
      <c r="E2646" s="243">
        <v>6.52E13</v>
      </c>
      <c r="F2646" s="245"/>
      <c r="G2646" s="235" t="s">
        <v>20201</v>
      </c>
      <c r="H2646" s="235" t="s">
        <v>20202</v>
      </c>
      <c r="I2646" s="235" t="s">
        <v>20202</v>
      </c>
      <c r="J2646" s="235" t="s">
        <v>20203</v>
      </c>
      <c r="K2646" s="235" t="s">
        <v>20204</v>
      </c>
      <c r="N2646" s="235" t="s">
        <v>126</v>
      </c>
      <c r="O2646" s="235" t="s">
        <v>407</v>
      </c>
      <c r="P2646" s="238">
        <v>1.0</v>
      </c>
      <c r="Q2646" s="235" t="s">
        <v>627</v>
      </c>
      <c r="R2646" s="238">
        <v>233.34</v>
      </c>
      <c r="S2646" s="238">
        <v>11.32</v>
      </c>
      <c r="T2646" s="238">
        <v>0.0</v>
      </c>
      <c r="U2646" s="238">
        <v>0.0</v>
      </c>
      <c r="V2646" s="238">
        <v>0.0</v>
      </c>
      <c r="W2646" s="238">
        <v>0.0</v>
      </c>
      <c r="X2646" s="235" t="s">
        <v>628</v>
      </c>
      <c r="Z2646" s="244"/>
      <c r="AA2646" s="244"/>
      <c r="AB2646" s="244"/>
      <c r="AC2646" s="235" t="s">
        <v>1058</v>
      </c>
      <c r="AD2646" s="235" t="s">
        <v>845</v>
      </c>
      <c r="AE2646" s="238">
        <v>400086.0</v>
      </c>
      <c r="AF2646" s="235" t="s">
        <v>631</v>
      </c>
      <c r="AG2646" s="244"/>
      <c r="AH2646" s="244"/>
      <c r="AI2646" s="245"/>
      <c r="AJ2646" s="245"/>
      <c r="AK2646" s="245"/>
      <c r="AL2646" s="245"/>
      <c r="AM2646" s="244"/>
      <c r="AN2646" s="244"/>
      <c r="AO2646" s="238">
        <v>-7.01</v>
      </c>
      <c r="AP2646" s="238">
        <v>0.0</v>
      </c>
      <c r="AQ2646" s="235" t="s">
        <v>632</v>
      </c>
      <c r="AR2646" s="243">
        <v>3.71E11</v>
      </c>
      <c r="AS2646" s="235" t="s">
        <v>19388</v>
      </c>
      <c r="AT2646" s="235" t="s">
        <v>17</v>
      </c>
      <c r="AU2646" s="235" t="s">
        <v>634</v>
      </c>
      <c r="AV2646" s="246" t="s">
        <v>635</v>
      </c>
      <c r="AW2646" s="242"/>
      <c r="AX2646" s="242"/>
      <c r="AY2646" s="231"/>
      <c r="AZ2646" s="231"/>
      <c r="BA2646" s="227"/>
      <c r="BB2646" s="231"/>
      <c r="BC2646" s="227"/>
      <c r="BD2646" s="227"/>
      <c r="BE2646" s="227"/>
      <c r="BF2646" s="227"/>
    </row>
    <row r="2647">
      <c r="A2647" s="235" t="s">
        <v>20205</v>
      </c>
      <c r="C2647" s="235" t="s">
        <v>20206</v>
      </c>
      <c r="D2647" s="235" t="s">
        <v>20207</v>
      </c>
      <c r="E2647" s="243">
        <v>6.53E13</v>
      </c>
      <c r="F2647" s="245"/>
      <c r="G2647" s="235" t="s">
        <v>20208</v>
      </c>
      <c r="H2647" s="235" t="s">
        <v>20209</v>
      </c>
      <c r="I2647" s="235" t="s">
        <v>20209</v>
      </c>
      <c r="J2647" s="235" t="s">
        <v>20210</v>
      </c>
      <c r="K2647" s="235" t="s">
        <v>20211</v>
      </c>
      <c r="N2647" s="235" t="s">
        <v>144</v>
      </c>
      <c r="O2647" s="235" t="s">
        <v>232</v>
      </c>
      <c r="P2647" s="238">
        <v>1.0</v>
      </c>
      <c r="Q2647" s="235" t="s">
        <v>627</v>
      </c>
      <c r="R2647" s="238">
        <v>808.57</v>
      </c>
      <c r="S2647" s="238">
        <v>40.43</v>
      </c>
      <c r="T2647" s="238">
        <v>0.0</v>
      </c>
      <c r="U2647" s="238">
        <v>0.0</v>
      </c>
      <c r="V2647" s="238">
        <v>0.0</v>
      </c>
      <c r="W2647" s="238">
        <v>0.0</v>
      </c>
      <c r="X2647" s="235" t="s">
        <v>628</v>
      </c>
      <c r="Z2647" s="244"/>
      <c r="AA2647" s="244"/>
      <c r="AB2647" s="244"/>
      <c r="AC2647" s="235" t="s">
        <v>5138</v>
      </c>
      <c r="AD2647" s="235" t="s">
        <v>833</v>
      </c>
      <c r="AE2647" s="238">
        <v>524003.0</v>
      </c>
      <c r="AF2647" s="235" t="s">
        <v>631</v>
      </c>
      <c r="AG2647" s="244"/>
      <c r="AH2647" s="244"/>
      <c r="AI2647" s="245"/>
      <c r="AJ2647" s="245"/>
      <c r="AK2647" s="245"/>
      <c r="AL2647" s="245"/>
      <c r="AM2647" s="244"/>
      <c r="AN2647" s="244"/>
      <c r="AO2647" s="238">
        <v>0.0</v>
      </c>
      <c r="AP2647" s="238">
        <v>0.0</v>
      </c>
      <c r="AQ2647" s="235" t="s">
        <v>632</v>
      </c>
      <c r="AR2647" s="243">
        <v>3.71E11</v>
      </c>
      <c r="AS2647" s="235" t="s">
        <v>19388</v>
      </c>
      <c r="AT2647" s="235" t="s">
        <v>156</v>
      </c>
      <c r="AU2647" s="235" t="s">
        <v>634</v>
      </c>
      <c r="AV2647" s="246" t="s">
        <v>635</v>
      </c>
      <c r="AW2647" s="242"/>
      <c r="AX2647" s="242"/>
      <c r="AY2647" s="231"/>
      <c r="AZ2647" s="231"/>
      <c r="BA2647" s="227"/>
      <c r="BB2647" s="231"/>
      <c r="BC2647" s="227"/>
      <c r="BD2647" s="227"/>
      <c r="BE2647" s="227"/>
      <c r="BF2647" s="227"/>
    </row>
    <row r="2648">
      <c r="A2648" s="235" t="s">
        <v>20212</v>
      </c>
      <c r="C2648" s="235" t="s">
        <v>20213</v>
      </c>
      <c r="D2648" s="235" t="s">
        <v>20214</v>
      </c>
      <c r="E2648" s="243">
        <v>6.52E13</v>
      </c>
      <c r="F2648" s="245"/>
      <c r="G2648" s="235" t="s">
        <v>20215</v>
      </c>
      <c r="H2648" s="235" t="s">
        <v>20216</v>
      </c>
      <c r="I2648" s="235" t="s">
        <v>20216</v>
      </c>
      <c r="J2648" s="235" t="s">
        <v>20217</v>
      </c>
      <c r="K2648" s="235" t="s">
        <v>20218</v>
      </c>
      <c r="N2648" s="235" t="s">
        <v>78</v>
      </c>
      <c r="O2648" s="235" t="s">
        <v>360</v>
      </c>
      <c r="P2648" s="238">
        <v>1.0</v>
      </c>
      <c r="Q2648" s="235" t="s">
        <v>627</v>
      </c>
      <c r="R2648" s="238">
        <v>360.95</v>
      </c>
      <c r="S2648" s="238">
        <v>17.69</v>
      </c>
      <c r="T2648" s="238">
        <v>0.0</v>
      </c>
      <c r="U2648" s="238">
        <v>0.0</v>
      </c>
      <c r="V2648" s="238">
        <v>0.0</v>
      </c>
      <c r="W2648" s="238">
        <v>0.0</v>
      </c>
      <c r="X2648" s="235" t="s">
        <v>628</v>
      </c>
      <c r="Z2648" s="244"/>
      <c r="AA2648" s="244"/>
      <c r="AB2648" s="244"/>
      <c r="AC2648" s="235" t="s">
        <v>5732</v>
      </c>
      <c r="AD2648" s="235" t="s">
        <v>2688</v>
      </c>
      <c r="AE2648" s="238">
        <v>190001.0</v>
      </c>
      <c r="AF2648" s="235" t="s">
        <v>631</v>
      </c>
      <c r="AG2648" s="244"/>
      <c r="AH2648" s="244"/>
      <c r="AI2648" s="245"/>
      <c r="AJ2648" s="245"/>
      <c r="AK2648" s="245"/>
      <c r="AL2648" s="245"/>
      <c r="AM2648" s="244"/>
      <c r="AN2648" s="244"/>
      <c r="AO2648" s="238">
        <v>-7.22</v>
      </c>
      <c r="AP2648" s="238">
        <v>0.0</v>
      </c>
      <c r="AQ2648" s="235" t="s">
        <v>632</v>
      </c>
      <c r="AR2648" s="243">
        <v>3.71E11</v>
      </c>
      <c r="AS2648" s="235" t="s">
        <v>12693</v>
      </c>
      <c r="AT2648" s="235" t="s">
        <v>14</v>
      </c>
      <c r="AU2648" s="235" t="s">
        <v>634</v>
      </c>
      <c r="AV2648" s="246" t="s">
        <v>635</v>
      </c>
      <c r="AW2648" s="242"/>
      <c r="AX2648" s="242"/>
      <c r="AY2648" s="231"/>
      <c r="AZ2648" s="231"/>
      <c r="BA2648" s="227"/>
      <c r="BB2648" s="231"/>
      <c r="BC2648" s="227"/>
      <c r="BD2648" s="227"/>
      <c r="BE2648" s="227"/>
      <c r="BF2648" s="227"/>
    </row>
    <row r="2649">
      <c r="A2649" s="235" t="s">
        <v>20219</v>
      </c>
      <c r="C2649" s="235" t="s">
        <v>20220</v>
      </c>
      <c r="D2649" s="235" t="s">
        <v>20221</v>
      </c>
      <c r="E2649" s="243">
        <v>6.52E13</v>
      </c>
      <c r="F2649" s="245"/>
      <c r="G2649" s="235" t="s">
        <v>20222</v>
      </c>
      <c r="H2649" s="235" t="s">
        <v>20223</v>
      </c>
      <c r="I2649" s="235" t="s">
        <v>20223</v>
      </c>
      <c r="J2649" s="235" t="s">
        <v>20224</v>
      </c>
      <c r="K2649" s="235" t="s">
        <v>20225</v>
      </c>
      <c r="N2649" s="235" t="s">
        <v>42</v>
      </c>
      <c r="O2649" s="235" t="s">
        <v>204</v>
      </c>
      <c r="P2649" s="238">
        <v>1.0</v>
      </c>
      <c r="Q2649" s="235" t="s">
        <v>627</v>
      </c>
      <c r="R2649" s="238">
        <v>237.14</v>
      </c>
      <c r="S2649" s="238">
        <v>11.86</v>
      </c>
      <c r="T2649" s="238">
        <v>0.0</v>
      </c>
      <c r="U2649" s="238">
        <v>0.0</v>
      </c>
      <c r="V2649" s="238">
        <v>0.0</v>
      </c>
      <c r="W2649" s="238">
        <v>0.0</v>
      </c>
      <c r="X2649" s="235" t="s">
        <v>628</v>
      </c>
      <c r="Z2649" s="244"/>
      <c r="AA2649" s="244"/>
      <c r="AB2649" s="244"/>
      <c r="AC2649" s="235" t="s">
        <v>832</v>
      </c>
      <c r="AD2649" s="235" t="s">
        <v>833</v>
      </c>
      <c r="AE2649" s="238">
        <v>530046.0</v>
      </c>
      <c r="AF2649" s="235" t="s">
        <v>631</v>
      </c>
      <c r="AG2649" s="244"/>
      <c r="AH2649" s="244"/>
      <c r="AI2649" s="245"/>
      <c r="AJ2649" s="245"/>
      <c r="AK2649" s="245"/>
      <c r="AL2649" s="245"/>
      <c r="AM2649" s="244"/>
      <c r="AN2649" s="244"/>
      <c r="AO2649" s="238">
        <v>0.0</v>
      </c>
      <c r="AP2649" s="238">
        <v>0.0</v>
      </c>
      <c r="AQ2649" s="235" t="s">
        <v>632</v>
      </c>
      <c r="AR2649" s="243">
        <v>3.71E11</v>
      </c>
      <c r="AS2649" s="235" t="s">
        <v>15064</v>
      </c>
      <c r="AT2649" s="235" t="s">
        <v>17</v>
      </c>
      <c r="AU2649" s="235" t="s">
        <v>634</v>
      </c>
      <c r="AV2649" s="246" t="s">
        <v>635</v>
      </c>
      <c r="AW2649" s="242"/>
      <c r="AX2649" s="242"/>
      <c r="AY2649" s="231"/>
      <c r="AZ2649" s="231"/>
      <c r="BA2649" s="227"/>
      <c r="BB2649" s="231"/>
      <c r="BC2649" s="227"/>
      <c r="BD2649" s="227"/>
      <c r="BE2649" s="227"/>
      <c r="BF2649" s="227"/>
    </row>
    <row r="2650">
      <c r="A2650" s="235" t="s">
        <v>20226</v>
      </c>
      <c r="C2650" s="235" t="s">
        <v>20227</v>
      </c>
      <c r="D2650" s="235" t="s">
        <v>20228</v>
      </c>
      <c r="E2650" s="243">
        <v>6.53E13</v>
      </c>
      <c r="F2650" s="245"/>
      <c r="G2650" s="235" t="s">
        <v>20229</v>
      </c>
      <c r="H2650" s="235" t="s">
        <v>20230</v>
      </c>
      <c r="I2650" s="235" t="s">
        <v>20230</v>
      </c>
      <c r="J2650" s="235" t="s">
        <v>20231</v>
      </c>
      <c r="K2650" s="235" t="s">
        <v>20232</v>
      </c>
      <c r="N2650" s="235" t="s">
        <v>131</v>
      </c>
      <c r="O2650" s="235" t="s">
        <v>2148</v>
      </c>
      <c r="P2650" s="238">
        <v>1.0</v>
      </c>
      <c r="Q2650" s="235" t="s">
        <v>627</v>
      </c>
      <c r="R2650" s="238">
        <v>246.67</v>
      </c>
      <c r="S2650" s="238">
        <v>12.33</v>
      </c>
      <c r="T2650" s="238">
        <v>38.1</v>
      </c>
      <c r="U2650" s="238">
        <v>1.9</v>
      </c>
      <c r="V2650" s="238">
        <v>0.0</v>
      </c>
      <c r="W2650" s="238">
        <v>0.0</v>
      </c>
      <c r="X2650" s="235" t="s">
        <v>628</v>
      </c>
      <c r="Z2650" s="244"/>
      <c r="AA2650" s="244"/>
      <c r="AB2650" s="244"/>
      <c r="AC2650" s="235" t="s">
        <v>6654</v>
      </c>
      <c r="AD2650" s="235" t="s">
        <v>666</v>
      </c>
      <c r="AE2650" s="238">
        <v>627358.0</v>
      </c>
      <c r="AF2650" s="235" t="s">
        <v>631</v>
      </c>
      <c r="AG2650" s="244"/>
      <c r="AH2650" s="244"/>
      <c r="AI2650" s="245"/>
      <c r="AJ2650" s="245"/>
      <c r="AK2650" s="245"/>
      <c r="AL2650" s="245"/>
      <c r="AM2650" s="244"/>
      <c r="AN2650" s="244"/>
      <c r="AO2650" s="238">
        <v>0.0</v>
      </c>
      <c r="AP2650" s="238">
        <v>-38.1</v>
      </c>
      <c r="AQ2650" s="235" t="s">
        <v>632</v>
      </c>
      <c r="AR2650" s="243">
        <v>3.71E11</v>
      </c>
      <c r="AS2650" s="235" t="s">
        <v>17988</v>
      </c>
      <c r="AT2650" s="235" t="s">
        <v>9</v>
      </c>
      <c r="AU2650" s="235" t="s">
        <v>634</v>
      </c>
      <c r="AV2650" s="246" t="s">
        <v>635</v>
      </c>
      <c r="AW2650" s="242"/>
      <c r="AX2650" s="242"/>
      <c r="AY2650" s="231"/>
      <c r="AZ2650" s="231"/>
      <c r="BA2650" s="227"/>
      <c r="BB2650" s="231"/>
      <c r="BC2650" s="227"/>
      <c r="BD2650" s="227"/>
      <c r="BE2650" s="227"/>
      <c r="BF2650" s="227"/>
    </row>
    <row r="2651">
      <c r="A2651" s="235" t="s">
        <v>20233</v>
      </c>
      <c r="C2651" s="235" t="s">
        <v>20234</v>
      </c>
      <c r="D2651" s="235" t="s">
        <v>20235</v>
      </c>
      <c r="E2651" s="243">
        <v>6.53E13</v>
      </c>
      <c r="F2651" s="245"/>
      <c r="G2651" s="235" t="s">
        <v>20236</v>
      </c>
      <c r="H2651" s="235" t="s">
        <v>20237</v>
      </c>
      <c r="I2651" s="235" t="s">
        <v>20238</v>
      </c>
      <c r="J2651" s="235" t="s">
        <v>20239</v>
      </c>
      <c r="K2651" s="235" t="s">
        <v>20240</v>
      </c>
      <c r="N2651" s="235" t="s">
        <v>42</v>
      </c>
      <c r="O2651" s="235" t="s">
        <v>204</v>
      </c>
      <c r="P2651" s="238">
        <v>1.0</v>
      </c>
      <c r="Q2651" s="235" t="s">
        <v>627</v>
      </c>
      <c r="R2651" s="238">
        <v>270.48</v>
      </c>
      <c r="S2651" s="238">
        <v>13.25</v>
      </c>
      <c r="T2651" s="238">
        <v>0.0</v>
      </c>
      <c r="U2651" s="238">
        <v>0.0</v>
      </c>
      <c r="V2651" s="238">
        <v>0.0</v>
      </c>
      <c r="W2651" s="238">
        <v>0.0</v>
      </c>
      <c r="X2651" s="235" t="s">
        <v>628</v>
      </c>
      <c r="Z2651" s="244"/>
      <c r="AA2651" s="244"/>
      <c r="AB2651" s="244"/>
      <c r="AC2651" s="235" t="s">
        <v>697</v>
      </c>
      <c r="AD2651" s="235" t="s">
        <v>698</v>
      </c>
      <c r="AE2651" s="238">
        <v>500089.0</v>
      </c>
      <c r="AF2651" s="235" t="s">
        <v>631</v>
      </c>
      <c r="AG2651" s="244"/>
      <c r="AH2651" s="244"/>
      <c r="AI2651" s="245"/>
      <c r="AJ2651" s="245"/>
      <c r="AK2651" s="245"/>
      <c r="AL2651" s="245"/>
      <c r="AM2651" s="244"/>
      <c r="AN2651" s="244"/>
      <c r="AO2651" s="238">
        <v>-5.41</v>
      </c>
      <c r="AP2651" s="238">
        <v>0.0</v>
      </c>
      <c r="AQ2651" s="235" t="s">
        <v>632</v>
      </c>
      <c r="AR2651" s="243">
        <v>2.02E11</v>
      </c>
      <c r="AS2651" s="235" t="s">
        <v>19388</v>
      </c>
      <c r="AT2651" s="235" t="s">
        <v>11</v>
      </c>
      <c r="AU2651" s="235" t="s">
        <v>634</v>
      </c>
      <c r="AV2651" s="246" t="s">
        <v>635</v>
      </c>
      <c r="AW2651" s="242"/>
      <c r="AX2651" s="242"/>
      <c r="AY2651" s="231"/>
      <c r="AZ2651" s="231"/>
      <c r="BA2651" s="227"/>
      <c r="BB2651" s="231"/>
      <c r="BC2651" s="227"/>
      <c r="BD2651" s="227"/>
      <c r="BE2651" s="227"/>
      <c r="BF2651" s="227"/>
    </row>
    <row r="2652">
      <c r="A2652" s="235" t="s">
        <v>20241</v>
      </c>
      <c r="C2652" s="235" t="s">
        <v>20242</v>
      </c>
      <c r="D2652" s="235" t="s">
        <v>20243</v>
      </c>
      <c r="E2652" s="243">
        <v>6.53E13</v>
      </c>
      <c r="F2652" s="245"/>
      <c r="G2652" s="235" t="s">
        <v>20244</v>
      </c>
      <c r="H2652" s="235" t="s">
        <v>20245</v>
      </c>
      <c r="I2652" s="235" t="s">
        <v>20245</v>
      </c>
      <c r="J2652" s="235" t="s">
        <v>20246</v>
      </c>
      <c r="K2652" s="235" t="s">
        <v>20247</v>
      </c>
      <c r="N2652" s="235" t="s">
        <v>144</v>
      </c>
      <c r="O2652" s="235" t="s">
        <v>232</v>
      </c>
      <c r="P2652" s="238">
        <v>1.0</v>
      </c>
      <c r="Q2652" s="235" t="s">
        <v>627</v>
      </c>
      <c r="R2652" s="238">
        <v>808.58</v>
      </c>
      <c r="S2652" s="238">
        <v>40.42</v>
      </c>
      <c r="T2652" s="238">
        <v>0.0</v>
      </c>
      <c r="U2652" s="238">
        <v>0.0</v>
      </c>
      <c r="V2652" s="238">
        <v>0.0</v>
      </c>
      <c r="W2652" s="238">
        <v>0.0</v>
      </c>
      <c r="X2652" s="235" t="s">
        <v>628</v>
      </c>
      <c r="Z2652" s="244"/>
      <c r="AA2652" s="244"/>
      <c r="AB2652" s="244"/>
      <c r="AC2652" s="235" t="s">
        <v>1514</v>
      </c>
      <c r="AD2652" s="235" t="s">
        <v>1077</v>
      </c>
      <c r="AE2652" s="238">
        <v>380013.0</v>
      </c>
      <c r="AF2652" s="235" t="s">
        <v>631</v>
      </c>
      <c r="AG2652" s="244"/>
      <c r="AH2652" s="244"/>
      <c r="AI2652" s="245"/>
      <c r="AJ2652" s="245"/>
      <c r="AK2652" s="245"/>
      <c r="AL2652" s="245"/>
      <c r="AM2652" s="244"/>
      <c r="AN2652" s="244"/>
      <c r="AO2652" s="238">
        <v>0.0</v>
      </c>
      <c r="AP2652" s="238">
        <v>0.0</v>
      </c>
      <c r="AQ2652" s="235" t="s">
        <v>632</v>
      </c>
      <c r="AR2652" s="243">
        <v>1.68E11</v>
      </c>
      <c r="AS2652" s="235" t="s">
        <v>19840</v>
      </c>
      <c r="AT2652" s="235" t="s">
        <v>5</v>
      </c>
      <c r="AU2652" s="235" t="s">
        <v>634</v>
      </c>
      <c r="AV2652" s="246" t="s">
        <v>635</v>
      </c>
      <c r="AW2652" s="242"/>
      <c r="AX2652" s="242"/>
      <c r="AY2652" s="231"/>
      <c r="AZ2652" s="231"/>
      <c r="BA2652" s="227"/>
      <c r="BB2652" s="231"/>
      <c r="BC2652" s="227"/>
      <c r="BD2652" s="227"/>
      <c r="BE2652" s="227"/>
      <c r="BF2652" s="227"/>
    </row>
    <row r="2653">
      <c r="A2653" s="235" t="s">
        <v>20248</v>
      </c>
      <c r="C2653" s="235" t="s">
        <v>20249</v>
      </c>
      <c r="D2653" s="235" t="s">
        <v>20250</v>
      </c>
      <c r="E2653" s="243">
        <v>6.53E13</v>
      </c>
      <c r="F2653" s="245"/>
      <c r="G2653" s="235" t="s">
        <v>20251</v>
      </c>
      <c r="H2653" s="235" t="s">
        <v>20252</v>
      </c>
      <c r="I2653" s="235" t="s">
        <v>20252</v>
      </c>
      <c r="J2653" s="235" t="s">
        <v>20253</v>
      </c>
      <c r="K2653" s="235" t="s">
        <v>20254</v>
      </c>
      <c r="N2653" s="235" t="s">
        <v>127</v>
      </c>
      <c r="O2653" s="235" t="s">
        <v>794</v>
      </c>
      <c r="P2653" s="238">
        <v>1.0</v>
      </c>
      <c r="Q2653" s="235" t="s">
        <v>627</v>
      </c>
      <c r="R2653" s="238">
        <v>270.48</v>
      </c>
      <c r="S2653" s="238">
        <v>13.52</v>
      </c>
      <c r="T2653" s="238">
        <v>38.1</v>
      </c>
      <c r="U2653" s="238">
        <v>1.9</v>
      </c>
      <c r="V2653" s="238">
        <v>0.0</v>
      </c>
      <c r="W2653" s="238">
        <v>0.0</v>
      </c>
      <c r="X2653" s="235" t="s">
        <v>628</v>
      </c>
      <c r="Z2653" s="244"/>
      <c r="AA2653" s="244"/>
      <c r="AB2653" s="244"/>
      <c r="AC2653" s="235" t="s">
        <v>6654</v>
      </c>
      <c r="AD2653" s="235" t="s">
        <v>666</v>
      </c>
      <c r="AE2653" s="238">
        <v>627358.0</v>
      </c>
      <c r="AF2653" s="235" t="s">
        <v>631</v>
      </c>
      <c r="AG2653" s="244"/>
      <c r="AH2653" s="244"/>
      <c r="AI2653" s="245"/>
      <c r="AJ2653" s="245"/>
      <c r="AK2653" s="245"/>
      <c r="AL2653" s="245"/>
      <c r="AM2653" s="244"/>
      <c r="AN2653" s="244"/>
      <c r="AO2653" s="238">
        <v>0.0</v>
      </c>
      <c r="AP2653" s="238">
        <v>-38.1</v>
      </c>
      <c r="AQ2653" s="235" t="s">
        <v>632</v>
      </c>
      <c r="AR2653" s="243">
        <v>3.71E11</v>
      </c>
      <c r="AS2653" s="235" t="s">
        <v>17988</v>
      </c>
      <c r="AT2653" s="235" t="s">
        <v>11</v>
      </c>
      <c r="AU2653" s="235" t="s">
        <v>634</v>
      </c>
      <c r="AV2653" s="246" t="s">
        <v>635</v>
      </c>
      <c r="AW2653" s="242"/>
      <c r="AX2653" s="242"/>
      <c r="AY2653" s="231"/>
      <c r="AZ2653" s="231"/>
      <c r="BA2653" s="227"/>
      <c r="BB2653" s="231"/>
      <c r="BC2653" s="227"/>
      <c r="BD2653" s="227"/>
      <c r="BE2653" s="227"/>
      <c r="BF2653" s="227"/>
    </row>
    <row r="2654">
      <c r="A2654" s="235" t="s">
        <v>20255</v>
      </c>
      <c r="C2654" s="235" t="s">
        <v>20256</v>
      </c>
      <c r="D2654" s="235" t="s">
        <v>20257</v>
      </c>
      <c r="E2654" s="243">
        <v>6.53E13</v>
      </c>
      <c r="F2654" s="245"/>
      <c r="G2654" s="235" t="s">
        <v>20258</v>
      </c>
      <c r="H2654" s="235" t="s">
        <v>20259</v>
      </c>
      <c r="I2654" s="235" t="s">
        <v>20259</v>
      </c>
      <c r="J2654" s="235" t="s">
        <v>20260</v>
      </c>
      <c r="K2654" s="235" t="s">
        <v>20261</v>
      </c>
      <c r="N2654" s="235" t="s">
        <v>127</v>
      </c>
      <c r="O2654" s="235" t="s">
        <v>794</v>
      </c>
      <c r="P2654" s="238">
        <v>1.0</v>
      </c>
      <c r="Q2654" s="235" t="s">
        <v>627</v>
      </c>
      <c r="R2654" s="238">
        <v>270.48</v>
      </c>
      <c r="S2654" s="238">
        <v>13.52</v>
      </c>
      <c r="T2654" s="238">
        <v>0.0</v>
      </c>
      <c r="U2654" s="238">
        <v>0.0</v>
      </c>
      <c r="V2654" s="238">
        <v>0.0</v>
      </c>
      <c r="W2654" s="238">
        <v>0.0</v>
      </c>
      <c r="X2654" s="235" t="s">
        <v>628</v>
      </c>
      <c r="Z2654" s="244"/>
      <c r="AA2654" s="244"/>
      <c r="AB2654" s="244"/>
      <c r="AC2654" s="235" t="s">
        <v>697</v>
      </c>
      <c r="AD2654" s="235" t="s">
        <v>698</v>
      </c>
      <c r="AE2654" s="238">
        <v>500004.0</v>
      </c>
      <c r="AF2654" s="235" t="s">
        <v>631</v>
      </c>
      <c r="AG2654" s="244"/>
      <c r="AH2654" s="244"/>
      <c r="AI2654" s="245"/>
      <c r="AJ2654" s="245"/>
      <c r="AK2654" s="245"/>
      <c r="AL2654" s="245"/>
      <c r="AM2654" s="244"/>
      <c r="AN2654" s="244"/>
      <c r="AO2654" s="238">
        <v>0.0</v>
      </c>
      <c r="AP2654" s="238">
        <v>0.0</v>
      </c>
      <c r="AQ2654" s="235" t="s">
        <v>632</v>
      </c>
      <c r="AR2654" s="243">
        <v>2.02E11</v>
      </c>
      <c r="AS2654" s="235" t="s">
        <v>19388</v>
      </c>
      <c r="AT2654" s="235" t="s">
        <v>156</v>
      </c>
      <c r="AU2654" s="235" t="s">
        <v>634</v>
      </c>
      <c r="AV2654" s="246" t="s">
        <v>635</v>
      </c>
      <c r="AW2654" s="242"/>
      <c r="AX2654" s="242"/>
      <c r="AY2654" s="231"/>
      <c r="AZ2654" s="231"/>
      <c r="BA2654" s="227"/>
      <c r="BB2654" s="231"/>
      <c r="BC2654" s="227"/>
      <c r="BD2654" s="227"/>
      <c r="BE2654" s="227"/>
      <c r="BF2654" s="227"/>
    </row>
    <row r="2655">
      <c r="A2655" s="235" t="s">
        <v>20262</v>
      </c>
      <c r="C2655" s="235" t="s">
        <v>20263</v>
      </c>
      <c r="D2655" s="235" t="s">
        <v>20264</v>
      </c>
      <c r="E2655" s="243">
        <v>6.53E13</v>
      </c>
      <c r="F2655" s="245"/>
      <c r="G2655" s="235" t="s">
        <v>20265</v>
      </c>
      <c r="H2655" s="235" t="s">
        <v>20266</v>
      </c>
      <c r="I2655" s="235" t="s">
        <v>20266</v>
      </c>
      <c r="J2655" s="235" t="s">
        <v>20260</v>
      </c>
      <c r="K2655" s="235" t="s">
        <v>20267</v>
      </c>
      <c r="N2655" s="235" t="s">
        <v>127</v>
      </c>
      <c r="O2655" s="235" t="s">
        <v>794</v>
      </c>
      <c r="P2655" s="238">
        <v>1.0</v>
      </c>
      <c r="Q2655" s="235" t="s">
        <v>627</v>
      </c>
      <c r="R2655" s="238">
        <v>270.48</v>
      </c>
      <c r="S2655" s="238">
        <v>13.52</v>
      </c>
      <c r="T2655" s="238">
        <v>0.0</v>
      </c>
      <c r="U2655" s="238">
        <v>0.0</v>
      </c>
      <c r="V2655" s="238">
        <v>0.0</v>
      </c>
      <c r="W2655" s="238">
        <v>0.0</v>
      </c>
      <c r="X2655" s="235" t="s">
        <v>628</v>
      </c>
      <c r="Z2655" s="244"/>
      <c r="AA2655" s="244"/>
      <c r="AB2655" s="244"/>
      <c r="AC2655" s="235" t="s">
        <v>20268</v>
      </c>
      <c r="AD2655" s="235" t="s">
        <v>1151</v>
      </c>
      <c r="AE2655" s="238">
        <v>743136.0</v>
      </c>
      <c r="AF2655" s="235" t="s">
        <v>631</v>
      </c>
      <c r="AG2655" s="244"/>
      <c r="AH2655" s="244"/>
      <c r="AI2655" s="245"/>
      <c r="AJ2655" s="245"/>
      <c r="AK2655" s="245"/>
      <c r="AL2655" s="245"/>
      <c r="AM2655" s="244"/>
      <c r="AN2655" s="244"/>
      <c r="AO2655" s="238">
        <v>0.0</v>
      </c>
      <c r="AP2655" s="238">
        <v>0.0</v>
      </c>
      <c r="AQ2655" s="235" t="s">
        <v>632</v>
      </c>
      <c r="AR2655" s="243">
        <v>2.02E11</v>
      </c>
      <c r="AS2655" s="235" t="s">
        <v>19388</v>
      </c>
      <c r="AT2655" s="235" t="s">
        <v>156</v>
      </c>
      <c r="AU2655" s="235" t="s">
        <v>634</v>
      </c>
      <c r="AV2655" s="246" t="s">
        <v>635</v>
      </c>
      <c r="AW2655" s="242"/>
      <c r="AX2655" s="242"/>
      <c r="AY2655" s="231"/>
      <c r="AZ2655" s="231"/>
      <c r="BA2655" s="227"/>
      <c r="BB2655" s="231"/>
      <c r="BC2655" s="227"/>
      <c r="BD2655" s="227"/>
      <c r="BE2655" s="227"/>
      <c r="BF2655" s="227"/>
    </row>
    <row r="2656">
      <c r="A2656" s="235" t="s">
        <v>20269</v>
      </c>
      <c r="C2656" s="235" t="s">
        <v>20270</v>
      </c>
      <c r="D2656" s="235" t="s">
        <v>20271</v>
      </c>
      <c r="E2656" s="243">
        <v>6.53E13</v>
      </c>
      <c r="F2656" s="245"/>
      <c r="G2656" s="235" t="s">
        <v>20272</v>
      </c>
      <c r="H2656" s="235" t="s">
        <v>20273</v>
      </c>
      <c r="I2656" s="235" t="s">
        <v>20273</v>
      </c>
      <c r="J2656" s="235" t="s">
        <v>20274</v>
      </c>
      <c r="K2656" s="235" t="s">
        <v>20275</v>
      </c>
      <c r="N2656" s="235" t="s">
        <v>126</v>
      </c>
      <c r="O2656" s="235" t="s">
        <v>407</v>
      </c>
      <c r="P2656" s="238">
        <v>1.0</v>
      </c>
      <c r="Q2656" s="235" t="s">
        <v>627</v>
      </c>
      <c r="R2656" s="238">
        <v>270.48</v>
      </c>
      <c r="S2656" s="238">
        <v>13.52</v>
      </c>
      <c r="T2656" s="238">
        <v>0.0</v>
      </c>
      <c r="U2656" s="238">
        <v>0.0</v>
      </c>
      <c r="V2656" s="238">
        <v>0.0</v>
      </c>
      <c r="W2656" s="238">
        <v>0.0</v>
      </c>
      <c r="X2656" s="235" t="s">
        <v>628</v>
      </c>
      <c r="Z2656" s="244"/>
      <c r="AA2656" s="244"/>
      <c r="AB2656" s="244"/>
      <c r="AC2656" s="235" t="s">
        <v>795</v>
      </c>
      <c r="AD2656" s="235" t="s">
        <v>796</v>
      </c>
      <c r="AE2656" s="238">
        <v>110053.0</v>
      </c>
      <c r="AF2656" s="235" t="s">
        <v>631</v>
      </c>
      <c r="AG2656" s="244"/>
      <c r="AH2656" s="244"/>
      <c r="AI2656" s="245"/>
      <c r="AJ2656" s="245"/>
      <c r="AK2656" s="245"/>
      <c r="AL2656" s="245"/>
      <c r="AM2656" s="244"/>
      <c r="AN2656" s="244"/>
      <c r="AO2656" s="238">
        <v>0.0</v>
      </c>
      <c r="AP2656" s="238">
        <v>0.0</v>
      </c>
      <c r="AQ2656" s="235" t="s">
        <v>632</v>
      </c>
      <c r="AR2656" s="243">
        <v>2.02E11</v>
      </c>
      <c r="AS2656" s="235" t="s">
        <v>19388</v>
      </c>
      <c r="AT2656" s="235" t="s">
        <v>11</v>
      </c>
      <c r="AU2656" s="235" t="s">
        <v>634</v>
      </c>
      <c r="AV2656" s="246" t="s">
        <v>635</v>
      </c>
      <c r="AW2656" s="242"/>
      <c r="AX2656" s="242"/>
      <c r="AY2656" s="231"/>
      <c r="AZ2656" s="231"/>
      <c r="BA2656" s="227"/>
      <c r="BB2656" s="231"/>
      <c r="BC2656" s="227"/>
      <c r="BD2656" s="227"/>
      <c r="BE2656" s="227"/>
      <c r="BF2656" s="227"/>
    </row>
    <row r="2657">
      <c r="A2657" s="235" t="s">
        <v>20276</v>
      </c>
      <c r="C2657" s="235" t="s">
        <v>20277</v>
      </c>
      <c r="D2657" s="235" t="s">
        <v>20278</v>
      </c>
      <c r="E2657" s="243">
        <v>6.53E13</v>
      </c>
      <c r="F2657" s="245"/>
      <c r="G2657" s="235" t="s">
        <v>20279</v>
      </c>
      <c r="H2657" s="235" t="s">
        <v>20280</v>
      </c>
      <c r="I2657" s="235" t="s">
        <v>20280</v>
      </c>
      <c r="J2657" s="235" t="s">
        <v>20281</v>
      </c>
      <c r="K2657" s="235" t="s">
        <v>20282</v>
      </c>
      <c r="N2657" s="235" t="s">
        <v>51</v>
      </c>
      <c r="O2657" s="235" t="s">
        <v>273</v>
      </c>
      <c r="P2657" s="238">
        <v>1.0</v>
      </c>
      <c r="Q2657" s="235" t="s">
        <v>627</v>
      </c>
      <c r="R2657" s="238">
        <v>233.33</v>
      </c>
      <c r="S2657" s="238">
        <v>11.67</v>
      </c>
      <c r="T2657" s="238">
        <v>38.1</v>
      </c>
      <c r="U2657" s="238">
        <v>1.9</v>
      </c>
      <c r="V2657" s="238">
        <v>0.0</v>
      </c>
      <c r="W2657" s="238">
        <v>0.0</v>
      </c>
      <c r="X2657" s="235" t="s">
        <v>628</v>
      </c>
      <c r="Z2657" s="244"/>
      <c r="AA2657" s="244"/>
      <c r="AB2657" s="244"/>
      <c r="AC2657" s="235" t="s">
        <v>697</v>
      </c>
      <c r="AD2657" s="235" t="s">
        <v>698</v>
      </c>
      <c r="AE2657" s="238">
        <v>502032.0</v>
      </c>
      <c r="AF2657" s="235" t="s">
        <v>631</v>
      </c>
      <c r="AG2657" s="244"/>
      <c r="AH2657" s="244"/>
      <c r="AI2657" s="245"/>
      <c r="AJ2657" s="245"/>
      <c r="AK2657" s="245"/>
      <c r="AL2657" s="245"/>
      <c r="AM2657" s="244"/>
      <c r="AN2657" s="244"/>
      <c r="AO2657" s="238">
        <v>0.0</v>
      </c>
      <c r="AP2657" s="238">
        <v>-38.1</v>
      </c>
      <c r="AQ2657" s="235" t="s">
        <v>632</v>
      </c>
      <c r="AR2657" s="243">
        <v>3.71E11</v>
      </c>
      <c r="AS2657" s="235" t="s">
        <v>16626</v>
      </c>
      <c r="AT2657" s="235" t="s">
        <v>17</v>
      </c>
      <c r="AU2657" s="235" t="s">
        <v>634</v>
      </c>
      <c r="AV2657" s="246" t="s">
        <v>635</v>
      </c>
      <c r="AW2657" s="242"/>
      <c r="AX2657" s="242"/>
      <c r="AY2657" s="231"/>
      <c r="AZ2657" s="231"/>
      <c r="BA2657" s="227"/>
      <c r="BB2657" s="231"/>
      <c r="BC2657" s="227"/>
      <c r="BD2657" s="227"/>
      <c r="BE2657" s="227"/>
      <c r="BF2657" s="227"/>
    </row>
    <row r="2658">
      <c r="A2658" s="235" t="s">
        <v>20283</v>
      </c>
      <c r="C2658" s="235" t="s">
        <v>20284</v>
      </c>
      <c r="D2658" s="235" t="s">
        <v>20285</v>
      </c>
      <c r="E2658" s="243">
        <v>6.53E13</v>
      </c>
      <c r="F2658" s="245"/>
      <c r="G2658" s="235" t="s">
        <v>20286</v>
      </c>
      <c r="H2658" s="235" t="s">
        <v>20287</v>
      </c>
      <c r="I2658" s="235" t="s">
        <v>20287</v>
      </c>
      <c r="J2658" s="235" t="s">
        <v>20288</v>
      </c>
      <c r="K2658" s="235" t="s">
        <v>20289</v>
      </c>
      <c r="N2658" s="235" t="s">
        <v>54</v>
      </c>
      <c r="O2658" s="235" t="s">
        <v>294</v>
      </c>
      <c r="P2658" s="238">
        <v>1.0</v>
      </c>
      <c r="Q2658" s="235" t="s">
        <v>627</v>
      </c>
      <c r="R2658" s="238">
        <v>261.9</v>
      </c>
      <c r="S2658" s="238">
        <v>12.84</v>
      </c>
      <c r="T2658" s="238">
        <v>0.0</v>
      </c>
      <c r="U2658" s="238">
        <v>0.0</v>
      </c>
      <c r="V2658" s="238">
        <v>0.0</v>
      </c>
      <c r="W2658" s="238">
        <v>0.0</v>
      </c>
      <c r="X2658" s="235" t="s">
        <v>628</v>
      </c>
      <c r="Z2658" s="244"/>
      <c r="AA2658" s="244"/>
      <c r="AB2658" s="244"/>
      <c r="AC2658" s="235" t="s">
        <v>1058</v>
      </c>
      <c r="AD2658" s="235" t="s">
        <v>845</v>
      </c>
      <c r="AE2658" s="238">
        <v>400012.0</v>
      </c>
      <c r="AF2658" s="235" t="s">
        <v>631</v>
      </c>
      <c r="AG2658" s="244"/>
      <c r="AH2658" s="244"/>
      <c r="AI2658" s="245"/>
      <c r="AJ2658" s="245"/>
      <c r="AK2658" s="245"/>
      <c r="AL2658" s="245"/>
      <c r="AM2658" s="244"/>
      <c r="AN2658" s="244"/>
      <c r="AO2658" s="238">
        <v>-5.24</v>
      </c>
      <c r="AP2658" s="238">
        <v>0.0</v>
      </c>
      <c r="AQ2658" s="235" t="s">
        <v>632</v>
      </c>
      <c r="AR2658" s="243">
        <v>1.68E11</v>
      </c>
      <c r="AS2658" s="235" t="s">
        <v>19840</v>
      </c>
      <c r="AT2658" s="235" t="s">
        <v>17</v>
      </c>
      <c r="AU2658" s="235" t="s">
        <v>634</v>
      </c>
      <c r="AV2658" s="246" t="s">
        <v>635</v>
      </c>
      <c r="AW2658" s="242"/>
      <c r="AX2658" s="242"/>
      <c r="AY2658" s="231"/>
      <c r="AZ2658" s="231"/>
      <c r="BA2658" s="227"/>
      <c r="BB2658" s="231"/>
      <c r="BC2658" s="227"/>
      <c r="BD2658" s="227"/>
      <c r="BE2658" s="227"/>
      <c r="BF2658" s="227"/>
    </row>
    <row r="2659">
      <c r="A2659" s="235" t="s">
        <v>20290</v>
      </c>
      <c r="C2659" s="235" t="s">
        <v>20291</v>
      </c>
      <c r="D2659" s="235" t="s">
        <v>20292</v>
      </c>
      <c r="E2659" s="243">
        <v>6.52E13</v>
      </c>
      <c r="F2659" s="245"/>
      <c r="G2659" s="235" t="s">
        <v>20293</v>
      </c>
      <c r="H2659" s="235" t="s">
        <v>20294</v>
      </c>
      <c r="I2659" s="235" t="s">
        <v>20294</v>
      </c>
      <c r="J2659" s="235" t="s">
        <v>20295</v>
      </c>
      <c r="K2659" s="235" t="s">
        <v>20296</v>
      </c>
      <c r="N2659" s="235" t="s">
        <v>127</v>
      </c>
      <c r="O2659" s="235" t="s">
        <v>794</v>
      </c>
      <c r="P2659" s="238">
        <v>1.0</v>
      </c>
      <c r="Q2659" s="235" t="s">
        <v>627</v>
      </c>
      <c r="R2659" s="238">
        <v>243.81</v>
      </c>
      <c r="S2659" s="238">
        <v>12.19</v>
      </c>
      <c r="T2659" s="238">
        <v>38.1</v>
      </c>
      <c r="U2659" s="238">
        <v>1.9</v>
      </c>
      <c r="V2659" s="238">
        <v>0.0</v>
      </c>
      <c r="W2659" s="238">
        <v>0.0</v>
      </c>
      <c r="X2659" s="235" t="s">
        <v>628</v>
      </c>
      <c r="Z2659" s="244"/>
      <c r="AA2659" s="244"/>
      <c r="AB2659" s="244"/>
      <c r="AC2659" s="235" t="s">
        <v>937</v>
      </c>
      <c r="AD2659" s="235" t="s">
        <v>709</v>
      </c>
      <c r="AE2659" s="238">
        <v>801503.0</v>
      </c>
      <c r="AF2659" s="235" t="s">
        <v>631</v>
      </c>
      <c r="AG2659" s="244"/>
      <c r="AH2659" s="244"/>
      <c r="AI2659" s="245"/>
      <c r="AJ2659" s="245"/>
      <c r="AK2659" s="245"/>
      <c r="AL2659" s="245"/>
      <c r="AM2659" s="244"/>
      <c r="AN2659" s="244"/>
      <c r="AO2659" s="238">
        <v>0.0</v>
      </c>
      <c r="AP2659" s="238">
        <v>-38.1</v>
      </c>
      <c r="AQ2659" s="235" t="s">
        <v>632</v>
      </c>
      <c r="AR2659" s="243">
        <v>1.68E11</v>
      </c>
      <c r="AS2659" s="235" t="s">
        <v>17988</v>
      </c>
      <c r="AT2659" s="235" t="s">
        <v>13</v>
      </c>
      <c r="AU2659" s="235" t="s">
        <v>634</v>
      </c>
      <c r="AV2659" s="246" t="s">
        <v>635</v>
      </c>
      <c r="AW2659" s="242"/>
      <c r="AX2659" s="242"/>
      <c r="AY2659" s="231"/>
      <c r="AZ2659" s="231"/>
      <c r="BA2659" s="227"/>
      <c r="BB2659" s="231"/>
      <c r="BC2659" s="227"/>
      <c r="BD2659" s="227"/>
      <c r="BE2659" s="227"/>
      <c r="BF2659" s="227"/>
    </row>
    <row r="2660">
      <c r="A2660" s="235" t="s">
        <v>20297</v>
      </c>
      <c r="C2660" s="235" t="s">
        <v>20298</v>
      </c>
      <c r="D2660" s="235" t="s">
        <v>20299</v>
      </c>
      <c r="E2660" s="243">
        <v>6.53E13</v>
      </c>
      <c r="F2660" s="245"/>
      <c r="G2660" s="235" t="s">
        <v>20300</v>
      </c>
      <c r="H2660" s="235" t="s">
        <v>20301</v>
      </c>
      <c r="I2660" s="235" t="s">
        <v>20301</v>
      </c>
      <c r="J2660" s="235" t="s">
        <v>20302</v>
      </c>
      <c r="K2660" s="235" t="s">
        <v>20303</v>
      </c>
      <c r="N2660" s="235" t="s">
        <v>130</v>
      </c>
      <c r="O2660" s="235" t="s">
        <v>707</v>
      </c>
      <c r="P2660" s="238">
        <v>1.0</v>
      </c>
      <c r="Q2660" s="235" t="s">
        <v>627</v>
      </c>
      <c r="R2660" s="238">
        <v>246.67</v>
      </c>
      <c r="S2660" s="238">
        <v>12.33</v>
      </c>
      <c r="T2660" s="238">
        <v>38.1</v>
      </c>
      <c r="U2660" s="238">
        <v>1.9</v>
      </c>
      <c r="V2660" s="238">
        <v>0.0</v>
      </c>
      <c r="W2660" s="238">
        <v>0.0</v>
      </c>
      <c r="X2660" s="235" t="s">
        <v>628</v>
      </c>
      <c r="Z2660" s="244"/>
      <c r="AA2660" s="244"/>
      <c r="AB2660" s="244"/>
      <c r="AC2660" s="235" t="s">
        <v>1809</v>
      </c>
      <c r="AD2660" s="235" t="s">
        <v>698</v>
      </c>
      <c r="AE2660" s="238">
        <v>507124.0</v>
      </c>
      <c r="AF2660" s="235" t="s">
        <v>631</v>
      </c>
      <c r="AG2660" s="244"/>
      <c r="AH2660" s="244"/>
      <c r="AI2660" s="245"/>
      <c r="AJ2660" s="245"/>
      <c r="AK2660" s="245"/>
      <c r="AL2660" s="245"/>
      <c r="AM2660" s="244"/>
      <c r="AN2660" s="244"/>
      <c r="AO2660" s="238">
        <v>0.0</v>
      </c>
      <c r="AP2660" s="238">
        <v>-38.1</v>
      </c>
      <c r="AQ2660" s="235" t="s">
        <v>632</v>
      </c>
      <c r="AR2660" s="243">
        <v>3.71E11</v>
      </c>
      <c r="AS2660" s="235" t="s">
        <v>15064</v>
      </c>
      <c r="AT2660" s="235" t="s">
        <v>16</v>
      </c>
      <c r="AU2660" s="235" t="s">
        <v>634</v>
      </c>
      <c r="AV2660" s="246" t="s">
        <v>635</v>
      </c>
      <c r="AW2660" s="242"/>
      <c r="AX2660" s="242"/>
      <c r="AY2660" s="231"/>
      <c r="AZ2660" s="231"/>
      <c r="BA2660" s="227"/>
      <c r="BB2660" s="231"/>
      <c r="BC2660" s="227"/>
      <c r="BD2660" s="227"/>
      <c r="BE2660" s="227"/>
      <c r="BF2660" s="227"/>
    </row>
    <row r="2661">
      <c r="A2661" s="235" t="s">
        <v>20304</v>
      </c>
      <c r="C2661" s="235" t="s">
        <v>20305</v>
      </c>
      <c r="D2661" s="235" t="s">
        <v>20306</v>
      </c>
      <c r="E2661" s="243">
        <v>6.53E13</v>
      </c>
      <c r="F2661" s="245"/>
      <c r="G2661" s="235" t="s">
        <v>20307</v>
      </c>
      <c r="H2661" s="235" t="s">
        <v>20308</v>
      </c>
      <c r="I2661" s="235" t="s">
        <v>20308</v>
      </c>
      <c r="J2661" s="235" t="s">
        <v>20309</v>
      </c>
      <c r="K2661" s="235" t="s">
        <v>20310</v>
      </c>
      <c r="N2661" s="235" t="s">
        <v>1346</v>
      </c>
      <c r="O2661" s="235" t="s">
        <v>1347</v>
      </c>
      <c r="P2661" s="238">
        <v>1.0</v>
      </c>
      <c r="Q2661" s="235" t="s">
        <v>627</v>
      </c>
      <c r="R2661" s="238">
        <v>256.2</v>
      </c>
      <c r="S2661" s="238">
        <v>12.54</v>
      </c>
      <c r="T2661" s="238">
        <v>0.0</v>
      </c>
      <c r="U2661" s="238">
        <v>0.0</v>
      </c>
      <c r="V2661" s="238">
        <v>0.0</v>
      </c>
      <c r="W2661" s="238">
        <v>0.0</v>
      </c>
      <c r="X2661" s="235" t="s">
        <v>628</v>
      </c>
      <c r="Z2661" s="244"/>
      <c r="AA2661" s="244"/>
      <c r="AB2661" s="244"/>
      <c r="AC2661" s="235" t="s">
        <v>1887</v>
      </c>
      <c r="AD2661" s="235" t="s">
        <v>679</v>
      </c>
      <c r="AE2661" s="238">
        <v>560087.0</v>
      </c>
      <c r="AF2661" s="235" t="s">
        <v>631</v>
      </c>
      <c r="AG2661" s="244"/>
      <c r="AH2661" s="244"/>
      <c r="AI2661" s="245"/>
      <c r="AJ2661" s="245"/>
      <c r="AK2661" s="245"/>
      <c r="AL2661" s="245"/>
      <c r="AM2661" s="244"/>
      <c r="AN2661" s="244"/>
      <c r="AO2661" s="238">
        <v>-5.12</v>
      </c>
      <c r="AP2661" s="238">
        <v>0.0</v>
      </c>
      <c r="AQ2661" s="235" t="s">
        <v>632</v>
      </c>
      <c r="AR2661" s="243">
        <v>1.68E11</v>
      </c>
      <c r="AS2661" s="235" t="s">
        <v>19840</v>
      </c>
      <c r="AT2661" s="235" t="s">
        <v>9</v>
      </c>
      <c r="AU2661" s="235" t="s">
        <v>634</v>
      </c>
      <c r="AV2661" s="246" t="s">
        <v>635</v>
      </c>
      <c r="AW2661" s="242"/>
      <c r="AX2661" s="242"/>
      <c r="AY2661" s="231"/>
      <c r="AZ2661" s="231"/>
      <c r="BA2661" s="227"/>
      <c r="BB2661" s="231"/>
      <c r="BC2661" s="227"/>
      <c r="BD2661" s="227"/>
      <c r="BE2661" s="227"/>
      <c r="BF2661" s="227"/>
    </row>
    <row r="2662">
      <c r="A2662" s="235" t="s">
        <v>20311</v>
      </c>
      <c r="C2662" s="235" t="s">
        <v>20312</v>
      </c>
      <c r="D2662" s="235" t="s">
        <v>20313</v>
      </c>
      <c r="E2662" s="243">
        <v>6.53E13</v>
      </c>
      <c r="F2662" s="245"/>
      <c r="G2662" s="235" t="s">
        <v>20314</v>
      </c>
      <c r="H2662" s="235" t="s">
        <v>20315</v>
      </c>
      <c r="I2662" s="235" t="s">
        <v>20315</v>
      </c>
      <c r="J2662" s="235" t="s">
        <v>20316</v>
      </c>
      <c r="K2662" s="235" t="s">
        <v>20317</v>
      </c>
      <c r="N2662" s="235" t="s">
        <v>127</v>
      </c>
      <c r="O2662" s="235" t="s">
        <v>794</v>
      </c>
      <c r="P2662" s="238">
        <v>1.0</v>
      </c>
      <c r="Q2662" s="235" t="s">
        <v>627</v>
      </c>
      <c r="R2662" s="238">
        <v>270.48</v>
      </c>
      <c r="S2662" s="238">
        <v>13.25</v>
      </c>
      <c r="T2662" s="238">
        <v>0.0</v>
      </c>
      <c r="U2662" s="238">
        <v>0.0</v>
      </c>
      <c r="V2662" s="238">
        <v>0.0</v>
      </c>
      <c r="W2662" s="238">
        <v>0.0</v>
      </c>
      <c r="X2662" s="235" t="s">
        <v>628</v>
      </c>
      <c r="Z2662" s="244"/>
      <c r="AA2662" s="244"/>
      <c r="AB2662" s="244"/>
      <c r="AC2662" s="235" t="s">
        <v>795</v>
      </c>
      <c r="AD2662" s="235" t="s">
        <v>796</v>
      </c>
      <c r="AE2662" s="238">
        <v>110078.0</v>
      </c>
      <c r="AF2662" s="235" t="s">
        <v>631</v>
      </c>
      <c r="AG2662" s="244"/>
      <c r="AH2662" s="244"/>
      <c r="AI2662" s="245"/>
      <c r="AJ2662" s="245"/>
      <c r="AK2662" s="245"/>
      <c r="AL2662" s="245"/>
      <c r="AM2662" s="244"/>
      <c r="AN2662" s="244"/>
      <c r="AO2662" s="238">
        <v>-5.41</v>
      </c>
      <c r="AP2662" s="238">
        <v>0.0</v>
      </c>
      <c r="AQ2662" s="235" t="s">
        <v>632</v>
      </c>
      <c r="AR2662" s="243">
        <v>1.68E11</v>
      </c>
      <c r="AS2662" s="235" t="s">
        <v>19840</v>
      </c>
      <c r="AT2662" s="235" t="s">
        <v>533</v>
      </c>
      <c r="AU2662" s="235" t="s">
        <v>634</v>
      </c>
      <c r="AV2662" s="246" t="s">
        <v>635</v>
      </c>
      <c r="AW2662" s="242"/>
      <c r="AX2662" s="242"/>
      <c r="AY2662" s="231"/>
      <c r="AZ2662" s="231"/>
      <c r="BA2662" s="227"/>
      <c r="BB2662" s="231"/>
      <c r="BC2662" s="227"/>
      <c r="BD2662" s="227"/>
      <c r="BE2662" s="227"/>
      <c r="BF2662" s="227"/>
    </row>
    <row r="2663">
      <c r="A2663" s="235" t="s">
        <v>20318</v>
      </c>
      <c r="C2663" s="235" t="s">
        <v>20319</v>
      </c>
      <c r="D2663" s="235" t="s">
        <v>20320</v>
      </c>
      <c r="E2663" s="243">
        <v>6.53E13</v>
      </c>
      <c r="F2663" s="245"/>
      <c r="G2663" s="235" t="s">
        <v>20321</v>
      </c>
      <c r="H2663" s="235" t="s">
        <v>20322</v>
      </c>
      <c r="I2663" s="235" t="s">
        <v>20322</v>
      </c>
      <c r="J2663" s="235" t="s">
        <v>20323</v>
      </c>
      <c r="K2663" s="235" t="s">
        <v>20324</v>
      </c>
      <c r="N2663" s="235" t="s">
        <v>92</v>
      </c>
      <c r="O2663" s="235" t="s">
        <v>248</v>
      </c>
      <c r="P2663" s="238">
        <v>1.0</v>
      </c>
      <c r="Q2663" s="235" t="s">
        <v>627</v>
      </c>
      <c r="R2663" s="238">
        <v>270.48</v>
      </c>
      <c r="S2663" s="238">
        <v>13.25</v>
      </c>
      <c r="T2663" s="238">
        <v>0.0</v>
      </c>
      <c r="U2663" s="238">
        <v>0.0</v>
      </c>
      <c r="V2663" s="238">
        <v>0.0</v>
      </c>
      <c r="W2663" s="238">
        <v>0.0</v>
      </c>
      <c r="X2663" s="235" t="s">
        <v>628</v>
      </c>
      <c r="Z2663" s="244"/>
      <c r="AA2663" s="244"/>
      <c r="AB2663" s="244"/>
      <c r="AC2663" s="235" t="s">
        <v>1279</v>
      </c>
      <c r="AD2663" s="235" t="s">
        <v>917</v>
      </c>
      <c r="AE2663" s="238">
        <v>302019.0</v>
      </c>
      <c r="AF2663" s="235" t="s">
        <v>631</v>
      </c>
      <c r="AG2663" s="244"/>
      <c r="AH2663" s="244"/>
      <c r="AI2663" s="245"/>
      <c r="AJ2663" s="245"/>
      <c r="AK2663" s="245"/>
      <c r="AL2663" s="245"/>
      <c r="AM2663" s="244"/>
      <c r="AN2663" s="244"/>
      <c r="AO2663" s="238">
        <v>-5.41</v>
      </c>
      <c r="AP2663" s="238">
        <v>0.0</v>
      </c>
      <c r="AQ2663" s="235" t="s">
        <v>632</v>
      </c>
      <c r="AR2663" s="243">
        <v>1.68E11</v>
      </c>
      <c r="AS2663" s="235" t="s">
        <v>19388</v>
      </c>
      <c r="AT2663" s="235" t="s">
        <v>533</v>
      </c>
      <c r="AU2663" s="235" t="s">
        <v>634</v>
      </c>
      <c r="AV2663" s="246" t="s">
        <v>635</v>
      </c>
      <c r="AW2663" s="242"/>
      <c r="AX2663" s="242"/>
      <c r="AY2663" s="231"/>
      <c r="AZ2663" s="231"/>
      <c r="BA2663" s="227"/>
      <c r="BB2663" s="231"/>
      <c r="BC2663" s="227"/>
      <c r="BD2663" s="227"/>
      <c r="BE2663" s="227"/>
      <c r="BF2663" s="227"/>
    </row>
    <row r="2664">
      <c r="A2664" s="235" t="s">
        <v>20325</v>
      </c>
      <c r="C2664" s="235" t="s">
        <v>20326</v>
      </c>
      <c r="D2664" s="235" t="s">
        <v>20327</v>
      </c>
      <c r="E2664" s="243">
        <v>6.53E13</v>
      </c>
      <c r="F2664" s="245"/>
      <c r="G2664" s="235" t="s">
        <v>20328</v>
      </c>
      <c r="H2664" s="235" t="s">
        <v>20329</v>
      </c>
      <c r="I2664" s="235" t="s">
        <v>20329</v>
      </c>
      <c r="J2664" s="235" t="s">
        <v>20330</v>
      </c>
      <c r="K2664" s="235" t="s">
        <v>20331</v>
      </c>
      <c r="N2664" s="235" t="s">
        <v>82</v>
      </c>
      <c r="O2664" s="235" t="s">
        <v>889</v>
      </c>
      <c r="P2664" s="238">
        <v>1.0</v>
      </c>
      <c r="Q2664" s="235" t="s">
        <v>627</v>
      </c>
      <c r="R2664" s="238">
        <v>270.48</v>
      </c>
      <c r="S2664" s="238">
        <v>13.52</v>
      </c>
      <c r="T2664" s="238">
        <v>0.0</v>
      </c>
      <c r="U2664" s="238">
        <v>0.0</v>
      </c>
      <c r="V2664" s="238">
        <v>0.0</v>
      </c>
      <c r="W2664" s="238">
        <v>0.0</v>
      </c>
      <c r="X2664" s="235" t="s">
        <v>628</v>
      </c>
      <c r="Z2664" s="244"/>
      <c r="AA2664" s="244"/>
      <c r="AB2664" s="244"/>
      <c r="AC2664" s="235" t="s">
        <v>678</v>
      </c>
      <c r="AD2664" s="235" t="s">
        <v>679</v>
      </c>
      <c r="AE2664" s="238">
        <v>560076.0</v>
      </c>
      <c r="AF2664" s="235" t="s">
        <v>631</v>
      </c>
      <c r="AG2664" s="244"/>
      <c r="AH2664" s="244"/>
      <c r="AI2664" s="245"/>
      <c r="AJ2664" s="245"/>
      <c r="AK2664" s="245"/>
      <c r="AL2664" s="245"/>
      <c r="AM2664" s="244"/>
      <c r="AN2664" s="244"/>
      <c r="AO2664" s="238">
        <v>0.0</v>
      </c>
      <c r="AP2664" s="238">
        <v>0.0</v>
      </c>
      <c r="AQ2664" s="235" t="s">
        <v>632</v>
      </c>
      <c r="AR2664" s="243">
        <v>1.68E11</v>
      </c>
      <c r="AS2664" s="235" t="s">
        <v>19840</v>
      </c>
      <c r="AT2664" s="235" t="s">
        <v>11</v>
      </c>
      <c r="AU2664" s="235" t="s">
        <v>634</v>
      </c>
      <c r="AV2664" s="246" t="s">
        <v>635</v>
      </c>
      <c r="AW2664" s="242"/>
      <c r="AX2664" s="242"/>
      <c r="AY2664" s="231"/>
      <c r="AZ2664" s="231"/>
      <c r="BA2664" s="227"/>
      <c r="BB2664" s="231"/>
      <c r="BC2664" s="227"/>
      <c r="BD2664" s="227"/>
      <c r="BE2664" s="227"/>
      <c r="BF2664" s="227"/>
    </row>
    <row r="2665">
      <c r="A2665" s="235" t="s">
        <v>20332</v>
      </c>
      <c r="C2665" s="235" t="s">
        <v>20333</v>
      </c>
      <c r="D2665" s="235" t="s">
        <v>20334</v>
      </c>
      <c r="E2665" s="243">
        <v>6.53E13</v>
      </c>
      <c r="F2665" s="245"/>
      <c r="G2665" s="235" t="s">
        <v>20335</v>
      </c>
      <c r="H2665" s="235" t="s">
        <v>20336</v>
      </c>
      <c r="I2665" s="235" t="s">
        <v>20336</v>
      </c>
      <c r="J2665" s="235" t="s">
        <v>20337</v>
      </c>
      <c r="K2665" s="235" t="s">
        <v>20338</v>
      </c>
      <c r="N2665" s="235" t="s">
        <v>127</v>
      </c>
      <c r="O2665" s="235" t="s">
        <v>794</v>
      </c>
      <c r="P2665" s="238">
        <v>1.0</v>
      </c>
      <c r="Q2665" s="235" t="s">
        <v>627</v>
      </c>
      <c r="R2665" s="238">
        <v>270.48</v>
      </c>
      <c r="S2665" s="238">
        <v>13.52</v>
      </c>
      <c r="T2665" s="238">
        <v>0.0</v>
      </c>
      <c r="U2665" s="238">
        <v>0.0</v>
      </c>
      <c r="V2665" s="238">
        <v>0.0</v>
      </c>
      <c r="W2665" s="238">
        <v>0.0</v>
      </c>
      <c r="X2665" s="235" t="s">
        <v>628</v>
      </c>
      <c r="Z2665" s="244"/>
      <c r="AA2665" s="244"/>
      <c r="AB2665" s="244"/>
      <c r="AC2665" s="235" t="s">
        <v>795</v>
      </c>
      <c r="AD2665" s="235" t="s">
        <v>796</v>
      </c>
      <c r="AE2665" s="238">
        <v>110070.0</v>
      </c>
      <c r="AF2665" s="235" t="s">
        <v>631</v>
      </c>
      <c r="AG2665" s="244"/>
      <c r="AH2665" s="244"/>
      <c r="AI2665" s="245"/>
      <c r="AJ2665" s="245"/>
      <c r="AK2665" s="245"/>
      <c r="AL2665" s="245"/>
      <c r="AM2665" s="244"/>
      <c r="AN2665" s="244"/>
      <c r="AO2665" s="238">
        <v>0.0</v>
      </c>
      <c r="AP2665" s="238">
        <v>0.0</v>
      </c>
      <c r="AQ2665" s="235" t="s">
        <v>632</v>
      </c>
      <c r="AR2665" s="243">
        <v>1.68E11</v>
      </c>
      <c r="AS2665" s="235" t="s">
        <v>19840</v>
      </c>
      <c r="AT2665" s="235" t="s">
        <v>533</v>
      </c>
      <c r="AU2665" s="235" t="s">
        <v>634</v>
      </c>
      <c r="AV2665" s="246" t="s">
        <v>635</v>
      </c>
      <c r="AW2665" s="242"/>
      <c r="AX2665" s="242"/>
      <c r="AY2665" s="231"/>
      <c r="AZ2665" s="231"/>
      <c r="BA2665" s="227"/>
      <c r="BB2665" s="231"/>
      <c r="BC2665" s="227"/>
      <c r="BD2665" s="227"/>
      <c r="BE2665" s="227"/>
      <c r="BF2665" s="227"/>
    </row>
    <row r="2666">
      <c r="A2666" s="235" t="s">
        <v>20339</v>
      </c>
      <c r="C2666" s="235" t="s">
        <v>20340</v>
      </c>
      <c r="D2666" s="235" t="s">
        <v>20341</v>
      </c>
      <c r="E2666" s="243">
        <v>6.53E13</v>
      </c>
      <c r="F2666" s="245"/>
      <c r="G2666" s="235" t="s">
        <v>20342</v>
      </c>
      <c r="H2666" s="235" t="s">
        <v>20343</v>
      </c>
      <c r="I2666" s="235" t="s">
        <v>20343</v>
      </c>
      <c r="J2666" s="235" t="s">
        <v>20344</v>
      </c>
      <c r="K2666" s="235" t="s">
        <v>20345</v>
      </c>
      <c r="N2666" s="235" t="s">
        <v>154</v>
      </c>
      <c r="O2666" s="235" t="s">
        <v>766</v>
      </c>
      <c r="P2666" s="238">
        <v>1.0</v>
      </c>
      <c r="Q2666" s="235" t="s">
        <v>627</v>
      </c>
      <c r="R2666" s="238">
        <v>500.96</v>
      </c>
      <c r="S2666" s="238">
        <v>24.54</v>
      </c>
      <c r="T2666" s="238">
        <v>0.0</v>
      </c>
      <c r="U2666" s="238">
        <v>0.0</v>
      </c>
      <c r="V2666" s="238">
        <v>0.0</v>
      </c>
      <c r="W2666" s="238">
        <v>0.0</v>
      </c>
      <c r="X2666" s="235" t="s">
        <v>628</v>
      </c>
      <c r="Z2666" s="244"/>
      <c r="AA2666" s="244"/>
      <c r="AB2666" s="244"/>
      <c r="AC2666" s="235" t="s">
        <v>678</v>
      </c>
      <c r="AD2666" s="235" t="s">
        <v>679</v>
      </c>
      <c r="AE2666" s="238">
        <v>560035.0</v>
      </c>
      <c r="AF2666" s="235" t="s">
        <v>631</v>
      </c>
      <c r="AG2666" s="244"/>
      <c r="AH2666" s="244"/>
      <c r="AI2666" s="245"/>
      <c r="AJ2666" s="245"/>
      <c r="AK2666" s="245"/>
      <c r="AL2666" s="245"/>
      <c r="AM2666" s="244"/>
      <c r="AN2666" s="244"/>
      <c r="AO2666" s="238">
        <v>-10.02</v>
      </c>
      <c r="AP2666" s="238">
        <v>0.0</v>
      </c>
      <c r="AQ2666" s="235" t="s">
        <v>632</v>
      </c>
      <c r="AR2666" s="243">
        <v>1.68E11</v>
      </c>
      <c r="AS2666" s="235" t="s">
        <v>19840</v>
      </c>
      <c r="AT2666" s="235" t="s">
        <v>11</v>
      </c>
      <c r="AU2666" s="235" t="s">
        <v>634</v>
      </c>
      <c r="AV2666" s="246" t="s">
        <v>635</v>
      </c>
      <c r="AW2666" s="242"/>
      <c r="AX2666" s="242"/>
      <c r="AY2666" s="231"/>
      <c r="AZ2666" s="231"/>
      <c r="BA2666" s="227"/>
      <c r="BB2666" s="231"/>
      <c r="BC2666" s="227"/>
      <c r="BD2666" s="227"/>
      <c r="BE2666" s="227"/>
      <c r="BF2666" s="227"/>
    </row>
    <row r="2667">
      <c r="A2667" s="235" t="s">
        <v>20346</v>
      </c>
      <c r="C2667" s="235" t="s">
        <v>20347</v>
      </c>
      <c r="D2667" s="235" t="s">
        <v>20348</v>
      </c>
      <c r="E2667" s="243">
        <v>6.53E13</v>
      </c>
      <c r="F2667" s="245"/>
      <c r="G2667" s="235" t="s">
        <v>20349</v>
      </c>
      <c r="H2667" s="235" t="s">
        <v>20350</v>
      </c>
      <c r="I2667" s="235" t="s">
        <v>20350</v>
      </c>
      <c r="J2667" s="235" t="s">
        <v>20351</v>
      </c>
      <c r="K2667" s="235" t="s">
        <v>20352</v>
      </c>
      <c r="N2667" s="235" t="s">
        <v>1346</v>
      </c>
      <c r="O2667" s="235" t="s">
        <v>1347</v>
      </c>
      <c r="P2667" s="238">
        <v>1.0</v>
      </c>
      <c r="Q2667" s="235" t="s">
        <v>627</v>
      </c>
      <c r="R2667" s="238">
        <v>256.2</v>
      </c>
      <c r="S2667" s="238">
        <v>12.8</v>
      </c>
      <c r="T2667" s="238">
        <v>0.0</v>
      </c>
      <c r="U2667" s="238">
        <v>0.0</v>
      </c>
      <c r="V2667" s="238">
        <v>0.0</v>
      </c>
      <c r="W2667" s="238">
        <v>0.0</v>
      </c>
      <c r="X2667" s="235" t="s">
        <v>628</v>
      </c>
      <c r="Z2667" s="244"/>
      <c r="AA2667" s="244"/>
      <c r="AB2667" s="244"/>
      <c r="AC2667" s="235" t="s">
        <v>678</v>
      </c>
      <c r="AD2667" s="235" t="s">
        <v>679</v>
      </c>
      <c r="AE2667" s="238">
        <v>560036.0</v>
      </c>
      <c r="AF2667" s="235" t="s">
        <v>631</v>
      </c>
      <c r="AG2667" s="244"/>
      <c r="AH2667" s="244"/>
      <c r="AI2667" s="245"/>
      <c r="AJ2667" s="245"/>
      <c r="AK2667" s="245"/>
      <c r="AL2667" s="245"/>
      <c r="AM2667" s="244"/>
      <c r="AN2667" s="244"/>
      <c r="AO2667" s="238">
        <v>0.0</v>
      </c>
      <c r="AP2667" s="238">
        <v>0.0</v>
      </c>
      <c r="AQ2667" s="235" t="s">
        <v>632</v>
      </c>
      <c r="AR2667" s="243">
        <v>1.68E11</v>
      </c>
      <c r="AS2667" s="235" t="s">
        <v>19840</v>
      </c>
      <c r="AT2667" s="235" t="s">
        <v>9</v>
      </c>
      <c r="AU2667" s="235" t="s">
        <v>634</v>
      </c>
      <c r="AV2667" s="246" t="s">
        <v>635</v>
      </c>
      <c r="AW2667" s="242"/>
      <c r="AX2667" s="242"/>
      <c r="AY2667" s="231"/>
      <c r="AZ2667" s="231"/>
      <c r="BA2667" s="227"/>
      <c r="BB2667" s="231"/>
      <c r="BC2667" s="227"/>
      <c r="BD2667" s="227"/>
      <c r="BE2667" s="227"/>
      <c r="BF2667" s="227"/>
    </row>
    <row r="2668">
      <c r="A2668" s="235" t="s">
        <v>20353</v>
      </c>
      <c r="C2668" s="235" t="s">
        <v>20354</v>
      </c>
      <c r="D2668" s="235" t="s">
        <v>20355</v>
      </c>
      <c r="E2668" s="243">
        <v>6.52E13</v>
      </c>
      <c r="F2668" s="245"/>
      <c r="G2668" s="235" t="s">
        <v>20356</v>
      </c>
      <c r="H2668" s="235" t="s">
        <v>20350</v>
      </c>
      <c r="I2668" s="235" t="s">
        <v>20350</v>
      </c>
      <c r="J2668" s="235" t="s">
        <v>20357</v>
      </c>
      <c r="K2668" s="235" t="s">
        <v>20358</v>
      </c>
      <c r="N2668" s="235" t="s">
        <v>3</v>
      </c>
      <c r="O2668" s="235" t="s">
        <v>654</v>
      </c>
      <c r="P2668" s="238">
        <v>1.0</v>
      </c>
      <c r="Q2668" s="235" t="s">
        <v>627</v>
      </c>
      <c r="R2668" s="238">
        <v>265.71</v>
      </c>
      <c r="S2668" s="238">
        <v>13.29</v>
      </c>
      <c r="T2668" s="238">
        <v>38.1</v>
      </c>
      <c r="U2668" s="238">
        <v>1.9</v>
      </c>
      <c r="V2668" s="238">
        <v>0.0</v>
      </c>
      <c r="W2668" s="238">
        <v>0.0</v>
      </c>
      <c r="X2668" s="235" t="s">
        <v>628</v>
      </c>
      <c r="Z2668" s="244"/>
      <c r="AA2668" s="244"/>
      <c r="AB2668" s="244"/>
      <c r="AC2668" s="235" t="s">
        <v>20359</v>
      </c>
      <c r="AD2668" s="235" t="s">
        <v>845</v>
      </c>
      <c r="AE2668" s="238">
        <v>412109.0</v>
      </c>
      <c r="AF2668" s="235" t="s">
        <v>631</v>
      </c>
      <c r="AG2668" s="244"/>
      <c r="AH2668" s="244"/>
      <c r="AI2668" s="245"/>
      <c r="AJ2668" s="245"/>
      <c r="AK2668" s="245"/>
      <c r="AL2668" s="245"/>
      <c r="AM2668" s="244"/>
      <c r="AN2668" s="244"/>
      <c r="AO2668" s="238">
        <v>0.0</v>
      </c>
      <c r="AP2668" s="238">
        <v>-38.1</v>
      </c>
      <c r="AQ2668" s="235" t="s">
        <v>632</v>
      </c>
      <c r="AR2668" s="243">
        <v>3.71E11</v>
      </c>
      <c r="AS2668" s="235" t="s">
        <v>12693</v>
      </c>
      <c r="AT2668" s="235" t="s">
        <v>156</v>
      </c>
      <c r="AU2668" s="235" t="s">
        <v>634</v>
      </c>
      <c r="AV2668" s="246" t="s">
        <v>635</v>
      </c>
      <c r="AW2668" s="242"/>
      <c r="AX2668" s="242"/>
      <c r="AY2668" s="231"/>
      <c r="AZ2668" s="231"/>
      <c r="BA2668" s="227"/>
      <c r="BB2668" s="231"/>
      <c r="BC2668" s="227"/>
      <c r="BD2668" s="227"/>
      <c r="BE2668" s="227"/>
      <c r="BF2668" s="227"/>
    </row>
    <row r="2669">
      <c r="A2669" s="235" t="s">
        <v>20360</v>
      </c>
      <c r="C2669" s="235" t="s">
        <v>20361</v>
      </c>
      <c r="D2669" s="235" t="s">
        <v>20362</v>
      </c>
      <c r="E2669" s="243">
        <v>6.53E13</v>
      </c>
      <c r="F2669" s="245"/>
      <c r="G2669" s="235" t="s">
        <v>20363</v>
      </c>
      <c r="H2669" s="235" t="s">
        <v>20364</v>
      </c>
      <c r="I2669" s="235" t="s">
        <v>20364</v>
      </c>
      <c r="J2669" s="235" t="s">
        <v>20365</v>
      </c>
      <c r="K2669" s="235" t="s">
        <v>20366</v>
      </c>
      <c r="N2669" s="235" t="s">
        <v>127</v>
      </c>
      <c r="O2669" s="235" t="s">
        <v>794</v>
      </c>
      <c r="P2669" s="238">
        <v>1.0</v>
      </c>
      <c r="Q2669" s="235" t="s">
        <v>627</v>
      </c>
      <c r="R2669" s="238">
        <v>270.48</v>
      </c>
      <c r="S2669" s="238">
        <v>13.52</v>
      </c>
      <c r="T2669" s="238">
        <v>0.0</v>
      </c>
      <c r="U2669" s="238">
        <v>0.0</v>
      </c>
      <c r="V2669" s="238">
        <v>0.0</v>
      </c>
      <c r="W2669" s="238">
        <v>0.0</v>
      </c>
      <c r="X2669" s="235" t="s">
        <v>628</v>
      </c>
      <c r="Z2669" s="244"/>
      <c r="AA2669" s="244"/>
      <c r="AB2669" s="244"/>
      <c r="AC2669" s="235" t="s">
        <v>4397</v>
      </c>
      <c r="AD2669" s="235" t="s">
        <v>1151</v>
      </c>
      <c r="AE2669" s="238">
        <v>700061.0</v>
      </c>
      <c r="AF2669" s="235" t="s">
        <v>631</v>
      </c>
      <c r="AG2669" s="244"/>
      <c r="AH2669" s="244"/>
      <c r="AI2669" s="245"/>
      <c r="AJ2669" s="245"/>
      <c r="AK2669" s="245"/>
      <c r="AL2669" s="245"/>
      <c r="AM2669" s="244"/>
      <c r="AN2669" s="244"/>
      <c r="AO2669" s="238">
        <v>0.0</v>
      </c>
      <c r="AP2669" s="238">
        <v>0.0</v>
      </c>
      <c r="AQ2669" s="235" t="s">
        <v>632</v>
      </c>
      <c r="AR2669" s="243">
        <v>3.71E11</v>
      </c>
      <c r="AS2669" s="235" t="s">
        <v>15064</v>
      </c>
      <c r="AT2669" s="235" t="s">
        <v>13</v>
      </c>
      <c r="AU2669" s="235" t="s">
        <v>634</v>
      </c>
      <c r="AV2669" s="246" t="s">
        <v>635</v>
      </c>
      <c r="AW2669" s="242"/>
      <c r="AX2669" s="242"/>
      <c r="AY2669" s="231"/>
      <c r="AZ2669" s="231"/>
      <c r="BA2669" s="227"/>
      <c r="BB2669" s="231"/>
      <c r="BC2669" s="227"/>
      <c r="BD2669" s="227"/>
      <c r="BE2669" s="227"/>
      <c r="BF2669" s="227"/>
    </row>
    <row r="2670">
      <c r="A2670" s="235" t="s">
        <v>20367</v>
      </c>
      <c r="C2670" s="235" t="s">
        <v>20368</v>
      </c>
      <c r="D2670" s="235" t="s">
        <v>20369</v>
      </c>
      <c r="E2670" s="243">
        <v>6.53E13</v>
      </c>
      <c r="F2670" s="245"/>
      <c r="G2670" s="235" t="s">
        <v>20370</v>
      </c>
      <c r="H2670" s="235" t="s">
        <v>20371</v>
      </c>
      <c r="I2670" s="235" t="s">
        <v>20372</v>
      </c>
      <c r="J2670" s="235" t="s">
        <v>20373</v>
      </c>
      <c r="K2670" s="235" t="s">
        <v>20374</v>
      </c>
      <c r="N2670" s="235" t="s">
        <v>42</v>
      </c>
      <c r="O2670" s="235" t="s">
        <v>204</v>
      </c>
      <c r="P2670" s="238">
        <v>1.0</v>
      </c>
      <c r="Q2670" s="235" t="s">
        <v>627</v>
      </c>
      <c r="R2670" s="238">
        <v>270.48</v>
      </c>
      <c r="S2670" s="238">
        <v>13.25</v>
      </c>
      <c r="T2670" s="238">
        <v>0.0</v>
      </c>
      <c r="U2670" s="238">
        <v>0.0</v>
      </c>
      <c r="V2670" s="238">
        <v>0.0</v>
      </c>
      <c r="W2670" s="238">
        <v>0.0</v>
      </c>
      <c r="X2670" s="235" t="s">
        <v>628</v>
      </c>
      <c r="Z2670" s="244"/>
      <c r="AA2670" s="244"/>
      <c r="AB2670" s="244"/>
      <c r="AC2670" s="235" t="s">
        <v>20375</v>
      </c>
      <c r="AD2670" s="235" t="s">
        <v>833</v>
      </c>
      <c r="AE2670" s="238">
        <v>530048.0</v>
      </c>
      <c r="AF2670" s="235" t="s">
        <v>631</v>
      </c>
      <c r="AG2670" s="244"/>
      <c r="AH2670" s="244"/>
      <c r="AI2670" s="245"/>
      <c r="AJ2670" s="245"/>
      <c r="AK2670" s="245"/>
      <c r="AL2670" s="245"/>
      <c r="AM2670" s="244"/>
      <c r="AN2670" s="244"/>
      <c r="AO2670" s="238">
        <v>-5.41</v>
      </c>
      <c r="AP2670" s="238">
        <v>0.0</v>
      </c>
      <c r="AQ2670" s="235" t="s">
        <v>632</v>
      </c>
      <c r="AR2670" s="243">
        <v>2.02E11</v>
      </c>
      <c r="AS2670" s="235" t="s">
        <v>19388</v>
      </c>
      <c r="AT2670" s="235" t="s">
        <v>11</v>
      </c>
      <c r="AU2670" s="235" t="s">
        <v>634</v>
      </c>
      <c r="AV2670" s="246" t="s">
        <v>635</v>
      </c>
      <c r="AW2670" s="242"/>
      <c r="AX2670" s="242"/>
      <c r="AY2670" s="231"/>
      <c r="AZ2670" s="231"/>
      <c r="BA2670" s="227"/>
      <c r="BB2670" s="231"/>
      <c r="BC2670" s="227"/>
      <c r="BD2670" s="227"/>
      <c r="BE2670" s="227"/>
      <c r="BF2670" s="227"/>
    </row>
    <row r="2671">
      <c r="A2671" s="235" t="s">
        <v>20376</v>
      </c>
      <c r="C2671" s="235" t="s">
        <v>20377</v>
      </c>
      <c r="D2671" s="235" t="s">
        <v>20378</v>
      </c>
      <c r="E2671" s="243">
        <v>6.53E13</v>
      </c>
      <c r="F2671" s="245"/>
      <c r="G2671" s="235" t="s">
        <v>20379</v>
      </c>
      <c r="H2671" s="235" t="s">
        <v>20380</v>
      </c>
      <c r="I2671" s="235" t="s">
        <v>20380</v>
      </c>
      <c r="J2671" s="235" t="s">
        <v>20381</v>
      </c>
      <c r="K2671" s="235" t="s">
        <v>18113</v>
      </c>
      <c r="N2671" s="235" t="s">
        <v>131</v>
      </c>
      <c r="O2671" s="235" t="s">
        <v>2148</v>
      </c>
      <c r="P2671" s="238">
        <v>1.0</v>
      </c>
      <c r="Q2671" s="235" t="s">
        <v>627</v>
      </c>
      <c r="R2671" s="238">
        <v>270.48</v>
      </c>
      <c r="S2671" s="238">
        <v>13.52</v>
      </c>
      <c r="T2671" s="238">
        <v>0.0</v>
      </c>
      <c r="U2671" s="238">
        <v>0.0</v>
      </c>
      <c r="V2671" s="238">
        <v>0.0</v>
      </c>
      <c r="W2671" s="238">
        <v>0.0</v>
      </c>
      <c r="X2671" s="235" t="s">
        <v>628</v>
      </c>
      <c r="Z2671" s="244"/>
      <c r="AA2671" s="244"/>
      <c r="AB2671" s="244"/>
      <c r="AC2671" s="235" t="s">
        <v>1613</v>
      </c>
      <c r="AD2671" s="235" t="s">
        <v>630</v>
      </c>
      <c r="AE2671" s="238">
        <v>226024.0</v>
      </c>
      <c r="AF2671" s="235" t="s">
        <v>631</v>
      </c>
      <c r="AG2671" s="244"/>
      <c r="AH2671" s="244"/>
      <c r="AI2671" s="245"/>
      <c r="AJ2671" s="245"/>
      <c r="AK2671" s="245"/>
      <c r="AL2671" s="245"/>
      <c r="AM2671" s="244"/>
      <c r="AN2671" s="244"/>
      <c r="AO2671" s="238">
        <v>0.0</v>
      </c>
      <c r="AP2671" s="238">
        <v>0.0</v>
      </c>
      <c r="AQ2671" s="235" t="s">
        <v>632</v>
      </c>
      <c r="AR2671" s="243">
        <v>2.02E11</v>
      </c>
      <c r="AS2671" s="235" t="s">
        <v>19388</v>
      </c>
      <c r="AT2671" s="235" t="s">
        <v>533</v>
      </c>
      <c r="AU2671" s="235" t="s">
        <v>634</v>
      </c>
      <c r="AV2671" s="246" t="s">
        <v>635</v>
      </c>
      <c r="AW2671" s="242"/>
      <c r="AX2671" s="242"/>
      <c r="AY2671" s="231"/>
      <c r="AZ2671" s="231"/>
      <c r="BA2671" s="227"/>
      <c r="BB2671" s="231"/>
      <c r="BC2671" s="227"/>
      <c r="BD2671" s="227"/>
      <c r="BE2671" s="227"/>
      <c r="BF2671" s="227"/>
    </row>
    <row r="2672">
      <c r="A2672" s="235" t="s">
        <v>20382</v>
      </c>
      <c r="C2672" s="235" t="s">
        <v>20383</v>
      </c>
      <c r="D2672" s="235" t="s">
        <v>20384</v>
      </c>
      <c r="E2672" s="243">
        <v>6.53E13</v>
      </c>
      <c r="F2672" s="245"/>
      <c r="G2672" s="235" t="s">
        <v>20385</v>
      </c>
      <c r="H2672" s="235" t="s">
        <v>20386</v>
      </c>
      <c r="I2672" s="235" t="s">
        <v>20386</v>
      </c>
      <c r="J2672" s="235" t="s">
        <v>20387</v>
      </c>
      <c r="K2672" s="235" t="s">
        <v>20388</v>
      </c>
      <c r="N2672" s="235" t="s">
        <v>82</v>
      </c>
      <c r="O2672" s="235" t="s">
        <v>889</v>
      </c>
      <c r="P2672" s="238">
        <v>1.0</v>
      </c>
      <c r="Q2672" s="235" t="s">
        <v>627</v>
      </c>
      <c r="R2672" s="238">
        <v>233.34</v>
      </c>
      <c r="S2672" s="238">
        <v>11.66</v>
      </c>
      <c r="T2672" s="238">
        <v>38.1</v>
      </c>
      <c r="U2672" s="238">
        <v>1.9</v>
      </c>
      <c r="V2672" s="238">
        <v>0.0</v>
      </c>
      <c r="W2672" s="238">
        <v>0.0</v>
      </c>
      <c r="X2672" s="235" t="s">
        <v>628</v>
      </c>
      <c r="Z2672" s="244"/>
      <c r="AA2672" s="244"/>
      <c r="AB2672" s="244"/>
      <c r="AC2672" s="235" t="s">
        <v>687</v>
      </c>
      <c r="AD2672" s="235" t="s">
        <v>666</v>
      </c>
      <c r="AE2672" s="238">
        <v>600095.0</v>
      </c>
      <c r="AF2672" s="235" t="s">
        <v>631</v>
      </c>
      <c r="AG2672" s="244"/>
      <c r="AH2672" s="244"/>
      <c r="AI2672" s="245"/>
      <c r="AJ2672" s="245"/>
      <c r="AK2672" s="245"/>
      <c r="AL2672" s="245"/>
      <c r="AM2672" s="244"/>
      <c r="AN2672" s="244"/>
      <c r="AO2672" s="238">
        <v>0.0</v>
      </c>
      <c r="AP2672" s="238">
        <v>-38.1</v>
      </c>
      <c r="AQ2672" s="235" t="s">
        <v>632</v>
      </c>
      <c r="AR2672" s="243">
        <v>3.71E11</v>
      </c>
      <c r="AS2672" s="235" t="s">
        <v>19388</v>
      </c>
      <c r="AT2672" s="235" t="s">
        <v>156</v>
      </c>
      <c r="AU2672" s="235" t="s">
        <v>634</v>
      </c>
      <c r="AV2672" s="246" t="s">
        <v>635</v>
      </c>
      <c r="AW2672" s="242"/>
      <c r="AX2672" s="242"/>
      <c r="AY2672" s="231"/>
      <c r="AZ2672" s="231"/>
      <c r="BA2672" s="227"/>
      <c r="BB2672" s="231"/>
      <c r="BC2672" s="227"/>
      <c r="BD2672" s="227"/>
      <c r="BE2672" s="227"/>
      <c r="BF2672" s="227"/>
    </row>
    <row r="2673">
      <c r="A2673" s="235" t="s">
        <v>20389</v>
      </c>
      <c r="C2673" s="235" t="s">
        <v>20390</v>
      </c>
      <c r="D2673" s="235" t="s">
        <v>20391</v>
      </c>
      <c r="E2673" s="243">
        <v>6.53E13</v>
      </c>
      <c r="F2673" s="245"/>
      <c r="G2673" s="235" t="s">
        <v>20392</v>
      </c>
      <c r="H2673" s="235" t="s">
        <v>20393</v>
      </c>
      <c r="I2673" s="235" t="s">
        <v>20393</v>
      </c>
      <c r="J2673" s="235" t="s">
        <v>20394</v>
      </c>
      <c r="K2673" s="235" t="s">
        <v>20395</v>
      </c>
      <c r="N2673" s="235" t="s">
        <v>90</v>
      </c>
      <c r="O2673" s="235" t="s">
        <v>279</v>
      </c>
      <c r="P2673" s="238">
        <v>1.0</v>
      </c>
      <c r="Q2673" s="235" t="s">
        <v>627</v>
      </c>
      <c r="R2673" s="238">
        <v>270.48</v>
      </c>
      <c r="S2673" s="238">
        <v>13.52</v>
      </c>
      <c r="T2673" s="238">
        <v>0.0</v>
      </c>
      <c r="U2673" s="238">
        <v>0.0</v>
      </c>
      <c r="V2673" s="238">
        <v>0.0</v>
      </c>
      <c r="W2673" s="238">
        <v>0.0</v>
      </c>
      <c r="X2673" s="235" t="s">
        <v>628</v>
      </c>
      <c r="Z2673" s="244"/>
      <c r="AA2673" s="244"/>
      <c r="AB2673" s="244"/>
      <c r="AC2673" s="235" t="s">
        <v>1671</v>
      </c>
      <c r="AD2673" s="235" t="s">
        <v>666</v>
      </c>
      <c r="AE2673" s="238">
        <v>641031.0</v>
      </c>
      <c r="AF2673" s="235" t="s">
        <v>631</v>
      </c>
      <c r="AG2673" s="244"/>
      <c r="AH2673" s="244"/>
      <c r="AI2673" s="245"/>
      <c r="AJ2673" s="245"/>
      <c r="AK2673" s="245"/>
      <c r="AL2673" s="245"/>
      <c r="AM2673" s="244"/>
      <c r="AN2673" s="244"/>
      <c r="AO2673" s="238">
        <v>0.0</v>
      </c>
      <c r="AP2673" s="238">
        <v>0.0</v>
      </c>
      <c r="AQ2673" s="235" t="s">
        <v>632</v>
      </c>
      <c r="AR2673" s="243">
        <v>3.71E11</v>
      </c>
      <c r="AS2673" s="235" t="s">
        <v>16626</v>
      </c>
      <c r="AT2673" s="235" t="s">
        <v>155</v>
      </c>
      <c r="AU2673" s="235" t="s">
        <v>634</v>
      </c>
      <c r="AV2673" s="246" t="s">
        <v>635</v>
      </c>
      <c r="AW2673" s="242"/>
      <c r="AX2673" s="242"/>
      <c r="AY2673" s="231"/>
      <c r="AZ2673" s="231"/>
      <c r="BA2673" s="227"/>
      <c r="BB2673" s="231"/>
      <c r="BC2673" s="227"/>
      <c r="BD2673" s="227"/>
      <c r="BE2673" s="227"/>
      <c r="BF2673" s="227"/>
    </row>
    <row r="2674">
      <c r="A2674" s="235" t="s">
        <v>20396</v>
      </c>
      <c r="C2674" s="235" t="s">
        <v>20397</v>
      </c>
      <c r="D2674" s="235" t="s">
        <v>20398</v>
      </c>
      <c r="E2674" s="243">
        <v>6.53E13</v>
      </c>
      <c r="F2674" s="245"/>
      <c r="G2674" s="235" t="s">
        <v>20399</v>
      </c>
      <c r="H2674" s="235" t="s">
        <v>20400</v>
      </c>
      <c r="I2674" s="235" t="s">
        <v>20400</v>
      </c>
      <c r="J2674" s="235" t="s">
        <v>20401</v>
      </c>
      <c r="K2674" s="235" t="s">
        <v>20402</v>
      </c>
      <c r="N2674" s="235" t="s">
        <v>33</v>
      </c>
      <c r="O2674" s="235" t="s">
        <v>1009</v>
      </c>
      <c r="P2674" s="238">
        <v>1.0</v>
      </c>
      <c r="Q2674" s="235" t="s">
        <v>627</v>
      </c>
      <c r="R2674" s="238">
        <v>475.24</v>
      </c>
      <c r="S2674" s="238">
        <v>23.76</v>
      </c>
      <c r="T2674" s="238">
        <v>0.0</v>
      </c>
      <c r="U2674" s="238">
        <v>0.0</v>
      </c>
      <c r="V2674" s="238">
        <v>0.0</v>
      </c>
      <c r="W2674" s="238">
        <v>0.0</v>
      </c>
      <c r="X2674" s="235" t="s">
        <v>628</v>
      </c>
      <c r="Z2674" s="244"/>
      <c r="AA2674" s="244"/>
      <c r="AB2674" s="244"/>
      <c r="AC2674" s="235" t="s">
        <v>1531</v>
      </c>
      <c r="AD2674" s="235" t="s">
        <v>1151</v>
      </c>
      <c r="AE2674" s="238">
        <v>700052.0</v>
      </c>
      <c r="AF2674" s="235" t="s">
        <v>631</v>
      </c>
      <c r="AG2674" s="244"/>
      <c r="AH2674" s="244"/>
      <c r="AI2674" s="245"/>
      <c r="AJ2674" s="245"/>
      <c r="AK2674" s="245"/>
      <c r="AL2674" s="245"/>
      <c r="AM2674" s="244"/>
      <c r="AN2674" s="244"/>
      <c r="AO2674" s="238">
        <v>0.0</v>
      </c>
      <c r="AP2674" s="238">
        <v>0.0</v>
      </c>
      <c r="AQ2674" s="235" t="s">
        <v>632</v>
      </c>
      <c r="AR2674" s="243">
        <v>2.02E11</v>
      </c>
      <c r="AS2674" s="235" t="s">
        <v>19388</v>
      </c>
      <c r="AT2674" s="235" t="s">
        <v>156</v>
      </c>
      <c r="AU2674" s="235" t="s">
        <v>634</v>
      </c>
      <c r="AV2674" s="246" t="s">
        <v>635</v>
      </c>
      <c r="AW2674" s="242"/>
      <c r="AX2674" s="242"/>
      <c r="AY2674" s="231"/>
      <c r="AZ2674" s="231"/>
      <c r="BA2674" s="227"/>
      <c r="BB2674" s="231"/>
      <c r="BC2674" s="227"/>
      <c r="BD2674" s="227"/>
      <c r="BE2674" s="227"/>
      <c r="BF2674" s="227"/>
    </row>
    <row r="2675">
      <c r="A2675" s="235" t="s">
        <v>20403</v>
      </c>
      <c r="C2675" s="235" t="s">
        <v>20404</v>
      </c>
      <c r="D2675" s="235" t="s">
        <v>20405</v>
      </c>
      <c r="E2675" s="243">
        <v>6.53E13</v>
      </c>
      <c r="F2675" s="245"/>
      <c r="G2675" s="235" t="s">
        <v>20406</v>
      </c>
      <c r="H2675" s="235" t="s">
        <v>20407</v>
      </c>
      <c r="I2675" s="235" t="s">
        <v>20407</v>
      </c>
      <c r="J2675" s="235" t="s">
        <v>20408</v>
      </c>
      <c r="K2675" s="235" t="s">
        <v>20409</v>
      </c>
      <c r="N2675" s="235" t="s">
        <v>842</v>
      </c>
      <c r="O2675" s="235" t="s">
        <v>843</v>
      </c>
      <c r="P2675" s="238">
        <v>1.0</v>
      </c>
      <c r="Q2675" s="235" t="s">
        <v>627</v>
      </c>
      <c r="R2675" s="238">
        <v>270.48</v>
      </c>
      <c r="S2675" s="238">
        <v>13.52</v>
      </c>
      <c r="T2675" s="238">
        <v>38.1</v>
      </c>
      <c r="U2675" s="238">
        <v>1.9</v>
      </c>
      <c r="V2675" s="238">
        <v>0.0</v>
      </c>
      <c r="W2675" s="238">
        <v>0.0</v>
      </c>
      <c r="X2675" s="235" t="s">
        <v>628</v>
      </c>
      <c r="Z2675" s="244"/>
      <c r="AA2675" s="244"/>
      <c r="AB2675" s="244"/>
      <c r="AC2675" s="235" t="s">
        <v>20410</v>
      </c>
      <c r="AD2675" s="235" t="s">
        <v>1077</v>
      </c>
      <c r="AE2675" s="238">
        <v>383001.0</v>
      </c>
      <c r="AF2675" s="235" t="s">
        <v>631</v>
      </c>
      <c r="AG2675" s="244"/>
      <c r="AH2675" s="244"/>
      <c r="AI2675" s="245"/>
      <c r="AJ2675" s="245"/>
      <c r="AK2675" s="245"/>
      <c r="AL2675" s="245"/>
      <c r="AM2675" s="244"/>
      <c r="AN2675" s="244"/>
      <c r="AO2675" s="238">
        <v>0.0</v>
      </c>
      <c r="AP2675" s="238">
        <v>-38.1</v>
      </c>
      <c r="AQ2675" s="235" t="s">
        <v>632</v>
      </c>
      <c r="AR2675" s="243">
        <v>3.71E11</v>
      </c>
      <c r="AS2675" s="235" t="s">
        <v>16626</v>
      </c>
      <c r="AT2675" s="235" t="s">
        <v>13</v>
      </c>
      <c r="AU2675" s="235" t="s">
        <v>634</v>
      </c>
      <c r="AV2675" s="246" t="s">
        <v>635</v>
      </c>
      <c r="AW2675" s="242"/>
      <c r="AX2675" s="242"/>
      <c r="AY2675" s="231"/>
      <c r="AZ2675" s="231"/>
      <c r="BA2675" s="227"/>
      <c r="BB2675" s="231"/>
      <c r="BC2675" s="227"/>
      <c r="BD2675" s="227"/>
      <c r="BE2675" s="227"/>
      <c r="BF2675" s="227"/>
    </row>
    <row r="2676">
      <c r="A2676" s="235" t="s">
        <v>20411</v>
      </c>
      <c r="C2676" s="235" t="s">
        <v>20412</v>
      </c>
      <c r="D2676" s="235" t="s">
        <v>20413</v>
      </c>
      <c r="E2676" s="243">
        <v>6.53E13</v>
      </c>
      <c r="F2676" s="245"/>
      <c r="G2676" s="235" t="s">
        <v>20414</v>
      </c>
      <c r="H2676" s="235" t="s">
        <v>20415</v>
      </c>
      <c r="I2676" s="235" t="s">
        <v>20415</v>
      </c>
      <c r="J2676" s="235" t="s">
        <v>20408</v>
      </c>
      <c r="K2676" s="235" t="s">
        <v>20416</v>
      </c>
      <c r="N2676" s="235" t="s">
        <v>127</v>
      </c>
      <c r="O2676" s="235" t="s">
        <v>794</v>
      </c>
      <c r="P2676" s="238">
        <v>1.0</v>
      </c>
      <c r="Q2676" s="235" t="s">
        <v>627</v>
      </c>
      <c r="R2676" s="238">
        <v>270.48</v>
      </c>
      <c r="S2676" s="238">
        <v>13.25</v>
      </c>
      <c r="T2676" s="238">
        <v>0.0</v>
      </c>
      <c r="U2676" s="238">
        <v>0.0</v>
      </c>
      <c r="V2676" s="238">
        <v>0.0</v>
      </c>
      <c r="W2676" s="238">
        <v>0.0</v>
      </c>
      <c r="X2676" s="235" t="s">
        <v>628</v>
      </c>
      <c r="Z2676" s="244"/>
      <c r="AA2676" s="244"/>
      <c r="AB2676" s="244"/>
      <c r="AC2676" s="235" t="s">
        <v>795</v>
      </c>
      <c r="AD2676" s="235" t="s">
        <v>796</v>
      </c>
      <c r="AE2676" s="238">
        <v>110085.0</v>
      </c>
      <c r="AF2676" s="235" t="s">
        <v>631</v>
      </c>
      <c r="AG2676" s="244"/>
      <c r="AH2676" s="244"/>
      <c r="AI2676" s="245"/>
      <c r="AJ2676" s="245"/>
      <c r="AK2676" s="245"/>
      <c r="AL2676" s="245"/>
      <c r="AM2676" s="244"/>
      <c r="AN2676" s="244"/>
      <c r="AO2676" s="238">
        <v>-5.41</v>
      </c>
      <c r="AP2676" s="238">
        <v>0.0</v>
      </c>
      <c r="AQ2676" s="235" t="s">
        <v>632</v>
      </c>
      <c r="AR2676" s="243">
        <v>1.68E11</v>
      </c>
      <c r="AS2676" s="235" t="s">
        <v>19840</v>
      </c>
      <c r="AT2676" s="235" t="s">
        <v>533</v>
      </c>
      <c r="AU2676" s="235" t="s">
        <v>634</v>
      </c>
      <c r="AV2676" s="246" t="s">
        <v>635</v>
      </c>
      <c r="AW2676" s="242"/>
      <c r="AX2676" s="242"/>
      <c r="AY2676" s="231"/>
      <c r="AZ2676" s="231"/>
      <c r="BA2676" s="227"/>
      <c r="BB2676" s="231"/>
      <c r="BC2676" s="227"/>
      <c r="BD2676" s="227"/>
      <c r="BE2676" s="227"/>
      <c r="BF2676" s="227"/>
    </row>
    <row r="2677">
      <c r="A2677" s="235" t="s">
        <v>20417</v>
      </c>
      <c r="C2677" s="235" t="s">
        <v>20418</v>
      </c>
      <c r="D2677" s="235" t="s">
        <v>20419</v>
      </c>
      <c r="E2677" s="243">
        <v>6.52E13</v>
      </c>
      <c r="F2677" s="245"/>
      <c r="G2677" s="235" t="s">
        <v>20420</v>
      </c>
      <c r="H2677" s="235" t="s">
        <v>20421</v>
      </c>
      <c r="I2677" s="235" t="s">
        <v>20421</v>
      </c>
      <c r="J2677" s="235" t="s">
        <v>20422</v>
      </c>
      <c r="K2677" s="235" t="s">
        <v>20423</v>
      </c>
      <c r="N2677" s="235" t="s">
        <v>3858</v>
      </c>
      <c r="O2677" s="235" t="s">
        <v>3859</v>
      </c>
      <c r="P2677" s="238">
        <v>1.0</v>
      </c>
      <c r="Q2677" s="235" t="s">
        <v>627</v>
      </c>
      <c r="R2677" s="238">
        <v>246.67</v>
      </c>
      <c r="S2677" s="238">
        <v>12.33</v>
      </c>
      <c r="T2677" s="238">
        <v>0.0</v>
      </c>
      <c r="U2677" s="238">
        <v>0.0</v>
      </c>
      <c r="V2677" s="238">
        <v>0.0</v>
      </c>
      <c r="W2677" s="238">
        <v>0.0</v>
      </c>
      <c r="X2677" s="235" t="s">
        <v>628</v>
      </c>
      <c r="Z2677" s="244"/>
      <c r="AA2677" s="244"/>
      <c r="AB2677" s="244"/>
      <c r="AC2677" s="235" t="s">
        <v>20424</v>
      </c>
      <c r="AD2677" s="235" t="s">
        <v>833</v>
      </c>
      <c r="AE2677" s="238">
        <v>516269.0</v>
      </c>
      <c r="AF2677" s="235" t="s">
        <v>631</v>
      </c>
      <c r="AG2677" s="244"/>
      <c r="AH2677" s="244"/>
      <c r="AI2677" s="245"/>
      <c r="AJ2677" s="245"/>
      <c r="AK2677" s="245"/>
      <c r="AL2677" s="245"/>
      <c r="AM2677" s="244"/>
      <c r="AN2677" s="244"/>
      <c r="AO2677" s="238">
        <v>0.0</v>
      </c>
      <c r="AP2677" s="238">
        <v>0.0</v>
      </c>
      <c r="AQ2677" s="235" t="s">
        <v>632</v>
      </c>
      <c r="AR2677" s="243">
        <v>3.71E11</v>
      </c>
      <c r="AS2677" s="235" t="s">
        <v>17988</v>
      </c>
      <c r="AT2677" s="235" t="s">
        <v>11</v>
      </c>
      <c r="AU2677" s="235" t="s">
        <v>634</v>
      </c>
      <c r="AV2677" s="246" t="s">
        <v>635</v>
      </c>
      <c r="AW2677" s="242"/>
      <c r="AX2677" s="242"/>
      <c r="AY2677" s="231"/>
      <c r="AZ2677" s="231"/>
      <c r="BA2677" s="227"/>
      <c r="BB2677" s="231"/>
      <c r="BC2677" s="227"/>
      <c r="BD2677" s="227"/>
      <c r="BE2677" s="227"/>
      <c r="BF2677" s="227"/>
    </row>
    <row r="2678">
      <c r="A2678" s="235" t="s">
        <v>20425</v>
      </c>
      <c r="C2678" s="235" t="s">
        <v>20426</v>
      </c>
      <c r="D2678" s="235" t="s">
        <v>20427</v>
      </c>
      <c r="E2678" s="243">
        <v>6.53E13</v>
      </c>
      <c r="F2678" s="245"/>
      <c r="G2678" s="235" t="s">
        <v>20428</v>
      </c>
      <c r="H2678" s="235" t="s">
        <v>20429</v>
      </c>
      <c r="I2678" s="235" t="s">
        <v>20429</v>
      </c>
      <c r="J2678" s="235" t="s">
        <v>20430</v>
      </c>
      <c r="K2678" s="235" t="s">
        <v>20431</v>
      </c>
      <c r="N2678" s="235" t="s">
        <v>566</v>
      </c>
      <c r="O2678" s="235" t="s">
        <v>1834</v>
      </c>
      <c r="P2678" s="238">
        <v>1.0</v>
      </c>
      <c r="Q2678" s="235" t="s">
        <v>627</v>
      </c>
      <c r="R2678" s="238">
        <v>507.63</v>
      </c>
      <c r="S2678" s="238">
        <v>89.54</v>
      </c>
      <c r="T2678" s="238">
        <v>0.0</v>
      </c>
      <c r="U2678" s="238">
        <v>0.0</v>
      </c>
      <c r="V2678" s="238">
        <v>0.0</v>
      </c>
      <c r="W2678" s="238">
        <v>0.0</v>
      </c>
      <c r="X2678" s="235" t="s">
        <v>628</v>
      </c>
      <c r="Z2678" s="244"/>
      <c r="AA2678" s="244"/>
      <c r="AB2678" s="244"/>
      <c r="AC2678" s="235" t="s">
        <v>1531</v>
      </c>
      <c r="AD2678" s="235" t="s">
        <v>1151</v>
      </c>
      <c r="AE2678" s="238">
        <v>700093.0</v>
      </c>
      <c r="AF2678" s="235" t="s">
        <v>631</v>
      </c>
      <c r="AG2678" s="244"/>
      <c r="AH2678" s="244"/>
      <c r="AI2678" s="245"/>
      <c r="AJ2678" s="245"/>
      <c r="AK2678" s="245"/>
      <c r="AL2678" s="245"/>
      <c r="AM2678" s="244"/>
      <c r="AN2678" s="244"/>
      <c r="AO2678" s="238">
        <v>-10.15</v>
      </c>
      <c r="AP2678" s="238">
        <v>0.0</v>
      </c>
      <c r="AQ2678" s="235" t="s">
        <v>632</v>
      </c>
      <c r="AR2678" s="243">
        <v>3.71E11</v>
      </c>
      <c r="AS2678" s="235" t="s">
        <v>15064</v>
      </c>
      <c r="AT2678" s="235" t="s">
        <v>11</v>
      </c>
      <c r="AU2678" s="235" t="s">
        <v>634</v>
      </c>
      <c r="AV2678" s="246" t="s">
        <v>635</v>
      </c>
      <c r="AW2678" s="242"/>
      <c r="AX2678" s="242"/>
      <c r="AY2678" s="231"/>
      <c r="AZ2678" s="231"/>
      <c r="BA2678" s="227"/>
      <c r="BB2678" s="231"/>
      <c r="BC2678" s="227"/>
      <c r="BD2678" s="227"/>
      <c r="BE2678" s="227"/>
      <c r="BF2678" s="227"/>
    </row>
    <row r="2679">
      <c r="A2679" s="235" t="s">
        <v>20432</v>
      </c>
      <c r="C2679" s="235" t="s">
        <v>20433</v>
      </c>
      <c r="D2679" s="235" t="s">
        <v>20434</v>
      </c>
      <c r="E2679" s="243">
        <v>6.53E13</v>
      </c>
      <c r="F2679" s="245"/>
      <c r="G2679" s="235" t="s">
        <v>20435</v>
      </c>
      <c r="H2679" s="235" t="s">
        <v>20436</v>
      </c>
      <c r="I2679" s="235" t="s">
        <v>20436</v>
      </c>
      <c r="J2679" s="235" t="s">
        <v>20437</v>
      </c>
      <c r="K2679" s="235" t="s">
        <v>20438</v>
      </c>
      <c r="N2679" s="235" t="s">
        <v>962</v>
      </c>
      <c r="O2679" s="235" t="s">
        <v>963</v>
      </c>
      <c r="P2679" s="238">
        <v>1.0</v>
      </c>
      <c r="Q2679" s="235" t="s">
        <v>627</v>
      </c>
      <c r="R2679" s="238">
        <v>270.48</v>
      </c>
      <c r="S2679" s="238">
        <v>13.52</v>
      </c>
      <c r="T2679" s="238">
        <v>0.0</v>
      </c>
      <c r="U2679" s="238">
        <v>0.0</v>
      </c>
      <c r="V2679" s="238">
        <v>0.0</v>
      </c>
      <c r="W2679" s="238">
        <v>0.0</v>
      </c>
      <c r="X2679" s="235" t="s">
        <v>628</v>
      </c>
      <c r="Z2679" s="244"/>
      <c r="AA2679" s="244"/>
      <c r="AB2679" s="244"/>
      <c r="AC2679" s="235" t="s">
        <v>20439</v>
      </c>
      <c r="AD2679" s="235" t="s">
        <v>679</v>
      </c>
      <c r="AE2679" s="238">
        <v>573112.0</v>
      </c>
      <c r="AF2679" s="235" t="s">
        <v>631</v>
      </c>
      <c r="AG2679" s="244"/>
      <c r="AH2679" s="244"/>
      <c r="AI2679" s="245"/>
      <c r="AJ2679" s="245"/>
      <c r="AK2679" s="245"/>
      <c r="AL2679" s="245"/>
      <c r="AM2679" s="244"/>
      <c r="AN2679" s="244"/>
      <c r="AO2679" s="238">
        <v>0.0</v>
      </c>
      <c r="AP2679" s="238">
        <v>0.0</v>
      </c>
      <c r="AQ2679" s="235" t="s">
        <v>632</v>
      </c>
      <c r="AR2679" s="243">
        <v>3.71E11</v>
      </c>
      <c r="AS2679" s="235" t="s">
        <v>17988</v>
      </c>
      <c r="AT2679" s="235" t="s">
        <v>9</v>
      </c>
      <c r="AU2679" s="235" t="s">
        <v>634</v>
      </c>
      <c r="AV2679" s="246" t="s">
        <v>635</v>
      </c>
      <c r="AW2679" s="242"/>
      <c r="AX2679" s="242"/>
      <c r="AY2679" s="231"/>
      <c r="AZ2679" s="231"/>
      <c r="BA2679" s="227"/>
      <c r="BB2679" s="231"/>
      <c r="BC2679" s="227"/>
      <c r="BD2679" s="227"/>
      <c r="BE2679" s="227"/>
      <c r="BF2679" s="227"/>
    </row>
    <row r="2680">
      <c r="A2680" s="235" t="s">
        <v>20440</v>
      </c>
      <c r="C2680" s="235" t="s">
        <v>20441</v>
      </c>
      <c r="D2680" s="235" t="s">
        <v>20442</v>
      </c>
      <c r="E2680" s="243">
        <v>6.53E13</v>
      </c>
      <c r="F2680" s="245"/>
      <c r="G2680" s="235" t="s">
        <v>20443</v>
      </c>
      <c r="H2680" s="235" t="s">
        <v>20444</v>
      </c>
      <c r="I2680" s="235" t="s">
        <v>20444</v>
      </c>
      <c r="J2680" s="235" t="s">
        <v>20445</v>
      </c>
      <c r="K2680" s="235" t="s">
        <v>10491</v>
      </c>
      <c r="N2680" s="235" t="s">
        <v>127</v>
      </c>
      <c r="O2680" s="235" t="s">
        <v>794</v>
      </c>
      <c r="P2680" s="238">
        <v>1.0</v>
      </c>
      <c r="Q2680" s="235" t="s">
        <v>627</v>
      </c>
      <c r="R2680" s="238">
        <v>270.48</v>
      </c>
      <c r="S2680" s="238">
        <v>13.25</v>
      </c>
      <c r="T2680" s="238">
        <v>0.0</v>
      </c>
      <c r="U2680" s="238">
        <v>0.0</v>
      </c>
      <c r="V2680" s="238">
        <v>0.0</v>
      </c>
      <c r="W2680" s="238">
        <v>0.0</v>
      </c>
      <c r="X2680" s="235" t="s">
        <v>628</v>
      </c>
      <c r="Z2680" s="244"/>
      <c r="AA2680" s="244"/>
      <c r="AB2680" s="244"/>
      <c r="AC2680" s="235" t="s">
        <v>795</v>
      </c>
      <c r="AD2680" s="235" t="s">
        <v>796</v>
      </c>
      <c r="AE2680" s="238">
        <v>110068.0</v>
      </c>
      <c r="AF2680" s="235" t="s">
        <v>631</v>
      </c>
      <c r="AG2680" s="244"/>
      <c r="AH2680" s="244"/>
      <c r="AI2680" s="245"/>
      <c r="AJ2680" s="245"/>
      <c r="AK2680" s="245"/>
      <c r="AL2680" s="245"/>
      <c r="AM2680" s="244"/>
      <c r="AN2680" s="244"/>
      <c r="AO2680" s="238">
        <v>-5.41</v>
      </c>
      <c r="AP2680" s="238">
        <v>0.0</v>
      </c>
      <c r="AQ2680" s="235" t="s">
        <v>632</v>
      </c>
      <c r="AR2680" s="243">
        <v>1.68E11</v>
      </c>
      <c r="AS2680" s="235" t="s">
        <v>19840</v>
      </c>
      <c r="AT2680" s="235" t="s">
        <v>13</v>
      </c>
      <c r="AU2680" s="235" t="s">
        <v>634</v>
      </c>
      <c r="AV2680" s="246" t="s">
        <v>635</v>
      </c>
      <c r="AW2680" s="242"/>
      <c r="AX2680" s="242"/>
      <c r="AY2680" s="231"/>
      <c r="AZ2680" s="231"/>
      <c r="BA2680" s="227"/>
      <c r="BB2680" s="231"/>
      <c r="BC2680" s="227"/>
      <c r="BD2680" s="227"/>
      <c r="BE2680" s="227"/>
      <c r="BF2680" s="227"/>
    </row>
    <row r="2681">
      <c r="A2681" s="235" t="s">
        <v>20446</v>
      </c>
      <c r="C2681" s="235" t="s">
        <v>20447</v>
      </c>
      <c r="D2681" s="235" t="s">
        <v>20448</v>
      </c>
      <c r="E2681" s="243">
        <v>6.53E13</v>
      </c>
      <c r="F2681" s="245"/>
      <c r="G2681" s="235" t="s">
        <v>20449</v>
      </c>
      <c r="H2681" s="235" t="s">
        <v>20450</v>
      </c>
      <c r="I2681" s="235" t="s">
        <v>20450</v>
      </c>
      <c r="J2681" s="235" t="s">
        <v>20451</v>
      </c>
      <c r="K2681" s="235" t="s">
        <v>20452</v>
      </c>
      <c r="N2681" s="235" t="s">
        <v>92</v>
      </c>
      <c r="O2681" s="235" t="s">
        <v>248</v>
      </c>
      <c r="P2681" s="238">
        <v>1.0</v>
      </c>
      <c r="Q2681" s="235" t="s">
        <v>627</v>
      </c>
      <c r="R2681" s="238">
        <v>270.48</v>
      </c>
      <c r="S2681" s="238">
        <v>13.52</v>
      </c>
      <c r="T2681" s="238">
        <v>0.0</v>
      </c>
      <c r="U2681" s="238">
        <v>0.0</v>
      </c>
      <c r="V2681" s="238">
        <v>0.0</v>
      </c>
      <c r="W2681" s="238">
        <v>0.0</v>
      </c>
      <c r="X2681" s="235" t="s">
        <v>628</v>
      </c>
      <c r="Z2681" s="244"/>
      <c r="AA2681" s="244"/>
      <c r="AB2681" s="244"/>
      <c r="AC2681" s="235" t="s">
        <v>5923</v>
      </c>
      <c r="AD2681" s="235" t="s">
        <v>666</v>
      </c>
      <c r="AE2681" s="238">
        <v>620021.0</v>
      </c>
      <c r="AF2681" s="235" t="s">
        <v>631</v>
      </c>
      <c r="AG2681" s="244"/>
      <c r="AH2681" s="244"/>
      <c r="AI2681" s="245"/>
      <c r="AJ2681" s="245"/>
      <c r="AK2681" s="245"/>
      <c r="AL2681" s="245"/>
      <c r="AM2681" s="244"/>
      <c r="AN2681" s="244"/>
      <c r="AO2681" s="238">
        <v>0.0</v>
      </c>
      <c r="AP2681" s="238">
        <v>0.0</v>
      </c>
      <c r="AQ2681" s="235" t="s">
        <v>632</v>
      </c>
      <c r="AR2681" s="243">
        <v>1.68E11</v>
      </c>
      <c r="AS2681" s="235" t="s">
        <v>19388</v>
      </c>
      <c r="AT2681" s="235" t="s">
        <v>9</v>
      </c>
      <c r="AU2681" s="235" t="s">
        <v>634</v>
      </c>
      <c r="AV2681" s="246" t="s">
        <v>635</v>
      </c>
      <c r="AW2681" s="242"/>
      <c r="AX2681" s="242"/>
      <c r="AY2681" s="231"/>
      <c r="AZ2681" s="231"/>
      <c r="BA2681" s="227"/>
      <c r="BB2681" s="231"/>
      <c r="BC2681" s="227"/>
      <c r="BD2681" s="227"/>
      <c r="BE2681" s="227"/>
      <c r="BF2681" s="227"/>
    </row>
    <row r="2682">
      <c r="A2682" s="235" t="s">
        <v>20453</v>
      </c>
      <c r="C2682" s="235" t="s">
        <v>20454</v>
      </c>
      <c r="D2682" s="235" t="s">
        <v>20455</v>
      </c>
      <c r="E2682" s="243">
        <v>6.53E13</v>
      </c>
      <c r="F2682" s="245"/>
      <c r="G2682" s="235" t="s">
        <v>20456</v>
      </c>
      <c r="H2682" s="235" t="s">
        <v>20457</v>
      </c>
      <c r="I2682" s="235" t="s">
        <v>20457</v>
      </c>
      <c r="J2682" s="235" t="s">
        <v>20458</v>
      </c>
      <c r="K2682" s="235" t="s">
        <v>20459</v>
      </c>
      <c r="N2682" s="235" t="s">
        <v>34</v>
      </c>
      <c r="O2682" s="235" t="s">
        <v>1050</v>
      </c>
      <c r="P2682" s="238">
        <v>1.0</v>
      </c>
      <c r="Q2682" s="235" t="s">
        <v>627</v>
      </c>
      <c r="R2682" s="238">
        <v>446.67</v>
      </c>
      <c r="S2682" s="238">
        <v>21.88</v>
      </c>
      <c r="T2682" s="238">
        <v>0.0</v>
      </c>
      <c r="U2682" s="238">
        <v>0.0</v>
      </c>
      <c r="V2682" s="238">
        <v>0.0</v>
      </c>
      <c r="W2682" s="238">
        <v>0.0</v>
      </c>
      <c r="X2682" s="235" t="s">
        <v>628</v>
      </c>
      <c r="Z2682" s="244"/>
      <c r="AA2682" s="244"/>
      <c r="AB2682" s="244"/>
      <c r="AC2682" s="235" t="s">
        <v>20460</v>
      </c>
      <c r="AD2682" s="235" t="s">
        <v>2688</v>
      </c>
      <c r="AE2682" s="238">
        <v>192201.0</v>
      </c>
      <c r="AF2682" s="235" t="s">
        <v>631</v>
      </c>
      <c r="AG2682" s="244"/>
      <c r="AH2682" s="244"/>
      <c r="AI2682" s="245"/>
      <c r="AJ2682" s="245"/>
      <c r="AK2682" s="245"/>
      <c r="AL2682" s="245"/>
      <c r="AM2682" s="244"/>
      <c r="AN2682" s="244"/>
      <c r="AO2682" s="238">
        <v>-8.93</v>
      </c>
      <c r="AP2682" s="238">
        <v>0.0</v>
      </c>
      <c r="AQ2682" s="235" t="s">
        <v>632</v>
      </c>
      <c r="AR2682" s="243">
        <v>3.71E11</v>
      </c>
      <c r="AS2682" s="235" t="s">
        <v>7365</v>
      </c>
      <c r="AT2682" s="235" t="s">
        <v>156</v>
      </c>
      <c r="AU2682" s="235" t="s">
        <v>634</v>
      </c>
      <c r="AV2682" s="246" t="s">
        <v>635</v>
      </c>
      <c r="AW2682" s="242"/>
      <c r="AX2682" s="242"/>
      <c r="AY2682" s="231"/>
      <c r="AZ2682" s="231"/>
      <c r="BA2682" s="227"/>
      <c r="BB2682" s="231"/>
      <c r="BC2682" s="227"/>
      <c r="BD2682" s="227"/>
      <c r="BE2682" s="227"/>
      <c r="BF2682" s="227"/>
    </row>
    <row r="2683">
      <c r="A2683" s="235" t="s">
        <v>20461</v>
      </c>
      <c r="C2683" s="235" t="s">
        <v>20462</v>
      </c>
      <c r="D2683" s="235" t="s">
        <v>20463</v>
      </c>
      <c r="E2683" s="243">
        <v>6.53E13</v>
      </c>
      <c r="F2683" s="245"/>
      <c r="G2683" s="235" t="s">
        <v>20464</v>
      </c>
      <c r="H2683" s="235" t="s">
        <v>20465</v>
      </c>
      <c r="I2683" s="235" t="s">
        <v>20465</v>
      </c>
      <c r="J2683" s="235" t="s">
        <v>20466</v>
      </c>
      <c r="K2683" s="235" t="s">
        <v>20467</v>
      </c>
      <c r="N2683" s="235" t="s">
        <v>31</v>
      </c>
      <c r="O2683" s="235" t="s">
        <v>954</v>
      </c>
      <c r="P2683" s="238">
        <v>1.0</v>
      </c>
      <c r="Q2683" s="235" t="s">
        <v>627</v>
      </c>
      <c r="R2683" s="238">
        <v>475.24</v>
      </c>
      <c r="S2683" s="238">
        <v>23.28</v>
      </c>
      <c r="T2683" s="238">
        <v>0.0</v>
      </c>
      <c r="U2683" s="238">
        <v>0.0</v>
      </c>
      <c r="V2683" s="238">
        <v>0.0</v>
      </c>
      <c r="W2683" s="238">
        <v>0.0</v>
      </c>
      <c r="X2683" s="235" t="s">
        <v>628</v>
      </c>
      <c r="Z2683" s="244"/>
      <c r="AA2683" s="244"/>
      <c r="AB2683" s="244"/>
      <c r="AC2683" s="235" t="s">
        <v>678</v>
      </c>
      <c r="AD2683" s="235" t="s">
        <v>679</v>
      </c>
      <c r="AE2683" s="238">
        <v>560083.0</v>
      </c>
      <c r="AF2683" s="235" t="s">
        <v>631</v>
      </c>
      <c r="AG2683" s="244"/>
      <c r="AH2683" s="244"/>
      <c r="AI2683" s="245"/>
      <c r="AJ2683" s="245"/>
      <c r="AK2683" s="245"/>
      <c r="AL2683" s="245"/>
      <c r="AM2683" s="244"/>
      <c r="AN2683" s="244"/>
      <c r="AO2683" s="238">
        <v>-9.5</v>
      </c>
      <c r="AP2683" s="238">
        <v>0.0</v>
      </c>
      <c r="AQ2683" s="235" t="s">
        <v>632</v>
      </c>
      <c r="AR2683" s="243">
        <v>2.02E11</v>
      </c>
      <c r="AS2683" s="235" t="s">
        <v>19388</v>
      </c>
      <c r="AT2683" s="235" t="s">
        <v>14</v>
      </c>
      <c r="AU2683" s="235" t="s">
        <v>634</v>
      </c>
      <c r="AV2683" s="246" t="s">
        <v>635</v>
      </c>
      <c r="AW2683" s="242"/>
      <c r="AX2683" s="242"/>
      <c r="AY2683" s="231"/>
      <c r="AZ2683" s="231"/>
      <c r="BA2683" s="227"/>
      <c r="BB2683" s="231"/>
      <c r="BC2683" s="227"/>
      <c r="BD2683" s="227"/>
      <c r="BE2683" s="227"/>
      <c r="BF2683" s="227"/>
    </row>
    <row r="2684">
      <c r="A2684" s="235" t="s">
        <v>20468</v>
      </c>
      <c r="C2684" s="235" t="s">
        <v>20469</v>
      </c>
      <c r="D2684" s="235" t="s">
        <v>20470</v>
      </c>
      <c r="E2684" s="243">
        <v>6.52E13</v>
      </c>
      <c r="F2684" s="245"/>
      <c r="G2684" s="235" t="s">
        <v>20471</v>
      </c>
      <c r="H2684" s="235" t="s">
        <v>20472</v>
      </c>
      <c r="I2684" s="235" t="s">
        <v>20472</v>
      </c>
      <c r="J2684" s="235" t="s">
        <v>20473</v>
      </c>
      <c r="K2684" s="235" t="s">
        <v>20474</v>
      </c>
      <c r="N2684" s="235" t="s">
        <v>154</v>
      </c>
      <c r="O2684" s="235" t="s">
        <v>766</v>
      </c>
      <c r="P2684" s="238">
        <v>1.0</v>
      </c>
      <c r="Q2684" s="235" t="s">
        <v>627</v>
      </c>
      <c r="R2684" s="238">
        <v>423.81</v>
      </c>
      <c r="S2684" s="238">
        <v>21.19</v>
      </c>
      <c r="T2684" s="238">
        <v>38.1</v>
      </c>
      <c r="U2684" s="238">
        <v>1.9</v>
      </c>
      <c r="V2684" s="238">
        <v>0.0</v>
      </c>
      <c r="W2684" s="238">
        <v>0.0</v>
      </c>
      <c r="X2684" s="235" t="s">
        <v>628</v>
      </c>
      <c r="Z2684" s="244"/>
      <c r="AA2684" s="244"/>
      <c r="AB2684" s="244"/>
      <c r="AC2684" s="235" t="s">
        <v>678</v>
      </c>
      <c r="AD2684" s="235" t="s">
        <v>679</v>
      </c>
      <c r="AE2684" s="238">
        <v>562162.0</v>
      </c>
      <c r="AF2684" s="235" t="s">
        <v>631</v>
      </c>
      <c r="AG2684" s="244"/>
      <c r="AH2684" s="244"/>
      <c r="AI2684" s="245"/>
      <c r="AJ2684" s="245"/>
      <c r="AK2684" s="245"/>
      <c r="AL2684" s="245"/>
      <c r="AM2684" s="244"/>
      <c r="AN2684" s="244"/>
      <c r="AO2684" s="238">
        <v>0.0</v>
      </c>
      <c r="AP2684" s="238">
        <v>-38.1</v>
      </c>
      <c r="AQ2684" s="235" t="s">
        <v>632</v>
      </c>
      <c r="AR2684" s="243">
        <v>3.71E11</v>
      </c>
      <c r="AS2684" s="235" t="s">
        <v>16626</v>
      </c>
      <c r="AT2684" s="235" t="s">
        <v>17</v>
      </c>
      <c r="AU2684" s="235" t="s">
        <v>634</v>
      </c>
      <c r="AV2684" s="246" t="s">
        <v>635</v>
      </c>
      <c r="AW2684" s="242"/>
      <c r="AX2684" s="242"/>
      <c r="AY2684" s="231"/>
      <c r="AZ2684" s="231"/>
      <c r="BA2684" s="227"/>
      <c r="BB2684" s="231"/>
      <c r="BC2684" s="227"/>
      <c r="BD2684" s="227"/>
      <c r="BE2684" s="227"/>
      <c r="BF2684" s="227"/>
    </row>
    <row r="2685">
      <c r="A2685" s="235" t="s">
        <v>20475</v>
      </c>
      <c r="C2685" s="235" t="s">
        <v>20476</v>
      </c>
      <c r="D2685" s="235" t="s">
        <v>20477</v>
      </c>
      <c r="E2685" s="243">
        <v>6.53E13</v>
      </c>
      <c r="F2685" s="245"/>
      <c r="G2685" s="235" t="s">
        <v>20478</v>
      </c>
      <c r="H2685" s="235" t="s">
        <v>20479</v>
      </c>
      <c r="I2685" s="235" t="s">
        <v>20480</v>
      </c>
      <c r="J2685" s="235" t="s">
        <v>20481</v>
      </c>
      <c r="K2685" s="235" t="s">
        <v>20482</v>
      </c>
      <c r="N2685" s="235" t="s">
        <v>90</v>
      </c>
      <c r="O2685" s="235" t="s">
        <v>279</v>
      </c>
      <c r="P2685" s="238">
        <v>1.0</v>
      </c>
      <c r="Q2685" s="235" t="s">
        <v>627</v>
      </c>
      <c r="R2685" s="238">
        <v>270.48</v>
      </c>
      <c r="S2685" s="238">
        <v>13.25</v>
      </c>
      <c r="T2685" s="238">
        <v>0.0</v>
      </c>
      <c r="U2685" s="238">
        <v>0.0</v>
      </c>
      <c r="V2685" s="238">
        <v>0.0</v>
      </c>
      <c r="W2685" s="238">
        <v>0.0</v>
      </c>
      <c r="X2685" s="235" t="s">
        <v>628</v>
      </c>
      <c r="Z2685" s="244"/>
      <c r="AA2685" s="244"/>
      <c r="AB2685" s="244"/>
      <c r="AC2685" s="235" t="s">
        <v>678</v>
      </c>
      <c r="AD2685" s="235" t="s">
        <v>679</v>
      </c>
      <c r="AE2685" s="238">
        <v>560087.0</v>
      </c>
      <c r="AF2685" s="235" t="s">
        <v>631</v>
      </c>
      <c r="AG2685" s="244"/>
      <c r="AH2685" s="244"/>
      <c r="AI2685" s="245"/>
      <c r="AJ2685" s="245"/>
      <c r="AK2685" s="245"/>
      <c r="AL2685" s="245"/>
      <c r="AM2685" s="244"/>
      <c r="AN2685" s="244"/>
      <c r="AO2685" s="238">
        <v>-5.41</v>
      </c>
      <c r="AP2685" s="238">
        <v>0.0</v>
      </c>
      <c r="AQ2685" s="235" t="s">
        <v>632</v>
      </c>
      <c r="AR2685" s="243">
        <v>1.68E11</v>
      </c>
      <c r="AS2685" s="235" t="s">
        <v>19840</v>
      </c>
      <c r="AT2685" s="235" t="s">
        <v>11</v>
      </c>
      <c r="AU2685" s="235" t="s">
        <v>634</v>
      </c>
      <c r="AV2685" s="246" t="s">
        <v>635</v>
      </c>
      <c r="AW2685" s="242"/>
      <c r="AX2685" s="242"/>
      <c r="AY2685" s="231"/>
      <c r="AZ2685" s="231"/>
      <c r="BA2685" s="227"/>
      <c r="BB2685" s="231"/>
      <c r="BC2685" s="227"/>
      <c r="BD2685" s="227"/>
      <c r="BE2685" s="227"/>
      <c r="BF2685" s="227"/>
    </row>
    <row r="2686">
      <c r="A2686" s="235" t="s">
        <v>20483</v>
      </c>
      <c r="C2686" s="235" t="s">
        <v>20484</v>
      </c>
      <c r="D2686" s="235" t="s">
        <v>20485</v>
      </c>
      <c r="E2686" s="243">
        <v>6.53E13</v>
      </c>
      <c r="F2686" s="245"/>
      <c r="G2686" s="235" t="s">
        <v>20486</v>
      </c>
      <c r="H2686" s="235" t="s">
        <v>20487</v>
      </c>
      <c r="I2686" s="235" t="s">
        <v>20487</v>
      </c>
      <c r="J2686" s="235" t="s">
        <v>20488</v>
      </c>
      <c r="K2686" s="235" t="s">
        <v>20489</v>
      </c>
      <c r="N2686" s="235" t="s">
        <v>71</v>
      </c>
      <c r="O2686" s="235" t="s">
        <v>240</v>
      </c>
      <c r="P2686" s="238">
        <v>1.0</v>
      </c>
      <c r="Q2686" s="235" t="s">
        <v>627</v>
      </c>
      <c r="R2686" s="238">
        <v>261.9</v>
      </c>
      <c r="S2686" s="238">
        <v>13.1</v>
      </c>
      <c r="T2686" s="238">
        <v>0.0</v>
      </c>
      <c r="U2686" s="238">
        <v>0.0</v>
      </c>
      <c r="V2686" s="238">
        <v>0.0</v>
      </c>
      <c r="W2686" s="238">
        <v>0.0</v>
      </c>
      <c r="X2686" s="235" t="s">
        <v>628</v>
      </c>
      <c r="Z2686" s="244"/>
      <c r="AA2686" s="244"/>
      <c r="AB2686" s="244"/>
      <c r="AC2686" s="235" t="s">
        <v>20490</v>
      </c>
      <c r="AD2686" s="235" t="s">
        <v>833</v>
      </c>
      <c r="AE2686" s="238">
        <v>531126.0</v>
      </c>
      <c r="AF2686" s="235" t="s">
        <v>631</v>
      </c>
      <c r="AG2686" s="244"/>
      <c r="AH2686" s="244"/>
      <c r="AI2686" s="245"/>
      <c r="AJ2686" s="245"/>
      <c r="AK2686" s="245"/>
      <c r="AL2686" s="245"/>
      <c r="AM2686" s="244"/>
      <c r="AN2686" s="244"/>
      <c r="AO2686" s="238">
        <v>0.0</v>
      </c>
      <c r="AP2686" s="238">
        <v>0.0</v>
      </c>
      <c r="AQ2686" s="235" t="s">
        <v>632</v>
      </c>
      <c r="AR2686" s="243">
        <v>3.71E11</v>
      </c>
      <c r="AS2686" s="235" t="s">
        <v>13822</v>
      </c>
      <c r="AT2686" s="235" t="s">
        <v>11</v>
      </c>
      <c r="AU2686" s="235" t="s">
        <v>634</v>
      </c>
      <c r="AV2686" s="246" t="s">
        <v>635</v>
      </c>
      <c r="AW2686" s="242"/>
      <c r="AX2686" s="242"/>
      <c r="AY2686" s="231"/>
      <c r="AZ2686" s="231"/>
      <c r="BA2686" s="227"/>
      <c r="BB2686" s="231"/>
      <c r="BC2686" s="227"/>
      <c r="BD2686" s="227"/>
      <c r="BE2686" s="227"/>
      <c r="BF2686" s="227"/>
    </row>
    <row r="2687">
      <c r="A2687" s="235" t="s">
        <v>20491</v>
      </c>
      <c r="C2687" s="235" t="s">
        <v>20492</v>
      </c>
      <c r="D2687" s="235" t="s">
        <v>20493</v>
      </c>
      <c r="E2687" s="243">
        <v>6.53E13</v>
      </c>
      <c r="F2687" s="245"/>
      <c r="G2687" s="235" t="s">
        <v>20494</v>
      </c>
      <c r="H2687" s="235" t="s">
        <v>20495</v>
      </c>
      <c r="I2687" s="235" t="s">
        <v>20496</v>
      </c>
      <c r="J2687" s="235" t="s">
        <v>20497</v>
      </c>
      <c r="K2687" s="235" t="s">
        <v>20498</v>
      </c>
      <c r="N2687" s="235" t="s">
        <v>85</v>
      </c>
      <c r="O2687" s="235" t="s">
        <v>872</v>
      </c>
      <c r="P2687" s="238">
        <v>1.0</v>
      </c>
      <c r="Q2687" s="235" t="s">
        <v>627</v>
      </c>
      <c r="R2687" s="238">
        <v>270.48</v>
      </c>
      <c r="S2687" s="238">
        <v>13.25</v>
      </c>
      <c r="T2687" s="238">
        <v>0.0</v>
      </c>
      <c r="U2687" s="238">
        <v>0.0</v>
      </c>
      <c r="V2687" s="238">
        <v>0.0</v>
      </c>
      <c r="W2687" s="238">
        <v>0.0</v>
      </c>
      <c r="X2687" s="235" t="s">
        <v>628</v>
      </c>
      <c r="Z2687" s="244"/>
      <c r="AA2687" s="244"/>
      <c r="AB2687" s="244"/>
      <c r="AC2687" s="235" t="s">
        <v>678</v>
      </c>
      <c r="AD2687" s="235" t="s">
        <v>679</v>
      </c>
      <c r="AE2687" s="238">
        <v>560087.0</v>
      </c>
      <c r="AF2687" s="235" t="s">
        <v>631</v>
      </c>
      <c r="AG2687" s="244"/>
      <c r="AH2687" s="244"/>
      <c r="AI2687" s="245"/>
      <c r="AJ2687" s="245"/>
      <c r="AK2687" s="245"/>
      <c r="AL2687" s="245"/>
      <c r="AM2687" s="244"/>
      <c r="AN2687" s="244"/>
      <c r="AO2687" s="238">
        <v>-5.41</v>
      </c>
      <c r="AP2687" s="238">
        <v>0.0</v>
      </c>
      <c r="AQ2687" s="235" t="s">
        <v>632</v>
      </c>
      <c r="AR2687" s="243">
        <v>1.68E11</v>
      </c>
      <c r="AS2687" s="235" t="s">
        <v>19840</v>
      </c>
      <c r="AT2687" s="235" t="s">
        <v>11</v>
      </c>
      <c r="AU2687" s="235" t="s">
        <v>634</v>
      </c>
      <c r="AV2687" s="246" t="s">
        <v>635</v>
      </c>
      <c r="AW2687" s="242"/>
      <c r="AX2687" s="242"/>
      <c r="AY2687" s="231"/>
      <c r="AZ2687" s="231"/>
      <c r="BA2687" s="227"/>
      <c r="BB2687" s="231"/>
      <c r="BC2687" s="227"/>
      <c r="BD2687" s="227"/>
      <c r="BE2687" s="227"/>
      <c r="BF2687" s="227"/>
    </row>
    <row r="2688">
      <c r="A2688" s="235" t="s">
        <v>20499</v>
      </c>
      <c r="C2688" s="235" t="s">
        <v>20500</v>
      </c>
      <c r="D2688" s="235" t="s">
        <v>20501</v>
      </c>
      <c r="E2688" s="243">
        <v>6.52E13</v>
      </c>
      <c r="F2688" s="245"/>
      <c r="G2688" s="235" t="s">
        <v>20502</v>
      </c>
      <c r="H2688" s="235" t="s">
        <v>20503</v>
      </c>
      <c r="I2688" s="235" t="s">
        <v>20503</v>
      </c>
      <c r="J2688" s="235" t="s">
        <v>20504</v>
      </c>
      <c r="K2688" s="235" t="s">
        <v>20505</v>
      </c>
      <c r="N2688" s="235" t="s">
        <v>4</v>
      </c>
      <c r="O2688" s="235" t="s">
        <v>1791</v>
      </c>
      <c r="P2688" s="238">
        <v>1.0</v>
      </c>
      <c r="Q2688" s="235" t="s">
        <v>627</v>
      </c>
      <c r="R2688" s="238">
        <v>242.86</v>
      </c>
      <c r="S2688" s="238">
        <v>12.14</v>
      </c>
      <c r="T2688" s="238">
        <v>38.1</v>
      </c>
      <c r="U2688" s="238">
        <v>1.9</v>
      </c>
      <c r="V2688" s="238">
        <v>0.0</v>
      </c>
      <c r="W2688" s="238">
        <v>0.0</v>
      </c>
      <c r="X2688" s="235" t="s">
        <v>628</v>
      </c>
      <c r="Z2688" s="244"/>
      <c r="AA2688" s="244"/>
      <c r="AB2688" s="244"/>
      <c r="AC2688" s="235" t="s">
        <v>20506</v>
      </c>
      <c r="AD2688" s="235" t="s">
        <v>645</v>
      </c>
      <c r="AE2688" s="238">
        <v>676306.0</v>
      </c>
      <c r="AF2688" s="235" t="s">
        <v>631</v>
      </c>
      <c r="AG2688" s="244"/>
      <c r="AH2688" s="244"/>
      <c r="AI2688" s="245"/>
      <c r="AJ2688" s="245"/>
      <c r="AK2688" s="245"/>
      <c r="AL2688" s="245"/>
      <c r="AM2688" s="244"/>
      <c r="AN2688" s="244"/>
      <c r="AO2688" s="238">
        <v>0.0</v>
      </c>
      <c r="AP2688" s="238">
        <v>-38.1</v>
      </c>
      <c r="AQ2688" s="235" t="s">
        <v>632</v>
      </c>
      <c r="AR2688" s="243">
        <v>3.71E11</v>
      </c>
      <c r="AS2688" s="235" t="s">
        <v>16626</v>
      </c>
      <c r="AT2688" s="235" t="s">
        <v>9</v>
      </c>
      <c r="AU2688" s="235" t="s">
        <v>634</v>
      </c>
      <c r="AV2688" s="246" t="s">
        <v>635</v>
      </c>
      <c r="AW2688" s="242"/>
      <c r="AX2688" s="242"/>
      <c r="AY2688" s="231"/>
      <c r="AZ2688" s="231"/>
      <c r="BA2688" s="227"/>
      <c r="BB2688" s="231"/>
      <c r="BC2688" s="227"/>
      <c r="BD2688" s="227"/>
      <c r="BE2688" s="227"/>
      <c r="BF2688" s="227"/>
    </row>
    <row r="2689">
      <c r="A2689" s="235" t="s">
        <v>20507</v>
      </c>
      <c r="C2689" s="235" t="s">
        <v>20508</v>
      </c>
      <c r="D2689" s="235" t="s">
        <v>20509</v>
      </c>
      <c r="E2689" s="243">
        <v>6.53E13</v>
      </c>
      <c r="F2689" s="245"/>
      <c r="G2689" s="235" t="s">
        <v>20510</v>
      </c>
      <c r="H2689" s="235" t="s">
        <v>20511</v>
      </c>
      <c r="I2689" s="235" t="s">
        <v>20511</v>
      </c>
      <c r="J2689" s="235" t="s">
        <v>20512</v>
      </c>
      <c r="K2689" s="235" t="s">
        <v>20513</v>
      </c>
      <c r="N2689" s="235" t="s">
        <v>1646</v>
      </c>
      <c r="O2689" s="235" t="s">
        <v>1647</v>
      </c>
      <c r="P2689" s="238">
        <v>1.0</v>
      </c>
      <c r="Q2689" s="235" t="s">
        <v>627</v>
      </c>
      <c r="R2689" s="238">
        <v>270.48</v>
      </c>
      <c r="S2689" s="238">
        <v>13.52</v>
      </c>
      <c r="T2689" s="238">
        <v>38.1</v>
      </c>
      <c r="U2689" s="238">
        <v>1.9</v>
      </c>
      <c r="V2689" s="238">
        <v>0.0</v>
      </c>
      <c r="W2689" s="238">
        <v>0.0</v>
      </c>
      <c r="X2689" s="235" t="s">
        <v>628</v>
      </c>
      <c r="Z2689" s="244"/>
      <c r="AA2689" s="244"/>
      <c r="AB2689" s="244"/>
      <c r="AC2689" s="235" t="s">
        <v>20514</v>
      </c>
      <c r="AD2689" s="235" t="s">
        <v>630</v>
      </c>
      <c r="AE2689" s="238">
        <v>202390.0</v>
      </c>
      <c r="AF2689" s="235" t="s">
        <v>631</v>
      </c>
      <c r="AG2689" s="244"/>
      <c r="AH2689" s="244"/>
      <c r="AI2689" s="245"/>
      <c r="AJ2689" s="245"/>
      <c r="AK2689" s="245"/>
      <c r="AL2689" s="245"/>
      <c r="AM2689" s="244"/>
      <c r="AN2689" s="244"/>
      <c r="AO2689" s="238">
        <v>0.0</v>
      </c>
      <c r="AP2689" s="238">
        <v>-38.1</v>
      </c>
      <c r="AQ2689" s="235" t="s">
        <v>632</v>
      </c>
      <c r="AR2689" s="243">
        <v>3.71E11</v>
      </c>
      <c r="AS2689" s="235" t="s">
        <v>16626</v>
      </c>
      <c r="AT2689" s="235" t="s">
        <v>14</v>
      </c>
      <c r="AU2689" s="235" t="s">
        <v>634</v>
      </c>
      <c r="AV2689" s="246" t="s">
        <v>635</v>
      </c>
      <c r="AW2689" s="242"/>
      <c r="AX2689" s="242"/>
      <c r="AY2689" s="231"/>
      <c r="AZ2689" s="231"/>
      <c r="BA2689" s="227"/>
      <c r="BB2689" s="231"/>
      <c r="BC2689" s="227"/>
      <c r="BD2689" s="227"/>
      <c r="BE2689" s="227"/>
      <c r="BF2689" s="227"/>
    </row>
    <row r="2690">
      <c r="A2690" s="235" t="s">
        <v>20515</v>
      </c>
      <c r="C2690" s="235" t="s">
        <v>20516</v>
      </c>
      <c r="D2690" s="235" t="s">
        <v>20517</v>
      </c>
      <c r="E2690" s="243">
        <v>6.52E13</v>
      </c>
      <c r="F2690" s="245"/>
      <c r="G2690" s="235" t="s">
        <v>20518</v>
      </c>
      <c r="H2690" s="235" t="s">
        <v>20519</v>
      </c>
      <c r="I2690" s="235" t="s">
        <v>20519</v>
      </c>
      <c r="J2690" s="235" t="s">
        <v>20520</v>
      </c>
      <c r="K2690" s="235" t="s">
        <v>20521</v>
      </c>
      <c r="N2690" s="235" t="s">
        <v>2696</v>
      </c>
      <c r="O2690" s="235" t="s">
        <v>2697</v>
      </c>
      <c r="P2690" s="238">
        <v>1.0</v>
      </c>
      <c r="Q2690" s="235" t="s">
        <v>627</v>
      </c>
      <c r="R2690" s="238">
        <v>246.66</v>
      </c>
      <c r="S2690" s="238">
        <v>12.34</v>
      </c>
      <c r="T2690" s="238">
        <v>0.0</v>
      </c>
      <c r="U2690" s="238">
        <v>0.0</v>
      </c>
      <c r="V2690" s="238">
        <v>0.0</v>
      </c>
      <c r="W2690" s="238">
        <v>0.0</v>
      </c>
      <c r="X2690" s="235" t="s">
        <v>628</v>
      </c>
      <c r="Z2690" s="244"/>
      <c r="AA2690" s="244"/>
      <c r="AB2690" s="244"/>
      <c r="AC2690" s="235" t="s">
        <v>1058</v>
      </c>
      <c r="AD2690" s="235" t="s">
        <v>845</v>
      </c>
      <c r="AE2690" s="238">
        <v>400102.0</v>
      </c>
      <c r="AF2690" s="235" t="s">
        <v>631</v>
      </c>
      <c r="AG2690" s="244"/>
      <c r="AH2690" s="244"/>
      <c r="AI2690" s="245"/>
      <c r="AJ2690" s="245"/>
      <c r="AK2690" s="245"/>
      <c r="AL2690" s="245"/>
      <c r="AM2690" s="244"/>
      <c r="AN2690" s="244"/>
      <c r="AO2690" s="238">
        <v>0.0</v>
      </c>
      <c r="AP2690" s="238">
        <v>0.0</v>
      </c>
      <c r="AQ2690" s="235" t="s">
        <v>632</v>
      </c>
      <c r="AR2690" s="243">
        <v>3.71E11</v>
      </c>
      <c r="AS2690" s="235" t="s">
        <v>19388</v>
      </c>
      <c r="AT2690" s="235" t="s">
        <v>17</v>
      </c>
      <c r="AU2690" s="235" t="s">
        <v>634</v>
      </c>
      <c r="AV2690" s="246" t="s">
        <v>635</v>
      </c>
      <c r="AW2690" s="242"/>
      <c r="AX2690" s="242"/>
      <c r="AY2690" s="231"/>
      <c r="AZ2690" s="231"/>
      <c r="BA2690" s="227"/>
      <c r="BB2690" s="231"/>
      <c r="BC2690" s="227"/>
      <c r="BD2690" s="227"/>
      <c r="BE2690" s="227"/>
      <c r="BF2690" s="227"/>
    </row>
    <row r="2691">
      <c r="A2691" s="235" t="s">
        <v>20522</v>
      </c>
      <c r="C2691" s="235" t="s">
        <v>20523</v>
      </c>
      <c r="D2691" s="235" t="s">
        <v>20524</v>
      </c>
      <c r="E2691" s="243">
        <v>6.53E13</v>
      </c>
      <c r="F2691" s="245"/>
      <c r="G2691" s="235" t="s">
        <v>20525</v>
      </c>
      <c r="H2691" s="235" t="s">
        <v>20526</v>
      </c>
      <c r="I2691" s="235" t="s">
        <v>20526</v>
      </c>
      <c r="J2691" s="235" t="s">
        <v>20527</v>
      </c>
      <c r="K2691" s="235" t="s">
        <v>20528</v>
      </c>
      <c r="N2691" s="235" t="s">
        <v>130</v>
      </c>
      <c r="O2691" s="235" t="s">
        <v>707</v>
      </c>
      <c r="P2691" s="238">
        <v>1.0</v>
      </c>
      <c r="Q2691" s="235" t="s">
        <v>627</v>
      </c>
      <c r="R2691" s="238">
        <v>270.48</v>
      </c>
      <c r="S2691" s="238">
        <v>13.25</v>
      </c>
      <c r="T2691" s="238">
        <v>0.0</v>
      </c>
      <c r="U2691" s="238">
        <v>0.0</v>
      </c>
      <c r="V2691" s="238">
        <v>0.0</v>
      </c>
      <c r="W2691" s="238">
        <v>0.0</v>
      </c>
      <c r="X2691" s="235" t="s">
        <v>628</v>
      </c>
      <c r="Z2691" s="244"/>
      <c r="AA2691" s="244"/>
      <c r="AB2691" s="244"/>
      <c r="AC2691" s="235" t="s">
        <v>687</v>
      </c>
      <c r="AD2691" s="235" t="s">
        <v>666</v>
      </c>
      <c r="AE2691" s="238">
        <v>600110.0</v>
      </c>
      <c r="AF2691" s="235" t="s">
        <v>631</v>
      </c>
      <c r="AG2691" s="244"/>
      <c r="AH2691" s="244"/>
      <c r="AI2691" s="245"/>
      <c r="AJ2691" s="245"/>
      <c r="AK2691" s="245"/>
      <c r="AL2691" s="245"/>
      <c r="AM2691" s="244"/>
      <c r="AN2691" s="244"/>
      <c r="AO2691" s="238">
        <v>-5.41</v>
      </c>
      <c r="AP2691" s="238">
        <v>0.0</v>
      </c>
      <c r="AQ2691" s="235" t="s">
        <v>632</v>
      </c>
      <c r="AR2691" s="243">
        <v>1.68E11</v>
      </c>
      <c r="AS2691" s="235" t="s">
        <v>20529</v>
      </c>
      <c r="AT2691" s="235" t="s">
        <v>156</v>
      </c>
      <c r="AU2691" s="235" t="s">
        <v>634</v>
      </c>
      <c r="AV2691" s="246" t="s">
        <v>635</v>
      </c>
      <c r="AW2691" s="242"/>
      <c r="AX2691" s="242"/>
      <c r="AY2691" s="231"/>
      <c r="AZ2691" s="231"/>
      <c r="BA2691" s="227"/>
      <c r="BB2691" s="231"/>
      <c r="BC2691" s="227"/>
      <c r="BD2691" s="227"/>
      <c r="BE2691" s="227"/>
      <c r="BF2691" s="227"/>
    </row>
    <row r="2692">
      <c r="A2692" s="235" t="s">
        <v>20530</v>
      </c>
      <c r="C2692" s="235" t="s">
        <v>20531</v>
      </c>
      <c r="D2692" s="235" t="s">
        <v>20532</v>
      </c>
      <c r="E2692" s="243">
        <v>6.52E13</v>
      </c>
      <c r="F2692" s="245"/>
      <c r="G2692" s="235" t="s">
        <v>20533</v>
      </c>
      <c r="H2692" s="235" t="s">
        <v>20534</v>
      </c>
      <c r="I2692" s="235" t="s">
        <v>20534</v>
      </c>
      <c r="J2692" s="235" t="s">
        <v>20535</v>
      </c>
      <c r="K2692" s="235" t="s">
        <v>20536</v>
      </c>
      <c r="N2692" s="235" t="s">
        <v>31</v>
      </c>
      <c r="O2692" s="235" t="s">
        <v>954</v>
      </c>
      <c r="P2692" s="238">
        <v>2.0</v>
      </c>
      <c r="Q2692" s="235" t="s">
        <v>627</v>
      </c>
      <c r="R2692" s="238">
        <v>893.34</v>
      </c>
      <c r="S2692" s="238">
        <v>43.32</v>
      </c>
      <c r="T2692" s="238">
        <v>0.0</v>
      </c>
      <c r="U2692" s="238">
        <v>0.0</v>
      </c>
      <c r="V2692" s="238">
        <v>0.0</v>
      </c>
      <c r="W2692" s="238">
        <v>0.0</v>
      </c>
      <c r="X2692" s="235" t="s">
        <v>628</v>
      </c>
      <c r="Z2692" s="244"/>
      <c r="AA2692" s="244"/>
      <c r="AB2692" s="244"/>
      <c r="AC2692" s="235" t="s">
        <v>844</v>
      </c>
      <c r="AD2692" s="235" t="s">
        <v>845</v>
      </c>
      <c r="AE2692" s="238">
        <v>411051.0</v>
      </c>
      <c r="AF2692" s="235" t="s">
        <v>631</v>
      </c>
      <c r="AG2692" s="244"/>
      <c r="AH2692" s="244"/>
      <c r="AI2692" s="245"/>
      <c r="AJ2692" s="245"/>
      <c r="AK2692" s="245"/>
      <c r="AL2692" s="245"/>
      <c r="AM2692" s="244"/>
      <c r="AN2692" s="244"/>
      <c r="AO2692" s="238">
        <v>-26.8</v>
      </c>
      <c r="AP2692" s="238">
        <v>0.0</v>
      </c>
      <c r="AQ2692" s="235" t="s">
        <v>632</v>
      </c>
      <c r="AR2692" s="243">
        <v>3.71E11</v>
      </c>
      <c r="AS2692" s="235" t="s">
        <v>12693</v>
      </c>
      <c r="AT2692" s="235" t="s">
        <v>14</v>
      </c>
      <c r="AU2692" s="235" t="s">
        <v>634</v>
      </c>
      <c r="AV2692" s="246" t="s">
        <v>635</v>
      </c>
      <c r="AW2692" s="242"/>
      <c r="AX2692" s="242"/>
      <c r="AY2692" s="231"/>
      <c r="AZ2692" s="231"/>
      <c r="BA2692" s="227"/>
      <c r="BB2692" s="231"/>
      <c r="BC2692" s="227"/>
      <c r="BD2692" s="227"/>
      <c r="BE2692" s="227"/>
      <c r="BF2692" s="227"/>
    </row>
    <row r="2693">
      <c r="A2693" s="235" t="s">
        <v>20537</v>
      </c>
      <c r="C2693" s="235" t="s">
        <v>20538</v>
      </c>
      <c r="D2693" s="235" t="s">
        <v>20539</v>
      </c>
      <c r="E2693" s="243">
        <v>6.53E13</v>
      </c>
      <c r="F2693" s="245"/>
      <c r="G2693" s="235" t="s">
        <v>20540</v>
      </c>
      <c r="H2693" s="235" t="s">
        <v>20541</v>
      </c>
      <c r="I2693" s="235" t="s">
        <v>20541</v>
      </c>
      <c r="J2693" s="235" t="s">
        <v>20542</v>
      </c>
      <c r="K2693" s="235" t="s">
        <v>20543</v>
      </c>
      <c r="N2693" s="235" t="s">
        <v>556</v>
      </c>
      <c r="O2693" s="235" t="s">
        <v>555</v>
      </c>
      <c r="P2693" s="238">
        <v>1.0</v>
      </c>
      <c r="Q2693" s="235" t="s">
        <v>627</v>
      </c>
      <c r="R2693" s="238">
        <v>270.48</v>
      </c>
      <c r="S2693" s="238">
        <v>13.25</v>
      </c>
      <c r="T2693" s="238">
        <v>38.1</v>
      </c>
      <c r="U2693" s="238">
        <v>1.9</v>
      </c>
      <c r="V2693" s="238">
        <v>0.0</v>
      </c>
      <c r="W2693" s="238">
        <v>0.0</v>
      </c>
      <c r="X2693" s="235" t="s">
        <v>628</v>
      </c>
      <c r="Z2693" s="244"/>
      <c r="AA2693" s="244"/>
      <c r="AB2693" s="244"/>
      <c r="AC2693" s="235" t="s">
        <v>20544</v>
      </c>
      <c r="AD2693" s="235" t="s">
        <v>965</v>
      </c>
      <c r="AE2693" s="238">
        <v>175126.0</v>
      </c>
      <c r="AF2693" s="235" t="s">
        <v>631</v>
      </c>
      <c r="AG2693" s="244"/>
      <c r="AH2693" s="244"/>
      <c r="AI2693" s="245"/>
      <c r="AJ2693" s="245"/>
      <c r="AK2693" s="245"/>
      <c r="AL2693" s="245"/>
      <c r="AM2693" s="244"/>
      <c r="AN2693" s="244"/>
      <c r="AO2693" s="238">
        <v>-5.41</v>
      </c>
      <c r="AP2693" s="238">
        <v>-38.1</v>
      </c>
      <c r="AQ2693" s="235" t="s">
        <v>632</v>
      </c>
      <c r="AR2693" s="243">
        <v>3.71E11</v>
      </c>
      <c r="AS2693" s="235" t="s">
        <v>16626</v>
      </c>
      <c r="AT2693" s="235" t="s">
        <v>14</v>
      </c>
      <c r="AU2693" s="235" t="s">
        <v>634</v>
      </c>
      <c r="AV2693" s="246" t="s">
        <v>635</v>
      </c>
      <c r="AW2693" s="242"/>
      <c r="AX2693" s="242"/>
      <c r="AY2693" s="231"/>
      <c r="AZ2693" s="231"/>
      <c r="BA2693" s="227"/>
      <c r="BB2693" s="231"/>
      <c r="BC2693" s="227"/>
      <c r="BD2693" s="227"/>
      <c r="BE2693" s="227"/>
      <c r="BF2693" s="227"/>
    </row>
    <row r="2694">
      <c r="A2694" s="235" t="s">
        <v>20545</v>
      </c>
      <c r="C2694" s="235" t="s">
        <v>20546</v>
      </c>
      <c r="D2694" s="235" t="s">
        <v>20547</v>
      </c>
      <c r="E2694" s="243">
        <v>6.53E13</v>
      </c>
      <c r="F2694" s="245"/>
      <c r="G2694" s="235" t="s">
        <v>20548</v>
      </c>
      <c r="H2694" s="235" t="s">
        <v>20549</v>
      </c>
      <c r="I2694" s="235" t="s">
        <v>20549</v>
      </c>
      <c r="J2694" s="235" t="s">
        <v>20550</v>
      </c>
      <c r="K2694" s="235" t="s">
        <v>20551</v>
      </c>
      <c r="N2694" s="235" t="s">
        <v>92</v>
      </c>
      <c r="O2694" s="235" t="s">
        <v>248</v>
      </c>
      <c r="P2694" s="238">
        <v>1.0</v>
      </c>
      <c r="Q2694" s="235" t="s">
        <v>627</v>
      </c>
      <c r="R2694" s="238">
        <v>270.48</v>
      </c>
      <c r="S2694" s="238">
        <v>13.25</v>
      </c>
      <c r="T2694" s="238">
        <v>0.0</v>
      </c>
      <c r="U2694" s="238">
        <v>0.0</v>
      </c>
      <c r="V2694" s="238">
        <v>0.0</v>
      </c>
      <c r="W2694" s="238">
        <v>0.0</v>
      </c>
      <c r="X2694" s="235" t="s">
        <v>628</v>
      </c>
      <c r="Z2694" s="244"/>
      <c r="AA2694" s="244"/>
      <c r="AB2694" s="244"/>
      <c r="AC2694" s="235" t="s">
        <v>20552</v>
      </c>
      <c r="AD2694" s="235" t="s">
        <v>917</v>
      </c>
      <c r="AE2694" s="238">
        <v>327022.0</v>
      </c>
      <c r="AF2694" s="235" t="s">
        <v>631</v>
      </c>
      <c r="AG2694" s="244"/>
      <c r="AH2694" s="244"/>
      <c r="AI2694" s="245"/>
      <c r="AJ2694" s="245"/>
      <c r="AK2694" s="245"/>
      <c r="AL2694" s="245"/>
      <c r="AM2694" s="244"/>
      <c r="AN2694" s="244"/>
      <c r="AO2694" s="238">
        <v>-5.41</v>
      </c>
      <c r="AP2694" s="238">
        <v>0.0</v>
      </c>
      <c r="AQ2694" s="235" t="s">
        <v>1328</v>
      </c>
      <c r="AR2694" s="243">
        <v>1.34E13</v>
      </c>
      <c r="AS2694" s="235" t="s">
        <v>13822</v>
      </c>
      <c r="AT2694" s="235" t="s">
        <v>5</v>
      </c>
      <c r="AU2694" s="235" t="s">
        <v>634</v>
      </c>
      <c r="AV2694" s="246" t="s">
        <v>635</v>
      </c>
      <c r="AW2694" s="242"/>
      <c r="AX2694" s="242"/>
      <c r="AY2694" s="231"/>
      <c r="AZ2694" s="231"/>
      <c r="BA2694" s="227"/>
      <c r="BB2694" s="231"/>
      <c r="BC2694" s="227"/>
      <c r="BD2694" s="227"/>
      <c r="BE2694" s="227"/>
      <c r="BF2694" s="227"/>
    </row>
    <row r="2695">
      <c r="A2695" s="235" t="s">
        <v>20553</v>
      </c>
      <c r="C2695" s="235" t="s">
        <v>20554</v>
      </c>
      <c r="D2695" s="235" t="s">
        <v>20555</v>
      </c>
      <c r="E2695" s="243">
        <v>6.53E13</v>
      </c>
      <c r="F2695" s="245"/>
      <c r="G2695" s="235" t="s">
        <v>20556</v>
      </c>
      <c r="H2695" s="235" t="s">
        <v>20557</v>
      </c>
      <c r="I2695" s="235" t="s">
        <v>20557</v>
      </c>
      <c r="J2695" s="235" t="s">
        <v>20558</v>
      </c>
      <c r="K2695" s="235" t="s">
        <v>20559</v>
      </c>
      <c r="N2695" s="235" t="s">
        <v>1346</v>
      </c>
      <c r="O2695" s="235" t="s">
        <v>1347</v>
      </c>
      <c r="P2695" s="238">
        <v>1.0</v>
      </c>
      <c r="Q2695" s="235" t="s">
        <v>627</v>
      </c>
      <c r="R2695" s="238">
        <v>256.19</v>
      </c>
      <c r="S2695" s="238">
        <v>12.81</v>
      </c>
      <c r="T2695" s="238">
        <v>38.1</v>
      </c>
      <c r="U2695" s="238">
        <v>1.9</v>
      </c>
      <c r="V2695" s="238">
        <v>0.0</v>
      </c>
      <c r="W2695" s="238">
        <v>0.0</v>
      </c>
      <c r="X2695" s="235" t="s">
        <v>628</v>
      </c>
      <c r="Z2695" s="244"/>
      <c r="AA2695" s="244"/>
      <c r="AB2695" s="244"/>
      <c r="AC2695" s="235" t="s">
        <v>20560</v>
      </c>
      <c r="AD2695" s="235" t="s">
        <v>1151</v>
      </c>
      <c r="AE2695" s="238">
        <v>721301.0</v>
      </c>
      <c r="AF2695" s="235" t="s">
        <v>631</v>
      </c>
      <c r="AG2695" s="244"/>
      <c r="AH2695" s="244"/>
      <c r="AI2695" s="245"/>
      <c r="AJ2695" s="245"/>
      <c r="AK2695" s="245"/>
      <c r="AL2695" s="245"/>
      <c r="AM2695" s="244"/>
      <c r="AN2695" s="244"/>
      <c r="AO2695" s="238">
        <v>0.0</v>
      </c>
      <c r="AP2695" s="238">
        <v>-38.1</v>
      </c>
      <c r="AQ2695" s="235" t="s">
        <v>632</v>
      </c>
      <c r="AR2695" s="243">
        <v>3.71E11</v>
      </c>
      <c r="AS2695" s="235" t="s">
        <v>15064</v>
      </c>
      <c r="AT2695" s="235" t="s">
        <v>13</v>
      </c>
      <c r="AU2695" s="235" t="s">
        <v>634</v>
      </c>
      <c r="AV2695" s="246" t="s">
        <v>635</v>
      </c>
      <c r="AW2695" s="242"/>
      <c r="AX2695" s="242"/>
      <c r="AY2695" s="231"/>
      <c r="AZ2695" s="231"/>
      <c r="BA2695" s="227"/>
      <c r="BB2695" s="231"/>
      <c r="BC2695" s="227"/>
      <c r="BD2695" s="227"/>
      <c r="BE2695" s="227"/>
      <c r="BF2695" s="227"/>
    </row>
    <row r="2696">
      <c r="A2696" s="235" t="s">
        <v>20561</v>
      </c>
      <c r="C2696" s="235" t="s">
        <v>20562</v>
      </c>
      <c r="D2696" s="235" t="s">
        <v>20563</v>
      </c>
      <c r="E2696" s="243">
        <v>6.53E13</v>
      </c>
      <c r="F2696" s="245"/>
      <c r="G2696" s="235" t="s">
        <v>20564</v>
      </c>
      <c r="H2696" s="235" t="s">
        <v>20565</v>
      </c>
      <c r="I2696" s="235" t="s">
        <v>20566</v>
      </c>
      <c r="J2696" s="235" t="s">
        <v>20567</v>
      </c>
      <c r="K2696" s="235" t="s">
        <v>20568</v>
      </c>
      <c r="N2696" s="235" t="s">
        <v>53</v>
      </c>
      <c r="O2696" s="235" t="s">
        <v>512</v>
      </c>
      <c r="P2696" s="238">
        <v>1.0</v>
      </c>
      <c r="Q2696" s="235" t="s">
        <v>627</v>
      </c>
      <c r="R2696" s="238">
        <v>270.48</v>
      </c>
      <c r="S2696" s="238">
        <v>13.52</v>
      </c>
      <c r="T2696" s="238">
        <v>0.0</v>
      </c>
      <c r="U2696" s="238">
        <v>0.0</v>
      </c>
      <c r="V2696" s="238">
        <v>0.0</v>
      </c>
      <c r="W2696" s="238">
        <v>0.0</v>
      </c>
      <c r="X2696" s="235" t="s">
        <v>628</v>
      </c>
      <c r="Z2696" s="244"/>
      <c r="AA2696" s="244"/>
      <c r="AB2696" s="244"/>
      <c r="AC2696" s="235" t="s">
        <v>687</v>
      </c>
      <c r="AD2696" s="235" t="s">
        <v>666</v>
      </c>
      <c r="AE2696" s="238">
        <v>600058.0</v>
      </c>
      <c r="AF2696" s="235" t="s">
        <v>631</v>
      </c>
      <c r="AG2696" s="244"/>
      <c r="AH2696" s="244"/>
      <c r="AI2696" s="245"/>
      <c r="AJ2696" s="245"/>
      <c r="AK2696" s="245"/>
      <c r="AL2696" s="245"/>
      <c r="AM2696" s="244"/>
      <c r="AN2696" s="244"/>
      <c r="AO2696" s="238">
        <v>0.0</v>
      </c>
      <c r="AP2696" s="238">
        <v>0.0</v>
      </c>
      <c r="AQ2696" s="235" t="s">
        <v>632</v>
      </c>
      <c r="AR2696" s="243">
        <v>1.68E11</v>
      </c>
      <c r="AS2696" s="235" t="s">
        <v>19388</v>
      </c>
      <c r="AT2696" s="235" t="s">
        <v>9</v>
      </c>
      <c r="AU2696" s="235" t="s">
        <v>634</v>
      </c>
      <c r="AV2696" s="246" t="s">
        <v>635</v>
      </c>
      <c r="AW2696" s="242"/>
      <c r="AX2696" s="242"/>
      <c r="AY2696" s="231"/>
      <c r="AZ2696" s="231"/>
      <c r="BA2696" s="227"/>
      <c r="BB2696" s="231"/>
      <c r="BC2696" s="227"/>
      <c r="BD2696" s="227"/>
      <c r="BE2696" s="227"/>
      <c r="BF2696" s="227"/>
    </row>
    <row r="2697">
      <c r="A2697" s="235" t="s">
        <v>20569</v>
      </c>
      <c r="C2697" s="235" t="s">
        <v>20570</v>
      </c>
      <c r="D2697" s="235" t="s">
        <v>20571</v>
      </c>
      <c r="E2697" s="243">
        <v>6.53E13</v>
      </c>
      <c r="F2697" s="245"/>
      <c r="G2697" s="235" t="s">
        <v>20572</v>
      </c>
      <c r="H2697" s="235" t="s">
        <v>20573</v>
      </c>
      <c r="I2697" s="235" t="s">
        <v>20574</v>
      </c>
      <c r="J2697" s="235" t="s">
        <v>20575</v>
      </c>
      <c r="K2697" s="235" t="s">
        <v>20576</v>
      </c>
      <c r="N2697" s="235" t="s">
        <v>3</v>
      </c>
      <c r="O2697" s="235" t="s">
        <v>654</v>
      </c>
      <c r="P2697" s="238">
        <v>1.0</v>
      </c>
      <c r="Q2697" s="235" t="s">
        <v>627</v>
      </c>
      <c r="R2697" s="238">
        <v>284.76</v>
      </c>
      <c r="S2697" s="238">
        <v>13.96</v>
      </c>
      <c r="T2697" s="238">
        <v>0.0</v>
      </c>
      <c r="U2697" s="238">
        <v>0.0</v>
      </c>
      <c r="V2697" s="238">
        <v>0.0</v>
      </c>
      <c r="W2697" s="238">
        <v>0.0</v>
      </c>
      <c r="X2697" s="235" t="s">
        <v>628</v>
      </c>
      <c r="Z2697" s="244"/>
      <c r="AA2697" s="244"/>
      <c r="AB2697" s="244"/>
      <c r="AC2697" s="235" t="s">
        <v>678</v>
      </c>
      <c r="AD2697" s="235" t="s">
        <v>679</v>
      </c>
      <c r="AE2697" s="238">
        <v>560075.0</v>
      </c>
      <c r="AF2697" s="235" t="s">
        <v>631</v>
      </c>
      <c r="AG2697" s="244"/>
      <c r="AH2697" s="244"/>
      <c r="AI2697" s="245"/>
      <c r="AJ2697" s="245"/>
      <c r="AK2697" s="245"/>
      <c r="AL2697" s="245"/>
      <c r="AM2697" s="244"/>
      <c r="AN2697" s="244"/>
      <c r="AO2697" s="238">
        <v>-5.7</v>
      </c>
      <c r="AP2697" s="238">
        <v>0.0</v>
      </c>
      <c r="AQ2697" s="235" t="s">
        <v>632</v>
      </c>
      <c r="AR2697" s="243">
        <v>1.68E11</v>
      </c>
      <c r="AS2697" s="235" t="s">
        <v>17988</v>
      </c>
      <c r="AT2697" s="235" t="s">
        <v>16</v>
      </c>
      <c r="AU2697" s="235" t="s">
        <v>634</v>
      </c>
      <c r="AV2697" s="246" t="s">
        <v>635</v>
      </c>
      <c r="AW2697" s="242"/>
      <c r="AX2697" s="242"/>
      <c r="AY2697" s="231"/>
      <c r="AZ2697" s="231"/>
      <c r="BA2697" s="227"/>
      <c r="BB2697" s="231"/>
      <c r="BC2697" s="227"/>
      <c r="BD2697" s="227"/>
      <c r="BE2697" s="227"/>
      <c r="BF2697" s="227"/>
    </row>
    <row r="2698">
      <c r="A2698" s="235" t="s">
        <v>20577</v>
      </c>
      <c r="C2698" s="235" t="s">
        <v>20578</v>
      </c>
      <c r="D2698" s="235" t="s">
        <v>20579</v>
      </c>
      <c r="E2698" s="243">
        <v>6.53E13</v>
      </c>
      <c r="F2698" s="245"/>
      <c r="G2698" s="235" t="s">
        <v>20580</v>
      </c>
      <c r="H2698" s="235" t="s">
        <v>20581</v>
      </c>
      <c r="I2698" s="235" t="s">
        <v>20581</v>
      </c>
      <c r="J2698" s="235" t="s">
        <v>20582</v>
      </c>
      <c r="K2698" s="235" t="s">
        <v>20583</v>
      </c>
      <c r="N2698" s="235" t="s">
        <v>51</v>
      </c>
      <c r="O2698" s="235" t="s">
        <v>273</v>
      </c>
      <c r="P2698" s="238">
        <v>1.0</v>
      </c>
      <c r="Q2698" s="235" t="s">
        <v>627</v>
      </c>
      <c r="R2698" s="238">
        <v>270.48</v>
      </c>
      <c r="S2698" s="238">
        <v>13.52</v>
      </c>
      <c r="T2698" s="238">
        <v>38.1</v>
      </c>
      <c r="U2698" s="238">
        <v>1.9</v>
      </c>
      <c r="V2698" s="238">
        <v>0.0</v>
      </c>
      <c r="W2698" s="238">
        <v>0.0</v>
      </c>
      <c r="X2698" s="235" t="s">
        <v>628</v>
      </c>
      <c r="Z2698" s="244"/>
      <c r="AA2698" s="244"/>
      <c r="AB2698" s="244"/>
      <c r="AC2698" s="235" t="s">
        <v>20584</v>
      </c>
      <c r="AD2698" s="235" t="s">
        <v>679</v>
      </c>
      <c r="AE2698" s="238">
        <v>583103.0</v>
      </c>
      <c r="AF2698" s="235" t="s">
        <v>631</v>
      </c>
      <c r="AG2698" s="244"/>
      <c r="AH2698" s="244"/>
      <c r="AI2698" s="245"/>
      <c r="AJ2698" s="245"/>
      <c r="AK2698" s="245"/>
      <c r="AL2698" s="245"/>
      <c r="AM2698" s="244"/>
      <c r="AN2698" s="244"/>
      <c r="AO2698" s="238">
        <v>0.0</v>
      </c>
      <c r="AP2698" s="238">
        <v>-38.1</v>
      </c>
      <c r="AQ2698" s="235" t="s">
        <v>632</v>
      </c>
      <c r="AR2698" s="243">
        <v>3.71E11</v>
      </c>
      <c r="AS2698" s="235" t="s">
        <v>16626</v>
      </c>
      <c r="AT2698" s="235" t="s">
        <v>11</v>
      </c>
      <c r="AU2698" s="235" t="s">
        <v>634</v>
      </c>
      <c r="AV2698" s="246" t="s">
        <v>635</v>
      </c>
      <c r="AW2698" s="242"/>
      <c r="AX2698" s="242"/>
      <c r="AY2698" s="231"/>
      <c r="AZ2698" s="231"/>
      <c r="BA2698" s="227"/>
      <c r="BB2698" s="231"/>
      <c r="BC2698" s="227"/>
      <c r="BD2698" s="227"/>
      <c r="BE2698" s="227"/>
      <c r="BF2698" s="227"/>
    </row>
    <row r="2699">
      <c r="A2699" s="235" t="s">
        <v>20585</v>
      </c>
      <c r="C2699" s="235" t="s">
        <v>20586</v>
      </c>
      <c r="D2699" s="235" t="s">
        <v>20587</v>
      </c>
      <c r="E2699" s="243">
        <v>6.53E13</v>
      </c>
      <c r="F2699" s="245"/>
      <c r="G2699" s="235" t="s">
        <v>20588</v>
      </c>
      <c r="H2699" s="235" t="s">
        <v>20589</v>
      </c>
      <c r="I2699" s="235" t="s">
        <v>20590</v>
      </c>
      <c r="J2699" s="235" t="s">
        <v>20591</v>
      </c>
      <c r="K2699" s="235" t="s">
        <v>20592</v>
      </c>
      <c r="N2699" s="235" t="s">
        <v>2163</v>
      </c>
      <c r="O2699" s="235" t="s">
        <v>2164</v>
      </c>
      <c r="P2699" s="238">
        <v>1.0</v>
      </c>
      <c r="Q2699" s="235" t="s">
        <v>627</v>
      </c>
      <c r="R2699" s="238">
        <v>270.48</v>
      </c>
      <c r="S2699" s="238">
        <v>13.52</v>
      </c>
      <c r="T2699" s="238">
        <v>0.0</v>
      </c>
      <c r="U2699" s="238">
        <v>0.0</v>
      </c>
      <c r="V2699" s="238">
        <v>0.0</v>
      </c>
      <c r="W2699" s="238">
        <v>0.0</v>
      </c>
      <c r="X2699" s="235" t="s">
        <v>628</v>
      </c>
      <c r="Z2699" s="244"/>
      <c r="AA2699" s="244"/>
      <c r="AB2699" s="244"/>
      <c r="AC2699" s="235" t="s">
        <v>20593</v>
      </c>
      <c r="AD2699" s="235" t="s">
        <v>630</v>
      </c>
      <c r="AE2699" s="238">
        <v>225003.0</v>
      </c>
      <c r="AF2699" s="235" t="s">
        <v>631</v>
      </c>
      <c r="AG2699" s="244"/>
      <c r="AH2699" s="244"/>
      <c r="AI2699" s="245"/>
      <c r="AJ2699" s="245"/>
      <c r="AK2699" s="245"/>
      <c r="AL2699" s="245"/>
      <c r="AM2699" s="244"/>
      <c r="AN2699" s="244"/>
      <c r="AO2699" s="238">
        <v>0.0</v>
      </c>
      <c r="AP2699" s="238">
        <v>0.0</v>
      </c>
      <c r="AQ2699" s="235" t="s">
        <v>632</v>
      </c>
      <c r="AR2699" s="243">
        <v>3.71E11</v>
      </c>
      <c r="AS2699" s="235" t="s">
        <v>17988</v>
      </c>
      <c r="AT2699" s="235" t="s">
        <v>13</v>
      </c>
      <c r="AU2699" s="235" t="s">
        <v>634</v>
      </c>
      <c r="AV2699" s="246" t="s">
        <v>635</v>
      </c>
      <c r="AW2699" s="242"/>
      <c r="AX2699" s="242"/>
      <c r="AY2699" s="231"/>
      <c r="AZ2699" s="231"/>
      <c r="BA2699" s="227"/>
      <c r="BB2699" s="231"/>
      <c r="BC2699" s="227"/>
      <c r="BD2699" s="227"/>
      <c r="BE2699" s="227"/>
      <c r="BF2699" s="227"/>
    </row>
    <row r="2700">
      <c r="A2700" s="235" t="s">
        <v>20594</v>
      </c>
      <c r="C2700" s="235" t="s">
        <v>20595</v>
      </c>
      <c r="D2700" s="235" t="s">
        <v>20596</v>
      </c>
      <c r="E2700" s="243">
        <v>6.53E13</v>
      </c>
      <c r="F2700" s="245"/>
      <c r="G2700" s="235" t="s">
        <v>20597</v>
      </c>
      <c r="H2700" s="235" t="s">
        <v>20598</v>
      </c>
      <c r="I2700" s="235" t="s">
        <v>20598</v>
      </c>
      <c r="J2700" s="235" t="s">
        <v>20599</v>
      </c>
      <c r="K2700" s="235" t="s">
        <v>20600</v>
      </c>
      <c r="N2700" s="235" t="s">
        <v>154</v>
      </c>
      <c r="O2700" s="235" t="s">
        <v>766</v>
      </c>
      <c r="P2700" s="238">
        <v>1.0</v>
      </c>
      <c r="Q2700" s="235" t="s">
        <v>627</v>
      </c>
      <c r="R2700" s="238">
        <v>465.71</v>
      </c>
      <c r="S2700" s="238">
        <v>23.29</v>
      </c>
      <c r="T2700" s="238">
        <v>38.1</v>
      </c>
      <c r="U2700" s="238">
        <v>1.9</v>
      </c>
      <c r="V2700" s="238">
        <v>0.0</v>
      </c>
      <c r="W2700" s="238">
        <v>0.0</v>
      </c>
      <c r="X2700" s="235" t="s">
        <v>628</v>
      </c>
      <c r="Z2700" s="244"/>
      <c r="AA2700" s="244"/>
      <c r="AB2700" s="244"/>
      <c r="AC2700" s="235" t="s">
        <v>822</v>
      </c>
      <c r="AD2700" s="235" t="s">
        <v>630</v>
      </c>
      <c r="AE2700" s="238">
        <v>201301.0</v>
      </c>
      <c r="AF2700" s="235" t="s">
        <v>631</v>
      </c>
      <c r="AG2700" s="244"/>
      <c r="AH2700" s="244"/>
      <c r="AI2700" s="245"/>
      <c r="AJ2700" s="245"/>
      <c r="AK2700" s="245"/>
      <c r="AL2700" s="245"/>
      <c r="AM2700" s="244"/>
      <c r="AN2700" s="244"/>
      <c r="AO2700" s="238">
        <v>0.0</v>
      </c>
      <c r="AP2700" s="238">
        <v>-38.1</v>
      </c>
      <c r="AQ2700" s="235" t="s">
        <v>632</v>
      </c>
      <c r="AR2700" s="243">
        <v>3.71E11</v>
      </c>
      <c r="AS2700" s="235" t="s">
        <v>19388</v>
      </c>
      <c r="AT2700" s="235" t="s">
        <v>14</v>
      </c>
      <c r="AU2700" s="235" t="s">
        <v>634</v>
      </c>
      <c r="AV2700" s="246" t="s">
        <v>635</v>
      </c>
      <c r="AW2700" s="242"/>
      <c r="AX2700" s="242"/>
      <c r="AY2700" s="231"/>
      <c r="AZ2700" s="231"/>
      <c r="BA2700" s="227"/>
      <c r="BB2700" s="231"/>
      <c r="BC2700" s="227"/>
      <c r="BD2700" s="227"/>
      <c r="BE2700" s="227"/>
      <c r="BF2700" s="227"/>
    </row>
    <row r="2701">
      <c r="A2701" s="235" t="s">
        <v>20601</v>
      </c>
      <c r="C2701" s="235" t="s">
        <v>20602</v>
      </c>
      <c r="D2701" s="235" t="s">
        <v>20603</v>
      </c>
      <c r="E2701" s="243">
        <v>6.53E13</v>
      </c>
      <c r="F2701" s="245"/>
      <c r="G2701" s="235" t="s">
        <v>20604</v>
      </c>
      <c r="H2701" s="235" t="s">
        <v>20605</v>
      </c>
      <c r="I2701" s="235" t="s">
        <v>20605</v>
      </c>
      <c r="J2701" s="235" t="s">
        <v>20606</v>
      </c>
      <c r="K2701" s="235" t="s">
        <v>20607</v>
      </c>
      <c r="N2701" s="235" t="s">
        <v>71</v>
      </c>
      <c r="O2701" s="235" t="s">
        <v>240</v>
      </c>
      <c r="P2701" s="238">
        <v>1.0</v>
      </c>
      <c r="Q2701" s="235" t="s">
        <v>627</v>
      </c>
      <c r="R2701" s="238">
        <v>261.9</v>
      </c>
      <c r="S2701" s="238">
        <v>13.1</v>
      </c>
      <c r="T2701" s="238">
        <v>0.0</v>
      </c>
      <c r="U2701" s="238">
        <v>0.0</v>
      </c>
      <c r="V2701" s="238">
        <v>0.0</v>
      </c>
      <c r="W2701" s="238">
        <v>0.0</v>
      </c>
      <c r="X2701" s="235" t="s">
        <v>628</v>
      </c>
      <c r="Z2701" s="244"/>
      <c r="AA2701" s="244"/>
      <c r="AB2701" s="244"/>
      <c r="AC2701" s="235" t="s">
        <v>20608</v>
      </c>
      <c r="AD2701" s="235" t="s">
        <v>20609</v>
      </c>
      <c r="AE2701" s="238">
        <v>341505.0</v>
      </c>
      <c r="AF2701" s="235" t="s">
        <v>631</v>
      </c>
      <c r="AG2701" s="244"/>
      <c r="AH2701" s="244"/>
      <c r="AI2701" s="245"/>
      <c r="AJ2701" s="245"/>
      <c r="AK2701" s="245"/>
      <c r="AL2701" s="245"/>
      <c r="AM2701" s="244"/>
      <c r="AN2701" s="244"/>
      <c r="AO2701" s="238">
        <v>0.0</v>
      </c>
      <c r="AP2701" s="238">
        <v>0.0</v>
      </c>
      <c r="AQ2701" s="235" t="s">
        <v>632</v>
      </c>
      <c r="AR2701" s="243">
        <v>3.71E11</v>
      </c>
      <c r="AS2701" s="235" t="s">
        <v>17988</v>
      </c>
      <c r="AT2701" s="235" t="s">
        <v>14</v>
      </c>
      <c r="AU2701" s="235" t="s">
        <v>634</v>
      </c>
      <c r="AV2701" s="246" t="s">
        <v>635</v>
      </c>
      <c r="AW2701" s="242"/>
      <c r="AX2701" s="242"/>
      <c r="AY2701" s="231"/>
      <c r="AZ2701" s="231"/>
      <c r="BA2701" s="227"/>
      <c r="BB2701" s="231"/>
      <c r="BC2701" s="227"/>
      <c r="BD2701" s="227"/>
      <c r="BE2701" s="227"/>
      <c r="BF2701" s="227"/>
    </row>
    <row r="2702">
      <c r="A2702" s="235" t="s">
        <v>20610</v>
      </c>
      <c r="C2702" s="235" t="s">
        <v>20611</v>
      </c>
      <c r="D2702" s="235" t="s">
        <v>20612</v>
      </c>
      <c r="E2702" s="243">
        <v>6.53E13</v>
      </c>
      <c r="F2702" s="245"/>
      <c r="G2702" s="235" t="s">
        <v>20613</v>
      </c>
      <c r="H2702" s="235" t="s">
        <v>20614</v>
      </c>
      <c r="I2702" s="235" t="s">
        <v>20614</v>
      </c>
      <c r="J2702" s="235" t="s">
        <v>20615</v>
      </c>
      <c r="K2702" s="235" t="s">
        <v>20616</v>
      </c>
      <c r="N2702" s="235" t="s">
        <v>51</v>
      </c>
      <c r="O2702" s="235" t="s">
        <v>273</v>
      </c>
      <c r="P2702" s="238">
        <v>1.0</v>
      </c>
      <c r="Q2702" s="235" t="s">
        <v>627</v>
      </c>
      <c r="R2702" s="238">
        <v>270.48</v>
      </c>
      <c r="S2702" s="238">
        <v>13.25</v>
      </c>
      <c r="T2702" s="238">
        <v>0.0</v>
      </c>
      <c r="U2702" s="238">
        <v>0.0</v>
      </c>
      <c r="V2702" s="238">
        <v>0.0</v>
      </c>
      <c r="W2702" s="238">
        <v>0.0</v>
      </c>
      <c r="X2702" s="235" t="s">
        <v>628</v>
      </c>
      <c r="Z2702" s="244"/>
      <c r="AA2702" s="244"/>
      <c r="AB2702" s="244"/>
      <c r="AC2702" s="235" t="s">
        <v>678</v>
      </c>
      <c r="AD2702" s="235" t="s">
        <v>679</v>
      </c>
      <c r="AE2702" s="238">
        <v>560016.0</v>
      </c>
      <c r="AF2702" s="235" t="s">
        <v>631</v>
      </c>
      <c r="AG2702" s="244"/>
      <c r="AH2702" s="244"/>
      <c r="AI2702" s="245"/>
      <c r="AJ2702" s="245"/>
      <c r="AK2702" s="245"/>
      <c r="AL2702" s="245"/>
      <c r="AM2702" s="244"/>
      <c r="AN2702" s="244"/>
      <c r="AO2702" s="238">
        <v>-5.41</v>
      </c>
      <c r="AP2702" s="238">
        <v>0.0</v>
      </c>
      <c r="AQ2702" s="235" t="s">
        <v>632</v>
      </c>
      <c r="AR2702" s="243">
        <v>1.68E11</v>
      </c>
      <c r="AS2702" s="235" t="s">
        <v>19840</v>
      </c>
      <c r="AT2702" s="235" t="s">
        <v>9</v>
      </c>
      <c r="AU2702" s="235" t="s">
        <v>634</v>
      </c>
      <c r="AV2702" s="246" t="s">
        <v>635</v>
      </c>
      <c r="AW2702" s="242"/>
      <c r="AX2702" s="242"/>
      <c r="AY2702" s="231"/>
      <c r="AZ2702" s="231"/>
      <c r="BA2702" s="227"/>
      <c r="BB2702" s="231"/>
      <c r="BC2702" s="227"/>
      <c r="BD2702" s="227"/>
      <c r="BE2702" s="227"/>
      <c r="BF2702" s="227"/>
    </row>
    <row r="2703">
      <c r="A2703" s="235" t="s">
        <v>20617</v>
      </c>
      <c r="C2703" s="235" t="s">
        <v>20618</v>
      </c>
      <c r="D2703" s="235" t="s">
        <v>20619</v>
      </c>
      <c r="E2703" s="243">
        <v>6.52E13</v>
      </c>
      <c r="F2703" s="245"/>
      <c r="G2703" s="235" t="s">
        <v>20620</v>
      </c>
      <c r="H2703" s="235" t="s">
        <v>20621</v>
      </c>
      <c r="I2703" s="235" t="s">
        <v>20621</v>
      </c>
      <c r="J2703" s="235" t="s">
        <v>20622</v>
      </c>
      <c r="K2703" s="235" t="s">
        <v>20623</v>
      </c>
      <c r="N2703" s="235" t="s">
        <v>115</v>
      </c>
      <c r="O2703" s="235" t="s">
        <v>548</v>
      </c>
      <c r="P2703" s="238">
        <v>1.0</v>
      </c>
      <c r="Q2703" s="235" t="s">
        <v>627</v>
      </c>
      <c r="R2703" s="238">
        <v>237.14</v>
      </c>
      <c r="S2703" s="238">
        <v>11.5</v>
      </c>
      <c r="T2703" s="238">
        <v>0.0</v>
      </c>
      <c r="U2703" s="238">
        <v>0.0</v>
      </c>
      <c r="V2703" s="238">
        <v>0.0</v>
      </c>
      <c r="W2703" s="238">
        <v>0.0</v>
      </c>
      <c r="X2703" s="235" t="s">
        <v>628</v>
      </c>
      <c r="Z2703" s="244"/>
      <c r="AA2703" s="244"/>
      <c r="AB2703" s="244"/>
      <c r="AC2703" s="235" t="s">
        <v>20624</v>
      </c>
      <c r="AD2703" s="235" t="s">
        <v>630</v>
      </c>
      <c r="AE2703" s="238">
        <v>251001.0</v>
      </c>
      <c r="AF2703" s="235" t="s">
        <v>631</v>
      </c>
      <c r="AG2703" s="244"/>
      <c r="AH2703" s="244"/>
      <c r="AI2703" s="245"/>
      <c r="AJ2703" s="245"/>
      <c r="AK2703" s="245"/>
      <c r="AL2703" s="245"/>
      <c r="AM2703" s="244"/>
      <c r="AN2703" s="244"/>
      <c r="AO2703" s="238">
        <v>-7.11</v>
      </c>
      <c r="AP2703" s="238">
        <v>0.0</v>
      </c>
      <c r="AQ2703" s="235" t="s">
        <v>632</v>
      </c>
      <c r="AR2703" s="243">
        <v>3.71E11</v>
      </c>
      <c r="AS2703" s="235" t="s">
        <v>13822</v>
      </c>
      <c r="AT2703" s="235" t="s">
        <v>9</v>
      </c>
      <c r="AU2703" s="235" t="s">
        <v>634</v>
      </c>
      <c r="AV2703" s="246" t="s">
        <v>635</v>
      </c>
      <c r="AW2703" s="242"/>
      <c r="AX2703" s="242"/>
      <c r="AY2703" s="231"/>
      <c r="AZ2703" s="231"/>
      <c r="BA2703" s="227"/>
      <c r="BB2703" s="231"/>
      <c r="BC2703" s="227"/>
      <c r="BD2703" s="227"/>
      <c r="BE2703" s="227"/>
      <c r="BF2703" s="227"/>
    </row>
    <row r="2704">
      <c r="A2704" s="235" t="s">
        <v>20625</v>
      </c>
      <c r="C2704" s="235" t="s">
        <v>20626</v>
      </c>
      <c r="D2704" s="235" t="s">
        <v>20627</v>
      </c>
      <c r="E2704" s="243">
        <v>6.51E13</v>
      </c>
      <c r="F2704" s="245"/>
      <c r="G2704" s="235" t="s">
        <v>20628</v>
      </c>
      <c r="H2704" s="235" t="s">
        <v>20629</v>
      </c>
      <c r="I2704" s="235" t="s">
        <v>20629</v>
      </c>
      <c r="J2704" s="235" t="s">
        <v>20630</v>
      </c>
      <c r="K2704" s="235" t="s">
        <v>20631</v>
      </c>
      <c r="N2704" s="235" t="s">
        <v>126</v>
      </c>
      <c r="O2704" s="235" t="s">
        <v>407</v>
      </c>
      <c r="P2704" s="238">
        <v>1.0</v>
      </c>
      <c r="Q2704" s="235" t="s">
        <v>627</v>
      </c>
      <c r="R2704" s="238">
        <v>233.34</v>
      </c>
      <c r="S2704" s="238">
        <v>11.32</v>
      </c>
      <c r="T2704" s="238">
        <v>0.0</v>
      </c>
      <c r="U2704" s="238">
        <v>0.0</v>
      </c>
      <c r="V2704" s="238">
        <v>0.0</v>
      </c>
      <c r="W2704" s="238">
        <v>0.0</v>
      </c>
      <c r="X2704" s="235" t="s">
        <v>628</v>
      </c>
      <c r="Z2704" s="244"/>
      <c r="AA2704" s="244"/>
      <c r="AB2704" s="244"/>
      <c r="AC2704" s="235" t="s">
        <v>1058</v>
      </c>
      <c r="AD2704" s="235" t="s">
        <v>845</v>
      </c>
      <c r="AE2704" s="238">
        <v>400020.0</v>
      </c>
      <c r="AF2704" s="235" t="s">
        <v>631</v>
      </c>
      <c r="AG2704" s="244"/>
      <c r="AH2704" s="244"/>
      <c r="AI2704" s="245"/>
      <c r="AJ2704" s="245"/>
      <c r="AK2704" s="245"/>
      <c r="AL2704" s="245"/>
      <c r="AM2704" s="244"/>
      <c r="AN2704" s="244"/>
      <c r="AO2704" s="238">
        <v>-7.01</v>
      </c>
      <c r="AP2704" s="238">
        <v>0.0</v>
      </c>
      <c r="AQ2704" s="235" t="s">
        <v>632</v>
      </c>
      <c r="AR2704" s="243">
        <v>3.71E11</v>
      </c>
      <c r="AS2704" s="235" t="s">
        <v>19388</v>
      </c>
      <c r="AT2704" s="235" t="s">
        <v>17</v>
      </c>
      <c r="AU2704" s="235" t="s">
        <v>634</v>
      </c>
      <c r="AV2704" s="246" t="s">
        <v>635</v>
      </c>
      <c r="AW2704" s="242"/>
      <c r="AX2704" s="242"/>
      <c r="AY2704" s="231"/>
      <c r="AZ2704" s="231"/>
      <c r="BA2704" s="227"/>
      <c r="BB2704" s="231"/>
      <c r="BC2704" s="227"/>
      <c r="BD2704" s="227"/>
      <c r="BE2704" s="227"/>
      <c r="BF2704" s="227"/>
    </row>
    <row r="2705">
      <c r="A2705" s="235" t="s">
        <v>20632</v>
      </c>
      <c r="C2705" s="235" t="s">
        <v>20633</v>
      </c>
      <c r="D2705" s="235" t="s">
        <v>20634</v>
      </c>
      <c r="E2705" s="243">
        <v>6.53E13</v>
      </c>
      <c r="F2705" s="245"/>
      <c r="G2705" s="235" t="s">
        <v>20635</v>
      </c>
      <c r="H2705" s="235" t="s">
        <v>20636</v>
      </c>
      <c r="I2705" s="235" t="s">
        <v>20637</v>
      </c>
      <c r="J2705" s="235" t="s">
        <v>20638</v>
      </c>
      <c r="K2705" s="235" t="s">
        <v>20639</v>
      </c>
      <c r="N2705" s="235" t="s">
        <v>842</v>
      </c>
      <c r="O2705" s="235" t="s">
        <v>843</v>
      </c>
      <c r="P2705" s="238">
        <v>1.0</v>
      </c>
      <c r="Q2705" s="235" t="s">
        <v>627</v>
      </c>
      <c r="R2705" s="238">
        <v>270.48</v>
      </c>
      <c r="S2705" s="238">
        <v>13.25</v>
      </c>
      <c r="T2705" s="238">
        <v>0.0</v>
      </c>
      <c r="U2705" s="238">
        <v>0.0</v>
      </c>
      <c r="V2705" s="238">
        <v>0.0</v>
      </c>
      <c r="W2705" s="238">
        <v>0.0</v>
      </c>
      <c r="X2705" s="235" t="s">
        <v>628</v>
      </c>
      <c r="Z2705" s="244"/>
      <c r="AA2705" s="244"/>
      <c r="AB2705" s="244"/>
      <c r="AC2705" s="235" t="s">
        <v>20640</v>
      </c>
      <c r="AD2705" s="235" t="s">
        <v>630</v>
      </c>
      <c r="AE2705" s="238">
        <v>229406.0</v>
      </c>
      <c r="AF2705" s="235" t="s">
        <v>631</v>
      </c>
      <c r="AG2705" s="244"/>
      <c r="AH2705" s="244"/>
      <c r="AI2705" s="245"/>
      <c r="AJ2705" s="245"/>
      <c r="AK2705" s="245"/>
      <c r="AL2705" s="245"/>
      <c r="AM2705" s="244"/>
      <c r="AN2705" s="244"/>
      <c r="AO2705" s="238">
        <v>-5.41</v>
      </c>
      <c r="AP2705" s="238">
        <v>0.0</v>
      </c>
      <c r="AQ2705" s="235" t="s">
        <v>632</v>
      </c>
      <c r="AR2705" s="243">
        <v>3.71E11</v>
      </c>
      <c r="AS2705" s="235" t="s">
        <v>17988</v>
      </c>
      <c r="AT2705" s="235" t="s">
        <v>13</v>
      </c>
      <c r="AU2705" s="235" t="s">
        <v>634</v>
      </c>
      <c r="AV2705" s="246" t="s">
        <v>635</v>
      </c>
      <c r="AW2705" s="242"/>
      <c r="AX2705" s="242"/>
      <c r="AY2705" s="231"/>
      <c r="AZ2705" s="231"/>
      <c r="BA2705" s="227"/>
      <c r="BB2705" s="231"/>
      <c r="BC2705" s="227"/>
      <c r="BD2705" s="227"/>
      <c r="BE2705" s="227"/>
      <c r="BF2705" s="227"/>
    </row>
    <row r="2706">
      <c r="A2706" s="235" t="s">
        <v>20641</v>
      </c>
      <c r="C2706" s="235" t="s">
        <v>20642</v>
      </c>
      <c r="D2706" s="235" t="s">
        <v>20643</v>
      </c>
      <c r="E2706" s="243">
        <v>6.53E13</v>
      </c>
      <c r="F2706" s="245"/>
      <c r="G2706" s="235" t="s">
        <v>20644</v>
      </c>
      <c r="H2706" s="235" t="s">
        <v>20645</v>
      </c>
      <c r="I2706" s="235" t="s">
        <v>20646</v>
      </c>
      <c r="J2706" s="235" t="s">
        <v>20647</v>
      </c>
      <c r="K2706" s="235" t="s">
        <v>14442</v>
      </c>
      <c r="N2706" s="235" t="s">
        <v>42</v>
      </c>
      <c r="O2706" s="235" t="s">
        <v>204</v>
      </c>
      <c r="P2706" s="238">
        <v>1.0</v>
      </c>
      <c r="Q2706" s="235" t="s">
        <v>627</v>
      </c>
      <c r="R2706" s="238">
        <v>270.48</v>
      </c>
      <c r="S2706" s="238">
        <v>13.25</v>
      </c>
      <c r="T2706" s="238">
        <v>0.0</v>
      </c>
      <c r="U2706" s="238">
        <v>0.0</v>
      </c>
      <c r="V2706" s="238">
        <v>0.0</v>
      </c>
      <c r="W2706" s="238">
        <v>0.0</v>
      </c>
      <c r="X2706" s="235" t="s">
        <v>628</v>
      </c>
      <c r="Z2706" s="244"/>
      <c r="AA2706" s="244"/>
      <c r="AB2706" s="244"/>
      <c r="AC2706" s="235" t="s">
        <v>1206</v>
      </c>
      <c r="AD2706" s="235" t="s">
        <v>679</v>
      </c>
      <c r="AE2706" s="238">
        <v>560037.0</v>
      </c>
      <c r="AF2706" s="235" t="s">
        <v>631</v>
      </c>
      <c r="AG2706" s="244"/>
      <c r="AH2706" s="244"/>
      <c r="AI2706" s="245"/>
      <c r="AJ2706" s="245"/>
      <c r="AK2706" s="245"/>
      <c r="AL2706" s="245"/>
      <c r="AM2706" s="244"/>
      <c r="AN2706" s="244"/>
      <c r="AO2706" s="238">
        <v>-5.41</v>
      </c>
      <c r="AP2706" s="238">
        <v>0.0</v>
      </c>
      <c r="AQ2706" s="235" t="s">
        <v>632</v>
      </c>
      <c r="AR2706" s="243">
        <v>1.68E11</v>
      </c>
      <c r="AS2706" s="235" t="s">
        <v>20529</v>
      </c>
      <c r="AT2706" s="235" t="s">
        <v>11</v>
      </c>
      <c r="AU2706" s="235" t="s">
        <v>634</v>
      </c>
      <c r="AV2706" s="246" t="s">
        <v>635</v>
      </c>
      <c r="AW2706" s="242"/>
      <c r="AX2706" s="242"/>
      <c r="AY2706" s="231"/>
      <c r="AZ2706" s="231"/>
      <c r="BA2706" s="227"/>
      <c r="BB2706" s="231"/>
      <c r="BC2706" s="227"/>
      <c r="BD2706" s="227"/>
      <c r="BE2706" s="227"/>
      <c r="BF2706" s="227"/>
    </row>
    <row r="2707">
      <c r="A2707" s="235" t="s">
        <v>20648</v>
      </c>
      <c r="C2707" s="235" t="s">
        <v>20649</v>
      </c>
      <c r="D2707" s="235" t="s">
        <v>20650</v>
      </c>
      <c r="E2707" s="243">
        <v>6.52E13</v>
      </c>
      <c r="F2707" s="245"/>
      <c r="G2707" s="235" t="s">
        <v>20651</v>
      </c>
      <c r="H2707" s="235" t="s">
        <v>20652</v>
      </c>
      <c r="I2707" s="235" t="s">
        <v>20652</v>
      </c>
      <c r="J2707" s="235" t="s">
        <v>20653</v>
      </c>
      <c r="K2707" s="235" t="s">
        <v>20654</v>
      </c>
      <c r="N2707" s="235" t="s">
        <v>717</v>
      </c>
      <c r="O2707" s="235" t="s">
        <v>718</v>
      </c>
      <c r="P2707" s="238">
        <v>1.0</v>
      </c>
      <c r="Q2707" s="235" t="s">
        <v>627</v>
      </c>
      <c r="R2707" s="238">
        <v>456.19</v>
      </c>
      <c r="S2707" s="238">
        <v>22.81</v>
      </c>
      <c r="T2707" s="238">
        <v>38.1</v>
      </c>
      <c r="U2707" s="238">
        <v>1.9</v>
      </c>
      <c r="V2707" s="238">
        <v>0.0</v>
      </c>
      <c r="W2707" s="238">
        <v>0.0</v>
      </c>
      <c r="X2707" s="235" t="s">
        <v>628</v>
      </c>
      <c r="Z2707" s="244"/>
      <c r="AA2707" s="244"/>
      <c r="AB2707" s="244"/>
      <c r="AC2707" s="235" t="s">
        <v>4397</v>
      </c>
      <c r="AD2707" s="235" t="s">
        <v>1151</v>
      </c>
      <c r="AE2707" s="238">
        <v>700150.0</v>
      </c>
      <c r="AF2707" s="235" t="s">
        <v>631</v>
      </c>
      <c r="AG2707" s="244"/>
      <c r="AH2707" s="244"/>
      <c r="AI2707" s="245"/>
      <c r="AJ2707" s="245"/>
      <c r="AK2707" s="245"/>
      <c r="AL2707" s="245"/>
      <c r="AM2707" s="244"/>
      <c r="AN2707" s="244"/>
      <c r="AO2707" s="238">
        <v>0.0</v>
      </c>
      <c r="AP2707" s="238">
        <v>-38.1</v>
      </c>
      <c r="AQ2707" s="235" t="s">
        <v>632</v>
      </c>
      <c r="AR2707" s="243">
        <v>3.71E11</v>
      </c>
      <c r="AS2707" s="235" t="s">
        <v>15064</v>
      </c>
      <c r="AT2707" s="235" t="s">
        <v>13</v>
      </c>
      <c r="AU2707" s="235" t="s">
        <v>634</v>
      </c>
      <c r="AV2707" s="246" t="s">
        <v>635</v>
      </c>
      <c r="AW2707" s="242"/>
      <c r="AX2707" s="242"/>
      <c r="AY2707" s="231"/>
      <c r="AZ2707" s="231"/>
      <c r="BA2707" s="227"/>
      <c r="BB2707" s="231"/>
      <c r="BC2707" s="227"/>
      <c r="BD2707" s="227"/>
      <c r="BE2707" s="227"/>
      <c r="BF2707" s="227"/>
    </row>
    <row r="2708">
      <c r="A2708" s="235" t="s">
        <v>20655</v>
      </c>
      <c r="C2708" s="235" t="s">
        <v>20656</v>
      </c>
      <c r="D2708" s="235" t="s">
        <v>20657</v>
      </c>
      <c r="E2708" s="243">
        <v>6.53E13</v>
      </c>
      <c r="F2708" s="245"/>
      <c r="G2708" s="235" t="s">
        <v>20658</v>
      </c>
      <c r="H2708" s="235" t="s">
        <v>20659</v>
      </c>
      <c r="I2708" s="235" t="s">
        <v>20659</v>
      </c>
      <c r="J2708" s="235" t="s">
        <v>20660</v>
      </c>
      <c r="K2708" s="235" t="s">
        <v>20661</v>
      </c>
      <c r="N2708" s="235" t="s">
        <v>127</v>
      </c>
      <c r="O2708" s="235" t="s">
        <v>794</v>
      </c>
      <c r="P2708" s="238">
        <v>1.0</v>
      </c>
      <c r="Q2708" s="235" t="s">
        <v>627</v>
      </c>
      <c r="R2708" s="238">
        <v>270.48</v>
      </c>
      <c r="S2708" s="238">
        <v>13.52</v>
      </c>
      <c r="T2708" s="238">
        <v>75.24</v>
      </c>
      <c r="U2708" s="238">
        <v>3.76</v>
      </c>
      <c r="V2708" s="238">
        <v>0.0</v>
      </c>
      <c r="W2708" s="238">
        <v>0.0</v>
      </c>
      <c r="X2708" s="235" t="s">
        <v>628</v>
      </c>
      <c r="Z2708" s="244"/>
      <c r="AA2708" s="244"/>
      <c r="AB2708" s="244"/>
      <c r="AC2708" s="235" t="s">
        <v>697</v>
      </c>
      <c r="AD2708" s="235" t="s">
        <v>698</v>
      </c>
      <c r="AE2708" s="238">
        <v>500059.0</v>
      </c>
      <c r="AF2708" s="235" t="s">
        <v>631</v>
      </c>
      <c r="AG2708" s="244"/>
      <c r="AH2708" s="244"/>
      <c r="AI2708" s="245"/>
      <c r="AJ2708" s="245"/>
      <c r="AK2708" s="245"/>
      <c r="AL2708" s="245"/>
      <c r="AM2708" s="244"/>
      <c r="AN2708" s="244"/>
      <c r="AO2708" s="238">
        <v>0.0</v>
      </c>
      <c r="AP2708" s="238">
        <v>0.0</v>
      </c>
      <c r="AQ2708" s="235" t="s">
        <v>632</v>
      </c>
      <c r="AR2708" s="243">
        <v>1.68E11</v>
      </c>
      <c r="AS2708" s="235" t="s">
        <v>19388</v>
      </c>
      <c r="AT2708" s="235" t="s">
        <v>156</v>
      </c>
      <c r="AU2708" s="235" t="s">
        <v>634</v>
      </c>
      <c r="AV2708" s="246" t="s">
        <v>635</v>
      </c>
      <c r="AW2708" s="242"/>
      <c r="AX2708" s="242"/>
      <c r="AY2708" s="231"/>
      <c r="AZ2708" s="231"/>
      <c r="BA2708" s="227"/>
      <c r="BB2708" s="231"/>
      <c r="BC2708" s="227"/>
      <c r="BD2708" s="227"/>
      <c r="BE2708" s="227"/>
      <c r="BF2708" s="227"/>
    </row>
    <row r="2709">
      <c r="A2709" s="235" t="s">
        <v>20662</v>
      </c>
      <c r="C2709" s="235" t="s">
        <v>20663</v>
      </c>
      <c r="D2709" s="235" t="s">
        <v>20664</v>
      </c>
      <c r="E2709" s="243">
        <v>6.52E13</v>
      </c>
      <c r="F2709" s="245"/>
      <c r="G2709" s="235" t="s">
        <v>20665</v>
      </c>
      <c r="H2709" s="235" t="s">
        <v>20666</v>
      </c>
      <c r="I2709" s="235" t="s">
        <v>20666</v>
      </c>
      <c r="J2709" s="235" t="s">
        <v>20667</v>
      </c>
      <c r="K2709" s="235" t="s">
        <v>20668</v>
      </c>
      <c r="N2709" s="235" t="s">
        <v>138</v>
      </c>
      <c r="O2709" s="235" t="s">
        <v>675</v>
      </c>
      <c r="P2709" s="238">
        <v>1.0</v>
      </c>
      <c r="Q2709" s="235" t="s">
        <v>627</v>
      </c>
      <c r="R2709" s="238">
        <v>246.67</v>
      </c>
      <c r="S2709" s="238">
        <v>12.08</v>
      </c>
      <c r="T2709" s="238">
        <v>38.1</v>
      </c>
      <c r="U2709" s="238">
        <v>1.9</v>
      </c>
      <c r="V2709" s="238">
        <v>0.0</v>
      </c>
      <c r="W2709" s="238">
        <v>0.0</v>
      </c>
      <c r="X2709" s="235" t="s">
        <v>628</v>
      </c>
      <c r="Z2709" s="244"/>
      <c r="AA2709" s="244"/>
      <c r="AB2709" s="244"/>
      <c r="AC2709" s="235" t="s">
        <v>20669</v>
      </c>
      <c r="AD2709" s="235" t="s">
        <v>709</v>
      </c>
      <c r="AE2709" s="238">
        <v>854105.0</v>
      </c>
      <c r="AF2709" s="235" t="s">
        <v>631</v>
      </c>
      <c r="AG2709" s="244"/>
      <c r="AH2709" s="244"/>
      <c r="AI2709" s="245"/>
      <c r="AJ2709" s="245"/>
      <c r="AK2709" s="245"/>
      <c r="AL2709" s="245"/>
      <c r="AM2709" s="244"/>
      <c r="AN2709" s="244"/>
      <c r="AO2709" s="238">
        <v>-4.93</v>
      </c>
      <c r="AP2709" s="238">
        <v>-38.1</v>
      </c>
      <c r="AQ2709" s="235" t="s">
        <v>632</v>
      </c>
      <c r="AR2709" s="243">
        <v>3.71E11</v>
      </c>
      <c r="AS2709" s="235" t="s">
        <v>13822</v>
      </c>
      <c r="AT2709" s="235" t="s">
        <v>13</v>
      </c>
      <c r="AU2709" s="235" t="s">
        <v>634</v>
      </c>
      <c r="AV2709" s="246" t="s">
        <v>635</v>
      </c>
      <c r="AW2709" s="242"/>
      <c r="AX2709" s="242"/>
      <c r="AY2709" s="231"/>
      <c r="AZ2709" s="231"/>
      <c r="BA2709" s="227"/>
      <c r="BB2709" s="231"/>
      <c r="BC2709" s="227"/>
      <c r="BD2709" s="227"/>
      <c r="BE2709" s="227"/>
      <c r="BF2709" s="227"/>
    </row>
    <row r="2710">
      <c r="A2710" s="235" t="s">
        <v>20670</v>
      </c>
      <c r="C2710" s="235" t="s">
        <v>20671</v>
      </c>
      <c r="D2710" s="235" t="s">
        <v>20672</v>
      </c>
      <c r="E2710" s="243">
        <v>6.53E13</v>
      </c>
      <c r="F2710" s="245"/>
      <c r="G2710" s="235" t="s">
        <v>20673</v>
      </c>
      <c r="H2710" s="235" t="s">
        <v>20674</v>
      </c>
      <c r="I2710" s="235" t="s">
        <v>20674</v>
      </c>
      <c r="J2710" s="235" t="s">
        <v>20675</v>
      </c>
      <c r="K2710" s="235" t="s">
        <v>20676</v>
      </c>
      <c r="N2710" s="235" t="s">
        <v>90</v>
      </c>
      <c r="O2710" s="235" t="s">
        <v>279</v>
      </c>
      <c r="P2710" s="238">
        <v>1.0</v>
      </c>
      <c r="Q2710" s="235" t="s">
        <v>627</v>
      </c>
      <c r="R2710" s="238">
        <v>270.48</v>
      </c>
      <c r="S2710" s="238">
        <v>13.52</v>
      </c>
      <c r="T2710" s="238">
        <v>38.1</v>
      </c>
      <c r="U2710" s="238">
        <v>1.9</v>
      </c>
      <c r="V2710" s="238">
        <v>0.0</v>
      </c>
      <c r="W2710" s="238">
        <v>0.0</v>
      </c>
      <c r="X2710" s="235" t="s">
        <v>628</v>
      </c>
      <c r="Z2710" s="244"/>
      <c r="AA2710" s="244"/>
      <c r="AB2710" s="244"/>
      <c r="AC2710" s="235" t="s">
        <v>16312</v>
      </c>
      <c r="AD2710" s="235" t="s">
        <v>1086</v>
      </c>
      <c r="AE2710" s="238">
        <v>142039.0</v>
      </c>
      <c r="AF2710" s="235" t="s">
        <v>631</v>
      </c>
      <c r="AG2710" s="244"/>
      <c r="AH2710" s="244"/>
      <c r="AI2710" s="245"/>
      <c r="AJ2710" s="245"/>
      <c r="AK2710" s="245"/>
      <c r="AL2710" s="245"/>
      <c r="AM2710" s="244"/>
      <c r="AN2710" s="244"/>
      <c r="AO2710" s="238">
        <v>0.0</v>
      </c>
      <c r="AP2710" s="238">
        <v>-38.1</v>
      </c>
      <c r="AQ2710" s="235" t="s">
        <v>632</v>
      </c>
      <c r="AR2710" s="243">
        <v>3.71E11</v>
      </c>
      <c r="AS2710" s="235" t="s">
        <v>17988</v>
      </c>
      <c r="AT2710" s="235" t="s">
        <v>533</v>
      </c>
      <c r="AU2710" s="235" t="s">
        <v>634</v>
      </c>
      <c r="AV2710" s="246" t="s">
        <v>635</v>
      </c>
      <c r="AW2710" s="242"/>
      <c r="AX2710" s="242"/>
      <c r="AY2710" s="231"/>
      <c r="AZ2710" s="231"/>
      <c r="BA2710" s="227"/>
      <c r="BB2710" s="231"/>
      <c r="BC2710" s="227"/>
      <c r="BD2710" s="227"/>
      <c r="BE2710" s="227"/>
      <c r="BF2710" s="227"/>
    </row>
    <row r="2711">
      <c r="A2711" s="235" t="s">
        <v>20677</v>
      </c>
      <c r="C2711" s="235" t="s">
        <v>20678</v>
      </c>
      <c r="D2711" s="235" t="s">
        <v>20679</v>
      </c>
      <c r="E2711" s="243">
        <v>6.52E13</v>
      </c>
      <c r="F2711" s="245"/>
      <c r="G2711" s="235" t="s">
        <v>20680</v>
      </c>
      <c r="H2711" s="235" t="s">
        <v>20681</v>
      </c>
      <c r="I2711" s="235" t="s">
        <v>20681</v>
      </c>
      <c r="J2711" s="235" t="s">
        <v>20682</v>
      </c>
      <c r="K2711" s="235" t="s">
        <v>20683</v>
      </c>
      <c r="N2711" s="235" t="s">
        <v>53</v>
      </c>
      <c r="O2711" s="235" t="s">
        <v>512</v>
      </c>
      <c r="P2711" s="238">
        <v>1.0</v>
      </c>
      <c r="Q2711" s="235" t="s">
        <v>627</v>
      </c>
      <c r="R2711" s="238">
        <v>237.14</v>
      </c>
      <c r="S2711" s="238">
        <v>11.86</v>
      </c>
      <c r="T2711" s="238">
        <v>38.1</v>
      </c>
      <c r="U2711" s="238">
        <v>1.9</v>
      </c>
      <c r="V2711" s="238">
        <v>0.0</v>
      </c>
      <c r="W2711" s="238">
        <v>0.0</v>
      </c>
      <c r="X2711" s="235" t="s">
        <v>628</v>
      </c>
      <c r="Z2711" s="244"/>
      <c r="AA2711" s="244"/>
      <c r="AB2711" s="244"/>
      <c r="AC2711" s="235" t="s">
        <v>20684</v>
      </c>
      <c r="AD2711" s="235" t="s">
        <v>645</v>
      </c>
      <c r="AE2711" s="238">
        <v>688011.0</v>
      </c>
      <c r="AF2711" s="235" t="s">
        <v>631</v>
      </c>
      <c r="AG2711" s="244"/>
      <c r="AH2711" s="244"/>
      <c r="AI2711" s="245"/>
      <c r="AJ2711" s="245"/>
      <c r="AK2711" s="245"/>
      <c r="AL2711" s="245"/>
      <c r="AM2711" s="244"/>
      <c r="AN2711" s="244"/>
      <c r="AO2711" s="238">
        <v>0.0</v>
      </c>
      <c r="AP2711" s="238">
        <v>-38.1</v>
      </c>
      <c r="AQ2711" s="235" t="s">
        <v>632</v>
      </c>
      <c r="AR2711" s="243">
        <v>3.71E11</v>
      </c>
      <c r="AS2711" s="235" t="s">
        <v>19388</v>
      </c>
      <c r="AT2711" s="235" t="s">
        <v>155</v>
      </c>
      <c r="AU2711" s="235" t="s">
        <v>634</v>
      </c>
      <c r="AV2711" s="246" t="s">
        <v>635</v>
      </c>
      <c r="AW2711" s="242"/>
      <c r="AX2711" s="242"/>
      <c r="AY2711" s="231"/>
      <c r="AZ2711" s="231"/>
      <c r="BA2711" s="227"/>
      <c r="BB2711" s="231"/>
      <c r="BC2711" s="227"/>
      <c r="BD2711" s="227"/>
      <c r="BE2711" s="227"/>
      <c r="BF2711" s="227"/>
    </row>
    <row r="2712">
      <c r="A2712" s="235" t="s">
        <v>20685</v>
      </c>
      <c r="C2712" s="235" t="s">
        <v>20686</v>
      </c>
      <c r="D2712" s="235" t="s">
        <v>20687</v>
      </c>
      <c r="E2712" s="243">
        <v>6.53E13</v>
      </c>
      <c r="F2712" s="245"/>
      <c r="G2712" s="235" t="s">
        <v>20688</v>
      </c>
      <c r="H2712" s="235" t="s">
        <v>20689</v>
      </c>
      <c r="I2712" s="235" t="s">
        <v>20689</v>
      </c>
      <c r="J2712" s="235" t="s">
        <v>20690</v>
      </c>
      <c r="K2712" s="235" t="s">
        <v>20691</v>
      </c>
      <c r="N2712" s="235" t="s">
        <v>82</v>
      </c>
      <c r="O2712" s="235" t="s">
        <v>889</v>
      </c>
      <c r="P2712" s="238">
        <v>1.0</v>
      </c>
      <c r="Q2712" s="235" t="s">
        <v>627</v>
      </c>
      <c r="R2712" s="238">
        <v>233.33</v>
      </c>
      <c r="S2712" s="238">
        <v>11.67</v>
      </c>
      <c r="T2712" s="238">
        <v>38.1</v>
      </c>
      <c r="U2712" s="238">
        <v>1.9</v>
      </c>
      <c r="V2712" s="238">
        <v>0.0</v>
      </c>
      <c r="W2712" s="238">
        <v>0.0</v>
      </c>
      <c r="X2712" s="235" t="s">
        <v>628</v>
      </c>
      <c r="Z2712" s="244"/>
      <c r="AA2712" s="244"/>
      <c r="AB2712" s="244"/>
      <c r="AC2712" s="235" t="s">
        <v>795</v>
      </c>
      <c r="AD2712" s="235" t="s">
        <v>796</v>
      </c>
      <c r="AE2712" s="238">
        <v>110044.0</v>
      </c>
      <c r="AF2712" s="235" t="s">
        <v>631</v>
      </c>
      <c r="AG2712" s="244"/>
      <c r="AH2712" s="244"/>
      <c r="AI2712" s="245"/>
      <c r="AJ2712" s="245"/>
      <c r="AK2712" s="245"/>
      <c r="AL2712" s="245"/>
      <c r="AM2712" s="244"/>
      <c r="AN2712" s="244"/>
      <c r="AO2712" s="238">
        <v>0.0</v>
      </c>
      <c r="AP2712" s="238">
        <v>-38.1</v>
      </c>
      <c r="AQ2712" s="235" t="s">
        <v>632</v>
      </c>
      <c r="AR2712" s="243">
        <v>3.71E11</v>
      </c>
      <c r="AS2712" s="235" t="s">
        <v>17988</v>
      </c>
      <c r="AT2712" s="235" t="s">
        <v>13</v>
      </c>
      <c r="AU2712" s="235" t="s">
        <v>634</v>
      </c>
      <c r="AV2712" s="246" t="s">
        <v>635</v>
      </c>
      <c r="AW2712" s="242"/>
      <c r="AX2712" s="242"/>
      <c r="AY2712" s="231"/>
      <c r="AZ2712" s="231"/>
      <c r="BA2712" s="227"/>
      <c r="BB2712" s="231"/>
      <c r="BC2712" s="227"/>
      <c r="BD2712" s="227"/>
      <c r="BE2712" s="227"/>
      <c r="BF2712" s="227"/>
    </row>
    <row r="2713">
      <c r="A2713" s="235" t="s">
        <v>20692</v>
      </c>
      <c r="C2713" s="235" t="s">
        <v>20693</v>
      </c>
      <c r="D2713" s="235" t="s">
        <v>20694</v>
      </c>
      <c r="E2713" s="243">
        <v>6.53E13</v>
      </c>
      <c r="F2713" s="245"/>
      <c r="G2713" s="235" t="s">
        <v>20695</v>
      </c>
      <c r="H2713" s="235" t="s">
        <v>20696</v>
      </c>
      <c r="I2713" s="235" t="s">
        <v>20697</v>
      </c>
      <c r="J2713" s="235" t="s">
        <v>20698</v>
      </c>
      <c r="K2713" s="235" t="s">
        <v>20699</v>
      </c>
      <c r="N2713" s="235" t="s">
        <v>2706</v>
      </c>
      <c r="O2713" s="235" t="s">
        <v>2707</v>
      </c>
      <c r="P2713" s="238">
        <v>1.0</v>
      </c>
      <c r="Q2713" s="235" t="s">
        <v>627</v>
      </c>
      <c r="R2713" s="238">
        <v>761.86</v>
      </c>
      <c r="S2713" s="238">
        <v>134.4</v>
      </c>
      <c r="T2713" s="238">
        <v>0.0</v>
      </c>
      <c r="U2713" s="238">
        <v>0.0</v>
      </c>
      <c r="V2713" s="238">
        <v>0.0</v>
      </c>
      <c r="W2713" s="238">
        <v>0.0</v>
      </c>
      <c r="X2713" s="235" t="s">
        <v>628</v>
      </c>
      <c r="Z2713" s="244"/>
      <c r="AA2713" s="244"/>
      <c r="AB2713" s="244"/>
      <c r="AC2713" s="235" t="s">
        <v>795</v>
      </c>
      <c r="AD2713" s="235" t="s">
        <v>796</v>
      </c>
      <c r="AE2713" s="238">
        <v>110027.0</v>
      </c>
      <c r="AF2713" s="235" t="s">
        <v>631</v>
      </c>
      <c r="AG2713" s="244"/>
      <c r="AH2713" s="244"/>
      <c r="AI2713" s="245"/>
      <c r="AJ2713" s="245"/>
      <c r="AK2713" s="245"/>
      <c r="AL2713" s="245"/>
      <c r="AM2713" s="244"/>
      <c r="AN2713" s="244"/>
      <c r="AO2713" s="238">
        <v>-15.24</v>
      </c>
      <c r="AP2713" s="238">
        <v>0.0</v>
      </c>
      <c r="AQ2713" s="235" t="s">
        <v>632</v>
      </c>
      <c r="AR2713" s="243">
        <v>3.71E11</v>
      </c>
      <c r="AS2713" s="235" t="s">
        <v>19388</v>
      </c>
      <c r="AT2713" s="235" t="s">
        <v>533</v>
      </c>
      <c r="AU2713" s="235" t="s">
        <v>634</v>
      </c>
      <c r="AV2713" s="246" t="s">
        <v>635</v>
      </c>
      <c r="AW2713" s="242"/>
      <c r="AX2713" s="242"/>
      <c r="AY2713" s="231"/>
      <c r="AZ2713" s="231"/>
      <c r="BA2713" s="227"/>
      <c r="BB2713" s="231"/>
      <c r="BC2713" s="227"/>
      <c r="BD2713" s="227"/>
      <c r="BE2713" s="227"/>
      <c r="BF2713" s="227"/>
    </row>
    <row r="2714">
      <c r="A2714" s="235" t="s">
        <v>20700</v>
      </c>
      <c r="C2714" s="235" t="s">
        <v>20701</v>
      </c>
      <c r="D2714" s="235" t="s">
        <v>20702</v>
      </c>
      <c r="E2714" s="243">
        <v>6.53E13</v>
      </c>
      <c r="F2714" s="245"/>
      <c r="G2714" s="235" t="s">
        <v>20703</v>
      </c>
      <c r="H2714" s="235" t="s">
        <v>20704</v>
      </c>
      <c r="I2714" s="235" t="s">
        <v>20704</v>
      </c>
      <c r="J2714" s="235" t="s">
        <v>20705</v>
      </c>
      <c r="K2714" s="235" t="s">
        <v>20706</v>
      </c>
      <c r="N2714" s="235" t="s">
        <v>2848</v>
      </c>
      <c r="O2714" s="235" t="s">
        <v>2849</v>
      </c>
      <c r="P2714" s="238">
        <v>1.0</v>
      </c>
      <c r="Q2714" s="235" t="s">
        <v>627</v>
      </c>
      <c r="R2714" s="238">
        <v>256.19</v>
      </c>
      <c r="S2714" s="238">
        <v>12.81</v>
      </c>
      <c r="T2714" s="238">
        <v>38.1</v>
      </c>
      <c r="U2714" s="238">
        <v>1.9</v>
      </c>
      <c r="V2714" s="238">
        <v>0.0</v>
      </c>
      <c r="W2714" s="238">
        <v>0.0</v>
      </c>
      <c r="X2714" s="235" t="s">
        <v>628</v>
      </c>
      <c r="Z2714" s="244"/>
      <c r="AA2714" s="244"/>
      <c r="AB2714" s="244"/>
      <c r="AC2714" s="235" t="s">
        <v>20707</v>
      </c>
      <c r="AD2714" s="235" t="s">
        <v>1086</v>
      </c>
      <c r="AE2714" s="238">
        <v>147101.0</v>
      </c>
      <c r="AF2714" s="235" t="s">
        <v>631</v>
      </c>
      <c r="AG2714" s="244"/>
      <c r="AH2714" s="244"/>
      <c r="AI2714" s="245"/>
      <c r="AJ2714" s="245"/>
      <c r="AK2714" s="245"/>
      <c r="AL2714" s="245"/>
      <c r="AM2714" s="244"/>
      <c r="AN2714" s="244"/>
      <c r="AO2714" s="238">
        <v>0.0</v>
      </c>
      <c r="AP2714" s="238">
        <v>-38.1</v>
      </c>
      <c r="AQ2714" s="235" t="s">
        <v>632</v>
      </c>
      <c r="AR2714" s="243">
        <v>3.71E11</v>
      </c>
      <c r="AS2714" s="235" t="s">
        <v>17988</v>
      </c>
      <c r="AT2714" s="235" t="s">
        <v>14</v>
      </c>
      <c r="AU2714" s="235" t="s">
        <v>634</v>
      </c>
      <c r="AV2714" s="246" t="s">
        <v>635</v>
      </c>
      <c r="AW2714" s="242"/>
      <c r="AX2714" s="242"/>
      <c r="AY2714" s="231"/>
      <c r="AZ2714" s="231"/>
      <c r="BA2714" s="227"/>
      <c r="BB2714" s="231"/>
      <c r="BC2714" s="227"/>
      <c r="BD2714" s="227"/>
      <c r="BE2714" s="227"/>
      <c r="BF2714" s="227"/>
    </row>
    <row r="2715">
      <c r="A2715" s="235" t="s">
        <v>20708</v>
      </c>
      <c r="C2715" s="235" t="s">
        <v>20709</v>
      </c>
      <c r="D2715" s="235" t="s">
        <v>20710</v>
      </c>
      <c r="E2715" s="243">
        <v>6.53E13</v>
      </c>
      <c r="F2715" s="245"/>
      <c r="G2715" s="235" t="s">
        <v>20711</v>
      </c>
      <c r="H2715" s="235" t="s">
        <v>20712</v>
      </c>
      <c r="I2715" s="235" t="s">
        <v>20712</v>
      </c>
      <c r="J2715" s="235" t="s">
        <v>20713</v>
      </c>
      <c r="K2715" s="235" t="s">
        <v>20714</v>
      </c>
      <c r="N2715" s="235" t="s">
        <v>71</v>
      </c>
      <c r="O2715" s="235" t="s">
        <v>240</v>
      </c>
      <c r="P2715" s="238">
        <v>1.0</v>
      </c>
      <c r="Q2715" s="235" t="s">
        <v>627</v>
      </c>
      <c r="R2715" s="238">
        <v>261.9</v>
      </c>
      <c r="S2715" s="238">
        <v>13.1</v>
      </c>
      <c r="T2715" s="238">
        <v>0.0</v>
      </c>
      <c r="U2715" s="238">
        <v>0.0</v>
      </c>
      <c r="V2715" s="238">
        <v>0.0</v>
      </c>
      <c r="W2715" s="238">
        <v>0.0</v>
      </c>
      <c r="X2715" s="235" t="s">
        <v>628</v>
      </c>
      <c r="Z2715" s="244"/>
      <c r="AA2715" s="244"/>
      <c r="AB2715" s="244"/>
      <c r="AC2715" s="235" t="s">
        <v>687</v>
      </c>
      <c r="AD2715" s="235" t="s">
        <v>666</v>
      </c>
      <c r="AE2715" s="238">
        <v>600126.0</v>
      </c>
      <c r="AF2715" s="235" t="s">
        <v>631</v>
      </c>
      <c r="AG2715" s="244"/>
      <c r="AH2715" s="244"/>
      <c r="AI2715" s="245"/>
      <c r="AJ2715" s="245"/>
      <c r="AK2715" s="245"/>
      <c r="AL2715" s="245"/>
      <c r="AM2715" s="244"/>
      <c r="AN2715" s="244"/>
      <c r="AO2715" s="238">
        <v>0.0</v>
      </c>
      <c r="AP2715" s="238">
        <v>0.0</v>
      </c>
      <c r="AQ2715" s="235" t="s">
        <v>632</v>
      </c>
      <c r="AR2715" s="243">
        <v>3.71E11</v>
      </c>
      <c r="AS2715" s="235" t="s">
        <v>19388</v>
      </c>
      <c r="AT2715" s="235" t="s">
        <v>156</v>
      </c>
      <c r="AU2715" s="235" t="s">
        <v>634</v>
      </c>
      <c r="AV2715" s="246" t="s">
        <v>635</v>
      </c>
      <c r="AW2715" s="242"/>
      <c r="AX2715" s="242"/>
      <c r="AY2715" s="231"/>
      <c r="AZ2715" s="231"/>
      <c r="BA2715" s="227"/>
      <c r="BB2715" s="231"/>
      <c r="BC2715" s="227"/>
      <c r="BD2715" s="227"/>
      <c r="BE2715" s="227"/>
      <c r="BF2715" s="227"/>
    </row>
    <row r="2716">
      <c r="A2716" s="235" t="s">
        <v>20715</v>
      </c>
      <c r="C2716" s="235" t="s">
        <v>20716</v>
      </c>
      <c r="D2716" s="235" t="s">
        <v>20717</v>
      </c>
      <c r="E2716" s="243">
        <v>6.53E13</v>
      </c>
      <c r="F2716" s="245"/>
      <c r="G2716" s="235" t="s">
        <v>20718</v>
      </c>
      <c r="H2716" s="235" t="s">
        <v>20719</v>
      </c>
      <c r="I2716" s="235" t="s">
        <v>20719</v>
      </c>
      <c r="J2716" s="235" t="s">
        <v>20720</v>
      </c>
      <c r="K2716" s="235" t="s">
        <v>20721</v>
      </c>
      <c r="N2716" s="235" t="s">
        <v>132</v>
      </c>
      <c r="O2716" s="235" t="s">
        <v>8600</v>
      </c>
      <c r="P2716" s="238">
        <v>1.0</v>
      </c>
      <c r="Q2716" s="235" t="s">
        <v>627</v>
      </c>
      <c r="R2716" s="238">
        <v>270.48</v>
      </c>
      <c r="S2716" s="238">
        <v>13.52</v>
      </c>
      <c r="T2716" s="238">
        <v>38.1</v>
      </c>
      <c r="U2716" s="238">
        <v>1.9</v>
      </c>
      <c r="V2716" s="238">
        <v>0.0</v>
      </c>
      <c r="W2716" s="238">
        <v>0.0</v>
      </c>
      <c r="X2716" s="235" t="s">
        <v>628</v>
      </c>
      <c r="Z2716" s="244"/>
      <c r="AA2716" s="244"/>
      <c r="AB2716" s="244"/>
      <c r="AC2716" s="235" t="s">
        <v>1085</v>
      </c>
      <c r="AD2716" s="235" t="s">
        <v>1086</v>
      </c>
      <c r="AE2716" s="238">
        <v>141001.0</v>
      </c>
      <c r="AF2716" s="235" t="s">
        <v>631</v>
      </c>
      <c r="AG2716" s="244"/>
      <c r="AH2716" s="244"/>
      <c r="AI2716" s="245"/>
      <c r="AJ2716" s="245"/>
      <c r="AK2716" s="245"/>
      <c r="AL2716" s="245"/>
      <c r="AM2716" s="244"/>
      <c r="AN2716" s="244"/>
      <c r="AO2716" s="238">
        <v>0.0</v>
      </c>
      <c r="AP2716" s="238">
        <v>-38.1</v>
      </c>
      <c r="AQ2716" s="235" t="s">
        <v>632</v>
      </c>
      <c r="AR2716" s="243">
        <v>3.71E11</v>
      </c>
      <c r="AS2716" s="235" t="s">
        <v>17988</v>
      </c>
      <c r="AT2716" s="235" t="s">
        <v>14</v>
      </c>
      <c r="AU2716" s="235" t="s">
        <v>634</v>
      </c>
      <c r="AV2716" s="246" t="s">
        <v>635</v>
      </c>
      <c r="AW2716" s="242"/>
      <c r="AX2716" s="242"/>
      <c r="AY2716" s="231"/>
      <c r="AZ2716" s="231"/>
      <c r="BA2716" s="227"/>
      <c r="BB2716" s="231"/>
      <c r="BC2716" s="227"/>
      <c r="BD2716" s="227"/>
      <c r="BE2716" s="227"/>
      <c r="BF2716" s="227"/>
    </row>
    <row r="2717">
      <c r="A2717" s="235" t="s">
        <v>20722</v>
      </c>
      <c r="C2717" s="235" t="s">
        <v>20723</v>
      </c>
      <c r="D2717" s="235" t="s">
        <v>20724</v>
      </c>
      <c r="E2717" s="243">
        <v>6.53E13</v>
      </c>
      <c r="F2717" s="245"/>
      <c r="G2717" s="235" t="s">
        <v>20725</v>
      </c>
      <c r="H2717" s="235" t="s">
        <v>20726</v>
      </c>
      <c r="I2717" s="235" t="s">
        <v>20726</v>
      </c>
      <c r="J2717" s="235" t="s">
        <v>20727</v>
      </c>
      <c r="K2717" s="235" t="s">
        <v>20728</v>
      </c>
      <c r="N2717" s="235" t="s">
        <v>127</v>
      </c>
      <c r="O2717" s="235" t="s">
        <v>794</v>
      </c>
      <c r="P2717" s="238">
        <v>1.0</v>
      </c>
      <c r="Q2717" s="235" t="s">
        <v>627</v>
      </c>
      <c r="R2717" s="238">
        <v>270.48</v>
      </c>
      <c r="S2717" s="238">
        <v>13.25</v>
      </c>
      <c r="T2717" s="238">
        <v>0.0</v>
      </c>
      <c r="U2717" s="238">
        <v>0.0</v>
      </c>
      <c r="V2717" s="238">
        <v>0.0</v>
      </c>
      <c r="W2717" s="238">
        <v>0.0</v>
      </c>
      <c r="X2717" s="235" t="s">
        <v>628</v>
      </c>
      <c r="Z2717" s="244"/>
      <c r="AA2717" s="244"/>
      <c r="AB2717" s="244"/>
      <c r="AC2717" s="235" t="s">
        <v>2647</v>
      </c>
      <c r="AD2717" s="235" t="s">
        <v>845</v>
      </c>
      <c r="AE2717" s="238">
        <v>421202.0</v>
      </c>
      <c r="AF2717" s="235" t="s">
        <v>631</v>
      </c>
      <c r="AG2717" s="244"/>
      <c r="AH2717" s="244"/>
      <c r="AI2717" s="245"/>
      <c r="AJ2717" s="245"/>
      <c r="AK2717" s="245"/>
      <c r="AL2717" s="245"/>
      <c r="AM2717" s="244"/>
      <c r="AN2717" s="244"/>
      <c r="AO2717" s="238">
        <v>-5.41</v>
      </c>
      <c r="AP2717" s="238">
        <v>0.0</v>
      </c>
      <c r="AQ2717" s="235" t="s">
        <v>632</v>
      </c>
      <c r="AR2717" s="243">
        <v>1.68E11</v>
      </c>
      <c r="AS2717" s="235" t="s">
        <v>19840</v>
      </c>
      <c r="AT2717" s="235" t="s">
        <v>16</v>
      </c>
      <c r="AU2717" s="235" t="s">
        <v>634</v>
      </c>
      <c r="AV2717" s="246" t="s">
        <v>635</v>
      </c>
      <c r="AW2717" s="242"/>
      <c r="AX2717" s="242"/>
      <c r="AY2717" s="231"/>
      <c r="AZ2717" s="231"/>
      <c r="BA2717" s="227"/>
      <c r="BB2717" s="231"/>
      <c r="BC2717" s="227"/>
      <c r="BD2717" s="227"/>
      <c r="BE2717" s="227"/>
      <c r="BF2717" s="227"/>
    </row>
    <row r="2718">
      <c r="A2718" s="235" t="s">
        <v>20729</v>
      </c>
      <c r="C2718" s="235" t="s">
        <v>20730</v>
      </c>
      <c r="D2718" s="235" t="s">
        <v>20731</v>
      </c>
      <c r="E2718" s="243">
        <v>6.51E13</v>
      </c>
      <c r="F2718" s="245"/>
      <c r="G2718" s="235" t="s">
        <v>20732</v>
      </c>
      <c r="H2718" s="235" t="s">
        <v>20733</v>
      </c>
      <c r="I2718" s="235" t="s">
        <v>20734</v>
      </c>
      <c r="J2718" s="235" t="s">
        <v>20735</v>
      </c>
      <c r="K2718" s="235" t="s">
        <v>20736</v>
      </c>
      <c r="N2718" s="235" t="s">
        <v>22</v>
      </c>
      <c r="O2718" s="235" t="s">
        <v>729</v>
      </c>
      <c r="P2718" s="238">
        <v>2.0</v>
      </c>
      <c r="Q2718" s="235" t="s">
        <v>627</v>
      </c>
      <c r="R2718" s="238">
        <v>683.8</v>
      </c>
      <c r="S2718" s="238">
        <v>33.18</v>
      </c>
      <c r="T2718" s="238">
        <v>0.0</v>
      </c>
      <c r="U2718" s="238">
        <v>0.0</v>
      </c>
      <c r="V2718" s="238">
        <v>0.0</v>
      </c>
      <c r="W2718" s="238">
        <v>0.0</v>
      </c>
      <c r="X2718" s="235" t="s">
        <v>628</v>
      </c>
      <c r="Z2718" s="244"/>
      <c r="AA2718" s="244"/>
      <c r="AB2718" s="244"/>
      <c r="AC2718" s="235" t="s">
        <v>1604</v>
      </c>
      <c r="AD2718" s="235" t="s">
        <v>845</v>
      </c>
      <c r="AE2718" s="238">
        <v>400064.0</v>
      </c>
      <c r="AF2718" s="235" t="s">
        <v>631</v>
      </c>
      <c r="AG2718" s="244"/>
      <c r="AH2718" s="244"/>
      <c r="AI2718" s="245"/>
      <c r="AJ2718" s="245"/>
      <c r="AK2718" s="245"/>
      <c r="AL2718" s="245"/>
      <c r="AM2718" s="244"/>
      <c r="AN2718" s="244"/>
      <c r="AO2718" s="238">
        <v>-20.52</v>
      </c>
      <c r="AP2718" s="238">
        <v>0.0</v>
      </c>
      <c r="AQ2718" s="235" t="s">
        <v>632</v>
      </c>
      <c r="AR2718" s="243">
        <v>3.71E11</v>
      </c>
      <c r="AS2718" s="235" t="s">
        <v>19388</v>
      </c>
      <c r="AT2718" s="235" t="s">
        <v>16</v>
      </c>
      <c r="AU2718" s="235" t="s">
        <v>634</v>
      </c>
      <c r="AV2718" s="246" t="s">
        <v>635</v>
      </c>
      <c r="AW2718" s="242"/>
      <c r="AX2718" s="242"/>
      <c r="AY2718" s="231"/>
      <c r="AZ2718" s="231"/>
      <c r="BA2718" s="227"/>
      <c r="BB2718" s="227"/>
      <c r="BC2718" s="227"/>
      <c r="BD2718" s="227"/>
      <c r="BE2718" s="227"/>
      <c r="BF2718" s="227"/>
    </row>
    <row r="2719">
      <c r="A2719" s="235" t="s">
        <v>20737</v>
      </c>
      <c r="C2719" s="235" t="s">
        <v>20738</v>
      </c>
      <c r="D2719" s="235" t="s">
        <v>20739</v>
      </c>
      <c r="E2719" s="243">
        <v>6.52E13</v>
      </c>
      <c r="F2719" s="245"/>
      <c r="G2719" s="235" t="s">
        <v>20740</v>
      </c>
      <c r="H2719" s="235" t="s">
        <v>20741</v>
      </c>
      <c r="I2719" s="235" t="s">
        <v>20741</v>
      </c>
      <c r="J2719" s="235" t="s">
        <v>20742</v>
      </c>
      <c r="K2719" s="235" t="s">
        <v>20743</v>
      </c>
      <c r="N2719" s="235" t="s">
        <v>27</v>
      </c>
      <c r="O2719" s="235" t="s">
        <v>573</v>
      </c>
      <c r="P2719" s="238">
        <v>1.0</v>
      </c>
      <c r="Q2719" s="235" t="s">
        <v>627</v>
      </c>
      <c r="R2719" s="238">
        <v>360.0</v>
      </c>
      <c r="S2719" s="238">
        <v>18.0</v>
      </c>
      <c r="T2719" s="238">
        <v>38.1</v>
      </c>
      <c r="U2719" s="238">
        <v>1.9</v>
      </c>
      <c r="V2719" s="238">
        <v>0.0</v>
      </c>
      <c r="W2719" s="238">
        <v>0.0</v>
      </c>
      <c r="X2719" s="235" t="s">
        <v>628</v>
      </c>
      <c r="Z2719" s="244"/>
      <c r="AA2719" s="244"/>
      <c r="AB2719" s="244"/>
      <c r="AC2719" s="235" t="s">
        <v>1320</v>
      </c>
      <c r="AD2719" s="235" t="s">
        <v>666</v>
      </c>
      <c r="AE2719" s="238">
        <v>600018.0</v>
      </c>
      <c r="AF2719" s="235" t="s">
        <v>631</v>
      </c>
      <c r="AG2719" s="244"/>
      <c r="AH2719" s="244"/>
      <c r="AI2719" s="245"/>
      <c r="AJ2719" s="245"/>
      <c r="AK2719" s="245"/>
      <c r="AL2719" s="245"/>
      <c r="AM2719" s="244"/>
      <c r="AN2719" s="244"/>
      <c r="AO2719" s="238">
        <v>0.0</v>
      </c>
      <c r="AP2719" s="238">
        <v>-38.1</v>
      </c>
      <c r="AQ2719" s="235" t="s">
        <v>632</v>
      </c>
      <c r="AR2719" s="243">
        <v>3.71E11</v>
      </c>
      <c r="AS2719" s="235" t="s">
        <v>19388</v>
      </c>
      <c r="AT2719" s="235" t="s">
        <v>156</v>
      </c>
      <c r="AU2719" s="235" t="s">
        <v>634</v>
      </c>
      <c r="AV2719" s="246" t="s">
        <v>635</v>
      </c>
      <c r="AW2719" s="242"/>
      <c r="AX2719" s="242"/>
      <c r="AY2719" s="231"/>
      <c r="AZ2719" s="231"/>
      <c r="BA2719" s="227"/>
      <c r="BB2719" s="231"/>
      <c r="BC2719" s="227"/>
      <c r="BD2719" s="227"/>
      <c r="BE2719" s="227"/>
      <c r="BF2719" s="227"/>
    </row>
    <row r="2720">
      <c r="A2720" s="235" t="s">
        <v>20744</v>
      </c>
      <c r="C2720" s="235" t="s">
        <v>20745</v>
      </c>
      <c r="D2720" s="235" t="s">
        <v>20746</v>
      </c>
      <c r="E2720" s="243">
        <v>6.53E13</v>
      </c>
      <c r="F2720" s="245"/>
      <c r="G2720" s="235" t="s">
        <v>20747</v>
      </c>
      <c r="H2720" s="235" t="s">
        <v>20748</v>
      </c>
      <c r="I2720" s="235" t="s">
        <v>20749</v>
      </c>
      <c r="J2720" s="235" t="s">
        <v>20750</v>
      </c>
      <c r="K2720" s="235" t="s">
        <v>20751</v>
      </c>
      <c r="N2720" s="235" t="s">
        <v>989</v>
      </c>
      <c r="O2720" s="235" t="s">
        <v>990</v>
      </c>
      <c r="P2720" s="238">
        <v>1.0</v>
      </c>
      <c r="Q2720" s="235" t="s">
        <v>627</v>
      </c>
      <c r="R2720" s="238">
        <v>256.19</v>
      </c>
      <c r="S2720" s="238">
        <v>12.81</v>
      </c>
      <c r="T2720" s="238">
        <v>38.1</v>
      </c>
      <c r="U2720" s="238">
        <v>1.9</v>
      </c>
      <c r="V2720" s="238">
        <v>0.0</v>
      </c>
      <c r="W2720" s="238">
        <v>0.0</v>
      </c>
      <c r="X2720" s="235" t="s">
        <v>628</v>
      </c>
      <c r="Z2720" s="244"/>
      <c r="AA2720" s="244"/>
      <c r="AB2720" s="244"/>
      <c r="AC2720" s="235" t="s">
        <v>11868</v>
      </c>
      <c r="AD2720" s="235" t="s">
        <v>917</v>
      </c>
      <c r="AE2720" s="238">
        <v>305901.0</v>
      </c>
      <c r="AF2720" s="235" t="s">
        <v>631</v>
      </c>
      <c r="AG2720" s="244"/>
      <c r="AH2720" s="244"/>
      <c r="AI2720" s="245"/>
      <c r="AJ2720" s="245"/>
      <c r="AK2720" s="245"/>
      <c r="AL2720" s="245"/>
      <c r="AM2720" s="244"/>
      <c r="AN2720" s="244"/>
      <c r="AO2720" s="238">
        <v>0.0</v>
      </c>
      <c r="AP2720" s="238">
        <v>-38.1</v>
      </c>
      <c r="AQ2720" s="235" t="s">
        <v>632</v>
      </c>
      <c r="AR2720" s="243">
        <v>3.71E11</v>
      </c>
      <c r="AS2720" s="235" t="s">
        <v>17988</v>
      </c>
      <c r="AT2720" s="235" t="s">
        <v>14</v>
      </c>
      <c r="AU2720" s="235" t="s">
        <v>634</v>
      </c>
      <c r="AV2720" s="246" t="s">
        <v>635</v>
      </c>
      <c r="AW2720" s="242"/>
      <c r="AX2720" s="242"/>
      <c r="AY2720" s="231"/>
      <c r="AZ2720" s="231"/>
      <c r="BA2720" s="227"/>
      <c r="BB2720" s="231"/>
      <c r="BC2720" s="227"/>
      <c r="BD2720" s="227"/>
      <c r="BE2720" s="227"/>
      <c r="BF2720" s="227"/>
    </row>
    <row r="2721">
      <c r="A2721" s="235" t="s">
        <v>20752</v>
      </c>
      <c r="C2721" s="235" t="s">
        <v>20753</v>
      </c>
      <c r="D2721" s="235" t="s">
        <v>20754</v>
      </c>
      <c r="E2721" s="243">
        <v>6.53E13</v>
      </c>
      <c r="F2721" s="245"/>
      <c r="G2721" s="235" t="s">
        <v>20755</v>
      </c>
      <c r="H2721" s="235" t="s">
        <v>20756</v>
      </c>
      <c r="I2721" s="235" t="s">
        <v>20756</v>
      </c>
      <c r="J2721" s="235" t="s">
        <v>20757</v>
      </c>
      <c r="K2721" s="235" t="s">
        <v>20758</v>
      </c>
      <c r="N2721" s="235" t="s">
        <v>104</v>
      </c>
      <c r="O2721" s="235" t="s">
        <v>401</v>
      </c>
      <c r="P2721" s="238">
        <v>1.0</v>
      </c>
      <c r="Q2721" s="235" t="s">
        <v>627</v>
      </c>
      <c r="R2721" s="238">
        <v>270.48</v>
      </c>
      <c r="S2721" s="238">
        <v>13.52</v>
      </c>
      <c r="T2721" s="238">
        <v>0.0</v>
      </c>
      <c r="U2721" s="238">
        <v>0.0</v>
      </c>
      <c r="V2721" s="238">
        <v>0.0</v>
      </c>
      <c r="W2721" s="238">
        <v>0.0</v>
      </c>
      <c r="X2721" s="235" t="s">
        <v>628</v>
      </c>
      <c r="Z2721" s="244"/>
      <c r="AA2721" s="244"/>
      <c r="AB2721" s="244"/>
      <c r="AC2721" s="235" t="s">
        <v>687</v>
      </c>
      <c r="AD2721" s="235" t="s">
        <v>666</v>
      </c>
      <c r="AE2721" s="238">
        <v>600095.0</v>
      </c>
      <c r="AF2721" s="235" t="s">
        <v>631</v>
      </c>
      <c r="AG2721" s="244"/>
      <c r="AH2721" s="244"/>
      <c r="AI2721" s="245"/>
      <c r="AJ2721" s="245"/>
      <c r="AK2721" s="245"/>
      <c r="AL2721" s="245"/>
      <c r="AM2721" s="244"/>
      <c r="AN2721" s="244"/>
      <c r="AO2721" s="238">
        <v>0.0</v>
      </c>
      <c r="AP2721" s="238">
        <v>0.0</v>
      </c>
      <c r="AQ2721" s="235" t="s">
        <v>632</v>
      </c>
      <c r="AR2721" s="243">
        <v>1.68E11</v>
      </c>
      <c r="AS2721" s="235" t="s">
        <v>19840</v>
      </c>
      <c r="AT2721" s="235" t="s">
        <v>156</v>
      </c>
      <c r="AU2721" s="235" t="s">
        <v>634</v>
      </c>
      <c r="AV2721" s="246" t="s">
        <v>635</v>
      </c>
      <c r="AW2721" s="242"/>
      <c r="AX2721" s="242"/>
      <c r="AY2721" s="231"/>
      <c r="AZ2721" s="231"/>
      <c r="BA2721" s="227"/>
      <c r="BB2721" s="231"/>
      <c r="BC2721" s="227"/>
      <c r="BD2721" s="227"/>
      <c r="BE2721" s="227"/>
      <c r="BF2721" s="227"/>
    </row>
    <row r="2722">
      <c r="A2722" s="235" t="s">
        <v>20759</v>
      </c>
      <c r="C2722" s="235" t="s">
        <v>20760</v>
      </c>
      <c r="D2722" s="235" t="s">
        <v>20761</v>
      </c>
      <c r="E2722" s="243">
        <v>6.53E13</v>
      </c>
      <c r="F2722" s="245"/>
      <c r="G2722" s="235" t="s">
        <v>20762</v>
      </c>
      <c r="H2722" s="235" t="s">
        <v>20763</v>
      </c>
      <c r="I2722" s="235" t="s">
        <v>20763</v>
      </c>
      <c r="J2722" s="235" t="s">
        <v>20764</v>
      </c>
      <c r="K2722" s="235" t="s">
        <v>20765</v>
      </c>
      <c r="N2722" s="235" t="s">
        <v>54</v>
      </c>
      <c r="O2722" s="235" t="s">
        <v>294</v>
      </c>
      <c r="P2722" s="238">
        <v>1.0</v>
      </c>
      <c r="Q2722" s="235" t="s">
        <v>627</v>
      </c>
      <c r="R2722" s="238">
        <v>233.33</v>
      </c>
      <c r="S2722" s="238">
        <v>11.44</v>
      </c>
      <c r="T2722" s="238">
        <v>0.0</v>
      </c>
      <c r="U2722" s="238">
        <v>0.0</v>
      </c>
      <c r="V2722" s="238">
        <v>0.0</v>
      </c>
      <c r="W2722" s="238">
        <v>0.0</v>
      </c>
      <c r="X2722" s="235" t="s">
        <v>628</v>
      </c>
      <c r="Z2722" s="244"/>
      <c r="AA2722" s="244"/>
      <c r="AB2722" s="244"/>
      <c r="AC2722" s="235" t="s">
        <v>795</v>
      </c>
      <c r="AD2722" s="235" t="s">
        <v>796</v>
      </c>
      <c r="AE2722" s="238">
        <v>110068.0</v>
      </c>
      <c r="AF2722" s="235" t="s">
        <v>631</v>
      </c>
      <c r="AG2722" s="244"/>
      <c r="AH2722" s="244"/>
      <c r="AI2722" s="245"/>
      <c r="AJ2722" s="245"/>
      <c r="AK2722" s="245"/>
      <c r="AL2722" s="245"/>
      <c r="AM2722" s="244"/>
      <c r="AN2722" s="244"/>
      <c r="AO2722" s="238">
        <v>-4.67</v>
      </c>
      <c r="AP2722" s="238">
        <v>0.0</v>
      </c>
      <c r="AQ2722" s="235" t="s">
        <v>632</v>
      </c>
      <c r="AR2722" s="243">
        <v>3.71E11</v>
      </c>
      <c r="AS2722" s="235" t="s">
        <v>19388</v>
      </c>
      <c r="AT2722" s="235" t="s">
        <v>533</v>
      </c>
      <c r="AU2722" s="235" t="s">
        <v>634</v>
      </c>
      <c r="AV2722" s="246" t="s">
        <v>635</v>
      </c>
      <c r="AW2722" s="242"/>
      <c r="AX2722" s="242"/>
      <c r="AY2722" s="231"/>
      <c r="AZ2722" s="231"/>
      <c r="BA2722" s="227"/>
      <c r="BB2722" s="231"/>
      <c r="BC2722" s="227"/>
      <c r="BD2722" s="227"/>
      <c r="BE2722" s="227"/>
      <c r="BF2722" s="227"/>
    </row>
    <row r="2723">
      <c r="A2723" s="235" t="s">
        <v>20766</v>
      </c>
      <c r="C2723" s="235" t="s">
        <v>20767</v>
      </c>
      <c r="D2723" s="235" t="s">
        <v>20768</v>
      </c>
      <c r="E2723" s="243">
        <v>6.53E13</v>
      </c>
      <c r="F2723" s="245"/>
      <c r="G2723" s="235" t="s">
        <v>20769</v>
      </c>
      <c r="H2723" s="235" t="s">
        <v>20770</v>
      </c>
      <c r="I2723" s="235" t="s">
        <v>20770</v>
      </c>
      <c r="J2723" s="235" t="s">
        <v>20771</v>
      </c>
      <c r="K2723" s="235" t="s">
        <v>20772</v>
      </c>
      <c r="N2723" s="235" t="s">
        <v>64</v>
      </c>
      <c r="O2723" s="235" t="s">
        <v>378</v>
      </c>
      <c r="P2723" s="238">
        <v>1.0</v>
      </c>
      <c r="Q2723" s="235" t="s">
        <v>627</v>
      </c>
      <c r="R2723" s="238">
        <v>380.0</v>
      </c>
      <c r="S2723" s="238">
        <v>19.0</v>
      </c>
      <c r="T2723" s="238">
        <v>0.0</v>
      </c>
      <c r="U2723" s="238">
        <v>0.0</v>
      </c>
      <c r="V2723" s="238">
        <v>0.0</v>
      </c>
      <c r="W2723" s="238">
        <v>0.0</v>
      </c>
      <c r="X2723" s="235" t="s">
        <v>628</v>
      </c>
      <c r="Z2723" s="244"/>
      <c r="AA2723" s="244"/>
      <c r="AB2723" s="244"/>
      <c r="AC2723" s="235" t="s">
        <v>1475</v>
      </c>
      <c r="AD2723" s="235" t="s">
        <v>796</v>
      </c>
      <c r="AE2723" s="238">
        <v>110058.0</v>
      </c>
      <c r="AF2723" s="235" t="s">
        <v>631</v>
      </c>
      <c r="AG2723" s="244"/>
      <c r="AH2723" s="244"/>
      <c r="AI2723" s="245"/>
      <c r="AJ2723" s="245"/>
      <c r="AK2723" s="245"/>
      <c r="AL2723" s="245"/>
      <c r="AM2723" s="244"/>
      <c r="AN2723" s="244"/>
      <c r="AO2723" s="238">
        <v>0.0</v>
      </c>
      <c r="AP2723" s="238">
        <v>0.0</v>
      </c>
      <c r="AQ2723" s="235" t="s">
        <v>632</v>
      </c>
      <c r="AR2723" s="243">
        <v>1.68E11</v>
      </c>
      <c r="AS2723" s="235" t="s">
        <v>20529</v>
      </c>
      <c r="AT2723" s="235" t="s">
        <v>14</v>
      </c>
      <c r="AU2723" s="235" t="s">
        <v>634</v>
      </c>
      <c r="AV2723" s="246" t="s">
        <v>635</v>
      </c>
      <c r="AW2723" s="242"/>
      <c r="AX2723" s="242"/>
      <c r="AY2723" s="231"/>
      <c r="AZ2723" s="231"/>
      <c r="BA2723" s="227"/>
      <c r="BB2723" s="231"/>
      <c r="BC2723" s="227"/>
      <c r="BD2723" s="227"/>
      <c r="BE2723" s="227"/>
      <c r="BF2723" s="227"/>
    </row>
    <row r="2724">
      <c r="A2724" s="235" t="s">
        <v>20773</v>
      </c>
      <c r="C2724" s="235" t="s">
        <v>20774</v>
      </c>
      <c r="D2724" s="235" t="s">
        <v>20775</v>
      </c>
      <c r="E2724" s="243">
        <v>6.53E13</v>
      </c>
      <c r="F2724" s="245"/>
      <c r="G2724" s="235" t="s">
        <v>20776</v>
      </c>
      <c r="H2724" s="235" t="s">
        <v>20777</v>
      </c>
      <c r="I2724" s="235" t="s">
        <v>20778</v>
      </c>
      <c r="J2724" s="235" t="s">
        <v>20779</v>
      </c>
      <c r="K2724" s="235" t="s">
        <v>20780</v>
      </c>
      <c r="N2724" s="235" t="s">
        <v>47</v>
      </c>
      <c r="O2724" s="235" t="s">
        <v>270</v>
      </c>
      <c r="P2724" s="238">
        <v>1.0</v>
      </c>
      <c r="Q2724" s="235" t="s">
        <v>627</v>
      </c>
      <c r="R2724" s="238">
        <v>270.48</v>
      </c>
      <c r="S2724" s="238">
        <v>13.25</v>
      </c>
      <c r="T2724" s="238">
        <v>0.0</v>
      </c>
      <c r="U2724" s="238">
        <v>0.0</v>
      </c>
      <c r="V2724" s="238">
        <v>0.0</v>
      </c>
      <c r="W2724" s="238">
        <v>0.0</v>
      </c>
      <c r="X2724" s="235" t="s">
        <v>628</v>
      </c>
      <c r="Z2724" s="245"/>
      <c r="AA2724" s="245"/>
      <c r="AB2724" s="245"/>
      <c r="AC2724" s="235" t="s">
        <v>697</v>
      </c>
      <c r="AD2724" s="235" t="s">
        <v>698</v>
      </c>
      <c r="AE2724" s="238">
        <v>500089.0</v>
      </c>
      <c r="AF2724" s="235" t="s">
        <v>631</v>
      </c>
      <c r="AG2724" s="245"/>
      <c r="AH2724" s="245"/>
      <c r="AI2724" s="245"/>
      <c r="AJ2724" s="245"/>
      <c r="AK2724" s="245"/>
      <c r="AL2724" s="245"/>
      <c r="AM2724" s="245"/>
      <c r="AN2724" s="245"/>
      <c r="AO2724" s="238">
        <v>-5.41</v>
      </c>
      <c r="AP2724" s="238">
        <v>0.0</v>
      </c>
      <c r="AQ2724" s="235" t="s">
        <v>632</v>
      </c>
      <c r="AR2724" s="243">
        <v>1.68E11</v>
      </c>
      <c r="AS2724" s="235" t="s">
        <v>19388</v>
      </c>
      <c r="AT2724" s="235" t="s">
        <v>9</v>
      </c>
      <c r="AU2724" s="235" t="s">
        <v>634</v>
      </c>
      <c r="AV2724" s="246" t="s">
        <v>635</v>
      </c>
      <c r="AW2724" s="227"/>
      <c r="AX2724" s="227"/>
      <c r="AY2724" s="227"/>
      <c r="AZ2724" s="227"/>
      <c r="BA2724" s="227"/>
      <c r="BB2724" s="227"/>
      <c r="BC2724" s="227"/>
      <c r="BD2724" s="227"/>
      <c r="BE2724" s="227"/>
      <c r="BF2724" s="227"/>
    </row>
    <row r="2725">
      <c r="A2725" s="235" t="s">
        <v>20781</v>
      </c>
      <c r="C2725" s="235" t="s">
        <v>20782</v>
      </c>
      <c r="D2725" s="235" t="s">
        <v>20783</v>
      </c>
      <c r="E2725" s="243">
        <v>6.53E13</v>
      </c>
      <c r="F2725" s="245"/>
      <c r="G2725" s="235" t="s">
        <v>20784</v>
      </c>
      <c r="H2725" s="235" t="s">
        <v>20785</v>
      </c>
      <c r="I2725" s="235" t="s">
        <v>20785</v>
      </c>
      <c r="J2725" s="235" t="s">
        <v>20786</v>
      </c>
      <c r="K2725" s="235" t="s">
        <v>20787</v>
      </c>
      <c r="N2725" s="235" t="s">
        <v>566</v>
      </c>
      <c r="O2725" s="235" t="s">
        <v>1834</v>
      </c>
      <c r="P2725" s="238">
        <v>1.0</v>
      </c>
      <c r="Q2725" s="235" t="s">
        <v>627</v>
      </c>
      <c r="R2725" s="238">
        <v>507.63</v>
      </c>
      <c r="S2725" s="238">
        <v>91.37</v>
      </c>
      <c r="T2725" s="238">
        <v>33.9</v>
      </c>
      <c r="U2725" s="238">
        <v>6.1</v>
      </c>
      <c r="V2725" s="238">
        <v>0.0</v>
      </c>
      <c r="W2725" s="238">
        <v>0.0</v>
      </c>
      <c r="X2725" s="235" t="s">
        <v>628</v>
      </c>
      <c r="Z2725" s="245"/>
      <c r="AA2725" s="245"/>
      <c r="AB2725" s="245"/>
      <c r="AC2725" s="235" t="s">
        <v>8056</v>
      </c>
      <c r="AD2725" s="235" t="s">
        <v>666</v>
      </c>
      <c r="AE2725" s="238">
        <v>638002.0</v>
      </c>
      <c r="AF2725" s="235" t="s">
        <v>631</v>
      </c>
      <c r="AG2725" s="245"/>
      <c r="AH2725" s="245"/>
      <c r="AI2725" s="245"/>
      <c r="AJ2725" s="245"/>
      <c r="AK2725" s="245"/>
      <c r="AL2725" s="245"/>
      <c r="AM2725" s="245"/>
      <c r="AN2725" s="245"/>
      <c r="AO2725" s="238">
        <v>0.0</v>
      </c>
      <c r="AP2725" s="238">
        <v>-33.9</v>
      </c>
      <c r="AQ2725" s="235" t="s">
        <v>632</v>
      </c>
      <c r="AR2725" s="243">
        <v>3.71E11</v>
      </c>
      <c r="AS2725" s="235" t="s">
        <v>19388</v>
      </c>
      <c r="AT2725" s="235" t="s">
        <v>9</v>
      </c>
      <c r="AU2725" s="235" t="s">
        <v>634</v>
      </c>
      <c r="AV2725" s="246" t="s">
        <v>635</v>
      </c>
      <c r="AW2725" s="227"/>
      <c r="AX2725" s="227"/>
      <c r="AY2725" s="227"/>
      <c r="AZ2725" s="227"/>
      <c r="BA2725" s="227"/>
      <c r="BB2725" s="227"/>
      <c r="BC2725" s="227"/>
      <c r="BD2725" s="227"/>
      <c r="BE2725" s="227"/>
      <c r="BF2725" s="227"/>
    </row>
    <row r="2726">
      <c r="A2726" s="235" t="s">
        <v>20788</v>
      </c>
      <c r="C2726" s="235" t="s">
        <v>20789</v>
      </c>
      <c r="D2726" s="235" t="s">
        <v>20790</v>
      </c>
      <c r="E2726" s="243">
        <v>6.52E13</v>
      </c>
      <c r="F2726" s="245"/>
      <c r="G2726" s="235" t="s">
        <v>20791</v>
      </c>
      <c r="H2726" s="235" t="s">
        <v>20792</v>
      </c>
      <c r="I2726" s="235" t="s">
        <v>20792</v>
      </c>
      <c r="J2726" s="235" t="s">
        <v>20793</v>
      </c>
      <c r="K2726" s="235" t="s">
        <v>20794</v>
      </c>
      <c r="N2726" s="235" t="s">
        <v>110</v>
      </c>
      <c r="O2726" s="235" t="s">
        <v>364</v>
      </c>
      <c r="P2726" s="238">
        <v>1.0</v>
      </c>
      <c r="Q2726" s="235" t="s">
        <v>627</v>
      </c>
      <c r="R2726" s="238">
        <v>245.71</v>
      </c>
      <c r="S2726" s="238">
        <v>12.29</v>
      </c>
      <c r="T2726" s="238">
        <v>0.0</v>
      </c>
      <c r="U2726" s="238">
        <v>0.0</v>
      </c>
      <c r="V2726" s="238">
        <v>0.0</v>
      </c>
      <c r="W2726" s="238">
        <v>0.0</v>
      </c>
      <c r="X2726" s="235" t="s">
        <v>628</v>
      </c>
      <c r="Z2726" s="245"/>
      <c r="AA2726" s="245"/>
      <c r="AB2726" s="245"/>
      <c r="AC2726" s="235" t="s">
        <v>795</v>
      </c>
      <c r="AD2726" s="235" t="s">
        <v>796</v>
      </c>
      <c r="AE2726" s="238">
        <v>110037.0</v>
      </c>
      <c r="AF2726" s="235" t="s">
        <v>631</v>
      </c>
      <c r="AG2726" s="245"/>
      <c r="AH2726" s="245"/>
      <c r="AI2726" s="245"/>
      <c r="AJ2726" s="245"/>
      <c r="AK2726" s="245"/>
      <c r="AL2726" s="245"/>
      <c r="AM2726" s="245"/>
      <c r="AN2726" s="245"/>
      <c r="AO2726" s="238">
        <v>0.0</v>
      </c>
      <c r="AP2726" s="238">
        <v>0.0</v>
      </c>
      <c r="AQ2726" s="235" t="s">
        <v>632</v>
      </c>
      <c r="AR2726" s="243">
        <v>3.71E11</v>
      </c>
      <c r="AS2726" s="235" t="s">
        <v>15064</v>
      </c>
      <c r="AT2726" s="235" t="s">
        <v>156</v>
      </c>
      <c r="AU2726" s="235" t="s">
        <v>634</v>
      </c>
      <c r="AV2726" s="246" t="s">
        <v>635</v>
      </c>
      <c r="AW2726" s="227"/>
      <c r="AX2726" s="227"/>
      <c r="AY2726" s="227"/>
      <c r="AZ2726" s="227"/>
      <c r="BA2726" s="227"/>
      <c r="BB2726" s="227"/>
      <c r="BC2726" s="227"/>
      <c r="BD2726" s="227"/>
      <c r="BE2726" s="227"/>
      <c r="BF2726" s="227"/>
    </row>
    <row r="2727">
      <c r="A2727" s="235" t="s">
        <v>20795</v>
      </c>
      <c r="C2727" s="235" t="s">
        <v>20796</v>
      </c>
      <c r="D2727" s="235" t="s">
        <v>20797</v>
      </c>
      <c r="E2727" s="243">
        <v>6.53E13</v>
      </c>
      <c r="F2727" s="245"/>
      <c r="G2727" s="235" t="s">
        <v>20798</v>
      </c>
      <c r="H2727" s="235" t="s">
        <v>20799</v>
      </c>
      <c r="I2727" s="235" t="s">
        <v>20800</v>
      </c>
      <c r="J2727" s="235" t="s">
        <v>20801</v>
      </c>
      <c r="K2727" s="235" t="s">
        <v>20802</v>
      </c>
      <c r="N2727" s="235" t="s">
        <v>92</v>
      </c>
      <c r="O2727" s="235" t="s">
        <v>248</v>
      </c>
      <c r="P2727" s="238">
        <v>1.0</v>
      </c>
      <c r="Q2727" s="235" t="s">
        <v>627</v>
      </c>
      <c r="R2727" s="238">
        <v>270.48</v>
      </c>
      <c r="S2727" s="238">
        <v>13.52</v>
      </c>
      <c r="T2727" s="238">
        <v>0.0</v>
      </c>
      <c r="U2727" s="238">
        <v>0.0</v>
      </c>
      <c r="V2727" s="238">
        <v>0.0</v>
      </c>
      <c r="W2727" s="238">
        <v>0.0</v>
      </c>
      <c r="X2727" s="235" t="s">
        <v>628</v>
      </c>
      <c r="Z2727" s="245"/>
      <c r="AA2727" s="245"/>
      <c r="AB2727" s="245"/>
      <c r="AC2727" s="235" t="s">
        <v>678</v>
      </c>
      <c r="AD2727" s="235" t="s">
        <v>679</v>
      </c>
      <c r="AE2727" s="238">
        <v>560008.0</v>
      </c>
      <c r="AF2727" s="235" t="s">
        <v>631</v>
      </c>
      <c r="AG2727" s="245"/>
      <c r="AH2727" s="245"/>
      <c r="AI2727" s="245"/>
      <c r="AJ2727" s="245"/>
      <c r="AK2727" s="245"/>
      <c r="AL2727" s="245"/>
      <c r="AM2727" s="245"/>
      <c r="AN2727" s="245"/>
      <c r="AO2727" s="238">
        <v>0.0</v>
      </c>
      <c r="AP2727" s="238">
        <v>0.0</v>
      </c>
      <c r="AQ2727" s="235" t="s">
        <v>632</v>
      </c>
      <c r="AR2727" s="243">
        <v>1.68E11</v>
      </c>
      <c r="AS2727" s="235" t="s">
        <v>20529</v>
      </c>
      <c r="AT2727" s="235" t="s">
        <v>9</v>
      </c>
      <c r="AU2727" s="235" t="s">
        <v>634</v>
      </c>
      <c r="AV2727" s="246" t="s">
        <v>635</v>
      </c>
      <c r="AW2727" s="227"/>
      <c r="AX2727" s="227"/>
      <c r="AY2727" s="227"/>
      <c r="AZ2727" s="227"/>
      <c r="BA2727" s="227"/>
      <c r="BB2727" s="227"/>
      <c r="BC2727" s="227"/>
      <c r="BD2727" s="227"/>
      <c r="BE2727" s="227"/>
      <c r="BF2727" s="227"/>
    </row>
    <row r="2728">
      <c r="A2728" s="235" t="s">
        <v>20803</v>
      </c>
      <c r="C2728" s="235" t="s">
        <v>20804</v>
      </c>
      <c r="D2728" s="235" t="s">
        <v>20805</v>
      </c>
      <c r="E2728" s="243">
        <v>6.53E13</v>
      </c>
      <c r="F2728" s="245"/>
      <c r="G2728" s="235" t="s">
        <v>20806</v>
      </c>
      <c r="H2728" s="235" t="s">
        <v>20807</v>
      </c>
      <c r="I2728" s="235" t="s">
        <v>20807</v>
      </c>
      <c r="J2728" s="235" t="s">
        <v>20808</v>
      </c>
      <c r="K2728" s="235" t="s">
        <v>20809</v>
      </c>
      <c r="N2728" s="235" t="s">
        <v>962</v>
      </c>
      <c r="O2728" s="235" t="s">
        <v>963</v>
      </c>
      <c r="P2728" s="238">
        <v>1.0</v>
      </c>
      <c r="Q2728" s="235" t="s">
        <v>627</v>
      </c>
      <c r="R2728" s="238">
        <v>270.48</v>
      </c>
      <c r="S2728" s="238">
        <v>13.25</v>
      </c>
      <c r="T2728" s="238">
        <v>0.0</v>
      </c>
      <c r="U2728" s="238">
        <v>0.0</v>
      </c>
      <c r="V2728" s="238">
        <v>0.0</v>
      </c>
      <c r="W2728" s="238">
        <v>0.0</v>
      </c>
      <c r="X2728" s="235" t="s">
        <v>628</v>
      </c>
      <c r="Z2728" s="245"/>
      <c r="AA2728" s="245"/>
      <c r="AB2728" s="245"/>
      <c r="AC2728" s="235" t="s">
        <v>678</v>
      </c>
      <c r="AD2728" s="235" t="s">
        <v>679</v>
      </c>
      <c r="AE2728" s="238">
        <v>560037.0</v>
      </c>
      <c r="AF2728" s="235" t="s">
        <v>631</v>
      </c>
      <c r="AG2728" s="245"/>
      <c r="AH2728" s="245"/>
      <c r="AI2728" s="245"/>
      <c r="AJ2728" s="245"/>
      <c r="AK2728" s="245"/>
      <c r="AL2728" s="245"/>
      <c r="AM2728" s="245"/>
      <c r="AN2728" s="245"/>
      <c r="AO2728" s="238">
        <v>-5.41</v>
      </c>
      <c r="AP2728" s="238">
        <v>0.0</v>
      </c>
      <c r="AQ2728" s="235" t="s">
        <v>632</v>
      </c>
      <c r="AR2728" s="243">
        <v>3.71E11</v>
      </c>
      <c r="AS2728" s="235" t="s">
        <v>19388</v>
      </c>
      <c r="AT2728" s="235" t="s">
        <v>9</v>
      </c>
      <c r="AU2728" s="235" t="s">
        <v>634</v>
      </c>
      <c r="AV2728" s="246" t="s">
        <v>635</v>
      </c>
      <c r="AW2728" s="227"/>
      <c r="AX2728" s="227"/>
      <c r="AY2728" s="227"/>
      <c r="AZ2728" s="227"/>
      <c r="BA2728" s="227"/>
      <c r="BB2728" s="227"/>
      <c r="BC2728" s="227"/>
      <c r="BD2728" s="227"/>
      <c r="BE2728" s="227"/>
      <c r="BF2728" s="227"/>
    </row>
    <row r="2729">
      <c r="A2729" s="235" t="s">
        <v>20810</v>
      </c>
      <c r="C2729" s="235" t="s">
        <v>20811</v>
      </c>
      <c r="D2729" s="235" t="s">
        <v>20812</v>
      </c>
      <c r="E2729" s="243">
        <v>6.53E13</v>
      </c>
      <c r="F2729" s="245"/>
      <c r="G2729" s="235" t="s">
        <v>20813</v>
      </c>
      <c r="H2729" s="235" t="s">
        <v>20814</v>
      </c>
      <c r="I2729" s="235" t="s">
        <v>20814</v>
      </c>
      <c r="J2729" s="235" t="s">
        <v>20815</v>
      </c>
      <c r="K2729" s="235" t="s">
        <v>20816</v>
      </c>
      <c r="N2729" s="235" t="s">
        <v>92</v>
      </c>
      <c r="O2729" s="235" t="s">
        <v>248</v>
      </c>
      <c r="P2729" s="238">
        <v>1.0</v>
      </c>
      <c r="Q2729" s="235" t="s">
        <v>627</v>
      </c>
      <c r="R2729" s="238">
        <v>243.8</v>
      </c>
      <c r="S2729" s="238">
        <v>12.2</v>
      </c>
      <c r="T2729" s="238">
        <v>38.1</v>
      </c>
      <c r="U2729" s="238">
        <v>1.9</v>
      </c>
      <c r="V2729" s="238">
        <v>0.0</v>
      </c>
      <c r="W2729" s="238">
        <v>0.0</v>
      </c>
      <c r="X2729" s="235" t="s">
        <v>628</v>
      </c>
      <c r="Z2729" s="245"/>
      <c r="AA2729" s="245"/>
      <c r="AB2729" s="245"/>
      <c r="AC2729" s="235" t="s">
        <v>687</v>
      </c>
      <c r="AD2729" s="235" t="s">
        <v>666</v>
      </c>
      <c r="AE2729" s="238">
        <v>603110.0</v>
      </c>
      <c r="AF2729" s="235" t="s">
        <v>631</v>
      </c>
      <c r="AG2729" s="245"/>
      <c r="AH2729" s="245"/>
      <c r="AI2729" s="245"/>
      <c r="AJ2729" s="245"/>
      <c r="AK2729" s="245"/>
      <c r="AL2729" s="245"/>
      <c r="AM2729" s="245"/>
      <c r="AN2729" s="245"/>
      <c r="AO2729" s="238">
        <v>0.0</v>
      </c>
      <c r="AP2729" s="238">
        <v>-38.1</v>
      </c>
      <c r="AQ2729" s="235" t="s">
        <v>632</v>
      </c>
      <c r="AR2729" s="243">
        <v>3.71E11</v>
      </c>
      <c r="AS2729" s="235" t="s">
        <v>19388</v>
      </c>
      <c r="AT2729" s="235" t="s">
        <v>156</v>
      </c>
      <c r="AU2729" s="235" t="s">
        <v>634</v>
      </c>
      <c r="AV2729" s="246" t="s">
        <v>635</v>
      </c>
      <c r="AW2729" s="227"/>
      <c r="AX2729" s="227"/>
      <c r="AY2729" s="227"/>
      <c r="AZ2729" s="227"/>
      <c r="BA2729" s="227"/>
      <c r="BB2729" s="227"/>
      <c r="BC2729" s="227"/>
      <c r="BD2729" s="227"/>
      <c r="BE2729" s="227"/>
      <c r="BF2729" s="227"/>
    </row>
    <row r="2730">
      <c r="A2730" s="235" t="s">
        <v>20817</v>
      </c>
      <c r="C2730" s="235" t="s">
        <v>20818</v>
      </c>
      <c r="D2730" s="235" t="s">
        <v>20819</v>
      </c>
      <c r="E2730" s="243">
        <v>6.52E13</v>
      </c>
      <c r="F2730" s="245"/>
      <c r="G2730" s="235" t="s">
        <v>20820</v>
      </c>
      <c r="H2730" s="235" t="s">
        <v>20821</v>
      </c>
      <c r="I2730" s="235" t="s">
        <v>20822</v>
      </c>
      <c r="J2730" s="235" t="s">
        <v>20823</v>
      </c>
      <c r="K2730" s="235" t="s">
        <v>20824</v>
      </c>
      <c r="N2730" s="235" t="s">
        <v>92</v>
      </c>
      <c r="O2730" s="235" t="s">
        <v>248</v>
      </c>
      <c r="P2730" s="238">
        <v>1.0</v>
      </c>
      <c r="Q2730" s="235" t="s">
        <v>627</v>
      </c>
      <c r="R2730" s="238">
        <v>246.67</v>
      </c>
      <c r="S2730" s="238">
        <v>12.33</v>
      </c>
      <c r="T2730" s="238">
        <v>38.1</v>
      </c>
      <c r="U2730" s="238">
        <v>1.9</v>
      </c>
      <c r="V2730" s="238">
        <v>0.0</v>
      </c>
      <c r="W2730" s="238">
        <v>0.0</v>
      </c>
      <c r="X2730" s="235" t="s">
        <v>628</v>
      </c>
      <c r="Z2730" s="245"/>
      <c r="AA2730" s="245"/>
      <c r="AB2730" s="245"/>
      <c r="AC2730" s="235" t="s">
        <v>13949</v>
      </c>
      <c r="AD2730" s="235" t="s">
        <v>833</v>
      </c>
      <c r="AE2730" s="238">
        <v>517501.0</v>
      </c>
      <c r="AF2730" s="235" t="s">
        <v>631</v>
      </c>
      <c r="AG2730" s="245"/>
      <c r="AH2730" s="245"/>
      <c r="AI2730" s="245"/>
      <c r="AJ2730" s="245"/>
      <c r="AK2730" s="245"/>
      <c r="AL2730" s="245"/>
      <c r="AM2730" s="245"/>
      <c r="AN2730" s="245"/>
      <c r="AO2730" s="238">
        <v>0.0</v>
      </c>
      <c r="AP2730" s="238">
        <v>-38.1</v>
      </c>
      <c r="AQ2730" s="235" t="s">
        <v>632</v>
      </c>
      <c r="AR2730" s="243">
        <v>3.71E11</v>
      </c>
      <c r="AS2730" s="235" t="s">
        <v>19388</v>
      </c>
      <c r="AT2730" s="235" t="s">
        <v>156</v>
      </c>
      <c r="AU2730" s="235" t="s">
        <v>634</v>
      </c>
      <c r="AV2730" s="246" t="s">
        <v>635</v>
      </c>
      <c r="AW2730" s="227"/>
      <c r="AX2730" s="227"/>
      <c r="AY2730" s="227"/>
      <c r="AZ2730" s="227"/>
      <c r="BA2730" s="227"/>
      <c r="BB2730" s="227"/>
      <c r="BC2730" s="227"/>
      <c r="BD2730" s="227"/>
      <c r="BE2730" s="227"/>
      <c r="BF2730" s="227"/>
    </row>
    <row r="2731">
      <c r="A2731" s="235" t="s">
        <v>20825</v>
      </c>
      <c r="C2731" s="235" t="s">
        <v>20826</v>
      </c>
      <c r="D2731" s="235" t="s">
        <v>20827</v>
      </c>
      <c r="E2731" s="243">
        <v>6.52E13</v>
      </c>
      <c r="F2731" s="245"/>
      <c r="G2731" s="235" t="s">
        <v>20828</v>
      </c>
      <c r="H2731" s="235" t="s">
        <v>20829</v>
      </c>
      <c r="I2731" s="235" t="s">
        <v>20829</v>
      </c>
      <c r="J2731" s="235" t="s">
        <v>20830</v>
      </c>
      <c r="K2731" s="235" t="s">
        <v>20831</v>
      </c>
      <c r="N2731" s="235" t="s">
        <v>130</v>
      </c>
      <c r="O2731" s="235" t="s">
        <v>707</v>
      </c>
      <c r="P2731" s="238">
        <v>1.0</v>
      </c>
      <c r="Q2731" s="235" t="s">
        <v>627</v>
      </c>
      <c r="R2731" s="238">
        <v>0.0</v>
      </c>
      <c r="S2731" s="238">
        <v>0.0</v>
      </c>
      <c r="T2731" s="238">
        <v>0.0</v>
      </c>
      <c r="U2731" s="238">
        <v>0.0</v>
      </c>
      <c r="V2731" s="238">
        <v>0.0</v>
      </c>
      <c r="W2731" s="238">
        <v>0.0</v>
      </c>
      <c r="X2731" s="235" t="s">
        <v>2433</v>
      </c>
      <c r="Y2731" s="245"/>
      <c r="Z2731" s="245"/>
      <c r="AA2731" s="245"/>
      <c r="AB2731" s="245"/>
      <c r="AC2731" s="235" t="s">
        <v>20832</v>
      </c>
      <c r="AD2731" s="235" t="s">
        <v>928</v>
      </c>
      <c r="AE2731" s="238">
        <v>134109.0</v>
      </c>
      <c r="AF2731" s="235" t="s">
        <v>631</v>
      </c>
      <c r="AG2731" s="245"/>
      <c r="AH2731" s="245"/>
      <c r="AI2731" s="245"/>
      <c r="AJ2731" s="245"/>
      <c r="AK2731" s="245"/>
      <c r="AL2731" s="245"/>
      <c r="AM2731" s="245"/>
      <c r="AN2731" s="245"/>
      <c r="AO2731" s="238">
        <v>0.0</v>
      </c>
      <c r="AP2731" s="238">
        <v>0.0</v>
      </c>
      <c r="AQ2731" s="235" t="s">
        <v>632</v>
      </c>
      <c r="AR2731" s="243">
        <v>3.71E11</v>
      </c>
      <c r="AS2731" s="235" t="s">
        <v>17988</v>
      </c>
      <c r="AT2731" s="235" t="s">
        <v>14</v>
      </c>
      <c r="AU2731" s="235" t="s">
        <v>634</v>
      </c>
      <c r="AV2731" s="246" t="s">
        <v>635</v>
      </c>
      <c r="AW2731" s="227"/>
      <c r="AX2731" s="227"/>
      <c r="AY2731" s="227"/>
      <c r="AZ2731" s="227"/>
      <c r="BA2731" s="227"/>
      <c r="BB2731" s="227"/>
      <c r="BC2731" s="227"/>
      <c r="BD2731" s="227"/>
      <c r="BE2731" s="227"/>
      <c r="BF2731" s="227"/>
    </row>
    <row r="2732">
      <c r="A2732" s="235" t="s">
        <v>20833</v>
      </c>
      <c r="C2732" s="235" t="s">
        <v>20834</v>
      </c>
      <c r="D2732" s="235" t="s">
        <v>20835</v>
      </c>
      <c r="E2732" s="243">
        <v>6.53E13</v>
      </c>
      <c r="F2732" s="245"/>
      <c r="G2732" s="235" t="s">
        <v>20836</v>
      </c>
      <c r="H2732" s="235" t="s">
        <v>20837</v>
      </c>
      <c r="I2732" s="235" t="s">
        <v>20837</v>
      </c>
      <c r="J2732" s="235" t="s">
        <v>20838</v>
      </c>
      <c r="K2732" s="235" t="s">
        <v>20839</v>
      </c>
      <c r="N2732" s="235" t="s">
        <v>130</v>
      </c>
      <c r="O2732" s="235" t="s">
        <v>707</v>
      </c>
      <c r="P2732" s="238">
        <v>1.0</v>
      </c>
      <c r="Q2732" s="235" t="s">
        <v>627</v>
      </c>
      <c r="R2732" s="238">
        <v>270.48</v>
      </c>
      <c r="S2732" s="238">
        <v>13.52</v>
      </c>
      <c r="T2732" s="238">
        <v>38.1</v>
      </c>
      <c r="U2732" s="238">
        <v>1.9</v>
      </c>
      <c r="V2732" s="238">
        <v>0.0</v>
      </c>
      <c r="W2732" s="238">
        <v>0.0</v>
      </c>
      <c r="X2732" s="235" t="s">
        <v>628</v>
      </c>
      <c r="Z2732" s="245"/>
      <c r="AA2732" s="245"/>
      <c r="AB2732" s="245"/>
      <c r="AC2732" s="235" t="s">
        <v>5260</v>
      </c>
      <c r="AD2732" s="235" t="s">
        <v>5260</v>
      </c>
      <c r="AE2732" s="238">
        <v>160036.0</v>
      </c>
      <c r="AF2732" s="235" t="s">
        <v>631</v>
      </c>
      <c r="AG2732" s="245"/>
      <c r="AH2732" s="245"/>
      <c r="AI2732" s="245"/>
      <c r="AJ2732" s="245"/>
      <c r="AK2732" s="245"/>
      <c r="AL2732" s="245"/>
      <c r="AM2732" s="245"/>
      <c r="AN2732" s="245"/>
      <c r="AO2732" s="238">
        <v>0.0</v>
      </c>
      <c r="AP2732" s="238">
        <v>-38.1</v>
      </c>
      <c r="AQ2732" s="235" t="s">
        <v>632</v>
      </c>
      <c r="AR2732" s="243">
        <v>3.71E11</v>
      </c>
      <c r="AS2732" s="235" t="s">
        <v>17988</v>
      </c>
      <c r="AT2732" s="235" t="s">
        <v>14</v>
      </c>
      <c r="AU2732" s="235" t="s">
        <v>634</v>
      </c>
      <c r="AV2732" s="246" t="s">
        <v>635</v>
      </c>
      <c r="AW2732" s="227"/>
      <c r="AX2732" s="227"/>
      <c r="AY2732" s="227"/>
      <c r="AZ2732" s="227"/>
      <c r="BA2732" s="227"/>
      <c r="BB2732" s="227"/>
      <c r="BC2732" s="227"/>
      <c r="BD2732" s="227"/>
      <c r="BE2732" s="227"/>
      <c r="BF2732" s="227"/>
    </row>
    <row r="2733">
      <c r="A2733" s="235" t="s">
        <v>20840</v>
      </c>
      <c r="C2733" s="235" t="s">
        <v>20841</v>
      </c>
      <c r="D2733" s="235" t="s">
        <v>20842</v>
      </c>
      <c r="E2733" s="243">
        <v>6.53E13</v>
      </c>
      <c r="F2733" s="245"/>
      <c r="G2733" s="235" t="s">
        <v>20843</v>
      </c>
      <c r="H2733" s="235" t="s">
        <v>20844</v>
      </c>
      <c r="I2733" s="235" t="s">
        <v>20844</v>
      </c>
      <c r="J2733" s="235" t="s">
        <v>20845</v>
      </c>
      <c r="K2733" s="235" t="s">
        <v>20846</v>
      </c>
      <c r="N2733" s="235" t="s">
        <v>42</v>
      </c>
      <c r="O2733" s="235" t="s">
        <v>204</v>
      </c>
      <c r="P2733" s="238">
        <v>1.0</v>
      </c>
      <c r="Q2733" s="235" t="s">
        <v>627</v>
      </c>
      <c r="R2733" s="238">
        <v>0.0</v>
      </c>
      <c r="S2733" s="238">
        <v>0.0</v>
      </c>
      <c r="T2733" s="238">
        <v>0.0</v>
      </c>
      <c r="U2733" s="238">
        <v>0.0</v>
      </c>
      <c r="V2733" s="238">
        <v>0.0</v>
      </c>
      <c r="W2733" s="238">
        <v>0.0</v>
      </c>
      <c r="X2733" s="235" t="s">
        <v>2433</v>
      </c>
      <c r="Y2733" s="245"/>
      <c r="Z2733" s="245"/>
      <c r="AA2733" s="245"/>
      <c r="AB2733" s="245"/>
      <c r="AC2733" s="235" t="s">
        <v>687</v>
      </c>
      <c r="AD2733" s="235" t="s">
        <v>666</v>
      </c>
      <c r="AE2733" s="238">
        <v>600049.0</v>
      </c>
      <c r="AF2733" s="235" t="s">
        <v>631</v>
      </c>
      <c r="AG2733" s="245"/>
      <c r="AH2733" s="245"/>
      <c r="AI2733" s="245"/>
      <c r="AJ2733" s="245"/>
      <c r="AK2733" s="245"/>
      <c r="AL2733" s="245"/>
      <c r="AM2733" s="245"/>
      <c r="AN2733" s="245"/>
      <c r="AO2733" s="238">
        <v>0.0</v>
      </c>
      <c r="AP2733" s="238">
        <v>0.0</v>
      </c>
      <c r="AQ2733" s="235" t="s">
        <v>632</v>
      </c>
      <c r="AR2733" s="243">
        <v>3.71E11</v>
      </c>
      <c r="AS2733" s="235" t="s">
        <v>19388</v>
      </c>
      <c r="AT2733" s="235" t="s">
        <v>156</v>
      </c>
      <c r="AU2733" s="235" t="s">
        <v>634</v>
      </c>
      <c r="AV2733" s="246" t="s">
        <v>635</v>
      </c>
      <c r="AW2733" s="227"/>
      <c r="AX2733" s="227"/>
      <c r="AY2733" s="227"/>
      <c r="AZ2733" s="227"/>
      <c r="BA2733" s="227"/>
      <c r="BB2733" s="227"/>
      <c r="BC2733" s="227"/>
      <c r="BD2733" s="227"/>
      <c r="BE2733" s="227"/>
      <c r="BF2733" s="227"/>
    </row>
    <row r="2734">
      <c r="A2734" s="235" t="s">
        <v>20847</v>
      </c>
      <c r="C2734" s="235" t="s">
        <v>20848</v>
      </c>
      <c r="D2734" s="235" t="s">
        <v>20849</v>
      </c>
      <c r="E2734" s="243">
        <v>6.53E13</v>
      </c>
      <c r="F2734" s="245"/>
      <c r="G2734" s="235" t="s">
        <v>20850</v>
      </c>
      <c r="H2734" s="235" t="s">
        <v>20851</v>
      </c>
      <c r="I2734" s="235" t="s">
        <v>20851</v>
      </c>
      <c r="J2734" s="235" t="s">
        <v>20852</v>
      </c>
      <c r="K2734" s="235" t="s">
        <v>20853</v>
      </c>
      <c r="N2734" s="235" t="s">
        <v>138</v>
      </c>
      <c r="O2734" s="235" t="s">
        <v>675</v>
      </c>
      <c r="P2734" s="238">
        <v>1.0</v>
      </c>
      <c r="Q2734" s="235" t="s">
        <v>627</v>
      </c>
      <c r="R2734" s="238">
        <v>270.48</v>
      </c>
      <c r="S2734" s="238">
        <v>13.25</v>
      </c>
      <c r="T2734" s="238">
        <v>0.0</v>
      </c>
      <c r="U2734" s="238">
        <v>0.0</v>
      </c>
      <c r="V2734" s="238">
        <v>0.0</v>
      </c>
      <c r="W2734" s="238">
        <v>0.0</v>
      </c>
      <c r="X2734" s="235" t="s">
        <v>628</v>
      </c>
      <c r="Z2734" s="245"/>
      <c r="AA2734" s="245"/>
      <c r="AB2734" s="245"/>
      <c r="AC2734" s="235" t="s">
        <v>20854</v>
      </c>
      <c r="AD2734" s="235" t="s">
        <v>645</v>
      </c>
      <c r="AE2734" s="238">
        <v>676109.0</v>
      </c>
      <c r="AF2734" s="235" t="s">
        <v>631</v>
      </c>
      <c r="AG2734" s="245"/>
      <c r="AH2734" s="245"/>
      <c r="AI2734" s="245"/>
      <c r="AJ2734" s="245"/>
      <c r="AK2734" s="245"/>
      <c r="AL2734" s="245"/>
      <c r="AM2734" s="245"/>
      <c r="AN2734" s="245"/>
      <c r="AO2734" s="238">
        <v>-5.41</v>
      </c>
      <c r="AP2734" s="238">
        <v>0.0</v>
      </c>
      <c r="AQ2734" s="235" t="s">
        <v>632</v>
      </c>
      <c r="AR2734" s="243">
        <v>3.71E11</v>
      </c>
      <c r="AS2734" s="235" t="s">
        <v>19388</v>
      </c>
      <c r="AT2734" s="235" t="s">
        <v>155</v>
      </c>
      <c r="AU2734" s="235" t="s">
        <v>634</v>
      </c>
      <c r="AV2734" s="246" t="s">
        <v>635</v>
      </c>
      <c r="AW2734" s="227"/>
      <c r="AX2734" s="227"/>
      <c r="AY2734" s="227"/>
      <c r="AZ2734" s="227"/>
      <c r="BA2734" s="227"/>
      <c r="BB2734" s="227"/>
      <c r="BC2734" s="227"/>
      <c r="BD2734" s="227"/>
      <c r="BE2734" s="227"/>
      <c r="BF2734" s="227"/>
    </row>
    <row r="2735">
      <c r="A2735" s="235" t="s">
        <v>20855</v>
      </c>
      <c r="C2735" s="235" t="s">
        <v>20856</v>
      </c>
      <c r="D2735" s="235" t="s">
        <v>20857</v>
      </c>
      <c r="E2735" s="243">
        <v>6.53E13</v>
      </c>
      <c r="F2735" s="245"/>
      <c r="G2735" s="235" t="s">
        <v>20858</v>
      </c>
      <c r="H2735" s="235" t="s">
        <v>20859</v>
      </c>
      <c r="I2735" s="235" t="s">
        <v>20859</v>
      </c>
      <c r="J2735" s="235" t="s">
        <v>20860</v>
      </c>
      <c r="K2735" s="235" t="s">
        <v>20861</v>
      </c>
      <c r="N2735" s="235" t="s">
        <v>40</v>
      </c>
      <c r="O2735" s="235" t="s">
        <v>327</v>
      </c>
      <c r="P2735" s="238">
        <v>1.0</v>
      </c>
      <c r="Q2735" s="235" t="s">
        <v>627</v>
      </c>
      <c r="R2735" s="238">
        <v>237.14</v>
      </c>
      <c r="S2735" s="238">
        <v>11.86</v>
      </c>
      <c r="T2735" s="238">
        <v>0.0</v>
      </c>
      <c r="U2735" s="238">
        <v>0.0</v>
      </c>
      <c r="V2735" s="238">
        <v>0.0</v>
      </c>
      <c r="W2735" s="238">
        <v>0.0</v>
      </c>
      <c r="X2735" s="235" t="s">
        <v>628</v>
      </c>
      <c r="Z2735" s="245"/>
      <c r="AA2735" s="245"/>
      <c r="AB2735" s="245"/>
      <c r="AC2735" s="235" t="s">
        <v>832</v>
      </c>
      <c r="AD2735" s="235" t="s">
        <v>833</v>
      </c>
      <c r="AE2735" s="238">
        <v>530016.0</v>
      </c>
      <c r="AF2735" s="235" t="s">
        <v>631</v>
      </c>
      <c r="AG2735" s="245"/>
      <c r="AH2735" s="245"/>
      <c r="AI2735" s="245"/>
      <c r="AJ2735" s="245"/>
      <c r="AK2735" s="245"/>
      <c r="AL2735" s="245"/>
      <c r="AM2735" s="245"/>
      <c r="AN2735" s="245"/>
      <c r="AO2735" s="238">
        <v>0.0</v>
      </c>
      <c r="AP2735" s="238">
        <v>0.0</v>
      </c>
      <c r="AQ2735" s="235" t="s">
        <v>632</v>
      </c>
      <c r="AR2735" s="243">
        <v>3.71E11</v>
      </c>
      <c r="AS2735" s="235" t="s">
        <v>15064</v>
      </c>
      <c r="AT2735" s="235" t="s">
        <v>9</v>
      </c>
      <c r="AU2735" s="235" t="s">
        <v>634</v>
      </c>
      <c r="AV2735" s="246" t="s">
        <v>635</v>
      </c>
      <c r="AW2735" s="227"/>
      <c r="AX2735" s="227"/>
      <c r="AY2735" s="227"/>
      <c r="AZ2735" s="227"/>
      <c r="BA2735" s="227"/>
      <c r="BB2735" s="227"/>
      <c r="BC2735" s="227"/>
      <c r="BD2735" s="227"/>
      <c r="BE2735" s="227"/>
      <c r="BF2735" s="227"/>
    </row>
    <row r="2736">
      <c r="A2736" s="235" t="s">
        <v>20862</v>
      </c>
      <c r="C2736" s="235" t="s">
        <v>20863</v>
      </c>
      <c r="D2736" s="235" t="s">
        <v>20864</v>
      </c>
      <c r="E2736" s="243">
        <v>6.53E13</v>
      </c>
      <c r="F2736" s="245"/>
      <c r="G2736" s="235" t="s">
        <v>20865</v>
      </c>
      <c r="H2736" s="235" t="s">
        <v>20866</v>
      </c>
      <c r="I2736" s="235" t="s">
        <v>20866</v>
      </c>
      <c r="J2736" s="235" t="s">
        <v>20867</v>
      </c>
      <c r="K2736" s="235" t="s">
        <v>20868</v>
      </c>
      <c r="N2736" s="235" t="s">
        <v>51</v>
      </c>
      <c r="O2736" s="235" t="s">
        <v>273</v>
      </c>
      <c r="P2736" s="238">
        <v>1.0</v>
      </c>
      <c r="Q2736" s="235" t="s">
        <v>627</v>
      </c>
      <c r="R2736" s="238">
        <v>270.48</v>
      </c>
      <c r="S2736" s="238">
        <v>13.52</v>
      </c>
      <c r="T2736" s="238">
        <v>0.0</v>
      </c>
      <c r="U2736" s="238">
        <v>0.0</v>
      </c>
      <c r="V2736" s="238">
        <v>0.0</v>
      </c>
      <c r="W2736" s="238">
        <v>0.0</v>
      </c>
      <c r="X2736" s="235" t="s">
        <v>628</v>
      </c>
      <c r="Z2736" s="245"/>
      <c r="AA2736" s="245"/>
      <c r="AB2736" s="245"/>
      <c r="AC2736" s="235" t="s">
        <v>20869</v>
      </c>
      <c r="AD2736" s="235" t="s">
        <v>833</v>
      </c>
      <c r="AE2736" s="238">
        <v>522202.0</v>
      </c>
      <c r="AF2736" s="235" t="s">
        <v>631</v>
      </c>
      <c r="AG2736" s="245"/>
      <c r="AH2736" s="245"/>
      <c r="AI2736" s="245"/>
      <c r="AJ2736" s="245"/>
      <c r="AK2736" s="245"/>
      <c r="AL2736" s="245"/>
      <c r="AM2736" s="245"/>
      <c r="AN2736" s="245"/>
      <c r="AO2736" s="238">
        <v>0.0</v>
      </c>
      <c r="AP2736" s="238">
        <v>0.0</v>
      </c>
      <c r="AQ2736" s="235" t="s">
        <v>632</v>
      </c>
      <c r="AR2736" s="243">
        <v>3.71E11</v>
      </c>
      <c r="AS2736" s="235" t="s">
        <v>17988</v>
      </c>
      <c r="AT2736" s="235" t="s">
        <v>156</v>
      </c>
      <c r="AU2736" s="235" t="s">
        <v>634</v>
      </c>
      <c r="AV2736" s="246" t="s">
        <v>635</v>
      </c>
      <c r="AW2736" s="227"/>
      <c r="AX2736" s="227"/>
      <c r="AY2736" s="227"/>
      <c r="AZ2736" s="227"/>
      <c r="BA2736" s="227"/>
      <c r="BB2736" s="227"/>
      <c r="BC2736" s="227"/>
      <c r="BD2736" s="227"/>
      <c r="BE2736" s="227"/>
      <c r="BF2736" s="227"/>
    </row>
    <row r="2737">
      <c r="A2737" s="235" t="s">
        <v>20870</v>
      </c>
      <c r="C2737" s="235" t="s">
        <v>20871</v>
      </c>
      <c r="D2737" s="235" t="s">
        <v>20872</v>
      </c>
      <c r="E2737" s="243">
        <v>6.52E13</v>
      </c>
      <c r="F2737" s="245"/>
      <c r="G2737" s="235" t="s">
        <v>20873</v>
      </c>
      <c r="H2737" s="235" t="s">
        <v>20874</v>
      </c>
      <c r="I2737" s="235" t="s">
        <v>20875</v>
      </c>
      <c r="J2737" s="235" t="s">
        <v>20876</v>
      </c>
      <c r="K2737" s="235" t="s">
        <v>20877</v>
      </c>
      <c r="N2737" s="235" t="s">
        <v>47</v>
      </c>
      <c r="O2737" s="235" t="s">
        <v>270</v>
      </c>
      <c r="P2737" s="238">
        <v>1.0</v>
      </c>
      <c r="Q2737" s="235" t="s">
        <v>627</v>
      </c>
      <c r="R2737" s="238">
        <v>237.14</v>
      </c>
      <c r="S2737" s="238">
        <v>11.86</v>
      </c>
      <c r="T2737" s="238">
        <v>0.0</v>
      </c>
      <c r="U2737" s="238">
        <v>0.0</v>
      </c>
      <c r="V2737" s="238">
        <v>0.0</v>
      </c>
      <c r="W2737" s="238">
        <v>0.0</v>
      </c>
      <c r="X2737" s="235" t="s">
        <v>628</v>
      </c>
      <c r="Z2737" s="245"/>
      <c r="AA2737" s="245"/>
      <c r="AB2737" s="245"/>
      <c r="AC2737" s="235" t="s">
        <v>14913</v>
      </c>
      <c r="AD2737" s="235" t="s">
        <v>1077</v>
      </c>
      <c r="AE2737" s="238">
        <v>396180.0</v>
      </c>
      <c r="AF2737" s="235" t="s">
        <v>631</v>
      </c>
      <c r="AG2737" s="245"/>
      <c r="AH2737" s="245"/>
      <c r="AI2737" s="245"/>
      <c r="AJ2737" s="245"/>
      <c r="AK2737" s="245"/>
      <c r="AL2737" s="245"/>
      <c r="AM2737" s="245"/>
      <c r="AN2737" s="245"/>
      <c r="AO2737" s="238">
        <v>0.0</v>
      </c>
      <c r="AP2737" s="238">
        <v>0.0</v>
      </c>
      <c r="AQ2737" s="235" t="s">
        <v>632</v>
      </c>
      <c r="AR2737" s="243">
        <v>3.71E11</v>
      </c>
      <c r="AS2737" s="235" t="s">
        <v>16626</v>
      </c>
      <c r="AT2737" s="235" t="s">
        <v>17</v>
      </c>
      <c r="AU2737" s="235" t="s">
        <v>634</v>
      </c>
      <c r="AV2737" s="246" t="s">
        <v>635</v>
      </c>
      <c r="AW2737" s="227"/>
      <c r="AX2737" s="227"/>
      <c r="AY2737" s="227"/>
      <c r="AZ2737" s="227"/>
      <c r="BA2737" s="227"/>
      <c r="BB2737" s="227"/>
      <c r="BC2737" s="227"/>
      <c r="BD2737" s="227"/>
      <c r="BE2737" s="227"/>
      <c r="BF2737" s="227"/>
    </row>
    <row r="2738">
      <c r="A2738" s="235" t="s">
        <v>20878</v>
      </c>
      <c r="C2738" s="235" t="s">
        <v>20879</v>
      </c>
      <c r="D2738" s="235" t="s">
        <v>20880</v>
      </c>
      <c r="E2738" s="243">
        <v>6.53E13</v>
      </c>
      <c r="F2738" s="245"/>
      <c r="G2738" s="235" t="s">
        <v>20881</v>
      </c>
      <c r="H2738" s="235" t="s">
        <v>20882</v>
      </c>
      <c r="I2738" s="235" t="s">
        <v>20882</v>
      </c>
      <c r="J2738" s="235" t="s">
        <v>20883</v>
      </c>
      <c r="K2738" s="235" t="s">
        <v>20884</v>
      </c>
      <c r="N2738" s="235" t="s">
        <v>92</v>
      </c>
      <c r="O2738" s="235" t="s">
        <v>248</v>
      </c>
      <c r="P2738" s="238">
        <v>1.0</v>
      </c>
      <c r="Q2738" s="235" t="s">
        <v>627</v>
      </c>
      <c r="R2738" s="238">
        <v>270.48</v>
      </c>
      <c r="S2738" s="238">
        <v>13.52</v>
      </c>
      <c r="T2738" s="238">
        <v>0.0</v>
      </c>
      <c r="U2738" s="238">
        <v>0.0</v>
      </c>
      <c r="V2738" s="238">
        <v>0.0</v>
      </c>
      <c r="W2738" s="238">
        <v>0.0</v>
      </c>
      <c r="X2738" s="235" t="s">
        <v>628</v>
      </c>
      <c r="Z2738" s="245"/>
      <c r="AA2738" s="245"/>
      <c r="AB2738" s="245"/>
      <c r="AC2738" s="235" t="s">
        <v>687</v>
      </c>
      <c r="AD2738" s="235" t="s">
        <v>666</v>
      </c>
      <c r="AE2738" s="238">
        <v>600097.0</v>
      </c>
      <c r="AF2738" s="235" t="s">
        <v>631</v>
      </c>
      <c r="AG2738" s="245"/>
      <c r="AH2738" s="245"/>
      <c r="AI2738" s="245"/>
      <c r="AJ2738" s="245"/>
      <c r="AK2738" s="245"/>
      <c r="AL2738" s="245"/>
      <c r="AM2738" s="245"/>
      <c r="AN2738" s="245"/>
      <c r="AO2738" s="238">
        <v>0.0</v>
      </c>
      <c r="AP2738" s="238">
        <v>0.0</v>
      </c>
      <c r="AQ2738" s="235" t="s">
        <v>632</v>
      </c>
      <c r="AR2738" s="243">
        <v>1.68E11</v>
      </c>
      <c r="AS2738" s="235" t="s">
        <v>20529</v>
      </c>
      <c r="AT2738" s="235" t="s">
        <v>156</v>
      </c>
      <c r="AU2738" s="235" t="s">
        <v>634</v>
      </c>
      <c r="AV2738" s="246" t="s">
        <v>635</v>
      </c>
      <c r="AW2738" s="227"/>
      <c r="AX2738" s="227"/>
      <c r="AY2738" s="227"/>
      <c r="AZ2738" s="227"/>
      <c r="BA2738" s="227"/>
      <c r="BB2738" s="227"/>
      <c r="BC2738" s="227"/>
      <c r="BD2738" s="227"/>
      <c r="BE2738" s="227"/>
      <c r="BF2738" s="227"/>
    </row>
    <row r="2739">
      <c r="A2739" s="235" t="s">
        <v>20885</v>
      </c>
      <c r="C2739" s="235" t="s">
        <v>20886</v>
      </c>
      <c r="D2739" s="235" t="s">
        <v>20887</v>
      </c>
      <c r="E2739" s="243">
        <v>6.53E13</v>
      </c>
      <c r="F2739" s="245"/>
      <c r="G2739" s="235" t="s">
        <v>20888</v>
      </c>
      <c r="H2739" s="235" t="s">
        <v>20889</v>
      </c>
      <c r="I2739" s="235" t="s">
        <v>20890</v>
      </c>
      <c r="J2739" s="235" t="s">
        <v>20891</v>
      </c>
      <c r="K2739" s="235" t="s">
        <v>20892</v>
      </c>
      <c r="N2739" s="235" t="s">
        <v>53</v>
      </c>
      <c r="O2739" s="235" t="s">
        <v>512</v>
      </c>
      <c r="P2739" s="238">
        <v>1.0</v>
      </c>
      <c r="Q2739" s="235" t="s">
        <v>627</v>
      </c>
      <c r="R2739" s="238">
        <v>270.48</v>
      </c>
      <c r="S2739" s="238">
        <v>13.52</v>
      </c>
      <c r="T2739" s="238">
        <v>38.1</v>
      </c>
      <c r="U2739" s="238">
        <v>1.9</v>
      </c>
      <c r="V2739" s="238">
        <v>0.0</v>
      </c>
      <c r="W2739" s="238">
        <v>0.0</v>
      </c>
      <c r="X2739" s="235" t="s">
        <v>628</v>
      </c>
      <c r="Z2739" s="245"/>
      <c r="AA2739" s="245"/>
      <c r="AB2739" s="245"/>
      <c r="AC2739" s="235" t="s">
        <v>17255</v>
      </c>
      <c r="AD2739" s="235" t="s">
        <v>666</v>
      </c>
      <c r="AE2739" s="238">
        <v>601201.0</v>
      </c>
      <c r="AF2739" s="235" t="s">
        <v>631</v>
      </c>
      <c r="AG2739" s="245"/>
      <c r="AH2739" s="245"/>
      <c r="AI2739" s="245"/>
      <c r="AJ2739" s="245"/>
      <c r="AK2739" s="245"/>
      <c r="AL2739" s="245"/>
      <c r="AM2739" s="245"/>
      <c r="AN2739" s="245"/>
      <c r="AO2739" s="238">
        <v>0.0</v>
      </c>
      <c r="AP2739" s="238">
        <v>-38.1</v>
      </c>
      <c r="AQ2739" s="235" t="s">
        <v>632</v>
      </c>
      <c r="AR2739" s="243">
        <v>3.71E11</v>
      </c>
      <c r="AS2739" s="235" t="s">
        <v>17988</v>
      </c>
      <c r="AT2739" s="235" t="s">
        <v>9</v>
      </c>
      <c r="AU2739" s="235" t="s">
        <v>634</v>
      </c>
      <c r="AV2739" s="246" t="s">
        <v>635</v>
      </c>
      <c r="AW2739" s="227"/>
      <c r="AX2739" s="227"/>
      <c r="AY2739" s="227"/>
      <c r="AZ2739" s="227"/>
      <c r="BA2739" s="227"/>
      <c r="BB2739" s="227"/>
      <c r="BC2739" s="227"/>
      <c r="BD2739" s="227"/>
      <c r="BE2739" s="227"/>
      <c r="BF2739" s="227"/>
    </row>
    <row r="2740">
      <c r="A2740" s="235" t="s">
        <v>20893</v>
      </c>
      <c r="C2740" s="235" t="s">
        <v>20894</v>
      </c>
      <c r="D2740" s="235" t="s">
        <v>20895</v>
      </c>
      <c r="E2740" s="243">
        <v>6.53E13</v>
      </c>
      <c r="F2740" s="245"/>
      <c r="G2740" s="235" t="s">
        <v>20896</v>
      </c>
      <c r="H2740" s="235" t="s">
        <v>20897</v>
      </c>
      <c r="I2740" s="235" t="s">
        <v>20897</v>
      </c>
      <c r="J2740" s="235" t="s">
        <v>20898</v>
      </c>
      <c r="K2740" s="235" t="s">
        <v>20899</v>
      </c>
      <c r="N2740" s="235" t="s">
        <v>127</v>
      </c>
      <c r="O2740" s="235" t="s">
        <v>794</v>
      </c>
      <c r="P2740" s="238">
        <v>1.0</v>
      </c>
      <c r="Q2740" s="235" t="s">
        <v>627</v>
      </c>
      <c r="R2740" s="238">
        <v>242.86</v>
      </c>
      <c r="S2740" s="238">
        <v>12.14</v>
      </c>
      <c r="T2740" s="238">
        <v>38.1</v>
      </c>
      <c r="U2740" s="238">
        <v>1.9</v>
      </c>
      <c r="V2740" s="238">
        <v>0.0</v>
      </c>
      <c r="W2740" s="238">
        <v>0.0</v>
      </c>
      <c r="X2740" s="235" t="s">
        <v>628</v>
      </c>
      <c r="Z2740" s="245"/>
      <c r="AA2740" s="245"/>
      <c r="AB2740" s="245"/>
      <c r="AC2740" s="235" t="s">
        <v>1095</v>
      </c>
      <c r="AD2740" s="235" t="s">
        <v>845</v>
      </c>
      <c r="AE2740" s="238">
        <v>410218.0</v>
      </c>
      <c r="AF2740" s="235" t="s">
        <v>631</v>
      </c>
      <c r="AG2740" s="245"/>
      <c r="AH2740" s="245"/>
      <c r="AI2740" s="245"/>
      <c r="AJ2740" s="245"/>
      <c r="AK2740" s="245"/>
      <c r="AL2740" s="245"/>
      <c r="AM2740" s="245"/>
      <c r="AN2740" s="245"/>
      <c r="AO2740" s="238">
        <v>0.0</v>
      </c>
      <c r="AP2740" s="238">
        <v>-38.1</v>
      </c>
      <c r="AQ2740" s="235" t="s">
        <v>632</v>
      </c>
      <c r="AR2740" s="243">
        <v>3.71E11</v>
      </c>
      <c r="AS2740" s="235" t="s">
        <v>19388</v>
      </c>
      <c r="AT2740" s="235" t="s">
        <v>16</v>
      </c>
      <c r="AU2740" s="235" t="s">
        <v>634</v>
      </c>
      <c r="AV2740" s="246" t="s">
        <v>635</v>
      </c>
      <c r="AW2740" s="227"/>
      <c r="AX2740" s="227"/>
      <c r="AY2740" s="227"/>
      <c r="AZ2740" s="227"/>
      <c r="BA2740" s="227"/>
      <c r="BB2740" s="227"/>
      <c r="BC2740" s="227"/>
      <c r="BD2740" s="227"/>
      <c r="BE2740" s="227"/>
      <c r="BF2740" s="227"/>
    </row>
    <row r="2741">
      <c r="A2741" s="235" t="s">
        <v>20900</v>
      </c>
      <c r="C2741" s="235" t="s">
        <v>20901</v>
      </c>
      <c r="D2741" s="235" t="s">
        <v>20902</v>
      </c>
      <c r="E2741" s="243">
        <v>6.52E13</v>
      </c>
      <c r="F2741" s="245"/>
      <c r="G2741" s="235" t="s">
        <v>20903</v>
      </c>
      <c r="H2741" s="235" t="s">
        <v>20904</v>
      </c>
      <c r="I2741" s="235" t="s">
        <v>20904</v>
      </c>
      <c r="J2741" s="235" t="s">
        <v>20905</v>
      </c>
      <c r="K2741" s="235" t="s">
        <v>20906</v>
      </c>
      <c r="N2741" s="235" t="s">
        <v>134</v>
      </c>
      <c r="O2741" s="235" t="s">
        <v>314</v>
      </c>
      <c r="P2741" s="238">
        <v>1.0</v>
      </c>
      <c r="Q2741" s="235" t="s">
        <v>627</v>
      </c>
      <c r="R2741" s="238">
        <v>246.67</v>
      </c>
      <c r="S2741" s="238">
        <v>12.33</v>
      </c>
      <c r="T2741" s="238">
        <v>38.1</v>
      </c>
      <c r="U2741" s="238">
        <v>1.9</v>
      </c>
      <c r="V2741" s="238">
        <v>0.0</v>
      </c>
      <c r="W2741" s="238">
        <v>0.0</v>
      </c>
      <c r="X2741" s="235" t="s">
        <v>628</v>
      </c>
      <c r="Z2741" s="245"/>
      <c r="AA2741" s="245"/>
      <c r="AB2741" s="245"/>
      <c r="AC2741" s="235" t="s">
        <v>1475</v>
      </c>
      <c r="AD2741" s="235" t="s">
        <v>796</v>
      </c>
      <c r="AE2741" s="238">
        <v>110043.0</v>
      </c>
      <c r="AF2741" s="235" t="s">
        <v>631</v>
      </c>
      <c r="AG2741" s="245"/>
      <c r="AH2741" s="245"/>
      <c r="AI2741" s="245"/>
      <c r="AJ2741" s="245"/>
      <c r="AK2741" s="245"/>
      <c r="AL2741" s="245"/>
      <c r="AM2741" s="245"/>
      <c r="AN2741" s="245"/>
      <c r="AO2741" s="238">
        <v>0.0</v>
      </c>
      <c r="AP2741" s="238">
        <v>-38.1</v>
      </c>
      <c r="AQ2741" s="235" t="s">
        <v>632</v>
      </c>
      <c r="AR2741" s="243">
        <v>3.71E11</v>
      </c>
      <c r="AS2741" s="235" t="s">
        <v>19388</v>
      </c>
      <c r="AT2741" s="235" t="s">
        <v>13</v>
      </c>
      <c r="AU2741" s="235" t="s">
        <v>634</v>
      </c>
      <c r="AV2741" s="246" t="s">
        <v>635</v>
      </c>
      <c r="AW2741" s="227"/>
      <c r="AX2741" s="227"/>
      <c r="AY2741" s="227"/>
      <c r="AZ2741" s="227"/>
      <c r="BA2741" s="227"/>
      <c r="BB2741" s="227"/>
      <c r="BC2741" s="227"/>
      <c r="BD2741" s="227"/>
      <c r="BE2741" s="227"/>
      <c r="BF2741" s="227"/>
    </row>
    <row r="2742">
      <c r="A2742" s="235" t="s">
        <v>20907</v>
      </c>
      <c r="C2742" s="235" t="s">
        <v>20908</v>
      </c>
      <c r="D2742" s="235" t="s">
        <v>20909</v>
      </c>
      <c r="E2742" s="243">
        <v>6.52E13</v>
      </c>
      <c r="F2742" s="245"/>
      <c r="G2742" s="235" t="s">
        <v>20910</v>
      </c>
      <c r="H2742" s="235" t="s">
        <v>20911</v>
      </c>
      <c r="I2742" s="235" t="s">
        <v>20911</v>
      </c>
      <c r="J2742" s="235" t="s">
        <v>20912</v>
      </c>
      <c r="K2742" s="235" t="s">
        <v>20913</v>
      </c>
      <c r="N2742" s="235" t="s">
        <v>54</v>
      </c>
      <c r="O2742" s="235" t="s">
        <v>294</v>
      </c>
      <c r="P2742" s="238">
        <v>1.0</v>
      </c>
      <c r="Q2742" s="235" t="s">
        <v>627</v>
      </c>
      <c r="R2742" s="238">
        <v>246.66</v>
      </c>
      <c r="S2742" s="238">
        <v>12.1</v>
      </c>
      <c r="T2742" s="238">
        <v>38.1</v>
      </c>
      <c r="U2742" s="238">
        <v>1.9</v>
      </c>
      <c r="V2742" s="238">
        <v>0.0</v>
      </c>
      <c r="W2742" s="238">
        <v>0.0</v>
      </c>
      <c r="X2742" s="235" t="s">
        <v>628</v>
      </c>
      <c r="Z2742" s="245"/>
      <c r="AA2742" s="245"/>
      <c r="AB2742" s="245"/>
      <c r="AC2742" s="235" t="s">
        <v>678</v>
      </c>
      <c r="AD2742" s="235" t="s">
        <v>679</v>
      </c>
      <c r="AE2742" s="238">
        <v>560054.0</v>
      </c>
      <c r="AF2742" s="235" t="s">
        <v>631</v>
      </c>
      <c r="AG2742" s="245"/>
      <c r="AH2742" s="245"/>
      <c r="AI2742" s="245"/>
      <c r="AJ2742" s="245"/>
      <c r="AK2742" s="245"/>
      <c r="AL2742" s="245"/>
      <c r="AM2742" s="245"/>
      <c r="AN2742" s="245"/>
      <c r="AO2742" s="238">
        <v>-4.94</v>
      </c>
      <c r="AP2742" s="238">
        <v>-38.1</v>
      </c>
      <c r="AQ2742" s="235" t="s">
        <v>632</v>
      </c>
      <c r="AR2742" s="243">
        <v>3.71E11</v>
      </c>
      <c r="AS2742" s="235" t="s">
        <v>19388</v>
      </c>
      <c r="AT2742" s="235" t="s">
        <v>11</v>
      </c>
      <c r="AU2742" s="235" t="s">
        <v>634</v>
      </c>
      <c r="AV2742" s="246" t="s">
        <v>635</v>
      </c>
      <c r="AW2742" s="227"/>
      <c r="AX2742" s="227"/>
      <c r="AY2742" s="227"/>
      <c r="AZ2742" s="227"/>
      <c r="BA2742" s="227"/>
      <c r="BB2742" s="227"/>
      <c r="BC2742" s="227"/>
      <c r="BD2742" s="227"/>
      <c r="BE2742" s="227"/>
      <c r="BF2742" s="227"/>
    </row>
    <row r="2743">
      <c r="A2743" s="235" t="s">
        <v>20914</v>
      </c>
      <c r="C2743" s="235" t="s">
        <v>20915</v>
      </c>
      <c r="D2743" s="235" t="s">
        <v>20916</v>
      </c>
      <c r="E2743" s="243">
        <v>6.53E13</v>
      </c>
      <c r="F2743" s="245"/>
      <c r="G2743" s="235" t="s">
        <v>20917</v>
      </c>
      <c r="H2743" s="235" t="s">
        <v>20918</v>
      </c>
      <c r="I2743" s="235" t="s">
        <v>20918</v>
      </c>
      <c r="J2743" s="235" t="s">
        <v>20919</v>
      </c>
      <c r="K2743" s="235" t="s">
        <v>20920</v>
      </c>
      <c r="N2743" s="235" t="s">
        <v>141</v>
      </c>
      <c r="O2743" s="235" t="s">
        <v>342</v>
      </c>
      <c r="P2743" s="238">
        <v>1.0</v>
      </c>
      <c r="Q2743" s="235" t="s">
        <v>627</v>
      </c>
      <c r="R2743" s="238">
        <v>243.81</v>
      </c>
      <c r="S2743" s="238">
        <v>12.19</v>
      </c>
      <c r="T2743" s="238">
        <v>0.0</v>
      </c>
      <c r="U2743" s="238">
        <v>0.0</v>
      </c>
      <c r="V2743" s="238">
        <v>0.0</v>
      </c>
      <c r="W2743" s="238">
        <v>0.0</v>
      </c>
      <c r="X2743" s="235" t="s">
        <v>628</v>
      </c>
      <c r="Z2743" s="245"/>
      <c r="AA2743" s="245"/>
      <c r="AB2743" s="245"/>
      <c r="AC2743" s="235" t="s">
        <v>1475</v>
      </c>
      <c r="AD2743" s="235" t="s">
        <v>796</v>
      </c>
      <c r="AE2743" s="238">
        <v>110075.0</v>
      </c>
      <c r="AF2743" s="235" t="s">
        <v>631</v>
      </c>
      <c r="AG2743" s="245"/>
      <c r="AH2743" s="245"/>
      <c r="AI2743" s="245"/>
      <c r="AJ2743" s="245"/>
      <c r="AK2743" s="245"/>
      <c r="AL2743" s="245"/>
      <c r="AM2743" s="245"/>
      <c r="AN2743" s="245"/>
      <c r="AO2743" s="238">
        <v>0.0</v>
      </c>
      <c r="AP2743" s="238">
        <v>0.0</v>
      </c>
      <c r="AQ2743" s="235" t="s">
        <v>632</v>
      </c>
      <c r="AR2743" s="243">
        <v>3.71E11</v>
      </c>
      <c r="AS2743" s="235" t="s">
        <v>19388</v>
      </c>
      <c r="AT2743" s="235" t="s">
        <v>13</v>
      </c>
      <c r="AU2743" s="235" t="s">
        <v>634</v>
      </c>
      <c r="AV2743" s="246" t="s">
        <v>635</v>
      </c>
      <c r="AW2743" s="227"/>
      <c r="AX2743" s="227"/>
      <c r="AY2743" s="227"/>
      <c r="AZ2743" s="227"/>
      <c r="BA2743" s="227"/>
      <c r="BB2743" s="227"/>
      <c r="BC2743" s="227"/>
      <c r="BD2743" s="227"/>
      <c r="BE2743" s="227"/>
      <c r="BF2743" s="227"/>
    </row>
    <row r="2744">
      <c r="A2744" s="235" t="s">
        <v>20921</v>
      </c>
      <c r="C2744" s="235" t="s">
        <v>20922</v>
      </c>
      <c r="D2744" s="235" t="s">
        <v>20923</v>
      </c>
      <c r="E2744" s="243">
        <v>6.52E13</v>
      </c>
      <c r="F2744" s="245"/>
      <c r="G2744" s="235" t="s">
        <v>20924</v>
      </c>
      <c r="H2744" s="235" t="s">
        <v>20925</v>
      </c>
      <c r="I2744" s="235" t="s">
        <v>20925</v>
      </c>
      <c r="J2744" s="235" t="s">
        <v>20926</v>
      </c>
      <c r="K2744" s="235" t="s">
        <v>20927</v>
      </c>
      <c r="N2744" s="235" t="s">
        <v>126</v>
      </c>
      <c r="O2744" s="235" t="s">
        <v>407</v>
      </c>
      <c r="P2744" s="238">
        <v>1.0</v>
      </c>
      <c r="Q2744" s="235" t="s">
        <v>627</v>
      </c>
      <c r="R2744" s="238">
        <v>269.52</v>
      </c>
      <c r="S2744" s="238">
        <v>13.48</v>
      </c>
      <c r="T2744" s="238">
        <v>38.1</v>
      </c>
      <c r="U2744" s="238">
        <v>1.9</v>
      </c>
      <c r="V2744" s="238">
        <v>0.0</v>
      </c>
      <c r="W2744" s="238">
        <v>0.0</v>
      </c>
      <c r="X2744" s="235" t="s">
        <v>628</v>
      </c>
      <c r="Z2744" s="245"/>
      <c r="AA2744" s="245"/>
      <c r="AB2744" s="245"/>
      <c r="AC2744" s="235" t="s">
        <v>20928</v>
      </c>
      <c r="AD2744" s="235" t="s">
        <v>6677</v>
      </c>
      <c r="AE2744" s="238">
        <v>607002.0</v>
      </c>
      <c r="AF2744" s="235" t="s">
        <v>631</v>
      </c>
      <c r="AG2744" s="245"/>
      <c r="AH2744" s="245"/>
      <c r="AI2744" s="245"/>
      <c r="AJ2744" s="245"/>
      <c r="AK2744" s="245"/>
      <c r="AL2744" s="245"/>
      <c r="AM2744" s="245"/>
      <c r="AN2744" s="245"/>
      <c r="AO2744" s="238">
        <v>0.0</v>
      </c>
      <c r="AP2744" s="238">
        <v>-38.1</v>
      </c>
      <c r="AQ2744" s="235" t="s">
        <v>632</v>
      </c>
      <c r="AR2744" s="243">
        <v>3.71E11</v>
      </c>
      <c r="AS2744" s="235" t="s">
        <v>17988</v>
      </c>
      <c r="AT2744" s="235" t="s">
        <v>9</v>
      </c>
      <c r="AU2744" s="235" t="s">
        <v>634</v>
      </c>
      <c r="AV2744" s="246" t="s">
        <v>635</v>
      </c>
      <c r="AW2744" s="227"/>
      <c r="AX2744" s="227"/>
      <c r="AY2744" s="227"/>
      <c r="AZ2744" s="227"/>
      <c r="BA2744" s="227"/>
      <c r="BB2744" s="227"/>
      <c r="BC2744" s="227"/>
      <c r="BD2744" s="227"/>
      <c r="BE2744" s="227"/>
      <c r="BF2744" s="227"/>
    </row>
    <row r="2745">
      <c r="A2745" s="235" t="s">
        <v>20929</v>
      </c>
      <c r="C2745" s="235" t="s">
        <v>20930</v>
      </c>
      <c r="D2745" s="235" t="s">
        <v>20931</v>
      </c>
      <c r="E2745" s="243">
        <v>6.51E13</v>
      </c>
      <c r="F2745" s="245"/>
      <c r="G2745" s="235" t="s">
        <v>20932</v>
      </c>
      <c r="H2745" s="235" t="s">
        <v>20933</v>
      </c>
      <c r="I2745" s="235" t="s">
        <v>20933</v>
      </c>
      <c r="J2745" s="235" t="s">
        <v>20934</v>
      </c>
      <c r="K2745" s="235" t="s">
        <v>20935</v>
      </c>
      <c r="N2745" s="235" t="s">
        <v>962</v>
      </c>
      <c r="O2745" s="235" t="s">
        <v>963</v>
      </c>
      <c r="P2745" s="238">
        <v>1.0</v>
      </c>
      <c r="Q2745" s="235" t="s">
        <v>627</v>
      </c>
      <c r="R2745" s="238">
        <v>237.14</v>
      </c>
      <c r="S2745" s="238">
        <v>11.5</v>
      </c>
      <c r="T2745" s="238">
        <v>0.0</v>
      </c>
      <c r="U2745" s="238">
        <v>0.0</v>
      </c>
      <c r="V2745" s="238">
        <v>0.0</v>
      </c>
      <c r="W2745" s="238">
        <v>0.0</v>
      </c>
      <c r="X2745" s="235" t="s">
        <v>628</v>
      </c>
      <c r="Z2745" s="245"/>
      <c r="AA2745" s="245"/>
      <c r="AB2745" s="245"/>
      <c r="AC2745" s="235" t="s">
        <v>1058</v>
      </c>
      <c r="AD2745" s="235" t="s">
        <v>845</v>
      </c>
      <c r="AE2745" s="238">
        <v>400104.0</v>
      </c>
      <c r="AF2745" s="235" t="s">
        <v>631</v>
      </c>
      <c r="AG2745" s="245"/>
      <c r="AH2745" s="245"/>
      <c r="AI2745" s="245"/>
      <c r="AJ2745" s="245"/>
      <c r="AK2745" s="245"/>
      <c r="AL2745" s="245"/>
      <c r="AM2745" s="245"/>
      <c r="AN2745" s="245"/>
      <c r="AO2745" s="238">
        <v>-7.11</v>
      </c>
      <c r="AP2745" s="238">
        <v>0.0</v>
      </c>
      <c r="AQ2745" s="235" t="s">
        <v>632</v>
      </c>
      <c r="AR2745" s="243">
        <v>3.71E11</v>
      </c>
      <c r="AS2745" s="235" t="s">
        <v>19388</v>
      </c>
      <c r="AT2745" s="235" t="s">
        <v>16</v>
      </c>
      <c r="AU2745" s="235" t="s">
        <v>634</v>
      </c>
      <c r="AV2745" s="246" t="s">
        <v>635</v>
      </c>
      <c r="AW2745" s="227"/>
      <c r="AX2745" s="227"/>
      <c r="AY2745" s="227"/>
      <c r="AZ2745" s="227"/>
      <c r="BA2745" s="227"/>
      <c r="BB2745" s="227"/>
      <c r="BC2745" s="227"/>
      <c r="BD2745" s="227"/>
      <c r="BE2745" s="227"/>
      <c r="BF2745" s="227"/>
    </row>
    <row r="2746">
      <c r="A2746" s="235" t="s">
        <v>20936</v>
      </c>
      <c r="C2746" s="235" t="s">
        <v>20937</v>
      </c>
      <c r="D2746" s="235" t="s">
        <v>20938</v>
      </c>
      <c r="E2746" s="243">
        <v>6.52E13</v>
      </c>
      <c r="F2746" s="245"/>
      <c r="G2746" s="235" t="s">
        <v>20939</v>
      </c>
      <c r="H2746" s="235" t="s">
        <v>20940</v>
      </c>
      <c r="I2746" s="235" t="s">
        <v>20940</v>
      </c>
      <c r="J2746" s="235" t="s">
        <v>20941</v>
      </c>
      <c r="K2746" s="235" t="s">
        <v>20942</v>
      </c>
      <c r="N2746" s="235" t="s">
        <v>138</v>
      </c>
      <c r="O2746" s="235" t="s">
        <v>675</v>
      </c>
      <c r="P2746" s="238">
        <v>1.0</v>
      </c>
      <c r="Q2746" s="235" t="s">
        <v>627</v>
      </c>
      <c r="R2746" s="238">
        <v>246.66</v>
      </c>
      <c r="S2746" s="238">
        <v>12.1</v>
      </c>
      <c r="T2746" s="238">
        <v>75.24</v>
      </c>
      <c r="U2746" s="238">
        <v>3.76</v>
      </c>
      <c r="V2746" s="238">
        <v>0.0</v>
      </c>
      <c r="W2746" s="238">
        <v>0.0</v>
      </c>
      <c r="X2746" s="235" t="s">
        <v>628</v>
      </c>
      <c r="Z2746" s="245"/>
      <c r="AA2746" s="245"/>
      <c r="AB2746" s="245"/>
      <c r="AC2746" s="235" t="s">
        <v>1058</v>
      </c>
      <c r="AD2746" s="235" t="s">
        <v>845</v>
      </c>
      <c r="AE2746" s="238">
        <v>400072.0</v>
      </c>
      <c r="AF2746" s="235" t="s">
        <v>631</v>
      </c>
      <c r="AG2746" s="245"/>
      <c r="AH2746" s="245"/>
      <c r="AI2746" s="245"/>
      <c r="AJ2746" s="245"/>
      <c r="AK2746" s="245"/>
      <c r="AL2746" s="245"/>
      <c r="AM2746" s="245"/>
      <c r="AN2746" s="245"/>
      <c r="AO2746" s="238">
        <v>-4.94</v>
      </c>
      <c r="AP2746" s="238">
        <v>0.0</v>
      </c>
      <c r="AQ2746" s="235" t="s">
        <v>632</v>
      </c>
      <c r="AR2746" s="243">
        <v>3.71E11</v>
      </c>
      <c r="AS2746" s="235" t="s">
        <v>19388</v>
      </c>
      <c r="AT2746" s="235" t="s">
        <v>17</v>
      </c>
      <c r="AU2746" s="235" t="s">
        <v>634</v>
      </c>
      <c r="AV2746" s="246" t="s">
        <v>635</v>
      </c>
      <c r="AW2746" s="227"/>
      <c r="AX2746" s="227"/>
      <c r="AY2746" s="227"/>
      <c r="AZ2746" s="227"/>
      <c r="BA2746" s="227"/>
      <c r="BB2746" s="227"/>
      <c r="BC2746" s="227"/>
      <c r="BD2746" s="227"/>
      <c r="BE2746" s="227"/>
      <c r="BF2746" s="227"/>
    </row>
    <row r="2747">
      <c r="A2747" s="235" t="s">
        <v>20943</v>
      </c>
      <c r="C2747" s="235" t="s">
        <v>20944</v>
      </c>
      <c r="D2747" s="235" t="s">
        <v>20945</v>
      </c>
      <c r="E2747" s="243">
        <v>6.53E13</v>
      </c>
      <c r="F2747" s="245"/>
      <c r="G2747" s="235" t="s">
        <v>20946</v>
      </c>
      <c r="H2747" s="235" t="s">
        <v>20947</v>
      </c>
      <c r="I2747" s="235" t="s">
        <v>20948</v>
      </c>
      <c r="J2747" s="235" t="s">
        <v>20949</v>
      </c>
      <c r="K2747" s="235" t="s">
        <v>20950</v>
      </c>
      <c r="N2747" s="235" t="s">
        <v>139</v>
      </c>
      <c r="O2747" s="235" t="s">
        <v>2091</v>
      </c>
      <c r="P2747" s="238">
        <v>1.0</v>
      </c>
      <c r="Q2747" s="235" t="s">
        <v>627</v>
      </c>
      <c r="R2747" s="238">
        <v>243.81</v>
      </c>
      <c r="S2747" s="238">
        <v>11.95</v>
      </c>
      <c r="T2747" s="238">
        <v>0.0</v>
      </c>
      <c r="U2747" s="238">
        <v>0.0</v>
      </c>
      <c r="V2747" s="238">
        <v>0.0</v>
      </c>
      <c r="W2747" s="238">
        <v>0.0</v>
      </c>
      <c r="X2747" s="235" t="s">
        <v>628</v>
      </c>
      <c r="Z2747" s="245"/>
      <c r="AA2747" s="245"/>
      <c r="AB2747" s="245"/>
      <c r="AC2747" s="235" t="s">
        <v>20951</v>
      </c>
      <c r="AD2747" s="235" t="s">
        <v>630</v>
      </c>
      <c r="AE2747" s="238">
        <v>212657.0</v>
      </c>
      <c r="AF2747" s="235" t="s">
        <v>631</v>
      </c>
      <c r="AG2747" s="245"/>
      <c r="AH2747" s="245"/>
      <c r="AI2747" s="245"/>
      <c r="AJ2747" s="245"/>
      <c r="AK2747" s="245"/>
      <c r="AL2747" s="245"/>
      <c r="AM2747" s="245"/>
      <c r="AN2747" s="245"/>
      <c r="AO2747" s="238">
        <v>-4.88</v>
      </c>
      <c r="AP2747" s="238">
        <v>0.0</v>
      </c>
      <c r="AQ2747" s="235" t="s">
        <v>632</v>
      </c>
      <c r="AR2747" s="243">
        <v>3.71E11</v>
      </c>
      <c r="AS2747" s="235" t="s">
        <v>16626</v>
      </c>
      <c r="AT2747" s="235" t="s">
        <v>13</v>
      </c>
      <c r="AU2747" s="235" t="s">
        <v>634</v>
      </c>
      <c r="AV2747" s="246" t="s">
        <v>635</v>
      </c>
      <c r="AW2747" s="227"/>
      <c r="AX2747" s="227"/>
      <c r="AY2747" s="227"/>
      <c r="AZ2747" s="227"/>
      <c r="BA2747" s="227"/>
      <c r="BB2747" s="227"/>
      <c r="BC2747" s="227"/>
      <c r="BD2747" s="227"/>
      <c r="BE2747" s="227"/>
      <c r="BF2747" s="227"/>
    </row>
    <row r="2748">
      <c r="A2748" s="235" t="s">
        <v>20952</v>
      </c>
      <c r="C2748" s="235" t="s">
        <v>20953</v>
      </c>
      <c r="D2748" s="235" t="s">
        <v>20954</v>
      </c>
      <c r="E2748" s="243">
        <v>6.53E13</v>
      </c>
      <c r="F2748" s="245"/>
      <c r="G2748" s="235" t="s">
        <v>20955</v>
      </c>
      <c r="H2748" s="235" t="s">
        <v>20956</v>
      </c>
      <c r="I2748" s="235" t="s">
        <v>20956</v>
      </c>
      <c r="J2748" s="235" t="s">
        <v>20957</v>
      </c>
      <c r="K2748" s="235" t="s">
        <v>20958</v>
      </c>
      <c r="N2748" s="235" t="s">
        <v>92</v>
      </c>
      <c r="O2748" s="235" t="s">
        <v>248</v>
      </c>
      <c r="P2748" s="238">
        <v>1.0</v>
      </c>
      <c r="Q2748" s="235" t="s">
        <v>627</v>
      </c>
      <c r="R2748" s="238">
        <v>243.8</v>
      </c>
      <c r="S2748" s="238">
        <v>12.2</v>
      </c>
      <c r="T2748" s="238">
        <v>0.0</v>
      </c>
      <c r="U2748" s="238">
        <v>0.0</v>
      </c>
      <c r="V2748" s="238">
        <v>0.0</v>
      </c>
      <c r="W2748" s="238">
        <v>0.0</v>
      </c>
      <c r="X2748" s="235" t="s">
        <v>628</v>
      </c>
      <c r="Z2748" s="245"/>
      <c r="AA2748" s="245"/>
      <c r="AB2748" s="245"/>
      <c r="AC2748" s="235" t="s">
        <v>20959</v>
      </c>
      <c r="AD2748" s="235" t="s">
        <v>928</v>
      </c>
      <c r="AE2748" s="238">
        <v>122413.0</v>
      </c>
      <c r="AF2748" s="235" t="s">
        <v>631</v>
      </c>
      <c r="AG2748" s="245"/>
      <c r="AH2748" s="245"/>
      <c r="AI2748" s="245"/>
      <c r="AJ2748" s="245"/>
      <c r="AK2748" s="245"/>
      <c r="AL2748" s="245"/>
      <c r="AM2748" s="245"/>
      <c r="AN2748" s="245"/>
      <c r="AO2748" s="238">
        <v>0.0</v>
      </c>
      <c r="AP2748" s="238">
        <v>0.0</v>
      </c>
      <c r="AQ2748" s="235" t="s">
        <v>632</v>
      </c>
      <c r="AR2748" s="243">
        <v>3.71E11</v>
      </c>
      <c r="AS2748" s="235" t="s">
        <v>17988</v>
      </c>
      <c r="AT2748" s="235" t="s">
        <v>533</v>
      </c>
      <c r="AU2748" s="235" t="s">
        <v>634</v>
      </c>
      <c r="AV2748" s="246" t="s">
        <v>635</v>
      </c>
      <c r="AW2748" s="227"/>
      <c r="AX2748" s="227"/>
      <c r="AY2748" s="227"/>
      <c r="AZ2748" s="227"/>
      <c r="BA2748" s="227"/>
      <c r="BB2748" s="227"/>
      <c r="BC2748" s="227"/>
      <c r="BD2748" s="227"/>
      <c r="BE2748" s="227"/>
      <c r="BF2748" s="227"/>
    </row>
    <row r="2749">
      <c r="A2749" s="235" t="s">
        <v>20960</v>
      </c>
      <c r="C2749" s="235" t="s">
        <v>20961</v>
      </c>
      <c r="D2749" s="235" t="s">
        <v>20962</v>
      </c>
      <c r="E2749" s="243">
        <v>6.53E13</v>
      </c>
      <c r="F2749" s="245"/>
      <c r="G2749" s="235" t="s">
        <v>20963</v>
      </c>
      <c r="H2749" s="235" t="s">
        <v>20964</v>
      </c>
      <c r="I2749" s="235" t="s">
        <v>20964</v>
      </c>
      <c r="J2749" s="235" t="s">
        <v>20965</v>
      </c>
      <c r="K2749" s="235" t="s">
        <v>20966</v>
      </c>
      <c r="N2749" s="235" t="s">
        <v>42</v>
      </c>
      <c r="O2749" s="235" t="s">
        <v>204</v>
      </c>
      <c r="P2749" s="238">
        <v>1.0</v>
      </c>
      <c r="Q2749" s="235" t="s">
        <v>627</v>
      </c>
      <c r="R2749" s="238">
        <v>270.48</v>
      </c>
      <c r="S2749" s="238">
        <v>13.52</v>
      </c>
      <c r="T2749" s="238">
        <v>38.1</v>
      </c>
      <c r="U2749" s="238">
        <v>1.9</v>
      </c>
      <c r="V2749" s="238">
        <v>0.0</v>
      </c>
      <c r="W2749" s="238">
        <v>0.0</v>
      </c>
      <c r="X2749" s="235" t="s">
        <v>628</v>
      </c>
      <c r="Z2749" s="245"/>
      <c r="AA2749" s="245"/>
      <c r="AB2749" s="245"/>
      <c r="AC2749" s="235" t="s">
        <v>20967</v>
      </c>
      <c r="AD2749" s="235" t="s">
        <v>833</v>
      </c>
      <c r="AE2749" s="238">
        <v>533240.0</v>
      </c>
      <c r="AF2749" s="235" t="s">
        <v>631</v>
      </c>
      <c r="AG2749" s="245"/>
      <c r="AH2749" s="245"/>
      <c r="AI2749" s="245"/>
      <c r="AJ2749" s="245"/>
      <c r="AK2749" s="245"/>
      <c r="AL2749" s="245"/>
      <c r="AM2749" s="245"/>
      <c r="AN2749" s="245"/>
      <c r="AO2749" s="238">
        <v>0.0</v>
      </c>
      <c r="AP2749" s="238">
        <v>0.0</v>
      </c>
      <c r="AQ2749" s="235" t="s">
        <v>632</v>
      </c>
      <c r="AR2749" s="243">
        <v>3.71E11</v>
      </c>
      <c r="AS2749" s="235" t="s">
        <v>13822</v>
      </c>
      <c r="AT2749" s="235" t="s">
        <v>9</v>
      </c>
      <c r="AU2749" s="235" t="s">
        <v>634</v>
      </c>
      <c r="AV2749" s="246" t="s">
        <v>635</v>
      </c>
      <c r="AW2749" s="227"/>
      <c r="AX2749" s="227"/>
      <c r="AY2749" s="227"/>
      <c r="AZ2749" s="227"/>
      <c r="BA2749" s="227"/>
      <c r="BB2749" s="227"/>
      <c r="BC2749" s="227"/>
      <c r="BD2749" s="227"/>
      <c r="BE2749" s="227"/>
      <c r="BF2749" s="227"/>
    </row>
    <row r="2750">
      <c r="A2750" s="235" t="s">
        <v>20968</v>
      </c>
      <c r="C2750" s="235" t="s">
        <v>20969</v>
      </c>
      <c r="D2750" s="235" t="s">
        <v>20970</v>
      </c>
      <c r="E2750" s="243">
        <v>6.53E13</v>
      </c>
      <c r="F2750" s="245"/>
      <c r="G2750" s="235" t="s">
        <v>20971</v>
      </c>
      <c r="H2750" s="235" t="s">
        <v>20972</v>
      </c>
      <c r="I2750" s="235" t="s">
        <v>20972</v>
      </c>
      <c r="J2750" s="235" t="s">
        <v>20973</v>
      </c>
      <c r="K2750" s="235" t="s">
        <v>20974</v>
      </c>
      <c r="N2750" s="235" t="s">
        <v>141</v>
      </c>
      <c r="O2750" s="235" t="s">
        <v>342</v>
      </c>
      <c r="P2750" s="238">
        <v>1.0</v>
      </c>
      <c r="Q2750" s="235" t="s">
        <v>627</v>
      </c>
      <c r="R2750" s="238">
        <v>243.8</v>
      </c>
      <c r="S2750" s="238">
        <v>11.96</v>
      </c>
      <c r="T2750" s="238">
        <v>38.1</v>
      </c>
      <c r="U2750" s="238">
        <v>1.9</v>
      </c>
      <c r="V2750" s="238">
        <v>0.0</v>
      </c>
      <c r="W2750" s="238">
        <v>0.0</v>
      </c>
      <c r="X2750" s="235" t="s">
        <v>628</v>
      </c>
      <c r="Z2750" s="245"/>
      <c r="AA2750" s="245"/>
      <c r="AB2750" s="245"/>
      <c r="AC2750" s="235" t="s">
        <v>1671</v>
      </c>
      <c r="AD2750" s="235" t="s">
        <v>666</v>
      </c>
      <c r="AE2750" s="238">
        <v>641008.0</v>
      </c>
      <c r="AF2750" s="235" t="s">
        <v>631</v>
      </c>
      <c r="AG2750" s="245"/>
      <c r="AH2750" s="245"/>
      <c r="AI2750" s="245"/>
      <c r="AJ2750" s="245"/>
      <c r="AK2750" s="245"/>
      <c r="AL2750" s="245"/>
      <c r="AM2750" s="245"/>
      <c r="AN2750" s="245"/>
      <c r="AO2750" s="238">
        <v>-4.88</v>
      </c>
      <c r="AP2750" s="238">
        <v>-38.1</v>
      </c>
      <c r="AQ2750" s="235" t="s">
        <v>632</v>
      </c>
      <c r="AR2750" s="243">
        <v>3.71E11</v>
      </c>
      <c r="AS2750" s="235" t="s">
        <v>19388</v>
      </c>
      <c r="AT2750" s="235" t="s">
        <v>155</v>
      </c>
      <c r="AU2750" s="235" t="s">
        <v>634</v>
      </c>
      <c r="AV2750" s="246" t="s">
        <v>635</v>
      </c>
      <c r="AW2750" s="227"/>
      <c r="AX2750" s="227"/>
      <c r="AY2750" s="227"/>
      <c r="AZ2750" s="227"/>
      <c r="BA2750" s="227"/>
      <c r="BB2750" s="227"/>
      <c r="BC2750" s="227"/>
      <c r="BD2750" s="227"/>
      <c r="BE2750" s="227"/>
      <c r="BF2750" s="227"/>
    </row>
    <row r="2751">
      <c r="A2751" s="235" t="s">
        <v>20975</v>
      </c>
      <c r="C2751" s="235" t="s">
        <v>20976</v>
      </c>
      <c r="D2751" s="235" t="s">
        <v>20977</v>
      </c>
      <c r="E2751" s="243">
        <v>6.52E13</v>
      </c>
      <c r="F2751" s="245"/>
      <c r="G2751" s="235" t="s">
        <v>20978</v>
      </c>
      <c r="H2751" s="235" t="s">
        <v>20979</v>
      </c>
      <c r="I2751" s="235" t="s">
        <v>20979</v>
      </c>
      <c r="J2751" s="235" t="s">
        <v>20980</v>
      </c>
      <c r="K2751" s="235" t="s">
        <v>20981</v>
      </c>
      <c r="N2751" s="235" t="s">
        <v>717</v>
      </c>
      <c r="O2751" s="235" t="s">
        <v>718</v>
      </c>
      <c r="P2751" s="238">
        <v>1.0</v>
      </c>
      <c r="Q2751" s="235" t="s">
        <v>627</v>
      </c>
      <c r="R2751" s="238">
        <v>446.67</v>
      </c>
      <c r="S2751" s="238">
        <v>21.66</v>
      </c>
      <c r="T2751" s="238">
        <v>0.0</v>
      </c>
      <c r="U2751" s="238">
        <v>0.0</v>
      </c>
      <c r="V2751" s="238">
        <v>0.0</v>
      </c>
      <c r="W2751" s="238">
        <v>0.0</v>
      </c>
      <c r="X2751" s="235" t="s">
        <v>628</v>
      </c>
      <c r="Z2751" s="245"/>
      <c r="AA2751" s="245"/>
      <c r="AB2751" s="245"/>
      <c r="AC2751" s="235" t="s">
        <v>687</v>
      </c>
      <c r="AD2751" s="235" t="s">
        <v>666</v>
      </c>
      <c r="AE2751" s="238">
        <v>600085.0</v>
      </c>
      <c r="AF2751" s="235" t="s">
        <v>631</v>
      </c>
      <c r="AG2751" s="245"/>
      <c r="AH2751" s="245"/>
      <c r="AI2751" s="245"/>
      <c r="AJ2751" s="245"/>
      <c r="AK2751" s="245"/>
      <c r="AL2751" s="245"/>
      <c r="AM2751" s="245"/>
      <c r="AN2751" s="245"/>
      <c r="AO2751" s="238">
        <v>-13.4</v>
      </c>
      <c r="AP2751" s="238">
        <v>0.0</v>
      </c>
      <c r="AQ2751" s="235" t="s">
        <v>632</v>
      </c>
      <c r="AR2751" s="243">
        <v>3.71E11</v>
      </c>
      <c r="AS2751" s="235" t="s">
        <v>17988</v>
      </c>
      <c r="AT2751" s="235" t="s">
        <v>11</v>
      </c>
      <c r="AU2751" s="235" t="s">
        <v>634</v>
      </c>
      <c r="AV2751" s="246" t="s">
        <v>635</v>
      </c>
      <c r="AW2751" s="227"/>
      <c r="AX2751" s="227"/>
      <c r="AY2751" s="227"/>
      <c r="AZ2751" s="227"/>
      <c r="BA2751" s="227"/>
      <c r="BB2751" s="227"/>
      <c r="BC2751" s="227"/>
      <c r="BD2751" s="227"/>
      <c r="BE2751" s="227"/>
      <c r="BF2751" s="227"/>
    </row>
    <row r="2752">
      <c r="A2752" s="235" t="s">
        <v>20975</v>
      </c>
      <c r="C2752" s="235" t="s">
        <v>20976</v>
      </c>
      <c r="D2752" s="235" t="s">
        <v>20982</v>
      </c>
      <c r="E2752" s="243">
        <v>6.52E13</v>
      </c>
      <c r="F2752" s="245"/>
      <c r="G2752" s="235" t="s">
        <v>20978</v>
      </c>
      <c r="H2752" s="235" t="s">
        <v>20979</v>
      </c>
      <c r="I2752" s="235" t="s">
        <v>20979</v>
      </c>
      <c r="J2752" s="235" t="s">
        <v>20980</v>
      </c>
      <c r="K2752" s="235" t="s">
        <v>20981</v>
      </c>
      <c r="N2752" s="235" t="s">
        <v>717</v>
      </c>
      <c r="O2752" s="235" t="s">
        <v>718</v>
      </c>
      <c r="P2752" s="238">
        <v>1.0</v>
      </c>
      <c r="Q2752" s="235" t="s">
        <v>627</v>
      </c>
      <c r="R2752" s="238">
        <v>446.67</v>
      </c>
      <c r="S2752" s="238">
        <v>21.66</v>
      </c>
      <c r="T2752" s="238">
        <v>0.0</v>
      </c>
      <c r="U2752" s="238">
        <v>0.0</v>
      </c>
      <c r="V2752" s="238">
        <v>0.0</v>
      </c>
      <c r="W2752" s="238">
        <v>0.0</v>
      </c>
      <c r="X2752" s="235" t="s">
        <v>628</v>
      </c>
      <c r="Z2752" s="245"/>
      <c r="AA2752" s="245"/>
      <c r="AB2752" s="245"/>
      <c r="AC2752" s="235" t="s">
        <v>687</v>
      </c>
      <c r="AD2752" s="235" t="s">
        <v>666</v>
      </c>
      <c r="AE2752" s="238">
        <v>600085.0</v>
      </c>
      <c r="AF2752" s="235" t="s">
        <v>631</v>
      </c>
      <c r="AG2752" s="245"/>
      <c r="AH2752" s="245"/>
      <c r="AI2752" s="245"/>
      <c r="AJ2752" s="245"/>
      <c r="AK2752" s="245"/>
      <c r="AL2752" s="245"/>
      <c r="AM2752" s="245"/>
      <c r="AN2752" s="245"/>
      <c r="AO2752" s="238">
        <v>-13.4</v>
      </c>
      <c r="AP2752" s="238">
        <v>0.0</v>
      </c>
      <c r="AQ2752" s="235" t="s">
        <v>632</v>
      </c>
      <c r="AR2752" s="243">
        <v>3.71E11</v>
      </c>
      <c r="AS2752" s="235" t="s">
        <v>17988</v>
      </c>
      <c r="AT2752" s="235" t="s">
        <v>11</v>
      </c>
      <c r="AU2752" s="235" t="s">
        <v>634</v>
      </c>
      <c r="AV2752" s="246" t="s">
        <v>635</v>
      </c>
      <c r="AW2752" s="227"/>
      <c r="AX2752" s="227"/>
      <c r="AY2752" s="227"/>
      <c r="AZ2752" s="227"/>
      <c r="BA2752" s="227"/>
      <c r="BB2752" s="227"/>
      <c r="BC2752" s="227"/>
      <c r="BD2752" s="227"/>
      <c r="BE2752" s="227"/>
      <c r="BF2752" s="227"/>
    </row>
    <row r="2753">
      <c r="A2753" s="235" t="s">
        <v>20983</v>
      </c>
      <c r="C2753" s="235" t="s">
        <v>20984</v>
      </c>
      <c r="D2753" s="235" t="s">
        <v>20985</v>
      </c>
      <c r="E2753" s="243">
        <v>6.52E13</v>
      </c>
      <c r="F2753" s="245"/>
      <c r="G2753" s="235" t="s">
        <v>20986</v>
      </c>
      <c r="H2753" s="235" t="s">
        <v>20987</v>
      </c>
      <c r="I2753" s="235" t="s">
        <v>20988</v>
      </c>
      <c r="J2753" s="235" t="s">
        <v>20989</v>
      </c>
      <c r="K2753" s="235" t="s">
        <v>20990</v>
      </c>
      <c r="N2753" s="235" t="s">
        <v>154</v>
      </c>
      <c r="O2753" s="235" t="s">
        <v>766</v>
      </c>
      <c r="P2753" s="238">
        <v>1.0</v>
      </c>
      <c r="Q2753" s="235" t="s">
        <v>627</v>
      </c>
      <c r="R2753" s="238">
        <v>465.71</v>
      </c>
      <c r="S2753" s="238">
        <v>22.82</v>
      </c>
      <c r="T2753" s="238">
        <v>0.0</v>
      </c>
      <c r="U2753" s="238">
        <v>0.0</v>
      </c>
      <c r="V2753" s="238">
        <v>0.0</v>
      </c>
      <c r="W2753" s="238">
        <v>0.0</v>
      </c>
      <c r="X2753" s="235" t="s">
        <v>628</v>
      </c>
      <c r="Z2753" s="245"/>
      <c r="AA2753" s="245"/>
      <c r="AB2753" s="245"/>
      <c r="AC2753" s="235" t="s">
        <v>20991</v>
      </c>
      <c r="AD2753" s="235" t="s">
        <v>731</v>
      </c>
      <c r="AE2753" s="238">
        <v>781039.0</v>
      </c>
      <c r="AF2753" s="235" t="s">
        <v>631</v>
      </c>
      <c r="AG2753" s="245"/>
      <c r="AH2753" s="245"/>
      <c r="AI2753" s="245"/>
      <c r="AJ2753" s="245"/>
      <c r="AK2753" s="245"/>
      <c r="AL2753" s="245"/>
      <c r="AM2753" s="245"/>
      <c r="AN2753" s="245"/>
      <c r="AO2753" s="238">
        <v>-9.31</v>
      </c>
      <c r="AP2753" s="238">
        <v>0.0</v>
      </c>
      <c r="AQ2753" s="235" t="s">
        <v>632</v>
      </c>
      <c r="AR2753" s="243">
        <v>3.71E11</v>
      </c>
      <c r="AS2753" s="235" t="s">
        <v>15064</v>
      </c>
      <c r="AT2753" s="235" t="s">
        <v>533</v>
      </c>
      <c r="AU2753" s="235" t="s">
        <v>634</v>
      </c>
      <c r="AV2753" s="246" t="s">
        <v>635</v>
      </c>
      <c r="AW2753" s="227"/>
      <c r="AX2753" s="227"/>
      <c r="AY2753" s="227"/>
      <c r="AZ2753" s="227"/>
      <c r="BA2753" s="227"/>
      <c r="BB2753" s="227"/>
      <c r="BC2753" s="227"/>
      <c r="BD2753" s="227"/>
      <c r="BE2753" s="227"/>
      <c r="BF2753" s="227"/>
    </row>
    <row r="2754">
      <c r="A2754" s="235" t="s">
        <v>20992</v>
      </c>
      <c r="C2754" s="235" t="s">
        <v>20993</v>
      </c>
      <c r="D2754" s="235" t="s">
        <v>20994</v>
      </c>
      <c r="E2754" s="243">
        <v>6.53E13</v>
      </c>
      <c r="F2754" s="245"/>
      <c r="G2754" s="235" t="s">
        <v>20995</v>
      </c>
      <c r="H2754" s="235" t="s">
        <v>20996</v>
      </c>
      <c r="I2754" s="235" t="s">
        <v>20996</v>
      </c>
      <c r="J2754" s="235" t="s">
        <v>20997</v>
      </c>
      <c r="K2754" s="235" t="s">
        <v>20998</v>
      </c>
      <c r="N2754" s="235" t="s">
        <v>154</v>
      </c>
      <c r="O2754" s="235" t="s">
        <v>766</v>
      </c>
      <c r="P2754" s="238">
        <v>1.0</v>
      </c>
      <c r="Q2754" s="235" t="s">
        <v>627</v>
      </c>
      <c r="R2754" s="238">
        <v>500.96</v>
      </c>
      <c r="S2754" s="238">
        <v>24.54</v>
      </c>
      <c r="T2754" s="238">
        <v>0.0</v>
      </c>
      <c r="U2754" s="238">
        <v>0.0</v>
      </c>
      <c r="V2754" s="238">
        <v>0.0</v>
      </c>
      <c r="W2754" s="238">
        <v>0.0</v>
      </c>
      <c r="X2754" s="235" t="s">
        <v>628</v>
      </c>
      <c r="Z2754" s="245"/>
      <c r="AA2754" s="245"/>
      <c r="AB2754" s="245"/>
      <c r="AC2754" s="235" t="s">
        <v>1456</v>
      </c>
      <c r="AD2754" s="235" t="s">
        <v>928</v>
      </c>
      <c r="AE2754" s="238">
        <v>122101.0</v>
      </c>
      <c r="AF2754" s="235" t="s">
        <v>631</v>
      </c>
      <c r="AG2754" s="245"/>
      <c r="AH2754" s="245"/>
      <c r="AI2754" s="245"/>
      <c r="AJ2754" s="245"/>
      <c r="AK2754" s="245"/>
      <c r="AL2754" s="245"/>
      <c r="AM2754" s="245"/>
      <c r="AN2754" s="245"/>
      <c r="AO2754" s="238">
        <v>-10.02</v>
      </c>
      <c r="AP2754" s="238">
        <v>0.0</v>
      </c>
      <c r="AQ2754" s="235" t="s">
        <v>632</v>
      </c>
      <c r="AR2754" s="243">
        <v>1.68E11</v>
      </c>
      <c r="AS2754" s="235" t="s">
        <v>20529</v>
      </c>
      <c r="AT2754" s="235" t="s">
        <v>13</v>
      </c>
      <c r="AU2754" s="235" t="s">
        <v>634</v>
      </c>
      <c r="AV2754" s="246" t="s">
        <v>635</v>
      </c>
      <c r="AW2754" s="227"/>
      <c r="AX2754" s="227"/>
      <c r="AY2754" s="227"/>
      <c r="AZ2754" s="227"/>
      <c r="BA2754" s="227"/>
      <c r="BB2754" s="227"/>
      <c r="BC2754" s="227"/>
      <c r="BD2754" s="227"/>
      <c r="BE2754" s="227"/>
      <c r="BF2754" s="227"/>
    </row>
    <row r="2755">
      <c r="A2755" s="235" t="s">
        <v>20999</v>
      </c>
      <c r="C2755" s="235" t="s">
        <v>21000</v>
      </c>
      <c r="D2755" s="235" t="s">
        <v>21001</v>
      </c>
      <c r="E2755" s="243">
        <v>6.53E13</v>
      </c>
      <c r="F2755" s="245"/>
      <c r="G2755" s="235" t="s">
        <v>21002</v>
      </c>
      <c r="H2755" s="235" t="s">
        <v>21003</v>
      </c>
      <c r="I2755" s="235" t="s">
        <v>21003</v>
      </c>
      <c r="J2755" s="235" t="s">
        <v>21004</v>
      </c>
      <c r="K2755" s="235" t="s">
        <v>21005</v>
      </c>
      <c r="N2755" s="235" t="s">
        <v>117</v>
      </c>
      <c r="O2755" s="235" t="s">
        <v>334</v>
      </c>
      <c r="P2755" s="238">
        <v>1.0</v>
      </c>
      <c r="Q2755" s="235" t="s">
        <v>627</v>
      </c>
      <c r="R2755" s="238">
        <v>236.19</v>
      </c>
      <c r="S2755" s="238">
        <v>11.81</v>
      </c>
      <c r="T2755" s="238">
        <v>38.1</v>
      </c>
      <c r="U2755" s="238">
        <v>1.9</v>
      </c>
      <c r="V2755" s="238">
        <v>0.0</v>
      </c>
      <c r="W2755" s="238">
        <v>0.0</v>
      </c>
      <c r="X2755" s="235" t="s">
        <v>628</v>
      </c>
      <c r="Z2755" s="245"/>
      <c r="AA2755" s="245"/>
      <c r="AB2755" s="245"/>
      <c r="AC2755" s="235" t="s">
        <v>3806</v>
      </c>
      <c r="AD2755" s="235" t="s">
        <v>881</v>
      </c>
      <c r="AE2755" s="238">
        <v>753002.0</v>
      </c>
      <c r="AF2755" s="235" t="s">
        <v>631</v>
      </c>
      <c r="AG2755" s="245"/>
      <c r="AH2755" s="245"/>
      <c r="AI2755" s="245"/>
      <c r="AJ2755" s="245"/>
      <c r="AK2755" s="245"/>
      <c r="AL2755" s="245"/>
      <c r="AM2755" s="245"/>
      <c r="AN2755" s="245"/>
      <c r="AO2755" s="238">
        <v>0.0</v>
      </c>
      <c r="AP2755" s="238">
        <v>-38.1</v>
      </c>
      <c r="AQ2755" s="235" t="s">
        <v>632</v>
      </c>
      <c r="AR2755" s="243">
        <v>3.71E11</v>
      </c>
      <c r="AS2755" s="235" t="s">
        <v>15064</v>
      </c>
      <c r="AT2755" s="235" t="s">
        <v>14</v>
      </c>
      <c r="AU2755" s="235" t="s">
        <v>634</v>
      </c>
      <c r="AV2755" s="246" t="s">
        <v>635</v>
      </c>
      <c r="AW2755" s="227"/>
      <c r="AX2755" s="227"/>
      <c r="AY2755" s="227"/>
      <c r="AZ2755" s="227"/>
      <c r="BA2755" s="227"/>
      <c r="BB2755" s="227"/>
      <c r="BC2755" s="227"/>
      <c r="BD2755" s="227"/>
      <c r="BE2755" s="227"/>
      <c r="BF2755" s="227"/>
    </row>
    <row r="2756">
      <c r="A2756" s="235" t="s">
        <v>21006</v>
      </c>
      <c r="C2756" s="235" t="s">
        <v>21007</v>
      </c>
      <c r="D2756" s="235" t="s">
        <v>21008</v>
      </c>
      <c r="E2756" s="243">
        <v>6.53E13</v>
      </c>
      <c r="F2756" s="245"/>
      <c r="G2756" s="235" t="s">
        <v>21009</v>
      </c>
      <c r="H2756" s="235" t="s">
        <v>21010</v>
      </c>
      <c r="I2756" s="235" t="s">
        <v>21010</v>
      </c>
      <c r="J2756" s="235" t="s">
        <v>21011</v>
      </c>
      <c r="K2756" s="235" t="s">
        <v>21012</v>
      </c>
      <c r="N2756" s="235" t="s">
        <v>23</v>
      </c>
      <c r="O2756" s="235" t="s">
        <v>974</v>
      </c>
      <c r="P2756" s="238">
        <v>2.0</v>
      </c>
      <c r="Q2756" s="235" t="s">
        <v>627</v>
      </c>
      <c r="R2756" s="238">
        <v>647.62</v>
      </c>
      <c r="S2756" s="238">
        <v>31.4</v>
      </c>
      <c r="T2756" s="238">
        <v>76.2</v>
      </c>
      <c r="U2756" s="238">
        <v>3.8</v>
      </c>
      <c r="V2756" s="238">
        <v>0.0</v>
      </c>
      <c r="W2756" s="238">
        <v>0.0</v>
      </c>
      <c r="X2756" s="235" t="s">
        <v>628</v>
      </c>
      <c r="Z2756" s="245"/>
      <c r="AA2756" s="245"/>
      <c r="AB2756" s="245"/>
      <c r="AC2756" s="235" t="s">
        <v>21013</v>
      </c>
      <c r="AD2756" s="235" t="s">
        <v>666</v>
      </c>
      <c r="AE2756" s="238">
        <v>627109.0</v>
      </c>
      <c r="AF2756" s="235" t="s">
        <v>631</v>
      </c>
      <c r="AG2756" s="245"/>
      <c r="AH2756" s="245"/>
      <c r="AI2756" s="245"/>
      <c r="AJ2756" s="245"/>
      <c r="AK2756" s="245"/>
      <c r="AL2756" s="245"/>
      <c r="AM2756" s="245"/>
      <c r="AN2756" s="245"/>
      <c r="AO2756" s="238">
        <v>-19.42</v>
      </c>
      <c r="AP2756" s="238">
        <v>-76.2</v>
      </c>
      <c r="AQ2756" s="235" t="s">
        <v>632</v>
      </c>
      <c r="AR2756" s="243">
        <v>3.71E11</v>
      </c>
      <c r="AS2756" s="235" t="s">
        <v>17988</v>
      </c>
      <c r="AT2756" s="235" t="s">
        <v>9</v>
      </c>
      <c r="AU2756" s="235" t="s">
        <v>634</v>
      </c>
      <c r="AV2756" s="246" t="s">
        <v>635</v>
      </c>
      <c r="AW2756" s="227"/>
      <c r="AX2756" s="227"/>
      <c r="AY2756" s="227"/>
      <c r="AZ2756" s="227"/>
      <c r="BA2756" s="227"/>
      <c r="BB2756" s="227"/>
      <c r="BC2756" s="227"/>
      <c r="BD2756" s="227"/>
      <c r="BE2756" s="227"/>
      <c r="BF2756" s="227"/>
    </row>
    <row r="2757">
      <c r="A2757" s="235" t="s">
        <v>21014</v>
      </c>
      <c r="C2757" s="235" t="s">
        <v>21015</v>
      </c>
      <c r="D2757" s="235" t="s">
        <v>21016</v>
      </c>
      <c r="E2757" s="243">
        <v>6.53E13</v>
      </c>
      <c r="F2757" s="245"/>
      <c r="G2757" s="235" t="s">
        <v>21017</v>
      </c>
      <c r="H2757" s="235" t="s">
        <v>21018</v>
      </c>
      <c r="I2757" s="235" t="s">
        <v>21018</v>
      </c>
      <c r="J2757" s="235" t="s">
        <v>21019</v>
      </c>
      <c r="K2757" s="235" t="s">
        <v>21020</v>
      </c>
      <c r="N2757" s="235" t="s">
        <v>139</v>
      </c>
      <c r="O2757" s="235" t="s">
        <v>2091</v>
      </c>
      <c r="P2757" s="238">
        <v>1.0</v>
      </c>
      <c r="Q2757" s="235" t="s">
        <v>627</v>
      </c>
      <c r="R2757" s="238">
        <v>270.48</v>
      </c>
      <c r="S2757" s="238">
        <v>13.52</v>
      </c>
      <c r="T2757" s="238">
        <v>0.0</v>
      </c>
      <c r="U2757" s="238">
        <v>0.0</v>
      </c>
      <c r="V2757" s="238">
        <v>0.0</v>
      </c>
      <c r="W2757" s="238">
        <v>0.0</v>
      </c>
      <c r="X2757" s="235" t="s">
        <v>628</v>
      </c>
      <c r="Z2757" s="245"/>
      <c r="AA2757" s="245"/>
      <c r="AB2757" s="245"/>
      <c r="AC2757" s="235" t="s">
        <v>21021</v>
      </c>
      <c r="AD2757" s="235" t="s">
        <v>6097</v>
      </c>
      <c r="AE2757" s="238">
        <v>737121.0</v>
      </c>
      <c r="AF2757" s="235" t="s">
        <v>631</v>
      </c>
      <c r="AG2757" s="245"/>
      <c r="AH2757" s="245"/>
      <c r="AI2757" s="245"/>
      <c r="AJ2757" s="245"/>
      <c r="AK2757" s="245"/>
      <c r="AL2757" s="245"/>
      <c r="AM2757" s="245"/>
      <c r="AN2757" s="245"/>
      <c r="AO2757" s="238">
        <v>0.0</v>
      </c>
      <c r="AP2757" s="238">
        <v>0.0</v>
      </c>
      <c r="AQ2757" s="235" t="s">
        <v>632</v>
      </c>
      <c r="AR2757" s="243">
        <v>3.71E11</v>
      </c>
      <c r="AS2757" s="235" t="s">
        <v>12693</v>
      </c>
      <c r="AT2757" s="235" t="s">
        <v>156</v>
      </c>
      <c r="AU2757" s="235" t="s">
        <v>634</v>
      </c>
      <c r="AV2757" s="246" t="s">
        <v>635</v>
      </c>
      <c r="AW2757" s="227"/>
      <c r="AX2757" s="227"/>
      <c r="AY2757" s="227"/>
      <c r="AZ2757" s="227"/>
      <c r="BA2757" s="227"/>
      <c r="BB2757" s="227"/>
      <c r="BC2757" s="227"/>
      <c r="BD2757" s="227"/>
      <c r="BE2757" s="227"/>
      <c r="BF2757" s="227"/>
    </row>
    <row r="2758">
      <c r="A2758" s="235" t="s">
        <v>21022</v>
      </c>
      <c r="C2758" s="235" t="s">
        <v>21023</v>
      </c>
      <c r="D2758" s="235" t="s">
        <v>21024</v>
      </c>
      <c r="E2758" s="243">
        <v>6.52E13</v>
      </c>
      <c r="F2758" s="245"/>
      <c r="G2758" s="235" t="s">
        <v>21025</v>
      </c>
      <c r="H2758" s="235" t="s">
        <v>21026</v>
      </c>
      <c r="I2758" s="235" t="s">
        <v>21026</v>
      </c>
      <c r="J2758" s="235" t="s">
        <v>21027</v>
      </c>
      <c r="K2758" s="235" t="s">
        <v>21028</v>
      </c>
      <c r="N2758" s="235" t="s">
        <v>53</v>
      </c>
      <c r="O2758" s="235" t="s">
        <v>512</v>
      </c>
      <c r="P2758" s="238">
        <v>1.0</v>
      </c>
      <c r="Q2758" s="235" t="s">
        <v>627</v>
      </c>
      <c r="R2758" s="238">
        <v>237.14</v>
      </c>
      <c r="S2758" s="238">
        <v>11.86</v>
      </c>
      <c r="T2758" s="238">
        <v>38.1</v>
      </c>
      <c r="U2758" s="238">
        <v>1.9</v>
      </c>
      <c r="V2758" s="238">
        <v>0.0</v>
      </c>
      <c r="W2758" s="238">
        <v>0.0</v>
      </c>
      <c r="X2758" s="235" t="s">
        <v>628</v>
      </c>
      <c r="Z2758" s="245"/>
      <c r="AA2758" s="245"/>
      <c r="AB2758" s="245"/>
      <c r="AC2758" s="235" t="s">
        <v>21029</v>
      </c>
      <c r="AD2758" s="235" t="s">
        <v>833</v>
      </c>
      <c r="AE2758" s="238">
        <v>521185.0</v>
      </c>
      <c r="AF2758" s="235" t="s">
        <v>631</v>
      </c>
      <c r="AG2758" s="245"/>
      <c r="AH2758" s="245"/>
      <c r="AI2758" s="245"/>
      <c r="AJ2758" s="245"/>
      <c r="AK2758" s="245"/>
      <c r="AL2758" s="245"/>
      <c r="AM2758" s="245"/>
      <c r="AN2758" s="245"/>
      <c r="AO2758" s="238">
        <v>0.0</v>
      </c>
      <c r="AP2758" s="238">
        <v>-38.1</v>
      </c>
      <c r="AQ2758" s="235" t="s">
        <v>632</v>
      </c>
      <c r="AR2758" s="243">
        <v>3.71E11</v>
      </c>
      <c r="AS2758" s="235" t="s">
        <v>16626</v>
      </c>
      <c r="AT2758" s="235" t="s">
        <v>9</v>
      </c>
      <c r="AU2758" s="235" t="s">
        <v>634</v>
      </c>
      <c r="AV2758" s="246" t="s">
        <v>635</v>
      </c>
      <c r="AW2758" s="227"/>
      <c r="AX2758" s="227"/>
      <c r="AY2758" s="227"/>
      <c r="AZ2758" s="227"/>
      <c r="BA2758" s="227"/>
      <c r="BB2758" s="227"/>
      <c r="BC2758" s="227"/>
      <c r="BD2758" s="227"/>
      <c r="BE2758" s="227"/>
      <c r="BF2758" s="227"/>
    </row>
    <row r="2759">
      <c r="A2759" s="235" t="s">
        <v>21030</v>
      </c>
      <c r="C2759" s="235" t="s">
        <v>21031</v>
      </c>
      <c r="D2759" s="235" t="s">
        <v>21032</v>
      </c>
      <c r="E2759" s="243">
        <v>6.52E13</v>
      </c>
      <c r="F2759" s="245"/>
      <c r="G2759" s="235" t="s">
        <v>21033</v>
      </c>
      <c r="H2759" s="235" t="s">
        <v>21034</v>
      </c>
      <c r="I2759" s="235" t="s">
        <v>21034</v>
      </c>
      <c r="J2759" s="235" t="s">
        <v>21035</v>
      </c>
      <c r="K2759" s="235" t="s">
        <v>21036</v>
      </c>
      <c r="N2759" s="235" t="s">
        <v>47</v>
      </c>
      <c r="O2759" s="235" t="s">
        <v>270</v>
      </c>
      <c r="P2759" s="238">
        <v>1.0</v>
      </c>
      <c r="Q2759" s="235" t="s">
        <v>627</v>
      </c>
      <c r="R2759" s="238">
        <v>236.19</v>
      </c>
      <c r="S2759" s="238">
        <v>11.81</v>
      </c>
      <c r="T2759" s="238">
        <v>38.1</v>
      </c>
      <c r="U2759" s="238">
        <v>1.9</v>
      </c>
      <c r="V2759" s="238">
        <v>0.0</v>
      </c>
      <c r="W2759" s="238">
        <v>0.0</v>
      </c>
      <c r="X2759" s="235" t="s">
        <v>628</v>
      </c>
      <c r="Z2759" s="245"/>
      <c r="AA2759" s="245"/>
      <c r="AB2759" s="245"/>
      <c r="AC2759" s="235" t="s">
        <v>21037</v>
      </c>
      <c r="AD2759" s="235" t="s">
        <v>833</v>
      </c>
      <c r="AE2759" s="238">
        <v>518543.0</v>
      </c>
      <c r="AF2759" s="235" t="s">
        <v>631</v>
      </c>
      <c r="AG2759" s="245"/>
      <c r="AH2759" s="245"/>
      <c r="AI2759" s="245"/>
      <c r="AJ2759" s="245"/>
      <c r="AK2759" s="245"/>
      <c r="AL2759" s="245"/>
      <c r="AM2759" s="245"/>
      <c r="AN2759" s="245"/>
      <c r="AO2759" s="238">
        <v>0.0</v>
      </c>
      <c r="AP2759" s="238">
        <v>-38.1</v>
      </c>
      <c r="AQ2759" s="235" t="s">
        <v>632</v>
      </c>
      <c r="AR2759" s="243">
        <v>3.71E11</v>
      </c>
      <c r="AS2759" s="235" t="s">
        <v>15064</v>
      </c>
      <c r="AT2759" s="235" t="s">
        <v>17</v>
      </c>
      <c r="AU2759" s="235" t="s">
        <v>634</v>
      </c>
      <c r="AV2759" s="246" t="s">
        <v>635</v>
      </c>
      <c r="AW2759" s="227"/>
      <c r="AX2759" s="227"/>
      <c r="AY2759" s="227"/>
      <c r="AZ2759" s="227"/>
      <c r="BA2759" s="227"/>
      <c r="BB2759" s="227"/>
      <c r="BC2759" s="227"/>
      <c r="BD2759" s="227"/>
      <c r="BE2759" s="227"/>
      <c r="BF2759" s="227"/>
    </row>
    <row r="2760">
      <c r="A2760" s="235" t="s">
        <v>21038</v>
      </c>
      <c r="C2760" s="235" t="s">
        <v>21039</v>
      </c>
      <c r="D2760" s="235" t="s">
        <v>21040</v>
      </c>
      <c r="E2760" s="243">
        <v>6.52E13</v>
      </c>
      <c r="F2760" s="245"/>
      <c r="G2760" s="235" t="s">
        <v>21041</v>
      </c>
      <c r="H2760" s="235" t="s">
        <v>21042</v>
      </c>
      <c r="I2760" s="235" t="s">
        <v>21042</v>
      </c>
      <c r="J2760" s="235" t="s">
        <v>21043</v>
      </c>
      <c r="K2760" s="235" t="s">
        <v>21044</v>
      </c>
      <c r="N2760" s="235" t="s">
        <v>128</v>
      </c>
      <c r="O2760" s="235" t="s">
        <v>2710</v>
      </c>
      <c r="P2760" s="238">
        <v>1.0</v>
      </c>
      <c r="Q2760" s="235" t="s">
        <v>627</v>
      </c>
      <c r="R2760" s="238">
        <v>246.67</v>
      </c>
      <c r="S2760" s="238">
        <v>12.33</v>
      </c>
      <c r="T2760" s="238">
        <v>0.0</v>
      </c>
      <c r="U2760" s="238">
        <v>0.0</v>
      </c>
      <c r="V2760" s="238">
        <v>0.0</v>
      </c>
      <c r="W2760" s="238">
        <v>0.0</v>
      </c>
      <c r="X2760" s="235" t="s">
        <v>628</v>
      </c>
      <c r="Z2760" s="245"/>
      <c r="AA2760" s="245"/>
      <c r="AB2760" s="245"/>
      <c r="AC2760" s="235" t="s">
        <v>21045</v>
      </c>
      <c r="AD2760" s="235" t="s">
        <v>709</v>
      </c>
      <c r="AE2760" s="238">
        <v>852112.0</v>
      </c>
      <c r="AF2760" s="235" t="s">
        <v>631</v>
      </c>
      <c r="AG2760" s="245"/>
      <c r="AH2760" s="245"/>
      <c r="AI2760" s="245"/>
      <c r="AJ2760" s="245"/>
      <c r="AK2760" s="245"/>
      <c r="AL2760" s="245"/>
      <c r="AM2760" s="245"/>
      <c r="AN2760" s="245"/>
      <c r="AO2760" s="238">
        <v>0.0</v>
      </c>
      <c r="AP2760" s="238">
        <v>0.0</v>
      </c>
      <c r="AQ2760" s="235" t="s">
        <v>1328</v>
      </c>
      <c r="AR2760" s="243">
        <v>1.34E13</v>
      </c>
      <c r="AS2760" s="235" t="s">
        <v>13822</v>
      </c>
      <c r="AT2760" s="235" t="s">
        <v>13</v>
      </c>
      <c r="AU2760" s="235" t="s">
        <v>634</v>
      </c>
      <c r="AV2760" s="246" t="s">
        <v>635</v>
      </c>
      <c r="AW2760" s="227"/>
      <c r="AX2760" s="227"/>
      <c r="AY2760" s="227"/>
      <c r="AZ2760" s="227"/>
      <c r="BA2760" s="227"/>
      <c r="BB2760" s="227"/>
      <c r="BC2760" s="227"/>
      <c r="BD2760" s="227"/>
      <c r="BE2760" s="227"/>
      <c r="BF2760" s="227"/>
    </row>
    <row r="2761">
      <c r="A2761" s="235" t="s">
        <v>21046</v>
      </c>
      <c r="C2761" s="235" t="s">
        <v>21047</v>
      </c>
      <c r="D2761" s="235" t="s">
        <v>21048</v>
      </c>
      <c r="E2761" s="243">
        <v>6.53E13</v>
      </c>
      <c r="F2761" s="245"/>
      <c r="G2761" s="235" t="s">
        <v>21049</v>
      </c>
      <c r="H2761" s="235" t="s">
        <v>21050</v>
      </c>
      <c r="I2761" s="235" t="s">
        <v>21050</v>
      </c>
      <c r="J2761" s="235" t="s">
        <v>21051</v>
      </c>
      <c r="K2761" s="235" t="s">
        <v>21052</v>
      </c>
      <c r="N2761" s="235" t="s">
        <v>136</v>
      </c>
      <c r="O2761" s="235" t="s">
        <v>256</v>
      </c>
      <c r="P2761" s="238">
        <v>1.0</v>
      </c>
      <c r="Q2761" s="235" t="s">
        <v>627</v>
      </c>
      <c r="R2761" s="238">
        <v>244.76</v>
      </c>
      <c r="S2761" s="238">
        <v>12.24</v>
      </c>
      <c r="T2761" s="238">
        <v>38.1</v>
      </c>
      <c r="U2761" s="238">
        <v>1.9</v>
      </c>
      <c r="V2761" s="238">
        <v>0.0</v>
      </c>
      <c r="W2761" s="238">
        <v>0.0</v>
      </c>
      <c r="X2761" s="235" t="s">
        <v>628</v>
      </c>
      <c r="Z2761" s="245"/>
      <c r="AA2761" s="245"/>
      <c r="AB2761" s="245"/>
      <c r="AC2761" s="235" t="s">
        <v>21053</v>
      </c>
      <c r="AD2761" s="235" t="s">
        <v>1077</v>
      </c>
      <c r="AE2761" s="238">
        <v>370655.0</v>
      </c>
      <c r="AF2761" s="235" t="s">
        <v>631</v>
      </c>
      <c r="AG2761" s="245"/>
      <c r="AH2761" s="245"/>
      <c r="AI2761" s="245"/>
      <c r="AJ2761" s="245"/>
      <c r="AK2761" s="245"/>
      <c r="AL2761" s="245"/>
      <c r="AM2761" s="245"/>
      <c r="AN2761" s="245"/>
      <c r="AO2761" s="238">
        <v>0.0</v>
      </c>
      <c r="AP2761" s="238">
        <v>-38.1</v>
      </c>
      <c r="AQ2761" s="235" t="s">
        <v>1328</v>
      </c>
      <c r="AR2761" s="243">
        <v>1.34E13</v>
      </c>
      <c r="AS2761" s="235" t="s">
        <v>12693</v>
      </c>
      <c r="AT2761" s="235" t="s">
        <v>13</v>
      </c>
      <c r="AU2761" s="235" t="s">
        <v>634</v>
      </c>
      <c r="AV2761" s="246" t="s">
        <v>635</v>
      </c>
      <c r="AW2761" s="227"/>
      <c r="AX2761" s="227"/>
      <c r="AY2761" s="227"/>
      <c r="AZ2761" s="227"/>
      <c r="BA2761" s="227"/>
      <c r="BB2761" s="227"/>
      <c r="BC2761" s="227"/>
      <c r="BD2761" s="227"/>
      <c r="BE2761" s="227"/>
      <c r="BF2761" s="227"/>
    </row>
    <row r="2762">
      <c r="A2762" s="235" t="s">
        <v>21054</v>
      </c>
      <c r="C2762" s="235" t="s">
        <v>21055</v>
      </c>
      <c r="D2762" s="235" t="s">
        <v>21056</v>
      </c>
      <c r="E2762" s="243">
        <v>6.5E13</v>
      </c>
      <c r="F2762" s="245"/>
      <c r="G2762" s="235" t="s">
        <v>21057</v>
      </c>
      <c r="H2762" s="235" t="s">
        <v>21058</v>
      </c>
      <c r="I2762" s="235" t="s">
        <v>21058</v>
      </c>
      <c r="J2762" s="235" t="s">
        <v>21059</v>
      </c>
      <c r="K2762" s="235" t="s">
        <v>21060</v>
      </c>
      <c r="N2762" s="235" t="s">
        <v>42</v>
      </c>
      <c r="O2762" s="235" t="s">
        <v>204</v>
      </c>
      <c r="P2762" s="238">
        <v>1.0</v>
      </c>
      <c r="Q2762" s="235" t="s">
        <v>627</v>
      </c>
      <c r="R2762" s="238">
        <v>237.14</v>
      </c>
      <c r="S2762" s="238">
        <v>11.86</v>
      </c>
      <c r="T2762" s="238">
        <v>38.1</v>
      </c>
      <c r="U2762" s="238">
        <v>1.9</v>
      </c>
      <c r="V2762" s="238">
        <v>0.0</v>
      </c>
      <c r="W2762" s="238">
        <v>0.0</v>
      </c>
      <c r="X2762" s="235" t="s">
        <v>628</v>
      </c>
      <c r="Z2762" s="245"/>
      <c r="AA2762" s="245"/>
      <c r="AB2762" s="245"/>
      <c r="AC2762" s="235" t="s">
        <v>697</v>
      </c>
      <c r="AD2762" s="235" t="s">
        <v>698</v>
      </c>
      <c r="AE2762" s="238">
        <v>500088.0</v>
      </c>
      <c r="AF2762" s="235" t="s">
        <v>631</v>
      </c>
      <c r="AG2762" s="245"/>
      <c r="AH2762" s="245"/>
      <c r="AI2762" s="245"/>
      <c r="AJ2762" s="245"/>
      <c r="AK2762" s="245"/>
      <c r="AL2762" s="245"/>
      <c r="AM2762" s="245"/>
      <c r="AN2762" s="245"/>
      <c r="AO2762" s="238">
        <v>0.0</v>
      </c>
      <c r="AP2762" s="238">
        <v>-38.1</v>
      </c>
      <c r="AQ2762" s="235" t="s">
        <v>632</v>
      </c>
      <c r="AR2762" s="243">
        <v>3.71E11</v>
      </c>
      <c r="AS2762" s="235" t="s">
        <v>17988</v>
      </c>
      <c r="AT2762" s="235" t="s">
        <v>9</v>
      </c>
      <c r="AU2762" s="235" t="s">
        <v>634</v>
      </c>
      <c r="AV2762" s="246" t="s">
        <v>635</v>
      </c>
      <c r="AW2762" s="227"/>
      <c r="AX2762" s="227"/>
      <c r="AY2762" s="227"/>
      <c r="AZ2762" s="227"/>
      <c r="BA2762" s="227"/>
      <c r="BB2762" s="227"/>
      <c r="BC2762" s="227"/>
      <c r="BD2762" s="227"/>
      <c r="BE2762" s="227"/>
      <c r="BF2762" s="227"/>
    </row>
    <row r="2763">
      <c r="A2763" s="235" t="s">
        <v>21061</v>
      </c>
      <c r="C2763" s="235" t="s">
        <v>21062</v>
      </c>
      <c r="D2763" s="235" t="s">
        <v>21063</v>
      </c>
      <c r="E2763" s="243">
        <v>6.52E13</v>
      </c>
      <c r="F2763" s="245"/>
      <c r="G2763" s="235" t="s">
        <v>21064</v>
      </c>
      <c r="H2763" s="235" t="s">
        <v>21065</v>
      </c>
      <c r="I2763" s="235" t="s">
        <v>21065</v>
      </c>
      <c r="J2763" s="235" t="s">
        <v>21066</v>
      </c>
      <c r="K2763" s="235" t="s">
        <v>21067</v>
      </c>
      <c r="N2763" s="235" t="s">
        <v>90</v>
      </c>
      <c r="O2763" s="235" t="s">
        <v>279</v>
      </c>
      <c r="P2763" s="238">
        <v>1.0</v>
      </c>
      <c r="Q2763" s="235" t="s">
        <v>627</v>
      </c>
      <c r="R2763" s="238">
        <v>233.34</v>
      </c>
      <c r="S2763" s="238">
        <v>11.66</v>
      </c>
      <c r="T2763" s="238">
        <v>0.0</v>
      </c>
      <c r="U2763" s="238">
        <v>0.0</v>
      </c>
      <c r="V2763" s="238">
        <v>0.0</v>
      </c>
      <c r="W2763" s="238">
        <v>0.0</v>
      </c>
      <c r="X2763" s="235" t="s">
        <v>628</v>
      </c>
      <c r="Z2763" s="245"/>
      <c r="AA2763" s="245"/>
      <c r="AB2763" s="245"/>
      <c r="AC2763" s="235" t="s">
        <v>21068</v>
      </c>
      <c r="AD2763" s="235" t="s">
        <v>928</v>
      </c>
      <c r="AE2763" s="238">
        <v>136027.0</v>
      </c>
      <c r="AF2763" s="235" t="s">
        <v>631</v>
      </c>
      <c r="AG2763" s="245"/>
      <c r="AH2763" s="245"/>
      <c r="AI2763" s="245"/>
      <c r="AJ2763" s="245"/>
      <c r="AK2763" s="245"/>
      <c r="AL2763" s="245"/>
      <c r="AM2763" s="245"/>
      <c r="AN2763" s="245"/>
      <c r="AO2763" s="238">
        <v>0.0</v>
      </c>
      <c r="AP2763" s="238">
        <v>0.0</v>
      </c>
      <c r="AQ2763" s="235" t="s">
        <v>632</v>
      </c>
      <c r="AR2763" s="243">
        <v>3.71E11</v>
      </c>
      <c r="AS2763" s="235" t="s">
        <v>16626</v>
      </c>
      <c r="AT2763" s="235" t="s">
        <v>13</v>
      </c>
      <c r="AU2763" s="235" t="s">
        <v>634</v>
      </c>
      <c r="AV2763" s="246" t="s">
        <v>635</v>
      </c>
      <c r="AW2763" s="227"/>
      <c r="AX2763" s="227"/>
      <c r="AY2763" s="227"/>
      <c r="AZ2763" s="227"/>
      <c r="BA2763" s="227"/>
      <c r="BB2763" s="227"/>
      <c r="BC2763" s="227"/>
      <c r="BD2763" s="227"/>
      <c r="BE2763" s="227"/>
      <c r="BF2763" s="227"/>
    </row>
    <row r="2764">
      <c r="A2764" s="235" t="s">
        <v>21069</v>
      </c>
      <c r="C2764" s="235" t="s">
        <v>21070</v>
      </c>
      <c r="D2764" s="235" t="s">
        <v>21071</v>
      </c>
      <c r="E2764" s="243">
        <v>6.53E13</v>
      </c>
      <c r="F2764" s="245"/>
      <c r="G2764" s="235" t="s">
        <v>21072</v>
      </c>
      <c r="H2764" s="235" t="s">
        <v>21073</v>
      </c>
      <c r="I2764" s="235" t="s">
        <v>21074</v>
      </c>
      <c r="J2764" s="235" t="s">
        <v>21075</v>
      </c>
      <c r="K2764" s="235" t="s">
        <v>21076</v>
      </c>
      <c r="N2764" s="235" t="s">
        <v>154</v>
      </c>
      <c r="O2764" s="235" t="s">
        <v>766</v>
      </c>
      <c r="P2764" s="238">
        <v>1.0</v>
      </c>
      <c r="Q2764" s="235" t="s">
        <v>627</v>
      </c>
      <c r="R2764" s="238">
        <v>500.95</v>
      </c>
      <c r="S2764" s="238">
        <v>24.55</v>
      </c>
      <c r="T2764" s="238">
        <v>0.0</v>
      </c>
      <c r="U2764" s="238">
        <v>0.0</v>
      </c>
      <c r="V2764" s="238">
        <v>0.0</v>
      </c>
      <c r="W2764" s="238">
        <v>0.0</v>
      </c>
      <c r="X2764" s="235" t="s">
        <v>628</v>
      </c>
      <c r="Z2764" s="245"/>
      <c r="AA2764" s="245"/>
      <c r="AB2764" s="245"/>
      <c r="AC2764" s="235" t="s">
        <v>3313</v>
      </c>
      <c r="AD2764" s="235" t="s">
        <v>645</v>
      </c>
      <c r="AE2764" s="238">
        <v>673004.0</v>
      </c>
      <c r="AF2764" s="235" t="s">
        <v>631</v>
      </c>
      <c r="AG2764" s="245"/>
      <c r="AH2764" s="245"/>
      <c r="AI2764" s="245"/>
      <c r="AJ2764" s="245"/>
      <c r="AK2764" s="245"/>
      <c r="AL2764" s="245"/>
      <c r="AM2764" s="245"/>
      <c r="AN2764" s="245"/>
      <c r="AO2764" s="238">
        <v>-10.02</v>
      </c>
      <c r="AP2764" s="238">
        <v>0.0</v>
      </c>
      <c r="AQ2764" s="235" t="s">
        <v>632</v>
      </c>
      <c r="AR2764" s="243">
        <v>3.71E11</v>
      </c>
      <c r="AS2764" s="235" t="s">
        <v>19388</v>
      </c>
      <c r="AT2764" s="235" t="s">
        <v>155</v>
      </c>
      <c r="AU2764" s="235" t="s">
        <v>634</v>
      </c>
      <c r="AV2764" s="246" t="s">
        <v>635</v>
      </c>
      <c r="AW2764" s="227"/>
      <c r="AX2764" s="227"/>
      <c r="AY2764" s="227"/>
      <c r="AZ2764" s="227"/>
      <c r="BA2764" s="227"/>
      <c r="BB2764" s="227"/>
      <c r="BC2764" s="227"/>
      <c r="BD2764" s="227"/>
      <c r="BE2764" s="227"/>
      <c r="BF2764" s="227"/>
    </row>
    <row r="2765">
      <c r="A2765" s="235" t="s">
        <v>21077</v>
      </c>
      <c r="C2765" s="235" t="s">
        <v>21078</v>
      </c>
      <c r="D2765" s="235" t="s">
        <v>21079</v>
      </c>
      <c r="E2765" s="243">
        <v>6.52E13</v>
      </c>
      <c r="F2765" s="245"/>
      <c r="G2765" s="235" t="s">
        <v>21080</v>
      </c>
      <c r="H2765" s="235" t="s">
        <v>21081</v>
      </c>
      <c r="I2765" s="235" t="s">
        <v>21081</v>
      </c>
      <c r="J2765" s="235" t="s">
        <v>21082</v>
      </c>
      <c r="K2765" s="235" t="s">
        <v>21083</v>
      </c>
      <c r="N2765" s="235" t="s">
        <v>82</v>
      </c>
      <c r="O2765" s="235" t="s">
        <v>889</v>
      </c>
      <c r="P2765" s="238">
        <v>1.0</v>
      </c>
      <c r="Q2765" s="235" t="s">
        <v>627</v>
      </c>
      <c r="R2765" s="238">
        <v>233.33</v>
      </c>
      <c r="S2765" s="238">
        <v>11.44</v>
      </c>
      <c r="T2765" s="238">
        <v>0.0</v>
      </c>
      <c r="U2765" s="238">
        <v>0.0</v>
      </c>
      <c r="V2765" s="238">
        <v>0.0</v>
      </c>
      <c r="W2765" s="238">
        <v>0.0</v>
      </c>
      <c r="X2765" s="235" t="s">
        <v>628</v>
      </c>
      <c r="Z2765" s="245"/>
      <c r="AA2765" s="245"/>
      <c r="AB2765" s="245"/>
      <c r="AC2765" s="235" t="s">
        <v>17409</v>
      </c>
      <c r="AD2765" s="235" t="s">
        <v>1077</v>
      </c>
      <c r="AE2765" s="238">
        <v>392001.0</v>
      </c>
      <c r="AF2765" s="235" t="s">
        <v>631</v>
      </c>
      <c r="AG2765" s="245"/>
      <c r="AH2765" s="245"/>
      <c r="AI2765" s="245"/>
      <c r="AJ2765" s="245"/>
      <c r="AK2765" s="245"/>
      <c r="AL2765" s="245"/>
      <c r="AM2765" s="245"/>
      <c r="AN2765" s="245"/>
      <c r="AO2765" s="238">
        <v>-4.67</v>
      </c>
      <c r="AP2765" s="238">
        <v>0.0</v>
      </c>
      <c r="AQ2765" s="235" t="s">
        <v>632</v>
      </c>
      <c r="AR2765" s="243">
        <v>3.71E11</v>
      </c>
      <c r="AS2765" s="235" t="s">
        <v>16626</v>
      </c>
      <c r="AT2765" s="235" t="s">
        <v>16</v>
      </c>
      <c r="AU2765" s="235" t="s">
        <v>634</v>
      </c>
      <c r="AV2765" s="246" t="s">
        <v>635</v>
      </c>
      <c r="AW2765" s="227"/>
      <c r="AX2765" s="227"/>
      <c r="AY2765" s="227"/>
      <c r="AZ2765" s="227"/>
      <c r="BA2765" s="227"/>
      <c r="BB2765" s="227"/>
      <c r="BC2765" s="227"/>
      <c r="BD2765" s="227"/>
      <c r="BE2765" s="227"/>
      <c r="BF2765" s="227"/>
    </row>
    <row r="2766">
      <c r="A2766" s="235" t="s">
        <v>21084</v>
      </c>
      <c r="C2766" s="235" t="s">
        <v>21085</v>
      </c>
      <c r="D2766" s="235" t="s">
        <v>21086</v>
      </c>
      <c r="E2766" s="243">
        <v>6.52E13</v>
      </c>
      <c r="F2766" s="245"/>
      <c r="G2766" s="235" t="s">
        <v>21087</v>
      </c>
      <c r="H2766" s="235" t="s">
        <v>21088</v>
      </c>
      <c r="I2766" s="235" t="s">
        <v>21088</v>
      </c>
      <c r="J2766" s="235" t="s">
        <v>21089</v>
      </c>
      <c r="K2766" s="235" t="s">
        <v>21090</v>
      </c>
      <c r="N2766" s="235" t="s">
        <v>3858</v>
      </c>
      <c r="O2766" s="235" t="s">
        <v>3859</v>
      </c>
      <c r="P2766" s="238">
        <v>1.0</v>
      </c>
      <c r="Q2766" s="235" t="s">
        <v>627</v>
      </c>
      <c r="R2766" s="238">
        <v>237.14</v>
      </c>
      <c r="S2766" s="238">
        <v>11.86</v>
      </c>
      <c r="T2766" s="238">
        <v>0.0</v>
      </c>
      <c r="U2766" s="238">
        <v>0.0</v>
      </c>
      <c r="V2766" s="238">
        <v>0.0</v>
      </c>
      <c r="W2766" s="238">
        <v>0.0</v>
      </c>
      <c r="X2766" s="235" t="s">
        <v>628</v>
      </c>
      <c r="Z2766" s="245"/>
      <c r="AA2766" s="245"/>
      <c r="AB2766" s="245"/>
      <c r="AC2766" s="235" t="s">
        <v>687</v>
      </c>
      <c r="AD2766" s="235" t="s">
        <v>666</v>
      </c>
      <c r="AE2766" s="238">
        <v>600073.0</v>
      </c>
      <c r="AF2766" s="235" t="s">
        <v>631</v>
      </c>
      <c r="AG2766" s="245"/>
      <c r="AH2766" s="245"/>
      <c r="AI2766" s="245"/>
      <c r="AJ2766" s="245"/>
      <c r="AK2766" s="245"/>
      <c r="AL2766" s="245"/>
      <c r="AM2766" s="245"/>
      <c r="AN2766" s="245"/>
      <c r="AO2766" s="238">
        <v>0.0</v>
      </c>
      <c r="AP2766" s="238">
        <v>0.0</v>
      </c>
      <c r="AQ2766" s="235" t="s">
        <v>632</v>
      </c>
      <c r="AR2766" s="243">
        <v>3.71E11</v>
      </c>
      <c r="AS2766" s="235" t="s">
        <v>15064</v>
      </c>
      <c r="AT2766" s="235" t="s">
        <v>533</v>
      </c>
      <c r="AU2766" s="235" t="s">
        <v>634</v>
      </c>
      <c r="AV2766" s="246" t="s">
        <v>635</v>
      </c>
      <c r="AW2766" s="227"/>
      <c r="AX2766" s="227"/>
      <c r="AY2766" s="227"/>
      <c r="AZ2766" s="227"/>
      <c r="BA2766" s="227"/>
      <c r="BB2766" s="227"/>
      <c r="BC2766" s="227"/>
      <c r="BD2766" s="227"/>
      <c r="BE2766" s="227"/>
      <c r="BF2766" s="227"/>
    </row>
    <row r="2767">
      <c r="A2767" s="235" t="s">
        <v>21091</v>
      </c>
      <c r="C2767" s="235" t="s">
        <v>21092</v>
      </c>
      <c r="D2767" s="235" t="s">
        <v>21093</v>
      </c>
      <c r="E2767" s="243">
        <v>6.53E13</v>
      </c>
      <c r="F2767" s="245"/>
      <c r="G2767" s="235" t="s">
        <v>21094</v>
      </c>
      <c r="H2767" s="235" t="s">
        <v>21095</v>
      </c>
      <c r="I2767" s="235" t="s">
        <v>21095</v>
      </c>
      <c r="J2767" s="235" t="s">
        <v>21096</v>
      </c>
      <c r="K2767" s="235" t="s">
        <v>21097</v>
      </c>
      <c r="N2767" s="235" t="s">
        <v>2964</v>
      </c>
      <c r="O2767" s="235" t="s">
        <v>2965</v>
      </c>
      <c r="P2767" s="238">
        <v>1.0</v>
      </c>
      <c r="Q2767" s="235" t="s">
        <v>627</v>
      </c>
      <c r="R2767" s="238">
        <v>246.67</v>
      </c>
      <c r="S2767" s="238">
        <v>12.33</v>
      </c>
      <c r="T2767" s="238">
        <v>38.1</v>
      </c>
      <c r="U2767" s="238">
        <v>1.9</v>
      </c>
      <c r="V2767" s="238">
        <v>0.0</v>
      </c>
      <c r="W2767" s="238">
        <v>0.0</v>
      </c>
      <c r="X2767" s="235" t="s">
        <v>628</v>
      </c>
      <c r="Z2767" s="245"/>
      <c r="AA2767" s="245"/>
      <c r="AB2767" s="245"/>
      <c r="AC2767" s="235" t="s">
        <v>678</v>
      </c>
      <c r="AD2767" s="235" t="s">
        <v>679</v>
      </c>
      <c r="AE2767" s="238">
        <v>560066.0</v>
      </c>
      <c r="AF2767" s="235" t="s">
        <v>631</v>
      </c>
      <c r="AG2767" s="245"/>
      <c r="AH2767" s="245"/>
      <c r="AI2767" s="245"/>
      <c r="AJ2767" s="245"/>
      <c r="AK2767" s="245"/>
      <c r="AL2767" s="245"/>
      <c r="AM2767" s="245"/>
      <c r="AN2767" s="245"/>
      <c r="AO2767" s="238">
        <v>0.0</v>
      </c>
      <c r="AP2767" s="238">
        <v>-38.1</v>
      </c>
      <c r="AQ2767" s="235" t="s">
        <v>632</v>
      </c>
      <c r="AR2767" s="243">
        <v>3.71E11</v>
      </c>
      <c r="AS2767" s="235" t="s">
        <v>16626</v>
      </c>
      <c r="AT2767" s="235" t="s">
        <v>16</v>
      </c>
      <c r="AU2767" s="235" t="s">
        <v>634</v>
      </c>
      <c r="AV2767" s="246" t="s">
        <v>635</v>
      </c>
      <c r="AW2767" s="227"/>
      <c r="AX2767" s="227"/>
      <c r="AY2767" s="227"/>
      <c r="AZ2767" s="227"/>
      <c r="BA2767" s="227"/>
      <c r="BB2767" s="227"/>
      <c r="BC2767" s="227"/>
      <c r="BD2767" s="227"/>
      <c r="BE2767" s="227"/>
      <c r="BF2767" s="227"/>
    </row>
    <row r="2768">
      <c r="A2768" s="235" t="s">
        <v>21098</v>
      </c>
      <c r="C2768" s="235" t="s">
        <v>21099</v>
      </c>
      <c r="D2768" s="235" t="s">
        <v>21100</v>
      </c>
      <c r="E2768" s="243">
        <v>6.53E13</v>
      </c>
      <c r="F2768" s="245"/>
      <c r="G2768" s="235" t="s">
        <v>21101</v>
      </c>
      <c r="H2768" s="235" t="s">
        <v>21102</v>
      </c>
      <c r="I2768" s="235" t="s">
        <v>21103</v>
      </c>
      <c r="J2768" s="235" t="s">
        <v>21104</v>
      </c>
      <c r="K2768" s="235" t="s">
        <v>21105</v>
      </c>
      <c r="N2768" s="235" t="s">
        <v>127</v>
      </c>
      <c r="O2768" s="235" t="s">
        <v>794</v>
      </c>
      <c r="P2768" s="238">
        <v>1.0</v>
      </c>
      <c r="Q2768" s="235" t="s">
        <v>627</v>
      </c>
      <c r="R2768" s="238">
        <v>270.48</v>
      </c>
      <c r="S2768" s="238">
        <v>13.25</v>
      </c>
      <c r="T2768" s="238">
        <v>0.0</v>
      </c>
      <c r="U2768" s="238">
        <v>0.0</v>
      </c>
      <c r="V2768" s="238">
        <v>0.0</v>
      </c>
      <c r="W2768" s="238">
        <v>0.0</v>
      </c>
      <c r="X2768" s="235" t="s">
        <v>628</v>
      </c>
      <c r="Z2768" s="245"/>
      <c r="AA2768" s="245"/>
      <c r="AB2768" s="245"/>
      <c r="AC2768" s="235" t="s">
        <v>6571</v>
      </c>
      <c r="AD2768" s="235" t="s">
        <v>731</v>
      </c>
      <c r="AE2768" s="238">
        <v>781019.0</v>
      </c>
      <c r="AF2768" s="235" t="s">
        <v>631</v>
      </c>
      <c r="AG2768" s="245"/>
      <c r="AH2768" s="245"/>
      <c r="AI2768" s="245"/>
      <c r="AJ2768" s="245"/>
      <c r="AK2768" s="245"/>
      <c r="AL2768" s="245"/>
      <c r="AM2768" s="245"/>
      <c r="AN2768" s="245"/>
      <c r="AO2768" s="238">
        <v>-5.41</v>
      </c>
      <c r="AP2768" s="238">
        <v>0.0</v>
      </c>
      <c r="AQ2768" s="235" t="s">
        <v>632</v>
      </c>
      <c r="AR2768" s="243">
        <v>3.71E11</v>
      </c>
      <c r="AS2768" s="235" t="s">
        <v>15064</v>
      </c>
      <c r="AT2768" s="235" t="s">
        <v>14</v>
      </c>
      <c r="AU2768" s="235" t="s">
        <v>634</v>
      </c>
      <c r="AV2768" s="246" t="s">
        <v>635</v>
      </c>
      <c r="AW2768" s="227"/>
      <c r="AX2768" s="227"/>
      <c r="AY2768" s="227"/>
      <c r="AZ2768" s="227"/>
      <c r="BA2768" s="227"/>
      <c r="BB2768" s="227"/>
      <c r="BC2768" s="227"/>
      <c r="BD2768" s="227"/>
      <c r="BE2768" s="227"/>
      <c r="BF2768" s="227"/>
    </row>
    <row r="2769">
      <c r="A2769" s="235" t="s">
        <v>21106</v>
      </c>
      <c r="C2769" s="235" t="s">
        <v>21107</v>
      </c>
      <c r="D2769" s="235" t="s">
        <v>21108</v>
      </c>
      <c r="E2769" s="243">
        <v>6.52E13</v>
      </c>
      <c r="F2769" s="245"/>
      <c r="G2769" s="235" t="s">
        <v>21109</v>
      </c>
      <c r="H2769" s="235" t="s">
        <v>21110</v>
      </c>
      <c r="I2769" s="235" t="s">
        <v>21110</v>
      </c>
      <c r="J2769" s="235" t="s">
        <v>21111</v>
      </c>
      <c r="K2769" s="235" t="s">
        <v>21112</v>
      </c>
      <c r="N2769" s="235" t="s">
        <v>92</v>
      </c>
      <c r="O2769" s="235" t="s">
        <v>248</v>
      </c>
      <c r="P2769" s="238">
        <v>1.0</v>
      </c>
      <c r="Q2769" s="235" t="s">
        <v>627</v>
      </c>
      <c r="R2769" s="238">
        <v>246.66</v>
      </c>
      <c r="S2769" s="238">
        <v>12.34</v>
      </c>
      <c r="T2769" s="238">
        <v>38.1</v>
      </c>
      <c r="U2769" s="238">
        <v>1.9</v>
      </c>
      <c r="V2769" s="238">
        <v>0.0</v>
      </c>
      <c r="W2769" s="238">
        <v>0.0</v>
      </c>
      <c r="X2769" s="235" t="s">
        <v>628</v>
      </c>
      <c r="Z2769" s="245"/>
      <c r="AA2769" s="245"/>
      <c r="AB2769" s="245"/>
      <c r="AC2769" s="235" t="s">
        <v>13980</v>
      </c>
      <c r="AD2769" s="235" t="s">
        <v>928</v>
      </c>
      <c r="AE2769" s="238">
        <v>125001.0</v>
      </c>
      <c r="AF2769" s="235" t="s">
        <v>631</v>
      </c>
      <c r="AG2769" s="245"/>
      <c r="AH2769" s="245"/>
      <c r="AI2769" s="245"/>
      <c r="AJ2769" s="245"/>
      <c r="AK2769" s="245"/>
      <c r="AL2769" s="245"/>
      <c r="AM2769" s="245"/>
      <c r="AN2769" s="245"/>
      <c r="AO2769" s="238">
        <v>0.0</v>
      </c>
      <c r="AP2769" s="238">
        <v>-38.1</v>
      </c>
      <c r="AQ2769" s="235" t="s">
        <v>632</v>
      </c>
      <c r="AR2769" s="243">
        <v>3.71E11</v>
      </c>
      <c r="AS2769" s="235" t="s">
        <v>19388</v>
      </c>
      <c r="AT2769" s="235" t="s">
        <v>533</v>
      </c>
      <c r="AU2769" s="235" t="s">
        <v>634</v>
      </c>
      <c r="AV2769" s="246" t="s">
        <v>635</v>
      </c>
      <c r="AW2769" s="227"/>
      <c r="AX2769" s="227"/>
      <c r="AY2769" s="227"/>
      <c r="AZ2769" s="227"/>
      <c r="BA2769" s="227"/>
      <c r="BB2769" s="227"/>
      <c r="BC2769" s="227"/>
      <c r="BD2769" s="227"/>
      <c r="BE2769" s="227"/>
      <c r="BF2769" s="227"/>
    </row>
    <row r="2770">
      <c r="A2770" s="235" t="s">
        <v>21113</v>
      </c>
      <c r="C2770" s="235" t="s">
        <v>21114</v>
      </c>
      <c r="D2770" s="235" t="s">
        <v>21115</v>
      </c>
      <c r="E2770" s="243">
        <v>6.53E13</v>
      </c>
      <c r="F2770" s="245"/>
      <c r="G2770" s="235" t="s">
        <v>21116</v>
      </c>
      <c r="H2770" s="235" t="s">
        <v>21117</v>
      </c>
      <c r="I2770" s="235" t="s">
        <v>21117</v>
      </c>
      <c r="J2770" s="235" t="s">
        <v>21118</v>
      </c>
      <c r="K2770" s="235" t="s">
        <v>21119</v>
      </c>
      <c r="N2770" s="235" t="s">
        <v>43</v>
      </c>
      <c r="O2770" s="235" t="s">
        <v>276</v>
      </c>
      <c r="P2770" s="238">
        <v>1.0</v>
      </c>
      <c r="Q2770" s="235" t="s">
        <v>627</v>
      </c>
      <c r="R2770" s="238">
        <v>270.48</v>
      </c>
      <c r="S2770" s="238">
        <v>13.25</v>
      </c>
      <c r="T2770" s="238">
        <v>0.0</v>
      </c>
      <c r="U2770" s="238">
        <v>0.0</v>
      </c>
      <c r="V2770" s="238">
        <v>0.0</v>
      </c>
      <c r="W2770" s="238">
        <v>0.0</v>
      </c>
      <c r="X2770" s="235" t="s">
        <v>628</v>
      </c>
      <c r="Z2770" s="245"/>
      <c r="AA2770" s="245"/>
      <c r="AB2770" s="245"/>
      <c r="AC2770" s="235" t="s">
        <v>678</v>
      </c>
      <c r="AD2770" s="235" t="s">
        <v>679</v>
      </c>
      <c r="AE2770" s="238">
        <v>562107.0</v>
      </c>
      <c r="AF2770" s="235" t="s">
        <v>631</v>
      </c>
      <c r="AG2770" s="245"/>
      <c r="AH2770" s="245"/>
      <c r="AI2770" s="245"/>
      <c r="AJ2770" s="245"/>
      <c r="AK2770" s="245"/>
      <c r="AL2770" s="245"/>
      <c r="AM2770" s="245"/>
      <c r="AN2770" s="245"/>
      <c r="AO2770" s="238">
        <v>-5.41</v>
      </c>
      <c r="AP2770" s="238">
        <v>0.0</v>
      </c>
      <c r="AQ2770" s="235" t="s">
        <v>632</v>
      </c>
      <c r="AR2770" s="243">
        <v>1.68E11</v>
      </c>
      <c r="AS2770" s="235" t="s">
        <v>21120</v>
      </c>
      <c r="AT2770" s="235" t="s">
        <v>9</v>
      </c>
      <c r="AU2770" s="235" t="s">
        <v>634</v>
      </c>
      <c r="AV2770" s="246" t="s">
        <v>635</v>
      </c>
      <c r="AW2770" s="227"/>
      <c r="AX2770" s="227"/>
      <c r="AY2770" s="227"/>
      <c r="AZ2770" s="227"/>
      <c r="BA2770" s="227"/>
      <c r="BB2770" s="227"/>
      <c r="BC2770" s="227"/>
      <c r="BD2770" s="227"/>
      <c r="BE2770" s="227"/>
      <c r="BF2770" s="227"/>
    </row>
    <row r="2771">
      <c r="A2771" s="235" t="s">
        <v>21121</v>
      </c>
      <c r="C2771" s="235" t="s">
        <v>21122</v>
      </c>
      <c r="D2771" s="235" t="s">
        <v>21123</v>
      </c>
      <c r="E2771" s="243">
        <v>6.53E13</v>
      </c>
      <c r="F2771" s="245"/>
      <c r="G2771" s="235" t="s">
        <v>21124</v>
      </c>
      <c r="H2771" s="235" t="s">
        <v>21125</v>
      </c>
      <c r="I2771" s="235" t="s">
        <v>21125</v>
      </c>
      <c r="J2771" s="235" t="s">
        <v>21126</v>
      </c>
      <c r="K2771" s="235" t="s">
        <v>21127</v>
      </c>
      <c r="N2771" s="235" t="s">
        <v>42</v>
      </c>
      <c r="O2771" s="235" t="s">
        <v>204</v>
      </c>
      <c r="P2771" s="238">
        <v>1.0</v>
      </c>
      <c r="Q2771" s="235" t="s">
        <v>627</v>
      </c>
      <c r="R2771" s="238">
        <v>270.48</v>
      </c>
      <c r="S2771" s="238">
        <v>13.52</v>
      </c>
      <c r="T2771" s="238">
        <v>38.1</v>
      </c>
      <c r="U2771" s="238">
        <v>1.9</v>
      </c>
      <c r="V2771" s="238">
        <v>0.0</v>
      </c>
      <c r="W2771" s="238">
        <v>0.0</v>
      </c>
      <c r="X2771" s="235" t="s">
        <v>628</v>
      </c>
      <c r="Z2771" s="245"/>
      <c r="AA2771" s="245"/>
      <c r="AB2771" s="245"/>
      <c r="AC2771" s="235" t="s">
        <v>12541</v>
      </c>
      <c r="AD2771" s="235" t="s">
        <v>666</v>
      </c>
      <c r="AE2771" s="238">
        <v>628002.0</v>
      </c>
      <c r="AF2771" s="235" t="s">
        <v>631</v>
      </c>
      <c r="AG2771" s="245"/>
      <c r="AH2771" s="245"/>
      <c r="AI2771" s="245"/>
      <c r="AJ2771" s="245"/>
      <c r="AK2771" s="245"/>
      <c r="AL2771" s="245"/>
      <c r="AM2771" s="245"/>
      <c r="AN2771" s="245"/>
      <c r="AO2771" s="238">
        <v>0.0</v>
      </c>
      <c r="AP2771" s="238">
        <v>-38.1</v>
      </c>
      <c r="AQ2771" s="235" t="s">
        <v>632</v>
      </c>
      <c r="AR2771" s="243">
        <v>3.71E11</v>
      </c>
      <c r="AS2771" s="235" t="s">
        <v>19388</v>
      </c>
      <c r="AT2771" s="235" t="s">
        <v>155</v>
      </c>
      <c r="AU2771" s="235" t="s">
        <v>634</v>
      </c>
      <c r="AV2771" s="246" t="s">
        <v>635</v>
      </c>
      <c r="AW2771" s="227"/>
      <c r="AX2771" s="227"/>
      <c r="AY2771" s="227"/>
      <c r="AZ2771" s="227"/>
      <c r="BA2771" s="227"/>
      <c r="BB2771" s="227"/>
      <c r="BC2771" s="227"/>
      <c r="BD2771" s="227"/>
      <c r="BE2771" s="227"/>
      <c r="BF2771" s="227"/>
    </row>
    <row r="2772">
      <c r="A2772" s="235" t="s">
        <v>21128</v>
      </c>
      <c r="C2772" s="235" t="s">
        <v>21129</v>
      </c>
      <c r="D2772" s="235" t="s">
        <v>21130</v>
      </c>
      <c r="E2772" s="243">
        <v>6.52E13</v>
      </c>
      <c r="F2772" s="245"/>
      <c r="G2772" s="235" t="s">
        <v>21131</v>
      </c>
      <c r="H2772" s="235" t="s">
        <v>21132</v>
      </c>
      <c r="I2772" s="235" t="s">
        <v>21132</v>
      </c>
      <c r="J2772" s="235" t="s">
        <v>21133</v>
      </c>
      <c r="K2772" s="235" t="s">
        <v>21134</v>
      </c>
      <c r="N2772" s="235" t="s">
        <v>92</v>
      </c>
      <c r="O2772" s="235" t="s">
        <v>248</v>
      </c>
      <c r="P2772" s="238">
        <v>1.0</v>
      </c>
      <c r="Q2772" s="235" t="s">
        <v>627</v>
      </c>
      <c r="R2772" s="238">
        <v>246.66</v>
      </c>
      <c r="S2772" s="238">
        <v>12.34</v>
      </c>
      <c r="T2772" s="238">
        <v>38.1</v>
      </c>
      <c r="U2772" s="238">
        <v>1.9</v>
      </c>
      <c r="V2772" s="238">
        <v>0.0</v>
      </c>
      <c r="W2772" s="238">
        <v>0.0</v>
      </c>
      <c r="X2772" s="235" t="s">
        <v>628</v>
      </c>
      <c r="Z2772" s="245"/>
      <c r="AA2772" s="245"/>
      <c r="AB2772" s="245"/>
      <c r="AC2772" s="235" t="s">
        <v>21135</v>
      </c>
      <c r="AD2772" s="235" t="s">
        <v>666</v>
      </c>
      <c r="AE2772" s="238">
        <v>614206.0</v>
      </c>
      <c r="AF2772" s="235" t="s">
        <v>631</v>
      </c>
      <c r="AG2772" s="245"/>
      <c r="AH2772" s="245"/>
      <c r="AI2772" s="245"/>
      <c r="AJ2772" s="245"/>
      <c r="AK2772" s="245"/>
      <c r="AL2772" s="245"/>
      <c r="AM2772" s="245"/>
      <c r="AN2772" s="245"/>
      <c r="AO2772" s="238">
        <v>0.0</v>
      </c>
      <c r="AP2772" s="238">
        <v>-38.1</v>
      </c>
      <c r="AQ2772" s="235" t="s">
        <v>632</v>
      </c>
      <c r="AR2772" s="243">
        <v>3.71E11</v>
      </c>
      <c r="AS2772" s="235" t="s">
        <v>19388</v>
      </c>
      <c r="AT2772" s="235" t="s">
        <v>155</v>
      </c>
      <c r="AU2772" s="235" t="s">
        <v>634</v>
      </c>
      <c r="AV2772" s="246" t="s">
        <v>635</v>
      </c>
      <c r="AW2772" s="227"/>
      <c r="AX2772" s="227"/>
      <c r="AY2772" s="227"/>
      <c r="AZ2772" s="227"/>
      <c r="BA2772" s="227"/>
      <c r="BB2772" s="227"/>
      <c r="BC2772" s="227"/>
      <c r="BD2772" s="227"/>
      <c r="BE2772" s="227"/>
      <c r="BF2772" s="227"/>
    </row>
    <row r="2773">
      <c r="A2773" s="235" t="s">
        <v>21136</v>
      </c>
      <c r="C2773" s="235" t="s">
        <v>21137</v>
      </c>
      <c r="D2773" s="235" t="s">
        <v>21138</v>
      </c>
      <c r="E2773" s="243">
        <v>6.53E13</v>
      </c>
      <c r="F2773" s="245"/>
      <c r="G2773" s="235" t="s">
        <v>21139</v>
      </c>
      <c r="H2773" s="235" t="s">
        <v>21140</v>
      </c>
      <c r="I2773" s="235" t="s">
        <v>21140</v>
      </c>
      <c r="J2773" s="235" t="s">
        <v>21141</v>
      </c>
      <c r="K2773" s="235" t="s">
        <v>21142</v>
      </c>
      <c r="N2773" s="235" t="s">
        <v>42</v>
      </c>
      <c r="O2773" s="235" t="s">
        <v>204</v>
      </c>
      <c r="P2773" s="238">
        <v>1.0</v>
      </c>
      <c r="Q2773" s="235" t="s">
        <v>627</v>
      </c>
      <c r="R2773" s="238">
        <v>270.48</v>
      </c>
      <c r="S2773" s="238">
        <v>13.52</v>
      </c>
      <c r="T2773" s="238">
        <v>38.1</v>
      </c>
      <c r="U2773" s="238">
        <v>1.9</v>
      </c>
      <c r="V2773" s="238">
        <v>0.0</v>
      </c>
      <c r="W2773" s="238">
        <v>0.0</v>
      </c>
      <c r="X2773" s="235" t="s">
        <v>628</v>
      </c>
      <c r="Z2773" s="245"/>
      <c r="AA2773" s="245"/>
      <c r="AB2773" s="245"/>
      <c r="AC2773" s="235" t="s">
        <v>4596</v>
      </c>
      <c r="AD2773" s="235" t="s">
        <v>833</v>
      </c>
      <c r="AE2773" s="238">
        <v>532001.0</v>
      </c>
      <c r="AF2773" s="235" t="s">
        <v>631</v>
      </c>
      <c r="AG2773" s="245"/>
      <c r="AH2773" s="245"/>
      <c r="AI2773" s="245"/>
      <c r="AJ2773" s="245"/>
      <c r="AK2773" s="245"/>
      <c r="AL2773" s="245"/>
      <c r="AM2773" s="245"/>
      <c r="AN2773" s="245"/>
      <c r="AO2773" s="238">
        <v>0.0</v>
      </c>
      <c r="AP2773" s="238">
        <v>-38.1</v>
      </c>
      <c r="AQ2773" s="235" t="s">
        <v>632</v>
      </c>
      <c r="AR2773" s="243">
        <v>3.71E11</v>
      </c>
      <c r="AS2773" s="235" t="s">
        <v>15064</v>
      </c>
      <c r="AT2773" s="235" t="s">
        <v>9</v>
      </c>
      <c r="AU2773" s="235" t="s">
        <v>634</v>
      </c>
      <c r="AV2773" s="246" t="s">
        <v>635</v>
      </c>
      <c r="AW2773" s="227"/>
      <c r="AX2773" s="227"/>
      <c r="AY2773" s="227"/>
      <c r="AZ2773" s="227"/>
      <c r="BA2773" s="227"/>
      <c r="BB2773" s="227"/>
      <c r="BC2773" s="227"/>
      <c r="BD2773" s="227"/>
      <c r="BE2773" s="227"/>
      <c r="BF2773" s="227"/>
    </row>
    <row r="2774">
      <c r="A2774" s="235" t="s">
        <v>21143</v>
      </c>
      <c r="C2774" s="235" t="s">
        <v>21144</v>
      </c>
      <c r="D2774" s="235" t="s">
        <v>21145</v>
      </c>
      <c r="E2774" s="243">
        <v>6.53E13</v>
      </c>
      <c r="F2774" s="245"/>
      <c r="G2774" s="235" t="s">
        <v>21146</v>
      </c>
      <c r="H2774" s="235" t="s">
        <v>21147</v>
      </c>
      <c r="I2774" s="235" t="s">
        <v>21148</v>
      </c>
      <c r="J2774" s="235" t="s">
        <v>21149</v>
      </c>
      <c r="K2774" s="235" t="s">
        <v>21150</v>
      </c>
      <c r="N2774" s="235" t="s">
        <v>85</v>
      </c>
      <c r="O2774" s="235" t="s">
        <v>872</v>
      </c>
      <c r="P2774" s="238">
        <v>1.0</v>
      </c>
      <c r="Q2774" s="235" t="s">
        <v>627</v>
      </c>
      <c r="R2774" s="238">
        <v>246.67</v>
      </c>
      <c r="S2774" s="238">
        <v>12.33</v>
      </c>
      <c r="T2774" s="238">
        <v>0.0</v>
      </c>
      <c r="U2774" s="238">
        <v>0.0</v>
      </c>
      <c r="V2774" s="238">
        <v>0.0</v>
      </c>
      <c r="W2774" s="238">
        <v>0.0</v>
      </c>
      <c r="X2774" s="235" t="s">
        <v>628</v>
      </c>
      <c r="Z2774" s="245"/>
      <c r="AA2774" s="245"/>
      <c r="AB2774" s="245"/>
      <c r="AC2774" s="235" t="s">
        <v>21151</v>
      </c>
      <c r="AD2774" s="235" t="s">
        <v>1077</v>
      </c>
      <c r="AE2774" s="238">
        <v>384151.0</v>
      </c>
      <c r="AF2774" s="235" t="s">
        <v>631</v>
      </c>
      <c r="AG2774" s="245"/>
      <c r="AH2774" s="245"/>
      <c r="AI2774" s="245"/>
      <c r="AJ2774" s="245"/>
      <c r="AK2774" s="245"/>
      <c r="AL2774" s="245"/>
      <c r="AM2774" s="245"/>
      <c r="AN2774" s="245"/>
      <c r="AO2774" s="238">
        <v>0.0</v>
      </c>
      <c r="AP2774" s="238">
        <v>0.0</v>
      </c>
      <c r="AQ2774" s="235" t="s">
        <v>632</v>
      </c>
      <c r="AR2774" s="243">
        <v>3.71E11</v>
      </c>
      <c r="AS2774" s="235" t="s">
        <v>13822</v>
      </c>
      <c r="AT2774" s="235" t="s">
        <v>533</v>
      </c>
      <c r="AU2774" s="235" t="s">
        <v>634</v>
      </c>
      <c r="AV2774" s="246" t="s">
        <v>635</v>
      </c>
      <c r="AW2774" s="227"/>
      <c r="AX2774" s="227"/>
      <c r="AY2774" s="227"/>
      <c r="AZ2774" s="227"/>
      <c r="BA2774" s="227"/>
      <c r="BB2774" s="227"/>
      <c r="BC2774" s="227"/>
      <c r="BD2774" s="227"/>
      <c r="BE2774" s="227"/>
      <c r="BF2774" s="227"/>
    </row>
    <row r="2775">
      <c r="A2775" s="235" t="s">
        <v>21152</v>
      </c>
      <c r="C2775" s="235" t="s">
        <v>21153</v>
      </c>
      <c r="D2775" s="235" t="s">
        <v>21154</v>
      </c>
      <c r="E2775" s="243">
        <v>6.53E13</v>
      </c>
      <c r="F2775" s="245"/>
      <c r="G2775" s="235" t="s">
        <v>21155</v>
      </c>
      <c r="H2775" s="235" t="s">
        <v>21147</v>
      </c>
      <c r="I2775" s="235" t="s">
        <v>21147</v>
      </c>
      <c r="J2775" s="235" t="s">
        <v>21156</v>
      </c>
      <c r="K2775" s="235" t="s">
        <v>21157</v>
      </c>
      <c r="N2775" s="235" t="s">
        <v>139</v>
      </c>
      <c r="O2775" s="235" t="s">
        <v>2091</v>
      </c>
      <c r="P2775" s="238">
        <v>1.0</v>
      </c>
      <c r="Q2775" s="235" t="s">
        <v>627</v>
      </c>
      <c r="R2775" s="238">
        <v>270.48</v>
      </c>
      <c r="S2775" s="238">
        <v>13.52</v>
      </c>
      <c r="T2775" s="238">
        <v>38.1</v>
      </c>
      <c r="U2775" s="238">
        <v>1.9</v>
      </c>
      <c r="V2775" s="238">
        <v>0.0</v>
      </c>
      <c r="W2775" s="238">
        <v>0.0</v>
      </c>
      <c r="X2775" s="235" t="s">
        <v>628</v>
      </c>
      <c r="Z2775" s="245"/>
      <c r="AA2775" s="245"/>
      <c r="AB2775" s="245"/>
      <c r="AC2775" s="235" t="s">
        <v>4420</v>
      </c>
      <c r="AD2775" s="235" t="s">
        <v>630</v>
      </c>
      <c r="AE2775" s="238">
        <v>208021.0</v>
      </c>
      <c r="AF2775" s="235" t="s">
        <v>631</v>
      </c>
      <c r="AG2775" s="245"/>
      <c r="AH2775" s="245"/>
      <c r="AI2775" s="245"/>
      <c r="AJ2775" s="245"/>
      <c r="AK2775" s="245"/>
      <c r="AL2775" s="245"/>
      <c r="AM2775" s="245"/>
      <c r="AN2775" s="245"/>
      <c r="AO2775" s="238">
        <v>0.0</v>
      </c>
      <c r="AP2775" s="238">
        <v>-38.1</v>
      </c>
      <c r="AQ2775" s="235" t="s">
        <v>632</v>
      </c>
      <c r="AR2775" s="243">
        <v>3.71E11</v>
      </c>
      <c r="AS2775" s="235" t="s">
        <v>17988</v>
      </c>
      <c r="AT2775" s="235" t="s">
        <v>13</v>
      </c>
      <c r="AU2775" s="235" t="s">
        <v>634</v>
      </c>
      <c r="AV2775" s="246" t="s">
        <v>635</v>
      </c>
      <c r="AW2775" s="227"/>
      <c r="AX2775" s="227"/>
      <c r="AY2775" s="227"/>
      <c r="AZ2775" s="227"/>
      <c r="BA2775" s="227"/>
      <c r="BB2775" s="227"/>
      <c r="BC2775" s="227"/>
      <c r="BD2775" s="227"/>
      <c r="BE2775" s="227"/>
      <c r="BF2775" s="227"/>
    </row>
    <row r="2776">
      <c r="A2776" s="235" t="s">
        <v>21158</v>
      </c>
      <c r="C2776" s="235" t="s">
        <v>21159</v>
      </c>
      <c r="D2776" s="235" t="s">
        <v>21160</v>
      </c>
      <c r="E2776" s="243">
        <v>6.52E13</v>
      </c>
      <c r="F2776" s="245"/>
      <c r="G2776" s="235" t="s">
        <v>21161</v>
      </c>
      <c r="H2776" s="235" t="s">
        <v>21162</v>
      </c>
      <c r="I2776" s="235" t="s">
        <v>21162</v>
      </c>
      <c r="J2776" s="235" t="s">
        <v>21163</v>
      </c>
      <c r="K2776" s="235" t="s">
        <v>21164</v>
      </c>
      <c r="N2776" s="235" t="s">
        <v>82</v>
      </c>
      <c r="O2776" s="235" t="s">
        <v>889</v>
      </c>
      <c r="P2776" s="238">
        <v>1.0</v>
      </c>
      <c r="Q2776" s="235" t="s">
        <v>627</v>
      </c>
      <c r="R2776" s="238">
        <v>242.86</v>
      </c>
      <c r="S2776" s="238">
        <v>12.14</v>
      </c>
      <c r="T2776" s="238">
        <v>38.1</v>
      </c>
      <c r="U2776" s="238">
        <v>1.9</v>
      </c>
      <c r="V2776" s="238">
        <v>0.0</v>
      </c>
      <c r="W2776" s="238">
        <v>0.0</v>
      </c>
      <c r="X2776" s="235" t="s">
        <v>628</v>
      </c>
      <c r="Z2776" s="245"/>
      <c r="AA2776" s="245"/>
      <c r="AB2776" s="245"/>
      <c r="AC2776" s="235" t="s">
        <v>13399</v>
      </c>
      <c r="AD2776" s="235" t="s">
        <v>630</v>
      </c>
      <c r="AE2776" s="238">
        <v>283203.0</v>
      </c>
      <c r="AF2776" s="235" t="s">
        <v>631</v>
      </c>
      <c r="AG2776" s="245"/>
      <c r="AH2776" s="245"/>
      <c r="AI2776" s="245"/>
      <c r="AJ2776" s="245"/>
      <c r="AK2776" s="245"/>
      <c r="AL2776" s="245"/>
      <c r="AM2776" s="245"/>
      <c r="AN2776" s="245"/>
      <c r="AO2776" s="238">
        <v>0.0</v>
      </c>
      <c r="AP2776" s="238">
        <v>-38.1</v>
      </c>
      <c r="AQ2776" s="235" t="s">
        <v>632</v>
      </c>
      <c r="AR2776" s="243">
        <v>3.71E11</v>
      </c>
      <c r="AS2776" s="235" t="s">
        <v>19388</v>
      </c>
      <c r="AT2776" s="235" t="s">
        <v>14</v>
      </c>
      <c r="AU2776" s="235" t="s">
        <v>634</v>
      </c>
      <c r="AV2776" s="246" t="s">
        <v>635</v>
      </c>
      <c r="AW2776" s="227"/>
      <c r="AX2776" s="227"/>
      <c r="AY2776" s="227"/>
      <c r="AZ2776" s="227"/>
      <c r="BA2776" s="227"/>
      <c r="BB2776" s="227"/>
      <c r="BC2776" s="227"/>
      <c r="BD2776" s="227"/>
      <c r="BE2776" s="227"/>
      <c r="BF2776" s="227"/>
    </row>
    <row r="2777">
      <c r="A2777" s="235" t="s">
        <v>21165</v>
      </c>
      <c r="C2777" s="235" t="s">
        <v>21166</v>
      </c>
      <c r="D2777" s="235" t="s">
        <v>21167</v>
      </c>
      <c r="E2777" s="243">
        <v>6.51E13</v>
      </c>
      <c r="F2777" s="245"/>
      <c r="G2777" s="235" t="s">
        <v>21168</v>
      </c>
      <c r="H2777" s="235" t="s">
        <v>21169</v>
      </c>
      <c r="I2777" s="235" t="s">
        <v>21169</v>
      </c>
      <c r="J2777" s="235" t="s">
        <v>21170</v>
      </c>
      <c r="K2777" s="235" t="s">
        <v>21171</v>
      </c>
      <c r="N2777" s="235" t="s">
        <v>51</v>
      </c>
      <c r="O2777" s="235" t="s">
        <v>273</v>
      </c>
      <c r="P2777" s="238">
        <v>1.0</v>
      </c>
      <c r="Q2777" s="235" t="s">
        <v>627</v>
      </c>
      <c r="R2777" s="238">
        <v>246.67</v>
      </c>
      <c r="S2777" s="238">
        <v>12.33</v>
      </c>
      <c r="T2777" s="238">
        <v>38.1</v>
      </c>
      <c r="U2777" s="238">
        <v>1.9</v>
      </c>
      <c r="V2777" s="238">
        <v>0.0</v>
      </c>
      <c r="W2777" s="238">
        <v>0.0</v>
      </c>
      <c r="X2777" s="235" t="s">
        <v>628</v>
      </c>
      <c r="Z2777" s="245"/>
      <c r="AA2777" s="245"/>
      <c r="AB2777" s="245"/>
      <c r="AC2777" s="235" t="s">
        <v>7118</v>
      </c>
      <c r="AD2777" s="235" t="s">
        <v>833</v>
      </c>
      <c r="AE2777" s="238">
        <v>534001.0</v>
      </c>
      <c r="AF2777" s="235" t="s">
        <v>631</v>
      </c>
      <c r="AG2777" s="245"/>
      <c r="AH2777" s="245"/>
      <c r="AI2777" s="245"/>
      <c r="AJ2777" s="245"/>
      <c r="AK2777" s="245"/>
      <c r="AL2777" s="245"/>
      <c r="AM2777" s="245"/>
      <c r="AN2777" s="245"/>
      <c r="AO2777" s="238">
        <v>0.0</v>
      </c>
      <c r="AP2777" s="238">
        <v>-38.1</v>
      </c>
      <c r="AQ2777" s="235" t="s">
        <v>632</v>
      </c>
      <c r="AR2777" s="243">
        <v>3.71E11</v>
      </c>
      <c r="AS2777" s="235" t="s">
        <v>17988</v>
      </c>
      <c r="AT2777" s="235" t="s">
        <v>156</v>
      </c>
      <c r="AU2777" s="235" t="s">
        <v>634</v>
      </c>
      <c r="AV2777" s="246" t="s">
        <v>635</v>
      </c>
      <c r="AW2777" s="227"/>
      <c r="AX2777" s="227"/>
      <c r="AY2777" s="227"/>
      <c r="AZ2777" s="227"/>
      <c r="BA2777" s="227"/>
      <c r="BB2777" s="227"/>
      <c r="BC2777" s="227"/>
      <c r="BD2777" s="227"/>
      <c r="BE2777" s="227"/>
      <c r="BF2777" s="227"/>
    </row>
    <row r="2778">
      <c r="A2778" s="235" t="s">
        <v>21172</v>
      </c>
      <c r="C2778" s="235" t="s">
        <v>21173</v>
      </c>
      <c r="D2778" s="235" t="s">
        <v>21174</v>
      </c>
      <c r="E2778" s="243">
        <v>6.52E13</v>
      </c>
      <c r="F2778" s="245"/>
      <c r="G2778" s="235" t="s">
        <v>21175</v>
      </c>
      <c r="H2778" s="235" t="s">
        <v>21176</v>
      </c>
      <c r="I2778" s="235" t="s">
        <v>21177</v>
      </c>
      <c r="J2778" s="235" t="s">
        <v>21178</v>
      </c>
      <c r="K2778" s="235" t="s">
        <v>21179</v>
      </c>
      <c r="N2778" s="235" t="s">
        <v>127</v>
      </c>
      <c r="O2778" s="235" t="s">
        <v>794</v>
      </c>
      <c r="P2778" s="238">
        <v>1.0</v>
      </c>
      <c r="Q2778" s="235" t="s">
        <v>627</v>
      </c>
      <c r="R2778" s="238">
        <v>236.19</v>
      </c>
      <c r="S2778" s="238">
        <v>11.46</v>
      </c>
      <c r="T2778" s="238">
        <v>0.0</v>
      </c>
      <c r="U2778" s="238">
        <v>0.0</v>
      </c>
      <c r="V2778" s="238">
        <v>0.0</v>
      </c>
      <c r="W2778" s="238">
        <v>0.0</v>
      </c>
      <c r="X2778" s="235" t="s">
        <v>628</v>
      </c>
      <c r="Z2778" s="245"/>
      <c r="AA2778" s="245"/>
      <c r="AB2778" s="245"/>
      <c r="AC2778" s="235" t="s">
        <v>844</v>
      </c>
      <c r="AD2778" s="235" t="s">
        <v>845</v>
      </c>
      <c r="AE2778" s="238">
        <v>411014.0</v>
      </c>
      <c r="AF2778" s="235" t="s">
        <v>631</v>
      </c>
      <c r="AG2778" s="245"/>
      <c r="AH2778" s="245"/>
      <c r="AI2778" s="245"/>
      <c r="AJ2778" s="245"/>
      <c r="AK2778" s="245"/>
      <c r="AL2778" s="245"/>
      <c r="AM2778" s="245"/>
      <c r="AN2778" s="245"/>
      <c r="AO2778" s="238">
        <v>-7.09</v>
      </c>
      <c r="AP2778" s="238">
        <v>0.0</v>
      </c>
      <c r="AQ2778" s="235" t="s">
        <v>632</v>
      </c>
      <c r="AR2778" s="243">
        <v>2.02E11</v>
      </c>
      <c r="AS2778" s="235" t="s">
        <v>17988</v>
      </c>
      <c r="AT2778" s="235" t="s">
        <v>5</v>
      </c>
      <c r="AU2778" s="235" t="s">
        <v>634</v>
      </c>
      <c r="AV2778" s="246" t="s">
        <v>635</v>
      </c>
      <c r="AW2778" s="227"/>
      <c r="AX2778" s="227"/>
      <c r="AY2778" s="227"/>
      <c r="AZ2778" s="227"/>
      <c r="BA2778" s="227"/>
      <c r="BB2778" s="227"/>
      <c r="BC2778" s="227"/>
      <c r="BD2778" s="227"/>
      <c r="BE2778" s="227"/>
      <c r="BF2778" s="227"/>
    </row>
    <row r="2779">
      <c r="A2779" s="235" t="s">
        <v>21180</v>
      </c>
      <c r="C2779" s="235" t="s">
        <v>21181</v>
      </c>
      <c r="D2779" s="235" t="s">
        <v>21182</v>
      </c>
      <c r="E2779" s="243">
        <v>6.53E13</v>
      </c>
      <c r="F2779" s="245"/>
      <c r="G2779" s="235" t="s">
        <v>21183</v>
      </c>
      <c r="H2779" s="235" t="s">
        <v>21184</v>
      </c>
      <c r="I2779" s="235" t="s">
        <v>21184</v>
      </c>
      <c r="J2779" s="235" t="s">
        <v>21185</v>
      </c>
      <c r="K2779" s="235" t="s">
        <v>21186</v>
      </c>
      <c r="N2779" s="235" t="s">
        <v>148</v>
      </c>
      <c r="O2779" s="235" t="s">
        <v>1006</v>
      </c>
      <c r="P2779" s="238">
        <v>1.0</v>
      </c>
      <c r="Q2779" s="235" t="s">
        <v>627</v>
      </c>
      <c r="R2779" s="238">
        <v>300.0</v>
      </c>
      <c r="S2779" s="238">
        <v>15.0</v>
      </c>
      <c r="T2779" s="238">
        <v>0.0</v>
      </c>
      <c r="U2779" s="238">
        <v>0.0</v>
      </c>
      <c r="V2779" s="238">
        <v>0.0</v>
      </c>
      <c r="W2779" s="238">
        <v>0.0</v>
      </c>
      <c r="X2779" s="235" t="s">
        <v>628</v>
      </c>
      <c r="Z2779" s="245"/>
      <c r="AA2779" s="245"/>
      <c r="AB2779" s="245"/>
      <c r="AC2779" s="235" t="s">
        <v>4071</v>
      </c>
      <c r="AD2779" s="235" t="s">
        <v>928</v>
      </c>
      <c r="AE2779" s="238">
        <v>122002.0</v>
      </c>
      <c r="AF2779" s="235" t="s">
        <v>631</v>
      </c>
      <c r="AG2779" s="245"/>
      <c r="AH2779" s="245"/>
      <c r="AI2779" s="245"/>
      <c r="AJ2779" s="245"/>
      <c r="AK2779" s="245"/>
      <c r="AL2779" s="245"/>
      <c r="AM2779" s="245"/>
      <c r="AN2779" s="245"/>
      <c r="AO2779" s="238">
        <v>0.0</v>
      </c>
      <c r="AP2779" s="238">
        <v>0.0</v>
      </c>
      <c r="AQ2779" s="235" t="s">
        <v>632</v>
      </c>
      <c r="AR2779" s="243">
        <v>1.68E11</v>
      </c>
      <c r="AS2779" s="235" t="s">
        <v>21120</v>
      </c>
      <c r="AT2779" s="235" t="s">
        <v>13</v>
      </c>
      <c r="AU2779" s="235" t="s">
        <v>634</v>
      </c>
      <c r="AV2779" s="246" t="s">
        <v>635</v>
      </c>
      <c r="AW2779" s="227"/>
      <c r="AX2779" s="227"/>
      <c r="AY2779" s="227"/>
      <c r="AZ2779" s="227"/>
      <c r="BA2779" s="227"/>
      <c r="BB2779" s="227"/>
      <c r="BC2779" s="227"/>
      <c r="BD2779" s="227"/>
      <c r="BE2779" s="227"/>
      <c r="BF2779" s="227"/>
    </row>
    <row r="2780">
      <c r="A2780" s="235" t="s">
        <v>21187</v>
      </c>
      <c r="C2780" s="235" t="s">
        <v>21188</v>
      </c>
      <c r="D2780" s="235" t="s">
        <v>21189</v>
      </c>
      <c r="E2780" s="243">
        <v>6.53E13</v>
      </c>
      <c r="F2780" s="245"/>
      <c r="G2780" s="235" t="s">
        <v>21190</v>
      </c>
      <c r="H2780" s="235" t="s">
        <v>21191</v>
      </c>
      <c r="I2780" s="235" t="s">
        <v>21192</v>
      </c>
      <c r="J2780" s="235" t="s">
        <v>21193</v>
      </c>
      <c r="K2780" s="235" t="s">
        <v>21194</v>
      </c>
      <c r="N2780" s="235" t="s">
        <v>47</v>
      </c>
      <c r="O2780" s="235" t="s">
        <v>270</v>
      </c>
      <c r="P2780" s="238">
        <v>1.0</v>
      </c>
      <c r="Q2780" s="235" t="s">
        <v>627</v>
      </c>
      <c r="R2780" s="238">
        <v>270.48</v>
      </c>
      <c r="S2780" s="238">
        <v>13.52</v>
      </c>
      <c r="T2780" s="238">
        <v>0.0</v>
      </c>
      <c r="U2780" s="238">
        <v>0.0</v>
      </c>
      <c r="V2780" s="238">
        <v>0.0</v>
      </c>
      <c r="W2780" s="238">
        <v>0.0</v>
      </c>
      <c r="X2780" s="235" t="s">
        <v>628</v>
      </c>
      <c r="Z2780" s="245"/>
      <c r="AA2780" s="245"/>
      <c r="AB2780" s="245"/>
      <c r="AC2780" s="235" t="s">
        <v>21195</v>
      </c>
      <c r="AD2780" s="235" t="s">
        <v>645</v>
      </c>
      <c r="AE2780" s="238">
        <v>691306.0</v>
      </c>
      <c r="AF2780" s="235" t="s">
        <v>631</v>
      </c>
      <c r="AG2780" s="245"/>
      <c r="AH2780" s="245"/>
      <c r="AI2780" s="245"/>
      <c r="AJ2780" s="245"/>
      <c r="AK2780" s="245"/>
      <c r="AL2780" s="245"/>
      <c r="AM2780" s="245"/>
      <c r="AN2780" s="245"/>
      <c r="AO2780" s="238">
        <v>0.0</v>
      </c>
      <c r="AP2780" s="238">
        <v>0.0</v>
      </c>
      <c r="AQ2780" s="235" t="s">
        <v>632</v>
      </c>
      <c r="AR2780" s="243">
        <v>3.71E11</v>
      </c>
      <c r="AS2780" s="235" t="s">
        <v>15064</v>
      </c>
      <c r="AT2780" s="235" t="s">
        <v>9</v>
      </c>
      <c r="AU2780" s="235" t="s">
        <v>634</v>
      </c>
      <c r="AV2780" s="246" t="s">
        <v>635</v>
      </c>
      <c r="AW2780" s="227"/>
      <c r="AX2780" s="227"/>
      <c r="AY2780" s="227"/>
      <c r="AZ2780" s="227"/>
      <c r="BA2780" s="227"/>
      <c r="BB2780" s="227"/>
      <c r="BC2780" s="227"/>
      <c r="BD2780" s="227"/>
      <c r="BE2780" s="227"/>
      <c r="BF2780" s="227"/>
    </row>
    <row r="2781">
      <c r="A2781" s="235" t="s">
        <v>21196</v>
      </c>
      <c r="C2781" s="235" t="s">
        <v>21197</v>
      </c>
      <c r="D2781" s="235" t="s">
        <v>21198</v>
      </c>
      <c r="E2781" s="243">
        <v>6.52E13</v>
      </c>
      <c r="F2781" s="245"/>
      <c r="G2781" s="235" t="s">
        <v>21199</v>
      </c>
      <c r="H2781" s="235" t="s">
        <v>21200</v>
      </c>
      <c r="I2781" s="235" t="s">
        <v>21200</v>
      </c>
      <c r="J2781" s="235" t="s">
        <v>21201</v>
      </c>
      <c r="K2781" s="235" t="s">
        <v>21202</v>
      </c>
      <c r="N2781" s="235" t="s">
        <v>111</v>
      </c>
      <c r="O2781" s="235" t="s">
        <v>464</v>
      </c>
      <c r="P2781" s="238">
        <v>1.0</v>
      </c>
      <c r="Q2781" s="235" t="s">
        <v>627</v>
      </c>
      <c r="R2781" s="238">
        <v>246.66</v>
      </c>
      <c r="S2781" s="238">
        <v>12.34</v>
      </c>
      <c r="T2781" s="238">
        <v>0.0</v>
      </c>
      <c r="U2781" s="238">
        <v>0.0</v>
      </c>
      <c r="V2781" s="238">
        <v>0.0</v>
      </c>
      <c r="W2781" s="238">
        <v>0.0</v>
      </c>
      <c r="X2781" s="235" t="s">
        <v>628</v>
      </c>
      <c r="Z2781" s="245"/>
      <c r="AA2781" s="245"/>
      <c r="AB2781" s="245"/>
      <c r="AC2781" s="235" t="s">
        <v>12541</v>
      </c>
      <c r="AD2781" s="235" t="s">
        <v>666</v>
      </c>
      <c r="AE2781" s="238">
        <v>628002.0</v>
      </c>
      <c r="AF2781" s="235" t="s">
        <v>631</v>
      </c>
      <c r="AG2781" s="245"/>
      <c r="AH2781" s="245"/>
      <c r="AI2781" s="245"/>
      <c r="AJ2781" s="245"/>
      <c r="AK2781" s="245"/>
      <c r="AL2781" s="245"/>
      <c r="AM2781" s="245"/>
      <c r="AN2781" s="245"/>
      <c r="AO2781" s="238">
        <v>0.0</v>
      </c>
      <c r="AP2781" s="238">
        <v>0.0</v>
      </c>
      <c r="AQ2781" s="235" t="s">
        <v>632</v>
      </c>
      <c r="AR2781" s="243">
        <v>3.71E11</v>
      </c>
      <c r="AS2781" s="235" t="s">
        <v>17988</v>
      </c>
      <c r="AT2781" s="235" t="s">
        <v>156</v>
      </c>
      <c r="AU2781" s="235" t="s">
        <v>634</v>
      </c>
      <c r="AV2781" s="246" t="s">
        <v>635</v>
      </c>
      <c r="AW2781" s="227"/>
      <c r="AX2781" s="227"/>
      <c r="AY2781" s="227"/>
      <c r="AZ2781" s="227"/>
      <c r="BA2781" s="227"/>
      <c r="BB2781" s="227"/>
      <c r="BC2781" s="227"/>
      <c r="BD2781" s="227"/>
      <c r="BE2781" s="227"/>
      <c r="BF2781" s="227"/>
    </row>
    <row r="2782">
      <c r="A2782" s="235" t="s">
        <v>21203</v>
      </c>
      <c r="C2782" s="235" t="s">
        <v>21204</v>
      </c>
      <c r="D2782" s="235" t="s">
        <v>21205</v>
      </c>
      <c r="E2782" s="243">
        <v>6.53E13</v>
      </c>
      <c r="F2782" s="245"/>
      <c r="G2782" s="235" t="s">
        <v>21206</v>
      </c>
      <c r="H2782" s="235" t="s">
        <v>21207</v>
      </c>
      <c r="I2782" s="235" t="s">
        <v>21208</v>
      </c>
      <c r="J2782" s="235" t="s">
        <v>21209</v>
      </c>
      <c r="K2782" s="235" t="s">
        <v>21210</v>
      </c>
      <c r="N2782" s="235" t="s">
        <v>15</v>
      </c>
      <c r="O2782" s="235" t="s">
        <v>856</v>
      </c>
      <c r="P2782" s="238">
        <v>1.0</v>
      </c>
      <c r="Q2782" s="235" t="s">
        <v>627</v>
      </c>
      <c r="R2782" s="238">
        <v>380.0</v>
      </c>
      <c r="S2782" s="238">
        <v>19.0</v>
      </c>
      <c r="T2782" s="238">
        <v>0.0</v>
      </c>
      <c r="U2782" s="238">
        <v>0.0</v>
      </c>
      <c r="V2782" s="238">
        <v>0.0</v>
      </c>
      <c r="W2782" s="238">
        <v>0.0</v>
      </c>
      <c r="X2782" s="235" t="s">
        <v>628</v>
      </c>
      <c r="Z2782" s="245"/>
      <c r="AA2782" s="245"/>
      <c r="AB2782" s="245"/>
      <c r="AC2782" s="235" t="s">
        <v>1206</v>
      </c>
      <c r="AD2782" s="235" t="s">
        <v>679</v>
      </c>
      <c r="AE2782" s="238">
        <v>560098.0</v>
      </c>
      <c r="AF2782" s="235" t="s">
        <v>631</v>
      </c>
      <c r="AG2782" s="245"/>
      <c r="AH2782" s="245"/>
      <c r="AI2782" s="245"/>
      <c r="AJ2782" s="245"/>
      <c r="AK2782" s="245"/>
      <c r="AL2782" s="245"/>
      <c r="AM2782" s="245"/>
      <c r="AN2782" s="245"/>
      <c r="AO2782" s="238">
        <v>0.0</v>
      </c>
      <c r="AP2782" s="238">
        <v>0.0</v>
      </c>
      <c r="AQ2782" s="235" t="s">
        <v>632</v>
      </c>
      <c r="AR2782" s="243">
        <v>1.68E11</v>
      </c>
      <c r="AS2782" s="235" t="s">
        <v>21120</v>
      </c>
      <c r="AT2782" s="235" t="s">
        <v>9</v>
      </c>
      <c r="AU2782" s="235" t="s">
        <v>634</v>
      </c>
      <c r="AV2782" s="246" t="s">
        <v>635</v>
      </c>
      <c r="AW2782" s="227"/>
      <c r="AX2782" s="227"/>
      <c r="AY2782" s="227"/>
      <c r="AZ2782" s="227"/>
      <c r="BA2782" s="227"/>
      <c r="BB2782" s="227"/>
      <c r="BC2782" s="227"/>
      <c r="BD2782" s="227"/>
      <c r="BE2782" s="227"/>
      <c r="BF2782" s="227"/>
    </row>
    <row r="2783">
      <c r="A2783" s="235" t="s">
        <v>21211</v>
      </c>
      <c r="C2783" s="235" t="s">
        <v>21212</v>
      </c>
      <c r="D2783" s="235" t="s">
        <v>21213</v>
      </c>
      <c r="E2783" s="243">
        <v>6.52E13</v>
      </c>
      <c r="F2783" s="245"/>
      <c r="G2783" s="235" t="s">
        <v>21214</v>
      </c>
      <c r="H2783" s="235" t="s">
        <v>21215</v>
      </c>
      <c r="I2783" s="235" t="s">
        <v>21215</v>
      </c>
      <c r="J2783" s="235" t="s">
        <v>21216</v>
      </c>
      <c r="K2783" s="235" t="s">
        <v>21217</v>
      </c>
      <c r="N2783" s="235" t="s">
        <v>144</v>
      </c>
      <c r="O2783" s="235" t="s">
        <v>232</v>
      </c>
      <c r="P2783" s="238">
        <v>1.0</v>
      </c>
      <c r="Q2783" s="235" t="s">
        <v>627</v>
      </c>
      <c r="R2783" s="238">
        <v>665.71</v>
      </c>
      <c r="S2783" s="238">
        <v>33.29</v>
      </c>
      <c r="T2783" s="238">
        <v>0.0</v>
      </c>
      <c r="U2783" s="238">
        <v>0.0</v>
      </c>
      <c r="V2783" s="238">
        <v>0.0</v>
      </c>
      <c r="W2783" s="238">
        <v>0.0</v>
      </c>
      <c r="X2783" s="235" t="s">
        <v>628</v>
      </c>
      <c r="Z2783" s="245"/>
      <c r="AA2783" s="245"/>
      <c r="AB2783" s="245"/>
      <c r="AC2783" s="235" t="s">
        <v>5035</v>
      </c>
      <c r="AD2783" s="235" t="s">
        <v>881</v>
      </c>
      <c r="AE2783" s="238">
        <v>760005.0</v>
      </c>
      <c r="AF2783" s="235" t="s">
        <v>631</v>
      </c>
      <c r="AG2783" s="245"/>
      <c r="AH2783" s="245"/>
      <c r="AI2783" s="245"/>
      <c r="AJ2783" s="245"/>
      <c r="AK2783" s="245"/>
      <c r="AL2783" s="245"/>
      <c r="AM2783" s="245"/>
      <c r="AN2783" s="245"/>
      <c r="AO2783" s="238">
        <v>0.0</v>
      </c>
      <c r="AP2783" s="238">
        <v>0.0</v>
      </c>
      <c r="AQ2783" s="235" t="s">
        <v>632</v>
      </c>
      <c r="AR2783" s="243">
        <v>3.71E11</v>
      </c>
      <c r="AS2783" s="235" t="s">
        <v>15064</v>
      </c>
      <c r="AT2783" s="235" t="s">
        <v>11</v>
      </c>
      <c r="AU2783" s="235" t="s">
        <v>634</v>
      </c>
      <c r="AV2783" s="246" t="s">
        <v>635</v>
      </c>
      <c r="AW2783" s="227"/>
      <c r="AX2783" s="227"/>
      <c r="AY2783" s="227"/>
      <c r="AZ2783" s="227"/>
      <c r="BA2783" s="227"/>
      <c r="BB2783" s="227"/>
      <c r="BC2783" s="227"/>
      <c r="BD2783" s="227"/>
      <c r="BE2783" s="227"/>
      <c r="BF2783" s="227"/>
    </row>
    <row r="2784">
      <c r="A2784" s="235" t="s">
        <v>21218</v>
      </c>
      <c r="C2784" s="235" t="s">
        <v>21219</v>
      </c>
      <c r="D2784" s="235" t="s">
        <v>21220</v>
      </c>
      <c r="E2784" s="243">
        <v>6.52E13</v>
      </c>
      <c r="F2784" s="245"/>
      <c r="G2784" s="235" t="s">
        <v>21221</v>
      </c>
      <c r="H2784" s="235" t="s">
        <v>21222</v>
      </c>
      <c r="I2784" s="235" t="s">
        <v>21222</v>
      </c>
      <c r="J2784" s="235" t="s">
        <v>21223</v>
      </c>
      <c r="K2784" s="235" t="s">
        <v>21224</v>
      </c>
      <c r="N2784" s="235" t="s">
        <v>94</v>
      </c>
      <c r="O2784" s="235" t="s">
        <v>509</v>
      </c>
      <c r="P2784" s="238">
        <v>1.0</v>
      </c>
      <c r="Q2784" s="235" t="s">
        <v>627</v>
      </c>
      <c r="R2784" s="238">
        <v>246.67</v>
      </c>
      <c r="S2784" s="238">
        <v>12.33</v>
      </c>
      <c r="T2784" s="238">
        <v>38.1</v>
      </c>
      <c r="U2784" s="238">
        <v>1.9</v>
      </c>
      <c r="V2784" s="238">
        <v>0.0</v>
      </c>
      <c r="W2784" s="238">
        <v>0.0</v>
      </c>
      <c r="X2784" s="235" t="s">
        <v>628</v>
      </c>
      <c r="Z2784" s="245"/>
      <c r="AA2784" s="245"/>
      <c r="AB2784" s="245"/>
      <c r="AC2784" s="235" t="s">
        <v>17169</v>
      </c>
      <c r="AD2784" s="235" t="s">
        <v>2067</v>
      </c>
      <c r="AE2784" s="238">
        <v>834005.0</v>
      </c>
      <c r="AF2784" s="235" t="s">
        <v>631</v>
      </c>
      <c r="AG2784" s="245"/>
      <c r="AH2784" s="245"/>
      <c r="AI2784" s="245"/>
      <c r="AJ2784" s="245"/>
      <c r="AK2784" s="245"/>
      <c r="AL2784" s="245"/>
      <c r="AM2784" s="245"/>
      <c r="AN2784" s="245"/>
      <c r="AO2784" s="238">
        <v>0.0</v>
      </c>
      <c r="AP2784" s="238">
        <v>-38.1</v>
      </c>
      <c r="AQ2784" s="235" t="s">
        <v>632</v>
      </c>
      <c r="AR2784" s="243">
        <v>3.71E11</v>
      </c>
      <c r="AS2784" s="235" t="s">
        <v>15064</v>
      </c>
      <c r="AT2784" s="235" t="s">
        <v>14</v>
      </c>
      <c r="AU2784" s="235" t="s">
        <v>634</v>
      </c>
      <c r="AV2784" s="246" t="s">
        <v>635</v>
      </c>
      <c r="AW2784" s="227"/>
      <c r="AX2784" s="227"/>
      <c r="AY2784" s="227"/>
      <c r="AZ2784" s="227"/>
      <c r="BA2784" s="227"/>
      <c r="BB2784" s="227"/>
      <c r="BC2784" s="227"/>
      <c r="BD2784" s="227"/>
      <c r="BE2784" s="227"/>
      <c r="BF2784" s="227"/>
    </row>
    <row r="2785">
      <c r="A2785" s="235" t="s">
        <v>21225</v>
      </c>
      <c r="C2785" s="235" t="s">
        <v>21226</v>
      </c>
      <c r="D2785" s="235" t="s">
        <v>21227</v>
      </c>
      <c r="E2785" s="243">
        <v>6.53E13</v>
      </c>
      <c r="F2785" s="245"/>
      <c r="G2785" s="235" t="s">
        <v>21228</v>
      </c>
      <c r="H2785" s="235" t="s">
        <v>21229</v>
      </c>
      <c r="I2785" s="235" t="s">
        <v>21229</v>
      </c>
      <c r="J2785" s="235" t="s">
        <v>21230</v>
      </c>
      <c r="K2785" s="235" t="s">
        <v>21231</v>
      </c>
      <c r="N2785" s="235" t="s">
        <v>42</v>
      </c>
      <c r="O2785" s="235" t="s">
        <v>204</v>
      </c>
      <c r="P2785" s="238">
        <v>1.0</v>
      </c>
      <c r="Q2785" s="235" t="s">
        <v>627</v>
      </c>
      <c r="R2785" s="238">
        <v>270.48</v>
      </c>
      <c r="S2785" s="238">
        <v>13.25</v>
      </c>
      <c r="T2785" s="238">
        <v>0.0</v>
      </c>
      <c r="U2785" s="238">
        <v>0.0</v>
      </c>
      <c r="V2785" s="238">
        <v>0.0</v>
      </c>
      <c r="W2785" s="238">
        <v>0.0</v>
      </c>
      <c r="X2785" s="235" t="s">
        <v>628</v>
      </c>
      <c r="Z2785" s="245"/>
      <c r="AA2785" s="245"/>
      <c r="AB2785" s="245"/>
      <c r="AC2785" s="235" t="s">
        <v>678</v>
      </c>
      <c r="AD2785" s="235" t="s">
        <v>679</v>
      </c>
      <c r="AE2785" s="238">
        <v>560037.0</v>
      </c>
      <c r="AF2785" s="235" t="s">
        <v>631</v>
      </c>
      <c r="AG2785" s="245"/>
      <c r="AH2785" s="245"/>
      <c r="AI2785" s="245"/>
      <c r="AJ2785" s="245"/>
      <c r="AK2785" s="245"/>
      <c r="AL2785" s="245"/>
      <c r="AM2785" s="245"/>
      <c r="AN2785" s="245"/>
      <c r="AO2785" s="238">
        <v>-5.41</v>
      </c>
      <c r="AP2785" s="238">
        <v>0.0</v>
      </c>
      <c r="AQ2785" s="235" t="s">
        <v>632</v>
      </c>
      <c r="AR2785" s="243">
        <v>1.68E11</v>
      </c>
      <c r="AS2785" s="235" t="s">
        <v>21120</v>
      </c>
      <c r="AT2785" s="235" t="s">
        <v>11</v>
      </c>
      <c r="AU2785" s="235" t="s">
        <v>634</v>
      </c>
      <c r="AV2785" s="246" t="s">
        <v>635</v>
      </c>
      <c r="AW2785" s="227"/>
      <c r="AX2785" s="227"/>
      <c r="AY2785" s="227"/>
      <c r="AZ2785" s="227"/>
      <c r="BA2785" s="227"/>
      <c r="BB2785" s="227"/>
      <c r="BC2785" s="227"/>
      <c r="BD2785" s="227"/>
      <c r="BE2785" s="227"/>
      <c r="BF2785" s="227"/>
    </row>
    <row r="2786">
      <c r="A2786" s="235" t="s">
        <v>21232</v>
      </c>
      <c r="C2786" s="235" t="s">
        <v>21233</v>
      </c>
      <c r="D2786" s="235" t="s">
        <v>21234</v>
      </c>
      <c r="E2786" s="243">
        <v>6.53E13</v>
      </c>
      <c r="F2786" s="245"/>
      <c r="G2786" s="235" t="s">
        <v>21235</v>
      </c>
      <c r="H2786" s="235" t="s">
        <v>21236</v>
      </c>
      <c r="I2786" s="235" t="s">
        <v>21236</v>
      </c>
      <c r="J2786" s="235" t="s">
        <v>21237</v>
      </c>
      <c r="K2786" s="235" t="s">
        <v>21238</v>
      </c>
      <c r="N2786" s="235" t="s">
        <v>127</v>
      </c>
      <c r="O2786" s="235" t="s">
        <v>794</v>
      </c>
      <c r="P2786" s="238">
        <v>1.0</v>
      </c>
      <c r="Q2786" s="235" t="s">
        <v>627</v>
      </c>
      <c r="R2786" s="238">
        <v>270.48</v>
      </c>
      <c r="S2786" s="238">
        <v>13.52</v>
      </c>
      <c r="T2786" s="238">
        <v>0.0</v>
      </c>
      <c r="U2786" s="238">
        <v>0.0</v>
      </c>
      <c r="V2786" s="238">
        <v>0.0</v>
      </c>
      <c r="W2786" s="238">
        <v>0.0</v>
      </c>
      <c r="X2786" s="235" t="s">
        <v>628</v>
      </c>
      <c r="Z2786" s="245"/>
      <c r="AA2786" s="245"/>
      <c r="AB2786" s="245"/>
      <c r="AC2786" s="235" t="s">
        <v>678</v>
      </c>
      <c r="AD2786" s="235" t="s">
        <v>679</v>
      </c>
      <c r="AE2786" s="238">
        <v>560043.0</v>
      </c>
      <c r="AF2786" s="235" t="s">
        <v>631</v>
      </c>
      <c r="AG2786" s="245"/>
      <c r="AH2786" s="245"/>
      <c r="AI2786" s="245"/>
      <c r="AJ2786" s="245"/>
      <c r="AK2786" s="245"/>
      <c r="AL2786" s="245"/>
      <c r="AM2786" s="245"/>
      <c r="AN2786" s="245"/>
      <c r="AO2786" s="238">
        <v>0.0</v>
      </c>
      <c r="AP2786" s="238">
        <v>0.0</v>
      </c>
      <c r="AQ2786" s="235" t="s">
        <v>632</v>
      </c>
      <c r="AR2786" s="243">
        <v>1.68E11</v>
      </c>
      <c r="AS2786" s="235" t="s">
        <v>21120</v>
      </c>
      <c r="AT2786" s="235" t="s">
        <v>11</v>
      </c>
      <c r="AU2786" s="235" t="s">
        <v>634</v>
      </c>
      <c r="AV2786" s="246" t="s">
        <v>635</v>
      </c>
      <c r="AW2786" s="227"/>
      <c r="AX2786" s="227"/>
      <c r="AY2786" s="227"/>
      <c r="AZ2786" s="227"/>
      <c r="BA2786" s="227"/>
      <c r="BB2786" s="227"/>
      <c r="BC2786" s="227"/>
      <c r="BD2786" s="227"/>
      <c r="BE2786" s="227"/>
      <c r="BF2786" s="227"/>
    </row>
    <row r="2787">
      <c r="A2787" s="235" t="s">
        <v>21239</v>
      </c>
      <c r="C2787" s="235" t="s">
        <v>21240</v>
      </c>
      <c r="D2787" s="235" t="s">
        <v>21241</v>
      </c>
      <c r="E2787" s="243">
        <v>6.53E13</v>
      </c>
      <c r="F2787" s="245"/>
      <c r="G2787" s="235" t="s">
        <v>21242</v>
      </c>
      <c r="H2787" s="235" t="s">
        <v>21243</v>
      </c>
      <c r="I2787" s="235" t="s">
        <v>21243</v>
      </c>
      <c r="J2787" s="235" t="s">
        <v>21244</v>
      </c>
      <c r="K2787" s="235" t="s">
        <v>21245</v>
      </c>
      <c r="N2787" s="235" t="s">
        <v>127</v>
      </c>
      <c r="O2787" s="235" t="s">
        <v>794</v>
      </c>
      <c r="P2787" s="238">
        <v>1.0</v>
      </c>
      <c r="Q2787" s="235" t="s">
        <v>627</v>
      </c>
      <c r="R2787" s="238">
        <v>270.48</v>
      </c>
      <c r="S2787" s="238">
        <v>13.52</v>
      </c>
      <c r="T2787" s="238">
        <v>38.1</v>
      </c>
      <c r="U2787" s="238">
        <v>1.9</v>
      </c>
      <c r="V2787" s="238">
        <v>0.0</v>
      </c>
      <c r="W2787" s="238">
        <v>0.0</v>
      </c>
      <c r="X2787" s="235" t="s">
        <v>628</v>
      </c>
      <c r="Z2787" s="245"/>
      <c r="AA2787" s="245"/>
      <c r="AB2787" s="245"/>
      <c r="AC2787" s="235" t="s">
        <v>21246</v>
      </c>
      <c r="AD2787" s="235" t="s">
        <v>1077</v>
      </c>
      <c r="AE2787" s="238">
        <v>388350.0</v>
      </c>
      <c r="AF2787" s="235" t="s">
        <v>631</v>
      </c>
      <c r="AG2787" s="245"/>
      <c r="AH2787" s="245"/>
      <c r="AI2787" s="245"/>
      <c r="AJ2787" s="245"/>
      <c r="AK2787" s="245"/>
      <c r="AL2787" s="245"/>
      <c r="AM2787" s="245"/>
      <c r="AN2787" s="245"/>
      <c r="AO2787" s="238">
        <v>0.0</v>
      </c>
      <c r="AP2787" s="238">
        <v>0.0</v>
      </c>
      <c r="AQ2787" s="235" t="s">
        <v>632</v>
      </c>
      <c r="AR2787" s="243">
        <v>3.71E11</v>
      </c>
      <c r="AS2787" s="235" t="s">
        <v>16626</v>
      </c>
      <c r="AT2787" s="235" t="s">
        <v>13</v>
      </c>
      <c r="AU2787" s="235" t="s">
        <v>634</v>
      </c>
      <c r="AV2787" s="246" t="s">
        <v>635</v>
      </c>
      <c r="AW2787" s="227"/>
      <c r="AX2787" s="227"/>
      <c r="AY2787" s="227"/>
      <c r="AZ2787" s="227"/>
      <c r="BA2787" s="227"/>
      <c r="BB2787" s="227"/>
      <c r="BC2787" s="227"/>
      <c r="BD2787" s="227"/>
      <c r="BE2787" s="227"/>
      <c r="BF2787" s="227"/>
    </row>
    <row r="2788">
      <c r="A2788" s="235" t="s">
        <v>21247</v>
      </c>
      <c r="C2788" s="235" t="s">
        <v>21248</v>
      </c>
      <c r="D2788" s="235" t="s">
        <v>21249</v>
      </c>
      <c r="E2788" s="243">
        <v>6.53E13</v>
      </c>
      <c r="F2788" s="245"/>
      <c r="G2788" s="235" t="s">
        <v>21250</v>
      </c>
      <c r="H2788" s="235" t="s">
        <v>21251</v>
      </c>
      <c r="I2788" s="235" t="s">
        <v>21251</v>
      </c>
      <c r="J2788" s="235" t="s">
        <v>21252</v>
      </c>
      <c r="K2788" s="235" t="s">
        <v>12182</v>
      </c>
      <c r="N2788" s="235" t="s">
        <v>71</v>
      </c>
      <c r="O2788" s="235" t="s">
        <v>240</v>
      </c>
      <c r="P2788" s="238">
        <v>1.0</v>
      </c>
      <c r="Q2788" s="235" t="s">
        <v>627</v>
      </c>
      <c r="R2788" s="238">
        <v>240.0</v>
      </c>
      <c r="S2788" s="238">
        <v>11.64</v>
      </c>
      <c r="T2788" s="238">
        <v>38.1</v>
      </c>
      <c r="U2788" s="238">
        <v>1.9</v>
      </c>
      <c r="V2788" s="238">
        <v>0.0</v>
      </c>
      <c r="W2788" s="238">
        <v>0.0</v>
      </c>
      <c r="X2788" s="235" t="s">
        <v>628</v>
      </c>
      <c r="Z2788" s="245"/>
      <c r="AA2788" s="245"/>
      <c r="AB2788" s="245"/>
      <c r="AC2788" s="235" t="s">
        <v>12183</v>
      </c>
      <c r="AD2788" s="235" t="s">
        <v>854</v>
      </c>
      <c r="AE2788" s="238">
        <v>403402.0</v>
      </c>
      <c r="AF2788" s="235" t="s">
        <v>631</v>
      </c>
      <c r="AG2788" s="245"/>
      <c r="AH2788" s="245"/>
      <c r="AI2788" s="245"/>
      <c r="AJ2788" s="245"/>
      <c r="AK2788" s="245"/>
      <c r="AL2788" s="245"/>
      <c r="AM2788" s="245"/>
      <c r="AN2788" s="245"/>
      <c r="AO2788" s="238">
        <v>-7.2</v>
      </c>
      <c r="AP2788" s="238">
        <v>-38.1</v>
      </c>
      <c r="AQ2788" s="235" t="s">
        <v>632</v>
      </c>
      <c r="AR2788" s="243">
        <v>3.71E11</v>
      </c>
      <c r="AS2788" s="235" t="s">
        <v>17988</v>
      </c>
      <c r="AT2788" s="235" t="s">
        <v>11</v>
      </c>
      <c r="AU2788" s="235" t="s">
        <v>634</v>
      </c>
      <c r="AV2788" s="246" t="s">
        <v>635</v>
      </c>
      <c r="AW2788" s="227"/>
      <c r="AX2788" s="227"/>
      <c r="AY2788" s="227"/>
      <c r="AZ2788" s="227"/>
      <c r="BA2788" s="227"/>
      <c r="BB2788" s="227"/>
      <c r="BC2788" s="227"/>
      <c r="BD2788" s="227"/>
      <c r="BE2788" s="227"/>
      <c r="BF2788" s="227"/>
    </row>
    <row r="2789">
      <c r="A2789" s="235" t="s">
        <v>21247</v>
      </c>
      <c r="C2789" s="235" t="s">
        <v>21248</v>
      </c>
      <c r="D2789" s="235" t="s">
        <v>21253</v>
      </c>
      <c r="E2789" s="243">
        <v>6.53E13</v>
      </c>
      <c r="F2789" s="245"/>
      <c r="G2789" s="235" t="s">
        <v>21250</v>
      </c>
      <c r="H2789" s="235" t="s">
        <v>21251</v>
      </c>
      <c r="I2789" s="235" t="s">
        <v>21251</v>
      </c>
      <c r="J2789" s="235" t="s">
        <v>21252</v>
      </c>
      <c r="K2789" s="235" t="s">
        <v>12182</v>
      </c>
      <c r="N2789" s="235" t="s">
        <v>71</v>
      </c>
      <c r="O2789" s="235" t="s">
        <v>240</v>
      </c>
      <c r="P2789" s="238">
        <v>2.0</v>
      </c>
      <c r="Q2789" s="235" t="s">
        <v>627</v>
      </c>
      <c r="R2789" s="238">
        <v>480.0</v>
      </c>
      <c r="S2789" s="238">
        <v>23.28</v>
      </c>
      <c r="T2789" s="238">
        <v>76.2</v>
      </c>
      <c r="U2789" s="238">
        <v>3.8</v>
      </c>
      <c r="V2789" s="238">
        <v>0.0</v>
      </c>
      <c r="W2789" s="238">
        <v>0.0</v>
      </c>
      <c r="X2789" s="235" t="s">
        <v>628</v>
      </c>
      <c r="Z2789" s="245"/>
      <c r="AA2789" s="245"/>
      <c r="AB2789" s="245"/>
      <c r="AC2789" s="235" t="s">
        <v>12183</v>
      </c>
      <c r="AD2789" s="235" t="s">
        <v>854</v>
      </c>
      <c r="AE2789" s="238">
        <v>403402.0</v>
      </c>
      <c r="AF2789" s="235" t="s">
        <v>631</v>
      </c>
      <c r="AG2789" s="245"/>
      <c r="AH2789" s="245"/>
      <c r="AI2789" s="245"/>
      <c r="AJ2789" s="245"/>
      <c r="AK2789" s="245"/>
      <c r="AL2789" s="245"/>
      <c r="AM2789" s="245"/>
      <c r="AN2789" s="245"/>
      <c r="AO2789" s="238">
        <v>-14.4</v>
      </c>
      <c r="AP2789" s="238">
        <v>-76.2</v>
      </c>
      <c r="AQ2789" s="235" t="s">
        <v>632</v>
      </c>
      <c r="AR2789" s="243">
        <v>3.71E11</v>
      </c>
      <c r="AS2789" s="235" t="s">
        <v>17988</v>
      </c>
      <c r="AT2789" s="235" t="s">
        <v>11</v>
      </c>
      <c r="AU2789" s="235" t="s">
        <v>634</v>
      </c>
      <c r="AV2789" s="246" t="s">
        <v>635</v>
      </c>
      <c r="AW2789" s="227"/>
      <c r="AX2789" s="227"/>
      <c r="AY2789" s="227"/>
      <c r="AZ2789" s="227"/>
      <c r="BA2789" s="227"/>
      <c r="BB2789" s="227"/>
      <c r="BC2789" s="227"/>
      <c r="BD2789" s="227"/>
      <c r="BE2789" s="227"/>
      <c r="BF2789" s="227"/>
    </row>
    <row r="2790">
      <c r="A2790" s="235" t="s">
        <v>21254</v>
      </c>
      <c r="C2790" s="235" t="s">
        <v>21255</v>
      </c>
      <c r="D2790" s="235" t="s">
        <v>21256</v>
      </c>
      <c r="E2790" s="243">
        <v>6.53E13</v>
      </c>
      <c r="F2790" s="245"/>
      <c r="G2790" s="235" t="s">
        <v>21257</v>
      </c>
      <c r="H2790" s="235" t="s">
        <v>21258</v>
      </c>
      <c r="I2790" s="235" t="s">
        <v>21258</v>
      </c>
      <c r="J2790" s="235" t="s">
        <v>21259</v>
      </c>
      <c r="K2790" s="235" t="s">
        <v>21260</v>
      </c>
      <c r="N2790" s="235" t="s">
        <v>989</v>
      </c>
      <c r="O2790" s="235" t="s">
        <v>990</v>
      </c>
      <c r="P2790" s="238">
        <v>1.0</v>
      </c>
      <c r="Q2790" s="235" t="s">
        <v>627</v>
      </c>
      <c r="R2790" s="238">
        <v>256.2</v>
      </c>
      <c r="S2790" s="238">
        <v>12.8</v>
      </c>
      <c r="T2790" s="238">
        <v>38.1</v>
      </c>
      <c r="U2790" s="238">
        <v>1.9</v>
      </c>
      <c r="V2790" s="238">
        <v>0.0</v>
      </c>
      <c r="W2790" s="238">
        <v>0.0</v>
      </c>
      <c r="X2790" s="235" t="s">
        <v>628</v>
      </c>
      <c r="Z2790" s="245"/>
      <c r="AA2790" s="245"/>
      <c r="AB2790" s="245"/>
      <c r="AC2790" s="235" t="s">
        <v>21261</v>
      </c>
      <c r="AD2790" s="235" t="s">
        <v>928</v>
      </c>
      <c r="AE2790" s="238">
        <v>133201.0</v>
      </c>
      <c r="AF2790" s="235" t="s">
        <v>631</v>
      </c>
      <c r="AG2790" s="245"/>
      <c r="AH2790" s="245"/>
      <c r="AI2790" s="245"/>
      <c r="AJ2790" s="245"/>
      <c r="AK2790" s="245"/>
      <c r="AL2790" s="245"/>
      <c r="AM2790" s="245"/>
      <c r="AN2790" s="245"/>
      <c r="AO2790" s="238">
        <v>0.0</v>
      </c>
      <c r="AP2790" s="238">
        <v>-38.1</v>
      </c>
      <c r="AQ2790" s="235" t="s">
        <v>632</v>
      </c>
      <c r="AR2790" s="243">
        <v>3.71E11</v>
      </c>
      <c r="AS2790" s="235" t="s">
        <v>16626</v>
      </c>
      <c r="AT2790" s="235" t="s">
        <v>13</v>
      </c>
      <c r="AU2790" s="235" t="s">
        <v>634</v>
      </c>
      <c r="AV2790" s="246" t="s">
        <v>635</v>
      </c>
      <c r="AW2790" s="227"/>
      <c r="AX2790" s="227"/>
      <c r="AY2790" s="227"/>
      <c r="AZ2790" s="227"/>
      <c r="BA2790" s="227"/>
      <c r="BB2790" s="227"/>
      <c r="BC2790" s="227"/>
      <c r="BD2790" s="227"/>
      <c r="BE2790" s="227"/>
      <c r="BF2790" s="227"/>
    </row>
    <row r="2791">
      <c r="A2791" s="235" t="s">
        <v>21262</v>
      </c>
      <c r="C2791" s="235" t="s">
        <v>21263</v>
      </c>
      <c r="D2791" s="235" t="s">
        <v>21264</v>
      </c>
      <c r="E2791" s="243">
        <v>6.53E13</v>
      </c>
      <c r="F2791" s="245"/>
      <c r="G2791" s="235" t="s">
        <v>21265</v>
      </c>
      <c r="H2791" s="235" t="s">
        <v>21266</v>
      </c>
      <c r="I2791" s="235" t="s">
        <v>21266</v>
      </c>
      <c r="J2791" s="235" t="s">
        <v>21267</v>
      </c>
      <c r="K2791" s="235" t="s">
        <v>21268</v>
      </c>
      <c r="N2791" s="235" t="s">
        <v>10</v>
      </c>
      <c r="O2791" s="235" t="s">
        <v>936</v>
      </c>
      <c r="P2791" s="238">
        <v>1.0</v>
      </c>
      <c r="Q2791" s="235" t="s">
        <v>627</v>
      </c>
      <c r="R2791" s="238">
        <v>242.86</v>
      </c>
      <c r="S2791" s="238">
        <v>12.01</v>
      </c>
      <c r="T2791" s="238">
        <v>38.1</v>
      </c>
      <c r="U2791" s="238">
        <v>1.9</v>
      </c>
      <c r="V2791" s="238">
        <v>0.0</v>
      </c>
      <c r="W2791" s="238">
        <v>0.0</v>
      </c>
      <c r="X2791" s="235" t="s">
        <v>628</v>
      </c>
      <c r="Z2791" s="245"/>
      <c r="AA2791" s="245"/>
      <c r="AB2791" s="245"/>
      <c r="AC2791" s="235" t="s">
        <v>21269</v>
      </c>
      <c r="AD2791" s="235" t="s">
        <v>917</v>
      </c>
      <c r="AE2791" s="238">
        <v>335002.0</v>
      </c>
      <c r="AF2791" s="235" t="s">
        <v>631</v>
      </c>
      <c r="AG2791" s="245"/>
      <c r="AH2791" s="245"/>
      <c r="AI2791" s="245"/>
      <c r="AJ2791" s="245"/>
      <c r="AK2791" s="245"/>
      <c r="AL2791" s="245"/>
      <c r="AM2791" s="245"/>
      <c r="AN2791" s="245"/>
      <c r="AO2791" s="238">
        <v>-2.7</v>
      </c>
      <c r="AP2791" s="238">
        <v>-38.1</v>
      </c>
      <c r="AQ2791" s="235" t="s">
        <v>632</v>
      </c>
      <c r="AR2791" s="243">
        <v>3.71E11</v>
      </c>
      <c r="AS2791" s="235" t="s">
        <v>17988</v>
      </c>
      <c r="AT2791" s="235" t="s">
        <v>13</v>
      </c>
      <c r="AU2791" s="235" t="s">
        <v>634</v>
      </c>
      <c r="AV2791" s="246" t="s">
        <v>635</v>
      </c>
      <c r="AW2791" s="227"/>
      <c r="AX2791" s="227"/>
      <c r="AY2791" s="227"/>
      <c r="AZ2791" s="227"/>
      <c r="BA2791" s="227"/>
      <c r="BB2791" s="227"/>
      <c r="BC2791" s="227"/>
      <c r="BD2791" s="227"/>
      <c r="BE2791" s="227"/>
      <c r="BF2791" s="227"/>
    </row>
    <row r="2792">
      <c r="A2792" s="235" t="s">
        <v>21262</v>
      </c>
      <c r="C2792" s="235" t="s">
        <v>21263</v>
      </c>
      <c r="D2792" s="235" t="s">
        <v>21270</v>
      </c>
      <c r="E2792" s="243">
        <v>6.53E13</v>
      </c>
      <c r="F2792" s="245"/>
      <c r="G2792" s="235" t="s">
        <v>21265</v>
      </c>
      <c r="H2792" s="235" t="s">
        <v>21266</v>
      </c>
      <c r="I2792" s="235" t="s">
        <v>21266</v>
      </c>
      <c r="J2792" s="235" t="s">
        <v>21267</v>
      </c>
      <c r="K2792" s="235" t="s">
        <v>21268</v>
      </c>
      <c r="N2792" s="235" t="s">
        <v>10</v>
      </c>
      <c r="O2792" s="235" t="s">
        <v>936</v>
      </c>
      <c r="P2792" s="238">
        <v>3.0</v>
      </c>
      <c r="Q2792" s="235" t="s">
        <v>627</v>
      </c>
      <c r="R2792" s="238">
        <v>728.58</v>
      </c>
      <c r="S2792" s="238">
        <v>36.02</v>
      </c>
      <c r="T2792" s="238">
        <v>114.3</v>
      </c>
      <c r="U2792" s="238">
        <v>5.7</v>
      </c>
      <c r="V2792" s="238">
        <v>0.0</v>
      </c>
      <c r="W2792" s="238">
        <v>0.0</v>
      </c>
      <c r="X2792" s="235" t="s">
        <v>628</v>
      </c>
      <c r="Z2792" s="245"/>
      <c r="AA2792" s="245"/>
      <c r="AB2792" s="245"/>
      <c r="AC2792" s="235" t="s">
        <v>21269</v>
      </c>
      <c r="AD2792" s="235" t="s">
        <v>917</v>
      </c>
      <c r="AE2792" s="238">
        <v>335002.0</v>
      </c>
      <c r="AF2792" s="235" t="s">
        <v>631</v>
      </c>
      <c r="AG2792" s="245"/>
      <c r="AH2792" s="245"/>
      <c r="AI2792" s="245"/>
      <c r="AJ2792" s="245"/>
      <c r="AK2792" s="245"/>
      <c r="AL2792" s="245"/>
      <c r="AM2792" s="245"/>
      <c r="AN2792" s="245"/>
      <c r="AO2792" s="238">
        <v>-8.1</v>
      </c>
      <c r="AP2792" s="238">
        <v>-114.3</v>
      </c>
      <c r="AQ2792" s="235" t="s">
        <v>632</v>
      </c>
      <c r="AR2792" s="243">
        <v>3.71E11</v>
      </c>
      <c r="AS2792" s="235" t="s">
        <v>17988</v>
      </c>
      <c r="AT2792" s="235" t="s">
        <v>13</v>
      </c>
      <c r="AU2792" s="235" t="s">
        <v>634</v>
      </c>
      <c r="AV2792" s="246" t="s">
        <v>635</v>
      </c>
      <c r="AW2792" s="227"/>
      <c r="AX2792" s="227"/>
      <c r="AY2792" s="227"/>
      <c r="AZ2792" s="227"/>
      <c r="BA2792" s="227"/>
      <c r="BB2792" s="227"/>
      <c r="BC2792" s="227"/>
      <c r="BD2792" s="227"/>
      <c r="BE2792" s="227"/>
      <c r="BF2792" s="227"/>
    </row>
    <row r="2793">
      <c r="A2793" s="235" t="s">
        <v>21262</v>
      </c>
      <c r="C2793" s="235" t="s">
        <v>21263</v>
      </c>
      <c r="D2793" s="235" t="s">
        <v>21271</v>
      </c>
      <c r="E2793" s="243">
        <v>6.53E13</v>
      </c>
      <c r="F2793" s="245"/>
      <c r="G2793" s="235" t="s">
        <v>21265</v>
      </c>
      <c r="H2793" s="235" t="s">
        <v>21266</v>
      </c>
      <c r="I2793" s="235" t="s">
        <v>21266</v>
      </c>
      <c r="J2793" s="235" t="s">
        <v>21267</v>
      </c>
      <c r="K2793" s="235" t="s">
        <v>21268</v>
      </c>
      <c r="N2793" s="235" t="s">
        <v>10</v>
      </c>
      <c r="O2793" s="235" t="s">
        <v>936</v>
      </c>
      <c r="P2793" s="238">
        <v>5.0</v>
      </c>
      <c r="Q2793" s="235" t="s">
        <v>627</v>
      </c>
      <c r="R2793" s="238">
        <v>1214.3</v>
      </c>
      <c r="S2793" s="238">
        <v>60.03</v>
      </c>
      <c r="T2793" s="238">
        <v>190.5</v>
      </c>
      <c r="U2793" s="238">
        <v>9.5</v>
      </c>
      <c r="V2793" s="238">
        <v>0.0</v>
      </c>
      <c r="W2793" s="238">
        <v>0.0</v>
      </c>
      <c r="X2793" s="235" t="s">
        <v>628</v>
      </c>
      <c r="Z2793" s="245"/>
      <c r="AA2793" s="245"/>
      <c r="AB2793" s="245"/>
      <c r="AC2793" s="235" t="s">
        <v>21269</v>
      </c>
      <c r="AD2793" s="235" t="s">
        <v>917</v>
      </c>
      <c r="AE2793" s="238">
        <v>335002.0</v>
      </c>
      <c r="AF2793" s="235" t="s">
        <v>631</v>
      </c>
      <c r="AG2793" s="245"/>
      <c r="AH2793" s="245"/>
      <c r="AI2793" s="245"/>
      <c r="AJ2793" s="245"/>
      <c r="AK2793" s="245"/>
      <c r="AL2793" s="245"/>
      <c r="AM2793" s="245"/>
      <c r="AN2793" s="245"/>
      <c r="AO2793" s="238">
        <v>-13.5</v>
      </c>
      <c r="AP2793" s="238">
        <v>-190.5</v>
      </c>
      <c r="AQ2793" s="235" t="s">
        <v>632</v>
      </c>
      <c r="AR2793" s="243">
        <v>3.71E11</v>
      </c>
      <c r="AS2793" s="235" t="s">
        <v>17988</v>
      </c>
      <c r="AT2793" s="235" t="s">
        <v>13</v>
      </c>
      <c r="AU2793" s="235" t="s">
        <v>634</v>
      </c>
      <c r="AV2793" s="246" t="s">
        <v>635</v>
      </c>
      <c r="AW2793" s="227"/>
      <c r="AX2793" s="227"/>
      <c r="AY2793" s="227"/>
      <c r="AZ2793" s="227"/>
      <c r="BA2793" s="227"/>
      <c r="BB2793" s="227"/>
      <c r="BC2793" s="227"/>
      <c r="BD2793" s="227"/>
      <c r="BE2793" s="227"/>
      <c r="BF2793" s="227"/>
    </row>
    <row r="2794">
      <c r="A2794" s="235" t="s">
        <v>21272</v>
      </c>
      <c r="C2794" s="235" t="s">
        <v>21273</v>
      </c>
      <c r="D2794" s="235" t="s">
        <v>21274</v>
      </c>
      <c r="E2794" s="243">
        <v>6.52E13</v>
      </c>
      <c r="F2794" s="245"/>
      <c r="G2794" s="235" t="s">
        <v>21275</v>
      </c>
      <c r="H2794" s="235" t="s">
        <v>21276</v>
      </c>
      <c r="I2794" s="235" t="s">
        <v>21276</v>
      </c>
      <c r="J2794" s="235" t="s">
        <v>21277</v>
      </c>
      <c r="K2794" s="235" t="s">
        <v>21278</v>
      </c>
      <c r="N2794" s="235" t="s">
        <v>61</v>
      </c>
      <c r="O2794" s="235" t="s">
        <v>382</v>
      </c>
      <c r="P2794" s="238">
        <v>1.0</v>
      </c>
      <c r="Q2794" s="235" t="s">
        <v>627</v>
      </c>
      <c r="R2794" s="238">
        <v>323.81</v>
      </c>
      <c r="S2794" s="238">
        <v>16.19</v>
      </c>
      <c r="T2794" s="238">
        <v>38.1</v>
      </c>
      <c r="U2794" s="238">
        <v>1.9</v>
      </c>
      <c r="V2794" s="238">
        <v>0.0</v>
      </c>
      <c r="W2794" s="238">
        <v>0.0</v>
      </c>
      <c r="X2794" s="235" t="s">
        <v>628</v>
      </c>
      <c r="Z2794" s="245"/>
      <c r="AA2794" s="245"/>
      <c r="AB2794" s="245"/>
      <c r="AC2794" s="235" t="s">
        <v>6571</v>
      </c>
      <c r="AD2794" s="235" t="s">
        <v>731</v>
      </c>
      <c r="AE2794" s="238">
        <v>781038.0</v>
      </c>
      <c r="AF2794" s="235" t="s">
        <v>631</v>
      </c>
      <c r="AG2794" s="245"/>
      <c r="AH2794" s="245"/>
      <c r="AI2794" s="245"/>
      <c r="AJ2794" s="245"/>
      <c r="AK2794" s="245"/>
      <c r="AL2794" s="245"/>
      <c r="AM2794" s="245"/>
      <c r="AN2794" s="245"/>
      <c r="AO2794" s="238">
        <v>0.0</v>
      </c>
      <c r="AP2794" s="238">
        <v>-38.1</v>
      </c>
      <c r="AQ2794" s="235" t="s">
        <v>632</v>
      </c>
      <c r="AR2794" s="243">
        <v>3.71E11</v>
      </c>
      <c r="AS2794" s="235" t="s">
        <v>15064</v>
      </c>
      <c r="AT2794" s="235" t="s">
        <v>14</v>
      </c>
      <c r="AU2794" s="235" t="s">
        <v>634</v>
      </c>
      <c r="AV2794" s="246" t="s">
        <v>635</v>
      </c>
      <c r="AW2794" s="227"/>
      <c r="AX2794" s="227"/>
      <c r="AY2794" s="227"/>
      <c r="AZ2794" s="227"/>
      <c r="BA2794" s="227"/>
      <c r="BB2794" s="227"/>
      <c r="BC2794" s="227"/>
      <c r="BD2794" s="227"/>
      <c r="BE2794" s="227"/>
      <c r="BF2794" s="227"/>
    </row>
    <row r="2795">
      <c r="A2795" s="235" t="s">
        <v>21279</v>
      </c>
      <c r="C2795" s="235" t="s">
        <v>21280</v>
      </c>
      <c r="D2795" s="235" t="s">
        <v>21281</v>
      </c>
      <c r="E2795" s="243">
        <v>6.53E13</v>
      </c>
      <c r="F2795" s="245"/>
      <c r="G2795" s="235" t="s">
        <v>21282</v>
      </c>
      <c r="H2795" s="235" t="s">
        <v>21283</v>
      </c>
      <c r="I2795" s="235" t="s">
        <v>21283</v>
      </c>
      <c r="J2795" s="235" t="s">
        <v>21284</v>
      </c>
      <c r="K2795" s="235" t="s">
        <v>21285</v>
      </c>
      <c r="N2795" s="235" t="s">
        <v>68</v>
      </c>
      <c r="O2795" s="235" t="s">
        <v>208</v>
      </c>
      <c r="P2795" s="238">
        <v>1.0</v>
      </c>
      <c r="Q2795" s="235" t="s">
        <v>627</v>
      </c>
      <c r="R2795" s="238">
        <v>261.9</v>
      </c>
      <c r="S2795" s="238">
        <v>13.1</v>
      </c>
      <c r="T2795" s="238">
        <v>0.0</v>
      </c>
      <c r="U2795" s="238">
        <v>0.0</v>
      </c>
      <c r="V2795" s="238">
        <v>0.0</v>
      </c>
      <c r="W2795" s="238">
        <v>0.0</v>
      </c>
      <c r="X2795" s="235" t="s">
        <v>628</v>
      </c>
      <c r="Z2795" s="245"/>
      <c r="AA2795" s="245"/>
      <c r="AB2795" s="245"/>
      <c r="AC2795" s="235" t="s">
        <v>678</v>
      </c>
      <c r="AD2795" s="235" t="s">
        <v>679</v>
      </c>
      <c r="AE2795" s="238">
        <v>560095.0</v>
      </c>
      <c r="AF2795" s="235" t="s">
        <v>631</v>
      </c>
      <c r="AG2795" s="245"/>
      <c r="AH2795" s="245"/>
      <c r="AI2795" s="245"/>
      <c r="AJ2795" s="245"/>
      <c r="AK2795" s="245"/>
      <c r="AL2795" s="245"/>
      <c r="AM2795" s="245"/>
      <c r="AN2795" s="245"/>
      <c r="AO2795" s="238">
        <v>0.0</v>
      </c>
      <c r="AP2795" s="238">
        <v>0.0</v>
      </c>
      <c r="AQ2795" s="235" t="s">
        <v>632</v>
      </c>
      <c r="AR2795" s="243">
        <v>1.68E11</v>
      </c>
      <c r="AS2795" s="235" t="s">
        <v>21120</v>
      </c>
      <c r="AT2795" s="235" t="s">
        <v>9</v>
      </c>
      <c r="AU2795" s="235" t="s">
        <v>634</v>
      </c>
      <c r="AV2795" s="246" t="s">
        <v>635</v>
      </c>
      <c r="AW2795" s="227"/>
      <c r="AX2795" s="227"/>
      <c r="AY2795" s="227"/>
      <c r="AZ2795" s="227"/>
      <c r="BA2795" s="227"/>
      <c r="BB2795" s="227"/>
      <c r="BC2795" s="227"/>
      <c r="BD2795" s="227"/>
      <c r="BE2795" s="227"/>
      <c r="BF2795" s="227"/>
    </row>
    <row r="2796">
      <c r="A2796" s="235" t="s">
        <v>21286</v>
      </c>
      <c r="C2796" s="235" t="s">
        <v>21287</v>
      </c>
      <c r="D2796" s="235" t="s">
        <v>21288</v>
      </c>
      <c r="E2796" s="243">
        <v>6.52E13</v>
      </c>
      <c r="F2796" s="245"/>
      <c r="G2796" s="235" t="s">
        <v>21289</v>
      </c>
      <c r="H2796" s="235" t="s">
        <v>21290</v>
      </c>
      <c r="I2796" s="235" t="s">
        <v>21290</v>
      </c>
      <c r="J2796" s="235" t="s">
        <v>21291</v>
      </c>
      <c r="K2796" s="235" t="s">
        <v>21292</v>
      </c>
      <c r="N2796" s="235" t="s">
        <v>92</v>
      </c>
      <c r="O2796" s="235" t="s">
        <v>248</v>
      </c>
      <c r="P2796" s="238">
        <v>1.0</v>
      </c>
      <c r="Q2796" s="235" t="s">
        <v>627</v>
      </c>
      <c r="R2796" s="238">
        <v>246.66</v>
      </c>
      <c r="S2796" s="238">
        <v>12.34</v>
      </c>
      <c r="T2796" s="238">
        <v>38.1</v>
      </c>
      <c r="U2796" s="238">
        <v>1.9</v>
      </c>
      <c r="V2796" s="238">
        <v>0.0</v>
      </c>
      <c r="W2796" s="238">
        <v>0.0</v>
      </c>
      <c r="X2796" s="235" t="s">
        <v>628</v>
      </c>
      <c r="Z2796" s="245"/>
      <c r="AA2796" s="245"/>
      <c r="AB2796" s="245"/>
      <c r="AC2796" s="235" t="s">
        <v>5203</v>
      </c>
      <c r="AD2796" s="235" t="s">
        <v>666</v>
      </c>
      <c r="AE2796" s="238">
        <v>636010.0</v>
      </c>
      <c r="AF2796" s="235" t="s">
        <v>631</v>
      </c>
      <c r="AG2796" s="245"/>
      <c r="AH2796" s="245"/>
      <c r="AI2796" s="245"/>
      <c r="AJ2796" s="245"/>
      <c r="AK2796" s="245"/>
      <c r="AL2796" s="245"/>
      <c r="AM2796" s="245"/>
      <c r="AN2796" s="245"/>
      <c r="AO2796" s="238">
        <v>0.0</v>
      </c>
      <c r="AP2796" s="238">
        <v>-38.1</v>
      </c>
      <c r="AQ2796" s="235" t="s">
        <v>632</v>
      </c>
      <c r="AR2796" s="243">
        <v>3.71E11</v>
      </c>
      <c r="AS2796" s="235" t="s">
        <v>19388</v>
      </c>
      <c r="AT2796" s="235" t="s">
        <v>155</v>
      </c>
      <c r="AU2796" s="235" t="s">
        <v>634</v>
      </c>
      <c r="AV2796" s="246" t="s">
        <v>635</v>
      </c>
      <c r="AW2796" s="227"/>
      <c r="AX2796" s="227"/>
      <c r="AY2796" s="227"/>
      <c r="AZ2796" s="227"/>
      <c r="BA2796" s="227"/>
      <c r="BB2796" s="227"/>
      <c r="BC2796" s="227"/>
      <c r="BD2796" s="227"/>
      <c r="BE2796" s="227"/>
      <c r="BF2796" s="227"/>
    </row>
    <row r="2797">
      <c r="A2797" s="235" t="s">
        <v>21293</v>
      </c>
      <c r="C2797" s="235" t="s">
        <v>21294</v>
      </c>
      <c r="D2797" s="235" t="s">
        <v>21295</v>
      </c>
      <c r="E2797" s="243">
        <v>6.53E13</v>
      </c>
      <c r="F2797" s="245"/>
      <c r="G2797" s="235" t="s">
        <v>21296</v>
      </c>
      <c r="H2797" s="235" t="s">
        <v>21297</v>
      </c>
      <c r="I2797" s="235" t="s">
        <v>21297</v>
      </c>
      <c r="J2797" s="235" t="s">
        <v>21298</v>
      </c>
      <c r="K2797" s="235" t="s">
        <v>20467</v>
      </c>
      <c r="N2797" s="235" t="s">
        <v>31</v>
      </c>
      <c r="O2797" s="235" t="s">
        <v>954</v>
      </c>
      <c r="P2797" s="238">
        <v>1.0</v>
      </c>
      <c r="Q2797" s="235" t="s">
        <v>627</v>
      </c>
      <c r="R2797" s="238">
        <v>475.24</v>
      </c>
      <c r="S2797" s="238">
        <v>23.28</v>
      </c>
      <c r="T2797" s="238">
        <v>0.0</v>
      </c>
      <c r="U2797" s="238">
        <v>0.0</v>
      </c>
      <c r="V2797" s="238">
        <v>0.0</v>
      </c>
      <c r="W2797" s="238">
        <v>0.0</v>
      </c>
      <c r="X2797" s="235" t="s">
        <v>628</v>
      </c>
      <c r="Z2797" s="245"/>
      <c r="AA2797" s="245"/>
      <c r="AB2797" s="245"/>
      <c r="AC2797" s="235" t="s">
        <v>678</v>
      </c>
      <c r="AD2797" s="235" t="s">
        <v>679</v>
      </c>
      <c r="AE2797" s="238">
        <v>560083.0</v>
      </c>
      <c r="AF2797" s="235" t="s">
        <v>631</v>
      </c>
      <c r="AG2797" s="245"/>
      <c r="AH2797" s="245"/>
      <c r="AI2797" s="245"/>
      <c r="AJ2797" s="245"/>
      <c r="AK2797" s="245"/>
      <c r="AL2797" s="245"/>
      <c r="AM2797" s="245"/>
      <c r="AN2797" s="245"/>
      <c r="AO2797" s="238">
        <v>-9.5</v>
      </c>
      <c r="AP2797" s="238">
        <v>0.0</v>
      </c>
      <c r="AQ2797" s="235" t="s">
        <v>632</v>
      </c>
      <c r="AR2797" s="243">
        <v>1.68E11</v>
      </c>
      <c r="AS2797" s="235" t="s">
        <v>21120</v>
      </c>
      <c r="AT2797" s="235" t="s">
        <v>9</v>
      </c>
      <c r="AU2797" s="235" t="s">
        <v>634</v>
      </c>
      <c r="AV2797" s="246" t="s">
        <v>635</v>
      </c>
      <c r="AW2797" s="227"/>
      <c r="AX2797" s="227"/>
      <c r="AY2797" s="227"/>
      <c r="AZ2797" s="227"/>
      <c r="BA2797" s="227"/>
      <c r="BB2797" s="227"/>
      <c r="BC2797" s="227"/>
      <c r="BD2797" s="227"/>
      <c r="BE2797" s="227"/>
      <c r="BF2797" s="227"/>
    </row>
    <row r="2798">
      <c r="A2798" s="235" t="s">
        <v>21299</v>
      </c>
      <c r="C2798" s="235" t="s">
        <v>21300</v>
      </c>
      <c r="D2798" s="235" t="s">
        <v>21301</v>
      </c>
      <c r="E2798" s="243">
        <v>6.53E13</v>
      </c>
      <c r="F2798" s="245"/>
      <c r="G2798" s="235" t="s">
        <v>21302</v>
      </c>
      <c r="H2798" s="235" t="s">
        <v>21303</v>
      </c>
      <c r="I2798" s="235" t="s">
        <v>21303</v>
      </c>
      <c r="J2798" s="235" t="s">
        <v>21304</v>
      </c>
      <c r="K2798" s="235" t="s">
        <v>21305</v>
      </c>
      <c r="N2798" s="235" t="s">
        <v>71</v>
      </c>
      <c r="O2798" s="235" t="s">
        <v>240</v>
      </c>
      <c r="P2798" s="238">
        <v>1.0</v>
      </c>
      <c r="Q2798" s="235" t="s">
        <v>627</v>
      </c>
      <c r="R2798" s="238">
        <v>246.67</v>
      </c>
      <c r="S2798" s="238">
        <v>12.33</v>
      </c>
      <c r="T2798" s="238">
        <v>0.0</v>
      </c>
      <c r="U2798" s="238">
        <v>0.0</v>
      </c>
      <c r="V2798" s="238">
        <v>0.0</v>
      </c>
      <c r="W2798" s="238">
        <v>0.0</v>
      </c>
      <c r="X2798" s="235" t="s">
        <v>628</v>
      </c>
      <c r="Z2798" s="245"/>
      <c r="AA2798" s="245"/>
      <c r="AB2798" s="245"/>
      <c r="AC2798" s="235" t="s">
        <v>21306</v>
      </c>
      <c r="AD2798" s="235" t="s">
        <v>709</v>
      </c>
      <c r="AE2798" s="238">
        <v>854328.0</v>
      </c>
      <c r="AF2798" s="235" t="s">
        <v>631</v>
      </c>
      <c r="AG2798" s="245"/>
      <c r="AH2798" s="245"/>
      <c r="AI2798" s="245"/>
      <c r="AJ2798" s="245"/>
      <c r="AK2798" s="245"/>
      <c r="AL2798" s="245"/>
      <c r="AM2798" s="245"/>
      <c r="AN2798" s="245"/>
      <c r="AO2798" s="238">
        <v>0.0</v>
      </c>
      <c r="AP2798" s="238">
        <v>0.0</v>
      </c>
      <c r="AQ2798" s="235" t="s">
        <v>632</v>
      </c>
      <c r="AR2798" s="243">
        <v>3.71E11</v>
      </c>
      <c r="AS2798" s="235" t="s">
        <v>13822</v>
      </c>
      <c r="AT2798" s="235" t="s">
        <v>14</v>
      </c>
      <c r="AU2798" s="235" t="s">
        <v>634</v>
      </c>
      <c r="AV2798" s="246" t="s">
        <v>635</v>
      </c>
      <c r="AW2798" s="227"/>
      <c r="AX2798" s="227"/>
      <c r="AY2798" s="227"/>
      <c r="AZ2798" s="227"/>
      <c r="BA2798" s="227"/>
      <c r="BB2798" s="227"/>
      <c r="BC2798" s="227"/>
      <c r="BD2798" s="227"/>
      <c r="BE2798" s="227"/>
      <c r="BF2798" s="227"/>
    </row>
    <row r="2799">
      <c r="A2799" s="235" t="s">
        <v>21307</v>
      </c>
      <c r="C2799" s="235" t="s">
        <v>21308</v>
      </c>
      <c r="D2799" s="235" t="s">
        <v>21309</v>
      </c>
      <c r="E2799" s="243">
        <v>6.53E13</v>
      </c>
      <c r="F2799" s="245"/>
      <c r="G2799" s="235" t="s">
        <v>21310</v>
      </c>
      <c r="H2799" s="235" t="s">
        <v>21311</v>
      </c>
      <c r="I2799" s="235" t="s">
        <v>21311</v>
      </c>
      <c r="J2799" s="235" t="s">
        <v>21312</v>
      </c>
      <c r="K2799" s="235" t="s">
        <v>21313</v>
      </c>
      <c r="N2799" s="235" t="s">
        <v>55</v>
      </c>
      <c r="O2799" s="235" t="s">
        <v>244</v>
      </c>
      <c r="P2799" s="238">
        <v>1.0</v>
      </c>
      <c r="Q2799" s="235" t="s">
        <v>627</v>
      </c>
      <c r="R2799" s="238">
        <v>261.9</v>
      </c>
      <c r="S2799" s="238">
        <v>12.84</v>
      </c>
      <c r="T2799" s="238">
        <v>0.0</v>
      </c>
      <c r="U2799" s="238">
        <v>0.0</v>
      </c>
      <c r="V2799" s="238">
        <v>0.0</v>
      </c>
      <c r="W2799" s="238">
        <v>0.0</v>
      </c>
      <c r="X2799" s="235" t="s">
        <v>628</v>
      </c>
      <c r="Z2799" s="245"/>
      <c r="AA2799" s="245"/>
      <c r="AB2799" s="245"/>
      <c r="AC2799" s="235" t="s">
        <v>697</v>
      </c>
      <c r="AD2799" s="235" t="s">
        <v>698</v>
      </c>
      <c r="AE2799" s="238">
        <v>500072.0</v>
      </c>
      <c r="AF2799" s="235" t="s">
        <v>631</v>
      </c>
      <c r="AG2799" s="245"/>
      <c r="AH2799" s="245"/>
      <c r="AI2799" s="245"/>
      <c r="AJ2799" s="245"/>
      <c r="AK2799" s="245"/>
      <c r="AL2799" s="245"/>
      <c r="AM2799" s="245"/>
      <c r="AN2799" s="245"/>
      <c r="AO2799" s="238">
        <v>-5.24</v>
      </c>
      <c r="AP2799" s="238">
        <v>0.0</v>
      </c>
      <c r="AQ2799" s="235" t="s">
        <v>632</v>
      </c>
      <c r="AR2799" s="243">
        <v>3.71E11</v>
      </c>
      <c r="AS2799" s="235" t="s">
        <v>19388</v>
      </c>
      <c r="AT2799" s="235" t="s">
        <v>11</v>
      </c>
      <c r="AU2799" s="235" t="s">
        <v>634</v>
      </c>
      <c r="AV2799" s="246" t="s">
        <v>635</v>
      </c>
      <c r="AW2799" s="227"/>
      <c r="AX2799" s="227"/>
      <c r="AY2799" s="227"/>
      <c r="AZ2799" s="227"/>
      <c r="BA2799" s="227"/>
      <c r="BB2799" s="227"/>
      <c r="BC2799" s="227"/>
      <c r="BD2799" s="227"/>
      <c r="BE2799" s="227"/>
      <c r="BF2799" s="227"/>
    </row>
    <row r="2800">
      <c r="A2800" s="235" t="s">
        <v>21314</v>
      </c>
      <c r="C2800" s="235" t="s">
        <v>21315</v>
      </c>
      <c r="D2800" s="235" t="s">
        <v>21316</v>
      </c>
      <c r="E2800" s="243">
        <v>6.53E13</v>
      </c>
      <c r="F2800" s="245"/>
      <c r="G2800" s="235" t="s">
        <v>21317</v>
      </c>
      <c r="H2800" s="235" t="s">
        <v>21318</v>
      </c>
      <c r="I2800" s="235" t="s">
        <v>21318</v>
      </c>
      <c r="J2800" s="235" t="s">
        <v>21319</v>
      </c>
      <c r="K2800" s="235" t="s">
        <v>21320</v>
      </c>
      <c r="N2800" s="235" t="s">
        <v>127</v>
      </c>
      <c r="O2800" s="235" t="s">
        <v>794</v>
      </c>
      <c r="P2800" s="238">
        <v>1.0</v>
      </c>
      <c r="Q2800" s="235" t="s">
        <v>627</v>
      </c>
      <c r="R2800" s="238">
        <v>270.48</v>
      </c>
      <c r="S2800" s="238">
        <v>13.52</v>
      </c>
      <c r="T2800" s="238">
        <v>0.0</v>
      </c>
      <c r="U2800" s="238">
        <v>0.0</v>
      </c>
      <c r="V2800" s="238">
        <v>0.0</v>
      </c>
      <c r="W2800" s="238">
        <v>0.0</v>
      </c>
      <c r="X2800" s="235" t="s">
        <v>628</v>
      </c>
      <c r="Z2800" s="245"/>
      <c r="AA2800" s="245"/>
      <c r="AB2800" s="245"/>
      <c r="AC2800" s="235" t="s">
        <v>1287</v>
      </c>
      <c r="AD2800" s="235" t="s">
        <v>630</v>
      </c>
      <c r="AE2800" s="238">
        <v>201011.0</v>
      </c>
      <c r="AF2800" s="235" t="s">
        <v>631</v>
      </c>
      <c r="AG2800" s="245"/>
      <c r="AH2800" s="245"/>
      <c r="AI2800" s="245"/>
      <c r="AJ2800" s="245"/>
      <c r="AK2800" s="245"/>
      <c r="AL2800" s="245"/>
      <c r="AM2800" s="245"/>
      <c r="AN2800" s="245"/>
      <c r="AO2800" s="238">
        <v>0.0</v>
      </c>
      <c r="AP2800" s="238">
        <v>0.0</v>
      </c>
      <c r="AQ2800" s="235" t="s">
        <v>632</v>
      </c>
      <c r="AR2800" s="243">
        <v>3.71E11</v>
      </c>
      <c r="AS2800" s="235" t="s">
        <v>20529</v>
      </c>
      <c r="AT2800" s="235" t="s">
        <v>14</v>
      </c>
      <c r="AU2800" s="235" t="s">
        <v>634</v>
      </c>
      <c r="AV2800" s="246" t="s">
        <v>635</v>
      </c>
      <c r="AW2800" s="227"/>
      <c r="AX2800" s="227"/>
      <c r="AY2800" s="227"/>
      <c r="AZ2800" s="227"/>
      <c r="BA2800" s="227"/>
      <c r="BB2800" s="227"/>
      <c r="BC2800" s="227"/>
      <c r="BD2800" s="227"/>
      <c r="BE2800" s="227"/>
      <c r="BF2800" s="227"/>
    </row>
    <row r="2801">
      <c r="A2801" s="235" t="s">
        <v>21321</v>
      </c>
      <c r="C2801" s="235" t="s">
        <v>21322</v>
      </c>
      <c r="D2801" s="235" t="s">
        <v>21323</v>
      </c>
      <c r="E2801" s="243">
        <v>6.53E13</v>
      </c>
      <c r="F2801" s="245"/>
      <c r="G2801" s="235" t="s">
        <v>21324</v>
      </c>
      <c r="H2801" s="235" t="s">
        <v>21325</v>
      </c>
      <c r="I2801" s="235" t="s">
        <v>21325</v>
      </c>
      <c r="J2801" s="235" t="s">
        <v>21326</v>
      </c>
      <c r="K2801" s="235" t="s">
        <v>21327</v>
      </c>
      <c r="N2801" s="235" t="s">
        <v>85</v>
      </c>
      <c r="O2801" s="235" t="s">
        <v>872</v>
      </c>
      <c r="P2801" s="238">
        <v>1.0</v>
      </c>
      <c r="Q2801" s="235" t="s">
        <v>627</v>
      </c>
      <c r="R2801" s="238">
        <v>246.67</v>
      </c>
      <c r="S2801" s="238">
        <v>12.08</v>
      </c>
      <c r="T2801" s="238">
        <v>0.0</v>
      </c>
      <c r="U2801" s="238">
        <v>0.0</v>
      </c>
      <c r="V2801" s="238">
        <v>0.0</v>
      </c>
      <c r="W2801" s="238">
        <v>0.0</v>
      </c>
      <c r="X2801" s="235" t="s">
        <v>628</v>
      </c>
      <c r="Z2801" s="245"/>
      <c r="AA2801" s="245"/>
      <c r="AB2801" s="245"/>
      <c r="AC2801" s="235" t="s">
        <v>12526</v>
      </c>
      <c r="AD2801" s="235" t="s">
        <v>1151</v>
      </c>
      <c r="AE2801" s="238">
        <v>721423.0</v>
      </c>
      <c r="AF2801" s="235" t="s">
        <v>631</v>
      </c>
      <c r="AG2801" s="245"/>
      <c r="AH2801" s="245"/>
      <c r="AI2801" s="245"/>
      <c r="AJ2801" s="245"/>
      <c r="AK2801" s="245"/>
      <c r="AL2801" s="245"/>
      <c r="AM2801" s="245"/>
      <c r="AN2801" s="245"/>
      <c r="AO2801" s="238">
        <v>-4.93</v>
      </c>
      <c r="AP2801" s="238">
        <v>0.0</v>
      </c>
      <c r="AQ2801" s="235" t="s">
        <v>632</v>
      </c>
      <c r="AR2801" s="243">
        <v>3.71E11</v>
      </c>
      <c r="AS2801" s="235" t="s">
        <v>15064</v>
      </c>
      <c r="AT2801" s="235" t="s">
        <v>14</v>
      </c>
      <c r="AU2801" s="235" t="s">
        <v>634</v>
      </c>
      <c r="AV2801" s="246" t="s">
        <v>635</v>
      </c>
      <c r="AW2801" s="227"/>
      <c r="AX2801" s="227"/>
      <c r="AY2801" s="227"/>
      <c r="AZ2801" s="227"/>
      <c r="BA2801" s="227"/>
      <c r="BB2801" s="227"/>
      <c r="BC2801" s="227"/>
      <c r="BD2801" s="227"/>
      <c r="BE2801" s="227"/>
      <c r="BF2801" s="227"/>
    </row>
    <row r="2802">
      <c r="A2802" s="235" t="s">
        <v>21328</v>
      </c>
      <c r="C2802" s="235" t="s">
        <v>21329</v>
      </c>
      <c r="D2802" s="235" t="s">
        <v>21330</v>
      </c>
      <c r="E2802" s="243">
        <v>6.53E13</v>
      </c>
      <c r="F2802" s="245"/>
      <c r="G2802" s="235" t="s">
        <v>21331</v>
      </c>
      <c r="H2802" s="235" t="s">
        <v>21332</v>
      </c>
      <c r="I2802" s="235" t="s">
        <v>21332</v>
      </c>
      <c r="J2802" s="235" t="s">
        <v>21333</v>
      </c>
      <c r="K2802" s="235" t="s">
        <v>21334</v>
      </c>
      <c r="N2802" s="235" t="s">
        <v>68</v>
      </c>
      <c r="O2802" s="235" t="s">
        <v>208</v>
      </c>
      <c r="P2802" s="238">
        <v>1.0</v>
      </c>
      <c r="Q2802" s="235" t="s">
        <v>627</v>
      </c>
      <c r="R2802" s="238">
        <v>246.67</v>
      </c>
      <c r="S2802" s="238">
        <v>12.33</v>
      </c>
      <c r="T2802" s="238">
        <v>0.0</v>
      </c>
      <c r="U2802" s="238">
        <v>0.0</v>
      </c>
      <c r="V2802" s="238">
        <v>0.0</v>
      </c>
      <c r="W2802" s="238">
        <v>0.0</v>
      </c>
      <c r="X2802" s="235" t="s">
        <v>628</v>
      </c>
      <c r="Z2802" s="245"/>
      <c r="AA2802" s="245"/>
      <c r="AB2802" s="245"/>
      <c r="AC2802" s="235" t="s">
        <v>21335</v>
      </c>
      <c r="AD2802" s="235" t="s">
        <v>645</v>
      </c>
      <c r="AE2802" s="238">
        <v>682024.0</v>
      </c>
      <c r="AF2802" s="235" t="s">
        <v>631</v>
      </c>
      <c r="AG2802" s="245"/>
      <c r="AH2802" s="245"/>
      <c r="AI2802" s="245"/>
      <c r="AJ2802" s="245"/>
      <c r="AK2802" s="245"/>
      <c r="AL2802" s="245"/>
      <c r="AM2802" s="245"/>
      <c r="AN2802" s="245"/>
      <c r="AO2802" s="238">
        <v>0.0</v>
      </c>
      <c r="AP2802" s="238">
        <v>0.0</v>
      </c>
      <c r="AQ2802" s="235" t="s">
        <v>632</v>
      </c>
      <c r="AR2802" s="243">
        <v>3.71E11</v>
      </c>
      <c r="AS2802" s="235" t="s">
        <v>19388</v>
      </c>
      <c r="AT2802" s="235" t="s">
        <v>155</v>
      </c>
      <c r="AU2802" s="235" t="s">
        <v>634</v>
      </c>
      <c r="AV2802" s="246" t="s">
        <v>635</v>
      </c>
      <c r="AW2802" s="227"/>
      <c r="AX2802" s="227"/>
      <c r="AY2802" s="227"/>
      <c r="AZ2802" s="227"/>
      <c r="BA2802" s="227"/>
      <c r="BB2802" s="227"/>
      <c r="BC2802" s="227"/>
      <c r="BD2802" s="227"/>
      <c r="BE2802" s="227"/>
      <c r="BF2802" s="227"/>
    </row>
    <row r="2803">
      <c r="A2803" s="235" t="s">
        <v>21336</v>
      </c>
      <c r="C2803" s="235" t="s">
        <v>21337</v>
      </c>
      <c r="D2803" s="235" t="s">
        <v>21338</v>
      </c>
      <c r="E2803" s="243">
        <v>6.52E13</v>
      </c>
      <c r="F2803" s="245"/>
      <c r="G2803" s="235" t="s">
        <v>21339</v>
      </c>
      <c r="H2803" s="235" t="s">
        <v>21340</v>
      </c>
      <c r="I2803" s="235" t="s">
        <v>21340</v>
      </c>
      <c r="J2803" s="235" t="s">
        <v>21341</v>
      </c>
      <c r="K2803" s="235" t="s">
        <v>21342</v>
      </c>
      <c r="N2803" s="235" t="s">
        <v>55</v>
      </c>
      <c r="O2803" s="235" t="s">
        <v>244</v>
      </c>
      <c r="P2803" s="238">
        <v>1.0</v>
      </c>
      <c r="Q2803" s="235" t="s">
        <v>627</v>
      </c>
      <c r="R2803" s="238">
        <v>246.67</v>
      </c>
      <c r="S2803" s="238">
        <v>12.33</v>
      </c>
      <c r="T2803" s="238">
        <v>38.1</v>
      </c>
      <c r="U2803" s="238">
        <v>1.9</v>
      </c>
      <c r="V2803" s="238">
        <v>0.0</v>
      </c>
      <c r="W2803" s="238">
        <v>0.0</v>
      </c>
      <c r="X2803" s="235" t="s">
        <v>628</v>
      </c>
      <c r="Z2803" s="245"/>
      <c r="AA2803" s="245"/>
      <c r="AB2803" s="245"/>
      <c r="AC2803" s="235" t="s">
        <v>10363</v>
      </c>
      <c r="AD2803" s="235" t="s">
        <v>645</v>
      </c>
      <c r="AE2803" s="238">
        <v>682508.0</v>
      </c>
      <c r="AF2803" s="235" t="s">
        <v>631</v>
      </c>
      <c r="AG2803" s="245"/>
      <c r="AH2803" s="245"/>
      <c r="AI2803" s="245"/>
      <c r="AJ2803" s="245"/>
      <c r="AK2803" s="245"/>
      <c r="AL2803" s="245"/>
      <c r="AM2803" s="245"/>
      <c r="AN2803" s="245"/>
      <c r="AO2803" s="238">
        <v>0.0</v>
      </c>
      <c r="AP2803" s="238">
        <v>-38.1</v>
      </c>
      <c r="AQ2803" s="235" t="s">
        <v>632</v>
      </c>
      <c r="AR2803" s="243">
        <v>3.71E11</v>
      </c>
      <c r="AS2803" s="235" t="s">
        <v>17988</v>
      </c>
      <c r="AT2803" s="235" t="s">
        <v>9</v>
      </c>
      <c r="AU2803" s="235" t="s">
        <v>634</v>
      </c>
      <c r="AV2803" s="246" t="s">
        <v>635</v>
      </c>
      <c r="AW2803" s="227"/>
      <c r="AX2803" s="227"/>
      <c r="AY2803" s="227"/>
      <c r="AZ2803" s="227"/>
      <c r="BA2803" s="227"/>
      <c r="BB2803" s="227"/>
      <c r="BC2803" s="227"/>
      <c r="BD2803" s="227"/>
      <c r="BE2803" s="227"/>
      <c r="BF2803" s="227"/>
    </row>
    <row r="2804">
      <c r="A2804" s="235" t="s">
        <v>21343</v>
      </c>
      <c r="C2804" s="235" t="s">
        <v>21344</v>
      </c>
      <c r="D2804" s="235" t="s">
        <v>21345</v>
      </c>
      <c r="E2804" s="243">
        <v>6.53E13</v>
      </c>
      <c r="F2804" s="245"/>
      <c r="G2804" s="235" t="s">
        <v>21346</v>
      </c>
      <c r="H2804" s="235" t="s">
        <v>21347</v>
      </c>
      <c r="I2804" s="235" t="s">
        <v>21347</v>
      </c>
      <c r="J2804" s="235" t="s">
        <v>21348</v>
      </c>
      <c r="K2804" s="235" t="s">
        <v>21349</v>
      </c>
      <c r="N2804" s="235" t="s">
        <v>141</v>
      </c>
      <c r="O2804" s="235" t="s">
        <v>342</v>
      </c>
      <c r="P2804" s="238">
        <v>1.0</v>
      </c>
      <c r="Q2804" s="235" t="s">
        <v>627</v>
      </c>
      <c r="R2804" s="238">
        <v>243.8</v>
      </c>
      <c r="S2804" s="238">
        <v>12.2</v>
      </c>
      <c r="T2804" s="238">
        <v>38.1</v>
      </c>
      <c r="U2804" s="238">
        <v>1.9</v>
      </c>
      <c r="V2804" s="238">
        <v>0.0</v>
      </c>
      <c r="W2804" s="238">
        <v>0.0</v>
      </c>
      <c r="X2804" s="235" t="s">
        <v>628</v>
      </c>
      <c r="Z2804" s="245"/>
      <c r="AA2804" s="245"/>
      <c r="AB2804" s="245"/>
      <c r="AC2804" s="235" t="s">
        <v>21350</v>
      </c>
      <c r="AD2804" s="235" t="s">
        <v>928</v>
      </c>
      <c r="AE2804" s="238">
        <v>136118.0</v>
      </c>
      <c r="AF2804" s="235" t="s">
        <v>631</v>
      </c>
      <c r="AG2804" s="245"/>
      <c r="AH2804" s="245"/>
      <c r="AI2804" s="245"/>
      <c r="AJ2804" s="245"/>
      <c r="AK2804" s="245"/>
      <c r="AL2804" s="245"/>
      <c r="AM2804" s="245"/>
      <c r="AN2804" s="245"/>
      <c r="AO2804" s="238">
        <v>0.0</v>
      </c>
      <c r="AP2804" s="238">
        <v>-38.1</v>
      </c>
      <c r="AQ2804" s="235" t="s">
        <v>632</v>
      </c>
      <c r="AR2804" s="243">
        <v>3.71E11</v>
      </c>
      <c r="AS2804" s="235" t="s">
        <v>17988</v>
      </c>
      <c r="AT2804" s="235" t="s">
        <v>13</v>
      </c>
      <c r="AU2804" s="235" t="s">
        <v>634</v>
      </c>
      <c r="AV2804" s="246" t="s">
        <v>635</v>
      </c>
      <c r="AW2804" s="227"/>
      <c r="AX2804" s="227"/>
      <c r="AY2804" s="227"/>
      <c r="AZ2804" s="227"/>
      <c r="BA2804" s="227"/>
      <c r="BB2804" s="227"/>
      <c r="BC2804" s="227"/>
      <c r="BD2804" s="227"/>
      <c r="BE2804" s="227"/>
      <c r="BF2804" s="227"/>
    </row>
    <row r="2805">
      <c r="A2805" s="235" t="s">
        <v>21351</v>
      </c>
      <c r="C2805" s="235" t="s">
        <v>21352</v>
      </c>
      <c r="D2805" s="235" t="s">
        <v>21353</v>
      </c>
      <c r="E2805" s="243">
        <v>6.53E13</v>
      </c>
      <c r="F2805" s="245"/>
      <c r="G2805" s="235" t="s">
        <v>21354</v>
      </c>
      <c r="H2805" s="235" t="s">
        <v>21355</v>
      </c>
      <c r="I2805" s="235" t="s">
        <v>21355</v>
      </c>
      <c r="J2805" s="235" t="s">
        <v>21356</v>
      </c>
      <c r="K2805" s="235" t="s">
        <v>21357</v>
      </c>
      <c r="N2805" s="235" t="s">
        <v>141</v>
      </c>
      <c r="O2805" s="235" t="s">
        <v>342</v>
      </c>
      <c r="P2805" s="238">
        <v>1.0</v>
      </c>
      <c r="Q2805" s="235" t="s">
        <v>627</v>
      </c>
      <c r="R2805" s="238">
        <v>270.48</v>
      </c>
      <c r="S2805" s="238">
        <v>13.52</v>
      </c>
      <c r="T2805" s="238">
        <v>0.0</v>
      </c>
      <c r="U2805" s="238">
        <v>0.0</v>
      </c>
      <c r="V2805" s="238">
        <v>0.0</v>
      </c>
      <c r="W2805" s="238">
        <v>0.0</v>
      </c>
      <c r="X2805" s="235" t="s">
        <v>628</v>
      </c>
      <c r="Z2805" s="245"/>
      <c r="AA2805" s="245"/>
      <c r="AB2805" s="245"/>
      <c r="AC2805" s="235" t="s">
        <v>1320</v>
      </c>
      <c r="AD2805" s="235" t="s">
        <v>666</v>
      </c>
      <c r="AE2805" s="238">
        <v>600042.0</v>
      </c>
      <c r="AF2805" s="235" t="s">
        <v>631</v>
      </c>
      <c r="AG2805" s="245"/>
      <c r="AH2805" s="245"/>
      <c r="AI2805" s="245"/>
      <c r="AJ2805" s="245"/>
      <c r="AK2805" s="245"/>
      <c r="AL2805" s="245"/>
      <c r="AM2805" s="245"/>
      <c r="AN2805" s="245"/>
      <c r="AO2805" s="238">
        <v>0.0</v>
      </c>
      <c r="AP2805" s="238">
        <v>0.0</v>
      </c>
      <c r="AQ2805" s="235" t="s">
        <v>632</v>
      </c>
      <c r="AR2805" s="243">
        <v>1.68E11</v>
      </c>
      <c r="AS2805" s="235" t="s">
        <v>21120</v>
      </c>
      <c r="AT2805" s="235" t="s">
        <v>156</v>
      </c>
      <c r="AU2805" s="235" t="s">
        <v>634</v>
      </c>
      <c r="AV2805" s="246" t="s">
        <v>635</v>
      </c>
      <c r="AW2805" s="227"/>
      <c r="AX2805" s="227"/>
      <c r="AY2805" s="227"/>
      <c r="AZ2805" s="227"/>
      <c r="BA2805" s="227"/>
      <c r="BB2805" s="227"/>
      <c r="BC2805" s="227"/>
      <c r="BD2805" s="227"/>
      <c r="BE2805" s="227"/>
      <c r="BF2805" s="227"/>
    </row>
    <row r="2806">
      <c r="A2806" s="235" t="s">
        <v>21358</v>
      </c>
      <c r="C2806" s="235" t="s">
        <v>21359</v>
      </c>
      <c r="D2806" s="235" t="s">
        <v>21360</v>
      </c>
      <c r="E2806" s="243">
        <v>6.52E13</v>
      </c>
      <c r="F2806" s="245"/>
      <c r="G2806" s="235" t="s">
        <v>21361</v>
      </c>
      <c r="H2806" s="235" t="s">
        <v>21362</v>
      </c>
      <c r="I2806" s="235" t="s">
        <v>21362</v>
      </c>
      <c r="J2806" s="235" t="s">
        <v>21363</v>
      </c>
      <c r="K2806" s="235" t="s">
        <v>21364</v>
      </c>
      <c r="N2806" s="235" t="s">
        <v>53</v>
      </c>
      <c r="O2806" s="235" t="s">
        <v>512</v>
      </c>
      <c r="P2806" s="238">
        <v>1.0</v>
      </c>
      <c r="Q2806" s="235" t="s">
        <v>627</v>
      </c>
      <c r="R2806" s="238">
        <v>237.14</v>
      </c>
      <c r="S2806" s="238">
        <v>11.86</v>
      </c>
      <c r="T2806" s="238">
        <v>0.0</v>
      </c>
      <c r="U2806" s="238">
        <v>0.0</v>
      </c>
      <c r="V2806" s="238">
        <v>0.0</v>
      </c>
      <c r="W2806" s="238">
        <v>0.0</v>
      </c>
      <c r="X2806" s="235" t="s">
        <v>628</v>
      </c>
      <c r="Z2806" s="245"/>
      <c r="AA2806" s="245"/>
      <c r="AB2806" s="245"/>
      <c r="AC2806" s="235" t="s">
        <v>1456</v>
      </c>
      <c r="AD2806" s="235" t="s">
        <v>928</v>
      </c>
      <c r="AE2806" s="238">
        <v>122002.0</v>
      </c>
      <c r="AF2806" s="235" t="s">
        <v>631</v>
      </c>
      <c r="AG2806" s="245"/>
      <c r="AH2806" s="245"/>
      <c r="AI2806" s="245"/>
      <c r="AJ2806" s="245"/>
      <c r="AK2806" s="245"/>
      <c r="AL2806" s="245"/>
      <c r="AM2806" s="245"/>
      <c r="AN2806" s="245"/>
      <c r="AO2806" s="238">
        <v>0.0</v>
      </c>
      <c r="AP2806" s="238">
        <v>0.0</v>
      </c>
      <c r="AQ2806" s="235" t="s">
        <v>632</v>
      </c>
      <c r="AR2806" s="243">
        <v>3.71E11</v>
      </c>
      <c r="AS2806" s="235" t="s">
        <v>20529</v>
      </c>
      <c r="AT2806" s="235" t="s">
        <v>533</v>
      </c>
      <c r="AU2806" s="235" t="s">
        <v>634</v>
      </c>
      <c r="AV2806" s="246" t="s">
        <v>635</v>
      </c>
      <c r="AW2806" s="227"/>
      <c r="AX2806" s="227"/>
      <c r="AY2806" s="227"/>
      <c r="AZ2806" s="227"/>
      <c r="BA2806" s="227"/>
      <c r="BB2806" s="227"/>
      <c r="BC2806" s="227"/>
      <c r="BD2806" s="227"/>
      <c r="BE2806" s="227"/>
      <c r="BF2806" s="227"/>
    </row>
    <row r="2807">
      <c r="A2807" s="235" t="s">
        <v>21365</v>
      </c>
      <c r="C2807" s="235" t="s">
        <v>21366</v>
      </c>
      <c r="D2807" s="235" t="s">
        <v>21367</v>
      </c>
      <c r="E2807" s="243">
        <v>6.52E13</v>
      </c>
      <c r="F2807" s="245"/>
      <c r="G2807" s="235" t="s">
        <v>21368</v>
      </c>
      <c r="H2807" s="235" t="s">
        <v>21369</v>
      </c>
      <c r="I2807" s="235" t="s">
        <v>21369</v>
      </c>
      <c r="J2807" s="235" t="s">
        <v>21370</v>
      </c>
      <c r="K2807" s="235" t="s">
        <v>21371</v>
      </c>
      <c r="N2807" s="235" t="s">
        <v>54</v>
      </c>
      <c r="O2807" s="235" t="s">
        <v>294</v>
      </c>
      <c r="P2807" s="238">
        <v>1.0</v>
      </c>
      <c r="Q2807" s="235" t="s">
        <v>627</v>
      </c>
      <c r="R2807" s="238">
        <v>246.67</v>
      </c>
      <c r="S2807" s="238">
        <v>12.33</v>
      </c>
      <c r="T2807" s="238">
        <v>38.1</v>
      </c>
      <c r="U2807" s="238">
        <v>1.9</v>
      </c>
      <c r="V2807" s="238">
        <v>0.0</v>
      </c>
      <c r="W2807" s="238">
        <v>0.0</v>
      </c>
      <c r="X2807" s="235" t="s">
        <v>628</v>
      </c>
      <c r="Z2807" s="245"/>
      <c r="AA2807" s="245"/>
      <c r="AB2807" s="245"/>
      <c r="AC2807" s="235" t="s">
        <v>697</v>
      </c>
      <c r="AD2807" s="235" t="s">
        <v>19002</v>
      </c>
      <c r="AE2807" s="238">
        <v>500033.0</v>
      </c>
      <c r="AF2807" s="235" t="s">
        <v>631</v>
      </c>
      <c r="AG2807" s="245"/>
      <c r="AH2807" s="245"/>
      <c r="AI2807" s="245"/>
      <c r="AJ2807" s="245"/>
      <c r="AK2807" s="245"/>
      <c r="AL2807" s="245"/>
      <c r="AM2807" s="245"/>
      <c r="AN2807" s="245"/>
      <c r="AO2807" s="238">
        <v>0.0</v>
      </c>
      <c r="AP2807" s="238">
        <v>-38.1</v>
      </c>
      <c r="AQ2807" s="235" t="s">
        <v>632</v>
      </c>
      <c r="AR2807" s="243">
        <v>3.71E11</v>
      </c>
      <c r="AS2807" s="235" t="s">
        <v>17988</v>
      </c>
      <c r="AT2807" s="235" t="s">
        <v>156</v>
      </c>
      <c r="AU2807" s="235" t="s">
        <v>634</v>
      </c>
      <c r="AV2807" s="246" t="s">
        <v>635</v>
      </c>
      <c r="AW2807" s="227"/>
      <c r="AX2807" s="227"/>
      <c r="AY2807" s="227"/>
      <c r="AZ2807" s="227"/>
      <c r="BA2807" s="227"/>
      <c r="BB2807" s="227"/>
      <c r="BC2807" s="227"/>
      <c r="BD2807" s="227"/>
      <c r="BE2807" s="227"/>
      <c r="BF2807" s="227"/>
    </row>
    <row r="2808">
      <c r="A2808" s="235" t="s">
        <v>21372</v>
      </c>
      <c r="C2808" s="235" t="s">
        <v>21373</v>
      </c>
      <c r="D2808" s="235" t="s">
        <v>21374</v>
      </c>
      <c r="E2808" s="243">
        <v>6.53E13</v>
      </c>
      <c r="F2808" s="245"/>
      <c r="G2808" s="235" t="s">
        <v>21375</v>
      </c>
      <c r="H2808" s="235" t="s">
        <v>21376</v>
      </c>
      <c r="I2808" s="235" t="s">
        <v>21376</v>
      </c>
      <c r="J2808" s="235" t="s">
        <v>21377</v>
      </c>
      <c r="K2808" s="235" t="s">
        <v>21378</v>
      </c>
      <c r="N2808" s="235" t="s">
        <v>842</v>
      </c>
      <c r="O2808" s="235" t="s">
        <v>843</v>
      </c>
      <c r="P2808" s="238">
        <v>1.0</v>
      </c>
      <c r="Q2808" s="235" t="s">
        <v>627</v>
      </c>
      <c r="R2808" s="238">
        <v>270.48</v>
      </c>
      <c r="S2808" s="238">
        <v>13.52</v>
      </c>
      <c r="T2808" s="238">
        <v>0.0</v>
      </c>
      <c r="U2808" s="238">
        <v>0.0</v>
      </c>
      <c r="V2808" s="238">
        <v>0.0</v>
      </c>
      <c r="W2808" s="238">
        <v>0.0</v>
      </c>
      <c r="X2808" s="235" t="s">
        <v>628</v>
      </c>
      <c r="Z2808" s="245"/>
      <c r="AA2808" s="245"/>
      <c r="AB2808" s="245"/>
      <c r="AC2808" s="235" t="s">
        <v>678</v>
      </c>
      <c r="AD2808" s="235" t="s">
        <v>679</v>
      </c>
      <c r="AE2808" s="238">
        <v>560056.0</v>
      </c>
      <c r="AF2808" s="235" t="s">
        <v>631</v>
      </c>
      <c r="AG2808" s="245"/>
      <c r="AH2808" s="245"/>
      <c r="AI2808" s="245"/>
      <c r="AJ2808" s="245"/>
      <c r="AK2808" s="245"/>
      <c r="AL2808" s="245"/>
      <c r="AM2808" s="245"/>
      <c r="AN2808" s="245"/>
      <c r="AO2808" s="238">
        <v>0.0</v>
      </c>
      <c r="AP2808" s="238">
        <v>0.0</v>
      </c>
      <c r="AQ2808" s="235" t="s">
        <v>632</v>
      </c>
      <c r="AR2808" s="243">
        <v>3.71E11</v>
      </c>
      <c r="AS2808" s="235" t="s">
        <v>20529</v>
      </c>
      <c r="AT2808" s="235" t="s">
        <v>11</v>
      </c>
      <c r="AU2808" s="235" t="s">
        <v>634</v>
      </c>
      <c r="AV2808" s="246" t="s">
        <v>635</v>
      </c>
      <c r="AW2808" s="227"/>
      <c r="AX2808" s="227"/>
      <c r="AY2808" s="227"/>
      <c r="AZ2808" s="227"/>
      <c r="BA2808" s="227"/>
      <c r="BB2808" s="227"/>
      <c r="BC2808" s="227"/>
      <c r="BD2808" s="227"/>
      <c r="BE2808" s="227"/>
      <c r="BF2808" s="227"/>
    </row>
    <row r="2809">
      <c r="A2809" s="235" t="s">
        <v>21379</v>
      </c>
      <c r="C2809" s="235" t="s">
        <v>21380</v>
      </c>
      <c r="D2809" s="235" t="s">
        <v>21381</v>
      </c>
      <c r="E2809" s="243">
        <v>6.53E13</v>
      </c>
      <c r="F2809" s="245"/>
      <c r="G2809" s="235" t="s">
        <v>21382</v>
      </c>
      <c r="H2809" s="235" t="s">
        <v>21383</v>
      </c>
      <c r="I2809" s="235" t="s">
        <v>21383</v>
      </c>
      <c r="J2809" s="235" t="s">
        <v>21384</v>
      </c>
      <c r="K2809" s="235" t="s">
        <v>21385</v>
      </c>
      <c r="N2809" s="235" t="s">
        <v>54</v>
      </c>
      <c r="O2809" s="235" t="s">
        <v>294</v>
      </c>
      <c r="P2809" s="238">
        <v>1.0</v>
      </c>
      <c r="Q2809" s="235" t="s">
        <v>627</v>
      </c>
      <c r="R2809" s="238">
        <v>261.9</v>
      </c>
      <c r="S2809" s="238">
        <v>13.1</v>
      </c>
      <c r="T2809" s="238">
        <v>38.1</v>
      </c>
      <c r="U2809" s="238">
        <v>1.9</v>
      </c>
      <c r="V2809" s="238">
        <v>0.0</v>
      </c>
      <c r="W2809" s="238">
        <v>0.0</v>
      </c>
      <c r="X2809" s="235" t="s">
        <v>628</v>
      </c>
      <c r="Z2809" s="245"/>
      <c r="AA2809" s="245"/>
      <c r="AB2809" s="245"/>
      <c r="AC2809" s="235" t="s">
        <v>795</v>
      </c>
      <c r="AD2809" s="235" t="s">
        <v>796</v>
      </c>
      <c r="AE2809" s="238">
        <v>110085.0</v>
      </c>
      <c r="AF2809" s="235" t="s">
        <v>631</v>
      </c>
      <c r="AG2809" s="245"/>
      <c r="AH2809" s="245"/>
      <c r="AI2809" s="245"/>
      <c r="AJ2809" s="245"/>
      <c r="AK2809" s="245"/>
      <c r="AL2809" s="245"/>
      <c r="AM2809" s="245"/>
      <c r="AN2809" s="245"/>
      <c r="AO2809" s="238">
        <v>0.0</v>
      </c>
      <c r="AP2809" s="238">
        <v>-38.1</v>
      </c>
      <c r="AQ2809" s="235" t="s">
        <v>632</v>
      </c>
      <c r="AR2809" s="243">
        <v>3.71E11</v>
      </c>
      <c r="AS2809" s="235" t="s">
        <v>17988</v>
      </c>
      <c r="AT2809" s="235" t="s">
        <v>17</v>
      </c>
      <c r="AU2809" s="235" t="s">
        <v>634</v>
      </c>
      <c r="AV2809" s="246" t="s">
        <v>635</v>
      </c>
      <c r="AW2809" s="227"/>
      <c r="AX2809" s="227"/>
      <c r="AY2809" s="227"/>
      <c r="AZ2809" s="227"/>
      <c r="BA2809" s="227"/>
      <c r="BB2809" s="227"/>
      <c r="BC2809" s="227"/>
      <c r="BD2809" s="227"/>
      <c r="BE2809" s="227"/>
      <c r="BF2809" s="227"/>
    </row>
    <row r="2810">
      <c r="A2810" s="235" t="s">
        <v>21386</v>
      </c>
      <c r="C2810" s="235" t="s">
        <v>21387</v>
      </c>
      <c r="D2810" s="235" t="s">
        <v>21388</v>
      </c>
      <c r="E2810" s="243">
        <v>6.52E13</v>
      </c>
      <c r="F2810" s="245"/>
      <c r="G2810" s="235" t="s">
        <v>21389</v>
      </c>
      <c r="H2810" s="235" t="s">
        <v>21390</v>
      </c>
      <c r="I2810" s="235" t="s">
        <v>21390</v>
      </c>
      <c r="J2810" s="235" t="s">
        <v>21391</v>
      </c>
      <c r="K2810" s="235" t="s">
        <v>21392</v>
      </c>
      <c r="N2810" s="235" t="s">
        <v>132</v>
      </c>
      <c r="O2810" s="235" t="s">
        <v>8600</v>
      </c>
      <c r="P2810" s="238">
        <v>1.0</v>
      </c>
      <c r="Q2810" s="235" t="s">
        <v>627</v>
      </c>
      <c r="R2810" s="238">
        <v>246.67</v>
      </c>
      <c r="S2810" s="238">
        <v>12.33</v>
      </c>
      <c r="T2810" s="238">
        <v>38.1</v>
      </c>
      <c r="U2810" s="238">
        <v>1.9</v>
      </c>
      <c r="V2810" s="238">
        <v>0.0</v>
      </c>
      <c r="W2810" s="238">
        <v>0.0</v>
      </c>
      <c r="X2810" s="235" t="s">
        <v>628</v>
      </c>
      <c r="Z2810" s="245"/>
      <c r="AA2810" s="245"/>
      <c r="AB2810" s="245"/>
      <c r="AC2810" s="235" t="s">
        <v>21393</v>
      </c>
      <c r="AD2810" s="235" t="s">
        <v>731</v>
      </c>
      <c r="AE2810" s="238">
        <v>782123.0</v>
      </c>
      <c r="AF2810" s="235" t="s">
        <v>631</v>
      </c>
      <c r="AG2810" s="245"/>
      <c r="AH2810" s="245"/>
      <c r="AI2810" s="245"/>
      <c r="AJ2810" s="245"/>
      <c r="AK2810" s="245"/>
      <c r="AL2810" s="245"/>
      <c r="AM2810" s="245"/>
      <c r="AN2810" s="245"/>
      <c r="AO2810" s="238">
        <v>0.0</v>
      </c>
      <c r="AP2810" s="238">
        <v>-38.1</v>
      </c>
      <c r="AQ2810" s="235" t="s">
        <v>632</v>
      </c>
      <c r="AR2810" s="243">
        <v>3.71E11</v>
      </c>
      <c r="AS2810" s="235" t="s">
        <v>13822</v>
      </c>
      <c r="AT2810" s="235" t="s">
        <v>13</v>
      </c>
      <c r="AU2810" s="235" t="s">
        <v>634</v>
      </c>
      <c r="AV2810" s="246" t="s">
        <v>635</v>
      </c>
      <c r="AW2810" s="227"/>
      <c r="AX2810" s="227"/>
      <c r="AY2810" s="227"/>
      <c r="AZ2810" s="227"/>
      <c r="BA2810" s="227"/>
      <c r="BB2810" s="227"/>
      <c r="BC2810" s="227"/>
      <c r="BD2810" s="227"/>
      <c r="BE2810" s="227"/>
      <c r="BF2810" s="227"/>
    </row>
    <row r="2811">
      <c r="A2811" s="235" t="s">
        <v>21394</v>
      </c>
      <c r="C2811" s="235" t="s">
        <v>21395</v>
      </c>
      <c r="D2811" s="235" t="s">
        <v>21396</v>
      </c>
      <c r="E2811" s="243">
        <v>6.53E13</v>
      </c>
      <c r="F2811" s="245"/>
      <c r="G2811" s="235" t="s">
        <v>21397</v>
      </c>
      <c r="H2811" s="235" t="s">
        <v>21398</v>
      </c>
      <c r="I2811" s="235" t="s">
        <v>21398</v>
      </c>
      <c r="J2811" s="235" t="s">
        <v>21399</v>
      </c>
      <c r="K2811" s="235" t="s">
        <v>21400</v>
      </c>
      <c r="N2811" s="235" t="s">
        <v>54</v>
      </c>
      <c r="O2811" s="235" t="s">
        <v>294</v>
      </c>
      <c r="P2811" s="238">
        <v>1.0</v>
      </c>
      <c r="Q2811" s="235" t="s">
        <v>627</v>
      </c>
      <c r="R2811" s="238">
        <v>233.33</v>
      </c>
      <c r="S2811" s="238">
        <v>11.67</v>
      </c>
      <c r="T2811" s="238">
        <v>38.1</v>
      </c>
      <c r="U2811" s="238">
        <v>1.9</v>
      </c>
      <c r="V2811" s="238">
        <v>0.0</v>
      </c>
      <c r="W2811" s="238">
        <v>0.0</v>
      </c>
      <c r="X2811" s="235" t="s">
        <v>628</v>
      </c>
      <c r="Z2811" s="245"/>
      <c r="AA2811" s="245"/>
      <c r="AB2811" s="245"/>
      <c r="AC2811" s="235" t="s">
        <v>21401</v>
      </c>
      <c r="AD2811" s="235" t="s">
        <v>1077</v>
      </c>
      <c r="AE2811" s="238">
        <v>389190.0</v>
      </c>
      <c r="AF2811" s="235" t="s">
        <v>631</v>
      </c>
      <c r="AG2811" s="245"/>
      <c r="AH2811" s="245"/>
      <c r="AI2811" s="245"/>
      <c r="AJ2811" s="245"/>
      <c r="AK2811" s="245"/>
      <c r="AL2811" s="245"/>
      <c r="AM2811" s="245"/>
      <c r="AN2811" s="245"/>
      <c r="AO2811" s="238">
        <v>0.0</v>
      </c>
      <c r="AP2811" s="238">
        <v>-38.1</v>
      </c>
      <c r="AQ2811" s="235" t="s">
        <v>632</v>
      </c>
      <c r="AR2811" s="243">
        <v>3.71E11</v>
      </c>
      <c r="AS2811" s="235" t="s">
        <v>13822</v>
      </c>
      <c r="AT2811" s="235" t="s">
        <v>13</v>
      </c>
      <c r="AU2811" s="235" t="s">
        <v>634</v>
      </c>
      <c r="AV2811" s="246" t="s">
        <v>635</v>
      </c>
      <c r="AW2811" s="227"/>
      <c r="AX2811" s="227"/>
      <c r="AY2811" s="227"/>
      <c r="AZ2811" s="227"/>
      <c r="BA2811" s="227"/>
      <c r="BB2811" s="227"/>
      <c r="BC2811" s="227"/>
      <c r="BD2811" s="227"/>
      <c r="BE2811" s="227"/>
      <c r="BF2811" s="227"/>
    </row>
    <row r="2812">
      <c r="A2812" s="235" t="s">
        <v>21402</v>
      </c>
      <c r="C2812" s="235" t="s">
        <v>21403</v>
      </c>
      <c r="D2812" s="235" t="s">
        <v>21404</v>
      </c>
      <c r="E2812" s="243">
        <v>6.53E13</v>
      </c>
      <c r="F2812" s="245"/>
      <c r="G2812" s="235" t="s">
        <v>21405</v>
      </c>
      <c r="H2812" s="235" t="s">
        <v>21406</v>
      </c>
      <c r="I2812" s="235" t="s">
        <v>21406</v>
      </c>
      <c r="J2812" s="235" t="s">
        <v>21407</v>
      </c>
      <c r="K2812" s="235" t="s">
        <v>21408</v>
      </c>
      <c r="N2812" s="235" t="s">
        <v>130</v>
      </c>
      <c r="O2812" s="235" t="s">
        <v>707</v>
      </c>
      <c r="P2812" s="238">
        <v>1.0</v>
      </c>
      <c r="Q2812" s="235" t="s">
        <v>627</v>
      </c>
      <c r="R2812" s="238">
        <v>270.48</v>
      </c>
      <c r="S2812" s="238">
        <v>13.52</v>
      </c>
      <c r="T2812" s="238">
        <v>94.28</v>
      </c>
      <c r="U2812" s="238">
        <v>4.72</v>
      </c>
      <c r="V2812" s="238">
        <v>0.0</v>
      </c>
      <c r="W2812" s="238">
        <v>0.0</v>
      </c>
      <c r="X2812" s="235" t="s">
        <v>628</v>
      </c>
      <c r="Z2812" s="245"/>
      <c r="AA2812" s="245"/>
      <c r="AB2812" s="245"/>
      <c r="AC2812" s="235" t="s">
        <v>687</v>
      </c>
      <c r="AD2812" s="235" t="s">
        <v>666</v>
      </c>
      <c r="AE2812" s="238">
        <v>600050.0</v>
      </c>
      <c r="AF2812" s="235" t="s">
        <v>631</v>
      </c>
      <c r="AG2812" s="245"/>
      <c r="AH2812" s="245"/>
      <c r="AI2812" s="245"/>
      <c r="AJ2812" s="245"/>
      <c r="AK2812" s="245"/>
      <c r="AL2812" s="245"/>
      <c r="AM2812" s="245"/>
      <c r="AN2812" s="245"/>
      <c r="AO2812" s="238">
        <v>0.0</v>
      </c>
      <c r="AP2812" s="238">
        <v>0.0</v>
      </c>
      <c r="AQ2812" s="235" t="s">
        <v>632</v>
      </c>
      <c r="AR2812" s="243">
        <v>1.68E11</v>
      </c>
      <c r="AS2812" s="235" t="s">
        <v>21120</v>
      </c>
      <c r="AT2812" s="235" t="s">
        <v>156</v>
      </c>
      <c r="AU2812" s="235" t="s">
        <v>634</v>
      </c>
      <c r="AV2812" s="246" t="s">
        <v>635</v>
      </c>
      <c r="AW2812" s="227"/>
      <c r="AX2812" s="227"/>
      <c r="AY2812" s="227"/>
      <c r="AZ2812" s="227"/>
      <c r="BA2812" s="227"/>
      <c r="BB2812" s="227"/>
      <c r="BC2812" s="227"/>
      <c r="BD2812" s="227"/>
      <c r="BE2812" s="227"/>
      <c r="BF2812" s="227"/>
    </row>
    <row r="2813">
      <c r="A2813" s="235" t="s">
        <v>21409</v>
      </c>
      <c r="C2813" s="235" t="s">
        <v>21410</v>
      </c>
      <c r="D2813" s="235" t="s">
        <v>21411</v>
      </c>
      <c r="E2813" s="243">
        <v>6.52E13</v>
      </c>
      <c r="F2813" s="245"/>
      <c r="G2813" s="235" t="s">
        <v>21412</v>
      </c>
      <c r="H2813" s="235" t="s">
        <v>21413</v>
      </c>
      <c r="I2813" s="235" t="s">
        <v>21413</v>
      </c>
      <c r="J2813" s="235" t="s">
        <v>21414</v>
      </c>
      <c r="K2813" s="235" t="s">
        <v>21415</v>
      </c>
      <c r="N2813" s="235" t="s">
        <v>145</v>
      </c>
      <c r="O2813" s="235" t="s">
        <v>370</v>
      </c>
      <c r="P2813" s="238">
        <v>1.0</v>
      </c>
      <c r="Q2813" s="235" t="s">
        <v>627</v>
      </c>
      <c r="R2813" s="238">
        <v>1475.24</v>
      </c>
      <c r="S2813" s="238">
        <v>71.55</v>
      </c>
      <c r="T2813" s="238">
        <v>0.0</v>
      </c>
      <c r="U2813" s="238">
        <v>0.0</v>
      </c>
      <c r="V2813" s="238">
        <v>0.0</v>
      </c>
      <c r="W2813" s="238">
        <v>0.0</v>
      </c>
      <c r="X2813" s="235" t="s">
        <v>628</v>
      </c>
      <c r="Z2813" s="245"/>
      <c r="AA2813" s="245"/>
      <c r="AB2813" s="245"/>
      <c r="AC2813" s="235" t="s">
        <v>1255</v>
      </c>
      <c r="AD2813" s="235" t="s">
        <v>845</v>
      </c>
      <c r="AE2813" s="238">
        <v>401303.0</v>
      </c>
      <c r="AF2813" s="235" t="s">
        <v>631</v>
      </c>
      <c r="AG2813" s="245"/>
      <c r="AH2813" s="245"/>
      <c r="AI2813" s="245"/>
      <c r="AJ2813" s="245"/>
      <c r="AK2813" s="245"/>
      <c r="AL2813" s="245"/>
      <c r="AM2813" s="245"/>
      <c r="AN2813" s="245"/>
      <c r="AO2813" s="238">
        <v>-44.26</v>
      </c>
      <c r="AP2813" s="238">
        <v>0.0</v>
      </c>
      <c r="AQ2813" s="235" t="s">
        <v>632</v>
      </c>
      <c r="AR2813" s="243">
        <v>3.71E11</v>
      </c>
      <c r="AS2813" s="235" t="s">
        <v>20529</v>
      </c>
      <c r="AT2813" s="235" t="s">
        <v>17</v>
      </c>
      <c r="AU2813" s="235" t="s">
        <v>634</v>
      </c>
      <c r="AV2813" s="246" t="s">
        <v>635</v>
      </c>
      <c r="AW2813" s="227"/>
      <c r="AX2813" s="227"/>
      <c r="AY2813" s="227"/>
      <c r="AZ2813" s="227"/>
      <c r="BA2813" s="227"/>
      <c r="BB2813" s="227"/>
      <c r="BC2813" s="227"/>
      <c r="BD2813" s="227"/>
      <c r="BE2813" s="227"/>
      <c r="BF2813" s="227"/>
    </row>
    <row r="2814">
      <c r="A2814" s="235" t="s">
        <v>21409</v>
      </c>
      <c r="C2814" s="235" t="s">
        <v>21410</v>
      </c>
      <c r="D2814" s="235" t="s">
        <v>21416</v>
      </c>
      <c r="E2814" s="243">
        <v>6.52E13</v>
      </c>
      <c r="F2814" s="245"/>
      <c r="G2814" s="235" t="s">
        <v>21412</v>
      </c>
      <c r="H2814" s="235" t="s">
        <v>21413</v>
      </c>
      <c r="I2814" s="235" t="s">
        <v>21413</v>
      </c>
      <c r="J2814" s="235" t="s">
        <v>21414</v>
      </c>
      <c r="K2814" s="235" t="s">
        <v>21415</v>
      </c>
      <c r="N2814" s="235" t="s">
        <v>145</v>
      </c>
      <c r="O2814" s="235" t="s">
        <v>370</v>
      </c>
      <c r="P2814" s="238">
        <v>1.0</v>
      </c>
      <c r="Q2814" s="235" t="s">
        <v>627</v>
      </c>
      <c r="R2814" s="238">
        <v>1475.24</v>
      </c>
      <c r="S2814" s="238">
        <v>71.55</v>
      </c>
      <c r="T2814" s="238">
        <v>0.0</v>
      </c>
      <c r="U2814" s="238">
        <v>0.0</v>
      </c>
      <c r="V2814" s="238">
        <v>0.0</v>
      </c>
      <c r="W2814" s="238">
        <v>0.0</v>
      </c>
      <c r="X2814" s="235" t="s">
        <v>628</v>
      </c>
      <c r="Z2814" s="245"/>
      <c r="AA2814" s="245"/>
      <c r="AB2814" s="245"/>
      <c r="AC2814" s="235" t="s">
        <v>1255</v>
      </c>
      <c r="AD2814" s="235" t="s">
        <v>845</v>
      </c>
      <c r="AE2814" s="238">
        <v>401303.0</v>
      </c>
      <c r="AF2814" s="235" t="s">
        <v>631</v>
      </c>
      <c r="AG2814" s="245"/>
      <c r="AH2814" s="245"/>
      <c r="AI2814" s="245"/>
      <c r="AJ2814" s="245"/>
      <c r="AK2814" s="245"/>
      <c r="AL2814" s="245"/>
      <c r="AM2814" s="245"/>
      <c r="AN2814" s="245"/>
      <c r="AO2814" s="238">
        <v>-44.26</v>
      </c>
      <c r="AP2814" s="238">
        <v>0.0</v>
      </c>
      <c r="AQ2814" s="235" t="s">
        <v>632</v>
      </c>
      <c r="AR2814" s="243">
        <v>3.71E11</v>
      </c>
      <c r="AS2814" s="235" t="s">
        <v>20529</v>
      </c>
      <c r="AT2814" s="235" t="s">
        <v>17</v>
      </c>
      <c r="AU2814" s="235" t="s">
        <v>634</v>
      </c>
      <c r="AV2814" s="246" t="s">
        <v>635</v>
      </c>
      <c r="AW2814" s="227"/>
      <c r="AX2814" s="227"/>
      <c r="AY2814" s="227"/>
      <c r="AZ2814" s="227"/>
      <c r="BA2814" s="227"/>
      <c r="BB2814" s="227"/>
      <c r="BC2814" s="227"/>
      <c r="BD2814" s="227"/>
      <c r="BE2814" s="227"/>
      <c r="BF2814" s="227"/>
    </row>
    <row r="2815">
      <c r="A2815" s="235" t="s">
        <v>21409</v>
      </c>
      <c r="C2815" s="235" t="s">
        <v>21410</v>
      </c>
      <c r="D2815" s="235" t="s">
        <v>21417</v>
      </c>
      <c r="E2815" s="243">
        <v>6.52E13</v>
      </c>
      <c r="F2815" s="245"/>
      <c r="G2815" s="235" t="s">
        <v>21412</v>
      </c>
      <c r="H2815" s="235" t="s">
        <v>21413</v>
      </c>
      <c r="I2815" s="235" t="s">
        <v>21413</v>
      </c>
      <c r="J2815" s="235" t="s">
        <v>21414</v>
      </c>
      <c r="K2815" s="235" t="s">
        <v>21415</v>
      </c>
      <c r="N2815" s="235" t="s">
        <v>145</v>
      </c>
      <c r="O2815" s="235" t="s">
        <v>370</v>
      </c>
      <c r="P2815" s="238">
        <v>1.0</v>
      </c>
      <c r="Q2815" s="235" t="s">
        <v>627</v>
      </c>
      <c r="R2815" s="238">
        <v>1475.24</v>
      </c>
      <c r="S2815" s="238">
        <v>71.55</v>
      </c>
      <c r="T2815" s="238">
        <v>0.0</v>
      </c>
      <c r="U2815" s="238">
        <v>0.0</v>
      </c>
      <c r="V2815" s="238">
        <v>0.0</v>
      </c>
      <c r="W2815" s="238">
        <v>0.0</v>
      </c>
      <c r="X2815" s="235" t="s">
        <v>628</v>
      </c>
      <c r="Z2815" s="245"/>
      <c r="AA2815" s="245"/>
      <c r="AB2815" s="245"/>
      <c r="AC2815" s="235" t="s">
        <v>1255</v>
      </c>
      <c r="AD2815" s="235" t="s">
        <v>845</v>
      </c>
      <c r="AE2815" s="238">
        <v>401303.0</v>
      </c>
      <c r="AF2815" s="235" t="s">
        <v>631</v>
      </c>
      <c r="AG2815" s="245"/>
      <c r="AH2815" s="245"/>
      <c r="AI2815" s="245"/>
      <c r="AJ2815" s="245"/>
      <c r="AK2815" s="245"/>
      <c r="AL2815" s="245"/>
      <c r="AM2815" s="245"/>
      <c r="AN2815" s="245"/>
      <c r="AO2815" s="238">
        <v>-44.26</v>
      </c>
      <c r="AP2815" s="238">
        <v>0.0</v>
      </c>
      <c r="AQ2815" s="235" t="s">
        <v>632</v>
      </c>
      <c r="AR2815" s="243">
        <v>3.71E11</v>
      </c>
      <c r="AS2815" s="235" t="s">
        <v>20529</v>
      </c>
      <c r="AT2815" s="235" t="s">
        <v>17</v>
      </c>
      <c r="AU2815" s="235" t="s">
        <v>634</v>
      </c>
      <c r="AV2815" s="246" t="s">
        <v>635</v>
      </c>
      <c r="AW2815" s="227"/>
      <c r="AX2815" s="227"/>
      <c r="AY2815" s="227"/>
      <c r="AZ2815" s="227"/>
      <c r="BA2815" s="227"/>
      <c r="BB2815" s="227"/>
      <c r="BC2815" s="227"/>
      <c r="BD2815" s="227"/>
      <c r="BE2815" s="227"/>
      <c r="BF2815" s="227"/>
    </row>
    <row r="2816">
      <c r="A2816" s="235" t="s">
        <v>21418</v>
      </c>
      <c r="C2816" s="235" t="s">
        <v>21419</v>
      </c>
      <c r="D2816" s="235" t="s">
        <v>21420</v>
      </c>
      <c r="E2816" s="243">
        <v>6.53E13</v>
      </c>
      <c r="F2816" s="245"/>
      <c r="G2816" s="235" t="s">
        <v>21421</v>
      </c>
      <c r="H2816" s="235" t="s">
        <v>21422</v>
      </c>
      <c r="I2816" s="235" t="s">
        <v>21422</v>
      </c>
      <c r="J2816" s="235" t="s">
        <v>21423</v>
      </c>
      <c r="K2816" s="235" t="s">
        <v>21424</v>
      </c>
      <c r="N2816" s="235" t="s">
        <v>42</v>
      </c>
      <c r="O2816" s="235" t="s">
        <v>204</v>
      </c>
      <c r="P2816" s="238">
        <v>1.0</v>
      </c>
      <c r="Q2816" s="235" t="s">
        <v>627</v>
      </c>
      <c r="R2816" s="238">
        <v>270.48</v>
      </c>
      <c r="S2816" s="238">
        <v>13.52</v>
      </c>
      <c r="T2816" s="238">
        <v>0.0</v>
      </c>
      <c r="U2816" s="238">
        <v>0.0</v>
      </c>
      <c r="V2816" s="238">
        <v>0.0</v>
      </c>
      <c r="W2816" s="238">
        <v>0.0</v>
      </c>
      <c r="X2816" s="235" t="s">
        <v>628</v>
      </c>
      <c r="Z2816" s="245"/>
      <c r="AA2816" s="245"/>
      <c r="AB2816" s="245"/>
      <c r="AC2816" s="235" t="s">
        <v>1058</v>
      </c>
      <c r="AD2816" s="235" t="s">
        <v>845</v>
      </c>
      <c r="AE2816" s="238">
        <v>400012.0</v>
      </c>
      <c r="AF2816" s="235" t="s">
        <v>631</v>
      </c>
      <c r="AG2816" s="245"/>
      <c r="AH2816" s="245"/>
      <c r="AI2816" s="245"/>
      <c r="AJ2816" s="245"/>
      <c r="AK2816" s="245"/>
      <c r="AL2816" s="245"/>
      <c r="AM2816" s="245"/>
      <c r="AN2816" s="245"/>
      <c r="AO2816" s="238">
        <v>0.0</v>
      </c>
      <c r="AP2816" s="238">
        <v>0.0</v>
      </c>
      <c r="AQ2816" s="235" t="s">
        <v>632</v>
      </c>
      <c r="AR2816" s="243">
        <v>1.68E11</v>
      </c>
      <c r="AS2816" s="235" t="s">
        <v>21120</v>
      </c>
      <c r="AT2816" s="235" t="s">
        <v>16</v>
      </c>
      <c r="AU2816" s="235" t="s">
        <v>634</v>
      </c>
      <c r="AV2816" s="246" t="s">
        <v>635</v>
      </c>
      <c r="AW2816" s="227"/>
      <c r="AX2816" s="227"/>
      <c r="AY2816" s="227"/>
      <c r="AZ2816" s="227"/>
      <c r="BA2816" s="227"/>
      <c r="BB2816" s="227"/>
      <c r="BC2816" s="227"/>
      <c r="BD2816" s="227"/>
      <c r="BE2816" s="227"/>
      <c r="BF2816" s="227"/>
    </row>
    <row r="2817">
      <c r="A2817" s="235" t="s">
        <v>21425</v>
      </c>
      <c r="C2817" s="235" t="s">
        <v>21426</v>
      </c>
      <c r="D2817" s="235" t="s">
        <v>21427</v>
      </c>
      <c r="E2817" s="243">
        <v>6.53E13</v>
      </c>
      <c r="F2817" s="245"/>
      <c r="G2817" s="235" t="s">
        <v>21428</v>
      </c>
      <c r="H2817" s="235" t="s">
        <v>21429</v>
      </c>
      <c r="I2817" s="235" t="s">
        <v>21429</v>
      </c>
      <c r="J2817" s="235" t="s">
        <v>21430</v>
      </c>
      <c r="K2817" s="235" t="s">
        <v>21431</v>
      </c>
      <c r="N2817" s="235" t="s">
        <v>127</v>
      </c>
      <c r="O2817" s="235" t="s">
        <v>794</v>
      </c>
      <c r="P2817" s="238">
        <v>1.0</v>
      </c>
      <c r="Q2817" s="235" t="s">
        <v>627</v>
      </c>
      <c r="R2817" s="238">
        <v>242.86</v>
      </c>
      <c r="S2817" s="238">
        <v>12.14</v>
      </c>
      <c r="T2817" s="238">
        <v>0.0</v>
      </c>
      <c r="U2817" s="238">
        <v>0.0</v>
      </c>
      <c r="V2817" s="238">
        <v>0.0</v>
      </c>
      <c r="W2817" s="238">
        <v>0.0</v>
      </c>
      <c r="X2817" s="235" t="s">
        <v>628</v>
      </c>
      <c r="Z2817" s="245"/>
      <c r="AA2817" s="245"/>
      <c r="AB2817" s="245"/>
      <c r="AC2817" s="235" t="s">
        <v>1206</v>
      </c>
      <c r="AD2817" s="235" t="s">
        <v>679</v>
      </c>
      <c r="AE2817" s="238">
        <v>560010.0</v>
      </c>
      <c r="AF2817" s="235" t="s">
        <v>631</v>
      </c>
      <c r="AG2817" s="245"/>
      <c r="AH2817" s="245"/>
      <c r="AI2817" s="245"/>
      <c r="AJ2817" s="245"/>
      <c r="AK2817" s="245"/>
      <c r="AL2817" s="245"/>
      <c r="AM2817" s="245"/>
      <c r="AN2817" s="245"/>
      <c r="AO2817" s="238">
        <v>0.0</v>
      </c>
      <c r="AP2817" s="238">
        <v>0.0</v>
      </c>
      <c r="AQ2817" s="235" t="s">
        <v>632</v>
      </c>
      <c r="AR2817" s="243">
        <v>1.68E11</v>
      </c>
      <c r="AS2817" s="235" t="s">
        <v>21120</v>
      </c>
      <c r="AT2817" s="235" t="s">
        <v>11</v>
      </c>
      <c r="AU2817" s="235" t="s">
        <v>634</v>
      </c>
      <c r="AV2817" s="246" t="s">
        <v>635</v>
      </c>
      <c r="AW2817" s="227"/>
      <c r="AX2817" s="227"/>
      <c r="AY2817" s="227"/>
      <c r="AZ2817" s="227"/>
      <c r="BA2817" s="227"/>
      <c r="BB2817" s="227"/>
      <c r="BC2817" s="227"/>
      <c r="BD2817" s="227"/>
      <c r="BE2817" s="227"/>
      <c r="BF2817" s="227"/>
    </row>
    <row r="2818">
      <c r="A2818" s="235" t="s">
        <v>21432</v>
      </c>
      <c r="C2818" s="235" t="s">
        <v>21433</v>
      </c>
      <c r="D2818" s="235" t="s">
        <v>21434</v>
      </c>
      <c r="E2818" s="243">
        <v>6.52E13</v>
      </c>
      <c r="F2818" s="245"/>
      <c r="G2818" s="235" t="s">
        <v>21435</v>
      </c>
      <c r="H2818" s="235" t="s">
        <v>21436</v>
      </c>
      <c r="I2818" s="235" t="s">
        <v>21437</v>
      </c>
      <c r="J2818" s="235" t="s">
        <v>21438</v>
      </c>
      <c r="K2818" s="235" t="s">
        <v>21439</v>
      </c>
      <c r="N2818" s="235" t="s">
        <v>41</v>
      </c>
      <c r="O2818" s="235" t="s">
        <v>291</v>
      </c>
      <c r="P2818" s="238">
        <v>1.0</v>
      </c>
      <c r="Q2818" s="235" t="s">
        <v>627</v>
      </c>
      <c r="R2818" s="238">
        <v>237.14</v>
      </c>
      <c r="S2818" s="238">
        <v>11.62</v>
      </c>
      <c r="T2818" s="238">
        <v>0.0</v>
      </c>
      <c r="U2818" s="238">
        <v>0.0</v>
      </c>
      <c r="V2818" s="238">
        <v>0.0</v>
      </c>
      <c r="W2818" s="238">
        <v>0.0</v>
      </c>
      <c r="X2818" s="235" t="s">
        <v>628</v>
      </c>
      <c r="Z2818" s="245"/>
      <c r="AA2818" s="245"/>
      <c r="AB2818" s="245"/>
      <c r="AC2818" s="235" t="s">
        <v>687</v>
      </c>
      <c r="AD2818" s="235" t="s">
        <v>666</v>
      </c>
      <c r="AE2818" s="238">
        <v>600043.0</v>
      </c>
      <c r="AF2818" s="235" t="s">
        <v>631</v>
      </c>
      <c r="AG2818" s="245"/>
      <c r="AH2818" s="245"/>
      <c r="AI2818" s="245"/>
      <c r="AJ2818" s="245"/>
      <c r="AK2818" s="245"/>
      <c r="AL2818" s="245"/>
      <c r="AM2818" s="245"/>
      <c r="AN2818" s="245"/>
      <c r="AO2818" s="238">
        <v>-4.74</v>
      </c>
      <c r="AP2818" s="238">
        <v>0.0</v>
      </c>
      <c r="AQ2818" s="235" t="s">
        <v>632</v>
      </c>
      <c r="AR2818" s="243">
        <v>3.71E11</v>
      </c>
      <c r="AS2818" s="235" t="s">
        <v>15064</v>
      </c>
      <c r="AT2818" s="235" t="s">
        <v>13</v>
      </c>
      <c r="AU2818" s="235" t="s">
        <v>634</v>
      </c>
      <c r="AV2818" s="246" t="s">
        <v>635</v>
      </c>
      <c r="AW2818" s="227"/>
      <c r="AX2818" s="227"/>
      <c r="AY2818" s="227"/>
      <c r="AZ2818" s="227"/>
      <c r="BA2818" s="227"/>
      <c r="BB2818" s="227"/>
      <c r="BC2818" s="227"/>
      <c r="BD2818" s="227"/>
      <c r="BE2818" s="227"/>
      <c r="BF2818" s="227"/>
    </row>
    <row r="2819">
      <c r="A2819" s="235" t="s">
        <v>21440</v>
      </c>
      <c r="C2819" s="235" t="s">
        <v>21441</v>
      </c>
      <c r="D2819" s="235" t="s">
        <v>21442</v>
      </c>
      <c r="E2819" s="243">
        <v>6.53E13</v>
      </c>
      <c r="F2819" s="245"/>
      <c r="G2819" s="235" t="s">
        <v>21443</v>
      </c>
      <c r="H2819" s="235" t="s">
        <v>21444</v>
      </c>
      <c r="I2819" s="235" t="s">
        <v>21445</v>
      </c>
      <c r="J2819" s="235" t="s">
        <v>21446</v>
      </c>
      <c r="K2819" s="235" t="s">
        <v>21447</v>
      </c>
      <c r="N2819" s="235" t="s">
        <v>141</v>
      </c>
      <c r="O2819" s="235" t="s">
        <v>342</v>
      </c>
      <c r="P2819" s="238">
        <v>1.0</v>
      </c>
      <c r="Q2819" s="235" t="s">
        <v>627</v>
      </c>
      <c r="R2819" s="238">
        <v>270.48</v>
      </c>
      <c r="S2819" s="238">
        <v>13.25</v>
      </c>
      <c r="T2819" s="238">
        <v>0.0</v>
      </c>
      <c r="U2819" s="238">
        <v>0.0</v>
      </c>
      <c r="V2819" s="238">
        <v>0.0</v>
      </c>
      <c r="W2819" s="238">
        <v>0.0</v>
      </c>
      <c r="X2819" s="235" t="s">
        <v>628</v>
      </c>
      <c r="Z2819" s="245"/>
      <c r="AA2819" s="245"/>
      <c r="AB2819" s="245"/>
      <c r="AC2819" s="235" t="s">
        <v>687</v>
      </c>
      <c r="AD2819" s="235" t="s">
        <v>666</v>
      </c>
      <c r="AE2819" s="238">
        <v>600073.0</v>
      </c>
      <c r="AF2819" s="235" t="s">
        <v>631</v>
      </c>
      <c r="AG2819" s="245"/>
      <c r="AH2819" s="245"/>
      <c r="AI2819" s="245"/>
      <c r="AJ2819" s="245"/>
      <c r="AK2819" s="245"/>
      <c r="AL2819" s="245"/>
      <c r="AM2819" s="245"/>
      <c r="AN2819" s="245"/>
      <c r="AO2819" s="238">
        <v>-5.41</v>
      </c>
      <c r="AP2819" s="238">
        <v>0.0</v>
      </c>
      <c r="AQ2819" s="235" t="s">
        <v>632</v>
      </c>
      <c r="AR2819" s="243">
        <v>1.68E11</v>
      </c>
      <c r="AS2819" s="235" t="s">
        <v>21120</v>
      </c>
      <c r="AT2819" s="235" t="s">
        <v>156</v>
      </c>
      <c r="AU2819" s="235" t="s">
        <v>634</v>
      </c>
      <c r="AV2819" s="246" t="s">
        <v>635</v>
      </c>
      <c r="AW2819" s="227"/>
      <c r="AX2819" s="227"/>
      <c r="AY2819" s="227"/>
      <c r="AZ2819" s="227"/>
      <c r="BA2819" s="227"/>
      <c r="BB2819" s="227"/>
      <c r="BC2819" s="227"/>
      <c r="BD2819" s="227"/>
      <c r="BE2819" s="227"/>
      <c r="BF2819" s="227"/>
    </row>
    <row r="2820">
      <c r="A2820" s="235" t="s">
        <v>21448</v>
      </c>
      <c r="C2820" s="235" t="s">
        <v>21449</v>
      </c>
      <c r="D2820" s="235" t="s">
        <v>21450</v>
      </c>
      <c r="E2820" s="243">
        <v>6.53E13</v>
      </c>
      <c r="F2820" s="245"/>
      <c r="G2820" s="235" t="s">
        <v>21451</v>
      </c>
      <c r="H2820" s="235" t="s">
        <v>21452</v>
      </c>
      <c r="I2820" s="235" t="s">
        <v>21452</v>
      </c>
      <c r="J2820" s="235" t="s">
        <v>21453</v>
      </c>
      <c r="K2820" s="235" t="s">
        <v>21454</v>
      </c>
      <c r="N2820" s="235" t="s">
        <v>82</v>
      </c>
      <c r="O2820" s="235" t="s">
        <v>889</v>
      </c>
      <c r="P2820" s="238">
        <v>1.0</v>
      </c>
      <c r="Q2820" s="235" t="s">
        <v>627</v>
      </c>
      <c r="R2820" s="238">
        <v>270.48</v>
      </c>
      <c r="S2820" s="238">
        <v>13.52</v>
      </c>
      <c r="T2820" s="238">
        <v>0.0</v>
      </c>
      <c r="U2820" s="238">
        <v>0.0</v>
      </c>
      <c r="V2820" s="238">
        <v>0.0</v>
      </c>
      <c r="W2820" s="238">
        <v>0.0</v>
      </c>
      <c r="X2820" s="235" t="s">
        <v>628</v>
      </c>
      <c r="Z2820" s="245"/>
      <c r="AA2820" s="245"/>
      <c r="AB2820" s="245"/>
      <c r="AC2820" s="235" t="s">
        <v>6571</v>
      </c>
      <c r="AD2820" s="235" t="s">
        <v>731</v>
      </c>
      <c r="AE2820" s="238">
        <v>781028.0</v>
      </c>
      <c r="AF2820" s="235" t="s">
        <v>631</v>
      </c>
      <c r="AG2820" s="245"/>
      <c r="AH2820" s="245"/>
      <c r="AI2820" s="245"/>
      <c r="AJ2820" s="245"/>
      <c r="AK2820" s="245"/>
      <c r="AL2820" s="245"/>
      <c r="AM2820" s="245"/>
      <c r="AN2820" s="245"/>
      <c r="AO2820" s="238">
        <v>0.0</v>
      </c>
      <c r="AP2820" s="238">
        <v>0.0</v>
      </c>
      <c r="AQ2820" s="235" t="s">
        <v>632</v>
      </c>
      <c r="AR2820" s="243">
        <v>2.02E11</v>
      </c>
      <c r="AS2820" s="235" t="s">
        <v>20529</v>
      </c>
      <c r="AT2820" s="235" t="s">
        <v>14</v>
      </c>
      <c r="AU2820" s="235" t="s">
        <v>634</v>
      </c>
      <c r="AV2820" s="246" t="s">
        <v>635</v>
      </c>
      <c r="AW2820" s="227"/>
      <c r="AX2820" s="227"/>
      <c r="AY2820" s="227"/>
      <c r="AZ2820" s="227"/>
      <c r="BA2820" s="227"/>
      <c r="BB2820" s="227"/>
      <c r="BC2820" s="227"/>
      <c r="BD2820" s="227"/>
      <c r="BE2820" s="227"/>
      <c r="BF2820" s="227"/>
    </row>
    <row r="2821">
      <c r="A2821" s="235" t="s">
        <v>21455</v>
      </c>
      <c r="C2821" s="235" t="s">
        <v>21456</v>
      </c>
      <c r="D2821" s="235" t="s">
        <v>21457</v>
      </c>
      <c r="E2821" s="243">
        <v>6.53E13</v>
      </c>
      <c r="F2821" s="245"/>
      <c r="G2821" s="235" t="s">
        <v>21458</v>
      </c>
      <c r="H2821" s="235" t="s">
        <v>21459</v>
      </c>
      <c r="I2821" s="235" t="s">
        <v>21459</v>
      </c>
      <c r="J2821" s="235" t="s">
        <v>21460</v>
      </c>
      <c r="K2821" s="235" t="s">
        <v>21461</v>
      </c>
      <c r="N2821" s="235" t="s">
        <v>2163</v>
      </c>
      <c r="O2821" s="235" t="s">
        <v>2164</v>
      </c>
      <c r="P2821" s="238">
        <v>1.0</v>
      </c>
      <c r="Q2821" s="235" t="s">
        <v>627</v>
      </c>
      <c r="R2821" s="238">
        <v>270.48</v>
      </c>
      <c r="S2821" s="238">
        <v>13.25</v>
      </c>
      <c r="T2821" s="238">
        <v>0.0</v>
      </c>
      <c r="U2821" s="238">
        <v>0.0</v>
      </c>
      <c r="V2821" s="238">
        <v>0.0</v>
      </c>
      <c r="W2821" s="238">
        <v>0.0</v>
      </c>
      <c r="X2821" s="235" t="s">
        <v>628</v>
      </c>
      <c r="Z2821" s="245"/>
      <c r="AA2821" s="245"/>
      <c r="AB2821" s="245"/>
      <c r="AC2821" s="235" t="s">
        <v>678</v>
      </c>
      <c r="AD2821" s="235" t="s">
        <v>679</v>
      </c>
      <c r="AE2821" s="238">
        <v>560067.0</v>
      </c>
      <c r="AF2821" s="235" t="s">
        <v>631</v>
      </c>
      <c r="AG2821" s="245"/>
      <c r="AH2821" s="245"/>
      <c r="AI2821" s="245"/>
      <c r="AJ2821" s="245"/>
      <c r="AK2821" s="245"/>
      <c r="AL2821" s="245"/>
      <c r="AM2821" s="245"/>
      <c r="AN2821" s="245"/>
      <c r="AO2821" s="238">
        <v>-5.41</v>
      </c>
      <c r="AP2821" s="238">
        <v>0.0</v>
      </c>
      <c r="AQ2821" s="235" t="s">
        <v>632</v>
      </c>
      <c r="AR2821" s="243">
        <v>2.02E11</v>
      </c>
      <c r="AS2821" s="235" t="s">
        <v>20529</v>
      </c>
      <c r="AT2821" s="235" t="s">
        <v>533</v>
      </c>
      <c r="AU2821" s="235" t="s">
        <v>634</v>
      </c>
      <c r="AV2821" s="246" t="s">
        <v>635</v>
      </c>
      <c r="AW2821" s="227"/>
      <c r="AX2821" s="227"/>
      <c r="AY2821" s="227"/>
      <c r="AZ2821" s="227"/>
      <c r="BA2821" s="227"/>
      <c r="BB2821" s="227"/>
      <c r="BC2821" s="227"/>
      <c r="BD2821" s="227"/>
      <c r="BE2821" s="227"/>
      <c r="BF2821" s="227"/>
    </row>
    <row r="2822">
      <c r="A2822" s="235" t="s">
        <v>21462</v>
      </c>
      <c r="C2822" s="235" t="s">
        <v>21463</v>
      </c>
      <c r="D2822" s="235" t="s">
        <v>21464</v>
      </c>
      <c r="E2822" s="243">
        <v>6.53E13</v>
      </c>
      <c r="F2822" s="245"/>
      <c r="G2822" s="235" t="s">
        <v>21465</v>
      </c>
      <c r="H2822" s="235" t="s">
        <v>21466</v>
      </c>
      <c r="I2822" s="235" t="s">
        <v>21466</v>
      </c>
      <c r="J2822" s="235" t="s">
        <v>21467</v>
      </c>
      <c r="K2822" s="235" t="s">
        <v>21468</v>
      </c>
      <c r="N2822" s="235" t="s">
        <v>85</v>
      </c>
      <c r="O2822" s="235" t="s">
        <v>872</v>
      </c>
      <c r="P2822" s="238">
        <v>1.0</v>
      </c>
      <c r="Q2822" s="235" t="s">
        <v>627</v>
      </c>
      <c r="R2822" s="238">
        <v>270.48</v>
      </c>
      <c r="S2822" s="238">
        <v>13.52</v>
      </c>
      <c r="T2822" s="238">
        <v>38.1</v>
      </c>
      <c r="U2822" s="238">
        <v>1.9</v>
      </c>
      <c r="V2822" s="238">
        <v>0.0</v>
      </c>
      <c r="W2822" s="238">
        <v>0.0</v>
      </c>
      <c r="X2822" s="235" t="s">
        <v>628</v>
      </c>
      <c r="Z2822" s="245"/>
      <c r="AA2822" s="245"/>
      <c r="AB2822" s="245"/>
      <c r="AC2822" s="235" t="s">
        <v>17169</v>
      </c>
      <c r="AD2822" s="235" t="s">
        <v>2067</v>
      </c>
      <c r="AE2822" s="238">
        <v>834005.0</v>
      </c>
      <c r="AF2822" s="235" t="s">
        <v>631</v>
      </c>
      <c r="AG2822" s="245"/>
      <c r="AH2822" s="245"/>
      <c r="AI2822" s="245"/>
      <c r="AJ2822" s="245"/>
      <c r="AK2822" s="245"/>
      <c r="AL2822" s="245"/>
      <c r="AM2822" s="245"/>
      <c r="AN2822" s="245"/>
      <c r="AO2822" s="238">
        <v>0.0</v>
      </c>
      <c r="AP2822" s="238">
        <v>-38.1</v>
      </c>
      <c r="AQ2822" s="235" t="s">
        <v>632</v>
      </c>
      <c r="AR2822" s="243">
        <v>3.71E11</v>
      </c>
      <c r="AS2822" s="235" t="s">
        <v>15064</v>
      </c>
      <c r="AT2822" s="235" t="s">
        <v>533</v>
      </c>
      <c r="AU2822" s="235" t="s">
        <v>634</v>
      </c>
      <c r="AV2822" s="246" t="s">
        <v>635</v>
      </c>
      <c r="AW2822" s="227"/>
      <c r="AX2822" s="227"/>
      <c r="AY2822" s="227"/>
      <c r="AZ2822" s="227"/>
      <c r="BA2822" s="227"/>
      <c r="BB2822" s="227"/>
      <c r="BC2822" s="227"/>
      <c r="BD2822" s="227"/>
      <c r="BE2822" s="227"/>
      <c r="BF2822" s="227"/>
    </row>
    <row r="2823">
      <c r="A2823" s="235" t="s">
        <v>21469</v>
      </c>
      <c r="C2823" s="235" t="s">
        <v>21470</v>
      </c>
      <c r="D2823" s="235" t="s">
        <v>21471</v>
      </c>
      <c r="E2823" s="243">
        <v>6.53E13</v>
      </c>
      <c r="F2823" s="245"/>
      <c r="G2823" s="235" t="s">
        <v>21472</v>
      </c>
      <c r="H2823" s="235" t="s">
        <v>21473</v>
      </c>
      <c r="I2823" s="235" t="s">
        <v>21473</v>
      </c>
      <c r="J2823" s="235" t="s">
        <v>21474</v>
      </c>
      <c r="K2823" s="235" t="s">
        <v>21475</v>
      </c>
      <c r="N2823" s="235" t="s">
        <v>85</v>
      </c>
      <c r="O2823" s="235" t="s">
        <v>872</v>
      </c>
      <c r="P2823" s="238">
        <v>1.0</v>
      </c>
      <c r="Q2823" s="235" t="s">
        <v>627</v>
      </c>
      <c r="R2823" s="238">
        <v>242.86</v>
      </c>
      <c r="S2823" s="238">
        <v>11.9</v>
      </c>
      <c r="T2823" s="238">
        <v>38.1</v>
      </c>
      <c r="U2823" s="238">
        <v>1.9</v>
      </c>
      <c r="V2823" s="238">
        <v>0.0</v>
      </c>
      <c r="W2823" s="238">
        <v>0.0</v>
      </c>
      <c r="X2823" s="235" t="s">
        <v>628</v>
      </c>
      <c r="Z2823" s="245"/>
      <c r="AA2823" s="245"/>
      <c r="AB2823" s="245"/>
      <c r="AC2823" s="235" t="s">
        <v>1456</v>
      </c>
      <c r="AD2823" s="235" t="s">
        <v>21476</v>
      </c>
      <c r="AE2823" s="238">
        <v>122004.0</v>
      </c>
      <c r="AF2823" s="235" t="s">
        <v>631</v>
      </c>
      <c r="AG2823" s="245"/>
      <c r="AH2823" s="245"/>
      <c r="AI2823" s="245"/>
      <c r="AJ2823" s="245"/>
      <c r="AK2823" s="245"/>
      <c r="AL2823" s="245"/>
      <c r="AM2823" s="245"/>
      <c r="AN2823" s="245"/>
      <c r="AO2823" s="238">
        <v>-4.86</v>
      </c>
      <c r="AP2823" s="238">
        <v>-38.1</v>
      </c>
      <c r="AQ2823" s="235" t="s">
        <v>632</v>
      </c>
      <c r="AR2823" s="243">
        <v>3.71E11</v>
      </c>
      <c r="AS2823" s="235" t="s">
        <v>20529</v>
      </c>
      <c r="AT2823" s="235" t="s">
        <v>533</v>
      </c>
      <c r="AU2823" s="235" t="s">
        <v>634</v>
      </c>
      <c r="AV2823" s="246" t="s">
        <v>635</v>
      </c>
      <c r="AW2823" s="227"/>
      <c r="AX2823" s="227"/>
      <c r="AY2823" s="227"/>
      <c r="AZ2823" s="227"/>
      <c r="BA2823" s="227"/>
      <c r="BB2823" s="227"/>
      <c r="BC2823" s="227"/>
      <c r="BD2823" s="227"/>
      <c r="BE2823" s="227"/>
      <c r="BF2823" s="227"/>
    </row>
    <row r="2824">
      <c r="A2824" s="235" t="s">
        <v>21477</v>
      </c>
      <c r="C2824" s="235" t="s">
        <v>21478</v>
      </c>
      <c r="D2824" s="235" t="s">
        <v>21479</v>
      </c>
      <c r="E2824" s="243">
        <v>6.53E13</v>
      </c>
      <c r="F2824" s="245"/>
      <c r="G2824" s="235" t="s">
        <v>21480</v>
      </c>
      <c r="H2824" s="235" t="s">
        <v>21481</v>
      </c>
      <c r="I2824" s="235" t="s">
        <v>21481</v>
      </c>
      <c r="J2824" s="235" t="s">
        <v>21482</v>
      </c>
      <c r="K2824" s="235" t="s">
        <v>21483</v>
      </c>
      <c r="N2824" s="235" t="s">
        <v>78</v>
      </c>
      <c r="O2824" s="235" t="s">
        <v>360</v>
      </c>
      <c r="P2824" s="238">
        <v>1.0</v>
      </c>
      <c r="Q2824" s="235" t="s">
        <v>627</v>
      </c>
      <c r="R2824" s="238">
        <v>323.81</v>
      </c>
      <c r="S2824" s="238">
        <v>16.19</v>
      </c>
      <c r="T2824" s="238">
        <v>0.0</v>
      </c>
      <c r="U2824" s="238">
        <v>0.0</v>
      </c>
      <c r="V2824" s="238">
        <v>0.0</v>
      </c>
      <c r="W2824" s="238">
        <v>0.0</v>
      </c>
      <c r="X2824" s="235" t="s">
        <v>628</v>
      </c>
      <c r="Z2824" s="245"/>
      <c r="AA2824" s="245"/>
      <c r="AB2824" s="245"/>
      <c r="AC2824" s="235" t="s">
        <v>907</v>
      </c>
      <c r="AD2824" s="235" t="s">
        <v>908</v>
      </c>
      <c r="AE2824" s="238">
        <v>248001.0</v>
      </c>
      <c r="AF2824" s="235" t="s">
        <v>631</v>
      </c>
      <c r="AG2824" s="245"/>
      <c r="AH2824" s="245"/>
      <c r="AI2824" s="245"/>
      <c r="AJ2824" s="245"/>
      <c r="AK2824" s="245"/>
      <c r="AL2824" s="245"/>
      <c r="AM2824" s="245"/>
      <c r="AN2824" s="245"/>
      <c r="AO2824" s="238">
        <v>0.0</v>
      </c>
      <c r="AP2824" s="238">
        <v>0.0</v>
      </c>
      <c r="AQ2824" s="235" t="s">
        <v>632</v>
      </c>
      <c r="AR2824" s="243">
        <v>1.68E11</v>
      </c>
      <c r="AS2824" s="235" t="s">
        <v>19388</v>
      </c>
      <c r="AT2824" s="235" t="s">
        <v>13</v>
      </c>
      <c r="AU2824" s="235" t="s">
        <v>634</v>
      </c>
      <c r="AV2824" s="246" t="s">
        <v>635</v>
      </c>
      <c r="AW2824" s="227"/>
      <c r="AX2824" s="227"/>
      <c r="AY2824" s="227"/>
      <c r="AZ2824" s="227"/>
      <c r="BA2824" s="227"/>
      <c r="BB2824" s="227"/>
      <c r="BC2824" s="227"/>
      <c r="BD2824" s="227"/>
      <c r="BE2824" s="227"/>
      <c r="BF2824" s="227"/>
    </row>
    <row r="2825">
      <c r="A2825" s="235" t="s">
        <v>21484</v>
      </c>
      <c r="C2825" s="235" t="s">
        <v>21485</v>
      </c>
      <c r="D2825" s="235" t="s">
        <v>21486</v>
      </c>
      <c r="E2825" s="243">
        <v>6.53E13</v>
      </c>
      <c r="F2825" s="245"/>
      <c r="G2825" s="235" t="s">
        <v>21487</v>
      </c>
      <c r="H2825" s="235" t="s">
        <v>21488</v>
      </c>
      <c r="I2825" s="235" t="s">
        <v>21488</v>
      </c>
      <c r="J2825" s="235" t="s">
        <v>21489</v>
      </c>
      <c r="K2825" s="235" t="s">
        <v>21490</v>
      </c>
      <c r="N2825" s="235" t="s">
        <v>42</v>
      </c>
      <c r="O2825" s="235" t="s">
        <v>204</v>
      </c>
      <c r="P2825" s="238">
        <v>1.0</v>
      </c>
      <c r="Q2825" s="235" t="s">
        <v>627</v>
      </c>
      <c r="R2825" s="238">
        <v>270.48</v>
      </c>
      <c r="S2825" s="238">
        <v>13.25</v>
      </c>
      <c r="T2825" s="238">
        <v>0.0</v>
      </c>
      <c r="U2825" s="238">
        <v>0.0</v>
      </c>
      <c r="V2825" s="238">
        <v>0.0</v>
      </c>
      <c r="W2825" s="238">
        <v>0.0</v>
      </c>
      <c r="X2825" s="235" t="s">
        <v>628</v>
      </c>
      <c r="Z2825" s="245"/>
      <c r="AA2825" s="245"/>
      <c r="AB2825" s="245"/>
      <c r="AC2825" s="235" t="s">
        <v>21491</v>
      </c>
      <c r="AD2825" s="235" t="s">
        <v>833</v>
      </c>
      <c r="AE2825" s="238">
        <v>524002.0</v>
      </c>
      <c r="AF2825" s="235" t="s">
        <v>631</v>
      </c>
      <c r="AG2825" s="245"/>
      <c r="AH2825" s="245"/>
      <c r="AI2825" s="245"/>
      <c r="AJ2825" s="245"/>
      <c r="AK2825" s="245"/>
      <c r="AL2825" s="245"/>
      <c r="AM2825" s="245"/>
      <c r="AN2825" s="245"/>
      <c r="AO2825" s="238">
        <v>-5.41</v>
      </c>
      <c r="AP2825" s="238">
        <v>0.0</v>
      </c>
      <c r="AQ2825" s="235" t="s">
        <v>632</v>
      </c>
      <c r="AR2825" s="243">
        <v>3.71E11</v>
      </c>
      <c r="AS2825" s="235" t="s">
        <v>20529</v>
      </c>
      <c r="AT2825" s="235" t="s">
        <v>156</v>
      </c>
      <c r="AU2825" s="235" t="s">
        <v>634</v>
      </c>
      <c r="AV2825" s="246" t="s">
        <v>635</v>
      </c>
      <c r="AW2825" s="227"/>
      <c r="AX2825" s="227"/>
      <c r="AY2825" s="227"/>
      <c r="AZ2825" s="227"/>
      <c r="BA2825" s="227"/>
      <c r="BB2825" s="227"/>
      <c r="BC2825" s="227"/>
      <c r="BD2825" s="227"/>
      <c r="BE2825" s="227"/>
      <c r="BF2825" s="227"/>
    </row>
    <row r="2826">
      <c r="A2826" s="235" t="s">
        <v>21492</v>
      </c>
      <c r="C2826" s="235" t="s">
        <v>21493</v>
      </c>
      <c r="D2826" s="235" t="s">
        <v>21494</v>
      </c>
      <c r="E2826" s="243">
        <v>6.53E13</v>
      </c>
      <c r="F2826" s="245"/>
      <c r="G2826" s="235" t="s">
        <v>21495</v>
      </c>
      <c r="H2826" s="235" t="s">
        <v>21496</v>
      </c>
      <c r="I2826" s="235" t="s">
        <v>21496</v>
      </c>
      <c r="J2826" s="235" t="s">
        <v>21497</v>
      </c>
      <c r="K2826" s="235" t="s">
        <v>21498</v>
      </c>
      <c r="N2826" s="235" t="s">
        <v>127</v>
      </c>
      <c r="O2826" s="235" t="s">
        <v>794</v>
      </c>
      <c r="P2826" s="238">
        <v>1.0</v>
      </c>
      <c r="Q2826" s="235" t="s">
        <v>627</v>
      </c>
      <c r="R2826" s="238">
        <v>242.86</v>
      </c>
      <c r="S2826" s="238">
        <v>11.9</v>
      </c>
      <c r="T2826" s="238">
        <v>0.0</v>
      </c>
      <c r="U2826" s="238">
        <v>0.0</v>
      </c>
      <c r="V2826" s="238">
        <v>0.0</v>
      </c>
      <c r="W2826" s="238">
        <v>0.0</v>
      </c>
      <c r="X2826" s="235" t="s">
        <v>628</v>
      </c>
      <c r="Z2826" s="245"/>
      <c r="AA2826" s="245"/>
      <c r="AB2826" s="245"/>
      <c r="AC2826" s="235" t="s">
        <v>1058</v>
      </c>
      <c r="AD2826" s="235" t="s">
        <v>845</v>
      </c>
      <c r="AE2826" s="238">
        <v>400057.0</v>
      </c>
      <c r="AF2826" s="235" t="s">
        <v>631</v>
      </c>
      <c r="AG2826" s="245"/>
      <c r="AH2826" s="245"/>
      <c r="AI2826" s="245"/>
      <c r="AJ2826" s="245"/>
      <c r="AK2826" s="245"/>
      <c r="AL2826" s="245"/>
      <c r="AM2826" s="245"/>
      <c r="AN2826" s="245"/>
      <c r="AO2826" s="238">
        <v>-4.86</v>
      </c>
      <c r="AP2826" s="238">
        <v>0.0</v>
      </c>
      <c r="AQ2826" s="235" t="s">
        <v>632</v>
      </c>
      <c r="AR2826" s="243">
        <v>1.68E11</v>
      </c>
      <c r="AS2826" s="235" t="s">
        <v>21120</v>
      </c>
      <c r="AT2826" s="235" t="s">
        <v>16</v>
      </c>
      <c r="AU2826" s="235" t="s">
        <v>634</v>
      </c>
      <c r="AV2826" s="246" t="s">
        <v>635</v>
      </c>
      <c r="AW2826" s="227"/>
      <c r="AX2826" s="227"/>
      <c r="AY2826" s="227"/>
      <c r="AZ2826" s="227"/>
      <c r="BA2826" s="227"/>
      <c r="BB2826" s="227"/>
      <c r="BC2826" s="227"/>
      <c r="BD2826" s="227"/>
      <c r="BE2826" s="227"/>
      <c r="BF2826" s="227"/>
    </row>
    <row r="2827">
      <c r="A2827" s="235" t="s">
        <v>21499</v>
      </c>
      <c r="C2827" s="235" t="s">
        <v>21500</v>
      </c>
      <c r="D2827" s="235" t="s">
        <v>21501</v>
      </c>
      <c r="E2827" s="243">
        <v>6.52E13</v>
      </c>
      <c r="F2827" s="245"/>
      <c r="G2827" s="235" t="s">
        <v>21502</v>
      </c>
      <c r="H2827" s="235" t="s">
        <v>21503</v>
      </c>
      <c r="I2827" s="235" t="s">
        <v>21503</v>
      </c>
      <c r="J2827" s="235" t="s">
        <v>21504</v>
      </c>
      <c r="K2827" s="235" t="s">
        <v>21505</v>
      </c>
      <c r="N2827" s="235" t="s">
        <v>68</v>
      </c>
      <c r="O2827" s="235" t="s">
        <v>208</v>
      </c>
      <c r="P2827" s="238">
        <v>1.0</v>
      </c>
      <c r="Q2827" s="235" t="s">
        <v>627</v>
      </c>
      <c r="R2827" s="238">
        <v>246.66</v>
      </c>
      <c r="S2827" s="238">
        <v>12.1</v>
      </c>
      <c r="T2827" s="238">
        <v>0.0</v>
      </c>
      <c r="U2827" s="238">
        <v>0.0</v>
      </c>
      <c r="V2827" s="238">
        <v>0.0</v>
      </c>
      <c r="W2827" s="238">
        <v>0.0</v>
      </c>
      <c r="X2827" s="235" t="s">
        <v>628</v>
      </c>
      <c r="Z2827" s="245"/>
      <c r="AA2827" s="245"/>
      <c r="AB2827" s="245"/>
      <c r="AC2827" s="235" t="s">
        <v>1456</v>
      </c>
      <c r="AD2827" s="235" t="s">
        <v>928</v>
      </c>
      <c r="AE2827" s="238">
        <v>122505.0</v>
      </c>
      <c r="AF2827" s="235" t="s">
        <v>631</v>
      </c>
      <c r="AG2827" s="245"/>
      <c r="AH2827" s="245"/>
      <c r="AI2827" s="245"/>
      <c r="AJ2827" s="245"/>
      <c r="AK2827" s="245"/>
      <c r="AL2827" s="245"/>
      <c r="AM2827" s="245"/>
      <c r="AN2827" s="245"/>
      <c r="AO2827" s="238">
        <v>-4.94</v>
      </c>
      <c r="AP2827" s="238">
        <v>0.0</v>
      </c>
      <c r="AQ2827" s="235" t="s">
        <v>632</v>
      </c>
      <c r="AR2827" s="243">
        <v>3.71E11</v>
      </c>
      <c r="AS2827" s="235" t="s">
        <v>20529</v>
      </c>
      <c r="AT2827" s="235" t="s">
        <v>14</v>
      </c>
      <c r="AU2827" s="235" t="s">
        <v>634</v>
      </c>
      <c r="AV2827" s="246" t="s">
        <v>635</v>
      </c>
      <c r="AW2827" s="227"/>
      <c r="AX2827" s="227"/>
      <c r="AY2827" s="227"/>
      <c r="AZ2827" s="227"/>
      <c r="BA2827" s="227"/>
      <c r="BB2827" s="227"/>
      <c r="BC2827" s="227"/>
      <c r="BD2827" s="227"/>
      <c r="BE2827" s="227"/>
      <c r="BF2827" s="227"/>
    </row>
    <row r="2828">
      <c r="A2828" s="235" t="s">
        <v>21506</v>
      </c>
      <c r="C2828" s="235" t="s">
        <v>21507</v>
      </c>
      <c r="D2828" s="235" t="s">
        <v>21508</v>
      </c>
      <c r="E2828" s="243">
        <v>6.52E13</v>
      </c>
      <c r="F2828" s="245"/>
      <c r="G2828" s="235" t="s">
        <v>21509</v>
      </c>
      <c r="H2828" s="235" t="s">
        <v>21510</v>
      </c>
      <c r="I2828" s="235" t="s">
        <v>21510</v>
      </c>
      <c r="J2828" s="235" t="s">
        <v>21511</v>
      </c>
      <c r="K2828" s="235" t="s">
        <v>21512</v>
      </c>
      <c r="N2828" s="235" t="s">
        <v>130</v>
      </c>
      <c r="O2828" s="235" t="s">
        <v>707</v>
      </c>
      <c r="P2828" s="238">
        <v>1.0</v>
      </c>
      <c r="Q2828" s="235" t="s">
        <v>627</v>
      </c>
      <c r="R2828" s="238">
        <v>246.67</v>
      </c>
      <c r="S2828" s="238">
        <v>12.08</v>
      </c>
      <c r="T2828" s="238">
        <v>0.0</v>
      </c>
      <c r="U2828" s="238">
        <v>0.0</v>
      </c>
      <c r="V2828" s="238">
        <v>0.0</v>
      </c>
      <c r="W2828" s="238">
        <v>0.0</v>
      </c>
      <c r="X2828" s="235" t="s">
        <v>628</v>
      </c>
      <c r="Z2828" s="245"/>
      <c r="AA2828" s="245"/>
      <c r="AB2828" s="245"/>
      <c r="AC2828" s="235" t="s">
        <v>21513</v>
      </c>
      <c r="AD2828" s="235" t="s">
        <v>881</v>
      </c>
      <c r="AE2828" s="238">
        <v>764001.0</v>
      </c>
      <c r="AF2828" s="235" t="s">
        <v>631</v>
      </c>
      <c r="AG2828" s="245"/>
      <c r="AH2828" s="245"/>
      <c r="AI2828" s="245"/>
      <c r="AJ2828" s="245"/>
      <c r="AK2828" s="245"/>
      <c r="AL2828" s="245"/>
      <c r="AM2828" s="245"/>
      <c r="AN2828" s="245"/>
      <c r="AO2828" s="238">
        <v>-4.93</v>
      </c>
      <c r="AP2828" s="238">
        <v>0.0</v>
      </c>
      <c r="AQ2828" s="235" t="s">
        <v>632</v>
      </c>
      <c r="AR2828" s="243">
        <v>3.71E11</v>
      </c>
      <c r="AS2828" s="235" t="s">
        <v>15064</v>
      </c>
      <c r="AT2828" s="235" t="s">
        <v>16</v>
      </c>
      <c r="AU2828" s="235" t="s">
        <v>634</v>
      </c>
      <c r="AV2828" s="246" t="s">
        <v>635</v>
      </c>
      <c r="AW2828" s="227"/>
      <c r="AX2828" s="227"/>
      <c r="AY2828" s="227"/>
      <c r="AZ2828" s="227"/>
      <c r="BA2828" s="227"/>
      <c r="BB2828" s="227"/>
      <c r="BC2828" s="227"/>
      <c r="BD2828" s="227"/>
      <c r="BE2828" s="227"/>
      <c r="BF2828" s="227"/>
    </row>
    <row r="2829">
      <c r="A2829" s="235" t="s">
        <v>21514</v>
      </c>
      <c r="C2829" s="235" t="s">
        <v>21515</v>
      </c>
      <c r="D2829" s="235" t="s">
        <v>21516</v>
      </c>
      <c r="E2829" s="243">
        <v>6.53E13</v>
      </c>
      <c r="F2829" s="245"/>
      <c r="G2829" s="235" t="s">
        <v>21517</v>
      </c>
      <c r="H2829" s="235" t="s">
        <v>21518</v>
      </c>
      <c r="I2829" s="235" t="s">
        <v>21518</v>
      </c>
      <c r="J2829" s="235" t="s">
        <v>21519</v>
      </c>
      <c r="K2829" s="235" t="s">
        <v>21520</v>
      </c>
      <c r="N2829" s="235" t="s">
        <v>82</v>
      </c>
      <c r="O2829" s="235" t="s">
        <v>889</v>
      </c>
      <c r="P2829" s="238">
        <v>1.0</v>
      </c>
      <c r="Q2829" s="235" t="s">
        <v>627</v>
      </c>
      <c r="R2829" s="238">
        <v>233.33</v>
      </c>
      <c r="S2829" s="238">
        <v>11.67</v>
      </c>
      <c r="T2829" s="238">
        <v>38.1</v>
      </c>
      <c r="U2829" s="238">
        <v>1.9</v>
      </c>
      <c r="V2829" s="238">
        <v>0.0</v>
      </c>
      <c r="W2829" s="238">
        <v>0.0</v>
      </c>
      <c r="X2829" s="235" t="s">
        <v>628</v>
      </c>
      <c r="Z2829" s="245"/>
      <c r="AA2829" s="245"/>
      <c r="AB2829" s="245"/>
      <c r="AC2829" s="235" t="s">
        <v>21521</v>
      </c>
      <c r="AD2829" s="235" t="s">
        <v>698</v>
      </c>
      <c r="AE2829" s="238">
        <v>507111.0</v>
      </c>
      <c r="AF2829" s="235" t="s">
        <v>631</v>
      </c>
      <c r="AG2829" s="245"/>
      <c r="AH2829" s="245"/>
      <c r="AI2829" s="245"/>
      <c r="AJ2829" s="245"/>
      <c r="AK2829" s="245"/>
      <c r="AL2829" s="245"/>
      <c r="AM2829" s="245"/>
      <c r="AN2829" s="245"/>
      <c r="AO2829" s="238">
        <v>0.0</v>
      </c>
      <c r="AP2829" s="238">
        <v>-38.1</v>
      </c>
      <c r="AQ2829" s="235" t="s">
        <v>632</v>
      </c>
      <c r="AR2829" s="243">
        <v>3.71E11</v>
      </c>
      <c r="AS2829" s="235" t="s">
        <v>17988</v>
      </c>
      <c r="AT2829" s="235" t="s">
        <v>156</v>
      </c>
      <c r="AU2829" s="235" t="s">
        <v>634</v>
      </c>
      <c r="AV2829" s="246" t="s">
        <v>635</v>
      </c>
      <c r="AW2829" s="227"/>
      <c r="AX2829" s="227"/>
      <c r="AY2829" s="227"/>
      <c r="AZ2829" s="227"/>
      <c r="BA2829" s="227"/>
      <c r="BB2829" s="227"/>
      <c r="BC2829" s="227"/>
      <c r="BD2829" s="227"/>
      <c r="BE2829" s="227"/>
      <c r="BF2829" s="227"/>
    </row>
    <row r="2830">
      <c r="A2830" s="235" t="s">
        <v>21522</v>
      </c>
      <c r="C2830" s="235" t="s">
        <v>21523</v>
      </c>
      <c r="D2830" s="235" t="s">
        <v>21524</v>
      </c>
      <c r="E2830" s="243">
        <v>6.51E13</v>
      </c>
      <c r="F2830" s="245"/>
      <c r="G2830" s="235" t="s">
        <v>21525</v>
      </c>
      <c r="H2830" s="235" t="s">
        <v>21526</v>
      </c>
      <c r="I2830" s="235" t="s">
        <v>21527</v>
      </c>
      <c r="J2830" s="235" t="s">
        <v>21528</v>
      </c>
      <c r="K2830" s="235" t="s">
        <v>21529</v>
      </c>
      <c r="N2830" s="235" t="s">
        <v>110</v>
      </c>
      <c r="O2830" s="235" t="s">
        <v>364</v>
      </c>
      <c r="P2830" s="238">
        <v>1.0</v>
      </c>
      <c r="Q2830" s="235" t="s">
        <v>627</v>
      </c>
      <c r="R2830" s="238">
        <v>237.14</v>
      </c>
      <c r="S2830" s="238">
        <v>11.5</v>
      </c>
      <c r="T2830" s="238">
        <v>0.0</v>
      </c>
      <c r="U2830" s="238">
        <v>0.0</v>
      </c>
      <c r="V2830" s="238">
        <v>0.0</v>
      </c>
      <c r="W2830" s="238">
        <v>0.0</v>
      </c>
      <c r="X2830" s="235" t="s">
        <v>628</v>
      </c>
      <c r="Z2830" s="245"/>
      <c r="AA2830" s="245"/>
      <c r="AB2830" s="245"/>
      <c r="AC2830" s="235" t="s">
        <v>4988</v>
      </c>
      <c r="AD2830" s="235" t="s">
        <v>630</v>
      </c>
      <c r="AE2830" s="238">
        <v>226030.0</v>
      </c>
      <c r="AF2830" s="235" t="s">
        <v>631</v>
      </c>
      <c r="AG2830" s="245"/>
      <c r="AH2830" s="245"/>
      <c r="AI2830" s="245"/>
      <c r="AJ2830" s="245"/>
      <c r="AK2830" s="245"/>
      <c r="AL2830" s="245"/>
      <c r="AM2830" s="245"/>
      <c r="AN2830" s="245"/>
      <c r="AO2830" s="238">
        <v>-7.11</v>
      </c>
      <c r="AP2830" s="238">
        <v>0.0</v>
      </c>
      <c r="AQ2830" s="235" t="s">
        <v>632</v>
      </c>
      <c r="AR2830" s="243">
        <v>3.71E11</v>
      </c>
      <c r="AS2830" s="235" t="s">
        <v>13822</v>
      </c>
      <c r="AT2830" s="235" t="s">
        <v>156</v>
      </c>
      <c r="AU2830" s="235" t="s">
        <v>634</v>
      </c>
      <c r="AV2830" s="246" t="s">
        <v>635</v>
      </c>
      <c r="AW2830" s="227"/>
      <c r="AX2830" s="227"/>
      <c r="AY2830" s="227"/>
      <c r="AZ2830" s="227"/>
      <c r="BA2830" s="227"/>
      <c r="BB2830" s="227"/>
      <c r="BC2830" s="227"/>
      <c r="BD2830" s="227"/>
      <c r="BE2830" s="227"/>
      <c r="BF2830" s="227"/>
    </row>
    <row r="2831">
      <c r="A2831" s="235" t="s">
        <v>21530</v>
      </c>
      <c r="C2831" s="235" t="s">
        <v>21531</v>
      </c>
      <c r="D2831" s="235" t="s">
        <v>21532</v>
      </c>
      <c r="E2831" s="243">
        <v>6.52E13</v>
      </c>
      <c r="F2831" s="245"/>
      <c r="G2831" s="235" t="s">
        <v>21533</v>
      </c>
      <c r="H2831" s="235" t="s">
        <v>21534</v>
      </c>
      <c r="I2831" s="235" t="s">
        <v>21535</v>
      </c>
      <c r="J2831" s="235" t="s">
        <v>21536</v>
      </c>
      <c r="K2831" s="235" t="s">
        <v>21537</v>
      </c>
      <c r="N2831" s="235" t="s">
        <v>138</v>
      </c>
      <c r="O2831" s="235" t="s">
        <v>675</v>
      </c>
      <c r="P2831" s="238">
        <v>1.0</v>
      </c>
      <c r="Q2831" s="235" t="s">
        <v>627</v>
      </c>
      <c r="R2831" s="238">
        <v>233.34</v>
      </c>
      <c r="S2831" s="238">
        <v>11.43</v>
      </c>
      <c r="T2831" s="238">
        <v>38.1</v>
      </c>
      <c r="U2831" s="238">
        <v>1.9</v>
      </c>
      <c r="V2831" s="238">
        <v>0.0</v>
      </c>
      <c r="W2831" s="238">
        <v>0.0</v>
      </c>
      <c r="X2831" s="235" t="s">
        <v>628</v>
      </c>
      <c r="Z2831" s="245"/>
      <c r="AA2831" s="245"/>
      <c r="AB2831" s="245"/>
      <c r="AC2831" s="235" t="s">
        <v>21538</v>
      </c>
      <c r="AD2831" s="235" t="s">
        <v>845</v>
      </c>
      <c r="AE2831" s="238">
        <v>425413.0</v>
      </c>
      <c r="AF2831" s="235" t="s">
        <v>631</v>
      </c>
      <c r="AG2831" s="245"/>
      <c r="AH2831" s="245"/>
      <c r="AI2831" s="245"/>
      <c r="AJ2831" s="245"/>
      <c r="AK2831" s="245"/>
      <c r="AL2831" s="245"/>
      <c r="AM2831" s="245"/>
      <c r="AN2831" s="245"/>
      <c r="AO2831" s="238">
        <v>-4.67</v>
      </c>
      <c r="AP2831" s="238">
        <v>-38.1</v>
      </c>
      <c r="AQ2831" s="235" t="s">
        <v>632</v>
      </c>
      <c r="AR2831" s="243">
        <v>3.71E11</v>
      </c>
      <c r="AS2831" s="235" t="s">
        <v>17988</v>
      </c>
      <c r="AT2831" s="235" t="s">
        <v>16</v>
      </c>
      <c r="AU2831" s="235" t="s">
        <v>634</v>
      </c>
      <c r="AV2831" s="246" t="s">
        <v>635</v>
      </c>
      <c r="AW2831" s="227"/>
      <c r="AX2831" s="227"/>
      <c r="AY2831" s="227"/>
      <c r="AZ2831" s="227"/>
      <c r="BA2831" s="227"/>
      <c r="BB2831" s="227"/>
      <c r="BC2831" s="227"/>
      <c r="BD2831" s="227"/>
      <c r="BE2831" s="227"/>
      <c r="BF2831" s="227"/>
    </row>
    <row r="2832">
      <c r="A2832" s="235" t="s">
        <v>21539</v>
      </c>
      <c r="C2832" s="235" t="s">
        <v>21540</v>
      </c>
      <c r="D2832" s="235" t="s">
        <v>21541</v>
      </c>
      <c r="E2832" s="243">
        <v>6.53E13</v>
      </c>
      <c r="F2832" s="245"/>
      <c r="G2832" s="235" t="s">
        <v>21542</v>
      </c>
      <c r="H2832" s="235" t="s">
        <v>21543</v>
      </c>
      <c r="I2832" s="235" t="s">
        <v>21544</v>
      </c>
      <c r="J2832" s="235" t="s">
        <v>21545</v>
      </c>
      <c r="K2832" s="235" t="s">
        <v>21546</v>
      </c>
      <c r="N2832" s="235" t="s">
        <v>541</v>
      </c>
      <c r="O2832" s="235" t="s">
        <v>664</v>
      </c>
      <c r="P2832" s="238">
        <v>1.0</v>
      </c>
      <c r="Q2832" s="235" t="s">
        <v>627</v>
      </c>
      <c r="R2832" s="238">
        <v>668.64</v>
      </c>
      <c r="S2832" s="238">
        <v>120.36</v>
      </c>
      <c r="T2832" s="238">
        <v>0.0</v>
      </c>
      <c r="U2832" s="238">
        <v>0.0</v>
      </c>
      <c r="V2832" s="238">
        <v>0.0</v>
      </c>
      <c r="W2832" s="238">
        <v>0.0</v>
      </c>
      <c r="X2832" s="235" t="s">
        <v>628</v>
      </c>
      <c r="Z2832" s="245"/>
      <c r="AA2832" s="245"/>
      <c r="AB2832" s="245"/>
      <c r="AC2832" s="235" t="s">
        <v>1206</v>
      </c>
      <c r="AD2832" s="235" t="s">
        <v>679</v>
      </c>
      <c r="AE2832" s="238">
        <v>560043.0</v>
      </c>
      <c r="AF2832" s="235" t="s">
        <v>631</v>
      </c>
      <c r="AG2832" s="245"/>
      <c r="AH2832" s="245"/>
      <c r="AI2832" s="245"/>
      <c r="AJ2832" s="245"/>
      <c r="AK2832" s="245"/>
      <c r="AL2832" s="245"/>
      <c r="AM2832" s="245"/>
      <c r="AN2832" s="245"/>
      <c r="AO2832" s="238">
        <v>0.0</v>
      </c>
      <c r="AP2832" s="238">
        <v>0.0</v>
      </c>
      <c r="AQ2832" s="235" t="s">
        <v>632</v>
      </c>
      <c r="AR2832" s="243">
        <v>1.68E11</v>
      </c>
      <c r="AS2832" s="235" t="s">
        <v>21120</v>
      </c>
      <c r="AT2832" s="235" t="s">
        <v>9</v>
      </c>
      <c r="AU2832" s="235" t="s">
        <v>634</v>
      </c>
      <c r="AV2832" s="246" t="s">
        <v>635</v>
      </c>
      <c r="AW2832" s="227"/>
      <c r="AX2832" s="227"/>
      <c r="AY2832" s="227"/>
      <c r="AZ2832" s="227"/>
      <c r="BA2832" s="227"/>
      <c r="BB2832" s="227"/>
      <c r="BC2832" s="227"/>
      <c r="BD2832" s="227"/>
      <c r="BE2832" s="227"/>
      <c r="BF2832" s="227"/>
    </row>
    <row r="2833">
      <c r="A2833" s="235" t="s">
        <v>21547</v>
      </c>
      <c r="C2833" s="235" t="s">
        <v>21548</v>
      </c>
      <c r="D2833" s="235" t="s">
        <v>21549</v>
      </c>
      <c r="E2833" s="243">
        <v>6.52E13</v>
      </c>
      <c r="F2833" s="245"/>
      <c r="G2833" s="235" t="s">
        <v>21550</v>
      </c>
      <c r="H2833" s="235" t="s">
        <v>21551</v>
      </c>
      <c r="I2833" s="235" t="s">
        <v>21551</v>
      </c>
      <c r="J2833" s="235" t="s">
        <v>21552</v>
      </c>
      <c r="K2833" s="235" t="s">
        <v>21553</v>
      </c>
      <c r="N2833" s="235" t="s">
        <v>117</v>
      </c>
      <c r="O2833" s="235" t="s">
        <v>334</v>
      </c>
      <c r="P2833" s="238">
        <v>1.0</v>
      </c>
      <c r="Q2833" s="235" t="s">
        <v>627</v>
      </c>
      <c r="R2833" s="238">
        <v>237.14</v>
      </c>
      <c r="S2833" s="238">
        <v>11.62</v>
      </c>
      <c r="T2833" s="238">
        <v>38.1</v>
      </c>
      <c r="U2833" s="238">
        <v>1.9</v>
      </c>
      <c r="V2833" s="238">
        <v>0.0</v>
      </c>
      <c r="W2833" s="238">
        <v>0.0</v>
      </c>
      <c r="X2833" s="235" t="s">
        <v>628</v>
      </c>
      <c r="Z2833" s="245"/>
      <c r="AA2833" s="245"/>
      <c r="AB2833" s="245"/>
      <c r="AC2833" s="235" t="s">
        <v>6896</v>
      </c>
      <c r="AD2833" s="235" t="s">
        <v>833</v>
      </c>
      <c r="AE2833" s="238">
        <v>533003.0</v>
      </c>
      <c r="AF2833" s="235" t="s">
        <v>631</v>
      </c>
      <c r="AG2833" s="245"/>
      <c r="AH2833" s="245"/>
      <c r="AI2833" s="245"/>
      <c r="AJ2833" s="245"/>
      <c r="AK2833" s="245"/>
      <c r="AL2833" s="245"/>
      <c r="AM2833" s="245"/>
      <c r="AN2833" s="245"/>
      <c r="AO2833" s="238">
        <v>-4.74</v>
      </c>
      <c r="AP2833" s="238">
        <v>-38.1</v>
      </c>
      <c r="AQ2833" s="235" t="s">
        <v>632</v>
      </c>
      <c r="AR2833" s="243">
        <v>3.71E11</v>
      </c>
      <c r="AS2833" s="235" t="s">
        <v>15064</v>
      </c>
      <c r="AT2833" s="235" t="s">
        <v>17</v>
      </c>
      <c r="AU2833" s="235" t="s">
        <v>634</v>
      </c>
      <c r="AV2833" s="246" t="s">
        <v>635</v>
      </c>
      <c r="AW2833" s="227"/>
      <c r="AX2833" s="227"/>
      <c r="AY2833" s="227"/>
      <c r="AZ2833" s="227"/>
      <c r="BA2833" s="227"/>
      <c r="BB2833" s="227"/>
      <c r="BC2833" s="227"/>
      <c r="BD2833" s="227"/>
      <c r="BE2833" s="227"/>
      <c r="BF2833" s="227"/>
    </row>
    <row r="2834">
      <c r="A2834" s="235" t="s">
        <v>21554</v>
      </c>
      <c r="C2834" s="235" t="s">
        <v>21555</v>
      </c>
      <c r="D2834" s="235" t="s">
        <v>21556</v>
      </c>
      <c r="E2834" s="243">
        <v>6.53E13</v>
      </c>
      <c r="F2834" s="245"/>
      <c r="G2834" s="235" t="s">
        <v>21557</v>
      </c>
      <c r="H2834" s="235" t="s">
        <v>21558</v>
      </c>
      <c r="I2834" s="235" t="s">
        <v>21558</v>
      </c>
      <c r="J2834" s="235" t="s">
        <v>21559</v>
      </c>
      <c r="K2834" s="235" t="s">
        <v>21560</v>
      </c>
      <c r="N2834" s="235" t="s">
        <v>962</v>
      </c>
      <c r="O2834" s="235" t="s">
        <v>963</v>
      </c>
      <c r="P2834" s="238">
        <v>1.0</v>
      </c>
      <c r="Q2834" s="235" t="s">
        <v>627</v>
      </c>
      <c r="R2834" s="238">
        <v>270.48</v>
      </c>
      <c r="S2834" s="238">
        <v>13.52</v>
      </c>
      <c r="T2834" s="238">
        <v>0.0</v>
      </c>
      <c r="U2834" s="238">
        <v>0.0</v>
      </c>
      <c r="V2834" s="238">
        <v>0.0</v>
      </c>
      <c r="W2834" s="238">
        <v>0.0</v>
      </c>
      <c r="X2834" s="235" t="s">
        <v>628</v>
      </c>
      <c r="Z2834" s="245"/>
      <c r="AA2834" s="245"/>
      <c r="AB2834" s="245"/>
      <c r="AC2834" s="235" t="s">
        <v>4294</v>
      </c>
      <c r="AD2834" s="235" t="s">
        <v>666</v>
      </c>
      <c r="AE2834" s="238">
        <v>641604.0</v>
      </c>
      <c r="AF2834" s="235" t="s">
        <v>631</v>
      </c>
      <c r="AG2834" s="245"/>
      <c r="AH2834" s="245"/>
      <c r="AI2834" s="245"/>
      <c r="AJ2834" s="245"/>
      <c r="AK2834" s="245"/>
      <c r="AL2834" s="245"/>
      <c r="AM2834" s="245"/>
      <c r="AN2834" s="245"/>
      <c r="AO2834" s="238">
        <v>0.0</v>
      </c>
      <c r="AP2834" s="238">
        <v>0.0</v>
      </c>
      <c r="AQ2834" s="235" t="s">
        <v>632</v>
      </c>
      <c r="AR2834" s="243">
        <v>3.71E11</v>
      </c>
      <c r="AS2834" s="235" t="s">
        <v>20529</v>
      </c>
      <c r="AT2834" s="235" t="s">
        <v>155</v>
      </c>
      <c r="AU2834" s="235" t="s">
        <v>634</v>
      </c>
      <c r="AV2834" s="246" t="s">
        <v>635</v>
      </c>
      <c r="AW2834" s="227"/>
      <c r="AX2834" s="227"/>
      <c r="AY2834" s="227"/>
      <c r="AZ2834" s="227"/>
      <c r="BA2834" s="227"/>
      <c r="BB2834" s="227"/>
      <c r="BC2834" s="227"/>
      <c r="BD2834" s="227"/>
      <c r="BE2834" s="227"/>
      <c r="BF2834" s="227"/>
    </row>
    <row r="2835">
      <c r="A2835" s="235" t="s">
        <v>21561</v>
      </c>
      <c r="C2835" s="235" t="s">
        <v>21562</v>
      </c>
      <c r="D2835" s="235" t="s">
        <v>21563</v>
      </c>
      <c r="E2835" s="243">
        <v>6.53E13</v>
      </c>
      <c r="F2835" s="245"/>
      <c r="G2835" s="235" t="s">
        <v>21564</v>
      </c>
      <c r="H2835" s="235" t="s">
        <v>21565</v>
      </c>
      <c r="I2835" s="235" t="s">
        <v>21566</v>
      </c>
      <c r="J2835" s="235" t="s">
        <v>21567</v>
      </c>
      <c r="K2835" s="235" t="s">
        <v>21568</v>
      </c>
      <c r="N2835" s="235" t="s">
        <v>130</v>
      </c>
      <c r="O2835" s="235" t="s">
        <v>707</v>
      </c>
      <c r="P2835" s="238">
        <v>1.0</v>
      </c>
      <c r="Q2835" s="235" t="s">
        <v>627</v>
      </c>
      <c r="R2835" s="238">
        <v>246.66</v>
      </c>
      <c r="S2835" s="238">
        <v>12.1</v>
      </c>
      <c r="T2835" s="238">
        <v>38.1</v>
      </c>
      <c r="U2835" s="238">
        <v>1.9</v>
      </c>
      <c r="V2835" s="238">
        <v>0.0</v>
      </c>
      <c r="W2835" s="238">
        <v>0.0</v>
      </c>
      <c r="X2835" s="235" t="s">
        <v>628</v>
      </c>
      <c r="Z2835" s="245"/>
      <c r="AA2835" s="245"/>
      <c r="AB2835" s="245"/>
      <c r="AC2835" s="235" t="s">
        <v>21569</v>
      </c>
      <c r="AD2835" s="235" t="s">
        <v>845</v>
      </c>
      <c r="AE2835" s="238">
        <v>431517.0</v>
      </c>
      <c r="AF2835" s="235" t="s">
        <v>631</v>
      </c>
      <c r="AG2835" s="245"/>
      <c r="AH2835" s="245"/>
      <c r="AI2835" s="245"/>
      <c r="AJ2835" s="245"/>
      <c r="AK2835" s="245"/>
      <c r="AL2835" s="245"/>
      <c r="AM2835" s="245"/>
      <c r="AN2835" s="245"/>
      <c r="AO2835" s="238">
        <v>-4.94</v>
      </c>
      <c r="AP2835" s="238">
        <v>-38.1</v>
      </c>
      <c r="AQ2835" s="235" t="s">
        <v>632</v>
      </c>
      <c r="AR2835" s="243">
        <v>3.71E11</v>
      </c>
      <c r="AS2835" s="235" t="s">
        <v>10017</v>
      </c>
      <c r="AT2835" s="235" t="s">
        <v>16</v>
      </c>
      <c r="AU2835" s="235" t="s">
        <v>634</v>
      </c>
      <c r="AV2835" s="246" t="s">
        <v>635</v>
      </c>
      <c r="AW2835" s="227"/>
      <c r="AX2835" s="227"/>
      <c r="AY2835" s="227"/>
      <c r="AZ2835" s="227"/>
      <c r="BA2835" s="227"/>
      <c r="BB2835" s="227"/>
      <c r="BC2835" s="227"/>
      <c r="BD2835" s="227"/>
      <c r="BE2835" s="227"/>
      <c r="BF2835" s="227"/>
    </row>
    <row r="2836">
      <c r="A2836" s="235" t="s">
        <v>21570</v>
      </c>
      <c r="C2836" s="235" t="s">
        <v>21571</v>
      </c>
      <c r="D2836" s="235" t="s">
        <v>21572</v>
      </c>
      <c r="E2836" s="243">
        <v>6.53E13</v>
      </c>
      <c r="F2836" s="245"/>
      <c r="G2836" s="235" t="s">
        <v>21573</v>
      </c>
      <c r="H2836" s="235" t="s">
        <v>21574</v>
      </c>
      <c r="I2836" s="235" t="s">
        <v>21574</v>
      </c>
      <c r="J2836" s="235" t="s">
        <v>21575</v>
      </c>
      <c r="K2836" s="235" t="s">
        <v>21576</v>
      </c>
      <c r="N2836" s="235" t="s">
        <v>154</v>
      </c>
      <c r="O2836" s="235" t="s">
        <v>766</v>
      </c>
      <c r="P2836" s="238">
        <v>1.0</v>
      </c>
      <c r="Q2836" s="235" t="s">
        <v>627</v>
      </c>
      <c r="R2836" s="238">
        <v>465.71</v>
      </c>
      <c r="S2836" s="238">
        <v>23.29</v>
      </c>
      <c r="T2836" s="238">
        <v>0.0</v>
      </c>
      <c r="U2836" s="238">
        <v>0.0</v>
      </c>
      <c r="V2836" s="238">
        <v>0.0</v>
      </c>
      <c r="W2836" s="238">
        <v>0.0</v>
      </c>
      <c r="X2836" s="235" t="s">
        <v>628</v>
      </c>
      <c r="Z2836" s="245"/>
      <c r="AA2836" s="245"/>
      <c r="AB2836" s="245"/>
      <c r="AC2836" s="235" t="s">
        <v>21577</v>
      </c>
      <c r="AD2836" s="235" t="s">
        <v>630</v>
      </c>
      <c r="AE2836" s="238">
        <v>271002.0</v>
      </c>
      <c r="AF2836" s="235" t="s">
        <v>631</v>
      </c>
      <c r="AG2836" s="245"/>
      <c r="AH2836" s="245"/>
      <c r="AI2836" s="245"/>
      <c r="AJ2836" s="245"/>
      <c r="AK2836" s="245"/>
      <c r="AL2836" s="245"/>
      <c r="AM2836" s="245"/>
      <c r="AN2836" s="245"/>
      <c r="AO2836" s="238">
        <v>0.0</v>
      </c>
      <c r="AP2836" s="238">
        <v>0.0</v>
      </c>
      <c r="AQ2836" s="235" t="s">
        <v>632</v>
      </c>
      <c r="AR2836" s="243">
        <v>3.71E11</v>
      </c>
      <c r="AS2836" s="235" t="s">
        <v>17988</v>
      </c>
      <c r="AT2836" s="235" t="s">
        <v>14</v>
      </c>
      <c r="AU2836" s="235" t="s">
        <v>634</v>
      </c>
      <c r="AV2836" s="246" t="s">
        <v>635</v>
      </c>
      <c r="AW2836" s="227"/>
      <c r="AX2836" s="227"/>
      <c r="AY2836" s="227"/>
      <c r="AZ2836" s="227"/>
      <c r="BA2836" s="227"/>
      <c r="BB2836" s="227"/>
      <c r="BC2836" s="227"/>
      <c r="BD2836" s="227"/>
      <c r="BE2836" s="227"/>
      <c r="BF2836" s="227"/>
    </row>
    <row r="2837">
      <c r="A2837" s="235" t="s">
        <v>21578</v>
      </c>
      <c r="C2837" s="235" t="s">
        <v>21579</v>
      </c>
      <c r="D2837" s="235" t="s">
        <v>21580</v>
      </c>
      <c r="E2837" s="243">
        <v>6.53E13</v>
      </c>
      <c r="F2837" s="245"/>
      <c r="G2837" s="235" t="s">
        <v>21581</v>
      </c>
      <c r="H2837" s="235" t="s">
        <v>21582</v>
      </c>
      <c r="I2837" s="235" t="s">
        <v>21582</v>
      </c>
      <c r="J2837" s="235" t="s">
        <v>21583</v>
      </c>
      <c r="K2837" s="235" t="s">
        <v>21584</v>
      </c>
      <c r="N2837" s="235" t="s">
        <v>154</v>
      </c>
      <c r="O2837" s="235" t="s">
        <v>766</v>
      </c>
      <c r="P2837" s="238">
        <v>1.0</v>
      </c>
      <c r="Q2837" s="235" t="s">
        <v>627</v>
      </c>
      <c r="R2837" s="238">
        <v>465.72</v>
      </c>
      <c r="S2837" s="238">
        <v>22.82</v>
      </c>
      <c r="T2837" s="238">
        <v>0.0</v>
      </c>
      <c r="U2837" s="238">
        <v>0.0</v>
      </c>
      <c r="V2837" s="238">
        <v>0.0</v>
      </c>
      <c r="W2837" s="238">
        <v>0.0</v>
      </c>
      <c r="X2837" s="235" t="s">
        <v>628</v>
      </c>
      <c r="Z2837" s="245"/>
      <c r="AA2837" s="245"/>
      <c r="AB2837" s="245"/>
      <c r="AC2837" s="235" t="s">
        <v>1255</v>
      </c>
      <c r="AD2837" s="235" t="s">
        <v>845</v>
      </c>
      <c r="AE2837" s="238">
        <v>400601.0</v>
      </c>
      <c r="AF2837" s="235" t="s">
        <v>631</v>
      </c>
      <c r="AG2837" s="245"/>
      <c r="AH2837" s="245"/>
      <c r="AI2837" s="245"/>
      <c r="AJ2837" s="245"/>
      <c r="AK2837" s="245"/>
      <c r="AL2837" s="245"/>
      <c r="AM2837" s="245"/>
      <c r="AN2837" s="245"/>
      <c r="AO2837" s="238">
        <v>-9.32</v>
      </c>
      <c r="AP2837" s="238">
        <v>0.0</v>
      </c>
      <c r="AQ2837" s="235" t="s">
        <v>632</v>
      </c>
      <c r="AR2837" s="243">
        <v>1.68E11</v>
      </c>
      <c r="AS2837" s="235" t="s">
        <v>21120</v>
      </c>
      <c r="AT2837" s="235" t="s">
        <v>16</v>
      </c>
      <c r="AU2837" s="235" t="s">
        <v>634</v>
      </c>
      <c r="AV2837" s="246" t="s">
        <v>635</v>
      </c>
      <c r="AW2837" s="227"/>
      <c r="AX2837" s="227"/>
      <c r="AY2837" s="227"/>
      <c r="AZ2837" s="227"/>
      <c r="BA2837" s="227"/>
      <c r="BB2837" s="227"/>
      <c r="BC2837" s="227"/>
      <c r="BD2837" s="227"/>
      <c r="BE2837" s="227"/>
      <c r="BF2837" s="227"/>
    </row>
    <row r="2838">
      <c r="A2838" s="235" t="s">
        <v>21585</v>
      </c>
      <c r="C2838" s="235" t="s">
        <v>21586</v>
      </c>
      <c r="D2838" s="235" t="s">
        <v>21587</v>
      </c>
      <c r="E2838" s="243">
        <v>6.53E13</v>
      </c>
      <c r="F2838" s="245"/>
      <c r="G2838" s="235" t="s">
        <v>21588</v>
      </c>
      <c r="H2838" s="235" t="s">
        <v>21589</v>
      </c>
      <c r="I2838" s="235" t="s">
        <v>21589</v>
      </c>
      <c r="J2838" s="235" t="s">
        <v>21590</v>
      </c>
      <c r="K2838" s="235" t="s">
        <v>21591</v>
      </c>
      <c r="N2838" s="235" t="s">
        <v>138</v>
      </c>
      <c r="O2838" s="235" t="s">
        <v>675</v>
      </c>
      <c r="P2838" s="238">
        <v>1.0</v>
      </c>
      <c r="Q2838" s="235" t="s">
        <v>627</v>
      </c>
      <c r="R2838" s="238">
        <v>0.0</v>
      </c>
      <c r="S2838" s="238">
        <v>0.0</v>
      </c>
      <c r="T2838" s="238">
        <v>0.0</v>
      </c>
      <c r="U2838" s="238">
        <v>0.0</v>
      </c>
      <c r="V2838" s="238">
        <v>0.0</v>
      </c>
      <c r="W2838" s="238">
        <v>0.0</v>
      </c>
      <c r="X2838" s="235" t="s">
        <v>628</v>
      </c>
      <c r="Z2838" s="245"/>
      <c r="AA2838" s="245"/>
      <c r="AB2838" s="245"/>
      <c r="AC2838" s="235" t="s">
        <v>1058</v>
      </c>
      <c r="AD2838" s="235" t="s">
        <v>845</v>
      </c>
      <c r="AE2838" s="238">
        <v>400066.0</v>
      </c>
      <c r="AF2838" s="235" t="s">
        <v>631</v>
      </c>
      <c r="AG2838" s="245"/>
      <c r="AH2838" s="245"/>
      <c r="AI2838" s="245"/>
      <c r="AJ2838" s="245"/>
      <c r="AK2838" s="245"/>
      <c r="AL2838" s="245"/>
      <c r="AM2838" s="245"/>
      <c r="AN2838" s="245"/>
      <c r="AO2838" s="238">
        <v>0.0</v>
      </c>
      <c r="AP2838" s="238">
        <v>0.0</v>
      </c>
      <c r="AQ2838" s="235" t="s">
        <v>632</v>
      </c>
      <c r="AR2838" s="243">
        <v>1.68E11</v>
      </c>
      <c r="AS2838" s="235" t="s">
        <v>21120</v>
      </c>
      <c r="AT2838" s="235" t="s">
        <v>16</v>
      </c>
      <c r="AU2838" s="235" t="s">
        <v>634</v>
      </c>
      <c r="AV2838" s="246" t="s">
        <v>635</v>
      </c>
      <c r="AW2838" s="227"/>
      <c r="AX2838" s="227"/>
      <c r="AY2838" s="227"/>
      <c r="AZ2838" s="227"/>
      <c r="BA2838" s="227"/>
      <c r="BB2838" s="227"/>
      <c r="BC2838" s="227"/>
      <c r="BD2838" s="227"/>
      <c r="BE2838" s="227"/>
      <c r="BF2838" s="227"/>
    </row>
    <row r="2839">
      <c r="A2839" s="235" t="s">
        <v>21592</v>
      </c>
      <c r="C2839" s="235" t="s">
        <v>21593</v>
      </c>
      <c r="D2839" s="235" t="s">
        <v>21594</v>
      </c>
      <c r="E2839" s="243">
        <v>6.52E13</v>
      </c>
      <c r="F2839" s="245"/>
      <c r="G2839" s="235" t="s">
        <v>21595</v>
      </c>
      <c r="H2839" s="235" t="s">
        <v>21596</v>
      </c>
      <c r="I2839" s="235" t="s">
        <v>21596</v>
      </c>
      <c r="J2839" s="235" t="s">
        <v>21597</v>
      </c>
      <c r="K2839" s="235" t="s">
        <v>21598</v>
      </c>
      <c r="N2839" s="235" t="s">
        <v>71</v>
      </c>
      <c r="O2839" s="235" t="s">
        <v>240</v>
      </c>
      <c r="P2839" s="238">
        <v>1.0</v>
      </c>
      <c r="Q2839" s="235" t="s">
        <v>627</v>
      </c>
      <c r="R2839" s="238">
        <v>242.86</v>
      </c>
      <c r="S2839" s="238">
        <v>12.14</v>
      </c>
      <c r="T2839" s="238">
        <v>0.0</v>
      </c>
      <c r="U2839" s="238">
        <v>0.0</v>
      </c>
      <c r="V2839" s="238">
        <v>0.0</v>
      </c>
      <c r="W2839" s="238">
        <v>0.0</v>
      </c>
      <c r="X2839" s="235" t="s">
        <v>628</v>
      </c>
      <c r="Z2839" s="245"/>
      <c r="AA2839" s="245"/>
      <c r="AB2839" s="245"/>
      <c r="AC2839" s="235" t="s">
        <v>18255</v>
      </c>
      <c r="AD2839" s="235" t="s">
        <v>881</v>
      </c>
      <c r="AE2839" s="238">
        <v>768001.0</v>
      </c>
      <c r="AF2839" s="235" t="s">
        <v>631</v>
      </c>
      <c r="AG2839" s="245"/>
      <c r="AH2839" s="245"/>
      <c r="AI2839" s="245"/>
      <c r="AJ2839" s="245"/>
      <c r="AK2839" s="245"/>
      <c r="AL2839" s="245"/>
      <c r="AM2839" s="245"/>
      <c r="AN2839" s="245"/>
      <c r="AO2839" s="238">
        <v>0.0</v>
      </c>
      <c r="AP2839" s="238">
        <v>0.0</v>
      </c>
      <c r="AQ2839" s="235" t="s">
        <v>632</v>
      </c>
      <c r="AR2839" s="243">
        <v>3.71E11</v>
      </c>
      <c r="AS2839" s="235" t="s">
        <v>15064</v>
      </c>
      <c r="AT2839" s="235" t="s">
        <v>14</v>
      </c>
      <c r="AU2839" s="235" t="s">
        <v>634</v>
      </c>
      <c r="AV2839" s="246" t="s">
        <v>635</v>
      </c>
      <c r="AW2839" s="227"/>
      <c r="AX2839" s="227"/>
      <c r="AY2839" s="227"/>
      <c r="AZ2839" s="227"/>
      <c r="BA2839" s="227"/>
      <c r="BB2839" s="227"/>
      <c r="BC2839" s="227"/>
      <c r="BD2839" s="227"/>
      <c r="BE2839" s="227"/>
      <c r="BF2839" s="227"/>
    </row>
    <row r="2840">
      <c r="A2840" s="235" t="s">
        <v>21599</v>
      </c>
      <c r="C2840" s="235" t="s">
        <v>21600</v>
      </c>
      <c r="D2840" s="235" t="s">
        <v>21601</v>
      </c>
      <c r="E2840" s="243">
        <v>6.52E13</v>
      </c>
      <c r="F2840" s="245"/>
      <c r="G2840" s="235" t="s">
        <v>21602</v>
      </c>
      <c r="H2840" s="235" t="s">
        <v>21603</v>
      </c>
      <c r="I2840" s="235" t="s">
        <v>21603</v>
      </c>
      <c r="J2840" s="235" t="s">
        <v>21604</v>
      </c>
      <c r="K2840" s="235" t="s">
        <v>21605</v>
      </c>
      <c r="N2840" s="235" t="s">
        <v>71</v>
      </c>
      <c r="O2840" s="235" t="s">
        <v>240</v>
      </c>
      <c r="P2840" s="238">
        <v>1.0</v>
      </c>
      <c r="Q2840" s="235" t="s">
        <v>627</v>
      </c>
      <c r="R2840" s="238">
        <v>246.67</v>
      </c>
      <c r="S2840" s="238">
        <v>12.33</v>
      </c>
      <c r="T2840" s="238">
        <v>38.1</v>
      </c>
      <c r="U2840" s="238">
        <v>1.9</v>
      </c>
      <c r="V2840" s="238">
        <v>0.0</v>
      </c>
      <c r="W2840" s="238">
        <v>0.0</v>
      </c>
      <c r="X2840" s="235" t="s">
        <v>628</v>
      </c>
      <c r="Z2840" s="245"/>
      <c r="AA2840" s="245"/>
      <c r="AB2840" s="245"/>
      <c r="AC2840" s="235" t="s">
        <v>6571</v>
      </c>
      <c r="AD2840" s="235" t="s">
        <v>731</v>
      </c>
      <c r="AE2840" s="238">
        <v>781005.0</v>
      </c>
      <c r="AF2840" s="235" t="s">
        <v>631</v>
      </c>
      <c r="AG2840" s="245"/>
      <c r="AH2840" s="245"/>
      <c r="AI2840" s="245"/>
      <c r="AJ2840" s="245"/>
      <c r="AK2840" s="245"/>
      <c r="AL2840" s="245"/>
      <c r="AM2840" s="245"/>
      <c r="AN2840" s="245"/>
      <c r="AO2840" s="238">
        <v>0.0</v>
      </c>
      <c r="AP2840" s="238">
        <v>0.0</v>
      </c>
      <c r="AQ2840" s="235" t="s">
        <v>632</v>
      </c>
      <c r="AR2840" s="243">
        <v>3.71E11</v>
      </c>
      <c r="AS2840" s="235" t="s">
        <v>15064</v>
      </c>
      <c r="AT2840" s="235" t="s">
        <v>14</v>
      </c>
      <c r="AU2840" s="235" t="s">
        <v>634</v>
      </c>
      <c r="AV2840" s="246" t="s">
        <v>635</v>
      </c>
      <c r="AW2840" s="227"/>
      <c r="AX2840" s="227"/>
      <c r="AY2840" s="227"/>
      <c r="AZ2840" s="227"/>
      <c r="BA2840" s="227"/>
      <c r="BB2840" s="227"/>
      <c r="BC2840" s="227"/>
      <c r="BD2840" s="227"/>
      <c r="BE2840" s="227"/>
      <c r="BF2840" s="227"/>
    </row>
    <row r="2841">
      <c r="A2841" s="235" t="s">
        <v>21606</v>
      </c>
      <c r="C2841" s="235" t="s">
        <v>21607</v>
      </c>
      <c r="D2841" s="235" t="s">
        <v>21608</v>
      </c>
      <c r="E2841" s="243">
        <v>6.52E13</v>
      </c>
      <c r="F2841" s="245"/>
      <c r="G2841" s="235" t="s">
        <v>21609</v>
      </c>
      <c r="H2841" s="235" t="s">
        <v>21610</v>
      </c>
      <c r="I2841" s="235" t="s">
        <v>21610</v>
      </c>
      <c r="J2841" s="235" t="s">
        <v>21611</v>
      </c>
      <c r="K2841" s="235" t="s">
        <v>21612</v>
      </c>
      <c r="N2841" s="235" t="s">
        <v>71</v>
      </c>
      <c r="O2841" s="235" t="s">
        <v>240</v>
      </c>
      <c r="P2841" s="238">
        <v>1.0</v>
      </c>
      <c r="Q2841" s="235" t="s">
        <v>627</v>
      </c>
      <c r="R2841" s="238">
        <v>246.67</v>
      </c>
      <c r="S2841" s="238">
        <v>12.08</v>
      </c>
      <c r="T2841" s="238">
        <v>38.1</v>
      </c>
      <c r="U2841" s="238">
        <v>1.9</v>
      </c>
      <c r="V2841" s="238">
        <v>0.0</v>
      </c>
      <c r="W2841" s="238">
        <v>0.0</v>
      </c>
      <c r="X2841" s="235" t="s">
        <v>628</v>
      </c>
      <c r="Z2841" s="245"/>
      <c r="AA2841" s="245"/>
      <c r="AB2841" s="245"/>
      <c r="AC2841" s="235" t="s">
        <v>21613</v>
      </c>
      <c r="AD2841" s="235" t="s">
        <v>630</v>
      </c>
      <c r="AE2841" s="238">
        <v>221112.0</v>
      </c>
      <c r="AF2841" s="235" t="s">
        <v>631</v>
      </c>
      <c r="AG2841" s="245"/>
      <c r="AH2841" s="245"/>
      <c r="AI2841" s="245"/>
      <c r="AJ2841" s="245"/>
      <c r="AK2841" s="245"/>
      <c r="AL2841" s="245"/>
      <c r="AM2841" s="245"/>
      <c r="AN2841" s="245"/>
      <c r="AO2841" s="238">
        <v>-4.93</v>
      </c>
      <c r="AP2841" s="238">
        <v>-38.1</v>
      </c>
      <c r="AQ2841" s="235" t="s">
        <v>632</v>
      </c>
      <c r="AR2841" s="243">
        <v>3.71E11</v>
      </c>
      <c r="AS2841" s="235" t="s">
        <v>16626</v>
      </c>
      <c r="AT2841" s="235" t="s">
        <v>14</v>
      </c>
      <c r="AU2841" s="235" t="s">
        <v>634</v>
      </c>
      <c r="AV2841" s="246" t="s">
        <v>635</v>
      </c>
      <c r="AW2841" s="227"/>
      <c r="AX2841" s="227"/>
      <c r="AY2841" s="227"/>
      <c r="AZ2841" s="227"/>
      <c r="BA2841" s="227"/>
      <c r="BB2841" s="227"/>
      <c r="BC2841" s="227"/>
      <c r="BD2841" s="227"/>
      <c r="BE2841" s="227"/>
      <c r="BF2841" s="227"/>
    </row>
    <row r="2842">
      <c r="A2842" s="235" t="s">
        <v>21614</v>
      </c>
      <c r="C2842" s="235" t="s">
        <v>21615</v>
      </c>
      <c r="D2842" s="235" t="s">
        <v>21616</v>
      </c>
      <c r="E2842" s="243">
        <v>6.52E13</v>
      </c>
      <c r="F2842" s="245"/>
      <c r="G2842" s="235" t="s">
        <v>21617</v>
      </c>
      <c r="H2842" s="235" t="s">
        <v>21618</v>
      </c>
      <c r="I2842" s="235" t="s">
        <v>21618</v>
      </c>
      <c r="J2842" s="235" t="s">
        <v>21619</v>
      </c>
      <c r="K2842" s="235" t="s">
        <v>21620</v>
      </c>
      <c r="N2842" s="235" t="s">
        <v>54</v>
      </c>
      <c r="O2842" s="235" t="s">
        <v>294</v>
      </c>
      <c r="P2842" s="238">
        <v>1.0</v>
      </c>
      <c r="Q2842" s="235" t="s">
        <v>627</v>
      </c>
      <c r="R2842" s="238">
        <v>246.67</v>
      </c>
      <c r="S2842" s="238">
        <v>12.33</v>
      </c>
      <c r="T2842" s="238">
        <v>0.0</v>
      </c>
      <c r="U2842" s="238">
        <v>0.0</v>
      </c>
      <c r="V2842" s="238">
        <v>0.0</v>
      </c>
      <c r="W2842" s="238">
        <v>0.0</v>
      </c>
      <c r="X2842" s="235" t="s">
        <v>628</v>
      </c>
      <c r="Z2842" s="245"/>
      <c r="AA2842" s="245"/>
      <c r="AB2842" s="245"/>
      <c r="AC2842" s="235" t="s">
        <v>21621</v>
      </c>
      <c r="AD2842" s="235" t="s">
        <v>698</v>
      </c>
      <c r="AE2842" s="238">
        <v>503224.0</v>
      </c>
      <c r="AF2842" s="235" t="s">
        <v>631</v>
      </c>
      <c r="AG2842" s="245"/>
      <c r="AH2842" s="245"/>
      <c r="AI2842" s="245"/>
      <c r="AJ2842" s="245"/>
      <c r="AK2842" s="245"/>
      <c r="AL2842" s="245"/>
      <c r="AM2842" s="245"/>
      <c r="AN2842" s="245"/>
      <c r="AO2842" s="238">
        <v>0.0</v>
      </c>
      <c r="AP2842" s="238">
        <v>0.0</v>
      </c>
      <c r="AQ2842" s="235" t="s">
        <v>632</v>
      </c>
      <c r="AR2842" s="243">
        <v>3.71E11</v>
      </c>
      <c r="AS2842" s="235" t="s">
        <v>16626</v>
      </c>
      <c r="AT2842" s="235" t="s">
        <v>155</v>
      </c>
      <c r="AU2842" s="235" t="s">
        <v>634</v>
      </c>
      <c r="AV2842" s="246" t="s">
        <v>635</v>
      </c>
      <c r="AW2842" s="227"/>
      <c r="AX2842" s="227"/>
      <c r="AY2842" s="227"/>
      <c r="AZ2842" s="227"/>
      <c r="BA2842" s="227"/>
      <c r="BB2842" s="227"/>
      <c r="BC2842" s="227"/>
      <c r="BD2842" s="227"/>
      <c r="BE2842" s="227"/>
      <c r="BF2842" s="227"/>
    </row>
    <row r="2843">
      <c r="A2843" s="235" t="s">
        <v>21622</v>
      </c>
      <c r="C2843" s="235" t="s">
        <v>21623</v>
      </c>
      <c r="D2843" s="235" t="s">
        <v>21624</v>
      </c>
      <c r="E2843" s="243">
        <v>6.53E13</v>
      </c>
      <c r="F2843" s="245"/>
      <c r="G2843" s="235" t="s">
        <v>21625</v>
      </c>
      <c r="H2843" s="235" t="s">
        <v>21626</v>
      </c>
      <c r="I2843" s="235" t="s">
        <v>21626</v>
      </c>
      <c r="J2843" s="235" t="s">
        <v>21627</v>
      </c>
      <c r="K2843" s="235" t="s">
        <v>21628</v>
      </c>
      <c r="N2843" s="235" t="s">
        <v>53</v>
      </c>
      <c r="O2843" s="235" t="s">
        <v>512</v>
      </c>
      <c r="P2843" s="238">
        <v>1.0</v>
      </c>
      <c r="Q2843" s="235" t="s">
        <v>627</v>
      </c>
      <c r="R2843" s="238">
        <v>237.14</v>
      </c>
      <c r="S2843" s="238">
        <v>11.86</v>
      </c>
      <c r="T2843" s="238">
        <v>0.0</v>
      </c>
      <c r="U2843" s="238">
        <v>0.0</v>
      </c>
      <c r="V2843" s="238">
        <v>0.0</v>
      </c>
      <c r="W2843" s="238">
        <v>0.0</v>
      </c>
      <c r="X2843" s="235" t="s">
        <v>628</v>
      </c>
      <c r="Z2843" s="245"/>
      <c r="AA2843" s="245"/>
      <c r="AB2843" s="245"/>
      <c r="AC2843" s="235" t="s">
        <v>1320</v>
      </c>
      <c r="AD2843" s="235" t="s">
        <v>666</v>
      </c>
      <c r="AE2843" s="238">
        <v>600076.0</v>
      </c>
      <c r="AF2843" s="235" t="s">
        <v>631</v>
      </c>
      <c r="AG2843" s="245"/>
      <c r="AH2843" s="245"/>
      <c r="AI2843" s="245"/>
      <c r="AJ2843" s="245"/>
      <c r="AK2843" s="245"/>
      <c r="AL2843" s="245"/>
      <c r="AM2843" s="245"/>
      <c r="AN2843" s="245"/>
      <c r="AO2843" s="238">
        <v>0.0</v>
      </c>
      <c r="AP2843" s="238">
        <v>0.0</v>
      </c>
      <c r="AQ2843" s="235" t="s">
        <v>632</v>
      </c>
      <c r="AR2843" s="243">
        <v>1.68E11</v>
      </c>
      <c r="AS2843" s="235" t="s">
        <v>20529</v>
      </c>
      <c r="AT2843" s="235" t="s">
        <v>9</v>
      </c>
      <c r="AU2843" s="235" t="s">
        <v>634</v>
      </c>
      <c r="AV2843" s="246" t="s">
        <v>635</v>
      </c>
      <c r="AW2843" s="227"/>
      <c r="AX2843" s="227"/>
      <c r="AY2843" s="227"/>
      <c r="AZ2843" s="227"/>
      <c r="BA2843" s="227"/>
      <c r="BB2843" s="227"/>
      <c r="BC2843" s="227"/>
      <c r="BD2843" s="227"/>
      <c r="BE2843" s="227"/>
      <c r="BF2843" s="227"/>
    </row>
    <row r="2844">
      <c r="A2844" s="235" t="s">
        <v>21629</v>
      </c>
      <c r="C2844" s="235" t="s">
        <v>21630</v>
      </c>
      <c r="D2844" s="235" t="s">
        <v>21631</v>
      </c>
      <c r="E2844" s="243">
        <v>6.53E13</v>
      </c>
      <c r="F2844" s="245"/>
      <c r="G2844" s="235" t="s">
        <v>21632</v>
      </c>
      <c r="H2844" s="235" t="s">
        <v>21633</v>
      </c>
      <c r="I2844" s="235" t="s">
        <v>21633</v>
      </c>
      <c r="J2844" s="235" t="s">
        <v>21634</v>
      </c>
      <c r="K2844" s="235" t="s">
        <v>21635</v>
      </c>
      <c r="N2844" s="235" t="s">
        <v>127</v>
      </c>
      <c r="O2844" s="235" t="s">
        <v>794</v>
      </c>
      <c r="P2844" s="238">
        <v>1.0</v>
      </c>
      <c r="Q2844" s="235" t="s">
        <v>627</v>
      </c>
      <c r="R2844" s="238">
        <v>242.86</v>
      </c>
      <c r="S2844" s="238">
        <v>12.14</v>
      </c>
      <c r="T2844" s="238">
        <v>38.1</v>
      </c>
      <c r="U2844" s="238">
        <v>1.9</v>
      </c>
      <c r="V2844" s="238">
        <v>0.0</v>
      </c>
      <c r="W2844" s="238">
        <v>0.0</v>
      </c>
      <c r="X2844" s="235" t="s">
        <v>628</v>
      </c>
      <c r="Z2844" s="245"/>
      <c r="AA2844" s="245"/>
      <c r="AB2844" s="245"/>
      <c r="AC2844" s="235" t="s">
        <v>8273</v>
      </c>
      <c r="AD2844" s="235" t="s">
        <v>3113</v>
      </c>
      <c r="AE2844" s="238">
        <v>492009.0</v>
      </c>
      <c r="AF2844" s="235" t="s">
        <v>631</v>
      </c>
      <c r="AG2844" s="245"/>
      <c r="AH2844" s="245"/>
      <c r="AI2844" s="245"/>
      <c r="AJ2844" s="245"/>
      <c r="AK2844" s="245"/>
      <c r="AL2844" s="245"/>
      <c r="AM2844" s="245"/>
      <c r="AN2844" s="245"/>
      <c r="AO2844" s="238">
        <v>0.0</v>
      </c>
      <c r="AP2844" s="238">
        <v>-38.1</v>
      </c>
      <c r="AQ2844" s="235" t="s">
        <v>632</v>
      </c>
      <c r="AR2844" s="243">
        <v>3.71E11</v>
      </c>
      <c r="AS2844" s="235" t="s">
        <v>15064</v>
      </c>
      <c r="AT2844" s="235" t="s">
        <v>533</v>
      </c>
      <c r="AU2844" s="235" t="s">
        <v>634</v>
      </c>
      <c r="AV2844" s="246" t="s">
        <v>635</v>
      </c>
      <c r="AW2844" s="227"/>
      <c r="AX2844" s="227"/>
      <c r="AY2844" s="227"/>
      <c r="AZ2844" s="227"/>
      <c r="BA2844" s="227"/>
      <c r="BB2844" s="227"/>
      <c r="BC2844" s="227"/>
      <c r="BD2844" s="227"/>
      <c r="BE2844" s="227"/>
      <c r="BF2844" s="227"/>
    </row>
    <row r="2845">
      <c r="A2845" s="235" t="s">
        <v>21636</v>
      </c>
      <c r="C2845" s="235" t="s">
        <v>21637</v>
      </c>
      <c r="D2845" s="235" t="s">
        <v>21638</v>
      </c>
      <c r="E2845" s="243">
        <v>6.53E13</v>
      </c>
      <c r="F2845" s="245"/>
      <c r="G2845" s="235" t="s">
        <v>21639</v>
      </c>
      <c r="H2845" s="235" t="s">
        <v>21640</v>
      </c>
      <c r="I2845" s="235" t="s">
        <v>21640</v>
      </c>
      <c r="J2845" s="235" t="s">
        <v>21641</v>
      </c>
      <c r="K2845" s="235" t="s">
        <v>21642</v>
      </c>
      <c r="N2845" s="235" t="s">
        <v>139</v>
      </c>
      <c r="O2845" s="235" t="s">
        <v>2091</v>
      </c>
      <c r="P2845" s="238">
        <v>1.0</v>
      </c>
      <c r="Q2845" s="235" t="s">
        <v>627</v>
      </c>
      <c r="R2845" s="238">
        <v>243.8</v>
      </c>
      <c r="S2845" s="238">
        <v>11.96</v>
      </c>
      <c r="T2845" s="238">
        <v>0.0</v>
      </c>
      <c r="U2845" s="238">
        <v>0.0</v>
      </c>
      <c r="V2845" s="238">
        <v>0.0</v>
      </c>
      <c r="W2845" s="238">
        <v>0.0</v>
      </c>
      <c r="X2845" s="235" t="s">
        <v>628</v>
      </c>
      <c r="Z2845" s="245"/>
      <c r="AA2845" s="245"/>
      <c r="AB2845" s="245"/>
      <c r="AC2845" s="235" t="s">
        <v>1456</v>
      </c>
      <c r="AD2845" s="235" t="s">
        <v>928</v>
      </c>
      <c r="AE2845" s="238">
        <v>122018.0</v>
      </c>
      <c r="AF2845" s="235" t="s">
        <v>631</v>
      </c>
      <c r="AG2845" s="245"/>
      <c r="AH2845" s="245"/>
      <c r="AI2845" s="245"/>
      <c r="AJ2845" s="245"/>
      <c r="AK2845" s="245"/>
      <c r="AL2845" s="245"/>
      <c r="AM2845" s="245"/>
      <c r="AN2845" s="245"/>
      <c r="AO2845" s="238">
        <v>-4.88</v>
      </c>
      <c r="AP2845" s="238">
        <v>0.0</v>
      </c>
      <c r="AQ2845" s="235" t="s">
        <v>632</v>
      </c>
      <c r="AR2845" s="243">
        <v>3.71E11</v>
      </c>
      <c r="AS2845" s="235" t="s">
        <v>20529</v>
      </c>
      <c r="AT2845" s="235" t="s">
        <v>13</v>
      </c>
      <c r="AU2845" s="235" t="s">
        <v>634</v>
      </c>
      <c r="AV2845" s="246" t="s">
        <v>635</v>
      </c>
      <c r="AW2845" s="227"/>
      <c r="AX2845" s="227"/>
      <c r="AY2845" s="227"/>
      <c r="AZ2845" s="227"/>
      <c r="BA2845" s="227"/>
      <c r="BB2845" s="227"/>
      <c r="BC2845" s="227"/>
      <c r="BD2845" s="227"/>
      <c r="BE2845" s="227"/>
      <c r="BF2845" s="227"/>
    </row>
    <row r="2846">
      <c r="A2846" s="235" t="s">
        <v>21643</v>
      </c>
      <c r="C2846" s="235" t="s">
        <v>21644</v>
      </c>
      <c r="D2846" s="235" t="s">
        <v>21645</v>
      </c>
      <c r="E2846" s="243">
        <v>6.53E13</v>
      </c>
      <c r="F2846" s="245"/>
      <c r="G2846" s="235" t="s">
        <v>21646</v>
      </c>
      <c r="H2846" s="235" t="s">
        <v>21647</v>
      </c>
      <c r="I2846" s="235" t="s">
        <v>21647</v>
      </c>
      <c r="J2846" s="235" t="s">
        <v>21648</v>
      </c>
      <c r="K2846" s="235" t="s">
        <v>21649</v>
      </c>
      <c r="N2846" s="235" t="s">
        <v>128</v>
      </c>
      <c r="O2846" s="235" t="s">
        <v>2710</v>
      </c>
      <c r="P2846" s="238">
        <v>1.0</v>
      </c>
      <c r="Q2846" s="235" t="s">
        <v>627</v>
      </c>
      <c r="R2846" s="238">
        <v>246.67</v>
      </c>
      <c r="S2846" s="238">
        <v>12.33</v>
      </c>
      <c r="T2846" s="238">
        <v>0.0</v>
      </c>
      <c r="U2846" s="238">
        <v>0.0</v>
      </c>
      <c r="V2846" s="238">
        <v>0.0</v>
      </c>
      <c r="W2846" s="238">
        <v>0.0</v>
      </c>
      <c r="X2846" s="235" t="s">
        <v>628</v>
      </c>
      <c r="Z2846" s="245"/>
      <c r="AA2846" s="245"/>
      <c r="AB2846" s="245"/>
      <c r="AC2846" s="235" t="s">
        <v>1514</v>
      </c>
      <c r="AD2846" s="235" t="s">
        <v>1077</v>
      </c>
      <c r="AE2846" s="238">
        <v>380015.0</v>
      </c>
      <c r="AF2846" s="235" t="s">
        <v>631</v>
      </c>
      <c r="AG2846" s="245"/>
      <c r="AH2846" s="245"/>
      <c r="AI2846" s="245"/>
      <c r="AJ2846" s="245"/>
      <c r="AK2846" s="245"/>
      <c r="AL2846" s="245"/>
      <c r="AM2846" s="245"/>
      <c r="AN2846" s="245"/>
      <c r="AO2846" s="238">
        <v>0.0</v>
      </c>
      <c r="AP2846" s="238">
        <v>0.0</v>
      </c>
      <c r="AQ2846" s="235" t="s">
        <v>632</v>
      </c>
      <c r="AR2846" s="243">
        <v>1.68E11</v>
      </c>
      <c r="AS2846" s="235" t="s">
        <v>20529</v>
      </c>
      <c r="AT2846" s="235" t="s">
        <v>5</v>
      </c>
      <c r="AU2846" s="235" t="s">
        <v>634</v>
      </c>
      <c r="AV2846" s="246" t="s">
        <v>635</v>
      </c>
      <c r="AW2846" s="227"/>
      <c r="AX2846" s="227"/>
      <c r="AY2846" s="227"/>
      <c r="AZ2846" s="227"/>
      <c r="BA2846" s="227"/>
      <c r="BB2846" s="227"/>
      <c r="BC2846" s="227"/>
      <c r="BD2846" s="227"/>
      <c r="BE2846" s="227"/>
      <c r="BF2846" s="227"/>
    </row>
    <row r="2847">
      <c r="A2847" s="235" t="s">
        <v>21650</v>
      </c>
      <c r="C2847" s="235" t="s">
        <v>21651</v>
      </c>
      <c r="D2847" s="235" t="s">
        <v>21652</v>
      </c>
      <c r="E2847" s="243">
        <v>6.52E13</v>
      </c>
      <c r="F2847" s="245"/>
      <c r="G2847" s="235" t="s">
        <v>21653</v>
      </c>
      <c r="H2847" s="235" t="s">
        <v>21654</v>
      </c>
      <c r="I2847" s="235" t="s">
        <v>21654</v>
      </c>
      <c r="J2847" s="235" t="s">
        <v>21655</v>
      </c>
      <c r="K2847" s="235" t="s">
        <v>21656</v>
      </c>
      <c r="N2847" s="235" t="s">
        <v>27</v>
      </c>
      <c r="O2847" s="235" t="s">
        <v>573</v>
      </c>
      <c r="P2847" s="238">
        <v>1.0</v>
      </c>
      <c r="Q2847" s="235" t="s">
        <v>627</v>
      </c>
      <c r="R2847" s="238">
        <v>360.96</v>
      </c>
      <c r="S2847" s="238">
        <v>18.04</v>
      </c>
      <c r="T2847" s="238">
        <v>0.0</v>
      </c>
      <c r="U2847" s="238">
        <v>0.0</v>
      </c>
      <c r="V2847" s="238">
        <v>0.0</v>
      </c>
      <c r="W2847" s="238">
        <v>0.0</v>
      </c>
      <c r="X2847" s="235" t="s">
        <v>628</v>
      </c>
      <c r="Z2847" s="245"/>
      <c r="AA2847" s="245"/>
      <c r="AB2847" s="245"/>
      <c r="AC2847" s="235" t="s">
        <v>844</v>
      </c>
      <c r="AD2847" s="235" t="s">
        <v>845</v>
      </c>
      <c r="AE2847" s="238">
        <v>411041.0</v>
      </c>
      <c r="AF2847" s="235" t="s">
        <v>631</v>
      </c>
      <c r="AG2847" s="245"/>
      <c r="AH2847" s="245"/>
      <c r="AI2847" s="245"/>
      <c r="AJ2847" s="245"/>
      <c r="AK2847" s="245"/>
      <c r="AL2847" s="245"/>
      <c r="AM2847" s="245"/>
      <c r="AN2847" s="245"/>
      <c r="AO2847" s="238">
        <v>0.0</v>
      </c>
      <c r="AP2847" s="238">
        <v>0.0</v>
      </c>
      <c r="AQ2847" s="235" t="s">
        <v>632</v>
      </c>
      <c r="AR2847" s="243">
        <v>3.71E11</v>
      </c>
      <c r="AS2847" s="235" t="s">
        <v>13822</v>
      </c>
      <c r="AT2847" s="235" t="s">
        <v>16</v>
      </c>
      <c r="AU2847" s="235" t="s">
        <v>634</v>
      </c>
      <c r="AV2847" s="246" t="s">
        <v>635</v>
      </c>
      <c r="AW2847" s="227"/>
      <c r="AX2847" s="227"/>
      <c r="AY2847" s="227"/>
      <c r="AZ2847" s="227"/>
      <c r="BA2847" s="227"/>
      <c r="BB2847" s="227"/>
      <c r="BC2847" s="227"/>
      <c r="BD2847" s="227"/>
      <c r="BE2847" s="227"/>
      <c r="BF2847" s="227"/>
    </row>
    <row r="2848">
      <c r="A2848" s="235" t="s">
        <v>21657</v>
      </c>
      <c r="C2848" s="235" t="s">
        <v>21658</v>
      </c>
      <c r="D2848" s="235" t="s">
        <v>21659</v>
      </c>
      <c r="E2848" s="243">
        <v>6.52E13</v>
      </c>
      <c r="F2848" s="245"/>
      <c r="G2848" s="235" t="s">
        <v>21660</v>
      </c>
      <c r="H2848" s="235" t="s">
        <v>21661</v>
      </c>
      <c r="I2848" s="235" t="s">
        <v>21661</v>
      </c>
      <c r="J2848" s="235" t="s">
        <v>21662</v>
      </c>
      <c r="K2848" s="235" t="s">
        <v>21663</v>
      </c>
      <c r="N2848" s="235" t="s">
        <v>71</v>
      </c>
      <c r="O2848" s="235" t="s">
        <v>240</v>
      </c>
      <c r="P2848" s="238">
        <v>1.0</v>
      </c>
      <c r="Q2848" s="235" t="s">
        <v>627</v>
      </c>
      <c r="R2848" s="238">
        <v>246.66</v>
      </c>
      <c r="S2848" s="238">
        <v>12.34</v>
      </c>
      <c r="T2848" s="238">
        <v>38.1</v>
      </c>
      <c r="U2848" s="238">
        <v>1.9</v>
      </c>
      <c r="V2848" s="238">
        <v>0.0</v>
      </c>
      <c r="W2848" s="238">
        <v>0.0</v>
      </c>
      <c r="X2848" s="235" t="s">
        <v>628</v>
      </c>
      <c r="Z2848" s="245"/>
      <c r="AA2848" s="245"/>
      <c r="AB2848" s="245"/>
      <c r="AC2848" s="235" t="s">
        <v>844</v>
      </c>
      <c r="AD2848" s="235" t="s">
        <v>845</v>
      </c>
      <c r="AE2848" s="238">
        <v>411006.0</v>
      </c>
      <c r="AF2848" s="235" t="s">
        <v>631</v>
      </c>
      <c r="AG2848" s="245"/>
      <c r="AH2848" s="245"/>
      <c r="AI2848" s="245"/>
      <c r="AJ2848" s="245"/>
      <c r="AK2848" s="245"/>
      <c r="AL2848" s="245"/>
      <c r="AM2848" s="245"/>
      <c r="AN2848" s="245"/>
      <c r="AO2848" s="238">
        <v>0.0</v>
      </c>
      <c r="AP2848" s="238">
        <v>-38.1</v>
      </c>
      <c r="AQ2848" s="235" t="s">
        <v>632</v>
      </c>
      <c r="AR2848" s="243">
        <v>3.71E11</v>
      </c>
      <c r="AS2848" s="235" t="s">
        <v>13822</v>
      </c>
      <c r="AT2848" s="235" t="s">
        <v>16</v>
      </c>
      <c r="AU2848" s="235" t="s">
        <v>634</v>
      </c>
      <c r="AV2848" s="246" t="s">
        <v>635</v>
      </c>
      <c r="AW2848" s="227"/>
      <c r="AX2848" s="227"/>
      <c r="AY2848" s="227"/>
      <c r="AZ2848" s="227"/>
      <c r="BA2848" s="227"/>
      <c r="BB2848" s="227"/>
      <c r="BC2848" s="227"/>
      <c r="BD2848" s="227"/>
      <c r="BE2848" s="227"/>
      <c r="BF2848" s="227"/>
    </row>
    <row r="2849">
      <c r="A2849" s="235" t="s">
        <v>21664</v>
      </c>
      <c r="C2849" s="235" t="s">
        <v>21665</v>
      </c>
      <c r="D2849" s="235" t="s">
        <v>21666</v>
      </c>
      <c r="E2849" s="243">
        <v>6.53E13</v>
      </c>
      <c r="F2849" s="245"/>
      <c r="G2849" s="235" t="s">
        <v>21667</v>
      </c>
      <c r="H2849" s="235" t="s">
        <v>21668</v>
      </c>
      <c r="I2849" s="235" t="s">
        <v>21668</v>
      </c>
      <c r="J2849" s="235" t="s">
        <v>21669</v>
      </c>
      <c r="K2849" s="235" t="s">
        <v>21670</v>
      </c>
      <c r="N2849" s="235" t="s">
        <v>726</v>
      </c>
      <c r="O2849" s="235" t="s">
        <v>727</v>
      </c>
      <c r="P2849" s="238">
        <v>1.0</v>
      </c>
      <c r="Q2849" s="235" t="s">
        <v>627</v>
      </c>
      <c r="R2849" s="238">
        <v>244.76</v>
      </c>
      <c r="S2849" s="238">
        <v>12.24</v>
      </c>
      <c r="T2849" s="238">
        <v>0.0</v>
      </c>
      <c r="U2849" s="238">
        <v>0.0</v>
      </c>
      <c r="V2849" s="238">
        <v>0.0</v>
      </c>
      <c r="W2849" s="238">
        <v>0.0</v>
      </c>
      <c r="X2849" s="235" t="s">
        <v>628</v>
      </c>
      <c r="Z2849" s="245"/>
      <c r="AA2849" s="245"/>
      <c r="AB2849" s="245"/>
      <c r="AC2849" s="235" t="s">
        <v>1671</v>
      </c>
      <c r="AD2849" s="235" t="s">
        <v>666</v>
      </c>
      <c r="AE2849" s="238">
        <v>641048.0</v>
      </c>
      <c r="AF2849" s="235" t="s">
        <v>631</v>
      </c>
      <c r="AG2849" s="245"/>
      <c r="AH2849" s="245"/>
      <c r="AI2849" s="245"/>
      <c r="AJ2849" s="245"/>
      <c r="AK2849" s="245"/>
      <c r="AL2849" s="245"/>
      <c r="AM2849" s="245"/>
      <c r="AN2849" s="245"/>
      <c r="AO2849" s="238">
        <v>0.0</v>
      </c>
      <c r="AP2849" s="238">
        <v>0.0</v>
      </c>
      <c r="AQ2849" s="235" t="s">
        <v>632</v>
      </c>
      <c r="AR2849" s="243">
        <v>3.71E11</v>
      </c>
      <c r="AS2849" s="235" t="s">
        <v>20529</v>
      </c>
      <c r="AT2849" s="235" t="s">
        <v>9</v>
      </c>
      <c r="AU2849" s="235" t="s">
        <v>634</v>
      </c>
      <c r="AV2849" s="246" t="s">
        <v>635</v>
      </c>
      <c r="AW2849" s="227"/>
      <c r="AX2849" s="227"/>
      <c r="AY2849" s="227"/>
      <c r="AZ2849" s="227"/>
      <c r="BA2849" s="227"/>
      <c r="BB2849" s="227"/>
      <c r="BC2849" s="227"/>
      <c r="BD2849" s="227"/>
      <c r="BE2849" s="227"/>
      <c r="BF2849" s="227"/>
    </row>
    <row r="2850">
      <c r="A2850" s="235" t="s">
        <v>21671</v>
      </c>
      <c r="C2850" s="235" t="s">
        <v>21672</v>
      </c>
      <c r="D2850" s="235" t="s">
        <v>21673</v>
      </c>
      <c r="E2850" s="243">
        <v>6.52E13</v>
      </c>
      <c r="F2850" s="245"/>
      <c r="G2850" s="235" t="s">
        <v>21674</v>
      </c>
      <c r="H2850" s="235" t="s">
        <v>21675</v>
      </c>
      <c r="I2850" s="235" t="s">
        <v>21675</v>
      </c>
      <c r="J2850" s="235" t="s">
        <v>21676</v>
      </c>
      <c r="K2850" s="235" t="s">
        <v>21677</v>
      </c>
      <c r="N2850" s="235" t="s">
        <v>42</v>
      </c>
      <c r="O2850" s="235" t="s">
        <v>204</v>
      </c>
      <c r="P2850" s="238">
        <v>1.0</v>
      </c>
      <c r="Q2850" s="235" t="s">
        <v>627</v>
      </c>
      <c r="R2850" s="238">
        <v>237.14</v>
      </c>
      <c r="S2850" s="238">
        <v>11.62</v>
      </c>
      <c r="T2850" s="238">
        <v>0.0</v>
      </c>
      <c r="U2850" s="238">
        <v>0.0</v>
      </c>
      <c r="V2850" s="238">
        <v>0.0</v>
      </c>
      <c r="W2850" s="238">
        <v>0.0</v>
      </c>
      <c r="X2850" s="235" t="s">
        <v>628</v>
      </c>
      <c r="Z2850" s="245"/>
      <c r="AA2850" s="245"/>
      <c r="AB2850" s="245"/>
      <c r="AC2850" s="235" t="s">
        <v>3546</v>
      </c>
      <c r="AD2850" s="235" t="s">
        <v>833</v>
      </c>
      <c r="AE2850" s="238">
        <v>522007.0</v>
      </c>
      <c r="AF2850" s="235" t="s">
        <v>631</v>
      </c>
      <c r="AG2850" s="245"/>
      <c r="AH2850" s="245"/>
      <c r="AI2850" s="245"/>
      <c r="AJ2850" s="245"/>
      <c r="AK2850" s="245"/>
      <c r="AL2850" s="245"/>
      <c r="AM2850" s="245"/>
      <c r="AN2850" s="245"/>
      <c r="AO2850" s="238">
        <v>-4.74</v>
      </c>
      <c r="AP2850" s="238">
        <v>0.0</v>
      </c>
      <c r="AQ2850" s="235" t="s">
        <v>632</v>
      </c>
      <c r="AR2850" s="243">
        <v>3.71E11</v>
      </c>
      <c r="AS2850" s="235" t="s">
        <v>17988</v>
      </c>
      <c r="AT2850" s="235" t="s">
        <v>156</v>
      </c>
      <c r="AU2850" s="235" t="s">
        <v>634</v>
      </c>
      <c r="AV2850" s="246" t="s">
        <v>635</v>
      </c>
      <c r="AW2850" s="227"/>
      <c r="AX2850" s="227"/>
      <c r="AY2850" s="227"/>
      <c r="AZ2850" s="227"/>
      <c r="BA2850" s="227"/>
      <c r="BB2850" s="227"/>
      <c r="BC2850" s="227"/>
      <c r="BD2850" s="227"/>
      <c r="BE2850" s="227"/>
      <c r="BF2850" s="227"/>
    </row>
    <row r="2851">
      <c r="A2851" s="235" t="s">
        <v>21678</v>
      </c>
      <c r="C2851" s="235" t="s">
        <v>21679</v>
      </c>
      <c r="D2851" s="235" t="s">
        <v>21680</v>
      </c>
      <c r="E2851" s="243">
        <v>6.53E13</v>
      </c>
      <c r="F2851" s="245"/>
      <c r="G2851" s="235" t="s">
        <v>21681</v>
      </c>
      <c r="H2851" s="235" t="s">
        <v>21682</v>
      </c>
      <c r="I2851" s="235" t="s">
        <v>21682</v>
      </c>
      <c r="J2851" s="235" t="s">
        <v>21683</v>
      </c>
      <c r="K2851" s="235" t="s">
        <v>21684</v>
      </c>
      <c r="N2851" s="235" t="s">
        <v>34</v>
      </c>
      <c r="O2851" s="235" t="s">
        <v>1050</v>
      </c>
      <c r="P2851" s="238">
        <v>1.0</v>
      </c>
      <c r="Q2851" s="235" t="s">
        <v>627</v>
      </c>
      <c r="R2851" s="238">
        <v>475.24</v>
      </c>
      <c r="S2851" s="238">
        <v>23.76</v>
      </c>
      <c r="T2851" s="238">
        <v>0.0</v>
      </c>
      <c r="U2851" s="238">
        <v>0.0</v>
      </c>
      <c r="V2851" s="238">
        <v>0.0</v>
      </c>
      <c r="W2851" s="238">
        <v>0.0</v>
      </c>
      <c r="X2851" s="235" t="s">
        <v>628</v>
      </c>
      <c r="Z2851" s="245"/>
      <c r="AA2851" s="245"/>
      <c r="AB2851" s="245"/>
      <c r="AC2851" s="235" t="s">
        <v>6571</v>
      </c>
      <c r="AD2851" s="235" t="s">
        <v>731</v>
      </c>
      <c r="AE2851" s="238">
        <v>781029.0</v>
      </c>
      <c r="AF2851" s="235" t="s">
        <v>631</v>
      </c>
      <c r="AG2851" s="245"/>
      <c r="AH2851" s="245"/>
      <c r="AI2851" s="245"/>
      <c r="AJ2851" s="245"/>
      <c r="AK2851" s="245"/>
      <c r="AL2851" s="245"/>
      <c r="AM2851" s="245"/>
      <c r="AN2851" s="245"/>
      <c r="AO2851" s="238">
        <v>0.0</v>
      </c>
      <c r="AP2851" s="238">
        <v>0.0</v>
      </c>
      <c r="AQ2851" s="235" t="s">
        <v>632</v>
      </c>
      <c r="AR2851" s="243">
        <v>2.02E11</v>
      </c>
      <c r="AS2851" s="235" t="s">
        <v>20529</v>
      </c>
      <c r="AT2851" s="235" t="s">
        <v>9</v>
      </c>
      <c r="AU2851" s="235" t="s">
        <v>634</v>
      </c>
      <c r="AV2851" s="246" t="s">
        <v>635</v>
      </c>
      <c r="AW2851" s="227"/>
      <c r="AX2851" s="227"/>
      <c r="AY2851" s="227"/>
      <c r="AZ2851" s="227"/>
      <c r="BA2851" s="227"/>
      <c r="BB2851" s="227"/>
      <c r="BC2851" s="227"/>
      <c r="BD2851" s="227"/>
      <c r="BE2851" s="227"/>
      <c r="BF2851" s="227"/>
    </row>
    <row r="2852">
      <c r="A2852" s="235" t="s">
        <v>21685</v>
      </c>
      <c r="C2852" s="235" t="s">
        <v>21686</v>
      </c>
      <c r="D2852" s="235" t="s">
        <v>21687</v>
      </c>
      <c r="E2852" s="243">
        <v>6.53E13</v>
      </c>
      <c r="F2852" s="245"/>
      <c r="G2852" s="235" t="s">
        <v>21688</v>
      </c>
      <c r="H2852" s="235" t="s">
        <v>21689</v>
      </c>
      <c r="I2852" s="235" t="s">
        <v>21689</v>
      </c>
      <c r="J2852" s="235" t="s">
        <v>21690</v>
      </c>
      <c r="K2852" s="235" t="s">
        <v>21691</v>
      </c>
      <c r="N2852" s="235" t="s">
        <v>138</v>
      </c>
      <c r="O2852" s="235" t="s">
        <v>675</v>
      </c>
      <c r="P2852" s="238">
        <v>1.0</v>
      </c>
      <c r="Q2852" s="235" t="s">
        <v>627</v>
      </c>
      <c r="R2852" s="238">
        <v>243.8</v>
      </c>
      <c r="S2852" s="238">
        <v>12.2</v>
      </c>
      <c r="T2852" s="238">
        <v>0.0</v>
      </c>
      <c r="U2852" s="238">
        <v>0.0</v>
      </c>
      <c r="V2852" s="238">
        <v>0.0</v>
      </c>
      <c r="W2852" s="238">
        <v>0.0</v>
      </c>
      <c r="X2852" s="235" t="s">
        <v>628</v>
      </c>
      <c r="Z2852" s="245"/>
      <c r="AA2852" s="245"/>
      <c r="AB2852" s="245"/>
      <c r="AC2852" s="235" t="s">
        <v>687</v>
      </c>
      <c r="AD2852" s="235" t="s">
        <v>666</v>
      </c>
      <c r="AE2852" s="238">
        <v>600129.0</v>
      </c>
      <c r="AF2852" s="235" t="s">
        <v>631</v>
      </c>
      <c r="AG2852" s="245"/>
      <c r="AH2852" s="245"/>
      <c r="AI2852" s="245"/>
      <c r="AJ2852" s="245"/>
      <c r="AK2852" s="245"/>
      <c r="AL2852" s="245"/>
      <c r="AM2852" s="245"/>
      <c r="AN2852" s="245"/>
      <c r="AO2852" s="238">
        <v>0.0</v>
      </c>
      <c r="AP2852" s="238">
        <v>0.0</v>
      </c>
      <c r="AQ2852" s="235" t="s">
        <v>632</v>
      </c>
      <c r="AR2852" s="243">
        <v>1.68E11</v>
      </c>
      <c r="AS2852" s="235" t="s">
        <v>21120</v>
      </c>
      <c r="AT2852" s="235" t="s">
        <v>156</v>
      </c>
      <c r="AU2852" s="235" t="s">
        <v>634</v>
      </c>
      <c r="AV2852" s="246" t="s">
        <v>635</v>
      </c>
      <c r="AW2852" s="227"/>
      <c r="AX2852" s="227"/>
      <c r="AY2852" s="227"/>
      <c r="AZ2852" s="227"/>
      <c r="BA2852" s="227"/>
      <c r="BB2852" s="227"/>
      <c r="BC2852" s="227"/>
      <c r="BD2852" s="227"/>
      <c r="BE2852" s="227"/>
      <c r="BF2852" s="227"/>
    </row>
    <row r="2853">
      <c r="A2853" s="235" t="s">
        <v>21692</v>
      </c>
      <c r="C2853" s="235" t="s">
        <v>21693</v>
      </c>
      <c r="D2853" s="235" t="s">
        <v>21694</v>
      </c>
      <c r="E2853" s="243">
        <v>6.53E13</v>
      </c>
      <c r="F2853" s="245"/>
      <c r="G2853" s="235" t="s">
        <v>21695</v>
      </c>
      <c r="H2853" s="235" t="s">
        <v>21696</v>
      </c>
      <c r="I2853" s="235" t="s">
        <v>21697</v>
      </c>
      <c r="J2853" s="235" t="s">
        <v>21698</v>
      </c>
      <c r="K2853" s="235" t="s">
        <v>21699</v>
      </c>
      <c r="N2853" s="235" t="s">
        <v>51</v>
      </c>
      <c r="O2853" s="235" t="s">
        <v>273</v>
      </c>
      <c r="P2853" s="238">
        <v>1.0</v>
      </c>
      <c r="Q2853" s="235" t="s">
        <v>627</v>
      </c>
      <c r="R2853" s="238">
        <v>233.34</v>
      </c>
      <c r="S2853" s="238">
        <v>11.43</v>
      </c>
      <c r="T2853" s="238">
        <v>0.0</v>
      </c>
      <c r="U2853" s="238">
        <v>0.0</v>
      </c>
      <c r="V2853" s="238">
        <v>0.0</v>
      </c>
      <c r="W2853" s="238">
        <v>0.0</v>
      </c>
      <c r="X2853" s="235" t="s">
        <v>628</v>
      </c>
      <c r="Z2853" s="245"/>
      <c r="AA2853" s="245"/>
      <c r="AB2853" s="245"/>
      <c r="AC2853" s="235" t="s">
        <v>687</v>
      </c>
      <c r="AD2853" s="235" t="s">
        <v>666</v>
      </c>
      <c r="AE2853" s="238">
        <v>600117.0</v>
      </c>
      <c r="AF2853" s="235" t="s">
        <v>631</v>
      </c>
      <c r="AG2853" s="245"/>
      <c r="AH2853" s="245"/>
      <c r="AI2853" s="245"/>
      <c r="AJ2853" s="245"/>
      <c r="AK2853" s="245"/>
      <c r="AL2853" s="245"/>
      <c r="AM2853" s="245"/>
      <c r="AN2853" s="245"/>
      <c r="AO2853" s="238">
        <v>-4.67</v>
      </c>
      <c r="AP2853" s="238">
        <v>0.0</v>
      </c>
      <c r="AQ2853" s="235" t="s">
        <v>632</v>
      </c>
      <c r="AR2853" s="243">
        <v>1.68E11</v>
      </c>
      <c r="AS2853" s="235" t="s">
        <v>21120</v>
      </c>
      <c r="AT2853" s="235" t="s">
        <v>156</v>
      </c>
      <c r="AU2853" s="235" t="s">
        <v>634</v>
      </c>
      <c r="AV2853" s="246" t="s">
        <v>635</v>
      </c>
      <c r="AW2853" s="227"/>
      <c r="AX2853" s="227"/>
      <c r="AY2853" s="227"/>
      <c r="AZ2853" s="227"/>
      <c r="BA2853" s="227"/>
      <c r="BB2853" s="227"/>
      <c r="BC2853" s="227"/>
      <c r="BD2853" s="227"/>
      <c r="BE2853" s="227"/>
      <c r="BF2853" s="227"/>
    </row>
    <row r="2854">
      <c r="A2854" s="235" t="s">
        <v>21700</v>
      </c>
      <c r="C2854" s="235" t="s">
        <v>21701</v>
      </c>
      <c r="D2854" s="235" t="s">
        <v>21702</v>
      </c>
      <c r="E2854" s="243">
        <v>6.53E13</v>
      </c>
      <c r="F2854" s="245"/>
      <c r="G2854" s="235" t="s">
        <v>21703</v>
      </c>
      <c r="H2854" s="235" t="s">
        <v>21704</v>
      </c>
      <c r="I2854" s="235" t="s">
        <v>21705</v>
      </c>
      <c r="J2854" s="235" t="s">
        <v>21706</v>
      </c>
      <c r="K2854" s="235" t="s">
        <v>21707</v>
      </c>
      <c r="N2854" s="235" t="s">
        <v>90</v>
      </c>
      <c r="O2854" s="235" t="s">
        <v>279</v>
      </c>
      <c r="P2854" s="238">
        <v>1.0</v>
      </c>
      <c r="Q2854" s="235" t="s">
        <v>627</v>
      </c>
      <c r="R2854" s="238">
        <v>270.48</v>
      </c>
      <c r="S2854" s="238">
        <v>13.52</v>
      </c>
      <c r="T2854" s="238">
        <v>0.0</v>
      </c>
      <c r="U2854" s="238">
        <v>0.0</v>
      </c>
      <c r="V2854" s="238">
        <v>0.0</v>
      </c>
      <c r="W2854" s="238">
        <v>0.0</v>
      </c>
      <c r="X2854" s="235" t="s">
        <v>628</v>
      </c>
      <c r="Z2854" s="245"/>
      <c r="AA2854" s="245"/>
      <c r="AB2854" s="245"/>
      <c r="AC2854" s="235" t="s">
        <v>21708</v>
      </c>
      <c r="AD2854" s="235" t="s">
        <v>3113</v>
      </c>
      <c r="AE2854" s="238">
        <v>497001.0</v>
      </c>
      <c r="AF2854" s="235" t="s">
        <v>631</v>
      </c>
      <c r="AG2854" s="245"/>
      <c r="AH2854" s="245"/>
      <c r="AI2854" s="245"/>
      <c r="AJ2854" s="245"/>
      <c r="AK2854" s="245"/>
      <c r="AL2854" s="245"/>
      <c r="AM2854" s="245"/>
      <c r="AN2854" s="245"/>
      <c r="AO2854" s="238">
        <v>0.0</v>
      </c>
      <c r="AP2854" s="238">
        <v>0.0</v>
      </c>
      <c r="AQ2854" s="235" t="s">
        <v>632</v>
      </c>
      <c r="AR2854" s="243">
        <v>3.71E11</v>
      </c>
      <c r="AS2854" s="235" t="s">
        <v>13822</v>
      </c>
      <c r="AT2854" s="235" t="s">
        <v>13</v>
      </c>
      <c r="AU2854" s="235" t="s">
        <v>634</v>
      </c>
      <c r="AV2854" s="246" t="s">
        <v>635</v>
      </c>
      <c r="AW2854" s="227"/>
      <c r="AX2854" s="227"/>
      <c r="AY2854" s="227"/>
      <c r="AZ2854" s="227"/>
      <c r="BA2854" s="227"/>
      <c r="BB2854" s="227"/>
      <c r="BC2854" s="227"/>
      <c r="BD2854" s="227"/>
      <c r="BE2854" s="227"/>
      <c r="BF2854" s="227"/>
    </row>
    <row r="2855">
      <c r="A2855" s="235" t="s">
        <v>21709</v>
      </c>
      <c r="C2855" s="235" t="s">
        <v>21710</v>
      </c>
      <c r="D2855" s="235" t="s">
        <v>21711</v>
      </c>
      <c r="E2855" s="243">
        <v>6.53E13</v>
      </c>
      <c r="F2855" s="245"/>
      <c r="G2855" s="235" t="s">
        <v>21712</v>
      </c>
      <c r="H2855" s="235" t="s">
        <v>21713</v>
      </c>
      <c r="I2855" s="235" t="s">
        <v>21713</v>
      </c>
      <c r="J2855" s="235" t="s">
        <v>21714</v>
      </c>
      <c r="K2855" s="235" t="s">
        <v>21715</v>
      </c>
      <c r="N2855" s="235" t="s">
        <v>989</v>
      </c>
      <c r="O2855" s="235" t="s">
        <v>990</v>
      </c>
      <c r="P2855" s="238">
        <v>1.0</v>
      </c>
      <c r="Q2855" s="235" t="s">
        <v>627</v>
      </c>
      <c r="R2855" s="238">
        <v>256.2</v>
      </c>
      <c r="S2855" s="238">
        <v>12.8</v>
      </c>
      <c r="T2855" s="238">
        <v>0.0</v>
      </c>
      <c r="U2855" s="238">
        <v>0.0</v>
      </c>
      <c r="V2855" s="238">
        <v>0.0</v>
      </c>
      <c r="W2855" s="238">
        <v>0.0</v>
      </c>
      <c r="X2855" s="235" t="s">
        <v>628</v>
      </c>
      <c r="Z2855" s="245"/>
      <c r="AA2855" s="245"/>
      <c r="AB2855" s="245"/>
      <c r="AC2855" s="235" t="s">
        <v>21716</v>
      </c>
      <c r="AD2855" s="235" t="s">
        <v>666</v>
      </c>
      <c r="AE2855" s="238">
        <v>631209.0</v>
      </c>
      <c r="AF2855" s="235" t="s">
        <v>631</v>
      </c>
      <c r="AG2855" s="245"/>
      <c r="AH2855" s="245"/>
      <c r="AI2855" s="245"/>
      <c r="AJ2855" s="245"/>
      <c r="AK2855" s="245"/>
      <c r="AL2855" s="245"/>
      <c r="AM2855" s="245"/>
      <c r="AN2855" s="245"/>
      <c r="AO2855" s="238">
        <v>0.0</v>
      </c>
      <c r="AP2855" s="238">
        <v>0.0</v>
      </c>
      <c r="AQ2855" s="235" t="s">
        <v>632</v>
      </c>
      <c r="AR2855" s="243">
        <v>3.71E11</v>
      </c>
      <c r="AS2855" s="235" t="s">
        <v>20529</v>
      </c>
      <c r="AT2855" s="235" t="s">
        <v>156</v>
      </c>
      <c r="AU2855" s="235" t="s">
        <v>634</v>
      </c>
      <c r="AV2855" s="246" t="s">
        <v>635</v>
      </c>
      <c r="AW2855" s="227"/>
      <c r="AX2855" s="227"/>
      <c r="AY2855" s="227"/>
      <c r="AZ2855" s="227"/>
      <c r="BA2855" s="227"/>
      <c r="BB2855" s="227"/>
      <c r="BC2855" s="227"/>
      <c r="BD2855" s="227"/>
      <c r="BE2855" s="227"/>
      <c r="BF2855" s="227"/>
    </row>
    <row r="2856">
      <c r="A2856" s="235" t="s">
        <v>21717</v>
      </c>
      <c r="C2856" s="235" t="s">
        <v>21718</v>
      </c>
      <c r="D2856" s="235" t="s">
        <v>21719</v>
      </c>
      <c r="E2856" s="243">
        <v>6.53E13</v>
      </c>
      <c r="F2856" s="245"/>
      <c r="G2856" s="235" t="s">
        <v>21720</v>
      </c>
      <c r="H2856" s="235" t="s">
        <v>21721</v>
      </c>
      <c r="I2856" s="235" t="s">
        <v>21721</v>
      </c>
      <c r="J2856" s="235" t="s">
        <v>21722</v>
      </c>
      <c r="K2856" s="235" t="s">
        <v>21723</v>
      </c>
      <c r="N2856" s="235" t="s">
        <v>51</v>
      </c>
      <c r="O2856" s="235" t="s">
        <v>273</v>
      </c>
      <c r="P2856" s="238">
        <v>1.0</v>
      </c>
      <c r="Q2856" s="235" t="s">
        <v>627</v>
      </c>
      <c r="R2856" s="238">
        <v>270.48</v>
      </c>
      <c r="S2856" s="238">
        <v>13.52</v>
      </c>
      <c r="T2856" s="238">
        <v>0.0</v>
      </c>
      <c r="U2856" s="238">
        <v>0.0</v>
      </c>
      <c r="V2856" s="238">
        <v>0.0</v>
      </c>
      <c r="W2856" s="238">
        <v>0.0</v>
      </c>
      <c r="X2856" s="235" t="s">
        <v>628</v>
      </c>
      <c r="Z2856" s="245"/>
      <c r="AA2856" s="245"/>
      <c r="AB2856" s="245"/>
      <c r="AC2856" s="235" t="s">
        <v>814</v>
      </c>
      <c r="AD2856" s="235" t="s">
        <v>698</v>
      </c>
      <c r="AE2856" s="238">
        <v>500008.0</v>
      </c>
      <c r="AF2856" s="235" t="s">
        <v>631</v>
      </c>
      <c r="AG2856" s="245"/>
      <c r="AH2856" s="245"/>
      <c r="AI2856" s="245"/>
      <c r="AJ2856" s="245"/>
      <c r="AK2856" s="245"/>
      <c r="AL2856" s="245"/>
      <c r="AM2856" s="245"/>
      <c r="AN2856" s="245"/>
      <c r="AO2856" s="238">
        <v>0.0</v>
      </c>
      <c r="AP2856" s="238">
        <v>0.0</v>
      </c>
      <c r="AQ2856" s="235" t="s">
        <v>632</v>
      </c>
      <c r="AR2856" s="243">
        <v>2.02E11</v>
      </c>
      <c r="AS2856" s="235" t="s">
        <v>20529</v>
      </c>
      <c r="AT2856" s="235" t="s">
        <v>9</v>
      </c>
      <c r="AU2856" s="235" t="s">
        <v>634</v>
      </c>
      <c r="AV2856" s="246" t="s">
        <v>635</v>
      </c>
      <c r="AW2856" s="227"/>
      <c r="AX2856" s="227"/>
      <c r="AY2856" s="227"/>
      <c r="AZ2856" s="227"/>
      <c r="BA2856" s="227"/>
      <c r="BB2856" s="227"/>
      <c r="BC2856" s="227"/>
      <c r="BD2856" s="227"/>
      <c r="BE2856" s="227"/>
      <c r="BF2856" s="227"/>
    </row>
    <row r="2857">
      <c r="A2857" s="235" t="s">
        <v>21724</v>
      </c>
      <c r="C2857" s="235" t="s">
        <v>21725</v>
      </c>
      <c r="D2857" s="235" t="s">
        <v>21726</v>
      </c>
      <c r="E2857" s="243">
        <v>6.52E13</v>
      </c>
      <c r="F2857" s="245"/>
      <c r="G2857" s="235" t="s">
        <v>21727</v>
      </c>
      <c r="H2857" s="235" t="s">
        <v>21728</v>
      </c>
      <c r="I2857" s="235" t="s">
        <v>21728</v>
      </c>
      <c r="J2857" s="235" t="s">
        <v>21729</v>
      </c>
      <c r="K2857" s="235" t="s">
        <v>21730</v>
      </c>
      <c r="N2857" s="235" t="s">
        <v>144</v>
      </c>
      <c r="O2857" s="235" t="s">
        <v>232</v>
      </c>
      <c r="P2857" s="238">
        <v>1.0</v>
      </c>
      <c r="Q2857" s="235" t="s">
        <v>627</v>
      </c>
      <c r="R2857" s="238">
        <v>665.71</v>
      </c>
      <c r="S2857" s="238">
        <v>33.29</v>
      </c>
      <c r="T2857" s="238">
        <v>38.1</v>
      </c>
      <c r="U2857" s="238">
        <v>1.9</v>
      </c>
      <c r="V2857" s="238">
        <v>0.0</v>
      </c>
      <c r="W2857" s="238">
        <v>0.0</v>
      </c>
      <c r="X2857" s="235" t="s">
        <v>628</v>
      </c>
      <c r="Z2857" s="245"/>
      <c r="AA2857" s="245"/>
      <c r="AB2857" s="245"/>
      <c r="AC2857" s="235" t="s">
        <v>1604</v>
      </c>
      <c r="AD2857" s="235" t="s">
        <v>845</v>
      </c>
      <c r="AE2857" s="238">
        <v>400088.0</v>
      </c>
      <c r="AF2857" s="235" t="s">
        <v>631</v>
      </c>
      <c r="AG2857" s="245"/>
      <c r="AH2857" s="245"/>
      <c r="AI2857" s="245"/>
      <c r="AJ2857" s="245"/>
      <c r="AK2857" s="245"/>
      <c r="AL2857" s="245"/>
      <c r="AM2857" s="245"/>
      <c r="AN2857" s="245"/>
      <c r="AO2857" s="238">
        <v>0.0</v>
      </c>
      <c r="AP2857" s="238">
        <v>-38.1</v>
      </c>
      <c r="AQ2857" s="235" t="s">
        <v>632</v>
      </c>
      <c r="AR2857" s="243">
        <v>3.71E11</v>
      </c>
      <c r="AS2857" s="235" t="s">
        <v>17988</v>
      </c>
      <c r="AT2857" s="235" t="s">
        <v>5</v>
      </c>
      <c r="AU2857" s="235" t="s">
        <v>634</v>
      </c>
      <c r="AV2857" s="246" t="s">
        <v>635</v>
      </c>
      <c r="AW2857" s="227"/>
      <c r="AX2857" s="227"/>
      <c r="AY2857" s="227"/>
      <c r="AZ2857" s="227"/>
      <c r="BA2857" s="227"/>
      <c r="BB2857" s="227"/>
      <c r="BC2857" s="227"/>
      <c r="BD2857" s="227"/>
      <c r="BE2857" s="227"/>
      <c r="BF2857" s="227"/>
    </row>
    <row r="2858">
      <c r="A2858" s="235" t="s">
        <v>21731</v>
      </c>
      <c r="C2858" s="235" t="s">
        <v>21732</v>
      </c>
      <c r="D2858" s="235" t="s">
        <v>21733</v>
      </c>
      <c r="E2858" s="243">
        <v>6.53E13</v>
      </c>
      <c r="F2858" s="245"/>
      <c r="G2858" s="235" t="s">
        <v>21734</v>
      </c>
      <c r="H2858" s="235" t="s">
        <v>21735</v>
      </c>
      <c r="I2858" s="235" t="s">
        <v>21735</v>
      </c>
      <c r="J2858" s="235" t="s">
        <v>21736</v>
      </c>
      <c r="K2858" s="235" t="s">
        <v>21737</v>
      </c>
      <c r="N2858" s="235" t="s">
        <v>726</v>
      </c>
      <c r="O2858" s="235" t="s">
        <v>727</v>
      </c>
      <c r="P2858" s="238">
        <v>1.0</v>
      </c>
      <c r="Q2858" s="235" t="s">
        <v>627</v>
      </c>
      <c r="R2858" s="238">
        <v>244.76</v>
      </c>
      <c r="S2858" s="238">
        <v>12.24</v>
      </c>
      <c r="T2858" s="238">
        <v>0.0</v>
      </c>
      <c r="U2858" s="238">
        <v>0.0</v>
      </c>
      <c r="V2858" s="238">
        <v>0.0</v>
      </c>
      <c r="W2858" s="238">
        <v>0.0</v>
      </c>
      <c r="X2858" s="235" t="s">
        <v>628</v>
      </c>
      <c r="Z2858" s="245"/>
      <c r="AA2858" s="245"/>
      <c r="AB2858" s="245"/>
      <c r="AC2858" s="235" t="s">
        <v>21738</v>
      </c>
      <c r="AD2858" s="235" t="s">
        <v>1077</v>
      </c>
      <c r="AE2858" s="238">
        <v>364001.0</v>
      </c>
      <c r="AF2858" s="235" t="s">
        <v>631</v>
      </c>
      <c r="AG2858" s="245"/>
      <c r="AH2858" s="245"/>
      <c r="AI2858" s="245"/>
      <c r="AJ2858" s="245"/>
      <c r="AK2858" s="245"/>
      <c r="AL2858" s="245"/>
      <c r="AM2858" s="245"/>
      <c r="AN2858" s="245"/>
      <c r="AO2858" s="238">
        <v>0.0</v>
      </c>
      <c r="AP2858" s="238">
        <v>0.0</v>
      </c>
      <c r="AQ2858" s="235" t="s">
        <v>632</v>
      </c>
      <c r="AR2858" s="243">
        <v>3.71E11</v>
      </c>
      <c r="AS2858" s="235" t="s">
        <v>17988</v>
      </c>
      <c r="AT2858" s="235" t="s">
        <v>533</v>
      </c>
      <c r="AU2858" s="235" t="s">
        <v>634</v>
      </c>
      <c r="AV2858" s="246" t="s">
        <v>635</v>
      </c>
      <c r="AW2858" s="227"/>
      <c r="AX2858" s="227"/>
      <c r="AY2858" s="227"/>
      <c r="AZ2858" s="227"/>
      <c r="BA2858" s="227"/>
      <c r="BB2858" s="227"/>
      <c r="BC2858" s="227"/>
      <c r="BD2858" s="227"/>
      <c r="BE2858" s="227"/>
      <c r="BF2858" s="227"/>
    </row>
    <row r="2859">
      <c r="A2859" s="235" t="s">
        <v>21739</v>
      </c>
      <c r="C2859" s="235" t="s">
        <v>21740</v>
      </c>
      <c r="D2859" s="235" t="s">
        <v>21741</v>
      </c>
      <c r="E2859" s="243">
        <v>6.52E13</v>
      </c>
      <c r="F2859" s="245"/>
      <c r="G2859" s="235" t="s">
        <v>21742</v>
      </c>
      <c r="H2859" s="235" t="s">
        <v>21743</v>
      </c>
      <c r="I2859" s="235" t="s">
        <v>21744</v>
      </c>
      <c r="J2859" s="235" t="s">
        <v>21745</v>
      </c>
      <c r="K2859" s="235" t="s">
        <v>21746</v>
      </c>
      <c r="N2859" s="235" t="s">
        <v>842</v>
      </c>
      <c r="O2859" s="235" t="s">
        <v>843</v>
      </c>
      <c r="P2859" s="238">
        <v>1.0</v>
      </c>
      <c r="Q2859" s="235" t="s">
        <v>627</v>
      </c>
      <c r="R2859" s="238">
        <v>246.67</v>
      </c>
      <c r="S2859" s="238">
        <v>12.08</v>
      </c>
      <c r="T2859" s="238">
        <v>0.0</v>
      </c>
      <c r="U2859" s="238">
        <v>0.0</v>
      </c>
      <c r="V2859" s="238">
        <v>0.0</v>
      </c>
      <c r="W2859" s="238">
        <v>0.0</v>
      </c>
      <c r="X2859" s="235" t="s">
        <v>628</v>
      </c>
      <c r="Z2859" s="245"/>
      <c r="AA2859" s="245"/>
      <c r="AB2859" s="245"/>
      <c r="AC2859" s="235" t="s">
        <v>21747</v>
      </c>
      <c r="AD2859" s="235" t="s">
        <v>917</v>
      </c>
      <c r="AE2859" s="238">
        <v>313324.0</v>
      </c>
      <c r="AF2859" s="235" t="s">
        <v>631</v>
      </c>
      <c r="AG2859" s="245"/>
      <c r="AH2859" s="245"/>
      <c r="AI2859" s="245"/>
      <c r="AJ2859" s="245"/>
      <c r="AK2859" s="245"/>
      <c r="AL2859" s="245"/>
      <c r="AM2859" s="245"/>
      <c r="AN2859" s="245"/>
      <c r="AO2859" s="238">
        <v>-4.93</v>
      </c>
      <c r="AP2859" s="238">
        <v>0.0</v>
      </c>
      <c r="AQ2859" s="235" t="s">
        <v>632</v>
      </c>
      <c r="AR2859" s="243">
        <v>3.71E11</v>
      </c>
      <c r="AS2859" s="235" t="s">
        <v>17988</v>
      </c>
      <c r="AT2859" s="235" t="s">
        <v>13</v>
      </c>
      <c r="AU2859" s="235" t="s">
        <v>634</v>
      </c>
      <c r="AV2859" s="246" t="s">
        <v>635</v>
      </c>
      <c r="AW2859" s="227"/>
      <c r="AX2859" s="227"/>
      <c r="AY2859" s="227"/>
      <c r="AZ2859" s="227"/>
      <c r="BA2859" s="227"/>
      <c r="BB2859" s="227"/>
      <c r="BC2859" s="227"/>
      <c r="BD2859" s="227"/>
      <c r="BE2859" s="227"/>
      <c r="BF2859" s="227"/>
    </row>
    <row r="2860">
      <c r="A2860" s="235" t="s">
        <v>21748</v>
      </c>
      <c r="C2860" s="235" t="s">
        <v>21749</v>
      </c>
      <c r="D2860" s="235" t="s">
        <v>21750</v>
      </c>
      <c r="E2860" s="243">
        <v>6.52E13</v>
      </c>
      <c r="F2860" s="245"/>
      <c r="G2860" s="235" t="s">
        <v>21751</v>
      </c>
      <c r="H2860" s="235" t="s">
        <v>21752</v>
      </c>
      <c r="I2860" s="235" t="s">
        <v>21752</v>
      </c>
      <c r="J2860" s="235" t="s">
        <v>21753</v>
      </c>
      <c r="K2860" s="235" t="s">
        <v>21754</v>
      </c>
      <c r="N2860" s="235" t="s">
        <v>86</v>
      </c>
      <c r="O2860" s="235" t="s">
        <v>1811</v>
      </c>
      <c r="P2860" s="238">
        <v>1.0</v>
      </c>
      <c r="Q2860" s="235" t="s">
        <v>627</v>
      </c>
      <c r="R2860" s="238">
        <v>237.14</v>
      </c>
      <c r="S2860" s="238">
        <v>11.5</v>
      </c>
      <c r="T2860" s="238">
        <v>0.0</v>
      </c>
      <c r="U2860" s="238">
        <v>0.0</v>
      </c>
      <c r="V2860" s="238">
        <v>0.0</v>
      </c>
      <c r="W2860" s="238">
        <v>0.0</v>
      </c>
      <c r="X2860" s="235" t="s">
        <v>628</v>
      </c>
      <c r="Z2860" s="245"/>
      <c r="AA2860" s="245"/>
      <c r="AB2860" s="245"/>
      <c r="AC2860" s="235" t="s">
        <v>2350</v>
      </c>
      <c r="AD2860" s="235" t="s">
        <v>917</v>
      </c>
      <c r="AE2860" s="238">
        <v>342011.0</v>
      </c>
      <c r="AF2860" s="235" t="s">
        <v>631</v>
      </c>
      <c r="AG2860" s="245"/>
      <c r="AH2860" s="245"/>
      <c r="AI2860" s="245"/>
      <c r="AJ2860" s="245"/>
      <c r="AK2860" s="245"/>
      <c r="AL2860" s="245"/>
      <c r="AM2860" s="245"/>
      <c r="AN2860" s="245"/>
      <c r="AO2860" s="238">
        <v>-7.11</v>
      </c>
      <c r="AP2860" s="238">
        <v>0.0</v>
      </c>
      <c r="AQ2860" s="235" t="s">
        <v>632</v>
      </c>
      <c r="AR2860" s="243">
        <v>3.71E11</v>
      </c>
      <c r="AS2860" s="235" t="s">
        <v>17988</v>
      </c>
      <c r="AT2860" s="235" t="s">
        <v>14</v>
      </c>
      <c r="AU2860" s="235" t="s">
        <v>634</v>
      </c>
      <c r="AV2860" s="246" t="s">
        <v>635</v>
      </c>
      <c r="AW2860" s="227"/>
      <c r="AX2860" s="227"/>
      <c r="AY2860" s="227"/>
      <c r="AZ2860" s="227"/>
      <c r="BA2860" s="227"/>
      <c r="BB2860" s="227"/>
      <c r="BC2860" s="227"/>
      <c r="BD2860" s="227"/>
      <c r="BE2860" s="227"/>
      <c r="BF2860" s="227"/>
    </row>
    <row r="2861">
      <c r="A2861" s="235" t="s">
        <v>21755</v>
      </c>
      <c r="C2861" s="235" t="s">
        <v>21756</v>
      </c>
      <c r="D2861" s="235" t="s">
        <v>21757</v>
      </c>
      <c r="E2861" s="243">
        <v>6.52E13</v>
      </c>
      <c r="F2861" s="245"/>
      <c r="G2861" s="235" t="s">
        <v>21758</v>
      </c>
      <c r="H2861" s="235" t="s">
        <v>21759</v>
      </c>
      <c r="I2861" s="235" t="s">
        <v>21759</v>
      </c>
      <c r="J2861" s="235" t="s">
        <v>21760</v>
      </c>
      <c r="K2861" s="235" t="s">
        <v>21761</v>
      </c>
      <c r="N2861" s="235" t="s">
        <v>55</v>
      </c>
      <c r="O2861" s="235" t="s">
        <v>244</v>
      </c>
      <c r="P2861" s="238">
        <v>1.0</v>
      </c>
      <c r="Q2861" s="235" t="s">
        <v>627</v>
      </c>
      <c r="R2861" s="238">
        <v>236.19</v>
      </c>
      <c r="S2861" s="238">
        <v>11.81</v>
      </c>
      <c r="T2861" s="238">
        <v>0.0</v>
      </c>
      <c r="U2861" s="238">
        <v>0.0</v>
      </c>
      <c r="V2861" s="238">
        <v>0.0</v>
      </c>
      <c r="W2861" s="238">
        <v>0.0</v>
      </c>
      <c r="X2861" s="235" t="s">
        <v>628</v>
      </c>
      <c r="Z2861" s="245"/>
      <c r="AA2861" s="245"/>
      <c r="AB2861" s="245"/>
      <c r="AC2861" s="235" t="s">
        <v>1514</v>
      </c>
      <c r="AD2861" s="235" t="s">
        <v>1077</v>
      </c>
      <c r="AE2861" s="238">
        <v>380059.0</v>
      </c>
      <c r="AF2861" s="235" t="s">
        <v>631</v>
      </c>
      <c r="AG2861" s="245"/>
      <c r="AH2861" s="245"/>
      <c r="AI2861" s="245"/>
      <c r="AJ2861" s="245"/>
      <c r="AK2861" s="245"/>
      <c r="AL2861" s="245"/>
      <c r="AM2861" s="245"/>
      <c r="AN2861" s="245"/>
      <c r="AO2861" s="238">
        <v>0.0</v>
      </c>
      <c r="AP2861" s="238">
        <v>0.0</v>
      </c>
      <c r="AQ2861" s="235" t="s">
        <v>632</v>
      </c>
      <c r="AR2861" s="243">
        <v>3.71E11</v>
      </c>
      <c r="AS2861" s="235" t="s">
        <v>16626</v>
      </c>
      <c r="AT2861" s="235" t="s">
        <v>9</v>
      </c>
      <c r="AU2861" s="235" t="s">
        <v>634</v>
      </c>
      <c r="AV2861" s="246" t="s">
        <v>635</v>
      </c>
      <c r="AW2861" s="227"/>
      <c r="AX2861" s="227"/>
      <c r="AY2861" s="227"/>
      <c r="AZ2861" s="227"/>
      <c r="BA2861" s="227"/>
      <c r="BB2861" s="227"/>
      <c r="BC2861" s="227"/>
      <c r="BD2861" s="227"/>
      <c r="BE2861" s="227"/>
      <c r="BF2861" s="227"/>
    </row>
    <row r="2862">
      <c r="A2862" s="235" t="s">
        <v>21762</v>
      </c>
      <c r="C2862" s="235" t="s">
        <v>21763</v>
      </c>
      <c r="D2862" s="235" t="s">
        <v>21764</v>
      </c>
      <c r="E2862" s="243">
        <v>6.53E13</v>
      </c>
      <c r="F2862" s="245"/>
      <c r="G2862" s="235" t="s">
        <v>21765</v>
      </c>
      <c r="H2862" s="235" t="s">
        <v>21766</v>
      </c>
      <c r="I2862" s="235" t="s">
        <v>21766</v>
      </c>
      <c r="J2862" s="235" t="s">
        <v>21767</v>
      </c>
      <c r="K2862" s="235" t="s">
        <v>15099</v>
      </c>
      <c r="N2862" s="235" t="s">
        <v>141</v>
      </c>
      <c r="O2862" s="235" t="s">
        <v>342</v>
      </c>
      <c r="P2862" s="238">
        <v>1.0</v>
      </c>
      <c r="Q2862" s="235" t="s">
        <v>627</v>
      </c>
      <c r="R2862" s="238">
        <v>243.81</v>
      </c>
      <c r="S2862" s="238">
        <v>12.19</v>
      </c>
      <c r="T2862" s="238">
        <v>38.1</v>
      </c>
      <c r="U2862" s="238">
        <v>1.9</v>
      </c>
      <c r="V2862" s="238">
        <v>0.0</v>
      </c>
      <c r="W2862" s="238">
        <v>0.0</v>
      </c>
      <c r="X2862" s="235" t="s">
        <v>628</v>
      </c>
      <c r="Z2862" s="245"/>
      <c r="AA2862" s="245"/>
      <c r="AB2862" s="245"/>
      <c r="AC2862" s="235" t="s">
        <v>7611</v>
      </c>
      <c r="AD2862" s="235" t="s">
        <v>630</v>
      </c>
      <c r="AE2862" s="238">
        <v>250223.0</v>
      </c>
      <c r="AF2862" s="235" t="s">
        <v>631</v>
      </c>
      <c r="AG2862" s="245"/>
      <c r="AH2862" s="245"/>
      <c r="AI2862" s="245"/>
      <c r="AJ2862" s="245"/>
      <c r="AK2862" s="245"/>
      <c r="AL2862" s="245"/>
      <c r="AM2862" s="245"/>
      <c r="AN2862" s="245"/>
      <c r="AO2862" s="238">
        <v>0.0</v>
      </c>
      <c r="AP2862" s="238">
        <v>-38.1</v>
      </c>
      <c r="AQ2862" s="235" t="s">
        <v>632</v>
      </c>
      <c r="AR2862" s="243">
        <v>3.71E11</v>
      </c>
      <c r="AS2862" s="235" t="s">
        <v>17988</v>
      </c>
      <c r="AT2862" s="235" t="s">
        <v>533</v>
      </c>
      <c r="AU2862" s="235" t="s">
        <v>634</v>
      </c>
      <c r="AV2862" s="246" t="s">
        <v>635</v>
      </c>
      <c r="AW2862" s="227"/>
      <c r="AX2862" s="227"/>
      <c r="AY2862" s="227"/>
      <c r="AZ2862" s="227"/>
      <c r="BA2862" s="227"/>
      <c r="BB2862" s="227"/>
      <c r="BC2862" s="227"/>
      <c r="BD2862" s="227"/>
      <c r="BE2862" s="227"/>
      <c r="BF2862" s="227"/>
    </row>
    <row r="2863">
      <c r="A2863" s="235" t="s">
        <v>21768</v>
      </c>
      <c r="C2863" s="235" t="s">
        <v>21769</v>
      </c>
      <c r="D2863" s="235" t="s">
        <v>21770</v>
      </c>
      <c r="E2863" s="243">
        <v>6.53E13</v>
      </c>
      <c r="F2863" s="245"/>
      <c r="G2863" s="235" t="s">
        <v>21771</v>
      </c>
      <c r="H2863" s="235" t="s">
        <v>21772</v>
      </c>
      <c r="I2863" s="235" t="s">
        <v>21772</v>
      </c>
      <c r="J2863" s="235" t="s">
        <v>21773</v>
      </c>
      <c r="K2863" s="235" t="s">
        <v>21774</v>
      </c>
      <c r="N2863" s="235" t="s">
        <v>989</v>
      </c>
      <c r="O2863" s="235" t="s">
        <v>990</v>
      </c>
      <c r="P2863" s="238">
        <v>1.0</v>
      </c>
      <c r="Q2863" s="235" t="s">
        <v>627</v>
      </c>
      <c r="R2863" s="238">
        <v>256.19</v>
      </c>
      <c r="S2863" s="238">
        <v>12.81</v>
      </c>
      <c r="T2863" s="238">
        <v>38.1</v>
      </c>
      <c r="U2863" s="238">
        <v>1.9</v>
      </c>
      <c r="V2863" s="238">
        <v>0.0</v>
      </c>
      <c r="W2863" s="238">
        <v>0.0</v>
      </c>
      <c r="X2863" s="235" t="s">
        <v>628</v>
      </c>
      <c r="Z2863" s="245"/>
      <c r="AA2863" s="245"/>
      <c r="AB2863" s="245"/>
      <c r="AC2863" s="235" t="s">
        <v>21775</v>
      </c>
      <c r="AD2863" s="235" t="s">
        <v>833</v>
      </c>
      <c r="AE2863" s="238">
        <v>534236.0</v>
      </c>
      <c r="AF2863" s="235" t="s">
        <v>631</v>
      </c>
      <c r="AG2863" s="245"/>
      <c r="AH2863" s="245"/>
      <c r="AI2863" s="245"/>
      <c r="AJ2863" s="245"/>
      <c r="AK2863" s="245"/>
      <c r="AL2863" s="245"/>
      <c r="AM2863" s="245"/>
      <c r="AN2863" s="245"/>
      <c r="AO2863" s="238">
        <v>0.0</v>
      </c>
      <c r="AP2863" s="238">
        <v>-38.1</v>
      </c>
      <c r="AQ2863" s="235" t="s">
        <v>632</v>
      </c>
      <c r="AR2863" s="243">
        <v>3.71E11</v>
      </c>
      <c r="AS2863" s="235" t="s">
        <v>17988</v>
      </c>
      <c r="AT2863" s="235" t="s">
        <v>9</v>
      </c>
      <c r="AU2863" s="235" t="s">
        <v>634</v>
      </c>
      <c r="AV2863" s="246" t="s">
        <v>635</v>
      </c>
      <c r="AW2863" s="227"/>
      <c r="AX2863" s="227"/>
      <c r="AY2863" s="227"/>
      <c r="AZ2863" s="227"/>
      <c r="BA2863" s="227"/>
      <c r="BB2863" s="227"/>
      <c r="BC2863" s="227"/>
      <c r="BD2863" s="227"/>
      <c r="BE2863" s="227"/>
      <c r="BF2863" s="227"/>
    </row>
    <row r="2864">
      <c r="A2864" s="235" t="s">
        <v>21776</v>
      </c>
      <c r="C2864" s="235" t="s">
        <v>21777</v>
      </c>
      <c r="D2864" s="235" t="s">
        <v>21778</v>
      </c>
      <c r="E2864" s="243">
        <v>6.53E13</v>
      </c>
      <c r="F2864" s="245"/>
      <c r="G2864" s="235" t="s">
        <v>21779</v>
      </c>
      <c r="H2864" s="235" t="s">
        <v>21780</v>
      </c>
      <c r="I2864" s="235" t="s">
        <v>21780</v>
      </c>
      <c r="J2864" s="235" t="s">
        <v>21781</v>
      </c>
      <c r="K2864" s="235" t="s">
        <v>21782</v>
      </c>
      <c r="N2864" s="235" t="s">
        <v>117</v>
      </c>
      <c r="O2864" s="235" t="s">
        <v>334</v>
      </c>
      <c r="P2864" s="238">
        <v>1.0</v>
      </c>
      <c r="Q2864" s="235" t="s">
        <v>627</v>
      </c>
      <c r="R2864" s="238">
        <v>236.19</v>
      </c>
      <c r="S2864" s="238">
        <v>11.81</v>
      </c>
      <c r="T2864" s="238">
        <v>0.0</v>
      </c>
      <c r="U2864" s="238">
        <v>0.0</v>
      </c>
      <c r="V2864" s="238">
        <v>0.0</v>
      </c>
      <c r="W2864" s="238">
        <v>0.0</v>
      </c>
      <c r="X2864" s="235" t="s">
        <v>628</v>
      </c>
      <c r="Z2864" s="245"/>
      <c r="AA2864" s="245"/>
      <c r="AB2864" s="245"/>
      <c r="AC2864" s="235" t="s">
        <v>1792</v>
      </c>
      <c r="AD2864" s="235" t="s">
        <v>1077</v>
      </c>
      <c r="AE2864" s="238">
        <v>390019.0</v>
      </c>
      <c r="AF2864" s="235" t="s">
        <v>631</v>
      </c>
      <c r="AG2864" s="245"/>
      <c r="AH2864" s="245"/>
      <c r="AI2864" s="245"/>
      <c r="AJ2864" s="245"/>
      <c r="AK2864" s="245"/>
      <c r="AL2864" s="245"/>
      <c r="AM2864" s="245"/>
      <c r="AN2864" s="245"/>
      <c r="AO2864" s="238">
        <v>0.0</v>
      </c>
      <c r="AP2864" s="238">
        <v>0.0</v>
      </c>
      <c r="AQ2864" s="235" t="s">
        <v>632</v>
      </c>
      <c r="AR2864" s="243">
        <v>3.71E11</v>
      </c>
      <c r="AS2864" s="235" t="s">
        <v>17988</v>
      </c>
      <c r="AT2864" s="235" t="s">
        <v>13</v>
      </c>
      <c r="AU2864" s="235" t="s">
        <v>634</v>
      </c>
      <c r="AV2864" s="246" t="s">
        <v>635</v>
      </c>
      <c r="AW2864" s="227"/>
      <c r="AX2864" s="227"/>
      <c r="AY2864" s="227"/>
      <c r="AZ2864" s="227"/>
      <c r="BA2864" s="227"/>
      <c r="BB2864" s="227"/>
      <c r="BC2864" s="227"/>
      <c r="BD2864" s="227"/>
      <c r="BE2864" s="227"/>
      <c r="BF2864" s="227"/>
    </row>
    <row r="2865">
      <c r="A2865" s="235" t="s">
        <v>21783</v>
      </c>
      <c r="C2865" s="235" t="s">
        <v>21784</v>
      </c>
      <c r="D2865" s="235" t="s">
        <v>21785</v>
      </c>
      <c r="E2865" s="243">
        <v>6.53E13</v>
      </c>
      <c r="F2865" s="245"/>
      <c r="G2865" s="235" t="s">
        <v>21786</v>
      </c>
      <c r="H2865" s="235" t="s">
        <v>21787</v>
      </c>
      <c r="I2865" s="235" t="s">
        <v>21787</v>
      </c>
      <c r="J2865" s="235" t="s">
        <v>21788</v>
      </c>
      <c r="K2865" s="235" t="s">
        <v>21789</v>
      </c>
      <c r="N2865" s="235" t="s">
        <v>35</v>
      </c>
      <c r="O2865" s="235" t="s">
        <v>831</v>
      </c>
      <c r="P2865" s="238">
        <v>1.0</v>
      </c>
      <c r="Q2865" s="235" t="s">
        <v>627</v>
      </c>
      <c r="R2865" s="238">
        <v>446.67</v>
      </c>
      <c r="S2865" s="238">
        <v>21.21</v>
      </c>
      <c r="T2865" s="238">
        <v>0.0</v>
      </c>
      <c r="U2865" s="238">
        <v>0.0</v>
      </c>
      <c r="V2865" s="238">
        <v>0.0</v>
      </c>
      <c r="W2865" s="238">
        <v>0.0</v>
      </c>
      <c r="X2865" s="235" t="s">
        <v>628</v>
      </c>
      <c r="Z2865" s="245"/>
      <c r="AA2865" s="245"/>
      <c r="AB2865" s="245"/>
      <c r="AC2865" s="235" t="s">
        <v>1671</v>
      </c>
      <c r="AD2865" s="235" t="s">
        <v>666</v>
      </c>
      <c r="AE2865" s="238">
        <v>641014.0</v>
      </c>
      <c r="AF2865" s="235" t="s">
        <v>631</v>
      </c>
      <c r="AG2865" s="245"/>
      <c r="AH2865" s="245"/>
      <c r="AI2865" s="245"/>
      <c r="AJ2865" s="245"/>
      <c r="AK2865" s="245"/>
      <c r="AL2865" s="245"/>
      <c r="AM2865" s="245"/>
      <c r="AN2865" s="245"/>
      <c r="AO2865" s="238">
        <v>-22.33</v>
      </c>
      <c r="AP2865" s="238">
        <v>0.0</v>
      </c>
      <c r="AQ2865" s="235" t="s">
        <v>632</v>
      </c>
      <c r="AR2865" s="243">
        <v>3.71E11</v>
      </c>
      <c r="AS2865" s="235" t="s">
        <v>20529</v>
      </c>
      <c r="AT2865" s="235" t="s">
        <v>9</v>
      </c>
      <c r="AU2865" s="235" t="s">
        <v>634</v>
      </c>
      <c r="AV2865" s="246" t="s">
        <v>635</v>
      </c>
      <c r="AW2865" s="227"/>
      <c r="AX2865" s="227"/>
      <c r="AY2865" s="227"/>
      <c r="AZ2865" s="227"/>
      <c r="BA2865" s="227"/>
      <c r="BB2865" s="227"/>
      <c r="BC2865" s="227"/>
      <c r="BD2865" s="227"/>
      <c r="BE2865" s="227"/>
      <c r="BF2865" s="227"/>
    </row>
    <row r="2866">
      <c r="A2866" s="235" t="s">
        <v>21783</v>
      </c>
      <c r="C2866" s="235" t="s">
        <v>21784</v>
      </c>
      <c r="D2866" s="235" t="s">
        <v>21790</v>
      </c>
      <c r="E2866" s="243">
        <v>6.53E13</v>
      </c>
      <c r="F2866" s="245"/>
      <c r="G2866" s="235" t="s">
        <v>21786</v>
      </c>
      <c r="H2866" s="235" t="s">
        <v>21787</v>
      </c>
      <c r="I2866" s="235" t="s">
        <v>21787</v>
      </c>
      <c r="J2866" s="235" t="s">
        <v>21788</v>
      </c>
      <c r="K2866" s="235" t="s">
        <v>21789</v>
      </c>
      <c r="N2866" s="235" t="s">
        <v>35</v>
      </c>
      <c r="O2866" s="235" t="s">
        <v>831</v>
      </c>
      <c r="P2866" s="238">
        <v>2.0</v>
      </c>
      <c r="Q2866" s="235" t="s">
        <v>627</v>
      </c>
      <c r="R2866" s="238">
        <v>893.34</v>
      </c>
      <c r="S2866" s="238">
        <v>42.42</v>
      </c>
      <c r="T2866" s="238">
        <v>0.0</v>
      </c>
      <c r="U2866" s="238">
        <v>0.0</v>
      </c>
      <c r="V2866" s="238">
        <v>0.0</v>
      </c>
      <c r="W2866" s="238">
        <v>0.0</v>
      </c>
      <c r="X2866" s="235" t="s">
        <v>628</v>
      </c>
      <c r="Z2866" s="245"/>
      <c r="AA2866" s="245"/>
      <c r="AB2866" s="245"/>
      <c r="AC2866" s="235" t="s">
        <v>1671</v>
      </c>
      <c r="AD2866" s="235" t="s">
        <v>666</v>
      </c>
      <c r="AE2866" s="238">
        <v>641014.0</v>
      </c>
      <c r="AF2866" s="235" t="s">
        <v>631</v>
      </c>
      <c r="AG2866" s="245"/>
      <c r="AH2866" s="245"/>
      <c r="AI2866" s="245"/>
      <c r="AJ2866" s="245"/>
      <c r="AK2866" s="245"/>
      <c r="AL2866" s="245"/>
      <c r="AM2866" s="245"/>
      <c r="AN2866" s="245"/>
      <c r="AO2866" s="238">
        <v>-44.66</v>
      </c>
      <c r="AP2866" s="238">
        <v>0.0</v>
      </c>
      <c r="AQ2866" s="235" t="s">
        <v>632</v>
      </c>
      <c r="AR2866" s="243">
        <v>3.71E11</v>
      </c>
      <c r="AS2866" s="235" t="s">
        <v>20529</v>
      </c>
      <c r="AT2866" s="235" t="s">
        <v>9</v>
      </c>
      <c r="AU2866" s="235" t="s">
        <v>634</v>
      </c>
      <c r="AV2866" s="246" t="s">
        <v>635</v>
      </c>
      <c r="AW2866" s="227"/>
      <c r="AX2866" s="227"/>
      <c r="AY2866" s="227"/>
      <c r="AZ2866" s="227"/>
      <c r="BA2866" s="227"/>
      <c r="BB2866" s="227"/>
      <c r="BC2866" s="227"/>
      <c r="BD2866" s="227"/>
      <c r="BE2866" s="227"/>
      <c r="BF2866" s="227"/>
    </row>
    <row r="2867">
      <c r="A2867" s="235" t="s">
        <v>21783</v>
      </c>
      <c r="C2867" s="235" t="s">
        <v>21784</v>
      </c>
      <c r="D2867" s="235" t="s">
        <v>21791</v>
      </c>
      <c r="E2867" s="243">
        <v>6.53E13</v>
      </c>
      <c r="F2867" s="245"/>
      <c r="G2867" s="235" t="s">
        <v>21786</v>
      </c>
      <c r="H2867" s="235" t="s">
        <v>21787</v>
      </c>
      <c r="I2867" s="235" t="s">
        <v>21787</v>
      </c>
      <c r="J2867" s="235" t="s">
        <v>21788</v>
      </c>
      <c r="K2867" s="235" t="s">
        <v>21789</v>
      </c>
      <c r="N2867" s="235" t="s">
        <v>35</v>
      </c>
      <c r="O2867" s="235" t="s">
        <v>831</v>
      </c>
      <c r="P2867" s="238">
        <v>1.0</v>
      </c>
      <c r="Q2867" s="235" t="s">
        <v>627</v>
      </c>
      <c r="R2867" s="238">
        <v>446.67</v>
      </c>
      <c r="S2867" s="238">
        <v>21.21</v>
      </c>
      <c r="T2867" s="238">
        <v>0.0</v>
      </c>
      <c r="U2867" s="238">
        <v>0.0</v>
      </c>
      <c r="V2867" s="238">
        <v>0.0</v>
      </c>
      <c r="W2867" s="238">
        <v>0.0</v>
      </c>
      <c r="X2867" s="235" t="s">
        <v>628</v>
      </c>
      <c r="Z2867" s="245"/>
      <c r="AA2867" s="245"/>
      <c r="AB2867" s="245"/>
      <c r="AC2867" s="235" t="s">
        <v>1671</v>
      </c>
      <c r="AD2867" s="235" t="s">
        <v>666</v>
      </c>
      <c r="AE2867" s="238">
        <v>641014.0</v>
      </c>
      <c r="AF2867" s="235" t="s">
        <v>631</v>
      </c>
      <c r="AG2867" s="245"/>
      <c r="AH2867" s="245"/>
      <c r="AI2867" s="245"/>
      <c r="AJ2867" s="245"/>
      <c r="AK2867" s="245"/>
      <c r="AL2867" s="245"/>
      <c r="AM2867" s="245"/>
      <c r="AN2867" s="245"/>
      <c r="AO2867" s="238">
        <v>-22.33</v>
      </c>
      <c r="AP2867" s="238">
        <v>0.0</v>
      </c>
      <c r="AQ2867" s="235" t="s">
        <v>632</v>
      </c>
      <c r="AR2867" s="243">
        <v>3.71E11</v>
      </c>
      <c r="AS2867" s="235" t="s">
        <v>20529</v>
      </c>
      <c r="AT2867" s="235" t="s">
        <v>9</v>
      </c>
      <c r="AU2867" s="235" t="s">
        <v>634</v>
      </c>
      <c r="AV2867" s="246" t="s">
        <v>635</v>
      </c>
      <c r="AW2867" s="227"/>
      <c r="AX2867" s="227"/>
      <c r="AY2867" s="227"/>
      <c r="AZ2867" s="227"/>
      <c r="BA2867" s="227"/>
      <c r="BB2867" s="227"/>
      <c r="BC2867" s="227"/>
      <c r="BD2867" s="227"/>
      <c r="BE2867" s="227"/>
      <c r="BF2867" s="227"/>
    </row>
    <row r="2868">
      <c r="A2868" s="235" t="s">
        <v>21783</v>
      </c>
      <c r="C2868" s="235" t="s">
        <v>21784</v>
      </c>
      <c r="D2868" s="235" t="s">
        <v>21792</v>
      </c>
      <c r="E2868" s="243">
        <v>6.53E13</v>
      </c>
      <c r="F2868" s="245"/>
      <c r="G2868" s="235" t="s">
        <v>21786</v>
      </c>
      <c r="H2868" s="235" t="s">
        <v>21787</v>
      </c>
      <c r="I2868" s="235" t="s">
        <v>21787</v>
      </c>
      <c r="J2868" s="235" t="s">
        <v>21788</v>
      </c>
      <c r="K2868" s="235" t="s">
        <v>21789</v>
      </c>
      <c r="N2868" s="235" t="s">
        <v>35</v>
      </c>
      <c r="O2868" s="235" t="s">
        <v>831</v>
      </c>
      <c r="P2868" s="238">
        <v>1.0</v>
      </c>
      <c r="Q2868" s="235" t="s">
        <v>627</v>
      </c>
      <c r="R2868" s="238">
        <v>446.67</v>
      </c>
      <c r="S2868" s="238">
        <v>21.21</v>
      </c>
      <c r="T2868" s="238">
        <v>0.0</v>
      </c>
      <c r="U2868" s="238">
        <v>0.0</v>
      </c>
      <c r="V2868" s="238">
        <v>0.0</v>
      </c>
      <c r="W2868" s="238">
        <v>0.0</v>
      </c>
      <c r="X2868" s="235" t="s">
        <v>628</v>
      </c>
      <c r="Z2868" s="245"/>
      <c r="AA2868" s="245"/>
      <c r="AB2868" s="245"/>
      <c r="AC2868" s="235" t="s">
        <v>1671</v>
      </c>
      <c r="AD2868" s="235" t="s">
        <v>666</v>
      </c>
      <c r="AE2868" s="238">
        <v>641014.0</v>
      </c>
      <c r="AF2868" s="235" t="s">
        <v>631</v>
      </c>
      <c r="AG2868" s="245"/>
      <c r="AH2868" s="245"/>
      <c r="AI2868" s="245"/>
      <c r="AJ2868" s="245"/>
      <c r="AK2868" s="245"/>
      <c r="AL2868" s="245"/>
      <c r="AM2868" s="245"/>
      <c r="AN2868" s="245"/>
      <c r="AO2868" s="238">
        <v>-22.33</v>
      </c>
      <c r="AP2868" s="238">
        <v>0.0</v>
      </c>
      <c r="AQ2868" s="235" t="s">
        <v>632</v>
      </c>
      <c r="AR2868" s="243">
        <v>3.71E11</v>
      </c>
      <c r="AS2868" s="235" t="s">
        <v>20529</v>
      </c>
      <c r="AT2868" s="235" t="s">
        <v>9</v>
      </c>
      <c r="AU2868" s="235" t="s">
        <v>634</v>
      </c>
      <c r="AV2868" s="246" t="s">
        <v>635</v>
      </c>
      <c r="AW2868" s="227"/>
      <c r="AX2868" s="227"/>
      <c r="AY2868" s="227"/>
      <c r="AZ2868" s="227"/>
      <c r="BA2868" s="227"/>
      <c r="BB2868" s="227"/>
      <c r="BC2868" s="227"/>
      <c r="BD2868" s="227"/>
      <c r="BE2868" s="227"/>
      <c r="BF2868" s="227"/>
    </row>
    <row r="2869">
      <c r="A2869" s="235" t="s">
        <v>21783</v>
      </c>
      <c r="C2869" s="235" t="s">
        <v>21784</v>
      </c>
      <c r="D2869" s="235" t="s">
        <v>21793</v>
      </c>
      <c r="E2869" s="243">
        <v>6.53E13</v>
      </c>
      <c r="F2869" s="245"/>
      <c r="G2869" s="235" t="s">
        <v>21786</v>
      </c>
      <c r="H2869" s="235" t="s">
        <v>21787</v>
      </c>
      <c r="I2869" s="235" t="s">
        <v>21787</v>
      </c>
      <c r="J2869" s="235" t="s">
        <v>21788</v>
      </c>
      <c r="K2869" s="235" t="s">
        <v>21789</v>
      </c>
      <c r="N2869" s="235" t="s">
        <v>35</v>
      </c>
      <c r="O2869" s="235" t="s">
        <v>831</v>
      </c>
      <c r="P2869" s="238">
        <v>1.0</v>
      </c>
      <c r="Q2869" s="235" t="s">
        <v>627</v>
      </c>
      <c r="R2869" s="238">
        <v>446.67</v>
      </c>
      <c r="S2869" s="238">
        <v>21.21</v>
      </c>
      <c r="T2869" s="238">
        <v>0.0</v>
      </c>
      <c r="U2869" s="238">
        <v>0.0</v>
      </c>
      <c r="V2869" s="238">
        <v>0.0</v>
      </c>
      <c r="W2869" s="238">
        <v>0.0</v>
      </c>
      <c r="X2869" s="235" t="s">
        <v>628</v>
      </c>
      <c r="Z2869" s="245"/>
      <c r="AA2869" s="245"/>
      <c r="AB2869" s="245"/>
      <c r="AC2869" s="235" t="s">
        <v>1671</v>
      </c>
      <c r="AD2869" s="235" t="s">
        <v>666</v>
      </c>
      <c r="AE2869" s="238">
        <v>641014.0</v>
      </c>
      <c r="AF2869" s="235" t="s">
        <v>631</v>
      </c>
      <c r="AG2869" s="245"/>
      <c r="AH2869" s="245"/>
      <c r="AI2869" s="245"/>
      <c r="AJ2869" s="245"/>
      <c r="AK2869" s="245"/>
      <c r="AL2869" s="245"/>
      <c r="AM2869" s="245"/>
      <c r="AN2869" s="245"/>
      <c r="AO2869" s="238">
        <v>-22.33</v>
      </c>
      <c r="AP2869" s="238">
        <v>0.0</v>
      </c>
      <c r="AQ2869" s="235" t="s">
        <v>632</v>
      </c>
      <c r="AR2869" s="243">
        <v>3.71E11</v>
      </c>
      <c r="AS2869" s="235" t="s">
        <v>20529</v>
      </c>
      <c r="AT2869" s="235" t="s">
        <v>9</v>
      </c>
      <c r="AU2869" s="235" t="s">
        <v>634</v>
      </c>
      <c r="AV2869" s="246" t="s">
        <v>635</v>
      </c>
      <c r="AW2869" s="227"/>
      <c r="AX2869" s="227"/>
      <c r="AY2869" s="227"/>
      <c r="AZ2869" s="227"/>
      <c r="BA2869" s="227"/>
      <c r="BB2869" s="227"/>
      <c r="BC2869" s="227"/>
      <c r="BD2869" s="227"/>
      <c r="BE2869" s="227"/>
      <c r="BF2869" s="227"/>
    </row>
    <row r="2870">
      <c r="A2870" s="235" t="s">
        <v>21783</v>
      </c>
      <c r="C2870" s="235" t="s">
        <v>21784</v>
      </c>
      <c r="D2870" s="235" t="s">
        <v>21794</v>
      </c>
      <c r="E2870" s="243">
        <v>6.53E13</v>
      </c>
      <c r="F2870" s="245"/>
      <c r="G2870" s="235" t="s">
        <v>21786</v>
      </c>
      <c r="H2870" s="235" t="s">
        <v>21787</v>
      </c>
      <c r="I2870" s="235" t="s">
        <v>21787</v>
      </c>
      <c r="J2870" s="235" t="s">
        <v>21788</v>
      </c>
      <c r="K2870" s="235" t="s">
        <v>21789</v>
      </c>
      <c r="N2870" s="235" t="s">
        <v>35</v>
      </c>
      <c r="O2870" s="235" t="s">
        <v>831</v>
      </c>
      <c r="P2870" s="238">
        <v>1.0</v>
      </c>
      <c r="Q2870" s="235" t="s">
        <v>627</v>
      </c>
      <c r="R2870" s="238">
        <v>446.67</v>
      </c>
      <c r="S2870" s="238">
        <v>21.21</v>
      </c>
      <c r="T2870" s="238">
        <v>0.0</v>
      </c>
      <c r="U2870" s="238">
        <v>0.0</v>
      </c>
      <c r="V2870" s="238">
        <v>0.0</v>
      </c>
      <c r="W2870" s="238">
        <v>0.0</v>
      </c>
      <c r="X2870" s="235" t="s">
        <v>628</v>
      </c>
      <c r="Z2870" s="245"/>
      <c r="AA2870" s="245"/>
      <c r="AB2870" s="245"/>
      <c r="AC2870" s="235" t="s">
        <v>1671</v>
      </c>
      <c r="AD2870" s="235" t="s">
        <v>666</v>
      </c>
      <c r="AE2870" s="238">
        <v>641014.0</v>
      </c>
      <c r="AF2870" s="235" t="s">
        <v>631</v>
      </c>
      <c r="AG2870" s="245"/>
      <c r="AH2870" s="245"/>
      <c r="AI2870" s="245"/>
      <c r="AJ2870" s="245"/>
      <c r="AK2870" s="245"/>
      <c r="AL2870" s="245"/>
      <c r="AM2870" s="245"/>
      <c r="AN2870" s="245"/>
      <c r="AO2870" s="238">
        <v>-22.33</v>
      </c>
      <c r="AP2870" s="238">
        <v>0.0</v>
      </c>
      <c r="AQ2870" s="235" t="s">
        <v>632</v>
      </c>
      <c r="AR2870" s="243">
        <v>3.71E11</v>
      </c>
      <c r="AS2870" s="235" t="s">
        <v>20529</v>
      </c>
      <c r="AT2870" s="235" t="s">
        <v>9</v>
      </c>
      <c r="AU2870" s="235" t="s">
        <v>634</v>
      </c>
      <c r="AV2870" s="246" t="s">
        <v>635</v>
      </c>
      <c r="AW2870" s="227"/>
      <c r="AX2870" s="227"/>
      <c r="AY2870" s="227"/>
      <c r="AZ2870" s="227"/>
      <c r="BA2870" s="227"/>
      <c r="BB2870" s="227"/>
      <c r="BC2870" s="227"/>
      <c r="BD2870" s="227"/>
      <c r="BE2870" s="227"/>
      <c r="BF2870" s="227"/>
    </row>
    <row r="2871">
      <c r="A2871" s="235" t="s">
        <v>21783</v>
      </c>
      <c r="C2871" s="235" t="s">
        <v>21784</v>
      </c>
      <c r="D2871" s="235" t="s">
        <v>21795</v>
      </c>
      <c r="E2871" s="243">
        <v>6.53E13</v>
      </c>
      <c r="F2871" s="245"/>
      <c r="G2871" s="235" t="s">
        <v>21786</v>
      </c>
      <c r="H2871" s="235" t="s">
        <v>21787</v>
      </c>
      <c r="I2871" s="235" t="s">
        <v>21787</v>
      </c>
      <c r="J2871" s="235" t="s">
        <v>21788</v>
      </c>
      <c r="K2871" s="235" t="s">
        <v>21789</v>
      </c>
      <c r="N2871" s="235" t="s">
        <v>35</v>
      </c>
      <c r="O2871" s="235" t="s">
        <v>831</v>
      </c>
      <c r="P2871" s="238">
        <v>1.0</v>
      </c>
      <c r="Q2871" s="235" t="s">
        <v>627</v>
      </c>
      <c r="R2871" s="238">
        <v>446.67</v>
      </c>
      <c r="S2871" s="238">
        <v>21.21</v>
      </c>
      <c r="T2871" s="238">
        <v>0.0</v>
      </c>
      <c r="U2871" s="238">
        <v>0.0</v>
      </c>
      <c r="V2871" s="238">
        <v>0.0</v>
      </c>
      <c r="W2871" s="238">
        <v>0.0</v>
      </c>
      <c r="X2871" s="235" t="s">
        <v>628</v>
      </c>
      <c r="Z2871" s="245"/>
      <c r="AA2871" s="245"/>
      <c r="AB2871" s="245"/>
      <c r="AC2871" s="235" t="s">
        <v>1671</v>
      </c>
      <c r="AD2871" s="235" t="s">
        <v>666</v>
      </c>
      <c r="AE2871" s="238">
        <v>641014.0</v>
      </c>
      <c r="AF2871" s="235" t="s">
        <v>631</v>
      </c>
      <c r="AG2871" s="245"/>
      <c r="AH2871" s="245"/>
      <c r="AI2871" s="245"/>
      <c r="AJ2871" s="245"/>
      <c r="AK2871" s="245"/>
      <c r="AL2871" s="245"/>
      <c r="AM2871" s="245"/>
      <c r="AN2871" s="245"/>
      <c r="AO2871" s="238">
        <v>-22.33</v>
      </c>
      <c r="AP2871" s="238">
        <v>0.0</v>
      </c>
      <c r="AQ2871" s="235" t="s">
        <v>632</v>
      </c>
      <c r="AR2871" s="243">
        <v>3.71E11</v>
      </c>
      <c r="AS2871" s="235" t="s">
        <v>20529</v>
      </c>
      <c r="AT2871" s="235" t="s">
        <v>9</v>
      </c>
      <c r="AU2871" s="235" t="s">
        <v>634</v>
      </c>
      <c r="AV2871" s="246" t="s">
        <v>635</v>
      </c>
      <c r="AW2871" s="227"/>
      <c r="AX2871" s="227"/>
      <c r="AY2871" s="227"/>
      <c r="AZ2871" s="227"/>
      <c r="BA2871" s="227"/>
      <c r="BB2871" s="227"/>
      <c r="BC2871" s="227"/>
      <c r="BD2871" s="227"/>
      <c r="BE2871" s="227"/>
      <c r="BF2871" s="227"/>
    </row>
    <row r="2872">
      <c r="A2872" s="235" t="s">
        <v>21783</v>
      </c>
      <c r="C2872" s="235" t="s">
        <v>21784</v>
      </c>
      <c r="D2872" s="235" t="s">
        <v>21796</v>
      </c>
      <c r="E2872" s="243">
        <v>6.53E13</v>
      </c>
      <c r="F2872" s="245"/>
      <c r="G2872" s="235" t="s">
        <v>21786</v>
      </c>
      <c r="H2872" s="235" t="s">
        <v>21787</v>
      </c>
      <c r="I2872" s="235" t="s">
        <v>21787</v>
      </c>
      <c r="J2872" s="235" t="s">
        <v>21788</v>
      </c>
      <c r="K2872" s="235" t="s">
        <v>21789</v>
      </c>
      <c r="N2872" s="235" t="s">
        <v>35</v>
      </c>
      <c r="O2872" s="235" t="s">
        <v>831</v>
      </c>
      <c r="P2872" s="238">
        <v>1.0</v>
      </c>
      <c r="Q2872" s="235" t="s">
        <v>627</v>
      </c>
      <c r="R2872" s="238">
        <v>446.67</v>
      </c>
      <c r="S2872" s="238">
        <v>21.21</v>
      </c>
      <c r="T2872" s="238">
        <v>0.0</v>
      </c>
      <c r="U2872" s="238">
        <v>0.0</v>
      </c>
      <c r="V2872" s="238">
        <v>0.0</v>
      </c>
      <c r="W2872" s="238">
        <v>0.0</v>
      </c>
      <c r="X2872" s="235" t="s">
        <v>628</v>
      </c>
      <c r="Z2872" s="245"/>
      <c r="AA2872" s="245"/>
      <c r="AB2872" s="245"/>
      <c r="AC2872" s="235" t="s">
        <v>1671</v>
      </c>
      <c r="AD2872" s="235" t="s">
        <v>666</v>
      </c>
      <c r="AE2872" s="238">
        <v>641014.0</v>
      </c>
      <c r="AF2872" s="235" t="s">
        <v>631</v>
      </c>
      <c r="AG2872" s="245"/>
      <c r="AH2872" s="245"/>
      <c r="AI2872" s="245"/>
      <c r="AJ2872" s="245"/>
      <c r="AK2872" s="245"/>
      <c r="AL2872" s="245"/>
      <c r="AM2872" s="245"/>
      <c r="AN2872" s="245"/>
      <c r="AO2872" s="238">
        <v>-22.33</v>
      </c>
      <c r="AP2872" s="238">
        <v>0.0</v>
      </c>
      <c r="AQ2872" s="235" t="s">
        <v>632</v>
      </c>
      <c r="AR2872" s="243">
        <v>3.71E11</v>
      </c>
      <c r="AS2872" s="235" t="s">
        <v>20529</v>
      </c>
      <c r="AT2872" s="235" t="s">
        <v>9</v>
      </c>
      <c r="AU2872" s="235" t="s">
        <v>634</v>
      </c>
      <c r="AV2872" s="246" t="s">
        <v>635</v>
      </c>
      <c r="AW2872" s="227"/>
      <c r="AX2872" s="227"/>
      <c r="AY2872" s="227"/>
      <c r="AZ2872" s="227"/>
      <c r="BA2872" s="227"/>
      <c r="BB2872" s="227"/>
      <c r="BC2872" s="227"/>
      <c r="BD2872" s="227"/>
      <c r="BE2872" s="227"/>
      <c r="BF2872" s="227"/>
    </row>
    <row r="2873">
      <c r="A2873" s="235" t="s">
        <v>21783</v>
      </c>
      <c r="C2873" s="235" t="s">
        <v>21784</v>
      </c>
      <c r="D2873" s="235" t="s">
        <v>21797</v>
      </c>
      <c r="E2873" s="243">
        <v>6.53E13</v>
      </c>
      <c r="F2873" s="245"/>
      <c r="G2873" s="235" t="s">
        <v>21786</v>
      </c>
      <c r="H2873" s="235" t="s">
        <v>21787</v>
      </c>
      <c r="I2873" s="235" t="s">
        <v>21787</v>
      </c>
      <c r="J2873" s="235" t="s">
        <v>21788</v>
      </c>
      <c r="K2873" s="235" t="s">
        <v>21789</v>
      </c>
      <c r="N2873" s="235" t="s">
        <v>35</v>
      </c>
      <c r="O2873" s="235" t="s">
        <v>831</v>
      </c>
      <c r="P2873" s="238">
        <v>1.0</v>
      </c>
      <c r="Q2873" s="235" t="s">
        <v>627</v>
      </c>
      <c r="R2873" s="238">
        <v>446.67</v>
      </c>
      <c r="S2873" s="238">
        <v>21.21</v>
      </c>
      <c r="T2873" s="238">
        <v>0.0</v>
      </c>
      <c r="U2873" s="238">
        <v>0.0</v>
      </c>
      <c r="V2873" s="238">
        <v>0.0</v>
      </c>
      <c r="W2873" s="238">
        <v>0.0</v>
      </c>
      <c r="X2873" s="235" t="s">
        <v>628</v>
      </c>
      <c r="Z2873" s="245"/>
      <c r="AA2873" s="245"/>
      <c r="AB2873" s="245"/>
      <c r="AC2873" s="235" t="s">
        <v>1671</v>
      </c>
      <c r="AD2873" s="235" t="s">
        <v>666</v>
      </c>
      <c r="AE2873" s="238">
        <v>641014.0</v>
      </c>
      <c r="AF2873" s="235" t="s">
        <v>631</v>
      </c>
      <c r="AG2873" s="245"/>
      <c r="AH2873" s="245"/>
      <c r="AI2873" s="245"/>
      <c r="AJ2873" s="245"/>
      <c r="AK2873" s="245"/>
      <c r="AL2873" s="245"/>
      <c r="AM2873" s="245"/>
      <c r="AN2873" s="245"/>
      <c r="AO2873" s="238">
        <v>-22.33</v>
      </c>
      <c r="AP2873" s="238">
        <v>0.0</v>
      </c>
      <c r="AQ2873" s="235" t="s">
        <v>632</v>
      </c>
      <c r="AR2873" s="243">
        <v>3.71E11</v>
      </c>
      <c r="AS2873" s="235" t="s">
        <v>20529</v>
      </c>
      <c r="AT2873" s="235" t="s">
        <v>9</v>
      </c>
      <c r="AU2873" s="235" t="s">
        <v>634</v>
      </c>
      <c r="AV2873" s="246" t="s">
        <v>635</v>
      </c>
      <c r="AW2873" s="227"/>
      <c r="AX2873" s="227"/>
      <c r="AY2873" s="227"/>
      <c r="AZ2873" s="227"/>
      <c r="BA2873" s="227"/>
      <c r="BB2873" s="227"/>
      <c r="BC2873" s="227"/>
      <c r="BD2873" s="227"/>
      <c r="BE2873" s="227"/>
      <c r="BF2873" s="227"/>
    </row>
    <row r="2874">
      <c r="A2874" s="235" t="s">
        <v>21798</v>
      </c>
      <c r="C2874" s="235" t="s">
        <v>21799</v>
      </c>
      <c r="D2874" s="235" t="s">
        <v>21800</v>
      </c>
      <c r="E2874" s="243">
        <v>6.53E13</v>
      </c>
      <c r="F2874" s="245"/>
      <c r="G2874" s="235" t="s">
        <v>21801</v>
      </c>
      <c r="H2874" s="235" t="s">
        <v>21802</v>
      </c>
      <c r="I2874" s="235" t="s">
        <v>21802</v>
      </c>
      <c r="J2874" s="235" t="s">
        <v>21803</v>
      </c>
      <c r="K2874" s="235" t="s">
        <v>21804</v>
      </c>
      <c r="N2874" s="235" t="s">
        <v>78</v>
      </c>
      <c r="O2874" s="235" t="s">
        <v>360</v>
      </c>
      <c r="P2874" s="238">
        <v>1.0</v>
      </c>
      <c r="Q2874" s="235" t="s">
        <v>627</v>
      </c>
      <c r="R2874" s="238">
        <v>380.0</v>
      </c>
      <c r="S2874" s="238">
        <v>19.0</v>
      </c>
      <c r="T2874" s="238">
        <v>0.0</v>
      </c>
      <c r="U2874" s="238">
        <v>0.0</v>
      </c>
      <c r="V2874" s="238">
        <v>0.0</v>
      </c>
      <c r="W2874" s="238">
        <v>0.0</v>
      </c>
      <c r="X2874" s="235" t="s">
        <v>628</v>
      </c>
      <c r="Z2874" s="245"/>
      <c r="AA2874" s="245"/>
      <c r="AB2874" s="245"/>
      <c r="AC2874" s="235" t="s">
        <v>6571</v>
      </c>
      <c r="AD2874" s="235" t="s">
        <v>731</v>
      </c>
      <c r="AE2874" s="238">
        <v>781004.0</v>
      </c>
      <c r="AF2874" s="235" t="s">
        <v>631</v>
      </c>
      <c r="AG2874" s="245"/>
      <c r="AH2874" s="245"/>
      <c r="AI2874" s="245"/>
      <c r="AJ2874" s="245"/>
      <c r="AK2874" s="245"/>
      <c r="AL2874" s="245"/>
      <c r="AM2874" s="245"/>
      <c r="AN2874" s="245"/>
      <c r="AO2874" s="238">
        <v>0.0</v>
      </c>
      <c r="AP2874" s="238">
        <v>0.0</v>
      </c>
      <c r="AQ2874" s="235" t="s">
        <v>632</v>
      </c>
      <c r="AR2874" s="243">
        <v>2.02E11</v>
      </c>
      <c r="AS2874" s="235" t="s">
        <v>20529</v>
      </c>
      <c r="AT2874" s="235" t="s">
        <v>14</v>
      </c>
      <c r="AU2874" s="235" t="s">
        <v>634</v>
      </c>
      <c r="AV2874" s="246" t="s">
        <v>635</v>
      </c>
      <c r="AW2874" s="227"/>
      <c r="AX2874" s="227"/>
      <c r="AY2874" s="227"/>
      <c r="AZ2874" s="227"/>
      <c r="BA2874" s="227"/>
      <c r="BB2874" s="227"/>
      <c r="BC2874" s="227"/>
      <c r="BD2874" s="227"/>
      <c r="BE2874" s="227"/>
      <c r="BF2874" s="227"/>
    </row>
    <row r="2875">
      <c r="A2875" s="235" t="s">
        <v>21805</v>
      </c>
      <c r="C2875" s="235" t="s">
        <v>21806</v>
      </c>
      <c r="D2875" s="235" t="s">
        <v>21807</v>
      </c>
      <c r="E2875" s="243">
        <v>6.52E13</v>
      </c>
      <c r="F2875" s="245"/>
      <c r="G2875" s="235" t="s">
        <v>21808</v>
      </c>
      <c r="H2875" s="235" t="s">
        <v>21809</v>
      </c>
      <c r="I2875" s="235" t="s">
        <v>21809</v>
      </c>
      <c r="J2875" s="235" t="s">
        <v>21810</v>
      </c>
      <c r="K2875" s="235" t="s">
        <v>21811</v>
      </c>
      <c r="N2875" s="235" t="s">
        <v>130</v>
      </c>
      <c r="O2875" s="235" t="s">
        <v>707</v>
      </c>
      <c r="P2875" s="238">
        <v>1.0</v>
      </c>
      <c r="Q2875" s="235" t="s">
        <v>627</v>
      </c>
      <c r="R2875" s="238">
        <v>246.66</v>
      </c>
      <c r="S2875" s="238">
        <v>12.34</v>
      </c>
      <c r="T2875" s="238">
        <v>38.1</v>
      </c>
      <c r="U2875" s="238">
        <v>1.9</v>
      </c>
      <c r="V2875" s="238">
        <v>0.0</v>
      </c>
      <c r="W2875" s="238">
        <v>0.0</v>
      </c>
      <c r="X2875" s="235" t="s">
        <v>628</v>
      </c>
      <c r="Z2875" s="245"/>
      <c r="AA2875" s="245"/>
      <c r="AB2875" s="245"/>
      <c r="AC2875" s="235" t="s">
        <v>678</v>
      </c>
      <c r="AD2875" s="235" t="s">
        <v>679</v>
      </c>
      <c r="AE2875" s="238">
        <v>560102.0</v>
      </c>
      <c r="AF2875" s="235" t="s">
        <v>631</v>
      </c>
      <c r="AG2875" s="245"/>
      <c r="AH2875" s="245"/>
      <c r="AI2875" s="245"/>
      <c r="AJ2875" s="245"/>
      <c r="AK2875" s="245"/>
      <c r="AL2875" s="245"/>
      <c r="AM2875" s="245"/>
      <c r="AN2875" s="245"/>
      <c r="AO2875" s="238">
        <v>0.0</v>
      </c>
      <c r="AP2875" s="238">
        <v>-38.1</v>
      </c>
      <c r="AQ2875" s="235" t="s">
        <v>632</v>
      </c>
      <c r="AR2875" s="243">
        <v>3.71E11</v>
      </c>
      <c r="AS2875" s="235" t="s">
        <v>20529</v>
      </c>
      <c r="AT2875" s="235" t="s">
        <v>11</v>
      </c>
      <c r="AU2875" s="235" t="s">
        <v>634</v>
      </c>
      <c r="AV2875" s="246" t="s">
        <v>635</v>
      </c>
      <c r="AW2875" s="227"/>
      <c r="AX2875" s="227"/>
      <c r="AY2875" s="227"/>
      <c r="AZ2875" s="227"/>
      <c r="BA2875" s="227"/>
      <c r="BB2875" s="227"/>
      <c r="BC2875" s="227"/>
      <c r="BD2875" s="227"/>
      <c r="BE2875" s="227"/>
      <c r="BF2875" s="227"/>
    </row>
    <row r="2876">
      <c r="A2876" s="235" t="s">
        <v>21812</v>
      </c>
      <c r="C2876" s="235" t="s">
        <v>21813</v>
      </c>
      <c r="D2876" s="235" t="s">
        <v>21814</v>
      </c>
      <c r="E2876" s="243">
        <v>6.52E13</v>
      </c>
      <c r="F2876" s="245"/>
      <c r="G2876" s="235" t="s">
        <v>21815</v>
      </c>
      <c r="H2876" s="235" t="s">
        <v>21816</v>
      </c>
      <c r="I2876" s="235" t="s">
        <v>21816</v>
      </c>
      <c r="J2876" s="235" t="s">
        <v>21817</v>
      </c>
      <c r="K2876" s="235" t="s">
        <v>21818</v>
      </c>
      <c r="N2876" s="235" t="s">
        <v>134</v>
      </c>
      <c r="O2876" s="235" t="s">
        <v>314</v>
      </c>
      <c r="P2876" s="238">
        <v>1.0</v>
      </c>
      <c r="Q2876" s="235" t="s">
        <v>627</v>
      </c>
      <c r="R2876" s="238">
        <v>246.66</v>
      </c>
      <c r="S2876" s="238">
        <v>12.34</v>
      </c>
      <c r="T2876" s="238">
        <v>38.1</v>
      </c>
      <c r="U2876" s="238">
        <v>1.9</v>
      </c>
      <c r="V2876" s="238">
        <v>0.0</v>
      </c>
      <c r="W2876" s="238">
        <v>0.0</v>
      </c>
      <c r="X2876" s="235" t="s">
        <v>628</v>
      </c>
      <c r="Z2876" s="245"/>
      <c r="AA2876" s="245"/>
      <c r="AB2876" s="245"/>
      <c r="AC2876" s="235" t="s">
        <v>1887</v>
      </c>
      <c r="AD2876" s="235" t="s">
        <v>679</v>
      </c>
      <c r="AE2876" s="238">
        <v>560085.0</v>
      </c>
      <c r="AF2876" s="235" t="s">
        <v>631</v>
      </c>
      <c r="AG2876" s="245"/>
      <c r="AH2876" s="245"/>
      <c r="AI2876" s="245"/>
      <c r="AJ2876" s="245"/>
      <c r="AK2876" s="245"/>
      <c r="AL2876" s="245"/>
      <c r="AM2876" s="245"/>
      <c r="AN2876" s="245"/>
      <c r="AO2876" s="238">
        <v>0.0</v>
      </c>
      <c r="AP2876" s="238">
        <v>0.0</v>
      </c>
      <c r="AQ2876" s="235" t="s">
        <v>632</v>
      </c>
      <c r="AR2876" s="243">
        <v>3.71E11</v>
      </c>
      <c r="AS2876" s="235" t="s">
        <v>20529</v>
      </c>
      <c r="AT2876" s="235" t="s">
        <v>9</v>
      </c>
      <c r="AU2876" s="235" t="s">
        <v>634</v>
      </c>
      <c r="AV2876" s="246" t="s">
        <v>635</v>
      </c>
      <c r="AW2876" s="227"/>
      <c r="AX2876" s="227"/>
      <c r="AY2876" s="227"/>
      <c r="AZ2876" s="227"/>
      <c r="BA2876" s="227"/>
      <c r="BB2876" s="227"/>
      <c r="BC2876" s="227"/>
      <c r="BD2876" s="227"/>
      <c r="BE2876" s="227"/>
      <c r="BF2876" s="227"/>
    </row>
    <row r="2877">
      <c r="A2877" s="235" t="s">
        <v>21819</v>
      </c>
      <c r="C2877" s="235" t="s">
        <v>21820</v>
      </c>
      <c r="D2877" s="235" t="s">
        <v>21821</v>
      </c>
      <c r="E2877" s="243">
        <v>6.53E13</v>
      </c>
      <c r="F2877" s="245"/>
      <c r="G2877" s="235" t="s">
        <v>21822</v>
      </c>
      <c r="H2877" s="235" t="s">
        <v>21823</v>
      </c>
      <c r="I2877" s="235" t="s">
        <v>21823</v>
      </c>
      <c r="J2877" s="235" t="s">
        <v>21824</v>
      </c>
      <c r="K2877" s="235" t="s">
        <v>21825</v>
      </c>
      <c r="N2877" s="235" t="s">
        <v>127</v>
      </c>
      <c r="O2877" s="235" t="s">
        <v>794</v>
      </c>
      <c r="P2877" s="238">
        <v>1.0</v>
      </c>
      <c r="Q2877" s="235" t="s">
        <v>627</v>
      </c>
      <c r="R2877" s="238">
        <v>242.86</v>
      </c>
      <c r="S2877" s="238">
        <v>12.14</v>
      </c>
      <c r="T2877" s="238">
        <v>38.1</v>
      </c>
      <c r="U2877" s="238">
        <v>1.9</v>
      </c>
      <c r="V2877" s="238">
        <v>0.0</v>
      </c>
      <c r="W2877" s="238">
        <v>0.0</v>
      </c>
      <c r="X2877" s="235" t="s">
        <v>628</v>
      </c>
      <c r="Z2877" s="245"/>
      <c r="AA2877" s="245"/>
      <c r="AB2877" s="245"/>
      <c r="AC2877" s="235" t="s">
        <v>17169</v>
      </c>
      <c r="AD2877" s="235" t="s">
        <v>2067</v>
      </c>
      <c r="AE2877" s="238">
        <v>834001.0</v>
      </c>
      <c r="AF2877" s="235" t="s">
        <v>631</v>
      </c>
      <c r="AG2877" s="245"/>
      <c r="AH2877" s="245"/>
      <c r="AI2877" s="245"/>
      <c r="AJ2877" s="245"/>
      <c r="AK2877" s="245"/>
      <c r="AL2877" s="245"/>
      <c r="AM2877" s="245"/>
      <c r="AN2877" s="245"/>
      <c r="AO2877" s="238">
        <v>0.0</v>
      </c>
      <c r="AP2877" s="238">
        <v>-38.1</v>
      </c>
      <c r="AQ2877" s="235" t="s">
        <v>632</v>
      </c>
      <c r="AR2877" s="243">
        <v>3.71E11</v>
      </c>
      <c r="AS2877" s="235" t="s">
        <v>15064</v>
      </c>
      <c r="AT2877" s="235" t="s">
        <v>13</v>
      </c>
      <c r="AU2877" s="235" t="s">
        <v>634</v>
      </c>
      <c r="AV2877" s="246" t="s">
        <v>635</v>
      </c>
      <c r="AW2877" s="227"/>
      <c r="AX2877" s="227"/>
      <c r="AY2877" s="227"/>
      <c r="AZ2877" s="227"/>
      <c r="BA2877" s="227"/>
      <c r="BB2877" s="227"/>
      <c r="BC2877" s="227"/>
      <c r="BD2877" s="227"/>
      <c r="BE2877" s="227"/>
      <c r="BF2877" s="227"/>
    </row>
    <row r="2878">
      <c r="A2878" s="235" t="s">
        <v>21826</v>
      </c>
      <c r="C2878" s="235" t="s">
        <v>21827</v>
      </c>
      <c r="D2878" s="235" t="s">
        <v>21828</v>
      </c>
      <c r="E2878" s="243">
        <v>6.53E13</v>
      </c>
      <c r="F2878" s="245"/>
      <c r="G2878" s="235" t="s">
        <v>21829</v>
      </c>
      <c r="H2878" s="235" t="s">
        <v>21830</v>
      </c>
      <c r="I2878" s="235" t="s">
        <v>21830</v>
      </c>
      <c r="J2878" s="235" t="s">
        <v>21831</v>
      </c>
      <c r="K2878" s="235" t="s">
        <v>21832</v>
      </c>
      <c r="N2878" s="235" t="s">
        <v>42</v>
      </c>
      <c r="O2878" s="235" t="s">
        <v>204</v>
      </c>
      <c r="P2878" s="238">
        <v>1.0</v>
      </c>
      <c r="Q2878" s="235" t="s">
        <v>627</v>
      </c>
      <c r="R2878" s="238">
        <v>237.14</v>
      </c>
      <c r="S2878" s="238">
        <v>11.62</v>
      </c>
      <c r="T2878" s="238">
        <v>0.0</v>
      </c>
      <c r="U2878" s="238">
        <v>0.0</v>
      </c>
      <c r="V2878" s="238">
        <v>0.0</v>
      </c>
      <c r="W2878" s="238">
        <v>0.0</v>
      </c>
      <c r="X2878" s="235" t="s">
        <v>628</v>
      </c>
      <c r="Z2878" s="245"/>
      <c r="AA2878" s="245"/>
      <c r="AB2878" s="245"/>
      <c r="AC2878" s="235" t="s">
        <v>21833</v>
      </c>
      <c r="AD2878" s="235" t="s">
        <v>666</v>
      </c>
      <c r="AE2878" s="238">
        <v>624601.0</v>
      </c>
      <c r="AF2878" s="235" t="s">
        <v>631</v>
      </c>
      <c r="AG2878" s="245"/>
      <c r="AH2878" s="245"/>
      <c r="AI2878" s="245"/>
      <c r="AJ2878" s="245"/>
      <c r="AK2878" s="245"/>
      <c r="AL2878" s="245"/>
      <c r="AM2878" s="245"/>
      <c r="AN2878" s="245"/>
      <c r="AO2878" s="238">
        <v>-4.74</v>
      </c>
      <c r="AP2878" s="238">
        <v>0.0</v>
      </c>
      <c r="AQ2878" s="235" t="s">
        <v>632</v>
      </c>
      <c r="AR2878" s="243">
        <v>3.71E11</v>
      </c>
      <c r="AS2878" s="235" t="s">
        <v>17988</v>
      </c>
      <c r="AT2878" s="235" t="s">
        <v>155</v>
      </c>
      <c r="AU2878" s="235" t="s">
        <v>634</v>
      </c>
      <c r="AV2878" s="246" t="s">
        <v>635</v>
      </c>
      <c r="AW2878" s="227"/>
      <c r="AX2878" s="227"/>
      <c r="AY2878" s="227"/>
      <c r="AZ2878" s="227"/>
      <c r="BA2878" s="227"/>
      <c r="BB2878" s="227"/>
      <c r="BC2878" s="227"/>
      <c r="BD2878" s="227"/>
      <c r="BE2878" s="227"/>
      <c r="BF2878" s="227"/>
    </row>
    <row r="2879">
      <c r="A2879" s="235" t="s">
        <v>21834</v>
      </c>
      <c r="C2879" s="235" t="s">
        <v>21835</v>
      </c>
      <c r="D2879" s="235" t="s">
        <v>21836</v>
      </c>
      <c r="E2879" s="243">
        <v>6.53E13</v>
      </c>
      <c r="F2879" s="245"/>
      <c r="G2879" s="235" t="s">
        <v>21837</v>
      </c>
      <c r="H2879" s="235" t="s">
        <v>21838</v>
      </c>
      <c r="I2879" s="235" t="s">
        <v>21838</v>
      </c>
      <c r="J2879" s="235" t="s">
        <v>21839</v>
      </c>
      <c r="K2879" s="235" t="s">
        <v>21840</v>
      </c>
      <c r="N2879" s="235" t="s">
        <v>54</v>
      </c>
      <c r="O2879" s="235" t="s">
        <v>294</v>
      </c>
      <c r="P2879" s="238">
        <v>1.0</v>
      </c>
      <c r="Q2879" s="235" t="s">
        <v>627</v>
      </c>
      <c r="R2879" s="238">
        <v>0.0</v>
      </c>
      <c r="S2879" s="238">
        <v>0.0</v>
      </c>
      <c r="T2879" s="238">
        <v>0.0</v>
      </c>
      <c r="U2879" s="238">
        <v>0.0</v>
      </c>
      <c r="V2879" s="238">
        <v>0.0</v>
      </c>
      <c r="W2879" s="238">
        <v>0.0</v>
      </c>
      <c r="X2879" s="235" t="s">
        <v>628</v>
      </c>
      <c r="Z2879" s="245"/>
      <c r="AA2879" s="245"/>
      <c r="AB2879" s="245"/>
      <c r="AC2879" s="235" t="s">
        <v>1910</v>
      </c>
      <c r="AD2879" s="235" t="s">
        <v>928</v>
      </c>
      <c r="AE2879" s="238">
        <v>122011.0</v>
      </c>
      <c r="AF2879" s="235" t="s">
        <v>631</v>
      </c>
      <c r="AG2879" s="245"/>
      <c r="AH2879" s="245"/>
      <c r="AI2879" s="245"/>
      <c r="AJ2879" s="245"/>
      <c r="AK2879" s="245"/>
      <c r="AL2879" s="245"/>
      <c r="AM2879" s="245"/>
      <c r="AN2879" s="245"/>
      <c r="AO2879" s="238">
        <v>0.0</v>
      </c>
      <c r="AP2879" s="238">
        <v>0.0</v>
      </c>
      <c r="AQ2879" s="235" t="s">
        <v>632</v>
      </c>
      <c r="AR2879" s="243">
        <v>3.71E11</v>
      </c>
      <c r="AS2879" s="235" t="s">
        <v>20529</v>
      </c>
      <c r="AT2879" s="235" t="s">
        <v>13</v>
      </c>
      <c r="AU2879" s="235" t="s">
        <v>634</v>
      </c>
      <c r="AV2879" s="246" t="s">
        <v>635</v>
      </c>
      <c r="AW2879" s="227"/>
      <c r="AX2879" s="227"/>
      <c r="AY2879" s="227"/>
      <c r="AZ2879" s="227"/>
      <c r="BA2879" s="227"/>
      <c r="BB2879" s="227"/>
      <c r="BC2879" s="227"/>
      <c r="BD2879" s="227"/>
      <c r="BE2879" s="227"/>
      <c r="BF2879" s="227"/>
    </row>
    <row r="2880">
      <c r="A2880" s="235" t="s">
        <v>21841</v>
      </c>
      <c r="C2880" s="235" t="s">
        <v>21842</v>
      </c>
      <c r="D2880" s="235" t="s">
        <v>21843</v>
      </c>
      <c r="E2880" s="243">
        <v>6.53E13</v>
      </c>
      <c r="F2880" s="245"/>
      <c r="G2880" s="235" t="s">
        <v>21844</v>
      </c>
      <c r="H2880" s="235" t="s">
        <v>21845</v>
      </c>
      <c r="I2880" s="235" t="s">
        <v>21845</v>
      </c>
      <c r="J2880" s="235" t="s">
        <v>21846</v>
      </c>
      <c r="K2880" s="235" t="s">
        <v>21847</v>
      </c>
      <c r="N2880" s="235" t="s">
        <v>43</v>
      </c>
      <c r="O2880" s="235" t="s">
        <v>276</v>
      </c>
      <c r="P2880" s="238">
        <v>1.0</v>
      </c>
      <c r="Q2880" s="235" t="s">
        <v>627</v>
      </c>
      <c r="R2880" s="238">
        <v>235.24</v>
      </c>
      <c r="S2880" s="238">
        <v>11.76</v>
      </c>
      <c r="T2880" s="238">
        <v>0.0</v>
      </c>
      <c r="U2880" s="238">
        <v>0.0</v>
      </c>
      <c r="V2880" s="238">
        <v>0.0</v>
      </c>
      <c r="W2880" s="238">
        <v>0.0</v>
      </c>
      <c r="X2880" s="235" t="s">
        <v>628</v>
      </c>
      <c r="Z2880" s="245"/>
      <c r="AA2880" s="245"/>
      <c r="AB2880" s="245"/>
      <c r="AC2880" s="235" t="s">
        <v>21848</v>
      </c>
      <c r="AD2880" s="235" t="s">
        <v>833</v>
      </c>
      <c r="AE2880" s="238">
        <v>524142.0</v>
      </c>
      <c r="AF2880" s="235" t="s">
        <v>631</v>
      </c>
      <c r="AG2880" s="245"/>
      <c r="AH2880" s="245"/>
      <c r="AI2880" s="245"/>
      <c r="AJ2880" s="245"/>
      <c r="AK2880" s="245"/>
      <c r="AL2880" s="245"/>
      <c r="AM2880" s="245"/>
      <c r="AN2880" s="245"/>
      <c r="AO2880" s="238">
        <v>0.0</v>
      </c>
      <c r="AP2880" s="238">
        <v>0.0</v>
      </c>
      <c r="AQ2880" s="235" t="s">
        <v>632</v>
      </c>
      <c r="AR2880" s="243">
        <v>3.71E11</v>
      </c>
      <c r="AS2880" s="235" t="s">
        <v>19388</v>
      </c>
      <c r="AT2880" s="235" t="s">
        <v>9</v>
      </c>
      <c r="AU2880" s="235" t="s">
        <v>634</v>
      </c>
      <c r="AV2880" s="246" t="s">
        <v>635</v>
      </c>
      <c r="AW2880" s="227"/>
      <c r="AX2880" s="227"/>
      <c r="AY2880" s="227"/>
      <c r="AZ2880" s="227"/>
      <c r="BA2880" s="227"/>
      <c r="BB2880" s="227"/>
      <c r="BC2880" s="227"/>
      <c r="BD2880" s="227"/>
      <c r="BE2880" s="227"/>
      <c r="BF2880" s="227"/>
    </row>
    <row r="2881">
      <c r="A2881" s="235" t="s">
        <v>21849</v>
      </c>
      <c r="C2881" s="235" t="s">
        <v>21850</v>
      </c>
      <c r="D2881" s="235" t="s">
        <v>21851</v>
      </c>
      <c r="E2881" s="243">
        <v>6.52E13</v>
      </c>
      <c r="F2881" s="245"/>
      <c r="G2881" s="235" t="s">
        <v>21852</v>
      </c>
      <c r="H2881" s="235" t="s">
        <v>21853</v>
      </c>
      <c r="I2881" s="235" t="s">
        <v>21853</v>
      </c>
      <c r="J2881" s="235" t="s">
        <v>21854</v>
      </c>
      <c r="K2881" s="235" t="s">
        <v>21855</v>
      </c>
      <c r="N2881" s="235" t="s">
        <v>154</v>
      </c>
      <c r="O2881" s="235" t="s">
        <v>766</v>
      </c>
      <c r="P2881" s="238">
        <v>1.0</v>
      </c>
      <c r="Q2881" s="235" t="s">
        <v>627</v>
      </c>
      <c r="R2881" s="238">
        <v>465.72</v>
      </c>
      <c r="S2881" s="238">
        <v>22.58</v>
      </c>
      <c r="T2881" s="238">
        <v>0.0</v>
      </c>
      <c r="U2881" s="238">
        <v>0.0</v>
      </c>
      <c r="V2881" s="238">
        <v>0.0</v>
      </c>
      <c r="W2881" s="238">
        <v>0.0</v>
      </c>
      <c r="X2881" s="235" t="s">
        <v>628</v>
      </c>
      <c r="Z2881" s="245"/>
      <c r="AA2881" s="245"/>
      <c r="AB2881" s="245"/>
      <c r="AC2881" s="235" t="s">
        <v>844</v>
      </c>
      <c r="AD2881" s="235" t="s">
        <v>845</v>
      </c>
      <c r="AE2881" s="238">
        <v>411052.0</v>
      </c>
      <c r="AF2881" s="235" t="s">
        <v>631</v>
      </c>
      <c r="AG2881" s="245"/>
      <c r="AH2881" s="245"/>
      <c r="AI2881" s="245"/>
      <c r="AJ2881" s="245"/>
      <c r="AK2881" s="245"/>
      <c r="AL2881" s="245"/>
      <c r="AM2881" s="245"/>
      <c r="AN2881" s="245"/>
      <c r="AO2881" s="238">
        <v>-13.97</v>
      </c>
      <c r="AP2881" s="238">
        <v>0.0</v>
      </c>
      <c r="AQ2881" s="235" t="s">
        <v>632</v>
      </c>
      <c r="AR2881" s="243">
        <v>3.71E11</v>
      </c>
      <c r="AS2881" s="235" t="s">
        <v>13822</v>
      </c>
      <c r="AT2881" s="235" t="s">
        <v>17</v>
      </c>
      <c r="AU2881" s="235" t="s">
        <v>634</v>
      </c>
      <c r="AV2881" s="246" t="s">
        <v>635</v>
      </c>
      <c r="AW2881" s="227"/>
      <c r="AX2881" s="227"/>
      <c r="AY2881" s="227"/>
      <c r="AZ2881" s="227"/>
      <c r="BA2881" s="227"/>
      <c r="BB2881" s="227"/>
      <c r="BC2881" s="227"/>
      <c r="BD2881" s="227"/>
      <c r="BE2881" s="227"/>
      <c r="BF2881" s="227"/>
    </row>
    <row r="2882">
      <c r="A2882" s="235" t="s">
        <v>21849</v>
      </c>
      <c r="C2882" s="235" t="s">
        <v>21850</v>
      </c>
      <c r="D2882" s="235" t="s">
        <v>21856</v>
      </c>
      <c r="E2882" s="243">
        <v>6.52E13</v>
      </c>
      <c r="F2882" s="245"/>
      <c r="G2882" s="235" t="s">
        <v>21852</v>
      </c>
      <c r="H2882" s="235" t="s">
        <v>21853</v>
      </c>
      <c r="I2882" s="235" t="s">
        <v>21853</v>
      </c>
      <c r="J2882" s="235" t="s">
        <v>21854</v>
      </c>
      <c r="K2882" s="235" t="s">
        <v>21855</v>
      </c>
      <c r="N2882" s="235" t="s">
        <v>154</v>
      </c>
      <c r="O2882" s="235" t="s">
        <v>766</v>
      </c>
      <c r="P2882" s="238">
        <v>1.0</v>
      </c>
      <c r="Q2882" s="235" t="s">
        <v>627</v>
      </c>
      <c r="R2882" s="238">
        <v>465.72</v>
      </c>
      <c r="S2882" s="238">
        <v>22.58</v>
      </c>
      <c r="T2882" s="238">
        <v>0.0</v>
      </c>
      <c r="U2882" s="238">
        <v>0.0</v>
      </c>
      <c r="V2882" s="238">
        <v>0.0</v>
      </c>
      <c r="W2882" s="238">
        <v>0.0</v>
      </c>
      <c r="X2882" s="235" t="s">
        <v>628</v>
      </c>
      <c r="Z2882" s="245"/>
      <c r="AA2882" s="245"/>
      <c r="AB2882" s="245"/>
      <c r="AC2882" s="235" t="s">
        <v>844</v>
      </c>
      <c r="AD2882" s="235" t="s">
        <v>845</v>
      </c>
      <c r="AE2882" s="238">
        <v>411052.0</v>
      </c>
      <c r="AF2882" s="235" t="s">
        <v>631</v>
      </c>
      <c r="AG2882" s="245"/>
      <c r="AH2882" s="245"/>
      <c r="AI2882" s="245"/>
      <c r="AJ2882" s="245"/>
      <c r="AK2882" s="245"/>
      <c r="AL2882" s="245"/>
      <c r="AM2882" s="245"/>
      <c r="AN2882" s="245"/>
      <c r="AO2882" s="238">
        <v>-13.97</v>
      </c>
      <c r="AP2882" s="238">
        <v>0.0</v>
      </c>
      <c r="AQ2882" s="235" t="s">
        <v>632</v>
      </c>
      <c r="AR2882" s="243">
        <v>3.71E11</v>
      </c>
      <c r="AS2882" s="235" t="s">
        <v>13822</v>
      </c>
      <c r="AT2882" s="235" t="s">
        <v>17</v>
      </c>
      <c r="AU2882" s="235" t="s">
        <v>634</v>
      </c>
      <c r="AV2882" s="246" t="s">
        <v>635</v>
      </c>
      <c r="AW2882" s="227"/>
      <c r="AX2882" s="227"/>
      <c r="AY2882" s="227"/>
      <c r="AZ2882" s="227"/>
      <c r="BA2882" s="227"/>
      <c r="BB2882" s="227"/>
      <c r="BC2882" s="227"/>
      <c r="BD2882" s="227"/>
      <c r="BE2882" s="227"/>
      <c r="BF2882" s="227"/>
    </row>
    <row r="2883">
      <c r="A2883" s="235" t="s">
        <v>21849</v>
      </c>
      <c r="C2883" s="235" t="s">
        <v>21850</v>
      </c>
      <c r="D2883" s="235" t="s">
        <v>21857</v>
      </c>
      <c r="E2883" s="243">
        <v>6.52E13</v>
      </c>
      <c r="F2883" s="245"/>
      <c r="G2883" s="235" t="s">
        <v>21852</v>
      </c>
      <c r="H2883" s="235" t="s">
        <v>21853</v>
      </c>
      <c r="I2883" s="235" t="s">
        <v>21853</v>
      </c>
      <c r="J2883" s="235" t="s">
        <v>21854</v>
      </c>
      <c r="K2883" s="235" t="s">
        <v>21855</v>
      </c>
      <c r="N2883" s="235" t="s">
        <v>145</v>
      </c>
      <c r="O2883" s="235" t="s">
        <v>370</v>
      </c>
      <c r="P2883" s="238">
        <v>1.0</v>
      </c>
      <c r="Q2883" s="235" t="s">
        <v>627</v>
      </c>
      <c r="R2883" s="238">
        <v>1522.86</v>
      </c>
      <c r="S2883" s="238">
        <v>73.86</v>
      </c>
      <c r="T2883" s="238">
        <v>0.0</v>
      </c>
      <c r="U2883" s="238">
        <v>0.0</v>
      </c>
      <c r="V2883" s="238">
        <v>0.0</v>
      </c>
      <c r="W2883" s="238">
        <v>0.0</v>
      </c>
      <c r="X2883" s="235" t="s">
        <v>628</v>
      </c>
      <c r="Z2883" s="245"/>
      <c r="AA2883" s="245"/>
      <c r="AB2883" s="245"/>
      <c r="AC2883" s="235" t="s">
        <v>844</v>
      </c>
      <c r="AD2883" s="235" t="s">
        <v>845</v>
      </c>
      <c r="AE2883" s="238">
        <v>411052.0</v>
      </c>
      <c r="AF2883" s="235" t="s">
        <v>631</v>
      </c>
      <c r="AG2883" s="245"/>
      <c r="AH2883" s="245"/>
      <c r="AI2883" s="245"/>
      <c r="AJ2883" s="245"/>
      <c r="AK2883" s="245"/>
      <c r="AL2883" s="245"/>
      <c r="AM2883" s="245"/>
      <c r="AN2883" s="245"/>
      <c r="AO2883" s="238">
        <v>-45.69</v>
      </c>
      <c r="AP2883" s="238">
        <v>0.0</v>
      </c>
      <c r="AQ2883" s="235" t="s">
        <v>632</v>
      </c>
      <c r="AR2883" s="243">
        <v>3.71E11</v>
      </c>
      <c r="AS2883" s="235" t="s">
        <v>13822</v>
      </c>
      <c r="AT2883" s="235" t="s">
        <v>17</v>
      </c>
      <c r="AU2883" s="235" t="s">
        <v>634</v>
      </c>
      <c r="AV2883" s="246" t="s">
        <v>635</v>
      </c>
      <c r="AW2883" s="227"/>
      <c r="AX2883" s="227"/>
      <c r="AY2883" s="227"/>
      <c r="AZ2883" s="227"/>
      <c r="BA2883" s="227"/>
      <c r="BB2883" s="227"/>
      <c r="BC2883" s="227"/>
      <c r="BD2883" s="227"/>
      <c r="BE2883" s="227"/>
      <c r="BF2883" s="227"/>
    </row>
    <row r="2884">
      <c r="A2884" s="235" t="s">
        <v>21858</v>
      </c>
      <c r="C2884" s="235" t="s">
        <v>21859</v>
      </c>
      <c r="D2884" s="235" t="s">
        <v>21860</v>
      </c>
      <c r="E2884" s="243">
        <v>6.53E13</v>
      </c>
      <c r="F2884" s="245"/>
      <c r="G2884" s="235" t="s">
        <v>21861</v>
      </c>
      <c r="H2884" s="235" t="s">
        <v>21862</v>
      </c>
      <c r="I2884" s="235" t="s">
        <v>21862</v>
      </c>
      <c r="J2884" s="235" t="s">
        <v>21863</v>
      </c>
      <c r="K2884" s="235" t="s">
        <v>21864</v>
      </c>
      <c r="N2884" s="235" t="s">
        <v>117</v>
      </c>
      <c r="O2884" s="235" t="s">
        <v>334</v>
      </c>
      <c r="P2884" s="238">
        <v>1.0</v>
      </c>
      <c r="Q2884" s="235" t="s">
        <v>627</v>
      </c>
      <c r="R2884" s="238">
        <v>236.2</v>
      </c>
      <c r="S2884" s="238">
        <v>11.56</v>
      </c>
      <c r="T2884" s="238">
        <v>0.0</v>
      </c>
      <c r="U2884" s="238">
        <v>0.0</v>
      </c>
      <c r="V2884" s="238">
        <v>0.0</v>
      </c>
      <c r="W2884" s="238">
        <v>0.0</v>
      </c>
      <c r="X2884" s="235" t="s">
        <v>628</v>
      </c>
      <c r="Z2884" s="245"/>
      <c r="AA2884" s="245"/>
      <c r="AB2884" s="245"/>
      <c r="AC2884" s="235" t="s">
        <v>1058</v>
      </c>
      <c r="AD2884" s="235" t="s">
        <v>845</v>
      </c>
      <c r="AE2884" s="238">
        <v>400005.0</v>
      </c>
      <c r="AF2884" s="235" t="s">
        <v>631</v>
      </c>
      <c r="AG2884" s="245"/>
      <c r="AH2884" s="245"/>
      <c r="AI2884" s="245"/>
      <c r="AJ2884" s="245"/>
      <c r="AK2884" s="245"/>
      <c r="AL2884" s="245"/>
      <c r="AM2884" s="245"/>
      <c r="AN2884" s="245"/>
      <c r="AO2884" s="238">
        <v>-4.72</v>
      </c>
      <c r="AP2884" s="238">
        <v>0.0</v>
      </c>
      <c r="AQ2884" s="235" t="s">
        <v>632</v>
      </c>
      <c r="AR2884" s="243">
        <v>1.68E11</v>
      </c>
      <c r="AS2884" s="235" t="s">
        <v>21120</v>
      </c>
      <c r="AT2884" s="235" t="s">
        <v>17</v>
      </c>
      <c r="AU2884" s="235" t="s">
        <v>634</v>
      </c>
      <c r="AV2884" s="246" t="s">
        <v>635</v>
      </c>
      <c r="AW2884" s="227"/>
      <c r="AX2884" s="227"/>
      <c r="AY2884" s="227"/>
      <c r="AZ2884" s="227"/>
      <c r="BA2884" s="227"/>
      <c r="BB2884" s="227"/>
      <c r="BC2884" s="227"/>
      <c r="BD2884" s="227"/>
      <c r="BE2884" s="227"/>
      <c r="BF2884" s="227"/>
    </row>
    <row r="2885">
      <c r="A2885" s="235" t="s">
        <v>21865</v>
      </c>
      <c r="C2885" s="235" t="s">
        <v>21866</v>
      </c>
      <c r="D2885" s="235" t="s">
        <v>21867</v>
      </c>
      <c r="E2885" s="243">
        <v>6.52E13</v>
      </c>
      <c r="F2885" s="245"/>
      <c r="G2885" s="235" t="s">
        <v>21868</v>
      </c>
      <c r="H2885" s="235" t="s">
        <v>21869</v>
      </c>
      <c r="I2885" s="235" t="s">
        <v>21869</v>
      </c>
      <c r="J2885" s="235" t="s">
        <v>21870</v>
      </c>
      <c r="K2885" s="235" t="s">
        <v>21871</v>
      </c>
      <c r="N2885" s="235" t="s">
        <v>2163</v>
      </c>
      <c r="O2885" s="235" t="s">
        <v>2164</v>
      </c>
      <c r="P2885" s="238">
        <v>1.0</v>
      </c>
      <c r="Q2885" s="235" t="s">
        <v>627</v>
      </c>
      <c r="R2885" s="238">
        <v>242.86</v>
      </c>
      <c r="S2885" s="238">
        <v>11.9</v>
      </c>
      <c r="T2885" s="238">
        <v>38.1</v>
      </c>
      <c r="U2885" s="238">
        <v>1.9</v>
      </c>
      <c r="V2885" s="238">
        <v>0.0</v>
      </c>
      <c r="W2885" s="238">
        <v>0.0</v>
      </c>
      <c r="X2885" s="235" t="s">
        <v>628</v>
      </c>
      <c r="Z2885" s="245"/>
      <c r="AA2885" s="245"/>
      <c r="AB2885" s="245"/>
      <c r="AC2885" s="235" t="s">
        <v>21872</v>
      </c>
      <c r="AD2885" s="235" t="s">
        <v>833</v>
      </c>
      <c r="AE2885" s="238">
        <v>515411.0</v>
      </c>
      <c r="AF2885" s="235" t="s">
        <v>631</v>
      </c>
      <c r="AG2885" s="245"/>
      <c r="AH2885" s="245"/>
      <c r="AI2885" s="245"/>
      <c r="AJ2885" s="245"/>
      <c r="AK2885" s="245"/>
      <c r="AL2885" s="245"/>
      <c r="AM2885" s="245"/>
      <c r="AN2885" s="245"/>
      <c r="AO2885" s="238">
        <v>-4.86</v>
      </c>
      <c r="AP2885" s="238">
        <v>-38.1</v>
      </c>
      <c r="AQ2885" s="235" t="s">
        <v>632</v>
      </c>
      <c r="AR2885" s="243">
        <v>3.71E11</v>
      </c>
      <c r="AS2885" s="235" t="s">
        <v>19388</v>
      </c>
      <c r="AT2885" s="235" t="s">
        <v>11</v>
      </c>
      <c r="AU2885" s="235" t="s">
        <v>634</v>
      </c>
      <c r="AV2885" s="246" t="s">
        <v>635</v>
      </c>
      <c r="AW2885" s="227"/>
      <c r="AX2885" s="227"/>
      <c r="AY2885" s="227"/>
      <c r="AZ2885" s="227"/>
      <c r="BA2885" s="227"/>
      <c r="BB2885" s="227"/>
      <c r="BC2885" s="227"/>
      <c r="BD2885" s="227"/>
      <c r="BE2885" s="227"/>
      <c r="BF2885" s="227"/>
    </row>
    <row r="2886">
      <c r="A2886" s="235" t="s">
        <v>21873</v>
      </c>
      <c r="C2886" s="235" t="s">
        <v>21874</v>
      </c>
      <c r="D2886" s="235" t="s">
        <v>21875</v>
      </c>
      <c r="E2886" s="243">
        <v>6.53E13</v>
      </c>
      <c r="F2886" s="245"/>
      <c r="G2886" s="235" t="s">
        <v>21876</v>
      </c>
      <c r="H2886" s="235" t="s">
        <v>21877</v>
      </c>
      <c r="I2886" s="235" t="s">
        <v>21878</v>
      </c>
      <c r="J2886" s="235" t="s">
        <v>21879</v>
      </c>
      <c r="K2886" s="235" t="s">
        <v>21880</v>
      </c>
      <c r="N2886" s="235" t="s">
        <v>2163</v>
      </c>
      <c r="O2886" s="235" t="s">
        <v>2164</v>
      </c>
      <c r="P2886" s="238">
        <v>1.0</v>
      </c>
      <c r="Q2886" s="235" t="s">
        <v>627</v>
      </c>
      <c r="R2886" s="238">
        <v>246.66</v>
      </c>
      <c r="S2886" s="238">
        <v>12.1</v>
      </c>
      <c r="T2886" s="238">
        <v>0.0</v>
      </c>
      <c r="U2886" s="238">
        <v>0.0</v>
      </c>
      <c r="V2886" s="238">
        <v>0.0</v>
      </c>
      <c r="W2886" s="238">
        <v>0.0</v>
      </c>
      <c r="X2886" s="235" t="s">
        <v>628</v>
      </c>
      <c r="Z2886" s="245"/>
      <c r="AA2886" s="245"/>
      <c r="AB2886" s="245"/>
      <c r="AC2886" s="235" t="s">
        <v>1604</v>
      </c>
      <c r="AD2886" s="235" t="s">
        <v>845</v>
      </c>
      <c r="AE2886" s="238">
        <v>400077.0</v>
      </c>
      <c r="AF2886" s="235" t="s">
        <v>631</v>
      </c>
      <c r="AG2886" s="245"/>
      <c r="AH2886" s="245"/>
      <c r="AI2886" s="245"/>
      <c r="AJ2886" s="245"/>
      <c r="AK2886" s="245"/>
      <c r="AL2886" s="245"/>
      <c r="AM2886" s="245"/>
      <c r="AN2886" s="245"/>
      <c r="AO2886" s="238">
        <v>-4.94</v>
      </c>
      <c r="AP2886" s="238">
        <v>0.0</v>
      </c>
      <c r="AQ2886" s="235" t="s">
        <v>632</v>
      </c>
      <c r="AR2886" s="243">
        <v>3.71E11</v>
      </c>
      <c r="AS2886" s="235" t="s">
        <v>20529</v>
      </c>
      <c r="AT2886" s="235" t="s">
        <v>16</v>
      </c>
      <c r="AU2886" s="235" t="s">
        <v>634</v>
      </c>
      <c r="AV2886" s="246" t="s">
        <v>635</v>
      </c>
      <c r="AW2886" s="227"/>
      <c r="AX2886" s="227"/>
      <c r="AY2886" s="227"/>
      <c r="AZ2886" s="227"/>
      <c r="BA2886" s="227"/>
      <c r="BB2886" s="227"/>
      <c r="BC2886" s="227"/>
      <c r="BD2886" s="227"/>
      <c r="BE2886" s="227"/>
      <c r="BF2886" s="227"/>
    </row>
    <row r="2887">
      <c r="A2887" s="235" t="s">
        <v>21881</v>
      </c>
      <c r="C2887" s="235" t="s">
        <v>21882</v>
      </c>
      <c r="D2887" s="235" t="s">
        <v>21883</v>
      </c>
      <c r="E2887" s="243">
        <v>6.53E13</v>
      </c>
      <c r="F2887" s="245"/>
      <c r="G2887" s="235" t="s">
        <v>21884</v>
      </c>
      <c r="H2887" s="235" t="s">
        <v>21885</v>
      </c>
      <c r="I2887" s="235" t="s">
        <v>21885</v>
      </c>
      <c r="J2887" s="235" t="s">
        <v>21886</v>
      </c>
      <c r="K2887" s="235" t="s">
        <v>21887</v>
      </c>
      <c r="N2887" s="235" t="s">
        <v>144</v>
      </c>
      <c r="O2887" s="235" t="s">
        <v>232</v>
      </c>
      <c r="P2887" s="238">
        <v>1.0</v>
      </c>
      <c r="Q2887" s="235" t="s">
        <v>627</v>
      </c>
      <c r="R2887" s="238">
        <v>665.72</v>
      </c>
      <c r="S2887" s="238">
        <v>32.62</v>
      </c>
      <c r="T2887" s="238">
        <v>0.0</v>
      </c>
      <c r="U2887" s="238">
        <v>0.0</v>
      </c>
      <c r="V2887" s="238">
        <v>0.0</v>
      </c>
      <c r="W2887" s="238">
        <v>0.0</v>
      </c>
      <c r="X2887" s="235" t="s">
        <v>628</v>
      </c>
      <c r="Z2887" s="245"/>
      <c r="AA2887" s="245"/>
      <c r="AB2887" s="245"/>
      <c r="AC2887" s="235" t="s">
        <v>678</v>
      </c>
      <c r="AD2887" s="235" t="s">
        <v>679</v>
      </c>
      <c r="AE2887" s="238">
        <v>560061.0</v>
      </c>
      <c r="AF2887" s="235" t="s">
        <v>631</v>
      </c>
      <c r="AG2887" s="245"/>
      <c r="AH2887" s="245"/>
      <c r="AI2887" s="245"/>
      <c r="AJ2887" s="245"/>
      <c r="AK2887" s="245"/>
      <c r="AL2887" s="245"/>
      <c r="AM2887" s="245"/>
      <c r="AN2887" s="245"/>
      <c r="AO2887" s="238">
        <v>-13.32</v>
      </c>
      <c r="AP2887" s="238">
        <v>0.0</v>
      </c>
      <c r="AQ2887" s="235" t="s">
        <v>632</v>
      </c>
      <c r="AR2887" s="243">
        <v>1.68E11</v>
      </c>
      <c r="AS2887" s="235" t="s">
        <v>21120</v>
      </c>
      <c r="AT2887" s="235" t="s">
        <v>9</v>
      </c>
      <c r="AU2887" s="235" t="s">
        <v>634</v>
      </c>
      <c r="AV2887" s="246" t="s">
        <v>635</v>
      </c>
      <c r="AW2887" s="227"/>
      <c r="AX2887" s="227"/>
      <c r="AY2887" s="227"/>
      <c r="AZ2887" s="227"/>
      <c r="BA2887" s="227"/>
      <c r="BB2887" s="227"/>
      <c r="BC2887" s="227"/>
      <c r="BD2887" s="227"/>
      <c r="BE2887" s="227"/>
      <c r="BF2887" s="227"/>
    </row>
    <row r="2888">
      <c r="A2888" s="235" t="s">
        <v>21888</v>
      </c>
      <c r="C2888" s="235" t="s">
        <v>21889</v>
      </c>
      <c r="D2888" s="235" t="s">
        <v>21890</v>
      </c>
      <c r="E2888" s="243">
        <v>6.52E13</v>
      </c>
      <c r="F2888" s="245"/>
      <c r="G2888" s="235" t="s">
        <v>21891</v>
      </c>
      <c r="H2888" s="235" t="s">
        <v>21892</v>
      </c>
      <c r="I2888" s="235" t="s">
        <v>21892</v>
      </c>
      <c r="J2888" s="235" t="s">
        <v>21893</v>
      </c>
      <c r="K2888" s="235" t="s">
        <v>21894</v>
      </c>
      <c r="N2888" s="235" t="s">
        <v>154</v>
      </c>
      <c r="O2888" s="235" t="s">
        <v>766</v>
      </c>
      <c r="P2888" s="238">
        <v>1.0</v>
      </c>
      <c r="Q2888" s="235" t="s">
        <v>627</v>
      </c>
      <c r="R2888" s="238">
        <v>465.71</v>
      </c>
      <c r="S2888" s="238">
        <v>22.82</v>
      </c>
      <c r="T2888" s="238">
        <v>38.1</v>
      </c>
      <c r="U2888" s="238">
        <v>1.9</v>
      </c>
      <c r="V2888" s="238">
        <v>0.0</v>
      </c>
      <c r="W2888" s="238">
        <v>0.0</v>
      </c>
      <c r="X2888" s="235" t="s">
        <v>628</v>
      </c>
      <c r="Z2888" s="245"/>
      <c r="AA2888" s="245"/>
      <c r="AB2888" s="245"/>
      <c r="AC2888" s="235" t="s">
        <v>21895</v>
      </c>
      <c r="AD2888" s="235" t="s">
        <v>645</v>
      </c>
      <c r="AE2888" s="238">
        <v>680684.0</v>
      </c>
      <c r="AF2888" s="235" t="s">
        <v>631</v>
      </c>
      <c r="AG2888" s="245"/>
      <c r="AH2888" s="245"/>
      <c r="AI2888" s="245"/>
      <c r="AJ2888" s="245"/>
      <c r="AK2888" s="245"/>
      <c r="AL2888" s="245"/>
      <c r="AM2888" s="245"/>
      <c r="AN2888" s="245"/>
      <c r="AO2888" s="238">
        <v>-9.31</v>
      </c>
      <c r="AP2888" s="238">
        <v>-38.1</v>
      </c>
      <c r="AQ2888" s="235" t="s">
        <v>632</v>
      </c>
      <c r="AR2888" s="243">
        <v>3.71E11</v>
      </c>
      <c r="AS2888" s="235" t="s">
        <v>17988</v>
      </c>
      <c r="AT2888" s="235" t="s">
        <v>155</v>
      </c>
      <c r="AU2888" s="235" t="s">
        <v>634</v>
      </c>
      <c r="AV2888" s="246" t="s">
        <v>635</v>
      </c>
      <c r="AW2888" s="227"/>
      <c r="AX2888" s="227"/>
      <c r="AY2888" s="227"/>
      <c r="AZ2888" s="227"/>
      <c r="BA2888" s="227"/>
      <c r="BB2888" s="227"/>
      <c r="BC2888" s="227"/>
      <c r="BD2888" s="227"/>
      <c r="BE2888" s="227"/>
      <c r="BF2888" s="227"/>
    </row>
    <row r="2889">
      <c r="A2889" s="235" t="s">
        <v>21896</v>
      </c>
      <c r="C2889" s="235" t="s">
        <v>21897</v>
      </c>
      <c r="D2889" s="235" t="s">
        <v>21898</v>
      </c>
      <c r="E2889" s="243">
        <v>6.53E13</v>
      </c>
      <c r="F2889" s="245"/>
      <c r="G2889" s="235" t="s">
        <v>21899</v>
      </c>
      <c r="H2889" s="235" t="s">
        <v>21900</v>
      </c>
      <c r="I2889" s="235" t="s">
        <v>21900</v>
      </c>
      <c r="J2889" s="235" t="s">
        <v>21901</v>
      </c>
      <c r="K2889" s="235" t="s">
        <v>21902</v>
      </c>
      <c r="N2889" s="235" t="s">
        <v>40</v>
      </c>
      <c r="O2889" s="235" t="s">
        <v>327</v>
      </c>
      <c r="P2889" s="238">
        <v>1.0</v>
      </c>
      <c r="Q2889" s="235" t="s">
        <v>627</v>
      </c>
      <c r="R2889" s="238">
        <v>237.14</v>
      </c>
      <c r="S2889" s="238">
        <v>11.86</v>
      </c>
      <c r="T2889" s="238">
        <v>0.0</v>
      </c>
      <c r="U2889" s="238">
        <v>0.0</v>
      </c>
      <c r="V2889" s="238">
        <v>0.0</v>
      </c>
      <c r="W2889" s="238">
        <v>0.0</v>
      </c>
      <c r="X2889" s="235" t="s">
        <v>628</v>
      </c>
      <c r="Z2889" s="245"/>
      <c r="AA2889" s="245"/>
      <c r="AB2889" s="245"/>
      <c r="AC2889" s="235" t="s">
        <v>678</v>
      </c>
      <c r="AD2889" s="235" t="s">
        <v>679</v>
      </c>
      <c r="AE2889" s="238">
        <v>560051.0</v>
      </c>
      <c r="AF2889" s="235" t="s">
        <v>631</v>
      </c>
      <c r="AG2889" s="245"/>
      <c r="AH2889" s="245"/>
      <c r="AI2889" s="245"/>
      <c r="AJ2889" s="245"/>
      <c r="AK2889" s="245"/>
      <c r="AL2889" s="245"/>
      <c r="AM2889" s="245"/>
      <c r="AN2889" s="245"/>
      <c r="AO2889" s="238">
        <v>0.0</v>
      </c>
      <c r="AP2889" s="238">
        <v>0.0</v>
      </c>
      <c r="AQ2889" s="235" t="s">
        <v>632</v>
      </c>
      <c r="AR2889" s="243">
        <v>2.02E11</v>
      </c>
      <c r="AS2889" s="235" t="s">
        <v>20529</v>
      </c>
      <c r="AT2889" s="235" t="s">
        <v>14</v>
      </c>
      <c r="AU2889" s="235" t="s">
        <v>634</v>
      </c>
      <c r="AV2889" s="246" t="s">
        <v>635</v>
      </c>
      <c r="AW2889" s="227"/>
      <c r="AX2889" s="227"/>
      <c r="AY2889" s="227"/>
      <c r="AZ2889" s="227"/>
      <c r="BA2889" s="227"/>
      <c r="BB2889" s="227"/>
      <c r="BC2889" s="227"/>
      <c r="BD2889" s="227"/>
      <c r="BE2889" s="227"/>
      <c r="BF2889" s="227"/>
    </row>
    <row r="2890">
      <c r="A2890" s="235" t="s">
        <v>21903</v>
      </c>
      <c r="C2890" s="235" t="s">
        <v>21904</v>
      </c>
      <c r="D2890" s="235" t="s">
        <v>21905</v>
      </c>
      <c r="E2890" s="243">
        <v>6.53E13</v>
      </c>
      <c r="F2890" s="245"/>
      <c r="G2890" s="235" t="s">
        <v>21906</v>
      </c>
      <c r="H2890" s="235" t="s">
        <v>21907</v>
      </c>
      <c r="I2890" s="235" t="s">
        <v>21907</v>
      </c>
      <c r="J2890" s="235" t="s">
        <v>21908</v>
      </c>
      <c r="K2890" s="235" t="s">
        <v>21909</v>
      </c>
      <c r="N2890" s="235" t="s">
        <v>138</v>
      </c>
      <c r="O2890" s="235" t="s">
        <v>675</v>
      </c>
      <c r="P2890" s="238">
        <v>1.0</v>
      </c>
      <c r="Q2890" s="235" t="s">
        <v>627</v>
      </c>
      <c r="R2890" s="238">
        <v>270.48</v>
      </c>
      <c r="S2890" s="238">
        <v>13.52</v>
      </c>
      <c r="T2890" s="238">
        <v>0.0</v>
      </c>
      <c r="U2890" s="238">
        <v>0.0</v>
      </c>
      <c r="V2890" s="238">
        <v>0.0</v>
      </c>
      <c r="W2890" s="238">
        <v>0.0</v>
      </c>
      <c r="X2890" s="235" t="s">
        <v>628</v>
      </c>
      <c r="Z2890" s="245"/>
      <c r="AA2890" s="245"/>
      <c r="AB2890" s="245"/>
      <c r="AC2890" s="235" t="s">
        <v>21910</v>
      </c>
      <c r="AD2890" s="235" t="s">
        <v>666</v>
      </c>
      <c r="AE2890" s="238">
        <v>635802.0</v>
      </c>
      <c r="AF2890" s="235" t="s">
        <v>631</v>
      </c>
      <c r="AG2890" s="245"/>
      <c r="AH2890" s="245"/>
      <c r="AI2890" s="245"/>
      <c r="AJ2890" s="245"/>
      <c r="AK2890" s="245"/>
      <c r="AL2890" s="245"/>
      <c r="AM2890" s="245"/>
      <c r="AN2890" s="245"/>
      <c r="AO2890" s="238">
        <v>0.0</v>
      </c>
      <c r="AP2890" s="238">
        <v>0.0</v>
      </c>
      <c r="AQ2890" s="235" t="s">
        <v>632</v>
      </c>
      <c r="AR2890" s="243">
        <v>3.71E11</v>
      </c>
      <c r="AS2890" s="235" t="s">
        <v>20529</v>
      </c>
      <c r="AT2890" s="235" t="s">
        <v>156</v>
      </c>
      <c r="AU2890" s="235" t="s">
        <v>634</v>
      </c>
      <c r="AV2890" s="246" t="s">
        <v>635</v>
      </c>
      <c r="AW2890" s="227"/>
      <c r="AX2890" s="227"/>
      <c r="AY2890" s="227"/>
      <c r="AZ2890" s="227"/>
      <c r="BA2890" s="227"/>
      <c r="BB2890" s="227"/>
      <c r="BC2890" s="227"/>
      <c r="BD2890" s="227"/>
      <c r="BE2890" s="227"/>
      <c r="BF2890" s="227"/>
    </row>
    <row r="2891">
      <c r="A2891" s="235" t="s">
        <v>21911</v>
      </c>
      <c r="C2891" s="235" t="s">
        <v>21912</v>
      </c>
      <c r="D2891" s="235" t="s">
        <v>21913</v>
      </c>
      <c r="E2891" s="243">
        <v>6.52E13</v>
      </c>
      <c r="F2891" s="245"/>
      <c r="G2891" s="235" t="s">
        <v>21914</v>
      </c>
      <c r="H2891" s="235" t="s">
        <v>21915</v>
      </c>
      <c r="I2891" s="235" t="s">
        <v>21916</v>
      </c>
      <c r="J2891" s="235" t="s">
        <v>21917</v>
      </c>
      <c r="K2891" s="235" t="s">
        <v>21918</v>
      </c>
      <c r="N2891" s="235" t="s">
        <v>141</v>
      </c>
      <c r="O2891" s="235" t="s">
        <v>342</v>
      </c>
      <c r="P2891" s="238">
        <v>1.0</v>
      </c>
      <c r="Q2891" s="235" t="s">
        <v>627</v>
      </c>
      <c r="R2891" s="238">
        <v>246.66</v>
      </c>
      <c r="S2891" s="238">
        <v>12.34</v>
      </c>
      <c r="T2891" s="238">
        <v>0.0</v>
      </c>
      <c r="U2891" s="238">
        <v>0.0</v>
      </c>
      <c r="V2891" s="238">
        <v>0.0</v>
      </c>
      <c r="W2891" s="238">
        <v>0.0</v>
      </c>
      <c r="X2891" s="235" t="s">
        <v>628</v>
      </c>
      <c r="Z2891" s="245"/>
      <c r="AA2891" s="245"/>
      <c r="AB2891" s="245"/>
      <c r="AC2891" s="235" t="s">
        <v>1058</v>
      </c>
      <c r="AD2891" s="235" t="s">
        <v>845</v>
      </c>
      <c r="AE2891" s="238">
        <v>400014.0</v>
      </c>
      <c r="AF2891" s="235" t="s">
        <v>631</v>
      </c>
      <c r="AG2891" s="245"/>
      <c r="AH2891" s="245"/>
      <c r="AI2891" s="245"/>
      <c r="AJ2891" s="245"/>
      <c r="AK2891" s="245"/>
      <c r="AL2891" s="245"/>
      <c r="AM2891" s="245"/>
      <c r="AN2891" s="245"/>
      <c r="AO2891" s="238">
        <v>0.0</v>
      </c>
      <c r="AP2891" s="238">
        <v>0.0</v>
      </c>
      <c r="AQ2891" s="235" t="s">
        <v>632</v>
      </c>
      <c r="AR2891" s="243">
        <v>3.71E11</v>
      </c>
      <c r="AS2891" s="235" t="s">
        <v>20529</v>
      </c>
      <c r="AT2891" s="235" t="s">
        <v>17</v>
      </c>
      <c r="AU2891" s="235" t="s">
        <v>634</v>
      </c>
      <c r="AV2891" s="246" t="s">
        <v>635</v>
      </c>
      <c r="AW2891" s="227"/>
      <c r="AX2891" s="227"/>
      <c r="AY2891" s="227"/>
      <c r="AZ2891" s="227"/>
      <c r="BA2891" s="227"/>
      <c r="BB2891" s="227"/>
      <c r="BC2891" s="227"/>
      <c r="BD2891" s="227"/>
      <c r="BE2891" s="227"/>
      <c r="BF2891" s="227"/>
    </row>
    <row r="2892">
      <c r="A2892" s="235" t="s">
        <v>21919</v>
      </c>
      <c r="C2892" s="235" t="s">
        <v>21920</v>
      </c>
      <c r="D2892" s="235" t="s">
        <v>21921</v>
      </c>
      <c r="E2892" s="243">
        <v>6.52E13</v>
      </c>
      <c r="F2892" s="245"/>
      <c r="G2892" s="235" t="s">
        <v>21922</v>
      </c>
      <c r="H2892" s="235" t="s">
        <v>21923</v>
      </c>
      <c r="I2892" s="235" t="s">
        <v>21924</v>
      </c>
      <c r="J2892" s="235" t="s">
        <v>21925</v>
      </c>
      <c r="K2892" s="235" t="s">
        <v>21926</v>
      </c>
      <c r="N2892" s="235" t="s">
        <v>126</v>
      </c>
      <c r="O2892" s="235" t="s">
        <v>407</v>
      </c>
      <c r="P2892" s="238">
        <v>1.0</v>
      </c>
      <c r="Q2892" s="235" t="s">
        <v>627</v>
      </c>
      <c r="R2892" s="238">
        <v>233.33</v>
      </c>
      <c r="S2892" s="238">
        <v>11.32</v>
      </c>
      <c r="T2892" s="238">
        <v>0.0</v>
      </c>
      <c r="U2892" s="238">
        <v>0.0</v>
      </c>
      <c r="V2892" s="238">
        <v>0.0</v>
      </c>
      <c r="W2892" s="238">
        <v>0.0</v>
      </c>
      <c r="X2892" s="235" t="s">
        <v>628</v>
      </c>
      <c r="Z2892" s="245"/>
      <c r="AA2892" s="245"/>
      <c r="AB2892" s="245"/>
      <c r="AC2892" s="235" t="s">
        <v>21927</v>
      </c>
      <c r="AD2892" s="235" t="s">
        <v>917</v>
      </c>
      <c r="AE2892" s="238">
        <v>344001.0</v>
      </c>
      <c r="AF2892" s="235" t="s">
        <v>631</v>
      </c>
      <c r="AG2892" s="245"/>
      <c r="AH2892" s="245"/>
      <c r="AI2892" s="245"/>
      <c r="AJ2892" s="245"/>
      <c r="AK2892" s="245"/>
      <c r="AL2892" s="245"/>
      <c r="AM2892" s="245"/>
      <c r="AN2892" s="245"/>
      <c r="AO2892" s="238">
        <v>-7.0</v>
      </c>
      <c r="AP2892" s="238">
        <v>0.0</v>
      </c>
      <c r="AQ2892" s="235" t="s">
        <v>632</v>
      </c>
      <c r="AR2892" s="243">
        <v>3.71E11</v>
      </c>
      <c r="AS2892" s="235" t="s">
        <v>16626</v>
      </c>
      <c r="AT2892" s="235" t="s">
        <v>5</v>
      </c>
      <c r="AU2892" s="235" t="s">
        <v>634</v>
      </c>
      <c r="AV2892" s="246" t="s">
        <v>635</v>
      </c>
      <c r="AW2892" s="227"/>
      <c r="AX2892" s="227"/>
      <c r="AY2892" s="227"/>
      <c r="AZ2892" s="227"/>
      <c r="BA2892" s="227"/>
      <c r="BB2892" s="227"/>
      <c r="BC2892" s="227"/>
      <c r="BD2892" s="227"/>
      <c r="BE2892" s="227"/>
      <c r="BF2892" s="227"/>
    </row>
    <row r="2893">
      <c r="A2893" s="235" t="s">
        <v>21928</v>
      </c>
      <c r="C2893" s="235" t="s">
        <v>21929</v>
      </c>
      <c r="D2893" s="235" t="s">
        <v>21930</v>
      </c>
      <c r="E2893" s="243">
        <v>6.53E13</v>
      </c>
      <c r="F2893" s="245"/>
      <c r="G2893" s="235" t="s">
        <v>21931</v>
      </c>
      <c r="H2893" s="235" t="s">
        <v>21932</v>
      </c>
      <c r="I2893" s="235" t="s">
        <v>21932</v>
      </c>
      <c r="J2893" s="235" t="s">
        <v>21933</v>
      </c>
      <c r="K2893" s="235" t="s">
        <v>21934</v>
      </c>
      <c r="N2893" s="235" t="s">
        <v>104</v>
      </c>
      <c r="O2893" s="235" t="s">
        <v>401</v>
      </c>
      <c r="P2893" s="238">
        <v>1.0</v>
      </c>
      <c r="Q2893" s="235" t="s">
        <v>627</v>
      </c>
      <c r="R2893" s="238">
        <v>246.66</v>
      </c>
      <c r="S2893" s="238">
        <v>12.1</v>
      </c>
      <c r="T2893" s="238">
        <v>0.0</v>
      </c>
      <c r="U2893" s="238">
        <v>0.0</v>
      </c>
      <c r="V2893" s="238">
        <v>0.0</v>
      </c>
      <c r="W2893" s="238">
        <v>0.0</v>
      </c>
      <c r="X2893" s="235" t="s">
        <v>628</v>
      </c>
      <c r="Z2893" s="245"/>
      <c r="AA2893" s="245"/>
      <c r="AB2893" s="245"/>
      <c r="AC2893" s="235" t="s">
        <v>1514</v>
      </c>
      <c r="AD2893" s="235" t="s">
        <v>1077</v>
      </c>
      <c r="AE2893" s="238">
        <v>380058.0</v>
      </c>
      <c r="AF2893" s="235" t="s">
        <v>631</v>
      </c>
      <c r="AG2893" s="245"/>
      <c r="AH2893" s="245"/>
      <c r="AI2893" s="245"/>
      <c r="AJ2893" s="245"/>
      <c r="AK2893" s="245"/>
      <c r="AL2893" s="245"/>
      <c r="AM2893" s="245"/>
      <c r="AN2893" s="245"/>
      <c r="AO2893" s="238">
        <v>-4.94</v>
      </c>
      <c r="AP2893" s="238">
        <v>0.0</v>
      </c>
      <c r="AQ2893" s="235" t="s">
        <v>632</v>
      </c>
      <c r="AR2893" s="243">
        <v>1.68E11</v>
      </c>
      <c r="AS2893" s="235" t="s">
        <v>21120</v>
      </c>
      <c r="AT2893" s="235" t="s">
        <v>5</v>
      </c>
      <c r="AU2893" s="235" t="s">
        <v>634</v>
      </c>
      <c r="AV2893" s="246" t="s">
        <v>635</v>
      </c>
      <c r="AW2893" s="227"/>
      <c r="AX2893" s="227"/>
      <c r="AY2893" s="227"/>
      <c r="AZ2893" s="227"/>
      <c r="BA2893" s="227"/>
      <c r="BB2893" s="227"/>
      <c r="BC2893" s="227"/>
      <c r="BD2893" s="227"/>
      <c r="BE2893" s="227"/>
      <c r="BF2893" s="227"/>
    </row>
    <row r="2894">
      <c r="A2894" s="235" t="s">
        <v>21935</v>
      </c>
      <c r="C2894" s="235" t="s">
        <v>21936</v>
      </c>
      <c r="D2894" s="235" t="s">
        <v>21937</v>
      </c>
      <c r="E2894" s="243">
        <v>6.53E13</v>
      </c>
      <c r="F2894" s="245"/>
      <c r="G2894" s="235" t="s">
        <v>21938</v>
      </c>
      <c r="H2894" s="235" t="s">
        <v>21939</v>
      </c>
      <c r="I2894" s="235" t="s">
        <v>21939</v>
      </c>
      <c r="J2894" s="235" t="s">
        <v>21940</v>
      </c>
      <c r="K2894" s="235" t="s">
        <v>21941</v>
      </c>
      <c r="N2894" s="235" t="s">
        <v>127</v>
      </c>
      <c r="O2894" s="235" t="s">
        <v>794</v>
      </c>
      <c r="P2894" s="238">
        <v>1.0</v>
      </c>
      <c r="Q2894" s="235" t="s">
        <v>627</v>
      </c>
      <c r="R2894" s="238">
        <v>242.86</v>
      </c>
      <c r="S2894" s="238">
        <v>11.9</v>
      </c>
      <c r="T2894" s="238">
        <v>0.0</v>
      </c>
      <c r="U2894" s="238">
        <v>0.0</v>
      </c>
      <c r="V2894" s="238">
        <v>0.0</v>
      </c>
      <c r="W2894" s="238">
        <v>0.0</v>
      </c>
      <c r="X2894" s="235" t="s">
        <v>628</v>
      </c>
      <c r="Z2894" s="245"/>
      <c r="AA2894" s="245"/>
      <c r="AB2894" s="245"/>
      <c r="AC2894" s="235" t="s">
        <v>1514</v>
      </c>
      <c r="AD2894" s="235" t="s">
        <v>1077</v>
      </c>
      <c r="AE2894" s="238">
        <v>380014.0</v>
      </c>
      <c r="AF2894" s="235" t="s">
        <v>631</v>
      </c>
      <c r="AG2894" s="245"/>
      <c r="AH2894" s="245"/>
      <c r="AI2894" s="245"/>
      <c r="AJ2894" s="245"/>
      <c r="AK2894" s="245"/>
      <c r="AL2894" s="245"/>
      <c r="AM2894" s="245"/>
      <c r="AN2894" s="245"/>
      <c r="AO2894" s="238">
        <v>-4.86</v>
      </c>
      <c r="AP2894" s="238">
        <v>0.0</v>
      </c>
      <c r="AQ2894" s="235" t="s">
        <v>632</v>
      </c>
      <c r="AR2894" s="243">
        <v>1.68E11</v>
      </c>
      <c r="AS2894" s="235" t="s">
        <v>20529</v>
      </c>
      <c r="AT2894" s="235" t="s">
        <v>5</v>
      </c>
      <c r="AU2894" s="235" t="s">
        <v>634</v>
      </c>
      <c r="AV2894" s="246" t="s">
        <v>635</v>
      </c>
      <c r="AW2894" s="227"/>
      <c r="AX2894" s="227"/>
      <c r="AY2894" s="227"/>
      <c r="AZ2894" s="227"/>
      <c r="BA2894" s="227"/>
      <c r="BB2894" s="227"/>
      <c r="BC2894" s="227"/>
      <c r="BD2894" s="227"/>
      <c r="BE2894" s="227"/>
      <c r="BF2894" s="227"/>
    </row>
    <row r="2895">
      <c r="A2895" s="235" t="s">
        <v>21942</v>
      </c>
      <c r="C2895" s="235" t="s">
        <v>21943</v>
      </c>
      <c r="D2895" s="235" t="s">
        <v>21944</v>
      </c>
      <c r="E2895" s="243">
        <v>6.53E13</v>
      </c>
      <c r="F2895" s="245"/>
      <c r="G2895" s="235" t="s">
        <v>21945</v>
      </c>
      <c r="H2895" s="235" t="s">
        <v>21946</v>
      </c>
      <c r="I2895" s="235" t="s">
        <v>21946</v>
      </c>
      <c r="J2895" s="235" t="s">
        <v>21947</v>
      </c>
      <c r="K2895" s="235" t="s">
        <v>21948</v>
      </c>
      <c r="N2895" s="235" t="s">
        <v>132</v>
      </c>
      <c r="O2895" s="235" t="s">
        <v>8600</v>
      </c>
      <c r="P2895" s="238">
        <v>1.0</v>
      </c>
      <c r="Q2895" s="235" t="s">
        <v>627</v>
      </c>
      <c r="R2895" s="238">
        <v>246.67</v>
      </c>
      <c r="S2895" s="238">
        <v>12.08</v>
      </c>
      <c r="T2895" s="238">
        <v>0.0</v>
      </c>
      <c r="U2895" s="238">
        <v>0.0</v>
      </c>
      <c r="V2895" s="238">
        <v>0.0</v>
      </c>
      <c r="W2895" s="238">
        <v>0.0</v>
      </c>
      <c r="X2895" s="235" t="s">
        <v>628</v>
      </c>
      <c r="Z2895" s="245"/>
      <c r="AA2895" s="245"/>
      <c r="AB2895" s="245"/>
      <c r="AC2895" s="235" t="s">
        <v>21949</v>
      </c>
      <c r="AD2895" s="235" t="s">
        <v>2067</v>
      </c>
      <c r="AE2895" s="238">
        <v>835302.0</v>
      </c>
      <c r="AF2895" s="235" t="s">
        <v>631</v>
      </c>
      <c r="AG2895" s="245"/>
      <c r="AH2895" s="245"/>
      <c r="AI2895" s="245"/>
      <c r="AJ2895" s="245"/>
      <c r="AK2895" s="245"/>
      <c r="AL2895" s="245"/>
      <c r="AM2895" s="245"/>
      <c r="AN2895" s="245"/>
      <c r="AO2895" s="238">
        <v>-4.93</v>
      </c>
      <c r="AP2895" s="238">
        <v>0.0</v>
      </c>
      <c r="AQ2895" s="235" t="s">
        <v>632</v>
      </c>
      <c r="AR2895" s="243">
        <v>3.71E11</v>
      </c>
      <c r="AS2895" s="235" t="s">
        <v>13822</v>
      </c>
      <c r="AT2895" s="235" t="s">
        <v>14</v>
      </c>
      <c r="AU2895" s="235" t="s">
        <v>634</v>
      </c>
      <c r="AV2895" s="246" t="s">
        <v>635</v>
      </c>
      <c r="AW2895" s="227"/>
      <c r="AX2895" s="227"/>
      <c r="AY2895" s="227"/>
      <c r="AZ2895" s="227"/>
      <c r="BA2895" s="227"/>
      <c r="BB2895" s="227"/>
      <c r="BC2895" s="227"/>
      <c r="BD2895" s="227"/>
      <c r="BE2895" s="227"/>
      <c r="BF2895" s="227"/>
    </row>
    <row r="2896">
      <c r="A2896" s="235" t="s">
        <v>21950</v>
      </c>
      <c r="C2896" s="235" t="s">
        <v>21951</v>
      </c>
      <c r="D2896" s="235" t="s">
        <v>21952</v>
      </c>
      <c r="E2896" s="243">
        <v>6.53E13</v>
      </c>
      <c r="F2896" s="245"/>
      <c r="G2896" s="235" t="s">
        <v>21953</v>
      </c>
      <c r="H2896" s="235" t="s">
        <v>21954</v>
      </c>
      <c r="I2896" s="235" t="s">
        <v>21954</v>
      </c>
      <c r="J2896" s="235" t="s">
        <v>21955</v>
      </c>
      <c r="K2896" s="235" t="s">
        <v>21956</v>
      </c>
      <c r="N2896" s="235" t="s">
        <v>10</v>
      </c>
      <c r="O2896" s="235" t="s">
        <v>936</v>
      </c>
      <c r="P2896" s="238">
        <v>1.0</v>
      </c>
      <c r="Q2896" s="235" t="s">
        <v>627</v>
      </c>
      <c r="R2896" s="238">
        <v>242.86</v>
      </c>
      <c r="S2896" s="238">
        <v>11.9</v>
      </c>
      <c r="T2896" s="238">
        <v>0.0</v>
      </c>
      <c r="U2896" s="238">
        <v>0.0</v>
      </c>
      <c r="V2896" s="238">
        <v>0.0</v>
      </c>
      <c r="W2896" s="238">
        <v>0.0</v>
      </c>
      <c r="X2896" s="235" t="s">
        <v>628</v>
      </c>
      <c r="Z2896" s="245"/>
      <c r="AA2896" s="245"/>
      <c r="AB2896" s="245"/>
      <c r="AC2896" s="235" t="s">
        <v>1279</v>
      </c>
      <c r="AD2896" s="235" t="s">
        <v>917</v>
      </c>
      <c r="AE2896" s="238">
        <v>302012.0</v>
      </c>
      <c r="AF2896" s="235" t="s">
        <v>631</v>
      </c>
      <c r="AG2896" s="245"/>
      <c r="AH2896" s="245"/>
      <c r="AI2896" s="245"/>
      <c r="AJ2896" s="245"/>
      <c r="AK2896" s="245"/>
      <c r="AL2896" s="245"/>
      <c r="AM2896" s="245"/>
      <c r="AN2896" s="245"/>
      <c r="AO2896" s="238">
        <v>-4.86</v>
      </c>
      <c r="AP2896" s="238">
        <v>0.0</v>
      </c>
      <c r="AQ2896" s="235" t="s">
        <v>632</v>
      </c>
      <c r="AR2896" s="243">
        <v>1.68E11</v>
      </c>
      <c r="AS2896" s="235" t="s">
        <v>20529</v>
      </c>
      <c r="AT2896" s="235" t="s">
        <v>14</v>
      </c>
      <c r="AU2896" s="235" t="s">
        <v>634</v>
      </c>
      <c r="AV2896" s="246" t="s">
        <v>635</v>
      </c>
      <c r="AW2896" s="227"/>
      <c r="AX2896" s="227"/>
      <c r="AY2896" s="227"/>
      <c r="AZ2896" s="227"/>
      <c r="BA2896" s="227"/>
      <c r="BB2896" s="227"/>
      <c r="BC2896" s="227"/>
      <c r="BD2896" s="227"/>
      <c r="BE2896" s="227"/>
      <c r="BF2896" s="227"/>
    </row>
    <row r="2897">
      <c r="A2897" s="235" t="s">
        <v>21957</v>
      </c>
      <c r="C2897" s="235" t="s">
        <v>21958</v>
      </c>
      <c r="D2897" s="235" t="s">
        <v>21959</v>
      </c>
      <c r="E2897" s="243">
        <v>6.53E13</v>
      </c>
      <c r="F2897" s="245"/>
      <c r="G2897" s="235" t="s">
        <v>21960</v>
      </c>
      <c r="H2897" s="235" t="s">
        <v>21961</v>
      </c>
      <c r="I2897" s="235" t="s">
        <v>21961</v>
      </c>
      <c r="J2897" s="235" t="s">
        <v>21962</v>
      </c>
      <c r="K2897" s="235" t="s">
        <v>21963</v>
      </c>
      <c r="N2897" s="235" t="s">
        <v>49</v>
      </c>
      <c r="O2897" s="235" t="s">
        <v>321</v>
      </c>
      <c r="P2897" s="238">
        <v>1.0</v>
      </c>
      <c r="Q2897" s="235" t="s">
        <v>627</v>
      </c>
      <c r="R2897" s="238">
        <v>235.24</v>
      </c>
      <c r="S2897" s="238">
        <v>11.76</v>
      </c>
      <c r="T2897" s="238">
        <v>0.0</v>
      </c>
      <c r="U2897" s="238">
        <v>0.0</v>
      </c>
      <c r="V2897" s="238">
        <v>0.0</v>
      </c>
      <c r="W2897" s="238">
        <v>0.0</v>
      </c>
      <c r="X2897" s="235" t="s">
        <v>628</v>
      </c>
      <c r="Z2897" s="245"/>
      <c r="AA2897" s="245"/>
      <c r="AB2897" s="245"/>
      <c r="AC2897" s="235" t="s">
        <v>2325</v>
      </c>
      <c r="AD2897" s="235" t="s">
        <v>645</v>
      </c>
      <c r="AE2897" s="238">
        <v>682032.0</v>
      </c>
      <c r="AF2897" s="235" t="s">
        <v>631</v>
      </c>
      <c r="AG2897" s="245"/>
      <c r="AH2897" s="245"/>
      <c r="AI2897" s="245"/>
      <c r="AJ2897" s="245"/>
      <c r="AK2897" s="245"/>
      <c r="AL2897" s="245"/>
      <c r="AM2897" s="245"/>
      <c r="AN2897" s="245"/>
      <c r="AO2897" s="238">
        <v>0.0</v>
      </c>
      <c r="AP2897" s="238">
        <v>0.0</v>
      </c>
      <c r="AQ2897" s="235" t="s">
        <v>632</v>
      </c>
      <c r="AR2897" s="243">
        <v>1.68E11</v>
      </c>
      <c r="AS2897" s="235" t="s">
        <v>19388</v>
      </c>
      <c r="AT2897" s="235" t="s">
        <v>155</v>
      </c>
      <c r="AU2897" s="235" t="s">
        <v>634</v>
      </c>
      <c r="AV2897" s="246" t="s">
        <v>635</v>
      </c>
      <c r="AW2897" s="227"/>
      <c r="AX2897" s="227"/>
      <c r="AY2897" s="227"/>
      <c r="AZ2897" s="227"/>
      <c r="BA2897" s="227"/>
      <c r="BB2897" s="227"/>
      <c r="BC2897" s="227"/>
      <c r="BD2897" s="227"/>
      <c r="BE2897" s="227"/>
      <c r="BF2897" s="227"/>
    </row>
    <row r="2898">
      <c r="A2898" s="235" t="s">
        <v>21964</v>
      </c>
      <c r="C2898" s="235" t="s">
        <v>21965</v>
      </c>
      <c r="D2898" s="235" t="s">
        <v>21966</v>
      </c>
      <c r="E2898" s="243">
        <v>6.52E13</v>
      </c>
      <c r="F2898" s="245"/>
      <c r="G2898" s="235" t="s">
        <v>21967</v>
      </c>
      <c r="H2898" s="235" t="s">
        <v>21968</v>
      </c>
      <c r="I2898" s="235" t="s">
        <v>21968</v>
      </c>
      <c r="J2898" s="235" t="s">
        <v>21969</v>
      </c>
      <c r="K2898" s="235" t="s">
        <v>21970</v>
      </c>
      <c r="N2898" s="235" t="s">
        <v>154</v>
      </c>
      <c r="O2898" s="235" t="s">
        <v>766</v>
      </c>
      <c r="P2898" s="238">
        <v>1.0</v>
      </c>
      <c r="Q2898" s="235" t="s">
        <v>627</v>
      </c>
      <c r="R2898" s="238">
        <v>423.8</v>
      </c>
      <c r="S2898" s="238">
        <v>20.56</v>
      </c>
      <c r="T2898" s="238">
        <v>0.0</v>
      </c>
      <c r="U2898" s="238">
        <v>0.0</v>
      </c>
      <c r="V2898" s="238">
        <v>0.0</v>
      </c>
      <c r="W2898" s="238">
        <v>0.0</v>
      </c>
      <c r="X2898" s="235" t="s">
        <v>628</v>
      </c>
      <c r="Z2898" s="245"/>
      <c r="AA2898" s="245"/>
      <c r="AB2898" s="245"/>
      <c r="AC2898" s="235" t="s">
        <v>1095</v>
      </c>
      <c r="AD2898" s="235" t="s">
        <v>845</v>
      </c>
      <c r="AE2898" s="238">
        <v>400703.0</v>
      </c>
      <c r="AF2898" s="235" t="s">
        <v>631</v>
      </c>
      <c r="AG2898" s="245"/>
      <c r="AH2898" s="245"/>
      <c r="AI2898" s="245"/>
      <c r="AJ2898" s="245"/>
      <c r="AK2898" s="245"/>
      <c r="AL2898" s="245"/>
      <c r="AM2898" s="245"/>
      <c r="AN2898" s="245"/>
      <c r="AO2898" s="238">
        <v>-12.71</v>
      </c>
      <c r="AP2898" s="238">
        <v>0.0</v>
      </c>
      <c r="AQ2898" s="235" t="s">
        <v>632</v>
      </c>
      <c r="AR2898" s="243">
        <v>3.71E11</v>
      </c>
      <c r="AS2898" s="235" t="s">
        <v>20529</v>
      </c>
      <c r="AT2898" s="235" t="s">
        <v>17</v>
      </c>
      <c r="AU2898" s="235" t="s">
        <v>634</v>
      </c>
      <c r="AV2898" s="246" t="s">
        <v>635</v>
      </c>
      <c r="AW2898" s="227"/>
      <c r="AX2898" s="227"/>
      <c r="AY2898" s="227"/>
      <c r="AZ2898" s="227"/>
      <c r="BA2898" s="227"/>
      <c r="BB2898" s="227"/>
      <c r="BC2898" s="227"/>
      <c r="BD2898" s="227"/>
      <c r="BE2898" s="227"/>
      <c r="BF2898" s="227"/>
    </row>
    <row r="2899">
      <c r="A2899" s="235" t="s">
        <v>21971</v>
      </c>
      <c r="C2899" s="235" t="s">
        <v>21972</v>
      </c>
      <c r="D2899" s="235" t="s">
        <v>21973</v>
      </c>
      <c r="E2899" s="243">
        <v>6.53E13</v>
      </c>
      <c r="F2899" s="245"/>
      <c r="G2899" s="235" t="s">
        <v>21974</v>
      </c>
      <c r="H2899" s="235" t="s">
        <v>21975</v>
      </c>
      <c r="I2899" s="235" t="s">
        <v>21975</v>
      </c>
      <c r="J2899" s="235" t="s">
        <v>21976</v>
      </c>
      <c r="K2899" s="235" t="s">
        <v>21977</v>
      </c>
      <c r="N2899" s="235" t="s">
        <v>92</v>
      </c>
      <c r="O2899" s="235" t="s">
        <v>248</v>
      </c>
      <c r="P2899" s="238">
        <v>1.0</v>
      </c>
      <c r="Q2899" s="235" t="s">
        <v>627</v>
      </c>
      <c r="R2899" s="238">
        <v>246.66</v>
      </c>
      <c r="S2899" s="238">
        <v>12.34</v>
      </c>
      <c r="T2899" s="238">
        <v>0.0</v>
      </c>
      <c r="U2899" s="238">
        <v>0.0</v>
      </c>
      <c r="V2899" s="238">
        <v>0.0</v>
      </c>
      <c r="W2899" s="238">
        <v>0.0</v>
      </c>
      <c r="X2899" s="235" t="s">
        <v>628</v>
      </c>
      <c r="Z2899" s="245"/>
      <c r="AA2899" s="245"/>
      <c r="AB2899" s="245"/>
      <c r="AC2899" s="235" t="s">
        <v>21978</v>
      </c>
      <c r="AD2899" s="235" t="s">
        <v>666</v>
      </c>
      <c r="AE2899" s="238">
        <v>606601.0</v>
      </c>
      <c r="AF2899" s="235" t="s">
        <v>631</v>
      </c>
      <c r="AG2899" s="245"/>
      <c r="AH2899" s="245"/>
      <c r="AI2899" s="245"/>
      <c r="AJ2899" s="245"/>
      <c r="AK2899" s="245"/>
      <c r="AL2899" s="245"/>
      <c r="AM2899" s="245"/>
      <c r="AN2899" s="245"/>
      <c r="AO2899" s="238">
        <v>0.0</v>
      </c>
      <c r="AP2899" s="238">
        <v>0.0</v>
      </c>
      <c r="AQ2899" s="235" t="s">
        <v>632</v>
      </c>
      <c r="AR2899" s="243">
        <v>1.68E11</v>
      </c>
      <c r="AS2899" s="235" t="s">
        <v>20529</v>
      </c>
      <c r="AT2899" s="235" t="s">
        <v>156</v>
      </c>
      <c r="AU2899" s="235" t="s">
        <v>634</v>
      </c>
      <c r="AV2899" s="246" t="s">
        <v>635</v>
      </c>
      <c r="AW2899" s="227"/>
      <c r="AX2899" s="227"/>
      <c r="AY2899" s="227"/>
      <c r="AZ2899" s="227"/>
      <c r="BA2899" s="227"/>
      <c r="BB2899" s="227"/>
      <c r="BC2899" s="227"/>
      <c r="BD2899" s="227"/>
      <c r="BE2899" s="227"/>
      <c r="BF2899" s="227"/>
    </row>
    <row r="2900">
      <c r="A2900" s="235" t="s">
        <v>21979</v>
      </c>
      <c r="C2900" s="235" t="s">
        <v>21980</v>
      </c>
      <c r="D2900" s="235" t="s">
        <v>21981</v>
      </c>
      <c r="E2900" s="243">
        <v>6.53E13</v>
      </c>
      <c r="F2900" s="245"/>
      <c r="G2900" s="235" t="s">
        <v>21982</v>
      </c>
      <c r="H2900" s="235" t="s">
        <v>21983</v>
      </c>
      <c r="I2900" s="235" t="s">
        <v>21983</v>
      </c>
      <c r="J2900" s="235" t="s">
        <v>21984</v>
      </c>
      <c r="K2900" s="235" t="s">
        <v>21985</v>
      </c>
      <c r="N2900" s="235" t="s">
        <v>962</v>
      </c>
      <c r="O2900" s="235" t="s">
        <v>963</v>
      </c>
      <c r="P2900" s="238">
        <v>1.0</v>
      </c>
      <c r="Q2900" s="235" t="s">
        <v>627</v>
      </c>
      <c r="R2900" s="238">
        <v>245.72</v>
      </c>
      <c r="S2900" s="238">
        <v>12.28</v>
      </c>
      <c r="T2900" s="238">
        <v>0.0</v>
      </c>
      <c r="U2900" s="238">
        <v>0.0</v>
      </c>
      <c r="V2900" s="238">
        <v>0.0</v>
      </c>
      <c r="W2900" s="238">
        <v>0.0</v>
      </c>
      <c r="X2900" s="235" t="s">
        <v>628</v>
      </c>
      <c r="Z2900" s="245"/>
      <c r="AA2900" s="245"/>
      <c r="AB2900" s="245"/>
      <c r="AC2900" s="235" t="s">
        <v>678</v>
      </c>
      <c r="AD2900" s="235" t="s">
        <v>679</v>
      </c>
      <c r="AE2900" s="238">
        <v>560067.0</v>
      </c>
      <c r="AF2900" s="235" t="s">
        <v>631</v>
      </c>
      <c r="AG2900" s="245"/>
      <c r="AH2900" s="245"/>
      <c r="AI2900" s="245"/>
      <c r="AJ2900" s="245"/>
      <c r="AK2900" s="245"/>
      <c r="AL2900" s="245"/>
      <c r="AM2900" s="245"/>
      <c r="AN2900" s="245"/>
      <c r="AO2900" s="238">
        <v>0.0</v>
      </c>
      <c r="AP2900" s="238">
        <v>0.0</v>
      </c>
      <c r="AQ2900" s="235" t="s">
        <v>632</v>
      </c>
      <c r="AR2900" s="243">
        <v>3.71E11</v>
      </c>
      <c r="AS2900" s="235" t="s">
        <v>20529</v>
      </c>
      <c r="AT2900" s="235" t="s">
        <v>11</v>
      </c>
      <c r="AU2900" s="235" t="s">
        <v>634</v>
      </c>
      <c r="AV2900" s="246" t="s">
        <v>635</v>
      </c>
      <c r="AW2900" s="227"/>
      <c r="AX2900" s="227"/>
      <c r="AY2900" s="227"/>
      <c r="AZ2900" s="227"/>
      <c r="BA2900" s="227"/>
      <c r="BB2900" s="227"/>
      <c r="BC2900" s="227"/>
      <c r="BD2900" s="227"/>
      <c r="BE2900" s="227"/>
      <c r="BF2900" s="227"/>
    </row>
    <row r="2901">
      <c r="A2901" s="235" t="s">
        <v>21986</v>
      </c>
      <c r="C2901" s="235" t="s">
        <v>21987</v>
      </c>
      <c r="D2901" s="235" t="s">
        <v>21988</v>
      </c>
      <c r="E2901" s="243">
        <v>6.52E13</v>
      </c>
      <c r="F2901" s="245"/>
      <c r="G2901" s="235" t="s">
        <v>21989</v>
      </c>
      <c r="H2901" s="235" t="s">
        <v>21990</v>
      </c>
      <c r="I2901" s="235" t="s">
        <v>21990</v>
      </c>
      <c r="J2901" s="235" t="s">
        <v>21991</v>
      </c>
      <c r="K2901" s="235" t="s">
        <v>21992</v>
      </c>
      <c r="N2901" s="235" t="s">
        <v>962</v>
      </c>
      <c r="O2901" s="235" t="s">
        <v>963</v>
      </c>
      <c r="P2901" s="238">
        <v>1.0</v>
      </c>
      <c r="Q2901" s="235" t="s">
        <v>627</v>
      </c>
      <c r="R2901" s="238">
        <v>246.67</v>
      </c>
      <c r="S2901" s="238">
        <v>12.33</v>
      </c>
      <c r="T2901" s="238">
        <v>38.1</v>
      </c>
      <c r="U2901" s="238">
        <v>1.9</v>
      </c>
      <c r="V2901" s="238">
        <v>0.0</v>
      </c>
      <c r="W2901" s="238">
        <v>0.0</v>
      </c>
      <c r="X2901" s="235" t="s">
        <v>628</v>
      </c>
      <c r="Z2901" s="245"/>
      <c r="AA2901" s="245"/>
      <c r="AB2901" s="245"/>
      <c r="AC2901" s="235" t="s">
        <v>21993</v>
      </c>
      <c r="AD2901" s="235" t="s">
        <v>666</v>
      </c>
      <c r="AE2901" s="238">
        <v>603109.0</v>
      </c>
      <c r="AF2901" s="235" t="s">
        <v>631</v>
      </c>
      <c r="AG2901" s="245"/>
      <c r="AH2901" s="245"/>
      <c r="AI2901" s="245"/>
      <c r="AJ2901" s="245"/>
      <c r="AK2901" s="245"/>
      <c r="AL2901" s="245"/>
      <c r="AM2901" s="245"/>
      <c r="AN2901" s="245"/>
      <c r="AO2901" s="238">
        <v>0.0</v>
      </c>
      <c r="AP2901" s="238">
        <v>-38.1</v>
      </c>
      <c r="AQ2901" s="235" t="s">
        <v>632</v>
      </c>
      <c r="AR2901" s="243">
        <v>3.71E11</v>
      </c>
      <c r="AS2901" s="235" t="s">
        <v>19388</v>
      </c>
      <c r="AT2901" s="235" t="s">
        <v>9</v>
      </c>
      <c r="AU2901" s="235" t="s">
        <v>634</v>
      </c>
      <c r="AV2901" s="246" t="s">
        <v>635</v>
      </c>
      <c r="AW2901" s="227"/>
      <c r="AX2901" s="227"/>
      <c r="AY2901" s="227"/>
      <c r="AZ2901" s="227"/>
      <c r="BA2901" s="227"/>
      <c r="BB2901" s="227"/>
      <c r="BC2901" s="227"/>
      <c r="BD2901" s="227"/>
      <c r="BE2901" s="227"/>
      <c r="BF2901" s="227"/>
    </row>
    <row r="2902">
      <c r="A2902" s="235" t="s">
        <v>21994</v>
      </c>
      <c r="C2902" s="235" t="s">
        <v>21995</v>
      </c>
      <c r="D2902" s="235" t="s">
        <v>21996</v>
      </c>
      <c r="E2902" s="243">
        <v>6.52E13</v>
      </c>
      <c r="F2902" s="245"/>
      <c r="G2902" s="235" t="s">
        <v>21997</v>
      </c>
      <c r="H2902" s="235" t="s">
        <v>21998</v>
      </c>
      <c r="I2902" s="235" t="s">
        <v>21999</v>
      </c>
      <c r="J2902" s="235" t="s">
        <v>22000</v>
      </c>
      <c r="K2902" s="235" t="s">
        <v>22001</v>
      </c>
      <c r="N2902" s="235" t="s">
        <v>962</v>
      </c>
      <c r="O2902" s="235" t="s">
        <v>963</v>
      </c>
      <c r="P2902" s="238">
        <v>1.0</v>
      </c>
      <c r="Q2902" s="235" t="s">
        <v>627</v>
      </c>
      <c r="R2902" s="238">
        <v>245.72</v>
      </c>
      <c r="S2902" s="238">
        <v>12.04</v>
      </c>
      <c r="T2902" s="238">
        <v>0.0</v>
      </c>
      <c r="U2902" s="238">
        <v>0.0</v>
      </c>
      <c r="V2902" s="238">
        <v>0.0</v>
      </c>
      <c r="W2902" s="238">
        <v>0.0</v>
      </c>
      <c r="X2902" s="235" t="s">
        <v>628</v>
      </c>
      <c r="Z2902" s="245"/>
      <c r="AA2902" s="245"/>
      <c r="AB2902" s="245"/>
      <c r="AC2902" s="235" t="s">
        <v>678</v>
      </c>
      <c r="AD2902" s="235" t="s">
        <v>679</v>
      </c>
      <c r="AE2902" s="238">
        <v>562106.0</v>
      </c>
      <c r="AF2902" s="235" t="s">
        <v>631</v>
      </c>
      <c r="AG2902" s="245"/>
      <c r="AH2902" s="245"/>
      <c r="AI2902" s="245"/>
      <c r="AJ2902" s="245"/>
      <c r="AK2902" s="245"/>
      <c r="AL2902" s="245"/>
      <c r="AM2902" s="245"/>
      <c r="AN2902" s="245"/>
      <c r="AO2902" s="238">
        <v>-4.92</v>
      </c>
      <c r="AP2902" s="238">
        <v>0.0</v>
      </c>
      <c r="AQ2902" s="235" t="s">
        <v>632</v>
      </c>
      <c r="AR2902" s="243">
        <v>3.71E11</v>
      </c>
      <c r="AS2902" s="235" t="s">
        <v>20529</v>
      </c>
      <c r="AT2902" s="235" t="s">
        <v>9</v>
      </c>
      <c r="AU2902" s="235" t="s">
        <v>634</v>
      </c>
      <c r="AV2902" s="246" t="s">
        <v>635</v>
      </c>
      <c r="AW2902" s="227"/>
      <c r="AX2902" s="227"/>
      <c r="AY2902" s="227"/>
      <c r="AZ2902" s="227"/>
      <c r="BA2902" s="227"/>
      <c r="BB2902" s="227"/>
      <c r="BC2902" s="227"/>
      <c r="BD2902" s="227"/>
      <c r="BE2902" s="227"/>
      <c r="BF2902" s="227"/>
    </row>
    <row r="2903">
      <c r="A2903" s="235" t="s">
        <v>22002</v>
      </c>
      <c r="C2903" s="235" t="s">
        <v>22003</v>
      </c>
      <c r="D2903" s="235" t="s">
        <v>22004</v>
      </c>
      <c r="E2903" s="243">
        <v>6.53E13</v>
      </c>
      <c r="F2903" s="245"/>
      <c r="G2903" s="235" t="s">
        <v>22005</v>
      </c>
      <c r="H2903" s="235" t="s">
        <v>22006</v>
      </c>
      <c r="I2903" s="235" t="s">
        <v>22007</v>
      </c>
      <c r="J2903" s="235" t="s">
        <v>22008</v>
      </c>
      <c r="K2903" s="235" t="s">
        <v>16447</v>
      </c>
      <c r="N2903" s="235" t="s">
        <v>85</v>
      </c>
      <c r="O2903" s="235" t="s">
        <v>872</v>
      </c>
      <c r="P2903" s="238">
        <v>1.0</v>
      </c>
      <c r="Q2903" s="235" t="s">
        <v>627</v>
      </c>
      <c r="R2903" s="238">
        <v>246.67</v>
      </c>
      <c r="S2903" s="238">
        <v>12.33</v>
      </c>
      <c r="T2903" s="238">
        <v>0.0</v>
      </c>
      <c r="U2903" s="238">
        <v>0.0</v>
      </c>
      <c r="V2903" s="238">
        <v>0.0</v>
      </c>
      <c r="W2903" s="238">
        <v>0.0</v>
      </c>
      <c r="X2903" s="235" t="s">
        <v>628</v>
      </c>
      <c r="Z2903" s="245"/>
      <c r="AA2903" s="245"/>
      <c r="AB2903" s="245"/>
      <c r="AC2903" s="235" t="s">
        <v>22009</v>
      </c>
      <c r="AD2903" s="235" t="s">
        <v>645</v>
      </c>
      <c r="AE2903" s="238">
        <v>670302.0</v>
      </c>
      <c r="AF2903" s="235" t="s">
        <v>631</v>
      </c>
      <c r="AG2903" s="245"/>
      <c r="AH2903" s="245"/>
      <c r="AI2903" s="245"/>
      <c r="AJ2903" s="245"/>
      <c r="AK2903" s="245"/>
      <c r="AL2903" s="245"/>
      <c r="AM2903" s="245"/>
      <c r="AN2903" s="245"/>
      <c r="AO2903" s="238">
        <v>0.0</v>
      </c>
      <c r="AP2903" s="238">
        <v>0.0</v>
      </c>
      <c r="AQ2903" s="235" t="s">
        <v>632</v>
      </c>
      <c r="AR2903" s="243">
        <v>3.71E11</v>
      </c>
      <c r="AS2903" s="235" t="s">
        <v>20529</v>
      </c>
      <c r="AT2903" s="235" t="s">
        <v>155</v>
      </c>
      <c r="AU2903" s="235" t="s">
        <v>634</v>
      </c>
      <c r="AV2903" s="246" t="s">
        <v>635</v>
      </c>
      <c r="AW2903" s="227"/>
      <c r="AX2903" s="227"/>
      <c r="AY2903" s="227"/>
      <c r="AZ2903" s="227"/>
      <c r="BA2903" s="227"/>
      <c r="BB2903" s="227"/>
      <c r="BC2903" s="227"/>
      <c r="BD2903" s="227"/>
      <c r="BE2903" s="227"/>
      <c r="BF2903" s="227"/>
    </row>
    <row r="2904">
      <c r="A2904" s="235" t="s">
        <v>22010</v>
      </c>
      <c r="C2904" s="235" t="s">
        <v>22011</v>
      </c>
      <c r="D2904" s="235" t="s">
        <v>22012</v>
      </c>
      <c r="E2904" s="243">
        <v>6.53E13</v>
      </c>
      <c r="F2904" s="245"/>
      <c r="G2904" s="235" t="s">
        <v>22013</v>
      </c>
      <c r="H2904" s="235" t="s">
        <v>22014</v>
      </c>
      <c r="I2904" s="235" t="s">
        <v>22014</v>
      </c>
      <c r="J2904" s="235" t="s">
        <v>22015</v>
      </c>
      <c r="K2904" s="235" t="s">
        <v>22016</v>
      </c>
      <c r="N2904" s="235" t="s">
        <v>127</v>
      </c>
      <c r="O2904" s="235" t="s">
        <v>794</v>
      </c>
      <c r="P2904" s="238">
        <v>1.0</v>
      </c>
      <c r="Q2904" s="235" t="s">
        <v>627</v>
      </c>
      <c r="R2904" s="238">
        <v>242.86</v>
      </c>
      <c r="S2904" s="238">
        <v>11.9</v>
      </c>
      <c r="T2904" s="238">
        <v>0.0</v>
      </c>
      <c r="U2904" s="238">
        <v>0.0</v>
      </c>
      <c r="V2904" s="238">
        <v>0.0</v>
      </c>
      <c r="W2904" s="238">
        <v>0.0</v>
      </c>
      <c r="X2904" s="235" t="s">
        <v>628</v>
      </c>
      <c r="Z2904" s="245"/>
      <c r="AA2904" s="245"/>
      <c r="AB2904" s="245"/>
      <c r="AC2904" s="235" t="s">
        <v>795</v>
      </c>
      <c r="AD2904" s="235" t="s">
        <v>796</v>
      </c>
      <c r="AE2904" s="238">
        <v>110018.0</v>
      </c>
      <c r="AF2904" s="235" t="s">
        <v>631</v>
      </c>
      <c r="AG2904" s="245"/>
      <c r="AH2904" s="245"/>
      <c r="AI2904" s="245"/>
      <c r="AJ2904" s="245"/>
      <c r="AK2904" s="245"/>
      <c r="AL2904" s="245"/>
      <c r="AM2904" s="245"/>
      <c r="AN2904" s="245"/>
      <c r="AO2904" s="238">
        <v>-4.86</v>
      </c>
      <c r="AP2904" s="238">
        <v>0.0</v>
      </c>
      <c r="AQ2904" s="235" t="s">
        <v>632</v>
      </c>
      <c r="AR2904" s="243">
        <v>3.71E11</v>
      </c>
      <c r="AS2904" s="235" t="s">
        <v>20529</v>
      </c>
      <c r="AT2904" s="235" t="s">
        <v>533</v>
      </c>
      <c r="AU2904" s="235" t="s">
        <v>634</v>
      </c>
      <c r="AV2904" s="246" t="s">
        <v>635</v>
      </c>
      <c r="AW2904" s="227"/>
      <c r="AX2904" s="227"/>
      <c r="AY2904" s="227"/>
      <c r="AZ2904" s="227"/>
      <c r="BA2904" s="227"/>
      <c r="BB2904" s="227"/>
      <c r="BC2904" s="227"/>
      <c r="BD2904" s="227"/>
      <c r="BE2904" s="227"/>
      <c r="BF2904" s="227"/>
    </row>
    <row r="2905">
      <c r="A2905" s="235" t="s">
        <v>22017</v>
      </c>
      <c r="C2905" s="235" t="s">
        <v>22018</v>
      </c>
      <c r="D2905" s="235" t="s">
        <v>22019</v>
      </c>
      <c r="E2905" s="243">
        <v>6.53E13</v>
      </c>
      <c r="F2905" s="245"/>
      <c r="G2905" s="235" t="s">
        <v>22020</v>
      </c>
      <c r="H2905" s="235" t="s">
        <v>22021</v>
      </c>
      <c r="I2905" s="235" t="s">
        <v>22021</v>
      </c>
      <c r="J2905" s="235" t="s">
        <v>22022</v>
      </c>
      <c r="K2905" s="235" t="s">
        <v>22023</v>
      </c>
      <c r="N2905" s="235" t="s">
        <v>1646</v>
      </c>
      <c r="O2905" s="235" t="s">
        <v>1647</v>
      </c>
      <c r="P2905" s="238">
        <v>1.0</v>
      </c>
      <c r="Q2905" s="235" t="s">
        <v>627</v>
      </c>
      <c r="R2905" s="238">
        <v>270.48</v>
      </c>
      <c r="S2905" s="238">
        <v>13.52</v>
      </c>
      <c r="T2905" s="238">
        <v>38.1</v>
      </c>
      <c r="U2905" s="238">
        <v>1.9</v>
      </c>
      <c r="V2905" s="238">
        <v>0.0</v>
      </c>
      <c r="W2905" s="238">
        <v>0.0</v>
      </c>
      <c r="X2905" s="235" t="s">
        <v>628</v>
      </c>
      <c r="Z2905" s="245"/>
      <c r="AA2905" s="245"/>
      <c r="AB2905" s="245"/>
      <c r="AC2905" s="235" t="s">
        <v>22024</v>
      </c>
      <c r="AD2905" s="235" t="s">
        <v>1151</v>
      </c>
      <c r="AE2905" s="238">
        <v>733134.0</v>
      </c>
      <c r="AF2905" s="235" t="s">
        <v>631</v>
      </c>
      <c r="AG2905" s="245"/>
      <c r="AH2905" s="245"/>
      <c r="AI2905" s="245"/>
      <c r="AJ2905" s="245"/>
      <c r="AK2905" s="245"/>
      <c r="AL2905" s="245"/>
      <c r="AM2905" s="245"/>
      <c r="AN2905" s="245"/>
      <c r="AO2905" s="238">
        <v>0.0</v>
      </c>
      <c r="AP2905" s="238">
        <v>-38.1</v>
      </c>
      <c r="AQ2905" s="235" t="s">
        <v>632</v>
      </c>
      <c r="AR2905" s="243">
        <v>3.71E11</v>
      </c>
      <c r="AS2905" s="235" t="s">
        <v>15064</v>
      </c>
      <c r="AT2905" s="235" t="s">
        <v>14</v>
      </c>
      <c r="AU2905" s="235" t="s">
        <v>634</v>
      </c>
      <c r="AV2905" s="246" t="s">
        <v>635</v>
      </c>
      <c r="AW2905" s="227"/>
      <c r="AX2905" s="227"/>
      <c r="AY2905" s="227"/>
      <c r="AZ2905" s="227"/>
      <c r="BA2905" s="227"/>
      <c r="BB2905" s="227"/>
      <c r="BC2905" s="227"/>
      <c r="BD2905" s="227"/>
      <c r="BE2905" s="227"/>
      <c r="BF2905" s="227"/>
    </row>
    <row r="2906">
      <c r="A2906" s="235" t="s">
        <v>22025</v>
      </c>
      <c r="C2906" s="235" t="s">
        <v>22026</v>
      </c>
      <c r="D2906" s="235" t="s">
        <v>22027</v>
      </c>
      <c r="E2906" s="243">
        <v>6.53E13</v>
      </c>
      <c r="F2906" s="245"/>
      <c r="G2906" s="235" t="s">
        <v>22028</v>
      </c>
      <c r="H2906" s="235" t="s">
        <v>22029</v>
      </c>
      <c r="I2906" s="235" t="s">
        <v>22029</v>
      </c>
      <c r="J2906" s="235" t="s">
        <v>22030</v>
      </c>
      <c r="K2906" s="235" t="s">
        <v>22031</v>
      </c>
      <c r="N2906" s="235" t="s">
        <v>90</v>
      </c>
      <c r="O2906" s="235" t="s">
        <v>279</v>
      </c>
      <c r="P2906" s="238">
        <v>1.0</v>
      </c>
      <c r="Q2906" s="235" t="s">
        <v>627</v>
      </c>
      <c r="R2906" s="238">
        <v>233.33</v>
      </c>
      <c r="S2906" s="238">
        <v>11.44</v>
      </c>
      <c r="T2906" s="238">
        <v>0.0</v>
      </c>
      <c r="U2906" s="238">
        <v>0.0</v>
      </c>
      <c r="V2906" s="238">
        <v>0.0</v>
      </c>
      <c r="W2906" s="238">
        <v>0.0</v>
      </c>
      <c r="X2906" s="235" t="s">
        <v>628</v>
      </c>
      <c r="Z2906" s="245"/>
      <c r="AA2906" s="245"/>
      <c r="AB2906" s="245"/>
      <c r="AC2906" s="235" t="s">
        <v>937</v>
      </c>
      <c r="AD2906" s="235" t="s">
        <v>709</v>
      </c>
      <c r="AE2906" s="238">
        <v>800007.0</v>
      </c>
      <c r="AF2906" s="235" t="s">
        <v>631</v>
      </c>
      <c r="AG2906" s="245"/>
      <c r="AH2906" s="245"/>
      <c r="AI2906" s="245"/>
      <c r="AJ2906" s="245"/>
      <c r="AK2906" s="245"/>
      <c r="AL2906" s="245"/>
      <c r="AM2906" s="245"/>
      <c r="AN2906" s="245"/>
      <c r="AO2906" s="238">
        <v>-4.67</v>
      </c>
      <c r="AP2906" s="238">
        <v>0.0</v>
      </c>
      <c r="AQ2906" s="235" t="s">
        <v>632</v>
      </c>
      <c r="AR2906" s="243">
        <v>2.02E11</v>
      </c>
      <c r="AS2906" s="235" t="s">
        <v>20529</v>
      </c>
      <c r="AT2906" s="235" t="s">
        <v>9</v>
      </c>
      <c r="AU2906" s="235" t="s">
        <v>634</v>
      </c>
      <c r="AV2906" s="246" t="s">
        <v>635</v>
      </c>
      <c r="AW2906" s="227"/>
      <c r="AX2906" s="227"/>
      <c r="AY2906" s="227"/>
      <c r="AZ2906" s="227"/>
      <c r="BA2906" s="227"/>
      <c r="BB2906" s="227"/>
      <c r="BC2906" s="227"/>
      <c r="BD2906" s="227"/>
      <c r="BE2906" s="227"/>
      <c r="BF2906" s="227"/>
    </row>
    <row r="2907">
      <c r="A2907" s="235" t="s">
        <v>22032</v>
      </c>
      <c r="C2907" s="235" t="s">
        <v>22033</v>
      </c>
      <c r="D2907" s="235" t="s">
        <v>22034</v>
      </c>
      <c r="E2907" s="243">
        <v>6.53E13</v>
      </c>
      <c r="F2907" s="245"/>
      <c r="G2907" s="235" t="s">
        <v>22035</v>
      </c>
      <c r="H2907" s="235" t="s">
        <v>22036</v>
      </c>
      <c r="I2907" s="235" t="s">
        <v>22037</v>
      </c>
      <c r="J2907" s="235" t="s">
        <v>22038</v>
      </c>
      <c r="K2907" s="235" t="s">
        <v>22039</v>
      </c>
      <c r="N2907" s="235" t="s">
        <v>962</v>
      </c>
      <c r="O2907" s="235" t="s">
        <v>963</v>
      </c>
      <c r="P2907" s="238">
        <v>1.0</v>
      </c>
      <c r="Q2907" s="235" t="s">
        <v>627</v>
      </c>
      <c r="R2907" s="238">
        <v>245.72</v>
      </c>
      <c r="S2907" s="238">
        <v>12.28</v>
      </c>
      <c r="T2907" s="238">
        <v>0.0</v>
      </c>
      <c r="U2907" s="238">
        <v>0.0</v>
      </c>
      <c r="V2907" s="238">
        <v>0.0</v>
      </c>
      <c r="W2907" s="238">
        <v>0.0</v>
      </c>
      <c r="X2907" s="235" t="s">
        <v>628</v>
      </c>
      <c r="Z2907" s="245"/>
      <c r="AA2907" s="245"/>
      <c r="AB2907" s="245"/>
      <c r="AC2907" s="235" t="s">
        <v>1456</v>
      </c>
      <c r="AD2907" s="235" t="s">
        <v>928</v>
      </c>
      <c r="AE2907" s="238">
        <v>122001.0</v>
      </c>
      <c r="AF2907" s="235" t="s">
        <v>631</v>
      </c>
      <c r="AG2907" s="245"/>
      <c r="AH2907" s="245"/>
      <c r="AI2907" s="245"/>
      <c r="AJ2907" s="245"/>
      <c r="AK2907" s="245"/>
      <c r="AL2907" s="245"/>
      <c r="AM2907" s="245"/>
      <c r="AN2907" s="245"/>
      <c r="AO2907" s="238">
        <v>0.0</v>
      </c>
      <c r="AP2907" s="238">
        <v>0.0</v>
      </c>
      <c r="AQ2907" s="235" t="s">
        <v>632</v>
      </c>
      <c r="AR2907" s="243">
        <v>1.68E11</v>
      </c>
      <c r="AS2907" s="235" t="s">
        <v>21120</v>
      </c>
      <c r="AT2907" s="235" t="s">
        <v>533</v>
      </c>
      <c r="AU2907" s="235" t="s">
        <v>634</v>
      </c>
      <c r="AV2907" s="246" t="s">
        <v>635</v>
      </c>
      <c r="AW2907" s="227"/>
      <c r="AX2907" s="227"/>
      <c r="AY2907" s="227"/>
      <c r="AZ2907" s="227"/>
      <c r="BA2907" s="227"/>
      <c r="BB2907" s="227"/>
      <c r="BC2907" s="227"/>
      <c r="BD2907" s="227"/>
      <c r="BE2907" s="227"/>
      <c r="BF2907" s="227"/>
    </row>
    <row r="2908">
      <c r="A2908" s="235" t="s">
        <v>22040</v>
      </c>
      <c r="C2908" s="235" t="s">
        <v>22041</v>
      </c>
      <c r="D2908" s="235" t="s">
        <v>22042</v>
      </c>
      <c r="E2908" s="243">
        <v>6.53E13</v>
      </c>
      <c r="F2908" s="245"/>
      <c r="G2908" s="235" t="s">
        <v>22043</v>
      </c>
      <c r="H2908" s="235" t="s">
        <v>22044</v>
      </c>
      <c r="I2908" s="235" t="s">
        <v>22045</v>
      </c>
      <c r="J2908" s="235" t="s">
        <v>22046</v>
      </c>
      <c r="K2908" s="235" t="s">
        <v>22047</v>
      </c>
      <c r="N2908" s="235" t="s">
        <v>2163</v>
      </c>
      <c r="O2908" s="235" t="s">
        <v>2164</v>
      </c>
      <c r="P2908" s="238">
        <v>1.0</v>
      </c>
      <c r="Q2908" s="235" t="s">
        <v>627</v>
      </c>
      <c r="R2908" s="238">
        <v>246.67</v>
      </c>
      <c r="S2908" s="238">
        <v>12.33</v>
      </c>
      <c r="T2908" s="238">
        <v>0.0</v>
      </c>
      <c r="U2908" s="238">
        <v>0.0</v>
      </c>
      <c r="V2908" s="238">
        <v>0.0</v>
      </c>
      <c r="W2908" s="238">
        <v>0.0</v>
      </c>
      <c r="X2908" s="235" t="s">
        <v>628</v>
      </c>
      <c r="Z2908" s="245"/>
      <c r="AA2908" s="245"/>
      <c r="AB2908" s="245"/>
      <c r="AC2908" s="235" t="s">
        <v>678</v>
      </c>
      <c r="AD2908" s="235" t="s">
        <v>679</v>
      </c>
      <c r="AE2908" s="238">
        <v>560076.0</v>
      </c>
      <c r="AF2908" s="235" t="s">
        <v>631</v>
      </c>
      <c r="AG2908" s="245"/>
      <c r="AH2908" s="245"/>
      <c r="AI2908" s="245"/>
      <c r="AJ2908" s="245"/>
      <c r="AK2908" s="245"/>
      <c r="AL2908" s="245"/>
      <c r="AM2908" s="245"/>
      <c r="AN2908" s="245"/>
      <c r="AO2908" s="238">
        <v>0.0</v>
      </c>
      <c r="AP2908" s="238">
        <v>0.0</v>
      </c>
      <c r="AQ2908" s="235" t="s">
        <v>632</v>
      </c>
      <c r="AR2908" s="243">
        <v>1.68E11</v>
      </c>
      <c r="AS2908" s="235" t="s">
        <v>20529</v>
      </c>
      <c r="AT2908" s="235" t="s">
        <v>155</v>
      </c>
      <c r="AU2908" s="235" t="s">
        <v>634</v>
      </c>
      <c r="AV2908" s="246" t="s">
        <v>635</v>
      </c>
      <c r="AW2908" s="227"/>
      <c r="AX2908" s="227"/>
      <c r="AY2908" s="227"/>
      <c r="AZ2908" s="227"/>
      <c r="BA2908" s="227"/>
      <c r="BB2908" s="227"/>
      <c r="BC2908" s="227"/>
      <c r="BD2908" s="227"/>
      <c r="BE2908" s="227"/>
      <c r="BF2908" s="227"/>
    </row>
    <row r="2909">
      <c r="A2909" s="235" t="s">
        <v>22048</v>
      </c>
      <c r="C2909" s="235" t="s">
        <v>22049</v>
      </c>
      <c r="D2909" s="235" t="s">
        <v>22050</v>
      </c>
      <c r="E2909" s="243">
        <v>6.53E13</v>
      </c>
      <c r="F2909" s="245"/>
      <c r="G2909" s="235" t="s">
        <v>22051</v>
      </c>
      <c r="H2909" s="235" t="s">
        <v>22052</v>
      </c>
      <c r="I2909" s="235" t="s">
        <v>22052</v>
      </c>
      <c r="J2909" s="235" t="s">
        <v>22053</v>
      </c>
      <c r="K2909" s="235" t="s">
        <v>22054</v>
      </c>
      <c r="N2909" s="235" t="s">
        <v>127</v>
      </c>
      <c r="O2909" s="235" t="s">
        <v>794</v>
      </c>
      <c r="P2909" s="238">
        <v>1.0</v>
      </c>
      <c r="Q2909" s="235" t="s">
        <v>627</v>
      </c>
      <c r="R2909" s="238">
        <v>242.86</v>
      </c>
      <c r="S2909" s="238">
        <v>12.14</v>
      </c>
      <c r="T2909" s="238">
        <v>0.0</v>
      </c>
      <c r="U2909" s="238">
        <v>0.0</v>
      </c>
      <c r="V2909" s="238">
        <v>0.0</v>
      </c>
      <c r="W2909" s="238">
        <v>0.0</v>
      </c>
      <c r="X2909" s="235" t="s">
        <v>628</v>
      </c>
      <c r="Z2909" s="245"/>
      <c r="AA2909" s="245"/>
      <c r="AB2909" s="245"/>
      <c r="AC2909" s="235" t="s">
        <v>6276</v>
      </c>
      <c r="AD2909" s="235" t="s">
        <v>1086</v>
      </c>
      <c r="AE2909" s="238">
        <v>140603.0</v>
      </c>
      <c r="AF2909" s="235" t="s">
        <v>631</v>
      </c>
      <c r="AG2909" s="245"/>
      <c r="AH2909" s="245"/>
      <c r="AI2909" s="245"/>
      <c r="AJ2909" s="245"/>
      <c r="AK2909" s="245"/>
      <c r="AL2909" s="245"/>
      <c r="AM2909" s="245"/>
      <c r="AN2909" s="245"/>
      <c r="AO2909" s="238">
        <v>0.0</v>
      </c>
      <c r="AP2909" s="238">
        <v>0.0</v>
      </c>
      <c r="AQ2909" s="235" t="s">
        <v>632</v>
      </c>
      <c r="AR2909" s="243">
        <v>3.71E11</v>
      </c>
      <c r="AS2909" s="235" t="s">
        <v>19388</v>
      </c>
      <c r="AT2909" s="235" t="s">
        <v>14</v>
      </c>
      <c r="AU2909" s="235" t="s">
        <v>634</v>
      </c>
      <c r="AV2909" s="246" t="s">
        <v>635</v>
      </c>
      <c r="AW2909" s="227"/>
      <c r="AX2909" s="227"/>
      <c r="AY2909" s="227"/>
      <c r="AZ2909" s="227"/>
      <c r="BA2909" s="227"/>
      <c r="BB2909" s="227"/>
      <c r="BC2909" s="227"/>
      <c r="BD2909" s="227"/>
      <c r="BE2909" s="227"/>
      <c r="BF2909" s="227"/>
    </row>
    <row r="2910">
      <c r="A2910" s="235" t="s">
        <v>22055</v>
      </c>
      <c r="C2910" s="235" t="s">
        <v>22056</v>
      </c>
      <c r="D2910" s="235" t="s">
        <v>22057</v>
      </c>
      <c r="E2910" s="243">
        <v>6.53E13</v>
      </c>
      <c r="F2910" s="245"/>
      <c r="G2910" s="235" t="s">
        <v>22058</v>
      </c>
      <c r="H2910" s="235" t="s">
        <v>22059</v>
      </c>
      <c r="I2910" s="235" t="s">
        <v>22059</v>
      </c>
      <c r="J2910" s="235" t="s">
        <v>22060</v>
      </c>
      <c r="K2910" s="235" t="s">
        <v>22061</v>
      </c>
      <c r="N2910" s="235" t="s">
        <v>85</v>
      </c>
      <c r="O2910" s="235" t="s">
        <v>872</v>
      </c>
      <c r="P2910" s="238">
        <v>1.0</v>
      </c>
      <c r="Q2910" s="235" t="s">
        <v>627</v>
      </c>
      <c r="R2910" s="238">
        <v>246.67</v>
      </c>
      <c r="S2910" s="238">
        <v>12.33</v>
      </c>
      <c r="T2910" s="238">
        <v>0.0</v>
      </c>
      <c r="U2910" s="238">
        <v>0.0</v>
      </c>
      <c r="V2910" s="238">
        <v>0.0</v>
      </c>
      <c r="W2910" s="238">
        <v>0.0</v>
      </c>
      <c r="X2910" s="235" t="s">
        <v>628</v>
      </c>
      <c r="Z2910" s="245"/>
      <c r="AA2910" s="245"/>
      <c r="AB2910" s="245"/>
      <c r="AC2910" s="235" t="s">
        <v>22062</v>
      </c>
      <c r="AD2910" s="235" t="s">
        <v>666</v>
      </c>
      <c r="AE2910" s="238">
        <v>637102.0</v>
      </c>
      <c r="AF2910" s="235" t="s">
        <v>631</v>
      </c>
      <c r="AG2910" s="245"/>
      <c r="AH2910" s="245"/>
      <c r="AI2910" s="245"/>
      <c r="AJ2910" s="245"/>
      <c r="AK2910" s="245"/>
      <c r="AL2910" s="245"/>
      <c r="AM2910" s="245"/>
      <c r="AN2910" s="245"/>
      <c r="AO2910" s="238">
        <v>0.0</v>
      </c>
      <c r="AP2910" s="238">
        <v>0.0</v>
      </c>
      <c r="AQ2910" s="235" t="s">
        <v>632</v>
      </c>
      <c r="AR2910" s="243">
        <v>3.71E11</v>
      </c>
      <c r="AS2910" s="235" t="s">
        <v>20529</v>
      </c>
      <c r="AT2910" s="235" t="s">
        <v>9</v>
      </c>
      <c r="AU2910" s="235" t="s">
        <v>634</v>
      </c>
      <c r="AV2910" s="246" t="s">
        <v>635</v>
      </c>
      <c r="AW2910" s="227"/>
      <c r="AX2910" s="227"/>
      <c r="AY2910" s="227"/>
      <c r="AZ2910" s="227"/>
      <c r="BA2910" s="227"/>
      <c r="BB2910" s="227"/>
      <c r="BC2910" s="227"/>
      <c r="BD2910" s="227"/>
      <c r="BE2910" s="227"/>
      <c r="BF2910" s="227"/>
    </row>
    <row r="2911">
      <c r="A2911" s="235" t="s">
        <v>22063</v>
      </c>
      <c r="C2911" s="235" t="s">
        <v>22064</v>
      </c>
      <c r="D2911" s="235" t="s">
        <v>22065</v>
      </c>
      <c r="E2911" s="243">
        <v>6.53E13</v>
      </c>
      <c r="F2911" s="245"/>
      <c r="G2911" s="235" t="s">
        <v>22066</v>
      </c>
      <c r="H2911" s="235" t="s">
        <v>22067</v>
      </c>
      <c r="I2911" s="235" t="s">
        <v>22067</v>
      </c>
      <c r="J2911" s="235" t="s">
        <v>22060</v>
      </c>
      <c r="K2911" s="235" t="s">
        <v>22068</v>
      </c>
      <c r="N2911" s="235" t="s">
        <v>85</v>
      </c>
      <c r="O2911" s="235" t="s">
        <v>872</v>
      </c>
      <c r="P2911" s="238">
        <v>1.0</v>
      </c>
      <c r="Q2911" s="235" t="s">
        <v>627</v>
      </c>
      <c r="R2911" s="238">
        <v>246.66</v>
      </c>
      <c r="S2911" s="238">
        <v>12.1</v>
      </c>
      <c r="T2911" s="238">
        <v>0.0</v>
      </c>
      <c r="U2911" s="238">
        <v>0.0</v>
      </c>
      <c r="V2911" s="238">
        <v>0.0</v>
      </c>
      <c r="W2911" s="238">
        <v>0.0</v>
      </c>
      <c r="X2911" s="235" t="s">
        <v>628</v>
      </c>
      <c r="Z2911" s="245"/>
      <c r="AA2911" s="245"/>
      <c r="AB2911" s="245"/>
      <c r="AC2911" s="235" t="s">
        <v>22069</v>
      </c>
      <c r="AD2911" s="235" t="s">
        <v>679</v>
      </c>
      <c r="AE2911" s="238">
        <v>563120.0</v>
      </c>
      <c r="AF2911" s="235" t="s">
        <v>631</v>
      </c>
      <c r="AG2911" s="245"/>
      <c r="AH2911" s="245"/>
      <c r="AI2911" s="245"/>
      <c r="AJ2911" s="245"/>
      <c r="AK2911" s="245"/>
      <c r="AL2911" s="245"/>
      <c r="AM2911" s="245"/>
      <c r="AN2911" s="245"/>
      <c r="AO2911" s="238">
        <v>-4.94</v>
      </c>
      <c r="AP2911" s="238">
        <v>0.0</v>
      </c>
      <c r="AQ2911" s="235" t="s">
        <v>632</v>
      </c>
      <c r="AR2911" s="243">
        <v>3.71E11</v>
      </c>
      <c r="AS2911" s="235" t="s">
        <v>20529</v>
      </c>
      <c r="AT2911" s="235" t="s">
        <v>9</v>
      </c>
      <c r="AU2911" s="235" t="s">
        <v>634</v>
      </c>
      <c r="AV2911" s="246" t="s">
        <v>635</v>
      </c>
      <c r="AW2911" s="227"/>
      <c r="AX2911" s="227"/>
      <c r="AY2911" s="227"/>
      <c r="AZ2911" s="227"/>
      <c r="BA2911" s="227"/>
      <c r="BB2911" s="227"/>
      <c r="BC2911" s="227"/>
      <c r="BD2911" s="227"/>
      <c r="BE2911" s="227"/>
      <c r="BF2911" s="227"/>
    </row>
    <row r="2912">
      <c r="A2912" s="235" t="s">
        <v>22070</v>
      </c>
      <c r="C2912" s="235" t="s">
        <v>22071</v>
      </c>
      <c r="D2912" s="235" t="s">
        <v>22072</v>
      </c>
      <c r="E2912" s="243">
        <v>6.53E13</v>
      </c>
      <c r="F2912" s="245"/>
      <c r="G2912" s="235" t="s">
        <v>22073</v>
      </c>
      <c r="H2912" s="235" t="s">
        <v>22074</v>
      </c>
      <c r="I2912" s="235" t="s">
        <v>22074</v>
      </c>
      <c r="J2912" s="235" t="s">
        <v>22075</v>
      </c>
      <c r="K2912" s="235" t="s">
        <v>22076</v>
      </c>
      <c r="N2912" s="235" t="s">
        <v>15</v>
      </c>
      <c r="O2912" s="235" t="s">
        <v>856</v>
      </c>
      <c r="P2912" s="238">
        <v>1.0</v>
      </c>
      <c r="Q2912" s="235" t="s">
        <v>627</v>
      </c>
      <c r="R2912" s="238">
        <v>323.8</v>
      </c>
      <c r="S2912" s="238">
        <v>16.2</v>
      </c>
      <c r="T2912" s="238">
        <v>0.0</v>
      </c>
      <c r="U2912" s="238">
        <v>0.0</v>
      </c>
      <c r="V2912" s="238">
        <v>0.0</v>
      </c>
      <c r="W2912" s="238">
        <v>0.0</v>
      </c>
      <c r="X2912" s="235" t="s">
        <v>628</v>
      </c>
      <c r="Z2912" s="245"/>
      <c r="AA2912" s="245"/>
      <c r="AB2912" s="245"/>
      <c r="AC2912" s="235" t="s">
        <v>22077</v>
      </c>
      <c r="AD2912" s="235" t="s">
        <v>845</v>
      </c>
      <c r="AE2912" s="238">
        <v>425405.0</v>
      </c>
      <c r="AF2912" s="235" t="s">
        <v>631</v>
      </c>
      <c r="AG2912" s="245"/>
      <c r="AH2912" s="245"/>
      <c r="AI2912" s="245"/>
      <c r="AJ2912" s="245"/>
      <c r="AK2912" s="245"/>
      <c r="AL2912" s="245"/>
      <c r="AM2912" s="245"/>
      <c r="AN2912" s="245"/>
      <c r="AO2912" s="238">
        <v>0.0</v>
      </c>
      <c r="AP2912" s="238">
        <v>0.0</v>
      </c>
      <c r="AQ2912" s="235" t="s">
        <v>632</v>
      </c>
      <c r="AR2912" s="243">
        <v>1.68E11</v>
      </c>
      <c r="AS2912" s="235" t="s">
        <v>20529</v>
      </c>
      <c r="AT2912" s="235" t="s">
        <v>16</v>
      </c>
      <c r="AU2912" s="235" t="s">
        <v>634</v>
      </c>
      <c r="AV2912" s="246" t="s">
        <v>635</v>
      </c>
      <c r="AW2912" s="227"/>
      <c r="AX2912" s="227"/>
      <c r="AY2912" s="227"/>
      <c r="AZ2912" s="227"/>
      <c r="BA2912" s="227"/>
      <c r="BB2912" s="227"/>
      <c r="BC2912" s="227"/>
      <c r="BD2912" s="227"/>
      <c r="BE2912" s="227"/>
      <c r="BF2912" s="227"/>
    </row>
    <row r="2913">
      <c r="A2913" s="235" t="s">
        <v>22078</v>
      </c>
      <c r="C2913" s="235" t="s">
        <v>22079</v>
      </c>
      <c r="D2913" s="235" t="s">
        <v>22080</v>
      </c>
      <c r="E2913" s="243">
        <v>6.53E13</v>
      </c>
      <c r="F2913" s="245"/>
      <c r="G2913" s="235" t="s">
        <v>22081</v>
      </c>
      <c r="H2913" s="235" t="s">
        <v>22082</v>
      </c>
      <c r="I2913" s="235" t="s">
        <v>22082</v>
      </c>
      <c r="J2913" s="235" t="s">
        <v>22083</v>
      </c>
      <c r="K2913" s="235" t="s">
        <v>22084</v>
      </c>
      <c r="N2913" s="235" t="s">
        <v>130</v>
      </c>
      <c r="O2913" s="235" t="s">
        <v>707</v>
      </c>
      <c r="P2913" s="238">
        <v>1.0</v>
      </c>
      <c r="Q2913" s="235" t="s">
        <v>627</v>
      </c>
      <c r="R2913" s="238">
        <v>246.67</v>
      </c>
      <c r="S2913" s="238">
        <v>12.08</v>
      </c>
      <c r="T2913" s="238">
        <v>38.1</v>
      </c>
      <c r="U2913" s="238">
        <v>1.9</v>
      </c>
      <c r="V2913" s="238">
        <v>0.0</v>
      </c>
      <c r="W2913" s="238">
        <v>0.0</v>
      </c>
      <c r="X2913" s="235" t="s">
        <v>628</v>
      </c>
      <c r="Z2913" s="245"/>
      <c r="AA2913" s="245"/>
      <c r="AB2913" s="245"/>
      <c r="AC2913" s="235" t="s">
        <v>795</v>
      </c>
      <c r="AD2913" s="235" t="s">
        <v>796</v>
      </c>
      <c r="AE2913" s="238">
        <v>110027.0</v>
      </c>
      <c r="AF2913" s="235" t="s">
        <v>631</v>
      </c>
      <c r="AG2913" s="245"/>
      <c r="AH2913" s="245"/>
      <c r="AI2913" s="245"/>
      <c r="AJ2913" s="245"/>
      <c r="AK2913" s="245"/>
      <c r="AL2913" s="245"/>
      <c r="AM2913" s="245"/>
      <c r="AN2913" s="245"/>
      <c r="AO2913" s="238">
        <v>-4.93</v>
      </c>
      <c r="AP2913" s="238">
        <v>-38.1</v>
      </c>
      <c r="AQ2913" s="235" t="s">
        <v>632</v>
      </c>
      <c r="AR2913" s="243">
        <v>3.71E11</v>
      </c>
      <c r="AS2913" s="235" t="s">
        <v>20529</v>
      </c>
      <c r="AT2913" s="235" t="s">
        <v>13</v>
      </c>
      <c r="AU2913" s="235" t="s">
        <v>634</v>
      </c>
      <c r="AV2913" s="246" t="s">
        <v>635</v>
      </c>
      <c r="AW2913" s="227"/>
      <c r="AX2913" s="227"/>
      <c r="AY2913" s="227"/>
      <c r="AZ2913" s="227"/>
      <c r="BA2913" s="227"/>
      <c r="BB2913" s="227"/>
      <c r="BC2913" s="227"/>
      <c r="BD2913" s="227"/>
      <c r="BE2913" s="227"/>
      <c r="BF2913" s="227"/>
    </row>
    <row r="2914">
      <c r="A2914" s="235" t="s">
        <v>22085</v>
      </c>
      <c r="C2914" s="235" t="s">
        <v>22086</v>
      </c>
      <c r="D2914" s="235" t="s">
        <v>22087</v>
      </c>
      <c r="E2914" s="243">
        <v>6.52E13</v>
      </c>
      <c r="F2914" s="245"/>
      <c r="G2914" s="235" t="s">
        <v>22088</v>
      </c>
      <c r="H2914" s="235" t="s">
        <v>22089</v>
      </c>
      <c r="I2914" s="235" t="s">
        <v>22089</v>
      </c>
      <c r="J2914" s="235" t="s">
        <v>22090</v>
      </c>
      <c r="K2914" s="235" t="s">
        <v>22091</v>
      </c>
      <c r="N2914" s="235" t="s">
        <v>566</v>
      </c>
      <c r="O2914" s="235" t="s">
        <v>1834</v>
      </c>
      <c r="P2914" s="238">
        <v>1.0</v>
      </c>
      <c r="Q2914" s="235" t="s">
        <v>627</v>
      </c>
      <c r="R2914" s="238">
        <v>422.88</v>
      </c>
      <c r="S2914" s="238">
        <v>74.6</v>
      </c>
      <c r="T2914" s="238">
        <v>0.0</v>
      </c>
      <c r="U2914" s="238">
        <v>0.0</v>
      </c>
      <c r="V2914" s="238">
        <v>0.0</v>
      </c>
      <c r="W2914" s="238">
        <v>0.0</v>
      </c>
      <c r="X2914" s="235" t="s">
        <v>628</v>
      </c>
      <c r="Z2914" s="245"/>
      <c r="AA2914" s="245"/>
      <c r="AB2914" s="245"/>
      <c r="AC2914" s="235" t="s">
        <v>1514</v>
      </c>
      <c r="AD2914" s="235" t="s">
        <v>1077</v>
      </c>
      <c r="AE2914" s="238">
        <v>380016.0</v>
      </c>
      <c r="AF2914" s="235" t="s">
        <v>631</v>
      </c>
      <c r="AG2914" s="245"/>
      <c r="AH2914" s="245"/>
      <c r="AI2914" s="245"/>
      <c r="AJ2914" s="245"/>
      <c r="AK2914" s="245"/>
      <c r="AL2914" s="245"/>
      <c r="AM2914" s="245"/>
      <c r="AN2914" s="245"/>
      <c r="AO2914" s="238">
        <v>-8.46</v>
      </c>
      <c r="AP2914" s="238">
        <v>0.0</v>
      </c>
      <c r="AQ2914" s="235" t="s">
        <v>632</v>
      </c>
      <c r="AR2914" s="243">
        <v>3.71E11</v>
      </c>
      <c r="AS2914" s="235" t="s">
        <v>20529</v>
      </c>
      <c r="AT2914" s="235" t="s">
        <v>5</v>
      </c>
      <c r="AU2914" s="235" t="s">
        <v>634</v>
      </c>
      <c r="AV2914" s="246" t="s">
        <v>635</v>
      </c>
      <c r="AW2914" s="227"/>
      <c r="AX2914" s="227"/>
      <c r="AY2914" s="227"/>
      <c r="AZ2914" s="227"/>
      <c r="BA2914" s="227"/>
      <c r="BB2914" s="227"/>
      <c r="BC2914" s="227"/>
      <c r="BD2914" s="227"/>
      <c r="BE2914" s="227"/>
      <c r="BF2914" s="227"/>
    </row>
    <row r="2915">
      <c r="A2915" s="235" t="s">
        <v>22092</v>
      </c>
      <c r="C2915" s="235" t="s">
        <v>22093</v>
      </c>
      <c r="D2915" s="235" t="s">
        <v>22094</v>
      </c>
      <c r="E2915" s="243">
        <v>6.53E13</v>
      </c>
      <c r="F2915" s="245"/>
      <c r="G2915" s="235" t="s">
        <v>22095</v>
      </c>
      <c r="H2915" s="235" t="s">
        <v>22096</v>
      </c>
      <c r="I2915" s="235" t="s">
        <v>22096</v>
      </c>
      <c r="J2915" s="235" t="s">
        <v>22097</v>
      </c>
      <c r="K2915" s="235" t="s">
        <v>22098</v>
      </c>
      <c r="N2915" s="235" t="s">
        <v>43</v>
      </c>
      <c r="O2915" s="235" t="s">
        <v>276</v>
      </c>
      <c r="P2915" s="238">
        <v>1.0</v>
      </c>
      <c r="Q2915" s="235" t="s">
        <v>627</v>
      </c>
      <c r="R2915" s="238">
        <v>235.24</v>
      </c>
      <c r="S2915" s="238">
        <v>11.76</v>
      </c>
      <c r="T2915" s="238">
        <v>0.0</v>
      </c>
      <c r="U2915" s="238">
        <v>0.0</v>
      </c>
      <c r="V2915" s="238">
        <v>0.0</v>
      </c>
      <c r="W2915" s="238">
        <v>0.0</v>
      </c>
      <c r="X2915" s="235" t="s">
        <v>628</v>
      </c>
      <c r="Z2915" s="245"/>
      <c r="AA2915" s="245"/>
      <c r="AB2915" s="245"/>
      <c r="AC2915" s="235" t="s">
        <v>757</v>
      </c>
      <c r="AD2915" s="235" t="s">
        <v>666</v>
      </c>
      <c r="AE2915" s="238">
        <v>625001.0</v>
      </c>
      <c r="AF2915" s="235" t="s">
        <v>631</v>
      </c>
      <c r="AG2915" s="245"/>
      <c r="AH2915" s="245"/>
      <c r="AI2915" s="245"/>
      <c r="AJ2915" s="245"/>
      <c r="AK2915" s="245"/>
      <c r="AL2915" s="245"/>
      <c r="AM2915" s="245"/>
      <c r="AN2915" s="245"/>
      <c r="AO2915" s="238">
        <v>0.0</v>
      </c>
      <c r="AP2915" s="238">
        <v>0.0</v>
      </c>
      <c r="AQ2915" s="235" t="s">
        <v>632</v>
      </c>
      <c r="AR2915" s="243">
        <v>3.71E11</v>
      </c>
      <c r="AS2915" s="235" t="s">
        <v>19388</v>
      </c>
      <c r="AT2915" s="235" t="s">
        <v>11</v>
      </c>
      <c r="AU2915" s="235" t="s">
        <v>634</v>
      </c>
      <c r="AV2915" s="246" t="s">
        <v>635</v>
      </c>
      <c r="AW2915" s="227"/>
      <c r="AX2915" s="227"/>
      <c r="AY2915" s="227"/>
      <c r="AZ2915" s="227"/>
      <c r="BA2915" s="227"/>
      <c r="BB2915" s="227"/>
      <c r="BC2915" s="227"/>
      <c r="BD2915" s="227"/>
      <c r="BE2915" s="227"/>
      <c r="BF2915" s="227"/>
    </row>
    <row r="2916">
      <c r="A2916" s="235" t="s">
        <v>22099</v>
      </c>
      <c r="C2916" s="235" t="s">
        <v>22100</v>
      </c>
      <c r="D2916" s="235" t="s">
        <v>22101</v>
      </c>
      <c r="E2916" s="243">
        <v>6.52E13</v>
      </c>
      <c r="F2916" s="245"/>
      <c r="G2916" s="235" t="s">
        <v>22102</v>
      </c>
      <c r="H2916" s="235" t="s">
        <v>22103</v>
      </c>
      <c r="I2916" s="235" t="s">
        <v>22103</v>
      </c>
      <c r="J2916" s="235" t="s">
        <v>22104</v>
      </c>
      <c r="K2916" s="235" t="s">
        <v>22105</v>
      </c>
      <c r="N2916" s="235" t="s">
        <v>104</v>
      </c>
      <c r="O2916" s="235" t="s">
        <v>401</v>
      </c>
      <c r="P2916" s="238">
        <v>1.0</v>
      </c>
      <c r="Q2916" s="235" t="s">
        <v>627</v>
      </c>
      <c r="R2916" s="238">
        <v>246.66</v>
      </c>
      <c r="S2916" s="238">
        <v>12.34</v>
      </c>
      <c r="T2916" s="238">
        <v>38.1</v>
      </c>
      <c r="U2916" s="238">
        <v>1.9</v>
      </c>
      <c r="V2916" s="238">
        <v>0.0</v>
      </c>
      <c r="W2916" s="238">
        <v>0.0</v>
      </c>
      <c r="X2916" s="235" t="s">
        <v>628</v>
      </c>
      <c r="Z2916" s="245"/>
      <c r="AA2916" s="245"/>
      <c r="AB2916" s="245"/>
      <c r="AC2916" s="235" t="s">
        <v>1320</v>
      </c>
      <c r="AD2916" s="235" t="s">
        <v>666</v>
      </c>
      <c r="AE2916" s="238">
        <v>603103.0</v>
      </c>
      <c r="AF2916" s="235" t="s">
        <v>631</v>
      </c>
      <c r="AG2916" s="245"/>
      <c r="AH2916" s="245"/>
      <c r="AI2916" s="245"/>
      <c r="AJ2916" s="245"/>
      <c r="AK2916" s="245"/>
      <c r="AL2916" s="245"/>
      <c r="AM2916" s="245"/>
      <c r="AN2916" s="245"/>
      <c r="AO2916" s="238">
        <v>0.0</v>
      </c>
      <c r="AP2916" s="238">
        <v>-38.1</v>
      </c>
      <c r="AQ2916" s="235" t="s">
        <v>632</v>
      </c>
      <c r="AR2916" s="243">
        <v>3.71E11</v>
      </c>
      <c r="AS2916" s="235" t="s">
        <v>20529</v>
      </c>
      <c r="AT2916" s="235" t="s">
        <v>156</v>
      </c>
      <c r="AU2916" s="235" t="s">
        <v>634</v>
      </c>
      <c r="AV2916" s="246" t="s">
        <v>635</v>
      </c>
      <c r="AW2916" s="227"/>
      <c r="AX2916" s="227"/>
      <c r="AY2916" s="227"/>
      <c r="AZ2916" s="227"/>
      <c r="BA2916" s="227"/>
      <c r="BB2916" s="227"/>
      <c r="BC2916" s="227"/>
      <c r="BD2916" s="227"/>
      <c r="BE2916" s="227"/>
      <c r="BF2916" s="227"/>
    </row>
    <row r="2917">
      <c r="A2917" s="235" t="s">
        <v>22106</v>
      </c>
      <c r="C2917" s="235" t="s">
        <v>22107</v>
      </c>
      <c r="D2917" s="235" t="s">
        <v>22108</v>
      </c>
      <c r="E2917" s="243">
        <v>6.52E13</v>
      </c>
      <c r="F2917" s="245"/>
      <c r="G2917" s="235" t="s">
        <v>22109</v>
      </c>
      <c r="H2917" s="235" t="s">
        <v>22110</v>
      </c>
      <c r="I2917" s="235" t="s">
        <v>22110</v>
      </c>
      <c r="J2917" s="235" t="s">
        <v>22111</v>
      </c>
      <c r="K2917" s="235" t="s">
        <v>22112</v>
      </c>
      <c r="N2917" s="235" t="s">
        <v>43</v>
      </c>
      <c r="O2917" s="235" t="s">
        <v>276</v>
      </c>
      <c r="P2917" s="238">
        <v>1.0</v>
      </c>
      <c r="Q2917" s="235" t="s">
        <v>627</v>
      </c>
      <c r="R2917" s="238">
        <v>270.48</v>
      </c>
      <c r="S2917" s="238">
        <v>13.52</v>
      </c>
      <c r="T2917" s="238">
        <v>38.1</v>
      </c>
      <c r="U2917" s="238">
        <v>1.9</v>
      </c>
      <c r="V2917" s="238">
        <v>0.0</v>
      </c>
      <c r="W2917" s="238">
        <v>0.0</v>
      </c>
      <c r="X2917" s="235" t="s">
        <v>628</v>
      </c>
      <c r="Z2917" s="245"/>
      <c r="AA2917" s="245"/>
      <c r="AB2917" s="245"/>
      <c r="AC2917" s="235" t="s">
        <v>687</v>
      </c>
      <c r="AD2917" s="235" t="s">
        <v>666</v>
      </c>
      <c r="AE2917" s="238">
        <v>600042.0</v>
      </c>
      <c r="AF2917" s="235" t="s">
        <v>631</v>
      </c>
      <c r="AG2917" s="245"/>
      <c r="AH2917" s="245"/>
      <c r="AI2917" s="245"/>
      <c r="AJ2917" s="245"/>
      <c r="AK2917" s="245"/>
      <c r="AL2917" s="245"/>
      <c r="AM2917" s="245"/>
      <c r="AN2917" s="245"/>
      <c r="AO2917" s="238">
        <v>0.0</v>
      </c>
      <c r="AP2917" s="238">
        <v>0.0</v>
      </c>
      <c r="AQ2917" s="235" t="s">
        <v>632</v>
      </c>
      <c r="AR2917" s="243">
        <v>3.71E11</v>
      </c>
      <c r="AS2917" s="235" t="s">
        <v>20529</v>
      </c>
      <c r="AT2917" s="235" t="s">
        <v>156</v>
      </c>
      <c r="AU2917" s="235" t="s">
        <v>634</v>
      </c>
      <c r="AV2917" s="246" t="s">
        <v>635</v>
      </c>
      <c r="AW2917" s="227"/>
      <c r="AX2917" s="227"/>
      <c r="AY2917" s="227"/>
      <c r="AZ2917" s="227"/>
      <c r="BA2917" s="227"/>
      <c r="BB2917" s="227"/>
      <c r="BC2917" s="227"/>
      <c r="BD2917" s="227"/>
      <c r="BE2917" s="227"/>
      <c r="BF2917" s="227"/>
    </row>
    <row r="2918">
      <c r="A2918" s="235" t="s">
        <v>22113</v>
      </c>
      <c r="C2918" s="235" t="s">
        <v>22114</v>
      </c>
      <c r="D2918" s="235" t="s">
        <v>22115</v>
      </c>
      <c r="E2918" s="243">
        <v>6.53E13</v>
      </c>
      <c r="F2918" s="245"/>
      <c r="G2918" s="235" t="s">
        <v>22116</v>
      </c>
      <c r="H2918" s="235" t="s">
        <v>22117</v>
      </c>
      <c r="I2918" s="235" t="s">
        <v>22117</v>
      </c>
      <c r="J2918" s="235" t="s">
        <v>22118</v>
      </c>
      <c r="K2918" s="235" t="s">
        <v>22119</v>
      </c>
      <c r="N2918" s="235" t="s">
        <v>127</v>
      </c>
      <c r="O2918" s="235" t="s">
        <v>794</v>
      </c>
      <c r="P2918" s="238">
        <v>1.0</v>
      </c>
      <c r="Q2918" s="235" t="s">
        <v>627</v>
      </c>
      <c r="R2918" s="238">
        <v>242.86</v>
      </c>
      <c r="S2918" s="238">
        <v>11.9</v>
      </c>
      <c r="T2918" s="238">
        <v>0.0</v>
      </c>
      <c r="U2918" s="238">
        <v>0.0</v>
      </c>
      <c r="V2918" s="238">
        <v>0.0</v>
      </c>
      <c r="W2918" s="238">
        <v>0.0</v>
      </c>
      <c r="X2918" s="235" t="s">
        <v>628</v>
      </c>
      <c r="Z2918" s="245"/>
      <c r="AA2918" s="245"/>
      <c r="AB2918" s="245"/>
      <c r="AC2918" s="235" t="s">
        <v>697</v>
      </c>
      <c r="AD2918" s="235" t="s">
        <v>698</v>
      </c>
      <c r="AE2918" s="238">
        <v>500090.0</v>
      </c>
      <c r="AF2918" s="235" t="s">
        <v>631</v>
      </c>
      <c r="AG2918" s="245"/>
      <c r="AH2918" s="245"/>
      <c r="AI2918" s="245"/>
      <c r="AJ2918" s="245"/>
      <c r="AK2918" s="245"/>
      <c r="AL2918" s="245"/>
      <c r="AM2918" s="245"/>
      <c r="AN2918" s="245"/>
      <c r="AO2918" s="238">
        <v>-4.86</v>
      </c>
      <c r="AP2918" s="238">
        <v>0.0</v>
      </c>
      <c r="AQ2918" s="235" t="s">
        <v>632</v>
      </c>
      <c r="AR2918" s="243">
        <v>2.02E11</v>
      </c>
      <c r="AS2918" s="235" t="s">
        <v>20529</v>
      </c>
      <c r="AT2918" s="235" t="s">
        <v>156</v>
      </c>
      <c r="AU2918" s="235" t="s">
        <v>634</v>
      </c>
      <c r="AV2918" s="246" t="s">
        <v>635</v>
      </c>
      <c r="AW2918" s="227"/>
      <c r="AX2918" s="227"/>
      <c r="AY2918" s="227"/>
      <c r="AZ2918" s="227"/>
      <c r="BA2918" s="227"/>
      <c r="BB2918" s="227"/>
      <c r="BC2918" s="227"/>
      <c r="BD2918" s="227"/>
      <c r="BE2918" s="227"/>
      <c r="BF2918" s="227"/>
    </row>
    <row r="2919">
      <c r="A2919" s="235" t="s">
        <v>22120</v>
      </c>
      <c r="C2919" s="235" t="s">
        <v>22121</v>
      </c>
      <c r="D2919" s="235" t="s">
        <v>22122</v>
      </c>
      <c r="E2919" s="243">
        <v>6.53E13</v>
      </c>
      <c r="F2919" s="245"/>
      <c r="G2919" s="235" t="s">
        <v>22123</v>
      </c>
      <c r="H2919" s="235" t="s">
        <v>22124</v>
      </c>
      <c r="I2919" s="235" t="s">
        <v>22125</v>
      </c>
      <c r="J2919" s="235" t="s">
        <v>22126</v>
      </c>
      <c r="K2919" s="235" t="s">
        <v>22127</v>
      </c>
      <c r="N2919" s="235" t="s">
        <v>51</v>
      </c>
      <c r="O2919" s="235" t="s">
        <v>273</v>
      </c>
      <c r="P2919" s="238">
        <v>1.0</v>
      </c>
      <c r="Q2919" s="235" t="s">
        <v>627</v>
      </c>
      <c r="R2919" s="238">
        <v>233.33</v>
      </c>
      <c r="S2919" s="238">
        <v>11.67</v>
      </c>
      <c r="T2919" s="238">
        <v>0.0</v>
      </c>
      <c r="U2919" s="238">
        <v>0.0</v>
      </c>
      <c r="V2919" s="238">
        <v>0.0</v>
      </c>
      <c r="W2919" s="238">
        <v>0.0</v>
      </c>
      <c r="X2919" s="235" t="s">
        <v>628</v>
      </c>
      <c r="Z2919" s="245"/>
      <c r="AA2919" s="245"/>
      <c r="AB2919" s="245"/>
      <c r="AC2919" s="235" t="s">
        <v>697</v>
      </c>
      <c r="AD2919" s="235" t="s">
        <v>698</v>
      </c>
      <c r="AE2919" s="238">
        <v>500090.0</v>
      </c>
      <c r="AF2919" s="235" t="s">
        <v>631</v>
      </c>
      <c r="AG2919" s="245"/>
      <c r="AH2919" s="245"/>
      <c r="AI2919" s="245"/>
      <c r="AJ2919" s="245"/>
      <c r="AK2919" s="245"/>
      <c r="AL2919" s="245"/>
      <c r="AM2919" s="245"/>
      <c r="AN2919" s="245"/>
      <c r="AO2919" s="238">
        <v>0.0</v>
      </c>
      <c r="AP2919" s="238">
        <v>0.0</v>
      </c>
      <c r="AQ2919" s="235" t="s">
        <v>632</v>
      </c>
      <c r="AR2919" s="243">
        <v>1.68E11</v>
      </c>
      <c r="AS2919" s="235" t="s">
        <v>20529</v>
      </c>
      <c r="AT2919" s="235" t="s">
        <v>156</v>
      </c>
      <c r="AU2919" s="235" t="s">
        <v>634</v>
      </c>
      <c r="AV2919" s="246" t="s">
        <v>635</v>
      </c>
      <c r="AW2919" s="227"/>
      <c r="AX2919" s="227"/>
      <c r="AY2919" s="227"/>
      <c r="AZ2919" s="227"/>
      <c r="BA2919" s="227"/>
      <c r="BB2919" s="227"/>
      <c r="BC2919" s="227"/>
      <c r="BD2919" s="227"/>
      <c r="BE2919" s="227"/>
      <c r="BF2919" s="227"/>
    </row>
    <row r="2920">
      <c r="A2920" s="235" t="s">
        <v>22128</v>
      </c>
      <c r="C2920" s="235" t="s">
        <v>22129</v>
      </c>
      <c r="D2920" s="235" t="s">
        <v>22130</v>
      </c>
      <c r="E2920" s="243">
        <v>6.53E13</v>
      </c>
      <c r="F2920" s="245"/>
      <c r="G2920" s="235" t="s">
        <v>22131</v>
      </c>
      <c r="H2920" s="235" t="s">
        <v>22132</v>
      </c>
      <c r="I2920" s="235" t="s">
        <v>22132</v>
      </c>
      <c r="J2920" s="235" t="s">
        <v>22133</v>
      </c>
      <c r="K2920" s="235" t="s">
        <v>22134</v>
      </c>
      <c r="N2920" s="235" t="s">
        <v>51</v>
      </c>
      <c r="O2920" s="235" t="s">
        <v>273</v>
      </c>
      <c r="P2920" s="238">
        <v>1.0</v>
      </c>
      <c r="Q2920" s="235" t="s">
        <v>627</v>
      </c>
      <c r="R2920" s="238">
        <v>233.33</v>
      </c>
      <c r="S2920" s="238">
        <v>11.67</v>
      </c>
      <c r="T2920" s="238">
        <v>0.0</v>
      </c>
      <c r="U2920" s="238">
        <v>0.0</v>
      </c>
      <c r="V2920" s="238">
        <v>0.0</v>
      </c>
      <c r="W2920" s="238">
        <v>0.0</v>
      </c>
      <c r="X2920" s="235" t="s">
        <v>628</v>
      </c>
      <c r="Z2920" s="245"/>
      <c r="AA2920" s="245"/>
      <c r="AB2920" s="245"/>
      <c r="AC2920" s="235" t="s">
        <v>697</v>
      </c>
      <c r="AD2920" s="235" t="s">
        <v>698</v>
      </c>
      <c r="AE2920" s="238">
        <v>500050.0</v>
      </c>
      <c r="AF2920" s="235" t="s">
        <v>631</v>
      </c>
      <c r="AG2920" s="245"/>
      <c r="AH2920" s="245"/>
      <c r="AI2920" s="245"/>
      <c r="AJ2920" s="245"/>
      <c r="AK2920" s="245"/>
      <c r="AL2920" s="245"/>
      <c r="AM2920" s="245"/>
      <c r="AN2920" s="245"/>
      <c r="AO2920" s="238">
        <v>0.0</v>
      </c>
      <c r="AP2920" s="238">
        <v>0.0</v>
      </c>
      <c r="AQ2920" s="235" t="s">
        <v>632</v>
      </c>
      <c r="AR2920" s="243">
        <v>2.02E11</v>
      </c>
      <c r="AS2920" s="235" t="s">
        <v>20529</v>
      </c>
      <c r="AT2920" s="235" t="s">
        <v>156</v>
      </c>
      <c r="AU2920" s="235" t="s">
        <v>634</v>
      </c>
      <c r="AV2920" s="246" t="s">
        <v>635</v>
      </c>
      <c r="AW2920" s="227"/>
      <c r="AX2920" s="227"/>
      <c r="AY2920" s="227"/>
      <c r="AZ2920" s="227"/>
      <c r="BA2920" s="227"/>
      <c r="BB2920" s="227"/>
      <c r="BC2920" s="227"/>
      <c r="BD2920" s="227"/>
      <c r="BE2920" s="227"/>
      <c r="BF2920" s="227"/>
    </row>
    <row r="2921">
      <c r="A2921" s="235" t="s">
        <v>22135</v>
      </c>
      <c r="C2921" s="235" t="s">
        <v>22136</v>
      </c>
      <c r="D2921" s="235" t="s">
        <v>22137</v>
      </c>
      <c r="E2921" s="243">
        <v>6.53E13</v>
      </c>
      <c r="F2921" s="245"/>
      <c r="G2921" s="235" t="s">
        <v>22138</v>
      </c>
      <c r="H2921" s="235" t="s">
        <v>22139</v>
      </c>
      <c r="I2921" s="235" t="s">
        <v>22139</v>
      </c>
      <c r="J2921" s="235" t="s">
        <v>22000</v>
      </c>
      <c r="K2921" s="235" t="s">
        <v>22140</v>
      </c>
      <c r="N2921" s="235" t="s">
        <v>42</v>
      </c>
      <c r="O2921" s="235" t="s">
        <v>204</v>
      </c>
      <c r="P2921" s="238">
        <v>1.0</v>
      </c>
      <c r="Q2921" s="235" t="s">
        <v>627</v>
      </c>
      <c r="R2921" s="238">
        <v>237.14</v>
      </c>
      <c r="S2921" s="238">
        <v>11.62</v>
      </c>
      <c r="T2921" s="238">
        <v>0.0</v>
      </c>
      <c r="U2921" s="238">
        <v>0.0</v>
      </c>
      <c r="V2921" s="238">
        <v>0.0</v>
      </c>
      <c r="W2921" s="238">
        <v>0.0</v>
      </c>
      <c r="X2921" s="235" t="s">
        <v>628</v>
      </c>
      <c r="Z2921" s="245"/>
      <c r="AA2921" s="245"/>
      <c r="AB2921" s="245"/>
      <c r="AC2921" s="235" t="s">
        <v>22141</v>
      </c>
      <c r="AD2921" s="235" t="s">
        <v>833</v>
      </c>
      <c r="AE2921" s="238">
        <v>521178.0</v>
      </c>
      <c r="AF2921" s="235" t="s">
        <v>631</v>
      </c>
      <c r="AG2921" s="245"/>
      <c r="AH2921" s="245"/>
      <c r="AI2921" s="245"/>
      <c r="AJ2921" s="245"/>
      <c r="AK2921" s="245"/>
      <c r="AL2921" s="245"/>
      <c r="AM2921" s="245"/>
      <c r="AN2921" s="245"/>
      <c r="AO2921" s="238">
        <v>-4.74</v>
      </c>
      <c r="AP2921" s="238">
        <v>0.0</v>
      </c>
      <c r="AQ2921" s="235" t="s">
        <v>632</v>
      </c>
      <c r="AR2921" s="243">
        <v>3.71E11</v>
      </c>
      <c r="AS2921" s="235" t="s">
        <v>19388</v>
      </c>
      <c r="AT2921" s="235" t="s">
        <v>156</v>
      </c>
      <c r="AU2921" s="235" t="s">
        <v>634</v>
      </c>
      <c r="AV2921" s="246" t="s">
        <v>635</v>
      </c>
      <c r="AW2921" s="227"/>
      <c r="AX2921" s="227"/>
      <c r="AY2921" s="227"/>
      <c r="AZ2921" s="227"/>
      <c r="BA2921" s="227"/>
      <c r="BB2921" s="227"/>
      <c r="BC2921" s="227"/>
      <c r="BD2921" s="227"/>
      <c r="BE2921" s="227"/>
      <c r="BF2921" s="227"/>
    </row>
    <row r="2922">
      <c r="A2922" s="235" t="s">
        <v>22142</v>
      </c>
      <c r="C2922" s="235" t="s">
        <v>22143</v>
      </c>
      <c r="D2922" s="235" t="s">
        <v>22144</v>
      </c>
      <c r="E2922" s="243">
        <v>6.53E13</v>
      </c>
      <c r="F2922" s="245"/>
      <c r="G2922" s="235" t="s">
        <v>22145</v>
      </c>
      <c r="H2922" s="235" t="s">
        <v>22146</v>
      </c>
      <c r="I2922" s="235" t="s">
        <v>22146</v>
      </c>
      <c r="J2922" s="235" t="s">
        <v>22147</v>
      </c>
      <c r="K2922" s="235" t="s">
        <v>22148</v>
      </c>
      <c r="N2922" s="235" t="s">
        <v>49</v>
      </c>
      <c r="O2922" s="235" t="s">
        <v>321</v>
      </c>
      <c r="P2922" s="238">
        <v>1.0</v>
      </c>
      <c r="Q2922" s="235" t="s">
        <v>627</v>
      </c>
      <c r="R2922" s="238">
        <v>235.24</v>
      </c>
      <c r="S2922" s="238">
        <v>11.76</v>
      </c>
      <c r="T2922" s="238">
        <v>0.0</v>
      </c>
      <c r="U2922" s="238">
        <v>0.0</v>
      </c>
      <c r="V2922" s="238">
        <v>0.0</v>
      </c>
      <c r="W2922" s="238">
        <v>0.0</v>
      </c>
      <c r="X2922" s="235" t="s">
        <v>628</v>
      </c>
      <c r="Z2922" s="245"/>
      <c r="AA2922" s="245"/>
      <c r="AB2922" s="245"/>
      <c r="AC2922" s="235" t="s">
        <v>757</v>
      </c>
      <c r="AD2922" s="235" t="s">
        <v>666</v>
      </c>
      <c r="AE2922" s="238">
        <v>625020.0</v>
      </c>
      <c r="AF2922" s="235" t="s">
        <v>631</v>
      </c>
      <c r="AG2922" s="245"/>
      <c r="AH2922" s="245"/>
      <c r="AI2922" s="245"/>
      <c r="AJ2922" s="245"/>
      <c r="AK2922" s="245"/>
      <c r="AL2922" s="245"/>
      <c r="AM2922" s="245"/>
      <c r="AN2922" s="245"/>
      <c r="AO2922" s="238">
        <v>0.0</v>
      </c>
      <c r="AP2922" s="238">
        <v>0.0</v>
      </c>
      <c r="AQ2922" s="235" t="s">
        <v>632</v>
      </c>
      <c r="AR2922" s="243">
        <v>3.71E11</v>
      </c>
      <c r="AS2922" s="235" t="s">
        <v>20529</v>
      </c>
      <c r="AT2922" s="235" t="s">
        <v>155</v>
      </c>
      <c r="AU2922" s="235" t="s">
        <v>634</v>
      </c>
      <c r="AV2922" s="246" t="s">
        <v>635</v>
      </c>
      <c r="AW2922" s="227"/>
      <c r="AX2922" s="227"/>
      <c r="AY2922" s="227"/>
      <c r="AZ2922" s="227"/>
      <c r="BA2922" s="227"/>
      <c r="BB2922" s="227"/>
      <c r="BC2922" s="227"/>
      <c r="BD2922" s="227"/>
      <c r="BE2922" s="227"/>
      <c r="BF2922" s="227"/>
    </row>
    <row r="2923">
      <c r="A2923" s="235" t="s">
        <v>22149</v>
      </c>
      <c r="C2923" s="235" t="s">
        <v>22150</v>
      </c>
      <c r="D2923" s="235" t="s">
        <v>22151</v>
      </c>
      <c r="E2923" s="243">
        <v>6.53E13</v>
      </c>
      <c r="F2923" s="245"/>
      <c r="G2923" s="235" t="s">
        <v>22152</v>
      </c>
      <c r="H2923" s="235" t="s">
        <v>22153</v>
      </c>
      <c r="I2923" s="235" t="s">
        <v>22154</v>
      </c>
      <c r="J2923" s="235" t="s">
        <v>22155</v>
      </c>
      <c r="K2923" s="235" t="s">
        <v>22156</v>
      </c>
      <c r="N2923" s="235" t="s">
        <v>47</v>
      </c>
      <c r="O2923" s="235" t="s">
        <v>270</v>
      </c>
      <c r="P2923" s="238">
        <v>1.0</v>
      </c>
      <c r="Q2923" s="235" t="s">
        <v>627</v>
      </c>
      <c r="R2923" s="238">
        <v>237.14</v>
      </c>
      <c r="S2923" s="238">
        <v>11.86</v>
      </c>
      <c r="T2923" s="238">
        <v>0.0</v>
      </c>
      <c r="U2923" s="238">
        <v>0.0</v>
      </c>
      <c r="V2923" s="238">
        <v>0.0</v>
      </c>
      <c r="W2923" s="238">
        <v>0.0</v>
      </c>
      <c r="X2923" s="235" t="s">
        <v>628</v>
      </c>
      <c r="Z2923" s="245"/>
      <c r="AA2923" s="245"/>
      <c r="AB2923" s="245"/>
      <c r="AC2923" s="235" t="s">
        <v>697</v>
      </c>
      <c r="AD2923" s="235" t="s">
        <v>698</v>
      </c>
      <c r="AE2923" s="238">
        <v>500072.0</v>
      </c>
      <c r="AF2923" s="235" t="s">
        <v>631</v>
      </c>
      <c r="AG2923" s="245"/>
      <c r="AH2923" s="245"/>
      <c r="AI2923" s="245"/>
      <c r="AJ2923" s="245"/>
      <c r="AK2923" s="245"/>
      <c r="AL2923" s="245"/>
      <c r="AM2923" s="245"/>
      <c r="AN2923" s="245"/>
      <c r="AO2923" s="238">
        <v>0.0</v>
      </c>
      <c r="AP2923" s="238">
        <v>0.0</v>
      </c>
      <c r="AQ2923" s="235" t="s">
        <v>632</v>
      </c>
      <c r="AR2923" s="243">
        <v>3.71E11</v>
      </c>
      <c r="AS2923" s="235" t="s">
        <v>19388</v>
      </c>
      <c r="AT2923" s="235" t="s">
        <v>11</v>
      </c>
      <c r="AU2923" s="235" t="s">
        <v>634</v>
      </c>
      <c r="AV2923" s="246" t="s">
        <v>635</v>
      </c>
      <c r="AW2923" s="227"/>
      <c r="AX2923" s="227"/>
      <c r="AY2923" s="227"/>
      <c r="AZ2923" s="227"/>
      <c r="BA2923" s="227"/>
      <c r="BB2923" s="227"/>
      <c r="BC2923" s="227"/>
      <c r="BD2923" s="227"/>
      <c r="BE2923" s="227"/>
      <c r="BF2923" s="227"/>
    </row>
    <row r="2924">
      <c r="A2924" s="235" t="s">
        <v>22157</v>
      </c>
      <c r="C2924" s="235" t="s">
        <v>22158</v>
      </c>
      <c r="D2924" s="235" t="s">
        <v>22159</v>
      </c>
      <c r="E2924" s="243">
        <v>6.53E13</v>
      </c>
      <c r="F2924" s="245"/>
      <c r="G2924" s="235" t="s">
        <v>22160</v>
      </c>
      <c r="H2924" s="235" t="s">
        <v>22161</v>
      </c>
      <c r="I2924" s="235" t="s">
        <v>22161</v>
      </c>
      <c r="J2924" s="235" t="s">
        <v>22162</v>
      </c>
      <c r="K2924" s="235" t="s">
        <v>22163</v>
      </c>
      <c r="N2924" s="235" t="s">
        <v>139</v>
      </c>
      <c r="O2924" s="235" t="s">
        <v>2091</v>
      </c>
      <c r="P2924" s="238">
        <v>1.0</v>
      </c>
      <c r="Q2924" s="235" t="s">
        <v>627</v>
      </c>
      <c r="R2924" s="238">
        <v>243.8</v>
      </c>
      <c r="S2924" s="238">
        <v>11.96</v>
      </c>
      <c r="T2924" s="238">
        <v>0.0</v>
      </c>
      <c r="U2924" s="238">
        <v>0.0</v>
      </c>
      <c r="V2924" s="238">
        <v>0.0</v>
      </c>
      <c r="W2924" s="238">
        <v>0.0</v>
      </c>
      <c r="X2924" s="235" t="s">
        <v>628</v>
      </c>
      <c r="Z2924" s="245"/>
      <c r="AA2924" s="245"/>
      <c r="AB2924" s="245"/>
      <c r="AC2924" s="235" t="s">
        <v>22164</v>
      </c>
      <c r="AD2924" s="235" t="s">
        <v>666</v>
      </c>
      <c r="AE2924" s="238">
        <v>603103.0</v>
      </c>
      <c r="AF2924" s="235" t="s">
        <v>631</v>
      </c>
      <c r="AG2924" s="245"/>
      <c r="AH2924" s="245"/>
      <c r="AI2924" s="245"/>
      <c r="AJ2924" s="245"/>
      <c r="AK2924" s="245"/>
      <c r="AL2924" s="245"/>
      <c r="AM2924" s="245"/>
      <c r="AN2924" s="245"/>
      <c r="AO2924" s="238">
        <v>-4.88</v>
      </c>
      <c r="AP2924" s="238">
        <v>0.0</v>
      </c>
      <c r="AQ2924" s="235" t="s">
        <v>632</v>
      </c>
      <c r="AR2924" s="243">
        <v>1.68E11</v>
      </c>
      <c r="AS2924" s="235" t="s">
        <v>21120</v>
      </c>
      <c r="AT2924" s="235" t="s">
        <v>156</v>
      </c>
      <c r="AU2924" s="235" t="s">
        <v>634</v>
      </c>
      <c r="AV2924" s="246" t="s">
        <v>635</v>
      </c>
      <c r="AW2924" s="227"/>
      <c r="AX2924" s="227"/>
      <c r="AY2924" s="227"/>
      <c r="AZ2924" s="227"/>
      <c r="BA2924" s="227"/>
      <c r="BB2924" s="227"/>
      <c r="BC2924" s="227"/>
      <c r="BD2924" s="227"/>
      <c r="BE2924" s="227"/>
      <c r="BF2924" s="227"/>
    </row>
    <row r="2925">
      <c r="A2925" s="235" t="s">
        <v>22165</v>
      </c>
      <c r="C2925" s="235" t="s">
        <v>22166</v>
      </c>
      <c r="D2925" s="235" t="s">
        <v>22167</v>
      </c>
      <c r="E2925" s="243">
        <v>6.53E13</v>
      </c>
      <c r="F2925" s="245"/>
      <c r="G2925" s="235" t="s">
        <v>22168</v>
      </c>
      <c r="H2925" s="235" t="s">
        <v>22169</v>
      </c>
      <c r="I2925" s="235" t="s">
        <v>22169</v>
      </c>
      <c r="J2925" s="235" t="s">
        <v>22170</v>
      </c>
      <c r="K2925" s="235" t="s">
        <v>22171</v>
      </c>
      <c r="N2925" s="235" t="s">
        <v>68</v>
      </c>
      <c r="O2925" s="235" t="s">
        <v>208</v>
      </c>
      <c r="P2925" s="238">
        <v>1.0</v>
      </c>
      <c r="Q2925" s="235" t="s">
        <v>627</v>
      </c>
      <c r="R2925" s="238">
        <v>246.67</v>
      </c>
      <c r="S2925" s="238">
        <v>12.33</v>
      </c>
      <c r="T2925" s="238">
        <v>0.0</v>
      </c>
      <c r="U2925" s="238">
        <v>0.0</v>
      </c>
      <c r="V2925" s="238">
        <v>0.0</v>
      </c>
      <c r="W2925" s="238">
        <v>0.0</v>
      </c>
      <c r="X2925" s="235" t="s">
        <v>628</v>
      </c>
      <c r="Z2925" s="245"/>
      <c r="AA2925" s="245"/>
      <c r="AB2925" s="245"/>
      <c r="AC2925" s="235" t="s">
        <v>2325</v>
      </c>
      <c r="AD2925" s="235" t="s">
        <v>645</v>
      </c>
      <c r="AE2925" s="238">
        <v>682028.0</v>
      </c>
      <c r="AF2925" s="235" t="s">
        <v>631</v>
      </c>
      <c r="AG2925" s="245"/>
      <c r="AH2925" s="245"/>
      <c r="AI2925" s="245"/>
      <c r="AJ2925" s="245"/>
      <c r="AK2925" s="245"/>
      <c r="AL2925" s="245"/>
      <c r="AM2925" s="245"/>
      <c r="AN2925" s="245"/>
      <c r="AO2925" s="238">
        <v>0.0</v>
      </c>
      <c r="AP2925" s="238">
        <v>0.0</v>
      </c>
      <c r="AQ2925" s="235" t="s">
        <v>632</v>
      </c>
      <c r="AR2925" s="243">
        <v>3.71E11</v>
      </c>
      <c r="AS2925" s="235" t="s">
        <v>20529</v>
      </c>
      <c r="AT2925" s="235" t="s">
        <v>155</v>
      </c>
      <c r="AU2925" s="235" t="s">
        <v>634</v>
      </c>
      <c r="AV2925" s="246" t="s">
        <v>635</v>
      </c>
      <c r="AW2925" s="227"/>
      <c r="AX2925" s="227"/>
      <c r="AY2925" s="227"/>
      <c r="AZ2925" s="227"/>
      <c r="BA2925" s="227"/>
      <c r="BB2925" s="227"/>
      <c r="BC2925" s="227"/>
      <c r="BD2925" s="227"/>
      <c r="BE2925" s="227"/>
      <c r="BF2925" s="227"/>
    </row>
    <row r="2926">
      <c r="A2926" s="235" t="s">
        <v>22172</v>
      </c>
      <c r="C2926" s="235" t="s">
        <v>22173</v>
      </c>
      <c r="D2926" s="235" t="s">
        <v>22174</v>
      </c>
      <c r="E2926" s="243">
        <v>6.52E13</v>
      </c>
      <c r="F2926" s="245"/>
      <c r="G2926" s="235" t="s">
        <v>22175</v>
      </c>
      <c r="H2926" s="235" t="s">
        <v>22176</v>
      </c>
      <c r="I2926" s="235" t="s">
        <v>22176</v>
      </c>
      <c r="J2926" s="235" t="s">
        <v>22177</v>
      </c>
      <c r="K2926" s="235" t="s">
        <v>22178</v>
      </c>
      <c r="N2926" s="235" t="s">
        <v>842</v>
      </c>
      <c r="O2926" s="235" t="s">
        <v>843</v>
      </c>
      <c r="P2926" s="238">
        <v>1.0</v>
      </c>
      <c r="Q2926" s="235" t="s">
        <v>627</v>
      </c>
      <c r="R2926" s="238">
        <v>237.14</v>
      </c>
      <c r="S2926" s="238">
        <v>11.86</v>
      </c>
      <c r="T2926" s="238">
        <v>0.0</v>
      </c>
      <c r="U2926" s="238">
        <v>0.0</v>
      </c>
      <c r="V2926" s="238">
        <v>0.0</v>
      </c>
      <c r="W2926" s="238">
        <v>0.0</v>
      </c>
      <c r="X2926" s="235" t="s">
        <v>628</v>
      </c>
      <c r="Z2926" s="245"/>
      <c r="AA2926" s="245"/>
      <c r="AB2926" s="245"/>
      <c r="AC2926" s="235" t="s">
        <v>2092</v>
      </c>
      <c r="AD2926" s="235" t="s">
        <v>845</v>
      </c>
      <c r="AE2926" s="238">
        <v>412101.0</v>
      </c>
      <c r="AF2926" s="235" t="s">
        <v>631</v>
      </c>
      <c r="AG2926" s="245"/>
      <c r="AH2926" s="245"/>
      <c r="AI2926" s="245"/>
      <c r="AJ2926" s="245"/>
      <c r="AK2926" s="245"/>
      <c r="AL2926" s="245"/>
      <c r="AM2926" s="245"/>
      <c r="AN2926" s="245"/>
      <c r="AO2926" s="238">
        <v>0.0</v>
      </c>
      <c r="AP2926" s="238">
        <v>0.0</v>
      </c>
      <c r="AQ2926" s="235" t="s">
        <v>632</v>
      </c>
      <c r="AR2926" s="243">
        <v>3.71E11</v>
      </c>
      <c r="AS2926" s="235" t="s">
        <v>17988</v>
      </c>
      <c r="AT2926" s="235" t="s">
        <v>546</v>
      </c>
      <c r="AU2926" s="235" t="s">
        <v>634</v>
      </c>
      <c r="AV2926" s="246" t="s">
        <v>635</v>
      </c>
      <c r="AW2926" s="227"/>
      <c r="AX2926" s="227"/>
      <c r="AY2926" s="227"/>
      <c r="AZ2926" s="227"/>
      <c r="BA2926" s="227"/>
      <c r="BB2926" s="227"/>
      <c r="BC2926" s="227"/>
      <c r="BD2926" s="227"/>
      <c r="BE2926" s="227"/>
      <c r="BF2926" s="227"/>
    </row>
    <row r="2927">
      <c r="A2927" s="235" t="s">
        <v>22179</v>
      </c>
      <c r="C2927" s="235" t="s">
        <v>22180</v>
      </c>
      <c r="D2927" s="235" t="s">
        <v>22181</v>
      </c>
      <c r="E2927" s="243">
        <v>6.53E13</v>
      </c>
      <c r="F2927" s="245"/>
      <c r="G2927" s="235" t="s">
        <v>22182</v>
      </c>
      <c r="H2927" s="235" t="s">
        <v>22183</v>
      </c>
      <c r="I2927" s="235" t="s">
        <v>22183</v>
      </c>
      <c r="J2927" s="235" t="s">
        <v>22184</v>
      </c>
      <c r="K2927" s="235" t="s">
        <v>22185</v>
      </c>
      <c r="N2927" s="235" t="s">
        <v>148</v>
      </c>
      <c r="O2927" s="235" t="s">
        <v>1006</v>
      </c>
      <c r="P2927" s="238">
        <v>1.0</v>
      </c>
      <c r="Q2927" s="235" t="s">
        <v>627</v>
      </c>
      <c r="R2927" s="238">
        <v>280.96</v>
      </c>
      <c r="S2927" s="238">
        <v>14.04</v>
      </c>
      <c r="T2927" s="238">
        <v>38.1</v>
      </c>
      <c r="U2927" s="238">
        <v>1.9</v>
      </c>
      <c r="V2927" s="238">
        <v>0.0</v>
      </c>
      <c r="W2927" s="238">
        <v>0.0</v>
      </c>
      <c r="X2927" s="235" t="s">
        <v>628</v>
      </c>
      <c r="Z2927" s="245"/>
      <c r="AA2927" s="245"/>
      <c r="AB2927" s="245"/>
      <c r="AC2927" s="235" t="s">
        <v>22186</v>
      </c>
      <c r="AD2927" s="235" t="s">
        <v>666</v>
      </c>
      <c r="AE2927" s="238">
        <v>607105.0</v>
      </c>
      <c r="AF2927" s="235" t="s">
        <v>631</v>
      </c>
      <c r="AG2927" s="245"/>
      <c r="AH2927" s="245"/>
      <c r="AI2927" s="245"/>
      <c r="AJ2927" s="245"/>
      <c r="AK2927" s="245"/>
      <c r="AL2927" s="245"/>
      <c r="AM2927" s="245"/>
      <c r="AN2927" s="245"/>
      <c r="AO2927" s="238">
        <v>0.0</v>
      </c>
      <c r="AP2927" s="238">
        <v>-38.1</v>
      </c>
      <c r="AQ2927" s="235" t="s">
        <v>632</v>
      </c>
      <c r="AR2927" s="243">
        <v>3.71E11</v>
      </c>
      <c r="AS2927" s="235" t="s">
        <v>20529</v>
      </c>
      <c r="AT2927" s="235" t="s">
        <v>156</v>
      </c>
      <c r="AU2927" s="235" t="s">
        <v>634</v>
      </c>
      <c r="AV2927" s="246" t="s">
        <v>635</v>
      </c>
      <c r="AW2927" s="227"/>
      <c r="AX2927" s="227"/>
      <c r="AY2927" s="227"/>
      <c r="AZ2927" s="227"/>
      <c r="BA2927" s="227"/>
      <c r="BB2927" s="227"/>
      <c r="BC2927" s="227"/>
      <c r="BD2927" s="227"/>
      <c r="BE2927" s="227"/>
      <c r="BF2927" s="227"/>
    </row>
    <row r="2928">
      <c r="A2928" s="235" t="s">
        <v>22187</v>
      </c>
      <c r="C2928" s="235" t="s">
        <v>22188</v>
      </c>
      <c r="D2928" s="235" t="s">
        <v>22189</v>
      </c>
      <c r="E2928" s="243">
        <v>6.53E13</v>
      </c>
      <c r="F2928" s="245"/>
      <c r="G2928" s="235" t="s">
        <v>22190</v>
      </c>
      <c r="H2928" s="235" t="s">
        <v>22191</v>
      </c>
      <c r="I2928" s="235" t="s">
        <v>22192</v>
      </c>
      <c r="J2928" s="235" t="s">
        <v>22193</v>
      </c>
      <c r="K2928" s="235" t="s">
        <v>22194</v>
      </c>
      <c r="N2928" s="235" t="s">
        <v>138</v>
      </c>
      <c r="O2928" s="235" t="s">
        <v>675</v>
      </c>
      <c r="P2928" s="238">
        <v>1.0</v>
      </c>
      <c r="Q2928" s="235" t="s">
        <v>627</v>
      </c>
      <c r="R2928" s="238">
        <v>243.81</v>
      </c>
      <c r="S2928" s="238">
        <v>12.19</v>
      </c>
      <c r="T2928" s="238">
        <v>0.0</v>
      </c>
      <c r="U2928" s="238">
        <v>0.0</v>
      </c>
      <c r="V2928" s="238">
        <v>0.0</v>
      </c>
      <c r="W2928" s="238">
        <v>0.0</v>
      </c>
      <c r="X2928" s="235" t="s">
        <v>628</v>
      </c>
      <c r="Z2928" s="245"/>
      <c r="AA2928" s="245"/>
      <c r="AB2928" s="245"/>
      <c r="AC2928" s="235" t="s">
        <v>1531</v>
      </c>
      <c r="AD2928" s="235" t="s">
        <v>1151</v>
      </c>
      <c r="AE2928" s="238">
        <v>700027.0</v>
      </c>
      <c r="AF2928" s="235" t="s">
        <v>631</v>
      </c>
      <c r="AG2928" s="245"/>
      <c r="AH2928" s="245"/>
      <c r="AI2928" s="245"/>
      <c r="AJ2928" s="245"/>
      <c r="AK2928" s="245"/>
      <c r="AL2928" s="245"/>
      <c r="AM2928" s="245"/>
      <c r="AN2928" s="245"/>
      <c r="AO2928" s="238">
        <v>0.0</v>
      </c>
      <c r="AP2928" s="238">
        <v>0.0</v>
      </c>
      <c r="AQ2928" s="235" t="s">
        <v>632</v>
      </c>
      <c r="AR2928" s="243">
        <v>2.02E11</v>
      </c>
      <c r="AS2928" s="235" t="s">
        <v>20529</v>
      </c>
      <c r="AT2928" s="235" t="s">
        <v>156</v>
      </c>
      <c r="AU2928" s="235" t="s">
        <v>634</v>
      </c>
      <c r="AV2928" s="246" t="s">
        <v>635</v>
      </c>
      <c r="AW2928" s="227"/>
      <c r="AX2928" s="227"/>
      <c r="AY2928" s="227"/>
      <c r="AZ2928" s="227"/>
      <c r="BA2928" s="227"/>
      <c r="BB2928" s="227"/>
      <c r="BC2928" s="227"/>
      <c r="BD2928" s="227"/>
      <c r="BE2928" s="227"/>
      <c r="BF2928" s="227"/>
    </row>
    <row r="2929">
      <c r="A2929" s="235" t="s">
        <v>22195</v>
      </c>
      <c r="C2929" s="235" t="s">
        <v>22196</v>
      </c>
      <c r="D2929" s="235" t="s">
        <v>22197</v>
      </c>
      <c r="E2929" s="243">
        <v>6.51E13</v>
      </c>
      <c r="F2929" s="245"/>
      <c r="G2929" s="235" t="s">
        <v>22198</v>
      </c>
      <c r="H2929" s="235" t="s">
        <v>22199</v>
      </c>
      <c r="I2929" s="235" t="s">
        <v>22199</v>
      </c>
      <c r="J2929" s="235" t="s">
        <v>22200</v>
      </c>
      <c r="K2929" s="235" t="s">
        <v>22201</v>
      </c>
      <c r="N2929" s="235" t="s">
        <v>85</v>
      </c>
      <c r="O2929" s="235" t="s">
        <v>872</v>
      </c>
      <c r="P2929" s="238">
        <v>1.0</v>
      </c>
      <c r="Q2929" s="235" t="s">
        <v>627</v>
      </c>
      <c r="R2929" s="238">
        <v>232.38</v>
      </c>
      <c r="S2929" s="238">
        <v>11.28</v>
      </c>
      <c r="T2929" s="238">
        <v>0.0</v>
      </c>
      <c r="U2929" s="238">
        <v>0.0</v>
      </c>
      <c r="V2929" s="238">
        <v>0.0</v>
      </c>
      <c r="W2929" s="238">
        <v>0.0</v>
      </c>
      <c r="X2929" s="235" t="s">
        <v>628</v>
      </c>
      <c r="Z2929" s="245"/>
      <c r="AA2929" s="245"/>
      <c r="AB2929" s="245"/>
      <c r="AC2929" s="235" t="s">
        <v>1095</v>
      </c>
      <c r="AD2929" s="235" t="s">
        <v>845</v>
      </c>
      <c r="AE2929" s="238">
        <v>410210.0</v>
      </c>
      <c r="AF2929" s="235" t="s">
        <v>631</v>
      </c>
      <c r="AG2929" s="245"/>
      <c r="AH2929" s="245"/>
      <c r="AI2929" s="245"/>
      <c r="AJ2929" s="245"/>
      <c r="AK2929" s="245"/>
      <c r="AL2929" s="245"/>
      <c r="AM2929" s="245"/>
      <c r="AN2929" s="245"/>
      <c r="AO2929" s="238">
        <v>-6.98</v>
      </c>
      <c r="AP2929" s="238">
        <v>0.0</v>
      </c>
      <c r="AQ2929" s="235" t="s">
        <v>632</v>
      </c>
      <c r="AR2929" s="243">
        <v>3.71E11</v>
      </c>
      <c r="AS2929" s="235" t="s">
        <v>20529</v>
      </c>
      <c r="AT2929" s="235" t="s">
        <v>16</v>
      </c>
      <c r="AU2929" s="235" t="s">
        <v>634</v>
      </c>
      <c r="AV2929" s="246" t="s">
        <v>635</v>
      </c>
      <c r="AW2929" s="227"/>
      <c r="AX2929" s="227"/>
      <c r="AY2929" s="227"/>
      <c r="AZ2929" s="227"/>
      <c r="BA2929" s="227"/>
      <c r="BB2929" s="227"/>
      <c r="BC2929" s="227"/>
      <c r="BD2929" s="227"/>
      <c r="BE2929" s="227"/>
      <c r="BF2929" s="227"/>
    </row>
    <row r="2930">
      <c r="A2930" s="235" t="s">
        <v>22202</v>
      </c>
      <c r="C2930" s="235" t="s">
        <v>22203</v>
      </c>
      <c r="D2930" s="235" t="s">
        <v>22204</v>
      </c>
      <c r="E2930" s="243">
        <v>6.53E13</v>
      </c>
      <c r="F2930" s="245"/>
      <c r="G2930" s="235" t="s">
        <v>22205</v>
      </c>
      <c r="H2930" s="235" t="s">
        <v>22206</v>
      </c>
      <c r="I2930" s="235" t="s">
        <v>22207</v>
      </c>
      <c r="J2930" s="235" t="s">
        <v>22208</v>
      </c>
      <c r="K2930" s="235" t="s">
        <v>22209</v>
      </c>
      <c r="N2930" s="235" t="s">
        <v>68</v>
      </c>
      <c r="O2930" s="235" t="s">
        <v>208</v>
      </c>
      <c r="P2930" s="238">
        <v>1.0</v>
      </c>
      <c r="Q2930" s="235" t="s">
        <v>627</v>
      </c>
      <c r="R2930" s="238">
        <v>246.67</v>
      </c>
      <c r="S2930" s="238">
        <v>12.33</v>
      </c>
      <c r="T2930" s="238">
        <v>0.0</v>
      </c>
      <c r="U2930" s="238">
        <v>0.0</v>
      </c>
      <c r="V2930" s="238">
        <v>0.0</v>
      </c>
      <c r="W2930" s="238">
        <v>0.0</v>
      </c>
      <c r="X2930" s="235" t="s">
        <v>628</v>
      </c>
      <c r="Z2930" s="245"/>
      <c r="AA2930" s="245"/>
      <c r="AB2930" s="245"/>
      <c r="AC2930" s="235" t="s">
        <v>2325</v>
      </c>
      <c r="AD2930" s="235" t="s">
        <v>645</v>
      </c>
      <c r="AE2930" s="238">
        <v>682017.0</v>
      </c>
      <c r="AF2930" s="235" t="s">
        <v>631</v>
      </c>
      <c r="AG2930" s="245"/>
      <c r="AH2930" s="245"/>
      <c r="AI2930" s="245"/>
      <c r="AJ2930" s="245"/>
      <c r="AK2930" s="245"/>
      <c r="AL2930" s="245"/>
      <c r="AM2930" s="245"/>
      <c r="AN2930" s="245"/>
      <c r="AO2930" s="238">
        <v>0.0</v>
      </c>
      <c r="AP2930" s="238">
        <v>0.0</v>
      </c>
      <c r="AQ2930" s="235" t="s">
        <v>632</v>
      </c>
      <c r="AR2930" s="243">
        <v>3.71E11</v>
      </c>
      <c r="AS2930" s="235" t="s">
        <v>20529</v>
      </c>
      <c r="AT2930" s="235" t="s">
        <v>155</v>
      </c>
      <c r="AU2930" s="235" t="s">
        <v>634</v>
      </c>
      <c r="AV2930" s="246" t="s">
        <v>635</v>
      </c>
      <c r="AW2930" s="227"/>
      <c r="AX2930" s="227"/>
      <c r="AY2930" s="227"/>
      <c r="AZ2930" s="227"/>
      <c r="BA2930" s="227"/>
      <c r="BB2930" s="227"/>
      <c r="BC2930" s="227"/>
      <c r="BD2930" s="227"/>
      <c r="BE2930" s="227"/>
      <c r="BF2930" s="227"/>
    </row>
    <row r="2931">
      <c r="A2931" s="235" t="s">
        <v>22210</v>
      </c>
      <c r="C2931" s="235" t="s">
        <v>22211</v>
      </c>
      <c r="D2931" s="235" t="s">
        <v>22212</v>
      </c>
      <c r="E2931" s="243">
        <v>6.53E13</v>
      </c>
      <c r="F2931" s="245"/>
      <c r="G2931" s="235" t="s">
        <v>22213</v>
      </c>
      <c r="H2931" s="235" t="s">
        <v>22214</v>
      </c>
      <c r="I2931" s="235" t="s">
        <v>22215</v>
      </c>
      <c r="J2931" s="235" t="s">
        <v>22216</v>
      </c>
      <c r="K2931" s="235" t="s">
        <v>22217</v>
      </c>
      <c r="N2931" s="235" t="s">
        <v>2163</v>
      </c>
      <c r="O2931" s="235" t="s">
        <v>2164</v>
      </c>
      <c r="P2931" s="238">
        <v>1.0</v>
      </c>
      <c r="Q2931" s="235" t="s">
        <v>627</v>
      </c>
      <c r="R2931" s="238">
        <v>246.67</v>
      </c>
      <c r="S2931" s="238">
        <v>12.08</v>
      </c>
      <c r="T2931" s="238">
        <v>0.0</v>
      </c>
      <c r="U2931" s="238">
        <v>0.0</v>
      </c>
      <c r="V2931" s="238">
        <v>0.0</v>
      </c>
      <c r="W2931" s="238">
        <v>0.0</v>
      </c>
      <c r="X2931" s="235" t="s">
        <v>628</v>
      </c>
      <c r="Z2931" s="245"/>
      <c r="AA2931" s="245"/>
      <c r="AB2931" s="245"/>
      <c r="AC2931" s="235" t="s">
        <v>22218</v>
      </c>
      <c r="AD2931" s="235" t="s">
        <v>1151</v>
      </c>
      <c r="AE2931" s="238">
        <v>700122.0</v>
      </c>
      <c r="AF2931" s="235" t="s">
        <v>631</v>
      </c>
      <c r="AG2931" s="245"/>
      <c r="AH2931" s="245"/>
      <c r="AI2931" s="245"/>
      <c r="AJ2931" s="245"/>
      <c r="AK2931" s="245"/>
      <c r="AL2931" s="245"/>
      <c r="AM2931" s="245"/>
      <c r="AN2931" s="245"/>
      <c r="AO2931" s="238">
        <v>-4.93</v>
      </c>
      <c r="AP2931" s="238">
        <v>0.0</v>
      </c>
      <c r="AQ2931" s="235" t="s">
        <v>632</v>
      </c>
      <c r="AR2931" s="243">
        <v>2.02E11</v>
      </c>
      <c r="AS2931" s="235" t="s">
        <v>20529</v>
      </c>
      <c r="AT2931" s="235" t="s">
        <v>13</v>
      </c>
      <c r="AU2931" s="235" t="s">
        <v>634</v>
      </c>
      <c r="AV2931" s="246" t="s">
        <v>635</v>
      </c>
      <c r="AW2931" s="227"/>
      <c r="AX2931" s="227"/>
      <c r="AY2931" s="227"/>
      <c r="AZ2931" s="227"/>
      <c r="BA2931" s="227"/>
      <c r="BB2931" s="227"/>
      <c r="BC2931" s="227"/>
      <c r="BD2931" s="227"/>
      <c r="BE2931" s="227"/>
      <c r="BF2931" s="227"/>
    </row>
    <row r="2932">
      <c r="A2932" s="235" t="s">
        <v>22219</v>
      </c>
      <c r="C2932" s="235" t="s">
        <v>22220</v>
      </c>
      <c r="D2932" s="235" t="s">
        <v>22221</v>
      </c>
      <c r="E2932" s="243">
        <v>6.53E13</v>
      </c>
      <c r="F2932" s="245"/>
      <c r="G2932" s="235" t="s">
        <v>22222</v>
      </c>
      <c r="H2932" s="235" t="s">
        <v>22223</v>
      </c>
      <c r="I2932" s="235" t="s">
        <v>22223</v>
      </c>
      <c r="J2932" s="235" t="s">
        <v>22224</v>
      </c>
      <c r="K2932" s="235" t="s">
        <v>22225</v>
      </c>
      <c r="N2932" s="235" t="s">
        <v>136</v>
      </c>
      <c r="O2932" s="235" t="s">
        <v>256</v>
      </c>
      <c r="P2932" s="238">
        <v>1.0</v>
      </c>
      <c r="Q2932" s="235" t="s">
        <v>627</v>
      </c>
      <c r="R2932" s="238">
        <v>244.76</v>
      </c>
      <c r="S2932" s="238">
        <v>12.24</v>
      </c>
      <c r="T2932" s="238">
        <v>0.0</v>
      </c>
      <c r="U2932" s="238">
        <v>0.0</v>
      </c>
      <c r="V2932" s="238">
        <v>0.0</v>
      </c>
      <c r="W2932" s="238">
        <v>0.0</v>
      </c>
      <c r="X2932" s="235" t="s">
        <v>628</v>
      </c>
      <c r="Z2932" s="245"/>
      <c r="AA2932" s="245"/>
      <c r="AB2932" s="245"/>
      <c r="AC2932" s="235" t="s">
        <v>832</v>
      </c>
      <c r="AD2932" s="235" t="s">
        <v>833</v>
      </c>
      <c r="AE2932" s="238">
        <v>530007.0</v>
      </c>
      <c r="AF2932" s="235" t="s">
        <v>631</v>
      </c>
      <c r="AG2932" s="245"/>
      <c r="AH2932" s="245"/>
      <c r="AI2932" s="245"/>
      <c r="AJ2932" s="245"/>
      <c r="AK2932" s="245"/>
      <c r="AL2932" s="245"/>
      <c r="AM2932" s="245"/>
      <c r="AN2932" s="245"/>
      <c r="AO2932" s="238">
        <v>0.0</v>
      </c>
      <c r="AP2932" s="238">
        <v>0.0</v>
      </c>
      <c r="AQ2932" s="235" t="s">
        <v>632</v>
      </c>
      <c r="AR2932" s="243">
        <v>3.71E11</v>
      </c>
      <c r="AS2932" s="235" t="s">
        <v>16626</v>
      </c>
      <c r="AT2932" s="235" t="s">
        <v>9</v>
      </c>
      <c r="AU2932" s="235" t="s">
        <v>634</v>
      </c>
      <c r="AV2932" s="246" t="s">
        <v>635</v>
      </c>
      <c r="AW2932" s="227"/>
      <c r="AX2932" s="227"/>
      <c r="AY2932" s="227"/>
      <c r="AZ2932" s="227"/>
      <c r="BA2932" s="227"/>
      <c r="BB2932" s="227"/>
      <c r="BC2932" s="227"/>
      <c r="BD2932" s="227"/>
      <c r="BE2932" s="227"/>
      <c r="BF2932" s="227"/>
    </row>
    <row r="2933">
      <c r="A2933" s="235" t="s">
        <v>22226</v>
      </c>
      <c r="C2933" s="235" t="s">
        <v>22227</v>
      </c>
      <c r="D2933" s="235" t="s">
        <v>22228</v>
      </c>
      <c r="E2933" s="243">
        <v>6.51E13</v>
      </c>
      <c r="F2933" s="245"/>
      <c r="G2933" s="235" t="s">
        <v>22229</v>
      </c>
      <c r="H2933" s="235" t="s">
        <v>22230</v>
      </c>
      <c r="I2933" s="235" t="s">
        <v>22230</v>
      </c>
      <c r="J2933" s="235" t="s">
        <v>22231</v>
      </c>
      <c r="K2933" s="235" t="s">
        <v>22232</v>
      </c>
      <c r="N2933" s="235" t="s">
        <v>42</v>
      </c>
      <c r="O2933" s="235" t="s">
        <v>204</v>
      </c>
      <c r="P2933" s="238">
        <v>1.0</v>
      </c>
      <c r="Q2933" s="235" t="s">
        <v>627</v>
      </c>
      <c r="R2933" s="238">
        <v>236.2</v>
      </c>
      <c r="S2933" s="238">
        <v>11.8</v>
      </c>
      <c r="T2933" s="238">
        <v>0.0</v>
      </c>
      <c r="U2933" s="238">
        <v>0.0</v>
      </c>
      <c r="V2933" s="238">
        <v>0.0</v>
      </c>
      <c r="W2933" s="238">
        <v>0.0</v>
      </c>
      <c r="X2933" s="235" t="s">
        <v>628</v>
      </c>
      <c r="Z2933" s="245"/>
      <c r="AA2933" s="245"/>
      <c r="AB2933" s="245"/>
      <c r="AC2933" s="235" t="s">
        <v>6182</v>
      </c>
      <c r="AD2933" s="235" t="s">
        <v>845</v>
      </c>
      <c r="AE2933" s="238">
        <v>401208.0</v>
      </c>
      <c r="AF2933" s="235" t="s">
        <v>631</v>
      </c>
      <c r="AG2933" s="245"/>
      <c r="AH2933" s="245"/>
      <c r="AI2933" s="245"/>
      <c r="AJ2933" s="245"/>
      <c r="AK2933" s="245"/>
      <c r="AL2933" s="245"/>
      <c r="AM2933" s="245"/>
      <c r="AN2933" s="245"/>
      <c r="AO2933" s="238">
        <v>0.0</v>
      </c>
      <c r="AP2933" s="238">
        <v>0.0</v>
      </c>
      <c r="AQ2933" s="235" t="s">
        <v>632</v>
      </c>
      <c r="AR2933" s="243">
        <v>3.71E11</v>
      </c>
      <c r="AS2933" s="235" t="s">
        <v>20529</v>
      </c>
      <c r="AT2933" s="235" t="s">
        <v>16</v>
      </c>
      <c r="AU2933" s="235" t="s">
        <v>634</v>
      </c>
      <c r="AV2933" s="246" t="s">
        <v>635</v>
      </c>
      <c r="AW2933" s="227"/>
      <c r="AX2933" s="227"/>
      <c r="AY2933" s="227"/>
      <c r="AZ2933" s="227"/>
      <c r="BA2933" s="227"/>
      <c r="BB2933" s="227"/>
      <c r="BC2933" s="227"/>
      <c r="BD2933" s="227"/>
      <c r="BE2933" s="227"/>
      <c r="BF2933" s="227"/>
    </row>
    <row r="2934">
      <c r="A2934" s="235" t="s">
        <v>22233</v>
      </c>
      <c r="C2934" s="235" t="s">
        <v>22234</v>
      </c>
      <c r="D2934" s="235" t="s">
        <v>22235</v>
      </c>
      <c r="E2934" s="243">
        <v>6.53E13</v>
      </c>
      <c r="F2934" s="245"/>
      <c r="G2934" s="235" t="s">
        <v>22236</v>
      </c>
      <c r="H2934" s="235" t="s">
        <v>22237</v>
      </c>
      <c r="I2934" s="235" t="s">
        <v>22237</v>
      </c>
      <c r="J2934" s="235" t="s">
        <v>22238</v>
      </c>
      <c r="K2934" s="235" t="s">
        <v>22239</v>
      </c>
      <c r="N2934" s="235" t="s">
        <v>42</v>
      </c>
      <c r="O2934" s="235" t="s">
        <v>204</v>
      </c>
      <c r="P2934" s="238">
        <v>1.0</v>
      </c>
      <c r="Q2934" s="235" t="s">
        <v>627</v>
      </c>
      <c r="R2934" s="238">
        <v>237.14</v>
      </c>
      <c r="S2934" s="238">
        <v>11.86</v>
      </c>
      <c r="T2934" s="238">
        <v>0.0</v>
      </c>
      <c r="U2934" s="238">
        <v>0.0</v>
      </c>
      <c r="V2934" s="238">
        <v>0.0</v>
      </c>
      <c r="W2934" s="238">
        <v>0.0</v>
      </c>
      <c r="X2934" s="235" t="s">
        <v>628</v>
      </c>
      <c r="Z2934" s="245"/>
      <c r="AA2934" s="245"/>
      <c r="AB2934" s="245"/>
      <c r="AC2934" s="235" t="s">
        <v>697</v>
      </c>
      <c r="AD2934" s="235" t="s">
        <v>698</v>
      </c>
      <c r="AE2934" s="238">
        <v>500090.0</v>
      </c>
      <c r="AF2934" s="235" t="s">
        <v>631</v>
      </c>
      <c r="AG2934" s="245"/>
      <c r="AH2934" s="245"/>
      <c r="AI2934" s="245"/>
      <c r="AJ2934" s="245"/>
      <c r="AK2934" s="245"/>
      <c r="AL2934" s="245"/>
      <c r="AM2934" s="245"/>
      <c r="AN2934" s="245"/>
      <c r="AO2934" s="238">
        <v>0.0</v>
      </c>
      <c r="AP2934" s="238">
        <v>0.0</v>
      </c>
      <c r="AQ2934" s="235" t="s">
        <v>632</v>
      </c>
      <c r="AR2934" s="243">
        <v>2.02E11</v>
      </c>
      <c r="AS2934" s="235" t="s">
        <v>20529</v>
      </c>
      <c r="AT2934" s="235" t="s">
        <v>5</v>
      </c>
      <c r="AU2934" s="235" t="s">
        <v>634</v>
      </c>
      <c r="AV2934" s="246" t="s">
        <v>635</v>
      </c>
      <c r="AW2934" s="227"/>
      <c r="AX2934" s="227"/>
      <c r="AY2934" s="227"/>
      <c r="AZ2934" s="227"/>
      <c r="BA2934" s="227"/>
      <c r="BB2934" s="227"/>
      <c r="BC2934" s="227"/>
      <c r="BD2934" s="227"/>
      <c r="BE2934" s="227"/>
      <c r="BF2934" s="227"/>
    </row>
    <row r="2935">
      <c r="A2935" s="235" t="s">
        <v>22240</v>
      </c>
      <c r="C2935" s="235" t="s">
        <v>22241</v>
      </c>
      <c r="D2935" s="235" t="s">
        <v>22242</v>
      </c>
      <c r="E2935" s="243">
        <v>6.53E13</v>
      </c>
      <c r="F2935" s="245"/>
      <c r="G2935" s="235" t="s">
        <v>22243</v>
      </c>
      <c r="H2935" s="235" t="s">
        <v>22244</v>
      </c>
      <c r="I2935" s="235" t="s">
        <v>22245</v>
      </c>
      <c r="J2935" s="235" t="s">
        <v>22246</v>
      </c>
      <c r="K2935" s="235" t="s">
        <v>22247</v>
      </c>
      <c r="N2935" s="235" t="s">
        <v>3858</v>
      </c>
      <c r="O2935" s="235" t="s">
        <v>3859</v>
      </c>
      <c r="P2935" s="238">
        <v>1.0</v>
      </c>
      <c r="Q2935" s="235" t="s">
        <v>627</v>
      </c>
      <c r="R2935" s="238">
        <v>245.71</v>
      </c>
      <c r="S2935" s="238">
        <v>12.04</v>
      </c>
      <c r="T2935" s="238">
        <v>0.0</v>
      </c>
      <c r="U2935" s="238">
        <v>0.0</v>
      </c>
      <c r="V2935" s="238">
        <v>0.0</v>
      </c>
      <c r="W2935" s="238">
        <v>0.0</v>
      </c>
      <c r="X2935" s="235" t="s">
        <v>628</v>
      </c>
      <c r="Z2935" s="245"/>
      <c r="AA2935" s="245"/>
      <c r="AB2935" s="245"/>
      <c r="AC2935" s="235" t="s">
        <v>678</v>
      </c>
      <c r="AD2935" s="235" t="s">
        <v>679</v>
      </c>
      <c r="AE2935" s="238">
        <v>560037.0</v>
      </c>
      <c r="AF2935" s="235" t="s">
        <v>631</v>
      </c>
      <c r="AG2935" s="245"/>
      <c r="AH2935" s="245"/>
      <c r="AI2935" s="245"/>
      <c r="AJ2935" s="245"/>
      <c r="AK2935" s="245"/>
      <c r="AL2935" s="245"/>
      <c r="AM2935" s="245"/>
      <c r="AN2935" s="245"/>
      <c r="AO2935" s="238">
        <v>-4.91</v>
      </c>
      <c r="AP2935" s="238">
        <v>0.0</v>
      </c>
      <c r="AQ2935" s="235" t="s">
        <v>632</v>
      </c>
      <c r="AR2935" s="243">
        <v>2.02E11</v>
      </c>
      <c r="AS2935" s="235" t="s">
        <v>20529</v>
      </c>
      <c r="AT2935" s="235" t="s">
        <v>5</v>
      </c>
      <c r="AU2935" s="235" t="s">
        <v>634</v>
      </c>
      <c r="AV2935" s="246" t="s">
        <v>635</v>
      </c>
      <c r="AW2935" s="227"/>
      <c r="AX2935" s="227"/>
      <c r="AY2935" s="227"/>
      <c r="AZ2935" s="227"/>
      <c r="BA2935" s="227"/>
      <c r="BB2935" s="227"/>
      <c r="BC2935" s="227"/>
      <c r="BD2935" s="227"/>
      <c r="BE2935" s="227"/>
      <c r="BF2935" s="227"/>
    </row>
    <row r="2936">
      <c r="A2936" s="235" t="s">
        <v>22248</v>
      </c>
      <c r="C2936" s="235" t="s">
        <v>22249</v>
      </c>
      <c r="D2936" s="235" t="s">
        <v>22250</v>
      </c>
      <c r="E2936" s="243">
        <v>6.53E13</v>
      </c>
      <c r="F2936" s="245"/>
      <c r="G2936" s="235" t="s">
        <v>22251</v>
      </c>
      <c r="H2936" s="235" t="s">
        <v>22252</v>
      </c>
      <c r="I2936" s="235" t="s">
        <v>22252</v>
      </c>
      <c r="J2936" s="235" t="s">
        <v>22253</v>
      </c>
      <c r="K2936" s="235" t="s">
        <v>22254</v>
      </c>
      <c r="N2936" s="235" t="s">
        <v>3858</v>
      </c>
      <c r="O2936" s="235" t="s">
        <v>3859</v>
      </c>
      <c r="P2936" s="238">
        <v>1.0</v>
      </c>
      <c r="Q2936" s="235" t="s">
        <v>627</v>
      </c>
      <c r="R2936" s="238">
        <v>245.71</v>
      </c>
      <c r="S2936" s="238">
        <v>12.04</v>
      </c>
      <c r="T2936" s="238">
        <v>0.0</v>
      </c>
      <c r="U2936" s="238">
        <v>0.0</v>
      </c>
      <c r="V2936" s="238">
        <v>0.0</v>
      </c>
      <c r="W2936" s="238">
        <v>0.0</v>
      </c>
      <c r="X2936" s="235" t="s">
        <v>628</v>
      </c>
      <c r="Z2936" s="245"/>
      <c r="AA2936" s="245"/>
      <c r="AB2936" s="245"/>
      <c r="AC2936" s="235" t="s">
        <v>697</v>
      </c>
      <c r="AD2936" s="235" t="s">
        <v>698</v>
      </c>
      <c r="AE2936" s="238">
        <v>500100.0</v>
      </c>
      <c r="AF2936" s="235" t="s">
        <v>631</v>
      </c>
      <c r="AG2936" s="245"/>
      <c r="AH2936" s="245"/>
      <c r="AI2936" s="245"/>
      <c r="AJ2936" s="245"/>
      <c r="AK2936" s="245"/>
      <c r="AL2936" s="245"/>
      <c r="AM2936" s="245"/>
      <c r="AN2936" s="245"/>
      <c r="AO2936" s="238">
        <v>-4.91</v>
      </c>
      <c r="AP2936" s="238">
        <v>0.0</v>
      </c>
      <c r="AQ2936" s="235" t="s">
        <v>632</v>
      </c>
      <c r="AR2936" s="243">
        <v>2.02E11</v>
      </c>
      <c r="AS2936" s="235" t="s">
        <v>20529</v>
      </c>
      <c r="AT2936" s="235" t="s">
        <v>5</v>
      </c>
      <c r="AU2936" s="235" t="s">
        <v>634</v>
      </c>
      <c r="AV2936" s="246" t="s">
        <v>635</v>
      </c>
      <c r="AW2936" s="227"/>
      <c r="AX2936" s="227"/>
      <c r="AY2936" s="227"/>
      <c r="AZ2936" s="227"/>
      <c r="BA2936" s="227"/>
      <c r="BB2936" s="227"/>
      <c r="BC2936" s="227"/>
      <c r="BD2936" s="227"/>
      <c r="BE2936" s="227"/>
      <c r="BF2936" s="227"/>
    </row>
    <row r="2937">
      <c r="A2937" s="235" t="s">
        <v>22255</v>
      </c>
      <c r="C2937" s="235" t="s">
        <v>22256</v>
      </c>
      <c r="D2937" s="235" t="s">
        <v>22257</v>
      </c>
      <c r="E2937" s="243">
        <v>6.52E13</v>
      </c>
      <c r="F2937" s="245"/>
      <c r="G2937" s="235" t="s">
        <v>22258</v>
      </c>
      <c r="H2937" s="235" t="s">
        <v>22259</v>
      </c>
      <c r="I2937" s="235" t="s">
        <v>22259</v>
      </c>
      <c r="J2937" s="235" t="s">
        <v>22260</v>
      </c>
      <c r="K2937" s="235" t="s">
        <v>22261</v>
      </c>
      <c r="N2937" s="235" t="s">
        <v>962</v>
      </c>
      <c r="O2937" s="235" t="s">
        <v>963</v>
      </c>
      <c r="P2937" s="238">
        <v>1.0</v>
      </c>
      <c r="Q2937" s="235" t="s">
        <v>627</v>
      </c>
      <c r="R2937" s="238">
        <v>237.14</v>
      </c>
      <c r="S2937" s="238">
        <v>11.86</v>
      </c>
      <c r="T2937" s="238">
        <v>38.1</v>
      </c>
      <c r="U2937" s="238">
        <v>1.9</v>
      </c>
      <c r="V2937" s="238">
        <v>0.0</v>
      </c>
      <c r="W2937" s="238">
        <v>0.0</v>
      </c>
      <c r="X2937" s="235" t="s">
        <v>628</v>
      </c>
      <c r="Z2937" s="245"/>
      <c r="AA2937" s="245"/>
      <c r="AB2937" s="245"/>
      <c r="AC2937" s="235" t="s">
        <v>795</v>
      </c>
      <c r="AD2937" s="235" t="s">
        <v>796</v>
      </c>
      <c r="AE2937" s="238">
        <v>110051.0</v>
      </c>
      <c r="AF2937" s="235" t="s">
        <v>631</v>
      </c>
      <c r="AG2937" s="245"/>
      <c r="AH2937" s="245"/>
      <c r="AI2937" s="245"/>
      <c r="AJ2937" s="245"/>
      <c r="AK2937" s="245"/>
      <c r="AL2937" s="245"/>
      <c r="AM2937" s="245"/>
      <c r="AN2937" s="245"/>
      <c r="AO2937" s="238">
        <v>0.0</v>
      </c>
      <c r="AP2937" s="238">
        <v>-38.1</v>
      </c>
      <c r="AQ2937" s="235" t="s">
        <v>632</v>
      </c>
      <c r="AR2937" s="243">
        <v>3.71E11</v>
      </c>
      <c r="AS2937" s="235" t="s">
        <v>20529</v>
      </c>
      <c r="AT2937" s="235" t="s">
        <v>14</v>
      </c>
      <c r="AU2937" s="235" t="s">
        <v>634</v>
      </c>
      <c r="AV2937" s="246" t="s">
        <v>635</v>
      </c>
      <c r="AW2937" s="227"/>
      <c r="AX2937" s="227"/>
      <c r="AY2937" s="227"/>
      <c r="AZ2937" s="227"/>
      <c r="BA2937" s="227"/>
      <c r="BB2937" s="227"/>
      <c r="BC2937" s="227"/>
      <c r="BD2937" s="227"/>
      <c r="BE2937" s="227"/>
      <c r="BF2937" s="227"/>
    </row>
    <row r="2938">
      <c r="A2938" s="235" t="s">
        <v>22262</v>
      </c>
      <c r="C2938" s="235" t="s">
        <v>22263</v>
      </c>
      <c r="D2938" s="235" t="s">
        <v>22264</v>
      </c>
      <c r="E2938" s="243">
        <v>6.53E13</v>
      </c>
      <c r="F2938" s="245"/>
      <c r="G2938" s="235" t="s">
        <v>22265</v>
      </c>
      <c r="H2938" s="235" t="s">
        <v>22266</v>
      </c>
      <c r="I2938" s="235" t="s">
        <v>22266</v>
      </c>
      <c r="J2938" s="235" t="s">
        <v>22267</v>
      </c>
      <c r="K2938" s="235" t="s">
        <v>22268</v>
      </c>
      <c r="N2938" s="235" t="s">
        <v>42</v>
      </c>
      <c r="O2938" s="235" t="s">
        <v>204</v>
      </c>
      <c r="P2938" s="238">
        <v>1.0</v>
      </c>
      <c r="Q2938" s="235" t="s">
        <v>627</v>
      </c>
      <c r="R2938" s="238">
        <v>237.14</v>
      </c>
      <c r="S2938" s="238">
        <v>11.86</v>
      </c>
      <c r="T2938" s="238">
        <v>0.0</v>
      </c>
      <c r="U2938" s="238">
        <v>0.0</v>
      </c>
      <c r="V2938" s="238">
        <v>0.0</v>
      </c>
      <c r="W2938" s="238">
        <v>0.0</v>
      </c>
      <c r="X2938" s="235" t="s">
        <v>628</v>
      </c>
      <c r="Z2938" s="245"/>
      <c r="AA2938" s="245"/>
      <c r="AB2938" s="245"/>
      <c r="AC2938" s="235" t="s">
        <v>678</v>
      </c>
      <c r="AD2938" s="235" t="s">
        <v>679</v>
      </c>
      <c r="AE2938" s="238">
        <v>560093.0</v>
      </c>
      <c r="AF2938" s="235" t="s">
        <v>631</v>
      </c>
      <c r="AG2938" s="245"/>
      <c r="AH2938" s="245"/>
      <c r="AI2938" s="245"/>
      <c r="AJ2938" s="245"/>
      <c r="AK2938" s="245"/>
      <c r="AL2938" s="245"/>
      <c r="AM2938" s="245"/>
      <c r="AN2938" s="245"/>
      <c r="AO2938" s="238">
        <v>0.0</v>
      </c>
      <c r="AP2938" s="238">
        <v>0.0</v>
      </c>
      <c r="AQ2938" s="235" t="s">
        <v>632</v>
      </c>
      <c r="AR2938" s="243">
        <v>1.68E11</v>
      </c>
      <c r="AS2938" s="235" t="s">
        <v>22269</v>
      </c>
      <c r="AT2938" s="235" t="s">
        <v>9</v>
      </c>
      <c r="AU2938" s="235" t="s">
        <v>634</v>
      </c>
      <c r="AV2938" s="246" t="s">
        <v>635</v>
      </c>
      <c r="AW2938" s="227"/>
      <c r="AX2938" s="227"/>
      <c r="AY2938" s="227"/>
      <c r="AZ2938" s="227"/>
      <c r="BA2938" s="227"/>
      <c r="BB2938" s="227"/>
      <c r="BC2938" s="227"/>
      <c r="BD2938" s="227"/>
      <c r="BE2938" s="227"/>
      <c r="BF2938" s="227"/>
    </row>
    <row r="2939">
      <c r="A2939" s="235" t="s">
        <v>22270</v>
      </c>
      <c r="C2939" s="235" t="s">
        <v>22271</v>
      </c>
      <c r="D2939" s="235" t="s">
        <v>22272</v>
      </c>
      <c r="E2939" s="243">
        <v>6.53E13</v>
      </c>
      <c r="F2939" s="245"/>
      <c r="G2939" s="235" t="s">
        <v>22273</v>
      </c>
      <c r="H2939" s="235" t="s">
        <v>22274</v>
      </c>
      <c r="I2939" s="235" t="s">
        <v>22274</v>
      </c>
      <c r="J2939" s="235" t="s">
        <v>22275</v>
      </c>
      <c r="K2939" s="235" t="s">
        <v>22276</v>
      </c>
      <c r="N2939" s="235" t="s">
        <v>51</v>
      </c>
      <c r="O2939" s="235" t="s">
        <v>273</v>
      </c>
      <c r="P2939" s="238">
        <v>1.0</v>
      </c>
      <c r="Q2939" s="235" t="s">
        <v>627</v>
      </c>
      <c r="R2939" s="238">
        <v>233.33</v>
      </c>
      <c r="S2939" s="238">
        <v>11.67</v>
      </c>
      <c r="T2939" s="238">
        <v>0.0</v>
      </c>
      <c r="U2939" s="238">
        <v>0.0</v>
      </c>
      <c r="V2939" s="238">
        <v>0.0</v>
      </c>
      <c r="W2939" s="238">
        <v>0.0</v>
      </c>
      <c r="X2939" s="235" t="s">
        <v>628</v>
      </c>
      <c r="Z2939" s="245"/>
      <c r="AA2939" s="245"/>
      <c r="AB2939" s="245"/>
      <c r="AC2939" s="235" t="s">
        <v>814</v>
      </c>
      <c r="AD2939" s="235" t="s">
        <v>698</v>
      </c>
      <c r="AE2939" s="238">
        <v>500049.0</v>
      </c>
      <c r="AF2939" s="235" t="s">
        <v>631</v>
      </c>
      <c r="AG2939" s="245"/>
      <c r="AH2939" s="245"/>
      <c r="AI2939" s="245"/>
      <c r="AJ2939" s="245"/>
      <c r="AK2939" s="245"/>
      <c r="AL2939" s="245"/>
      <c r="AM2939" s="245"/>
      <c r="AN2939" s="245"/>
      <c r="AO2939" s="238">
        <v>0.0</v>
      </c>
      <c r="AP2939" s="238">
        <v>0.0</v>
      </c>
      <c r="AQ2939" s="235" t="s">
        <v>632</v>
      </c>
      <c r="AR2939" s="243">
        <v>2.02E11</v>
      </c>
      <c r="AS2939" s="235" t="s">
        <v>20529</v>
      </c>
      <c r="AT2939" s="235" t="s">
        <v>5</v>
      </c>
      <c r="AU2939" s="235" t="s">
        <v>634</v>
      </c>
      <c r="AV2939" s="246" t="s">
        <v>635</v>
      </c>
      <c r="AW2939" s="227"/>
      <c r="AX2939" s="227"/>
      <c r="AY2939" s="227"/>
      <c r="AZ2939" s="227"/>
      <c r="BA2939" s="227"/>
      <c r="BB2939" s="227"/>
      <c r="BC2939" s="227"/>
      <c r="BD2939" s="227"/>
      <c r="BE2939" s="227"/>
      <c r="BF2939" s="227"/>
    </row>
    <row r="2940">
      <c r="A2940" s="235" t="s">
        <v>22277</v>
      </c>
      <c r="C2940" s="235" t="s">
        <v>22278</v>
      </c>
      <c r="D2940" s="235" t="s">
        <v>22279</v>
      </c>
      <c r="E2940" s="243">
        <v>6.53E13</v>
      </c>
      <c r="F2940" s="245"/>
      <c r="G2940" s="235" t="s">
        <v>22280</v>
      </c>
      <c r="H2940" s="235" t="s">
        <v>22281</v>
      </c>
      <c r="I2940" s="235" t="s">
        <v>22282</v>
      </c>
      <c r="J2940" s="235" t="s">
        <v>22283</v>
      </c>
      <c r="K2940" s="235" t="s">
        <v>22284</v>
      </c>
      <c r="N2940" s="235" t="s">
        <v>85</v>
      </c>
      <c r="O2940" s="235" t="s">
        <v>872</v>
      </c>
      <c r="P2940" s="238">
        <v>1.0</v>
      </c>
      <c r="Q2940" s="235" t="s">
        <v>627</v>
      </c>
      <c r="R2940" s="238">
        <v>242.86</v>
      </c>
      <c r="S2940" s="238">
        <v>11.9</v>
      </c>
      <c r="T2940" s="238">
        <v>0.0</v>
      </c>
      <c r="U2940" s="238">
        <v>0.0</v>
      </c>
      <c r="V2940" s="238">
        <v>0.0</v>
      </c>
      <c r="W2940" s="238">
        <v>0.0</v>
      </c>
      <c r="X2940" s="235" t="s">
        <v>628</v>
      </c>
      <c r="Z2940" s="245"/>
      <c r="AA2940" s="245"/>
      <c r="AB2940" s="245"/>
      <c r="AC2940" s="235" t="s">
        <v>1095</v>
      </c>
      <c r="AD2940" s="235" t="s">
        <v>845</v>
      </c>
      <c r="AE2940" s="238">
        <v>400706.0</v>
      </c>
      <c r="AF2940" s="235" t="s">
        <v>631</v>
      </c>
      <c r="AG2940" s="245"/>
      <c r="AH2940" s="245"/>
      <c r="AI2940" s="245"/>
      <c r="AJ2940" s="245"/>
      <c r="AK2940" s="245"/>
      <c r="AL2940" s="245"/>
      <c r="AM2940" s="245"/>
      <c r="AN2940" s="245"/>
      <c r="AO2940" s="238">
        <v>-4.86</v>
      </c>
      <c r="AP2940" s="238">
        <v>0.0</v>
      </c>
      <c r="AQ2940" s="235" t="s">
        <v>632</v>
      </c>
      <c r="AR2940" s="243">
        <v>3.71E11</v>
      </c>
      <c r="AS2940" s="235" t="s">
        <v>20529</v>
      </c>
      <c r="AT2940" s="235" t="s">
        <v>17</v>
      </c>
      <c r="AU2940" s="235" t="s">
        <v>634</v>
      </c>
      <c r="AV2940" s="246" t="s">
        <v>635</v>
      </c>
      <c r="AW2940" s="227"/>
      <c r="AX2940" s="227"/>
      <c r="AY2940" s="227"/>
      <c r="AZ2940" s="227"/>
      <c r="BA2940" s="227"/>
      <c r="BB2940" s="227"/>
      <c r="BC2940" s="227"/>
      <c r="BD2940" s="227"/>
      <c r="BE2940" s="227"/>
      <c r="BF2940" s="227"/>
    </row>
    <row r="2941">
      <c r="A2941" s="235" t="s">
        <v>22285</v>
      </c>
      <c r="C2941" s="235" t="s">
        <v>22286</v>
      </c>
      <c r="D2941" s="235" t="s">
        <v>22287</v>
      </c>
      <c r="E2941" s="243">
        <v>6.53E13</v>
      </c>
      <c r="F2941" s="245"/>
      <c r="G2941" s="235" t="s">
        <v>22288</v>
      </c>
      <c r="H2941" s="235" t="s">
        <v>22289</v>
      </c>
      <c r="I2941" s="235" t="s">
        <v>22290</v>
      </c>
      <c r="J2941" s="235" t="s">
        <v>22291</v>
      </c>
      <c r="K2941" s="235" t="s">
        <v>22292</v>
      </c>
      <c r="N2941" s="235" t="s">
        <v>127</v>
      </c>
      <c r="O2941" s="235" t="s">
        <v>794</v>
      </c>
      <c r="P2941" s="238">
        <v>1.0</v>
      </c>
      <c r="Q2941" s="235" t="s">
        <v>627</v>
      </c>
      <c r="R2941" s="238">
        <v>242.86</v>
      </c>
      <c r="S2941" s="238">
        <v>12.14</v>
      </c>
      <c r="T2941" s="238">
        <v>0.0</v>
      </c>
      <c r="U2941" s="238">
        <v>0.0</v>
      </c>
      <c r="V2941" s="238">
        <v>0.0</v>
      </c>
      <c r="W2941" s="238">
        <v>0.0</v>
      </c>
      <c r="X2941" s="235" t="s">
        <v>628</v>
      </c>
      <c r="Z2941" s="245"/>
      <c r="AA2941" s="245"/>
      <c r="AB2941" s="245"/>
      <c r="AC2941" s="235" t="s">
        <v>4397</v>
      </c>
      <c r="AD2941" s="235" t="s">
        <v>1151</v>
      </c>
      <c r="AE2941" s="238">
        <v>700055.0</v>
      </c>
      <c r="AF2941" s="235" t="s">
        <v>631</v>
      </c>
      <c r="AG2941" s="245"/>
      <c r="AH2941" s="245"/>
      <c r="AI2941" s="245"/>
      <c r="AJ2941" s="245"/>
      <c r="AK2941" s="245"/>
      <c r="AL2941" s="245"/>
      <c r="AM2941" s="245"/>
      <c r="AN2941" s="245"/>
      <c r="AO2941" s="238">
        <v>0.0</v>
      </c>
      <c r="AP2941" s="238">
        <v>0.0</v>
      </c>
      <c r="AQ2941" s="235" t="s">
        <v>632</v>
      </c>
      <c r="AR2941" s="243">
        <v>3.71E11</v>
      </c>
      <c r="AS2941" s="235" t="s">
        <v>16626</v>
      </c>
      <c r="AT2941" s="235" t="s">
        <v>13</v>
      </c>
      <c r="AU2941" s="235" t="s">
        <v>634</v>
      </c>
      <c r="AV2941" s="246" t="s">
        <v>635</v>
      </c>
      <c r="AW2941" s="227"/>
      <c r="AX2941" s="227"/>
      <c r="AY2941" s="227"/>
      <c r="AZ2941" s="227"/>
      <c r="BA2941" s="227"/>
      <c r="BB2941" s="227"/>
      <c r="BC2941" s="227"/>
      <c r="BD2941" s="227"/>
      <c r="BE2941" s="227"/>
      <c r="BF2941" s="227"/>
    </row>
    <row r="2942">
      <c r="A2942" s="235" t="s">
        <v>22293</v>
      </c>
      <c r="C2942" s="235" t="s">
        <v>22294</v>
      </c>
      <c r="D2942" s="235" t="s">
        <v>22295</v>
      </c>
      <c r="E2942" s="243">
        <v>6.53E13</v>
      </c>
      <c r="F2942" s="245"/>
      <c r="G2942" s="235" t="s">
        <v>22296</v>
      </c>
      <c r="H2942" s="235" t="s">
        <v>22297</v>
      </c>
      <c r="I2942" s="235" t="s">
        <v>22297</v>
      </c>
      <c r="J2942" s="235" t="s">
        <v>22298</v>
      </c>
      <c r="K2942" s="235" t="s">
        <v>22299</v>
      </c>
      <c r="N2942" s="235" t="s">
        <v>842</v>
      </c>
      <c r="O2942" s="235" t="s">
        <v>843</v>
      </c>
      <c r="P2942" s="238">
        <v>1.0</v>
      </c>
      <c r="Q2942" s="235" t="s">
        <v>627</v>
      </c>
      <c r="R2942" s="238">
        <v>246.67</v>
      </c>
      <c r="S2942" s="238">
        <v>12.33</v>
      </c>
      <c r="T2942" s="238">
        <v>38.1</v>
      </c>
      <c r="U2942" s="238">
        <v>1.9</v>
      </c>
      <c r="V2942" s="238">
        <v>0.0</v>
      </c>
      <c r="W2942" s="238">
        <v>0.0</v>
      </c>
      <c r="X2942" s="235" t="s">
        <v>628</v>
      </c>
      <c r="Z2942" s="245"/>
      <c r="AA2942" s="245"/>
      <c r="AB2942" s="245"/>
      <c r="AC2942" s="235" t="s">
        <v>4397</v>
      </c>
      <c r="AD2942" s="235" t="s">
        <v>1151</v>
      </c>
      <c r="AE2942" s="238">
        <v>700058.0</v>
      </c>
      <c r="AF2942" s="235" t="s">
        <v>631</v>
      </c>
      <c r="AG2942" s="245"/>
      <c r="AH2942" s="245"/>
      <c r="AI2942" s="245"/>
      <c r="AJ2942" s="245"/>
      <c r="AK2942" s="245"/>
      <c r="AL2942" s="245"/>
      <c r="AM2942" s="245"/>
      <c r="AN2942" s="245"/>
      <c r="AO2942" s="238">
        <v>0.0</v>
      </c>
      <c r="AP2942" s="238">
        <v>-38.1</v>
      </c>
      <c r="AQ2942" s="235" t="s">
        <v>632</v>
      </c>
      <c r="AR2942" s="243">
        <v>3.71E11</v>
      </c>
      <c r="AS2942" s="235" t="s">
        <v>16626</v>
      </c>
      <c r="AT2942" s="235" t="s">
        <v>13</v>
      </c>
      <c r="AU2942" s="235" t="s">
        <v>634</v>
      </c>
      <c r="AV2942" s="246" t="s">
        <v>635</v>
      </c>
      <c r="AW2942" s="227"/>
      <c r="AX2942" s="227"/>
      <c r="AY2942" s="227"/>
      <c r="AZ2942" s="227"/>
      <c r="BA2942" s="227"/>
      <c r="BB2942" s="227"/>
      <c r="BC2942" s="227"/>
      <c r="BD2942" s="227"/>
      <c r="BE2942" s="227"/>
      <c r="BF2942" s="227"/>
    </row>
    <row r="2943">
      <c r="A2943" s="235" t="s">
        <v>22300</v>
      </c>
      <c r="C2943" s="235" t="s">
        <v>22301</v>
      </c>
      <c r="D2943" s="235" t="s">
        <v>22302</v>
      </c>
      <c r="E2943" s="243">
        <v>6.53E13</v>
      </c>
      <c r="F2943" s="245"/>
      <c r="G2943" s="235" t="s">
        <v>22303</v>
      </c>
      <c r="H2943" s="235" t="s">
        <v>22304</v>
      </c>
      <c r="I2943" s="235" t="s">
        <v>22304</v>
      </c>
      <c r="J2943" s="235" t="s">
        <v>22305</v>
      </c>
      <c r="K2943" s="235" t="s">
        <v>22306</v>
      </c>
      <c r="N2943" s="235" t="s">
        <v>127</v>
      </c>
      <c r="O2943" s="235" t="s">
        <v>794</v>
      </c>
      <c r="P2943" s="238">
        <v>1.0</v>
      </c>
      <c r="Q2943" s="235" t="s">
        <v>627</v>
      </c>
      <c r="R2943" s="238">
        <v>242.86</v>
      </c>
      <c r="S2943" s="238">
        <v>11.9</v>
      </c>
      <c r="T2943" s="238">
        <v>0.0</v>
      </c>
      <c r="U2943" s="238">
        <v>0.0</v>
      </c>
      <c r="V2943" s="238">
        <v>0.0</v>
      </c>
      <c r="W2943" s="238">
        <v>0.0</v>
      </c>
      <c r="X2943" s="235" t="s">
        <v>628</v>
      </c>
      <c r="Z2943" s="245"/>
      <c r="AA2943" s="245"/>
      <c r="AB2943" s="245"/>
      <c r="AC2943" s="235" t="s">
        <v>8931</v>
      </c>
      <c r="AD2943" s="235" t="s">
        <v>1086</v>
      </c>
      <c r="AE2943" s="238">
        <v>143006.0</v>
      </c>
      <c r="AF2943" s="235" t="s">
        <v>631</v>
      </c>
      <c r="AG2943" s="245"/>
      <c r="AH2943" s="245"/>
      <c r="AI2943" s="245"/>
      <c r="AJ2943" s="245"/>
      <c r="AK2943" s="245"/>
      <c r="AL2943" s="245"/>
      <c r="AM2943" s="245"/>
      <c r="AN2943" s="245"/>
      <c r="AO2943" s="238">
        <v>-4.86</v>
      </c>
      <c r="AP2943" s="238">
        <v>0.0</v>
      </c>
      <c r="AQ2943" s="235" t="s">
        <v>632</v>
      </c>
      <c r="AR2943" s="243">
        <v>3.71E11</v>
      </c>
      <c r="AS2943" s="235" t="s">
        <v>19388</v>
      </c>
      <c r="AT2943" s="235" t="s">
        <v>533</v>
      </c>
      <c r="AU2943" s="235" t="s">
        <v>634</v>
      </c>
      <c r="AV2943" s="246" t="s">
        <v>635</v>
      </c>
      <c r="AW2943" s="227"/>
      <c r="AX2943" s="227"/>
      <c r="AY2943" s="227"/>
      <c r="AZ2943" s="227"/>
      <c r="BA2943" s="227"/>
      <c r="BB2943" s="227"/>
      <c r="BC2943" s="227"/>
      <c r="BD2943" s="227"/>
      <c r="BE2943" s="227"/>
      <c r="BF2943" s="227"/>
    </row>
    <row r="2944">
      <c r="A2944" s="235" t="s">
        <v>22307</v>
      </c>
      <c r="C2944" s="235" t="s">
        <v>22308</v>
      </c>
      <c r="D2944" s="235" t="s">
        <v>22309</v>
      </c>
      <c r="E2944" s="243">
        <v>6.53E13</v>
      </c>
      <c r="F2944" s="245"/>
      <c r="G2944" s="235" t="s">
        <v>22310</v>
      </c>
      <c r="H2944" s="235" t="s">
        <v>22311</v>
      </c>
      <c r="I2944" s="235" t="s">
        <v>22311</v>
      </c>
      <c r="J2944" s="235" t="s">
        <v>22312</v>
      </c>
      <c r="K2944" s="235" t="s">
        <v>22313</v>
      </c>
      <c r="N2944" s="235" t="s">
        <v>34</v>
      </c>
      <c r="O2944" s="235" t="s">
        <v>1050</v>
      </c>
      <c r="P2944" s="238">
        <v>1.0</v>
      </c>
      <c r="Q2944" s="235" t="s">
        <v>627</v>
      </c>
      <c r="R2944" s="238">
        <v>446.67</v>
      </c>
      <c r="S2944" s="238">
        <v>22.33</v>
      </c>
      <c r="T2944" s="238">
        <v>38.1</v>
      </c>
      <c r="U2944" s="238">
        <v>1.9</v>
      </c>
      <c r="V2944" s="238">
        <v>0.0</v>
      </c>
      <c r="W2944" s="238">
        <v>0.0</v>
      </c>
      <c r="X2944" s="235" t="s">
        <v>628</v>
      </c>
      <c r="Z2944" s="245"/>
      <c r="AA2944" s="245"/>
      <c r="AB2944" s="245"/>
      <c r="AC2944" s="235" t="s">
        <v>22314</v>
      </c>
      <c r="AD2944" s="235" t="s">
        <v>845</v>
      </c>
      <c r="AE2944" s="238">
        <v>423107.0</v>
      </c>
      <c r="AF2944" s="235" t="s">
        <v>631</v>
      </c>
      <c r="AG2944" s="245"/>
      <c r="AH2944" s="245"/>
      <c r="AI2944" s="245"/>
      <c r="AJ2944" s="245"/>
      <c r="AK2944" s="245"/>
      <c r="AL2944" s="245"/>
      <c r="AM2944" s="245"/>
      <c r="AN2944" s="245"/>
      <c r="AO2944" s="238">
        <v>0.0</v>
      </c>
      <c r="AP2944" s="238">
        <v>-38.1</v>
      </c>
      <c r="AQ2944" s="235" t="s">
        <v>632</v>
      </c>
      <c r="AR2944" s="243">
        <v>3.71E11</v>
      </c>
      <c r="AS2944" s="235" t="s">
        <v>11171</v>
      </c>
      <c r="AT2944" s="235" t="s">
        <v>11</v>
      </c>
      <c r="AU2944" s="235" t="s">
        <v>634</v>
      </c>
      <c r="AV2944" s="246" t="s">
        <v>635</v>
      </c>
      <c r="AW2944" s="227"/>
      <c r="AX2944" s="227"/>
      <c r="AY2944" s="227"/>
      <c r="AZ2944" s="227"/>
      <c r="BA2944" s="227"/>
      <c r="BB2944" s="227"/>
      <c r="BC2944" s="227"/>
      <c r="BD2944" s="227"/>
      <c r="BE2944" s="227"/>
      <c r="BF2944" s="227"/>
    </row>
    <row r="2945">
      <c r="A2945" s="235" t="s">
        <v>22315</v>
      </c>
      <c r="C2945" s="235" t="s">
        <v>22316</v>
      </c>
      <c r="D2945" s="235" t="s">
        <v>22317</v>
      </c>
      <c r="E2945" s="243">
        <v>6.53E13</v>
      </c>
      <c r="F2945" s="245"/>
      <c r="G2945" s="235" t="s">
        <v>22318</v>
      </c>
      <c r="H2945" s="235" t="s">
        <v>22319</v>
      </c>
      <c r="I2945" s="235" t="s">
        <v>22319</v>
      </c>
      <c r="J2945" s="235" t="s">
        <v>22320</v>
      </c>
      <c r="K2945" s="235" t="s">
        <v>22321</v>
      </c>
      <c r="N2945" s="235" t="s">
        <v>2848</v>
      </c>
      <c r="O2945" s="235" t="s">
        <v>2849</v>
      </c>
      <c r="P2945" s="238">
        <v>1.0</v>
      </c>
      <c r="Q2945" s="235" t="s">
        <v>627</v>
      </c>
      <c r="R2945" s="238">
        <v>242.86</v>
      </c>
      <c r="S2945" s="238">
        <v>11.9</v>
      </c>
      <c r="T2945" s="238">
        <v>0.0</v>
      </c>
      <c r="U2945" s="238">
        <v>0.0</v>
      </c>
      <c r="V2945" s="238">
        <v>0.0</v>
      </c>
      <c r="W2945" s="238">
        <v>0.0</v>
      </c>
      <c r="X2945" s="235" t="s">
        <v>628</v>
      </c>
      <c r="Z2945" s="245"/>
      <c r="AA2945" s="245"/>
      <c r="AB2945" s="245"/>
      <c r="AC2945" s="235" t="s">
        <v>22322</v>
      </c>
      <c r="AD2945" s="235" t="s">
        <v>845</v>
      </c>
      <c r="AE2945" s="238">
        <v>416801.0</v>
      </c>
      <c r="AF2945" s="235" t="s">
        <v>631</v>
      </c>
      <c r="AG2945" s="245"/>
      <c r="AH2945" s="245"/>
      <c r="AI2945" s="245"/>
      <c r="AJ2945" s="245"/>
      <c r="AK2945" s="245"/>
      <c r="AL2945" s="245"/>
      <c r="AM2945" s="245"/>
      <c r="AN2945" s="245"/>
      <c r="AO2945" s="238">
        <v>-4.86</v>
      </c>
      <c r="AP2945" s="238">
        <v>0.0</v>
      </c>
      <c r="AQ2945" s="235" t="s">
        <v>632</v>
      </c>
      <c r="AR2945" s="243">
        <v>3.71E11</v>
      </c>
      <c r="AS2945" s="235" t="s">
        <v>17988</v>
      </c>
      <c r="AT2945" s="235" t="s">
        <v>11</v>
      </c>
      <c r="AU2945" s="235" t="s">
        <v>634</v>
      </c>
      <c r="AV2945" s="246" t="s">
        <v>635</v>
      </c>
      <c r="AW2945" s="227"/>
      <c r="AX2945" s="227"/>
      <c r="AY2945" s="227"/>
      <c r="AZ2945" s="227"/>
      <c r="BA2945" s="227"/>
      <c r="BB2945" s="227"/>
      <c r="BC2945" s="227"/>
      <c r="BD2945" s="227"/>
      <c r="BE2945" s="227"/>
      <c r="BF2945" s="227"/>
    </row>
    <row r="2946">
      <c r="A2946" s="235" t="s">
        <v>22323</v>
      </c>
      <c r="C2946" s="235" t="s">
        <v>22324</v>
      </c>
      <c r="D2946" s="235" t="s">
        <v>22325</v>
      </c>
      <c r="E2946" s="243">
        <v>6.53E13</v>
      </c>
      <c r="F2946" s="245"/>
      <c r="G2946" s="235" t="s">
        <v>22326</v>
      </c>
      <c r="H2946" s="235" t="s">
        <v>22327</v>
      </c>
      <c r="I2946" s="235" t="s">
        <v>22328</v>
      </c>
      <c r="J2946" s="235" t="s">
        <v>22329</v>
      </c>
      <c r="K2946" s="235" t="s">
        <v>22330</v>
      </c>
      <c r="N2946" s="235" t="s">
        <v>130</v>
      </c>
      <c r="O2946" s="235" t="s">
        <v>707</v>
      </c>
      <c r="P2946" s="238">
        <v>1.0</v>
      </c>
      <c r="Q2946" s="235" t="s">
        <v>627</v>
      </c>
      <c r="R2946" s="238">
        <v>246.66</v>
      </c>
      <c r="S2946" s="238">
        <v>12.34</v>
      </c>
      <c r="T2946" s="238">
        <v>0.0</v>
      </c>
      <c r="U2946" s="238">
        <v>0.0</v>
      </c>
      <c r="V2946" s="238">
        <v>0.0</v>
      </c>
      <c r="W2946" s="238">
        <v>0.0</v>
      </c>
      <c r="X2946" s="235" t="s">
        <v>628</v>
      </c>
      <c r="Z2946" s="245"/>
      <c r="AA2946" s="245"/>
      <c r="AB2946" s="245"/>
      <c r="AC2946" s="235" t="s">
        <v>22331</v>
      </c>
      <c r="AD2946" s="235" t="s">
        <v>666</v>
      </c>
      <c r="AE2946" s="238">
        <v>607801.0</v>
      </c>
      <c r="AF2946" s="235" t="s">
        <v>631</v>
      </c>
      <c r="AG2946" s="245"/>
      <c r="AH2946" s="245"/>
      <c r="AI2946" s="245"/>
      <c r="AJ2946" s="245"/>
      <c r="AK2946" s="245"/>
      <c r="AL2946" s="245"/>
      <c r="AM2946" s="245"/>
      <c r="AN2946" s="245"/>
      <c r="AO2946" s="238">
        <v>0.0</v>
      </c>
      <c r="AP2946" s="238">
        <v>0.0</v>
      </c>
      <c r="AQ2946" s="235" t="s">
        <v>632</v>
      </c>
      <c r="AR2946" s="243">
        <v>1.68E11</v>
      </c>
      <c r="AS2946" s="235" t="s">
        <v>20529</v>
      </c>
      <c r="AT2946" s="235" t="s">
        <v>156</v>
      </c>
      <c r="AU2946" s="235" t="s">
        <v>634</v>
      </c>
      <c r="AV2946" s="246" t="s">
        <v>635</v>
      </c>
      <c r="AW2946" s="227"/>
      <c r="AX2946" s="227"/>
      <c r="AY2946" s="227"/>
      <c r="AZ2946" s="227"/>
      <c r="BA2946" s="227"/>
      <c r="BB2946" s="227"/>
      <c r="BC2946" s="227"/>
      <c r="BD2946" s="227"/>
      <c r="BE2946" s="227"/>
      <c r="BF2946" s="227"/>
    </row>
    <row r="2947">
      <c r="A2947" s="235" t="s">
        <v>22332</v>
      </c>
      <c r="C2947" s="235" t="s">
        <v>22333</v>
      </c>
      <c r="D2947" s="235" t="s">
        <v>22334</v>
      </c>
      <c r="E2947" s="243">
        <v>6.53E13</v>
      </c>
      <c r="F2947" s="245"/>
      <c r="G2947" s="235" t="s">
        <v>22335</v>
      </c>
      <c r="H2947" s="235" t="s">
        <v>22336</v>
      </c>
      <c r="I2947" s="235" t="s">
        <v>22336</v>
      </c>
      <c r="J2947" s="235" t="s">
        <v>22337</v>
      </c>
      <c r="K2947" s="235" t="s">
        <v>22338</v>
      </c>
      <c r="N2947" s="235" t="s">
        <v>92</v>
      </c>
      <c r="O2947" s="235" t="s">
        <v>248</v>
      </c>
      <c r="P2947" s="238">
        <v>1.0</v>
      </c>
      <c r="Q2947" s="235" t="s">
        <v>627</v>
      </c>
      <c r="R2947" s="238">
        <v>246.67</v>
      </c>
      <c r="S2947" s="238">
        <v>12.33</v>
      </c>
      <c r="T2947" s="238">
        <v>0.0</v>
      </c>
      <c r="U2947" s="238">
        <v>0.0</v>
      </c>
      <c r="V2947" s="238">
        <v>0.0</v>
      </c>
      <c r="W2947" s="238">
        <v>0.0</v>
      </c>
      <c r="X2947" s="235" t="s">
        <v>628</v>
      </c>
      <c r="Z2947" s="245"/>
      <c r="AA2947" s="245"/>
      <c r="AB2947" s="245"/>
      <c r="AC2947" s="235" t="s">
        <v>2493</v>
      </c>
      <c r="AD2947" s="235" t="s">
        <v>833</v>
      </c>
      <c r="AE2947" s="238">
        <v>520007.0</v>
      </c>
      <c r="AF2947" s="235" t="s">
        <v>631</v>
      </c>
      <c r="AG2947" s="245"/>
      <c r="AH2947" s="245"/>
      <c r="AI2947" s="245"/>
      <c r="AJ2947" s="245"/>
      <c r="AK2947" s="245"/>
      <c r="AL2947" s="245"/>
      <c r="AM2947" s="245"/>
      <c r="AN2947" s="245"/>
      <c r="AO2947" s="238">
        <v>0.0</v>
      </c>
      <c r="AP2947" s="238">
        <v>0.0</v>
      </c>
      <c r="AQ2947" s="235" t="s">
        <v>632</v>
      </c>
      <c r="AR2947" s="243">
        <v>1.68E11</v>
      </c>
      <c r="AS2947" s="235" t="s">
        <v>20529</v>
      </c>
      <c r="AT2947" s="235" t="s">
        <v>156</v>
      </c>
      <c r="AU2947" s="235" t="s">
        <v>634</v>
      </c>
      <c r="AV2947" s="246" t="s">
        <v>635</v>
      </c>
      <c r="AW2947" s="227"/>
      <c r="AX2947" s="227"/>
      <c r="AY2947" s="227"/>
      <c r="AZ2947" s="227"/>
      <c r="BA2947" s="227"/>
      <c r="BB2947" s="227"/>
      <c r="BC2947" s="227"/>
      <c r="BD2947" s="227"/>
      <c r="BE2947" s="227"/>
      <c r="BF2947" s="227"/>
    </row>
    <row r="2948">
      <c r="A2948" s="235" t="s">
        <v>22339</v>
      </c>
      <c r="C2948" s="235" t="s">
        <v>22340</v>
      </c>
      <c r="D2948" s="235" t="s">
        <v>22341</v>
      </c>
      <c r="E2948" s="243">
        <v>6.53E13</v>
      </c>
      <c r="F2948" s="245"/>
      <c r="G2948" s="235" t="s">
        <v>22342</v>
      </c>
      <c r="H2948" s="235" t="s">
        <v>22343</v>
      </c>
      <c r="I2948" s="235" t="s">
        <v>22343</v>
      </c>
      <c r="J2948" s="235" t="s">
        <v>22344</v>
      </c>
      <c r="K2948" s="235" t="s">
        <v>22345</v>
      </c>
      <c r="N2948" s="235" t="s">
        <v>58</v>
      </c>
      <c r="O2948" s="235" t="s">
        <v>349</v>
      </c>
      <c r="P2948" s="238">
        <v>1.0</v>
      </c>
      <c r="Q2948" s="235" t="s">
        <v>627</v>
      </c>
      <c r="R2948" s="238">
        <v>627.62</v>
      </c>
      <c r="S2948" s="238">
        <v>31.38</v>
      </c>
      <c r="T2948" s="238">
        <v>0.0</v>
      </c>
      <c r="U2948" s="238">
        <v>0.0</v>
      </c>
      <c r="V2948" s="238">
        <v>0.0</v>
      </c>
      <c r="W2948" s="238">
        <v>0.0</v>
      </c>
      <c r="X2948" s="235" t="s">
        <v>628</v>
      </c>
      <c r="Z2948" s="245"/>
      <c r="AA2948" s="245"/>
      <c r="AB2948" s="245"/>
      <c r="AC2948" s="235" t="s">
        <v>697</v>
      </c>
      <c r="AD2948" s="235" t="s">
        <v>698</v>
      </c>
      <c r="AE2948" s="238">
        <v>500039.0</v>
      </c>
      <c r="AF2948" s="235" t="s">
        <v>631</v>
      </c>
      <c r="AG2948" s="245"/>
      <c r="AH2948" s="245"/>
      <c r="AI2948" s="245"/>
      <c r="AJ2948" s="245"/>
      <c r="AK2948" s="245"/>
      <c r="AL2948" s="245"/>
      <c r="AM2948" s="245"/>
      <c r="AN2948" s="245"/>
      <c r="AO2948" s="238">
        <v>0.0</v>
      </c>
      <c r="AP2948" s="238">
        <v>0.0</v>
      </c>
      <c r="AQ2948" s="235" t="s">
        <v>632</v>
      </c>
      <c r="AR2948" s="243">
        <v>1.68E11</v>
      </c>
      <c r="AS2948" s="235" t="s">
        <v>20529</v>
      </c>
      <c r="AT2948" s="235" t="s">
        <v>156</v>
      </c>
      <c r="AU2948" s="235" t="s">
        <v>634</v>
      </c>
      <c r="AV2948" s="246" t="s">
        <v>635</v>
      </c>
      <c r="AW2948" s="227"/>
      <c r="AX2948" s="227"/>
      <c r="AY2948" s="227"/>
      <c r="AZ2948" s="227"/>
      <c r="BA2948" s="227"/>
      <c r="BB2948" s="227"/>
      <c r="BC2948" s="227"/>
      <c r="BD2948" s="227"/>
      <c r="BE2948" s="227"/>
      <c r="BF2948" s="227"/>
    </row>
    <row r="2949">
      <c r="A2949" s="235" t="s">
        <v>22346</v>
      </c>
      <c r="C2949" s="235" t="s">
        <v>22347</v>
      </c>
      <c r="D2949" s="235" t="s">
        <v>22348</v>
      </c>
      <c r="E2949" s="243">
        <v>6.51E13</v>
      </c>
      <c r="F2949" s="245"/>
      <c r="G2949" s="235" t="s">
        <v>22349</v>
      </c>
      <c r="H2949" s="235" t="s">
        <v>22350</v>
      </c>
      <c r="I2949" s="235" t="s">
        <v>22350</v>
      </c>
      <c r="J2949" s="235" t="s">
        <v>22351</v>
      </c>
      <c r="K2949" s="235" t="s">
        <v>22352</v>
      </c>
      <c r="N2949" s="235" t="s">
        <v>145</v>
      </c>
      <c r="O2949" s="235" t="s">
        <v>370</v>
      </c>
      <c r="P2949" s="238">
        <v>1.0</v>
      </c>
      <c r="Q2949" s="235" t="s">
        <v>627</v>
      </c>
      <c r="R2949" s="238">
        <v>1475.24</v>
      </c>
      <c r="S2949" s="238">
        <v>71.55</v>
      </c>
      <c r="T2949" s="238">
        <v>0.0</v>
      </c>
      <c r="U2949" s="238">
        <v>0.0</v>
      </c>
      <c r="V2949" s="238">
        <v>0.0</v>
      </c>
      <c r="W2949" s="238">
        <v>0.0</v>
      </c>
      <c r="X2949" s="235" t="s">
        <v>628</v>
      </c>
      <c r="Z2949" s="245"/>
      <c r="AA2949" s="245"/>
      <c r="AB2949" s="245"/>
      <c r="AC2949" s="235" t="s">
        <v>1058</v>
      </c>
      <c r="AD2949" s="235" t="s">
        <v>845</v>
      </c>
      <c r="AE2949" s="238">
        <v>400006.0</v>
      </c>
      <c r="AF2949" s="235" t="s">
        <v>631</v>
      </c>
      <c r="AG2949" s="245"/>
      <c r="AH2949" s="245"/>
      <c r="AI2949" s="245"/>
      <c r="AJ2949" s="245"/>
      <c r="AK2949" s="245"/>
      <c r="AL2949" s="245"/>
      <c r="AM2949" s="245"/>
      <c r="AN2949" s="245"/>
      <c r="AO2949" s="238">
        <v>-44.26</v>
      </c>
      <c r="AP2949" s="238">
        <v>0.0</v>
      </c>
      <c r="AQ2949" s="235" t="s">
        <v>632</v>
      </c>
      <c r="AR2949" s="243">
        <v>3.71E11</v>
      </c>
      <c r="AS2949" s="235" t="s">
        <v>20529</v>
      </c>
      <c r="AT2949" s="235" t="s">
        <v>16</v>
      </c>
      <c r="AU2949" s="235" t="s">
        <v>634</v>
      </c>
      <c r="AV2949" s="246" t="s">
        <v>635</v>
      </c>
      <c r="AW2949" s="227"/>
      <c r="AX2949" s="227"/>
      <c r="AY2949" s="227"/>
      <c r="AZ2949" s="227"/>
      <c r="BA2949" s="227"/>
      <c r="BB2949" s="227"/>
      <c r="BC2949" s="227"/>
      <c r="BD2949" s="227"/>
      <c r="BE2949" s="227"/>
      <c r="BF2949" s="227"/>
    </row>
    <row r="2950">
      <c r="A2950" s="235" t="s">
        <v>22353</v>
      </c>
      <c r="C2950" s="235" t="s">
        <v>22354</v>
      </c>
      <c r="D2950" s="235" t="s">
        <v>22355</v>
      </c>
      <c r="E2950" s="243">
        <v>6.51E13</v>
      </c>
      <c r="F2950" s="245"/>
      <c r="G2950" s="235" t="s">
        <v>22356</v>
      </c>
      <c r="H2950" s="235" t="s">
        <v>22357</v>
      </c>
      <c r="I2950" s="235" t="s">
        <v>22357</v>
      </c>
      <c r="J2950" s="235" t="s">
        <v>22358</v>
      </c>
      <c r="K2950" s="235" t="s">
        <v>22359</v>
      </c>
      <c r="N2950" s="235" t="s">
        <v>3</v>
      </c>
      <c r="O2950" s="235" t="s">
        <v>654</v>
      </c>
      <c r="P2950" s="238">
        <v>1.0</v>
      </c>
      <c r="Q2950" s="235" t="s">
        <v>627</v>
      </c>
      <c r="R2950" s="238">
        <v>247.62</v>
      </c>
      <c r="S2950" s="238">
        <v>12.01</v>
      </c>
      <c r="T2950" s="238">
        <v>0.0</v>
      </c>
      <c r="U2950" s="238">
        <v>0.0</v>
      </c>
      <c r="V2950" s="238">
        <v>0.0</v>
      </c>
      <c r="W2950" s="238">
        <v>0.0</v>
      </c>
      <c r="X2950" s="235" t="s">
        <v>628</v>
      </c>
      <c r="Z2950" s="245"/>
      <c r="AA2950" s="245"/>
      <c r="AB2950" s="245"/>
      <c r="AC2950" s="235" t="s">
        <v>1255</v>
      </c>
      <c r="AD2950" s="235" t="s">
        <v>845</v>
      </c>
      <c r="AE2950" s="238">
        <v>401107.0</v>
      </c>
      <c r="AF2950" s="235" t="s">
        <v>631</v>
      </c>
      <c r="AG2950" s="245"/>
      <c r="AH2950" s="245"/>
      <c r="AI2950" s="245"/>
      <c r="AJ2950" s="245"/>
      <c r="AK2950" s="245"/>
      <c r="AL2950" s="245"/>
      <c r="AM2950" s="245"/>
      <c r="AN2950" s="245"/>
      <c r="AO2950" s="238">
        <v>-7.43</v>
      </c>
      <c r="AP2950" s="238">
        <v>0.0</v>
      </c>
      <c r="AQ2950" s="235" t="s">
        <v>632</v>
      </c>
      <c r="AR2950" s="243">
        <v>3.71E11</v>
      </c>
      <c r="AS2950" s="235" t="s">
        <v>20529</v>
      </c>
      <c r="AT2950" s="235" t="s">
        <v>16</v>
      </c>
      <c r="AU2950" s="235" t="s">
        <v>634</v>
      </c>
      <c r="AV2950" s="246" t="s">
        <v>635</v>
      </c>
      <c r="AW2950" s="227"/>
      <c r="AX2950" s="227"/>
      <c r="AY2950" s="227"/>
      <c r="AZ2950" s="227"/>
      <c r="BA2950" s="227"/>
      <c r="BB2950" s="227"/>
      <c r="BC2950" s="227"/>
      <c r="BD2950" s="227"/>
      <c r="BE2950" s="227"/>
      <c r="BF2950" s="227"/>
    </row>
    <row r="2951">
      <c r="A2951" s="235" t="s">
        <v>22360</v>
      </c>
      <c r="C2951" s="235" t="s">
        <v>22361</v>
      </c>
      <c r="D2951" s="235" t="s">
        <v>22362</v>
      </c>
      <c r="E2951" s="243">
        <v>6.53E13</v>
      </c>
      <c r="F2951" s="245"/>
      <c r="G2951" s="235" t="s">
        <v>22363</v>
      </c>
      <c r="H2951" s="235" t="s">
        <v>22364</v>
      </c>
      <c r="I2951" s="235" t="s">
        <v>22364</v>
      </c>
      <c r="J2951" s="235" t="s">
        <v>22365</v>
      </c>
      <c r="K2951" s="235" t="s">
        <v>22366</v>
      </c>
      <c r="N2951" s="235" t="s">
        <v>154</v>
      </c>
      <c r="O2951" s="235" t="s">
        <v>766</v>
      </c>
      <c r="P2951" s="238">
        <v>1.0</v>
      </c>
      <c r="Q2951" s="235" t="s">
        <v>627</v>
      </c>
      <c r="R2951" s="238">
        <v>465.72</v>
      </c>
      <c r="S2951" s="238">
        <v>23.28</v>
      </c>
      <c r="T2951" s="238">
        <v>0.0</v>
      </c>
      <c r="U2951" s="238">
        <v>0.0</v>
      </c>
      <c r="V2951" s="238">
        <v>0.0</v>
      </c>
      <c r="W2951" s="238">
        <v>0.0</v>
      </c>
      <c r="X2951" s="235" t="s">
        <v>628</v>
      </c>
      <c r="Z2951" s="245"/>
      <c r="AA2951" s="245"/>
      <c r="AB2951" s="245"/>
      <c r="AC2951" s="235" t="s">
        <v>22367</v>
      </c>
      <c r="AD2951" s="235" t="s">
        <v>679</v>
      </c>
      <c r="AE2951" s="238">
        <v>580032.0</v>
      </c>
      <c r="AF2951" s="235" t="s">
        <v>631</v>
      </c>
      <c r="AG2951" s="245"/>
      <c r="AH2951" s="245"/>
      <c r="AI2951" s="245"/>
      <c r="AJ2951" s="245"/>
      <c r="AK2951" s="245"/>
      <c r="AL2951" s="245"/>
      <c r="AM2951" s="245"/>
      <c r="AN2951" s="245"/>
      <c r="AO2951" s="238">
        <v>0.0</v>
      </c>
      <c r="AP2951" s="238">
        <v>0.0</v>
      </c>
      <c r="AQ2951" s="235" t="s">
        <v>632</v>
      </c>
      <c r="AR2951" s="243">
        <v>1.68E11</v>
      </c>
      <c r="AS2951" s="235" t="s">
        <v>20529</v>
      </c>
      <c r="AT2951" s="235" t="s">
        <v>11</v>
      </c>
      <c r="AU2951" s="235" t="s">
        <v>634</v>
      </c>
      <c r="AV2951" s="246" t="s">
        <v>635</v>
      </c>
      <c r="AW2951" s="227"/>
      <c r="AX2951" s="227"/>
      <c r="AY2951" s="227"/>
      <c r="AZ2951" s="227"/>
      <c r="BA2951" s="227"/>
      <c r="BB2951" s="227"/>
      <c r="BC2951" s="227"/>
      <c r="BD2951" s="227"/>
      <c r="BE2951" s="227"/>
      <c r="BF2951" s="227"/>
    </row>
    <row r="2952">
      <c r="A2952" s="235" t="s">
        <v>22368</v>
      </c>
      <c r="C2952" s="235" t="s">
        <v>22369</v>
      </c>
      <c r="D2952" s="235" t="s">
        <v>22370</v>
      </c>
      <c r="E2952" s="243">
        <v>6.52E13</v>
      </c>
      <c r="F2952" s="245"/>
      <c r="G2952" s="235" t="s">
        <v>22371</v>
      </c>
      <c r="H2952" s="235" t="s">
        <v>22364</v>
      </c>
      <c r="I2952" s="235" t="s">
        <v>22364</v>
      </c>
      <c r="J2952" s="235" t="s">
        <v>22372</v>
      </c>
      <c r="K2952" s="235" t="s">
        <v>22373</v>
      </c>
      <c r="N2952" s="235" t="s">
        <v>962</v>
      </c>
      <c r="O2952" s="235" t="s">
        <v>963</v>
      </c>
      <c r="P2952" s="238">
        <v>1.0</v>
      </c>
      <c r="Q2952" s="235" t="s">
        <v>627</v>
      </c>
      <c r="R2952" s="238">
        <v>245.71</v>
      </c>
      <c r="S2952" s="238">
        <v>12.29</v>
      </c>
      <c r="T2952" s="238">
        <v>0.0</v>
      </c>
      <c r="U2952" s="238">
        <v>0.0</v>
      </c>
      <c r="V2952" s="238">
        <v>0.0</v>
      </c>
      <c r="W2952" s="238">
        <v>0.0</v>
      </c>
      <c r="X2952" s="235" t="s">
        <v>628</v>
      </c>
      <c r="Z2952" s="245"/>
      <c r="AA2952" s="245"/>
      <c r="AB2952" s="245"/>
      <c r="AC2952" s="235" t="s">
        <v>687</v>
      </c>
      <c r="AD2952" s="235" t="s">
        <v>666</v>
      </c>
      <c r="AE2952" s="238">
        <v>600077.0</v>
      </c>
      <c r="AF2952" s="235" t="s">
        <v>631</v>
      </c>
      <c r="AG2952" s="245"/>
      <c r="AH2952" s="245"/>
      <c r="AI2952" s="245"/>
      <c r="AJ2952" s="245"/>
      <c r="AK2952" s="245"/>
      <c r="AL2952" s="245"/>
      <c r="AM2952" s="245"/>
      <c r="AN2952" s="245"/>
      <c r="AO2952" s="238">
        <v>0.0</v>
      </c>
      <c r="AP2952" s="238">
        <v>0.0</v>
      </c>
      <c r="AQ2952" s="235" t="s">
        <v>632</v>
      </c>
      <c r="AR2952" s="243">
        <v>1.68E11</v>
      </c>
      <c r="AS2952" s="235" t="s">
        <v>20529</v>
      </c>
      <c r="AT2952" s="235" t="s">
        <v>9</v>
      </c>
      <c r="AU2952" s="235" t="s">
        <v>634</v>
      </c>
      <c r="AV2952" s="246" t="s">
        <v>635</v>
      </c>
      <c r="AW2952" s="227"/>
      <c r="AX2952" s="227"/>
      <c r="AY2952" s="227"/>
      <c r="AZ2952" s="227"/>
      <c r="BA2952" s="227"/>
      <c r="BB2952" s="227"/>
      <c r="BC2952" s="227"/>
      <c r="BD2952" s="227"/>
      <c r="BE2952" s="227"/>
      <c r="BF2952" s="227"/>
    </row>
    <row r="2953">
      <c r="A2953" s="235" t="s">
        <v>22374</v>
      </c>
      <c r="C2953" s="235" t="s">
        <v>22375</v>
      </c>
      <c r="D2953" s="235" t="s">
        <v>22376</v>
      </c>
      <c r="E2953" s="243">
        <v>6.53E13</v>
      </c>
      <c r="F2953" s="245"/>
      <c r="G2953" s="235" t="s">
        <v>22377</v>
      </c>
      <c r="H2953" s="235" t="s">
        <v>22378</v>
      </c>
      <c r="I2953" s="235" t="s">
        <v>22378</v>
      </c>
      <c r="J2953" s="235" t="s">
        <v>22379</v>
      </c>
      <c r="K2953" s="235" t="s">
        <v>22380</v>
      </c>
      <c r="N2953" s="235" t="s">
        <v>127</v>
      </c>
      <c r="O2953" s="235" t="s">
        <v>794</v>
      </c>
      <c r="P2953" s="238">
        <v>1.0</v>
      </c>
      <c r="Q2953" s="235" t="s">
        <v>627</v>
      </c>
      <c r="R2953" s="238">
        <v>242.86</v>
      </c>
      <c r="S2953" s="238">
        <v>12.14</v>
      </c>
      <c r="T2953" s="238">
        <v>0.0</v>
      </c>
      <c r="U2953" s="238">
        <v>0.0</v>
      </c>
      <c r="V2953" s="238">
        <v>0.0</v>
      </c>
      <c r="W2953" s="238">
        <v>0.0</v>
      </c>
      <c r="X2953" s="235" t="s">
        <v>628</v>
      </c>
      <c r="Z2953" s="245"/>
      <c r="AA2953" s="245"/>
      <c r="AB2953" s="245"/>
      <c r="AC2953" s="235" t="s">
        <v>22381</v>
      </c>
      <c r="AD2953" s="235" t="s">
        <v>917</v>
      </c>
      <c r="AE2953" s="238">
        <v>301019.0</v>
      </c>
      <c r="AF2953" s="235" t="s">
        <v>631</v>
      </c>
      <c r="AG2953" s="245"/>
      <c r="AH2953" s="245"/>
      <c r="AI2953" s="245"/>
      <c r="AJ2953" s="245"/>
      <c r="AK2953" s="245"/>
      <c r="AL2953" s="245"/>
      <c r="AM2953" s="245"/>
      <c r="AN2953" s="245"/>
      <c r="AO2953" s="238">
        <v>0.0</v>
      </c>
      <c r="AP2953" s="238">
        <v>0.0</v>
      </c>
      <c r="AQ2953" s="235" t="s">
        <v>632</v>
      </c>
      <c r="AR2953" s="243">
        <v>3.71E11</v>
      </c>
      <c r="AS2953" s="235" t="s">
        <v>20529</v>
      </c>
      <c r="AT2953" s="235" t="s">
        <v>13</v>
      </c>
      <c r="AU2953" s="235" t="s">
        <v>634</v>
      </c>
      <c r="AV2953" s="246" t="s">
        <v>635</v>
      </c>
      <c r="AW2953" s="227"/>
      <c r="AX2953" s="227"/>
      <c r="AY2953" s="227"/>
      <c r="AZ2953" s="227"/>
      <c r="BA2953" s="227"/>
      <c r="BB2953" s="227"/>
      <c r="BC2953" s="227"/>
      <c r="BD2953" s="227"/>
      <c r="BE2953" s="227"/>
      <c r="BF2953" s="227"/>
    </row>
    <row r="2954">
      <c r="A2954" s="235" t="s">
        <v>22382</v>
      </c>
      <c r="C2954" s="235" t="s">
        <v>22383</v>
      </c>
      <c r="D2954" s="235" t="s">
        <v>22384</v>
      </c>
      <c r="E2954" s="243">
        <v>6.53E13</v>
      </c>
      <c r="F2954" s="245"/>
      <c r="G2954" s="235" t="s">
        <v>22385</v>
      </c>
      <c r="H2954" s="235" t="s">
        <v>22386</v>
      </c>
      <c r="I2954" s="235" t="s">
        <v>22386</v>
      </c>
      <c r="J2954" s="235" t="s">
        <v>22387</v>
      </c>
      <c r="K2954" s="235" t="s">
        <v>22388</v>
      </c>
      <c r="N2954" s="235" t="s">
        <v>154</v>
      </c>
      <c r="O2954" s="235" t="s">
        <v>766</v>
      </c>
      <c r="P2954" s="238">
        <v>1.0</v>
      </c>
      <c r="Q2954" s="235" t="s">
        <v>627</v>
      </c>
      <c r="R2954" s="238">
        <v>465.72</v>
      </c>
      <c r="S2954" s="238">
        <v>23.28</v>
      </c>
      <c r="T2954" s="238">
        <v>0.0</v>
      </c>
      <c r="U2954" s="238">
        <v>0.0</v>
      </c>
      <c r="V2954" s="238">
        <v>0.0</v>
      </c>
      <c r="W2954" s="238">
        <v>0.0</v>
      </c>
      <c r="X2954" s="235" t="s">
        <v>628</v>
      </c>
      <c r="Z2954" s="245"/>
      <c r="AA2954" s="245"/>
      <c r="AB2954" s="245"/>
      <c r="AC2954" s="235" t="s">
        <v>22389</v>
      </c>
      <c r="AD2954" s="235" t="s">
        <v>679</v>
      </c>
      <c r="AE2954" s="238">
        <v>571237.0</v>
      </c>
      <c r="AF2954" s="235" t="s">
        <v>631</v>
      </c>
      <c r="AG2954" s="245"/>
      <c r="AH2954" s="245"/>
      <c r="AI2954" s="245"/>
      <c r="AJ2954" s="245"/>
      <c r="AK2954" s="245"/>
      <c r="AL2954" s="245"/>
      <c r="AM2954" s="245"/>
      <c r="AN2954" s="245"/>
      <c r="AO2954" s="238">
        <v>0.0</v>
      </c>
      <c r="AP2954" s="238">
        <v>0.0</v>
      </c>
      <c r="AQ2954" s="235" t="s">
        <v>632</v>
      </c>
      <c r="AR2954" s="243">
        <v>3.71E11</v>
      </c>
      <c r="AS2954" s="235" t="s">
        <v>17988</v>
      </c>
      <c r="AT2954" s="235" t="s">
        <v>9</v>
      </c>
      <c r="AU2954" s="235" t="s">
        <v>634</v>
      </c>
      <c r="AV2954" s="246" t="s">
        <v>635</v>
      </c>
      <c r="AW2954" s="227"/>
      <c r="AX2954" s="227"/>
      <c r="AY2954" s="227"/>
      <c r="AZ2954" s="227"/>
      <c r="BA2954" s="227"/>
      <c r="BB2954" s="227"/>
      <c r="BC2954" s="227"/>
      <c r="BD2954" s="227"/>
      <c r="BE2954" s="227"/>
      <c r="BF2954" s="227"/>
    </row>
    <row r="2955">
      <c r="A2955" s="235" t="s">
        <v>22390</v>
      </c>
      <c r="C2955" s="235" t="s">
        <v>22391</v>
      </c>
      <c r="D2955" s="235" t="s">
        <v>22392</v>
      </c>
      <c r="E2955" s="243">
        <v>6.53E13</v>
      </c>
      <c r="F2955" s="245"/>
      <c r="G2955" s="235" t="s">
        <v>22393</v>
      </c>
      <c r="H2955" s="235" t="s">
        <v>22394</v>
      </c>
      <c r="I2955" s="235" t="s">
        <v>22394</v>
      </c>
      <c r="J2955" s="235" t="s">
        <v>22395</v>
      </c>
      <c r="K2955" s="235" t="s">
        <v>22396</v>
      </c>
      <c r="N2955" s="235" t="s">
        <v>3467</v>
      </c>
      <c r="O2955" s="235" t="s">
        <v>3468</v>
      </c>
      <c r="P2955" s="238">
        <v>1.0</v>
      </c>
      <c r="Q2955" s="235" t="s">
        <v>627</v>
      </c>
      <c r="R2955" s="238">
        <v>246.67</v>
      </c>
      <c r="S2955" s="238">
        <v>12.33</v>
      </c>
      <c r="T2955" s="238">
        <v>0.0</v>
      </c>
      <c r="U2955" s="238">
        <v>0.0</v>
      </c>
      <c r="V2955" s="238">
        <v>0.0</v>
      </c>
      <c r="W2955" s="238">
        <v>0.0</v>
      </c>
      <c r="X2955" s="235" t="s">
        <v>628</v>
      </c>
      <c r="Z2955" s="245"/>
      <c r="AA2955" s="245"/>
      <c r="AB2955" s="245"/>
      <c r="AC2955" s="235" t="s">
        <v>22397</v>
      </c>
      <c r="AD2955" s="235" t="s">
        <v>645</v>
      </c>
      <c r="AE2955" s="238">
        <v>670501.0</v>
      </c>
      <c r="AF2955" s="235" t="s">
        <v>631</v>
      </c>
      <c r="AG2955" s="245"/>
      <c r="AH2955" s="245"/>
      <c r="AI2955" s="245"/>
      <c r="AJ2955" s="245"/>
      <c r="AK2955" s="245"/>
      <c r="AL2955" s="245"/>
      <c r="AM2955" s="245"/>
      <c r="AN2955" s="245"/>
      <c r="AO2955" s="238">
        <v>0.0</v>
      </c>
      <c r="AP2955" s="238">
        <v>0.0</v>
      </c>
      <c r="AQ2955" s="235" t="s">
        <v>632</v>
      </c>
      <c r="AR2955" s="243">
        <v>3.71E11</v>
      </c>
      <c r="AS2955" s="235" t="s">
        <v>20529</v>
      </c>
      <c r="AT2955" s="235" t="s">
        <v>155</v>
      </c>
      <c r="AU2955" s="235" t="s">
        <v>634</v>
      </c>
      <c r="AV2955" s="246" t="s">
        <v>635</v>
      </c>
      <c r="AW2955" s="227"/>
      <c r="AX2955" s="227"/>
      <c r="AY2955" s="227"/>
      <c r="AZ2955" s="227"/>
      <c r="BA2955" s="227"/>
      <c r="BB2955" s="227"/>
      <c r="BC2955" s="227"/>
      <c r="BD2955" s="227"/>
      <c r="BE2955" s="227"/>
      <c r="BF2955" s="227"/>
    </row>
    <row r="2956">
      <c r="A2956" s="235" t="s">
        <v>22398</v>
      </c>
      <c r="C2956" s="235" t="s">
        <v>22399</v>
      </c>
      <c r="D2956" s="235" t="s">
        <v>22400</v>
      </c>
      <c r="E2956" s="243">
        <v>6.52E13</v>
      </c>
      <c r="F2956" s="245"/>
      <c r="G2956" s="235" t="s">
        <v>22401</v>
      </c>
      <c r="H2956" s="235" t="s">
        <v>22402</v>
      </c>
      <c r="I2956" s="235" t="s">
        <v>22403</v>
      </c>
      <c r="J2956" s="235" t="s">
        <v>22404</v>
      </c>
      <c r="K2956" s="235" t="s">
        <v>22405</v>
      </c>
      <c r="N2956" s="235" t="s">
        <v>90</v>
      </c>
      <c r="O2956" s="235" t="s">
        <v>279</v>
      </c>
      <c r="P2956" s="238">
        <v>1.0</v>
      </c>
      <c r="Q2956" s="235" t="s">
        <v>627</v>
      </c>
      <c r="R2956" s="238">
        <v>246.66</v>
      </c>
      <c r="S2956" s="238">
        <v>12.34</v>
      </c>
      <c r="T2956" s="238">
        <v>0.0</v>
      </c>
      <c r="U2956" s="238">
        <v>0.0</v>
      </c>
      <c r="V2956" s="238">
        <v>0.0</v>
      </c>
      <c r="W2956" s="238">
        <v>0.0</v>
      </c>
      <c r="X2956" s="235" t="s">
        <v>628</v>
      </c>
      <c r="Z2956" s="245"/>
      <c r="AA2956" s="245"/>
      <c r="AB2956" s="245"/>
      <c r="AC2956" s="235" t="s">
        <v>1095</v>
      </c>
      <c r="AD2956" s="235" t="s">
        <v>845</v>
      </c>
      <c r="AE2956" s="238">
        <v>400706.0</v>
      </c>
      <c r="AF2956" s="235" t="s">
        <v>631</v>
      </c>
      <c r="AG2956" s="245"/>
      <c r="AH2956" s="245"/>
      <c r="AI2956" s="245"/>
      <c r="AJ2956" s="245"/>
      <c r="AK2956" s="245"/>
      <c r="AL2956" s="245"/>
      <c r="AM2956" s="245"/>
      <c r="AN2956" s="245"/>
      <c r="AO2956" s="238">
        <v>0.0</v>
      </c>
      <c r="AP2956" s="238">
        <v>0.0</v>
      </c>
      <c r="AQ2956" s="235" t="s">
        <v>632</v>
      </c>
      <c r="AR2956" s="243">
        <v>3.71E11</v>
      </c>
      <c r="AS2956" s="235" t="s">
        <v>20529</v>
      </c>
      <c r="AT2956" s="235" t="s">
        <v>17</v>
      </c>
      <c r="AU2956" s="235" t="s">
        <v>634</v>
      </c>
      <c r="AV2956" s="246" t="s">
        <v>635</v>
      </c>
      <c r="AW2956" s="227"/>
      <c r="AX2956" s="227"/>
      <c r="AY2956" s="227"/>
      <c r="AZ2956" s="227"/>
      <c r="BA2956" s="227"/>
      <c r="BB2956" s="227"/>
      <c r="BC2956" s="227"/>
      <c r="BD2956" s="227"/>
      <c r="BE2956" s="227"/>
      <c r="BF2956" s="227"/>
    </row>
    <row r="2957">
      <c r="A2957" s="235" t="s">
        <v>22406</v>
      </c>
      <c r="C2957" s="235" t="s">
        <v>22407</v>
      </c>
      <c r="D2957" s="235" t="s">
        <v>22408</v>
      </c>
      <c r="E2957" s="243">
        <v>6.53E13</v>
      </c>
      <c r="F2957" s="245"/>
      <c r="G2957" s="235" t="s">
        <v>22409</v>
      </c>
      <c r="H2957" s="235" t="s">
        <v>22410</v>
      </c>
      <c r="I2957" s="235" t="s">
        <v>22410</v>
      </c>
      <c r="J2957" s="235" t="s">
        <v>22411</v>
      </c>
      <c r="K2957" s="235" t="s">
        <v>22412</v>
      </c>
      <c r="N2957" s="235" t="s">
        <v>127</v>
      </c>
      <c r="O2957" s="235" t="s">
        <v>794</v>
      </c>
      <c r="P2957" s="238">
        <v>1.0</v>
      </c>
      <c r="Q2957" s="235" t="s">
        <v>627</v>
      </c>
      <c r="R2957" s="238">
        <v>242.86</v>
      </c>
      <c r="S2957" s="238">
        <v>12.14</v>
      </c>
      <c r="T2957" s="238">
        <v>38.1</v>
      </c>
      <c r="U2957" s="238">
        <v>1.9</v>
      </c>
      <c r="V2957" s="238">
        <v>0.0</v>
      </c>
      <c r="W2957" s="238">
        <v>0.0</v>
      </c>
      <c r="X2957" s="235" t="s">
        <v>628</v>
      </c>
      <c r="Z2957" s="245"/>
      <c r="AA2957" s="245"/>
      <c r="AB2957" s="245"/>
      <c r="AC2957" s="235" t="s">
        <v>907</v>
      </c>
      <c r="AD2957" s="235" t="s">
        <v>908</v>
      </c>
      <c r="AE2957" s="238">
        <v>248001.0</v>
      </c>
      <c r="AF2957" s="235" t="s">
        <v>631</v>
      </c>
      <c r="AG2957" s="245"/>
      <c r="AH2957" s="245"/>
      <c r="AI2957" s="245"/>
      <c r="AJ2957" s="245"/>
      <c r="AK2957" s="245"/>
      <c r="AL2957" s="245"/>
      <c r="AM2957" s="245"/>
      <c r="AN2957" s="245"/>
      <c r="AO2957" s="238">
        <v>0.0</v>
      </c>
      <c r="AP2957" s="238">
        <v>-38.1</v>
      </c>
      <c r="AQ2957" s="235" t="s">
        <v>632</v>
      </c>
      <c r="AR2957" s="243">
        <v>3.71E11</v>
      </c>
      <c r="AS2957" s="235" t="s">
        <v>19388</v>
      </c>
      <c r="AT2957" s="235" t="s">
        <v>13</v>
      </c>
      <c r="AU2957" s="235" t="s">
        <v>634</v>
      </c>
      <c r="AV2957" s="246" t="s">
        <v>635</v>
      </c>
      <c r="AW2957" s="227"/>
      <c r="AX2957" s="227"/>
      <c r="AY2957" s="227"/>
      <c r="AZ2957" s="227"/>
      <c r="BA2957" s="227"/>
      <c r="BB2957" s="227"/>
      <c r="BC2957" s="227"/>
      <c r="BD2957" s="227"/>
      <c r="BE2957" s="227"/>
      <c r="BF2957" s="227"/>
    </row>
    <row r="2958">
      <c r="A2958" s="235" t="s">
        <v>22413</v>
      </c>
      <c r="C2958" s="235" t="s">
        <v>22414</v>
      </c>
      <c r="D2958" s="235" t="s">
        <v>22415</v>
      </c>
      <c r="E2958" s="243">
        <v>6.52E13</v>
      </c>
      <c r="F2958" s="245"/>
      <c r="G2958" s="235" t="s">
        <v>22416</v>
      </c>
      <c r="H2958" s="235" t="s">
        <v>22417</v>
      </c>
      <c r="I2958" s="235" t="s">
        <v>22417</v>
      </c>
      <c r="J2958" s="235" t="s">
        <v>22418</v>
      </c>
      <c r="K2958" s="235" t="s">
        <v>22419</v>
      </c>
      <c r="N2958" s="235" t="s">
        <v>127</v>
      </c>
      <c r="O2958" s="235" t="s">
        <v>794</v>
      </c>
      <c r="P2958" s="238">
        <v>1.0</v>
      </c>
      <c r="Q2958" s="235" t="s">
        <v>627</v>
      </c>
      <c r="R2958" s="238">
        <v>242.86</v>
      </c>
      <c r="S2958" s="238">
        <v>12.14</v>
      </c>
      <c r="T2958" s="238">
        <v>0.0</v>
      </c>
      <c r="U2958" s="238">
        <v>0.0</v>
      </c>
      <c r="V2958" s="238">
        <v>0.0</v>
      </c>
      <c r="W2958" s="238">
        <v>0.0</v>
      </c>
      <c r="X2958" s="235" t="s">
        <v>628</v>
      </c>
      <c r="Z2958" s="245"/>
      <c r="AA2958" s="245"/>
      <c r="AB2958" s="245"/>
      <c r="AC2958" s="235" t="s">
        <v>1058</v>
      </c>
      <c r="AD2958" s="235" t="s">
        <v>845</v>
      </c>
      <c r="AE2958" s="238">
        <v>400052.0</v>
      </c>
      <c r="AF2958" s="235" t="s">
        <v>631</v>
      </c>
      <c r="AG2958" s="245"/>
      <c r="AH2958" s="245"/>
      <c r="AI2958" s="245"/>
      <c r="AJ2958" s="245"/>
      <c r="AK2958" s="245"/>
      <c r="AL2958" s="245"/>
      <c r="AM2958" s="245"/>
      <c r="AN2958" s="245"/>
      <c r="AO2958" s="238">
        <v>0.0</v>
      </c>
      <c r="AP2958" s="238">
        <v>0.0</v>
      </c>
      <c r="AQ2958" s="235" t="s">
        <v>632</v>
      </c>
      <c r="AR2958" s="243">
        <v>3.71E11</v>
      </c>
      <c r="AS2958" s="235" t="s">
        <v>20529</v>
      </c>
      <c r="AT2958" s="235" t="s">
        <v>16</v>
      </c>
      <c r="AU2958" s="235" t="s">
        <v>634</v>
      </c>
      <c r="AV2958" s="246" t="s">
        <v>635</v>
      </c>
      <c r="AW2958" s="227"/>
      <c r="AX2958" s="227"/>
      <c r="AY2958" s="227"/>
      <c r="AZ2958" s="227"/>
      <c r="BA2958" s="227"/>
      <c r="BB2958" s="227"/>
      <c r="BC2958" s="227"/>
      <c r="BD2958" s="227"/>
      <c r="BE2958" s="227"/>
      <c r="BF2958" s="227"/>
    </row>
    <row r="2959">
      <c r="A2959" s="235" t="s">
        <v>22420</v>
      </c>
      <c r="C2959" s="235" t="s">
        <v>22421</v>
      </c>
      <c r="D2959" s="235" t="s">
        <v>22422</v>
      </c>
      <c r="E2959" s="243">
        <v>6.53E13</v>
      </c>
      <c r="F2959" s="245"/>
      <c r="G2959" s="235" t="s">
        <v>22423</v>
      </c>
      <c r="H2959" s="235" t="s">
        <v>22424</v>
      </c>
      <c r="I2959" s="235" t="s">
        <v>22424</v>
      </c>
      <c r="J2959" s="235" t="s">
        <v>22425</v>
      </c>
      <c r="K2959" s="235" t="s">
        <v>22426</v>
      </c>
      <c r="N2959" s="235" t="s">
        <v>19</v>
      </c>
      <c r="O2959" s="235" t="s">
        <v>571</v>
      </c>
      <c r="P2959" s="238">
        <v>1.0</v>
      </c>
      <c r="Q2959" s="235" t="s">
        <v>627</v>
      </c>
      <c r="R2959" s="238">
        <v>323.8</v>
      </c>
      <c r="S2959" s="238">
        <v>16.2</v>
      </c>
      <c r="T2959" s="238">
        <v>38.1</v>
      </c>
      <c r="U2959" s="238">
        <v>1.9</v>
      </c>
      <c r="V2959" s="238">
        <v>0.0</v>
      </c>
      <c r="W2959" s="238">
        <v>0.0</v>
      </c>
      <c r="X2959" s="235" t="s">
        <v>628</v>
      </c>
      <c r="Z2959" s="245"/>
      <c r="AA2959" s="245"/>
      <c r="AB2959" s="245"/>
      <c r="AC2959" s="235" t="s">
        <v>687</v>
      </c>
      <c r="AD2959" s="235" t="s">
        <v>666</v>
      </c>
      <c r="AE2959" s="238">
        <v>600078.0</v>
      </c>
      <c r="AF2959" s="235" t="s">
        <v>631</v>
      </c>
      <c r="AG2959" s="245"/>
      <c r="AH2959" s="245"/>
      <c r="AI2959" s="245"/>
      <c r="AJ2959" s="245"/>
      <c r="AK2959" s="245"/>
      <c r="AL2959" s="245"/>
      <c r="AM2959" s="245"/>
      <c r="AN2959" s="245"/>
      <c r="AO2959" s="238">
        <v>0.0</v>
      </c>
      <c r="AP2959" s="238">
        <v>0.0</v>
      </c>
      <c r="AQ2959" s="235" t="s">
        <v>632</v>
      </c>
      <c r="AR2959" s="243">
        <v>3.71E11</v>
      </c>
      <c r="AS2959" s="235" t="s">
        <v>20529</v>
      </c>
      <c r="AT2959" s="235" t="s">
        <v>156</v>
      </c>
      <c r="AU2959" s="235" t="s">
        <v>634</v>
      </c>
      <c r="AV2959" s="246" t="s">
        <v>635</v>
      </c>
      <c r="AW2959" s="227"/>
      <c r="AX2959" s="227"/>
      <c r="AY2959" s="227"/>
      <c r="AZ2959" s="227"/>
      <c r="BA2959" s="227"/>
      <c r="BB2959" s="227"/>
      <c r="BC2959" s="227"/>
      <c r="BD2959" s="227"/>
      <c r="BE2959" s="227"/>
      <c r="BF2959" s="227"/>
    </row>
    <row r="2960">
      <c r="A2960" s="235" t="s">
        <v>22427</v>
      </c>
      <c r="C2960" s="235" t="s">
        <v>22428</v>
      </c>
      <c r="D2960" s="235" t="s">
        <v>22429</v>
      </c>
      <c r="E2960" s="243">
        <v>6.52E13</v>
      </c>
      <c r="F2960" s="245"/>
      <c r="G2960" s="235" t="s">
        <v>22430</v>
      </c>
      <c r="H2960" s="235" t="s">
        <v>22431</v>
      </c>
      <c r="I2960" s="235" t="s">
        <v>22431</v>
      </c>
      <c r="J2960" s="235" t="s">
        <v>22432</v>
      </c>
      <c r="K2960" s="235" t="s">
        <v>22433</v>
      </c>
      <c r="N2960" s="235" t="s">
        <v>42</v>
      </c>
      <c r="O2960" s="235" t="s">
        <v>204</v>
      </c>
      <c r="P2960" s="238">
        <v>1.0</v>
      </c>
      <c r="Q2960" s="235" t="s">
        <v>627</v>
      </c>
      <c r="R2960" s="238">
        <v>237.14</v>
      </c>
      <c r="S2960" s="238">
        <v>11.86</v>
      </c>
      <c r="T2960" s="238">
        <v>38.1</v>
      </c>
      <c r="U2960" s="238">
        <v>1.9</v>
      </c>
      <c r="V2960" s="238">
        <v>0.0</v>
      </c>
      <c r="W2960" s="238">
        <v>0.0</v>
      </c>
      <c r="X2960" s="235" t="s">
        <v>628</v>
      </c>
      <c r="Z2960" s="245"/>
      <c r="AA2960" s="245"/>
      <c r="AB2960" s="245"/>
      <c r="AC2960" s="235" t="s">
        <v>678</v>
      </c>
      <c r="AD2960" s="235" t="s">
        <v>679</v>
      </c>
      <c r="AE2960" s="238">
        <v>560099.0</v>
      </c>
      <c r="AF2960" s="235" t="s">
        <v>631</v>
      </c>
      <c r="AG2960" s="245"/>
      <c r="AH2960" s="245"/>
      <c r="AI2960" s="245"/>
      <c r="AJ2960" s="245"/>
      <c r="AK2960" s="245"/>
      <c r="AL2960" s="245"/>
      <c r="AM2960" s="245"/>
      <c r="AN2960" s="245"/>
      <c r="AO2960" s="238">
        <v>0.0</v>
      </c>
      <c r="AP2960" s="238">
        <v>-38.1</v>
      </c>
      <c r="AQ2960" s="235" t="s">
        <v>632</v>
      </c>
      <c r="AR2960" s="243">
        <v>3.71E11</v>
      </c>
      <c r="AS2960" s="235" t="s">
        <v>20529</v>
      </c>
      <c r="AT2960" s="235" t="s">
        <v>11</v>
      </c>
      <c r="AU2960" s="235" t="s">
        <v>634</v>
      </c>
      <c r="AV2960" s="246" t="s">
        <v>635</v>
      </c>
      <c r="AW2960" s="227"/>
      <c r="AX2960" s="227"/>
      <c r="AY2960" s="227"/>
      <c r="AZ2960" s="227"/>
      <c r="BA2960" s="227"/>
      <c r="BB2960" s="227"/>
      <c r="BC2960" s="227"/>
      <c r="BD2960" s="227"/>
      <c r="BE2960" s="227"/>
      <c r="BF2960" s="227"/>
    </row>
    <row r="2961">
      <c r="A2961" s="235" t="s">
        <v>22434</v>
      </c>
      <c r="C2961" s="235" t="s">
        <v>22435</v>
      </c>
      <c r="D2961" s="235" t="s">
        <v>22436</v>
      </c>
      <c r="E2961" s="243">
        <v>6.52E13</v>
      </c>
      <c r="F2961" s="245"/>
      <c r="G2961" s="235" t="s">
        <v>22437</v>
      </c>
      <c r="H2961" s="235" t="s">
        <v>22438</v>
      </c>
      <c r="I2961" s="235" t="s">
        <v>22438</v>
      </c>
      <c r="J2961" s="235" t="s">
        <v>22439</v>
      </c>
      <c r="K2961" s="235" t="s">
        <v>22440</v>
      </c>
      <c r="N2961" s="235" t="s">
        <v>541</v>
      </c>
      <c r="O2961" s="235" t="s">
        <v>664</v>
      </c>
      <c r="P2961" s="238">
        <v>1.0</v>
      </c>
      <c r="Q2961" s="235" t="s">
        <v>627</v>
      </c>
      <c r="R2961" s="238">
        <v>668.64</v>
      </c>
      <c r="S2961" s="238">
        <v>120.36</v>
      </c>
      <c r="T2961" s="238">
        <v>0.0</v>
      </c>
      <c r="U2961" s="238">
        <v>0.0</v>
      </c>
      <c r="V2961" s="238">
        <v>0.0</v>
      </c>
      <c r="W2961" s="238">
        <v>0.0</v>
      </c>
      <c r="X2961" s="235" t="s">
        <v>628</v>
      </c>
      <c r="Z2961" s="245"/>
      <c r="AA2961" s="245"/>
      <c r="AB2961" s="245"/>
      <c r="AC2961" s="235" t="s">
        <v>4397</v>
      </c>
      <c r="AD2961" s="235" t="s">
        <v>1151</v>
      </c>
      <c r="AE2961" s="238">
        <v>700064.0</v>
      </c>
      <c r="AF2961" s="235" t="s">
        <v>631</v>
      </c>
      <c r="AG2961" s="245"/>
      <c r="AH2961" s="245"/>
      <c r="AI2961" s="245"/>
      <c r="AJ2961" s="245"/>
      <c r="AK2961" s="245"/>
      <c r="AL2961" s="245"/>
      <c r="AM2961" s="245"/>
      <c r="AN2961" s="245"/>
      <c r="AO2961" s="238">
        <v>0.0</v>
      </c>
      <c r="AP2961" s="238">
        <v>0.0</v>
      </c>
      <c r="AQ2961" s="235" t="s">
        <v>632</v>
      </c>
      <c r="AR2961" s="243">
        <v>3.71E11</v>
      </c>
      <c r="AS2961" s="235" t="s">
        <v>16626</v>
      </c>
      <c r="AT2961" s="235" t="s">
        <v>9</v>
      </c>
      <c r="AU2961" s="235" t="s">
        <v>634</v>
      </c>
      <c r="AV2961" s="246" t="s">
        <v>635</v>
      </c>
      <c r="AW2961" s="227"/>
      <c r="AX2961" s="227"/>
      <c r="AY2961" s="227"/>
      <c r="AZ2961" s="227"/>
      <c r="BA2961" s="227"/>
      <c r="BB2961" s="227"/>
      <c r="BC2961" s="227"/>
      <c r="BD2961" s="227"/>
      <c r="BE2961" s="227"/>
      <c r="BF2961" s="227"/>
    </row>
    <row r="2962">
      <c r="A2962" s="235" t="s">
        <v>22441</v>
      </c>
      <c r="C2962" s="235" t="s">
        <v>22442</v>
      </c>
      <c r="D2962" s="235" t="s">
        <v>22443</v>
      </c>
      <c r="E2962" s="243">
        <v>6.53E13</v>
      </c>
      <c r="F2962" s="245"/>
      <c r="G2962" s="235" t="s">
        <v>22444</v>
      </c>
      <c r="H2962" s="235" t="s">
        <v>22445</v>
      </c>
      <c r="I2962" s="235" t="s">
        <v>22445</v>
      </c>
      <c r="J2962" s="235" t="s">
        <v>22446</v>
      </c>
      <c r="K2962" s="235" t="s">
        <v>22447</v>
      </c>
      <c r="N2962" s="235" t="s">
        <v>130</v>
      </c>
      <c r="O2962" s="235" t="s">
        <v>707</v>
      </c>
      <c r="P2962" s="238">
        <v>1.0</v>
      </c>
      <c r="Q2962" s="235" t="s">
        <v>627</v>
      </c>
      <c r="R2962" s="238">
        <v>246.67</v>
      </c>
      <c r="S2962" s="238">
        <v>12.33</v>
      </c>
      <c r="T2962" s="238">
        <v>0.0</v>
      </c>
      <c r="U2962" s="238">
        <v>0.0</v>
      </c>
      <c r="V2962" s="238">
        <v>0.0</v>
      </c>
      <c r="W2962" s="238">
        <v>0.0</v>
      </c>
      <c r="X2962" s="235" t="s">
        <v>628</v>
      </c>
      <c r="Z2962" s="245"/>
      <c r="AA2962" s="245"/>
      <c r="AB2962" s="245"/>
      <c r="AC2962" s="235" t="s">
        <v>697</v>
      </c>
      <c r="AD2962" s="235" t="s">
        <v>698</v>
      </c>
      <c r="AE2962" s="238">
        <v>500052.0</v>
      </c>
      <c r="AF2962" s="235" t="s">
        <v>631</v>
      </c>
      <c r="AG2962" s="245"/>
      <c r="AH2962" s="245"/>
      <c r="AI2962" s="245"/>
      <c r="AJ2962" s="245"/>
      <c r="AK2962" s="245"/>
      <c r="AL2962" s="245"/>
      <c r="AM2962" s="245"/>
      <c r="AN2962" s="245"/>
      <c r="AO2962" s="238">
        <v>0.0</v>
      </c>
      <c r="AP2962" s="238">
        <v>0.0</v>
      </c>
      <c r="AQ2962" s="235" t="s">
        <v>632</v>
      </c>
      <c r="AR2962" s="243">
        <v>1.68E11</v>
      </c>
      <c r="AS2962" s="235" t="s">
        <v>20529</v>
      </c>
      <c r="AT2962" s="235" t="s">
        <v>156</v>
      </c>
      <c r="AU2962" s="235" t="s">
        <v>634</v>
      </c>
      <c r="AV2962" s="246" t="s">
        <v>635</v>
      </c>
      <c r="AW2962" s="227"/>
      <c r="AX2962" s="227"/>
      <c r="AY2962" s="227"/>
      <c r="AZ2962" s="227"/>
      <c r="BA2962" s="227"/>
      <c r="BB2962" s="227"/>
      <c r="BC2962" s="227"/>
      <c r="BD2962" s="227"/>
      <c r="BE2962" s="227"/>
      <c r="BF2962" s="227"/>
    </row>
    <row r="2963">
      <c r="A2963" s="235" t="s">
        <v>22448</v>
      </c>
      <c r="C2963" s="235" t="s">
        <v>22449</v>
      </c>
      <c r="D2963" s="235" t="s">
        <v>22450</v>
      </c>
      <c r="E2963" s="243">
        <v>6.52E13</v>
      </c>
      <c r="F2963" s="245"/>
      <c r="G2963" s="235" t="s">
        <v>22451</v>
      </c>
      <c r="H2963" s="235" t="s">
        <v>22452</v>
      </c>
      <c r="I2963" s="235" t="s">
        <v>22452</v>
      </c>
      <c r="J2963" s="235" t="s">
        <v>22453</v>
      </c>
      <c r="K2963" s="235" t="s">
        <v>22454</v>
      </c>
      <c r="N2963" s="235" t="s">
        <v>51</v>
      </c>
      <c r="O2963" s="235" t="s">
        <v>273</v>
      </c>
      <c r="P2963" s="238">
        <v>1.0</v>
      </c>
      <c r="Q2963" s="235" t="s">
        <v>627</v>
      </c>
      <c r="R2963" s="238">
        <v>237.14</v>
      </c>
      <c r="S2963" s="238">
        <v>11.86</v>
      </c>
      <c r="T2963" s="238">
        <v>38.1</v>
      </c>
      <c r="U2963" s="238">
        <v>1.9</v>
      </c>
      <c r="V2963" s="238">
        <v>0.0</v>
      </c>
      <c r="W2963" s="238">
        <v>0.0</v>
      </c>
      <c r="X2963" s="235" t="s">
        <v>628</v>
      </c>
      <c r="Z2963" s="245"/>
      <c r="AA2963" s="245"/>
      <c r="AB2963" s="245"/>
      <c r="AC2963" s="235" t="s">
        <v>22455</v>
      </c>
      <c r="AD2963" s="235" t="s">
        <v>666</v>
      </c>
      <c r="AE2963" s="238">
        <v>627103.0</v>
      </c>
      <c r="AF2963" s="235" t="s">
        <v>631</v>
      </c>
      <c r="AG2963" s="245"/>
      <c r="AH2963" s="245"/>
      <c r="AI2963" s="245"/>
      <c r="AJ2963" s="245"/>
      <c r="AK2963" s="245"/>
      <c r="AL2963" s="245"/>
      <c r="AM2963" s="245"/>
      <c r="AN2963" s="245"/>
      <c r="AO2963" s="238">
        <v>0.0</v>
      </c>
      <c r="AP2963" s="238">
        <v>-38.1</v>
      </c>
      <c r="AQ2963" s="235" t="s">
        <v>632</v>
      </c>
      <c r="AR2963" s="243">
        <v>3.71E11</v>
      </c>
      <c r="AS2963" s="235" t="s">
        <v>20529</v>
      </c>
      <c r="AT2963" s="235" t="s">
        <v>155</v>
      </c>
      <c r="AU2963" s="235" t="s">
        <v>634</v>
      </c>
      <c r="AV2963" s="246" t="s">
        <v>635</v>
      </c>
      <c r="AW2963" s="227"/>
      <c r="AX2963" s="227"/>
      <c r="AY2963" s="227"/>
      <c r="AZ2963" s="227"/>
      <c r="BA2963" s="227"/>
      <c r="BB2963" s="227"/>
      <c r="BC2963" s="227"/>
      <c r="BD2963" s="227"/>
      <c r="BE2963" s="227"/>
      <c r="BF2963" s="227"/>
    </row>
    <row r="2964">
      <c r="A2964" s="235" t="s">
        <v>22456</v>
      </c>
      <c r="C2964" s="235" t="s">
        <v>22457</v>
      </c>
      <c r="D2964" s="235" t="s">
        <v>22458</v>
      </c>
      <c r="E2964" s="243">
        <v>6.53E13</v>
      </c>
      <c r="F2964" s="245"/>
      <c r="G2964" s="235" t="s">
        <v>22459</v>
      </c>
      <c r="H2964" s="235" t="s">
        <v>22460</v>
      </c>
      <c r="I2964" s="235" t="s">
        <v>22460</v>
      </c>
      <c r="J2964" s="235" t="s">
        <v>22461</v>
      </c>
      <c r="K2964" s="235" t="s">
        <v>22462</v>
      </c>
      <c r="N2964" s="235" t="s">
        <v>154</v>
      </c>
      <c r="O2964" s="235" t="s">
        <v>766</v>
      </c>
      <c r="P2964" s="238">
        <v>1.0</v>
      </c>
      <c r="Q2964" s="235" t="s">
        <v>627</v>
      </c>
      <c r="R2964" s="238">
        <v>465.71</v>
      </c>
      <c r="S2964" s="238">
        <v>22.82</v>
      </c>
      <c r="T2964" s="238">
        <v>0.0</v>
      </c>
      <c r="U2964" s="238">
        <v>0.0</v>
      </c>
      <c r="V2964" s="238">
        <v>0.0</v>
      </c>
      <c r="W2964" s="238">
        <v>0.0</v>
      </c>
      <c r="X2964" s="235" t="s">
        <v>628</v>
      </c>
      <c r="Z2964" s="245"/>
      <c r="AA2964" s="245"/>
      <c r="AB2964" s="245"/>
      <c r="AC2964" s="235" t="s">
        <v>1613</v>
      </c>
      <c r="AD2964" s="235" t="s">
        <v>630</v>
      </c>
      <c r="AE2964" s="238">
        <v>226017.0</v>
      </c>
      <c r="AF2964" s="235" t="s">
        <v>631</v>
      </c>
      <c r="AG2964" s="245"/>
      <c r="AH2964" s="245"/>
      <c r="AI2964" s="245"/>
      <c r="AJ2964" s="245"/>
      <c r="AK2964" s="245"/>
      <c r="AL2964" s="245"/>
      <c r="AM2964" s="245"/>
      <c r="AN2964" s="245"/>
      <c r="AO2964" s="238">
        <v>-9.31</v>
      </c>
      <c r="AP2964" s="238">
        <v>0.0</v>
      </c>
      <c r="AQ2964" s="235" t="s">
        <v>632</v>
      </c>
      <c r="AR2964" s="243">
        <v>2.02E11</v>
      </c>
      <c r="AS2964" s="235" t="s">
        <v>20529</v>
      </c>
      <c r="AT2964" s="235" t="s">
        <v>533</v>
      </c>
      <c r="AU2964" s="235" t="s">
        <v>634</v>
      </c>
      <c r="AV2964" s="246" t="s">
        <v>635</v>
      </c>
      <c r="AW2964" s="227"/>
      <c r="AX2964" s="227"/>
      <c r="AY2964" s="227"/>
      <c r="AZ2964" s="227"/>
      <c r="BA2964" s="227"/>
      <c r="BB2964" s="227"/>
      <c r="BC2964" s="227"/>
      <c r="BD2964" s="227"/>
      <c r="BE2964" s="227"/>
      <c r="BF2964" s="227"/>
    </row>
    <row r="2965">
      <c r="A2965" s="235" t="s">
        <v>22463</v>
      </c>
      <c r="C2965" s="235" t="s">
        <v>22464</v>
      </c>
      <c r="D2965" s="235" t="s">
        <v>22465</v>
      </c>
      <c r="E2965" s="243">
        <v>6.52E13</v>
      </c>
      <c r="F2965" s="245"/>
      <c r="G2965" s="235" t="s">
        <v>22466</v>
      </c>
      <c r="H2965" s="235" t="s">
        <v>22467</v>
      </c>
      <c r="I2965" s="235" t="s">
        <v>22467</v>
      </c>
      <c r="J2965" s="235" t="s">
        <v>22468</v>
      </c>
      <c r="K2965" s="235" t="s">
        <v>22469</v>
      </c>
      <c r="N2965" s="235" t="s">
        <v>41</v>
      </c>
      <c r="O2965" s="235" t="s">
        <v>291</v>
      </c>
      <c r="P2965" s="238">
        <v>1.0</v>
      </c>
      <c r="Q2965" s="235" t="s">
        <v>627</v>
      </c>
      <c r="R2965" s="238">
        <v>237.14</v>
      </c>
      <c r="S2965" s="238">
        <v>11.86</v>
      </c>
      <c r="T2965" s="238">
        <v>38.1</v>
      </c>
      <c r="U2965" s="238">
        <v>1.9</v>
      </c>
      <c r="V2965" s="238">
        <v>0.0</v>
      </c>
      <c r="W2965" s="238">
        <v>0.0</v>
      </c>
      <c r="X2965" s="235" t="s">
        <v>628</v>
      </c>
      <c r="Z2965" s="245"/>
      <c r="AA2965" s="245"/>
      <c r="AB2965" s="245"/>
      <c r="AC2965" s="235" t="s">
        <v>678</v>
      </c>
      <c r="AD2965" s="235" t="s">
        <v>679</v>
      </c>
      <c r="AE2965" s="238">
        <v>560075.0</v>
      </c>
      <c r="AF2965" s="235" t="s">
        <v>631</v>
      </c>
      <c r="AG2965" s="245"/>
      <c r="AH2965" s="245"/>
      <c r="AI2965" s="245"/>
      <c r="AJ2965" s="245"/>
      <c r="AK2965" s="245"/>
      <c r="AL2965" s="245"/>
      <c r="AM2965" s="245"/>
      <c r="AN2965" s="245"/>
      <c r="AO2965" s="238">
        <v>0.0</v>
      </c>
      <c r="AP2965" s="238">
        <v>-38.1</v>
      </c>
      <c r="AQ2965" s="235" t="s">
        <v>632</v>
      </c>
      <c r="AR2965" s="243">
        <v>3.71E11</v>
      </c>
      <c r="AS2965" s="235" t="s">
        <v>16626</v>
      </c>
      <c r="AT2965" s="235" t="s">
        <v>14</v>
      </c>
      <c r="AU2965" s="235" t="s">
        <v>634</v>
      </c>
      <c r="AV2965" s="246" t="s">
        <v>635</v>
      </c>
      <c r="AW2965" s="227"/>
      <c r="AX2965" s="227"/>
      <c r="AY2965" s="227"/>
      <c r="AZ2965" s="227"/>
      <c r="BA2965" s="227"/>
      <c r="BB2965" s="227"/>
      <c r="BC2965" s="227"/>
      <c r="BD2965" s="227"/>
      <c r="BE2965" s="227"/>
      <c r="BF2965" s="227"/>
    </row>
    <row r="2966">
      <c r="A2966" s="235" t="s">
        <v>22470</v>
      </c>
      <c r="C2966" s="235" t="s">
        <v>22471</v>
      </c>
      <c r="D2966" s="235" t="s">
        <v>22472</v>
      </c>
      <c r="E2966" s="243">
        <v>6.53E13</v>
      </c>
      <c r="F2966" s="245"/>
      <c r="G2966" s="235" t="s">
        <v>22473</v>
      </c>
      <c r="H2966" s="235" t="s">
        <v>22474</v>
      </c>
      <c r="I2966" s="235" t="s">
        <v>22475</v>
      </c>
      <c r="J2966" s="235" t="s">
        <v>22476</v>
      </c>
      <c r="K2966" s="235" t="s">
        <v>22477</v>
      </c>
      <c r="N2966" s="235" t="s">
        <v>92</v>
      </c>
      <c r="O2966" s="235" t="s">
        <v>248</v>
      </c>
      <c r="P2966" s="238">
        <v>1.0</v>
      </c>
      <c r="Q2966" s="235" t="s">
        <v>627</v>
      </c>
      <c r="R2966" s="238">
        <v>246.67</v>
      </c>
      <c r="S2966" s="238">
        <v>12.08</v>
      </c>
      <c r="T2966" s="238">
        <v>0.0</v>
      </c>
      <c r="U2966" s="238">
        <v>0.0</v>
      </c>
      <c r="V2966" s="238">
        <v>0.0</v>
      </c>
      <c r="W2966" s="238">
        <v>0.0</v>
      </c>
      <c r="X2966" s="235" t="s">
        <v>628</v>
      </c>
      <c r="Z2966" s="245"/>
      <c r="AA2966" s="245"/>
      <c r="AB2966" s="245"/>
      <c r="AC2966" s="235" t="s">
        <v>697</v>
      </c>
      <c r="AD2966" s="235" t="s">
        <v>698</v>
      </c>
      <c r="AE2966" s="238">
        <v>500005.0</v>
      </c>
      <c r="AF2966" s="235" t="s">
        <v>631</v>
      </c>
      <c r="AG2966" s="245"/>
      <c r="AH2966" s="245"/>
      <c r="AI2966" s="245"/>
      <c r="AJ2966" s="245"/>
      <c r="AK2966" s="245"/>
      <c r="AL2966" s="245"/>
      <c r="AM2966" s="245"/>
      <c r="AN2966" s="245"/>
      <c r="AO2966" s="238">
        <v>-4.93</v>
      </c>
      <c r="AP2966" s="238">
        <v>0.0</v>
      </c>
      <c r="AQ2966" s="235" t="s">
        <v>632</v>
      </c>
      <c r="AR2966" s="243">
        <v>1.68E11</v>
      </c>
      <c r="AS2966" s="235" t="s">
        <v>20529</v>
      </c>
      <c r="AT2966" s="235" t="s">
        <v>9</v>
      </c>
      <c r="AU2966" s="235" t="s">
        <v>634</v>
      </c>
      <c r="AV2966" s="246" t="s">
        <v>635</v>
      </c>
      <c r="AW2966" s="227"/>
      <c r="AX2966" s="227"/>
      <c r="AY2966" s="227"/>
      <c r="AZ2966" s="227"/>
      <c r="BA2966" s="227"/>
      <c r="BB2966" s="227"/>
      <c r="BC2966" s="227"/>
      <c r="BD2966" s="227"/>
      <c r="BE2966" s="227"/>
      <c r="BF2966" s="227"/>
    </row>
    <row r="2967">
      <c r="A2967" s="235" t="s">
        <v>22478</v>
      </c>
      <c r="C2967" s="235" t="s">
        <v>22479</v>
      </c>
      <c r="D2967" s="235" t="s">
        <v>22480</v>
      </c>
      <c r="E2967" s="243">
        <v>6.52E13</v>
      </c>
      <c r="F2967" s="245"/>
      <c r="G2967" s="235" t="s">
        <v>22481</v>
      </c>
      <c r="H2967" s="235" t="s">
        <v>22482</v>
      </c>
      <c r="I2967" s="235" t="s">
        <v>22482</v>
      </c>
      <c r="J2967" s="235" t="s">
        <v>22483</v>
      </c>
      <c r="K2967" s="235" t="s">
        <v>22484</v>
      </c>
      <c r="N2967" s="235" t="s">
        <v>78</v>
      </c>
      <c r="O2967" s="235" t="s">
        <v>360</v>
      </c>
      <c r="P2967" s="238">
        <v>1.0</v>
      </c>
      <c r="Q2967" s="235" t="s">
        <v>627</v>
      </c>
      <c r="R2967" s="238">
        <v>360.96</v>
      </c>
      <c r="S2967" s="238">
        <v>18.04</v>
      </c>
      <c r="T2967" s="238">
        <v>0.0</v>
      </c>
      <c r="U2967" s="238">
        <v>0.0</v>
      </c>
      <c r="V2967" s="238">
        <v>0.0</v>
      </c>
      <c r="W2967" s="238">
        <v>0.0</v>
      </c>
      <c r="X2967" s="235" t="s">
        <v>628</v>
      </c>
      <c r="Z2967" s="245"/>
      <c r="AA2967" s="245"/>
      <c r="AB2967" s="245"/>
      <c r="AC2967" s="235" t="s">
        <v>22485</v>
      </c>
      <c r="AD2967" s="235" t="s">
        <v>1077</v>
      </c>
      <c r="AE2967" s="238">
        <v>363650.0</v>
      </c>
      <c r="AF2967" s="235" t="s">
        <v>631</v>
      </c>
      <c r="AG2967" s="245"/>
      <c r="AH2967" s="245"/>
      <c r="AI2967" s="245"/>
      <c r="AJ2967" s="245"/>
      <c r="AK2967" s="245"/>
      <c r="AL2967" s="245"/>
      <c r="AM2967" s="245"/>
      <c r="AN2967" s="245"/>
      <c r="AO2967" s="238">
        <v>0.0</v>
      </c>
      <c r="AP2967" s="238">
        <v>0.0</v>
      </c>
      <c r="AQ2967" s="235" t="s">
        <v>1328</v>
      </c>
      <c r="AR2967" s="243">
        <v>1.34E13</v>
      </c>
      <c r="AS2967" s="235" t="s">
        <v>13822</v>
      </c>
      <c r="AT2967" s="235" t="s">
        <v>5</v>
      </c>
      <c r="AU2967" s="235" t="s">
        <v>634</v>
      </c>
      <c r="AV2967" s="246" t="s">
        <v>635</v>
      </c>
      <c r="AW2967" s="227"/>
      <c r="AX2967" s="227"/>
      <c r="AY2967" s="227"/>
      <c r="AZ2967" s="227"/>
      <c r="BA2967" s="227"/>
      <c r="BB2967" s="227"/>
      <c r="BC2967" s="227"/>
      <c r="BD2967" s="227"/>
      <c r="BE2967" s="227"/>
      <c r="BF2967" s="227"/>
    </row>
    <row r="2968">
      <c r="A2968" s="235" t="s">
        <v>22486</v>
      </c>
      <c r="C2968" s="235" t="s">
        <v>22487</v>
      </c>
      <c r="D2968" s="235" t="s">
        <v>22488</v>
      </c>
      <c r="E2968" s="243">
        <v>6.52E13</v>
      </c>
      <c r="F2968" s="245"/>
      <c r="G2968" s="235" t="s">
        <v>22489</v>
      </c>
      <c r="H2968" s="235" t="s">
        <v>22490</v>
      </c>
      <c r="I2968" s="235" t="s">
        <v>22490</v>
      </c>
      <c r="J2968" s="235" t="s">
        <v>22491</v>
      </c>
      <c r="K2968" s="235" t="s">
        <v>22492</v>
      </c>
      <c r="N2968" s="235" t="s">
        <v>154</v>
      </c>
      <c r="O2968" s="235" t="s">
        <v>766</v>
      </c>
      <c r="P2968" s="238">
        <v>1.0</v>
      </c>
      <c r="Q2968" s="235" t="s">
        <v>627</v>
      </c>
      <c r="R2968" s="238">
        <v>500.95</v>
      </c>
      <c r="S2968" s="238">
        <v>25.05</v>
      </c>
      <c r="T2968" s="238">
        <v>0.0</v>
      </c>
      <c r="U2968" s="238">
        <v>0.0</v>
      </c>
      <c r="V2968" s="238">
        <v>0.0</v>
      </c>
      <c r="W2968" s="238">
        <v>0.0</v>
      </c>
      <c r="X2968" s="235" t="s">
        <v>628</v>
      </c>
      <c r="Z2968" s="245"/>
      <c r="AA2968" s="245"/>
      <c r="AB2968" s="245"/>
      <c r="AC2968" s="235" t="s">
        <v>22493</v>
      </c>
      <c r="AD2968" s="235" t="s">
        <v>1499</v>
      </c>
      <c r="AE2968" s="238">
        <v>451556.0</v>
      </c>
      <c r="AF2968" s="235" t="s">
        <v>631</v>
      </c>
      <c r="AG2968" s="245"/>
      <c r="AH2968" s="245"/>
      <c r="AI2968" s="245"/>
      <c r="AJ2968" s="245"/>
      <c r="AK2968" s="245"/>
      <c r="AL2968" s="245"/>
      <c r="AM2968" s="245"/>
      <c r="AN2968" s="245"/>
      <c r="AO2968" s="238">
        <v>0.0</v>
      </c>
      <c r="AP2968" s="238">
        <v>0.0</v>
      </c>
      <c r="AQ2968" s="235" t="s">
        <v>632</v>
      </c>
      <c r="AR2968" s="243">
        <v>3.71E11</v>
      </c>
      <c r="AS2968" s="235" t="s">
        <v>16626</v>
      </c>
      <c r="AT2968" s="235" t="s">
        <v>5</v>
      </c>
      <c r="AU2968" s="235" t="s">
        <v>634</v>
      </c>
      <c r="AV2968" s="246" t="s">
        <v>635</v>
      </c>
      <c r="AW2968" s="227"/>
      <c r="AX2968" s="227"/>
      <c r="AY2968" s="227"/>
      <c r="AZ2968" s="227"/>
      <c r="BA2968" s="227"/>
      <c r="BB2968" s="227"/>
      <c r="BC2968" s="227"/>
      <c r="BD2968" s="227"/>
      <c r="BE2968" s="227"/>
      <c r="BF2968" s="227"/>
    </row>
    <row r="2969">
      <c r="A2969" s="235" t="s">
        <v>22494</v>
      </c>
      <c r="C2969" s="235" t="s">
        <v>22495</v>
      </c>
      <c r="D2969" s="235" t="s">
        <v>22496</v>
      </c>
      <c r="E2969" s="243">
        <v>6.52E13</v>
      </c>
      <c r="F2969" s="245"/>
      <c r="G2969" s="235" t="s">
        <v>22497</v>
      </c>
      <c r="H2969" s="235" t="s">
        <v>22498</v>
      </c>
      <c r="I2969" s="235" t="s">
        <v>22498</v>
      </c>
      <c r="J2969" s="235" t="s">
        <v>22499</v>
      </c>
      <c r="K2969" s="235" t="s">
        <v>22500</v>
      </c>
      <c r="N2969" s="235" t="s">
        <v>541</v>
      </c>
      <c r="O2969" s="235" t="s">
        <v>664</v>
      </c>
      <c r="P2969" s="238">
        <v>1.0</v>
      </c>
      <c r="Q2969" s="235" t="s">
        <v>627</v>
      </c>
      <c r="R2969" s="238">
        <v>668.64</v>
      </c>
      <c r="S2969" s="238">
        <v>120.36</v>
      </c>
      <c r="T2969" s="238">
        <v>33.9</v>
      </c>
      <c r="U2969" s="238">
        <v>6.1</v>
      </c>
      <c r="V2969" s="238">
        <v>0.0</v>
      </c>
      <c r="W2969" s="238">
        <v>0.0</v>
      </c>
      <c r="X2969" s="235" t="s">
        <v>628</v>
      </c>
      <c r="Z2969" s="245"/>
      <c r="AA2969" s="245"/>
      <c r="AB2969" s="245"/>
      <c r="AC2969" s="235" t="s">
        <v>8997</v>
      </c>
      <c r="AD2969" s="235" t="s">
        <v>1086</v>
      </c>
      <c r="AE2969" s="238">
        <v>140301.0</v>
      </c>
      <c r="AF2969" s="235" t="s">
        <v>631</v>
      </c>
      <c r="AG2969" s="245"/>
      <c r="AH2969" s="245"/>
      <c r="AI2969" s="245"/>
      <c r="AJ2969" s="245"/>
      <c r="AK2969" s="245"/>
      <c r="AL2969" s="245"/>
      <c r="AM2969" s="245"/>
      <c r="AN2969" s="245"/>
      <c r="AO2969" s="238">
        <v>0.0</v>
      </c>
      <c r="AP2969" s="238">
        <v>-33.9</v>
      </c>
      <c r="AQ2969" s="235" t="s">
        <v>632</v>
      </c>
      <c r="AR2969" s="243">
        <v>3.71E11</v>
      </c>
      <c r="AS2969" s="235" t="s">
        <v>19388</v>
      </c>
      <c r="AT2969" s="235" t="s">
        <v>14</v>
      </c>
      <c r="AU2969" s="235" t="s">
        <v>634</v>
      </c>
      <c r="AV2969" s="246" t="s">
        <v>635</v>
      </c>
      <c r="AW2969" s="227"/>
      <c r="AX2969" s="227"/>
      <c r="AY2969" s="227"/>
      <c r="AZ2969" s="227"/>
      <c r="BA2969" s="227"/>
      <c r="BB2969" s="227"/>
      <c r="BC2969" s="227"/>
      <c r="BD2969" s="227"/>
      <c r="BE2969" s="227"/>
      <c r="BF2969" s="227"/>
    </row>
    <row r="2970">
      <c r="A2970" s="235" t="s">
        <v>22501</v>
      </c>
      <c r="C2970" s="235" t="s">
        <v>22502</v>
      </c>
      <c r="D2970" s="235" t="s">
        <v>22503</v>
      </c>
      <c r="E2970" s="243">
        <v>6.53E13</v>
      </c>
      <c r="F2970" s="245"/>
      <c r="G2970" s="235" t="s">
        <v>22504</v>
      </c>
      <c r="H2970" s="235" t="s">
        <v>22505</v>
      </c>
      <c r="I2970" s="235" t="s">
        <v>22506</v>
      </c>
      <c r="J2970" s="235" t="s">
        <v>22507</v>
      </c>
      <c r="K2970" s="235" t="s">
        <v>22508</v>
      </c>
      <c r="N2970" s="235" t="s">
        <v>78</v>
      </c>
      <c r="O2970" s="235" t="s">
        <v>360</v>
      </c>
      <c r="P2970" s="238">
        <v>1.0</v>
      </c>
      <c r="Q2970" s="235" t="s">
        <v>627</v>
      </c>
      <c r="R2970" s="238">
        <v>323.81</v>
      </c>
      <c r="S2970" s="238">
        <v>15.87</v>
      </c>
      <c r="T2970" s="238">
        <v>0.0</v>
      </c>
      <c r="U2970" s="238">
        <v>0.0</v>
      </c>
      <c r="V2970" s="238">
        <v>0.0</v>
      </c>
      <c r="W2970" s="238">
        <v>0.0</v>
      </c>
      <c r="X2970" s="235" t="s">
        <v>628</v>
      </c>
      <c r="Z2970" s="245"/>
      <c r="AA2970" s="245"/>
      <c r="AB2970" s="245"/>
      <c r="AC2970" s="235" t="s">
        <v>697</v>
      </c>
      <c r="AD2970" s="235" t="s">
        <v>698</v>
      </c>
      <c r="AE2970" s="238">
        <v>500094.0</v>
      </c>
      <c r="AF2970" s="235" t="s">
        <v>631</v>
      </c>
      <c r="AG2970" s="245"/>
      <c r="AH2970" s="245"/>
      <c r="AI2970" s="245"/>
      <c r="AJ2970" s="245"/>
      <c r="AK2970" s="245"/>
      <c r="AL2970" s="245"/>
      <c r="AM2970" s="245"/>
      <c r="AN2970" s="245"/>
      <c r="AO2970" s="238">
        <v>-6.48</v>
      </c>
      <c r="AP2970" s="238">
        <v>0.0</v>
      </c>
      <c r="AQ2970" s="235" t="s">
        <v>632</v>
      </c>
      <c r="AR2970" s="243">
        <v>1.68E11</v>
      </c>
      <c r="AS2970" s="235" t="s">
        <v>20529</v>
      </c>
      <c r="AT2970" s="235" t="s">
        <v>9</v>
      </c>
      <c r="AU2970" s="235" t="s">
        <v>634</v>
      </c>
      <c r="AV2970" s="246" t="s">
        <v>635</v>
      </c>
      <c r="AW2970" s="227"/>
      <c r="AX2970" s="227"/>
      <c r="AY2970" s="227"/>
      <c r="AZ2970" s="227"/>
      <c r="BA2970" s="227"/>
      <c r="BB2970" s="227"/>
      <c r="BC2970" s="227"/>
      <c r="BD2970" s="227"/>
      <c r="BE2970" s="227"/>
      <c r="BF2970" s="227"/>
    </row>
    <row r="2971">
      <c r="A2971" s="235" t="s">
        <v>22509</v>
      </c>
      <c r="C2971" s="235" t="s">
        <v>22510</v>
      </c>
      <c r="D2971" s="235" t="s">
        <v>22511</v>
      </c>
      <c r="E2971" s="243">
        <v>6.52E13</v>
      </c>
      <c r="F2971" s="245"/>
      <c r="G2971" s="235" t="s">
        <v>22512</v>
      </c>
      <c r="H2971" s="235" t="s">
        <v>22513</v>
      </c>
      <c r="I2971" s="235" t="s">
        <v>22514</v>
      </c>
      <c r="J2971" s="235" t="s">
        <v>22515</v>
      </c>
      <c r="K2971" s="235" t="s">
        <v>22516</v>
      </c>
      <c r="N2971" s="235" t="s">
        <v>126</v>
      </c>
      <c r="O2971" s="235" t="s">
        <v>407</v>
      </c>
      <c r="P2971" s="238">
        <v>1.0</v>
      </c>
      <c r="Q2971" s="235" t="s">
        <v>627</v>
      </c>
      <c r="R2971" s="238">
        <v>237.14</v>
      </c>
      <c r="S2971" s="238">
        <v>11.62</v>
      </c>
      <c r="T2971" s="238">
        <v>38.1</v>
      </c>
      <c r="U2971" s="238">
        <v>1.9</v>
      </c>
      <c r="V2971" s="238">
        <v>0.0</v>
      </c>
      <c r="W2971" s="238">
        <v>0.0</v>
      </c>
      <c r="X2971" s="235" t="s">
        <v>628</v>
      </c>
      <c r="Z2971" s="245"/>
      <c r="AA2971" s="245"/>
      <c r="AB2971" s="245"/>
      <c r="AC2971" s="235" t="s">
        <v>22517</v>
      </c>
      <c r="AD2971" s="235" t="s">
        <v>666</v>
      </c>
      <c r="AE2971" s="238">
        <v>632001.0</v>
      </c>
      <c r="AF2971" s="235" t="s">
        <v>631</v>
      </c>
      <c r="AG2971" s="245"/>
      <c r="AH2971" s="245"/>
      <c r="AI2971" s="245"/>
      <c r="AJ2971" s="245"/>
      <c r="AK2971" s="245"/>
      <c r="AL2971" s="245"/>
      <c r="AM2971" s="245"/>
      <c r="AN2971" s="245"/>
      <c r="AO2971" s="238">
        <v>-4.74</v>
      </c>
      <c r="AP2971" s="238">
        <v>-38.1</v>
      </c>
      <c r="AQ2971" s="235" t="s">
        <v>632</v>
      </c>
      <c r="AR2971" s="243">
        <v>3.71E11</v>
      </c>
      <c r="AS2971" s="235" t="s">
        <v>20529</v>
      </c>
      <c r="AT2971" s="235" t="s">
        <v>156</v>
      </c>
      <c r="AU2971" s="235" t="s">
        <v>634</v>
      </c>
      <c r="AV2971" s="246" t="s">
        <v>635</v>
      </c>
      <c r="AW2971" s="227"/>
      <c r="AX2971" s="227"/>
      <c r="AY2971" s="227"/>
      <c r="AZ2971" s="227"/>
      <c r="BA2971" s="227"/>
      <c r="BB2971" s="227"/>
      <c r="BC2971" s="227"/>
      <c r="BD2971" s="227"/>
      <c r="BE2971" s="227"/>
      <c r="BF2971" s="227"/>
    </row>
    <row r="2972">
      <c r="A2972" s="235" t="s">
        <v>22518</v>
      </c>
      <c r="C2972" s="235" t="s">
        <v>22519</v>
      </c>
      <c r="D2972" s="235" t="s">
        <v>22520</v>
      </c>
      <c r="E2972" s="243">
        <v>6.52E13</v>
      </c>
      <c r="F2972" s="245"/>
      <c r="G2972" s="235" t="s">
        <v>22521</v>
      </c>
      <c r="H2972" s="235" t="s">
        <v>22522</v>
      </c>
      <c r="I2972" s="235" t="s">
        <v>22522</v>
      </c>
      <c r="J2972" s="235" t="s">
        <v>22523</v>
      </c>
      <c r="K2972" s="235" t="s">
        <v>22524</v>
      </c>
      <c r="N2972" s="235" t="s">
        <v>2163</v>
      </c>
      <c r="O2972" s="235" t="s">
        <v>2164</v>
      </c>
      <c r="P2972" s="238">
        <v>1.0</v>
      </c>
      <c r="Q2972" s="235" t="s">
        <v>627</v>
      </c>
      <c r="R2972" s="238">
        <v>246.66</v>
      </c>
      <c r="S2972" s="238">
        <v>12.34</v>
      </c>
      <c r="T2972" s="238">
        <v>0.0</v>
      </c>
      <c r="U2972" s="238">
        <v>0.0</v>
      </c>
      <c r="V2972" s="238">
        <v>0.0</v>
      </c>
      <c r="W2972" s="238">
        <v>0.0</v>
      </c>
      <c r="X2972" s="235" t="s">
        <v>628</v>
      </c>
      <c r="Z2972" s="245"/>
      <c r="AA2972" s="245"/>
      <c r="AB2972" s="245"/>
      <c r="AC2972" s="235" t="s">
        <v>22525</v>
      </c>
      <c r="AD2972" s="235" t="s">
        <v>845</v>
      </c>
      <c r="AE2972" s="238">
        <v>425408.0</v>
      </c>
      <c r="AF2972" s="235" t="s">
        <v>631</v>
      </c>
      <c r="AG2972" s="245"/>
      <c r="AH2972" s="245"/>
      <c r="AI2972" s="245"/>
      <c r="AJ2972" s="245"/>
      <c r="AK2972" s="245"/>
      <c r="AL2972" s="245"/>
      <c r="AM2972" s="245"/>
      <c r="AN2972" s="245"/>
      <c r="AO2972" s="238">
        <v>0.0</v>
      </c>
      <c r="AP2972" s="238">
        <v>0.0</v>
      </c>
      <c r="AQ2972" s="235" t="s">
        <v>632</v>
      </c>
      <c r="AR2972" s="243">
        <v>3.71E11</v>
      </c>
      <c r="AS2972" s="235" t="s">
        <v>17988</v>
      </c>
      <c r="AT2972" s="235" t="s">
        <v>16</v>
      </c>
      <c r="AU2972" s="235" t="s">
        <v>634</v>
      </c>
      <c r="AV2972" s="246" t="s">
        <v>635</v>
      </c>
      <c r="AW2972" s="227"/>
      <c r="AX2972" s="227"/>
      <c r="AY2972" s="227"/>
      <c r="AZ2972" s="227"/>
      <c r="BA2972" s="227"/>
      <c r="BB2972" s="227"/>
      <c r="BC2972" s="227"/>
      <c r="BD2972" s="227"/>
      <c r="BE2972" s="227"/>
      <c r="BF2972" s="227"/>
    </row>
    <row r="2973">
      <c r="A2973" s="235" t="s">
        <v>22526</v>
      </c>
      <c r="C2973" s="235" t="s">
        <v>22527</v>
      </c>
      <c r="D2973" s="235" t="s">
        <v>22528</v>
      </c>
      <c r="E2973" s="243">
        <v>6.53E13</v>
      </c>
      <c r="F2973" s="245"/>
      <c r="G2973" s="235" t="s">
        <v>22529</v>
      </c>
      <c r="H2973" s="235" t="s">
        <v>22530</v>
      </c>
      <c r="I2973" s="235" t="s">
        <v>22531</v>
      </c>
      <c r="J2973" s="235" t="s">
        <v>22532</v>
      </c>
      <c r="K2973" s="235" t="s">
        <v>22533</v>
      </c>
      <c r="N2973" s="235" t="s">
        <v>42</v>
      </c>
      <c r="O2973" s="235" t="s">
        <v>204</v>
      </c>
      <c r="P2973" s="238">
        <v>1.0</v>
      </c>
      <c r="Q2973" s="235" t="s">
        <v>627</v>
      </c>
      <c r="R2973" s="238">
        <v>237.14</v>
      </c>
      <c r="S2973" s="238">
        <v>11.62</v>
      </c>
      <c r="T2973" s="238">
        <v>0.0</v>
      </c>
      <c r="U2973" s="238">
        <v>0.0</v>
      </c>
      <c r="V2973" s="238">
        <v>0.0</v>
      </c>
      <c r="W2973" s="238">
        <v>0.0</v>
      </c>
      <c r="X2973" s="235" t="s">
        <v>628</v>
      </c>
      <c r="Z2973" s="245"/>
      <c r="AA2973" s="245"/>
      <c r="AB2973" s="245"/>
      <c r="AC2973" s="235" t="s">
        <v>697</v>
      </c>
      <c r="AD2973" s="235" t="s">
        <v>698</v>
      </c>
      <c r="AE2973" s="238">
        <v>500049.0</v>
      </c>
      <c r="AF2973" s="235" t="s">
        <v>631</v>
      </c>
      <c r="AG2973" s="245"/>
      <c r="AH2973" s="245"/>
      <c r="AI2973" s="245"/>
      <c r="AJ2973" s="245"/>
      <c r="AK2973" s="245"/>
      <c r="AL2973" s="245"/>
      <c r="AM2973" s="245"/>
      <c r="AN2973" s="245"/>
      <c r="AO2973" s="238">
        <v>-4.74</v>
      </c>
      <c r="AP2973" s="238">
        <v>0.0</v>
      </c>
      <c r="AQ2973" s="235" t="s">
        <v>632</v>
      </c>
      <c r="AR2973" s="243">
        <v>1.68E11</v>
      </c>
      <c r="AS2973" s="235" t="s">
        <v>20529</v>
      </c>
      <c r="AT2973" s="235" t="s">
        <v>156</v>
      </c>
      <c r="AU2973" s="235" t="s">
        <v>634</v>
      </c>
      <c r="AV2973" s="246" t="s">
        <v>635</v>
      </c>
      <c r="AW2973" s="227"/>
      <c r="AX2973" s="227"/>
      <c r="AY2973" s="227"/>
      <c r="AZ2973" s="227"/>
      <c r="BA2973" s="227"/>
      <c r="BB2973" s="227"/>
      <c r="BC2973" s="227"/>
      <c r="BD2973" s="227"/>
      <c r="BE2973" s="227"/>
      <c r="BF2973" s="227"/>
    </row>
    <row r="2974">
      <c r="A2974" s="235" t="s">
        <v>22534</v>
      </c>
      <c r="C2974" s="235" t="s">
        <v>22535</v>
      </c>
      <c r="D2974" s="235" t="s">
        <v>22536</v>
      </c>
      <c r="E2974" s="243">
        <v>6.53E13</v>
      </c>
      <c r="F2974" s="245"/>
      <c r="G2974" s="235" t="s">
        <v>22537</v>
      </c>
      <c r="H2974" s="235" t="s">
        <v>22538</v>
      </c>
      <c r="I2974" s="235" t="s">
        <v>22538</v>
      </c>
      <c r="J2974" s="235" t="s">
        <v>22539</v>
      </c>
      <c r="K2974" s="235" t="s">
        <v>22540</v>
      </c>
      <c r="N2974" s="235" t="s">
        <v>4</v>
      </c>
      <c r="O2974" s="235" t="s">
        <v>1791</v>
      </c>
      <c r="P2974" s="238">
        <v>1.0</v>
      </c>
      <c r="Q2974" s="235" t="s">
        <v>627</v>
      </c>
      <c r="R2974" s="238">
        <v>242.86</v>
      </c>
      <c r="S2974" s="238">
        <v>11.9</v>
      </c>
      <c r="T2974" s="238">
        <v>0.0</v>
      </c>
      <c r="U2974" s="238">
        <v>0.0</v>
      </c>
      <c r="V2974" s="238">
        <v>0.0</v>
      </c>
      <c r="W2974" s="238">
        <v>0.0</v>
      </c>
      <c r="X2974" s="235" t="s">
        <v>628</v>
      </c>
      <c r="Z2974" s="245"/>
      <c r="AA2974" s="245"/>
      <c r="AB2974" s="245"/>
      <c r="AC2974" s="235" t="s">
        <v>17641</v>
      </c>
      <c r="AD2974" s="235" t="s">
        <v>845</v>
      </c>
      <c r="AE2974" s="238">
        <v>413512.0</v>
      </c>
      <c r="AF2974" s="235" t="s">
        <v>631</v>
      </c>
      <c r="AG2974" s="245"/>
      <c r="AH2974" s="245"/>
      <c r="AI2974" s="245"/>
      <c r="AJ2974" s="245"/>
      <c r="AK2974" s="245"/>
      <c r="AL2974" s="245"/>
      <c r="AM2974" s="245"/>
      <c r="AN2974" s="245"/>
      <c r="AO2974" s="238">
        <v>-4.86</v>
      </c>
      <c r="AP2974" s="238">
        <v>0.0</v>
      </c>
      <c r="AQ2974" s="235" t="s">
        <v>632</v>
      </c>
      <c r="AR2974" s="243">
        <v>3.71E11</v>
      </c>
      <c r="AS2974" s="235" t="s">
        <v>19388</v>
      </c>
      <c r="AT2974" s="235" t="s">
        <v>156</v>
      </c>
      <c r="AU2974" s="235" t="s">
        <v>634</v>
      </c>
      <c r="AV2974" s="246" t="s">
        <v>635</v>
      </c>
      <c r="AW2974" s="227"/>
      <c r="AX2974" s="227"/>
      <c r="AY2974" s="227"/>
      <c r="AZ2974" s="227"/>
      <c r="BA2974" s="227"/>
      <c r="BB2974" s="227"/>
      <c r="BC2974" s="227"/>
      <c r="BD2974" s="227"/>
      <c r="BE2974" s="227"/>
      <c r="BF2974" s="227"/>
    </row>
    <row r="2975">
      <c r="A2975" s="235" t="s">
        <v>22541</v>
      </c>
      <c r="C2975" s="235" t="s">
        <v>22542</v>
      </c>
      <c r="D2975" s="235" t="s">
        <v>22543</v>
      </c>
      <c r="E2975" s="243">
        <v>6.53E13</v>
      </c>
      <c r="F2975" s="245"/>
      <c r="G2975" s="235" t="s">
        <v>22544</v>
      </c>
      <c r="H2975" s="235" t="s">
        <v>22545</v>
      </c>
      <c r="I2975" s="235" t="s">
        <v>22545</v>
      </c>
      <c r="J2975" s="235" t="s">
        <v>22546</v>
      </c>
      <c r="K2975" s="235" t="s">
        <v>22547</v>
      </c>
      <c r="N2975" s="235" t="s">
        <v>15</v>
      </c>
      <c r="O2975" s="235" t="s">
        <v>856</v>
      </c>
      <c r="P2975" s="238">
        <v>1.0</v>
      </c>
      <c r="Q2975" s="235" t="s">
        <v>627</v>
      </c>
      <c r="R2975" s="238">
        <v>323.8</v>
      </c>
      <c r="S2975" s="238">
        <v>16.2</v>
      </c>
      <c r="T2975" s="238">
        <v>0.0</v>
      </c>
      <c r="U2975" s="238">
        <v>0.0</v>
      </c>
      <c r="V2975" s="238">
        <v>0.0</v>
      </c>
      <c r="W2975" s="238">
        <v>0.0</v>
      </c>
      <c r="X2975" s="235" t="s">
        <v>628</v>
      </c>
      <c r="Z2975" s="245"/>
      <c r="AA2975" s="245"/>
      <c r="AB2975" s="245"/>
      <c r="AC2975" s="235" t="s">
        <v>687</v>
      </c>
      <c r="AD2975" s="235" t="s">
        <v>666</v>
      </c>
      <c r="AE2975" s="238">
        <v>600078.0</v>
      </c>
      <c r="AF2975" s="235" t="s">
        <v>631</v>
      </c>
      <c r="AG2975" s="245"/>
      <c r="AH2975" s="245"/>
      <c r="AI2975" s="245"/>
      <c r="AJ2975" s="245"/>
      <c r="AK2975" s="245"/>
      <c r="AL2975" s="245"/>
      <c r="AM2975" s="245"/>
      <c r="AN2975" s="245"/>
      <c r="AO2975" s="238">
        <v>0.0</v>
      </c>
      <c r="AP2975" s="238">
        <v>0.0</v>
      </c>
      <c r="AQ2975" s="235" t="s">
        <v>632</v>
      </c>
      <c r="AR2975" s="243">
        <v>1.68E11</v>
      </c>
      <c r="AS2975" s="235" t="s">
        <v>22548</v>
      </c>
      <c r="AT2975" s="235" t="s">
        <v>156</v>
      </c>
      <c r="AU2975" s="235" t="s">
        <v>634</v>
      </c>
      <c r="AV2975" s="246" t="s">
        <v>635</v>
      </c>
      <c r="AW2975" s="227"/>
      <c r="AX2975" s="227"/>
      <c r="AY2975" s="227"/>
      <c r="AZ2975" s="227"/>
      <c r="BA2975" s="227"/>
      <c r="BB2975" s="227"/>
      <c r="BC2975" s="227"/>
      <c r="BD2975" s="227"/>
      <c r="BE2975" s="227"/>
      <c r="BF2975" s="227"/>
    </row>
    <row r="2976">
      <c r="A2976" s="235" t="s">
        <v>22549</v>
      </c>
      <c r="C2976" s="235" t="s">
        <v>22550</v>
      </c>
      <c r="D2976" s="235" t="s">
        <v>22551</v>
      </c>
      <c r="E2976" s="243">
        <v>6.53E13</v>
      </c>
      <c r="F2976" s="245"/>
      <c r="G2976" s="235" t="s">
        <v>22552</v>
      </c>
      <c r="H2976" s="235" t="s">
        <v>22553</v>
      </c>
      <c r="I2976" s="235" t="s">
        <v>22554</v>
      </c>
      <c r="J2976" s="235" t="s">
        <v>22555</v>
      </c>
      <c r="K2976" s="235" t="s">
        <v>22556</v>
      </c>
      <c r="N2976" s="235" t="s">
        <v>82</v>
      </c>
      <c r="O2976" s="235" t="s">
        <v>889</v>
      </c>
      <c r="P2976" s="238">
        <v>1.0</v>
      </c>
      <c r="Q2976" s="235" t="s">
        <v>627</v>
      </c>
      <c r="R2976" s="238">
        <v>233.34</v>
      </c>
      <c r="S2976" s="238">
        <v>11.66</v>
      </c>
      <c r="T2976" s="238">
        <v>0.0</v>
      </c>
      <c r="U2976" s="238">
        <v>0.0</v>
      </c>
      <c r="V2976" s="238">
        <v>0.0</v>
      </c>
      <c r="W2976" s="238">
        <v>0.0</v>
      </c>
      <c r="X2976" s="235" t="s">
        <v>628</v>
      </c>
      <c r="Z2976" s="245"/>
      <c r="AA2976" s="245"/>
      <c r="AB2976" s="245"/>
      <c r="AC2976" s="235" t="s">
        <v>1671</v>
      </c>
      <c r="AD2976" s="235" t="s">
        <v>666</v>
      </c>
      <c r="AE2976" s="238">
        <v>641014.0</v>
      </c>
      <c r="AF2976" s="235" t="s">
        <v>631</v>
      </c>
      <c r="AG2976" s="245"/>
      <c r="AH2976" s="245"/>
      <c r="AI2976" s="245"/>
      <c r="AJ2976" s="245"/>
      <c r="AK2976" s="245"/>
      <c r="AL2976" s="245"/>
      <c r="AM2976" s="245"/>
      <c r="AN2976" s="245"/>
      <c r="AO2976" s="238">
        <v>0.0</v>
      </c>
      <c r="AP2976" s="238">
        <v>0.0</v>
      </c>
      <c r="AQ2976" s="235" t="s">
        <v>632</v>
      </c>
      <c r="AR2976" s="243">
        <v>1.68E11</v>
      </c>
      <c r="AS2976" s="235" t="s">
        <v>22548</v>
      </c>
      <c r="AT2976" s="235" t="s">
        <v>155</v>
      </c>
      <c r="AU2976" s="235" t="s">
        <v>634</v>
      </c>
      <c r="AV2976" s="246" t="s">
        <v>635</v>
      </c>
      <c r="AW2976" s="227"/>
      <c r="AX2976" s="227"/>
      <c r="AY2976" s="227"/>
      <c r="AZ2976" s="227"/>
      <c r="BA2976" s="227"/>
      <c r="BB2976" s="227"/>
      <c r="BC2976" s="227"/>
      <c r="BD2976" s="227"/>
      <c r="BE2976" s="227"/>
      <c r="BF2976" s="227"/>
    </row>
    <row r="2977">
      <c r="A2977" s="235" t="s">
        <v>22557</v>
      </c>
      <c r="C2977" s="235" t="s">
        <v>22558</v>
      </c>
      <c r="D2977" s="235" t="s">
        <v>22559</v>
      </c>
      <c r="E2977" s="243">
        <v>6.52E13</v>
      </c>
      <c r="F2977" s="245"/>
      <c r="G2977" s="235" t="s">
        <v>22560</v>
      </c>
      <c r="H2977" s="235" t="s">
        <v>22561</v>
      </c>
      <c r="I2977" s="235" t="s">
        <v>22561</v>
      </c>
      <c r="J2977" s="235" t="s">
        <v>22562</v>
      </c>
      <c r="K2977" s="235" t="s">
        <v>22563</v>
      </c>
      <c r="N2977" s="235" t="s">
        <v>154</v>
      </c>
      <c r="O2977" s="235" t="s">
        <v>766</v>
      </c>
      <c r="P2977" s="238">
        <v>1.0</v>
      </c>
      <c r="Q2977" s="235" t="s">
        <v>627</v>
      </c>
      <c r="R2977" s="238">
        <v>423.81</v>
      </c>
      <c r="S2977" s="238">
        <v>21.19</v>
      </c>
      <c r="T2977" s="238">
        <v>38.1</v>
      </c>
      <c r="U2977" s="238">
        <v>1.9</v>
      </c>
      <c r="V2977" s="238">
        <v>0.0</v>
      </c>
      <c r="W2977" s="238">
        <v>0.0</v>
      </c>
      <c r="X2977" s="235" t="s">
        <v>628</v>
      </c>
      <c r="Z2977" s="245"/>
      <c r="AA2977" s="245"/>
      <c r="AB2977" s="245"/>
      <c r="AC2977" s="235" t="s">
        <v>22564</v>
      </c>
      <c r="AD2977" s="235" t="s">
        <v>1077</v>
      </c>
      <c r="AE2977" s="238">
        <v>361142.0</v>
      </c>
      <c r="AF2977" s="235" t="s">
        <v>631</v>
      </c>
      <c r="AG2977" s="245"/>
      <c r="AH2977" s="245"/>
      <c r="AI2977" s="245"/>
      <c r="AJ2977" s="245"/>
      <c r="AK2977" s="245"/>
      <c r="AL2977" s="245"/>
      <c r="AM2977" s="245"/>
      <c r="AN2977" s="245"/>
      <c r="AO2977" s="238">
        <v>0.0</v>
      </c>
      <c r="AP2977" s="238">
        <v>-38.1</v>
      </c>
      <c r="AQ2977" s="235" t="s">
        <v>632</v>
      </c>
      <c r="AR2977" s="243">
        <v>3.71E11</v>
      </c>
      <c r="AS2977" s="235" t="s">
        <v>16626</v>
      </c>
      <c r="AT2977" s="235" t="s">
        <v>155</v>
      </c>
      <c r="AU2977" s="235" t="s">
        <v>634</v>
      </c>
      <c r="AV2977" s="246" t="s">
        <v>635</v>
      </c>
      <c r="AW2977" s="227"/>
      <c r="AX2977" s="227"/>
      <c r="AY2977" s="227"/>
      <c r="AZ2977" s="227"/>
      <c r="BA2977" s="227"/>
      <c r="BB2977" s="227"/>
      <c r="BC2977" s="227"/>
      <c r="BD2977" s="227"/>
      <c r="BE2977" s="227"/>
      <c r="BF2977" s="227"/>
    </row>
    <row r="2978">
      <c r="A2978" s="235" t="s">
        <v>22565</v>
      </c>
      <c r="C2978" s="235" t="s">
        <v>22566</v>
      </c>
      <c r="D2978" s="235" t="s">
        <v>22567</v>
      </c>
      <c r="E2978" s="243">
        <v>6.52E13</v>
      </c>
      <c r="F2978" s="245"/>
      <c r="G2978" s="235" t="s">
        <v>22568</v>
      </c>
      <c r="H2978" s="235" t="s">
        <v>22569</v>
      </c>
      <c r="I2978" s="235" t="s">
        <v>22569</v>
      </c>
      <c r="J2978" s="235" t="s">
        <v>22570</v>
      </c>
      <c r="K2978" s="235" t="s">
        <v>22571</v>
      </c>
      <c r="N2978" s="235" t="s">
        <v>130</v>
      </c>
      <c r="O2978" s="235" t="s">
        <v>707</v>
      </c>
      <c r="P2978" s="238">
        <v>1.0</v>
      </c>
      <c r="Q2978" s="235" t="s">
        <v>627</v>
      </c>
      <c r="R2978" s="238">
        <v>246.67</v>
      </c>
      <c r="S2978" s="238">
        <v>12.33</v>
      </c>
      <c r="T2978" s="238">
        <v>38.1</v>
      </c>
      <c r="U2978" s="238">
        <v>1.9</v>
      </c>
      <c r="V2978" s="238">
        <v>0.0</v>
      </c>
      <c r="W2978" s="238">
        <v>0.0</v>
      </c>
      <c r="X2978" s="235" t="s">
        <v>628</v>
      </c>
      <c r="Z2978" s="245"/>
      <c r="AA2978" s="245"/>
      <c r="AB2978" s="245"/>
      <c r="AC2978" s="235" t="s">
        <v>22572</v>
      </c>
      <c r="AD2978" s="235" t="s">
        <v>666</v>
      </c>
      <c r="AE2978" s="238">
        <v>627756.0</v>
      </c>
      <c r="AF2978" s="235" t="s">
        <v>631</v>
      </c>
      <c r="AG2978" s="245"/>
      <c r="AH2978" s="245"/>
      <c r="AI2978" s="245"/>
      <c r="AJ2978" s="245"/>
      <c r="AK2978" s="245"/>
      <c r="AL2978" s="245"/>
      <c r="AM2978" s="245"/>
      <c r="AN2978" s="245"/>
      <c r="AO2978" s="238">
        <v>0.0</v>
      </c>
      <c r="AP2978" s="238">
        <v>-38.1</v>
      </c>
      <c r="AQ2978" s="235" t="s">
        <v>632</v>
      </c>
      <c r="AR2978" s="243">
        <v>3.71E11</v>
      </c>
      <c r="AS2978" s="235" t="s">
        <v>20529</v>
      </c>
      <c r="AT2978" s="235" t="s">
        <v>9</v>
      </c>
      <c r="AU2978" s="235" t="s">
        <v>634</v>
      </c>
      <c r="AV2978" s="246" t="s">
        <v>635</v>
      </c>
      <c r="AW2978" s="227"/>
      <c r="AX2978" s="227"/>
      <c r="AY2978" s="227"/>
      <c r="AZ2978" s="227"/>
      <c r="BA2978" s="227"/>
      <c r="BB2978" s="227"/>
      <c r="BC2978" s="227"/>
      <c r="BD2978" s="227"/>
      <c r="BE2978" s="227"/>
      <c r="BF2978" s="227"/>
    </row>
    <row r="2979">
      <c r="A2979" s="235" t="s">
        <v>22573</v>
      </c>
      <c r="C2979" s="235" t="s">
        <v>22574</v>
      </c>
      <c r="D2979" s="235" t="s">
        <v>22575</v>
      </c>
      <c r="E2979" s="243">
        <v>6.51E13</v>
      </c>
      <c r="F2979" s="245"/>
      <c r="G2979" s="235" t="s">
        <v>22576</v>
      </c>
      <c r="H2979" s="235" t="s">
        <v>22577</v>
      </c>
      <c r="I2979" s="235" t="s">
        <v>22577</v>
      </c>
      <c r="J2979" s="235" t="s">
        <v>22578</v>
      </c>
      <c r="K2979" s="235" t="s">
        <v>22579</v>
      </c>
      <c r="N2979" s="235" t="s">
        <v>92</v>
      </c>
      <c r="O2979" s="235" t="s">
        <v>248</v>
      </c>
      <c r="P2979" s="238">
        <v>1.0</v>
      </c>
      <c r="Q2979" s="235" t="s">
        <v>627</v>
      </c>
      <c r="R2979" s="238">
        <v>270.48</v>
      </c>
      <c r="S2979" s="238">
        <v>13.52</v>
      </c>
      <c r="T2979" s="238">
        <v>38.1</v>
      </c>
      <c r="U2979" s="238">
        <v>1.9</v>
      </c>
      <c r="V2979" s="238">
        <v>0.0</v>
      </c>
      <c r="W2979" s="238">
        <v>0.0</v>
      </c>
      <c r="X2979" s="235" t="s">
        <v>628</v>
      </c>
      <c r="Z2979" s="245"/>
      <c r="AA2979" s="245"/>
      <c r="AB2979" s="245"/>
      <c r="AC2979" s="235" t="s">
        <v>2687</v>
      </c>
      <c r="AD2979" s="235" t="s">
        <v>2688</v>
      </c>
      <c r="AE2979" s="238">
        <v>180015.0</v>
      </c>
      <c r="AF2979" s="235" t="s">
        <v>631</v>
      </c>
      <c r="AG2979" s="245"/>
      <c r="AH2979" s="245"/>
      <c r="AI2979" s="245"/>
      <c r="AJ2979" s="245"/>
      <c r="AK2979" s="245"/>
      <c r="AL2979" s="245"/>
      <c r="AM2979" s="245"/>
      <c r="AN2979" s="245"/>
      <c r="AO2979" s="238">
        <v>0.0</v>
      </c>
      <c r="AP2979" s="238">
        <v>-38.1</v>
      </c>
      <c r="AQ2979" s="235" t="s">
        <v>632</v>
      </c>
      <c r="AR2979" s="243">
        <v>1.68E11</v>
      </c>
      <c r="AS2979" s="235" t="s">
        <v>19388</v>
      </c>
      <c r="AT2979" s="235" t="s">
        <v>533</v>
      </c>
      <c r="AU2979" s="235" t="s">
        <v>634</v>
      </c>
      <c r="AV2979" s="246" t="s">
        <v>635</v>
      </c>
      <c r="AW2979" s="227"/>
      <c r="AX2979" s="227"/>
      <c r="AY2979" s="227"/>
      <c r="AZ2979" s="227"/>
      <c r="BA2979" s="227"/>
      <c r="BB2979" s="227"/>
      <c r="BC2979" s="227"/>
      <c r="BD2979" s="227"/>
      <c r="BE2979" s="227"/>
      <c r="BF2979" s="227"/>
    </row>
    <row r="2980">
      <c r="A2980" s="235" t="s">
        <v>22580</v>
      </c>
      <c r="C2980" s="235" t="s">
        <v>22581</v>
      </c>
      <c r="D2980" s="235" t="s">
        <v>22582</v>
      </c>
      <c r="E2980" s="243">
        <v>6.53E13</v>
      </c>
      <c r="F2980" s="245"/>
      <c r="G2980" s="235" t="s">
        <v>22583</v>
      </c>
      <c r="H2980" s="235" t="s">
        <v>22584</v>
      </c>
      <c r="I2980" s="235" t="s">
        <v>22584</v>
      </c>
      <c r="J2980" s="235" t="s">
        <v>22585</v>
      </c>
      <c r="K2980" s="235" t="s">
        <v>22586</v>
      </c>
      <c r="N2980" s="235" t="s">
        <v>117</v>
      </c>
      <c r="O2980" s="235" t="s">
        <v>334</v>
      </c>
      <c r="P2980" s="238">
        <v>1.0</v>
      </c>
      <c r="Q2980" s="235" t="s">
        <v>627</v>
      </c>
      <c r="R2980" s="238">
        <v>236.19</v>
      </c>
      <c r="S2980" s="238">
        <v>11.57</v>
      </c>
      <c r="T2980" s="238">
        <v>0.0</v>
      </c>
      <c r="U2980" s="238">
        <v>0.0</v>
      </c>
      <c r="V2980" s="238">
        <v>0.0</v>
      </c>
      <c r="W2980" s="238">
        <v>0.0</v>
      </c>
      <c r="X2980" s="235" t="s">
        <v>628</v>
      </c>
      <c r="Z2980" s="245"/>
      <c r="AA2980" s="245"/>
      <c r="AB2980" s="245"/>
      <c r="AC2980" s="235" t="s">
        <v>678</v>
      </c>
      <c r="AD2980" s="235" t="s">
        <v>679</v>
      </c>
      <c r="AE2980" s="238">
        <v>560093.0</v>
      </c>
      <c r="AF2980" s="235" t="s">
        <v>631</v>
      </c>
      <c r="AG2980" s="245"/>
      <c r="AH2980" s="245"/>
      <c r="AI2980" s="245"/>
      <c r="AJ2980" s="245"/>
      <c r="AK2980" s="245"/>
      <c r="AL2980" s="245"/>
      <c r="AM2980" s="245"/>
      <c r="AN2980" s="245"/>
      <c r="AO2980" s="238">
        <v>-4.72</v>
      </c>
      <c r="AP2980" s="238">
        <v>0.0</v>
      </c>
      <c r="AQ2980" s="235" t="s">
        <v>632</v>
      </c>
      <c r="AR2980" s="243">
        <v>1.68E11</v>
      </c>
      <c r="AS2980" s="235" t="s">
        <v>19388</v>
      </c>
      <c r="AT2980" s="235" t="s">
        <v>16</v>
      </c>
      <c r="AU2980" s="235" t="s">
        <v>634</v>
      </c>
      <c r="AV2980" s="246" t="s">
        <v>635</v>
      </c>
      <c r="AW2980" s="227"/>
      <c r="AX2980" s="227"/>
      <c r="AY2980" s="227"/>
      <c r="AZ2980" s="227"/>
      <c r="BA2980" s="227"/>
      <c r="BB2980" s="227"/>
      <c r="BC2980" s="227"/>
      <c r="BD2980" s="227"/>
      <c r="BE2980" s="227"/>
      <c r="BF2980" s="227"/>
    </row>
    <row r="2981">
      <c r="A2981" s="235" t="s">
        <v>22587</v>
      </c>
      <c r="C2981" s="235" t="s">
        <v>22588</v>
      </c>
      <c r="D2981" s="235" t="s">
        <v>22589</v>
      </c>
      <c r="E2981" s="243">
        <v>6.52E13</v>
      </c>
      <c r="F2981" s="245"/>
      <c r="G2981" s="235" t="s">
        <v>22590</v>
      </c>
      <c r="H2981" s="235" t="s">
        <v>22591</v>
      </c>
      <c r="I2981" s="235" t="s">
        <v>22592</v>
      </c>
      <c r="J2981" s="235" t="s">
        <v>22593</v>
      </c>
      <c r="K2981" s="235" t="s">
        <v>22594</v>
      </c>
      <c r="N2981" s="235" t="s">
        <v>127</v>
      </c>
      <c r="O2981" s="235" t="s">
        <v>794</v>
      </c>
      <c r="P2981" s="238">
        <v>1.0</v>
      </c>
      <c r="Q2981" s="235" t="s">
        <v>627</v>
      </c>
      <c r="R2981" s="238">
        <v>243.81</v>
      </c>
      <c r="S2981" s="238">
        <v>12.19</v>
      </c>
      <c r="T2981" s="238">
        <v>38.1</v>
      </c>
      <c r="U2981" s="238">
        <v>1.9</v>
      </c>
      <c r="V2981" s="238">
        <v>0.0</v>
      </c>
      <c r="W2981" s="238">
        <v>0.0</v>
      </c>
      <c r="X2981" s="235" t="s">
        <v>628</v>
      </c>
      <c r="Z2981" s="245"/>
      <c r="AA2981" s="245"/>
      <c r="AB2981" s="245"/>
      <c r="AC2981" s="235" t="s">
        <v>937</v>
      </c>
      <c r="AD2981" s="235" t="s">
        <v>709</v>
      </c>
      <c r="AE2981" s="238">
        <v>800002.0</v>
      </c>
      <c r="AF2981" s="235" t="s">
        <v>631</v>
      </c>
      <c r="AG2981" s="245"/>
      <c r="AH2981" s="245"/>
      <c r="AI2981" s="245"/>
      <c r="AJ2981" s="245"/>
      <c r="AK2981" s="245"/>
      <c r="AL2981" s="245"/>
      <c r="AM2981" s="245"/>
      <c r="AN2981" s="245"/>
      <c r="AO2981" s="238">
        <v>0.0</v>
      </c>
      <c r="AP2981" s="238">
        <v>-38.1</v>
      </c>
      <c r="AQ2981" s="235" t="s">
        <v>632</v>
      </c>
      <c r="AR2981" s="243">
        <v>3.71E11</v>
      </c>
      <c r="AS2981" s="235" t="s">
        <v>17988</v>
      </c>
      <c r="AT2981" s="235" t="s">
        <v>13</v>
      </c>
      <c r="AU2981" s="235" t="s">
        <v>634</v>
      </c>
      <c r="AV2981" s="246" t="s">
        <v>635</v>
      </c>
      <c r="AW2981" s="227"/>
      <c r="AX2981" s="227"/>
      <c r="AY2981" s="227"/>
      <c r="AZ2981" s="227"/>
      <c r="BA2981" s="227"/>
      <c r="BB2981" s="227"/>
      <c r="BC2981" s="227"/>
      <c r="BD2981" s="227"/>
      <c r="BE2981" s="227"/>
      <c r="BF2981" s="227"/>
    </row>
    <row r="2982">
      <c r="A2982" s="235" t="s">
        <v>22595</v>
      </c>
      <c r="C2982" s="235" t="s">
        <v>22596</v>
      </c>
      <c r="D2982" s="235" t="s">
        <v>22597</v>
      </c>
      <c r="E2982" s="243">
        <v>6.52E13</v>
      </c>
      <c r="F2982" s="245"/>
      <c r="G2982" s="235" t="s">
        <v>22598</v>
      </c>
      <c r="H2982" s="235" t="s">
        <v>22599</v>
      </c>
      <c r="I2982" s="235" t="s">
        <v>22599</v>
      </c>
      <c r="J2982" s="235" t="s">
        <v>22600</v>
      </c>
      <c r="K2982" s="235" t="s">
        <v>11431</v>
      </c>
      <c r="N2982" s="235" t="s">
        <v>85</v>
      </c>
      <c r="O2982" s="235" t="s">
        <v>872</v>
      </c>
      <c r="P2982" s="238">
        <v>1.0</v>
      </c>
      <c r="Q2982" s="235" t="s">
        <v>627</v>
      </c>
      <c r="R2982" s="238">
        <v>246.66</v>
      </c>
      <c r="S2982" s="238">
        <v>12.34</v>
      </c>
      <c r="T2982" s="238">
        <v>38.1</v>
      </c>
      <c r="U2982" s="238">
        <v>1.9</v>
      </c>
      <c r="V2982" s="238">
        <v>0.0</v>
      </c>
      <c r="W2982" s="238">
        <v>0.0</v>
      </c>
      <c r="X2982" s="235" t="s">
        <v>628</v>
      </c>
      <c r="Z2982" s="245"/>
      <c r="AA2982" s="245"/>
      <c r="AB2982" s="245"/>
      <c r="AC2982" s="235" t="s">
        <v>1671</v>
      </c>
      <c r="AD2982" s="235" t="s">
        <v>666</v>
      </c>
      <c r="AE2982" s="238">
        <v>641021.0</v>
      </c>
      <c r="AF2982" s="235" t="s">
        <v>631</v>
      </c>
      <c r="AG2982" s="245"/>
      <c r="AH2982" s="245"/>
      <c r="AI2982" s="245"/>
      <c r="AJ2982" s="245"/>
      <c r="AK2982" s="245"/>
      <c r="AL2982" s="245"/>
      <c r="AM2982" s="245"/>
      <c r="AN2982" s="245"/>
      <c r="AO2982" s="238">
        <v>0.0</v>
      </c>
      <c r="AP2982" s="238">
        <v>-38.1</v>
      </c>
      <c r="AQ2982" s="235" t="s">
        <v>632</v>
      </c>
      <c r="AR2982" s="243">
        <v>3.71E11</v>
      </c>
      <c r="AS2982" s="235" t="s">
        <v>22269</v>
      </c>
      <c r="AT2982" s="235" t="s">
        <v>155</v>
      </c>
      <c r="AU2982" s="235" t="s">
        <v>634</v>
      </c>
      <c r="AV2982" s="246" t="s">
        <v>635</v>
      </c>
      <c r="AW2982" s="227"/>
      <c r="AX2982" s="227"/>
      <c r="AY2982" s="227"/>
      <c r="AZ2982" s="227"/>
      <c r="BA2982" s="227"/>
      <c r="BB2982" s="227"/>
      <c r="BC2982" s="227"/>
      <c r="BD2982" s="227"/>
      <c r="BE2982" s="227"/>
      <c r="BF2982" s="227"/>
    </row>
    <row r="2983">
      <c r="A2983" s="235" t="s">
        <v>22601</v>
      </c>
      <c r="C2983" s="235" t="s">
        <v>22602</v>
      </c>
      <c r="D2983" s="235" t="s">
        <v>22603</v>
      </c>
      <c r="E2983" s="243">
        <v>6.52E13</v>
      </c>
      <c r="F2983" s="245"/>
      <c r="G2983" s="235" t="s">
        <v>22604</v>
      </c>
      <c r="H2983" s="235" t="s">
        <v>22605</v>
      </c>
      <c r="I2983" s="235" t="s">
        <v>22605</v>
      </c>
      <c r="J2983" s="235" t="s">
        <v>22606</v>
      </c>
      <c r="K2983" s="235" t="s">
        <v>22607</v>
      </c>
      <c r="N2983" s="235" t="s">
        <v>143</v>
      </c>
      <c r="O2983" s="235" t="s">
        <v>220</v>
      </c>
      <c r="P2983" s="238">
        <v>1.0</v>
      </c>
      <c r="Q2983" s="235" t="s">
        <v>627</v>
      </c>
      <c r="R2983" s="238">
        <v>246.67</v>
      </c>
      <c r="S2983" s="238">
        <v>12.33</v>
      </c>
      <c r="T2983" s="238">
        <v>38.1</v>
      </c>
      <c r="U2983" s="238">
        <v>1.9</v>
      </c>
      <c r="V2983" s="238">
        <v>0.0</v>
      </c>
      <c r="W2983" s="238">
        <v>0.0</v>
      </c>
      <c r="X2983" s="235" t="s">
        <v>628</v>
      </c>
      <c r="Z2983" s="245"/>
      <c r="AA2983" s="245"/>
      <c r="AB2983" s="245"/>
      <c r="AC2983" s="235" t="s">
        <v>22608</v>
      </c>
      <c r="AD2983" s="235" t="s">
        <v>645</v>
      </c>
      <c r="AE2983" s="238">
        <v>688561.0</v>
      </c>
      <c r="AF2983" s="235" t="s">
        <v>631</v>
      </c>
      <c r="AG2983" s="245"/>
      <c r="AH2983" s="245"/>
      <c r="AI2983" s="245"/>
      <c r="AJ2983" s="245"/>
      <c r="AK2983" s="245"/>
      <c r="AL2983" s="245"/>
      <c r="AM2983" s="245"/>
      <c r="AN2983" s="245"/>
      <c r="AO2983" s="238">
        <v>0.0</v>
      </c>
      <c r="AP2983" s="238">
        <v>-38.1</v>
      </c>
      <c r="AQ2983" s="235" t="s">
        <v>632</v>
      </c>
      <c r="AR2983" s="243">
        <v>3.71E11</v>
      </c>
      <c r="AS2983" s="235" t="s">
        <v>20529</v>
      </c>
      <c r="AT2983" s="235" t="s">
        <v>155</v>
      </c>
      <c r="AU2983" s="235" t="s">
        <v>634</v>
      </c>
      <c r="AV2983" s="246" t="s">
        <v>635</v>
      </c>
      <c r="AW2983" s="227"/>
      <c r="AX2983" s="227"/>
      <c r="AY2983" s="227"/>
      <c r="AZ2983" s="227"/>
      <c r="BA2983" s="227"/>
      <c r="BB2983" s="227"/>
      <c r="BC2983" s="227"/>
      <c r="BD2983" s="227"/>
      <c r="BE2983" s="227"/>
      <c r="BF2983" s="227"/>
    </row>
    <row r="2984">
      <c r="A2984" s="235" t="s">
        <v>22609</v>
      </c>
      <c r="C2984" s="235" t="s">
        <v>22610</v>
      </c>
      <c r="D2984" s="235" t="s">
        <v>22611</v>
      </c>
      <c r="E2984" s="243">
        <v>6.53E13</v>
      </c>
      <c r="F2984" s="245"/>
      <c r="G2984" s="235" t="s">
        <v>22612</v>
      </c>
      <c r="H2984" s="235" t="s">
        <v>22613</v>
      </c>
      <c r="I2984" s="235" t="s">
        <v>22613</v>
      </c>
      <c r="J2984" s="235" t="s">
        <v>22614</v>
      </c>
      <c r="K2984" s="235" t="s">
        <v>22615</v>
      </c>
      <c r="N2984" s="235" t="s">
        <v>127</v>
      </c>
      <c r="O2984" s="235" t="s">
        <v>794</v>
      </c>
      <c r="P2984" s="238">
        <v>1.0</v>
      </c>
      <c r="Q2984" s="235" t="s">
        <v>627</v>
      </c>
      <c r="R2984" s="238">
        <v>242.86</v>
      </c>
      <c r="S2984" s="238">
        <v>12.14</v>
      </c>
      <c r="T2984" s="238">
        <v>0.0</v>
      </c>
      <c r="U2984" s="238">
        <v>0.0</v>
      </c>
      <c r="V2984" s="238">
        <v>0.0</v>
      </c>
      <c r="W2984" s="238">
        <v>0.0</v>
      </c>
      <c r="X2984" s="235" t="s">
        <v>628</v>
      </c>
      <c r="Z2984" s="245"/>
      <c r="AA2984" s="245"/>
      <c r="AB2984" s="245"/>
      <c r="AC2984" s="235" t="s">
        <v>678</v>
      </c>
      <c r="AD2984" s="235" t="s">
        <v>679</v>
      </c>
      <c r="AE2984" s="238">
        <v>560048.0</v>
      </c>
      <c r="AF2984" s="235" t="s">
        <v>631</v>
      </c>
      <c r="AG2984" s="245"/>
      <c r="AH2984" s="245"/>
      <c r="AI2984" s="245"/>
      <c r="AJ2984" s="245"/>
      <c r="AK2984" s="245"/>
      <c r="AL2984" s="245"/>
      <c r="AM2984" s="245"/>
      <c r="AN2984" s="245"/>
      <c r="AO2984" s="238">
        <v>0.0</v>
      </c>
      <c r="AP2984" s="238">
        <v>0.0</v>
      </c>
      <c r="AQ2984" s="235" t="s">
        <v>632</v>
      </c>
      <c r="AR2984" s="243">
        <v>1.68E11</v>
      </c>
      <c r="AS2984" s="235" t="s">
        <v>22548</v>
      </c>
      <c r="AT2984" s="235" t="s">
        <v>11</v>
      </c>
      <c r="AU2984" s="235" t="s">
        <v>634</v>
      </c>
      <c r="AV2984" s="246" t="s">
        <v>635</v>
      </c>
      <c r="AW2984" s="227"/>
      <c r="AX2984" s="227"/>
      <c r="AY2984" s="227"/>
      <c r="AZ2984" s="227"/>
      <c r="BA2984" s="227"/>
      <c r="BB2984" s="227"/>
      <c r="BC2984" s="227"/>
      <c r="BD2984" s="227"/>
      <c r="BE2984" s="227"/>
      <c r="BF2984" s="227"/>
    </row>
    <row r="2985">
      <c r="A2985" s="235" t="s">
        <v>22616</v>
      </c>
      <c r="C2985" s="235" t="s">
        <v>22617</v>
      </c>
      <c r="D2985" s="235" t="s">
        <v>22618</v>
      </c>
      <c r="E2985" s="243">
        <v>6.52E13</v>
      </c>
      <c r="F2985" s="245"/>
      <c r="G2985" s="235" t="s">
        <v>22619</v>
      </c>
      <c r="H2985" s="235" t="s">
        <v>22620</v>
      </c>
      <c r="I2985" s="235" t="s">
        <v>22620</v>
      </c>
      <c r="J2985" s="235" t="s">
        <v>22621</v>
      </c>
      <c r="K2985" s="235" t="s">
        <v>22622</v>
      </c>
      <c r="N2985" s="235" t="s">
        <v>842</v>
      </c>
      <c r="O2985" s="235" t="s">
        <v>843</v>
      </c>
      <c r="P2985" s="238">
        <v>1.0</v>
      </c>
      <c r="Q2985" s="235" t="s">
        <v>627</v>
      </c>
      <c r="R2985" s="238">
        <v>237.14</v>
      </c>
      <c r="S2985" s="238">
        <v>11.86</v>
      </c>
      <c r="T2985" s="238">
        <v>38.1</v>
      </c>
      <c r="U2985" s="238">
        <v>1.9</v>
      </c>
      <c r="V2985" s="238">
        <v>0.0</v>
      </c>
      <c r="W2985" s="238">
        <v>0.0</v>
      </c>
      <c r="X2985" s="235" t="s">
        <v>628</v>
      </c>
      <c r="Z2985" s="245"/>
      <c r="AA2985" s="245"/>
      <c r="AB2985" s="245"/>
      <c r="AC2985" s="235" t="s">
        <v>22623</v>
      </c>
      <c r="AD2985" s="235" t="s">
        <v>666</v>
      </c>
      <c r="AE2985" s="238">
        <v>628204.0</v>
      </c>
      <c r="AF2985" s="235" t="s">
        <v>631</v>
      </c>
      <c r="AG2985" s="245"/>
      <c r="AH2985" s="245"/>
      <c r="AI2985" s="245"/>
      <c r="AJ2985" s="245"/>
      <c r="AK2985" s="245"/>
      <c r="AL2985" s="245"/>
      <c r="AM2985" s="245"/>
      <c r="AN2985" s="245"/>
      <c r="AO2985" s="238">
        <v>0.0</v>
      </c>
      <c r="AP2985" s="238">
        <v>-38.1</v>
      </c>
      <c r="AQ2985" s="235" t="s">
        <v>632</v>
      </c>
      <c r="AR2985" s="243">
        <v>3.71E11</v>
      </c>
      <c r="AS2985" s="235" t="s">
        <v>19388</v>
      </c>
      <c r="AT2985" s="235" t="s">
        <v>156</v>
      </c>
      <c r="AU2985" s="235" t="s">
        <v>634</v>
      </c>
      <c r="AV2985" s="246" t="s">
        <v>635</v>
      </c>
      <c r="AW2985" s="227"/>
      <c r="AX2985" s="227"/>
      <c r="AY2985" s="227"/>
      <c r="AZ2985" s="227"/>
      <c r="BA2985" s="227"/>
      <c r="BB2985" s="227"/>
      <c r="BC2985" s="227"/>
      <c r="BD2985" s="227"/>
      <c r="BE2985" s="227"/>
      <c r="BF2985" s="227"/>
    </row>
    <row r="2986">
      <c r="A2986" s="235" t="s">
        <v>22624</v>
      </c>
      <c r="C2986" s="235" t="s">
        <v>22625</v>
      </c>
      <c r="D2986" s="235" t="s">
        <v>22626</v>
      </c>
      <c r="E2986" s="243">
        <v>6.52E13</v>
      </c>
      <c r="F2986" s="245"/>
      <c r="G2986" s="235" t="s">
        <v>22627</v>
      </c>
      <c r="H2986" s="235" t="s">
        <v>22628</v>
      </c>
      <c r="I2986" s="235" t="s">
        <v>22628</v>
      </c>
      <c r="J2986" s="235" t="s">
        <v>22629</v>
      </c>
      <c r="K2986" s="235" t="s">
        <v>22630</v>
      </c>
      <c r="N2986" s="235" t="s">
        <v>42</v>
      </c>
      <c r="O2986" s="235" t="s">
        <v>204</v>
      </c>
      <c r="P2986" s="238">
        <v>1.0</v>
      </c>
      <c r="Q2986" s="235" t="s">
        <v>627</v>
      </c>
      <c r="R2986" s="238">
        <v>237.14</v>
      </c>
      <c r="S2986" s="238">
        <v>11.62</v>
      </c>
      <c r="T2986" s="238">
        <v>0.0</v>
      </c>
      <c r="U2986" s="238">
        <v>0.0</v>
      </c>
      <c r="V2986" s="238">
        <v>0.0</v>
      </c>
      <c r="W2986" s="238">
        <v>0.0</v>
      </c>
      <c r="X2986" s="235" t="s">
        <v>628</v>
      </c>
      <c r="Z2986" s="245"/>
      <c r="AA2986" s="245"/>
      <c r="AB2986" s="245"/>
      <c r="AC2986" s="235" t="s">
        <v>687</v>
      </c>
      <c r="AD2986" s="235" t="s">
        <v>666</v>
      </c>
      <c r="AE2986" s="238">
        <v>600069.0</v>
      </c>
      <c r="AF2986" s="235" t="s">
        <v>631</v>
      </c>
      <c r="AG2986" s="245"/>
      <c r="AH2986" s="245"/>
      <c r="AI2986" s="245"/>
      <c r="AJ2986" s="245"/>
      <c r="AK2986" s="245"/>
      <c r="AL2986" s="245"/>
      <c r="AM2986" s="245"/>
      <c r="AN2986" s="245"/>
      <c r="AO2986" s="238">
        <v>-4.74</v>
      </c>
      <c r="AP2986" s="238">
        <v>0.0</v>
      </c>
      <c r="AQ2986" s="235" t="s">
        <v>1356</v>
      </c>
      <c r="AR2986" s="235" t="s">
        <v>22631</v>
      </c>
      <c r="AS2986" s="235" t="s">
        <v>7365</v>
      </c>
      <c r="AT2986" s="235" t="s">
        <v>9</v>
      </c>
      <c r="AU2986" s="235" t="s">
        <v>634</v>
      </c>
      <c r="AV2986" s="246" t="s">
        <v>635</v>
      </c>
      <c r="AW2986" s="227"/>
      <c r="AX2986" s="227"/>
      <c r="AY2986" s="227"/>
      <c r="AZ2986" s="227"/>
      <c r="BA2986" s="227"/>
      <c r="BB2986" s="227"/>
      <c r="BC2986" s="227"/>
      <c r="BD2986" s="227"/>
      <c r="BE2986" s="227"/>
      <c r="BF2986" s="227"/>
    </row>
    <row r="2987">
      <c r="A2987" s="235" t="s">
        <v>22632</v>
      </c>
      <c r="C2987" s="235" t="s">
        <v>22633</v>
      </c>
      <c r="D2987" s="235" t="s">
        <v>22634</v>
      </c>
      <c r="E2987" s="243">
        <v>6.53E13</v>
      </c>
      <c r="F2987" s="245"/>
      <c r="G2987" s="235" t="s">
        <v>22635</v>
      </c>
      <c r="H2987" s="235" t="s">
        <v>22636</v>
      </c>
      <c r="I2987" s="235" t="s">
        <v>22636</v>
      </c>
      <c r="J2987" s="235" t="s">
        <v>22637</v>
      </c>
      <c r="K2987" s="235" t="s">
        <v>22638</v>
      </c>
      <c r="N2987" s="235" t="s">
        <v>47</v>
      </c>
      <c r="O2987" s="235" t="s">
        <v>270</v>
      </c>
      <c r="P2987" s="238">
        <v>1.0</v>
      </c>
      <c r="Q2987" s="235" t="s">
        <v>627</v>
      </c>
      <c r="R2987" s="238">
        <v>237.14</v>
      </c>
      <c r="S2987" s="238">
        <v>11.86</v>
      </c>
      <c r="T2987" s="238">
        <v>0.0</v>
      </c>
      <c r="U2987" s="238">
        <v>0.0</v>
      </c>
      <c r="V2987" s="238">
        <v>0.0</v>
      </c>
      <c r="W2987" s="238">
        <v>0.0</v>
      </c>
      <c r="X2987" s="235" t="s">
        <v>628</v>
      </c>
      <c r="Z2987" s="245"/>
      <c r="AA2987" s="245"/>
      <c r="AB2987" s="245"/>
      <c r="AC2987" s="235" t="s">
        <v>2236</v>
      </c>
      <c r="AD2987" s="235" t="s">
        <v>666</v>
      </c>
      <c r="AE2987" s="238">
        <v>641036.0</v>
      </c>
      <c r="AF2987" s="235" t="s">
        <v>631</v>
      </c>
      <c r="AG2987" s="245"/>
      <c r="AH2987" s="245"/>
      <c r="AI2987" s="245"/>
      <c r="AJ2987" s="245"/>
      <c r="AK2987" s="245"/>
      <c r="AL2987" s="245"/>
      <c r="AM2987" s="245"/>
      <c r="AN2987" s="245"/>
      <c r="AO2987" s="238">
        <v>0.0</v>
      </c>
      <c r="AP2987" s="238">
        <v>0.0</v>
      </c>
      <c r="AQ2987" s="235" t="s">
        <v>632</v>
      </c>
      <c r="AR2987" s="243">
        <v>3.71E11</v>
      </c>
      <c r="AS2987" s="235" t="s">
        <v>22269</v>
      </c>
      <c r="AT2987" s="235" t="s">
        <v>155</v>
      </c>
      <c r="AU2987" s="235" t="s">
        <v>634</v>
      </c>
      <c r="AV2987" s="246" t="s">
        <v>635</v>
      </c>
      <c r="AW2987" s="227"/>
      <c r="AX2987" s="227"/>
      <c r="AY2987" s="227"/>
      <c r="AZ2987" s="227"/>
      <c r="BA2987" s="227"/>
      <c r="BB2987" s="227"/>
      <c r="BC2987" s="227"/>
      <c r="BD2987" s="227"/>
      <c r="BE2987" s="227"/>
      <c r="BF2987" s="227"/>
    </row>
    <row r="2988">
      <c r="A2988" s="235" t="s">
        <v>22639</v>
      </c>
      <c r="C2988" s="235" t="s">
        <v>22640</v>
      </c>
      <c r="D2988" s="235" t="s">
        <v>22641</v>
      </c>
      <c r="E2988" s="243">
        <v>6.53E13</v>
      </c>
      <c r="F2988" s="245"/>
      <c r="G2988" s="235" t="s">
        <v>22642</v>
      </c>
      <c r="H2988" s="235" t="s">
        <v>22643</v>
      </c>
      <c r="I2988" s="235" t="s">
        <v>22643</v>
      </c>
      <c r="J2988" s="235" t="s">
        <v>22644</v>
      </c>
      <c r="K2988" s="235" t="s">
        <v>22645</v>
      </c>
      <c r="N2988" s="235" t="s">
        <v>139</v>
      </c>
      <c r="O2988" s="235" t="s">
        <v>2091</v>
      </c>
      <c r="P2988" s="238">
        <v>1.0</v>
      </c>
      <c r="Q2988" s="235" t="s">
        <v>627</v>
      </c>
      <c r="R2988" s="238">
        <v>243.8</v>
      </c>
      <c r="S2988" s="238">
        <v>11.96</v>
      </c>
      <c r="T2988" s="238">
        <v>0.0</v>
      </c>
      <c r="U2988" s="238">
        <v>0.0</v>
      </c>
      <c r="V2988" s="238">
        <v>0.0</v>
      </c>
      <c r="W2988" s="238">
        <v>0.0</v>
      </c>
      <c r="X2988" s="235" t="s">
        <v>628</v>
      </c>
      <c r="Z2988" s="245"/>
      <c r="AA2988" s="245"/>
      <c r="AB2988" s="245"/>
      <c r="AC2988" s="235" t="s">
        <v>678</v>
      </c>
      <c r="AD2988" s="235" t="s">
        <v>679</v>
      </c>
      <c r="AE2988" s="238">
        <v>560068.0</v>
      </c>
      <c r="AF2988" s="235" t="s">
        <v>631</v>
      </c>
      <c r="AG2988" s="245"/>
      <c r="AH2988" s="245"/>
      <c r="AI2988" s="245"/>
      <c r="AJ2988" s="245"/>
      <c r="AK2988" s="245"/>
      <c r="AL2988" s="245"/>
      <c r="AM2988" s="245"/>
      <c r="AN2988" s="245"/>
      <c r="AO2988" s="238">
        <v>-4.88</v>
      </c>
      <c r="AP2988" s="238">
        <v>0.0</v>
      </c>
      <c r="AQ2988" s="235" t="s">
        <v>632</v>
      </c>
      <c r="AR2988" s="243">
        <v>1.68E11</v>
      </c>
      <c r="AS2988" s="235" t="s">
        <v>22269</v>
      </c>
      <c r="AT2988" s="235" t="s">
        <v>9</v>
      </c>
      <c r="AU2988" s="235" t="s">
        <v>634</v>
      </c>
      <c r="AV2988" s="246" t="s">
        <v>635</v>
      </c>
      <c r="AW2988" s="227"/>
      <c r="AX2988" s="227"/>
      <c r="AY2988" s="227"/>
      <c r="AZ2988" s="227"/>
      <c r="BA2988" s="227"/>
      <c r="BB2988" s="227"/>
      <c r="BC2988" s="227"/>
      <c r="BD2988" s="227"/>
      <c r="BE2988" s="227"/>
      <c r="BF2988" s="227"/>
    </row>
    <row r="2989">
      <c r="A2989" s="235" t="s">
        <v>22646</v>
      </c>
      <c r="C2989" s="235" t="s">
        <v>22647</v>
      </c>
      <c r="D2989" s="235" t="s">
        <v>22648</v>
      </c>
      <c r="E2989" s="243">
        <v>6.53E13</v>
      </c>
      <c r="F2989" s="245"/>
      <c r="G2989" s="235" t="s">
        <v>22649</v>
      </c>
      <c r="H2989" s="235" t="s">
        <v>22650</v>
      </c>
      <c r="I2989" s="235" t="s">
        <v>22650</v>
      </c>
      <c r="J2989" s="235" t="s">
        <v>22651</v>
      </c>
      <c r="K2989" s="235" t="s">
        <v>19301</v>
      </c>
      <c r="N2989" s="235" t="s">
        <v>842</v>
      </c>
      <c r="O2989" s="235" t="s">
        <v>843</v>
      </c>
      <c r="P2989" s="238">
        <v>1.0</v>
      </c>
      <c r="Q2989" s="235" t="s">
        <v>627</v>
      </c>
      <c r="R2989" s="238">
        <v>246.66</v>
      </c>
      <c r="S2989" s="238">
        <v>12.34</v>
      </c>
      <c r="T2989" s="238">
        <v>0.0</v>
      </c>
      <c r="U2989" s="238">
        <v>0.0</v>
      </c>
      <c r="V2989" s="238">
        <v>0.0</v>
      </c>
      <c r="W2989" s="238">
        <v>0.0</v>
      </c>
      <c r="X2989" s="235" t="s">
        <v>628</v>
      </c>
      <c r="Z2989" s="245"/>
      <c r="AA2989" s="245"/>
      <c r="AB2989" s="245"/>
      <c r="AC2989" s="235" t="s">
        <v>678</v>
      </c>
      <c r="AD2989" s="235" t="s">
        <v>679</v>
      </c>
      <c r="AE2989" s="238">
        <v>560022.0</v>
      </c>
      <c r="AF2989" s="235" t="s">
        <v>631</v>
      </c>
      <c r="AG2989" s="245"/>
      <c r="AH2989" s="245"/>
      <c r="AI2989" s="245"/>
      <c r="AJ2989" s="245"/>
      <c r="AK2989" s="245"/>
      <c r="AL2989" s="245"/>
      <c r="AM2989" s="245"/>
      <c r="AN2989" s="245"/>
      <c r="AO2989" s="238">
        <v>0.0</v>
      </c>
      <c r="AP2989" s="238">
        <v>0.0</v>
      </c>
      <c r="AQ2989" s="235" t="s">
        <v>632</v>
      </c>
      <c r="AR2989" s="243">
        <v>1.68E11</v>
      </c>
      <c r="AS2989" s="235" t="s">
        <v>22548</v>
      </c>
      <c r="AT2989" s="235" t="s">
        <v>11</v>
      </c>
      <c r="AU2989" s="235" t="s">
        <v>634</v>
      </c>
      <c r="AV2989" s="246" t="s">
        <v>635</v>
      </c>
      <c r="AW2989" s="227"/>
      <c r="AX2989" s="227"/>
      <c r="AY2989" s="227"/>
      <c r="AZ2989" s="227"/>
      <c r="BA2989" s="227"/>
      <c r="BB2989" s="227"/>
      <c r="BC2989" s="227"/>
      <c r="BD2989" s="227"/>
      <c r="BE2989" s="227"/>
      <c r="BF2989" s="227"/>
    </row>
    <row r="2990">
      <c r="A2990" s="235" t="s">
        <v>22652</v>
      </c>
      <c r="C2990" s="235" t="s">
        <v>22653</v>
      </c>
      <c r="D2990" s="235" t="s">
        <v>22654</v>
      </c>
      <c r="E2990" s="243">
        <v>6.53E13</v>
      </c>
      <c r="F2990" s="245"/>
      <c r="G2990" s="235" t="s">
        <v>22655</v>
      </c>
      <c r="H2990" s="235" t="s">
        <v>22656</v>
      </c>
      <c r="I2990" s="235" t="s">
        <v>22657</v>
      </c>
      <c r="J2990" s="235" t="s">
        <v>22658</v>
      </c>
      <c r="K2990" s="235" t="s">
        <v>22659</v>
      </c>
      <c r="N2990" s="235" t="s">
        <v>139</v>
      </c>
      <c r="O2990" s="235" t="s">
        <v>2091</v>
      </c>
      <c r="P2990" s="238">
        <v>1.0</v>
      </c>
      <c r="Q2990" s="235" t="s">
        <v>627</v>
      </c>
      <c r="R2990" s="238">
        <v>243.8</v>
      </c>
      <c r="S2990" s="238">
        <v>11.96</v>
      </c>
      <c r="T2990" s="238">
        <v>0.0</v>
      </c>
      <c r="U2990" s="238">
        <v>0.0</v>
      </c>
      <c r="V2990" s="238">
        <v>0.0</v>
      </c>
      <c r="W2990" s="238">
        <v>0.0</v>
      </c>
      <c r="X2990" s="235" t="s">
        <v>628</v>
      </c>
      <c r="Z2990" s="245"/>
      <c r="AA2990" s="245"/>
      <c r="AB2990" s="245"/>
      <c r="AC2990" s="235" t="s">
        <v>687</v>
      </c>
      <c r="AD2990" s="235" t="s">
        <v>666</v>
      </c>
      <c r="AE2990" s="238">
        <v>600058.0</v>
      </c>
      <c r="AF2990" s="235" t="s">
        <v>631</v>
      </c>
      <c r="AG2990" s="245"/>
      <c r="AH2990" s="245"/>
      <c r="AI2990" s="245"/>
      <c r="AJ2990" s="245"/>
      <c r="AK2990" s="245"/>
      <c r="AL2990" s="245"/>
      <c r="AM2990" s="245"/>
      <c r="AN2990" s="245"/>
      <c r="AO2990" s="238">
        <v>-4.88</v>
      </c>
      <c r="AP2990" s="238">
        <v>0.0</v>
      </c>
      <c r="AQ2990" s="235" t="s">
        <v>632</v>
      </c>
      <c r="AR2990" s="243">
        <v>3.71E11</v>
      </c>
      <c r="AS2990" s="235" t="s">
        <v>22269</v>
      </c>
      <c r="AT2990" s="235" t="s">
        <v>156</v>
      </c>
      <c r="AU2990" s="235" t="s">
        <v>634</v>
      </c>
      <c r="AV2990" s="246" t="s">
        <v>635</v>
      </c>
      <c r="AW2990" s="227"/>
      <c r="AX2990" s="227"/>
      <c r="AY2990" s="227"/>
      <c r="AZ2990" s="227"/>
      <c r="BA2990" s="227"/>
      <c r="BB2990" s="227"/>
      <c r="BC2990" s="227"/>
      <c r="BD2990" s="227"/>
      <c r="BE2990" s="227"/>
      <c r="BF2990" s="227"/>
    </row>
    <row r="2991">
      <c r="A2991" s="235" t="s">
        <v>22660</v>
      </c>
      <c r="C2991" s="235" t="s">
        <v>22661</v>
      </c>
      <c r="D2991" s="235" t="s">
        <v>22662</v>
      </c>
      <c r="E2991" s="243">
        <v>6.53E13</v>
      </c>
      <c r="F2991" s="245"/>
      <c r="G2991" s="235" t="s">
        <v>22663</v>
      </c>
      <c r="H2991" s="235" t="s">
        <v>22664</v>
      </c>
      <c r="I2991" s="235" t="s">
        <v>22664</v>
      </c>
      <c r="J2991" s="235" t="s">
        <v>22665</v>
      </c>
      <c r="K2991" s="235" t="s">
        <v>22666</v>
      </c>
      <c r="N2991" s="235" t="s">
        <v>82</v>
      </c>
      <c r="O2991" s="235" t="s">
        <v>889</v>
      </c>
      <c r="P2991" s="238">
        <v>1.0</v>
      </c>
      <c r="Q2991" s="235" t="s">
        <v>627</v>
      </c>
      <c r="R2991" s="238">
        <v>233.33</v>
      </c>
      <c r="S2991" s="238">
        <v>11.67</v>
      </c>
      <c r="T2991" s="238">
        <v>0.0</v>
      </c>
      <c r="U2991" s="238">
        <v>0.0</v>
      </c>
      <c r="V2991" s="238">
        <v>0.0</v>
      </c>
      <c r="W2991" s="238">
        <v>0.0</v>
      </c>
      <c r="X2991" s="235" t="s">
        <v>628</v>
      </c>
      <c r="Z2991" s="245"/>
      <c r="AA2991" s="245"/>
      <c r="AB2991" s="245"/>
      <c r="AC2991" s="235" t="s">
        <v>22667</v>
      </c>
      <c r="AD2991" s="235" t="s">
        <v>666</v>
      </c>
      <c r="AE2991" s="238">
        <v>626102.0</v>
      </c>
      <c r="AF2991" s="235" t="s">
        <v>631</v>
      </c>
      <c r="AG2991" s="245"/>
      <c r="AH2991" s="245"/>
      <c r="AI2991" s="245"/>
      <c r="AJ2991" s="245"/>
      <c r="AK2991" s="245"/>
      <c r="AL2991" s="245"/>
      <c r="AM2991" s="245"/>
      <c r="AN2991" s="245"/>
      <c r="AO2991" s="238">
        <v>0.0</v>
      </c>
      <c r="AP2991" s="238">
        <v>0.0</v>
      </c>
      <c r="AQ2991" s="235" t="s">
        <v>632</v>
      </c>
      <c r="AR2991" s="243">
        <v>3.71E11</v>
      </c>
      <c r="AS2991" s="235" t="s">
        <v>20529</v>
      </c>
      <c r="AT2991" s="235" t="s">
        <v>9</v>
      </c>
      <c r="AU2991" s="235" t="s">
        <v>634</v>
      </c>
      <c r="AV2991" s="246" t="s">
        <v>635</v>
      </c>
      <c r="AW2991" s="227"/>
      <c r="AX2991" s="227"/>
      <c r="AY2991" s="227"/>
      <c r="AZ2991" s="227"/>
      <c r="BA2991" s="227"/>
      <c r="BB2991" s="227"/>
      <c r="BC2991" s="227"/>
      <c r="BD2991" s="227"/>
      <c r="BE2991" s="227"/>
      <c r="BF2991" s="227"/>
    </row>
    <row r="2992">
      <c r="A2992" s="235" t="s">
        <v>22668</v>
      </c>
      <c r="C2992" s="235" t="s">
        <v>22669</v>
      </c>
      <c r="D2992" s="235" t="s">
        <v>22670</v>
      </c>
      <c r="E2992" s="243">
        <v>6.53E13</v>
      </c>
      <c r="F2992" s="245"/>
      <c r="G2992" s="235" t="s">
        <v>22671</v>
      </c>
      <c r="H2992" s="235" t="s">
        <v>22672</v>
      </c>
      <c r="I2992" s="235" t="s">
        <v>22672</v>
      </c>
      <c r="J2992" s="235" t="s">
        <v>22673</v>
      </c>
      <c r="K2992" s="235" t="s">
        <v>22674</v>
      </c>
      <c r="N2992" s="235" t="s">
        <v>82</v>
      </c>
      <c r="O2992" s="235" t="s">
        <v>889</v>
      </c>
      <c r="P2992" s="238">
        <v>1.0</v>
      </c>
      <c r="Q2992" s="235" t="s">
        <v>627</v>
      </c>
      <c r="R2992" s="238">
        <v>233.34</v>
      </c>
      <c r="S2992" s="238">
        <v>11.43</v>
      </c>
      <c r="T2992" s="238">
        <v>0.0</v>
      </c>
      <c r="U2992" s="238">
        <v>0.0</v>
      </c>
      <c r="V2992" s="238">
        <v>0.0</v>
      </c>
      <c r="W2992" s="238">
        <v>0.0</v>
      </c>
      <c r="X2992" s="235" t="s">
        <v>628</v>
      </c>
      <c r="Z2992" s="245"/>
      <c r="AA2992" s="245"/>
      <c r="AB2992" s="245"/>
      <c r="AC2992" s="235" t="s">
        <v>1320</v>
      </c>
      <c r="AD2992" s="235" t="s">
        <v>666</v>
      </c>
      <c r="AE2992" s="238">
        <v>600064.0</v>
      </c>
      <c r="AF2992" s="235" t="s">
        <v>631</v>
      </c>
      <c r="AG2992" s="245"/>
      <c r="AH2992" s="245"/>
      <c r="AI2992" s="245"/>
      <c r="AJ2992" s="245"/>
      <c r="AK2992" s="245"/>
      <c r="AL2992" s="245"/>
      <c r="AM2992" s="245"/>
      <c r="AN2992" s="245"/>
      <c r="AO2992" s="238">
        <v>-4.67</v>
      </c>
      <c r="AP2992" s="238">
        <v>0.0</v>
      </c>
      <c r="AQ2992" s="235" t="s">
        <v>632</v>
      </c>
      <c r="AR2992" s="243">
        <v>3.71E11</v>
      </c>
      <c r="AS2992" s="235" t="s">
        <v>22269</v>
      </c>
      <c r="AT2992" s="235" t="s">
        <v>156</v>
      </c>
      <c r="AU2992" s="235" t="s">
        <v>634</v>
      </c>
      <c r="AV2992" s="246" t="s">
        <v>635</v>
      </c>
      <c r="AW2992" s="227"/>
      <c r="AX2992" s="227"/>
      <c r="AY2992" s="227"/>
      <c r="AZ2992" s="227"/>
      <c r="BA2992" s="227"/>
      <c r="BB2992" s="227"/>
      <c r="BC2992" s="227"/>
      <c r="BD2992" s="227"/>
      <c r="BE2992" s="227"/>
      <c r="BF2992" s="227"/>
    </row>
    <row r="2993">
      <c r="A2993" s="235" t="s">
        <v>22675</v>
      </c>
      <c r="C2993" s="235" t="s">
        <v>22676</v>
      </c>
      <c r="D2993" s="235" t="s">
        <v>22677</v>
      </c>
      <c r="E2993" s="243">
        <v>6.53E13</v>
      </c>
      <c r="F2993" s="245"/>
      <c r="G2993" s="235" t="s">
        <v>22678</v>
      </c>
      <c r="H2993" s="235" t="s">
        <v>22679</v>
      </c>
      <c r="I2993" s="235" t="s">
        <v>22680</v>
      </c>
      <c r="J2993" s="235" t="s">
        <v>22681</v>
      </c>
      <c r="K2993" s="235" t="s">
        <v>22682</v>
      </c>
      <c r="N2993" s="235" t="s">
        <v>10</v>
      </c>
      <c r="O2993" s="235" t="s">
        <v>936</v>
      </c>
      <c r="P2993" s="238">
        <v>1.0</v>
      </c>
      <c r="Q2993" s="235" t="s">
        <v>627</v>
      </c>
      <c r="R2993" s="238">
        <v>242.86</v>
      </c>
      <c r="S2993" s="238">
        <v>12.14</v>
      </c>
      <c r="T2993" s="238">
        <v>0.0</v>
      </c>
      <c r="U2993" s="238">
        <v>0.0</v>
      </c>
      <c r="V2993" s="238">
        <v>0.0</v>
      </c>
      <c r="W2993" s="238">
        <v>0.0</v>
      </c>
      <c r="X2993" s="235" t="s">
        <v>628</v>
      </c>
      <c r="Z2993" s="245"/>
      <c r="AA2993" s="245"/>
      <c r="AB2993" s="245"/>
      <c r="AC2993" s="235" t="s">
        <v>678</v>
      </c>
      <c r="AD2993" s="235" t="s">
        <v>679</v>
      </c>
      <c r="AE2993" s="238">
        <v>562107.0</v>
      </c>
      <c r="AF2993" s="235" t="s">
        <v>631</v>
      </c>
      <c r="AG2993" s="245"/>
      <c r="AH2993" s="245"/>
      <c r="AI2993" s="245"/>
      <c r="AJ2993" s="245"/>
      <c r="AK2993" s="245"/>
      <c r="AL2993" s="245"/>
      <c r="AM2993" s="245"/>
      <c r="AN2993" s="245"/>
      <c r="AO2993" s="238">
        <v>0.0</v>
      </c>
      <c r="AP2993" s="238">
        <v>0.0</v>
      </c>
      <c r="AQ2993" s="235" t="s">
        <v>632</v>
      </c>
      <c r="AR2993" s="243">
        <v>3.71E11</v>
      </c>
      <c r="AS2993" s="235" t="s">
        <v>22269</v>
      </c>
      <c r="AT2993" s="235" t="s">
        <v>9</v>
      </c>
      <c r="AU2993" s="235" t="s">
        <v>634</v>
      </c>
      <c r="AV2993" s="246" t="s">
        <v>635</v>
      </c>
      <c r="AW2993" s="227"/>
      <c r="AX2993" s="227"/>
      <c r="AY2993" s="227"/>
      <c r="AZ2993" s="227"/>
      <c r="BA2993" s="227"/>
      <c r="BB2993" s="227"/>
      <c r="BC2993" s="227"/>
      <c r="BD2993" s="227"/>
      <c r="BE2993" s="227"/>
      <c r="BF2993" s="227"/>
    </row>
    <row r="2994">
      <c r="A2994" s="235" t="s">
        <v>22683</v>
      </c>
      <c r="C2994" s="235" t="s">
        <v>22684</v>
      </c>
      <c r="D2994" s="235" t="s">
        <v>22685</v>
      </c>
      <c r="E2994" s="243">
        <v>6.53E13</v>
      </c>
      <c r="F2994" s="245"/>
      <c r="G2994" s="235" t="s">
        <v>22686</v>
      </c>
      <c r="H2994" s="235" t="s">
        <v>22687</v>
      </c>
      <c r="I2994" s="235" t="s">
        <v>22688</v>
      </c>
      <c r="J2994" s="235" t="s">
        <v>22689</v>
      </c>
      <c r="K2994" s="235" t="s">
        <v>22690</v>
      </c>
      <c r="N2994" s="235" t="s">
        <v>130</v>
      </c>
      <c r="O2994" s="235" t="s">
        <v>707</v>
      </c>
      <c r="P2994" s="238">
        <v>1.0</v>
      </c>
      <c r="Q2994" s="235" t="s">
        <v>627</v>
      </c>
      <c r="R2994" s="238">
        <v>246.66</v>
      </c>
      <c r="S2994" s="238">
        <v>12.34</v>
      </c>
      <c r="T2994" s="238">
        <v>0.0</v>
      </c>
      <c r="U2994" s="238">
        <v>0.0</v>
      </c>
      <c r="V2994" s="238">
        <v>0.0</v>
      </c>
      <c r="W2994" s="238">
        <v>0.0</v>
      </c>
      <c r="X2994" s="235" t="s">
        <v>628</v>
      </c>
      <c r="Z2994" s="245"/>
      <c r="AA2994" s="245"/>
      <c r="AB2994" s="245"/>
      <c r="AC2994" s="235" t="s">
        <v>22691</v>
      </c>
      <c r="AD2994" s="235" t="s">
        <v>666</v>
      </c>
      <c r="AE2994" s="238">
        <v>637003.0</v>
      </c>
      <c r="AF2994" s="235" t="s">
        <v>631</v>
      </c>
      <c r="AG2994" s="245"/>
      <c r="AH2994" s="245"/>
      <c r="AI2994" s="245"/>
      <c r="AJ2994" s="245"/>
      <c r="AK2994" s="245"/>
      <c r="AL2994" s="245"/>
      <c r="AM2994" s="245"/>
      <c r="AN2994" s="245"/>
      <c r="AO2994" s="238">
        <v>0.0</v>
      </c>
      <c r="AP2994" s="238">
        <v>0.0</v>
      </c>
      <c r="AQ2994" s="235" t="s">
        <v>632</v>
      </c>
      <c r="AR2994" s="243">
        <v>1.68E11</v>
      </c>
      <c r="AS2994" s="235" t="s">
        <v>22269</v>
      </c>
      <c r="AT2994" s="235" t="s">
        <v>155</v>
      </c>
      <c r="AU2994" s="235" t="s">
        <v>634</v>
      </c>
      <c r="AV2994" s="246" t="s">
        <v>635</v>
      </c>
      <c r="AW2994" s="227"/>
      <c r="AX2994" s="227"/>
      <c r="AY2994" s="227"/>
      <c r="AZ2994" s="227"/>
      <c r="BA2994" s="227"/>
      <c r="BB2994" s="227"/>
      <c r="BC2994" s="227"/>
      <c r="BD2994" s="227"/>
      <c r="BE2994" s="227"/>
      <c r="BF2994" s="227"/>
    </row>
    <row r="2995">
      <c r="A2995" s="235" t="s">
        <v>22692</v>
      </c>
      <c r="C2995" s="235" t="s">
        <v>22693</v>
      </c>
      <c r="D2995" s="235" t="s">
        <v>22694</v>
      </c>
      <c r="E2995" s="243">
        <v>6.52E13</v>
      </c>
      <c r="F2995" s="245"/>
      <c r="G2995" s="235" t="s">
        <v>22695</v>
      </c>
      <c r="H2995" s="235" t="s">
        <v>22696</v>
      </c>
      <c r="I2995" s="235" t="s">
        <v>22696</v>
      </c>
      <c r="J2995" s="235" t="s">
        <v>22697</v>
      </c>
      <c r="K2995" s="235" t="s">
        <v>22698</v>
      </c>
      <c r="N2995" s="235" t="s">
        <v>141</v>
      </c>
      <c r="O2995" s="235" t="s">
        <v>342</v>
      </c>
      <c r="P2995" s="238">
        <v>1.0</v>
      </c>
      <c r="Q2995" s="235" t="s">
        <v>627</v>
      </c>
      <c r="R2995" s="238">
        <v>270.48</v>
      </c>
      <c r="S2995" s="238">
        <v>13.11</v>
      </c>
      <c r="T2995" s="238">
        <v>38.1</v>
      </c>
      <c r="U2995" s="238">
        <v>1.9</v>
      </c>
      <c r="V2995" s="238">
        <v>0.0</v>
      </c>
      <c r="W2995" s="238">
        <v>0.0</v>
      </c>
      <c r="X2995" s="235" t="s">
        <v>628</v>
      </c>
      <c r="Z2995" s="245"/>
      <c r="AA2995" s="245"/>
      <c r="AB2995" s="245"/>
      <c r="AC2995" s="235" t="s">
        <v>8273</v>
      </c>
      <c r="AD2995" s="235" t="s">
        <v>3113</v>
      </c>
      <c r="AE2995" s="238">
        <v>492099.0</v>
      </c>
      <c r="AF2995" s="235" t="s">
        <v>631</v>
      </c>
      <c r="AG2995" s="245"/>
      <c r="AH2995" s="245"/>
      <c r="AI2995" s="245"/>
      <c r="AJ2995" s="245"/>
      <c r="AK2995" s="245"/>
      <c r="AL2995" s="245"/>
      <c r="AM2995" s="245"/>
      <c r="AN2995" s="245"/>
      <c r="AO2995" s="238">
        <v>-8.11</v>
      </c>
      <c r="AP2995" s="238">
        <v>-38.1</v>
      </c>
      <c r="AQ2995" s="235" t="s">
        <v>632</v>
      </c>
      <c r="AR2995" s="243">
        <v>3.71E11</v>
      </c>
      <c r="AS2995" s="235" t="s">
        <v>16626</v>
      </c>
      <c r="AT2995" s="235" t="s">
        <v>156</v>
      </c>
      <c r="AU2995" s="235" t="s">
        <v>634</v>
      </c>
      <c r="AV2995" s="246" t="s">
        <v>635</v>
      </c>
      <c r="AW2995" s="227"/>
      <c r="AX2995" s="227"/>
      <c r="AY2995" s="227"/>
      <c r="AZ2995" s="227"/>
      <c r="BA2995" s="227"/>
      <c r="BB2995" s="227"/>
      <c r="BC2995" s="227"/>
      <c r="BD2995" s="227"/>
      <c r="BE2995" s="227"/>
      <c r="BF2995" s="227"/>
    </row>
    <row r="2996">
      <c r="A2996" s="235" t="s">
        <v>22692</v>
      </c>
      <c r="C2996" s="235" t="s">
        <v>22693</v>
      </c>
      <c r="D2996" s="235" t="s">
        <v>22699</v>
      </c>
      <c r="E2996" s="243">
        <v>6.52E13</v>
      </c>
      <c r="F2996" s="245"/>
      <c r="G2996" s="235" t="s">
        <v>22695</v>
      </c>
      <c r="H2996" s="235" t="s">
        <v>22696</v>
      </c>
      <c r="I2996" s="235" t="s">
        <v>22696</v>
      </c>
      <c r="J2996" s="235" t="s">
        <v>22697</v>
      </c>
      <c r="K2996" s="235" t="s">
        <v>22698</v>
      </c>
      <c r="N2996" s="235" t="s">
        <v>127</v>
      </c>
      <c r="O2996" s="235" t="s">
        <v>794</v>
      </c>
      <c r="P2996" s="238">
        <v>1.0</v>
      </c>
      <c r="Q2996" s="235" t="s">
        <v>627</v>
      </c>
      <c r="R2996" s="238">
        <v>256.19</v>
      </c>
      <c r="S2996" s="238">
        <v>12.43</v>
      </c>
      <c r="T2996" s="238">
        <v>38.1</v>
      </c>
      <c r="U2996" s="238">
        <v>1.9</v>
      </c>
      <c r="V2996" s="238">
        <v>0.0</v>
      </c>
      <c r="W2996" s="238">
        <v>0.0</v>
      </c>
      <c r="X2996" s="235" t="s">
        <v>628</v>
      </c>
      <c r="Z2996" s="245"/>
      <c r="AA2996" s="245"/>
      <c r="AB2996" s="245"/>
      <c r="AC2996" s="235" t="s">
        <v>8273</v>
      </c>
      <c r="AD2996" s="235" t="s">
        <v>3113</v>
      </c>
      <c r="AE2996" s="238">
        <v>492099.0</v>
      </c>
      <c r="AF2996" s="235" t="s">
        <v>631</v>
      </c>
      <c r="AG2996" s="245"/>
      <c r="AH2996" s="245"/>
      <c r="AI2996" s="245"/>
      <c r="AJ2996" s="245"/>
      <c r="AK2996" s="245"/>
      <c r="AL2996" s="245"/>
      <c r="AM2996" s="245"/>
      <c r="AN2996" s="245"/>
      <c r="AO2996" s="238">
        <v>-7.69</v>
      </c>
      <c r="AP2996" s="238">
        <v>-38.1</v>
      </c>
      <c r="AQ2996" s="235" t="s">
        <v>632</v>
      </c>
      <c r="AR2996" s="243">
        <v>3.71E11</v>
      </c>
      <c r="AS2996" s="235" t="s">
        <v>16626</v>
      </c>
      <c r="AT2996" s="235" t="s">
        <v>156</v>
      </c>
      <c r="AU2996" s="235" t="s">
        <v>634</v>
      </c>
      <c r="AV2996" s="246" t="s">
        <v>635</v>
      </c>
      <c r="AW2996" s="227"/>
      <c r="AX2996" s="227"/>
      <c r="AY2996" s="227"/>
      <c r="AZ2996" s="227"/>
      <c r="BA2996" s="227"/>
      <c r="BB2996" s="227"/>
      <c r="BC2996" s="227"/>
      <c r="BD2996" s="227"/>
      <c r="BE2996" s="227"/>
      <c r="BF2996" s="227"/>
    </row>
    <row r="2997">
      <c r="A2997" s="235" t="s">
        <v>22700</v>
      </c>
      <c r="C2997" s="235" t="s">
        <v>22701</v>
      </c>
      <c r="D2997" s="235" t="s">
        <v>22702</v>
      </c>
      <c r="E2997" s="243">
        <v>6.52E13</v>
      </c>
      <c r="F2997" s="245"/>
      <c r="G2997" s="235" t="s">
        <v>22703</v>
      </c>
      <c r="H2997" s="235" t="s">
        <v>22704</v>
      </c>
      <c r="I2997" s="235" t="s">
        <v>22704</v>
      </c>
      <c r="J2997" s="235" t="s">
        <v>22705</v>
      </c>
      <c r="K2997" s="235" t="s">
        <v>22706</v>
      </c>
      <c r="N2997" s="235" t="s">
        <v>85</v>
      </c>
      <c r="O2997" s="235" t="s">
        <v>872</v>
      </c>
      <c r="P2997" s="238">
        <v>1.0</v>
      </c>
      <c r="Q2997" s="235" t="s">
        <v>627</v>
      </c>
      <c r="R2997" s="238">
        <v>246.66</v>
      </c>
      <c r="S2997" s="238">
        <v>12.34</v>
      </c>
      <c r="T2997" s="238">
        <v>38.1</v>
      </c>
      <c r="U2997" s="238">
        <v>1.9</v>
      </c>
      <c r="V2997" s="238">
        <v>0.0</v>
      </c>
      <c r="W2997" s="238">
        <v>0.0</v>
      </c>
      <c r="X2997" s="235" t="s">
        <v>628</v>
      </c>
      <c r="Z2997" s="245"/>
      <c r="AA2997" s="245"/>
      <c r="AB2997" s="245"/>
      <c r="AC2997" s="235" t="s">
        <v>22707</v>
      </c>
      <c r="AD2997" s="235" t="s">
        <v>928</v>
      </c>
      <c r="AE2997" s="238">
        <v>135001.0</v>
      </c>
      <c r="AF2997" s="235" t="s">
        <v>631</v>
      </c>
      <c r="AG2997" s="245"/>
      <c r="AH2997" s="245"/>
      <c r="AI2997" s="245"/>
      <c r="AJ2997" s="245"/>
      <c r="AK2997" s="245"/>
      <c r="AL2997" s="245"/>
      <c r="AM2997" s="245"/>
      <c r="AN2997" s="245"/>
      <c r="AO2997" s="238">
        <v>0.0</v>
      </c>
      <c r="AP2997" s="238">
        <v>-38.1</v>
      </c>
      <c r="AQ2997" s="235" t="s">
        <v>632</v>
      </c>
      <c r="AR2997" s="243">
        <v>3.71E11</v>
      </c>
      <c r="AS2997" s="235" t="s">
        <v>17988</v>
      </c>
      <c r="AT2997" s="235" t="s">
        <v>14</v>
      </c>
      <c r="AU2997" s="235" t="s">
        <v>634</v>
      </c>
      <c r="AV2997" s="246" t="s">
        <v>635</v>
      </c>
      <c r="AW2997" s="227"/>
      <c r="AX2997" s="227"/>
      <c r="AY2997" s="227"/>
      <c r="AZ2997" s="227"/>
      <c r="BA2997" s="227"/>
      <c r="BB2997" s="227"/>
      <c r="BC2997" s="227"/>
      <c r="BD2997" s="227"/>
      <c r="BE2997" s="227"/>
      <c r="BF2997" s="227"/>
    </row>
    <row r="2998">
      <c r="A2998" s="235" t="s">
        <v>22708</v>
      </c>
      <c r="C2998" s="235" t="s">
        <v>22709</v>
      </c>
      <c r="D2998" s="235" t="s">
        <v>22710</v>
      </c>
      <c r="E2998" s="243">
        <v>6.52E13</v>
      </c>
      <c r="F2998" s="245"/>
      <c r="G2998" s="235" t="s">
        <v>22711</v>
      </c>
      <c r="H2998" s="235" t="s">
        <v>22712</v>
      </c>
      <c r="I2998" s="235" t="s">
        <v>22712</v>
      </c>
      <c r="J2998" s="235" t="s">
        <v>22713</v>
      </c>
      <c r="K2998" s="235" t="s">
        <v>22714</v>
      </c>
      <c r="N2998" s="235" t="s">
        <v>31</v>
      </c>
      <c r="O2998" s="235" t="s">
        <v>954</v>
      </c>
      <c r="P2998" s="238">
        <v>1.0</v>
      </c>
      <c r="Q2998" s="235" t="s">
        <v>627</v>
      </c>
      <c r="R2998" s="238">
        <v>446.67</v>
      </c>
      <c r="S2998" s="238">
        <v>22.33</v>
      </c>
      <c r="T2998" s="238">
        <v>38.1</v>
      </c>
      <c r="U2998" s="238">
        <v>1.9</v>
      </c>
      <c r="V2998" s="238">
        <v>0.0</v>
      </c>
      <c r="W2998" s="238">
        <v>0.0</v>
      </c>
      <c r="X2998" s="235" t="s">
        <v>628</v>
      </c>
      <c r="Z2998" s="245"/>
      <c r="AA2998" s="245"/>
      <c r="AB2998" s="245"/>
      <c r="AC2998" s="235" t="s">
        <v>10769</v>
      </c>
      <c r="AD2998" s="235" t="s">
        <v>845</v>
      </c>
      <c r="AE2998" s="238">
        <v>422003.0</v>
      </c>
      <c r="AF2998" s="235" t="s">
        <v>631</v>
      </c>
      <c r="AG2998" s="245"/>
      <c r="AH2998" s="245"/>
      <c r="AI2998" s="245"/>
      <c r="AJ2998" s="245"/>
      <c r="AK2998" s="245"/>
      <c r="AL2998" s="245"/>
      <c r="AM2998" s="245"/>
      <c r="AN2998" s="245"/>
      <c r="AO2998" s="238">
        <v>0.0</v>
      </c>
      <c r="AP2998" s="238">
        <v>-38.1</v>
      </c>
      <c r="AQ2998" s="235" t="s">
        <v>632</v>
      </c>
      <c r="AR2998" s="243">
        <v>3.71E11</v>
      </c>
      <c r="AS2998" s="235" t="s">
        <v>16626</v>
      </c>
      <c r="AT2998" s="235" t="s">
        <v>14</v>
      </c>
      <c r="AU2998" s="235" t="s">
        <v>634</v>
      </c>
      <c r="AV2998" s="246" t="s">
        <v>635</v>
      </c>
      <c r="AW2998" s="227"/>
      <c r="AX2998" s="227"/>
      <c r="AY2998" s="227"/>
      <c r="AZ2998" s="227"/>
      <c r="BA2998" s="227"/>
      <c r="BB2998" s="227"/>
      <c r="BC2998" s="227"/>
      <c r="BD2998" s="227"/>
      <c r="BE2998" s="227"/>
      <c r="BF2998" s="227"/>
    </row>
    <row r="2999">
      <c r="A2999" s="235" t="s">
        <v>22715</v>
      </c>
      <c r="C2999" s="235" t="s">
        <v>22716</v>
      </c>
      <c r="D2999" s="235" t="s">
        <v>22717</v>
      </c>
      <c r="E2999" s="243">
        <v>6.53E13</v>
      </c>
      <c r="F2999" s="245"/>
      <c r="G2999" s="235" t="s">
        <v>22718</v>
      </c>
      <c r="H2999" s="235" t="s">
        <v>22719</v>
      </c>
      <c r="I2999" s="235" t="s">
        <v>22719</v>
      </c>
      <c r="J2999" s="235" t="s">
        <v>22720</v>
      </c>
      <c r="K2999" s="235" t="s">
        <v>22721</v>
      </c>
      <c r="N2999" s="235" t="s">
        <v>962</v>
      </c>
      <c r="O2999" s="235" t="s">
        <v>963</v>
      </c>
      <c r="P2999" s="238">
        <v>1.0</v>
      </c>
      <c r="Q2999" s="235" t="s">
        <v>627</v>
      </c>
      <c r="R2999" s="238">
        <v>245.72</v>
      </c>
      <c r="S2999" s="238">
        <v>12.04</v>
      </c>
      <c r="T2999" s="238">
        <v>0.0</v>
      </c>
      <c r="U2999" s="238">
        <v>0.0</v>
      </c>
      <c r="V2999" s="238">
        <v>0.0</v>
      </c>
      <c r="W2999" s="238">
        <v>0.0</v>
      </c>
      <c r="X2999" s="235" t="s">
        <v>628</v>
      </c>
      <c r="Z2999" s="245"/>
      <c r="AA2999" s="245"/>
      <c r="AB2999" s="245"/>
      <c r="AC2999" s="235" t="s">
        <v>1671</v>
      </c>
      <c r="AD2999" s="235" t="s">
        <v>666</v>
      </c>
      <c r="AE2999" s="238">
        <v>641046.0</v>
      </c>
      <c r="AF2999" s="235" t="s">
        <v>631</v>
      </c>
      <c r="AG2999" s="245"/>
      <c r="AH2999" s="245"/>
      <c r="AI2999" s="245"/>
      <c r="AJ2999" s="245"/>
      <c r="AK2999" s="245"/>
      <c r="AL2999" s="245"/>
      <c r="AM2999" s="245"/>
      <c r="AN2999" s="245"/>
      <c r="AO2999" s="238">
        <v>-4.92</v>
      </c>
      <c r="AP2999" s="238">
        <v>0.0</v>
      </c>
      <c r="AQ2999" s="235" t="s">
        <v>632</v>
      </c>
      <c r="AR2999" s="243">
        <v>3.71E11</v>
      </c>
      <c r="AS2999" s="235" t="s">
        <v>22269</v>
      </c>
      <c r="AT2999" s="235" t="s">
        <v>155</v>
      </c>
      <c r="AU2999" s="235" t="s">
        <v>634</v>
      </c>
      <c r="AV2999" s="246" t="s">
        <v>635</v>
      </c>
      <c r="AW2999" s="227"/>
      <c r="AX2999" s="227"/>
      <c r="AY2999" s="227"/>
      <c r="AZ2999" s="227"/>
      <c r="BA2999" s="227"/>
      <c r="BB2999" s="227"/>
      <c r="BC2999" s="227"/>
      <c r="BD2999" s="227"/>
      <c r="BE2999" s="227"/>
      <c r="BF2999" s="227"/>
    </row>
    <row r="3000">
      <c r="A3000" s="235" t="s">
        <v>22722</v>
      </c>
      <c r="C3000" s="235" t="s">
        <v>22723</v>
      </c>
      <c r="D3000" s="235" t="s">
        <v>22724</v>
      </c>
      <c r="E3000" s="243">
        <v>6.52E13</v>
      </c>
      <c r="F3000" s="245"/>
      <c r="G3000" s="235" t="s">
        <v>22725</v>
      </c>
      <c r="H3000" s="235" t="s">
        <v>22726</v>
      </c>
      <c r="I3000" s="235" t="s">
        <v>22726</v>
      </c>
      <c r="J3000" s="235" t="s">
        <v>22727</v>
      </c>
      <c r="K3000" s="235" t="s">
        <v>22728</v>
      </c>
      <c r="N3000" s="235" t="s">
        <v>154</v>
      </c>
      <c r="O3000" s="235" t="s">
        <v>766</v>
      </c>
      <c r="P3000" s="238">
        <v>2.0</v>
      </c>
      <c r="Q3000" s="235" t="s">
        <v>627</v>
      </c>
      <c r="R3000" s="238">
        <v>847.62</v>
      </c>
      <c r="S3000" s="238">
        <v>41.1</v>
      </c>
      <c r="T3000" s="238">
        <v>0.0</v>
      </c>
      <c r="U3000" s="238">
        <v>0.0</v>
      </c>
      <c r="V3000" s="238">
        <v>0.0</v>
      </c>
      <c r="W3000" s="238">
        <v>0.0</v>
      </c>
      <c r="X3000" s="235" t="s">
        <v>628</v>
      </c>
      <c r="Z3000" s="245"/>
      <c r="AA3000" s="245"/>
      <c r="AB3000" s="245"/>
      <c r="AC3000" s="235" t="s">
        <v>22729</v>
      </c>
      <c r="AD3000" s="235" t="s">
        <v>6097</v>
      </c>
      <c r="AE3000" s="238">
        <v>737102.0</v>
      </c>
      <c r="AF3000" s="235" t="s">
        <v>631</v>
      </c>
      <c r="AG3000" s="245"/>
      <c r="AH3000" s="245"/>
      <c r="AI3000" s="245"/>
      <c r="AJ3000" s="245"/>
      <c r="AK3000" s="245"/>
      <c r="AL3000" s="245"/>
      <c r="AM3000" s="245"/>
      <c r="AN3000" s="245"/>
      <c r="AO3000" s="238">
        <v>-25.42</v>
      </c>
      <c r="AP3000" s="238">
        <v>0.0</v>
      </c>
      <c r="AQ3000" s="235" t="s">
        <v>632</v>
      </c>
      <c r="AR3000" s="243">
        <v>3.71E11</v>
      </c>
      <c r="AS3000" s="235" t="s">
        <v>16626</v>
      </c>
      <c r="AT3000" s="235" t="s">
        <v>13</v>
      </c>
      <c r="AU3000" s="235" t="s">
        <v>634</v>
      </c>
      <c r="AV3000" s="246" t="s">
        <v>635</v>
      </c>
      <c r="AW3000" s="227"/>
      <c r="AX3000" s="227"/>
      <c r="AY3000" s="227"/>
      <c r="AZ3000" s="227"/>
      <c r="BA3000" s="227"/>
      <c r="BB3000" s="227"/>
      <c r="BC3000" s="227"/>
      <c r="BD3000" s="227"/>
      <c r="BE3000" s="227"/>
      <c r="BF3000" s="227"/>
    </row>
    <row r="3001">
      <c r="A3001" s="235" t="s">
        <v>22730</v>
      </c>
      <c r="C3001" s="235" t="s">
        <v>22731</v>
      </c>
      <c r="D3001" s="235" t="s">
        <v>22732</v>
      </c>
      <c r="E3001" s="243">
        <v>6.53E13</v>
      </c>
      <c r="F3001" s="245"/>
      <c r="G3001" s="235" t="s">
        <v>22733</v>
      </c>
      <c r="H3001" s="235" t="s">
        <v>22734</v>
      </c>
      <c r="I3001" s="235" t="s">
        <v>22735</v>
      </c>
      <c r="J3001" s="235" t="s">
        <v>22736</v>
      </c>
      <c r="K3001" s="235" t="s">
        <v>22737</v>
      </c>
      <c r="N3001" s="235" t="s">
        <v>1646</v>
      </c>
      <c r="O3001" s="235" t="s">
        <v>1647</v>
      </c>
      <c r="P3001" s="238">
        <v>1.0</v>
      </c>
      <c r="Q3001" s="235" t="s">
        <v>627</v>
      </c>
      <c r="R3001" s="238">
        <v>270.48</v>
      </c>
      <c r="S3001" s="238">
        <v>13.25</v>
      </c>
      <c r="T3001" s="238">
        <v>0.0</v>
      </c>
      <c r="U3001" s="238">
        <v>0.0</v>
      </c>
      <c r="V3001" s="238">
        <v>0.0</v>
      </c>
      <c r="W3001" s="238">
        <v>0.0</v>
      </c>
      <c r="X3001" s="235" t="s">
        <v>628</v>
      </c>
      <c r="Z3001" s="245"/>
      <c r="AA3001" s="245"/>
      <c r="AB3001" s="245"/>
      <c r="AC3001" s="235" t="s">
        <v>697</v>
      </c>
      <c r="AD3001" s="235" t="s">
        <v>698</v>
      </c>
      <c r="AE3001" s="238">
        <v>502032.0</v>
      </c>
      <c r="AF3001" s="235" t="s">
        <v>631</v>
      </c>
      <c r="AG3001" s="245"/>
      <c r="AH3001" s="245"/>
      <c r="AI3001" s="245"/>
      <c r="AJ3001" s="245"/>
      <c r="AK3001" s="245"/>
      <c r="AL3001" s="245"/>
      <c r="AM3001" s="245"/>
      <c r="AN3001" s="245"/>
      <c r="AO3001" s="238">
        <v>-5.41</v>
      </c>
      <c r="AP3001" s="238">
        <v>0.0</v>
      </c>
      <c r="AQ3001" s="235" t="s">
        <v>632</v>
      </c>
      <c r="AR3001" s="243">
        <v>1.68E11</v>
      </c>
      <c r="AS3001" s="235" t="s">
        <v>20529</v>
      </c>
      <c r="AT3001" s="235" t="s">
        <v>156</v>
      </c>
      <c r="AU3001" s="235" t="s">
        <v>634</v>
      </c>
      <c r="AV3001" s="246" t="s">
        <v>635</v>
      </c>
      <c r="AW3001" s="227"/>
      <c r="AX3001" s="227"/>
      <c r="AY3001" s="227"/>
      <c r="AZ3001" s="227"/>
      <c r="BA3001" s="227"/>
      <c r="BB3001" s="227"/>
      <c r="BC3001" s="227"/>
      <c r="BD3001" s="227"/>
      <c r="BE3001" s="227"/>
      <c r="BF3001" s="227"/>
    </row>
    <row r="3002">
      <c r="A3002" s="235" t="s">
        <v>22738</v>
      </c>
      <c r="C3002" s="235" t="s">
        <v>22739</v>
      </c>
      <c r="D3002" s="235" t="s">
        <v>22740</v>
      </c>
      <c r="E3002" s="243">
        <v>6.53E13</v>
      </c>
      <c r="F3002" s="245"/>
      <c r="G3002" s="235" t="s">
        <v>22741</v>
      </c>
      <c r="H3002" s="235" t="s">
        <v>22742</v>
      </c>
      <c r="I3002" s="235" t="s">
        <v>22743</v>
      </c>
      <c r="J3002" s="235" t="s">
        <v>22744</v>
      </c>
      <c r="K3002" s="235" t="s">
        <v>22745</v>
      </c>
      <c r="N3002" s="235" t="s">
        <v>145</v>
      </c>
      <c r="O3002" s="235" t="s">
        <v>370</v>
      </c>
      <c r="P3002" s="238">
        <v>1.0</v>
      </c>
      <c r="Q3002" s="235" t="s">
        <v>627</v>
      </c>
      <c r="R3002" s="238">
        <v>1522.86</v>
      </c>
      <c r="S3002" s="238">
        <v>76.14</v>
      </c>
      <c r="T3002" s="238">
        <v>0.0</v>
      </c>
      <c r="U3002" s="238">
        <v>0.0</v>
      </c>
      <c r="V3002" s="238">
        <v>0.0</v>
      </c>
      <c r="W3002" s="238">
        <v>0.0</v>
      </c>
      <c r="X3002" s="235" t="s">
        <v>628</v>
      </c>
      <c r="Z3002" s="245"/>
      <c r="AA3002" s="245"/>
      <c r="AB3002" s="245"/>
      <c r="AC3002" s="235" t="s">
        <v>678</v>
      </c>
      <c r="AD3002" s="235" t="s">
        <v>679</v>
      </c>
      <c r="AE3002" s="238">
        <v>560022.0</v>
      </c>
      <c r="AF3002" s="235" t="s">
        <v>631</v>
      </c>
      <c r="AG3002" s="245"/>
      <c r="AH3002" s="245"/>
      <c r="AI3002" s="245"/>
      <c r="AJ3002" s="245"/>
      <c r="AK3002" s="245"/>
      <c r="AL3002" s="245"/>
      <c r="AM3002" s="245"/>
      <c r="AN3002" s="245"/>
      <c r="AO3002" s="238">
        <v>0.0</v>
      </c>
      <c r="AP3002" s="238">
        <v>0.0</v>
      </c>
      <c r="AQ3002" s="235" t="s">
        <v>632</v>
      </c>
      <c r="AR3002" s="243">
        <v>1.68E11</v>
      </c>
      <c r="AS3002" s="235" t="s">
        <v>19388</v>
      </c>
      <c r="AT3002" s="235" t="s">
        <v>16</v>
      </c>
      <c r="AU3002" s="235" t="s">
        <v>634</v>
      </c>
      <c r="AV3002" s="246" t="s">
        <v>635</v>
      </c>
      <c r="AW3002" s="227"/>
      <c r="AX3002" s="227"/>
      <c r="AY3002" s="227"/>
      <c r="AZ3002" s="227"/>
      <c r="BA3002" s="227"/>
      <c r="BB3002" s="227"/>
      <c r="BC3002" s="227"/>
      <c r="BD3002" s="227"/>
      <c r="BE3002" s="227"/>
      <c r="BF3002" s="227"/>
    </row>
    <row r="3003">
      <c r="A3003" s="235" t="s">
        <v>22746</v>
      </c>
      <c r="C3003" s="235" t="s">
        <v>22747</v>
      </c>
      <c r="D3003" s="235" t="s">
        <v>22748</v>
      </c>
      <c r="E3003" s="243">
        <v>6.52E13</v>
      </c>
      <c r="F3003" s="245"/>
      <c r="G3003" s="235" t="s">
        <v>22749</v>
      </c>
      <c r="H3003" s="235" t="s">
        <v>22750</v>
      </c>
      <c r="I3003" s="235" t="s">
        <v>22750</v>
      </c>
      <c r="J3003" s="235" t="s">
        <v>22751</v>
      </c>
      <c r="K3003" s="235" t="s">
        <v>22752</v>
      </c>
      <c r="N3003" s="235" t="s">
        <v>141</v>
      </c>
      <c r="O3003" s="235" t="s">
        <v>342</v>
      </c>
      <c r="P3003" s="238">
        <v>1.0</v>
      </c>
      <c r="Q3003" s="235" t="s">
        <v>627</v>
      </c>
      <c r="R3003" s="238">
        <v>246.67</v>
      </c>
      <c r="S3003" s="238">
        <v>12.33</v>
      </c>
      <c r="T3003" s="238">
        <v>38.1</v>
      </c>
      <c r="U3003" s="238">
        <v>1.9</v>
      </c>
      <c r="V3003" s="238">
        <v>0.0</v>
      </c>
      <c r="W3003" s="238">
        <v>0.0</v>
      </c>
      <c r="X3003" s="235" t="s">
        <v>628</v>
      </c>
      <c r="Z3003" s="245"/>
      <c r="AA3003" s="245"/>
      <c r="AB3003" s="245"/>
      <c r="AC3003" s="235" t="s">
        <v>22753</v>
      </c>
      <c r="AD3003" s="235" t="s">
        <v>1086</v>
      </c>
      <c r="AE3003" s="238">
        <v>142001.0</v>
      </c>
      <c r="AF3003" s="235" t="s">
        <v>631</v>
      </c>
      <c r="AG3003" s="245"/>
      <c r="AH3003" s="245"/>
      <c r="AI3003" s="245"/>
      <c r="AJ3003" s="245"/>
      <c r="AK3003" s="245"/>
      <c r="AL3003" s="245"/>
      <c r="AM3003" s="245"/>
      <c r="AN3003" s="245"/>
      <c r="AO3003" s="238">
        <v>0.0</v>
      </c>
      <c r="AP3003" s="238">
        <v>-38.1</v>
      </c>
      <c r="AQ3003" s="235" t="s">
        <v>632</v>
      </c>
      <c r="AR3003" s="243">
        <v>3.71E11</v>
      </c>
      <c r="AS3003" s="235" t="s">
        <v>19388</v>
      </c>
      <c r="AT3003" s="235" t="s">
        <v>533</v>
      </c>
      <c r="AU3003" s="235" t="s">
        <v>634</v>
      </c>
      <c r="AV3003" s="246" t="s">
        <v>635</v>
      </c>
      <c r="AW3003" s="227"/>
      <c r="AX3003" s="227"/>
      <c r="AY3003" s="227"/>
      <c r="AZ3003" s="227"/>
      <c r="BA3003" s="227"/>
      <c r="BB3003" s="227"/>
      <c r="BC3003" s="227"/>
      <c r="BD3003" s="227"/>
      <c r="BE3003" s="227"/>
      <c r="BF3003" s="227"/>
    </row>
    <row r="3004">
      <c r="A3004" s="235" t="s">
        <v>22754</v>
      </c>
      <c r="C3004" s="235" t="s">
        <v>22755</v>
      </c>
      <c r="D3004" s="235" t="s">
        <v>22756</v>
      </c>
      <c r="E3004" s="243">
        <v>6.53E13</v>
      </c>
      <c r="F3004" s="245"/>
      <c r="G3004" s="235" t="s">
        <v>22757</v>
      </c>
      <c r="H3004" s="235" t="s">
        <v>22758</v>
      </c>
      <c r="I3004" s="235" t="s">
        <v>22759</v>
      </c>
      <c r="J3004" s="235" t="s">
        <v>22760</v>
      </c>
      <c r="K3004" s="235" t="s">
        <v>22761</v>
      </c>
      <c r="N3004" s="235" t="s">
        <v>127</v>
      </c>
      <c r="O3004" s="235" t="s">
        <v>794</v>
      </c>
      <c r="P3004" s="238">
        <v>1.0</v>
      </c>
      <c r="Q3004" s="235" t="s">
        <v>627</v>
      </c>
      <c r="R3004" s="238">
        <v>242.86</v>
      </c>
      <c r="S3004" s="238">
        <v>12.14</v>
      </c>
      <c r="T3004" s="238">
        <v>0.0</v>
      </c>
      <c r="U3004" s="238">
        <v>0.0</v>
      </c>
      <c r="V3004" s="238">
        <v>0.0</v>
      </c>
      <c r="W3004" s="238">
        <v>0.0</v>
      </c>
      <c r="X3004" s="235" t="s">
        <v>628</v>
      </c>
      <c r="Z3004" s="245"/>
      <c r="AA3004" s="245"/>
      <c r="AB3004" s="245"/>
      <c r="AC3004" s="235" t="s">
        <v>1887</v>
      </c>
      <c r="AD3004" s="235" t="s">
        <v>679</v>
      </c>
      <c r="AE3004" s="238">
        <v>560084.0</v>
      </c>
      <c r="AF3004" s="235" t="s">
        <v>631</v>
      </c>
      <c r="AG3004" s="245"/>
      <c r="AH3004" s="245"/>
      <c r="AI3004" s="245"/>
      <c r="AJ3004" s="245"/>
      <c r="AK3004" s="245"/>
      <c r="AL3004" s="245"/>
      <c r="AM3004" s="245"/>
      <c r="AN3004" s="245"/>
      <c r="AO3004" s="238">
        <v>0.0</v>
      </c>
      <c r="AP3004" s="238">
        <v>0.0</v>
      </c>
      <c r="AQ3004" s="235" t="s">
        <v>632</v>
      </c>
      <c r="AR3004" s="243">
        <v>1.68E11</v>
      </c>
      <c r="AS3004" s="235" t="s">
        <v>22548</v>
      </c>
      <c r="AT3004" s="235" t="s">
        <v>11</v>
      </c>
      <c r="AU3004" s="235" t="s">
        <v>634</v>
      </c>
      <c r="AV3004" s="246" t="s">
        <v>635</v>
      </c>
      <c r="AW3004" s="227"/>
      <c r="AX3004" s="227"/>
      <c r="AY3004" s="227"/>
      <c r="AZ3004" s="227"/>
      <c r="BA3004" s="227"/>
      <c r="BB3004" s="227"/>
      <c r="BC3004" s="227"/>
      <c r="BD3004" s="227"/>
      <c r="BE3004" s="227"/>
      <c r="BF3004" s="227"/>
    </row>
    <row r="3005">
      <c r="A3005" s="235" t="s">
        <v>22762</v>
      </c>
      <c r="C3005" s="235" t="s">
        <v>22763</v>
      </c>
      <c r="D3005" s="235" t="s">
        <v>22764</v>
      </c>
      <c r="E3005" s="243">
        <v>6.52E13</v>
      </c>
      <c r="F3005" s="245"/>
      <c r="G3005" s="235" t="s">
        <v>22765</v>
      </c>
      <c r="H3005" s="235" t="s">
        <v>22766</v>
      </c>
      <c r="I3005" s="235" t="s">
        <v>22766</v>
      </c>
      <c r="J3005" s="235" t="s">
        <v>22767</v>
      </c>
      <c r="K3005" s="235" t="s">
        <v>22768</v>
      </c>
      <c r="N3005" s="235" t="s">
        <v>842</v>
      </c>
      <c r="O3005" s="235" t="s">
        <v>843</v>
      </c>
      <c r="P3005" s="238">
        <v>1.0</v>
      </c>
      <c r="Q3005" s="235" t="s">
        <v>627</v>
      </c>
      <c r="R3005" s="238">
        <v>242.86</v>
      </c>
      <c r="S3005" s="238">
        <v>12.14</v>
      </c>
      <c r="T3005" s="238">
        <v>38.1</v>
      </c>
      <c r="U3005" s="238">
        <v>1.9</v>
      </c>
      <c r="V3005" s="238">
        <v>0.0</v>
      </c>
      <c r="W3005" s="238">
        <v>0.0</v>
      </c>
      <c r="X3005" s="235" t="s">
        <v>628</v>
      </c>
      <c r="Z3005" s="245"/>
      <c r="AA3005" s="245"/>
      <c r="AB3005" s="245"/>
      <c r="AC3005" s="235" t="s">
        <v>22769</v>
      </c>
      <c r="AD3005" s="235" t="s">
        <v>630</v>
      </c>
      <c r="AE3005" s="238">
        <v>203205.0</v>
      </c>
      <c r="AF3005" s="235" t="s">
        <v>631</v>
      </c>
      <c r="AG3005" s="245"/>
      <c r="AH3005" s="245"/>
      <c r="AI3005" s="245"/>
      <c r="AJ3005" s="245"/>
      <c r="AK3005" s="245"/>
      <c r="AL3005" s="245"/>
      <c r="AM3005" s="245"/>
      <c r="AN3005" s="245"/>
      <c r="AO3005" s="238">
        <v>0.0</v>
      </c>
      <c r="AP3005" s="238">
        <v>-38.1</v>
      </c>
      <c r="AQ3005" s="235" t="s">
        <v>632</v>
      </c>
      <c r="AR3005" s="243">
        <v>3.71E11</v>
      </c>
      <c r="AS3005" s="235" t="s">
        <v>20529</v>
      </c>
      <c r="AT3005" s="235" t="s">
        <v>14</v>
      </c>
      <c r="AU3005" s="235" t="s">
        <v>634</v>
      </c>
      <c r="AV3005" s="246" t="s">
        <v>635</v>
      </c>
      <c r="AW3005" s="227"/>
      <c r="AX3005" s="227"/>
      <c r="AY3005" s="227"/>
      <c r="AZ3005" s="227"/>
      <c r="BA3005" s="227"/>
      <c r="BB3005" s="227"/>
      <c r="BC3005" s="227"/>
      <c r="BD3005" s="227"/>
      <c r="BE3005" s="227"/>
      <c r="BF3005" s="227"/>
    </row>
    <row r="3006">
      <c r="A3006" s="235" t="s">
        <v>22770</v>
      </c>
      <c r="C3006" s="235" t="s">
        <v>22771</v>
      </c>
      <c r="D3006" s="235" t="s">
        <v>22772</v>
      </c>
      <c r="E3006" s="243">
        <v>6.52E13</v>
      </c>
      <c r="F3006" s="245"/>
      <c r="G3006" s="235" t="s">
        <v>22773</v>
      </c>
      <c r="H3006" s="235" t="s">
        <v>22774</v>
      </c>
      <c r="I3006" s="235" t="s">
        <v>22774</v>
      </c>
      <c r="J3006" s="235" t="s">
        <v>22775</v>
      </c>
      <c r="K3006" s="235" t="s">
        <v>22776</v>
      </c>
      <c r="N3006" s="235" t="s">
        <v>154</v>
      </c>
      <c r="O3006" s="235" t="s">
        <v>766</v>
      </c>
      <c r="P3006" s="238">
        <v>1.0</v>
      </c>
      <c r="Q3006" s="235" t="s">
        <v>627</v>
      </c>
      <c r="R3006" s="238">
        <v>465.71</v>
      </c>
      <c r="S3006" s="238">
        <v>23.29</v>
      </c>
      <c r="T3006" s="238">
        <v>38.1</v>
      </c>
      <c r="U3006" s="238">
        <v>1.9</v>
      </c>
      <c r="V3006" s="238">
        <v>0.0</v>
      </c>
      <c r="W3006" s="238">
        <v>0.0</v>
      </c>
      <c r="X3006" s="235" t="s">
        <v>628</v>
      </c>
      <c r="Z3006" s="245"/>
      <c r="AA3006" s="245"/>
      <c r="AB3006" s="245"/>
      <c r="AC3006" s="235" t="s">
        <v>880</v>
      </c>
      <c r="AD3006" s="235" t="s">
        <v>881</v>
      </c>
      <c r="AE3006" s="238">
        <v>751019.0</v>
      </c>
      <c r="AF3006" s="235" t="s">
        <v>631</v>
      </c>
      <c r="AG3006" s="245"/>
      <c r="AH3006" s="245"/>
      <c r="AI3006" s="245"/>
      <c r="AJ3006" s="245"/>
      <c r="AK3006" s="245"/>
      <c r="AL3006" s="245"/>
      <c r="AM3006" s="245"/>
      <c r="AN3006" s="245"/>
      <c r="AO3006" s="238">
        <v>0.0</v>
      </c>
      <c r="AP3006" s="238">
        <v>-38.1</v>
      </c>
      <c r="AQ3006" s="235" t="s">
        <v>632</v>
      </c>
      <c r="AR3006" s="243">
        <v>3.71E11</v>
      </c>
      <c r="AS3006" s="235" t="s">
        <v>16626</v>
      </c>
      <c r="AT3006" s="235" t="s">
        <v>11</v>
      </c>
      <c r="AU3006" s="235" t="s">
        <v>634</v>
      </c>
      <c r="AV3006" s="246" t="s">
        <v>635</v>
      </c>
      <c r="AW3006" s="227"/>
      <c r="AX3006" s="227"/>
      <c r="AY3006" s="227"/>
      <c r="AZ3006" s="227"/>
      <c r="BA3006" s="227"/>
      <c r="BB3006" s="227"/>
      <c r="BC3006" s="227"/>
      <c r="BD3006" s="227"/>
      <c r="BE3006" s="227"/>
      <c r="BF3006" s="227"/>
    </row>
    <row r="3007">
      <c r="A3007" s="235" t="s">
        <v>22777</v>
      </c>
      <c r="C3007" s="235" t="s">
        <v>22778</v>
      </c>
      <c r="D3007" s="235" t="s">
        <v>22779</v>
      </c>
      <c r="E3007" s="243">
        <v>6.52E13</v>
      </c>
      <c r="F3007" s="245"/>
      <c r="G3007" s="235" t="s">
        <v>22780</v>
      </c>
      <c r="H3007" s="235" t="s">
        <v>22781</v>
      </c>
      <c r="I3007" s="235" t="s">
        <v>22781</v>
      </c>
      <c r="J3007" s="235" t="s">
        <v>22782</v>
      </c>
      <c r="K3007" s="235" t="s">
        <v>22783</v>
      </c>
      <c r="N3007" s="235" t="s">
        <v>962</v>
      </c>
      <c r="O3007" s="235" t="s">
        <v>963</v>
      </c>
      <c r="P3007" s="238">
        <v>1.0</v>
      </c>
      <c r="Q3007" s="235" t="s">
        <v>627</v>
      </c>
      <c r="R3007" s="238">
        <v>237.14</v>
      </c>
      <c r="S3007" s="238">
        <v>11.5</v>
      </c>
      <c r="T3007" s="238">
        <v>0.0</v>
      </c>
      <c r="U3007" s="238">
        <v>0.0</v>
      </c>
      <c r="V3007" s="238">
        <v>0.0</v>
      </c>
      <c r="W3007" s="238">
        <v>0.0</v>
      </c>
      <c r="X3007" s="235" t="s">
        <v>628</v>
      </c>
      <c r="Z3007" s="245"/>
      <c r="AA3007" s="245"/>
      <c r="AB3007" s="245"/>
      <c r="AC3007" s="235" t="s">
        <v>5499</v>
      </c>
      <c r="AD3007" s="235" t="s">
        <v>630</v>
      </c>
      <c r="AE3007" s="238">
        <v>211006.0</v>
      </c>
      <c r="AF3007" s="235" t="s">
        <v>631</v>
      </c>
      <c r="AG3007" s="245"/>
      <c r="AH3007" s="245"/>
      <c r="AI3007" s="245"/>
      <c r="AJ3007" s="245"/>
      <c r="AK3007" s="245"/>
      <c r="AL3007" s="245"/>
      <c r="AM3007" s="245"/>
      <c r="AN3007" s="245"/>
      <c r="AO3007" s="238">
        <v>-7.11</v>
      </c>
      <c r="AP3007" s="238">
        <v>0.0</v>
      </c>
      <c r="AQ3007" s="235" t="s">
        <v>632</v>
      </c>
      <c r="AR3007" s="243">
        <v>3.71E11</v>
      </c>
      <c r="AS3007" s="235" t="s">
        <v>17988</v>
      </c>
      <c r="AT3007" s="235" t="s">
        <v>533</v>
      </c>
      <c r="AU3007" s="235" t="s">
        <v>634</v>
      </c>
      <c r="AV3007" s="246" t="s">
        <v>635</v>
      </c>
      <c r="AW3007" s="227"/>
      <c r="AX3007" s="227"/>
      <c r="AY3007" s="227"/>
      <c r="AZ3007" s="227"/>
      <c r="BA3007" s="227"/>
      <c r="BB3007" s="227"/>
      <c r="BC3007" s="227"/>
      <c r="BD3007" s="227"/>
      <c r="BE3007" s="227"/>
      <c r="BF3007" s="227"/>
    </row>
    <row r="3008">
      <c r="A3008" s="235" t="s">
        <v>22784</v>
      </c>
      <c r="C3008" s="235" t="s">
        <v>22785</v>
      </c>
      <c r="D3008" s="235" t="s">
        <v>22786</v>
      </c>
      <c r="E3008" s="243">
        <v>6.53E13</v>
      </c>
      <c r="F3008" s="245"/>
      <c r="G3008" s="235" t="s">
        <v>22787</v>
      </c>
      <c r="H3008" s="235" t="s">
        <v>22788</v>
      </c>
      <c r="I3008" s="235" t="s">
        <v>22788</v>
      </c>
      <c r="J3008" s="235" t="s">
        <v>22789</v>
      </c>
      <c r="K3008" s="235" t="s">
        <v>22790</v>
      </c>
      <c r="N3008" s="235" t="s">
        <v>127</v>
      </c>
      <c r="O3008" s="235" t="s">
        <v>794</v>
      </c>
      <c r="P3008" s="238">
        <v>1.0</v>
      </c>
      <c r="Q3008" s="235" t="s">
        <v>627</v>
      </c>
      <c r="R3008" s="238">
        <v>242.86</v>
      </c>
      <c r="S3008" s="238">
        <v>11.9</v>
      </c>
      <c r="T3008" s="238">
        <v>0.0</v>
      </c>
      <c r="U3008" s="238">
        <v>0.0</v>
      </c>
      <c r="V3008" s="238">
        <v>0.0</v>
      </c>
      <c r="W3008" s="238">
        <v>0.0</v>
      </c>
      <c r="X3008" s="235" t="s">
        <v>628</v>
      </c>
      <c r="Z3008" s="245"/>
      <c r="AA3008" s="245"/>
      <c r="AB3008" s="245"/>
      <c r="AC3008" s="235" t="s">
        <v>1058</v>
      </c>
      <c r="AD3008" s="235" t="s">
        <v>845</v>
      </c>
      <c r="AE3008" s="238">
        <v>400095.0</v>
      </c>
      <c r="AF3008" s="235" t="s">
        <v>631</v>
      </c>
      <c r="AG3008" s="245"/>
      <c r="AH3008" s="245"/>
      <c r="AI3008" s="245"/>
      <c r="AJ3008" s="245"/>
      <c r="AK3008" s="245"/>
      <c r="AL3008" s="245"/>
      <c r="AM3008" s="245"/>
      <c r="AN3008" s="245"/>
      <c r="AO3008" s="238">
        <v>-4.86</v>
      </c>
      <c r="AP3008" s="238">
        <v>0.0</v>
      </c>
      <c r="AQ3008" s="235" t="s">
        <v>632</v>
      </c>
      <c r="AR3008" s="243">
        <v>1.68E11</v>
      </c>
      <c r="AS3008" s="235" t="s">
        <v>22548</v>
      </c>
      <c r="AT3008" s="235" t="s">
        <v>17</v>
      </c>
      <c r="AU3008" s="235" t="s">
        <v>634</v>
      </c>
      <c r="AV3008" s="246" t="s">
        <v>635</v>
      </c>
      <c r="AW3008" s="227"/>
      <c r="AX3008" s="227"/>
      <c r="AY3008" s="227"/>
      <c r="AZ3008" s="227"/>
      <c r="BA3008" s="227"/>
      <c r="BB3008" s="227"/>
      <c r="BC3008" s="227"/>
      <c r="BD3008" s="227"/>
      <c r="BE3008" s="227"/>
      <c r="BF3008" s="227"/>
    </row>
    <row r="3009">
      <c r="A3009" s="235" t="s">
        <v>22791</v>
      </c>
      <c r="C3009" s="235" t="s">
        <v>22792</v>
      </c>
      <c r="D3009" s="235" t="s">
        <v>22793</v>
      </c>
      <c r="E3009" s="243">
        <v>6.53E13</v>
      </c>
      <c r="F3009" s="245"/>
      <c r="G3009" s="235" t="s">
        <v>22794</v>
      </c>
      <c r="H3009" s="235" t="s">
        <v>22795</v>
      </c>
      <c r="I3009" s="235" t="s">
        <v>22795</v>
      </c>
      <c r="J3009" s="235" t="s">
        <v>22796</v>
      </c>
      <c r="K3009" s="235" t="s">
        <v>22797</v>
      </c>
      <c r="N3009" s="235" t="s">
        <v>47</v>
      </c>
      <c r="O3009" s="235" t="s">
        <v>270</v>
      </c>
      <c r="P3009" s="238">
        <v>1.0</v>
      </c>
      <c r="Q3009" s="235" t="s">
        <v>627</v>
      </c>
      <c r="R3009" s="238">
        <v>0.0</v>
      </c>
      <c r="S3009" s="238">
        <v>0.0</v>
      </c>
      <c r="T3009" s="238">
        <v>0.0</v>
      </c>
      <c r="U3009" s="238">
        <v>0.0</v>
      </c>
      <c r="V3009" s="238">
        <v>0.0</v>
      </c>
      <c r="W3009" s="238">
        <v>0.0</v>
      </c>
      <c r="X3009" s="235" t="s">
        <v>628</v>
      </c>
      <c r="Z3009" s="245"/>
      <c r="AA3009" s="245"/>
      <c r="AB3009" s="245"/>
      <c r="AC3009" s="235" t="s">
        <v>697</v>
      </c>
      <c r="AD3009" s="235" t="s">
        <v>698</v>
      </c>
      <c r="AE3009" s="238">
        <v>500072.0</v>
      </c>
      <c r="AF3009" s="235" t="s">
        <v>631</v>
      </c>
      <c r="AG3009" s="245"/>
      <c r="AH3009" s="245"/>
      <c r="AI3009" s="245"/>
      <c r="AJ3009" s="245"/>
      <c r="AK3009" s="245"/>
      <c r="AL3009" s="245"/>
      <c r="AM3009" s="245"/>
      <c r="AN3009" s="245"/>
      <c r="AO3009" s="238">
        <v>0.0</v>
      </c>
      <c r="AP3009" s="238">
        <v>0.0</v>
      </c>
      <c r="AQ3009" s="235" t="s">
        <v>632</v>
      </c>
      <c r="AR3009" s="243">
        <v>1.68E11</v>
      </c>
      <c r="AS3009" s="235" t="s">
        <v>20529</v>
      </c>
      <c r="AT3009" s="235" t="s">
        <v>156</v>
      </c>
      <c r="AU3009" s="235" t="s">
        <v>634</v>
      </c>
      <c r="AV3009" s="246" t="s">
        <v>635</v>
      </c>
      <c r="AW3009" s="227"/>
      <c r="AX3009" s="227"/>
      <c r="AY3009" s="227"/>
      <c r="AZ3009" s="227"/>
      <c r="BA3009" s="227"/>
      <c r="BB3009" s="227"/>
      <c r="BC3009" s="227"/>
      <c r="BD3009" s="227"/>
      <c r="BE3009" s="227"/>
      <c r="BF3009" s="227"/>
    </row>
    <row r="3010">
      <c r="A3010" s="235" t="s">
        <v>22798</v>
      </c>
      <c r="C3010" s="235" t="s">
        <v>22799</v>
      </c>
      <c r="D3010" s="235" t="s">
        <v>22800</v>
      </c>
      <c r="E3010" s="243">
        <v>6.53E13</v>
      </c>
      <c r="F3010" s="245"/>
      <c r="G3010" s="235" t="s">
        <v>22801</v>
      </c>
      <c r="H3010" s="235" t="s">
        <v>22802</v>
      </c>
      <c r="I3010" s="235" t="s">
        <v>22802</v>
      </c>
      <c r="J3010" s="235" t="s">
        <v>22803</v>
      </c>
      <c r="K3010" s="235" t="s">
        <v>22804</v>
      </c>
      <c r="N3010" s="235" t="s">
        <v>82</v>
      </c>
      <c r="O3010" s="235" t="s">
        <v>889</v>
      </c>
      <c r="P3010" s="238">
        <v>1.0</v>
      </c>
      <c r="Q3010" s="235" t="s">
        <v>627</v>
      </c>
      <c r="R3010" s="238">
        <v>233.33</v>
      </c>
      <c r="S3010" s="238">
        <v>11.67</v>
      </c>
      <c r="T3010" s="238">
        <v>38.1</v>
      </c>
      <c r="U3010" s="238">
        <v>1.9</v>
      </c>
      <c r="V3010" s="238">
        <v>0.0</v>
      </c>
      <c r="W3010" s="238">
        <v>0.0</v>
      </c>
      <c r="X3010" s="235" t="s">
        <v>628</v>
      </c>
      <c r="Z3010" s="245"/>
      <c r="AA3010" s="245"/>
      <c r="AB3010" s="245"/>
      <c r="AC3010" s="235" t="s">
        <v>22805</v>
      </c>
      <c r="AD3010" s="235" t="s">
        <v>709</v>
      </c>
      <c r="AE3010" s="238">
        <v>852138.0</v>
      </c>
      <c r="AF3010" s="235" t="s">
        <v>631</v>
      </c>
      <c r="AG3010" s="245"/>
      <c r="AH3010" s="245"/>
      <c r="AI3010" s="245"/>
      <c r="AJ3010" s="245"/>
      <c r="AK3010" s="245"/>
      <c r="AL3010" s="245"/>
      <c r="AM3010" s="245"/>
      <c r="AN3010" s="245"/>
      <c r="AO3010" s="238">
        <v>0.0</v>
      </c>
      <c r="AP3010" s="238">
        <v>-38.1</v>
      </c>
      <c r="AQ3010" s="235" t="s">
        <v>632</v>
      </c>
      <c r="AR3010" s="243">
        <v>3.71E11</v>
      </c>
      <c r="AS3010" s="235" t="s">
        <v>17988</v>
      </c>
      <c r="AT3010" s="235" t="s">
        <v>14</v>
      </c>
      <c r="AU3010" s="235" t="s">
        <v>634</v>
      </c>
      <c r="AV3010" s="246" t="s">
        <v>635</v>
      </c>
      <c r="AW3010" s="227"/>
      <c r="AX3010" s="227"/>
      <c r="AY3010" s="227"/>
      <c r="AZ3010" s="227"/>
      <c r="BA3010" s="227"/>
      <c r="BB3010" s="227"/>
      <c r="BC3010" s="227"/>
      <c r="BD3010" s="227"/>
      <c r="BE3010" s="227"/>
      <c r="BF3010" s="227"/>
    </row>
    <row r="3011">
      <c r="A3011" s="235" t="s">
        <v>22806</v>
      </c>
      <c r="C3011" s="235" t="s">
        <v>22807</v>
      </c>
      <c r="D3011" s="235" t="s">
        <v>22808</v>
      </c>
      <c r="E3011" s="243">
        <v>6.53E13</v>
      </c>
      <c r="F3011" s="245"/>
      <c r="G3011" s="235" t="s">
        <v>22809</v>
      </c>
      <c r="H3011" s="235" t="s">
        <v>22810</v>
      </c>
      <c r="I3011" s="235" t="s">
        <v>22810</v>
      </c>
      <c r="J3011" s="235" t="s">
        <v>22811</v>
      </c>
      <c r="K3011" s="235" t="s">
        <v>22812</v>
      </c>
      <c r="N3011" s="235" t="s">
        <v>138</v>
      </c>
      <c r="O3011" s="235" t="s">
        <v>675</v>
      </c>
      <c r="P3011" s="238">
        <v>1.0</v>
      </c>
      <c r="Q3011" s="235" t="s">
        <v>627</v>
      </c>
      <c r="R3011" s="238">
        <v>243.81</v>
      </c>
      <c r="S3011" s="238">
        <v>12.19</v>
      </c>
      <c r="T3011" s="238">
        <v>0.0</v>
      </c>
      <c r="U3011" s="238">
        <v>0.0</v>
      </c>
      <c r="V3011" s="238">
        <v>0.0</v>
      </c>
      <c r="W3011" s="238">
        <v>0.0</v>
      </c>
      <c r="X3011" s="235" t="s">
        <v>628</v>
      </c>
      <c r="Z3011" s="245"/>
      <c r="AA3011" s="245"/>
      <c r="AB3011" s="245"/>
      <c r="AC3011" s="235" t="s">
        <v>22813</v>
      </c>
      <c r="AD3011" s="235" t="s">
        <v>1151</v>
      </c>
      <c r="AE3011" s="238">
        <v>700109.0</v>
      </c>
      <c r="AF3011" s="235" t="s">
        <v>631</v>
      </c>
      <c r="AG3011" s="245"/>
      <c r="AH3011" s="245"/>
      <c r="AI3011" s="245"/>
      <c r="AJ3011" s="245"/>
      <c r="AK3011" s="245"/>
      <c r="AL3011" s="245"/>
      <c r="AM3011" s="245"/>
      <c r="AN3011" s="245"/>
      <c r="AO3011" s="238">
        <v>0.0</v>
      </c>
      <c r="AP3011" s="238">
        <v>0.0</v>
      </c>
      <c r="AQ3011" s="235" t="s">
        <v>632</v>
      </c>
      <c r="AR3011" s="243">
        <v>2.02E11</v>
      </c>
      <c r="AS3011" s="235" t="s">
        <v>20529</v>
      </c>
      <c r="AT3011" s="235" t="s">
        <v>156</v>
      </c>
      <c r="AU3011" s="235" t="s">
        <v>634</v>
      </c>
      <c r="AV3011" s="246" t="s">
        <v>635</v>
      </c>
      <c r="AW3011" s="227"/>
      <c r="AX3011" s="227"/>
      <c r="AY3011" s="227"/>
      <c r="AZ3011" s="227"/>
      <c r="BA3011" s="227"/>
      <c r="BB3011" s="227"/>
      <c r="BC3011" s="227"/>
      <c r="BD3011" s="227"/>
      <c r="BE3011" s="227"/>
      <c r="BF3011" s="227"/>
    </row>
    <row r="3012">
      <c r="A3012" s="235" t="s">
        <v>22814</v>
      </c>
      <c r="C3012" s="235" t="s">
        <v>22815</v>
      </c>
      <c r="D3012" s="235" t="s">
        <v>22816</v>
      </c>
      <c r="E3012" s="243">
        <v>6.53E13</v>
      </c>
      <c r="F3012" s="245"/>
      <c r="G3012" s="235" t="s">
        <v>22817</v>
      </c>
      <c r="H3012" s="235" t="s">
        <v>22818</v>
      </c>
      <c r="I3012" s="235" t="s">
        <v>22818</v>
      </c>
      <c r="J3012" s="235" t="s">
        <v>22819</v>
      </c>
      <c r="K3012" s="235" t="s">
        <v>22820</v>
      </c>
      <c r="N3012" s="235" t="s">
        <v>90</v>
      </c>
      <c r="O3012" s="235" t="s">
        <v>279</v>
      </c>
      <c r="P3012" s="238">
        <v>1.0</v>
      </c>
      <c r="Q3012" s="235" t="s">
        <v>627</v>
      </c>
      <c r="R3012" s="238">
        <v>233.34</v>
      </c>
      <c r="S3012" s="238">
        <v>11.66</v>
      </c>
      <c r="T3012" s="238">
        <v>0.0</v>
      </c>
      <c r="U3012" s="238">
        <v>0.0</v>
      </c>
      <c r="V3012" s="238">
        <v>0.0</v>
      </c>
      <c r="W3012" s="238">
        <v>0.0</v>
      </c>
      <c r="X3012" s="235" t="s">
        <v>628</v>
      </c>
      <c r="Z3012" s="245"/>
      <c r="AA3012" s="245"/>
      <c r="AB3012" s="245"/>
      <c r="AC3012" s="235" t="s">
        <v>1671</v>
      </c>
      <c r="AD3012" s="235" t="s">
        <v>666</v>
      </c>
      <c r="AE3012" s="238">
        <v>641006.0</v>
      </c>
      <c r="AF3012" s="235" t="s">
        <v>631</v>
      </c>
      <c r="AG3012" s="245"/>
      <c r="AH3012" s="245"/>
      <c r="AI3012" s="245"/>
      <c r="AJ3012" s="245"/>
      <c r="AK3012" s="245"/>
      <c r="AL3012" s="245"/>
      <c r="AM3012" s="245"/>
      <c r="AN3012" s="245"/>
      <c r="AO3012" s="238">
        <v>0.0</v>
      </c>
      <c r="AP3012" s="238">
        <v>0.0</v>
      </c>
      <c r="AQ3012" s="235" t="s">
        <v>632</v>
      </c>
      <c r="AR3012" s="243">
        <v>3.71E11</v>
      </c>
      <c r="AS3012" s="235" t="s">
        <v>22269</v>
      </c>
      <c r="AT3012" s="235" t="s">
        <v>155</v>
      </c>
      <c r="AU3012" s="235" t="s">
        <v>634</v>
      </c>
      <c r="AV3012" s="246" t="s">
        <v>635</v>
      </c>
      <c r="AW3012" s="227"/>
      <c r="AX3012" s="227"/>
      <c r="AY3012" s="227"/>
      <c r="AZ3012" s="227"/>
      <c r="BA3012" s="227"/>
      <c r="BB3012" s="227"/>
      <c r="BC3012" s="227"/>
      <c r="BD3012" s="227"/>
      <c r="BE3012" s="227"/>
      <c r="BF3012" s="227"/>
    </row>
    <row r="3013">
      <c r="A3013" s="235" t="s">
        <v>22821</v>
      </c>
      <c r="C3013" s="235" t="s">
        <v>22822</v>
      </c>
      <c r="D3013" s="235" t="s">
        <v>22823</v>
      </c>
      <c r="E3013" s="243">
        <v>6.52E13</v>
      </c>
      <c r="F3013" s="245"/>
      <c r="G3013" s="235" t="s">
        <v>22824</v>
      </c>
      <c r="H3013" s="235" t="s">
        <v>22825</v>
      </c>
      <c r="I3013" s="235" t="s">
        <v>22825</v>
      </c>
      <c r="J3013" s="235" t="s">
        <v>22826</v>
      </c>
      <c r="K3013" s="235" t="s">
        <v>22827</v>
      </c>
      <c r="N3013" s="235" t="s">
        <v>842</v>
      </c>
      <c r="O3013" s="235" t="s">
        <v>843</v>
      </c>
      <c r="P3013" s="238">
        <v>1.0</v>
      </c>
      <c r="Q3013" s="235" t="s">
        <v>627</v>
      </c>
      <c r="R3013" s="238">
        <v>246.67</v>
      </c>
      <c r="S3013" s="238">
        <v>12.08</v>
      </c>
      <c r="T3013" s="238">
        <v>38.1</v>
      </c>
      <c r="U3013" s="238">
        <v>1.9</v>
      </c>
      <c r="V3013" s="238">
        <v>0.0</v>
      </c>
      <c r="W3013" s="238">
        <v>0.0</v>
      </c>
      <c r="X3013" s="235" t="s">
        <v>628</v>
      </c>
      <c r="Z3013" s="245"/>
      <c r="AA3013" s="245"/>
      <c r="AB3013" s="245"/>
      <c r="AC3013" s="235" t="s">
        <v>22828</v>
      </c>
      <c r="AD3013" s="235" t="s">
        <v>698</v>
      </c>
      <c r="AE3013" s="238">
        <v>504296.0</v>
      </c>
      <c r="AF3013" s="235" t="s">
        <v>631</v>
      </c>
      <c r="AG3013" s="245"/>
      <c r="AH3013" s="245"/>
      <c r="AI3013" s="245"/>
      <c r="AJ3013" s="245"/>
      <c r="AK3013" s="245"/>
      <c r="AL3013" s="245"/>
      <c r="AM3013" s="245"/>
      <c r="AN3013" s="245"/>
      <c r="AO3013" s="238">
        <v>-4.93</v>
      </c>
      <c r="AP3013" s="238">
        <v>-38.1</v>
      </c>
      <c r="AQ3013" s="235" t="s">
        <v>632</v>
      </c>
      <c r="AR3013" s="243">
        <v>3.71E11</v>
      </c>
      <c r="AS3013" s="235" t="s">
        <v>16626</v>
      </c>
      <c r="AT3013" s="235" t="s">
        <v>533</v>
      </c>
      <c r="AU3013" s="235" t="s">
        <v>634</v>
      </c>
      <c r="AV3013" s="246" t="s">
        <v>635</v>
      </c>
      <c r="AW3013" s="227"/>
      <c r="AX3013" s="227"/>
      <c r="AY3013" s="227"/>
      <c r="AZ3013" s="227"/>
      <c r="BA3013" s="227"/>
      <c r="BB3013" s="227"/>
      <c r="BC3013" s="227"/>
      <c r="BD3013" s="227"/>
      <c r="BE3013" s="227"/>
      <c r="BF3013" s="227"/>
    </row>
    <row r="3014">
      <c r="A3014" s="235" t="s">
        <v>22829</v>
      </c>
      <c r="C3014" s="235" t="s">
        <v>22830</v>
      </c>
      <c r="D3014" s="235" t="s">
        <v>22831</v>
      </c>
      <c r="E3014" s="243">
        <v>6.52E13</v>
      </c>
      <c r="F3014" s="245"/>
      <c r="G3014" s="235" t="s">
        <v>22832</v>
      </c>
      <c r="H3014" s="235" t="s">
        <v>22833</v>
      </c>
      <c r="I3014" s="235" t="s">
        <v>22833</v>
      </c>
      <c r="J3014" s="235" t="s">
        <v>22834</v>
      </c>
      <c r="K3014" s="235" t="s">
        <v>22835</v>
      </c>
      <c r="N3014" s="235" t="s">
        <v>51</v>
      </c>
      <c r="O3014" s="235" t="s">
        <v>273</v>
      </c>
      <c r="P3014" s="238">
        <v>1.0</v>
      </c>
      <c r="Q3014" s="235" t="s">
        <v>627</v>
      </c>
      <c r="R3014" s="238">
        <v>233.34</v>
      </c>
      <c r="S3014" s="238">
        <v>11.66</v>
      </c>
      <c r="T3014" s="238">
        <v>0.0</v>
      </c>
      <c r="U3014" s="238">
        <v>0.0</v>
      </c>
      <c r="V3014" s="238">
        <v>0.0</v>
      </c>
      <c r="W3014" s="238">
        <v>0.0</v>
      </c>
      <c r="X3014" s="235" t="s">
        <v>628</v>
      </c>
      <c r="Z3014" s="245"/>
      <c r="AA3014" s="245"/>
      <c r="AB3014" s="245"/>
      <c r="AC3014" s="235" t="s">
        <v>1320</v>
      </c>
      <c r="AD3014" s="235" t="s">
        <v>666</v>
      </c>
      <c r="AE3014" s="238">
        <v>600004.0</v>
      </c>
      <c r="AF3014" s="235" t="s">
        <v>631</v>
      </c>
      <c r="AG3014" s="245"/>
      <c r="AH3014" s="245"/>
      <c r="AI3014" s="245"/>
      <c r="AJ3014" s="245"/>
      <c r="AK3014" s="245"/>
      <c r="AL3014" s="245"/>
      <c r="AM3014" s="245"/>
      <c r="AN3014" s="245"/>
      <c r="AO3014" s="238">
        <v>0.0</v>
      </c>
      <c r="AP3014" s="238">
        <v>0.0</v>
      </c>
      <c r="AQ3014" s="235" t="s">
        <v>632</v>
      </c>
      <c r="AR3014" s="243">
        <v>1.68E11</v>
      </c>
      <c r="AS3014" s="235" t="s">
        <v>22548</v>
      </c>
      <c r="AT3014" s="235" t="s">
        <v>156</v>
      </c>
      <c r="AU3014" s="235" t="s">
        <v>634</v>
      </c>
      <c r="AV3014" s="246" t="s">
        <v>635</v>
      </c>
      <c r="AW3014" s="227"/>
      <c r="AX3014" s="227"/>
      <c r="AY3014" s="227"/>
      <c r="AZ3014" s="227"/>
      <c r="BA3014" s="227"/>
      <c r="BB3014" s="227"/>
      <c r="BC3014" s="227"/>
      <c r="BD3014" s="227"/>
      <c r="BE3014" s="227"/>
      <c r="BF3014" s="227"/>
    </row>
    <row r="3015">
      <c r="A3015" s="235" t="s">
        <v>22836</v>
      </c>
      <c r="C3015" s="235" t="s">
        <v>22837</v>
      </c>
      <c r="D3015" s="235" t="s">
        <v>22838</v>
      </c>
      <c r="E3015" s="243">
        <v>6.53E13</v>
      </c>
      <c r="F3015" s="245"/>
      <c r="G3015" s="235" t="s">
        <v>22839</v>
      </c>
      <c r="H3015" s="235" t="s">
        <v>22840</v>
      </c>
      <c r="I3015" s="235" t="s">
        <v>22841</v>
      </c>
      <c r="J3015" s="235" t="s">
        <v>22842</v>
      </c>
      <c r="K3015" s="235" t="s">
        <v>22843</v>
      </c>
      <c r="N3015" s="235" t="s">
        <v>139</v>
      </c>
      <c r="O3015" s="235" t="s">
        <v>2091</v>
      </c>
      <c r="P3015" s="238">
        <v>1.0</v>
      </c>
      <c r="Q3015" s="235" t="s">
        <v>627</v>
      </c>
      <c r="R3015" s="238">
        <v>243.8</v>
      </c>
      <c r="S3015" s="238">
        <v>11.96</v>
      </c>
      <c r="T3015" s="238">
        <v>0.0</v>
      </c>
      <c r="U3015" s="238">
        <v>0.0</v>
      </c>
      <c r="V3015" s="238">
        <v>0.0</v>
      </c>
      <c r="W3015" s="238">
        <v>0.0</v>
      </c>
      <c r="X3015" s="235" t="s">
        <v>628</v>
      </c>
      <c r="Z3015" s="245"/>
      <c r="AA3015" s="245"/>
      <c r="AB3015" s="245"/>
      <c r="AC3015" s="235" t="s">
        <v>687</v>
      </c>
      <c r="AD3015" s="235" t="s">
        <v>666</v>
      </c>
      <c r="AE3015" s="238">
        <v>600070.0</v>
      </c>
      <c r="AF3015" s="235" t="s">
        <v>631</v>
      </c>
      <c r="AG3015" s="245"/>
      <c r="AH3015" s="245"/>
      <c r="AI3015" s="245"/>
      <c r="AJ3015" s="245"/>
      <c r="AK3015" s="245"/>
      <c r="AL3015" s="245"/>
      <c r="AM3015" s="245"/>
      <c r="AN3015" s="245"/>
      <c r="AO3015" s="238">
        <v>-4.88</v>
      </c>
      <c r="AP3015" s="238">
        <v>0.0</v>
      </c>
      <c r="AQ3015" s="235" t="s">
        <v>632</v>
      </c>
      <c r="AR3015" s="243">
        <v>1.68E11</v>
      </c>
      <c r="AS3015" s="235" t="s">
        <v>22548</v>
      </c>
      <c r="AT3015" s="235" t="s">
        <v>156</v>
      </c>
      <c r="AU3015" s="235" t="s">
        <v>634</v>
      </c>
      <c r="AV3015" s="246" t="s">
        <v>635</v>
      </c>
      <c r="AW3015" s="227"/>
      <c r="AX3015" s="227"/>
      <c r="AY3015" s="227"/>
      <c r="AZ3015" s="227"/>
      <c r="BA3015" s="227"/>
      <c r="BB3015" s="227"/>
      <c r="BC3015" s="227"/>
      <c r="BD3015" s="227"/>
      <c r="BE3015" s="227"/>
      <c r="BF3015" s="227"/>
    </row>
    <row r="3016">
      <c r="A3016" s="235" t="s">
        <v>22844</v>
      </c>
      <c r="C3016" s="235" t="s">
        <v>22845</v>
      </c>
      <c r="D3016" s="235" t="s">
        <v>22846</v>
      </c>
      <c r="E3016" s="243">
        <v>6.53E13</v>
      </c>
      <c r="F3016" s="245"/>
      <c r="G3016" s="235" t="s">
        <v>22847</v>
      </c>
      <c r="H3016" s="235" t="s">
        <v>22841</v>
      </c>
      <c r="I3016" s="235" t="s">
        <v>22841</v>
      </c>
      <c r="J3016" s="235" t="s">
        <v>22848</v>
      </c>
      <c r="K3016" s="235" t="s">
        <v>22849</v>
      </c>
      <c r="N3016" s="235" t="s">
        <v>127</v>
      </c>
      <c r="O3016" s="235" t="s">
        <v>794</v>
      </c>
      <c r="P3016" s="238">
        <v>1.0</v>
      </c>
      <c r="Q3016" s="235" t="s">
        <v>627</v>
      </c>
      <c r="R3016" s="238">
        <v>242.86</v>
      </c>
      <c r="S3016" s="238">
        <v>12.14</v>
      </c>
      <c r="T3016" s="238">
        <v>0.0</v>
      </c>
      <c r="U3016" s="238">
        <v>0.0</v>
      </c>
      <c r="V3016" s="238">
        <v>0.0</v>
      </c>
      <c r="W3016" s="238">
        <v>0.0</v>
      </c>
      <c r="X3016" s="235" t="s">
        <v>628</v>
      </c>
      <c r="Z3016" s="245"/>
      <c r="AA3016" s="245"/>
      <c r="AB3016" s="245"/>
      <c r="AC3016" s="235" t="s">
        <v>22850</v>
      </c>
      <c r="AD3016" s="235" t="s">
        <v>666</v>
      </c>
      <c r="AE3016" s="238">
        <v>607803.0</v>
      </c>
      <c r="AF3016" s="235" t="s">
        <v>631</v>
      </c>
      <c r="AG3016" s="245"/>
      <c r="AH3016" s="245"/>
      <c r="AI3016" s="245"/>
      <c r="AJ3016" s="245"/>
      <c r="AK3016" s="245"/>
      <c r="AL3016" s="245"/>
      <c r="AM3016" s="245"/>
      <c r="AN3016" s="245"/>
      <c r="AO3016" s="238">
        <v>0.0</v>
      </c>
      <c r="AP3016" s="238">
        <v>0.0</v>
      </c>
      <c r="AQ3016" s="235" t="s">
        <v>632</v>
      </c>
      <c r="AR3016" s="243">
        <v>1.68E11</v>
      </c>
      <c r="AS3016" s="235" t="s">
        <v>22269</v>
      </c>
      <c r="AT3016" s="235" t="s">
        <v>156</v>
      </c>
      <c r="AU3016" s="235" t="s">
        <v>634</v>
      </c>
      <c r="AV3016" s="246" t="s">
        <v>635</v>
      </c>
      <c r="AW3016" s="227"/>
      <c r="AX3016" s="227"/>
      <c r="AY3016" s="227"/>
      <c r="AZ3016" s="227"/>
      <c r="BA3016" s="227"/>
      <c r="BB3016" s="227"/>
      <c r="BC3016" s="227"/>
      <c r="BD3016" s="227"/>
      <c r="BE3016" s="227"/>
      <c r="BF3016" s="227"/>
    </row>
    <row r="3017">
      <c r="A3017" s="235" t="s">
        <v>22851</v>
      </c>
      <c r="C3017" s="235" t="s">
        <v>22852</v>
      </c>
      <c r="D3017" s="235" t="s">
        <v>22853</v>
      </c>
      <c r="E3017" s="243">
        <v>6.52E13</v>
      </c>
      <c r="F3017" s="245"/>
      <c r="G3017" s="235" t="s">
        <v>22854</v>
      </c>
      <c r="H3017" s="235" t="s">
        <v>22855</v>
      </c>
      <c r="I3017" s="235" t="s">
        <v>22856</v>
      </c>
      <c r="J3017" s="235" t="s">
        <v>22857</v>
      </c>
      <c r="K3017" s="235" t="s">
        <v>22858</v>
      </c>
      <c r="N3017" s="235" t="s">
        <v>92</v>
      </c>
      <c r="O3017" s="235" t="s">
        <v>248</v>
      </c>
      <c r="P3017" s="238">
        <v>1.0</v>
      </c>
      <c r="Q3017" s="235" t="s">
        <v>627</v>
      </c>
      <c r="R3017" s="238">
        <v>246.67</v>
      </c>
      <c r="S3017" s="238">
        <v>12.08</v>
      </c>
      <c r="T3017" s="238">
        <v>0.0</v>
      </c>
      <c r="U3017" s="238">
        <v>0.0</v>
      </c>
      <c r="V3017" s="238">
        <v>0.0</v>
      </c>
      <c r="W3017" s="238">
        <v>0.0</v>
      </c>
      <c r="X3017" s="235" t="s">
        <v>628</v>
      </c>
      <c r="Z3017" s="245"/>
      <c r="AA3017" s="245"/>
      <c r="AB3017" s="245"/>
      <c r="AC3017" s="235" t="s">
        <v>22859</v>
      </c>
      <c r="AD3017" s="235" t="s">
        <v>917</v>
      </c>
      <c r="AE3017" s="238">
        <v>312601.0</v>
      </c>
      <c r="AF3017" s="235" t="s">
        <v>631</v>
      </c>
      <c r="AG3017" s="245"/>
      <c r="AH3017" s="245"/>
      <c r="AI3017" s="245"/>
      <c r="AJ3017" s="245"/>
      <c r="AK3017" s="245"/>
      <c r="AL3017" s="245"/>
      <c r="AM3017" s="245"/>
      <c r="AN3017" s="245"/>
      <c r="AO3017" s="238">
        <v>-4.93</v>
      </c>
      <c r="AP3017" s="238">
        <v>0.0</v>
      </c>
      <c r="AQ3017" s="235" t="s">
        <v>632</v>
      </c>
      <c r="AR3017" s="243">
        <v>3.71E11</v>
      </c>
      <c r="AS3017" s="235" t="s">
        <v>17988</v>
      </c>
      <c r="AT3017" s="235" t="s">
        <v>5</v>
      </c>
      <c r="AU3017" s="235" t="s">
        <v>634</v>
      </c>
      <c r="AV3017" s="246" t="s">
        <v>635</v>
      </c>
      <c r="AW3017" s="227"/>
      <c r="AX3017" s="227"/>
      <c r="AY3017" s="227"/>
      <c r="AZ3017" s="227"/>
      <c r="BA3017" s="227"/>
      <c r="BB3017" s="227"/>
      <c r="BC3017" s="227"/>
      <c r="BD3017" s="227"/>
      <c r="BE3017" s="227"/>
      <c r="BF3017" s="227"/>
    </row>
    <row r="3018">
      <c r="A3018" s="235" t="s">
        <v>22860</v>
      </c>
      <c r="C3018" s="235" t="s">
        <v>22861</v>
      </c>
      <c r="D3018" s="235" t="s">
        <v>22862</v>
      </c>
      <c r="E3018" s="243">
        <v>6.53E13</v>
      </c>
      <c r="F3018" s="245"/>
      <c r="G3018" s="235" t="s">
        <v>22863</v>
      </c>
      <c r="H3018" s="235" t="s">
        <v>22864</v>
      </c>
      <c r="I3018" s="235" t="s">
        <v>22864</v>
      </c>
      <c r="J3018" s="235" t="s">
        <v>22865</v>
      </c>
      <c r="K3018" s="235" t="s">
        <v>13508</v>
      </c>
      <c r="N3018" s="235" t="s">
        <v>55</v>
      </c>
      <c r="O3018" s="235" t="s">
        <v>244</v>
      </c>
      <c r="P3018" s="238">
        <v>1.0</v>
      </c>
      <c r="Q3018" s="235" t="s">
        <v>627</v>
      </c>
      <c r="R3018" s="238">
        <v>246.66</v>
      </c>
      <c r="S3018" s="238">
        <v>12.1</v>
      </c>
      <c r="T3018" s="238">
        <v>0.0</v>
      </c>
      <c r="U3018" s="238">
        <v>0.0</v>
      </c>
      <c r="V3018" s="238">
        <v>0.0</v>
      </c>
      <c r="W3018" s="238">
        <v>0.0</v>
      </c>
      <c r="X3018" s="235" t="s">
        <v>628</v>
      </c>
      <c r="Z3018" s="245"/>
      <c r="AA3018" s="245"/>
      <c r="AB3018" s="245"/>
      <c r="AC3018" s="235" t="s">
        <v>1671</v>
      </c>
      <c r="AD3018" s="235" t="s">
        <v>666</v>
      </c>
      <c r="AE3018" s="238">
        <v>641014.0</v>
      </c>
      <c r="AF3018" s="235" t="s">
        <v>631</v>
      </c>
      <c r="AG3018" s="245"/>
      <c r="AH3018" s="245"/>
      <c r="AI3018" s="245"/>
      <c r="AJ3018" s="245"/>
      <c r="AK3018" s="245"/>
      <c r="AL3018" s="245"/>
      <c r="AM3018" s="245"/>
      <c r="AN3018" s="245"/>
      <c r="AO3018" s="238">
        <v>-4.94</v>
      </c>
      <c r="AP3018" s="238">
        <v>0.0</v>
      </c>
      <c r="AQ3018" s="235" t="s">
        <v>632</v>
      </c>
      <c r="AR3018" s="243">
        <v>1.68E11</v>
      </c>
      <c r="AS3018" s="235" t="s">
        <v>22548</v>
      </c>
      <c r="AT3018" s="235" t="s">
        <v>155</v>
      </c>
      <c r="AU3018" s="235" t="s">
        <v>634</v>
      </c>
      <c r="AV3018" s="246" t="s">
        <v>635</v>
      </c>
      <c r="AW3018" s="227"/>
      <c r="AX3018" s="227"/>
      <c r="AY3018" s="227"/>
      <c r="AZ3018" s="227"/>
      <c r="BA3018" s="227"/>
      <c r="BB3018" s="227"/>
      <c r="BC3018" s="227"/>
      <c r="BD3018" s="227"/>
      <c r="BE3018" s="227"/>
      <c r="BF3018" s="227"/>
    </row>
    <row r="3019">
      <c r="A3019" s="235" t="s">
        <v>22866</v>
      </c>
      <c r="C3019" s="235" t="s">
        <v>22867</v>
      </c>
      <c r="D3019" s="235" t="s">
        <v>22868</v>
      </c>
      <c r="E3019" s="243">
        <v>6.52E13</v>
      </c>
      <c r="F3019" s="245"/>
      <c r="G3019" s="235" t="s">
        <v>22869</v>
      </c>
      <c r="H3019" s="235" t="s">
        <v>22870</v>
      </c>
      <c r="I3019" s="235" t="s">
        <v>22870</v>
      </c>
      <c r="J3019" s="235" t="s">
        <v>22871</v>
      </c>
      <c r="K3019" s="235" t="s">
        <v>22872</v>
      </c>
      <c r="N3019" s="235" t="s">
        <v>30</v>
      </c>
      <c r="O3019" s="235" t="s">
        <v>692</v>
      </c>
      <c r="P3019" s="238">
        <v>1.0</v>
      </c>
      <c r="Q3019" s="235" t="s">
        <v>627</v>
      </c>
      <c r="R3019" s="238">
        <v>446.66</v>
      </c>
      <c r="S3019" s="238">
        <v>21.67</v>
      </c>
      <c r="T3019" s="238">
        <v>0.0</v>
      </c>
      <c r="U3019" s="238">
        <v>0.0</v>
      </c>
      <c r="V3019" s="238">
        <v>0.0</v>
      </c>
      <c r="W3019" s="238">
        <v>0.0</v>
      </c>
      <c r="X3019" s="235" t="s">
        <v>628</v>
      </c>
      <c r="Z3019" s="245"/>
      <c r="AA3019" s="245"/>
      <c r="AB3019" s="245"/>
      <c r="AC3019" s="235" t="s">
        <v>1456</v>
      </c>
      <c r="AD3019" s="235" t="s">
        <v>928</v>
      </c>
      <c r="AE3019" s="238">
        <v>122018.0</v>
      </c>
      <c r="AF3019" s="235" t="s">
        <v>631</v>
      </c>
      <c r="AG3019" s="245"/>
      <c r="AH3019" s="245"/>
      <c r="AI3019" s="245"/>
      <c r="AJ3019" s="245"/>
      <c r="AK3019" s="245"/>
      <c r="AL3019" s="245"/>
      <c r="AM3019" s="245"/>
      <c r="AN3019" s="245"/>
      <c r="AO3019" s="238">
        <v>-13.4</v>
      </c>
      <c r="AP3019" s="238">
        <v>0.0</v>
      </c>
      <c r="AQ3019" s="235" t="s">
        <v>632</v>
      </c>
      <c r="AR3019" s="243">
        <v>3.71E11</v>
      </c>
      <c r="AS3019" s="235" t="s">
        <v>22269</v>
      </c>
      <c r="AT3019" s="235" t="s">
        <v>13</v>
      </c>
      <c r="AU3019" s="235" t="s">
        <v>634</v>
      </c>
      <c r="AV3019" s="246" t="s">
        <v>635</v>
      </c>
      <c r="AW3019" s="227"/>
      <c r="AX3019" s="227"/>
      <c r="AY3019" s="227"/>
      <c r="AZ3019" s="227"/>
      <c r="BA3019" s="227"/>
      <c r="BB3019" s="227"/>
      <c r="BC3019" s="227"/>
      <c r="BD3019" s="227"/>
      <c r="BE3019" s="227"/>
      <c r="BF3019" s="227"/>
    </row>
    <row r="3020">
      <c r="A3020" s="235" t="s">
        <v>22866</v>
      </c>
      <c r="C3020" s="235" t="s">
        <v>22867</v>
      </c>
      <c r="D3020" s="235" t="s">
        <v>22873</v>
      </c>
      <c r="E3020" s="243">
        <v>6.52E13</v>
      </c>
      <c r="F3020" s="245"/>
      <c r="G3020" s="235" t="s">
        <v>22869</v>
      </c>
      <c r="H3020" s="235" t="s">
        <v>22870</v>
      </c>
      <c r="I3020" s="235" t="s">
        <v>22870</v>
      </c>
      <c r="J3020" s="235" t="s">
        <v>22871</v>
      </c>
      <c r="K3020" s="235" t="s">
        <v>22872</v>
      </c>
      <c r="N3020" s="235" t="s">
        <v>30</v>
      </c>
      <c r="O3020" s="235" t="s">
        <v>692</v>
      </c>
      <c r="P3020" s="238">
        <v>1.0</v>
      </c>
      <c r="Q3020" s="235" t="s">
        <v>627</v>
      </c>
      <c r="R3020" s="238">
        <v>446.66</v>
      </c>
      <c r="S3020" s="238">
        <v>21.67</v>
      </c>
      <c r="T3020" s="238">
        <v>0.0</v>
      </c>
      <c r="U3020" s="238">
        <v>0.0</v>
      </c>
      <c r="V3020" s="238">
        <v>0.0</v>
      </c>
      <c r="W3020" s="238">
        <v>0.0</v>
      </c>
      <c r="X3020" s="235" t="s">
        <v>628</v>
      </c>
      <c r="Z3020" s="245"/>
      <c r="AA3020" s="245"/>
      <c r="AB3020" s="245"/>
      <c r="AC3020" s="235" t="s">
        <v>1456</v>
      </c>
      <c r="AD3020" s="235" t="s">
        <v>928</v>
      </c>
      <c r="AE3020" s="238">
        <v>122018.0</v>
      </c>
      <c r="AF3020" s="235" t="s">
        <v>631</v>
      </c>
      <c r="AG3020" s="245"/>
      <c r="AH3020" s="245"/>
      <c r="AI3020" s="245"/>
      <c r="AJ3020" s="245"/>
      <c r="AK3020" s="245"/>
      <c r="AL3020" s="245"/>
      <c r="AM3020" s="245"/>
      <c r="AN3020" s="245"/>
      <c r="AO3020" s="238">
        <v>-13.4</v>
      </c>
      <c r="AP3020" s="238">
        <v>0.0</v>
      </c>
      <c r="AQ3020" s="235" t="s">
        <v>632</v>
      </c>
      <c r="AR3020" s="243">
        <v>3.71E11</v>
      </c>
      <c r="AS3020" s="235" t="s">
        <v>22269</v>
      </c>
      <c r="AT3020" s="235" t="s">
        <v>13</v>
      </c>
      <c r="AU3020" s="235" t="s">
        <v>634</v>
      </c>
      <c r="AV3020" s="246" t="s">
        <v>635</v>
      </c>
      <c r="AW3020" s="227"/>
      <c r="AX3020" s="227"/>
      <c r="AY3020" s="227"/>
      <c r="AZ3020" s="227"/>
      <c r="BA3020" s="227"/>
      <c r="BB3020" s="227"/>
      <c r="BC3020" s="227"/>
      <c r="BD3020" s="227"/>
      <c r="BE3020" s="227"/>
      <c r="BF3020" s="227"/>
    </row>
    <row r="3021">
      <c r="A3021" s="235" t="s">
        <v>22874</v>
      </c>
      <c r="C3021" s="235" t="s">
        <v>22875</v>
      </c>
      <c r="D3021" s="235" t="s">
        <v>22876</v>
      </c>
      <c r="E3021" s="243">
        <v>6.52E13</v>
      </c>
      <c r="F3021" s="245"/>
      <c r="G3021" s="235" t="s">
        <v>22877</v>
      </c>
      <c r="H3021" s="235" t="s">
        <v>22878</v>
      </c>
      <c r="I3021" s="235" t="s">
        <v>22878</v>
      </c>
      <c r="J3021" s="235" t="s">
        <v>22879</v>
      </c>
      <c r="K3021" s="235" t="s">
        <v>22880</v>
      </c>
      <c r="N3021" s="235" t="s">
        <v>726</v>
      </c>
      <c r="O3021" s="235" t="s">
        <v>727</v>
      </c>
      <c r="P3021" s="238">
        <v>1.0</v>
      </c>
      <c r="Q3021" s="235" t="s">
        <v>627</v>
      </c>
      <c r="R3021" s="238">
        <v>246.67</v>
      </c>
      <c r="S3021" s="238">
        <v>12.33</v>
      </c>
      <c r="T3021" s="238">
        <v>0.0</v>
      </c>
      <c r="U3021" s="238">
        <v>0.0</v>
      </c>
      <c r="V3021" s="238">
        <v>0.0</v>
      </c>
      <c r="W3021" s="238">
        <v>0.0</v>
      </c>
      <c r="X3021" s="235" t="s">
        <v>628</v>
      </c>
      <c r="Z3021" s="245"/>
      <c r="AA3021" s="245"/>
      <c r="AB3021" s="245"/>
      <c r="AC3021" s="235" t="s">
        <v>22881</v>
      </c>
      <c r="AD3021" s="235" t="s">
        <v>881</v>
      </c>
      <c r="AE3021" s="238">
        <v>752001.0</v>
      </c>
      <c r="AF3021" s="235" t="s">
        <v>631</v>
      </c>
      <c r="AG3021" s="245"/>
      <c r="AH3021" s="245"/>
      <c r="AI3021" s="245"/>
      <c r="AJ3021" s="245"/>
      <c r="AK3021" s="245"/>
      <c r="AL3021" s="245"/>
      <c r="AM3021" s="245"/>
      <c r="AN3021" s="245"/>
      <c r="AO3021" s="238">
        <v>0.0</v>
      </c>
      <c r="AP3021" s="238">
        <v>0.0</v>
      </c>
      <c r="AQ3021" s="235" t="s">
        <v>632</v>
      </c>
      <c r="AR3021" s="243">
        <v>3.71E11</v>
      </c>
      <c r="AS3021" s="235" t="s">
        <v>16626</v>
      </c>
      <c r="AT3021" s="235" t="s">
        <v>11</v>
      </c>
      <c r="AU3021" s="235" t="s">
        <v>634</v>
      </c>
      <c r="AV3021" s="246" t="s">
        <v>635</v>
      </c>
      <c r="AW3021" s="227"/>
      <c r="AX3021" s="227"/>
      <c r="AY3021" s="227"/>
      <c r="AZ3021" s="227"/>
      <c r="BA3021" s="227"/>
      <c r="BB3021" s="227"/>
      <c r="BC3021" s="227"/>
      <c r="BD3021" s="227"/>
      <c r="BE3021" s="227"/>
      <c r="BF3021" s="227"/>
    </row>
    <row r="3022">
      <c r="A3022" s="235" t="s">
        <v>22882</v>
      </c>
      <c r="C3022" s="235" t="s">
        <v>22883</v>
      </c>
      <c r="D3022" s="235" t="s">
        <v>22884</v>
      </c>
      <c r="E3022" s="243">
        <v>6.52E13</v>
      </c>
      <c r="F3022" s="245"/>
      <c r="G3022" s="235" t="s">
        <v>22885</v>
      </c>
      <c r="H3022" s="235" t="s">
        <v>22886</v>
      </c>
      <c r="I3022" s="235" t="s">
        <v>22887</v>
      </c>
      <c r="J3022" s="235" t="s">
        <v>22888</v>
      </c>
      <c r="K3022" s="235" t="s">
        <v>22889</v>
      </c>
      <c r="N3022" s="235" t="s">
        <v>92</v>
      </c>
      <c r="O3022" s="235" t="s">
        <v>248</v>
      </c>
      <c r="P3022" s="238">
        <v>1.0</v>
      </c>
      <c r="Q3022" s="235" t="s">
        <v>627</v>
      </c>
      <c r="R3022" s="238">
        <v>246.67</v>
      </c>
      <c r="S3022" s="238">
        <v>12.33</v>
      </c>
      <c r="T3022" s="238">
        <v>0.0</v>
      </c>
      <c r="U3022" s="238">
        <v>0.0</v>
      </c>
      <c r="V3022" s="238">
        <v>0.0</v>
      </c>
      <c r="W3022" s="238">
        <v>0.0</v>
      </c>
      <c r="X3022" s="235" t="s">
        <v>628</v>
      </c>
      <c r="Z3022" s="245"/>
      <c r="AA3022" s="245"/>
      <c r="AB3022" s="245"/>
      <c r="AC3022" s="235" t="s">
        <v>22890</v>
      </c>
      <c r="AD3022" s="235" t="s">
        <v>3113</v>
      </c>
      <c r="AE3022" s="238">
        <v>494222.0</v>
      </c>
      <c r="AF3022" s="235" t="s">
        <v>631</v>
      </c>
      <c r="AG3022" s="245"/>
      <c r="AH3022" s="245"/>
      <c r="AI3022" s="245"/>
      <c r="AJ3022" s="245"/>
      <c r="AK3022" s="245"/>
      <c r="AL3022" s="245"/>
      <c r="AM3022" s="245"/>
      <c r="AN3022" s="245"/>
      <c r="AO3022" s="238">
        <v>0.0</v>
      </c>
      <c r="AP3022" s="238">
        <v>0.0</v>
      </c>
      <c r="AQ3022" s="235" t="s">
        <v>1328</v>
      </c>
      <c r="AR3022" s="243">
        <v>1.34E13</v>
      </c>
      <c r="AS3022" s="235" t="s">
        <v>13822</v>
      </c>
      <c r="AT3022" s="235" t="s">
        <v>5</v>
      </c>
      <c r="AU3022" s="235" t="s">
        <v>634</v>
      </c>
      <c r="AV3022" s="246" t="s">
        <v>635</v>
      </c>
      <c r="AW3022" s="227"/>
      <c r="AX3022" s="227"/>
      <c r="AY3022" s="227"/>
      <c r="AZ3022" s="227"/>
      <c r="BA3022" s="227"/>
      <c r="BB3022" s="227"/>
      <c r="BC3022" s="227"/>
      <c r="BD3022" s="227"/>
      <c r="BE3022" s="227"/>
      <c r="BF3022" s="227"/>
    </row>
    <row r="3023">
      <c r="A3023" s="235" t="s">
        <v>22891</v>
      </c>
      <c r="C3023" s="235" t="s">
        <v>22892</v>
      </c>
      <c r="D3023" s="235" t="s">
        <v>22893</v>
      </c>
      <c r="E3023" s="243">
        <v>6.52E13</v>
      </c>
      <c r="F3023" s="245"/>
      <c r="G3023" s="235" t="s">
        <v>22894</v>
      </c>
      <c r="H3023" s="235" t="s">
        <v>22895</v>
      </c>
      <c r="I3023" s="235" t="s">
        <v>22895</v>
      </c>
      <c r="J3023" s="235" t="s">
        <v>22896</v>
      </c>
      <c r="K3023" s="235" t="s">
        <v>22897</v>
      </c>
      <c r="N3023" s="235" t="s">
        <v>104</v>
      </c>
      <c r="O3023" s="235" t="s">
        <v>401</v>
      </c>
      <c r="P3023" s="238">
        <v>1.0</v>
      </c>
      <c r="Q3023" s="235" t="s">
        <v>627</v>
      </c>
      <c r="R3023" s="238">
        <v>246.66</v>
      </c>
      <c r="S3023" s="238">
        <v>12.1</v>
      </c>
      <c r="T3023" s="238">
        <v>38.1</v>
      </c>
      <c r="U3023" s="238">
        <v>1.9</v>
      </c>
      <c r="V3023" s="238">
        <v>0.0</v>
      </c>
      <c r="W3023" s="238">
        <v>0.0</v>
      </c>
      <c r="X3023" s="235" t="s">
        <v>628</v>
      </c>
      <c r="Z3023" s="245"/>
      <c r="AA3023" s="245"/>
      <c r="AB3023" s="245"/>
      <c r="AC3023" s="235" t="s">
        <v>22898</v>
      </c>
      <c r="AD3023" s="235" t="s">
        <v>845</v>
      </c>
      <c r="AE3023" s="238">
        <v>441112.0</v>
      </c>
      <c r="AF3023" s="235" t="s">
        <v>631</v>
      </c>
      <c r="AG3023" s="245"/>
      <c r="AH3023" s="245"/>
      <c r="AI3023" s="245"/>
      <c r="AJ3023" s="245"/>
      <c r="AK3023" s="245"/>
      <c r="AL3023" s="245"/>
      <c r="AM3023" s="245"/>
      <c r="AN3023" s="245"/>
      <c r="AO3023" s="238">
        <v>-4.94</v>
      </c>
      <c r="AP3023" s="238">
        <v>-38.1</v>
      </c>
      <c r="AQ3023" s="235" t="s">
        <v>1328</v>
      </c>
      <c r="AR3023" s="243">
        <v>1.34E13</v>
      </c>
      <c r="AS3023" s="235" t="s">
        <v>12693</v>
      </c>
      <c r="AT3023" s="235" t="s">
        <v>16</v>
      </c>
      <c r="AU3023" s="235" t="s">
        <v>634</v>
      </c>
      <c r="AV3023" s="246" t="s">
        <v>635</v>
      </c>
      <c r="AW3023" s="227"/>
      <c r="AX3023" s="227"/>
      <c r="AY3023" s="227"/>
      <c r="AZ3023" s="227"/>
      <c r="BA3023" s="227"/>
      <c r="BB3023" s="227"/>
      <c r="BC3023" s="227"/>
      <c r="BD3023" s="227"/>
      <c r="BE3023" s="227"/>
      <c r="BF3023" s="227"/>
    </row>
    <row r="3024">
      <c r="A3024" s="235" t="s">
        <v>22899</v>
      </c>
      <c r="C3024" s="235" t="s">
        <v>22900</v>
      </c>
      <c r="D3024" s="235" t="s">
        <v>22901</v>
      </c>
      <c r="E3024" s="243">
        <v>6.52E13</v>
      </c>
      <c r="F3024" s="245"/>
      <c r="G3024" s="235" t="s">
        <v>22902</v>
      </c>
      <c r="H3024" s="235" t="s">
        <v>22903</v>
      </c>
      <c r="I3024" s="235" t="s">
        <v>22903</v>
      </c>
      <c r="J3024" s="235" t="s">
        <v>22904</v>
      </c>
      <c r="K3024" s="235" t="s">
        <v>22905</v>
      </c>
      <c r="N3024" s="235" t="s">
        <v>42</v>
      </c>
      <c r="O3024" s="235" t="s">
        <v>204</v>
      </c>
      <c r="P3024" s="238">
        <v>1.0</v>
      </c>
      <c r="Q3024" s="235" t="s">
        <v>627</v>
      </c>
      <c r="R3024" s="238">
        <v>237.14</v>
      </c>
      <c r="S3024" s="238">
        <v>11.86</v>
      </c>
      <c r="T3024" s="238">
        <v>0.0</v>
      </c>
      <c r="U3024" s="238">
        <v>0.0</v>
      </c>
      <c r="V3024" s="238">
        <v>0.0</v>
      </c>
      <c r="W3024" s="238">
        <v>0.0</v>
      </c>
      <c r="X3024" s="235" t="s">
        <v>628</v>
      </c>
      <c r="Z3024" s="245"/>
      <c r="AA3024" s="245"/>
      <c r="AB3024" s="245"/>
      <c r="AC3024" s="235" t="s">
        <v>697</v>
      </c>
      <c r="AD3024" s="235" t="s">
        <v>698</v>
      </c>
      <c r="AE3024" s="238">
        <v>500027.0</v>
      </c>
      <c r="AF3024" s="235" t="s">
        <v>631</v>
      </c>
      <c r="AG3024" s="245"/>
      <c r="AH3024" s="245"/>
      <c r="AI3024" s="245"/>
      <c r="AJ3024" s="245"/>
      <c r="AK3024" s="245"/>
      <c r="AL3024" s="245"/>
      <c r="AM3024" s="245"/>
      <c r="AN3024" s="245"/>
      <c r="AO3024" s="238">
        <v>0.0</v>
      </c>
      <c r="AP3024" s="238">
        <v>0.0</v>
      </c>
      <c r="AQ3024" s="235" t="s">
        <v>632</v>
      </c>
      <c r="AR3024" s="243">
        <v>2.02E11</v>
      </c>
      <c r="AS3024" s="235" t="s">
        <v>22269</v>
      </c>
      <c r="AT3024" s="235" t="s">
        <v>9</v>
      </c>
      <c r="AU3024" s="235" t="s">
        <v>634</v>
      </c>
      <c r="AV3024" s="246" t="s">
        <v>635</v>
      </c>
      <c r="AW3024" s="227"/>
      <c r="AX3024" s="227"/>
      <c r="AY3024" s="227"/>
      <c r="AZ3024" s="227"/>
      <c r="BA3024" s="227"/>
      <c r="BB3024" s="227"/>
      <c r="BC3024" s="227"/>
      <c r="BD3024" s="227"/>
      <c r="BE3024" s="227"/>
      <c r="BF3024" s="227"/>
    </row>
    <row r="3025">
      <c r="A3025" s="235" t="s">
        <v>22906</v>
      </c>
      <c r="C3025" s="235" t="s">
        <v>22907</v>
      </c>
      <c r="D3025" s="235" t="s">
        <v>22908</v>
      </c>
      <c r="E3025" s="243">
        <v>6.53E13</v>
      </c>
      <c r="F3025" s="245"/>
      <c r="G3025" s="235" t="s">
        <v>22909</v>
      </c>
      <c r="H3025" s="235" t="s">
        <v>22910</v>
      </c>
      <c r="I3025" s="235" t="s">
        <v>22910</v>
      </c>
      <c r="J3025" s="235" t="s">
        <v>22911</v>
      </c>
      <c r="K3025" s="235" t="s">
        <v>22912</v>
      </c>
      <c r="N3025" s="235" t="s">
        <v>90</v>
      </c>
      <c r="O3025" s="235" t="s">
        <v>279</v>
      </c>
      <c r="P3025" s="238">
        <v>1.0</v>
      </c>
      <c r="Q3025" s="235" t="s">
        <v>627</v>
      </c>
      <c r="R3025" s="238">
        <v>233.34</v>
      </c>
      <c r="S3025" s="238">
        <v>11.66</v>
      </c>
      <c r="T3025" s="238">
        <v>0.0</v>
      </c>
      <c r="U3025" s="238">
        <v>0.0</v>
      </c>
      <c r="V3025" s="238">
        <v>0.0</v>
      </c>
      <c r="W3025" s="238">
        <v>0.0</v>
      </c>
      <c r="X3025" s="235" t="s">
        <v>628</v>
      </c>
      <c r="Z3025" s="245"/>
      <c r="AA3025" s="245"/>
      <c r="AB3025" s="245"/>
      <c r="AC3025" s="235" t="s">
        <v>22913</v>
      </c>
      <c r="AD3025" s="235" t="s">
        <v>666</v>
      </c>
      <c r="AE3025" s="238">
        <v>606903.0</v>
      </c>
      <c r="AF3025" s="235" t="s">
        <v>631</v>
      </c>
      <c r="AG3025" s="245"/>
      <c r="AH3025" s="245"/>
      <c r="AI3025" s="245"/>
      <c r="AJ3025" s="245"/>
      <c r="AK3025" s="245"/>
      <c r="AL3025" s="245"/>
      <c r="AM3025" s="245"/>
      <c r="AN3025" s="245"/>
      <c r="AO3025" s="238">
        <v>0.0</v>
      </c>
      <c r="AP3025" s="238">
        <v>0.0</v>
      </c>
      <c r="AQ3025" s="235" t="s">
        <v>632</v>
      </c>
      <c r="AR3025" s="243">
        <v>1.68E11</v>
      </c>
      <c r="AS3025" s="235" t="s">
        <v>22269</v>
      </c>
      <c r="AT3025" s="235" t="s">
        <v>156</v>
      </c>
      <c r="AU3025" s="235" t="s">
        <v>634</v>
      </c>
      <c r="AV3025" s="246" t="s">
        <v>635</v>
      </c>
      <c r="AW3025" s="227"/>
      <c r="AX3025" s="227"/>
      <c r="AY3025" s="227"/>
      <c r="AZ3025" s="227"/>
      <c r="BA3025" s="227"/>
      <c r="BB3025" s="227"/>
      <c r="BC3025" s="227"/>
      <c r="BD3025" s="227"/>
      <c r="BE3025" s="227"/>
      <c r="BF3025" s="227"/>
    </row>
    <row r="3026">
      <c r="A3026" s="235" t="s">
        <v>22914</v>
      </c>
      <c r="C3026" s="235" t="s">
        <v>22915</v>
      </c>
      <c r="D3026" s="235" t="s">
        <v>22916</v>
      </c>
      <c r="E3026" s="243">
        <v>6.52E13</v>
      </c>
      <c r="F3026" s="245"/>
      <c r="G3026" s="235" t="s">
        <v>22917</v>
      </c>
      <c r="H3026" s="235" t="s">
        <v>22918</v>
      </c>
      <c r="I3026" s="235" t="s">
        <v>22918</v>
      </c>
      <c r="J3026" s="235" t="s">
        <v>22919</v>
      </c>
      <c r="K3026" s="235" t="s">
        <v>22920</v>
      </c>
      <c r="N3026" s="235" t="s">
        <v>85</v>
      </c>
      <c r="O3026" s="235" t="s">
        <v>872</v>
      </c>
      <c r="P3026" s="238">
        <v>1.0</v>
      </c>
      <c r="Q3026" s="235" t="s">
        <v>627</v>
      </c>
      <c r="R3026" s="238">
        <v>232.38</v>
      </c>
      <c r="S3026" s="238">
        <v>11.39</v>
      </c>
      <c r="T3026" s="238">
        <v>38.1</v>
      </c>
      <c r="U3026" s="238">
        <v>1.9</v>
      </c>
      <c r="V3026" s="238">
        <v>0.0</v>
      </c>
      <c r="W3026" s="238">
        <v>0.0</v>
      </c>
      <c r="X3026" s="235" t="s">
        <v>628</v>
      </c>
      <c r="Z3026" s="245"/>
      <c r="AA3026" s="245"/>
      <c r="AB3026" s="245"/>
      <c r="AC3026" s="235" t="s">
        <v>1237</v>
      </c>
      <c r="AD3026" s="235" t="s">
        <v>917</v>
      </c>
      <c r="AE3026" s="238">
        <v>305001.0</v>
      </c>
      <c r="AF3026" s="235" t="s">
        <v>631</v>
      </c>
      <c r="AG3026" s="245"/>
      <c r="AH3026" s="245"/>
      <c r="AI3026" s="245"/>
      <c r="AJ3026" s="245"/>
      <c r="AK3026" s="245"/>
      <c r="AL3026" s="245"/>
      <c r="AM3026" s="245"/>
      <c r="AN3026" s="245"/>
      <c r="AO3026" s="238">
        <v>-4.65</v>
      </c>
      <c r="AP3026" s="238">
        <v>-38.1</v>
      </c>
      <c r="AQ3026" s="235" t="s">
        <v>632</v>
      </c>
      <c r="AR3026" s="243">
        <v>3.71E11</v>
      </c>
      <c r="AS3026" s="235" t="s">
        <v>20529</v>
      </c>
      <c r="AT3026" s="235" t="s">
        <v>14</v>
      </c>
      <c r="AU3026" s="235" t="s">
        <v>634</v>
      </c>
      <c r="AV3026" s="246" t="s">
        <v>635</v>
      </c>
      <c r="AW3026" s="227"/>
      <c r="AX3026" s="227"/>
      <c r="AY3026" s="227"/>
      <c r="AZ3026" s="227"/>
      <c r="BA3026" s="227"/>
      <c r="BB3026" s="227"/>
      <c r="BC3026" s="227"/>
      <c r="BD3026" s="227"/>
      <c r="BE3026" s="227"/>
      <c r="BF3026" s="227"/>
    </row>
    <row r="3027">
      <c r="A3027" s="235" t="s">
        <v>22921</v>
      </c>
      <c r="C3027" s="235" t="s">
        <v>22922</v>
      </c>
      <c r="D3027" s="235" t="s">
        <v>22923</v>
      </c>
      <c r="E3027" s="243">
        <v>6.52E13</v>
      </c>
      <c r="F3027" s="245"/>
      <c r="G3027" s="235" t="s">
        <v>22924</v>
      </c>
      <c r="H3027" s="235" t="s">
        <v>22925</v>
      </c>
      <c r="I3027" s="235" t="s">
        <v>22925</v>
      </c>
      <c r="J3027" s="235" t="s">
        <v>22926</v>
      </c>
      <c r="K3027" s="235" t="s">
        <v>22927</v>
      </c>
      <c r="N3027" s="235" t="s">
        <v>145</v>
      </c>
      <c r="O3027" s="235" t="s">
        <v>370</v>
      </c>
      <c r="P3027" s="238">
        <v>1.0</v>
      </c>
      <c r="Q3027" s="235" t="s">
        <v>627</v>
      </c>
      <c r="R3027" s="238">
        <v>1522.86</v>
      </c>
      <c r="S3027" s="238">
        <v>76.14</v>
      </c>
      <c r="T3027" s="238">
        <v>0.0</v>
      </c>
      <c r="U3027" s="238">
        <v>0.0</v>
      </c>
      <c r="V3027" s="238">
        <v>0.0</v>
      </c>
      <c r="W3027" s="238">
        <v>0.0</v>
      </c>
      <c r="X3027" s="235" t="s">
        <v>628</v>
      </c>
      <c r="Z3027" s="245"/>
      <c r="AA3027" s="245"/>
      <c r="AB3027" s="245"/>
      <c r="AC3027" s="235" t="s">
        <v>687</v>
      </c>
      <c r="AD3027" s="235" t="s">
        <v>666</v>
      </c>
      <c r="AE3027" s="238">
        <v>600091.0</v>
      </c>
      <c r="AF3027" s="235" t="s">
        <v>631</v>
      </c>
      <c r="AG3027" s="245"/>
      <c r="AH3027" s="245"/>
      <c r="AI3027" s="245"/>
      <c r="AJ3027" s="245"/>
      <c r="AK3027" s="245"/>
      <c r="AL3027" s="245"/>
      <c r="AM3027" s="245"/>
      <c r="AN3027" s="245"/>
      <c r="AO3027" s="238">
        <v>0.0</v>
      </c>
      <c r="AP3027" s="238">
        <v>0.0</v>
      </c>
      <c r="AQ3027" s="235" t="s">
        <v>632</v>
      </c>
      <c r="AR3027" s="243">
        <v>3.71E11</v>
      </c>
      <c r="AS3027" s="235" t="s">
        <v>16626</v>
      </c>
      <c r="AT3027" s="235" t="s">
        <v>533</v>
      </c>
      <c r="AU3027" s="235" t="s">
        <v>634</v>
      </c>
      <c r="AV3027" s="246" t="s">
        <v>635</v>
      </c>
      <c r="AW3027" s="227"/>
      <c r="AX3027" s="227"/>
      <c r="AY3027" s="227"/>
      <c r="AZ3027" s="227"/>
      <c r="BA3027" s="227"/>
      <c r="BB3027" s="227"/>
      <c r="BC3027" s="227"/>
      <c r="BD3027" s="227"/>
      <c r="BE3027" s="227"/>
      <c r="BF3027" s="227"/>
    </row>
    <row r="3028">
      <c r="A3028" s="235" t="s">
        <v>22928</v>
      </c>
      <c r="C3028" s="235" t="s">
        <v>22929</v>
      </c>
      <c r="D3028" s="235" t="s">
        <v>22930</v>
      </c>
      <c r="E3028" s="243">
        <v>6.52E13</v>
      </c>
      <c r="F3028" s="245"/>
      <c r="G3028" s="235" t="s">
        <v>22931</v>
      </c>
      <c r="H3028" s="235" t="s">
        <v>22932</v>
      </c>
      <c r="I3028" s="235" t="s">
        <v>22932</v>
      </c>
      <c r="J3028" s="235" t="s">
        <v>22933</v>
      </c>
      <c r="K3028" s="235" t="s">
        <v>22934</v>
      </c>
      <c r="N3028" s="235" t="s">
        <v>144</v>
      </c>
      <c r="O3028" s="235" t="s">
        <v>232</v>
      </c>
      <c r="P3028" s="238">
        <v>1.0</v>
      </c>
      <c r="Q3028" s="235" t="s">
        <v>627</v>
      </c>
      <c r="R3028" s="238">
        <v>665.72</v>
      </c>
      <c r="S3028" s="238">
        <v>33.28</v>
      </c>
      <c r="T3028" s="238">
        <v>0.0</v>
      </c>
      <c r="U3028" s="238">
        <v>0.0</v>
      </c>
      <c r="V3028" s="238">
        <v>0.0</v>
      </c>
      <c r="W3028" s="238">
        <v>0.0</v>
      </c>
      <c r="X3028" s="235" t="s">
        <v>628</v>
      </c>
      <c r="Z3028" s="245"/>
      <c r="AA3028" s="245"/>
      <c r="AB3028" s="245"/>
      <c r="AC3028" s="235" t="s">
        <v>757</v>
      </c>
      <c r="AD3028" s="235" t="s">
        <v>666</v>
      </c>
      <c r="AE3028" s="238">
        <v>625017.0</v>
      </c>
      <c r="AF3028" s="235" t="s">
        <v>631</v>
      </c>
      <c r="AG3028" s="245"/>
      <c r="AH3028" s="245"/>
      <c r="AI3028" s="245"/>
      <c r="AJ3028" s="245"/>
      <c r="AK3028" s="245"/>
      <c r="AL3028" s="245"/>
      <c r="AM3028" s="245"/>
      <c r="AN3028" s="245"/>
      <c r="AO3028" s="238">
        <v>0.0</v>
      </c>
      <c r="AP3028" s="238">
        <v>0.0</v>
      </c>
      <c r="AQ3028" s="235" t="s">
        <v>632</v>
      </c>
      <c r="AR3028" s="243">
        <v>3.71E11</v>
      </c>
      <c r="AS3028" s="235" t="s">
        <v>22269</v>
      </c>
      <c r="AT3028" s="235" t="s">
        <v>155</v>
      </c>
      <c r="AU3028" s="235" t="s">
        <v>634</v>
      </c>
      <c r="AV3028" s="246" t="s">
        <v>635</v>
      </c>
      <c r="AW3028" s="227"/>
      <c r="AX3028" s="227"/>
      <c r="AY3028" s="227"/>
      <c r="AZ3028" s="227"/>
      <c r="BA3028" s="227"/>
      <c r="BB3028" s="227"/>
      <c r="BC3028" s="227"/>
      <c r="BD3028" s="227"/>
      <c r="BE3028" s="227"/>
      <c r="BF3028" s="227"/>
    </row>
    <row r="3029">
      <c r="A3029" s="235" t="s">
        <v>22935</v>
      </c>
      <c r="C3029" s="235" t="s">
        <v>22936</v>
      </c>
      <c r="D3029" s="235" t="s">
        <v>22937</v>
      </c>
      <c r="E3029" s="243">
        <v>6.53E13</v>
      </c>
      <c r="F3029" s="245"/>
      <c r="G3029" s="235" t="s">
        <v>22938</v>
      </c>
      <c r="H3029" s="235" t="s">
        <v>22939</v>
      </c>
      <c r="I3029" s="235" t="s">
        <v>22939</v>
      </c>
      <c r="J3029" s="235" t="s">
        <v>22940</v>
      </c>
      <c r="K3029" s="235" t="s">
        <v>22941</v>
      </c>
      <c r="N3029" s="235" t="s">
        <v>85</v>
      </c>
      <c r="O3029" s="235" t="s">
        <v>872</v>
      </c>
      <c r="P3029" s="238">
        <v>1.0</v>
      </c>
      <c r="Q3029" s="235" t="s">
        <v>627</v>
      </c>
      <c r="R3029" s="238">
        <v>246.67</v>
      </c>
      <c r="S3029" s="238">
        <v>12.33</v>
      </c>
      <c r="T3029" s="238">
        <v>0.0</v>
      </c>
      <c r="U3029" s="238">
        <v>0.0</v>
      </c>
      <c r="V3029" s="238">
        <v>0.0</v>
      </c>
      <c r="W3029" s="238">
        <v>0.0</v>
      </c>
      <c r="X3029" s="235" t="s">
        <v>628</v>
      </c>
      <c r="Z3029" s="245"/>
      <c r="AA3029" s="245"/>
      <c r="AB3029" s="245"/>
      <c r="AC3029" s="235" t="s">
        <v>22942</v>
      </c>
      <c r="AD3029" s="235" t="s">
        <v>917</v>
      </c>
      <c r="AE3029" s="238">
        <v>332025.0</v>
      </c>
      <c r="AF3029" s="235" t="s">
        <v>631</v>
      </c>
      <c r="AG3029" s="245"/>
      <c r="AH3029" s="245"/>
      <c r="AI3029" s="245"/>
      <c r="AJ3029" s="245"/>
      <c r="AK3029" s="245"/>
      <c r="AL3029" s="245"/>
      <c r="AM3029" s="245"/>
      <c r="AN3029" s="245"/>
      <c r="AO3029" s="238">
        <v>0.0</v>
      </c>
      <c r="AP3029" s="238">
        <v>0.0</v>
      </c>
      <c r="AQ3029" s="235" t="s">
        <v>632</v>
      </c>
      <c r="AR3029" s="243">
        <v>3.71E11</v>
      </c>
      <c r="AS3029" s="235" t="s">
        <v>20529</v>
      </c>
      <c r="AT3029" s="235" t="s">
        <v>14</v>
      </c>
      <c r="AU3029" s="235" t="s">
        <v>634</v>
      </c>
      <c r="AV3029" s="246" t="s">
        <v>635</v>
      </c>
      <c r="AW3029" s="227"/>
      <c r="AX3029" s="227"/>
      <c r="AY3029" s="227"/>
      <c r="AZ3029" s="227"/>
      <c r="BA3029" s="227"/>
      <c r="BB3029" s="227"/>
      <c r="BC3029" s="227"/>
      <c r="BD3029" s="227"/>
      <c r="BE3029" s="227"/>
      <c r="BF3029" s="227"/>
    </row>
    <row r="3030">
      <c r="A3030" s="235" t="s">
        <v>22943</v>
      </c>
      <c r="C3030" s="235" t="s">
        <v>22944</v>
      </c>
      <c r="D3030" s="235" t="s">
        <v>22945</v>
      </c>
      <c r="E3030" s="243">
        <v>6.53E13</v>
      </c>
      <c r="F3030" s="245"/>
      <c r="G3030" s="235" t="s">
        <v>22946</v>
      </c>
      <c r="H3030" s="235" t="s">
        <v>22947</v>
      </c>
      <c r="I3030" s="235" t="s">
        <v>22947</v>
      </c>
      <c r="J3030" s="235" t="s">
        <v>22948</v>
      </c>
      <c r="K3030" s="235" t="s">
        <v>22949</v>
      </c>
      <c r="N3030" s="235" t="s">
        <v>49</v>
      </c>
      <c r="O3030" s="235" t="s">
        <v>321</v>
      </c>
      <c r="P3030" s="238">
        <v>1.0</v>
      </c>
      <c r="Q3030" s="235" t="s">
        <v>627</v>
      </c>
      <c r="R3030" s="238">
        <v>235.24</v>
      </c>
      <c r="S3030" s="238">
        <v>11.76</v>
      </c>
      <c r="T3030" s="238">
        <v>0.0</v>
      </c>
      <c r="U3030" s="238">
        <v>0.0</v>
      </c>
      <c r="V3030" s="238">
        <v>0.0</v>
      </c>
      <c r="W3030" s="238">
        <v>0.0</v>
      </c>
      <c r="X3030" s="235" t="s">
        <v>628</v>
      </c>
      <c r="Z3030" s="245"/>
      <c r="AA3030" s="245"/>
      <c r="AB3030" s="245"/>
      <c r="AC3030" s="235" t="s">
        <v>678</v>
      </c>
      <c r="AD3030" s="235" t="s">
        <v>679</v>
      </c>
      <c r="AE3030" s="238">
        <v>560016.0</v>
      </c>
      <c r="AF3030" s="235" t="s">
        <v>631</v>
      </c>
      <c r="AG3030" s="245"/>
      <c r="AH3030" s="245"/>
      <c r="AI3030" s="245"/>
      <c r="AJ3030" s="245"/>
      <c r="AK3030" s="245"/>
      <c r="AL3030" s="245"/>
      <c r="AM3030" s="245"/>
      <c r="AN3030" s="245"/>
      <c r="AO3030" s="238">
        <v>0.0</v>
      </c>
      <c r="AP3030" s="238">
        <v>0.0</v>
      </c>
      <c r="AQ3030" s="235" t="s">
        <v>632</v>
      </c>
      <c r="AR3030" s="243">
        <v>1.68E11</v>
      </c>
      <c r="AS3030" s="235" t="s">
        <v>22269</v>
      </c>
      <c r="AT3030" s="235" t="s">
        <v>156</v>
      </c>
      <c r="AU3030" s="235" t="s">
        <v>634</v>
      </c>
      <c r="AV3030" s="246" t="s">
        <v>635</v>
      </c>
      <c r="AW3030" s="227"/>
      <c r="AX3030" s="227"/>
      <c r="AY3030" s="227"/>
      <c r="AZ3030" s="227"/>
      <c r="BA3030" s="227"/>
      <c r="BB3030" s="227"/>
      <c r="BC3030" s="227"/>
      <c r="BD3030" s="227"/>
      <c r="BE3030" s="227"/>
      <c r="BF3030" s="227"/>
    </row>
    <row r="3031">
      <c r="A3031" s="235" t="s">
        <v>22950</v>
      </c>
      <c r="C3031" s="235" t="s">
        <v>22951</v>
      </c>
      <c r="D3031" s="235" t="s">
        <v>22952</v>
      </c>
      <c r="E3031" s="243">
        <v>6.52E13</v>
      </c>
      <c r="F3031" s="245"/>
      <c r="G3031" s="235" t="s">
        <v>22953</v>
      </c>
      <c r="H3031" s="235" t="s">
        <v>22954</v>
      </c>
      <c r="I3031" s="235" t="s">
        <v>22954</v>
      </c>
      <c r="J3031" s="235" t="s">
        <v>22955</v>
      </c>
      <c r="K3031" s="235" t="s">
        <v>22956</v>
      </c>
      <c r="N3031" s="235" t="s">
        <v>51</v>
      </c>
      <c r="O3031" s="235" t="s">
        <v>273</v>
      </c>
      <c r="P3031" s="238">
        <v>1.0</v>
      </c>
      <c r="Q3031" s="235" t="s">
        <v>627</v>
      </c>
      <c r="R3031" s="238">
        <v>246.67</v>
      </c>
      <c r="S3031" s="238">
        <v>11.96</v>
      </c>
      <c r="T3031" s="238">
        <v>0.0</v>
      </c>
      <c r="U3031" s="238">
        <v>0.0</v>
      </c>
      <c r="V3031" s="238">
        <v>0.0</v>
      </c>
      <c r="W3031" s="238">
        <v>0.0</v>
      </c>
      <c r="X3031" s="235" t="s">
        <v>628</v>
      </c>
      <c r="Z3031" s="245"/>
      <c r="AA3031" s="245"/>
      <c r="AB3031" s="245"/>
      <c r="AC3031" s="235" t="s">
        <v>22957</v>
      </c>
      <c r="AD3031" s="235" t="s">
        <v>833</v>
      </c>
      <c r="AE3031" s="238">
        <v>523357.0</v>
      </c>
      <c r="AF3031" s="235" t="s">
        <v>631</v>
      </c>
      <c r="AG3031" s="245"/>
      <c r="AH3031" s="245"/>
      <c r="AI3031" s="245"/>
      <c r="AJ3031" s="245"/>
      <c r="AK3031" s="245"/>
      <c r="AL3031" s="245"/>
      <c r="AM3031" s="245"/>
      <c r="AN3031" s="245"/>
      <c r="AO3031" s="238">
        <v>-7.4</v>
      </c>
      <c r="AP3031" s="238">
        <v>0.0</v>
      </c>
      <c r="AQ3031" s="235" t="s">
        <v>1328</v>
      </c>
      <c r="AR3031" s="243">
        <v>1.34E13</v>
      </c>
      <c r="AS3031" s="235" t="s">
        <v>16626</v>
      </c>
      <c r="AT3031" s="235" t="s">
        <v>156</v>
      </c>
      <c r="AU3031" s="235" t="s">
        <v>634</v>
      </c>
      <c r="AV3031" s="246" t="s">
        <v>635</v>
      </c>
      <c r="AW3031" s="227"/>
      <c r="AX3031" s="227"/>
      <c r="AY3031" s="227"/>
      <c r="AZ3031" s="227"/>
      <c r="BA3031" s="227"/>
      <c r="BB3031" s="227"/>
      <c r="BC3031" s="227"/>
      <c r="BD3031" s="227"/>
      <c r="BE3031" s="227"/>
      <c r="BF3031" s="227"/>
    </row>
    <row r="3032">
      <c r="A3032" s="235" t="s">
        <v>22958</v>
      </c>
      <c r="C3032" s="235" t="s">
        <v>22959</v>
      </c>
      <c r="D3032" s="235" t="s">
        <v>22960</v>
      </c>
      <c r="E3032" s="243">
        <v>6.52E13</v>
      </c>
      <c r="F3032" s="245"/>
      <c r="G3032" s="235" t="s">
        <v>22961</v>
      </c>
      <c r="H3032" s="235" t="s">
        <v>22962</v>
      </c>
      <c r="I3032" s="235" t="s">
        <v>22963</v>
      </c>
      <c r="J3032" s="235" t="s">
        <v>22964</v>
      </c>
      <c r="K3032" s="235" t="s">
        <v>22965</v>
      </c>
      <c r="N3032" s="235" t="s">
        <v>104</v>
      </c>
      <c r="O3032" s="235" t="s">
        <v>401</v>
      </c>
      <c r="P3032" s="238">
        <v>1.0</v>
      </c>
      <c r="Q3032" s="235" t="s">
        <v>627</v>
      </c>
      <c r="R3032" s="238">
        <v>237.14</v>
      </c>
      <c r="S3032" s="238">
        <v>11.86</v>
      </c>
      <c r="T3032" s="238">
        <v>0.0</v>
      </c>
      <c r="U3032" s="238">
        <v>0.0</v>
      </c>
      <c r="V3032" s="238">
        <v>0.0</v>
      </c>
      <c r="W3032" s="238">
        <v>0.0</v>
      </c>
      <c r="X3032" s="235" t="s">
        <v>628</v>
      </c>
      <c r="Z3032" s="245"/>
      <c r="AA3032" s="245"/>
      <c r="AB3032" s="245"/>
      <c r="AC3032" s="235" t="s">
        <v>22966</v>
      </c>
      <c r="AD3032" s="235" t="s">
        <v>630</v>
      </c>
      <c r="AE3032" s="238">
        <v>221303.0</v>
      </c>
      <c r="AF3032" s="235" t="s">
        <v>631</v>
      </c>
      <c r="AG3032" s="245"/>
      <c r="AH3032" s="245"/>
      <c r="AI3032" s="245"/>
      <c r="AJ3032" s="245"/>
      <c r="AK3032" s="245"/>
      <c r="AL3032" s="245"/>
      <c r="AM3032" s="245"/>
      <c r="AN3032" s="245"/>
      <c r="AO3032" s="238">
        <v>0.0</v>
      </c>
      <c r="AP3032" s="238">
        <v>0.0</v>
      </c>
      <c r="AQ3032" s="235" t="s">
        <v>632</v>
      </c>
      <c r="AR3032" s="243">
        <v>3.71E11</v>
      </c>
      <c r="AS3032" s="235" t="s">
        <v>17988</v>
      </c>
      <c r="AT3032" s="235" t="s">
        <v>533</v>
      </c>
      <c r="AU3032" s="235" t="s">
        <v>634</v>
      </c>
      <c r="AV3032" s="246" t="s">
        <v>635</v>
      </c>
      <c r="AW3032" s="227"/>
      <c r="AX3032" s="227"/>
      <c r="AY3032" s="227"/>
      <c r="AZ3032" s="227"/>
      <c r="BA3032" s="227"/>
      <c r="BB3032" s="227"/>
      <c r="BC3032" s="227"/>
      <c r="BD3032" s="227"/>
      <c r="BE3032" s="227"/>
      <c r="BF3032" s="227"/>
    </row>
    <row r="3033">
      <c r="A3033" s="235" t="s">
        <v>22967</v>
      </c>
      <c r="C3033" s="235" t="s">
        <v>22968</v>
      </c>
      <c r="D3033" s="235" t="s">
        <v>22969</v>
      </c>
      <c r="E3033" s="243">
        <v>6.53E13</v>
      </c>
      <c r="F3033" s="245"/>
      <c r="G3033" s="235" t="s">
        <v>22970</v>
      </c>
      <c r="H3033" s="235" t="s">
        <v>22971</v>
      </c>
      <c r="I3033" s="235" t="s">
        <v>22971</v>
      </c>
      <c r="J3033" s="235" t="s">
        <v>22972</v>
      </c>
      <c r="K3033" s="235" t="s">
        <v>22973</v>
      </c>
      <c r="N3033" s="235" t="s">
        <v>541</v>
      </c>
      <c r="O3033" s="235" t="s">
        <v>664</v>
      </c>
      <c r="P3033" s="238">
        <v>1.0</v>
      </c>
      <c r="Q3033" s="235" t="s">
        <v>627</v>
      </c>
      <c r="R3033" s="238">
        <v>668.64</v>
      </c>
      <c r="S3033" s="238">
        <v>120.36</v>
      </c>
      <c r="T3033" s="238">
        <v>83.9</v>
      </c>
      <c r="U3033" s="238">
        <v>15.1</v>
      </c>
      <c r="V3033" s="238">
        <v>0.0</v>
      </c>
      <c r="W3033" s="238">
        <v>0.0</v>
      </c>
      <c r="X3033" s="235" t="s">
        <v>628</v>
      </c>
      <c r="Z3033" s="245"/>
      <c r="AA3033" s="245"/>
      <c r="AB3033" s="245"/>
      <c r="AC3033" s="235" t="s">
        <v>1058</v>
      </c>
      <c r="AD3033" s="235" t="s">
        <v>845</v>
      </c>
      <c r="AE3033" s="238">
        <v>400028.0</v>
      </c>
      <c r="AF3033" s="235" t="s">
        <v>631</v>
      </c>
      <c r="AG3033" s="245"/>
      <c r="AH3033" s="245"/>
      <c r="AI3033" s="245"/>
      <c r="AJ3033" s="245"/>
      <c r="AK3033" s="245"/>
      <c r="AL3033" s="245"/>
      <c r="AM3033" s="245"/>
      <c r="AN3033" s="245"/>
      <c r="AO3033" s="238">
        <v>0.0</v>
      </c>
      <c r="AP3033" s="238">
        <v>0.0</v>
      </c>
      <c r="AQ3033" s="235" t="s">
        <v>632</v>
      </c>
      <c r="AR3033" s="243">
        <v>1.68E11</v>
      </c>
      <c r="AS3033" s="235" t="s">
        <v>22548</v>
      </c>
      <c r="AT3033" s="235" t="s">
        <v>16</v>
      </c>
      <c r="AU3033" s="235" t="s">
        <v>634</v>
      </c>
      <c r="AV3033" s="246" t="s">
        <v>635</v>
      </c>
      <c r="AW3033" s="227"/>
      <c r="AX3033" s="227"/>
      <c r="AY3033" s="227"/>
      <c r="AZ3033" s="227"/>
      <c r="BA3033" s="227"/>
      <c r="BB3033" s="227"/>
      <c r="BC3033" s="227"/>
      <c r="BD3033" s="227"/>
      <c r="BE3033" s="227"/>
      <c r="BF3033" s="227"/>
    </row>
    <row r="3034">
      <c r="A3034" s="235" t="s">
        <v>22974</v>
      </c>
      <c r="C3034" s="235" t="s">
        <v>22975</v>
      </c>
      <c r="D3034" s="235" t="s">
        <v>22976</v>
      </c>
      <c r="E3034" s="243">
        <v>6.52E13</v>
      </c>
      <c r="F3034" s="245"/>
      <c r="G3034" s="235" t="s">
        <v>22977</v>
      </c>
      <c r="H3034" s="235" t="s">
        <v>22978</v>
      </c>
      <c r="I3034" s="235" t="s">
        <v>22978</v>
      </c>
      <c r="J3034" s="235" t="s">
        <v>22979</v>
      </c>
      <c r="K3034" s="235" t="s">
        <v>22980</v>
      </c>
      <c r="N3034" s="235" t="s">
        <v>127</v>
      </c>
      <c r="O3034" s="235" t="s">
        <v>794</v>
      </c>
      <c r="P3034" s="238">
        <v>1.0</v>
      </c>
      <c r="Q3034" s="235" t="s">
        <v>627</v>
      </c>
      <c r="R3034" s="238">
        <v>243.81</v>
      </c>
      <c r="S3034" s="238">
        <v>12.19</v>
      </c>
      <c r="T3034" s="238">
        <v>0.0</v>
      </c>
      <c r="U3034" s="238">
        <v>0.0</v>
      </c>
      <c r="V3034" s="238">
        <v>0.0</v>
      </c>
      <c r="W3034" s="238">
        <v>0.0</v>
      </c>
      <c r="X3034" s="235" t="s">
        <v>628</v>
      </c>
      <c r="Z3034" s="245"/>
      <c r="AA3034" s="245"/>
      <c r="AB3034" s="245"/>
      <c r="AC3034" s="235" t="s">
        <v>19680</v>
      </c>
      <c r="AD3034" s="235" t="s">
        <v>3113</v>
      </c>
      <c r="AE3034" s="238">
        <v>490020.0</v>
      </c>
      <c r="AF3034" s="235" t="s">
        <v>631</v>
      </c>
      <c r="AG3034" s="245"/>
      <c r="AH3034" s="245"/>
      <c r="AI3034" s="245"/>
      <c r="AJ3034" s="245"/>
      <c r="AK3034" s="245"/>
      <c r="AL3034" s="245"/>
      <c r="AM3034" s="245"/>
      <c r="AN3034" s="245"/>
      <c r="AO3034" s="238">
        <v>0.0</v>
      </c>
      <c r="AP3034" s="238">
        <v>0.0</v>
      </c>
      <c r="AQ3034" s="235" t="s">
        <v>632</v>
      </c>
      <c r="AR3034" s="243">
        <v>3.71E11</v>
      </c>
      <c r="AS3034" s="235" t="s">
        <v>17988</v>
      </c>
      <c r="AT3034" s="235" t="s">
        <v>17</v>
      </c>
      <c r="AU3034" s="235" t="s">
        <v>634</v>
      </c>
      <c r="AV3034" s="246" t="s">
        <v>635</v>
      </c>
      <c r="AW3034" s="227"/>
      <c r="AX3034" s="227"/>
      <c r="AY3034" s="227"/>
      <c r="AZ3034" s="227"/>
      <c r="BA3034" s="227"/>
      <c r="BB3034" s="227"/>
      <c r="BC3034" s="227"/>
      <c r="BD3034" s="227"/>
      <c r="BE3034" s="227"/>
      <c r="BF3034" s="227"/>
    </row>
    <row r="3035">
      <c r="A3035" s="235" t="s">
        <v>22981</v>
      </c>
      <c r="C3035" s="235" t="s">
        <v>22982</v>
      </c>
      <c r="D3035" s="235" t="s">
        <v>22983</v>
      </c>
      <c r="E3035" s="243">
        <v>6.53E13</v>
      </c>
      <c r="F3035" s="245"/>
      <c r="G3035" s="235" t="s">
        <v>22984</v>
      </c>
      <c r="H3035" s="235" t="s">
        <v>22985</v>
      </c>
      <c r="I3035" s="235" t="s">
        <v>22986</v>
      </c>
      <c r="J3035" s="235" t="s">
        <v>22987</v>
      </c>
      <c r="K3035" s="235" t="s">
        <v>22988</v>
      </c>
      <c r="N3035" s="235" t="s">
        <v>40</v>
      </c>
      <c r="O3035" s="235" t="s">
        <v>327</v>
      </c>
      <c r="P3035" s="238">
        <v>1.0</v>
      </c>
      <c r="Q3035" s="235" t="s">
        <v>627</v>
      </c>
      <c r="R3035" s="238">
        <v>237.14</v>
      </c>
      <c r="S3035" s="238">
        <v>11.62</v>
      </c>
      <c r="T3035" s="238">
        <v>0.0</v>
      </c>
      <c r="U3035" s="238">
        <v>0.0</v>
      </c>
      <c r="V3035" s="238">
        <v>0.0</v>
      </c>
      <c r="W3035" s="238">
        <v>0.0</v>
      </c>
      <c r="X3035" s="235" t="s">
        <v>628</v>
      </c>
      <c r="Z3035" s="245"/>
      <c r="AA3035" s="245"/>
      <c r="AB3035" s="245"/>
      <c r="AC3035" s="235" t="s">
        <v>697</v>
      </c>
      <c r="AD3035" s="235" t="s">
        <v>698</v>
      </c>
      <c r="AE3035" s="238">
        <v>500047.0</v>
      </c>
      <c r="AF3035" s="235" t="s">
        <v>631</v>
      </c>
      <c r="AG3035" s="245"/>
      <c r="AH3035" s="245"/>
      <c r="AI3035" s="245"/>
      <c r="AJ3035" s="245"/>
      <c r="AK3035" s="245"/>
      <c r="AL3035" s="245"/>
      <c r="AM3035" s="245"/>
      <c r="AN3035" s="245"/>
      <c r="AO3035" s="238">
        <v>-4.74</v>
      </c>
      <c r="AP3035" s="238">
        <v>0.0</v>
      </c>
      <c r="AQ3035" s="235" t="s">
        <v>632</v>
      </c>
      <c r="AR3035" s="243">
        <v>2.02E11</v>
      </c>
      <c r="AS3035" s="235" t="s">
        <v>22269</v>
      </c>
      <c r="AT3035" s="235" t="s">
        <v>11</v>
      </c>
      <c r="AU3035" s="235" t="s">
        <v>634</v>
      </c>
      <c r="AV3035" s="246" t="s">
        <v>635</v>
      </c>
      <c r="AW3035" s="227"/>
      <c r="AX3035" s="227"/>
      <c r="AY3035" s="227"/>
      <c r="AZ3035" s="227"/>
      <c r="BA3035" s="227"/>
      <c r="BB3035" s="227"/>
      <c r="BC3035" s="227"/>
      <c r="BD3035" s="227"/>
      <c r="BE3035" s="227"/>
      <c r="BF3035" s="227"/>
    </row>
    <row r="3036">
      <c r="A3036" s="235" t="s">
        <v>22989</v>
      </c>
      <c r="C3036" s="235" t="s">
        <v>22990</v>
      </c>
      <c r="D3036" s="235" t="s">
        <v>22991</v>
      </c>
      <c r="E3036" s="243">
        <v>6.53E13</v>
      </c>
      <c r="F3036" s="245"/>
      <c r="G3036" s="235" t="s">
        <v>22992</v>
      </c>
      <c r="H3036" s="235" t="s">
        <v>22993</v>
      </c>
      <c r="I3036" s="235" t="s">
        <v>22993</v>
      </c>
      <c r="J3036" s="235" t="s">
        <v>22994</v>
      </c>
      <c r="K3036" s="235" t="s">
        <v>22995</v>
      </c>
      <c r="N3036" s="235" t="s">
        <v>90</v>
      </c>
      <c r="O3036" s="235" t="s">
        <v>279</v>
      </c>
      <c r="P3036" s="238">
        <v>1.0</v>
      </c>
      <c r="Q3036" s="235" t="s">
        <v>627</v>
      </c>
      <c r="R3036" s="238">
        <v>233.33</v>
      </c>
      <c r="S3036" s="238">
        <v>11.44</v>
      </c>
      <c r="T3036" s="238">
        <v>0.0</v>
      </c>
      <c r="U3036" s="238">
        <v>0.0</v>
      </c>
      <c r="V3036" s="238">
        <v>0.0</v>
      </c>
      <c r="W3036" s="238">
        <v>0.0</v>
      </c>
      <c r="X3036" s="235" t="s">
        <v>628</v>
      </c>
      <c r="Z3036" s="245"/>
      <c r="AA3036" s="245"/>
      <c r="AB3036" s="245"/>
      <c r="AC3036" s="235" t="s">
        <v>1531</v>
      </c>
      <c r="AD3036" s="235" t="s">
        <v>1151</v>
      </c>
      <c r="AE3036" s="238">
        <v>700048.0</v>
      </c>
      <c r="AF3036" s="235" t="s">
        <v>631</v>
      </c>
      <c r="AG3036" s="245"/>
      <c r="AH3036" s="245"/>
      <c r="AI3036" s="245"/>
      <c r="AJ3036" s="245"/>
      <c r="AK3036" s="245"/>
      <c r="AL3036" s="245"/>
      <c r="AM3036" s="245"/>
      <c r="AN3036" s="245"/>
      <c r="AO3036" s="238">
        <v>-4.67</v>
      </c>
      <c r="AP3036" s="238">
        <v>0.0</v>
      </c>
      <c r="AQ3036" s="235" t="s">
        <v>632</v>
      </c>
      <c r="AR3036" s="243">
        <v>2.02E11</v>
      </c>
      <c r="AS3036" s="235" t="s">
        <v>22269</v>
      </c>
      <c r="AT3036" s="235" t="s">
        <v>9</v>
      </c>
      <c r="AU3036" s="235" t="s">
        <v>634</v>
      </c>
      <c r="AV3036" s="246" t="s">
        <v>635</v>
      </c>
      <c r="AW3036" s="227"/>
      <c r="AX3036" s="227"/>
      <c r="AY3036" s="227"/>
      <c r="AZ3036" s="227"/>
      <c r="BA3036" s="227"/>
      <c r="BB3036" s="227"/>
      <c r="BC3036" s="227"/>
      <c r="BD3036" s="227"/>
      <c r="BE3036" s="227"/>
      <c r="BF3036" s="227"/>
    </row>
    <row r="3037">
      <c r="A3037" s="235" t="s">
        <v>22996</v>
      </c>
      <c r="C3037" s="235" t="s">
        <v>22997</v>
      </c>
      <c r="D3037" s="235" t="s">
        <v>22998</v>
      </c>
      <c r="E3037" s="243">
        <v>6.53E13</v>
      </c>
      <c r="F3037" s="245"/>
      <c r="G3037" s="235" t="s">
        <v>22999</v>
      </c>
      <c r="H3037" s="235" t="s">
        <v>23000</v>
      </c>
      <c r="I3037" s="235" t="s">
        <v>23000</v>
      </c>
      <c r="J3037" s="235" t="s">
        <v>23001</v>
      </c>
      <c r="K3037" s="235" t="s">
        <v>23002</v>
      </c>
      <c r="N3037" s="235" t="s">
        <v>4</v>
      </c>
      <c r="O3037" s="235" t="s">
        <v>1791</v>
      </c>
      <c r="P3037" s="238">
        <v>1.0</v>
      </c>
      <c r="Q3037" s="235" t="s">
        <v>627</v>
      </c>
      <c r="R3037" s="238">
        <v>242.86</v>
      </c>
      <c r="S3037" s="238">
        <v>12.14</v>
      </c>
      <c r="T3037" s="238">
        <v>0.0</v>
      </c>
      <c r="U3037" s="238">
        <v>0.0</v>
      </c>
      <c r="V3037" s="238">
        <v>0.0</v>
      </c>
      <c r="W3037" s="238">
        <v>0.0</v>
      </c>
      <c r="X3037" s="235" t="s">
        <v>628</v>
      </c>
      <c r="Z3037" s="245"/>
      <c r="AA3037" s="245"/>
      <c r="AB3037" s="245"/>
      <c r="AC3037" s="235" t="s">
        <v>23003</v>
      </c>
      <c r="AD3037" s="235" t="s">
        <v>23004</v>
      </c>
      <c r="AE3037" s="238">
        <v>641028.0</v>
      </c>
      <c r="AF3037" s="235" t="s">
        <v>631</v>
      </c>
      <c r="AG3037" s="245"/>
      <c r="AH3037" s="245"/>
      <c r="AI3037" s="245"/>
      <c r="AJ3037" s="245"/>
      <c r="AK3037" s="245"/>
      <c r="AL3037" s="245"/>
      <c r="AM3037" s="245"/>
      <c r="AN3037" s="245"/>
      <c r="AO3037" s="238">
        <v>0.0</v>
      </c>
      <c r="AP3037" s="238">
        <v>0.0</v>
      </c>
      <c r="AQ3037" s="235" t="s">
        <v>632</v>
      </c>
      <c r="AR3037" s="243">
        <v>1.68E11</v>
      </c>
      <c r="AS3037" s="235" t="s">
        <v>22269</v>
      </c>
      <c r="AT3037" s="235" t="s">
        <v>9</v>
      </c>
      <c r="AU3037" s="235" t="s">
        <v>634</v>
      </c>
      <c r="AV3037" s="246" t="s">
        <v>635</v>
      </c>
      <c r="AW3037" s="227"/>
      <c r="AX3037" s="227"/>
      <c r="AY3037" s="227"/>
      <c r="AZ3037" s="227"/>
      <c r="BA3037" s="227"/>
      <c r="BB3037" s="227"/>
      <c r="BC3037" s="227"/>
      <c r="BD3037" s="227"/>
      <c r="BE3037" s="227"/>
      <c r="BF3037" s="227"/>
    </row>
    <row r="3038">
      <c r="A3038" s="235" t="s">
        <v>23005</v>
      </c>
      <c r="C3038" s="235" t="s">
        <v>23006</v>
      </c>
      <c r="D3038" s="235" t="s">
        <v>23007</v>
      </c>
      <c r="E3038" s="243">
        <v>6.52E13</v>
      </c>
      <c r="F3038" s="245"/>
      <c r="G3038" s="235" t="s">
        <v>23008</v>
      </c>
      <c r="H3038" s="235" t="s">
        <v>23009</v>
      </c>
      <c r="I3038" s="235" t="s">
        <v>23009</v>
      </c>
      <c r="J3038" s="235" t="s">
        <v>23010</v>
      </c>
      <c r="K3038" s="235" t="s">
        <v>23011</v>
      </c>
      <c r="N3038" s="235" t="s">
        <v>138</v>
      </c>
      <c r="O3038" s="235" t="s">
        <v>675</v>
      </c>
      <c r="P3038" s="238">
        <v>1.0</v>
      </c>
      <c r="Q3038" s="235" t="s">
        <v>627</v>
      </c>
      <c r="R3038" s="238">
        <v>233.33</v>
      </c>
      <c r="S3038" s="238">
        <v>11.67</v>
      </c>
      <c r="T3038" s="238">
        <v>38.1</v>
      </c>
      <c r="U3038" s="238">
        <v>1.9</v>
      </c>
      <c r="V3038" s="238">
        <v>0.0</v>
      </c>
      <c r="W3038" s="238">
        <v>0.0</v>
      </c>
      <c r="X3038" s="235" t="s">
        <v>628</v>
      </c>
      <c r="Z3038" s="245"/>
      <c r="AA3038" s="245"/>
      <c r="AB3038" s="245"/>
      <c r="AC3038" s="235" t="s">
        <v>23012</v>
      </c>
      <c r="AD3038" s="235" t="s">
        <v>731</v>
      </c>
      <c r="AE3038" s="238">
        <v>786181.0</v>
      </c>
      <c r="AF3038" s="235" t="s">
        <v>631</v>
      </c>
      <c r="AG3038" s="245"/>
      <c r="AH3038" s="245"/>
      <c r="AI3038" s="245"/>
      <c r="AJ3038" s="245"/>
      <c r="AK3038" s="245"/>
      <c r="AL3038" s="245"/>
      <c r="AM3038" s="245"/>
      <c r="AN3038" s="245"/>
      <c r="AO3038" s="238">
        <v>0.0</v>
      </c>
      <c r="AP3038" s="238">
        <v>-38.1</v>
      </c>
      <c r="AQ3038" s="235" t="s">
        <v>632</v>
      </c>
      <c r="AR3038" s="243">
        <v>3.71E11</v>
      </c>
      <c r="AS3038" s="235" t="s">
        <v>15064</v>
      </c>
      <c r="AT3038" s="235" t="s">
        <v>14</v>
      </c>
      <c r="AU3038" s="235" t="s">
        <v>634</v>
      </c>
      <c r="AV3038" s="246" t="s">
        <v>635</v>
      </c>
      <c r="AW3038" s="227"/>
      <c r="AX3038" s="227"/>
      <c r="AY3038" s="227"/>
      <c r="AZ3038" s="227"/>
      <c r="BA3038" s="227"/>
      <c r="BB3038" s="227"/>
      <c r="BC3038" s="227"/>
      <c r="BD3038" s="227"/>
      <c r="BE3038" s="227"/>
      <c r="BF3038" s="227"/>
    </row>
    <row r="3039">
      <c r="A3039" s="235" t="s">
        <v>23013</v>
      </c>
      <c r="C3039" s="235" t="s">
        <v>23014</v>
      </c>
      <c r="D3039" s="235" t="s">
        <v>23015</v>
      </c>
      <c r="E3039" s="243">
        <v>6.53E13</v>
      </c>
      <c r="F3039" s="245"/>
      <c r="G3039" s="235" t="s">
        <v>23016</v>
      </c>
      <c r="H3039" s="235" t="s">
        <v>23017</v>
      </c>
      <c r="I3039" s="235" t="s">
        <v>23017</v>
      </c>
      <c r="J3039" s="235" t="s">
        <v>23018</v>
      </c>
      <c r="K3039" s="235" t="s">
        <v>23019</v>
      </c>
      <c r="N3039" s="235" t="s">
        <v>154</v>
      </c>
      <c r="O3039" s="235" t="s">
        <v>766</v>
      </c>
      <c r="P3039" s="238">
        <v>1.0</v>
      </c>
      <c r="Q3039" s="235" t="s">
        <v>627</v>
      </c>
      <c r="R3039" s="238">
        <v>465.71</v>
      </c>
      <c r="S3039" s="238">
        <v>22.82</v>
      </c>
      <c r="T3039" s="238">
        <v>0.0</v>
      </c>
      <c r="U3039" s="238">
        <v>0.0</v>
      </c>
      <c r="V3039" s="238">
        <v>0.0</v>
      </c>
      <c r="W3039" s="238">
        <v>0.0</v>
      </c>
      <c r="X3039" s="235" t="s">
        <v>628</v>
      </c>
      <c r="Z3039" s="245"/>
      <c r="AA3039" s="245"/>
      <c r="AB3039" s="245"/>
      <c r="AC3039" s="235" t="s">
        <v>4397</v>
      </c>
      <c r="AD3039" s="235" t="s">
        <v>1151</v>
      </c>
      <c r="AE3039" s="238">
        <v>700156.0</v>
      </c>
      <c r="AF3039" s="235" t="s">
        <v>631</v>
      </c>
      <c r="AG3039" s="245"/>
      <c r="AH3039" s="245"/>
      <c r="AI3039" s="245"/>
      <c r="AJ3039" s="245"/>
      <c r="AK3039" s="245"/>
      <c r="AL3039" s="245"/>
      <c r="AM3039" s="245"/>
      <c r="AN3039" s="245"/>
      <c r="AO3039" s="238">
        <v>-9.31</v>
      </c>
      <c r="AP3039" s="238">
        <v>0.0</v>
      </c>
      <c r="AQ3039" s="235" t="s">
        <v>632</v>
      </c>
      <c r="AR3039" s="243">
        <v>2.02E11</v>
      </c>
      <c r="AS3039" s="235" t="s">
        <v>22269</v>
      </c>
      <c r="AT3039" s="235" t="s">
        <v>11</v>
      </c>
      <c r="AU3039" s="235" t="s">
        <v>634</v>
      </c>
      <c r="AV3039" s="246" t="s">
        <v>635</v>
      </c>
      <c r="AW3039" s="227"/>
      <c r="AX3039" s="227"/>
      <c r="AY3039" s="227"/>
      <c r="AZ3039" s="227"/>
      <c r="BA3039" s="227"/>
      <c r="BB3039" s="227"/>
      <c r="BC3039" s="227"/>
      <c r="BD3039" s="227"/>
      <c r="BE3039" s="227"/>
      <c r="BF3039" s="227"/>
    </row>
    <row r="3040">
      <c r="A3040" s="235" t="s">
        <v>23020</v>
      </c>
      <c r="C3040" s="235" t="s">
        <v>23021</v>
      </c>
      <c r="D3040" s="235" t="s">
        <v>23022</v>
      </c>
      <c r="E3040" s="243">
        <v>6.53E13</v>
      </c>
      <c r="F3040" s="245"/>
      <c r="G3040" s="235" t="s">
        <v>23023</v>
      </c>
      <c r="H3040" s="235" t="s">
        <v>23024</v>
      </c>
      <c r="I3040" s="235" t="s">
        <v>23024</v>
      </c>
      <c r="J3040" s="235" t="s">
        <v>23025</v>
      </c>
      <c r="K3040" s="235" t="s">
        <v>23026</v>
      </c>
      <c r="N3040" s="235" t="s">
        <v>128</v>
      </c>
      <c r="O3040" s="235" t="s">
        <v>2710</v>
      </c>
      <c r="P3040" s="238">
        <v>1.0</v>
      </c>
      <c r="Q3040" s="235" t="s">
        <v>627</v>
      </c>
      <c r="R3040" s="238">
        <v>246.67</v>
      </c>
      <c r="S3040" s="238">
        <v>12.33</v>
      </c>
      <c r="T3040" s="238">
        <v>38.1</v>
      </c>
      <c r="U3040" s="238">
        <v>1.9</v>
      </c>
      <c r="V3040" s="238">
        <v>0.0</v>
      </c>
      <c r="W3040" s="238">
        <v>0.0</v>
      </c>
      <c r="X3040" s="235" t="s">
        <v>628</v>
      </c>
      <c r="Z3040" s="245"/>
      <c r="AA3040" s="245"/>
      <c r="AB3040" s="245"/>
      <c r="AC3040" s="235" t="s">
        <v>1095</v>
      </c>
      <c r="AD3040" s="235" t="s">
        <v>845</v>
      </c>
      <c r="AE3040" s="238">
        <v>410208.0</v>
      </c>
      <c r="AF3040" s="235" t="s">
        <v>631</v>
      </c>
      <c r="AG3040" s="245"/>
      <c r="AH3040" s="245"/>
      <c r="AI3040" s="245"/>
      <c r="AJ3040" s="245"/>
      <c r="AK3040" s="245"/>
      <c r="AL3040" s="245"/>
      <c r="AM3040" s="245"/>
      <c r="AN3040" s="245"/>
      <c r="AO3040" s="238">
        <v>0.0</v>
      </c>
      <c r="AP3040" s="238">
        <v>-38.1</v>
      </c>
      <c r="AQ3040" s="235" t="s">
        <v>632</v>
      </c>
      <c r="AR3040" s="243">
        <v>3.71E11</v>
      </c>
      <c r="AS3040" s="235" t="s">
        <v>17988</v>
      </c>
      <c r="AT3040" s="235" t="s">
        <v>13</v>
      </c>
      <c r="AU3040" s="235" t="s">
        <v>634</v>
      </c>
      <c r="AV3040" s="246" t="s">
        <v>635</v>
      </c>
      <c r="AW3040" s="227"/>
      <c r="AX3040" s="227"/>
      <c r="AY3040" s="227"/>
      <c r="AZ3040" s="227"/>
      <c r="BA3040" s="227"/>
      <c r="BB3040" s="227"/>
      <c r="BC3040" s="227"/>
      <c r="BD3040" s="227"/>
      <c r="BE3040" s="227"/>
      <c r="BF3040" s="227"/>
    </row>
    <row r="3041">
      <c r="A3041" s="235" t="s">
        <v>23027</v>
      </c>
      <c r="C3041" s="235" t="s">
        <v>23028</v>
      </c>
      <c r="D3041" s="235" t="s">
        <v>23029</v>
      </c>
      <c r="E3041" s="243">
        <v>6.52E13</v>
      </c>
      <c r="F3041" s="245"/>
      <c r="G3041" s="235" t="s">
        <v>23030</v>
      </c>
      <c r="H3041" s="235" t="s">
        <v>23031</v>
      </c>
      <c r="I3041" s="235" t="s">
        <v>23032</v>
      </c>
      <c r="J3041" s="235" t="s">
        <v>23033</v>
      </c>
      <c r="K3041" s="235" t="s">
        <v>23034</v>
      </c>
      <c r="N3041" s="235" t="s">
        <v>962</v>
      </c>
      <c r="O3041" s="235" t="s">
        <v>963</v>
      </c>
      <c r="P3041" s="238">
        <v>1.0</v>
      </c>
      <c r="Q3041" s="235" t="s">
        <v>627</v>
      </c>
      <c r="R3041" s="238">
        <v>245.71</v>
      </c>
      <c r="S3041" s="238">
        <v>12.04</v>
      </c>
      <c r="T3041" s="238">
        <v>0.0</v>
      </c>
      <c r="U3041" s="238">
        <v>0.0</v>
      </c>
      <c r="V3041" s="238">
        <v>0.0</v>
      </c>
      <c r="W3041" s="238">
        <v>0.0</v>
      </c>
      <c r="X3041" s="235" t="s">
        <v>628</v>
      </c>
      <c r="Z3041" s="245"/>
      <c r="AA3041" s="245"/>
      <c r="AB3041" s="245"/>
      <c r="AC3041" s="235" t="s">
        <v>795</v>
      </c>
      <c r="AD3041" s="235" t="s">
        <v>796</v>
      </c>
      <c r="AE3041" s="238">
        <v>110064.0</v>
      </c>
      <c r="AF3041" s="235" t="s">
        <v>631</v>
      </c>
      <c r="AG3041" s="245"/>
      <c r="AH3041" s="245"/>
      <c r="AI3041" s="245"/>
      <c r="AJ3041" s="245"/>
      <c r="AK3041" s="245"/>
      <c r="AL3041" s="245"/>
      <c r="AM3041" s="245"/>
      <c r="AN3041" s="245"/>
      <c r="AO3041" s="238">
        <v>-4.91</v>
      </c>
      <c r="AP3041" s="238">
        <v>0.0</v>
      </c>
      <c r="AQ3041" s="235" t="s">
        <v>632</v>
      </c>
      <c r="AR3041" s="243">
        <v>1.68E11</v>
      </c>
      <c r="AS3041" s="235" t="s">
        <v>22548</v>
      </c>
      <c r="AT3041" s="235" t="s">
        <v>14</v>
      </c>
      <c r="AU3041" s="235" t="s">
        <v>634</v>
      </c>
      <c r="AV3041" s="246" t="s">
        <v>635</v>
      </c>
      <c r="AW3041" s="227"/>
      <c r="AX3041" s="227"/>
      <c r="AY3041" s="227"/>
      <c r="AZ3041" s="227"/>
      <c r="BA3041" s="227"/>
      <c r="BB3041" s="227"/>
      <c r="BC3041" s="227"/>
      <c r="BD3041" s="227"/>
      <c r="BE3041" s="227"/>
      <c r="BF3041" s="227"/>
    </row>
    <row r="3042">
      <c r="A3042" s="235" t="s">
        <v>23035</v>
      </c>
      <c r="C3042" s="235" t="s">
        <v>23036</v>
      </c>
      <c r="D3042" s="235" t="s">
        <v>23037</v>
      </c>
      <c r="E3042" s="243">
        <v>6.52E13</v>
      </c>
      <c r="F3042" s="245"/>
      <c r="G3042" s="235" t="s">
        <v>23038</v>
      </c>
      <c r="H3042" s="235" t="s">
        <v>23039</v>
      </c>
      <c r="I3042" s="235" t="s">
        <v>23039</v>
      </c>
      <c r="J3042" s="235" t="s">
        <v>23040</v>
      </c>
      <c r="K3042" s="235" t="s">
        <v>23041</v>
      </c>
      <c r="N3042" s="235" t="s">
        <v>139</v>
      </c>
      <c r="O3042" s="235" t="s">
        <v>2091</v>
      </c>
      <c r="P3042" s="238">
        <v>1.0</v>
      </c>
      <c r="Q3042" s="235" t="s">
        <v>627</v>
      </c>
      <c r="R3042" s="238">
        <v>243.81</v>
      </c>
      <c r="S3042" s="238">
        <v>11.95</v>
      </c>
      <c r="T3042" s="238">
        <v>0.0</v>
      </c>
      <c r="U3042" s="238">
        <v>0.0</v>
      </c>
      <c r="V3042" s="238">
        <v>0.0</v>
      </c>
      <c r="W3042" s="238">
        <v>0.0</v>
      </c>
      <c r="X3042" s="235" t="s">
        <v>628</v>
      </c>
      <c r="Z3042" s="245"/>
      <c r="AA3042" s="245"/>
      <c r="AB3042" s="245"/>
      <c r="AC3042" s="235" t="s">
        <v>795</v>
      </c>
      <c r="AD3042" s="235" t="s">
        <v>796</v>
      </c>
      <c r="AE3042" s="238">
        <v>110092.0</v>
      </c>
      <c r="AF3042" s="235" t="s">
        <v>631</v>
      </c>
      <c r="AG3042" s="245"/>
      <c r="AH3042" s="245"/>
      <c r="AI3042" s="245"/>
      <c r="AJ3042" s="245"/>
      <c r="AK3042" s="245"/>
      <c r="AL3042" s="245"/>
      <c r="AM3042" s="245"/>
      <c r="AN3042" s="245"/>
      <c r="AO3042" s="238">
        <v>-4.88</v>
      </c>
      <c r="AP3042" s="238">
        <v>0.0</v>
      </c>
      <c r="AQ3042" s="235" t="s">
        <v>632</v>
      </c>
      <c r="AR3042" s="243">
        <v>3.71E11</v>
      </c>
      <c r="AS3042" s="235" t="s">
        <v>22269</v>
      </c>
      <c r="AT3042" s="235" t="s">
        <v>533</v>
      </c>
      <c r="AU3042" s="235" t="s">
        <v>634</v>
      </c>
      <c r="AV3042" s="246" t="s">
        <v>635</v>
      </c>
      <c r="AW3042" s="227"/>
      <c r="AX3042" s="227"/>
      <c r="AY3042" s="227"/>
      <c r="AZ3042" s="227"/>
      <c r="BA3042" s="227"/>
      <c r="BB3042" s="227"/>
      <c r="BC3042" s="227"/>
      <c r="BD3042" s="227"/>
      <c r="BE3042" s="227"/>
      <c r="BF3042" s="227"/>
    </row>
    <row r="3043">
      <c r="A3043" s="235" t="s">
        <v>23042</v>
      </c>
      <c r="C3043" s="235" t="s">
        <v>23043</v>
      </c>
      <c r="D3043" s="235" t="s">
        <v>23044</v>
      </c>
      <c r="E3043" s="243">
        <v>6.52E13</v>
      </c>
      <c r="F3043" s="245"/>
      <c r="G3043" s="235" t="s">
        <v>23045</v>
      </c>
      <c r="H3043" s="235" t="s">
        <v>23046</v>
      </c>
      <c r="I3043" s="235" t="s">
        <v>23046</v>
      </c>
      <c r="J3043" s="235" t="s">
        <v>23047</v>
      </c>
      <c r="K3043" s="235" t="s">
        <v>23048</v>
      </c>
      <c r="N3043" s="235" t="s">
        <v>127</v>
      </c>
      <c r="O3043" s="235" t="s">
        <v>794</v>
      </c>
      <c r="P3043" s="238">
        <v>1.0</v>
      </c>
      <c r="Q3043" s="235" t="s">
        <v>627</v>
      </c>
      <c r="R3043" s="238">
        <v>242.86</v>
      </c>
      <c r="S3043" s="238">
        <v>12.14</v>
      </c>
      <c r="T3043" s="238">
        <v>0.0</v>
      </c>
      <c r="U3043" s="238">
        <v>0.0</v>
      </c>
      <c r="V3043" s="238">
        <v>0.0</v>
      </c>
      <c r="W3043" s="238">
        <v>0.0</v>
      </c>
      <c r="X3043" s="235" t="s">
        <v>628</v>
      </c>
      <c r="Z3043" s="245"/>
      <c r="AA3043" s="245"/>
      <c r="AB3043" s="245"/>
      <c r="AC3043" s="235" t="s">
        <v>17054</v>
      </c>
      <c r="AD3043" s="235" t="s">
        <v>630</v>
      </c>
      <c r="AE3043" s="238">
        <v>244001.0</v>
      </c>
      <c r="AF3043" s="235" t="s">
        <v>631</v>
      </c>
      <c r="AG3043" s="245"/>
      <c r="AH3043" s="245"/>
      <c r="AI3043" s="245"/>
      <c r="AJ3043" s="245"/>
      <c r="AK3043" s="245"/>
      <c r="AL3043" s="245"/>
      <c r="AM3043" s="245"/>
      <c r="AN3043" s="245"/>
      <c r="AO3043" s="238">
        <v>0.0</v>
      </c>
      <c r="AP3043" s="238">
        <v>0.0</v>
      </c>
      <c r="AQ3043" s="235" t="s">
        <v>632</v>
      </c>
      <c r="AR3043" s="243">
        <v>3.71E11</v>
      </c>
      <c r="AS3043" s="235" t="s">
        <v>20529</v>
      </c>
      <c r="AT3043" s="235" t="s">
        <v>13</v>
      </c>
      <c r="AU3043" s="235" t="s">
        <v>634</v>
      </c>
      <c r="AV3043" s="246" t="s">
        <v>635</v>
      </c>
      <c r="AW3043" s="227"/>
      <c r="AX3043" s="227"/>
      <c r="AY3043" s="227"/>
      <c r="AZ3043" s="227"/>
      <c r="BA3043" s="227"/>
      <c r="BB3043" s="227"/>
      <c r="BC3043" s="227"/>
      <c r="BD3043" s="227"/>
      <c r="BE3043" s="227"/>
      <c r="BF3043" s="227"/>
    </row>
    <row r="3044">
      <c r="A3044" s="235" t="s">
        <v>23049</v>
      </c>
      <c r="C3044" s="235" t="s">
        <v>23050</v>
      </c>
      <c r="D3044" s="235" t="s">
        <v>23051</v>
      </c>
      <c r="E3044" s="243">
        <v>6.52E13</v>
      </c>
      <c r="F3044" s="245"/>
      <c r="G3044" s="235" t="s">
        <v>23052</v>
      </c>
      <c r="H3044" s="235" t="s">
        <v>23053</v>
      </c>
      <c r="I3044" s="235" t="s">
        <v>23053</v>
      </c>
      <c r="J3044" s="235" t="s">
        <v>23054</v>
      </c>
      <c r="K3044" s="235" t="s">
        <v>23055</v>
      </c>
      <c r="N3044" s="235" t="s">
        <v>127</v>
      </c>
      <c r="O3044" s="235" t="s">
        <v>794</v>
      </c>
      <c r="P3044" s="238">
        <v>1.0</v>
      </c>
      <c r="Q3044" s="235" t="s">
        <v>627</v>
      </c>
      <c r="R3044" s="238">
        <v>236.19</v>
      </c>
      <c r="S3044" s="238">
        <v>11.81</v>
      </c>
      <c r="T3044" s="238">
        <v>0.0</v>
      </c>
      <c r="U3044" s="238">
        <v>0.0</v>
      </c>
      <c r="V3044" s="238">
        <v>0.0</v>
      </c>
      <c r="W3044" s="238">
        <v>0.0</v>
      </c>
      <c r="X3044" s="235" t="s">
        <v>628</v>
      </c>
      <c r="Z3044" s="245"/>
      <c r="AA3044" s="245"/>
      <c r="AB3044" s="245"/>
      <c r="AC3044" s="235" t="s">
        <v>23056</v>
      </c>
      <c r="AD3044" s="235" t="s">
        <v>709</v>
      </c>
      <c r="AE3044" s="238">
        <v>848114.0</v>
      </c>
      <c r="AF3044" s="235" t="s">
        <v>631</v>
      </c>
      <c r="AG3044" s="245"/>
      <c r="AH3044" s="245"/>
      <c r="AI3044" s="245"/>
      <c r="AJ3044" s="245"/>
      <c r="AK3044" s="245"/>
      <c r="AL3044" s="245"/>
      <c r="AM3044" s="245"/>
      <c r="AN3044" s="245"/>
      <c r="AO3044" s="238">
        <v>0.0</v>
      </c>
      <c r="AP3044" s="238">
        <v>0.0</v>
      </c>
      <c r="AQ3044" s="235" t="s">
        <v>632</v>
      </c>
      <c r="AR3044" s="243">
        <v>3.71E11</v>
      </c>
      <c r="AS3044" s="235" t="s">
        <v>17988</v>
      </c>
      <c r="AT3044" s="235" t="s">
        <v>14</v>
      </c>
      <c r="AU3044" s="235" t="s">
        <v>634</v>
      </c>
      <c r="AV3044" s="246" t="s">
        <v>635</v>
      </c>
      <c r="AW3044" s="227"/>
      <c r="AX3044" s="227"/>
      <c r="AY3044" s="227"/>
      <c r="AZ3044" s="227"/>
      <c r="BA3044" s="227"/>
      <c r="BB3044" s="227"/>
      <c r="BC3044" s="227"/>
      <c r="BD3044" s="227"/>
      <c r="BE3044" s="227"/>
      <c r="BF3044" s="227"/>
    </row>
    <row r="3045">
      <c r="A3045" s="235" t="s">
        <v>23057</v>
      </c>
      <c r="C3045" s="235" t="s">
        <v>23058</v>
      </c>
      <c r="D3045" s="235" t="s">
        <v>23059</v>
      </c>
      <c r="E3045" s="243">
        <v>6.53E13</v>
      </c>
      <c r="F3045" s="245"/>
      <c r="G3045" s="235" t="s">
        <v>23060</v>
      </c>
      <c r="H3045" s="235" t="s">
        <v>23061</v>
      </c>
      <c r="I3045" s="235" t="s">
        <v>23061</v>
      </c>
      <c r="J3045" s="235" t="s">
        <v>23062</v>
      </c>
      <c r="K3045" s="235" t="s">
        <v>23063</v>
      </c>
      <c r="N3045" s="235" t="s">
        <v>127</v>
      </c>
      <c r="O3045" s="235" t="s">
        <v>794</v>
      </c>
      <c r="P3045" s="238">
        <v>1.0</v>
      </c>
      <c r="Q3045" s="235" t="s">
        <v>627</v>
      </c>
      <c r="R3045" s="238">
        <v>242.86</v>
      </c>
      <c r="S3045" s="238">
        <v>12.14</v>
      </c>
      <c r="T3045" s="238">
        <v>0.0</v>
      </c>
      <c r="U3045" s="238">
        <v>0.0</v>
      </c>
      <c r="V3045" s="238">
        <v>0.0</v>
      </c>
      <c r="W3045" s="238">
        <v>0.0</v>
      </c>
      <c r="X3045" s="235" t="s">
        <v>628</v>
      </c>
      <c r="Z3045" s="245"/>
      <c r="AA3045" s="245"/>
      <c r="AB3045" s="245"/>
      <c r="AC3045" s="235" t="s">
        <v>2260</v>
      </c>
      <c r="AD3045" s="235" t="s">
        <v>630</v>
      </c>
      <c r="AE3045" s="238">
        <v>273008.0</v>
      </c>
      <c r="AF3045" s="235" t="s">
        <v>631</v>
      </c>
      <c r="AG3045" s="245"/>
      <c r="AH3045" s="245"/>
      <c r="AI3045" s="245"/>
      <c r="AJ3045" s="245"/>
      <c r="AK3045" s="245"/>
      <c r="AL3045" s="245"/>
      <c r="AM3045" s="245"/>
      <c r="AN3045" s="245"/>
      <c r="AO3045" s="238">
        <v>0.0</v>
      </c>
      <c r="AP3045" s="238">
        <v>0.0</v>
      </c>
      <c r="AQ3045" s="235" t="s">
        <v>632</v>
      </c>
      <c r="AR3045" s="243">
        <v>1.68E11</v>
      </c>
      <c r="AS3045" s="235" t="s">
        <v>19388</v>
      </c>
      <c r="AT3045" s="235" t="s">
        <v>13</v>
      </c>
      <c r="AU3045" s="235" t="s">
        <v>634</v>
      </c>
      <c r="AV3045" s="246" t="s">
        <v>635</v>
      </c>
      <c r="AW3045" s="227"/>
      <c r="AX3045" s="227"/>
      <c r="AY3045" s="227"/>
      <c r="AZ3045" s="227"/>
      <c r="BA3045" s="227"/>
      <c r="BB3045" s="227"/>
      <c r="BC3045" s="227"/>
      <c r="BD3045" s="227"/>
      <c r="BE3045" s="227"/>
      <c r="BF3045" s="227"/>
    </row>
    <row r="3046">
      <c r="A3046" s="235" t="s">
        <v>23064</v>
      </c>
      <c r="C3046" s="235" t="s">
        <v>23065</v>
      </c>
      <c r="D3046" s="235" t="s">
        <v>23066</v>
      </c>
      <c r="E3046" s="243">
        <v>6.53E13</v>
      </c>
      <c r="F3046" s="245"/>
      <c r="G3046" s="235" t="s">
        <v>23067</v>
      </c>
      <c r="H3046" s="235" t="s">
        <v>23068</v>
      </c>
      <c r="I3046" s="235" t="s">
        <v>23068</v>
      </c>
      <c r="J3046" s="235" t="s">
        <v>23069</v>
      </c>
      <c r="K3046" s="235" t="s">
        <v>23070</v>
      </c>
      <c r="N3046" s="235" t="s">
        <v>3858</v>
      </c>
      <c r="O3046" s="235" t="s">
        <v>3859</v>
      </c>
      <c r="P3046" s="238">
        <v>1.0</v>
      </c>
      <c r="Q3046" s="235" t="s">
        <v>627</v>
      </c>
      <c r="R3046" s="238">
        <v>245.71</v>
      </c>
      <c r="S3046" s="238">
        <v>12.04</v>
      </c>
      <c r="T3046" s="238">
        <v>0.0</v>
      </c>
      <c r="U3046" s="238">
        <v>0.0</v>
      </c>
      <c r="V3046" s="238">
        <v>0.0</v>
      </c>
      <c r="W3046" s="238">
        <v>0.0</v>
      </c>
      <c r="X3046" s="235" t="s">
        <v>628</v>
      </c>
      <c r="Z3046" s="245"/>
      <c r="AA3046" s="245"/>
      <c r="AB3046" s="245"/>
      <c r="AC3046" s="235" t="s">
        <v>4387</v>
      </c>
      <c r="AD3046" s="235" t="s">
        <v>845</v>
      </c>
      <c r="AE3046" s="238">
        <v>421204.0</v>
      </c>
      <c r="AF3046" s="235" t="s">
        <v>631</v>
      </c>
      <c r="AG3046" s="245"/>
      <c r="AH3046" s="245"/>
      <c r="AI3046" s="245"/>
      <c r="AJ3046" s="245"/>
      <c r="AK3046" s="245"/>
      <c r="AL3046" s="245"/>
      <c r="AM3046" s="245"/>
      <c r="AN3046" s="245"/>
      <c r="AO3046" s="238">
        <v>-4.91</v>
      </c>
      <c r="AP3046" s="238">
        <v>0.0</v>
      </c>
      <c r="AQ3046" s="235" t="s">
        <v>632</v>
      </c>
      <c r="AR3046" s="243">
        <v>3.71E11</v>
      </c>
      <c r="AS3046" s="235" t="s">
        <v>19388</v>
      </c>
      <c r="AT3046" s="235" t="s">
        <v>5</v>
      </c>
      <c r="AU3046" s="235" t="s">
        <v>634</v>
      </c>
      <c r="AV3046" s="246" t="s">
        <v>635</v>
      </c>
      <c r="AW3046" s="227"/>
      <c r="AX3046" s="227"/>
      <c r="AY3046" s="227"/>
      <c r="AZ3046" s="227"/>
      <c r="BA3046" s="227"/>
      <c r="BB3046" s="227"/>
      <c r="BC3046" s="227"/>
      <c r="BD3046" s="227"/>
      <c r="BE3046" s="227"/>
      <c r="BF3046" s="227"/>
    </row>
    <row r="3047">
      <c r="A3047" s="235" t="s">
        <v>23071</v>
      </c>
      <c r="C3047" s="235" t="s">
        <v>23072</v>
      </c>
      <c r="D3047" s="235" t="s">
        <v>23073</v>
      </c>
      <c r="E3047" s="243">
        <v>6.52E13</v>
      </c>
      <c r="F3047" s="245"/>
      <c r="G3047" s="235" t="s">
        <v>23074</v>
      </c>
      <c r="H3047" s="235" t="s">
        <v>23075</v>
      </c>
      <c r="I3047" s="235" t="s">
        <v>23075</v>
      </c>
      <c r="J3047" s="235" t="s">
        <v>23076</v>
      </c>
      <c r="K3047" s="235" t="s">
        <v>23077</v>
      </c>
      <c r="N3047" s="235" t="s">
        <v>842</v>
      </c>
      <c r="O3047" s="235" t="s">
        <v>843</v>
      </c>
      <c r="P3047" s="238">
        <v>1.0</v>
      </c>
      <c r="Q3047" s="235" t="s">
        <v>627</v>
      </c>
      <c r="R3047" s="238">
        <v>242.86</v>
      </c>
      <c r="S3047" s="238">
        <v>12.14</v>
      </c>
      <c r="T3047" s="238">
        <v>0.0</v>
      </c>
      <c r="U3047" s="238">
        <v>0.0</v>
      </c>
      <c r="V3047" s="238">
        <v>0.0</v>
      </c>
      <c r="W3047" s="238">
        <v>0.0</v>
      </c>
      <c r="X3047" s="235" t="s">
        <v>628</v>
      </c>
      <c r="Z3047" s="245"/>
      <c r="AA3047" s="245"/>
      <c r="AB3047" s="245"/>
      <c r="AC3047" s="235" t="s">
        <v>23078</v>
      </c>
      <c r="AD3047" s="235" t="s">
        <v>645</v>
      </c>
      <c r="AE3047" s="238">
        <v>682020.0</v>
      </c>
      <c r="AF3047" s="235" t="s">
        <v>631</v>
      </c>
      <c r="AG3047" s="245"/>
      <c r="AH3047" s="245"/>
      <c r="AI3047" s="245"/>
      <c r="AJ3047" s="245"/>
      <c r="AK3047" s="245"/>
      <c r="AL3047" s="245"/>
      <c r="AM3047" s="245"/>
      <c r="AN3047" s="245"/>
      <c r="AO3047" s="238">
        <v>0.0</v>
      </c>
      <c r="AP3047" s="238">
        <v>0.0</v>
      </c>
      <c r="AQ3047" s="235" t="s">
        <v>632</v>
      </c>
      <c r="AR3047" s="243">
        <v>1.68E11</v>
      </c>
      <c r="AS3047" s="235" t="s">
        <v>22269</v>
      </c>
      <c r="AT3047" s="235" t="s">
        <v>155</v>
      </c>
      <c r="AU3047" s="235" t="s">
        <v>634</v>
      </c>
      <c r="AV3047" s="246" t="s">
        <v>635</v>
      </c>
      <c r="AW3047" s="227"/>
      <c r="AX3047" s="227"/>
      <c r="AY3047" s="227"/>
      <c r="AZ3047" s="227"/>
      <c r="BA3047" s="227"/>
      <c r="BB3047" s="227"/>
      <c r="BC3047" s="227"/>
      <c r="BD3047" s="227"/>
      <c r="BE3047" s="227"/>
      <c r="BF3047" s="227"/>
    </row>
    <row r="3048">
      <c r="A3048" s="235" t="s">
        <v>23079</v>
      </c>
      <c r="C3048" s="235" t="s">
        <v>23080</v>
      </c>
      <c r="D3048" s="235" t="s">
        <v>23081</v>
      </c>
      <c r="E3048" s="243">
        <v>6.53E13</v>
      </c>
      <c r="F3048" s="245"/>
      <c r="G3048" s="235" t="s">
        <v>23082</v>
      </c>
      <c r="H3048" s="235" t="s">
        <v>23083</v>
      </c>
      <c r="I3048" s="235" t="s">
        <v>23083</v>
      </c>
      <c r="J3048" s="235" t="s">
        <v>23084</v>
      </c>
      <c r="K3048" s="235" t="s">
        <v>23085</v>
      </c>
      <c r="N3048" s="235" t="s">
        <v>127</v>
      </c>
      <c r="O3048" s="235" t="s">
        <v>794</v>
      </c>
      <c r="P3048" s="238">
        <v>1.0</v>
      </c>
      <c r="Q3048" s="235" t="s">
        <v>627</v>
      </c>
      <c r="R3048" s="238">
        <v>242.86</v>
      </c>
      <c r="S3048" s="238">
        <v>11.9</v>
      </c>
      <c r="T3048" s="238">
        <v>0.0</v>
      </c>
      <c r="U3048" s="238">
        <v>0.0</v>
      </c>
      <c r="V3048" s="238">
        <v>0.0</v>
      </c>
      <c r="W3048" s="238">
        <v>0.0</v>
      </c>
      <c r="X3048" s="235" t="s">
        <v>628</v>
      </c>
      <c r="Z3048" s="245"/>
      <c r="AA3048" s="245"/>
      <c r="AB3048" s="245"/>
      <c r="AC3048" s="235" t="s">
        <v>10285</v>
      </c>
      <c r="AD3048" s="235" t="s">
        <v>630</v>
      </c>
      <c r="AE3048" s="238">
        <v>242001.0</v>
      </c>
      <c r="AF3048" s="235" t="s">
        <v>631</v>
      </c>
      <c r="AG3048" s="245"/>
      <c r="AH3048" s="245"/>
      <c r="AI3048" s="245"/>
      <c r="AJ3048" s="245"/>
      <c r="AK3048" s="245"/>
      <c r="AL3048" s="245"/>
      <c r="AM3048" s="245"/>
      <c r="AN3048" s="245"/>
      <c r="AO3048" s="238">
        <v>-4.86</v>
      </c>
      <c r="AP3048" s="238">
        <v>0.0</v>
      </c>
      <c r="AQ3048" s="235" t="s">
        <v>632</v>
      </c>
      <c r="AR3048" s="243">
        <v>3.71E11</v>
      </c>
      <c r="AS3048" s="235" t="s">
        <v>20529</v>
      </c>
      <c r="AT3048" s="235" t="s">
        <v>13</v>
      </c>
      <c r="AU3048" s="235" t="s">
        <v>634</v>
      </c>
      <c r="AV3048" s="246" t="s">
        <v>635</v>
      </c>
      <c r="AW3048" s="227"/>
      <c r="AX3048" s="227"/>
      <c r="AY3048" s="227"/>
      <c r="AZ3048" s="227"/>
      <c r="BA3048" s="227"/>
      <c r="BB3048" s="227"/>
      <c r="BC3048" s="227"/>
      <c r="BD3048" s="227"/>
      <c r="BE3048" s="227"/>
      <c r="BF3048" s="227"/>
    </row>
    <row r="3049">
      <c r="A3049" s="235" t="s">
        <v>23086</v>
      </c>
      <c r="C3049" s="235" t="s">
        <v>23087</v>
      </c>
      <c r="D3049" s="235" t="s">
        <v>23088</v>
      </c>
      <c r="E3049" s="243">
        <v>6.53E13</v>
      </c>
      <c r="F3049" s="245"/>
      <c r="G3049" s="235" t="s">
        <v>23089</v>
      </c>
      <c r="H3049" s="235" t="s">
        <v>23090</v>
      </c>
      <c r="I3049" s="235" t="s">
        <v>23090</v>
      </c>
      <c r="J3049" s="235" t="s">
        <v>23091</v>
      </c>
      <c r="K3049" s="235" t="s">
        <v>23092</v>
      </c>
      <c r="N3049" s="235" t="s">
        <v>23</v>
      </c>
      <c r="O3049" s="235" t="s">
        <v>974</v>
      </c>
      <c r="P3049" s="238">
        <v>1.0</v>
      </c>
      <c r="Q3049" s="235" t="s">
        <v>627</v>
      </c>
      <c r="R3049" s="238">
        <v>323.81</v>
      </c>
      <c r="S3049" s="238">
        <v>16.19</v>
      </c>
      <c r="T3049" s="238">
        <v>0.0</v>
      </c>
      <c r="U3049" s="238">
        <v>0.0</v>
      </c>
      <c r="V3049" s="238">
        <v>0.0</v>
      </c>
      <c r="W3049" s="238">
        <v>0.0</v>
      </c>
      <c r="X3049" s="235" t="s">
        <v>628</v>
      </c>
      <c r="Z3049" s="245"/>
      <c r="AA3049" s="245"/>
      <c r="AB3049" s="245"/>
      <c r="AC3049" s="235" t="s">
        <v>23093</v>
      </c>
      <c r="AD3049" s="235" t="s">
        <v>965</v>
      </c>
      <c r="AE3049" s="238">
        <v>176310.0</v>
      </c>
      <c r="AF3049" s="235" t="s">
        <v>631</v>
      </c>
      <c r="AG3049" s="245"/>
      <c r="AH3049" s="245"/>
      <c r="AI3049" s="245"/>
      <c r="AJ3049" s="245"/>
      <c r="AK3049" s="245"/>
      <c r="AL3049" s="245"/>
      <c r="AM3049" s="245"/>
      <c r="AN3049" s="245"/>
      <c r="AO3049" s="238">
        <v>0.0</v>
      </c>
      <c r="AP3049" s="238">
        <v>0.0</v>
      </c>
      <c r="AQ3049" s="235" t="s">
        <v>632</v>
      </c>
      <c r="AR3049" s="243">
        <v>3.71E11</v>
      </c>
      <c r="AS3049" s="235" t="s">
        <v>20529</v>
      </c>
      <c r="AT3049" s="235" t="s">
        <v>14</v>
      </c>
      <c r="AU3049" s="235" t="s">
        <v>634</v>
      </c>
      <c r="AV3049" s="246" t="s">
        <v>635</v>
      </c>
      <c r="AW3049" s="227"/>
      <c r="AX3049" s="227"/>
      <c r="AY3049" s="227"/>
      <c r="AZ3049" s="227"/>
      <c r="BA3049" s="227"/>
      <c r="BB3049" s="227"/>
      <c r="BC3049" s="227"/>
      <c r="BD3049" s="227"/>
      <c r="BE3049" s="227"/>
      <c r="BF3049" s="227"/>
    </row>
    <row r="3050">
      <c r="A3050" s="235" t="s">
        <v>23094</v>
      </c>
      <c r="C3050" s="235" t="s">
        <v>23095</v>
      </c>
      <c r="D3050" s="235" t="s">
        <v>23096</v>
      </c>
      <c r="E3050" s="243">
        <v>6.52E13</v>
      </c>
      <c r="F3050" s="245"/>
      <c r="G3050" s="235" t="s">
        <v>23097</v>
      </c>
      <c r="H3050" s="235" t="s">
        <v>23098</v>
      </c>
      <c r="I3050" s="235" t="s">
        <v>23098</v>
      </c>
      <c r="J3050" s="235" t="s">
        <v>23099</v>
      </c>
      <c r="K3050" s="235" t="s">
        <v>23100</v>
      </c>
      <c r="N3050" s="235" t="s">
        <v>68</v>
      </c>
      <c r="O3050" s="235" t="s">
        <v>208</v>
      </c>
      <c r="P3050" s="238">
        <v>1.0</v>
      </c>
      <c r="Q3050" s="235" t="s">
        <v>627</v>
      </c>
      <c r="R3050" s="238">
        <v>246.66</v>
      </c>
      <c r="S3050" s="238">
        <v>12.34</v>
      </c>
      <c r="T3050" s="238">
        <v>38.1</v>
      </c>
      <c r="U3050" s="238">
        <v>1.9</v>
      </c>
      <c r="V3050" s="238">
        <v>0.0</v>
      </c>
      <c r="W3050" s="238">
        <v>0.0</v>
      </c>
      <c r="X3050" s="235" t="s">
        <v>628</v>
      </c>
      <c r="Z3050" s="245"/>
      <c r="AA3050" s="245"/>
      <c r="AB3050" s="245"/>
      <c r="AC3050" s="235" t="s">
        <v>23101</v>
      </c>
      <c r="AD3050" s="235" t="s">
        <v>845</v>
      </c>
      <c r="AE3050" s="238">
        <v>412115.0</v>
      </c>
      <c r="AF3050" s="235" t="s">
        <v>631</v>
      </c>
      <c r="AG3050" s="245"/>
      <c r="AH3050" s="245"/>
      <c r="AI3050" s="245"/>
      <c r="AJ3050" s="245"/>
      <c r="AK3050" s="245"/>
      <c r="AL3050" s="245"/>
      <c r="AM3050" s="245"/>
      <c r="AN3050" s="245"/>
      <c r="AO3050" s="238">
        <v>0.0</v>
      </c>
      <c r="AP3050" s="238">
        <v>-38.1</v>
      </c>
      <c r="AQ3050" s="235" t="s">
        <v>632</v>
      </c>
      <c r="AR3050" s="243">
        <v>3.71E11</v>
      </c>
      <c r="AS3050" s="235" t="s">
        <v>13822</v>
      </c>
      <c r="AT3050" s="235" t="s">
        <v>546</v>
      </c>
      <c r="AU3050" s="235" t="s">
        <v>634</v>
      </c>
      <c r="AV3050" s="246" t="s">
        <v>635</v>
      </c>
      <c r="AW3050" s="227"/>
      <c r="AX3050" s="227"/>
      <c r="AY3050" s="227"/>
      <c r="AZ3050" s="227"/>
      <c r="BA3050" s="227"/>
      <c r="BB3050" s="227"/>
      <c r="BC3050" s="227"/>
      <c r="BD3050" s="227"/>
      <c r="BE3050" s="227"/>
      <c r="BF3050" s="227"/>
    </row>
    <row r="3051">
      <c r="A3051" s="235" t="s">
        <v>23102</v>
      </c>
      <c r="C3051" s="235" t="s">
        <v>23103</v>
      </c>
      <c r="D3051" s="235" t="s">
        <v>23104</v>
      </c>
      <c r="E3051" s="243">
        <v>6.52E13</v>
      </c>
      <c r="F3051" s="245"/>
      <c r="G3051" s="235" t="s">
        <v>23105</v>
      </c>
      <c r="H3051" s="235" t="s">
        <v>23106</v>
      </c>
      <c r="I3051" s="235" t="s">
        <v>23106</v>
      </c>
      <c r="J3051" s="235" t="s">
        <v>23107</v>
      </c>
      <c r="K3051" s="235" t="s">
        <v>23108</v>
      </c>
      <c r="N3051" s="235" t="s">
        <v>130</v>
      </c>
      <c r="O3051" s="235" t="s">
        <v>707</v>
      </c>
      <c r="P3051" s="238">
        <v>1.0</v>
      </c>
      <c r="Q3051" s="235" t="s">
        <v>627</v>
      </c>
      <c r="R3051" s="238">
        <v>246.67</v>
      </c>
      <c r="S3051" s="238">
        <v>12.33</v>
      </c>
      <c r="T3051" s="238">
        <v>38.1</v>
      </c>
      <c r="U3051" s="238">
        <v>1.9</v>
      </c>
      <c r="V3051" s="238">
        <v>0.0</v>
      </c>
      <c r="W3051" s="238">
        <v>0.0</v>
      </c>
      <c r="X3051" s="235" t="s">
        <v>628</v>
      </c>
      <c r="Z3051" s="245"/>
      <c r="AA3051" s="245"/>
      <c r="AB3051" s="245"/>
      <c r="AC3051" s="235" t="s">
        <v>23109</v>
      </c>
      <c r="AD3051" s="235" t="s">
        <v>709</v>
      </c>
      <c r="AE3051" s="238">
        <v>805109.0</v>
      </c>
      <c r="AF3051" s="235" t="s">
        <v>631</v>
      </c>
      <c r="AG3051" s="245"/>
      <c r="AH3051" s="245"/>
      <c r="AI3051" s="245"/>
      <c r="AJ3051" s="245"/>
      <c r="AK3051" s="245"/>
      <c r="AL3051" s="245"/>
      <c r="AM3051" s="245"/>
      <c r="AN3051" s="245"/>
      <c r="AO3051" s="238">
        <v>0.0</v>
      </c>
      <c r="AP3051" s="238">
        <v>-38.1</v>
      </c>
      <c r="AQ3051" s="235" t="s">
        <v>632</v>
      </c>
      <c r="AR3051" s="243">
        <v>3.71E11</v>
      </c>
      <c r="AS3051" s="235" t="s">
        <v>17988</v>
      </c>
      <c r="AT3051" s="235" t="s">
        <v>14</v>
      </c>
      <c r="AU3051" s="235" t="s">
        <v>634</v>
      </c>
      <c r="AV3051" s="246" t="s">
        <v>635</v>
      </c>
      <c r="AW3051" s="227"/>
      <c r="AX3051" s="227"/>
      <c r="AY3051" s="227"/>
      <c r="AZ3051" s="227"/>
      <c r="BA3051" s="227"/>
      <c r="BB3051" s="227"/>
      <c r="BC3051" s="227"/>
      <c r="BD3051" s="227"/>
      <c r="BE3051" s="227"/>
      <c r="BF3051" s="227"/>
    </row>
    <row r="3052">
      <c r="A3052" s="235" t="s">
        <v>23110</v>
      </c>
      <c r="C3052" s="235" t="s">
        <v>23111</v>
      </c>
      <c r="D3052" s="235" t="s">
        <v>23112</v>
      </c>
      <c r="E3052" s="243">
        <v>6.52E13</v>
      </c>
      <c r="F3052" s="245"/>
      <c r="G3052" s="235" t="s">
        <v>23113</v>
      </c>
      <c r="H3052" s="235" t="s">
        <v>23114</v>
      </c>
      <c r="I3052" s="235" t="s">
        <v>23114</v>
      </c>
      <c r="J3052" s="235" t="s">
        <v>23115</v>
      </c>
      <c r="K3052" s="235" t="s">
        <v>23116</v>
      </c>
      <c r="N3052" s="235" t="s">
        <v>141</v>
      </c>
      <c r="O3052" s="235" t="s">
        <v>342</v>
      </c>
      <c r="P3052" s="238">
        <v>1.0</v>
      </c>
      <c r="Q3052" s="235" t="s">
        <v>627</v>
      </c>
      <c r="R3052" s="238">
        <v>243.81</v>
      </c>
      <c r="S3052" s="238">
        <v>12.19</v>
      </c>
      <c r="T3052" s="238">
        <v>0.0</v>
      </c>
      <c r="U3052" s="238">
        <v>0.0</v>
      </c>
      <c r="V3052" s="238">
        <v>0.0</v>
      </c>
      <c r="W3052" s="238">
        <v>0.0</v>
      </c>
      <c r="X3052" s="235" t="s">
        <v>628</v>
      </c>
      <c r="Z3052" s="245"/>
      <c r="AA3052" s="245"/>
      <c r="AB3052" s="245"/>
      <c r="AC3052" s="235" t="s">
        <v>795</v>
      </c>
      <c r="AD3052" s="235" t="s">
        <v>796</v>
      </c>
      <c r="AE3052" s="238">
        <v>110093.0</v>
      </c>
      <c r="AF3052" s="235" t="s">
        <v>631</v>
      </c>
      <c r="AG3052" s="245"/>
      <c r="AH3052" s="245"/>
      <c r="AI3052" s="245"/>
      <c r="AJ3052" s="245"/>
      <c r="AK3052" s="245"/>
      <c r="AL3052" s="245"/>
      <c r="AM3052" s="245"/>
      <c r="AN3052" s="245"/>
      <c r="AO3052" s="238">
        <v>0.0</v>
      </c>
      <c r="AP3052" s="238">
        <v>0.0</v>
      </c>
      <c r="AQ3052" s="235" t="s">
        <v>632</v>
      </c>
      <c r="AR3052" s="243">
        <v>3.71E11</v>
      </c>
      <c r="AS3052" s="235" t="s">
        <v>22269</v>
      </c>
      <c r="AT3052" s="235" t="s">
        <v>533</v>
      </c>
      <c r="AU3052" s="235" t="s">
        <v>634</v>
      </c>
      <c r="AV3052" s="246" t="s">
        <v>635</v>
      </c>
      <c r="AW3052" s="227"/>
      <c r="AX3052" s="227"/>
      <c r="AY3052" s="227"/>
      <c r="AZ3052" s="227"/>
      <c r="BA3052" s="227"/>
      <c r="BB3052" s="227"/>
      <c r="BC3052" s="227"/>
      <c r="BD3052" s="227"/>
      <c r="BE3052" s="227"/>
      <c r="BF3052" s="227"/>
    </row>
    <row r="3053">
      <c r="A3053" s="235" t="s">
        <v>23117</v>
      </c>
      <c r="C3053" s="235" t="s">
        <v>23118</v>
      </c>
      <c r="D3053" s="235" t="s">
        <v>23119</v>
      </c>
      <c r="E3053" s="243">
        <v>6.52E13</v>
      </c>
      <c r="F3053" s="245"/>
      <c r="G3053" s="235" t="s">
        <v>23120</v>
      </c>
      <c r="H3053" s="235" t="s">
        <v>23121</v>
      </c>
      <c r="I3053" s="235" t="s">
        <v>23121</v>
      </c>
      <c r="J3053" s="235" t="s">
        <v>23122</v>
      </c>
      <c r="K3053" s="235" t="s">
        <v>23123</v>
      </c>
      <c r="N3053" s="235" t="s">
        <v>82</v>
      </c>
      <c r="O3053" s="235" t="s">
        <v>889</v>
      </c>
      <c r="P3053" s="238">
        <v>1.0</v>
      </c>
      <c r="Q3053" s="235" t="s">
        <v>627</v>
      </c>
      <c r="R3053" s="238">
        <v>233.33</v>
      </c>
      <c r="S3053" s="238">
        <v>11.67</v>
      </c>
      <c r="T3053" s="238">
        <v>38.1</v>
      </c>
      <c r="U3053" s="238">
        <v>1.9</v>
      </c>
      <c r="V3053" s="238">
        <v>0.0</v>
      </c>
      <c r="W3053" s="238">
        <v>0.0</v>
      </c>
      <c r="X3053" s="235" t="s">
        <v>628</v>
      </c>
      <c r="Z3053" s="245"/>
      <c r="AA3053" s="245"/>
      <c r="AB3053" s="245"/>
      <c r="AC3053" s="235" t="s">
        <v>23124</v>
      </c>
      <c r="AD3053" s="235" t="s">
        <v>1499</v>
      </c>
      <c r="AE3053" s="238">
        <v>455440.0</v>
      </c>
      <c r="AF3053" s="235" t="s">
        <v>631</v>
      </c>
      <c r="AG3053" s="245"/>
      <c r="AH3053" s="245"/>
      <c r="AI3053" s="245"/>
      <c r="AJ3053" s="245"/>
      <c r="AK3053" s="245"/>
      <c r="AL3053" s="245"/>
      <c r="AM3053" s="245"/>
      <c r="AN3053" s="245"/>
      <c r="AO3053" s="238">
        <v>0.0</v>
      </c>
      <c r="AP3053" s="238">
        <v>-38.1</v>
      </c>
      <c r="AQ3053" s="235" t="s">
        <v>1328</v>
      </c>
      <c r="AR3053" s="243">
        <v>1.34E13</v>
      </c>
      <c r="AS3053" s="235" t="s">
        <v>13822</v>
      </c>
      <c r="AT3053" s="235" t="s">
        <v>17</v>
      </c>
      <c r="AU3053" s="235" t="s">
        <v>634</v>
      </c>
      <c r="AV3053" s="246" t="s">
        <v>635</v>
      </c>
      <c r="AW3053" s="227"/>
      <c r="AX3053" s="227"/>
      <c r="AY3053" s="227"/>
      <c r="AZ3053" s="227"/>
      <c r="BA3053" s="227"/>
      <c r="BB3053" s="227"/>
      <c r="BC3053" s="227"/>
      <c r="BD3053" s="227"/>
      <c r="BE3053" s="227"/>
      <c r="BF3053" s="227"/>
    </row>
    <row r="3054">
      <c r="A3054" s="235" t="s">
        <v>23125</v>
      </c>
      <c r="C3054" s="235" t="s">
        <v>23126</v>
      </c>
      <c r="D3054" s="235" t="s">
        <v>23127</v>
      </c>
      <c r="E3054" s="243">
        <v>6.52E13</v>
      </c>
      <c r="F3054" s="245"/>
      <c r="G3054" s="235" t="s">
        <v>23128</v>
      </c>
      <c r="H3054" s="235" t="s">
        <v>23129</v>
      </c>
      <c r="I3054" s="235" t="s">
        <v>23129</v>
      </c>
      <c r="J3054" s="235" t="s">
        <v>23130</v>
      </c>
      <c r="K3054" s="235" t="s">
        <v>23131</v>
      </c>
      <c r="N3054" s="235" t="s">
        <v>82</v>
      </c>
      <c r="O3054" s="235" t="s">
        <v>889</v>
      </c>
      <c r="P3054" s="238">
        <v>1.0</v>
      </c>
      <c r="Q3054" s="235" t="s">
        <v>627</v>
      </c>
      <c r="R3054" s="238">
        <v>233.34</v>
      </c>
      <c r="S3054" s="238">
        <v>11.43</v>
      </c>
      <c r="T3054" s="238">
        <v>0.0</v>
      </c>
      <c r="U3054" s="238">
        <v>0.0</v>
      </c>
      <c r="V3054" s="238">
        <v>0.0</v>
      </c>
      <c r="W3054" s="238">
        <v>0.0</v>
      </c>
      <c r="X3054" s="235" t="s">
        <v>628</v>
      </c>
      <c r="Z3054" s="245"/>
      <c r="AA3054" s="245"/>
      <c r="AB3054" s="245"/>
      <c r="AC3054" s="235" t="s">
        <v>1320</v>
      </c>
      <c r="AD3054" s="235" t="s">
        <v>666</v>
      </c>
      <c r="AE3054" s="238">
        <v>600043.0</v>
      </c>
      <c r="AF3054" s="235" t="s">
        <v>631</v>
      </c>
      <c r="AG3054" s="245"/>
      <c r="AH3054" s="245"/>
      <c r="AI3054" s="245"/>
      <c r="AJ3054" s="245"/>
      <c r="AK3054" s="245"/>
      <c r="AL3054" s="245"/>
      <c r="AM3054" s="245"/>
      <c r="AN3054" s="245"/>
      <c r="AO3054" s="238">
        <v>-4.67</v>
      </c>
      <c r="AP3054" s="238">
        <v>0.0</v>
      </c>
      <c r="AQ3054" s="235" t="s">
        <v>632</v>
      </c>
      <c r="AR3054" s="243">
        <v>1.68E11</v>
      </c>
      <c r="AS3054" s="235" t="s">
        <v>22548</v>
      </c>
      <c r="AT3054" s="235" t="s">
        <v>156</v>
      </c>
      <c r="AU3054" s="235" t="s">
        <v>634</v>
      </c>
      <c r="AV3054" s="246" t="s">
        <v>635</v>
      </c>
      <c r="AW3054" s="227"/>
      <c r="AX3054" s="227"/>
      <c r="AY3054" s="227"/>
      <c r="AZ3054" s="227"/>
      <c r="BA3054" s="227"/>
      <c r="BB3054" s="227"/>
      <c r="BC3054" s="227"/>
      <c r="BD3054" s="227"/>
      <c r="BE3054" s="227"/>
      <c r="BF3054" s="227"/>
    </row>
    <row r="3055">
      <c r="A3055" s="235" t="s">
        <v>23132</v>
      </c>
      <c r="C3055" s="235" t="s">
        <v>23133</v>
      </c>
      <c r="D3055" s="235" t="s">
        <v>23134</v>
      </c>
      <c r="E3055" s="243">
        <v>6.53E13</v>
      </c>
      <c r="F3055" s="245"/>
      <c r="G3055" s="235" t="s">
        <v>23135</v>
      </c>
      <c r="H3055" s="235" t="s">
        <v>23136</v>
      </c>
      <c r="I3055" s="235" t="s">
        <v>23136</v>
      </c>
      <c r="J3055" s="235" t="s">
        <v>23137</v>
      </c>
      <c r="K3055" s="235" t="s">
        <v>23138</v>
      </c>
      <c r="N3055" s="235" t="s">
        <v>141</v>
      </c>
      <c r="O3055" s="235" t="s">
        <v>342</v>
      </c>
      <c r="P3055" s="238">
        <v>1.0</v>
      </c>
      <c r="Q3055" s="235" t="s">
        <v>627</v>
      </c>
      <c r="R3055" s="238">
        <v>243.81</v>
      </c>
      <c r="S3055" s="238">
        <v>11.95</v>
      </c>
      <c r="T3055" s="238">
        <v>0.0</v>
      </c>
      <c r="U3055" s="238">
        <v>0.0</v>
      </c>
      <c r="V3055" s="238">
        <v>0.0</v>
      </c>
      <c r="W3055" s="238">
        <v>0.0</v>
      </c>
      <c r="X3055" s="235" t="s">
        <v>628</v>
      </c>
      <c r="Z3055" s="245"/>
      <c r="AA3055" s="245"/>
      <c r="AB3055" s="245"/>
      <c r="AC3055" s="235" t="s">
        <v>8273</v>
      </c>
      <c r="AD3055" s="235" t="s">
        <v>3113</v>
      </c>
      <c r="AE3055" s="238">
        <v>492008.0</v>
      </c>
      <c r="AF3055" s="235" t="s">
        <v>631</v>
      </c>
      <c r="AG3055" s="245"/>
      <c r="AH3055" s="245"/>
      <c r="AI3055" s="245"/>
      <c r="AJ3055" s="245"/>
      <c r="AK3055" s="245"/>
      <c r="AL3055" s="245"/>
      <c r="AM3055" s="245"/>
      <c r="AN3055" s="245"/>
      <c r="AO3055" s="238">
        <v>-4.88</v>
      </c>
      <c r="AP3055" s="238">
        <v>0.0</v>
      </c>
      <c r="AQ3055" s="235" t="s">
        <v>632</v>
      </c>
      <c r="AR3055" s="243">
        <v>3.71E11</v>
      </c>
      <c r="AS3055" s="235" t="s">
        <v>16626</v>
      </c>
      <c r="AT3055" s="235" t="s">
        <v>13</v>
      </c>
      <c r="AU3055" s="235" t="s">
        <v>634</v>
      </c>
      <c r="AV3055" s="246" t="s">
        <v>635</v>
      </c>
      <c r="AW3055" s="227"/>
      <c r="AX3055" s="227"/>
      <c r="AY3055" s="227"/>
      <c r="AZ3055" s="227"/>
      <c r="BA3055" s="227"/>
      <c r="BB3055" s="227"/>
      <c r="BC3055" s="227"/>
      <c r="BD3055" s="227"/>
      <c r="BE3055" s="227"/>
      <c r="BF3055" s="227"/>
    </row>
    <row r="3056">
      <c r="A3056" s="235" t="s">
        <v>23139</v>
      </c>
      <c r="C3056" s="235" t="s">
        <v>23140</v>
      </c>
      <c r="D3056" s="235" t="s">
        <v>23141</v>
      </c>
      <c r="E3056" s="243">
        <v>6.53E13</v>
      </c>
      <c r="F3056" s="245"/>
      <c r="G3056" s="235" t="s">
        <v>23142</v>
      </c>
      <c r="H3056" s="235" t="s">
        <v>23143</v>
      </c>
      <c r="I3056" s="235" t="s">
        <v>23143</v>
      </c>
      <c r="J3056" s="235" t="s">
        <v>23144</v>
      </c>
      <c r="K3056" s="235" t="s">
        <v>23145</v>
      </c>
      <c r="N3056" s="235" t="s">
        <v>842</v>
      </c>
      <c r="O3056" s="235" t="s">
        <v>843</v>
      </c>
      <c r="P3056" s="238">
        <v>1.0</v>
      </c>
      <c r="Q3056" s="235" t="s">
        <v>627</v>
      </c>
      <c r="R3056" s="238">
        <v>246.66</v>
      </c>
      <c r="S3056" s="238">
        <v>12.1</v>
      </c>
      <c r="T3056" s="238">
        <v>0.0</v>
      </c>
      <c r="U3056" s="238">
        <v>0.0</v>
      </c>
      <c r="V3056" s="238">
        <v>0.0</v>
      </c>
      <c r="W3056" s="238">
        <v>0.0</v>
      </c>
      <c r="X3056" s="235" t="s">
        <v>628</v>
      </c>
      <c r="Z3056" s="245"/>
      <c r="AA3056" s="245"/>
      <c r="AB3056" s="245"/>
      <c r="AC3056" s="235" t="s">
        <v>678</v>
      </c>
      <c r="AD3056" s="235" t="s">
        <v>679</v>
      </c>
      <c r="AE3056" s="238">
        <v>560037.0</v>
      </c>
      <c r="AF3056" s="235" t="s">
        <v>631</v>
      </c>
      <c r="AG3056" s="245"/>
      <c r="AH3056" s="245"/>
      <c r="AI3056" s="245"/>
      <c r="AJ3056" s="245"/>
      <c r="AK3056" s="245"/>
      <c r="AL3056" s="245"/>
      <c r="AM3056" s="245"/>
      <c r="AN3056" s="245"/>
      <c r="AO3056" s="238">
        <v>-4.94</v>
      </c>
      <c r="AP3056" s="238">
        <v>0.0</v>
      </c>
      <c r="AQ3056" s="235" t="s">
        <v>632</v>
      </c>
      <c r="AR3056" s="243">
        <v>1.68E11</v>
      </c>
      <c r="AS3056" s="235" t="s">
        <v>22548</v>
      </c>
      <c r="AT3056" s="235" t="s">
        <v>11</v>
      </c>
      <c r="AU3056" s="235" t="s">
        <v>634</v>
      </c>
      <c r="AV3056" s="246" t="s">
        <v>635</v>
      </c>
      <c r="AW3056" s="227"/>
      <c r="AX3056" s="227"/>
      <c r="AY3056" s="227"/>
      <c r="AZ3056" s="227"/>
      <c r="BA3056" s="227"/>
      <c r="BB3056" s="227"/>
      <c r="BC3056" s="227"/>
      <c r="BD3056" s="227"/>
      <c r="BE3056" s="227"/>
      <c r="BF3056" s="227"/>
    </row>
    <row r="3057">
      <c r="A3057" s="235" t="s">
        <v>23146</v>
      </c>
      <c r="C3057" s="235" t="s">
        <v>23147</v>
      </c>
      <c r="D3057" s="235" t="s">
        <v>23148</v>
      </c>
      <c r="E3057" s="243">
        <v>6.53E13</v>
      </c>
      <c r="F3057" s="245"/>
      <c r="G3057" s="235" t="s">
        <v>23149</v>
      </c>
      <c r="H3057" s="235" t="s">
        <v>23150</v>
      </c>
      <c r="I3057" s="235" t="s">
        <v>23150</v>
      </c>
      <c r="J3057" s="235" t="s">
        <v>23151</v>
      </c>
      <c r="K3057" s="235" t="s">
        <v>23152</v>
      </c>
      <c r="N3057" s="235" t="s">
        <v>127</v>
      </c>
      <c r="O3057" s="235" t="s">
        <v>794</v>
      </c>
      <c r="P3057" s="238">
        <v>1.0</v>
      </c>
      <c r="Q3057" s="235" t="s">
        <v>627</v>
      </c>
      <c r="R3057" s="238">
        <v>242.86</v>
      </c>
      <c r="S3057" s="238">
        <v>11.9</v>
      </c>
      <c r="T3057" s="238">
        <v>0.0</v>
      </c>
      <c r="U3057" s="238">
        <v>0.0</v>
      </c>
      <c r="V3057" s="238">
        <v>0.0</v>
      </c>
      <c r="W3057" s="238">
        <v>0.0</v>
      </c>
      <c r="X3057" s="235" t="s">
        <v>628</v>
      </c>
      <c r="Z3057" s="245"/>
      <c r="AA3057" s="245"/>
      <c r="AB3057" s="245"/>
      <c r="AC3057" s="235" t="s">
        <v>16678</v>
      </c>
      <c r="AD3057" s="235" t="s">
        <v>666</v>
      </c>
      <c r="AE3057" s="238">
        <v>632503.0</v>
      </c>
      <c r="AF3057" s="235" t="s">
        <v>631</v>
      </c>
      <c r="AG3057" s="245"/>
      <c r="AH3057" s="245"/>
      <c r="AI3057" s="245"/>
      <c r="AJ3057" s="245"/>
      <c r="AK3057" s="245"/>
      <c r="AL3057" s="245"/>
      <c r="AM3057" s="245"/>
      <c r="AN3057" s="245"/>
      <c r="AO3057" s="238">
        <v>-4.86</v>
      </c>
      <c r="AP3057" s="238">
        <v>0.0</v>
      </c>
      <c r="AQ3057" s="235" t="s">
        <v>632</v>
      </c>
      <c r="AR3057" s="243">
        <v>1.68E11</v>
      </c>
      <c r="AS3057" s="235" t="s">
        <v>22269</v>
      </c>
      <c r="AT3057" s="235" t="s">
        <v>11</v>
      </c>
      <c r="AU3057" s="235" t="s">
        <v>634</v>
      </c>
      <c r="AV3057" s="246" t="s">
        <v>635</v>
      </c>
      <c r="AW3057" s="227"/>
      <c r="AX3057" s="227"/>
      <c r="AY3057" s="227"/>
      <c r="AZ3057" s="227"/>
      <c r="BA3057" s="227"/>
      <c r="BB3057" s="227"/>
      <c r="BC3057" s="227"/>
      <c r="BD3057" s="227"/>
      <c r="BE3057" s="227"/>
      <c r="BF3057" s="227"/>
    </row>
    <row r="3058">
      <c r="A3058" s="235" t="s">
        <v>23153</v>
      </c>
      <c r="C3058" s="235" t="s">
        <v>23154</v>
      </c>
      <c r="D3058" s="235" t="s">
        <v>23155</v>
      </c>
      <c r="E3058" s="243">
        <v>6.53E13</v>
      </c>
      <c r="F3058" s="245"/>
      <c r="G3058" s="235" t="s">
        <v>23156</v>
      </c>
      <c r="H3058" s="235" t="s">
        <v>23157</v>
      </c>
      <c r="I3058" s="235" t="s">
        <v>23157</v>
      </c>
      <c r="J3058" s="235" t="s">
        <v>23158</v>
      </c>
      <c r="K3058" s="235" t="s">
        <v>23159</v>
      </c>
      <c r="N3058" s="235" t="s">
        <v>12</v>
      </c>
      <c r="O3058" s="235" t="s">
        <v>804</v>
      </c>
      <c r="P3058" s="238">
        <v>1.0</v>
      </c>
      <c r="Q3058" s="235" t="s">
        <v>627</v>
      </c>
      <c r="R3058" s="238">
        <v>265.72</v>
      </c>
      <c r="S3058" s="238">
        <v>13.28</v>
      </c>
      <c r="T3058" s="238">
        <v>0.0</v>
      </c>
      <c r="U3058" s="238">
        <v>0.0</v>
      </c>
      <c r="V3058" s="238">
        <v>0.0</v>
      </c>
      <c r="W3058" s="238">
        <v>0.0</v>
      </c>
      <c r="X3058" s="235" t="s">
        <v>628</v>
      </c>
      <c r="Z3058" s="245"/>
      <c r="AA3058" s="245"/>
      <c r="AB3058" s="245"/>
      <c r="AC3058" s="235" t="s">
        <v>1851</v>
      </c>
      <c r="AD3058" s="235" t="s">
        <v>1077</v>
      </c>
      <c r="AE3058" s="238">
        <v>380001.0</v>
      </c>
      <c r="AF3058" s="235" t="s">
        <v>631</v>
      </c>
      <c r="AG3058" s="245"/>
      <c r="AH3058" s="245"/>
      <c r="AI3058" s="245"/>
      <c r="AJ3058" s="245"/>
      <c r="AK3058" s="245"/>
      <c r="AL3058" s="245"/>
      <c r="AM3058" s="245"/>
      <c r="AN3058" s="245"/>
      <c r="AO3058" s="238">
        <v>0.0</v>
      </c>
      <c r="AP3058" s="238">
        <v>0.0</v>
      </c>
      <c r="AQ3058" s="235" t="s">
        <v>632</v>
      </c>
      <c r="AR3058" s="243">
        <v>3.71E11</v>
      </c>
      <c r="AS3058" s="235" t="s">
        <v>22269</v>
      </c>
      <c r="AT3058" s="235" t="s">
        <v>5</v>
      </c>
      <c r="AU3058" s="235" t="s">
        <v>634</v>
      </c>
      <c r="AV3058" s="246" t="s">
        <v>635</v>
      </c>
      <c r="AW3058" s="227"/>
      <c r="AX3058" s="227"/>
      <c r="AY3058" s="227"/>
      <c r="AZ3058" s="227"/>
      <c r="BA3058" s="227"/>
      <c r="BB3058" s="227"/>
      <c r="BC3058" s="227"/>
      <c r="BD3058" s="227"/>
      <c r="BE3058" s="227"/>
      <c r="BF3058" s="227"/>
    </row>
    <row r="3059">
      <c r="A3059" s="235" t="s">
        <v>23160</v>
      </c>
      <c r="C3059" s="235" t="s">
        <v>23161</v>
      </c>
      <c r="D3059" s="235" t="s">
        <v>23162</v>
      </c>
      <c r="E3059" s="243">
        <v>6.51E13</v>
      </c>
      <c r="F3059" s="245"/>
      <c r="G3059" s="235" t="s">
        <v>23163</v>
      </c>
      <c r="H3059" s="235" t="s">
        <v>23164</v>
      </c>
      <c r="I3059" s="235" t="s">
        <v>23164</v>
      </c>
      <c r="J3059" s="235" t="s">
        <v>23165</v>
      </c>
      <c r="K3059" s="235" t="s">
        <v>23166</v>
      </c>
      <c r="N3059" s="235" t="s">
        <v>92</v>
      </c>
      <c r="O3059" s="235" t="s">
        <v>248</v>
      </c>
      <c r="P3059" s="238">
        <v>1.0</v>
      </c>
      <c r="Q3059" s="235" t="s">
        <v>627</v>
      </c>
      <c r="R3059" s="238">
        <v>233.34</v>
      </c>
      <c r="S3059" s="238">
        <v>11.32</v>
      </c>
      <c r="T3059" s="238">
        <v>0.0</v>
      </c>
      <c r="U3059" s="238">
        <v>0.0</v>
      </c>
      <c r="V3059" s="238">
        <v>0.0</v>
      </c>
      <c r="W3059" s="238">
        <v>0.0</v>
      </c>
      <c r="X3059" s="235" t="s">
        <v>628</v>
      </c>
      <c r="Z3059" s="245"/>
      <c r="AA3059" s="245"/>
      <c r="AB3059" s="245"/>
      <c r="AC3059" s="235" t="s">
        <v>844</v>
      </c>
      <c r="AD3059" s="235" t="s">
        <v>845</v>
      </c>
      <c r="AE3059" s="238">
        <v>411048.0</v>
      </c>
      <c r="AF3059" s="235" t="s">
        <v>631</v>
      </c>
      <c r="AG3059" s="245"/>
      <c r="AH3059" s="245"/>
      <c r="AI3059" s="245"/>
      <c r="AJ3059" s="245"/>
      <c r="AK3059" s="245"/>
      <c r="AL3059" s="245"/>
      <c r="AM3059" s="245"/>
      <c r="AN3059" s="245"/>
      <c r="AO3059" s="238">
        <v>-7.01</v>
      </c>
      <c r="AP3059" s="238">
        <v>0.0</v>
      </c>
      <c r="AQ3059" s="235" t="s">
        <v>1328</v>
      </c>
      <c r="AR3059" s="243">
        <v>1.34E13</v>
      </c>
      <c r="AS3059" s="235" t="s">
        <v>13822</v>
      </c>
      <c r="AT3059" s="235" t="s">
        <v>546</v>
      </c>
      <c r="AU3059" s="235" t="s">
        <v>634</v>
      </c>
      <c r="AV3059" s="246" t="s">
        <v>635</v>
      </c>
      <c r="AW3059" s="227"/>
      <c r="AX3059" s="227"/>
      <c r="AY3059" s="227"/>
      <c r="AZ3059" s="227"/>
      <c r="BA3059" s="227"/>
      <c r="BB3059" s="227"/>
      <c r="BC3059" s="227"/>
      <c r="BD3059" s="227"/>
      <c r="BE3059" s="227"/>
      <c r="BF3059" s="227"/>
    </row>
    <row r="3060">
      <c r="A3060" s="235" t="s">
        <v>23160</v>
      </c>
      <c r="C3060" s="235" t="s">
        <v>23161</v>
      </c>
      <c r="D3060" s="235" t="s">
        <v>23167</v>
      </c>
      <c r="E3060" s="243">
        <v>6.51E13</v>
      </c>
      <c r="F3060" s="245"/>
      <c r="G3060" s="235" t="s">
        <v>23163</v>
      </c>
      <c r="H3060" s="235" t="s">
        <v>23164</v>
      </c>
      <c r="I3060" s="235" t="s">
        <v>23164</v>
      </c>
      <c r="J3060" s="235" t="s">
        <v>23165</v>
      </c>
      <c r="K3060" s="235" t="s">
        <v>23166</v>
      </c>
      <c r="N3060" s="235" t="s">
        <v>92</v>
      </c>
      <c r="O3060" s="235" t="s">
        <v>248</v>
      </c>
      <c r="P3060" s="238">
        <v>1.0</v>
      </c>
      <c r="Q3060" s="235" t="s">
        <v>627</v>
      </c>
      <c r="R3060" s="238">
        <v>233.34</v>
      </c>
      <c r="S3060" s="238">
        <v>11.32</v>
      </c>
      <c r="T3060" s="238">
        <v>0.0</v>
      </c>
      <c r="U3060" s="238">
        <v>0.0</v>
      </c>
      <c r="V3060" s="238">
        <v>0.0</v>
      </c>
      <c r="W3060" s="238">
        <v>0.0</v>
      </c>
      <c r="X3060" s="235" t="s">
        <v>628</v>
      </c>
      <c r="Z3060" s="245"/>
      <c r="AA3060" s="245"/>
      <c r="AB3060" s="245"/>
      <c r="AC3060" s="235" t="s">
        <v>844</v>
      </c>
      <c r="AD3060" s="235" t="s">
        <v>845</v>
      </c>
      <c r="AE3060" s="238">
        <v>411048.0</v>
      </c>
      <c r="AF3060" s="235" t="s">
        <v>631</v>
      </c>
      <c r="AG3060" s="245"/>
      <c r="AH3060" s="245"/>
      <c r="AI3060" s="245"/>
      <c r="AJ3060" s="245"/>
      <c r="AK3060" s="245"/>
      <c r="AL3060" s="245"/>
      <c r="AM3060" s="245"/>
      <c r="AN3060" s="245"/>
      <c r="AO3060" s="238">
        <v>-7.01</v>
      </c>
      <c r="AP3060" s="238">
        <v>0.0</v>
      </c>
      <c r="AQ3060" s="235" t="s">
        <v>1328</v>
      </c>
      <c r="AR3060" s="243">
        <v>1.34E13</v>
      </c>
      <c r="AS3060" s="235" t="s">
        <v>13822</v>
      </c>
      <c r="AT3060" s="235" t="s">
        <v>546</v>
      </c>
      <c r="AU3060" s="235" t="s">
        <v>634</v>
      </c>
      <c r="AV3060" s="246" t="s">
        <v>635</v>
      </c>
      <c r="AW3060" s="227"/>
      <c r="AX3060" s="227"/>
      <c r="AY3060" s="227"/>
      <c r="AZ3060" s="227"/>
      <c r="BA3060" s="227"/>
      <c r="BB3060" s="227"/>
      <c r="BC3060" s="227"/>
      <c r="BD3060" s="227"/>
      <c r="BE3060" s="227"/>
      <c r="BF3060" s="227"/>
    </row>
    <row r="3061">
      <c r="A3061" s="235" t="s">
        <v>23168</v>
      </c>
      <c r="C3061" s="235" t="s">
        <v>23169</v>
      </c>
      <c r="D3061" s="235" t="s">
        <v>23170</v>
      </c>
      <c r="E3061" s="243">
        <v>6.52E13</v>
      </c>
      <c r="F3061" s="245"/>
      <c r="G3061" s="235" t="s">
        <v>23171</v>
      </c>
      <c r="H3061" s="235" t="s">
        <v>23172</v>
      </c>
      <c r="I3061" s="235" t="s">
        <v>23173</v>
      </c>
      <c r="J3061" s="235" t="s">
        <v>23174</v>
      </c>
      <c r="K3061" s="235" t="s">
        <v>23175</v>
      </c>
      <c r="N3061" s="235" t="s">
        <v>71</v>
      </c>
      <c r="O3061" s="235" t="s">
        <v>240</v>
      </c>
      <c r="P3061" s="238">
        <v>1.0</v>
      </c>
      <c r="Q3061" s="235" t="s">
        <v>627</v>
      </c>
      <c r="R3061" s="238">
        <v>246.66</v>
      </c>
      <c r="S3061" s="238">
        <v>12.34</v>
      </c>
      <c r="T3061" s="238">
        <v>0.0</v>
      </c>
      <c r="U3061" s="238">
        <v>0.0</v>
      </c>
      <c r="V3061" s="238">
        <v>0.0</v>
      </c>
      <c r="W3061" s="238">
        <v>0.0</v>
      </c>
      <c r="X3061" s="235" t="s">
        <v>628</v>
      </c>
      <c r="Z3061" s="245"/>
      <c r="AA3061" s="245"/>
      <c r="AB3061" s="245"/>
      <c r="AC3061" s="235" t="s">
        <v>1910</v>
      </c>
      <c r="AD3061" s="235" t="s">
        <v>928</v>
      </c>
      <c r="AE3061" s="238">
        <v>122505.0</v>
      </c>
      <c r="AF3061" s="235" t="s">
        <v>631</v>
      </c>
      <c r="AG3061" s="245"/>
      <c r="AH3061" s="245"/>
      <c r="AI3061" s="245"/>
      <c r="AJ3061" s="245"/>
      <c r="AK3061" s="245"/>
      <c r="AL3061" s="245"/>
      <c r="AM3061" s="245"/>
      <c r="AN3061" s="245"/>
      <c r="AO3061" s="238">
        <v>0.0</v>
      </c>
      <c r="AP3061" s="238">
        <v>0.0</v>
      </c>
      <c r="AQ3061" s="235" t="s">
        <v>632</v>
      </c>
      <c r="AR3061" s="243">
        <v>3.71E11</v>
      </c>
      <c r="AS3061" s="235" t="s">
        <v>22269</v>
      </c>
      <c r="AT3061" s="235" t="s">
        <v>13</v>
      </c>
      <c r="AU3061" s="235" t="s">
        <v>634</v>
      </c>
      <c r="AV3061" s="246" t="s">
        <v>635</v>
      </c>
      <c r="AW3061" s="227"/>
      <c r="AX3061" s="227"/>
      <c r="AY3061" s="227"/>
      <c r="AZ3061" s="227"/>
      <c r="BA3061" s="227"/>
      <c r="BB3061" s="227"/>
      <c r="BC3061" s="227"/>
      <c r="BD3061" s="227"/>
      <c r="BE3061" s="227"/>
      <c r="BF3061" s="227"/>
    </row>
    <row r="3062">
      <c r="A3062" s="235" t="s">
        <v>23176</v>
      </c>
      <c r="C3062" s="235" t="s">
        <v>23177</v>
      </c>
      <c r="D3062" s="235" t="s">
        <v>23178</v>
      </c>
      <c r="E3062" s="243">
        <v>6.53E13</v>
      </c>
      <c r="F3062" s="245"/>
      <c r="G3062" s="235" t="s">
        <v>23179</v>
      </c>
      <c r="H3062" s="235" t="s">
        <v>23180</v>
      </c>
      <c r="I3062" s="235" t="s">
        <v>23180</v>
      </c>
      <c r="J3062" s="235" t="s">
        <v>23181</v>
      </c>
      <c r="K3062" s="235" t="s">
        <v>23182</v>
      </c>
      <c r="N3062" s="235" t="s">
        <v>136</v>
      </c>
      <c r="O3062" s="235" t="s">
        <v>256</v>
      </c>
      <c r="P3062" s="238">
        <v>1.0</v>
      </c>
      <c r="Q3062" s="235" t="s">
        <v>627</v>
      </c>
      <c r="R3062" s="238">
        <v>244.76</v>
      </c>
      <c r="S3062" s="238">
        <v>11.87</v>
      </c>
      <c r="T3062" s="238">
        <v>0.0</v>
      </c>
      <c r="U3062" s="238">
        <v>0.0</v>
      </c>
      <c r="V3062" s="238">
        <v>0.0</v>
      </c>
      <c r="W3062" s="238">
        <v>0.0</v>
      </c>
      <c r="X3062" s="235" t="s">
        <v>628</v>
      </c>
      <c r="Z3062" s="245"/>
      <c r="AA3062" s="245"/>
      <c r="AB3062" s="245"/>
      <c r="AC3062" s="235" t="s">
        <v>5923</v>
      </c>
      <c r="AD3062" s="235" t="s">
        <v>666</v>
      </c>
      <c r="AE3062" s="238">
        <v>620019.0</v>
      </c>
      <c r="AF3062" s="235" t="s">
        <v>631</v>
      </c>
      <c r="AG3062" s="245"/>
      <c r="AH3062" s="245"/>
      <c r="AI3062" s="245"/>
      <c r="AJ3062" s="245"/>
      <c r="AK3062" s="245"/>
      <c r="AL3062" s="245"/>
      <c r="AM3062" s="245"/>
      <c r="AN3062" s="245"/>
      <c r="AO3062" s="238">
        <v>-7.34</v>
      </c>
      <c r="AP3062" s="238">
        <v>0.0</v>
      </c>
      <c r="AQ3062" s="235" t="s">
        <v>632</v>
      </c>
      <c r="AR3062" s="243">
        <v>1.68E11</v>
      </c>
      <c r="AS3062" s="235" t="s">
        <v>22269</v>
      </c>
      <c r="AT3062" s="235" t="s">
        <v>9</v>
      </c>
      <c r="AU3062" s="235" t="s">
        <v>634</v>
      </c>
      <c r="AV3062" s="246" t="s">
        <v>635</v>
      </c>
      <c r="AW3062" s="227"/>
      <c r="AX3062" s="227"/>
      <c r="AY3062" s="227"/>
      <c r="AZ3062" s="227"/>
      <c r="BA3062" s="227"/>
      <c r="BB3062" s="227"/>
      <c r="BC3062" s="227"/>
      <c r="BD3062" s="227"/>
      <c r="BE3062" s="227"/>
      <c r="BF3062" s="227"/>
    </row>
    <row r="3063">
      <c r="A3063" s="235" t="s">
        <v>23176</v>
      </c>
      <c r="C3063" s="235" t="s">
        <v>23177</v>
      </c>
      <c r="D3063" s="235" t="s">
        <v>23183</v>
      </c>
      <c r="E3063" s="243">
        <v>6.53E13</v>
      </c>
      <c r="F3063" s="245"/>
      <c r="G3063" s="235" t="s">
        <v>23179</v>
      </c>
      <c r="H3063" s="235" t="s">
        <v>23180</v>
      </c>
      <c r="I3063" s="235" t="s">
        <v>23180</v>
      </c>
      <c r="J3063" s="235" t="s">
        <v>23181</v>
      </c>
      <c r="K3063" s="235" t="s">
        <v>23182</v>
      </c>
      <c r="N3063" s="235" t="s">
        <v>136</v>
      </c>
      <c r="O3063" s="235" t="s">
        <v>256</v>
      </c>
      <c r="P3063" s="238">
        <v>1.0</v>
      </c>
      <c r="Q3063" s="235" t="s">
        <v>627</v>
      </c>
      <c r="R3063" s="238">
        <v>244.76</v>
      </c>
      <c r="S3063" s="238">
        <v>11.87</v>
      </c>
      <c r="T3063" s="238">
        <v>0.0</v>
      </c>
      <c r="U3063" s="238">
        <v>0.0</v>
      </c>
      <c r="V3063" s="238">
        <v>0.0</v>
      </c>
      <c r="W3063" s="238">
        <v>0.0</v>
      </c>
      <c r="X3063" s="235" t="s">
        <v>628</v>
      </c>
      <c r="Z3063" s="245"/>
      <c r="AA3063" s="245"/>
      <c r="AB3063" s="245"/>
      <c r="AC3063" s="235" t="s">
        <v>5923</v>
      </c>
      <c r="AD3063" s="235" t="s">
        <v>666</v>
      </c>
      <c r="AE3063" s="238">
        <v>620019.0</v>
      </c>
      <c r="AF3063" s="235" t="s">
        <v>631</v>
      </c>
      <c r="AG3063" s="245"/>
      <c r="AH3063" s="245"/>
      <c r="AI3063" s="245"/>
      <c r="AJ3063" s="245"/>
      <c r="AK3063" s="245"/>
      <c r="AL3063" s="245"/>
      <c r="AM3063" s="245"/>
      <c r="AN3063" s="245"/>
      <c r="AO3063" s="238">
        <v>-7.34</v>
      </c>
      <c r="AP3063" s="238">
        <v>0.0</v>
      </c>
      <c r="AQ3063" s="235" t="s">
        <v>632</v>
      </c>
      <c r="AR3063" s="243">
        <v>1.68E11</v>
      </c>
      <c r="AS3063" s="235" t="s">
        <v>22269</v>
      </c>
      <c r="AT3063" s="235" t="s">
        <v>9</v>
      </c>
      <c r="AU3063" s="235" t="s">
        <v>634</v>
      </c>
      <c r="AV3063" s="246" t="s">
        <v>635</v>
      </c>
      <c r="AW3063" s="227"/>
      <c r="AX3063" s="227"/>
      <c r="AY3063" s="227"/>
      <c r="AZ3063" s="227"/>
      <c r="BA3063" s="227"/>
      <c r="BB3063" s="227"/>
      <c r="BC3063" s="227"/>
      <c r="BD3063" s="227"/>
      <c r="BE3063" s="227"/>
      <c r="BF3063" s="227"/>
    </row>
    <row r="3064">
      <c r="A3064" s="235" t="s">
        <v>23184</v>
      </c>
      <c r="C3064" s="235" t="s">
        <v>23185</v>
      </c>
      <c r="D3064" s="235" t="s">
        <v>23186</v>
      </c>
      <c r="E3064" s="243">
        <v>6.52E13</v>
      </c>
      <c r="F3064" s="245"/>
      <c r="G3064" s="235" t="s">
        <v>23187</v>
      </c>
      <c r="H3064" s="235" t="s">
        <v>23188</v>
      </c>
      <c r="I3064" s="235" t="s">
        <v>23188</v>
      </c>
      <c r="J3064" s="235" t="s">
        <v>23189</v>
      </c>
      <c r="K3064" s="235" t="s">
        <v>23190</v>
      </c>
      <c r="N3064" s="235" t="s">
        <v>842</v>
      </c>
      <c r="O3064" s="235" t="s">
        <v>843</v>
      </c>
      <c r="P3064" s="238">
        <v>1.0</v>
      </c>
      <c r="Q3064" s="235" t="s">
        <v>627</v>
      </c>
      <c r="R3064" s="238">
        <v>246.66</v>
      </c>
      <c r="S3064" s="238">
        <v>12.1</v>
      </c>
      <c r="T3064" s="238">
        <v>0.0</v>
      </c>
      <c r="U3064" s="238">
        <v>0.0</v>
      </c>
      <c r="V3064" s="238">
        <v>0.0</v>
      </c>
      <c r="W3064" s="238">
        <v>0.0</v>
      </c>
      <c r="X3064" s="235" t="s">
        <v>628</v>
      </c>
      <c r="Z3064" s="245"/>
      <c r="AA3064" s="245"/>
      <c r="AB3064" s="245"/>
      <c r="AC3064" s="235" t="s">
        <v>1255</v>
      </c>
      <c r="AD3064" s="235" t="s">
        <v>845</v>
      </c>
      <c r="AE3064" s="238">
        <v>400607.0</v>
      </c>
      <c r="AF3064" s="235" t="s">
        <v>631</v>
      </c>
      <c r="AG3064" s="245"/>
      <c r="AH3064" s="245"/>
      <c r="AI3064" s="245"/>
      <c r="AJ3064" s="245"/>
      <c r="AK3064" s="245"/>
      <c r="AL3064" s="245"/>
      <c r="AM3064" s="245"/>
      <c r="AN3064" s="245"/>
      <c r="AO3064" s="238">
        <v>-4.94</v>
      </c>
      <c r="AP3064" s="238">
        <v>0.0</v>
      </c>
      <c r="AQ3064" s="235" t="s">
        <v>632</v>
      </c>
      <c r="AR3064" s="243">
        <v>3.71E11</v>
      </c>
      <c r="AS3064" s="235" t="s">
        <v>22269</v>
      </c>
      <c r="AT3064" s="235" t="s">
        <v>17</v>
      </c>
      <c r="AU3064" s="235" t="s">
        <v>634</v>
      </c>
      <c r="AV3064" s="246" t="s">
        <v>635</v>
      </c>
      <c r="AW3064" s="227"/>
      <c r="AX3064" s="227"/>
      <c r="AY3064" s="227"/>
      <c r="AZ3064" s="227"/>
      <c r="BA3064" s="227"/>
      <c r="BB3064" s="227"/>
      <c r="BC3064" s="227"/>
      <c r="BD3064" s="227"/>
      <c r="BE3064" s="227"/>
      <c r="BF3064" s="227"/>
    </row>
    <row r="3065">
      <c r="A3065" s="235" t="s">
        <v>23191</v>
      </c>
      <c r="C3065" s="235" t="s">
        <v>23192</v>
      </c>
      <c r="D3065" s="235" t="s">
        <v>23193</v>
      </c>
      <c r="E3065" s="243">
        <v>6.52E13</v>
      </c>
      <c r="F3065" s="245"/>
      <c r="G3065" s="235" t="s">
        <v>23194</v>
      </c>
      <c r="H3065" s="235" t="s">
        <v>23195</v>
      </c>
      <c r="I3065" s="235" t="s">
        <v>23195</v>
      </c>
      <c r="J3065" s="235" t="s">
        <v>23196</v>
      </c>
      <c r="K3065" s="235" t="s">
        <v>23197</v>
      </c>
      <c r="N3065" s="235" t="s">
        <v>127</v>
      </c>
      <c r="O3065" s="235" t="s">
        <v>794</v>
      </c>
      <c r="P3065" s="238">
        <v>1.0</v>
      </c>
      <c r="Q3065" s="235" t="s">
        <v>627</v>
      </c>
      <c r="R3065" s="238">
        <v>242.86</v>
      </c>
      <c r="S3065" s="238">
        <v>11.9</v>
      </c>
      <c r="T3065" s="238">
        <v>0.0</v>
      </c>
      <c r="U3065" s="238">
        <v>0.0</v>
      </c>
      <c r="V3065" s="238">
        <v>0.0</v>
      </c>
      <c r="W3065" s="238">
        <v>0.0</v>
      </c>
      <c r="X3065" s="235" t="s">
        <v>628</v>
      </c>
      <c r="Z3065" s="245"/>
      <c r="AA3065" s="245"/>
      <c r="AB3065" s="245"/>
      <c r="AC3065" s="235" t="s">
        <v>23198</v>
      </c>
      <c r="AD3065" s="235" t="s">
        <v>630</v>
      </c>
      <c r="AE3065" s="238">
        <v>244412.0</v>
      </c>
      <c r="AF3065" s="235" t="s">
        <v>631</v>
      </c>
      <c r="AG3065" s="245"/>
      <c r="AH3065" s="245"/>
      <c r="AI3065" s="245"/>
      <c r="AJ3065" s="245"/>
      <c r="AK3065" s="245"/>
      <c r="AL3065" s="245"/>
      <c r="AM3065" s="245"/>
      <c r="AN3065" s="245"/>
      <c r="AO3065" s="238">
        <v>-4.86</v>
      </c>
      <c r="AP3065" s="238">
        <v>0.0</v>
      </c>
      <c r="AQ3065" s="235" t="s">
        <v>632</v>
      </c>
      <c r="AR3065" s="243">
        <v>3.71E11</v>
      </c>
      <c r="AS3065" s="235" t="s">
        <v>20529</v>
      </c>
      <c r="AT3065" s="235" t="s">
        <v>533</v>
      </c>
      <c r="AU3065" s="235" t="s">
        <v>634</v>
      </c>
      <c r="AV3065" s="246" t="s">
        <v>635</v>
      </c>
      <c r="AW3065" s="227"/>
      <c r="AX3065" s="227"/>
      <c r="AY3065" s="227"/>
      <c r="AZ3065" s="227"/>
      <c r="BA3065" s="227"/>
      <c r="BB3065" s="227"/>
      <c r="BC3065" s="227"/>
      <c r="BD3065" s="227"/>
      <c r="BE3065" s="227"/>
      <c r="BF3065" s="227"/>
    </row>
    <row r="3066">
      <c r="A3066" s="235" t="s">
        <v>23199</v>
      </c>
      <c r="C3066" s="235" t="s">
        <v>23200</v>
      </c>
      <c r="D3066" s="235" t="s">
        <v>23201</v>
      </c>
      <c r="E3066" s="243">
        <v>6.52E13</v>
      </c>
      <c r="F3066" s="245"/>
      <c r="G3066" s="235" t="s">
        <v>23202</v>
      </c>
      <c r="H3066" s="235" t="s">
        <v>23203</v>
      </c>
      <c r="I3066" s="235" t="s">
        <v>23203</v>
      </c>
      <c r="J3066" s="235" t="s">
        <v>23204</v>
      </c>
      <c r="K3066" s="235" t="s">
        <v>23205</v>
      </c>
      <c r="N3066" s="235" t="s">
        <v>51</v>
      </c>
      <c r="O3066" s="235" t="s">
        <v>273</v>
      </c>
      <c r="P3066" s="238">
        <v>1.0</v>
      </c>
      <c r="Q3066" s="235" t="s">
        <v>627</v>
      </c>
      <c r="R3066" s="238">
        <v>233.33</v>
      </c>
      <c r="S3066" s="238">
        <v>11.67</v>
      </c>
      <c r="T3066" s="238">
        <v>0.0</v>
      </c>
      <c r="U3066" s="238">
        <v>0.0</v>
      </c>
      <c r="V3066" s="238">
        <v>0.0</v>
      </c>
      <c r="W3066" s="238">
        <v>0.0</v>
      </c>
      <c r="X3066" s="235" t="s">
        <v>628</v>
      </c>
      <c r="Z3066" s="245"/>
      <c r="AA3066" s="245"/>
      <c r="AB3066" s="245"/>
      <c r="AC3066" s="235" t="s">
        <v>891</v>
      </c>
      <c r="AD3066" s="235" t="s">
        <v>891</v>
      </c>
      <c r="AE3066" s="238">
        <v>605004.0</v>
      </c>
      <c r="AF3066" s="235" t="s">
        <v>631</v>
      </c>
      <c r="AG3066" s="245"/>
      <c r="AH3066" s="245"/>
      <c r="AI3066" s="245"/>
      <c r="AJ3066" s="245"/>
      <c r="AK3066" s="245"/>
      <c r="AL3066" s="245"/>
      <c r="AM3066" s="245"/>
      <c r="AN3066" s="245"/>
      <c r="AO3066" s="238">
        <v>0.0</v>
      </c>
      <c r="AP3066" s="238">
        <v>0.0</v>
      </c>
      <c r="AQ3066" s="235" t="s">
        <v>632</v>
      </c>
      <c r="AR3066" s="243">
        <v>1.68E11</v>
      </c>
      <c r="AS3066" s="235" t="s">
        <v>22548</v>
      </c>
      <c r="AT3066" s="235" t="s">
        <v>156</v>
      </c>
      <c r="AU3066" s="235" t="s">
        <v>634</v>
      </c>
      <c r="AV3066" s="246" t="s">
        <v>635</v>
      </c>
      <c r="AW3066" s="227"/>
      <c r="AX3066" s="227"/>
      <c r="AY3066" s="227"/>
      <c r="AZ3066" s="227"/>
      <c r="BA3066" s="227"/>
      <c r="BB3066" s="227"/>
      <c r="BC3066" s="227"/>
      <c r="BD3066" s="227"/>
      <c r="BE3066" s="227"/>
      <c r="BF3066" s="227"/>
    </row>
    <row r="3067">
      <c r="A3067" s="235" t="s">
        <v>23206</v>
      </c>
      <c r="C3067" s="235" t="s">
        <v>23207</v>
      </c>
      <c r="D3067" s="235" t="s">
        <v>23208</v>
      </c>
      <c r="E3067" s="243">
        <v>6.53E13</v>
      </c>
      <c r="F3067" s="245"/>
      <c r="G3067" s="235" t="s">
        <v>23209</v>
      </c>
      <c r="H3067" s="235" t="s">
        <v>23210</v>
      </c>
      <c r="I3067" s="235" t="s">
        <v>23210</v>
      </c>
      <c r="J3067" s="235" t="s">
        <v>23211</v>
      </c>
      <c r="K3067" s="235" t="s">
        <v>23212</v>
      </c>
      <c r="N3067" s="235" t="s">
        <v>143</v>
      </c>
      <c r="O3067" s="235" t="s">
        <v>220</v>
      </c>
      <c r="P3067" s="238">
        <v>1.0</v>
      </c>
      <c r="Q3067" s="235" t="s">
        <v>627</v>
      </c>
      <c r="R3067" s="238">
        <v>242.86</v>
      </c>
      <c r="S3067" s="238">
        <v>12.14</v>
      </c>
      <c r="T3067" s="238">
        <v>38.1</v>
      </c>
      <c r="U3067" s="238">
        <v>1.9</v>
      </c>
      <c r="V3067" s="238">
        <v>0.0</v>
      </c>
      <c r="W3067" s="238">
        <v>0.0</v>
      </c>
      <c r="X3067" s="235" t="s">
        <v>628</v>
      </c>
      <c r="Z3067" s="245"/>
      <c r="AA3067" s="245"/>
      <c r="AB3067" s="245"/>
      <c r="AC3067" s="235" t="s">
        <v>795</v>
      </c>
      <c r="AD3067" s="235" t="s">
        <v>796</v>
      </c>
      <c r="AE3067" s="238">
        <v>110021.0</v>
      </c>
      <c r="AF3067" s="235" t="s">
        <v>631</v>
      </c>
      <c r="AG3067" s="245"/>
      <c r="AH3067" s="245"/>
      <c r="AI3067" s="245"/>
      <c r="AJ3067" s="245"/>
      <c r="AK3067" s="245"/>
      <c r="AL3067" s="245"/>
      <c r="AM3067" s="245"/>
      <c r="AN3067" s="245"/>
      <c r="AO3067" s="238">
        <v>0.0</v>
      </c>
      <c r="AP3067" s="238">
        <v>-38.1</v>
      </c>
      <c r="AQ3067" s="235" t="s">
        <v>632</v>
      </c>
      <c r="AR3067" s="243">
        <v>3.71E11</v>
      </c>
      <c r="AS3067" s="235" t="s">
        <v>17988</v>
      </c>
      <c r="AT3067" s="235" t="s">
        <v>9</v>
      </c>
      <c r="AU3067" s="235" t="s">
        <v>634</v>
      </c>
      <c r="AV3067" s="246" t="s">
        <v>635</v>
      </c>
      <c r="AW3067" s="227"/>
      <c r="AX3067" s="227"/>
      <c r="AY3067" s="227"/>
      <c r="AZ3067" s="227"/>
      <c r="BA3067" s="227"/>
      <c r="BB3067" s="227"/>
      <c r="BC3067" s="227"/>
      <c r="BD3067" s="227"/>
      <c r="BE3067" s="227"/>
      <c r="BF3067" s="227"/>
    </row>
    <row r="3068">
      <c r="A3068" s="235" t="s">
        <v>23213</v>
      </c>
      <c r="C3068" s="235" t="s">
        <v>23214</v>
      </c>
      <c r="D3068" s="235" t="s">
        <v>23215</v>
      </c>
      <c r="E3068" s="243">
        <v>6.52E13</v>
      </c>
      <c r="F3068" s="245"/>
      <c r="G3068" s="235" t="s">
        <v>23216</v>
      </c>
      <c r="H3068" s="235" t="s">
        <v>23217</v>
      </c>
      <c r="I3068" s="235" t="s">
        <v>23217</v>
      </c>
      <c r="J3068" s="235" t="s">
        <v>23218</v>
      </c>
      <c r="K3068" s="235" t="s">
        <v>23219</v>
      </c>
      <c r="N3068" s="235" t="s">
        <v>92</v>
      </c>
      <c r="O3068" s="235" t="s">
        <v>248</v>
      </c>
      <c r="P3068" s="238">
        <v>1.0</v>
      </c>
      <c r="Q3068" s="235" t="s">
        <v>627</v>
      </c>
      <c r="R3068" s="238">
        <v>246.66</v>
      </c>
      <c r="S3068" s="238">
        <v>12.34</v>
      </c>
      <c r="T3068" s="238">
        <v>38.1</v>
      </c>
      <c r="U3068" s="238">
        <v>1.9</v>
      </c>
      <c r="V3068" s="238">
        <v>0.0</v>
      </c>
      <c r="W3068" s="238">
        <v>0.0</v>
      </c>
      <c r="X3068" s="235" t="s">
        <v>628</v>
      </c>
      <c r="Z3068" s="245"/>
      <c r="AA3068" s="245"/>
      <c r="AB3068" s="245"/>
      <c r="AC3068" s="235" t="s">
        <v>687</v>
      </c>
      <c r="AD3068" s="235" t="s">
        <v>666</v>
      </c>
      <c r="AE3068" s="238">
        <v>600107.0</v>
      </c>
      <c r="AF3068" s="235" t="s">
        <v>631</v>
      </c>
      <c r="AG3068" s="245"/>
      <c r="AH3068" s="245"/>
      <c r="AI3068" s="245"/>
      <c r="AJ3068" s="245"/>
      <c r="AK3068" s="245"/>
      <c r="AL3068" s="245"/>
      <c r="AM3068" s="245"/>
      <c r="AN3068" s="245"/>
      <c r="AO3068" s="238">
        <v>0.0</v>
      </c>
      <c r="AP3068" s="238">
        <v>-38.1</v>
      </c>
      <c r="AQ3068" s="235" t="s">
        <v>632</v>
      </c>
      <c r="AR3068" s="243">
        <v>3.71E11</v>
      </c>
      <c r="AS3068" s="235" t="s">
        <v>22269</v>
      </c>
      <c r="AT3068" s="235" t="s">
        <v>156</v>
      </c>
      <c r="AU3068" s="235" t="s">
        <v>634</v>
      </c>
      <c r="AV3068" s="246" t="s">
        <v>635</v>
      </c>
      <c r="AW3068" s="227"/>
      <c r="AX3068" s="227"/>
      <c r="AY3068" s="227"/>
      <c r="AZ3068" s="227"/>
      <c r="BA3068" s="227"/>
      <c r="BB3068" s="227"/>
      <c r="BC3068" s="227"/>
      <c r="BD3068" s="227"/>
      <c r="BE3068" s="227"/>
      <c r="BF3068" s="227"/>
    </row>
    <row r="3069">
      <c r="A3069" s="235" t="s">
        <v>23220</v>
      </c>
      <c r="C3069" s="235" t="s">
        <v>23221</v>
      </c>
      <c r="D3069" s="235" t="s">
        <v>23222</v>
      </c>
      <c r="E3069" s="243">
        <v>6.52E13</v>
      </c>
      <c r="F3069" s="245"/>
      <c r="G3069" s="235" t="s">
        <v>23223</v>
      </c>
      <c r="H3069" s="235" t="s">
        <v>23224</v>
      </c>
      <c r="I3069" s="235" t="s">
        <v>23224</v>
      </c>
      <c r="J3069" s="235" t="s">
        <v>23225</v>
      </c>
      <c r="K3069" s="235" t="s">
        <v>23226</v>
      </c>
      <c r="N3069" s="235" t="s">
        <v>68</v>
      </c>
      <c r="O3069" s="235" t="s">
        <v>208</v>
      </c>
      <c r="P3069" s="238">
        <v>1.0</v>
      </c>
      <c r="Q3069" s="235" t="s">
        <v>627</v>
      </c>
      <c r="R3069" s="238">
        <v>246.67</v>
      </c>
      <c r="S3069" s="238">
        <v>12.08</v>
      </c>
      <c r="T3069" s="238">
        <v>38.1</v>
      </c>
      <c r="U3069" s="238">
        <v>1.9</v>
      </c>
      <c r="V3069" s="238">
        <v>0.0</v>
      </c>
      <c r="W3069" s="238">
        <v>0.0</v>
      </c>
      <c r="X3069" s="235" t="s">
        <v>628</v>
      </c>
      <c r="Z3069" s="245"/>
      <c r="AA3069" s="245"/>
      <c r="AB3069" s="245"/>
      <c r="AC3069" s="235" t="s">
        <v>1910</v>
      </c>
      <c r="AD3069" s="235" t="s">
        <v>928</v>
      </c>
      <c r="AE3069" s="238">
        <v>122101.0</v>
      </c>
      <c r="AF3069" s="235" t="s">
        <v>631</v>
      </c>
      <c r="AG3069" s="245"/>
      <c r="AH3069" s="245"/>
      <c r="AI3069" s="245"/>
      <c r="AJ3069" s="245"/>
      <c r="AK3069" s="245"/>
      <c r="AL3069" s="245"/>
      <c r="AM3069" s="245"/>
      <c r="AN3069" s="245"/>
      <c r="AO3069" s="238">
        <v>-4.93</v>
      </c>
      <c r="AP3069" s="238">
        <v>-38.1</v>
      </c>
      <c r="AQ3069" s="235" t="s">
        <v>632</v>
      </c>
      <c r="AR3069" s="243">
        <v>3.71E11</v>
      </c>
      <c r="AS3069" s="235" t="s">
        <v>17988</v>
      </c>
      <c r="AT3069" s="235" t="s">
        <v>11</v>
      </c>
      <c r="AU3069" s="235" t="s">
        <v>634</v>
      </c>
      <c r="AV3069" s="246" t="s">
        <v>635</v>
      </c>
      <c r="AW3069" s="227"/>
      <c r="AX3069" s="227"/>
      <c r="AY3069" s="227"/>
      <c r="AZ3069" s="227"/>
      <c r="BA3069" s="227"/>
      <c r="BB3069" s="227"/>
      <c r="BC3069" s="227"/>
      <c r="BD3069" s="227"/>
      <c r="BE3069" s="227"/>
      <c r="BF3069" s="227"/>
    </row>
    <row r="3070">
      <c r="A3070" s="235" t="s">
        <v>23227</v>
      </c>
      <c r="C3070" s="235" t="s">
        <v>23228</v>
      </c>
      <c r="D3070" s="235" t="s">
        <v>23229</v>
      </c>
      <c r="E3070" s="243">
        <v>6.52E13</v>
      </c>
      <c r="F3070" s="245"/>
      <c r="G3070" s="235" t="s">
        <v>23230</v>
      </c>
      <c r="H3070" s="235" t="s">
        <v>23231</v>
      </c>
      <c r="I3070" s="235" t="s">
        <v>23231</v>
      </c>
      <c r="J3070" s="235" t="s">
        <v>23232</v>
      </c>
      <c r="K3070" s="235" t="s">
        <v>23233</v>
      </c>
      <c r="N3070" s="235" t="s">
        <v>144</v>
      </c>
      <c r="O3070" s="235" t="s">
        <v>232</v>
      </c>
      <c r="P3070" s="238">
        <v>1.0</v>
      </c>
      <c r="Q3070" s="235" t="s">
        <v>627</v>
      </c>
      <c r="R3070" s="238">
        <v>665.71</v>
      </c>
      <c r="S3070" s="238">
        <v>33.29</v>
      </c>
      <c r="T3070" s="238">
        <v>38.1</v>
      </c>
      <c r="U3070" s="238">
        <v>1.9</v>
      </c>
      <c r="V3070" s="238">
        <v>0.0</v>
      </c>
      <c r="W3070" s="238">
        <v>0.0</v>
      </c>
      <c r="X3070" s="235" t="s">
        <v>628</v>
      </c>
      <c r="Z3070" s="245"/>
      <c r="AA3070" s="245"/>
      <c r="AB3070" s="245"/>
      <c r="AC3070" s="235" t="s">
        <v>6307</v>
      </c>
      <c r="AD3070" s="235" t="s">
        <v>881</v>
      </c>
      <c r="AE3070" s="238">
        <v>769015.0</v>
      </c>
      <c r="AF3070" s="235" t="s">
        <v>631</v>
      </c>
      <c r="AG3070" s="245"/>
      <c r="AH3070" s="245"/>
      <c r="AI3070" s="245"/>
      <c r="AJ3070" s="245"/>
      <c r="AK3070" s="245"/>
      <c r="AL3070" s="245"/>
      <c r="AM3070" s="245"/>
      <c r="AN3070" s="245"/>
      <c r="AO3070" s="238">
        <v>0.0</v>
      </c>
      <c r="AP3070" s="238">
        <v>-38.1</v>
      </c>
      <c r="AQ3070" s="235" t="s">
        <v>632</v>
      </c>
      <c r="AR3070" s="243">
        <v>3.71E11</v>
      </c>
      <c r="AS3070" s="235" t="s">
        <v>16626</v>
      </c>
      <c r="AT3070" s="235" t="s">
        <v>533</v>
      </c>
      <c r="AU3070" s="235" t="s">
        <v>634</v>
      </c>
      <c r="AV3070" s="246" t="s">
        <v>635</v>
      </c>
      <c r="AW3070" s="227"/>
      <c r="AX3070" s="227"/>
      <c r="AY3070" s="227"/>
      <c r="AZ3070" s="227"/>
      <c r="BA3070" s="227"/>
      <c r="BB3070" s="227"/>
      <c r="BC3070" s="227"/>
      <c r="BD3070" s="227"/>
      <c r="BE3070" s="227"/>
      <c r="BF3070" s="227"/>
    </row>
    <row r="3071">
      <c r="A3071" s="235" t="s">
        <v>23234</v>
      </c>
      <c r="C3071" s="235" t="s">
        <v>23235</v>
      </c>
      <c r="D3071" s="235" t="s">
        <v>23236</v>
      </c>
      <c r="E3071" s="243">
        <v>6.52E13</v>
      </c>
      <c r="F3071" s="245"/>
      <c r="G3071" s="235" t="s">
        <v>23237</v>
      </c>
      <c r="H3071" s="235" t="s">
        <v>23238</v>
      </c>
      <c r="I3071" s="235" t="s">
        <v>23238</v>
      </c>
      <c r="J3071" s="235" t="s">
        <v>23239</v>
      </c>
      <c r="K3071" s="235" t="s">
        <v>23240</v>
      </c>
      <c r="N3071" s="235" t="s">
        <v>127</v>
      </c>
      <c r="O3071" s="235" t="s">
        <v>794</v>
      </c>
      <c r="P3071" s="238">
        <v>1.0</v>
      </c>
      <c r="Q3071" s="235" t="s">
        <v>627</v>
      </c>
      <c r="R3071" s="238">
        <v>242.86</v>
      </c>
      <c r="S3071" s="238">
        <v>12.14</v>
      </c>
      <c r="T3071" s="238">
        <v>0.0</v>
      </c>
      <c r="U3071" s="238">
        <v>0.0</v>
      </c>
      <c r="V3071" s="238">
        <v>0.0</v>
      </c>
      <c r="W3071" s="238">
        <v>0.0</v>
      </c>
      <c r="X3071" s="235" t="s">
        <v>628</v>
      </c>
      <c r="Z3071" s="245"/>
      <c r="AA3071" s="245"/>
      <c r="AB3071" s="245"/>
      <c r="AC3071" s="235" t="s">
        <v>5679</v>
      </c>
      <c r="AD3071" s="235" t="s">
        <v>679</v>
      </c>
      <c r="AE3071" s="238">
        <v>570023.0</v>
      </c>
      <c r="AF3071" s="235" t="s">
        <v>631</v>
      </c>
      <c r="AG3071" s="245"/>
      <c r="AH3071" s="245"/>
      <c r="AI3071" s="245"/>
      <c r="AJ3071" s="245"/>
      <c r="AK3071" s="245"/>
      <c r="AL3071" s="245"/>
      <c r="AM3071" s="245"/>
      <c r="AN3071" s="245"/>
      <c r="AO3071" s="238">
        <v>0.0</v>
      </c>
      <c r="AP3071" s="238">
        <v>0.0</v>
      </c>
      <c r="AQ3071" s="235" t="s">
        <v>632</v>
      </c>
      <c r="AR3071" s="243">
        <v>1.68E11</v>
      </c>
      <c r="AS3071" s="235" t="s">
        <v>22548</v>
      </c>
      <c r="AT3071" s="235" t="s">
        <v>11</v>
      </c>
      <c r="AU3071" s="235" t="s">
        <v>634</v>
      </c>
      <c r="AV3071" s="246" t="s">
        <v>635</v>
      </c>
      <c r="AW3071" s="227"/>
      <c r="AX3071" s="227"/>
      <c r="AY3071" s="227"/>
      <c r="AZ3071" s="227"/>
      <c r="BA3071" s="227"/>
      <c r="BB3071" s="227"/>
      <c r="BC3071" s="227"/>
      <c r="BD3071" s="227"/>
      <c r="BE3071" s="227"/>
      <c r="BF3071" s="227"/>
    </row>
    <row r="3072">
      <c r="A3072" s="235" t="s">
        <v>23241</v>
      </c>
      <c r="C3072" s="235" t="s">
        <v>23242</v>
      </c>
      <c r="D3072" s="235" t="s">
        <v>23243</v>
      </c>
      <c r="E3072" s="243">
        <v>6.53E13</v>
      </c>
      <c r="F3072" s="245"/>
      <c r="G3072" s="235" t="s">
        <v>23244</v>
      </c>
      <c r="H3072" s="235" t="s">
        <v>23245</v>
      </c>
      <c r="I3072" s="235" t="s">
        <v>23245</v>
      </c>
      <c r="J3072" s="235" t="s">
        <v>23246</v>
      </c>
      <c r="K3072" s="235" t="s">
        <v>23247</v>
      </c>
      <c r="N3072" s="235" t="s">
        <v>127</v>
      </c>
      <c r="O3072" s="235" t="s">
        <v>794</v>
      </c>
      <c r="P3072" s="238">
        <v>1.0</v>
      </c>
      <c r="Q3072" s="235" t="s">
        <v>627</v>
      </c>
      <c r="R3072" s="238">
        <v>242.86</v>
      </c>
      <c r="S3072" s="238">
        <v>12.14</v>
      </c>
      <c r="T3072" s="238">
        <v>0.0</v>
      </c>
      <c r="U3072" s="238">
        <v>0.0</v>
      </c>
      <c r="V3072" s="238">
        <v>0.0</v>
      </c>
      <c r="W3072" s="238">
        <v>0.0</v>
      </c>
      <c r="X3072" s="235" t="s">
        <v>628</v>
      </c>
      <c r="Z3072" s="245"/>
      <c r="AA3072" s="245"/>
      <c r="AB3072" s="245"/>
      <c r="AC3072" s="235" t="s">
        <v>23248</v>
      </c>
      <c r="AD3072" s="235" t="s">
        <v>679</v>
      </c>
      <c r="AE3072" s="238">
        <v>560087.0</v>
      </c>
      <c r="AF3072" s="235" t="s">
        <v>631</v>
      </c>
      <c r="AG3072" s="245"/>
      <c r="AH3072" s="245"/>
      <c r="AI3072" s="245"/>
      <c r="AJ3072" s="245"/>
      <c r="AK3072" s="245"/>
      <c r="AL3072" s="245"/>
      <c r="AM3072" s="245"/>
      <c r="AN3072" s="245"/>
      <c r="AO3072" s="238">
        <v>0.0</v>
      </c>
      <c r="AP3072" s="238">
        <v>0.0</v>
      </c>
      <c r="AQ3072" s="235" t="s">
        <v>632</v>
      </c>
      <c r="AR3072" s="243">
        <v>1.68E11</v>
      </c>
      <c r="AS3072" s="235" t="s">
        <v>22548</v>
      </c>
      <c r="AT3072" s="235" t="s">
        <v>9</v>
      </c>
      <c r="AU3072" s="235" t="s">
        <v>634</v>
      </c>
      <c r="AV3072" s="246" t="s">
        <v>635</v>
      </c>
      <c r="AW3072" s="227"/>
      <c r="AX3072" s="227"/>
      <c r="AY3072" s="227"/>
      <c r="AZ3072" s="227"/>
      <c r="BA3072" s="227"/>
      <c r="BB3072" s="227"/>
      <c r="BC3072" s="227"/>
      <c r="BD3072" s="227"/>
      <c r="BE3072" s="227"/>
      <c r="BF3072" s="227"/>
    </row>
    <row r="3073">
      <c r="A3073" s="235" t="s">
        <v>23249</v>
      </c>
      <c r="C3073" s="235" t="s">
        <v>23250</v>
      </c>
      <c r="D3073" s="235" t="s">
        <v>23251</v>
      </c>
      <c r="E3073" s="243">
        <v>6.52E13</v>
      </c>
      <c r="F3073" s="245"/>
      <c r="G3073" s="235" t="s">
        <v>23252</v>
      </c>
      <c r="H3073" s="235" t="s">
        <v>23253</v>
      </c>
      <c r="I3073" s="235" t="s">
        <v>23253</v>
      </c>
      <c r="J3073" s="235" t="s">
        <v>23254</v>
      </c>
      <c r="K3073" s="235" t="s">
        <v>23255</v>
      </c>
      <c r="N3073" s="235" t="s">
        <v>127</v>
      </c>
      <c r="O3073" s="235" t="s">
        <v>794</v>
      </c>
      <c r="P3073" s="238">
        <v>1.0</v>
      </c>
      <c r="Q3073" s="235" t="s">
        <v>627</v>
      </c>
      <c r="R3073" s="238">
        <v>236.19</v>
      </c>
      <c r="S3073" s="238">
        <v>11.81</v>
      </c>
      <c r="T3073" s="238">
        <v>38.1</v>
      </c>
      <c r="U3073" s="238">
        <v>1.9</v>
      </c>
      <c r="V3073" s="238">
        <v>0.0</v>
      </c>
      <c r="W3073" s="238">
        <v>0.0</v>
      </c>
      <c r="X3073" s="235" t="s">
        <v>628</v>
      </c>
      <c r="Z3073" s="245"/>
      <c r="AA3073" s="245"/>
      <c r="AB3073" s="245"/>
      <c r="AC3073" s="235" t="s">
        <v>23256</v>
      </c>
      <c r="AD3073" s="235" t="s">
        <v>709</v>
      </c>
      <c r="AE3073" s="238">
        <v>811214.0</v>
      </c>
      <c r="AF3073" s="235" t="s">
        <v>631</v>
      </c>
      <c r="AG3073" s="245"/>
      <c r="AH3073" s="245"/>
      <c r="AI3073" s="245"/>
      <c r="AJ3073" s="245"/>
      <c r="AK3073" s="245"/>
      <c r="AL3073" s="245"/>
      <c r="AM3073" s="245"/>
      <c r="AN3073" s="245"/>
      <c r="AO3073" s="238">
        <v>0.0</v>
      </c>
      <c r="AP3073" s="238">
        <v>-38.1</v>
      </c>
      <c r="AQ3073" s="235" t="s">
        <v>632</v>
      </c>
      <c r="AR3073" s="243">
        <v>3.71E11</v>
      </c>
      <c r="AS3073" s="235" t="s">
        <v>17988</v>
      </c>
      <c r="AT3073" s="235" t="s">
        <v>14</v>
      </c>
      <c r="AU3073" s="235" t="s">
        <v>634</v>
      </c>
      <c r="AV3073" s="246" t="s">
        <v>635</v>
      </c>
      <c r="AW3073" s="227"/>
      <c r="AX3073" s="227"/>
      <c r="AY3073" s="227"/>
      <c r="AZ3073" s="227"/>
      <c r="BA3073" s="227"/>
      <c r="BB3073" s="227"/>
      <c r="BC3073" s="227"/>
      <c r="BD3073" s="227"/>
      <c r="BE3073" s="227"/>
      <c r="BF3073" s="227"/>
    </row>
    <row r="3074">
      <c r="A3074" s="235" t="s">
        <v>23257</v>
      </c>
      <c r="C3074" s="235" t="s">
        <v>23258</v>
      </c>
      <c r="D3074" s="235" t="s">
        <v>23259</v>
      </c>
      <c r="E3074" s="243">
        <v>6.52E13</v>
      </c>
      <c r="F3074" s="245"/>
      <c r="G3074" s="235" t="s">
        <v>23260</v>
      </c>
      <c r="H3074" s="235" t="s">
        <v>23261</v>
      </c>
      <c r="I3074" s="235" t="s">
        <v>23261</v>
      </c>
      <c r="J3074" s="235" t="s">
        <v>23262</v>
      </c>
      <c r="K3074" s="235" t="s">
        <v>23263</v>
      </c>
      <c r="N3074" s="235" t="s">
        <v>127</v>
      </c>
      <c r="O3074" s="235" t="s">
        <v>794</v>
      </c>
      <c r="P3074" s="238">
        <v>1.0</v>
      </c>
      <c r="Q3074" s="235" t="s">
        <v>627</v>
      </c>
      <c r="R3074" s="238">
        <v>242.86</v>
      </c>
      <c r="S3074" s="238">
        <v>12.14</v>
      </c>
      <c r="T3074" s="238">
        <v>0.0</v>
      </c>
      <c r="U3074" s="238">
        <v>0.0</v>
      </c>
      <c r="V3074" s="238">
        <v>0.0</v>
      </c>
      <c r="W3074" s="238">
        <v>0.0</v>
      </c>
      <c r="X3074" s="235" t="s">
        <v>628</v>
      </c>
      <c r="Z3074" s="245"/>
      <c r="AA3074" s="245"/>
      <c r="AB3074" s="245"/>
      <c r="AC3074" s="235" t="s">
        <v>678</v>
      </c>
      <c r="AD3074" s="235" t="s">
        <v>679</v>
      </c>
      <c r="AE3074" s="238">
        <v>560021.0</v>
      </c>
      <c r="AF3074" s="235" t="s">
        <v>631</v>
      </c>
      <c r="AG3074" s="245"/>
      <c r="AH3074" s="245"/>
      <c r="AI3074" s="245"/>
      <c r="AJ3074" s="245"/>
      <c r="AK3074" s="245"/>
      <c r="AL3074" s="245"/>
      <c r="AM3074" s="245"/>
      <c r="AN3074" s="245"/>
      <c r="AO3074" s="238">
        <v>0.0</v>
      </c>
      <c r="AP3074" s="238">
        <v>0.0</v>
      </c>
      <c r="AQ3074" s="235" t="s">
        <v>632</v>
      </c>
      <c r="AR3074" s="243">
        <v>1.68E11</v>
      </c>
      <c r="AS3074" s="235" t="s">
        <v>22548</v>
      </c>
      <c r="AT3074" s="235" t="s">
        <v>9</v>
      </c>
      <c r="AU3074" s="235" t="s">
        <v>634</v>
      </c>
      <c r="AV3074" s="246" t="s">
        <v>635</v>
      </c>
      <c r="AW3074" s="227"/>
      <c r="AX3074" s="227"/>
      <c r="AY3074" s="227"/>
      <c r="AZ3074" s="227"/>
      <c r="BA3074" s="227"/>
      <c r="BB3074" s="227"/>
      <c r="BC3074" s="227"/>
      <c r="BD3074" s="227"/>
      <c r="BE3074" s="227"/>
      <c r="BF3074" s="227"/>
    </row>
    <row r="3075">
      <c r="A3075" s="235" t="s">
        <v>23264</v>
      </c>
      <c r="C3075" s="235" t="s">
        <v>23265</v>
      </c>
      <c r="D3075" s="235" t="s">
        <v>23266</v>
      </c>
      <c r="E3075" s="243">
        <v>6.52E13</v>
      </c>
      <c r="F3075" s="245"/>
      <c r="G3075" s="235" t="s">
        <v>23267</v>
      </c>
      <c r="H3075" s="235" t="s">
        <v>23268</v>
      </c>
      <c r="I3075" s="235" t="s">
        <v>23268</v>
      </c>
      <c r="J3075" s="235" t="s">
        <v>23269</v>
      </c>
      <c r="K3075" s="235" t="s">
        <v>23263</v>
      </c>
      <c r="N3075" s="235" t="s">
        <v>127</v>
      </c>
      <c r="O3075" s="235" t="s">
        <v>794</v>
      </c>
      <c r="P3075" s="238">
        <v>1.0</v>
      </c>
      <c r="Q3075" s="235" t="s">
        <v>627</v>
      </c>
      <c r="R3075" s="238">
        <v>242.86</v>
      </c>
      <c r="S3075" s="238">
        <v>12.14</v>
      </c>
      <c r="T3075" s="238">
        <v>0.0</v>
      </c>
      <c r="U3075" s="238">
        <v>0.0</v>
      </c>
      <c r="V3075" s="238">
        <v>0.0</v>
      </c>
      <c r="W3075" s="238">
        <v>0.0</v>
      </c>
      <c r="X3075" s="235" t="s">
        <v>628</v>
      </c>
      <c r="Z3075" s="245"/>
      <c r="AA3075" s="245"/>
      <c r="AB3075" s="245"/>
      <c r="AC3075" s="235" t="s">
        <v>678</v>
      </c>
      <c r="AD3075" s="235" t="s">
        <v>679</v>
      </c>
      <c r="AE3075" s="238">
        <v>560021.0</v>
      </c>
      <c r="AF3075" s="235" t="s">
        <v>631</v>
      </c>
      <c r="AG3075" s="245"/>
      <c r="AH3075" s="245"/>
      <c r="AI3075" s="245"/>
      <c r="AJ3075" s="245"/>
      <c r="AK3075" s="245"/>
      <c r="AL3075" s="245"/>
      <c r="AM3075" s="245"/>
      <c r="AN3075" s="245"/>
      <c r="AO3075" s="238">
        <v>0.0</v>
      </c>
      <c r="AP3075" s="238">
        <v>0.0</v>
      </c>
      <c r="AQ3075" s="235" t="s">
        <v>632</v>
      </c>
      <c r="AR3075" s="243">
        <v>1.68E11</v>
      </c>
      <c r="AS3075" s="235" t="s">
        <v>22548</v>
      </c>
      <c r="AT3075" s="235" t="s">
        <v>9</v>
      </c>
      <c r="AU3075" s="235" t="s">
        <v>634</v>
      </c>
      <c r="AV3075" s="246" t="s">
        <v>635</v>
      </c>
      <c r="AW3075" s="227"/>
      <c r="AX3075" s="227"/>
      <c r="AY3075" s="227"/>
      <c r="AZ3075" s="227"/>
      <c r="BA3075" s="227"/>
      <c r="BB3075" s="227"/>
      <c r="BC3075" s="227"/>
      <c r="BD3075" s="227"/>
      <c r="BE3075" s="227"/>
      <c r="BF3075" s="227"/>
    </row>
    <row r="3076">
      <c r="A3076" s="235" t="s">
        <v>23270</v>
      </c>
      <c r="C3076" s="235" t="s">
        <v>23271</v>
      </c>
      <c r="D3076" s="235" t="s">
        <v>23272</v>
      </c>
      <c r="E3076" s="243">
        <v>6.52E13</v>
      </c>
      <c r="F3076" s="245"/>
      <c r="G3076" s="235" t="s">
        <v>23273</v>
      </c>
      <c r="H3076" s="235" t="s">
        <v>23274</v>
      </c>
      <c r="I3076" s="235" t="s">
        <v>23274</v>
      </c>
      <c r="J3076" s="235" t="s">
        <v>23275</v>
      </c>
      <c r="K3076" s="235" t="s">
        <v>23276</v>
      </c>
      <c r="N3076" s="235" t="s">
        <v>15</v>
      </c>
      <c r="O3076" s="235" t="s">
        <v>856</v>
      </c>
      <c r="P3076" s="238">
        <v>1.0</v>
      </c>
      <c r="Q3076" s="235" t="s">
        <v>627</v>
      </c>
      <c r="R3076" s="238">
        <v>323.81</v>
      </c>
      <c r="S3076" s="238">
        <v>15.7</v>
      </c>
      <c r="T3076" s="238">
        <v>38.1</v>
      </c>
      <c r="U3076" s="238">
        <v>1.9</v>
      </c>
      <c r="V3076" s="238">
        <v>0.0</v>
      </c>
      <c r="W3076" s="238">
        <v>0.0</v>
      </c>
      <c r="X3076" s="235" t="s">
        <v>628</v>
      </c>
      <c r="Z3076" s="245"/>
      <c r="AA3076" s="245"/>
      <c r="AB3076" s="245"/>
      <c r="AC3076" s="235" t="s">
        <v>4845</v>
      </c>
      <c r="AD3076" s="235" t="s">
        <v>1086</v>
      </c>
      <c r="AE3076" s="238">
        <v>144001.0</v>
      </c>
      <c r="AF3076" s="235" t="s">
        <v>631</v>
      </c>
      <c r="AG3076" s="245"/>
      <c r="AH3076" s="245"/>
      <c r="AI3076" s="245"/>
      <c r="AJ3076" s="245"/>
      <c r="AK3076" s="245"/>
      <c r="AL3076" s="245"/>
      <c r="AM3076" s="245"/>
      <c r="AN3076" s="245"/>
      <c r="AO3076" s="238">
        <v>-9.71</v>
      </c>
      <c r="AP3076" s="238">
        <v>-38.1</v>
      </c>
      <c r="AQ3076" s="235" t="s">
        <v>632</v>
      </c>
      <c r="AR3076" s="243">
        <v>3.71E11</v>
      </c>
      <c r="AS3076" s="235" t="s">
        <v>20529</v>
      </c>
      <c r="AT3076" s="235" t="s">
        <v>14</v>
      </c>
      <c r="AU3076" s="235" t="s">
        <v>634</v>
      </c>
      <c r="AV3076" s="246" t="s">
        <v>635</v>
      </c>
      <c r="AW3076" s="227"/>
      <c r="AX3076" s="227"/>
      <c r="AY3076" s="227"/>
      <c r="AZ3076" s="227"/>
      <c r="BA3076" s="227"/>
      <c r="BB3076" s="227"/>
      <c r="BC3076" s="227"/>
      <c r="BD3076" s="227"/>
      <c r="BE3076" s="227"/>
      <c r="BF3076" s="227"/>
    </row>
    <row r="3077">
      <c r="A3077" s="235" t="s">
        <v>23270</v>
      </c>
      <c r="C3077" s="235" t="s">
        <v>23271</v>
      </c>
      <c r="D3077" s="235" t="s">
        <v>23277</v>
      </c>
      <c r="E3077" s="243">
        <v>6.52E13</v>
      </c>
      <c r="F3077" s="245"/>
      <c r="G3077" s="235" t="s">
        <v>23273</v>
      </c>
      <c r="H3077" s="235" t="s">
        <v>23274</v>
      </c>
      <c r="I3077" s="235" t="s">
        <v>23274</v>
      </c>
      <c r="J3077" s="235" t="s">
        <v>23278</v>
      </c>
      <c r="K3077" s="235" t="s">
        <v>23276</v>
      </c>
      <c r="N3077" s="235" t="s">
        <v>15</v>
      </c>
      <c r="O3077" s="235" t="s">
        <v>856</v>
      </c>
      <c r="P3077" s="238">
        <v>1.0</v>
      </c>
      <c r="Q3077" s="235" t="s">
        <v>627</v>
      </c>
      <c r="R3077" s="238">
        <v>323.81</v>
      </c>
      <c r="S3077" s="238">
        <v>15.7</v>
      </c>
      <c r="T3077" s="238">
        <v>38.1</v>
      </c>
      <c r="U3077" s="238">
        <v>1.9</v>
      </c>
      <c r="V3077" s="238">
        <v>0.0</v>
      </c>
      <c r="W3077" s="238">
        <v>0.0</v>
      </c>
      <c r="X3077" s="235" t="s">
        <v>628</v>
      </c>
      <c r="Z3077" s="245"/>
      <c r="AA3077" s="245"/>
      <c r="AB3077" s="245"/>
      <c r="AC3077" s="235" t="s">
        <v>4845</v>
      </c>
      <c r="AD3077" s="235" t="s">
        <v>1086</v>
      </c>
      <c r="AE3077" s="238">
        <v>144001.0</v>
      </c>
      <c r="AF3077" s="235" t="s">
        <v>631</v>
      </c>
      <c r="AG3077" s="245"/>
      <c r="AH3077" s="245"/>
      <c r="AI3077" s="245"/>
      <c r="AJ3077" s="245"/>
      <c r="AK3077" s="245"/>
      <c r="AL3077" s="245"/>
      <c r="AM3077" s="245"/>
      <c r="AN3077" s="245"/>
      <c r="AO3077" s="238">
        <v>-9.71</v>
      </c>
      <c r="AP3077" s="238">
        <v>-38.1</v>
      </c>
      <c r="AQ3077" s="235" t="s">
        <v>632</v>
      </c>
      <c r="AR3077" s="243">
        <v>3.71E11</v>
      </c>
      <c r="AS3077" s="235" t="s">
        <v>20529</v>
      </c>
      <c r="AT3077" s="235" t="s">
        <v>14</v>
      </c>
      <c r="AU3077" s="235" t="s">
        <v>634</v>
      </c>
      <c r="AV3077" s="246" t="s">
        <v>635</v>
      </c>
      <c r="AW3077" s="227"/>
      <c r="AX3077" s="227"/>
      <c r="AY3077" s="227"/>
      <c r="AZ3077" s="227"/>
      <c r="BA3077" s="227"/>
      <c r="BB3077" s="227"/>
      <c r="BC3077" s="227"/>
      <c r="BD3077" s="227"/>
      <c r="BE3077" s="227"/>
      <c r="BF3077" s="227"/>
    </row>
    <row r="3078">
      <c r="A3078" s="235" t="s">
        <v>23279</v>
      </c>
      <c r="C3078" s="235" t="s">
        <v>23280</v>
      </c>
      <c r="D3078" s="235" t="s">
        <v>23281</v>
      </c>
      <c r="E3078" s="243">
        <v>6.52E13</v>
      </c>
      <c r="F3078" s="245"/>
      <c r="G3078" s="235" t="s">
        <v>23282</v>
      </c>
      <c r="H3078" s="235" t="s">
        <v>23283</v>
      </c>
      <c r="I3078" s="235" t="s">
        <v>23283</v>
      </c>
      <c r="J3078" s="235" t="s">
        <v>23284</v>
      </c>
      <c r="K3078" s="235" t="s">
        <v>23285</v>
      </c>
      <c r="N3078" s="235" t="s">
        <v>139</v>
      </c>
      <c r="O3078" s="235" t="s">
        <v>2091</v>
      </c>
      <c r="P3078" s="238">
        <v>1.0</v>
      </c>
      <c r="Q3078" s="235" t="s">
        <v>627</v>
      </c>
      <c r="R3078" s="238">
        <v>243.81</v>
      </c>
      <c r="S3078" s="238">
        <v>11.95</v>
      </c>
      <c r="T3078" s="238">
        <v>0.0</v>
      </c>
      <c r="U3078" s="238">
        <v>0.0</v>
      </c>
      <c r="V3078" s="238">
        <v>0.0</v>
      </c>
      <c r="W3078" s="238">
        <v>0.0</v>
      </c>
      <c r="X3078" s="235" t="s">
        <v>628</v>
      </c>
      <c r="Z3078" s="245"/>
      <c r="AA3078" s="245"/>
      <c r="AB3078" s="245"/>
      <c r="AC3078" s="235" t="s">
        <v>795</v>
      </c>
      <c r="AD3078" s="235" t="s">
        <v>796</v>
      </c>
      <c r="AE3078" s="238">
        <v>110071.0</v>
      </c>
      <c r="AF3078" s="235" t="s">
        <v>631</v>
      </c>
      <c r="AG3078" s="245"/>
      <c r="AH3078" s="245"/>
      <c r="AI3078" s="245"/>
      <c r="AJ3078" s="245"/>
      <c r="AK3078" s="245"/>
      <c r="AL3078" s="245"/>
      <c r="AM3078" s="245"/>
      <c r="AN3078" s="245"/>
      <c r="AO3078" s="238">
        <v>-4.88</v>
      </c>
      <c r="AP3078" s="238">
        <v>0.0</v>
      </c>
      <c r="AQ3078" s="235" t="s">
        <v>632</v>
      </c>
      <c r="AR3078" s="243">
        <v>1.68E11</v>
      </c>
      <c r="AS3078" s="235" t="s">
        <v>22548</v>
      </c>
      <c r="AT3078" s="235" t="s">
        <v>533</v>
      </c>
      <c r="AU3078" s="235" t="s">
        <v>634</v>
      </c>
      <c r="AV3078" s="246" t="s">
        <v>635</v>
      </c>
      <c r="AW3078" s="227"/>
      <c r="AX3078" s="227"/>
      <c r="AY3078" s="227"/>
      <c r="AZ3078" s="227"/>
      <c r="BA3078" s="227"/>
      <c r="BB3078" s="227"/>
      <c r="BC3078" s="227"/>
      <c r="BD3078" s="227"/>
      <c r="BE3078" s="227"/>
      <c r="BF3078" s="227"/>
    </row>
    <row r="3079">
      <c r="A3079" s="235" t="s">
        <v>23286</v>
      </c>
      <c r="C3079" s="235" t="s">
        <v>23287</v>
      </c>
      <c r="D3079" s="235" t="s">
        <v>23288</v>
      </c>
      <c r="E3079" s="243">
        <v>6.52E13</v>
      </c>
      <c r="F3079" s="245"/>
      <c r="G3079" s="235" t="s">
        <v>23289</v>
      </c>
      <c r="H3079" s="235" t="s">
        <v>23290</v>
      </c>
      <c r="I3079" s="235" t="s">
        <v>23290</v>
      </c>
      <c r="J3079" s="235" t="s">
        <v>23291</v>
      </c>
      <c r="K3079" s="235" t="s">
        <v>23292</v>
      </c>
      <c r="N3079" s="235" t="s">
        <v>127</v>
      </c>
      <c r="O3079" s="235" t="s">
        <v>794</v>
      </c>
      <c r="P3079" s="238">
        <v>1.0</v>
      </c>
      <c r="Q3079" s="235" t="s">
        <v>627</v>
      </c>
      <c r="R3079" s="238">
        <v>243.81</v>
      </c>
      <c r="S3079" s="238">
        <v>12.19</v>
      </c>
      <c r="T3079" s="238">
        <v>38.1</v>
      </c>
      <c r="U3079" s="238">
        <v>1.9</v>
      </c>
      <c r="V3079" s="238">
        <v>0.0</v>
      </c>
      <c r="W3079" s="238">
        <v>0.0</v>
      </c>
      <c r="X3079" s="235" t="s">
        <v>628</v>
      </c>
      <c r="Z3079" s="245"/>
      <c r="AA3079" s="245"/>
      <c r="AB3079" s="245"/>
      <c r="AC3079" s="235" t="s">
        <v>23293</v>
      </c>
      <c r="AD3079" s="235" t="s">
        <v>1151</v>
      </c>
      <c r="AE3079" s="238">
        <v>700104.0</v>
      </c>
      <c r="AF3079" s="235" t="s">
        <v>631</v>
      </c>
      <c r="AG3079" s="245"/>
      <c r="AH3079" s="245"/>
      <c r="AI3079" s="245"/>
      <c r="AJ3079" s="245"/>
      <c r="AK3079" s="245"/>
      <c r="AL3079" s="245"/>
      <c r="AM3079" s="245"/>
      <c r="AN3079" s="245"/>
      <c r="AO3079" s="238">
        <v>0.0</v>
      </c>
      <c r="AP3079" s="238">
        <v>-38.1</v>
      </c>
      <c r="AQ3079" s="235" t="s">
        <v>632</v>
      </c>
      <c r="AR3079" s="243">
        <v>3.71E11</v>
      </c>
      <c r="AS3079" s="235" t="s">
        <v>17988</v>
      </c>
      <c r="AT3079" s="235" t="s">
        <v>13</v>
      </c>
      <c r="AU3079" s="235" t="s">
        <v>634</v>
      </c>
      <c r="AV3079" s="246" t="s">
        <v>635</v>
      </c>
      <c r="AW3079" s="227"/>
      <c r="AX3079" s="227"/>
      <c r="AY3079" s="227"/>
      <c r="AZ3079" s="227"/>
      <c r="BA3079" s="227"/>
      <c r="BB3079" s="227"/>
      <c r="BC3079" s="227"/>
      <c r="BD3079" s="227"/>
      <c r="BE3079" s="227"/>
      <c r="BF3079" s="227"/>
    </row>
    <row r="3080">
      <c r="A3080" s="235" t="s">
        <v>23294</v>
      </c>
      <c r="C3080" s="235" t="s">
        <v>23295</v>
      </c>
      <c r="D3080" s="235" t="s">
        <v>23296</v>
      </c>
      <c r="E3080" s="243">
        <v>6.52E13</v>
      </c>
      <c r="F3080" s="245"/>
      <c r="G3080" s="235" t="s">
        <v>23297</v>
      </c>
      <c r="H3080" s="235" t="s">
        <v>23298</v>
      </c>
      <c r="I3080" s="235" t="s">
        <v>23298</v>
      </c>
      <c r="J3080" s="235" t="s">
        <v>23299</v>
      </c>
      <c r="K3080" s="235" t="s">
        <v>23300</v>
      </c>
      <c r="N3080" s="235" t="s">
        <v>82</v>
      </c>
      <c r="O3080" s="235" t="s">
        <v>889</v>
      </c>
      <c r="P3080" s="238">
        <v>1.0</v>
      </c>
      <c r="Q3080" s="235" t="s">
        <v>627</v>
      </c>
      <c r="R3080" s="238">
        <v>233.33</v>
      </c>
      <c r="S3080" s="238">
        <v>11.44</v>
      </c>
      <c r="T3080" s="238">
        <v>0.0</v>
      </c>
      <c r="U3080" s="238">
        <v>0.0</v>
      </c>
      <c r="V3080" s="238">
        <v>0.0</v>
      </c>
      <c r="W3080" s="238">
        <v>0.0</v>
      </c>
      <c r="X3080" s="235" t="s">
        <v>628</v>
      </c>
      <c r="Z3080" s="245"/>
      <c r="AA3080" s="245"/>
      <c r="AB3080" s="245"/>
      <c r="AC3080" s="235" t="s">
        <v>9302</v>
      </c>
      <c r="AD3080" s="235" t="s">
        <v>1086</v>
      </c>
      <c r="AE3080" s="238">
        <v>146001.0</v>
      </c>
      <c r="AF3080" s="235" t="s">
        <v>631</v>
      </c>
      <c r="AG3080" s="245"/>
      <c r="AH3080" s="245"/>
      <c r="AI3080" s="245"/>
      <c r="AJ3080" s="245"/>
      <c r="AK3080" s="245"/>
      <c r="AL3080" s="245"/>
      <c r="AM3080" s="245"/>
      <c r="AN3080" s="245"/>
      <c r="AO3080" s="238">
        <v>-4.67</v>
      </c>
      <c r="AP3080" s="238">
        <v>0.0</v>
      </c>
      <c r="AQ3080" s="235" t="s">
        <v>632</v>
      </c>
      <c r="AR3080" s="243">
        <v>3.71E11</v>
      </c>
      <c r="AS3080" s="235" t="s">
        <v>20529</v>
      </c>
      <c r="AT3080" s="235" t="s">
        <v>13</v>
      </c>
      <c r="AU3080" s="235" t="s">
        <v>634</v>
      </c>
      <c r="AV3080" s="246" t="s">
        <v>635</v>
      </c>
      <c r="AW3080" s="227"/>
      <c r="AX3080" s="227"/>
      <c r="AY3080" s="227"/>
      <c r="AZ3080" s="227"/>
      <c r="BA3080" s="227"/>
      <c r="BB3080" s="227"/>
      <c r="BC3080" s="227"/>
      <c r="BD3080" s="227"/>
      <c r="BE3080" s="227"/>
      <c r="BF3080" s="227"/>
    </row>
    <row r="3081">
      <c r="A3081" s="235" t="s">
        <v>23301</v>
      </c>
      <c r="C3081" s="235" t="s">
        <v>23302</v>
      </c>
      <c r="D3081" s="235" t="s">
        <v>23303</v>
      </c>
      <c r="E3081" s="243">
        <v>6.52E13</v>
      </c>
      <c r="F3081" s="245"/>
      <c r="G3081" s="235" t="s">
        <v>23304</v>
      </c>
      <c r="H3081" s="235" t="s">
        <v>23305</v>
      </c>
      <c r="I3081" s="235" t="s">
        <v>23305</v>
      </c>
      <c r="J3081" s="235" t="s">
        <v>23306</v>
      </c>
      <c r="K3081" s="235" t="s">
        <v>23307</v>
      </c>
      <c r="N3081" s="235" t="s">
        <v>82</v>
      </c>
      <c r="O3081" s="235" t="s">
        <v>889</v>
      </c>
      <c r="P3081" s="238">
        <v>1.0</v>
      </c>
      <c r="Q3081" s="235" t="s">
        <v>627</v>
      </c>
      <c r="R3081" s="238">
        <v>233.33</v>
      </c>
      <c r="S3081" s="238">
        <v>11.67</v>
      </c>
      <c r="T3081" s="238">
        <v>0.0</v>
      </c>
      <c r="U3081" s="238">
        <v>0.0</v>
      </c>
      <c r="V3081" s="238">
        <v>0.0</v>
      </c>
      <c r="W3081" s="238">
        <v>0.0</v>
      </c>
      <c r="X3081" s="235" t="s">
        <v>628</v>
      </c>
      <c r="Z3081" s="245"/>
      <c r="AA3081" s="245"/>
      <c r="AB3081" s="245"/>
      <c r="AC3081" s="235" t="s">
        <v>1475</v>
      </c>
      <c r="AD3081" s="235" t="s">
        <v>796</v>
      </c>
      <c r="AE3081" s="238">
        <v>110034.0</v>
      </c>
      <c r="AF3081" s="235" t="s">
        <v>631</v>
      </c>
      <c r="AG3081" s="245"/>
      <c r="AH3081" s="245"/>
      <c r="AI3081" s="245"/>
      <c r="AJ3081" s="245"/>
      <c r="AK3081" s="245"/>
      <c r="AL3081" s="245"/>
      <c r="AM3081" s="245"/>
      <c r="AN3081" s="245"/>
      <c r="AO3081" s="238">
        <v>0.0</v>
      </c>
      <c r="AP3081" s="238">
        <v>0.0</v>
      </c>
      <c r="AQ3081" s="235" t="s">
        <v>632</v>
      </c>
      <c r="AR3081" s="243">
        <v>1.68E11</v>
      </c>
      <c r="AS3081" s="235" t="s">
        <v>22548</v>
      </c>
      <c r="AT3081" s="235" t="s">
        <v>13</v>
      </c>
      <c r="AU3081" s="235" t="s">
        <v>634</v>
      </c>
      <c r="AV3081" s="246" t="s">
        <v>635</v>
      </c>
      <c r="AW3081" s="227"/>
      <c r="AX3081" s="227"/>
      <c r="AY3081" s="227"/>
      <c r="AZ3081" s="227"/>
      <c r="BA3081" s="227"/>
      <c r="BB3081" s="227"/>
      <c r="BC3081" s="227"/>
      <c r="BD3081" s="227"/>
      <c r="BE3081" s="227"/>
      <c r="BF3081" s="227"/>
    </row>
    <row r="3082">
      <c r="A3082" s="235" t="s">
        <v>23308</v>
      </c>
      <c r="C3082" s="235" t="s">
        <v>23309</v>
      </c>
      <c r="D3082" s="235" t="s">
        <v>23310</v>
      </c>
      <c r="E3082" s="243">
        <v>6.52E13</v>
      </c>
      <c r="F3082" s="245"/>
      <c r="G3082" s="235" t="s">
        <v>23311</v>
      </c>
      <c r="H3082" s="235" t="s">
        <v>23312</v>
      </c>
      <c r="I3082" s="235" t="s">
        <v>23312</v>
      </c>
      <c r="J3082" s="235" t="s">
        <v>23313</v>
      </c>
      <c r="K3082" s="235" t="s">
        <v>23314</v>
      </c>
      <c r="N3082" s="235" t="s">
        <v>4</v>
      </c>
      <c r="O3082" s="235" t="s">
        <v>1791</v>
      </c>
      <c r="P3082" s="238">
        <v>1.0</v>
      </c>
      <c r="Q3082" s="235" t="s">
        <v>627</v>
      </c>
      <c r="R3082" s="238">
        <v>265.71</v>
      </c>
      <c r="S3082" s="238">
        <v>12.89</v>
      </c>
      <c r="T3082" s="238">
        <v>38.1</v>
      </c>
      <c r="U3082" s="238">
        <v>1.9</v>
      </c>
      <c r="V3082" s="238">
        <v>0.0</v>
      </c>
      <c r="W3082" s="238">
        <v>0.0</v>
      </c>
      <c r="X3082" s="235" t="s">
        <v>628</v>
      </c>
      <c r="Z3082" s="245"/>
      <c r="AA3082" s="245"/>
      <c r="AB3082" s="245"/>
      <c r="AC3082" s="235" t="s">
        <v>23315</v>
      </c>
      <c r="AD3082" s="235" t="s">
        <v>3113</v>
      </c>
      <c r="AE3082" s="238">
        <v>495448.0</v>
      </c>
      <c r="AF3082" s="235" t="s">
        <v>631</v>
      </c>
      <c r="AG3082" s="245"/>
      <c r="AH3082" s="245"/>
      <c r="AI3082" s="245"/>
      <c r="AJ3082" s="245"/>
      <c r="AK3082" s="245"/>
      <c r="AL3082" s="245"/>
      <c r="AM3082" s="245"/>
      <c r="AN3082" s="245"/>
      <c r="AO3082" s="238">
        <v>-7.97</v>
      </c>
      <c r="AP3082" s="238">
        <v>-38.1</v>
      </c>
      <c r="AQ3082" s="235" t="s">
        <v>1328</v>
      </c>
      <c r="AR3082" s="243">
        <v>1.34E13</v>
      </c>
      <c r="AS3082" s="235" t="s">
        <v>12693</v>
      </c>
      <c r="AT3082" s="235" t="s">
        <v>14</v>
      </c>
      <c r="AU3082" s="235" t="s">
        <v>634</v>
      </c>
      <c r="AV3082" s="246" t="s">
        <v>635</v>
      </c>
      <c r="AW3082" s="227"/>
      <c r="AX3082" s="227"/>
      <c r="AY3082" s="227"/>
      <c r="AZ3082" s="227"/>
      <c r="BA3082" s="227"/>
      <c r="BB3082" s="227"/>
      <c r="BC3082" s="227"/>
      <c r="BD3082" s="227"/>
      <c r="BE3082" s="227"/>
      <c r="BF3082" s="227"/>
    </row>
    <row r="3083">
      <c r="A3083" s="235" t="s">
        <v>23308</v>
      </c>
      <c r="C3083" s="235" t="s">
        <v>23309</v>
      </c>
      <c r="D3083" s="235" t="s">
        <v>23316</v>
      </c>
      <c r="E3083" s="243">
        <v>6.52E13</v>
      </c>
      <c r="F3083" s="245"/>
      <c r="G3083" s="235" t="s">
        <v>23311</v>
      </c>
      <c r="H3083" s="235" t="s">
        <v>23312</v>
      </c>
      <c r="I3083" s="235" t="s">
        <v>23312</v>
      </c>
      <c r="J3083" s="235" t="s">
        <v>23313</v>
      </c>
      <c r="K3083" s="235" t="s">
        <v>23314</v>
      </c>
      <c r="N3083" s="235" t="s">
        <v>4</v>
      </c>
      <c r="O3083" s="235" t="s">
        <v>1791</v>
      </c>
      <c r="P3083" s="238">
        <v>1.0</v>
      </c>
      <c r="Q3083" s="235" t="s">
        <v>627</v>
      </c>
      <c r="R3083" s="238">
        <v>265.71</v>
      </c>
      <c r="S3083" s="238">
        <v>12.89</v>
      </c>
      <c r="T3083" s="238">
        <v>38.1</v>
      </c>
      <c r="U3083" s="238">
        <v>1.9</v>
      </c>
      <c r="V3083" s="238">
        <v>0.0</v>
      </c>
      <c r="W3083" s="238">
        <v>0.0</v>
      </c>
      <c r="X3083" s="235" t="s">
        <v>628</v>
      </c>
      <c r="Z3083" s="245"/>
      <c r="AA3083" s="245"/>
      <c r="AB3083" s="245"/>
      <c r="AC3083" s="235" t="s">
        <v>23315</v>
      </c>
      <c r="AD3083" s="235" t="s">
        <v>3113</v>
      </c>
      <c r="AE3083" s="238">
        <v>495448.0</v>
      </c>
      <c r="AF3083" s="235" t="s">
        <v>631</v>
      </c>
      <c r="AG3083" s="245"/>
      <c r="AH3083" s="245"/>
      <c r="AI3083" s="245"/>
      <c r="AJ3083" s="245"/>
      <c r="AK3083" s="245"/>
      <c r="AL3083" s="245"/>
      <c r="AM3083" s="245"/>
      <c r="AN3083" s="245"/>
      <c r="AO3083" s="238">
        <v>-7.97</v>
      </c>
      <c r="AP3083" s="238">
        <v>-38.1</v>
      </c>
      <c r="AQ3083" s="235" t="s">
        <v>1328</v>
      </c>
      <c r="AR3083" s="243">
        <v>1.34E13</v>
      </c>
      <c r="AS3083" s="235" t="s">
        <v>12693</v>
      </c>
      <c r="AT3083" s="235" t="s">
        <v>14</v>
      </c>
      <c r="AU3083" s="235" t="s">
        <v>634</v>
      </c>
      <c r="AV3083" s="246" t="s">
        <v>635</v>
      </c>
      <c r="AW3083" s="227"/>
      <c r="AX3083" s="227"/>
      <c r="AY3083" s="227"/>
      <c r="AZ3083" s="227"/>
      <c r="BA3083" s="227"/>
      <c r="BB3083" s="227"/>
      <c r="BC3083" s="227"/>
      <c r="BD3083" s="227"/>
      <c r="BE3083" s="227"/>
      <c r="BF3083" s="227"/>
    </row>
    <row r="3084">
      <c r="A3084" s="235" t="s">
        <v>23317</v>
      </c>
      <c r="C3084" s="235" t="s">
        <v>23318</v>
      </c>
      <c r="D3084" s="235" t="s">
        <v>23319</v>
      </c>
      <c r="E3084" s="243">
        <v>6.52E13</v>
      </c>
      <c r="F3084" s="245"/>
      <c r="G3084" s="235" t="s">
        <v>23320</v>
      </c>
      <c r="H3084" s="235" t="s">
        <v>23321</v>
      </c>
      <c r="I3084" s="235" t="s">
        <v>23321</v>
      </c>
      <c r="J3084" s="235" t="s">
        <v>23322</v>
      </c>
      <c r="K3084" s="235" t="s">
        <v>23323</v>
      </c>
      <c r="N3084" s="235" t="s">
        <v>143</v>
      </c>
      <c r="O3084" s="235" t="s">
        <v>220</v>
      </c>
      <c r="P3084" s="238">
        <v>1.0</v>
      </c>
      <c r="Q3084" s="235" t="s">
        <v>627</v>
      </c>
      <c r="R3084" s="238">
        <v>246.67</v>
      </c>
      <c r="S3084" s="238">
        <v>12.08</v>
      </c>
      <c r="T3084" s="238">
        <v>0.0</v>
      </c>
      <c r="U3084" s="238">
        <v>0.0</v>
      </c>
      <c r="V3084" s="238">
        <v>0.0</v>
      </c>
      <c r="W3084" s="238">
        <v>0.0</v>
      </c>
      <c r="X3084" s="235" t="s">
        <v>628</v>
      </c>
      <c r="Z3084" s="245"/>
      <c r="AA3084" s="245"/>
      <c r="AB3084" s="245"/>
      <c r="AC3084" s="235" t="s">
        <v>23324</v>
      </c>
      <c r="AD3084" s="235" t="s">
        <v>928</v>
      </c>
      <c r="AE3084" s="238">
        <v>124103.0</v>
      </c>
      <c r="AF3084" s="235" t="s">
        <v>631</v>
      </c>
      <c r="AG3084" s="245"/>
      <c r="AH3084" s="245"/>
      <c r="AI3084" s="245"/>
      <c r="AJ3084" s="245"/>
      <c r="AK3084" s="245"/>
      <c r="AL3084" s="245"/>
      <c r="AM3084" s="245"/>
      <c r="AN3084" s="245"/>
      <c r="AO3084" s="238">
        <v>-4.93</v>
      </c>
      <c r="AP3084" s="238">
        <v>0.0</v>
      </c>
      <c r="AQ3084" s="235" t="s">
        <v>632</v>
      </c>
      <c r="AR3084" s="243">
        <v>3.71E11</v>
      </c>
      <c r="AS3084" s="235" t="s">
        <v>17988</v>
      </c>
      <c r="AT3084" s="235" t="s">
        <v>9</v>
      </c>
      <c r="AU3084" s="235" t="s">
        <v>634</v>
      </c>
      <c r="AV3084" s="246" t="s">
        <v>635</v>
      </c>
      <c r="AW3084" s="227"/>
      <c r="AX3084" s="227"/>
      <c r="AY3084" s="227"/>
      <c r="AZ3084" s="227"/>
      <c r="BA3084" s="227"/>
      <c r="BB3084" s="227"/>
      <c r="BC3084" s="227"/>
      <c r="BD3084" s="227"/>
      <c r="BE3084" s="227"/>
      <c r="BF3084" s="227"/>
    </row>
    <row r="3085">
      <c r="A3085" s="235" t="s">
        <v>23325</v>
      </c>
      <c r="C3085" s="235" t="s">
        <v>23326</v>
      </c>
      <c r="D3085" s="235" t="s">
        <v>23327</v>
      </c>
      <c r="E3085" s="243">
        <v>6.52E13</v>
      </c>
      <c r="F3085" s="245"/>
      <c r="G3085" s="235" t="s">
        <v>23328</v>
      </c>
      <c r="H3085" s="235" t="s">
        <v>23329</v>
      </c>
      <c r="I3085" s="235" t="s">
        <v>23329</v>
      </c>
      <c r="J3085" s="235" t="s">
        <v>23330</v>
      </c>
      <c r="K3085" s="235" t="s">
        <v>23331</v>
      </c>
      <c r="N3085" s="235" t="s">
        <v>85</v>
      </c>
      <c r="O3085" s="235" t="s">
        <v>872</v>
      </c>
      <c r="P3085" s="238">
        <v>1.0</v>
      </c>
      <c r="Q3085" s="235" t="s">
        <v>627</v>
      </c>
      <c r="R3085" s="238">
        <v>246.67</v>
      </c>
      <c r="S3085" s="238">
        <v>12.33</v>
      </c>
      <c r="T3085" s="238">
        <v>0.0</v>
      </c>
      <c r="U3085" s="238">
        <v>0.0</v>
      </c>
      <c r="V3085" s="238">
        <v>0.0</v>
      </c>
      <c r="W3085" s="238">
        <v>0.0</v>
      </c>
      <c r="X3085" s="235" t="s">
        <v>628</v>
      </c>
      <c r="Z3085" s="245"/>
      <c r="AA3085" s="245"/>
      <c r="AB3085" s="245"/>
      <c r="AC3085" s="235" t="s">
        <v>16410</v>
      </c>
      <c r="AD3085" s="235" t="s">
        <v>917</v>
      </c>
      <c r="AE3085" s="238">
        <v>334003.0</v>
      </c>
      <c r="AF3085" s="235" t="s">
        <v>631</v>
      </c>
      <c r="AG3085" s="245"/>
      <c r="AH3085" s="245"/>
      <c r="AI3085" s="245"/>
      <c r="AJ3085" s="245"/>
      <c r="AK3085" s="245"/>
      <c r="AL3085" s="245"/>
      <c r="AM3085" s="245"/>
      <c r="AN3085" s="245"/>
      <c r="AO3085" s="238">
        <v>0.0</v>
      </c>
      <c r="AP3085" s="238">
        <v>0.0</v>
      </c>
      <c r="AQ3085" s="235" t="s">
        <v>632</v>
      </c>
      <c r="AR3085" s="243">
        <v>3.71E11</v>
      </c>
      <c r="AS3085" s="235" t="s">
        <v>20529</v>
      </c>
      <c r="AT3085" s="235" t="s">
        <v>533</v>
      </c>
      <c r="AU3085" s="235" t="s">
        <v>634</v>
      </c>
      <c r="AV3085" s="246" t="s">
        <v>635</v>
      </c>
      <c r="AW3085" s="227"/>
      <c r="AX3085" s="227"/>
      <c r="AY3085" s="227"/>
      <c r="AZ3085" s="227"/>
      <c r="BA3085" s="227"/>
      <c r="BB3085" s="227"/>
      <c r="BC3085" s="227"/>
      <c r="BD3085" s="227"/>
      <c r="BE3085" s="227"/>
      <c r="BF3085" s="227"/>
    </row>
    <row r="3086">
      <c r="A3086" s="235" t="s">
        <v>23332</v>
      </c>
      <c r="C3086" s="235" t="s">
        <v>23333</v>
      </c>
      <c r="D3086" s="235" t="s">
        <v>23334</v>
      </c>
      <c r="E3086" s="243">
        <v>6.52E13</v>
      </c>
      <c r="F3086" s="245"/>
      <c r="G3086" s="235" t="s">
        <v>23335</v>
      </c>
      <c r="H3086" s="235" t="s">
        <v>23336</v>
      </c>
      <c r="I3086" s="235" t="s">
        <v>23336</v>
      </c>
      <c r="J3086" s="235" t="s">
        <v>23337</v>
      </c>
      <c r="K3086" s="235" t="s">
        <v>23338</v>
      </c>
      <c r="N3086" s="235" t="s">
        <v>138</v>
      </c>
      <c r="O3086" s="235" t="s">
        <v>675</v>
      </c>
      <c r="P3086" s="238">
        <v>1.0</v>
      </c>
      <c r="Q3086" s="235" t="s">
        <v>627</v>
      </c>
      <c r="R3086" s="238">
        <v>243.81</v>
      </c>
      <c r="S3086" s="238">
        <v>11.95</v>
      </c>
      <c r="T3086" s="238">
        <v>38.1</v>
      </c>
      <c r="U3086" s="238">
        <v>1.9</v>
      </c>
      <c r="V3086" s="238">
        <v>0.0</v>
      </c>
      <c r="W3086" s="238">
        <v>0.0</v>
      </c>
      <c r="X3086" s="235" t="s">
        <v>628</v>
      </c>
      <c r="Z3086" s="245"/>
      <c r="AA3086" s="245"/>
      <c r="AB3086" s="245"/>
      <c r="AC3086" s="235" t="s">
        <v>23339</v>
      </c>
      <c r="AD3086" s="235" t="s">
        <v>2067</v>
      </c>
      <c r="AE3086" s="238">
        <v>825301.0</v>
      </c>
      <c r="AF3086" s="235" t="s">
        <v>631</v>
      </c>
      <c r="AG3086" s="245"/>
      <c r="AH3086" s="245"/>
      <c r="AI3086" s="245"/>
      <c r="AJ3086" s="245"/>
      <c r="AK3086" s="245"/>
      <c r="AL3086" s="245"/>
      <c r="AM3086" s="245"/>
      <c r="AN3086" s="245"/>
      <c r="AO3086" s="238">
        <v>-4.88</v>
      </c>
      <c r="AP3086" s="238">
        <v>-38.1</v>
      </c>
      <c r="AQ3086" s="235" t="s">
        <v>632</v>
      </c>
      <c r="AR3086" s="243">
        <v>3.71E11</v>
      </c>
      <c r="AS3086" s="235" t="s">
        <v>15064</v>
      </c>
      <c r="AT3086" s="235" t="s">
        <v>11</v>
      </c>
      <c r="AU3086" s="235" t="s">
        <v>634</v>
      </c>
      <c r="AV3086" s="246" t="s">
        <v>635</v>
      </c>
      <c r="AW3086" s="227"/>
      <c r="AX3086" s="227"/>
      <c r="AY3086" s="227"/>
      <c r="AZ3086" s="227"/>
      <c r="BA3086" s="227"/>
      <c r="BB3086" s="227"/>
      <c r="BC3086" s="227"/>
      <c r="BD3086" s="227"/>
      <c r="BE3086" s="227"/>
      <c r="BF3086" s="227"/>
    </row>
    <row r="3087">
      <c r="A3087" s="235" t="s">
        <v>23340</v>
      </c>
      <c r="C3087" s="235" t="s">
        <v>23341</v>
      </c>
      <c r="D3087" s="235" t="s">
        <v>23342</v>
      </c>
      <c r="E3087" s="243">
        <v>6.52E13</v>
      </c>
      <c r="F3087" s="245"/>
      <c r="G3087" s="235" t="s">
        <v>23343</v>
      </c>
      <c r="H3087" s="235" t="s">
        <v>23344</v>
      </c>
      <c r="I3087" s="235" t="s">
        <v>23344</v>
      </c>
      <c r="J3087" s="235" t="s">
        <v>23345</v>
      </c>
      <c r="K3087" s="235" t="s">
        <v>23346</v>
      </c>
      <c r="N3087" s="235" t="s">
        <v>138</v>
      </c>
      <c r="O3087" s="235" t="s">
        <v>675</v>
      </c>
      <c r="P3087" s="238">
        <v>1.0</v>
      </c>
      <c r="Q3087" s="235" t="s">
        <v>627</v>
      </c>
      <c r="R3087" s="238">
        <v>243.81</v>
      </c>
      <c r="S3087" s="238">
        <v>12.19</v>
      </c>
      <c r="T3087" s="238">
        <v>0.0</v>
      </c>
      <c r="U3087" s="238">
        <v>0.0</v>
      </c>
      <c r="V3087" s="238">
        <v>0.0</v>
      </c>
      <c r="W3087" s="238">
        <v>0.0</v>
      </c>
      <c r="X3087" s="235" t="s">
        <v>628</v>
      </c>
      <c r="Z3087" s="245"/>
      <c r="AA3087" s="245"/>
      <c r="AB3087" s="245"/>
      <c r="AC3087" s="235" t="s">
        <v>678</v>
      </c>
      <c r="AD3087" s="235" t="s">
        <v>679</v>
      </c>
      <c r="AE3087" s="238">
        <v>560064.0</v>
      </c>
      <c r="AF3087" s="235" t="s">
        <v>631</v>
      </c>
      <c r="AG3087" s="245"/>
      <c r="AH3087" s="245"/>
      <c r="AI3087" s="245"/>
      <c r="AJ3087" s="245"/>
      <c r="AK3087" s="245"/>
      <c r="AL3087" s="245"/>
      <c r="AM3087" s="245"/>
      <c r="AN3087" s="245"/>
      <c r="AO3087" s="238">
        <v>0.0</v>
      </c>
      <c r="AP3087" s="238">
        <v>0.0</v>
      </c>
      <c r="AQ3087" s="235" t="s">
        <v>632</v>
      </c>
      <c r="AR3087" s="243">
        <v>1.68E11</v>
      </c>
      <c r="AS3087" s="235" t="s">
        <v>22269</v>
      </c>
      <c r="AT3087" s="235" t="s">
        <v>155</v>
      </c>
      <c r="AU3087" s="235" t="s">
        <v>634</v>
      </c>
      <c r="AV3087" s="246" t="s">
        <v>635</v>
      </c>
      <c r="AW3087" s="227"/>
      <c r="AX3087" s="227"/>
      <c r="AY3087" s="227"/>
      <c r="AZ3087" s="227"/>
      <c r="BA3087" s="227"/>
      <c r="BB3087" s="227"/>
      <c r="BC3087" s="227"/>
      <c r="BD3087" s="227"/>
      <c r="BE3087" s="227"/>
      <c r="BF3087" s="227"/>
    </row>
    <row r="3088">
      <c r="A3088" s="235" t="s">
        <v>23347</v>
      </c>
      <c r="C3088" s="235" t="s">
        <v>23348</v>
      </c>
      <c r="D3088" s="235" t="s">
        <v>23349</v>
      </c>
      <c r="E3088" s="243">
        <v>6.52E13</v>
      </c>
      <c r="F3088" s="245"/>
      <c r="G3088" s="235" t="s">
        <v>23350</v>
      </c>
      <c r="H3088" s="235" t="s">
        <v>23351</v>
      </c>
      <c r="I3088" s="235" t="s">
        <v>23351</v>
      </c>
      <c r="J3088" s="235" t="s">
        <v>23352</v>
      </c>
      <c r="K3088" s="235" t="s">
        <v>23353</v>
      </c>
      <c r="N3088" s="235" t="s">
        <v>43</v>
      </c>
      <c r="O3088" s="235" t="s">
        <v>276</v>
      </c>
      <c r="P3088" s="238">
        <v>1.0</v>
      </c>
      <c r="Q3088" s="235" t="s">
        <v>627</v>
      </c>
      <c r="R3088" s="238">
        <v>235.24</v>
      </c>
      <c r="S3088" s="238">
        <v>11.76</v>
      </c>
      <c r="T3088" s="238">
        <v>0.0</v>
      </c>
      <c r="U3088" s="238">
        <v>0.0</v>
      </c>
      <c r="V3088" s="238">
        <v>0.0</v>
      </c>
      <c r="W3088" s="238">
        <v>0.0</v>
      </c>
      <c r="X3088" s="235" t="s">
        <v>628</v>
      </c>
      <c r="Z3088" s="245"/>
      <c r="AA3088" s="245"/>
      <c r="AB3088" s="245"/>
      <c r="AC3088" s="235" t="s">
        <v>15128</v>
      </c>
      <c r="AD3088" s="235" t="s">
        <v>666</v>
      </c>
      <c r="AE3088" s="238">
        <v>627814.0</v>
      </c>
      <c r="AF3088" s="235" t="s">
        <v>631</v>
      </c>
      <c r="AG3088" s="245"/>
      <c r="AH3088" s="245"/>
      <c r="AI3088" s="245"/>
      <c r="AJ3088" s="245"/>
      <c r="AK3088" s="245"/>
      <c r="AL3088" s="245"/>
      <c r="AM3088" s="245"/>
      <c r="AN3088" s="245"/>
      <c r="AO3088" s="238">
        <v>0.0</v>
      </c>
      <c r="AP3088" s="238">
        <v>0.0</v>
      </c>
      <c r="AQ3088" s="235" t="s">
        <v>632</v>
      </c>
      <c r="AR3088" s="243">
        <v>3.71E11</v>
      </c>
      <c r="AS3088" s="235" t="s">
        <v>22269</v>
      </c>
      <c r="AT3088" s="235" t="s">
        <v>155</v>
      </c>
      <c r="AU3088" s="235" t="s">
        <v>634</v>
      </c>
      <c r="AV3088" s="246" t="s">
        <v>635</v>
      </c>
      <c r="AW3088" s="227"/>
      <c r="AX3088" s="227"/>
      <c r="AY3088" s="227"/>
      <c r="AZ3088" s="227"/>
      <c r="BA3088" s="227"/>
      <c r="BB3088" s="227"/>
      <c r="BC3088" s="227"/>
      <c r="BD3088" s="227"/>
      <c r="BE3088" s="227"/>
      <c r="BF3088" s="227"/>
    </row>
    <row r="3089">
      <c r="A3089" s="235" t="s">
        <v>23354</v>
      </c>
      <c r="C3089" s="235" t="s">
        <v>23355</v>
      </c>
      <c r="D3089" s="235" t="s">
        <v>23356</v>
      </c>
      <c r="E3089" s="243">
        <v>6.52E13</v>
      </c>
      <c r="F3089" s="245"/>
      <c r="G3089" s="235" t="s">
        <v>23357</v>
      </c>
      <c r="H3089" s="235" t="s">
        <v>23358</v>
      </c>
      <c r="I3089" s="235" t="s">
        <v>23358</v>
      </c>
      <c r="J3089" s="235" t="s">
        <v>23359</v>
      </c>
      <c r="K3089" s="235" t="s">
        <v>23360</v>
      </c>
      <c r="N3089" s="235" t="s">
        <v>127</v>
      </c>
      <c r="O3089" s="235" t="s">
        <v>794</v>
      </c>
      <c r="P3089" s="238">
        <v>1.0</v>
      </c>
      <c r="Q3089" s="235" t="s">
        <v>627</v>
      </c>
      <c r="R3089" s="238">
        <v>236.2</v>
      </c>
      <c r="S3089" s="238">
        <v>11.8</v>
      </c>
      <c r="T3089" s="238">
        <v>0.0</v>
      </c>
      <c r="U3089" s="238">
        <v>0.0</v>
      </c>
      <c r="V3089" s="238">
        <v>0.0</v>
      </c>
      <c r="W3089" s="238">
        <v>0.0</v>
      </c>
      <c r="X3089" s="235" t="s">
        <v>628</v>
      </c>
      <c r="Z3089" s="245"/>
      <c r="AA3089" s="245"/>
      <c r="AB3089" s="245"/>
      <c r="AC3089" s="235" t="s">
        <v>3527</v>
      </c>
      <c r="AD3089" s="235" t="s">
        <v>845</v>
      </c>
      <c r="AE3089" s="238">
        <v>431005.0</v>
      </c>
      <c r="AF3089" s="235" t="s">
        <v>631</v>
      </c>
      <c r="AG3089" s="245"/>
      <c r="AH3089" s="245"/>
      <c r="AI3089" s="245"/>
      <c r="AJ3089" s="245"/>
      <c r="AK3089" s="245"/>
      <c r="AL3089" s="245"/>
      <c r="AM3089" s="245"/>
      <c r="AN3089" s="245"/>
      <c r="AO3089" s="238">
        <v>0.0</v>
      </c>
      <c r="AP3089" s="238">
        <v>0.0</v>
      </c>
      <c r="AQ3089" s="235" t="s">
        <v>632</v>
      </c>
      <c r="AR3089" s="243">
        <v>1.68E11</v>
      </c>
      <c r="AS3089" s="235" t="s">
        <v>16626</v>
      </c>
      <c r="AT3089" s="235" t="s">
        <v>546</v>
      </c>
      <c r="AU3089" s="235" t="s">
        <v>634</v>
      </c>
      <c r="AV3089" s="246" t="s">
        <v>635</v>
      </c>
      <c r="AW3089" s="227"/>
      <c r="AX3089" s="227"/>
      <c r="AY3089" s="227"/>
      <c r="AZ3089" s="227"/>
      <c r="BA3089" s="227"/>
      <c r="BB3089" s="227"/>
      <c r="BC3089" s="227"/>
      <c r="BD3089" s="227"/>
      <c r="BE3089" s="227"/>
      <c r="BF3089" s="227"/>
    </row>
    <row r="3090">
      <c r="A3090" s="235" t="s">
        <v>23361</v>
      </c>
      <c r="C3090" s="235" t="s">
        <v>23362</v>
      </c>
      <c r="D3090" s="235" t="s">
        <v>23363</v>
      </c>
      <c r="E3090" s="243">
        <v>6.52E13</v>
      </c>
      <c r="F3090" s="245"/>
      <c r="G3090" s="235" t="s">
        <v>23364</v>
      </c>
      <c r="H3090" s="235" t="s">
        <v>23365</v>
      </c>
      <c r="I3090" s="235" t="s">
        <v>23366</v>
      </c>
      <c r="J3090" s="235" t="s">
        <v>23367</v>
      </c>
      <c r="K3090" s="235" t="s">
        <v>23368</v>
      </c>
      <c r="N3090" s="235" t="s">
        <v>127</v>
      </c>
      <c r="O3090" s="235" t="s">
        <v>794</v>
      </c>
      <c r="P3090" s="238">
        <v>1.0</v>
      </c>
      <c r="Q3090" s="235" t="s">
        <v>627</v>
      </c>
      <c r="R3090" s="238">
        <v>236.19</v>
      </c>
      <c r="S3090" s="238">
        <v>11.46</v>
      </c>
      <c r="T3090" s="238">
        <v>0.0</v>
      </c>
      <c r="U3090" s="238">
        <v>0.0</v>
      </c>
      <c r="V3090" s="238">
        <v>0.0</v>
      </c>
      <c r="W3090" s="238">
        <v>0.0</v>
      </c>
      <c r="X3090" s="235" t="s">
        <v>628</v>
      </c>
      <c r="Z3090" s="245"/>
      <c r="AA3090" s="245"/>
      <c r="AB3090" s="245"/>
      <c r="AC3090" s="235" t="s">
        <v>1531</v>
      </c>
      <c r="AD3090" s="235" t="s">
        <v>1151</v>
      </c>
      <c r="AE3090" s="238">
        <v>700039.0</v>
      </c>
      <c r="AF3090" s="235" t="s">
        <v>631</v>
      </c>
      <c r="AG3090" s="245"/>
      <c r="AH3090" s="245"/>
      <c r="AI3090" s="245"/>
      <c r="AJ3090" s="245"/>
      <c r="AK3090" s="245"/>
      <c r="AL3090" s="245"/>
      <c r="AM3090" s="245"/>
      <c r="AN3090" s="245"/>
      <c r="AO3090" s="238">
        <v>-7.09</v>
      </c>
      <c r="AP3090" s="238">
        <v>0.0</v>
      </c>
      <c r="AQ3090" s="235" t="s">
        <v>632</v>
      </c>
      <c r="AR3090" s="243">
        <v>3.71E11</v>
      </c>
      <c r="AS3090" s="235" t="s">
        <v>17988</v>
      </c>
      <c r="AT3090" s="235" t="s">
        <v>9</v>
      </c>
      <c r="AU3090" s="235" t="s">
        <v>634</v>
      </c>
      <c r="AV3090" s="246" t="s">
        <v>635</v>
      </c>
      <c r="AW3090" s="227"/>
      <c r="AX3090" s="227"/>
      <c r="AY3090" s="227"/>
      <c r="AZ3090" s="227"/>
      <c r="BA3090" s="227"/>
      <c r="BB3090" s="227"/>
      <c r="BC3090" s="227"/>
      <c r="BD3090" s="227"/>
      <c r="BE3090" s="227"/>
      <c r="BF3090" s="227"/>
    </row>
    <row r="3091">
      <c r="A3091" s="235" t="s">
        <v>23369</v>
      </c>
      <c r="C3091" s="235" t="s">
        <v>23370</v>
      </c>
      <c r="D3091" s="235" t="s">
        <v>23371</v>
      </c>
      <c r="E3091" s="243">
        <v>6.52E13</v>
      </c>
      <c r="F3091" s="245"/>
      <c r="G3091" s="235" t="s">
        <v>23372</v>
      </c>
      <c r="H3091" s="235" t="s">
        <v>23373</v>
      </c>
      <c r="I3091" s="235" t="s">
        <v>23373</v>
      </c>
      <c r="J3091" s="235" t="s">
        <v>23374</v>
      </c>
      <c r="K3091" s="235" t="s">
        <v>23375</v>
      </c>
      <c r="N3091" s="235" t="s">
        <v>134</v>
      </c>
      <c r="O3091" s="235" t="s">
        <v>314</v>
      </c>
      <c r="P3091" s="238">
        <v>1.0</v>
      </c>
      <c r="Q3091" s="235" t="s">
        <v>627</v>
      </c>
      <c r="R3091" s="238">
        <v>233.34</v>
      </c>
      <c r="S3091" s="238">
        <v>11.66</v>
      </c>
      <c r="T3091" s="238">
        <v>38.1</v>
      </c>
      <c r="U3091" s="238">
        <v>1.9</v>
      </c>
      <c r="V3091" s="238">
        <v>0.0</v>
      </c>
      <c r="W3091" s="238">
        <v>0.0</v>
      </c>
      <c r="X3091" s="235" t="s">
        <v>628</v>
      </c>
      <c r="Z3091" s="245"/>
      <c r="AA3091" s="245"/>
      <c r="AB3091" s="245"/>
      <c r="AC3091" s="235" t="s">
        <v>1255</v>
      </c>
      <c r="AD3091" s="235" t="s">
        <v>845</v>
      </c>
      <c r="AE3091" s="238">
        <v>401107.0</v>
      </c>
      <c r="AF3091" s="235" t="s">
        <v>631</v>
      </c>
      <c r="AG3091" s="245"/>
      <c r="AH3091" s="245"/>
      <c r="AI3091" s="245"/>
      <c r="AJ3091" s="245"/>
      <c r="AK3091" s="245"/>
      <c r="AL3091" s="245"/>
      <c r="AM3091" s="245"/>
      <c r="AN3091" s="245"/>
      <c r="AO3091" s="238">
        <v>0.0</v>
      </c>
      <c r="AP3091" s="238">
        <v>-38.1</v>
      </c>
      <c r="AQ3091" s="235" t="s">
        <v>632</v>
      </c>
      <c r="AR3091" s="243">
        <v>3.71E11</v>
      </c>
      <c r="AS3091" s="235" t="s">
        <v>22269</v>
      </c>
      <c r="AT3091" s="235" t="s">
        <v>16</v>
      </c>
      <c r="AU3091" s="235" t="s">
        <v>634</v>
      </c>
      <c r="AV3091" s="246" t="s">
        <v>635</v>
      </c>
      <c r="AW3091" s="227"/>
      <c r="AX3091" s="227"/>
      <c r="AY3091" s="227"/>
      <c r="AZ3091" s="227"/>
      <c r="BA3091" s="227"/>
      <c r="BB3091" s="227"/>
      <c r="BC3091" s="227"/>
      <c r="BD3091" s="227"/>
      <c r="BE3091" s="227"/>
      <c r="BF3091" s="227"/>
    </row>
    <row r="3092">
      <c r="A3092" s="235" t="s">
        <v>23376</v>
      </c>
      <c r="C3092" s="235" t="s">
        <v>23377</v>
      </c>
      <c r="D3092" s="235" t="s">
        <v>23378</v>
      </c>
      <c r="E3092" s="243">
        <v>6.53E13</v>
      </c>
      <c r="F3092" s="245"/>
      <c r="G3092" s="235" t="s">
        <v>23379</v>
      </c>
      <c r="H3092" s="235" t="s">
        <v>23380</v>
      </c>
      <c r="I3092" s="235" t="s">
        <v>23380</v>
      </c>
      <c r="J3092" s="235" t="s">
        <v>23381</v>
      </c>
      <c r="K3092" s="235" t="s">
        <v>23382</v>
      </c>
      <c r="N3092" s="235" t="s">
        <v>64</v>
      </c>
      <c r="O3092" s="235" t="s">
        <v>378</v>
      </c>
      <c r="P3092" s="238">
        <v>1.0</v>
      </c>
      <c r="Q3092" s="235" t="s">
        <v>627</v>
      </c>
      <c r="R3092" s="238">
        <v>297.14</v>
      </c>
      <c r="S3092" s="238">
        <v>14.86</v>
      </c>
      <c r="T3092" s="238">
        <v>38.1</v>
      </c>
      <c r="U3092" s="238">
        <v>1.9</v>
      </c>
      <c r="V3092" s="238">
        <v>0.0</v>
      </c>
      <c r="W3092" s="238">
        <v>0.0</v>
      </c>
      <c r="X3092" s="235" t="s">
        <v>628</v>
      </c>
      <c r="Z3092" s="245"/>
      <c r="AA3092" s="245"/>
      <c r="AB3092" s="245"/>
      <c r="AC3092" s="235" t="s">
        <v>23383</v>
      </c>
      <c r="AD3092" s="235" t="s">
        <v>1086</v>
      </c>
      <c r="AE3092" s="238">
        <v>144221.0</v>
      </c>
      <c r="AF3092" s="235" t="s">
        <v>631</v>
      </c>
      <c r="AG3092" s="245"/>
      <c r="AH3092" s="245"/>
      <c r="AI3092" s="245"/>
      <c r="AJ3092" s="245"/>
      <c r="AK3092" s="245"/>
      <c r="AL3092" s="245"/>
      <c r="AM3092" s="245"/>
      <c r="AN3092" s="245"/>
      <c r="AO3092" s="238">
        <v>0.0</v>
      </c>
      <c r="AP3092" s="238">
        <v>0.0</v>
      </c>
      <c r="AQ3092" s="235" t="s">
        <v>632</v>
      </c>
      <c r="AR3092" s="243">
        <v>3.71E11</v>
      </c>
      <c r="AS3092" s="235" t="s">
        <v>20529</v>
      </c>
      <c r="AT3092" s="235" t="s">
        <v>14</v>
      </c>
      <c r="AU3092" s="235" t="s">
        <v>634</v>
      </c>
      <c r="AV3092" s="246" t="s">
        <v>635</v>
      </c>
      <c r="AW3092" s="227"/>
      <c r="AX3092" s="227"/>
      <c r="AY3092" s="227"/>
      <c r="AZ3092" s="227"/>
      <c r="BA3092" s="227"/>
      <c r="BB3092" s="227"/>
      <c r="BC3092" s="227"/>
      <c r="BD3092" s="227"/>
      <c r="BE3092" s="227"/>
      <c r="BF3092" s="227"/>
    </row>
    <row r="3093">
      <c r="A3093" s="235" t="s">
        <v>23384</v>
      </c>
      <c r="C3093" s="235" t="s">
        <v>23385</v>
      </c>
      <c r="D3093" s="235" t="s">
        <v>23386</v>
      </c>
      <c r="E3093" s="243">
        <v>6.51E13</v>
      </c>
      <c r="F3093" s="245"/>
      <c r="G3093" s="235" t="s">
        <v>23387</v>
      </c>
      <c r="H3093" s="235" t="s">
        <v>23388</v>
      </c>
      <c r="I3093" s="235" t="s">
        <v>23388</v>
      </c>
      <c r="J3093" s="235" t="s">
        <v>23389</v>
      </c>
      <c r="K3093" s="235" t="s">
        <v>23390</v>
      </c>
      <c r="N3093" s="235" t="s">
        <v>40</v>
      </c>
      <c r="O3093" s="235" t="s">
        <v>327</v>
      </c>
      <c r="P3093" s="238">
        <v>1.0</v>
      </c>
      <c r="Q3093" s="235" t="s">
        <v>627</v>
      </c>
      <c r="R3093" s="238">
        <v>270.48</v>
      </c>
      <c r="S3093" s="238">
        <v>13.52</v>
      </c>
      <c r="T3093" s="238">
        <v>38.1</v>
      </c>
      <c r="U3093" s="238">
        <v>1.9</v>
      </c>
      <c r="V3093" s="238">
        <v>0.0</v>
      </c>
      <c r="W3093" s="238">
        <v>0.0</v>
      </c>
      <c r="X3093" s="235" t="s">
        <v>628</v>
      </c>
      <c r="Z3093" s="245"/>
      <c r="AA3093" s="245"/>
      <c r="AB3093" s="245"/>
      <c r="AC3093" s="235" t="s">
        <v>697</v>
      </c>
      <c r="AD3093" s="235" t="s">
        <v>698</v>
      </c>
      <c r="AE3093" s="238">
        <v>500090.0</v>
      </c>
      <c r="AF3093" s="235" t="s">
        <v>631</v>
      </c>
      <c r="AG3093" s="245"/>
      <c r="AH3093" s="245"/>
      <c r="AI3093" s="245"/>
      <c r="AJ3093" s="245"/>
      <c r="AK3093" s="245"/>
      <c r="AL3093" s="245"/>
      <c r="AM3093" s="245"/>
      <c r="AN3093" s="245"/>
      <c r="AO3093" s="238">
        <v>0.0</v>
      </c>
      <c r="AP3093" s="238">
        <v>-38.1</v>
      </c>
      <c r="AQ3093" s="235" t="s">
        <v>632</v>
      </c>
      <c r="AR3093" s="243">
        <v>3.71E11</v>
      </c>
      <c r="AS3093" s="235" t="s">
        <v>17988</v>
      </c>
      <c r="AT3093" s="235" t="s">
        <v>5</v>
      </c>
      <c r="AU3093" s="235" t="s">
        <v>634</v>
      </c>
      <c r="AV3093" s="246" t="s">
        <v>635</v>
      </c>
      <c r="AW3093" s="227"/>
      <c r="AX3093" s="227"/>
      <c r="AY3093" s="227"/>
      <c r="AZ3093" s="227"/>
      <c r="BA3093" s="227"/>
      <c r="BB3093" s="227"/>
      <c r="BC3093" s="227"/>
      <c r="BD3093" s="227"/>
      <c r="BE3093" s="227"/>
      <c r="BF3093" s="227"/>
    </row>
    <row r="3094">
      <c r="A3094" s="235" t="s">
        <v>23391</v>
      </c>
      <c r="C3094" s="235" t="s">
        <v>23392</v>
      </c>
      <c r="D3094" s="235" t="s">
        <v>23393</v>
      </c>
      <c r="E3094" s="243">
        <v>6.52E13</v>
      </c>
      <c r="F3094" s="245"/>
      <c r="G3094" s="235" t="s">
        <v>23394</v>
      </c>
      <c r="H3094" s="235" t="s">
        <v>23395</v>
      </c>
      <c r="I3094" s="235" t="s">
        <v>23395</v>
      </c>
      <c r="J3094" s="235" t="s">
        <v>23396</v>
      </c>
      <c r="K3094" s="235" t="s">
        <v>23397</v>
      </c>
      <c r="N3094" s="235" t="s">
        <v>51</v>
      </c>
      <c r="O3094" s="235" t="s">
        <v>273</v>
      </c>
      <c r="P3094" s="238">
        <v>1.0</v>
      </c>
      <c r="Q3094" s="235" t="s">
        <v>627</v>
      </c>
      <c r="R3094" s="238">
        <v>233.33</v>
      </c>
      <c r="S3094" s="238">
        <v>11.44</v>
      </c>
      <c r="T3094" s="238">
        <v>0.0</v>
      </c>
      <c r="U3094" s="238">
        <v>0.0</v>
      </c>
      <c r="V3094" s="238">
        <v>0.0</v>
      </c>
      <c r="W3094" s="238">
        <v>0.0</v>
      </c>
      <c r="X3094" s="235" t="s">
        <v>628</v>
      </c>
      <c r="Z3094" s="245"/>
      <c r="AA3094" s="245"/>
      <c r="AB3094" s="245"/>
      <c r="AC3094" s="235" t="s">
        <v>697</v>
      </c>
      <c r="AD3094" s="235" t="s">
        <v>698</v>
      </c>
      <c r="AE3094" s="238">
        <v>500050.0</v>
      </c>
      <c r="AF3094" s="235" t="s">
        <v>631</v>
      </c>
      <c r="AG3094" s="245"/>
      <c r="AH3094" s="245"/>
      <c r="AI3094" s="245"/>
      <c r="AJ3094" s="245"/>
      <c r="AK3094" s="245"/>
      <c r="AL3094" s="245"/>
      <c r="AM3094" s="245"/>
      <c r="AN3094" s="245"/>
      <c r="AO3094" s="238">
        <v>-4.67</v>
      </c>
      <c r="AP3094" s="238">
        <v>0.0</v>
      </c>
      <c r="AQ3094" s="235" t="s">
        <v>632</v>
      </c>
      <c r="AR3094" s="243">
        <v>2.02E11</v>
      </c>
      <c r="AS3094" s="235" t="s">
        <v>22269</v>
      </c>
      <c r="AT3094" s="235" t="s">
        <v>156</v>
      </c>
      <c r="AU3094" s="235" t="s">
        <v>634</v>
      </c>
      <c r="AV3094" s="246" t="s">
        <v>635</v>
      </c>
      <c r="AW3094" s="227"/>
      <c r="AX3094" s="227"/>
      <c r="AY3094" s="227"/>
      <c r="AZ3094" s="227"/>
      <c r="BA3094" s="227"/>
      <c r="BB3094" s="227"/>
      <c r="BC3094" s="227"/>
      <c r="BD3094" s="227"/>
      <c r="BE3094" s="227"/>
      <c r="BF3094" s="227"/>
    </row>
    <row r="3095">
      <c r="A3095" s="235" t="s">
        <v>23398</v>
      </c>
      <c r="C3095" s="235" t="s">
        <v>23399</v>
      </c>
      <c r="D3095" s="235" t="s">
        <v>23400</v>
      </c>
      <c r="E3095" s="243">
        <v>6.52E13</v>
      </c>
      <c r="F3095" s="245"/>
      <c r="G3095" s="235" t="s">
        <v>23401</v>
      </c>
      <c r="H3095" s="235" t="s">
        <v>23402</v>
      </c>
      <c r="I3095" s="235" t="s">
        <v>23402</v>
      </c>
      <c r="J3095" s="235" t="s">
        <v>23403</v>
      </c>
      <c r="K3095" s="235" t="s">
        <v>23404</v>
      </c>
      <c r="N3095" s="235" t="s">
        <v>842</v>
      </c>
      <c r="O3095" s="235" t="s">
        <v>843</v>
      </c>
      <c r="P3095" s="238">
        <v>1.0</v>
      </c>
      <c r="Q3095" s="235" t="s">
        <v>627</v>
      </c>
      <c r="R3095" s="238">
        <v>237.14</v>
      </c>
      <c r="S3095" s="238">
        <v>11.86</v>
      </c>
      <c r="T3095" s="238">
        <v>38.1</v>
      </c>
      <c r="U3095" s="238">
        <v>1.9</v>
      </c>
      <c r="V3095" s="238">
        <v>0.0</v>
      </c>
      <c r="W3095" s="238">
        <v>0.0</v>
      </c>
      <c r="X3095" s="235" t="s">
        <v>628</v>
      </c>
      <c r="Z3095" s="245"/>
      <c r="AA3095" s="245"/>
      <c r="AB3095" s="245"/>
      <c r="AC3095" s="235" t="s">
        <v>1792</v>
      </c>
      <c r="AD3095" s="235" t="s">
        <v>1077</v>
      </c>
      <c r="AE3095" s="238">
        <v>390014.0</v>
      </c>
      <c r="AF3095" s="235" t="s">
        <v>631</v>
      </c>
      <c r="AG3095" s="245"/>
      <c r="AH3095" s="245"/>
      <c r="AI3095" s="245"/>
      <c r="AJ3095" s="245"/>
      <c r="AK3095" s="245"/>
      <c r="AL3095" s="245"/>
      <c r="AM3095" s="245"/>
      <c r="AN3095" s="245"/>
      <c r="AO3095" s="238">
        <v>0.0</v>
      </c>
      <c r="AP3095" s="238">
        <v>-38.1</v>
      </c>
      <c r="AQ3095" s="235" t="s">
        <v>632</v>
      </c>
      <c r="AR3095" s="243">
        <v>3.71E11</v>
      </c>
      <c r="AS3095" s="235" t="s">
        <v>20529</v>
      </c>
      <c r="AT3095" s="235" t="s">
        <v>5</v>
      </c>
      <c r="AU3095" s="235" t="s">
        <v>634</v>
      </c>
      <c r="AV3095" s="246" t="s">
        <v>635</v>
      </c>
      <c r="AW3095" s="227"/>
      <c r="AX3095" s="227"/>
      <c r="AY3095" s="227"/>
      <c r="AZ3095" s="227"/>
      <c r="BA3095" s="227"/>
      <c r="BB3095" s="227"/>
      <c r="BC3095" s="227"/>
      <c r="BD3095" s="227"/>
      <c r="BE3095" s="227"/>
      <c r="BF3095" s="227"/>
    </row>
    <row r="3096">
      <c r="A3096" s="235" t="s">
        <v>23405</v>
      </c>
      <c r="C3096" s="235" t="s">
        <v>23406</v>
      </c>
      <c r="D3096" s="235" t="s">
        <v>23407</v>
      </c>
      <c r="E3096" s="243">
        <v>6.52E13</v>
      </c>
      <c r="F3096" s="245"/>
      <c r="G3096" s="235" t="s">
        <v>23408</v>
      </c>
      <c r="H3096" s="235" t="s">
        <v>23409</v>
      </c>
      <c r="I3096" s="235" t="s">
        <v>23410</v>
      </c>
      <c r="J3096" s="235" t="s">
        <v>23411</v>
      </c>
      <c r="K3096" s="235" t="s">
        <v>23412</v>
      </c>
      <c r="N3096" s="235" t="s">
        <v>3858</v>
      </c>
      <c r="O3096" s="235" t="s">
        <v>3859</v>
      </c>
      <c r="P3096" s="238">
        <v>1.0</v>
      </c>
      <c r="Q3096" s="235" t="s">
        <v>627</v>
      </c>
      <c r="R3096" s="238">
        <v>237.14</v>
      </c>
      <c r="S3096" s="238">
        <v>11.62</v>
      </c>
      <c r="T3096" s="238">
        <v>0.0</v>
      </c>
      <c r="U3096" s="238">
        <v>0.0</v>
      </c>
      <c r="V3096" s="238">
        <v>0.0</v>
      </c>
      <c r="W3096" s="238">
        <v>0.0</v>
      </c>
      <c r="X3096" s="235" t="s">
        <v>628</v>
      </c>
      <c r="Z3096" s="245"/>
      <c r="AA3096" s="245"/>
      <c r="AB3096" s="245"/>
      <c r="AC3096" s="235" t="s">
        <v>1671</v>
      </c>
      <c r="AD3096" s="235" t="s">
        <v>666</v>
      </c>
      <c r="AE3096" s="238">
        <v>641019.0</v>
      </c>
      <c r="AF3096" s="235" t="s">
        <v>631</v>
      </c>
      <c r="AG3096" s="245"/>
      <c r="AH3096" s="245"/>
      <c r="AI3096" s="245"/>
      <c r="AJ3096" s="245"/>
      <c r="AK3096" s="245"/>
      <c r="AL3096" s="245"/>
      <c r="AM3096" s="245"/>
      <c r="AN3096" s="245"/>
      <c r="AO3096" s="238">
        <v>-4.74</v>
      </c>
      <c r="AP3096" s="238">
        <v>0.0</v>
      </c>
      <c r="AQ3096" s="235" t="s">
        <v>632</v>
      </c>
      <c r="AR3096" s="243">
        <v>3.71E11</v>
      </c>
      <c r="AS3096" s="235" t="s">
        <v>15064</v>
      </c>
      <c r="AT3096" s="235" t="s">
        <v>5</v>
      </c>
      <c r="AU3096" s="235" t="s">
        <v>634</v>
      </c>
      <c r="AV3096" s="246" t="s">
        <v>635</v>
      </c>
      <c r="AW3096" s="227"/>
      <c r="AX3096" s="227"/>
      <c r="AY3096" s="227"/>
      <c r="AZ3096" s="227"/>
      <c r="BA3096" s="227"/>
      <c r="BB3096" s="227"/>
      <c r="BC3096" s="227"/>
      <c r="BD3096" s="227"/>
      <c r="BE3096" s="227"/>
      <c r="BF3096" s="227"/>
    </row>
    <row r="3097">
      <c r="A3097" s="235" t="s">
        <v>23413</v>
      </c>
      <c r="C3097" s="235" t="s">
        <v>23414</v>
      </c>
      <c r="D3097" s="235" t="s">
        <v>23415</v>
      </c>
      <c r="E3097" s="243">
        <v>6.52E13</v>
      </c>
      <c r="F3097" s="245"/>
      <c r="G3097" s="235" t="s">
        <v>23416</v>
      </c>
      <c r="H3097" s="235" t="s">
        <v>23417</v>
      </c>
      <c r="I3097" s="235" t="s">
        <v>23417</v>
      </c>
      <c r="J3097" s="235" t="s">
        <v>23418</v>
      </c>
      <c r="K3097" s="235" t="s">
        <v>23419</v>
      </c>
      <c r="N3097" s="235" t="s">
        <v>90</v>
      </c>
      <c r="O3097" s="235" t="s">
        <v>279</v>
      </c>
      <c r="P3097" s="238">
        <v>1.0</v>
      </c>
      <c r="Q3097" s="235" t="s">
        <v>627</v>
      </c>
      <c r="R3097" s="238">
        <v>246.67</v>
      </c>
      <c r="S3097" s="238">
        <v>12.33</v>
      </c>
      <c r="T3097" s="238">
        <v>38.1</v>
      </c>
      <c r="U3097" s="238">
        <v>1.9</v>
      </c>
      <c r="V3097" s="238">
        <v>0.0</v>
      </c>
      <c r="W3097" s="238">
        <v>0.0</v>
      </c>
      <c r="X3097" s="235" t="s">
        <v>628</v>
      </c>
      <c r="Z3097" s="245"/>
      <c r="AA3097" s="245"/>
      <c r="AB3097" s="245"/>
      <c r="AC3097" s="235" t="s">
        <v>8997</v>
      </c>
      <c r="AD3097" s="235" t="s">
        <v>1086</v>
      </c>
      <c r="AE3097" s="238">
        <v>160062.0</v>
      </c>
      <c r="AF3097" s="235" t="s">
        <v>631</v>
      </c>
      <c r="AG3097" s="245"/>
      <c r="AH3097" s="245"/>
      <c r="AI3097" s="245"/>
      <c r="AJ3097" s="245"/>
      <c r="AK3097" s="245"/>
      <c r="AL3097" s="245"/>
      <c r="AM3097" s="245"/>
      <c r="AN3097" s="245"/>
      <c r="AO3097" s="238">
        <v>0.0</v>
      </c>
      <c r="AP3097" s="238">
        <v>-38.1</v>
      </c>
      <c r="AQ3097" s="235" t="s">
        <v>632</v>
      </c>
      <c r="AR3097" s="243">
        <v>3.71E11</v>
      </c>
      <c r="AS3097" s="235" t="s">
        <v>22269</v>
      </c>
      <c r="AT3097" s="235" t="s">
        <v>14</v>
      </c>
      <c r="AU3097" s="235" t="s">
        <v>634</v>
      </c>
      <c r="AV3097" s="246" t="s">
        <v>635</v>
      </c>
      <c r="AW3097" s="227"/>
      <c r="AX3097" s="227"/>
      <c r="AY3097" s="227"/>
      <c r="AZ3097" s="227"/>
      <c r="BA3097" s="227"/>
      <c r="BB3097" s="227"/>
      <c r="BC3097" s="227"/>
      <c r="BD3097" s="227"/>
      <c r="BE3097" s="227"/>
      <c r="BF3097" s="227"/>
    </row>
    <row r="3098">
      <c r="A3098" s="235" t="s">
        <v>23420</v>
      </c>
      <c r="C3098" s="235" t="s">
        <v>23421</v>
      </c>
      <c r="D3098" s="235" t="s">
        <v>23422</v>
      </c>
      <c r="E3098" s="243">
        <v>6.52E13</v>
      </c>
      <c r="F3098" s="245"/>
      <c r="G3098" s="235" t="s">
        <v>23423</v>
      </c>
      <c r="H3098" s="235" t="s">
        <v>23424</v>
      </c>
      <c r="I3098" s="235" t="s">
        <v>23424</v>
      </c>
      <c r="J3098" s="235" t="s">
        <v>23425</v>
      </c>
      <c r="K3098" s="235" t="s">
        <v>23426</v>
      </c>
      <c r="N3098" s="235" t="s">
        <v>842</v>
      </c>
      <c r="O3098" s="235" t="s">
        <v>843</v>
      </c>
      <c r="P3098" s="238">
        <v>1.0</v>
      </c>
      <c r="Q3098" s="235" t="s">
        <v>627</v>
      </c>
      <c r="R3098" s="238">
        <v>246.67</v>
      </c>
      <c r="S3098" s="238">
        <v>12.33</v>
      </c>
      <c r="T3098" s="238">
        <v>0.0</v>
      </c>
      <c r="U3098" s="238">
        <v>0.0</v>
      </c>
      <c r="V3098" s="238">
        <v>0.0</v>
      </c>
      <c r="W3098" s="238">
        <v>0.0</v>
      </c>
      <c r="X3098" s="235" t="s">
        <v>628</v>
      </c>
      <c r="Z3098" s="245"/>
      <c r="AA3098" s="245"/>
      <c r="AB3098" s="245"/>
      <c r="AC3098" s="235" t="s">
        <v>814</v>
      </c>
      <c r="AD3098" s="235" t="s">
        <v>698</v>
      </c>
      <c r="AE3098" s="238">
        <v>500028.0</v>
      </c>
      <c r="AF3098" s="235" t="s">
        <v>631</v>
      </c>
      <c r="AG3098" s="245"/>
      <c r="AH3098" s="245"/>
      <c r="AI3098" s="245"/>
      <c r="AJ3098" s="245"/>
      <c r="AK3098" s="245"/>
      <c r="AL3098" s="245"/>
      <c r="AM3098" s="245"/>
      <c r="AN3098" s="245"/>
      <c r="AO3098" s="238">
        <v>0.0</v>
      </c>
      <c r="AP3098" s="238">
        <v>0.0</v>
      </c>
      <c r="AQ3098" s="235" t="s">
        <v>632</v>
      </c>
      <c r="AR3098" s="243">
        <v>2.02E11</v>
      </c>
      <c r="AS3098" s="235" t="s">
        <v>22269</v>
      </c>
      <c r="AT3098" s="235" t="s">
        <v>156</v>
      </c>
      <c r="AU3098" s="235" t="s">
        <v>634</v>
      </c>
      <c r="AV3098" s="246" t="s">
        <v>635</v>
      </c>
      <c r="AW3098" s="227"/>
      <c r="AX3098" s="227"/>
      <c r="AY3098" s="227"/>
      <c r="AZ3098" s="227"/>
      <c r="BA3098" s="227"/>
      <c r="BB3098" s="227"/>
      <c r="BC3098" s="227"/>
      <c r="BD3098" s="227"/>
      <c r="BE3098" s="227"/>
      <c r="BF3098" s="227"/>
    </row>
    <row r="3099">
      <c r="A3099" s="235" t="s">
        <v>23427</v>
      </c>
      <c r="C3099" s="235" t="s">
        <v>23428</v>
      </c>
      <c r="D3099" s="235" t="s">
        <v>23429</v>
      </c>
      <c r="E3099" s="243">
        <v>6.52E13</v>
      </c>
      <c r="F3099" s="245"/>
      <c r="G3099" s="235" t="s">
        <v>23430</v>
      </c>
      <c r="H3099" s="235" t="s">
        <v>23431</v>
      </c>
      <c r="I3099" s="235" t="s">
        <v>23431</v>
      </c>
      <c r="J3099" s="235" t="s">
        <v>23432</v>
      </c>
      <c r="K3099" s="235" t="s">
        <v>23433</v>
      </c>
      <c r="N3099" s="235" t="s">
        <v>43</v>
      </c>
      <c r="O3099" s="235" t="s">
        <v>276</v>
      </c>
      <c r="P3099" s="238">
        <v>1.0</v>
      </c>
      <c r="Q3099" s="235" t="s">
        <v>627</v>
      </c>
      <c r="R3099" s="238">
        <v>235.24</v>
      </c>
      <c r="S3099" s="238">
        <v>11.76</v>
      </c>
      <c r="T3099" s="238">
        <v>0.0</v>
      </c>
      <c r="U3099" s="238">
        <v>0.0</v>
      </c>
      <c r="V3099" s="238">
        <v>0.0</v>
      </c>
      <c r="W3099" s="238">
        <v>0.0</v>
      </c>
      <c r="X3099" s="235" t="s">
        <v>628</v>
      </c>
      <c r="Z3099" s="245"/>
      <c r="AA3099" s="245"/>
      <c r="AB3099" s="245"/>
      <c r="AC3099" s="235" t="s">
        <v>1320</v>
      </c>
      <c r="AD3099" s="235" t="s">
        <v>666</v>
      </c>
      <c r="AE3099" s="238">
        <v>603210.0</v>
      </c>
      <c r="AF3099" s="235" t="s">
        <v>631</v>
      </c>
      <c r="AG3099" s="245"/>
      <c r="AH3099" s="245"/>
      <c r="AI3099" s="245"/>
      <c r="AJ3099" s="245"/>
      <c r="AK3099" s="245"/>
      <c r="AL3099" s="245"/>
      <c r="AM3099" s="245"/>
      <c r="AN3099" s="245"/>
      <c r="AO3099" s="238">
        <v>0.0</v>
      </c>
      <c r="AP3099" s="238">
        <v>0.0</v>
      </c>
      <c r="AQ3099" s="235" t="s">
        <v>632</v>
      </c>
      <c r="AR3099" s="243">
        <v>1.68E11</v>
      </c>
      <c r="AS3099" s="235" t="s">
        <v>22548</v>
      </c>
      <c r="AT3099" s="235" t="s">
        <v>156</v>
      </c>
      <c r="AU3099" s="235" t="s">
        <v>634</v>
      </c>
      <c r="AV3099" s="246" t="s">
        <v>635</v>
      </c>
      <c r="AW3099" s="227"/>
      <c r="AX3099" s="227"/>
      <c r="AY3099" s="227"/>
      <c r="AZ3099" s="227"/>
      <c r="BA3099" s="227"/>
      <c r="BB3099" s="227"/>
      <c r="BC3099" s="227"/>
      <c r="BD3099" s="227"/>
      <c r="BE3099" s="227"/>
      <c r="BF3099" s="227"/>
    </row>
    <row r="3100">
      <c r="A3100" s="235" t="s">
        <v>23434</v>
      </c>
      <c r="C3100" s="235" t="s">
        <v>23435</v>
      </c>
      <c r="D3100" s="235" t="s">
        <v>23436</v>
      </c>
      <c r="E3100" s="243">
        <v>6.52E13</v>
      </c>
      <c r="F3100" s="245"/>
      <c r="G3100" s="235" t="s">
        <v>23437</v>
      </c>
      <c r="H3100" s="235" t="s">
        <v>23438</v>
      </c>
      <c r="I3100" s="235" t="s">
        <v>23438</v>
      </c>
      <c r="J3100" s="235" t="s">
        <v>23439</v>
      </c>
      <c r="K3100" s="235" t="s">
        <v>23440</v>
      </c>
      <c r="N3100" s="235" t="s">
        <v>842</v>
      </c>
      <c r="O3100" s="235" t="s">
        <v>843</v>
      </c>
      <c r="P3100" s="238">
        <v>1.0</v>
      </c>
      <c r="Q3100" s="235" t="s">
        <v>627</v>
      </c>
      <c r="R3100" s="238">
        <v>246.67</v>
      </c>
      <c r="S3100" s="238">
        <v>12.33</v>
      </c>
      <c r="T3100" s="238">
        <v>38.1</v>
      </c>
      <c r="U3100" s="238">
        <v>1.9</v>
      </c>
      <c r="V3100" s="238">
        <v>0.0</v>
      </c>
      <c r="W3100" s="238">
        <v>0.0</v>
      </c>
      <c r="X3100" s="235" t="s">
        <v>628</v>
      </c>
      <c r="Z3100" s="245"/>
      <c r="AA3100" s="245"/>
      <c r="AB3100" s="245"/>
      <c r="AC3100" s="235" t="s">
        <v>6468</v>
      </c>
      <c r="AD3100" s="235" t="s">
        <v>908</v>
      </c>
      <c r="AE3100" s="238">
        <v>248008.0</v>
      </c>
      <c r="AF3100" s="235" t="s">
        <v>631</v>
      </c>
      <c r="AG3100" s="245"/>
      <c r="AH3100" s="245"/>
      <c r="AI3100" s="245"/>
      <c r="AJ3100" s="245"/>
      <c r="AK3100" s="245"/>
      <c r="AL3100" s="245"/>
      <c r="AM3100" s="245"/>
      <c r="AN3100" s="245"/>
      <c r="AO3100" s="238">
        <v>0.0</v>
      </c>
      <c r="AP3100" s="238">
        <v>-38.1</v>
      </c>
      <c r="AQ3100" s="235" t="s">
        <v>632</v>
      </c>
      <c r="AR3100" s="243">
        <v>3.71E11</v>
      </c>
      <c r="AS3100" s="235" t="s">
        <v>20529</v>
      </c>
      <c r="AT3100" s="235" t="s">
        <v>13</v>
      </c>
      <c r="AU3100" s="235" t="s">
        <v>634</v>
      </c>
      <c r="AV3100" s="246" t="s">
        <v>635</v>
      </c>
      <c r="AW3100" s="227"/>
      <c r="AX3100" s="227"/>
      <c r="AY3100" s="227"/>
      <c r="AZ3100" s="227"/>
      <c r="BA3100" s="227"/>
      <c r="BB3100" s="227"/>
      <c r="BC3100" s="227"/>
      <c r="BD3100" s="227"/>
      <c r="BE3100" s="227"/>
      <c r="BF3100" s="227"/>
    </row>
    <row r="3101">
      <c r="A3101" s="235" t="s">
        <v>23441</v>
      </c>
      <c r="C3101" s="235" t="s">
        <v>23442</v>
      </c>
      <c r="D3101" s="235" t="s">
        <v>23443</v>
      </c>
      <c r="E3101" s="243">
        <v>6.52E13</v>
      </c>
      <c r="F3101" s="245"/>
      <c r="G3101" s="235" t="s">
        <v>23444</v>
      </c>
      <c r="H3101" s="235" t="s">
        <v>23445</v>
      </c>
      <c r="I3101" s="235" t="s">
        <v>23445</v>
      </c>
      <c r="J3101" s="235" t="s">
        <v>23446</v>
      </c>
      <c r="K3101" s="235" t="s">
        <v>23447</v>
      </c>
      <c r="N3101" s="235" t="s">
        <v>138</v>
      </c>
      <c r="O3101" s="235" t="s">
        <v>675</v>
      </c>
      <c r="P3101" s="238">
        <v>1.0</v>
      </c>
      <c r="Q3101" s="235" t="s">
        <v>627</v>
      </c>
      <c r="R3101" s="238">
        <v>243.81</v>
      </c>
      <c r="S3101" s="238">
        <v>11.95</v>
      </c>
      <c r="T3101" s="238">
        <v>0.0</v>
      </c>
      <c r="U3101" s="238">
        <v>0.0</v>
      </c>
      <c r="V3101" s="238">
        <v>0.0</v>
      </c>
      <c r="W3101" s="238">
        <v>0.0</v>
      </c>
      <c r="X3101" s="235" t="s">
        <v>628</v>
      </c>
      <c r="Z3101" s="245"/>
      <c r="AA3101" s="245"/>
      <c r="AB3101" s="245"/>
      <c r="AC3101" s="235" t="s">
        <v>687</v>
      </c>
      <c r="AD3101" s="235" t="s">
        <v>666</v>
      </c>
      <c r="AE3101" s="238">
        <v>600063.0</v>
      </c>
      <c r="AF3101" s="235" t="s">
        <v>631</v>
      </c>
      <c r="AG3101" s="245"/>
      <c r="AH3101" s="245"/>
      <c r="AI3101" s="245"/>
      <c r="AJ3101" s="245"/>
      <c r="AK3101" s="245"/>
      <c r="AL3101" s="245"/>
      <c r="AM3101" s="245"/>
      <c r="AN3101" s="245"/>
      <c r="AO3101" s="238">
        <v>-4.88</v>
      </c>
      <c r="AP3101" s="238">
        <v>0.0</v>
      </c>
      <c r="AQ3101" s="235" t="s">
        <v>632</v>
      </c>
      <c r="AR3101" s="243">
        <v>3.71E11</v>
      </c>
      <c r="AS3101" s="235" t="s">
        <v>20529</v>
      </c>
      <c r="AT3101" s="235" t="s">
        <v>9</v>
      </c>
      <c r="AU3101" s="235" t="s">
        <v>634</v>
      </c>
      <c r="AV3101" s="246" t="s">
        <v>635</v>
      </c>
      <c r="AW3101" s="227"/>
      <c r="AX3101" s="227"/>
      <c r="AY3101" s="227"/>
      <c r="AZ3101" s="227"/>
      <c r="BA3101" s="227"/>
      <c r="BB3101" s="227"/>
      <c r="BC3101" s="227"/>
      <c r="BD3101" s="227"/>
      <c r="BE3101" s="227"/>
      <c r="BF3101" s="227"/>
    </row>
    <row r="3102">
      <c r="A3102" s="235" t="s">
        <v>23448</v>
      </c>
      <c r="C3102" s="235" t="s">
        <v>23449</v>
      </c>
      <c r="D3102" s="235" t="s">
        <v>23450</v>
      </c>
      <c r="E3102" s="243">
        <v>6.52E13</v>
      </c>
      <c r="F3102" s="245"/>
      <c r="G3102" s="235" t="s">
        <v>23451</v>
      </c>
      <c r="H3102" s="235" t="s">
        <v>23452</v>
      </c>
      <c r="I3102" s="235" t="s">
        <v>23452</v>
      </c>
      <c r="J3102" s="235" t="s">
        <v>23453</v>
      </c>
      <c r="K3102" s="235" t="s">
        <v>23454</v>
      </c>
      <c r="N3102" s="235" t="s">
        <v>145</v>
      </c>
      <c r="O3102" s="235" t="s">
        <v>370</v>
      </c>
      <c r="P3102" s="238">
        <v>1.0</v>
      </c>
      <c r="Q3102" s="235" t="s">
        <v>627</v>
      </c>
      <c r="R3102" s="238">
        <v>1522.86</v>
      </c>
      <c r="S3102" s="238">
        <v>76.14</v>
      </c>
      <c r="T3102" s="238">
        <v>0.0</v>
      </c>
      <c r="U3102" s="238">
        <v>0.0</v>
      </c>
      <c r="V3102" s="238">
        <v>0.0</v>
      </c>
      <c r="W3102" s="238">
        <v>0.0</v>
      </c>
      <c r="X3102" s="235" t="s">
        <v>628</v>
      </c>
      <c r="Z3102" s="245"/>
      <c r="AA3102" s="245"/>
      <c r="AB3102" s="245"/>
      <c r="AC3102" s="235" t="s">
        <v>2057</v>
      </c>
      <c r="AD3102" s="235" t="s">
        <v>698</v>
      </c>
      <c r="AE3102" s="238">
        <v>500009.0</v>
      </c>
      <c r="AF3102" s="235" t="s">
        <v>631</v>
      </c>
      <c r="AG3102" s="245"/>
      <c r="AH3102" s="245"/>
      <c r="AI3102" s="245"/>
      <c r="AJ3102" s="245"/>
      <c r="AK3102" s="245"/>
      <c r="AL3102" s="245"/>
      <c r="AM3102" s="245"/>
      <c r="AN3102" s="245"/>
      <c r="AO3102" s="238">
        <v>0.0</v>
      </c>
      <c r="AP3102" s="238">
        <v>0.0</v>
      </c>
      <c r="AQ3102" s="235" t="s">
        <v>632</v>
      </c>
      <c r="AR3102" s="243">
        <v>1.68E11</v>
      </c>
      <c r="AS3102" s="235" t="s">
        <v>22269</v>
      </c>
      <c r="AT3102" s="235" t="s">
        <v>9</v>
      </c>
      <c r="AU3102" s="235" t="s">
        <v>634</v>
      </c>
      <c r="AV3102" s="246" t="s">
        <v>635</v>
      </c>
      <c r="AW3102" s="227"/>
      <c r="AX3102" s="227"/>
      <c r="AY3102" s="227"/>
      <c r="AZ3102" s="227"/>
      <c r="BA3102" s="227"/>
      <c r="BB3102" s="227"/>
      <c r="BC3102" s="227"/>
      <c r="BD3102" s="227"/>
      <c r="BE3102" s="227"/>
      <c r="BF3102" s="227"/>
    </row>
    <row r="3103">
      <c r="A3103" s="235" t="s">
        <v>23455</v>
      </c>
      <c r="C3103" s="235" t="s">
        <v>23456</v>
      </c>
      <c r="D3103" s="235" t="s">
        <v>23457</v>
      </c>
      <c r="E3103" s="243">
        <v>6.52E13</v>
      </c>
      <c r="F3103" s="245"/>
      <c r="G3103" s="235" t="s">
        <v>23458</v>
      </c>
      <c r="H3103" s="235" t="s">
        <v>23459</v>
      </c>
      <c r="I3103" s="235" t="s">
        <v>23459</v>
      </c>
      <c r="J3103" s="235" t="s">
        <v>23460</v>
      </c>
      <c r="K3103" s="235" t="s">
        <v>23461</v>
      </c>
      <c r="N3103" s="235" t="s">
        <v>24</v>
      </c>
      <c r="O3103" s="235" t="s">
        <v>786</v>
      </c>
      <c r="P3103" s="238">
        <v>1.0</v>
      </c>
      <c r="Q3103" s="235" t="s">
        <v>627</v>
      </c>
      <c r="R3103" s="238">
        <v>323.8</v>
      </c>
      <c r="S3103" s="238">
        <v>15.72</v>
      </c>
      <c r="T3103" s="238">
        <v>0.0</v>
      </c>
      <c r="U3103" s="238">
        <v>0.0</v>
      </c>
      <c r="V3103" s="238">
        <v>0.0</v>
      </c>
      <c r="W3103" s="238">
        <v>0.0</v>
      </c>
      <c r="X3103" s="235" t="s">
        <v>628</v>
      </c>
      <c r="Z3103" s="245"/>
      <c r="AA3103" s="245"/>
      <c r="AB3103" s="245"/>
      <c r="AC3103" s="235" t="s">
        <v>678</v>
      </c>
      <c r="AD3103" s="235" t="s">
        <v>679</v>
      </c>
      <c r="AE3103" s="238">
        <v>560041.0</v>
      </c>
      <c r="AF3103" s="235" t="s">
        <v>631</v>
      </c>
      <c r="AG3103" s="245"/>
      <c r="AH3103" s="245"/>
      <c r="AI3103" s="245"/>
      <c r="AJ3103" s="245"/>
      <c r="AK3103" s="245"/>
      <c r="AL3103" s="245"/>
      <c r="AM3103" s="245"/>
      <c r="AN3103" s="245"/>
      <c r="AO3103" s="238">
        <v>-9.72</v>
      </c>
      <c r="AP3103" s="238">
        <v>0.0</v>
      </c>
      <c r="AQ3103" s="235" t="s">
        <v>632</v>
      </c>
      <c r="AR3103" s="243">
        <v>3.71E11</v>
      </c>
      <c r="AS3103" s="235" t="s">
        <v>22269</v>
      </c>
      <c r="AT3103" s="235" t="s">
        <v>11</v>
      </c>
      <c r="AU3103" s="235" t="s">
        <v>634</v>
      </c>
      <c r="AV3103" s="246" t="s">
        <v>635</v>
      </c>
      <c r="AW3103" s="227"/>
      <c r="AX3103" s="227"/>
      <c r="AY3103" s="227"/>
      <c r="AZ3103" s="227"/>
      <c r="BA3103" s="227"/>
      <c r="BB3103" s="227"/>
      <c r="BC3103" s="227"/>
      <c r="BD3103" s="227"/>
      <c r="BE3103" s="227"/>
      <c r="BF3103" s="227"/>
    </row>
    <row r="3104">
      <c r="A3104" s="235" t="s">
        <v>23455</v>
      </c>
      <c r="C3104" s="235" t="s">
        <v>23456</v>
      </c>
      <c r="D3104" s="235" t="s">
        <v>23462</v>
      </c>
      <c r="E3104" s="243">
        <v>6.52E13</v>
      </c>
      <c r="F3104" s="245"/>
      <c r="G3104" s="235" t="s">
        <v>23458</v>
      </c>
      <c r="H3104" s="235" t="s">
        <v>23459</v>
      </c>
      <c r="I3104" s="235" t="s">
        <v>23459</v>
      </c>
      <c r="J3104" s="235" t="s">
        <v>23460</v>
      </c>
      <c r="K3104" s="235" t="s">
        <v>23461</v>
      </c>
      <c r="N3104" s="235" t="s">
        <v>24</v>
      </c>
      <c r="O3104" s="235" t="s">
        <v>786</v>
      </c>
      <c r="P3104" s="238">
        <v>1.0</v>
      </c>
      <c r="Q3104" s="235" t="s">
        <v>627</v>
      </c>
      <c r="R3104" s="238">
        <v>323.8</v>
      </c>
      <c r="S3104" s="238">
        <v>15.72</v>
      </c>
      <c r="T3104" s="238">
        <v>0.0</v>
      </c>
      <c r="U3104" s="238">
        <v>0.0</v>
      </c>
      <c r="V3104" s="238">
        <v>0.0</v>
      </c>
      <c r="W3104" s="238">
        <v>0.0</v>
      </c>
      <c r="X3104" s="235" t="s">
        <v>628</v>
      </c>
      <c r="Z3104" s="245"/>
      <c r="AA3104" s="245"/>
      <c r="AB3104" s="245"/>
      <c r="AC3104" s="235" t="s">
        <v>678</v>
      </c>
      <c r="AD3104" s="235" t="s">
        <v>679</v>
      </c>
      <c r="AE3104" s="238">
        <v>560041.0</v>
      </c>
      <c r="AF3104" s="235" t="s">
        <v>631</v>
      </c>
      <c r="AG3104" s="245"/>
      <c r="AH3104" s="245"/>
      <c r="AI3104" s="245"/>
      <c r="AJ3104" s="245"/>
      <c r="AK3104" s="245"/>
      <c r="AL3104" s="245"/>
      <c r="AM3104" s="245"/>
      <c r="AN3104" s="245"/>
      <c r="AO3104" s="238">
        <v>-9.72</v>
      </c>
      <c r="AP3104" s="238">
        <v>0.0</v>
      </c>
      <c r="AQ3104" s="235" t="s">
        <v>632</v>
      </c>
      <c r="AR3104" s="243">
        <v>3.71E11</v>
      </c>
      <c r="AS3104" s="235" t="s">
        <v>22269</v>
      </c>
      <c r="AT3104" s="235" t="s">
        <v>11</v>
      </c>
      <c r="AU3104" s="235" t="s">
        <v>634</v>
      </c>
      <c r="AV3104" s="246" t="s">
        <v>635</v>
      </c>
      <c r="AW3104" s="227"/>
      <c r="AX3104" s="227"/>
      <c r="AY3104" s="227"/>
      <c r="AZ3104" s="227"/>
      <c r="BA3104" s="227"/>
      <c r="BB3104" s="227"/>
      <c r="BC3104" s="227"/>
      <c r="BD3104" s="227"/>
      <c r="BE3104" s="227"/>
      <c r="BF3104" s="227"/>
    </row>
    <row r="3105">
      <c r="A3105" s="235" t="s">
        <v>23463</v>
      </c>
      <c r="C3105" s="235" t="s">
        <v>23464</v>
      </c>
      <c r="D3105" s="235" t="s">
        <v>23465</v>
      </c>
      <c r="E3105" s="243">
        <v>6.52E13</v>
      </c>
      <c r="F3105" s="245"/>
      <c r="G3105" s="235" t="s">
        <v>23466</v>
      </c>
      <c r="H3105" s="235" t="s">
        <v>23467</v>
      </c>
      <c r="I3105" s="235" t="s">
        <v>23467</v>
      </c>
      <c r="J3105" s="235" t="s">
        <v>23468</v>
      </c>
      <c r="K3105" s="235" t="s">
        <v>23469</v>
      </c>
      <c r="N3105" s="235" t="s">
        <v>55</v>
      </c>
      <c r="O3105" s="235" t="s">
        <v>244</v>
      </c>
      <c r="P3105" s="238">
        <v>1.0</v>
      </c>
      <c r="Q3105" s="235" t="s">
        <v>627</v>
      </c>
      <c r="R3105" s="238">
        <v>246.66</v>
      </c>
      <c r="S3105" s="238">
        <v>12.34</v>
      </c>
      <c r="T3105" s="238">
        <v>38.1</v>
      </c>
      <c r="U3105" s="238">
        <v>1.9</v>
      </c>
      <c r="V3105" s="238">
        <v>0.0</v>
      </c>
      <c r="W3105" s="238">
        <v>0.0</v>
      </c>
      <c r="X3105" s="235" t="s">
        <v>628</v>
      </c>
      <c r="Z3105" s="245"/>
      <c r="AA3105" s="245"/>
      <c r="AB3105" s="245"/>
      <c r="AC3105" s="235" t="s">
        <v>6804</v>
      </c>
      <c r="AD3105" s="235" t="s">
        <v>666</v>
      </c>
      <c r="AE3105" s="238">
        <v>624001.0</v>
      </c>
      <c r="AF3105" s="235" t="s">
        <v>631</v>
      </c>
      <c r="AG3105" s="245"/>
      <c r="AH3105" s="245"/>
      <c r="AI3105" s="245"/>
      <c r="AJ3105" s="245"/>
      <c r="AK3105" s="245"/>
      <c r="AL3105" s="245"/>
      <c r="AM3105" s="245"/>
      <c r="AN3105" s="245"/>
      <c r="AO3105" s="238">
        <v>0.0</v>
      </c>
      <c r="AP3105" s="238">
        <v>-38.1</v>
      </c>
      <c r="AQ3105" s="235" t="s">
        <v>632</v>
      </c>
      <c r="AR3105" s="243">
        <v>3.71E11</v>
      </c>
      <c r="AS3105" s="235" t="s">
        <v>22269</v>
      </c>
      <c r="AT3105" s="235" t="s">
        <v>155</v>
      </c>
      <c r="AU3105" s="235" t="s">
        <v>634</v>
      </c>
      <c r="AV3105" s="246" t="s">
        <v>635</v>
      </c>
      <c r="AW3105" s="227"/>
      <c r="AX3105" s="227"/>
      <c r="AY3105" s="227"/>
      <c r="AZ3105" s="227"/>
      <c r="BA3105" s="227"/>
      <c r="BB3105" s="227"/>
      <c r="BC3105" s="227"/>
      <c r="BD3105" s="227"/>
      <c r="BE3105" s="227"/>
      <c r="BF3105" s="227"/>
    </row>
    <row r="3106">
      <c r="A3106" s="235" t="s">
        <v>23470</v>
      </c>
      <c r="C3106" s="235" t="s">
        <v>23471</v>
      </c>
      <c r="D3106" s="235" t="s">
        <v>23472</v>
      </c>
      <c r="E3106" s="243">
        <v>6.52E13</v>
      </c>
      <c r="F3106" s="245"/>
      <c r="G3106" s="235" t="s">
        <v>23473</v>
      </c>
      <c r="H3106" s="235" t="s">
        <v>23474</v>
      </c>
      <c r="I3106" s="235" t="s">
        <v>23474</v>
      </c>
      <c r="J3106" s="235" t="s">
        <v>23475</v>
      </c>
      <c r="K3106" s="235" t="s">
        <v>23476</v>
      </c>
      <c r="N3106" s="235" t="s">
        <v>85</v>
      </c>
      <c r="O3106" s="235" t="s">
        <v>872</v>
      </c>
      <c r="P3106" s="238">
        <v>1.0</v>
      </c>
      <c r="Q3106" s="235" t="s">
        <v>627</v>
      </c>
      <c r="R3106" s="238">
        <v>246.67</v>
      </c>
      <c r="S3106" s="238">
        <v>12.33</v>
      </c>
      <c r="T3106" s="238">
        <v>0.0</v>
      </c>
      <c r="U3106" s="238">
        <v>0.0</v>
      </c>
      <c r="V3106" s="238">
        <v>0.0</v>
      </c>
      <c r="W3106" s="238">
        <v>0.0</v>
      </c>
      <c r="X3106" s="235" t="s">
        <v>628</v>
      </c>
      <c r="Z3106" s="245"/>
      <c r="AA3106" s="245"/>
      <c r="AB3106" s="245"/>
      <c r="AC3106" s="235" t="s">
        <v>814</v>
      </c>
      <c r="AD3106" s="235" t="s">
        <v>698</v>
      </c>
      <c r="AE3106" s="238">
        <v>500076.0</v>
      </c>
      <c r="AF3106" s="235" t="s">
        <v>631</v>
      </c>
      <c r="AG3106" s="245"/>
      <c r="AH3106" s="245"/>
      <c r="AI3106" s="245"/>
      <c r="AJ3106" s="245"/>
      <c r="AK3106" s="245"/>
      <c r="AL3106" s="245"/>
      <c r="AM3106" s="245"/>
      <c r="AN3106" s="245"/>
      <c r="AO3106" s="238">
        <v>0.0</v>
      </c>
      <c r="AP3106" s="238">
        <v>0.0</v>
      </c>
      <c r="AQ3106" s="235" t="s">
        <v>632</v>
      </c>
      <c r="AR3106" s="243">
        <v>2.02E11</v>
      </c>
      <c r="AS3106" s="235" t="s">
        <v>22269</v>
      </c>
      <c r="AT3106" s="235" t="s">
        <v>156</v>
      </c>
      <c r="AU3106" s="235" t="s">
        <v>634</v>
      </c>
      <c r="AV3106" s="246" t="s">
        <v>635</v>
      </c>
      <c r="AW3106" s="227"/>
      <c r="AX3106" s="227"/>
      <c r="AY3106" s="227"/>
      <c r="AZ3106" s="227"/>
      <c r="BA3106" s="227"/>
      <c r="BB3106" s="227"/>
      <c r="BC3106" s="227"/>
      <c r="BD3106" s="227"/>
      <c r="BE3106" s="227"/>
      <c r="BF3106" s="227"/>
    </row>
    <row r="3107">
      <c r="A3107" s="235" t="s">
        <v>23477</v>
      </c>
      <c r="C3107" s="235" t="s">
        <v>23478</v>
      </c>
      <c r="D3107" s="235" t="s">
        <v>23479</v>
      </c>
      <c r="E3107" s="243">
        <v>6.52E13</v>
      </c>
      <c r="F3107" s="245"/>
      <c r="G3107" s="235" t="s">
        <v>23480</v>
      </c>
      <c r="H3107" s="235" t="s">
        <v>23481</v>
      </c>
      <c r="I3107" s="235" t="s">
        <v>23481</v>
      </c>
      <c r="J3107" s="235" t="s">
        <v>23482</v>
      </c>
      <c r="K3107" s="235" t="s">
        <v>23483</v>
      </c>
      <c r="N3107" s="235" t="s">
        <v>43</v>
      </c>
      <c r="O3107" s="235" t="s">
        <v>276</v>
      </c>
      <c r="P3107" s="238">
        <v>1.0</v>
      </c>
      <c r="Q3107" s="235" t="s">
        <v>627</v>
      </c>
      <c r="R3107" s="238">
        <v>235.24</v>
      </c>
      <c r="S3107" s="238">
        <v>11.76</v>
      </c>
      <c r="T3107" s="238">
        <v>0.0</v>
      </c>
      <c r="U3107" s="238">
        <v>0.0</v>
      </c>
      <c r="V3107" s="238">
        <v>0.0</v>
      </c>
      <c r="W3107" s="238">
        <v>0.0</v>
      </c>
      <c r="X3107" s="235" t="s">
        <v>628</v>
      </c>
      <c r="Z3107" s="245"/>
      <c r="AA3107" s="245"/>
      <c r="AB3107" s="245"/>
      <c r="AC3107" s="235" t="s">
        <v>15727</v>
      </c>
      <c r="AD3107" s="235" t="s">
        <v>645</v>
      </c>
      <c r="AE3107" s="238">
        <v>682301.0</v>
      </c>
      <c r="AF3107" s="235" t="s">
        <v>631</v>
      </c>
      <c r="AG3107" s="245"/>
      <c r="AH3107" s="245"/>
      <c r="AI3107" s="245"/>
      <c r="AJ3107" s="245"/>
      <c r="AK3107" s="245"/>
      <c r="AL3107" s="245"/>
      <c r="AM3107" s="245"/>
      <c r="AN3107" s="245"/>
      <c r="AO3107" s="238">
        <v>0.0</v>
      </c>
      <c r="AP3107" s="238">
        <v>0.0</v>
      </c>
      <c r="AQ3107" s="235" t="s">
        <v>632</v>
      </c>
      <c r="AR3107" s="243">
        <v>3.71E11</v>
      </c>
      <c r="AS3107" s="235" t="s">
        <v>22269</v>
      </c>
      <c r="AT3107" s="235" t="s">
        <v>155</v>
      </c>
      <c r="AU3107" s="235" t="s">
        <v>634</v>
      </c>
      <c r="AV3107" s="246" t="s">
        <v>635</v>
      </c>
      <c r="AW3107" s="227"/>
      <c r="AX3107" s="227"/>
      <c r="AY3107" s="227"/>
      <c r="AZ3107" s="227"/>
      <c r="BA3107" s="227"/>
      <c r="BB3107" s="227"/>
      <c r="BC3107" s="227"/>
      <c r="BD3107" s="227"/>
      <c r="BE3107" s="227"/>
      <c r="BF3107" s="227"/>
    </row>
    <row r="3108">
      <c r="A3108" s="235" t="s">
        <v>23484</v>
      </c>
      <c r="C3108" s="235" t="s">
        <v>23485</v>
      </c>
      <c r="D3108" s="235" t="s">
        <v>23486</v>
      </c>
      <c r="E3108" s="243">
        <v>6.52E13</v>
      </c>
      <c r="F3108" s="245"/>
      <c r="G3108" s="235" t="s">
        <v>23487</v>
      </c>
      <c r="H3108" s="235" t="s">
        <v>23488</v>
      </c>
      <c r="I3108" s="235" t="s">
        <v>23488</v>
      </c>
      <c r="J3108" s="235" t="s">
        <v>23489</v>
      </c>
      <c r="K3108" s="235" t="s">
        <v>23490</v>
      </c>
      <c r="N3108" s="235" t="s">
        <v>141</v>
      </c>
      <c r="O3108" s="235" t="s">
        <v>342</v>
      </c>
      <c r="P3108" s="238">
        <v>1.0</v>
      </c>
      <c r="Q3108" s="235" t="s">
        <v>627</v>
      </c>
      <c r="R3108" s="238">
        <v>243.8</v>
      </c>
      <c r="S3108" s="238">
        <v>12.2</v>
      </c>
      <c r="T3108" s="238">
        <v>0.0</v>
      </c>
      <c r="U3108" s="238">
        <v>0.0</v>
      </c>
      <c r="V3108" s="238">
        <v>0.0</v>
      </c>
      <c r="W3108" s="238">
        <v>0.0</v>
      </c>
      <c r="X3108" s="235" t="s">
        <v>628</v>
      </c>
      <c r="Z3108" s="245"/>
      <c r="AA3108" s="245"/>
      <c r="AB3108" s="245"/>
      <c r="AC3108" s="235" t="s">
        <v>5923</v>
      </c>
      <c r="AD3108" s="235" t="s">
        <v>666</v>
      </c>
      <c r="AE3108" s="238">
        <v>620008.0</v>
      </c>
      <c r="AF3108" s="235" t="s">
        <v>631</v>
      </c>
      <c r="AG3108" s="245"/>
      <c r="AH3108" s="245"/>
      <c r="AI3108" s="245"/>
      <c r="AJ3108" s="245"/>
      <c r="AK3108" s="245"/>
      <c r="AL3108" s="245"/>
      <c r="AM3108" s="245"/>
      <c r="AN3108" s="245"/>
      <c r="AO3108" s="238">
        <v>0.0</v>
      </c>
      <c r="AP3108" s="238">
        <v>0.0</v>
      </c>
      <c r="AQ3108" s="235" t="s">
        <v>632</v>
      </c>
      <c r="AR3108" s="243">
        <v>3.71E11</v>
      </c>
      <c r="AS3108" s="235" t="s">
        <v>22269</v>
      </c>
      <c r="AT3108" s="235" t="s">
        <v>155</v>
      </c>
      <c r="AU3108" s="235" t="s">
        <v>634</v>
      </c>
      <c r="AV3108" s="246" t="s">
        <v>635</v>
      </c>
      <c r="AW3108" s="227"/>
      <c r="AX3108" s="227"/>
      <c r="AY3108" s="227"/>
      <c r="AZ3108" s="227"/>
      <c r="BA3108" s="227"/>
      <c r="BB3108" s="227"/>
      <c r="BC3108" s="227"/>
      <c r="BD3108" s="227"/>
      <c r="BE3108" s="227"/>
      <c r="BF3108" s="227"/>
    </row>
    <row r="3109">
      <c r="A3109" s="235" t="s">
        <v>23491</v>
      </c>
      <c r="C3109" s="235" t="s">
        <v>23492</v>
      </c>
      <c r="D3109" s="235" t="s">
        <v>23493</v>
      </c>
      <c r="E3109" s="243">
        <v>6.52E13</v>
      </c>
      <c r="F3109" s="245"/>
      <c r="G3109" s="235" t="s">
        <v>23494</v>
      </c>
      <c r="H3109" s="235" t="s">
        <v>23495</v>
      </c>
      <c r="I3109" s="235" t="s">
        <v>23495</v>
      </c>
      <c r="J3109" s="235" t="s">
        <v>23496</v>
      </c>
      <c r="K3109" s="235" t="s">
        <v>23497</v>
      </c>
      <c r="N3109" s="235" t="s">
        <v>54</v>
      </c>
      <c r="O3109" s="235" t="s">
        <v>294</v>
      </c>
      <c r="P3109" s="238">
        <v>1.0</v>
      </c>
      <c r="Q3109" s="235" t="s">
        <v>627</v>
      </c>
      <c r="R3109" s="238">
        <v>233.33</v>
      </c>
      <c r="S3109" s="238">
        <v>11.67</v>
      </c>
      <c r="T3109" s="238">
        <v>0.0</v>
      </c>
      <c r="U3109" s="238">
        <v>0.0</v>
      </c>
      <c r="V3109" s="238">
        <v>0.0</v>
      </c>
      <c r="W3109" s="238">
        <v>0.0</v>
      </c>
      <c r="X3109" s="235" t="s">
        <v>628</v>
      </c>
      <c r="Z3109" s="245"/>
      <c r="AA3109" s="245"/>
      <c r="AB3109" s="245"/>
      <c r="AC3109" s="235" t="s">
        <v>6127</v>
      </c>
      <c r="AD3109" s="235" t="s">
        <v>645</v>
      </c>
      <c r="AE3109" s="238">
        <v>683106.0</v>
      </c>
      <c r="AF3109" s="235" t="s">
        <v>631</v>
      </c>
      <c r="AG3109" s="245"/>
      <c r="AH3109" s="245"/>
      <c r="AI3109" s="245"/>
      <c r="AJ3109" s="245"/>
      <c r="AK3109" s="245"/>
      <c r="AL3109" s="245"/>
      <c r="AM3109" s="245"/>
      <c r="AN3109" s="245"/>
      <c r="AO3109" s="238">
        <v>0.0</v>
      </c>
      <c r="AP3109" s="238">
        <v>0.0</v>
      </c>
      <c r="AQ3109" s="235" t="s">
        <v>632</v>
      </c>
      <c r="AR3109" s="243">
        <v>1.68E11</v>
      </c>
      <c r="AS3109" s="235" t="s">
        <v>22269</v>
      </c>
      <c r="AT3109" s="235" t="s">
        <v>11</v>
      </c>
      <c r="AU3109" s="235" t="s">
        <v>634</v>
      </c>
      <c r="AV3109" s="246" t="s">
        <v>635</v>
      </c>
      <c r="AW3109" s="227"/>
      <c r="AX3109" s="227"/>
      <c r="AY3109" s="227"/>
      <c r="AZ3109" s="227"/>
      <c r="BA3109" s="227"/>
      <c r="BB3109" s="227"/>
      <c r="BC3109" s="227"/>
      <c r="BD3109" s="227"/>
      <c r="BE3109" s="227"/>
      <c r="BF3109" s="227"/>
    </row>
    <row r="3110">
      <c r="A3110" s="235" t="s">
        <v>23498</v>
      </c>
      <c r="C3110" s="235" t="s">
        <v>23499</v>
      </c>
      <c r="D3110" s="235" t="s">
        <v>23500</v>
      </c>
      <c r="E3110" s="243">
        <v>6.52E13</v>
      </c>
      <c r="F3110" s="245"/>
      <c r="G3110" s="235" t="s">
        <v>23501</v>
      </c>
      <c r="H3110" s="235" t="s">
        <v>23502</v>
      </c>
      <c r="I3110" s="235" t="s">
        <v>23502</v>
      </c>
      <c r="J3110" s="235" t="s">
        <v>23503</v>
      </c>
      <c r="K3110" s="235" t="s">
        <v>23504</v>
      </c>
      <c r="N3110" s="235" t="s">
        <v>4</v>
      </c>
      <c r="O3110" s="235" t="s">
        <v>1791</v>
      </c>
      <c r="P3110" s="238">
        <v>1.0</v>
      </c>
      <c r="Q3110" s="235" t="s">
        <v>627</v>
      </c>
      <c r="R3110" s="238">
        <v>265.72</v>
      </c>
      <c r="S3110" s="238">
        <v>13.28</v>
      </c>
      <c r="T3110" s="238">
        <v>0.0</v>
      </c>
      <c r="U3110" s="238">
        <v>0.0</v>
      </c>
      <c r="V3110" s="238">
        <v>0.0</v>
      </c>
      <c r="W3110" s="238">
        <v>0.0</v>
      </c>
      <c r="X3110" s="235" t="s">
        <v>628</v>
      </c>
      <c r="Z3110" s="245"/>
      <c r="AA3110" s="245"/>
      <c r="AB3110" s="245"/>
      <c r="AC3110" s="235" t="s">
        <v>1910</v>
      </c>
      <c r="AD3110" s="235" t="s">
        <v>928</v>
      </c>
      <c r="AE3110" s="238">
        <v>122011.0</v>
      </c>
      <c r="AF3110" s="235" t="s">
        <v>631</v>
      </c>
      <c r="AG3110" s="245"/>
      <c r="AH3110" s="245"/>
      <c r="AI3110" s="245"/>
      <c r="AJ3110" s="245"/>
      <c r="AK3110" s="245"/>
      <c r="AL3110" s="245"/>
      <c r="AM3110" s="245"/>
      <c r="AN3110" s="245"/>
      <c r="AO3110" s="238">
        <v>0.0</v>
      </c>
      <c r="AP3110" s="238">
        <v>0.0</v>
      </c>
      <c r="AQ3110" s="235" t="s">
        <v>632</v>
      </c>
      <c r="AR3110" s="243">
        <v>3.71E11</v>
      </c>
      <c r="AS3110" s="235" t="s">
        <v>22269</v>
      </c>
      <c r="AT3110" s="235" t="s">
        <v>13</v>
      </c>
      <c r="AU3110" s="235" t="s">
        <v>634</v>
      </c>
      <c r="AV3110" s="246" t="s">
        <v>635</v>
      </c>
      <c r="AW3110" s="227"/>
      <c r="AX3110" s="227"/>
      <c r="AY3110" s="227"/>
      <c r="AZ3110" s="227"/>
      <c r="BA3110" s="227"/>
      <c r="BB3110" s="227"/>
      <c r="BC3110" s="227"/>
      <c r="BD3110" s="227"/>
      <c r="BE3110" s="227"/>
      <c r="BF3110" s="227"/>
    </row>
    <row r="3111">
      <c r="A3111" s="235" t="s">
        <v>23505</v>
      </c>
      <c r="C3111" s="235" t="s">
        <v>23506</v>
      </c>
      <c r="D3111" s="235" t="s">
        <v>23507</v>
      </c>
      <c r="E3111" s="243">
        <v>6.52E13</v>
      </c>
      <c r="F3111" s="245"/>
      <c r="G3111" s="235" t="s">
        <v>23508</v>
      </c>
      <c r="H3111" s="235" t="s">
        <v>23509</v>
      </c>
      <c r="I3111" s="235" t="s">
        <v>23510</v>
      </c>
      <c r="J3111" s="235" t="s">
        <v>23511</v>
      </c>
      <c r="K3111" s="235" t="s">
        <v>23512</v>
      </c>
      <c r="N3111" s="235" t="s">
        <v>962</v>
      </c>
      <c r="O3111" s="235" t="s">
        <v>963</v>
      </c>
      <c r="P3111" s="238">
        <v>1.0</v>
      </c>
      <c r="Q3111" s="235" t="s">
        <v>627</v>
      </c>
      <c r="R3111" s="238">
        <v>245.71</v>
      </c>
      <c r="S3111" s="238">
        <v>12.29</v>
      </c>
      <c r="T3111" s="238">
        <v>0.0</v>
      </c>
      <c r="U3111" s="238">
        <v>0.0</v>
      </c>
      <c r="V3111" s="238">
        <v>0.0</v>
      </c>
      <c r="W3111" s="238">
        <v>0.0</v>
      </c>
      <c r="X3111" s="235" t="s">
        <v>628</v>
      </c>
      <c r="Z3111" s="245"/>
      <c r="AA3111" s="245"/>
      <c r="AB3111" s="245"/>
      <c r="AC3111" s="235" t="s">
        <v>1095</v>
      </c>
      <c r="AD3111" s="235" t="s">
        <v>845</v>
      </c>
      <c r="AE3111" s="238">
        <v>400709.0</v>
      </c>
      <c r="AF3111" s="235" t="s">
        <v>631</v>
      </c>
      <c r="AG3111" s="245"/>
      <c r="AH3111" s="245"/>
      <c r="AI3111" s="245"/>
      <c r="AJ3111" s="245"/>
      <c r="AK3111" s="245"/>
      <c r="AL3111" s="245"/>
      <c r="AM3111" s="245"/>
      <c r="AN3111" s="245"/>
      <c r="AO3111" s="238">
        <v>0.0</v>
      </c>
      <c r="AP3111" s="238">
        <v>0.0</v>
      </c>
      <c r="AQ3111" s="235" t="s">
        <v>632</v>
      </c>
      <c r="AR3111" s="243">
        <v>1.68E11</v>
      </c>
      <c r="AS3111" s="235" t="s">
        <v>20529</v>
      </c>
      <c r="AT3111" s="235" t="s">
        <v>9</v>
      </c>
      <c r="AU3111" s="235" t="s">
        <v>634</v>
      </c>
      <c r="AV3111" s="246" t="s">
        <v>635</v>
      </c>
      <c r="AW3111" s="227"/>
      <c r="AX3111" s="227"/>
      <c r="AY3111" s="227"/>
      <c r="AZ3111" s="227"/>
      <c r="BA3111" s="227"/>
      <c r="BB3111" s="227"/>
      <c r="BC3111" s="227"/>
      <c r="BD3111" s="227"/>
      <c r="BE3111" s="227"/>
      <c r="BF3111" s="227"/>
    </row>
    <row r="3112">
      <c r="A3112" s="235" t="s">
        <v>23513</v>
      </c>
      <c r="C3112" s="235" t="s">
        <v>23514</v>
      </c>
      <c r="D3112" s="235" t="s">
        <v>23515</v>
      </c>
      <c r="E3112" s="243">
        <v>6.52E13</v>
      </c>
      <c r="F3112" s="245"/>
      <c r="G3112" s="235" t="s">
        <v>23516</v>
      </c>
      <c r="H3112" s="235" t="s">
        <v>23517</v>
      </c>
      <c r="I3112" s="235" t="s">
        <v>23517</v>
      </c>
      <c r="J3112" s="235" t="s">
        <v>23518</v>
      </c>
      <c r="K3112" s="235" t="s">
        <v>23519</v>
      </c>
      <c r="N3112" s="235" t="s">
        <v>49</v>
      </c>
      <c r="O3112" s="235" t="s">
        <v>321</v>
      </c>
      <c r="P3112" s="238">
        <v>1.0</v>
      </c>
      <c r="Q3112" s="235" t="s">
        <v>627</v>
      </c>
      <c r="R3112" s="238">
        <v>237.14</v>
      </c>
      <c r="S3112" s="238">
        <v>11.86</v>
      </c>
      <c r="T3112" s="238">
        <v>0.0</v>
      </c>
      <c r="U3112" s="238">
        <v>0.0</v>
      </c>
      <c r="V3112" s="238">
        <v>0.0</v>
      </c>
      <c r="W3112" s="238">
        <v>0.0</v>
      </c>
      <c r="X3112" s="235" t="s">
        <v>628</v>
      </c>
      <c r="Z3112" s="245"/>
      <c r="AA3112" s="245"/>
      <c r="AB3112" s="245"/>
      <c r="AC3112" s="235" t="s">
        <v>9521</v>
      </c>
      <c r="AD3112" s="235" t="s">
        <v>1077</v>
      </c>
      <c r="AE3112" s="238">
        <v>395001.0</v>
      </c>
      <c r="AF3112" s="235" t="s">
        <v>631</v>
      </c>
      <c r="AG3112" s="245"/>
      <c r="AH3112" s="245"/>
      <c r="AI3112" s="245"/>
      <c r="AJ3112" s="245"/>
      <c r="AK3112" s="245"/>
      <c r="AL3112" s="245"/>
      <c r="AM3112" s="245"/>
      <c r="AN3112" s="245"/>
      <c r="AO3112" s="238">
        <v>0.0</v>
      </c>
      <c r="AP3112" s="238">
        <v>0.0</v>
      </c>
      <c r="AQ3112" s="235" t="s">
        <v>632</v>
      </c>
      <c r="AR3112" s="243">
        <v>3.71E11</v>
      </c>
      <c r="AS3112" s="235" t="s">
        <v>20529</v>
      </c>
      <c r="AT3112" s="235" t="s">
        <v>16</v>
      </c>
      <c r="AU3112" s="235" t="s">
        <v>634</v>
      </c>
      <c r="AV3112" s="246" t="s">
        <v>635</v>
      </c>
      <c r="AW3112" s="227"/>
      <c r="AX3112" s="227"/>
      <c r="AY3112" s="227"/>
      <c r="AZ3112" s="227"/>
      <c r="BA3112" s="227"/>
      <c r="BB3112" s="227"/>
      <c r="BC3112" s="227"/>
      <c r="BD3112" s="227"/>
      <c r="BE3112" s="227"/>
      <c r="BF3112" s="227"/>
    </row>
    <row r="3113">
      <c r="A3113" s="235" t="s">
        <v>23520</v>
      </c>
      <c r="C3113" s="235" t="s">
        <v>23521</v>
      </c>
      <c r="D3113" s="235" t="s">
        <v>23522</v>
      </c>
      <c r="E3113" s="243">
        <v>6.52E13</v>
      </c>
      <c r="F3113" s="245"/>
      <c r="G3113" s="235" t="s">
        <v>23523</v>
      </c>
      <c r="H3113" s="235" t="s">
        <v>23524</v>
      </c>
      <c r="I3113" s="235" t="s">
        <v>23524</v>
      </c>
      <c r="J3113" s="235" t="s">
        <v>23525</v>
      </c>
      <c r="K3113" s="235" t="s">
        <v>23526</v>
      </c>
      <c r="N3113" s="235" t="s">
        <v>962</v>
      </c>
      <c r="O3113" s="235" t="s">
        <v>963</v>
      </c>
      <c r="P3113" s="238">
        <v>1.0</v>
      </c>
      <c r="Q3113" s="235" t="s">
        <v>627</v>
      </c>
      <c r="R3113" s="238">
        <v>245.71</v>
      </c>
      <c r="S3113" s="238">
        <v>12.04</v>
      </c>
      <c r="T3113" s="238">
        <v>0.0</v>
      </c>
      <c r="U3113" s="238">
        <v>0.0</v>
      </c>
      <c r="V3113" s="238">
        <v>0.0</v>
      </c>
      <c r="W3113" s="238">
        <v>0.0</v>
      </c>
      <c r="X3113" s="235" t="s">
        <v>628</v>
      </c>
      <c r="Z3113" s="245"/>
      <c r="AA3113" s="245"/>
      <c r="AB3113" s="245"/>
      <c r="AC3113" s="235" t="s">
        <v>795</v>
      </c>
      <c r="AD3113" s="235" t="s">
        <v>796</v>
      </c>
      <c r="AE3113" s="238">
        <v>110045.0</v>
      </c>
      <c r="AF3113" s="235" t="s">
        <v>631</v>
      </c>
      <c r="AG3113" s="245"/>
      <c r="AH3113" s="245"/>
      <c r="AI3113" s="245"/>
      <c r="AJ3113" s="245"/>
      <c r="AK3113" s="245"/>
      <c r="AL3113" s="245"/>
      <c r="AM3113" s="245"/>
      <c r="AN3113" s="245"/>
      <c r="AO3113" s="238">
        <v>-4.91</v>
      </c>
      <c r="AP3113" s="238">
        <v>0.0</v>
      </c>
      <c r="AQ3113" s="235" t="s">
        <v>632</v>
      </c>
      <c r="AR3113" s="243">
        <v>3.71E11</v>
      </c>
      <c r="AS3113" s="235" t="s">
        <v>22269</v>
      </c>
      <c r="AT3113" s="235" t="s">
        <v>14</v>
      </c>
      <c r="AU3113" s="235" t="s">
        <v>634</v>
      </c>
      <c r="AV3113" s="246" t="s">
        <v>635</v>
      </c>
      <c r="AW3113" s="227"/>
      <c r="AX3113" s="227"/>
      <c r="AY3113" s="227"/>
      <c r="AZ3113" s="227"/>
      <c r="BA3113" s="227"/>
      <c r="BB3113" s="227"/>
      <c r="BC3113" s="227"/>
      <c r="BD3113" s="227"/>
      <c r="BE3113" s="227"/>
      <c r="BF3113" s="227"/>
    </row>
    <row r="3114">
      <c r="A3114" s="235" t="s">
        <v>23527</v>
      </c>
      <c r="C3114" s="235" t="s">
        <v>23528</v>
      </c>
      <c r="D3114" s="235" t="s">
        <v>23529</v>
      </c>
      <c r="E3114" s="243">
        <v>6.52E13</v>
      </c>
      <c r="F3114" s="245"/>
      <c r="G3114" s="235" t="s">
        <v>23530</v>
      </c>
      <c r="H3114" s="235" t="s">
        <v>23531</v>
      </c>
      <c r="I3114" s="235" t="s">
        <v>23532</v>
      </c>
      <c r="J3114" s="235" t="s">
        <v>23533</v>
      </c>
      <c r="K3114" s="235" t="s">
        <v>23534</v>
      </c>
      <c r="N3114" s="235" t="s">
        <v>75</v>
      </c>
      <c r="O3114" s="235" t="s">
        <v>2108</v>
      </c>
      <c r="P3114" s="238">
        <v>1.0</v>
      </c>
      <c r="Q3114" s="235" t="s">
        <v>627</v>
      </c>
      <c r="R3114" s="238">
        <v>360.95</v>
      </c>
      <c r="S3114" s="238">
        <v>17.69</v>
      </c>
      <c r="T3114" s="238">
        <v>0.0</v>
      </c>
      <c r="U3114" s="238">
        <v>0.0</v>
      </c>
      <c r="V3114" s="238">
        <v>0.0</v>
      </c>
      <c r="W3114" s="238">
        <v>0.0</v>
      </c>
      <c r="X3114" s="235" t="s">
        <v>628</v>
      </c>
      <c r="Z3114" s="245"/>
      <c r="AA3114" s="245"/>
      <c r="AB3114" s="245"/>
      <c r="AC3114" s="235" t="s">
        <v>1085</v>
      </c>
      <c r="AD3114" s="235" t="s">
        <v>1086</v>
      </c>
      <c r="AE3114" s="238">
        <v>141007.0</v>
      </c>
      <c r="AF3114" s="235" t="s">
        <v>631</v>
      </c>
      <c r="AG3114" s="245"/>
      <c r="AH3114" s="245"/>
      <c r="AI3114" s="245"/>
      <c r="AJ3114" s="245"/>
      <c r="AK3114" s="245"/>
      <c r="AL3114" s="245"/>
      <c r="AM3114" s="245"/>
      <c r="AN3114" s="245"/>
      <c r="AO3114" s="238">
        <v>-7.22</v>
      </c>
      <c r="AP3114" s="238">
        <v>0.0</v>
      </c>
      <c r="AQ3114" s="235" t="s">
        <v>632</v>
      </c>
      <c r="AR3114" s="243">
        <v>3.71E11</v>
      </c>
      <c r="AS3114" s="235" t="s">
        <v>20529</v>
      </c>
      <c r="AT3114" s="235" t="s">
        <v>13</v>
      </c>
      <c r="AU3114" s="235" t="s">
        <v>634</v>
      </c>
      <c r="AV3114" s="246" t="s">
        <v>635</v>
      </c>
      <c r="AW3114" s="227"/>
      <c r="AX3114" s="227"/>
      <c r="AY3114" s="227"/>
      <c r="AZ3114" s="227"/>
      <c r="BA3114" s="227"/>
      <c r="BB3114" s="227"/>
      <c r="BC3114" s="227"/>
      <c r="BD3114" s="227"/>
      <c r="BE3114" s="227"/>
      <c r="BF3114" s="227"/>
    </row>
    <row r="3115">
      <c r="A3115" s="235" t="s">
        <v>23535</v>
      </c>
      <c r="C3115" s="235" t="s">
        <v>23536</v>
      </c>
      <c r="D3115" s="235" t="s">
        <v>23537</v>
      </c>
      <c r="E3115" s="243">
        <v>6.52E13</v>
      </c>
      <c r="F3115" s="245"/>
      <c r="G3115" s="235" t="s">
        <v>23538</v>
      </c>
      <c r="H3115" s="235" t="s">
        <v>23539</v>
      </c>
      <c r="I3115" s="235" t="s">
        <v>23539</v>
      </c>
      <c r="J3115" s="235" t="s">
        <v>23540</v>
      </c>
      <c r="K3115" s="235" t="s">
        <v>23541</v>
      </c>
      <c r="N3115" s="235" t="s">
        <v>82</v>
      </c>
      <c r="O3115" s="235" t="s">
        <v>889</v>
      </c>
      <c r="P3115" s="238">
        <v>1.0</v>
      </c>
      <c r="Q3115" s="235" t="s">
        <v>627</v>
      </c>
      <c r="R3115" s="238">
        <v>233.34</v>
      </c>
      <c r="S3115" s="238">
        <v>11.43</v>
      </c>
      <c r="T3115" s="238">
        <v>0.0</v>
      </c>
      <c r="U3115" s="238">
        <v>0.0</v>
      </c>
      <c r="V3115" s="238">
        <v>0.0</v>
      </c>
      <c r="W3115" s="238">
        <v>0.0</v>
      </c>
      <c r="X3115" s="235" t="s">
        <v>628</v>
      </c>
      <c r="Z3115" s="245"/>
      <c r="AA3115" s="245"/>
      <c r="AB3115" s="245"/>
      <c r="AC3115" s="235" t="s">
        <v>678</v>
      </c>
      <c r="AD3115" s="235" t="s">
        <v>679</v>
      </c>
      <c r="AE3115" s="238">
        <v>560087.0</v>
      </c>
      <c r="AF3115" s="235" t="s">
        <v>631</v>
      </c>
      <c r="AG3115" s="245"/>
      <c r="AH3115" s="245"/>
      <c r="AI3115" s="245"/>
      <c r="AJ3115" s="245"/>
      <c r="AK3115" s="245"/>
      <c r="AL3115" s="245"/>
      <c r="AM3115" s="245"/>
      <c r="AN3115" s="245"/>
      <c r="AO3115" s="238">
        <v>-4.67</v>
      </c>
      <c r="AP3115" s="238">
        <v>0.0</v>
      </c>
      <c r="AQ3115" s="235" t="s">
        <v>632</v>
      </c>
      <c r="AR3115" s="243">
        <v>1.68E11</v>
      </c>
      <c r="AS3115" s="235" t="s">
        <v>23542</v>
      </c>
      <c r="AT3115" s="235" t="s">
        <v>9</v>
      </c>
      <c r="AU3115" s="235" t="s">
        <v>634</v>
      </c>
      <c r="AV3115" s="246" t="s">
        <v>635</v>
      </c>
      <c r="AW3115" s="227"/>
      <c r="AX3115" s="227"/>
      <c r="AY3115" s="227"/>
      <c r="AZ3115" s="227"/>
      <c r="BA3115" s="227"/>
      <c r="BB3115" s="227"/>
      <c r="BC3115" s="227"/>
      <c r="BD3115" s="227"/>
      <c r="BE3115" s="227"/>
      <c r="BF3115" s="227"/>
    </row>
    <row r="3116">
      <c r="A3116" s="235" t="s">
        <v>23543</v>
      </c>
      <c r="C3116" s="235" t="s">
        <v>23544</v>
      </c>
      <c r="D3116" s="235" t="s">
        <v>23545</v>
      </c>
      <c r="E3116" s="243">
        <v>6.52E13</v>
      </c>
      <c r="F3116" s="245"/>
      <c r="G3116" s="235" t="s">
        <v>23546</v>
      </c>
      <c r="H3116" s="235" t="s">
        <v>23547</v>
      </c>
      <c r="I3116" s="235" t="s">
        <v>23547</v>
      </c>
      <c r="J3116" s="235" t="s">
        <v>23548</v>
      </c>
      <c r="K3116" s="235" t="s">
        <v>23549</v>
      </c>
      <c r="N3116" s="235" t="s">
        <v>42</v>
      </c>
      <c r="O3116" s="235" t="s">
        <v>204</v>
      </c>
      <c r="P3116" s="238">
        <v>1.0</v>
      </c>
      <c r="Q3116" s="235" t="s">
        <v>627</v>
      </c>
      <c r="R3116" s="238">
        <v>237.14</v>
      </c>
      <c r="S3116" s="238">
        <v>11.62</v>
      </c>
      <c r="T3116" s="238">
        <v>0.0</v>
      </c>
      <c r="U3116" s="238">
        <v>0.0</v>
      </c>
      <c r="V3116" s="238">
        <v>0.0</v>
      </c>
      <c r="W3116" s="238">
        <v>0.0</v>
      </c>
      <c r="X3116" s="235" t="s">
        <v>628</v>
      </c>
      <c r="Z3116" s="245"/>
      <c r="AA3116" s="245"/>
      <c r="AB3116" s="245"/>
      <c r="AC3116" s="235" t="s">
        <v>697</v>
      </c>
      <c r="AD3116" s="235" t="s">
        <v>698</v>
      </c>
      <c r="AE3116" s="238">
        <v>502032.0</v>
      </c>
      <c r="AF3116" s="235" t="s">
        <v>631</v>
      </c>
      <c r="AG3116" s="245"/>
      <c r="AH3116" s="245"/>
      <c r="AI3116" s="245"/>
      <c r="AJ3116" s="245"/>
      <c r="AK3116" s="245"/>
      <c r="AL3116" s="245"/>
      <c r="AM3116" s="245"/>
      <c r="AN3116" s="245"/>
      <c r="AO3116" s="238">
        <v>-4.74</v>
      </c>
      <c r="AP3116" s="238">
        <v>0.0</v>
      </c>
      <c r="AQ3116" s="235" t="s">
        <v>632</v>
      </c>
      <c r="AR3116" s="243">
        <v>2.02E11</v>
      </c>
      <c r="AS3116" s="235" t="s">
        <v>22269</v>
      </c>
      <c r="AT3116" s="235" t="s">
        <v>11</v>
      </c>
      <c r="AU3116" s="235" t="s">
        <v>634</v>
      </c>
      <c r="AV3116" s="246" t="s">
        <v>635</v>
      </c>
      <c r="AW3116" s="227"/>
      <c r="AX3116" s="227"/>
      <c r="AY3116" s="227"/>
      <c r="AZ3116" s="227"/>
      <c r="BA3116" s="227"/>
      <c r="BB3116" s="227"/>
      <c r="BC3116" s="227"/>
      <c r="BD3116" s="227"/>
      <c r="BE3116" s="227"/>
      <c r="BF3116" s="227"/>
    </row>
    <row r="3117">
      <c r="A3117" s="235" t="s">
        <v>23550</v>
      </c>
      <c r="C3117" s="235" t="s">
        <v>23551</v>
      </c>
      <c r="D3117" s="235" t="s">
        <v>23552</v>
      </c>
      <c r="E3117" s="243">
        <v>6.52E13</v>
      </c>
      <c r="F3117" s="245"/>
      <c r="G3117" s="235" t="s">
        <v>23553</v>
      </c>
      <c r="H3117" s="235" t="s">
        <v>23547</v>
      </c>
      <c r="I3117" s="235" t="s">
        <v>23547</v>
      </c>
      <c r="J3117" s="235" t="s">
        <v>23554</v>
      </c>
      <c r="K3117" s="235" t="s">
        <v>23555</v>
      </c>
      <c r="N3117" s="235" t="s">
        <v>541</v>
      </c>
      <c r="O3117" s="235" t="s">
        <v>664</v>
      </c>
      <c r="P3117" s="238">
        <v>1.0</v>
      </c>
      <c r="Q3117" s="235" t="s">
        <v>627</v>
      </c>
      <c r="R3117" s="238">
        <v>668.64</v>
      </c>
      <c r="S3117" s="238">
        <v>120.36</v>
      </c>
      <c r="T3117" s="238">
        <v>0.0</v>
      </c>
      <c r="U3117" s="238">
        <v>0.0</v>
      </c>
      <c r="V3117" s="238">
        <v>0.0</v>
      </c>
      <c r="W3117" s="238">
        <v>0.0</v>
      </c>
      <c r="X3117" s="235" t="s">
        <v>628</v>
      </c>
      <c r="Z3117" s="245"/>
      <c r="AA3117" s="245"/>
      <c r="AB3117" s="245"/>
      <c r="AC3117" s="235" t="s">
        <v>4397</v>
      </c>
      <c r="AD3117" s="235" t="s">
        <v>1151</v>
      </c>
      <c r="AE3117" s="238">
        <v>700054.0</v>
      </c>
      <c r="AF3117" s="235" t="s">
        <v>631</v>
      </c>
      <c r="AG3117" s="245"/>
      <c r="AH3117" s="245"/>
      <c r="AI3117" s="245"/>
      <c r="AJ3117" s="245"/>
      <c r="AK3117" s="245"/>
      <c r="AL3117" s="245"/>
      <c r="AM3117" s="245"/>
      <c r="AN3117" s="245"/>
      <c r="AO3117" s="238">
        <v>0.0</v>
      </c>
      <c r="AP3117" s="238">
        <v>0.0</v>
      </c>
      <c r="AQ3117" s="235" t="s">
        <v>632</v>
      </c>
      <c r="AR3117" s="243">
        <v>2.02E11</v>
      </c>
      <c r="AS3117" s="235" t="s">
        <v>22269</v>
      </c>
      <c r="AT3117" s="235" t="s">
        <v>14</v>
      </c>
      <c r="AU3117" s="235" t="s">
        <v>634</v>
      </c>
      <c r="AV3117" s="246" t="s">
        <v>635</v>
      </c>
      <c r="AW3117" s="227"/>
      <c r="AX3117" s="227"/>
      <c r="AY3117" s="227"/>
      <c r="AZ3117" s="227"/>
      <c r="BA3117" s="227"/>
      <c r="BB3117" s="227"/>
      <c r="BC3117" s="227"/>
      <c r="BD3117" s="227"/>
      <c r="BE3117" s="227"/>
      <c r="BF3117" s="227"/>
    </row>
    <row r="3118">
      <c r="A3118" s="235" t="s">
        <v>23556</v>
      </c>
      <c r="C3118" s="235" t="s">
        <v>23557</v>
      </c>
      <c r="D3118" s="235" t="s">
        <v>23558</v>
      </c>
      <c r="E3118" s="243">
        <v>6.52E13</v>
      </c>
      <c r="F3118" s="245"/>
      <c r="G3118" s="235" t="s">
        <v>23559</v>
      </c>
      <c r="H3118" s="235" t="s">
        <v>23560</v>
      </c>
      <c r="I3118" s="235" t="s">
        <v>23560</v>
      </c>
      <c r="J3118" s="235" t="s">
        <v>23561</v>
      </c>
      <c r="K3118" s="235" t="s">
        <v>23562</v>
      </c>
      <c r="N3118" s="235" t="s">
        <v>145</v>
      </c>
      <c r="O3118" s="235" t="s">
        <v>370</v>
      </c>
      <c r="P3118" s="238">
        <v>1.0</v>
      </c>
      <c r="Q3118" s="235" t="s">
        <v>627</v>
      </c>
      <c r="R3118" s="238">
        <v>1522.86</v>
      </c>
      <c r="S3118" s="238">
        <v>76.14</v>
      </c>
      <c r="T3118" s="238">
        <v>38.1</v>
      </c>
      <c r="U3118" s="238">
        <v>1.9</v>
      </c>
      <c r="V3118" s="238">
        <v>0.0</v>
      </c>
      <c r="W3118" s="238">
        <v>0.0</v>
      </c>
      <c r="X3118" s="235" t="s">
        <v>628</v>
      </c>
      <c r="Z3118" s="245"/>
      <c r="AA3118" s="245"/>
      <c r="AB3118" s="245"/>
      <c r="AC3118" s="235" t="s">
        <v>1531</v>
      </c>
      <c r="AD3118" s="235" t="s">
        <v>1151</v>
      </c>
      <c r="AE3118" s="238">
        <v>700068.0</v>
      </c>
      <c r="AF3118" s="235" t="s">
        <v>631</v>
      </c>
      <c r="AG3118" s="245"/>
      <c r="AH3118" s="245"/>
      <c r="AI3118" s="245"/>
      <c r="AJ3118" s="245"/>
      <c r="AK3118" s="245"/>
      <c r="AL3118" s="245"/>
      <c r="AM3118" s="245"/>
      <c r="AN3118" s="245"/>
      <c r="AO3118" s="238">
        <v>0.0</v>
      </c>
      <c r="AP3118" s="238">
        <v>-38.1</v>
      </c>
      <c r="AQ3118" s="235" t="s">
        <v>632</v>
      </c>
      <c r="AR3118" s="243">
        <v>3.71E11</v>
      </c>
      <c r="AS3118" s="235" t="s">
        <v>19388</v>
      </c>
      <c r="AT3118" s="235" t="s">
        <v>533</v>
      </c>
      <c r="AU3118" s="235" t="s">
        <v>634</v>
      </c>
      <c r="AV3118" s="246" t="s">
        <v>635</v>
      </c>
      <c r="AW3118" s="227"/>
      <c r="AX3118" s="227"/>
      <c r="AY3118" s="227"/>
      <c r="AZ3118" s="227"/>
      <c r="BA3118" s="227"/>
      <c r="BB3118" s="227"/>
      <c r="BC3118" s="227"/>
      <c r="BD3118" s="227"/>
      <c r="BE3118" s="227"/>
      <c r="BF3118" s="227"/>
    </row>
    <row r="3119">
      <c r="A3119" s="235" t="s">
        <v>23563</v>
      </c>
      <c r="C3119" s="235" t="s">
        <v>23564</v>
      </c>
      <c r="D3119" s="235" t="s">
        <v>23565</v>
      </c>
      <c r="E3119" s="243">
        <v>6.52E13</v>
      </c>
      <c r="F3119" s="245"/>
      <c r="G3119" s="235" t="s">
        <v>23566</v>
      </c>
      <c r="H3119" s="235" t="s">
        <v>23567</v>
      </c>
      <c r="I3119" s="235" t="s">
        <v>23567</v>
      </c>
      <c r="J3119" s="235" t="s">
        <v>23568</v>
      </c>
      <c r="K3119" s="235" t="s">
        <v>23569</v>
      </c>
      <c r="N3119" s="235" t="s">
        <v>141</v>
      </c>
      <c r="O3119" s="235" t="s">
        <v>342</v>
      </c>
      <c r="P3119" s="238">
        <v>1.0</v>
      </c>
      <c r="Q3119" s="235" t="s">
        <v>627</v>
      </c>
      <c r="R3119" s="238">
        <v>243.81</v>
      </c>
      <c r="S3119" s="238">
        <v>12.19</v>
      </c>
      <c r="T3119" s="238">
        <v>0.0</v>
      </c>
      <c r="U3119" s="238">
        <v>0.0</v>
      </c>
      <c r="V3119" s="238">
        <v>0.0</v>
      </c>
      <c r="W3119" s="238">
        <v>0.0</v>
      </c>
      <c r="X3119" s="235" t="s">
        <v>628</v>
      </c>
      <c r="Z3119" s="245"/>
      <c r="AA3119" s="245"/>
      <c r="AB3119" s="245"/>
      <c r="AC3119" s="235" t="s">
        <v>795</v>
      </c>
      <c r="AD3119" s="235" t="s">
        <v>796</v>
      </c>
      <c r="AE3119" s="238">
        <v>110096.0</v>
      </c>
      <c r="AF3119" s="235" t="s">
        <v>631</v>
      </c>
      <c r="AG3119" s="245"/>
      <c r="AH3119" s="245"/>
      <c r="AI3119" s="245"/>
      <c r="AJ3119" s="245"/>
      <c r="AK3119" s="245"/>
      <c r="AL3119" s="245"/>
      <c r="AM3119" s="245"/>
      <c r="AN3119" s="245"/>
      <c r="AO3119" s="238">
        <v>0.0</v>
      </c>
      <c r="AP3119" s="238">
        <v>0.0</v>
      </c>
      <c r="AQ3119" s="235" t="s">
        <v>632</v>
      </c>
      <c r="AR3119" s="243">
        <v>3.71E11</v>
      </c>
      <c r="AS3119" s="235" t="s">
        <v>22269</v>
      </c>
      <c r="AT3119" s="235" t="s">
        <v>533</v>
      </c>
      <c r="AU3119" s="235" t="s">
        <v>634</v>
      </c>
      <c r="AV3119" s="246" t="s">
        <v>635</v>
      </c>
      <c r="AW3119" s="227"/>
      <c r="AX3119" s="227"/>
      <c r="AY3119" s="227"/>
      <c r="AZ3119" s="227"/>
      <c r="BA3119" s="227"/>
      <c r="BB3119" s="227"/>
      <c r="BC3119" s="227"/>
      <c r="BD3119" s="227"/>
      <c r="BE3119" s="227"/>
      <c r="BF3119" s="227"/>
    </row>
    <row r="3120">
      <c r="A3120" s="235" t="s">
        <v>23570</v>
      </c>
      <c r="C3120" s="235" t="s">
        <v>23571</v>
      </c>
      <c r="D3120" s="235" t="s">
        <v>23572</v>
      </c>
      <c r="E3120" s="243">
        <v>6.52E13</v>
      </c>
      <c r="F3120" s="245"/>
      <c r="G3120" s="235" t="s">
        <v>23573</v>
      </c>
      <c r="H3120" s="235" t="s">
        <v>23574</v>
      </c>
      <c r="I3120" s="235" t="s">
        <v>23575</v>
      </c>
      <c r="J3120" s="235" t="s">
        <v>23576</v>
      </c>
      <c r="K3120" s="235" t="s">
        <v>23577</v>
      </c>
      <c r="N3120" s="235" t="s">
        <v>42</v>
      </c>
      <c r="O3120" s="235" t="s">
        <v>204</v>
      </c>
      <c r="P3120" s="238">
        <v>1.0</v>
      </c>
      <c r="Q3120" s="235" t="s">
        <v>627</v>
      </c>
      <c r="R3120" s="238">
        <v>237.14</v>
      </c>
      <c r="S3120" s="238">
        <v>11.86</v>
      </c>
      <c r="T3120" s="238">
        <v>0.0</v>
      </c>
      <c r="U3120" s="238">
        <v>0.0</v>
      </c>
      <c r="V3120" s="238">
        <v>0.0</v>
      </c>
      <c r="W3120" s="238">
        <v>0.0</v>
      </c>
      <c r="X3120" s="235" t="s">
        <v>628</v>
      </c>
      <c r="Z3120" s="245"/>
      <c r="AA3120" s="245"/>
      <c r="AB3120" s="245"/>
      <c r="AC3120" s="235" t="s">
        <v>678</v>
      </c>
      <c r="AD3120" s="235" t="s">
        <v>679</v>
      </c>
      <c r="AE3120" s="238">
        <v>560076.0</v>
      </c>
      <c r="AF3120" s="235" t="s">
        <v>631</v>
      </c>
      <c r="AG3120" s="245"/>
      <c r="AH3120" s="245"/>
      <c r="AI3120" s="245"/>
      <c r="AJ3120" s="245"/>
      <c r="AK3120" s="245"/>
      <c r="AL3120" s="245"/>
      <c r="AM3120" s="245"/>
      <c r="AN3120" s="245"/>
      <c r="AO3120" s="238">
        <v>0.0</v>
      </c>
      <c r="AP3120" s="238">
        <v>0.0</v>
      </c>
      <c r="AQ3120" s="235" t="s">
        <v>632</v>
      </c>
      <c r="AR3120" s="243">
        <v>1.68E11</v>
      </c>
      <c r="AS3120" s="235" t="s">
        <v>23542</v>
      </c>
      <c r="AT3120" s="235" t="s">
        <v>9</v>
      </c>
      <c r="AU3120" s="235" t="s">
        <v>634</v>
      </c>
      <c r="AV3120" s="246" t="s">
        <v>635</v>
      </c>
      <c r="AW3120" s="227"/>
      <c r="AX3120" s="227"/>
      <c r="AY3120" s="227"/>
      <c r="AZ3120" s="227"/>
      <c r="BA3120" s="227"/>
      <c r="BB3120" s="227"/>
      <c r="BC3120" s="227"/>
      <c r="BD3120" s="227"/>
      <c r="BE3120" s="227"/>
      <c r="BF3120" s="227"/>
    </row>
    <row r="3121">
      <c r="A3121" s="235" t="s">
        <v>23578</v>
      </c>
      <c r="C3121" s="235" t="s">
        <v>23579</v>
      </c>
      <c r="D3121" s="235" t="s">
        <v>23580</v>
      </c>
      <c r="E3121" s="243">
        <v>6.52E13</v>
      </c>
      <c r="F3121" s="245"/>
      <c r="G3121" s="235" t="s">
        <v>23581</v>
      </c>
      <c r="H3121" s="235" t="s">
        <v>23582</v>
      </c>
      <c r="I3121" s="235" t="s">
        <v>23582</v>
      </c>
      <c r="J3121" s="235" t="s">
        <v>23583</v>
      </c>
      <c r="K3121" s="235" t="s">
        <v>23584</v>
      </c>
      <c r="N3121" s="235" t="s">
        <v>47</v>
      </c>
      <c r="O3121" s="235" t="s">
        <v>270</v>
      </c>
      <c r="P3121" s="238">
        <v>1.0</v>
      </c>
      <c r="Q3121" s="235" t="s">
        <v>627</v>
      </c>
      <c r="R3121" s="238">
        <v>237.14</v>
      </c>
      <c r="S3121" s="238">
        <v>11.86</v>
      </c>
      <c r="T3121" s="238">
        <v>38.1</v>
      </c>
      <c r="U3121" s="238">
        <v>1.9</v>
      </c>
      <c r="V3121" s="238">
        <v>0.0</v>
      </c>
      <c r="W3121" s="238">
        <v>0.0</v>
      </c>
      <c r="X3121" s="235" t="s">
        <v>628</v>
      </c>
      <c r="Z3121" s="245"/>
      <c r="AA3121" s="245"/>
      <c r="AB3121" s="245"/>
      <c r="AC3121" s="235" t="s">
        <v>687</v>
      </c>
      <c r="AD3121" s="235" t="s">
        <v>666</v>
      </c>
      <c r="AE3121" s="238">
        <v>600081.0</v>
      </c>
      <c r="AF3121" s="235" t="s">
        <v>631</v>
      </c>
      <c r="AG3121" s="245"/>
      <c r="AH3121" s="245"/>
      <c r="AI3121" s="245"/>
      <c r="AJ3121" s="245"/>
      <c r="AK3121" s="245"/>
      <c r="AL3121" s="245"/>
      <c r="AM3121" s="245"/>
      <c r="AN3121" s="245"/>
      <c r="AO3121" s="238">
        <v>0.0</v>
      </c>
      <c r="AP3121" s="238">
        <v>-38.1</v>
      </c>
      <c r="AQ3121" s="235" t="s">
        <v>632</v>
      </c>
      <c r="AR3121" s="243">
        <v>3.71E11</v>
      </c>
      <c r="AS3121" s="235" t="s">
        <v>22269</v>
      </c>
      <c r="AT3121" s="235" t="s">
        <v>156</v>
      </c>
      <c r="AU3121" s="235" t="s">
        <v>634</v>
      </c>
      <c r="AV3121" s="246" t="s">
        <v>635</v>
      </c>
      <c r="AW3121" s="227"/>
      <c r="AX3121" s="227"/>
      <c r="AY3121" s="227"/>
      <c r="AZ3121" s="227"/>
      <c r="BA3121" s="227"/>
      <c r="BB3121" s="227"/>
      <c r="BC3121" s="227"/>
      <c r="BD3121" s="227"/>
      <c r="BE3121" s="227"/>
      <c r="BF3121" s="227"/>
    </row>
    <row r="3122">
      <c r="A3122" s="235" t="s">
        <v>23585</v>
      </c>
      <c r="C3122" s="235" t="s">
        <v>23586</v>
      </c>
      <c r="D3122" s="235" t="s">
        <v>23587</v>
      </c>
      <c r="E3122" s="243">
        <v>6.52E13</v>
      </c>
      <c r="F3122" s="245"/>
      <c r="G3122" s="235" t="s">
        <v>23588</v>
      </c>
      <c r="H3122" s="235" t="s">
        <v>23589</v>
      </c>
      <c r="I3122" s="235" t="s">
        <v>23589</v>
      </c>
      <c r="J3122" s="235" t="s">
        <v>23590</v>
      </c>
      <c r="K3122" s="235" t="s">
        <v>23591</v>
      </c>
      <c r="N3122" s="235" t="s">
        <v>145</v>
      </c>
      <c r="O3122" s="235" t="s">
        <v>370</v>
      </c>
      <c r="P3122" s="238">
        <v>1.0</v>
      </c>
      <c r="Q3122" s="235" t="s">
        <v>627</v>
      </c>
      <c r="R3122" s="238">
        <v>1522.86</v>
      </c>
      <c r="S3122" s="238">
        <v>74.62</v>
      </c>
      <c r="T3122" s="238">
        <v>0.0</v>
      </c>
      <c r="U3122" s="238">
        <v>0.0</v>
      </c>
      <c r="V3122" s="238">
        <v>0.0</v>
      </c>
      <c r="W3122" s="238">
        <v>0.0</v>
      </c>
      <c r="X3122" s="235" t="s">
        <v>628</v>
      </c>
      <c r="Z3122" s="245"/>
      <c r="AA3122" s="245"/>
      <c r="AB3122" s="245"/>
      <c r="AC3122" s="235" t="s">
        <v>907</v>
      </c>
      <c r="AD3122" s="235" t="s">
        <v>908</v>
      </c>
      <c r="AE3122" s="238">
        <v>248001.0</v>
      </c>
      <c r="AF3122" s="235" t="s">
        <v>631</v>
      </c>
      <c r="AG3122" s="245"/>
      <c r="AH3122" s="245"/>
      <c r="AI3122" s="245"/>
      <c r="AJ3122" s="245"/>
      <c r="AK3122" s="245"/>
      <c r="AL3122" s="245"/>
      <c r="AM3122" s="245"/>
      <c r="AN3122" s="245"/>
      <c r="AO3122" s="238">
        <v>-30.46</v>
      </c>
      <c r="AP3122" s="238">
        <v>0.0</v>
      </c>
      <c r="AQ3122" s="235" t="s">
        <v>632</v>
      </c>
      <c r="AR3122" s="243">
        <v>3.71E11</v>
      </c>
      <c r="AS3122" s="235" t="s">
        <v>20529</v>
      </c>
      <c r="AT3122" s="235" t="s">
        <v>13</v>
      </c>
      <c r="AU3122" s="235" t="s">
        <v>634</v>
      </c>
      <c r="AV3122" s="246" t="s">
        <v>635</v>
      </c>
      <c r="AW3122" s="227"/>
      <c r="AX3122" s="227"/>
      <c r="AY3122" s="227"/>
      <c r="AZ3122" s="227"/>
      <c r="BA3122" s="227"/>
      <c r="BB3122" s="227"/>
      <c r="BC3122" s="227"/>
      <c r="BD3122" s="227"/>
      <c r="BE3122" s="227"/>
      <c r="BF3122" s="227"/>
    </row>
    <row r="3123">
      <c r="A3123" s="235" t="s">
        <v>23592</v>
      </c>
      <c r="C3123" s="235" t="s">
        <v>23593</v>
      </c>
      <c r="D3123" s="235" t="s">
        <v>23594</v>
      </c>
      <c r="E3123" s="243">
        <v>6.52E13</v>
      </c>
      <c r="F3123" s="245"/>
      <c r="G3123" s="235" t="s">
        <v>23595</v>
      </c>
      <c r="H3123" s="235" t="s">
        <v>23596</v>
      </c>
      <c r="I3123" s="235" t="s">
        <v>23596</v>
      </c>
      <c r="J3123" s="235" t="s">
        <v>23597</v>
      </c>
      <c r="K3123" s="235" t="s">
        <v>23598</v>
      </c>
      <c r="N3123" s="235" t="s">
        <v>962</v>
      </c>
      <c r="O3123" s="235" t="s">
        <v>963</v>
      </c>
      <c r="P3123" s="238">
        <v>1.0</v>
      </c>
      <c r="Q3123" s="235" t="s">
        <v>627</v>
      </c>
      <c r="R3123" s="238">
        <v>245.72</v>
      </c>
      <c r="S3123" s="238">
        <v>12.04</v>
      </c>
      <c r="T3123" s="238">
        <v>0.0</v>
      </c>
      <c r="U3123" s="238">
        <v>0.0</v>
      </c>
      <c r="V3123" s="238">
        <v>0.0</v>
      </c>
      <c r="W3123" s="238">
        <v>0.0</v>
      </c>
      <c r="X3123" s="235" t="s">
        <v>628</v>
      </c>
      <c r="Z3123" s="245"/>
      <c r="AA3123" s="245"/>
      <c r="AB3123" s="245"/>
      <c r="AC3123" s="235" t="s">
        <v>1792</v>
      </c>
      <c r="AD3123" s="235" t="s">
        <v>1077</v>
      </c>
      <c r="AE3123" s="238">
        <v>391410.0</v>
      </c>
      <c r="AF3123" s="235" t="s">
        <v>631</v>
      </c>
      <c r="AG3123" s="245"/>
      <c r="AH3123" s="245"/>
      <c r="AI3123" s="245"/>
      <c r="AJ3123" s="245"/>
      <c r="AK3123" s="245"/>
      <c r="AL3123" s="245"/>
      <c r="AM3123" s="245"/>
      <c r="AN3123" s="245"/>
      <c r="AO3123" s="238">
        <v>-4.92</v>
      </c>
      <c r="AP3123" s="238">
        <v>0.0</v>
      </c>
      <c r="AQ3123" s="235" t="s">
        <v>632</v>
      </c>
      <c r="AR3123" s="243">
        <v>1.68E11</v>
      </c>
      <c r="AS3123" s="235" t="s">
        <v>22269</v>
      </c>
      <c r="AT3123" s="235" t="s">
        <v>5</v>
      </c>
      <c r="AU3123" s="235" t="s">
        <v>634</v>
      </c>
      <c r="AV3123" s="246" t="s">
        <v>635</v>
      </c>
      <c r="AW3123" s="227"/>
      <c r="AX3123" s="227"/>
      <c r="AY3123" s="227"/>
      <c r="AZ3123" s="227"/>
      <c r="BA3123" s="227"/>
      <c r="BB3123" s="227"/>
      <c r="BC3123" s="227"/>
      <c r="BD3123" s="227"/>
      <c r="BE3123" s="227"/>
      <c r="BF3123" s="227"/>
    </row>
    <row r="3124">
      <c r="A3124" s="235" t="s">
        <v>23599</v>
      </c>
      <c r="C3124" s="235" t="s">
        <v>23600</v>
      </c>
      <c r="D3124" s="235" t="s">
        <v>23601</v>
      </c>
      <c r="E3124" s="243">
        <v>6.52E13</v>
      </c>
      <c r="F3124" s="245"/>
      <c r="G3124" s="235" t="s">
        <v>23602</v>
      </c>
      <c r="H3124" s="235" t="s">
        <v>23603</v>
      </c>
      <c r="I3124" s="235" t="s">
        <v>23603</v>
      </c>
      <c r="J3124" s="235" t="s">
        <v>23604</v>
      </c>
      <c r="K3124" s="235" t="s">
        <v>23605</v>
      </c>
      <c r="N3124" s="235" t="s">
        <v>154</v>
      </c>
      <c r="O3124" s="235" t="s">
        <v>766</v>
      </c>
      <c r="P3124" s="238">
        <v>1.0</v>
      </c>
      <c r="Q3124" s="235" t="s">
        <v>627</v>
      </c>
      <c r="R3124" s="238">
        <v>423.81</v>
      </c>
      <c r="S3124" s="238">
        <v>20.77</v>
      </c>
      <c r="T3124" s="238">
        <v>38.1</v>
      </c>
      <c r="U3124" s="238">
        <v>1.9</v>
      </c>
      <c r="V3124" s="238">
        <v>0.0</v>
      </c>
      <c r="W3124" s="238">
        <v>0.0</v>
      </c>
      <c r="X3124" s="235" t="s">
        <v>628</v>
      </c>
      <c r="Z3124" s="245"/>
      <c r="AA3124" s="245"/>
      <c r="AB3124" s="245"/>
      <c r="AC3124" s="235" t="s">
        <v>795</v>
      </c>
      <c r="AD3124" s="235" t="s">
        <v>796</v>
      </c>
      <c r="AE3124" s="238">
        <v>110047.0</v>
      </c>
      <c r="AF3124" s="235" t="s">
        <v>631</v>
      </c>
      <c r="AG3124" s="245"/>
      <c r="AH3124" s="245"/>
      <c r="AI3124" s="245"/>
      <c r="AJ3124" s="245"/>
      <c r="AK3124" s="245"/>
      <c r="AL3124" s="245"/>
      <c r="AM3124" s="245"/>
      <c r="AN3124" s="245"/>
      <c r="AO3124" s="238">
        <v>-8.48</v>
      </c>
      <c r="AP3124" s="238">
        <v>-38.1</v>
      </c>
      <c r="AQ3124" s="235" t="s">
        <v>632</v>
      </c>
      <c r="AR3124" s="243">
        <v>3.71E11</v>
      </c>
      <c r="AS3124" s="235" t="s">
        <v>22269</v>
      </c>
      <c r="AT3124" s="235" t="s">
        <v>14</v>
      </c>
      <c r="AU3124" s="235" t="s">
        <v>634</v>
      </c>
      <c r="AV3124" s="246" t="s">
        <v>635</v>
      </c>
      <c r="AW3124" s="227"/>
      <c r="AX3124" s="227"/>
      <c r="AY3124" s="227"/>
      <c r="AZ3124" s="227"/>
      <c r="BA3124" s="227"/>
      <c r="BB3124" s="227"/>
      <c r="BC3124" s="227"/>
      <c r="BD3124" s="227"/>
      <c r="BE3124" s="227"/>
      <c r="BF3124" s="227"/>
    </row>
    <row r="3125">
      <c r="A3125" s="235" t="s">
        <v>23606</v>
      </c>
      <c r="C3125" s="235" t="s">
        <v>23607</v>
      </c>
      <c r="D3125" s="235" t="s">
        <v>23608</v>
      </c>
      <c r="E3125" s="243">
        <v>6.52E13</v>
      </c>
      <c r="F3125" s="245"/>
      <c r="G3125" s="235" t="s">
        <v>23609</v>
      </c>
      <c r="H3125" s="235" t="s">
        <v>23610</v>
      </c>
      <c r="I3125" s="235" t="s">
        <v>23610</v>
      </c>
      <c r="J3125" s="235" t="s">
        <v>23611</v>
      </c>
      <c r="K3125" s="235" t="s">
        <v>23612</v>
      </c>
      <c r="N3125" s="235" t="s">
        <v>154</v>
      </c>
      <c r="O3125" s="235" t="s">
        <v>766</v>
      </c>
      <c r="P3125" s="238">
        <v>1.0</v>
      </c>
      <c r="Q3125" s="235" t="s">
        <v>627</v>
      </c>
      <c r="R3125" s="238">
        <v>465.71</v>
      </c>
      <c r="S3125" s="238">
        <v>22.82</v>
      </c>
      <c r="T3125" s="238">
        <v>38.1</v>
      </c>
      <c r="U3125" s="238">
        <v>1.9</v>
      </c>
      <c r="V3125" s="238">
        <v>0.0</v>
      </c>
      <c r="W3125" s="238">
        <v>0.0</v>
      </c>
      <c r="X3125" s="235" t="s">
        <v>628</v>
      </c>
      <c r="Z3125" s="245"/>
      <c r="AA3125" s="245"/>
      <c r="AB3125" s="245"/>
      <c r="AC3125" s="235" t="s">
        <v>14959</v>
      </c>
      <c r="AD3125" s="235" t="s">
        <v>6097</v>
      </c>
      <c r="AE3125" s="238">
        <v>737101.0</v>
      </c>
      <c r="AF3125" s="235" t="s">
        <v>631</v>
      </c>
      <c r="AG3125" s="245"/>
      <c r="AH3125" s="245"/>
      <c r="AI3125" s="245"/>
      <c r="AJ3125" s="245"/>
      <c r="AK3125" s="245"/>
      <c r="AL3125" s="245"/>
      <c r="AM3125" s="245"/>
      <c r="AN3125" s="245"/>
      <c r="AO3125" s="238">
        <v>-9.31</v>
      </c>
      <c r="AP3125" s="238">
        <v>-38.1</v>
      </c>
      <c r="AQ3125" s="235" t="s">
        <v>632</v>
      </c>
      <c r="AR3125" s="243">
        <v>3.71E11</v>
      </c>
      <c r="AS3125" s="235" t="s">
        <v>16626</v>
      </c>
      <c r="AT3125" s="235" t="s">
        <v>14</v>
      </c>
      <c r="AU3125" s="235" t="s">
        <v>634</v>
      </c>
      <c r="AV3125" s="246" t="s">
        <v>635</v>
      </c>
      <c r="AW3125" s="227"/>
      <c r="AX3125" s="227"/>
      <c r="AY3125" s="227"/>
      <c r="AZ3125" s="227"/>
      <c r="BA3125" s="227"/>
      <c r="BB3125" s="227"/>
      <c r="BC3125" s="227"/>
      <c r="BD3125" s="227"/>
      <c r="BE3125" s="227"/>
      <c r="BF3125" s="227"/>
    </row>
    <row r="3126">
      <c r="A3126" s="235" t="s">
        <v>23613</v>
      </c>
      <c r="C3126" s="235" t="s">
        <v>23614</v>
      </c>
      <c r="D3126" s="235" t="s">
        <v>23615</v>
      </c>
      <c r="E3126" s="243">
        <v>6.52E13</v>
      </c>
      <c r="F3126" s="245"/>
      <c r="G3126" s="235" t="s">
        <v>23616</v>
      </c>
      <c r="H3126" s="235" t="s">
        <v>23617</v>
      </c>
      <c r="I3126" s="235" t="s">
        <v>23617</v>
      </c>
      <c r="J3126" s="235" t="s">
        <v>23618</v>
      </c>
      <c r="K3126" s="235" t="s">
        <v>23619</v>
      </c>
      <c r="N3126" s="235" t="s">
        <v>127</v>
      </c>
      <c r="O3126" s="235" t="s">
        <v>794</v>
      </c>
      <c r="P3126" s="238">
        <v>1.0</v>
      </c>
      <c r="Q3126" s="235" t="s">
        <v>627</v>
      </c>
      <c r="R3126" s="238">
        <v>242.86</v>
      </c>
      <c r="S3126" s="238">
        <v>12.14</v>
      </c>
      <c r="T3126" s="238">
        <v>0.0</v>
      </c>
      <c r="U3126" s="238">
        <v>0.0</v>
      </c>
      <c r="V3126" s="238">
        <v>0.0</v>
      </c>
      <c r="W3126" s="238">
        <v>0.0</v>
      </c>
      <c r="X3126" s="235" t="s">
        <v>628</v>
      </c>
      <c r="Z3126" s="245"/>
      <c r="AA3126" s="245"/>
      <c r="AB3126" s="245"/>
      <c r="AC3126" s="235" t="s">
        <v>1456</v>
      </c>
      <c r="AD3126" s="235" t="s">
        <v>928</v>
      </c>
      <c r="AE3126" s="238">
        <v>122018.0</v>
      </c>
      <c r="AF3126" s="235" t="s">
        <v>631</v>
      </c>
      <c r="AG3126" s="245"/>
      <c r="AH3126" s="245"/>
      <c r="AI3126" s="245"/>
      <c r="AJ3126" s="245"/>
      <c r="AK3126" s="245"/>
      <c r="AL3126" s="245"/>
      <c r="AM3126" s="245"/>
      <c r="AN3126" s="245"/>
      <c r="AO3126" s="238">
        <v>0.0</v>
      </c>
      <c r="AP3126" s="238">
        <v>0.0</v>
      </c>
      <c r="AQ3126" s="235" t="s">
        <v>632</v>
      </c>
      <c r="AR3126" s="243">
        <v>3.71E11</v>
      </c>
      <c r="AS3126" s="235" t="s">
        <v>22269</v>
      </c>
      <c r="AT3126" s="235" t="s">
        <v>13</v>
      </c>
      <c r="AU3126" s="235" t="s">
        <v>634</v>
      </c>
      <c r="AV3126" s="246" t="s">
        <v>635</v>
      </c>
      <c r="AW3126" s="227"/>
      <c r="AX3126" s="227"/>
      <c r="AY3126" s="227"/>
      <c r="AZ3126" s="227"/>
      <c r="BA3126" s="227"/>
      <c r="BB3126" s="227"/>
      <c r="BC3126" s="227"/>
      <c r="BD3126" s="227"/>
      <c r="BE3126" s="227"/>
      <c r="BF3126" s="227"/>
    </row>
    <row r="3127">
      <c r="A3127" s="235" t="s">
        <v>23620</v>
      </c>
      <c r="C3127" s="235" t="s">
        <v>23621</v>
      </c>
      <c r="D3127" s="235" t="s">
        <v>23622</v>
      </c>
      <c r="E3127" s="243">
        <v>6.52E13</v>
      </c>
      <c r="F3127" s="245"/>
      <c r="G3127" s="235" t="s">
        <v>23623</v>
      </c>
      <c r="H3127" s="235" t="s">
        <v>23624</v>
      </c>
      <c r="I3127" s="235" t="s">
        <v>23624</v>
      </c>
      <c r="J3127" s="235" t="s">
        <v>23625</v>
      </c>
      <c r="K3127" s="235" t="s">
        <v>23626</v>
      </c>
      <c r="N3127" s="235" t="s">
        <v>842</v>
      </c>
      <c r="O3127" s="235" t="s">
        <v>843</v>
      </c>
      <c r="P3127" s="238">
        <v>1.0</v>
      </c>
      <c r="Q3127" s="235" t="s">
        <v>627</v>
      </c>
      <c r="R3127" s="238">
        <v>246.67</v>
      </c>
      <c r="S3127" s="238">
        <v>12.08</v>
      </c>
      <c r="T3127" s="238">
        <v>0.0</v>
      </c>
      <c r="U3127" s="238">
        <v>0.0</v>
      </c>
      <c r="V3127" s="238">
        <v>0.0</v>
      </c>
      <c r="W3127" s="238">
        <v>0.0</v>
      </c>
      <c r="X3127" s="235" t="s">
        <v>628</v>
      </c>
      <c r="Z3127" s="245"/>
      <c r="AA3127" s="245"/>
      <c r="AB3127" s="245"/>
      <c r="AC3127" s="235" t="s">
        <v>697</v>
      </c>
      <c r="AD3127" s="235" t="s">
        <v>698</v>
      </c>
      <c r="AE3127" s="238">
        <v>500096.0</v>
      </c>
      <c r="AF3127" s="235" t="s">
        <v>631</v>
      </c>
      <c r="AG3127" s="245"/>
      <c r="AH3127" s="245"/>
      <c r="AI3127" s="245"/>
      <c r="AJ3127" s="245"/>
      <c r="AK3127" s="245"/>
      <c r="AL3127" s="245"/>
      <c r="AM3127" s="245"/>
      <c r="AN3127" s="245"/>
      <c r="AO3127" s="238">
        <v>-4.93</v>
      </c>
      <c r="AP3127" s="238">
        <v>0.0</v>
      </c>
      <c r="AQ3127" s="235" t="s">
        <v>632</v>
      </c>
      <c r="AR3127" s="243">
        <v>2.02E11</v>
      </c>
      <c r="AS3127" s="235" t="s">
        <v>22269</v>
      </c>
      <c r="AT3127" s="235" t="s">
        <v>156</v>
      </c>
      <c r="AU3127" s="235" t="s">
        <v>634</v>
      </c>
      <c r="AV3127" s="246" t="s">
        <v>635</v>
      </c>
      <c r="AW3127" s="227"/>
      <c r="AX3127" s="227"/>
      <c r="AY3127" s="227"/>
      <c r="AZ3127" s="227"/>
      <c r="BA3127" s="227"/>
      <c r="BB3127" s="227"/>
      <c r="BC3127" s="227"/>
      <c r="BD3127" s="227"/>
      <c r="BE3127" s="227"/>
      <c r="BF3127" s="227"/>
    </row>
    <row r="3128">
      <c r="A3128" s="235" t="s">
        <v>23627</v>
      </c>
      <c r="C3128" s="235" t="s">
        <v>23628</v>
      </c>
      <c r="D3128" s="235" t="s">
        <v>23629</v>
      </c>
      <c r="E3128" s="243">
        <v>6.52E13</v>
      </c>
      <c r="F3128" s="245"/>
      <c r="G3128" s="235" t="s">
        <v>23630</v>
      </c>
      <c r="H3128" s="235" t="s">
        <v>23631</v>
      </c>
      <c r="I3128" s="235" t="s">
        <v>23631</v>
      </c>
      <c r="J3128" s="235" t="s">
        <v>23632</v>
      </c>
      <c r="K3128" s="235" t="s">
        <v>23633</v>
      </c>
      <c r="N3128" s="235" t="s">
        <v>10</v>
      </c>
      <c r="O3128" s="235" t="s">
        <v>936</v>
      </c>
      <c r="P3128" s="238">
        <v>1.0</v>
      </c>
      <c r="Q3128" s="235" t="s">
        <v>627</v>
      </c>
      <c r="R3128" s="238">
        <v>242.86</v>
      </c>
      <c r="S3128" s="238">
        <v>12.14</v>
      </c>
      <c r="T3128" s="238">
        <v>0.0</v>
      </c>
      <c r="U3128" s="238">
        <v>0.0</v>
      </c>
      <c r="V3128" s="238">
        <v>0.0</v>
      </c>
      <c r="W3128" s="238">
        <v>0.0</v>
      </c>
      <c r="X3128" s="235" t="s">
        <v>628</v>
      </c>
      <c r="Z3128" s="245"/>
      <c r="AA3128" s="245"/>
      <c r="AB3128" s="245"/>
      <c r="AC3128" s="235" t="s">
        <v>678</v>
      </c>
      <c r="AD3128" s="235" t="s">
        <v>679</v>
      </c>
      <c r="AE3128" s="238">
        <v>560075.0</v>
      </c>
      <c r="AF3128" s="235" t="s">
        <v>631</v>
      </c>
      <c r="AG3128" s="245"/>
      <c r="AH3128" s="245"/>
      <c r="AI3128" s="245"/>
      <c r="AJ3128" s="245"/>
      <c r="AK3128" s="245"/>
      <c r="AL3128" s="245"/>
      <c r="AM3128" s="245"/>
      <c r="AN3128" s="245"/>
      <c r="AO3128" s="238">
        <v>0.0</v>
      </c>
      <c r="AP3128" s="238">
        <v>0.0</v>
      </c>
      <c r="AQ3128" s="235" t="s">
        <v>632</v>
      </c>
      <c r="AR3128" s="243">
        <v>3.71E11</v>
      </c>
      <c r="AS3128" s="235" t="s">
        <v>22269</v>
      </c>
      <c r="AT3128" s="235" t="s">
        <v>9</v>
      </c>
      <c r="AU3128" s="235" t="s">
        <v>634</v>
      </c>
      <c r="AV3128" s="246" t="s">
        <v>635</v>
      </c>
      <c r="AW3128" s="227"/>
      <c r="AX3128" s="227"/>
      <c r="AY3128" s="227"/>
      <c r="AZ3128" s="227"/>
      <c r="BA3128" s="227"/>
      <c r="BB3128" s="227"/>
      <c r="BC3128" s="227"/>
      <c r="BD3128" s="227"/>
      <c r="BE3128" s="227"/>
      <c r="BF3128" s="227"/>
    </row>
    <row r="3129">
      <c r="A3129" s="235" t="s">
        <v>23627</v>
      </c>
      <c r="C3129" s="235" t="s">
        <v>23628</v>
      </c>
      <c r="D3129" s="235" t="s">
        <v>23634</v>
      </c>
      <c r="E3129" s="243">
        <v>6.52E13</v>
      </c>
      <c r="F3129" s="245"/>
      <c r="G3129" s="235" t="s">
        <v>23630</v>
      </c>
      <c r="H3129" s="235" t="s">
        <v>23631</v>
      </c>
      <c r="I3129" s="235" t="s">
        <v>23631</v>
      </c>
      <c r="J3129" s="235" t="s">
        <v>23632</v>
      </c>
      <c r="K3129" s="235" t="s">
        <v>23633</v>
      </c>
      <c r="N3129" s="235" t="s">
        <v>10</v>
      </c>
      <c r="O3129" s="235" t="s">
        <v>936</v>
      </c>
      <c r="P3129" s="238">
        <v>1.0</v>
      </c>
      <c r="Q3129" s="235" t="s">
        <v>627</v>
      </c>
      <c r="R3129" s="238">
        <v>242.86</v>
      </c>
      <c r="S3129" s="238">
        <v>12.14</v>
      </c>
      <c r="T3129" s="238">
        <v>0.0</v>
      </c>
      <c r="U3129" s="238">
        <v>0.0</v>
      </c>
      <c r="V3129" s="238">
        <v>0.0</v>
      </c>
      <c r="W3129" s="238">
        <v>0.0</v>
      </c>
      <c r="X3129" s="235" t="s">
        <v>628</v>
      </c>
      <c r="Z3129" s="245"/>
      <c r="AA3129" s="245"/>
      <c r="AB3129" s="245"/>
      <c r="AC3129" s="235" t="s">
        <v>678</v>
      </c>
      <c r="AD3129" s="235" t="s">
        <v>679</v>
      </c>
      <c r="AE3129" s="238">
        <v>560075.0</v>
      </c>
      <c r="AF3129" s="235" t="s">
        <v>631</v>
      </c>
      <c r="AG3129" s="245"/>
      <c r="AH3129" s="245"/>
      <c r="AI3129" s="245"/>
      <c r="AJ3129" s="245"/>
      <c r="AK3129" s="245"/>
      <c r="AL3129" s="245"/>
      <c r="AM3129" s="245"/>
      <c r="AN3129" s="245"/>
      <c r="AO3129" s="238">
        <v>0.0</v>
      </c>
      <c r="AP3129" s="238">
        <v>0.0</v>
      </c>
      <c r="AQ3129" s="235" t="s">
        <v>632</v>
      </c>
      <c r="AR3129" s="243">
        <v>3.71E11</v>
      </c>
      <c r="AS3129" s="235" t="s">
        <v>22269</v>
      </c>
      <c r="AT3129" s="235" t="s">
        <v>9</v>
      </c>
      <c r="AU3129" s="235" t="s">
        <v>634</v>
      </c>
      <c r="AV3129" s="246" t="s">
        <v>635</v>
      </c>
      <c r="AW3129" s="227"/>
      <c r="AX3129" s="227"/>
      <c r="AY3129" s="227"/>
      <c r="AZ3129" s="227"/>
      <c r="BA3129" s="227"/>
      <c r="BB3129" s="227"/>
      <c r="BC3129" s="227"/>
      <c r="BD3129" s="227"/>
      <c r="BE3129" s="227"/>
      <c r="BF3129" s="227"/>
    </row>
    <row r="3130">
      <c r="A3130" s="235" t="s">
        <v>23627</v>
      </c>
      <c r="C3130" s="235" t="s">
        <v>23628</v>
      </c>
      <c r="D3130" s="235" t="s">
        <v>23635</v>
      </c>
      <c r="E3130" s="243">
        <v>6.52E13</v>
      </c>
      <c r="F3130" s="245"/>
      <c r="G3130" s="235" t="s">
        <v>23630</v>
      </c>
      <c r="H3130" s="235" t="s">
        <v>23631</v>
      </c>
      <c r="I3130" s="235" t="s">
        <v>23631</v>
      </c>
      <c r="J3130" s="235" t="s">
        <v>23632</v>
      </c>
      <c r="K3130" s="235" t="s">
        <v>23633</v>
      </c>
      <c r="N3130" s="235" t="s">
        <v>10</v>
      </c>
      <c r="O3130" s="235" t="s">
        <v>936</v>
      </c>
      <c r="P3130" s="238">
        <v>1.0</v>
      </c>
      <c r="Q3130" s="235" t="s">
        <v>627</v>
      </c>
      <c r="R3130" s="238">
        <v>242.86</v>
      </c>
      <c r="S3130" s="238">
        <v>12.14</v>
      </c>
      <c r="T3130" s="238">
        <v>0.0</v>
      </c>
      <c r="U3130" s="238">
        <v>0.0</v>
      </c>
      <c r="V3130" s="238">
        <v>0.0</v>
      </c>
      <c r="W3130" s="238">
        <v>0.0</v>
      </c>
      <c r="X3130" s="235" t="s">
        <v>628</v>
      </c>
      <c r="Z3130" s="245"/>
      <c r="AA3130" s="245"/>
      <c r="AB3130" s="245"/>
      <c r="AC3130" s="235" t="s">
        <v>678</v>
      </c>
      <c r="AD3130" s="235" t="s">
        <v>679</v>
      </c>
      <c r="AE3130" s="238">
        <v>560075.0</v>
      </c>
      <c r="AF3130" s="235" t="s">
        <v>631</v>
      </c>
      <c r="AG3130" s="245"/>
      <c r="AH3130" s="245"/>
      <c r="AI3130" s="245"/>
      <c r="AJ3130" s="245"/>
      <c r="AK3130" s="245"/>
      <c r="AL3130" s="245"/>
      <c r="AM3130" s="245"/>
      <c r="AN3130" s="245"/>
      <c r="AO3130" s="238">
        <v>0.0</v>
      </c>
      <c r="AP3130" s="238">
        <v>0.0</v>
      </c>
      <c r="AQ3130" s="235" t="s">
        <v>632</v>
      </c>
      <c r="AR3130" s="243">
        <v>3.71E11</v>
      </c>
      <c r="AS3130" s="235" t="s">
        <v>22269</v>
      </c>
      <c r="AT3130" s="235" t="s">
        <v>9</v>
      </c>
      <c r="AU3130" s="235" t="s">
        <v>634</v>
      </c>
      <c r="AV3130" s="246" t="s">
        <v>635</v>
      </c>
      <c r="AW3130" s="227"/>
      <c r="AX3130" s="227"/>
      <c r="AY3130" s="227"/>
      <c r="AZ3130" s="227"/>
      <c r="BA3130" s="227"/>
      <c r="BB3130" s="227"/>
      <c r="BC3130" s="227"/>
      <c r="BD3130" s="227"/>
      <c r="BE3130" s="227"/>
      <c r="BF3130" s="227"/>
    </row>
    <row r="3131">
      <c r="A3131" s="235" t="s">
        <v>23627</v>
      </c>
      <c r="C3131" s="235" t="s">
        <v>23628</v>
      </c>
      <c r="D3131" s="235" t="s">
        <v>23636</v>
      </c>
      <c r="E3131" s="243">
        <v>6.52E13</v>
      </c>
      <c r="F3131" s="245"/>
      <c r="G3131" s="235" t="s">
        <v>23630</v>
      </c>
      <c r="H3131" s="235" t="s">
        <v>23631</v>
      </c>
      <c r="I3131" s="235" t="s">
        <v>23631</v>
      </c>
      <c r="J3131" s="235" t="s">
        <v>23632</v>
      </c>
      <c r="K3131" s="235" t="s">
        <v>23633</v>
      </c>
      <c r="N3131" s="235" t="s">
        <v>10</v>
      </c>
      <c r="O3131" s="235" t="s">
        <v>936</v>
      </c>
      <c r="P3131" s="238">
        <v>1.0</v>
      </c>
      <c r="Q3131" s="235" t="s">
        <v>627</v>
      </c>
      <c r="R3131" s="238">
        <v>242.86</v>
      </c>
      <c r="S3131" s="238">
        <v>12.14</v>
      </c>
      <c r="T3131" s="238">
        <v>0.0</v>
      </c>
      <c r="U3131" s="238">
        <v>0.0</v>
      </c>
      <c r="V3131" s="238">
        <v>0.0</v>
      </c>
      <c r="W3131" s="238">
        <v>0.0</v>
      </c>
      <c r="X3131" s="235" t="s">
        <v>628</v>
      </c>
      <c r="Z3131" s="245"/>
      <c r="AA3131" s="245"/>
      <c r="AB3131" s="245"/>
      <c r="AC3131" s="235" t="s">
        <v>678</v>
      </c>
      <c r="AD3131" s="235" t="s">
        <v>679</v>
      </c>
      <c r="AE3131" s="238">
        <v>560075.0</v>
      </c>
      <c r="AF3131" s="235" t="s">
        <v>631</v>
      </c>
      <c r="AG3131" s="245"/>
      <c r="AH3131" s="245"/>
      <c r="AI3131" s="245"/>
      <c r="AJ3131" s="245"/>
      <c r="AK3131" s="245"/>
      <c r="AL3131" s="245"/>
      <c r="AM3131" s="245"/>
      <c r="AN3131" s="245"/>
      <c r="AO3131" s="238">
        <v>0.0</v>
      </c>
      <c r="AP3131" s="238">
        <v>0.0</v>
      </c>
      <c r="AQ3131" s="235" t="s">
        <v>632</v>
      </c>
      <c r="AR3131" s="243">
        <v>3.71E11</v>
      </c>
      <c r="AS3131" s="235" t="s">
        <v>22269</v>
      </c>
      <c r="AT3131" s="235" t="s">
        <v>9</v>
      </c>
      <c r="AU3131" s="235" t="s">
        <v>634</v>
      </c>
      <c r="AV3131" s="246" t="s">
        <v>635</v>
      </c>
      <c r="AW3131" s="227"/>
      <c r="AX3131" s="227"/>
      <c r="AY3131" s="227"/>
      <c r="AZ3131" s="227"/>
      <c r="BA3131" s="227"/>
      <c r="BB3131" s="227"/>
      <c r="BC3131" s="227"/>
      <c r="BD3131" s="227"/>
      <c r="BE3131" s="227"/>
      <c r="BF3131" s="227"/>
    </row>
    <row r="3132">
      <c r="A3132" s="235" t="s">
        <v>23627</v>
      </c>
      <c r="C3132" s="235" t="s">
        <v>23628</v>
      </c>
      <c r="D3132" s="235" t="s">
        <v>23637</v>
      </c>
      <c r="E3132" s="243">
        <v>6.52E13</v>
      </c>
      <c r="F3132" s="245"/>
      <c r="G3132" s="235" t="s">
        <v>23630</v>
      </c>
      <c r="H3132" s="235" t="s">
        <v>23631</v>
      </c>
      <c r="I3132" s="235" t="s">
        <v>23631</v>
      </c>
      <c r="J3132" s="235" t="s">
        <v>23632</v>
      </c>
      <c r="K3132" s="235" t="s">
        <v>23633</v>
      </c>
      <c r="N3132" s="235" t="s">
        <v>10</v>
      </c>
      <c r="O3132" s="235" t="s">
        <v>936</v>
      </c>
      <c r="P3132" s="238">
        <v>2.0</v>
      </c>
      <c r="Q3132" s="235" t="s">
        <v>627</v>
      </c>
      <c r="R3132" s="238">
        <v>485.72</v>
      </c>
      <c r="S3132" s="238">
        <v>24.28</v>
      </c>
      <c r="T3132" s="238">
        <v>0.0</v>
      </c>
      <c r="U3132" s="238">
        <v>0.0</v>
      </c>
      <c r="V3132" s="238">
        <v>0.0</v>
      </c>
      <c r="W3132" s="238">
        <v>0.0</v>
      </c>
      <c r="X3132" s="235" t="s">
        <v>628</v>
      </c>
      <c r="Z3132" s="245"/>
      <c r="AA3132" s="245"/>
      <c r="AB3132" s="245"/>
      <c r="AC3132" s="235" t="s">
        <v>678</v>
      </c>
      <c r="AD3132" s="235" t="s">
        <v>679</v>
      </c>
      <c r="AE3132" s="238">
        <v>560075.0</v>
      </c>
      <c r="AF3132" s="235" t="s">
        <v>631</v>
      </c>
      <c r="AG3132" s="245"/>
      <c r="AH3132" s="245"/>
      <c r="AI3132" s="245"/>
      <c r="AJ3132" s="245"/>
      <c r="AK3132" s="245"/>
      <c r="AL3132" s="245"/>
      <c r="AM3132" s="245"/>
      <c r="AN3132" s="245"/>
      <c r="AO3132" s="238">
        <v>0.0</v>
      </c>
      <c r="AP3132" s="238">
        <v>0.0</v>
      </c>
      <c r="AQ3132" s="235" t="s">
        <v>632</v>
      </c>
      <c r="AR3132" s="243">
        <v>3.71E11</v>
      </c>
      <c r="AS3132" s="235" t="s">
        <v>22269</v>
      </c>
      <c r="AT3132" s="235" t="s">
        <v>9</v>
      </c>
      <c r="AU3132" s="235" t="s">
        <v>634</v>
      </c>
      <c r="AV3132" s="246" t="s">
        <v>635</v>
      </c>
      <c r="AW3132" s="227"/>
      <c r="AX3132" s="227"/>
      <c r="AY3132" s="227"/>
      <c r="AZ3132" s="227"/>
      <c r="BA3132" s="227"/>
      <c r="BB3132" s="227"/>
      <c r="BC3132" s="227"/>
      <c r="BD3132" s="227"/>
      <c r="BE3132" s="227"/>
      <c r="BF3132" s="227"/>
    </row>
    <row r="3133">
      <c r="A3133" s="235" t="s">
        <v>23627</v>
      </c>
      <c r="C3133" s="235" t="s">
        <v>23628</v>
      </c>
      <c r="D3133" s="235" t="s">
        <v>23638</v>
      </c>
      <c r="E3133" s="243">
        <v>6.52E13</v>
      </c>
      <c r="F3133" s="245"/>
      <c r="G3133" s="235" t="s">
        <v>23630</v>
      </c>
      <c r="H3133" s="235" t="s">
        <v>23631</v>
      </c>
      <c r="I3133" s="235" t="s">
        <v>23631</v>
      </c>
      <c r="J3133" s="235" t="s">
        <v>23632</v>
      </c>
      <c r="K3133" s="235" t="s">
        <v>23633</v>
      </c>
      <c r="N3133" s="235" t="s">
        <v>10</v>
      </c>
      <c r="O3133" s="235" t="s">
        <v>936</v>
      </c>
      <c r="P3133" s="238">
        <v>1.0</v>
      </c>
      <c r="Q3133" s="235" t="s">
        <v>627</v>
      </c>
      <c r="R3133" s="238">
        <v>242.86</v>
      </c>
      <c r="S3133" s="238">
        <v>12.14</v>
      </c>
      <c r="T3133" s="238">
        <v>0.0</v>
      </c>
      <c r="U3133" s="238">
        <v>0.0</v>
      </c>
      <c r="V3133" s="238">
        <v>0.0</v>
      </c>
      <c r="W3133" s="238">
        <v>0.0</v>
      </c>
      <c r="X3133" s="235" t="s">
        <v>628</v>
      </c>
      <c r="Z3133" s="245"/>
      <c r="AA3133" s="245"/>
      <c r="AB3133" s="245"/>
      <c r="AC3133" s="235" t="s">
        <v>678</v>
      </c>
      <c r="AD3133" s="235" t="s">
        <v>679</v>
      </c>
      <c r="AE3133" s="238">
        <v>560075.0</v>
      </c>
      <c r="AF3133" s="235" t="s">
        <v>631</v>
      </c>
      <c r="AG3133" s="245"/>
      <c r="AH3133" s="245"/>
      <c r="AI3133" s="245"/>
      <c r="AJ3133" s="245"/>
      <c r="AK3133" s="245"/>
      <c r="AL3133" s="245"/>
      <c r="AM3133" s="245"/>
      <c r="AN3133" s="245"/>
      <c r="AO3133" s="238">
        <v>0.0</v>
      </c>
      <c r="AP3133" s="238">
        <v>0.0</v>
      </c>
      <c r="AQ3133" s="235" t="s">
        <v>632</v>
      </c>
      <c r="AR3133" s="243">
        <v>3.71E11</v>
      </c>
      <c r="AS3133" s="235" t="s">
        <v>22269</v>
      </c>
      <c r="AT3133" s="235" t="s">
        <v>9</v>
      </c>
      <c r="AU3133" s="235" t="s">
        <v>634</v>
      </c>
      <c r="AV3133" s="246" t="s">
        <v>635</v>
      </c>
      <c r="AW3133" s="227"/>
      <c r="AX3133" s="227"/>
      <c r="AY3133" s="227"/>
      <c r="AZ3133" s="227"/>
      <c r="BA3133" s="227"/>
      <c r="BB3133" s="227"/>
      <c r="BC3133" s="227"/>
      <c r="BD3133" s="227"/>
      <c r="BE3133" s="227"/>
      <c r="BF3133" s="227"/>
    </row>
    <row r="3134">
      <c r="A3134" s="235" t="s">
        <v>23627</v>
      </c>
      <c r="C3134" s="235" t="s">
        <v>23628</v>
      </c>
      <c r="D3134" s="235" t="s">
        <v>23639</v>
      </c>
      <c r="E3134" s="243">
        <v>6.52E13</v>
      </c>
      <c r="F3134" s="245"/>
      <c r="G3134" s="235" t="s">
        <v>23630</v>
      </c>
      <c r="H3134" s="235" t="s">
        <v>23631</v>
      </c>
      <c r="I3134" s="235" t="s">
        <v>23631</v>
      </c>
      <c r="J3134" s="235" t="s">
        <v>23632</v>
      </c>
      <c r="K3134" s="235" t="s">
        <v>23633</v>
      </c>
      <c r="N3134" s="235" t="s">
        <v>10</v>
      </c>
      <c r="O3134" s="235" t="s">
        <v>936</v>
      </c>
      <c r="P3134" s="238">
        <v>1.0</v>
      </c>
      <c r="Q3134" s="235" t="s">
        <v>627</v>
      </c>
      <c r="R3134" s="238">
        <v>242.86</v>
      </c>
      <c r="S3134" s="238">
        <v>12.14</v>
      </c>
      <c r="T3134" s="238">
        <v>0.0</v>
      </c>
      <c r="U3134" s="238">
        <v>0.0</v>
      </c>
      <c r="V3134" s="238">
        <v>0.0</v>
      </c>
      <c r="W3134" s="238">
        <v>0.0</v>
      </c>
      <c r="X3134" s="235" t="s">
        <v>628</v>
      </c>
      <c r="Z3134" s="245"/>
      <c r="AA3134" s="245"/>
      <c r="AB3134" s="245"/>
      <c r="AC3134" s="235" t="s">
        <v>678</v>
      </c>
      <c r="AD3134" s="235" t="s">
        <v>679</v>
      </c>
      <c r="AE3134" s="238">
        <v>560075.0</v>
      </c>
      <c r="AF3134" s="235" t="s">
        <v>631</v>
      </c>
      <c r="AG3134" s="245"/>
      <c r="AH3134" s="245"/>
      <c r="AI3134" s="245"/>
      <c r="AJ3134" s="245"/>
      <c r="AK3134" s="245"/>
      <c r="AL3134" s="245"/>
      <c r="AM3134" s="245"/>
      <c r="AN3134" s="245"/>
      <c r="AO3134" s="238">
        <v>0.0</v>
      </c>
      <c r="AP3134" s="238">
        <v>0.0</v>
      </c>
      <c r="AQ3134" s="235" t="s">
        <v>632</v>
      </c>
      <c r="AR3134" s="243">
        <v>3.71E11</v>
      </c>
      <c r="AS3134" s="235" t="s">
        <v>22269</v>
      </c>
      <c r="AT3134" s="235" t="s">
        <v>9</v>
      </c>
      <c r="AU3134" s="235" t="s">
        <v>634</v>
      </c>
      <c r="AV3134" s="246" t="s">
        <v>635</v>
      </c>
      <c r="AW3134" s="227"/>
      <c r="AX3134" s="227"/>
      <c r="AY3134" s="227"/>
      <c r="AZ3134" s="227"/>
      <c r="BA3134" s="227"/>
      <c r="BB3134" s="227"/>
      <c r="BC3134" s="227"/>
      <c r="BD3134" s="227"/>
      <c r="BE3134" s="227"/>
      <c r="BF3134" s="227"/>
    </row>
    <row r="3135">
      <c r="A3135" s="235" t="s">
        <v>23627</v>
      </c>
      <c r="C3135" s="235" t="s">
        <v>23628</v>
      </c>
      <c r="D3135" s="235" t="s">
        <v>23640</v>
      </c>
      <c r="E3135" s="243">
        <v>6.52E13</v>
      </c>
      <c r="F3135" s="245"/>
      <c r="G3135" s="235" t="s">
        <v>23630</v>
      </c>
      <c r="H3135" s="235" t="s">
        <v>23631</v>
      </c>
      <c r="I3135" s="235" t="s">
        <v>23631</v>
      </c>
      <c r="J3135" s="235" t="s">
        <v>23632</v>
      </c>
      <c r="K3135" s="235" t="s">
        <v>23633</v>
      </c>
      <c r="N3135" s="235" t="s">
        <v>10</v>
      </c>
      <c r="O3135" s="235" t="s">
        <v>936</v>
      </c>
      <c r="P3135" s="238">
        <v>1.0</v>
      </c>
      <c r="Q3135" s="235" t="s">
        <v>627</v>
      </c>
      <c r="R3135" s="238">
        <v>242.86</v>
      </c>
      <c r="S3135" s="238">
        <v>12.14</v>
      </c>
      <c r="T3135" s="238">
        <v>0.0</v>
      </c>
      <c r="U3135" s="238">
        <v>0.0</v>
      </c>
      <c r="V3135" s="238">
        <v>0.0</v>
      </c>
      <c r="W3135" s="238">
        <v>0.0</v>
      </c>
      <c r="X3135" s="235" t="s">
        <v>628</v>
      </c>
      <c r="Z3135" s="245"/>
      <c r="AA3135" s="245"/>
      <c r="AB3135" s="245"/>
      <c r="AC3135" s="235" t="s">
        <v>678</v>
      </c>
      <c r="AD3135" s="235" t="s">
        <v>679</v>
      </c>
      <c r="AE3135" s="238">
        <v>560075.0</v>
      </c>
      <c r="AF3135" s="235" t="s">
        <v>631</v>
      </c>
      <c r="AG3135" s="245"/>
      <c r="AH3135" s="245"/>
      <c r="AI3135" s="245"/>
      <c r="AJ3135" s="245"/>
      <c r="AK3135" s="245"/>
      <c r="AL3135" s="245"/>
      <c r="AM3135" s="245"/>
      <c r="AN3135" s="245"/>
      <c r="AO3135" s="238">
        <v>0.0</v>
      </c>
      <c r="AP3135" s="238">
        <v>0.0</v>
      </c>
      <c r="AQ3135" s="235" t="s">
        <v>632</v>
      </c>
      <c r="AR3135" s="243">
        <v>3.71E11</v>
      </c>
      <c r="AS3135" s="235" t="s">
        <v>22269</v>
      </c>
      <c r="AT3135" s="235" t="s">
        <v>9</v>
      </c>
      <c r="AU3135" s="235" t="s">
        <v>634</v>
      </c>
      <c r="AV3135" s="246" t="s">
        <v>635</v>
      </c>
      <c r="AW3135" s="227"/>
      <c r="AX3135" s="227"/>
      <c r="AY3135" s="227"/>
      <c r="AZ3135" s="227"/>
      <c r="BA3135" s="227"/>
      <c r="BB3135" s="227"/>
      <c r="BC3135" s="227"/>
      <c r="BD3135" s="227"/>
      <c r="BE3135" s="227"/>
      <c r="BF3135" s="227"/>
    </row>
    <row r="3136">
      <c r="A3136" s="235" t="s">
        <v>23627</v>
      </c>
      <c r="C3136" s="235" t="s">
        <v>23628</v>
      </c>
      <c r="D3136" s="235" t="s">
        <v>23641</v>
      </c>
      <c r="E3136" s="243">
        <v>6.52E13</v>
      </c>
      <c r="F3136" s="245"/>
      <c r="G3136" s="235" t="s">
        <v>23630</v>
      </c>
      <c r="H3136" s="235" t="s">
        <v>23631</v>
      </c>
      <c r="I3136" s="235" t="s">
        <v>23631</v>
      </c>
      <c r="J3136" s="235" t="s">
        <v>23632</v>
      </c>
      <c r="K3136" s="235" t="s">
        <v>23633</v>
      </c>
      <c r="N3136" s="235" t="s">
        <v>10</v>
      </c>
      <c r="O3136" s="235" t="s">
        <v>936</v>
      </c>
      <c r="P3136" s="238">
        <v>1.0</v>
      </c>
      <c r="Q3136" s="235" t="s">
        <v>627</v>
      </c>
      <c r="R3136" s="238">
        <v>242.86</v>
      </c>
      <c r="S3136" s="238">
        <v>12.14</v>
      </c>
      <c r="T3136" s="238">
        <v>0.0</v>
      </c>
      <c r="U3136" s="238">
        <v>0.0</v>
      </c>
      <c r="V3136" s="238">
        <v>0.0</v>
      </c>
      <c r="W3136" s="238">
        <v>0.0</v>
      </c>
      <c r="X3136" s="235" t="s">
        <v>628</v>
      </c>
      <c r="Z3136" s="245"/>
      <c r="AA3136" s="245"/>
      <c r="AB3136" s="245"/>
      <c r="AC3136" s="235" t="s">
        <v>678</v>
      </c>
      <c r="AD3136" s="235" t="s">
        <v>679</v>
      </c>
      <c r="AE3136" s="238">
        <v>560075.0</v>
      </c>
      <c r="AF3136" s="235" t="s">
        <v>631</v>
      </c>
      <c r="AG3136" s="245"/>
      <c r="AH3136" s="245"/>
      <c r="AI3136" s="245"/>
      <c r="AJ3136" s="245"/>
      <c r="AK3136" s="245"/>
      <c r="AL3136" s="245"/>
      <c r="AM3136" s="245"/>
      <c r="AN3136" s="245"/>
      <c r="AO3136" s="238">
        <v>0.0</v>
      </c>
      <c r="AP3136" s="238">
        <v>0.0</v>
      </c>
      <c r="AQ3136" s="235" t="s">
        <v>632</v>
      </c>
      <c r="AR3136" s="243">
        <v>3.71E11</v>
      </c>
      <c r="AS3136" s="235" t="s">
        <v>22269</v>
      </c>
      <c r="AT3136" s="235" t="s">
        <v>9</v>
      </c>
      <c r="AU3136" s="235" t="s">
        <v>634</v>
      </c>
      <c r="AV3136" s="246" t="s">
        <v>635</v>
      </c>
      <c r="AW3136" s="227"/>
      <c r="AX3136" s="227"/>
      <c r="AY3136" s="227"/>
      <c r="AZ3136" s="227"/>
      <c r="BA3136" s="227"/>
      <c r="BB3136" s="227"/>
      <c r="BC3136" s="227"/>
      <c r="BD3136" s="227"/>
      <c r="BE3136" s="227"/>
      <c r="BF3136" s="227"/>
    </row>
    <row r="3137">
      <c r="A3137" s="235" t="s">
        <v>23627</v>
      </c>
      <c r="C3137" s="235" t="s">
        <v>23628</v>
      </c>
      <c r="D3137" s="235" t="s">
        <v>23642</v>
      </c>
      <c r="E3137" s="243">
        <v>6.52E13</v>
      </c>
      <c r="F3137" s="245"/>
      <c r="G3137" s="235" t="s">
        <v>23630</v>
      </c>
      <c r="H3137" s="235" t="s">
        <v>23631</v>
      </c>
      <c r="I3137" s="235" t="s">
        <v>23631</v>
      </c>
      <c r="J3137" s="235" t="s">
        <v>23632</v>
      </c>
      <c r="K3137" s="235" t="s">
        <v>23633</v>
      </c>
      <c r="N3137" s="235" t="s">
        <v>10</v>
      </c>
      <c r="O3137" s="235" t="s">
        <v>936</v>
      </c>
      <c r="P3137" s="238">
        <v>1.0</v>
      </c>
      <c r="Q3137" s="235" t="s">
        <v>627</v>
      </c>
      <c r="R3137" s="238">
        <v>242.86</v>
      </c>
      <c r="S3137" s="238">
        <v>12.14</v>
      </c>
      <c r="T3137" s="238">
        <v>0.0</v>
      </c>
      <c r="U3137" s="238">
        <v>0.0</v>
      </c>
      <c r="V3137" s="238">
        <v>0.0</v>
      </c>
      <c r="W3137" s="238">
        <v>0.0</v>
      </c>
      <c r="X3137" s="235" t="s">
        <v>628</v>
      </c>
      <c r="Z3137" s="245"/>
      <c r="AA3137" s="245"/>
      <c r="AB3137" s="245"/>
      <c r="AC3137" s="235" t="s">
        <v>678</v>
      </c>
      <c r="AD3137" s="235" t="s">
        <v>679</v>
      </c>
      <c r="AE3137" s="238">
        <v>560075.0</v>
      </c>
      <c r="AF3137" s="235" t="s">
        <v>631</v>
      </c>
      <c r="AG3137" s="245"/>
      <c r="AH3137" s="245"/>
      <c r="AI3137" s="245"/>
      <c r="AJ3137" s="245"/>
      <c r="AK3137" s="245"/>
      <c r="AL3137" s="245"/>
      <c r="AM3137" s="245"/>
      <c r="AN3137" s="245"/>
      <c r="AO3137" s="238">
        <v>0.0</v>
      </c>
      <c r="AP3137" s="238">
        <v>0.0</v>
      </c>
      <c r="AQ3137" s="235" t="s">
        <v>632</v>
      </c>
      <c r="AR3137" s="243">
        <v>3.71E11</v>
      </c>
      <c r="AS3137" s="235" t="s">
        <v>22269</v>
      </c>
      <c r="AT3137" s="235" t="s">
        <v>9</v>
      </c>
      <c r="AU3137" s="235" t="s">
        <v>634</v>
      </c>
      <c r="AV3137" s="246" t="s">
        <v>635</v>
      </c>
      <c r="AW3137" s="227"/>
      <c r="AX3137" s="227"/>
      <c r="AY3137" s="227"/>
      <c r="AZ3137" s="227"/>
      <c r="BA3137" s="227"/>
      <c r="BB3137" s="227"/>
      <c r="BC3137" s="227"/>
      <c r="BD3137" s="227"/>
      <c r="BE3137" s="227"/>
      <c r="BF3137" s="227"/>
    </row>
    <row r="3138">
      <c r="A3138" s="235" t="s">
        <v>23627</v>
      </c>
      <c r="C3138" s="235" t="s">
        <v>23628</v>
      </c>
      <c r="D3138" s="235" t="s">
        <v>23643</v>
      </c>
      <c r="E3138" s="243">
        <v>6.52E13</v>
      </c>
      <c r="F3138" s="245"/>
      <c r="G3138" s="235" t="s">
        <v>23630</v>
      </c>
      <c r="H3138" s="235" t="s">
        <v>23631</v>
      </c>
      <c r="I3138" s="235" t="s">
        <v>23631</v>
      </c>
      <c r="J3138" s="235" t="s">
        <v>23632</v>
      </c>
      <c r="K3138" s="235" t="s">
        <v>23633</v>
      </c>
      <c r="N3138" s="235" t="s">
        <v>10</v>
      </c>
      <c r="O3138" s="235" t="s">
        <v>936</v>
      </c>
      <c r="P3138" s="238">
        <v>1.0</v>
      </c>
      <c r="Q3138" s="235" t="s">
        <v>627</v>
      </c>
      <c r="R3138" s="238">
        <v>242.86</v>
      </c>
      <c r="S3138" s="238">
        <v>12.14</v>
      </c>
      <c r="T3138" s="238">
        <v>0.0</v>
      </c>
      <c r="U3138" s="238">
        <v>0.0</v>
      </c>
      <c r="V3138" s="238">
        <v>0.0</v>
      </c>
      <c r="W3138" s="238">
        <v>0.0</v>
      </c>
      <c r="X3138" s="235" t="s">
        <v>628</v>
      </c>
      <c r="Z3138" s="245"/>
      <c r="AA3138" s="245"/>
      <c r="AB3138" s="245"/>
      <c r="AC3138" s="235" t="s">
        <v>678</v>
      </c>
      <c r="AD3138" s="235" t="s">
        <v>679</v>
      </c>
      <c r="AE3138" s="238">
        <v>560075.0</v>
      </c>
      <c r="AF3138" s="235" t="s">
        <v>631</v>
      </c>
      <c r="AG3138" s="245"/>
      <c r="AH3138" s="245"/>
      <c r="AI3138" s="245"/>
      <c r="AJ3138" s="245"/>
      <c r="AK3138" s="245"/>
      <c r="AL3138" s="245"/>
      <c r="AM3138" s="245"/>
      <c r="AN3138" s="245"/>
      <c r="AO3138" s="238">
        <v>0.0</v>
      </c>
      <c r="AP3138" s="238">
        <v>0.0</v>
      </c>
      <c r="AQ3138" s="235" t="s">
        <v>632</v>
      </c>
      <c r="AR3138" s="243">
        <v>3.71E11</v>
      </c>
      <c r="AS3138" s="235" t="s">
        <v>22269</v>
      </c>
      <c r="AT3138" s="235" t="s">
        <v>9</v>
      </c>
      <c r="AU3138" s="235" t="s">
        <v>634</v>
      </c>
      <c r="AV3138" s="246" t="s">
        <v>635</v>
      </c>
      <c r="AW3138" s="227"/>
      <c r="AX3138" s="227"/>
      <c r="AY3138" s="227"/>
      <c r="AZ3138" s="227"/>
      <c r="BA3138" s="227"/>
      <c r="BB3138" s="227"/>
      <c r="BC3138" s="227"/>
      <c r="BD3138" s="227"/>
      <c r="BE3138" s="227"/>
      <c r="BF3138" s="227"/>
    </row>
    <row r="3139">
      <c r="A3139" s="235" t="s">
        <v>23627</v>
      </c>
      <c r="C3139" s="235" t="s">
        <v>23628</v>
      </c>
      <c r="D3139" s="235" t="s">
        <v>23644</v>
      </c>
      <c r="E3139" s="243">
        <v>6.52E13</v>
      </c>
      <c r="F3139" s="245"/>
      <c r="G3139" s="235" t="s">
        <v>23630</v>
      </c>
      <c r="H3139" s="235" t="s">
        <v>23631</v>
      </c>
      <c r="I3139" s="235" t="s">
        <v>23631</v>
      </c>
      <c r="J3139" s="235" t="s">
        <v>23632</v>
      </c>
      <c r="K3139" s="235" t="s">
        <v>23633</v>
      </c>
      <c r="N3139" s="235" t="s">
        <v>10</v>
      </c>
      <c r="O3139" s="235" t="s">
        <v>936</v>
      </c>
      <c r="P3139" s="238">
        <v>1.0</v>
      </c>
      <c r="Q3139" s="235" t="s">
        <v>627</v>
      </c>
      <c r="R3139" s="238">
        <v>242.86</v>
      </c>
      <c r="S3139" s="238">
        <v>12.14</v>
      </c>
      <c r="T3139" s="238">
        <v>0.0</v>
      </c>
      <c r="U3139" s="238">
        <v>0.0</v>
      </c>
      <c r="V3139" s="238">
        <v>0.0</v>
      </c>
      <c r="W3139" s="238">
        <v>0.0</v>
      </c>
      <c r="X3139" s="235" t="s">
        <v>628</v>
      </c>
      <c r="Z3139" s="245"/>
      <c r="AA3139" s="245"/>
      <c r="AB3139" s="245"/>
      <c r="AC3139" s="235" t="s">
        <v>678</v>
      </c>
      <c r="AD3139" s="235" t="s">
        <v>679</v>
      </c>
      <c r="AE3139" s="238">
        <v>560075.0</v>
      </c>
      <c r="AF3139" s="235" t="s">
        <v>631</v>
      </c>
      <c r="AG3139" s="245"/>
      <c r="AH3139" s="245"/>
      <c r="AI3139" s="245"/>
      <c r="AJ3139" s="245"/>
      <c r="AK3139" s="245"/>
      <c r="AL3139" s="245"/>
      <c r="AM3139" s="245"/>
      <c r="AN3139" s="245"/>
      <c r="AO3139" s="238">
        <v>0.0</v>
      </c>
      <c r="AP3139" s="238">
        <v>0.0</v>
      </c>
      <c r="AQ3139" s="235" t="s">
        <v>632</v>
      </c>
      <c r="AR3139" s="243">
        <v>3.71E11</v>
      </c>
      <c r="AS3139" s="235" t="s">
        <v>22269</v>
      </c>
      <c r="AT3139" s="235" t="s">
        <v>9</v>
      </c>
      <c r="AU3139" s="235" t="s">
        <v>634</v>
      </c>
      <c r="AV3139" s="246" t="s">
        <v>635</v>
      </c>
      <c r="AW3139" s="227"/>
      <c r="AX3139" s="227"/>
      <c r="AY3139" s="227"/>
      <c r="AZ3139" s="227"/>
      <c r="BA3139" s="227"/>
      <c r="BB3139" s="227"/>
      <c r="BC3139" s="227"/>
      <c r="BD3139" s="227"/>
      <c r="BE3139" s="227"/>
      <c r="BF3139" s="227"/>
    </row>
    <row r="3140">
      <c r="A3140" s="235" t="s">
        <v>23627</v>
      </c>
      <c r="C3140" s="235" t="s">
        <v>23628</v>
      </c>
      <c r="D3140" s="235" t="s">
        <v>23645</v>
      </c>
      <c r="E3140" s="243">
        <v>6.52E13</v>
      </c>
      <c r="F3140" s="245"/>
      <c r="G3140" s="235" t="s">
        <v>23630</v>
      </c>
      <c r="H3140" s="235" t="s">
        <v>23631</v>
      </c>
      <c r="I3140" s="235" t="s">
        <v>23631</v>
      </c>
      <c r="J3140" s="235" t="s">
        <v>23632</v>
      </c>
      <c r="K3140" s="235" t="s">
        <v>23633</v>
      </c>
      <c r="N3140" s="235" t="s">
        <v>10</v>
      </c>
      <c r="O3140" s="235" t="s">
        <v>936</v>
      </c>
      <c r="P3140" s="238">
        <v>1.0</v>
      </c>
      <c r="Q3140" s="235" t="s">
        <v>627</v>
      </c>
      <c r="R3140" s="238">
        <v>242.86</v>
      </c>
      <c r="S3140" s="238">
        <v>12.14</v>
      </c>
      <c r="T3140" s="238">
        <v>0.0</v>
      </c>
      <c r="U3140" s="238">
        <v>0.0</v>
      </c>
      <c r="V3140" s="238">
        <v>0.0</v>
      </c>
      <c r="W3140" s="238">
        <v>0.0</v>
      </c>
      <c r="X3140" s="235" t="s">
        <v>628</v>
      </c>
      <c r="Z3140" s="245"/>
      <c r="AA3140" s="245"/>
      <c r="AB3140" s="245"/>
      <c r="AC3140" s="235" t="s">
        <v>678</v>
      </c>
      <c r="AD3140" s="235" t="s">
        <v>679</v>
      </c>
      <c r="AE3140" s="238">
        <v>560075.0</v>
      </c>
      <c r="AF3140" s="235" t="s">
        <v>631</v>
      </c>
      <c r="AG3140" s="245"/>
      <c r="AH3140" s="245"/>
      <c r="AI3140" s="245"/>
      <c r="AJ3140" s="245"/>
      <c r="AK3140" s="245"/>
      <c r="AL3140" s="245"/>
      <c r="AM3140" s="245"/>
      <c r="AN3140" s="245"/>
      <c r="AO3140" s="238">
        <v>0.0</v>
      </c>
      <c r="AP3140" s="238">
        <v>0.0</v>
      </c>
      <c r="AQ3140" s="235" t="s">
        <v>632</v>
      </c>
      <c r="AR3140" s="243">
        <v>3.71E11</v>
      </c>
      <c r="AS3140" s="235" t="s">
        <v>22269</v>
      </c>
      <c r="AT3140" s="235" t="s">
        <v>9</v>
      </c>
      <c r="AU3140" s="235" t="s">
        <v>634</v>
      </c>
      <c r="AV3140" s="246" t="s">
        <v>635</v>
      </c>
      <c r="AW3140" s="227"/>
      <c r="AX3140" s="227"/>
      <c r="AY3140" s="227"/>
      <c r="AZ3140" s="227"/>
      <c r="BA3140" s="227"/>
      <c r="BB3140" s="227"/>
      <c r="BC3140" s="227"/>
      <c r="BD3140" s="227"/>
      <c r="BE3140" s="227"/>
      <c r="BF3140" s="227"/>
    </row>
    <row r="3141">
      <c r="A3141" s="235" t="s">
        <v>23627</v>
      </c>
      <c r="C3141" s="235" t="s">
        <v>23628</v>
      </c>
      <c r="D3141" s="235" t="s">
        <v>23646</v>
      </c>
      <c r="E3141" s="243">
        <v>6.52E13</v>
      </c>
      <c r="F3141" s="245"/>
      <c r="G3141" s="235" t="s">
        <v>23630</v>
      </c>
      <c r="H3141" s="235" t="s">
        <v>23631</v>
      </c>
      <c r="I3141" s="235" t="s">
        <v>23631</v>
      </c>
      <c r="J3141" s="235" t="s">
        <v>23632</v>
      </c>
      <c r="K3141" s="235" t="s">
        <v>23633</v>
      </c>
      <c r="N3141" s="235" t="s">
        <v>10</v>
      </c>
      <c r="O3141" s="235" t="s">
        <v>936</v>
      </c>
      <c r="P3141" s="238">
        <v>1.0</v>
      </c>
      <c r="Q3141" s="235" t="s">
        <v>627</v>
      </c>
      <c r="R3141" s="238">
        <v>242.86</v>
      </c>
      <c r="S3141" s="238">
        <v>12.14</v>
      </c>
      <c r="T3141" s="238">
        <v>0.0</v>
      </c>
      <c r="U3141" s="238">
        <v>0.0</v>
      </c>
      <c r="V3141" s="238">
        <v>0.0</v>
      </c>
      <c r="W3141" s="238">
        <v>0.0</v>
      </c>
      <c r="X3141" s="235" t="s">
        <v>628</v>
      </c>
      <c r="Z3141" s="245"/>
      <c r="AA3141" s="245"/>
      <c r="AB3141" s="245"/>
      <c r="AC3141" s="235" t="s">
        <v>678</v>
      </c>
      <c r="AD3141" s="235" t="s">
        <v>679</v>
      </c>
      <c r="AE3141" s="238">
        <v>560075.0</v>
      </c>
      <c r="AF3141" s="235" t="s">
        <v>631</v>
      </c>
      <c r="AG3141" s="245"/>
      <c r="AH3141" s="245"/>
      <c r="AI3141" s="245"/>
      <c r="AJ3141" s="245"/>
      <c r="AK3141" s="245"/>
      <c r="AL3141" s="245"/>
      <c r="AM3141" s="245"/>
      <c r="AN3141" s="245"/>
      <c r="AO3141" s="238">
        <v>0.0</v>
      </c>
      <c r="AP3141" s="238">
        <v>0.0</v>
      </c>
      <c r="AQ3141" s="235" t="s">
        <v>632</v>
      </c>
      <c r="AR3141" s="243">
        <v>3.71E11</v>
      </c>
      <c r="AS3141" s="235" t="s">
        <v>22269</v>
      </c>
      <c r="AT3141" s="235" t="s">
        <v>9</v>
      </c>
      <c r="AU3141" s="235" t="s">
        <v>634</v>
      </c>
      <c r="AV3141" s="246" t="s">
        <v>635</v>
      </c>
      <c r="AW3141" s="227"/>
      <c r="AX3141" s="227"/>
      <c r="AY3141" s="227"/>
      <c r="AZ3141" s="227"/>
      <c r="BA3141" s="227"/>
      <c r="BB3141" s="227"/>
      <c r="BC3141" s="227"/>
      <c r="BD3141" s="227"/>
      <c r="BE3141" s="227"/>
      <c r="BF3141" s="227"/>
    </row>
    <row r="3142">
      <c r="A3142" s="235" t="s">
        <v>23627</v>
      </c>
      <c r="C3142" s="235" t="s">
        <v>23628</v>
      </c>
      <c r="D3142" s="235" t="s">
        <v>23647</v>
      </c>
      <c r="E3142" s="243">
        <v>6.52E13</v>
      </c>
      <c r="F3142" s="245"/>
      <c r="G3142" s="235" t="s">
        <v>23630</v>
      </c>
      <c r="H3142" s="235" t="s">
        <v>23631</v>
      </c>
      <c r="I3142" s="235" t="s">
        <v>23631</v>
      </c>
      <c r="J3142" s="235" t="s">
        <v>23632</v>
      </c>
      <c r="K3142" s="235" t="s">
        <v>23633</v>
      </c>
      <c r="N3142" s="235" t="s">
        <v>10</v>
      </c>
      <c r="O3142" s="235" t="s">
        <v>936</v>
      </c>
      <c r="P3142" s="238">
        <v>1.0</v>
      </c>
      <c r="Q3142" s="235" t="s">
        <v>627</v>
      </c>
      <c r="R3142" s="238">
        <v>242.86</v>
      </c>
      <c r="S3142" s="238">
        <v>12.14</v>
      </c>
      <c r="T3142" s="238">
        <v>0.0</v>
      </c>
      <c r="U3142" s="238">
        <v>0.0</v>
      </c>
      <c r="V3142" s="238">
        <v>0.0</v>
      </c>
      <c r="W3142" s="238">
        <v>0.0</v>
      </c>
      <c r="X3142" s="235" t="s">
        <v>628</v>
      </c>
      <c r="Z3142" s="245"/>
      <c r="AA3142" s="245"/>
      <c r="AB3142" s="245"/>
      <c r="AC3142" s="235" t="s">
        <v>678</v>
      </c>
      <c r="AD3142" s="235" t="s">
        <v>679</v>
      </c>
      <c r="AE3142" s="238">
        <v>560075.0</v>
      </c>
      <c r="AF3142" s="235" t="s">
        <v>631</v>
      </c>
      <c r="AG3142" s="245"/>
      <c r="AH3142" s="245"/>
      <c r="AI3142" s="245"/>
      <c r="AJ3142" s="245"/>
      <c r="AK3142" s="245"/>
      <c r="AL3142" s="245"/>
      <c r="AM3142" s="245"/>
      <c r="AN3142" s="245"/>
      <c r="AO3142" s="238">
        <v>0.0</v>
      </c>
      <c r="AP3142" s="238">
        <v>0.0</v>
      </c>
      <c r="AQ3142" s="235" t="s">
        <v>632</v>
      </c>
      <c r="AR3142" s="243">
        <v>3.71E11</v>
      </c>
      <c r="AS3142" s="235" t="s">
        <v>22269</v>
      </c>
      <c r="AT3142" s="235" t="s">
        <v>9</v>
      </c>
      <c r="AU3142" s="235" t="s">
        <v>634</v>
      </c>
      <c r="AV3142" s="246" t="s">
        <v>635</v>
      </c>
      <c r="AW3142" s="227"/>
      <c r="AX3142" s="227"/>
      <c r="AY3142" s="227"/>
      <c r="AZ3142" s="227"/>
      <c r="BA3142" s="227"/>
      <c r="BB3142" s="227"/>
      <c r="BC3142" s="227"/>
      <c r="BD3142" s="227"/>
      <c r="BE3142" s="227"/>
      <c r="BF3142" s="227"/>
    </row>
    <row r="3143">
      <c r="A3143" s="235" t="s">
        <v>23648</v>
      </c>
      <c r="C3143" s="235" t="s">
        <v>23649</v>
      </c>
      <c r="D3143" s="235" t="s">
        <v>23650</v>
      </c>
      <c r="E3143" s="243">
        <v>6.52E13</v>
      </c>
      <c r="F3143" s="245"/>
      <c r="G3143" s="235" t="s">
        <v>23651</v>
      </c>
      <c r="H3143" s="235" t="s">
        <v>23652</v>
      </c>
      <c r="I3143" s="235" t="s">
        <v>23652</v>
      </c>
      <c r="J3143" s="235" t="s">
        <v>23653</v>
      </c>
      <c r="K3143" s="235" t="s">
        <v>23654</v>
      </c>
      <c r="N3143" s="235" t="s">
        <v>85</v>
      </c>
      <c r="O3143" s="235" t="s">
        <v>872</v>
      </c>
      <c r="P3143" s="238">
        <v>1.0</v>
      </c>
      <c r="Q3143" s="235" t="s">
        <v>627</v>
      </c>
      <c r="R3143" s="238">
        <v>246.67</v>
      </c>
      <c r="S3143" s="238">
        <v>12.33</v>
      </c>
      <c r="T3143" s="238">
        <v>0.0</v>
      </c>
      <c r="U3143" s="238">
        <v>0.0</v>
      </c>
      <c r="V3143" s="238">
        <v>0.0</v>
      </c>
      <c r="W3143" s="238">
        <v>0.0</v>
      </c>
      <c r="X3143" s="235" t="s">
        <v>628</v>
      </c>
      <c r="Z3143" s="245"/>
      <c r="AA3143" s="245"/>
      <c r="AB3143" s="245"/>
      <c r="AC3143" s="235" t="s">
        <v>795</v>
      </c>
      <c r="AD3143" s="235" t="s">
        <v>796</v>
      </c>
      <c r="AE3143" s="238">
        <v>110070.0</v>
      </c>
      <c r="AF3143" s="235" t="s">
        <v>631</v>
      </c>
      <c r="AG3143" s="245"/>
      <c r="AH3143" s="245"/>
      <c r="AI3143" s="245"/>
      <c r="AJ3143" s="245"/>
      <c r="AK3143" s="245"/>
      <c r="AL3143" s="245"/>
      <c r="AM3143" s="245"/>
      <c r="AN3143" s="245"/>
      <c r="AO3143" s="238">
        <v>0.0</v>
      </c>
      <c r="AP3143" s="238">
        <v>0.0</v>
      </c>
      <c r="AQ3143" s="235" t="s">
        <v>632</v>
      </c>
      <c r="AR3143" s="243">
        <v>2.02E11</v>
      </c>
      <c r="AS3143" s="235" t="s">
        <v>22269</v>
      </c>
      <c r="AT3143" s="235" t="s">
        <v>9</v>
      </c>
      <c r="AU3143" s="235" t="s">
        <v>634</v>
      </c>
      <c r="AV3143" s="246" t="s">
        <v>635</v>
      </c>
      <c r="AW3143" s="227"/>
      <c r="AX3143" s="227"/>
      <c r="AY3143" s="227"/>
      <c r="AZ3143" s="227"/>
      <c r="BA3143" s="227"/>
      <c r="BB3143" s="227"/>
      <c r="BC3143" s="227"/>
      <c r="BD3143" s="227"/>
      <c r="BE3143" s="227"/>
      <c r="BF3143" s="227"/>
    </row>
    <row r="3144">
      <c r="A3144" s="235" t="s">
        <v>23655</v>
      </c>
      <c r="C3144" s="235" t="s">
        <v>23656</v>
      </c>
      <c r="D3144" s="235" t="s">
        <v>23657</v>
      </c>
      <c r="E3144" s="243">
        <v>6.52E13</v>
      </c>
      <c r="F3144" s="245"/>
      <c r="G3144" s="235" t="s">
        <v>23658</v>
      </c>
      <c r="H3144" s="235" t="s">
        <v>23659</v>
      </c>
      <c r="I3144" s="235" t="s">
        <v>23659</v>
      </c>
      <c r="J3144" s="235" t="s">
        <v>23660</v>
      </c>
      <c r="K3144" s="235" t="s">
        <v>23661</v>
      </c>
      <c r="N3144" s="235" t="s">
        <v>51</v>
      </c>
      <c r="O3144" s="235" t="s">
        <v>273</v>
      </c>
      <c r="P3144" s="238">
        <v>1.0</v>
      </c>
      <c r="Q3144" s="235" t="s">
        <v>627</v>
      </c>
      <c r="R3144" s="238">
        <v>233.33</v>
      </c>
      <c r="S3144" s="238">
        <v>11.44</v>
      </c>
      <c r="T3144" s="238">
        <v>0.0</v>
      </c>
      <c r="U3144" s="238">
        <v>0.0</v>
      </c>
      <c r="V3144" s="238">
        <v>0.0</v>
      </c>
      <c r="W3144" s="238">
        <v>0.0</v>
      </c>
      <c r="X3144" s="235" t="s">
        <v>628</v>
      </c>
      <c r="Z3144" s="245"/>
      <c r="AA3144" s="245"/>
      <c r="AB3144" s="245"/>
      <c r="AC3144" s="235" t="s">
        <v>697</v>
      </c>
      <c r="AD3144" s="235" t="s">
        <v>698</v>
      </c>
      <c r="AE3144" s="238">
        <v>500100.0</v>
      </c>
      <c r="AF3144" s="235" t="s">
        <v>631</v>
      </c>
      <c r="AG3144" s="245"/>
      <c r="AH3144" s="245"/>
      <c r="AI3144" s="245"/>
      <c r="AJ3144" s="245"/>
      <c r="AK3144" s="245"/>
      <c r="AL3144" s="245"/>
      <c r="AM3144" s="245"/>
      <c r="AN3144" s="245"/>
      <c r="AO3144" s="238">
        <v>-4.67</v>
      </c>
      <c r="AP3144" s="238">
        <v>0.0</v>
      </c>
      <c r="AQ3144" s="235" t="s">
        <v>632</v>
      </c>
      <c r="AR3144" s="243">
        <v>1.68E11</v>
      </c>
      <c r="AS3144" s="235" t="s">
        <v>22269</v>
      </c>
      <c r="AT3144" s="235" t="s">
        <v>156</v>
      </c>
      <c r="AU3144" s="235" t="s">
        <v>634</v>
      </c>
      <c r="AV3144" s="246" t="s">
        <v>635</v>
      </c>
      <c r="AW3144" s="227"/>
      <c r="AX3144" s="227"/>
      <c r="AY3144" s="227"/>
      <c r="AZ3144" s="227"/>
      <c r="BA3144" s="227"/>
      <c r="BB3144" s="227"/>
      <c r="BC3144" s="227"/>
      <c r="BD3144" s="227"/>
      <c r="BE3144" s="227"/>
      <c r="BF3144" s="227"/>
    </row>
    <row r="3145">
      <c r="A3145" s="235" t="s">
        <v>23662</v>
      </c>
      <c r="C3145" s="235" t="s">
        <v>23663</v>
      </c>
      <c r="D3145" s="235" t="s">
        <v>23664</v>
      </c>
      <c r="E3145" s="243">
        <v>6.51E13</v>
      </c>
      <c r="F3145" s="245"/>
      <c r="G3145" s="235" t="s">
        <v>23665</v>
      </c>
      <c r="H3145" s="235" t="s">
        <v>23666</v>
      </c>
      <c r="I3145" s="235" t="s">
        <v>23667</v>
      </c>
      <c r="J3145" s="235" t="s">
        <v>23668</v>
      </c>
      <c r="K3145" s="235" t="s">
        <v>23669</v>
      </c>
      <c r="N3145" s="235" t="s">
        <v>90</v>
      </c>
      <c r="O3145" s="235" t="s">
        <v>279</v>
      </c>
      <c r="P3145" s="238">
        <v>1.0</v>
      </c>
      <c r="Q3145" s="235" t="s">
        <v>627</v>
      </c>
      <c r="R3145" s="238">
        <v>246.66</v>
      </c>
      <c r="S3145" s="238">
        <v>12.1</v>
      </c>
      <c r="T3145" s="238">
        <v>38.1</v>
      </c>
      <c r="U3145" s="238">
        <v>1.9</v>
      </c>
      <c r="V3145" s="238">
        <v>0.0</v>
      </c>
      <c r="W3145" s="238">
        <v>0.0</v>
      </c>
      <c r="X3145" s="235" t="s">
        <v>628</v>
      </c>
      <c r="Z3145" s="245"/>
      <c r="AA3145" s="245"/>
      <c r="AB3145" s="245"/>
      <c r="AC3145" s="235" t="s">
        <v>23670</v>
      </c>
      <c r="AD3145" s="235" t="s">
        <v>679</v>
      </c>
      <c r="AE3145" s="238">
        <v>583282.0</v>
      </c>
      <c r="AF3145" s="235" t="s">
        <v>631</v>
      </c>
      <c r="AG3145" s="245"/>
      <c r="AH3145" s="245"/>
      <c r="AI3145" s="245"/>
      <c r="AJ3145" s="245"/>
      <c r="AK3145" s="245"/>
      <c r="AL3145" s="245"/>
      <c r="AM3145" s="245"/>
      <c r="AN3145" s="245"/>
      <c r="AO3145" s="238">
        <v>-4.94</v>
      </c>
      <c r="AP3145" s="238">
        <v>-38.1</v>
      </c>
      <c r="AQ3145" s="235" t="s">
        <v>632</v>
      </c>
      <c r="AR3145" s="243">
        <v>3.71E11</v>
      </c>
      <c r="AS3145" s="235" t="s">
        <v>19388</v>
      </c>
      <c r="AT3145" s="235" t="s">
        <v>11</v>
      </c>
      <c r="AU3145" s="235" t="s">
        <v>634</v>
      </c>
      <c r="AV3145" s="246" t="s">
        <v>635</v>
      </c>
      <c r="AW3145" s="227"/>
      <c r="AX3145" s="227"/>
      <c r="AY3145" s="227"/>
      <c r="AZ3145" s="227"/>
      <c r="BA3145" s="227"/>
      <c r="BB3145" s="227"/>
      <c r="BC3145" s="227"/>
      <c r="BD3145" s="227"/>
      <c r="BE3145" s="227"/>
      <c r="BF3145" s="227"/>
    </row>
    <row r="3146">
      <c r="A3146" s="235" t="s">
        <v>23671</v>
      </c>
      <c r="C3146" s="235" t="s">
        <v>23672</v>
      </c>
      <c r="D3146" s="235" t="s">
        <v>23673</v>
      </c>
      <c r="E3146" s="243">
        <v>6.52E13</v>
      </c>
      <c r="F3146" s="245"/>
      <c r="G3146" s="235" t="s">
        <v>23674</v>
      </c>
      <c r="H3146" s="235" t="s">
        <v>23675</v>
      </c>
      <c r="I3146" s="235" t="s">
        <v>23675</v>
      </c>
      <c r="J3146" s="235" t="s">
        <v>23676</v>
      </c>
      <c r="K3146" s="235" t="s">
        <v>23677</v>
      </c>
      <c r="N3146" s="235" t="s">
        <v>154</v>
      </c>
      <c r="O3146" s="235" t="s">
        <v>766</v>
      </c>
      <c r="P3146" s="238">
        <v>1.0</v>
      </c>
      <c r="Q3146" s="235" t="s">
        <v>627</v>
      </c>
      <c r="R3146" s="238">
        <v>465.71</v>
      </c>
      <c r="S3146" s="238">
        <v>23.29</v>
      </c>
      <c r="T3146" s="238">
        <v>0.0</v>
      </c>
      <c r="U3146" s="238">
        <v>0.0</v>
      </c>
      <c r="V3146" s="238">
        <v>0.0</v>
      </c>
      <c r="W3146" s="238">
        <v>0.0</v>
      </c>
      <c r="X3146" s="235" t="s">
        <v>628</v>
      </c>
      <c r="Z3146" s="245"/>
      <c r="AA3146" s="245"/>
      <c r="AB3146" s="245"/>
      <c r="AC3146" s="235" t="s">
        <v>2325</v>
      </c>
      <c r="AD3146" s="235" t="s">
        <v>645</v>
      </c>
      <c r="AE3146" s="238">
        <v>682036.0</v>
      </c>
      <c r="AF3146" s="235" t="s">
        <v>631</v>
      </c>
      <c r="AG3146" s="245"/>
      <c r="AH3146" s="245"/>
      <c r="AI3146" s="245"/>
      <c r="AJ3146" s="245"/>
      <c r="AK3146" s="245"/>
      <c r="AL3146" s="245"/>
      <c r="AM3146" s="245"/>
      <c r="AN3146" s="245"/>
      <c r="AO3146" s="238">
        <v>0.0</v>
      </c>
      <c r="AP3146" s="238">
        <v>0.0</v>
      </c>
      <c r="AQ3146" s="235" t="s">
        <v>632</v>
      </c>
      <c r="AR3146" s="243">
        <v>1.68E11</v>
      </c>
      <c r="AS3146" s="235" t="s">
        <v>22269</v>
      </c>
      <c r="AT3146" s="235" t="s">
        <v>156</v>
      </c>
      <c r="AU3146" s="235" t="s">
        <v>634</v>
      </c>
      <c r="AV3146" s="246" t="s">
        <v>635</v>
      </c>
      <c r="AW3146" s="227"/>
      <c r="AX3146" s="227"/>
      <c r="AY3146" s="227"/>
      <c r="AZ3146" s="227"/>
      <c r="BA3146" s="227"/>
      <c r="BB3146" s="227"/>
      <c r="BC3146" s="227"/>
      <c r="BD3146" s="227"/>
      <c r="BE3146" s="227"/>
      <c r="BF3146" s="227"/>
    </row>
    <row r="3147">
      <c r="A3147" s="235" t="s">
        <v>23678</v>
      </c>
      <c r="C3147" s="235" t="s">
        <v>23679</v>
      </c>
      <c r="D3147" s="235" t="s">
        <v>23680</v>
      </c>
      <c r="E3147" s="243">
        <v>6.52E13</v>
      </c>
      <c r="F3147" s="245"/>
      <c r="G3147" s="235" t="s">
        <v>23681</v>
      </c>
      <c r="H3147" s="235" t="s">
        <v>23682</v>
      </c>
      <c r="I3147" s="235" t="s">
        <v>23682</v>
      </c>
      <c r="J3147" s="235" t="s">
        <v>23683</v>
      </c>
      <c r="K3147" s="235" t="s">
        <v>23684</v>
      </c>
      <c r="N3147" s="235" t="s">
        <v>154</v>
      </c>
      <c r="O3147" s="235" t="s">
        <v>766</v>
      </c>
      <c r="P3147" s="238">
        <v>1.0</v>
      </c>
      <c r="Q3147" s="235" t="s">
        <v>627</v>
      </c>
      <c r="R3147" s="238">
        <v>465.72</v>
      </c>
      <c r="S3147" s="238">
        <v>23.28</v>
      </c>
      <c r="T3147" s="238">
        <v>0.0</v>
      </c>
      <c r="U3147" s="238">
        <v>0.0</v>
      </c>
      <c r="V3147" s="238">
        <v>0.0</v>
      </c>
      <c r="W3147" s="238">
        <v>0.0</v>
      </c>
      <c r="X3147" s="235" t="s">
        <v>628</v>
      </c>
      <c r="Z3147" s="245"/>
      <c r="AA3147" s="245"/>
      <c r="AB3147" s="245"/>
      <c r="AC3147" s="235" t="s">
        <v>1604</v>
      </c>
      <c r="AD3147" s="235" t="s">
        <v>845</v>
      </c>
      <c r="AE3147" s="238">
        <v>400098.0</v>
      </c>
      <c r="AF3147" s="235" t="s">
        <v>631</v>
      </c>
      <c r="AG3147" s="245"/>
      <c r="AH3147" s="245"/>
      <c r="AI3147" s="245"/>
      <c r="AJ3147" s="245"/>
      <c r="AK3147" s="245"/>
      <c r="AL3147" s="245"/>
      <c r="AM3147" s="245"/>
      <c r="AN3147" s="245"/>
      <c r="AO3147" s="238">
        <v>0.0</v>
      </c>
      <c r="AP3147" s="238">
        <v>0.0</v>
      </c>
      <c r="AQ3147" s="235" t="s">
        <v>632</v>
      </c>
      <c r="AR3147" s="243">
        <v>3.71E11</v>
      </c>
      <c r="AS3147" s="235" t="s">
        <v>22269</v>
      </c>
      <c r="AT3147" s="235" t="s">
        <v>16</v>
      </c>
      <c r="AU3147" s="235" t="s">
        <v>634</v>
      </c>
      <c r="AV3147" s="246" t="s">
        <v>635</v>
      </c>
      <c r="AW3147" s="227"/>
      <c r="AX3147" s="227"/>
      <c r="AY3147" s="227"/>
      <c r="AZ3147" s="227"/>
      <c r="BA3147" s="227"/>
      <c r="BB3147" s="227"/>
      <c r="BC3147" s="227"/>
      <c r="BD3147" s="227"/>
      <c r="BE3147" s="227"/>
      <c r="BF3147" s="227"/>
    </row>
    <row r="3148">
      <c r="A3148" s="235" t="s">
        <v>23685</v>
      </c>
      <c r="C3148" s="235" t="s">
        <v>23686</v>
      </c>
      <c r="D3148" s="235" t="s">
        <v>23687</v>
      </c>
      <c r="E3148" s="243">
        <v>6.52E13</v>
      </c>
      <c r="F3148" s="245"/>
      <c r="G3148" s="235" t="s">
        <v>23688</v>
      </c>
      <c r="H3148" s="235" t="s">
        <v>23689</v>
      </c>
      <c r="I3148" s="235" t="s">
        <v>23689</v>
      </c>
      <c r="J3148" s="235" t="s">
        <v>23690</v>
      </c>
      <c r="K3148" s="235" t="s">
        <v>23691</v>
      </c>
      <c r="N3148" s="235" t="s">
        <v>47</v>
      </c>
      <c r="O3148" s="235" t="s">
        <v>270</v>
      </c>
      <c r="P3148" s="238">
        <v>1.0</v>
      </c>
      <c r="Q3148" s="235" t="s">
        <v>627</v>
      </c>
      <c r="R3148" s="238">
        <v>237.14</v>
      </c>
      <c r="S3148" s="238">
        <v>11.86</v>
      </c>
      <c r="T3148" s="238">
        <v>0.0</v>
      </c>
      <c r="U3148" s="238">
        <v>0.0</v>
      </c>
      <c r="V3148" s="238">
        <v>0.0</v>
      </c>
      <c r="W3148" s="238">
        <v>0.0</v>
      </c>
      <c r="X3148" s="235" t="s">
        <v>628</v>
      </c>
      <c r="Z3148" s="245"/>
      <c r="AA3148" s="245"/>
      <c r="AB3148" s="245"/>
      <c r="AC3148" s="235" t="s">
        <v>19800</v>
      </c>
      <c r="AD3148" s="235" t="s">
        <v>833</v>
      </c>
      <c r="AE3148" s="238">
        <v>522101.0</v>
      </c>
      <c r="AF3148" s="235" t="s">
        <v>631</v>
      </c>
      <c r="AG3148" s="245"/>
      <c r="AH3148" s="245"/>
      <c r="AI3148" s="245"/>
      <c r="AJ3148" s="245"/>
      <c r="AK3148" s="245"/>
      <c r="AL3148" s="245"/>
      <c r="AM3148" s="245"/>
      <c r="AN3148" s="245"/>
      <c r="AO3148" s="238">
        <v>0.0</v>
      </c>
      <c r="AP3148" s="238">
        <v>0.0</v>
      </c>
      <c r="AQ3148" s="235" t="s">
        <v>632</v>
      </c>
      <c r="AR3148" s="243">
        <v>1.68E11</v>
      </c>
      <c r="AS3148" s="235" t="s">
        <v>22269</v>
      </c>
      <c r="AT3148" s="235" t="s">
        <v>156</v>
      </c>
      <c r="AU3148" s="235" t="s">
        <v>634</v>
      </c>
      <c r="AV3148" s="246" t="s">
        <v>635</v>
      </c>
      <c r="AW3148" s="227"/>
      <c r="AX3148" s="227"/>
      <c r="AY3148" s="227"/>
      <c r="AZ3148" s="227"/>
      <c r="BA3148" s="227"/>
      <c r="BB3148" s="227"/>
      <c r="BC3148" s="227"/>
      <c r="BD3148" s="227"/>
      <c r="BE3148" s="227"/>
      <c r="BF3148" s="227"/>
    </row>
    <row r="3149">
      <c r="A3149" s="235" t="s">
        <v>23692</v>
      </c>
      <c r="C3149" s="235" t="s">
        <v>23693</v>
      </c>
      <c r="D3149" s="235" t="s">
        <v>23694</v>
      </c>
      <c r="E3149" s="243">
        <v>6.51E13</v>
      </c>
      <c r="F3149" s="245"/>
      <c r="G3149" s="235" t="s">
        <v>23695</v>
      </c>
      <c r="H3149" s="235" t="s">
        <v>23696</v>
      </c>
      <c r="I3149" s="235" t="s">
        <v>23696</v>
      </c>
      <c r="J3149" s="235" t="s">
        <v>23697</v>
      </c>
      <c r="K3149" s="235" t="s">
        <v>23698</v>
      </c>
      <c r="N3149" s="235" t="s">
        <v>110</v>
      </c>
      <c r="O3149" s="235" t="s">
        <v>364</v>
      </c>
      <c r="P3149" s="238">
        <v>1.0</v>
      </c>
      <c r="Q3149" s="235" t="s">
        <v>627</v>
      </c>
      <c r="R3149" s="238">
        <v>237.14</v>
      </c>
      <c r="S3149" s="238">
        <v>11.86</v>
      </c>
      <c r="T3149" s="238">
        <v>0.0</v>
      </c>
      <c r="U3149" s="238">
        <v>0.0</v>
      </c>
      <c r="V3149" s="238">
        <v>0.0</v>
      </c>
      <c r="W3149" s="238">
        <v>0.0</v>
      </c>
      <c r="X3149" s="235" t="s">
        <v>628</v>
      </c>
      <c r="Z3149" s="245"/>
      <c r="AA3149" s="245"/>
      <c r="AB3149" s="245"/>
      <c r="AC3149" s="235" t="s">
        <v>23699</v>
      </c>
      <c r="AD3149" s="235" t="s">
        <v>630</v>
      </c>
      <c r="AE3149" s="238">
        <v>271831.0</v>
      </c>
      <c r="AF3149" s="235" t="s">
        <v>631</v>
      </c>
      <c r="AG3149" s="245"/>
      <c r="AH3149" s="245"/>
      <c r="AI3149" s="245"/>
      <c r="AJ3149" s="245"/>
      <c r="AK3149" s="245"/>
      <c r="AL3149" s="245"/>
      <c r="AM3149" s="245"/>
      <c r="AN3149" s="245"/>
      <c r="AO3149" s="238">
        <v>0.0</v>
      </c>
      <c r="AP3149" s="238">
        <v>0.0</v>
      </c>
      <c r="AQ3149" s="235" t="s">
        <v>632</v>
      </c>
      <c r="AR3149" s="243">
        <v>3.71E11</v>
      </c>
      <c r="AS3149" s="235" t="s">
        <v>12693</v>
      </c>
      <c r="AT3149" s="235" t="s">
        <v>546</v>
      </c>
      <c r="AU3149" s="235" t="s">
        <v>634</v>
      </c>
      <c r="AV3149" s="246" t="s">
        <v>635</v>
      </c>
      <c r="AW3149" s="227"/>
      <c r="AX3149" s="227"/>
      <c r="AY3149" s="227"/>
      <c r="AZ3149" s="227"/>
      <c r="BA3149" s="227"/>
      <c r="BB3149" s="227"/>
      <c r="BC3149" s="227"/>
      <c r="BD3149" s="227"/>
      <c r="BE3149" s="227"/>
      <c r="BF3149" s="227"/>
    </row>
    <row r="3150">
      <c r="A3150" s="235" t="s">
        <v>23700</v>
      </c>
      <c r="C3150" s="235" t="s">
        <v>23701</v>
      </c>
      <c r="D3150" s="235" t="s">
        <v>23702</v>
      </c>
      <c r="E3150" s="243">
        <v>6.52E13</v>
      </c>
      <c r="F3150" s="245"/>
      <c r="G3150" s="235" t="s">
        <v>23703</v>
      </c>
      <c r="H3150" s="235" t="s">
        <v>23704</v>
      </c>
      <c r="I3150" s="235" t="s">
        <v>23705</v>
      </c>
      <c r="J3150" s="235" t="s">
        <v>23706</v>
      </c>
      <c r="K3150" s="235" t="s">
        <v>23707</v>
      </c>
      <c r="N3150" s="235" t="s">
        <v>47</v>
      </c>
      <c r="O3150" s="235" t="s">
        <v>270</v>
      </c>
      <c r="P3150" s="238">
        <v>1.0</v>
      </c>
      <c r="Q3150" s="235" t="s">
        <v>627</v>
      </c>
      <c r="R3150" s="238">
        <v>237.14</v>
      </c>
      <c r="S3150" s="238">
        <v>11.86</v>
      </c>
      <c r="T3150" s="238">
        <v>0.0</v>
      </c>
      <c r="U3150" s="238">
        <v>0.0</v>
      </c>
      <c r="V3150" s="238">
        <v>0.0</v>
      </c>
      <c r="W3150" s="238">
        <v>0.0</v>
      </c>
      <c r="X3150" s="235" t="s">
        <v>628</v>
      </c>
      <c r="Z3150" s="245"/>
      <c r="AA3150" s="245"/>
      <c r="AB3150" s="245"/>
      <c r="AC3150" s="235" t="s">
        <v>697</v>
      </c>
      <c r="AD3150" s="235" t="s">
        <v>698</v>
      </c>
      <c r="AE3150" s="238">
        <v>500056.0</v>
      </c>
      <c r="AF3150" s="235" t="s">
        <v>631</v>
      </c>
      <c r="AG3150" s="245"/>
      <c r="AH3150" s="245"/>
      <c r="AI3150" s="245"/>
      <c r="AJ3150" s="245"/>
      <c r="AK3150" s="245"/>
      <c r="AL3150" s="245"/>
      <c r="AM3150" s="245"/>
      <c r="AN3150" s="245"/>
      <c r="AO3150" s="238">
        <v>0.0</v>
      </c>
      <c r="AP3150" s="238">
        <v>0.0</v>
      </c>
      <c r="AQ3150" s="235" t="s">
        <v>632</v>
      </c>
      <c r="AR3150" s="243">
        <v>1.68E11</v>
      </c>
      <c r="AS3150" s="235" t="s">
        <v>22269</v>
      </c>
      <c r="AT3150" s="235" t="s">
        <v>9</v>
      </c>
      <c r="AU3150" s="235" t="s">
        <v>634</v>
      </c>
      <c r="AV3150" s="246" t="s">
        <v>635</v>
      </c>
      <c r="AW3150" s="227"/>
      <c r="AX3150" s="227"/>
      <c r="AY3150" s="227"/>
      <c r="AZ3150" s="227"/>
      <c r="BA3150" s="227"/>
      <c r="BB3150" s="227"/>
      <c r="BC3150" s="227"/>
      <c r="BD3150" s="227"/>
      <c r="BE3150" s="227"/>
      <c r="BF3150" s="227"/>
    </row>
    <row r="3151">
      <c r="A3151" s="235" t="s">
        <v>23708</v>
      </c>
      <c r="C3151" s="235" t="s">
        <v>23709</v>
      </c>
      <c r="D3151" s="235" t="s">
        <v>23710</v>
      </c>
      <c r="E3151" s="243">
        <v>6.52E13</v>
      </c>
      <c r="F3151" s="245"/>
      <c r="G3151" s="235" t="s">
        <v>23711</v>
      </c>
      <c r="H3151" s="235" t="s">
        <v>23712</v>
      </c>
      <c r="I3151" s="235" t="s">
        <v>23712</v>
      </c>
      <c r="J3151" s="235" t="s">
        <v>23713</v>
      </c>
      <c r="K3151" s="235" t="s">
        <v>23714</v>
      </c>
      <c r="N3151" s="235" t="s">
        <v>127</v>
      </c>
      <c r="O3151" s="235" t="s">
        <v>794</v>
      </c>
      <c r="P3151" s="238">
        <v>1.0</v>
      </c>
      <c r="Q3151" s="235" t="s">
        <v>627</v>
      </c>
      <c r="R3151" s="238">
        <v>242.86</v>
      </c>
      <c r="S3151" s="238">
        <v>11.9</v>
      </c>
      <c r="T3151" s="238">
        <v>0.0</v>
      </c>
      <c r="U3151" s="238">
        <v>0.0</v>
      </c>
      <c r="V3151" s="238">
        <v>0.0</v>
      </c>
      <c r="W3151" s="238">
        <v>0.0</v>
      </c>
      <c r="X3151" s="235" t="s">
        <v>628</v>
      </c>
      <c r="Z3151" s="245"/>
      <c r="AA3151" s="245"/>
      <c r="AB3151" s="245"/>
      <c r="AC3151" s="235" t="s">
        <v>678</v>
      </c>
      <c r="AD3151" s="235" t="s">
        <v>679</v>
      </c>
      <c r="AE3151" s="238">
        <v>560076.0</v>
      </c>
      <c r="AF3151" s="235" t="s">
        <v>631</v>
      </c>
      <c r="AG3151" s="245"/>
      <c r="AH3151" s="245"/>
      <c r="AI3151" s="245"/>
      <c r="AJ3151" s="245"/>
      <c r="AK3151" s="245"/>
      <c r="AL3151" s="245"/>
      <c r="AM3151" s="245"/>
      <c r="AN3151" s="245"/>
      <c r="AO3151" s="238">
        <v>-4.86</v>
      </c>
      <c r="AP3151" s="238">
        <v>0.0</v>
      </c>
      <c r="AQ3151" s="235" t="s">
        <v>632</v>
      </c>
      <c r="AR3151" s="243">
        <v>1.68E11</v>
      </c>
      <c r="AS3151" s="235" t="s">
        <v>23542</v>
      </c>
      <c r="AT3151" s="235" t="s">
        <v>9</v>
      </c>
      <c r="AU3151" s="235" t="s">
        <v>634</v>
      </c>
      <c r="AV3151" s="246" t="s">
        <v>635</v>
      </c>
      <c r="AW3151" s="227"/>
      <c r="AX3151" s="227"/>
      <c r="AY3151" s="227"/>
      <c r="AZ3151" s="227"/>
      <c r="BA3151" s="227"/>
      <c r="BB3151" s="227"/>
      <c r="BC3151" s="227"/>
      <c r="BD3151" s="227"/>
      <c r="BE3151" s="227"/>
      <c r="BF3151" s="227"/>
    </row>
    <row r="3152">
      <c r="A3152" s="235" t="s">
        <v>23715</v>
      </c>
      <c r="C3152" s="235" t="s">
        <v>23716</v>
      </c>
      <c r="D3152" s="235" t="s">
        <v>23717</v>
      </c>
      <c r="E3152" s="243">
        <v>6.52E13</v>
      </c>
      <c r="F3152" s="245"/>
      <c r="G3152" s="235" t="s">
        <v>23718</v>
      </c>
      <c r="H3152" s="235" t="s">
        <v>23719</v>
      </c>
      <c r="I3152" s="235" t="s">
        <v>23719</v>
      </c>
      <c r="J3152" s="235" t="s">
        <v>23720</v>
      </c>
      <c r="K3152" s="235" t="s">
        <v>23721</v>
      </c>
      <c r="N3152" s="235" t="s">
        <v>153</v>
      </c>
      <c r="O3152" s="235" t="s">
        <v>390</v>
      </c>
      <c r="P3152" s="238">
        <v>1.0</v>
      </c>
      <c r="Q3152" s="235" t="s">
        <v>627</v>
      </c>
      <c r="R3152" s="238">
        <v>490.68</v>
      </c>
      <c r="S3152" s="238">
        <v>88.32</v>
      </c>
      <c r="T3152" s="238">
        <v>0.0</v>
      </c>
      <c r="U3152" s="238">
        <v>0.0</v>
      </c>
      <c r="V3152" s="238">
        <v>0.0</v>
      </c>
      <c r="W3152" s="238">
        <v>0.0</v>
      </c>
      <c r="X3152" s="235" t="s">
        <v>628</v>
      </c>
      <c r="Z3152" s="245"/>
      <c r="AA3152" s="245"/>
      <c r="AB3152" s="245"/>
      <c r="AC3152" s="235" t="s">
        <v>678</v>
      </c>
      <c r="AD3152" s="235" t="s">
        <v>679</v>
      </c>
      <c r="AE3152" s="238">
        <v>560034.0</v>
      </c>
      <c r="AF3152" s="235" t="s">
        <v>631</v>
      </c>
      <c r="AG3152" s="245"/>
      <c r="AH3152" s="245"/>
      <c r="AI3152" s="245"/>
      <c r="AJ3152" s="245"/>
      <c r="AK3152" s="245"/>
      <c r="AL3152" s="245"/>
      <c r="AM3152" s="245"/>
      <c r="AN3152" s="245"/>
      <c r="AO3152" s="238">
        <v>0.0</v>
      </c>
      <c r="AP3152" s="238">
        <v>0.0</v>
      </c>
      <c r="AQ3152" s="235" t="s">
        <v>632</v>
      </c>
      <c r="AR3152" s="243">
        <v>1.68E11</v>
      </c>
      <c r="AS3152" s="235" t="s">
        <v>23542</v>
      </c>
      <c r="AT3152" s="235" t="s">
        <v>11</v>
      </c>
      <c r="AU3152" s="235" t="s">
        <v>634</v>
      </c>
      <c r="AV3152" s="246" t="s">
        <v>635</v>
      </c>
      <c r="AW3152" s="227"/>
      <c r="AX3152" s="227"/>
      <c r="AY3152" s="227"/>
      <c r="AZ3152" s="227"/>
      <c r="BA3152" s="227"/>
      <c r="BB3152" s="227"/>
      <c r="BC3152" s="227"/>
      <c r="BD3152" s="227"/>
      <c r="BE3152" s="227"/>
      <c r="BF3152" s="227"/>
    </row>
    <row r="3153">
      <c r="A3153" s="235" t="s">
        <v>23722</v>
      </c>
      <c r="C3153" s="235" t="s">
        <v>23723</v>
      </c>
      <c r="D3153" s="235" t="s">
        <v>23724</v>
      </c>
      <c r="E3153" s="243">
        <v>6.52E13</v>
      </c>
      <c r="F3153" s="245"/>
      <c r="G3153" s="235" t="s">
        <v>23725</v>
      </c>
      <c r="H3153" s="235" t="s">
        <v>23726</v>
      </c>
      <c r="I3153" s="235" t="s">
        <v>23726</v>
      </c>
      <c r="J3153" s="235" t="s">
        <v>23727</v>
      </c>
      <c r="K3153" s="235" t="s">
        <v>23728</v>
      </c>
      <c r="N3153" s="235" t="s">
        <v>144</v>
      </c>
      <c r="O3153" s="235" t="s">
        <v>232</v>
      </c>
      <c r="P3153" s="238">
        <v>1.0</v>
      </c>
      <c r="Q3153" s="235" t="s">
        <v>627</v>
      </c>
      <c r="R3153" s="238">
        <v>665.71</v>
      </c>
      <c r="S3153" s="238">
        <v>32.62</v>
      </c>
      <c r="T3153" s="238">
        <v>0.0</v>
      </c>
      <c r="U3153" s="238">
        <v>0.0</v>
      </c>
      <c r="V3153" s="238">
        <v>0.0</v>
      </c>
      <c r="W3153" s="238">
        <v>0.0</v>
      </c>
      <c r="X3153" s="235" t="s">
        <v>628</v>
      </c>
      <c r="Z3153" s="245"/>
      <c r="AA3153" s="245"/>
      <c r="AB3153" s="245"/>
      <c r="AC3153" s="235" t="s">
        <v>629</v>
      </c>
      <c r="AD3153" s="235" t="s">
        <v>630</v>
      </c>
      <c r="AE3153" s="238">
        <v>201301.0</v>
      </c>
      <c r="AF3153" s="235" t="s">
        <v>631</v>
      </c>
      <c r="AG3153" s="245"/>
      <c r="AH3153" s="245"/>
      <c r="AI3153" s="245"/>
      <c r="AJ3153" s="245"/>
      <c r="AK3153" s="245"/>
      <c r="AL3153" s="245"/>
      <c r="AM3153" s="245"/>
      <c r="AN3153" s="245"/>
      <c r="AO3153" s="238">
        <v>-13.31</v>
      </c>
      <c r="AP3153" s="238">
        <v>0.0</v>
      </c>
      <c r="AQ3153" s="235" t="s">
        <v>632</v>
      </c>
      <c r="AR3153" s="243">
        <v>3.71E11</v>
      </c>
      <c r="AS3153" s="235" t="s">
        <v>22269</v>
      </c>
      <c r="AT3153" s="235" t="s">
        <v>533</v>
      </c>
      <c r="AU3153" s="235" t="s">
        <v>634</v>
      </c>
      <c r="AV3153" s="246" t="s">
        <v>635</v>
      </c>
      <c r="AW3153" s="227"/>
      <c r="AX3153" s="227"/>
      <c r="AY3153" s="227"/>
      <c r="AZ3153" s="227"/>
      <c r="BA3153" s="227"/>
      <c r="BB3153" s="227"/>
      <c r="BC3153" s="227"/>
      <c r="BD3153" s="227"/>
      <c r="BE3153" s="227"/>
      <c r="BF3153" s="227"/>
    </row>
    <row r="3154">
      <c r="A3154" s="235" t="s">
        <v>23729</v>
      </c>
      <c r="C3154" s="235" t="s">
        <v>23730</v>
      </c>
      <c r="D3154" s="235" t="s">
        <v>23731</v>
      </c>
      <c r="E3154" s="243">
        <v>6.52E13</v>
      </c>
      <c r="F3154" s="245"/>
      <c r="G3154" s="235" t="s">
        <v>23732</v>
      </c>
      <c r="H3154" s="235" t="s">
        <v>23733</v>
      </c>
      <c r="I3154" s="235" t="s">
        <v>23733</v>
      </c>
      <c r="J3154" s="235" t="s">
        <v>23734</v>
      </c>
      <c r="K3154" s="235" t="s">
        <v>23735</v>
      </c>
      <c r="N3154" s="235" t="s">
        <v>54</v>
      </c>
      <c r="O3154" s="235" t="s">
        <v>294</v>
      </c>
      <c r="P3154" s="238">
        <v>1.0</v>
      </c>
      <c r="Q3154" s="235" t="s">
        <v>627</v>
      </c>
      <c r="R3154" s="238">
        <v>246.67</v>
      </c>
      <c r="S3154" s="238">
        <v>12.33</v>
      </c>
      <c r="T3154" s="238">
        <v>0.0</v>
      </c>
      <c r="U3154" s="238">
        <v>0.0</v>
      </c>
      <c r="V3154" s="238">
        <v>0.0</v>
      </c>
      <c r="W3154" s="238">
        <v>0.0</v>
      </c>
      <c r="X3154" s="235" t="s">
        <v>628</v>
      </c>
      <c r="Z3154" s="245"/>
      <c r="AA3154" s="245"/>
      <c r="AB3154" s="245"/>
      <c r="AC3154" s="235" t="s">
        <v>1287</v>
      </c>
      <c r="AD3154" s="235" t="s">
        <v>630</v>
      </c>
      <c r="AE3154" s="238">
        <v>201013.0</v>
      </c>
      <c r="AF3154" s="235" t="s">
        <v>631</v>
      </c>
      <c r="AG3154" s="245"/>
      <c r="AH3154" s="245"/>
      <c r="AI3154" s="245"/>
      <c r="AJ3154" s="245"/>
      <c r="AK3154" s="245"/>
      <c r="AL3154" s="245"/>
      <c r="AM3154" s="245"/>
      <c r="AN3154" s="245"/>
      <c r="AO3154" s="238">
        <v>0.0</v>
      </c>
      <c r="AP3154" s="238">
        <v>0.0</v>
      </c>
      <c r="AQ3154" s="235" t="s">
        <v>632</v>
      </c>
      <c r="AR3154" s="243">
        <v>3.71E11</v>
      </c>
      <c r="AS3154" s="235" t="s">
        <v>22269</v>
      </c>
      <c r="AT3154" s="235" t="s">
        <v>533</v>
      </c>
      <c r="AU3154" s="235" t="s">
        <v>634</v>
      </c>
      <c r="AV3154" s="246" t="s">
        <v>635</v>
      </c>
      <c r="AW3154" s="227"/>
      <c r="AX3154" s="227"/>
      <c r="AY3154" s="227"/>
      <c r="AZ3154" s="227"/>
      <c r="BA3154" s="227"/>
      <c r="BB3154" s="227"/>
      <c r="BC3154" s="227"/>
      <c r="BD3154" s="227"/>
      <c r="BE3154" s="227"/>
      <c r="BF3154" s="227"/>
    </row>
    <row r="3155">
      <c r="A3155" s="235" t="s">
        <v>23736</v>
      </c>
      <c r="C3155" s="235" t="s">
        <v>23737</v>
      </c>
      <c r="D3155" s="235" t="s">
        <v>23738</v>
      </c>
      <c r="E3155" s="243">
        <v>6.52E13</v>
      </c>
      <c r="F3155" s="245"/>
      <c r="G3155" s="235" t="s">
        <v>23739</v>
      </c>
      <c r="H3155" s="235" t="s">
        <v>23740</v>
      </c>
      <c r="I3155" s="235" t="s">
        <v>23741</v>
      </c>
      <c r="J3155" s="235" t="s">
        <v>23742</v>
      </c>
      <c r="K3155" s="235" t="s">
        <v>23743</v>
      </c>
      <c r="N3155" s="235" t="s">
        <v>82</v>
      </c>
      <c r="O3155" s="235" t="s">
        <v>889</v>
      </c>
      <c r="P3155" s="238">
        <v>1.0</v>
      </c>
      <c r="Q3155" s="235" t="s">
        <v>627</v>
      </c>
      <c r="R3155" s="238">
        <v>246.66</v>
      </c>
      <c r="S3155" s="238">
        <v>12.1</v>
      </c>
      <c r="T3155" s="238">
        <v>38.1</v>
      </c>
      <c r="U3155" s="238">
        <v>1.9</v>
      </c>
      <c r="V3155" s="238">
        <v>0.0</v>
      </c>
      <c r="W3155" s="238">
        <v>0.0</v>
      </c>
      <c r="X3155" s="235" t="s">
        <v>628</v>
      </c>
      <c r="Z3155" s="245"/>
      <c r="AA3155" s="245"/>
      <c r="AB3155" s="245"/>
      <c r="AC3155" s="235" t="s">
        <v>6060</v>
      </c>
      <c r="AD3155" s="235" t="s">
        <v>666</v>
      </c>
      <c r="AE3155" s="238">
        <v>613504.0</v>
      </c>
      <c r="AF3155" s="235" t="s">
        <v>631</v>
      </c>
      <c r="AG3155" s="245"/>
      <c r="AH3155" s="245"/>
      <c r="AI3155" s="245"/>
      <c r="AJ3155" s="245"/>
      <c r="AK3155" s="245"/>
      <c r="AL3155" s="245"/>
      <c r="AM3155" s="245"/>
      <c r="AN3155" s="245"/>
      <c r="AO3155" s="238">
        <v>-4.94</v>
      </c>
      <c r="AP3155" s="238">
        <v>-38.1</v>
      </c>
      <c r="AQ3155" s="235" t="s">
        <v>632</v>
      </c>
      <c r="AR3155" s="243">
        <v>3.71E11</v>
      </c>
      <c r="AS3155" s="235" t="s">
        <v>22269</v>
      </c>
      <c r="AT3155" s="235" t="s">
        <v>155</v>
      </c>
      <c r="AU3155" s="235" t="s">
        <v>634</v>
      </c>
      <c r="AV3155" s="246" t="s">
        <v>635</v>
      </c>
      <c r="AW3155" s="227"/>
      <c r="AX3155" s="227"/>
      <c r="AY3155" s="227"/>
      <c r="AZ3155" s="227"/>
      <c r="BA3155" s="227"/>
      <c r="BB3155" s="227"/>
      <c r="BC3155" s="227"/>
      <c r="BD3155" s="227"/>
      <c r="BE3155" s="227"/>
      <c r="BF3155" s="227"/>
    </row>
    <row r="3156">
      <c r="A3156" s="235" t="s">
        <v>23744</v>
      </c>
      <c r="C3156" s="235" t="s">
        <v>23745</v>
      </c>
      <c r="D3156" s="235" t="s">
        <v>23746</v>
      </c>
      <c r="E3156" s="243">
        <v>6.52E13</v>
      </c>
      <c r="F3156" s="245"/>
      <c r="G3156" s="235" t="s">
        <v>23747</v>
      </c>
      <c r="H3156" s="235" t="s">
        <v>23740</v>
      </c>
      <c r="I3156" s="235" t="s">
        <v>23748</v>
      </c>
      <c r="J3156" s="235" t="s">
        <v>23749</v>
      </c>
      <c r="K3156" s="235" t="s">
        <v>23750</v>
      </c>
      <c r="N3156" s="235" t="s">
        <v>42</v>
      </c>
      <c r="O3156" s="235" t="s">
        <v>204</v>
      </c>
      <c r="P3156" s="238">
        <v>1.0</v>
      </c>
      <c r="Q3156" s="235" t="s">
        <v>627</v>
      </c>
      <c r="R3156" s="238">
        <v>237.14</v>
      </c>
      <c r="S3156" s="238">
        <v>11.86</v>
      </c>
      <c r="T3156" s="238">
        <v>0.0</v>
      </c>
      <c r="U3156" s="238">
        <v>0.0</v>
      </c>
      <c r="V3156" s="238">
        <v>0.0</v>
      </c>
      <c r="W3156" s="238">
        <v>0.0</v>
      </c>
      <c r="X3156" s="235" t="s">
        <v>628</v>
      </c>
      <c r="Z3156" s="245"/>
      <c r="AA3156" s="245"/>
      <c r="AB3156" s="245"/>
      <c r="AC3156" s="235" t="s">
        <v>697</v>
      </c>
      <c r="AD3156" s="235" t="s">
        <v>698</v>
      </c>
      <c r="AE3156" s="238">
        <v>500084.0</v>
      </c>
      <c r="AF3156" s="235" t="s">
        <v>631</v>
      </c>
      <c r="AG3156" s="245"/>
      <c r="AH3156" s="245"/>
      <c r="AI3156" s="245"/>
      <c r="AJ3156" s="245"/>
      <c r="AK3156" s="245"/>
      <c r="AL3156" s="245"/>
      <c r="AM3156" s="245"/>
      <c r="AN3156" s="245"/>
      <c r="AO3156" s="238">
        <v>0.0</v>
      </c>
      <c r="AP3156" s="238">
        <v>0.0</v>
      </c>
      <c r="AQ3156" s="235" t="s">
        <v>632</v>
      </c>
      <c r="AR3156" s="243">
        <v>3.71E11</v>
      </c>
      <c r="AS3156" s="235" t="s">
        <v>20529</v>
      </c>
      <c r="AT3156" s="235" t="s">
        <v>17</v>
      </c>
      <c r="AU3156" s="235" t="s">
        <v>634</v>
      </c>
      <c r="AV3156" s="246" t="s">
        <v>635</v>
      </c>
      <c r="AW3156" s="227"/>
      <c r="AX3156" s="227"/>
      <c r="AY3156" s="227"/>
      <c r="AZ3156" s="227"/>
      <c r="BA3156" s="227"/>
      <c r="BB3156" s="227"/>
      <c r="BC3156" s="227"/>
      <c r="BD3156" s="227"/>
      <c r="BE3156" s="227"/>
      <c r="BF3156" s="227"/>
    </row>
    <row r="3157">
      <c r="A3157" s="235" t="s">
        <v>23751</v>
      </c>
      <c r="C3157" s="235" t="s">
        <v>23752</v>
      </c>
      <c r="D3157" s="235" t="s">
        <v>23753</v>
      </c>
      <c r="E3157" s="243">
        <v>6.52E13</v>
      </c>
      <c r="F3157" s="245"/>
      <c r="G3157" s="235" t="s">
        <v>23754</v>
      </c>
      <c r="H3157" s="235" t="s">
        <v>23755</v>
      </c>
      <c r="I3157" s="235" t="s">
        <v>23756</v>
      </c>
      <c r="J3157" s="235" t="s">
        <v>23757</v>
      </c>
      <c r="K3157" s="235" t="s">
        <v>23758</v>
      </c>
      <c r="N3157" s="235" t="s">
        <v>0</v>
      </c>
      <c r="O3157" s="235" t="s">
        <v>740</v>
      </c>
      <c r="P3157" s="238">
        <v>1.0</v>
      </c>
      <c r="Q3157" s="235" t="s">
        <v>627</v>
      </c>
      <c r="R3157" s="238">
        <v>265.72</v>
      </c>
      <c r="S3157" s="238">
        <v>13.28</v>
      </c>
      <c r="T3157" s="238">
        <v>0.0</v>
      </c>
      <c r="U3157" s="238">
        <v>0.0</v>
      </c>
      <c r="V3157" s="238">
        <v>0.0</v>
      </c>
      <c r="W3157" s="238">
        <v>0.0</v>
      </c>
      <c r="X3157" s="235" t="s">
        <v>628</v>
      </c>
      <c r="Z3157" s="245"/>
      <c r="AA3157" s="245"/>
      <c r="AB3157" s="245"/>
      <c r="AC3157" s="235" t="s">
        <v>1058</v>
      </c>
      <c r="AD3157" s="235" t="s">
        <v>845</v>
      </c>
      <c r="AE3157" s="238">
        <v>400098.0</v>
      </c>
      <c r="AF3157" s="235" t="s">
        <v>631</v>
      </c>
      <c r="AG3157" s="245"/>
      <c r="AH3157" s="245"/>
      <c r="AI3157" s="245"/>
      <c r="AJ3157" s="245"/>
      <c r="AK3157" s="245"/>
      <c r="AL3157" s="245"/>
      <c r="AM3157" s="245"/>
      <c r="AN3157" s="245"/>
      <c r="AO3157" s="238">
        <v>0.0</v>
      </c>
      <c r="AP3157" s="238">
        <v>0.0</v>
      </c>
      <c r="AQ3157" s="235" t="s">
        <v>632</v>
      </c>
      <c r="AR3157" s="243">
        <v>3.71E11</v>
      </c>
      <c r="AS3157" s="235" t="s">
        <v>22269</v>
      </c>
      <c r="AT3157" s="235" t="s">
        <v>16</v>
      </c>
      <c r="AU3157" s="235" t="s">
        <v>634</v>
      </c>
      <c r="AV3157" s="246" t="s">
        <v>635</v>
      </c>
      <c r="AW3157" s="227"/>
      <c r="AX3157" s="227"/>
      <c r="AY3157" s="227"/>
      <c r="AZ3157" s="227"/>
      <c r="BA3157" s="227"/>
      <c r="BB3157" s="227"/>
      <c r="BC3157" s="227"/>
      <c r="BD3157" s="227"/>
      <c r="BE3157" s="227"/>
      <c r="BF3157" s="227"/>
    </row>
    <row r="3158">
      <c r="A3158" s="235" t="s">
        <v>23759</v>
      </c>
      <c r="C3158" s="235" t="s">
        <v>23760</v>
      </c>
      <c r="D3158" s="235" t="s">
        <v>23761</v>
      </c>
      <c r="E3158" s="243">
        <v>6.52E13</v>
      </c>
      <c r="F3158" s="245"/>
      <c r="G3158" s="235" t="s">
        <v>23762</v>
      </c>
      <c r="H3158" s="235" t="s">
        <v>23763</v>
      </c>
      <c r="I3158" s="235" t="s">
        <v>23764</v>
      </c>
      <c r="J3158" s="235" t="s">
        <v>23765</v>
      </c>
      <c r="K3158" s="235" t="s">
        <v>23766</v>
      </c>
      <c r="N3158" s="235" t="s">
        <v>153</v>
      </c>
      <c r="O3158" s="235" t="s">
        <v>390</v>
      </c>
      <c r="P3158" s="238">
        <v>1.0</v>
      </c>
      <c r="Q3158" s="235" t="s">
        <v>627</v>
      </c>
      <c r="R3158" s="238">
        <v>490.68</v>
      </c>
      <c r="S3158" s="238">
        <v>86.55</v>
      </c>
      <c r="T3158" s="238">
        <v>0.0</v>
      </c>
      <c r="U3158" s="238">
        <v>0.0</v>
      </c>
      <c r="V3158" s="238">
        <v>0.0</v>
      </c>
      <c r="W3158" s="238">
        <v>0.0</v>
      </c>
      <c r="X3158" s="235" t="s">
        <v>628</v>
      </c>
      <c r="Z3158" s="245"/>
      <c r="AA3158" s="245"/>
      <c r="AB3158" s="245"/>
      <c r="AC3158" s="235" t="s">
        <v>23767</v>
      </c>
      <c r="AD3158" s="235" t="s">
        <v>917</v>
      </c>
      <c r="AE3158" s="238">
        <v>311001.0</v>
      </c>
      <c r="AF3158" s="235" t="s">
        <v>631</v>
      </c>
      <c r="AG3158" s="245"/>
      <c r="AH3158" s="245"/>
      <c r="AI3158" s="245"/>
      <c r="AJ3158" s="245"/>
      <c r="AK3158" s="245"/>
      <c r="AL3158" s="245"/>
      <c r="AM3158" s="245"/>
      <c r="AN3158" s="245"/>
      <c r="AO3158" s="238">
        <v>-9.81</v>
      </c>
      <c r="AP3158" s="238">
        <v>0.0</v>
      </c>
      <c r="AQ3158" s="235" t="s">
        <v>632</v>
      </c>
      <c r="AR3158" s="243">
        <v>3.71E11</v>
      </c>
      <c r="AS3158" s="235" t="s">
        <v>20529</v>
      </c>
      <c r="AT3158" s="235" t="s">
        <v>533</v>
      </c>
      <c r="AU3158" s="235" t="s">
        <v>634</v>
      </c>
      <c r="AV3158" s="246" t="s">
        <v>635</v>
      </c>
      <c r="AW3158" s="227"/>
      <c r="AX3158" s="227"/>
      <c r="AY3158" s="227"/>
      <c r="AZ3158" s="227"/>
      <c r="BA3158" s="227"/>
      <c r="BB3158" s="227"/>
      <c r="BC3158" s="227"/>
      <c r="BD3158" s="227"/>
      <c r="BE3158" s="227"/>
      <c r="BF3158" s="227"/>
    </row>
    <row r="3159">
      <c r="A3159" s="235" t="s">
        <v>23768</v>
      </c>
      <c r="C3159" s="235" t="s">
        <v>23769</v>
      </c>
      <c r="D3159" s="235" t="s">
        <v>23770</v>
      </c>
      <c r="E3159" s="243">
        <v>6.51E13</v>
      </c>
      <c r="F3159" s="245"/>
      <c r="G3159" s="235" t="s">
        <v>23771</v>
      </c>
      <c r="H3159" s="235" t="s">
        <v>23772</v>
      </c>
      <c r="I3159" s="235" t="s">
        <v>23773</v>
      </c>
      <c r="J3159" s="235" t="s">
        <v>23774</v>
      </c>
      <c r="K3159" s="235" t="s">
        <v>23775</v>
      </c>
      <c r="N3159" s="235" t="s">
        <v>42</v>
      </c>
      <c r="O3159" s="235" t="s">
        <v>204</v>
      </c>
      <c r="P3159" s="238">
        <v>1.0</v>
      </c>
      <c r="Q3159" s="235" t="s">
        <v>627</v>
      </c>
      <c r="R3159" s="238">
        <v>270.48</v>
      </c>
      <c r="S3159" s="238">
        <v>13.52</v>
      </c>
      <c r="T3159" s="238">
        <v>38.1</v>
      </c>
      <c r="U3159" s="238">
        <v>1.9</v>
      </c>
      <c r="V3159" s="238">
        <v>0.0</v>
      </c>
      <c r="W3159" s="238">
        <v>0.0</v>
      </c>
      <c r="X3159" s="235" t="s">
        <v>628</v>
      </c>
      <c r="Z3159" s="245"/>
      <c r="AA3159" s="245"/>
      <c r="AB3159" s="245"/>
      <c r="AC3159" s="235" t="s">
        <v>23776</v>
      </c>
      <c r="AD3159" s="235" t="s">
        <v>833</v>
      </c>
      <c r="AE3159" s="238">
        <v>521121.0</v>
      </c>
      <c r="AF3159" s="235" t="s">
        <v>631</v>
      </c>
      <c r="AG3159" s="245"/>
      <c r="AH3159" s="245"/>
      <c r="AI3159" s="245"/>
      <c r="AJ3159" s="245"/>
      <c r="AK3159" s="245"/>
      <c r="AL3159" s="245"/>
      <c r="AM3159" s="245"/>
      <c r="AN3159" s="245"/>
      <c r="AO3159" s="238">
        <v>0.0</v>
      </c>
      <c r="AP3159" s="238">
        <v>-38.1</v>
      </c>
      <c r="AQ3159" s="235" t="s">
        <v>632</v>
      </c>
      <c r="AR3159" s="243">
        <v>3.71E11</v>
      </c>
      <c r="AS3159" s="235" t="s">
        <v>20529</v>
      </c>
      <c r="AT3159" s="235" t="s">
        <v>156</v>
      </c>
      <c r="AU3159" s="235" t="s">
        <v>634</v>
      </c>
      <c r="AV3159" s="246" t="s">
        <v>635</v>
      </c>
      <c r="AW3159" s="227"/>
      <c r="AX3159" s="227"/>
      <c r="AY3159" s="227"/>
      <c r="AZ3159" s="227"/>
      <c r="BA3159" s="227"/>
      <c r="BB3159" s="227"/>
      <c r="BC3159" s="227"/>
      <c r="BD3159" s="227"/>
      <c r="BE3159" s="227"/>
      <c r="BF3159" s="227"/>
    </row>
    <row r="3160">
      <c r="A3160" s="235" t="s">
        <v>23777</v>
      </c>
      <c r="C3160" s="235" t="s">
        <v>23778</v>
      </c>
      <c r="D3160" s="235" t="s">
        <v>23779</v>
      </c>
      <c r="E3160" s="243">
        <v>6.52E13</v>
      </c>
      <c r="F3160" s="245"/>
      <c r="G3160" s="235" t="s">
        <v>23780</v>
      </c>
      <c r="H3160" s="235" t="s">
        <v>23781</v>
      </c>
      <c r="I3160" s="235" t="s">
        <v>23781</v>
      </c>
      <c r="J3160" s="235" t="s">
        <v>23782</v>
      </c>
      <c r="K3160" s="235" t="s">
        <v>23783</v>
      </c>
      <c r="N3160" s="235" t="s">
        <v>42</v>
      </c>
      <c r="O3160" s="235" t="s">
        <v>204</v>
      </c>
      <c r="P3160" s="238">
        <v>1.0</v>
      </c>
      <c r="Q3160" s="235" t="s">
        <v>627</v>
      </c>
      <c r="R3160" s="238">
        <v>237.14</v>
      </c>
      <c r="S3160" s="238">
        <v>11.86</v>
      </c>
      <c r="T3160" s="238">
        <v>38.1</v>
      </c>
      <c r="U3160" s="238">
        <v>1.9</v>
      </c>
      <c r="V3160" s="238">
        <v>0.0</v>
      </c>
      <c r="W3160" s="238">
        <v>0.0</v>
      </c>
      <c r="X3160" s="235" t="s">
        <v>628</v>
      </c>
      <c r="Z3160" s="245"/>
      <c r="AA3160" s="245"/>
      <c r="AB3160" s="245"/>
      <c r="AC3160" s="235" t="s">
        <v>678</v>
      </c>
      <c r="AD3160" s="235" t="s">
        <v>679</v>
      </c>
      <c r="AE3160" s="238">
        <v>560038.0</v>
      </c>
      <c r="AF3160" s="235" t="s">
        <v>631</v>
      </c>
      <c r="AG3160" s="245"/>
      <c r="AH3160" s="245"/>
      <c r="AI3160" s="245"/>
      <c r="AJ3160" s="245"/>
      <c r="AK3160" s="245"/>
      <c r="AL3160" s="245"/>
      <c r="AM3160" s="245"/>
      <c r="AN3160" s="245"/>
      <c r="AO3160" s="238">
        <v>0.0</v>
      </c>
      <c r="AP3160" s="238">
        <v>-38.1</v>
      </c>
      <c r="AQ3160" s="235" t="s">
        <v>632</v>
      </c>
      <c r="AR3160" s="243">
        <v>3.71E11</v>
      </c>
      <c r="AS3160" s="235" t="s">
        <v>22269</v>
      </c>
      <c r="AT3160" s="235" t="s">
        <v>9</v>
      </c>
      <c r="AU3160" s="235" t="s">
        <v>634</v>
      </c>
      <c r="AV3160" s="246" t="s">
        <v>635</v>
      </c>
      <c r="AW3160" s="227"/>
      <c r="AX3160" s="227"/>
      <c r="AY3160" s="227"/>
      <c r="AZ3160" s="227"/>
      <c r="BA3160" s="227"/>
      <c r="BB3160" s="227"/>
      <c r="BC3160" s="227"/>
      <c r="BD3160" s="227"/>
      <c r="BE3160" s="227"/>
      <c r="BF3160" s="227"/>
    </row>
    <row r="3161">
      <c r="A3161" s="235" t="s">
        <v>23784</v>
      </c>
      <c r="C3161" s="235" t="s">
        <v>23785</v>
      </c>
      <c r="D3161" s="235" t="s">
        <v>23786</v>
      </c>
      <c r="E3161" s="243">
        <v>6.52E13</v>
      </c>
      <c r="F3161" s="245"/>
      <c r="G3161" s="235" t="s">
        <v>23787</v>
      </c>
      <c r="H3161" s="235" t="s">
        <v>23788</v>
      </c>
      <c r="I3161" s="235" t="s">
        <v>23788</v>
      </c>
      <c r="J3161" s="235" t="s">
        <v>23789</v>
      </c>
      <c r="K3161" s="235" t="s">
        <v>23790</v>
      </c>
      <c r="N3161" s="235" t="s">
        <v>154</v>
      </c>
      <c r="O3161" s="235" t="s">
        <v>766</v>
      </c>
      <c r="P3161" s="238">
        <v>1.0</v>
      </c>
      <c r="Q3161" s="235" t="s">
        <v>627</v>
      </c>
      <c r="R3161" s="238">
        <v>465.72</v>
      </c>
      <c r="S3161" s="238">
        <v>23.28</v>
      </c>
      <c r="T3161" s="238">
        <v>0.0</v>
      </c>
      <c r="U3161" s="238">
        <v>0.0</v>
      </c>
      <c r="V3161" s="238">
        <v>0.0</v>
      </c>
      <c r="W3161" s="238">
        <v>0.0</v>
      </c>
      <c r="X3161" s="235" t="s">
        <v>628</v>
      </c>
      <c r="Z3161" s="245"/>
      <c r="AA3161" s="245"/>
      <c r="AB3161" s="245"/>
      <c r="AC3161" s="235" t="s">
        <v>2647</v>
      </c>
      <c r="AD3161" s="235" t="s">
        <v>845</v>
      </c>
      <c r="AE3161" s="238">
        <v>400615.0</v>
      </c>
      <c r="AF3161" s="235" t="s">
        <v>631</v>
      </c>
      <c r="AG3161" s="245"/>
      <c r="AH3161" s="245"/>
      <c r="AI3161" s="245"/>
      <c r="AJ3161" s="245"/>
      <c r="AK3161" s="245"/>
      <c r="AL3161" s="245"/>
      <c r="AM3161" s="245"/>
      <c r="AN3161" s="245"/>
      <c r="AO3161" s="238">
        <v>0.0</v>
      </c>
      <c r="AP3161" s="238">
        <v>0.0</v>
      </c>
      <c r="AQ3161" s="235" t="s">
        <v>632</v>
      </c>
      <c r="AR3161" s="243">
        <v>3.71E11</v>
      </c>
      <c r="AS3161" s="235" t="s">
        <v>22269</v>
      </c>
      <c r="AT3161" s="235" t="s">
        <v>16</v>
      </c>
      <c r="AU3161" s="235" t="s">
        <v>634</v>
      </c>
      <c r="AV3161" s="246" t="s">
        <v>635</v>
      </c>
      <c r="AW3161" s="227"/>
      <c r="AX3161" s="227"/>
      <c r="AY3161" s="227"/>
      <c r="AZ3161" s="227"/>
      <c r="BA3161" s="227"/>
      <c r="BB3161" s="227"/>
      <c r="BC3161" s="227"/>
      <c r="BD3161" s="227"/>
      <c r="BE3161" s="227"/>
      <c r="BF3161" s="227"/>
    </row>
    <row r="3162">
      <c r="A3162" s="235" t="s">
        <v>23791</v>
      </c>
      <c r="C3162" s="235" t="s">
        <v>23792</v>
      </c>
      <c r="D3162" s="235" t="s">
        <v>23793</v>
      </c>
      <c r="E3162" s="243">
        <v>6.52E13</v>
      </c>
      <c r="F3162" s="245"/>
      <c r="G3162" s="235" t="s">
        <v>23794</v>
      </c>
      <c r="H3162" s="235" t="s">
        <v>23795</v>
      </c>
      <c r="I3162" s="235" t="s">
        <v>23796</v>
      </c>
      <c r="J3162" s="235" t="s">
        <v>23797</v>
      </c>
      <c r="K3162" s="235" t="s">
        <v>16692</v>
      </c>
      <c r="N3162" s="235" t="s">
        <v>49</v>
      </c>
      <c r="O3162" s="235" t="s">
        <v>321</v>
      </c>
      <c r="P3162" s="238">
        <v>1.0</v>
      </c>
      <c r="Q3162" s="235" t="s">
        <v>627</v>
      </c>
      <c r="R3162" s="238">
        <v>235.24</v>
      </c>
      <c r="S3162" s="238">
        <v>11.52</v>
      </c>
      <c r="T3162" s="238">
        <v>0.0</v>
      </c>
      <c r="U3162" s="238">
        <v>0.0</v>
      </c>
      <c r="V3162" s="238">
        <v>0.0</v>
      </c>
      <c r="W3162" s="238">
        <v>0.0</v>
      </c>
      <c r="X3162" s="235" t="s">
        <v>628</v>
      </c>
      <c r="Z3162" s="245"/>
      <c r="AA3162" s="245"/>
      <c r="AB3162" s="245"/>
      <c r="AC3162" s="235" t="s">
        <v>697</v>
      </c>
      <c r="AD3162" s="235" t="s">
        <v>698</v>
      </c>
      <c r="AE3162" s="238">
        <v>500086.0</v>
      </c>
      <c r="AF3162" s="235" t="s">
        <v>631</v>
      </c>
      <c r="AG3162" s="245"/>
      <c r="AH3162" s="245"/>
      <c r="AI3162" s="245"/>
      <c r="AJ3162" s="245"/>
      <c r="AK3162" s="245"/>
      <c r="AL3162" s="245"/>
      <c r="AM3162" s="245"/>
      <c r="AN3162" s="245"/>
      <c r="AO3162" s="238">
        <v>-4.7</v>
      </c>
      <c r="AP3162" s="238">
        <v>0.0</v>
      </c>
      <c r="AQ3162" s="235" t="s">
        <v>632</v>
      </c>
      <c r="AR3162" s="243">
        <v>1.68E11</v>
      </c>
      <c r="AS3162" s="235" t="s">
        <v>22269</v>
      </c>
      <c r="AT3162" s="235" t="s">
        <v>9</v>
      </c>
      <c r="AU3162" s="235" t="s">
        <v>634</v>
      </c>
      <c r="AV3162" s="246" t="s">
        <v>635</v>
      </c>
      <c r="AW3162" s="227"/>
      <c r="AX3162" s="227"/>
      <c r="AY3162" s="227"/>
      <c r="AZ3162" s="227"/>
      <c r="BA3162" s="227"/>
      <c r="BB3162" s="227"/>
      <c r="BC3162" s="227"/>
      <c r="BD3162" s="227"/>
      <c r="BE3162" s="227"/>
      <c r="BF3162" s="227"/>
    </row>
    <row r="3163">
      <c r="A3163" s="235" t="s">
        <v>23798</v>
      </c>
      <c r="C3163" s="235" t="s">
        <v>23799</v>
      </c>
      <c r="D3163" s="235" t="s">
        <v>23800</v>
      </c>
      <c r="E3163" s="243">
        <v>6.52E13</v>
      </c>
      <c r="F3163" s="245"/>
      <c r="G3163" s="235" t="s">
        <v>23801</v>
      </c>
      <c r="H3163" s="235" t="s">
        <v>23802</v>
      </c>
      <c r="I3163" s="235" t="s">
        <v>23796</v>
      </c>
      <c r="J3163" s="235" t="s">
        <v>23803</v>
      </c>
      <c r="K3163" s="235" t="s">
        <v>23804</v>
      </c>
      <c r="N3163" s="235" t="s">
        <v>42</v>
      </c>
      <c r="O3163" s="235" t="s">
        <v>204</v>
      </c>
      <c r="P3163" s="238">
        <v>1.0</v>
      </c>
      <c r="Q3163" s="235" t="s">
        <v>627</v>
      </c>
      <c r="R3163" s="238">
        <v>237.14</v>
      </c>
      <c r="S3163" s="238">
        <v>11.86</v>
      </c>
      <c r="T3163" s="238">
        <v>0.0</v>
      </c>
      <c r="U3163" s="238">
        <v>0.0</v>
      </c>
      <c r="V3163" s="238">
        <v>0.0</v>
      </c>
      <c r="W3163" s="238">
        <v>0.0</v>
      </c>
      <c r="X3163" s="235" t="s">
        <v>628</v>
      </c>
      <c r="Z3163" s="245"/>
      <c r="AA3163" s="245"/>
      <c r="AB3163" s="245"/>
      <c r="AC3163" s="235" t="s">
        <v>832</v>
      </c>
      <c r="AD3163" s="235" t="s">
        <v>833</v>
      </c>
      <c r="AE3163" s="238">
        <v>530016.0</v>
      </c>
      <c r="AF3163" s="235" t="s">
        <v>631</v>
      </c>
      <c r="AG3163" s="245"/>
      <c r="AH3163" s="245"/>
      <c r="AI3163" s="245"/>
      <c r="AJ3163" s="245"/>
      <c r="AK3163" s="245"/>
      <c r="AL3163" s="245"/>
      <c r="AM3163" s="245"/>
      <c r="AN3163" s="245"/>
      <c r="AO3163" s="238">
        <v>0.0</v>
      </c>
      <c r="AP3163" s="238">
        <v>0.0</v>
      </c>
      <c r="AQ3163" s="235" t="s">
        <v>632</v>
      </c>
      <c r="AR3163" s="243">
        <v>3.71E11</v>
      </c>
      <c r="AS3163" s="235" t="s">
        <v>17988</v>
      </c>
      <c r="AT3163" s="235" t="s">
        <v>9</v>
      </c>
      <c r="AU3163" s="235" t="s">
        <v>634</v>
      </c>
      <c r="AV3163" s="246" t="s">
        <v>635</v>
      </c>
      <c r="AW3163" s="227"/>
      <c r="AX3163" s="227"/>
      <c r="AY3163" s="227"/>
      <c r="AZ3163" s="227"/>
      <c r="BA3163" s="227"/>
      <c r="BB3163" s="227"/>
      <c r="BC3163" s="227"/>
      <c r="BD3163" s="227"/>
      <c r="BE3163" s="227"/>
      <c r="BF3163" s="227"/>
    </row>
    <row r="3164">
      <c r="A3164" s="235" t="s">
        <v>23805</v>
      </c>
      <c r="C3164" s="235" t="s">
        <v>23806</v>
      </c>
      <c r="D3164" s="235" t="s">
        <v>23807</v>
      </c>
      <c r="E3164" s="243">
        <v>6.52E13</v>
      </c>
      <c r="F3164" s="245"/>
      <c r="G3164" s="235" t="s">
        <v>23808</v>
      </c>
      <c r="H3164" s="235" t="s">
        <v>23809</v>
      </c>
      <c r="I3164" s="235" t="s">
        <v>23810</v>
      </c>
      <c r="J3164" s="235" t="s">
        <v>23811</v>
      </c>
      <c r="K3164" s="235" t="s">
        <v>23812</v>
      </c>
      <c r="N3164" s="235" t="s">
        <v>42</v>
      </c>
      <c r="O3164" s="235" t="s">
        <v>204</v>
      </c>
      <c r="P3164" s="238">
        <v>1.0</v>
      </c>
      <c r="Q3164" s="235" t="s">
        <v>627</v>
      </c>
      <c r="R3164" s="238">
        <v>237.14</v>
      </c>
      <c r="S3164" s="238">
        <v>11.62</v>
      </c>
      <c r="T3164" s="238">
        <v>0.0</v>
      </c>
      <c r="U3164" s="238">
        <v>0.0</v>
      </c>
      <c r="V3164" s="238">
        <v>0.0</v>
      </c>
      <c r="W3164" s="238">
        <v>0.0</v>
      </c>
      <c r="X3164" s="235" t="s">
        <v>628</v>
      </c>
      <c r="Z3164" s="245"/>
      <c r="AA3164" s="245"/>
      <c r="AB3164" s="245"/>
      <c r="AC3164" s="235" t="s">
        <v>687</v>
      </c>
      <c r="AD3164" s="235" t="s">
        <v>666</v>
      </c>
      <c r="AE3164" s="238">
        <v>600129.0</v>
      </c>
      <c r="AF3164" s="235" t="s">
        <v>631</v>
      </c>
      <c r="AG3164" s="245"/>
      <c r="AH3164" s="245"/>
      <c r="AI3164" s="245"/>
      <c r="AJ3164" s="245"/>
      <c r="AK3164" s="245"/>
      <c r="AL3164" s="245"/>
      <c r="AM3164" s="245"/>
      <c r="AN3164" s="245"/>
      <c r="AO3164" s="238">
        <v>-4.74</v>
      </c>
      <c r="AP3164" s="238">
        <v>0.0</v>
      </c>
      <c r="AQ3164" s="235" t="s">
        <v>632</v>
      </c>
      <c r="AR3164" s="243">
        <v>1.68E11</v>
      </c>
      <c r="AS3164" s="235" t="s">
        <v>22269</v>
      </c>
      <c r="AT3164" s="235" t="s">
        <v>9</v>
      </c>
      <c r="AU3164" s="235" t="s">
        <v>634</v>
      </c>
      <c r="AV3164" s="246" t="s">
        <v>635</v>
      </c>
      <c r="AW3164" s="227"/>
      <c r="AX3164" s="227"/>
      <c r="AY3164" s="227"/>
      <c r="AZ3164" s="227"/>
      <c r="BA3164" s="227"/>
      <c r="BB3164" s="227"/>
      <c r="BC3164" s="227"/>
      <c r="BD3164" s="227"/>
      <c r="BE3164" s="227"/>
      <c r="BF3164" s="227"/>
    </row>
    <row r="3165">
      <c r="A3165" s="235" t="s">
        <v>23813</v>
      </c>
      <c r="C3165" s="235" t="s">
        <v>23814</v>
      </c>
      <c r="D3165" s="235" t="s">
        <v>23815</v>
      </c>
      <c r="E3165" s="243">
        <v>6.52E13</v>
      </c>
      <c r="F3165" s="245"/>
      <c r="G3165" s="235" t="s">
        <v>23816</v>
      </c>
      <c r="H3165" s="235" t="s">
        <v>23817</v>
      </c>
      <c r="I3165" s="235" t="s">
        <v>23817</v>
      </c>
      <c r="J3165" s="235" t="s">
        <v>23818</v>
      </c>
      <c r="K3165" s="235" t="s">
        <v>23819</v>
      </c>
      <c r="N3165" s="235" t="s">
        <v>68</v>
      </c>
      <c r="O3165" s="235" t="s">
        <v>208</v>
      </c>
      <c r="P3165" s="238">
        <v>1.0</v>
      </c>
      <c r="Q3165" s="235" t="s">
        <v>627</v>
      </c>
      <c r="R3165" s="238">
        <v>236.2</v>
      </c>
      <c r="S3165" s="238">
        <v>11.8</v>
      </c>
      <c r="T3165" s="238">
        <v>38.1</v>
      </c>
      <c r="U3165" s="238">
        <v>1.9</v>
      </c>
      <c r="V3165" s="238">
        <v>0.0</v>
      </c>
      <c r="W3165" s="238">
        <v>0.0</v>
      </c>
      <c r="X3165" s="235" t="s">
        <v>628</v>
      </c>
      <c r="Z3165" s="245"/>
      <c r="AA3165" s="245"/>
      <c r="AB3165" s="245"/>
      <c r="AC3165" s="235" t="s">
        <v>5432</v>
      </c>
      <c r="AD3165" s="235" t="s">
        <v>1077</v>
      </c>
      <c r="AE3165" s="238">
        <v>382424.0</v>
      </c>
      <c r="AF3165" s="235" t="s">
        <v>631</v>
      </c>
      <c r="AG3165" s="245"/>
      <c r="AH3165" s="245"/>
      <c r="AI3165" s="245"/>
      <c r="AJ3165" s="245"/>
      <c r="AK3165" s="245"/>
      <c r="AL3165" s="245"/>
      <c r="AM3165" s="245"/>
      <c r="AN3165" s="245"/>
      <c r="AO3165" s="238">
        <v>0.0</v>
      </c>
      <c r="AP3165" s="238">
        <v>-38.1</v>
      </c>
      <c r="AQ3165" s="235" t="s">
        <v>632</v>
      </c>
      <c r="AR3165" s="243">
        <v>3.71E11</v>
      </c>
      <c r="AS3165" s="235" t="s">
        <v>22269</v>
      </c>
      <c r="AT3165" s="235" t="s">
        <v>5</v>
      </c>
      <c r="AU3165" s="235" t="s">
        <v>634</v>
      </c>
      <c r="AV3165" s="246" t="s">
        <v>635</v>
      </c>
      <c r="AW3165" s="227"/>
      <c r="AX3165" s="227"/>
      <c r="AY3165" s="227"/>
      <c r="AZ3165" s="227"/>
      <c r="BA3165" s="227"/>
      <c r="BB3165" s="227"/>
      <c r="BC3165" s="227"/>
      <c r="BD3165" s="227"/>
      <c r="BE3165" s="227"/>
      <c r="BF3165" s="227"/>
    </row>
    <row r="3166">
      <c r="A3166" s="235" t="s">
        <v>23820</v>
      </c>
      <c r="C3166" s="235" t="s">
        <v>23821</v>
      </c>
      <c r="D3166" s="235" t="s">
        <v>23822</v>
      </c>
      <c r="E3166" s="243">
        <v>6.52E13</v>
      </c>
      <c r="F3166" s="245"/>
      <c r="G3166" s="235" t="s">
        <v>23823</v>
      </c>
      <c r="H3166" s="235" t="s">
        <v>23824</v>
      </c>
      <c r="I3166" s="235" t="s">
        <v>23824</v>
      </c>
      <c r="J3166" s="235" t="s">
        <v>23825</v>
      </c>
      <c r="K3166" s="235" t="s">
        <v>23826</v>
      </c>
      <c r="N3166" s="235" t="s">
        <v>138</v>
      </c>
      <c r="O3166" s="235" t="s">
        <v>675</v>
      </c>
      <c r="P3166" s="238">
        <v>1.0</v>
      </c>
      <c r="Q3166" s="235" t="s">
        <v>627</v>
      </c>
      <c r="R3166" s="238">
        <v>246.67</v>
      </c>
      <c r="S3166" s="238">
        <v>12.08</v>
      </c>
      <c r="T3166" s="238">
        <v>0.0</v>
      </c>
      <c r="U3166" s="238">
        <v>0.0</v>
      </c>
      <c r="V3166" s="238">
        <v>0.0</v>
      </c>
      <c r="W3166" s="238">
        <v>0.0</v>
      </c>
      <c r="X3166" s="235" t="s">
        <v>628</v>
      </c>
      <c r="Z3166" s="245"/>
      <c r="AA3166" s="245"/>
      <c r="AB3166" s="245"/>
      <c r="AC3166" s="235" t="s">
        <v>23827</v>
      </c>
      <c r="AD3166" s="235" t="s">
        <v>1151</v>
      </c>
      <c r="AE3166" s="238">
        <v>741165.0</v>
      </c>
      <c r="AF3166" s="235" t="s">
        <v>631</v>
      </c>
      <c r="AG3166" s="245"/>
      <c r="AH3166" s="245"/>
      <c r="AI3166" s="245"/>
      <c r="AJ3166" s="245"/>
      <c r="AK3166" s="245"/>
      <c r="AL3166" s="245"/>
      <c r="AM3166" s="245"/>
      <c r="AN3166" s="245"/>
      <c r="AO3166" s="238">
        <v>-4.93</v>
      </c>
      <c r="AP3166" s="238">
        <v>0.0</v>
      </c>
      <c r="AQ3166" s="235" t="s">
        <v>632</v>
      </c>
      <c r="AR3166" s="243">
        <v>3.71E11</v>
      </c>
      <c r="AS3166" s="235" t="s">
        <v>16626</v>
      </c>
      <c r="AT3166" s="235" t="s">
        <v>11</v>
      </c>
      <c r="AU3166" s="235" t="s">
        <v>634</v>
      </c>
      <c r="AV3166" s="246" t="s">
        <v>635</v>
      </c>
      <c r="AW3166" s="227"/>
      <c r="AX3166" s="227"/>
      <c r="AY3166" s="227"/>
      <c r="AZ3166" s="227"/>
      <c r="BA3166" s="227"/>
      <c r="BB3166" s="227"/>
      <c r="BC3166" s="227"/>
      <c r="BD3166" s="227"/>
      <c r="BE3166" s="227"/>
      <c r="BF3166" s="227"/>
    </row>
    <row r="3167">
      <c r="A3167" s="235" t="s">
        <v>23828</v>
      </c>
      <c r="C3167" s="235" t="s">
        <v>23829</v>
      </c>
      <c r="D3167" s="235" t="s">
        <v>23830</v>
      </c>
      <c r="E3167" s="243">
        <v>6.52E13</v>
      </c>
      <c r="F3167" s="245"/>
      <c r="G3167" s="235" t="s">
        <v>23831</v>
      </c>
      <c r="H3167" s="235" t="s">
        <v>23832</v>
      </c>
      <c r="I3167" s="235" t="s">
        <v>23833</v>
      </c>
      <c r="J3167" s="235" t="s">
        <v>23834</v>
      </c>
      <c r="K3167" s="235" t="s">
        <v>23835</v>
      </c>
      <c r="N3167" s="235" t="s">
        <v>6</v>
      </c>
      <c r="O3167" s="235" t="s">
        <v>806</v>
      </c>
      <c r="P3167" s="238">
        <v>1.0</v>
      </c>
      <c r="Q3167" s="235" t="s">
        <v>627</v>
      </c>
      <c r="R3167" s="238">
        <v>265.72</v>
      </c>
      <c r="S3167" s="238">
        <v>13.28</v>
      </c>
      <c r="T3167" s="238">
        <v>38.1</v>
      </c>
      <c r="U3167" s="238">
        <v>1.9</v>
      </c>
      <c r="V3167" s="238">
        <v>0.0</v>
      </c>
      <c r="W3167" s="238">
        <v>0.0</v>
      </c>
      <c r="X3167" s="235" t="s">
        <v>628</v>
      </c>
      <c r="Z3167" s="245"/>
      <c r="AA3167" s="245"/>
      <c r="AB3167" s="245"/>
      <c r="AC3167" s="235" t="s">
        <v>687</v>
      </c>
      <c r="AD3167" s="235" t="s">
        <v>666</v>
      </c>
      <c r="AE3167" s="238">
        <v>600117.0</v>
      </c>
      <c r="AF3167" s="235" t="s">
        <v>631</v>
      </c>
      <c r="AG3167" s="245"/>
      <c r="AH3167" s="245"/>
      <c r="AI3167" s="245"/>
      <c r="AJ3167" s="245"/>
      <c r="AK3167" s="245"/>
      <c r="AL3167" s="245"/>
      <c r="AM3167" s="245"/>
      <c r="AN3167" s="245"/>
      <c r="AO3167" s="238">
        <v>0.0</v>
      </c>
      <c r="AP3167" s="238">
        <v>-38.1</v>
      </c>
      <c r="AQ3167" s="235" t="s">
        <v>632</v>
      </c>
      <c r="AR3167" s="243">
        <v>3.71E11</v>
      </c>
      <c r="AS3167" s="235" t="s">
        <v>22269</v>
      </c>
      <c r="AT3167" s="235" t="s">
        <v>156</v>
      </c>
      <c r="AU3167" s="235" t="s">
        <v>634</v>
      </c>
      <c r="AV3167" s="246" t="s">
        <v>635</v>
      </c>
      <c r="AW3167" s="227"/>
      <c r="AX3167" s="227"/>
      <c r="AY3167" s="227"/>
      <c r="AZ3167" s="227"/>
      <c r="BA3167" s="227"/>
      <c r="BB3167" s="227"/>
      <c r="BC3167" s="227"/>
      <c r="BD3167" s="227"/>
      <c r="BE3167" s="227"/>
      <c r="BF3167" s="227"/>
    </row>
    <row r="3168">
      <c r="A3168" s="235" t="s">
        <v>23836</v>
      </c>
      <c r="C3168" s="235" t="s">
        <v>23837</v>
      </c>
      <c r="D3168" s="235" t="s">
        <v>23838</v>
      </c>
      <c r="E3168" s="243">
        <v>6.52E13</v>
      </c>
      <c r="F3168" s="245"/>
      <c r="G3168" s="235" t="s">
        <v>23839</v>
      </c>
      <c r="H3168" s="235" t="s">
        <v>23840</v>
      </c>
      <c r="I3168" s="235" t="s">
        <v>23840</v>
      </c>
      <c r="J3168" s="235" t="s">
        <v>23841</v>
      </c>
      <c r="K3168" s="235" t="s">
        <v>23842</v>
      </c>
      <c r="N3168" s="235" t="s">
        <v>51</v>
      </c>
      <c r="O3168" s="235" t="s">
        <v>273</v>
      </c>
      <c r="P3168" s="238">
        <v>1.0</v>
      </c>
      <c r="Q3168" s="235" t="s">
        <v>627</v>
      </c>
      <c r="R3168" s="238">
        <v>246.67</v>
      </c>
      <c r="S3168" s="238">
        <v>12.33</v>
      </c>
      <c r="T3168" s="238">
        <v>0.0</v>
      </c>
      <c r="U3168" s="238">
        <v>0.0</v>
      </c>
      <c r="V3168" s="238">
        <v>0.0</v>
      </c>
      <c r="W3168" s="238">
        <v>0.0</v>
      </c>
      <c r="X3168" s="235" t="s">
        <v>628</v>
      </c>
      <c r="Z3168" s="245"/>
      <c r="AA3168" s="245"/>
      <c r="AB3168" s="245"/>
      <c r="AC3168" s="235" t="s">
        <v>6804</v>
      </c>
      <c r="AD3168" s="235" t="s">
        <v>666</v>
      </c>
      <c r="AE3168" s="238">
        <v>624621.0</v>
      </c>
      <c r="AF3168" s="235" t="s">
        <v>631</v>
      </c>
      <c r="AG3168" s="245"/>
      <c r="AH3168" s="245"/>
      <c r="AI3168" s="245"/>
      <c r="AJ3168" s="245"/>
      <c r="AK3168" s="245"/>
      <c r="AL3168" s="245"/>
      <c r="AM3168" s="245"/>
      <c r="AN3168" s="245"/>
      <c r="AO3168" s="238">
        <v>0.0</v>
      </c>
      <c r="AP3168" s="238">
        <v>0.0</v>
      </c>
      <c r="AQ3168" s="235" t="s">
        <v>1328</v>
      </c>
      <c r="AR3168" s="243">
        <v>1.34E13</v>
      </c>
      <c r="AS3168" s="235" t="s">
        <v>16626</v>
      </c>
      <c r="AT3168" s="235" t="s">
        <v>11</v>
      </c>
      <c r="AU3168" s="235" t="s">
        <v>634</v>
      </c>
      <c r="AV3168" s="246" t="s">
        <v>635</v>
      </c>
      <c r="AW3168" s="227"/>
      <c r="AX3168" s="227"/>
      <c r="AY3168" s="227"/>
      <c r="AZ3168" s="227"/>
      <c r="BA3168" s="227"/>
      <c r="BB3168" s="227"/>
      <c r="BC3168" s="227"/>
      <c r="BD3168" s="227"/>
      <c r="BE3168" s="227"/>
      <c r="BF3168" s="227"/>
    </row>
    <row r="3169">
      <c r="A3169" s="235" t="s">
        <v>23843</v>
      </c>
      <c r="C3169" s="235" t="s">
        <v>23844</v>
      </c>
      <c r="D3169" s="235" t="s">
        <v>23845</v>
      </c>
      <c r="E3169" s="243">
        <v>6.52E13</v>
      </c>
      <c r="F3169" s="245"/>
      <c r="G3169" s="235" t="s">
        <v>23846</v>
      </c>
      <c r="H3169" s="235" t="s">
        <v>23847</v>
      </c>
      <c r="I3169" s="235" t="s">
        <v>23847</v>
      </c>
      <c r="J3169" s="235" t="s">
        <v>23848</v>
      </c>
      <c r="K3169" s="235" t="s">
        <v>23849</v>
      </c>
      <c r="N3169" s="235" t="s">
        <v>126</v>
      </c>
      <c r="O3169" s="235" t="s">
        <v>407</v>
      </c>
      <c r="P3169" s="238">
        <v>1.0</v>
      </c>
      <c r="Q3169" s="235" t="s">
        <v>627</v>
      </c>
      <c r="R3169" s="238">
        <v>237.14</v>
      </c>
      <c r="S3169" s="238">
        <v>11.86</v>
      </c>
      <c r="T3169" s="238">
        <v>0.0</v>
      </c>
      <c r="U3169" s="238">
        <v>0.0</v>
      </c>
      <c r="V3169" s="238">
        <v>0.0</v>
      </c>
      <c r="W3169" s="238">
        <v>0.0</v>
      </c>
      <c r="X3169" s="235" t="s">
        <v>628</v>
      </c>
      <c r="Z3169" s="245"/>
      <c r="AA3169" s="245"/>
      <c r="AB3169" s="245"/>
      <c r="AC3169" s="235" t="s">
        <v>687</v>
      </c>
      <c r="AD3169" s="235" t="s">
        <v>666</v>
      </c>
      <c r="AE3169" s="238">
        <v>600037.0</v>
      </c>
      <c r="AF3169" s="235" t="s">
        <v>631</v>
      </c>
      <c r="AG3169" s="245"/>
      <c r="AH3169" s="245"/>
      <c r="AI3169" s="245"/>
      <c r="AJ3169" s="245"/>
      <c r="AK3169" s="245"/>
      <c r="AL3169" s="245"/>
      <c r="AM3169" s="245"/>
      <c r="AN3169" s="245"/>
      <c r="AO3169" s="238">
        <v>0.0</v>
      </c>
      <c r="AP3169" s="238">
        <v>0.0</v>
      </c>
      <c r="AQ3169" s="235" t="s">
        <v>632</v>
      </c>
      <c r="AR3169" s="243">
        <v>2.02E11</v>
      </c>
      <c r="AS3169" s="235" t="s">
        <v>22269</v>
      </c>
      <c r="AT3169" s="235" t="s">
        <v>155</v>
      </c>
      <c r="AU3169" s="235" t="s">
        <v>634</v>
      </c>
      <c r="AV3169" s="246" t="s">
        <v>635</v>
      </c>
      <c r="AW3169" s="227"/>
      <c r="AX3169" s="227"/>
      <c r="AY3169" s="227"/>
      <c r="AZ3169" s="227"/>
      <c r="BA3169" s="227"/>
      <c r="BB3169" s="227"/>
      <c r="BC3169" s="227"/>
      <c r="BD3169" s="227"/>
      <c r="BE3169" s="227"/>
      <c r="BF3169" s="227"/>
    </row>
    <row r="3170">
      <c r="A3170" s="235" t="s">
        <v>23850</v>
      </c>
      <c r="C3170" s="235" t="s">
        <v>23851</v>
      </c>
      <c r="D3170" s="235" t="s">
        <v>23852</v>
      </c>
      <c r="E3170" s="243">
        <v>6.52E13</v>
      </c>
      <c r="F3170" s="245"/>
      <c r="G3170" s="235" t="s">
        <v>23853</v>
      </c>
      <c r="H3170" s="235" t="s">
        <v>23854</v>
      </c>
      <c r="I3170" s="235" t="s">
        <v>23854</v>
      </c>
      <c r="J3170" s="235" t="s">
        <v>23855</v>
      </c>
      <c r="K3170" s="235" t="s">
        <v>23856</v>
      </c>
      <c r="N3170" s="235" t="s">
        <v>53</v>
      </c>
      <c r="O3170" s="235" t="s">
        <v>512</v>
      </c>
      <c r="P3170" s="238">
        <v>1.0</v>
      </c>
      <c r="Q3170" s="235" t="s">
        <v>627</v>
      </c>
      <c r="R3170" s="238">
        <v>237.14</v>
      </c>
      <c r="S3170" s="238">
        <v>11.86</v>
      </c>
      <c r="T3170" s="238">
        <v>0.0</v>
      </c>
      <c r="U3170" s="238">
        <v>0.0</v>
      </c>
      <c r="V3170" s="238">
        <v>0.0</v>
      </c>
      <c r="W3170" s="238">
        <v>0.0</v>
      </c>
      <c r="X3170" s="235" t="s">
        <v>628</v>
      </c>
      <c r="Z3170" s="245"/>
      <c r="AA3170" s="245"/>
      <c r="AB3170" s="245"/>
      <c r="AC3170" s="235" t="s">
        <v>687</v>
      </c>
      <c r="AD3170" s="235" t="s">
        <v>666</v>
      </c>
      <c r="AE3170" s="238">
        <v>600117.0</v>
      </c>
      <c r="AF3170" s="235" t="s">
        <v>631</v>
      </c>
      <c r="AG3170" s="245"/>
      <c r="AH3170" s="245"/>
      <c r="AI3170" s="245"/>
      <c r="AJ3170" s="245"/>
      <c r="AK3170" s="245"/>
      <c r="AL3170" s="245"/>
      <c r="AM3170" s="245"/>
      <c r="AN3170" s="245"/>
      <c r="AO3170" s="238">
        <v>0.0</v>
      </c>
      <c r="AP3170" s="238">
        <v>0.0</v>
      </c>
      <c r="AQ3170" s="235" t="s">
        <v>632</v>
      </c>
      <c r="AR3170" s="243">
        <v>1.68E11</v>
      </c>
      <c r="AS3170" s="235" t="s">
        <v>22269</v>
      </c>
      <c r="AT3170" s="235" t="s">
        <v>11</v>
      </c>
      <c r="AU3170" s="235" t="s">
        <v>634</v>
      </c>
      <c r="AV3170" s="246" t="s">
        <v>635</v>
      </c>
      <c r="AW3170" s="227"/>
      <c r="AX3170" s="227"/>
      <c r="AY3170" s="227"/>
      <c r="AZ3170" s="227"/>
      <c r="BA3170" s="227"/>
      <c r="BB3170" s="227"/>
      <c r="BC3170" s="227"/>
      <c r="BD3170" s="227"/>
      <c r="BE3170" s="227"/>
      <c r="BF3170" s="227"/>
    </row>
    <row r="3171">
      <c r="A3171" s="235" t="s">
        <v>23857</v>
      </c>
      <c r="C3171" s="235" t="s">
        <v>23858</v>
      </c>
      <c r="D3171" s="235" t="s">
        <v>23859</v>
      </c>
      <c r="E3171" s="243">
        <v>6.51E13</v>
      </c>
      <c r="F3171" s="245"/>
      <c r="G3171" s="235" t="s">
        <v>23860</v>
      </c>
      <c r="H3171" s="235" t="s">
        <v>23861</v>
      </c>
      <c r="I3171" s="235" t="s">
        <v>23862</v>
      </c>
      <c r="J3171" s="235" t="s">
        <v>23863</v>
      </c>
      <c r="K3171" s="235" t="s">
        <v>23864</v>
      </c>
      <c r="N3171" s="235" t="s">
        <v>138</v>
      </c>
      <c r="O3171" s="235" t="s">
        <v>675</v>
      </c>
      <c r="P3171" s="238">
        <v>1.0</v>
      </c>
      <c r="Q3171" s="235" t="s">
        <v>627</v>
      </c>
      <c r="R3171" s="238">
        <v>233.34</v>
      </c>
      <c r="S3171" s="238">
        <v>11.43</v>
      </c>
      <c r="T3171" s="238">
        <v>0.0</v>
      </c>
      <c r="U3171" s="238">
        <v>0.0</v>
      </c>
      <c r="V3171" s="238">
        <v>0.0</v>
      </c>
      <c r="W3171" s="238">
        <v>0.0</v>
      </c>
      <c r="X3171" s="235" t="s">
        <v>628</v>
      </c>
      <c r="Z3171" s="245"/>
      <c r="AA3171" s="245"/>
      <c r="AB3171" s="245"/>
      <c r="AC3171" s="235" t="s">
        <v>844</v>
      </c>
      <c r="AD3171" s="235" t="s">
        <v>845</v>
      </c>
      <c r="AE3171" s="238">
        <v>411048.0</v>
      </c>
      <c r="AF3171" s="235" t="s">
        <v>631</v>
      </c>
      <c r="AG3171" s="245"/>
      <c r="AH3171" s="245"/>
      <c r="AI3171" s="245"/>
      <c r="AJ3171" s="245"/>
      <c r="AK3171" s="245"/>
      <c r="AL3171" s="245"/>
      <c r="AM3171" s="245"/>
      <c r="AN3171" s="245"/>
      <c r="AO3171" s="238">
        <v>-4.67</v>
      </c>
      <c r="AP3171" s="238">
        <v>0.0</v>
      </c>
      <c r="AQ3171" s="235" t="s">
        <v>2581</v>
      </c>
      <c r="AR3171" s="235" t="s">
        <v>23865</v>
      </c>
      <c r="AS3171" s="235" t="s">
        <v>13822</v>
      </c>
      <c r="AT3171" s="235" t="s">
        <v>17</v>
      </c>
      <c r="AU3171" s="235" t="s">
        <v>634</v>
      </c>
      <c r="AV3171" s="246" t="s">
        <v>635</v>
      </c>
      <c r="AW3171" s="227"/>
      <c r="AX3171" s="227"/>
      <c r="AY3171" s="227"/>
      <c r="AZ3171" s="227"/>
      <c r="BA3171" s="227"/>
      <c r="BB3171" s="227"/>
      <c r="BC3171" s="227"/>
      <c r="BD3171" s="227"/>
      <c r="BE3171" s="227"/>
      <c r="BF3171" s="227"/>
    </row>
    <row r="3172">
      <c r="A3172" s="235" t="s">
        <v>23866</v>
      </c>
      <c r="C3172" s="235" t="s">
        <v>23867</v>
      </c>
      <c r="D3172" s="235" t="s">
        <v>23868</v>
      </c>
      <c r="E3172" s="243">
        <v>6.52E13</v>
      </c>
      <c r="F3172" s="245"/>
      <c r="G3172" s="235" t="s">
        <v>23869</v>
      </c>
      <c r="H3172" s="235" t="s">
        <v>23870</v>
      </c>
      <c r="I3172" s="235" t="s">
        <v>23870</v>
      </c>
      <c r="J3172" s="235" t="s">
        <v>23871</v>
      </c>
      <c r="K3172" s="235" t="s">
        <v>23872</v>
      </c>
      <c r="N3172" s="235" t="s">
        <v>106</v>
      </c>
      <c r="O3172" s="235" t="s">
        <v>338</v>
      </c>
      <c r="P3172" s="238">
        <v>1.0</v>
      </c>
      <c r="Q3172" s="235" t="s">
        <v>627</v>
      </c>
      <c r="R3172" s="238">
        <v>246.66</v>
      </c>
      <c r="S3172" s="238">
        <v>12.1</v>
      </c>
      <c r="T3172" s="238">
        <v>0.0</v>
      </c>
      <c r="U3172" s="238">
        <v>0.0</v>
      </c>
      <c r="V3172" s="238">
        <v>0.0</v>
      </c>
      <c r="W3172" s="238">
        <v>0.0</v>
      </c>
      <c r="X3172" s="235" t="s">
        <v>628</v>
      </c>
      <c r="Z3172" s="245"/>
      <c r="AA3172" s="245"/>
      <c r="AB3172" s="245"/>
      <c r="AC3172" s="235" t="s">
        <v>2236</v>
      </c>
      <c r="AD3172" s="235" t="s">
        <v>666</v>
      </c>
      <c r="AE3172" s="238">
        <v>641006.0</v>
      </c>
      <c r="AF3172" s="235" t="s">
        <v>631</v>
      </c>
      <c r="AG3172" s="245"/>
      <c r="AH3172" s="245"/>
      <c r="AI3172" s="245"/>
      <c r="AJ3172" s="245"/>
      <c r="AK3172" s="245"/>
      <c r="AL3172" s="245"/>
      <c r="AM3172" s="245"/>
      <c r="AN3172" s="245"/>
      <c r="AO3172" s="238">
        <v>-4.94</v>
      </c>
      <c r="AP3172" s="238">
        <v>0.0</v>
      </c>
      <c r="AQ3172" s="235" t="s">
        <v>632</v>
      </c>
      <c r="AR3172" s="243">
        <v>3.71E11</v>
      </c>
      <c r="AS3172" s="235" t="s">
        <v>20529</v>
      </c>
      <c r="AT3172" s="235" t="s">
        <v>156</v>
      </c>
      <c r="AU3172" s="235" t="s">
        <v>634</v>
      </c>
      <c r="AV3172" s="246" t="s">
        <v>635</v>
      </c>
      <c r="AW3172" s="227"/>
      <c r="AX3172" s="227"/>
      <c r="AY3172" s="227"/>
      <c r="AZ3172" s="227"/>
      <c r="BA3172" s="227"/>
      <c r="BB3172" s="227"/>
      <c r="BC3172" s="227"/>
      <c r="BD3172" s="227"/>
      <c r="BE3172" s="227"/>
      <c r="BF3172" s="227"/>
    </row>
    <row r="3173">
      <c r="A3173" s="235" t="s">
        <v>23873</v>
      </c>
      <c r="C3173" s="235" t="s">
        <v>23874</v>
      </c>
      <c r="D3173" s="235" t="s">
        <v>23875</v>
      </c>
      <c r="E3173" s="243">
        <v>6.52E13</v>
      </c>
      <c r="F3173" s="245"/>
      <c r="G3173" s="235" t="s">
        <v>23876</v>
      </c>
      <c r="H3173" s="235" t="s">
        <v>23877</v>
      </c>
      <c r="I3173" s="235" t="s">
        <v>23877</v>
      </c>
      <c r="J3173" s="235" t="s">
        <v>23878</v>
      </c>
      <c r="K3173" s="235" t="s">
        <v>23879</v>
      </c>
      <c r="N3173" s="235" t="s">
        <v>136</v>
      </c>
      <c r="O3173" s="235" t="s">
        <v>256</v>
      </c>
      <c r="P3173" s="238">
        <v>1.0</v>
      </c>
      <c r="Q3173" s="235" t="s">
        <v>627</v>
      </c>
      <c r="R3173" s="238">
        <v>237.14</v>
      </c>
      <c r="S3173" s="238">
        <v>11.5</v>
      </c>
      <c r="T3173" s="238">
        <v>0.0</v>
      </c>
      <c r="U3173" s="238">
        <v>0.0</v>
      </c>
      <c r="V3173" s="238">
        <v>0.0</v>
      </c>
      <c r="W3173" s="238">
        <v>0.0</v>
      </c>
      <c r="X3173" s="235" t="s">
        <v>628</v>
      </c>
      <c r="Z3173" s="245"/>
      <c r="AA3173" s="245"/>
      <c r="AB3173" s="245"/>
      <c r="AC3173" s="235" t="s">
        <v>4387</v>
      </c>
      <c r="AD3173" s="235" t="s">
        <v>845</v>
      </c>
      <c r="AE3173" s="238">
        <v>421204.0</v>
      </c>
      <c r="AF3173" s="235" t="s">
        <v>631</v>
      </c>
      <c r="AG3173" s="245"/>
      <c r="AH3173" s="245"/>
      <c r="AI3173" s="245"/>
      <c r="AJ3173" s="245"/>
      <c r="AK3173" s="245"/>
      <c r="AL3173" s="245"/>
      <c r="AM3173" s="245"/>
      <c r="AN3173" s="245"/>
      <c r="AO3173" s="238">
        <v>-7.11</v>
      </c>
      <c r="AP3173" s="238">
        <v>0.0</v>
      </c>
      <c r="AQ3173" s="235" t="s">
        <v>632</v>
      </c>
      <c r="AR3173" s="243">
        <v>3.71E11</v>
      </c>
      <c r="AS3173" s="235" t="s">
        <v>22269</v>
      </c>
      <c r="AT3173" s="235" t="s">
        <v>16</v>
      </c>
      <c r="AU3173" s="235" t="s">
        <v>634</v>
      </c>
      <c r="AV3173" s="246" t="s">
        <v>635</v>
      </c>
      <c r="AW3173" s="227"/>
      <c r="AX3173" s="227"/>
      <c r="AY3173" s="227"/>
      <c r="AZ3173" s="227"/>
      <c r="BA3173" s="227"/>
      <c r="BB3173" s="227"/>
      <c r="BC3173" s="227"/>
      <c r="BD3173" s="227"/>
      <c r="BE3173" s="227"/>
      <c r="BF3173" s="227"/>
    </row>
    <row r="3174">
      <c r="A3174" s="235" t="s">
        <v>23880</v>
      </c>
      <c r="C3174" s="235" t="s">
        <v>23881</v>
      </c>
      <c r="D3174" s="235" t="s">
        <v>23882</v>
      </c>
      <c r="E3174" s="243">
        <v>6.52E13</v>
      </c>
      <c r="F3174" s="245"/>
      <c r="G3174" s="235" t="s">
        <v>23883</v>
      </c>
      <c r="H3174" s="235" t="s">
        <v>23884</v>
      </c>
      <c r="I3174" s="235" t="s">
        <v>23884</v>
      </c>
      <c r="J3174" s="235" t="s">
        <v>23885</v>
      </c>
      <c r="K3174" s="235" t="s">
        <v>23886</v>
      </c>
      <c r="N3174" s="235" t="s">
        <v>3</v>
      </c>
      <c r="O3174" s="235" t="s">
        <v>654</v>
      </c>
      <c r="P3174" s="238">
        <v>1.0</v>
      </c>
      <c r="Q3174" s="235" t="s">
        <v>627</v>
      </c>
      <c r="R3174" s="238">
        <v>265.72</v>
      </c>
      <c r="S3174" s="238">
        <v>13.28</v>
      </c>
      <c r="T3174" s="238">
        <v>38.1</v>
      </c>
      <c r="U3174" s="238">
        <v>1.9</v>
      </c>
      <c r="V3174" s="238">
        <v>0.0</v>
      </c>
      <c r="W3174" s="238">
        <v>0.0</v>
      </c>
      <c r="X3174" s="235" t="s">
        <v>628</v>
      </c>
      <c r="Z3174" s="245"/>
      <c r="AA3174" s="245"/>
      <c r="AB3174" s="245"/>
      <c r="AC3174" s="235" t="s">
        <v>8737</v>
      </c>
      <c r="AD3174" s="235" t="s">
        <v>666</v>
      </c>
      <c r="AE3174" s="238">
        <v>632002.0</v>
      </c>
      <c r="AF3174" s="235" t="s">
        <v>631</v>
      </c>
      <c r="AG3174" s="245"/>
      <c r="AH3174" s="245"/>
      <c r="AI3174" s="245"/>
      <c r="AJ3174" s="245"/>
      <c r="AK3174" s="245"/>
      <c r="AL3174" s="245"/>
      <c r="AM3174" s="245"/>
      <c r="AN3174" s="245"/>
      <c r="AO3174" s="238">
        <v>0.0</v>
      </c>
      <c r="AP3174" s="238">
        <v>-38.1</v>
      </c>
      <c r="AQ3174" s="235" t="s">
        <v>632</v>
      </c>
      <c r="AR3174" s="243">
        <v>3.71E11</v>
      </c>
      <c r="AS3174" s="235" t="s">
        <v>22269</v>
      </c>
      <c r="AT3174" s="235" t="s">
        <v>156</v>
      </c>
      <c r="AU3174" s="235" t="s">
        <v>634</v>
      </c>
      <c r="AV3174" s="246" t="s">
        <v>635</v>
      </c>
      <c r="AW3174" s="227"/>
      <c r="AX3174" s="227"/>
      <c r="AY3174" s="227"/>
      <c r="AZ3174" s="227"/>
      <c r="BA3174" s="227"/>
      <c r="BB3174" s="227"/>
      <c r="BC3174" s="227"/>
      <c r="BD3174" s="227"/>
      <c r="BE3174" s="227"/>
      <c r="BF3174" s="227"/>
    </row>
    <row r="3175">
      <c r="A3175" s="235" t="s">
        <v>23887</v>
      </c>
      <c r="C3175" s="235" t="s">
        <v>23888</v>
      </c>
      <c r="D3175" s="235" t="s">
        <v>23889</v>
      </c>
      <c r="E3175" s="243">
        <v>6.51E13</v>
      </c>
      <c r="F3175" s="245"/>
      <c r="G3175" s="235" t="s">
        <v>23890</v>
      </c>
      <c r="H3175" s="235" t="s">
        <v>23891</v>
      </c>
      <c r="I3175" s="235" t="s">
        <v>23891</v>
      </c>
      <c r="J3175" s="235" t="s">
        <v>23892</v>
      </c>
      <c r="K3175" s="235" t="s">
        <v>23893</v>
      </c>
      <c r="N3175" s="235" t="s">
        <v>98</v>
      </c>
      <c r="O3175" s="235" t="s">
        <v>357</v>
      </c>
      <c r="P3175" s="238">
        <v>1.0</v>
      </c>
      <c r="Q3175" s="235" t="s">
        <v>627</v>
      </c>
      <c r="R3175" s="238">
        <v>244.76</v>
      </c>
      <c r="S3175" s="238">
        <v>12.24</v>
      </c>
      <c r="T3175" s="238">
        <v>38.1</v>
      </c>
      <c r="U3175" s="238">
        <v>1.9</v>
      </c>
      <c r="V3175" s="238">
        <v>0.0</v>
      </c>
      <c r="W3175" s="238">
        <v>0.0</v>
      </c>
      <c r="X3175" s="235" t="s">
        <v>628</v>
      </c>
      <c r="Z3175" s="245"/>
      <c r="AA3175" s="245"/>
      <c r="AB3175" s="245"/>
      <c r="AC3175" s="235" t="s">
        <v>844</v>
      </c>
      <c r="AD3175" s="235" t="s">
        <v>845</v>
      </c>
      <c r="AE3175" s="238">
        <v>411024.0</v>
      </c>
      <c r="AF3175" s="235" t="s">
        <v>631</v>
      </c>
      <c r="AG3175" s="245"/>
      <c r="AH3175" s="245"/>
      <c r="AI3175" s="245"/>
      <c r="AJ3175" s="245"/>
      <c r="AK3175" s="245"/>
      <c r="AL3175" s="245"/>
      <c r="AM3175" s="245"/>
      <c r="AN3175" s="245"/>
      <c r="AO3175" s="238">
        <v>0.0</v>
      </c>
      <c r="AP3175" s="238">
        <v>-38.1</v>
      </c>
      <c r="AQ3175" s="235" t="s">
        <v>632</v>
      </c>
      <c r="AR3175" s="243">
        <v>3.71E11</v>
      </c>
      <c r="AS3175" s="235" t="s">
        <v>17988</v>
      </c>
      <c r="AT3175" s="235" t="s">
        <v>546</v>
      </c>
      <c r="AU3175" s="235" t="s">
        <v>634</v>
      </c>
      <c r="AV3175" s="246" t="s">
        <v>635</v>
      </c>
      <c r="AW3175" s="227"/>
      <c r="AX3175" s="227"/>
      <c r="AY3175" s="227"/>
      <c r="AZ3175" s="227"/>
      <c r="BA3175" s="227"/>
      <c r="BB3175" s="227"/>
      <c r="BC3175" s="227"/>
      <c r="BD3175" s="227"/>
      <c r="BE3175" s="227"/>
      <c r="BF3175" s="227"/>
    </row>
    <row r="3176">
      <c r="A3176" s="235" t="s">
        <v>23894</v>
      </c>
      <c r="C3176" s="235" t="s">
        <v>23895</v>
      </c>
      <c r="D3176" s="235" t="s">
        <v>23896</v>
      </c>
      <c r="E3176" s="243">
        <v>6.52E13</v>
      </c>
      <c r="F3176" s="245"/>
      <c r="G3176" s="235" t="s">
        <v>23897</v>
      </c>
      <c r="H3176" s="235" t="s">
        <v>23898</v>
      </c>
      <c r="I3176" s="235" t="s">
        <v>23898</v>
      </c>
      <c r="J3176" s="235" t="s">
        <v>23899</v>
      </c>
      <c r="K3176" s="235" t="s">
        <v>23900</v>
      </c>
      <c r="N3176" s="235" t="s">
        <v>92</v>
      </c>
      <c r="O3176" s="235" t="s">
        <v>248</v>
      </c>
      <c r="P3176" s="238">
        <v>1.0</v>
      </c>
      <c r="Q3176" s="235" t="s">
        <v>627</v>
      </c>
      <c r="R3176" s="238">
        <v>246.67</v>
      </c>
      <c r="S3176" s="238">
        <v>12.33</v>
      </c>
      <c r="T3176" s="238">
        <v>38.1</v>
      </c>
      <c r="U3176" s="238">
        <v>1.9</v>
      </c>
      <c r="V3176" s="238">
        <v>0.0</v>
      </c>
      <c r="W3176" s="238">
        <v>0.0</v>
      </c>
      <c r="X3176" s="235" t="s">
        <v>628</v>
      </c>
      <c r="Z3176" s="245"/>
      <c r="AA3176" s="245"/>
      <c r="AB3176" s="245"/>
      <c r="AC3176" s="235" t="s">
        <v>795</v>
      </c>
      <c r="AD3176" s="235" t="s">
        <v>796</v>
      </c>
      <c r="AE3176" s="238">
        <v>110059.0</v>
      </c>
      <c r="AF3176" s="235" t="s">
        <v>631</v>
      </c>
      <c r="AG3176" s="245"/>
      <c r="AH3176" s="245"/>
      <c r="AI3176" s="245"/>
      <c r="AJ3176" s="245"/>
      <c r="AK3176" s="245"/>
      <c r="AL3176" s="245"/>
      <c r="AM3176" s="245"/>
      <c r="AN3176" s="245"/>
      <c r="AO3176" s="238">
        <v>0.0</v>
      </c>
      <c r="AP3176" s="238">
        <v>0.0</v>
      </c>
      <c r="AQ3176" s="235" t="s">
        <v>632</v>
      </c>
      <c r="AR3176" s="243">
        <v>3.71E11</v>
      </c>
      <c r="AS3176" s="235" t="s">
        <v>19388</v>
      </c>
      <c r="AT3176" s="235" t="s">
        <v>16</v>
      </c>
      <c r="AU3176" s="235" t="s">
        <v>634</v>
      </c>
      <c r="AV3176" s="246" t="s">
        <v>635</v>
      </c>
      <c r="AW3176" s="227"/>
      <c r="AX3176" s="227"/>
      <c r="AY3176" s="227"/>
      <c r="AZ3176" s="227"/>
      <c r="BA3176" s="227"/>
      <c r="BB3176" s="227"/>
      <c r="BC3176" s="227"/>
      <c r="BD3176" s="227"/>
      <c r="BE3176" s="227"/>
      <c r="BF3176" s="227"/>
    </row>
    <row r="3177">
      <c r="A3177" s="235" t="s">
        <v>23901</v>
      </c>
      <c r="C3177" s="235" t="s">
        <v>23902</v>
      </c>
      <c r="D3177" s="235" t="s">
        <v>23903</v>
      </c>
      <c r="E3177" s="243">
        <v>6.52E13</v>
      </c>
      <c r="F3177" s="245"/>
      <c r="G3177" s="235" t="s">
        <v>23904</v>
      </c>
      <c r="H3177" s="235" t="s">
        <v>23905</v>
      </c>
      <c r="I3177" s="235" t="s">
        <v>23905</v>
      </c>
      <c r="J3177" s="235" t="s">
        <v>23906</v>
      </c>
      <c r="K3177" s="235" t="s">
        <v>23907</v>
      </c>
      <c r="N3177" s="235" t="s">
        <v>130</v>
      </c>
      <c r="O3177" s="235" t="s">
        <v>707</v>
      </c>
      <c r="P3177" s="238">
        <v>1.0</v>
      </c>
      <c r="Q3177" s="235" t="s">
        <v>627</v>
      </c>
      <c r="R3177" s="238">
        <v>246.67</v>
      </c>
      <c r="S3177" s="238">
        <v>12.08</v>
      </c>
      <c r="T3177" s="238">
        <v>0.0</v>
      </c>
      <c r="U3177" s="238">
        <v>0.0</v>
      </c>
      <c r="V3177" s="238">
        <v>0.0</v>
      </c>
      <c r="W3177" s="238">
        <v>0.0</v>
      </c>
      <c r="X3177" s="235" t="s">
        <v>628</v>
      </c>
      <c r="Z3177" s="245"/>
      <c r="AA3177" s="245"/>
      <c r="AB3177" s="245"/>
      <c r="AC3177" s="235" t="s">
        <v>697</v>
      </c>
      <c r="AD3177" s="235" t="s">
        <v>698</v>
      </c>
      <c r="AE3177" s="238">
        <v>500048.0</v>
      </c>
      <c r="AF3177" s="235" t="s">
        <v>631</v>
      </c>
      <c r="AG3177" s="245"/>
      <c r="AH3177" s="245"/>
      <c r="AI3177" s="245"/>
      <c r="AJ3177" s="245"/>
      <c r="AK3177" s="245"/>
      <c r="AL3177" s="245"/>
      <c r="AM3177" s="245"/>
      <c r="AN3177" s="245"/>
      <c r="AO3177" s="238">
        <v>-4.93</v>
      </c>
      <c r="AP3177" s="238">
        <v>0.0</v>
      </c>
      <c r="AQ3177" s="235" t="s">
        <v>632</v>
      </c>
      <c r="AR3177" s="243">
        <v>1.68E11</v>
      </c>
      <c r="AS3177" s="235" t="s">
        <v>22269</v>
      </c>
      <c r="AT3177" s="235" t="s">
        <v>156</v>
      </c>
      <c r="AU3177" s="235" t="s">
        <v>634</v>
      </c>
      <c r="AV3177" s="246" t="s">
        <v>635</v>
      </c>
      <c r="AW3177" s="227"/>
      <c r="AX3177" s="227"/>
      <c r="AY3177" s="227"/>
      <c r="AZ3177" s="227"/>
      <c r="BA3177" s="227"/>
      <c r="BB3177" s="227"/>
      <c r="BC3177" s="227"/>
      <c r="BD3177" s="227"/>
      <c r="BE3177" s="227"/>
      <c r="BF3177" s="227"/>
    </row>
    <row r="3178">
      <c r="A3178" s="235" t="s">
        <v>23908</v>
      </c>
      <c r="C3178" s="235" t="s">
        <v>23909</v>
      </c>
      <c r="D3178" s="235" t="s">
        <v>23910</v>
      </c>
      <c r="E3178" s="243">
        <v>6.52E13</v>
      </c>
      <c r="F3178" s="245"/>
      <c r="G3178" s="235" t="s">
        <v>23911</v>
      </c>
      <c r="H3178" s="235" t="s">
        <v>23912</v>
      </c>
      <c r="I3178" s="235" t="s">
        <v>23912</v>
      </c>
      <c r="J3178" s="235" t="s">
        <v>23913</v>
      </c>
      <c r="K3178" s="235" t="s">
        <v>23914</v>
      </c>
      <c r="N3178" s="235" t="s">
        <v>92</v>
      </c>
      <c r="O3178" s="235" t="s">
        <v>248</v>
      </c>
      <c r="P3178" s="238">
        <v>1.0</v>
      </c>
      <c r="Q3178" s="235" t="s">
        <v>627</v>
      </c>
      <c r="R3178" s="238">
        <v>233.33</v>
      </c>
      <c r="S3178" s="238">
        <v>11.32</v>
      </c>
      <c r="T3178" s="238">
        <v>0.0</v>
      </c>
      <c r="U3178" s="238">
        <v>0.0</v>
      </c>
      <c r="V3178" s="238">
        <v>0.0</v>
      </c>
      <c r="W3178" s="238">
        <v>0.0</v>
      </c>
      <c r="X3178" s="235" t="s">
        <v>628</v>
      </c>
      <c r="Z3178" s="245"/>
      <c r="AA3178" s="245"/>
      <c r="AB3178" s="245"/>
      <c r="AC3178" s="235" t="s">
        <v>23915</v>
      </c>
      <c r="AD3178" s="235" t="s">
        <v>1151</v>
      </c>
      <c r="AE3178" s="238">
        <v>742237.0</v>
      </c>
      <c r="AF3178" s="235" t="s">
        <v>631</v>
      </c>
      <c r="AG3178" s="245"/>
      <c r="AH3178" s="245"/>
      <c r="AI3178" s="245"/>
      <c r="AJ3178" s="245"/>
      <c r="AK3178" s="245"/>
      <c r="AL3178" s="245"/>
      <c r="AM3178" s="245"/>
      <c r="AN3178" s="245"/>
      <c r="AO3178" s="238">
        <v>-7.0</v>
      </c>
      <c r="AP3178" s="238">
        <v>0.0</v>
      </c>
      <c r="AQ3178" s="235" t="s">
        <v>632</v>
      </c>
      <c r="AR3178" s="243">
        <v>3.71E11</v>
      </c>
      <c r="AS3178" s="235" t="s">
        <v>16626</v>
      </c>
      <c r="AT3178" s="235" t="s">
        <v>156</v>
      </c>
      <c r="AU3178" s="235" t="s">
        <v>634</v>
      </c>
      <c r="AV3178" s="246" t="s">
        <v>635</v>
      </c>
      <c r="AW3178" s="227"/>
      <c r="AX3178" s="227"/>
      <c r="AY3178" s="227"/>
      <c r="AZ3178" s="227"/>
      <c r="BA3178" s="227"/>
      <c r="BB3178" s="227"/>
      <c r="BC3178" s="227"/>
      <c r="BD3178" s="227"/>
      <c r="BE3178" s="227"/>
      <c r="BF3178" s="227"/>
    </row>
    <row r="3179">
      <c r="A3179" s="235" t="s">
        <v>23916</v>
      </c>
      <c r="C3179" s="235" t="s">
        <v>23917</v>
      </c>
      <c r="D3179" s="235" t="s">
        <v>23918</v>
      </c>
      <c r="E3179" s="243">
        <v>6.52E13</v>
      </c>
      <c r="F3179" s="245"/>
      <c r="G3179" s="235" t="s">
        <v>23919</v>
      </c>
      <c r="H3179" s="235" t="s">
        <v>23920</v>
      </c>
      <c r="I3179" s="235" t="s">
        <v>23920</v>
      </c>
      <c r="J3179" s="235" t="s">
        <v>23921</v>
      </c>
      <c r="K3179" s="235" t="s">
        <v>23922</v>
      </c>
      <c r="N3179" s="235" t="s">
        <v>53</v>
      </c>
      <c r="O3179" s="235" t="s">
        <v>512</v>
      </c>
      <c r="P3179" s="238">
        <v>1.0</v>
      </c>
      <c r="Q3179" s="235" t="s">
        <v>627</v>
      </c>
      <c r="R3179" s="238">
        <v>237.14</v>
      </c>
      <c r="S3179" s="238">
        <v>11.62</v>
      </c>
      <c r="T3179" s="238">
        <v>38.1</v>
      </c>
      <c r="U3179" s="238">
        <v>1.9</v>
      </c>
      <c r="V3179" s="238">
        <v>0.0</v>
      </c>
      <c r="W3179" s="238">
        <v>0.0</v>
      </c>
      <c r="X3179" s="235" t="s">
        <v>628</v>
      </c>
      <c r="Z3179" s="245"/>
      <c r="AA3179" s="245"/>
      <c r="AB3179" s="245"/>
      <c r="AC3179" s="235" t="s">
        <v>23923</v>
      </c>
      <c r="AD3179" s="235" t="s">
        <v>666</v>
      </c>
      <c r="AE3179" s="238">
        <v>625513.0</v>
      </c>
      <c r="AF3179" s="235" t="s">
        <v>631</v>
      </c>
      <c r="AG3179" s="245"/>
      <c r="AH3179" s="245"/>
      <c r="AI3179" s="245"/>
      <c r="AJ3179" s="245"/>
      <c r="AK3179" s="245"/>
      <c r="AL3179" s="245"/>
      <c r="AM3179" s="245"/>
      <c r="AN3179" s="245"/>
      <c r="AO3179" s="238">
        <v>-4.74</v>
      </c>
      <c r="AP3179" s="238">
        <v>-38.1</v>
      </c>
      <c r="AQ3179" s="235" t="s">
        <v>632</v>
      </c>
      <c r="AR3179" s="243">
        <v>3.71E11</v>
      </c>
      <c r="AS3179" s="235" t="s">
        <v>22269</v>
      </c>
      <c r="AT3179" s="235" t="s">
        <v>9</v>
      </c>
      <c r="AU3179" s="235" t="s">
        <v>634</v>
      </c>
      <c r="AV3179" s="246" t="s">
        <v>635</v>
      </c>
      <c r="AW3179" s="227"/>
      <c r="AX3179" s="227"/>
      <c r="AY3179" s="227"/>
      <c r="AZ3179" s="227"/>
      <c r="BA3179" s="227"/>
      <c r="BB3179" s="227"/>
      <c r="BC3179" s="227"/>
      <c r="BD3179" s="227"/>
      <c r="BE3179" s="227"/>
      <c r="BF3179" s="227"/>
    </row>
    <row r="3180">
      <c r="A3180" s="235" t="s">
        <v>23924</v>
      </c>
      <c r="C3180" s="235" t="s">
        <v>23925</v>
      </c>
      <c r="D3180" s="235" t="s">
        <v>23926</v>
      </c>
      <c r="E3180" s="243">
        <v>6.52E13</v>
      </c>
      <c r="F3180" s="245"/>
      <c r="G3180" s="235" t="s">
        <v>23927</v>
      </c>
      <c r="H3180" s="235" t="s">
        <v>23928</v>
      </c>
      <c r="I3180" s="235" t="s">
        <v>23928</v>
      </c>
      <c r="J3180" s="235" t="s">
        <v>23929</v>
      </c>
      <c r="K3180" s="235" t="s">
        <v>23930</v>
      </c>
      <c r="N3180" s="235" t="s">
        <v>92</v>
      </c>
      <c r="O3180" s="235" t="s">
        <v>248</v>
      </c>
      <c r="P3180" s="238">
        <v>1.0</v>
      </c>
      <c r="Q3180" s="235" t="s">
        <v>627</v>
      </c>
      <c r="R3180" s="238">
        <v>246.67</v>
      </c>
      <c r="S3180" s="238">
        <v>12.33</v>
      </c>
      <c r="T3180" s="238">
        <v>0.0</v>
      </c>
      <c r="U3180" s="238">
        <v>0.0</v>
      </c>
      <c r="V3180" s="238">
        <v>0.0</v>
      </c>
      <c r="W3180" s="238">
        <v>0.0</v>
      </c>
      <c r="X3180" s="235" t="s">
        <v>628</v>
      </c>
      <c r="Z3180" s="245"/>
      <c r="AA3180" s="245"/>
      <c r="AB3180" s="245"/>
      <c r="AC3180" s="235" t="s">
        <v>4845</v>
      </c>
      <c r="AD3180" s="235" t="s">
        <v>1086</v>
      </c>
      <c r="AE3180" s="238">
        <v>144003.0</v>
      </c>
      <c r="AF3180" s="235" t="s">
        <v>631</v>
      </c>
      <c r="AG3180" s="245"/>
      <c r="AH3180" s="245"/>
      <c r="AI3180" s="245"/>
      <c r="AJ3180" s="245"/>
      <c r="AK3180" s="245"/>
      <c r="AL3180" s="245"/>
      <c r="AM3180" s="245"/>
      <c r="AN3180" s="245"/>
      <c r="AO3180" s="238">
        <v>0.0</v>
      </c>
      <c r="AP3180" s="238">
        <v>0.0</v>
      </c>
      <c r="AQ3180" s="235" t="s">
        <v>632</v>
      </c>
      <c r="AR3180" s="243">
        <v>3.71E11</v>
      </c>
      <c r="AS3180" s="235" t="s">
        <v>20529</v>
      </c>
      <c r="AT3180" s="235" t="s">
        <v>533</v>
      </c>
      <c r="AU3180" s="235" t="s">
        <v>634</v>
      </c>
      <c r="AV3180" s="246" t="s">
        <v>635</v>
      </c>
      <c r="AW3180" s="227"/>
      <c r="AX3180" s="227"/>
      <c r="AY3180" s="227"/>
      <c r="AZ3180" s="227"/>
      <c r="BA3180" s="227"/>
      <c r="BB3180" s="227"/>
      <c r="BC3180" s="227"/>
      <c r="BD3180" s="227"/>
      <c r="BE3180" s="227"/>
      <c r="BF3180" s="227"/>
    </row>
    <row r="3181">
      <c r="A3181" s="235" t="s">
        <v>23931</v>
      </c>
      <c r="C3181" s="235" t="s">
        <v>23932</v>
      </c>
      <c r="D3181" s="235" t="s">
        <v>23933</v>
      </c>
      <c r="E3181" s="243">
        <v>6.52E13</v>
      </c>
      <c r="F3181" s="245"/>
      <c r="G3181" s="235" t="s">
        <v>23934</v>
      </c>
      <c r="H3181" s="235" t="s">
        <v>23935</v>
      </c>
      <c r="I3181" s="235" t="s">
        <v>23935</v>
      </c>
      <c r="J3181" s="235" t="s">
        <v>23936</v>
      </c>
      <c r="K3181" s="235" t="s">
        <v>23937</v>
      </c>
      <c r="N3181" s="235" t="s">
        <v>726</v>
      </c>
      <c r="O3181" s="235" t="s">
        <v>727</v>
      </c>
      <c r="P3181" s="238">
        <v>1.0</v>
      </c>
      <c r="Q3181" s="235" t="s">
        <v>627</v>
      </c>
      <c r="R3181" s="238">
        <v>246.67</v>
      </c>
      <c r="S3181" s="238">
        <v>12.33</v>
      </c>
      <c r="T3181" s="238">
        <v>0.0</v>
      </c>
      <c r="U3181" s="238">
        <v>0.0</v>
      </c>
      <c r="V3181" s="238">
        <v>0.0</v>
      </c>
      <c r="W3181" s="238">
        <v>0.0</v>
      </c>
      <c r="X3181" s="235" t="s">
        <v>628</v>
      </c>
      <c r="Z3181" s="245"/>
      <c r="AA3181" s="245"/>
      <c r="AB3181" s="245"/>
      <c r="AC3181" s="235" t="s">
        <v>23938</v>
      </c>
      <c r="AD3181" s="235" t="s">
        <v>833</v>
      </c>
      <c r="AE3181" s="238">
        <v>521403.0</v>
      </c>
      <c r="AF3181" s="235" t="s">
        <v>631</v>
      </c>
      <c r="AG3181" s="245"/>
      <c r="AH3181" s="245"/>
      <c r="AI3181" s="245"/>
      <c r="AJ3181" s="245"/>
      <c r="AK3181" s="245"/>
      <c r="AL3181" s="245"/>
      <c r="AM3181" s="245"/>
      <c r="AN3181" s="245"/>
      <c r="AO3181" s="238">
        <v>0.0</v>
      </c>
      <c r="AP3181" s="238">
        <v>0.0</v>
      </c>
      <c r="AQ3181" s="235" t="s">
        <v>632</v>
      </c>
      <c r="AR3181" s="243">
        <v>3.71E11</v>
      </c>
      <c r="AS3181" s="235" t="s">
        <v>20529</v>
      </c>
      <c r="AT3181" s="235" t="s">
        <v>156</v>
      </c>
      <c r="AU3181" s="235" t="s">
        <v>634</v>
      </c>
      <c r="AV3181" s="246" t="s">
        <v>635</v>
      </c>
      <c r="AW3181" s="227"/>
      <c r="AX3181" s="227"/>
      <c r="AY3181" s="227"/>
      <c r="AZ3181" s="227"/>
      <c r="BA3181" s="227"/>
      <c r="BB3181" s="227"/>
      <c r="BC3181" s="227"/>
      <c r="BD3181" s="227"/>
      <c r="BE3181" s="227"/>
      <c r="BF3181" s="227"/>
    </row>
    <row r="3182">
      <c r="A3182" s="235" t="s">
        <v>23939</v>
      </c>
      <c r="C3182" s="235" t="s">
        <v>23940</v>
      </c>
      <c r="D3182" s="235" t="s">
        <v>23941</v>
      </c>
      <c r="E3182" s="243">
        <v>6.52E13</v>
      </c>
      <c r="F3182" s="245"/>
      <c r="G3182" s="235" t="s">
        <v>23942</v>
      </c>
      <c r="H3182" s="235" t="s">
        <v>23943</v>
      </c>
      <c r="I3182" s="235" t="s">
        <v>23943</v>
      </c>
      <c r="J3182" s="235" t="s">
        <v>23944</v>
      </c>
      <c r="K3182" s="235" t="s">
        <v>23945</v>
      </c>
      <c r="N3182" s="235" t="s">
        <v>566</v>
      </c>
      <c r="O3182" s="235" t="s">
        <v>13068</v>
      </c>
      <c r="P3182" s="238">
        <v>1.0</v>
      </c>
      <c r="Q3182" s="235" t="s">
        <v>627</v>
      </c>
      <c r="R3182" s="238">
        <v>405.93</v>
      </c>
      <c r="S3182" s="238">
        <v>71.61</v>
      </c>
      <c r="T3182" s="238">
        <v>33.9</v>
      </c>
      <c r="U3182" s="238">
        <v>6.1</v>
      </c>
      <c r="V3182" s="238">
        <v>0.0</v>
      </c>
      <c r="W3182" s="238">
        <v>0.0</v>
      </c>
      <c r="X3182" s="235" t="s">
        <v>628</v>
      </c>
      <c r="Z3182" s="245"/>
      <c r="AA3182" s="245"/>
      <c r="AB3182" s="245"/>
      <c r="AC3182" s="235" t="s">
        <v>23946</v>
      </c>
      <c r="AD3182" s="235" t="s">
        <v>630</v>
      </c>
      <c r="AE3182" s="238">
        <v>209725.0</v>
      </c>
      <c r="AF3182" s="235" t="s">
        <v>631</v>
      </c>
      <c r="AG3182" s="245"/>
      <c r="AH3182" s="245"/>
      <c r="AI3182" s="245"/>
      <c r="AJ3182" s="245"/>
      <c r="AK3182" s="245"/>
      <c r="AL3182" s="245"/>
      <c r="AM3182" s="245"/>
      <c r="AN3182" s="245"/>
      <c r="AO3182" s="238">
        <v>-8.12</v>
      </c>
      <c r="AP3182" s="238">
        <v>-33.9</v>
      </c>
      <c r="AQ3182" s="235" t="s">
        <v>632</v>
      </c>
      <c r="AR3182" s="243">
        <v>3.71E11</v>
      </c>
      <c r="AS3182" s="235" t="s">
        <v>16626</v>
      </c>
      <c r="AT3182" s="235" t="s">
        <v>156</v>
      </c>
      <c r="AU3182" s="235" t="s">
        <v>634</v>
      </c>
      <c r="AV3182" s="246" t="s">
        <v>635</v>
      </c>
      <c r="AW3182" s="227"/>
      <c r="AX3182" s="227"/>
      <c r="AY3182" s="227"/>
      <c r="AZ3182" s="227"/>
      <c r="BA3182" s="227"/>
      <c r="BB3182" s="227"/>
      <c r="BC3182" s="227"/>
      <c r="BD3182" s="227"/>
      <c r="BE3182" s="227"/>
      <c r="BF3182" s="227"/>
    </row>
    <row r="3183">
      <c r="A3183" s="235" t="s">
        <v>23947</v>
      </c>
      <c r="C3183" s="235" t="s">
        <v>23948</v>
      </c>
      <c r="D3183" s="235" t="s">
        <v>23949</v>
      </c>
      <c r="E3183" s="243">
        <v>6.52E13</v>
      </c>
      <c r="F3183" s="245"/>
      <c r="G3183" s="235" t="s">
        <v>23950</v>
      </c>
      <c r="H3183" s="235" t="s">
        <v>23951</v>
      </c>
      <c r="I3183" s="235" t="s">
        <v>23951</v>
      </c>
      <c r="J3183" s="235" t="s">
        <v>23952</v>
      </c>
      <c r="K3183" s="235" t="s">
        <v>23953</v>
      </c>
      <c r="N3183" s="235" t="s">
        <v>138</v>
      </c>
      <c r="O3183" s="235" t="s">
        <v>675</v>
      </c>
      <c r="P3183" s="238">
        <v>1.0</v>
      </c>
      <c r="Q3183" s="235" t="s">
        <v>627</v>
      </c>
      <c r="R3183" s="238">
        <v>243.81</v>
      </c>
      <c r="S3183" s="238">
        <v>11.95</v>
      </c>
      <c r="T3183" s="238">
        <v>0.0</v>
      </c>
      <c r="U3183" s="238">
        <v>0.0</v>
      </c>
      <c r="V3183" s="238">
        <v>0.0</v>
      </c>
      <c r="W3183" s="238">
        <v>0.0</v>
      </c>
      <c r="X3183" s="235" t="s">
        <v>628</v>
      </c>
      <c r="Z3183" s="245"/>
      <c r="AA3183" s="245"/>
      <c r="AB3183" s="245"/>
      <c r="AC3183" s="235" t="s">
        <v>795</v>
      </c>
      <c r="AD3183" s="235" t="s">
        <v>796</v>
      </c>
      <c r="AE3183" s="238">
        <v>110077.0</v>
      </c>
      <c r="AF3183" s="235" t="s">
        <v>631</v>
      </c>
      <c r="AG3183" s="245"/>
      <c r="AH3183" s="245"/>
      <c r="AI3183" s="245"/>
      <c r="AJ3183" s="245"/>
      <c r="AK3183" s="245"/>
      <c r="AL3183" s="245"/>
      <c r="AM3183" s="245"/>
      <c r="AN3183" s="245"/>
      <c r="AO3183" s="238">
        <v>-4.88</v>
      </c>
      <c r="AP3183" s="238">
        <v>0.0</v>
      </c>
      <c r="AQ3183" s="235" t="s">
        <v>632</v>
      </c>
      <c r="AR3183" s="243">
        <v>2.02E11</v>
      </c>
      <c r="AS3183" s="235" t="s">
        <v>22269</v>
      </c>
      <c r="AT3183" s="235" t="s">
        <v>11</v>
      </c>
      <c r="AU3183" s="235" t="s">
        <v>634</v>
      </c>
      <c r="AV3183" s="246" t="s">
        <v>635</v>
      </c>
      <c r="AW3183" s="227"/>
      <c r="AX3183" s="227"/>
      <c r="AY3183" s="227"/>
      <c r="AZ3183" s="227"/>
      <c r="BA3183" s="227"/>
      <c r="BB3183" s="227"/>
      <c r="BC3183" s="227"/>
      <c r="BD3183" s="227"/>
      <c r="BE3183" s="227"/>
      <c r="BF3183" s="227"/>
    </row>
    <row r="3184">
      <c r="A3184" s="235" t="s">
        <v>23954</v>
      </c>
      <c r="C3184" s="235" t="s">
        <v>23955</v>
      </c>
      <c r="D3184" s="235" t="s">
        <v>23956</v>
      </c>
      <c r="E3184" s="243">
        <v>6.52E13</v>
      </c>
      <c r="F3184" s="245"/>
      <c r="G3184" s="235" t="s">
        <v>23957</v>
      </c>
      <c r="H3184" s="235" t="s">
        <v>23958</v>
      </c>
      <c r="I3184" s="235" t="s">
        <v>23958</v>
      </c>
      <c r="J3184" s="235" t="s">
        <v>23959</v>
      </c>
      <c r="K3184" s="235" t="s">
        <v>23960</v>
      </c>
      <c r="N3184" s="235" t="s">
        <v>110</v>
      </c>
      <c r="O3184" s="235" t="s">
        <v>364</v>
      </c>
      <c r="P3184" s="238">
        <v>1.0</v>
      </c>
      <c r="Q3184" s="235" t="s">
        <v>627</v>
      </c>
      <c r="R3184" s="238">
        <v>246.67</v>
      </c>
      <c r="S3184" s="238">
        <v>12.33</v>
      </c>
      <c r="T3184" s="238">
        <v>0.0</v>
      </c>
      <c r="U3184" s="238">
        <v>0.0</v>
      </c>
      <c r="V3184" s="238">
        <v>0.0</v>
      </c>
      <c r="W3184" s="238">
        <v>0.0</v>
      </c>
      <c r="X3184" s="235" t="s">
        <v>628</v>
      </c>
      <c r="Z3184" s="245"/>
      <c r="AA3184" s="245"/>
      <c r="AB3184" s="245"/>
      <c r="AC3184" s="235" t="s">
        <v>1058</v>
      </c>
      <c r="AD3184" s="235" t="s">
        <v>845</v>
      </c>
      <c r="AE3184" s="238">
        <v>400005.0</v>
      </c>
      <c r="AF3184" s="235" t="s">
        <v>631</v>
      </c>
      <c r="AG3184" s="245"/>
      <c r="AH3184" s="245"/>
      <c r="AI3184" s="245"/>
      <c r="AJ3184" s="245"/>
      <c r="AK3184" s="245"/>
      <c r="AL3184" s="245"/>
      <c r="AM3184" s="245"/>
      <c r="AN3184" s="245"/>
      <c r="AO3184" s="238">
        <v>0.0</v>
      </c>
      <c r="AP3184" s="238">
        <v>0.0</v>
      </c>
      <c r="AQ3184" s="235" t="s">
        <v>632</v>
      </c>
      <c r="AR3184" s="243">
        <v>3.71E11</v>
      </c>
      <c r="AS3184" s="235" t="s">
        <v>19388</v>
      </c>
      <c r="AT3184" s="235" t="s">
        <v>156</v>
      </c>
      <c r="AU3184" s="235" t="s">
        <v>634</v>
      </c>
      <c r="AV3184" s="246" t="s">
        <v>635</v>
      </c>
      <c r="AW3184" s="227"/>
      <c r="AX3184" s="227"/>
      <c r="AY3184" s="227"/>
      <c r="AZ3184" s="227"/>
      <c r="BA3184" s="227"/>
      <c r="BB3184" s="227"/>
      <c r="BC3184" s="227"/>
      <c r="BD3184" s="227"/>
      <c r="BE3184" s="227"/>
      <c r="BF3184" s="227"/>
    </row>
    <row r="3185">
      <c r="A3185" s="235" t="s">
        <v>23961</v>
      </c>
      <c r="C3185" s="235" t="s">
        <v>23962</v>
      </c>
      <c r="D3185" s="235" t="s">
        <v>23963</v>
      </c>
      <c r="E3185" s="243">
        <v>6.52E13</v>
      </c>
      <c r="F3185" s="245"/>
      <c r="G3185" s="235" t="s">
        <v>23964</v>
      </c>
      <c r="H3185" s="235" t="s">
        <v>23965</v>
      </c>
      <c r="I3185" s="235" t="s">
        <v>23965</v>
      </c>
      <c r="J3185" s="235" t="s">
        <v>23966</v>
      </c>
      <c r="K3185" s="235" t="s">
        <v>23967</v>
      </c>
      <c r="N3185" s="235" t="s">
        <v>111</v>
      </c>
      <c r="O3185" s="235" t="s">
        <v>464</v>
      </c>
      <c r="P3185" s="238">
        <v>1.0</v>
      </c>
      <c r="Q3185" s="235" t="s">
        <v>627</v>
      </c>
      <c r="R3185" s="238">
        <v>246.67</v>
      </c>
      <c r="S3185" s="238">
        <v>12.33</v>
      </c>
      <c r="T3185" s="238">
        <v>0.0</v>
      </c>
      <c r="U3185" s="238">
        <v>0.0</v>
      </c>
      <c r="V3185" s="238">
        <v>0.0</v>
      </c>
      <c r="W3185" s="238">
        <v>0.0</v>
      </c>
      <c r="X3185" s="235" t="s">
        <v>628</v>
      </c>
      <c r="Z3185" s="245"/>
      <c r="AA3185" s="245"/>
      <c r="AB3185" s="245"/>
      <c r="AC3185" s="235" t="s">
        <v>687</v>
      </c>
      <c r="AD3185" s="235" t="s">
        <v>666</v>
      </c>
      <c r="AE3185" s="238">
        <v>600008.0</v>
      </c>
      <c r="AF3185" s="235" t="s">
        <v>631</v>
      </c>
      <c r="AG3185" s="245"/>
      <c r="AH3185" s="245"/>
      <c r="AI3185" s="245"/>
      <c r="AJ3185" s="245"/>
      <c r="AK3185" s="245"/>
      <c r="AL3185" s="245"/>
      <c r="AM3185" s="245"/>
      <c r="AN3185" s="245"/>
      <c r="AO3185" s="238">
        <v>0.0</v>
      </c>
      <c r="AP3185" s="238">
        <v>0.0</v>
      </c>
      <c r="AQ3185" s="235" t="s">
        <v>632</v>
      </c>
      <c r="AR3185" s="243">
        <v>3.71E11</v>
      </c>
      <c r="AS3185" s="235" t="s">
        <v>17988</v>
      </c>
      <c r="AT3185" s="235" t="s">
        <v>14</v>
      </c>
      <c r="AU3185" s="235" t="s">
        <v>634</v>
      </c>
      <c r="AV3185" s="246" t="s">
        <v>635</v>
      </c>
      <c r="AW3185" s="227"/>
      <c r="AX3185" s="227"/>
      <c r="AY3185" s="227"/>
      <c r="AZ3185" s="227"/>
      <c r="BA3185" s="227"/>
      <c r="BB3185" s="227"/>
      <c r="BC3185" s="227"/>
      <c r="BD3185" s="227"/>
      <c r="BE3185" s="227"/>
      <c r="BF3185" s="227"/>
    </row>
    <row r="3186">
      <c r="A3186" s="235" t="s">
        <v>23968</v>
      </c>
      <c r="C3186" s="235" t="s">
        <v>23969</v>
      </c>
      <c r="D3186" s="235" t="s">
        <v>23970</v>
      </c>
      <c r="E3186" s="243">
        <v>6.52E13</v>
      </c>
      <c r="F3186" s="245"/>
      <c r="G3186" s="235" t="s">
        <v>23971</v>
      </c>
      <c r="H3186" s="235" t="s">
        <v>23972</v>
      </c>
      <c r="I3186" s="235" t="s">
        <v>23972</v>
      </c>
      <c r="J3186" s="235" t="s">
        <v>23973</v>
      </c>
      <c r="K3186" s="235" t="s">
        <v>23974</v>
      </c>
      <c r="N3186" s="235" t="s">
        <v>2163</v>
      </c>
      <c r="O3186" s="235" t="s">
        <v>2164</v>
      </c>
      <c r="P3186" s="238">
        <v>1.0</v>
      </c>
      <c r="Q3186" s="235" t="s">
        <v>627</v>
      </c>
      <c r="R3186" s="238">
        <v>246.66</v>
      </c>
      <c r="S3186" s="238">
        <v>12.1</v>
      </c>
      <c r="T3186" s="238">
        <v>0.0</v>
      </c>
      <c r="U3186" s="238">
        <v>0.0</v>
      </c>
      <c r="V3186" s="238">
        <v>0.0</v>
      </c>
      <c r="W3186" s="238">
        <v>0.0</v>
      </c>
      <c r="X3186" s="235" t="s">
        <v>628</v>
      </c>
      <c r="Z3186" s="245"/>
      <c r="AA3186" s="245"/>
      <c r="AB3186" s="245"/>
      <c r="AC3186" s="235" t="s">
        <v>6555</v>
      </c>
      <c r="AD3186" s="235" t="s">
        <v>679</v>
      </c>
      <c r="AE3186" s="238">
        <v>575019.0</v>
      </c>
      <c r="AF3186" s="235" t="s">
        <v>631</v>
      </c>
      <c r="AG3186" s="245"/>
      <c r="AH3186" s="245"/>
      <c r="AI3186" s="245"/>
      <c r="AJ3186" s="245"/>
      <c r="AK3186" s="245"/>
      <c r="AL3186" s="245"/>
      <c r="AM3186" s="245"/>
      <c r="AN3186" s="245"/>
      <c r="AO3186" s="238">
        <v>-4.94</v>
      </c>
      <c r="AP3186" s="238">
        <v>0.0</v>
      </c>
      <c r="AQ3186" s="235" t="s">
        <v>632</v>
      </c>
      <c r="AR3186" s="243">
        <v>3.71E11</v>
      </c>
      <c r="AS3186" s="235" t="s">
        <v>20529</v>
      </c>
      <c r="AT3186" s="235" t="s">
        <v>9</v>
      </c>
      <c r="AU3186" s="235" t="s">
        <v>634</v>
      </c>
      <c r="AV3186" s="246" t="s">
        <v>635</v>
      </c>
      <c r="AW3186" s="227"/>
      <c r="AX3186" s="227"/>
      <c r="AY3186" s="227"/>
      <c r="AZ3186" s="227"/>
      <c r="BA3186" s="227"/>
      <c r="BB3186" s="227"/>
      <c r="BC3186" s="227"/>
      <c r="BD3186" s="227"/>
      <c r="BE3186" s="227"/>
      <c r="BF3186" s="227"/>
    </row>
    <row r="3187">
      <c r="A3187" s="235" t="s">
        <v>23975</v>
      </c>
      <c r="C3187" s="235" t="s">
        <v>23976</v>
      </c>
      <c r="D3187" s="235" t="s">
        <v>23977</v>
      </c>
      <c r="E3187" s="243">
        <v>6.52E13</v>
      </c>
      <c r="F3187" s="245"/>
      <c r="G3187" s="235" t="s">
        <v>23978</v>
      </c>
      <c r="H3187" s="235" t="s">
        <v>23979</v>
      </c>
      <c r="I3187" s="235" t="s">
        <v>23980</v>
      </c>
      <c r="J3187" s="235" t="s">
        <v>23981</v>
      </c>
      <c r="K3187" s="235" t="s">
        <v>23982</v>
      </c>
      <c r="N3187" s="235" t="s">
        <v>842</v>
      </c>
      <c r="O3187" s="235" t="s">
        <v>843</v>
      </c>
      <c r="P3187" s="238">
        <v>1.0</v>
      </c>
      <c r="Q3187" s="235" t="s">
        <v>627</v>
      </c>
      <c r="R3187" s="238">
        <v>246.66</v>
      </c>
      <c r="S3187" s="238">
        <v>12.34</v>
      </c>
      <c r="T3187" s="238">
        <v>0.0</v>
      </c>
      <c r="U3187" s="238">
        <v>0.0</v>
      </c>
      <c r="V3187" s="238">
        <v>0.0</v>
      </c>
      <c r="W3187" s="238">
        <v>0.0</v>
      </c>
      <c r="X3187" s="235" t="s">
        <v>628</v>
      </c>
      <c r="Z3187" s="245"/>
      <c r="AA3187" s="245"/>
      <c r="AB3187" s="245"/>
      <c r="AC3187" s="235" t="s">
        <v>23983</v>
      </c>
      <c r="AD3187" s="235" t="s">
        <v>666</v>
      </c>
      <c r="AE3187" s="238">
        <v>613702.0</v>
      </c>
      <c r="AF3187" s="235" t="s">
        <v>631</v>
      </c>
      <c r="AG3187" s="245"/>
      <c r="AH3187" s="245"/>
      <c r="AI3187" s="245"/>
      <c r="AJ3187" s="245"/>
      <c r="AK3187" s="245"/>
      <c r="AL3187" s="245"/>
      <c r="AM3187" s="245"/>
      <c r="AN3187" s="245"/>
      <c r="AO3187" s="238">
        <v>0.0</v>
      </c>
      <c r="AP3187" s="238">
        <v>0.0</v>
      </c>
      <c r="AQ3187" s="235" t="s">
        <v>632</v>
      </c>
      <c r="AR3187" s="243">
        <v>3.71E11</v>
      </c>
      <c r="AS3187" s="235" t="s">
        <v>20529</v>
      </c>
      <c r="AT3187" s="235" t="s">
        <v>155</v>
      </c>
      <c r="AU3187" s="235" t="s">
        <v>634</v>
      </c>
      <c r="AV3187" s="246" t="s">
        <v>635</v>
      </c>
      <c r="AW3187" s="227"/>
      <c r="AX3187" s="227"/>
      <c r="AY3187" s="227"/>
      <c r="AZ3187" s="227"/>
      <c r="BA3187" s="227"/>
      <c r="BB3187" s="227"/>
      <c r="BC3187" s="227"/>
      <c r="BD3187" s="227"/>
      <c r="BE3187" s="227"/>
      <c r="BF3187" s="227"/>
    </row>
    <row r="3188">
      <c r="A3188" s="235" t="s">
        <v>23984</v>
      </c>
      <c r="C3188" s="235" t="s">
        <v>23985</v>
      </c>
      <c r="D3188" s="235" t="s">
        <v>23986</v>
      </c>
      <c r="E3188" s="243">
        <v>6.52E13</v>
      </c>
      <c r="F3188" s="245"/>
      <c r="G3188" s="235" t="s">
        <v>23987</v>
      </c>
      <c r="H3188" s="235" t="s">
        <v>23988</v>
      </c>
      <c r="I3188" s="235" t="s">
        <v>23988</v>
      </c>
      <c r="J3188" s="235" t="s">
        <v>23989</v>
      </c>
      <c r="K3188" s="235" t="s">
        <v>23990</v>
      </c>
      <c r="N3188" s="235" t="s">
        <v>68</v>
      </c>
      <c r="O3188" s="235" t="s">
        <v>208</v>
      </c>
      <c r="P3188" s="238">
        <v>1.0</v>
      </c>
      <c r="Q3188" s="235" t="s">
        <v>627</v>
      </c>
      <c r="R3188" s="238">
        <v>246.67</v>
      </c>
      <c r="S3188" s="238">
        <v>12.33</v>
      </c>
      <c r="T3188" s="238">
        <v>0.0</v>
      </c>
      <c r="U3188" s="238">
        <v>0.0</v>
      </c>
      <c r="V3188" s="238">
        <v>0.0</v>
      </c>
      <c r="W3188" s="238">
        <v>0.0</v>
      </c>
      <c r="X3188" s="235" t="s">
        <v>628</v>
      </c>
      <c r="Z3188" s="245"/>
      <c r="AA3188" s="245"/>
      <c r="AB3188" s="245"/>
      <c r="AC3188" s="235" t="s">
        <v>23991</v>
      </c>
      <c r="AD3188" s="235" t="s">
        <v>11319</v>
      </c>
      <c r="AE3188" s="238">
        <v>110008.0</v>
      </c>
      <c r="AF3188" s="235" t="s">
        <v>631</v>
      </c>
      <c r="AG3188" s="245"/>
      <c r="AH3188" s="245"/>
      <c r="AI3188" s="245"/>
      <c r="AJ3188" s="245"/>
      <c r="AK3188" s="245"/>
      <c r="AL3188" s="245"/>
      <c r="AM3188" s="245"/>
      <c r="AN3188" s="245"/>
      <c r="AO3188" s="238">
        <v>0.0</v>
      </c>
      <c r="AP3188" s="238">
        <v>0.0</v>
      </c>
      <c r="AQ3188" s="235" t="s">
        <v>632</v>
      </c>
      <c r="AR3188" s="243">
        <v>3.71E11</v>
      </c>
      <c r="AS3188" s="235" t="s">
        <v>22269</v>
      </c>
      <c r="AT3188" s="235" t="s">
        <v>533</v>
      </c>
      <c r="AU3188" s="235" t="s">
        <v>634</v>
      </c>
      <c r="AV3188" s="246" t="s">
        <v>635</v>
      </c>
      <c r="AW3188" s="227"/>
      <c r="AX3188" s="227"/>
      <c r="AY3188" s="227"/>
      <c r="AZ3188" s="227"/>
      <c r="BA3188" s="227"/>
      <c r="BB3188" s="227"/>
      <c r="BC3188" s="227"/>
      <c r="BD3188" s="227"/>
      <c r="BE3188" s="227"/>
      <c r="BF3188" s="227"/>
    </row>
    <row r="3189">
      <c r="A3189" s="235" t="s">
        <v>23992</v>
      </c>
      <c r="C3189" s="235" t="s">
        <v>23993</v>
      </c>
      <c r="D3189" s="235" t="s">
        <v>23994</v>
      </c>
      <c r="E3189" s="243">
        <v>6.51E13</v>
      </c>
      <c r="F3189" s="245"/>
      <c r="G3189" s="235" t="s">
        <v>23995</v>
      </c>
      <c r="H3189" s="235" t="s">
        <v>23996</v>
      </c>
      <c r="I3189" s="235" t="s">
        <v>23996</v>
      </c>
      <c r="J3189" s="235" t="s">
        <v>23997</v>
      </c>
      <c r="K3189" s="235" t="s">
        <v>23998</v>
      </c>
      <c r="N3189" s="235" t="s">
        <v>136</v>
      </c>
      <c r="O3189" s="235" t="s">
        <v>256</v>
      </c>
      <c r="P3189" s="238">
        <v>1.0</v>
      </c>
      <c r="Q3189" s="235" t="s">
        <v>627</v>
      </c>
      <c r="R3189" s="238">
        <v>244.76</v>
      </c>
      <c r="S3189" s="238">
        <v>12.24</v>
      </c>
      <c r="T3189" s="238">
        <v>38.1</v>
      </c>
      <c r="U3189" s="238">
        <v>1.9</v>
      </c>
      <c r="V3189" s="238">
        <v>0.0</v>
      </c>
      <c r="W3189" s="238">
        <v>0.0</v>
      </c>
      <c r="X3189" s="235" t="s">
        <v>628</v>
      </c>
      <c r="Z3189" s="245"/>
      <c r="AA3189" s="245"/>
      <c r="AB3189" s="245"/>
      <c r="AC3189" s="235" t="s">
        <v>23999</v>
      </c>
      <c r="AD3189" s="235" t="s">
        <v>645</v>
      </c>
      <c r="AE3189" s="238">
        <v>688540.0</v>
      </c>
      <c r="AF3189" s="235" t="s">
        <v>631</v>
      </c>
      <c r="AG3189" s="245"/>
      <c r="AH3189" s="245"/>
      <c r="AI3189" s="245"/>
      <c r="AJ3189" s="245"/>
      <c r="AK3189" s="245"/>
      <c r="AL3189" s="245"/>
      <c r="AM3189" s="245"/>
      <c r="AN3189" s="245"/>
      <c r="AO3189" s="238">
        <v>0.0</v>
      </c>
      <c r="AP3189" s="238">
        <v>-38.1</v>
      </c>
      <c r="AQ3189" s="235" t="s">
        <v>632</v>
      </c>
      <c r="AR3189" s="243">
        <v>3.71E11</v>
      </c>
      <c r="AS3189" s="235" t="s">
        <v>22269</v>
      </c>
      <c r="AT3189" s="235" t="s">
        <v>155</v>
      </c>
      <c r="AU3189" s="235" t="s">
        <v>634</v>
      </c>
      <c r="AV3189" s="246" t="s">
        <v>635</v>
      </c>
      <c r="AW3189" s="227"/>
      <c r="AX3189" s="227"/>
      <c r="AY3189" s="227"/>
      <c r="AZ3189" s="227"/>
      <c r="BA3189" s="227"/>
      <c r="BB3189" s="227"/>
      <c r="BC3189" s="227"/>
      <c r="BD3189" s="227"/>
      <c r="BE3189" s="227"/>
      <c r="BF3189" s="227"/>
    </row>
    <row r="3190">
      <c r="A3190" s="235" t="s">
        <v>24000</v>
      </c>
      <c r="C3190" s="235" t="s">
        <v>24001</v>
      </c>
      <c r="D3190" s="235" t="s">
        <v>24002</v>
      </c>
      <c r="E3190" s="243">
        <v>6.52E13</v>
      </c>
      <c r="F3190" s="245"/>
      <c r="G3190" s="235" t="s">
        <v>24003</v>
      </c>
      <c r="H3190" s="235" t="s">
        <v>24004</v>
      </c>
      <c r="I3190" s="235" t="s">
        <v>24004</v>
      </c>
      <c r="J3190" s="235" t="s">
        <v>24005</v>
      </c>
      <c r="K3190" s="235" t="s">
        <v>24006</v>
      </c>
      <c r="N3190" s="235" t="s">
        <v>127</v>
      </c>
      <c r="O3190" s="235" t="s">
        <v>794</v>
      </c>
      <c r="P3190" s="238">
        <v>1.0</v>
      </c>
      <c r="Q3190" s="235" t="s">
        <v>627</v>
      </c>
      <c r="R3190" s="238">
        <v>243.8</v>
      </c>
      <c r="S3190" s="238">
        <v>12.2</v>
      </c>
      <c r="T3190" s="238">
        <v>0.0</v>
      </c>
      <c r="U3190" s="238">
        <v>0.0</v>
      </c>
      <c r="V3190" s="238">
        <v>0.0</v>
      </c>
      <c r="W3190" s="238">
        <v>0.0</v>
      </c>
      <c r="X3190" s="235" t="s">
        <v>628</v>
      </c>
      <c r="Z3190" s="245"/>
      <c r="AA3190" s="245"/>
      <c r="AB3190" s="245"/>
      <c r="AC3190" s="235" t="s">
        <v>1456</v>
      </c>
      <c r="AD3190" s="235" t="s">
        <v>928</v>
      </c>
      <c r="AE3190" s="238">
        <v>122003.0</v>
      </c>
      <c r="AF3190" s="235" t="s">
        <v>631</v>
      </c>
      <c r="AG3190" s="245"/>
      <c r="AH3190" s="245"/>
      <c r="AI3190" s="245"/>
      <c r="AJ3190" s="245"/>
      <c r="AK3190" s="245"/>
      <c r="AL3190" s="245"/>
      <c r="AM3190" s="245"/>
      <c r="AN3190" s="245"/>
      <c r="AO3190" s="238">
        <v>0.0</v>
      </c>
      <c r="AP3190" s="238">
        <v>0.0</v>
      </c>
      <c r="AQ3190" s="235" t="s">
        <v>632</v>
      </c>
      <c r="AR3190" s="243">
        <v>3.71E11</v>
      </c>
      <c r="AS3190" s="235" t="s">
        <v>22269</v>
      </c>
      <c r="AT3190" s="235" t="s">
        <v>533</v>
      </c>
      <c r="AU3190" s="235" t="s">
        <v>634</v>
      </c>
      <c r="AV3190" s="246" t="s">
        <v>635</v>
      </c>
      <c r="AW3190" s="227"/>
      <c r="AX3190" s="227"/>
      <c r="AY3190" s="227"/>
      <c r="AZ3190" s="227"/>
      <c r="BA3190" s="227"/>
      <c r="BB3190" s="227"/>
      <c r="BC3190" s="227"/>
      <c r="BD3190" s="227"/>
      <c r="BE3190" s="227"/>
      <c r="BF3190" s="227"/>
    </row>
    <row r="3191">
      <c r="A3191" s="235" t="s">
        <v>24007</v>
      </c>
      <c r="C3191" s="235" t="s">
        <v>24008</v>
      </c>
      <c r="D3191" s="235" t="s">
        <v>24009</v>
      </c>
      <c r="E3191" s="243">
        <v>6.52E13</v>
      </c>
      <c r="F3191" s="245"/>
      <c r="G3191" s="235" t="s">
        <v>24010</v>
      </c>
      <c r="H3191" s="235" t="s">
        <v>24011</v>
      </c>
      <c r="I3191" s="235" t="s">
        <v>24011</v>
      </c>
      <c r="J3191" s="235" t="s">
        <v>24012</v>
      </c>
      <c r="K3191" s="235" t="s">
        <v>24013</v>
      </c>
      <c r="N3191" s="235" t="s">
        <v>127</v>
      </c>
      <c r="O3191" s="235" t="s">
        <v>794</v>
      </c>
      <c r="P3191" s="238">
        <v>1.0</v>
      </c>
      <c r="Q3191" s="235" t="s">
        <v>627</v>
      </c>
      <c r="R3191" s="238">
        <v>243.81</v>
      </c>
      <c r="S3191" s="238">
        <v>12.19</v>
      </c>
      <c r="T3191" s="238">
        <v>0.0</v>
      </c>
      <c r="U3191" s="238">
        <v>0.0</v>
      </c>
      <c r="V3191" s="238">
        <v>0.0</v>
      </c>
      <c r="W3191" s="238">
        <v>0.0</v>
      </c>
      <c r="X3191" s="235" t="s">
        <v>628</v>
      </c>
      <c r="Z3191" s="245"/>
      <c r="AA3191" s="245"/>
      <c r="AB3191" s="245"/>
      <c r="AC3191" s="235" t="s">
        <v>795</v>
      </c>
      <c r="AD3191" s="235" t="s">
        <v>796</v>
      </c>
      <c r="AE3191" s="238">
        <v>110017.0</v>
      </c>
      <c r="AF3191" s="235" t="s">
        <v>631</v>
      </c>
      <c r="AG3191" s="245"/>
      <c r="AH3191" s="245"/>
      <c r="AI3191" s="245"/>
      <c r="AJ3191" s="245"/>
      <c r="AK3191" s="245"/>
      <c r="AL3191" s="245"/>
      <c r="AM3191" s="245"/>
      <c r="AN3191" s="245"/>
      <c r="AO3191" s="238">
        <v>0.0</v>
      </c>
      <c r="AP3191" s="238">
        <v>0.0</v>
      </c>
      <c r="AQ3191" s="235" t="s">
        <v>632</v>
      </c>
      <c r="AR3191" s="243">
        <v>3.71E11</v>
      </c>
      <c r="AS3191" s="235" t="s">
        <v>22269</v>
      </c>
      <c r="AT3191" s="235" t="s">
        <v>533</v>
      </c>
      <c r="AU3191" s="235" t="s">
        <v>634</v>
      </c>
      <c r="AV3191" s="246" t="s">
        <v>635</v>
      </c>
      <c r="AW3191" s="227"/>
      <c r="AX3191" s="227"/>
      <c r="AY3191" s="227"/>
      <c r="AZ3191" s="227"/>
      <c r="BA3191" s="227"/>
      <c r="BB3191" s="227"/>
      <c r="BC3191" s="227"/>
      <c r="BD3191" s="227"/>
      <c r="BE3191" s="227"/>
      <c r="BF3191" s="227"/>
    </row>
    <row r="3192">
      <c r="A3192" s="235" t="s">
        <v>24014</v>
      </c>
      <c r="C3192" s="235" t="s">
        <v>24015</v>
      </c>
      <c r="D3192" s="235" t="s">
        <v>24016</v>
      </c>
      <c r="E3192" s="243">
        <v>6.52E13</v>
      </c>
      <c r="F3192" s="245"/>
      <c r="G3192" s="235" t="s">
        <v>24017</v>
      </c>
      <c r="H3192" s="235" t="s">
        <v>24018</v>
      </c>
      <c r="I3192" s="235" t="s">
        <v>24018</v>
      </c>
      <c r="J3192" s="235" t="s">
        <v>24019</v>
      </c>
      <c r="K3192" s="235" t="s">
        <v>24020</v>
      </c>
      <c r="N3192" s="235" t="s">
        <v>92</v>
      </c>
      <c r="O3192" s="235" t="s">
        <v>248</v>
      </c>
      <c r="P3192" s="238">
        <v>1.0</v>
      </c>
      <c r="Q3192" s="235" t="s">
        <v>627</v>
      </c>
      <c r="R3192" s="238">
        <v>246.67</v>
      </c>
      <c r="S3192" s="238">
        <v>12.33</v>
      </c>
      <c r="T3192" s="238">
        <v>0.0</v>
      </c>
      <c r="U3192" s="238">
        <v>0.0</v>
      </c>
      <c r="V3192" s="238">
        <v>0.0</v>
      </c>
      <c r="W3192" s="238">
        <v>0.0</v>
      </c>
      <c r="X3192" s="235" t="s">
        <v>628</v>
      </c>
      <c r="Z3192" s="245"/>
      <c r="AA3192" s="245"/>
      <c r="AB3192" s="245"/>
      <c r="AC3192" s="235" t="s">
        <v>795</v>
      </c>
      <c r="AD3192" s="235" t="s">
        <v>796</v>
      </c>
      <c r="AE3192" s="238">
        <v>110070.0</v>
      </c>
      <c r="AF3192" s="235" t="s">
        <v>631</v>
      </c>
      <c r="AG3192" s="245"/>
      <c r="AH3192" s="245"/>
      <c r="AI3192" s="245"/>
      <c r="AJ3192" s="245"/>
      <c r="AK3192" s="245"/>
      <c r="AL3192" s="245"/>
      <c r="AM3192" s="245"/>
      <c r="AN3192" s="245"/>
      <c r="AO3192" s="238">
        <v>0.0</v>
      </c>
      <c r="AP3192" s="238">
        <v>0.0</v>
      </c>
      <c r="AQ3192" s="235" t="s">
        <v>632</v>
      </c>
      <c r="AR3192" s="243">
        <v>3.71E11</v>
      </c>
      <c r="AS3192" s="235" t="s">
        <v>19388</v>
      </c>
      <c r="AT3192" s="235" t="s">
        <v>16</v>
      </c>
      <c r="AU3192" s="235" t="s">
        <v>634</v>
      </c>
      <c r="AV3192" s="246" t="s">
        <v>635</v>
      </c>
      <c r="AW3192" s="227"/>
      <c r="AX3192" s="227"/>
      <c r="AY3192" s="227"/>
      <c r="AZ3192" s="227"/>
      <c r="BA3192" s="227"/>
      <c r="BB3192" s="227"/>
      <c r="BC3192" s="227"/>
      <c r="BD3192" s="227"/>
      <c r="BE3192" s="227"/>
      <c r="BF3192" s="227"/>
    </row>
    <row r="3193">
      <c r="A3193" s="235" t="s">
        <v>24021</v>
      </c>
      <c r="C3193" s="235" t="s">
        <v>24022</v>
      </c>
      <c r="D3193" s="235" t="s">
        <v>24023</v>
      </c>
      <c r="E3193" s="243">
        <v>6.51E13</v>
      </c>
      <c r="F3193" s="245"/>
      <c r="G3193" s="235" t="s">
        <v>24024</v>
      </c>
      <c r="H3193" s="235" t="s">
        <v>24025</v>
      </c>
      <c r="I3193" s="235" t="s">
        <v>24025</v>
      </c>
      <c r="J3193" s="235" t="s">
        <v>24026</v>
      </c>
      <c r="K3193" s="235" t="s">
        <v>24027</v>
      </c>
      <c r="N3193" s="235" t="s">
        <v>68</v>
      </c>
      <c r="O3193" s="235" t="s">
        <v>208</v>
      </c>
      <c r="P3193" s="238">
        <v>1.0</v>
      </c>
      <c r="Q3193" s="235" t="s">
        <v>627</v>
      </c>
      <c r="R3193" s="238">
        <v>261.9</v>
      </c>
      <c r="S3193" s="238">
        <v>13.1</v>
      </c>
      <c r="T3193" s="238">
        <v>38.1</v>
      </c>
      <c r="U3193" s="238">
        <v>1.9</v>
      </c>
      <c r="V3193" s="238">
        <v>0.0</v>
      </c>
      <c r="W3193" s="238">
        <v>0.0</v>
      </c>
      <c r="X3193" s="235" t="s">
        <v>628</v>
      </c>
      <c r="Z3193" s="245"/>
      <c r="AA3193" s="245"/>
      <c r="AB3193" s="245"/>
      <c r="AC3193" s="235" t="s">
        <v>1604</v>
      </c>
      <c r="AD3193" s="235" t="s">
        <v>845</v>
      </c>
      <c r="AE3193" s="238">
        <v>400055.0</v>
      </c>
      <c r="AF3193" s="235" t="s">
        <v>631</v>
      </c>
      <c r="AG3193" s="245"/>
      <c r="AH3193" s="245"/>
      <c r="AI3193" s="245"/>
      <c r="AJ3193" s="245"/>
      <c r="AK3193" s="245"/>
      <c r="AL3193" s="245"/>
      <c r="AM3193" s="245"/>
      <c r="AN3193" s="245"/>
      <c r="AO3193" s="238">
        <v>0.0</v>
      </c>
      <c r="AP3193" s="238">
        <v>0.0</v>
      </c>
      <c r="AQ3193" s="235" t="s">
        <v>632</v>
      </c>
      <c r="AR3193" s="243">
        <v>3.71E11</v>
      </c>
      <c r="AS3193" s="235" t="s">
        <v>22269</v>
      </c>
      <c r="AT3193" s="235" t="s">
        <v>16</v>
      </c>
      <c r="AU3193" s="235" t="s">
        <v>634</v>
      </c>
      <c r="AV3193" s="246" t="s">
        <v>635</v>
      </c>
      <c r="AW3193" s="227"/>
      <c r="AX3193" s="227"/>
      <c r="AY3193" s="227"/>
      <c r="AZ3193" s="227"/>
      <c r="BA3193" s="227"/>
      <c r="BB3193" s="227"/>
      <c r="BC3193" s="227"/>
      <c r="BD3193" s="227"/>
      <c r="BE3193" s="227"/>
      <c r="BF3193" s="227"/>
    </row>
    <row r="3194">
      <c r="A3194" s="235" t="s">
        <v>24028</v>
      </c>
      <c r="C3194" s="235" t="s">
        <v>24029</v>
      </c>
      <c r="D3194" s="235" t="s">
        <v>24030</v>
      </c>
      <c r="E3194" s="243">
        <v>6.52E13</v>
      </c>
      <c r="F3194" s="245"/>
      <c r="G3194" s="235" t="s">
        <v>24031</v>
      </c>
      <c r="H3194" s="235" t="s">
        <v>24032</v>
      </c>
      <c r="I3194" s="235" t="s">
        <v>24032</v>
      </c>
      <c r="J3194" s="235" t="s">
        <v>24033</v>
      </c>
      <c r="K3194" s="235" t="s">
        <v>24034</v>
      </c>
      <c r="N3194" s="235" t="s">
        <v>127</v>
      </c>
      <c r="O3194" s="235" t="s">
        <v>794</v>
      </c>
      <c r="P3194" s="238">
        <v>1.0</v>
      </c>
      <c r="Q3194" s="235" t="s">
        <v>627</v>
      </c>
      <c r="R3194" s="238">
        <v>242.86</v>
      </c>
      <c r="S3194" s="238">
        <v>12.14</v>
      </c>
      <c r="T3194" s="238">
        <v>0.0</v>
      </c>
      <c r="U3194" s="238">
        <v>0.0</v>
      </c>
      <c r="V3194" s="238">
        <v>0.0</v>
      </c>
      <c r="W3194" s="238">
        <v>0.0</v>
      </c>
      <c r="X3194" s="235" t="s">
        <v>628</v>
      </c>
      <c r="Z3194" s="245"/>
      <c r="AA3194" s="245"/>
      <c r="AB3194" s="245"/>
      <c r="AC3194" s="235" t="s">
        <v>907</v>
      </c>
      <c r="AD3194" s="235" t="s">
        <v>908</v>
      </c>
      <c r="AE3194" s="238">
        <v>248008.0</v>
      </c>
      <c r="AF3194" s="235" t="s">
        <v>631</v>
      </c>
      <c r="AG3194" s="245"/>
      <c r="AH3194" s="245"/>
      <c r="AI3194" s="245"/>
      <c r="AJ3194" s="245"/>
      <c r="AK3194" s="245"/>
      <c r="AL3194" s="245"/>
      <c r="AM3194" s="245"/>
      <c r="AN3194" s="245"/>
      <c r="AO3194" s="238">
        <v>0.0</v>
      </c>
      <c r="AP3194" s="238">
        <v>0.0</v>
      </c>
      <c r="AQ3194" s="235" t="s">
        <v>632</v>
      </c>
      <c r="AR3194" s="243">
        <v>3.71E11</v>
      </c>
      <c r="AS3194" s="235" t="s">
        <v>20529</v>
      </c>
      <c r="AT3194" s="235" t="s">
        <v>14</v>
      </c>
      <c r="AU3194" s="235" t="s">
        <v>634</v>
      </c>
      <c r="AV3194" s="246" t="s">
        <v>635</v>
      </c>
      <c r="AW3194" s="227"/>
      <c r="AX3194" s="227"/>
      <c r="AY3194" s="227"/>
      <c r="AZ3194" s="227"/>
      <c r="BA3194" s="227"/>
      <c r="BB3194" s="227"/>
      <c r="BC3194" s="227"/>
      <c r="BD3194" s="227"/>
      <c r="BE3194" s="227"/>
      <c r="BF3194" s="227"/>
    </row>
    <row r="3195">
      <c r="A3195" s="235" t="s">
        <v>24035</v>
      </c>
      <c r="C3195" s="235" t="s">
        <v>24036</v>
      </c>
      <c r="D3195" s="235" t="s">
        <v>24037</v>
      </c>
      <c r="E3195" s="243">
        <v>6.52E13</v>
      </c>
      <c r="F3195" s="245"/>
      <c r="G3195" s="235" t="s">
        <v>24038</v>
      </c>
      <c r="H3195" s="235" t="s">
        <v>24039</v>
      </c>
      <c r="I3195" s="235" t="s">
        <v>24039</v>
      </c>
      <c r="J3195" s="235" t="s">
        <v>24040</v>
      </c>
      <c r="K3195" s="235" t="s">
        <v>24041</v>
      </c>
      <c r="N3195" s="235" t="s">
        <v>726</v>
      </c>
      <c r="O3195" s="235" t="s">
        <v>727</v>
      </c>
      <c r="P3195" s="238">
        <v>1.0</v>
      </c>
      <c r="Q3195" s="235" t="s">
        <v>627</v>
      </c>
      <c r="R3195" s="238">
        <v>237.14</v>
      </c>
      <c r="S3195" s="238">
        <v>11.86</v>
      </c>
      <c r="T3195" s="238">
        <v>38.1</v>
      </c>
      <c r="U3195" s="238">
        <v>1.9</v>
      </c>
      <c r="V3195" s="238">
        <v>0.0</v>
      </c>
      <c r="W3195" s="238">
        <v>0.0</v>
      </c>
      <c r="X3195" s="235" t="s">
        <v>628</v>
      </c>
      <c r="Z3195" s="245"/>
      <c r="AA3195" s="245"/>
      <c r="AB3195" s="245"/>
      <c r="AC3195" s="235" t="s">
        <v>13012</v>
      </c>
      <c r="AD3195" s="235" t="s">
        <v>845</v>
      </c>
      <c r="AE3195" s="238">
        <v>402108.0</v>
      </c>
      <c r="AF3195" s="235" t="s">
        <v>631</v>
      </c>
      <c r="AG3195" s="245"/>
      <c r="AH3195" s="245"/>
      <c r="AI3195" s="245"/>
      <c r="AJ3195" s="245"/>
      <c r="AK3195" s="245"/>
      <c r="AL3195" s="245"/>
      <c r="AM3195" s="245"/>
      <c r="AN3195" s="245"/>
      <c r="AO3195" s="238">
        <v>0.0</v>
      </c>
      <c r="AP3195" s="238">
        <v>-38.1</v>
      </c>
      <c r="AQ3195" s="235" t="s">
        <v>632</v>
      </c>
      <c r="AR3195" s="243">
        <v>3.71E11</v>
      </c>
      <c r="AS3195" s="235" t="s">
        <v>13822</v>
      </c>
      <c r="AT3195" s="235" t="s">
        <v>546</v>
      </c>
      <c r="AU3195" s="235" t="s">
        <v>634</v>
      </c>
      <c r="AV3195" s="246" t="s">
        <v>635</v>
      </c>
      <c r="AW3195" s="227"/>
      <c r="AX3195" s="227"/>
      <c r="AY3195" s="227"/>
      <c r="AZ3195" s="227"/>
      <c r="BA3195" s="227"/>
      <c r="BB3195" s="227"/>
      <c r="BC3195" s="227"/>
      <c r="BD3195" s="227"/>
      <c r="BE3195" s="227"/>
      <c r="BF3195" s="227"/>
    </row>
    <row r="3196">
      <c r="A3196" s="235" t="s">
        <v>24042</v>
      </c>
      <c r="C3196" s="235" t="s">
        <v>24043</v>
      </c>
      <c r="D3196" s="235" t="s">
        <v>24044</v>
      </c>
      <c r="E3196" s="243">
        <v>6.52E13</v>
      </c>
      <c r="F3196" s="245"/>
      <c r="G3196" s="235" t="s">
        <v>24045</v>
      </c>
      <c r="H3196" s="235" t="s">
        <v>24046</v>
      </c>
      <c r="I3196" s="235" t="s">
        <v>24047</v>
      </c>
      <c r="J3196" s="235" t="s">
        <v>24048</v>
      </c>
      <c r="K3196" s="235" t="s">
        <v>24049</v>
      </c>
      <c r="N3196" s="235" t="s">
        <v>726</v>
      </c>
      <c r="O3196" s="235" t="s">
        <v>727</v>
      </c>
      <c r="P3196" s="238">
        <v>1.0</v>
      </c>
      <c r="Q3196" s="235" t="s">
        <v>627</v>
      </c>
      <c r="R3196" s="238">
        <v>237.14</v>
      </c>
      <c r="S3196" s="238">
        <v>11.86</v>
      </c>
      <c r="T3196" s="238">
        <v>0.0</v>
      </c>
      <c r="U3196" s="238">
        <v>0.0</v>
      </c>
      <c r="V3196" s="238">
        <v>0.0</v>
      </c>
      <c r="W3196" s="238">
        <v>0.0</v>
      </c>
      <c r="X3196" s="235" t="s">
        <v>628</v>
      </c>
      <c r="Z3196" s="245"/>
      <c r="AA3196" s="245"/>
      <c r="AB3196" s="245"/>
      <c r="AC3196" s="235" t="s">
        <v>2350</v>
      </c>
      <c r="AD3196" s="235" t="s">
        <v>917</v>
      </c>
      <c r="AE3196" s="238">
        <v>342001.0</v>
      </c>
      <c r="AF3196" s="235" t="s">
        <v>631</v>
      </c>
      <c r="AG3196" s="245"/>
      <c r="AH3196" s="245"/>
      <c r="AI3196" s="245"/>
      <c r="AJ3196" s="245"/>
      <c r="AK3196" s="245"/>
      <c r="AL3196" s="245"/>
      <c r="AM3196" s="245"/>
      <c r="AN3196" s="245"/>
      <c r="AO3196" s="238">
        <v>0.0</v>
      </c>
      <c r="AP3196" s="238">
        <v>0.0</v>
      </c>
      <c r="AQ3196" s="235" t="s">
        <v>632</v>
      </c>
      <c r="AR3196" s="243">
        <v>1.68E11</v>
      </c>
      <c r="AS3196" s="235" t="s">
        <v>22269</v>
      </c>
      <c r="AT3196" s="235" t="s">
        <v>533</v>
      </c>
      <c r="AU3196" s="235" t="s">
        <v>634</v>
      </c>
      <c r="AV3196" s="246" t="s">
        <v>635</v>
      </c>
      <c r="AW3196" s="227"/>
      <c r="AX3196" s="227"/>
      <c r="AY3196" s="227"/>
      <c r="AZ3196" s="227"/>
      <c r="BA3196" s="227"/>
      <c r="BB3196" s="227"/>
      <c r="BC3196" s="227"/>
      <c r="BD3196" s="227"/>
      <c r="BE3196" s="227"/>
      <c r="BF3196" s="227"/>
    </row>
    <row r="3197">
      <c r="A3197" s="235" t="s">
        <v>24050</v>
      </c>
      <c r="C3197" s="235" t="s">
        <v>24051</v>
      </c>
      <c r="D3197" s="235" t="s">
        <v>24052</v>
      </c>
      <c r="E3197" s="243">
        <v>6.52E13</v>
      </c>
      <c r="F3197" s="245"/>
      <c r="G3197" s="235" t="s">
        <v>24053</v>
      </c>
      <c r="H3197" s="235" t="s">
        <v>24054</v>
      </c>
      <c r="I3197" s="235" t="s">
        <v>24055</v>
      </c>
      <c r="J3197" s="235" t="s">
        <v>24056</v>
      </c>
      <c r="K3197" s="235" t="s">
        <v>24057</v>
      </c>
      <c r="N3197" s="235" t="s">
        <v>130</v>
      </c>
      <c r="O3197" s="235" t="s">
        <v>707</v>
      </c>
      <c r="P3197" s="238">
        <v>1.0</v>
      </c>
      <c r="Q3197" s="235" t="s">
        <v>627</v>
      </c>
      <c r="R3197" s="238">
        <v>246.67</v>
      </c>
      <c r="S3197" s="238">
        <v>12.33</v>
      </c>
      <c r="T3197" s="238">
        <v>0.0</v>
      </c>
      <c r="U3197" s="238">
        <v>0.0</v>
      </c>
      <c r="V3197" s="238">
        <v>0.0</v>
      </c>
      <c r="W3197" s="238">
        <v>0.0</v>
      </c>
      <c r="X3197" s="235" t="s">
        <v>628</v>
      </c>
      <c r="Z3197" s="245"/>
      <c r="AA3197" s="245"/>
      <c r="AB3197" s="245"/>
      <c r="AC3197" s="235" t="s">
        <v>24058</v>
      </c>
      <c r="AD3197" s="235" t="s">
        <v>3113</v>
      </c>
      <c r="AE3197" s="238">
        <v>494337.0</v>
      </c>
      <c r="AF3197" s="235" t="s">
        <v>631</v>
      </c>
      <c r="AG3197" s="245"/>
      <c r="AH3197" s="245"/>
      <c r="AI3197" s="245"/>
      <c r="AJ3197" s="245"/>
      <c r="AK3197" s="245"/>
      <c r="AL3197" s="245"/>
      <c r="AM3197" s="245"/>
      <c r="AN3197" s="245"/>
      <c r="AO3197" s="238">
        <v>0.0</v>
      </c>
      <c r="AP3197" s="238">
        <v>0.0</v>
      </c>
      <c r="AQ3197" s="235" t="s">
        <v>1328</v>
      </c>
      <c r="AR3197" s="243">
        <v>1.34E13</v>
      </c>
      <c r="AS3197" s="235" t="s">
        <v>13822</v>
      </c>
      <c r="AT3197" s="235" t="s">
        <v>17</v>
      </c>
      <c r="AU3197" s="235" t="s">
        <v>634</v>
      </c>
      <c r="AV3197" s="246" t="s">
        <v>635</v>
      </c>
      <c r="AW3197" s="227"/>
      <c r="AX3197" s="227"/>
      <c r="AY3197" s="227"/>
      <c r="AZ3197" s="227"/>
      <c r="BA3197" s="227"/>
      <c r="BB3197" s="227"/>
      <c r="BC3197" s="227"/>
      <c r="BD3197" s="227"/>
      <c r="BE3197" s="227"/>
      <c r="BF3197" s="227"/>
    </row>
    <row r="3198">
      <c r="A3198" s="235" t="s">
        <v>24059</v>
      </c>
      <c r="C3198" s="235" t="s">
        <v>24060</v>
      </c>
      <c r="D3198" s="235" t="s">
        <v>24061</v>
      </c>
      <c r="E3198" s="243">
        <v>6.52E13</v>
      </c>
      <c r="F3198" s="245"/>
      <c r="G3198" s="235" t="s">
        <v>24062</v>
      </c>
      <c r="H3198" s="235" t="s">
        <v>24063</v>
      </c>
      <c r="I3198" s="235" t="s">
        <v>24063</v>
      </c>
      <c r="J3198" s="235" t="s">
        <v>24064</v>
      </c>
      <c r="K3198" s="235" t="s">
        <v>24065</v>
      </c>
      <c r="N3198" s="235" t="s">
        <v>127</v>
      </c>
      <c r="O3198" s="235" t="s">
        <v>794</v>
      </c>
      <c r="P3198" s="238">
        <v>1.0</v>
      </c>
      <c r="Q3198" s="235" t="s">
        <v>627</v>
      </c>
      <c r="R3198" s="238">
        <v>243.81</v>
      </c>
      <c r="S3198" s="238">
        <v>12.19</v>
      </c>
      <c r="T3198" s="238">
        <v>38.1</v>
      </c>
      <c r="U3198" s="238">
        <v>1.9</v>
      </c>
      <c r="V3198" s="238">
        <v>0.0</v>
      </c>
      <c r="W3198" s="238">
        <v>0.0</v>
      </c>
      <c r="X3198" s="235" t="s">
        <v>628</v>
      </c>
      <c r="Z3198" s="245"/>
      <c r="AA3198" s="245"/>
      <c r="AB3198" s="245"/>
      <c r="AC3198" s="235" t="s">
        <v>1279</v>
      </c>
      <c r="AD3198" s="235" t="s">
        <v>917</v>
      </c>
      <c r="AE3198" s="238">
        <v>302020.0</v>
      </c>
      <c r="AF3198" s="235" t="s">
        <v>631</v>
      </c>
      <c r="AG3198" s="245"/>
      <c r="AH3198" s="245"/>
      <c r="AI3198" s="245"/>
      <c r="AJ3198" s="245"/>
      <c r="AK3198" s="245"/>
      <c r="AL3198" s="245"/>
      <c r="AM3198" s="245"/>
      <c r="AN3198" s="245"/>
      <c r="AO3198" s="238">
        <v>0.0</v>
      </c>
      <c r="AP3198" s="238">
        <v>-38.1</v>
      </c>
      <c r="AQ3198" s="235" t="s">
        <v>632</v>
      </c>
      <c r="AR3198" s="243">
        <v>3.71E11</v>
      </c>
      <c r="AS3198" s="235" t="s">
        <v>19388</v>
      </c>
      <c r="AT3198" s="235" t="s">
        <v>13</v>
      </c>
      <c r="AU3198" s="235" t="s">
        <v>634</v>
      </c>
      <c r="AV3198" s="246" t="s">
        <v>635</v>
      </c>
      <c r="AW3198" s="227"/>
      <c r="AX3198" s="227"/>
      <c r="AY3198" s="227"/>
      <c r="AZ3198" s="227"/>
      <c r="BA3198" s="227"/>
      <c r="BB3198" s="227"/>
      <c r="BC3198" s="227"/>
      <c r="BD3198" s="227"/>
      <c r="BE3198" s="227"/>
      <c r="BF3198" s="227"/>
    </row>
    <row r="3199">
      <c r="A3199" s="235" t="s">
        <v>24066</v>
      </c>
      <c r="C3199" s="235" t="s">
        <v>24067</v>
      </c>
      <c r="D3199" s="235" t="s">
        <v>24068</v>
      </c>
      <c r="E3199" s="243">
        <v>6.52E13</v>
      </c>
      <c r="F3199" s="245"/>
      <c r="G3199" s="235" t="s">
        <v>24069</v>
      </c>
      <c r="H3199" s="235" t="s">
        <v>24070</v>
      </c>
      <c r="I3199" s="235" t="s">
        <v>24071</v>
      </c>
      <c r="J3199" s="235" t="s">
        <v>24072</v>
      </c>
      <c r="K3199" s="235" t="s">
        <v>24073</v>
      </c>
      <c r="N3199" s="235" t="s">
        <v>85</v>
      </c>
      <c r="O3199" s="235" t="s">
        <v>872</v>
      </c>
      <c r="P3199" s="238">
        <v>1.0</v>
      </c>
      <c r="Q3199" s="235" t="s">
        <v>627</v>
      </c>
      <c r="R3199" s="238">
        <v>246.66</v>
      </c>
      <c r="S3199" s="238">
        <v>12.1</v>
      </c>
      <c r="T3199" s="238">
        <v>0.0</v>
      </c>
      <c r="U3199" s="238">
        <v>0.0</v>
      </c>
      <c r="V3199" s="238">
        <v>0.0</v>
      </c>
      <c r="W3199" s="238">
        <v>0.0</v>
      </c>
      <c r="X3199" s="235" t="s">
        <v>628</v>
      </c>
      <c r="Z3199" s="245"/>
      <c r="AA3199" s="245"/>
      <c r="AB3199" s="245"/>
      <c r="AC3199" s="235" t="s">
        <v>687</v>
      </c>
      <c r="AD3199" s="235" t="s">
        <v>666</v>
      </c>
      <c r="AE3199" s="238">
        <v>600077.0</v>
      </c>
      <c r="AF3199" s="235" t="s">
        <v>631</v>
      </c>
      <c r="AG3199" s="245"/>
      <c r="AH3199" s="245"/>
      <c r="AI3199" s="245"/>
      <c r="AJ3199" s="245"/>
      <c r="AK3199" s="245"/>
      <c r="AL3199" s="245"/>
      <c r="AM3199" s="245"/>
      <c r="AN3199" s="245"/>
      <c r="AO3199" s="238">
        <v>-4.94</v>
      </c>
      <c r="AP3199" s="238">
        <v>0.0</v>
      </c>
      <c r="AQ3199" s="235" t="s">
        <v>632</v>
      </c>
      <c r="AR3199" s="243">
        <v>3.71E11</v>
      </c>
      <c r="AS3199" s="235" t="s">
        <v>23542</v>
      </c>
      <c r="AT3199" s="235" t="s">
        <v>156</v>
      </c>
      <c r="AU3199" s="235" t="s">
        <v>634</v>
      </c>
      <c r="AV3199" s="246" t="s">
        <v>635</v>
      </c>
      <c r="AW3199" s="227"/>
      <c r="AX3199" s="227"/>
      <c r="AY3199" s="227"/>
      <c r="AZ3199" s="227"/>
      <c r="BA3199" s="227"/>
      <c r="BB3199" s="227"/>
      <c r="BC3199" s="227"/>
      <c r="BD3199" s="227"/>
      <c r="BE3199" s="227"/>
      <c r="BF3199" s="227"/>
    </row>
    <row r="3200">
      <c r="A3200" s="235" t="s">
        <v>24074</v>
      </c>
      <c r="C3200" s="235" t="s">
        <v>24075</v>
      </c>
      <c r="D3200" s="235" t="s">
        <v>24076</v>
      </c>
      <c r="E3200" s="243">
        <v>6.52E13</v>
      </c>
      <c r="F3200" s="245"/>
      <c r="G3200" s="235" t="s">
        <v>24077</v>
      </c>
      <c r="H3200" s="235" t="s">
        <v>24078</v>
      </c>
      <c r="I3200" s="235" t="s">
        <v>24078</v>
      </c>
      <c r="J3200" s="235" t="s">
        <v>24079</v>
      </c>
      <c r="K3200" s="235" t="s">
        <v>24080</v>
      </c>
      <c r="N3200" s="235" t="s">
        <v>85</v>
      </c>
      <c r="O3200" s="235" t="s">
        <v>872</v>
      </c>
      <c r="P3200" s="238">
        <v>1.0</v>
      </c>
      <c r="Q3200" s="235" t="s">
        <v>627</v>
      </c>
      <c r="R3200" s="238">
        <v>246.67</v>
      </c>
      <c r="S3200" s="238">
        <v>12.08</v>
      </c>
      <c r="T3200" s="238">
        <v>0.0</v>
      </c>
      <c r="U3200" s="238">
        <v>0.0</v>
      </c>
      <c r="V3200" s="238">
        <v>0.0</v>
      </c>
      <c r="W3200" s="238">
        <v>0.0</v>
      </c>
      <c r="X3200" s="235" t="s">
        <v>628</v>
      </c>
      <c r="Z3200" s="245"/>
      <c r="AA3200" s="245"/>
      <c r="AB3200" s="245"/>
      <c r="AC3200" s="235" t="s">
        <v>4806</v>
      </c>
      <c r="AD3200" s="235" t="s">
        <v>1151</v>
      </c>
      <c r="AE3200" s="238">
        <v>742101.0</v>
      </c>
      <c r="AF3200" s="235" t="s">
        <v>631</v>
      </c>
      <c r="AG3200" s="245"/>
      <c r="AH3200" s="245"/>
      <c r="AI3200" s="245"/>
      <c r="AJ3200" s="245"/>
      <c r="AK3200" s="245"/>
      <c r="AL3200" s="245"/>
      <c r="AM3200" s="245"/>
      <c r="AN3200" s="245"/>
      <c r="AO3200" s="238">
        <v>-4.93</v>
      </c>
      <c r="AP3200" s="238">
        <v>0.0</v>
      </c>
      <c r="AQ3200" s="235" t="s">
        <v>632</v>
      </c>
      <c r="AR3200" s="243">
        <v>3.71E11</v>
      </c>
      <c r="AS3200" s="235" t="s">
        <v>16626</v>
      </c>
      <c r="AT3200" s="235" t="s">
        <v>5</v>
      </c>
      <c r="AU3200" s="235" t="s">
        <v>634</v>
      </c>
      <c r="AV3200" s="246" t="s">
        <v>635</v>
      </c>
      <c r="AW3200" s="227"/>
      <c r="AX3200" s="227"/>
      <c r="AY3200" s="227"/>
      <c r="AZ3200" s="227"/>
      <c r="BA3200" s="227"/>
      <c r="BB3200" s="227"/>
      <c r="BC3200" s="227"/>
      <c r="BD3200" s="227"/>
      <c r="BE3200" s="227"/>
      <c r="BF3200" s="227"/>
    </row>
    <row r="3201">
      <c r="A3201" s="235" t="s">
        <v>24081</v>
      </c>
      <c r="C3201" s="235" t="s">
        <v>24082</v>
      </c>
      <c r="D3201" s="235" t="s">
        <v>24083</v>
      </c>
      <c r="E3201" s="243">
        <v>6.52E13</v>
      </c>
      <c r="F3201" s="245"/>
      <c r="G3201" s="235" t="s">
        <v>24084</v>
      </c>
      <c r="H3201" s="235" t="s">
        <v>24085</v>
      </c>
      <c r="I3201" s="235" t="s">
        <v>24085</v>
      </c>
      <c r="J3201" s="235" t="s">
        <v>24086</v>
      </c>
      <c r="K3201" s="235" t="s">
        <v>24087</v>
      </c>
      <c r="N3201" s="235" t="s">
        <v>138</v>
      </c>
      <c r="O3201" s="235" t="s">
        <v>675</v>
      </c>
      <c r="P3201" s="238">
        <v>1.0</v>
      </c>
      <c r="Q3201" s="235" t="s">
        <v>627</v>
      </c>
      <c r="R3201" s="238">
        <v>246.66</v>
      </c>
      <c r="S3201" s="238">
        <v>12.1</v>
      </c>
      <c r="T3201" s="238">
        <v>0.0</v>
      </c>
      <c r="U3201" s="238">
        <v>0.0</v>
      </c>
      <c r="V3201" s="238">
        <v>0.0</v>
      </c>
      <c r="W3201" s="238">
        <v>0.0</v>
      </c>
      <c r="X3201" s="235" t="s">
        <v>628</v>
      </c>
      <c r="Z3201" s="245"/>
      <c r="AA3201" s="245"/>
      <c r="AB3201" s="245"/>
      <c r="AC3201" s="235" t="s">
        <v>1095</v>
      </c>
      <c r="AD3201" s="235" t="s">
        <v>845</v>
      </c>
      <c r="AE3201" s="238">
        <v>410208.0</v>
      </c>
      <c r="AF3201" s="235" t="s">
        <v>631</v>
      </c>
      <c r="AG3201" s="245"/>
      <c r="AH3201" s="245"/>
      <c r="AI3201" s="245"/>
      <c r="AJ3201" s="245"/>
      <c r="AK3201" s="245"/>
      <c r="AL3201" s="245"/>
      <c r="AM3201" s="245"/>
      <c r="AN3201" s="245"/>
      <c r="AO3201" s="238">
        <v>-4.94</v>
      </c>
      <c r="AP3201" s="238">
        <v>0.0</v>
      </c>
      <c r="AQ3201" s="235" t="s">
        <v>632</v>
      </c>
      <c r="AR3201" s="243">
        <v>3.71E11</v>
      </c>
      <c r="AS3201" s="235" t="s">
        <v>22269</v>
      </c>
      <c r="AT3201" s="235" t="s">
        <v>17</v>
      </c>
      <c r="AU3201" s="235" t="s">
        <v>634</v>
      </c>
      <c r="AV3201" s="246" t="s">
        <v>635</v>
      </c>
      <c r="AW3201" s="227"/>
      <c r="AX3201" s="227"/>
      <c r="AY3201" s="227"/>
      <c r="AZ3201" s="227"/>
      <c r="BA3201" s="227"/>
      <c r="BB3201" s="227"/>
      <c r="BC3201" s="227"/>
      <c r="BD3201" s="227"/>
      <c r="BE3201" s="227"/>
      <c r="BF3201" s="227"/>
    </row>
    <row r="3202">
      <c r="A3202" s="235" t="s">
        <v>24088</v>
      </c>
      <c r="C3202" s="235" t="s">
        <v>24089</v>
      </c>
      <c r="D3202" s="235" t="s">
        <v>24090</v>
      </c>
      <c r="E3202" s="243">
        <v>6.52E13</v>
      </c>
      <c r="F3202" s="245"/>
      <c r="G3202" s="235" t="s">
        <v>24091</v>
      </c>
      <c r="H3202" s="235" t="s">
        <v>24092</v>
      </c>
      <c r="I3202" s="235" t="s">
        <v>24092</v>
      </c>
      <c r="J3202" s="235" t="s">
        <v>24093</v>
      </c>
      <c r="K3202" s="235" t="s">
        <v>24094</v>
      </c>
      <c r="N3202" s="235" t="s">
        <v>47</v>
      </c>
      <c r="O3202" s="235" t="s">
        <v>270</v>
      </c>
      <c r="P3202" s="238">
        <v>1.0</v>
      </c>
      <c r="Q3202" s="235" t="s">
        <v>627</v>
      </c>
      <c r="R3202" s="238">
        <v>237.14</v>
      </c>
      <c r="S3202" s="238">
        <v>11.62</v>
      </c>
      <c r="T3202" s="238">
        <v>0.0</v>
      </c>
      <c r="U3202" s="238">
        <v>0.0</v>
      </c>
      <c r="V3202" s="238">
        <v>0.0</v>
      </c>
      <c r="W3202" s="238">
        <v>0.0</v>
      </c>
      <c r="X3202" s="235" t="s">
        <v>628</v>
      </c>
      <c r="Z3202" s="245"/>
      <c r="AA3202" s="245"/>
      <c r="AB3202" s="245"/>
      <c r="AC3202" s="235" t="s">
        <v>687</v>
      </c>
      <c r="AD3202" s="235" t="s">
        <v>666</v>
      </c>
      <c r="AE3202" s="238">
        <v>600122.0</v>
      </c>
      <c r="AF3202" s="235" t="s">
        <v>631</v>
      </c>
      <c r="AG3202" s="245"/>
      <c r="AH3202" s="245"/>
      <c r="AI3202" s="245"/>
      <c r="AJ3202" s="245"/>
      <c r="AK3202" s="245"/>
      <c r="AL3202" s="245"/>
      <c r="AM3202" s="245"/>
      <c r="AN3202" s="245"/>
      <c r="AO3202" s="238">
        <v>-4.74</v>
      </c>
      <c r="AP3202" s="238">
        <v>0.0</v>
      </c>
      <c r="AQ3202" s="235" t="s">
        <v>632</v>
      </c>
      <c r="AR3202" s="243">
        <v>1.68E11</v>
      </c>
      <c r="AS3202" s="235" t="s">
        <v>24095</v>
      </c>
      <c r="AT3202" s="235" t="s">
        <v>156</v>
      </c>
      <c r="AU3202" s="235" t="s">
        <v>634</v>
      </c>
      <c r="AV3202" s="246" t="s">
        <v>635</v>
      </c>
      <c r="AW3202" s="227"/>
      <c r="AX3202" s="227"/>
      <c r="AY3202" s="227"/>
      <c r="AZ3202" s="227"/>
      <c r="BA3202" s="227"/>
      <c r="BB3202" s="227"/>
      <c r="BC3202" s="227"/>
      <c r="BD3202" s="227"/>
      <c r="BE3202" s="227"/>
      <c r="BF3202" s="227"/>
    </row>
    <row r="3203">
      <c r="A3203" s="235" t="s">
        <v>24096</v>
      </c>
      <c r="C3203" s="235" t="s">
        <v>24097</v>
      </c>
      <c r="D3203" s="235" t="s">
        <v>24098</v>
      </c>
      <c r="E3203" s="243">
        <v>6.51E13</v>
      </c>
      <c r="F3203" s="245"/>
      <c r="G3203" s="235" t="s">
        <v>24099</v>
      </c>
      <c r="H3203" s="235" t="s">
        <v>24100</v>
      </c>
      <c r="I3203" s="235" t="s">
        <v>24101</v>
      </c>
      <c r="J3203" s="235" t="s">
        <v>24102</v>
      </c>
      <c r="K3203" s="235" t="s">
        <v>24103</v>
      </c>
      <c r="N3203" s="235" t="s">
        <v>42</v>
      </c>
      <c r="O3203" s="235" t="s">
        <v>204</v>
      </c>
      <c r="P3203" s="238">
        <v>1.0</v>
      </c>
      <c r="Q3203" s="235" t="s">
        <v>627</v>
      </c>
      <c r="R3203" s="238">
        <v>270.48</v>
      </c>
      <c r="S3203" s="238">
        <v>13.25</v>
      </c>
      <c r="T3203" s="238">
        <v>38.1</v>
      </c>
      <c r="U3203" s="238">
        <v>1.9</v>
      </c>
      <c r="V3203" s="238">
        <v>0.0</v>
      </c>
      <c r="W3203" s="238">
        <v>0.0</v>
      </c>
      <c r="X3203" s="235" t="s">
        <v>628</v>
      </c>
      <c r="Z3203" s="245"/>
      <c r="AA3203" s="245"/>
      <c r="AB3203" s="245"/>
      <c r="AC3203" s="235" t="s">
        <v>678</v>
      </c>
      <c r="AD3203" s="235" t="s">
        <v>679</v>
      </c>
      <c r="AE3203" s="238">
        <v>560083.0</v>
      </c>
      <c r="AF3203" s="235" t="s">
        <v>631</v>
      </c>
      <c r="AG3203" s="245"/>
      <c r="AH3203" s="245"/>
      <c r="AI3203" s="245"/>
      <c r="AJ3203" s="245"/>
      <c r="AK3203" s="245"/>
      <c r="AL3203" s="245"/>
      <c r="AM3203" s="245"/>
      <c r="AN3203" s="245"/>
      <c r="AO3203" s="238">
        <v>-5.41</v>
      </c>
      <c r="AP3203" s="238">
        <v>-38.1</v>
      </c>
      <c r="AQ3203" s="235" t="s">
        <v>632</v>
      </c>
      <c r="AR3203" s="243">
        <v>3.71E11</v>
      </c>
      <c r="AS3203" s="235" t="s">
        <v>23542</v>
      </c>
      <c r="AT3203" s="235" t="s">
        <v>9</v>
      </c>
      <c r="AU3203" s="235" t="s">
        <v>634</v>
      </c>
      <c r="AV3203" s="246" t="s">
        <v>635</v>
      </c>
      <c r="AW3203" s="227"/>
      <c r="AX3203" s="227"/>
      <c r="AY3203" s="227"/>
      <c r="AZ3203" s="227"/>
      <c r="BA3203" s="227"/>
      <c r="BB3203" s="227"/>
      <c r="BC3203" s="227"/>
      <c r="BD3203" s="227"/>
      <c r="BE3203" s="227"/>
      <c r="BF3203" s="227"/>
    </row>
    <row r="3204">
      <c r="A3204" s="235" t="s">
        <v>24104</v>
      </c>
      <c r="C3204" s="235" t="s">
        <v>24105</v>
      </c>
      <c r="D3204" s="235" t="s">
        <v>24106</v>
      </c>
      <c r="E3204" s="243">
        <v>6.52E13</v>
      </c>
      <c r="F3204" s="245"/>
      <c r="G3204" s="235" t="s">
        <v>24107</v>
      </c>
      <c r="H3204" s="235" t="s">
        <v>24108</v>
      </c>
      <c r="I3204" s="235" t="s">
        <v>24108</v>
      </c>
      <c r="J3204" s="235" t="s">
        <v>24109</v>
      </c>
      <c r="K3204" s="235" t="s">
        <v>24110</v>
      </c>
      <c r="N3204" s="235" t="s">
        <v>35</v>
      </c>
      <c r="O3204" s="235" t="s">
        <v>831</v>
      </c>
      <c r="P3204" s="238">
        <v>1.0</v>
      </c>
      <c r="Q3204" s="235" t="s">
        <v>627</v>
      </c>
      <c r="R3204" s="238">
        <v>446.67</v>
      </c>
      <c r="S3204" s="238">
        <v>22.33</v>
      </c>
      <c r="T3204" s="238">
        <v>0.0</v>
      </c>
      <c r="U3204" s="238">
        <v>0.0</v>
      </c>
      <c r="V3204" s="238">
        <v>0.0</v>
      </c>
      <c r="W3204" s="238">
        <v>0.0</v>
      </c>
      <c r="X3204" s="235" t="s">
        <v>628</v>
      </c>
      <c r="Z3204" s="245"/>
      <c r="AA3204" s="245"/>
      <c r="AB3204" s="245"/>
      <c r="AC3204" s="235" t="s">
        <v>795</v>
      </c>
      <c r="AD3204" s="235" t="s">
        <v>796</v>
      </c>
      <c r="AE3204" s="238">
        <v>110007.0</v>
      </c>
      <c r="AF3204" s="235" t="s">
        <v>631</v>
      </c>
      <c r="AG3204" s="245"/>
      <c r="AH3204" s="245"/>
      <c r="AI3204" s="245"/>
      <c r="AJ3204" s="245"/>
      <c r="AK3204" s="245"/>
      <c r="AL3204" s="245"/>
      <c r="AM3204" s="245"/>
      <c r="AN3204" s="245"/>
      <c r="AO3204" s="238">
        <v>0.0</v>
      </c>
      <c r="AP3204" s="238">
        <v>0.0</v>
      </c>
      <c r="AQ3204" s="235" t="s">
        <v>632</v>
      </c>
      <c r="AR3204" s="243">
        <v>2.02E11</v>
      </c>
      <c r="AS3204" s="235" t="s">
        <v>22269</v>
      </c>
      <c r="AT3204" s="235" t="s">
        <v>9</v>
      </c>
      <c r="AU3204" s="235" t="s">
        <v>634</v>
      </c>
      <c r="AV3204" s="246" t="s">
        <v>635</v>
      </c>
      <c r="AW3204" s="227"/>
      <c r="AX3204" s="227"/>
      <c r="AY3204" s="227"/>
      <c r="AZ3204" s="227"/>
      <c r="BA3204" s="227"/>
      <c r="BB3204" s="227"/>
      <c r="BC3204" s="227"/>
      <c r="BD3204" s="227"/>
      <c r="BE3204" s="227"/>
      <c r="BF3204" s="227"/>
    </row>
    <row r="3205">
      <c r="A3205" s="235" t="s">
        <v>24111</v>
      </c>
      <c r="C3205" s="235" t="s">
        <v>24112</v>
      </c>
      <c r="D3205" s="235" t="s">
        <v>24113</v>
      </c>
      <c r="E3205" s="243">
        <v>6.52E13</v>
      </c>
      <c r="F3205" s="245"/>
      <c r="G3205" s="235" t="s">
        <v>24114</v>
      </c>
      <c r="H3205" s="235" t="s">
        <v>24115</v>
      </c>
      <c r="I3205" s="235" t="s">
        <v>24115</v>
      </c>
      <c r="J3205" s="235" t="s">
        <v>24116</v>
      </c>
      <c r="K3205" s="235" t="s">
        <v>24117</v>
      </c>
      <c r="N3205" s="235" t="s">
        <v>138</v>
      </c>
      <c r="O3205" s="235" t="s">
        <v>675</v>
      </c>
      <c r="P3205" s="238">
        <v>1.0</v>
      </c>
      <c r="Q3205" s="235" t="s">
        <v>627</v>
      </c>
      <c r="R3205" s="238">
        <v>246.67</v>
      </c>
      <c r="S3205" s="238">
        <v>12.33</v>
      </c>
      <c r="T3205" s="238">
        <v>0.0</v>
      </c>
      <c r="U3205" s="238">
        <v>0.0</v>
      </c>
      <c r="V3205" s="238">
        <v>0.0</v>
      </c>
      <c r="W3205" s="238">
        <v>0.0</v>
      </c>
      <c r="X3205" s="235" t="s">
        <v>628</v>
      </c>
      <c r="Z3205" s="245"/>
      <c r="AA3205" s="245"/>
      <c r="AB3205" s="245"/>
      <c r="AC3205" s="235" t="s">
        <v>6436</v>
      </c>
      <c r="AD3205" s="235" t="s">
        <v>1499</v>
      </c>
      <c r="AE3205" s="238">
        <v>452001.0</v>
      </c>
      <c r="AF3205" s="235" t="s">
        <v>631</v>
      </c>
      <c r="AG3205" s="245"/>
      <c r="AH3205" s="245"/>
      <c r="AI3205" s="245"/>
      <c r="AJ3205" s="245"/>
      <c r="AK3205" s="245"/>
      <c r="AL3205" s="245"/>
      <c r="AM3205" s="245"/>
      <c r="AN3205" s="245"/>
      <c r="AO3205" s="238">
        <v>0.0</v>
      </c>
      <c r="AP3205" s="238">
        <v>0.0</v>
      </c>
      <c r="AQ3205" s="235" t="s">
        <v>632</v>
      </c>
      <c r="AR3205" s="243">
        <v>1.68E11</v>
      </c>
      <c r="AS3205" s="235" t="s">
        <v>22269</v>
      </c>
      <c r="AT3205" s="235" t="s">
        <v>5</v>
      </c>
      <c r="AU3205" s="235" t="s">
        <v>634</v>
      </c>
      <c r="AV3205" s="246" t="s">
        <v>635</v>
      </c>
      <c r="AW3205" s="227"/>
      <c r="AX3205" s="227"/>
      <c r="AY3205" s="227"/>
      <c r="AZ3205" s="227"/>
      <c r="BA3205" s="227"/>
      <c r="BB3205" s="227"/>
      <c r="BC3205" s="227"/>
      <c r="BD3205" s="227"/>
      <c r="BE3205" s="227"/>
      <c r="BF3205" s="227"/>
    </row>
    <row r="3206">
      <c r="A3206" s="235" t="s">
        <v>24118</v>
      </c>
      <c r="C3206" s="235" t="s">
        <v>24119</v>
      </c>
      <c r="D3206" s="235" t="s">
        <v>24120</v>
      </c>
      <c r="E3206" s="243">
        <v>6.52E13</v>
      </c>
      <c r="F3206" s="245"/>
      <c r="G3206" s="235" t="s">
        <v>24121</v>
      </c>
      <c r="H3206" s="235" t="s">
        <v>24122</v>
      </c>
      <c r="I3206" s="235" t="s">
        <v>24122</v>
      </c>
      <c r="J3206" s="235" t="s">
        <v>24123</v>
      </c>
      <c r="K3206" s="235" t="s">
        <v>24124</v>
      </c>
      <c r="N3206" s="235" t="s">
        <v>127</v>
      </c>
      <c r="O3206" s="235" t="s">
        <v>794</v>
      </c>
      <c r="P3206" s="238">
        <v>1.0</v>
      </c>
      <c r="Q3206" s="235" t="s">
        <v>627</v>
      </c>
      <c r="R3206" s="238">
        <v>236.19</v>
      </c>
      <c r="S3206" s="238">
        <v>11.57</v>
      </c>
      <c r="T3206" s="238">
        <v>38.1</v>
      </c>
      <c r="U3206" s="238">
        <v>1.9</v>
      </c>
      <c r="V3206" s="238">
        <v>0.0</v>
      </c>
      <c r="W3206" s="238">
        <v>0.0</v>
      </c>
      <c r="X3206" s="235" t="s">
        <v>628</v>
      </c>
      <c r="Z3206" s="245"/>
      <c r="AA3206" s="245"/>
      <c r="AB3206" s="245"/>
      <c r="AC3206" s="235" t="s">
        <v>24125</v>
      </c>
      <c r="AD3206" s="235" t="s">
        <v>1086</v>
      </c>
      <c r="AE3206" s="238">
        <v>143301.0</v>
      </c>
      <c r="AF3206" s="235" t="s">
        <v>631</v>
      </c>
      <c r="AG3206" s="245"/>
      <c r="AH3206" s="245"/>
      <c r="AI3206" s="245"/>
      <c r="AJ3206" s="245"/>
      <c r="AK3206" s="245"/>
      <c r="AL3206" s="245"/>
      <c r="AM3206" s="245"/>
      <c r="AN3206" s="245"/>
      <c r="AO3206" s="238">
        <v>-4.72</v>
      </c>
      <c r="AP3206" s="238">
        <v>-38.1</v>
      </c>
      <c r="AQ3206" s="235" t="s">
        <v>632</v>
      </c>
      <c r="AR3206" s="243">
        <v>3.71E11</v>
      </c>
      <c r="AS3206" s="235" t="s">
        <v>19388</v>
      </c>
      <c r="AT3206" s="235" t="s">
        <v>14</v>
      </c>
      <c r="AU3206" s="235" t="s">
        <v>634</v>
      </c>
      <c r="AV3206" s="246" t="s">
        <v>635</v>
      </c>
      <c r="AW3206" s="227"/>
      <c r="AX3206" s="227"/>
      <c r="AY3206" s="227"/>
      <c r="AZ3206" s="227"/>
      <c r="BA3206" s="227"/>
      <c r="BB3206" s="227"/>
      <c r="BC3206" s="227"/>
      <c r="BD3206" s="227"/>
      <c r="BE3206" s="227"/>
      <c r="BF3206" s="227"/>
    </row>
    <row r="3207">
      <c r="A3207" s="235" t="s">
        <v>24126</v>
      </c>
      <c r="C3207" s="235" t="s">
        <v>24127</v>
      </c>
      <c r="D3207" s="235" t="s">
        <v>24128</v>
      </c>
      <c r="E3207" s="243">
        <v>6.52E13</v>
      </c>
      <c r="F3207" s="245"/>
      <c r="G3207" s="235" t="s">
        <v>24129</v>
      </c>
      <c r="H3207" s="235" t="s">
        <v>24130</v>
      </c>
      <c r="I3207" s="235" t="s">
        <v>24131</v>
      </c>
      <c r="J3207" s="235" t="s">
        <v>24132</v>
      </c>
      <c r="K3207" s="235" t="s">
        <v>24133</v>
      </c>
      <c r="N3207" s="235" t="s">
        <v>726</v>
      </c>
      <c r="O3207" s="235" t="s">
        <v>727</v>
      </c>
      <c r="P3207" s="238">
        <v>1.0</v>
      </c>
      <c r="Q3207" s="235" t="s">
        <v>627</v>
      </c>
      <c r="R3207" s="238">
        <v>237.14</v>
      </c>
      <c r="S3207" s="238">
        <v>11.5</v>
      </c>
      <c r="T3207" s="238">
        <v>0.0</v>
      </c>
      <c r="U3207" s="238">
        <v>0.0</v>
      </c>
      <c r="V3207" s="238">
        <v>0.0</v>
      </c>
      <c r="W3207" s="238">
        <v>0.0</v>
      </c>
      <c r="X3207" s="235" t="s">
        <v>628</v>
      </c>
      <c r="Z3207" s="245"/>
      <c r="AA3207" s="245"/>
      <c r="AB3207" s="245"/>
      <c r="AC3207" s="235" t="s">
        <v>1255</v>
      </c>
      <c r="AD3207" s="235" t="s">
        <v>845</v>
      </c>
      <c r="AE3207" s="238">
        <v>401107.0</v>
      </c>
      <c r="AF3207" s="235" t="s">
        <v>631</v>
      </c>
      <c r="AG3207" s="245"/>
      <c r="AH3207" s="245"/>
      <c r="AI3207" s="245"/>
      <c r="AJ3207" s="245"/>
      <c r="AK3207" s="245"/>
      <c r="AL3207" s="245"/>
      <c r="AM3207" s="245"/>
      <c r="AN3207" s="245"/>
      <c r="AO3207" s="238">
        <v>-7.11</v>
      </c>
      <c r="AP3207" s="238">
        <v>0.0</v>
      </c>
      <c r="AQ3207" s="235" t="s">
        <v>632</v>
      </c>
      <c r="AR3207" s="243">
        <v>3.71E11</v>
      </c>
      <c r="AS3207" s="235" t="s">
        <v>19388</v>
      </c>
      <c r="AT3207" s="235" t="s">
        <v>9</v>
      </c>
      <c r="AU3207" s="235" t="s">
        <v>634</v>
      </c>
      <c r="AV3207" s="246" t="s">
        <v>635</v>
      </c>
      <c r="AW3207" s="227"/>
      <c r="AX3207" s="227"/>
      <c r="AY3207" s="227"/>
      <c r="AZ3207" s="227"/>
      <c r="BA3207" s="227"/>
      <c r="BB3207" s="227"/>
      <c r="BC3207" s="227"/>
      <c r="BD3207" s="227"/>
      <c r="BE3207" s="227"/>
      <c r="BF3207" s="227"/>
    </row>
    <row r="3208">
      <c r="A3208" s="235" t="s">
        <v>24134</v>
      </c>
      <c r="C3208" s="235" t="s">
        <v>24135</v>
      </c>
      <c r="D3208" s="235" t="s">
        <v>24136</v>
      </c>
      <c r="E3208" s="243">
        <v>6.52E13</v>
      </c>
      <c r="F3208" s="245"/>
      <c r="G3208" s="235" t="s">
        <v>24137</v>
      </c>
      <c r="H3208" s="235" t="s">
        <v>24138</v>
      </c>
      <c r="I3208" s="235" t="s">
        <v>24139</v>
      </c>
      <c r="J3208" s="235" t="s">
        <v>24140</v>
      </c>
      <c r="K3208" s="235" t="s">
        <v>24141</v>
      </c>
      <c r="N3208" s="235" t="s">
        <v>128</v>
      </c>
      <c r="O3208" s="235" t="s">
        <v>2710</v>
      </c>
      <c r="P3208" s="238">
        <v>1.0</v>
      </c>
      <c r="Q3208" s="235" t="s">
        <v>627</v>
      </c>
      <c r="R3208" s="238">
        <v>246.67</v>
      </c>
      <c r="S3208" s="238">
        <v>12.08</v>
      </c>
      <c r="T3208" s="238">
        <v>0.0</v>
      </c>
      <c r="U3208" s="238">
        <v>0.0</v>
      </c>
      <c r="V3208" s="238">
        <v>0.0</v>
      </c>
      <c r="W3208" s="238">
        <v>0.0</v>
      </c>
      <c r="X3208" s="235" t="s">
        <v>628</v>
      </c>
      <c r="Z3208" s="245"/>
      <c r="AA3208" s="245"/>
      <c r="AB3208" s="245"/>
      <c r="AC3208" s="235" t="s">
        <v>1851</v>
      </c>
      <c r="AD3208" s="235" t="s">
        <v>1077</v>
      </c>
      <c r="AE3208" s="238">
        <v>380009.0</v>
      </c>
      <c r="AF3208" s="235" t="s">
        <v>631</v>
      </c>
      <c r="AG3208" s="245"/>
      <c r="AH3208" s="245"/>
      <c r="AI3208" s="245"/>
      <c r="AJ3208" s="245"/>
      <c r="AK3208" s="245"/>
      <c r="AL3208" s="245"/>
      <c r="AM3208" s="245"/>
      <c r="AN3208" s="245"/>
      <c r="AO3208" s="238">
        <v>-4.93</v>
      </c>
      <c r="AP3208" s="238">
        <v>0.0</v>
      </c>
      <c r="AQ3208" s="235" t="s">
        <v>632</v>
      </c>
      <c r="AR3208" s="243">
        <v>2.02E11</v>
      </c>
      <c r="AS3208" s="235" t="s">
        <v>20529</v>
      </c>
      <c r="AT3208" s="235" t="s">
        <v>14</v>
      </c>
      <c r="AU3208" s="235" t="s">
        <v>634</v>
      </c>
      <c r="AV3208" s="246" t="s">
        <v>635</v>
      </c>
      <c r="AW3208" s="227"/>
      <c r="AX3208" s="227"/>
      <c r="AY3208" s="227"/>
      <c r="AZ3208" s="227"/>
      <c r="BA3208" s="227"/>
      <c r="BB3208" s="227"/>
      <c r="BC3208" s="227"/>
      <c r="BD3208" s="227"/>
      <c r="BE3208" s="227"/>
      <c r="BF3208" s="227"/>
    </row>
    <row r="3209">
      <c r="A3209" s="235" t="s">
        <v>24142</v>
      </c>
      <c r="C3209" s="235" t="s">
        <v>24143</v>
      </c>
      <c r="D3209" s="235" t="s">
        <v>24144</v>
      </c>
      <c r="E3209" s="243">
        <v>6.52E13</v>
      </c>
      <c r="F3209" s="245"/>
      <c r="G3209" s="235" t="s">
        <v>24145</v>
      </c>
      <c r="H3209" s="235" t="s">
        <v>24146</v>
      </c>
      <c r="I3209" s="235" t="s">
        <v>24146</v>
      </c>
      <c r="J3209" s="235" t="s">
        <v>24147</v>
      </c>
      <c r="K3209" s="235" t="s">
        <v>24148</v>
      </c>
      <c r="N3209" s="235" t="s">
        <v>154</v>
      </c>
      <c r="O3209" s="235" t="s">
        <v>766</v>
      </c>
      <c r="P3209" s="238">
        <v>1.0</v>
      </c>
      <c r="Q3209" s="235" t="s">
        <v>627</v>
      </c>
      <c r="R3209" s="238">
        <v>465.71</v>
      </c>
      <c r="S3209" s="238">
        <v>23.29</v>
      </c>
      <c r="T3209" s="238">
        <v>0.0</v>
      </c>
      <c r="U3209" s="238">
        <v>0.0</v>
      </c>
      <c r="V3209" s="238">
        <v>0.0</v>
      </c>
      <c r="W3209" s="238">
        <v>0.0</v>
      </c>
      <c r="X3209" s="235" t="s">
        <v>628</v>
      </c>
      <c r="Z3209" s="245"/>
      <c r="AA3209" s="245"/>
      <c r="AB3209" s="245"/>
      <c r="AC3209" s="235" t="s">
        <v>24149</v>
      </c>
      <c r="AD3209" s="235" t="s">
        <v>645</v>
      </c>
      <c r="AE3209" s="238">
        <v>680712.0</v>
      </c>
      <c r="AF3209" s="235" t="s">
        <v>631</v>
      </c>
      <c r="AG3209" s="245"/>
      <c r="AH3209" s="245"/>
      <c r="AI3209" s="245"/>
      <c r="AJ3209" s="245"/>
      <c r="AK3209" s="245"/>
      <c r="AL3209" s="245"/>
      <c r="AM3209" s="245"/>
      <c r="AN3209" s="245"/>
      <c r="AO3209" s="238">
        <v>0.0</v>
      </c>
      <c r="AP3209" s="238">
        <v>0.0</v>
      </c>
      <c r="AQ3209" s="235" t="s">
        <v>632</v>
      </c>
      <c r="AR3209" s="243">
        <v>1.68E11</v>
      </c>
      <c r="AS3209" s="235" t="s">
        <v>23542</v>
      </c>
      <c r="AT3209" s="235" t="s">
        <v>155</v>
      </c>
      <c r="AU3209" s="235" t="s">
        <v>634</v>
      </c>
      <c r="AV3209" s="246" t="s">
        <v>635</v>
      </c>
      <c r="AW3209" s="227"/>
      <c r="AX3209" s="227"/>
      <c r="AY3209" s="227"/>
      <c r="AZ3209" s="227"/>
      <c r="BA3209" s="227"/>
      <c r="BB3209" s="227"/>
      <c r="BC3209" s="227"/>
      <c r="BD3209" s="227"/>
      <c r="BE3209" s="227"/>
      <c r="BF3209" s="227"/>
    </row>
    <row r="3210">
      <c r="A3210" s="235" t="s">
        <v>24150</v>
      </c>
      <c r="C3210" s="235" t="s">
        <v>24151</v>
      </c>
      <c r="D3210" s="235" t="s">
        <v>24152</v>
      </c>
      <c r="E3210" s="243">
        <v>6.52E13</v>
      </c>
      <c r="F3210" s="245"/>
      <c r="G3210" s="235" t="s">
        <v>24153</v>
      </c>
      <c r="H3210" s="235" t="s">
        <v>24154</v>
      </c>
      <c r="I3210" s="235" t="s">
        <v>24155</v>
      </c>
      <c r="J3210" s="235" t="s">
        <v>24156</v>
      </c>
      <c r="K3210" s="235" t="s">
        <v>19438</v>
      </c>
      <c r="N3210" s="235" t="s">
        <v>104</v>
      </c>
      <c r="O3210" s="235" t="s">
        <v>401</v>
      </c>
      <c r="P3210" s="238">
        <v>1.0</v>
      </c>
      <c r="Q3210" s="235" t="s">
        <v>627</v>
      </c>
      <c r="R3210" s="238">
        <v>246.66</v>
      </c>
      <c r="S3210" s="238">
        <v>12.1</v>
      </c>
      <c r="T3210" s="238">
        <v>0.0</v>
      </c>
      <c r="U3210" s="238">
        <v>0.0</v>
      </c>
      <c r="V3210" s="238">
        <v>0.0</v>
      </c>
      <c r="W3210" s="238">
        <v>0.0</v>
      </c>
      <c r="X3210" s="235" t="s">
        <v>628</v>
      </c>
      <c r="Z3210" s="245"/>
      <c r="AA3210" s="245"/>
      <c r="AB3210" s="245"/>
      <c r="AC3210" s="235" t="s">
        <v>678</v>
      </c>
      <c r="AD3210" s="235" t="s">
        <v>679</v>
      </c>
      <c r="AE3210" s="238">
        <v>562149.0</v>
      </c>
      <c r="AF3210" s="235" t="s">
        <v>631</v>
      </c>
      <c r="AG3210" s="245"/>
      <c r="AH3210" s="245"/>
      <c r="AI3210" s="245"/>
      <c r="AJ3210" s="245"/>
      <c r="AK3210" s="245"/>
      <c r="AL3210" s="245"/>
      <c r="AM3210" s="245"/>
      <c r="AN3210" s="245"/>
      <c r="AO3210" s="238">
        <v>-4.94</v>
      </c>
      <c r="AP3210" s="238">
        <v>0.0</v>
      </c>
      <c r="AQ3210" s="235" t="s">
        <v>632</v>
      </c>
      <c r="AR3210" s="243">
        <v>3.71E11</v>
      </c>
      <c r="AS3210" s="235" t="s">
        <v>23542</v>
      </c>
      <c r="AT3210" s="235" t="s">
        <v>9</v>
      </c>
      <c r="AU3210" s="235" t="s">
        <v>634</v>
      </c>
      <c r="AV3210" s="246" t="s">
        <v>635</v>
      </c>
      <c r="AW3210" s="227"/>
      <c r="AX3210" s="227"/>
      <c r="AY3210" s="227"/>
      <c r="AZ3210" s="227"/>
      <c r="BA3210" s="227"/>
      <c r="BB3210" s="227"/>
      <c r="BC3210" s="227"/>
      <c r="BD3210" s="227"/>
      <c r="BE3210" s="227"/>
      <c r="BF3210" s="227"/>
    </row>
    <row r="3211">
      <c r="A3211" s="235" t="s">
        <v>24157</v>
      </c>
      <c r="C3211" s="235" t="s">
        <v>24158</v>
      </c>
      <c r="D3211" s="235" t="s">
        <v>24159</v>
      </c>
      <c r="E3211" s="243">
        <v>6.52E13</v>
      </c>
      <c r="F3211" s="245"/>
      <c r="G3211" s="235" t="s">
        <v>24160</v>
      </c>
      <c r="H3211" s="235" t="s">
        <v>24161</v>
      </c>
      <c r="I3211" s="235" t="s">
        <v>24161</v>
      </c>
      <c r="J3211" s="235" t="s">
        <v>24162</v>
      </c>
      <c r="K3211" s="235" t="s">
        <v>24163</v>
      </c>
      <c r="N3211" s="235" t="s">
        <v>47</v>
      </c>
      <c r="O3211" s="235" t="s">
        <v>270</v>
      </c>
      <c r="P3211" s="238">
        <v>1.0</v>
      </c>
      <c r="Q3211" s="235" t="s">
        <v>627</v>
      </c>
      <c r="R3211" s="238">
        <v>236.19</v>
      </c>
      <c r="S3211" s="238">
        <v>11.46</v>
      </c>
      <c r="T3211" s="238">
        <v>0.0</v>
      </c>
      <c r="U3211" s="238">
        <v>0.0</v>
      </c>
      <c r="V3211" s="238">
        <v>0.0</v>
      </c>
      <c r="W3211" s="238">
        <v>0.0</v>
      </c>
      <c r="X3211" s="235" t="s">
        <v>628</v>
      </c>
      <c r="Z3211" s="245"/>
      <c r="AA3211" s="245"/>
      <c r="AB3211" s="245"/>
      <c r="AC3211" s="235" t="s">
        <v>6896</v>
      </c>
      <c r="AD3211" s="235" t="s">
        <v>833</v>
      </c>
      <c r="AE3211" s="238">
        <v>533003.0</v>
      </c>
      <c r="AF3211" s="235" t="s">
        <v>631</v>
      </c>
      <c r="AG3211" s="245"/>
      <c r="AH3211" s="245"/>
      <c r="AI3211" s="245"/>
      <c r="AJ3211" s="245"/>
      <c r="AK3211" s="245"/>
      <c r="AL3211" s="245"/>
      <c r="AM3211" s="245"/>
      <c r="AN3211" s="245"/>
      <c r="AO3211" s="238">
        <v>-7.09</v>
      </c>
      <c r="AP3211" s="238">
        <v>0.0</v>
      </c>
      <c r="AQ3211" s="235" t="s">
        <v>632</v>
      </c>
      <c r="AR3211" s="243">
        <v>3.71E11</v>
      </c>
      <c r="AS3211" s="235" t="s">
        <v>17988</v>
      </c>
      <c r="AT3211" s="235" t="s">
        <v>156</v>
      </c>
      <c r="AU3211" s="235" t="s">
        <v>634</v>
      </c>
      <c r="AV3211" s="246" t="s">
        <v>635</v>
      </c>
      <c r="AW3211" s="227"/>
      <c r="AX3211" s="227"/>
      <c r="AY3211" s="227"/>
      <c r="AZ3211" s="227"/>
      <c r="BA3211" s="227"/>
      <c r="BB3211" s="227"/>
      <c r="BC3211" s="227"/>
      <c r="BD3211" s="227"/>
      <c r="BE3211" s="227"/>
      <c r="BF3211" s="227"/>
    </row>
    <row r="3212">
      <c r="A3212" s="235" t="s">
        <v>24164</v>
      </c>
      <c r="C3212" s="235" t="s">
        <v>24165</v>
      </c>
      <c r="D3212" s="235" t="s">
        <v>24166</v>
      </c>
      <c r="E3212" s="243">
        <v>6.52E13</v>
      </c>
      <c r="F3212" s="245"/>
      <c r="G3212" s="235" t="s">
        <v>24167</v>
      </c>
      <c r="H3212" s="235" t="s">
        <v>24168</v>
      </c>
      <c r="I3212" s="235" t="s">
        <v>24169</v>
      </c>
      <c r="J3212" s="235" t="s">
        <v>24170</v>
      </c>
      <c r="K3212" s="235" t="s">
        <v>24171</v>
      </c>
      <c r="N3212" s="235" t="s">
        <v>120</v>
      </c>
      <c r="O3212" s="235" t="s">
        <v>324</v>
      </c>
      <c r="P3212" s="238">
        <v>1.0</v>
      </c>
      <c r="Q3212" s="235" t="s">
        <v>627</v>
      </c>
      <c r="R3212" s="238">
        <v>233.33</v>
      </c>
      <c r="S3212" s="238">
        <v>11.67</v>
      </c>
      <c r="T3212" s="238">
        <v>0.0</v>
      </c>
      <c r="U3212" s="238">
        <v>0.0</v>
      </c>
      <c r="V3212" s="238">
        <v>0.0</v>
      </c>
      <c r="W3212" s="238">
        <v>0.0</v>
      </c>
      <c r="X3212" s="235" t="s">
        <v>628</v>
      </c>
      <c r="Z3212" s="245"/>
      <c r="AA3212" s="245"/>
      <c r="AB3212" s="245"/>
      <c r="AC3212" s="235" t="s">
        <v>697</v>
      </c>
      <c r="AD3212" s="235" t="s">
        <v>698</v>
      </c>
      <c r="AE3212" s="238">
        <v>500090.0</v>
      </c>
      <c r="AF3212" s="235" t="s">
        <v>631</v>
      </c>
      <c r="AG3212" s="245"/>
      <c r="AH3212" s="245"/>
      <c r="AI3212" s="245"/>
      <c r="AJ3212" s="245"/>
      <c r="AK3212" s="245"/>
      <c r="AL3212" s="245"/>
      <c r="AM3212" s="245"/>
      <c r="AN3212" s="245"/>
      <c r="AO3212" s="238">
        <v>0.0</v>
      </c>
      <c r="AP3212" s="238">
        <v>0.0</v>
      </c>
      <c r="AQ3212" s="235" t="s">
        <v>632</v>
      </c>
      <c r="AR3212" s="243">
        <v>3.71E11</v>
      </c>
      <c r="AS3212" s="235" t="s">
        <v>17988</v>
      </c>
      <c r="AT3212" s="235" t="s">
        <v>14</v>
      </c>
      <c r="AU3212" s="235" t="s">
        <v>634</v>
      </c>
      <c r="AV3212" s="246" t="s">
        <v>635</v>
      </c>
      <c r="AW3212" s="227"/>
      <c r="AX3212" s="227"/>
      <c r="AY3212" s="227"/>
      <c r="AZ3212" s="227"/>
      <c r="BA3212" s="227"/>
      <c r="BB3212" s="227"/>
      <c r="BC3212" s="227"/>
      <c r="BD3212" s="227"/>
      <c r="BE3212" s="227"/>
      <c r="BF3212" s="227"/>
    </row>
    <row r="3213">
      <c r="A3213" s="235" t="s">
        <v>24172</v>
      </c>
      <c r="C3213" s="235" t="s">
        <v>24173</v>
      </c>
      <c r="D3213" s="235" t="s">
        <v>24174</v>
      </c>
      <c r="E3213" s="243">
        <v>6.52E13</v>
      </c>
      <c r="F3213" s="245"/>
      <c r="G3213" s="235" t="s">
        <v>24175</v>
      </c>
      <c r="H3213" s="235" t="s">
        <v>24176</v>
      </c>
      <c r="I3213" s="235" t="s">
        <v>24176</v>
      </c>
      <c r="J3213" s="235" t="s">
        <v>24177</v>
      </c>
      <c r="K3213" s="235" t="s">
        <v>24178</v>
      </c>
      <c r="N3213" s="235" t="s">
        <v>127</v>
      </c>
      <c r="O3213" s="235" t="s">
        <v>794</v>
      </c>
      <c r="P3213" s="238">
        <v>1.0</v>
      </c>
      <c r="Q3213" s="235" t="s">
        <v>627</v>
      </c>
      <c r="R3213" s="238">
        <v>242.86</v>
      </c>
      <c r="S3213" s="238">
        <v>12.14</v>
      </c>
      <c r="T3213" s="238">
        <v>56.19</v>
      </c>
      <c r="U3213" s="238">
        <v>2.81</v>
      </c>
      <c r="V3213" s="238">
        <v>0.0</v>
      </c>
      <c r="W3213" s="238">
        <v>0.0</v>
      </c>
      <c r="X3213" s="235" t="s">
        <v>628</v>
      </c>
      <c r="Z3213" s="245"/>
      <c r="AA3213" s="245"/>
      <c r="AB3213" s="245"/>
      <c r="AC3213" s="235" t="s">
        <v>3185</v>
      </c>
      <c r="AD3213" s="235" t="s">
        <v>1086</v>
      </c>
      <c r="AE3213" s="238">
        <v>147001.0</v>
      </c>
      <c r="AF3213" s="235" t="s">
        <v>631</v>
      </c>
      <c r="AG3213" s="245"/>
      <c r="AH3213" s="245"/>
      <c r="AI3213" s="245"/>
      <c r="AJ3213" s="245"/>
      <c r="AK3213" s="245"/>
      <c r="AL3213" s="245"/>
      <c r="AM3213" s="245"/>
      <c r="AN3213" s="245"/>
      <c r="AO3213" s="238">
        <v>0.0</v>
      </c>
      <c r="AP3213" s="238">
        <v>0.0</v>
      </c>
      <c r="AQ3213" s="235" t="s">
        <v>632</v>
      </c>
      <c r="AR3213" s="243">
        <v>1.68E11</v>
      </c>
      <c r="AS3213" s="235" t="s">
        <v>22269</v>
      </c>
      <c r="AT3213" s="235" t="s">
        <v>13</v>
      </c>
      <c r="AU3213" s="235" t="s">
        <v>634</v>
      </c>
      <c r="AV3213" s="246" t="s">
        <v>635</v>
      </c>
      <c r="AW3213" s="227"/>
      <c r="AX3213" s="227"/>
      <c r="AY3213" s="227"/>
      <c r="AZ3213" s="227"/>
      <c r="BA3213" s="227"/>
      <c r="BB3213" s="227"/>
      <c r="BC3213" s="227"/>
      <c r="BD3213" s="227"/>
      <c r="BE3213" s="227"/>
      <c r="BF3213" s="227"/>
    </row>
    <row r="3214">
      <c r="A3214" s="235" t="s">
        <v>24179</v>
      </c>
      <c r="C3214" s="235" t="s">
        <v>24180</v>
      </c>
      <c r="D3214" s="235" t="s">
        <v>24181</v>
      </c>
      <c r="E3214" s="243">
        <v>6.52E13</v>
      </c>
      <c r="F3214" s="245"/>
      <c r="G3214" s="235" t="s">
        <v>24182</v>
      </c>
      <c r="H3214" s="235" t="s">
        <v>24183</v>
      </c>
      <c r="I3214" s="235" t="s">
        <v>24183</v>
      </c>
      <c r="J3214" s="235" t="s">
        <v>24184</v>
      </c>
      <c r="K3214" s="235" t="s">
        <v>24185</v>
      </c>
      <c r="N3214" s="235" t="s">
        <v>726</v>
      </c>
      <c r="O3214" s="235" t="s">
        <v>727</v>
      </c>
      <c r="P3214" s="238">
        <v>1.0</v>
      </c>
      <c r="Q3214" s="235" t="s">
        <v>627</v>
      </c>
      <c r="R3214" s="238">
        <v>246.67</v>
      </c>
      <c r="S3214" s="238">
        <v>12.33</v>
      </c>
      <c r="T3214" s="238">
        <v>0.0</v>
      </c>
      <c r="U3214" s="238">
        <v>0.0</v>
      </c>
      <c r="V3214" s="238">
        <v>0.0</v>
      </c>
      <c r="W3214" s="238">
        <v>0.0</v>
      </c>
      <c r="X3214" s="235" t="s">
        <v>628</v>
      </c>
      <c r="Z3214" s="245"/>
      <c r="AA3214" s="245"/>
      <c r="AB3214" s="245"/>
      <c r="AC3214" s="235" t="s">
        <v>24186</v>
      </c>
      <c r="AD3214" s="235" t="s">
        <v>630</v>
      </c>
      <c r="AE3214" s="238">
        <v>250001.0</v>
      </c>
      <c r="AF3214" s="235" t="s">
        <v>631</v>
      </c>
      <c r="AG3214" s="245"/>
      <c r="AH3214" s="245"/>
      <c r="AI3214" s="245"/>
      <c r="AJ3214" s="245"/>
      <c r="AK3214" s="245"/>
      <c r="AL3214" s="245"/>
      <c r="AM3214" s="245"/>
      <c r="AN3214" s="245"/>
      <c r="AO3214" s="238">
        <v>0.0</v>
      </c>
      <c r="AP3214" s="238">
        <v>0.0</v>
      </c>
      <c r="AQ3214" s="235" t="s">
        <v>632</v>
      </c>
      <c r="AR3214" s="243">
        <v>3.71E11</v>
      </c>
      <c r="AS3214" s="235" t="s">
        <v>22269</v>
      </c>
      <c r="AT3214" s="235" t="s">
        <v>533</v>
      </c>
      <c r="AU3214" s="235" t="s">
        <v>634</v>
      </c>
      <c r="AV3214" s="246" t="s">
        <v>635</v>
      </c>
      <c r="AW3214" s="227"/>
      <c r="AX3214" s="227"/>
      <c r="AY3214" s="227"/>
      <c r="AZ3214" s="227"/>
      <c r="BA3214" s="227"/>
      <c r="BB3214" s="227"/>
      <c r="BC3214" s="227"/>
      <c r="BD3214" s="227"/>
      <c r="BE3214" s="227"/>
      <c r="BF3214" s="227"/>
    </row>
    <row r="3215">
      <c r="A3215" s="235" t="s">
        <v>24187</v>
      </c>
      <c r="C3215" s="235" t="s">
        <v>24188</v>
      </c>
      <c r="D3215" s="235" t="s">
        <v>24189</v>
      </c>
      <c r="E3215" s="243">
        <v>6.52E13</v>
      </c>
      <c r="F3215" s="245"/>
      <c r="G3215" s="235" t="s">
        <v>24190</v>
      </c>
      <c r="H3215" s="235" t="s">
        <v>24191</v>
      </c>
      <c r="I3215" s="235" t="s">
        <v>24191</v>
      </c>
      <c r="J3215" s="235" t="s">
        <v>24192</v>
      </c>
      <c r="K3215" s="235" t="s">
        <v>24193</v>
      </c>
      <c r="N3215" s="235" t="s">
        <v>54</v>
      </c>
      <c r="O3215" s="235" t="s">
        <v>294</v>
      </c>
      <c r="P3215" s="238">
        <v>1.0</v>
      </c>
      <c r="Q3215" s="235" t="s">
        <v>627</v>
      </c>
      <c r="R3215" s="238">
        <v>233.34</v>
      </c>
      <c r="S3215" s="238">
        <v>11.43</v>
      </c>
      <c r="T3215" s="238">
        <v>0.0</v>
      </c>
      <c r="U3215" s="238">
        <v>0.0</v>
      </c>
      <c r="V3215" s="238">
        <v>0.0</v>
      </c>
      <c r="W3215" s="238">
        <v>0.0</v>
      </c>
      <c r="X3215" s="235" t="s">
        <v>628</v>
      </c>
      <c r="Z3215" s="245"/>
      <c r="AA3215" s="245"/>
      <c r="AB3215" s="245"/>
      <c r="AC3215" s="235" t="s">
        <v>687</v>
      </c>
      <c r="AD3215" s="235" t="s">
        <v>666</v>
      </c>
      <c r="AE3215" s="238">
        <v>600092.0</v>
      </c>
      <c r="AF3215" s="235" t="s">
        <v>631</v>
      </c>
      <c r="AG3215" s="245"/>
      <c r="AH3215" s="245"/>
      <c r="AI3215" s="245"/>
      <c r="AJ3215" s="245"/>
      <c r="AK3215" s="245"/>
      <c r="AL3215" s="245"/>
      <c r="AM3215" s="245"/>
      <c r="AN3215" s="245"/>
      <c r="AO3215" s="238">
        <v>-4.67</v>
      </c>
      <c r="AP3215" s="238">
        <v>0.0</v>
      </c>
      <c r="AQ3215" s="235" t="s">
        <v>632</v>
      </c>
      <c r="AR3215" s="243">
        <v>1.68E11</v>
      </c>
      <c r="AS3215" s="235" t="s">
        <v>24095</v>
      </c>
      <c r="AT3215" s="235" t="s">
        <v>156</v>
      </c>
      <c r="AU3215" s="235" t="s">
        <v>634</v>
      </c>
      <c r="AV3215" s="246" t="s">
        <v>635</v>
      </c>
      <c r="AW3215" s="227"/>
      <c r="AX3215" s="227"/>
      <c r="AY3215" s="227"/>
      <c r="AZ3215" s="227"/>
      <c r="BA3215" s="227"/>
      <c r="BB3215" s="227"/>
      <c r="BC3215" s="227"/>
      <c r="BD3215" s="227"/>
      <c r="BE3215" s="227"/>
      <c r="BF3215" s="227"/>
    </row>
    <row r="3216">
      <c r="A3216" s="235" t="s">
        <v>24194</v>
      </c>
      <c r="C3216" s="235" t="s">
        <v>24195</v>
      </c>
      <c r="D3216" s="235" t="s">
        <v>24196</v>
      </c>
      <c r="E3216" s="243">
        <v>6.52E13</v>
      </c>
      <c r="F3216" s="245"/>
      <c r="G3216" s="235" t="s">
        <v>24197</v>
      </c>
      <c r="H3216" s="235" t="s">
        <v>24198</v>
      </c>
      <c r="I3216" s="235" t="s">
        <v>24198</v>
      </c>
      <c r="J3216" s="235" t="s">
        <v>24199</v>
      </c>
      <c r="K3216" s="235" t="s">
        <v>24200</v>
      </c>
      <c r="N3216" s="235" t="s">
        <v>53</v>
      </c>
      <c r="O3216" s="235" t="s">
        <v>512</v>
      </c>
      <c r="P3216" s="238">
        <v>1.0</v>
      </c>
      <c r="Q3216" s="235" t="s">
        <v>627</v>
      </c>
      <c r="R3216" s="238">
        <v>237.14</v>
      </c>
      <c r="S3216" s="238">
        <v>11.86</v>
      </c>
      <c r="T3216" s="238">
        <v>0.0</v>
      </c>
      <c r="U3216" s="238">
        <v>0.0</v>
      </c>
      <c r="V3216" s="238">
        <v>0.0</v>
      </c>
      <c r="W3216" s="238">
        <v>0.0</v>
      </c>
      <c r="X3216" s="235" t="s">
        <v>628</v>
      </c>
      <c r="Z3216" s="245"/>
      <c r="AA3216" s="245"/>
      <c r="AB3216" s="245"/>
      <c r="AC3216" s="235" t="s">
        <v>697</v>
      </c>
      <c r="AD3216" s="235" t="s">
        <v>698</v>
      </c>
      <c r="AE3216" s="238">
        <v>500090.0</v>
      </c>
      <c r="AF3216" s="235" t="s">
        <v>631</v>
      </c>
      <c r="AG3216" s="245"/>
      <c r="AH3216" s="245"/>
      <c r="AI3216" s="245"/>
      <c r="AJ3216" s="245"/>
      <c r="AK3216" s="245"/>
      <c r="AL3216" s="245"/>
      <c r="AM3216" s="245"/>
      <c r="AN3216" s="245"/>
      <c r="AO3216" s="238">
        <v>0.0</v>
      </c>
      <c r="AP3216" s="238">
        <v>0.0</v>
      </c>
      <c r="AQ3216" s="235" t="s">
        <v>632</v>
      </c>
      <c r="AR3216" s="243">
        <v>2.02E11</v>
      </c>
      <c r="AS3216" s="235" t="s">
        <v>22269</v>
      </c>
      <c r="AT3216" s="235" t="s">
        <v>155</v>
      </c>
      <c r="AU3216" s="235" t="s">
        <v>634</v>
      </c>
      <c r="AV3216" s="246" t="s">
        <v>635</v>
      </c>
      <c r="AW3216" s="227"/>
      <c r="AX3216" s="227"/>
      <c r="AY3216" s="227"/>
      <c r="AZ3216" s="227"/>
      <c r="BA3216" s="227"/>
      <c r="BB3216" s="227"/>
      <c r="BC3216" s="227"/>
      <c r="BD3216" s="227"/>
      <c r="BE3216" s="227"/>
      <c r="BF3216" s="227"/>
    </row>
    <row r="3217">
      <c r="A3217" s="235" t="s">
        <v>24201</v>
      </c>
      <c r="C3217" s="235" t="s">
        <v>24202</v>
      </c>
      <c r="D3217" s="235" t="s">
        <v>24203</v>
      </c>
      <c r="E3217" s="243">
        <v>6.52E13</v>
      </c>
      <c r="F3217" s="245"/>
      <c r="G3217" s="235" t="s">
        <v>24204</v>
      </c>
      <c r="H3217" s="235" t="s">
        <v>24205</v>
      </c>
      <c r="I3217" s="235" t="s">
        <v>24205</v>
      </c>
      <c r="J3217" s="235" t="s">
        <v>24206</v>
      </c>
      <c r="K3217" s="235" t="s">
        <v>24207</v>
      </c>
      <c r="N3217" s="235" t="s">
        <v>53</v>
      </c>
      <c r="O3217" s="235" t="s">
        <v>512</v>
      </c>
      <c r="P3217" s="238">
        <v>1.0</v>
      </c>
      <c r="Q3217" s="235" t="s">
        <v>627</v>
      </c>
      <c r="R3217" s="238">
        <v>237.14</v>
      </c>
      <c r="S3217" s="238">
        <v>11.86</v>
      </c>
      <c r="T3217" s="238">
        <v>0.0</v>
      </c>
      <c r="U3217" s="238">
        <v>0.0</v>
      </c>
      <c r="V3217" s="238">
        <v>0.0</v>
      </c>
      <c r="W3217" s="238">
        <v>0.0</v>
      </c>
      <c r="X3217" s="235" t="s">
        <v>628</v>
      </c>
      <c r="Z3217" s="245"/>
      <c r="AA3217" s="245"/>
      <c r="AB3217" s="245"/>
      <c r="AC3217" s="235" t="s">
        <v>697</v>
      </c>
      <c r="AD3217" s="235" t="s">
        <v>698</v>
      </c>
      <c r="AE3217" s="238">
        <v>500072.0</v>
      </c>
      <c r="AF3217" s="235" t="s">
        <v>631</v>
      </c>
      <c r="AG3217" s="245"/>
      <c r="AH3217" s="245"/>
      <c r="AI3217" s="245"/>
      <c r="AJ3217" s="245"/>
      <c r="AK3217" s="245"/>
      <c r="AL3217" s="245"/>
      <c r="AM3217" s="245"/>
      <c r="AN3217" s="245"/>
      <c r="AO3217" s="238">
        <v>0.0</v>
      </c>
      <c r="AP3217" s="238">
        <v>0.0</v>
      </c>
      <c r="AQ3217" s="235" t="s">
        <v>632</v>
      </c>
      <c r="AR3217" s="243">
        <v>2.02E11</v>
      </c>
      <c r="AS3217" s="235" t="s">
        <v>22269</v>
      </c>
      <c r="AT3217" s="235" t="s">
        <v>155</v>
      </c>
      <c r="AU3217" s="235" t="s">
        <v>634</v>
      </c>
      <c r="AV3217" s="246" t="s">
        <v>635</v>
      </c>
      <c r="AW3217" s="227"/>
      <c r="AX3217" s="227"/>
      <c r="AY3217" s="227"/>
      <c r="AZ3217" s="227"/>
      <c r="BA3217" s="227"/>
      <c r="BB3217" s="227"/>
      <c r="BC3217" s="227"/>
      <c r="BD3217" s="227"/>
      <c r="BE3217" s="227"/>
      <c r="BF3217" s="227"/>
    </row>
    <row r="3218">
      <c r="A3218" s="235" t="s">
        <v>24208</v>
      </c>
      <c r="C3218" s="235" t="s">
        <v>24209</v>
      </c>
      <c r="D3218" s="235" t="s">
        <v>24210</v>
      </c>
      <c r="E3218" s="243">
        <v>6.52E13</v>
      </c>
      <c r="F3218" s="245"/>
      <c r="G3218" s="235" t="s">
        <v>24211</v>
      </c>
      <c r="H3218" s="235" t="s">
        <v>24212</v>
      </c>
      <c r="I3218" s="235" t="s">
        <v>24212</v>
      </c>
      <c r="J3218" s="235" t="s">
        <v>24213</v>
      </c>
      <c r="K3218" s="235" t="s">
        <v>24214</v>
      </c>
      <c r="N3218" s="235" t="s">
        <v>54</v>
      </c>
      <c r="O3218" s="235" t="s">
        <v>294</v>
      </c>
      <c r="P3218" s="238">
        <v>1.0</v>
      </c>
      <c r="Q3218" s="235" t="s">
        <v>627</v>
      </c>
      <c r="R3218" s="238">
        <v>246.66</v>
      </c>
      <c r="S3218" s="238">
        <v>12.34</v>
      </c>
      <c r="T3218" s="238">
        <v>0.0</v>
      </c>
      <c r="U3218" s="238">
        <v>0.0</v>
      </c>
      <c r="V3218" s="238">
        <v>0.0</v>
      </c>
      <c r="W3218" s="238">
        <v>0.0</v>
      </c>
      <c r="X3218" s="235" t="s">
        <v>628</v>
      </c>
      <c r="Z3218" s="245"/>
      <c r="AA3218" s="245"/>
      <c r="AB3218" s="245"/>
      <c r="AC3218" s="235" t="s">
        <v>678</v>
      </c>
      <c r="AD3218" s="235" t="s">
        <v>679</v>
      </c>
      <c r="AE3218" s="238">
        <v>560076.0</v>
      </c>
      <c r="AF3218" s="235" t="s">
        <v>631</v>
      </c>
      <c r="AG3218" s="245"/>
      <c r="AH3218" s="245"/>
      <c r="AI3218" s="245"/>
      <c r="AJ3218" s="245"/>
      <c r="AK3218" s="245"/>
      <c r="AL3218" s="245"/>
      <c r="AM3218" s="245"/>
      <c r="AN3218" s="245"/>
      <c r="AO3218" s="238">
        <v>0.0</v>
      </c>
      <c r="AP3218" s="238">
        <v>0.0</v>
      </c>
      <c r="AQ3218" s="235" t="s">
        <v>632</v>
      </c>
      <c r="AR3218" s="243">
        <v>1.68E11</v>
      </c>
      <c r="AS3218" s="235" t="s">
        <v>24095</v>
      </c>
      <c r="AT3218" s="235" t="s">
        <v>11</v>
      </c>
      <c r="AU3218" s="235" t="s">
        <v>634</v>
      </c>
      <c r="AV3218" s="246" t="s">
        <v>635</v>
      </c>
      <c r="AW3218" s="227"/>
      <c r="AX3218" s="227"/>
      <c r="AY3218" s="227"/>
      <c r="AZ3218" s="227"/>
      <c r="BA3218" s="227"/>
      <c r="BB3218" s="227"/>
      <c r="BC3218" s="227"/>
      <c r="BD3218" s="227"/>
      <c r="BE3218" s="227"/>
      <c r="BF3218" s="227"/>
    </row>
    <row r="3219">
      <c r="A3219" s="235" t="s">
        <v>24215</v>
      </c>
      <c r="C3219" s="235" t="s">
        <v>24216</v>
      </c>
      <c r="D3219" s="235" t="s">
        <v>24217</v>
      </c>
      <c r="E3219" s="243">
        <v>6.52E13</v>
      </c>
      <c r="F3219" s="245"/>
      <c r="G3219" s="235" t="s">
        <v>24218</v>
      </c>
      <c r="H3219" s="235" t="s">
        <v>24219</v>
      </c>
      <c r="I3219" s="235" t="s">
        <v>24219</v>
      </c>
      <c r="J3219" s="235" t="s">
        <v>24220</v>
      </c>
      <c r="K3219" s="235" t="s">
        <v>24221</v>
      </c>
      <c r="N3219" s="235" t="s">
        <v>130</v>
      </c>
      <c r="O3219" s="235" t="s">
        <v>707</v>
      </c>
      <c r="P3219" s="238">
        <v>1.0</v>
      </c>
      <c r="Q3219" s="235" t="s">
        <v>627</v>
      </c>
      <c r="R3219" s="238">
        <v>246.66</v>
      </c>
      <c r="S3219" s="238">
        <v>12.1</v>
      </c>
      <c r="T3219" s="238">
        <v>0.0</v>
      </c>
      <c r="U3219" s="238">
        <v>0.0</v>
      </c>
      <c r="V3219" s="238">
        <v>0.0</v>
      </c>
      <c r="W3219" s="238">
        <v>0.0</v>
      </c>
      <c r="X3219" s="235" t="s">
        <v>628</v>
      </c>
      <c r="Z3219" s="245"/>
      <c r="AA3219" s="245"/>
      <c r="AB3219" s="245"/>
      <c r="AC3219" s="235" t="s">
        <v>678</v>
      </c>
      <c r="AD3219" s="235" t="s">
        <v>679</v>
      </c>
      <c r="AE3219" s="238">
        <v>560076.0</v>
      </c>
      <c r="AF3219" s="235" t="s">
        <v>631</v>
      </c>
      <c r="AG3219" s="245"/>
      <c r="AH3219" s="245"/>
      <c r="AI3219" s="245"/>
      <c r="AJ3219" s="245"/>
      <c r="AK3219" s="245"/>
      <c r="AL3219" s="245"/>
      <c r="AM3219" s="245"/>
      <c r="AN3219" s="245"/>
      <c r="AO3219" s="238">
        <v>-4.94</v>
      </c>
      <c r="AP3219" s="238">
        <v>0.0</v>
      </c>
      <c r="AQ3219" s="235" t="s">
        <v>632</v>
      </c>
      <c r="AR3219" s="243">
        <v>1.68E11</v>
      </c>
      <c r="AS3219" s="235" t="s">
        <v>24095</v>
      </c>
      <c r="AT3219" s="235" t="s">
        <v>11</v>
      </c>
      <c r="AU3219" s="235" t="s">
        <v>634</v>
      </c>
      <c r="AV3219" s="246" t="s">
        <v>635</v>
      </c>
      <c r="AW3219" s="227"/>
      <c r="AX3219" s="227"/>
      <c r="AY3219" s="227"/>
      <c r="AZ3219" s="227"/>
      <c r="BA3219" s="227"/>
      <c r="BB3219" s="227"/>
      <c r="BC3219" s="227"/>
      <c r="BD3219" s="227"/>
      <c r="BE3219" s="227"/>
      <c r="BF3219" s="227"/>
    </row>
    <row r="3220">
      <c r="A3220" s="235" t="s">
        <v>24222</v>
      </c>
      <c r="C3220" s="235" t="s">
        <v>24223</v>
      </c>
      <c r="D3220" s="235" t="s">
        <v>24224</v>
      </c>
      <c r="E3220" s="243">
        <v>6.51E13</v>
      </c>
      <c r="F3220" s="245"/>
      <c r="G3220" s="235" t="s">
        <v>24225</v>
      </c>
      <c r="H3220" s="235" t="s">
        <v>24226</v>
      </c>
      <c r="I3220" s="235" t="s">
        <v>24227</v>
      </c>
      <c r="J3220" s="235" t="s">
        <v>24228</v>
      </c>
      <c r="K3220" s="235" t="s">
        <v>24229</v>
      </c>
      <c r="N3220" s="235" t="s">
        <v>120</v>
      </c>
      <c r="O3220" s="235" t="s">
        <v>324</v>
      </c>
      <c r="P3220" s="238">
        <v>1.0</v>
      </c>
      <c r="Q3220" s="235" t="s">
        <v>627</v>
      </c>
      <c r="R3220" s="238">
        <v>233.33</v>
      </c>
      <c r="S3220" s="238">
        <v>11.32</v>
      </c>
      <c r="T3220" s="238">
        <v>0.0</v>
      </c>
      <c r="U3220" s="238">
        <v>0.0</v>
      </c>
      <c r="V3220" s="238">
        <v>0.0</v>
      </c>
      <c r="W3220" s="238">
        <v>0.0</v>
      </c>
      <c r="X3220" s="235" t="s">
        <v>628</v>
      </c>
      <c r="Z3220" s="245"/>
      <c r="AA3220" s="245"/>
      <c r="AB3220" s="245"/>
      <c r="AC3220" s="235" t="s">
        <v>1887</v>
      </c>
      <c r="AD3220" s="235" t="s">
        <v>679</v>
      </c>
      <c r="AE3220" s="238">
        <v>560109.0</v>
      </c>
      <c r="AF3220" s="235" t="s">
        <v>631</v>
      </c>
      <c r="AG3220" s="245"/>
      <c r="AH3220" s="245"/>
      <c r="AI3220" s="245"/>
      <c r="AJ3220" s="245"/>
      <c r="AK3220" s="245"/>
      <c r="AL3220" s="245"/>
      <c r="AM3220" s="245"/>
      <c r="AN3220" s="245"/>
      <c r="AO3220" s="238">
        <v>-7.0</v>
      </c>
      <c r="AP3220" s="238">
        <v>0.0</v>
      </c>
      <c r="AQ3220" s="235" t="s">
        <v>632</v>
      </c>
      <c r="AR3220" s="243">
        <v>2.02E11</v>
      </c>
      <c r="AS3220" s="235" t="s">
        <v>22269</v>
      </c>
      <c r="AT3220" s="235" t="s">
        <v>533</v>
      </c>
      <c r="AU3220" s="235" t="s">
        <v>634</v>
      </c>
      <c r="AV3220" s="246" t="s">
        <v>635</v>
      </c>
      <c r="AW3220" s="227"/>
      <c r="AX3220" s="227"/>
      <c r="AY3220" s="227"/>
      <c r="AZ3220" s="227"/>
      <c r="BA3220" s="227"/>
      <c r="BB3220" s="227"/>
      <c r="BC3220" s="227"/>
      <c r="BD3220" s="227"/>
      <c r="BE3220" s="227"/>
      <c r="BF3220" s="227"/>
    </row>
    <row r="3221">
      <c r="A3221" s="235" t="s">
        <v>24230</v>
      </c>
      <c r="C3221" s="235" t="s">
        <v>24231</v>
      </c>
      <c r="D3221" s="235" t="s">
        <v>24232</v>
      </c>
      <c r="E3221" s="243">
        <v>6.52E13</v>
      </c>
      <c r="F3221" s="245"/>
      <c r="G3221" s="235" t="s">
        <v>24233</v>
      </c>
      <c r="H3221" s="235" t="s">
        <v>24234</v>
      </c>
      <c r="I3221" s="235" t="s">
        <v>24235</v>
      </c>
      <c r="J3221" s="235" t="s">
        <v>24236</v>
      </c>
      <c r="K3221" s="235" t="s">
        <v>24237</v>
      </c>
      <c r="N3221" s="235" t="s">
        <v>51</v>
      </c>
      <c r="O3221" s="235" t="s">
        <v>273</v>
      </c>
      <c r="P3221" s="238">
        <v>1.0</v>
      </c>
      <c r="Q3221" s="235" t="s">
        <v>627</v>
      </c>
      <c r="R3221" s="238">
        <v>233.34</v>
      </c>
      <c r="S3221" s="238">
        <v>11.43</v>
      </c>
      <c r="T3221" s="238">
        <v>0.0</v>
      </c>
      <c r="U3221" s="238">
        <v>0.0</v>
      </c>
      <c r="V3221" s="238">
        <v>0.0</v>
      </c>
      <c r="W3221" s="238">
        <v>0.0</v>
      </c>
      <c r="X3221" s="235" t="s">
        <v>628</v>
      </c>
      <c r="Z3221" s="245"/>
      <c r="AA3221" s="245"/>
      <c r="AB3221" s="245"/>
      <c r="AC3221" s="235" t="s">
        <v>687</v>
      </c>
      <c r="AD3221" s="235" t="s">
        <v>666</v>
      </c>
      <c r="AE3221" s="238">
        <v>600061.0</v>
      </c>
      <c r="AF3221" s="235" t="s">
        <v>631</v>
      </c>
      <c r="AG3221" s="245"/>
      <c r="AH3221" s="245"/>
      <c r="AI3221" s="245"/>
      <c r="AJ3221" s="245"/>
      <c r="AK3221" s="245"/>
      <c r="AL3221" s="245"/>
      <c r="AM3221" s="245"/>
      <c r="AN3221" s="245"/>
      <c r="AO3221" s="238">
        <v>-4.67</v>
      </c>
      <c r="AP3221" s="238">
        <v>0.0</v>
      </c>
      <c r="AQ3221" s="235" t="s">
        <v>632</v>
      </c>
      <c r="AR3221" s="243">
        <v>1.68E11</v>
      </c>
      <c r="AS3221" s="235" t="s">
        <v>24095</v>
      </c>
      <c r="AT3221" s="235" t="s">
        <v>156</v>
      </c>
      <c r="AU3221" s="235" t="s">
        <v>634</v>
      </c>
      <c r="AV3221" s="246" t="s">
        <v>635</v>
      </c>
      <c r="AW3221" s="227"/>
      <c r="AX3221" s="227"/>
      <c r="AY3221" s="227"/>
      <c r="AZ3221" s="227"/>
      <c r="BA3221" s="227"/>
      <c r="BB3221" s="227"/>
      <c r="BC3221" s="227"/>
      <c r="BD3221" s="227"/>
      <c r="BE3221" s="227"/>
      <c r="BF3221" s="227"/>
    </row>
    <row r="3222">
      <c r="A3222" s="235" t="s">
        <v>24238</v>
      </c>
      <c r="C3222" s="235" t="s">
        <v>24239</v>
      </c>
      <c r="D3222" s="235" t="s">
        <v>24240</v>
      </c>
      <c r="E3222" s="243">
        <v>6.52E13</v>
      </c>
      <c r="F3222" s="245"/>
      <c r="G3222" s="235" t="s">
        <v>24241</v>
      </c>
      <c r="H3222" s="235" t="s">
        <v>24242</v>
      </c>
      <c r="I3222" s="235" t="s">
        <v>24242</v>
      </c>
      <c r="J3222" s="235" t="s">
        <v>24243</v>
      </c>
      <c r="K3222" s="235" t="s">
        <v>24244</v>
      </c>
      <c r="N3222" s="235" t="s">
        <v>127</v>
      </c>
      <c r="O3222" s="235" t="s">
        <v>794</v>
      </c>
      <c r="P3222" s="238">
        <v>1.0</v>
      </c>
      <c r="Q3222" s="235" t="s">
        <v>627</v>
      </c>
      <c r="R3222" s="238">
        <v>243.8</v>
      </c>
      <c r="S3222" s="238">
        <v>12.2</v>
      </c>
      <c r="T3222" s="238">
        <v>0.0</v>
      </c>
      <c r="U3222" s="238">
        <v>0.0</v>
      </c>
      <c r="V3222" s="238">
        <v>0.0</v>
      </c>
      <c r="W3222" s="238">
        <v>0.0</v>
      </c>
      <c r="X3222" s="235" t="s">
        <v>628</v>
      </c>
      <c r="Z3222" s="245"/>
      <c r="AA3222" s="245"/>
      <c r="AB3222" s="245"/>
      <c r="AC3222" s="235" t="s">
        <v>24245</v>
      </c>
      <c r="AD3222" s="235" t="s">
        <v>1077</v>
      </c>
      <c r="AE3222" s="238">
        <v>370201.0</v>
      </c>
      <c r="AF3222" s="235" t="s">
        <v>631</v>
      </c>
      <c r="AG3222" s="245"/>
      <c r="AH3222" s="245"/>
      <c r="AI3222" s="245"/>
      <c r="AJ3222" s="245"/>
      <c r="AK3222" s="245"/>
      <c r="AL3222" s="245"/>
      <c r="AM3222" s="245"/>
      <c r="AN3222" s="245"/>
      <c r="AO3222" s="238">
        <v>0.0</v>
      </c>
      <c r="AP3222" s="238">
        <v>0.0</v>
      </c>
      <c r="AQ3222" s="235" t="s">
        <v>632</v>
      </c>
      <c r="AR3222" s="243">
        <v>3.71E11</v>
      </c>
      <c r="AS3222" s="235" t="s">
        <v>20529</v>
      </c>
      <c r="AT3222" s="235" t="s">
        <v>5</v>
      </c>
      <c r="AU3222" s="235" t="s">
        <v>634</v>
      </c>
      <c r="AV3222" s="246" t="s">
        <v>635</v>
      </c>
      <c r="AW3222" s="227"/>
      <c r="AX3222" s="227"/>
      <c r="AY3222" s="227"/>
      <c r="AZ3222" s="227"/>
      <c r="BA3222" s="227"/>
      <c r="BB3222" s="227"/>
      <c r="BC3222" s="227"/>
      <c r="BD3222" s="227"/>
      <c r="BE3222" s="227"/>
      <c r="BF3222" s="227"/>
    </row>
    <row r="3223">
      <c r="A3223" s="235" t="s">
        <v>24246</v>
      </c>
      <c r="C3223" s="235" t="s">
        <v>24247</v>
      </c>
      <c r="D3223" s="235" t="s">
        <v>24248</v>
      </c>
      <c r="E3223" s="243">
        <v>6.52E13</v>
      </c>
      <c r="F3223" s="245"/>
      <c r="G3223" s="235" t="s">
        <v>24249</v>
      </c>
      <c r="H3223" s="235" t="s">
        <v>24250</v>
      </c>
      <c r="I3223" s="235" t="s">
        <v>24250</v>
      </c>
      <c r="J3223" s="235" t="s">
        <v>24251</v>
      </c>
      <c r="K3223" s="235" t="s">
        <v>24252</v>
      </c>
      <c r="N3223" s="235" t="s">
        <v>127</v>
      </c>
      <c r="O3223" s="235" t="s">
        <v>794</v>
      </c>
      <c r="P3223" s="238">
        <v>1.0</v>
      </c>
      <c r="Q3223" s="235" t="s">
        <v>627</v>
      </c>
      <c r="R3223" s="238">
        <v>242.86</v>
      </c>
      <c r="S3223" s="238">
        <v>11.9</v>
      </c>
      <c r="T3223" s="238">
        <v>0.0</v>
      </c>
      <c r="U3223" s="238">
        <v>0.0</v>
      </c>
      <c r="V3223" s="238">
        <v>0.0</v>
      </c>
      <c r="W3223" s="238">
        <v>0.0</v>
      </c>
      <c r="X3223" s="235" t="s">
        <v>628</v>
      </c>
      <c r="Z3223" s="245"/>
      <c r="AA3223" s="245"/>
      <c r="AB3223" s="245"/>
      <c r="AC3223" s="235" t="s">
        <v>5091</v>
      </c>
      <c r="AD3223" s="235" t="s">
        <v>845</v>
      </c>
      <c r="AE3223" s="238">
        <v>440015.0</v>
      </c>
      <c r="AF3223" s="235" t="s">
        <v>631</v>
      </c>
      <c r="AG3223" s="245"/>
      <c r="AH3223" s="245"/>
      <c r="AI3223" s="245"/>
      <c r="AJ3223" s="245"/>
      <c r="AK3223" s="245"/>
      <c r="AL3223" s="245"/>
      <c r="AM3223" s="245"/>
      <c r="AN3223" s="245"/>
      <c r="AO3223" s="238">
        <v>-4.86</v>
      </c>
      <c r="AP3223" s="238">
        <v>0.0</v>
      </c>
      <c r="AQ3223" s="235" t="s">
        <v>632</v>
      </c>
      <c r="AR3223" s="243">
        <v>3.71E11</v>
      </c>
      <c r="AS3223" s="235" t="s">
        <v>20529</v>
      </c>
      <c r="AT3223" s="235" t="s">
        <v>17</v>
      </c>
      <c r="AU3223" s="235" t="s">
        <v>634</v>
      </c>
      <c r="AV3223" s="246" t="s">
        <v>635</v>
      </c>
      <c r="AW3223" s="227"/>
      <c r="AX3223" s="227"/>
      <c r="AY3223" s="227"/>
      <c r="AZ3223" s="227"/>
      <c r="BA3223" s="227"/>
      <c r="BB3223" s="227"/>
      <c r="BC3223" s="227"/>
      <c r="BD3223" s="227"/>
      <c r="BE3223" s="227"/>
      <c r="BF3223" s="227"/>
    </row>
    <row r="3224">
      <c r="A3224" s="235" t="s">
        <v>24253</v>
      </c>
      <c r="C3224" s="235" t="s">
        <v>24254</v>
      </c>
      <c r="D3224" s="235" t="s">
        <v>24255</v>
      </c>
      <c r="E3224" s="243">
        <v>6.52E13</v>
      </c>
      <c r="F3224" s="245"/>
      <c r="G3224" s="235" t="s">
        <v>24256</v>
      </c>
      <c r="H3224" s="235" t="s">
        <v>24257</v>
      </c>
      <c r="I3224" s="235" t="s">
        <v>24257</v>
      </c>
      <c r="J3224" s="235" t="s">
        <v>24258</v>
      </c>
      <c r="K3224" s="235" t="s">
        <v>24259</v>
      </c>
      <c r="N3224" s="235" t="s">
        <v>15</v>
      </c>
      <c r="O3224" s="235" t="s">
        <v>856</v>
      </c>
      <c r="P3224" s="238">
        <v>1.0</v>
      </c>
      <c r="Q3224" s="235" t="s">
        <v>627</v>
      </c>
      <c r="R3224" s="238">
        <v>357.14</v>
      </c>
      <c r="S3224" s="238">
        <v>17.86</v>
      </c>
      <c r="T3224" s="238">
        <v>0.0</v>
      </c>
      <c r="U3224" s="238">
        <v>0.0</v>
      </c>
      <c r="V3224" s="238">
        <v>0.0</v>
      </c>
      <c r="W3224" s="238">
        <v>0.0</v>
      </c>
      <c r="X3224" s="235" t="s">
        <v>628</v>
      </c>
      <c r="Z3224" s="245"/>
      <c r="AA3224" s="245"/>
      <c r="AB3224" s="245"/>
      <c r="AC3224" s="235" t="s">
        <v>678</v>
      </c>
      <c r="AD3224" s="235" t="s">
        <v>679</v>
      </c>
      <c r="AE3224" s="238">
        <v>560034.0</v>
      </c>
      <c r="AF3224" s="235" t="s">
        <v>631</v>
      </c>
      <c r="AG3224" s="245"/>
      <c r="AH3224" s="245"/>
      <c r="AI3224" s="245"/>
      <c r="AJ3224" s="245"/>
      <c r="AK3224" s="245"/>
      <c r="AL3224" s="245"/>
      <c r="AM3224" s="245"/>
      <c r="AN3224" s="245"/>
      <c r="AO3224" s="238">
        <v>0.0</v>
      </c>
      <c r="AP3224" s="238">
        <v>0.0</v>
      </c>
      <c r="AQ3224" s="235" t="s">
        <v>632</v>
      </c>
      <c r="AR3224" s="243">
        <v>1.68E11</v>
      </c>
      <c r="AS3224" s="235" t="s">
        <v>24095</v>
      </c>
      <c r="AT3224" s="235" t="s">
        <v>9</v>
      </c>
      <c r="AU3224" s="235" t="s">
        <v>634</v>
      </c>
      <c r="AV3224" s="246" t="s">
        <v>635</v>
      </c>
      <c r="AW3224" s="227"/>
      <c r="AX3224" s="227"/>
      <c r="AY3224" s="227"/>
      <c r="AZ3224" s="227"/>
      <c r="BA3224" s="227"/>
      <c r="BB3224" s="227"/>
      <c r="BC3224" s="227"/>
      <c r="BD3224" s="227"/>
      <c r="BE3224" s="227"/>
      <c r="BF3224" s="227"/>
    </row>
    <row r="3225">
      <c r="A3225" s="235" t="s">
        <v>24260</v>
      </c>
      <c r="C3225" s="235" t="s">
        <v>24261</v>
      </c>
      <c r="D3225" s="235" t="s">
        <v>24262</v>
      </c>
      <c r="E3225" s="243">
        <v>6.51E13</v>
      </c>
      <c r="F3225" s="245"/>
      <c r="G3225" s="235" t="s">
        <v>24263</v>
      </c>
      <c r="H3225" s="235" t="s">
        <v>24257</v>
      </c>
      <c r="I3225" s="235" t="s">
        <v>24257</v>
      </c>
      <c r="J3225" s="235" t="s">
        <v>24264</v>
      </c>
      <c r="K3225" s="235" t="s">
        <v>24265</v>
      </c>
      <c r="N3225" s="235" t="s">
        <v>47</v>
      </c>
      <c r="O3225" s="235" t="s">
        <v>270</v>
      </c>
      <c r="P3225" s="238">
        <v>1.0</v>
      </c>
      <c r="Q3225" s="235" t="s">
        <v>627</v>
      </c>
      <c r="R3225" s="238">
        <v>236.19</v>
      </c>
      <c r="S3225" s="238">
        <v>11.57</v>
      </c>
      <c r="T3225" s="238">
        <v>38.1</v>
      </c>
      <c r="U3225" s="238">
        <v>1.9</v>
      </c>
      <c r="V3225" s="238">
        <v>0.0</v>
      </c>
      <c r="W3225" s="238">
        <v>0.0</v>
      </c>
      <c r="X3225" s="235" t="s">
        <v>628</v>
      </c>
      <c r="Z3225" s="245"/>
      <c r="AA3225" s="245"/>
      <c r="AB3225" s="245"/>
      <c r="AC3225" s="235" t="s">
        <v>814</v>
      </c>
      <c r="AD3225" s="235" t="s">
        <v>698</v>
      </c>
      <c r="AE3225" s="238">
        <v>500043.0</v>
      </c>
      <c r="AF3225" s="235" t="s">
        <v>631</v>
      </c>
      <c r="AG3225" s="245"/>
      <c r="AH3225" s="245"/>
      <c r="AI3225" s="245"/>
      <c r="AJ3225" s="245"/>
      <c r="AK3225" s="245"/>
      <c r="AL3225" s="245"/>
      <c r="AM3225" s="245"/>
      <c r="AN3225" s="245"/>
      <c r="AO3225" s="238">
        <v>-4.72</v>
      </c>
      <c r="AP3225" s="238">
        <v>-38.1</v>
      </c>
      <c r="AQ3225" s="235" t="s">
        <v>632</v>
      </c>
      <c r="AR3225" s="243">
        <v>3.71E11</v>
      </c>
      <c r="AS3225" s="235" t="s">
        <v>20529</v>
      </c>
      <c r="AT3225" s="235" t="s">
        <v>17</v>
      </c>
      <c r="AU3225" s="235" t="s">
        <v>634</v>
      </c>
      <c r="AV3225" s="246" t="s">
        <v>635</v>
      </c>
      <c r="AW3225" s="227"/>
      <c r="AX3225" s="227"/>
      <c r="AY3225" s="227"/>
      <c r="AZ3225" s="227"/>
      <c r="BA3225" s="227"/>
      <c r="BB3225" s="227"/>
      <c r="BC3225" s="227"/>
      <c r="BD3225" s="227"/>
      <c r="BE3225" s="227"/>
      <c r="BF3225" s="227"/>
    </row>
    <row r="3226">
      <c r="A3226" s="235" t="s">
        <v>24266</v>
      </c>
      <c r="C3226" s="235" t="s">
        <v>24267</v>
      </c>
      <c r="D3226" s="235" t="s">
        <v>24268</v>
      </c>
      <c r="E3226" s="243">
        <v>6.52E13</v>
      </c>
      <c r="F3226" s="245"/>
      <c r="G3226" s="235" t="s">
        <v>24269</v>
      </c>
      <c r="H3226" s="235" t="s">
        <v>24270</v>
      </c>
      <c r="I3226" s="235" t="s">
        <v>24271</v>
      </c>
      <c r="J3226" s="235" t="s">
        <v>24272</v>
      </c>
      <c r="K3226" s="235" t="s">
        <v>24273</v>
      </c>
      <c r="N3226" s="235" t="s">
        <v>85</v>
      </c>
      <c r="O3226" s="235" t="s">
        <v>872</v>
      </c>
      <c r="P3226" s="238">
        <v>1.0</v>
      </c>
      <c r="Q3226" s="235" t="s">
        <v>627</v>
      </c>
      <c r="R3226" s="238">
        <v>246.66</v>
      </c>
      <c r="S3226" s="238">
        <v>12.34</v>
      </c>
      <c r="T3226" s="238">
        <v>0.0</v>
      </c>
      <c r="U3226" s="238">
        <v>0.0</v>
      </c>
      <c r="V3226" s="238">
        <v>0.0</v>
      </c>
      <c r="W3226" s="238">
        <v>0.0</v>
      </c>
      <c r="X3226" s="235" t="s">
        <v>628</v>
      </c>
      <c r="Z3226" s="245"/>
      <c r="AA3226" s="245"/>
      <c r="AB3226" s="245"/>
      <c r="AC3226" s="235" t="s">
        <v>678</v>
      </c>
      <c r="AD3226" s="235" t="s">
        <v>679</v>
      </c>
      <c r="AE3226" s="238">
        <v>560066.0</v>
      </c>
      <c r="AF3226" s="235" t="s">
        <v>631</v>
      </c>
      <c r="AG3226" s="245"/>
      <c r="AH3226" s="245"/>
      <c r="AI3226" s="245"/>
      <c r="AJ3226" s="245"/>
      <c r="AK3226" s="245"/>
      <c r="AL3226" s="245"/>
      <c r="AM3226" s="245"/>
      <c r="AN3226" s="245"/>
      <c r="AO3226" s="238">
        <v>0.0</v>
      </c>
      <c r="AP3226" s="238">
        <v>0.0</v>
      </c>
      <c r="AQ3226" s="235" t="s">
        <v>632</v>
      </c>
      <c r="AR3226" s="243">
        <v>1.68E11</v>
      </c>
      <c r="AS3226" s="235" t="s">
        <v>24095</v>
      </c>
      <c r="AT3226" s="235" t="s">
        <v>9</v>
      </c>
      <c r="AU3226" s="235" t="s">
        <v>634</v>
      </c>
      <c r="AV3226" s="246" t="s">
        <v>635</v>
      </c>
      <c r="AW3226" s="227"/>
      <c r="AX3226" s="227"/>
      <c r="AY3226" s="227"/>
      <c r="AZ3226" s="227"/>
      <c r="BA3226" s="227"/>
      <c r="BB3226" s="227"/>
      <c r="BC3226" s="227"/>
      <c r="BD3226" s="227"/>
      <c r="BE3226" s="227"/>
      <c r="BF3226" s="227"/>
    </row>
    <row r="3227">
      <c r="A3227" s="235" t="s">
        <v>24274</v>
      </c>
      <c r="C3227" s="235" t="s">
        <v>24275</v>
      </c>
      <c r="D3227" s="235" t="s">
        <v>24276</v>
      </c>
      <c r="E3227" s="243">
        <v>6.52E13</v>
      </c>
      <c r="F3227" s="245"/>
      <c r="G3227" s="235" t="s">
        <v>24277</v>
      </c>
      <c r="H3227" s="235" t="s">
        <v>24278</v>
      </c>
      <c r="I3227" s="235" t="s">
        <v>24279</v>
      </c>
      <c r="J3227" s="235" t="s">
        <v>24280</v>
      </c>
      <c r="K3227" s="235" t="s">
        <v>24281</v>
      </c>
      <c r="N3227" s="235" t="s">
        <v>3</v>
      </c>
      <c r="O3227" s="235" t="s">
        <v>654</v>
      </c>
      <c r="P3227" s="238">
        <v>1.0</v>
      </c>
      <c r="Q3227" s="235" t="s">
        <v>627</v>
      </c>
      <c r="R3227" s="238">
        <v>265.72</v>
      </c>
      <c r="S3227" s="238">
        <v>13.28</v>
      </c>
      <c r="T3227" s="238">
        <v>0.0</v>
      </c>
      <c r="U3227" s="238">
        <v>0.0</v>
      </c>
      <c r="V3227" s="238">
        <v>0.0</v>
      </c>
      <c r="W3227" s="238">
        <v>0.0</v>
      </c>
      <c r="X3227" s="235" t="s">
        <v>628</v>
      </c>
      <c r="Z3227" s="245"/>
      <c r="AA3227" s="245"/>
      <c r="AB3227" s="245"/>
      <c r="AC3227" s="235" t="s">
        <v>1887</v>
      </c>
      <c r="AD3227" s="235" t="s">
        <v>679</v>
      </c>
      <c r="AE3227" s="238">
        <v>560087.0</v>
      </c>
      <c r="AF3227" s="235" t="s">
        <v>631</v>
      </c>
      <c r="AG3227" s="245"/>
      <c r="AH3227" s="245"/>
      <c r="AI3227" s="245"/>
      <c r="AJ3227" s="245"/>
      <c r="AK3227" s="245"/>
      <c r="AL3227" s="245"/>
      <c r="AM3227" s="245"/>
      <c r="AN3227" s="245"/>
      <c r="AO3227" s="238">
        <v>0.0</v>
      </c>
      <c r="AP3227" s="238">
        <v>0.0</v>
      </c>
      <c r="AQ3227" s="235" t="s">
        <v>632</v>
      </c>
      <c r="AR3227" s="243">
        <v>1.68E11</v>
      </c>
      <c r="AS3227" s="235" t="s">
        <v>24095</v>
      </c>
      <c r="AT3227" s="235" t="s">
        <v>9</v>
      </c>
      <c r="AU3227" s="235" t="s">
        <v>634</v>
      </c>
      <c r="AV3227" s="246" t="s">
        <v>635</v>
      </c>
      <c r="AW3227" s="227"/>
      <c r="AX3227" s="227"/>
      <c r="AY3227" s="227"/>
      <c r="AZ3227" s="227"/>
      <c r="BA3227" s="227"/>
      <c r="BB3227" s="227"/>
      <c r="BC3227" s="227"/>
      <c r="BD3227" s="227"/>
      <c r="BE3227" s="227"/>
      <c r="BF3227" s="227"/>
    </row>
    <row r="3228">
      <c r="A3228" s="235" t="s">
        <v>24282</v>
      </c>
      <c r="C3228" s="235" t="s">
        <v>24283</v>
      </c>
      <c r="D3228" s="235" t="s">
        <v>24284</v>
      </c>
      <c r="E3228" s="243">
        <v>6.52E13</v>
      </c>
      <c r="F3228" s="245"/>
      <c r="G3228" s="235" t="s">
        <v>24285</v>
      </c>
      <c r="H3228" s="235" t="s">
        <v>24286</v>
      </c>
      <c r="I3228" s="235" t="s">
        <v>24286</v>
      </c>
      <c r="J3228" s="235" t="s">
        <v>24287</v>
      </c>
      <c r="K3228" s="235" t="s">
        <v>24288</v>
      </c>
      <c r="N3228" s="235" t="s">
        <v>145</v>
      </c>
      <c r="O3228" s="235" t="s">
        <v>370</v>
      </c>
      <c r="P3228" s="238">
        <v>1.0</v>
      </c>
      <c r="Q3228" s="235" t="s">
        <v>627</v>
      </c>
      <c r="R3228" s="238">
        <v>1475.24</v>
      </c>
      <c r="S3228" s="238">
        <v>73.76</v>
      </c>
      <c r="T3228" s="238">
        <v>0.0</v>
      </c>
      <c r="U3228" s="238">
        <v>0.0</v>
      </c>
      <c r="V3228" s="238">
        <v>0.0</v>
      </c>
      <c r="W3228" s="238">
        <v>0.0</v>
      </c>
      <c r="X3228" s="235" t="s">
        <v>628</v>
      </c>
      <c r="Z3228" s="245"/>
      <c r="AA3228" s="245"/>
      <c r="AB3228" s="245"/>
      <c r="AC3228" s="235" t="s">
        <v>9074</v>
      </c>
      <c r="AD3228" s="235" t="s">
        <v>965</v>
      </c>
      <c r="AE3228" s="238">
        <v>175103.0</v>
      </c>
      <c r="AF3228" s="235" t="s">
        <v>631</v>
      </c>
      <c r="AG3228" s="245"/>
      <c r="AH3228" s="245"/>
      <c r="AI3228" s="245"/>
      <c r="AJ3228" s="245"/>
      <c r="AK3228" s="245"/>
      <c r="AL3228" s="245"/>
      <c r="AM3228" s="245"/>
      <c r="AN3228" s="245"/>
      <c r="AO3228" s="238">
        <v>0.0</v>
      </c>
      <c r="AP3228" s="238">
        <v>0.0</v>
      </c>
      <c r="AQ3228" s="235" t="s">
        <v>1328</v>
      </c>
      <c r="AR3228" s="243">
        <v>1.34E13</v>
      </c>
      <c r="AS3228" s="235" t="s">
        <v>16626</v>
      </c>
      <c r="AT3228" s="235" t="s">
        <v>14</v>
      </c>
      <c r="AU3228" s="235" t="s">
        <v>634</v>
      </c>
      <c r="AV3228" s="246" t="s">
        <v>635</v>
      </c>
      <c r="AW3228" s="227"/>
      <c r="AX3228" s="227"/>
      <c r="AY3228" s="227"/>
      <c r="AZ3228" s="227"/>
      <c r="BA3228" s="227"/>
      <c r="BB3228" s="227"/>
      <c r="BC3228" s="227"/>
      <c r="BD3228" s="227"/>
      <c r="BE3228" s="227"/>
      <c r="BF3228" s="227"/>
    </row>
    <row r="3229">
      <c r="A3229" s="235" t="s">
        <v>24289</v>
      </c>
      <c r="C3229" s="235" t="s">
        <v>24290</v>
      </c>
      <c r="D3229" s="235" t="s">
        <v>24291</v>
      </c>
      <c r="E3229" s="243">
        <v>6.52E13</v>
      </c>
      <c r="F3229" s="245"/>
      <c r="G3229" s="235" t="s">
        <v>24292</v>
      </c>
      <c r="H3229" s="235" t="s">
        <v>24293</v>
      </c>
      <c r="I3229" s="235" t="s">
        <v>24293</v>
      </c>
      <c r="J3229" s="235" t="s">
        <v>24294</v>
      </c>
      <c r="K3229" s="235" t="s">
        <v>24295</v>
      </c>
      <c r="N3229" s="235" t="s">
        <v>962</v>
      </c>
      <c r="O3229" s="235" t="s">
        <v>963</v>
      </c>
      <c r="P3229" s="238">
        <v>1.0</v>
      </c>
      <c r="Q3229" s="235" t="s">
        <v>627</v>
      </c>
      <c r="R3229" s="238">
        <v>246.67</v>
      </c>
      <c r="S3229" s="238">
        <v>12.33</v>
      </c>
      <c r="T3229" s="238">
        <v>0.0</v>
      </c>
      <c r="U3229" s="238">
        <v>0.0</v>
      </c>
      <c r="V3229" s="238">
        <v>0.0</v>
      </c>
      <c r="W3229" s="238">
        <v>0.0</v>
      </c>
      <c r="X3229" s="235" t="s">
        <v>628</v>
      </c>
      <c r="Z3229" s="245"/>
      <c r="AA3229" s="245"/>
      <c r="AB3229" s="245"/>
      <c r="AC3229" s="235" t="s">
        <v>1279</v>
      </c>
      <c r="AD3229" s="235" t="s">
        <v>917</v>
      </c>
      <c r="AE3229" s="238">
        <v>302026.0</v>
      </c>
      <c r="AF3229" s="235" t="s">
        <v>631</v>
      </c>
      <c r="AG3229" s="245"/>
      <c r="AH3229" s="245"/>
      <c r="AI3229" s="245"/>
      <c r="AJ3229" s="245"/>
      <c r="AK3229" s="245"/>
      <c r="AL3229" s="245"/>
      <c r="AM3229" s="245"/>
      <c r="AN3229" s="245"/>
      <c r="AO3229" s="238">
        <v>0.0</v>
      </c>
      <c r="AP3229" s="238">
        <v>0.0</v>
      </c>
      <c r="AQ3229" s="235" t="s">
        <v>632</v>
      </c>
      <c r="AR3229" s="243">
        <v>1.68E11</v>
      </c>
      <c r="AS3229" s="235" t="s">
        <v>23542</v>
      </c>
      <c r="AT3229" s="235" t="s">
        <v>533</v>
      </c>
      <c r="AU3229" s="235" t="s">
        <v>634</v>
      </c>
      <c r="AV3229" s="246" t="s">
        <v>635</v>
      </c>
      <c r="AW3229" s="227"/>
      <c r="AX3229" s="227"/>
      <c r="AY3229" s="227"/>
      <c r="AZ3229" s="227"/>
      <c r="BA3229" s="227"/>
      <c r="BB3229" s="227"/>
      <c r="BC3229" s="227"/>
      <c r="BD3229" s="227"/>
      <c r="BE3229" s="227"/>
      <c r="BF3229" s="227"/>
    </row>
    <row r="3230">
      <c r="A3230" s="235" t="s">
        <v>24296</v>
      </c>
      <c r="C3230" s="235" t="s">
        <v>24297</v>
      </c>
      <c r="D3230" s="235" t="s">
        <v>24298</v>
      </c>
      <c r="E3230" s="243">
        <v>6.52E13</v>
      </c>
      <c r="F3230" s="245"/>
      <c r="G3230" s="235" t="s">
        <v>24299</v>
      </c>
      <c r="H3230" s="235" t="s">
        <v>24300</v>
      </c>
      <c r="I3230" s="235" t="s">
        <v>24300</v>
      </c>
      <c r="J3230" s="235" t="s">
        <v>24301</v>
      </c>
      <c r="K3230" s="235" t="s">
        <v>24302</v>
      </c>
      <c r="N3230" s="235" t="s">
        <v>51</v>
      </c>
      <c r="O3230" s="235" t="s">
        <v>273</v>
      </c>
      <c r="P3230" s="238">
        <v>1.0</v>
      </c>
      <c r="Q3230" s="235" t="s">
        <v>627</v>
      </c>
      <c r="R3230" s="238">
        <v>233.34</v>
      </c>
      <c r="S3230" s="238">
        <v>11.66</v>
      </c>
      <c r="T3230" s="238">
        <v>0.0</v>
      </c>
      <c r="U3230" s="238">
        <v>0.0</v>
      </c>
      <c r="V3230" s="238">
        <v>0.0</v>
      </c>
      <c r="W3230" s="238">
        <v>0.0</v>
      </c>
      <c r="X3230" s="235" t="s">
        <v>628</v>
      </c>
      <c r="Z3230" s="245"/>
      <c r="AA3230" s="245"/>
      <c r="AB3230" s="245"/>
      <c r="AC3230" s="235" t="s">
        <v>678</v>
      </c>
      <c r="AD3230" s="235" t="s">
        <v>679</v>
      </c>
      <c r="AE3230" s="238">
        <v>560076.0</v>
      </c>
      <c r="AF3230" s="235" t="s">
        <v>631</v>
      </c>
      <c r="AG3230" s="245"/>
      <c r="AH3230" s="245"/>
      <c r="AI3230" s="245"/>
      <c r="AJ3230" s="245"/>
      <c r="AK3230" s="245"/>
      <c r="AL3230" s="245"/>
      <c r="AM3230" s="245"/>
      <c r="AN3230" s="245"/>
      <c r="AO3230" s="238">
        <v>0.0</v>
      </c>
      <c r="AP3230" s="238">
        <v>0.0</v>
      </c>
      <c r="AQ3230" s="235" t="s">
        <v>632</v>
      </c>
      <c r="AR3230" s="243">
        <v>1.68E11</v>
      </c>
      <c r="AS3230" s="235" t="s">
        <v>24095</v>
      </c>
      <c r="AT3230" s="235" t="s">
        <v>11</v>
      </c>
      <c r="AU3230" s="235" t="s">
        <v>634</v>
      </c>
      <c r="AV3230" s="246" t="s">
        <v>635</v>
      </c>
      <c r="AW3230" s="227"/>
      <c r="AX3230" s="227"/>
      <c r="AY3230" s="227"/>
      <c r="AZ3230" s="227"/>
      <c r="BA3230" s="227"/>
      <c r="BB3230" s="227"/>
      <c r="BC3230" s="227"/>
      <c r="BD3230" s="227"/>
      <c r="BE3230" s="227"/>
      <c r="BF3230" s="227"/>
    </row>
    <row r="3231">
      <c r="A3231" s="235" t="s">
        <v>24303</v>
      </c>
      <c r="C3231" s="235" t="s">
        <v>24304</v>
      </c>
      <c r="D3231" s="235" t="s">
        <v>24305</v>
      </c>
      <c r="E3231" s="243">
        <v>6.52E13</v>
      </c>
      <c r="F3231" s="245"/>
      <c r="G3231" s="235" t="s">
        <v>24306</v>
      </c>
      <c r="H3231" s="235" t="s">
        <v>24307</v>
      </c>
      <c r="I3231" s="235" t="s">
        <v>24307</v>
      </c>
      <c r="J3231" s="235" t="s">
        <v>24308</v>
      </c>
      <c r="K3231" s="235" t="s">
        <v>24309</v>
      </c>
      <c r="N3231" s="235" t="s">
        <v>42</v>
      </c>
      <c r="O3231" s="235" t="s">
        <v>204</v>
      </c>
      <c r="P3231" s="238">
        <v>1.0</v>
      </c>
      <c r="Q3231" s="235" t="s">
        <v>627</v>
      </c>
      <c r="R3231" s="238">
        <v>237.14</v>
      </c>
      <c r="S3231" s="238">
        <v>11.86</v>
      </c>
      <c r="T3231" s="238">
        <v>0.0</v>
      </c>
      <c r="U3231" s="238">
        <v>0.0</v>
      </c>
      <c r="V3231" s="238">
        <v>0.0</v>
      </c>
      <c r="W3231" s="238">
        <v>0.0</v>
      </c>
      <c r="X3231" s="235" t="s">
        <v>628</v>
      </c>
      <c r="Z3231" s="245"/>
      <c r="AA3231" s="245"/>
      <c r="AB3231" s="245"/>
      <c r="AC3231" s="235" t="s">
        <v>678</v>
      </c>
      <c r="AD3231" s="235" t="s">
        <v>679</v>
      </c>
      <c r="AE3231" s="238">
        <v>560037.0</v>
      </c>
      <c r="AF3231" s="235" t="s">
        <v>631</v>
      </c>
      <c r="AG3231" s="245"/>
      <c r="AH3231" s="245"/>
      <c r="AI3231" s="245"/>
      <c r="AJ3231" s="245"/>
      <c r="AK3231" s="245"/>
      <c r="AL3231" s="245"/>
      <c r="AM3231" s="245"/>
      <c r="AN3231" s="245"/>
      <c r="AO3231" s="238">
        <v>0.0</v>
      </c>
      <c r="AP3231" s="238">
        <v>0.0</v>
      </c>
      <c r="AQ3231" s="235" t="s">
        <v>632</v>
      </c>
      <c r="AR3231" s="243">
        <v>1.68E11</v>
      </c>
      <c r="AS3231" s="235" t="s">
        <v>24095</v>
      </c>
      <c r="AT3231" s="235" t="s">
        <v>9</v>
      </c>
      <c r="AU3231" s="235" t="s">
        <v>634</v>
      </c>
      <c r="AV3231" s="246" t="s">
        <v>635</v>
      </c>
      <c r="AW3231" s="227"/>
      <c r="AX3231" s="227"/>
      <c r="AY3231" s="227"/>
      <c r="AZ3231" s="227"/>
      <c r="BA3231" s="227"/>
      <c r="BB3231" s="227"/>
      <c r="BC3231" s="227"/>
      <c r="BD3231" s="227"/>
      <c r="BE3231" s="227"/>
      <c r="BF3231" s="227"/>
    </row>
    <row r="3232">
      <c r="A3232" s="235" t="s">
        <v>24310</v>
      </c>
      <c r="C3232" s="235" t="s">
        <v>24311</v>
      </c>
      <c r="D3232" s="235" t="s">
        <v>24312</v>
      </c>
      <c r="E3232" s="243">
        <v>6.52E13</v>
      </c>
      <c r="F3232" s="245"/>
      <c r="G3232" s="235" t="s">
        <v>24313</v>
      </c>
      <c r="H3232" s="235" t="s">
        <v>24314</v>
      </c>
      <c r="I3232" s="235" t="s">
        <v>24314</v>
      </c>
      <c r="J3232" s="235" t="s">
        <v>24315</v>
      </c>
      <c r="K3232" s="235" t="s">
        <v>24316</v>
      </c>
      <c r="N3232" s="235" t="s">
        <v>82</v>
      </c>
      <c r="O3232" s="235" t="s">
        <v>889</v>
      </c>
      <c r="P3232" s="238">
        <v>1.0</v>
      </c>
      <c r="Q3232" s="235" t="s">
        <v>627</v>
      </c>
      <c r="R3232" s="238">
        <v>246.67</v>
      </c>
      <c r="S3232" s="238">
        <v>12.33</v>
      </c>
      <c r="T3232" s="238">
        <v>0.0</v>
      </c>
      <c r="U3232" s="238">
        <v>0.0</v>
      </c>
      <c r="V3232" s="238">
        <v>0.0</v>
      </c>
      <c r="W3232" s="238">
        <v>0.0</v>
      </c>
      <c r="X3232" s="235" t="s">
        <v>628</v>
      </c>
      <c r="Z3232" s="245"/>
      <c r="AA3232" s="245"/>
      <c r="AB3232" s="245"/>
      <c r="AC3232" s="235" t="s">
        <v>697</v>
      </c>
      <c r="AD3232" s="235" t="s">
        <v>698</v>
      </c>
      <c r="AE3232" s="238">
        <v>509325.0</v>
      </c>
      <c r="AF3232" s="235" t="s">
        <v>631</v>
      </c>
      <c r="AG3232" s="245"/>
      <c r="AH3232" s="245"/>
      <c r="AI3232" s="245"/>
      <c r="AJ3232" s="245"/>
      <c r="AK3232" s="245"/>
      <c r="AL3232" s="245"/>
      <c r="AM3232" s="245"/>
      <c r="AN3232" s="245"/>
      <c r="AO3232" s="238">
        <v>0.0</v>
      </c>
      <c r="AP3232" s="238">
        <v>0.0</v>
      </c>
      <c r="AQ3232" s="235" t="s">
        <v>632</v>
      </c>
      <c r="AR3232" s="243">
        <v>3.71E11</v>
      </c>
      <c r="AS3232" s="235" t="s">
        <v>22269</v>
      </c>
      <c r="AT3232" s="235" t="s">
        <v>11</v>
      </c>
      <c r="AU3232" s="235" t="s">
        <v>634</v>
      </c>
      <c r="AV3232" s="246" t="s">
        <v>635</v>
      </c>
      <c r="AW3232" s="227"/>
      <c r="AX3232" s="227"/>
      <c r="AY3232" s="227"/>
      <c r="AZ3232" s="227"/>
      <c r="BA3232" s="227"/>
      <c r="BB3232" s="227"/>
      <c r="BC3232" s="227"/>
      <c r="BD3232" s="227"/>
      <c r="BE3232" s="227"/>
      <c r="BF3232" s="227"/>
    </row>
    <row r="3233">
      <c r="A3233" s="235" t="s">
        <v>24317</v>
      </c>
      <c r="C3233" s="235" t="s">
        <v>24318</v>
      </c>
      <c r="D3233" s="235" t="s">
        <v>24319</v>
      </c>
      <c r="E3233" s="243">
        <v>6.52E13</v>
      </c>
      <c r="F3233" s="245"/>
      <c r="G3233" s="235" t="s">
        <v>24320</v>
      </c>
      <c r="H3233" s="235" t="s">
        <v>24321</v>
      </c>
      <c r="I3233" s="235" t="s">
        <v>24322</v>
      </c>
      <c r="J3233" s="235" t="s">
        <v>24323</v>
      </c>
      <c r="K3233" s="235" t="s">
        <v>24324</v>
      </c>
      <c r="N3233" s="235" t="s">
        <v>2163</v>
      </c>
      <c r="O3233" s="235" t="s">
        <v>2164</v>
      </c>
      <c r="P3233" s="238">
        <v>1.0</v>
      </c>
      <c r="Q3233" s="235" t="s">
        <v>627</v>
      </c>
      <c r="R3233" s="238">
        <v>246.66</v>
      </c>
      <c r="S3233" s="238">
        <v>12.1</v>
      </c>
      <c r="T3233" s="238">
        <v>0.0</v>
      </c>
      <c r="U3233" s="238">
        <v>0.0</v>
      </c>
      <c r="V3233" s="238">
        <v>0.0</v>
      </c>
      <c r="W3233" s="238">
        <v>0.0</v>
      </c>
      <c r="X3233" s="235" t="s">
        <v>628</v>
      </c>
      <c r="Z3233" s="245"/>
      <c r="AA3233" s="245"/>
      <c r="AB3233" s="245"/>
      <c r="AC3233" s="235" t="s">
        <v>678</v>
      </c>
      <c r="AD3233" s="235" t="s">
        <v>679</v>
      </c>
      <c r="AE3233" s="238">
        <v>560100.0</v>
      </c>
      <c r="AF3233" s="235" t="s">
        <v>631</v>
      </c>
      <c r="AG3233" s="245"/>
      <c r="AH3233" s="245"/>
      <c r="AI3233" s="245"/>
      <c r="AJ3233" s="245"/>
      <c r="AK3233" s="245"/>
      <c r="AL3233" s="245"/>
      <c r="AM3233" s="245"/>
      <c r="AN3233" s="245"/>
      <c r="AO3233" s="238">
        <v>-4.94</v>
      </c>
      <c r="AP3233" s="238">
        <v>0.0</v>
      </c>
      <c r="AQ3233" s="235" t="s">
        <v>632</v>
      </c>
      <c r="AR3233" s="243">
        <v>1.68E11</v>
      </c>
      <c r="AS3233" s="235" t="s">
        <v>24095</v>
      </c>
      <c r="AT3233" s="235" t="s">
        <v>11</v>
      </c>
      <c r="AU3233" s="235" t="s">
        <v>634</v>
      </c>
      <c r="AV3233" s="246" t="s">
        <v>635</v>
      </c>
      <c r="AW3233" s="227"/>
      <c r="AX3233" s="227"/>
      <c r="AY3233" s="227"/>
      <c r="AZ3233" s="227"/>
      <c r="BA3233" s="227"/>
      <c r="BB3233" s="227"/>
      <c r="BC3233" s="227"/>
      <c r="BD3233" s="227"/>
      <c r="BE3233" s="227"/>
      <c r="BF3233" s="227"/>
    </row>
    <row r="3234">
      <c r="A3234" s="235" t="s">
        <v>24325</v>
      </c>
      <c r="C3234" s="235" t="s">
        <v>24326</v>
      </c>
      <c r="D3234" s="235" t="s">
        <v>24327</v>
      </c>
      <c r="E3234" s="243">
        <v>6.52E13</v>
      </c>
      <c r="F3234" s="245"/>
      <c r="G3234" s="235" t="s">
        <v>24328</v>
      </c>
      <c r="H3234" s="235" t="s">
        <v>24329</v>
      </c>
      <c r="I3234" s="235" t="s">
        <v>24329</v>
      </c>
      <c r="J3234" s="235" t="s">
        <v>24330</v>
      </c>
      <c r="K3234" s="235" t="s">
        <v>24331</v>
      </c>
      <c r="N3234" s="235" t="s">
        <v>154</v>
      </c>
      <c r="O3234" s="235" t="s">
        <v>766</v>
      </c>
      <c r="P3234" s="238">
        <v>1.0</v>
      </c>
      <c r="Q3234" s="235" t="s">
        <v>627</v>
      </c>
      <c r="R3234" s="238">
        <v>465.72</v>
      </c>
      <c r="S3234" s="238">
        <v>22.82</v>
      </c>
      <c r="T3234" s="238">
        <v>0.0</v>
      </c>
      <c r="U3234" s="238">
        <v>0.0</v>
      </c>
      <c r="V3234" s="238">
        <v>0.0</v>
      </c>
      <c r="W3234" s="238">
        <v>0.0</v>
      </c>
      <c r="X3234" s="235" t="s">
        <v>628</v>
      </c>
      <c r="Z3234" s="245"/>
      <c r="AA3234" s="245"/>
      <c r="AB3234" s="245"/>
      <c r="AC3234" s="235" t="s">
        <v>678</v>
      </c>
      <c r="AD3234" s="235" t="s">
        <v>679</v>
      </c>
      <c r="AE3234" s="238">
        <v>560061.0</v>
      </c>
      <c r="AF3234" s="235" t="s">
        <v>631</v>
      </c>
      <c r="AG3234" s="245"/>
      <c r="AH3234" s="245"/>
      <c r="AI3234" s="245"/>
      <c r="AJ3234" s="245"/>
      <c r="AK3234" s="245"/>
      <c r="AL3234" s="245"/>
      <c r="AM3234" s="245"/>
      <c r="AN3234" s="245"/>
      <c r="AO3234" s="238">
        <v>-9.32</v>
      </c>
      <c r="AP3234" s="238">
        <v>0.0</v>
      </c>
      <c r="AQ3234" s="235" t="s">
        <v>632</v>
      </c>
      <c r="AR3234" s="243">
        <v>1.68E11</v>
      </c>
      <c r="AS3234" s="235" t="s">
        <v>24095</v>
      </c>
      <c r="AT3234" s="235" t="s">
        <v>11</v>
      </c>
      <c r="AU3234" s="235" t="s">
        <v>634</v>
      </c>
      <c r="AV3234" s="246" t="s">
        <v>635</v>
      </c>
      <c r="AW3234" s="227"/>
      <c r="AX3234" s="227"/>
      <c r="AY3234" s="227"/>
      <c r="AZ3234" s="227"/>
      <c r="BA3234" s="227"/>
      <c r="BB3234" s="227"/>
      <c r="BC3234" s="227"/>
      <c r="BD3234" s="227"/>
      <c r="BE3234" s="227"/>
      <c r="BF3234" s="227"/>
    </row>
    <row r="3235">
      <c r="A3235" s="235" t="s">
        <v>24332</v>
      </c>
      <c r="C3235" s="235" t="s">
        <v>24333</v>
      </c>
      <c r="D3235" s="235" t="s">
        <v>24334</v>
      </c>
      <c r="E3235" s="243">
        <v>6.52E13</v>
      </c>
      <c r="F3235" s="245"/>
      <c r="G3235" s="235" t="s">
        <v>24335</v>
      </c>
      <c r="H3235" s="235" t="s">
        <v>24336</v>
      </c>
      <c r="I3235" s="235" t="s">
        <v>24336</v>
      </c>
      <c r="J3235" s="235" t="s">
        <v>24337</v>
      </c>
      <c r="K3235" s="235" t="s">
        <v>24338</v>
      </c>
      <c r="N3235" s="235" t="s">
        <v>31</v>
      </c>
      <c r="O3235" s="235" t="s">
        <v>954</v>
      </c>
      <c r="P3235" s="238">
        <v>1.0</v>
      </c>
      <c r="Q3235" s="235" t="s">
        <v>627</v>
      </c>
      <c r="R3235" s="238">
        <v>446.67</v>
      </c>
      <c r="S3235" s="238">
        <v>21.66</v>
      </c>
      <c r="T3235" s="238">
        <v>38.1</v>
      </c>
      <c r="U3235" s="238">
        <v>1.9</v>
      </c>
      <c r="V3235" s="238">
        <v>0.0</v>
      </c>
      <c r="W3235" s="238">
        <v>0.0</v>
      </c>
      <c r="X3235" s="235" t="s">
        <v>628</v>
      </c>
      <c r="Z3235" s="245"/>
      <c r="AA3235" s="245"/>
      <c r="AB3235" s="245"/>
      <c r="AC3235" s="235" t="s">
        <v>1320</v>
      </c>
      <c r="AD3235" s="235" t="s">
        <v>24339</v>
      </c>
      <c r="AE3235" s="238">
        <v>600023.0</v>
      </c>
      <c r="AF3235" s="235" t="s">
        <v>631</v>
      </c>
      <c r="AG3235" s="245"/>
      <c r="AH3235" s="245"/>
      <c r="AI3235" s="245"/>
      <c r="AJ3235" s="245"/>
      <c r="AK3235" s="245"/>
      <c r="AL3235" s="245"/>
      <c r="AM3235" s="245"/>
      <c r="AN3235" s="245"/>
      <c r="AO3235" s="238">
        <v>-13.4</v>
      </c>
      <c r="AP3235" s="238">
        <v>-38.1</v>
      </c>
      <c r="AQ3235" s="235" t="s">
        <v>632</v>
      </c>
      <c r="AR3235" s="243">
        <v>3.71E11</v>
      </c>
      <c r="AS3235" s="235" t="s">
        <v>17988</v>
      </c>
      <c r="AT3235" s="235" t="s">
        <v>13</v>
      </c>
      <c r="AU3235" s="235" t="s">
        <v>634</v>
      </c>
      <c r="AV3235" s="246" t="s">
        <v>635</v>
      </c>
      <c r="AW3235" s="227"/>
      <c r="AX3235" s="227"/>
      <c r="AY3235" s="227"/>
      <c r="AZ3235" s="227"/>
      <c r="BA3235" s="227"/>
      <c r="BB3235" s="227"/>
      <c r="BC3235" s="227"/>
      <c r="BD3235" s="227"/>
      <c r="BE3235" s="227"/>
      <c r="BF3235" s="227"/>
    </row>
    <row r="3236">
      <c r="A3236" s="235" t="s">
        <v>24332</v>
      </c>
      <c r="C3236" s="235" t="s">
        <v>24333</v>
      </c>
      <c r="D3236" s="235" t="s">
        <v>24340</v>
      </c>
      <c r="E3236" s="243">
        <v>6.52E13</v>
      </c>
      <c r="F3236" s="245"/>
      <c r="G3236" s="235" t="s">
        <v>24335</v>
      </c>
      <c r="H3236" s="235" t="s">
        <v>24336</v>
      </c>
      <c r="I3236" s="235" t="s">
        <v>24336</v>
      </c>
      <c r="J3236" s="235" t="s">
        <v>24337</v>
      </c>
      <c r="K3236" s="235" t="s">
        <v>24338</v>
      </c>
      <c r="N3236" s="235" t="s">
        <v>31</v>
      </c>
      <c r="O3236" s="235" t="s">
        <v>954</v>
      </c>
      <c r="P3236" s="238">
        <v>1.0</v>
      </c>
      <c r="Q3236" s="235" t="s">
        <v>627</v>
      </c>
      <c r="R3236" s="238">
        <v>446.67</v>
      </c>
      <c r="S3236" s="238">
        <v>21.66</v>
      </c>
      <c r="T3236" s="238">
        <v>38.1</v>
      </c>
      <c r="U3236" s="238">
        <v>1.9</v>
      </c>
      <c r="V3236" s="238">
        <v>0.0</v>
      </c>
      <c r="W3236" s="238">
        <v>0.0</v>
      </c>
      <c r="X3236" s="235" t="s">
        <v>628</v>
      </c>
      <c r="Z3236" s="245"/>
      <c r="AA3236" s="245"/>
      <c r="AB3236" s="245"/>
      <c r="AC3236" s="235" t="s">
        <v>1320</v>
      </c>
      <c r="AD3236" s="235" t="s">
        <v>24339</v>
      </c>
      <c r="AE3236" s="238">
        <v>600023.0</v>
      </c>
      <c r="AF3236" s="235" t="s">
        <v>631</v>
      </c>
      <c r="AG3236" s="245"/>
      <c r="AH3236" s="245"/>
      <c r="AI3236" s="245"/>
      <c r="AJ3236" s="245"/>
      <c r="AK3236" s="245"/>
      <c r="AL3236" s="245"/>
      <c r="AM3236" s="245"/>
      <c r="AN3236" s="245"/>
      <c r="AO3236" s="238">
        <v>-13.4</v>
      </c>
      <c r="AP3236" s="238">
        <v>-38.1</v>
      </c>
      <c r="AQ3236" s="235" t="s">
        <v>632</v>
      </c>
      <c r="AR3236" s="243">
        <v>3.71E11</v>
      </c>
      <c r="AS3236" s="235" t="s">
        <v>17988</v>
      </c>
      <c r="AT3236" s="235" t="s">
        <v>13</v>
      </c>
      <c r="AU3236" s="235" t="s">
        <v>634</v>
      </c>
      <c r="AV3236" s="246" t="s">
        <v>635</v>
      </c>
      <c r="AW3236" s="227"/>
      <c r="AX3236" s="227"/>
      <c r="AY3236" s="227"/>
      <c r="AZ3236" s="227"/>
      <c r="BA3236" s="227"/>
      <c r="BB3236" s="227"/>
      <c r="BC3236" s="227"/>
      <c r="BD3236" s="227"/>
      <c r="BE3236" s="227"/>
      <c r="BF3236" s="227"/>
    </row>
    <row r="3237">
      <c r="A3237" s="235" t="s">
        <v>24341</v>
      </c>
      <c r="C3237" s="235" t="s">
        <v>24342</v>
      </c>
      <c r="D3237" s="235" t="s">
        <v>24343</v>
      </c>
      <c r="E3237" s="243">
        <v>6.52E13</v>
      </c>
      <c r="F3237" s="245"/>
      <c r="G3237" s="235" t="s">
        <v>24344</v>
      </c>
      <c r="H3237" s="235" t="s">
        <v>24345</v>
      </c>
      <c r="I3237" s="235" t="s">
        <v>24345</v>
      </c>
      <c r="J3237" s="235" t="s">
        <v>24346</v>
      </c>
      <c r="K3237" s="235" t="s">
        <v>21840</v>
      </c>
      <c r="N3237" s="235" t="s">
        <v>54</v>
      </c>
      <c r="O3237" s="235" t="s">
        <v>294</v>
      </c>
      <c r="P3237" s="238">
        <v>1.0</v>
      </c>
      <c r="Q3237" s="235" t="s">
        <v>627</v>
      </c>
      <c r="R3237" s="238">
        <v>246.66</v>
      </c>
      <c r="S3237" s="238">
        <v>12.34</v>
      </c>
      <c r="T3237" s="238">
        <v>0.0</v>
      </c>
      <c r="U3237" s="238">
        <v>0.0</v>
      </c>
      <c r="V3237" s="238">
        <v>0.0</v>
      </c>
      <c r="W3237" s="238">
        <v>0.0</v>
      </c>
      <c r="X3237" s="235" t="s">
        <v>628</v>
      </c>
      <c r="Z3237" s="245"/>
      <c r="AA3237" s="245"/>
      <c r="AB3237" s="245"/>
      <c r="AC3237" s="235" t="s">
        <v>1910</v>
      </c>
      <c r="AD3237" s="235" t="s">
        <v>928</v>
      </c>
      <c r="AE3237" s="238">
        <v>122011.0</v>
      </c>
      <c r="AF3237" s="235" t="s">
        <v>631</v>
      </c>
      <c r="AG3237" s="245"/>
      <c r="AH3237" s="245"/>
      <c r="AI3237" s="245"/>
      <c r="AJ3237" s="245"/>
      <c r="AK3237" s="245"/>
      <c r="AL3237" s="245"/>
      <c r="AM3237" s="245"/>
      <c r="AN3237" s="245"/>
      <c r="AO3237" s="238">
        <v>0.0</v>
      </c>
      <c r="AP3237" s="238">
        <v>0.0</v>
      </c>
      <c r="AQ3237" s="235" t="s">
        <v>632</v>
      </c>
      <c r="AR3237" s="243">
        <v>1.68E11</v>
      </c>
      <c r="AS3237" s="235" t="s">
        <v>24095</v>
      </c>
      <c r="AT3237" s="235" t="s">
        <v>14</v>
      </c>
      <c r="AU3237" s="235" t="s">
        <v>634</v>
      </c>
      <c r="AV3237" s="246" t="s">
        <v>635</v>
      </c>
      <c r="AW3237" s="227"/>
      <c r="AX3237" s="227"/>
      <c r="AY3237" s="227"/>
      <c r="AZ3237" s="227"/>
      <c r="BA3237" s="227"/>
      <c r="BB3237" s="227"/>
      <c r="BC3237" s="227"/>
      <c r="BD3237" s="227"/>
      <c r="BE3237" s="227"/>
      <c r="BF3237" s="227"/>
    </row>
    <row r="3238">
      <c r="A3238" s="235" t="s">
        <v>24347</v>
      </c>
      <c r="C3238" s="235" t="s">
        <v>24348</v>
      </c>
      <c r="D3238" s="235" t="s">
        <v>24349</v>
      </c>
      <c r="E3238" s="243">
        <v>6.52E13</v>
      </c>
      <c r="F3238" s="245"/>
      <c r="G3238" s="235" t="s">
        <v>24350</v>
      </c>
      <c r="H3238" s="235" t="s">
        <v>24351</v>
      </c>
      <c r="I3238" s="235" t="s">
        <v>24352</v>
      </c>
      <c r="J3238" s="235" t="s">
        <v>24353</v>
      </c>
      <c r="K3238" s="235" t="s">
        <v>24354</v>
      </c>
      <c r="N3238" s="235" t="s">
        <v>3858</v>
      </c>
      <c r="O3238" s="235" t="s">
        <v>3859</v>
      </c>
      <c r="P3238" s="238">
        <v>1.0</v>
      </c>
      <c r="Q3238" s="235" t="s">
        <v>627</v>
      </c>
      <c r="R3238" s="238">
        <v>237.14</v>
      </c>
      <c r="S3238" s="238">
        <v>11.62</v>
      </c>
      <c r="T3238" s="238">
        <v>0.0</v>
      </c>
      <c r="U3238" s="238">
        <v>0.0</v>
      </c>
      <c r="V3238" s="238">
        <v>0.0</v>
      </c>
      <c r="W3238" s="238">
        <v>0.0</v>
      </c>
      <c r="X3238" s="235" t="s">
        <v>628</v>
      </c>
      <c r="Z3238" s="245"/>
      <c r="AA3238" s="245"/>
      <c r="AB3238" s="245"/>
      <c r="AC3238" s="235" t="s">
        <v>24355</v>
      </c>
      <c r="AD3238" s="235" t="s">
        <v>698</v>
      </c>
      <c r="AE3238" s="238">
        <v>502108.0</v>
      </c>
      <c r="AF3238" s="235" t="s">
        <v>631</v>
      </c>
      <c r="AG3238" s="245"/>
      <c r="AH3238" s="245"/>
      <c r="AI3238" s="245"/>
      <c r="AJ3238" s="245"/>
      <c r="AK3238" s="245"/>
      <c r="AL3238" s="245"/>
      <c r="AM3238" s="245"/>
      <c r="AN3238" s="245"/>
      <c r="AO3238" s="238">
        <v>-4.74</v>
      </c>
      <c r="AP3238" s="238">
        <v>0.0</v>
      </c>
      <c r="AQ3238" s="235" t="s">
        <v>632</v>
      </c>
      <c r="AR3238" s="243">
        <v>3.71E11</v>
      </c>
      <c r="AS3238" s="235" t="s">
        <v>17988</v>
      </c>
      <c r="AT3238" s="235" t="s">
        <v>14</v>
      </c>
      <c r="AU3238" s="235" t="s">
        <v>634</v>
      </c>
      <c r="AV3238" s="246" t="s">
        <v>635</v>
      </c>
      <c r="AW3238" s="227"/>
      <c r="AX3238" s="227"/>
      <c r="AY3238" s="227"/>
      <c r="AZ3238" s="227"/>
      <c r="BA3238" s="227"/>
      <c r="BB3238" s="227"/>
      <c r="BC3238" s="227"/>
      <c r="BD3238" s="227"/>
      <c r="BE3238" s="227"/>
      <c r="BF3238" s="227"/>
    </row>
    <row r="3239">
      <c r="A3239" s="235" t="s">
        <v>24356</v>
      </c>
      <c r="C3239" s="235" t="s">
        <v>24357</v>
      </c>
      <c r="D3239" s="235" t="s">
        <v>24358</v>
      </c>
      <c r="E3239" s="243">
        <v>6.52E13</v>
      </c>
      <c r="F3239" s="245"/>
      <c r="G3239" s="235" t="s">
        <v>24359</v>
      </c>
      <c r="H3239" s="235" t="s">
        <v>24352</v>
      </c>
      <c r="I3239" s="235" t="s">
        <v>24352</v>
      </c>
      <c r="J3239" s="235" t="s">
        <v>24346</v>
      </c>
      <c r="K3239" s="235" t="s">
        <v>24360</v>
      </c>
      <c r="N3239" s="235" t="s">
        <v>29</v>
      </c>
      <c r="O3239" s="235" t="s">
        <v>677</v>
      </c>
      <c r="P3239" s="238">
        <v>1.0</v>
      </c>
      <c r="Q3239" s="235" t="s">
        <v>627</v>
      </c>
      <c r="R3239" s="238">
        <v>474.29</v>
      </c>
      <c r="S3239" s="238">
        <v>23.71</v>
      </c>
      <c r="T3239" s="238">
        <v>0.0</v>
      </c>
      <c r="U3239" s="238">
        <v>0.0</v>
      </c>
      <c r="V3239" s="238">
        <v>0.0</v>
      </c>
      <c r="W3239" s="238">
        <v>0.0</v>
      </c>
      <c r="X3239" s="235" t="s">
        <v>628</v>
      </c>
      <c r="Z3239" s="245"/>
      <c r="AA3239" s="245"/>
      <c r="AB3239" s="245"/>
      <c r="AC3239" s="235" t="s">
        <v>24361</v>
      </c>
      <c r="AD3239" s="235" t="s">
        <v>3113</v>
      </c>
      <c r="AE3239" s="238">
        <v>492014.0</v>
      </c>
      <c r="AF3239" s="235" t="s">
        <v>631</v>
      </c>
      <c r="AG3239" s="245"/>
      <c r="AH3239" s="245"/>
      <c r="AI3239" s="245"/>
      <c r="AJ3239" s="245"/>
      <c r="AK3239" s="245"/>
      <c r="AL3239" s="245"/>
      <c r="AM3239" s="245"/>
      <c r="AN3239" s="245"/>
      <c r="AO3239" s="238">
        <v>0.0</v>
      </c>
      <c r="AP3239" s="238">
        <v>0.0</v>
      </c>
      <c r="AQ3239" s="235" t="s">
        <v>632</v>
      </c>
      <c r="AR3239" s="243">
        <v>3.71E11</v>
      </c>
      <c r="AS3239" s="235" t="s">
        <v>17988</v>
      </c>
      <c r="AT3239" s="235" t="s">
        <v>13</v>
      </c>
      <c r="AU3239" s="235" t="s">
        <v>634</v>
      </c>
      <c r="AV3239" s="246" t="s">
        <v>635</v>
      </c>
      <c r="AW3239" s="227"/>
      <c r="AX3239" s="227"/>
      <c r="AY3239" s="227"/>
      <c r="AZ3239" s="227"/>
      <c r="BA3239" s="227"/>
      <c r="BB3239" s="227"/>
      <c r="BC3239" s="227"/>
      <c r="BD3239" s="227"/>
      <c r="BE3239" s="227"/>
      <c r="BF3239" s="227"/>
    </row>
    <row r="3240">
      <c r="A3240" s="235" t="s">
        <v>24362</v>
      </c>
      <c r="C3240" s="235" t="s">
        <v>24363</v>
      </c>
      <c r="D3240" s="235" t="s">
        <v>24364</v>
      </c>
      <c r="E3240" s="243">
        <v>6.52E13</v>
      </c>
      <c r="F3240" s="245"/>
      <c r="G3240" s="235" t="s">
        <v>24365</v>
      </c>
      <c r="H3240" s="235" t="s">
        <v>24366</v>
      </c>
      <c r="I3240" s="235" t="s">
        <v>24367</v>
      </c>
      <c r="J3240" s="235" t="s">
        <v>24368</v>
      </c>
      <c r="K3240" s="235" t="s">
        <v>24369</v>
      </c>
      <c r="N3240" s="235" t="s">
        <v>41</v>
      </c>
      <c r="O3240" s="235" t="s">
        <v>291</v>
      </c>
      <c r="P3240" s="238">
        <v>1.0</v>
      </c>
      <c r="Q3240" s="235" t="s">
        <v>627</v>
      </c>
      <c r="R3240" s="238">
        <v>233.33</v>
      </c>
      <c r="S3240" s="238">
        <v>11.44</v>
      </c>
      <c r="T3240" s="238">
        <v>38.1</v>
      </c>
      <c r="U3240" s="238">
        <v>1.9</v>
      </c>
      <c r="V3240" s="238">
        <v>0.0</v>
      </c>
      <c r="W3240" s="238">
        <v>0.0</v>
      </c>
      <c r="X3240" s="235" t="s">
        <v>628</v>
      </c>
      <c r="Z3240" s="245"/>
      <c r="AA3240" s="245"/>
      <c r="AB3240" s="245"/>
      <c r="AC3240" s="235" t="s">
        <v>6804</v>
      </c>
      <c r="AD3240" s="235" t="s">
        <v>666</v>
      </c>
      <c r="AE3240" s="238">
        <v>624005.0</v>
      </c>
      <c r="AF3240" s="235" t="s">
        <v>631</v>
      </c>
      <c r="AG3240" s="245"/>
      <c r="AH3240" s="245"/>
      <c r="AI3240" s="245"/>
      <c r="AJ3240" s="245"/>
      <c r="AK3240" s="245"/>
      <c r="AL3240" s="245"/>
      <c r="AM3240" s="245"/>
      <c r="AN3240" s="245"/>
      <c r="AO3240" s="238">
        <v>-4.67</v>
      </c>
      <c r="AP3240" s="238">
        <v>-38.1</v>
      </c>
      <c r="AQ3240" s="235" t="s">
        <v>632</v>
      </c>
      <c r="AR3240" s="243">
        <v>3.71E11</v>
      </c>
      <c r="AS3240" s="235" t="s">
        <v>16626</v>
      </c>
      <c r="AT3240" s="235" t="s">
        <v>14</v>
      </c>
      <c r="AU3240" s="235" t="s">
        <v>634</v>
      </c>
      <c r="AV3240" s="246" t="s">
        <v>635</v>
      </c>
      <c r="AW3240" s="227"/>
      <c r="AX3240" s="227"/>
      <c r="AY3240" s="227"/>
      <c r="AZ3240" s="227"/>
      <c r="BA3240" s="227"/>
      <c r="BB3240" s="227"/>
      <c r="BC3240" s="227"/>
      <c r="BD3240" s="227"/>
      <c r="BE3240" s="227"/>
      <c r="BF3240" s="227"/>
    </row>
    <row r="3241">
      <c r="A3241" s="235" t="s">
        <v>24370</v>
      </c>
      <c r="C3241" s="235" t="s">
        <v>24371</v>
      </c>
      <c r="D3241" s="235" t="s">
        <v>24372</v>
      </c>
      <c r="E3241" s="243">
        <v>6.52E13</v>
      </c>
      <c r="F3241" s="245"/>
      <c r="G3241" s="235" t="s">
        <v>24373</v>
      </c>
      <c r="H3241" s="235" t="s">
        <v>24374</v>
      </c>
      <c r="I3241" s="235" t="s">
        <v>24374</v>
      </c>
      <c r="J3241" s="235" t="s">
        <v>24375</v>
      </c>
      <c r="K3241" s="235" t="s">
        <v>20846</v>
      </c>
      <c r="N3241" s="235" t="s">
        <v>42</v>
      </c>
      <c r="O3241" s="235" t="s">
        <v>204</v>
      </c>
      <c r="P3241" s="238">
        <v>1.0</v>
      </c>
      <c r="Q3241" s="235" t="s">
        <v>627</v>
      </c>
      <c r="R3241" s="238">
        <v>237.14</v>
      </c>
      <c r="S3241" s="238">
        <v>11.86</v>
      </c>
      <c r="T3241" s="238">
        <v>0.0</v>
      </c>
      <c r="U3241" s="238">
        <v>0.0</v>
      </c>
      <c r="V3241" s="238">
        <v>0.0</v>
      </c>
      <c r="W3241" s="238">
        <v>0.0</v>
      </c>
      <c r="X3241" s="235" t="s">
        <v>628</v>
      </c>
      <c r="Z3241" s="245"/>
      <c r="AA3241" s="245"/>
      <c r="AB3241" s="245"/>
      <c r="AC3241" s="235" t="s">
        <v>687</v>
      </c>
      <c r="AD3241" s="235" t="s">
        <v>666</v>
      </c>
      <c r="AE3241" s="238">
        <v>600049.0</v>
      </c>
      <c r="AF3241" s="235" t="s">
        <v>631</v>
      </c>
      <c r="AG3241" s="245"/>
      <c r="AH3241" s="245"/>
      <c r="AI3241" s="245"/>
      <c r="AJ3241" s="245"/>
      <c r="AK3241" s="245"/>
      <c r="AL3241" s="245"/>
      <c r="AM3241" s="245"/>
      <c r="AN3241" s="245"/>
      <c r="AO3241" s="238">
        <v>0.0</v>
      </c>
      <c r="AP3241" s="238">
        <v>0.0</v>
      </c>
      <c r="AQ3241" s="235" t="s">
        <v>632</v>
      </c>
      <c r="AR3241" s="243">
        <v>3.71E11</v>
      </c>
      <c r="AS3241" s="235" t="s">
        <v>22269</v>
      </c>
      <c r="AT3241" s="235" t="s">
        <v>9</v>
      </c>
      <c r="AU3241" s="235" t="s">
        <v>634</v>
      </c>
      <c r="AV3241" s="246" t="s">
        <v>635</v>
      </c>
      <c r="AW3241" s="227"/>
      <c r="AX3241" s="227"/>
      <c r="AY3241" s="227"/>
      <c r="AZ3241" s="227"/>
      <c r="BA3241" s="227"/>
      <c r="BB3241" s="227"/>
      <c r="BC3241" s="227"/>
      <c r="BD3241" s="227"/>
      <c r="BE3241" s="227"/>
      <c r="BF3241" s="227"/>
    </row>
    <row r="3242">
      <c r="A3242" s="235" t="s">
        <v>24376</v>
      </c>
      <c r="C3242" s="235" t="s">
        <v>24377</v>
      </c>
      <c r="D3242" s="235" t="s">
        <v>24378</v>
      </c>
      <c r="E3242" s="243">
        <v>6.52E13</v>
      </c>
      <c r="F3242" s="245"/>
      <c r="G3242" s="235" t="s">
        <v>24379</v>
      </c>
      <c r="H3242" s="235" t="s">
        <v>24380</v>
      </c>
      <c r="I3242" s="235" t="s">
        <v>24380</v>
      </c>
      <c r="J3242" s="235" t="s">
        <v>24381</v>
      </c>
      <c r="K3242" s="235" t="s">
        <v>24382</v>
      </c>
      <c r="N3242" s="235" t="s">
        <v>141</v>
      </c>
      <c r="O3242" s="235" t="s">
        <v>342</v>
      </c>
      <c r="P3242" s="238">
        <v>1.0</v>
      </c>
      <c r="Q3242" s="235" t="s">
        <v>627</v>
      </c>
      <c r="R3242" s="238">
        <v>233.33</v>
      </c>
      <c r="S3242" s="238">
        <v>11.67</v>
      </c>
      <c r="T3242" s="238">
        <v>38.1</v>
      </c>
      <c r="U3242" s="238">
        <v>1.9</v>
      </c>
      <c r="V3242" s="238">
        <v>0.0</v>
      </c>
      <c r="W3242" s="238">
        <v>0.0</v>
      </c>
      <c r="X3242" s="235" t="s">
        <v>628</v>
      </c>
      <c r="Z3242" s="245"/>
      <c r="AA3242" s="245"/>
      <c r="AB3242" s="245"/>
      <c r="AC3242" s="235" t="s">
        <v>4420</v>
      </c>
      <c r="AD3242" s="235" t="s">
        <v>630</v>
      </c>
      <c r="AE3242" s="238">
        <v>208002.0</v>
      </c>
      <c r="AF3242" s="235" t="s">
        <v>631</v>
      </c>
      <c r="AG3242" s="245"/>
      <c r="AH3242" s="245"/>
      <c r="AI3242" s="245"/>
      <c r="AJ3242" s="245"/>
      <c r="AK3242" s="245"/>
      <c r="AL3242" s="245"/>
      <c r="AM3242" s="245"/>
      <c r="AN3242" s="245"/>
      <c r="AO3242" s="238">
        <v>0.0</v>
      </c>
      <c r="AP3242" s="238">
        <v>0.0</v>
      </c>
      <c r="AQ3242" s="235" t="s">
        <v>632</v>
      </c>
      <c r="AR3242" s="243">
        <v>3.71E11</v>
      </c>
      <c r="AS3242" s="235" t="s">
        <v>20529</v>
      </c>
      <c r="AT3242" s="235" t="s">
        <v>13</v>
      </c>
      <c r="AU3242" s="235" t="s">
        <v>634</v>
      </c>
      <c r="AV3242" s="246" t="s">
        <v>635</v>
      </c>
      <c r="AW3242" s="227"/>
      <c r="AX3242" s="227"/>
      <c r="AY3242" s="227"/>
      <c r="AZ3242" s="227"/>
      <c r="BA3242" s="227"/>
      <c r="BB3242" s="227"/>
      <c r="BC3242" s="227"/>
      <c r="BD3242" s="227"/>
      <c r="BE3242" s="227"/>
      <c r="BF3242" s="227"/>
    </row>
    <row r="3243">
      <c r="A3243" s="235" t="s">
        <v>24383</v>
      </c>
      <c r="C3243" s="235" t="s">
        <v>24384</v>
      </c>
      <c r="D3243" s="235" t="s">
        <v>24385</v>
      </c>
      <c r="E3243" s="243">
        <v>6.52E13</v>
      </c>
      <c r="F3243" s="245"/>
      <c r="G3243" s="235" t="s">
        <v>24386</v>
      </c>
      <c r="H3243" s="235" t="s">
        <v>24387</v>
      </c>
      <c r="I3243" s="235" t="s">
        <v>24387</v>
      </c>
      <c r="J3243" s="235" t="s">
        <v>24388</v>
      </c>
      <c r="K3243" s="235" t="s">
        <v>24389</v>
      </c>
      <c r="N3243" s="235" t="s">
        <v>98</v>
      </c>
      <c r="O3243" s="235" t="s">
        <v>357</v>
      </c>
      <c r="P3243" s="238">
        <v>1.0</v>
      </c>
      <c r="Q3243" s="235" t="s">
        <v>627</v>
      </c>
      <c r="R3243" s="238">
        <v>246.67</v>
      </c>
      <c r="S3243" s="238">
        <v>12.33</v>
      </c>
      <c r="T3243" s="238">
        <v>0.0</v>
      </c>
      <c r="U3243" s="238">
        <v>0.0</v>
      </c>
      <c r="V3243" s="238">
        <v>0.0</v>
      </c>
      <c r="W3243" s="238">
        <v>0.0</v>
      </c>
      <c r="X3243" s="235" t="s">
        <v>628</v>
      </c>
      <c r="Z3243" s="245"/>
      <c r="AA3243" s="245"/>
      <c r="AB3243" s="245"/>
      <c r="AC3243" s="235" t="s">
        <v>6571</v>
      </c>
      <c r="AD3243" s="235" t="s">
        <v>731</v>
      </c>
      <c r="AE3243" s="238">
        <v>781001.0</v>
      </c>
      <c r="AF3243" s="235" t="s">
        <v>631</v>
      </c>
      <c r="AG3243" s="245"/>
      <c r="AH3243" s="245"/>
      <c r="AI3243" s="245"/>
      <c r="AJ3243" s="245"/>
      <c r="AK3243" s="245"/>
      <c r="AL3243" s="245"/>
      <c r="AM3243" s="245"/>
      <c r="AN3243" s="245"/>
      <c r="AO3243" s="238">
        <v>0.0</v>
      </c>
      <c r="AP3243" s="238">
        <v>0.0</v>
      </c>
      <c r="AQ3243" s="235" t="s">
        <v>632</v>
      </c>
      <c r="AR3243" s="243">
        <v>3.71E11</v>
      </c>
      <c r="AS3243" s="235" t="s">
        <v>15064</v>
      </c>
      <c r="AT3243" s="235" t="s">
        <v>156</v>
      </c>
      <c r="AU3243" s="235" t="s">
        <v>634</v>
      </c>
      <c r="AV3243" s="246" t="s">
        <v>635</v>
      </c>
      <c r="AW3243" s="227"/>
      <c r="AX3243" s="227"/>
      <c r="AY3243" s="227"/>
      <c r="AZ3243" s="227"/>
      <c r="BA3243" s="227"/>
      <c r="BB3243" s="227"/>
      <c r="BC3243" s="227"/>
      <c r="BD3243" s="227"/>
      <c r="BE3243" s="227"/>
      <c r="BF3243" s="227"/>
    </row>
    <row r="3244">
      <c r="A3244" s="235" t="s">
        <v>24390</v>
      </c>
      <c r="C3244" s="235" t="s">
        <v>24391</v>
      </c>
      <c r="D3244" s="235" t="s">
        <v>24392</v>
      </c>
      <c r="E3244" s="243">
        <v>6.52E13</v>
      </c>
      <c r="F3244" s="245"/>
      <c r="G3244" s="235" t="s">
        <v>24393</v>
      </c>
      <c r="H3244" s="235" t="s">
        <v>24394</v>
      </c>
      <c r="I3244" s="235" t="s">
        <v>24394</v>
      </c>
      <c r="J3244" s="235" t="s">
        <v>24395</v>
      </c>
      <c r="K3244" s="235" t="s">
        <v>24396</v>
      </c>
      <c r="N3244" s="235" t="s">
        <v>31</v>
      </c>
      <c r="O3244" s="235" t="s">
        <v>954</v>
      </c>
      <c r="P3244" s="238">
        <v>1.0</v>
      </c>
      <c r="Q3244" s="235" t="s">
        <v>627</v>
      </c>
      <c r="R3244" s="238">
        <v>446.67</v>
      </c>
      <c r="S3244" s="238">
        <v>22.33</v>
      </c>
      <c r="T3244" s="238">
        <v>0.0</v>
      </c>
      <c r="U3244" s="238">
        <v>0.0</v>
      </c>
      <c r="V3244" s="238">
        <v>0.0</v>
      </c>
      <c r="W3244" s="238">
        <v>0.0</v>
      </c>
      <c r="X3244" s="235" t="s">
        <v>628</v>
      </c>
      <c r="Z3244" s="245"/>
      <c r="AA3244" s="245"/>
      <c r="AB3244" s="245"/>
      <c r="AC3244" s="235" t="s">
        <v>9521</v>
      </c>
      <c r="AD3244" s="235" t="s">
        <v>1077</v>
      </c>
      <c r="AE3244" s="238">
        <v>395004.0</v>
      </c>
      <c r="AF3244" s="235" t="s">
        <v>631</v>
      </c>
      <c r="AG3244" s="245"/>
      <c r="AH3244" s="245"/>
      <c r="AI3244" s="245"/>
      <c r="AJ3244" s="245"/>
      <c r="AK3244" s="245"/>
      <c r="AL3244" s="245"/>
      <c r="AM3244" s="245"/>
      <c r="AN3244" s="245"/>
      <c r="AO3244" s="238">
        <v>0.0</v>
      </c>
      <c r="AP3244" s="238">
        <v>0.0</v>
      </c>
      <c r="AQ3244" s="235" t="s">
        <v>632</v>
      </c>
      <c r="AR3244" s="243">
        <v>3.71E11</v>
      </c>
      <c r="AS3244" s="235" t="s">
        <v>17988</v>
      </c>
      <c r="AT3244" s="235" t="s">
        <v>14</v>
      </c>
      <c r="AU3244" s="235" t="s">
        <v>634</v>
      </c>
      <c r="AV3244" s="246" t="s">
        <v>635</v>
      </c>
      <c r="AW3244" s="227"/>
      <c r="AX3244" s="227"/>
      <c r="AY3244" s="227"/>
      <c r="AZ3244" s="227"/>
      <c r="BA3244" s="227"/>
      <c r="BB3244" s="227"/>
      <c r="BC3244" s="227"/>
      <c r="BD3244" s="227"/>
      <c r="BE3244" s="227"/>
      <c r="BF3244" s="227"/>
    </row>
    <row r="3245">
      <c r="A3245" s="235" t="s">
        <v>24397</v>
      </c>
      <c r="C3245" s="235" t="s">
        <v>24398</v>
      </c>
      <c r="D3245" s="235" t="s">
        <v>24399</v>
      </c>
      <c r="E3245" s="243">
        <v>6.51E13</v>
      </c>
      <c r="F3245" s="245"/>
      <c r="G3245" s="235" t="s">
        <v>24400</v>
      </c>
      <c r="H3245" s="235" t="s">
        <v>24401</v>
      </c>
      <c r="I3245" s="235" t="s">
        <v>24401</v>
      </c>
      <c r="J3245" s="235" t="s">
        <v>24402</v>
      </c>
      <c r="K3245" s="235" t="s">
        <v>24403</v>
      </c>
      <c r="N3245" s="235" t="s">
        <v>127</v>
      </c>
      <c r="O3245" s="235" t="s">
        <v>794</v>
      </c>
      <c r="P3245" s="238">
        <v>1.0</v>
      </c>
      <c r="Q3245" s="235" t="s">
        <v>627</v>
      </c>
      <c r="R3245" s="238">
        <v>236.19</v>
      </c>
      <c r="S3245" s="238">
        <v>11.81</v>
      </c>
      <c r="T3245" s="238">
        <v>38.1</v>
      </c>
      <c r="U3245" s="238">
        <v>1.9</v>
      </c>
      <c r="V3245" s="238">
        <v>0.0</v>
      </c>
      <c r="W3245" s="238">
        <v>0.0</v>
      </c>
      <c r="X3245" s="235" t="s">
        <v>628</v>
      </c>
      <c r="Z3245" s="245"/>
      <c r="AA3245" s="245"/>
      <c r="AB3245" s="245"/>
      <c r="AC3245" s="235" t="s">
        <v>24404</v>
      </c>
      <c r="AD3245" s="235" t="s">
        <v>1077</v>
      </c>
      <c r="AE3245" s="238">
        <v>389175.0</v>
      </c>
      <c r="AF3245" s="235" t="s">
        <v>631</v>
      </c>
      <c r="AG3245" s="245"/>
      <c r="AH3245" s="245"/>
      <c r="AI3245" s="245"/>
      <c r="AJ3245" s="245"/>
      <c r="AK3245" s="245"/>
      <c r="AL3245" s="245"/>
      <c r="AM3245" s="245"/>
      <c r="AN3245" s="245"/>
      <c r="AO3245" s="238">
        <v>0.0</v>
      </c>
      <c r="AP3245" s="238">
        <v>-38.1</v>
      </c>
      <c r="AQ3245" s="235" t="s">
        <v>1328</v>
      </c>
      <c r="AR3245" s="243">
        <v>1.34E13</v>
      </c>
      <c r="AS3245" s="235" t="s">
        <v>15064</v>
      </c>
      <c r="AT3245" s="235" t="s">
        <v>17</v>
      </c>
      <c r="AU3245" s="235" t="s">
        <v>634</v>
      </c>
      <c r="AV3245" s="246" t="s">
        <v>635</v>
      </c>
      <c r="AW3245" s="227"/>
      <c r="AX3245" s="227"/>
      <c r="AY3245" s="227"/>
      <c r="AZ3245" s="227"/>
      <c r="BA3245" s="227"/>
      <c r="BB3245" s="227"/>
      <c r="BC3245" s="227"/>
      <c r="BD3245" s="227"/>
      <c r="BE3245" s="227"/>
      <c r="BF3245" s="227"/>
    </row>
    <row r="3246">
      <c r="A3246" s="235" t="s">
        <v>24405</v>
      </c>
      <c r="C3246" s="235" t="s">
        <v>24406</v>
      </c>
      <c r="D3246" s="235" t="s">
        <v>24407</v>
      </c>
      <c r="E3246" s="243">
        <v>6.52E13</v>
      </c>
      <c r="F3246" s="245"/>
      <c r="G3246" s="235" t="s">
        <v>24408</v>
      </c>
      <c r="H3246" s="235" t="s">
        <v>24409</v>
      </c>
      <c r="I3246" s="235" t="s">
        <v>24410</v>
      </c>
      <c r="J3246" s="235" t="s">
        <v>24411</v>
      </c>
      <c r="K3246" s="235" t="s">
        <v>24412</v>
      </c>
      <c r="N3246" s="235" t="s">
        <v>42</v>
      </c>
      <c r="O3246" s="235" t="s">
        <v>204</v>
      </c>
      <c r="P3246" s="238">
        <v>1.0</v>
      </c>
      <c r="Q3246" s="235" t="s">
        <v>627</v>
      </c>
      <c r="R3246" s="238">
        <v>237.14</v>
      </c>
      <c r="S3246" s="238">
        <v>11.86</v>
      </c>
      <c r="T3246" s="238">
        <v>0.0</v>
      </c>
      <c r="U3246" s="238">
        <v>0.0</v>
      </c>
      <c r="V3246" s="238">
        <v>0.0</v>
      </c>
      <c r="W3246" s="238">
        <v>0.0</v>
      </c>
      <c r="X3246" s="235" t="s">
        <v>628</v>
      </c>
      <c r="Z3246" s="245"/>
      <c r="AA3246" s="245"/>
      <c r="AB3246" s="245"/>
      <c r="AC3246" s="235" t="s">
        <v>697</v>
      </c>
      <c r="AD3246" s="235" t="s">
        <v>698</v>
      </c>
      <c r="AE3246" s="238">
        <v>500034.0</v>
      </c>
      <c r="AF3246" s="235" t="s">
        <v>631</v>
      </c>
      <c r="AG3246" s="245"/>
      <c r="AH3246" s="245"/>
      <c r="AI3246" s="245"/>
      <c r="AJ3246" s="245"/>
      <c r="AK3246" s="245"/>
      <c r="AL3246" s="245"/>
      <c r="AM3246" s="245"/>
      <c r="AN3246" s="245"/>
      <c r="AO3246" s="238">
        <v>0.0</v>
      </c>
      <c r="AP3246" s="238">
        <v>0.0</v>
      </c>
      <c r="AQ3246" s="235" t="s">
        <v>632</v>
      </c>
      <c r="AR3246" s="243">
        <v>3.71E11</v>
      </c>
      <c r="AS3246" s="235" t="s">
        <v>22269</v>
      </c>
      <c r="AT3246" s="235" t="s">
        <v>11</v>
      </c>
      <c r="AU3246" s="235" t="s">
        <v>634</v>
      </c>
      <c r="AV3246" s="246" t="s">
        <v>635</v>
      </c>
      <c r="AW3246" s="227"/>
      <c r="AX3246" s="227"/>
      <c r="AY3246" s="227"/>
      <c r="AZ3246" s="227"/>
      <c r="BA3246" s="227"/>
      <c r="BB3246" s="227"/>
      <c r="BC3246" s="227"/>
      <c r="BD3246" s="227"/>
      <c r="BE3246" s="227"/>
      <c r="BF3246" s="227"/>
    </row>
    <row r="3247">
      <c r="A3247" s="235" t="s">
        <v>24413</v>
      </c>
      <c r="C3247" s="235" t="s">
        <v>24414</v>
      </c>
      <c r="D3247" s="235" t="s">
        <v>24415</v>
      </c>
      <c r="E3247" s="243">
        <v>6.52E13</v>
      </c>
      <c r="F3247" s="245"/>
      <c r="G3247" s="235" t="s">
        <v>24416</v>
      </c>
      <c r="H3247" s="235" t="s">
        <v>24417</v>
      </c>
      <c r="I3247" s="235" t="s">
        <v>24418</v>
      </c>
      <c r="J3247" s="235" t="s">
        <v>24419</v>
      </c>
      <c r="K3247" s="235" t="s">
        <v>24420</v>
      </c>
      <c r="N3247" s="235" t="s">
        <v>962</v>
      </c>
      <c r="O3247" s="235" t="s">
        <v>963</v>
      </c>
      <c r="P3247" s="238">
        <v>1.0</v>
      </c>
      <c r="Q3247" s="235" t="s">
        <v>627</v>
      </c>
      <c r="R3247" s="238">
        <v>246.66</v>
      </c>
      <c r="S3247" s="238">
        <v>12.1</v>
      </c>
      <c r="T3247" s="238">
        <v>0.0</v>
      </c>
      <c r="U3247" s="238">
        <v>0.0</v>
      </c>
      <c r="V3247" s="238">
        <v>0.0</v>
      </c>
      <c r="W3247" s="238">
        <v>0.0</v>
      </c>
      <c r="X3247" s="235" t="s">
        <v>628</v>
      </c>
      <c r="Z3247" s="245"/>
      <c r="AA3247" s="245"/>
      <c r="AB3247" s="245"/>
      <c r="AC3247" s="235" t="s">
        <v>678</v>
      </c>
      <c r="AD3247" s="235" t="s">
        <v>679</v>
      </c>
      <c r="AE3247" s="238">
        <v>560037.0</v>
      </c>
      <c r="AF3247" s="235" t="s">
        <v>631</v>
      </c>
      <c r="AG3247" s="245"/>
      <c r="AH3247" s="245"/>
      <c r="AI3247" s="245"/>
      <c r="AJ3247" s="245"/>
      <c r="AK3247" s="245"/>
      <c r="AL3247" s="245"/>
      <c r="AM3247" s="245"/>
      <c r="AN3247" s="245"/>
      <c r="AO3247" s="238">
        <v>-4.94</v>
      </c>
      <c r="AP3247" s="238">
        <v>0.0</v>
      </c>
      <c r="AQ3247" s="235" t="s">
        <v>632</v>
      </c>
      <c r="AR3247" s="243">
        <v>1.68E11</v>
      </c>
      <c r="AS3247" s="235" t="s">
        <v>24095</v>
      </c>
      <c r="AT3247" s="235" t="s">
        <v>11</v>
      </c>
      <c r="AU3247" s="235" t="s">
        <v>634</v>
      </c>
      <c r="AV3247" s="246" t="s">
        <v>635</v>
      </c>
      <c r="AW3247" s="227"/>
      <c r="AX3247" s="227"/>
      <c r="AY3247" s="227"/>
      <c r="AZ3247" s="227"/>
      <c r="BA3247" s="227"/>
      <c r="BB3247" s="227"/>
      <c r="BC3247" s="227"/>
      <c r="BD3247" s="227"/>
      <c r="BE3247" s="227"/>
      <c r="BF3247" s="227"/>
    </row>
    <row r="3248">
      <c r="A3248" s="235" t="s">
        <v>24421</v>
      </c>
      <c r="C3248" s="235" t="s">
        <v>24422</v>
      </c>
      <c r="D3248" s="235" t="s">
        <v>24423</v>
      </c>
      <c r="E3248" s="243">
        <v>6.52E13</v>
      </c>
      <c r="F3248" s="245"/>
      <c r="G3248" s="235" t="s">
        <v>24424</v>
      </c>
      <c r="H3248" s="235" t="s">
        <v>24425</v>
      </c>
      <c r="I3248" s="235" t="s">
        <v>24425</v>
      </c>
      <c r="J3248" s="235" t="s">
        <v>24426</v>
      </c>
      <c r="K3248" s="235" t="s">
        <v>24427</v>
      </c>
      <c r="N3248" s="235" t="s">
        <v>138</v>
      </c>
      <c r="O3248" s="235" t="s">
        <v>675</v>
      </c>
      <c r="P3248" s="238">
        <v>1.0</v>
      </c>
      <c r="Q3248" s="235" t="s">
        <v>627</v>
      </c>
      <c r="R3248" s="238">
        <v>246.66</v>
      </c>
      <c r="S3248" s="238">
        <v>12.34</v>
      </c>
      <c r="T3248" s="238">
        <v>0.0</v>
      </c>
      <c r="U3248" s="238">
        <v>0.0</v>
      </c>
      <c r="V3248" s="238">
        <v>0.0</v>
      </c>
      <c r="W3248" s="238">
        <v>0.0</v>
      </c>
      <c r="X3248" s="235" t="s">
        <v>628</v>
      </c>
      <c r="Z3248" s="245"/>
      <c r="AA3248" s="245"/>
      <c r="AB3248" s="245"/>
      <c r="AC3248" s="235" t="s">
        <v>678</v>
      </c>
      <c r="AD3248" s="235" t="s">
        <v>679</v>
      </c>
      <c r="AE3248" s="238">
        <v>560019.0</v>
      </c>
      <c r="AF3248" s="235" t="s">
        <v>631</v>
      </c>
      <c r="AG3248" s="245"/>
      <c r="AH3248" s="245"/>
      <c r="AI3248" s="245"/>
      <c r="AJ3248" s="245"/>
      <c r="AK3248" s="245"/>
      <c r="AL3248" s="245"/>
      <c r="AM3248" s="245"/>
      <c r="AN3248" s="245"/>
      <c r="AO3248" s="238">
        <v>0.0</v>
      </c>
      <c r="AP3248" s="238">
        <v>0.0</v>
      </c>
      <c r="AQ3248" s="235" t="s">
        <v>632</v>
      </c>
      <c r="AR3248" s="243">
        <v>3.71E11</v>
      </c>
      <c r="AS3248" s="235" t="s">
        <v>23542</v>
      </c>
      <c r="AT3248" s="235" t="s">
        <v>11</v>
      </c>
      <c r="AU3248" s="235" t="s">
        <v>634</v>
      </c>
      <c r="AV3248" s="246" t="s">
        <v>635</v>
      </c>
      <c r="AW3248" s="227"/>
      <c r="AX3248" s="227"/>
      <c r="AY3248" s="227"/>
      <c r="AZ3248" s="227"/>
      <c r="BA3248" s="227"/>
      <c r="BB3248" s="227"/>
      <c r="BC3248" s="227"/>
      <c r="BD3248" s="227"/>
      <c r="BE3248" s="227"/>
      <c r="BF3248" s="227"/>
    </row>
    <row r="3249">
      <c r="A3249" s="235" t="s">
        <v>24428</v>
      </c>
      <c r="C3249" s="235" t="s">
        <v>24429</v>
      </c>
      <c r="D3249" s="235" t="s">
        <v>24430</v>
      </c>
      <c r="E3249" s="243">
        <v>6.52E13</v>
      </c>
      <c r="F3249" s="245"/>
      <c r="G3249" s="235" t="s">
        <v>24431</v>
      </c>
      <c r="H3249" s="235" t="s">
        <v>24432</v>
      </c>
      <c r="I3249" s="235" t="s">
        <v>24432</v>
      </c>
      <c r="J3249" s="235" t="s">
        <v>24433</v>
      </c>
      <c r="K3249" s="235" t="s">
        <v>24434</v>
      </c>
      <c r="N3249" s="235" t="s">
        <v>154</v>
      </c>
      <c r="O3249" s="235" t="s">
        <v>766</v>
      </c>
      <c r="P3249" s="238">
        <v>1.0</v>
      </c>
      <c r="Q3249" s="235" t="s">
        <v>627</v>
      </c>
      <c r="R3249" s="238">
        <v>465.72</v>
      </c>
      <c r="S3249" s="238">
        <v>23.28</v>
      </c>
      <c r="T3249" s="238">
        <v>0.0</v>
      </c>
      <c r="U3249" s="238">
        <v>0.0</v>
      </c>
      <c r="V3249" s="238">
        <v>0.0</v>
      </c>
      <c r="W3249" s="238">
        <v>0.0</v>
      </c>
      <c r="X3249" s="235" t="s">
        <v>628</v>
      </c>
      <c r="Z3249" s="245"/>
      <c r="AA3249" s="245"/>
      <c r="AB3249" s="245"/>
      <c r="AC3249" s="235" t="s">
        <v>1998</v>
      </c>
      <c r="AD3249" s="235" t="s">
        <v>928</v>
      </c>
      <c r="AE3249" s="238">
        <v>121002.0</v>
      </c>
      <c r="AF3249" s="235" t="s">
        <v>631</v>
      </c>
      <c r="AG3249" s="245"/>
      <c r="AH3249" s="245"/>
      <c r="AI3249" s="245"/>
      <c r="AJ3249" s="245"/>
      <c r="AK3249" s="245"/>
      <c r="AL3249" s="245"/>
      <c r="AM3249" s="245"/>
      <c r="AN3249" s="245"/>
      <c r="AO3249" s="238">
        <v>0.0</v>
      </c>
      <c r="AP3249" s="238">
        <v>0.0</v>
      </c>
      <c r="AQ3249" s="235" t="s">
        <v>632</v>
      </c>
      <c r="AR3249" s="243">
        <v>3.71E11</v>
      </c>
      <c r="AS3249" s="235" t="s">
        <v>23542</v>
      </c>
      <c r="AT3249" s="235" t="s">
        <v>13</v>
      </c>
      <c r="AU3249" s="235" t="s">
        <v>634</v>
      </c>
      <c r="AV3249" s="246" t="s">
        <v>635</v>
      </c>
      <c r="AW3249" s="227"/>
      <c r="AX3249" s="227"/>
      <c r="AY3249" s="227"/>
      <c r="AZ3249" s="227"/>
      <c r="BA3249" s="227"/>
      <c r="BB3249" s="227"/>
      <c r="BC3249" s="227"/>
      <c r="BD3249" s="227"/>
      <c r="BE3249" s="227"/>
      <c r="BF3249" s="227"/>
    </row>
    <row r="3250">
      <c r="A3250" s="235" t="s">
        <v>24435</v>
      </c>
      <c r="C3250" s="235" t="s">
        <v>24436</v>
      </c>
      <c r="D3250" s="235" t="s">
        <v>24437</v>
      </c>
      <c r="E3250" s="243">
        <v>6.52E13</v>
      </c>
      <c r="F3250" s="245"/>
      <c r="G3250" s="235" t="s">
        <v>24438</v>
      </c>
      <c r="H3250" s="235" t="s">
        <v>24439</v>
      </c>
      <c r="I3250" s="235" t="s">
        <v>24440</v>
      </c>
      <c r="J3250" s="235" t="s">
        <v>24441</v>
      </c>
      <c r="K3250" s="235" t="s">
        <v>24442</v>
      </c>
      <c r="N3250" s="235" t="s">
        <v>154</v>
      </c>
      <c r="O3250" s="235" t="s">
        <v>766</v>
      </c>
      <c r="P3250" s="238">
        <v>1.0</v>
      </c>
      <c r="Q3250" s="235" t="s">
        <v>627</v>
      </c>
      <c r="R3250" s="238">
        <v>465.72</v>
      </c>
      <c r="S3250" s="238">
        <v>23.28</v>
      </c>
      <c r="T3250" s="238">
        <v>0.0</v>
      </c>
      <c r="U3250" s="238">
        <v>0.0</v>
      </c>
      <c r="V3250" s="238">
        <v>0.0</v>
      </c>
      <c r="W3250" s="238">
        <v>0.0</v>
      </c>
      <c r="X3250" s="235" t="s">
        <v>628</v>
      </c>
      <c r="Z3250" s="245"/>
      <c r="AA3250" s="245"/>
      <c r="AB3250" s="245"/>
      <c r="AC3250" s="235" t="s">
        <v>1382</v>
      </c>
      <c r="AD3250" s="235" t="s">
        <v>679</v>
      </c>
      <c r="AE3250" s="238">
        <v>590006.0</v>
      </c>
      <c r="AF3250" s="235" t="s">
        <v>631</v>
      </c>
      <c r="AG3250" s="245"/>
      <c r="AH3250" s="245"/>
      <c r="AI3250" s="245"/>
      <c r="AJ3250" s="245"/>
      <c r="AK3250" s="245"/>
      <c r="AL3250" s="245"/>
      <c r="AM3250" s="245"/>
      <c r="AN3250" s="245"/>
      <c r="AO3250" s="238">
        <v>0.0</v>
      </c>
      <c r="AP3250" s="238">
        <v>0.0</v>
      </c>
      <c r="AQ3250" s="235" t="s">
        <v>632</v>
      </c>
      <c r="AR3250" s="243">
        <v>1.68E11</v>
      </c>
      <c r="AS3250" s="235" t="s">
        <v>22269</v>
      </c>
      <c r="AT3250" s="235" t="s">
        <v>9</v>
      </c>
      <c r="AU3250" s="235" t="s">
        <v>634</v>
      </c>
      <c r="AV3250" s="246" t="s">
        <v>635</v>
      </c>
      <c r="AW3250" s="227"/>
      <c r="AX3250" s="227"/>
      <c r="AY3250" s="227"/>
      <c r="AZ3250" s="227"/>
      <c r="BA3250" s="227"/>
      <c r="BB3250" s="227"/>
      <c r="BC3250" s="227"/>
      <c r="BD3250" s="227"/>
      <c r="BE3250" s="227"/>
      <c r="BF3250" s="227"/>
    </row>
    <row r="3251">
      <c r="A3251" s="235" t="s">
        <v>24443</v>
      </c>
      <c r="C3251" s="235" t="s">
        <v>24444</v>
      </c>
      <c r="D3251" s="235" t="s">
        <v>24445</v>
      </c>
      <c r="E3251" s="243">
        <v>6.52E13</v>
      </c>
      <c r="F3251" s="245"/>
      <c r="G3251" s="235" t="s">
        <v>24446</v>
      </c>
      <c r="H3251" s="235" t="s">
        <v>24447</v>
      </c>
      <c r="I3251" s="235" t="s">
        <v>24447</v>
      </c>
      <c r="J3251" s="235" t="s">
        <v>24448</v>
      </c>
      <c r="K3251" s="235" t="s">
        <v>24449</v>
      </c>
      <c r="N3251" s="235" t="s">
        <v>127</v>
      </c>
      <c r="O3251" s="235" t="s">
        <v>794</v>
      </c>
      <c r="P3251" s="238">
        <v>1.0</v>
      </c>
      <c r="Q3251" s="235" t="s">
        <v>627</v>
      </c>
      <c r="R3251" s="238">
        <v>243.81</v>
      </c>
      <c r="S3251" s="238">
        <v>11.95</v>
      </c>
      <c r="T3251" s="238">
        <v>0.0</v>
      </c>
      <c r="U3251" s="238">
        <v>0.0</v>
      </c>
      <c r="V3251" s="238">
        <v>0.0</v>
      </c>
      <c r="W3251" s="238">
        <v>0.0</v>
      </c>
      <c r="X3251" s="235" t="s">
        <v>628</v>
      </c>
      <c r="Z3251" s="245"/>
      <c r="AA3251" s="245"/>
      <c r="AB3251" s="245"/>
      <c r="AC3251" s="235" t="s">
        <v>24450</v>
      </c>
      <c r="AD3251" s="235" t="s">
        <v>845</v>
      </c>
      <c r="AE3251" s="238">
        <v>415311.0</v>
      </c>
      <c r="AF3251" s="235" t="s">
        <v>631</v>
      </c>
      <c r="AG3251" s="245"/>
      <c r="AH3251" s="245"/>
      <c r="AI3251" s="245"/>
      <c r="AJ3251" s="245"/>
      <c r="AK3251" s="245"/>
      <c r="AL3251" s="245"/>
      <c r="AM3251" s="245"/>
      <c r="AN3251" s="245"/>
      <c r="AO3251" s="238">
        <v>-4.88</v>
      </c>
      <c r="AP3251" s="238">
        <v>0.0</v>
      </c>
      <c r="AQ3251" s="235" t="s">
        <v>1328</v>
      </c>
      <c r="AR3251" s="243">
        <v>1.34E13</v>
      </c>
      <c r="AS3251" s="235" t="s">
        <v>12693</v>
      </c>
      <c r="AT3251" s="235" t="s">
        <v>9</v>
      </c>
      <c r="AU3251" s="235" t="s">
        <v>634</v>
      </c>
      <c r="AV3251" s="246" t="s">
        <v>635</v>
      </c>
      <c r="AW3251" s="227"/>
      <c r="AX3251" s="227"/>
      <c r="AY3251" s="227"/>
      <c r="AZ3251" s="227"/>
      <c r="BA3251" s="227"/>
      <c r="BB3251" s="227"/>
      <c r="BC3251" s="227"/>
      <c r="BD3251" s="227"/>
      <c r="BE3251" s="227"/>
      <c r="BF3251" s="227"/>
    </row>
    <row r="3252">
      <c r="A3252" s="235" t="s">
        <v>24451</v>
      </c>
      <c r="C3252" s="235" t="s">
        <v>24452</v>
      </c>
      <c r="D3252" s="235" t="s">
        <v>24453</v>
      </c>
      <c r="E3252" s="243">
        <v>6.52E13</v>
      </c>
      <c r="F3252" s="245"/>
      <c r="G3252" s="235" t="s">
        <v>24454</v>
      </c>
      <c r="H3252" s="235" t="s">
        <v>24455</v>
      </c>
      <c r="I3252" s="235" t="s">
        <v>24455</v>
      </c>
      <c r="J3252" s="235" t="s">
        <v>24456</v>
      </c>
      <c r="K3252" s="235" t="s">
        <v>24457</v>
      </c>
      <c r="N3252" s="235" t="s">
        <v>143</v>
      </c>
      <c r="O3252" s="235" t="s">
        <v>220</v>
      </c>
      <c r="P3252" s="238">
        <v>1.0</v>
      </c>
      <c r="Q3252" s="235" t="s">
        <v>627</v>
      </c>
      <c r="R3252" s="238">
        <v>246.67</v>
      </c>
      <c r="S3252" s="238">
        <v>12.33</v>
      </c>
      <c r="T3252" s="238">
        <v>38.1</v>
      </c>
      <c r="U3252" s="238">
        <v>1.9</v>
      </c>
      <c r="V3252" s="238">
        <v>0.0</v>
      </c>
      <c r="W3252" s="238">
        <v>0.0</v>
      </c>
      <c r="X3252" s="235" t="s">
        <v>628</v>
      </c>
      <c r="Z3252" s="245"/>
      <c r="AA3252" s="245"/>
      <c r="AB3252" s="245"/>
      <c r="AC3252" s="235" t="s">
        <v>24458</v>
      </c>
      <c r="AD3252" s="235" t="s">
        <v>917</v>
      </c>
      <c r="AE3252" s="238">
        <v>344034.0</v>
      </c>
      <c r="AF3252" s="235" t="s">
        <v>631</v>
      </c>
      <c r="AG3252" s="245"/>
      <c r="AH3252" s="245"/>
      <c r="AI3252" s="245"/>
      <c r="AJ3252" s="245"/>
      <c r="AK3252" s="245"/>
      <c r="AL3252" s="245"/>
      <c r="AM3252" s="245"/>
      <c r="AN3252" s="245"/>
      <c r="AO3252" s="238">
        <v>0.0</v>
      </c>
      <c r="AP3252" s="238">
        <v>-38.1</v>
      </c>
      <c r="AQ3252" s="235" t="s">
        <v>1356</v>
      </c>
      <c r="AR3252" s="235" t="s">
        <v>24459</v>
      </c>
      <c r="AS3252" s="235" t="s">
        <v>12693</v>
      </c>
      <c r="AT3252" s="235" t="s">
        <v>17</v>
      </c>
      <c r="AU3252" s="235" t="s">
        <v>634</v>
      </c>
      <c r="AV3252" s="246" t="s">
        <v>635</v>
      </c>
      <c r="AW3252" s="227"/>
      <c r="AX3252" s="227"/>
      <c r="AY3252" s="227"/>
      <c r="AZ3252" s="227"/>
      <c r="BA3252" s="227"/>
      <c r="BB3252" s="227"/>
      <c r="BC3252" s="227"/>
      <c r="BD3252" s="227"/>
      <c r="BE3252" s="227"/>
      <c r="BF3252" s="227"/>
    </row>
    <row r="3253">
      <c r="A3253" s="235" t="s">
        <v>24460</v>
      </c>
      <c r="C3253" s="235" t="s">
        <v>24461</v>
      </c>
      <c r="D3253" s="235" t="s">
        <v>24462</v>
      </c>
      <c r="E3253" s="243">
        <v>6.52E13</v>
      </c>
      <c r="F3253" s="245"/>
      <c r="G3253" s="235" t="s">
        <v>24463</v>
      </c>
      <c r="H3253" s="235" t="s">
        <v>24464</v>
      </c>
      <c r="I3253" s="235" t="s">
        <v>24464</v>
      </c>
      <c r="J3253" s="235" t="s">
        <v>24465</v>
      </c>
      <c r="K3253" s="235" t="s">
        <v>24466</v>
      </c>
      <c r="N3253" s="235" t="s">
        <v>22</v>
      </c>
      <c r="O3253" s="235" t="s">
        <v>729</v>
      </c>
      <c r="P3253" s="238">
        <v>1.0</v>
      </c>
      <c r="Q3253" s="235" t="s">
        <v>627</v>
      </c>
      <c r="R3253" s="238">
        <v>360.95</v>
      </c>
      <c r="S3253" s="238">
        <v>17.69</v>
      </c>
      <c r="T3253" s="238">
        <v>38.1</v>
      </c>
      <c r="U3253" s="238">
        <v>1.9</v>
      </c>
      <c r="V3253" s="238">
        <v>0.0</v>
      </c>
      <c r="W3253" s="238">
        <v>0.0</v>
      </c>
      <c r="X3253" s="235" t="s">
        <v>628</v>
      </c>
      <c r="Z3253" s="245"/>
      <c r="AA3253" s="245"/>
      <c r="AB3253" s="245"/>
      <c r="AC3253" s="235" t="s">
        <v>2333</v>
      </c>
      <c r="AD3253" s="235" t="s">
        <v>645</v>
      </c>
      <c r="AE3253" s="238">
        <v>689549.0</v>
      </c>
      <c r="AF3253" s="235" t="s">
        <v>631</v>
      </c>
      <c r="AG3253" s="245"/>
      <c r="AH3253" s="245"/>
      <c r="AI3253" s="245"/>
      <c r="AJ3253" s="245"/>
      <c r="AK3253" s="245"/>
      <c r="AL3253" s="245"/>
      <c r="AM3253" s="245"/>
      <c r="AN3253" s="245"/>
      <c r="AO3253" s="238">
        <v>-7.22</v>
      </c>
      <c r="AP3253" s="238">
        <v>-38.1</v>
      </c>
      <c r="AQ3253" s="235" t="s">
        <v>632</v>
      </c>
      <c r="AR3253" s="243">
        <v>3.71E11</v>
      </c>
      <c r="AS3253" s="235" t="s">
        <v>19388</v>
      </c>
      <c r="AT3253" s="235" t="s">
        <v>156</v>
      </c>
      <c r="AU3253" s="235" t="s">
        <v>634</v>
      </c>
      <c r="AV3253" s="246" t="s">
        <v>635</v>
      </c>
      <c r="AW3253" s="227"/>
      <c r="AX3253" s="227"/>
      <c r="AY3253" s="227"/>
      <c r="AZ3253" s="227"/>
      <c r="BA3253" s="227"/>
      <c r="BB3253" s="227"/>
      <c r="BC3253" s="227"/>
      <c r="BD3253" s="227"/>
      <c r="BE3253" s="227"/>
      <c r="BF3253" s="227"/>
    </row>
    <row r="3254">
      <c r="A3254" s="235" t="s">
        <v>24467</v>
      </c>
      <c r="C3254" s="235" t="s">
        <v>24468</v>
      </c>
      <c r="D3254" s="235" t="s">
        <v>24469</v>
      </c>
      <c r="E3254" s="243">
        <v>6.52E13</v>
      </c>
      <c r="F3254" s="245"/>
      <c r="G3254" s="235" t="s">
        <v>24470</v>
      </c>
      <c r="H3254" s="235" t="s">
        <v>24471</v>
      </c>
      <c r="I3254" s="235" t="s">
        <v>24471</v>
      </c>
      <c r="J3254" s="235" t="s">
        <v>24472</v>
      </c>
      <c r="K3254" s="235" t="s">
        <v>24473</v>
      </c>
      <c r="N3254" s="235" t="s">
        <v>42</v>
      </c>
      <c r="O3254" s="235" t="s">
        <v>204</v>
      </c>
      <c r="P3254" s="238">
        <v>1.0</v>
      </c>
      <c r="Q3254" s="235" t="s">
        <v>627</v>
      </c>
      <c r="R3254" s="238">
        <v>237.14</v>
      </c>
      <c r="S3254" s="238">
        <v>11.62</v>
      </c>
      <c r="T3254" s="238">
        <v>0.0</v>
      </c>
      <c r="U3254" s="238">
        <v>0.0</v>
      </c>
      <c r="V3254" s="238">
        <v>0.0</v>
      </c>
      <c r="W3254" s="238">
        <v>0.0</v>
      </c>
      <c r="X3254" s="235" t="s">
        <v>628</v>
      </c>
      <c r="Z3254" s="245"/>
      <c r="AA3254" s="245"/>
      <c r="AB3254" s="245"/>
      <c r="AC3254" s="235" t="s">
        <v>1320</v>
      </c>
      <c r="AD3254" s="235" t="s">
        <v>666</v>
      </c>
      <c r="AE3254" s="238">
        <v>600071.0</v>
      </c>
      <c r="AF3254" s="235" t="s">
        <v>631</v>
      </c>
      <c r="AG3254" s="245"/>
      <c r="AH3254" s="245"/>
      <c r="AI3254" s="245"/>
      <c r="AJ3254" s="245"/>
      <c r="AK3254" s="245"/>
      <c r="AL3254" s="245"/>
      <c r="AM3254" s="245"/>
      <c r="AN3254" s="245"/>
      <c r="AO3254" s="238">
        <v>-4.74</v>
      </c>
      <c r="AP3254" s="238">
        <v>0.0</v>
      </c>
      <c r="AQ3254" s="235" t="s">
        <v>632</v>
      </c>
      <c r="AR3254" s="243">
        <v>1.68E11</v>
      </c>
      <c r="AS3254" s="235" t="s">
        <v>24095</v>
      </c>
      <c r="AT3254" s="235" t="s">
        <v>156</v>
      </c>
      <c r="AU3254" s="235" t="s">
        <v>634</v>
      </c>
      <c r="AV3254" s="246" t="s">
        <v>635</v>
      </c>
      <c r="AW3254" s="227"/>
      <c r="AX3254" s="227"/>
      <c r="AY3254" s="227"/>
      <c r="AZ3254" s="227"/>
      <c r="BA3254" s="227"/>
      <c r="BB3254" s="227"/>
      <c r="BC3254" s="227"/>
      <c r="BD3254" s="227"/>
      <c r="BE3254" s="227"/>
      <c r="BF3254" s="227"/>
    </row>
    <row r="3255">
      <c r="A3255" s="235" t="s">
        <v>24474</v>
      </c>
      <c r="C3255" s="235" t="s">
        <v>24475</v>
      </c>
      <c r="D3255" s="235" t="s">
        <v>24476</v>
      </c>
      <c r="E3255" s="243">
        <v>6.52E13</v>
      </c>
      <c r="F3255" s="245"/>
      <c r="G3255" s="235" t="s">
        <v>24477</v>
      </c>
      <c r="H3255" s="235" t="s">
        <v>24478</v>
      </c>
      <c r="I3255" s="235" t="s">
        <v>24478</v>
      </c>
      <c r="J3255" s="235" t="s">
        <v>24479</v>
      </c>
      <c r="K3255" s="235" t="s">
        <v>24480</v>
      </c>
      <c r="N3255" s="235" t="s">
        <v>130</v>
      </c>
      <c r="O3255" s="235" t="s">
        <v>707</v>
      </c>
      <c r="P3255" s="238">
        <v>1.0</v>
      </c>
      <c r="Q3255" s="235" t="s">
        <v>627</v>
      </c>
      <c r="R3255" s="238">
        <v>232.38</v>
      </c>
      <c r="S3255" s="238">
        <v>11.62</v>
      </c>
      <c r="T3255" s="238">
        <v>0.0</v>
      </c>
      <c r="U3255" s="238">
        <v>0.0</v>
      </c>
      <c r="V3255" s="238">
        <v>0.0</v>
      </c>
      <c r="W3255" s="238">
        <v>0.0</v>
      </c>
      <c r="X3255" s="235" t="s">
        <v>628</v>
      </c>
      <c r="Z3255" s="245"/>
      <c r="AA3255" s="245"/>
      <c r="AB3255" s="245"/>
      <c r="AC3255" s="235" t="s">
        <v>24481</v>
      </c>
      <c r="AD3255" s="235" t="s">
        <v>630</v>
      </c>
      <c r="AE3255" s="238">
        <v>211016.0</v>
      </c>
      <c r="AF3255" s="235" t="s">
        <v>631</v>
      </c>
      <c r="AG3255" s="245"/>
      <c r="AH3255" s="245"/>
      <c r="AI3255" s="245"/>
      <c r="AJ3255" s="245"/>
      <c r="AK3255" s="245"/>
      <c r="AL3255" s="245"/>
      <c r="AM3255" s="245"/>
      <c r="AN3255" s="245"/>
      <c r="AO3255" s="238">
        <v>0.0</v>
      </c>
      <c r="AP3255" s="238">
        <v>0.0</v>
      </c>
      <c r="AQ3255" s="235" t="s">
        <v>632</v>
      </c>
      <c r="AR3255" s="243">
        <v>3.71E11</v>
      </c>
      <c r="AS3255" s="235" t="s">
        <v>19388</v>
      </c>
      <c r="AT3255" s="235" t="s">
        <v>14</v>
      </c>
      <c r="AU3255" s="235" t="s">
        <v>634</v>
      </c>
      <c r="AV3255" s="246" t="s">
        <v>635</v>
      </c>
      <c r="AW3255" s="227"/>
      <c r="AX3255" s="227"/>
      <c r="AY3255" s="227"/>
      <c r="AZ3255" s="227"/>
      <c r="BA3255" s="227"/>
      <c r="BB3255" s="227"/>
      <c r="BC3255" s="227"/>
      <c r="BD3255" s="227"/>
      <c r="BE3255" s="227"/>
      <c r="BF3255" s="227"/>
    </row>
    <row r="3256">
      <c r="A3256" s="235" t="s">
        <v>24482</v>
      </c>
      <c r="C3256" s="235" t="s">
        <v>24483</v>
      </c>
      <c r="D3256" s="235" t="s">
        <v>24484</v>
      </c>
      <c r="E3256" s="243">
        <v>6.52E13</v>
      </c>
      <c r="F3256" s="245"/>
      <c r="G3256" s="235" t="s">
        <v>24485</v>
      </c>
      <c r="H3256" s="235" t="s">
        <v>24486</v>
      </c>
      <c r="I3256" s="235" t="s">
        <v>24486</v>
      </c>
      <c r="J3256" s="235" t="s">
        <v>24487</v>
      </c>
      <c r="K3256" s="235" t="s">
        <v>24488</v>
      </c>
      <c r="N3256" s="235" t="s">
        <v>50</v>
      </c>
      <c r="O3256" s="235" t="s">
        <v>367</v>
      </c>
      <c r="P3256" s="238">
        <v>1.0</v>
      </c>
      <c r="Q3256" s="235" t="s">
        <v>627</v>
      </c>
      <c r="R3256" s="238">
        <v>246.66</v>
      </c>
      <c r="S3256" s="238">
        <v>12.34</v>
      </c>
      <c r="T3256" s="238">
        <v>38.1</v>
      </c>
      <c r="U3256" s="238">
        <v>1.9</v>
      </c>
      <c r="V3256" s="238">
        <v>0.0</v>
      </c>
      <c r="W3256" s="238">
        <v>0.0</v>
      </c>
      <c r="X3256" s="235" t="s">
        <v>628</v>
      </c>
      <c r="Z3256" s="245"/>
      <c r="AA3256" s="245"/>
      <c r="AB3256" s="245"/>
      <c r="AC3256" s="235" t="s">
        <v>5203</v>
      </c>
      <c r="AD3256" s="235" t="s">
        <v>666</v>
      </c>
      <c r="AE3256" s="238">
        <v>636016.0</v>
      </c>
      <c r="AF3256" s="235" t="s">
        <v>631</v>
      </c>
      <c r="AG3256" s="245"/>
      <c r="AH3256" s="245"/>
      <c r="AI3256" s="245"/>
      <c r="AJ3256" s="245"/>
      <c r="AK3256" s="245"/>
      <c r="AL3256" s="245"/>
      <c r="AM3256" s="245"/>
      <c r="AN3256" s="245"/>
      <c r="AO3256" s="238">
        <v>0.0</v>
      </c>
      <c r="AP3256" s="238">
        <v>-38.1</v>
      </c>
      <c r="AQ3256" s="235" t="s">
        <v>632</v>
      </c>
      <c r="AR3256" s="243">
        <v>3.71E11</v>
      </c>
      <c r="AS3256" s="235" t="s">
        <v>22269</v>
      </c>
      <c r="AT3256" s="235" t="s">
        <v>155</v>
      </c>
      <c r="AU3256" s="235" t="s">
        <v>634</v>
      </c>
      <c r="AV3256" s="246" t="s">
        <v>635</v>
      </c>
      <c r="AW3256" s="227"/>
      <c r="AX3256" s="227"/>
      <c r="AY3256" s="227"/>
      <c r="AZ3256" s="227"/>
      <c r="BA3256" s="227"/>
      <c r="BB3256" s="227"/>
      <c r="BC3256" s="227"/>
      <c r="BD3256" s="227"/>
      <c r="BE3256" s="227"/>
      <c r="BF3256" s="227"/>
    </row>
    <row r="3257">
      <c r="A3257" s="235" t="s">
        <v>24489</v>
      </c>
      <c r="C3257" s="235" t="s">
        <v>24490</v>
      </c>
      <c r="D3257" s="235" t="s">
        <v>24491</v>
      </c>
      <c r="E3257" s="243">
        <v>6.52E13</v>
      </c>
      <c r="F3257" s="245"/>
      <c r="G3257" s="235" t="s">
        <v>24492</v>
      </c>
      <c r="H3257" s="235" t="s">
        <v>24493</v>
      </c>
      <c r="I3257" s="235" t="s">
        <v>24494</v>
      </c>
      <c r="J3257" s="235" t="s">
        <v>24495</v>
      </c>
      <c r="K3257" s="235" t="s">
        <v>24496</v>
      </c>
      <c r="N3257" s="235" t="s">
        <v>43</v>
      </c>
      <c r="O3257" s="235" t="s">
        <v>276</v>
      </c>
      <c r="P3257" s="238">
        <v>1.0</v>
      </c>
      <c r="Q3257" s="235" t="s">
        <v>627</v>
      </c>
      <c r="R3257" s="238">
        <v>237.14</v>
      </c>
      <c r="S3257" s="238">
        <v>11.62</v>
      </c>
      <c r="T3257" s="238">
        <v>0.0</v>
      </c>
      <c r="U3257" s="238">
        <v>0.0</v>
      </c>
      <c r="V3257" s="238">
        <v>0.0</v>
      </c>
      <c r="W3257" s="238">
        <v>0.0</v>
      </c>
      <c r="X3257" s="235" t="s">
        <v>628</v>
      </c>
      <c r="Z3257" s="245"/>
      <c r="AA3257" s="245"/>
      <c r="AB3257" s="245"/>
      <c r="AC3257" s="235" t="s">
        <v>1320</v>
      </c>
      <c r="AD3257" s="235" t="s">
        <v>666</v>
      </c>
      <c r="AE3257" s="238">
        <v>600126.0</v>
      </c>
      <c r="AF3257" s="235" t="s">
        <v>631</v>
      </c>
      <c r="AG3257" s="245"/>
      <c r="AH3257" s="245"/>
      <c r="AI3257" s="245"/>
      <c r="AJ3257" s="245"/>
      <c r="AK3257" s="245"/>
      <c r="AL3257" s="245"/>
      <c r="AM3257" s="245"/>
      <c r="AN3257" s="245"/>
      <c r="AO3257" s="238">
        <v>-4.74</v>
      </c>
      <c r="AP3257" s="238">
        <v>0.0</v>
      </c>
      <c r="AQ3257" s="235" t="s">
        <v>632</v>
      </c>
      <c r="AR3257" s="243">
        <v>3.71E11</v>
      </c>
      <c r="AS3257" s="235" t="s">
        <v>23542</v>
      </c>
      <c r="AT3257" s="235" t="s">
        <v>156</v>
      </c>
      <c r="AU3257" s="235" t="s">
        <v>634</v>
      </c>
      <c r="AV3257" s="246" t="s">
        <v>635</v>
      </c>
      <c r="AW3257" s="227"/>
      <c r="AX3257" s="227"/>
      <c r="AY3257" s="227"/>
      <c r="AZ3257" s="227"/>
      <c r="BA3257" s="227"/>
      <c r="BB3257" s="227"/>
      <c r="BC3257" s="227"/>
      <c r="BD3257" s="227"/>
      <c r="BE3257" s="227"/>
      <c r="BF3257" s="227"/>
    </row>
    <row r="3258">
      <c r="A3258" s="235" t="s">
        <v>24497</v>
      </c>
      <c r="C3258" s="235" t="s">
        <v>24498</v>
      </c>
      <c r="D3258" s="235" t="s">
        <v>24499</v>
      </c>
      <c r="E3258" s="243">
        <v>6.52E13</v>
      </c>
      <c r="F3258" s="245"/>
      <c r="G3258" s="235" t="s">
        <v>24500</v>
      </c>
      <c r="H3258" s="235" t="s">
        <v>24501</v>
      </c>
      <c r="I3258" s="235" t="s">
        <v>24501</v>
      </c>
      <c r="J3258" s="235" t="s">
        <v>24502</v>
      </c>
      <c r="K3258" s="235" t="s">
        <v>24503</v>
      </c>
      <c r="N3258" s="235" t="s">
        <v>82</v>
      </c>
      <c r="O3258" s="235" t="s">
        <v>889</v>
      </c>
      <c r="P3258" s="238">
        <v>1.0</v>
      </c>
      <c r="Q3258" s="235" t="s">
        <v>627</v>
      </c>
      <c r="R3258" s="238">
        <v>246.67</v>
      </c>
      <c r="S3258" s="238">
        <v>12.33</v>
      </c>
      <c r="T3258" s="238">
        <v>0.0</v>
      </c>
      <c r="U3258" s="238">
        <v>0.0</v>
      </c>
      <c r="V3258" s="238">
        <v>0.0</v>
      </c>
      <c r="W3258" s="238">
        <v>0.0</v>
      </c>
      <c r="X3258" s="235" t="s">
        <v>628</v>
      </c>
      <c r="Z3258" s="245"/>
      <c r="AA3258" s="245"/>
      <c r="AB3258" s="245"/>
      <c r="AC3258" s="235" t="s">
        <v>1703</v>
      </c>
      <c r="AD3258" s="235" t="s">
        <v>1151</v>
      </c>
      <c r="AE3258" s="238">
        <v>734006.0</v>
      </c>
      <c r="AF3258" s="235" t="s">
        <v>631</v>
      </c>
      <c r="AG3258" s="245"/>
      <c r="AH3258" s="245"/>
      <c r="AI3258" s="245"/>
      <c r="AJ3258" s="245"/>
      <c r="AK3258" s="245"/>
      <c r="AL3258" s="245"/>
      <c r="AM3258" s="245"/>
      <c r="AN3258" s="245"/>
      <c r="AO3258" s="238">
        <v>0.0</v>
      </c>
      <c r="AP3258" s="238">
        <v>0.0</v>
      </c>
      <c r="AQ3258" s="235" t="s">
        <v>632</v>
      </c>
      <c r="AR3258" s="243">
        <v>2.02E11</v>
      </c>
      <c r="AS3258" s="235" t="s">
        <v>22269</v>
      </c>
      <c r="AT3258" s="235" t="s">
        <v>13</v>
      </c>
      <c r="AU3258" s="235" t="s">
        <v>634</v>
      </c>
      <c r="AV3258" s="246" t="s">
        <v>635</v>
      </c>
      <c r="AW3258" s="227"/>
      <c r="AX3258" s="227"/>
      <c r="AY3258" s="227"/>
      <c r="AZ3258" s="227"/>
      <c r="BA3258" s="227"/>
      <c r="BB3258" s="227"/>
      <c r="BC3258" s="227"/>
      <c r="BD3258" s="227"/>
      <c r="BE3258" s="227"/>
      <c r="BF3258" s="227"/>
    </row>
    <row r="3259">
      <c r="A3259" s="235" t="s">
        <v>24504</v>
      </c>
      <c r="C3259" s="235" t="s">
        <v>24505</v>
      </c>
      <c r="D3259" s="235" t="s">
        <v>24506</v>
      </c>
      <c r="E3259" s="243">
        <v>6.52E13</v>
      </c>
      <c r="F3259" s="245"/>
      <c r="G3259" s="235" t="s">
        <v>24507</v>
      </c>
      <c r="H3259" s="235" t="s">
        <v>24508</v>
      </c>
      <c r="I3259" s="235" t="s">
        <v>24509</v>
      </c>
      <c r="J3259" s="235" t="s">
        <v>24510</v>
      </c>
      <c r="K3259" s="235" t="s">
        <v>24511</v>
      </c>
      <c r="N3259" s="235" t="s">
        <v>12</v>
      </c>
      <c r="O3259" s="235" t="s">
        <v>804</v>
      </c>
      <c r="P3259" s="238">
        <v>1.0</v>
      </c>
      <c r="Q3259" s="235" t="s">
        <v>627</v>
      </c>
      <c r="R3259" s="238">
        <v>265.72</v>
      </c>
      <c r="S3259" s="238">
        <v>13.28</v>
      </c>
      <c r="T3259" s="238">
        <v>0.0</v>
      </c>
      <c r="U3259" s="238">
        <v>0.0</v>
      </c>
      <c r="V3259" s="238">
        <v>0.0</v>
      </c>
      <c r="W3259" s="238">
        <v>0.0</v>
      </c>
      <c r="X3259" s="235" t="s">
        <v>628</v>
      </c>
      <c r="Z3259" s="245"/>
      <c r="AA3259" s="245"/>
      <c r="AB3259" s="245"/>
      <c r="AC3259" s="235" t="s">
        <v>1887</v>
      </c>
      <c r="AD3259" s="235" t="s">
        <v>679</v>
      </c>
      <c r="AE3259" s="238">
        <v>560087.0</v>
      </c>
      <c r="AF3259" s="235" t="s">
        <v>631</v>
      </c>
      <c r="AG3259" s="245"/>
      <c r="AH3259" s="245"/>
      <c r="AI3259" s="245"/>
      <c r="AJ3259" s="245"/>
      <c r="AK3259" s="245"/>
      <c r="AL3259" s="245"/>
      <c r="AM3259" s="245"/>
      <c r="AN3259" s="245"/>
      <c r="AO3259" s="238">
        <v>0.0</v>
      </c>
      <c r="AP3259" s="238">
        <v>0.0</v>
      </c>
      <c r="AQ3259" s="235" t="s">
        <v>632</v>
      </c>
      <c r="AR3259" s="243">
        <v>1.68E11</v>
      </c>
      <c r="AS3259" s="235" t="s">
        <v>24095</v>
      </c>
      <c r="AT3259" s="235" t="s">
        <v>9</v>
      </c>
      <c r="AU3259" s="235" t="s">
        <v>634</v>
      </c>
      <c r="AV3259" s="246" t="s">
        <v>635</v>
      </c>
      <c r="AW3259" s="227"/>
      <c r="AX3259" s="227"/>
      <c r="AY3259" s="227"/>
      <c r="AZ3259" s="227"/>
      <c r="BA3259" s="227"/>
      <c r="BB3259" s="227"/>
      <c r="BC3259" s="227"/>
      <c r="BD3259" s="227"/>
      <c r="BE3259" s="227"/>
      <c r="BF3259" s="227"/>
    </row>
    <row r="3260">
      <c r="A3260" s="235" t="s">
        <v>24512</v>
      </c>
      <c r="C3260" s="235" t="s">
        <v>24513</v>
      </c>
      <c r="D3260" s="235" t="s">
        <v>24514</v>
      </c>
      <c r="E3260" s="243">
        <v>6.51E13</v>
      </c>
      <c r="F3260" s="245"/>
      <c r="G3260" s="235" t="s">
        <v>24515</v>
      </c>
      <c r="H3260" s="235" t="s">
        <v>24516</v>
      </c>
      <c r="I3260" s="235" t="s">
        <v>24517</v>
      </c>
      <c r="J3260" s="235" t="s">
        <v>24518</v>
      </c>
      <c r="K3260" s="235" t="s">
        <v>24519</v>
      </c>
      <c r="N3260" s="235" t="s">
        <v>1346</v>
      </c>
      <c r="O3260" s="235" t="s">
        <v>1347</v>
      </c>
      <c r="P3260" s="238">
        <v>1.0</v>
      </c>
      <c r="Q3260" s="235" t="s">
        <v>627</v>
      </c>
      <c r="R3260" s="238">
        <v>256.19</v>
      </c>
      <c r="S3260" s="238">
        <v>12.55</v>
      </c>
      <c r="T3260" s="238">
        <v>0.0</v>
      </c>
      <c r="U3260" s="238">
        <v>0.0</v>
      </c>
      <c r="V3260" s="238">
        <v>0.0</v>
      </c>
      <c r="W3260" s="238">
        <v>0.0</v>
      </c>
      <c r="X3260" s="235" t="s">
        <v>628</v>
      </c>
      <c r="Z3260" s="245"/>
      <c r="AA3260" s="245"/>
      <c r="AB3260" s="245"/>
      <c r="AC3260" s="235" t="s">
        <v>4790</v>
      </c>
      <c r="AD3260" s="235" t="s">
        <v>1086</v>
      </c>
      <c r="AE3260" s="238">
        <v>151001.0</v>
      </c>
      <c r="AF3260" s="235" t="s">
        <v>631</v>
      </c>
      <c r="AG3260" s="245"/>
      <c r="AH3260" s="245"/>
      <c r="AI3260" s="245"/>
      <c r="AJ3260" s="245"/>
      <c r="AK3260" s="245"/>
      <c r="AL3260" s="245"/>
      <c r="AM3260" s="245"/>
      <c r="AN3260" s="245"/>
      <c r="AO3260" s="238">
        <v>-5.12</v>
      </c>
      <c r="AP3260" s="238">
        <v>0.0</v>
      </c>
      <c r="AQ3260" s="235" t="s">
        <v>632</v>
      </c>
      <c r="AR3260" s="243">
        <v>3.71E11</v>
      </c>
      <c r="AS3260" s="235" t="s">
        <v>22269</v>
      </c>
      <c r="AT3260" s="235" t="s">
        <v>14</v>
      </c>
      <c r="AU3260" s="235" t="s">
        <v>634</v>
      </c>
      <c r="AV3260" s="246" t="s">
        <v>635</v>
      </c>
      <c r="AW3260" s="227"/>
      <c r="AX3260" s="227"/>
      <c r="AY3260" s="227"/>
      <c r="AZ3260" s="227"/>
      <c r="BA3260" s="227"/>
      <c r="BB3260" s="227"/>
      <c r="BC3260" s="227"/>
      <c r="BD3260" s="227"/>
      <c r="BE3260" s="227"/>
      <c r="BF3260" s="227"/>
    </row>
    <row r="3261">
      <c r="A3261" s="235" t="s">
        <v>24520</v>
      </c>
      <c r="C3261" s="235" t="s">
        <v>24521</v>
      </c>
      <c r="D3261" s="235" t="s">
        <v>24522</v>
      </c>
      <c r="E3261" s="243">
        <v>6.52E13</v>
      </c>
      <c r="F3261" s="245"/>
      <c r="G3261" s="235" t="s">
        <v>24523</v>
      </c>
      <c r="H3261" s="235" t="s">
        <v>24524</v>
      </c>
      <c r="I3261" s="235" t="s">
        <v>24524</v>
      </c>
      <c r="J3261" s="235" t="s">
        <v>24525</v>
      </c>
      <c r="K3261" s="235" t="s">
        <v>24526</v>
      </c>
      <c r="N3261" s="235" t="s">
        <v>43</v>
      </c>
      <c r="O3261" s="235" t="s">
        <v>276</v>
      </c>
      <c r="P3261" s="238">
        <v>1.0</v>
      </c>
      <c r="Q3261" s="235" t="s">
        <v>627</v>
      </c>
      <c r="R3261" s="238">
        <v>233.34</v>
      </c>
      <c r="S3261" s="238">
        <v>11.32</v>
      </c>
      <c r="T3261" s="238">
        <v>0.0</v>
      </c>
      <c r="U3261" s="238">
        <v>0.0</v>
      </c>
      <c r="V3261" s="238">
        <v>0.0</v>
      </c>
      <c r="W3261" s="238">
        <v>0.0</v>
      </c>
      <c r="X3261" s="235" t="s">
        <v>628</v>
      </c>
      <c r="Z3261" s="245"/>
      <c r="AA3261" s="245"/>
      <c r="AB3261" s="245"/>
      <c r="AC3261" s="235" t="s">
        <v>6912</v>
      </c>
      <c r="AD3261" s="235" t="s">
        <v>845</v>
      </c>
      <c r="AE3261" s="238">
        <v>400706.0</v>
      </c>
      <c r="AF3261" s="235" t="s">
        <v>631</v>
      </c>
      <c r="AG3261" s="245"/>
      <c r="AH3261" s="245"/>
      <c r="AI3261" s="245"/>
      <c r="AJ3261" s="245"/>
      <c r="AK3261" s="245"/>
      <c r="AL3261" s="245"/>
      <c r="AM3261" s="245"/>
      <c r="AN3261" s="245"/>
      <c r="AO3261" s="238">
        <v>-7.01</v>
      </c>
      <c r="AP3261" s="238">
        <v>0.0</v>
      </c>
      <c r="AQ3261" s="235" t="s">
        <v>632</v>
      </c>
      <c r="AR3261" s="243">
        <v>3.71E11</v>
      </c>
      <c r="AS3261" s="235" t="s">
        <v>23542</v>
      </c>
      <c r="AT3261" s="235" t="s">
        <v>16</v>
      </c>
      <c r="AU3261" s="235" t="s">
        <v>634</v>
      </c>
      <c r="AV3261" s="246" t="s">
        <v>635</v>
      </c>
      <c r="AW3261" s="227"/>
      <c r="AX3261" s="227"/>
      <c r="AY3261" s="227"/>
      <c r="AZ3261" s="227"/>
      <c r="BA3261" s="227"/>
      <c r="BB3261" s="227"/>
      <c r="BC3261" s="227"/>
      <c r="BD3261" s="227"/>
      <c r="BE3261" s="227"/>
      <c r="BF3261" s="227"/>
    </row>
    <row r="3262">
      <c r="A3262" s="235" t="s">
        <v>24527</v>
      </c>
      <c r="C3262" s="235" t="s">
        <v>24528</v>
      </c>
      <c r="D3262" s="235" t="s">
        <v>24529</v>
      </c>
      <c r="E3262" s="243">
        <v>6.52E13</v>
      </c>
      <c r="F3262" s="245"/>
      <c r="G3262" s="235" t="s">
        <v>24530</v>
      </c>
      <c r="H3262" s="235" t="s">
        <v>24531</v>
      </c>
      <c r="I3262" s="235" t="s">
        <v>24531</v>
      </c>
      <c r="J3262" s="235" t="s">
        <v>24532</v>
      </c>
      <c r="K3262" s="235" t="s">
        <v>24533</v>
      </c>
      <c r="N3262" s="235" t="s">
        <v>47</v>
      </c>
      <c r="O3262" s="235" t="s">
        <v>270</v>
      </c>
      <c r="P3262" s="238">
        <v>1.0</v>
      </c>
      <c r="Q3262" s="235" t="s">
        <v>627</v>
      </c>
      <c r="R3262" s="238">
        <v>236.19</v>
      </c>
      <c r="S3262" s="238">
        <v>11.46</v>
      </c>
      <c r="T3262" s="238">
        <v>0.0</v>
      </c>
      <c r="U3262" s="238">
        <v>0.0</v>
      </c>
      <c r="V3262" s="238">
        <v>0.0</v>
      </c>
      <c r="W3262" s="238">
        <v>0.0</v>
      </c>
      <c r="X3262" s="235" t="s">
        <v>628</v>
      </c>
      <c r="Z3262" s="245"/>
      <c r="AA3262" s="245"/>
      <c r="AB3262" s="245"/>
      <c r="AC3262" s="235" t="s">
        <v>24534</v>
      </c>
      <c r="AD3262" s="235" t="s">
        <v>3113</v>
      </c>
      <c r="AE3262" s="238">
        <v>492001.0</v>
      </c>
      <c r="AF3262" s="235" t="s">
        <v>631</v>
      </c>
      <c r="AG3262" s="245"/>
      <c r="AH3262" s="245"/>
      <c r="AI3262" s="245"/>
      <c r="AJ3262" s="245"/>
      <c r="AK3262" s="245"/>
      <c r="AL3262" s="245"/>
      <c r="AM3262" s="245"/>
      <c r="AN3262" s="245"/>
      <c r="AO3262" s="238">
        <v>-7.09</v>
      </c>
      <c r="AP3262" s="238">
        <v>0.0</v>
      </c>
      <c r="AQ3262" s="235" t="s">
        <v>632</v>
      </c>
      <c r="AR3262" s="243">
        <v>3.71E11</v>
      </c>
      <c r="AS3262" s="235" t="s">
        <v>19388</v>
      </c>
      <c r="AT3262" s="235" t="s">
        <v>9</v>
      </c>
      <c r="AU3262" s="235" t="s">
        <v>634</v>
      </c>
      <c r="AV3262" s="246" t="s">
        <v>635</v>
      </c>
      <c r="AW3262" s="227"/>
      <c r="AX3262" s="227"/>
      <c r="AY3262" s="227"/>
      <c r="AZ3262" s="227"/>
      <c r="BA3262" s="227"/>
      <c r="BB3262" s="227"/>
      <c r="BC3262" s="227"/>
      <c r="BD3262" s="227"/>
      <c r="BE3262" s="227"/>
      <c r="BF3262" s="227"/>
    </row>
    <row r="3263">
      <c r="A3263" s="235" t="s">
        <v>24535</v>
      </c>
      <c r="C3263" s="235" t="s">
        <v>24536</v>
      </c>
      <c r="D3263" s="235" t="s">
        <v>24537</v>
      </c>
      <c r="E3263" s="243">
        <v>6.52E13</v>
      </c>
      <c r="F3263" s="245"/>
      <c r="G3263" s="235" t="s">
        <v>24538</v>
      </c>
      <c r="H3263" s="235" t="s">
        <v>24539</v>
      </c>
      <c r="I3263" s="235" t="s">
        <v>24539</v>
      </c>
      <c r="J3263" s="235" t="s">
        <v>24540</v>
      </c>
      <c r="K3263" s="235" t="s">
        <v>24541</v>
      </c>
      <c r="N3263" s="235" t="s">
        <v>3</v>
      </c>
      <c r="O3263" s="235" t="s">
        <v>654</v>
      </c>
      <c r="P3263" s="238">
        <v>1.0</v>
      </c>
      <c r="Q3263" s="235" t="s">
        <v>627</v>
      </c>
      <c r="R3263" s="238">
        <v>265.72</v>
      </c>
      <c r="S3263" s="238">
        <v>13.28</v>
      </c>
      <c r="T3263" s="238">
        <v>0.0</v>
      </c>
      <c r="U3263" s="238">
        <v>0.0</v>
      </c>
      <c r="V3263" s="238">
        <v>0.0</v>
      </c>
      <c r="W3263" s="238">
        <v>0.0</v>
      </c>
      <c r="X3263" s="235" t="s">
        <v>628</v>
      </c>
      <c r="Z3263" s="245"/>
      <c r="AA3263" s="245"/>
      <c r="AB3263" s="245"/>
      <c r="AC3263" s="235" t="s">
        <v>1320</v>
      </c>
      <c r="AD3263" s="235" t="s">
        <v>666</v>
      </c>
      <c r="AE3263" s="238">
        <v>600078.0</v>
      </c>
      <c r="AF3263" s="235" t="s">
        <v>631</v>
      </c>
      <c r="AG3263" s="245"/>
      <c r="AH3263" s="245"/>
      <c r="AI3263" s="245"/>
      <c r="AJ3263" s="245"/>
      <c r="AK3263" s="245"/>
      <c r="AL3263" s="245"/>
      <c r="AM3263" s="245"/>
      <c r="AN3263" s="245"/>
      <c r="AO3263" s="238">
        <v>0.0</v>
      </c>
      <c r="AP3263" s="238">
        <v>0.0</v>
      </c>
      <c r="AQ3263" s="235" t="s">
        <v>632</v>
      </c>
      <c r="AR3263" s="243">
        <v>1.68E11</v>
      </c>
      <c r="AS3263" s="235" t="s">
        <v>24095</v>
      </c>
      <c r="AT3263" s="235" t="s">
        <v>156</v>
      </c>
      <c r="AU3263" s="235" t="s">
        <v>634</v>
      </c>
      <c r="AV3263" s="246" t="s">
        <v>635</v>
      </c>
      <c r="AW3263" s="227"/>
      <c r="AX3263" s="227"/>
      <c r="AY3263" s="227"/>
      <c r="AZ3263" s="227"/>
      <c r="BA3263" s="227"/>
      <c r="BB3263" s="227"/>
      <c r="BC3263" s="227"/>
      <c r="BD3263" s="227"/>
      <c r="BE3263" s="227"/>
      <c r="BF3263" s="227"/>
    </row>
    <row r="3264">
      <c r="A3264" s="235" t="s">
        <v>24542</v>
      </c>
      <c r="C3264" s="235" t="s">
        <v>24543</v>
      </c>
      <c r="D3264" s="235" t="s">
        <v>24544</v>
      </c>
      <c r="E3264" s="243">
        <v>6.52E13</v>
      </c>
      <c r="F3264" s="245"/>
      <c r="G3264" s="235" t="s">
        <v>24545</v>
      </c>
      <c r="H3264" s="235" t="s">
        <v>24546</v>
      </c>
      <c r="I3264" s="235" t="s">
        <v>24547</v>
      </c>
      <c r="J3264" s="235" t="s">
        <v>24548</v>
      </c>
      <c r="K3264" s="235" t="s">
        <v>24549</v>
      </c>
      <c r="N3264" s="235" t="s">
        <v>962</v>
      </c>
      <c r="O3264" s="235" t="s">
        <v>963</v>
      </c>
      <c r="P3264" s="238">
        <v>1.0</v>
      </c>
      <c r="Q3264" s="235" t="s">
        <v>627</v>
      </c>
      <c r="R3264" s="238">
        <v>246.67</v>
      </c>
      <c r="S3264" s="238">
        <v>12.08</v>
      </c>
      <c r="T3264" s="238">
        <v>0.0</v>
      </c>
      <c r="U3264" s="238">
        <v>0.0</v>
      </c>
      <c r="V3264" s="238">
        <v>0.0</v>
      </c>
      <c r="W3264" s="238">
        <v>0.0</v>
      </c>
      <c r="X3264" s="235" t="s">
        <v>628</v>
      </c>
      <c r="Z3264" s="245"/>
      <c r="AA3264" s="245"/>
      <c r="AB3264" s="245"/>
      <c r="AC3264" s="235" t="s">
        <v>10506</v>
      </c>
      <c r="AD3264" s="235" t="s">
        <v>1499</v>
      </c>
      <c r="AE3264" s="238">
        <v>474011.0</v>
      </c>
      <c r="AF3264" s="235" t="s">
        <v>631</v>
      </c>
      <c r="AG3264" s="245"/>
      <c r="AH3264" s="245"/>
      <c r="AI3264" s="245"/>
      <c r="AJ3264" s="245"/>
      <c r="AK3264" s="245"/>
      <c r="AL3264" s="245"/>
      <c r="AM3264" s="245"/>
      <c r="AN3264" s="245"/>
      <c r="AO3264" s="238">
        <v>-4.93</v>
      </c>
      <c r="AP3264" s="238">
        <v>0.0</v>
      </c>
      <c r="AQ3264" s="235" t="s">
        <v>632</v>
      </c>
      <c r="AR3264" s="243">
        <v>1.68E11</v>
      </c>
      <c r="AS3264" s="235" t="s">
        <v>23542</v>
      </c>
      <c r="AT3264" s="235" t="s">
        <v>13</v>
      </c>
      <c r="AU3264" s="235" t="s">
        <v>634</v>
      </c>
      <c r="AV3264" s="246" t="s">
        <v>635</v>
      </c>
      <c r="AW3264" s="227"/>
      <c r="AX3264" s="227"/>
      <c r="AY3264" s="227"/>
      <c r="AZ3264" s="227"/>
      <c r="BA3264" s="227"/>
      <c r="BB3264" s="227"/>
      <c r="BC3264" s="227"/>
      <c r="BD3264" s="227"/>
      <c r="BE3264" s="227"/>
      <c r="BF3264" s="227"/>
    </row>
    <row r="3265">
      <c r="A3265" s="235" t="s">
        <v>24550</v>
      </c>
      <c r="C3265" s="235" t="s">
        <v>24551</v>
      </c>
      <c r="D3265" s="235" t="s">
        <v>24552</v>
      </c>
      <c r="E3265" s="243">
        <v>6.52E13</v>
      </c>
      <c r="F3265" s="245"/>
      <c r="G3265" s="235" t="s">
        <v>24553</v>
      </c>
      <c r="H3265" s="235" t="s">
        <v>24554</v>
      </c>
      <c r="I3265" s="235" t="s">
        <v>24554</v>
      </c>
      <c r="J3265" s="235" t="s">
        <v>24555</v>
      </c>
      <c r="K3265" s="235" t="s">
        <v>24556</v>
      </c>
      <c r="N3265" s="235" t="s">
        <v>541</v>
      </c>
      <c r="O3265" s="235" t="s">
        <v>664</v>
      </c>
      <c r="P3265" s="238">
        <v>1.0</v>
      </c>
      <c r="Q3265" s="235" t="s">
        <v>627</v>
      </c>
      <c r="R3265" s="238">
        <v>668.64</v>
      </c>
      <c r="S3265" s="238">
        <v>120.36</v>
      </c>
      <c r="T3265" s="238">
        <v>0.0</v>
      </c>
      <c r="U3265" s="238">
        <v>0.0</v>
      </c>
      <c r="V3265" s="238">
        <v>0.0</v>
      </c>
      <c r="W3265" s="238">
        <v>0.0</v>
      </c>
      <c r="X3265" s="235" t="s">
        <v>628</v>
      </c>
      <c r="Z3265" s="245"/>
      <c r="AA3265" s="245"/>
      <c r="AB3265" s="245"/>
      <c r="AC3265" s="235" t="s">
        <v>1887</v>
      </c>
      <c r="AD3265" s="235" t="s">
        <v>679</v>
      </c>
      <c r="AE3265" s="238">
        <v>560061.0</v>
      </c>
      <c r="AF3265" s="235" t="s">
        <v>631</v>
      </c>
      <c r="AG3265" s="245"/>
      <c r="AH3265" s="245"/>
      <c r="AI3265" s="245"/>
      <c r="AJ3265" s="245"/>
      <c r="AK3265" s="245"/>
      <c r="AL3265" s="245"/>
      <c r="AM3265" s="245"/>
      <c r="AN3265" s="245"/>
      <c r="AO3265" s="238">
        <v>0.0</v>
      </c>
      <c r="AP3265" s="238">
        <v>0.0</v>
      </c>
      <c r="AQ3265" s="235" t="s">
        <v>632</v>
      </c>
      <c r="AR3265" s="243">
        <v>3.71E11</v>
      </c>
      <c r="AS3265" s="235" t="s">
        <v>23542</v>
      </c>
      <c r="AT3265" s="235" t="s">
        <v>11</v>
      </c>
      <c r="AU3265" s="235" t="s">
        <v>634</v>
      </c>
      <c r="AV3265" s="246" t="s">
        <v>635</v>
      </c>
      <c r="AW3265" s="227"/>
      <c r="AX3265" s="227"/>
      <c r="AY3265" s="227"/>
      <c r="AZ3265" s="227"/>
      <c r="BA3265" s="227"/>
      <c r="BB3265" s="227"/>
      <c r="BC3265" s="227"/>
      <c r="BD3265" s="227"/>
      <c r="BE3265" s="227"/>
      <c r="BF3265" s="227"/>
    </row>
    <row r="3266">
      <c r="A3266" s="235" t="s">
        <v>24557</v>
      </c>
      <c r="C3266" s="235" t="s">
        <v>24558</v>
      </c>
      <c r="D3266" s="235" t="s">
        <v>24559</v>
      </c>
      <c r="E3266" s="243">
        <v>6.52E13</v>
      </c>
      <c r="F3266" s="245"/>
      <c r="G3266" s="235" t="s">
        <v>24560</v>
      </c>
      <c r="H3266" s="235" t="s">
        <v>24561</v>
      </c>
      <c r="I3266" s="235" t="s">
        <v>24562</v>
      </c>
      <c r="J3266" s="235" t="s">
        <v>24563</v>
      </c>
      <c r="K3266" s="235" t="s">
        <v>24564</v>
      </c>
      <c r="N3266" s="235" t="s">
        <v>127</v>
      </c>
      <c r="O3266" s="235" t="s">
        <v>794</v>
      </c>
      <c r="P3266" s="238">
        <v>1.0</v>
      </c>
      <c r="Q3266" s="235" t="s">
        <v>627</v>
      </c>
      <c r="R3266" s="238">
        <v>243.8</v>
      </c>
      <c r="S3266" s="238">
        <v>11.96</v>
      </c>
      <c r="T3266" s="238">
        <v>0.0</v>
      </c>
      <c r="U3266" s="238">
        <v>0.0</v>
      </c>
      <c r="V3266" s="238">
        <v>0.0</v>
      </c>
      <c r="W3266" s="238">
        <v>0.0</v>
      </c>
      <c r="X3266" s="235" t="s">
        <v>628</v>
      </c>
      <c r="Z3266" s="245"/>
      <c r="AA3266" s="245"/>
      <c r="AB3266" s="245"/>
      <c r="AC3266" s="235" t="s">
        <v>687</v>
      </c>
      <c r="AD3266" s="235" t="s">
        <v>666</v>
      </c>
      <c r="AE3266" s="238">
        <v>600037.0</v>
      </c>
      <c r="AF3266" s="235" t="s">
        <v>631</v>
      </c>
      <c r="AG3266" s="245"/>
      <c r="AH3266" s="245"/>
      <c r="AI3266" s="245"/>
      <c r="AJ3266" s="245"/>
      <c r="AK3266" s="245"/>
      <c r="AL3266" s="245"/>
      <c r="AM3266" s="245"/>
      <c r="AN3266" s="245"/>
      <c r="AO3266" s="238">
        <v>-4.88</v>
      </c>
      <c r="AP3266" s="238">
        <v>0.0</v>
      </c>
      <c r="AQ3266" s="235" t="s">
        <v>632</v>
      </c>
      <c r="AR3266" s="243">
        <v>1.68E11</v>
      </c>
      <c r="AS3266" s="235" t="s">
        <v>24095</v>
      </c>
      <c r="AT3266" s="235" t="s">
        <v>156</v>
      </c>
      <c r="AU3266" s="235" t="s">
        <v>634</v>
      </c>
      <c r="AV3266" s="246" t="s">
        <v>635</v>
      </c>
      <c r="AW3266" s="227"/>
      <c r="AX3266" s="227"/>
      <c r="AY3266" s="227"/>
      <c r="AZ3266" s="227"/>
      <c r="BA3266" s="227"/>
      <c r="BB3266" s="227"/>
      <c r="BC3266" s="227"/>
      <c r="BD3266" s="227"/>
      <c r="BE3266" s="227"/>
      <c r="BF3266" s="227"/>
    </row>
    <row r="3267">
      <c r="A3267" s="235" t="s">
        <v>24565</v>
      </c>
      <c r="C3267" s="235" t="s">
        <v>24566</v>
      </c>
      <c r="D3267" s="235" t="s">
        <v>24567</v>
      </c>
      <c r="E3267" s="243">
        <v>6.52E13</v>
      </c>
      <c r="F3267" s="245"/>
      <c r="G3267" s="235" t="s">
        <v>24568</v>
      </c>
      <c r="H3267" s="235" t="s">
        <v>24561</v>
      </c>
      <c r="I3267" s="235" t="s">
        <v>24561</v>
      </c>
      <c r="J3267" s="235" t="s">
        <v>24569</v>
      </c>
      <c r="K3267" s="235" t="s">
        <v>24570</v>
      </c>
      <c r="N3267" s="235" t="s">
        <v>127</v>
      </c>
      <c r="O3267" s="235" t="s">
        <v>794</v>
      </c>
      <c r="P3267" s="238">
        <v>1.0</v>
      </c>
      <c r="Q3267" s="235" t="s">
        <v>627</v>
      </c>
      <c r="R3267" s="238">
        <v>243.8</v>
      </c>
      <c r="S3267" s="238">
        <v>12.2</v>
      </c>
      <c r="T3267" s="238">
        <v>0.0</v>
      </c>
      <c r="U3267" s="238">
        <v>0.0</v>
      </c>
      <c r="V3267" s="238">
        <v>0.0</v>
      </c>
      <c r="W3267" s="238">
        <v>0.0</v>
      </c>
      <c r="X3267" s="235" t="s">
        <v>628</v>
      </c>
      <c r="Z3267" s="245"/>
      <c r="AA3267" s="245"/>
      <c r="AB3267" s="245"/>
      <c r="AC3267" s="235" t="s">
        <v>687</v>
      </c>
      <c r="AD3267" s="235" t="s">
        <v>666</v>
      </c>
      <c r="AE3267" s="238">
        <v>600101.0</v>
      </c>
      <c r="AF3267" s="235" t="s">
        <v>631</v>
      </c>
      <c r="AG3267" s="245"/>
      <c r="AH3267" s="245"/>
      <c r="AI3267" s="245"/>
      <c r="AJ3267" s="245"/>
      <c r="AK3267" s="245"/>
      <c r="AL3267" s="245"/>
      <c r="AM3267" s="245"/>
      <c r="AN3267" s="245"/>
      <c r="AO3267" s="238">
        <v>0.0</v>
      </c>
      <c r="AP3267" s="238">
        <v>0.0</v>
      </c>
      <c r="AQ3267" s="235" t="s">
        <v>632</v>
      </c>
      <c r="AR3267" s="243">
        <v>1.68E11</v>
      </c>
      <c r="AS3267" s="235" t="s">
        <v>24095</v>
      </c>
      <c r="AT3267" s="235" t="s">
        <v>156</v>
      </c>
      <c r="AU3267" s="235" t="s">
        <v>634</v>
      </c>
      <c r="AV3267" s="246" t="s">
        <v>635</v>
      </c>
      <c r="AW3267" s="227"/>
      <c r="AX3267" s="227"/>
      <c r="AY3267" s="227"/>
      <c r="AZ3267" s="227"/>
      <c r="BA3267" s="227"/>
      <c r="BB3267" s="227"/>
      <c r="BC3267" s="227"/>
      <c r="BD3267" s="227"/>
      <c r="BE3267" s="227"/>
      <c r="BF3267" s="227"/>
    </row>
    <row r="3268">
      <c r="A3268" s="235" t="s">
        <v>24571</v>
      </c>
      <c r="C3268" s="235" t="s">
        <v>24572</v>
      </c>
      <c r="D3268" s="235" t="s">
        <v>24573</v>
      </c>
      <c r="E3268" s="243">
        <v>6.52E13</v>
      </c>
      <c r="F3268" s="245"/>
      <c r="G3268" s="235" t="s">
        <v>24574</v>
      </c>
      <c r="H3268" s="235" t="s">
        <v>24575</v>
      </c>
      <c r="I3268" s="235" t="s">
        <v>24575</v>
      </c>
      <c r="J3268" s="235" t="s">
        <v>24576</v>
      </c>
      <c r="K3268" s="235" t="s">
        <v>24577</v>
      </c>
      <c r="N3268" s="235" t="s">
        <v>82</v>
      </c>
      <c r="O3268" s="235" t="s">
        <v>889</v>
      </c>
      <c r="P3268" s="238">
        <v>1.0</v>
      </c>
      <c r="Q3268" s="235" t="s">
        <v>627</v>
      </c>
      <c r="R3268" s="238">
        <v>246.67</v>
      </c>
      <c r="S3268" s="238">
        <v>12.08</v>
      </c>
      <c r="T3268" s="238">
        <v>0.0</v>
      </c>
      <c r="U3268" s="238">
        <v>0.0</v>
      </c>
      <c r="V3268" s="238">
        <v>0.0</v>
      </c>
      <c r="W3268" s="238">
        <v>0.0</v>
      </c>
      <c r="X3268" s="235" t="s">
        <v>628</v>
      </c>
      <c r="Z3268" s="245"/>
      <c r="AA3268" s="245"/>
      <c r="AB3268" s="245"/>
      <c r="AC3268" s="235" t="s">
        <v>24578</v>
      </c>
      <c r="AD3268" s="235" t="s">
        <v>965</v>
      </c>
      <c r="AE3268" s="238">
        <v>173001.0</v>
      </c>
      <c r="AF3268" s="235" t="s">
        <v>631</v>
      </c>
      <c r="AG3268" s="245"/>
      <c r="AH3268" s="245"/>
      <c r="AI3268" s="245"/>
      <c r="AJ3268" s="245"/>
      <c r="AK3268" s="245"/>
      <c r="AL3268" s="245"/>
      <c r="AM3268" s="245"/>
      <c r="AN3268" s="245"/>
      <c r="AO3268" s="238">
        <v>-4.93</v>
      </c>
      <c r="AP3268" s="238">
        <v>0.0</v>
      </c>
      <c r="AQ3268" s="235" t="s">
        <v>632</v>
      </c>
      <c r="AR3268" s="243">
        <v>3.71E11</v>
      </c>
      <c r="AS3268" s="235" t="s">
        <v>22269</v>
      </c>
      <c r="AT3268" s="235" t="s">
        <v>14</v>
      </c>
      <c r="AU3268" s="235" t="s">
        <v>634</v>
      </c>
      <c r="AV3268" s="246" t="s">
        <v>635</v>
      </c>
      <c r="AW3268" s="227"/>
      <c r="AX3268" s="227"/>
      <c r="AY3268" s="227"/>
      <c r="AZ3268" s="227"/>
      <c r="BA3268" s="227"/>
      <c r="BB3268" s="227"/>
      <c r="BC3268" s="227"/>
      <c r="BD3268" s="227"/>
      <c r="BE3268" s="227"/>
      <c r="BF3268" s="227"/>
    </row>
    <row r="3269">
      <c r="A3269" s="235" t="s">
        <v>24579</v>
      </c>
      <c r="C3269" s="235" t="s">
        <v>24580</v>
      </c>
      <c r="D3269" s="235" t="s">
        <v>24581</v>
      </c>
      <c r="E3269" s="243">
        <v>6.52E13</v>
      </c>
      <c r="F3269" s="245"/>
      <c r="G3269" s="235" t="s">
        <v>24582</v>
      </c>
      <c r="H3269" s="235" t="s">
        <v>24583</v>
      </c>
      <c r="I3269" s="235" t="s">
        <v>24583</v>
      </c>
      <c r="J3269" s="235" t="s">
        <v>24584</v>
      </c>
      <c r="K3269" s="235" t="s">
        <v>24585</v>
      </c>
      <c r="N3269" s="235" t="s">
        <v>3</v>
      </c>
      <c r="O3269" s="235" t="s">
        <v>654</v>
      </c>
      <c r="P3269" s="238">
        <v>1.0</v>
      </c>
      <c r="Q3269" s="235" t="s">
        <v>627</v>
      </c>
      <c r="R3269" s="238">
        <v>265.71</v>
      </c>
      <c r="S3269" s="238">
        <v>13.29</v>
      </c>
      <c r="T3269" s="238">
        <v>0.0</v>
      </c>
      <c r="U3269" s="238">
        <v>0.0</v>
      </c>
      <c r="V3269" s="238">
        <v>0.0</v>
      </c>
      <c r="W3269" s="238">
        <v>0.0</v>
      </c>
      <c r="X3269" s="235" t="s">
        <v>628</v>
      </c>
      <c r="Z3269" s="245"/>
      <c r="AA3269" s="245"/>
      <c r="AB3269" s="245"/>
      <c r="AC3269" s="235" t="s">
        <v>822</v>
      </c>
      <c r="AD3269" s="235" t="s">
        <v>630</v>
      </c>
      <c r="AE3269" s="238">
        <v>201301.0</v>
      </c>
      <c r="AF3269" s="235" t="s">
        <v>631</v>
      </c>
      <c r="AG3269" s="245"/>
      <c r="AH3269" s="245"/>
      <c r="AI3269" s="245"/>
      <c r="AJ3269" s="245"/>
      <c r="AK3269" s="245"/>
      <c r="AL3269" s="245"/>
      <c r="AM3269" s="245"/>
      <c r="AN3269" s="245"/>
      <c r="AO3269" s="238">
        <v>0.0</v>
      </c>
      <c r="AP3269" s="238">
        <v>0.0</v>
      </c>
      <c r="AQ3269" s="235" t="s">
        <v>632</v>
      </c>
      <c r="AR3269" s="243">
        <v>3.71E11</v>
      </c>
      <c r="AS3269" s="235" t="s">
        <v>23542</v>
      </c>
      <c r="AT3269" s="235" t="s">
        <v>14</v>
      </c>
      <c r="AU3269" s="235" t="s">
        <v>634</v>
      </c>
      <c r="AV3269" s="246" t="s">
        <v>635</v>
      </c>
      <c r="AW3269" s="227"/>
      <c r="AX3269" s="227"/>
      <c r="AY3269" s="227"/>
      <c r="AZ3269" s="227"/>
      <c r="BA3269" s="227"/>
      <c r="BB3269" s="227"/>
      <c r="BC3269" s="227"/>
      <c r="BD3269" s="227"/>
      <c r="BE3269" s="227"/>
      <c r="BF3269" s="227"/>
    </row>
    <row r="3270">
      <c r="A3270" s="235" t="s">
        <v>24586</v>
      </c>
      <c r="C3270" s="235" t="s">
        <v>24587</v>
      </c>
      <c r="D3270" s="235" t="s">
        <v>24588</v>
      </c>
      <c r="E3270" s="243">
        <v>6.52E13</v>
      </c>
      <c r="F3270" s="245"/>
      <c r="G3270" s="235" t="s">
        <v>24589</v>
      </c>
      <c r="H3270" s="235" t="s">
        <v>24590</v>
      </c>
      <c r="I3270" s="235" t="s">
        <v>24590</v>
      </c>
      <c r="J3270" s="235" t="s">
        <v>24591</v>
      </c>
      <c r="K3270" s="235" t="s">
        <v>24592</v>
      </c>
      <c r="N3270" s="235" t="s">
        <v>43</v>
      </c>
      <c r="O3270" s="235" t="s">
        <v>276</v>
      </c>
      <c r="P3270" s="238">
        <v>1.0</v>
      </c>
      <c r="Q3270" s="235" t="s">
        <v>627</v>
      </c>
      <c r="R3270" s="238">
        <v>237.14</v>
      </c>
      <c r="S3270" s="238">
        <v>11.62</v>
      </c>
      <c r="T3270" s="238">
        <v>0.0</v>
      </c>
      <c r="U3270" s="238">
        <v>0.0</v>
      </c>
      <c r="V3270" s="238">
        <v>0.0</v>
      </c>
      <c r="W3270" s="238">
        <v>0.0</v>
      </c>
      <c r="X3270" s="235" t="s">
        <v>628</v>
      </c>
      <c r="Z3270" s="245"/>
      <c r="AA3270" s="245"/>
      <c r="AB3270" s="245"/>
      <c r="AC3270" s="235" t="s">
        <v>678</v>
      </c>
      <c r="AD3270" s="235" t="s">
        <v>679</v>
      </c>
      <c r="AE3270" s="238">
        <v>560077.0</v>
      </c>
      <c r="AF3270" s="235" t="s">
        <v>631</v>
      </c>
      <c r="AG3270" s="245"/>
      <c r="AH3270" s="245"/>
      <c r="AI3270" s="245"/>
      <c r="AJ3270" s="245"/>
      <c r="AK3270" s="245"/>
      <c r="AL3270" s="245"/>
      <c r="AM3270" s="245"/>
      <c r="AN3270" s="245"/>
      <c r="AO3270" s="238">
        <v>-4.74</v>
      </c>
      <c r="AP3270" s="238">
        <v>0.0</v>
      </c>
      <c r="AQ3270" s="235" t="s">
        <v>632</v>
      </c>
      <c r="AR3270" s="243">
        <v>3.71E11</v>
      </c>
      <c r="AS3270" s="235" t="s">
        <v>23542</v>
      </c>
      <c r="AT3270" s="235" t="s">
        <v>11</v>
      </c>
      <c r="AU3270" s="235" t="s">
        <v>634</v>
      </c>
      <c r="AV3270" s="246" t="s">
        <v>635</v>
      </c>
      <c r="AW3270" s="227"/>
      <c r="AX3270" s="227"/>
      <c r="AY3270" s="227"/>
      <c r="AZ3270" s="227"/>
      <c r="BA3270" s="227"/>
      <c r="BB3270" s="227"/>
      <c r="BC3270" s="227"/>
      <c r="BD3270" s="227"/>
      <c r="BE3270" s="227"/>
      <c r="BF3270" s="227"/>
    </row>
    <row r="3271">
      <c r="A3271" s="235" t="s">
        <v>24593</v>
      </c>
      <c r="C3271" s="235" t="s">
        <v>24594</v>
      </c>
      <c r="D3271" s="235" t="s">
        <v>24595</v>
      </c>
      <c r="E3271" s="243">
        <v>6.52E13</v>
      </c>
      <c r="F3271" s="245"/>
      <c r="G3271" s="235" t="s">
        <v>24596</v>
      </c>
      <c r="H3271" s="235" t="s">
        <v>24597</v>
      </c>
      <c r="I3271" s="235" t="s">
        <v>24597</v>
      </c>
      <c r="J3271" s="235" t="s">
        <v>24598</v>
      </c>
      <c r="K3271" s="235" t="s">
        <v>24599</v>
      </c>
      <c r="N3271" s="235" t="s">
        <v>127</v>
      </c>
      <c r="O3271" s="235" t="s">
        <v>794</v>
      </c>
      <c r="P3271" s="238">
        <v>1.0</v>
      </c>
      <c r="Q3271" s="235" t="s">
        <v>627</v>
      </c>
      <c r="R3271" s="238">
        <v>243.81</v>
      </c>
      <c r="S3271" s="238">
        <v>12.19</v>
      </c>
      <c r="T3271" s="238">
        <v>0.0</v>
      </c>
      <c r="U3271" s="238">
        <v>0.0</v>
      </c>
      <c r="V3271" s="238">
        <v>0.0</v>
      </c>
      <c r="W3271" s="238">
        <v>0.0</v>
      </c>
      <c r="X3271" s="235" t="s">
        <v>628</v>
      </c>
      <c r="Z3271" s="245"/>
      <c r="AA3271" s="245"/>
      <c r="AB3271" s="245"/>
      <c r="AC3271" s="235" t="s">
        <v>907</v>
      </c>
      <c r="AD3271" s="235" t="s">
        <v>24600</v>
      </c>
      <c r="AE3271" s="238">
        <v>248001.0</v>
      </c>
      <c r="AF3271" s="235" t="s">
        <v>631</v>
      </c>
      <c r="AG3271" s="245"/>
      <c r="AH3271" s="245"/>
      <c r="AI3271" s="245"/>
      <c r="AJ3271" s="245"/>
      <c r="AK3271" s="245"/>
      <c r="AL3271" s="245"/>
      <c r="AM3271" s="245"/>
      <c r="AN3271" s="245"/>
      <c r="AO3271" s="238">
        <v>0.0</v>
      </c>
      <c r="AP3271" s="238">
        <v>0.0</v>
      </c>
      <c r="AQ3271" s="235" t="s">
        <v>632</v>
      </c>
      <c r="AR3271" s="243">
        <v>3.71E11</v>
      </c>
      <c r="AS3271" s="235" t="s">
        <v>22269</v>
      </c>
      <c r="AT3271" s="235" t="s">
        <v>13</v>
      </c>
      <c r="AU3271" s="235" t="s">
        <v>634</v>
      </c>
      <c r="AV3271" s="246" t="s">
        <v>635</v>
      </c>
      <c r="AW3271" s="227"/>
      <c r="AX3271" s="227"/>
      <c r="AY3271" s="227"/>
      <c r="AZ3271" s="227"/>
      <c r="BA3271" s="227"/>
      <c r="BB3271" s="227"/>
      <c r="BC3271" s="227"/>
      <c r="BD3271" s="227"/>
      <c r="BE3271" s="227"/>
      <c r="BF3271" s="227"/>
    </row>
    <row r="3272">
      <c r="A3272" s="235" t="s">
        <v>24601</v>
      </c>
      <c r="C3272" s="235" t="s">
        <v>24602</v>
      </c>
      <c r="D3272" s="235" t="s">
        <v>24603</v>
      </c>
      <c r="E3272" s="243">
        <v>6.52E13</v>
      </c>
      <c r="F3272" s="245"/>
      <c r="G3272" s="235" t="s">
        <v>24604</v>
      </c>
      <c r="H3272" s="235" t="s">
        <v>24605</v>
      </c>
      <c r="I3272" s="235" t="s">
        <v>24605</v>
      </c>
      <c r="J3272" s="235" t="s">
        <v>24606</v>
      </c>
      <c r="K3272" s="235" t="s">
        <v>24607</v>
      </c>
      <c r="N3272" s="235" t="s">
        <v>53</v>
      </c>
      <c r="O3272" s="235" t="s">
        <v>512</v>
      </c>
      <c r="P3272" s="238">
        <v>1.0</v>
      </c>
      <c r="Q3272" s="235" t="s">
        <v>627</v>
      </c>
      <c r="R3272" s="238">
        <v>237.14</v>
      </c>
      <c r="S3272" s="238">
        <v>11.86</v>
      </c>
      <c r="T3272" s="238">
        <v>0.0</v>
      </c>
      <c r="U3272" s="238">
        <v>0.0</v>
      </c>
      <c r="V3272" s="238">
        <v>0.0</v>
      </c>
      <c r="W3272" s="238">
        <v>0.0</v>
      </c>
      <c r="X3272" s="235" t="s">
        <v>628</v>
      </c>
      <c r="Z3272" s="245"/>
      <c r="AA3272" s="245"/>
      <c r="AB3272" s="245"/>
      <c r="AC3272" s="235" t="s">
        <v>678</v>
      </c>
      <c r="AD3272" s="235" t="s">
        <v>679</v>
      </c>
      <c r="AE3272" s="238">
        <v>562125.0</v>
      </c>
      <c r="AF3272" s="235" t="s">
        <v>631</v>
      </c>
      <c r="AG3272" s="245"/>
      <c r="AH3272" s="245"/>
      <c r="AI3272" s="245"/>
      <c r="AJ3272" s="245"/>
      <c r="AK3272" s="245"/>
      <c r="AL3272" s="245"/>
      <c r="AM3272" s="245"/>
      <c r="AN3272" s="245"/>
      <c r="AO3272" s="238">
        <v>0.0</v>
      </c>
      <c r="AP3272" s="238">
        <v>0.0</v>
      </c>
      <c r="AQ3272" s="235" t="s">
        <v>632</v>
      </c>
      <c r="AR3272" s="243">
        <v>3.71E11</v>
      </c>
      <c r="AS3272" s="235" t="s">
        <v>23542</v>
      </c>
      <c r="AT3272" s="235" t="s">
        <v>9</v>
      </c>
      <c r="AU3272" s="235" t="s">
        <v>634</v>
      </c>
      <c r="AV3272" s="246" t="s">
        <v>635</v>
      </c>
      <c r="AW3272" s="227"/>
      <c r="AX3272" s="227"/>
      <c r="AY3272" s="227"/>
      <c r="AZ3272" s="227"/>
      <c r="BA3272" s="227"/>
      <c r="BB3272" s="227"/>
      <c r="BC3272" s="227"/>
      <c r="BD3272" s="227"/>
      <c r="BE3272" s="227"/>
      <c r="BF3272" s="227"/>
    </row>
    <row r="3273">
      <c r="A3273" s="235" t="s">
        <v>24608</v>
      </c>
      <c r="C3273" s="235" t="s">
        <v>24609</v>
      </c>
      <c r="D3273" s="235" t="s">
        <v>24610</v>
      </c>
      <c r="E3273" s="243">
        <v>6.52E13</v>
      </c>
      <c r="F3273" s="245"/>
      <c r="G3273" s="235" t="s">
        <v>24611</v>
      </c>
      <c r="H3273" s="235" t="s">
        <v>24612</v>
      </c>
      <c r="I3273" s="235" t="s">
        <v>24612</v>
      </c>
      <c r="J3273" s="235" t="s">
        <v>24613</v>
      </c>
      <c r="K3273" s="235" t="s">
        <v>24614</v>
      </c>
      <c r="N3273" s="235" t="s">
        <v>53</v>
      </c>
      <c r="O3273" s="235" t="s">
        <v>512</v>
      </c>
      <c r="P3273" s="238">
        <v>1.0</v>
      </c>
      <c r="Q3273" s="235" t="s">
        <v>627</v>
      </c>
      <c r="R3273" s="238">
        <v>237.14</v>
      </c>
      <c r="S3273" s="238">
        <v>11.86</v>
      </c>
      <c r="T3273" s="238">
        <v>0.0</v>
      </c>
      <c r="U3273" s="238">
        <v>0.0</v>
      </c>
      <c r="V3273" s="238">
        <v>0.0</v>
      </c>
      <c r="W3273" s="238">
        <v>0.0</v>
      </c>
      <c r="X3273" s="235" t="s">
        <v>628</v>
      </c>
      <c r="Z3273" s="245"/>
      <c r="AA3273" s="245"/>
      <c r="AB3273" s="245"/>
      <c r="AC3273" s="235" t="s">
        <v>678</v>
      </c>
      <c r="AD3273" s="235" t="s">
        <v>679</v>
      </c>
      <c r="AE3273" s="238">
        <v>560105.0</v>
      </c>
      <c r="AF3273" s="235" t="s">
        <v>631</v>
      </c>
      <c r="AG3273" s="245"/>
      <c r="AH3273" s="245"/>
      <c r="AI3273" s="245"/>
      <c r="AJ3273" s="245"/>
      <c r="AK3273" s="245"/>
      <c r="AL3273" s="245"/>
      <c r="AM3273" s="245"/>
      <c r="AN3273" s="245"/>
      <c r="AO3273" s="238">
        <v>0.0</v>
      </c>
      <c r="AP3273" s="238">
        <v>0.0</v>
      </c>
      <c r="AQ3273" s="235" t="s">
        <v>632</v>
      </c>
      <c r="AR3273" s="243">
        <v>3.71E11</v>
      </c>
      <c r="AS3273" s="235" t="s">
        <v>23542</v>
      </c>
      <c r="AT3273" s="235" t="s">
        <v>9</v>
      </c>
      <c r="AU3273" s="235" t="s">
        <v>634</v>
      </c>
      <c r="AV3273" s="246" t="s">
        <v>635</v>
      </c>
      <c r="AW3273" s="227"/>
      <c r="AX3273" s="227"/>
      <c r="AY3273" s="227"/>
      <c r="AZ3273" s="227"/>
      <c r="BA3273" s="227"/>
      <c r="BB3273" s="227"/>
      <c r="BC3273" s="227"/>
      <c r="BD3273" s="227"/>
      <c r="BE3273" s="227"/>
      <c r="BF3273" s="227"/>
    </row>
    <row r="3274">
      <c r="A3274" s="235" t="s">
        <v>24615</v>
      </c>
      <c r="C3274" s="235" t="s">
        <v>24616</v>
      </c>
      <c r="D3274" s="235" t="s">
        <v>24617</v>
      </c>
      <c r="E3274" s="243">
        <v>6.52E13</v>
      </c>
      <c r="F3274" s="245"/>
      <c r="G3274" s="235" t="s">
        <v>24618</v>
      </c>
      <c r="H3274" s="235" t="s">
        <v>24612</v>
      </c>
      <c r="I3274" s="235" t="s">
        <v>24612</v>
      </c>
      <c r="J3274" s="235" t="s">
        <v>24619</v>
      </c>
      <c r="K3274" s="235" t="s">
        <v>24620</v>
      </c>
      <c r="N3274" s="235" t="s">
        <v>53</v>
      </c>
      <c r="O3274" s="235" t="s">
        <v>512</v>
      </c>
      <c r="P3274" s="238">
        <v>1.0</v>
      </c>
      <c r="Q3274" s="235" t="s">
        <v>627</v>
      </c>
      <c r="R3274" s="238">
        <v>237.14</v>
      </c>
      <c r="S3274" s="238">
        <v>11.86</v>
      </c>
      <c r="T3274" s="238">
        <v>0.0</v>
      </c>
      <c r="U3274" s="238">
        <v>0.0</v>
      </c>
      <c r="V3274" s="238">
        <v>0.0</v>
      </c>
      <c r="W3274" s="238">
        <v>0.0</v>
      </c>
      <c r="X3274" s="235" t="s">
        <v>628</v>
      </c>
      <c r="Z3274" s="245"/>
      <c r="AA3274" s="245"/>
      <c r="AB3274" s="245"/>
      <c r="AC3274" s="235" t="s">
        <v>687</v>
      </c>
      <c r="AD3274" s="235" t="s">
        <v>666</v>
      </c>
      <c r="AE3274" s="238">
        <v>600023.0</v>
      </c>
      <c r="AF3274" s="235" t="s">
        <v>631</v>
      </c>
      <c r="AG3274" s="245"/>
      <c r="AH3274" s="245"/>
      <c r="AI3274" s="245"/>
      <c r="AJ3274" s="245"/>
      <c r="AK3274" s="245"/>
      <c r="AL3274" s="245"/>
      <c r="AM3274" s="245"/>
      <c r="AN3274" s="245"/>
      <c r="AO3274" s="238">
        <v>0.0</v>
      </c>
      <c r="AP3274" s="238">
        <v>0.0</v>
      </c>
      <c r="AQ3274" s="235" t="s">
        <v>632</v>
      </c>
      <c r="AR3274" s="243">
        <v>3.71E11</v>
      </c>
      <c r="AS3274" s="235" t="s">
        <v>22269</v>
      </c>
      <c r="AT3274" s="235" t="s">
        <v>9</v>
      </c>
      <c r="AU3274" s="235" t="s">
        <v>634</v>
      </c>
      <c r="AV3274" s="246" t="s">
        <v>635</v>
      </c>
      <c r="AW3274" s="227"/>
      <c r="AX3274" s="227"/>
      <c r="AY3274" s="227"/>
      <c r="AZ3274" s="227"/>
      <c r="BA3274" s="227"/>
      <c r="BB3274" s="227"/>
      <c r="BC3274" s="227"/>
      <c r="BD3274" s="227"/>
      <c r="BE3274" s="227"/>
      <c r="BF3274" s="227"/>
    </row>
    <row r="3275">
      <c r="A3275" s="235" t="s">
        <v>24621</v>
      </c>
      <c r="C3275" s="235" t="s">
        <v>24622</v>
      </c>
      <c r="D3275" s="235" t="s">
        <v>24623</v>
      </c>
      <c r="E3275" s="243">
        <v>6.52E13</v>
      </c>
      <c r="F3275" s="245"/>
      <c r="G3275" s="235" t="s">
        <v>24624</v>
      </c>
      <c r="H3275" s="235" t="s">
        <v>24625</v>
      </c>
      <c r="I3275" s="235" t="s">
        <v>24626</v>
      </c>
      <c r="J3275" s="235" t="s">
        <v>24627</v>
      </c>
      <c r="K3275" s="235" t="s">
        <v>24628</v>
      </c>
      <c r="N3275" s="235" t="s">
        <v>2163</v>
      </c>
      <c r="O3275" s="235" t="s">
        <v>2164</v>
      </c>
      <c r="P3275" s="238">
        <v>1.0</v>
      </c>
      <c r="Q3275" s="235" t="s">
        <v>627</v>
      </c>
      <c r="R3275" s="238">
        <v>233.33</v>
      </c>
      <c r="S3275" s="238">
        <v>11.67</v>
      </c>
      <c r="T3275" s="238">
        <v>0.0</v>
      </c>
      <c r="U3275" s="238">
        <v>0.0</v>
      </c>
      <c r="V3275" s="238">
        <v>0.0</v>
      </c>
      <c r="W3275" s="238">
        <v>0.0</v>
      </c>
      <c r="X3275" s="235" t="s">
        <v>628</v>
      </c>
      <c r="Z3275" s="245"/>
      <c r="AA3275" s="245"/>
      <c r="AB3275" s="245"/>
      <c r="AC3275" s="235" t="s">
        <v>24629</v>
      </c>
      <c r="AD3275" s="235" t="s">
        <v>24630</v>
      </c>
      <c r="AE3275" s="238">
        <v>243001.0</v>
      </c>
      <c r="AF3275" s="235" t="s">
        <v>631</v>
      </c>
      <c r="AG3275" s="245"/>
      <c r="AH3275" s="245"/>
      <c r="AI3275" s="245"/>
      <c r="AJ3275" s="245"/>
      <c r="AK3275" s="245"/>
      <c r="AL3275" s="245"/>
      <c r="AM3275" s="245"/>
      <c r="AN3275" s="245"/>
      <c r="AO3275" s="238">
        <v>0.0</v>
      </c>
      <c r="AP3275" s="238">
        <v>0.0</v>
      </c>
      <c r="AQ3275" s="235" t="s">
        <v>632</v>
      </c>
      <c r="AR3275" s="243">
        <v>3.71E11</v>
      </c>
      <c r="AS3275" s="235" t="s">
        <v>22269</v>
      </c>
      <c r="AT3275" s="235" t="s">
        <v>13</v>
      </c>
      <c r="AU3275" s="235" t="s">
        <v>634</v>
      </c>
      <c r="AV3275" s="246" t="s">
        <v>635</v>
      </c>
      <c r="AW3275" s="227"/>
      <c r="AX3275" s="227"/>
      <c r="AY3275" s="227"/>
      <c r="AZ3275" s="227"/>
      <c r="BA3275" s="227"/>
      <c r="BB3275" s="227"/>
      <c r="BC3275" s="227"/>
      <c r="BD3275" s="227"/>
      <c r="BE3275" s="227"/>
      <c r="BF3275" s="227"/>
    </row>
    <row r="3276">
      <c r="A3276" s="235" t="s">
        <v>24631</v>
      </c>
      <c r="C3276" s="235" t="s">
        <v>24632</v>
      </c>
      <c r="D3276" s="235" t="s">
        <v>24633</v>
      </c>
      <c r="E3276" s="243">
        <v>6.52E13</v>
      </c>
      <c r="F3276" s="245"/>
      <c r="G3276" s="235" t="s">
        <v>24634</v>
      </c>
      <c r="H3276" s="235" t="s">
        <v>24635</v>
      </c>
      <c r="I3276" s="235" t="s">
        <v>24635</v>
      </c>
      <c r="J3276" s="235" t="s">
        <v>24636</v>
      </c>
      <c r="K3276" s="235" t="s">
        <v>24637</v>
      </c>
      <c r="N3276" s="235" t="s">
        <v>85</v>
      </c>
      <c r="O3276" s="235" t="s">
        <v>872</v>
      </c>
      <c r="P3276" s="238">
        <v>1.0</v>
      </c>
      <c r="Q3276" s="235" t="s">
        <v>627</v>
      </c>
      <c r="R3276" s="238">
        <v>246.66</v>
      </c>
      <c r="S3276" s="238">
        <v>12.1</v>
      </c>
      <c r="T3276" s="238">
        <v>0.0</v>
      </c>
      <c r="U3276" s="238">
        <v>0.0</v>
      </c>
      <c r="V3276" s="238">
        <v>0.0</v>
      </c>
      <c r="W3276" s="238">
        <v>0.0</v>
      </c>
      <c r="X3276" s="235" t="s">
        <v>628</v>
      </c>
      <c r="Z3276" s="245"/>
      <c r="AA3276" s="245"/>
      <c r="AB3276" s="245"/>
      <c r="AC3276" s="235" t="s">
        <v>687</v>
      </c>
      <c r="AD3276" s="235" t="s">
        <v>666</v>
      </c>
      <c r="AE3276" s="238">
        <v>600087.0</v>
      </c>
      <c r="AF3276" s="235" t="s">
        <v>631</v>
      </c>
      <c r="AG3276" s="245"/>
      <c r="AH3276" s="245"/>
      <c r="AI3276" s="245"/>
      <c r="AJ3276" s="245"/>
      <c r="AK3276" s="245"/>
      <c r="AL3276" s="245"/>
      <c r="AM3276" s="245"/>
      <c r="AN3276" s="245"/>
      <c r="AO3276" s="238">
        <v>-4.94</v>
      </c>
      <c r="AP3276" s="238">
        <v>0.0</v>
      </c>
      <c r="AQ3276" s="235" t="s">
        <v>632</v>
      </c>
      <c r="AR3276" s="243">
        <v>1.68E11</v>
      </c>
      <c r="AS3276" s="235" t="s">
        <v>24095</v>
      </c>
      <c r="AT3276" s="235" t="s">
        <v>156</v>
      </c>
      <c r="AU3276" s="235" t="s">
        <v>634</v>
      </c>
      <c r="AV3276" s="246" t="s">
        <v>635</v>
      </c>
      <c r="AW3276" s="227"/>
      <c r="AX3276" s="227"/>
      <c r="AY3276" s="227"/>
      <c r="AZ3276" s="227"/>
      <c r="BA3276" s="227"/>
      <c r="BB3276" s="227"/>
      <c r="BC3276" s="227"/>
      <c r="BD3276" s="227"/>
      <c r="BE3276" s="227"/>
      <c r="BF3276" s="227"/>
    </row>
    <row r="3277">
      <c r="A3277" s="235" t="s">
        <v>24638</v>
      </c>
      <c r="C3277" s="235" t="s">
        <v>24639</v>
      </c>
      <c r="D3277" s="235" t="s">
        <v>24640</v>
      </c>
      <c r="E3277" s="243">
        <v>6.52E13</v>
      </c>
      <c r="F3277" s="245"/>
      <c r="G3277" s="235" t="s">
        <v>24641</v>
      </c>
      <c r="H3277" s="235" t="s">
        <v>24642</v>
      </c>
      <c r="I3277" s="235" t="s">
        <v>24643</v>
      </c>
      <c r="J3277" s="235" t="s">
        <v>24644</v>
      </c>
      <c r="K3277" s="235" t="s">
        <v>24645</v>
      </c>
      <c r="N3277" s="235" t="s">
        <v>130</v>
      </c>
      <c r="O3277" s="235" t="s">
        <v>707</v>
      </c>
      <c r="P3277" s="238">
        <v>1.0</v>
      </c>
      <c r="Q3277" s="235" t="s">
        <v>627</v>
      </c>
      <c r="R3277" s="238">
        <v>246.67</v>
      </c>
      <c r="S3277" s="238">
        <v>12.08</v>
      </c>
      <c r="T3277" s="238">
        <v>0.0</v>
      </c>
      <c r="U3277" s="238">
        <v>0.0</v>
      </c>
      <c r="V3277" s="238">
        <v>0.0</v>
      </c>
      <c r="W3277" s="238">
        <v>0.0</v>
      </c>
      <c r="X3277" s="235" t="s">
        <v>628</v>
      </c>
      <c r="Z3277" s="245"/>
      <c r="AA3277" s="245"/>
      <c r="AB3277" s="245"/>
      <c r="AC3277" s="235" t="s">
        <v>822</v>
      </c>
      <c r="AD3277" s="235" t="s">
        <v>630</v>
      </c>
      <c r="AE3277" s="238">
        <v>201311.0</v>
      </c>
      <c r="AF3277" s="235" t="s">
        <v>631</v>
      </c>
      <c r="AG3277" s="245"/>
      <c r="AH3277" s="245"/>
      <c r="AI3277" s="245"/>
      <c r="AJ3277" s="245"/>
      <c r="AK3277" s="245"/>
      <c r="AL3277" s="245"/>
      <c r="AM3277" s="245"/>
      <c r="AN3277" s="245"/>
      <c r="AO3277" s="238">
        <v>-4.93</v>
      </c>
      <c r="AP3277" s="238">
        <v>0.0</v>
      </c>
      <c r="AQ3277" s="235" t="s">
        <v>632</v>
      </c>
      <c r="AR3277" s="243">
        <v>3.71E11</v>
      </c>
      <c r="AS3277" s="235" t="s">
        <v>23542</v>
      </c>
      <c r="AT3277" s="235" t="s">
        <v>13</v>
      </c>
      <c r="AU3277" s="235" t="s">
        <v>634</v>
      </c>
      <c r="AV3277" s="246" t="s">
        <v>635</v>
      </c>
      <c r="AW3277" s="227"/>
      <c r="AX3277" s="227"/>
      <c r="AY3277" s="227"/>
      <c r="AZ3277" s="227"/>
      <c r="BA3277" s="227"/>
      <c r="BB3277" s="227"/>
      <c r="BC3277" s="227"/>
      <c r="BD3277" s="227"/>
      <c r="BE3277" s="227"/>
      <c r="BF3277" s="227"/>
    </row>
    <row r="3278">
      <c r="A3278" s="235" t="s">
        <v>24646</v>
      </c>
      <c r="C3278" s="235" t="s">
        <v>24647</v>
      </c>
      <c r="D3278" s="235" t="s">
        <v>24648</v>
      </c>
      <c r="E3278" s="243">
        <v>6.52E13</v>
      </c>
      <c r="F3278" s="245"/>
      <c r="G3278" s="235" t="s">
        <v>24649</v>
      </c>
      <c r="H3278" s="235" t="s">
        <v>24650</v>
      </c>
      <c r="I3278" s="235" t="s">
        <v>24650</v>
      </c>
      <c r="J3278" s="235" t="s">
        <v>24651</v>
      </c>
      <c r="K3278" s="235" t="s">
        <v>24652</v>
      </c>
      <c r="N3278" s="235" t="s">
        <v>962</v>
      </c>
      <c r="O3278" s="235" t="s">
        <v>963</v>
      </c>
      <c r="P3278" s="238">
        <v>1.0</v>
      </c>
      <c r="Q3278" s="235" t="s">
        <v>627</v>
      </c>
      <c r="R3278" s="238">
        <v>246.66</v>
      </c>
      <c r="S3278" s="238">
        <v>12.1</v>
      </c>
      <c r="T3278" s="238">
        <v>0.0</v>
      </c>
      <c r="U3278" s="238">
        <v>0.0</v>
      </c>
      <c r="V3278" s="238">
        <v>0.0</v>
      </c>
      <c r="W3278" s="238">
        <v>0.0</v>
      </c>
      <c r="X3278" s="235" t="s">
        <v>628</v>
      </c>
      <c r="Z3278" s="245"/>
      <c r="AA3278" s="245"/>
      <c r="AB3278" s="245"/>
      <c r="AC3278" s="235" t="s">
        <v>678</v>
      </c>
      <c r="AD3278" s="235" t="s">
        <v>679</v>
      </c>
      <c r="AE3278" s="238">
        <v>560016.0</v>
      </c>
      <c r="AF3278" s="235" t="s">
        <v>631</v>
      </c>
      <c r="AG3278" s="245"/>
      <c r="AH3278" s="245"/>
      <c r="AI3278" s="245"/>
      <c r="AJ3278" s="245"/>
      <c r="AK3278" s="245"/>
      <c r="AL3278" s="245"/>
      <c r="AM3278" s="245"/>
      <c r="AN3278" s="245"/>
      <c r="AO3278" s="238">
        <v>-4.94</v>
      </c>
      <c r="AP3278" s="238">
        <v>0.0</v>
      </c>
      <c r="AQ3278" s="235" t="s">
        <v>632</v>
      </c>
      <c r="AR3278" s="243">
        <v>1.68E11</v>
      </c>
      <c r="AS3278" s="235" t="s">
        <v>24095</v>
      </c>
      <c r="AT3278" s="235" t="s">
        <v>11</v>
      </c>
      <c r="AU3278" s="235" t="s">
        <v>634</v>
      </c>
      <c r="AV3278" s="246" t="s">
        <v>635</v>
      </c>
      <c r="AW3278" s="227"/>
      <c r="AX3278" s="227"/>
      <c r="AY3278" s="227"/>
      <c r="AZ3278" s="227"/>
      <c r="BA3278" s="227"/>
      <c r="BB3278" s="227"/>
      <c r="BC3278" s="227"/>
      <c r="BD3278" s="227"/>
      <c r="BE3278" s="227"/>
      <c r="BF3278" s="227"/>
    </row>
    <row r="3279">
      <c r="A3279" s="235" t="s">
        <v>24653</v>
      </c>
      <c r="C3279" s="235" t="s">
        <v>24654</v>
      </c>
      <c r="D3279" s="235" t="s">
        <v>24655</v>
      </c>
      <c r="E3279" s="243">
        <v>6.52E13</v>
      </c>
      <c r="F3279" s="245"/>
      <c r="G3279" s="235" t="s">
        <v>24656</v>
      </c>
      <c r="H3279" s="235" t="s">
        <v>24657</v>
      </c>
      <c r="I3279" s="235" t="s">
        <v>24657</v>
      </c>
      <c r="J3279" s="235" t="s">
        <v>24658</v>
      </c>
      <c r="K3279" s="235" t="s">
        <v>24659</v>
      </c>
      <c r="N3279" s="235" t="s">
        <v>144</v>
      </c>
      <c r="O3279" s="235" t="s">
        <v>232</v>
      </c>
      <c r="P3279" s="238">
        <v>1.0</v>
      </c>
      <c r="Q3279" s="235" t="s">
        <v>627</v>
      </c>
      <c r="R3279" s="238">
        <v>665.72</v>
      </c>
      <c r="S3279" s="238">
        <v>33.28</v>
      </c>
      <c r="T3279" s="238">
        <v>0.0</v>
      </c>
      <c r="U3279" s="238">
        <v>0.0</v>
      </c>
      <c r="V3279" s="238">
        <v>0.0</v>
      </c>
      <c r="W3279" s="238">
        <v>0.0</v>
      </c>
      <c r="X3279" s="235" t="s">
        <v>628</v>
      </c>
      <c r="Z3279" s="245"/>
      <c r="AA3279" s="245"/>
      <c r="AB3279" s="245"/>
      <c r="AC3279" s="235" t="s">
        <v>687</v>
      </c>
      <c r="AD3279" s="235" t="s">
        <v>666</v>
      </c>
      <c r="AE3279" s="238">
        <v>600119.0</v>
      </c>
      <c r="AF3279" s="235" t="s">
        <v>631</v>
      </c>
      <c r="AG3279" s="245"/>
      <c r="AH3279" s="245"/>
      <c r="AI3279" s="245"/>
      <c r="AJ3279" s="245"/>
      <c r="AK3279" s="245"/>
      <c r="AL3279" s="245"/>
      <c r="AM3279" s="245"/>
      <c r="AN3279" s="245"/>
      <c r="AO3279" s="238">
        <v>0.0</v>
      </c>
      <c r="AP3279" s="238">
        <v>0.0</v>
      </c>
      <c r="AQ3279" s="235" t="s">
        <v>632</v>
      </c>
      <c r="AR3279" s="243">
        <v>3.71E11</v>
      </c>
      <c r="AS3279" s="235" t="s">
        <v>23542</v>
      </c>
      <c r="AT3279" s="235" t="s">
        <v>156</v>
      </c>
      <c r="AU3279" s="235" t="s">
        <v>634</v>
      </c>
      <c r="AV3279" s="246" t="s">
        <v>635</v>
      </c>
      <c r="AW3279" s="227"/>
      <c r="AX3279" s="227"/>
      <c r="AY3279" s="227"/>
      <c r="AZ3279" s="227"/>
      <c r="BA3279" s="227"/>
      <c r="BB3279" s="227"/>
      <c r="BC3279" s="227"/>
      <c r="BD3279" s="227"/>
      <c r="BE3279" s="227"/>
      <c r="BF3279" s="227"/>
    </row>
    <row r="3280">
      <c r="A3280" s="235" t="s">
        <v>24660</v>
      </c>
      <c r="C3280" s="235" t="s">
        <v>24661</v>
      </c>
      <c r="D3280" s="235" t="s">
        <v>24662</v>
      </c>
      <c r="E3280" s="243">
        <v>6.52E13</v>
      </c>
      <c r="F3280" s="245"/>
      <c r="G3280" s="235" t="s">
        <v>24663</v>
      </c>
      <c r="H3280" s="235" t="s">
        <v>24664</v>
      </c>
      <c r="I3280" s="235" t="s">
        <v>24665</v>
      </c>
      <c r="J3280" s="235" t="s">
        <v>24666</v>
      </c>
      <c r="K3280" s="235" t="s">
        <v>24667</v>
      </c>
      <c r="N3280" s="235" t="s">
        <v>989</v>
      </c>
      <c r="O3280" s="235" t="s">
        <v>990</v>
      </c>
      <c r="P3280" s="238">
        <v>1.0</v>
      </c>
      <c r="Q3280" s="235" t="s">
        <v>627</v>
      </c>
      <c r="R3280" s="238">
        <v>256.19</v>
      </c>
      <c r="S3280" s="238">
        <v>12.81</v>
      </c>
      <c r="T3280" s="238">
        <v>0.0</v>
      </c>
      <c r="U3280" s="238">
        <v>0.0</v>
      </c>
      <c r="V3280" s="238">
        <v>0.0</v>
      </c>
      <c r="W3280" s="238">
        <v>0.0</v>
      </c>
      <c r="X3280" s="235" t="s">
        <v>628</v>
      </c>
      <c r="Z3280" s="245"/>
      <c r="AA3280" s="245"/>
      <c r="AB3280" s="245"/>
      <c r="AC3280" s="235" t="s">
        <v>24668</v>
      </c>
      <c r="AD3280" s="235" t="s">
        <v>698</v>
      </c>
      <c r="AE3280" s="238">
        <v>502291.0</v>
      </c>
      <c r="AF3280" s="235" t="s">
        <v>631</v>
      </c>
      <c r="AG3280" s="245"/>
      <c r="AH3280" s="245"/>
      <c r="AI3280" s="245"/>
      <c r="AJ3280" s="245"/>
      <c r="AK3280" s="245"/>
      <c r="AL3280" s="245"/>
      <c r="AM3280" s="245"/>
      <c r="AN3280" s="245"/>
      <c r="AO3280" s="238">
        <v>0.0</v>
      </c>
      <c r="AP3280" s="238">
        <v>0.0</v>
      </c>
      <c r="AQ3280" s="235" t="s">
        <v>632</v>
      </c>
      <c r="AR3280" s="243">
        <v>3.71E11</v>
      </c>
      <c r="AS3280" s="235" t="s">
        <v>22269</v>
      </c>
      <c r="AT3280" s="235" t="s">
        <v>11</v>
      </c>
      <c r="AU3280" s="235" t="s">
        <v>634</v>
      </c>
      <c r="AV3280" s="246" t="s">
        <v>635</v>
      </c>
      <c r="AW3280" s="227"/>
      <c r="AX3280" s="227"/>
      <c r="AY3280" s="227"/>
      <c r="AZ3280" s="227"/>
      <c r="BA3280" s="227"/>
      <c r="BB3280" s="227"/>
      <c r="BC3280" s="227"/>
      <c r="BD3280" s="227"/>
      <c r="BE3280" s="227"/>
      <c r="BF3280" s="227"/>
    </row>
    <row r="3281">
      <c r="A3281" s="235" t="s">
        <v>24669</v>
      </c>
      <c r="C3281" s="235" t="s">
        <v>24670</v>
      </c>
      <c r="D3281" s="235" t="s">
        <v>24671</v>
      </c>
      <c r="E3281" s="243">
        <v>6.52E13</v>
      </c>
      <c r="F3281" s="245"/>
      <c r="G3281" s="235" t="s">
        <v>24672</v>
      </c>
      <c r="H3281" s="235" t="s">
        <v>24673</v>
      </c>
      <c r="I3281" s="235" t="s">
        <v>24673</v>
      </c>
      <c r="J3281" s="235" t="s">
        <v>24674</v>
      </c>
      <c r="K3281" s="235" t="s">
        <v>24675</v>
      </c>
      <c r="N3281" s="235" t="s">
        <v>90</v>
      </c>
      <c r="O3281" s="235" t="s">
        <v>279</v>
      </c>
      <c r="P3281" s="238">
        <v>1.0</v>
      </c>
      <c r="Q3281" s="235" t="s">
        <v>627</v>
      </c>
      <c r="R3281" s="238">
        <v>246.66</v>
      </c>
      <c r="S3281" s="238">
        <v>12.34</v>
      </c>
      <c r="T3281" s="238">
        <v>38.1</v>
      </c>
      <c r="U3281" s="238">
        <v>1.9</v>
      </c>
      <c r="V3281" s="238">
        <v>0.0</v>
      </c>
      <c r="W3281" s="238">
        <v>0.0</v>
      </c>
      <c r="X3281" s="235" t="s">
        <v>628</v>
      </c>
      <c r="Z3281" s="245"/>
      <c r="AA3281" s="245"/>
      <c r="AB3281" s="245"/>
      <c r="AC3281" s="235" t="s">
        <v>24676</v>
      </c>
      <c r="AD3281" s="235" t="s">
        <v>845</v>
      </c>
      <c r="AE3281" s="238">
        <v>423204.0</v>
      </c>
      <c r="AF3281" s="235" t="s">
        <v>631</v>
      </c>
      <c r="AG3281" s="245"/>
      <c r="AH3281" s="245"/>
      <c r="AI3281" s="245"/>
      <c r="AJ3281" s="245"/>
      <c r="AK3281" s="245"/>
      <c r="AL3281" s="245"/>
      <c r="AM3281" s="245"/>
      <c r="AN3281" s="245"/>
      <c r="AO3281" s="238">
        <v>0.0</v>
      </c>
      <c r="AP3281" s="238">
        <v>-38.1</v>
      </c>
      <c r="AQ3281" s="235" t="s">
        <v>632</v>
      </c>
      <c r="AR3281" s="243">
        <v>3.71E11</v>
      </c>
      <c r="AS3281" s="235" t="s">
        <v>20529</v>
      </c>
      <c r="AT3281" s="235" t="s">
        <v>17</v>
      </c>
      <c r="AU3281" s="235" t="s">
        <v>634</v>
      </c>
      <c r="AV3281" s="246" t="s">
        <v>635</v>
      </c>
      <c r="AW3281" s="227"/>
      <c r="AX3281" s="227"/>
      <c r="AY3281" s="227"/>
      <c r="AZ3281" s="227"/>
      <c r="BA3281" s="227"/>
      <c r="BB3281" s="227"/>
      <c r="BC3281" s="227"/>
      <c r="BD3281" s="227"/>
      <c r="BE3281" s="227"/>
      <c r="BF3281" s="227"/>
    </row>
    <row r="3282">
      <c r="A3282" s="235" t="s">
        <v>24677</v>
      </c>
      <c r="C3282" s="235" t="s">
        <v>24678</v>
      </c>
      <c r="D3282" s="235" t="s">
        <v>24679</v>
      </c>
      <c r="E3282" s="243">
        <v>6.52E13</v>
      </c>
      <c r="F3282" s="245"/>
      <c r="G3282" s="235" t="s">
        <v>24680</v>
      </c>
      <c r="H3282" s="235" t="s">
        <v>24681</v>
      </c>
      <c r="I3282" s="235" t="s">
        <v>24681</v>
      </c>
      <c r="J3282" s="235" t="s">
        <v>24682</v>
      </c>
      <c r="K3282" s="235" t="s">
        <v>24683</v>
      </c>
      <c r="N3282" s="235" t="s">
        <v>68</v>
      </c>
      <c r="O3282" s="235" t="s">
        <v>208</v>
      </c>
      <c r="P3282" s="238">
        <v>1.0</v>
      </c>
      <c r="Q3282" s="235" t="s">
        <v>627</v>
      </c>
      <c r="R3282" s="238">
        <v>246.67</v>
      </c>
      <c r="S3282" s="238">
        <v>12.33</v>
      </c>
      <c r="T3282" s="238">
        <v>0.0</v>
      </c>
      <c r="U3282" s="238">
        <v>0.0</v>
      </c>
      <c r="V3282" s="238">
        <v>0.0</v>
      </c>
      <c r="W3282" s="238">
        <v>0.0</v>
      </c>
      <c r="X3282" s="235" t="s">
        <v>628</v>
      </c>
      <c r="Z3282" s="245"/>
      <c r="AA3282" s="245"/>
      <c r="AB3282" s="245"/>
      <c r="AC3282" s="235" t="s">
        <v>24684</v>
      </c>
      <c r="AD3282" s="235" t="s">
        <v>709</v>
      </c>
      <c r="AE3282" s="238">
        <v>854301.0</v>
      </c>
      <c r="AF3282" s="235" t="s">
        <v>631</v>
      </c>
      <c r="AG3282" s="245"/>
      <c r="AH3282" s="245"/>
      <c r="AI3282" s="245"/>
      <c r="AJ3282" s="245"/>
      <c r="AK3282" s="245"/>
      <c r="AL3282" s="245"/>
      <c r="AM3282" s="245"/>
      <c r="AN3282" s="245"/>
      <c r="AO3282" s="238">
        <v>0.0</v>
      </c>
      <c r="AP3282" s="238">
        <v>0.0</v>
      </c>
      <c r="AQ3282" s="235" t="s">
        <v>632</v>
      </c>
      <c r="AR3282" s="243">
        <v>2.02E11</v>
      </c>
      <c r="AS3282" s="235" t="s">
        <v>22269</v>
      </c>
      <c r="AT3282" s="235" t="s">
        <v>11</v>
      </c>
      <c r="AU3282" s="235" t="s">
        <v>634</v>
      </c>
      <c r="AV3282" s="246" t="s">
        <v>635</v>
      </c>
      <c r="AW3282" s="227"/>
      <c r="AX3282" s="227"/>
      <c r="AY3282" s="227"/>
      <c r="AZ3282" s="227"/>
      <c r="BA3282" s="227"/>
      <c r="BB3282" s="227"/>
      <c r="BC3282" s="227"/>
      <c r="BD3282" s="227"/>
      <c r="BE3282" s="227"/>
      <c r="BF3282" s="227"/>
    </row>
    <row r="3283">
      <c r="A3283" s="235" t="s">
        <v>24685</v>
      </c>
      <c r="C3283" s="235" t="s">
        <v>24686</v>
      </c>
      <c r="D3283" s="235" t="s">
        <v>24687</v>
      </c>
      <c r="E3283" s="243">
        <v>6.52E13</v>
      </c>
      <c r="F3283" s="245"/>
      <c r="G3283" s="235" t="s">
        <v>24688</v>
      </c>
      <c r="H3283" s="235" t="s">
        <v>24689</v>
      </c>
      <c r="I3283" s="235" t="s">
        <v>24689</v>
      </c>
      <c r="J3283" s="235" t="s">
        <v>24690</v>
      </c>
      <c r="K3283" s="235" t="s">
        <v>24691</v>
      </c>
      <c r="N3283" s="235" t="s">
        <v>51</v>
      </c>
      <c r="O3283" s="235" t="s">
        <v>273</v>
      </c>
      <c r="P3283" s="238">
        <v>1.0</v>
      </c>
      <c r="Q3283" s="235" t="s">
        <v>627</v>
      </c>
      <c r="R3283" s="238">
        <v>237.14</v>
      </c>
      <c r="S3283" s="238">
        <v>11.86</v>
      </c>
      <c r="T3283" s="238">
        <v>0.0</v>
      </c>
      <c r="U3283" s="238">
        <v>0.0</v>
      </c>
      <c r="V3283" s="238">
        <v>0.0</v>
      </c>
      <c r="W3283" s="238">
        <v>0.0</v>
      </c>
      <c r="X3283" s="235" t="s">
        <v>628</v>
      </c>
      <c r="Z3283" s="245"/>
      <c r="AA3283" s="245"/>
      <c r="AB3283" s="245"/>
      <c r="AC3283" s="235" t="s">
        <v>697</v>
      </c>
      <c r="AD3283" s="235" t="s">
        <v>698</v>
      </c>
      <c r="AE3283" s="238">
        <v>500018.0</v>
      </c>
      <c r="AF3283" s="235" t="s">
        <v>631</v>
      </c>
      <c r="AG3283" s="245"/>
      <c r="AH3283" s="245"/>
      <c r="AI3283" s="245"/>
      <c r="AJ3283" s="245"/>
      <c r="AK3283" s="245"/>
      <c r="AL3283" s="245"/>
      <c r="AM3283" s="245"/>
      <c r="AN3283" s="245"/>
      <c r="AO3283" s="238">
        <v>0.0</v>
      </c>
      <c r="AP3283" s="238">
        <v>0.0</v>
      </c>
      <c r="AQ3283" s="235" t="s">
        <v>632</v>
      </c>
      <c r="AR3283" s="243">
        <v>2.02E11</v>
      </c>
      <c r="AS3283" s="235" t="s">
        <v>23542</v>
      </c>
      <c r="AT3283" s="235" t="s">
        <v>156</v>
      </c>
      <c r="AU3283" s="235" t="s">
        <v>634</v>
      </c>
      <c r="AV3283" s="246" t="s">
        <v>635</v>
      </c>
      <c r="AW3283" s="227"/>
      <c r="AX3283" s="227"/>
      <c r="AY3283" s="227"/>
      <c r="AZ3283" s="227"/>
      <c r="BA3283" s="227"/>
      <c r="BB3283" s="227"/>
      <c r="BC3283" s="227"/>
      <c r="BD3283" s="227"/>
      <c r="BE3283" s="227"/>
      <c r="BF3283" s="227"/>
    </row>
    <row r="3284">
      <c r="A3284" s="235" t="s">
        <v>24692</v>
      </c>
      <c r="C3284" s="235" t="s">
        <v>24693</v>
      </c>
      <c r="D3284" s="235" t="s">
        <v>24694</v>
      </c>
      <c r="E3284" s="243">
        <v>6.51E13</v>
      </c>
      <c r="F3284" s="245"/>
      <c r="G3284" s="235" t="s">
        <v>24695</v>
      </c>
      <c r="H3284" s="235" t="s">
        <v>24696</v>
      </c>
      <c r="I3284" s="235" t="s">
        <v>24697</v>
      </c>
      <c r="J3284" s="235" t="s">
        <v>24698</v>
      </c>
      <c r="K3284" s="235" t="s">
        <v>24699</v>
      </c>
      <c r="N3284" s="235" t="s">
        <v>566</v>
      </c>
      <c r="O3284" s="235" t="s">
        <v>13068</v>
      </c>
      <c r="P3284" s="238">
        <v>1.0</v>
      </c>
      <c r="Q3284" s="235" t="s">
        <v>627</v>
      </c>
      <c r="R3284" s="238">
        <v>405.93</v>
      </c>
      <c r="S3284" s="238">
        <v>70.88</v>
      </c>
      <c r="T3284" s="238">
        <v>0.0</v>
      </c>
      <c r="U3284" s="238">
        <v>0.0</v>
      </c>
      <c r="V3284" s="238">
        <v>0.0</v>
      </c>
      <c r="W3284" s="238">
        <v>0.0</v>
      </c>
      <c r="X3284" s="235" t="s">
        <v>628</v>
      </c>
      <c r="Z3284" s="245"/>
      <c r="AA3284" s="245"/>
      <c r="AB3284" s="245"/>
      <c r="AC3284" s="235" t="s">
        <v>1255</v>
      </c>
      <c r="AD3284" s="235" t="s">
        <v>845</v>
      </c>
      <c r="AE3284" s="238">
        <v>400607.0</v>
      </c>
      <c r="AF3284" s="235" t="s">
        <v>631</v>
      </c>
      <c r="AG3284" s="245"/>
      <c r="AH3284" s="245"/>
      <c r="AI3284" s="245"/>
      <c r="AJ3284" s="245"/>
      <c r="AK3284" s="245"/>
      <c r="AL3284" s="245"/>
      <c r="AM3284" s="245"/>
      <c r="AN3284" s="245"/>
      <c r="AO3284" s="238">
        <v>-12.18</v>
      </c>
      <c r="AP3284" s="238">
        <v>0.0</v>
      </c>
      <c r="AQ3284" s="235" t="s">
        <v>632</v>
      </c>
      <c r="AR3284" s="243">
        <v>3.71E11</v>
      </c>
      <c r="AS3284" s="235" t="s">
        <v>20529</v>
      </c>
      <c r="AT3284" s="235" t="s">
        <v>5</v>
      </c>
      <c r="AU3284" s="235" t="s">
        <v>634</v>
      </c>
      <c r="AV3284" s="246" t="s">
        <v>635</v>
      </c>
      <c r="AW3284" s="227"/>
      <c r="AX3284" s="227"/>
      <c r="AY3284" s="227"/>
      <c r="AZ3284" s="227"/>
      <c r="BA3284" s="227"/>
      <c r="BB3284" s="227"/>
      <c r="BC3284" s="227"/>
      <c r="BD3284" s="227"/>
      <c r="BE3284" s="227"/>
      <c r="BF3284" s="227"/>
    </row>
    <row r="3285">
      <c r="A3285" s="235" t="s">
        <v>24700</v>
      </c>
      <c r="C3285" s="235" t="s">
        <v>24701</v>
      </c>
      <c r="D3285" s="235" t="s">
        <v>24702</v>
      </c>
      <c r="E3285" s="243">
        <v>6.52E13</v>
      </c>
      <c r="F3285" s="245"/>
      <c r="G3285" s="235" t="s">
        <v>24703</v>
      </c>
      <c r="H3285" s="235" t="s">
        <v>24704</v>
      </c>
      <c r="I3285" s="235" t="s">
        <v>24705</v>
      </c>
      <c r="J3285" s="235" t="s">
        <v>24706</v>
      </c>
      <c r="K3285" s="235" t="s">
        <v>24707</v>
      </c>
      <c r="N3285" s="235" t="s">
        <v>962</v>
      </c>
      <c r="O3285" s="235" t="s">
        <v>963</v>
      </c>
      <c r="P3285" s="238">
        <v>1.0</v>
      </c>
      <c r="Q3285" s="235" t="s">
        <v>627</v>
      </c>
      <c r="R3285" s="238">
        <v>242.86</v>
      </c>
      <c r="S3285" s="238">
        <v>12.14</v>
      </c>
      <c r="T3285" s="238">
        <v>0.0</v>
      </c>
      <c r="U3285" s="238">
        <v>0.0</v>
      </c>
      <c r="V3285" s="238">
        <v>0.0</v>
      </c>
      <c r="W3285" s="238">
        <v>0.0</v>
      </c>
      <c r="X3285" s="235" t="s">
        <v>628</v>
      </c>
      <c r="Z3285" s="245"/>
      <c r="AA3285" s="245"/>
      <c r="AB3285" s="245"/>
      <c r="AC3285" s="235" t="s">
        <v>2341</v>
      </c>
      <c r="AD3285" s="235" t="s">
        <v>928</v>
      </c>
      <c r="AE3285" s="238">
        <v>122017.0</v>
      </c>
      <c r="AF3285" s="235" t="s">
        <v>631</v>
      </c>
      <c r="AG3285" s="245"/>
      <c r="AH3285" s="245"/>
      <c r="AI3285" s="245"/>
      <c r="AJ3285" s="245"/>
      <c r="AK3285" s="245"/>
      <c r="AL3285" s="245"/>
      <c r="AM3285" s="245"/>
      <c r="AN3285" s="245"/>
      <c r="AO3285" s="238">
        <v>0.0</v>
      </c>
      <c r="AP3285" s="238">
        <v>0.0</v>
      </c>
      <c r="AQ3285" s="235" t="s">
        <v>632</v>
      </c>
      <c r="AR3285" s="243">
        <v>1.68E11</v>
      </c>
      <c r="AS3285" s="235" t="s">
        <v>24095</v>
      </c>
      <c r="AT3285" s="235" t="s">
        <v>14</v>
      </c>
      <c r="AU3285" s="235" t="s">
        <v>634</v>
      </c>
      <c r="AV3285" s="246" t="s">
        <v>635</v>
      </c>
      <c r="AW3285" s="227"/>
      <c r="AX3285" s="227"/>
      <c r="AY3285" s="227"/>
      <c r="AZ3285" s="227"/>
      <c r="BA3285" s="227"/>
      <c r="BB3285" s="227"/>
      <c r="BC3285" s="227"/>
      <c r="BD3285" s="227"/>
      <c r="BE3285" s="227"/>
      <c r="BF3285" s="227"/>
    </row>
    <row r="3286">
      <c r="A3286" s="235" t="s">
        <v>24708</v>
      </c>
      <c r="C3286" s="235" t="s">
        <v>24709</v>
      </c>
      <c r="D3286" s="235" t="s">
        <v>24710</v>
      </c>
      <c r="E3286" s="243">
        <v>6.52E13</v>
      </c>
      <c r="F3286" s="245"/>
      <c r="G3286" s="235" t="s">
        <v>24711</v>
      </c>
      <c r="H3286" s="235" t="s">
        <v>24712</v>
      </c>
      <c r="I3286" s="235" t="s">
        <v>24713</v>
      </c>
      <c r="J3286" s="235" t="s">
        <v>24714</v>
      </c>
      <c r="K3286" s="235" t="s">
        <v>24715</v>
      </c>
      <c r="N3286" s="235" t="s">
        <v>53</v>
      </c>
      <c r="O3286" s="235" t="s">
        <v>512</v>
      </c>
      <c r="P3286" s="238">
        <v>1.0</v>
      </c>
      <c r="Q3286" s="235" t="s">
        <v>627</v>
      </c>
      <c r="R3286" s="238">
        <v>233.33</v>
      </c>
      <c r="S3286" s="238">
        <v>11.44</v>
      </c>
      <c r="T3286" s="238">
        <v>38.1</v>
      </c>
      <c r="U3286" s="238">
        <v>1.9</v>
      </c>
      <c r="V3286" s="238">
        <v>0.0</v>
      </c>
      <c r="W3286" s="238">
        <v>0.0</v>
      </c>
      <c r="X3286" s="235" t="s">
        <v>628</v>
      </c>
      <c r="Z3286" s="245"/>
      <c r="AA3286" s="245"/>
      <c r="AB3286" s="245"/>
      <c r="AC3286" s="235" t="s">
        <v>697</v>
      </c>
      <c r="AD3286" s="235" t="s">
        <v>698</v>
      </c>
      <c r="AE3286" s="238">
        <v>500054.0</v>
      </c>
      <c r="AF3286" s="235" t="s">
        <v>631</v>
      </c>
      <c r="AG3286" s="245"/>
      <c r="AH3286" s="245"/>
      <c r="AI3286" s="245"/>
      <c r="AJ3286" s="245"/>
      <c r="AK3286" s="245"/>
      <c r="AL3286" s="245"/>
      <c r="AM3286" s="245"/>
      <c r="AN3286" s="245"/>
      <c r="AO3286" s="238">
        <v>-4.67</v>
      </c>
      <c r="AP3286" s="238">
        <v>-38.1</v>
      </c>
      <c r="AQ3286" s="235" t="s">
        <v>632</v>
      </c>
      <c r="AR3286" s="243">
        <v>3.71E11</v>
      </c>
      <c r="AS3286" s="235" t="s">
        <v>20529</v>
      </c>
      <c r="AT3286" s="235" t="s">
        <v>17</v>
      </c>
      <c r="AU3286" s="235" t="s">
        <v>634</v>
      </c>
      <c r="AV3286" s="246" t="s">
        <v>635</v>
      </c>
      <c r="AW3286" s="227"/>
      <c r="AX3286" s="227"/>
      <c r="AY3286" s="227"/>
      <c r="AZ3286" s="227"/>
      <c r="BA3286" s="227"/>
      <c r="BB3286" s="227"/>
      <c r="BC3286" s="227"/>
      <c r="BD3286" s="227"/>
      <c r="BE3286" s="227"/>
      <c r="BF3286" s="227"/>
    </row>
    <row r="3287">
      <c r="A3287" s="235" t="s">
        <v>24716</v>
      </c>
      <c r="C3287" s="235" t="s">
        <v>24717</v>
      </c>
      <c r="D3287" s="235" t="s">
        <v>24718</v>
      </c>
      <c r="E3287" s="243">
        <v>6.52E13</v>
      </c>
      <c r="F3287" s="245"/>
      <c r="G3287" s="235" t="s">
        <v>24719</v>
      </c>
      <c r="H3287" s="235" t="s">
        <v>24720</v>
      </c>
      <c r="I3287" s="235" t="s">
        <v>24721</v>
      </c>
      <c r="J3287" s="235" t="s">
        <v>24722</v>
      </c>
      <c r="K3287" s="235" t="s">
        <v>24723</v>
      </c>
      <c r="N3287" s="235" t="s">
        <v>49</v>
      </c>
      <c r="O3287" s="235" t="s">
        <v>321</v>
      </c>
      <c r="P3287" s="238">
        <v>1.0</v>
      </c>
      <c r="Q3287" s="235" t="s">
        <v>627</v>
      </c>
      <c r="R3287" s="238">
        <v>237.14</v>
      </c>
      <c r="S3287" s="238">
        <v>11.86</v>
      </c>
      <c r="T3287" s="238">
        <v>0.0</v>
      </c>
      <c r="U3287" s="238">
        <v>0.0</v>
      </c>
      <c r="V3287" s="238">
        <v>0.0</v>
      </c>
      <c r="W3287" s="238">
        <v>0.0</v>
      </c>
      <c r="X3287" s="235" t="s">
        <v>628</v>
      </c>
      <c r="Z3287" s="245"/>
      <c r="AA3287" s="245"/>
      <c r="AB3287" s="245"/>
      <c r="AC3287" s="235" t="s">
        <v>678</v>
      </c>
      <c r="AD3287" s="235" t="s">
        <v>679</v>
      </c>
      <c r="AE3287" s="238">
        <v>560105.0</v>
      </c>
      <c r="AF3287" s="235" t="s">
        <v>631</v>
      </c>
      <c r="AG3287" s="245"/>
      <c r="AH3287" s="245"/>
      <c r="AI3287" s="245"/>
      <c r="AJ3287" s="245"/>
      <c r="AK3287" s="245"/>
      <c r="AL3287" s="245"/>
      <c r="AM3287" s="245"/>
      <c r="AN3287" s="245"/>
      <c r="AO3287" s="238">
        <v>0.0</v>
      </c>
      <c r="AP3287" s="238">
        <v>0.0</v>
      </c>
      <c r="AQ3287" s="235" t="s">
        <v>632</v>
      </c>
      <c r="AR3287" s="243">
        <v>3.71E11</v>
      </c>
      <c r="AS3287" s="235" t="s">
        <v>23542</v>
      </c>
      <c r="AT3287" s="235" t="s">
        <v>9</v>
      </c>
      <c r="AU3287" s="235" t="s">
        <v>634</v>
      </c>
      <c r="AV3287" s="246" t="s">
        <v>635</v>
      </c>
      <c r="AW3287" s="227"/>
      <c r="AX3287" s="227"/>
      <c r="AY3287" s="227"/>
      <c r="AZ3287" s="227"/>
      <c r="BA3287" s="227"/>
      <c r="BB3287" s="227"/>
      <c r="BC3287" s="227"/>
      <c r="BD3287" s="227"/>
      <c r="BE3287" s="227"/>
      <c r="BF3287" s="227"/>
    </row>
    <row r="3288">
      <c r="A3288" s="235" t="s">
        <v>24724</v>
      </c>
      <c r="C3288" s="235" t="s">
        <v>24725</v>
      </c>
      <c r="D3288" s="235" t="s">
        <v>24726</v>
      </c>
      <c r="E3288" s="243">
        <v>6.52E13</v>
      </c>
      <c r="F3288" s="245"/>
      <c r="G3288" s="235" t="s">
        <v>24727</v>
      </c>
      <c r="H3288" s="235" t="s">
        <v>24728</v>
      </c>
      <c r="I3288" s="235" t="s">
        <v>24728</v>
      </c>
      <c r="J3288" s="235" t="s">
        <v>24729</v>
      </c>
      <c r="K3288" s="235" t="s">
        <v>24730</v>
      </c>
      <c r="N3288" s="235" t="s">
        <v>42</v>
      </c>
      <c r="O3288" s="235" t="s">
        <v>204</v>
      </c>
      <c r="P3288" s="238">
        <v>1.0</v>
      </c>
      <c r="Q3288" s="235" t="s">
        <v>627</v>
      </c>
      <c r="R3288" s="238">
        <v>237.14</v>
      </c>
      <c r="S3288" s="238">
        <v>11.86</v>
      </c>
      <c r="T3288" s="238">
        <v>0.0</v>
      </c>
      <c r="U3288" s="238">
        <v>0.0</v>
      </c>
      <c r="V3288" s="238">
        <v>0.0</v>
      </c>
      <c r="W3288" s="238">
        <v>0.0</v>
      </c>
      <c r="X3288" s="235" t="s">
        <v>628</v>
      </c>
      <c r="Z3288" s="245"/>
      <c r="AA3288" s="245"/>
      <c r="AB3288" s="245"/>
      <c r="AC3288" s="235" t="s">
        <v>24731</v>
      </c>
      <c r="AD3288" s="235" t="s">
        <v>891</v>
      </c>
      <c r="AE3288" s="238">
        <v>605008.0</v>
      </c>
      <c r="AF3288" s="235" t="s">
        <v>631</v>
      </c>
      <c r="AG3288" s="245"/>
      <c r="AH3288" s="245"/>
      <c r="AI3288" s="245"/>
      <c r="AJ3288" s="245"/>
      <c r="AK3288" s="245"/>
      <c r="AL3288" s="245"/>
      <c r="AM3288" s="245"/>
      <c r="AN3288" s="245"/>
      <c r="AO3288" s="238">
        <v>0.0</v>
      </c>
      <c r="AP3288" s="238">
        <v>0.0</v>
      </c>
      <c r="AQ3288" s="235" t="s">
        <v>632</v>
      </c>
      <c r="AR3288" s="243">
        <v>3.71E11</v>
      </c>
      <c r="AS3288" s="235" t="s">
        <v>22269</v>
      </c>
      <c r="AT3288" s="235" t="s">
        <v>9</v>
      </c>
      <c r="AU3288" s="235" t="s">
        <v>634</v>
      </c>
      <c r="AV3288" s="246" t="s">
        <v>635</v>
      </c>
      <c r="AW3288" s="227"/>
      <c r="AX3288" s="227"/>
      <c r="AY3288" s="227"/>
      <c r="AZ3288" s="227"/>
      <c r="BA3288" s="227"/>
      <c r="BB3288" s="227"/>
      <c r="BC3288" s="227"/>
      <c r="BD3288" s="227"/>
      <c r="BE3288" s="227"/>
      <c r="BF3288" s="227"/>
    </row>
    <row r="3289">
      <c r="A3289" s="235" t="s">
        <v>24732</v>
      </c>
      <c r="C3289" s="235" t="s">
        <v>24733</v>
      </c>
      <c r="D3289" s="235" t="s">
        <v>24734</v>
      </c>
      <c r="E3289" s="243">
        <v>6.52E13</v>
      </c>
      <c r="F3289" s="245"/>
      <c r="G3289" s="235" t="s">
        <v>24735</v>
      </c>
      <c r="H3289" s="235" t="s">
        <v>24736</v>
      </c>
      <c r="I3289" s="235" t="s">
        <v>24737</v>
      </c>
      <c r="J3289" s="235" t="s">
        <v>20740</v>
      </c>
      <c r="K3289" s="235" t="s">
        <v>24738</v>
      </c>
      <c r="N3289" s="235" t="s">
        <v>138</v>
      </c>
      <c r="O3289" s="235" t="s">
        <v>675</v>
      </c>
      <c r="P3289" s="238">
        <v>1.0</v>
      </c>
      <c r="Q3289" s="235" t="s">
        <v>627</v>
      </c>
      <c r="R3289" s="238">
        <v>246.67</v>
      </c>
      <c r="S3289" s="238">
        <v>12.08</v>
      </c>
      <c r="T3289" s="238">
        <v>0.0</v>
      </c>
      <c r="U3289" s="238">
        <v>0.0</v>
      </c>
      <c r="V3289" s="238">
        <v>0.0</v>
      </c>
      <c r="W3289" s="238">
        <v>0.0</v>
      </c>
      <c r="X3289" s="235" t="s">
        <v>628</v>
      </c>
      <c r="Z3289" s="245"/>
      <c r="AA3289" s="245"/>
      <c r="AB3289" s="245"/>
      <c r="AC3289" s="235" t="s">
        <v>8997</v>
      </c>
      <c r="AD3289" s="235" t="s">
        <v>1086</v>
      </c>
      <c r="AE3289" s="238">
        <v>140301.0</v>
      </c>
      <c r="AF3289" s="235" t="s">
        <v>631</v>
      </c>
      <c r="AG3289" s="245"/>
      <c r="AH3289" s="245"/>
      <c r="AI3289" s="245"/>
      <c r="AJ3289" s="245"/>
      <c r="AK3289" s="245"/>
      <c r="AL3289" s="245"/>
      <c r="AM3289" s="245"/>
      <c r="AN3289" s="245"/>
      <c r="AO3289" s="238">
        <v>-4.93</v>
      </c>
      <c r="AP3289" s="238">
        <v>0.0</v>
      </c>
      <c r="AQ3289" s="235" t="s">
        <v>632</v>
      </c>
      <c r="AR3289" s="243">
        <v>1.68E11</v>
      </c>
      <c r="AS3289" s="235" t="s">
        <v>23542</v>
      </c>
      <c r="AT3289" s="235" t="s">
        <v>14</v>
      </c>
      <c r="AU3289" s="235" t="s">
        <v>634</v>
      </c>
      <c r="AV3289" s="246" t="s">
        <v>635</v>
      </c>
      <c r="AW3289" s="227"/>
      <c r="AX3289" s="227"/>
      <c r="AY3289" s="227"/>
      <c r="AZ3289" s="227"/>
      <c r="BA3289" s="227"/>
      <c r="BB3289" s="227"/>
      <c r="BC3289" s="227"/>
      <c r="BD3289" s="227"/>
      <c r="BE3289" s="227"/>
      <c r="BF3289" s="227"/>
    </row>
    <row r="3290">
      <c r="A3290" s="235" t="s">
        <v>24739</v>
      </c>
      <c r="C3290" s="235" t="s">
        <v>24740</v>
      </c>
      <c r="D3290" s="235" t="s">
        <v>24741</v>
      </c>
      <c r="E3290" s="243">
        <v>6.51E13</v>
      </c>
      <c r="F3290" s="245"/>
      <c r="G3290" s="235" t="s">
        <v>24742</v>
      </c>
      <c r="H3290" s="235" t="s">
        <v>24743</v>
      </c>
      <c r="I3290" s="235" t="s">
        <v>24743</v>
      </c>
      <c r="J3290" s="235" t="s">
        <v>24744</v>
      </c>
      <c r="K3290" s="235" t="s">
        <v>24745</v>
      </c>
      <c r="N3290" s="235" t="s">
        <v>49</v>
      </c>
      <c r="O3290" s="235" t="s">
        <v>321</v>
      </c>
      <c r="P3290" s="238">
        <v>1.0</v>
      </c>
      <c r="Q3290" s="235" t="s">
        <v>627</v>
      </c>
      <c r="R3290" s="238">
        <v>270.48</v>
      </c>
      <c r="S3290" s="238">
        <v>13.52</v>
      </c>
      <c r="T3290" s="238">
        <v>38.1</v>
      </c>
      <c r="U3290" s="238">
        <v>1.9</v>
      </c>
      <c r="V3290" s="238">
        <v>0.0</v>
      </c>
      <c r="W3290" s="238">
        <v>0.0</v>
      </c>
      <c r="X3290" s="235" t="s">
        <v>628</v>
      </c>
      <c r="Z3290" s="245"/>
      <c r="AA3290" s="245"/>
      <c r="AB3290" s="245"/>
      <c r="AC3290" s="235" t="s">
        <v>697</v>
      </c>
      <c r="AD3290" s="235" t="s">
        <v>698</v>
      </c>
      <c r="AE3290" s="238">
        <v>500080.0</v>
      </c>
      <c r="AF3290" s="235" t="s">
        <v>631</v>
      </c>
      <c r="AG3290" s="245"/>
      <c r="AH3290" s="245"/>
      <c r="AI3290" s="245"/>
      <c r="AJ3290" s="245"/>
      <c r="AK3290" s="245"/>
      <c r="AL3290" s="245"/>
      <c r="AM3290" s="245"/>
      <c r="AN3290" s="245"/>
      <c r="AO3290" s="238">
        <v>0.0</v>
      </c>
      <c r="AP3290" s="238">
        <v>-38.1</v>
      </c>
      <c r="AQ3290" s="235" t="s">
        <v>1356</v>
      </c>
      <c r="AR3290" s="235" t="s">
        <v>24746</v>
      </c>
      <c r="AS3290" s="235" t="s">
        <v>17988</v>
      </c>
      <c r="AT3290" s="235" t="s">
        <v>156</v>
      </c>
      <c r="AU3290" s="235" t="s">
        <v>634</v>
      </c>
      <c r="AV3290" s="246" t="s">
        <v>635</v>
      </c>
      <c r="AW3290" s="227"/>
      <c r="AX3290" s="227"/>
      <c r="AY3290" s="227"/>
      <c r="AZ3290" s="227"/>
      <c r="BA3290" s="227"/>
      <c r="BB3290" s="227"/>
      <c r="BC3290" s="227"/>
      <c r="BD3290" s="227"/>
      <c r="BE3290" s="227"/>
      <c r="BF3290" s="227"/>
    </row>
    <row r="3291">
      <c r="A3291" s="235" t="s">
        <v>24747</v>
      </c>
      <c r="C3291" s="235" t="s">
        <v>24748</v>
      </c>
      <c r="D3291" s="235" t="s">
        <v>24749</v>
      </c>
      <c r="E3291" s="243">
        <v>6.52E13</v>
      </c>
      <c r="F3291" s="245"/>
      <c r="G3291" s="235" t="s">
        <v>24750</v>
      </c>
      <c r="H3291" s="235" t="s">
        <v>24751</v>
      </c>
      <c r="I3291" s="235" t="s">
        <v>24751</v>
      </c>
      <c r="J3291" s="235" t="s">
        <v>24752</v>
      </c>
      <c r="K3291" s="235" t="s">
        <v>24753</v>
      </c>
      <c r="N3291" s="235" t="s">
        <v>85</v>
      </c>
      <c r="O3291" s="235" t="s">
        <v>872</v>
      </c>
      <c r="P3291" s="238">
        <v>1.0</v>
      </c>
      <c r="Q3291" s="235" t="s">
        <v>627</v>
      </c>
      <c r="R3291" s="238">
        <v>232.38</v>
      </c>
      <c r="S3291" s="238">
        <v>11.62</v>
      </c>
      <c r="T3291" s="238">
        <v>0.0</v>
      </c>
      <c r="U3291" s="238">
        <v>0.0</v>
      </c>
      <c r="V3291" s="238">
        <v>0.0</v>
      </c>
      <c r="W3291" s="238">
        <v>0.0</v>
      </c>
      <c r="X3291" s="235" t="s">
        <v>628</v>
      </c>
      <c r="Z3291" s="245"/>
      <c r="AA3291" s="245"/>
      <c r="AB3291" s="245"/>
      <c r="AC3291" s="235" t="s">
        <v>1058</v>
      </c>
      <c r="AD3291" s="235" t="s">
        <v>845</v>
      </c>
      <c r="AE3291" s="238">
        <v>400034.0</v>
      </c>
      <c r="AF3291" s="235" t="s">
        <v>631</v>
      </c>
      <c r="AG3291" s="245"/>
      <c r="AH3291" s="245"/>
      <c r="AI3291" s="245"/>
      <c r="AJ3291" s="245"/>
      <c r="AK3291" s="245"/>
      <c r="AL3291" s="245"/>
      <c r="AM3291" s="245"/>
      <c r="AN3291" s="245"/>
      <c r="AO3291" s="238">
        <v>0.0</v>
      </c>
      <c r="AP3291" s="238">
        <v>0.0</v>
      </c>
      <c r="AQ3291" s="235" t="s">
        <v>632</v>
      </c>
      <c r="AR3291" s="243">
        <v>3.71E11</v>
      </c>
      <c r="AS3291" s="235" t="s">
        <v>23542</v>
      </c>
      <c r="AT3291" s="235" t="s">
        <v>16</v>
      </c>
      <c r="AU3291" s="235" t="s">
        <v>634</v>
      </c>
      <c r="AV3291" s="246" t="s">
        <v>635</v>
      </c>
      <c r="AW3291" s="227"/>
      <c r="AX3291" s="227"/>
      <c r="AY3291" s="227"/>
      <c r="AZ3291" s="227"/>
      <c r="BA3291" s="227"/>
      <c r="BB3291" s="227"/>
      <c r="BC3291" s="227"/>
      <c r="BD3291" s="227"/>
      <c r="BE3291" s="227"/>
      <c r="BF3291" s="227"/>
    </row>
    <row r="3292">
      <c r="A3292" s="235" t="s">
        <v>24754</v>
      </c>
      <c r="C3292" s="235" t="s">
        <v>24755</v>
      </c>
      <c r="D3292" s="235" t="s">
        <v>24756</v>
      </c>
      <c r="E3292" s="243">
        <v>6.52E13</v>
      </c>
      <c r="F3292" s="245"/>
      <c r="G3292" s="235" t="s">
        <v>24757</v>
      </c>
      <c r="H3292" s="235" t="s">
        <v>24758</v>
      </c>
      <c r="I3292" s="235" t="s">
        <v>24759</v>
      </c>
      <c r="J3292" s="235" t="s">
        <v>24760</v>
      </c>
      <c r="K3292" s="235" t="s">
        <v>24761</v>
      </c>
      <c r="N3292" s="235" t="s">
        <v>42</v>
      </c>
      <c r="O3292" s="235" t="s">
        <v>204</v>
      </c>
      <c r="P3292" s="238">
        <v>1.0</v>
      </c>
      <c r="Q3292" s="235" t="s">
        <v>627</v>
      </c>
      <c r="R3292" s="238">
        <v>237.14</v>
      </c>
      <c r="S3292" s="238">
        <v>11.86</v>
      </c>
      <c r="T3292" s="238">
        <v>0.0</v>
      </c>
      <c r="U3292" s="238">
        <v>0.0</v>
      </c>
      <c r="V3292" s="238">
        <v>0.0</v>
      </c>
      <c r="W3292" s="238">
        <v>0.0</v>
      </c>
      <c r="X3292" s="235" t="s">
        <v>628</v>
      </c>
      <c r="Z3292" s="245"/>
      <c r="AA3292" s="245"/>
      <c r="AB3292" s="245"/>
      <c r="AC3292" s="235" t="s">
        <v>5357</v>
      </c>
      <c r="AD3292" s="235" t="s">
        <v>666</v>
      </c>
      <c r="AE3292" s="238">
        <v>641104.0</v>
      </c>
      <c r="AF3292" s="235" t="s">
        <v>631</v>
      </c>
      <c r="AG3292" s="245"/>
      <c r="AH3292" s="245"/>
      <c r="AI3292" s="245"/>
      <c r="AJ3292" s="245"/>
      <c r="AK3292" s="245"/>
      <c r="AL3292" s="245"/>
      <c r="AM3292" s="245"/>
      <c r="AN3292" s="245"/>
      <c r="AO3292" s="238">
        <v>0.0</v>
      </c>
      <c r="AP3292" s="238">
        <v>0.0</v>
      </c>
      <c r="AQ3292" s="235" t="s">
        <v>632</v>
      </c>
      <c r="AR3292" s="243">
        <v>3.71E11</v>
      </c>
      <c r="AS3292" s="235" t="s">
        <v>23542</v>
      </c>
      <c r="AT3292" s="235" t="s">
        <v>9</v>
      </c>
      <c r="AU3292" s="235" t="s">
        <v>634</v>
      </c>
      <c r="AV3292" s="246" t="s">
        <v>635</v>
      </c>
      <c r="AW3292" s="227"/>
      <c r="AX3292" s="227"/>
      <c r="AY3292" s="227"/>
      <c r="AZ3292" s="227"/>
      <c r="BA3292" s="227"/>
      <c r="BB3292" s="227"/>
      <c r="BC3292" s="227"/>
      <c r="BD3292" s="227"/>
      <c r="BE3292" s="227"/>
      <c r="BF3292" s="227"/>
    </row>
    <row r="3293">
      <c r="A3293" s="235" t="s">
        <v>24762</v>
      </c>
      <c r="C3293" s="235" t="s">
        <v>24763</v>
      </c>
      <c r="D3293" s="235" t="s">
        <v>24764</v>
      </c>
      <c r="E3293" s="243">
        <v>6.52E13</v>
      </c>
      <c r="F3293" s="245"/>
      <c r="G3293" s="235" t="s">
        <v>24765</v>
      </c>
      <c r="H3293" s="235" t="s">
        <v>24766</v>
      </c>
      <c r="I3293" s="235" t="s">
        <v>24766</v>
      </c>
      <c r="J3293" s="235" t="s">
        <v>24767</v>
      </c>
      <c r="K3293" s="235" t="s">
        <v>24768</v>
      </c>
      <c r="N3293" s="235" t="s">
        <v>53</v>
      </c>
      <c r="O3293" s="235" t="s">
        <v>512</v>
      </c>
      <c r="P3293" s="238">
        <v>1.0</v>
      </c>
      <c r="Q3293" s="235" t="s">
        <v>627</v>
      </c>
      <c r="R3293" s="238">
        <v>233.33</v>
      </c>
      <c r="S3293" s="238">
        <v>11.67</v>
      </c>
      <c r="T3293" s="238">
        <v>0.0</v>
      </c>
      <c r="U3293" s="238">
        <v>0.0</v>
      </c>
      <c r="V3293" s="238">
        <v>0.0</v>
      </c>
      <c r="W3293" s="238">
        <v>0.0</v>
      </c>
      <c r="X3293" s="235" t="s">
        <v>628</v>
      </c>
      <c r="Z3293" s="245"/>
      <c r="AA3293" s="245"/>
      <c r="AB3293" s="245"/>
      <c r="AC3293" s="235" t="s">
        <v>1058</v>
      </c>
      <c r="AD3293" s="235" t="s">
        <v>845</v>
      </c>
      <c r="AE3293" s="238">
        <v>400072.0</v>
      </c>
      <c r="AF3293" s="235" t="s">
        <v>631</v>
      </c>
      <c r="AG3293" s="245"/>
      <c r="AH3293" s="245"/>
      <c r="AI3293" s="245"/>
      <c r="AJ3293" s="245"/>
      <c r="AK3293" s="245"/>
      <c r="AL3293" s="245"/>
      <c r="AM3293" s="245"/>
      <c r="AN3293" s="245"/>
      <c r="AO3293" s="238">
        <v>0.0</v>
      </c>
      <c r="AP3293" s="238">
        <v>0.0</v>
      </c>
      <c r="AQ3293" s="235" t="s">
        <v>632</v>
      </c>
      <c r="AR3293" s="243">
        <v>3.71E11</v>
      </c>
      <c r="AS3293" s="235" t="s">
        <v>17988</v>
      </c>
      <c r="AT3293" s="235" t="s">
        <v>11</v>
      </c>
      <c r="AU3293" s="235" t="s">
        <v>634</v>
      </c>
      <c r="AV3293" s="246" t="s">
        <v>635</v>
      </c>
      <c r="AW3293" s="227"/>
      <c r="AX3293" s="227"/>
      <c r="AY3293" s="227"/>
      <c r="AZ3293" s="227"/>
      <c r="BA3293" s="227"/>
      <c r="BB3293" s="227"/>
      <c r="BC3293" s="227"/>
      <c r="BD3293" s="227"/>
      <c r="BE3293" s="227"/>
      <c r="BF3293" s="227"/>
    </row>
    <row r="3294">
      <c r="A3294" s="235" t="s">
        <v>24769</v>
      </c>
      <c r="C3294" s="235" t="s">
        <v>24770</v>
      </c>
      <c r="D3294" s="235" t="s">
        <v>24771</v>
      </c>
      <c r="E3294" s="243">
        <v>6.52E13</v>
      </c>
      <c r="F3294" s="245"/>
      <c r="G3294" s="235" t="s">
        <v>24772</v>
      </c>
      <c r="H3294" s="235" t="s">
        <v>24773</v>
      </c>
      <c r="I3294" s="235" t="s">
        <v>24773</v>
      </c>
      <c r="J3294" s="235" t="s">
        <v>24774</v>
      </c>
      <c r="K3294" s="235" t="s">
        <v>24775</v>
      </c>
      <c r="N3294" s="235" t="s">
        <v>154</v>
      </c>
      <c r="O3294" s="235" t="s">
        <v>766</v>
      </c>
      <c r="P3294" s="238">
        <v>1.0</v>
      </c>
      <c r="Q3294" s="235" t="s">
        <v>627</v>
      </c>
      <c r="R3294" s="238">
        <v>465.72</v>
      </c>
      <c r="S3294" s="238">
        <v>23.28</v>
      </c>
      <c r="T3294" s="238">
        <v>0.0</v>
      </c>
      <c r="U3294" s="238">
        <v>0.0</v>
      </c>
      <c r="V3294" s="238">
        <v>0.0</v>
      </c>
      <c r="W3294" s="238">
        <v>0.0</v>
      </c>
      <c r="X3294" s="235" t="s">
        <v>628</v>
      </c>
      <c r="Z3294" s="245"/>
      <c r="AA3294" s="245"/>
      <c r="AB3294" s="245"/>
      <c r="AC3294" s="235" t="s">
        <v>1792</v>
      </c>
      <c r="AD3294" s="235" t="s">
        <v>1077</v>
      </c>
      <c r="AE3294" s="238">
        <v>390011.0</v>
      </c>
      <c r="AF3294" s="235" t="s">
        <v>631</v>
      </c>
      <c r="AG3294" s="245"/>
      <c r="AH3294" s="245"/>
      <c r="AI3294" s="245"/>
      <c r="AJ3294" s="245"/>
      <c r="AK3294" s="245"/>
      <c r="AL3294" s="245"/>
      <c r="AM3294" s="245"/>
      <c r="AN3294" s="245"/>
      <c r="AO3294" s="238">
        <v>0.0</v>
      </c>
      <c r="AP3294" s="238">
        <v>0.0</v>
      </c>
      <c r="AQ3294" s="235" t="s">
        <v>632</v>
      </c>
      <c r="AR3294" s="243">
        <v>1.68E11</v>
      </c>
      <c r="AS3294" s="235" t="s">
        <v>23542</v>
      </c>
      <c r="AT3294" s="235" t="s">
        <v>5</v>
      </c>
      <c r="AU3294" s="235" t="s">
        <v>634</v>
      </c>
      <c r="AV3294" s="246" t="s">
        <v>635</v>
      </c>
      <c r="AW3294" s="227"/>
      <c r="AX3294" s="227"/>
      <c r="AY3294" s="227"/>
      <c r="AZ3294" s="227"/>
      <c r="BA3294" s="227"/>
      <c r="BB3294" s="227"/>
      <c r="BC3294" s="227"/>
      <c r="BD3294" s="227"/>
      <c r="BE3294" s="227"/>
      <c r="BF3294" s="227"/>
    </row>
    <row r="3295">
      <c r="A3295" s="235" t="s">
        <v>24776</v>
      </c>
      <c r="C3295" s="235" t="s">
        <v>24777</v>
      </c>
      <c r="D3295" s="235" t="s">
        <v>24778</v>
      </c>
      <c r="E3295" s="243">
        <v>6.52E13</v>
      </c>
      <c r="F3295" s="245"/>
      <c r="G3295" s="235" t="s">
        <v>24779</v>
      </c>
      <c r="H3295" s="235" t="s">
        <v>24780</v>
      </c>
      <c r="I3295" s="235" t="s">
        <v>24781</v>
      </c>
      <c r="J3295" s="235" t="s">
        <v>24782</v>
      </c>
      <c r="K3295" s="235" t="s">
        <v>24783</v>
      </c>
      <c r="N3295" s="235" t="s">
        <v>53</v>
      </c>
      <c r="O3295" s="235" t="s">
        <v>512</v>
      </c>
      <c r="P3295" s="238">
        <v>1.0</v>
      </c>
      <c r="Q3295" s="235" t="s">
        <v>627</v>
      </c>
      <c r="R3295" s="238">
        <v>237.14</v>
      </c>
      <c r="S3295" s="238">
        <v>11.86</v>
      </c>
      <c r="T3295" s="238">
        <v>0.0</v>
      </c>
      <c r="U3295" s="238">
        <v>0.0</v>
      </c>
      <c r="V3295" s="238">
        <v>0.0</v>
      </c>
      <c r="W3295" s="238">
        <v>0.0</v>
      </c>
      <c r="X3295" s="235" t="s">
        <v>628</v>
      </c>
      <c r="Z3295" s="245"/>
      <c r="AA3295" s="245"/>
      <c r="AB3295" s="245"/>
      <c r="AC3295" s="235" t="s">
        <v>24784</v>
      </c>
      <c r="AD3295" s="235" t="s">
        <v>666</v>
      </c>
      <c r="AE3295" s="238">
        <v>638112.0</v>
      </c>
      <c r="AF3295" s="235" t="s">
        <v>631</v>
      </c>
      <c r="AG3295" s="245"/>
      <c r="AH3295" s="245"/>
      <c r="AI3295" s="245"/>
      <c r="AJ3295" s="245"/>
      <c r="AK3295" s="245"/>
      <c r="AL3295" s="245"/>
      <c r="AM3295" s="245"/>
      <c r="AN3295" s="245"/>
      <c r="AO3295" s="238">
        <v>0.0</v>
      </c>
      <c r="AP3295" s="238">
        <v>0.0</v>
      </c>
      <c r="AQ3295" s="235" t="s">
        <v>632</v>
      </c>
      <c r="AR3295" s="243">
        <v>3.71E11</v>
      </c>
      <c r="AS3295" s="235" t="s">
        <v>23542</v>
      </c>
      <c r="AT3295" s="235" t="s">
        <v>9</v>
      </c>
      <c r="AU3295" s="235" t="s">
        <v>634</v>
      </c>
      <c r="AV3295" s="246" t="s">
        <v>635</v>
      </c>
      <c r="AW3295" s="227"/>
      <c r="AX3295" s="227"/>
      <c r="AY3295" s="227"/>
      <c r="AZ3295" s="227"/>
      <c r="BA3295" s="227"/>
      <c r="BB3295" s="227"/>
      <c r="BC3295" s="227"/>
      <c r="BD3295" s="227"/>
      <c r="BE3295" s="227"/>
      <c r="BF3295" s="227"/>
    </row>
    <row r="3296">
      <c r="A3296" s="235" t="s">
        <v>24785</v>
      </c>
      <c r="C3296" s="235" t="s">
        <v>24786</v>
      </c>
      <c r="D3296" s="235" t="s">
        <v>24787</v>
      </c>
      <c r="E3296" s="243">
        <v>6.51E13</v>
      </c>
      <c r="F3296" s="245"/>
      <c r="G3296" s="235" t="s">
        <v>24788</v>
      </c>
      <c r="H3296" s="235" t="s">
        <v>24789</v>
      </c>
      <c r="I3296" s="235" t="s">
        <v>24789</v>
      </c>
      <c r="J3296" s="235" t="s">
        <v>24790</v>
      </c>
      <c r="K3296" s="235" t="s">
        <v>24791</v>
      </c>
      <c r="N3296" s="235" t="s">
        <v>49</v>
      </c>
      <c r="O3296" s="235" t="s">
        <v>321</v>
      </c>
      <c r="P3296" s="238">
        <v>1.0</v>
      </c>
      <c r="Q3296" s="235" t="s">
        <v>627</v>
      </c>
      <c r="R3296" s="238">
        <v>270.48</v>
      </c>
      <c r="S3296" s="238">
        <v>13.52</v>
      </c>
      <c r="T3296" s="238">
        <v>38.1</v>
      </c>
      <c r="U3296" s="238">
        <v>1.9</v>
      </c>
      <c r="V3296" s="238">
        <v>0.0</v>
      </c>
      <c r="W3296" s="238">
        <v>0.0</v>
      </c>
      <c r="X3296" s="235" t="s">
        <v>628</v>
      </c>
      <c r="Z3296" s="245"/>
      <c r="AA3296" s="245"/>
      <c r="AB3296" s="245"/>
      <c r="AC3296" s="235" t="s">
        <v>5679</v>
      </c>
      <c r="AD3296" s="235" t="s">
        <v>679</v>
      </c>
      <c r="AE3296" s="238">
        <v>570007.0</v>
      </c>
      <c r="AF3296" s="235" t="s">
        <v>631</v>
      </c>
      <c r="AG3296" s="245"/>
      <c r="AH3296" s="245"/>
      <c r="AI3296" s="245"/>
      <c r="AJ3296" s="245"/>
      <c r="AK3296" s="245"/>
      <c r="AL3296" s="245"/>
      <c r="AM3296" s="245"/>
      <c r="AN3296" s="245"/>
      <c r="AO3296" s="238">
        <v>0.0</v>
      </c>
      <c r="AP3296" s="238">
        <v>-38.1</v>
      </c>
      <c r="AQ3296" s="235" t="s">
        <v>632</v>
      </c>
      <c r="AR3296" s="243">
        <v>3.71E11</v>
      </c>
      <c r="AS3296" s="235" t="s">
        <v>23542</v>
      </c>
      <c r="AT3296" s="235" t="s">
        <v>9</v>
      </c>
      <c r="AU3296" s="235" t="s">
        <v>634</v>
      </c>
      <c r="AV3296" s="246" t="s">
        <v>635</v>
      </c>
      <c r="AW3296" s="227"/>
      <c r="AX3296" s="227"/>
      <c r="AY3296" s="227"/>
      <c r="AZ3296" s="227"/>
      <c r="BA3296" s="227"/>
      <c r="BB3296" s="227"/>
      <c r="BC3296" s="227"/>
      <c r="BD3296" s="227"/>
      <c r="BE3296" s="227"/>
      <c r="BF3296" s="227"/>
    </row>
    <row r="3297">
      <c r="A3297" s="235" t="s">
        <v>24792</v>
      </c>
      <c r="C3297" s="235" t="s">
        <v>24793</v>
      </c>
      <c r="D3297" s="235" t="s">
        <v>24794</v>
      </c>
      <c r="E3297" s="243">
        <v>6.52E13</v>
      </c>
      <c r="F3297" s="245"/>
      <c r="G3297" s="235" t="s">
        <v>24795</v>
      </c>
      <c r="H3297" s="235" t="s">
        <v>24796</v>
      </c>
      <c r="I3297" s="235" t="s">
        <v>24797</v>
      </c>
      <c r="J3297" s="235" t="s">
        <v>24798</v>
      </c>
      <c r="K3297" s="235" t="s">
        <v>24799</v>
      </c>
      <c r="N3297" s="235" t="s">
        <v>51</v>
      </c>
      <c r="O3297" s="235" t="s">
        <v>273</v>
      </c>
      <c r="P3297" s="238">
        <v>1.0</v>
      </c>
      <c r="Q3297" s="235" t="s">
        <v>627</v>
      </c>
      <c r="R3297" s="238">
        <v>237.14</v>
      </c>
      <c r="S3297" s="238">
        <v>11.86</v>
      </c>
      <c r="T3297" s="238">
        <v>0.0</v>
      </c>
      <c r="U3297" s="238">
        <v>0.0</v>
      </c>
      <c r="V3297" s="238">
        <v>0.0</v>
      </c>
      <c r="W3297" s="238">
        <v>0.0</v>
      </c>
      <c r="X3297" s="235" t="s">
        <v>628</v>
      </c>
      <c r="Z3297" s="245"/>
      <c r="AA3297" s="245"/>
      <c r="AB3297" s="245"/>
      <c r="AC3297" s="235" t="s">
        <v>697</v>
      </c>
      <c r="AD3297" s="235" t="s">
        <v>698</v>
      </c>
      <c r="AE3297" s="238">
        <v>500074.0</v>
      </c>
      <c r="AF3297" s="235" t="s">
        <v>631</v>
      </c>
      <c r="AG3297" s="245"/>
      <c r="AH3297" s="245"/>
      <c r="AI3297" s="245"/>
      <c r="AJ3297" s="245"/>
      <c r="AK3297" s="245"/>
      <c r="AL3297" s="245"/>
      <c r="AM3297" s="245"/>
      <c r="AN3297" s="245"/>
      <c r="AO3297" s="238">
        <v>0.0</v>
      </c>
      <c r="AP3297" s="238">
        <v>0.0</v>
      </c>
      <c r="AQ3297" s="235" t="s">
        <v>632</v>
      </c>
      <c r="AR3297" s="243">
        <v>3.71E11</v>
      </c>
      <c r="AS3297" s="235" t="s">
        <v>22269</v>
      </c>
      <c r="AT3297" s="235" t="s">
        <v>11</v>
      </c>
      <c r="AU3297" s="235" t="s">
        <v>634</v>
      </c>
      <c r="AV3297" s="246" t="s">
        <v>635</v>
      </c>
      <c r="AW3297" s="227"/>
      <c r="AX3297" s="227"/>
      <c r="AY3297" s="227"/>
      <c r="AZ3297" s="227"/>
      <c r="BA3297" s="227"/>
      <c r="BB3297" s="227"/>
      <c r="BC3297" s="227"/>
      <c r="BD3297" s="227"/>
      <c r="BE3297" s="227"/>
      <c r="BF3297" s="227"/>
    </row>
    <row r="3298">
      <c r="A3298" s="235" t="s">
        <v>24800</v>
      </c>
      <c r="C3298" s="235" t="s">
        <v>24801</v>
      </c>
      <c r="D3298" s="235" t="s">
        <v>24802</v>
      </c>
      <c r="E3298" s="243">
        <v>6.52E13</v>
      </c>
      <c r="F3298" s="245"/>
      <c r="G3298" s="235" t="s">
        <v>24803</v>
      </c>
      <c r="H3298" s="235" t="s">
        <v>24804</v>
      </c>
      <c r="I3298" s="235" t="s">
        <v>24804</v>
      </c>
      <c r="J3298" s="235" t="s">
        <v>24805</v>
      </c>
      <c r="K3298" s="235" t="s">
        <v>24806</v>
      </c>
      <c r="N3298" s="235" t="s">
        <v>42</v>
      </c>
      <c r="O3298" s="235" t="s">
        <v>204</v>
      </c>
      <c r="P3298" s="238">
        <v>1.0</v>
      </c>
      <c r="Q3298" s="235" t="s">
        <v>627</v>
      </c>
      <c r="R3298" s="238">
        <v>237.14</v>
      </c>
      <c r="S3298" s="238">
        <v>11.86</v>
      </c>
      <c r="T3298" s="238">
        <v>56.19</v>
      </c>
      <c r="U3298" s="238">
        <v>2.81</v>
      </c>
      <c r="V3298" s="238">
        <v>0.0</v>
      </c>
      <c r="W3298" s="238">
        <v>0.0</v>
      </c>
      <c r="X3298" s="235" t="s">
        <v>628</v>
      </c>
      <c r="Z3298" s="245"/>
      <c r="AA3298" s="245"/>
      <c r="AB3298" s="245"/>
      <c r="AC3298" s="235" t="s">
        <v>814</v>
      </c>
      <c r="AD3298" s="235" t="s">
        <v>698</v>
      </c>
      <c r="AE3298" s="238">
        <v>500049.0</v>
      </c>
      <c r="AF3298" s="235" t="s">
        <v>631</v>
      </c>
      <c r="AG3298" s="245"/>
      <c r="AH3298" s="245"/>
      <c r="AI3298" s="245"/>
      <c r="AJ3298" s="245"/>
      <c r="AK3298" s="245"/>
      <c r="AL3298" s="245"/>
      <c r="AM3298" s="245"/>
      <c r="AN3298" s="245"/>
      <c r="AO3298" s="238">
        <v>0.0</v>
      </c>
      <c r="AP3298" s="238">
        <v>0.0</v>
      </c>
      <c r="AQ3298" s="235" t="s">
        <v>632</v>
      </c>
      <c r="AR3298" s="243">
        <v>3.71E11</v>
      </c>
      <c r="AS3298" s="235" t="s">
        <v>22269</v>
      </c>
      <c r="AT3298" s="235" t="s">
        <v>11</v>
      </c>
      <c r="AU3298" s="235" t="s">
        <v>634</v>
      </c>
      <c r="AV3298" s="246" t="s">
        <v>635</v>
      </c>
      <c r="AW3298" s="227"/>
      <c r="AX3298" s="227"/>
      <c r="AY3298" s="227"/>
      <c r="AZ3298" s="227"/>
      <c r="BA3298" s="227"/>
      <c r="BB3298" s="227"/>
      <c r="BC3298" s="227"/>
      <c r="BD3298" s="227"/>
      <c r="BE3298" s="227"/>
      <c r="BF3298" s="227"/>
    </row>
    <row r="3299">
      <c r="A3299" s="235" t="s">
        <v>24807</v>
      </c>
      <c r="C3299" s="235" t="s">
        <v>24808</v>
      </c>
      <c r="D3299" s="235" t="s">
        <v>24809</v>
      </c>
      <c r="E3299" s="243">
        <v>6.52E13</v>
      </c>
      <c r="F3299" s="245"/>
      <c r="G3299" s="235" t="s">
        <v>24810</v>
      </c>
      <c r="H3299" s="235" t="s">
        <v>24811</v>
      </c>
      <c r="I3299" s="235" t="s">
        <v>24811</v>
      </c>
      <c r="J3299" s="235" t="s">
        <v>24812</v>
      </c>
      <c r="K3299" s="235" t="s">
        <v>24813</v>
      </c>
      <c r="N3299" s="235" t="s">
        <v>111</v>
      </c>
      <c r="O3299" s="235" t="s">
        <v>464</v>
      </c>
      <c r="P3299" s="238">
        <v>1.0</v>
      </c>
      <c r="Q3299" s="235" t="s">
        <v>627</v>
      </c>
      <c r="R3299" s="238">
        <v>246.67</v>
      </c>
      <c r="S3299" s="238">
        <v>12.33</v>
      </c>
      <c r="T3299" s="238">
        <v>0.0</v>
      </c>
      <c r="U3299" s="238">
        <v>0.0</v>
      </c>
      <c r="V3299" s="238">
        <v>0.0</v>
      </c>
      <c r="W3299" s="238">
        <v>0.0</v>
      </c>
      <c r="X3299" s="235" t="s">
        <v>628</v>
      </c>
      <c r="Z3299" s="245"/>
      <c r="AA3299" s="245"/>
      <c r="AB3299" s="245"/>
      <c r="AC3299" s="235" t="s">
        <v>678</v>
      </c>
      <c r="AD3299" s="235" t="s">
        <v>679</v>
      </c>
      <c r="AE3299" s="238">
        <v>560020.0</v>
      </c>
      <c r="AF3299" s="235" t="s">
        <v>631</v>
      </c>
      <c r="AG3299" s="245"/>
      <c r="AH3299" s="245"/>
      <c r="AI3299" s="245"/>
      <c r="AJ3299" s="245"/>
      <c r="AK3299" s="245"/>
      <c r="AL3299" s="245"/>
      <c r="AM3299" s="245"/>
      <c r="AN3299" s="245"/>
      <c r="AO3299" s="238">
        <v>0.0</v>
      </c>
      <c r="AP3299" s="238">
        <v>0.0</v>
      </c>
      <c r="AQ3299" s="235" t="s">
        <v>632</v>
      </c>
      <c r="AR3299" s="243">
        <v>2.02E11</v>
      </c>
      <c r="AS3299" s="235" t="s">
        <v>23542</v>
      </c>
      <c r="AT3299" s="235" t="s">
        <v>16</v>
      </c>
      <c r="AU3299" s="235" t="s">
        <v>634</v>
      </c>
      <c r="AV3299" s="246" t="s">
        <v>635</v>
      </c>
      <c r="AW3299" s="227"/>
      <c r="AX3299" s="227"/>
      <c r="AY3299" s="227"/>
      <c r="AZ3299" s="227"/>
      <c r="BA3299" s="227"/>
      <c r="BB3299" s="227"/>
      <c r="BC3299" s="227"/>
      <c r="BD3299" s="227"/>
      <c r="BE3299" s="227"/>
      <c r="BF3299" s="227"/>
    </row>
    <row r="3300">
      <c r="A3300" s="235" t="s">
        <v>24814</v>
      </c>
      <c r="C3300" s="235" t="s">
        <v>24815</v>
      </c>
      <c r="D3300" s="235" t="s">
        <v>24816</v>
      </c>
      <c r="E3300" s="243">
        <v>6.51E13</v>
      </c>
      <c r="F3300" s="245"/>
      <c r="G3300" s="235" t="s">
        <v>24817</v>
      </c>
      <c r="H3300" s="235" t="s">
        <v>24818</v>
      </c>
      <c r="I3300" s="235" t="s">
        <v>24818</v>
      </c>
      <c r="J3300" s="235" t="s">
        <v>24819</v>
      </c>
      <c r="K3300" s="235" t="s">
        <v>24820</v>
      </c>
      <c r="N3300" s="235" t="s">
        <v>47</v>
      </c>
      <c r="O3300" s="235" t="s">
        <v>270</v>
      </c>
      <c r="P3300" s="238">
        <v>1.0</v>
      </c>
      <c r="Q3300" s="235" t="s">
        <v>627</v>
      </c>
      <c r="R3300" s="238">
        <v>270.48</v>
      </c>
      <c r="S3300" s="238">
        <v>13.52</v>
      </c>
      <c r="T3300" s="238">
        <v>38.1</v>
      </c>
      <c r="U3300" s="238">
        <v>1.9</v>
      </c>
      <c r="V3300" s="238">
        <v>0.0</v>
      </c>
      <c r="W3300" s="238">
        <v>0.0</v>
      </c>
      <c r="X3300" s="235" t="s">
        <v>628</v>
      </c>
      <c r="Z3300" s="245"/>
      <c r="AA3300" s="245"/>
      <c r="AB3300" s="245"/>
      <c r="AC3300" s="235" t="s">
        <v>6414</v>
      </c>
      <c r="AD3300" s="235" t="s">
        <v>645</v>
      </c>
      <c r="AE3300" s="238">
        <v>678508.0</v>
      </c>
      <c r="AF3300" s="235" t="s">
        <v>631</v>
      </c>
      <c r="AG3300" s="245"/>
      <c r="AH3300" s="245"/>
      <c r="AI3300" s="245"/>
      <c r="AJ3300" s="245"/>
      <c r="AK3300" s="245"/>
      <c r="AL3300" s="245"/>
      <c r="AM3300" s="245"/>
      <c r="AN3300" s="245"/>
      <c r="AO3300" s="238">
        <v>0.0</v>
      </c>
      <c r="AP3300" s="238">
        <v>-38.1</v>
      </c>
      <c r="AQ3300" s="235" t="s">
        <v>1356</v>
      </c>
      <c r="AR3300" s="235" t="s">
        <v>24821</v>
      </c>
      <c r="AS3300" s="235" t="s">
        <v>17988</v>
      </c>
      <c r="AT3300" s="235" t="s">
        <v>9</v>
      </c>
      <c r="AU3300" s="235" t="s">
        <v>634</v>
      </c>
      <c r="AV3300" s="246" t="s">
        <v>635</v>
      </c>
      <c r="AW3300" s="227"/>
      <c r="AX3300" s="227"/>
      <c r="AY3300" s="227"/>
      <c r="AZ3300" s="227"/>
      <c r="BA3300" s="227"/>
      <c r="BB3300" s="227"/>
      <c r="BC3300" s="227"/>
      <c r="BD3300" s="227"/>
      <c r="BE3300" s="227"/>
      <c r="BF3300" s="227"/>
    </row>
    <row r="3301">
      <c r="A3301" s="235" t="s">
        <v>24822</v>
      </c>
      <c r="C3301" s="235" t="s">
        <v>24823</v>
      </c>
      <c r="D3301" s="235" t="s">
        <v>24824</v>
      </c>
      <c r="E3301" s="243">
        <v>6.52E13</v>
      </c>
      <c r="F3301" s="245"/>
      <c r="G3301" s="235" t="s">
        <v>24825</v>
      </c>
      <c r="H3301" s="235" t="s">
        <v>24826</v>
      </c>
      <c r="I3301" s="235" t="s">
        <v>24826</v>
      </c>
      <c r="J3301" s="235" t="s">
        <v>24827</v>
      </c>
      <c r="K3301" s="235" t="s">
        <v>24828</v>
      </c>
      <c r="N3301" s="235" t="s">
        <v>47</v>
      </c>
      <c r="O3301" s="235" t="s">
        <v>270</v>
      </c>
      <c r="P3301" s="238">
        <v>1.0</v>
      </c>
      <c r="Q3301" s="235" t="s">
        <v>627</v>
      </c>
      <c r="R3301" s="238">
        <v>237.14</v>
      </c>
      <c r="S3301" s="238">
        <v>11.62</v>
      </c>
      <c r="T3301" s="238">
        <v>0.0</v>
      </c>
      <c r="U3301" s="238">
        <v>0.0</v>
      </c>
      <c r="V3301" s="238">
        <v>0.0</v>
      </c>
      <c r="W3301" s="238">
        <v>0.0</v>
      </c>
      <c r="X3301" s="235" t="s">
        <v>628</v>
      </c>
      <c r="Z3301" s="245"/>
      <c r="AA3301" s="245"/>
      <c r="AB3301" s="245"/>
      <c r="AC3301" s="235" t="s">
        <v>24829</v>
      </c>
      <c r="AD3301" s="235" t="s">
        <v>666</v>
      </c>
      <c r="AE3301" s="238">
        <v>624615.0</v>
      </c>
      <c r="AF3301" s="235" t="s">
        <v>631</v>
      </c>
      <c r="AG3301" s="245"/>
      <c r="AH3301" s="245"/>
      <c r="AI3301" s="245"/>
      <c r="AJ3301" s="245"/>
      <c r="AK3301" s="245"/>
      <c r="AL3301" s="245"/>
      <c r="AM3301" s="245"/>
      <c r="AN3301" s="245"/>
      <c r="AO3301" s="238">
        <v>-4.74</v>
      </c>
      <c r="AP3301" s="238">
        <v>0.0</v>
      </c>
      <c r="AQ3301" s="235" t="s">
        <v>632</v>
      </c>
      <c r="AR3301" s="243">
        <v>3.71E11</v>
      </c>
      <c r="AS3301" s="235" t="s">
        <v>20529</v>
      </c>
      <c r="AT3301" s="235" t="s">
        <v>9</v>
      </c>
      <c r="AU3301" s="235" t="s">
        <v>634</v>
      </c>
      <c r="AV3301" s="246" t="s">
        <v>635</v>
      </c>
      <c r="AW3301" s="227"/>
      <c r="AX3301" s="227"/>
      <c r="AY3301" s="227"/>
      <c r="AZ3301" s="227"/>
      <c r="BA3301" s="227"/>
      <c r="BB3301" s="227"/>
      <c r="BC3301" s="227"/>
      <c r="BD3301" s="227"/>
      <c r="BE3301" s="227"/>
      <c r="BF3301" s="227"/>
    </row>
    <row r="3302">
      <c r="A3302" s="235" t="s">
        <v>24830</v>
      </c>
      <c r="C3302" s="235" t="s">
        <v>24831</v>
      </c>
      <c r="D3302" s="235" t="s">
        <v>24832</v>
      </c>
      <c r="E3302" s="243">
        <v>6.52E13</v>
      </c>
      <c r="F3302" s="245"/>
      <c r="G3302" s="235" t="s">
        <v>24833</v>
      </c>
      <c r="H3302" s="235" t="s">
        <v>24834</v>
      </c>
      <c r="I3302" s="235" t="s">
        <v>24834</v>
      </c>
      <c r="J3302" s="235" t="s">
        <v>24835</v>
      </c>
      <c r="K3302" s="235" t="s">
        <v>24836</v>
      </c>
      <c r="N3302" s="235" t="s">
        <v>2696</v>
      </c>
      <c r="O3302" s="235" t="s">
        <v>2697</v>
      </c>
      <c r="P3302" s="238">
        <v>1.0</v>
      </c>
      <c r="Q3302" s="235" t="s">
        <v>627</v>
      </c>
      <c r="R3302" s="238">
        <v>246.66</v>
      </c>
      <c r="S3302" s="238">
        <v>12.34</v>
      </c>
      <c r="T3302" s="238">
        <v>0.0</v>
      </c>
      <c r="U3302" s="238">
        <v>0.0</v>
      </c>
      <c r="V3302" s="238">
        <v>0.0</v>
      </c>
      <c r="W3302" s="238">
        <v>0.0</v>
      </c>
      <c r="X3302" s="235" t="s">
        <v>628</v>
      </c>
      <c r="Z3302" s="245"/>
      <c r="AA3302" s="245"/>
      <c r="AB3302" s="245"/>
      <c r="AC3302" s="235" t="s">
        <v>6555</v>
      </c>
      <c r="AD3302" s="235" t="s">
        <v>679</v>
      </c>
      <c r="AE3302" s="238">
        <v>575008.0</v>
      </c>
      <c r="AF3302" s="235" t="s">
        <v>631</v>
      </c>
      <c r="AG3302" s="245"/>
      <c r="AH3302" s="245"/>
      <c r="AI3302" s="245"/>
      <c r="AJ3302" s="245"/>
      <c r="AK3302" s="245"/>
      <c r="AL3302" s="245"/>
      <c r="AM3302" s="245"/>
      <c r="AN3302" s="245"/>
      <c r="AO3302" s="238">
        <v>0.0</v>
      </c>
      <c r="AP3302" s="238">
        <v>0.0</v>
      </c>
      <c r="AQ3302" s="235" t="s">
        <v>632</v>
      </c>
      <c r="AR3302" s="243">
        <v>3.71E11</v>
      </c>
      <c r="AS3302" s="235" t="s">
        <v>23542</v>
      </c>
      <c r="AT3302" s="235" t="s">
        <v>11</v>
      </c>
      <c r="AU3302" s="235" t="s">
        <v>634</v>
      </c>
      <c r="AV3302" s="246" t="s">
        <v>635</v>
      </c>
      <c r="AW3302" s="227"/>
      <c r="AX3302" s="227"/>
      <c r="AY3302" s="227"/>
      <c r="AZ3302" s="227"/>
      <c r="BA3302" s="227"/>
      <c r="BB3302" s="227"/>
      <c r="BC3302" s="227"/>
      <c r="BD3302" s="227"/>
      <c r="BE3302" s="227"/>
      <c r="BF3302" s="227"/>
    </row>
    <row r="3303">
      <c r="A3303" s="235" t="s">
        <v>24837</v>
      </c>
      <c r="C3303" s="235" t="s">
        <v>24838</v>
      </c>
      <c r="D3303" s="235" t="s">
        <v>24839</v>
      </c>
      <c r="E3303" s="243">
        <v>6.52E13</v>
      </c>
      <c r="F3303" s="245"/>
      <c r="G3303" s="235" t="s">
        <v>24840</v>
      </c>
      <c r="H3303" s="235" t="s">
        <v>24841</v>
      </c>
      <c r="I3303" s="235" t="s">
        <v>24841</v>
      </c>
      <c r="J3303" s="235" t="s">
        <v>24842</v>
      </c>
      <c r="K3303" s="235" t="s">
        <v>24843</v>
      </c>
      <c r="N3303" s="235" t="s">
        <v>143</v>
      </c>
      <c r="O3303" s="235" t="s">
        <v>220</v>
      </c>
      <c r="P3303" s="238">
        <v>1.0</v>
      </c>
      <c r="Q3303" s="235" t="s">
        <v>627</v>
      </c>
      <c r="R3303" s="238">
        <v>246.67</v>
      </c>
      <c r="S3303" s="238">
        <v>12.33</v>
      </c>
      <c r="T3303" s="238">
        <v>0.0</v>
      </c>
      <c r="U3303" s="238">
        <v>0.0</v>
      </c>
      <c r="V3303" s="238">
        <v>0.0</v>
      </c>
      <c r="W3303" s="238">
        <v>0.0</v>
      </c>
      <c r="X3303" s="235" t="s">
        <v>628</v>
      </c>
      <c r="Z3303" s="245"/>
      <c r="AA3303" s="245"/>
      <c r="AB3303" s="245"/>
      <c r="AC3303" s="235" t="s">
        <v>697</v>
      </c>
      <c r="AD3303" s="235" t="s">
        <v>698</v>
      </c>
      <c r="AE3303" s="238">
        <v>500019.0</v>
      </c>
      <c r="AF3303" s="235" t="s">
        <v>631</v>
      </c>
      <c r="AG3303" s="245"/>
      <c r="AH3303" s="245"/>
      <c r="AI3303" s="245"/>
      <c r="AJ3303" s="245"/>
      <c r="AK3303" s="245"/>
      <c r="AL3303" s="245"/>
      <c r="AM3303" s="245"/>
      <c r="AN3303" s="245"/>
      <c r="AO3303" s="238">
        <v>0.0</v>
      </c>
      <c r="AP3303" s="238">
        <v>0.0</v>
      </c>
      <c r="AQ3303" s="235" t="s">
        <v>632</v>
      </c>
      <c r="AR3303" s="243">
        <v>2.02E11</v>
      </c>
      <c r="AS3303" s="235" t="s">
        <v>23542</v>
      </c>
      <c r="AT3303" s="235" t="s">
        <v>9</v>
      </c>
      <c r="AU3303" s="235" t="s">
        <v>634</v>
      </c>
      <c r="AV3303" s="246" t="s">
        <v>635</v>
      </c>
      <c r="AW3303" s="227"/>
      <c r="AX3303" s="227"/>
      <c r="AY3303" s="227"/>
      <c r="AZ3303" s="227"/>
      <c r="BA3303" s="227"/>
      <c r="BB3303" s="227"/>
      <c r="BC3303" s="227"/>
      <c r="BD3303" s="227"/>
      <c r="BE3303" s="227"/>
      <c r="BF3303" s="227"/>
    </row>
    <row r="3304">
      <c r="A3304" s="235" t="s">
        <v>24844</v>
      </c>
      <c r="C3304" s="235" t="s">
        <v>24845</v>
      </c>
      <c r="D3304" s="235" t="s">
        <v>24846</v>
      </c>
      <c r="E3304" s="243">
        <v>6.52E13</v>
      </c>
      <c r="F3304" s="245"/>
      <c r="G3304" s="235" t="s">
        <v>24847</v>
      </c>
      <c r="H3304" s="235" t="s">
        <v>24848</v>
      </c>
      <c r="I3304" s="235" t="s">
        <v>24848</v>
      </c>
      <c r="J3304" s="235" t="s">
        <v>24849</v>
      </c>
      <c r="K3304" s="235" t="s">
        <v>24850</v>
      </c>
      <c r="N3304" s="235" t="s">
        <v>131</v>
      </c>
      <c r="O3304" s="235" t="s">
        <v>2148</v>
      </c>
      <c r="P3304" s="238">
        <v>1.0</v>
      </c>
      <c r="Q3304" s="235" t="s">
        <v>627</v>
      </c>
      <c r="R3304" s="238">
        <v>246.67</v>
      </c>
      <c r="S3304" s="238">
        <v>12.33</v>
      </c>
      <c r="T3304" s="238">
        <v>0.0</v>
      </c>
      <c r="U3304" s="238">
        <v>0.0</v>
      </c>
      <c r="V3304" s="238">
        <v>0.0</v>
      </c>
      <c r="W3304" s="238">
        <v>0.0</v>
      </c>
      <c r="X3304" s="235" t="s">
        <v>628</v>
      </c>
      <c r="Z3304" s="245"/>
      <c r="AA3304" s="245"/>
      <c r="AB3304" s="245"/>
      <c r="AC3304" s="235" t="s">
        <v>795</v>
      </c>
      <c r="AD3304" s="235" t="s">
        <v>796</v>
      </c>
      <c r="AE3304" s="238">
        <v>110032.0</v>
      </c>
      <c r="AF3304" s="235" t="s">
        <v>631</v>
      </c>
      <c r="AG3304" s="245"/>
      <c r="AH3304" s="245"/>
      <c r="AI3304" s="245"/>
      <c r="AJ3304" s="245"/>
      <c r="AK3304" s="245"/>
      <c r="AL3304" s="245"/>
      <c r="AM3304" s="245"/>
      <c r="AN3304" s="245"/>
      <c r="AO3304" s="238">
        <v>0.0</v>
      </c>
      <c r="AP3304" s="238">
        <v>0.0</v>
      </c>
      <c r="AQ3304" s="235" t="s">
        <v>632</v>
      </c>
      <c r="AR3304" s="243">
        <v>3.71E11</v>
      </c>
      <c r="AS3304" s="235" t="s">
        <v>20529</v>
      </c>
      <c r="AT3304" s="235" t="s">
        <v>16</v>
      </c>
      <c r="AU3304" s="235" t="s">
        <v>634</v>
      </c>
      <c r="AV3304" s="246" t="s">
        <v>635</v>
      </c>
      <c r="AW3304" s="227"/>
      <c r="AX3304" s="227"/>
      <c r="AY3304" s="227"/>
      <c r="AZ3304" s="227"/>
      <c r="BA3304" s="227"/>
      <c r="BB3304" s="227"/>
      <c r="BC3304" s="227"/>
      <c r="BD3304" s="227"/>
      <c r="BE3304" s="227"/>
      <c r="BF3304" s="227"/>
    </row>
    <row r="3305">
      <c r="A3305" s="235" t="s">
        <v>24851</v>
      </c>
      <c r="C3305" s="235" t="s">
        <v>24852</v>
      </c>
      <c r="D3305" s="235" t="s">
        <v>24853</v>
      </c>
      <c r="E3305" s="243">
        <v>6.52E13</v>
      </c>
      <c r="F3305" s="245"/>
      <c r="G3305" s="235" t="s">
        <v>24854</v>
      </c>
      <c r="H3305" s="235" t="s">
        <v>24855</v>
      </c>
      <c r="I3305" s="235" t="s">
        <v>24855</v>
      </c>
      <c r="J3305" s="235" t="s">
        <v>24856</v>
      </c>
      <c r="K3305" s="235" t="s">
        <v>12041</v>
      </c>
      <c r="N3305" s="235" t="s">
        <v>24</v>
      </c>
      <c r="O3305" s="235" t="s">
        <v>786</v>
      </c>
      <c r="P3305" s="238">
        <v>1.0</v>
      </c>
      <c r="Q3305" s="235" t="s">
        <v>627</v>
      </c>
      <c r="R3305" s="238">
        <v>360.95</v>
      </c>
      <c r="S3305" s="238">
        <v>18.05</v>
      </c>
      <c r="T3305" s="238">
        <v>0.0</v>
      </c>
      <c r="U3305" s="238">
        <v>0.0</v>
      </c>
      <c r="V3305" s="238">
        <v>0.0</v>
      </c>
      <c r="W3305" s="238">
        <v>0.0</v>
      </c>
      <c r="X3305" s="235" t="s">
        <v>628</v>
      </c>
      <c r="Z3305" s="245"/>
      <c r="AA3305" s="245"/>
      <c r="AB3305" s="245"/>
      <c r="AC3305" s="235" t="s">
        <v>937</v>
      </c>
      <c r="AD3305" s="235" t="s">
        <v>709</v>
      </c>
      <c r="AE3305" s="238">
        <v>800020.0</v>
      </c>
      <c r="AF3305" s="235" t="s">
        <v>631</v>
      </c>
      <c r="AG3305" s="245"/>
      <c r="AH3305" s="245"/>
      <c r="AI3305" s="245"/>
      <c r="AJ3305" s="245"/>
      <c r="AK3305" s="245"/>
      <c r="AL3305" s="245"/>
      <c r="AM3305" s="245"/>
      <c r="AN3305" s="245"/>
      <c r="AO3305" s="238">
        <v>0.0</v>
      </c>
      <c r="AP3305" s="238">
        <v>0.0</v>
      </c>
      <c r="AQ3305" s="235" t="s">
        <v>632</v>
      </c>
      <c r="AR3305" s="243">
        <v>2.02E11</v>
      </c>
      <c r="AS3305" s="235" t="s">
        <v>23542</v>
      </c>
      <c r="AT3305" s="235" t="s">
        <v>9</v>
      </c>
      <c r="AU3305" s="235" t="s">
        <v>634</v>
      </c>
      <c r="AV3305" s="246" t="s">
        <v>635</v>
      </c>
      <c r="AW3305" s="227"/>
      <c r="AX3305" s="227"/>
      <c r="AY3305" s="227"/>
      <c r="AZ3305" s="227"/>
      <c r="BA3305" s="227"/>
      <c r="BB3305" s="227"/>
      <c r="BC3305" s="227"/>
      <c r="BD3305" s="227"/>
      <c r="BE3305" s="227"/>
      <c r="BF3305" s="227"/>
    </row>
    <row r="3306">
      <c r="A3306" s="235" t="s">
        <v>24857</v>
      </c>
      <c r="C3306" s="235" t="s">
        <v>24858</v>
      </c>
      <c r="D3306" s="235" t="s">
        <v>24859</v>
      </c>
      <c r="E3306" s="243">
        <v>6.52E13</v>
      </c>
      <c r="F3306" s="245"/>
      <c r="G3306" s="235" t="s">
        <v>24860</v>
      </c>
      <c r="H3306" s="235" t="s">
        <v>24861</v>
      </c>
      <c r="I3306" s="235" t="s">
        <v>24861</v>
      </c>
      <c r="J3306" s="235" t="s">
        <v>24862</v>
      </c>
      <c r="K3306" s="235" t="s">
        <v>24863</v>
      </c>
      <c r="N3306" s="235" t="s">
        <v>90</v>
      </c>
      <c r="O3306" s="235" t="s">
        <v>279</v>
      </c>
      <c r="P3306" s="238">
        <v>1.0</v>
      </c>
      <c r="Q3306" s="235" t="s">
        <v>627</v>
      </c>
      <c r="R3306" s="238">
        <v>246.67</v>
      </c>
      <c r="S3306" s="238">
        <v>12.08</v>
      </c>
      <c r="T3306" s="238">
        <v>0.0</v>
      </c>
      <c r="U3306" s="238">
        <v>0.0</v>
      </c>
      <c r="V3306" s="238">
        <v>0.0</v>
      </c>
      <c r="W3306" s="238">
        <v>0.0</v>
      </c>
      <c r="X3306" s="235" t="s">
        <v>628</v>
      </c>
      <c r="Z3306" s="245"/>
      <c r="AA3306" s="245"/>
      <c r="AB3306" s="245"/>
      <c r="AC3306" s="235" t="s">
        <v>937</v>
      </c>
      <c r="AD3306" s="235" t="s">
        <v>709</v>
      </c>
      <c r="AE3306" s="238">
        <v>801503.0</v>
      </c>
      <c r="AF3306" s="235" t="s">
        <v>631</v>
      </c>
      <c r="AG3306" s="245"/>
      <c r="AH3306" s="245"/>
      <c r="AI3306" s="245"/>
      <c r="AJ3306" s="245"/>
      <c r="AK3306" s="245"/>
      <c r="AL3306" s="245"/>
      <c r="AM3306" s="245"/>
      <c r="AN3306" s="245"/>
      <c r="AO3306" s="238">
        <v>-4.93</v>
      </c>
      <c r="AP3306" s="238">
        <v>0.0</v>
      </c>
      <c r="AQ3306" s="235" t="s">
        <v>632</v>
      </c>
      <c r="AR3306" s="243">
        <v>1.68E11</v>
      </c>
      <c r="AS3306" s="235" t="s">
        <v>22269</v>
      </c>
      <c r="AT3306" s="235" t="s">
        <v>13</v>
      </c>
      <c r="AU3306" s="235" t="s">
        <v>634</v>
      </c>
      <c r="AV3306" s="246" t="s">
        <v>635</v>
      </c>
      <c r="AW3306" s="227"/>
      <c r="AX3306" s="227"/>
      <c r="AY3306" s="227"/>
      <c r="AZ3306" s="227"/>
      <c r="BA3306" s="227"/>
      <c r="BB3306" s="227"/>
      <c r="BC3306" s="227"/>
      <c r="BD3306" s="227"/>
      <c r="BE3306" s="227"/>
      <c r="BF3306" s="227"/>
    </row>
    <row r="3307">
      <c r="A3307" s="235" t="s">
        <v>24864</v>
      </c>
      <c r="C3307" s="235" t="s">
        <v>24865</v>
      </c>
      <c r="D3307" s="235" t="s">
        <v>24866</v>
      </c>
      <c r="E3307" s="243">
        <v>6.52E13</v>
      </c>
      <c r="F3307" s="245"/>
      <c r="G3307" s="235" t="s">
        <v>24867</v>
      </c>
      <c r="H3307" s="235" t="s">
        <v>24868</v>
      </c>
      <c r="I3307" s="235" t="s">
        <v>24868</v>
      </c>
      <c r="J3307" s="235" t="s">
        <v>24869</v>
      </c>
      <c r="K3307" s="235" t="s">
        <v>24870</v>
      </c>
      <c r="N3307" s="235" t="s">
        <v>53</v>
      </c>
      <c r="O3307" s="235" t="s">
        <v>512</v>
      </c>
      <c r="P3307" s="238">
        <v>1.0</v>
      </c>
      <c r="Q3307" s="235" t="s">
        <v>627</v>
      </c>
      <c r="R3307" s="238">
        <v>237.14</v>
      </c>
      <c r="S3307" s="238">
        <v>11.86</v>
      </c>
      <c r="T3307" s="238">
        <v>0.0</v>
      </c>
      <c r="U3307" s="238">
        <v>0.0</v>
      </c>
      <c r="V3307" s="238">
        <v>0.0</v>
      </c>
      <c r="W3307" s="238">
        <v>0.0</v>
      </c>
      <c r="X3307" s="235" t="s">
        <v>628</v>
      </c>
      <c r="Z3307" s="245"/>
      <c r="AA3307" s="245"/>
      <c r="AB3307" s="245"/>
      <c r="AC3307" s="235" t="s">
        <v>1320</v>
      </c>
      <c r="AD3307" s="235" t="s">
        <v>666</v>
      </c>
      <c r="AE3307" s="238">
        <v>600062.0</v>
      </c>
      <c r="AF3307" s="235" t="s">
        <v>631</v>
      </c>
      <c r="AG3307" s="245"/>
      <c r="AH3307" s="245"/>
      <c r="AI3307" s="245"/>
      <c r="AJ3307" s="245"/>
      <c r="AK3307" s="245"/>
      <c r="AL3307" s="245"/>
      <c r="AM3307" s="245"/>
      <c r="AN3307" s="245"/>
      <c r="AO3307" s="238">
        <v>0.0</v>
      </c>
      <c r="AP3307" s="238">
        <v>0.0</v>
      </c>
      <c r="AQ3307" s="235" t="s">
        <v>632</v>
      </c>
      <c r="AR3307" s="243">
        <v>3.71E11</v>
      </c>
      <c r="AS3307" s="235" t="s">
        <v>22269</v>
      </c>
      <c r="AT3307" s="235" t="s">
        <v>9</v>
      </c>
      <c r="AU3307" s="235" t="s">
        <v>634</v>
      </c>
      <c r="AV3307" s="246" t="s">
        <v>635</v>
      </c>
      <c r="AW3307" s="227"/>
      <c r="AX3307" s="227"/>
      <c r="AY3307" s="227"/>
      <c r="AZ3307" s="227"/>
      <c r="BA3307" s="227"/>
      <c r="BB3307" s="227"/>
      <c r="BC3307" s="227"/>
      <c r="BD3307" s="227"/>
      <c r="BE3307" s="227"/>
      <c r="BF3307" s="227"/>
    </row>
    <row r="3308">
      <c r="A3308" s="235" t="s">
        <v>24871</v>
      </c>
      <c r="C3308" s="235" t="s">
        <v>24872</v>
      </c>
      <c r="D3308" s="235" t="s">
        <v>24873</v>
      </c>
      <c r="E3308" s="243">
        <v>6.52E13</v>
      </c>
      <c r="F3308" s="245"/>
      <c r="G3308" s="235" t="s">
        <v>24874</v>
      </c>
      <c r="H3308" s="235" t="s">
        <v>24875</v>
      </c>
      <c r="I3308" s="235" t="s">
        <v>24875</v>
      </c>
      <c r="J3308" s="235" t="s">
        <v>24876</v>
      </c>
      <c r="K3308" s="235" t="s">
        <v>24877</v>
      </c>
      <c r="N3308" s="235" t="s">
        <v>71</v>
      </c>
      <c r="O3308" s="235" t="s">
        <v>240</v>
      </c>
      <c r="P3308" s="238">
        <v>1.0</v>
      </c>
      <c r="Q3308" s="235" t="s">
        <v>627</v>
      </c>
      <c r="R3308" s="238">
        <v>242.86</v>
      </c>
      <c r="S3308" s="238">
        <v>11.9</v>
      </c>
      <c r="T3308" s="238">
        <v>0.0</v>
      </c>
      <c r="U3308" s="238">
        <v>0.0</v>
      </c>
      <c r="V3308" s="238">
        <v>0.0</v>
      </c>
      <c r="W3308" s="238">
        <v>0.0</v>
      </c>
      <c r="X3308" s="235" t="s">
        <v>628</v>
      </c>
      <c r="Z3308" s="245"/>
      <c r="AA3308" s="245"/>
      <c r="AB3308" s="245"/>
      <c r="AC3308" s="235" t="s">
        <v>1287</v>
      </c>
      <c r="AD3308" s="235" t="s">
        <v>630</v>
      </c>
      <c r="AE3308" s="238">
        <v>201010.0</v>
      </c>
      <c r="AF3308" s="235" t="s">
        <v>631</v>
      </c>
      <c r="AG3308" s="245"/>
      <c r="AH3308" s="245"/>
      <c r="AI3308" s="245"/>
      <c r="AJ3308" s="245"/>
      <c r="AK3308" s="245"/>
      <c r="AL3308" s="245"/>
      <c r="AM3308" s="245"/>
      <c r="AN3308" s="245"/>
      <c r="AO3308" s="238">
        <v>-4.86</v>
      </c>
      <c r="AP3308" s="238">
        <v>0.0</v>
      </c>
      <c r="AQ3308" s="235" t="s">
        <v>632</v>
      </c>
      <c r="AR3308" s="243">
        <v>3.71E11</v>
      </c>
      <c r="AS3308" s="235" t="s">
        <v>23542</v>
      </c>
      <c r="AT3308" s="235" t="s">
        <v>533</v>
      </c>
      <c r="AU3308" s="235" t="s">
        <v>634</v>
      </c>
      <c r="AV3308" s="246" t="s">
        <v>635</v>
      </c>
      <c r="AW3308" s="227"/>
      <c r="AX3308" s="227"/>
      <c r="AY3308" s="227"/>
      <c r="AZ3308" s="227"/>
      <c r="BA3308" s="227"/>
      <c r="BB3308" s="227"/>
      <c r="BC3308" s="227"/>
      <c r="BD3308" s="227"/>
      <c r="BE3308" s="227"/>
      <c r="BF3308" s="227"/>
    </row>
    <row r="3309">
      <c r="A3309" s="235" t="s">
        <v>24878</v>
      </c>
      <c r="C3309" s="235" t="s">
        <v>24879</v>
      </c>
      <c r="D3309" s="235" t="s">
        <v>24880</v>
      </c>
      <c r="E3309" s="243">
        <v>6.52E13</v>
      </c>
      <c r="F3309" s="245"/>
      <c r="G3309" s="235" t="s">
        <v>24881</v>
      </c>
      <c r="H3309" s="235" t="s">
        <v>24882</v>
      </c>
      <c r="I3309" s="235" t="s">
        <v>24882</v>
      </c>
      <c r="J3309" s="235" t="s">
        <v>24883</v>
      </c>
      <c r="K3309" s="235" t="s">
        <v>24884</v>
      </c>
      <c r="N3309" s="235" t="s">
        <v>144</v>
      </c>
      <c r="O3309" s="235" t="s">
        <v>232</v>
      </c>
      <c r="P3309" s="238">
        <v>1.0</v>
      </c>
      <c r="Q3309" s="235" t="s">
        <v>627</v>
      </c>
      <c r="R3309" s="238">
        <v>665.71</v>
      </c>
      <c r="S3309" s="238">
        <v>33.29</v>
      </c>
      <c r="T3309" s="238">
        <v>0.0</v>
      </c>
      <c r="U3309" s="238">
        <v>0.0</v>
      </c>
      <c r="V3309" s="238">
        <v>0.0</v>
      </c>
      <c r="W3309" s="238">
        <v>0.0</v>
      </c>
      <c r="X3309" s="235" t="s">
        <v>628</v>
      </c>
      <c r="Z3309" s="245"/>
      <c r="AA3309" s="245"/>
      <c r="AB3309" s="245"/>
      <c r="AC3309" s="235" t="s">
        <v>795</v>
      </c>
      <c r="AD3309" s="235" t="s">
        <v>796</v>
      </c>
      <c r="AE3309" s="238">
        <v>110024.0</v>
      </c>
      <c r="AF3309" s="235" t="s">
        <v>631</v>
      </c>
      <c r="AG3309" s="245"/>
      <c r="AH3309" s="245"/>
      <c r="AI3309" s="245"/>
      <c r="AJ3309" s="245"/>
      <c r="AK3309" s="245"/>
      <c r="AL3309" s="245"/>
      <c r="AM3309" s="245"/>
      <c r="AN3309" s="245"/>
      <c r="AO3309" s="238">
        <v>0.0</v>
      </c>
      <c r="AP3309" s="238">
        <v>0.0</v>
      </c>
      <c r="AQ3309" s="235" t="s">
        <v>632</v>
      </c>
      <c r="AR3309" s="243">
        <v>3.71E11</v>
      </c>
      <c r="AS3309" s="235" t="s">
        <v>23542</v>
      </c>
      <c r="AT3309" s="235" t="s">
        <v>533</v>
      </c>
      <c r="AU3309" s="235" t="s">
        <v>634</v>
      </c>
      <c r="AV3309" s="246" t="s">
        <v>635</v>
      </c>
      <c r="AW3309" s="227"/>
      <c r="AX3309" s="227"/>
      <c r="AY3309" s="227"/>
      <c r="AZ3309" s="227"/>
      <c r="BA3309" s="227"/>
      <c r="BB3309" s="227"/>
      <c r="BC3309" s="227"/>
      <c r="BD3309" s="227"/>
      <c r="BE3309" s="227"/>
      <c r="BF3309" s="227"/>
    </row>
    <row r="3310">
      <c r="A3310" s="235" t="s">
        <v>24885</v>
      </c>
      <c r="C3310" s="235" t="s">
        <v>24886</v>
      </c>
      <c r="D3310" s="235" t="s">
        <v>24887</v>
      </c>
      <c r="E3310" s="243">
        <v>6.52E13</v>
      </c>
      <c r="F3310" s="245"/>
      <c r="G3310" s="235" t="s">
        <v>24888</v>
      </c>
      <c r="H3310" s="235" t="s">
        <v>24889</v>
      </c>
      <c r="I3310" s="235" t="s">
        <v>24889</v>
      </c>
      <c r="J3310" s="235" t="s">
        <v>24890</v>
      </c>
      <c r="K3310" s="235" t="s">
        <v>24891</v>
      </c>
      <c r="N3310" s="235" t="s">
        <v>989</v>
      </c>
      <c r="O3310" s="235" t="s">
        <v>990</v>
      </c>
      <c r="P3310" s="238">
        <v>1.0</v>
      </c>
      <c r="Q3310" s="235" t="s">
        <v>627</v>
      </c>
      <c r="R3310" s="238">
        <v>256.2</v>
      </c>
      <c r="S3310" s="238">
        <v>12.8</v>
      </c>
      <c r="T3310" s="238">
        <v>0.0</v>
      </c>
      <c r="U3310" s="238">
        <v>0.0</v>
      </c>
      <c r="V3310" s="238">
        <v>0.0</v>
      </c>
      <c r="W3310" s="238">
        <v>0.0</v>
      </c>
      <c r="X3310" s="235" t="s">
        <v>628</v>
      </c>
      <c r="Z3310" s="245"/>
      <c r="AA3310" s="245"/>
      <c r="AB3310" s="245"/>
      <c r="AC3310" s="235" t="s">
        <v>20928</v>
      </c>
      <c r="AD3310" s="235" t="s">
        <v>666</v>
      </c>
      <c r="AE3310" s="238">
        <v>607001.0</v>
      </c>
      <c r="AF3310" s="235" t="s">
        <v>631</v>
      </c>
      <c r="AG3310" s="245"/>
      <c r="AH3310" s="245"/>
      <c r="AI3310" s="245"/>
      <c r="AJ3310" s="245"/>
      <c r="AK3310" s="245"/>
      <c r="AL3310" s="245"/>
      <c r="AM3310" s="245"/>
      <c r="AN3310" s="245"/>
      <c r="AO3310" s="238">
        <v>0.0</v>
      </c>
      <c r="AP3310" s="238">
        <v>0.0</v>
      </c>
      <c r="AQ3310" s="235" t="s">
        <v>632</v>
      </c>
      <c r="AR3310" s="243">
        <v>3.71E11</v>
      </c>
      <c r="AS3310" s="235" t="s">
        <v>23542</v>
      </c>
      <c r="AT3310" s="235" t="s">
        <v>156</v>
      </c>
      <c r="AU3310" s="235" t="s">
        <v>634</v>
      </c>
      <c r="AV3310" s="246" t="s">
        <v>635</v>
      </c>
      <c r="AW3310" s="227"/>
      <c r="AX3310" s="227"/>
      <c r="AY3310" s="227"/>
      <c r="AZ3310" s="227"/>
      <c r="BA3310" s="227"/>
      <c r="BB3310" s="227"/>
      <c r="BC3310" s="227"/>
      <c r="BD3310" s="227"/>
      <c r="BE3310" s="227"/>
      <c r="BF3310" s="227"/>
    </row>
    <row r="3311">
      <c r="A3311" s="235" t="s">
        <v>24892</v>
      </c>
      <c r="C3311" s="235" t="s">
        <v>24893</v>
      </c>
      <c r="D3311" s="235" t="s">
        <v>24894</v>
      </c>
      <c r="E3311" s="243">
        <v>6.52E13</v>
      </c>
      <c r="F3311" s="245"/>
      <c r="G3311" s="235" t="s">
        <v>24895</v>
      </c>
      <c r="H3311" s="235" t="s">
        <v>24896</v>
      </c>
      <c r="I3311" s="235" t="s">
        <v>24897</v>
      </c>
      <c r="J3311" s="235" t="s">
        <v>24898</v>
      </c>
      <c r="K3311" s="235" t="s">
        <v>24899</v>
      </c>
      <c r="N3311" s="235" t="s">
        <v>47</v>
      </c>
      <c r="O3311" s="235" t="s">
        <v>270</v>
      </c>
      <c r="P3311" s="238">
        <v>1.0</v>
      </c>
      <c r="Q3311" s="235" t="s">
        <v>627</v>
      </c>
      <c r="R3311" s="238">
        <v>236.19</v>
      </c>
      <c r="S3311" s="238">
        <v>11.46</v>
      </c>
      <c r="T3311" s="238">
        <v>0.0</v>
      </c>
      <c r="U3311" s="238">
        <v>0.0</v>
      </c>
      <c r="V3311" s="238">
        <v>0.0</v>
      </c>
      <c r="W3311" s="238">
        <v>0.0</v>
      </c>
      <c r="X3311" s="235" t="s">
        <v>628</v>
      </c>
      <c r="Z3311" s="245"/>
      <c r="AA3311" s="245"/>
      <c r="AB3311" s="245"/>
      <c r="AC3311" s="235" t="s">
        <v>814</v>
      </c>
      <c r="AD3311" s="235" t="s">
        <v>698</v>
      </c>
      <c r="AE3311" s="238">
        <v>500050.0</v>
      </c>
      <c r="AF3311" s="235" t="s">
        <v>631</v>
      </c>
      <c r="AG3311" s="245"/>
      <c r="AH3311" s="245"/>
      <c r="AI3311" s="245"/>
      <c r="AJ3311" s="245"/>
      <c r="AK3311" s="245"/>
      <c r="AL3311" s="245"/>
      <c r="AM3311" s="245"/>
      <c r="AN3311" s="245"/>
      <c r="AO3311" s="238">
        <v>-7.09</v>
      </c>
      <c r="AP3311" s="238">
        <v>0.0</v>
      </c>
      <c r="AQ3311" s="235" t="s">
        <v>632</v>
      </c>
      <c r="AR3311" s="243">
        <v>3.71E11</v>
      </c>
      <c r="AS3311" s="235" t="s">
        <v>20529</v>
      </c>
      <c r="AT3311" s="235" t="s">
        <v>16</v>
      </c>
      <c r="AU3311" s="235" t="s">
        <v>634</v>
      </c>
      <c r="AV3311" s="246" t="s">
        <v>635</v>
      </c>
      <c r="AW3311" s="227"/>
      <c r="AX3311" s="227"/>
      <c r="AY3311" s="227"/>
      <c r="AZ3311" s="227"/>
      <c r="BA3311" s="227"/>
      <c r="BB3311" s="227"/>
      <c r="BC3311" s="227"/>
      <c r="BD3311" s="227"/>
      <c r="BE3311" s="227"/>
      <c r="BF3311" s="227"/>
    </row>
    <row r="3312">
      <c r="A3312" s="235" t="s">
        <v>24900</v>
      </c>
      <c r="C3312" s="235" t="s">
        <v>24901</v>
      </c>
      <c r="D3312" s="235" t="s">
        <v>24902</v>
      </c>
      <c r="E3312" s="243">
        <v>6.52E13</v>
      </c>
      <c r="F3312" s="245"/>
      <c r="G3312" s="235" t="s">
        <v>24903</v>
      </c>
      <c r="H3312" s="235" t="s">
        <v>24904</v>
      </c>
      <c r="I3312" s="235" t="s">
        <v>24904</v>
      </c>
      <c r="J3312" s="235" t="s">
        <v>24905</v>
      </c>
      <c r="K3312" s="235" t="s">
        <v>24906</v>
      </c>
      <c r="N3312" s="235" t="s">
        <v>92</v>
      </c>
      <c r="O3312" s="235" t="s">
        <v>248</v>
      </c>
      <c r="P3312" s="238">
        <v>1.0</v>
      </c>
      <c r="Q3312" s="235" t="s">
        <v>627</v>
      </c>
      <c r="R3312" s="238">
        <v>233.34</v>
      </c>
      <c r="S3312" s="238">
        <v>11.43</v>
      </c>
      <c r="T3312" s="238">
        <v>38.1</v>
      </c>
      <c r="U3312" s="238">
        <v>1.9</v>
      </c>
      <c r="V3312" s="238">
        <v>0.0</v>
      </c>
      <c r="W3312" s="238">
        <v>0.0</v>
      </c>
      <c r="X3312" s="235" t="s">
        <v>628</v>
      </c>
      <c r="Z3312" s="245"/>
      <c r="AA3312" s="245"/>
      <c r="AB3312" s="245"/>
      <c r="AC3312" s="235" t="s">
        <v>687</v>
      </c>
      <c r="AD3312" s="235" t="s">
        <v>666</v>
      </c>
      <c r="AE3312" s="238">
        <v>600095.0</v>
      </c>
      <c r="AF3312" s="235" t="s">
        <v>631</v>
      </c>
      <c r="AG3312" s="245"/>
      <c r="AH3312" s="245"/>
      <c r="AI3312" s="245"/>
      <c r="AJ3312" s="245"/>
      <c r="AK3312" s="245"/>
      <c r="AL3312" s="245"/>
      <c r="AM3312" s="245"/>
      <c r="AN3312" s="245"/>
      <c r="AO3312" s="238">
        <v>-4.67</v>
      </c>
      <c r="AP3312" s="238">
        <v>-38.1</v>
      </c>
      <c r="AQ3312" s="235" t="s">
        <v>632</v>
      </c>
      <c r="AR3312" s="243">
        <v>3.71E11</v>
      </c>
      <c r="AS3312" s="235" t="s">
        <v>23542</v>
      </c>
      <c r="AT3312" s="235" t="s">
        <v>156</v>
      </c>
      <c r="AU3312" s="235" t="s">
        <v>634</v>
      </c>
      <c r="AV3312" s="246" t="s">
        <v>635</v>
      </c>
      <c r="AW3312" s="227"/>
      <c r="AX3312" s="227"/>
      <c r="AY3312" s="227"/>
      <c r="AZ3312" s="227"/>
      <c r="BA3312" s="227"/>
      <c r="BB3312" s="227"/>
      <c r="BC3312" s="227"/>
      <c r="BD3312" s="227"/>
      <c r="BE3312" s="227"/>
      <c r="BF3312" s="227"/>
    </row>
    <row r="3313">
      <c r="A3313" s="235" t="s">
        <v>24907</v>
      </c>
      <c r="C3313" s="235" t="s">
        <v>24908</v>
      </c>
      <c r="D3313" s="235" t="s">
        <v>24909</v>
      </c>
      <c r="E3313" s="243">
        <v>6.51E13</v>
      </c>
      <c r="F3313" s="245"/>
      <c r="G3313" s="235" t="s">
        <v>24910</v>
      </c>
      <c r="H3313" s="235" t="s">
        <v>24911</v>
      </c>
      <c r="I3313" s="235" t="s">
        <v>24911</v>
      </c>
      <c r="J3313" s="235" t="s">
        <v>24912</v>
      </c>
      <c r="K3313" s="235" t="s">
        <v>24913</v>
      </c>
      <c r="N3313" s="235" t="s">
        <v>127</v>
      </c>
      <c r="O3313" s="235" t="s">
        <v>794</v>
      </c>
      <c r="P3313" s="238">
        <v>1.0</v>
      </c>
      <c r="Q3313" s="235" t="s">
        <v>627</v>
      </c>
      <c r="R3313" s="238">
        <v>236.19</v>
      </c>
      <c r="S3313" s="238">
        <v>11.57</v>
      </c>
      <c r="T3313" s="238">
        <v>0.0</v>
      </c>
      <c r="U3313" s="238">
        <v>0.0</v>
      </c>
      <c r="V3313" s="238">
        <v>0.0</v>
      </c>
      <c r="W3313" s="238">
        <v>0.0</v>
      </c>
      <c r="X3313" s="235" t="s">
        <v>628</v>
      </c>
      <c r="Z3313" s="245"/>
      <c r="AA3313" s="245"/>
      <c r="AB3313" s="245"/>
      <c r="AC3313" s="235" t="s">
        <v>24914</v>
      </c>
      <c r="AD3313" s="235" t="s">
        <v>630</v>
      </c>
      <c r="AE3313" s="238">
        <v>274306.0</v>
      </c>
      <c r="AF3313" s="235" t="s">
        <v>631</v>
      </c>
      <c r="AG3313" s="245"/>
      <c r="AH3313" s="245"/>
      <c r="AI3313" s="245"/>
      <c r="AJ3313" s="245"/>
      <c r="AK3313" s="245"/>
      <c r="AL3313" s="245"/>
      <c r="AM3313" s="245"/>
      <c r="AN3313" s="245"/>
      <c r="AO3313" s="238">
        <v>-4.72</v>
      </c>
      <c r="AP3313" s="238">
        <v>0.0</v>
      </c>
      <c r="AQ3313" s="235" t="s">
        <v>632</v>
      </c>
      <c r="AR3313" s="243">
        <v>3.71E11</v>
      </c>
      <c r="AS3313" s="235" t="s">
        <v>20529</v>
      </c>
      <c r="AT3313" s="235" t="s">
        <v>14</v>
      </c>
      <c r="AU3313" s="235" t="s">
        <v>634</v>
      </c>
      <c r="AV3313" s="246" t="s">
        <v>635</v>
      </c>
      <c r="AW3313" s="227"/>
      <c r="AX3313" s="227"/>
      <c r="AY3313" s="227"/>
      <c r="AZ3313" s="227"/>
      <c r="BA3313" s="227"/>
      <c r="BB3313" s="227"/>
      <c r="BC3313" s="227"/>
      <c r="BD3313" s="227"/>
      <c r="BE3313" s="227"/>
      <c r="BF3313" s="227"/>
    </row>
    <row r="3314">
      <c r="A3314" s="235" t="s">
        <v>24915</v>
      </c>
      <c r="C3314" s="235" t="s">
        <v>24916</v>
      </c>
      <c r="D3314" s="235" t="s">
        <v>24917</v>
      </c>
      <c r="E3314" s="243">
        <v>6.51E13</v>
      </c>
      <c r="F3314" s="245"/>
      <c r="G3314" s="235" t="s">
        <v>24918</v>
      </c>
      <c r="H3314" s="235" t="s">
        <v>24919</v>
      </c>
      <c r="I3314" s="235" t="s">
        <v>24919</v>
      </c>
      <c r="J3314" s="235" t="s">
        <v>24920</v>
      </c>
      <c r="K3314" s="235" t="s">
        <v>24921</v>
      </c>
      <c r="N3314" s="235" t="s">
        <v>35</v>
      </c>
      <c r="O3314" s="235" t="s">
        <v>831</v>
      </c>
      <c r="P3314" s="238">
        <v>1.0</v>
      </c>
      <c r="Q3314" s="235" t="s">
        <v>627</v>
      </c>
      <c r="R3314" s="238">
        <v>475.24</v>
      </c>
      <c r="S3314" s="238">
        <v>23.76</v>
      </c>
      <c r="T3314" s="238">
        <v>38.1</v>
      </c>
      <c r="U3314" s="238">
        <v>1.9</v>
      </c>
      <c r="V3314" s="238">
        <v>0.0</v>
      </c>
      <c r="W3314" s="238">
        <v>0.0</v>
      </c>
      <c r="X3314" s="235" t="s">
        <v>628</v>
      </c>
      <c r="Z3314" s="245"/>
      <c r="AA3314" s="245"/>
      <c r="AB3314" s="245"/>
      <c r="AC3314" s="235" t="s">
        <v>1671</v>
      </c>
      <c r="AD3314" s="235" t="s">
        <v>666</v>
      </c>
      <c r="AE3314" s="238">
        <v>641005.0</v>
      </c>
      <c r="AF3314" s="235" t="s">
        <v>631</v>
      </c>
      <c r="AG3314" s="245"/>
      <c r="AH3314" s="245"/>
      <c r="AI3314" s="245"/>
      <c r="AJ3314" s="245"/>
      <c r="AK3314" s="245"/>
      <c r="AL3314" s="245"/>
      <c r="AM3314" s="245"/>
      <c r="AN3314" s="245"/>
      <c r="AO3314" s="238">
        <v>0.0</v>
      </c>
      <c r="AP3314" s="238">
        <v>-38.1</v>
      </c>
      <c r="AQ3314" s="235" t="s">
        <v>632</v>
      </c>
      <c r="AR3314" s="243">
        <v>3.71E11</v>
      </c>
      <c r="AS3314" s="235" t="s">
        <v>22269</v>
      </c>
      <c r="AT3314" s="235" t="s">
        <v>9</v>
      </c>
      <c r="AU3314" s="235" t="s">
        <v>634</v>
      </c>
      <c r="AV3314" s="246" t="s">
        <v>635</v>
      </c>
      <c r="AW3314" s="227"/>
      <c r="AX3314" s="227"/>
      <c r="AY3314" s="227"/>
      <c r="AZ3314" s="227"/>
      <c r="BA3314" s="227"/>
      <c r="BB3314" s="227"/>
      <c r="BC3314" s="227"/>
      <c r="BD3314" s="227"/>
      <c r="BE3314" s="227"/>
      <c r="BF3314" s="227"/>
    </row>
    <row r="3315">
      <c r="A3315" s="235" t="s">
        <v>24922</v>
      </c>
      <c r="C3315" s="235" t="s">
        <v>24923</v>
      </c>
      <c r="D3315" s="235" t="s">
        <v>24924</v>
      </c>
      <c r="E3315" s="243">
        <v>6.51E13</v>
      </c>
      <c r="F3315" s="245"/>
      <c r="G3315" s="235" t="s">
        <v>24925</v>
      </c>
      <c r="H3315" s="235" t="s">
        <v>24926</v>
      </c>
      <c r="I3315" s="235" t="s">
        <v>24927</v>
      </c>
      <c r="J3315" s="235" t="s">
        <v>24928</v>
      </c>
      <c r="K3315" s="235" t="s">
        <v>24929</v>
      </c>
      <c r="N3315" s="235" t="s">
        <v>40</v>
      </c>
      <c r="O3315" s="235" t="s">
        <v>327</v>
      </c>
      <c r="P3315" s="238">
        <v>1.0</v>
      </c>
      <c r="Q3315" s="235" t="s">
        <v>627</v>
      </c>
      <c r="R3315" s="238">
        <v>233.33</v>
      </c>
      <c r="S3315" s="238">
        <v>11.67</v>
      </c>
      <c r="T3315" s="238">
        <v>0.0</v>
      </c>
      <c r="U3315" s="238">
        <v>0.0</v>
      </c>
      <c r="V3315" s="238">
        <v>0.0</v>
      </c>
      <c r="W3315" s="238">
        <v>0.0</v>
      </c>
      <c r="X3315" s="235" t="s">
        <v>628</v>
      </c>
      <c r="Z3315" s="245"/>
      <c r="AA3315" s="245"/>
      <c r="AB3315" s="245"/>
      <c r="AC3315" s="235" t="s">
        <v>697</v>
      </c>
      <c r="AD3315" s="235" t="s">
        <v>698</v>
      </c>
      <c r="AE3315" s="238">
        <v>500043.0</v>
      </c>
      <c r="AF3315" s="235" t="s">
        <v>631</v>
      </c>
      <c r="AG3315" s="245"/>
      <c r="AH3315" s="245"/>
      <c r="AI3315" s="245"/>
      <c r="AJ3315" s="245"/>
      <c r="AK3315" s="245"/>
      <c r="AL3315" s="245"/>
      <c r="AM3315" s="245"/>
      <c r="AN3315" s="245"/>
      <c r="AO3315" s="238">
        <v>0.0</v>
      </c>
      <c r="AP3315" s="238">
        <v>0.0</v>
      </c>
      <c r="AQ3315" s="235" t="s">
        <v>632</v>
      </c>
      <c r="AR3315" s="243">
        <v>3.71E11</v>
      </c>
      <c r="AS3315" s="235" t="s">
        <v>19388</v>
      </c>
      <c r="AT3315" s="235" t="s">
        <v>5</v>
      </c>
      <c r="AU3315" s="235" t="s">
        <v>634</v>
      </c>
      <c r="AV3315" s="246" t="s">
        <v>635</v>
      </c>
      <c r="AW3315" s="227"/>
      <c r="AX3315" s="227"/>
      <c r="AY3315" s="227"/>
      <c r="AZ3315" s="227"/>
      <c r="BA3315" s="227"/>
      <c r="BB3315" s="227"/>
      <c r="BC3315" s="227"/>
      <c r="BD3315" s="227"/>
      <c r="BE3315" s="227"/>
      <c r="BF3315" s="227"/>
    </row>
    <row r="3316">
      <c r="A3316" s="235" t="s">
        <v>24930</v>
      </c>
      <c r="C3316" s="235" t="s">
        <v>24931</v>
      </c>
      <c r="D3316" s="235" t="s">
        <v>24932</v>
      </c>
      <c r="E3316" s="243">
        <v>6.51E13</v>
      </c>
      <c r="F3316" s="245"/>
      <c r="G3316" s="235" t="s">
        <v>24933</v>
      </c>
      <c r="H3316" s="235" t="s">
        <v>24934</v>
      </c>
      <c r="I3316" s="235" t="s">
        <v>24935</v>
      </c>
      <c r="J3316" s="235" t="s">
        <v>24936</v>
      </c>
      <c r="K3316" s="235" t="s">
        <v>24937</v>
      </c>
      <c r="N3316" s="235" t="s">
        <v>726</v>
      </c>
      <c r="O3316" s="235" t="s">
        <v>727</v>
      </c>
      <c r="P3316" s="238">
        <v>1.0</v>
      </c>
      <c r="Q3316" s="235" t="s">
        <v>627</v>
      </c>
      <c r="R3316" s="238">
        <v>237.14</v>
      </c>
      <c r="S3316" s="238">
        <v>11.86</v>
      </c>
      <c r="T3316" s="238">
        <v>38.1</v>
      </c>
      <c r="U3316" s="238">
        <v>1.9</v>
      </c>
      <c r="V3316" s="238">
        <v>0.0</v>
      </c>
      <c r="W3316" s="238">
        <v>0.0</v>
      </c>
      <c r="X3316" s="235" t="s">
        <v>628</v>
      </c>
      <c r="Z3316" s="245"/>
      <c r="AA3316" s="245"/>
      <c r="AB3316" s="245"/>
      <c r="AC3316" s="235" t="s">
        <v>795</v>
      </c>
      <c r="AD3316" s="235" t="s">
        <v>796</v>
      </c>
      <c r="AE3316" s="238">
        <v>110085.0</v>
      </c>
      <c r="AF3316" s="235" t="s">
        <v>631</v>
      </c>
      <c r="AG3316" s="245"/>
      <c r="AH3316" s="245"/>
      <c r="AI3316" s="245"/>
      <c r="AJ3316" s="245"/>
      <c r="AK3316" s="245"/>
      <c r="AL3316" s="245"/>
      <c r="AM3316" s="245"/>
      <c r="AN3316" s="245"/>
      <c r="AO3316" s="238">
        <v>0.0</v>
      </c>
      <c r="AP3316" s="238">
        <v>-38.1</v>
      </c>
      <c r="AQ3316" s="235" t="s">
        <v>632</v>
      </c>
      <c r="AR3316" s="243">
        <v>3.71E11</v>
      </c>
      <c r="AS3316" s="235" t="s">
        <v>23542</v>
      </c>
      <c r="AT3316" s="235" t="s">
        <v>533</v>
      </c>
      <c r="AU3316" s="235" t="s">
        <v>634</v>
      </c>
      <c r="AV3316" s="246" t="s">
        <v>635</v>
      </c>
      <c r="AW3316" s="227"/>
      <c r="AX3316" s="227"/>
      <c r="AY3316" s="227"/>
      <c r="AZ3316" s="227"/>
      <c r="BA3316" s="227"/>
      <c r="BB3316" s="227"/>
      <c r="BC3316" s="227"/>
      <c r="BD3316" s="227"/>
      <c r="BE3316" s="227"/>
      <c r="BF3316" s="227"/>
    </row>
    <row r="3317">
      <c r="A3317" s="235" t="s">
        <v>24938</v>
      </c>
      <c r="C3317" s="235" t="s">
        <v>24939</v>
      </c>
      <c r="D3317" s="235" t="s">
        <v>24940</v>
      </c>
      <c r="E3317" s="243">
        <v>6.51E13</v>
      </c>
      <c r="F3317" s="245"/>
      <c r="G3317" s="235" t="s">
        <v>24941</v>
      </c>
      <c r="H3317" s="235" t="s">
        <v>24942</v>
      </c>
      <c r="I3317" s="235" t="s">
        <v>24943</v>
      </c>
      <c r="J3317" s="235" t="s">
        <v>24944</v>
      </c>
      <c r="K3317" s="235" t="s">
        <v>24945</v>
      </c>
      <c r="N3317" s="235" t="s">
        <v>27</v>
      </c>
      <c r="O3317" s="235" t="s">
        <v>573</v>
      </c>
      <c r="P3317" s="238">
        <v>1.0</v>
      </c>
      <c r="Q3317" s="235" t="s">
        <v>627</v>
      </c>
      <c r="R3317" s="238">
        <v>380.0</v>
      </c>
      <c r="S3317" s="238">
        <v>19.0</v>
      </c>
      <c r="T3317" s="238">
        <v>38.1</v>
      </c>
      <c r="U3317" s="238">
        <v>1.9</v>
      </c>
      <c r="V3317" s="238">
        <v>0.0</v>
      </c>
      <c r="W3317" s="238">
        <v>0.0</v>
      </c>
      <c r="X3317" s="235" t="s">
        <v>628</v>
      </c>
      <c r="Z3317" s="245"/>
      <c r="AA3317" s="245"/>
      <c r="AB3317" s="245"/>
      <c r="AC3317" s="235" t="s">
        <v>697</v>
      </c>
      <c r="AD3317" s="235" t="s">
        <v>698</v>
      </c>
      <c r="AE3317" s="238">
        <v>500037.0</v>
      </c>
      <c r="AF3317" s="235" t="s">
        <v>631</v>
      </c>
      <c r="AG3317" s="245"/>
      <c r="AH3317" s="245"/>
      <c r="AI3317" s="245"/>
      <c r="AJ3317" s="245"/>
      <c r="AK3317" s="245"/>
      <c r="AL3317" s="245"/>
      <c r="AM3317" s="245"/>
      <c r="AN3317" s="245"/>
      <c r="AO3317" s="238">
        <v>0.0</v>
      </c>
      <c r="AP3317" s="238">
        <v>-38.1</v>
      </c>
      <c r="AQ3317" s="235" t="s">
        <v>632</v>
      </c>
      <c r="AR3317" s="243">
        <v>3.71E11</v>
      </c>
      <c r="AS3317" s="235" t="s">
        <v>22269</v>
      </c>
      <c r="AT3317" s="235" t="s">
        <v>11</v>
      </c>
      <c r="AU3317" s="235" t="s">
        <v>634</v>
      </c>
      <c r="AV3317" s="246" t="s">
        <v>635</v>
      </c>
      <c r="AW3317" s="227"/>
      <c r="AX3317" s="227"/>
      <c r="AY3317" s="227"/>
      <c r="AZ3317" s="227"/>
      <c r="BA3317" s="227"/>
      <c r="BB3317" s="227"/>
      <c r="BC3317" s="227"/>
      <c r="BD3317" s="227"/>
      <c r="BE3317" s="227"/>
      <c r="BF3317" s="227"/>
    </row>
    <row r="3318">
      <c r="A3318" s="235" t="s">
        <v>24946</v>
      </c>
      <c r="C3318" s="235" t="s">
        <v>24947</v>
      </c>
      <c r="D3318" s="235" t="s">
        <v>24948</v>
      </c>
      <c r="E3318" s="243">
        <v>6.52E13</v>
      </c>
      <c r="F3318" s="245"/>
      <c r="G3318" s="235" t="s">
        <v>24949</v>
      </c>
      <c r="H3318" s="235" t="s">
        <v>24950</v>
      </c>
      <c r="I3318" s="235" t="s">
        <v>24950</v>
      </c>
      <c r="J3318" s="235" t="s">
        <v>24951</v>
      </c>
      <c r="K3318" s="235" t="s">
        <v>24952</v>
      </c>
      <c r="N3318" s="235" t="s">
        <v>90</v>
      </c>
      <c r="O3318" s="235" t="s">
        <v>279</v>
      </c>
      <c r="P3318" s="238">
        <v>1.0</v>
      </c>
      <c r="Q3318" s="235" t="s">
        <v>627</v>
      </c>
      <c r="R3318" s="238">
        <v>246.66</v>
      </c>
      <c r="S3318" s="238">
        <v>12.34</v>
      </c>
      <c r="T3318" s="238">
        <v>38.1</v>
      </c>
      <c r="U3318" s="238">
        <v>1.9</v>
      </c>
      <c r="V3318" s="238">
        <v>0.0</v>
      </c>
      <c r="W3318" s="238">
        <v>0.0</v>
      </c>
      <c r="X3318" s="235" t="s">
        <v>628</v>
      </c>
      <c r="Z3318" s="245"/>
      <c r="AA3318" s="245"/>
      <c r="AB3318" s="245"/>
      <c r="AC3318" s="235" t="s">
        <v>12888</v>
      </c>
      <c r="AD3318" s="235" t="s">
        <v>845</v>
      </c>
      <c r="AE3318" s="238">
        <v>413102.0</v>
      </c>
      <c r="AF3318" s="235" t="s">
        <v>631</v>
      </c>
      <c r="AG3318" s="245"/>
      <c r="AH3318" s="245"/>
      <c r="AI3318" s="245"/>
      <c r="AJ3318" s="245"/>
      <c r="AK3318" s="245"/>
      <c r="AL3318" s="245"/>
      <c r="AM3318" s="245"/>
      <c r="AN3318" s="245"/>
      <c r="AO3318" s="238">
        <v>0.0</v>
      </c>
      <c r="AP3318" s="238">
        <v>-38.1</v>
      </c>
      <c r="AQ3318" s="235" t="s">
        <v>632</v>
      </c>
      <c r="AR3318" s="243">
        <v>3.71E11</v>
      </c>
      <c r="AS3318" s="235" t="s">
        <v>17988</v>
      </c>
      <c r="AT3318" s="235" t="s">
        <v>16</v>
      </c>
      <c r="AU3318" s="235" t="s">
        <v>634</v>
      </c>
      <c r="AV3318" s="246" t="s">
        <v>635</v>
      </c>
      <c r="AW3318" s="227"/>
      <c r="AX3318" s="227"/>
      <c r="AY3318" s="227"/>
      <c r="AZ3318" s="227"/>
      <c r="BA3318" s="227"/>
      <c r="BB3318" s="227"/>
      <c r="BC3318" s="227"/>
      <c r="BD3318" s="227"/>
      <c r="BE3318" s="227"/>
      <c r="BF3318" s="227"/>
    </row>
    <row r="3319">
      <c r="A3319" s="235" t="s">
        <v>24953</v>
      </c>
      <c r="C3319" s="235" t="s">
        <v>24954</v>
      </c>
      <c r="D3319" s="235" t="s">
        <v>24955</v>
      </c>
      <c r="E3319" s="243">
        <v>6.52E13</v>
      </c>
      <c r="F3319" s="245"/>
      <c r="G3319" s="235" t="s">
        <v>24956</v>
      </c>
      <c r="H3319" s="235" t="s">
        <v>24957</v>
      </c>
      <c r="I3319" s="235" t="s">
        <v>24958</v>
      </c>
      <c r="J3319" s="235" t="s">
        <v>24959</v>
      </c>
      <c r="K3319" s="235" t="s">
        <v>24960</v>
      </c>
      <c r="N3319" s="235" t="s">
        <v>47</v>
      </c>
      <c r="O3319" s="235" t="s">
        <v>270</v>
      </c>
      <c r="P3319" s="238">
        <v>1.0</v>
      </c>
      <c r="Q3319" s="235" t="s">
        <v>627</v>
      </c>
      <c r="R3319" s="238">
        <v>237.14</v>
      </c>
      <c r="S3319" s="238">
        <v>11.62</v>
      </c>
      <c r="T3319" s="238">
        <v>0.0</v>
      </c>
      <c r="U3319" s="238">
        <v>0.0</v>
      </c>
      <c r="V3319" s="238">
        <v>0.0</v>
      </c>
      <c r="W3319" s="238">
        <v>0.0</v>
      </c>
      <c r="X3319" s="235" t="s">
        <v>628</v>
      </c>
      <c r="Z3319" s="245"/>
      <c r="AA3319" s="245"/>
      <c r="AB3319" s="245"/>
      <c r="AC3319" s="235" t="s">
        <v>678</v>
      </c>
      <c r="AD3319" s="235" t="s">
        <v>679</v>
      </c>
      <c r="AE3319" s="238">
        <v>560103.0</v>
      </c>
      <c r="AF3319" s="235" t="s">
        <v>631</v>
      </c>
      <c r="AG3319" s="245"/>
      <c r="AH3319" s="245"/>
      <c r="AI3319" s="245"/>
      <c r="AJ3319" s="245"/>
      <c r="AK3319" s="245"/>
      <c r="AL3319" s="245"/>
      <c r="AM3319" s="245"/>
      <c r="AN3319" s="245"/>
      <c r="AO3319" s="238">
        <v>-4.74</v>
      </c>
      <c r="AP3319" s="238">
        <v>0.0</v>
      </c>
      <c r="AQ3319" s="235" t="s">
        <v>632</v>
      </c>
      <c r="AR3319" s="243">
        <v>3.71E11</v>
      </c>
      <c r="AS3319" s="235" t="s">
        <v>23542</v>
      </c>
      <c r="AT3319" s="235" t="s">
        <v>9</v>
      </c>
      <c r="AU3319" s="235" t="s">
        <v>634</v>
      </c>
      <c r="AV3319" s="246" t="s">
        <v>635</v>
      </c>
      <c r="AW3319" s="227"/>
      <c r="AX3319" s="227"/>
      <c r="AY3319" s="227"/>
      <c r="AZ3319" s="227"/>
      <c r="BA3319" s="227"/>
      <c r="BB3319" s="227"/>
      <c r="BC3319" s="227"/>
      <c r="BD3319" s="227"/>
      <c r="BE3319" s="227"/>
      <c r="BF3319" s="227"/>
    </row>
    <row r="3320">
      <c r="A3320" s="235" t="s">
        <v>24961</v>
      </c>
      <c r="C3320" s="235" t="s">
        <v>24962</v>
      </c>
      <c r="D3320" s="235" t="s">
        <v>24963</v>
      </c>
      <c r="E3320" s="243">
        <v>6.52E13</v>
      </c>
      <c r="F3320" s="245"/>
      <c r="G3320" s="235" t="s">
        <v>24964</v>
      </c>
      <c r="H3320" s="235" t="s">
        <v>24965</v>
      </c>
      <c r="I3320" s="235" t="s">
        <v>24965</v>
      </c>
      <c r="J3320" s="235" t="s">
        <v>24966</v>
      </c>
      <c r="K3320" s="235" t="s">
        <v>24967</v>
      </c>
      <c r="N3320" s="235" t="s">
        <v>42</v>
      </c>
      <c r="O3320" s="235" t="s">
        <v>204</v>
      </c>
      <c r="P3320" s="238">
        <v>1.0</v>
      </c>
      <c r="Q3320" s="235" t="s">
        <v>627</v>
      </c>
      <c r="R3320" s="238">
        <v>0.0</v>
      </c>
      <c r="S3320" s="238">
        <v>0.0</v>
      </c>
      <c r="T3320" s="238">
        <v>0.0</v>
      </c>
      <c r="U3320" s="238">
        <v>0.0</v>
      </c>
      <c r="V3320" s="238">
        <v>0.0</v>
      </c>
      <c r="W3320" s="238">
        <v>0.0</v>
      </c>
      <c r="X3320" s="235" t="s">
        <v>628</v>
      </c>
      <c r="Z3320" s="245"/>
      <c r="AA3320" s="245"/>
      <c r="AB3320" s="245"/>
      <c r="AC3320" s="235" t="s">
        <v>1671</v>
      </c>
      <c r="AD3320" s="235" t="s">
        <v>666</v>
      </c>
      <c r="AE3320" s="238">
        <v>641035.0</v>
      </c>
      <c r="AF3320" s="235" t="s">
        <v>631</v>
      </c>
      <c r="AG3320" s="245"/>
      <c r="AH3320" s="245"/>
      <c r="AI3320" s="245"/>
      <c r="AJ3320" s="245"/>
      <c r="AK3320" s="245"/>
      <c r="AL3320" s="245"/>
      <c r="AM3320" s="245"/>
      <c r="AN3320" s="245"/>
      <c r="AO3320" s="238">
        <v>0.0</v>
      </c>
      <c r="AP3320" s="238">
        <v>0.0</v>
      </c>
      <c r="AQ3320" s="235" t="s">
        <v>632</v>
      </c>
      <c r="AR3320" s="243">
        <v>3.71E11</v>
      </c>
      <c r="AS3320" s="235" t="s">
        <v>23542</v>
      </c>
      <c r="AT3320" s="235" t="s">
        <v>9</v>
      </c>
      <c r="AU3320" s="235" t="s">
        <v>634</v>
      </c>
      <c r="AV3320" s="246" t="s">
        <v>635</v>
      </c>
      <c r="AW3320" s="227"/>
      <c r="AX3320" s="227"/>
      <c r="AY3320" s="227"/>
      <c r="AZ3320" s="227"/>
      <c r="BA3320" s="227"/>
      <c r="BB3320" s="227"/>
      <c r="BC3320" s="227"/>
      <c r="BD3320" s="227"/>
      <c r="BE3320" s="227"/>
      <c r="BF3320" s="227"/>
    </row>
    <row r="3321">
      <c r="A3321" s="235" t="s">
        <v>24968</v>
      </c>
      <c r="C3321" s="235" t="s">
        <v>24969</v>
      </c>
      <c r="D3321" s="235" t="s">
        <v>24970</v>
      </c>
      <c r="E3321" s="243">
        <v>6.52E13</v>
      </c>
      <c r="F3321" s="245"/>
      <c r="G3321" s="235" t="s">
        <v>24971</v>
      </c>
      <c r="H3321" s="235" t="s">
        <v>24972</v>
      </c>
      <c r="I3321" s="235" t="s">
        <v>24972</v>
      </c>
      <c r="J3321" s="235" t="s">
        <v>24973</v>
      </c>
      <c r="K3321" s="235" t="s">
        <v>24974</v>
      </c>
      <c r="N3321" s="235" t="s">
        <v>61</v>
      </c>
      <c r="O3321" s="235" t="s">
        <v>382</v>
      </c>
      <c r="P3321" s="238">
        <v>1.0</v>
      </c>
      <c r="Q3321" s="235" t="s">
        <v>627</v>
      </c>
      <c r="R3321" s="238">
        <v>360.96</v>
      </c>
      <c r="S3321" s="238">
        <v>18.04</v>
      </c>
      <c r="T3321" s="238">
        <v>0.0</v>
      </c>
      <c r="U3321" s="238">
        <v>0.0</v>
      </c>
      <c r="V3321" s="238">
        <v>0.0</v>
      </c>
      <c r="W3321" s="238">
        <v>0.0</v>
      </c>
      <c r="X3321" s="235" t="s">
        <v>628</v>
      </c>
      <c r="Z3321" s="245"/>
      <c r="AA3321" s="245"/>
      <c r="AB3321" s="245"/>
      <c r="AC3321" s="235" t="s">
        <v>24975</v>
      </c>
      <c r="AD3321" s="235" t="s">
        <v>666</v>
      </c>
      <c r="AE3321" s="238">
        <v>637408.0</v>
      </c>
      <c r="AF3321" s="235" t="s">
        <v>631</v>
      </c>
      <c r="AG3321" s="245"/>
      <c r="AH3321" s="245"/>
      <c r="AI3321" s="245"/>
      <c r="AJ3321" s="245"/>
      <c r="AK3321" s="245"/>
      <c r="AL3321" s="245"/>
      <c r="AM3321" s="245"/>
      <c r="AN3321" s="245"/>
      <c r="AO3321" s="238">
        <v>0.0</v>
      </c>
      <c r="AP3321" s="238">
        <v>0.0</v>
      </c>
      <c r="AQ3321" s="235" t="s">
        <v>632</v>
      </c>
      <c r="AR3321" s="243">
        <v>3.71E11</v>
      </c>
      <c r="AS3321" s="235" t="s">
        <v>23542</v>
      </c>
      <c r="AT3321" s="235" t="s">
        <v>155</v>
      </c>
      <c r="AU3321" s="235" t="s">
        <v>634</v>
      </c>
      <c r="AV3321" s="246" t="s">
        <v>635</v>
      </c>
      <c r="AW3321" s="227"/>
      <c r="AX3321" s="227"/>
      <c r="AY3321" s="227"/>
      <c r="AZ3321" s="227"/>
      <c r="BA3321" s="227"/>
      <c r="BB3321" s="227"/>
      <c r="BC3321" s="227"/>
      <c r="BD3321" s="227"/>
      <c r="BE3321" s="227"/>
      <c r="BF3321" s="227"/>
    </row>
    <row r="3322">
      <c r="A3322" s="235" t="s">
        <v>24976</v>
      </c>
      <c r="C3322" s="235" t="s">
        <v>24977</v>
      </c>
      <c r="D3322" s="235" t="s">
        <v>24978</v>
      </c>
      <c r="E3322" s="243">
        <v>6.51E13</v>
      </c>
      <c r="F3322" s="245"/>
      <c r="G3322" s="235" t="s">
        <v>24979</v>
      </c>
      <c r="H3322" s="235" t="s">
        <v>24980</v>
      </c>
      <c r="I3322" s="235" t="s">
        <v>24980</v>
      </c>
      <c r="J3322" s="235" t="s">
        <v>24981</v>
      </c>
      <c r="K3322" s="235" t="s">
        <v>24982</v>
      </c>
      <c r="N3322" s="235" t="s">
        <v>78</v>
      </c>
      <c r="O3322" s="235" t="s">
        <v>360</v>
      </c>
      <c r="P3322" s="238">
        <v>1.0</v>
      </c>
      <c r="Q3322" s="235" t="s">
        <v>627</v>
      </c>
      <c r="R3322" s="238">
        <v>380.0</v>
      </c>
      <c r="S3322" s="238">
        <v>19.0</v>
      </c>
      <c r="T3322" s="238">
        <v>38.1</v>
      </c>
      <c r="U3322" s="238">
        <v>1.9</v>
      </c>
      <c r="V3322" s="238">
        <v>0.0</v>
      </c>
      <c r="W3322" s="238">
        <v>0.0</v>
      </c>
      <c r="X3322" s="235" t="s">
        <v>628</v>
      </c>
      <c r="Z3322" s="245"/>
      <c r="AA3322" s="245"/>
      <c r="AB3322" s="245"/>
      <c r="AC3322" s="235" t="s">
        <v>697</v>
      </c>
      <c r="AD3322" s="235" t="s">
        <v>698</v>
      </c>
      <c r="AE3322" s="238">
        <v>501218.0</v>
      </c>
      <c r="AF3322" s="235" t="s">
        <v>631</v>
      </c>
      <c r="AG3322" s="245"/>
      <c r="AH3322" s="245"/>
      <c r="AI3322" s="245"/>
      <c r="AJ3322" s="245"/>
      <c r="AK3322" s="245"/>
      <c r="AL3322" s="245"/>
      <c r="AM3322" s="245"/>
      <c r="AN3322" s="245"/>
      <c r="AO3322" s="238">
        <v>0.0</v>
      </c>
      <c r="AP3322" s="238">
        <v>-38.1</v>
      </c>
      <c r="AQ3322" s="235" t="s">
        <v>632</v>
      </c>
      <c r="AR3322" s="243">
        <v>3.71E11</v>
      </c>
      <c r="AS3322" s="235" t="s">
        <v>22269</v>
      </c>
      <c r="AT3322" s="235" t="s">
        <v>11</v>
      </c>
      <c r="AU3322" s="235" t="s">
        <v>634</v>
      </c>
      <c r="AV3322" s="246" t="s">
        <v>635</v>
      </c>
      <c r="AW3322" s="227"/>
      <c r="AX3322" s="227"/>
      <c r="AY3322" s="227"/>
      <c r="AZ3322" s="227"/>
      <c r="BA3322" s="227"/>
      <c r="BB3322" s="227"/>
      <c r="BC3322" s="227"/>
      <c r="BD3322" s="227"/>
      <c r="BE3322" s="227"/>
      <c r="BF3322" s="227"/>
    </row>
    <row r="3323">
      <c r="A3323" s="235" t="s">
        <v>24983</v>
      </c>
      <c r="C3323" s="235" t="s">
        <v>24984</v>
      </c>
      <c r="D3323" s="235" t="s">
        <v>24985</v>
      </c>
      <c r="E3323" s="243">
        <v>6.52E13</v>
      </c>
      <c r="F3323" s="245"/>
      <c r="G3323" s="235" t="s">
        <v>24986</v>
      </c>
      <c r="H3323" s="235" t="s">
        <v>24987</v>
      </c>
      <c r="I3323" s="235" t="s">
        <v>24987</v>
      </c>
      <c r="J3323" s="235" t="s">
        <v>24988</v>
      </c>
      <c r="K3323" s="235" t="s">
        <v>15800</v>
      </c>
      <c r="N3323" s="235" t="s">
        <v>42</v>
      </c>
      <c r="O3323" s="235" t="s">
        <v>204</v>
      </c>
      <c r="P3323" s="238">
        <v>1.0</v>
      </c>
      <c r="Q3323" s="235" t="s">
        <v>627</v>
      </c>
      <c r="R3323" s="238">
        <v>236.19</v>
      </c>
      <c r="S3323" s="238">
        <v>11.81</v>
      </c>
      <c r="T3323" s="238">
        <v>0.0</v>
      </c>
      <c r="U3323" s="238">
        <v>0.0</v>
      </c>
      <c r="V3323" s="238">
        <v>0.0</v>
      </c>
      <c r="W3323" s="238">
        <v>0.0</v>
      </c>
      <c r="X3323" s="235" t="s">
        <v>628</v>
      </c>
      <c r="Z3323" s="245"/>
      <c r="AA3323" s="245"/>
      <c r="AB3323" s="245"/>
      <c r="AC3323" s="235" t="s">
        <v>15801</v>
      </c>
      <c r="AD3323" s="235" t="s">
        <v>698</v>
      </c>
      <c r="AE3323" s="238">
        <v>508213.0</v>
      </c>
      <c r="AF3323" s="235" t="s">
        <v>631</v>
      </c>
      <c r="AG3323" s="245"/>
      <c r="AH3323" s="245"/>
      <c r="AI3323" s="245"/>
      <c r="AJ3323" s="245"/>
      <c r="AK3323" s="245"/>
      <c r="AL3323" s="245"/>
      <c r="AM3323" s="245"/>
      <c r="AN3323" s="245"/>
      <c r="AO3323" s="238">
        <v>0.0</v>
      </c>
      <c r="AP3323" s="238">
        <v>0.0</v>
      </c>
      <c r="AQ3323" s="235" t="s">
        <v>632</v>
      </c>
      <c r="AR3323" s="243">
        <v>3.71E11</v>
      </c>
      <c r="AS3323" s="235" t="s">
        <v>19388</v>
      </c>
      <c r="AT3323" s="235" t="s">
        <v>16</v>
      </c>
      <c r="AU3323" s="235" t="s">
        <v>634</v>
      </c>
      <c r="AV3323" s="246" t="s">
        <v>635</v>
      </c>
      <c r="AW3323" s="227"/>
      <c r="AX3323" s="227"/>
      <c r="AY3323" s="227"/>
      <c r="AZ3323" s="227"/>
      <c r="BA3323" s="227"/>
      <c r="BB3323" s="227"/>
      <c r="BC3323" s="227"/>
      <c r="BD3323" s="227"/>
      <c r="BE3323" s="227"/>
      <c r="BF3323" s="227"/>
    </row>
    <row r="3324">
      <c r="A3324" s="235" t="s">
        <v>24989</v>
      </c>
      <c r="C3324" s="235" t="s">
        <v>24990</v>
      </c>
      <c r="D3324" s="235" t="s">
        <v>24991</v>
      </c>
      <c r="E3324" s="243">
        <v>6.52E13</v>
      </c>
      <c r="F3324" s="245"/>
      <c r="G3324" s="235" t="s">
        <v>24992</v>
      </c>
      <c r="H3324" s="235" t="s">
        <v>24993</v>
      </c>
      <c r="I3324" s="235" t="s">
        <v>24994</v>
      </c>
      <c r="J3324" s="235" t="s">
        <v>24995</v>
      </c>
      <c r="K3324" s="235" t="s">
        <v>24996</v>
      </c>
      <c r="N3324" s="235" t="s">
        <v>47</v>
      </c>
      <c r="O3324" s="235" t="s">
        <v>270</v>
      </c>
      <c r="P3324" s="238">
        <v>1.0</v>
      </c>
      <c r="Q3324" s="235" t="s">
        <v>627</v>
      </c>
      <c r="R3324" s="238">
        <v>237.14</v>
      </c>
      <c r="S3324" s="238">
        <v>11.86</v>
      </c>
      <c r="T3324" s="238">
        <v>0.0</v>
      </c>
      <c r="U3324" s="238">
        <v>0.0</v>
      </c>
      <c r="V3324" s="238">
        <v>0.0</v>
      </c>
      <c r="W3324" s="238">
        <v>0.0</v>
      </c>
      <c r="X3324" s="235" t="s">
        <v>628</v>
      </c>
      <c r="Z3324" s="245"/>
      <c r="AA3324" s="245"/>
      <c r="AB3324" s="245"/>
      <c r="AC3324" s="235" t="s">
        <v>24997</v>
      </c>
      <c r="AD3324" s="235" t="s">
        <v>666</v>
      </c>
      <c r="AE3324" s="238">
        <v>641109.0</v>
      </c>
      <c r="AF3324" s="235" t="s">
        <v>631</v>
      </c>
      <c r="AG3324" s="245"/>
      <c r="AH3324" s="245"/>
      <c r="AI3324" s="245"/>
      <c r="AJ3324" s="245"/>
      <c r="AK3324" s="245"/>
      <c r="AL3324" s="245"/>
      <c r="AM3324" s="245"/>
      <c r="AN3324" s="245"/>
      <c r="AO3324" s="238">
        <v>0.0</v>
      </c>
      <c r="AP3324" s="238">
        <v>0.0</v>
      </c>
      <c r="AQ3324" s="235" t="s">
        <v>632</v>
      </c>
      <c r="AR3324" s="243">
        <v>2.02E11</v>
      </c>
      <c r="AS3324" s="235" t="s">
        <v>22269</v>
      </c>
      <c r="AT3324" s="235" t="s">
        <v>156</v>
      </c>
      <c r="AU3324" s="235" t="s">
        <v>634</v>
      </c>
      <c r="AV3324" s="246" t="s">
        <v>635</v>
      </c>
      <c r="AW3324" s="227"/>
      <c r="AX3324" s="227"/>
      <c r="AY3324" s="227"/>
      <c r="AZ3324" s="227"/>
      <c r="BA3324" s="227"/>
      <c r="BB3324" s="227"/>
      <c r="BC3324" s="227"/>
      <c r="BD3324" s="227"/>
      <c r="BE3324" s="227"/>
      <c r="BF3324" s="227"/>
    </row>
    <row r="3325">
      <c r="A3325" s="235" t="s">
        <v>24998</v>
      </c>
      <c r="C3325" s="235" t="s">
        <v>24999</v>
      </c>
      <c r="D3325" s="235" t="s">
        <v>25000</v>
      </c>
      <c r="E3325" s="243">
        <v>6.52E13</v>
      </c>
      <c r="F3325" s="245"/>
      <c r="G3325" s="235" t="s">
        <v>25001</v>
      </c>
      <c r="H3325" s="235" t="s">
        <v>25002</v>
      </c>
      <c r="I3325" s="235" t="s">
        <v>25003</v>
      </c>
      <c r="J3325" s="235" t="s">
        <v>25004</v>
      </c>
      <c r="K3325" s="235" t="s">
        <v>25005</v>
      </c>
      <c r="N3325" s="235" t="s">
        <v>43</v>
      </c>
      <c r="O3325" s="235" t="s">
        <v>276</v>
      </c>
      <c r="P3325" s="238">
        <v>1.0</v>
      </c>
      <c r="Q3325" s="235" t="s">
        <v>627</v>
      </c>
      <c r="R3325" s="238">
        <v>233.33</v>
      </c>
      <c r="S3325" s="238">
        <v>11.32</v>
      </c>
      <c r="T3325" s="238">
        <v>0.0</v>
      </c>
      <c r="U3325" s="238">
        <v>0.0</v>
      </c>
      <c r="V3325" s="238">
        <v>0.0</v>
      </c>
      <c r="W3325" s="238">
        <v>0.0</v>
      </c>
      <c r="X3325" s="235" t="s">
        <v>628</v>
      </c>
      <c r="Z3325" s="245"/>
      <c r="AA3325" s="245"/>
      <c r="AB3325" s="245"/>
      <c r="AC3325" s="235" t="s">
        <v>3390</v>
      </c>
      <c r="AD3325" s="235" t="s">
        <v>833</v>
      </c>
      <c r="AE3325" s="238">
        <v>531173.0</v>
      </c>
      <c r="AF3325" s="235" t="s">
        <v>631</v>
      </c>
      <c r="AG3325" s="245"/>
      <c r="AH3325" s="245"/>
      <c r="AI3325" s="245"/>
      <c r="AJ3325" s="245"/>
      <c r="AK3325" s="245"/>
      <c r="AL3325" s="245"/>
      <c r="AM3325" s="245"/>
      <c r="AN3325" s="245"/>
      <c r="AO3325" s="238">
        <v>-7.0</v>
      </c>
      <c r="AP3325" s="238">
        <v>0.0</v>
      </c>
      <c r="AQ3325" s="235" t="s">
        <v>632</v>
      </c>
      <c r="AR3325" s="243">
        <v>3.71E11</v>
      </c>
      <c r="AS3325" s="235" t="s">
        <v>19388</v>
      </c>
      <c r="AT3325" s="235" t="s">
        <v>16</v>
      </c>
      <c r="AU3325" s="235" t="s">
        <v>634</v>
      </c>
      <c r="AV3325" s="246" t="s">
        <v>635</v>
      </c>
      <c r="AW3325" s="227"/>
      <c r="AX3325" s="227"/>
      <c r="AY3325" s="227"/>
      <c r="AZ3325" s="227"/>
      <c r="BA3325" s="227"/>
      <c r="BB3325" s="227"/>
      <c r="BC3325" s="227"/>
      <c r="BD3325" s="227"/>
      <c r="BE3325" s="227"/>
      <c r="BF3325" s="227"/>
    </row>
    <row r="3326">
      <c r="A3326" s="235" t="s">
        <v>25006</v>
      </c>
      <c r="C3326" s="235" t="s">
        <v>25007</v>
      </c>
      <c r="D3326" s="235" t="s">
        <v>25008</v>
      </c>
      <c r="E3326" s="243">
        <v>6.52E13</v>
      </c>
      <c r="F3326" s="245"/>
      <c r="G3326" s="235" t="s">
        <v>25009</v>
      </c>
      <c r="H3326" s="235" t="s">
        <v>25010</v>
      </c>
      <c r="I3326" s="235" t="s">
        <v>25010</v>
      </c>
      <c r="J3326" s="235" t="s">
        <v>25011</v>
      </c>
      <c r="K3326" s="235" t="s">
        <v>25012</v>
      </c>
      <c r="N3326" s="235" t="s">
        <v>42</v>
      </c>
      <c r="O3326" s="235" t="s">
        <v>204</v>
      </c>
      <c r="P3326" s="238">
        <v>1.0</v>
      </c>
      <c r="Q3326" s="235" t="s">
        <v>627</v>
      </c>
      <c r="R3326" s="238">
        <v>237.14</v>
      </c>
      <c r="S3326" s="238">
        <v>11.62</v>
      </c>
      <c r="T3326" s="238">
        <v>0.0</v>
      </c>
      <c r="U3326" s="238">
        <v>0.0</v>
      </c>
      <c r="V3326" s="238">
        <v>0.0</v>
      </c>
      <c r="W3326" s="238">
        <v>0.0</v>
      </c>
      <c r="X3326" s="235" t="s">
        <v>628</v>
      </c>
      <c r="Z3326" s="245"/>
      <c r="AA3326" s="245"/>
      <c r="AB3326" s="245"/>
      <c r="AC3326" s="235" t="s">
        <v>687</v>
      </c>
      <c r="AD3326" s="235" t="s">
        <v>666</v>
      </c>
      <c r="AE3326" s="238">
        <v>600093.0</v>
      </c>
      <c r="AF3326" s="235" t="s">
        <v>631</v>
      </c>
      <c r="AG3326" s="245"/>
      <c r="AH3326" s="245"/>
      <c r="AI3326" s="245"/>
      <c r="AJ3326" s="245"/>
      <c r="AK3326" s="245"/>
      <c r="AL3326" s="245"/>
      <c r="AM3326" s="245"/>
      <c r="AN3326" s="245"/>
      <c r="AO3326" s="238">
        <v>-4.74</v>
      </c>
      <c r="AP3326" s="238">
        <v>0.0</v>
      </c>
      <c r="AQ3326" s="235" t="s">
        <v>632</v>
      </c>
      <c r="AR3326" s="243">
        <v>1.68E11</v>
      </c>
      <c r="AS3326" s="235" t="s">
        <v>23542</v>
      </c>
      <c r="AT3326" s="235" t="s">
        <v>9</v>
      </c>
      <c r="AU3326" s="235" t="s">
        <v>634</v>
      </c>
      <c r="AV3326" s="246" t="s">
        <v>635</v>
      </c>
      <c r="AW3326" s="227"/>
      <c r="AX3326" s="227"/>
      <c r="AY3326" s="227"/>
      <c r="AZ3326" s="227"/>
      <c r="BA3326" s="227"/>
      <c r="BB3326" s="227"/>
      <c r="BC3326" s="227"/>
      <c r="BD3326" s="227"/>
      <c r="BE3326" s="227"/>
      <c r="BF3326" s="227"/>
    </row>
    <row r="3327">
      <c r="A3327" s="235" t="s">
        <v>25013</v>
      </c>
      <c r="C3327" s="235" t="s">
        <v>25014</v>
      </c>
      <c r="D3327" s="235" t="s">
        <v>25015</v>
      </c>
      <c r="E3327" s="243">
        <v>6.52E13</v>
      </c>
      <c r="F3327" s="245"/>
      <c r="G3327" s="235" t="s">
        <v>25016</v>
      </c>
      <c r="H3327" s="235" t="s">
        <v>25017</v>
      </c>
      <c r="I3327" s="235" t="s">
        <v>25017</v>
      </c>
      <c r="J3327" s="235" t="s">
        <v>25018</v>
      </c>
      <c r="K3327" s="235" t="s">
        <v>25019</v>
      </c>
      <c r="N3327" s="235" t="s">
        <v>85</v>
      </c>
      <c r="O3327" s="235" t="s">
        <v>872</v>
      </c>
      <c r="P3327" s="238">
        <v>1.0</v>
      </c>
      <c r="Q3327" s="235" t="s">
        <v>627</v>
      </c>
      <c r="R3327" s="238">
        <v>232.38</v>
      </c>
      <c r="S3327" s="238">
        <v>11.62</v>
      </c>
      <c r="T3327" s="238">
        <v>0.0</v>
      </c>
      <c r="U3327" s="238">
        <v>0.0</v>
      </c>
      <c r="V3327" s="238">
        <v>0.0</v>
      </c>
      <c r="W3327" s="238">
        <v>0.0</v>
      </c>
      <c r="X3327" s="235" t="s">
        <v>628</v>
      </c>
      <c r="Z3327" s="245"/>
      <c r="AA3327" s="245"/>
      <c r="AB3327" s="245"/>
      <c r="AC3327" s="235" t="s">
        <v>1058</v>
      </c>
      <c r="AD3327" s="235" t="s">
        <v>845</v>
      </c>
      <c r="AE3327" s="238">
        <v>400066.0</v>
      </c>
      <c r="AF3327" s="235" t="s">
        <v>631</v>
      </c>
      <c r="AG3327" s="245"/>
      <c r="AH3327" s="245"/>
      <c r="AI3327" s="245"/>
      <c r="AJ3327" s="245"/>
      <c r="AK3327" s="245"/>
      <c r="AL3327" s="245"/>
      <c r="AM3327" s="245"/>
      <c r="AN3327" s="245"/>
      <c r="AO3327" s="238">
        <v>0.0</v>
      </c>
      <c r="AP3327" s="238">
        <v>0.0</v>
      </c>
      <c r="AQ3327" s="235" t="s">
        <v>632</v>
      </c>
      <c r="AR3327" s="243">
        <v>3.71E11</v>
      </c>
      <c r="AS3327" s="235" t="s">
        <v>20529</v>
      </c>
      <c r="AT3327" s="235" t="s">
        <v>5</v>
      </c>
      <c r="AU3327" s="235" t="s">
        <v>634</v>
      </c>
      <c r="AV3327" s="246" t="s">
        <v>635</v>
      </c>
      <c r="AW3327" s="227"/>
      <c r="AX3327" s="227"/>
      <c r="AY3327" s="227"/>
      <c r="AZ3327" s="227"/>
      <c r="BA3327" s="227"/>
      <c r="BB3327" s="227"/>
      <c r="BC3327" s="227"/>
      <c r="BD3327" s="227"/>
      <c r="BE3327" s="227"/>
      <c r="BF3327" s="227"/>
    </row>
    <row r="3328">
      <c r="A3328" s="235" t="s">
        <v>25020</v>
      </c>
      <c r="C3328" s="235" t="s">
        <v>25021</v>
      </c>
      <c r="D3328" s="235" t="s">
        <v>25022</v>
      </c>
      <c r="E3328" s="243">
        <v>6.52E13</v>
      </c>
      <c r="F3328" s="245"/>
      <c r="G3328" s="235" t="s">
        <v>25023</v>
      </c>
      <c r="H3328" s="235" t="s">
        <v>25024</v>
      </c>
      <c r="I3328" s="235" t="s">
        <v>25024</v>
      </c>
      <c r="J3328" s="235" t="s">
        <v>25025</v>
      </c>
      <c r="K3328" s="235" t="s">
        <v>25026</v>
      </c>
      <c r="N3328" s="235" t="s">
        <v>136</v>
      </c>
      <c r="O3328" s="235" t="s">
        <v>256</v>
      </c>
      <c r="P3328" s="238">
        <v>1.0</v>
      </c>
      <c r="Q3328" s="235" t="s">
        <v>627</v>
      </c>
      <c r="R3328" s="238">
        <v>237.14</v>
      </c>
      <c r="S3328" s="238">
        <v>11.86</v>
      </c>
      <c r="T3328" s="238">
        <v>0.0</v>
      </c>
      <c r="U3328" s="238">
        <v>0.0</v>
      </c>
      <c r="V3328" s="238">
        <v>0.0</v>
      </c>
      <c r="W3328" s="238">
        <v>0.0</v>
      </c>
      <c r="X3328" s="235" t="s">
        <v>628</v>
      </c>
      <c r="Z3328" s="245"/>
      <c r="AA3328" s="245"/>
      <c r="AB3328" s="245"/>
      <c r="AC3328" s="235" t="s">
        <v>1604</v>
      </c>
      <c r="AD3328" s="235" t="s">
        <v>845</v>
      </c>
      <c r="AE3328" s="238">
        <v>400068.0</v>
      </c>
      <c r="AF3328" s="235" t="s">
        <v>631</v>
      </c>
      <c r="AG3328" s="245"/>
      <c r="AH3328" s="245"/>
      <c r="AI3328" s="245"/>
      <c r="AJ3328" s="245"/>
      <c r="AK3328" s="245"/>
      <c r="AL3328" s="245"/>
      <c r="AM3328" s="245"/>
      <c r="AN3328" s="245"/>
      <c r="AO3328" s="238">
        <v>0.0</v>
      </c>
      <c r="AP3328" s="238">
        <v>0.0</v>
      </c>
      <c r="AQ3328" s="235" t="s">
        <v>632</v>
      </c>
      <c r="AR3328" s="243">
        <v>3.71E11</v>
      </c>
      <c r="AS3328" s="235" t="s">
        <v>23542</v>
      </c>
      <c r="AT3328" s="235" t="s">
        <v>17</v>
      </c>
      <c r="AU3328" s="235" t="s">
        <v>634</v>
      </c>
      <c r="AV3328" s="246" t="s">
        <v>635</v>
      </c>
      <c r="AW3328" s="227"/>
      <c r="AX3328" s="227"/>
      <c r="AY3328" s="227"/>
      <c r="AZ3328" s="227"/>
      <c r="BA3328" s="227"/>
      <c r="BB3328" s="227"/>
      <c r="BC3328" s="227"/>
      <c r="BD3328" s="227"/>
      <c r="BE3328" s="227"/>
      <c r="BF3328" s="227"/>
    </row>
    <row r="3329">
      <c r="A3329" s="235" t="s">
        <v>25027</v>
      </c>
      <c r="C3329" s="235" t="s">
        <v>25028</v>
      </c>
      <c r="D3329" s="235" t="s">
        <v>25029</v>
      </c>
      <c r="E3329" s="243">
        <v>6.52E13</v>
      </c>
      <c r="F3329" s="245"/>
      <c r="G3329" s="235" t="s">
        <v>25030</v>
      </c>
      <c r="H3329" s="235" t="s">
        <v>25031</v>
      </c>
      <c r="I3329" s="235" t="s">
        <v>25031</v>
      </c>
      <c r="J3329" s="235" t="s">
        <v>25032</v>
      </c>
      <c r="K3329" s="235" t="s">
        <v>25033</v>
      </c>
      <c r="N3329" s="235" t="s">
        <v>42</v>
      </c>
      <c r="O3329" s="235" t="s">
        <v>204</v>
      </c>
      <c r="P3329" s="238">
        <v>1.0</v>
      </c>
      <c r="Q3329" s="235" t="s">
        <v>627</v>
      </c>
      <c r="R3329" s="238">
        <v>0.0</v>
      </c>
      <c r="S3329" s="238">
        <v>0.0</v>
      </c>
      <c r="T3329" s="238">
        <v>0.0</v>
      </c>
      <c r="U3329" s="238">
        <v>0.0</v>
      </c>
      <c r="V3329" s="238">
        <v>0.0</v>
      </c>
      <c r="W3329" s="238">
        <v>0.0</v>
      </c>
      <c r="X3329" s="235" t="s">
        <v>628</v>
      </c>
      <c r="Z3329" s="245"/>
      <c r="AA3329" s="245"/>
      <c r="AB3329" s="245"/>
      <c r="AC3329" s="235" t="s">
        <v>1671</v>
      </c>
      <c r="AD3329" s="235" t="s">
        <v>666</v>
      </c>
      <c r="AE3329" s="238">
        <v>641006.0</v>
      </c>
      <c r="AF3329" s="235" t="s">
        <v>631</v>
      </c>
      <c r="AG3329" s="245"/>
      <c r="AH3329" s="245"/>
      <c r="AI3329" s="245"/>
      <c r="AJ3329" s="245"/>
      <c r="AK3329" s="245"/>
      <c r="AL3329" s="245"/>
      <c r="AM3329" s="245"/>
      <c r="AN3329" s="245"/>
      <c r="AO3329" s="238">
        <v>0.0</v>
      </c>
      <c r="AP3329" s="238">
        <v>0.0</v>
      </c>
      <c r="AQ3329" s="235" t="s">
        <v>632</v>
      </c>
      <c r="AR3329" s="243">
        <v>3.71E11</v>
      </c>
      <c r="AS3329" s="235" t="s">
        <v>23542</v>
      </c>
      <c r="AT3329" s="235" t="s">
        <v>9</v>
      </c>
      <c r="AU3329" s="235" t="s">
        <v>634</v>
      </c>
      <c r="AV3329" s="246" t="s">
        <v>635</v>
      </c>
      <c r="AW3329" s="227"/>
      <c r="AX3329" s="227"/>
      <c r="AY3329" s="227"/>
      <c r="AZ3329" s="227"/>
      <c r="BA3329" s="227"/>
      <c r="BB3329" s="227"/>
      <c r="BC3329" s="227"/>
      <c r="BD3329" s="227"/>
      <c r="BE3329" s="227"/>
      <c r="BF3329" s="227"/>
    </row>
    <row r="3330">
      <c r="A3330" s="235" t="s">
        <v>25034</v>
      </c>
      <c r="C3330" s="235" t="s">
        <v>25035</v>
      </c>
      <c r="D3330" s="235" t="s">
        <v>25036</v>
      </c>
      <c r="E3330" s="243">
        <v>6.52E13</v>
      </c>
      <c r="F3330" s="245"/>
      <c r="G3330" s="235" t="s">
        <v>25037</v>
      </c>
      <c r="H3330" s="235" t="s">
        <v>25038</v>
      </c>
      <c r="I3330" s="235" t="s">
        <v>25038</v>
      </c>
      <c r="J3330" s="235" t="s">
        <v>25039</v>
      </c>
      <c r="K3330" s="235" t="s">
        <v>25040</v>
      </c>
      <c r="N3330" s="235" t="s">
        <v>54</v>
      </c>
      <c r="O3330" s="235" t="s">
        <v>294</v>
      </c>
      <c r="P3330" s="238">
        <v>1.0</v>
      </c>
      <c r="Q3330" s="235" t="s">
        <v>627</v>
      </c>
      <c r="R3330" s="238">
        <v>246.67</v>
      </c>
      <c r="S3330" s="238">
        <v>12.33</v>
      </c>
      <c r="T3330" s="238">
        <v>56.19</v>
      </c>
      <c r="U3330" s="238">
        <v>2.81</v>
      </c>
      <c r="V3330" s="238">
        <v>0.0</v>
      </c>
      <c r="W3330" s="238">
        <v>0.0</v>
      </c>
      <c r="X3330" s="235" t="s">
        <v>628</v>
      </c>
      <c r="Z3330" s="245"/>
      <c r="AA3330" s="245"/>
      <c r="AB3330" s="245"/>
      <c r="AC3330" s="235" t="s">
        <v>10173</v>
      </c>
      <c r="AD3330" s="235" t="s">
        <v>917</v>
      </c>
      <c r="AE3330" s="238">
        <v>313001.0</v>
      </c>
      <c r="AF3330" s="235" t="s">
        <v>631</v>
      </c>
      <c r="AG3330" s="245"/>
      <c r="AH3330" s="245"/>
      <c r="AI3330" s="245"/>
      <c r="AJ3330" s="245"/>
      <c r="AK3330" s="245"/>
      <c r="AL3330" s="245"/>
      <c r="AM3330" s="245"/>
      <c r="AN3330" s="245"/>
      <c r="AO3330" s="238">
        <v>0.0</v>
      </c>
      <c r="AP3330" s="238">
        <v>0.0</v>
      </c>
      <c r="AQ3330" s="235" t="s">
        <v>632</v>
      </c>
      <c r="AR3330" s="243">
        <v>3.71E11</v>
      </c>
      <c r="AS3330" s="235" t="s">
        <v>23542</v>
      </c>
      <c r="AT3330" s="235" t="s">
        <v>5</v>
      </c>
      <c r="AU3330" s="235" t="s">
        <v>634</v>
      </c>
      <c r="AV3330" s="246" t="s">
        <v>635</v>
      </c>
      <c r="AW3330" s="227"/>
      <c r="AX3330" s="227"/>
      <c r="AY3330" s="227"/>
      <c r="AZ3330" s="227"/>
      <c r="BA3330" s="227"/>
      <c r="BB3330" s="227"/>
      <c r="BC3330" s="227"/>
      <c r="BD3330" s="227"/>
      <c r="BE3330" s="227"/>
      <c r="BF3330" s="227"/>
    </row>
    <row r="3331">
      <c r="A3331" s="235" t="s">
        <v>25041</v>
      </c>
      <c r="C3331" s="235" t="s">
        <v>25042</v>
      </c>
      <c r="D3331" s="235" t="s">
        <v>25043</v>
      </c>
      <c r="E3331" s="243">
        <v>6.51E13</v>
      </c>
      <c r="F3331" s="245"/>
      <c r="G3331" s="235" t="s">
        <v>25044</v>
      </c>
      <c r="H3331" s="235" t="s">
        <v>25045</v>
      </c>
      <c r="I3331" s="235" t="s">
        <v>25045</v>
      </c>
      <c r="J3331" s="235" t="s">
        <v>25046</v>
      </c>
      <c r="K3331" s="235" t="s">
        <v>25047</v>
      </c>
      <c r="N3331" s="235" t="s">
        <v>127</v>
      </c>
      <c r="O3331" s="235" t="s">
        <v>794</v>
      </c>
      <c r="P3331" s="238">
        <v>1.0</v>
      </c>
      <c r="Q3331" s="235" t="s">
        <v>627</v>
      </c>
      <c r="R3331" s="238">
        <v>270.48</v>
      </c>
      <c r="S3331" s="238">
        <v>13.52</v>
      </c>
      <c r="T3331" s="238">
        <v>0.0</v>
      </c>
      <c r="U3331" s="238">
        <v>0.0</v>
      </c>
      <c r="V3331" s="238">
        <v>0.0</v>
      </c>
      <c r="W3331" s="238">
        <v>0.0</v>
      </c>
      <c r="X3331" s="235" t="s">
        <v>628</v>
      </c>
      <c r="Z3331" s="245"/>
      <c r="AA3331" s="245"/>
      <c r="AB3331" s="245"/>
      <c r="AC3331" s="235" t="s">
        <v>1058</v>
      </c>
      <c r="AD3331" s="235" t="s">
        <v>845</v>
      </c>
      <c r="AE3331" s="238">
        <v>400068.0</v>
      </c>
      <c r="AF3331" s="235" t="s">
        <v>631</v>
      </c>
      <c r="AG3331" s="245"/>
      <c r="AH3331" s="245"/>
      <c r="AI3331" s="245"/>
      <c r="AJ3331" s="245"/>
      <c r="AK3331" s="245"/>
      <c r="AL3331" s="245"/>
      <c r="AM3331" s="245"/>
      <c r="AN3331" s="245"/>
      <c r="AO3331" s="238">
        <v>0.0</v>
      </c>
      <c r="AP3331" s="238">
        <v>0.0</v>
      </c>
      <c r="AQ3331" s="235" t="s">
        <v>632</v>
      </c>
      <c r="AR3331" s="243">
        <v>3.71E11</v>
      </c>
      <c r="AS3331" s="235" t="s">
        <v>23542</v>
      </c>
      <c r="AT3331" s="235" t="s">
        <v>16</v>
      </c>
      <c r="AU3331" s="235" t="s">
        <v>634</v>
      </c>
      <c r="AV3331" s="246" t="s">
        <v>635</v>
      </c>
      <c r="AW3331" s="227"/>
      <c r="AX3331" s="227"/>
      <c r="AY3331" s="227"/>
      <c r="AZ3331" s="227"/>
      <c r="BA3331" s="227"/>
      <c r="BB3331" s="227"/>
      <c r="BC3331" s="227"/>
      <c r="BD3331" s="227"/>
      <c r="BE3331" s="227"/>
      <c r="BF3331" s="227"/>
    </row>
    <row r="3332">
      <c r="A3332" s="235" t="s">
        <v>25048</v>
      </c>
      <c r="C3332" s="235" t="s">
        <v>25049</v>
      </c>
      <c r="D3332" s="235" t="s">
        <v>25050</v>
      </c>
      <c r="E3332" s="243">
        <v>6.52E13</v>
      </c>
      <c r="F3332" s="245"/>
      <c r="G3332" s="235" t="s">
        <v>25051</v>
      </c>
      <c r="H3332" s="235" t="s">
        <v>25052</v>
      </c>
      <c r="I3332" s="235" t="s">
        <v>25052</v>
      </c>
      <c r="J3332" s="235" t="s">
        <v>25053</v>
      </c>
      <c r="K3332" s="235" t="s">
        <v>25054</v>
      </c>
      <c r="N3332" s="235" t="s">
        <v>2964</v>
      </c>
      <c r="O3332" s="235" t="s">
        <v>2965</v>
      </c>
      <c r="P3332" s="238">
        <v>1.0</v>
      </c>
      <c r="Q3332" s="235" t="s">
        <v>627</v>
      </c>
      <c r="R3332" s="238">
        <v>246.67</v>
      </c>
      <c r="S3332" s="238">
        <v>12.33</v>
      </c>
      <c r="T3332" s="238">
        <v>0.0</v>
      </c>
      <c r="U3332" s="238">
        <v>0.0</v>
      </c>
      <c r="V3332" s="238">
        <v>0.0</v>
      </c>
      <c r="W3332" s="238">
        <v>0.0</v>
      </c>
      <c r="X3332" s="235" t="s">
        <v>628</v>
      </c>
      <c r="Z3332" s="245"/>
      <c r="AA3332" s="245"/>
      <c r="AB3332" s="245"/>
      <c r="AC3332" s="235" t="s">
        <v>25055</v>
      </c>
      <c r="AD3332" s="235" t="s">
        <v>666</v>
      </c>
      <c r="AE3332" s="238">
        <v>611110.0</v>
      </c>
      <c r="AF3332" s="235" t="s">
        <v>631</v>
      </c>
      <c r="AG3332" s="245"/>
      <c r="AH3332" s="245"/>
      <c r="AI3332" s="245"/>
      <c r="AJ3332" s="245"/>
      <c r="AK3332" s="245"/>
      <c r="AL3332" s="245"/>
      <c r="AM3332" s="245"/>
      <c r="AN3332" s="245"/>
      <c r="AO3332" s="238">
        <v>0.0</v>
      </c>
      <c r="AP3332" s="238">
        <v>0.0</v>
      </c>
      <c r="AQ3332" s="235" t="s">
        <v>632</v>
      </c>
      <c r="AR3332" s="243">
        <v>3.71E11</v>
      </c>
      <c r="AS3332" s="235" t="s">
        <v>22269</v>
      </c>
      <c r="AT3332" s="235" t="s">
        <v>9</v>
      </c>
      <c r="AU3332" s="235" t="s">
        <v>634</v>
      </c>
      <c r="AV3332" s="246" t="s">
        <v>635</v>
      </c>
      <c r="AW3332" s="227"/>
      <c r="AX3332" s="227"/>
      <c r="AY3332" s="227"/>
      <c r="AZ3332" s="227"/>
      <c r="BA3332" s="227"/>
      <c r="BB3332" s="227"/>
      <c r="BC3332" s="227"/>
      <c r="BD3332" s="227"/>
      <c r="BE3332" s="227"/>
      <c r="BF3332" s="227"/>
    </row>
    <row r="3333">
      <c r="A3333" s="235" t="s">
        <v>25056</v>
      </c>
      <c r="C3333" s="235" t="s">
        <v>25057</v>
      </c>
      <c r="D3333" s="235" t="s">
        <v>25058</v>
      </c>
      <c r="E3333" s="243">
        <v>6.52E13</v>
      </c>
      <c r="F3333" s="245"/>
      <c r="G3333" s="235" t="s">
        <v>25059</v>
      </c>
      <c r="H3333" s="235" t="s">
        <v>25060</v>
      </c>
      <c r="I3333" s="235" t="s">
        <v>25060</v>
      </c>
      <c r="J3333" s="235" t="s">
        <v>25061</v>
      </c>
      <c r="K3333" s="235" t="s">
        <v>25062</v>
      </c>
      <c r="N3333" s="235" t="s">
        <v>10</v>
      </c>
      <c r="O3333" s="235" t="s">
        <v>936</v>
      </c>
      <c r="P3333" s="238">
        <v>1.0</v>
      </c>
      <c r="Q3333" s="235" t="s">
        <v>627</v>
      </c>
      <c r="R3333" s="238">
        <v>261.9</v>
      </c>
      <c r="S3333" s="238">
        <v>12.84</v>
      </c>
      <c r="T3333" s="238">
        <v>0.0</v>
      </c>
      <c r="U3333" s="238">
        <v>0.0</v>
      </c>
      <c r="V3333" s="238">
        <v>0.0</v>
      </c>
      <c r="W3333" s="238">
        <v>0.0</v>
      </c>
      <c r="X3333" s="235" t="s">
        <v>628</v>
      </c>
      <c r="Z3333" s="245"/>
      <c r="AA3333" s="245"/>
      <c r="AB3333" s="245"/>
      <c r="AC3333" s="235" t="s">
        <v>25063</v>
      </c>
      <c r="AD3333" s="235" t="s">
        <v>965</v>
      </c>
      <c r="AE3333" s="238">
        <v>175005.0</v>
      </c>
      <c r="AF3333" s="235" t="s">
        <v>631</v>
      </c>
      <c r="AG3333" s="245"/>
      <c r="AH3333" s="245"/>
      <c r="AI3333" s="245"/>
      <c r="AJ3333" s="245"/>
      <c r="AK3333" s="245"/>
      <c r="AL3333" s="245"/>
      <c r="AM3333" s="245"/>
      <c r="AN3333" s="245"/>
      <c r="AO3333" s="238">
        <v>-5.24</v>
      </c>
      <c r="AP3333" s="238">
        <v>0.0</v>
      </c>
      <c r="AQ3333" s="235" t="s">
        <v>632</v>
      </c>
      <c r="AR3333" s="243">
        <v>3.71E11</v>
      </c>
      <c r="AS3333" s="235" t="s">
        <v>22269</v>
      </c>
      <c r="AT3333" s="235" t="s">
        <v>13</v>
      </c>
      <c r="AU3333" s="235" t="s">
        <v>634</v>
      </c>
      <c r="AV3333" s="246" t="s">
        <v>635</v>
      </c>
      <c r="AW3333" s="227"/>
      <c r="AX3333" s="227"/>
      <c r="AY3333" s="227"/>
      <c r="AZ3333" s="227"/>
      <c r="BA3333" s="227"/>
      <c r="BB3333" s="227"/>
      <c r="BC3333" s="227"/>
      <c r="BD3333" s="227"/>
      <c r="BE3333" s="227"/>
      <c r="BF3333" s="227"/>
    </row>
    <row r="3334">
      <c r="A3334" s="235" t="s">
        <v>25064</v>
      </c>
      <c r="C3334" s="235" t="s">
        <v>25065</v>
      </c>
      <c r="D3334" s="235" t="s">
        <v>25066</v>
      </c>
      <c r="E3334" s="243">
        <v>6.52E13</v>
      </c>
      <c r="F3334" s="245"/>
      <c r="G3334" s="235" t="s">
        <v>25067</v>
      </c>
      <c r="H3334" s="235" t="s">
        <v>25068</v>
      </c>
      <c r="I3334" s="235" t="s">
        <v>25068</v>
      </c>
      <c r="J3334" s="235" t="s">
        <v>25069</v>
      </c>
      <c r="K3334" s="235" t="s">
        <v>25070</v>
      </c>
      <c r="N3334" s="235" t="s">
        <v>3875</v>
      </c>
      <c r="O3334" s="235" t="s">
        <v>3876</v>
      </c>
      <c r="P3334" s="238">
        <v>1.0</v>
      </c>
      <c r="Q3334" s="235" t="s">
        <v>627</v>
      </c>
      <c r="R3334" s="238">
        <v>284.76</v>
      </c>
      <c r="S3334" s="238">
        <v>14.24</v>
      </c>
      <c r="T3334" s="238">
        <v>0.0</v>
      </c>
      <c r="U3334" s="238">
        <v>0.0</v>
      </c>
      <c r="V3334" s="238">
        <v>0.0</v>
      </c>
      <c r="W3334" s="238">
        <v>0.0</v>
      </c>
      <c r="X3334" s="235" t="s">
        <v>628</v>
      </c>
      <c r="Z3334" s="245"/>
      <c r="AA3334" s="245"/>
      <c r="AB3334" s="245"/>
      <c r="AC3334" s="235" t="s">
        <v>3535</v>
      </c>
      <c r="AD3334" s="235" t="s">
        <v>679</v>
      </c>
      <c r="AE3334" s="238">
        <v>563115.0</v>
      </c>
      <c r="AF3334" s="235" t="s">
        <v>631</v>
      </c>
      <c r="AG3334" s="245"/>
      <c r="AH3334" s="245"/>
      <c r="AI3334" s="245"/>
      <c r="AJ3334" s="245"/>
      <c r="AK3334" s="245"/>
      <c r="AL3334" s="245"/>
      <c r="AM3334" s="245"/>
      <c r="AN3334" s="245"/>
      <c r="AO3334" s="238">
        <v>0.0</v>
      </c>
      <c r="AP3334" s="238">
        <v>0.0</v>
      </c>
      <c r="AQ3334" s="235" t="s">
        <v>632</v>
      </c>
      <c r="AR3334" s="243">
        <v>3.71E11</v>
      </c>
      <c r="AS3334" s="235" t="s">
        <v>22269</v>
      </c>
      <c r="AT3334" s="235" t="s">
        <v>156</v>
      </c>
      <c r="AU3334" s="235" t="s">
        <v>634</v>
      </c>
      <c r="AV3334" s="246" t="s">
        <v>635</v>
      </c>
      <c r="AW3334" s="227"/>
      <c r="AX3334" s="227"/>
      <c r="AY3334" s="227"/>
      <c r="AZ3334" s="227"/>
      <c r="BA3334" s="227"/>
      <c r="BB3334" s="227"/>
      <c r="BC3334" s="227"/>
      <c r="BD3334" s="227"/>
      <c r="BE3334" s="227"/>
      <c r="BF3334" s="227"/>
    </row>
    <row r="3335">
      <c r="A3335" s="235" t="s">
        <v>25071</v>
      </c>
      <c r="C3335" s="235" t="s">
        <v>25072</v>
      </c>
      <c r="D3335" s="235" t="s">
        <v>25073</v>
      </c>
      <c r="E3335" s="243">
        <v>6.52E13</v>
      </c>
      <c r="F3335" s="245"/>
      <c r="G3335" s="235" t="s">
        <v>25074</v>
      </c>
      <c r="H3335" s="235" t="s">
        <v>25075</v>
      </c>
      <c r="I3335" s="235" t="s">
        <v>25075</v>
      </c>
      <c r="J3335" s="235" t="s">
        <v>25076</v>
      </c>
      <c r="K3335" s="235" t="s">
        <v>25077</v>
      </c>
      <c r="N3335" s="235" t="s">
        <v>42</v>
      </c>
      <c r="O3335" s="235" t="s">
        <v>204</v>
      </c>
      <c r="P3335" s="238">
        <v>1.0</v>
      </c>
      <c r="Q3335" s="235" t="s">
        <v>627</v>
      </c>
      <c r="R3335" s="238">
        <v>0.0</v>
      </c>
      <c r="S3335" s="238">
        <v>0.0</v>
      </c>
      <c r="T3335" s="238">
        <v>0.0</v>
      </c>
      <c r="U3335" s="238">
        <v>0.0</v>
      </c>
      <c r="V3335" s="238">
        <v>0.0</v>
      </c>
      <c r="W3335" s="238">
        <v>0.0</v>
      </c>
      <c r="X3335" s="235" t="s">
        <v>628</v>
      </c>
      <c r="Z3335" s="245"/>
      <c r="AA3335" s="245"/>
      <c r="AB3335" s="245"/>
      <c r="AC3335" s="235" t="s">
        <v>814</v>
      </c>
      <c r="AD3335" s="235" t="s">
        <v>698</v>
      </c>
      <c r="AE3335" s="238">
        <v>500072.0</v>
      </c>
      <c r="AF3335" s="235" t="s">
        <v>631</v>
      </c>
      <c r="AG3335" s="245"/>
      <c r="AH3335" s="245"/>
      <c r="AI3335" s="245"/>
      <c r="AJ3335" s="245"/>
      <c r="AK3335" s="245"/>
      <c r="AL3335" s="245"/>
      <c r="AM3335" s="245"/>
      <c r="AN3335" s="245"/>
      <c r="AO3335" s="238">
        <v>0.0</v>
      </c>
      <c r="AP3335" s="238">
        <v>0.0</v>
      </c>
      <c r="AQ3335" s="235" t="s">
        <v>632</v>
      </c>
      <c r="AR3335" s="243">
        <v>2.02E11</v>
      </c>
      <c r="AS3335" s="235" t="s">
        <v>23542</v>
      </c>
      <c r="AT3335" s="235" t="s">
        <v>533</v>
      </c>
      <c r="AU3335" s="235" t="s">
        <v>634</v>
      </c>
      <c r="AV3335" s="246" t="s">
        <v>635</v>
      </c>
      <c r="AW3335" s="227"/>
      <c r="AX3335" s="227"/>
      <c r="AY3335" s="227"/>
      <c r="AZ3335" s="227"/>
      <c r="BA3335" s="227"/>
      <c r="BB3335" s="227"/>
      <c r="BC3335" s="227"/>
      <c r="BD3335" s="227"/>
      <c r="BE3335" s="227"/>
      <c r="BF3335" s="227"/>
    </row>
    <row r="3336">
      <c r="A3336" s="235" t="s">
        <v>25078</v>
      </c>
      <c r="C3336" s="235" t="s">
        <v>25079</v>
      </c>
      <c r="D3336" s="235" t="s">
        <v>25080</v>
      </c>
      <c r="E3336" s="243">
        <v>6.52E13</v>
      </c>
      <c r="F3336" s="245"/>
      <c r="G3336" s="235" t="s">
        <v>25081</v>
      </c>
      <c r="H3336" s="235" t="s">
        <v>25082</v>
      </c>
      <c r="I3336" s="235" t="s">
        <v>25082</v>
      </c>
      <c r="J3336" s="235" t="s">
        <v>25083</v>
      </c>
      <c r="K3336" s="235" t="s">
        <v>25084</v>
      </c>
      <c r="N3336" s="235" t="s">
        <v>50</v>
      </c>
      <c r="O3336" s="235" t="s">
        <v>367</v>
      </c>
      <c r="P3336" s="238">
        <v>1.0</v>
      </c>
      <c r="Q3336" s="235" t="s">
        <v>627</v>
      </c>
      <c r="R3336" s="238">
        <v>246.67</v>
      </c>
      <c r="S3336" s="238">
        <v>12.33</v>
      </c>
      <c r="T3336" s="238">
        <v>0.0</v>
      </c>
      <c r="U3336" s="238">
        <v>0.0</v>
      </c>
      <c r="V3336" s="238">
        <v>0.0</v>
      </c>
      <c r="W3336" s="238">
        <v>0.0</v>
      </c>
      <c r="X3336" s="235" t="s">
        <v>628</v>
      </c>
      <c r="Z3336" s="245"/>
      <c r="AA3336" s="245"/>
      <c r="AB3336" s="245"/>
      <c r="AC3336" s="235" t="s">
        <v>832</v>
      </c>
      <c r="AD3336" s="235" t="s">
        <v>833</v>
      </c>
      <c r="AE3336" s="238">
        <v>530017.0</v>
      </c>
      <c r="AF3336" s="235" t="s">
        <v>631</v>
      </c>
      <c r="AG3336" s="245"/>
      <c r="AH3336" s="245"/>
      <c r="AI3336" s="245"/>
      <c r="AJ3336" s="245"/>
      <c r="AK3336" s="245"/>
      <c r="AL3336" s="245"/>
      <c r="AM3336" s="245"/>
      <c r="AN3336" s="245"/>
      <c r="AO3336" s="238">
        <v>0.0</v>
      </c>
      <c r="AP3336" s="238">
        <v>0.0</v>
      </c>
      <c r="AQ3336" s="235" t="s">
        <v>632</v>
      </c>
      <c r="AR3336" s="243">
        <v>3.71E11</v>
      </c>
      <c r="AS3336" s="235" t="s">
        <v>19388</v>
      </c>
      <c r="AT3336" s="235" t="s">
        <v>16</v>
      </c>
      <c r="AU3336" s="235" t="s">
        <v>634</v>
      </c>
      <c r="AV3336" s="246" t="s">
        <v>635</v>
      </c>
      <c r="AW3336" s="227"/>
      <c r="AX3336" s="227"/>
      <c r="AY3336" s="227"/>
      <c r="AZ3336" s="227"/>
      <c r="BA3336" s="227"/>
      <c r="BB3336" s="227"/>
      <c r="BC3336" s="227"/>
      <c r="BD3336" s="227"/>
      <c r="BE3336" s="227"/>
      <c r="BF3336" s="227"/>
    </row>
    <row r="3337">
      <c r="A3337" s="235" t="s">
        <v>25085</v>
      </c>
      <c r="C3337" s="235" t="s">
        <v>25086</v>
      </c>
      <c r="D3337" s="235" t="s">
        <v>25087</v>
      </c>
      <c r="E3337" s="243">
        <v>6.52E13</v>
      </c>
      <c r="F3337" s="245"/>
      <c r="G3337" s="235" t="s">
        <v>25088</v>
      </c>
      <c r="H3337" s="235" t="s">
        <v>25089</v>
      </c>
      <c r="I3337" s="235" t="s">
        <v>25089</v>
      </c>
      <c r="J3337" s="235" t="s">
        <v>25090</v>
      </c>
      <c r="K3337" s="235" t="s">
        <v>10990</v>
      </c>
      <c r="N3337" s="235" t="s">
        <v>144</v>
      </c>
      <c r="O3337" s="235" t="s">
        <v>232</v>
      </c>
      <c r="P3337" s="238">
        <v>1.0</v>
      </c>
      <c r="Q3337" s="235" t="s">
        <v>627</v>
      </c>
      <c r="R3337" s="238">
        <v>665.71</v>
      </c>
      <c r="S3337" s="238">
        <v>33.29</v>
      </c>
      <c r="T3337" s="238">
        <v>0.0</v>
      </c>
      <c r="U3337" s="238">
        <v>0.0</v>
      </c>
      <c r="V3337" s="238">
        <v>0.0</v>
      </c>
      <c r="W3337" s="238">
        <v>0.0</v>
      </c>
      <c r="X3337" s="235" t="s">
        <v>628</v>
      </c>
      <c r="Z3337" s="245"/>
      <c r="AA3337" s="245"/>
      <c r="AB3337" s="245"/>
      <c r="AC3337" s="235" t="s">
        <v>1279</v>
      </c>
      <c r="AD3337" s="235" t="s">
        <v>917</v>
      </c>
      <c r="AE3337" s="238">
        <v>302001.0</v>
      </c>
      <c r="AF3337" s="235" t="s">
        <v>631</v>
      </c>
      <c r="AG3337" s="245"/>
      <c r="AH3337" s="245"/>
      <c r="AI3337" s="245"/>
      <c r="AJ3337" s="245"/>
      <c r="AK3337" s="245"/>
      <c r="AL3337" s="245"/>
      <c r="AM3337" s="245"/>
      <c r="AN3337" s="245"/>
      <c r="AO3337" s="238">
        <v>0.0</v>
      </c>
      <c r="AP3337" s="238">
        <v>0.0</v>
      </c>
      <c r="AQ3337" s="235" t="s">
        <v>632</v>
      </c>
      <c r="AR3337" s="243">
        <v>1.68E11</v>
      </c>
      <c r="AS3337" s="235" t="s">
        <v>23542</v>
      </c>
      <c r="AT3337" s="235" t="s">
        <v>533</v>
      </c>
      <c r="AU3337" s="235" t="s">
        <v>634</v>
      </c>
      <c r="AV3337" s="246" t="s">
        <v>635</v>
      </c>
      <c r="AW3337" s="227"/>
      <c r="AX3337" s="227"/>
      <c r="AY3337" s="227"/>
      <c r="AZ3337" s="227"/>
      <c r="BA3337" s="227"/>
      <c r="BB3337" s="227"/>
      <c r="BC3337" s="227"/>
      <c r="BD3337" s="227"/>
      <c r="BE3337" s="227"/>
      <c r="BF3337" s="227"/>
    </row>
    <row r="3338">
      <c r="A3338" s="235" t="s">
        <v>25091</v>
      </c>
      <c r="C3338" s="235" t="s">
        <v>25092</v>
      </c>
      <c r="D3338" s="235" t="s">
        <v>25093</v>
      </c>
      <c r="E3338" s="243">
        <v>6.52E13</v>
      </c>
      <c r="F3338" s="245"/>
      <c r="G3338" s="235" t="s">
        <v>25094</v>
      </c>
      <c r="H3338" s="235" t="s">
        <v>25095</v>
      </c>
      <c r="I3338" s="235" t="s">
        <v>25095</v>
      </c>
      <c r="J3338" s="235" t="s">
        <v>25096</v>
      </c>
      <c r="K3338" s="235" t="s">
        <v>25097</v>
      </c>
      <c r="N3338" s="235" t="s">
        <v>136</v>
      </c>
      <c r="O3338" s="235" t="s">
        <v>256</v>
      </c>
      <c r="P3338" s="238">
        <v>1.0</v>
      </c>
      <c r="Q3338" s="235" t="s">
        <v>627</v>
      </c>
      <c r="R3338" s="238">
        <v>246.66</v>
      </c>
      <c r="S3338" s="238">
        <v>12.34</v>
      </c>
      <c r="T3338" s="238">
        <v>0.0</v>
      </c>
      <c r="U3338" s="238">
        <v>0.0</v>
      </c>
      <c r="V3338" s="238">
        <v>0.0</v>
      </c>
      <c r="W3338" s="238">
        <v>0.0</v>
      </c>
      <c r="X3338" s="235" t="s">
        <v>628</v>
      </c>
      <c r="Z3338" s="245"/>
      <c r="AA3338" s="245"/>
      <c r="AB3338" s="245"/>
      <c r="AC3338" s="235" t="s">
        <v>678</v>
      </c>
      <c r="AD3338" s="235" t="s">
        <v>679</v>
      </c>
      <c r="AE3338" s="238">
        <v>560087.0</v>
      </c>
      <c r="AF3338" s="235" t="s">
        <v>631</v>
      </c>
      <c r="AG3338" s="245"/>
      <c r="AH3338" s="245"/>
      <c r="AI3338" s="245"/>
      <c r="AJ3338" s="245"/>
      <c r="AK3338" s="245"/>
      <c r="AL3338" s="245"/>
      <c r="AM3338" s="245"/>
      <c r="AN3338" s="245"/>
      <c r="AO3338" s="238">
        <v>0.0</v>
      </c>
      <c r="AP3338" s="238">
        <v>0.0</v>
      </c>
      <c r="AQ3338" s="235" t="s">
        <v>632</v>
      </c>
      <c r="AR3338" s="243">
        <v>1.68E11</v>
      </c>
      <c r="AS3338" s="235" t="s">
        <v>25098</v>
      </c>
      <c r="AT3338" s="235" t="s">
        <v>9</v>
      </c>
      <c r="AU3338" s="235" t="s">
        <v>634</v>
      </c>
      <c r="AV3338" s="246" t="s">
        <v>635</v>
      </c>
      <c r="AW3338" s="227"/>
      <c r="AX3338" s="227"/>
      <c r="AY3338" s="227"/>
      <c r="AZ3338" s="227"/>
      <c r="BA3338" s="227"/>
      <c r="BB3338" s="227"/>
      <c r="BC3338" s="227"/>
      <c r="BD3338" s="227"/>
      <c r="BE3338" s="227"/>
      <c r="BF3338" s="227"/>
    </row>
    <row r="3339">
      <c r="A3339" s="235" t="s">
        <v>25099</v>
      </c>
      <c r="C3339" s="235" t="s">
        <v>25100</v>
      </c>
      <c r="D3339" s="235" t="s">
        <v>25101</v>
      </c>
      <c r="E3339" s="243">
        <v>6.51E13</v>
      </c>
      <c r="F3339" s="245"/>
      <c r="G3339" s="235" t="s">
        <v>25102</v>
      </c>
      <c r="H3339" s="235" t="s">
        <v>25103</v>
      </c>
      <c r="I3339" s="235" t="s">
        <v>25103</v>
      </c>
      <c r="J3339" s="235" t="s">
        <v>25104</v>
      </c>
      <c r="K3339" s="235" t="s">
        <v>25105</v>
      </c>
      <c r="N3339" s="235" t="s">
        <v>144</v>
      </c>
      <c r="O3339" s="235" t="s">
        <v>232</v>
      </c>
      <c r="P3339" s="238">
        <v>1.0</v>
      </c>
      <c r="Q3339" s="235" t="s">
        <v>627</v>
      </c>
      <c r="R3339" s="238">
        <v>626.67</v>
      </c>
      <c r="S3339" s="238">
        <v>30.39</v>
      </c>
      <c r="T3339" s="238">
        <v>0.0</v>
      </c>
      <c r="U3339" s="238">
        <v>0.0</v>
      </c>
      <c r="V3339" s="238">
        <v>0.0</v>
      </c>
      <c r="W3339" s="238">
        <v>0.0</v>
      </c>
      <c r="X3339" s="235" t="s">
        <v>628</v>
      </c>
      <c r="Z3339" s="245"/>
      <c r="AA3339" s="245"/>
      <c r="AB3339" s="245"/>
      <c r="AC3339" s="235" t="s">
        <v>880</v>
      </c>
      <c r="AD3339" s="235" t="s">
        <v>881</v>
      </c>
      <c r="AE3339" s="238">
        <v>751006.0</v>
      </c>
      <c r="AF3339" s="235" t="s">
        <v>631</v>
      </c>
      <c r="AG3339" s="245"/>
      <c r="AH3339" s="245"/>
      <c r="AI3339" s="245"/>
      <c r="AJ3339" s="245"/>
      <c r="AK3339" s="245"/>
      <c r="AL3339" s="245"/>
      <c r="AM3339" s="245"/>
      <c r="AN3339" s="245"/>
      <c r="AO3339" s="238">
        <v>-18.8</v>
      </c>
      <c r="AP3339" s="238">
        <v>0.0</v>
      </c>
      <c r="AQ3339" s="235" t="s">
        <v>632</v>
      </c>
      <c r="AR3339" s="243">
        <v>3.71E11</v>
      </c>
      <c r="AS3339" s="235" t="s">
        <v>19388</v>
      </c>
      <c r="AT3339" s="235" t="s">
        <v>533</v>
      </c>
      <c r="AU3339" s="235" t="s">
        <v>634</v>
      </c>
      <c r="AV3339" s="246" t="s">
        <v>635</v>
      </c>
      <c r="AW3339" s="227"/>
      <c r="AX3339" s="227"/>
      <c r="AY3339" s="227"/>
      <c r="AZ3339" s="227"/>
      <c r="BA3339" s="227"/>
      <c r="BB3339" s="227"/>
      <c r="BC3339" s="227"/>
      <c r="BD3339" s="227"/>
      <c r="BE3339" s="227"/>
      <c r="BF3339" s="227"/>
    </row>
    <row r="3340">
      <c r="A3340" s="235" t="s">
        <v>25106</v>
      </c>
      <c r="C3340" s="235" t="s">
        <v>25107</v>
      </c>
      <c r="D3340" s="235" t="s">
        <v>25108</v>
      </c>
      <c r="E3340" s="243">
        <v>6.52E13</v>
      </c>
      <c r="F3340" s="245"/>
      <c r="G3340" s="235" t="s">
        <v>25109</v>
      </c>
      <c r="H3340" s="235" t="s">
        <v>25110</v>
      </c>
      <c r="I3340" s="235" t="s">
        <v>25111</v>
      </c>
      <c r="J3340" s="235" t="s">
        <v>25112</v>
      </c>
      <c r="K3340" s="235" t="s">
        <v>25113</v>
      </c>
      <c r="N3340" s="235" t="s">
        <v>962</v>
      </c>
      <c r="O3340" s="235" t="s">
        <v>963</v>
      </c>
      <c r="P3340" s="238">
        <v>1.0</v>
      </c>
      <c r="Q3340" s="235" t="s">
        <v>627</v>
      </c>
      <c r="R3340" s="238">
        <v>246.67</v>
      </c>
      <c r="S3340" s="238">
        <v>12.33</v>
      </c>
      <c r="T3340" s="238">
        <v>0.0</v>
      </c>
      <c r="U3340" s="238">
        <v>0.0</v>
      </c>
      <c r="V3340" s="238">
        <v>0.0</v>
      </c>
      <c r="W3340" s="238">
        <v>0.0</v>
      </c>
      <c r="X3340" s="235" t="s">
        <v>628</v>
      </c>
      <c r="Z3340" s="245"/>
      <c r="AA3340" s="245"/>
      <c r="AB3340" s="245"/>
      <c r="AC3340" s="235" t="s">
        <v>1320</v>
      </c>
      <c r="AD3340" s="235" t="s">
        <v>666</v>
      </c>
      <c r="AE3340" s="238">
        <v>600107.0</v>
      </c>
      <c r="AF3340" s="235" t="s">
        <v>631</v>
      </c>
      <c r="AG3340" s="245"/>
      <c r="AH3340" s="245"/>
      <c r="AI3340" s="245"/>
      <c r="AJ3340" s="245"/>
      <c r="AK3340" s="245"/>
      <c r="AL3340" s="245"/>
      <c r="AM3340" s="245"/>
      <c r="AN3340" s="245"/>
      <c r="AO3340" s="238">
        <v>0.0</v>
      </c>
      <c r="AP3340" s="238">
        <v>0.0</v>
      </c>
      <c r="AQ3340" s="235" t="s">
        <v>632</v>
      </c>
      <c r="AR3340" s="243">
        <v>1.68E11</v>
      </c>
      <c r="AS3340" s="235" t="s">
        <v>23542</v>
      </c>
      <c r="AT3340" s="235" t="s">
        <v>11</v>
      </c>
      <c r="AU3340" s="235" t="s">
        <v>634</v>
      </c>
      <c r="AV3340" s="246" t="s">
        <v>635</v>
      </c>
      <c r="AW3340" s="227"/>
      <c r="AX3340" s="227"/>
      <c r="AY3340" s="227"/>
      <c r="AZ3340" s="227"/>
      <c r="BA3340" s="227"/>
      <c r="BB3340" s="227"/>
      <c r="BC3340" s="227"/>
      <c r="BD3340" s="227"/>
      <c r="BE3340" s="227"/>
      <c r="BF3340" s="227"/>
    </row>
    <row r="3341">
      <c r="A3341" s="235" t="s">
        <v>25114</v>
      </c>
      <c r="C3341" s="235" t="s">
        <v>25115</v>
      </c>
      <c r="D3341" s="235" t="s">
        <v>25116</v>
      </c>
      <c r="E3341" s="243">
        <v>6.51E13</v>
      </c>
      <c r="F3341" s="245"/>
      <c r="G3341" s="235" t="s">
        <v>25117</v>
      </c>
      <c r="H3341" s="235" t="s">
        <v>25118</v>
      </c>
      <c r="I3341" s="235" t="s">
        <v>25118</v>
      </c>
      <c r="J3341" s="235" t="s">
        <v>25119</v>
      </c>
      <c r="K3341" s="235" t="s">
        <v>25120</v>
      </c>
      <c r="N3341" s="235" t="s">
        <v>53</v>
      </c>
      <c r="O3341" s="235" t="s">
        <v>512</v>
      </c>
      <c r="P3341" s="238">
        <v>1.0</v>
      </c>
      <c r="Q3341" s="235" t="s">
        <v>627</v>
      </c>
      <c r="R3341" s="238">
        <v>270.48</v>
      </c>
      <c r="S3341" s="238">
        <v>13.52</v>
      </c>
      <c r="T3341" s="238">
        <v>38.1</v>
      </c>
      <c r="U3341" s="238">
        <v>1.9</v>
      </c>
      <c r="V3341" s="238">
        <v>0.0</v>
      </c>
      <c r="W3341" s="238">
        <v>0.0</v>
      </c>
      <c r="X3341" s="235" t="s">
        <v>628</v>
      </c>
      <c r="Z3341" s="245"/>
      <c r="AA3341" s="245"/>
      <c r="AB3341" s="245"/>
      <c r="AC3341" s="235" t="s">
        <v>15657</v>
      </c>
      <c r="AD3341" s="235" t="s">
        <v>666</v>
      </c>
      <c r="AE3341" s="238">
        <v>641301.0</v>
      </c>
      <c r="AF3341" s="235" t="s">
        <v>631</v>
      </c>
      <c r="AG3341" s="245"/>
      <c r="AH3341" s="245"/>
      <c r="AI3341" s="245"/>
      <c r="AJ3341" s="245"/>
      <c r="AK3341" s="245"/>
      <c r="AL3341" s="245"/>
      <c r="AM3341" s="245"/>
      <c r="AN3341" s="245"/>
      <c r="AO3341" s="238">
        <v>0.0</v>
      </c>
      <c r="AP3341" s="238">
        <v>-38.1</v>
      </c>
      <c r="AQ3341" s="235" t="s">
        <v>632</v>
      </c>
      <c r="AR3341" s="243">
        <v>3.71E11</v>
      </c>
      <c r="AS3341" s="235" t="s">
        <v>23542</v>
      </c>
      <c r="AT3341" s="235" t="s">
        <v>9</v>
      </c>
      <c r="AU3341" s="235" t="s">
        <v>634</v>
      </c>
      <c r="AV3341" s="246" t="s">
        <v>635</v>
      </c>
      <c r="AW3341" s="227"/>
      <c r="AX3341" s="227"/>
      <c r="AY3341" s="227"/>
      <c r="AZ3341" s="227"/>
      <c r="BA3341" s="227"/>
      <c r="BB3341" s="227"/>
      <c r="BC3341" s="227"/>
      <c r="BD3341" s="227"/>
      <c r="BE3341" s="227"/>
      <c r="BF3341" s="227"/>
    </row>
    <row r="3342">
      <c r="A3342" s="235" t="s">
        <v>25121</v>
      </c>
      <c r="C3342" s="235" t="s">
        <v>25122</v>
      </c>
      <c r="D3342" s="235" t="s">
        <v>25123</v>
      </c>
      <c r="E3342" s="243">
        <v>6.52E13</v>
      </c>
      <c r="F3342" s="245"/>
      <c r="G3342" s="235" t="s">
        <v>25124</v>
      </c>
      <c r="H3342" s="235" t="s">
        <v>25125</v>
      </c>
      <c r="I3342" s="235" t="s">
        <v>25125</v>
      </c>
      <c r="J3342" s="235" t="s">
        <v>25126</v>
      </c>
      <c r="K3342" s="235" t="s">
        <v>25127</v>
      </c>
      <c r="N3342" s="235" t="s">
        <v>42</v>
      </c>
      <c r="O3342" s="235" t="s">
        <v>204</v>
      </c>
      <c r="P3342" s="238">
        <v>1.0</v>
      </c>
      <c r="Q3342" s="235" t="s">
        <v>627</v>
      </c>
      <c r="R3342" s="238">
        <v>236.19</v>
      </c>
      <c r="S3342" s="238">
        <v>11.81</v>
      </c>
      <c r="T3342" s="238">
        <v>38.1</v>
      </c>
      <c r="U3342" s="238">
        <v>1.9</v>
      </c>
      <c r="V3342" s="238">
        <v>0.0</v>
      </c>
      <c r="W3342" s="238">
        <v>0.0</v>
      </c>
      <c r="X3342" s="235" t="s">
        <v>628</v>
      </c>
      <c r="Z3342" s="245"/>
      <c r="AA3342" s="245"/>
      <c r="AB3342" s="245"/>
      <c r="AC3342" s="235" t="s">
        <v>25128</v>
      </c>
      <c r="AD3342" s="235" t="s">
        <v>666</v>
      </c>
      <c r="AE3342" s="238">
        <v>609309.0</v>
      </c>
      <c r="AF3342" s="235" t="s">
        <v>631</v>
      </c>
      <c r="AG3342" s="245"/>
      <c r="AH3342" s="245"/>
      <c r="AI3342" s="245"/>
      <c r="AJ3342" s="245"/>
      <c r="AK3342" s="245"/>
      <c r="AL3342" s="245"/>
      <c r="AM3342" s="245"/>
      <c r="AN3342" s="245"/>
      <c r="AO3342" s="238">
        <v>0.0</v>
      </c>
      <c r="AP3342" s="238">
        <v>-38.1</v>
      </c>
      <c r="AQ3342" s="235" t="s">
        <v>632</v>
      </c>
      <c r="AR3342" s="243">
        <v>3.71E11</v>
      </c>
      <c r="AS3342" s="235" t="s">
        <v>20529</v>
      </c>
      <c r="AT3342" s="235" t="s">
        <v>11</v>
      </c>
      <c r="AU3342" s="235" t="s">
        <v>634</v>
      </c>
      <c r="AV3342" s="246" t="s">
        <v>635</v>
      </c>
      <c r="AW3342" s="227"/>
      <c r="AX3342" s="227"/>
      <c r="AY3342" s="227"/>
      <c r="AZ3342" s="227"/>
      <c r="BA3342" s="227"/>
      <c r="BB3342" s="227"/>
      <c r="BC3342" s="227"/>
      <c r="BD3342" s="227"/>
      <c r="BE3342" s="227"/>
      <c r="BF3342" s="227"/>
    </row>
    <row r="3343">
      <c r="A3343" s="235" t="s">
        <v>25129</v>
      </c>
      <c r="C3343" s="235" t="s">
        <v>25130</v>
      </c>
      <c r="D3343" s="235" t="s">
        <v>25131</v>
      </c>
      <c r="E3343" s="243">
        <v>6.52E13</v>
      </c>
      <c r="F3343" s="245"/>
      <c r="G3343" s="235" t="s">
        <v>25132</v>
      </c>
      <c r="H3343" s="235" t="s">
        <v>25133</v>
      </c>
      <c r="I3343" s="235" t="s">
        <v>25133</v>
      </c>
      <c r="J3343" s="235" t="s">
        <v>25134</v>
      </c>
      <c r="K3343" s="235" t="s">
        <v>25135</v>
      </c>
      <c r="N3343" s="235" t="s">
        <v>962</v>
      </c>
      <c r="O3343" s="235" t="s">
        <v>963</v>
      </c>
      <c r="P3343" s="238">
        <v>1.0</v>
      </c>
      <c r="Q3343" s="235" t="s">
        <v>627</v>
      </c>
      <c r="R3343" s="238">
        <v>246.66</v>
      </c>
      <c r="S3343" s="238">
        <v>12.1</v>
      </c>
      <c r="T3343" s="238">
        <v>0.0</v>
      </c>
      <c r="U3343" s="238">
        <v>0.0</v>
      </c>
      <c r="V3343" s="238">
        <v>0.0</v>
      </c>
      <c r="W3343" s="238">
        <v>0.0</v>
      </c>
      <c r="X3343" s="235" t="s">
        <v>628</v>
      </c>
      <c r="Z3343" s="245"/>
      <c r="AA3343" s="245"/>
      <c r="AB3343" s="245"/>
      <c r="AC3343" s="235" t="s">
        <v>25136</v>
      </c>
      <c r="AD3343" s="235" t="s">
        <v>928</v>
      </c>
      <c r="AE3343" s="238">
        <v>122051.0</v>
      </c>
      <c r="AF3343" s="235" t="s">
        <v>631</v>
      </c>
      <c r="AG3343" s="245"/>
      <c r="AH3343" s="245"/>
      <c r="AI3343" s="245"/>
      <c r="AJ3343" s="245"/>
      <c r="AK3343" s="245"/>
      <c r="AL3343" s="245"/>
      <c r="AM3343" s="245"/>
      <c r="AN3343" s="245"/>
      <c r="AO3343" s="238">
        <v>-4.94</v>
      </c>
      <c r="AP3343" s="238">
        <v>0.0</v>
      </c>
      <c r="AQ3343" s="235" t="s">
        <v>632</v>
      </c>
      <c r="AR3343" s="243">
        <v>3.71E11</v>
      </c>
      <c r="AS3343" s="235" t="s">
        <v>23542</v>
      </c>
      <c r="AT3343" s="235" t="s">
        <v>14</v>
      </c>
      <c r="AU3343" s="235" t="s">
        <v>634</v>
      </c>
      <c r="AV3343" s="246" t="s">
        <v>635</v>
      </c>
      <c r="AW3343" s="227"/>
      <c r="AX3343" s="227"/>
      <c r="AY3343" s="227"/>
      <c r="AZ3343" s="227"/>
      <c r="BA3343" s="227"/>
      <c r="BB3343" s="227"/>
      <c r="BC3343" s="227"/>
      <c r="BD3343" s="227"/>
      <c r="BE3343" s="227"/>
      <c r="BF3343" s="227"/>
    </row>
    <row r="3344">
      <c r="A3344" s="235" t="s">
        <v>25137</v>
      </c>
      <c r="C3344" s="235" t="s">
        <v>25138</v>
      </c>
      <c r="D3344" s="235" t="s">
        <v>25139</v>
      </c>
      <c r="E3344" s="243">
        <v>6.51E13</v>
      </c>
      <c r="F3344" s="245"/>
      <c r="G3344" s="235" t="s">
        <v>25140</v>
      </c>
      <c r="H3344" s="235" t="s">
        <v>25141</v>
      </c>
      <c r="I3344" s="235" t="s">
        <v>25141</v>
      </c>
      <c r="J3344" s="235" t="s">
        <v>25142</v>
      </c>
      <c r="K3344" s="235" t="s">
        <v>25143</v>
      </c>
      <c r="N3344" s="235" t="s">
        <v>55</v>
      </c>
      <c r="O3344" s="235" t="s">
        <v>244</v>
      </c>
      <c r="P3344" s="238">
        <v>1.0</v>
      </c>
      <c r="Q3344" s="235" t="s">
        <v>627</v>
      </c>
      <c r="R3344" s="238">
        <v>236.19</v>
      </c>
      <c r="S3344" s="238">
        <v>11.46</v>
      </c>
      <c r="T3344" s="238">
        <v>0.0</v>
      </c>
      <c r="U3344" s="238">
        <v>0.0</v>
      </c>
      <c r="V3344" s="238">
        <v>0.0</v>
      </c>
      <c r="W3344" s="238">
        <v>0.0</v>
      </c>
      <c r="X3344" s="235" t="s">
        <v>628</v>
      </c>
      <c r="Z3344" s="245"/>
      <c r="AA3344" s="245"/>
      <c r="AB3344" s="245"/>
      <c r="AC3344" s="235" t="s">
        <v>1279</v>
      </c>
      <c r="AD3344" s="235" t="s">
        <v>917</v>
      </c>
      <c r="AE3344" s="238">
        <v>302017.0</v>
      </c>
      <c r="AF3344" s="235" t="s">
        <v>631</v>
      </c>
      <c r="AG3344" s="245"/>
      <c r="AH3344" s="245"/>
      <c r="AI3344" s="245"/>
      <c r="AJ3344" s="245"/>
      <c r="AK3344" s="245"/>
      <c r="AL3344" s="245"/>
      <c r="AM3344" s="245"/>
      <c r="AN3344" s="245"/>
      <c r="AO3344" s="238">
        <v>-7.09</v>
      </c>
      <c r="AP3344" s="238">
        <v>0.0</v>
      </c>
      <c r="AQ3344" s="235" t="s">
        <v>632</v>
      </c>
      <c r="AR3344" s="243">
        <v>3.71E11</v>
      </c>
      <c r="AS3344" s="235" t="s">
        <v>19388</v>
      </c>
      <c r="AT3344" s="235" t="s">
        <v>9</v>
      </c>
      <c r="AU3344" s="235" t="s">
        <v>634</v>
      </c>
      <c r="AV3344" s="246" t="s">
        <v>635</v>
      </c>
      <c r="AW3344" s="227"/>
      <c r="AX3344" s="227"/>
      <c r="AY3344" s="227"/>
      <c r="AZ3344" s="227"/>
      <c r="BA3344" s="227"/>
      <c r="BB3344" s="227"/>
      <c r="BC3344" s="227"/>
      <c r="BD3344" s="227"/>
      <c r="BE3344" s="227"/>
      <c r="BF3344" s="227"/>
    </row>
    <row r="3345">
      <c r="A3345" s="235" t="s">
        <v>25144</v>
      </c>
      <c r="C3345" s="235" t="s">
        <v>25145</v>
      </c>
      <c r="D3345" s="235" t="s">
        <v>25146</v>
      </c>
      <c r="E3345" s="243">
        <v>6.52E13</v>
      </c>
      <c r="F3345" s="245"/>
      <c r="G3345" s="235" t="s">
        <v>25147</v>
      </c>
      <c r="H3345" s="235" t="s">
        <v>25148</v>
      </c>
      <c r="I3345" s="235" t="s">
        <v>25148</v>
      </c>
      <c r="J3345" s="235" t="s">
        <v>25149</v>
      </c>
      <c r="K3345" s="235" t="s">
        <v>25150</v>
      </c>
      <c r="N3345" s="235" t="s">
        <v>98</v>
      </c>
      <c r="O3345" s="235" t="s">
        <v>357</v>
      </c>
      <c r="P3345" s="238">
        <v>1.0</v>
      </c>
      <c r="Q3345" s="235" t="s">
        <v>627</v>
      </c>
      <c r="R3345" s="238">
        <v>237.14</v>
      </c>
      <c r="S3345" s="238">
        <v>11.86</v>
      </c>
      <c r="T3345" s="238">
        <v>38.1</v>
      </c>
      <c r="U3345" s="238">
        <v>1.9</v>
      </c>
      <c r="V3345" s="238">
        <v>0.0</v>
      </c>
      <c r="W3345" s="238">
        <v>0.0</v>
      </c>
      <c r="X3345" s="235" t="s">
        <v>628</v>
      </c>
      <c r="Z3345" s="245"/>
      <c r="AA3345" s="245"/>
      <c r="AB3345" s="245"/>
      <c r="AC3345" s="235" t="s">
        <v>25151</v>
      </c>
      <c r="AD3345" s="235" t="s">
        <v>1151</v>
      </c>
      <c r="AE3345" s="238">
        <v>743248.0</v>
      </c>
      <c r="AF3345" s="235" t="s">
        <v>631</v>
      </c>
      <c r="AG3345" s="245"/>
      <c r="AH3345" s="245"/>
      <c r="AI3345" s="245"/>
      <c r="AJ3345" s="245"/>
      <c r="AK3345" s="245"/>
      <c r="AL3345" s="245"/>
      <c r="AM3345" s="245"/>
      <c r="AN3345" s="245"/>
      <c r="AO3345" s="238">
        <v>0.0</v>
      </c>
      <c r="AP3345" s="238">
        <v>-38.1</v>
      </c>
      <c r="AQ3345" s="235" t="s">
        <v>632</v>
      </c>
      <c r="AR3345" s="243">
        <v>3.71E11</v>
      </c>
      <c r="AS3345" s="235" t="s">
        <v>19388</v>
      </c>
      <c r="AT3345" s="235" t="s">
        <v>11</v>
      </c>
      <c r="AU3345" s="235" t="s">
        <v>634</v>
      </c>
      <c r="AV3345" s="246" t="s">
        <v>635</v>
      </c>
      <c r="AW3345" s="227"/>
      <c r="AX3345" s="227"/>
      <c r="AY3345" s="227"/>
      <c r="AZ3345" s="227"/>
      <c r="BA3345" s="227"/>
      <c r="BB3345" s="227"/>
      <c r="BC3345" s="227"/>
      <c r="BD3345" s="227"/>
      <c r="BE3345" s="227"/>
      <c r="BF3345" s="227"/>
    </row>
    <row r="3346">
      <c r="A3346" s="235" t="s">
        <v>25152</v>
      </c>
      <c r="C3346" s="235" t="s">
        <v>25153</v>
      </c>
      <c r="D3346" s="235" t="s">
        <v>25154</v>
      </c>
      <c r="E3346" s="243">
        <v>6.52E13</v>
      </c>
      <c r="F3346" s="245"/>
      <c r="G3346" s="235" t="s">
        <v>25155</v>
      </c>
      <c r="H3346" s="235" t="s">
        <v>25156</v>
      </c>
      <c r="I3346" s="235" t="s">
        <v>25156</v>
      </c>
      <c r="J3346" s="235" t="s">
        <v>25157</v>
      </c>
      <c r="K3346" s="235" t="s">
        <v>25158</v>
      </c>
      <c r="N3346" s="235" t="s">
        <v>58</v>
      </c>
      <c r="O3346" s="235" t="s">
        <v>349</v>
      </c>
      <c r="P3346" s="238">
        <v>1.0</v>
      </c>
      <c r="Q3346" s="235" t="s">
        <v>627</v>
      </c>
      <c r="R3346" s="238">
        <v>627.62</v>
      </c>
      <c r="S3346" s="238">
        <v>30.75</v>
      </c>
      <c r="T3346" s="238">
        <v>0.0</v>
      </c>
      <c r="U3346" s="238">
        <v>0.0</v>
      </c>
      <c r="V3346" s="238">
        <v>0.0</v>
      </c>
      <c r="W3346" s="238">
        <v>0.0</v>
      </c>
      <c r="X3346" s="235" t="s">
        <v>628</v>
      </c>
      <c r="Z3346" s="245"/>
      <c r="AA3346" s="245"/>
      <c r="AB3346" s="245"/>
      <c r="AC3346" s="235" t="s">
        <v>3274</v>
      </c>
      <c r="AD3346" s="235" t="s">
        <v>698</v>
      </c>
      <c r="AE3346" s="238">
        <v>500048.0</v>
      </c>
      <c r="AF3346" s="235" t="s">
        <v>631</v>
      </c>
      <c r="AG3346" s="245"/>
      <c r="AH3346" s="245"/>
      <c r="AI3346" s="245"/>
      <c r="AJ3346" s="245"/>
      <c r="AK3346" s="245"/>
      <c r="AL3346" s="245"/>
      <c r="AM3346" s="245"/>
      <c r="AN3346" s="245"/>
      <c r="AO3346" s="238">
        <v>-12.55</v>
      </c>
      <c r="AP3346" s="238">
        <v>0.0</v>
      </c>
      <c r="AQ3346" s="235" t="s">
        <v>632</v>
      </c>
      <c r="AR3346" s="243">
        <v>1.68E11</v>
      </c>
      <c r="AS3346" s="235" t="s">
        <v>23542</v>
      </c>
      <c r="AT3346" s="235" t="s">
        <v>9</v>
      </c>
      <c r="AU3346" s="235" t="s">
        <v>634</v>
      </c>
      <c r="AV3346" s="246" t="s">
        <v>635</v>
      </c>
      <c r="AW3346" s="227"/>
      <c r="AX3346" s="227"/>
      <c r="AY3346" s="227"/>
      <c r="AZ3346" s="227"/>
      <c r="BA3346" s="227"/>
      <c r="BB3346" s="227"/>
      <c r="BC3346" s="227"/>
      <c r="BD3346" s="227"/>
      <c r="BE3346" s="227"/>
      <c r="BF3346" s="227"/>
    </row>
    <row r="3347">
      <c r="A3347" s="235" t="s">
        <v>25159</v>
      </c>
      <c r="C3347" s="235" t="s">
        <v>25160</v>
      </c>
      <c r="D3347" s="235" t="s">
        <v>25161</v>
      </c>
      <c r="E3347" s="243">
        <v>6.52E13</v>
      </c>
      <c r="F3347" s="245"/>
      <c r="G3347" s="235" t="s">
        <v>25162</v>
      </c>
      <c r="H3347" s="235" t="s">
        <v>25163</v>
      </c>
      <c r="I3347" s="235" t="s">
        <v>25163</v>
      </c>
      <c r="J3347" s="235" t="s">
        <v>25164</v>
      </c>
      <c r="K3347" s="235" t="s">
        <v>25165</v>
      </c>
      <c r="N3347" s="235" t="s">
        <v>42</v>
      </c>
      <c r="O3347" s="235" t="s">
        <v>204</v>
      </c>
      <c r="P3347" s="238">
        <v>1.0</v>
      </c>
      <c r="Q3347" s="235" t="s">
        <v>627</v>
      </c>
      <c r="R3347" s="238">
        <v>237.14</v>
      </c>
      <c r="S3347" s="238">
        <v>11.62</v>
      </c>
      <c r="T3347" s="238">
        <v>0.0</v>
      </c>
      <c r="U3347" s="238">
        <v>0.0</v>
      </c>
      <c r="V3347" s="238">
        <v>0.0</v>
      </c>
      <c r="W3347" s="238">
        <v>0.0</v>
      </c>
      <c r="X3347" s="235" t="s">
        <v>628</v>
      </c>
      <c r="Z3347" s="245"/>
      <c r="AA3347" s="245"/>
      <c r="AB3347" s="245"/>
      <c r="AC3347" s="235" t="s">
        <v>687</v>
      </c>
      <c r="AD3347" s="235" t="s">
        <v>666</v>
      </c>
      <c r="AE3347" s="238">
        <v>600119.0</v>
      </c>
      <c r="AF3347" s="235" t="s">
        <v>631</v>
      </c>
      <c r="AG3347" s="245"/>
      <c r="AH3347" s="245"/>
      <c r="AI3347" s="245"/>
      <c r="AJ3347" s="245"/>
      <c r="AK3347" s="245"/>
      <c r="AL3347" s="245"/>
      <c r="AM3347" s="245"/>
      <c r="AN3347" s="245"/>
      <c r="AO3347" s="238">
        <v>-4.74</v>
      </c>
      <c r="AP3347" s="238">
        <v>0.0</v>
      </c>
      <c r="AQ3347" s="235" t="s">
        <v>632</v>
      </c>
      <c r="AR3347" s="243">
        <v>3.71E11</v>
      </c>
      <c r="AS3347" s="235" t="s">
        <v>22269</v>
      </c>
      <c r="AT3347" s="235" t="s">
        <v>11</v>
      </c>
      <c r="AU3347" s="235" t="s">
        <v>634</v>
      </c>
      <c r="AV3347" s="246" t="s">
        <v>635</v>
      </c>
      <c r="AW3347" s="227"/>
      <c r="AX3347" s="227"/>
      <c r="AY3347" s="227"/>
      <c r="AZ3347" s="227"/>
      <c r="BA3347" s="227"/>
      <c r="BB3347" s="227"/>
      <c r="BC3347" s="227"/>
      <c r="BD3347" s="227"/>
      <c r="BE3347" s="227"/>
      <c r="BF3347" s="227"/>
    </row>
    <row r="3348">
      <c r="A3348" s="235" t="s">
        <v>25166</v>
      </c>
      <c r="C3348" s="235" t="s">
        <v>25167</v>
      </c>
      <c r="D3348" s="235" t="s">
        <v>25168</v>
      </c>
      <c r="E3348" s="243">
        <v>6.52E13</v>
      </c>
      <c r="F3348" s="245"/>
      <c r="G3348" s="235" t="s">
        <v>25169</v>
      </c>
      <c r="H3348" s="235" t="s">
        <v>25170</v>
      </c>
      <c r="I3348" s="235" t="s">
        <v>25170</v>
      </c>
      <c r="J3348" s="235" t="s">
        <v>25171</v>
      </c>
      <c r="K3348" s="235" t="s">
        <v>25172</v>
      </c>
      <c r="N3348" s="235" t="s">
        <v>90</v>
      </c>
      <c r="O3348" s="235" t="s">
        <v>279</v>
      </c>
      <c r="P3348" s="238">
        <v>1.0</v>
      </c>
      <c r="Q3348" s="235" t="s">
        <v>627</v>
      </c>
      <c r="R3348" s="238">
        <v>246.66</v>
      </c>
      <c r="S3348" s="238">
        <v>12.34</v>
      </c>
      <c r="T3348" s="238">
        <v>0.0</v>
      </c>
      <c r="U3348" s="238">
        <v>0.0</v>
      </c>
      <c r="V3348" s="238">
        <v>0.0</v>
      </c>
      <c r="W3348" s="238">
        <v>0.0</v>
      </c>
      <c r="X3348" s="235" t="s">
        <v>628</v>
      </c>
      <c r="Z3348" s="245"/>
      <c r="AA3348" s="245"/>
      <c r="AB3348" s="245"/>
      <c r="AC3348" s="235" t="s">
        <v>1887</v>
      </c>
      <c r="AD3348" s="235" t="s">
        <v>679</v>
      </c>
      <c r="AE3348" s="238">
        <v>560048.0</v>
      </c>
      <c r="AF3348" s="235" t="s">
        <v>631</v>
      </c>
      <c r="AG3348" s="245"/>
      <c r="AH3348" s="245"/>
      <c r="AI3348" s="245"/>
      <c r="AJ3348" s="245"/>
      <c r="AK3348" s="245"/>
      <c r="AL3348" s="245"/>
      <c r="AM3348" s="245"/>
      <c r="AN3348" s="245"/>
      <c r="AO3348" s="238">
        <v>0.0</v>
      </c>
      <c r="AP3348" s="238">
        <v>0.0</v>
      </c>
      <c r="AQ3348" s="235" t="s">
        <v>632</v>
      </c>
      <c r="AR3348" s="243">
        <v>1.68E11</v>
      </c>
      <c r="AS3348" s="235" t="s">
        <v>25098</v>
      </c>
      <c r="AT3348" s="235" t="s">
        <v>11</v>
      </c>
      <c r="AU3348" s="235" t="s">
        <v>634</v>
      </c>
      <c r="AV3348" s="246" t="s">
        <v>635</v>
      </c>
      <c r="AW3348" s="227"/>
      <c r="AX3348" s="227"/>
      <c r="AY3348" s="227"/>
      <c r="AZ3348" s="227"/>
      <c r="BA3348" s="227"/>
      <c r="BB3348" s="227"/>
      <c r="BC3348" s="227"/>
      <c r="BD3348" s="227"/>
      <c r="BE3348" s="227"/>
      <c r="BF3348" s="227"/>
    </row>
    <row r="3349">
      <c r="A3349" s="235" t="s">
        <v>25173</v>
      </c>
      <c r="C3349" s="235" t="s">
        <v>25174</v>
      </c>
      <c r="D3349" s="235" t="s">
        <v>25175</v>
      </c>
      <c r="E3349" s="243">
        <v>6.52E13</v>
      </c>
      <c r="F3349" s="245"/>
      <c r="G3349" s="235" t="s">
        <v>25176</v>
      </c>
      <c r="H3349" s="235" t="s">
        <v>25177</v>
      </c>
      <c r="I3349" s="235" t="s">
        <v>25177</v>
      </c>
      <c r="J3349" s="235" t="s">
        <v>25178</v>
      </c>
      <c r="K3349" s="235" t="s">
        <v>25179</v>
      </c>
      <c r="N3349" s="235" t="s">
        <v>110</v>
      </c>
      <c r="O3349" s="235" t="s">
        <v>364</v>
      </c>
      <c r="P3349" s="238">
        <v>1.0</v>
      </c>
      <c r="Q3349" s="235" t="s">
        <v>627</v>
      </c>
      <c r="R3349" s="238">
        <v>237.14</v>
      </c>
      <c r="S3349" s="238">
        <v>11.86</v>
      </c>
      <c r="T3349" s="238">
        <v>0.0</v>
      </c>
      <c r="U3349" s="238">
        <v>0.0</v>
      </c>
      <c r="V3349" s="238">
        <v>0.0</v>
      </c>
      <c r="W3349" s="238">
        <v>0.0</v>
      </c>
      <c r="X3349" s="235" t="s">
        <v>628</v>
      </c>
      <c r="Z3349" s="245"/>
      <c r="AA3349" s="245"/>
      <c r="AB3349" s="245"/>
      <c r="AC3349" s="235" t="s">
        <v>25180</v>
      </c>
      <c r="AD3349" s="235" t="s">
        <v>666</v>
      </c>
      <c r="AE3349" s="238">
        <v>625106.0</v>
      </c>
      <c r="AF3349" s="235" t="s">
        <v>631</v>
      </c>
      <c r="AG3349" s="245"/>
      <c r="AH3349" s="245"/>
      <c r="AI3349" s="245"/>
      <c r="AJ3349" s="245"/>
      <c r="AK3349" s="245"/>
      <c r="AL3349" s="245"/>
      <c r="AM3349" s="245"/>
      <c r="AN3349" s="245"/>
      <c r="AO3349" s="238">
        <v>0.0</v>
      </c>
      <c r="AP3349" s="238">
        <v>0.0</v>
      </c>
      <c r="AQ3349" s="235" t="s">
        <v>632</v>
      </c>
      <c r="AR3349" s="243">
        <v>3.71E11</v>
      </c>
      <c r="AS3349" s="235" t="s">
        <v>23542</v>
      </c>
      <c r="AT3349" s="235" t="s">
        <v>155</v>
      </c>
      <c r="AU3349" s="235" t="s">
        <v>634</v>
      </c>
      <c r="AV3349" s="246" t="s">
        <v>635</v>
      </c>
      <c r="AW3349" s="227"/>
      <c r="AX3349" s="227"/>
      <c r="AY3349" s="227"/>
      <c r="AZ3349" s="227"/>
      <c r="BA3349" s="227"/>
      <c r="BB3349" s="227"/>
      <c r="BC3349" s="227"/>
      <c r="BD3349" s="227"/>
      <c r="BE3349" s="227"/>
      <c r="BF3349" s="227"/>
    </row>
    <row r="3350">
      <c r="A3350" s="235" t="s">
        <v>25181</v>
      </c>
      <c r="C3350" s="235" t="s">
        <v>25182</v>
      </c>
      <c r="D3350" s="235" t="s">
        <v>25183</v>
      </c>
      <c r="E3350" s="243">
        <v>6.52E13</v>
      </c>
      <c r="F3350" s="245"/>
      <c r="G3350" s="235" t="s">
        <v>25184</v>
      </c>
      <c r="H3350" s="235" t="s">
        <v>25185</v>
      </c>
      <c r="I3350" s="235" t="s">
        <v>25185</v>
      </c>
      <c r="J3350" s="235" t="s">
        <v>25186</v>
      </c>
      <c r="K3350" s="235" t="s">
        <v>25187</v>
      </c>
      <c r="N3350" s="235" t="s">
        <v>47</v>
      </c>
      <c r="O3350" s="235" t="s">
        <v>270</v>
      </c>
      <c r="P3350" s="238">
        <v>1.0</v>
      </c>
      <c r="Q3350" s="235" t="s">
        <v>627</v>
      </c>
      <c r="R3350" s="238">
        <v>237.14</v>
      </c>
      <c r="S3350" s="238">
        <v>11.86</v>
      </c>
      <c r="T3350" s="238">
        <v>0.0</v>
      </c>
      <c r="U3350" s="238">
        <v>0.0</v>
      </c>
      <c r="V3350" s="238">
        <v>0.0</v>
      </c>
      <c r="W3350" s="238">
        <v>0.0</v>
      </c>
      <c r="X3350" s="235" t="s">
        <v>628</v>
      </c>
      <c r="Z3350" s="245"/>
      <c r="AA3350" s="245"/>
      <c r="AB3350" s="245"/>
      <c r="AC3350" s="235" t="s">
        <v>697</v>
      </c>
      <c r="AD3350" s="235" t="s">
        <v>698</v>
      </c>
      <c r="AE3350" s="238">
        <v>500085.0</v>
      </c>
      <c r="AF3350" s="235" t="s">
        <v>631</v>
      </c>
      <c r="AG3350" s="245"/>
      <c r="AH3350" s="245"/>
      <c r="AI3350" s="245"/>
      <c r="AJ3350" s="245"/>
      <c r="AK3350" s="245"/>
      <c r="AL3350" s="245"/>
      <c r="AM3350" s="245"/>
      <c r="AN3350" s="245"/>
      <c r="AO3350" s="238">
        <v>0.0</v>
      </c>
      <c r="AP3350" s="238">
        <v>0.0</v>
      </c>
      <c r="AQ3350" s="235" t="s">
        <v>632</v>
      </c>
      <c r="AR3350" s="243">
        <v>2.02E11</v>
      </c>
      <c r="AS3350" s="235" t="s">
        <v>23542</v>
      </c>
      <c r="AT3350" s="235" t="s">
        <v>14</v>
      </c>
      <c r="AU3350" s="235" t="s">
        <v>634</v>
      </c>
      <c r="AV3350" s="246" t="s">
        <v>635</v>
      </c>
      <c r="AW3350" s="227"/>
      <c r="AX3350" s="227"/>
      <c r="AY3350" s="227"/>
      <c r="AZ3350" s="227"/>
      <c r="BA3350" s="227"/>
      <c r="BB3350" s="227"/>
      <c r="BC3350" s="227"/>
      <c r="BD3350" s="227"/>
      <c r="BE3350" s="227"/>
      <c r="BF3350" s="227"/>
    </row>
    <row r="3351">
      <c r="A3351" s="235" t="s">
        <v>25188</v>
      </c>
      <c r="C3351" s="235" t="s">
        <v>25189</v>
      </c>
      <c r="D3351" s="235" t="s">
        <v>25190</v>
      </c>
      <c r="E3351" s="243">
        <v>6.52E13</v>
      </c>
      <c r="F3351" s="245"/>
      <c r="G3351" s="235" t="s">
        <v>25191</v>
      </c>
      <c r="H3351" s="235" t="s">
        <v>25192</v>
      </c>
      <c r="I3351" s="235" t="s">
        <v>25192</v>
      </c>
      <c r="J3351" s="235" t="s">
        <v>25193</v>
      </c>
      <c r="K3351" s="235" t="s">
        <v>25194</v>
      </c>
      <c r="N3351" s="235" t="s">
        <v>92</v>
      </c>
      <c r="O3351" s="235" t="s">
        <v>248</v>
      </c>
      <c r="P3351" s="238">
        <v>1.0</v>
      </c>
      <c r="Q3351" s="235" t="s">
        <v>627</v>
      </c>
      <c r="R3351" s="238">
        <v>246.67</v>
      </c>
      <c r="S3351" s="238">
        <v>12.33</v>
      </c>
      <c r="T3351" s="238">
        <v>0.0</v>
      </c>
      <c r="U3351" s="238">
        <v>0.0</v>
      </c>
      <c r="V3351" s="238">
        <v>0.0</v>
      </c>
      <c r="W3351" s="238">
        <v>0.0</v>
      </c>
      <c r="X3351" s="235" t="s">
        <v>628</v>
      </c>
      <c r="Z3351" s="245"/>
      <c r="AA3351" s="245"/>
      <c r="AB3351" s="245"/>
      <c r="AC3351" s="235" t="s">
        <v>6571</v>
      </c>
      <c r="AD3351" s="235" t="s">
        <v>731</v>
      </c>
      <c r="AE3351" s="238">
        <v>781003.0</v>
      </c>
      <c r="AF3351" s="235" t="s">
        <v>631</v>
      </c>
      <c r="AG3351" s="245"/>
      <c r="AH3351" s="245"/>
      <c r="AI3351" s="245"/>
      <c r="AJ3351" s="245"/>
      <c r="AK3351" s="245"/>
      <c r="AL3351" s="245"/>
      <c r="AM3351" s="245"/>
      <c r="AN3351" s="245"/>
      <c r="AO3351" s="238">
        <v>0.0</v>
      </c>
      <c r="AP3351" s="238">
        <v>0.0</v>
      </c>
      <c r="AQ3351" s="235" t="s">
        <v>632</v>
      </c>
      <c r="AR3351" s="243">
        <v>2.02E11</v>
      </c>
      <c r="AS3351" s="235" t="s">
        <v>23542</v>
      </c>
      <c r="AT3351" s="235" t="s">
        <v>156</v>
      </c>
      <c r="AU3351" s="235" t="s">
        <v>634</v>
      </c>
      <c r="AV3351" s="246" t="s">
        <v>635</v>
      </c>
      <c r="AW3351" s="227"/>
      <c r="AX3351" s="227"/>
      <c r="AY3351" s="227"/>
      <c r="AZ3351" s="227"/>
      <c r="BA3351" s="227"/>
      <c r="BB3351" s="227"/>
      <c r="BC3351" s="227"/>
      <c r="BD3351" s="227"/>
      <c r="BE3351" s="227"/>
      <c r="BF3351" s="227"/>
    </row>
    <row r="3352">
      <c r="A3352" s="235" t="s">
        <v>25195</v>
      </c>
      <c r="C3352" s="235" t="s">
        <v>25196</v>
      </c>
      <c r="D3352" s="235" t="s">
        <v>25197</v>
      </c>
      <c r="E3352" s="243">
        <v>6.52E13</v>
      </c>
      <c r="F3352" s="245"/>
      <c r="G3352" s="235" t="s">
        <v>25198</v>
      </c>
      <c r="H3352" s="235" t="s">
        <v>25199</v>
      </c>
      <c r="I3352" s="235" t="s">
        <v>25199</v>
      </c>
      <c r="J3352" s="235" t="s">
        <v>25200</v>
      </c>
      <c r="K3352" s="235" t="s">
        <v>25201</v>
      </c>
      <c r="N3352" s="235" t="s">
        <v>92</v>
      </c>
      <c r="O3352" s="235" t="s">
        <v>248</v>
      </c>
      <c r="P3352" s="238">
        <v>1.0</v>
      </c>
      <c r="Q3352" s="235" t="s">
        <v>627</v>
      </c>
      <c r="R3352" s="238">
        <v>246.67</v>
      </c>
      <c r="S3352" s="238">
        <v>12.33</v>
      </c>
      <c r="T3352" s="238">
        <v>0.0</v>
      </c>
      <c r="U3352" s="238">
        <v>0.0</v>
      </c>
      <c r="V3352" s="238">
        <v>0.0</v>
      </c>
      <c r="W3352" s="238">
        <v>0.0</v>
      </c>
      <c r="X3352" s="235" t="s">
        <v>628</v>
      </c>
      <c r="Z3352" s="245"/>
      <c r="AA3352" s="245"/>
      <c r="AB3352" s="245"/>
      <c r="AC3352" s="235" t="s">
        <v>5138</v>
      </c>
      <c r="AD3352" s="235" t="s">
        <v>833</v>
      </c>
      <c r="AE3352" s="238">
        <v>524004.0</v>
      </c>
      <c r="AF3352" s="235" t="s">
        <v>631</v>
      </c>
      <c r="AG3352" s="245"/>
      <c r="AH3352" s="245"/>
      <c r="AI3352" s="245"/>
      <c r="AJ3352" s="245"/>
      <c r="AK3352" s="245"/>
      <c r="AL3352" s="245"/>
      <c r="AM3352" s="245"/>
      <c r="AN3352" s="245"/>
      <c r="AO3352" s="238">
        <v>0.0</v>
      </c>
      <c r="AP3352" s="238">
        <v>0.0</v>
      </c>
      <c r="AQ3352" s="235" t="s">
        <v>632</v>
      </c>
      <c r="AR3352" s="243">
        <v>3.71E11</v>
      </c>
      <c r="AS3352" s="235" t="s">
        <v>22269</v>
      </c>
      <c r="AT3352" s="235" t="s">
        <v>156</v>
      </c>
      <c r="AU3352" s="235" t="s">
        <v>634</v>
      </c>
      <c r="AV3352" s="246" t="s">
        <v>635</v>
      </c>
      <c r="AW3352" s="227"/>
      <c r="AX3352" s="227"/>
      <c r="AY3352" s="227"/>
      <c r="AZ3352" s="227"/>
      <c r="BA3352" s="227"/>
      <c r="BB3352" s="227"/>
      <c r="BC3352" s="227"/>
      <c r="BD3352" s="227"/>
      <c r="BE3352" s="227"/>
      <c r="BF3352" s="227"/>
    </row>
    <row r="3353">
      <c r="A3353" s="235" t="s">
        <v>25202</v>
      </c>
      <c r="C3353" s="235" t="s">
        <v>25203</v>
      </c>
      <c r="D3353" s="235" t="s">
        <v>25204</v>
      </c>
      <c r="E3353" s="243">
        <v>6.52E13</v>
      </c>
      <c r="F3353" s="245"/>
      <c r="G3353" s="235" t="s">
        <v>25205</v>
      </c>
      <c r="H3353" s="235" t="s">
        <v>25206</v>
      </c>
      <c r="I3353" s="235" t="s">
        <v>25206</v>
      </c>
      <c r="J3353" s="235" t="s">
        <v>25207</v>
      </c>
      <c r="K3353" s="235" t="s">
        <v>25208</v>
      </c>
      <c r="N3353" s="235" t="s">
        <v>113</v>
      </c>
      <c r="O3353" s="235" t="s">
        <v>452</v>
      </c>
      <c r="P3353" s="238">
        <v>1.0</v>
      </c>
      <c r="Q3353" s="235" t="s">
        <v>627</v>
      </c>
      <c r="R3353" s="238">
        <v>237.14</v>
      </c>
      <c r="S3353" s="238">
        <v>11.86</v>
      </c>
      <c r="T3353" s="238">
        <v>0.0</v>
      </c>
      <c r="U3353" s="238">
        <v>0.0</v>
      </c>
      <c r="V3353" s="238">
        <v>0.0</v>
      </c>
      <c r="W3353" s="238">
        <v>0.0</v>
      </c>
      <c r="X3353" s="235" t="s">
        <v>628</v>
      </c>
      <c r="Z3353" s="245"/>
      <c r="AA3353" s="245"/>
      <c r="AB3353" s="245"/>
      <c r="AC3353" s="235" t="s">
        <v>2092</v>
      </c>
      <c r="AD3353" s="235" t="s">
        <v>8663</v>
      </c>
      <c r="AE3353" s="238">
        <v>411045.0</v>
      </c>
      <c r="AF3353" s="235" t="s">
        <v>631</v>
      </c>
      <c r="AG3353" s="245"/>
      <c r="AH3353" s="245"/>
      <c r="AI3353" s="245"/>
      <c r="AJ3353" s="245"/>
      <c r="AK3353" s="245"/>
      <c r="AL3353" s="245"/>
      <c r="AM3353" s="245"/>
      <c r="AN3353" s="245"/>
      <c r="AO3353" s="238">
        <v>0.0</v>
      </c>
      <c r="AP3353" s="238">
        <v>0.0</v>
      </c>
      <c r="AQ3353" s="235" t="s">
        <v>632</v>
      </c>
      <c r="AR3353" s="243">
        <v>1.68E11</v>
      </c>
      <c r="AS3353" s="235" t="s">
        <v>23542</v>
      </c>
      <c r="AT3353" s="235" t="s">
        <v>546</v>
      </c>
      <c r="AU3353" s="235" t="s">
        <v>634</v>
      </c>
      <c r="AV3353" s="246" t="s">
        <v>635</v>
      </c>
      <c r="AW3353" s="227"/>
      <c r="AX3353" s="227"/>
      <c r="AY3353" s="227"/>
      <c r="AZ3353" s="227"/>
      <c r="BA3353" s="227"/>
      <c r="BB3353" s="227"/>
      <c r="BC3353" s="227"/>
      <c r="BD3353" s="227"/>
      <c r="BE3353" s="227"/>
      <c r="BF3353" s="227"/>
    </row>
    <row r="3354">
      <c r="A3354" s="235" t="s">
        <v>25209</v>
      </c>
      <c r="C3354" s="235" t="s">
        <v>25210</v>
      </c>
      <c r="D3354" s="235" t="s">
        <v>25211</v>
      </c>
      <c r="E3354" s="243">
        <v>6.52E13</v>
      </c>
      <c r="F3354" s="245"/>
      <c r="G3354" s="235" t="s">
        <v>25212</v>
      </c>
      <c r="H3354" s="235" t="s">
        <v>25213</v>
      </c>
      <c r="I3354" s="235" t="s">
        <v>25213</v>
      </c>
      <c r="J3354" s="235" t="s">
        <v>25214</v>
      </c>
      <c r="K3354" s="235" t="s">
        <v>25215</v>
      </c>
      <c r="N3354" s="235" t="s">
        <v>19</v>
      </c>
      <c r="O3354" s="235" t="s">
        <v>571</v>
      </c>
      <c r="P3354" s="238">
        <v>1.0</v>
      </c>
      <c r="Q3354" s="235" t="s">
        <v>627</v>
      </c>
      <c r="R3354" s="238">
        <v>360.96</v>
      </c>
      <c r="S3354" s="238">
        <v>18.04</v>
      </c>
      <c r="T3354" s="238">
        <v>0.0</v>
      </c>
      <c r="U3354" s="238">
        <v>0.0</v>
      </c>
      <c r="V3354" s="238">
        <v>0.0</v>
      </c>
      <c r="W3354" s="238">
        <v>0.0</v>
      </c>
      <c r="X3354" s="235" t="s">
        <v>628</v>
      </c>
      <c r="Z3354" s="245"/>
      <c r="AA3354" s="245"/>
      <c r="AB3354" s="245"/>
      <c r="AC3354" s="235" t="s">
        <v>1887</v>
      </c>
      <c r="AD3354" s="235" t="s">
        <v>679</v>
      </c>
      <c r="AE3354" s="238">
        <v>560005.0</v>
      </c>
      <c r="AF3354" s="235" t="s">
        <v>631</v>
      </c>
      <c r="AG3354" s="245"/>
      <c r="AH3354" s="245"/>
      <c r="AI3354" s="245"/>
      <c r="AJ3354" s="245"/>
      <c r="AK3354" s="245"/>
      <c r="AL3354" s="245"/>
      <c r="AM3354" s="245"/>
      <c r="AN3354" s="245"/>
      <c r="AO3354" s="238">
        <v>0.0</v>
      </c>
      <c r="AP3354" s="238">
        <v>0.0</v>
      </c>
      <c r="AQ3354" s="235" t="s">
        <v>632</v>
      </c>
      <c r="AR3354" s="243">
        <v>1.68E11</v>
      </c>
      <c r="AS3354" s="235" t="s">
        <v>25098</v>
      </c>
      <c r="AT3354" s="235" t="s">
        <v>9</v>
      </c>
      <c r="AU3354" s="235" t="s">
        <v>634</v>
      </c>
      <c r="AV3354" s="246" t="s">
        <v>635</v>
      </c>
      <c r="AW3354" s="227"/>
      <c r="AX3354" s="227"/>
      <c r="AY3354" s="227"/>
      <c r="AZ3354" s="227"/>
      <c r="BA3354" s="227"/>
      <c r="BB3354" s="227"/>
      <c r="BC3354" s="227"/>
      <c r="BD3354" s="227"/>
      <c r="BE3354" s="227"/>
      <c r="BF3354" s="227"/>
    </row>
    <row r="3355">
      <c r="A3355" s="235" t="s">
        <v>25216</v>
      </c>
      <c r="C3355" s="235" t="s">
        <v>25217</v>
      </c>
      <c r="D3355" s="235" t="s">
        <v>25218</v>
      </c>
      <c r="E3355" s="243">
        <v>6.51E13</v>
      </c>
      <c r="F3355" s="245"/>
      <c r="G3355" s="235" t="s">
        <v>25219</v>
      </c>
      <c r="H3355" s="235" t="s">
        <v>25220</v>
      </c>
      <c r="I3355" s="235" t="s">
        <v>25220</v>
      </c>
      <c r="J3355" s="235" t="s">
        <v>25221</v>
      </c>
      <c r="K3355" s="235" t="s">
        <v>12624</v>
      </c>
      <c r="N3355" s="235" t="s">
        <v>962</v>
      </c>
      <c r="O3355" s="235" t="s">
        <v>963</v>
      </c>
      <c r="P3355" s="238">
        <v>1.0</v>
      </c>
      <c r="Q3355" s="235" t="s">
        <v>627</v>
      </c>
      <c r="R3355" s="238">
        <v>237.14</v>
      </c>
      <c r="S3355" s="238">
        <v>11.86</v>
      </c>
      <c r="T3355" s="238">
        <v>38.1</v>
      </c>
      <c r="U3355" s="238">
        <v>1.9</v>
      </c>
      <c r="V3355" s="238">
        <v>0.0</v>
      </c>
      <c r="W3355" s="238">
        <v>0.0</v>
      </c>
      <c r="X3355" s="235" t="s">
        <v>628</v>
      </c>
      <c r="Z3355" s="245"/>
      <c r="AA3355" s="245"/>
      <c r="AB3355" s="245"/>
      <c r="AC3355" s="235" t="s">
        <v>12625</v>
      </c>
      <c r="AD3355" s="235" t="s">
        <v>881</v>
      </c>
      <c r="AE3355" s="238">
        <v>768211.0</v>
      </c>
      <c r="AF3355" s="235" t="s">
        <v>631</v>
      </c>
      <c r="AG3355" s="245"/>
      <c r="AH3355" s="245"/>
      <c r="AI3355" s="245"/>
      <c r="AJ3355" s="245"/>
      <c r="AK3355" s="245"/>
      <c r="AL3355" s="245"/>
      <c r="AM3355" s="245"/>
      <c r="AN3355" s="245"/>
      <c r="AO3355" s="238">
        <v>0.0</v>
      </c>
      <c r="AP3355" s="238">
        <v>-38.1</v>
      </c>
      <c r="AQ3355" s="235" t="s">
        <v>632</v>
      </c>
      <c r="AR3355" s="243">
        <v>3.71E11</v>
      </c>
      <c r="AS3355" s="235" t="s">
        <v>19388</v>
      </c>
      <c r="AT3355" s="235" t="s">
        <v>11</v>
      </c>
      <c r="AU3355" s="235" t="s">
        <v>634</v>
      </c>
      <c r="AV3355" s="246" t="s">
        <v>635</v>
      </c>
      <c r="AW3355" s="227"/>
      <c r="AX3355" s="227"/>
      <c r="AY3355" s="227"/>
      <c r="AZ3355" s="227"/>
      <c r="BA3355" s="227"/>
      <c r="BB3355" s="227"/>
      <c r="BC3355" s="227"/>
      <c r="BD3355" s="227"/>
      <c r="BE3355" s="227"/>
      <c r="BF3355" s="227"/>
    </row>
    <row r="3356">
      <c r="A3356" s="235" t="s">
        <v>25222</v>
      </c>
      <c r="C3356" s="235" t="s">
        <v>25223</v>
      </c>
      <c r="D3356" s="235" t="s">
        <v>25224</v>
      </c>
      <c r="E3356" s="243">
        <v>6.52E13</v>
      </c>
      <c r="F3356" s="245"/>
      <c r="G3356" s="235" t="s">
        <v>25225</v>
      </c>
      <c r="H3356" s="235" t="s">
        <v>25226</v>
      </c>
      <c r="I3356" s="235" t="s">
        <v>25226</v>
      </c>
      <c r="J3356" s="235" t="s">
        <v>25227</v>
      </c>
      <c r="K3356" s="235" t="s">
        <v>25228</v>
      </c>
      <c r="N3356" s="235" t="s">
        <v>90</v>
      </c>
      <c r="O3356" s="235" t="s">
        <v>279</v>
      </c>
      <c r="P3356" s="238">
        <v>1.0</v>
      </c>
      <c r="Q3356" s="235" t="s">
        <v>627</v>
      </c>
      <c r="R3356" s="238">
        <v>246.66</v>
      </c>
      <c r="S3356" s="238">
        <v>12.34</v>
      </c>
      <c r="T3356" s="238">
        <v>0.0</v>
      </c>
      <c r="U3356" s="238">
        <v>0.0</v>
      </c>
      <c r="V3356" s="238">
        <v>0.0</v>
      </c>
      <c r="W3356" s="238">
        <v>0.0</v>
      </c>
      <c r="X3356" s="235" t="s">
        <v>628</v>
      </c>
      <c r="Z3356" s="245"/>
      <c r="AA3356" s="245"/>
      <c r="AB3356" s="245"/>
      <c r="AC3356" s="235" t="s">
        <v>5357</v>
      </c>
      <c r="AD3356" s="235" t="s">
        <v>666</v>
      </c>
      <c r="AE3356" s="238">
        <v>641104.0</v>
      </c>
      <c r="AF3356" s="235" t="s">
        <v>631</v>
      </c>
      <c r="AG3356" s="245"/>
      <c r="AH3356" s="245"/>
      <c r="AI3356" s="245"/>
      <c r="AJ3356" s="245"/>
      <c r="AK3356" s="245"/>
      <c r="AL3356" s="245"/>
      <c r="AM3356" s="245"/>
      <c r="AN3356" s="245"/>
      <c r="AO3356" s="238">
        <v>0.0</v>
      </c>
      <c r="AP3356" s="238">
        <v>0.0</v>
      </c>
      <c r="AQ3356" s="235" t="s">
        <v>632</v>
      </c>
      <c r="AR3356" s="243">
        <v>3.71E11</v>
      </c>
      <c r="AS3356" s="235" t="s">
        <v>23542</v>
      </c>
      <c r="AT3356" s="235" t="s">
        <v>155</v>
      </c>
      <c r="AU3356" s="235" t="s">
        <v>634</v>
      </c>
      <c r="AV3356" s="246" t="s">
        <v>635</v>
      </c>
      <c r="AW3356" s="227"/>
      <c r="AX3356" s="227"/>
      <c r="AY3356" s="227"/>
      <c r="AZ3356" s="227"/>
      <c r="BA3356" s="227"/>
      <c r="BB3356" s="227"/>
      <c r="BC3356" s="227"/>
      <c r="BD3356" s="227"/>
      <c r="BE3356" s="227"/>
      <c r="BF3356" s="227"/>
    </row>
    <row r="3357">
      <c r="A3357" s="235" t="s">
        <v>25229</v>
      </c>
      <c r="C3357" s="235" t="s">
        <v>25230</v>
      </c>
      <c r="D3357" s="235" t="s">
        <v>25231</v>
      </c>
      <c r="E3357" s="243">
        <v>6.52E13</v>
      </c>
      <c r="F3357" s="245"/>
      <c r="G3357" s="235" t="s">
        <v>25232</v>
      </c>
      <c r="H3357" s="235" t="s">
        <v>25233</v>
      </c>
      <c r="I3357" s="235" t="s">
        <v>25234</v>
      </c>
      <c r="J3357" s="235" t="s">
        <v>25235</v>
      </c>
      <c r="K3357" s="235" t="s">
        <v>25236</v>
      </c>
      <c r="N3357" s="235" t="s">
        <v>962</v>
      </c>
      <c r="O3357" s="235" t="s">
        <v>963</v>
      </c>
      <c r="P3357" s="238">
        <v>1.0</v>
      </c>
      <c r="Q3357" s="235" t="s">
        <v>627</v>
      </c>
      <c r="R3357" s="238">
        <v>246.67</v>
      </c>
      <c r="S3357" s="238">
        <v>12.08</v>
      </c>
      <c r="T3357" s="238">
        <v>0.0</v>
      </c>
      <c r="U3357" s="238">
        <v>0.0</v>
      </c>
      <c r="V3357" s="238">
        <v>0.0</v>
      </c>
      <c r="W3357" s="238">
        <v>0.0</v>
      </c>
      <c r="X3357" s="235" t="s">
        <v>628</v>
      </c>
      <c r="Z3357" s="245"/>
      <c r="AA3357" s="245"/>
      <c r="AB3357" s="245"/>
      <c r="AC3357" s="235" t="s">
        <v>6436</v>
      </c>
      <c r="AD3357" s="235" t="s">
        <v>1499</v>
      </c>
      <c r="AE3357" s="238">
        <v>452010.0</v>
      </c>
      <c r="AF3357" s="235" t="s">
        <v>631</v>
      </c>
      <c r="AG3357" s="245"/>
      <c r="AH3357" s="245"/>
      <c r="AI3357" s="245"/>
      <c r="AJ3357" s="245"/>
      <c r="AK3357" s="245"/>
      <c r="AL3357" s="245"/>
      <c r="AM3357" s="245"/>
      <c r="AN3357" s="245"/>
      <c r="AO3357" s="238">
        <v>-4.93</v>
      </c>
      <c r="AP3357" s="238">
        <v>0.0</v>
      </c>
      <c r="AQ3357" s="235" t="s">
        <v>632</v>
      </c>
      <c r="AR3357" s="243">
        <v>1.68E11</v>
      </c>
      <c r="AS3357" s="235" t="s">
        <v>23542</v>
      </c>
      <c r="AT3357" s="235" t="s">
        <v>5</v>
      </c>
      <c r="AU3357" s="235" t="s">
        <v>634</v>
      </c>
      <c r="AV3357" s="246" t="s">
        <v>635</v>
      </c>
      <c r="AW3357" s="227"/>
      <c r="AX3357" s="227"/>
      <c r="AY3357" s="227"/>
      <c r="AZ3357" s="227"/>
      <c r="BA3357" s="227"/>
      <c r="BB3357" s="227"/>
      <c r="BC3357" s="227"/>
      <c r="BD3357" s="227"/>
      <c r="BE3357" s="227"/>
      <c r="BF3357" s="227"/>
    </row>
    <row r="3358">
      <c r="A3358" s="235" t="s">
        <v>25237</v>
      </c>
      <c r="C3358" s="235" t="s">
        <v>25238</v>
      </c>
      <c r="D3358" s="235" t="s">
        <v>25239</v>
      </c>
      <c r="E3358" s="243">
        <v>6.52E13</v>
      </c>
      <c r="F3358" s="245"/>
      <c r="G3358" s="235" t="s">
        <v>25240</v>
      </c>
      <c r="H3358" s="235" t="s">
        <v>25241</v>
      </c>
      <c r="I3358" s="235" t="s">
        <v>25242</v>
      </c>
      <c r="J3358" s="235" t="s">
        <v>25243</v>
      </c>
      <c r="K3358" s="235" t="s">
        <v>25244</v>
      </c>
      <c r="N3358" s="235" t="s">
        <v>42</v>
      </c>
      <c r="O3358" s="235" t="s">
        <v>204</v>
      </c>
      <c r="P3358" s="238">
        <v>1.0</v>
      </c>
      <c r="Q3358" s="235" t="s">
        <v>627</v>
      </c>
      <c r="R3358" s="238">
        <v>237.14</v>
      </c>
      <c r="S3358" s="238">
        <v>11.86</v>
      </c>
      <c r="T3358" s="238">
        <v>0.0</v>
      </c>
      <c r="U3358" s="238">
        <v>0.0</v>
      </c>
      <c r="V3358" s="238">
        <v>0.0</v>
      </c>
      <c r="W3358" s="238">
        <v>0.0</v>
      </c>
      <c r="X3358" s="235" t="s">
        <v>628</v>
      </c>
      <c r="Z3358" s="245"/>
      <c r="AA3358" s="245"/>
      <c r="AB3358" s="245"/>
      <c r="AC3358" s="235" t="s">
        <v>16320</v>
      </c>
      <c r="AD3358" s="235" t="s">
        <v>666</v>
      </c>
      <c r="AE3358" s="238">
        <v>625531.0</v>
      </c>
      <c r="AF3358" s="235" t="s">
        <v>631</v>
      </c>
      <c r="AG3358" s="245"/>
      <c r="AH3358" s="245"/>
      <c r="AI3358" s="245"/>
      <c r="AJ3358" s="245"/>
      <c r="AK3358" s="245"/>
      <c r="AL3358" s="245"/>
      <c r="AM3358" s="245"/>
      <c r="AN3358" s="245"/>
      <c r="AO3358" s="238">
        <v>0.0</v>
      </c>
      <c r="AP3358" s="238">
        <v>0.0</v>
      </c>
      <c r="AQ3358" s="235" t="s">
        <v>632</v>
      </c>
      <c r="AR3358" s="243">
        <v>3.71E11</v>
      </c>
      <c r="AS3358" s="235" t="s">
        <v>23542</v>
      </c>
      <c r="AT3358" s="235" t="s">
        <v>9</v>
      </c>
      <c r="AU3358" s="235" t="s">
        <v>634</v>
      </c>
      <c r="AV3358" s="246" t="s">
        <v>635</v>
      </c>
      <c r="AW3358" s="227"/>
      <c r="AX3358" s="227"/>
      <c r="AY3358" s="227"/>
      <c r="AZ3358" s="227"/>
      <c r="BA3358" s="227"/>
      <c r="BB3358" s="227"/>
      <c r="BC3358" s="227"/>
      <c r="BD3358" s="227"/>
      <c r="BE3358" s="227"/>
      <c r="BF3358" s="227"/>
    </row>
    <row r="3359">
      <c r="A3359" s="235" t="s">
        <v>25245</v>
      </c>
      <c r="C3359" s="235" t="s">
        <v>25246</v>
      </c>
      <c r="D3359" s="235" t="s">
        <v>25247</v>
      </c>
      <c r="E3359" s="243">
        <v>6.52E13</v>
      </c>
      <c r="F3359" s="245"/>
      <c r="G3359" s="235" t="s">
        <v>25248</v>
      </c>
      <c r="H3359" s="235" t="s">
        <v>25249</v>
      </c>
      <c r="I3359" s="235" t="s">
        <v>25250</v>
      </c>
      <c r="J3359" s="235" t="s">
        <v>25251</v>
      </c>
      <c r="K3359" s="235" t="s">
        <v>25252</v>
      </c>
      <c r="N3359" s="235" t="s">
        <v>2163</v>
      </c>
      <c r="O3359" s="235" t="s">
        <v>2164</v>
      </c>
      <c r="P3359" s="238">
        <v>1.0</v>
      </c>
      <c r="Q3359" s="235" t="s">
        <v>627</v>
      </c>
      <c r="R3359" s="238">
        <v>246.66</v>
      </c>
      <c r="S3359" s="238">
        <v>12.1</v>
      </c>
      <c r="T3359" s="238">
        <v>0.0</v>
      </c>
      <c r="U3359" s="238">
        <v>0.0</v>
      </c>
      <c r="V3359" s="238">
        <v>0.0</v>
      </c>
      <c r="W3359" s="238">
        <v>0.0</v>
      </c>
      <c r="X3359" s="235" t="s">
        <v>628</v>
      </c>
      <c r="Z3359" s="245"/>
      <c r="AA3359" s="245"/>
      <c r="AB3359" s="245"/>
      <c r="AC3359" s="235" t="s">
        <v>20832</v>
      </c>
      <c r="AD3359" s="235" t="s">
        <v>928</v>
      </c>
      <c r="AE3359" s="238">
        <v>134113.0</v>
      </c>
      <c r="AF3359" s="235" t="s">
        <v>631</v>
      </c>
      <c r="AG3359" s="245"/>
      <c r="AH3359" s="245"/>
      <c r="AI3359" s="245"/>
      <c r="AJ3359" s="245"/>
      <c r="AK3359" s="245"/>
      <c r="AL3359" s="245"/>
      <c r="AM3359" s="245"/>
      <c r="AN3359" s="245"/>
      <c r="AO3359" s="238">
        <v>-4.94</v>
      </c>
      <c r="AP3359" s="238">
        <v>0.0</v>
      </c>
      <c r="AQ3359" s="235" t="s">
        <v>632</v>
      </c>
      <c r="AR3359" s="243">
        <v>1.68E11</v>
      </c>
      <c r="AS3359" s="235" t="s">
        <v>23542</v>
      </c>
      <c r="AT3359" s="235" t="s">
        <v>13</v>
      </c>
      <c r="AU3359" s="235" t="s">
        <v>634</v>
      </c>
      <c r="AV3359" s="246" t="s">
        <v>635</v>
      </c>
      <c r="AW3359" s="227"/>
      <c r="AX3359" s="227"/>
      <c r="AY3359" s="227"/>
      <c r="AZ3359" s="227"/>
      <c r="BA3359" s="227"/>
      <c r="BB3359" s="227"/>
      <c r="BC3359" s="227"/>
      <c r="BD3359" s="227"/>
      <c r="BE3359" s="227"/>
      <c r="BF3359" s="227"/>
    </row>
    <row r="3360">
      <c r="A3360" s="235" t="s">
        <v>25253</v>
      </c>
      <c r="C3360" s="235" t="s">
        <v>25254</v>
      </c>
      <c r="D3360" s="235" t="s">
        <v>25255</v>
      </c>
      <c r="E3360" s="243">
        <v>6.52E13</v>
      </c>
      <c r="F3360" s="245"/>
      <c r="G3360" s="235" t="s">
        <v>25256</v>
      </c>
      <c r="H3360" s="235" t="s">
        <v>25257</v>
      </c>
      <c r="I3360" s="235" t="s">
        <v>25257</v>
      </c>
      <c r="J3360" s="235" t="s">
        <v>25258</v>
      </c>
      <c r="K3360" s="235" t="s">
        <v>25259</v>
      </c>
      <c r="N3360" s="235" t="s">
        <v>842</v>
      </c>
      <c r="O3360" s="235" t="s">
        <v>843</v>
      </c>
      <c r="P3360" s="238">
        <v>1.0</v>
      </c>
      <c r="Q3360" s="235" t="s">
        <v>627</v>
      </c>
      <c r="R3360" s="238">
        <v>237.14</v>
      </c>
      <c r="S3360" s="238">
        <v>11.86</v>
      </c>
      <c r="T3360" s="238">
        <v>0.0</v>
      </c>
      <c r="U3360" s="238">
        <v>0.0</v>
      </c>
      <c r="V3360" s="238">
        <v>0.0</v>
      </c>
      <c r="W3360" s="238">
        <v>0.0</v>
      </c>
      <c r="X3360" s="235" t="s">
        <v>628</v>
      </c>
      <c r="Z3360" s="245"/>
      <c r="AA3360" s="245"/>
      <c r="AB3360" s="245"/>
      <c r="AC3360" s="235" t="s">
        <v>15649</v>
      </c>
      <c r="AD3360" s="235" t="s">
        <v>666</v>
      </c>
      <c r="AE3360" s="238">
        <v>635126.0</v>
      </c>
      <c r="AF3360" s="235" t="s">
        <v>631</v>
      </c>
      <c r="AG3360" s="245"/>
      <c r="AH3360" s="245"/>
      <c r="AI3360" s="245"/>
      <c r="AJ3360" s="245"/>
      <c r="AK3360" s="245"/>
      <c r="AL3360" s="245"/>
      <c r="AM3360" s="245"/>
      <c r="AN3360" s="245"/>
      <c r="AO3360" s="238">
        <v>0.0</v>
      </c>
      <c r="AP3360" s="238">
        <v>0.0</v>
      </c>
      <c r="AQ3360" s="235" t="s">
        <v>632</v>
      </c>
      <c r="AR3360" s="243">
        <v>3.71E11</v>
      </c>
      <c r="AS3360" s="235" t="s">
        <v>23542</v>
      </c>
      <c r="AT3360" s="235" t="s">
        <v>11</v>
      </c>
      <c r="AU3360" s="235" t="s">
        <v>634</v>
      </c>
      <c r="AV3360" s="246" t="s">
        <v>635</v>
      </c>
      <c r="AW3360" s="227"/>
      <c r="AX3360" s="227"/>
      <c r="AY3360" s="227"/>
      <c r="AZ3360" s="227"/>
      <c r="BA3360" s="227"/>
      <c r="BB3360" s="227"/>
      <c r="BC3360" s="227"/>
      <c r="BD3360" s="227"/>
      <c r="BE3360" s="227"/>
      <c r="BF3360" s="227"/>
    </row>
    <row r="3361">
      <c r="A3361" s="235" t="s">
        <v>25260</v>
      </c>
      <c r="C3361" s="235" t="s">
        <v>25261</v>
      </c>
      <c r="D3361" s="235" t="s">
        <v>25262</v>
      </c>
      <c r="E3361" s="243">
        <v>6.52E13</v>
      </c>
      <c r="F3361" s="245"/>
      <c r="G3361" s="235" t="s">
        <v>25263</v>
      </c>
      <c r="H3361" s="235" t="s">
        <v>25264</v>
      </c>
      <c r="I3361" s="235" t="s">
        <v>25264</v>
      </c>
      <c r="J3361" s="235" t="s">
        <v>25265</v>
      </c>
      <c r="K3361" s="235" t="s">
        <v>25266</v>
      </c>
      <c r="N3361" s="235" t="s">
        <v>144</v>
      </c>
      <c r="O3361" s="235" t="s">
        <v>232</v>
      </c>
      <c r="P3361" s="238">
        <v>1.0</v>
      </c>
      <c r="Q3361" s="235" t="s">
        <v>627</v>
      </c>
      <c r="R3361" s="238">
        <v>626.66</v>
      </c>
      <c r="S3361" s="238">
        <v>30.4</v>
      </c>
      <c r="T3361" s="238">
        <v>0.0</v>
      </c>
      <c r="U3361" s="238">
        <v>0.0</v>
      </c>
      <c r="V3361" s="238">
        <v>0.0</v>
      </c>
      <c r="W3361" s="238">
        <v>0.0</v>
      </c>
      <c r="X3361" s="235" t="s">
        <v>628</v>
      </c>
      <c r="Z3361" s="245"/>
      <c r="AA3361" s="245"/>
      <c r="AB3361" s="245"/>
      <c r="AC3361" s="235" t="s">
        <v>844</v>
      </c>
      <c r="AD3361" s="235" t="s">
        <v>845</v>
      </c>
      <c r="AE3361" s="238">
        <v>411028.0</v>
      </c>
      <c r="AF3361" s="235" t="s">
        <v>631</v>
      </c>
      <c r="AG3361" s="245"/>
      <c r="AH3361" s="245"/>
      <c r="AI3361" s="245"/>
      <c r="AJ3361" s="245"/>
      <c r="AK3361" s="245"/>
      <c r="AL3361" s="245"/>
      <c r="AM3361" s="245"/>
      <c r="AN3361" s="245"/>
      <c r="AO3361" s="238">
        <v>-18.8</v>
      </c>
      <c r="AP3361" s="238">
        <v>0.0</v>
      </c>
      <c r="AQ3361" s="235" t="s">
        <v>632</v>
      </c>
      <c r="AR3361" s="243">
        <v>3.71E11</v>
      </c>
      <c r="AS3361" s="235" t="s">
        <v>23542</v>
      </c>
      <c r="AT3361" s="235" t="s">
        <v>546</v>
      </c>
      <c r="AU3361" s="235" t="s">
        <v>634</v>
      </c>
      <c r="AV3361" s="246" t="s">
        <v>635</v>
      </c>
      <c r="AW3361" s="227"/>
      <c r="AX3361" s="227"/>
      <c r="AY3361" s="227"/>
      <c r="AZ3361" s="227"/>
      <c r="BA3361" s="227"/>
      <c r="BB3361" s="227"/>
      <c r="BC3361" s="227"/>
      <c r="BD3361" s="227"/>
      <c r="BE3361" s="227"/>
      <c r="BF3361" s="227"/>
    </row>
    <row r="3362">
      <c r="A3362" s="235" t="s">
        <v>25267</v>
      </c>
      <c r="C3362" s="235" t="s">
        <v>25268</v>
      </c>
      <c r="D3362" s="235" t="s">
        <v>25269</v>
      </c>
      <c r="E3362" s="243">
        <v>6.52E13</v>
      </c>
      <c r="F3362" s="245"/>
      <c r="G3362" s="235" t="s">
        <v>25270</v>
      </c>
      <c r="H3362" s="235" t="s">
        <v>25271</v>
      </c>
      <c r="I3362" s="235" t="s">
        <v>25271</v>
      </c>
      <c r="J3362" s="235" t="s">
        <v>25272</v>
      </c>
      <c r="K3362" s="235" t="s">
        <v>25273</v>
      </c>
      <c r="N3362" s="235" t="s">
        <v>90</v>
      </c>
      <c r="O3362" s="235" t="s">
        <v>279</v>
      </c>
      <c r="P3362" s="238">
        <v>1.0</v>
      </c>
      <c r="Q3362" s="235" t="s">
        <v>627</v>
      </c>
      <c r="R3362" s="238">
        <v>246.67</v>
      </c>
      <c r="S3362" s="238">
        <v>12.08</v>
      </c>
      <c r="T3362" s="238">
        <v>0.0</v>
      </c>
      <c r="U3362" s="238">
        <v>0.0</v>
      </c>
      <c r="V3362" s="238">
        <v>0.0</v>
      </c>
      <c r="W3362" s="238">
        <v>0.0</v>
      </c>
      <c r="X3362" s="235" t="s">
        <v>628</v>
      </c>
      <c r="Z3362" s="245"/>
      <c r="AA3362" s="245"/>
      <c r="AB3362" s="245"/>
      <c r="AC3362" s="235" t="s">
        <v>697</v>
      </c>
      <c r="AD3362" s="235" t="s">
        <v>698</v>
      </c>
      <c r="AE3362" s="238">
        <v>500016.0</v>
      </c>
      <c r="AF3362" s="235" t="s">
        <v>631</v>
      </c>
      <c r="AG3362" s="245"/>
      <c r="AH3362" s="245"/>
      <c r="AI3362" s="245"/>
      <c r="AJ3362" s="245"/>
      <c r="AK3362" s="245"/>
      <c r="AL3362" s="245"/>
      <c r="AM3362" s="245"/>
      <c r="AN3362" s="245"/>
      <c r="AO3362" s="238">
        <v>-4.93</v>
      </c>
      <c r="AP3362" s="238">
        <v>0.0</v>
      </c>
      <c r="AQ3362" s="235" t="s">
        <v>632</v>
      </c>
      <c r="AR3362" s="243">
        <v>1.68E11</v>
      </c>
      <c r="AS3362" s="235" t="s">
        <v>23542</v>
      </c>
      <c r="AT3362" s="235" t="s">
        <v>9</v>
      </c>
      <c r="AU3362" s="235" t="s">
        <v>634</v>
      </c>
      <c r="AV3362" s="246" t="s">
        <v>635</v>
      </c>
      <c r="AW3362" s="227"/>
      <c r="AX3362" s="227"/>
      <c r="AY3362" s="227"/>
      <c r="AZ3362" s="227"/>
      <c r="BA3362" s="227"/>
      <c r="BB3362" s="227"/>
      <c r="BC3362" s="227"/>
      <c r="BD3362" s="227"/>
      <c r="BE3362" s="227"/>
      <c r="BF3362" s="227"/>
    </row>
    <row r="3363">
      <c r="A3363" s="235" t="s">
        <v>25274</v>
      </c>
      <c r="C3363" s="235" t="s">
        <v>25275</v>
      </c>
      <c r="D3363" s="235" t="s">
        <v>25276</v>
      </c>
      <c r="E3363" s="243">
        <v>6.52E13</v>
      </c>
      <c r="F3363" s="245"/>
      <c r="G3363" s="235" t="s">
        <v>25277</v>
      </c>
      <c r="H3363" s="235" t="s">
        <v>25278</v>
      </c>
      <c r="I3363" s="235" t="s">
        <v>25278</v>
      </c>
      <c r="J3363" s="235" t="s">
        <v>25279</v>
      </c>
      <c r="K3363" s="235" t="s">
        <v>25280</v>
      </c>
      <c r="N3363" s="235" t="s">
        <v>154</v>
      </c>
      <c r="O3363" s="235" t="s">
        <v>766</v>
      </c>
      <c r="P3363" s="238">
        <v>1.0</v>
      </c>
      <c r="Q3363" s="235" t="s">
        <v>627</v>
      </c>
      <c r="R3363" s="238">
        <v>465.71</v>
      </c>
      <c r="S3363" s="238">
        <v>23.29</v>
      </c>
      <c r="T3363" s="238">
        <v>0.0</v>
      </c>
      <c r="U3363" s="238">
        <v>0.0</v>
      </c>
      <c r="V3363" s="238">
        <v>0.0</v>
      </c>
      <c r="W3363" s="238">
        <v>0.0</v>
      </c>
      <c r="X3363" s="235" t="s">
        <v>628</v>
      </c>
      <c r="Z3363" s="245"/>
      <c r="AA3363" s="245"/>
      <c r="AB3363" s="245"/>
      <c r="AC3363" s="235" t="s">
        <v>3351</v>
      </c>
      <c r="AD3363" s="235" t="s">
        <v>1499</v>
      </c>
      <c r="AE3363" s="238">
        <v>462039.0</v>
      </c>
      <c r="AF3363" s="235" t="s">
        <v>631</v>
      </c>
      <c r="AG3363" s="245"/>
      <c r="AH3363" s="245"/>
      <c r="AI3363" s="245"/>
      <c r="AJ3363" s="245"/>
      <c r="AK3363" s="245"/>
      <c r="AL3363" s="245"/>
      <c r="AM3363" s="245"/>
      <c r="AN3363" s="245"/>
      <c r="AO3363" s="238">
        <v>0.0</v>
      </c>
      <c r="AP3363" s="238">
        <v>0.0</v>
      </c>
      <c r="AQ3363" s="235" t="s">
        <v>632</v>
      </c>
      <c r="AR3363" s="243">
        <v>3.71E11</v>
      </c>
      <c r="AS3363" s="235" t="s">
        <v>22269</v>
      </c>
      <c r="AT3363" s="235" t="s">
        <v>5</v>
      </c>
      <c r="AU3363" s="235" t="s">
        <v>634</v>
      </c>
      <c r="AV3363" s="246" t="s">
        <v>635</v>
      </c>
      <c r="AW3363" s="227"/>
      <c r="AX3363" s="227"/>
      <c r="AY3363" s="227"/>
      <c r="AZ3363" s="227"/>
      <c r="BA3363" s="227"/>
      <c r="BB3363" s="227"/>
      <c r="BC3363" s="227"/>
      <c r="BD3363" s="227"/>
      <c r="BE3363" s="227"/>
      <c r="BF3363" s="227"/>
    </row>
    <row r="3364">
      <c r="A3364" s="235" t="s">
        <v>25281</v>
      </c>
      <c r="C3364" s="235" t="s">
        <v>25282</v>
      </c>
      <c r="D3364" s="235" t="s">
        <v>25283</v>
      </c>
      <c r="E3364" s="243">
        <v>6.52E13</v>
      </c>
      <c r="F3364" s="245"/>
      <c r="G3364" s="235" t="s">
        <v>25284</v>
      </c>
      <c r="H3364" s="235" t="s">
        <v>25285</v>
      </c>
      <c r="I3364" s="235" t="s">
        <v>25285</v>
      </c>
      <c r="J3364" s="235" t="s">
        <v>25286</v>
      </c>
      <c r="K3364" s="235" t="s">
        <v>25287</v>
      </c>
      <c r="N3364" s="235" t="s">
        <v>842</v>
      </c>
      <c r="O3364" s="235" t="s">
        <v>843</v>
      </c>
      <c r="P3364" s="238">
        <v>1.0</v>
      </c>
      <c r="Q3364" s="235" t="s">
        <v>627</v>
      </c>
      <c r="R3364" s="238">
        <v>246.67</v>
      </c>
      <c r="S3364" s="238">
        <v>12.08</v>
      </c>
      <c r="T3364" s="238">
        <v>0.0</v>
      </c>
      <c r="U3364" s="238">
        <v>0.0</v>
      </c>
      <c r="V3364" s="238">
        <v>0.0</v>
      </c>
      <c r="W3364" s="238">
        <v>0.0</v>
      </c>
      <c r="X3364" s="235" t="s">
        <v>628</v>
      </c>
      <c r="Z3364" s="245"/>
      <c r="AA3364" s="245"/>
      <c r="AB3364" s="245"/>
      <c r="AC3364" s="235" t="s">
        <v>697</v>
      </c>
      <c r="AD3364" s="235" t="s">
        <v>698</v>
      </c>
      <c r="AE3364" s="238">
        <v>500001.0</v>
      </c>
      <c r="AF3364" s="235" t="s">
        <v>631</v>
      </c>
      <c r="AG3364" s="245"/>
      <c r="AH3364" s="245"/>
      <c r="AI3364" s="245"/>
      <c r="AJ3364" s="245"/>
      <c r="AK3364" s="245"/>
      <c r="AL3364" s="245"/>
      <c r="AM3364" s="245"/>
      <c r="AN3364" s="245"/>
      <c r="AO3364" s="238">
        <v>-4.93</v>
      </c>
      <c r="AP3364" s="238">
        <v>0.0</v>
      </c>
      <c r="AQ3364" s="235" t="s">
        <v>632</v>
      </c>
      <c r="AR3364" s="243">
        <v>1.68E11</v>
      </c>
      <c r="AS3364" s="235" t="s">
        <v>23542</v>
      </c>
      <c r="AT3364" s="235" t="s">
        <v>9</v>
      </c>
      <c r="AU3364" s="235" t="s">
        <v>634</v>
      </c>
      <c r="AV3364" s="246" t="s">
        <v>635</v>
      </c>
      <c r="AW3364" s="227"/>
      <c r="AX3364" s="227"/>
      <c r="AY3364" s="227"/>
      <c r="AZ3364" s="227"/>
      <c r="BA3364" s="227"/>
      <c r="BB3364" s="227"/>
      <c r="BC3364" s="227"/>
      <c r="BD3364" s="227"/>
      <c r="BE3364" s="227"/>
      <c r="BF3364" s="227"/>
    </row>
    <row r="3365">
      <c r="A3365" s="235" t="s">
        <v>25288</v>
      </c>
      <c r="C3365" s="235" t="s">
        <v>25289</v>
      </c>
      <c r="D3365" s="235" t="s">
        <v>25290</v>
      </c>
      <c r="E3365" s="243">
        <v>6.52E13</v>
      </c>
      <c r="F3365" s="245"/>
      <c r="G3365" s="235" t="s">
        <v>25291</v>
      </c>
      <c r="H3365" s="235" t="s">
        <v>25292</v>
      </c>
      <c r="I3365" s="235" t="s">
        <v>25292</v>
      </c>
      <c r="J3365" s="235" t="s">
        <v>25293</v>
      </c>
      <c r="K3365" s="235" t="s">
        <v>25294</v>
      </c>
      <c r="N3365" s="235" t="s">
        <v>2696</v>
      </c>
      <c r="O3365" s="235" t="s">
        <v>2697</v>
      </c>
      <c r="P3365" s="238">
        <v>1.0</v>
      </c>
      <c r="Q3365" s="235" t="s">
        <v>627</v>
      </c>
      <c r="R3365" s="238">
        <v>246.66</v>
      </c>
      <c r="S3365" s="238">
        <v>12.34</v>
      </c>
      <c r="T3365" s="238">
        <v>0.0</v>
      </c>
      <c r="U3365" s="238">
        <v>0.0</v>
      </c>
      <c r="V3365" s="238">
        <v>0.0</v>
      </c>
      <c r="W3365" s="238">
        <v>0.0</v>
      </c>
      <c r="X3365" s="235" t="s">
        <v>628</v>
      </c>
      <c r="Z3365" s="245"/>
      <c r="AA3365" s="245"/>
      <c r="AB3365" s="245"/>
      <c r="AC3365" s="235" t="s">
        <v>25295</v>
      </c>
      <c r="AD3365" s="235" t="s">
        <v>845</v>
      </c>
      <c r="AE3365" s="238">
        <v>424002.0</v>
      </c>
      <c r="AF3365" s="235" t="s">
        <v>631</v>
      </c>
      <c r="AG3365" s="245"/>
      <c r="AH3365" s="245"/>
      <c r="AI3365" s="245"/>
      <c r="AJ3365" s="245"/>
      <c r="AK3365" s="245"/>
      <c r="AL3365" s="245"/>
      <c r="AM3365" s="245"/>
      <c r="AN3365" s="245"/>
      <c r="AO3365" s="238">
        <v>0.0</v>
      </c>
      <c r="AP3365" s="238">
        <v>0.0</v>
      </c>
      <c r="AQ3365" s="235" t="s">
        <v>632</v>
      </c>
      <c r="AR3365" s="243">
        <v>3.71E11</v>
      </c>
      <c r="AS3365" s="235" t="s">
        <v>23542</v>
      </c>
      <c r="AT3365" s="235" t="s">
        <v>17</v>
      </c>
      <c r="AU3365" s="235" t="s">
        <v>634</v>
      </c>
      <c r="AV3365" s="246" t="s">
        <v>635</v>
      </c>
      <c r="AW3365" s="227"/>
      <c r="AX3365" s="227"/>
      <c r="AY3365" s="227"/>
      <c r="AZ3365" s="227"/>
      <c r="BA3365" s="227"/>
      <c r="BB3365" s="227"/>
      <c r="BC3365" s="227"/>
      <c r="BD3365" s="227"/>
      <c r="BE3365" s="227"/>
      <c r="BF3365" s="227"/>
    </row>
    <row r="3366">
      <c r="A3366" s="235" t="s">
        <v>25296</v>
      </c>
      <c r="C3366" s="235" t="s">
        <v>25297</v>
      </c>
      <c r="D3366" s="235" t="s">
        <v>25298</v>
      </c>
      <c r="E3366" s="243">
        <v>6.51E13</v>
      </c>
      <c r="F3366" s="245"/>
      <c r="G3366" s="235" t="s">
        <v>25299</v>
      </c>
      <c r="H3366" s="235" t="s">
        <v>25300</v>
      </c>
      <c r="I3366" s="235" t="s">
        <v>25300</v>
      </c>
      <c r="J3366" s="235" t="s">
        <v>25301</v>
      </c>
      <c r="K3366" s="235" t="s">
        <v>25302</v>
      </c>
      <c r="N3366" s="235" t="s">
        <v>98</v>
      </c>
      <c r="O3366" s="235" t="s">
        <v>357</v>
      </c>
      <c r="P3366" s="238">
        <v>1.0</v>
      </c>
      <c r="Q3366" s="235" t="s">
        <v>627</v>
      </c>
      <c r="R3366" s="238">
        <v>270.48</v>
      </c>
      <c r="S3366" s="238">
        <v>13.52</v>
      </c>
      <c r="T3366" s="238">
        <v>38.1</v>
      </c>
      <c r="U3366" s="238">
        <v>1.9</v>
      </c>
      <c r="V3366" s="238">
        <v>0.0</v>
      </c>
      <c r="W3366" s="238">
        <v>0.0</v>
      </c>
      <c r="X3366" s="235" t="s">
        <v>628</v>
      </c>
      <c r="Z3366" s="245"/>
      <c r="AA3366" s="245"/>
      <c r="AB3366" s="245"/>
      <c r="AC3366" s="235" t="s">
        <v>1287</v>
      </c>
      <c r="AD3366" s="235" t="s">
        <v>630</v>
      </c>
      <c r="AE3366" s="238">
        <v>201009.0</v>
      </c>
      <c r="AF3366" s="235" t="s">
        <v>631</v>
      </c>
      <c r="AG3366" s="245"/>
      <c r="AH3366" s="245"/>
      <c r="AI3366" s="245"/>
      <c r="AJ3366" s="245"/>
      <c r="AK3366" s="245"/>
      <c r="AL3366" s="245"/>
      <c r="AM3366" s="245"/>
      <c r="AN3366" s="245"/>
      <c r="AO3366" s="238">
        <v>0.0</v>
      </c>
      <c r="AP3366" s="238">
        <v>-38.1</v>
      </c>
      <c r="AQ3366" s="235" t="s">
        <v>632</v>
      </c>
      <c r="AR3366" s="243">
        <v>3.71E11</v>
      </c>
      <c r="AS3366" s="235" t="s">
        <v>23542</v>
      </c>
      <c r="AT3366" s="235" t="s">
        <v>13</v>
      </c>
      <c r="AU3366" s="235" t="s">
        <v>634</v>
      </c>
      <c r="AV3366" s="246" t="s">
        <v>635</v>
      </c>
      <c r="AW3366" s="227"/>
      <c r="AX3366" s="227"/>
      <c r="AY3366" s="227"/>
      <c r="AZ3366" s="227"/>
      <c r="BA3366" s="227"/>
      <c r="BB3366" s="227"/>
      <c r="BC3366" s="227"/>
      <c r="BD3366" s="227"/>
      <c r="BE3366" s="227"/>
      <c r="BF3366" s="227"/>
    </row>
    <row r="3367">
      <c r="A3367" s="235" t="s">
        <v>25303</v>
      </c>
      <c r="C3367" s="235" t="s">
        <v>25304</v>
      </c>
      <c r="D3367" s="235" t="s">
        <v>25305</v>
      </c>
      <c r="E3367" s="243">
        <v>6.52E13</v>
      </c>
      <c r="F3367" s="245"/>
      <c r="G3367" s="235" t="s">
        <v>25306</v>
      </c>
      <c r="H3367" s="235" t="s">
        <v>25307</v>
      </c>
      <c r="I3367" s="235" t="s">
        <v>25307</v>
      </c>
      <c r="J3367" s="235" t="s">
        <v>25308</v>
      </c>
      <c r="K3367" s="235" t="s">
        <v>25309</v>
      </c>
      <c r="N3367" s="235" t="s">
        <v>82</v>
      </c>
      <c r="O3367" s="235" t="s">
        <v>889</v>
      </c>
      <c r="P3367" s="238">
        <v>1.0</v>
      </c>
      <c r="Q3367" s="235" t="s">
        <v>627</v>
      </c>
      <c r="R3367" s="238">
        <v>246.67</v>
      </c>
      <c r="S3367" s="238">
        <v>12.33</v>
      </c>
      <c r="T3367" s="238">
        <v>0.0</v>
      </c>
      <c r="U3367" s="238">
        <v>0.0</v>
      </c>
      <c r="V3367" s="238">
        <v>0.0</v>
      </c>
      <c r="W3367" s="238">
        <v>0.0</v>
      </c>
      <c r="X3367" s="235" t="s">
        <v>628</v>
      </c>
      <c r="Z3367" s="245"/>
      <c r="AA3367" s="245"/>
      <c r="AB3367" s="245"/>
      <c r="AC3367" s="235" t="s">
        <v>697</v>
      </c>
      <c r="AD3367" s="235" t="s">
        <v>698</v>
      </c>
      <c r="AE3367" s="238">
        <v>500083.0</v>
      </c>
      <c r="AF3367" s="235" t="s">
        <v>631</v>
      </c>
      <c r="AG3367" s="245"/>
      <c r="AH3367" s="245"/>
      <c r="AI3367" s="245"/>
      <c r="AJ3367" s="245"/>
      <c r="AK3367" s="245"/>
      <c r="AL3367" s="245"/>
      <c r="AM3367" s="245"/>
      <c r="AN3367" s="245"/>
      <c r="AO3367" s="238">
        <v>0.0</v>
      </c>
      <c r="AP3367" s="238">
        <v>0.0</v>
      </c>
      <c r="AQ3367" s="235" t="s">
        <v>632</v>
      </c>
      <c r="AR3367" s="243">
        <v>1.68E11</v>
      </c>
      <c r="AS3367" s="235" t="s">
        <v>23542</v>
      </c>
      <c r="AT3367" s="235" t="s">
        <v>9</v>
      </c>
      <c r="AU3367" s="235" t="s">
        <v>634</v>
      </c>
      <c r="AV3367" s="246" t="s">
        <v>635</v>
      </c>
      <c r="AW3367" s="227"/>
      <c r="AX3367" s="227"/>
      <c r="AY3367" s="227"/>
      <c r="AZ3367" s="227"/>
      <c r="BA3367" s="227"/>
      <c r="BB3367" s="227"/>
      <c r="BC3367" s="227"/>
      <c r="BD3367" s="227"/>
      <c r="BE3367" s="227"/>
      <c r="BF3367" s="227"/>
    </row>
    <row r="3368">
      <c r="A3368" s="235" t="s">
        <v>25310</v>
      </c>
      <c r="C3368" s="235" t="s">
        <v>25311</v>
      </c>
      <c r="D3368" s="235" t="s">
        <v>25312</v>
      </c>
      <c r="E3368" s="243">
        <v>6.52E13</v>
      </c>
      <c r="F3368" s="245"/>
      <c r="G3368" s="235" t="s">
        <v>25313</v>
      </c>
      <c r="H3368" s="235" t="s">
        <v>25314</v>
      </c>
      <c r="I3368" s="235" t="s">
        <v>25314</v>
      </c>
      <c r="J3368" s="235" t="s">
        <v>25315</v>
      </c>
      <c r="K3368" s="235" t="s">
        <v>25316</v>
      </c>
      <c r="N3368" s="235" t="s">
        <v>42</v>
      </c>
      <c r="O3368" s="235" t="s">
        <v>204</v>
      </c>
      <c r="P3368" s="238">
        <v>1.0</v>
      </c>
      <c r="Q3368" s="235" t="s">
        <v>627</v>
      </c>
      <c r="R3368" s="238">
        <v>237.14</v>
      </c>
      <c r="S3368" s="238">
        <v>11.62</v>
      </c>
      <c r="T3368" s="238">
        <v>0.0</v>
      </c>
      <c r="U3368" s="238">
        <v>0.0</v>
      </c>
      <c r="V3368" s="238">
        <v>0.0</v>
      </c>
      <c r="W3368" s="238">
        <v>0.0</v>
      </c>
      <c r="X3368" s="235" t="s">
        <v>628</v>
      </c>
      <c r="Z3368" s="245"/>
      <c r="AA3368" s="245"/>
      <c r="AB3368" s="245"/>
      <c r="AC3368" s="235" t="s">
        <v>697</v>
      </c>
      <c r="AD3368" s="235" t="s">
        <v>698</v>
      </c>
      <c r="AE3368" s="238">
        <v>500072.0</v>
      </c>
      <c r="AF3368" s="235" t="s">
        <v>631</v>
      </c>
      <c r="AG3368" s="245"/>
      <c r="AH3368" s="245"/>
      <c r="AI3368" s="245"/>
      <c r="AJ3368" s="245"/>
      <c r="AK3368" s="245"/>
      <c r="AL3368" s="245"/>
      <c r="AM3368" s="245"/>
      <c r="AN3368" s="245"/>
      <c r="AO3368" s="238">
        <v>-4.74</v>
      </c>
      <c r="AP3368" s="238">
        <v>0.0</v>
      </c>
      <c r="AQ3368" s="235" t="s">
        <v>632</v>
      </c>
      <c r="AR3368" s="243">
        <v>3.71E11</v>
      </c>
      <c r="AS3368" s="235" t="s">
        <v>22269</v>
      </c>
      <c r="AT3368" s="235" t="s">
        <v>17</v>
      </c>
      <c r="AU3368" s="235" t="s">
        <v>634</v>
      </c>
      <c r="AV3368" s="246" t="s">
        <v>635</v>
      </c>
      <c r="AW3368" s="227"/>
      <c r="AX3368" s="227"/>
      <c r="AY3368" s="227"/>
      <c r="AZ3368" s="227"/>
      <c r="BA3368" s="227"/>
      <c r="BB3368" s="227"/>
      <c r="BC3368" s="227"/>
      <c r="BD3368" s="227"/>
      <c r="BE3368" s="227"/>
      <c r="BF3368" s="227"/>
    </row>
    <row r="3369">
      <c r="A3369" s="235" t="s">
        <v>25317</v>
      </c>
      <c r="C3369" s="235" t="s">
        <v>25318</v>
      </c>
      <c r="D3369" s="235" t="s">
        <v>25319</v>
      </c>
      <c r="E3369" s="243">
        <v>6.52E13</v>
      </c>
      <c r="F3369" s="245"/>
      <c r="G3369" s="235" t="s">
        <v>25320</v>
      </c>
      <c r="H3369" s="235" t="s">
        <v>25321</v>
      </c>
      <c r="I3369" s="235" t="s">
        <v>25322</v>
      </c>
      <c r="J3369" s="235" t="s">
        <v>25323</v>
      </c>
      <c r="K3369" s="235" t="s">
        <v>25324</v>
      </c>
      <c r="N3369" s="235" t="s">
        <v>138</v>
      </c>
      <c r="O3369" s="235" t="s">
        <v>675</v>
      </c>
      <c r="P3369" s="238">
        <v>1.0</v>
      </c>
      <c r="Q3369" s="235" t="s">
        <v>627</v>
      </c>
      <c r="R3369" s="238">
        <v>246.66</v>
      </c>
      <c r="S3369" s="238">
        <v>12.1</v>
      </c>
      <c r="T3369" s="238">
        <v>0.0</v>
      </c>
      <c r="U3369" s="238">
        <v>0.0</v>
      </c>
      <c r="V3369" s="238">
        <v>0.0</v>
      </c>
      <c r="W3369" s="238">
        <v>0.0</v>
      </c>
      <c r="X3369" s="235" t="s">
        <v>628</v>
      </c>
      <c r="Z3369" s="245"/>
      <c r="AA3369" s="245"/>
      <c r="AB3369" s="245"/>
      <c r="AC3369" s="235" t="s">
        <v>678</v>
      </c>
      <c r="AD3369" s="235" t="s">
        <v>679</v>
      </c>
      <c r="AE3369" s="238">
        <v>560061.0</v>
      </c>
      <c r="AF3369" s="235" t="s">
        <v>631</v>
      </c>
      <c r="AG3369" s="245"/>
      <c r="AH3369" s="245"/>
      <c r="AI3369" s="245"/>
      <c r="AJ3369" s="245"/>
      <c r="AK3369" s="245"/>
      <c r="AL3369" s="245"/>
      <c r="AM3369" s="245"/>
      <c r="AN3369" s="245"/>
      <c r="AO3369" s="238">
        <v>-4.94</v>
      </c>
      <c r="AP3369" s="238">
        <v>0.0</v>
      </c>
      <c r="AQ3369" s="235" t="s">
        <v>632</v>
      </c>
      <c r="AR3369" s="243">
        <v>1.68E11</v>
      </c>
      <c r="AS3369" s="235" t="s">
        <v>25098</v>
      </c>
      <c r="AT3369" s="235" t="s">
        <v>11</v>
      </c>
      <c r="AU3369" s="235" t="s">
        <v>634</v>
      </c>
      <c r="AV3369" s="246" t="s">
        <v>635</v>
      </c>
      <c r="AW3369" s="227"/>
      <c r="AX3369" s="227"/>
      <c r="AY3369" s="227"/>
      <c r="AZ3369" s="227"/>
      <c r="BA3369" s="227"/>
      <c r="BB3369" s="227"/>
      <c r="BC3369" s="227"/>
      <c r="BD3369" s="227"/>
      <c r="BE3369" s="227"/>
      <c r="BF3369" s="227"/>
    </row>
    <row r="3370">
      <c r="A3370" s="235" t="s">
        <v>25325</v>
      </c>
      <c r="C3370" s="235" t="s">
        <v>25326</v>
      </c>
      <c r="D3370" s="235" t="s">
        <v>25327</v>
      </c>
      <c r="E3370" s="243">
        <v>6.52E13</v>
      </c>
      <c r="F3370" s="245"/>
      <c r="G3370" s="235" t="s">
        <v>25328</v>
      </c>
      <c r="H3370" s="235" t="s">
        <v>25329</v>
      </c>
      <c r="I3370" s="235" t="s">
        <v>25329</v>
      </c>
      <c r="J3370" s="235" t="s">
        <v>25330</v>
      </c>
      <c r="K3370" s="235" t="s">
        <v>25331</v>
      </c>
      <c r="N3370" s="235" t="s">
        <v>962</v>
      </c>
      <c r="O3370" s="235" t="s">
        <v>963</v>
      </c>
      <c r="P3370" s="238">
        <v>1.0</v>
      </c>
      <c r="Q3370" s="235" t="s">
        <v>627</v>
      </c>
      <c r="R3370" s="238">
        <v>246.67</v>
      </c>
      <c r="S3370" s="238">
        <v>12.33</v>
      </c>
      <c r="T3370" s="238">
        <v>0.0</v>
      </c>
      <c r="U3370" s="238">
        <v>0.0</v>
      </c>
      <c r="V3370" s="238">
        <v>0.0</v>
      </c>
      <c r="W3370" s="238">
        <v>0.0</v>
      </c>
      <c r="X3370" s="235" t="s">
        <v>628</v>
      </c>
      <c r="Z3370" s="245"/>
      <c r="AA3370" s="245"/>
      <c r="AB3370" s="245"/>
      <c r="AC3370" s="235" t="s">
        <v>697</v>
      </c>
      <c r="AD3370" s="235" t="s">
        <v>698</v>
      </c>
      <c r="AE3370" s="238">
        <v>500035.0</v>
      </c>
      <c r="AF3370" s="235" t="s">
        <v>631</v>
      </c>
      <c r="AG3370" s="245"/>
      <c r="AH3370" s="245"/>
      <c r="AI3370" s="245"/>
      <c r="AJ3370" s="245"/>
      <c r="AK3370" s="245"/>
      <c r="AL3370" s="245"/>
      <c r="AM3370" s="245"/>
      <c r="AN3370" s="245"/>
      <c r="AO3370" s="238">
        <v>0.0</v>
      </c>
      <c r="AP3370" s="238">
        <v>0.0</v>
      </c>
      <c r="AQ3370" s="235" t="s">
        <v>632</v>
      </c>
      <c r="AR3370" s="243">
        <v>2.02E11</v>
      </c>
      <c r="AS3370" s="235" t="s">
        <v>23542</v>
      </c>
      <c r="AT3370" s="235" t="s">
        <v>155</v>
      </c>
      <c r="AU3370" s="235" t="s">
        <v>634</v>
      </c>
      <c r="AV3370" s="246" t="s">
        <v>635</v>
      </c>
      <c r="AW3370" s="227"/>
      <c r="AX3370" s="227"/>
      <c r="AY3370" s="227"/>
      <c r="AZ3370" s="227"/>
      <c r="BA3370" s="227"/>
      <c r="BB3370" s="227"/>
      <c r="BC3370" s="227"/>
      <c r="BD3370" s="227"/>
      <c r="BE3370" s="227"/>
      <c r="BF3370" s="227"/>
    </row>
    <row r="3371">
      <c r="A3371" s="235" t="s">
        <v>25332</v>
      </c>
      <c r="C3371" s="235" t="s">
        <v>25333</v>
      </c>
      <c r="D3371" s="235" t="s">
        <v>25334</v>
      </c>
      <c r="E3371" s="243">
        <v>6.51E13</v>
      </c>
      <c r="F3371" s="245"/>
      <c r="G3371" s="235" t="s">
        <v>25335</v>
      </c>
      <c r="H3371" s="235" t="s">
        <v>25336</v>
      </c>
      <c r="I3371" s="235" t="s">
        <v>25336</v>
      </c>
      <c r="J3371" s="235" t="s">
        <v>25337</v>
      </c>
      <c r="K3371" s="235" t="s">
        <v>25338</v>
      </c>
      <c r="N3371" s="235" t="s">
        <v>92</v>
      </c>
      <c r="O3371" s="235" t="s">
        <v>248</v>
      </c>
      <c r="P3371" s="238">
        <v>1.0</v>
      </c>
      <c r="Q3371" s="235" t="s">
        <v>627</v>
      </c>
      <c r="R3371" s="238">
        <v>233.33</v>
      </c>
      <c r="S3371" s="238">
        <v>11.67</v>
      </c>
      <c r="T3371" s="238">
        <v>38.1</v>
      </c>
      <c r="U3371" s="238">
        <v>1.9</v>
      </c>
      <c r="V3371" s="238">
        <v>0.0</v>
      </c>
      <c r="W3371" s="238">
        <v>0.0</v>
      </c>
      <c r="X3371" s="235" t="s">
        <v>628</v>
      </c>
      <c r="Z3371" s="245"/>
      <c r="AA3371" s="245"/>
      <c r="AB3371" s="245"/>
      <c r="AC3371" s="235" t="s">
        <v>795</v>
      </c>
      <c r="AD3371" s="235" t="s">
        <v>796</v>
      </c>
      <c r="AE3371" s="238">
        <v>110092.0</v>
      </c>
      <c r="AF3371" s="235" t="s">
        <v>631</v>
      </c>
      <c r="AG3371" s="245"/>
      <c r="AH3371" s="245"/>
      <c r="AI3371" s="245"/>
      <c r="AJ3371" s="245"/>
      <c r="AK3371" s="245"/>
      <c r="AL3371" s="245"/>
      <c r="AM3371" s="245"/>
      <c r="AN3371" s="245"/>
      <c r="AO3371" s="238">
        <v>0.0</v>
      </c>
      <c r="AP3371" s="238">
        <v>-38.1</v>
      </c>
      <c r="AQ3371" s="235" t="s">
        <v>632</v>
      </c>
      <c r="AR3371" s="243">
        <v>3.71E11</v>
      </c>
      <c r="AS3371" s="235" t="s">
        <v>23542</v>
      </c>
      <c r="AT3371" s="235" t="s">
        <v>13</v>
      </c>
      <c r="AU3371" s="235" t="s">
        <v>634</v>
      </c>
      <c r="AV3371" s="246" t="s">
        <v>635</v>
      </c>
      <c r="AW3371" s="227"/>
      <c r="AX3371" s="227"/>
      <c r="AY3371" s="227"/>
      <c r="AZ3371" s="227"/>
      <c r="BA3371" s="227"/>
      <c r="BB3371" s="227"/>
      <c r="BC3371" s="227"/>
      <c r="BD3371" s="227"/>
      <c r="BE3371" s="227"/>
      <c r="BF3371" s="227"/>
    </row>
    <row r="3372">
      <c r="A3372" s="235" t="s">
        <v>25339</v>
      </c>
      <c r="C3372" s="235" t="s">
        <v>25340</v>
      </c>
      <c r="D3372" s="235" t="s">
        <v>25341</v>
      </c>
      <c r="E3372" s="243">
        <v>6.51E13</v>
      </c>
      <c r="F3372" s="245"/>
      <c r="G3372" s="235" t="s">
        <v>25342</v>
      </c>
      <c r="H3372" s="235" t="s">
        <v>25343</v>
      </c>
      <c r="I3372" s="235" t="s">
        <v>25343</v>
      </c>
      <c r="J3372" s="235" t="s">
        <v>25344</v>
      </c>
      <c r="K3372" s="235" t="s">
        <v>25345</v>
      </c>
      <c r="N3372" s="235" t="s">
        <v>42</v>
      </c>
      <c r="O3372" s="235" t="s">
        <v>204</v>
      </c>
      <c r="P3372" s="238">
        <v>1.0</v>
      </c>
      <c r="Q3372" s="235" t="s">
        <v>627</v>
      </c>
      <c r="R3372" s="238">
        <v>236.19</v>
      </c>
      <c r="S3372" s="238">
        <v>11.81</v>
      </c>
      <c r="T3372" s="238">
        <v>0.0</v>
      </c>
      <c r="U3372" s="238">
        <v>0.0</v>
      </c>
      <c r="V3372" s="238">
        <v>0.0</v>
      </c>
      <c r="W3372" s="238">
        <v>0.0</v>
      </c>
      <c r="X3372" s="235" t="s">
        <v>628</v>
      </c>
      <c r="Z3372" s="245"/>
      <c r="AA3372" s="245"/>
      <c r="AB3372" s="245"/>
      <c r="AC3372" s="235" t="s">
        <v>15649</v>
      </c>
      <c r="AD3372" s="235" t="s">
        <v>666</v>
      </c>
      <c r="AE3372" s="238">
        <v>635109.0</v>
      </c>
      <c r="AF3372" s="235" t="s">
        <v>631</v>
      </c>
      <c r="AG3372" s="245"/>
      <c r="AH3372" s="245"/>
      <c r="AI3372" s="245"/>
      <c r="AJ3372" s="245"/>
      <c r="AK3372" s="245"/>
      <c r="AL3372" s="245"/>
      <c r="AM3372" s="245"/>
      <c r="AN3372" s="245"/>
      <c r="AO3372" s="238">
        <v>0.0</v>
      </c>
      <c r="AP3372" s="238">
        <v>0.0</v>
      </c>
      <c r="AQ3372" s="235" t="s">
        <v>632</v>
      </c>
      <c r="AR3372" s="243">
        <v>3.71E11</v>
      </c>
      <c r="AS3372" s="235" t="s">
        <v>23542</v>
      </c>
      <c r="AT3372" s="235" t="s">
        <v>9</v>
      </c>
      <c r="AU3372" s="235" t="s">
        <v>634</v>
      </c>
      <c r="AV3372" s="246" t="s">
        <v>635</v>
      </c>
      <c r="AW3372" s="227"/>
      <c r="AX3372" s="227"/>
      <c r="AY3372" s="227"/>
      <c r="AZ3372" s="227"/>
      <c r="BA3372" s="227"/>
      <c r="BB3372" s="227"/>
      <c r="BC3372" s="227"/>
      <c r="BD3372" s="227"/>
      <c r="BE3372" s="227"/>
      <c r="BF3372" s="227"/>
    </row>
    <row r="3373">
      <c r="A3373" s="235" t="s">
        <v>25346</v>
      </c>
      <c r="C3373" s="235" t="s">
        <v>25347</v>
      </c>
      <c r="D3373" s="235" t="s">
        <v>25348</v>
      </c>
      <c r="E3373" s="243">
        <v>6.51E13</v>
      </c>
      <c r="F3373" s="245"/>
      <c r="G3373" s="235" t="s">
        <v>25349</v>
      </c>
      <c r="H3373" s="235" t="s">
        <v>25350</v>
      </c>
      <c r="I3373" s="235" t="s">
        <v>25350</v>
      </c>
      <c r="J3373" s="235" t="s">
        <v>25351</v>
      </c>
      <c r="K3373" s="235" t="s">
        <v>25352</v>
      </c>
      <c r="N3373" s="235" t="s">
        <v>962</v>
      </c>
      <c r="O3373" s="235" t="s">
        <v>963</v>
      </c>
      <c r="P3373" s="238">
        <v>1.0</v>
      </c>
      <c r="Q3373" s="235" t="s">
        <v>627</v>
      </c>
      <c r="R3373" s="238">
        <v>237.14</v>
      </c>
      <c r="S3373" s="238">
        <v>11.86</v>
      </c>
      <c r="T3373" s="238">
        <v>0.0</v>
      </c>
      <c r="U3373" s="238">
        <v>0.0</v>
      </c>
      <c r="V3373" s="238">
        <v>0.0</v>
      </c>
      <c r="W3373" s="238">
        <v>0.0</v>
      </c>
      <c r="X3373" s="235" t="s">
        <v>628</v>
      </c>
      <c r="Z3373" s="245"/>
      <c r="AA3373" s="245"/>
      <c r="AB3373" s="245"/>
      <c r="AC3373" s="235" t="s">
        <v>25353</v>
      </c>
      <c r="AD3373" s="235" t="s">
        <v>679</v>
      </c>
      <c r="AE3373" s="238">
        <v>571237.0</v>
      </c>
      <c r="AF3373" s="235" t="s">
        <v>631</v>
      </c>
      <c r="AG3373" s="245"/>
      <c r="AH3373" s="245"/>
      <c r="AI3373" s="245"/>
      <c r="AJ3373" s="245"/>
      <c r="AK3373" s="245"/>
      <c r="AL3373" s="245"/>
      <c r="AM3373" s="245"/>
      <c r="AN3373" s="245"/>
      <c r="AO3373" s="238">
        <v>0.0</v>
      </c>
      <c r="AP3373" s="238">
        <v>0.0</v>
      </c>
      <c r="AQ3373" s="235" t="s">
        <v>632</v>
      </c>
      <c r="AR3373" s="243">
        <v>3.71E11</v>
      </c>
      <c r="AS3373" s="235" t="s">
        <v>20529</v>
      </c>
      <c r="AT3373" s="235" t="s">
        <v>11</v>
      </c>
      <c r="AU3373" s="235" t="s">
        <v>634</v>
      </c>
      <c r="AV3373" s="246" t="s">
        <v>635</v>
      </c>
      <c r="AW3373" s="227"/>
      <c r="AX3373" s="227"/>
      <c r="AY3373" s="227"/>
      <c r="AZ3373" s="227"/>
      <c r="BA3373" s="227"/>
      <c r="BB3373" s="227"/>
      <c r="BC3373" s="227"/>
      <c r="BD3373" s="227"/>
      <c r="BE3373" s="227"/>
      <c r="BF3373" s="227"/>
    </row>
    <row r="3374">
      <c r="A3374" s="235" t="s">
        <v>25354</v>
      </c>
      <c r="C3374" s="235" t="s">
        <v>25355</v>
      </c>
      <c r="D3374" s="235" t="s">
        <v>25356</v>
      </c>
      <c r="E3374" s="243">
        <v>6.51E13</v>
      </c>
      <c r="F3374" s="245"/>
      <c r="G3374" s="235" t="s">
        <v>25357</v>
      </c>
      <c r="H3374" s="235" t="s">
        <v>25358</v>
      </c>
      <c r="I3374" s="235" t="s">
        <v>25359</v>
      </c>
      <c r="J3374" s="235" t="s">
        <v>25360</v>
      </c>
      <c r="K3374" s="235" t="s">
        <v>25361</v>
      </c>
      <c r="N3374" s="235" t="s">
        <v>2163</v>
      </c>
      <c r="O3374" s="235" t="s">
        <v>2164</v>
      </c>
      <c r="P3374" s="238">
        <v>1.0</v>
      </c>
      <c r="Q3374" s="235" t="s">
        <v>627</v>
      </c>
      <c r="R3374" s="238">
        <v>233.33</v>
      </c>
      <c r="S3374" s="238">
        <v>11.32</v>
      </c>
      <c r="T3374" s="238">
        <v>0.0</v>
      </c>
      <c r="U3374" s="238">
        <v>0.0</v>
      </c>
      <c r="V3374" s="238">
        <v>0.0</v>
      </c>
      <c r="W3374" s="238">
        <v>0.0</v>
      </c>
      <c r="X3374" s="235" t="s">
        <v>628</v>
      </c>
      <c r="Z3374" s="245"/>
      <c r="AA3374" s="245"/>
      <c r="AB3374" s="245"/>
      <c r="AC3374" s="235" t="s">
        <v>25362</v>
      </c>
      <c r="AD3374" s="235" t="s">
        <v>731</v>
      </c>
      <c r="AE3374" s="238">
        <v>786151.0</v>
      </c>
      <c r="AF3374" s="235" t="s">
        <v>631</v>
      </c>
      <c r="AG3374" s="245"/>
      <c r="AH3374" s="245"/>
      <c r="AI3374" s="245"/>
      <c r="AJ3374" s="245"/>
      <c r="AK3374" s="245"/>
      <c r="AL3374" s="245"/>
      <c r="AM3374" s="245"/>
      <c r="AN3374" s="245"/>
      <c r="AO3374" s="238">
        <v>-7.0</v>
      </c>
      <c r="AP3374" s="238">
        <v>0.0</v>
      </c>
      <c r="AQ3374" s="235" t="s">
        <v>632</v>
      </c>
      <c r="AR3374" s="243">
        <v>3.71E11</v>
      </c>
      <c r="AS3374" s="235" t="s">
        <v>16626</v>
      </c>
      <c r="AT3374" s="235" t="s">
        <v>13</v>
      </c>
      <c r="AU3374" s="235" t="s">
        <v>634</v>
      </c>
      <c r="AV3374" s="246" t="s">
        <v>635</v>
      </c>
      <c r="AW3374" s="227"/>
      <c r="AX3374" s="227"/>
      <c r="AY3374" s="227"/>
      <c r="AZ3374" s="227"/>
      <c r="BA3374" s="227"/>
      <c r="BB3374" s="227"/>
      <c r="BC3374" s="227"/>
      <c r="BD3374" s="227"/>
      <c r="BE3374" s="227"/>
      <c r="BF3374" s="227"/>
    </row>
    <row r="3375">
      <c r="A3375" s="235" t="s">
        <v>25363</v>
      </c>
      <c r="C3375" s="235" t="s">
        <v>25364</v>
      </c>
      <c r="D3375" s="235" t="s">
        <v>25365</v>
      </c>
      <c r="E3375" s="243">
        <v>6.52E13</v>
      </c>
      <c r="F3375" s="245"/>
      <c r="G3375" s="235" t="s">
        <v>25366</v>
      </c>
      <c r="H3375" s="235" t="s">
        <v>25367</v>
      </c>
      <c r="I3375" s="235" t="s">
        <v>25368</v>
      </c>
      <c r="J3375" s="235" t="s">
        <v>25369</v>
      </c>
      <c r="K3375" s="235" t="s">
        <v>25370</v>
      </c>
      <c r="N3375" s="235" t="s">
        <v>139</v>
      </c>
      <c r="O3375" s="235" t="s">
        <v>2091</v>
      </c>
      <c r="P3375" s="238">
        <v>1.0</v>
      </c>
      <c r="Q3375" s="235" t="s">
        <v>627</v>
      </c>
      <c r="R3375" s="238">
        <v>233.34</v>
      </c>
      <c r="S3375" s="238">
        <v>11.43</v>
      </c>
      <c r="T3375" s="238">
        <v>0.0</v>
      </c>
      <c r="U3375" s="238">
        <v>0.0</v>
      </c>
      <c r="V3375" s="238">
        <v>0.0</v>
      </c>
      <c r="W3375" s="238">
        <v>0.0</v>
      </c>
      <c r="X3375" s="235" t="s">
        <v>628</v>
      </c>
      <c r="Z3375" s="245"/>
      <c r="AA3375" s="245"/>
      <c r="AB3375" s="245"/>
      <c r="AC3375" s="235" t="s">
        <v>10976</v>
      </c>
      <c r="AD3375" s="235" t="s">
        <v>679</v>
      </c>
      <c r="AE3375" s="238">
        <v>574115.0</v>
      </c>
      <c r="AF3375" s="235" t="s">
        <v>631</v>
      </c>
      <c r="AG3375" s="245"/>
      <c r="AH3375" s="245"/>
      <c r="AI3375" s="245"/>
      <c r="AJ3375" s="245"/>
      <c r="AK3375" s="245"/>
      <c r="AL3375" s="245"/>
      <c r="AM3375" s="245"/>
      <c r="AN3375" s="245"/>
      <c r="AO3375" s="238">
        <v>-4.67</v>
      </c>
      <c r="AP3375" s="238">
        <v>0.0</v>
      </c>
      <c r="AQ3375" s="235" t="s">
        <v>632</v>
      </c>
      <c r="AR3375" s="243">
        <v>1.68E11</v>
      </c>
      <c r="AS3375" s="235" t="s">
        <v>23542</v>
      </c>
      <c r="AT3375" s="235" t="s">
        <v>11</v>
      </c>
      <c r="AU3375" s="235" t="s">
        <v>634</v>
      </c>
      <c r="AV3375" s="246" t="s">
        <v>635</v>
      </c>
      <c r="AW3375" s="227"/>
      <c r="AX3375" s="227"/>
      <c r="AY3375" s="227"/>
      <c r="AZ3375" s="227"/>
      <c r="BA3375" s="227"/>
      <c r="BB3375" s="227"/>
      <c r="BC3375" s="227"/>
      <c r="BD3375" s="227"/>
      <c r="BE3375" s="227"/>
      <c r="BF3375" s="227"/>
    </row>
    <row r="3376">
      <c r="A3376" s="235" t="s">
        <v>25371</v>
      </c>
      <c r="C3376" s="235" t="s">
        <v>25372</v>
      </c>
      <c r="D3376" s="235" t="s">
        <v>25373</v>
      </c>
      <c r="E3376" s="243">
        <v>6.52E13</v>
      </c>
      <c r="F3376" s="245"/>
      <c r="G3376" s="235" t="s">
        <v>25374</v>
      </c>
      <c r="H3376" s="235" t="s">
        <v>25375</v>
      </c>
      <c r="I3376" s="235" t="s">
        <v>25375</v>
      </c>
      <c r="J3376" s="235" t="s">
        <v>25376</v>
      </c>
      <c r="K3376" s="235" t="s">
        <v>25377</v>
      </c>
      <c r="N3376" s="235" t="s">
        <v>541</v>
      </c>
      <c r="O3376" s="235" t="s">
        <v>664</v>
      </c>
      <c r="P3376" s="238">
        <v>1.0</v>
      </c>
      <c r="Q3376" s="235" t="s">
        <v>627</v>
      </c>
      <c r="R3376" s="238">
        <v>668.64</v>
      </c>
      <c r="S3376" s="238">
        <v>120.36</v>
      </c>
      <c r="T3376" s="238">
        <v>0.0</v>
      </c>
      <c r="U3376" s="238">
        <v>0.0</v>
      </c>
      <c r="V3376" s="238">
        <v>0.0</v>
      </c>
      <c r="W3376" s="238">
        <v>0.0</v>
      </c>
      <c r="X3376" s="235" t="s">
        <v>628</v>
      </c>
      <c r="Z3376" s="245"/>
      <c r="AA3376" s="245"/>
      <c r="AB3376" s="245"/>
      <c r="AC3376" s="235" t="s">
        <v>8974</v>
      </c>
      <c r="AD3376" s="235" t="s">
        <v>645</v>
      </c>
      <c r="AE3376" s="238">
        <v>686670.0</v>
      </c>
      <c r="AF3376" s="235" t="s">
        <v>631</v>
      </c>
      <c r="AG3376" s="245"/>
      <c r="AH3376" s="245"/>
      <c r="AI3376" s="245"/>
      <c r="AJ3376" s="245"/>
      <c r="AK3376" s="245"/>
      <c r="AL3376" s="245"/>
      <c r="AM3376" s="245"/>
      <c r="AN3376" s="245"/>
      <c r="AO3376" s="238">
        <v>0.0</v>
      </c>
      <c r="AP3376" s="238">
        <v>0.0</v>
      </c>
      <c r="AQ3376" s="235" t="s">
        <v>632</v>
      </c>
      <c r="AR3376" s="243">
        <v>1.68E11</v>
      </c>
      <c r="AS3376" s="235" t="s">
        <v>23542</v>
      </c>
      <c r="AT3376" s="235" t="s">
        <v>11</v>
      </c>
      <c r="AU3376" s="235" t="s">
        <v>634</v>
      </c>
      <c r="AV3376" s="246" t="s">
        <v>635</v>
      </c>
      <c r="AW3376" s="227"/>
      <c r="AX3376" s="227"/>
      <c r="AY3376" s="227"/>
      <c r="AZ3376" s="227"/>
      <c r="BA3376" s="227"/>
      <c r="BB3376" s="227"/>
      <c r="BC3376" s="227"/>
      <c r="BD3376" s="227"/>
      <c r="BE3376" s="227"/>
      <c r="BF3376" s="227"/>
    </row>
    <row r="3377">
      <c r="A3377" s="235" t="s">
        <v>25378</v>
      </c>
      <c r="C3377" s="235" t="s">
        <v>25379</v>
      </c>
      <c r="D3377" s="235" t="s">
        <v>25380</v>
      </c>
      <c r="E3377" s="243">
        <v>6.52E13</v>
      </c>
      <c r="F3377" s="245"/>
      <c r="G3377" s="235" t="s">
        <v>25381</v>
      </c>
      <c r="H3377" s="235" t="s">
        <v>25382</v>
      </c>
      <c r="I3377" s="235" t="s">
        <v>25382</v>
      </c>
      <c r="J3377" s="235" t="s">
        <v>25383</v>
      </c>
      <c r="K3377" s="235" t="s">
        <v>25384</v>
      </c>
      <c r="N3377" s="235" t="s">
        <v>962</v>
      </c>
      <c r="O3377" s="235" t="s">
        <v>963</v>
      </c>
      <c r="P3377" s="238">
        <v>1.0</v>
      </c>
      <c r="Q3377" s="235" t="s">
        <v>627</v>
      </c>
      <c r="R3377" s="238">
        <v>246.67</v>
      </c>
      <c r="S3377" s="238">
        <v>12.33</v>
      </c>
      <c r="T3377" s="238">
        <v>0.0</v>
      </c>
      <c r="U3377" s="238">
        <v>0.0</v>
      </c>
      <c r="V3377" s="238">
        <v>0.0</v>
      </c>
      <c r="W3377" s="238">
        <v>0.0</v>
      </c>
      <c r="X3377" s="235" t="s">
        <v>628</v>
      </c>
      <c r="Z3377" s="245"/>
      <c r="AA3377" s="245"/>
      <c r="AB3377" s="245"/>
      <c r="AC3377" s="235" t="s">
        <v>697</v>
      </c>
      <c r="AD3377" s="235" t="s">
        <v>698</v>
      </c>
      <c r="AE3377" s="238">
        <v>500083.0</v>
      </c>
      <c r="AF3377" s="235" t="s">
        <v>631</v>
      </c>
      <c r="AG3377" s="245"/>
      <c r="AH3377" s="245"/>
      <c r="AI3377" s="245"/>
      <c r="AJ3377" s="245"/>
      <c r="AK3377" s="245"/>
      <c r="AL3377" s="245"/>
      <c r="AM3377" s="245"/>
      <c r="AN3377" s="245"/>
      <c r="AO3377" s="238">
        <v>0.0</v>
      </c>
      <c r="AP3377" s="238">
        <v>0.0</v>
      </c>
      <c r="AQ3377" s="235" t="s">
        <v>632</v>
      </c>
      <c r="AR3377" s="243">
        <v>1.68E11</v>
      </c>
      <c r="AS3377" s="235" t="s">
        <v>23542</v>
      </c>
      <c r="AT3377" s="235" t="s">
        <v>9</v>
      </c>
      <c r="AU3377" s="235" t="s">
        <v>634</v>
      </c>
      <c r="AV3377" s="246" t="s">
        <v>635</v>
      </c>
      <c r="AW3377" s="227"/>
      <c r="AX3377" s="227"/>
      <c r="AY3377" s="227"/>
      <c r="AZ3377" s="227"/>
      <c r="BA3377" s="227"/>
      <c r="BB3377" s="227"/>
      <c r="BC3377" s="227"/>
      <c r="BD3377" s="227"/>
      <c r="BE3377" s="227"/>
      <c r="BF3377" s="227"/>
    </row>
    <row r="3378">
      <c r="A3378" s="235" t="s">
        <v>25385</v>
      </c>
      <c r="C3378" s="235" t="s">
        <v>25386</v>
      </c>
      <c r="D3378" s="235" t="s">
        <v>25387</v>
      </c>
      <c r="E3378" s="243">
        <v>6.52E13</v>
      </c>
      <c r="F3378" s="245"/>
      <c r="G3378" s="235" t="s">
        <v>25388</v>
      </c>
      <c r="H3378" s="235" t="s">
        <v>25389</v>
      </c>
      <c r="I3378" s="235" t="s">
        <v>25389</v>
      </c>
      <c r="J3378" s="235" t="s">
        <v>25390</v>
      </c>
      <c r="K3378" s="235" t="s">
        <v>25391</v>
      </c>
      <c r="N3378" s="235" t="s">
        <v>92</v>
      </c>
      <c r="O3378" s="235" t="s">
        <v>248</v>
      </c>
      <c r="P3378" s="238">
        <v>1.0</v>
      </c>
      <c r="Q3378" s="235" t="s">
        <v>627</v>
      </c>
      <c r="R3378" s="238">
        <v>233.33</v>
      </c>
      <c r="S3378" s="238">
        <v>11.32</v>
      </c>
      <c r="T3378" s="238">
        <v>0.0</v>
      </c>
      <c r="U3378" s="238">
        <v>0.0</v>
      </c>
      <c r="V3378" s="238">
        <v>0.0</v>
      </c>
      <c r="W3378" s="238">
        <v>0.0</v>
      </c>
      <c r="X3378" s="235" t="s">
        <v>628</v>
      </c>
      <c r="Z3378" s="245"/>
      <c r="AA3378" s="245"/>
      <c r="AB3378" s="245"/>
      <c r="AC3378" s="235" t="s">
        <v>25392</v>
      </c>
      <c r="AD3378" s="235" t="s">
        <v>917</v>
      </c>
      <c r="AE3378" s="238">
        <v>313202.0</v>
      </c>
      <c r="AF3378" s="235" t="s">
        <v>631</v>
      </c>
      <c r="AG3378" s="245"/>
      <c r="AH3378" s="245"/>
      <c r="AI3378" s="245"/>
      <c r="AJ3378" s="245"/>
      <c r="AK3378" s="245"/>
      <c r="AL3378" s="245"/>
      <c r="AM3378" s="245"/>
      <c r="AN3378" s="245"/>
      <c r="AO3378" s="238">
        <v>-7.0</v>
      </c>
      <c r="AP3378" s="238">
        <v>0.0</v>
      </c>
      <c r="AQ3378" s="235" t="s">
        <v>1328</v>
      </c>
      <c r="AR3378" s="243">
        <v>1.34E13</v>
      </c>
      <c r="AS3378" s="235" t="s">
        <v>15064</v>
      </c>
      <c r="AT3378" s="235" t="s">
        <v>16</v>
      </c>
      <c r="AU3378" s="235" t="s">
        <v>634</v>
      </c>
      <c r="AV3378" s="246" t="s">
        <v>635</v>
      </c>
      <c r="AW3378" s="227"/>
      <c r="AX3378" s="227"/>
      <c r="AY3378" s="227"/>
      <c r="AZ3378" s="227"/>
      <c r="BA3378" s="227"/>
      <c r="BB3378" s="227"/>
      <c r="BC3378" s="227"/>
      <c r="BD3378" s="227"/>
      <c r="BE3378" s="227"/>
      <c r="BF3378" s="227"/>
    </row>
    <row r="3379">
      <c r="A3379" s="235" t="s">
        <v>25393</v>
      </c>
      <c r="C3379" s="235" t="s">
        <v>25394</v>
      </c>
      <c r="D3379" s="235" t="s">
        <v>25395</v>
      </c>
      <c r="E3379" s="243">
        <v>6.51E13</v>
      </c>
      <c r="F3379" s="245"/>
      <c r="G3379" s="235" t="s">
        <v>25396</v>
      </c>
      <c r="H3379" s="235" t="s">
        <v>25397</v>
      </c>
      <c r="I3379" s="235" t="s">
        <v>25397</v>
      </c>
      <c r="J3379" s="235" t="s">
        <v>25398</v>
      </c>
      <c r="K3379" s="235" t="s">
        <v>12182</v>
      </c>
      <c r="N3379" s="235" t="s">
        <v>71</v>
      </c>
      <c r="O3379" s="235" t="s">
        <v>240</v>
      </c>
      <c r="P3379" s="238">
        <v>1.0</v>
      </c>
      <c r="Q3379" s="235" t="s">
        <v>627</v>
      </c>
      <c r="R3379" s="238">
        <v>242.86</v>
      </c>
      <c r="S3379" s="238">
        <v>12.14</v>
      </c>
      <c r="T3379" s="238">
        <v>38.1</v>
      </c>
      <c r="U3379" s="238">
        <v>1.9</v>
      </c>
      <c r="V3379" s="238">
        <v>0.0</v>
      </c>
      <c r="W3379" s="238">
        <v>0.0</v>
      </c>
      <c r="X3379" s="235" t="s">
        <v>628</v>
      </c>
      <c r="Z3379" s="245"/>
      <c r="AA3379" s="245"/>
      <c r="AB3379" s="245"/>
      <c r="AC3379" s="235" t="s">
        <v>25399</v>
      </c>
      <c r="AD3379" s="235" t="s">
        <v>854</v>
      </c>
      <c r="AE3379" s="238">
        <v>403402.0</v>
      </c>
      <c r="AF3379" s="235" t="s">
        <v>631</v>
      </c>
      <c r="AG3379" s="245"/>
      <c r="AH3379" s="245"/>
      <c r="AI3379" s="245"/>
      <c r="AJ3379" s="245"/>
      <c r="AK3379" s="245"/>
      <c r="AL3379" s="245"/>
      <c r="AM3379" s="245"/>
      <c r="AN3379" s="245"/>
      <c r="AO3379" s="238">
        <v>0.0</v>
      </c>
      <c r="AP3379" s="238">
        <v>-38.1</v>
      </c>
      <c r="AQ3379" s="235" t="s">
        <v>632</v>
      </c>
      <c r="AR3379" s="243">
        <v>3.71E11</v>
      </c>
      <c r="AS3379" s="235" t="s">
        <v>22269</v>
      </c>
      <c r="AT3379" s="235" t="s">
        <v>11</v>
      </c>
      <c r="AU3379" s="235" t="s">
        <v>634</v>
      </c>
      <c r="AV3379" s="246" t="s">
        <v>635</v>
      </c>
      <c r="AW3379" s="227"/>
      <c r="AX3379" s="227"/>
      <c r="AY3379" s="227"/>
      <c r="AZ3379" s="227"/>
      <c r="BA3379" s="227"/>
      <c r="BB3379" s="227"/>
      <c r="BC3379" s="227"/>
      <c r="BD3379" s="227"/>
      <c r="BE3379" s="227"/>
      <c r="BF3379" s="227"/>
    </row>
    <row r="3380">
      <c r="A3380" s="235" t="s">
        <v>25400</v>
      </c>
      <c r="C3380" s="235" t="s">
        <v>25401</v>
      </c>
      <c r="D3380" s="235" t="s">
        <v>25402</v>
      </c>
      <c r="E3380" s="243">
        <v>6.52E13</v>
      </c>
      <c r="F3380" s="245"/>
      <c r="G3380" s="235" t="s">
        <v>25403</v>
      </c>
      <c r="H3380" s="235" t="s">
        <v>25404</v>
      </c>
      <c r="I3380" s="235" t="s">
        <v>25405</v>
      </c>
      <c r="J3380" s="235" t="s">
        <v>25406</v>
      </c>
      <c r="K3380" s="235" t="s">
        <v>25407</v>
      </c>
      <c r="N3380" s="235" t="s">
        <v>134</v>
      </c>
      <c r="O3380" s="235" t="s">
        <v>314</v>
      </c>
      <c r="P3380" s="238">
        <v>1.0</v>
      </c>
      <c r="Q3380" s="235" t="s">
        <v>627</v>
      </c>
      <c r="R3380" s="238">
        <v>233.34</v>
      </c>
      <c r="S3380" s="238">
        <v>11.66</v>
      </c>
      <c r="T3380" s="238">
        <v>0.0</v>
      </c>
      <c r="U3380" s="238">
        <v>0.0</v>
      </c>
      <c r="V3380" s="238">
        <v>0.0</v>
      </c>
      <c r="W3380" s="238">
        <v>0.0</v>
      </c>
      <c r="X3380" s="235" t="s">
        <v>628</v>
      </c>
      <c r="Z3380" s="245"/>
      <c r="AA3380" s="245"/>
      <c r="AB3380" s="245"/>
      <c r="AC3380" s="235" t="s">
        <v>25408</v>
      </c>
      <c r="AD3380" s="235" t="s">
        <v>845</v>
      </c>
      <c r="AE3380" s="238">
        <v>422206.0</v>
      </c>
      <c r="AF3380" s="235" t="s">
        <v>631</v>
      </c>
      <c r="AG3380" s="245"/>
      <c r="AH3380" s="245"/>
      <c r="AI3380" s="245"/>
      <c r="AJ3380" s="245"/>
      <c r="AK3380" s="245"/>
      <c r="AL3380" s="245"/>
      <c r="AM3380" s="245"/>
      <c r="AN3380" s="245"/>
      <c r="AO3380" s="238">
        <v>0.0</v>
      </c>
      <c r="AP3380" s="238">
        <v>0.0</v>
      </c>
      <c r="AQ3380" s="235" t="s">
        <v>2581</v>
      </c>
      <c r="AR3380" s="235" t="s">
        <v>25409</v>
      </c>
      <c r="AS3380" s="235" t="s">
        <v>16626</v>
      </c>
      <c r="AT3380" s="235" t="s">
        <v>17</v>
      </c>
      <c r="AU3380" s="235" t="s">
        <v>634</v>
      </c>
      <c r="AV3380" s="246" t="s">
        <v>635</v>
      </c>
      <c r="AW3380" s="227"/>
      <c r="AX3380" s="227"/>
      <c r="AY3380" s="227"/>
      <c r="AZ3380" s="227"/>
      <c r="BA3380" s="227"/>
      <c r="BB3380" s="227"/>
      <c r="BC3380" s="227"/>
      <c r="BD3380" s="227"/>
      <c r="BE3380" s="227"/>
      <c r="BF3380" s="227"/>
    </row>
    <row r="3381">
      <c r="A3381" s="235" t="s">
        <v>25410</v>
      </c>
      <c r="C3381" s="235" t="s">
        <v>25411</v>
      </c>
      <c r="D3381" s="235" t="s">
        <v>25412</v>
      </c>
      <c r="E3381" s="243">
        <v>6.52E13</v>
      </c>
      <c r="F3381" s="245"/>
      <c r="G3381" s="235" t="s">
        <v>25413</v>
      </c>
      <c r="H3381" s="235" t="s">
        <v>25414</v>
      </c>
      <c r="I3381" s="235" t="s">
        <v>25414</v>
      </c>
      <c r="J3381" s="235" t="s">
        <v>25415</v>
      </c>
      <c r="K3381" s="235" t="s">
        <v>25416</v>
      </c>
      <c r="N3381" s="235" t="s">
        <v>68</v>
      </c>
      <c r="O3381" s="235" t="s">
        <v>208</v>
      </c>
      <c r="P3381" s="238">
        <v>1.0</v>
      </c>
      <c r="Q3381" s="235" t="s">
        <v>627</v>
      </c>
      <c r="R3381" s="238">
        <v>246.66</v>
      </c>
      <c r="S3381" s="238">
        <v>12.34</v>
      </c>
      <c r="T3381" s="238">
        <v>0.0</v>
      </c>
      <c r="U3381" s="238">
        <v>0.0</v>
      </c>
      <c r="V3381" s="238">
        <v>0.0</v>
      </c>
      <c r="W3381" s="238">
        <v>0.0</v>
      </c>
      <c r="X3381" s="235" t="s">
        <v>628</v>
      </c>
      <c r="Z3381" s="245"/>
      <c r="AA3381" s="245"/>
      <c r="AB3381" s="245"/>
      <c r="AC3381" s="235" t="s">
        <v>25417</v>
      </c>
      <c r="AD3381" s="235" t="s">
        <v>666</v>
      </c>
      <c r="AE3381" s="238">
        <v>600116.0</v>
      </c>
      <c r="AF3381" s="235" t="s">
        <v>631</v>
      </c>
      <c r="AG3381" s="245"/>
      <c r="AH3381" s="245"/>
      <c r="AI3381" s="245"/>
      <c r="AJ3381" s="245"/>
      <c r="AK3381" s="245"/>
      <c r="AL3381" s="245"/>
      <c r="AM3381" s="245"/>
      <c r="AN3381" s="245"/>
      <c r="AO3381" s="238">
        <v>0.0</v>
      </c>
      <c r="AP3381" s="238">
        <v>0.0</v>
      </c>
      <c r="AQ3381" s="235" t="s">
        <v>632</v>
      </c>
      <c r="AR3381" s="243">
        <v>1.68E11</v>
      </c>
      <c r="AS3381" s="235" t="s">
        <v>25098</v>
      </c>
      <c r="AT3381" s="235" t="s">
        <v>156</v>
      </c>
      <c r="AU3381" s="235" t="s">
        <v>634</v>
      </c>
      <c r="AV3381" s="246" t="s">
        <v>635</v>
      </c>
      <c r="AW3381" s="227"/>
      <c r="AX3381" s="227"/>
      <c r="AY3381" s="227"/>
      <c r="AZ3381" s="227"/>
      <c r="BA3381" s="227"/>
      <c r="BB3381" s="227"/>
      <c r="BC3381" s="227"/>
      <c r="BD3381" s="227"/>
      <c r="BE3381" s="227"/>
      <c r="BF3381" s="227"/>
    </row>
    <row r="3382">
      <c r="A3382" s="235" t="s">
        <v>25418</v>
      </c>
      <c r="C3382" s="235" t="s">
        <v>25419</v>
      </c>
      <c r="D3382" s="235" t="s">
        <v>25420</v>
      </c>
      <c r="E3382" s="243">
        <v>6.51E13</v>
      </c>
      <c r="F3382" s="245"/>
      <c r="G3382" s="235" t="s">
        <v>25421</v>
      </c>
      <c r="H3382" s="235" t="s">
        <v>25422</v>
      </c>
      <c r="I3382" s="235" t="s">
        <v>25422</v>
      </c>
      <c r="J3382" s="235" t="s">
        <v>25423</v>
      </c>
      <c r="K3382" s="235" t="s">
        <v>25424</v>
      </c>
      <c r="N3382" s="235" t="s">
        <v>51</v>
      </c>
      <c r="O3382" s="235" t="s">
        <v>273</v>
      </c>
      <c r="P3382" s="238">
        <v>1.0</v>
      </c>
      <c r="Q3382" s="235" t="s">
        <v>627</v>
      </c>
      <c r="R3382" s="238">
        <v>236.19</v>
      </c>
      <c r="S3382" s="238">
        <v>11.81</v>
      </c>
      <c r="T3382" s="238">
        <v>0.0</v>
      </c>
      <c r="U3382" s="238">
        <v>0.0</v>
      </c>
      <c r="V3382" s="238">
        <v>0.0</v>
      </c>
      <c r="W3382" s="238">
        <v>0.0</v>
      </c>
      <c r="X3382" s="235" t="s">
        <v>628</v>
      </c>
      <c r="Z3382" s="245"/>
      <c r="AA3382" s="245"/>
      <c r="AB3382" s="245"/>
      <c r="AC3382" s="235" t="s">
        <v>832</v>
      </c>
      <c r="AD3382" s="235" t="s">
        <v>833</v>
      </c>
      <c r="AE3382" s="238">
        <v>530016.0</v>
      </c>
      <c r="AF3382" s="235" t="s">
        <v>631</v>
      </c>
      <c r="AG3382" s="245"/>
      <c r="AH3382" s="245"/>
      <c r="AI3382" s="245"/>
      <c r="AJ3382" s="245"/>
      <c r="AK3382" s="245"/>
      <c r="AL3382" s="245"/>
      <c r="AM3382" s="245"/>
      <c r="AN3382" s="245"/>
      <c r="AO3382" s="238">
        <v>0.0</v>
      </c>
      <c r="AP3382" s="238">
        <v>0.0</v>
      </c>
      <c r="AQ3382" s="235" t="s">
        <v>632</v>
      </c>
      <c r="AR3382" s="243">
        <v>3.71E11</v>
      </c>
      <c r="AS3382" s="235" t="s">
        <v>20529</v>
      </c>
      <c r="AT3382" s="235" t="s">
        <v>156</v>
      </c>
      <c r="AU3382" s="235" t="s">
        <v>634</v>
      </c>
      <c r="AV3382" s="246" t="s">
        <v>635</v>
      </c>
      <c r="AW3382" s="227"/>
      <c r="AX3382" s="227"/>
      <c r="AY3382" s="227"/>
      <c r="AZ3382" s="227"/>
      <c r="BA3382" s="227"/>
      <c r="BB3382" s="227"/>
      <c r="BC3382" s="227"/>
      <c r="BD3382" s="227"/>
      <c r="BE3382" s="227"/>
      <c r="BF3382" s="227"/>
    </row>
    <row r="3383">
      <c r="A3383" s="235" t="s">
        <v>25425</v>
      </c>
      <c r="C3383" s="235" t="s">
        <v>25426</v>
      </c>
      <c r="D3383" s="235" t="s">
        <v>25427</v>
      </c>
      <c r="E3383" s="243">
        <v>6.52E13</v>
      </c>
      <c r="F3383" s="245"/>
      <c r="G3383" s="235" t="s">
        <v>25428</v>
      </c>
      <c r="H3383" s="235" t="s">
        <v>25429</v>
      </c>
      <c r="I3383" s="235" t="s">
        <v>25430</v>
      </c>
      <c r="J3383" s="235" t="s">
        <v>25431</v>
      </c>
      <c r="K3383" s="235" t="s">
        <v>25432</v>
      </c>
      <c r="N3383" s="235" t="s">
        <v>130</v>
      </c>
      <c r="O3383" s="235" t="s">
        <v>707</v>
      </c>
      <c r="P3383" s="238">
        <v>1.0</v>
      </c>
      <c r="Q3383" s="235" t="s">
        <v>627</v>
      </c>
      <c r="R3383" s="238">
        <v>246.67</v>
      </c>
      <c r="S3383" s="238">
        <v>12.08</v>
      </c>
      <c r="T3383" s="238">
        <v>38.1</v>
      </c>
      <c r="U3383" s="238">
        <v>1.9</v>
      </c>
      <c r="V3383" s="238">
        <v>0.0</v>
      </c>
      <c r="W3383" s="238">
        <v>0.0</v>
      </c>
      <c r="X3383" s="235" t="s">
        <v>628</v>
      </c>
      <c r="Z3383" s="245"/>
      <c r="AA3383" s="245"/>
      <c r="AB3383" s="245"/>
      <c r="AC3383" s="235" t="s">
        <v>749</v>
      </c>
      <c r="AD3383" s="235" t="s">
        <v>630</v>
      </c>
      <c r="AE3383" s="238">
        <v>201009.0</v>
      </c>
      <c r="AF3383" s="235" t="s">
        <v>631</v>
      </c>
      <c r="AG3383" s="245"/>
      <c r="AH3383" s="245"/>
      <c r="AI3383" s="245"/>
      <c r="AJ3383" s="245"/>
      <c r="AK3383" s="245"/>
      <c r="AL3383" s="245"/>
      <c r="AM3383" s="245"/>
      <c r="AN3383" s="245"/>
      <c r="AO3383" s="238">
        <v>-4.93</v>
      </c>
      <c r="AP3383" s="238">
        <v>-38.1</v>
      </c>
      <c r="AQ3383" s="235" t="s">
        <v>632</v>
      </c>
      <c r="AR3383" s="243">
        <v>3.71E11</v>
      </c>
      <c r="AS3383" s="235" t="s">
        <v>20529</v>
      </c>
      <c r="AT3383" s="235" t="s">
        <v>17</v>
      </c>
      <c r="AU3383" s="235" t="s">
        <v>634</v>
      </c>
      <c r="AV3383" s="246" t="s">
        <v>635</v>
      </c>
      <c r="AW3383" s="227"/>
      <c r="AX3383" s="227"/>
      <c r="AY3383" s="227"/>
      <c r="AZ3383" s="227"/>
      <c r="BA3383" s="227"/>
      <c r="BB3383" s="227"/>
      <c r="BC3383" s="227"/>
      <c r="BD3383" s="227"/>
      <c r="BE3383" s="227"/>
      <c r="BF3383" s="227"/>
    </row>
    <row r="3384">
      <c r="A3384" s="235" t="s">
        <v>25433</v>
      </c>
      <c r="C3384" s="235" t="s">
        <v>25434</v>
      </c>
      <c r="D3384" s="235" t="s">
        <v>25435</v>
      </c>
      <c r="E3384" s="243">
        <v>6.52E13</v>
      </c>
      <c r="F3384" s="245"/>
      <c r="G3384" s="235" t="s">
        <v>25436</v>
      </c>
      <c r="H3384" s="235" t="s">
        <v>25430</v>
      </c>
      <c r="I3384" s="235" t="s">
        <v>25430</v>
      </c>
      <c r="J3384" s="235" t="s">
        <v>25437</v>
      </c>
      <c r="K3384" s="235" t="s">
        <v>25438</v>
      </c>
      <c r="N3384" s="235" t="s">
        <v>92</v>
      </c>
      <c r="O3384" s="235" t="s">
        <v>248</v>
      </c>
      <c r="P3384" s="238">
        <v>1.0</v>
      </c>
      <c r="Q3384" s="235" t="s">
        <v>627</v>
      </c>
      <c r="R3384" s="238">
        <v>233.33</v>
      </c>
      <c r="S3384" s="238">
        <v>11.32</v>
      </c>
      <c r="T3384" s="238">
        <v>0.0</v>
      </c>
      <c r="U3384" s="238">
        <v>0.0</v>
      </c>
      <c r="V3384" s="238">
        <v>0.0</v>
      </c>
      <c r="W3384" s="238">
        <v>0.0</v>
      </c>
      <c r="X3384" s="235" t="s">
        <v>628</v>
      </c>
      <c r="Z3384" s="245"/>
      <c r="AA3384" s="245"/>
      <c r="AB3384" s="245"/>
      <c r="AC3384" s="235" t="s">
        <v>25439</v>
      </c>
      <c r="AD3384" s="235" t="s">
        <v>833</v>
      </c>
      <c r="AE3384" s="238">
        <v>522303.0</v>
      </c>
      <c r="AF3384" s="235" t="s">
        <v>631</v>
      </c>
      <c r="AG3384" s="245"/>
      <c r="AH3384" s="245"/>
      <c r="AI3384" s="245"/>
      <c r="AJ3384" s="245"/>
      <c r="AK3384" s="245"/>
      <c r="AL3384" s="245"/>
      <c r="AM3384" s="245"/>
      <c r="AN3384" s="245"/>
      <c r="AO3384" s="238">
        <v>-7.0</v>
      </c>
      <c r="AP3384" s="238">
        <v>0.0</v>
      </c>
      <c r="AQ3384" s="235" t="s">
        <v>632</v>
      </c>
      <c r="AR3384" s="243">
        <v>3.71E11</v>
      </c>
      <c r="AS3384" s="235" t="s">
        <v>22269</v>
      </c>
      <c r="AT3384" s="235" t="s">
        <v>156</v>
      </c>
      <c r="AU3384" s="235" t="s">
        <v>634</v>
      </c>
      <c r="AV3384" s="246" t="s">
        <v>635</v>
      </c>
      <c r="AW3384" s="227"/>
      <c r="AX3384" s="227"/>
      <c r="AY3384" s="227"/>
      <c r="AZ3384" s="227"/>
      <c r="BA3384" s="227"/>
      <c r="BB3384" s="227"/>
      <c r="BC3384" s="227"/>
      <c r="BD3384" s="227"/>
      <c r="BE3384" s="227"/>
      <c r="BF3384" s="227"/>
    </row>
    <row r="3385">
      <c r="A3385" s="235" t="s">
        <v>25440</v>
      </c>
      <c r="C3385" s="235" t="s">
        <v>25441</v>
      </c>
      <c r="D3385" s="235" t="s">
        <v>25442</v>
      </c>
      <c r="E3385" s="243">
        <v>6.51E13</v>
      </c>
      <c r="F3385" s="245"/>
      <c r="G3385" s="235" t="s">
        <v>25443</v>
      </c>
      <c r="H3385" s="235" t="s">
        <v>25444</v>
      </c>
      <c r="I3385" s="235" t="s">
        <v>25445</v>
      </c>
      <c r="J3385" s="235" t="s">
        <v>25446</v>
      </c>
      <c r="K3385" s="235" t="s">
        <v>25447</v>
      </c>
      <c r="N3385" s="235" t="s">
        <v>120</v>
      </c>
      <c r="O3385" s="235" t="s">
        <v>324</v>
      </c>
      <c r="P3385" s="238">
        <v>1.0</v>
      </c>
      <c r="Q3385" s="235" t="s">
        <v>627</v>
      </c>
      <c r="R3385" s="238">
        <v>233.33</v>
      </c>
      <c r="S3385" s="238">
        <v>11.32</v>
      </c>
      <c r="T3385" s="238">
        <v>0.0</v>
      </c>
      <c r="U3385" s="238">
        <v>0.0</v>
      </c>
      <c r="V3385" s="238">
        <v>0.0</v>
      </c>
      <c r="W3385" s="238">
        <v>0.0</v>
      </c>
      <c r="X3385" s="235" t="s">
        <v>628</v>
      </c>
      <c r="Z3385" s="245"/>
      <c r="AA3385" s="245"/>
      <c r="AB3385" s="245"/>
      <c r="AC3385" s="235" t="s">
        <v>25448</v>
      </c>
      <c r="AD3385" s="235" t="s">
        <v>8663</v>
      </c>
      <c r="AE3385" s="238">
        <v>421306.0</v>
      </c>
      <c r="AF3385" s="235" t="s">
        <v>631</v>
      </c>
      <c r="AG3385" s="245"/>
      <c r="AH3385" s="245"/>
      <c r="AI3385" s="245"/>
      <c r="AJ3385" s="245"/>
      <c r="AK3385" s="245"/>
      <c r="AL3385" s="245"/>
      <c r="AM3385" s="245"/>
      <c r="AN3385" s="245"/>
      <c r="AO3385" s="238">
        <v>-7.0</v>
      </c>
      <c r="AP3385" s="238">
        <v>0.0</v>
      </c>
      <c r="AQ3385" s="235" t="s">
        <v>1328</v>
      </c>
      <c r="AR3385" s="243">
        <v>1.34E13</v>
      </c>
      <c r="AS3385" s="235" t="s">
        <v>15064</v>
      </c>
      <c r="AT3385" s="235" t="s">
        <v>14</v>
      </c>
      <c r="AU3385" s="235" t="s">
        <v>634</v>
      </c>
      <c r="AV3385" s="246" t="s">
        <v>635</v>
      </c>
      <c r="AW3385" s="227"/>
      <c r="AX3385" s="227"/>
      <c r="AY3385" s="227"/>
      <c r="AZ3385" s="227"/>
      <c r="BA3385" s="227"/>
      <c r="BB3385" s="227"/>
      <c r="BC3385" s="227"/>
      <c r="BD3385" s="227"/>
      <c r="BE3385" s="227"/>
      <c r="BF3385" s="227"/>
    </row>
    <row r="3386">
      <c r="A3386" s="235" t="s">
        <v>25449</v>
      </c>
      <c r="C3386" s="235" t="s">
        <v>25450</v>
      </c>
      <c r="D3386" s="235" t="s">
        <v>25451</v>
      </c>
      <c r="E3386" s="243">
        <v>6.52E13</v>
      </c>
      <c r="F3386" s="245"/>
      <c r="G3386" s="235" t="s">
        <v>25452</v>
      </c>
      <c r="H3386" s="235" t="s">
        <v>25453</v>
      </c>
      <c r="I3386" s="235" t="s">
        <v>25454</v>
      </c>
      <c r="J3386" s="235" t="s">
        <v>25455</v>
      </c>
      <c r="K3386" s="235" t="s">
        <v>25456</v>
      </c>
      <c r="N3386" s="235" t="s">
        <v>4</v>
      </c>
      <c r="O3386" s="235" t="s">
        <v>1791</v>
      </c>
      <c r="P3386" s="238">
        <v>1.0</v>
      </c>
      <c r="Q3386" s="235" t="s">
        <v>627</v>
      </c>
      <c r="R3386" s="238">
        <v>256.19</v>
      </c>
      <c r="S3386" s="238">
        <v>12.81</v>
      </c>
      <c r="T3386" s="238">
        <v>0.0</v>
      </c>
      <c r="U3386" s="238">
        <v>0.0</v>
      </c>
      <c r="V3386" s="238">
        <v>0.0</v>
      </c>
      <c r="W3386" s="238">
        <v>0.0</v>
      </c>
      <c r="X3386" s="235" t="s">
        <v>628</v>
      </c>
      <c r="Z3386" s="245"/>
      <c r="AA3386" s="245"/>
      <c r="AB3386" s="245"/>
      <c r="AC3386" s="235" t="s">
        <v>3406</v>
      </c>
      <c r="AD3386" s="235" t="s">
        <v>666</v>
      </c>
      <c r="AE3386" s="238">
        <v>614001.0</v>
      </c>
      <c r="AF3386" s="235" t="s">
        <v>631</v>
      </c>
      <c r="AG3386" s="245"/>
      <c r="AH3386" s="245"/>
      <c r="AI3386" s="245"/>
      <c r="AJ3386" s="245"/>
      <c r="AK3386" s="245"/>
      <c r="AL3386" s="245"/>
      <c r="AM3386" s="245"/>
      <c r="AN3386" s="245"/>
      <c r="AO3386" s="238">
        <v>0.0</v>
      </c>
      <c r="AP3386" s="238">
        <v>0.0</v>
      </c>
      <c r="AQ3386" s="235" t="s">
        <v>632</v>
      </c>
      <c r="AR3386" s="243">
        <v>3.71E11</v>
      </c>
      <c r="AS3386" s="235" t="s">
        <v>22269</v>
      </c>
      <c r="AT3386" s="235" t="s">
        <v>11</v>
      </c>
      <c r="AU3386" s="235" t="s">
        <v>634</v>
      </c>
      <c r="AV3386" s="246" t="s">
        <v>635</v>
      </c>
      <c r="AW3386" s="227"/>
      <c r="AX3386" s="227"/>
      <c r="AY3386" s="227"/>
      <c r="AZ3386" s="227"/>
      <c r="BA3386" s="227"/>
      <c r="BB3386" s="227"/>
      <c r="BC3386" s="227"/>
      <c r="BD3386" s="227"/>
      <c r="BE3386" s="227"/>
      <c r="BF3386" s="227"/>
    </row>
    <row r="3387">
      <c r="A3387" s="235" t="s">
        <v>25457</v>
      </c>
      <c r="C3387" s="235" t="s">
        <v>25458</v>
      </c>
      <c r="D3387" s="235" t="s">
        <v>25459</v>
      </c>
      <c r="E3387" s="243">
        <v>6.52E13</v>
      </c>
      <c r="F3387" s="245"/>
      <c r="G3387" s="235" t="s">
        <v>25460</v>
      </c>
      <c r="H3387" s="235" t="s">
        <v>25461</v>
      </c>
      <c r="I3387" s="235" t="s">
        <v>25461</v>
      </c>
      <c r="J3387" s="235" t="s">
        <v>25462</v>
      </c>
      <c r="K3387" s="235" t="s">
        <v>25463</v>
      </c>
      <c r="N3387" s="235" t="s">
        <v>71</v>
      </c>
      <c r="O3387" s="235" t="s">
        <v>240</v>
      </c>
      <c r="P3387" s="238">
        <v>1.0</v>
      </c>
      <c r="Q3387" s="235" t="s">
        <v>627</v>
      </c>
      <c r="R3387" s="238">
        <v>246.67</v>
      </c>
      <c r="S3387" s="238">
        <v>12.33</v>
      </c>
      <c r="T3387" s="238">
        <v>0.0</v>
      </c>
      <c r="U3387" s="238">
        <v>0.0</v>
      </c>
      <c r="V3387" s="238">
        <v>0.0</v>
      </c>
      <c r="W3387" s="238">
        <v>0.0</v>
      </c>
      <c r="X3387" s="235" t="s">
        <v>628</v>
      </c>
      <c r="Z3387" s="245"/>
      <c r="AA3387" s="245"/>
      <c r="AB3387" s="245"/>
      <c r="AC3387" s="235" t="s">
        <v>3351</v>
      </c>
      <c r="AD3387" s="235" t="s">
        <v>1499</v>
      </c>
      <c r="AE3387" s="238">
        <v>462021.0</v>
      </c>
      <c r="AF3387" s="235" t="s">
        <v>631</v>
      </c>
      <c r="AG3387" s="245"/>
      <c r="AH3387" s="245"/>
      <c r="AI3387" s="245"/>
      <c r="AJ3387" s="245"/>
      <c r="AK3387" s="245"/>
      <c r="AL3387" s="245"/>
      <c r="AM3387" s="245"/>
      <c r="AN3387" s="245"/>
      <c r="AO3387" s="238">
        <v>0.0</v>
      </c>
      <c r="AP3387" s="238">
        <v>0.0</v>
      </c>
      <c r="AQ3387" s="235" t="s">
        <v>632</v>
      </c>
      <c r="AR3387" s="243">
        <v>2.02E11</v>
      </c>
      <c r="AS3387" s="235" t="s">
        <v>23542</v>
      </c>
      <c r="AT3387" s="235" t="s">
        <v>533</v>
      </c>
      <c r="AU3387" s="235" t="s">
        <v>634</v>
      </c>
      <c r="AV3387" s="246" t="s">
        <v>635</v>
      </c>
      <c r="AW3387" s="227"/>
      <c r="AX3387" s="227"/>
      <c r="AY3387" s="227"/>
      <c r="AZ3387" s="227"/>
      <c r="BA3387" s="227"/>
      <c r="BB3387" s="227"/>
      <c r="BC3387" s="227"/>
      <c r="BD3387" s="227"/>
      <c r="BE3387" s="227"/>
      <c r="BF3387" s="227"/>
    </row>
    <row r="3388">
      <c r="A3388" s="235" t="s">
        <v>25464</v>
      </c>
      <c r="C3388" s="235" t="s">
        <v>25465</v>
      </c>
      <c r="D3388" s="235" t="s">
        <v>25466</v>
      </c>
      <c r="E3388" s="243">
        <v>6.52E13</v>
      </c>
      <c r="F3388" s="245"/>
      <c r="G3388" s="235" t="s">
        <v>25467</v>
      </c>
      <c r="H3388" s="235" t="s">
        <v>25468</v>
      </c>
      <c r="I3388" s="235" t="s">
        <v>25468</v>
      </c>
      <c r="J3388" s="235" t="s">
        <v>25469</v>
      </c>
      <c r="K3388" s="235" t="s">
        <v>25470</v>
      </c>
      <c r="N3388" s="235" t="s">
        <v>51</v>
      </c>
      <c r="O3388" s="235" t="s">
        <v>273</v>
      </c>
      <c r="P3388" s="238">
        <v>1.0</v>
      </c>
      <c r="Q3388" s="235" t="s">
        <v>627</v>
      </c>
      <c r="R3388" s="238">
        <v>246.66</v>
      </c>
      <c r="S3388" s="238">
        <v>12.34</v>
      </c>
      <c r="T3388" s="238">
        <v>38.1</v>
      </c>
      <c r="U3388" s="238">
        <v>1.9</v>
      </c>
      <c r="V3388" s="238">
        <v>0.0</v>
      </c>
      <c r="W3388" s="238">
        <v>0.0</v>
      </c>
      <c r="X3388" s="235" t="s">
        <v>628</v>
      </c>
      <c r="Z3388" s="245"/>
      <c r="AA3388" s="245"/>
      <c r="AB3388" s="245"/>
      <c r="AC3388" s="235" t="s">
        <v>12541</v>
      </c>
      <c r="AD3388" s="235" t="s">
        <v>666</v>
      </c>
      <c r="AE3388" s="238">
        <v>628101.0</v>
      </c>
      <c r="AF3388" s="235" t="s">
        <v>631</v>
      </c>
      <c r="AG3388" s="245"/>
      <c r="AH3388" s="245"/>
      <c r="AI3388" s="245"/>
      <c r="AJ3388" s="245"/>
      <c r="AK3388" s="245"/>
      <c r="AL3388" s="245"/>
      <c r="AM3388" s="245"/>
      <c r="AN3388" s="245"/>
      <c r="AO3388" s="238">
        <v>0.0</v>
      </c>
      <c r="AP3388" s="238">
        <v>-38.1</v>
      </c>
      <c r="AQ3388" s="235" t="s">
        <v>632</v>
      </c>
      <c r="AR3388" s="243">
        <v>3.71E11</v>
      </c>
      <c r="AS3388" s="235" t="s">
        <v>22269</v>
      </c>
      <c r="AT3388" s="235" t="s">
        <v>156</v>
      </c>
      <c r="AU3388" s="235" t="s">
        <v>634</v>
      </c>
      <c r="AV3388" s="246" t="s">
        <v>635</v>
      </c>
      <c r="AW3388" s="227"/>
      <c r="AX3388" s="227"/>
      <c r="AY3388" s="227"/>
      <c r="AZ3388" s="227"/>
      <c r="BA3388" s="227"/>
      <c r="BB3388" s="227"/>
      <c r="BC3388" s="227"/>
      <c r="BD3388" s="227"/>
      <c r="BE3388" s="227"/>
      <c r="BF3388" s="227"/>
    </row>
    <row r="3389">
      <c r="A3389" s="235" t="s">
        <v>25471</v>
      </c>
      <c r="C3389" s="235" t="s">
        <v>25472</v>
      </c>
      <c r="D3389" s="235" t="s">
        <v>25473</v>
      </c>
      <c r="E3389" s="243">
        <v>6.52E13</v>
      </c>
      <c r="F3389" s="245"/>
      <c r="G3389" s="235" t="s">
        <v>25474</v>
      </c>
      <c r="H3389" s="235" t="s">
        <v>25475</v>
      </c>
      <c r="I3389" s="235" t="s">
        <v>25475</v>
      </c>
      <c r="J3389" s="235" t="s">
        <v>25476</v>
      </c>
      <c r="K3389" s="235" t="s">
        <v>25477</v>
      </c>
      <c r="N3389" s="235" t="s">
        <v>53</v>
      </c>
      <c r="O3389" s="235" t="s">
        <v>512</v>
      </c>
      <c r="P3389" s="238">
        <v>1.0</v>
      </c>
      <c r="Q3389" s="235" t="s">
        <v>627</v>
      </c>
      <c r="R3389" s="238">
        <v>233.33</v>
      </c>
      <c r="S3389" s="238">
        <v>11.67</v>
      </c>
      <c r="T3389" s="238">
        <v>38.1</v>
      </c>
      <c r="U3389" s="238">
        <v>1.9</v>
      </c>
      <c r="V3389" s="238">
        <v>0.0</v>
      </c>
      <c r="W3389" s="238">
        <v>0.0</v>
      </c>
      <c r="X3389" s="235" t="s">
        <v>628</v>
      </c>
      <c r="Z3389" s="245"/>
      <c r="AA3389" s="245"/>
      <c r="AB3389" s="245"/>
      <c r="AC3389" s="235" t="s">
        <v>19800</v>
      </c>
      <c r="AD3389" s="235" t="s">
        <v>833</v>
      </c>
      <c r="AE3389" s="238">
        <v>522101.0</v>
      </c>
      <c r="AF3389" s="235" t="s">
        <v>631</v>
      </c>
      <c r="AG3389" s="245"/>
      <c r="AH3389" s="245"/>
      <c r="AI3389" s="245"/>
      <c r="AJ3389" s="245"/>
      <c r="AK3389" s="245"/>
      <c r="AL3389" s="245"/>
      <c r="AM3389" s="245"/>
      <c r="AN3389" s="245"/>
      <c r="AO3389" s="238">
        <v>0.0</v>
      </c>
      <c r="AP3389" s="238">
        <v>0.0</v>
      </c>
      <c r="AQ3389" s="235" t="s">
        <v>632</v>
      </c>
      <c r="AR3389" s="243">
        <v>1.68E11</v>
      </c>
      <c r="AS3389" s="235" t="s">
        <v>23542</v>
      </c>
      <c r="AT3389" s="235" t="s">
        <v>156</v>
      </c>
      <c r="AU3389" s="235" t="s">
        <v>634</v>
      </c>
      <c r="AV3389" s="246" t="s">
        <v>635</v>
      </c>
      <c r="AW3389" s="227"/>
      <c r="AX3389" s="227"/>
      <c r="AY3389" s="227"/>
      <c r="AZ3389" s="227"/>
      <c r="BA3389" s="227"/>
      <c r="BB3389" s="227"/>
      <c r="BC3389" s="227"/>
      <c r="BD3389" s="227"/>
      <c r="BE3389" s="227"/>
      <c r="BF3389" s="227"/>
    </row>
    <row r="3390">
      <c r="A3390" s="235" t="s">
        <v>25478</v>
      </c>
      <c r="C3390" s="235" t="s">
        <v>25479</v>
      </c>
      <c r="D3390" s="235" t="s">
        <v>25480</v>
      </c>
      <c r="E3390" s="243">
        <v>6.52E13</v>
      </c>
      <c r="F3390" s="245"/>
      <c r="G3390" s="235" t="s">
        <v>25481</v>
      </c>
      <c r="H3390" s="235" t="s">
        <v>25482</v>
      </c>
      <c r="I3390" s="235" t="s">
        <v>25483</v>
      </c>
      <c r="J3390" s="235" t="s">
        <v>25484</v>
      </c>
      <c r="K3390" s="235" t="s">
        <v>25485</v>
      </c>
      <c r="N3390" s="235" t="s">
        <v>106</v>
      </c>
      <c r="O3390" s="235" t="s">
        <v>338</v>
      </c>
      <c r="P3390" s="238">
        <v>1.0</v>
      </c>
      <c r="Q3390" s="235" t="s">
        <v>627</v>
      </c>
      <c r="R3390" s="238">
        <v>237.14</v>
      </c>
      <c r="S3390" s="238">
        <v>11.86</v>
      </c>
      <c r="T3390" s="238">
        <v>0.0</v>
      </c>
      <c r="U3390" s="238">
        <v>0.0</v>
      </c>
      <c r="V3390" s="238">
        <v>0.0</v>
      </c>
      <c r="W3390" s="238">
        <v>0.0</v>
      </c>
      <c r="X3390" s="235" t="s">
        <v>628</v>
      </c>
      <c r="Z3390" s="245"/>
      <c r="AA3390" s="245"/>
      <c r="AB3390" s="245"/>
      <c r="AC3390" s="235" t="s">
        <v>25486</v>
      </c>
      <c r="AD3390" s="235" t="s">
        <v>645</v>
      </c>
      <c r="AE3390" s="238">
        <v>679334.0</v>
      </c>
      <c r="AF3390" s="235" t="s">
        <v>631</v>
      </c>
      <c r="AG3390" s="245"/>
      <c r="AH3390" s="245"/>
      <c r="AI3390" s="245"/>
      <c r="AJ3390" s="245"/>
      <c r="AK3390" s="245"/>
      <c r="AL3390" s="245"/>
      <c r="AM3390" s="245"/>
      <c r="AN3390" s="245"/>
      <c r="AO3390" s="238">
        <v>0.0</v>
      </c>
      <c r="AP3390" s="238">
        <v>0.0</v>
      </c>
      <c r="AQ3390" s="235" t="s">
        <v>632</v>
      </c>
      <c r="AR3390" s="243">
        <v>3.71E11</v>
      </c>
      <c r="AS3390" s="235" t="s">
        <v>20529</v>
      </c>
      <c r="AT3390" s="235" t="s">
        <v>156</v>
      </c>
      <c r="AU3390" s="235" t="s">
        <v>634</v>
      </c>
      <c r="AV3390" s="246" t="s">
        <v>635</v>
      </c>
      <c r="AW3390" s="227"/>
      <c r="AX3390" s="227"/>
      <c r="AY3390" s="227"/>
      <c r="AZ3390" s="227"/>
      <c r="BA3390" s="227"/>
      <c r="BB3390" s="227"/>
      <c r="BC3390" s="227"/>
      <c r="BD3390" s="227"/>
      <c r="BE3390" s="227"/>
      <c r="BF3390" s="227"/>
    </row>
    <row r="3391">
      <c r="A3391" s="235" t="s">
        <v>25487</v>
      </c>
      <c r="C3391" s="235" t="s">
        <v>25488</v>
      </c>
      <c r="D3391" s="235" t="s">
        <v>25489</v>
      </c>
      <c r="E3391" s="243">
        <v>6.52E13</v>
      </c>
      <c r="F3391" s="245"/>
      <c r="G3391" s="235" t="s">
        <v>25490</v>
      </c>
      <c r="H3391" s="235" t="s">
        <v>25491</v>
      </c>
      <c r="I3391" s="235" t="s">
        <v>25491</v>
      </c>
      <c r="J3391" s="235" t="s">
        <v>25492</v>
      </c>
      <c r="K3391" s="235" t="s">
        <v>25493</v>
      </c>
      <c r="N3391" s="235" t="s">
        <v>120</v>
      </c>
      <c r="O3391" s="235" t="s">
        <v>324</v>
      </c>
      <c r="P3391" s="238">
        <v>1.0</v>
      </c>
      <c r="Q3391" s="235" t="s">
        <v>627</v>
      </c>
      <c r="R3391" s="238">
        <v>233.33</v>
      </c>
      <c r="S3391" s="238">
        <v>11.67</v>
      </c>
      <c r="T3391" s="238">
        <v>0.0</v>
      </c>
      <c r="U3391" s="238">
        <v>0.0</v>
      </c>
      <c r="V3391" s="238">
        <v>0.0</v>
      </c>
      <c r="W3391" s="238">
        <v>0.0</v>
      </c>
      <c r="X3391" s="235" t="s">
        <v>628</v>
      </c>
      <c r="Z3391" s="245"/>
      <c r="AA3391" s="245"/>
      <c r="AB3391" s="245"/>
      <c r="AC3391" s="235" t="s">
        <v>25494</v>
      </c>
      <c r="AD3391" s="235" t="s">
        <v>645</v>
      </c>
      <c r="AE3391" s="238">
        <v>680563.0</v>
      </c>
      <c r="AF3391" s="235" t="s">
        <v>631</v>
      </c>
      <c r="AG3391" s="245"/>
      <c r="AH3391" s="245"/>
      <c r="AI3391" s="245"/>
      <c r="AJ3391" s="245"/>
      <c r="AK3391" s="245"/>
      <c r="AL3391" s="245"/>
      <c r="AM3391" s="245"/>
      <c r="AN3391" s="245"/>
      <c r="AO3391" s="238">
        <v>0.0</v>
      </c>
      <c r="AP3391" s="238">
        <v>0.0</v>
      </c>
      <c r="AQ3391" s="235" t="s">
        <v>632</v>
      </c>
      <c r="AR3391" s="243">
        <v>3.71E11</v>
      </c>
      <c r="AS3391" s="235" t="s">
        <v>16626</v>
      </c>
      <c r="AT3391" s="235" t="s">
        <v>14</v>
      </c>
      <c r="AU3391" s="235" t="s">
        <v>634</v>
      </c>
      <c r="AV3391" s="246" t="s">
        <v>635</v>
      </c>
      <c r="AW3391" s="227"/>
      <c r="AX3391" s="227"/>
      <c r="AY3391" s="227"/>
      <c r="AZ3391" s="227"/>
      <c r="BA3391" s="227"/>
      <c r="BB3391" s="227"/>
      <c r="BC3391" s="227"/>
      <c r="BD3391" s="227"/>
      <c r="BE3391" s="227"/>
      <c r="BF3391" s="227"/>
    </row>
    <row r="3392">
      <c r="A3392" s="235" t="s">
        <v>25495</v>
      </c>
      <c r="C3392" s="235" t="s">
        <v>25496</v>
      </c>
      <c r="D3392" s="235" t="s">
        <v>25497</v>
      </c>
      <c r="E3392" s="243">
        <v>6.52E13</v>
      </c>
      <c r="F3392" s="245"/>
      <c r="G3392" s="235" t="s">
        <v>25498</v>
      </c>
      <c r="H3392" s="235" t="s">
        <v>25499</v>
      </c>
      <c r="I3392" s="235" t="s">
        <v>25499</v>
      </c>
      <c r="J3392" s="235" t="s">
        <v>25500</v>
      </c>
      <c r="K3392" s="235" t="s">
        <v>25501</v>
      </c>
      <c r="N3392" s="235" t="s">
        <v>50</v>
      </c>
      <c r="O3392" s="235" t="s">
        <v>367</v>
      </c>
      <c r="P3392" s="238">
        <v>1.0</v>
      </c>
      <c r="Q3392" s="235" t="s">
        <v>627</v>
      </c>
      <c r="R3392" s="238">
        <v>237.14</v>
      </c>
      <c r="S3392" s="238">
        <v>11.86</v>
      </c>
      <c r="T3392" s="238">
        <v>0.0</v>
      </c>
      <c r="U3392" s="238">
        <v>0.0</v>
      </c>
      <c r="V3392" s="238">
        <v>0.0</v>
      </c>
      <c r="W3392" s="238">
        <v>0.0</v>
      </c>
      <c r="X3392" s="235" t="s">
        <v>628</v>
      </c>
      <c r="Z3392" s="245"/>
      <c r="AA3392" s="245"/>
      <c r="AB3392" s="245"/>
      <c r="AC3392" s="235" t="s">
        <v>814</v>
      </c>
      <c r="AD3392" s="235" t="s">
        <v>698</v>
      </c>
      <c r="AE3392" s="238">
        <v>500019.0</v>
      </c>
      <c r="AF3392" s="235" t="s">
        <v>631</v>
      </c>
      <c r="AG3392" s="245"/>
      <c r="AH3392" s="245"/>
      <c r="AI3392" s="245"/>
      <c r="AJ3392" s="245"/>
      <c r="AK3392" s="245"/>
      <c r="AL3392" s="245"/>
      <c r="AM3392" s="245"/>
      <c r="AN3392" s="245"/>
      <c r="AO3392" s="238">
        <v>0.0</v>
      </c>
      <c r="AP3392" s="238">
        <v>0.0</v>
      </c>
      <c r="AQ3392" s="235" t="s">
        <v>632</v>
      </c>
      <c r="AR3392" s="243">
        <v>3.71E11</v>
      </c>
      <c r="AS3392" s="235" t="s">
        <v>22269</v>
      </c>
      <c r="AT3392" s="235" t="s">
        <v>16</v>
      </c>
      <c r="AU3392" s="235" t="s">
        <v>634</v>
      </c>
      <c r="AV3392" s="246" t="s">
        <v>635</v>
      </c>
      <c r="AW3392" s="227"/>
      <c r="AX3392" s="227"/>
      <c r="AY3392" s="227"/>
      <c r="AZ3392" s="227"/>
      <c r="BA3392" s="227"/>
      <c r="BB3392" s="227"/>
      <c r="BC3392" s="227"/>
      <c r="BD3392" s="227"/>
      <c r="BE3392" s="227"/>
      <c r="BF3392" s="227"/>
    </row>
    <row r="3393">
      <c r="A3393" s="235" t="s">
        <v>25502</v>
      </c>
      <c r="C3393" s="235" t="s">
        <v>25503</v>
      </c>
      <c r="D3393" s="235" t="s">
        <v>25504</v>
      </c>
      <c r="E3393" s="243">
        <v>6.52E13</v>
      </c>
      <c r="F3393" s="245"/>
      <c r="G3393" s="235" t="s">
        <v>25505</v>
      </c>
      <c r="H3393" s="235" t="s">
        <v>25506</v>
      </c>
      <c r="I3393" s="235" t="s">
        <v>25506</v>
      </c>
      <c r="J3393" s="235" t="s">
        <v>25507</v>
      </c>
      <c r="K3393" s="235" t="s">
        <v>25508</v>
      </c>
      <c r="N3393" s="235" t="s">
        <v>86</v>
      </c>
      <c r="O3393" s="235" t="s">
        <v>1811</v>
      </c>
      <c r="P3393" s="238">
        <v>1.0</v>
      </c>
      <c r="Q3393" s="235" t="s">
        <v>627</v>
      </c>
      <c r="R3393" s="238">
        <v>237.14</v>
      </c>
      <c r="S3393" s="238">
        <v>11.5</v>
      </c>
      <c r="T3393" s="238">
        <v>0.0</v>
      </c>
      <c r="U3393" s="238">
        <v>0.0</v>
      </c>
      <c r="V3393" s="238">
        <v>0.0</v>
      </c>
      <c r="W3393" s="238">
        <v>0.0</v>
      </c>
      <c r="X3393" s="235" t="s">
        <v>628</v>
      </c>
      <c r="Z3393" s="245"/>
      <c r="AA3393" s="245"/>
      <c r="AB3393" s="245"/>
      <c r="AC3393" s="235" t="s">
        <v>1279</v>
      </c>
      <c r="AD3393" s="235" t="s">
        <v>917</v>
      </c>
      <c r="AE3393" s="238">
        <v>302019.0</v>
      </c>
      <c r="AF3393" s="235" t="s">
        <v>631</v>
      </c>
      <c r="AG3393" s="245"/>
      <c r="AH3393" s="245"/>
      <c r="AI3393" s="245"/>
      <c r="AJ3393" s="245"/>
      <c r="AK3393" s="245"/>
      <c r="AL3393" s="245"/>
      <c r="AM3393" s="245"/>
      <c r="AN3393" s="245"/>
      <c r="AO3393" s="238">
        <v>-7.11</v>
      </c>
      <c r="AP3393" s="238">
        <v>0.0</v>
      </c>
      <c r="AQ3393" s="235" t="s">
        <v>632</v>
      </c>
      <c r="AR3393" s="243">
        <v>1.68E11</v>
      </c>
      <c r="AS3393" s="235" t="s">
        <v>22269</v>
      </c>
      <c r="AT3393" s="235" t="s">
        <v>5</v>
      </c>
      <c r="AU3393" s="235" t="s">
        <v>634</v>
      </c>
      <c r="AV3393" s="246" t="s">
        <v>635</v>
      </c>
      <c r="AW3393" s="227"/>
      <c r="AX3393" s="227"/>
      <c r="AY3393" s="227"/>
      <c r="AZ3393" s="227"/>
      <c r="BA3393" s="227"/>
      <c r="BB3393" s="227"/>
      <c r="BC3393" s="227"/>
      <c r="BD3393" s="227"/>
      <c r="BE3393" s="227"/>
      <c r="BF3393" s="227"/>
    </row>
    <row r="3394">
      <c r="A3394" s="235" t="s">
        <v>25509</v>
      </c>
      <c r="C3394" s="235" t="s">
        <v>25510</v>
      </c>
      <c r="D3394" s="235" t="s">
        <v>25511</v>
      </c>
      <c r="E3394" s="243">
        <v>6.52E13</v>
      </c>
      <c r="F3394" s="245"/>
      <c r="G3394" s="235" t="s">
        <v>25512</v>
      </c>
      <c r="H3394" s="235" t="s">
        <v>25513</v>
      </c>
      <c r="I3394" s="235" t="s">
        <v>25513</v>
      </c>
      <c r="J3394" s="235" t="s">
        <v>25514</v>
      </c>
      <c r="K3394" s="235" t="s">
        <v>25515</v>
      </c>
      <c r="N3394" s="235" t="s">
        <v>85</v>
      </c>
      <c r="O3394" s="235" t="s">
        <v>872</v>
      </c>
      <c r="P3394" s="238">
        <v>1.0</v>
      </c>
      <c r="Q3394" s="235" t="s">
        <v>627</v>
      </c>
      <c r="R3394" s="238">
        <v>232.38</v>
      </c>
      <c r="S3394" s="238">
        <v>11.62</v>
      </c>
      <c r="T3394" s="238">
        <v>38.1</v>
      </c>
      <c r="U3394" s="238">
        <v>1.9</v>
      </c>
      <c r="V3394" s="238">
        <v>0.0</v>
      </c>
      <c r="W3394" s="238">
        <v>0.0</v>
      </c>
      <c r="X3394" s="235" t="s">
        <v>628</v>
      </c>
      <c r="Z3394" s="245"/>
      <c r="AA3394" s="245"/>
      <c r="AB3394" s="245"/>
      <c r="AC3394" s="235" t="s">
        <v>25516</v>
      </c>
      <c r="AD3394" s="235" t="s">
        <v>645</v>
      </c>
      <c r="AE3394" s="238">
        <v>685512.0</v>
      </c>
      <c r="AF3394" s="235" t="s">
        <v>631</v>
      </c>
      <c r="AG3394" s="245"/>
      <c r="AH3394" s="245"/>
      <c r="AI3394" s="245"/>
      <c r="AJ3394" s="245"/>
      <c r="AK3394" s="245"/>
      <c r="AL3394" s="245"/>
      <c r="AM3394" s="245"/>
      <c r="AN3394" s="245"/>
      <c r="AO3394" s="238">
        <v>0.0</v>
      </c>
      <c r="AP3394" s="238">
        <v>0.0</v>
      </c>
      <c r="AQ3394" s="235" t="s">
        <v>632</v>
      </c>
      <c r="AR3394" s="243">
        <v>3.71E11</v>
      </c>
      <c r="AS3394" s="235" t="s">
        <v>22269</v>
      </c>
      <c r="AT3394" s="235" t="s">
        <v>155</v>
      </c>
      <c r="AU3394" s="235" t="s">
        <v>634</v>
      </c>
      <c r="AV3394" s="246" t="s">
        <v>635</v>
      </c>
      <c r="AW3394" s="227"/>
      <c r="AX3394" s="227"/>
      <c r="AY3394" s="227"/>
      <c r="AZ3394" s="227"/>
      <c r="BA3394" s="227"/>
      <c r="BB3394" s="227"/>
      <c r="BC3394" s="227"/>
      <c r="BD3394" s="227"/>
      <c r="BE3394" s="227"/>
      <c r="BF3394" s="227"/>
    </row>
    <row r="3395">
      <c r="A3395" s="235" t="s">
        <v>25517</v>
      </c>
      <c r="C3395" s="235" t="s">
        <v>25518</v>
      </c>
      <c r="D3395" s="235" t="s">
        <v>25519</v>
      </c>
      <c r="E3395" s="243">
        <v>6.51E13</v>
      </c>
      <c r="F3395" s="245"/>
      <c r="G3395" s="235" t="s">
        <v>25520</v>
      </c>
      <c r="H3395" s="235" t="s">
        <v>25521</v>
      </c>
      <c r="I3395" s="235" t="s">
        <v>25521</v>
      </c>
      <c r="J3395" s="235" t="s">
        <v>25522</v>
      </c>
      <c r="K3395" s="235" t="s">
        <v>25523</v>
      </c>
      <c r="N3395" s="235" t="s">
        <v>154</v>
      </c>
      <c r="O3395" s="235" t="s">
        <v>766</v>
      </c>
      <c r="P3395" s="238">
        <v>1.0</v>
      </c>
      <c r="Q3395" s="235" t="s">
        <v>627</v>
      </c>
      <c r="R3395" s="238">
        <v>500.95</v>
      </c>
      <c r="S3395" s="238">
        <v>25.05</v>
      </c>
      <c r="T3395" s="238">
        <v>38.1</v>
      </c>
      <c r="U3395" s="238">
        <v>1.9</v>
      </c>
      <c r="V3395" s="238">
        <v>0.0</v>
      </c>
      <c r="W3395" s="238">
        <v>0.0</v>
      </c>
      <c r="X3395" s="235" t="s">
        <v>628</v>
      </c>
      <c r="Z3395" s="245"/>
      <c r="AA3395" s="245"/>
      <c r="AB3395" s="245"/>
      <c r="AC3395" s="235" t="s">
        <v>1728</v>
      </c>
      <c r="AD3395" s="235" t="s">
        <v>630</v>
      </c>
      <c r="AE3395" s="238">
        <v>221005.0</v>
      </c>
      <c r="AF3395" s="235" t="s">
        <v>631</v>
      </c>
      <c r="AG3395" s="245"/>
      <c r="AH3395" s="245"/>
      <c r="AI3395" s="245"/>
      <c r="AJ3395" s="245"/>
      <c r="AK3395" s="245"/>
      <c r="AL3395" s="245"/>
      <c r="AM3395" s="245"/>
      <c r="AN3395" s="245"/>
      <c r="AO3395" s="238">
        <v>0.0</v>
      </c>
      <c r="AP3395" s="238">
        <v>-38.1</v>
      </c>
      <c r="AQ3395" s="235" t="s">
        <v>632</v>
      </c>
      <c r="AR3395" s="243">
        <v>2.02E11</v>
      </c>
      <c r="AS3395" s="235" t="s">
        <v>23542</v>
      </c>
      <c r="AT3395" s="235" t="s">
        <v>14</v>
      </c>
      <c r="AU3395" s="235" t="s">
        <v>634</v>
      </c>
      <c r="AV3395" s="246" t="s">
        <v>635</v>
      </c>
      <c r="AW3395" s="227"/>
      <c r="AX3395" s="227"/>
      <c r="AY3395" s="227"/>
      <c r="AZ3395" s="227"/>
      <c r="BA3395" s="227"/>
      <c r="BB3395" s="227"/>
      <c r="BC3395" s="227"/>
      <c r="BD3395" s="227"/>
      <c r="BE3395" s="227"/>
      <c r="BF3395" s="227"/>
    </row>
    <row r="3396">
      <c r="A3396" s="235" t="s">
        <v>25524</v>
      </c>
      <c r="C3396" s="235" t="s">
        <v>25525</v>
      </c>
      <c r="D3396" s="235" t="s">
        <v>25526</v>
      </c>
      <c r="E3396" s="243">
        <v>6.52E13</v>
      </c>
      <c r="F3396" s="245"/>
      <c r="G3396" s="235" t="s">
        <v>25527</v>
      </c>
      <c r="H3396" s="235" t="s">
        <v>25528</v>
      </c>
      <c r="I3396" s="235" t="s">
        <v>25528</v>
      </c>
      <c r="J3396" s="235" t="s">
        <v>25529</v>
      </c>
      <c r="K3396" s="235" t="s">
        <v>25530</v>
      </c>
      <c r="N3396" s="235" t="s">
        <v>145</v>
      </c>
      <c r="O3396" s="235" t="s">
        <v>370</v>
      </c>
      <c r="P3396" s="238">
        <v>1.0</v>
      </c>
      <c r="Q3396" s="235" t="s">
        <v>627</v>
      </c>
      <c r="R3396" s="238">
        <v>1522.86</v>
      </c>
      <c r="S3396" s="238">
        <v>74.62</v>
      </c>
      <c r="T3396" s="238">
        <v>0.0</v>
      </c>
      <c r="U3396" s="238">
        <v>0.0</v>
      </c>
      <c r="V3396" s="238">
        <v>0.0</v>
      </c>
      <c r="W3396" s="238">
        <v>0.0</v>
      </c>
      <c r="X3396" s="235" t="s">
        <v>628</v>
      </c>
      <c r="Z3396" s="245"/>
      <c r="AA3396" s="245"/>
      <c r="AB3396" s="245"/>
      <c r="AC3396" s="235" t="s">
        <v>697</v>
      </c>
      <c r="AD3396" s="235" t="s">
        <v>698</v>
      </c>
      <c r="AE3396" s="238">
        <v>500028.0</v>
      </c>
      <c r="AF3396" s="235" t="s">
        <v>631</v>
      </c>
      <c r="AG3396" s="245"/>
      <c r="AH3396" s="245"/>
      <c r="AI3396" s="245"/>
      <c r="AJ3396" s="245"/>
      <c r="AK3396" s="245"/>
      <c r="AL3396" s="245"/>
      <c r="AM3396" s="245"/>
      <c r="AN3396" s="245"/>
      <c r="AO3396" s="238">
        <v>-30.46</v>
      </c>
      <c r="AP3396" s="238">
        <v>0.0</v>
      </c>
      <c r="AQ3396" s="235" t="s">
        <v>632</v>
      </c>
      <c r="AR3396" s="243">
        <v>3.71E11</v>
      </c>
      <c r="AS3396" s="235" t="s">
        <v>22269</v>
      </c>
      <c r="AT3396" s="235" t="s">
        <v>16</v>
      </c>
      <c r="AU3396" s="235" t="s">
        <v>634</v>
      </c>
      <c r="AV3396" s="246" t="s">
        <v>635</v>
      </c>
      <c r="AW3396" s="227"/>
      <c r="AX3396" s="227"/>
      <c r="AY3396" s="227"/>
      <c r="AZ3396" s="227"/>
      <c r="BA3396" s="227"/>
      <c r="BB3396" s="227"/>
      <c r="BC3396" s="227"/>
      <c r="BD3396" s="227"/>
      <c r="BE3396" s="227"/>
      <c r="BF3396" s="227"/>
    </row>
    <row r="3397">
      <c r="A3397" s="235" t="s">
        <v>25531</v>
      </c>
      <c r="C3397" s="235" t="s">
        <v>25532</v>
      </c>
      <c r="D3397" s="235" t="s">
        <v>25533</v>
      </c>
      <c r="E3397" s="243">
        <v>6.52E13</v>
      </c>
      <c r="F3397" s="245"/>
      <c r="G3397" s="235" t="s">
        <v>25534</v>
      </c>
      <c r="H3397" s="235" t="s">
        <v>25535</v>
      </c>
      <c r="I3397" s="235" t="s">
        <v>25535</v>
      </c>
      <c r="J3397" s="235" t="s">
        <v>25536</v>
      </c>
      <c r="K3397" s="235" t="s">
        <v>25537</v>
      </c>
      <c r="N3397" s="235" t="s">
        <v>962</v>
      </c>
      <c r="O3397" s="235" t="s">
        <v>963</v>
      </c>
      <c r="P3397" s="238">
        <v>1.0</v>
      </c>
      <c r="Q3397" s="235" t="s">
        <v>627</v>
      </c>
      <c r="R3397" s="238">
        <v>237.14</v>
      </c>
      <c r="S3397" s="238">
        <v>11.62</v>
      </c>
      <c r="T3397" s="238">
        <v>38.1</v>
      </c>
      <c r="U3397" s="238">
        <v>1.9</v>
      </c>
      <c r="V3397" s="238">
        <v>0.0</v>
      </c>
      <c r="W3397" s="238">
        <v>0.0</v>
      </c>
      <c r="X3397" s="235" t="s">
        <v>628</v>
      </c>
      <c r="Z3397" s="245"/>
      <c r="AA3397" s="245"/>
      <c r="AB3397" s="245"/>
      <c r="AC3397" s="235" t="s">
        <v>25538</v>
      </c>
      <c r="AD3397" s="235" t="s">
        <v>630</v>
      </c>
      <c r="AE3397" s="238">
        <v>232101.0</v>
      </c>
      <c r="AF3397" s="235" t="s">
        <v>631</v>
      </c>
      <c r="AG3397" s="245"/>
      <c r="AH3397" s="245"/>
      <c r="AI3397" s="245"/>
      <c r="AJ3397" s="245"/>
      <c r="AK3397" s="245"/>
      <c r="AL3397" s="245"/>
      <c r="AM3397" s="245"/>
      <c r="AN3397" s="245"/>
      <c r="AO3397" s="238">
        <v>-4.74</v>
      </c>
      <c r="AP3397" s="238">
        <v>-38.1</v>
      </c>
      <c r="AQ3397" s="235" t="s">
        <v>632</v>
      </c>
      <c r="AR3397" s="243">
        <v>3.71E11</v>
      </c>
      <c r="AS3397" s="235" t="s">
        <v>20529</v>
      </c>
      <c r="AT3397" s="235" t="s">
        <v>533</v>
      </c>
      <c r="AU3397" s="235" t="s">
        <v>634</v>
      </c>
      <c r="AV3397" s="246" t="s">
        <v>635</v>
      </c>
      <c r="AW3397" s="227"/>
      <c r="AX3397" s="227"/>
      <c r="AY3397" s="227"/>
      <c r="AZ3397" s="227"/>
      <c r="BA3397" s="227"/>
      <c r="BB3397" s="227"/>
      <c r="BC3397" s="227"/>
      <c r="BD3397" s="227"/>
      <c r="BE3397" s="227"/>
      <c r="BF3397" s="227"/>
    </row>
    <row r="3398">
      <c r="A3398" s="235" t="s">
        <v>25539</v>
      </c>
      <c r="C3398" s="235" t="s">
        <v>25540</v>
      </c>
      <c r="D3398" s="235" t="s">
        <v>25541</v>
      </c>
      <c r="E3398" s="243">
        <v>6.51E13</v>
      </c>
      <c r="F3398" s="245"/>
      <c r="G3398" s="235" t="s">
        <v>25542</v>
      </c>
      <c r="H3398" s="235" t="s">
        <v>25543</v>
      </c>
      <c r="I3398" s="235" t="s">
        <v>25543</v>
      </c>
      <c r="J3398" s="235" t="s">
        <v>25544</v>
      </c>
      <c r="K3398" s="235" t="s">
        <v>25545</v>
      </c>
      <c r="N3398" s="235" t="s">
        <v>42</v>
      </c>
      <c r="O3398" s="235" t="s">
        <v>204</v>
      </c>
      <c r="P3398" s="238">
        <v>1.0</v>
      </c>
      <c r="Q3398" s="235" t="s">
        <v>627</v>
      </c>
      <c r="R3398" s="238">
        <v>236.19</v>
      </c>
      <c r="S3398" s="238">
        <v>11.81</v>
      </c>
      <c r="T3398" s="238">
        <v>38.1</v>
      </c>
      <c r="U3398" s="238">
        <v>1.9</v>
      </c>
      <c r="V3398" s="238">
        <v>0.0</v>
      </c>
      <c r="W3398" s="238">
        <v>0.0</v>
      </c>
      <c r="X3398" s="235" t="s">
        <v>628</v>
      </c>
      <c r="Z3398" s="245"/>
      <c r="AA3398" s="245"/>
      <c r="AB3398" s="245"/>
      <c r="AC3398" s="235" t="s">
        <v>3449</v>
      </c>
      <c r="AD3398" s="235" t="s">
        <v>833</v>
      </c>
      <c r="AE3398" s="238">
        <v>533107.0</v>
      </c>
      <c r="AF3398" s="235" t="s">
        <v>631</v>
      </c>
      <c r="AG3398" s="245"/>
      <c r="AH3398" s="245"/>
      <c r="AI3398" s="245"/>
      <c r="AJ3398" s="245"/>
      <c r="AK3398" s="245"/>
      <c r="AL3398" s="245"/>
      <c r="AM3398" s="245"/>
      <c r="AN3398" s="245"/>
      <c r="AO3398" s="238">
        <v>0.0</v>
      </c>
      <c r="AP3398" s="238">
        <v>0.0</v>
      </c>
      <c r="AQ3398" s="235" t="s">
        <v>632</v>
      </c>
      <c r="AR3398" s="243">
        <v>3.71E11</v>
      </c>
      <c r="AS3398" s="235" t="s">
        <v>22269</v>
      </c>
      <c r="AT3398" s="235" t="s">
        <v>156</v>
      </c>
      <c r="AU3398" s="235" t="s">
        <v>634</v>
      </c>
      <c r="AV3398" s="246" t="s">
        <v>635</v>
      </c>
      <c r="AW3398" s="227"/>
      <c r="AX3398" s="227"/>
      <c r="AY3398" s="227"/>
      <c r="AZ3398" s="227"/>
      <c r="BA3398" s="227"/>
      <c r="BB3398" s="227"/>
      <c r="BC3398" s="227"/>
      <c r="BD3398" s="227"/>
      <c r="BE3398" s="227"/>
      <c r="BF3398" s="227"/>
    </row>
    <row r="3399">
      <c r="A3399" s="235" t="s">
        <v>25546</v>
      </c>
      <c r="C3399" s="235" t="s">
        <v>25547</v>
      </c>
      <c r="D3399" s="235" t="s">
        <v>25548</v>
      </c>
      <c r="E3399" s="243">
        <v>6.52E13</v>
      </c>
      <c r="F3399" s="245"/>
      <c r="G3399" s="235" t="s">
        <v>25549</v>
      </c>
      <c r="H3399" s="235" t="s">
        <v>25550</v>
      </c>
      <c r="I3399" s="235" t="s">
        <v>25550</v>
      </c>
      <c r="J3399" s="235" t="s">
        <v>25551</v>
      </c>
      <c r="K3399" s="235" t="s">
        <v>25552</v>
      </c>
      <c r="N3399" s="235" t="s">
        <v>138</v>
      </c>
      <c r="O3399" s="235" t="s">
        <v>675</v>
      </c>
      <c r="P3399" s="238">
        <v>1.0</v>
      </c>
      <c r="Q3399" s="235" t="s">
        <v>627</v>
      </c>
      <c r="R3399" s="238">
        <v>246.67</v>
      </c>
      <c r="S3399" s="238">
        <v>12.33</v>
      </c>
      <c r="T3399" s="238">
        <v>0.0</v>
      </c>
      <c r="U3399" s="238">
        <v>0.0</v>
      </c>
      <c r="V3399" s="238">
        <v>0.0</v>
      </c>
      <c r="W3399" s="238">
        <v>0.0</v>
      </c>
      <c r="X3399" s="235" t="s">
        <v>628</v>
      </c>
      <c r="Z3399" s="245"/>
      <c r="AA3399" s="245"/>
      <c r="AB3399" s="245"/>
      <c r="AC3399" s="235" t="s">
        <v>3374</v>
      </c>
      <c r="AD3399" s="235" t="s">
        <v>645</v>
      </c>
      <c r="AE3399" s="238">
        <v>695035.0</v>
      </c>
      <c r="AF3399" s="235" t="s">
        <v>631</v>
      </c>
      <c r="AG3399" s="245"/>
      <c r="AH3399" s="245"/>
      <c r="AI3399" s="245"/>
      <c r="AJ3399" s="245"/>
      <c r="AK3399" s="245"/>
      <c r="AL3399" s="245"/>
      <c r="AM3399" s="245"/>
      <c r="AN3399" s="245"/>
      <c r="AO3399" s="238">
        <v>0.0</v>
      </c>
      <c r="AP3399" s="238">
        <v>0.0</v>
      </c>
      <c r="AQ3399" s="235" t="s">
        <v>632</v>
      </c>
      <c r="AR3399" s="243">
        <v>1.68E11</v>
      </c>
      <c r="AS3399" s="235" t="s">
        <v>23542</v>
      </c>
      <c r="AT3399" s="235" t="s">
        <v>11</v>
      </c>
      <c r="AU3399" s="235" t="s">
        <v>634</v>
      </c>
      <c r="AV3399" s="246" t="s">
        <v>635</v>
      </c>
      <c r="AW3399" s="227"/>
      <c r="AX3399" s="227"/>
      <c r="AY3399" s="227"/>
      <c r="AZ3399" s="227"/>
      <c r="BA3399" s="227"/>
      <c r="BB3399" s="227"/>
      <c r="BC3399" s="227"/>
      <c r="BD3399" s="227"/>
      <c r="BE3399" s="227"/>
      <c r="BF3399" s="227"/>
    </row>
    <row r="3400">
      <c r="A3400" s="235" t="s">
        <v>25553</v>
      </c>
      <c r="C3400" s="235" t="s">
        <v>25554</v>
      </c>
      <c r="D3400" s="235" t="s">
        <v>25555</v>
      </c>
      <c r="E3400" s="243">
        <v>6.52E13</v>
      </c>
      <c r="F3400" s="245"/>
      <c r="G3400" s="235" t="s">
        <v>25556</v>
      </c>
      <c r="H3400" s="235" t="s">
        <v>25557</v>
      </c>
      <c r="I3400" s="235" t="s">
        <v>25557</v>
      </c>
      <c r="J3400" s="235" t="s">
        <v>25558</v>
      </c>
      <c r="K3400" s="235" t="s">
        <v>25559</v>
      </c>
      <c r="N3400" s="235" t="s">
        <v>53</v>
      </c>
      <c r="O3400" s="235" t="s">
        <v>512</v>
      </c>
      <c r="P3400" s="238">
        <v>1.0</v>
      </c>
      <c r="Q3400" s="235" t="s">
        <v>627</v>
      </c>
      <c r="R3400" s="238">
        <v>237.14</v>
      </c>
      <c r="S3400" s="238">
        <v>11.86</v>
      </c>
      <c r="T3400" s="238">
        <v>0.0</v>
      </c>
      <c r="U3400" s="238">
        <v>0.0</v>
      </c>
      <c r="V3400" s="238">
        <v>0.0</v>
      </c>
      <c r="W3400" s="238">
        <v>0.0</v>
      </c>
      <c r="X3400" s="235" t="s">
        <v>628</v>
      </c>
      <c r="Z3400" s="245"/>
      <c r="AA3400" s="245"/>
      <c r="AB3400" s="245"/>
      <c r="AC3400" s="235" t="s">
        <v>814</v>
      </c>
      <c r="AD3400" s="235" t="s">
        <v>698</v>
      </c>
      <c r="AE3400" s="238">
        <v>500055.0</v>
      </c>
      <c r="AF3400" s="235" t="s">
        <v>631</v>
      </c>
      <c r="AG3400" s="245"/>
      <c r="AH3400" s="245"/>
      <c r="AI3400" s="245"/>
      <c r="AJ3400" s="245"/>
      <c r="AK3400" s="245"/>
      <c r="AL3400" s="245"/>
      <c r="AM3400" s="245"/>
      <c r="AN3400" s="245"/>
      <c r="AO3400" s="238">
        <v>0.0</v>
      </c>
      <c r="AP3400" s="238">
        <v>0.0</v>
      </c>
      <c r="AQ3400" s="235" t="s">
        <v>632</v>
      </c>
      <c r="AR3400" s="243">
        <v>2.02E11</v>
      </c>
      <c r="AS3400" s="235" t="s">
        <v>23542</v>
      </c>
      <c r="AT3400" s="235" t="s">
        <v>13</v>
      </c>
      <c r="AU3400" s="235" t="s">
        <v>634</v>
      </c>
      <c r="AV3400" s="246" t="s">
        <v>635</v>
      </c>
      <c r="AW3400" s="227"/>
      <c r="AX3400" s="227"/>
      <c r="AY3400" s="227"/>
      <c r="AZ3400" s="227"/>
      <c r="BA3400" s="227"/>
      <c r="BB3400" s="227"/>
      <c r="BC3400" s="227"/>
      <c r="BD3400" s="227"/>
      <c r="BE3400" s="227"/>
      <c r="BF3400" s="227"/>
    </row>
    <row r="3401">
      <c r="A3401" s="235" t="s">
        <v>25560</v>
      </c>
      <c r="C3401" s="235" t="s">
        <v>25561</v>
      </c>
      <c r="D3401" s="235" t="s">
        <v>25562</v>
      </c>
      <c r="E3401" s="243">
        <v>6.51E13</v>
      </c>
      <c r="F3401" s="245"/>
      <c r="G3401" s="235" t="s">
        <v>25563</v>
      </c>
      <c r="H3401" s="235" t="s">
        <v>25564</v>
      </c>
      <c r="I3401" s="235" t="s">
        <v>25564</v>
      </c>
      <c r="J3401" s="235" t="s">
        <v>25565</v>
      </c>
      <c r="K3401" s="235" t="s">
        <v>25566</v>
      </c>
      <c r="N3401" s="235" t="s">
        <v>717</v>
      </c>
      <c r="O3401" s="235" t="s">
        <v>718</v>
      </c>
      <c r="P3401" s="238">
        <v>1.0</v>
      </c>
      <c r="Q3401" s="235" t="s">
        <v>627</v>
      </c>
      <c r="R3401" s="238">
        <v>446.67</v>
      </c>
      <c r="S3401" s="238">
        <v>22.33</v>
      </c>
      <c r="T3401" s="238">
        <v>38.1</v>
      </c>
      <c r="U3401" s="238">
        <v>1.9</v>
      </c>
      <c r="V3401" s="238">
        <v>0.0</v>
      </c>
      <c r="W3401" s="238">
        <v>0.0</v>
      </c>
      <c r="X3401" s="235" t="s">
        <v>628</v>
      </c>
      <c r="Z3401" s="245"/>
      <c r="AA3401" s="245"/>
      <c r="AB3401" s="245"/>
      <c r="AC3401" s="235" t="s">
        <v>8273</v>
      </c>
      <c r="AD3401" s="235" t="s">
        <v>3113</v>
      </c>
      <c r="AE3401" s="238">
        <v>492001.0</v>
      </c>
      <c r="AF3401" s="235" t="s">
        <v>631</v>
      </c>
      <c r="AG3401" s="245"/>
      <c r="AH3401" s="245"/>
      <c r="AI3401" s="245"/>
      <c r="AJ3401" s="245"/>
      <c r="AK3401" s="245"/>
      <c r="AL3401" s="245"/>
      <c r="AM3401" s="245"/>
      <c r="AN3401" s="245"/>
      <c r="AO3401" s="238">
        <v>0.0</v>
      </c>
      <c r="AP3401" s="238">
        <v>-38.1</v>
      </c>
      <c r="AQ3401" s="235" t="s">
        <v>632</v>
      </c>
      <c r="AR3401" s="243">
        <v>3.71E11</v>
      </c>
      <c r="AS3401" s="235" t="s">
        <v>20529</v>
      </c>
      <c r="AT3401" s="235" t="s">
        <v>9</v>
      </c>
      <c r="AU3401" s="235" t="s">
        <v>634</v>
      </c>
      <c r="AV3401" s="246" t="s">
        <v>635</v>
      </c>
      <c r="AW3401" s="227"/>
      <c r="AX3401" s="227"/>
      <c r="AY3401" s="227"/>
      <c r="AZ3401" s="227"/>
      <c r="BA3401" s="227"/>
      <c r="BB3401" s="227"/>
      <c r="BC3401" s="227"/>
      <c r="BD3401" s="227"/>
      <c r="BE3401" s="227"/>
      <c r="BF3401" s="227"/>
    </row>
    <row r="3402">
      <c r="A3402" s="235" t="s">
        <v>25567</v>
      </c>
      <c r="C3402" s="235" t="s">
        <v>25568</v>
      </c>
      <c r="D3402" s="235" t="s">
        <v>25569</v>
      </c>
      <c r="E3402" s="243">
        <v>6.51E13</v>
      </c>
      <c r="F3402" s="245"/>
      <c r="G3402" s="235" t="s">
        <v>25570</v>
      </c>
      <c r="H3402" s="235" t="s">
        <v>25571</v>
      </c>
      <c r="I3402" s="235" t="s">
        <v>25571</v>
      </c>
      <c r="J3402" s="235" t="s">
        <v>25572</v>
      </c>
      <c r="K3402" s="235" t="s">
        <v>25573</v>
      </c>
      <c r="N3402" s="235" t="s">
        <v>82</v>
      </c>
      <c r="O3402" s="235" t="s">
        <v>889</v>
      </c>
      <c r="P3402" s="238">
        <v>1.0</v>
      </c>
      <c r="Q3402" s="235" t="s">
        <v>627</v>
      </c>
      <c r="R3402" s="238">
        <v>270.48</v>
      </c>
      <c r="S3402" s="238">
        <v>13.52</v>
      </c>
      <c r="T3402" s="238">
        <v>38.1</v>
      </c>
      <c r="U3402" s="238">
        <v>1.9</v>
      </c>
      <c r="V3402" s="238">
        <v>0.0</v>
      </c>
      <c r="W3402" s="238">
        <v>0.0</v>
      </c>
      <c r="X3402" s="235" t="s">
        <v>628</v>
      </c>
      <c r="Z3402" s="245"/>
      <c r="AA3402" s="245"/>
      <c r="AB3402" s="245"/>
      <c r="AC3402" s="235" t="s">
        <v>1998</v>
      </c>
      <c r="AD3402" s="235" t="s">
        <v>928</v>
      </c>
      <c r="AE3402" s="238">
        <v>121004.0</v>
      </c>
      <c r="AF3402" s="235" t="s">
        <v>631</v>
      </c>
      <c r="AG3402" s="245"/>
      <c r="AH3402" s="245"/>
      <c r="AI3402" s="245"/>
      <c r="AJ3402" s="245"/>
      <c r="AK3402" s="245"/>
      <c r="AL3402" s="245"/>
      <c r="AM3402" s="245"/>
      <c r="AN3402" s="245"/>
      <c r="AO3402" s="238">
        <v>0.0</v>
      </c>
      <c r="AP3402" s="238">
        <v>-38.1</v>
      </c>
      <c r="AQ3402" s="235" t="s">
        <v>632</v>
      </c>
      <c r="AR3402" s="243">
        <v>3.71E11</v>
      </c>
      <c r="AS3402" s="235" t="s">
        <v>23542</v>
      </c>
      <c r="AT3402" s="235" t="s">
        <v>14</v>
      </c>
      <c r="AU3402" s="235" t="s">
        <v>634</v>
      </c>
      <c r="AV3402" s="246" t="s">
        <v>635</v>
      </c>
      <c r="AW3402" s="227"/>
      <c r="AX3402" s="227"/>
      <c r="AY3402" s="227"/>
      <c r="AZ3402" s="227"/>
      <c r="BA3402" s="227"/>
      <c r="BB3402" s="227"/>
      <c r="BC3402" s="227"/>
      <c r="BD3402" s="227"/>
      <c r="BE3402" s="227"/>
      <c r="BF3402" s="227"/>
    </row>
    <row r="3403">
      <c r="A3403" s="235" t="s">
        <v>25574</v>
      </c>
      <c r="C3403" s="235" t="s">
        <v>25575</v>
      </c>
      <c r="D3403" s="235" t="s">
        <v>25576</v>
      </c>
      <c r="E3403" s="243">
        <v>6.52E13</v>
      </c>
      <c r="F3403" s="245"/>
      <c r="G3403" s="235" t="s">
        <v>25577</v>
      </c>
      <c r="H3403" s="235" t="s">
        <v>25578</v>
      </c>
      <c r="I3403" s="235" t="s">
        <v>25578</v>
      </c>
      <c r="J3403" s="235" t="s">
        <v>25579</v>
      </c>
      <c r="K3403" s="235" t="s">
        <v>25580</v>
      </c>
      <c r="N3403" s="235" t="s">
        <v>92</v>
      </c>
      <c r="O3403" s="235" t="s">
        <v>248</v>
      </c>
      <c r="P3403" s="238">
        <v>1.0</v>
      </c>
      <c r="Q3403" s="235" t="s">
        <v>627</v>
      </c>
      <c r="R3403" s="238">
        <v>233.33</v>
      </c>
      <c r="S3403" s="238">
        <v>11.67</v>
      </c>
      <c r="T3403" s="238">
        <v>38.1</v>
      </c>
      <c r="U3403" s="238">
        <v>1.9</v>
      </c>
      <c r="V3403" s="238">
        <v>0.0</v>
      </c>
      <c r="W3403" s="238">
        <v>0.0</v>
      </c>
      <c r="X3403" s="235" t="s">
        <v>628</v>
      </c>
      <c r="Z3403" s="245"/>
      <c r="AA3403" s="245"/>
      <c r="AB3403" s="245"/>
      <c r="AC3403" s="235" t="s">
        <v>25581</v>
      </c>
      <c r="AD3403" s="235" t="s">
        <v>1077</v>
      </c>
      <c r="AE3403" s="238">
        <v>361140.0</v>
      </c>
      <c r="AF3403" s="235" t="s">
        <v>631</v>
      </c>
      <c r="AG3403" s="245"/>
      <c r="AH3403" s="245"/>
      <c r="AI3403" s="245"/>
      <c r="AJ3403" s="245"/>
      <c r="AK3403" s="245"/>
      <c r="AL3403" s="245"/>
      <c r="AM3403" s="245"/>
      <c r="AN3403" s="245"/>
      <c r="AO3403" s="238">
        <v>0.0</v>
      </c>
      <c r="AP3403" s="238">
        <v>-38.1</v>
      </c>
      <c r="AQ3403" s="235" t="s">
        <v>632</v>
      </c>
      <c r="AR3403" s="243">
        <v>3.71E11</v>
      </c>
      <c r="AS3403" s="235" t="s">
        <v>22269</v>
      </c>
      <c r="AT3403" s="235" t="s">
        <v>13</v>
      </c>
      <c r="AU3403" s="235" t="s">
        <v>634</v>
      </c>
      <c r="AV3403" s="246" t="s">
        <v>635</v>
      </c>
      <c r="AW3403" s="227"/>
      <c r="AX3403" s="227"/>
      <c r="AY3403" s="227"/>
      <c r="AZ3403" s="227"/>
      <c r="BA3403" s="227"/>
      <c r="BB3403" s="227"/>
      <c r="BC3403" s="227"/>
      <c r="BD3403" s="227"/>
      <c r="BE3403" s="227"/>
      <c r="BF3403" s="227"/>
    </row>
    <row r="3404">
      <c r="A3404" s="235" t="s">
        <v>25582</v>
      </c>
      <c r="C3404" s="235" t="s">
        <v>25583</v>
      </c>
      <c r="D3404" s="235" t="s">
        <v>25584</v>
      </c>
      <c r="E3404" s="243">
        <v>6.51E13</v>
      </c>
      <c r="F3404" s="245"/>
      <c r="G3404" s="235" t="s">
        <v>25585</v>
      </c>
      <c r="H3404" s="235" t="s">
        <v>25586</v>
      </c>
      <c r="I3404" s="235" t="s">
        <v>25587</v>
      </c>
      <c r="J3404" s="235" t="s">
        <v>25588</v>
      </c>
      <c r="K3404" s="235" t="s">
        <v>25589</v>
      </c>
      <c r="N3404" s="235" t="s">
        <v>128</v>
      </c>
      <c r="O3404" s="235" t="s">
        <v>2710</v>
      </c>
      <c r="P3404" s="238">
        <v>1.0</v>
      </c>
      <c r="Q3404" s="235" t="s">
        <v>627</v>
      </c>
      <c r="R3404" s="238">
        <v>233.33</v>
      </c>
      <c r="S3404" s="238">
        <v>11.32</v>
      </c>
      <c r="T3404" s="238">
        <v>0.0</v>
      </c>
      <c r="U3404" s="238">
        <v>0.0</v>
      </c>
      <c r="V3404" s="238">
        <v>0.0</v>
      </c>
      <c r="W3404" s="238">
        <v>0.0</v>
      </c>
      <c r="X3404" s="235" t="s">
        <v>628</v>
      </c>
      <c r="Z3404" s="245"/>
      <c r="AA3404" s="245"/>
      <c r="AB3404" s="245"/>
      <c r="AC3404" s="235" t="s">
        <v>678</v>
      </c>
      <c r="AD3404" s="235" t="s">
        <v>679</v>
      </c>
      <c r="AE3404" s="238">
        <v>560087.0</v>
      </c>
      <c r="AF3404" s="235" t="s">
        <v>631</v>
      </c>
      <c r="AG3404" s="245"/>
      <c r="AH3404" s="245"/>
      <c r="AI3404" s="245"/>
      <c r="AJ3404" s="245"/>
      <c r="AK3404" s="245"/>
      <c r="AL3404" s="245"/>
      <c r="AM3404" s="245"/>
      <c r="AN3404" s="245"/>
      <c r="AO3404" s="238">
        <v>-7.0</v>
      </c>
      <c r="AP3404" s="238">
        <v>0.0</v>
      </c>
      <c r="AQ3404" s="235" t="s">
        <v>632</v>
      </c>
      <c r="AR3404" s="243">
        <v>3.71E11</v>
      </c>
      <c r="AS3404" s="235" t="s">
        <v>19388</v>
      </c>
      <c r="AT3404" s="235" t="s">
        <v>533</v>
      </c>
      <c r="AU3404" s="235" t="s">
        <v>634</v>
      </c>
      <c r="AV3404" s="246" t="s">
        <v>635</v>
      </c>
      <c r="AW3404" s="227"/>
      <c r="AX3404" s="227"/>
      <c r="AY3404" s="227"/>
      <c r="AZ3404" s="227"/>
      <c r="BA3404" s="227"/>
      <c r="BB3404" s="227"/>
      <c r="BC3404" s="227"/>
      <c r="BD3404" s="227"/>
      <c r="BE3404" s="227"/>
      <c r="BF3404" s="227"/>
    </row>
    <row r="3405">
      <c r="A3405" s="235" t="s">
        <v>25590</v>
      </c>
      <c r="C3405" s="235" t="s">
        <v>25591</v>
      </c>
      <c r="D3405" s="235" t="s">
        <v>25592</v>
      </c>
      <c r="E3405" s="243">
        <v>6.51E13</v>
      </c>
      <c r="F3405" s="245"/>
      <c r="G3405" s="235" t="s">
        <v>25593</v>
      </c>
      <c r="H3405" s="235" t="s">
        <v>25594</v>
      </c>
      <c r="I3405" s="235" t="s">
        <v>25595</v>
      </c>
      <c r="J3405" s="235" t="s">
        <v>25596</v>
      </c>
      <c r="K3405" s="235" t="s">
        <v>25597</v>
      </c>
      <c r="N3405" s="235" t="s">
        <v>128</v>
      </c>
      <c r="O3405" s="235" t="s">
        <v>2710</v>
      </c>
      <c r="P3405" s="238">
        <v>1.0</v>
      </c>
      <c r="Q3405" s="235" t="s">
        <v>627</v>
      </c>
      <c r="R3405" s="238">
        <v>233.33</v>
      </c>
      <c r="S3405" s="238">
        <v>11.32</v>
      </c>
      <c r="T3405" s="238">
        <v>0.0</v>
      </c>
      <c r="U3405" s="238">
        <v>0.0</v>
      </c>
      <c r="V3405" s="238">
        <v>0.0</v>
      </c>
      <c r="W3405" s="238">
        <v>0.0</v>
      </c>
      <c r="X3405" s="235" t="s">
        <v>628</v>
      </c>
      <c r="Z3405" s="245"/>
      <c r="AA3405" s="245"/>
      <c r="AB3405" s="245"/>
      <c r="AC3405" s="235" t="s">
        <v>678</v>
      </c>
      <c r="AD3405" s="235" t="s">
        <v>679</v>
      </c>
      <c r="AE3405" s="238">
        <v>560103.0</v>
      </c>
      <c r="AF3405" s="235" t="s">
        <v>631</v>
      </c>
      <c r="AG3405" s="245"/>
      <c r="AH3405" s="245"/>
      <c r="AI3405" s="245"/>
      <c r="AJ3405" s="245"/>
      <c r="AK3405" s="245"/>
      <c r="AL3405" s="245"/>
      <c r="AM3405" s="245"/>
      <c r="AN3405" s="245"/>
      <c r="AO3405" s="238">
        <v>-7.0</v>
      </c>
      <c r="AP3405" s="238">
        <v>0.0</v>
      </c>
      <c r="AQ3405" s="235" t="s">
        <v>632</v>
      </c>
      <c r="AR3405" s="243">
        <v>3.71E11</v>
      </c>
      <c r="AS3405" s="235" t="s">
        <v>19388</v>
      </c>
      <c r="AT3405" s="235" t="s">
        <v>13</v>
      </c>
      <c r="AU3405" s="235" t="s">
        <v>634</v>
      </c>
      <c r="AV3405" s="246" t="s">
        <v>635</v>
      </c>
      <c r="AW3405" s="227"/>
      <c r="AX3405" s="227"/>
      <c r="AY3405" s="227"/>
      <c r="AZ3405" s="227"/>
      <c r="BA3405" s="227"/>
      <c r="BB3405" s="227"/>
      <c r="BC3405" s="227"/>
      <c r="BD3405" s="227"/>
      <c r="BE3405" s="227"/>
      <c r="BF3405" s="227"/>
    </row>
    <row r="3406">
      <c r="A3406" s="235" t="s">
        <v>25598</v>
      </c>
      <c r="C3406" s="235" t="s">
        <v>25599</v>
      </c>
      <c r="D3406" s="235" t="s">
        <v>25600</v>
      </c>
      <c r="E3406" s="243">
        <v>6.52E13</v>
      </c>
      <c r="F3406" s="245"/>
      <c r="G3406" s="235" t="s">
        <v>25601</v>
      </c>
      <c r="H3406" s="235" t="s">
        <v>25602</v>
      </c>
      <c r="I3406" s="235" t="s">
        <v>25602</v>
      </c>
      <c r="J3406" s="235" t="s">
        <v>25603</v>
      </c>
      <c r="K3406" s="235" t="s">
        <v>25604</v>
      </c>
      <c r="N3406" s="235" t="s">
        <v>92</v>
      </c>
      <c r="O3406" s="235" t="s">
        <v>248</v>
      </c>
      <c r="P3406" s="238">
        <v>1.0</v>
      </c>
      <c r="Q3406" s="235" t="s">
        <v>627</v>
      </c>
      <c r="R3406" s="238">
        <v>233.33</v>
      </c>
      <c r="S3406" s="238">
        <v>11.44</v>
      </c>
      <c r="T3406" s="238">
        <v>38.1</v>
      </c>
      <c r="U3406" s="238">
        <v>1.9</v>
      </c>
      <c r="V3406" s="238">
        <v>0.0</v>
      </c>
      <c r="W3406" s="238">
        <v>0.0</v>
      </c>
      <c r="X3406" s="235" t="s">
        <v>628</v>
      </c>
      <c r="Z3406" s="245"/>
      <c r="AA3406" s="245"/>
      <c r="AB3406" s="245"/>
      <c r="AC3406" s="235" t="s">
        <v>3503</v>
      </c>
      <c r="AD3406" s="235" t="s">
        <v>630</v>
      </c>
      <c r="AE3406" s="238">
        <v>244901.0</v>
      </c>
      <c r="AF3406" s="235" t="s">
        <v>631</v>
      </c>
      <c r="AG3406" s="245"/>
      <c r="AH3406" s="245"/>
      <c r="AI3406" s="245"/>
      <c r="AJ3406" s="245"/>
      <c r="AK3406" s="245"/>
      <c r="AL3406" s="245"/>
      <c r="AM3406" s="245"/>
      <c r="AN3406" s="245"/>
      <c r="AO3406" s="238">
        <v>-4.67</v>
      </c>
      <c r="AP3406" s="238">
        <v>-38.1</v>
      </c>
      <c r="AQ3406" s="235" t="s">
        <v>632</v>
      </c>
      <c r="AR3406" s="243">
        <v>3.71E11</v>
      </c>
      <c r="AS3406" s="235" t="s">
        <v>23542</v>
      </c>
      <c r="AT3406" s="235" t="s">
        <v>533</v>
      </c>
      <c r="AU3406" s="235" t="s">
        <v>634</v>
      </c>
      <c r="AV3406" s="246" t="s">
        <v>635</v>
      </c>
      <c r="AW3406" s="227"/>
      <c r="AX3406" s="227"/>
      <c r="AY3406" s="227"/>
      <c r="AZ3406" s="227"/>
      <c r="BA3406" s="227"/>
      <c r="BB3406" s="227"/>
      <c r="BC3406" s="227"/>
      <c r="BD3406" s="227"/>
      <c r="BE3406" s="227"/>
      <c r="BF3406" s="227"/>
    </row>
    <row r="3407">
      <c r="A3407" s="235" t="s">
        <v>25605</v>
      </c>
      <c r="C3407" s="235" t="s">
        <v>25606</v>
      </c>
      <c r="D3407" s="235" t="s">
        <v>25607</v>
      </c>
      <c r="E3407" s="243">
        <v>6.52E13</v>
      </c>
      <c r="F3407" s="245"/>
      <c r="G3407" s="235" t="s">
        <v>25608</v>
      </c>
      <c r="H3407" s="235" t="s">
        <v>25609</v>
      </c>
      <c r="I3407" s="235" t="s">
        <v>25609</v>
      </c>
      <c r="J3407" s="235" t="s">
        <v>25610</v>
      </c>
      <c r="K3407" s="235" t="s">
        <v>25611</v>
      </c>
      <c r="N3407" s="235" t="s">
        <v>92</v>
      </c>
      <c r="O3407" s="235" t="s">
        <v>248</v>
      </c>
      <c r="P3407" s="238">
        <v>1.0</v>
      </c>
      <c r="Q3407" s="235" t="s">
        <v>627</v>
      </c>
      <c r="R3407" s="238">
        <v>233.33</v>
      </c>
      <c r="S3407" s="238">
        <v>11.67</v>
      </c>
      <c r="T3407" s="238">
        <v>38.1</v>
      </c>
      <c r="U3407" s="238">
        <v>1.9</v>
      </c>
      <c r="V3407" s="238">
        <v>0.0</v>
      </c>
      <c r="W3407" s="238">
        <v>0.0</v>
      </c>
      <c r="X3407" s="235" t="s">
        <v>628</v>
      </c>
      <c r="Z3407" s="245"/>
      <c r="AA3407" s="245"/>
      <c r="AB3407" s="245"/>
      <c r="AC3407" s="235" t="s">
        <v>25612</v>
      </c>
      <c r="AD3407" s="235" t="s">
        <v>1077</v>
      </c>
      <c r="AE3407" s="238">
        <v>389152.0</v>
      </c>
      <c r="AF3407" s="235" t="s">
        <v>631</v>
      </c>
      <c r="AG3407" s="245"/>
      <c r="AH3407" s="245"/>
      <c r="AI3407" s="245"/>
      <c r="AJ3407" s="245"/>
      <c r="AK3407" s="245"/>
      <c r="AL3407" s="245"/>
      <c r="AM3407" s="245"/>
      <c r="AN3407" s="245"/>
      <c r="AO3407" s="238">
        <v>0.0</v>
      </c>
      <c r="AP3407" s="238">
        <v>-38.1</v>
      </c>
      <c r="AQ3407" s="235" t="s">
        <v>1356</v>
      </c>
      <c r="AR3407" s="235" t="s">
        <v>25613</v>
      </c>
      <c r="AS3407" s="235" t="s">
        <v>12693</v>
      </c>
      <c r="AT3407" s="235" t="s">
        <v>17</v>
      </c>
      <c r="AU3407" s="235" t="s">
        <v>634</v>
      </c>
      <c r="AV3407" s="246" t="s">
        <v>635</v>
      </c>
      <c r="AW3407" s="227"/>
      <c r="AX3407" s="227"/>
      <c r="AY3407" s="227"/>
      <c r="AZ3407" s="227"/>
      <c r="BA3407" s="227"/>
      <c r="BB3407" s="227"/>
      <c r="BC3407" s="227"/>
      <c r="BD3407" s="227"/>
      <c r="BE3407" s="227"/>
      <c r="BF3407" s="227"/>
    </row>
    <row r="3408">
      <c r="A3408" s="235" t="s">
        <v>25614</v>
      </c>
      <c r="C3408" s="235" t="s">
        <v>25615</v>
      </c>
      <c r="D3408" s="235" t="s">
        <v>25616</v>
      </c>
      <c r="E3408" s="243">
        <v>6.52E13</v>
      </c>
      <c r="F3408" s="245"/>
      <c r="G3408" s="235" t="s">
        <v>25617</v>
      </c>
      <c r="H3408" s="235" t="s">
        <v>25618</v>
      </c>
      <c r="I3408" s="235" t="s">
        <v>25618</v>
      </c>
      <c r="J3408" s="235" t="s">
        <v>25619</v>
      </c>
      <c r="K3408" s="235" t="s">
        <v>25620</v>
      </c>
      <c r="N3408" s="235" t="s">
        <v>141</v>
      </c>
      <c r="O3408" s="235" t="s">
        <v>342</v>
      </c>
      <c r="P3408" s="238">
        <v>1.0</v>
      </c>
      <c r="Q3408" s="235" t="s">
        <v>627</v>
      </c>
      <c r="R3408" s="238">
        <v>233.33</v>
      </c>
      <c r="S3408" s="238">
        <v>11.32</v>
      </c>
      <c r="T3408" s="238">
        <v>0.0</v>
      </c>
      <c r="U3408" s="238">
        <v>0.0</v>
      </c>
      <c r="V3408" s="238">
        <v>0.0</v>
      </c>
      <c r="W3408" s="238">
        <v>0.0</v>
      </c>
      <c r="X3408" s="235" t="s">
        <v>628</v>
      </c>
      <c r="Z3408" s="245"/>
      <c r="AA3408" s="245"/>
      <c r="AB3408" s="245"/>
      <c r="AC3408" s="235" t="s">
        <v>25621</v>
      </c>
      <c r="AD3408" s="235" t="s">
        <v>1151</v>
      </c>
      <c r="AE3408" s="238">
        <v>742301.0</v>
      </c>
      <c r="AF3408" s="235" t="s">
        <v>631</v>
      </c>
      <c r="AG3408" s="245"/>
      <c r="AH3408" s="245"/>
      <c r="AI3408" s="245"/>
      <c r="AJ3408" s="245"/>
      <c r="AK3408" s="245"/>
      <c r="AL3408" s="245"/>
      <c r="AM3408" s="245"/>
      <c r="AN3408" s="245"/>
      <c r="AO3408" s="238">
        <v>-7.0</v>
      </c>
      <c r="AP3408" s="238">
        <v>0.0</v>
      </c>
      <c r="AQ3408" s="235" t="s">
        <v>632</v>
      </c>
      <c r="AR3408" s="243">
        <v>3.71E11</v>
      </c>
      <c r="AS3408" s="235" t="s">
        <v>17988</v>
      </c>
      <c r="AT3408" s="235" t="s">
        <v>156</v>
      </c>
      <c r="AU3408" s="235" t="s">
        <v>634</v>
      </c>
      <c r="AV3408" s="246" t="s">
        <v>635</v>
      </c>
      <c r="AW3408" s="227"/>
      <c r="AX3408" s="227"/>
      <c r="AY3408" s="227"/>
      <c r="AZ3408" s="227"/>
      <c r="BA3408" s="227"/>
      <c r="BB3408" s="227"/>
      <c r="BC3408" s="227"/>
      <c r="BD3408" s="227"/>
      <c r="BE3408" s="227"/>
      <c r="BF3408" s="227"/>
    </row>
    <row r="3409">
      <c r="A3409" s="235" t="s">
        <v>25622</v>
      </c>
      <c r="C3409" s="235" t="s">
        <v>25623</v>
      </c>
      <c r="D3409" s="235" t="s">
        <v>25624</v>
      </c>
      <c r="E3409" s="243">
        <v>6.51E13</v>
      </c>
      <c r="F3409" s="245"/>
      <c r="G3409" s="235" t="s">
        <v>25625</v>
      </c>
      <c r="H3409" s="235" t="s">
        <v>25626</v>
      </c>
      <c r="I3409" s="235" t="s">
        <v>25626</v>
      </c>
      <c r="J3409" s="235" t="s">
        <v>25627</v>
      </c>
      <c r="K3409" s="235" t="s">
        <v>25628</v>
      </c>
      <c r="N3409" s="235" t="s">
        <v>126</v>
      </c>
      <c r="O3409" s="235" t="s">
        <v>407</v>
      </c>
      <c r="P3409" s="238">
        <v>1.0</v>
      </c>
      <c r="Q3409" s="235" t="s">
        <v>627</v>
      </c>
      <c r="R3409" s="238">
        <v>233.33</v>
      </c>
      <c r="S3409" s="238">
        <v>11.67</v>
      </c>
      <c r="T3409" s="238">
        <v>38.1</v>
      </c>
      <c r="U3409" s="238">
        <v>1.9</v>
      </c>
      <c r="V3409" s="238">
        <v>0.0</v>
      </c>
      <c r="W3409" s="238">
        <v>0.0</v>
      </c>
      <c r="X3409" s="235" t="s">
        <v>628</v>
      </c>
      <c r="Z3409" s="245"/>
      <c r="AA3409" s="245"/>
      <c r="AB3409" s="245"/>
      <c r="AC3409" s="235" t="s">
        <v>25629</v>
      </c>
      <c r="AD3409" s="235" t="s">
        <v>3113</v>
      </c>
      <c r="AE3409" s="238">
        <v>496001.0</v>
      </c>
      <c r="AF3409" s="235" t="s">
        <v>631</v>
      </c>
      <c r="AG3409" s="245"/>
      <c r="AH3409" s="245"/>
      <c r="AI3409" s="245"/>
      <c r="AJ3409" s="245"/>
      <c r="AK3409" s="245"/>
      <c r="AL3409" s="245"/>
      <c r="AM3409" s="245"/>
      <c r="AN3409" s="245"/>
      <c r="AO3409" s="238">
        <v>0.0</v>
      </c>
      <c r="AP3409" s="238">
        <v>-38.1</v>
      </c>
      <c r="AQ3409" s="235" t="s">
        <v>632</v>
      </c>
      <c r="AR3409" s="243">
        <v>3.71E11</v>
      </c>
      <c r="AS3409" s="235" t="s">
        <v>17988</v>
      </c>
      <c r="AT3409" s="235" t="s">
        <v>156</v>
      </c>
      <c r="AU3409" s="235" t="s">
        <v>634</v>
      </c>
      <c r="AV3409" s="246" t="s">
        <v>635</v>
      </c>
      <c r="AW3409" s="227"/>
      <c r="AX3409" s="227"/>
      <c r="AY3409" s="227"/>
      <c r="AZ3409" s="227"/>
      <c r="BA3409" s="227"/>
      <c r="BB3409" s="227"/>
      <c r="BC3409" s="227"/>
      <c r="BD3409" s="227"/>
      <c r="BE3409" s="227"/>
      <c r="BF3409" s="227"/>
    </row>
    <row r="3410">
      <c r="A3410" s="235" t="s">
        <v>25630</v>
      </c>
      <c r="C3410" s="235" t="s">
        <v>25631</v>
      </c>
      <c r="D3410" s="235" t="s">
        <v>25632</v>
      </c>
      <c r="E3410" s="243">
        <v>6.52E13</v>
      </c>
      <c r="F3410" s="245"/>
      <c r="G3410" s="235" t="s">
        <v>25633</v>
      </c>
      <c r="H3410" s="235" t="s">
        <v>25634</v>
      </c>
      <c r="I3410" s="235" t="s">
        <v>25634</v>
      </c>
      <c r="J3410" s="235" t="s">
        <v>25635</v>
      </c>
      <c r="K3410" s="235" t="s">
        <v>25636</v>
      </c>
      <c r="N3410" s="235" t="s">
        <v>42</v>
      </c>
      <c r="O3410" s="235" t="s">
        <v>204</v>
      </c>
      <c r="P3410" s="238">
        <v>1.0</v>
      </c>
      <c r="Q3410" s="235" t="s">
        <v>627</v>
      </c>
      <c r="R3410" s="238">
        <v>237.14</v>
      </c>
      <c r="S3410" s="238">
        <v>11.86</v>
      </c>
      <c r="T3410" s="238">
        <v>0.0</v>
      </c>
      <c r="U3410" s="238">
        <v>0.0</v>
      </c>
      <c r="V3410" s="238">
        <v>0.0</v>
      </c>
      <c r="W3410" s="238">
        <v>0.0</v>
      </c>
      <c r="X3410" s="235" t="s">
        <v>628</v>
      </c>
      <c r="Z3410" s="245"/>
      <c r="AA3410" s="245"/>
      <c r="AB3410" s="245"/>
      <c r="AC3410" s="235" t="s">
        <v>25637</v>
      </c>
      <c r="AD3410" s="235" t="s">
        <v>666</v>
      </c>
      <c r="AE3410" s="238">
        <v>606202.0</v>
      </c>
      <c r="AF3410" s="235" t="s">
        <v>631</v>
      </c>
      <c r="AG3410" s="245"/>
      <c r="AH3410" s="245"/>
      <c r="AI3410" s="245"/>
      <c r="AJ3410" s="245"/>
      <c r="AK3410" s="245"/>
      <c r="AL3410" s="245"/>
      <c r="AM3410" s="245"/>
      <c r="AN3410" s="245"/>
      <c r="AO3410" s="238">
        <v>0.0</v>
      </c>
      <c r="AP3410" s="238">
        <v>0.0</v>
      </c>
      <c r="AQ3410" s="235" t="s">
        <v>632</v>
      </c>
      <c r="AR3410" s="243">
        <v>3.71E11</v>
      </c>
      <c r="AS3410" s="235" t="s">
        <v>23542</v>
      </c>
      <c r="AT3410" s="235" t="s">
        <v>9</v>
      </c>
      <c r="AU3410" s="235" t="s">
        <v>634</v>
      </c>
      <c r="AV3410" s="246" t="s">
        <v>635</v>
      </c>
      <c r="AW3410" s="227"/>
      <c r="AX3410" s="227"/>
      <c r="AY3410" s="227"/>
      <c r="AZ3410" s="227"/>
      <c r="BA3410" s="227"/>
      <c r="BB3410" s="227"/>
      <c r="BC3410" s="227"/>
      <c r="BD3410" s="227"/>
      <c r="BE3410" s="227"/>
      <c r="BF3410" s="227"/>
    </row>
    <row r="3411">
      <c r="A3411" s="235" t="s">
        <v>25638</v>
      </c>
      <c r="C3411" s="235" t="s">
        <v>25639</v>
      </c>
      <c r="D3411" s="235" t="s">
        <v>25640</v>
      </c>
      <c r="E3411" s="243">
        <v>6.52E13</v>
      </c>
      <c r="F3411" s="245"/>
      <c r="G3411" s="235" t="s">
        <v>25641</v>
      </c>
      <c r="H3411" s="235" t="s">
        <v>25642</v>
      </c>
      <c r="I3411" s="235" t="s">
        <v>25642</v>
      </c>
      <c r="J3411" s="235" t="s">
        <v>25643</v>
      </c>
      <c r="K3411" s="235" t="s">
        <v>25644</v>
      </c>
      <c r="N3411" s="235" t="s">
        <v>154</v>
      </c>
      <c r="O3411" s="235" t="s">
        <v>766</v>
      </c>
      <c r="P3411" s="238">
        <v>1.0</v>
      </c>
      <c r="Q3411" s="235" t="s">
        <v>627</v>
      </c>
      <c r="R3411" s="238">
        <v>423.81</v>
      </c>
      <c r="S3411" s="238">
        <v>21.19</v>
      </c>
      <c r="T3411" s="238">
        <v>38.1</v>
      </c>
      <c r="U3411" s="238">
        <v>1.9</v>
      </c>
      <c r="V3411" s="238">
        <v>0.0</v>
      </c>
      <c r="W3411" s="238">
        <v>0.0</v>
      </c>
      <c r="X3411" s="235" t="s">
        <v>628</v>
      </c>
      <c r="Z3411" s="245"/>
      <c r="AA3411" s="245"/>
      <c r="AB3411" s="245"/>
      <c r="AC3411" s="235" t="s">
        <v>795</v>
      </c>
      <c r="AD3411" s="235" t="s">
        <v>796</v>
      </c>
      <c r="AE3411" s="238">
        <v>110059.0</v>
      </c>
      <c r="AF3411" s="235" t="s">
        <v>631</v>
      </c>
      <c r="AG3411" s="245"/>
      <c r="AH3411" s="245"/>
      <c r="AI3411" s="245"/>
      <c r="AJ3411" s="245"/>
      <c r="AK3411" s="245"/>
      <c r="AL3411" s="245"/>
      <c r="AM3411" s="245"/>
      <c r="AN3411" s="245"/>
      <c r="AO3411" s="238">
        <v>0.0</v>
      </c>
      <c r="AP3411" s="238">
        <v>-38.1</v>
      </c>
      <c r="AQ3411" s="235" t="s">
        <v>632</v>
      </c>
      <c r="AR3411" s="243">
        <v>2.02E11</v>
      </c>
      <c r="AS3411" s="235" t="s">
        <v>23542</v>
      </c>
      <c r="AT3411" s="235" t="s">
        <v>11</v>
      </c>
      <c r="AU3411" s="235" t="s">
        <v>634</v>
      </c>
      <c r="AV3411" s="246" t="s">
        <v>635</v>
      </c>
      <c r="AW3411" s="227"/>
      <c r="AX3411" s="227"/>
      <c r="AY3411" s="227"/>
      <c r="AZ3411" s="227"/>
      <c r="BA3411" s="227"/>
      <c r="BB3411" s="227"/>
      <c r="BC3411" s="227"/>
      <c r="BD3411" s="227"/>
      <c r="BE3411" s="227"/>
      <c r="BF3411" s="227"/>
    </row>
    <row r="3412">
      <c r="A3412" s="235" t="s">
        <v>25645</v>
      </c>
      <c r="C3412" s="235" t="s">
        <v>25646</v>
      </c>
      <c r="D3412" s="235" t="s">
        <v>25647</v>
      </c>
      <c r="E3412" s="243">
        <v>6.51E13</v>
      </c>
      <c r="F3412" s="245"/>
      <c r="G3412" s="235" t="s">
        <v>25648</v>
      </c>
      <c r="H3412" s="235" t="s">
        <v>25649</v>
      </c>
      <c r="I3412" s="235" t="s">
        <v>25649</v>
      </c>
      <c r="J3412" s="235" t="s">
        <v>25650</v>
      </c>
      <c r="K3412" s="235" t="s">
        <v>25651</v>
      </c>
      <c r="N3412" s="235" t="s">
        <v>136</v>
      </c>
      <c r="O3412" s="235" t="s">
        <v>256</v>
      </c>
      <c r="P3412" s="238">
        <v>1.0</v>
      </c>
      <c r="Q3412" s="235" t="s">
        <v>627</v>
      </c>
      <c r="R3412" s="238">
        <v>242.86</v>
      </c>
      <c r="S3412" s="238">
        <v>12.14</v>
      </c>
      <c r="T3412" s="238">
        <v>38.1</v>
      </c>
      <c r="U3412" s="238">
        <v>1.9</v>
      </c>
      <c r="V3412" s="238">
        <v>0.0</v>
      </c>
      <c r="W3412" s="238">
        <v>0.0</v>
      </c>
      <c r="X3412" s="235" t="s">
        <v>628</v>
      </c>
      <c r="Z3412" s="245"/>
      <c r="AA3412" s="245"/>
      <c r="AB3412" s="245"/>
      <c r="AC3412" s="235" t="s">
        <v>678</v>
      </c>
      <c r="AD3412" s="235" t="s">
        <v>679</v>
      </c>
      <c r="AE3412" s="238">
        <v>560079.0</v>
      </c>
      <c r="AF3412" s="235" t="s">
        <v>631</v>
      </c>
      <c r="AG3412" s="245"/>
      <c r="AH3412" s="245"/>
      <c r="AI3412" s="245"/>
      <c r="AJ3412" s="245"/>
      <c r="AK3412" s="245"/>
      <c r="AL3412" s="245"/>
      <c r="AM3412" s="245"/>
      <c r="AN3412" s="245"/>
      <c r="AO3412" s="238">
        <v>0.0</v>
      </c>
      <c r="AP3412" s="238">
        <v>-38.1</v>
      </c>
      <c r="AQ3412" s="235" t="s">
        <v>632</v>
      </c>
      <c r="AR3412" s="243">
        <v>3.71E11</v>
      </c>
      <c r="AS3412" s="235" t="s">
        <v>25098</v>
      </c>
      <c r="AT3412" s="235" t="s">
        <v>9</v>
      </c>
      <c r="AU3412" s="235" t="s">
        <v>634</v>
      </c>
      <c r="AV3412" s="246" t="s">
        <v>635</v>
      </c>
      <c r="AW3412" s="227"/>
      <c r="AX3412" s="227"/>
      <c r="AY3412" s="227"/>
      <c r="AZ3412" s="227"/>
      <c r="BA3412" s="227"/>
      <c r="BB3412" s="227"/>
      <c r="BC3412" s="227"/>
      <c r="BD3412" s="227"/>
      <c r="BE3412" s="227"/>
      <c r="BF3412" s="227"/>
    </row>
    <row r="3413">
      <c r="A3413" s="235" t="s">
        <v>25652</v>
      </c>
      <c r="C3413" s="235" t="s">
        <v>25653</v>
      </c>
      <c r="D3413" s="235" t="s">
        <v>25654</v>
      </c>
      <c r="E3413" s="243">
        <v>6.51E13</v>
      </c>
      <c r="F3413" s="245"/>
      <c r="G3413" s="235" t="s">
        <v>25655</v>
      </c>
      <c r="H3413" s="235" t="s">
        <v>25656</v>
      </c>
      <c r="I3413" s="235" t="s">
        <v>25656</v>
      </c>
      <c r="J3413" s="235" t="s">
        <v>25657</v>
      </c>
      <c r="K3413" s="235" t="s">
        <v>25658</v>
      </c>
      <c r="N3413" s="235" t="s">
        <v>138</v>
      </c>
      <c r="O3413" s="235" t="s">
        <v>675</v>
      </c>
      <c r="P3413" s="238">
        <v>1.0</v>
      </c>
      <c r="Q3413" s="235" t="s">
        <v>627</v>
      </c>
      <c r="R3413" s="238">
        <v>233.33</v>
      </c>
      <c r="S3413" s="238">
        <v>11.44</v>
      </c>
      <c r="T3413" s="238">
        <v>38.1</v>
      </c>
      <c r="U3413" s="238">
        <v>1.9</v>
      </c>
      <c r="V3413" s="238">
        <v>0.0</v>
      </c>
      <c r="W3413" s="238">
        <v>0.0</v>
      </c>
      <c r="X3413" s="235" t="s">
        <v>628</v>
      </c>
      <c r="Z3413" s="245"/>
      <c r="AA3413" s="245"/>
      <c r="AB3413" s="245"/>
      <c r="AC3413" s="235" t="s">
        <v>25659</v>
      </c>
      <c r="AD3413" s="235" t="s">
        <v>731</v>
      </c>
      <c r="AE3413" s="238">
        <v>785640.0</v>
      </c>
      <c r="AF3413" s="235" t="s">
        <v>631</v>
      </c>
      <c r="AG3413" s="245"/>
      <c r="AH3413" s="245"/>
      <c r="AI3413" s="245"/>
      <c r="AJ3413" s="245"/>
      <c r="AK3413" s="245"/>
      <c r="AL3413" s="245"/>
      <c r="AM3413" s="245"/>
      <c r="AN3413" s="245"/>
      <c r="AO3413" s="238">
        <v>-4.67</v>
      </c>
      <c r="AP3413" s="238">
        <v>-38.1</v>
      </c>
      <c r="AQ3413" s="235" t="s">
        <v>632</v>
      </c>
      <c r="AR3413" s="243">
        <v>3.71E11</v>
      </c>
      <c r="AS3413" s="235" t="s">
        <v>17988</v>
      </c>
      <c r="AT3413" s="235" t="s">
        <v>14</v>
      </c>
      <c r="AU3413" s="235" t="s">
        <v>634</v>
      </c>
      <c r="AV3413" s="246" t="s">
        <v>635</v>
      </c>
      <c r="AW3413" s="227"/>
      <c r="AX3413" s="227"/>
      <c r="AY3413" s="227"/>
      <c r="AZ3413" s="227"/>
      <c r="BA3413" s="227"/>
      <c r="BB3413" s="227"/>
      <c r="BC3413" s="227"/>
      <c r="BD3413" s="227"/>
      <c r="BE3413" s="227"/>
      <c r="BF3413" s="227"/>
    </row>
    <row r="3414">
      <c r="A3414" s="235" t="s">
        <v>25660</v>
      </c>
      <c r="C3414" s="235" t="s">
        <v>25661</v>
      </c>
      <c r="D3414" s="235" t="s">
        <v>25662</v>
      </c>
      <c r="E3414" s="243">
        <v>6.51E13</v>
      </c>
      <c r="F3414" s="245"/>
      <c r="G3414" s="235" t="s">
        <v>25663</v>
      </c>
      <c r="H3414" s="235" t="s">
        <v>25664</v>
      </c>
      <c r="I3414" s="235" t="s">
        <v>25664</v>
      </c>
      <c r="J3414" s="235" t="s">
        <v>25665</v>
      </c>
      <c r="K3414" s="235" t="s">
        <v>25666</v>
      </c>
      <c r="N3414" s="235" t="s">
        <v>53</v>
      </c>
      <c r="O3414" s="235" t="s">
        <v>512</v>
      </c>
      <c r="P3414" s="238">
        <v>1.0</v>
      </c>
      <c r="Q3414" s="235" t="s">
        <v>627</v>
      </c>
      <c r="R3414" s="238">
        <v>233.33</v>
      </c>
      <c r="S3414" s="238">
        <v>11.67</v>
      </c>
      <c r="T3414" s="238">
        <v>38.1</v>
      </c>
      <c r="U3414" s="238">
        <v>1.9</v>
      </c>
      <c r="V3414" s="238">
        <v>0.0</v>
      </c>
      <c r="W3414" s="238">
        <v>0.0</v>
      </c>
      <c r="X3414" s="235" t="s">
        <v>628</v>
      </c>
      <c r="Z3414" s="245"/>
      <c r="AA3414" s="245"/>
      <c r="AB3414" s="245"/>
      <c r="AC3414" s="235" t="s">
        <v>22667</v>
      </c>
      <c r="AD3414" s="235" t="s">
        <v>666</v>
      </c>
      <c r="AE3414" s="238">
        <v>626117.0</v>
      </c>
      <c r="AF3414" s="235" t="s">
        <v>631</v>
      </c>
      <c r="AG3414" s="245"/>
      <c r="AH3414" s="245"/>
      <c r="AI3414" s="245"/>
      <c r="AJ3414" s="245"/>
      <c r="AK3414" s="245"/>
      <c r="AL3414" s="245"/>
      <c r="AM3414" s="245"/>
      <c r="AN3414" s="245"/>
      <c r="AO3414" s="238">
        <v>0.0</v>
      </c>
      <c r="AP3414" s="238">
        <v>-38.1</v>
      </c>
      <c r="AQ3414" s="235" t="s">
        <v>632</v>
      </c>
      <c r="AR3414" s="243">
        <v>3.71E11</v>
      </c>
      <c r="AS3414" s="235" t="s">
        <v>23542</v>
      </c>
      <c r="AT3414" s="235" t="s">
        <v>9</v>
      </c>
      <c r="AU3414" s="235" t="s">
        <v>634</v>
      </c>
      <c r="AV3414" s="246" t="s">
        <v>635</v>
      </c>
      <c r="AW3414" s="227"/>
      <c r="AX3414" s="227"/>
      <c r="AY3414" s="227"/>
      <c r="AZ3414" s="227"/>
      <c r="BA3414" s="227"/>
      <c r="BB3414" s="227"/>
      <c r="BC3414" s="227"/>
      <c r="BD3414" s="227"/>
      <c r="BE3414" s="227"/>
      <c r="BF3414" s="227"/>
    </row>
    <row r="3415">
      <c r="A3415" s="235" t="s">
        <v>25667</v>
      </c>
      <c r="C3415" s="235" t="s">
        <v>25668</v>
      </c>
      <c r="D3415" s="235" t="s">
        <v>25669</v>
      </c>
      <c r="E3415" s="243">
        <v>6.51E13</v>
      </c>
      <c r="F3415" s="245"/>
      <c r="G3415" s="235" t="s">
        <v>25670</v>
      </c>
      <c r="H3415" s="235" t="s">
        <v>25671</v>
      </c>
      <c r="I3415" s="235" t="s">
        <v>25671</v>
      </c>
      <c r="J3415" s="235" t="s">
        <v>25672</v>
      </c>
      <c r="K3415" s="235" t="s">
        <v>25673</v>
      </c>
      <c r="N3415" s="235" t="s">
        <v>2696</v>
      </c>
      <c r="O3415" s="235" t="s">
        <v>2697</v>
      </c>
      <c r="P3415" s="238">
        <v>1.0</v>
      </c>
      <c r="Q3415" s="235" t="s">
        <v>627</v>
      </c>
      <c r="R3415" s="238">
        <v>233.33</v>
      </c>
      <c r="S3415" s="238">
        <v>11.32</v>
      </c>
      <c r="T3415" s="238">
        <v>0.0</v>
      </c>
      <c r="U3415" s="238">
        <v>0.0</v>
      </c>
      <c r="V3415" s="238">
        <v>0.0</v>
      </c>
      <c r="W3415" s="238">
        <v>0.0</v>
      </c>
      <c r="X3415" s="235" t="s">
        <v>628</v>
      </c>
      <c r="Z3415" s="245"/>
      <c r="AA3415" s="245"/>
      <c r="AB3415" s="245"/>
      <c r="AC3415" s="235" t="s">
        <v>25674</v>
      </c>
      <c r="AD3415" s="235" t="s">
        <v>1499</v>
      </c>
      <c r="AE3415" s="238">
        <v>460001.0</v>
      </c>
      <c r="AF3415" s="235" t="s">
        <v>631</v>
      </c>
      <c r="AG3415" s="245"/>
      <c r="AH3415" s="245"/>
      <c r="AI3415" s="245"/>
      <c r="AJ3415" s="245"/>
      <c r="AK3415" s="245"/>
      <c r="AL3415" s="245"/>
      <c r="AM3415" s="245"/>
      <c r="AN3415" s="245"/>
      <c r="AO3415" s="238">
        <v>-7.0</v>
      </c>
      <c r="AP3415" s="238">
        <v>0.0</v>
      </c>
      <c r="AQ3415" s="235" t="s">
        <v>632</v>
      </c>
      <c r="AR3415" s="243">
        <v>3.71E11</v>
      </c>
      <c r="AS3415" s="235" t="s">
        <v>20529</v>
      </c>
      <c r="AT3415" s="235" t="s">
        <v>9</v>
      </c>
      <c r="AU3415" s="235" t="s">
        <v>634</v>
      </c>
      <c r="AV3415" s="246" t="s">
        <v>635</v>
      </c>
      <c r="AW3415" s="227"/>
      <c r="AX3415" s="227"/>
      <c r="AY3415" s="227"/>
      <c r="AZ3415" s="227"/>
      <c r="BA3415" s="227"/>
      <c r="BB3415" s="227"/>
      <c r="BC3415" s="227"/>
      <c r="BD3415" s="227"/>
      <c r="BE3415" s="227"/>
      <c r="BF3415" s="227"/>
    </row>
    <row r="3416">
      <c r="A3416" s="235" t="s">
        <v>25675</v>
      </c>
      <c r="C3416" s="235" t="s">
        <v>25676</v>
      </c>
      <c r="D3416" s="235" t="s">
        <v>25677</v>
      </c>
      <c r="E3416" s="243">
        <v>6.52E13</v>
      </c>
      <c r="F3416" s="245"/>
      <c r="G3416" s="235" t="s">
        <v>25678</v>
      </c>
      <c r="H3416" s="235" t="s">
        <v>25679</v>
      </c>
      <c r="I3416" s="235" t="s">
        <v>25680</v>
      </c>
      <c r="J3416" s="235" t="s">
        <v>25681</v>
      </c>
      <c r="K3416" s="235" t="s">
        <v>25682</v>
      </c>
      <c r="N3416" s="235" t="s">
        <v>43</v>
      </c>
      <c r="O3416" s="235" t="s">
        <v>276</v>
      </c>
      <c r="P3416" s="238">
        <v>1.0</v>
      </c>
      <c r="Q3416" s="235" t="s">
        <v>627</v>
      </c>
      <c r="R3416" s="238">
        <v>237.14</v>
      </c>
      <c r="S3416" s="238">
        <v>11.62</v>
      </c>
      <c r="T3416" s="238">
        <v>0.0</v>
      </c>
      <c r="U3416" s="238">
        <v>0.0</v>
      </c>
      <c r="V3416" s="238">
        <v>0.0</v>
      </c>
      <c r="W3416" s="238">
        <v>0.0</v>
      </c>
      <c r="X3416" s="235" t="s">
        <v>628</v>
      </c>
      <c r="Z3416" s="245"/>
      <c r="AA3416" s="245"/>
      <c r="AB3416" s="245"/>
      <c r="AC3416" s="235" t="s">
        <v>687</v>
      </c>
      <c r="AD3416" s="235" t="s">
        <v>666</v>
      </c>
      <c r="AE3416" s="238">
        <v>600032.0</v>
      </c>
      <c r="AF3416" s="235" t="s">
        <v>631</v>
      </c>
      <c r="AG3416" s="245"/>
      <c r="AH3416" s="245"/>
      <c r="AI3416" s="245"/>
      <c r="AJ3416" s="245"/>
      <c r="AK3416" s="245"/>
      <c r="AL3416" s="245"/>
      <c r="AM3416" s="245"/>
      <c r="AN3416" s="245"/>
      <c r="AO3416" s="238">
        <v>-4.74</v>
      </c>
      <c r="AP3416" s="238">
        <v>0.0</v>
      </c>
      <c r="AQ3416" s="235" t="s">
        <v>632</v>
      </c>
      <c r="AR3416" s="243">
        <v>3.71E11</v>
      </c>
      <c r="AS3416" s="235" t="s">
        <v>25098</v>
      </c>
      <c r="AT3416" s="235" t="s">
        <v>156</v>
      </c>
      <c r="AU3416" s="235" t="s">
        <v>634</v>
      </c>
      <c r="AV3416" s="246" t="s">
        <v>635</v>
      </c>
      <c r="AW3416" s="227"/>
      <c r="AX3416" s="227"/>
      <c r="AY3416" s="227"/>
      <c r="AZ3416" s="227"/>
      <c r="BA3416" s="227"/>
      <c r="BB3416" s="227"/>
      <c r="BC3416" s="227"/>
      <c r="BD3416" s="227"/>
      <c r="BE3416" s="227"/>
      <c r="BF3416" s="227"/>
    </row>
    <row r="3417">
      <c r="A3417" s="235" t="s">
        <v>25683</v>
      </c>
      <c r="C3417" s="235" t="s">
        <v>25684</v>
      </c>
      <c r="D3417" s="235" t="s">
        <v>25685</v>
      </c>
      <c r="E3417" s="243">
        <v>6.52E13</v>
      </c>
      <c r="F3417" s="245"/>
      <c r="G3417" s="235" t="s">
        <v>25686</v>
      </c>
      <c r="H3417" s="235" t="s">
        <v>25687</v>
      </c>
      <c r="I3417" s="235" t="s">
        <v>25688</v>
      </c>
      <c r="J3417" s="235" t="s">
        <v>25689</v>
      </c>
      <c r="K3417" s="235" t="s">
        <v>25690</v>
      </c>
      <c r="N3417" s="235" t="s">
        <v>53</v>
      </c>
      <c r="O3417" s="235" t="s">
        <v>512</v>
      </c>
      <c r="P3417" s="238">
        <v>1.0</v>
      </c>
      <c r="Q3417" s="235" t="s">
        <v>627</v>
      </c>
      <c r="R3417" s="238">
        <v>237.14</v>
      </c>
      <c r="S3417" s="238">
        <v>11.86</v>
      </c>
      <c r="T3417" s="238">
        <v>0.0</v>
      </c>
      <c r="U3417" s="238">
        <v>0.0</v>
      </c>
      <c r="V3417" s="238">
        <v>0.0</v>
      </c>
      <c r="W3417" s="238">
        <v>0.0</v>
      </c>
      <c r="X3417" s="235" t="s">
        <v>628</v>
      </c>
      <c r="Z3417" s="245"/>
      <c r="AA3417" s="245"/>
      <c r="AB3417" s="245"/>
      <c r="AC3417" s="235" t="s">
        <v>25691</v>
      </c>
      <c r="AD3417" s="235" t="s">
        <v>698</v>
      </c>
      <c r="AE3417" s="238">
        <v>501101.0</v>
      </c>
      <c r="AF3417" s="235" t="s">
        <v>631</v>
      </c>
      <c r="AG3417" s="245"/>
      <c r="AH3417" s="245"/>
      <c r="AI3417" s="245"/>
      <c r="AJ3417" s="245"/>
      <c r="AK3417" s="245"/>
      <c r="AL3417" s="245"/>
      <c r="AM3417" s="245"/>
      <c r="AN3417" s="245"/>
      <c r="AO3417" s="238">
        <v>0.0</v>
      </c>
      <c r="AP3417" s="238">
        <v>0.0</v>
      </c>
      <c r="AQ3417" s="235" t="s">
        <v>632</v>
      </c>
      <c r="AR3417" s="243">
        <v>3.71E11</v>
      </c>
      <c r="AS3417" s="235" t="s">
        <v>22269</v>
      </c>
      <c r="AT3417" s="235" t="s">
        <v>16</v>
      </c>
      <c r="AU3417" s="235" t="s">
        <v>634</v>
      </c>
      <c r="AV3417" s="246" t="s">
        <v>635</v>
      </c>
      <c r="AW3417" s="227"/>
      <c r="AX3417" s="227"/>
      <c r="AY3417" s="227"/>
      <c r="AZ3417" s="227"/>
      <c r="BA3417" s="227"/>
      <c r="BB3417" s="227"/>
      <c r="BC3417" s="227"/>
      <c r="BD3417" s="227"/>
      <c r="BE3417" s="227"/>
      <c r="BF3417" s="227"/>
    </row>
    <row r="3418">
      <c r="A3418" s="235" t="s">
        <v>25692</v>
      </c>
      <c r="C3418" s="235" t="s">
        <v>25693</v>
      </c>
      <c r="D3418" s="235" t="s">
        <v>25694</v>
      </c>
      <c r="E3418" s="243">
        <v>6.52E13</v>
      </c>
      <c r="F3418" s="245"/>
      <c r="G3418" s="235" t="s">
        <v>25695</v>
      </c>
      <c r="H3418" s="235" t="s">
        <v>25696</v>
      </c>
      <c r="I3418" s="235" t="s">
        <v>25696</v>
      </c>
      <c r="J3418" s="235" t="s">
        <v>25697</v>
      </c>
      <c r="K3418" s="235" t="s">
        <v>25698</v>
      </c>
      <c r="N3418" s="235" t="s">
        <v>10</v>
      </c>
      <c r="O3418" s="235" t="s">
        <v>936</v>
      </c>
      <c r="P3418" s="238">
        <v>1.0</v>
      </c>
      <c r="Q3418" s="235" t="s">
        <v>627</v>
      </c>
      <c r="R3418" s="238">
        <v>265.72</v>
      </c>
      <c r="S3418" s="238">
        <v>13.28</v>
      </c>
      <c r="T3418" s="238">
        <v>0.0</v>
      </c>
      <c r="U3418" s="238">
        <v>0.0</v>
      </c>
      <c r="V3418" s="238">
        <v>0.0</v>
      </c>
      <c r="W3418" s="238">
        <v>0.0</v>
      </c>
      <c r="X3418" s="235" t="s">
        <v>628</v>
      </c>
      <c r="Z3418" s="245"/>
      <c r="AA3418" s="245"/>
      <c r="AB3418" s="245"/>
      <c r="AC3418" s="235" t="s">
        <v>1320</v>
      </c>
      <c r="AD3418" s="235" t="s">
        <v>666</v>
      </c>
      <c r="AE3418" s="238">
        <v>600026.0</v>
      </c>
      <c r="AF3418" s="235" t="s">
        <v>631</v>
      </c>
      <c r="AG3418" s="245"/>
      <c r="AH3418" s="245"/>
      <c r="AI3418" s="245"/>
      <c r="AJ3418" s="245"/>
      <c r="AK3418" s="245"/>
      <c r="AL3418" s="245"/>
      <c r="AM3418" s="245"/>
      <c r="AN3418" s="245"/>
      <c r="AO3418" s="238">
        <v>0.0</v>
      </c>
      <c r="AP3418" s="238">
        <v>0.0</v>
      </c>
      <c r="AQ3418" s="235" t="s">
        <v>632</v>
      </c>
      <c r="AR3418" s="243">
        <v>3.71E11</v>
      </c>
      <c r="AS3418" s="235" t="s">
        <v>25098</v>
      </c>
      <c r="AT3418" s="235" t="s">
        <v>156</v>
      </c>
      <c r="AU3418" s="235" t="s">
        <v>634</v>
      </c>
      <c r="AV3418" s="246" t="s">
        <v>635</v>
      </c>
      <c r="AW3418" s="227"/>
      <c r="AX3418" s="227"/>
      <c r="AY3418" s="227"/>
      <c r="AZ3418" s="227"/>
      <c r="BA3418" s="227"/>
      <c r="BB3418" s="227"/>
      <c r="BC3418" s="227"/>
      <c r="BD3418" s="227"/>
      <c r="BE3418" s="227"/>
      <c r="BF3418" s="227"/>
    </row>
    <row r="3419">
      <c r="A3419" s="235" t="s">
        <v>25699</v>
      </c>
      <c r="C3419" s="235" t="s">
        <v>25700</v>
      </c>
      <c r="D3419" s="235" t="s">
        <v>25701</v>
      </c>
      <c r="E3419" s="243">
        <v>6.52E13</v>
      </c>
      <c r="F3419" s="245"/>
      <c r="G3419" s="235" t="s">
        <v>25702</v>
      </c>
      <c r="H3419" s="235" t="s">
        <v>25703</v>
      </c>
      <c r="I3419" s="235" t="s">
        <v>25703</v>
      </c>
      <c r="J3419" s="235" t="s">
        <v>25704</v>
      </c>
      <c r="K3419" s="235" t="s">
        <v>25705</v>
      </c>
      <c r="N3419" s="235" t="s">
        <v>130</v>
      </c>
      <c r="O3419" s="235" t="s">
        <v>707</v>
      </c>
      <c r="P3419" s="238">
        <v>1.0</v>
      </c>
      <c r="Q3419" s="235" t="s">
        <v>627</v>
      </c>
      <c r="R3419" s="238">
        <v>232.38</v>
      </c>
      <c r="S3419" s="238">
        <v>11.39</v>
      </c>
      <c r="T3419" s="238">
        <v>38.1</v>
      </c>
      <c r="U3419" s="238">
        <v>1.9</v>
      </c>
      <c r="V3419" s="238">
        <v>0.0</v>
      </c>
      <c r="W3419" s="238">
        <v>0.0</v>
      </c>
      <c r="X3419" s="235" t="s">
        <v>628</v>
      </c>
      <c r="Z3419" s="245"/>
      <c r="AA3419" s="245"/>
      <c r="AB3419" s="245"/>
      <c r="AC3419" s="235" t="s">
        <v>697</v>
      </c>
      <c r="AD3419" s="235" t="s">
        <v>698</v>
      </c>
      <c r="AE3419" s="238">
        <v>500070.0</v>
      </c>
      <c r="AF3419" s="235" t="s">
        <v>631</v>
      </c>
      <c r="AG3419" s="245"/>
      <c r="AH3419" s="245"/>
      <c r="AI3419" s="245"/>
      <c r="AJ3419" s="245"/>
      <c r="AK3419" s="245"/>
      <c r="AL3419" s="245"/>
      <c r="AM3419" s="245"/>
      <c r="AN3419" s="245"/>
      <c r="AO3419" s="238">
        <v>-4.65</v>
      </c>
      <c r="AP3419" s="238">
        <v>-38.1</v>
      </c>
      <c r="AQ3419" s="235" t="s">
        <v>632</v>
      </c>
      <c r="AR3419" s="243">
        <v>3.71E11</v>
      </c>
      <c r="AS3419" s="235" t="s">
        <v>22269</v>
      </c>
      <c r="AT3419" s="235" t="s">
        <v>16</v>
      </c>
      <c r="AU3419" s="235" t="s">
        <v>634</v>
      </c>
      <c r="AV3419" s="246" t="s">
        <v>635</v>
      </c>
      <c r="AW3419" s="227"/>
      <c r="AX3419" s="227"/>
      <c r="AY3419" s="227"/>
      <c r="AZ3419" s="227"/>
      <c r="BA3419" s="227"/>
      <c r="BB3419" s="227"/>
      <c r="BC3419" s="227"/>
      <c r="BD3419" s="227"/>
      <c r="BE3419" s="227"/>
      <c r="BF3419" s="227"/>
    </row>
    <row r="3420">
      <c r="A3420" s="235" t="s">
        <v>25706</v>
      </c>
      <c r="C3420" s="235" t="s">
        <v>25707</v>
      </c>
      <c r="D3420" s="235" t="s">
        <v>25708</v>
      </c>
      <c r="E3420" s="243">
        <v>6.52E13</v>
      </c>
      <c r="F3420" s="245"/>
      <c r="G3420" s="235" t="s">
        <v>25709</v>
      </c>
      <c r="H3420" s="235" t="s">
        <v>25710</v>
      </c>
      <c r="I3420" s="235" t="s">
        <v>25710</v>
      </c>
      <c r="J3420" s="235" t="s">
        <v>25711</v>
      </c>
      <c r="K3420" s="235" t="s">
        <v>25712</v>
      </c>
      <c r="N3420" s="235" t="s">
        <v>962</v>
      </c>
      <c r="O3420" s="235" t="s">
        <v>963</v>
      </c>
      <c r="P3420" s="238">
        <v>1.0</v>
      </c>
      <c r="Q3420" s="235" t="s">
        <v>627</v>
      </c>
      <c r="R3420" s="238">
        <v>246.66</v>
      </c>
      <c r="S3420" s="238">
        <v>12.1</v>
      </c>
      <c r="T3420" s="238">
        <v>0.0</v>
      </c>
      <c r="U3420" s="238">
        <v>0.0</v>
      </c>
      <c r="V3420" s="238">
        <v>0.0</v>
      </c>
      <c r="W3420" s="238">
        <v>0.0</v>
      </c>
      <c r="X3420" s="235" t="s">
        <v>628</v>
      </c>
      <c r="Z3420" s="245"/>
      <c r="AA3420" s="245"/>
      <c r="AB3420" s="245"/>
      <c r="AC3420" s="235" t="s">
        <v>678</v>
      </c>
      <c r="AD3420" s="235" t="s">
        <v>679</v>
      </c>
      <c r="AE3420" s="238">
        <v>560082.0</v>
      </c>
      <c r="AF3420" s="235" t="s">
        <v>631</v>
      </c>
      <c r="AG3420" s="245"/>
      <c r="AH3420" s="245"/>
      <c r="AI3420" s="245"/>
      <c r="AJ3420" s="245"/>
      <c r="AK3420" s="245"/>
      <c r="AL3420" s="245"/>
      <c r="AM3420" s="245"/>
      <c r="AN3420" s="245"/>
      <c r="AO3420" s="238">
        <v>-4.94</v>
      </c>
      <c r="AP3420" s="238">
        <v>0.0</v>
      </c>
      <c r="AQ3420" s="235" t="s">
        <v>632</v>
      </c>
      <c r="AR3420" s="243">
        <v>1.68E11</v>
      </c>
      <c r="AS3420" s="235" t="s">
        <v>25713</v>
      </c>
      <c r="AT3420" s="235" t="s">
        <v>9</v>
      </c>
      <c r="AU3420" s="235" t="s">
        <v>634</v>
      </c>
      <c r="AV3420" s="246" t="s">
        <v>635</v>
      </c>
      <c r="AW3420" s="227"/>
      <c r="AX3420" s="227"/>
      <c r="AY3420" s="227"/>
      <c r="AZ3420" s="227"/>
      <c r="BA3420" s="227"/>
      <c r="BB3420" s="227"/>
      <c r="BC3420" s="227"/>
      <c r="BD3420" s="227"/>
      <c r="BE3420" s="227"/>
      <c r="BF3420" s="227"/>
    </row>
    <row r="3421">
      <c r="A3421" s="235" t="s">
        <v>25714</v>
      </c>
      <c r="C3421" s="235" t="s">
        <v>25715</v>
      </c>
      <c r="D3421" s="235" t="s">
        <v>25716</v>
      </c>
      <c r="E3421" s="243">
        <v>6.52E13</v>
      </c>
      <c r="F3421" s="245"/>
      <c r="G3421" s="235" t="s">
        <v>25717</v>
      </c>
      <c r="H3421" s="235" t="s">
        <v>25718</v>
      </c>
      <c r="I3421" s="235" t="s">
        <v>25719</v>
      </c>
      <c r="J3421" s="235" t="s">
        <v>25720</v>
      </c>
      <c r="K3421" s="235" t="s">
        <v>25721</v>
      </c>
      <c r="N3421" s="235" t="s">
        <v>90</v>
      </c>
      <c r="O3421" s="235" t="s">
        <v>279</v>
      </c>
      <c r="P3421" s="238">
        <v>1.0</v>
      </c>
      <c r="Q3421" s="235" t="s">
        <v>627</v>
      </c>
      <c r="R3421" s="238">
        <v>242.86</v>
      </c>
      <c r="S3421" s="238">
        <v>11.9</v>
      </c>
      <c r="T3421" s="238">
        <v>0.0</v>
      </c>
      <c r="U3421" s="238">
        <v>0.0</v>
      </c>
      <c r="V3421" s="238">
        <v>0.0</v>
      </c>
      <c r="W3421" s="238">
        <v>0.0</v>
      </c>
      <c r="X3421" s="235" t="s">
        <v>628</v>
      </c>
      <c r="Z3421" s="245"/>
      <c r="AA3421" s="245"/>
      <c r="AB3421" s="245"/>
      <c r="AC3421" s="235" t="s">
        <v>678</v>
      </c>
      <c r="AD3421" s="235" t="s">
        <v>679</v>
      </c>
      <c r="AE3421" s="238">
        <v>560068.0</v>
      </c>
      <c r="AF3421" s="235" t="s">
        <v>631</v>
      </c>
      <c r="AG3421" s="245"/>
      <c r="AH3421" s="245"/>
      <c r="AI3421" s="245"/>
      <c r="AJ3421" s="245"/>
      <c r="AK3421" s="245"/>
      <c r="AL3421" s="245"/>
      <c r="AM3421" s="245"/>
      <c r="AN3421" s="245"/>
      <c r="AO3421" s="238">
        <v>-4.86</v>
      </c>
      <c r="AP3421" s="238">
        <v>0.0</v>
      </c>
      <c r="AQ3421" s="235" t="s">
        <v>632</v>
      </c>
      <c r="AR3421" s="243">
        <v>1.68E11</v>
      </c>
      <c r="AS3421" s="235" t="s">
        <v>25713</v>
      </c>
      <c r="AT3421" s="235" t="s">
        <v>11</v>
      </c>
      <c r="AU3421" s="235" t="s">
        <v>634</v>
      </c>
      <c r="AV3421" s="246" t="s">
        <v>635</v>
      </c>
      <c r="AW3421" s="227"/>
      <c r="AX3421" s="227"/>
      <c r="AY3421" s="227"/>
      <c r="AZ3421" s="227"/>
      <c r="BA3421" s="227"/>
      <c r="BB3421" s="227"/>
      <c r="BC3421" s="227"/>
      <c r="BD3421" s="227"/>
      <c r="BE3421" s="227"/>
      <c r="BF3421" s="227"/>
    </row>
    <row r="3422">
      <c r="A3422" s="235" t="s">
        <v>25722</v>
      </c>
      <c r="C3422" s="235" t="s">
        <v>25723</v>
      </c>
      <c r="D3422" s="235" t="s">
        <v>25724</v>
      </c>
      <c r="E3422" s="243">
        <v>6.52E13</v>
      </c>
      <c r="F3422" s="245"/>
      <c r="G3422" s="235" t="s">
        <v>25725</v>
      </c>
      <c r="H3422" s="235" t="s">
        <v>25726</v>
      </c>
      <c r="I3422" s="235" t="s">
        <v>25726</v>
      </c>
      <c r="J3422" s="235" t="s">
        <v>25727</v>
      </c>
      <c r="K3422" s="235" t="s">
        <v>25728</v>
      </c>
      <c r="N3422" s="235" t="s">
        <v>78</v>
      </c>
      <c r="O3422" s="235" t="s">
        <v>360</v>
      </c>
      <c r="P3422" s="238">
        <v>1.0</v>
      </c>
      <c r="Q3422" s="235" t="s">
        <v>627</v>
      </c>
      <c r="R3422" s="238">
        <v>341.9</v>
      </c>
      <c r="S3422" s="238">
        <v>16.59</v>
      </c>
      <c r="T3422" s="238">
        <v>0.0</v>
      </c>
      <c r="U3422" s="238">
        <v>0.0</v>
      </c>
      <c r="V3422" s="238">
        <v>0.0</v>
      </c>
      <c r="W3422" s="238">
        <v>0.0</v>
      </c>
      <c r="X3422" s="235" t="s">
        <v>628</v>
      </c>
      <c r="Z3422" s="245"/>
      <c r="AA3422" s="245"/>
      <c r="AB3422" s="245"/>
      <c r="AC3422" s="235" t="s">
        <v>832</v>
      </c>
      <c r="AD3422" s="235" t="s">
        <v>833</v>
      </c>
      <c r="AE3422" s="238">
        <v>530020.0</v>
      </c>
      <c r="AF3422" s="235" t="s">
        <v>631</v>
      </c>
      <c r="AG3422" s="245"/>
      <c r="AH3422" s="245"/>
      <c r="AI3422" s="245"/>
      <c r="AJ3422" s="245"/>
      <c r="AK3422" s="245"/>
      <c r="AL3422" s="245"/>
      <c r="AM3422" s="245"/>
      <c r="AN3422" s="245"/>
      <c r="AO3422" s="238">
        <v>-10.26</v>
      </c>
      <c r="AP3422" s="238">
        <v>0.0</v>
      </c>
      <c r="AQ3422" s="235" t="s">
        <v>632</v>
      </c>
      <c r="AR3422" s="243">
        <v>3.71E11</v>
      </c>
      <c r="AS3422" s="235" t="s">
        <v>20529</v>
      </c>
      <c r="AT3422" s="235" t="s">
        <v>156</v>
      </c>
      <c r="AU3422" s="235" t="s">
        <v>634</v>
      </c>
      <c r="AV3422" s="246" t="s">
        <v>635</v>
      </c>
      <c r="AW3422" s="227"/>
      <c r="AX3422" s="227"/>
      <c r="AY3422" s="227"/>
      <c r="AZ3422" s="227"/>
      <c r="BA3422" s="227"/>
      <c r="BB3422" s="227"/>
      <c r="BC3422" s="227"/>
      <c r="BD3422" s="227"/>
      <c r="BE3422" s="227"/>
      <c r="BF3422" s="227"/>
    </row>
    <row r="3423">
      <c r="A3423" s="235" t="s">
        <v>25729</v>
      </c>
      <c r="C3423" s="235" t="s">
        <v>25730</v>
      </c>
      <c r="D3423" s="235" t="s">
        <v>25731</v>
      </c>
      <c r="E3423" s="243">
        <v>6.52E13</v>
      </c>
      <c r="F3423" s="245"/>
      <c r="G3423" s="235" t="s">
        <v>25732</v>
      </c>
      <c r="H3423" s="235" t="s">
        <v>25733</v>
      </c>
      <c r="I3423" s="235" t="s">
        <v>25734</v>
      </c>
      <c r="J3423" s="235" t="s">
        <v>25735</v>
      </c>
      <c r="K3423" s="235" t="s">
        <v>25736</v>
      </c>
      <c r="N3423" s="235" t="s">
        <v>3</v>
      </c>
      <c r="O3423" s="235" t="s">
        <v>654</v>
      </c>
      <c r="P3423" s="238">
        <v>1.0</v>
      </c>
      <c r="Q3423" s="235" t="s">
        <v>627</v>
      </c>
      <c r="R3423" s="238">
        <v>247.62</v>
      </c>
      <c r="S3423" s="238">
        <v>12.38</v>
      </c>
      <c r="T3423" s="238">
        <v>0.0</v>
      </c>
      <c r="U3423" s="238">
        <v>0.0</v>
      </c>
      <c r="V3423" s="238">
        <v>0.0</v>
      </c>
      <c r="W3423" s="238">
        <v>0.0</v>
      </c>
      <c r="X3423" s="235" t="s">
        <v>628</v>
      </c>
      <c r="Z3423" s="245"/>
      <c r="AA3423" s="245"/>
      <c r="AB3423" s="245"/>
      <c r="AC3423" s="235" t="s">
        <v>25737</v>
      </c>
      <c r="AD3423" s="235" t="s">
        <v>709</v>
      </c>
      <c r="AE3423" s="238">
        <v>842001.0</v>
      </c>
      <c r="AF3423" s="235" t="s">
        <v>631</v>
      </c>
      <c r="AG3423" s="245"/>
      <c r="AH3423" s="245"/>
      <c r="AI3423" s="245"/>
      <c r="AJ3423" s="245"/>
      <c r="AK3423" s="245"/>
      <c r="AL3423" s="245"/>
      <c r="AM3423" s="245"/>
      <c r="AN3423" s="245"/>
      <c r="AO3423" s="238">
        <v>0.0</v>
      </c>
      <c r="AP3423" s="238">
        <v>0.0</v>
      </c>
      <c r="AQ3423" s="235" t="s">
        <v>632</v>
      </c>
      <c r="AR3423" s="243">
        <v>3.71E11</v>
      </c>
      <c r="AS3423" s="235" t="s">
        <v>20529</v>
      </c>
      <c r="AT3423" s="235" t="s">
        <v>533</v>
      </c>
      <c r="AU3423" s="235" t="s">
        <v>634</v>
      </c>
      <c r="AV3423" s="246" t="s">
        <v>635</v>
      </c>
      <c r="AW3423" s="227"/>
      <c r="AX3423" s="227"/>
      <c r="AY3423" s="227"/>
      <c r="AZ3423" s="227"/>
      <c r="BA3423" s="227"/>
      <c r="BB3423" s="227"/>
      <c r="BC3423" s="227"/>
      <c r="BD3423" s="227"/>
      <c r="BE3423" s="227"/>
      <c r="BF3423" s="227"/>
    </row>
    <row r="3424">
      <c r="A3424" s="235" t="s">
        <v>25738</v>
      </c>
      <c r="C3424" s="235" t="s">
        <v>25739</v>
      </c>
      <c r="D3424" s="235" t="s">
        <v>25740</v>
      </c>
      <c r="E3424" s="243">
        <v>6.51E13</v>
      </c>
      <c r="F3424" s="245"/>
      <c r="G3424" s="235" t="s">
        <v>25741</v>
      </c>
      <c r="H3424" s="235" t="s">
        <v>25742</v>
      </c>
      <c r="I3424" s="235" t="s">
        <v>25742</v>
      </c>
      <c r="J3424" s="235" t="s">
        <v>25743</v>
      </c>
      <c r="K3424" s="235" t="s">
        <v>25744</v>
      </c>
      <c r="N3424" s="235" t="s">
        <v>130</v>
      </c>
      <c r="O3424" s="235" t="s">
        <v>707</v>
      </c>
      <c r="P3424" s="238">
        <v>1.0</v>
      </c>
      <c r="Q3424" s="235" t="s">
        <v>627</v>
      </c>
      <c r="R3424" s="238">
        <v>270.48</v>
      </c>
      <c r="S3424" s="238">
        <v>13.52</v>
      </c>
      <c r="T3424" s="238">
        <v>38.1</v>
      </c>
      <c r="U3424" s="238">
        <v>1.9</v>
      </c>
      <c r="V3424" s="238">
        <v>0.0</v>
      </c>
      <c r="W3424" s="238">
        <v>0.0</v>
      </c>
      <c r="X3424" s="235" t="s">
        <v>628</v>
      </c>
      <c r="Z3424" s="245"/>
      <c r="AA3424" s="245"/>
      <c r="AB3424" s="245"/>
      <c r="AC3424" s="235" t="s">
        <v>25745</v>
      </c>
      <c r="AD3424" s="235" t="s">
        <v>630</v>
      </c>
      <c r="AE3424" s="238">
        <v>283135.0</v>
      </c>
      <c r="AF3424" s="235" t="s">
        <v>631</v>
      </c>
      <c r="AG3424" s="245"/>
      <c r="AH3424" s="245"/>
      <c r="AI3424" s="245"/>
      <c r="AJ3424" s="245"/>
      <c r="AK3424" s="245"/>
      <c r="AL3424" s="245"/>
      <c r="AM3424" s="245"/>
      <c r="AN3424" s="245"/>
      <c r="AO3424" s="238">
        <v>0.0</v>
      </c>
      <c r="AP3424" s="238">
        <v>-38.1</v>
      </c>
      <c r="AQ3424" s="235" t="s">
        <v>632</v>
      </c>
      <c r="AR3424" s="243">
        <v>3.71E11</v>
      </c>
      <c r="AS3424" s="235" t="s">
        <v>23542</v>
      </c>
      <c r="AT3424" s="235" t="s">
        <v>14</v>
      </c>
      <c r="AU3424" s="235" t="s">
        <v>634</v>
      </c>
      <c r="AV3424" s="246" t="s">
        <v>635</v>
      </c>
      <c r="AW3424" s="227"/>
      <c r="AX3424" s="227"/>
      <c r="AY3424" s="227"/>
      <c r="AZ3424" s="227"/>
      <c r="BA3424" s="227"/>
      <c r="BB3424" s="227"/>
      <c r="BC3424" s="227"/>
      <c r="BD3424" s="227"/>
      <c r="BE3424" s="227"/>
      <c r="BF3424" s="227"/>
    </row>
    <row r="3425">
      <c r="A3425" s="235" t="s">
        <v>25746</v>
      </c>
      <c r="C3425" s="235" t="s">
        <v>25747</v>
      </c>
      <c r="D3425" s="235" t="s">
        <v>25748</v>
      </c>
      <c r="E3425" s="243">
        <v>6.52E13</v>
      </c>
      <c r="F3425" s="245"/>
      <c r="G3425" s="235" t="s">
        <v>25749</v>
      </c>
      <c r="H3425" s="235" t="s">
        <v>25750</v>
      </c>
      <c r="I3425" s="235" t="s">
        <v>25750</v>
      </c>
      <c r="J3425" s="235" t="s">
        <v>25751</v>
      </c>
      <c r="K3425" s="235" t="s">
        <v>25752</v>
      </c>
      <c r="N3425" s="235" t="s">
        <v>2163</v>
      </c>
      <c r="O3425" s="235" t="s">
        <v>2164</v>
      </c>
      <c r="P3425" s="238">
        <v>1.0</v>
      </c>
      <c r="Q3425" s="235" t="s">
        <v>627</v>
      </c>
      <c r="R3425" s="238">
        <v>246.66</v>
      </c>
      <c r="S3425" s="238">
        <v>12.1</v>
      </c>
      <c r="T3425" s="238">
        <v>0.0</v>
      </c>
      <c r="U3425" s="238">
        <v>0.0</v>
      </c>
      <c r="V3425" s="238">
        <v>0.0</v>
      </c>
      <c r="W3425" s="238">
        <v>0.0</v>
      </c>
      <c r="X3425" s="235" t="s">
        <v>628</v>
      </c>
      <c r="Z3425" s="245"/>
      <c r="AA3425" s="245"/>
      <c r="AB3425" s="245"/>
      <c r="AC3425" s="235" t="s">
        <v>1887</v>
      </c>
      <c r="AD3425" s="235" t="s">
        <v>679</v>
      </c>
      <c r="AE3425" s="238">
        <v>560077.0</v>
      </c>
      <c r="AF3425" s="235" t="s">
        <v>631</v>
      </c>
      <c r="AG3425" s="245"/>
      <c r="AH3425" s="245"/>
      <c r="AI3425" s="245"/>
      <c r="AJ3425" s="245"/>
      <c r="AK3425" s="245"/>
      <c r="AL3425" s="245"/>
      <c r="AM3425" s="245"/>
      <c r="AN3425" s="245"/>
      <c r="AO3425" s="238">
        <v>-4.94</v>
      </c>
      <c r="AP3425" s="238">
        <v>0.0</v>
      </c>
      <c r="AQ3425" s="235" t="s">
        <v>632</v>
      </c>
      <c r="AR3425" s="243">
        <v>3.71E11</v>
      </c>
      <c r="AS3425" s="235" t="s">
        <v>25098</v>
      </c>
      <c r="AT3425" s="235" t="s">
        <v>11</v>
      </c>
      <c r="AU3425" s="235" t="s">
        <v>634</v>
      </c>
      <c r="AV3425" s="246" t="s">
        <v>635</v>
      </c>
      <c r="AW3425" s="227"/>
      <c r="AX3425" s="227"/>
      <c r="AY3425" s="227"/>
      <c r="AZ3425" s="227"/>
      <c r="BA3425" s="227"/>
      <c r="BB3425" s="227"/>
      <c r="BC3425" s="227"/>
      <c r="BD3425" s="227"/>
      <c r="BE3425" s="227"/>
      <c r="BF3425" s="227"/>
    </row>
    <row r="3426">
      <c r="A3426" s="235" t="s">
        <v>25753</v>
      </c>
      <c r="C3426" s="235" t="s">
        <v>25754</v>
      </c>
      <c r="D3426" s="235" t="s">
        <v>25755</v>
      </c>
      <c r="E3426" s="243">
        <v>6.52E13</v>
      </c>
      <c r="F3426" s="245"/>
      <c r="G3426" s="235" t="s">
        <v>25756</v>
      </c>
      <c r="H3426" s="235" t="s">
        <v>25757</v>
      </c>
      <c r="I3426" s="235" t="s">
        <v>25757</v>
      </c>
      <c r="J3426" s="235" t="s">
        <v>25758</v>
      </c>
      <c r="K3426" s="235" t="s">
        <v>25759</v>
      </c>
      <c r="N3426" s="235" t="s">
        <v>127</v>
      </c>
      <c r="O3426" s="235" t="s">
        <v>794</v>
      </c>
      <c r="P3426" s="238">
        <v>1.0</v>
      </c>
      <c r="Q3426" s="235" t="s">
        <v>627</v>
      </c>
      <c r="R3426" s="238">
        <v>243.81</v>
      </c>
      <c r="S3426" s="238">
        <v>12.19</v>
      </c>
      <c r="T3426" s="238">
        <v>0.0</v>
      </c>
      <c r="U3426" s="238">
        <v>0.0</v>
      </c>
      <c r="V3426" s="238">
        <v>0.0</v>
      </c>
      <c r="W3426" s="238">
        <v>0.0</v>
      </c>
      <c r="X3426" s="235" t="s">
        <v>628</v>
      </c>
      <c r="Z3426" s="245"/>
      <c r="AA3426" s="245"/>
      <c r="AB3426" s="245"/>
      <c r="AC3426" s="235" t="s">
        <v>25760</v>
      </c>
      <c r="AD3426" s="235" t="s">
        <v>645</v>
      </c>
      <c r="AE3426" s="238">
        <v>682502.0</v>
      </c>
      <c r="AF3426" s="235" t="s">
        <v>631</v>
      </c>
      <c r="AG3426" s="245"/>
      <c r="AH3426" s="245"/>
      <c r="AI3426" s="245"/>
      <c r="AJ3426" s="245"/>
      <c r="AK3426" s="245"/>
      <c r="AL3426" s="245"/>
      <c r="AM3426" s="245"/>
      <c r="AN3426" s="245"/>
      <c r="AO3426" s="238">
        <v>0.0</v>
      </c>
      <c r="AP3426" s="238">
        <v>0.0</v>
      </c>
      <c r="AQ3426" s="235" t="s">
        <v>632</v>
      </c>
      <c r="AR3426" s="243">
        <v>1.68E11</v>
      </c>
      <c r="AS3426" s="235" t="s">
        <v>25098</v>
      </c>
      <c r="AT3426" s="235" t="s">
        <v>155</v>
      </c>
      <c r="AU3426" s="235" t="s">
        <v>634</v>
      </c>
      <c r="AV3426" s="246" t="s">
        <v>635</v>
      </c>
      <c r="AW3426" s="227"/>
      <c r="AX3426" s="227"/>
      <c r="AY3426" s="227"/>
      <c r="AZ3426" s="227"/>
      <c r="BA3426" s="227"/>
      <c r="BB3426" s="227"/>
      <c r="BC3426" s="227"/>
      <c r="BD3426" s="227"/>
      <c r="BE3426" s="227"/>
      <c r="BF3426" s="227"/>
    </row>
    <row r="3427">
      <c r="A3427" s="235" t="s">
        <v>25761</v>
      </c>
      <c r="C3427" s="235" t="s">
        <v>25762</v>
      </c>
      <c r="D3427" s="235" t="s">
        <v>25763</v>
      </c>
      <c r="E3427" s="243">
        <v>6.51E13</v>
      </c>
      <c r="F3427" s="245"/>
      <c r="G3427" s="235" t="s">
        <v>25764</v>
      </c>
      <c r="H3427" s="235" t="s">
        <v>25765</v>
      </c>
      <c r="I3427" s="235" t="s">
        <v>25765</v>
      </c>
      <c r="J3427" s="235" t="s">
        <v>25766</v>
      </c>
      <c r="K3427" s="235" t="s">
        <v>25767</v>
      </c>
      <c r="N3427" s="235" t="s">
        <v>85</v>
      </c>
      <c r="O3427" s="235" t="s">
        <v>872</v>
      </c>
      <c r="P3427" s="238">
        <v>1.0</v>
      </c>
      <c r="Q3427" s="235" t="s">
        <v>627</v>
      </c>
      <c r="R3427" s="238">
        <v>232.38</v>
      </c>
      <c r="S3427" s="238">
        <v>11.62</v>
      </c>
      <c r="T3427" s="238">
        <v>38.1</v>
      </c>
      <c r="U3427" s="238">
        <v>1.9</v>
      </c>
      <c r="V3427" s="238">
        <v>0.0</v>
      </c>
      <c r="W3427" s="238">
        <v>0.0</v>
      </c>
      <c r="X3427" s="235" t="s">
        <v>628</v>
      </c>
      <c r="Z3427" s="245"/>
      <c r="AA3427" s="245"/>
      <c r="AB3427" s="245"/>
      <c r="AC3427" s="235" t="s">
        <v>795</v>
      </c>
      <c r="AD3427" s="235" t="s">
        <v>796</v>
      </c>
      <c r="AE3427" s="238">
        <v>110039.0</v>
      </c>
      <c r="AF3427" s="235" t="s">
        <v>631</v>
      </c>
      <c r="AG3427" s="245"/>
      <c r="AH3427" s="245"/>
      <c r="AI3427" s="245"/>
      <c r="AJ3427" s="245"/>
      <c r="AK3427" s="245"/>
      <c r="AL3427" s="245"/>
      <c r="AM3427" s="245"/>
      <c r="AN3427" s="245"/>
      <c r="AO3427" s="238">
        <v>0.0</v>
      </c>
      <c r="AP3427" s="238">
        <v>-38.1</v>
      </c>
      <c r="AQ3427" s="235" t="s">
        <v>632</v>
      </c>
      <c r="AR3427" s="243">
        <v>3.71E11</v>
      </c>
      <c r="AS3427" s="235" t="s">
        <v>25098</v>
      </c>
      <c r="AT3427" s="235" t="s">
        <v>14</v>
      </c>
      <c r="AU3427" s="235" t="s">
        <v>634</v>
      </c>
      <c r="AV3427" s="246" t="s">
        <v>635</v>
      </c>
      <c r="AW3427" s="227"/>
      <c r="AX3427" s="227"/>
      <c r="AY3427" s="227"/>
      <c r="AZ3427" s="227"/>
      <c r="BA3427" s="227"/>
      <c r="BB3427" s="227"/>
      <c r="BC3427" s="227"/>
      <c r="BD3427" s="227"/>
      <c r="BE3427" s="227"/>
      <c r="BF3427" s="227"/>
    </row>
    <row r="3428">
      <c r="A3428" s="235" t="s">
        <v>25768</v>
      </c>
      <c r="C3428" s="235" t="s">
        <v>25769</v>
      </c>
      <c r="D3428" s="235" t="s">
        <v>25770</v>
      </c>
      <c r="E3428" s="243">
        <v>6.52E13</v>
      </c>
      <c r="F3428" s="245"/>
      <c r="G3428" s="235" t="s">
        <v>25771</v>
      </c>
      <c r="H3428" s="235" t="s">
        <v>25772</v>
      </c>
      <c r="I3428" s="235" t="s">
        <v>25772</v>
      </c>
      <c r="J3428" s="235" t="s">
        <v>25773</v>
      </c>
      <c r="K3428" s="235" t="s">
        <v>25774</v>
      </c>
      <c r="N3428" s="235" t="s">
        <v>61</v>
      </c>
      <c r="O3428" s="235" t="s">
        <v>382</v>
      </c>
      <c r="P3428" s="238">
        <v>1.0</v>
      </c>
      <c r="Q3428" s="235" t="s">
        <v>627</v>
      </c>
      <c r="R3428" s="238">
        <v>360.96</v>
      </c>
      <c r="S3428" s="238">
        <v>18.04</v>
      </c>
      <c r="T3428" s="238">
        <v>0.0</v>
      </c>
      <c r="U3428" s="238">
        <v>0.0</v>
      </c>
      <c r="V3428" s="238">
        <v>0.0</v>
      </c>
      <c r="W3428" s="238">
        <v>0.0</v>
      </c>
      <c r="X3428" s="235" t="s">
        <v>628</v>
      </c>
      <c r="Z3428" s="245"/>
      <c r="AA3428" s="245"/>
      <c r="AB3428" s="245"/>
      <c r="AC3428" s="235" t="s">
        <v>678</v>
      </c>
      <c r="AD3428" s="235" t="s">
        <v>679</v>
      </c>
      <c r="AE3428" s="238">
        <v>560038.0</v>
      </c>
      <c r="AF3428" s="235" t="s">
        <v>631</v>
      </c>
      <c r="AG3428" s="245"/>
      <c r="AH3428" s="245"/>
      <c r="AI3428" s="245"/>
      <c r="AJ3428" s="245"/>
      <c r="AK3428" s="245"/>
      <c r="AL3428" s="245"/>
      <c r="AM3428" s="245"/>
      <c r="AN3428" s="245"/>
      <c r="AO3428" s="238">
        <v>0.0</v>
      </c>
      <c r="AP3428" s="238">
        <v>0.0</v>
      </c>
      <c r="AQ3428" s="235" t="s">
        <v>632</v>
      </c>
      <c r="AR3428" s="243">
        <v>1.68E11</v>
      </c>
      <c r="AS3428" s="235" t="s">
        <v>25713</v>
      </c>
      <c r="AT3428" s="235" t="s">
        <v>11</v>
      </c>
      <c r="AU3428" s="235" t="s">
        <v>634</v>
      </c>
      <c r="AV3428" s="246" t="s">
        <v>635</v>
      </c>
      <c r="AW3428" s="227"/>
      <c r="AX3428" s="227"/>
      <c r="AY3428" s="227"/>
      <c r="AZ3428" s="227"/>
      <c r="BA3428" s="227"/>
      <c r="BB3428" s="227"/>
      <c r="BC3428" s="227"/>
      <c r="BD3428" s="227"/>
      <c r="BE3428" s="227"/>
      <c r="BF3428" s="227"/>
    </row>
    <row r="3429">
      <c r="A3429" s="235" t="s">
        <v>25775</v>
      </c>
      <c r="C3429" s="235" t="s">
        <v>25776</v>
      </c>
      <c r="D3429" s="235" t="s">
        <v>25777</v>
      </c>
      <c r="E3429" s="243">
        <v>6.51E13</v>
      </c>
      <c r="F3429" s="245"/>
      <c r="G3429" s="235" t="s">
        <v>25778</v>
      </c>
      <c r="H3429" s="235" t="s">
        <v>25779</v>
      </c>
      <c r="I3429" s="235" t="s">
        <v>25780</v>
      </c>
      <c r="J3429" s="235" t="s">
        <v>25781</v>
      </c>
      <c r="K3429" s="235" t="s">
        <v>25782</v>
      </c>
      <c r="N3429" s="235" t="s">
        <v>989</v>
      </c>
      <c r="O3429" s="235" t="s">
        <v>990</v>
      </c>
      <c r="P3429" s="238">
        <v>1.0</v>
      </c>
      <c r="Q3429" s="235" t="s">
        <v>627</v>
      </c>
      <c r="R3429" s="238">
        <v>256.19</v>
      </c>
      <c r="S3429" s="238">
        <v>12.81</v>
      </c>
      <c r="T3429" s="238">
        <v>38.1</v>
      </c>
      <c r="U3429" s="238">
        <v>1.9</v>
      </c>
      <c r="V3429" s="238">
        <v>0.0</v>
      </c>
      <c r="W3429" s="238">
        <v>0.0</v>
      </c>
      <c r="X3429" s="235" t="s">
        <v>628</v>
      </c>
      <c r="Z3429" s="245"/>
      <c r="AA3429" s="245"/>
      <c r="AB3429" s="245"/>
      <c r="AC3429" s="235" t="s">
        <v>7611</v>
      </c>
      <c r="AD3429" s="235" t="s">
        <v>630</v>
      </c>
      <c r="AE3429" s="238">
        <v>250001.0</v>
      </c>
      <c r="AF3429" s="235" t="s">
        <v>631</v>
      </c>
      <c r="AG3429" s="245"/>
      <c r="AH3429" s="245"/>
      <c r="AI3429" s="245"/>
      <c r="AJ3429" s="245"/>
      <c r="AK3429" s="245"/>
      <c r="AL3429" s="245"/>
      <c r="AM3429" s="245"/>
      <c r="AN3429" s="245"/>
      <c r="AO3429" s="238">
        <v>0.0</v>
      </c>
      <c r="AP3429" s="238">
        <v>-38.1</v>
      </c>
      <c r="AQ3429" s="235" t="s">
        <v>632</v>
      </c>
      <c r="AR3429" s="243">
        <v>3.71E11</v>
      </c>
      <c r="AS3429" s="235" t="s">
        <v>25098</v>
      </c>
      <c r="AT3429" s="235" t="s">
        <v>14</v>
      </c>
      <c r="AU3429" s="235" t="s">
        <v>634</v>
      </c>
      <c r="AV3429" s="246" t="s">
        <v>635</v>
      </c>
      <c r="AW3429" s="227"/>
      <c r="AX3429" s="227"/>
      <c r="AY3429" s="227"/>
      <c r="AZ3429" s="227"/>
      <c r="BA3429" s="227"/>
      <c r="BB3429" s="227"/>
      <c r="BC3429" s="227"/>
      <c r="BD3429" s="227"/>
      <c r="BE3429" s="227"/>
      <c r="BF3429" s="227"/>
    </row>
    <row r="3430">
      <c r="A3430" s="235" t="s">
        <v>25783</v>
      </c>
      <c r="C3430" s="235" t="s">
        <v>25784</v>
      </c>
      <c r="D3430" s="235" t="s">
        <v>25785</v>
      </c>
      <c r="E3430" s="243">
        <v>6.52E13</v>
      </c>
      <c r="F3430" s="245"/>
      <c r="G3430" s="235" t="s">
        <v>25786</v>
      </c>
      <c r="H3430" s="235" t="s">
        <v>25787</v>
      </c>
      <c r="I3430" s="235" t="s">
        <v>25787</v>
      </c>
      <c r="J3430" s="235" t="s">
        <v>25788</v>
      </c>
      <c r="K3430" s="235" t="s">
        <v>25789</v>
      </c>
      <c r="N3430" s="235" t="s">
        <v>42</v>
      </c>
      <c r="O3430" s="235" t="s">
        <v>204</v>
      </c>
      <c r="P3430" s="238">
        <v>1.0</v>
      </c>
      <c r="Q3430" s="235" t="s">
        <v>627</v>
      </c>
      <c r="R3430" s="238">
        <v>236.19</v>
      </c>
      <c r="S3430" s="238">
        <v>11.46</v>
      </c>
      <c r="T3430" s="238">
        <v>0.0</v>
      </c>
      <c r="U3430" s="238">
        <v>0.0</v>
      </c>
      <c r="V3430" s="238">
        <v>0.0</v>
      </c>
      <c r="W3430" s="238">
        <v>0.0</v>
      </c>
      <c r="X3430" s="235" t="s">
        <v>628</v>
      </c>
      <c r="Z3430" s="245"/>
      <c r="AA3430" s="245"/>
      <c r="AB3430" s="245"/>
      <c r="AC3430" s="235" t="s">
        <v>25790</v>
      </c>
      <c r="AD3430" s="235" t="s">
        <v>698</v>
      </c>
      <c r="AE3430" s="238">
        <v>507303.0</v>
      </c>
      <c r="AF3430" s="235" t="s">
        <v>631</v>
      </c>
      <c r="AG3430" s="245"/>
      <c r="AH3430" s="245"/>
      <c r="AI3430" s="245"/>
      <c r="AJ3430" s="245"/>
      <c r="AK3430" s="245"/>
      <c r="AL3430" s="245"/>
      <c r="AM3430" s="245"/>
      <c r="AN3430" s="245"/>
      <c r="AO3430" s="238">
        <v>-7.09</v>
      </c>
      <c r="AP3430" s="238">
        <v>0.0</v>
      </c>
      <c r="AQ3430" s="235" t="s">
        <v>632</v>
      </c>
      <c r="AR3430" s="243">
        <v>3.71E11</v>
      </c>
      <c r="AS3430" s="235" t="s">
        <v>22269</v>
      </c>
      <c r="AT3430" s="235" t="s">
        <v>156</v>
      </c>
      <c r="AU3430" s="235" t="s">
        <v>634</v>
      </c>
      <c r="AV3430" s="246" t="s">
        <v>635</v>
      </c>
      <c r="AW3430" s="227"/>
      <c r="AX3430" s="227"/>
      <c r="AY3430" s="227"/>
      <c r="AZ3430" s="227"/>
      <c r="BA3430" s="227"/>
      <c r="BB3430" s="227"/>
      <c r="BC3430" s="227"/>
      <c r="BD3430" s="227"/>
      <c r="BE3430" s="227"/>
      <c r="BF3430" s="227"/>
    </row>
    <row r="3431">
      <c r="A3431" s="235" t="s">
        <v>25791</v>
      </c>
      <c r="C3431" s="235" t="s">
        <v>25792</v>
      </c>
      <c r="D3431" s="235" t="s">
        <v>25793</v>
      </c>
      <c r="E3431" s="243">
        <v>6.52E13</v>
      </c>
      <c r="F3431" s="245"/>
      <c r="G3431" s="235" t="s">
        <v>25794</v>
      </c>
      <c r="H3431" s="235" t="s">
        <v>25795</v>
      </c>
      <c r="I3431" s="235" t="s">
        <v>25795</v>
      </c>
      <c r="J3431" s="235" t="s">
        <v>25796</v>
      </c>
      <c r="K3431" s="235" t="s">
        <v>25797</v>
      </c>
      <c r="N3431" s="235" t="s">
        <v>3</v>
      </c>
      <c r="O3431" s="235" t="s">
        <v>654</v>
      </c>
      <c r="P3431" s="238">
        <v>1.0</v>
      </c>
      <c r="Q3431" s="235" t="s">
        <v>627</v>
      </c>
      <c r="R3431" s="238">
        <v>247.62</v>
      </c>
      <c r="S3431" s="238">
        <v>12.38</v>
      </c>
      <c r="T3431" s="238">
        <v>38.1</v>
      </c>
      <c r="U3431" s="238">
        <v>1.9</v>
      </c>
      <c r="V3431" s="238">
        <v>0.0</v>
      </c>
      <c r="W3431" s="238">
        <v>0.0</v>
      </c>
      <c r="X3431" s="235" t="s">
        <v>628</v>
      </c>
      <c r="Z3431" s="245"/>
      <c r="AA3431" s="245"/>
      <c r="AB3431" s="245"/>
      <c r="AC3431" s="235" t="s">
        <v>1887</v>
      </c>
      <c r="AD3431" s="235" t="s">
        <v>679</v>
      </c>
      <c r="AE3431" s="238">
        <v>560091.0</v>
      </c>
      <c r="AF3431" s="235" t="s">
        <v>631</v>
      </c>
      <c r="AG3431" s="245"/>
      <c r="AH3431" s="245"/>
      <c r="AI3431" s="245"/>
      <c r="AJ3431" s="245"/>
      <c r="AK3431" s="245"/>
      <c r="AL3431" s="245"/>
      <c r="AM3431" s="245"/>
      <c r="AN3431" s="245"/>
      <c r="AO3431" s="238">
        <v>0.0</v>
      </c>
      <c r="AP3431" s="238">
        <v>-38.1</v>
      </c>
      <c r="AQ3431" s="235" t="s">
        <v>632</v>
      </c>
      <c r="AR3431" s="243">
        <v>3.71E11</v>
      </c>
      <c r="AS3431" s="235" t="s">
        <v>25098</v>
      </c>
      <c r="AT3431" s="235" t="s">
        <v>9</v>
      </c>
      <c r="AU3431" s="235" t="s">
        <v>634</v>
      </c>
      <c r="AV3431" s="246" t="s">
        <v>635</v>
      </c>
      <c r="AW3431" s="227"/>
      <c r="AX3431" s="227"/>
      <c r="AY3431" s="227"/>
      <c r="AZ3431" s="227"/>
      <c r="BA3431" s="227"/>
      <c r="BB3431" s="227"/>
      <c r="BC3431" s="227"/>
      <c r="BD3431" s="227"/>
      <c r="BE3431" s="227"/>
      <c r="BF3431" s="227"/>
    </row>
    <row r="3432">
      <c r="A3432" s="235" t="s">
        <v>25798</v>
      </c>
      <c r="C3432" s="235" t="s">
        <v>25799</v>
      </c>
      <c r="D3432" s="235" t="s">
        <v>25800</v>
      </c>
      <c r="E3432" s="243">
        <v>6.52E13</v>
      </c>
      <c r="F3432" s="245"/>
      <c r="G3432" s="235" t="s">
        <v>25801</v>
      </c>
      <c r="H3432" s="235" t="s">
        <v>25802</v>
      </c>
      <c r="I3432" s="235" t="s">
        <v>25802</v>
      </c>
      <c r="J3432" s="235" t="s">
        <v>25803</v>
      </c>
      <c r="K3432" s="235" t="s">
        <v>25804</v>
      </c>
      <c r="N3432" s="235" t="s">
        <v>134</v>
      </c>
      <c r="O3432" s="235" t="s">
        <v>314</v>
      </c>
      <c r="P3432" s="238">
        <v>1.0</v>
      </c>
      <c r="Q3432" s="235" t="s">
        <v>627</v>
      </c>
      <c r="R3432" s="238">
        <v>246.66</v>
      </c>
      <c r="S3432" s="238">
        <v>12.34</v>
      </c>
      <c r="T3432" s="238">
        <v>0.0</v>
      </c>
      <c r="U3432" s="238">
        <v>0.0</v>
      </c>
      <c r="V3432" s="238">
        <v>0.0</v>
      </c>
      <c r="W3432" s="238">
        <v>0.0</v>
      </c>
      <c r="X3432" s="235" t="s">
        <v>628</v>
      </c>
      <c r="Z3432" s="245"/>
      <c r="AA3432" s="245"/>
      <c r="AB3432" s="245"/>
      <c r="AC3432" s="235" t="s">
        <v>1671</v>
      </c>
      <c r="AD3432" s="235" t="s">
        <v>666</v>
      </c>
      <c r="AE3432" s="238">
        <v>641035.0</v>
      </c>
      <c r="AF3432" s="235" t="s">
        <v>631</v>
      </c>
      <c r="AG3432" s="245"/>
      <c r="AH3432" s="245"/>
      <c r="AI3432" s="245"/>
      <c r="AJ3432" s="245"/>
      <c r="AK3432" s="245"/>
      <c r="AL3432" s="245"/>
      <c r="AM3432" s="245"/>
      <c r="AN3432" s="245"/>
      <c r="AO3432" s="238">
        <v>0.0</v>
      </c>
      <c r="AP3432" s="238">
        <v>0.0</v>
      </c>
      <c r="AQ3432" s="235" t="s">
        <v>632</v>
      </c>
      <c r="AR3432" s="243">
        <v>3.71E11</v>
      </c>
      <c r="AS3432" s="235" t="s">
        <v>25098</v>
      </c>
      <c r="AT3432" s="235" t="s">
        <v>155</v>
      </c>
      <c r="AU3432" s="235" t="s">
        <v>634</v>
      </c>
      <c r="AV3432" s="246" t="s">
        <v>635</v>
      </c>
      <c r="AW3432" s="227"/>
      <c r="AX3432" s="227"/>
      <c r="AY3432" s="227"/>
      <c r="AZ3432" s="227"/>
      <c r="BA3432" s="227"/>
      <c r="BB3432" s="227"/>
      <c r="BC3432" s="227"/>
      <c r="BD3432" s="227"/>
      <c r="BE3432" s="227"/>
      <c r="BF3432" s="227"/>
    </row>
    <row r="3433">
      <c r="A3433" s="235" t="s">
        <v>25805</v>
      </c>
      <c r="C3433" s="235" t="s">
        <v>25806</v>
      </c>
      <c r="D3433" s="235" t="s">
        <v>25807</v>
      </c>
      <c r="E3433" s="243">
        <v>6.52E13</v>
      </c>
      <c r="F3433" s="245"/>
      <c r="G3433" s="235" t="s">
        <v>25808</v>
      </c>
      <c r="H3433" s="235" t="s">
        <v>25809</v>
      </c>
      <c r="I3433" s="235" t="s">
        <v>25809</v>
      </c>
      <c r="J3433" s="235" t="s">
        <v>25810</v>
      </c>
      <c r="K3433" s="235" t="s">
        <v>25811</v>
      </c>
      <c r="N3433" s="235" t="s">
        <v>42</v>
      </c>
      <c r="O3433" s="235" t="s">
        <v>204</v>
      </c>
      <c r="P3433" s="238">
        <v>1.0</v>
      </c>
      <c r="Q3433" s="235" t="s">
        <v>627</v>
      </c>
      <c r="R3433" s="238">
        <v>237.14</v>
      </c>
      <c r="S3433" s="238">
        <v>11.86</v>
      </c>
      <c r="T3433" s="238">
        <v>0.0</v>
      </c>
      <c r="U3433" s="238">
        <v>0.0</v>
      </c>
      <c r="V3433" s="238">
        <v>0.0</v>
      </c>
      <c r="W3433" s="238">
        <v>0.0</v>
      </c>
      <c r="X3433" s="235" t="s">
        <v>628</v>
      </c>
      <c r="Z3433" s="245"/>
      <c r="AA3433" s="245"/>
      <c r="AB3433" s="245"/>
      <c r="AC3433" s="235" t="s">
        <v>687</v>
      </c>
      <c r="AD3433" s="235" t="s">
        <v>666</v>
      </c>
      <c r="AE3433" s="238">
        <v>600118.0</v>
      </c>
      <c r="AF3433" s="235" t="s">
        <v>631</v>
      </c>
      <c r="AG3433" s="245"/>
      <c r="AH3433" s="245"/>
      <c r="AI3433" s="245"/>
      <c r="AJ3433" s="245"/>
      <c r="AK3433" s="245"/>
      <c r="AL3433" s="245"/>
      <c r="AM3433" s="245"/>
      <c r="AN3433" s="245"/>
      <c r="AO3433" s="238">
        <v>0.0</v>
      </c>
      <c r="AP3433" s="238">
        <v>0.0</v>
      </c>
      <c r="AQ3433" s="235" t="s">
        <v>632</v>
      </c>
      <c r="AR3433" s="243">
        <v>1.68E11</v>
      </c>
      <c r="AS3433" s="235" t="s">
        <v>25713</v>
      </c>
      <c r="AT3433" s="235" t="s">
        <v>156</v>
      </c>
      <c r="AU3433" s="235" t="s">
        <v>634</v>
      </c>
      <c r="AV3433" s="246" t="s">
        <v>635</v>
      </c>
      <c r="AW3433" s="227"/>
      <c r="AX3433" s="227"/>
      <c r="AY3433" s="227"/>
      <c r="AZ3433" s="227"/>
      <c r="BA3433" s="227"/>
      <c r="BB3433" s="227"/>
      <c r="BC3433" s="227"/>
      <c r="BD3433" s="227"/>
      <c r="BE3433" s="227"/>
      <c r="BF3433" s="227"/>
    </row>
    <row r="3434">
      <c r="A3434" s="235" t="s">
        <v>25812</v>
      </c>
      <c r="C3434" s="235" t="s">
        <v>25813</v>
      </c>
      <c r="D3434" s="235" t="s">
        <v>25814</v>
      </c>
      <c r="E3434" s="243">
        <v>6.52E13</v>
      </c>
      <c r="F3434" s="245"/>
      <c r="G3434" s="235" t="s">
        <v>25815</v>
      </c>
      <c r="H3434" s="235" t="s">
        <v>25816</v>
      </c>
      <c r="I3434" s="235" t="s">
        <v>25816</v>
      </c>
      <c r="J3434" s="235" t="s">
        <v>25817</v>
      </c>
      <c r="K3434" s="235" t="s">
        <v>19603</v>
      </c>
      <c r="N3434" s="235" t="s">
        <v>127</v>
      </c>
      <c r="O3434" s="235" t="s">
        <v>794</v>
      </c>
      <c r="P3434" s="238">
        <v>1.0</v>
      </c>
      <c r="Q3434" s="235" t="s">
        <v>627</v>
      </c>
      <c r="R3434" s="238">
        <v>243.8</v>
      </c>
      <c r="S3434" s="238">
        <v>12.2</v>
      </c>
      <c r="T3434" s="238">
        <v>0.0</v>
      </c>
      <c r="U3434" s="238">
        <v>0.0</v>
      </c>
      <c r="V3434" s="238">
        <v>0.0</v>
      </c>
      <c r="W3434" s="238">
        <v>0.0</v>
      </c>
      <c r="X3434" s="235" t="s">
        <v>628</v>
      </c>
      <c r="Z3434" s="245"/>
      <c r="AA3434" s="245"/>
      <c r="AB3434" s="245"/>
      <c r="AC3434" s="235" t="s">
        <v>1887</v>
      </c>
      <c r="AD3434" s="235" t="s">
        <v>679</v>
      </c>
      <c r="AE3434" s="238">
        <v>560091.0</v>
      </c>
      <c r="AF3434" s="235" t="s">
        <v>631</v>
      </c>
      <c r="AG3434" s="245"/>
      <c r="AH3434" s="245"/>
      <c r="AI3434" s="245"/>
      <c r="AJ3434" s="245"/>
      <c r="AK3434" s="245"/>
      <c r="AL3434" s="245"/>
      <c r="AM3434" s="245"/>
      <c r="AN3434" s="245"/>
      <c r="AO3434" s="238">
        <v>0.0</v>
      </c>
      <c r="AP3434" s="238">
        <v>0.0</v>
      </c>
      <c r="AQ3434" s="235" t="s">
        <v>632</v>
      </c>
      <c r="AR3434" s="243">
        <v>1.68E11</v>
      </c>
      <c r="AS3434" s="235" t="s">
        <v>25713</v>
      </c>
      <c r="AT3434" s="235" t="s">
        <v>9</v>
      </c>
      <c r="AU3434" s="235" t="s">
        <v>634</v>
      </c>
      <c r="AV3434" s="246" t="s">
        <v>635</v>
      </c>
      <c r="AW3434" s="227"/>
      <c r="AX3434" s="227"/>
      <c r="AY3434" s="227"/>
      <c r="AZ3434" s="227"/>
      <c r="BA3434" s="227"/>
      <c r="BB3434" s="227"/>
      <c r="BC3434" s="227"/>
      <c r="BD3434" s="227"/>
      <c r="BE3434" s="227"/>
      <c r="BF3434" s="227"/>
    </row>
    <row r="3435">
      <c r="A3435" s="235" t="s">
        <v>25818</v>
      </c>
      <c r="C3435" s="235" t="s">
        <v>25819</v>
      </c>
      <c r="D3435" s="235" t="s">
        <v>25820</v>
      </c>
      <c r="E3435" s="243">
        <v>6.52E13</v>
      </c>
      <c r="F3435" s="245"/>
      <c r="G3435" s="235" t="s">
        <v>25821</v>
      </c>
      <c r="H3435" s="235" t="s">
        <v>25822</v>
      </c>
      <c r="I3435" s="235" t="s">
        <v>25822</v>
      </c>
      <c r="J3435" s="235" t="s">
        <v>25823</v>
      </c>
      <c r="K3435" s="235" t="s">
        <v>25824</v>
      </c>
      <c r="N3435" s="235" t="s">
        <v>136</v>
      </c>
      <c r="O3435" s="235" t="s">
        <v>256</v>
      </c>
      <c r="P3435" s="238">
        <v>1.0</v>
      </c>
      <c r="Q3435" s="235" t="s">
        <v>627</v>
      </c>
      <c r="R3435" s="238">
        <v>246.66</v>
      </c>
      <c r="S3435" s="238">
        <v>12.1</v>
      </c>
      <c r="T3435" s="238">
        <v>0.0</v>
      </c>
      <c r="U3435" s="238">
        <v>0.0</v>
      </c>
      <c r="V3435" s="238">
        <v>0.0</v>
      </c>
      <c r="W3435" s="238">
        <v>0.0</v>
      </c>
      <c r="X3435" s="235" t="s">
        <v>628</v>
      </c>
      <c r="Z3435" s="245"/>
      <c r="AA3435" s="245"/>
      <c r="AB3435" s="245"/>
      <c r="AC3435" s="235" t="s">
        <v>1887</v>
      </c>
      <c r="AD3435" s="235" t="s">
        <v>679</v>
      </c>
      <c r="AE3435" s="238">
        <v>560050.0</v>
      </c>
      <c r="AF3435" s="235" t="s">
        <v>631</v>
      </c>
      <c r="AG3435" s="245"/>
      <c r="AH3435" s="245"/>
      <c r="AI3435" s="245"/>
      <c r="AJ3435" s="245"/>
      <c r="AK3435" s="245"/>
      <c r="AL3435" s="245"/>
      <c r="AM3435" s="245"/>
      <c r="AN3435" s="245"/>
      <c r="AO3435" s="238">
        <v>-4.94</v>
      </c>
      <c r="AP3435" s="238">
        <v>0.0</v>
      </c>
      <c r="AQ3435" s="235" t="s">
        <v>632</v>
      </c>
      <c r="AR3435" s="243">
        <v>1.68E11</v>
      </c>
      <c r="AS3435" s="235" t="s">
        <v>25713</v>
      </c>
      <c r="AT3435" s="235" t="s">
        <v>11</v>
      </c>
      <c r="AU3435" s="235" t="s">
        <v>634</v>
      </c>
      <c r="AV3435" s="246" t="s">
        <v>635</v>
      </c>
      <c r="AW3435" s="227"/>
      <c r="AX3435" s="227"/>
      <c r="AY3435" s="227"/>
      <c r="AZ3435" s="227"/>
      <c r="BA3435" s="227"/>
      <c r="BB3435" s="227"/>
      <c r="BC3435" s="227"/>
      <c r="BD3435" s="227"/>
      <c r="BE3435" s="227"/>
      <c r="BF3435" s="227"/>
    </row>
    <row r="3436">
      <c r="A3436" s="235" t="s">
        <v>25825</v>
      </c>
      <c r="C3436" s="235" t="s">
        <v>25826</v>
      </c>
      <c r="D3436" s="235" t="s">
        <v>25827</v>
      </c>
      <c r="E3436" s="243">
        <v>6.52E13</v>
      </c>
      <c r="F3436" s="245"/>
      <c r="G3436" s="235" t="s">
        <v>25828</v>
      </c>
      <c r="H3436" s="235" t="s">
        <v>25829</v>
      </c>
      <c r="I3436" s="235" t="s">
        <v>25829</v>
      </c>
      <c r="J3436" s="235" t="s">
        <v>25830</v>
      </c>
      <c r="K3436" s="235" t="s">
        <v>25831</v>
      </c>
      <c r="N3436" s="235" t="s">
        <v>43</v>
      </c>
      <c r="O3436" s="235" t="s">
        <v>276</v>
      </c>
      <c r="P3436" s="238">
        <v>1.0</v>
      </c>
      <c r="Q3436" s="235" t="s">
        <v>627</v>
      </c>
      <c r="R3436" s="238">
        <v>233.34</v>
      </c>
      <c r="S3436" s="238">
        <v>11.66</v>
      </c>
      <c r="T3436" s="238">
        <v>0.0</v>
      </c>
      <c r="U3436" s="238">
        <v>0.0</v>
      </c>
      <c r="V3436" s="238">
        <v>0.0</v>
      </c>
      <c r="W3436" s="238">
        <v>0.0</v>
      </c>
      <c r="X3436" s="235" t="s">
        <v>628</v>
      </c>
      <c r="Z3436" s="245"/>
      <c r="AA3436" s="245"/>
      <c r="AB3436" s="245"/>
      <c r="AC3436" s="235" t="s">
        <v>678</v>
      </c>
      <c r="AD3436" s="235" t="s">
        <v>679</v>
      </c>
      <c r="AE3436" s="238">
        <v>560075.0</v>
      </c>
      <c r="AF3436" s="235" t="s">
        <v>631</v>
      </c>
      <c r="AG3436" s="245"/>
      <c r="AH3436" s="245"/>
      <c r="AI3436" s="245"/>
      <c r="AJ3436" s="245"/>
      <c r="AK3436" s="245"/>
      <c r="AL3436" s="245"/>
      <c r="AM3436" s="245"/>
      <c r="AN3436" s="245"/>
      <c r="AO3436" s="238">
        <v>0.0</v>
      </c>
      <c r="AP3436" s="238">
        <v>0.0</v>
      </c>
      <c r="AQ3436" s="235" t="s">
        <v>632</v>
      </c>
      <c r="AR3436" s="243">
        <v>3.71E11</v>
      </c>
      <c r="AS3436" s="235" t="s">
        <v>25098</v>
      </c>
      <c r="AT3436" s="235" t="s">
        <v>9</v>
      </c>
      <c r="AU3436" s="235" t="s">
        <v>634</v>
      </c>
      <c r="AV3436" s="246" t="s">
        <v>635</v>
      </c>
      <c r="AW3436" s="227"/>
      <c r="AX3436" s="227"/>
      <c r="AY3436" s="227"/>
      <c r="AZ3436" s="227"/>
      <c r="BA3436" s="227"/>
      <c r="BB3436" s="227"/>
      <c r="BC3436" s="227"/>
      <c r="BD3436" s="227"/>
      <c r="BE3436" s="227"/>
      <c r="BF3436" s="227"/>
    </row>
    <row r="3437">
      <c r="A3437" s="235" t="s">
        <v>25832</v>
      </c>
      <c r="C3437" s="235" t="s">
        <v>25833</v>
      </c>
      <c r="D3437" s="235" t="s">
        <v>25834</v>
      </c>
      <c r="E3437" s="243">
        <v>6.52E13</v>
      </c>
      <c r="F3437" s="245"/>
      <c r="G3437" s="235" t="s">
        <v>25835</v>
      </c>
      <c r="H3437" s="235" t="s">
        <v>25836</v>
      </c>
      <c r="I3437" s="235" t="s">
        <v>25836</v>
      </c>
      <c r="J3437" s="235" t="s">
        <v>25837</v>
      </c>
      <c r="K3437" s="235" t="s">
        <v>25838</v>
      </c>
      <c r="N3437" s="235" t="s">
        <v>3875</v>
      </c>
      <c r="O3437" s="235" t="s">
        <v>3876</v>
      </c>
      <c r="P3437" s="238">
        <v>1.0</v>
      </c>
      <c r="Q3437" s="235" t="s">
        <v>627</v>
      </c>
      <c r="R3437" s="238">
        <v>284.76</v>
      </c>
      <c r="S3437" s="238">
        <v>14.24</v>
      </c>
      <c r="T3437" s="238">
        <v>0.0</v>
      </c>
      <c r="U3437" s="238">
        <v>0.0</v>
      </c>
      <c r="V3437" s="238">
        <v>0.0</v>
      </c>
      <c r="W3437" s="238">
        <v>0.0</v>
      </c>
      <c r="X3437" s="235" t="s">
        <v>628</v>
      </c>
      <c r="Z3437" s="245"/>
      <c r="AA3437" s="245"/>
      <c r="AB3437" s="245"/>
      <c r="AC3437" s="235" t="s">
        <v>19520</v>
      </c>
      <c r="AD3437" s="235" t="s">
        <v>3113</v>
      </c>
      <c r="AE3437" s="238">
        <v>493332.0</v>
      </c>
      <c r="AF3437" s="235" t="s">
        <v>631</v>
      </c>
      <c r="AG3437" s="245"/>
      <c r="AH3437" s="245"/>
      <c r="AI3437" s="245"/>
      <c r="AJ3437" s="245"/>
      <c r="AK3437" s="245"/>
      <c r="AL3437" s="245"/>
      <c r="AM3437" s="245"/>
      <c r="AN3437" s="245"/>
      <c r="AO3437" s="238">
        <v>0.0</v>
      </c>
      <c r="AP3437" s="238">
        <v>0.0</v>
      </c>
      <c r="AQ3437" s="235" t="s">
        <v>632</v>
      </c>
      <c r="AR3437" s="243">
        <v>3.71E11</v>
      </c>
      <c r="AS3437" s="235" t="s">
        <v>17988</v>
      </c>
      <c r="AT3437" s="235" t="s">
        <v>156</v>
      </c>
      <c r="AU3437" s="235" t="s">
        <v>634</v>
      </c>
      <c r="AV3437" s="246" t="s">
        <v>635</v>
      </c>
      <c r="AW3437" s="227"/>
      <c r="AX3437" s="227"/>
      <c r="AY3437" s="227"/>
      <c r="AZ3437" s="227"/>
      <c r="BA3437" s="227"/>
      <c r="BB3437" s="227"/>
      <c r="BC3437" s="227"/>
      <c r="BD3437" s="227"/>
      <c r="BE3437" s="227"/>
      <c r="BF3437" s="227"/>
    </row>
    <row r="3438">
      <c r="A3438" s="235" t="s">
        <v>25839</v>
      </c>
      <c r="C3438" s="235" t="s">
        <v>25840</v>
      </c>
      <c r="D3438" s="235" t="s">
        <v>25841</v>
      </c>
      <c r="E3438" s="243">
        <v>6.52E13</v>
      </c>
      <c r="F3438" s="245"/>
      <c r="G3438" s="235" t="s">
        <v>25842</v>
      </c>
      <c r="H3438" s="235" t="s">
        <v>25843</v>
      </c>
      <c r="I3438" s="235" t="s">
        <v>25844</v>
      </c>
      <c r="J3438" s="235" t="s">
        <v>25845</v>
      </c>
      <c r="K3438" s="235" t="s">
        <v>25846</v>
      </c>
      <c r="N3438" s="235" t="s">
        <v>90</v>
      </c>
      <c r="O3438" s="235" t="s">
        <v>279</v>
      </c>
      <c r="P3438" s="238">
        <v>1.0</v>
      </c>
      <c r="Q3438" s="235" t="s">
        <v>627</v>
      </c>
      <c r="R3438" s="238">
        <v>246.66</v>
      </c>
      <c r="S3438" s="238">
        <v>12.34</v>
      </c>
      <c r="T3438" s="238">
        <v>0.0</v>
      </c>
      <c r="U3438" s="238">
        <v>0.0</v>
      </c>
      <c r="V3438" s="238">
        <v>0.0</v>
      </c>
      <c r="W3438" s="238">
        <v>0.0</v>
      </c>
      <c r="X3438" s="235" t="s">
        <v>628</v>
      </c>
      <c r="Z3438" s="245"/>
      <c r="AA3438" s="245"/>
      <c r="AB3438" s="245"/>
      <c r="AC3438" s="235" t="s">
        <v>8737</v>
      </c>
      <c r="AD3438" s="235" t="s">
        <v>666</v>
      </c>
      <c r="AE3438" s="238">
        <v>632009.0</v>
      </c>
      <c r="AF3438" s="235" t="s">
        <v>631</v>
      </c>
      <c r="AG3438" s="245"/>
      <c r="AH3438" s="245"/>
      <c r="AI3438" s="245"/>
      <c r="AJ3438" s="245"/>
      <c r="AK3438" s="245"/>
      <c r="AL3438" s="245"/>
      <c r="AM3438" s="245"/>
      <c r="AN3438" s="245"/>
      <c r="AO3438" s="238">
        <v>0.0</v>
      </c>
      <c r="AP3438" s="238">
        <v>0.0</v>
      </c>
      <c r="AQ3438" s="235" t="s">
        <v>632</v>
      </c>
      <c r="AR3438" s="243">
        <v>1.68E11</v>
      </c>
      <c r="AS3438" s="235" t="s">
        <v>25098</v>
      </c>
      <c r="AT3438" s="235" t="s">
        <v>156</v>
      </c>
      <c r="AU3438" s="235" t="s">
        <v>634</v>
      </c>
      <c r="AV3438" s="246" t="s">
        <v>635</v>
      </c>
      <c r="AW3438" s="227"/>
      <c r="AX3438" s="227"/>
      <c r="AY3438" s="227"/>
      <c r="AZ3438" s="227"/>
      <c r="BA3438" s="227"/>
      <c r="BB3438" s="227"/>
      <c r="BC3438" s="227"/>
      <c r="BD3438" s="227"/>
      <c r="BE3438" s="227"/>
      <c r="BF3438" s="227"/>
    </row>
    <row r="3439">
      <c r="A3439" s="235" t="s">
        <v>25847</v>
      </c>
      <c r="C3439" s="235" t="s">
        <v>25848</v>
      </c>
      <c r="D3439" s="235" t="s">
        <v>25849</v>
      </c>
      <c r="E3439" s="243">
        <v>6.51E13</v>
      </c>
      <c r="F3439" s="245"/>
      <c r="G3439" s="235" t="s">
        <v>25850</v>
      </c>
      <c r="H3439" s="235" t="s">
        <v>25844</v>
      </c>
      <c r="I3439" s="235" t="s">
        <v>25844</v>
      </c>
      <c r="J3439" s="235" t="s">
        <v>25851</v>
      </c>
      <c r="K3439" s="235" t="s">
        <v>25852</v>
      </c>
      <c r="N3439" s="235" t="s">
        <v>989</v>
      </c>
      <c r="O3439" s="235" t="s">
        <v>990</v>
      </c>
      <c r="P3439" s="238">
        <v>1.0</v>
      </c>
      <c r="Q3439" s="235" t="s">
        <v>627</v>
      </c>
      <c r="R3439" s="238">
        <v>256.19</v>
      </c>
      <c r="S3439" s="238">
        <v>12.43</v>
      </c>
      <c r="T3439" s="238">
        <v>0.0</v>
      </c>
      <c r="U3439" s="238">
        <v>0.0</v>
      </c>
      <c r="V3439" s="238">
        <v>0.0</v>
      </c>
      <c r="W3439" s="238">
        <v>0.0</v>
      </c>
      <c r="X3439" s="235" t="s">
        <v>628</v>
      </c>
      <c r="Z3439" s="245"/>
      <c r="AA3439" s="245"/>
      <c r="AB3439" s="245"/>
      <c r="AC3439" s="235" t="s">
        <v>25853</v>
      </c>
      <c r="AD3439" s="235" t="s">
        <v>709</v>
      </c>
      <c r="AE3439" s="238">
        <v>802301.0</v>
      </c>
      <c r="AF3439" s="235" t="s">
        <v>631</v>
      </c>
      <c r="AG3439" s="245"/>
      <c r="AH3439" s="245"/>
      <c r="AI3439" s="245"/>
      <c r="AJ3439" s="245"/>
      <c r="AK3439" s="245"/>
      <c r="AL3439" s="245"/>
      <c r="AM3439" s="245"/>
      <c r="AN3439" s="245"/>
      <c r="AO3439" s="238">
        <v>-7.69</v>
      </c>
      <c r="AP3439" s="238">
        <v>0.0</v>
      </c>
      <c r="AQ3439" s="235" t="s">
        <v>632</v>
      </c>
      <c r="AR3439" s="243">
        <v>3.71E11</v>
      </c>
      <c r="AS3439" s="235" t="s">
        <v>19388</v>
      </c>
      <c r="AT3439" s="235" t="s">
        <v>14</v>
      </c>
      <c r="AU3439" s="235" t="s">
        <v>634</v>
      </c>
      <c r="AV3439" s="246" t="s">
        <v>635</v>
      </c>
      <c r="AW3439" s="227"/>
      <c r="AX3439" s="227"/>
      <c r="AY3439" s="227"/>
      <c r="AZ3439" s="227"/>
      <c r="BA3439" s="227"/>
      <c r="BB3439" s="227"/>
      <c r="BC3439" s="227"/>
      <c r="BD3439" s="227"/>
      <c r="BE3439" s="227"/>
      <c r="BF3439" s="227"/>
    </row>
    <row r="3440">
      <c r="A3440" s="235" t="s">
        <v>25854</v>
      </c>
      <c r="C3440" s="235" t="s">
        <v>25855</v>
      </c>
      <c r="D3440" s="235" t="s">
        <v>25856</v>
      </c>
      <c r="E3440" s="243">
        <v>6.51E13</v>
      </c>
      <c r="F3440" s="245"/>
      <c r="G3440" s="235" t="s">
        <v>25857</v>
      </c>
      <c r="H3440" s="235" t="s">
        <v>25858</v>
      </c>
      <c r="I3440" s="235" t="s">
        <v>25858</v>
      </c>
      <c r="J3440" s="235" t="s">
        <v>25859</v>
      </c>
      <c r="K3440" s="235" t="s">
        <v>25860</v>
      </c>
      <c r="N3440" s="235" t="s">
        <v>53</v>
      </c>
      <c r="O3440" s="235" t="s">
        <v>512</v>
      </c>
      <c r="P3440" s="238">
        <v>1.0</v>
      </c>
      <c r="Q3440" s="235" t="s">
        <v>627</v>
      </c>
      <c r="R3440" s="238">
        <v>233.34</v>
      </c>
      <c r="S3440" s="238">
        <v>11.66</v>
      </c>
      <c r="T3440" s="238">
        <v>38.1</v>
      </c>
      <c r="U3440" s="238">
        <v>1.9</v>
      </c>
      <c r="V3440" s="238">
        <v>0.0</v>
      </c>
      <c r="W3440" s="238">
        <v>0.0</v>
      </c>
      <c r="X3440" s="235" t="s">
        <v>628</v>
      </c>
      <c r="Z3440" s="245"/>
      <c r="AA3440" s="245"/>
      <c r="AB3440" s="245"/>
      <c r="AC3440" s="235" t="s">
        <v>687</v>
      </c>
      <c r="AD3440" s="235" t="s">
        <v>666</v>
      </c>
      <c r="AE3440" s="238">
        <v>600056.0</v>
      </c>
      <c r="AF3440" s="235" t="s">
        <v>631</v>
      </c>
      <c r="AG3440" s="245"/>
      <c r="AH3440" s="245"/>
      <c r="AI3440" s="245"/>
      <c r="AJ3440" s="245"/>
      <c r="AK3440" s="245"/>
      <c r="AL3440" s="245"/>
      <c r="AM3440" s="245"/>
      <c r="AN3440" s="245"/>
      <c r="AO3440" s="238">
        <v>0.0</v>
      </c>
      <c r="AP3440" s="238">
        <v>0.0</v>
      </c>
      <c r="AQ3440" s="235" t="s">
        <v>632</v>
      </c>
      <c r="AR3440" s="243">
        <v>3.71E11</v>
      </c>
      <c r="AS3440" s="235" t="s">
        <v>25098</v>
      </c>
      <c r="AT3440" s="235" t="s">
        <v>156</v>
      </c>
      <c r="AU3440" s="235" t="s">
        <v>634</v>
      </c>
      <c r="AV3440" s="246" t="s">
        <v>635</v>
      </c>
      <c r="AW3440" s="227"/>
      <c r="AX3440" s="227"/>
      <c r="AY3440" s="227"/>
      <c r="AZ3440" s="227"/>
      <c r="BA3440" s="227"/>
      <c r="BB3440" s="227"/>
      <c r="BC3440" s="227"/>
      <c r="BD3440" s="227"/>
      <c r="BE3440" s="227"/>
      <c r="BF3440" s="227"/>
    </row>
    <row r="3441">
      <c r="A3441" s="235" t="s">
        <v>25861</v>
      </c>
      <c r="C3441" s="235" t="s">
        <v>25862</v>
      </c>
      <c r="D3441" s="235" t="s">
        <v>25863</v>
      </c>
      <c r="E3441" s="243">
        <v>6.51E13</v>
      </c>
      <c r="F3441" s="245"/>
      <c r="G3441" s="235" t="s">
        <v>25864</v>
      </c>
      <c r="H3441" s="235" t="s">
        <v>25865</v>
      </c>
      <c r="I3441" s="235" t="s">
        <v>25865</v>
      </c>
      <c r="J3441" s="235" t="s">
        <v>25866</v>
      </c>
      <c r="K3441" s="235" t="s">
        <v>25867</v>
      </c>
      <c r="N3441" s="235" t="s">
        <v>51</v>
      </c>
      <c r="O3441" s="235" t="s">
        <v>273</v>
      </c>
      <c r="P3441" s="238">
        <v>1.0</v>
      </c>
      <c r="Q3441" s="235" t="s">
        <v>627</v>
      </c>
      <c r="R3441" s="238">
        <v>246.66</v>
      </c>
      <c r="S3441" s="238">
        <v>12.34</v>
      </c>
      <c r="T3441" s="238">
        <v>38.1</v>
      </c>
      <c r="U3441" s="238">
        <v>1.9</v>
      </c>
      <c r="V3441" s="238">
        <v>0.0</v>
      </c>
      <c r="W3441" s="238">
        <v>0.0</v>
      </c>
      <c r="X3441" s="235" t="s">
        <v>628</v>
      </c>
      <c r="Z3441" s="245"/>
      <c r="AA3441" s="245"/>
      <c r="AB3441" s="245"/>
      <c r="AC3441" s="235" t="s">
        <v>678</v>
      </c>
      <c r="AD3441" s="235" t="s">
        <v>679</v>
      </c>
      <c r="AE3441" s="238">
        <v>560076.0</v>
      </c>
      <c r="AF3441" s="235" t="s">
        <v>631</v>
      </c>
      <c r="AG3441" s="245"/>
      <c r="AH3441" s="245"/>
      <c r="AI3441" s="245"/>
      <c r="AJ3441" s="245"/>
      <c r="AK3441" s="245"/>
      <c r="AL3441" s="245"/>
      <c r="AM3441" s="245"/>
      <c r="AN3441" s="245"/>
      <c r="AO3441" s="238">
        <v>0.0</v>
      </c>
      <c r="AP3441" s="238">
        <v>-38.1</v>
      </c>
      <c r="AQ3441" s="235" t="s">
        <v>632</v>
      </c>
      <c r="AR3441" s="243">
        <v>3.71E11</v>
      </c>
      <c r="AS3441" s="235" t="s">
        <v>25098</v>
      </c>
      <c r="AT3441" s="235" t="s">
        <v>9</v>
      </c>
      <c r="AU3441" s="235" t="s">
        <v>634</v>
      </c>
      <c r="AV3441" s="246" t="s">
        <v>635</v>
      </c>
      <c r="AW3441" s="227"/>
      <c r="AX3441" s="227"/>
      <c r="AY3441" s="227"/>
      <c r="AZ3441" s="227"/>
      <c r="BA3441" s="227"/>
      <c r="BB3441" s="227"/>
      <c r="BC3441" s="227"/>
      <c r="BD3441" s="227"/>
      <c r="BE3441" s="227"/>
      <c r="BF3441" s="227"/>
    </row>
    <row r="3442">
      <c r="A3442" s="235" t="s">
        <v>25868</v>
      </c>
      <c r="C3442" s="235" t="s">
        <v>25869</v>
      </c>
      <c r="D3442" s="235" t="s">
        <v>25870</v>
      </c>
      <c r="E3442" s="243">
        <v>6.52E13</v>
      </c>
      <c r="F3442" s="245"/>
      <c r="G3442" s="235" t="s">
        <v>25871</v>
      </c>
      <c r="H3442" s="235" t="s">
        <v>25872</v>
      </c>
      <c r="I3442" s="235" t="s">
        <v>25873</v>
      </c>
      <c r="J3442" s="235" t="s">
        <v>25874</v>
      </c>
      <c r="K3442" s="235" t="s">
        <v>18738</v>
      </c>
      <c r="N3442" s="235" t="s">
        <v>42</v>
      </c>
      <c r="O3442" s="235" t="s">
        <v>204</v>
      </c>
      <c r="P3442" s="238">
        <v>1.0</v>
      </c>
      <c r="Q3442" s="235" t="s">
        <v>627</v>
      </c>
      <c r="R3442" s="238">
        <v>236.19</v>
      </c>
      <c r="S3442" s="238">
        <v>11.81</v>
      </c>
      <c r="T3442" s="238">
        <v>38.1</v>
      </c>
      <c r="U3442" s="238">
        <v>1.9</v>
      </c>
      <c r="V3442" s="238">
        <v>0.0</v>
      </c>
      <c r="W3442" s="238">
        <v>0.0</v>
      </c>
      <c r="X3442" s="235" t="s">
        <v>628</v>
      </c>
      <c r="Z3442" s="245"/>
      <c r="AA3442" s="245"/>
      <c r="AB3442" s="245"/>
      <c r="AC3442" s="235" t="s">
        <v>2493</v>
      </c>
      <c r="AD3442" s="235" t="s">
        <v>833</v>
      </c>
      <c r="AE3442" s="238">
        <v>520010.0</v>
      </c>
      <c r="AF3442" s="235" t="s">
        <v>631</v>
      </c>
      <c r="AG3442" s="245"/>
      <c r="AH3442" s="245"/>
      <c r="AI3442" s="245"/>
      <c r="AJ3442" s="245"/>
      <c r="AK3442" s="245"/>
      <c r="AL3442" s="245"/>
      <c r="AM3442" s="245"/>
      <c r="AN3442" s="245"/>
      <c r="AO3442" s="238">
        <v>0.0</v>
      </c>
      <c r="AP3442" s="238">
        <v>-38.1</v>
      </c>
      <c r="AQ3442" s="235" t="s">
        <v>632</v>
      </c>
      <c r="AR3442" s="243">
        <v>3.71E11</v>
      </c>
      <c r="AS3442" s="235" t="s">
        <v>22269</v>
      </c>
      <c r="AT3442" s="235" t="s">
        <v>11</v>
      </c>
      <c r="AU3442" s="235" t="s">
        <v>634</v>
      </c>
      <c r="AV3442" s="246" t="s">
        <v>635</v>
      </c>
      <c r="AW3442" s="227"/>
      <c r="AX3442" s="227"/>
      <c r="AY3442" s="227"/>
      <c r="AZ3442" s="227"/>
      <c r="BA3442" s="227"/>
      <c r="BB3442" s="227"/>
      <c r="BC3442" s="227"/>
      <c r="BD3442" s="227"/>
      <c r="BE3442" s="227"/>
      <c r="BF3442" s="227"/>
    </row>
    <row r="3443">
      <c r="A3443" s="235" t="s">
        <v>25875</v>
      </c>
      <c r="C3443" s="235" t="s">
        <v>25876</v>
      </c>
      <c r="D3443" s="235" t="s">
        <v>25877</v>
      </c>
      <c r="E3443" s="243">
        <v>6.52E13</v>
      </c>
      <c r="F3443" s="245"/>
      <c r="G3443" s="235" t="s">
        <v>25878</v>
      </c>
      <c r="H3443" s="235" t="s">
        <v>25879</v>
      </c>
      <c r="I3443" s="235" t="s">
        <v>25880</v>
      </c>
      <c r="J3443" s="235" t="s">
        <v>25881</v>
      </c>
      <c r="K3443" s="235" t="s">
        <v>25882</v>
      </c>
      <c r="N3443" s="235" t="s">
        <v>42</v>
      </c>
      <c r="O3443" s="235" t="s">
        <v>204</v>
      </c>
      <c r="P3443" s="238">
        <v>1.0</v>
      </c>
      <c r="Q3443" s="235" t="s">
        <v>627</v>
      </c>
      <c r="R3443" s="238">
        <v>237.14</v>
      </c>
      <c r="S3443" s="238">
        <v>11.86</v>
      </c>
      <c r="T3443" s="238">
        <v>0.0</v>
      </c>
      <c r="U3443" s="238">
        <v>0.0</v>
      </c>
      <c r="V3443" s="238">
        <v>0.0</v>
      </c>
      <c r="W3443" s="238">
        <v>0.0</v>
      </c>
      <c r="X3443" s="235" t="s">
        <v>628</v>
      </c>
      <c r="Z3443" s="245"/>
      <c r="AA3443" s="245"/>
      <c r="AB3443" s="245"/>
      <c r="AC3443" s="235" t="s">
        <v>1206</v>
      </c>
      <c r="AD3443" s="235" t="s">
        <v>679</v>
      </c>
      <c r="AE3443" s="238">
        <v>560100.0</v>
      </c>
      <c r="AF3443" s="235" t="s">
        <v>631</v>
      </c>
      <c r="AG3443" s="245"/>
      <c r="AH3443" s="245"/>
      <c r="AI3443" s="245"/>
      <c r="AJ3443" s="245"/>
      <c r="AK3443" s="245"/>
      <c r="AL3443" s="245"/>
      <c r="AM3443" s="245"/>
      <c r="AN3443" s="245"/>
      <c r="AO3443" s="238">
        <v>0.0</v>
      </c>
      <c r="AP3443" s="238">
        <v>0.0</v>
      </c>
      <c r="AQ3443" s="235" t="s">
        <v>632</v>
      </c>
      <c r="AR3443" s="243">
        <v>1.68E11</v>
      </c>
      <c r="AS3443" s="235" t="s">
        <v>25713</v>
      </c>
      <c r="AT3443" s="235" t="s">
        <v>9</v>
      </c>
      <c r="AU3443" s="235" t="s">
        <v>634</v>
      </c>
      <c r="AV3443" s="246" t="s">
        <v>635</v>
      </c>
      <c r="AW3443" s="227"/>
      <c r="AX3443" s="227"/>
      <c r="AY3443" s="227"/>
      <c r="AZ3443" s="227"/>
      <c r="BA3443" s="227"/>
      <c r="BB3443" s="227"/>
      <c r="BC3443" s="227"/>
      <c r="BD3443" s="227"/>
      <c r="BE3443" s="227"/>
      <c r="BF3443" s="227"/>
    </row>
    <row r="3444">
      <c r="A3444" s="235" t="s">
        <v>25883</v>
      </c>
      <c r="C3444" s="235" t="s">
        <v>25884</v>
      </c>
      <c r="D3444" s="235" t="s">
        <v>25885</v>
      </c>
      <c r="E3444" s="243">
        <v>6.52E13</v>
      </c>
      <c r="F3444" s="245"/>
      <c r="G3444" s="235" t="s">
        <v>25886</v>
      </c>
      <c r="H3444" s="235" t="s">
        <v>25887</v>
      </c>
      <c r="I3444" s="235" t="s">
        <v>25887</v>
      </c>
      <c r="J3444" s="235" t="s">
        <v>25888</v>
      </c>
      <c r="K3444" s="235" t="s">
        <v>25889</v>
      </c>
      <c r="N3444" s="235" t="s">
        <v>144</v>
      </c>
      <c r="O3444" s="235" t="s">
        <v>232</v>
      </c>
      <c r="P3444" s="238">
        <v>1.0</v>
      </c>
      <c r="Q3444" s="235" t="s">
        <v>627</v>
      </c>
      <c r="R3444" s="238">
        <v>626.66</v>
      </c>
      <c r="S3444" s="238">
        <v>31.34</v>
      </c>
      <c r="T3444" s="238">
        <v>0.0</v>
      </c>
      <c r="U3444" s="238">
        <v>0.0</v>
      </c>
      <c r="V3444" s="238">
        <v>0.0</v>
      </c>
      <c r="W3444" s="238">
        <v>0.0</v>
      </c>
      <c r="X3444" s="235" t="s">
        <v>628</v>
      </c>
      <c r="Z3444" s="245"/>
      <c r="AA3444" s="245"/>
      <c r="AB3444" s="245"/>
      <c r="AC3444" s="235" t="s">
        <v>1095</v>
      </c>
      <c r="AD3444" s="235" t="s">
        <v>845</v>
      </c>
      <c r="AE3444" s="238">
        <v>400706.0</v>
      </c>
      <c r="AF3444" s="235" t="s">
        <v>631</v>
      </c>
      <c r="AG3444" s="245"/>
      <c r="AH3444" s="245"/>
      <c r="AI3444" s="245"/>
      <c r="AJ3444" s="245"/>
      <c r="AK3444" s="245"/>
      <c r="AL3444" s="245"/>
      <c r="AM3444" s="245"/>
      <c r="AN3444" s="245"/>
      <c r="AO3444" s="238">
        <v>0.0</v>
      </c>
      <c r="AP3444" s="238">
        <v>0.0</v>
      </c>
      <c r="AQ3444" s="235" t="s">
        <v>632</v>
      </c>
      <c r="AR3444" s="243">
        <v>3.71E11</v>
      </c>
      <c r="AS3444" s="235" t="s">
        <v>25098</v>
      </c>
      <c r="AT3444" s="235" t="s">
        <v>16</v>
      </c>
      <c r="AU3444" s="235" t="s">
        <v>634</v>
      </c>
      <c r="AV3444" s="246" t="s">
        <v>635</v>
      </c>
      <c r="AW3444" s="227"/>
      <c r="AX3444" s="227"/>
      <c r="AY3444" s="227"/>
      <c r="AZ3444" s="227"/>
      <c r="BA3444" s="227"/>
      <c r="BB3444" s="227"/>
      <c r="BC3444" s="227"/>
      <c r="BD3444" s="227"/>
      <c r="BE3444" s="227"/>
      <c r="BF3444" s="227"/>
    </row>
    <row r="3445">
      <c r="A3445" s="235" t="s">
        <v>25890</v>
      </c>
      <c r="C3445" s="235" t="s">
        <v>25891</v>
      </c>
      <c r="D3445" s="235" t="s">
        <v>25892</v>
      </c>
      <c r="E3445" s="243">
        <v>6.52E13</v>
      </c>
      <c r="F3445" s="245"/>
      <c r="G3445" s="235" t="s">
        <v>25893</v>
      </c>
      <c r="H3445" s="235" t="s">
        <v>25894</v>
      </c>
      <c r="I3445" s="235" t="s">
        <v>25895</v>
      </c>
      <c r="J3445" s="235" t="s">
        <v>25896</v>
      </c>
      <c r="K3445" s="235" t="s">
        <v>25897</v>
      </c>
      <c r="N3445" s="235" t="s">
        <v>42</v>
      </c>
      <c r="O3445" s="235" t="s">
        <v>204</v>
      </c>
      <c r="P3445" s="238">
        <v>1.0</v>
      </c>
      <c r="Q3445" s="235" t="s">
        <v>627</v>
      </c>
      <c r="R3445" s="238">
        <v>236.19</v>
      </c>
      <c r="S3445" s="238">
        <v>11.81</v>
      </c>
      <c r="T3445" s="238">
        <v>0.0</v>
      </c>
      <c r="U3445" s="238">
        <v>0.0</v>
      </c>
      <c r="V3445" s="238">
        <v>0.0</v>
      </c>
      <c r="W3445" s="238">
        <v>0.0</v>
      </c>
      <c r="X3445" s="235" t="s">
        <v>628</v>
      </c>
      <c r="Z3445" s="245"/>
      <c r="AA3445" s="245"/>
      <c r="AB3445" s="245"/>
      <c r="AC3445" s="235" t="s">
        <v>832</v>
      </c>
      <c r="AD3445" s="235" t="s">
        <v>833</v>
      </c>
      <c r="AE3445" s="238">
        <v>530016.0</v>
      </c>
      <c r="AF3445" s="235" t="s">
        <v>631</v>
      </c>
      <c r="AG3445" s="245"/>
      <c r="AH3445" s="245"/>
      <c r="AI3445" s="245"/>
      <c r="AJ3445" s="245"/>
      <c r="AK3445" s="245"/>
      <c r="AL3445" s="245"/>
      <c r="AM3445" s="245"/>
      <c r="AN3445" s="245"/>
      <c r="AO3445" s="238">
        <v>0.0</v>
      </c>
      <c r="AP3445" s="238">
        <v>0.0</v>
      </c>
      <c r="AQ3445" s="235" t="s">
        <v>632</v>
      </c>
      <c r="AR3445" s="243">
        <v>3.71E11</v>
      </c>
      <c r="AS3445" s="235" t="s">
        <v>20529</v>
      </c>
      <c r="AT3445" s="235" t="s">
        <v>17</v>
      </c>
      <c r="AU3445" s="235" t="s">
        <v>634</v>
      </c>
      <c r="AV3445" s="246" t="s">
        <v>635</v>
      </c>
      <c r="AW3445" s="227"/>
      <c r="AX3445" s="227"/>
      <c r="AY3445" s="227"/>
      <c r="AZ3445" s="227"/>
      <c r="BA3445" s="227"/>
      <c r="BB3445" s="227"/>
      <c r="BC3445" s="227"/>
      <c r="BD3445" s="227"/>
      <c r="BE3445" s="227"/>
      <c r="BF3445" s="227"/>
    </row>
    <row r="3446">
      <c r="A3446" s="235" t="s">
        <v>25898</v>
      </c>
      <c r="C3446" s="235" t="s">
        <v>25899</v>
      </c>
      <c r="D3446" s="235" t="s">
        <v>25900</v>
      </c>
      <c r="E3446" s="243">
        <v>6.52E13</v>
      </c>
      <c r="F3446" s="245"/>
      <c r="G3446" s="235" t="s">
        <v>25901</v>
      </c>
      <c r="H3446" s="235" t="s">
        <v>25902</v>
      </c>
      <c r="I3446" s="235" t="s">
        <v>25903</v>
      </c>
      <c r="J3446" s="235" t="s">
        <v>25904</v>
      </c>
      <c r="K3446" s="235" t="s">
        <v>25905</v>
      </c>
      <c r="N3446" s="235" t="s">
        <v>47</v>
      </c>
      <c r="O3446" s="235" t="s">
        <v>270</v>
      </c>
      <c r="P3446" s="238">
        <v>1.0</v>
      </c>
      <c r="Q3446" s="235" t="s">
        <v>627</v>
      </c>
      <c r="R3446" s="238">
        <v>237.14</v>
      </c>
      <c r="S3446" s="238">
        <v>11.86</v>
      </c>
      <c r="T3446" s="238">
        <v>0.0</v>
      </c>
      <c r="U3446" s="238">
        <v>0.0</v>
      </c>
      <c r="V3446" s="238">
        <v>0.0</v>
      </c>
      <c r="W3446" s="238">
        <v>0.0</v>
      </c>
      <c r="X3446" s="235" t="s">
        <v>628</v>
      </c>
      <c r="Z3446" s="245"/>
      <c r="AA3446" s="245"/>
      <c r="AB3446" s="245"/>
      <c r="AC3446" s="235" t="s">
        <v>1320</v>
      </c>
      <c r="AD3446" s="235" t="s">
        <v>666</v>
      </c>
      <c r="AE3446" s="238">
        <v>600028.0</v>
      </c>
      <c r="AF3446" s="235" t="s">
        <v>631</v>
      </c>
      <c r="AG3446" s="245"/>
      <c r="AH3446" s="245"/>
      <c r="AI3446" s="245"/>
      <c r="AJ3446" s="245"/>
      <c r="AK3446" s="245"/>
      <c r="AL3446" s="245"/>
      <c r="AM3446" s="245"/>
      <c r="AN3446" s="245"/>
      <c r="AO3446" s="238">
        <v>0.0</v>
      </c>
      <c r="AP3446" s="238">
        <v>0.0</v>
      </c>
      <c r="AQ3446" s="235" t="s">
        <v>632</v>
      </c>
      <c r="AR3446" s="243">
        <v>1.68E11</v>
      </c>
      <c r="AS3446" s="235" t="s">
        <v>25713</v>
      </c>
      <c r="AT3446" s="235" t="s">
        <v>156</v>
      </c>
      <c r="AU3446" s="235" t="s">
        <v>634</v>
      </c>
      <c r="AV3446" s="246" t="s">
        <v>635</v>
      </c>
      <c r="AW3446" s="227"/>
      <c r="AX3446" s="227"/>
      <c r="AY3446" s="227"/>
      <c r="AZ3446" s="227"/>
      <c r="BA3446" s="227"/>
      <c r="BB3446" s="227"/>
      <c r="BC3446" s="227"/>
      <c r="BD3446" s="227"/>
      <c r="BE3446" s="227"/>
      <c r="BF3446" s="227"/>
    </row>
    <row r="3447">
      <c r="A3447" s="235" t="s">
        <v>25906</v>
      </c>
      <c r="C3447" s="235" t="s">
        <v>25907</v>
      </c>
      <c r="D3447" s="235" t="s">
        <v>25908</v>
      </c>
      <c r="E3447" s="243">
        <v>6.51E13</v>
      </c>
      <c r="F3447" s="245"/>
      <c r="G3447" s="235" t="s">
        <v>25909</v>
      </c>
      <c r="H3447" s="235" t="s">
        <v>25910</v>
      </c>
      <c r="I3447" s="235" t="s">
        <v>25910</v>
      </c>
      <c r="J3447" s="235" t="s">
        <v>25911</v>
      </c>
      <c r="K3447" s="235" t="s">
        <v>25912</v>
      </c>
      <c r="N3447" s="235" t="s">
        <v>842</v>
      </c>
      <c r="O3447" s="235" t="s">
        <v>843</v>
      </c>
      <c r="P3447" s="238">
        <v>1.0</v>
      </c>
      <c r="Q3447" s="235" t="s">
        <v>627</v>
      </c>
      <c r="R3447" s="238">
        <v>237.14</v>
      </c>
      <c r="S3447" s="238">
        <v>11.86</v>
      </c>
      <c r="T3447" s="238">
        <v>38.1</v>
      </c>
      <c r="U3447" s="238">
        <v>1.9</v>
      </c>
      <c r="V3447" s="238">
        <v>0.0</v>
      </c>
      <c r="W3447" s="238">
        <v>0.0</v>
      </c>
      <c r="X3447" s="235" t="s">
        <v>628</v>
      </c>
      <c r="Z3447" s="245"/>
      <c r="AA3447" s="245"/>
      <c r="AB3447" s="245"/>
      <c r="AC3447" s="235" t="s">
        <v>25913</v>
      </c>
      <c r="AD3447" s="235" t="s">
        <v>709</v>
      </c>
      <c r="AE3447" s="238">
        <v>802101.0</v>
      </c>
      <c r="AF3447" s="235" t="s">
        <v>631</v>
      </c>
      <c r="AG3447" s="245"/>
      <c r="AH3447" s="245"/>
      <c r="AI3447" s="245"/>
      <c r="AJ3447" s="245"/>
      <c r="AK3447" s="245"/>
      <c r="AL3447" s="245"/>
      <c r="AM3447" s="245"/>
      <c r="AN3447" s="245"/>
      <c r="AO3447" s="238">
        <v>0.0</v>
      </c>
      <c r="AP3447" s="238">
        <v>-38.1</v>
      </c>
      <c r="AQ3447" s="235" t="s">
        <v>632</v>
      </c>
      <c r="AR3447" s="243">
        <v>3.71E11</v>
      </c>
      <c r="AS3447" s="235" t="s">
        <v>19388</v>
      </c>
      <c r="AT3447" s="235" t="s">
        <v>14</v>
      </c>
      <c r="AU3447" s="235" t="s">
        <v>634</v>
      </c>
      <c r="AV3447" s="246" t="s">
        <v>635</v>
      </c>
      <c r="AW3447" s="227"/>
      <c r="AX3447" s="227"/>
      <c r="AY3447" s="227"/>
      <c r="AZ3447" s="227"/>
      <c r="BA3447" s="227"/>
      <c r="BB3447" s="227"/>
      <c r="BC3447" s="227"/>
      <c r="BD3447" s="227"/>
      <c r="BE3447" s="227"/>
      <c r="BF3447" s="227"/>
    </row>
    <row r="3448">
      <c r="A3448" s="235" t="s">
        <v>25914</v>
      </c>
      <c r="C3448" s="235" t="s">
        <v>25915</v>
      </c>
      <c r="D3448" s="235" t="s">
        <v>25916</v>
      </c>
      <c r="E3448" s="243">
        <v>6.52E13</v>
      </c>
      <c r="F3448" s="245"/>
      <c r="G3448" s="235" t="s">
        <v>25917</v>
      </c>
      <c r="H3448" s="235" t="s">
        <v>25918</v>
      </c>
      <c r="I3448" s="235" t="s">
        <v>25918</v>
      </c>
      <c r="J3448" s="235" t="s">
        <v>25919</v>
      </c>
      <c r="K3448" s="235" t="s">
        <v>25920</v>
      </c>
      <c r="N3448" s="235" t="s">
        <v>962</v>
      </c>
      <c r="O3448" s="235" t="s">
        <v>963</v>
      </c>
      <c r="P3448" s="238">
        <v>1.0</v>
      </c>
      <c r="Q3448" s="235" t="s">
        <v>627</v>
      </c>
      <c r="R3448" s="238">
        <v>246.67</v>
      </c>
      <c r="S3448" s="238">
        <v>12.08</v>
      </c>
      <c r="T3448" s="238">
        <v>0.0</v>
      </c>
      <c r="U3448" s="238">
        <v>0.0</v>
      </c>
      <c r="V3448" s="238">
        <v>0.0</v>
      </c>
      <c r="W3448" s="238">
        <v>0.0</v>
      </c>
      <c r="X3448" s="235" t="s">
        <v>628</v>
      </c>
      <c r="Z3448" s="245"/>
      <c r="AA3448" s="245"/>
      <c r="AB3448" s="245"/>
      <c r="AC3448" s="235" t="s">
        <v>1279</v>
      </c>
      <c r="AD3448" s="235" t="s">
        <v>917</v>
      </c>
      <c r="AE3448" s="238">
        <v>302019.0</v>
      </c>
      <c r="AF3448" s="235" t="s">
        <v>631</v>
      </c>
      <c r="AG3448" s="245"/>
      <c r="AH3448" s="245"/>
      <c r="AI3448" s="245"/>
      <c r="AJ3448" s="245"/>
      <c r="AK3448" s="245"/>
      <c r="AL3448" s="245"/>
      <c r="AM3448" s="245"/>
      <c r="AN3448" s="245"/>
      <c r="AO3448" s="238">
        <v>-4.93</v>
      </c>
      <c r="AP3448" s="238">
        <v>0.0</v>
      </c>
      <c r="AQ3448" s="235" t="s">
        <v>632</v>
      </c>
      <c r="AR3448" s="243">
        <v>1.68E11</v>
      </c>
      <c r="AS3448" s="235" t="s">
        <v>23542</v>
      </c>
      <c r="AT3448" s="235" t="s">
        <v>533</v>
      </c>
      <c r="AU3448" s="235" t="s">
        <v>634</v>
      </c>
      <c r="AV3448" s="246" t="s">
        <v>635</v>
      </c>
      <c r="AW3448" s="227"/>
      <c r="AX3448" s="227"/>
      <c r="AY3448" s="227"/>
      <c r="AZ3448" s="227"/>
      <c r="BA3448" s="227"/>
      <c r="BB3448" s="227"/>
      <c r="BC3448" s="227"/>
      <c r="BD3448" s="227"/>
      <c r="BE3448" s="227"/>
      <c r="BF3448" s="227"/>
    </row>
    <row r="3449">
      <c r="A3449" s="235" t="s">
        <v>25921</v>
      </c>
      <c r="C3449" s="235" t="s">
        <v>25922</v>
      </c>
      <c r="D3449" s="235" t="s">
        <v>25923</v>
      </c>
      <c r="E3449" s="243">
        <v>6.52E13</v>
      </c>
      <c r="F3449" s="245"/>
      <c r="G3449" s="235" t="s">
        <v>25924</v>
      </c>
      <c r="H3449" s="235" t="s">
        <v>25925</v>
      </c>
      <c r="I3449" s="235" t="s">
        <v>25925</v>
      </c>
      <c r="J3449" s="235" t="s">
        <v>25926</v>
      </c>
      <c r="K3449" s="235" t="s">
        <v>25927</v>
      </c>
      <c r="N3449" s="235" t="s">
        <v>54</v>
      </c>
      <c r="O3449" s="235" t="s">
        <v>294</v>
      </c>
      <c r="P3449" s="238">
        <v>1.0</v>
      </c>
      <c r="Q3449" s="235" t="s">
        <v>627</v>
      </c>
      <c r="R3449" s="238">
        <v>246.67</v>
      </c>
      <c r="S3449" s="238">
        <v>12.33</v>
      </c>
      <c r="T3449" s="238">
        <v>56.19</v>
      </c>
      <c r="U3449" s="238">
        <v>2.81</v>
      </c>
      <c r="V3449" s="238">
        <v>0.0</v>
      </c>
      <c r="W3449" s="238">
        <v>0.0</v>
      </c>
      <c r="X3449" s="235" t="s">
        <v>628</v>
      </c>
      <c r="Z3449" s="245"/>
      <c r="AA3449" s="245"/>
      <c r="AB3449" s="245"/>
      <c r="AC3449" s="235" t="s">
        <v>9365</v>
      </c>
      <c r="AD3449" s="235" t="s">
        <v>2688</v>
      </c>
      <c r="AE3449" s="238">
        <v>180013.0</v>
      </c>
      <c r="AF3449" s="235" t="s">
        <v>631</v>
      </c>
      <c r="AG3449" s="245"/>
      <c r="AH3449" s="245"/>
      <c r="AI3449" s="245"/>
      <c r="AJ3449" s="245"/>
      <c r="AK3449" s="245"/>
      <c r="AL3449" s="245"/>
      <c r="AM3449" s="245"/>
      <c r="AN3449" s="245"/>
      <c r="AO3449" s="238">
        <v>0.0</v>
      </c>
      <c r="AP3449" s="238">
        <v>0.0</v>
      </c>
      <c r="AQ3449" s="235" t="s">
        <v>632</v>
      </c>
      <c r="AR3449" s="243">
        <v>1.68E11</v>
      </c>
      <c r="AS3449" s="235" t="s">
        <v>23542</v>
      </c>
      <c r="AT3449" s="235" t="s">
        <v>14</v>
      </c>
      <c r="AU3449" s="235" t="s">
        <v>634</v>
      </c>
      <c r="AV3449" s="246" t="s">
        <v>635</v>
      </c>
      <c r="AW3449" s="227"/>
      <c r="AX3449" s="227"/>
      <c r="AY3449" s="227"/>
      <c r="AZ3449" s="227"/>
      <c r="BA3449" s="227"/>
      <c r="BB3449" s="227"/>
      <c r="BC3449" s="227"/>
      <c r="BD3449" s="227"/>
      <c r="BE3449" s="227"/>
      <c r="BF3449" s="227"/>
    </row>
    <row r="3450">
      <c r="A3450" s="235" t="s">
        <v>25928</v>
      </c>
      <c r="C3450" s="235" t="s">
        <v>25929</v>
      </c>
      <c r="D3450" s="235" t="s">
        <v>25930</v>
      </c>
      <c r="E3450" s="243">
        <v>6.52E13</v>
      </c>
      <c r="F3450" s="245"/>
      <c r="G3450" s="235" t="s">
        <v>25931</v>
      </c>
      <c r="H3450" s="235" t="s">
        <v>25932</v>
      </c>
      <c r="I3450" s="235" t="s">
        <v>25932</v>
      </c>
      <c r="J3450" s="235" t="s">
        <v>25933</v>
      </c>
      <c r="K3450" s="235" t="s">
        <v>25934</v>
      </c>
      <c r="N3450" s="235" t="s">
        <v>120</v>
      </c>
      <c r="O3450" s="235" t="s">
        <v>324</v>
      </c>
      <c r="P3450" s="238">
        <v>1.0</v>
      </c>
      <c r="Q3450" s="235" t="s">
        <v>627</v>
      </c>
      <c r="R3450" s="238">
        <v>233.33</v>
      </c>
      <c r="S3450" s="238">
        <v>11.67</v>
      </c>
      <c r="T3450" s="238">
        <v>0.0</v>
      </c>
      <c r="U3450" s="238">
        <v>0.0</v>
      </c>
      <c r="V3450" s="238">
        <v>0.0</v>
      </c>
      <c r="W3450" s="238">
        <v>0.0</v>
      </c>
      <c r="X3450" s="235" t="s">
        <v>628</v>
      </c>
      <c r="Z3450" s="245"/>
      <c r="AA3450" s="245"/>
      <c r="AB3450" s="245"/>
      <c r="AC3450" s="235" t="s">
        <v>795</v>
      </c>
      <c r="AD3450" s="235" t="s">
        <v>796</v>
      </c>
      <c r="AE3450" s="238">
        <v>110094.0</v>
      </c>
      <c r="AF3450" s="235" t="s">
        <v>631</v>
      </c>
      <c r="AG3450" s="245"/>
      <c r="AH3450" s="245"/>
      <c r="AI3450" s="245"/>
      <c r="AJ3450" s="245"/>
      <c r="AK3450" s="245"/>
      <c r="AL3450" s="245"/>
      <c r="AM3450" s="245"/>
      <c r="AN3450" s="245"/>
      <c r="AO3450" s="238">
        <v>0.0</v>
      </c>
      <c r="AP3450" s="238">
        <v>0.0</v>
      </c>
      <c r="AQ3450" s="235" t="s">
        <v>632</v>
      </c>
      <c r="AR3450" s="243">
        <v>3.71E11</v>
      </c>
      <c r="AS3450" s="235" t="s">
        <v>25098</v>
      </c>
      <c r="AT3450" s="235" t="s">
        <v>14</v>
      </c>
      <c r="AU3450" s="235" t="s">
        <v>634</v>
      </c>
      <c r="AV3450" s="246" t="s">
        <v>635</v>
      </c>
      <c r="AW3450" s="227"/>
      <c r="AX3450" s="227"/>
      <c r="AY3450" s="227"/>
      <c r="AZ3450" s="227"/>
      <c r="BA3450" s="227"/>
      <c r="BB3450" s="227"/>
      <c r="BC3450" s="227"/>
      <c r="BD3450" s="227"/>
      <c r="BE3450" s="227"/>
      <c r="BF3450" s="227"/>
    </row>
    <row r="3451">
      <c r="A3451" s="235" t="s">
        <v>25935</v>
      </c>
      <c r="C3451" s="235" t="s">
        <v>25936</v>
      </c>
      <c r="D3451" s="235" t="s">
        <v>25937</v>
      </c>
      <c r="E3451" s="243">
        <v>6.52E13</v>
      </c>
      <c r="F3451" s="245"/>
      <c r="G3451" s="235" t="s">
        <v>25938</v>
      </c>
      <c r="H3451" s="235" t="s">
        <v>25939</v>
      </c>
      <c r="I3451" s="235" t="s">
        <v>25940</v>
      </c>
      <c r="J3451" s="235" t="s">
        <v>25941</v>
      </c>
      <c r="K3451" s="235" t="s">
        <v>25942</v>
      </c>
      <c r="N3451" s="235" t="s">
        <v>42</v>
      </c>
      <c r="O3451" s="235" t="s">
        <v>204</v>
      </c>
      <c r="P3451" s="238">
        <v>1.0</v>
      </c>
      <c r="Q3451" s="235" t="s">
        <v>627</v>
      </c>
      <c r="R3451" s="238">
        <v>237.14</v>
      </c>
      <c r="S3451" s="238">
        <v>11.62</v>
      </c>
      <c r="T3451" s="238">
        <v>0.0</v>
      </c>
      <c r="U3451" s="238">
        <v>0.0</v>
      </c>
      <c r="V3451" s="238">
        <v>0.0</v>
      </c>
      <c r="W3451" s="238">
        <v>0.0</v>
      </c>
      <c r="X3451" s="235" t="s">
        <v>628</v>
      </c>
      <c r="Z3451" s="245"/>
      <c r="AA3451" s="245"/>
      <c r="AB3451" s="245"/>
      <c r="AC3451" s="235" t="s">
        <v>697</v>
      </c>
      <c r="AD3451" s="235" t="s">
        <v>698</v>
      </c>
      <c r="AE3451" s="238">
        <v>500083.0</v>
      </c>
      <c r="AF3451" s="235" t="s">
        <v>631</v>
      </c>
      <c r="AG3451" s="245"/>
      <c r="AH3451" s="245"/>
      <c r="AI3451" s="245"/>
      <c r="AJ3451" s="245"/>
      <c r="AK3451" s="245"/>
      <c r="AL3451" s="245"/>
      <c r="AM3451" s="245"/>
      <c r="AN3451" s="245"/>
      <c r="AO3451" s="238">
        <v>-4.74</v>
      </c>
      <c r="AP3451" s="238">
        <v>0.0</v>
      </c>
      <c r="AQ3451" s="235" t="s">
        <v>632</v>
      </c>
      <c r="AR3451" s="243">
        <v>3.71E11</v>
      </c>
      <c r="AS3451" s="235" t="s">
        <v>23542</v>
      </c>
      <c r="AT3451" s="235" t="s">
        <v>11</v>
      </c>
      <c r="AU3451" s="235" t="s">
        <v>634</v>
      </c>
      <c r="AV3451" s="246" t="s">
        <v>635</v>
      </c>
      <c r="AW3451" s="227"/>
      <c r="AX3451" s="227"/>
      <c r="AY3451" s="227"/>
      <c r="AZ3451" s="227"/>
      <c r="BA3451" s="227"/>
      <c r="BB3451" s="227"/>
      <c r="BC3451" s="227"/>
      <c r="BD3451" s="227"/>
      <c r="BE3451" s="227"/>
      <c r="BF3451" s="227"/>
    </row>
    <row r="3452">
      <c r="A3452" s="235" t="s">
        <v>25943</v>
      </c>
      <c r="C3452" s="235" t="s">
        <v>25944</v>
      </c>
      <c r="D3452" s="235" t="s">
        <v>25945</v>
      </c>
      <c r="E3452" s="243">
        <v>6.52E13</v>
      </c>
      <c r="F3452" s="245"/>
      <c r="G3452" s="235" t="s">
        <v>25946</v>
      </c>
      <c r="H3452" s="235" t="s">
        <v>25947</v>
      </c>
      <c r="I3452" s="235" t="s">
        <v>25947</v>
      </c>
      <c r="J3452" s="235" t="s">
        <v>25948</v>
      </c>
      <c r="K3452" s="235" t="s">
        <v>25949</v>
      </c>
      <c r="N3452" s="235" t="s">
        <v>989</v>
      </c>
      <c r="O3452" s="235" t="s">
        <v>990</v>
      </c>
      <c r="P3452" s="238">
        <v>1.0</v>
      </c>
      <c r="Q3452" s="235" t="s">
        <v>627</v>
      </c>
      <c r="R3452" s="238">
        <v>256.2</v>
      </c>
      <c r="S3452" s="238">
        <v>12.8</v>
      </c>
      <c r="T3452" s="238">
        <v>0.0</v>
      </c>
      <c r="U3452" s="238">
        <v>0.0</v>
      </c>
      <c r="V3452" s="238">
        <v>0.0</v>
      </c>
      <c r="W3452" s="238">
        <v>0.0</v>
      </c>
      <c r="X3452" s="235" t="s">
        <v>628</v>
      </c>
      <c r="Z3452" s="245"/>
      <c r="AA3452" s="245"/>
      <c r="AB3452" s="245"/>
      <c r="AC3452" s="235" t="s">
        <v>678</v>
      </c>
      <c r="AD3452" s="235" t="s">
        <v>679</v>
      </c>
      <c r="AE3452" s="238">
        <v>560048.0</v>
      </c>
      <c r="AF3452" s="235" t="s">
        <v>631</v>
      </c>
      <c r="AG3452" s="245"/>
      <c r="AH3452" s="245"/>
      <c r="AI3452" s="245"/>
      <c r="AJ3452" s="245"/>
      <c r="AK3452" s="245"/>
      <c r="AL3452" s="245"/>
      <c r="AM3452" s="245"/>
      <c r="AN3452" s="245"/>
      <c r="AO3452" s="238">
        <v>0.0</v>
      </c>
      <c r="AP3452" s="238">
        <v>0.0</v>
      </c>
      <c r="AQ3452" s="235" t="s">
        <v>632</v>
      </c>
      <c r="AR3452" s="243">
        <v>3.71E11</v>
      </c>
      <c r="AS3452" s="235" t="s">
        <v>25098</v>
      </c>
      <c r="AT3452" s="235" t="s">
        <v>9</v>
      </c>
      <c r="AU3452" s="235" t="s">
        <v>634</v>
      </c>
      <c r="AV3452" s="246" t="s">
        <v>635</v>
      </c>
      <c r="AW3452" s="227"/>
      <c r="AX3452" s="227"/>
      <c r="AY3452" s="227"/>
      <c r="AZ3452" s="227"/>
      <c r="BA3452" s="227"/>
      <c r="BB3452" s="227"/>
      <c r="BC3452" s="227"/>
      <c r="BD3452" s="227"/>
      <c r="BE3452" s="227"/>
      <c r="BF3452" s="227"/>
    </row>
    <row r="3453">
      <c r="A3453" s="235" t="s">
        <v>25950</v>
      </c>
      <c r="C3453" s="235" t="s">
        <v>25951</v>
      </c>
      <c r="D3453" s="235" t="s">
        <v>25952</v>
      </c>
      <c r="E3453" s="243">
        <v>6.52E13</v>
      </c>
      <c r="F3453" s="245"/>
      <c r="G3453" s="235" t="s">
        <v>25953</v>
      </c>
      <c r="H3453" s="235" t="s">
        <v>25954</v>
      </c>
      <c r="I3453" s="235" t="s">
        <v>25954</v>
      </c>
      <c r="J3453" s="235" t="s">
        <v>25955</v>
      </c>
      <c r="K3453" s="235" t="s">
        <v>25956</v>
      </c>
      <c r="N3453" s="235" t="s">
        <v>104</v>
      </c>
      <c r="O3453" s="235" t="s">
        <v>401</v>
      </c>
      <c r="P3453" s="238">
        <v>1.0</v>
      </c>
      <c r="Q3453" s="235" t="s">
        <v>627</v>
      </c>
      <c r="R3453" s="238">
        <v>246.66</v>
      </c>
      <c r="S3453" s="238">
        <v>12.34</v>
      </c>
      <c r="T3453" s="238">
        <v>0.0</v>
      </c>
      <c r="U3453" s="238">
        <v>0.0</v>
      </c>
      <c r="V3453" s="238">
        <v>0.0</v>
      </c>
      <c r="W3453" s="238">
        <v>0.0</v>
      </c>
      <c r="X3453" s="235" t="s">
        <v>628</v>
      </c>
      <c r="Z3453" s="245"/>
      <c r="AA3453" s="245"/>
      <c r="AB3453" s="245"/>
      <c r="AC3453" s="235" t="s">
        <v>678</v>
      </c>
      <c r="AD3453" s="235" t="s">
        <v>679</v>
      </c>
      <c r="AE3453" s="238">
        <v>560049.0</v>
      </c>
      <c r="AF3453" s="235" t="s">
        <v>631</v>
      </c>
      <c r="AG3453" s="245"/>
      <c r="AH3453" s="245"/>
      <c r="AI3453" s="245"/>
      <c r="AJ3453" s="245"/>
      <c r="AK3453" s="245"/>
      <c r="AL3453" s="245"/>
      <c r="AM3453" s="245"/>
      <c r="AN3453" s="245"/>
      <c r="AO3453" s="238">
        <v>0.0</v>
      </c>
      <c r="AP3453" s="238">
        <v>0.0</v>
      </c>
      <c r="AQ3453" s="235" t="s">
        <v>632</v>
      </c>
      <c r="AR3453" s="243">
        <v>1.68E11</v>
      </c>
      <c r="AS3453" s="235" t="s">
        <v>25713</v>
      </c>
      <c r="AT3453" s="235" t="s">
        <v>9</v>
      </c>
      <c r="AU3453" s="235" t="s">
        <v>634</v>
      </c>
      <c r="AV3453" s="246" t="s">
        <v>635</v>
      </c>
      <c r="AW3453" s="227"/>
      <c r="AX3453" s="227"/>
      <c r="AY3453" s="227"/>
      <c r="AZ3453" s="227"/>
      <c r="BA3453" s="227"/>
      <c r="BB3453" s="227"/>
      <c r="BC3453" s="227"/>
      <c r="BD3453" s="227"/>
      <c r="BE3453" s="227"/>
      <c r="BF3453" s="227"/>
    </row>
    <row r="3454">
      <c r="A3454" s="235" t="s">
        <v>25957</v>
      </c>
      <c r="C3454" s="235" t="s">
        <v>25958</v>
      </c>
      <c r="D3454" s="235" t="s">
        <v>25959</v>
      </c>
      <c r="E3454" s="243">
        <v>6.51E13</v>
      </c>
      <c r="F3454" s="245"/>
      <c r="G3454" s="235" t="s">
        <v>25960</v>
      </c>
      <c r="H3454" s="235" t="s">
        <v>25961</v>
      </c>
      <c r="I3454" s="235" t="s">
        <v>25961</v>
      </c>
      <c r="J3454" s="235" t="s">
        <v>25962</v>
      </c>
      <c r="K3454" s="235" t="s">
        <v>25963</v>
      </c>
      <c r="N3454" s="235" t="s">
        <v>54</v>
      </c>
      <c r="O3454" s="235" t="s">
        <v>294</v>
      </c>
      <c r="P3454" s="238">
        <v>1.0</v>
      </c>
      <c r="Q3454" s="235" t="s">
        <v>627</v>
      </c>
      <c r="R3454" s="238">
        <v>261.9</v>
      </c>
      <c r="S3454" s="238">
        <v>13.1</v>
      </c>
      <c r="T3454" s="238">
        <v>38.1</v>
      </c>
      <c r="U3454" s="238">
        <v>1.9</v>
      </c>
      <c r="V3454" s="238">
        <v>0.0</v>
      </c>
      <c r="W3454" s="238">
        <v>0.0</v>
      </c>
      <c r="X3454" s="235" t="s">
        <v>628</v>
      </c>
      <c r="Z3454" s="245"/>
      <c r="AA3454" s="245"/>
      <c r="AB3454" s="245"/>
      <c r="AC3454" s="235" t="s">
        <v>1887</v>
      </c>
      <c r="AD3454" s="235" t="s">
        <v>679</v>
      </c>
      <c r="AE3454" s="238">
        <v>560051.0</v>
      </c>
      <c r="AF3454" s="235" t="s">
        <v>631</v>
      </c>
      <c r="AG3454" s="245"/>
      <c r="AH3454" s="245"/>
      <c r="AI3454" s="245"/>
      <c r="AJ3454" s="245"/>
      <c r="AK3454" s="245"/>
      <c r="AL3454" s="245"/>
      <c r="AM3454" s="245"/>
      <c r="AN3454" s="245"/>
      <c r="AO3454" s="238">
        <v>0.0</v>
      </c>
      <c r="AP3454" s="238">
        <v>-38.1</v>
      </c>
      <c r="AQ3454" s="235" t="s">
        <v>632</v>
      </c>
      <c r="AR3454" s="243">
        <v>3.71E11</v>
      </c>
      <c r="AS3454" s="235" t="s">
        <v>25098</v>
      </c>
      <c r="AT3454" s="235" t="s">
        <v>9</v>
      </c>
      <c r="AU3454" s="235" t="s">
        <v>634</v>
      </c>
      <c r="AV3454" s="246" t="s">
        <v>635</v>
      </c>
      <c r="AW3454" s="227"/>
      <c r="AX3454" s="227"/>
      <c r="AY3454" s="227"/>
      <c r="AZ3454" s="227"/>
      <c r="BA3454" s="227"/>
      <c r="BB3454" s="227"/>
      <c r="BC3454" s="227"/>
      <c r="BD3454" s="227"/>
      <c r="BE3454" s="227"/>
      <c r="BF3454" s="227"/>
    </row>
    <row r="3455">
      <c r="A3455" s="235" t="s">
        <v>25964</v>
      </c>
      <c r="C3455" s="235" t="s">
        <v>25965</v>
      </c>
      <c r="D3455" s="235" t="s">
        <v>25966</v>
      </c>
      <c r="E3455" s="243">
        <v>6.52E13</v>
      </c>
      <c r="F3455" s="245"/>
      <c r="G3455" s="235" t="s">
        <v>25967</v>
      </c>
      <c r="H3455" s="235" t="s">
        <v>25968</v>
      </c>
      <c r="I3455" s="235" t="s">
        <v>25969</v>
      </c>
      <c r="J3455" s="235" t="s">
        <v>25970</v>
      </c>
      <c r="K3455" s="235" t="s">
        <v>25971</v>
      </c>
      <c r="N3455" s="235" t="s">
        <v>136</v>
      </c>
      <c r="O3455" s="235" t="s">
        <v>256</v>
      </c>
      <c r="P3455" s="238">
        <v>1.0</v>
      </c>
      <c r="Q3455" s="235" t="s">
        <v>627</v>
      </c>
      <c r="R3455" s="238">
        <v>246.67</v>
      </c>
      <c r="S3455" s="238">
        <v>12.08</v>
      </c>
      <c r="T3455" s="238">
        <v>0.0</v>
      </c>
      <c r="U3455" s="238">
        <v>0.0</v>
      </c>
      <c r="V3455" s="238">
        <v>0.0</v>
      </c>
      <c r="W3455" s="238">
        <v>0.0</v>
      </c>
      <c r="X3455" s="235" t="s">
        <v>628</v>
      </c>
      <c r="Z3455" s="245"/>
      <c r="AA3455" s="245"/>
      <c r="AB3455" s="245"/>
      <c r="AC3455" s="235" t="s">
        <v>1287</v>
      </c>
      <c r="AD3455" s="235" t="s">
        <v>630</v>
      </c>
      <c r="AE3455" s="238">
        <v>201005.0</v>
      </c>
      <c r="AF3455" s="235" t="s">
        <v>631</v>
      </c>
      <c r="AG3455" s="245"/>
      <c r="AH3455" s="245"/>
      <c r="AI3455" s="245"/>
      <c r="AJ3455" s="245"/>
      <c r="AK3455" s="245"/>
      <c r="AL3455" s="245"/>
      <c r="AM3455" s="245"/>
      <c r="AN3455" s="245"/>
      <c r="AO3455" s="238">
        <v>-4.93</v>
      </c>
      <c r="AP3455" s="238">
        <v>0.0</v>
      </c>
      <c r="AQ3455" s="235" t="s">
        <v>632</v>
      </c>
      <c r="AR3455" s="243">
        <v>3.71E11</v>
      </c>
      <c r="AS3455" s="235" t="s">
        <v>25098</v>
      </c>
      <c r="AT3455" s="235" t="s">
        <v>13</v>
      </c>
      <c r="AU3455" s="235" t="s">
        <v>634</v>
      </c>
      <c r="AV3455" s="246" t="s">
        <v>635</v>
      </c>
      <c r="AW3455" s="227"/>
      <c r="AX3455" s="227"/>
      <c r="AY3455" s="227"/>
      <c r="AZ3455" s="227"/>
      <c r="BA3455" s="227"/>
      <c r="BB3455" s="227"/>
      <c r="BC3455" s="227"/>
      <c r="BD3455" s="227"/>
      <c r="BE3455" s="227"/>
      <c r="BF3455" s="227"/>
    </row>
    <row r="3456">
      <c r="A3456" s="235" t="s">
        <v>25972</v>
      </c>
      <c r="C3456" s="235" t="s">
        <v>25973</v>
      </c>
      <c r="D3456" s="235" t="s">
        <v>25974</v>
      </c>
      <c r="E3456" s="243">
        <v>6.52E13</v>
      </c>
      <c r="F3456" s="245"/>
      <c r="G3456" s="235" t="s">
        <v>25975</v>
      </c>
      <c r="H3456" s="235" t="s">
        <v>25976</v>
      </c>
      <c r="I3456" s="235" t="s">
        <v>25977</v>
      </c>
      <c r="J3456" s="235" t="s">
        <v>25978</v>
      </c>
      <c r="K3456" s="235" t="s">
        <v>25979</v>
      </c>
      <c r="N3456" s="235" t="s">
        <v>106</v>
      </c>
      <c r="O3456" s="235" t="s">
        <v>338</v>
      </c>
      <c r="P3456" s="238">
        <v>1.0</v>
      </c>
      <c r="Q3456" s="235" t="s">
        <v>627</v>
      </c>
      <c r="R3456" s="238">
        <v>246.67</v>
      </c>
      <c r="S3456" s="238">
        <v>12.08</v>
      </c>
      <c r="T3456" s="238">
        <v>0.0</v>
      </c>
      <c r="U3456" s="238">
        <v>0.0</v>
      </c>
      <c r="V3456" s="238">
        <v>0.0</v>
      </c>
      <c r="W3456" s="238">
        <v>0.0</v>
      </c>
      <c r="X3456" s="235" t="s">
        <v>628</v>
      </c>
      <c r="Z3456" s="245"/>
      <c r="AA3456" s="245"/>
      <c r="AB3456" s="245"/>
      <c r="AC3456" s="235" t="s">
        <v>4988</v>
      </c>
      <c r="AD3456" s="235" t="s">
        <v>630</v>
      </c>
      <c r="AE3456" s="238">
        <v>226021.0</v>
      </c>
      <c r="AF3456" s="235" t="s">
        <v>631</v>
      </c>
      <c r="AG3456" s="245"/>
      <c r="AH3456" s="245"/>
      <c r="AI3456" s="245"/>
      <c r="AJ3456" s="245"/>
      <c r="AK3456" s="245"/>
      <c r="AL3456" s="245"/>
      <c r="AM3456" s="245"/>
      <c r="AN3456" s="245"/>
      <c r="AO3456" s="238">
        <v>-4.93</v>
      </c>
      <c r="AP3456" s="238">
        <v>0.0</v>
      </c>
      <c r="AQ3456" s="235" t="s">
        <v>632</v>
      </c>
      <c r="AR3456" s="243">
        <v>2.02E11</v>
      </c>
      <c r="AS3456" s="235" t="s">
        <v>25098</v>
      </c>
      <c r="AT3456" s="235" t="s">
        <v>14</v>
      </c>
      <c r="AU3456" s="235" t="s">
        <v>634</v>
      </c>
      <c r="AV3456" s="246" t="s">
        <v>635</v>
      </c>
      <c r="AW3456" s="227"/>
      <c r="AX3456" s="227"/>
      <c r="AY3456" s="227"/>
      <c r="AZ3456" s="227"/>
      <c r="BA3456" s="227"/>
      <c r="BB3456" s="227"/>
      <c r="BC3456" s="227"/>
      <c r="BD3456" s="227"/>
      <c r="BE3456" s="227"/>
      <c r="BF3456" s="227"/>
    </row>
    <row r="3457">
      <c r="A3457" s="235" t="s">
        <v>25980</v>
      </c>
      <c r="C3457" s="235" t="s">
        <v>25981</v>
      </c>
      <c r="D3457" s="235" t="s">
        <v>25982</v>
      </c>
      <c r="E3457" s="243">
        <v>6.51E13</v>
      </c>
      <c r="F3457" s="245"/>
      <c r="G3457" s="235" t="s">
        <v>25983</v>
      </c>
      <c r="H3457" s="235" t="s">
        <v>25984</v>
      </c>
      <c r="I3457" s="235" t="s">
        <v>25984</v>
      </c>
      <c r="J3457" s="235" t="s">
        <v>25985</v>
      </c>
      <c r="K3457" s="235" t="s">
        <v>25986</v>
      </c>
      <c r="N3457" s="235" t="s">
        <v>42</v>
      </c>
      <c r="O3457" s="235" t="s">
        <v>204</v>
      </c>
      <c r="P3457" s="238">
        <v>1.0</v>
      </c>
      <c r="Q3457" s="235" t="s">
        <v>627</v>
      </c>
      <c r="R3457" s="238">
        <v>270.48</v>
      </c>
      <c r="S3457" s="238">
        <v>13.52</v>
      </c>
      <c r="T3457" s="238">
        <v>38.1</v>
      </c>
      <c r="U3457" s="238">
        <v>1.9</v>
      </c>
      <c r="V3457" s="238">
        <v>0.0</v>
      </c>
      <c r="W3457" s="238">
        <v>0.0</v>
      </c>
      <c r="X3457" s="235" t="s">
        <v>628</v>
      </c>
      <c r="Z3457" s="245"/>
      <c r="AA3457" s="245"/>
      <c r="AB3457" s="245"/>
      <c r="AC3457" s="235" t="s">
        <v>2236</v>
      </c>
      <c r="AD3457" s="235" t="s">
        <v>666</v>
      </c>
      <c r="AE3457" s="238">
        <v>641003.0</v>
      </c>
      <c r="AF3457" s="235" t="s">
        <v>631</v>
      </c>
      <c r="AG3457" s="245"/>
      <c r="AH3457" s="245"/>
      <c r="AI3457" s="245"/>
      <c r="AJ3457" s="245"/>
      <c r="AK3457" s="245"/>
      <c r="AL3457" s="245"/>
      <c r="AM3457" s="245"/>
      <c r="AN3457" s="245"/>
      <c r="AO3457" s="238">
        <v>0.0</v>
      </c>
      <c r="AP3457" s="238">
        <v>-38.1</v>
      </c>
      <c r="AQ3457" s="235" t="s">
        <v>632</v>
      </c>
      <c r="AR3457" s="243">
        <v>3.71E11</v>
      </c>
      <c r="AS3457" s="235" t="s">
        <v>25098</v>
      </c>
      <c r="AT3457" s="235" t="s">
        <v>155</v>
      </c>
      <c r="AU3457" s="235" t="s">
        <v>634</v>
      </c>
      <c r="AV3457" s="246" t="s">
        <v>635</v>
      </c>
      <c r="AW3457" s="227"/>
      <c r="AX3457" s="227"/>
      <c r="AY3457" s="227"/>
      <c r="AZ3457" s="227"/>
      <c r="BA3457" s="227"/>
      <c r="BB3457" s="227"/>
      <c r="BC3457" s="227"/>
      <c r="BD3457" s="227"/>
      <c r="BE3457" s="227"/>
      <c r="BF3457" s="227"/>
    </row>
    <row r="3458">
      <c r="A3458" s="235" t="s">
        <v>25987</v>
      </c>
      <c r="C3458" s="235" t="s">
        <v>25988</v>
      </c>
      <c r="D3458" s="235" t="s">
        <v>25989</v>
      </c>
      <c r="E3458" s="243">
        <v>6.52E13</v>
      </c>
      <c r="F3458" s="245"/>
      <c r="G3458" s="235" t="s">
        <v>25990</v>
      </c>
      <c r="H3458" s="235" t="s">
        <v>25991</v>
      </c>
      <c r="I3458" s="235" t="s">
        <v>25991</v>
      </c>
      <c r="J3458" s="235" t="s">
        <v>25992</v>
      </c>
      <c r="K3458" s="235" t="s">
        <v>25993</v>
      </c>
      <c r="N3458" s="235" t="s">
        <v>154</v>
      </c>
      <c r="O3458" s="235" t="s">
        <v>766</v>
      </c>
      <c r="P3458" s="238">
        <v>1.0</v>
      </c>
      <c r="Q3458" s="235" t="s">
        <v>627</v>
      </c>
      <c r="R3458" s="238">
        <v>465.71</v>
      </c>
      <c r="S3458" s="238">
        <v>22.82</v>
      </c>
      <c r="T3458" s="238">
        <v>0.0</v>
      </c>
      <c r="U3458" s="238">
        <v>0.0</v>
      </c>
      <c r="V3458" s="238">
        <v>0.0</v>
      </c>
      <c r="W3458" s="238">
        <v>0.0</v>
      </c>
      <c r="X3458" s="235" t="s">
        <v>628</v>
      </c>
      <c r="Z3458" s="245"/>
      <c r="AA3458" s="245"/>
      <c r="AB3458" s="245"/>
      <c r="AC3458" s="235" t="s">
        <v>1475</v>
      </c>
      <c r="AD3458" s="235" t="s">
        <v>796</v>
      </c>
      <c r="AE3458" s="238">
        <v>110067.0</v>
      </c>
      <c r="AF3458" s="235" t="s">
        <v>631</v>
      </c>
      <c r="AG3458" s="245"/>
      <c r="AH3458" s="245"/>
      <c r="AI3458" s="245"/>
      <c r="AJ3458" s="245"/>
      <c r="AK3458" s="245"/>
      <c r="AL3458" s="245"/>
      <c r="AM3458" s="245"/>
      <c r="AN3458" s="245"/>
      <c r="AO3458" s="238">
        <v>-9.31</v>
      </c>
      <c r="AP3458" s="238">
        <v>0.0</v>
      </c>
      <c r="AQ3458" s="235" t="s">
        <v>632</v>
      </c>
      <c r="AR3458" s="243">
        <v>1.68E11</v>
      </c>
      <c r="AS3458" s="235" t="s">
        <v>25713</v>
      </c>
      <c r="AT3458" s="235" t="s">
        <v>14</v>
      </c>
      <c r="AU3458" s="235" t="s">
        <v>634</v>
      </c>
      <c r="AV3458" s="246" t="s">
        <v>635</v>
      </c>
      <c r="AW3458" s="227"/>
      <c r="AX3458" s="227"/>
      <c r="AY3458" s="227"/>
      <c r="AZ3458" s="227"/>
      <c r="BA3458" s="227"/>
      <c r="BB3458" s="227"/>
      <c r="BC3458" s="227"/>
      <c r="BD3458" s="227"/>
      <c r="BE3458" s="227"/>
      <c r="BF3458" s="227"/>
    </row>
    <row r="3459">
      <c r="A3459" s="235" t="s">
        <v>25994</v>
      </c>
      <c r="C3459" s="235" t="s">
        <v>25995</v>
      </c>
      <c r="D3459" s="235" t="s">
        <v>25996</v>
      </c>
      <c r="E3459" s="243">
        <v>6.52E13</v>
      </c>
      <c r="F3459" s="245"/>
      <c r="G3459" s="235" t="s">
        <v>25997</v>
      </c>
      <c r="H3459" s="235" t="s">
        <v>25998</v>
      </c>
      <c r="I3459" s="235" t="s">
        <v>25998</v>
      </c>
      <c r="J3459" s="235" t="s">
        <v>25999</v>
      </c>
      <c r="K3459" s="235" t="s">
        <v>26000</v>
      </c>
      <c r="N3459" s="235" t="s">
        <v>47</v>
      </c>
      <c r="O3459" s="235" t="s">
        <v>270</v>
      </c>
      <c r="P3459" s="238">
        <v>1.0</v>
      </c>
      <c r="Q3459" s="235" t="s">
        <v>627</v>
      </c>
      <c r="R3459" s="238">
        <v>237.14</v>
      </c>
      <c r="S3459" s="238">
        <v>11.86</v>
      </c>
      <c r="T3459" s="238">
        <v>0.0</v>
      </c>
      <c r="U3459" s="238">
        <v>0.0</v>
      </c>
      <c r="V3459" s="238">
        <v>0.0</v>
      </c>
      <c r="W3459" s="238">
        <v>0.0</v>
      </c>
      <c r="X3459" s="235" t="s">
        <v>628</v>
      </c>
      <c r="Z3459" s="245"/>
      <c r="AA3459" s="245"/>
      <c r="AB3459" s="245"/>
      <c r="AC3459" s="235" t="s">
        <v>687</v>
      </c>
      <c r="AD3459" s="235" t="s">
        <v>666</v>
      </c>
      <c r="AE3459" s="238">
        <v>600091.0</v>
      </c>
      <c r="AF3459" s="235" t="s">
        <v>631</v>
      </c>
      <c r="AG3459" s="245"/>
      <c r="AH3459" s="245"/>
      <c r="AI3459" s="245"/>
      <c r="AJ3459" s="245"/>
      <c r="AK3459" s="245"/>
      <c r="AL3459" s="245"/>
      <c r="AM3459" s="245"/>
      <c r="AN3459" s="245"/>
      <c r="AO3459" s="238">
        <v>0.0</v>
      </c>
      <c r="AP3459" s="238">
        <v>0.0</v>
      </c>
      <c r="AQ3459" s="235" t="s">
        <v>632</v>
      </c>
      <c r="AR3459" s="243">
        <v>1.68E11</v>
      </c>
      <c r="AS3459" s="235" t="s">
        <v>25713</v>
      </c>
      <c r="AT3459" s="235" t="s">
        <v>156</v>
      </c>
      <c r="AU3459" s="235" t="s">
        <v>634</v>
      </c>
      <c r="AV3459" s="246" t="s">
        <v>635</v>
      </c>
      <c r="AW3459" s="227"/>
      <c r="AX3459" s="227"/>
      <c r="AY3459" s="227"/>
      <c r="AZ3459" s="227"/>
      <c r="BA3459" s="227"/>
      <c r="BB3459" s="227"/>
      <c r="BC3459" s="227"/>
      <c r="BD3459" s="227"/>
      <c r="BE3459" s="227"/>
      <c r="BF3459" s="227"/>
    </row>
    <row r="3460">
      <c r="A3460" s="235" t="s">
        <v>25994</v>
      </c>
      <c r="C3460" s="235" t="s">
        <v>25995</v>
      </c>
      <c r="D3460" s="235" t="s">
        <v>26001</v>
      </c>
      <c r="E3460" s="243">
        <v>6.52E13</v>
      </c>
      <c r="F3460" s="245"/>
      <c r="G3460" s="235" t="s">
        <v>25997</v>
      </c>
      <c r="H3460" s="235" t="s">
        <v>25998</v>
      </c>
      <c r="I3460" s="235" t="s">
        <v>25998</v>
      </c>
      <c r="J3460" s="235" t="s">
        <v>25999</v>
      </c>
      <c r="K3460" s="235" t="s">
        <v>26000</v>
      </c>
      <c r="N3460" s="235" t="s">
        <v>127</v>
      </c>
      <c r="O3460" s="235" t="s">
        <v>794</v>
      </c>
      <c r="P3460" s="238">
        <v>1.0</v>
      </c>
      <c r="Q3460" s="235" t="s">
        <v>627</v>
      </c>
      <c r="R3460" s="238">
        <v>243.8</v>
      </c>
      <c r="S3460" s="238">
        <v>11.96</v>
      </c>
      <c r="T3460" s="238">
        <v>0.0</v>
      </c>
      <c r="U3460" s="238">
        <v>0.0</v>
      </c>
      <c r="V3460" s="238">
        <v>0.0</v>
      </c>
      <c r="W3460" s="238">
        <v>0.0</v>
      </c>
      <c r="X3460" s="235" t="s">
        <v>628</v>
      </c>
      <c r="Z3460" s="245"/>
      <c r="AA3460" s="245"/>
      <c r="AB3460" s="245"/>
      <c r="AC3460" s="235" t="s">
        <v>687</v>
      </c>
      <c r="AD3460" s="235" t="s">
        <v>666</v>
      </c>
      <c r="AE3460" s="238">
        <v>600091.0</v>
      </c>
      <c r="AF3460" s="235" t="s">
        <v>631</v>
      </c>
      <c r="AG3460" s="245"/>
      <c r="AH3460" s="245"/>
      <c r="AI3460" s="245"/>
      <c r="AJ3460" s="245"/>
      <c r="AK3460" s="245"/>
      <c r="AL3460" s="245"/>
      <c r="AM3460" s="245"/>
      <c r="AN3460" s="245"/>
      <c r="AO3460" s="238">
        <v>-4.88</v>
      </c>
      <c r="AP3460" s="238">
        <v>0.0</v>
      </c>
      <c r="AQ3460" s="235" t="s">
        <v>632</v>
      </c>
      <c r="AR3460" s="243">
        <v>1.68E11</v>
      </c>
      <c r="AS3460" s="235" t="s">
        <v>25713</v>
      </c>
      <c r="AT3460" s="235" t="s">
        <v>156</v>
      </c>
      <c r="AU3460" s="235" t="s">
        <v>634</v>
      </c>
      <c r="AV3460" s="246" t="s">
        <v>635</v>
      </c>
      <c r="AW3460" s="227"/>
      <c r="AX3460" s="227"/>
      <c r="AY3460" s="227"/>
      <c r="AZ3460" s="227"/>
      <c r="BA3460" s="227"/>
      <c r="BB3460" s="227"/>
      <c r="BC3460" s="227"/>
      <c r="BD3460" s="227"/>
      <c r="BE3460" s="227"/>
      <c r="BF3460" s="227"/>
    </row>
    <row r="3461">
      <c r="A3461" s="235" t="s">
        <v>26002</v>
      </c>
      <c r="C3461" s="235" t="s">
        <v>26003</v>
      </c>
      <c r="D3461" s="235" t="s">
        <v>26004</v>
      </c>
      <c r="E3461" s="243">
        <v>6.52E13</v>
      </c>
      <c r="F3461" s="245"/>
      <c r="G3461" s="235" t="s">
        <v>26005</v>
      </c>
      <c r="H3461" s="235" t="s">
        <v>26006</v>
      </c>
      <c r="I3461" s="235" t="s">
        <v>26006</v>
      </c>
      <c r="J3461" s="235" t="s">
        <v>26007</v>
      </c>
      <c r="K3461" s="235" t="s">
        <v>26008</v>
      </c>
      <c r="N3461" s="235" t="s">
        <v>50</v>
      </c>
      <c r="O3461" s="235" t="s">
        <v>367</v>
      </c>
      <c r="P3461" s="238">
        <v>1.0</v>
      </c>
      <c r="Q3461" s="235" t="s">
        <v>627</v>
      </c>
      <c r="R3461" s="238">
        <v>246.67</v>
      </c>
      <c r="S3461" s="238">
        <v>12.33</v>
      </c>
      <c r="T3461" s="238">
        <v>38.1</v>
      </c>
      <c r="U3461" s="238">
        <v>1.9</v>
      </c>
      <c r="V3461" s="238">
        <v>0.0</v>
      </c>
      <c r="W3461" s="238">
        <v>0.0</v>
      </c>
      <c r="X3461" s="235" t="s">
        <v>628</v>
      </c>
      <c r="Z3461" s="245"/>
      <c r="AA3461" s="245"/>
      <c r="AB3461" s="245"/>
      <c r="AC3461" s="235" t="s">
        <v>697</v>
      </c>
      <c r="AD3461" s="235" t="s">
        <v>698</v>
      </c>
      <c r="AE3461" s="238">
        <v>500019.0</v>
      </c>
      <c r="AF3461" s="235" t="s">
        <v>631</v>
      </c>
      <c r="AG3461" s="245"/>
      <c r="AH3461" s="245"/>
      <c r="AI3461" s="245"/>
      <c r="AJ3461" s="245"/>
      <c r="AK3461" s="245"/>
      <c r="AL3461" s="245"/>
      <c r="AM3461" s="245"/>
      <c r="AN3461" s="245"/>
      <c r="AO3461" s="238">
        <v>0.0</v>
      </c>
      <c r="AP3461" s="238">
        <v>-38.1</v>
      </c>
      <c r="AQ3461" s="235" t="s">
        <v>632</v>
      </c>
      <c r="AR3461" s="243">
        <v>3.71E11</v>
      </c>
      <c r="AS3461" s="235" t="s">
        <v>22269</v>
      </c>
      <c r="AT3461" s="235" t="s">
        <v>16</v>
      </c>
      <c r="AU3461" s="235" t="s">
        <v>634</v>
      </c>
      <c r="AV3461" s="246" t="s">
        <v>635</v>
      </c>
      <c r="AW3461" s="227"/>
      <c r="AX3461" s="227"/>
      <c r="AY3461" s="227"/>
      <c r="AZ3461" s="227"/>
      <c r="BA3461" s="227"/>
      <c r="BB3461" s="227"/>
      <c r="BC3461" s="227"/>
      <c r="BD3461" s="227"/>
      <c r="BE3461" s="227"/>
      <c r="BF3461" s="227"/>
    </row>
    <row r="3462">
      <c r="A3462" s="235" t="s">
        <v>26009</v>
      </c>
      <c r="C3462" s="235" t="s">
        <v>26010</v>
      </c>
      <c r="D3462" s="235" t="s">
        <v>26011</v>
      </c>
      <c r="E3462" s="243">
        <v>6.52E13</v>
      </c>
      <c r="F3462" s="245"/>
      <c r="G3462" s="235" t="s">
        <v>26012</v>
      </c>
      <c r="H3462" s="235" t="s">
        <v>26013</v>
      </c>
      <c r="I3462" s="235" t="s">
        <v>26013</v>
      </c>
      <c r="J3462" s="235" t="s">
        <v>26014</v>
      </c>
      <c r="K3462" s="235" t="s">
        <v>26015</v>
      </c>
      <c r="N3462" s="235" t="s">
        <v>42</v>
      </c>
      <c r="O3462" s="235" t="s">
        <v>204</v>
      </c>
      <c r="P3462" s="238">
        <v>1.0</v>
      </c>
      <c r="Q3462" s="235" t="s">
        <v>627</v>
      </c>
      <c r="R3462" s="238">
        <v>237.14</v>
      </c>
      <c r="S3462" s="238">
        <v>11.86</v>
      </c>
      <c r="T3462" s="238">
        <v>0.0</v>
      </c>
      <c r="U3462" s="238">
        <v>0.0</v>
      </c>
      <c r="V3462" s="238">
        <v>0.0</v>
      </c>
      <c r="W3462" s="238">
        <v>0.0</v>
      </c>
      <c r="X3462" s="235" t="s">
        <v>628</v>
      </c>
      <c r="Z3462" s="245"/>
      <c r="AA3462" s="245"/>
      <c r="AB3462" s="245"/>
      <c r="AC3462" s="235" t="s">
        <v>687</v>
      </c>
      <c r="AD3462" s="235" t="s">
        <v>666</v>
      </c>
      <c r="AE3462" s="238">
        <v>600100.0</v>
      </c>
      <c r="AF3462" s="235" t="s">
        <v>631</v>
      </c>
      <c r="AG3462" s="245"/>
      <c r="AH3462" s="245"/>
      <c r="AI3462" s="245"/>
      <c r="AJ3462" s="245"/>
      <c r="AK3462" s="245"/>
      <c r="AL3462" s="245"/>
      <c r="AM3462" s="245"/>
      <c r="AN3462" s="245"/>
      <c r="AO3462" s="238">
        <v>0.0</v>
      </c>
      <c r="AP3462" s="238">
        <v>0.0</v>
      </c>
      <c r="AQ3462" s="235" t="s">
        <v>632</v>
      </c>
      <c r="AR3462" s="243">
        <v>3.71E11</v>
      </c>
      <c r="AS3462" s="235" t="s">
        <v>23542</v>
      </c>
      <c r="AT3462" s="235" t="s">
        <v>155</v>
      </c>
      <c r="AU3462" s="235" t="s">
        <v>634</v>
      </c>
      <c r="AV3462" s="246" t="s">
        <v>635</v>
      </c>
      <c r="AW3462" s="227"/>
      <c r="AX3462" s="227"/>
      <c r="AY3462" s="227"/>
      <c r="AZ3462" s="227"/>
      <c r="BA3462" s="227"/>
      <c r="BB3462" s="227"/>
      <c r="BC3462" s="227"/>
      <c r="BD3462" s="227"/>
      <c r="BE3462" s="227"/>
      <c r="BF3462" s="227"/>
    </row>
    <row r="3463">
      <c r="A3463" s="235" t="s">
        <v>26016</v>
      </c>
      <c r="C3463" s="235" t="s">
        <v>26017</v>
      </c>
      <c r="D3463" s="235" t="s">
        <v>26018</v>
      </c>
      <c r="E3463" s="243">
        <v>6.51E13</v>
      </c>
      <c r="F3463" s="245"/>
      <c r="G3463" s="235" t="s">
        <v>26019</v>
      </c>
      <c r="H3463" s="235" t="s">
        <v>26020</v>
      </c>
      <c r="I3463" s="235" t="s">
        <v>26020</v>
      </c>
      <c r="J3463" s="235" t="s">
        <v>26021</v>
      </c>
      <c r="K3463" s="235" t="s">
        <v>26022</v>
      </c>
      <c r="N3463" s="235" t="s">
        <v>1346</v>
      </c>
      <c r="O3463" s="235" t="s">
        <v>1347</v>
      </c>
      <c r="P3463" s="238">
        <v>1.0</v>
      </c>
      <c r="Q3463" s="235" t="s">
        <v>627</v>
      </c>
      <c r="R3463" s="238">
        <v>256.2</v>
      </c>
      <c r="S3463" s="238">
        <v>12.54</v>
      </c>
      <c r="T3463" s="238">
        <v>0.0</v>
      </c>
      <c r="U3463" s="238">
        <v>0.0</v>
      </c>
      <c r="V3463" s="238">
        <v>0.0</v>
      </c>
      <c r="W3463" s="238">
        <v>0.0</v>
      </c>
      <c r="X3463" s="235" t="s">
        <v>628</v>
      </c>
      <c r="Z3463" s="245"/>
      <c r="AA3463" s="245"/>
      <c r="AB3463" s="245"/>
      <c r="AC3463" s="235" t="s">
        <v>4387</v>
      </c>
      <c r="AD3463" s="235" t="s">
        <v>845</v>
      </c>
      <c r="AE3463" s="238">
        <v>421204.0</v>
      </c>
      <c r="AF3463" s="235" t="s">
        <v>631</v>
      </c>
      <c r="AG3463" s="245"/>
      <c r="AH3463" s="245"/>
      <c r="AI3463" s="245"/>
      <c r="AJ3463" s="245"/>
      <c r="AK3463" s="245"/>
      <c r="AL3463" s="245"/>
      <c r="AM3463" s="245"/>
      <c r="AN3463" s="245"/>
      <c r="AO3463" s="238">
        <v>-5.12</v>
      </c>
      <c r="AP3463" s="238">
        <v>0.0</v>
      </c>
      <c r="AQ3463" s="235" t="s">
        <v>632</v>
      </c>
      <c r="AR3463" s="243">
        <v>3.71E11</v>
      </c>
      <c r="AS3463" s="235" t="s">
        <v>25098</v>
      </c>
      <c r="AT3463" s="235" t="s">
        <v>17</v>
      </c>
      <c r="AU3463" s="235" t="s">
        <v>634</v>
      </c>
      <c r="AV3463" s="246" t="s">
        <v>635</v>
      </c>
      <c r="AW3463" s="227"/>
      <c r="AX3463" s="227"/>
      <c r="AY3463" s="227"/>
      <c r="AZ3463" s="227"/>
      <c r="BA3463" s="227"/>
      <c r="BB3463" s="227"/>
      <c r="BC3463" s="227"/>
      <c r="BD3463" s="227"/>
      <c r="BE3463" s="227"/>
      <c r="BF3463" s="227"/>
    </row>
    <row r="3464">
      <c r="A3464" s="235" t="s">
        <v>26023</v>
      </c>
      <c r="C3464" s="235" t="s">
        <v>26024</v>
      </c>
      <c r="D3464" s="235" t="s">
        <v>26025</v>
      </c>
      <c r="E3464" s="243">
        <v>6.51E13</v>
      </c>
      <c r="F3464" s="245"/>
      <c r="G3464" s="235" t="s">
        <v>26026</v>
      </c>
      <c r="H3464" s="235" t="s">
        <v>26027</v>
      </c>
      <c r="I3464" s="235" t="s">
        <v>26027</v>
      </c>
      <c r="J3464" s="235" t="s">
        <v>26028</v>
      </c>
      <c r="K3464" s="235" t="s">
        <v>26029</v>
      </c>
      <c r="N3464" s="235" t="s">
        <v>962</v>
      </c>
      <c r="O3464" s="235" t="s">
        <v>963</v>
      </c>
      <c r="P3464" s="238">
        <v>1.0</v>
      </c>
      <c r="Q3464" s="235" t="s">
        <v>627</v>
      </c>
      <c r="R3464" s="238">
        <v>237.14</v>
      </c>
      <c r="S3464" s="238">
        <v>11.62</v>
      </c>
      <c r="T3464" s="238">
        <v>38.1</v>
      </c>
      <c r="U3464" s="238">
        <v>1.9</v>
      </c>
      <c r="V3464" s="238">
        <v>0.0</v>
      </c>
      <c r="W3464" s="238">
        <v>0.0</v>
      </c>
      <c r="X3464" s="235" t="s">
        <v>628</v>
      </c>
      <c r="Z3464" s="245"/>
      <c r="AA3464" s="245"/>
      <c r="AB3464" s="245"/>
      <c r="AC3464" s="235" t="s">
        <v>1514</v>
      </c>
      <c r="AD3464" s="235" t="s">
        <v>1077</v>
      </c>
      <c r="AE3464" s="238">
        <v>382330.0</v>
      </c>
      <c r="AF3464" s="235" t="s">
        <v>631</v>
      </c>
      <c r="AG3464" s="245"/>
      <c r="AH3464" s="245"/>
      <c r="AI3464" s="245"/>
      <c r="AJ3464" s="245"/>
      <c r="AK3464" s="245"/>
      <c r="AL3464" s="245"/>
      <c r="AM3464" s="245"/>
      <c r="AN3464" s="245"/>
      <c r="AO3464" s="238">
        <v>-4.74</v>
      </c>
      <c r="AP3464" s="238">
        <v>-38.1</v>
      </c>
      <c r="AQ3464" s="235" t="s">
        <v>632</v>
      </c>
      <c r="AR3464" s="243">
        <v>3.71E11</v>
      </c>
      <c r="AS3464" s="235" t="s">
        <v>22269</v>
      </c>
      <c r="AT3464" s="235" t="s">
        <v>16</v>
      </c>
      <c r="AU3464" s="235" t="s">
        <v>634</v>
      </c>
      <c r="AV3464" s="246" t="s">
        <v>635</v>
      </c>
      <c r="AW3464" s="227"/>
      <c r="AX3464" s="227"/>
      <c r="AY3464" s="227"/>
      <c r="AZ3464" s="227"/>
      <c r="BA3464" s="227"/>
      <c r="BB3464" s="227"/>
      <c r="BC3464" s="227"/>
      <c r="BD3464" s="227"/>
      <c r="BE3464" s="227"/>
      <c r="BF3464" s="227"/>
    </row>
    <row r="3465">
      <c r="A3465" s="235" t="s">
        <v>26030</v>
      </c>
      <c r="C3465" s="235" t="s">
        <v>26031</v>
      </c>
      <c r="D3465" s="235" t="s">
        <v>26032</v>
      </c>
      <c r="E3465" s="243">
        <v>6.52E13</v>
      </c>
      <c r="F3465" s="245"/>
      <c r="G3465" s="235" t="s">
        <v>26033</v>
      </c>
      <c r="H3465" s="235" t="s">
        <v>26034</v>
      </c>
      <c r="I3465" s="235" t="s">
        <v>26034</v>
      </c>
      <c r="J3465" s="235" t="s">
        <v>26035</v>
      </c>
      <c r="K3465" s="235" t="s">
        <v>26036</v>
      </c>
      <c r="N3465" s="235" t="s">
        <v>842</v>
      </c>
      <c r="O3465" s="235" t="s">
        <v>843</v>
      </c>
      <c r="P3465" s="238">
        <v>1.0</v>
      </c>
      <c r="Q3465" s="235" t="s">
        <v>627</v>
      </c>
      <c r="R3465" s="238">
        <v>246.66</v>
      </c>
      <c r="S3465" s="238">
        <v>12.34</v>
      </c>
      <c r="T3465" s="238">
        <v>0.0</v>
      </c>
      <c r="U3465" s="238">
        <v>0.0</v>
      </c>
      <c r="V3465" s="238">
        <v>0.0</v>
      </c>
      <c r="W3465" s="238">
        <v>0.0</v>
      </c>
      <c r="X3465" s="235" t="s">
        <v>628</v>
      </c>
      <c r="Z3465" s="245"/>
      <c r="AA3465" s="245"/>
      <c r="AB3465" s="245"/>
      <c r="AC3465" s="235" t="s">
        <v>26037</v>
      </c>
      <c r="AD3465" s="235" t="s">
        <v>26038</v>
      </c>
      <c r="AE3465" s="238">
        <v>400610.0</v>
      </c>
      <c r="AF3465" s="235" t="s">
        <v>631</v>
      </c>
      <c r="AG3465" s="245"/>
      <c r="AH3465" s="245"/>
      <c r="AI3465" s="245"/>
      <c r="AJ3465" s="245"/>
      <c r="AK3465" s="245"/>
      <c r="AL3465" s="245"/>
      <c r="AM3465" s="245"/>
      <c r="AN3465" s="245"/>
      <c r="AO3465" s="238">
        <v>0.0</v>
      </c>
      <c r="AP3465" s="238">
        <v>0.0</v>
      </c>
      <c r="AQ3465" s="235" t="s">
        <v>632</v>
      </c>
      <c r="AR3465" s="243">
        <v>3.71E11</v>
      </c>
      <c r="AS3465" s="235" t="s">
        <v>25098</v>
      </c>
      <c r="AT3465" s="235" t="s">
        <v>16</v>
      </c>
      <c r="AU3465" s="235" t="s">
        <v>634</v>
      </c>
      <c r="AV3465" s="246" t="s">
        <v>635</v>
      </c>
      <c r="AW3465" s="227"/>
      <c r="AX3465" s="227"/>
      <c r="AY3465" s="227"/>
      <c r="AZ3465" s="227"/>
      <c r="BA3465" s="227"/>
      <c r="BB3465" s="227"/>
      <c r="BC3465" s="227"/>
      <c r="BD3465" s="227"/>
      <c r="BE3465" s="227"/>
      <c r="BF3465" s="227"/>
    </row>
    <row r="3466">
      <c r="A3466" s="235" t="s">
        <v>26039</v>
      </c>
      <c r="C3466" s="235" t="s">
        <v>26040</v>
      </c>
      <c r="D3466" s="235" t="s">
        <v>26041</v>
      </c>
      <c r="E3466" s="243">
        <v>6.52E13</v>
      </c>
      <c r="F3466" s="245"/>
      <c r="G3466" s="235" t="s">
        <v>26042</v>
      </c>
      <c r="H3466" s="235" t="s">
        <v>26043</v>
      </c>
      <c r="I3466" s="235" t="s">
        <v>26044</v>
      </c>
      <c r="J3466" s="235" t="s">
        <v>26045</v>
      </c>
      <c r="K3466" s="235" t="s">
        <v>26046</v>
      </c>
      <c r="N3466" s="235" t="s">
        <v>842</v>
      </c>
      <c r="O3466" s="235" t="s">
        <v>843</v>
      </c>
      <c r="P3466" s="238">
        <v>1.0</v>
      </c>
      <c r="Q3466" s="235" t="s">
        <v>627</v>
      </c>
      <c r="R3466" s="238">
        <v>246.67</v>
      </c>
      <c r="S3466" s="238">
        <v>12.33</v>
      </c>
      <c r="T3466" s="238">
        <v>0.0</v>
      </c>
      <c r="U3466" s="238">
        <v>0.0</v>
      </c>
      <c r="V3466" s="238">
        <v>0.0</v>
      </c>
      <c r="W3466" s="238">
        <v>0.0</v>
      </c>
      <c r="X3466" s="235" t="s">
        <v>628</v>
      </c>
      <c r="Z3466" s="245"/>
      <c r="AA3466" s="245"/>
      <c r="AB3466" s="245"/>
      <c r="AC3466" s="235" t="s">
        <v>795</v>
      </c>
      <c r="AD3466" s="235" t="s">
        <v>796</v>
      </c>
      <c r="AE3466" s="238">
        <v>110070.0</v>
      </c>
      <c r="AF3466" s="235" t="s">
        <v>631</v>
      </c>
      <c r="AG3466" s="245"/>
      <c r="AH3466" s="245"/>
      <c r="AI3466" s="245"/>
      <c r="AJ3466" s="245"/>
      <c r="AK3466" s="245"/>
      <c r="AL3466" s="245"/>
      <c r="AM3466" s="245"/>
      <c r="AN3466" s="245"/>
      <c r="AO3466" s="238">
        <v>0.0</v>
      </c>
      <c r="AP3466" s="238">
        <v>0.0</v>
      </c>
      <c r="AQ3466" s="235" t="s">
        <v>632</v>
      </c>
      <c r="AR3466" s="243">
        <v>1.68E11</v>
      </c>
      <c r="AS3466" s="235" t="s">
        <v>25713</v>
      </c>
      <c r="AT3466" s="235" t="s">
        <v>14</v>
      </c>
      <c r="AU3466" s="235" t="s">
        <v>634</v>
      </c>
      <c r="AV3466" s="246" t="s">
        <v>635</v>
      </c>
      <c r="AW3466" s="227"/>
      <c r="AX3466" s="227"/>
      <c r="AY3466" s="227"/>
      <c r="AZ3466" s="227"/>
      <c r="BA3466" s="227"/>
      <c r="BB3466" s="227"/>
      <c r="BC3466" s="227"/>
      <c r="BD3466" s="227"/>
      <c r="BE3466" s="227"/>
      <c r="BF3466" s="227"/>
    </row>
    <row r="3467">
      <c r="A3467" s="235" t="s">
        <v>26047</v>
      </c>
      <c r="C3467" s="235" t="s">
        <v>26048</v>
      </c>
      <c r="D3467" s="235" t="s">
        <v>26049</v>
      </c>
      <c r="E3467" s="243">
        <v>6.52E13</v>
      </c>
      <c r="F3467" s="245"/>
      <c r="G3467" s="235" t="s">
        <v>26050</v>
      </c>
      <c r="H3467" s="235" t="s">
        <v>26051</v>
      </c>
      <c r="I3467" s="235" t="s">
        <v>26051</v>
      </c>
      <c r="J3467" s="235" t="s">
        <v>26052</v>
      </c>
      <c r="K3467" s="235" t="s">
        <v>26053</v>
      </c>
      <c r="N3467" s="235" t="s">
        <v>726</v>
      </c>
      <c r="O3467" s="235" t="s">
        <v>727</v>
      </c>
      <c r="P3467" s="238">
        <v>1.0</v>
      </c>
      <c r="Q3467" s="235" t="s">
        <v>627</v>
      </c>
      <c r="R3467" s="238">
        <v>246.66</v>
      </c>
      <c r="S3467" s="238">
        <v>12.1</v>
      </c>
      <c r="T3467" s="238">
        <v>0.0</v>
      </c>
      <c r="U3467" s="238">
        <v>0.0</v>
      </c>
      <c r="V3467" s="238">
        <v>0.0</v>
      </c>
      <c r="W3467" s="238">
        <v>0.0</v>
      </c>
      <c r="X3467" s="235" t="s">
        <v>628</v>
      </c>
      <c r="Z3467" s="245"/>
      <c r="AA3467" s="245"/>
      <c r="AB3467" s="245"/>
      <c r="AC3467" s="235" t="s">
        <v>6804</v>
      </c>
      <c r="AD3467" s="235" t="s">
        <v>666</v>
      </c>
      <c r="AE3467" s="238">
        <v>624005.0</v>
      </c>
      <c r="AF3467" s="235" t="s">
        <v>631</v>
      </c>
      <c r="AG3467" s="245"/>
      <c r="AH3467" s="245"/>
      <c r="AI3467" s="245"/>
      <c r="AJ3467" s="245"/>
      <c r="AK3467" s="245"/>
      <c r="AL3467" s="245"/>
      <c r="AM3467" s="245"/>
      <c r="AN3467" s="245"/>
      <c r="AO3467" s="238">
        <v>-4.94</v>
      </c>
      <c r="AP3467" s="238">
        <v>0.0</v>
      </c>
      <c r="AQ3467" s="235" t="s">
        <v>632</v>
      </c>
      <c r="AR3467" s="243">
        <v>3.71E11</v>
      </c>
      <c r="AS3467" s="235" t="s">
        <v>25098</v>
      </c>
      <c r="AT3467" s="235" t="s">
        <v>155</v>
      </c>
      <c r="AU3467" s="235" t="s">
        <v>634</v>
      </c>
      <c r="AV3467" s="246" t="s">
        <v>635</v>
      </c>
      <c r="AW3467" s="227"/>
      <c r="AX3467" s="227"/>
      <c r="AY3467" s="227"/>
      <c r="AZ3467" s="227"/>
      <c r="BA3467" s="227"/>
      <c r="BB3467" s="227"/>
      <c r="BC3467" s="227"/>
      <c r="BD3467" s="227"/>
      <c r="BE3467" s="227"/>
      <c r="BF3467" s="227"/>
    </row>
    <row r="3468">
      <c r="A3468" s="235" t="s">
        <v>26054</v>
      </c>
      <c r="C3468" s="235" t="s">
        <v>26055</v>
      </c>
      <c r="D3468" s="235" t="s">
        <v>26056</v>
      </c>
      <c r="E3468" s="243">
        <v>6.52E13</v>
      </c>
      <c r="F3468" s="245"/>
      <c r="G3468" s="235" t="s">
        <v>26057</v>
      </c>
      <c r="H3468" s="235" t="s">
        <v>26058</v>
      </c>
      <c r="I3468" s="235" t="s">
        <v>26058</v>
      </c>
      <c r="J3468" s="235" t="s">
        <v>26052</v>
      </c>
      <c r="K3468" s="235" t="s">
        <v>26059</v>
      </c>
      <c r="N3468" s="235" t="s">
        <v>726</v>
      </c>
      <c r="O3468" s="235" t="s">
        <v>727</v>
      </c>
      <c r="P3468" s="238">
        <v>1.0</v>
      </c>
      <c r="Q3468" s="235" t="s">
        <v>627</v>
      </c>
      <c r="R3468" s="238">
        <v>237.14</v>
      </c>
      <c r="S3468" s="238">
        <v>11.5</v>
      </c>
      <c r="T3468" s="238">
        <v>0.0</v>
      </c>
      <c r="U3468" s="238">
        <v>0.0</v>
      </c>
      <c r="V3468" s="238">
        <v>0.0</v>
      </c>
      <c r="W3468" s="238">
        <v>0.0</v>
      </c>
      <c r="X3468" s="235" t="s">
        <v>628</v>
      </c>
      <c r="Z3468" s="245"/>
      <c r="AA3468" s="245"/>
      <c r="AB3468" s="245"/>
      <c r="AC3468" s="235" t="s">
        <v>1279</v>
      </c>
      <c r="AD3468" s="235" t="s">
        <v>917</v>
      </c>
      <c r="AE3468" s="238">
        <v>302002.0</v>
      </c>
      <c r="AF3468" s="235" t="s">
        <v>631</v>
      </c>
      <c r="AG3468" s="245"/>
      <c r="AH3468" s="245"/>
      <c r="AI3468" s="245"/>
      <c r="AJ3468" s="245"/>
      <c r="AK3468" s="245"/>
      <c r="AL3468" s="245"/>
      <c r="AM3468" s="245"/>
      <c r="AN3468" s="245"/>
      <c r="AO3468" s="238">
        <v>-7.11</v>
      </c>
      <c r="AP3468" s="238">
        <v>0.0</v>
      </c>
      <c r="AQ3468" s="235" t="s">
        <v>632</v>
      </c>
      <c r="AR3468" s="243">
        <v>1.68E11</v>
      </c>
      <c r="AS3468" s="235" t="s">
        <v>25098</v>
      </c>
      <c r="AT3468" s="235" t="s">
        <v>13</v>
      </c>
      <c r="AU3468" s="235" t="s">
        <v>634</v>
      </c>
      <c r="AV3468" s="246" t="s">
        <v>635</v>
      </c>
      <c r="AW3468" s="227"/>
      <c r="AX3468" s="227"/>
      <c r="AY3468" s="227"/>
      <c r="AZ3468" s="227"/>
      <c r="BA3468" s="227"/>
      <c r="BB3468" s="227"/>
      <c r="BC3468" s="227"/>
      <c r="BD3468" s="227"/>
      <c r="BE3468" s="227"/>
      <c r="BF3468" s="227"/>
    </row>
    <row r="3469">
      <c r="A3469" s="235" t="s">
        <v>26060</v>
      </c>
      <c r="C3469" s="235" t="s">
        <v>26061</v>
      </c>
      <c r="D3469" s="235" t="s">
        <v>26062</v>
      </c>
      <c r="E3469" s="243">
        <v>6.52E13</v>
      </c>
      <c r="F3469" s="245"/>
      <c r="G3469" s="235" t="s">
        <v>26063</v>
      </c>
      <c r="H3469" s="235" t="s">
        <v>26064</v>
      </c>
      <c r="I3469" s="235" t="s">
        <v>26064</v>
      </c>
      <c r="J3469" s="235" t="s">
        <v>26065</v>
      </c>
      <c r="K3469" s="235" t="s">
        <v>26066</v>
      </c>
      <c r="N3469" s="235" t="s">
        <v>127</v>
      </c>
      <c r="O3469" s="235" t="s">
        <v>794</v>
      </c>
      <c r="P3469" s="238">
        <v>1.0</v>
      </c>
      <c r="Q3469" s="235" t="s">
        <v>627</v>
      </c>
      <c r="R3469" s="238">
        <v>243.8</v>
      </c>
      <c r="S3469" s="238">
        <v>12.2</v>
      </c>
      <c r="T3469" s="238">
        <v>0.0</v>
      </c>
      <c r="U3469" s="238">
        <v>0.0</v>
      </c>
      <c r="V3469" s="238">
        <v>0.0</v>
      </c>
      <c r="W3469" s="238">
        <v>0.0</v>
      </c>
      <c r="X3469" s="235" t="s">
        <v>628</v>
      </c>
      <c r="Z3469" s="245"/>
      <c r="AA3469" s="245"/>
      <c r="AB3469" s="245"/>
      <c r="AC3469" s="235" t="s">
        <v>687</v>
      </c>
      <c r="AD3469" s="235" t="s">
        <v>666</v>
      </c>
      <c r="AE3469" s="238">
        <v>600128.0</v>
      </c>
      <c r="AF3469" s="235" t="s">
        <v>631</v>
      </c>
      <c r="AG3469" s="245"/>
      <c r="AH3469" s="245"/>
      <c r="AI3469" s="245"/>
      <c r="AJ3469" s="245"/>
      <c r="AK3469" s="245"/>
      <c r="AL3469" s="245"/>
      <c r="AM3469" s="245"/>
      <c r="AN3469" s="245"/>
      <c r="AO3469" s="238">
        <v>0.0</v>
      </c>
      <c r="AP3469" s="238">
        <v>0.0</v>
      </c>
      <c r="AQ3469" s="235" t="s">
        <v>632</v>
      </c>
      <c r="AR3469" s="243">
        <v>1.68E11</v>
      </c>
      <c r="AS3469" s="235" t="s">
        <v>25713</v>
      </c>
      <c r="AT3469" s="235" t="s">
        <v>156</v>
      </c>
      <c r="AU3469" s="235" t="s">
        <v>634</v>
      </c>
      <c r="AV3469" s="246" t="s">
        <v>635</v>
      </c>
      <c r="AW3469" s="227"/>
      <c r="AX3469" s="227"/>
      <c r="AY3469" s="227"/>
      <c r="AZ3469" s="227"/>
      <c r="BA3469" s="227"/>
      <c r="BB3469" s="227"/>
      <c r="BC3469" s="227"/>
      <c r="BD3469" s="227"/>
      <c r="BE3469" s="227"/>
      <c r="BF3469" s="227"/>
    </row>
    <row r="3470">
      <c r="A3470" s="235" t="s">
        <v>26067</v>
      </c>
      <c r="C3470" s="235" t="s">
        <v>26068</v>
      </c>
      <c r="D3470" s="235" t="s">
        <v>26069</v>
      </c>
      <c r="E3470" s="243">
        <v>6.52E13</v>
      </c>
      <c r="F3470" s="245"/>
      <c r="G3470" s="235" t="s">
        <v>26070</v>
      </c>
      <c r="H3470" s="235" t="s">
        <v>26071</v>
      </c>
      <c r="I3470" s="235" t="s">
        <v>26071</v>
      </c>
      <c r="J3470" s="235" t="s">
        <v>26072</v>
      </c>
      <c r="K3470" s="235" t="s">
        <v>26073</v>
      </c>
      <c r="N3470" s="235" t="s">
        <v>92</v>
      </c>
      <c r="O3470" s="235" t="s">
        <v>248</v>
      </c>
      <c r="P3470" s="238">
        <v>1.0</v>
      </c>
      <c r="Q3470" s="235" t="s">
        <v>627</v>
      </c>
      <c r="R3470" s="238">
        <v>233.33</v>
      </c>
      <c r="S3470" s="238">
        <v>11.67</v>
      </c>
      <c r="T3470" s="238">
        <v>0.0</v>
      </c>
      <c r="U3470" s="238">
        <v>0.0</v>
      </c>
      <c r="V3470" s="238">
        <v>0.0</v>
      </c>
      <c r="W3470" s="238">
        <v>0.0</v>
      </c>
      <c r="X3470" s="235" t="s">
        <v>628</v>
      </c>
      <c r="Z3470" s="245"/>
      <c r="AA3470" s="245"/>
      <c r="AB3470" s="245"/>
      <c r="AC3470" s="235" t="s">
        <v>1887</v>
      </c>
      <c r="AD3470" s="235" t="s">
        <v>679</v>
      </c>
      <c r="AE3470" s="238">
        <v>560079.0</v>
      </c>
      <c r="AF3470" s="235" t="s">
        <v>631</v>
      </c>
      <c r="AG3470" s="245"/>
      <c r="AH3470" s="245"/>
      <c r="AI3470" s="245"/>
      <c r="AJ3470" s="245"/>
      <c r="AK3470" s="245"/>
      <c r="AL3470" s="245"/>
      <c r="AM3470" s="245"/>
      <c r="AN3470" s="245"/>
      <c r="AO3470" s="238">
        <v>0.0</v>
      </c>
      <c r="AP3470" s="238">
        <v>0.0</v>
      </c>
      <c r="AQ3470" s="235" t="s">
        <v>632</v>
      </c>
      <c r="AR3470" s="243">
        <v>3.71E11</v>
      </c>
      <c r="AS3470" s="235" t="s">
        <v>22269</v>
      </c>
      <c r="AT3470" s="235" t="s">
        <v>156</v>
      </c>
      <c r="AU3470" s="235" t="s">
        <v>634</v>
      </c>
      <c r="AV3470" s="246" t="s">
        <v>635</v>
      </c>
      <c r="AW3470" s="227"/>
      <c r="AX3470" s="227"/>
      <c r="AY3470" s="227"/>
      <c r="AZ3470" s="227"/>
      <c r="BA3470" s="227"/>
      <c r="BB3470" s="227"/>
      <c r="BC3470" s="227"/>
      <c r="BD3470" s="227"/>
      <c r="BE3470" s="227"/>
      <c r="BF3470" s="227"/>
    </row>
    <row r="3471">
      <c r="A3471" s="235" t="s">
        <v>26074</v>
      </c>
      <c r="C3471" s="235" t="s">
        <v>26075</v>
      </c>
      <c r="D3471" s="235" t="s">
        <v>26076</v>
      </c>
      <c r="E3471" s="243">
        <v>6.51E13</v>
      </c>
      <c r="F3471" s="245"/>
      <c r="G3471" s="235" t="s">
        <v>26077</v>
      </c>
      <c r="H3471" s="235" t="s">
        <v>26078</v>
      </c>
      <c r="I3471" s="235" t="s">
        <v>26079</v>
      </c>
      <c r="J3471" s="235" t="s">
        <v>26080</v>
      </c>
      <c r="K3471" s="235" t="s">
        <v>26081</v>
      </c>
      <c r="N3471" s="235" t="s">
        <v>842</v>
      </c>
      <c r="O3471" s="235" t="s">
        <v>843</v>
      </c>
      <c r="P3471" s="238">
        <v>1.0</v>
      </c>
      <c r="Q3471" s="235" t="s">
        <v>627</v>
      </c>
      <c r="R3471" s="238">
        <v>237.14</v>
      </c>
      <c r="S3471" s="238">
        <v>11.62</v>
      </c>
      <c r="T3471" s="238">
        <v>0.0</v>
      </c>
      <c r="U3471" s="238">
        <v>0.0</v>
      </c>
      <c r="V3471" s="238">
        <v>0.0</v>
      </c>
      <c r="W3471" s="238">
        <v>0.0</v>
      </c>
      <c r="X3471" s="235" t="s">
        <v>628</v>
      </c>
      <c r="Z3471" s="245"/>
      <c r="AA3471" s="245"/>
      <c r="AB3471" s="245"/>
      <c r="AC3471" s="235" t="s">
        <v>1182</v>
      </c>
      <c r="AD3471" s="235" t="s">
        <v>833</v>
      </c>
      <c r="AE3471" s="238">
        <v>530041.0</v>
      </c>
      <c r="AF3471" s="235" t="s">
        <v>631</v>
      </c>
      <c r="AG3471" s="245"/>
      <c r="AH3471" s="245"/>
      <c r="AI3471" s="245"/>
      <c r="AJ3471" s="245"/>
      <c r="AK3471" s="245"/>
      <c r="AL3471" s="245"/>
      <c r="AM3471" s="245"/>
      <c r="AN3471" s="245"/>
      <c r="AO3471" s="238">
        <v>-4.74</v>
      </c>
      <c r="AP3471" s="238">
        <v>0.0</v>
      </c>
      <c r="AQ3471" s="235" t="s">
        <v>632</v>
      </c>
      <c r="AR3471" s="243">
        <v>3.71E11</v>
      </c>
      <c r="AS3471" s="235" t="s">
        <v>20529</v>
      </c>
      <c r="AT3471" s="235" t="s">
        <v>17</v>
      </c>
      <c r="AU3471" s="235" t="s">
        <v>634</v>
      </c>
      <c r="AV3471" s="246" t="s">
        <v>635</v>
      </c>
      <c r="AW3471" s="227"/>
      <c r="AX3471" s="227"/>
      <c r="AY3471" s="227"/>
      <c r="AZ3471" s="227"/>
      <c r="BA3471" s="227"/>
      <c r="BB3471" s="227"/>
      <c r="BC3471" s="227"/>
      <c r="BD3471" s="227"/>
      <c r="BE3471" s="227"/>
      <c r="BF3471" s="227"/>
    </row>
    <row r="3472">
      <c r="A3472" s="235" t="s">
        <v>26082</v>
      </c>
      <c r="C3472" s="235" t="s">
        <v>26083</v>
      </c>
      <c r="D3472" s="235" t="s">
        <v>26084</v>
      </c>
      <c r="E3472" s="243">
        <v>6.52E13</v>
      </c>
      <c r="F3472" s="245"/>
      <c r="G3472" s="235" t="s">
        <v>26085</v>
      </c>
      <c r="H3472" s="235" t="s">
        <v>26086</v>
      </c>
      <c r="I3472" s="235" t="s">
        <v>26086</v>
      </c>
      <c r="J3472" s="235" t="s">
        <v>26087</v>
      </c>
      <c r="K3472" s="235" t="s">
        <v>26088</v>
      </c>
      <c r="N3472" s="235" t="s">
        <v>130</v>
      </c>
      <c r="O3472" s="235" t="s">
        <v>707</v>
      </c>
      <c r="P3472" s="238">
        <v>1.0</v>
      </c>
      <c r="Q3472" s="235" t="s">
        <v>627</v>
      </c>
      <c r="R3472" s="238">
        <v>246.66</v>
      </c>
      <c r="S3472" s="238">
        <v>12.34</v>
      </c>
      <c r="T3472" s="238">
        <v>0.0</v>
      </c>
      <c r="U3472" s="238">
        <v>0.0</v>
      </c>
      <c r="V3472" s="238">
        <v>0.0</v>
      </c>
      <c r="W3472" s="238">
        <v>0.0</v>
      </c>
      <c r="X3472" s="235" t="s">
        <v>628</v>
      </c>
      <c r="Z3472" s="245"/>
      <c r="AA3472" s="245"/>
      <c r="AB3472" s="245"/>
      <c r="AC3472" s="235" t="s">
        <v>1320</v>
      </c>
      <c r="AD3472" s="235" t="s">
        <v>26089</v>
      </c>
      <c r="AE3472" s="238">
        <v>600075.0</v>
      </c>
      <c r="AF3472" s="235" t="s">
        <v>631</v>
      </c>
      <c r="AG3472" s="245"/>
      <c r="AH3472" s="245"/>
      <c r="AI3472" s="245"/>
      <c r="AJ3472" s="245"/>
      <c r="AK3472" s="245"/>
      <c r="AL3472" s="245"/>
      <c r="AM3472" s="245"/>
      <c r="AN3472" s="245"/>
      <c r="AO3472" s="238">
        <v>0.0</v>
      </c>
      <c r="AP3472" s="238">
        <v>0.0</v>
      </c>
      <c r="AQ3472" s="235" t="s">
        <v>632</v>
      </c>
      <c r="AR3472" s="243">
        <v>1.68E11</v>
      </c>
      <c r="AS3472" s="235" t="s">
        <v>25713</v>
      </c>
      <c r="AT3472" s="235" t="s">
        <v>156</v>
      </c>
      <c r="AU3472" s="235" t="s">
        <v>634</v>
      </c>
      <c r="AV3472" s="246" t="s">
        <v>635</v>
      </c>
      <c r="AW3472" s="227"/>
      <c r="AX3472" s="227"/>
      <c r="AY3472" s="227"/>
      <c r="AZ3472" s="227"/>
      <c r="BA3472" s="227"/>
      <c r="BB3472" s="227"/>
      <c r="BC3472" s="227"/>
      <c r="BD3472" s="227"/>
      <c r="BE3472" s="227"/>
      <c r="BF3472" s="227"/>
    </row>
    <row r="3473">
      <c r="A3473" s="235" t="s">
        <v>26090</v>
      </c>
      <c r="C3473" s="235" t="s">
        <v>26091</v>
      </c>
      <c r="D3473" s="235" t="s">
        <v>26092</v>
      </c>
      <c r="E3473" s="243">
        <v>6.52E13</v>
      </c>
      <c r="F3473" s="245"/>
      <c r="G3473" s="235" t="s">
        <v>26093</v>
      </c>
      <c r="H3473" s="235" t="s">
        <v>26094</v>
      </c>
      <c r="I3473" s="235" t="s">
        <v>26094</v>
      </c>
      <c r="J3473" s="235" t="s">
        <v>26095</v>
      </c>
      <c r="K3473" s="235" t="s">
        <v>26096</v>
      </c>
      <c r="N3473" s="235" t="s">
        <v>0</v>
      </c>
      <c r="O3473" s="235" t="s">
        <v>740</v>
      </c>
      <c r="P3473" s="238">
        <v>1.0</v>
      </c>
      <c r="Q3473" s="235" t="s">
        <v>627</v>
      </c>
      <c r="R3473" s="238">
        <v>284.76</v>
      </c>
      <c r="S3473" s="238">
        <v>14.24</v>
      </c>
      <c r="T3473" s="238">
        <v>38.1</v>
      </c>
      <c r="U3473" s="238">
        <v>1.9</v>
      </c>
      <c r="V3473" s="238">
        <v>0.0</v>
      </c>
      <c r="W3473" s="238">
        <v>0.0</v>
      </c>
      <c r="X3473" s="235" t="s">
        <v>628</v>
      </c>
      <c r="Z3473" s="245"/>
      <c r="AA3473" s="245"/>
      <c r="AB3473" s="245"/>
      <c r="AC3473" s="235" t="s">
        <v>11186</v>
      </c>
      <c r="AD3473" s="235" t="s">
        <v>845</v>
      </c>
      <c r="AE3473" s="238">
        <v>416115.0</v>
      </c>
      <c r="AF3473" s="235" t="s">
        <v>631</v>
      </c>
      <c r="AG3473" s="245"/>
      <c r="AH3473" s="245"/>
      <c r="AI3473" s="245"/>
      <c r="AJ3473" s="245"/>
      <c r="AK3473" s="245"/>
      <c r="AL3473" s="245"/>
      <c r="AM3473" s="245"/>
      <c r="AN3473" s="245"/>
      <c r="AO3473" s="238">
        <v>0.0</v>
      </c>
      <c r="AP3473" s="238">
        <v>-38.1</v>
      </c>
      <c r="AQ3473" s="235" t="s">
        <v>632</v>
      </c>
      <c r="AR3473" s="243">
        <v>3.71E11</v>
      </c>
      <c r="AS3473" s="235" t="s">
        <v>20529</v>
      </c>
      <c r="AT3473" s="235" t="s">
        <v>16</v>
      </c>
      <c r="AU3473" s="235" t="s">
        <v>634</v>
      </c>
      <c r="AV3473" s="246" t="s">
        <v>635</v>
      </c>
      <c r="AW3473" s="227"/>
      <c r="AX3473" s="227"/>
      <c r="AY3473" s="227"/>
      <c r="AZ3473" s="227"/>
      <c r="BA3473" s="227"/>
      <c r="BB3473" s="227"/>
      <c r="BC3473" s="227"/>
      <c r="BD3473" s="227"/>
      <c r="BE3473" s="227"/>
      <c r="BF3473" s="227"/>
    </row>
    <row r="3474">
      <c r="A3474" s="235" t="s">
        <v>26097</v>
      </c>
      <c r="C3474" s="235" t="s">
        <v>26098</v>
      </c>
      <c r="D3474" s="235" t="s">
        <v>26099</v>
      </c>
      <c r="E3474" s="243">
        <v>6.52E13</v>
      </c>
      <c r="F3474" s="245"/>
      <c r="G3474" s="235" t="s">
        <v>26100</v>
      </c>
      <c r="H3474" s="235" t="s">
        <v>26101</v>
      </c>
      <c r="I3474" s="235" t="s">
        <v>26101</v>
      </c>
      <c r="J3474" s="235" t="s">
        <v>26102</v>
      </c>
      <c r="K3474" s="235" t="s">
        <v>21591</v>
      </c>
      <c r="N3474" s="235" t="s">
        <v>138</v>
      </c>
      <c r="O3474" s="235" t="s">
        <v>675</v>
      </c>
      <c r="P3474" s="238">
        <v>1.0</v>
      </c>
      <c r="Q3474" s="235" t="s">
        <v>627</v>
      </c>
      <c r="R3474" s="238">
        <v>233.33</v>
      </c>
      <c r="S3474" s="238">
        <v>11.67</v>
      </c>
      <c r="T3474" s="238">
        <v>0.0</v>
      </c>
      <c r="U3474" s="238">
        <v>0.0</v>
      </c>
      <c r="V3474" s="238">
        <v>0.0</v>
      </c>
      <c r="W3474" s="238">
        <v>0.0</v>
      </c>
      <c r="X3474" s="235" t="s">
        <v>628</v>
      </c>
      <c r="Z3474" s="245"/>
      <c r="AA3474" s="245"/>
      <c r="AB3474" s="245"/>
      <c r="AC3474" s="235" t="s">
        <v>1058</v>
      </c>
      <c r="AD3474" s="235" t="s">
        <v>845</v>
      </c>
      <c r="AE3474" s="238">
        <v>400066.0</v>
      </c>
      <c r="AF3474" s="235" t="s">
        <v>631</v>
      </c>
      <c r="AG3474" s="245"/>
      <c r="AH3474" s="245"/>
      <c r="AI3474" s="245"/>
      <c r="AJ3474" s="245"/>
      <c r="AK3474" s="245"/>
      <c r="AL3474" s="245"/>
      <c r="AM3474" s="245"/>
      <c r="AN3474" s="245"/>
      <c r="AO3474" s="238">
        <v>0.0</v>
      </c>
      <c r="AP3474" s="238">
        <v>0.0</v>
      </c>
      <c r="AQ3474" s="235" t="s">
        <v>632</v>
      </c>
      <c r="AR3474" s="243">
        <v>3.71E11</v>
      </c>
      <c r="AS3474" s="235" t="s">
        <v>22269</v>
      </c>
      <c r="AT3474" s="235" t="s">
        <v>5</v>
      </c>
      <c r="AU3474" s="235" t="s">
        <v>634</v>
      </c>
      <c r="AV3474" s="246" t="s">
        <v>635</v>
      </c>
      <c r="AW3474" s="227"/>
      <c r="AX3474" s="227"/>
      <c r="AY3474" s="227"/>
      <c r="AZ3474" s="227"/>
      <c r="BA3474" s="227"/>
      <c r="BB3474" s="227"/>
      <c r="BC3474" s="227"/>
      <c r="BD3474" s="227"/>
      <c r="BE3474" s="227"/>
      <c r="BF3474" s="227"/>
    </row>
    <row r="3475">
      <c r="A3475" s="235" t="s">
        <v>26103</v>
      </c>
      <c r="C3475" s="235" t="s">
        <v>26104</v>
      </c>
      <c r="D3475" s="235" t="s">
        <v>26105</v>
      </c>
      <c r="E3475" s="243">
        <v>6.52E13</v>
      </c>
      <c r="F3475" s="245"/>
      <c r="G3475" s="235" t="s">
        <v>26106</v>
      </c>
      <c r="H3475" s="235" t="s">
        <v>26107</v>
      </c>
      <c r="I3475" s="235" t="s">
        <v>26108</v>
      </c>
      <c r="J3475" s="235" t="s">
        <v>26109</v>
      </c>
      <c r="K3475" s="235" t="s">
        <v>26110</v>
      </c>
      <c r="N3475" s="235" t="s">
        <v>136</v>
      </c>
      <c r="O3475" s="235" t="s">
        <v>256</v>
      </c>
      <c r="P3475" s="238">
        <v>1.0</v>
      </c>
      <c r="Q3475" s="235" t="s">
        <v>627</v>
      </c>
      <c r="R3475" s="238">
        <v>246.67</v>
      </c>
      <c r="S3475" s="238">
        <v>12.33</v>
      </c>
      <c r="T3475" s="238">
        <v>0.0</v>
      </c>
      <c r="U3475" s="238">
        <v>0.0</v>
      </c>
      <c r="V3475" s="238">
        <v>0.0</v>
      </c>
      <c r="W3475" s="238">
        <v>0.0</v>
      </c>
      <c r="X3475" s="235" t="s">
        <v>628</v>
      </c>
      <c r="Z3475" s="245"/>
      <c r="AA3475" s="245"/>
      <c r="AB3475" s="245"/>
      <c r="AC3475" s="235" t="s">
        <v>795</v>
      </c>
      <c r="AD3475" s="235" t="s">
        <v>796</v>
      </c>
      <c r="AE3475" s="238">
        <v>110043.0</v>
      </c>
      <c r="AF3475" s="235" t="s">
        <v>631</v>
      </c>
      <c r="AG3475" s="245"/>
      <c r="AH3475" s="245"/>
      <c r="AI3475" s="245"/>
      <c r="AJ3475" s="245"/>
      <c r="AK3475" s="245"/>
      <c r="AL3475" s="245"/>
      <c r="AM3475" s="245"/>
      <c r="AN3475" s="245"/>
      <c r="AO3475" s="238">
        <v>0.0</v>
      </c>
      <c r="AP3475" s="238">
        <v>0.0</v>
      </c>
      <c r="AQ3475" s="235" t="s">
        <v>632</v>
      </c>
      <c r="AR3475" s="243">
        <v>1.68E11</v>
      </c>
      <c r="AS3475" s="235" t="s">
        <v>25713</v>
      </c>
      <c r="AT3475" s="235" t="s">
        <v>14</v>
      </c>
      <c r="AU3475" s="235" t="s">
        <v>634</v>
      </c>
      <c r="AV3475" s="246" t="s">
        <v>635</v>
      </c>
      <c r="AW3475" s="227"/>
      <c r="AX3475" s="227"/>
      <c r="AY3475" s="227"/>
      <c r="AZ3475" s="227"/>
      <c r="BA3475" s="227"/>
      <c r="BB3475" s="227"/>
      <c r="BC3475" s="227"/>
      <c r="BD3475" s="227"/>
      <c r="BE3475" s="227"/>
      <c r="BF3475" s="227"/>
    </row>
    <row r="3476">
      <c r="A3476" s="235" t="s">
        <v>26111</v>
      </c>
      <c r="C3476" s="235" t="s">
        <v>26112</v>
      </c>
      <c r="D3476" s="235" t="s">
        <v>26113</v>
      </c>
      <c r="E3476" s="243">
        <v>6.52E13</v>
      </c>
      <c r="F3476" s="245"/>
      <c r="G3476" s="235" t="s">
        <v>26114</v>
      </c>
      <c r="H3476" s="235" t="s">
        <v>26115</v>
      </c>
      <c r="I3476" s="235" t="s">
        <v>26115</v>
      </c>
      <c r="J3476" s="235" t="s">
        <v>26116</v>
      </c>
      <c r="K3476" s="235" t="s">
        <v>26117</v>
      </c>
      <c r="N3476" s="235" t="s">
        <v>50</v>
      </c>
      <c r="O3476" s="235" t="s">
        <v>367</v>
      </c>
      <c r="P3476" s="238">
        <v>1.0</v>
      </c>
      <c r="Q3476" s="235" t="s">
        <v>627</v>
      </c>
      <c r="R3476" s="238">
        <v>246.67</v>
      </c>
      <c r="S3476" s="238">
        <v>12.33</v>
      </c>
      <c r="T3476" s="238">
        <v>0.0</v>
      </c>
      <c r="U3476" s="238">
        <v>0.0</v>
      </c>
      <c r="V3476" s="238">
        <v>0.0</v>
      </c>
      <c r="W3476" s="238">
        <v>0.0</v>
      </c>
      <c r="X3476" s="235" t="s">
        <v>628</v>
      </c>
      <c r="Z3476" s="245"/>
      <c r="AA3476" s="245"/>
      <c r="AB3476" s="245"/>
      <c r="AC3476" s="235" t="s">
        <v>832</v>
      </c>
      <c r="AD3476" s="235" t="s">
        <v>833</v>
      </c>
      <c r="AE3476" s="238">
        <v>530047.0</v>
      </c>
      <c r="AF3476" s="235" t="s">
        <v>631</v>
      </c>
      <c r="AG3476" s="245"/>
      <c r="AH3476" s="245"/>
      <c r="AI3476" s="245"/>
      <c r="AJ3476" s="245"/>
      <c r="AK3476" s="245"/>
      <c r="AL3476" s="245"/>
      <c r="AM3476" s="245"/>
      <c r="AN3476" s="245"/>
      <c r="AO3476" s="238">
        <v>0.0</v>
      </c>
      <c r="AP3476" s="238">
        <v>0.0</v>
      </c>
      <c r="AQ3476" s="235" t="s">
        <v>632</v>
      </c>
      <c r="AR3476" s="243">
        <v>3.71E11</v>
      </c>
      <c r="AS3476" s="235" t="s">
        <v>20529</v>
      </c>
      <c r="AT3476" s="235" t="s">
        <v>16</v>
      </c>
      <c r="AU3476" s="235" t="s">
        <v>634</v>
      </c>
      <c r="AV3476" s="246" t="s">
        <v>635</v>
      </c>
      <c r="AW3476" s="227"/>
      <c r="AX3476" s="227"/>
      <c r="AY3476" s="227"/>
      <c r="AZ3476" s="227"/>
      <c r="BA3476" s="227"/>
      <c r="BB3476" s="227"/>
      <c r="BC3476" s="227"/>
      <c r="BD3476" s="227"/>
      <c r="BE3476" s="227"/>
      <c r="BF3476" s="227"/>
    </row>
    <row r="3477">
      <c r="A3477" s="235" t="s">
        <v>26118</v>
      </c>
      <c r="C3477" s="235" t="s">
        <v>26119</v>
      </c>
      <c r="D3477" s="235" t="s">
        <v>26120</v>
      </c>
      <c r="E3477" s="243">
        <v>6.52E13</v>
      </c>
      <c r="F3477" s="245"/>
      <c r="G3477" s="235" t="s">
        <v>26121</v>
      </c>
      <c r="H3477" s="235" t="s">
        <v>26122</v>
      </c>
      <c r="I3477" s="235" t="s">
        <v>26123</v>
      </c>
      <c r="J3477" s="235" t="s">
        <v>26124</v>
      </c>
      <c r="K3477" s="235" t="s">
        <v>26125</v>
      </c>
      <c r="N3477" s="235" t="s">
        <v>42</v>
      </c>
      <c r="O3477" s="235" t="s">
        <v>204</v>
      </c>
      <c r="P3477" s="238">
        <v>1.0</v>
      </c>
      <c r="Q3477" s="235" t="s">
        <v>627</v>
      </c>
      <c r="R3477" s="238">
        <v>237.14</v>
      </c>
      <c r="S3477" s="238">
        <v>11.86</v>
      </c>
      <c r="T3477" s="238">
        <v>0.0</v>
      </c>
      <c r="U3477" s="238">
        <v>0.0</v>
      </c>
      <c r="V3477" s="238">
        <v>0.0</v>
      </c>
      <c r="W3477" s="238">
        <v>0.0</v>
      </c>
      <c r="X3477" s="235" t="s">
        <v>628</v>
      </c>
      <c r="Z3477" s="245"/>
      <c r="AA3477" s="245"/>
      <c r="AB3477" s="245"/>
      <c r="AC3477" s="235" t="s">
        <v>678</v>
      </c>
      <c r="AD3477" s="235" t="s">
        <v>679</v>
      </c>
      <c r="AE3477" s="238">
        <v>560016.0</v>
      </c>
      <c r="AF3477" s="235" t="s">
        <v>631</v>
      </c>
      <c r="AG3477" s="245"/>
      <c r="AH3477" s="245"/>
      <c r="AI3477" s="245"/>
      <c r="AJ3477" s="245"/>
      <c r="AK3477" s="245"/>
      <c r="AL3477" s="245"/>
      <c r="AM3477" s="245"/>
      <c r="AN3477" s="245"/>
      <c r="AO3477" s="238">
        <v>0.0</v>
      </c>
      <c r="AP3477" s="238">
        <v>0.0</v>
      </c>
      <c r="AQ3477" s="235" t="s">
        <v>632</v>
      </c>
      <c r="AR3477" s="243">
        <v>1.68E11</v>
      </c>
      <c r="AS3477" s="235" t="s">
        <v>25713</v>
      </c>
      <c r="AT3477" s="235" t="s">
        <v>9</v>
      </c>
      <c r="AU3477" s="235" t="s">
        <v>634</v>
      </c>
      <c r="AV3477" s="246" t="s">
        <v>635</v>
      </c>
      <c r="AW3477" s="227"/>
      <c r="AX3477" s="227"/>
      <c r="AY3477" s="227"/>
      <c r="AZ3477" s="227"/>
      <c r="BA3477" s="227"/>
      <c r="BB3477" s="227"/>
      <c r="BC3477" s="227"/>
      <c r="BD3477" s="227"/>
      <c r="BE3477" s="227"/>
      <c r="BF3477" s="227"/>
    </row>
    <row r="3478">
      <c r="A3478" s="235" t="s">
        <v>26126</v>
      </c>
      <c r="C3478" s="235" t="s">
        <v>26127</v>
      </c>
      <c r="D3478" s="235" t="s">
        <v>26128</v>
      </c>
      <c r="E3478" s="243">
        <v>6.51E13</v>
      </c>
      <c r="F3478" s="245"/>
      <c r="G3478" s="235" t="s">
        <v>26129</v>
      </c>
      <c r="H3478" s="235" t="s">
        <v>26130</v>
      </c>
      <c r="I3478" s="235" t="s">
        <v>26130</v>
      </c>
      <c r="J3478" s="235" t="s">
        <v>26131</v>
      </c>
      <c r="K3478" s="235" t="s">
        <v>26132</v>
      </c>
      <c r="N3478" s="235" t="s">
        <v>3875</v>
      </c>
      <c r="O3478" s="235" t="s">
        <v>3876</v>
      </c>
      <c r="P3478" s="238">
        <v>1.0</v>
      </c>
      <c r="Q3478" s="235" t="s">
        <v>627</v>
      </c>
      <c r="R3478" s="238">
        <v>207.62</v>
      </c>
      <c r="S3478" s="238">
        <v>10.38</v>
      </c>
      <c r="T3478" s="238">
        <v>0.0</v>
      </c>
      <c r="U3478" s="238">
        <v>0.0</v>
      </c>
      <c r="V3478" s="238">
        <v>0.0</v>
      </c>
      <c r="W3478" s="238">
        <v>0.0</v>
      </c>
      <c r="X3478" s="235" t="s">
        <v>628</v>
      </c>
      <c r="Z3478" s="245"/>
      <c r="AA3478" s="245"/>
      <c r="AB3478" s="245"/>
      <c r="AC3478" s="235" t="s">
        <v>1604</v>
      </c>
      <c r="AD3478" s="235" t="s">
        <v>845</v>
      </c>
      <c r="AE3478" s="238">
        <v>400067.0</v>
      </c>
      <c r="AF3478" s="235" t="s">
        <v>631</v>
      </c>
      <c r="AG3478" s="245"/>
      <c r="AH3478" s="245"/>
      <c r="AI3478" s="245"/>
      <c r="AJ3478" s="245"/>
      <c r="AK3478" s="245"/>
      <c r="AL3478" s="245"/>
      <c r="AM3478" s="245"/>
      <c r="AN3478" s="245"/>
      <c r="AO3478" s="238">
        <v>0.0</v>
      </c>
      <c r="AP3478" s="238">
        <v>0.0</v>
      </c>
      <c r="AQ3478" s="235" t="s">
        <v>632</v>
      </c>
      <c r="AR3478" s="243">
        <v>3.71E11</v>
      </c>
      <c r="AS3478" s="235" t="s">
        <v>25098</v>
      </c>
      <c r="AT3478" s="235" t="s">
        <v>16</v>
      </c>
      <c r="AU3478" s="235" t="s">
        <v>634</v>
      </c>
      <c r="AV3478" s="246" t="s">
        <v>635</v>
      </c>
      <c r="AW3478" s="227"/>
      <c r="AX3478" s="227"/>
      <c r="AY3478" s="227"/>
      <c r="AZ3478" s="227"/>
      <c r="BA3478" s="227"/>
      <c r="BB3478" s="227"/>
      <c r="BC3478" s="227"/>
      <c r="BD3478" s="227"/>
      <c r="BE3478" s="227"/>
      <c r="BF3478" s="227"/>
    </row>
    <row r="3479">
      <c r="A3479" s="235" t="s">
        <v>26133</v>
      </c>
      <c r="C3479" s="235" t="s">
        <v>26134</v>
      </c>
      <c r="D3479" s="235" t="s">
        <v>26135</v>
      </c>
      <c r="E3479" s="243">
        <v>6.51E13</v>
      </c>
      <c r="F3479" s="245"/>
      <c r="G3479" s="235" t="s">
        <v>26136</v>
      </c>
      <c r="H3479" s="235" t="s">
        <v>26137</v>
      </c>
      <c r="I3479" s="235" t="s">
        <v>26138</v>
      </c>
      <c r="J3479" s="235" t="s">
        <v>26139</v>
      </c>
      <c r="K3479" s="235" t="s">
        <v>26140</v>
      </c>
      <c r="N3479" s="235" t="s">
        <v>556</v>
      </c>
      <c r="O3479" s="235" t="s">
        <v>555</v>
      </c>
      <c r="P3479" s="238">
        <v>1.0</v>
      </c>
      <c r="Q3479" s="235" t="s">
        <v>627</v>
      </c>
      <c r="R3479" s="238">
        <v>237.14</v>
      </c>
      <c r="S3479" s="238">
        <v>11.86</v>
      </c>
      <c r="T3479" s="238">
        <v>0.0</v>
      </c>
      <c r="U3479" s="238">
        <v>0.0</v>
      </c>
      <c r="V3479" s="238">
        <v>0.0</v>
      </c>
      <c r="W3479" s="238">
        <v>0.0</v>
      </c>
      <c r="X3479" s="235" t="s">
        <v>628</v>
      </c>
      <c r="Z3479" s="245"/>
      <c r="AA3479" s="245"/>
      <c r="AB3479" s="245"/>
      <c r="AC3479" s="235" t="s">
        <v>1058</v>
      </c>
      <c r="AD3479" s="235" t="s">
        <v>845</v>
      </c>
      <c r="AE3479" s="238">
        <v>400067.0</v>
      </c>
      <c r="AF3479" s="235" t="s">
        <v>631</v>
      </c>
      <c r="AG3479" s="245"/>
      <c r="AH3479" s="245"/>
      <c r="AI3479" s="245"/>
      <c r="AJ3479" s="245"/>
      <c r="AK3479" s="245"/>
      <c r="AL3479" s="245"/>
      <c r="AM3479" s="245"/>
      <c r="AN3479" s="245"/>
      <c r="AO3479" s="238">
        <v>0.0</v>
      </c>
      <c r="AP3479" s="238">
        <v>0.0</v>
      </c>
      <c r="AQ3479" s="235" t="s">
        <v>632</v>
      </c>
      <c r="AR3479" s="243">
        <v>3.71E11</v>
      </c>
      <c r="AS3479" s="235" t="s">
        <v>25098</v>
      </c>
      <c r="AT3479" s="235" t="s">
        <v>17</v>
      </c>
      <c r="AU3479" s="235" t="s">
        <v>634</v>
      </c>
      <c r="AV3479" s="246" t="s">
        <v>635</v>
      </c>
      <c r="AW3479" s="227"/>
      <c r="AX3479" s="227"/>
      <c r="AY3479" s="227"/>
      <c r="AZ3479" s="227"/>
      <c r="BA3479" s="227"/>
      <c r="BB3479" s="227"/>
      <c r="BC3479" s="227"/>
      <c r="BD3479" s="227"/>
      <c r="BE3479" s="227"/>
      <c r="BF3479" s="227"/>
    </row>
    <row r="3480">
      <c r="A3480" s="235" t="s">
        <v>26141</v>
      </c>
      <c r="C3480" s="235" t="s">
        <v>26142</v>
      </c>
      <c r="D3480" s="235" t="s">
        <v>26143</v>
      </c>
      <c r="E3480" s="243">
        <v>6.52E13</v>
      </c>
      <c r="F3480" s="245"/>
      <c r="G3480" s="235" t="s">
        <v>26144</v>
      </c>
      <c r="H3480" s="235" t="s">
        <v>26145</v>
      </c>
      <c r="I3480" s="235" t="s">
        <v>26145</v>
      </c>
      <c r="J3480" s="235" t="s">
        <v>26146</v>
      </c>
      <c r="K3480" s="235" t="s">
        <v>26147</v>
      </c>
      <c r="N3480" s="235" t="s">
        <v>134</v>
      </c>
      <c r="O3480" s="235" t="s">
        <v>314</v>
      </c>
      <c r="P3480" s="238">
        <v>1.0</v>
      </c>
      <c r="Q3480" s="235" t="s">
        <v>627</v>
      </c>
      <c r="R3480" s="238">
        <v>233.33</v>
      </c>
      <c r="S3480" s="238">
        <v>11.67</v>
      </c>
      <c r="T3480" s="238">
        <v>38.1</v>
      </c>
      <c r="U3480" s="238">
        <v>1.9</v>
      </c>
      <c r="V3480" s="238">
        <v>0.0</v>
      </c>
      <c r="W3480" s="238">
        <v>0.0</v>
      </c>
      <c r="X3480" s="235" t="s">
        <v>628</v>
      </c>
      <c r="Z3480" s="245"/>
      <c r="AA3480" s="245"/>
      <c r="AB3480" s="245"/>
      <c r="AC3480" s="235" t="s">
        <v>697</v>
      </c>
      <c r="AD3480" s="235" t="s">
        <v>698</v>
      </c>
      <c r="AE3480" s="238">
        <v>500018.0</v>
      </c>
      <c r="AF3480" s="235" t="s">
        <v>631</v>
      </c>
      <c r="AG3480" s="245"/>
      <c r="AH3480" s="245"/>
      <c r="AI3480" s="245"/>
      <c r="AJ3480" s="245"/>
      <c r="AK3480" s="245"/>
      <c r="AL3480" s="245"/>
      <c r="AM3480" s="245"/>
      <c r="AN3480" s="245"/>
      <c r="AO3480" s="238">
        <v>0.0</v>
      </c>
      <c r="AP3480" s="238">
        <v>-38.1</v>
      </c>
      <c r="AQ3480" s="235" t="s">
        <v>632</v>
      </c>
      <c r="AR3480" s="243">
        <v>3.71E11</v>
      </c>
      <c r="AS3480" s="235" t="s">
        <v>22269</v>
      </c>
      <c r="AT3480" s="235" t="s">
        <v>16</v>
      </c>
      <c r="AU3480" s="235" t="s">
        <v>634</v>
      </c>
      <c r="AV3480" s="246" t="s">
        <v>635</v>
      </c>
      <c r="AW3480" s="227"/>
      <c r="AX3480" s="227"/>
      <c r="AY3480" s="227"/>
      <c r="AZ3480" s="227"/>
      <c r="BA3480" s="227"/>
      <c r="BB3480" s="227"/>
      <c r="BC3480" s="227"/>
      <c r="BD3480" s="227"/>
      <c r="BE3480" s="227"/>
      <c r="BF3480" s="227"/>
    </row>
    <row r="3481">
      <c r="A3481" s="235" t="s">
        <v>26148</v>
      </c>
      <c r="C3481" s="235" t="s">
        <v>26149</v>
      </c>
      <c r="D3481" s="235" t="s">
        <v>26150</v>
      </c>
      <c r="E3481" s="243">
        <v>6.52E13</v>
      </c>
      <c r="F3481" s="245"/>
      <c r="G3481" s="235" t="s">
        <v>26151</v>
      </c>
      <c r="H3481" s="235" t="s">
        <v>26152</v>
      </c>
      <c r="I3481" s="235" t="s">
        <v>26152</v>
      </c>
      <c r="J3481" s="235" t="s">
        <v>26153</v>
      </c>
      <c r="K3481" s="235" t="s">
        <v>26154</v>
      </c>
      <c r="N3481" s="235" t="s">
        <v>138</v>
      </c>
      <c r="O3481" s="235" t="s">
        <v>675</v>
      </c>
      <c r="P3481" s="238">
        <v>1.0</v>
      </c>
      <c r="Q3481" s="235" t="s">
        <v>627</v>
      </c>
      <c r="R3481" s="238">
        <v>246.67</v>
      </c>
      <c r="S3481" s="238">
        <v>12.33</v>
      </c>
      <c r="T3481" s="238">
        <v>38.1</v>
      </c>
      <c r="U3481" s="238">
        <v>1.9</v>
      </c>
      <c r="V3481" s="238">
        <v>0.0</v>
      </c>
      <c r="W3481" s="238">
        <v>0.0</v>
      </c>
      <c r="X3481" s="235" t="s">
        <v>628</v>
      </c>
      <c r="Z3481" s="245"/>
      <c r="AA3481" s="245"/>
      <c r="AB3481" s="245"/>
      <c r="AC3481" s="235" t="s">
        <v>3398</v>
      </c>
      <c r="AD3481" s="235" t="s">
        <v>698</v>
      </c>
      <c r="AE3481" s="238">
        <v>500003.0</v>
      </c>
      <c r="AF3481" s="235" t="s">
        <v>631</v>
      </c>
      <c r="AG3481" s="245"/>
      <c r="AH3481" s="245"/>
      <c r="AI3481" s="245"/>
      <c r="AJ3481" s="245"/>
      <c r="AK3481" s="245"/>
      <c r="AL3481" s="245"/>
      <c r="AM3481" s="245"/>
      <c r="AN3481" s="245"/>
      <c r="AO3481" s="238">
        <v>0.0</v>
      </c>
      <c r="AP3481" s="238">
        <v>-38.1</v>
      </c>
      <c r="AQ3481" s="235" t="s">
        <v>632</v>
      </c>
      <c r="AR3481" s="243">
        <v>3.71E11</v>
      </c>
      <c r="AS3481" s="235" t="s">
        <v>22269</v>
      </c>
      <c r="AT3481" s="235" t="s">
        <v>17</v>
      </c>
      <c r="AU3481" s="235" t="s">
        <v>634</v>
      </c>
      <c r="AV3481" s="246" t="s">
        <v>635</v>
      </c>
      <c r="AW3481" s="227"/>
      <c r="AX3481" s="227"/>
      <c r="AY3481" s="227"/>
      <c r="AZ3481" s="227"/>
      <c r="BA3481" s="227"/>
      <c r="BB3481" s="227"/>
      <c r="BC3481" s="227"/>
      <c r="BD3481" s="227"/>
      <c r="BE3481" s="227"/>
      <c r="BF3481" s="227"/>
    </row>
    <row r="3482">
      <c r="A3482" s="235" t="s">
        <v>26155</v>
      </c>
      <c r="C3482" s="235" t="s">
        <v>26156</v>
      </c>
      <c r="D3482" s="235" t="s">
        <v>26157</v>
      </c>
      <c r="E3482" s="243">
        <v>6.51E13</v>
      </c>
      <c r="F3482" s="245"/>
      <c r="G3482" s="235" t="s">
        <v>26158</v>
      </c>
      <c r="H3482" s="235" t="s">
        <v>26159</v>
      </c>
      <c r="I3482" s="235" t="s">
        <v>26160</v>
      </c>
      <c r="J3482" s="235" t="s">
        <v>26161</v>
      </c>
      <c r="K3482" s="235" t="s">
        <v>24937</v>
      </c>
      <c r="N3482" s="235" t="s">
        <v>141</v>
      </c>
      <c r="O3482" s="235" t="s">
        <v>342</v>
      </c>
      <c r="P3482" s="238">
        <v>1.0</v>
      </c>
      <c r="Q3482" s="235" t="s">
        <v>627</v>
      </c>
      <c r="R3482" s="238">
        <v>233.33</v>
      </c>
      <c r="S3482" s="238">
        <v>11.67</v>
      </c>
      <c r="T3482" s="238">
        <v>38.1</v>
      </c>
      <c r="U3482" s="238">
        <v>1.9</v>
      </c>
      <c r="V3482" s="238">
        <v>0.0</v>
      </c>
      <c r="W3482" s="238">
        <v>0.0</v>
      </c>
      <c r="X3482" s="235" t="s">
        <v>628</v>
      </c>
      <c r="Z3482" s="245"/>
      <c r="AA3482" s="245"/>
      <c r="AB3482" s="245"/>
      <c r="AC3482" s="235" t="s">
        <v>795</v>
      </c>
      <c r="AD3482" s="235" t="s">
        <v>796</v>
      </c>
      <c r="AE3482" s="238">
        <v>110085.0</v>
      </c>
      <c r="AF3482" s="235" t="s">
        <v>631</v>
      </c>
      <c r="AG3482" s="245"/>
      <c r="AH3482" s="245"/>
      <c r="AI3482" s="245"/>
      <c r="AJ3482" s="245"/>
      <c r="AK3482" s="245"/>
      <c r="AL3482" s="245"/>
      <c r="AM3482" s="245"/>
      <c r="AN3482" s="245"/>
      <c r="AO3482" s="238">
        <v>0.0</v>
      </c>
      <c r="AP3482" s="238">
        <v>-38.1</v>
      </c>
      <c r="AQ3482" s="235" t="s">
        <v>632</v>
      </c>
      <c r="AR3482" s="243">
        <v>3.71E11</v>
      </c>
      <c r="AS3482" s="235" t="s">
        <v>25098</v>
      </c>
      <c r="AT3482" s="235" t="s">
        <v>14</v>
      </c>
      <c r="AU3482" s="235" t="s">
        <v>634</v>
      </c>
      <c r="AV3482" s="246" t="s">
        <v>635</v>
      </c>
      <c r="AW3482" s="227"/>
      <c r="AX3482" s="227"/>
      <c r="AY3482" s="227"/>
      <c r="AZ3482" s="227"/>
      <c r="BA3482" s="227"/>
      <c r="BB3482" s="227"/>
      <c r="BC3482" s="227"/>
      <c r="BD3482" s="227"/>
      <c r="BE3482" s="227"/>
      <c r="BF3482" s="227"/>
    </row>
    <row r="3483">
      <c r="A3483" s="235" t="s">
        <v>26162</v>
      </c>
      <c r="C3483" s="235" t="s">
        <v>26163</v>
      </c>
      <c r="D3483" s="235" t="s">
        <v>26164</v>
      </c>
      <c r="E3483" s="243">
        <v>6.51E13</v>
      </c>
      <c r="F3483" s="245"/>
      <c r="G3483" s="235" t="s">
        <v>26165</v>
      </c>
      <c r="H3483" s="235" t="s">
        <v>26166</v>
      </c>
      <c r="I3483" s="235" t="s">
        <v>26166</v>
      </c>
      <c r="J3483" s="235" t="s">
        <v>26167</v>
      </c>
      <c r="K3483" s="235" t="s">
        <v>26168</v>
      </c>
      <c r="N3483" s="235" t="s">
        <v>141</v>
      </c>
      <c r="O3483" s="235" t="s">
        <v>342</v>
      </c>
      <c r="P3483" s="238">
        <v>1.0</v>
      </c>
      <c r="Q3483" s="235" t="s">
        <v>627</v>
      </c>
      <c r="R3483" s="238">
        <v>270.48</v>
      </c>
      <c r="S3483" s="238">
        <v>13.52</v>
      </c>
      <c r="T3483" s="238">
        <v>38.1</v>
      </c>
      <c r="U3483" s="238">
        <v>1.9</v>
      </c>
      <c r="V3483" s="238">
        <v>0.0</v>
      </c>
      <c r="W3483" s="238">
        <v>0.0</v>
      </c>
      <c r="X3483" s="235" t="s">
        <v>628</v>
      </c>
      <c r="Z3483" s="245"/>
      <c r="AA3483" s="245"/>
      <c r="AB3483" s="245"/>
      <c r="AC3483" s="235" t="s">
        <v>795</v>
      </c>
      <c r="AD3483" s="235" t="s">
        <v>796</v>
      </c>
      <c r="AE3483" s="238">
        <v>110031.0</v>
      </c>
      <c r="AF3483" s="235" t="s">
        <v>631</v>
      </c>
      <c r="AG3483" s="245"/>
      <c r="AH3483" s="245"/>
      <c r="AI3483" s="245"/>
      <c r="AJ3483" s="245"/>
      <c r="AK3483" s="245"/>
      <c r="AL3483" s="245"/>
      <c r="AM3483" s="245"/>
      <c r="AN3483" s="245"/>
      <c r="AO3483" s="238">
        <v>0.0</v>
      </c>
      <c r="AP3483" s="238">
        <v>-38.1</v>
      </c>
      <c r="AQ3483" s="235" t="s">
        <v>632</v>
      </c>
      <c r="AR3483" s="243">
        <v>3.71E11</v>
      </c>
      <c r="AS3483" s="235" t="s">
        <v>25098</v>
      </c>
      <c r="AT3483" s="235" t="s">
        <v>14</v>
      </c>
      <c r="AU3483" s="235" t="s">
        <v>634</v>
      </c>
      <c r="AV3483" s="246" t="s">
        <v>635</v>
      </c>
      <c r="AW3483" s="227"/>
      <c r="AX3483" s="227"/>
      <c r="AY3483" s="227"/>
      <c r="AZ3483" s="227"/>
      <c r="BA3483" s="227"/>
      <c r="BB3483" s="227"/>
      <c r="BC3483" s="227"/>
      <c r="BD3483" s="227"/>
      <c r="BE3483" s="227"/>
      <c r="BF3483" s="227"/>
    </row>
    <row r="3484">
      <c r="A3484" s="235" t="s">
        <v>26169</v>
      </c>
      <c r="C3484" s="235" t="s">
        <v>26170</v>
      </c>
      <c r="D3484" s="235" t="s">
        <v>26171</v>
      </c>
      <c r="E3484" s="243">
        <v>6.52E13</v>
      </c>
      <c r="F3484" s="245"/>
      <c r="G3484" s="235" t="s">
        <v>26172</v>
      </c>
      <c r="H3484" s="235" t="s">
        <v>26173</v>
      </c>
      <c r="I3484" s="235" t="s">
        <v>26173</v>
      </c>
      <c r="J3484" s="235" t="s">
        <v>26174</v>
      </c>
      <c r="K3484" s="235" t="s">
        <v>26175</v>
      </c>
      <c r="N3484" s="235" t="s">
        <v>90</v>
      </c>
      <c r="O3484" s="235" t="s">
        <v>279</v>
      </c>
      <c r="P3484" s="238">
        <v>1.0</v>
      </c>
      <c r="Q3484" s="235" t="s">
        <v>627</v>
      </c>
      <c r="R3484" s="238">
        <v>246.67</v>
      </c>
      <c r="S3484" s="238">
        <v>12.08</v>
      </c>
      <c r="T3484" s="238">
        <v>0.0</v>
      </c>
      <c r="U3484" s="238">
        <v>0.0</v>
      </c>
      <c r="V3484" s="238">
        <v>0.0</v>
      </c>
      <c r="W3484" s="238">
        <v>0.0</v>
      </c>
      <c r="X3484" s="235" t="s">
        <v>628</v>
      </c>
      <c r="Z3484" s="245"/>
      <c r="AA3484" s="245"/>
      <c r="AB3484" s="245"/>
      <c r="AC3484" s="235" t="s">
        <v>6571</v>
      </c>
      <c r="AD3484" s="235" t="s">
        <v>731</v>
      </c>
      <c r="AE3484" s="238">
        <v>781171.0</v>
      </c>
      <c r="AF3484" s="235" t="s">
        <v>631</v>
      </c>
      <c r="AG3484" s="245"/>
      <c r="AH3484" s="245"/>
      <c r="AI3484" s="245"/>
      <c r="AJ3484" s="245"/>
      <c r="AK3484" s="245"/>
      <c r="AL3484" s="245"/>
      <c r="AM3484" s="245"/>
      <c r="AN3484" s="245"/>
      <c r="AO3484" s="238">
        <v>-4.93</v>
      </c>
      <c r="AP3484" s="238">
        <v>0.0</v>
      </c>
      <c r="AQ3484" s="235" t="s">
        <v>632</v>
      </c>
      <c r="AR3484" s="243">
        <v>2.02E11</v>
      </c>
      <c r="AS3484" s="235" t="s">
        <v>25098</v>
      </c>
      <c r="AT3484" s="235" t="s">
        <v>156</v>
      </c>
      <c r="AU3484" s="235" t="s">
        <v>634</v>
      </c>
      <c r="AV3484" s="246" t="s">
        <v>635</v>
      </c>
      <c r="AW3484" s="227"/>
      <c r="AX3484" s="227"/>
      <c r="AY3484" s="227"/>
      <c r="AZ3484" s="227"/>
      <c r="BA3484" s="227"/>
      <c r="BB3484" s="227"/>
      <c r="BC3484" s="227"/>
      <c r="BD3484" s="227"/>
      <c r="BE3484" s="227"/>
      <c r="BF3484" s="227"/>
    </row>
    <row r="3485">
      <c r="A3485" s="235" t="s">
        <v>26176</v>
      </c>
      <c r="C3485" s="235" t="s">
        <v>26177</v>
      </c>
      <c r="D3485" s="235" t="s">
        <v>26178</v>
      </c>
      <c r="E3485" s="243">
        <v>6.52E13</v>
      </c>
      <c r="F3485" s="245"/>
      <c r="G3485" s="235" t="s">
        <v>26179</v>
      </c>
      <c r="H3485" s="235" t="s">
        <v>26180</v>
      </c>
      <c r="I3485" s="235" t="s">
        <v>26180</v>
      </c>
      <c r="J3485" s="235" t="s">
        <v>26174</v>
      </c>
      <c r="K3485" s="235" t="s">
        <v>26181</v>
      </c>
      <c r="N3485" s="235" t="s">
        <v>2163</v>
      </c>
      <c r="O3485" s="235" t="s">
        <v>2164</v>
      </c>
      <c r="P3485" s="238">
        <v>1.0</v>
      </c>
      <c r="Q3485" s="235" t="s">
        <v>627</v>
      </c>
      <c r="R3485" s="238">
        <v>233.33</v>
      </c>
      <c r="S3485" s="238">
        <v>11.32</v>
      </c>
      <c r="T3485" s="238">
        <v>0.0</v>
      </c>
      <c r="U3485" s="238">
        <v>0.0</v>
      </c>
      <c r="V3485" s="238">
        <v>0.0</v>
      </c>
      <c r="W3485" s="238">
        <v>0.0</v>
      </c>
      <c r="X3485" s="235" t="s">
        <v>628</v>
      </c>
      <c r="Z3485" s="245"/>
      <c r="AA3485" s="245"/>
      <c r="AB3485" s="245"/>
      <c r="AC3485" s="235" t="s">
        <v>26182</v>
      </c>
      <c r="AD3485" s="235" t="s">
        <v>917</v>
      </c>
      <c r="AE3485" s="238">
        <v>303108.0</v>
      </c>
      <c r="AF3485" s="235" t="s">
        <v>631</v>
      </c>
      <c r="AG3485" s="245"/>
      <c r="AH3485" s="245"/>
      <c r="AI3485" s="245"/>
      <c r="AJ3485" s="245"/>
      <c r="AK3485" s="245"/>
      <c r="AL3485" s="245"/>
      <c r="AM3485" s="245"/>
      <c r="AN3485" s="245"/>
      <c r="AO3485" s="238">
        <v>-7.0</v>
      </c>
      <c r="AP3485" s="238">
        <v>0.0</v>
      </c>
      <c r="AQ3485" s="235" t="s">
        <v>632</v>
      </c>
      <c r="AR3485" s="243">
        <v>3.71E11</v>
      </c>
      <c r="AS3485" s="235" t="s">
        <v>23542</v>
      </c>
      <c r="AT3485" s="235" t="s">
        <v>13</v>
      </c>
      <c r="AU3485" s="235" t="s">
        <v>634</v>
      </c>
      <c r="AV3485" s="246" t="s">
        <v>635</v>
      </c>
      <c r="AW3485" s="227"/>
      <c r="AX3485" s="227"/>
      <c r="AY3485" s="227"/>
      <c r="AZ3485" s="227"/>
      <c r="BA3485" s="227"/>
      <c r="BB3485" s="227"/>
      <c r="BC3485" s="227"/>
      <c r="BD3485" s="227"/>
      <c r="BE3485" s="227"/>
      <c r="BF3485" s="227"/>
    </row>
    <row r="3486">
      <c r="A3486" s="235" t="s">
        <v>26183</v>
      </c>
      <c r="C3486" s="235" t="s">
        <v>26184</v>
      </c>
      <c r="D3486" s="235" t="s">
        <v>26185</v>
      </c>
      <c r="E3486" s="243">
        <v>6.52E13</v>
      </c>
      <c r="F3486" s="245"/>
      <c r="G3486" s="235" t="s">
        <v>26186</v>
      </c>
      <c r="H3486" s="235" t="s">
        <v>26187</v>
      </c>
      <c r="I3486" s="235" t="s">
        <v>26187</v>
      </c>
      <c r="J3486" s="235" t="s">
        <v>26188</v>
      </c>
      <c r="K3486" s="235" t="s">
        <v>26189</v>
      </c>
      <c r="N3486" s="235" t="s">
        <v>134</v>
      </c>
      <c r="O3486" s="235" t="s">
        <v>314</v>
      </c>
      <c r="P3486" s="238">
        <v>1.0</v>
      </c>
      <c r="Q3486" s="235" t="s">
        <v>627</v>
      </c>
      <c r="R3486" s="238">
        <v>246.67</v>
      </c>
      <c r="S3486" s="238">
        <v>12.33</v>
      </c>
      <c r="T3486" s="238">
        <v>0.0</v>
      </c>
      <c r="U3486" s="238">
        <v>0.0</v>
      </c>
      <c r="V3486" s="238">
        <v>0.0</v>
      </c>
      <c r="W3486" s="238">
        <v>0.0</v>
      </c>
      <c r="X3486" s="235" t="s">
        <v>628</v>
      </c>
      <c r="Z3486" s="245"/>
      <c r="AA3486" s="245"/>
      <c r="AB3486" s="245"/>
      <c r="AC3486" s="235" t="s">
        <v>697</v>
      </c>
      <c r="AD3486" s="235" t="s">
        <v>698</v>
      </c>
      <c r="AE3486" s="238">
        <v>500100.0</v>
      </c>
      <c r="AF3486" s="235" t="s">
        <v>631</v>
      </c>
      <c r="AG3486" s="245"/>
      <c r="AH3486" s="245"/>
      <c r="AI3486" s="245"/>
      <c r="AJ3486" s="245"/>
      <c r="AK3486" s="245"/>
      <c r="AL3486" s="245"/>
      <c r="AM3486" s="245"/>
      <c r="AN3486" s="245"/>
      <c r="AO3486" s="238">
        <v>0.0</v>
      </c>
      <c r="AP3486" s="238">
        <v>0.0</v>
      </c>
      <c r="AQ3486" s="235" t="s">
        <v>632</v>
      </c>
      <c r="AR3486" s="243">
        <v>2.02E11</v>
      </c>
      <c r="AS3486" s="235" t="s">
        <v>25098</v>
      </c>
      <c r="AT3486" s="235" t="s">
        <v>156</v>
      </c>
      <c r="AU3486" s="235" t="s">
        <v>634</v>
      </c>
      <c r="AV3486" s="246" t="s">
        <v>635</v>
      </c>
      <c r="AW3486" s="227"/>
      <c r="AX3486" s="227"/>
      <c r="AY3486" s="227"/>
      <c r="AZ3486" s="227"/>
      <c r="BA3486" s="227"/>
      <c r="BB3486" s="227"/>
      <c r="BC3486" s="227"/>
      <c r="BD3486" s="227"/>
      <c r="BE3486" s="227"/>
      <c r="BF3486" s="227"/>
    </row>
    <row r="3487">
      <c r="A3487" s="235" t="s">
        <v>26190</v>
      </c>
      <c r="C3487" s="235" t="s">
        <v>26191</v>
      </c>
      <c r="D3487" s="235" t="s">
        <v>26192</v>
      </c>
      <c r="E3487" s="243">
        <v>6.52E13</v>
      </c>
      <c r="F3487" s="245"/>
      <c r="G3487" s="235" t="s">
        <v>26193</v>
      </c>
      <c r="H3487" s="235" t="s">
        <v>26194</v>
      </c>
      <c r="I3487" s="235" t="s">
        <v>26195</v>
      </c>
      <c r="J3487" s="235" t="s">
        <v>26196</v>
      </c>
      <c r="K3487" s="235" t="s">
        <v>26197</v>
      </c>
      <c r="N3487" s="235" t="s">
        <v>127</v>
      </c>
      <c r="O3487" s="235" t="s">
        <v>794</v>
      </c>
      <c r="P3487" s="238">
        <v>1.0</v>
      </c>
      <c r="Q3487" s="235" t="s">
        <v>627</v>
      </c>
      <c r="R3487" s="238">
        <v>243.8</v>
      </c>
      <c r="S3487" s="238">
        <v>12.2</v>
      </c>
      <c r="T3487" s="238">
        <v>0.0</v>
      </c>
      <c r="U3487" s="238">
        <v>0.0</v>
      </c>
      <c r="V3487" s="238">
        <v>0.0</v>
      </c>
      <c r="W3487" s="238">
        <v>0.0</v>
      </c>
      <c r="X3487" s="235" t="s">
        <v>628</v>
      </c>
      <c r="Z3487" s="245"/>
      <c r="AA3487" s="245"/>
      <c r="AB3487" s="245"/>
      <c r="AC3487" s="235" t="s">
        <v>687</v>
      </c>
      <c r="AD3487" s="235" t="s">
        <v>666</v>
      </c>
      <c r="AE3487" s="238">
        <v>600068.0</v>
      </c>
      <c r="AF3487" s="235" t="s">
        <v>631</v>
      </c>
      <c r="AG3487" s="245"/>
      <c r="AH3487" s="245"/>
      <c r="AI3487" s="245"/>
      <c r="AJ3487" s="245"/>
      <c r="AK3487" s="245"/>
      <c r="AL3487" s="245"/>
      <c r="AM3487" s="245"/>
      <c r="AN3487" s="245"/>
      <c r="AO3487" s="238">
        <v>0.0</v>
      </c>
      <c r="AP3487" s="238">
        <v>0.0</v>
      </c>
      <c r="AQ3487" s="235" t="s">
        <v>632</v>
      </c>
      <c r="AR3487" s="243">
        <v>1.68E11</v>
      </c>
      <c r="AS3487" s="235" t="s">
        <v>25713</v>
      </c>
      <c r="AT3487" s="235" t="s">
        <v>156</v>
      </c>
      <c r="AU3487" s="235" t="s">
        <v>634</v>
      </c>
      <c r="AV3487" s="246" t="s">
        <v>635</v>
      </c>
      <c r="AW3487" s="227"/>
      <c r="AX3487" s="227"/>
      <c r="AY3487" s="227"/>
      <c r="AZ3487" s="227"/>
      <c r="BA3487" s="227"/>
      <c r="BB3487" s="227"/>
      <c r="BC3487" s="227"/>
      <c r="BD3487" s="227"/>
      <c r="BE3487" s="227"/>
      <c r="BF3487" s="227"/>
    </row>
    <row r="3488">
      <c r="A3488" s="235" t="s">
        <v>26198</v>
      </c>
      <c r="C3488" s="235" t="s">
        <v>26199</v>
      </c>
      <c r="D3488" s="235" t="s">
        <v>26200</v>
      </c>
      <c r="E3488" s="243">
        <v>6.52E13</v>
      </c>
      <c r="F3488" s="245"/>
      <c r="G3488" s="235" t="s">
        <v>26201</v>
      </c>
      <c r="H3488" s="235" t="s">
        <v>26202</v>
      </c>
      <c r="I3488" s="235" t="s">
        <v>26202</v>
      </c>
      <c r="J3488" s="235" t="s">
        <v>26203</v>
      </c>
      <c r="K3488" s="235" t="s">
        <v>26204</v>
      </c>
      <c r="N3488" s="235" t="s">
        <v>47</v>
      </c>
      <c r="O3488" s="235" t="s">
        <v>270</v>
      </c>
      <c r="P3488" s="238">
        <v>1.0</v>
      </c>
      <c r="Q3488" s="235" t="s">
        <v>627</v>
      </c>
      <c r="R3488" s="238">
        <v>237.14</v>
      </c>
      <c r="S3488" s="238">
        <v>11.62</v>
      </c>
      <c r="T3488" s="238">
        <v>0.0</v>
      </c>
      <c r="U3488" s="238">
        <v>0.0</v>
      </c>
      <c r="V3488" s="238">
        <v>0.0</v>
      </c>
      <c r="W3488" s="238">
        <v>0.0</v>
      </c>
      <c r="X3488" s="235" t="s">
        <v>628</v>
      </c>
      <c r="Z3488" s="245"/>
      <c r="AA3488" s="245"/>
      <c r="AB3488" s="245"/>
      <c r="AC3488" s="235" t="s">
        <v>697</v>
      </c>
      <c r="AD3488" s="235" t="s">
        <v>698</v>
      </c>
      <c r="AE3488" s="238">
        <v>502032.0</v>
      </c>
      <c r="AF3488" s="235" t="s">
        <v>631</v>
      </c>
      <c r="AG3488" s="245"/>
      <c r="AH3488" s="245"/>
      <c r="AI3488" s="245"/>
      <c r="AJ3488" s="245"/>
      <c r="AK3488" s="245"/>
      <c r="AL3488" s="245"/>
      <c r="AM3488" s="245"/>
      <c r="AN3488" s="245"/>
      <c r="AO3488" s="238">
        <v>-4.74</v>
      </c>
      <c r="AP3488" s="238">
        <v>0.0</v>
      </c>
      <c r="AQ3488" s="235" t="s">
        <v>632</v>
      </c>
      <c r="AR3488" s="243">
        <v>2.02E11</v>
      </c>
      <c r="AS3488" s="235" t="s">
        <v>25098</v>
      </c>
      <c r="AT3488" s="235" t="s">
        <v>156</v>
      </c>
      <c r="AU3488" s="235" t="s">
        <v>634</v>
      </c>
      <c r="AV3488" s="246" t="s">
        <v>635</v>
      </c>
      <c r="AW3488" s="227"/>
      <c r="AX3488" s="227"/>
      <c r="AY3488" s="227"/>
      <c r="AZ3488" s="227"/>
      <c r="BA3488" s="227"/>
      <c r="BB3488" s="227"/>
      <c r="BC3488" s="227"/>
      <c r="BD3488" s="227"/>
      <c r="BE3488" s="227"/>
      <c r="BF3488" s="227"/>
    </row>
    <row r="3489">
      <c r="A3489" s="235" t="s">
        <v>26205</v>
      </c>
      <c r="C3489" s="235" t="s">
        <v>26206</v>
      </c>
      <c r="D3489" s="235" t="s">
        <v>26207</v>
      </c>
      <c r="E3489" s="243">
        <v>6.52E13</v>
      </c>
      <c r="F3489" s="245"/>
      <c r="G3489" s="235" t="s">
        <v>26208</v>
      </c>
      <c r="H3489" s="235" t="s">
        <v>26209</v>
      </c>
      <c r="I3489" s="235" t="s">
        <v>26209</v>
      </c>
      <c r="J3489" s="235" t="s">
        <v>26210</v>
      </c>
      <c r="K3489" s="235" t="s">
        <v>26211</v>
      </c>
      <c r="N3489" s="235" t="s">
        <v>566</v>
      </c>
      <c r="O3489" s="235" t="s">
        <v>13068</v>
      </c>
      <c r="P3489" s="238">
        <v>1.0</v>
      </c>
      <c r="Q3489" s="235" t="s">
        <v>627</v>
      </c>
      <c r="R3489" s="238">
        <v>405.94</v>
      </c>
      <c r="S3489" s="238">
        <v>73.06</v>
      </c>
      <c r="T3489" s="238">
        <v>0.0</v>
      </c>
      <c r="U3489" s="238">
        <v>0.0</v>
      </c>
      <c r="V3489" s="238">
        <v>0.0</v>
      </c>
      <c r="W3489" s="238">
        <v>0.0</v>
      </c>
      <c r="X3489" s="235" t="s">
        <v>628</v>
      </c>
      <c r="Z3489" s="245"/>
      <c r="AA3489" s="245"/>
      <c r="AB3489" s="245"/>
      <c r="AC3489" s="235" t="s">
        <v>1792</v>
      </c>
      <c r="AD3489" s="235" t="s">
        <v>1077</v>
      </c>
      <c r="AE3489" s="238">
        <v>390007.0</v>
      </c>
      <c r="AF3489" s="235" t="s">
        <v>631</v>
      </c>
      <c r="AG3489" s="245"/>
      <c r="AH3489" s="245"/>
      <c r="AI3489" s="245"/>
      <c r="AJ3489" s="245"/>
      <c r="AK3489" s="245"/>
      <c r="AL3489" s="245"/>
      <c r="AM3489" s="245"/>
      <c r="AN3489" s="245"/>
      <c r="AO3489" s="238">
        <v>0.0</v>
      </c>
      <c r="AP3489" s="238">
        <v>0.0</v>
      </c>
      <c r="AQ3489" s="235" t="s">
        <v>632</v>
      </c>
      <c r="AR3489" s="243">
        <v>3.71E11</v>
      </c>
      <c r="AS3489" s="235" t="s">
        <v>23542</v>
      </c>
      <c r="AT3489" s="235" t="s">
        <v>5</v>
      </c>
      <c r="AU3489" s="235" t="s">
        <v>634</v>
      </c>
      <c r="AV3489" s="246" t="s">
        <v>635</v>
      </c>
      <c r="AW3489" s="227"/>
      <c r="AX3489" s="227"/>
      <c r="AY3489" s="227"/>
      <c r="AZ3489" s="227"/>
      <c r="BA3489" s="227"/>
      <c r="BB3489" s="227"/>
      <c r="BC3489" s="227"/>
      <c r="BD3489" s="227"/>
      <c r="BE3489" s="227"/>
      <c r="BF3489" s="227"/>
    </row>
    <row r="3490">
      <c r="A3490" s="235" t="s">
        <v>26212</v>
      </c>
      <c r="C3490" s="235" t="s">
        <v>26213</v>
      </c>
      <c r="D3490" s="235" t="s">
        <v>26214</v>
      </c>
      <c r="E3490" s="243">
        <v>6.52E13</v>
      </c>
      <c r="F3490" s="245"/>
      <c r="G3490" s="235" t="s">
        <v>26215</v>
      </c>
      <c r="H3490" s="235" t="s">
        <v>26216</v>
      </c>
      <c r="I3490" s="235" t="s">
        <v>26216</v>
      </c>
      <c r="J3490" s="235" t="s">
        <v>26217</v>
      </c>
      <c r="K3490" s="235" t="s">
        <v>22797</v>
      </c>
      <c r="N3490" s="235" t="s">
        <v>47</v>
      </c>
      <c r="O3490" s="235" t="s">
        <v>270</v>
      </c>
      <c r="P3490" s="238">
        <v>1.0</v>
      </c>
      <c r="Q3490" s="235" t="s">
        <v>627</v>
      </c>
      <c r="R3490" s="238">
        <v>236.19</v>
      </c>
      <c r="S3490" s="238">
        <v>11.57</v>
      </c>
      <c r="T3490" s="238">
        <v>38.1</v>
      </c>
      <c r="U3490" s="238">
        <v>1.9</v>
      </c>
      <c r="V3490" s="238">
        <v>0.0</v>
      </c>
      <c r="W3490" s="238">
        <v>0.0</v>
      </c>
      <c r="X3490" s="235" t="s">
        <v>628</v>
      </c>
      <c r="Z3490" s="245"/>
      <c r="AA3490" s="245"/>
      <c r="AB3490" s="245"/>
      <c r="AC3490" s="235" t="s">
        <v>697</v>
      </c>
      <c r="AD3490" s="235" t="s">
        <v>698</v>
      </c>
      <c r="AE3490" s="238">
        <v>500072.0</v>
      </c>
      <c r="AF3490" s="235" t="s">
        <v>631</v>
      </c>
      <c r="AG3490" s="245"/>
      <c r="AH3490" s="245"/>
      <c r="AI3490" s="245"/>
      <c r="AJ3490" s="245"/>
      <c r="AK3490" s="245"/>
      <c r="AL3490" s="245"/>
      <c r="AM3490" s="245"/>
      <c r="AN3490" s="245"/>
      <c r="AO3490" s="238">
        <v>-4.72</v>
      </c>
      <c r="AP3490" s="238">
        <v>-38.1</v>
      </c>
      <c r="AQ3490" s="235" t="s">
        <v>632</v>
      </c>
      <c r="AR3490" s="243">
        <v>3.71E11</v>
      </c>
      <c r="AS3490" s="235" t="s">
        <v>23542</v>
      </c>
      <c r="AT3490" s="235" t="s">
        <v>11</v>
      </c>
      <c r="AU3490" s="235" t="s">
        <v>634</v>
      </c>
      <c r="AV3490" s="246" t="s">
        <v>635</v>
      </c>
      <c r="AW3490" s="227"/>
      <c r="AX3490" s="227"/>
      <c r="AY3490" s="227"/>
      <c r="AZ3490" s="227"/>
      <c r="BA3490" s="227"/>
      <c r="BB3490" s="227"/>
      <c r="BC3490" s="227"/>
      <c r="BD3490" s="227"/>
      <c r="BE3490" s="227"/>
      <c r="BF3490" s="227"/>
    </row>
    <row r="3491">
      <c r="A3491" s="235" t="s">
        <v>26218</v>
      </c>
      <c r="C3491" s="235" t="s">
        <v>26219</v>
      </c>
      <c r="D3491" s="235" t="s">
        <v>26220</v>
      </c>
      <c r="E3491" s="243">
        <v>6.52E13</v>
      </c>
      <c r="F3491" s="245"/>
      <c r="G3491" s="235" t="s">
        <v>26221</v>
      </c>
      <c r="H3491" s="235" t="s">
        <v>26222</v>
      </c>
      <c r="I3491" s="235" t="s">
        <v>26223</v>
      </c>
      <c r="J3491" s="235" t="s">
        <v>26224</v>
      </c>
      <c r="K3491" s="235" t="s">
        <v>26225</v>
      </c>
      <c r="N3491" s="235" t="s">
        <v>82</v>
      </c>
      <c r="O3491" s="235" t="s">
        <v>889</v>
      </c>
      <c r="P3491" s="238">
        <v>1.0</v>
      </c>
      <c r="Q3491" s="235" t="s">
        <v>627</v>
      </c>
      <c r="R3491" s="238">
        <v>246.66</v>
      </c>
      <c r="S3491" s="238">
        <v>12.34</v>
      </c>
      <c r="T3491" s="238">
        <v>38.1</v>
      </c>
      <c r="U3491" s="238">
        <v>1.9</v>
      </c>
      <c r="V3491" s="238">
        <v>0.0</v>
      </c>
      <c r="W3491" s="238">
        <v>0.0</v>
      </c>
      <c r="X3491" s="235" t="s">
        <v>628</v>
      </c>
      <c r="Z3491" s="245"/>
      <c r="AA3491" s="245"/>
      <c r="AB3491" s="245"/>
      <c r="AC3491" s="235" t="s">
        <v>1058</v>
      </c>
      <c r="AD3491" s="235" t="s">
        <v>845</v>
      </c>
      <c r="AE3491" s="238">
        <v>400068.0</v>
      </c>
      <c r="AF3491" s="235" t="s">
        <v>631</v>
      </c>
      <c r="AG3491" s="245"/>
      <c r="AH3491" s="245"/>
      <c r="AI3491" s="245"/>
      <c r="AJ3491" s="245"/>
      <c r="AK3491" s="245"/>
      <c r="AL3491" s="245"/>
      <c r="AM3491" s="245"/>
      <c r="AN3491" s="245"/>
      <c r="AO3491" s="238">
        <v>0.0</v>
      </c>
      <c r="AP3491" s="238">
        <v>-38.1</v>
      </c>
      <c r="AQ3491" s="235" t="s">
        <v>1356</v>
      </c>
      <c r="AR3491" s="235" t="s">
        <v>26226</v>
      </c>
      <c r="AS3491" s="235" t="s">
        <v>16626</v>
      </c>
      <c r="AT3491" s="235" t="s">
        <v>17</v>
      </c>
      <c r="AU3491" s="235" t="s">
        <v>634</v>
      </c>
      <c r="AV3491" s="246" t="s">
        <v>635</v>
      </c>
      <c r="AW3491" s="227"/>
      <c r="AX3491" s="227"/>
      <c r="AY3491" s="227"/>
      <c r="AZ3491" s="227"/>
      <c r="BA3491" s="227"/>
      <c r="BB3491" s="227"/>
      <c r="BC3491" s="227"/>
      <c r="BD3491" s="227"/>
      <c r="BE3491" s="227"/>
      <c r="BF3491" s="227"/>
    </row>
    <row r="3492">
      <c r="A3492" s="235" t="s">
        <v>26227</v>
      </c>
      <c r="C3492" s="235" t="s">
        <v>26228</v>
      </c>
      <c r="D3492" s="235" t="s">
        <v>26229</v>
      </c>
      <c r="E3492" s="243">
        <v>6.52E13</v>
      </c>
      <c r="F3492" s="245"/>
      <c r="G3492" s="235" t="s">
        <v>26230</v>
      </c>
      <c r="H3492" s="235" t="s">
        <v>26231</v>
      </c>
      <c r="I3492" s="235" t="s">
        <v>26232</v>
      </c>
      <c r="J3492" s="235" t="s">
        <v>26233</v>
      </c>
      <c r="K3492" s="235" t="s">
        <v>26234</v>
      </c>
      <c r="N3492" s="235" t="s">
        <v>134</v>
      </c>
      <c r="O3492" s="235" t="s">
        <v>314</v>
      </c>
      <c r="P3492" s="238">
        <v>1.0</v>
      </c>
      <c r="Q3492" s="235" t="s">
        <v>627</v>
      </c>
      <c r="R3492" s="238">
        <v>233.34</v>
      </c>
      <c r="S3492" s="238">
        <v>11.32</v>
      </c>
      <c r="T3492" s="238">
        <v>0.0</v>
      </c>
      <c r="U3492" s="238">
        <v>0.0</v>
      </c>
      <c r="V3492" s="238">
        <v>0.0</v>
      </c>
      <c r="W3492" s="238">
        <v>0.0</v>
      </c>
      <c r="X3492" s="235" t="s">
        <v>628</v>
      </c>
      <c r="Z3492" s="245"/>
      <c r="AA3492" s="245"/>
      <c r="AB3492" s="245"/>
      <c r="AC3492" s="235" t="s">
        <v>678</v>
      </c>
      <c r="AD3492" s="235" t="s">
        <v>679</v>
      </c>
      <c r="AE3492" s="238">
        <v>560008.0</v>
      </c>
      <c r="AF3492" s="235" t="s">
        <v>631</v>
      </c>
      <c r="AG3492" s="245"/>
      <c r="AH3492" s="245"/>
      <c r="AI3492" s="245"/>
      <c r="AJ3492" s="245"/>
      <c r="AK3492" s="245"/>
      <c r="AL3492" s="245"/>
      <c r="AM3492" s="245"/>
      <c r="AN3492" s="245"/>
      <c r="AO3492" s="238">
        <v>-7.01</v>
      </c>
      <c r="AP3492" s="238">
        <v>0.0</v>
      </c>
      <c r="AQ3492" s="235" t="s">
        <v>632</v>
      </c>
      <c r="AR3492" s="243">
        <v>3.71E11</v>
      </c>
      <c r="AS3492" s="235" t="s">
        <v>25098</v>
      </c>
      <c r="AT3492" s="235" t="s">
        <v>9</v>
      </c>
      <c r="AU3492" s="235" t="s">
        <v>634</v>
      </c>
      <c r="AV3492" s="246" t="s">
        <v>635</v>
      </c>
      <c r="AW3492" s="227"/>
      <c r="AX3492" s="227"/>
      <c r="AY3492" s="227"/>
      <c r="AZ3492" s="227"/>
      <c r="BA3492" s="227"/>
      <c r="BB3492" s="227"/>
      <c r="BC3492" s="227"/>
      <c r="BD3492" s="227"/>
      <c r="BE3492" s="227"/>
      <c r="BF3492" s="227"/>
    </row>
    <row r="3493">
      <c r="A3493" s="235" t="s">
        <v>26235</v>
      </c>
      <c r="C3493" s="235" t="s">
        <v>26236</v>
      </c>
      <c r="D3493" s="235" t="s">
        <v>26237</v>
      </c>
      <c r="E3493" s="243">
        <v>6.52E13</v>
      </c>
      <c r="F3493" s="245"/>
      <c r="G3493" s="235" t="s">
        <v>26238</v>
      </c>
      <c r="H3493" s="235" t="s">
        <v>26239</v>
      </c>
      <c r="I3493" s="235" t="s">
        <v>26240</v>
      </c>
      <c r="J3493" s="235" t="s">
        <v>26241</v>
      </c>
      <c r="K3493" s="235" t="s">
        <v>26242</v>
      </c>
      <c r="N3493" s="235" t="s">
        <v>2163</v>
      </c>
      <c r="O3493" s="235" t="s">
        <v>2164</v>
      </c>
      <c r="P3493" s="238">
        <v>1.0</v>
      </c>
      <c r="Q3493" s="235" t="s">
        <v>627</v>
      </c>
      <c r="R3493" s="238">
        <v>233.34</v>
      </c>
      <c r="S3493" s="238">
        <v>11.32</v>
      </c>
      <c r="T3493" s="238">
        <v>0.0</v>
      </c>
      <c r="U3493" s="238">
        <v>0.0</v>
      </c>
      <c r="V3493" s="238">
        <v>0.0</v>
      </c>
      <c r="W3493" s="238">
        <v>0.0</v>
      </c>
      <c r="X3493" s="235" t="s">
        <v>628</v>
      </c>
      <c r="Z3493" s="245"/>
      <c r="AA3493" s="245"/>
      <c r="AB3493" s="245"/>
      <c r="AC3493" s="235" t="s">
        <v>10718</v>
      </c>
      <c r="AD3493" s="235" t="s">
        <v>666</v>
      </c>
      <c r="AE3493" s="238">
        <v>631502.0</v>
      </c>
      <c r="AF3493" s="235" t="s">
        <v>631</v>
      </c>
      <c r="AG3493" s="245"/>
      <c r="AH3493" s="245"/>
      <c r="AI3493" s="245"/>
      <c r="AJ3493" s="245"/>
      <c r="AK3493" s="245"/>
      <c r="AL3493" s="245"/>
      <c r="AM3493" s="245"/>
      <c r="AN3493" s="245"/>
      <c r="AO3493" s="238">
        <v>-7.01</v>
      </c>
      <c r="AP3493" s="238">
        <v>0.0</v>
      </c>
      <c r="AQ3493" s="235" t="s">
        <v>632</v>
      </c>
      <c r="AR3493" s="243">
        <v>3.71E11</v>
      </c>
      <c r="AS3493" s="235" t="s">
        <v>25098</v>
      </c>
      <c r="AT3493" s="235" t="s">
        <v>156</v>
      </c>
      <c r="AU3493" s="235" t="s">
        <v>634</v>
      </c>
      <c r="AV3493" s="246" t="s">
        <v>635</v>
      </c>
      <c r="AW3493" s="227"/>
      <c r="AX3493" s="227"/>
      <c r="AY3493" s="227"/>
      <c r="AZ3493" s="227"/>
      <c r="BA3493" s="227"/>
      <c r="BB3493" s="227"/>
      <c r="BC3493" s="227"/>
      <c r="BD3493" s="227"/>
      <c r="BE3493" s="227"/>
      <c r="BF3493" s="227"/>
    </row>
    <row r="3494">
      <c r="A3494" s="235" t="s">
        <v>26243</v>
      </c>
      <c r="C3494" s="235" t="s">
        <v>26244</v>
      </c>
      <c r="D3494" s="235" t="s">
        <v>26245</v>
      </c>
      <c r="E3494" s="243">
        <v>6.52E13</v>
      </c>
      <c r="F3494" s="245"/>
      <c r="G3494" s="235" t="s">
        <v>26246</v>
      </c>
      <c r="H3494" s="235" t="s">
        <v>26247</v>
      </c>
      <c r="I3494" s="235" t="s">
        <v>26247</v>
      </c>
      <c r="J3494" s="235" t="s">
        <v>26248</v>
      </c>
      <c r="K3494" s="235" t="s">
        <v>26249</v>
      </c>
      <c r="N3494" s="235" t="s">
        <v>85</v>
      </c>
      <c r="O3494" s="235" t="s">
        <v>872</v>
      </c>
      <c r="P3494" s="238">
        <v>1.0</v>
      </c>
      <c r="Q3494" s="235" t="s">
        <v>627</v>
      </c>
      <c r="R3494" s="238">
        <v>232.38</v>
      </c>
      <c r="S3494" s="238">
        <v>11.62</v>
      </c>
      <c r="T3494" s="238">
        <v>0.0</v>
      </c>
      <c r="U3494" s="238">
        <v>0.0</v>
      </c>
      <c r="V3494" s="238">
        <v>0.0</v>
      </c>
      <c r="W3494" s="238">
        <v>0.0</v>
      </c>
      <c r="X3494" s="235" t="s">
        <v>628</v>
      </c>
      <c r="Z3494" s="245"/>
      <c r="AA3494" s="245"/>
      <c r="AB3494" s="245"/>
      <c r="AC3494" s="235" t="s">
        <v>26250</v>
      </c>
      <c r="AD3494" s="235" t="s">
        <v>796</v>
      </c>
      <c r="AE3494" s="238">
        <v>110015.0</v>
      </c>
      <c r="AF3494" s="235" t="s">
        <v>631</v>
      </c>
      <c r="AG3494" s="245"/>
      <c r="AH3494" s="245"/>
      <c r="AI3494" s="245"/>
      <c r="AJ3494" s="245"/>
      <c r="AK3494" s="245"/>
      <c r="AL3494" s="245"/>
      <c r="AM3494" s="245"/>
      <c r="AN3494" s="245"/>
      <c r="AO3494" s="238">
        <v>0.0</v>
      </c>
      <c r="AP3494" s="238">
        <v>0.0</v>
      </c>
      <c r="AQ3494" s="235" t="s">
        <v>632</v>
      </c>
      <c r="AR3494" s="243">
        <v>3.71E11</v>
      </c>
      <c r="AS3494" s="235" t="s">
        <v>25098</v>
      </c>
      <c r="AT3494" s="235" t="s">
        <v>13</v>
      </c>
      <c r="AU3494" s="235" t="s">
        <v>634</v>
      </c>
      <c r="AV3494" s="246" t="s">
        <v>635</v>
      </c>
      <c r="AW3494" s="227"/>
      <c r="AX3494" s="227"/>
      <c r="AY3494" s="227"/>
      <c r="AZ3494" s="227"/>
      <c r="BA3494" s="227"/>
      <c r="BB3494" s="227"/>
      <c r="BC3494" s="227"/>
      <c r="BD3494" s="227"/>
      <c r="BE3494" s="227"/>
      <c r="BF3494" s="227"/>
    </row>
    <row r="3495">
      <c r="A3495" s="235" t="s">
        <v>26251</v>
      </c>
      <c r="C3495" s="235" t="s">
        <v>26252</v>
      </c>
      <c r="D3495" s="235" t="s">
        <v>26253</v>
      </c>
      <c r="E3495" s="243">
        <v>6.52E13</v>
      </c>
      <c r="F3495" s="245"/>
      <c r="G3495" s="235" t="s">
        <v>26254</v>
      </c>
      <c r="H3495" s="235" t="s">
        <v>26255</v>
      </c>
      <c r="I3495" s="235" t="s">
        <v>26256</v>
      </c>
      <c r="J3495" s="235" t="s">
        <v>26257</v>
      </c>
      <c r="K3495" s="235" t="s">
        <v>26258</v>
      </c>
      <c r="N3495" s="235" t="s">
        <v>141</v>
      </c>
      <c r="O3495" s="235" t="s">
        <v>342</v>
      </c>
      <c r="P3495" s="238">
        <v>1.0</v>
      </c>
      <c r="Q3495" s="235" t="s">
        <v>627</v>
      </c>
      <c r="R3495" s="238">
        <v>246.67</v>
      </c>
      <c r="S3495" s="238">
        <v>12.33</v>
      </c>
      <c r="T3495" s="238">
        <v>0.0</v>
      </c>
      <c r="U3495" s="238">
        <v>0.0</v>
      </c>
      <c r="V3495" s="238">
        <v>0.0</v>
      </c>
      <c r="W3495" s="238">
        <v>0.0</v>
      </c>
      <c r="X3495" s="235" t="s">
        <v>628</v>
      </c>
      <c r="Z3495" s="245"/>
      <c r="AA3495" s="245"/>
      <c r="AB3495" s="245"/>
      <c r="AC3495" s="235" t="s">
        <v>795</v>
      </c>
      <c r="AD3495" s="235" t="s">
        <v>796</v>
      </c>
      <c r="AE3495" s="238">
        <v>110070.0</v>
      </c>
      <c r="AF3495" s="235" t="s">
        <v>631</v>
      </c>
      <c r="AG3495" s="245"/>
      <c r="AH3495" s="245"/>
      <c r="AI3495" s="245"/>
      <c r="AJ3495" s="245"/>
      <c r="AK3495" s="245"/>
      <c r="AL3495" s="245"/>
      <c r="AM3495" s="245"/>
      <c r="AN3495" s="245"/>
      <c r="AO3495" s="238">
        <v>0.0</v>
      </c>
      <c r="AP3495" s="238">
        <v>0.0</v>
      </c>
      <c r="AQ3495" s="235" t="s">
        <v>632</v>
      </c>
      <c r="AR3495" s="243">
        <v>2.02E11</v>
      </c>
      <c r="AS3495" s="235" t="s">
        <v>25098</v>
      </c>
      <c r="AT3495" s="235" t="s">
        <v>11</v>
      </c>
      <c r="AU3495" s="235" t="s">
        <v>634</v>
      </c>
      <c r="AV3495" s="246" t="s">
        <v>635</v>
      </c>
      <c r="AW3495" s="227"/>
      <c r="AX3495" s="227"/>
      <c r="AY3495" s="227"/>
      <c r="AZ3495" s="227"/>
      <c r="BA3495" s="227"/>
      <c r="BB3495" s="227"/>
      <c r="BC3495" s="227"/>
      <c r="BD3495" s="227"/>
      <c r="BE3495" s="227"/>
      <c r="BF3495" s="227"/>
    </row>
    <row r="3496">
      <c r="A3496" s="235" t="s">
        <v>26259</v>
      </c>
      <c r="C3496" s="235" t="s">
        <v>26260</v>
      </c>
      <c r="D3496" s="235" t="s">
        <v>26261</v>
      </c>
      <c r="E3496" s="243">
        <v>6.51E13</v>
      </c>
      <c r="F3496" s="245"/>
      <c r="G3496" s="235" t="s">
        <v>26262</v>
      </c>
      <c r="H3496" s="235" t="s">
        <v>26263</v>
      </c>
      <c r="I3496" s="235" t="s">
        <v>26263</v>
      </c>
      <c r="J3496" s="235" t="s">
        <v>26264</v>
      </c>
      <c r="K3496" s="235" t="s">
        <v>26265</v>
      </c>
      <c r="N3496" s="235" t="s">
        <v>134</v>
      </c>
      <c r="O3496" s="235" t="s">
        <v>314</v>
      </c>
      <c r="P3496" s="238">
        <v>1.0</v>
      </c>
      <c r="Q3496" s="235" t="s">
        <v>627</v>
      </c>
      <c r="R3496" s="238">
        <v>270.48</v>
      </c>
      <c r="S3496" s="238">
        <v>13.52</v>
      </c>
      <c r="T3496" s="238">
        <v>38.1</v>
      </c>
      <c r="U3496" s="238">
        <v>1.9</v>
      </c>
      <c r="V3496" s="238">
        <v>0.0</v>
      </c>
      <c r="W3496" s="238">
        <v>0.0</v>
      </c>
      <c r="X3496" s="235" t="s">
        <v>628</v>
      </c>
      <c r="Z3496" s="245"/>
      <c r="AA3496" s="245"/>
      <c r="AB3496" s="245"/>
      <c r="AC3496" s="235" t="s">
        <v>1613</v>
      </c>
      <c r="AD3496" s="235" t="s">
        <v>630</v>
      </c>
      <c r="AE3496" s="238">
        <v>226003.0</v>
      </c>
      <c r="AF3496" s="235" t="s">
        <v>631</v>
      </c>
      <c r="AG3496" s="245"/>
      <c r="AH3496" s="245"/>
      <c r="AI3496" s="245"/>
      <c r="AJ3496" s="245"/>
      <c r="AK3496" s="245"/>
      <c r="AL3496" s="245"/>
      <c r="AM3496" s="245"/>
      <c r="AN3496" s="245"/>
      <c r="AO3496" s="238">
        <v>0.0</v>
      </c>
      <c r="AP3496" s="238">
        <v>-38.1</v>
      </c>
      <c r="AQ3496" s="235" t="s">
        <v>632</v>
      </c>
      <c r="AR3496" s="243">
        <v>3.71E11</v>
      </c>
      <c r="AS3496" s="235" t="s">
        <v>23542</v>
      </c>
      <c r="AT3496" s="235" t="s">
        <v>14</v>
      </c>
      <c r="AU3496" s="235" t="s">
        <v>634</v>
      </c>
      <c r="AV3496" s="246" t="s">
        <v>635</v>
      </c>
      <c r="AW3496" s="227"/>
      <c r="AX3496" s="227"/>
      <c r="AY3496" s="227"/>
      <c r="AZ3496" s="227"/>
      <c r="BA3496" s="227"/>
      <c r="BB3496" s="227"/>
      <c r="BC3496" s="227"/>
      <c r="BD3496" s="227"/>
      <c r="BE3496" s="227"/>
      <c r="BF3496" s="227"/>
    </row>
    <row r="3497">
      <c r="A3497" s="235" t="s">
        <v>26266</v>
      </c>
      <c r="C3497" s="235" t="s">
        <v>26267</v>
      </c>
      <c r="D3497" s="235" t="s">
        <v>26268</v>
      </c>
      <c r="E3497" s="243">
        <v>6.52E13</v>
      </c>
      <c r="F3497" s="245"/>
      <c r="G3497" s="235" t="s">
        <v>26269</v>
      </c>
      <c r="H3497" s="235" t="s">
        <v>26270</v>
      </c>
      <c r="I3497" s="235" t="s">
        <v>26270</v>
      </c>
      <c r="J3497" s="235" t="s">
        <v>26271</v>
      </c>
      <c r="K3497" s="235" t="s">
        <v>26272</v>
      </c>
      <c r="N3497" s="235" t="s">
        <v>136</v>
      </c>
      <c r="O3497" s="235" t="s">
        <v>256</v>
      </c>
      <c r="P3497" s="238">
        <v>1.0</v>
      </c>
      <c r="Q3497" s="235" t="s">
        <v>627</v>
      </c>
      <c r="R3497" s="238">
        <v>246.67</v>
      </c>
      <c r="S3497" s="238">
        <v>12.33</v>
      </c>
      <c r="T3497" s="238">
        <v>0.0</v>
      </c>
      <c r="U3497" s="238">
        <v>0.0</v>
      </c>
      <c r="V3497" s="238">
        <v>0.0</v>
      </c>
      <c r="W3497" s="238">
        <v>0.0</v>
      </c>
      <c r="X3497" s="235" t="s">
        <v>628</v>
      </c>
      <c r="Z3497" s="245"/>
      <c r="AA3497" s="245"/>
      <c r="AB3497" s="245"/>
      <c r="AC3497" s="235" t="s">
        <v>2777</v>
      </c>
      <c r="AD3497" s="235" t="s">
        <v>965</v>
      </c>
      <c r="AE3497" s="238">
        <v>174001.0</v>
      </c>
      <c r="AF3497" s="235" t="s">
        <v>631</v>
      </c>
      <c r="AG3497" s="245"/>
      <c r="AH3497" s="245"/>
      <c r="AI3497" s="245"/>
      <c r="AJ3497" s="245"/>
      <c r="AK3497" s="245"/>
      <c r="AL3497" s="245"/>
      <c r="AM3497" s="245"/>
      <c r="AN3497" s="245"/>
      <c r="AO3497" s="238">
        <v>0.0</v>
      </c>
      <c r="AP3497" s="238">
        <v>0.0</v>
      </c>
      <c r="AQ3497" s="235" t="s">
        <v>632</v>
      </c>
      <c r="AR3497" s="243">
        <v>3.71E11</v>
      </c>
      <c r="AS3497" s="235" t="s">
        <v>23542</v>
      </c>
      <c r="AT3497" s="235" t="s">
        <v>14</v>
      </c>
      <c r="AU3497" s="235" t="s">
        <v>634</v>
      </c>
      <c r="AV3497" s="246" t="s">
        <v>635</v>
      </c>
      <c r="AW3497" s="227"/>
      <c r="AX3497" s="227"/>
      <c r="AY3497" s="227"/>
      <c r="AZ3497" s="227"/>
      <c r="BA3497" s="227"/>
      <c r="BB3497" s="227"/>
      <c r="BC3497" s="227"/>
      <c r="BD3497" s="227"/>
      <c r="BE3497" s="227"/>
      <c r="BF3497" s="227"/>
    </row>
    <row r="3498">
      <c r="A3498" s="235" t="s">
        <v>26273</v>
      </c>
      <c r="C3498" s="235" t="s">
        <v>26274</v>
      </c>
      <c r="D3498" s="235" t="s">
        <v>26275</v>
      </c>
      <c r="E3498" s="243">
        <v>6.52E13</v>
      </c>
      <c r="F3498" s="245"/>
      <c r="G3498" s="235" t="s">
        <v>26276</v>
      </c>
      <c r="H3498" s="235" t="s">
        <v>26277</v>
      </c>
      <c r="I3498" s="235" t="s">
        <v>26277</v>
      </c>
      <c r="J3498" s="235" t="s">
        <v>26278</v>
      </c>
      <c r="K3498" s="235" t="s">
        <v>26279</v>
      </c>
      <c r="N3498" s="235" t="s">
        <v>64</v>
      </c>
      <c r="O3498" s="235" t="s">
        <v>378</v>
      </c>
      <c r="P3498" s="238">
        <v>1.0</v>
      </c>
      <c r="Q3498" s="235" t="s">
        <v>627</v>
      </c>
      <c r="R3498" s="238">
        <v>313.34</v>
      </c>
      <c r="S3498" s="238">
        <v>15.66</v>
      </c>
      <c r="T3498" s="238">
        <v>0.0</v>
      </c>
      <c r="U3498" s="238">
        <v>0.0</v>
      </c>
      <c r="V3498" s="238">
        <v>0.0</v>
      </c>
      <c r="W3498" s="238">
        <v>0.0</v>
      </c>
      <c r="X3498" s="235" t="s">
        <v>628</v>
      </c>
      <c r="Z3498" s="245"/>
      <c r="AA3498" s="245"/>
      <c r="AB3498" s="245"/>
      <c r="AC3498" s="235" t="s">
        <v>678</v>
      </c>
      <c r="AD3498" s="235" t="s">
        <v>679</v>
      </c>
      <c r="AE3498" s="238">
        <v>560036.0</v>
      </c>
      <c r="AF3498" s="235" t="s">
        <v>631</v>
      </c>
      <c r="AG3498" s="245"/>
      <c r="AH3498" s="245"/>
      <c r="AI3498" s="245"/>
      <c r="AJ3498" s="245"/>
      <c r="AK3498" s="245"/>
      <c r="AL3498" s="245"/>
      <c r="AM3498" s="245"/>
      <c r="AN3498" s="245"/>
      <c r="AO3498" s="238">
        <v>0.0</v>
      </c>
      <c r="AP3498" s="238">
        <v>0.0</v>
      </c>
      <c r="AQ3498" s="235" t="s">
        <v>632</v>
      </c>
      <c r="AR3498" s="243">
        <v>3.71E11</v>
      </c>
      <c r="AS3498" s="235" t="s">
        <v>25098</v>
      </c>
      <c r="AT3498" s="235" t="s">
        <v>9</v>
      </c>
      <c r="AU3498" s="235" t="s">
        <v>634</v>
      </c>
      <c r="AV3498" s="246" t="s">
        <v>635</v>
      </c>
      <c r="AW3498" s="227"/>
      <c r="AX3498" s="227"/>
      <c r="AY3498" s="227"/>
      <c r="AZ3498" s="227"/>
      <c r="BA3498" s="227"/>
      <c r="BB3498" s="227"/>
      <c r="BC3498" s="227"/>
      <c r="BD3498" s="227"/>
      <c r="BE3498" s="227"/>
      <c r="BF3498" s="227"/>
    </row>
    <row r="3499">
      <c r="A3499" s="235" t="s">
        <v>26280</v>
      </c>
      <c r="C3499" s="235" t="s">
        <v>26281</v>
      </c>
      <c r="D3499" s="235" t="s">
        <v>26282</v>
      </c>
      <c r="E3499" s="243">
        <v>6.52E13</v>
      </c>
      <c r="F3499" s="245"/>
      <c r="G3499" s="235" t="s">
        <v>26283</v>
      </c>
      <c r="H3499" s="235" t="s">
        <v>26284</v>
      </c>
      <c r="I3499" s="235" t="s">
        <v>26285</v>
      </c>
      <c r="J3499" s="235" t="s">
        <v>26286</v>
      </c>
      <c r="K3499" s="235" t="s">
        <v>26287</v>
      </c>
      <c r="N3499" s="235" t="s">
        <v>154</v>
      </c>
      <c r="O3499" s="235" t="s">
        <v>766</v>
      </c>
      <c r="P3499" s="238">
        <v>1.0</v>
      </c>
      <c r="Q3499" s="235" t="s">
        <v>627</v>
      </c>
      <c r="R3499" s="238">
        <v>465.72</v>
      </c>
      <c r="S3499" s="238">
        <v>23.28</v>
      </c>
      <c r="T3499" s="238">
        <v>0.0</v>
      </c>
      <c r="U3499" s="238">
        <v>0.0</v>
      </c>
      <c r="V3499" s="238">
        <v>0.0</v>
      </c>
      <c r="W3499" s="238">
        <v>0.0</v>
      </c>
      <c r="X3499" s="235" t="s">
        <v>628</v>
      </c>
      <c r="Z3499" s="245"/>
      <c r="AA3499" s="245"/>
      <c r="AB3499" s="245"/>
      <c r="AC3499" s="235" t="s">
        <v>687</v>
      </c>
      <c r="AD3499" s="235" t="s">
        <v>666</v>
      </c>
      <c r="AE3499" s="238">
        <v>600117.0</v>
      </c>
      <c r="AF3499" s="235" t="s">
        <v>631</v>
      </c>
      <c r="AG3499" s="245"/>
      <c r="AH3499" s="245"/>
      <c r="AI3499" s="245"/>
      <c r="AJ3499" s="245"/>
      <c r="AK3499" s="245"/>
      <c r="AL3499" s="245"/>
      <c r="AM3499" s="245"/>
      <c r="AN3499" s="245"/>
      <c r="AO3499" s="238">
        <v>0.0</v>
      </c>
      <c r="AP3499" s="238">
        <v>0.0</v>
      </c>
      <c r="AQ3499" s="235" t="s">
        <v>632</v>
      </c>
      <c r="AR3499" s="243">
        <v>1.68E11</v>
      </c>
      <c r="AS3499" s="235" t="s">
        <v>25713</v>
      </c>
      <c r="AT3499" s="235" t="s">
        <v>156</v>
      </c>
      <c r="AU3499" s="235" t="s">
        <v>634</v>
      </c>
      <c r="AV3499" s="246" t="s">
        <v>635</v>
      </c>
      <c r="AW3499" s="227"/>
      <c r="AX3499" s="227"/>
      <c r="AY3499" s="227"/>
      <c r="AZ3499" s="227"/>
      <c r="BA3499" s="227"/>
      <c r="BB3499" s="227"/>
      <c r="BC3499" s="227"/>
      <c r="BD3499" s="227"/>
      <c r="BE3499" s="227"/>
      <c r="BF3499" s="227"/>
    </row>
    <row r="3500">
      <c r="A3500" s="235" t="s">
        <v>26288</v>
      </c>
      <c r="C3500" s="235" t="s">
        <v>26289</v>
      </c>
      <c r="D3500" s="235" t="s">
        <v>26290</v>
      </c>
      <c r="E3500" s="243">
        <v>6.52E13</v>
      </c>
      <c r="F3500" s="245"/>
      <c r="G3500" s="235" t="s">
        <v>26291</v>
      </c>
      <c r="H3500" s="235" t="s">
        <v>26292</v>
      </c>
      <c r="I3500" s="235" t="s">
        <v>26292</v>
      </c>
      <c r="J3500" s="235" t="s">
        <v>26293</v>
      </c>
      <c r="K3500" s="235" t="s">
        <v>26294</v>
      </c>
      <c r="N3500" s="235" t="s">
        <v>154</v>
      </c>
      <c r="O3500" s="235" t="s">
        <v>766</v>
      </c>
      <c r="P3500" s="238">
        <v>1.0</v>
      </c>
      <c r="Q3500" s="235" t="s">
        <v>627</v>
      </c>
      <c r="R3500" s="238">
        <v>465.72</v>
      </c>
      <c r="S3500" s="238">
        <v>23.28</v>
      </c>
      <c r="T3500" s="238">
        <v>0.0</v>
      </c>
      <c r="U3500" s="238">
        <v>0.0</v>
      </c>
      <c r="V3500" s="238">
        <v>0.0</v>
      </c>
      <c r="W3500" s="238">
        <v>0.0</v>
      </c>
      <c r="X3500" s="235" t="s">
        <v>628</v>
      </c>
      <c r="Z3500" s="245"/>
      <c r="AA3500" s="245"/>
      <c r="AB3500" s="245"/>
      <c r="AC3500" s="235" t="s">
        <v>687</v>
      </c>
      <c r="AD3500" s="235" t="s">
        <v>666</v>
      </c>
      <c r="AE3500" s="238">
        <v>600037.0</v>
      </c>
      <c r="AF3500" s="235" t="s">
        <v>631</v>
      </c>
      <c r="AG3500" s="245"/>
      <c r="AH3500" s="245"/>
      <c r="AI3500" s="245"/>
      <c r="AJ3500" s="245"/>
      <c r="AK3500" s="245"/>
      <c r="AL3500" s="245"/>
      <c r="AM3500" s="245"/>
      <c r="AN3500" s="245"/>
      <c r="AO3500" s="238">
        <v>0.0</v>
      </c>
      <c r="AP3500" s="238">
        <v>0.0</v>
      </c>
      <c r="AQ3500" s="235" t="s">
        <v>632</v>
      </c>
      <c r="AR3500" s="243">
        <v>1.68E11</v>
      </c>
      <c r="AS3500" s="235" t="s">
        <v>25713</v>
      </c>
      <c r="AT3500" s="235" t="s">
        <v>156</v>
      </c>
      <c r="AU3500" s="235" t="s">
        <v>634</v>
      </c>
      <c r="AV3500" s="246" t="s">
        <v>635</v>
      </c>
      <c r="AW3500" s="227"/>
      <c r="AX3500" s="227"/>
      <c r="AY3500" s="227"/>
      <c r="AZ3500" s="227"/>
      <c r="BA3500" s="227"/>
      <c r="BB3500" s="227"/>
      <c r="BC3500" s="227"/>
      <c r="BD3500" s="227"/>
      <c r="BE3500" s="227"/>
      <c r="BF3500" s="227"/>
    </row>
    <row r="3501">
      <c r="A3501" s="235" t="s">
        <v>26295</v>
      </c>
      <c r="C3501" s="235" t="s">
        <v>26296</v>
      </c>
      <c r="D3501" s="235" t="s">
        <v>26297</v>
      </c>
      <c r="E3501" s="243">
        <v>6.52E13</v>
      </c>
      <c r="F3501" s="245"/>
      <c r="G3501" s="235" t="s">
        <v>26298</v>
      </c>
      <c r="H3501" s="235" t="s">
        <v>26299</v>
      </c>
      <c r="I3501" s="235" t="s">
        <v>26299</v>
      </c>
      <c r="J3501" s="235" t="s">
        <v>26300</v>
      </c>
      <c r="K3501" s="235" t="s">
        <v>26301</v>
      </c>
      <c r="N3501" s="235" t="s">
        <v>94</v>
      </c>
      <c r="O3501" s="235" t="s">
        <v>509</v>
      </c>
      <c r="P3501" s="238">
        <v>1.0</v>
      </c>
      <c r="Q3501" s="235" t="s">
        <v>627</v>
      </c>
      <c r="R3501" s="238">
        <v>246.66</v>
      </c>
      <c r="S3501" s="238">
        <v>12.1</v>
      </c>
      <c r="T3501" s="238">
        <v>0.0</v>
      </c>
      <c r="U3501" s="238">
        <v>0.0</v>
      </c>
      <c r="V3501" s="238">
        <v>0.0</v>
      </c>
      <c r="W3501" s="238">
        <v>0.0</v>
      </c>
      <c r="X3501" s="235" t="s">
        <v>628</v>
      </c>
      <c r="Z3501" s="245"/>
      <c r="AA3501" s="245"/>
      <c r="AB3501" s="245"/>
      <c r="AC3501" s="235" t="s">
        <v>5923</v>
      </c>
      <c r="AD3501" s="235" t="s">
        <v>666</v>
      </c>
      <c r="AE3501" s="238">
        <v>620019.0</v>
      </c>
      <c r="AF3501" s="235" t="s">
        <v>631</v>
      </c>
      <c r="AG3501" s="245"/>
      <c r="AH3501" s="245"/>
      <c r="AI3501" s="245"/>
      <c r="AJ3501" s="245"/>
      <c r="AK3501" s="245"/>
      <c r="AL3501" s="245"/>
      <c r="AM3501" s="245"/>
      <c r="AN3501" s="245"/>
      <c r="AO3501" s="238">
        <v>-4.94</v>
      </c>
      <c r="AP3501" s="238">
        <v>0.0</v>
      </c>
      <c r="AQ3501" s="235" t="s">
        <v>632</v>
      </c>
      <c r="AR3501" s="243">
        <v>3.71E11</v>
      </c>
      <c r="AS3501" s="235" t="s">
        <v>25098</v>
      </c>
      <c r="AT3501" s="235" t="s">
        <v>155</v>
      </c>
      <c r="AU3501" s="235" t="s">
        <v>634</v>
      </c>
      <c r="AV3501" s="246" t="s">
        <v>635</v>
      </c>
      <c r="AW3501" s="227"/>
      <c r="AX3501" s="227"/>
      <c r="AY3501" s="227"/>
      <c r="AZ3501" s="227"/>
      <c r="BA3501" s="227"/>
      <c r="BB3501" s="227"/>
      <c r="BC3501" s="227"/>
      <c r="BD3501" s="227"/>
      <c r="BE3501" s="227"/>
      <c r="BF3501" s="227"/>
    </row>
    <row r="3502">
      <c r="A3502" s="235" t="s">
        <v>26302</v>
      </c>
      <c r="C3502" s="235" t="s">
        <v>26303</v>
      </c>
      <c r="D3502" s="235" t="s">
        <v>26304</v>
      </c>
      <c r="E3502" s="243">
        <v>6.52E13</v>
      </c>
      <c r="F3502" s="245"/>
      <c r="G3502" s="235" t="s">
        <v>26305</v>
      </c>
      <c r="H3502" s="235" t="s">
        <v>26306</v>
      </c>
      <c r="I3502" s="235" t="s">
        <v>26307</v>
      </c>
      <c r="J3502" s="235" t="s">
        <v>26308</v>
      </c>
      <c r="K3502" s="235" t="s">
        <v>26309</v>
      </c>
      <c r="N3502" s="235" t="s">
        <v>85</v>
      </c>
      <c r="O3502" s="235" t="s">
        <v>872</v>
      </c>
      <c r="P3502" s="238">
        <v>1.0</v>
      </c>
      <c r="Q3502" s="235" t="s">
        <v>627</v>
      </c>
      <c r="R3502" s="238">
        <v>232.38</v>
      </c>
      <c r="S3502" s="238">
        <v>11.27</v>
      </c>
      <c r="T3502" s="238">
        <v>0.0</v>
      </c>
      <c r="U3502" s="238">
        <v>0.0</v>
      </c>
      <c r="V3502" s="238">
        <v>0.0</v>
      </c>
      <c r="W3502" s="238">
        <v>0.0</v>
      </c>
      <c r="X3502" s="235" t="s">
        <v>628</v>
      </c>
      <c r="Z3502" s="245"/>
      <c r="AA3502" s="245"/>
      <c r="AB3502" s="245"/>
      <c r="AC3502" s="235" t="s">
        <v>1279</v>
      </c>
      <c r="AD3502" s="235" t="s">
        <v>917</v>
      </c>
      <c r="AE3502" s="238">
        <v>302017.0</v>
      </c>
      <c r="AF3502" s="235" t="s">
        <v>631</v>
      </c>
      <c r="AG3502" s="245"/>
      <c r="AH3502" s="245"/>
      <c r="AI3502" s="245"/>
      <c r="AJ3502" s="245"/>
      <c r="AK3502" s="245"/>
      <c r="AL3502" s="245"/>
      <c r="AM3502" s="245"/>
      <c r="AN3502" s="245"/>
      <c r="AO3502" s="238">
        <v>-6.97</v>
      </c>
      <c r="AP3502" s="238">
        <v>0.0</v>
      </c>
      <c r="AQ3502" s="235" t="s">
        <v>632</v>
      </c>
      <c r="AR3502" s="243">
        <v>1.68E11</v>
      </c>
      <c r="AS3502" s="235" t="s">
        <v>25098</v>
      </c>
      <c r="AT3502" s="235" t="s">
        <v>533</v>
      </c>
      <c r="AU3502" s="235" t="s">
        <v>634</v>
      </c>
      <c r="AV3502" s="246" t="s">
        <v>635</v>
      </c>
      <c r="AW3502" s="227"/>
      <c r="AX3502" s="227"/>
      <c r="AY3502" s="227"/>
      <c r="AZ3502" s="227"/>
      <c r="BA3502" s="227"/>
      <c r="BB3502" s="227"/>
      <c r="BC3502" s="227"/>
      <c r="BD3502" s="227"/>
      <c r="BE3502" s="227"/>
      <c r="BF3502" s="227"/>
    </row>
    <row r="3503">
      <c r="A3503" s="235" t="s">
        <v>26310</v>
      </c>
      <c r="C3503" s="235" t="s">
        <v>26311</v>
      </c>
      <c r="D3503" s="235" t="s">
        <v>26312</v>
      </c>
      <c r="E3503" s="243">
        <v>6.52E13</v>
      </c>
      <c r="F3503" s="245"/>
      <c r="G3503" s="235" t="s">
        <v>26313</v>
      </c>
      <c r="H3503" s="235" t="s">
        <v>26314</v>
      </c>
      <c r="I3503" s="235" t="s">
        <v>26314</v>
      </c>
      <c r="J3503" s="235" t="s">
        <v>26315</v>
      </c>
      <c r="K3503" s="235" t="s">
        <v>26316</v>
      </c>
      <c r="N3503" s="235" t="s">
        <v>127</v>
      </c>
      <c r="O3503" s="235" t="s">
        <v>794</v>
      </c>
      <c r="P3503" s="238">
        <v>1.0</v>
      </c>
      <c r="Q3503" s="235" t="s">
        <v>627</v>
      </c>
      <c r="R3503" s="238">
        <v>243.81</v>
      </c>
      <c r="S3503" s="238">
        <v>12.19</v>
      </c>
      <c r="T3503" s="238">
        <v>0.0</v>
      </c>
      <c r="U3503" s="238">
        <v>0.0</v>
      </c>
      <c r="V3503" s="238">
        <v>0.0</v>
      </c>
      <c r="W3503" s="238">
        <v>0.0</v>
      </c>
      <c r="X3503" s="235" t="s">
        <v>628</v>
      </c>
      <c r="Z3503" s="245"/>
      <c r="AA3503" s="245"/>
      <c r="AB3503" s="245"/>
      <c r="AC3503" s="235" t="s">
        <v>697</v>
      </c>
      <c r="AD3503" s="235" t="s">
        <v>698</v>
      </c>
      <c r="AE3503" s="238">
        <v>500014.0</v>
      </c>
      <c r="AF3503" s="235" t="s">
        <v>631</v>
      </c>
      <c r="AG3503" s="245"/>
      <c r="AH3503" s="245"/>
      <c r="AI3503" s="245"/>
      <c r="AJ3503" s="245"/>
      <c r="AK3503" s="245"/>
      <c r="AL3503" s="245"/>
      <c r="AM3503" s="245"/>
      <c r="AN3503" s="245"/>
      <c r="AO3503" s="238">
        <v>0.0</v>
      </c>
      <c r="AP3503" s="238">
        <v>0.0</v>
      </c>
      <c r="AQ3503" s="235" t="s">
        <v>632</v>
      </c>
      <c r="AR3503" s="243">
        <v>2.02E11</v>
      </c>
      <c r="AS3503" s="235" t="s">
        <v>25098</v>
      </c>
      <c r="AT3503" s="235" t="s">
        <v>9</v>
      </c>
      <c r="AU3503" s="235" t="s">
        <v>634</v>
      </c>
      <c r="AV3503" s="246" t="s">
        <v>635</v>
      </c>
      <c r="AW3503" s="227"/>
      <c r="AX3503" s="227"/>
      <c r="AY3503" s="227"/>
      <c r="AZ3503" s="227"/>
      <c r="BA3503" s="227"/>
      <c r="BB3503" s="227"/>
      <c r="BC3503" s="227"/>
      <c r="BD3503" s="227"/>
      <c r="BE3503" s="227"/>
      <c r="BF3503" s="227"/>
    </row>
    <row r="3504">
      <c r="A3504" s="235" t="s">
        <v>26317</v>
      </c>
      <c r="C3504" s="235" t="s">
        <v>26318</v>
      </c>
      <c r="D3504" s="235" t="s">
        <v>26319</v>
      </c>
      <c r="E3504" s="243">
        <v>6.52E13</v>
      </c>
      <c r="F3504" s="245"/>
      <c r="G3504" s="235" t="s">
        <v>26320</v>
      </c>
      <c r="H3504" s="235" t="s">
        <v>26321</v>
      </c>
      <c r="I3504" s="235" t="s">
        <v>26321</v>
      </c>
      <c r="J3504" s="235" t="s">
        <v>26322</v>
      </c>
      <c r="K3504" s="235" t="s">
        <v>26323</v>
      </c>
      <c r="N3504" s="235" t="s">
        <v>104</v>
      </c>
      <c r="O3504" s="235" t="s">
        <v>401</v>
      </c>
      <c r="P3504" s="238">
        <v>1.0</v>
      </c>
      <c r="Q3504" s="235" t="s">
        <v>627</v>
      </c>
      <c r="R3504" s="238">
        <v>237.14</v>
      </c>
      <c r="S3504" s="238">
        <v>11.86</v>
      </c>
      <c r="T3504" s="238">
        <v>0.0</v>
      </c>
      <c r="U3504" s="238">
        <v>0.0</v>
      </c>
      <c r="V3504" s="238">
        <v>0.0</v>
      </c>
      <c r="W3504" s="238">
        <v>0.0</v>
      </c>
      <c r="X3504" s="235" t="s">
        <v>628</v>
      </c>
      <c r="Z3504" s="245"/>
      <c r="AA3504" s="245"/>
      <c r="AB3504" s="245"/>
      <c r="AC3504" s="235" t="s">
        <v>2092</v>
      </c>
      <c r="AD3504" s="235" t="s">
        <v>845</v>
      </c>
      <c r="AE3504" s="238">
        <v>411027.0</v>
      </c>
      <c r="AF3504" s="235" t="s">
        <v>631</v>
      </c>
      <c r="AG3504" s="245"/>
      <c r="AH3504" s="245"/>
      <c r="AI3504" s="245"/>
      <c r="AJ3504" s="245"/>
      <c r="AK3504" s="245"/>
      <c r="AL3504" s="245"/>
      <c r="AM3504" s="245"/>
      <c r="AN3504" s="245"/>
      <c r="AO3504" s="238">
        <v>0.0</v>
      </c>
      <c r="AP3504" s="238">
        <v>0.0</v>
      </c>
      <c r="AQ3504" s="235" t="s">
        <v>632</v>
      </c>
      <c r="AR3504" s="243">
        <v>1.68E11</v>
      </c>
      <c r="AS3504" s="235" t="s">
        <v>25098</v>
      </c>
      <c r="AT3504" s="235" t="s">
        <v>17</v>
      </c>
      <c r="AU3504" s="235" t="s">
        <v>634</v>
      </c>
      <c r="AV3504" s="246" t="s">
        <v>635</v>
      </c>
      <c r="AW3504" s="227"/>
      <c r="AX3504" s="227"/>
      <c r="AY3504" s="227"/>
      <c r="AZ3504" s="227"/>
      <c r="BA3504" s="227"/>
      <c r="BB3504" s="227"/>
      <c r="BC3504" s="227"/>
      <c r="BD3504" s="227"/>
      <c r="BE3504" s="227"/>
      <c r="BF3504" s="227"/>
    </row>
    <row r="3505">
      <c r="A3505" s="235" t="s">
        <v>26324</v>
      </c>
      <c r="C3505" s="235" t="s">
        <v>26325</v>
      </c>
      <c r="D3505" s="235" t="s">
        <v>26326</v>
      </c>
      <c r="E3505" s="243">
        <v>6.52E13</v>
      </c>
      <c r="F3505" s="245"/>
      <c r="G3505" s="235" t="s">
        <v>26327</v>
      </c>
      <c r="H3505" s="235" t="s">
        <v>26328</v>
      </c>
      <c r="I3505" s="235" t="s">
        <v>26328</v>
      </c>
      <c r="J3505" s="235" t="s">
        <v>26329</v>
      </c>
      <c r="K3505" s="235" t="s">
        <v>26330</v>
      </c>
      <c r="N3505" s="235" t="s">
        <v>42</v>
      </c>
      <c r="O3505" s="235" t="s">
        <v>204</v>
      </c>
      <c r="P3505" s="238">
        <v>1.0</v>
      </c>
      <c r="Q3505" s="235" t="s">
        <v>627</v>
      </c>
      <c r="R3505" s="238">
        <v>236.19</v>
      </c>
      <c r="S3505" s="238">
        <v>11.57</v>
      </c>
      <c r="T3505" s="238">
        <v>38.1</v>
      </c>
      <c r="U3505" s="238">
        <v>1.9</v>
      </c>
      <c r="V3505" s="238">
        <v>0.0</v>
      </c>
      <c r="W3505" s="238">
        <v>0.0</v>
      </c>
      <c r="X3505" s="235" t="s">
        <v>628</v>
      </c>
      <c r="Z3505" s="245"/>
      <c r="AA3505" s="245"/>
      <c r="AB3505" s="245"/>
      <c r="AC3505" s="235" t="s">
        <v>6060</v>
      </c>
      <c r="AD3505" s="235" t="s">
        <v>666</v>
      </c>
      <c r="AE3505" s="238">
        <v>613001.0</v>
      </c>
      <c r="AF3505" s="235" t="s">
        <v>631</v>
      </c>
      <c r="AG3505" s="245"/>
      <c r="AH3505" s="245"/>
      <c r="AI3505" s="245"/>
      <c r="AJ3505" s="245"/>
      <c r="AK3505" s="245"/>
      <c r="AL3505" s="245"/>
      <c r="AM3505" s="245"/>
      <c r="AN3505" s="245"/>
      <c r="AO3505" s="238">
        <v>-4.72</v>
      </c>
      <c r="AP3505" s="238">
        <v>-38.1</v>
      </c>
      <c r="AQ3505" s="235" t="s">
        <v>632</v>
      </c>
      <c r="AR3505" s="243">
        <v>3.71E11</v>
      </c>
      <c r="AS3505" s="235" t="s">
        <v>23542</v>
      </c>
      <c r="AT3505" s="235" t="s">
        <v>11</v>
      </c>
      <c r="AU3505" s="235" t="s">
        <v>634</v>
      </c>
      <c r="AV3505" s="246" t="s">
        <v>635</v>
      </c>
      <c r="AW3505" s="227"/>
      <c r="AX3505" s="227"/>
      <c r="AY3505" s="227"/>
      <c r="AZ3505" s="227"/>
      <c r="BA3505" s="227"/>
      <c r="BB3505" s="227"/>
      <c r="BC3505" s="227"/>
      <c r="BD3505" s="227"/>
      <c r="BE3505" s="227"/>
      <c r="BF3505" s="227"/>
    </row>
    <row r="3506">
      <c r="A3506" s="235" t="s">
        <v>26331</v>
      </c>
      <c r="C3506" s="235" t="s">
        <v>26332</v>
      </c>
      <c r="D3506" s="235" t="s">
        <v>26333</v>
      </c>
      <c r="E3506" s="243">
        <v>6.52E13</v>
      </c>
      <c r="F3506" s="245"/>
      <c r="G3506" s="235" t="s">
        <v>26334</v>
      </c>
      <c r="H3506" s="235" t="s">
        <v>26335</v>
      </c>
      <c r="I3506" s="235" t="s">
        <v>26335</v>
      </c>
      <c r="J3506" s="235" t="s">
        <v>26161</v>
      </c>
      <c r="K3506" s="235" t="s">
        <v>26336</v>
      </c>
      <c r="N3506" s="235" t="s">
        <v>3</v>
      </c>
      <c r="O3506" s="235" t="s">
        <v>654</v>
      </c>
      <c r="P3506" s="238">
        <v>1.0</v>
      </c>
      <c r="Q3506" s="235" t="s">
        <v>627</v>
      </c>
      <c r="R3506" s="238">
        <v>265.71</v>
      </c>
      <c r="S3506" s="238">
        <v>13.02</v>
      </c>
      <c r="T3506" s="238">
        <v>0.0</v>
      </c>
      <c r="U3506" s="238">
        <v>0.0</v>
      </c>
      <c r="V3506" s="238">
        <v>0.0</v>
      </c>
      <c r="W3506" s="238">
        <v>0.0</v>
      </c>
      <c r="X3506" s="235" t="s">
        <v>628</v>
      </c>
      <c r="Z3506" s="245"/>
      <c r="AA3506" s="245"/>
      <c r="AB3506" s="245"/>
      <c r="AC3506" s="235" t="s">
        <v>814</v>
      </c>
      <c r="AD3506" s="235" t="s">
        <v>698</v>
      </c>
      <c r="AE3506" s="238">
        <v>500070.0</v>
      </c>
      <c r="AF3506" s="235" t="s">
        <v>631</v>
      </c>
      <c r="AG3506" s="245"/>
      <c r="AH3506" s="245"/>
      <c r="AI3506" s="245"/>
      <c r="AJ3506" s="245"/>
      <c r="AK3506" s="245"/>
      <c r="AL3506" s="245"/>
      <c r="AM3506" s="245"/>
      <c r="AN3506" s="245"/>
      <c r="AO3506" s="238">
        <v>-5.31</v>
      </c>
      <c r="AP3506" s="238">
        <v>0.0</v>
      </c>
      <c r="AQ3506" s="235" t="s">
        <v>632</v>
      </c>
      <c r="AR3506" s="243">
        <v>2.02E11</v>
      </c>
      <c r="AS3506" s="235" t="s">
        <v>25098</v>
      </c>
      <c r="AT3506" s="235" t="s">
        <v>156</v>
      </c>
      <c r="AU3506" s="235" t="s">
        <v>634</v>
      </c>
      <c r="AV3506" s="246" t="s">
        <v>635</v>
      </c>
      <c r="AW3506" s="227"/>
      <c r="AX3506" s="227"/>
      <c r="AY3506" s="227"/>
      <c r="AZ3506" s="227"/>
      <c r="BA3506" s="227"/>
      <c r="BB3506" s="227"/>
      <c r="BC3506" s="227"/>
      <c r="BD3506" s="227"/>
      <c r="BE3506" s="227"/>
      <c r="BF3506" s="227"/>
    </row>
    <row r="3507">
      <c r="A3507" s="235" t="s">
        <v>26331</v>
      </c>
      <c r="C3507" s="235" t="s">
        <v>26332</v>
      </c>
      <c r="D3507" s="235" t="s">
        <v>26337</v>
      </c>
      <c r="E3507" s="243">
        <v>6.52E13</v>
      </c>
      <c r="F3507" s="245"/>
      <c r="G3507" s="235" t="s">
        <v>26334</v>
      </c>
      <c r="H3507" s="235" t="s">
        <v>26335</v>
      </c>
      <c r="I3507" s="235" t="s">
        <v>26335</v>
      </c>
      <c r="J3507" s="235" t="s">
        <v>26161</v>
      </c>
      <c r="K3507" s="235" t="s">
        <v>26336</v>
      </c>
      <c r="N3507" s="235" t="s">
        <v>10</v>
      </c>
      <c r="O3507" s="235" t="s">
        <v>936</v>
      </c>
      <c r="P3507" s="238">
        <v>1.0</v>
      </c>
      <c r="Q3507" s="235" t="s">
        <v>627</v>
      </c>
      <c r="R3507" s="238">
        <v>265.71</v>
      </c>
      <c r="S3507" s="238">
        <v>13.02</v>
      </c>
      <c r="T3507" s="238">
        <v>0.0</v>
      </c>
      <c r="U3507" s="238">
        <v>0.0</v>
      </c>
      <c r="V3507" s="238">
        <v>0.0</v>
      </c>
      <c r="W3507" s="238">
        <v>0.0</v>
      </c>
      <c r="X3507" s="235" t="s">
        <v>628</v>
      </c>
      <c r="Z3507" s="245"/>
      <c r="AA3507" s="245"/>
      <c r="AB3507" s="245"/>
      <c r="AC3507" s="235" t="s">
        <v>814</v>
      </c>
      <c r="AD3507" s="235" t="s">
        <v>698</v>
      </c>
      <c r="AE3507" s="238">
        <v>500070.0</v>
      </c>
      <c r="AF3507" s="235" t="s">
        <v>631</v>
      </c>
      <c r="AG3507" s="245"/>
      <c r="AH3507" s="245"/>
      <c r="AI3507" s="245"/>
      <c r="AJ3507" s="245"/>
      <c r="AK3507" s="245"/>
      <c r="AL3507" s="245"/>
      <c r="AM3507" s="245"/>
      <c r="AN3507" s="245"/>
      <c r="AO3507" s="238">
        <v>-5.31</v>
      </c>
      <c r="AP3507" s="238">
        <v>0.0</v>
      </c>
      <c r="AQ3507" s="235" t="s">
        <v>632</v>
      </c>
      <c r="AR3507" s="243">
        <v>2.02E11</v>
      </c>
      <c r="AS3507" s="235" t="s">
        <v>25098</v>
      </c>
      <c r="AT3507" s="235" t="s">
        <v>156</v>
      </c>
      <c r="AU3507" s="235" t="s">
        <v>634</v>
      </c>
      <c r="AV3507" s="246" t="s">
        <v>635</v>
      </c>
      <c r="AW3507" s="227"/>
      <c r="AX3507" s="227"/>
      <c r="AY3507" s="227"/>
      <c r="AZ3507" s="227"/>
      <c r="BA3507" s="227"/>
      <c r="BB3507" s="227"/>
      <c r="BC3507" s="227"/>
      <c r="BD3507" s="227"/>
      <c r="BE3507" s="227"/>
      <c r="BF3507" s="227"/>
    </row>
    <row r="3508">
      <c r="A3508" s="235" t="s">
        <v>26338</v>
      </c>
      <c r="C3508" s="235" t="s">
        <v>26339</v>
      </c>
      <c r="D3508" s="235" t="s">
        <v>26340</v>
      </c>
      <c r="E3508" s="243">
        <v>6.52E13</v>
      </c>
      <c r="F3508" s="245"/>
      <c r="G3508" s="235" t="s">
        <v>26341</v>
      </c>
      <c r="H3508" s="235" t="s">
        <v>26342</v>
      </c>
      <c r="I3508" s="235" t="s">
        <v>26342</v>
      </c>
      <c r="J3508" s="235" t="s">
        <v>26343</v>
      </c>
      <c r="K3508" s="235" t="s">
        <v>26344</v>
      </c>
      <c r="N3508" s="235" t="s">
        <v>85</v>
      </c>
      <c r="O3508" s="235" t="s">
        <v>872</v>
      </c>
      <c r="P3508" s="238">
        <v>1.0</v>
      </c>
      <c r="Q3508" s="235" t="s">
        <v>627</v>
      </c>
      <c r="R3508" s="238">
        <v>246.67</v>
      </c>
      <c r="S3508" s="238">
        <v>12.08</v>
      </c>
      <c r="T3508" s="238">
        <v>0.0</v>
      </c>
      <c r="U3508" s="238">
        <v>0.0</v>
      </c>
      <c r="V3508" s="238">
        <v>0.0</v>
      </c>
      <c r="W3508" s="238">
        <v>0.0</v>
      </c>
      <c r="X3508" s="235" t="s">
        <v>628</v>
      </c>
      <c r="Z3508" s="245"/>
      <c r="AA3508" s="245"/>
      <c r="AB3508" s="245"/>
      <c r="AC3508" s="235" t="s">
        <v>697</v>
      </c>
      <c r="AD3508" s="235" t="s">
        <v>698</v>
      </c>
      <c r="AE3508" s="238">
        <v>500100.0</v>
      </c>
      <c r="AF3508" s="235" t="s">
        <v>631</v>
      </c>
      <c r="AG3508" s="245"/>
      <c r="AH3508" s="245"/>
      <c r="AI3508" s="245"/>
      <c r="AJ3508" s="245"/>
      <c r="AK3508" s="245"/>
      <c r="AL3508" s="245"/>
      <c r="AM3508" s="245"/>
      <c r="AN3508" s="245"/>
      <c r="AO3508" s="238">
        <v>-4.93</v>
      </c>
      <c r="AP3508" s="238">
        <v>0.0</v>
      </c>
      <c r="AQ3508" s="235" t="s">
        <v>632</v>
      </c>
      <c r="AR3508" s="243">
        <v>2.02E11</v>
      </c>
      <c r="AS3508" s="235" t="s">
        <v>25098</v>
      </c>
      <c r="AT3508" s="235" t="s">
        <v>156</v>
      </c>
      <c r="AU3508" s="235" t="s">
        <v>634</v>
      </c>
      <c r="AV3508" s="246" t="s">
        <v>635</v>
      </c>
      <c r="AW3508" s="227"/>
      <c r="AX3508" s="227"/>
      <c r="AY3508" s="227"/>
      <c r="AZ3508" s="227"/>
      <c r="BA3508" s="227"/>
      <c r="BB3508" s="227"/>
      <c r="BC3508" s="227"/>
      <c r="BD3508" s="227"/>
      <c r="BE3508" s="227"/>
      <c r="BF3508" s="227"/>
    </row>
    <row r="3509">
      <c r="A3509" s="235" t="s">
        <v>26345</v>
      </c>
      <c r="C3509" s="235" t="s">
        <v>26346</v>
      </c>
      <c r="D3509" s="235" t="s">
        <v>26347</v>
      </c>
      <c r="E3509" s="243">
        <v>6.52E13</v>
      </c>
      <c r="F3509" s="245"/>
      <c r="G3509" s="235" t="s">
        <v>26348</v>
      </c>
      <c r="H3509" s="235" t="s">
        <v>26349</v>
      </c>
      <c r="I3509" s="235" t="s">
        <v>26349</v>
      </c>
      <c r="J3509" s="235" t="s">
        <v>26350</v>
      </c>
      <c r="K3509" s="235" t="s">
        <v>26351</v>
      </c>
      <c r="N3509" s="235" t="s">
        <v>989</v>
      </c>
      <c r="O3509" s="235" t="s">
        <v>990</v>
      </c>
      <c r="P3509" s="238">
        <v>1.0</v>
      </c>
      <c r="Q3509" s="235" t="s">
        <v>627</v>
      </c>
      <c r="R3509" s="238">
        <v>252.38</v>
      </c>
      <c r="S3509" s="238">
        <v>12.62</v>
      </c>
      <c r="T3509" s="238">
        <v>0.0</v>
      </c>
      <c r="U3509" s="238">
        <v>0.0</v>
      </c>
      <c r="V3509" s="238">
        <v>0.0</v>
      </c>
      <c r="W3509" s="238">
        <v>0.0</v>
      </c>
      <c r="X3509" s="235" t="s">
        <v>628</v>
      </c>
      <c r="Z3509" s="245"/>
      <c r="AA3509" s="245"/>
      <c r="AB3509" s="245"/>
      <c r="AC3509" s="235" t="s">
        <v>1910</v>
      </c>
      <c r="AD3509" s="235" t="s">
        <v>928</v>
      </c>
      <c r="AE3509" s="238">
        <v>122001.0</v>
      </c>
      <c r="AF3509" s="235" t="s">
        <v>631</v>
      </c>
      <c r="AG3509" s="245"/>
      <c r="AH3509" s="245"/>
      <c r="AI3509" s="245"/>
      <c r="AJ3509" s="245"/>
      <c r="AK3509" s="245"/>
      <c r="AL3509" s="245"/>
      <c r="AM3509" s="245"/>
      <c r="AN3509" s="245"/>
      <c r="AO3509" s="238">
        <v>0.0</v>
      </c>
      <c r="AP3509" s="238">
        <v>0.0</v>
      </c>
      <c r="AQ3509" s="235" t="s">
        <v>632</v>
      </c>
      <c r="AR3509" s="243">
        <v>1.68E11</v>
      </c>
      <c r="AS3509" s="235" t="s">
        <v>25713</v>
      </c>
      <c r="AT3509" s="235" t="s">
        <v>13</v>
      </c>
      <c r="AU3509" s="235" t="s">
        <v>634</v>
      </c>
      <c r="AV3509" s="246" t="s">
        <v>635</v>
      </c>
      <c r="AW3509" s="227"/>
      <c r="AX3509" s="227"/>
      <c r="AY3509" s="227"/>
      <c r="AZ3509" s="227"/>
      <c r="BA3509" s="227"/>
      <c r="BB3509" s="227"/>
      <c r="BC3509" s="227"/>
      <c r="BD3509" s="227"/>
      <c r="BE3509" s="227"/>
      <c r="BF3509" s="227"/>
    </row>
    <row r="3510">
      <c r="A3510" s="235" t="s">
        <v>26352</v>
      </c>
      <c r="C3510" s="235" t="s">
        <v>26353</v>
      </c>
      <c r="D3510" s="235" t="s">
        <v>26354</v>
      </c>
      <c r="E3510" s="243">
        <v>6.52E13</v>
      </c>
      <c r="F3510" s="245"/>
      <c r="G3510" s="235" t="s">
        <v>26355</v>
      </c>
      <c r="H3510" s="235" t="s">
        <v>26356</v>
      </c>
      <c r="I3510" s="235" t="s">
        <v>26356</v>
      </c>
      <c r="J3510" s="235" t="s">
        <v>26357</v>
      </c>
      <c r="K3510" s="235" t="s">
        <v>26358</v>
      </c>
      <c r="N3510" s="235" t="s">
        <v>989</v>
      </c>
      <c r="O3510" s="235" t="s">
        <v>990</v>
      </c>
      <c r="P3510" s="238">
        <v>1.0</v>
      </c>
      <c r="Q3510" s="235" t="s">
        <v>627</v>
      </c>
      <c r="R3510" s="238">
        <v>256.19</v>
      </c>
      <c r="S3510" s="238">
        <v>12.81</v>
      </c>
      <c r="T3510" s="238">
        <v>38.1</v>
      </c>
      <c r="U3510" s="238">
        <v>1.9</v>
      </c>
      <c r="V3510" s="238">
        <v>0.0</v>
      </c>
      <c r="W3510" s="238">
        <v>0.0</v>
      </c>
      <c r="X3510" s="235" t="s">
        <v>628</v>
      </c>
      <c r="Z3510" s="245"/>
      <c r="AA3510" s="245"/>
      <c r="AB3510" s="245"/>
      <c r="AC3510" s="235" t="s">
        <v>6436</v>
      </c>
      <c r="AD3510" s="235" t="s">
        <v>1499</v>
      </c>
      <c r="AE3510" s="238">
        <v>452016.0</v>
      </c>
      <c r="AF3510" s="235" t="s">
        <v>631</v>
      </c>
      <c r="AG3510" s="245"/>
      <c r="AH3510" s="245"/>
      <c r="AI3510" s="245"/>
      <c r="AJ3510" s="245"/>
      <c r="AK3510" s="245"/>
      <c r="AL3510" s="245"/>
      <c r="AM3510" s="245"/>
      <c r="AN3510" s="245"/>
      <c r="AO3510" s="238">
        <v>0.0</v>
      </c>
      <c r="AP3510" s="238">
        <v>-38.1</v>
      </c>
      <c r="AQ3510" s="235" t="s">
        <v>632</v>
      </c>
      <c r="AR3510" s="243">
        <v>3.71E11</v>
      </c>
      <c r="AS3510" s="235" t="s">
        <v>22269</v>
      </c>
      <c r="AT3510" s="235" t="s">
        <v>16</v>
      </c>
      <c r="AU3510" s="235" t="s">
        <v>634</v>
      </c>
      <c r="AV3510" s="246" t="s">
        <v>635</v>
      </c>
      <c r="AW3510" s="227"/>
      <c r="AX3510" s="227"/>
      <c r="AY3510" s="227"/>
      <c r="AZ3510" s="227"/>
      <c r="BA3510" s="227"/>
      <c r="BB3510" s="227"/>
      <c r="BC3510" s="227"/>
      <c r="BD3510" s="227"/>
      <c r="BE3510" s="227"/>
      <c r="BF3510" s="227"/>
    </row>
    <row r="3511">
      <c r="A3511" s="235" t="s">
        <v>26359</v>
      </c>
      <c r="C3511" s="235" t="s">
        <v>26360</v>
      </c>
      <c r="D3511" s="235" t="s">
        <v>26361</v>
      </c>
      <c r="E3511" s="243">
        <v>6.52E13</v>
      </c>
      <c r="F3511" s="245"/>
      <c r="G3511" s="235" t="s">
        <v>26362</v>
      </c>
      <c r="H3511" s="235" t="s">
        <v>26363</v>
      </c>
      <c r="I3511" s="235" t="s">
        <v>26363</v>
      </c>
      <c r="J3511" s="235" t="s">
        <v>26364</v>
      </c>
      <c r="K3511" s="235" t="s">
        <v>26365</v>
      </c>
      <c r="N3511" s="235" t="s">
        <v>68</v>
      </c>
      <c r="O3511" s="235" t="s">
        <v>208</v>
      </c>
      <c r="P3511" s="238">
        <v>1.0</v>
      </c>
      <c r="Q3511" s="235" t="s">
        <v>627</v>
      </c>
      <c r="R3511" s="238">
        <v>0.0</v>
      </c>
      <c r="S3511" s="238">
        <v>0.0</v>
      </c>
      <c r="T3511" s="238">
        <v>0.0</v>
      </c>
      <c r="U3511" s="238">
        <v>0.0</v>
      </c>
      <c r="V3511" s="238">
        <v>0.0</v>
      </c>
      <c r="W3511" s="238">
        <v>0.0</v>
      </c>
      <c r="X3511" s="235" t="s">
        <v>628</v>
      </c>
      <c r="Z3511" s="245"/>
      <c r="AA3511" s="245"/>
      <c r="AB3511" s="245"/>
      <c r="AC3511" s="235" t="s">
        <v>1475</v>
      </c>
      <c r="AD3511" s="235" t="s">
        <v>796</v>
      </c>
      <c r="AE3511" s="238">
        <v>110017.0</v>
      </c>
      <c r="AF3511" s="235" t="s">
        <v>631</v>
      </c>
      <c r="AG3511" s="245"/>
      <c r="AH3511" s="245"/>
      <c r="AI3511" s="245"/>
      <c r="AJ3511" s="245"/>
      <c r="AK3511" s="245"/>
      <c r="AL3511" s="245"/>
      <c r="AM3511" s="245"/>
      <c r="AN3511" s="245"/>
      <c r="AO3511" s="238">
        <v>0.0</v>
      </c>
      <c r="AP3511" s="238">
        <v>0.0</v>
      </c>
      <c r="AQ3511" s="235" t="s">
        <v>632</v>
      </c>
      <c r="AR3511" s="243">
        <v>3.71E11</v>
      </c>
      <c r="AS3511" s="235" t="s">
        <v>25098</v>
      </c>
      <c r="AT3511" s="235" t="s">
        <v>14</v>
      </c>
      <c r="AU3511" s="235" t="s">
        <v>634</v>
      </c>
      <c r="AV3511" s="246" t="s">
        <v>635</v>
      </c>
      <c r="AW3511" s="227"/>
      <c r="AX3511" s="227"/>
      <c r="AY3511" s="227"/>
      <c r="AZ3511" s="227"/>
      <c r="BA3511" s="227"/>
      <c r="BB3511" s="227"/>
      <c r="BC3511" s="227"/>
      <c r="BD3511" s="227"/>
      <c r="BE3511" s="227"/>
      <c r="BF3511" s="227"/>
    </row>
    <row r="3512">
      <c r="A3512" s="235" t="s">
        <v>26366</v>
      </c>
      <c r="C3512" s="235" t="s">
        <v>26367</v>
      </c>
      <c r="D3512" s="235" t="s">
        <v>26368</v>
      </c>
      <c r="E3512" s="243">
        <v>6.52E13</v>
      </c>
      <c r="F3512" s="245"/>
      <c r="G3512" s="235" t="s">
        <v>26369</v>
      </c>
      <c r="H3512" s="235" t="s">
        <v>26370</v>
      </c>
      <c r="I3512" s="235" t="s">
        <v>26370</v>
      </c>
      <c r="J3512" s="235" t="s">
        <v>26371</v>
      </c>
      <c r="K3512" s="235" t="s">
        <v>26372</v>
      </c>
      <c r="N3512" s="235" t="s">
        <v>842</v>
      </c>
      <c r="O3512" s="235" t="s">
        <v>843</v>
      </c>
      <c r="P3512" s="238">
        <v>1.0</v>
      </c>
      <c r="Q3512" s="235" t="s">
        <v>627</v>
      </c>
      <c r="R3512" s="238">
        <v>246.66</v>
      </c>
      <c r="S3512" s="238">
        <v>12.34</v>
      </c>
      <c r="T3512" s="238">
        <v>0.0</v>
      </c>
      <c r="U3512" s="238">
        <v>0.0</v>
      </c>
      <c r="V3512" s="238">
        <v>0.0</v>
      </c>
      <c r="W3512" s="238">
        <v>0.0</v>
      </c>
      <c r="X3512" s="235" t="s">
        <v>628</v>
      </c>
      <c r="Z3512" s="245"/>
      <c r="AA3512" s="245"/>
      <c r="AB3512" s="245"/>
      <c r="AC3512" s="235" t="s">
        <v>5091</v>
      </c>
      <c r="AD3512" s="235" t="s">
        <v>845</v>
      </c>
      <c r="AE3512" s="238">
        <v>441123.0</v>
      </c>
      <c r="AF3512" s="235" t="s">
        <v>631</v>
      </c>
      <c r="AG3512" s="245"/>
      <c r="AH3512" s="245"/>
      <c r="AI3512" s="245"/>
      <c r="AJ3512" s="245"/>
      <c r="AK3512" s="245"/>
      <c r="AL3512" s="245"/>
      <c r="AM3512" s="245"/>
      <c r="AN3512" s="245"/>
      <c r="AO3512" s="238">
        <v>0.0</v>
      </c>
      <c r="AP3512" s="238">
        <v>0.0</v>
      </c>
      <c r="AQ3512" s="235" t="s">
        <v>632</v>
      </c>
      <c r="AR3512" s="243">
        <v>3.71E11</v>
      </c>
      <c r="AS3512" s="235" t="s">
        <v>22269</v>
      </c>
      <c r="AT3512" s="235" t="s">
        <v>17</v>
      </c>
      <c r="AU3512" s="235" t="s">
        <v>634</v>
      </c>
      <c r="AV3512" s="246" t="s">
        <v>635</v>
      </c>
      <c r="AW3512" s="227"/>
      <c r="AX3512" s="227"/>
      <c r="AY3512" s="227"/>
      <c r="AZ3512" s="227"/>
      <c r="BA3512" s="227"/>
      <c r="BB3512" s="227"/>
      <c r="BC3512" s="227"/>
      <c r="BD3512" s="227"/>
      <c r="BE3512" s="227"/>
      <c r="BF3512" s="227"/>
    </row>
    <row r="3513">
      <c r="A3513" s="235" t="s">
        <v>26373</v>
      </c>
      <c r="C3513" s="235" t="s">
        <v>26374</v>
      </c>
      <c r="D3513" s="235" t="s">
        <v>26375</v>
      </c>
      <c r="E3513" s="243">
        <v>6.52E13</v>
      </c>
      <c r="F3513" s="245"/>
      <c r="G3513" s="235" t="s">
        <v>26376</v>
      </c>
      <c r="H3513" s="235" t="s">
        <v>26377</v>
      </c>
      <c r="I3513" s="235" t="s">
        <v>26377</v>
      </c>
      <c r="J3513" s="235" t="s">
        <v>26378</v>
      </c>
      <c r="K3513" s="235" t="s">
        <v>26379</v>
      </c>
      <c r="N3513" s="235" t="s">
        <v>138</v>
      </c>
      <c r="O3513" s="235" t="s">
        <v>675</v>
      </c>
      <c r="P3513" s="238">
        <v>1.0</v>
      </c>
      <c r="Q3513" s="235" t="s">
        <v>627</v>
      </c>
      <c r="R3513" s="238">
        <v>233.33</v>
      </c>
      <c r="S3513" s="238">
        <v>11.67</v>
      </c>
      <c r="T3513" s="238">
        <v>38.1</v>
      </c>
      <c r="U3513" s="238">
        <v>1.9</v>
      </c>
      <c r="V3513" s="238">
        <v>0.0</v>
      </c>
      <c r="W3513" s="238">
        <v>0.0</v>
      </c>
      <c r="X3513" s="235" t="s">
        <v>628</v>
      </c>
      <c r="Z3513" s="245"/>
      <c r="AA3513" s="245"/>
      <c r="AB3513" s="245"/>
      <c r="AC3513" s="235" t="s">
        <v>832</v>
      </c>
      <c r="AD3513" s="235" t="s">
        <v>833</v>
      </c>
      <c r="AE3513" s="238">
        <v>530028.0</v>
      </c>
      <c r="AF3513" s="235" t="s">
        <v>631</v>
      </c>
      <c r="AG3513" s="245"/>
      <c r="AH3513" s="245"/>
      <c r="AI3513" s="245"/>
      <c r="AJ3513" s="245"/>
      <c r="AK3513" s="245"/>
      <c r="AL3513" s="245"/>
      <c r="AM3513" s="245"/>
      <c r="AN3513" s="245"/>
      <c r="AO3513" s="238">
        <v>0.0</v>
      </c>
      <c r="AP3513" s="238">
        <v>-38.1</v>
      </c>
      <c r="AQ3513" s="235" t="s">
        <v>632</v>
      </c>
      <c r="AR3513" s="243">
        <v>3.71E11</v>
      </c>
      <c r="AS3513" s="235" t="s">
        <v>20529</v>
      </c>
      <c r="AT3513" s="235" t="s">
        <v>16</v>
      </c>
      <c r="AU3513" s="235" t="s">
        <v>634</v>
      </c>
      <c r="AV3513" s="246" t="s">
        <v>635</v>
      </c>
      <c r="AW3513" s="227"/>
      <c r="AX3513" s="227"/>
      <c r="AY3513" s="227"/>
      <c r="AZ3513" s="227"/>
      <c r="BA3513" s="227"/>
      <c r="BB3513" s="227"/>
      <c r="BC3513" s="227"/>
      <c r="BD3513" s="227"/>
      <c r="BE3513" s="227"/>
      <c r="BF3513" s="227"/>
    </row>
    <row r="3514">
      <c r="A3514" s="235" t="s">
        <v>26380</v>
      </c>
      <c r="C3514" s="235" t="s">
        <v>26381</v>
      </c>
      <c r="D3514" s="235" t="s">
        <v>26382</v>
      </c>
      <c r="E3514" s="243">
        <v>6.52E13</v>
      </c>
      <c r="F3514" s="245"/>
      <c r="G3514" s="235" t="s">
        <v>26383</v>
      </c>
      <c r="H3514" s="235" t="s">
        <v>26384</v>
      </c>
      <c r="I3514" s="235" t="s">
        <v>26384</v>
      </c>
      <c r="J3514" s="235" t="s">
        <v>26385</v>
      </c>
      <c r="K3514" s="235" t="s">
        <v>26386</v>
      </c>
      <c r="N3514" s="235" t="s">
        <v>82</v>
      </c>
      <c r="O3514" s="235" t="s">
        <v>889</v>
      </c>
      <c r="P3514" s="238">
        <v>1.0</v>
      </c>
      <c r="Q3514" s="235" t="s">
        <v>627</v>
      </c>
      <c r="R3514" s="238">
        <v>246.67</v>
      </c>
      <c r="S3514" s="238">
        <v>12.33</v>
      </c>
      <c r="T3514" s="238">
        <v>0.0</v>
      </c>
      <c r="U3514" s="238">
        <v>0.0</v>
      </c>
      <c r="V3514" s="238">
        <v>0.0</v>
      </c>
      <c r="W3514" s="238">
        <v>0.0</v>
      </c>
      <c r="X3514" s="235" t="s">
        <v>628</v>
      </c>
      <c r="Z3514" s="245"/>
      <c r="AA3514" s="245"/>
      <c r="AB3514" s="245"/>
      <c r="AC3514" s="235" t="s">
        <v>21872</v>
      </c>
      <c r="AD3514" s="235" t="s">
        <v>833</v>
      </c>
      <c r="AE3514" s="238">
        <v>515411.0</v>
      </c>
      <c r="AF3514" s="235" t="s">
        <v>631</v>
      </c>
      <c r="AG3514" s="245"/>
      <c r="AH3514" s="245"/>
      <c r="AI3514" s="245"/>
      <c r="AJ3514" s="245"/>
      <c r="AK3514" s="245"/>
      <c r="AL3514" s="245"/>
      <c r="AM3514" s="245"/>
      <c r="AN3514" s="245"/>
      <c r="AO3514" s="238">
        <v>0.0</v>
      </c>
      <c r="AP3514" s="238">
        <v>0.0</v>
      </c>
      <c r="AQ3514" s="235" t="s">
        <v>632</v>
      </c>
      <c r="AR3514" s="243">
        <v>1.68E11</v>
      </c>
      <c r="AS3514" s="235" t="s">
        <v>25098</v>
      </c>
      <c r="AT3514" s="235" t="s">
        <v>11</v>
      </c>
      <c r="AU3514" s="235" t="s">
        <v>634</v>
      </c>
      <c r="AV3514" s="246" t="s">
        <v>635</v>
      </c>
      <c r="AW3514" s="227"/>
      <c r="AX3514" s="227"/>
      <c r="AY3514" s="227"/>
      <c r="AZ3514" s="227"/>
      <c r="BA3514" s="227"/>
      <c r="BB3514" s="227"/>
      <c r="BC3514" s="227"/>
      <c r="BD3514" s="227"/>
      <c r="BE3514" s="227"/>
      <c r="BF3514" s="227"/>
    </row>
    <row r="3515">
      <c r="A3515" s="235" t="s">
        <v>26387</v>
      </c>
      <c r="C3515" s="235" t="s">
        <v>26388</v>
      </c>
      <c r="D3515" s="235" t="s">
        <v>26389</v>
      </c>
      <c r="E3515" s="243">
        <v>6.52E13</v>
      </c>
      <c r="F3515" s="245"/>
      <c r="G3515" s="235" t="s">
        <v>26390</v>
      </c>
      <c r="H3515" s="235" t="s">
        <v>26391</v>
      </c>
      <c r="I3515" s="235" t="s">
        <v>26391</v>
      </c>
      <c r="J3515" s="235" t="s">
        <v>26392</v>
      </c>
      <c r="K3515" s="235" t="s">
        <v>26393</v>
      </c>
      <c r="N3515" s="235" t="s">
        <v>71</v>
      </c>
      <c r="O3515" s="235" t="s">
        <v>240</v>
      </c>
      <c r="P3515" s="238">
        <v>1.0</v>
      </c>
      <c r="Q3515" s="235" t="s">
        <v>627</v>
      </c>
      <c r="R3515" s="238">
        <v>246.66</v>
      </c>
      <c r="S3515" s="238">
        <v>12.34</v>
      </c>
      <c r="T3515" s="238">
        <v>0.0</v>
      </c>
      <c r="U3515" s="238">
        <v>0.0</v>
      </c>
      <c r="V3515" s="238">
        <v>0.0</v>
      </c>
      <c r="W3515" s="238">
        <v>0.0</v>
      </c>
      <c r="X3515" s="235" t="s">
        <v>628</v>
      </c>
      <c r="Z3515" s="245"/>
      <c r="AA3515" s="245"/>
      <c r="AB3515" s="245"/>
      <c r="AC3515" s="235" t="s">
        <v>1514</v>
      </c>
      <c r="AD3515" s="235" t="s">
        <v>1077</v>
      </c>
      <c r="AE3515" s="238">
        <v>382481.0</v>
      </c>
      <c r="AF3515" s="235" t="s">
        <v>631</v>
      </c>
      <c r="AG3515" s="245"/>
      <c r="AH3515" s="245"/>
      <c r="AI3515" s="245"/>
      <c r="AJ3515" s="245"/>
      <c r="AK3515" s="245"/>
      <c r="AL3515" s="245"/>
      <c r="AM3515" s="245"/>
      <c r="AN3515" s="245"/>
      <c r="AO3515" s="238">
        <v>0.0</v>
      </c>
      <c r="AP3515" s="238">
        <v>0.0</v>
      </c>
      <c r="AQ3515" s="235" t="s">
        <v>632</v>
      </c>
      <c r="AR3515" s="243">
        <v>1.68E11</v>
      </c>
      <c r="AS3515" s="235" t="s">
        <v>25713</v>
      </c>
      <c r="AT3515" s="235" t="s">
        <v>5</v>
      </c>
      <c r="AU3515" s="235" t="s">
        <v>634</v>
      </c>
      <c r="AV3515" s="246" t="s">
        <v>635</v>
      </c>
      <c r="AW3515" s="227"/>
      <c r="AX3515" s="227"/>
      <c r="AY3515" s="227"/>
      <c r="AZ3515" s="227"/>
      <c r="BA3515" s="227"/>
      <c r="BB3515" s="227"/>
      <c r="BC3515" s="227"/>
      <c r="BD3515" s="227"/>
      <c r="BE3515" s="227"/>
      <c r="BF3515" s="227"/>
    </row>
    <row r="3516">
      <c r="A3516" s="235" t="s">
        <v>26394</v>
      </c>
      <c r="C3516" s="235" t="s">
        <v>26395</v>
      </c>
      <c r="D3516" s="235" t="s">
        <v>26396</v>
      </c>
      <c r="E3516" s="243">
        <v>6.51E13</v>
      </c>
      <c r="F3516" s="245"/>
      <c r="G3516" s="235" t="s">
        <v>26397</v>
      </c>
      <c r="H3516" s="235" t="s">
        <v>26398</v>
      </c>
      <c r="I3516" s="235" t="s">
        <v>26398</v>
      </c>
      <c r="J3516" s="235" t="s">
        <v>26399</v>
      </c>
      <c r="K3516" s="235" t="s">
        <v>26400</v>
      </c>
      <c r="N3516" s="235" t="s">
        <v>92</v>
      </c>
      <c r="O3516" s="235" t="s">
        <v>248</v>
      </c>
      <c r="P3516" s="238">
        <v>1.0</v>
      </c>
      <c r="Q3516" s="235" t="s">
        <v>627</v>
      </c>
      <c r="R3516" s="238">
        <v>270.48</v>
      </c>
      <c r="S3516" s="238">
        <v>13.52</v>
      </c>
      <c r="T3516" s="238">
        <v>38.1</v>
      </c>
      <c r="U3516" s="238">
        <v>1.9</v>
      </c>
      <c r="V3516" s="238">
        <v>0.0</v>
      </c>
      <c r="W3516" s="238">
        <v>0.0</v>
      </c>
      <c r="X3516" s="235" t="s">
        <v>628</v>
      </c>
      <c r="Z3516" s="245"/>
      <c r="AA3516" s="245"/>
      <c r="AB3516" s="245"/>
      <c r="AC3516" s="235" t="s">
        <v>26401</v>
      </c>
      <c r="AD3516" s="235" t="s">
        <v>709</v>
      </c>
      <c r="AE3516" s="238">
        <v>800012.0</v>
      </c>
      <c r="AF3516" s="235" t="s">
        <v>631</v>
      </c>
      <c r="AG3516" s="245"/>
      <c r="AH3516" s="245"/>
      <c r="AI3516" s="245"/>
      <c r="AJ3516" s="245"/>
      <c r="AK3516" s="245"/>
      <c r="AL3516" s="245"/>
      <c r="AM3516" s="245"/>
      <c r="AN3516" s="245"/>
      <c r="AO3516" s="238">
        <v>0.0</v>
      </c>
      <c r="AP3516" s="238">
        <v>-38.1</v>
      </c>
      <c r="AQ3516" s="235" t="s">
        <v>632</v>
      </c>
      <c r="AR3516" s="243">
        <v>3.71E11</v>
      </c>
      <c r="AS3516" s="235" t="s">
        <v>20529</v>
      </c>
      <c r="AT3516" s="235" t="s">
        <v>14</v>
      </c>
      <c r="AU3516" s="235" t="s">
        <v>634</v>
      </c>
      <c r="AV3516" s="246" t="s">
        <v>635</v>
      </c>
      <c r="AW3516" s="227"/>
      <c r="AX3516" s="227"/>
      <c r="AY3516" s="227"/>
      <c r="AZ3516" s="227"/>
      <c r="BA3516" s="227"/>
      <c r="BB3516" s="227"/>
      <c r="BC3516" s="227"/>
      <c r="BD3516" s="227"/>
      <c r="BE3516" s="227"/>
      <c r="BF3516" s="227"/>
    </row>
    <row r="3517">
      <c r="A3517" s="235" t="s">
        <v>26402</v>
      </c>
      <c r="C3517" s="235" t="s">
        <v>26403</v>
      </c>
      <c r="D3517" s="235" t="s">
        <v>26404</v>
      </c>
      <c r="E3517" s="243">
        <v>6.52E13</v>
      </c>
      <c r="F3517" s="245"/>
      <c r="G3517" s="235" t="s">
        <v>26405</v>
      </c>
      <c r="H3517" s="235" t="s">
        <v>26406</v>
      </c>
      <c r="I3517" s="235" t="s">
        <v>26406</v>
      </c>
      <c r="J3517" s="235" t="s">
        <v>26407</v>
      </c>
      <c r="K3517" s="235" t="s">
        <v>26408</v>
      </c>
      <c r="N3517" s="235" t="s">
        <v>962</v>
      </c>
      <c r="O3517" s="235" t="s">
        <v>963</v>
      </c>
      <c r="P3517" s="238">
        <v>1.0</v>
      </c>
      <c r="Q3517" s="235" t="s">
        <v>627</v>
      </c>
      <c r="R3517" s="238">
        <v>246.67</v>
      </c>
      <c r="S3517" s="238">
        <v>12.08</v>
      </c>
      <c r="T3517" s="238">
        <v>0.0</v>
      </c>
      <c r="U3517" s="238">
        <v>0.0</v>
      </c>
      <c r="V3517" s="238">
        <v>0.0</v>
      </c>
      <c r="W3517" s="238">
        <v>0.0</v>
      </c>
      <c r="X3517" s="235" t="s">
        <v>628</v>
      </c>
      <c r="Z3517" s="245"/>
      <c r="AA3517" s="245"/>
      <c r="AB3517" s="245"/>
      <c r="AC3517" s="235" t="s">
        <v>1085</v>
      </c>
      <c r="AD3517" s="235" t="s">
        <v>1086</v>
      </c>
      <c r="AE3517" s="238">
        <v>141012.0</v>
      </c>
      <c r="AF3517" s="235" t="s">
        <v>631</v>
      </c>
      <c r="AG3517" s="245"/>
      <c r="AH3517" s="245"/>
      <c r="AI3517" s="245"/>
      <c r="AJ3517" s="245"/>
      <c r="AK3517" s="245"/>
      <c r="AL3517" s="245"/>
      <c r="AM3517" s="245"/>
      <c r="AN3517" s="245"/>
      <c r="AO3517" s="238">
        <v>-4.93</v>
      </c>
      <c r="AP3517" s="238">
        <v>0.0</v>
      </c>
      <c r="AQ3517" s="235" t="s">
        <v>632</v>
      </c>
      <c r="AR3517" s="243">
        <v>3.71E11</v>
      </c>
      <c r="AS3517" s="235" t="s">
        <v>23542</v>
      </c>
      <c r="AT3517" s="235" t="s">
        <v>14</v>
      </c>
      <c r="AU3517" s="235" t="s">
        <v>634</v>
      </c>
      <c r="AV3517" s="246" t="s">
        <v>635</v>
      </c>
      <c r="AW3517" s="227"/>
      <c r="AX3517" s="227"/>
      <c r="AY3517" s="227"/>
      <c r="AZ3517" s="227"/>
      <c r="BA3517" s="227"/>
      <c r="BB3517" s="227"/>
      <c r="BC3517" s="227"/>
      <c r="BD3517" s="227"/>
      <c r="BE3517" s="227"/>
      <c r="BF3517" s="227"/>
    </row>
    <row r="3518">
      <c r="A3518" s="235" t="s">
        <v>26409</v>
      </c>
      <c r="C3518" s="235" t="s">
        <v>26410</v>
      </c>
      <c r="D3518" s="235" t="s">
        <v>26411</v>
      </c>
      <c r="E3518" s="243">
        <v>6.52E13</v>
      </c>
      <c r="F3518" s="245"/>
      <c r="G3518" s="235" t="s">
        <v>26412</v>
      </c>
      <c r="H3518" s="235" t="s">
        <v>26413</v>
      </c>
      <c r="I3518" s="235" t="s">
        <v>26413</v>
      </c>
      <c r="J3518" s="235" t="s">
        <v>26414</v>
      </c>
      <c r="K3518" s="235" t="s">
        <v>20211</v>
      </c>
      <c r="N3518" s="235" t="s">
        <v>144</v>
      </c>
      <c r="O3518" s="235" t="s">
        <v>232</v>
      </c>
      <c r="P3518" s="238">
        <v>1.0</v>
      </c>
      <c r="Q3518" s="235" t="s">
        <v>627</v>
      </c>
      <c r="R3518" s="238">
        <v>665.71</v>
      </c>
      <c r="S3518" s="238">
        <v>33.29</v>
      </c>
      <c r="T3518" s="238">
        <v>0.0</v>
      </c>
      <c r="U3518" s="238">
        <v>0.0</v>
      </c>
      <c r="V3518" s="238">
        <v>0.0</v>
      </c>
      <c r="W3518" s="238">
        <v>0.0</v>
      </c>
      <c r="X3518" s="235" t="s">
        <v>628</v>
      </c>
      <c r="Z3518" s="245"/>
      <c r="AA3518" s="245"/>
      <c r="AB3518" s="245"/>
      <c r="AC3518" s="235" t="s">
        <v>5138</v>
      </c>
      <c r="AD3518" s="235" t="s">
        <v>833</v>
      </c>
      <c r="AE3518" s="238">
        <v>524003.0</v>
      </c>
      <c r="AF3518" s="235" t="s">
        <v>631</v>
      </c>
      <c r="AG3518" s="245"/>
      <c r="AH3518" s="245"/>
      <c r="AI3518" s="245"/>
      <c r="AJ3518" s="245"/>
      <c r="AK3518" s="245"/>
      <c r="AL3518" s="245"/>
      <c r="AM3518" s="245"/>
      <c r="AN3518" s="245"/>
      <c r="AO3518" s="238">
        <v>0.0</v>
      </c>
      <c r="AP3518" s="238">
        <v>0.0</v>
      </c>
      <c r="AQ3518" s="235" t="s">
        <v>632</v>
      </c>
      <c r="AR3518" s="243">
        <v>3.71E11</v>
      </c>
      <c r="AS3518" s="235" t="s">
        <v>25098</v>
      </c>
      <c r="AT3518" s="235" t="s">
        <v>156</v>
      </c>
      <c r="AU3518" s="235" t="s">
        <v>634</v>
      </c>
      <c r="AV3518" s="246" t="s">
        <v>635</v>
      </c>
      <c r="AW3518" s="227"/>
      <c r="AX3518" s="227"/>
      <c r="AY3518" s="227"/>
      <c r="AZ3518" s="227"/>
      <c r="BA3518" s="227"/>
      <c r="BB3518" s="227"/>
      <c r="BC3518" s="227"/>
      <c r="BD3518" s="227"/>
      <c r="BE3518" s="227"/>
      <c r="BF3518" s="227"/>
    </row>
    <row r="3519">
      <c r="A3519" s="235" t="s">
        <v>26415</v>
      </c>
      <c r="C3519" s="235" t="s">
        <v>26416</v>
      </c>
      <c r="D3519" s="235" t="s">
        <v>26417</v>
      </c>
      <c r="E3519" s="243">
        <v>6.52E13</v>
      </c>
      <c r="F3519" s="245"/>
      <c r="G3519" s="235" t="s">
        <v>26418</v>
      </c>
      <c r="H3519" s="235" t="s">
        <v>26419</v>
      </c>
      <c r="I3519" s="235" t="s">
        <v>26419</v>
      </c>
      <c r="J3519" s="235" t="s">
        <v>26420</v>
      </c>
      <c r="K3519" s="235" t="s">
        <v>26421</v>
      </c>
      <c r="N3519" s="235" t="s">
        <v>127</v>
      </c>
      <c r="O3519" s="235" t="s">
        <v>794</v>
      </c>
      <c r="P3519" s="238">
        <v>1.0</v>
      </c>
      <c r="Q3519" s="235" t="s">
        <v>627</v>
      </c>
      <c r="R3519" s="238">
        <v>236.19</v>
      </c>
      <c r="S3519" s="238">
        <v>11.81</v>
      </c>
      <c r="T3519" s="238">
        <v>38.1</v>
      </c>
      <c r="U3519" s="238">
        <v>1.9</v>
      </c>
      <c r="V3519" s="238">
        <v>0.0</v>
      </c>
      <c r="W3519" s="238">
        <v>0.0</v>
      </c>
      <c r="X3519" s="235" t="s">
        <v>628</v>
      </c>
      <c r="Z3519" s="245"/>
      <c r="AA3519" s="245"/>
      <c r="AB3519" s="245"/>
      <c r="AC3519" s="235" t="s">
        <v>795</v>
      </c>
      <c r="AD3519" s="235" t="s">
        <v>796</v>
      </c>
      <c r="AE3519" s="238">
        <v>110077.0</v>
      </c>
      <c r="AF3519" s="235" t="s">
        <v>631</v>
      </c>
      <c r="AG3519" s="245"/>
      <c r="AH3519" s="245"/>
      <c r="AI3519" s="245"/>
      <c r="AJ3519" s="245"/>
      <c r="AK3519" s="245"/>
      <c r="AL3519" s="245"/>
      <c r="AM3519" s="245"/>
      <c r="AN3519" s="245"/>
      <c r="AO3519" s="238">
        <v>0.0</v>
      </c>
      <c r="AP3519" s="238">
        <v>-38.1</v>
      </c>
      <c r="AQ3519" s="235" t="s">
        <v>632</v>
      </c>
      <c r="AR3519" s="243">
        <v>3.71E11</v>
      </c>
      <c r="AS3519" s="235" t="s">
        <v>25098</v>
      </c>
      <c r="AT3519" s="235" t="s">
        <v>13</v>
      </c>
      <c r="AU3519" s="235" t="s">
        <v>634</v>
      </c>
      <c r="AV3519" s="246" t="s">
        <v>635</v>
      </c>
      <c r="AW3519" s="227"/>
      <c r="AX3519" s="227"/>
      <c r="AY3519" s="227"/>
      <c r="AZ3519" s="227"/>
      <c r="BA3519" s="227"/>
      <c r="BB3519" s="227"/>
      <c r="BC3519" s="227"/>
      <c r="BD3519" s="227"/>
      <c r="BE3519" s="227"/>
      <c r="BF3519" s="227"/>
    </row>
    <row r="3520">
      <c r="A3520" s="235" t="s">
        <v>26422</v>
      </c>
      <c r="C3520" s="235" t="s">
        <v>26423</v>
      </c>
      <c r="D3520" s="235" t="s">
        <v>26424</v>
      </c>
      <c r="E3520" s="243">
        <v>6.52E13</v>
      </c>
      <c r="F3520" s="245"/>
      <c r="G3520" s="235" t="s">
        <v>26425</v>
      </c>
      <c r="H3520" s="235" t="s">
        <v>26426</v>
      </c>
      <c r="I3520" s="235" t="s">
        <v>26426</v>
      </c>
      <c r="J3520" s="235" t="s">
        <v>26427</v>
      </c>
      <c r="K3520" s="235" t="s">
        <v>26428</v>
      </c>
      <c r="N3520" s="235" t="s">
        <v>130</v>
      </c>
      <c r="O3520" s="235" t="s">
        <v>707</v>
      </c>
      <c r="P3520" s="238">
        <v>1.0</v>
      </c>
      <c r="Q3520" s="235" t="s">
        <v>627</v>
      </c>
      <c r="R3520" s="238">
        <v>246.66</v>
      </c>
      <c r="S3520" s="238">
        <v>12.34</v>
      </c>
      <c r="T3520" s="238">
        <v>0.0</v>
      </c>
      <c r="U3520" s="238">
        <v>0.0</v>
      </c>
      <c r="V3520" s="238">
        <v>0.0</v>
      </c>
      <c r="W3520" s="238">
        <v>0.0</v>
      </c>
      <c r="X3520" s="235" t="s">
        <v>628</v>
      </c>
      <c r="Z3520" s="245"/>
      <c r="AA3520" s="245"/>
      <c r="AB3520" s="245"/>
      <c r="AC3520" s="235" t="s">
        <v>3933</v>
      </c>
      <c r="AD3520" s="235" t="s">
        <v>26429</v>
      </c>
      <c r="AE3520" s="238">
        <v>132103.0</v>
      </c>
      <c r="AF3520" s="235" t="s">
        <v>631</v>
      </c>
      <c r="AG3520" s="245"/>
      <c r="AH3520" s="245"/>
      <c r="AI3520" s="245"/>
      <c r="AJ3520" s="245"/>
      <c r="AK3520" s="245"/>
      <c r="AL3520" s="245"/>
      <c r="AM3520" s="245"/>
      <c r="AN3520" s="245"/>
      <c r="AO3520" s="238">
        <v>0.0</v>
      </c>
      <c r="AP3520" s="238">
        <v>0.0</v>
      </c>
      <c r="AQ3520" s="235" t="s">
        <v>632</v>
      </c>
      <c r="AR3520" s="243">
        <v>3.71E11</v>
      </c>
      <c r="AS3520" s="235" t="s">
        <v>25098</v>
      </c>
      <c r="AT3520" s="235" t="s">
        <v>14</v>
      </c>
      <c r="AU3520" s="235" t="s">
        <v>634</v>
      </c>
      <c r="AV3520" s="246" t="s">
        <v>635</v>
      </c>
      <c r="AW3520" s="227"/>
      <c r="AX3520" s="227"/>
      <c r="AY3520" s="227"/>
      <c r="AZ3520" s="227"/>
      <c r="BA3520" s="227"/>
      <c r="BB3520" s="227"/>
      <c r="BC3520" s="227"/>
      <c r="BD3520" s="227"/>
      <c r="BE3520" s="227"/>
      <c r="BF3520" s="227"/>
    </row>
    <row r="3521">
      <c r="A3521" s="235" t="s">
        <v>26430</v>
      </c>
      <c r="C3521" s="235" t="s">
        <v>26431</v>
      </c>
      <c r="D3521" s="235" t="s">
        <v>26432</v>
      </c>
      <c r="E3521" s="243">
        <v>6.52E13</v>
      </c>
      <c r="F3521" s="245"/>
      <c r="G3521" s="235" t="s">
        <v>26433</v>
      </c>
      <c r="H3521" s="235" t="s">
        <v>26434</v>
      </c>
      <c r="I3521" s="235" t="s">
        <v>26434</v>
      </c>
      <c r="J3521" s="235" t="s">
        <v>26435</v>
      </c>
      <c r="K3521" s="235" t="s">
        <v>26436</v>
      </c>
      <c r="N3521" s="235" t="s">
        <v>64</v>
      </c>
      <c r="O3521" s="235" t="s">
        <v>378</v>
      </c>
      <c r="P3521" s="238">
        <v>1.0</v>
      </c>
      <c r="Q3521" s="235" t="s">
        <v>627</v>
      </c>
      <c r="R3521" s="238">
        <v>313.34</v>
      </c>
      <c r="S3521" s="238">
        <v>15.66</v>
      </c>
      <c r="T3521" s="238">
        <v>0.0</v>
      </c>
      <c r="U3521" s="238">
        <v>0.0</v>
      </c>
      <c r="V3521" s="238">
        <v>0.0</v>
      </c>
      <c r="W3521" s="238">
        <v>0.0</v>
      </c>
      <c r="X3521" s="235" t="s">
        <v>628</v>
      </c>
      <c r="Z3521" s="245"/>
      <c r="AA3521" s="245"/>
      <c r="AB3521" s="245"/>
      <c r="AC3521" s="235" t="s">
        <v>757</v>
      </c>
      <c r="AD3521" s="235" t="s">
        <v>666</v>
      </c>
      <c r="AE3521" s="238">
        <v>625016.0</v>
      </c>
      <c r="AF3521" s="235" t="s">
        <v>631</v>
      </c>
      <c r="AG3521" s="245"/>
      <c r="AH3521" s="245"/>
      <c r="AI3521" s="245"/>
      <c r="AJ3521" s="245"/>
      <c r="AK3521" s="245"/>
      <c r="AL3521" s="245"/>
      <c r="AM3521" s="245"/>
      <c r="AN3521" s="245"/>
      <c r="AO3521" s="238">
        <v>0.0</v>
      </c>
      <c r="AP3521" s="238">
        <v>0.0</v>
      </c>
      <c r="AQ3521" s="235" t="s">
        <v>632</v>
      </c>
      <c r="AR3521" s="243">
        <v>3.71E11</v>
      </c>
      <c r="AS3521" s="235" t="s">
        <v>25098</v>
      </c>
      <c r="AT3521" s="235" t="s">
        <v>155</v>
      </c>
      <c r="AU3521" s="235" t="s">
        <v>634</v>
      </c>
      <c r="AV3521" s="246" t="s">
        <v>635</v>
      </c>
      <c r="AW3521" s="227"/>
      <c r="AX3521" s="227"/>
      <c r="AY3521" s="227"/>
      <c r="AZ3521" s="227"/>
      <c r="BA3521" s="227"/>
      <c r="BB3521" s="227"/>
      <c r="BC3521" s="227"/>
      <c r="BD3521" s="227"/>
      <c r="BE3521" s="227"/>
      <c r="BF3521" s="227"/>
    </row>
    <row r="3522">
      <c r="A3522" s="235" t="s">
        <v>26437</v>
      </c>
      <c r="C3522" s="235" t="s">
        <v>26438</v>
      </c>
      <c r="D3522" s="235" t="s">
        <v>26439</v>
      </c>
      <c r="E3522" s="243">
        <v>6.51E13</v>
      </c>
      <c r="F3522" s="245"/>
      <c r="G3522" s="235" t="s">
        <v>26440</v>
      </c>
      <c r="H3522" s="235" t="s">
        <v>26441</v>
      </c>
      <c r="I3522" s="235" t="s">
        <v>26441</v>
      </c>
      <c r="J3522" s="235" t="s">
        <v>26442</v>
      </c>
      <c r="K3522" s="235" t="s">
        <v>26443</v>
      </c>
      <c r="N3522" s="235" t="s">
        <v>127</v>
      </c>
      <c r="O3522" s="235" t="s">
        <v>794</v>
      </c>
      <c r="P3522" s="238">
        <v>1.0</v>
      </c>
      <c r="Q3522" s="235" t="s">
        <v>627</v>
      </c>
      <c r="R3522" s="238">
        <v>236.2</v>
      </c>
      <c r="S3522" s="238">
        <v>11.8</v>
      </c>
      <c r="T3522" s="238">
        <v>38.1</v>
      </c>
      <c r="U3522" s="238">
        <v>1.9</v>
      </c>
      <c r="V3522" s="238">
        <v>0.0</v>
      </c>
      <c r="W3522" s="238">
        <v>0.0</v>
      </c>
      <c r="X3522" s="235" t="s">
        <v>628</v>
      </c>
      <c r="Z3522" s="245"/>
      <c r="AA3522" s="245"/>
      <c r="AB3522" s="245"/>
      <c r="AC3522" s="235" t="s">
        <v>687</v>
      </c>
      <c r="AD3522" s="235" t="s">
        <v>666</v>
      </c>
      <c r="AE3522" s="238">
        <v>600125.0</v>
      </c>
      <c r="AF3522" s="235" t="s">
        <v>631</v>
      </c>
      <c r="AG3522" s="245"/>
      <c r="AH3522" s="245"/>
      <c r="AI3522" s="245"/>
      <c r="AJ3522" s="245"/>
      <c r="AK3522" s="245"/>
      <c r="AL3522" s="245"/>
      <c r="AM3522" s="245"/>
      <c r="AN3522" s="245"/>
      <c r="AO3522" s="238">
        <v>0.0</v>
      </c>
      <c r="AP3522" s="238">
        <v>-38.1</v>
      </c>
      <c r="AQ3522" s="235" t="s">
        <v>632</v>
      </c>
      <c r="AR3522" s="243">
        <v>3.71E11</v>
      </c>
      <c r="AS3522" s="235" t="s">
        <v>25098</v>
      </c>
      <c r="AT3522" s="235" t="s">
        <v>156</v>
      </c>
      <c r="AU3522" s="235" t="s">
        <v>634</v>
      </c>
      <c r="AV3522" s="246" t="s">
        <v>635</v>
      </c>
      <c r="AW3522" s="227"/>
      <c r="AX3522" s="227"/>
      <c r="AY3522" s="227"/>
      <c r="AZ3522" s="227"/>
      <c r="BA3522" s="227"/>
      <c r="BB3522" s="227"/>
      <c r="BC3522" s="227"/>
      <c r="BD3522" s="227"/>
      <c r="BE3522" s="227"/>
      <c r="BF3522" s="227"/>
    </row>
    <row r="3523">
      <c r="A3523" s="235" t="s">
        <v>26444</v>
      </c>
      <c r="C3523" s="235" t="s">
        <v>26445</v>
      </c>
      <c r="D3523" s="235" t="s">
        <v>26446</v>
      </c>
      <c r="E3523" s="243">
        <v>6.52E13</v>
      </c>
      <c r="F3523" s="245"/>
      <c r="G3523" s="235" t="s">
        <v>26447</v>
      </c>
      <c r="H3523" s="235" t="s">
        <v>26448</v>
      </c>
      <c r="I3523" s="235" t="s">
        <v>26448</v>
      </c>
      <c r="J3523" s="235" t="s">
        <v>26449</v>
      </c>
      <c r="K3523" s="235" t="s">
        <v>26450</v>
      </c>
      <c r="N3523" s="235" t="s">
        <v>92</v>
      </c>
      <c r="O3523" s="235" t="s">
        <v>248</v>
      </c>
      <c r="P3523" s="238">
        <v>1.0</v>
      </c>
      <c r="Q3523" s="235" t="s">
        <v>627</v>
      </c>
      <c r="R3523" s="238">
        <v>246.67</v>
      </c>
      <c r="S3523" s="238">
        <v>12.33</v>
      </c>
      <c r="T3523" s="238">
        <v>38.1</v>
      </c>
      <c r="U3523" s="238">
        <v>1.9</v>
      </c>
      <c r="V3523" s="238">
        <v>0.0</v>
      </c>
      <c r="W3523" s="238">
        <v>0.0</v>
      </c>
      <c r="X3523" s="235" t="s">
        <v>628</v>
      </c>
      <c r="Z3523" s="245"/>
      <c r="AA3523" s="245"/>
      <c r="AB3523" s="245"/>
      <c r="AC3523" s="235" t="s">
        <v>8003</v>
      </c>
      <c r="AD3523" s="235" t="s">
        <v>630</v>
      </c>
      <c r="AE3523" s="238">
        <v>202001.0</v>
      </c>
      <c r="AF3523" s="235" t="s">
        <v>631</v>
      </c>
      <c r="AG3523" s="245"/>
      <c r="AH3523" s="245"/>
      <c r="AI3523" s="245"/>
      <c r="AJ3523" s="245"/>
      <c r="AK3523" s="245"/>
      <c r="AL3523" s="245"/>
      <c r="AM3523" s="245"/>
      <c r="AN3523" s="245"/>
      <c r="AO3523" s="238">
        <v>0.0</v>
      </c>
      <c r="AP3523" s="238">
        <v>-38.1</v>
      </c>
      <c r="AQ3523" s="235" t="s">
        <v>632</v>
      </c>
      <c r="AR3523" s="243">
        <v>3.71E11</v>
      </c>
      <c r="AS3523" s="235" t="s">
        <v>20529</v>
      </c>
      <c r="AT3523" s="235" t="s">
        <v>16</v>
      </c>
      <c r="AU3523" s="235" t="s">
        <v>634</v>
      </c>
      <c r="AV3523" s="246" t="s">
        <v>635</v>
      </c>
      <c r="AW3523" s="227"/>
      <c r="AX3523" s="227"/>
      <c r="AY3523" s="227"/>
      <c r="AZ3523" s="227"/>
      <c r="BA3523" s="227"/>
      <c r="BB3523" s="227"/>
      <c r="BC3523" s="227"/>
      <c r="BD3523" s="227"/>
      <c r="BE3523" s="227"/>
      <c r="BF3523" s="227"/>
    </row>
    <row r="3524">
      <c r="A3524" s="235" t="s">
        <v>26451</v>
      </c>
      <c r="C3524" s="235" t="s">
        <v>26452</v>
      </c>
      <c r="D3524" s="235" t="s">
        <v>26453</v>
      </c>
      <c r="E3524" s="243">
        <v>6.52E13</v>
      </c>
      <c r="F3524" s="245"/>
      <c r="G3524" s="235" t="s">
        <v>26454</v>
      </c>
      <c r="H3524" s="235" t="s">
        <v>26448</v>
      </c>
      <c r="I3524" s="235" t="s">
        <v>26448</v>
      </c>
      <c r="J3524" s="235" t="s">
        <v>26449</v>
      </c>
      <c r="K3524" s="235" t="s">
        <v>26455</v>
      </c>
      <c r="N3524" s="235" t="s">
        <v>90</v>
      </c>
      <c r="O3524" s="235" t="s">
        <v>279</v>
      </c>
      <c r="P3524" s="238">
        <v>1.0</v>
      </c>
      <c r="Q3524" s="235" t="s">
        <v>627</v>
      </c>
      <c r="R3524" s="238">
        <v>246.66</v>
      </c>
      <c r="S3524" s="238">
        <v>12.34</v>
      </c>
      <c r="T3524" s="238">
        <v>0.0</v>
      </c>
      <c r="U3524" s="238">
        <v>0.0</v>
      </c>
      <c r="V3524" s="238">
        <v>0.0</v>
      </c>
      <c r="W3524" s="238">
        <v>0.0</v>
      </c>
      <c r="X3524" s="235" t="s">
        <v>628</v>
      </c>
      <c r="Z3524" s="245"/>
      <c r="AA3524" s="245"/>
      <c r="AB3524" s="245"/>
      <c r="AC3524" s="235" t="s">
        <v>678</v>
      </c>
      <c r="AD3524" s="235" t="s">
        <v>679</v>
      </c>
      <c r="AE3524" s="238">
        <v>560066.0</v>
      </c>
      <c r="AF3524" s="235" t="s">
        <v>631</v>
      </c>
      <c r="AG3524" s="245"/>
      <c r="AH3524" s="245"/>
      <c r="AI3524" s="245"/>
      <c r="AJ3524" s="245"/>
      <c r="AK3524" s="245"/>
      <c r="AL3524" s="245"/>
      <c r="AM3524" s="245"/>
      <c r="AN3524" s="245"/>
      <c r="AO3524" s="238">
        <v>0.0</v>
      </c>
      <c r="AP3524" s="238">
        <v>0.0</v>
      </c>
      <c r="AQ3524" s="235" t="s">
        <v>632</v>
      </c>
      <c r="AR3524" s="243">
        <v>1.68E11</v>
      </c>
      <c r="AS3524" s="235" t="s">
        <v>25713</v>
      </c>
      <c r="AT3524" s="235" t="s">
        <v>9</v>
      </c>
      <c r="AU3524" s="235" t="s">
        <v>634</v>
      </c>
      <c r="AV3524" s="246" t="s">
        <v>635</v>
      </c>
      <c r="AW3524" s="227"/>
      <c r="AX3524" s="227"/>
      <c r="AY3524" s="227"/>
      <c r="AZ3524" s="227"/>
      <c r="BA3524" s="227"/>
      <c r="BB3524" s="227"/>
      <c r="BC3524" s="227"/>
      <c r="BD3524" s="227"/>
      <c r="BE3524" s="227"/>
      <c r="BF3524" s="227"/>
    </row>
    <row r="3525">
      <c r="A3525" s="235" t="s">
        <v>26456</v>
      </c>
      <c r="C3525" s="235" t="s">
        <v>26457</v>
      </c>
      <c r="D3525" s="235" t="s">
        <v>26458</v>
      </c>
      <c r="E3525" s="243">
        <v>6.51E13</v>
      </c>
      <c r="F3525" s="245"/>
      <c r="G3525" s="235" t="s">
        <v>26459</v>
      </c>
      <c r="H3525" s="235" t="s">
        <v>26460</v>
      </c>
      <c r="I3525" s="235" t="s">
        <v>26461</v>
      </c>
      <c r="J3525" s="235" t="s">
        <v>26462</v>
      </c>
      <c r="K3525" s="235" t="s">
        <v>26463</v>
      </c>
      <c r="N3525" s="235" t="s">
        <v>3858</v>
      </c>
      <c r="O3525" s="235" t="s">
        <v>3859</v>
      </c>
      <c r="P3525" s="238">
        <v>1.0</v>
      </c>
      <c r="Q3525" s="235" t="s">
        <v>627</v>
      </c>
      <c r="R3525" s="238">
        <v>246.66</v>
      </c>
      <c r="S3525" s="238">
        <v>12.34</v>
      </c>
      <c r="T3525" s="238">
        <v>0.0</v>
      </c>
      <c r="U3525" s="238">
        <v>0.0</v>
      </c>
      <c r="V3525" s="238">
        <v>0.0</v>
      </c>
      <c r="W3525" s="238">
        <v>0.0</v>
      </c>
      <c r="X3525" s="235" t="s">
        <v>628</v>
      </c>
      <c r="Z3525" s="245"/>
      <c r="AA3525" s="245"/>
      <c r="AB3525" s="245"/>
      <c r="AC3525" s="235" t="s">
        <v>1058</v>
      </c>
      <c r="AD3525" s="235" t="s">
        <v>845</v>
      </c>
      <c r="AE3525" s="238">
        <v>400028.0</v>
      </c>
      <c r="AF3525" s="235" t="s">
        <v>631</v>
      </c>
      <c r="AG3525" s="245"/>
      <c r="AH3525" s="245"/>
      <c r="AI3525" s="245"/>
      <c r="AJ3525" s="245"/>
      <c r="AK3525" s="245"/>
      <c r="AL3525" s="245"/>
      <c r="AM3525" s="245"/>
      <c r="AN3525" s="245"/>
      <c r="AO3525" s="238">
        <v>0.0</v>
      </c>
      <c r="AP3525" s="238">
        <v>0.0</v>
      </c>
      <c r="AQ3525" s="235" t="s">
        <v>632</v>
      </c>
      <c r="AR3525" s="243">
        <v>3.71E11</v>
      </c>
      <c r="AS3525" s="235" t="s">
        <v>25098</v>
      </c>
      <c r="AT3525" s="235" t="s">
        <v>17</v>
      </c>
      <c r="AU3525" s="235" t="s">
        <v>634</v>
      </c>
      <c r="AV3525" s="246" t="s">
        <v>635</v>
      </c>
      <c r="AW3525" s="227"/>
      <c r="AX3525" s="227"/>
      <c r="AY3525" s="227"/>
      <c r="AZ3525" s="227"/>
      <c r="BA3525" s="227"/>
      <c r="BB3525" s="227"/>
      <c r="BC3525" s="227"/>
      <c r="BD3525" s="227"/>
      <c r="BE3525" s="227"/>
      <c r="BF3525" s="227"/>
    </row>
    <row r="3526">
      <c r="A3526" s="235" t="s">
        <v>26464</v>
      </c>
      <c r="C3526" s="235" t="s">
        <v>26465</v>
      </c>
      <c r="D3526" s="235" t="s">
        <v>26466</v>
      </c>
      <c r="E3526" s="243">
        <v>6.52E13</v>
      </c>
      <c r="F3526" s="245"/>
      <c r="G3526" s="235" t="s">
        <v>26467</v>
      </c>
      <c r="H3526" s="235" t="s">
        <v>26468</v>
      </c>
      <c r="I3526" s="235" t="s">
        <v>26468</v>
      </c>
      <c r="J3526" s="235" t="s">
        <v>26469</v>
      </c>
      <c r="K3526" s="235" t="s">
        <v>26470</v>
      </c>
      <c r="N3526" s="235" t="s">
        <v>15</v>
      </c>
      <c r="O3526" s="235" t="s">
        <v>856</v>
      </c>
      <c r="P3526" s="238">
        <v>1.0</v>
      </c>
      <c r="Q3526" s="235" t="s">
        <v>627</v>
      </c>
      <c r="R3526" s="238">
        <v>341.9</v>
      </c>
      <c r="S3526" s="238">
        <v>17.1</v>
      </c>
      <c r="T3526" s="238">
        <v>0.0</v>
      </c>
      <c r="U3526" s="238">
        <v>0.0</v>
      </c>
      <c r="V3526" s="238">
        <v>0.0</v>
      </c>
      <c r="W3526" s="238">
        <v>0.0</v>
      </c>
      <c r="X3526" s="235" t="s">
        <v>628</v>
      </c>
      <c r="Z3526" s="245"/>
      <c r="AA3526" s="245"/>
      <c r="AB3526" s="245"/>
      <c r="AC3526" s="235" t="s">
        <v>26471</v>
      </c>
      <c r="AD3526" s="235" t="s">
        <v>6677</v>
      </c>
      <c r="AE3526" s="238">
        <v>605104.0</v>
      </c>
      <c r="AF3526" s="235" t="s">
        <v>631</v>
      </c>
      <c r="AG3526" s="245"/>
      <c r="AH3526" s="245"/>
      <c r="AI3526" s="245"/>
      <c r="AJ3526" s="245"/>
      <c r="AK3526" s="245"/>
      <c r="AL3526" s="245"/>
      <c r="AM3526" s="245"/>
      <c r="AN3526" s="245"/>
      <c r="AO3526" s="238">
        <v>0.0</v>
      </c>
      <c r="AP3526" s="238">
        <v>0.0</v>
      </c>
      <c r="AQ3526" s="235" t="s">
        <v>632</v>
      </c>
      <c r="AR3526" s="243">
        <v>3.71E11</v>
      </c>
      <c r="AS3526" s="235" t="s">
        <v>25098</v>
      </c>
      <c r="AT3526" s="235" t="s">
        <v>156</v>
      </c>
      <c r="AU3526" s="235" t="s">
        <v>634</v>
      </c>
      <c r="AV3526" s="246" t="s">
        <v>635</v>
      </c>
      <c r="AW3526" s="227"/>
      <c r="AX3526" s="227"/>
      <c r="AY3526" s="227"/>
      <c r="AZ3526" s="227"/>
      <c r="BA3526" s="227"/>
      <c r="BB3526" s="227"/>
      <c r="BC3526" s="227"/>
      <c r="BD3526" s="227"/>
      <c r="BE3526" s="227"/>
      <c r="BF3526" s="227"/>
    </row>
    <row r="3527">
      <c r="A3527" s="235" t="s">
        <v>26472</v>
      </c>
      <c r="C3527" s="235" t="s">
        <v>26473</v>
      </c>
      <c r="D3527" s="235" t="s">
        <v>26474</v>
      </c>
      <c r="E3527" s="243">
        <v>6.52E13</v>
      </c>
      <c r="F3527" s="245"/>
      <c r="G3527" s="235" t="s">
        <v>26475</v>
      </c>
      <c r="H3527" s="235" t="s">
        <v>26476</v>
      </c>
      <c r="I3527" s="235" t="s">
        <v>26476</v>
      </c>
      <c r="J3527" s="235" t="s">
        <v>26477</v>
      </c>
      <c r="K3527" s="235" t="s">
        <v>26478</v>
      </c>
      <c r="N3527" s="235" t="s">
        <v>51</v>
      </c>
      <c r="O3527" s="235" t="s">
        <v>273</v>
      </c>
      <c r="P3527" s="238">
        <v>1.0</v>
      </c>
      <c r="Q3527" s="235" t="s">
        <v>627</v>
      </c>
      <c r="R3527" s="238">
        <v>0.0</v>
      </c>
      <c r="S3527" s="238">
        <v>0.0</v>
      </c>
      <c r="T3527" s="238">
        <v>0.0</v>
      </c>
      <c r="U3527" s="238">
        <v>0.0</v>
      </c>
      <c r="V3527" s="238">
        <v>0.0</v>
      </c>
      <c r="W3527" s="238">
        <v>0.0</v>
      </c>
      <c r="X3527" s="235" t="s">
        <v>628</v>
      </c>
      <c r="Z3527" s="245"/>
      <c r="AA3527" s="245"/>
      <c r="AB3527" s="245"/>
      <c r="AC3527" s="235" t="s">
        <v>1887</v>
      </c>
      <c r="AD3527" s="235" t="s">
        <v>679</v>
      </c>
      <c r="AE3527" s="238">
        <v>560043.0</v>
      </c>
      <c r="AF3527" s="235" t="s">
        <v>631</v>
      </c>
      <c r="AG3527" s="245"/>
      <c r="AH3527" s="245"/>
      <c r="AI3527" s="245"/>
      <c r="AJ3527" s="245"/>
      <c r="AK3527" s="245"/>
      <c r="AL3527" s="245"/>
      <c r="AM3527" s="245"/>
      <c r="AN3527" s="245"/>
      <c r="AO3527" s="238">
        <v>0.0</v>
      </c>
      <c r="AP3527" s="238">
        <v>0.0</v>
      </c>
      <c r="AQ3527" s="235" t="s">
        <v>632</v>
      </c>
      <c r="AR3527" s="243">
        <v>3.71E11</v>
      </c>
      <c r="AS3527" s="235" t="s">
        <v>25098</v>
      </c>
      <c r="AT3527" s="235" t="s">
        <v>11</v>
      </c>
      <c r="AU3527" s="235" t="s">
        <v>634</v>
      </c>
      <c r="AV3527" s="246" t="s">
        <v>635</v>
      </c>
      <c r="AW3527" s="227"/>
      <c r="AX3527" s="227"/>
      <c r="AY3527" s="227"/>
      <c r="AZ3527" s="227"/>
      <c r="BA3527" s="227"/>
      <c r="BB3527" s="227"/>
      <c r="BC3527" s="227"/>
      <c r="BD3527" s="227"/>
      <c r="BE3527" s="227"/>
      <c r="BF3527" s="227"/>
    </row>
    <row r="3528">
      <c r="A3528" s="235" t="s">
        <v>26479</v>
      </c>
      <c r="C3528" s="235" t="s">
        <v>26480</v>
      </c>
      <c r="D3528" s="235" t="s">
        <v>26481</v>
      </c>
      <c r="E3528" s="243">
        <v>6.52E13</v>
      </c>
      <c r="F3528" s="245"/>
      <c r="G3528" s="235" t="s">
        <v>26482</v>
      </c>
      <c r="H3528" s="235" t="s">
        <v>26483</v>
      </c>
      <c r="I3528" s="235" t="s">
        <v>26483</v>
      </c>
      <c r="J3528" s="235" t="s">
        <v>26484</v>
      </c>
      <c r="K3528" s="235" t="s">
        <v>26485</v>
      </c>
      <c r="N3528" s="235" t="s">
        <v>154</v>
      </c>
      <c r="O3528" s="235" t="s">
        <v>766</v>
      </c>
      <c r="P3528" s="238">
        <v>1.0</v>
      </c>
      <c r="Q3528" s="235" t="s">
        <v>627</v>
      </c>
      <c r="R3528" s="238">
        <v>423.81</v>
      </c>
      <c r="S3528" s="238">
        <v>20.55</v>
      </c>
      <c r="T3528" s="238">
        <v>0.0</v>
      </c>
      <c r="U3528" s="238">
        <v>0.0</v>
      </c>
      <c r="V3528" s="238">
        <v>0.0</v>
      </c>
      <c r="W3528" s="238">
        <v>0.0</v>
      </c>
      <c r="X3528" s="235" t="s">
        <v>628</v>
      </c>
      <c r="Z3528" s="245"/>
      <c r="AA3528" s="245"/>
      <c r="AB3528" s="245"/>
      <c r="AC3528" s="235" t="s">
        <v>13760</v>
      </c>
      <c r="AD3528" s="235" t="s">
        <v>917</v>
      </c>
      <c r="AE3528" s="238">
        <v>313001.0</v>
      </c>
      <c r="AF3528" s="235" t="s">
        <v>631</v>
      </c>
      <c r="AG3528" s="245"/>
      <c r="AH3528" s="245"/>
      <c r="AI3528" s="245"/>
      <c r="AJ3528" s="245"/>
      <c r="AK3528" s="245"/>
      <c r="AL3528" s="245"/>
      <c r="AM3528" s="245"/>
      <c r="AN3528" s="245"/>
      <c r="AO3528" s="238">
        <v>-12.71</v>
      </c>
      <c r="AP3528" s="238">
        <v>0.0</v>
      </c>
      <c r="AQ3528" s="235" t="s">
        <v>632</v>
      </c>
      <c r="AR3528" s="243">
        <v>3.71E11</v>
      </c>
      <c r="AS3528" s="235" t="s">
        <v>25098</v>
      </c>
      <c r="AT3528" s="235" t="s">
        <v>5</v>
      </c>
      <c r="AU3528" s="235" t="s">
        <v>634</v>
      </c>
      <c r="AV3528" s="246" t="s">
        <v>635</v>
      </c>
      <c r="AW3528" s="227"/>
      <c r="AX3528" s="227"/>
      <c r="AY3528" s="227"/>
      <c r="AZ3528" s="227"/>
      <c r="BA3528" s="227"/>
      <c r="BB3528" s="227"/>
      <c r="BC3528" s="227"/>
      <c r="BD3528" s="227"/>
      <c r="BE3528" s="227"/>
      <c r="BF3528" s="227"/>
    </row>
    <row r="3529">
      <c r="A3529" s="235" t="s">
        <v>26486</v>
      </c>
      <c r="C3529" s="235" t="s">
        <v>26487</v>
      </c>
      <c r="D3529" s="235" t="s">
        <v>26488</v>
      </c>
      <c r="E3529" s="243">
        <v>6.51E13</v>
      </c>
      <c r="F3529" s="245"/>
      <c r="G3529" s="235" t="s">
        <v>26489</v>
      </c>
      <c r="H3529" s="235" t="s">
        <v>26490</v>
      </c>
      <c r="I3529" s="235" t="s">
        <v>26490</v>
      </c>
      <c r="J3529" s="235" t="s">
        <v>26491</v>
      </c>
      <c r="K3529" s="235" t="s">
        <v>26492</v>
      </c>
      <c r="N3529" s="235" t="s">
        <v>92</v>
      </c>
      <c r="O3529" s="235" t="s">
        <v>248</v>
      </c>
      <c r="P3529" s="238">
        <v>1.0</v>
      </c>
      <c r="Q3529" s="235" t="s">
        <v>627</v>
      </c>
      <c r="R3529" s="238">
        <v>270.48</v>
      </c>
      <c r="S3529" s="238">
        <v>13.25</v>
      </c>
      <c r="T3529" s="238">
        <v>38.1</v>
      </c>
      <c r="U3529" s="238">
        <v>1.9</v>
      </c>
      <c r="V3529" s="238">
        <v>0.0</v>
      </c>
      <c r="W3529" s="238">
        <v>0.0</v>
      </c>
      <c r="X3529" s="235" t="s">
        <v>628</v>
      </c>
      <c r="Z3529" s="245"/>
      <c r="AA3529" s="245"/>
      <c r="AB3529" s="245"/>
      <c r="AC3529" s="235" t="s">
        <v>795</v>
      </c>
      <c r="AD3529" s="235" t="s">
        <v>796</v>
      </c>
      <c r="AE3529" s="238">
        <v>110030.0</v>
      </c>
      <c r="AF3529" s="235" t="s">
        <v>631</v>
      </c>
      <c r="AG3529" s="245"/>
      <c r="AH3529" s="245"/>
      <c r="AI3529" s="245"/>
      <c r="AJ3529" s="245"/>
      <c r="AK3529" s="245"/>
      <c r="AL3529" s="245"/>
      <c r="AM3529" s="245"/>
      <c r="AN3529" s="245"/>
      <c r="AO3529" s="238">
        <v>-5.41</v>
      </c>
      <c r="AP3529" s="238">
        <v>-38.1</v>
      </c>
      <c r="AQ3529" s="235" t="s">
        <v>632</v>
      </c>
      <c r="AR3529" s="243">
        <v>3.71E11</v>
      </c>
      <c r="AS3529" s="235" t="s">
        <v>25098</v>
      </c>
      <c r="AT3529" s="235" t="s">
        <v>14</v>
      </c>
      <c r="AU3529" s="235" t="s">
        <v>634</v>
      </c>
      <c r="AV3529" s="246" t="s">
        <v>635</v>
      </c>
      <c r="AW3529" s="227"/>
      <c r="AX3529" s="227"/>
      <c r="AY3529" s="227"/>
      <c r="AZ3529" s="227"/>
      <c r="BA3529" s="227"/>
      <c r="BB3529" s="227"/>
      <c r="BC3529" s="227"/>
      <c r="BD3529" s="227"/>
      <c r="BE3529" s="227"/>
      <c r="BF3529" s="227"/>
    </row>
    <row r="3530">
      <c r="A3530" s="235" t="s">
        <v>26493</v>
      </c>
      <c r="C3530" s="235" t="s">
        <v>26494</v>
      </c>
      <c r="D3530" s="235" t="s">
        <v>26495</v>
      </c>
      <c r="E3530" s="243">
        <v>6.52E13</v>
      </c>
      <c r="F3530" s="245"/>
      <c r="G3530" s="235" t="s">
        <v>26496</v>
      </c>
      <c r="H3530" s="235" t="s">
        <v>26497</v>
      </c>
      <c r="I3530" s="235" t="s">
        <v>26497</v>
      </c>
      <c r="J3530" s="235" t="s">
        <v>26498</v>
      </c>
      <c r="K3530" s="235" t="s">
        <v>26499</v>
      </c>
      <c r="N3530" s="235" t="s">
        <v>127</v>
      </c>
      <c r="O3530" s="235" t="s">
        <v>794</v>
      </c>
      <c r="P3530" s="238">
        <v>1.0</v>
      </c>
      <c r="Q3530" s="235" t="s">
        <v>627</v>
      </c>
      <c r="R3530" s="238">
        <v>243.8</v>
      </c>
      <c r="S3530" s="238">
        <v>12.2</v>
      </c>
      <c r="T3530" s="238">
        <v>0.0</v>
      </c>
      <c r="U3530" s="238">
        <v>0.0</v>
      </c>
      <c r="V3530" s="238">
        <v>0.0</v>
      </c>
      <c r="W3530" s="238">
        <v>0.0</v>
      </c>
      <c r="X3530" s="235" t="s">
        <v>628</v>
      </c>
      <c r="Z3530" s="245"/>
      <c r="AA3530" s="245"/>
      <c r="AB3530" s="245"/>
      <c r="AC3530" s="235" t="s">
        <v>1320</v>
      </c>
      <c r="AD3530" s="235" t="s">
        <v>666</v>
      </c>
      <c r="AE3530" s="238">
        <v>600073.0</v>
      </c>
      <c r="AF3530" s="235" t="s">
        <v>631</v>
      </c>
      <c r="AG3530" s="245"/>
      <c r="AH3530" s="245"/>
      <c r="AI3530" s="245"/>
      <c r="AJ3530" s="245"/>
      <c r="AK3530" s="245"/>
      <c r="AL3530" s="245"/>
      <c r="AM3530" s="245"/>
      <c r="AN3530" s="245"/>
      <c r="AO3530" s="238">
        <v>0.0</v>
      </c>
      <c r="AP3530" s="238">
        <v>0.0</v>
      </c>
      <c r="AQ3530" s="235" t="s">
        <v>632</v>
      </c>
      <c r="AR3530" s="243">
        <v>1.68E11</v>
      </c>
      <c r="AS3530" s="235" t="s">
        <v>25713</v>
      </c>
      <c r="AT3530" s="235" t="s">
        <v>156</v>
      </c>
      <c r="AU3530" s="235" t="s">
        <v>634</v>
      </c>
      <c r="AV3530" s="246" t="s">
        <v>635</v>
      </c>
      <c r="AW3530" s="227"/>
      <c r="AX3530" s="227"/>
      <c r="AY3530" s="227"/>
      <c r="AZ3530" s="227"/>
      <c r="BA3530" s="227"/>
      <c r="BB3530" s="227"/>
      <c r="BC3530" s="227"/>
      <c r="BD3530" s="227"/>
      <c r="BE3530" s="227"/>
      <c r="BF3530" s="227"/>
    </row>
    <row r="3531">
      <c r="A3531" s="235" t="s">
        <v>26500</v>
      </c>
      <c r="C3531" s="235" t="s">
        <v>26501</v>
      </c>
      <c r="D3531" s="235" t="s">
        <v>26502</v>
      </c>
      <c r="E3531" s="243">
        <v>6.52E13</v>
      </c>
      <c r="F3531" s="245"/>
      <c r="G3531" s="235" t="s">
        <v>26503</v>
      </c>
      <c r="H3531" s="235" t="s">
        <v>26504</v>
      </c>
      <c r="I3531" s="235" t="s">
        <v>26504</v>
      </c>
      <c r="J3531" s="235" t="s">
        <v>26505</v>
      </c>
      <c r="K3531" s="235" t="s">
        <v>26506</v>
      </c>
      <c r="N3531" s="235" t="s">
        <v>27</v>
      </c>
      <c r="O3531" s="235" t="s">
        <v>573</v>
      </c>
      <c r="P3531" s="238">
        <v>1.0</v>
      </c>
      <c r="Q3531" s="235" t="s">
        <v>627</v>
      </c>
      <c r="R3531" s="238">
        <v>380.0</v>
      </c>
      <c r="S3531" s="238">
        <v>19.0</v>
      </c>
      <c r="T3531" s="238">
        <v>38.1</v>
      </c>
      <c r="U3531" s="238">
        <v>1.9</v>
      </c>
      <c r="V3531" s="238">
        <v>0.0</v>
      </c>
      <c r="W3531" s="238">
        <v>0.0</v>
      </c>
      <c r="X3531" s="235" t="s">
        <v>628</v>
      </c>
      <c r="Z3531" s="245"/>
      <c r="AA3531" s="245"/>
      <c r="AB3531" s="245"/>
      <c r="AC3531" s="235" t="s">
        <v>795</v>
      </c>
      <c r="AD3531" s="235" t="s">
        <v>796</v>
      </c>
      <c r="AE3531" s="238">
        <v>110067.0</v>
      </c>
      <c r="AF3531" s="235" t="s">
        <v>631</v>
      </c>
      <c r="AG3531" s="245"/>
      <c r="AH3531" s="245"/>
      <c r="AI3531" s="245"/>
      <c r="AJ3531" s="245"/>
      <c r="AK3531" s="245"/>
      <c r="AL3531" s="245"/>
      <c r="AM3531" s="245"/>
      <c r="AN3531" s="245"/>
      <c r="AO3531" s="238">
        <v>0.0</v>
      </c>
      <c r="AP3531" s="238">
        <v>-38.1</v>
      </c>
      <c r="AQ3531" s="235" t="s">
        <v>632</v>
      </c>
      <c r="AR3531" s="243">
        <v>2.02E11</v>
      </c>
      <c r="AS3531" s="235" t="s">
        <v>25098</v>
      </c>
      <c r="AT3531" s="235" t="s">
        <v>11</v>
      </c>
      <c r="AU3531" s="235" t="s">
        <v>634</v>
      </c>
      <c r="AV3531" s="246" t="s">
        <v>635</v>
      </c>
      <c r="AW3531" s="227"/>
      <c r="AX3531" s="227"/>
      <c r="AY3531" s="227"/>
      <c r="AZ3531" s="227"/>
      <c r="BA3531" s="227"/>
      <c r="BB3531" s="227"/>
      <c r="BC3531" s="227"/>
      <c r="BD3531" s="227"/>
      <c r="BE3531" s="227"/>
      <c r="BF3531" s="227"/>
    </row>
    <row r="3532">
      <c r="A3532" s="235" t="s">
        <v>26507</v>
      </c>
      <c r="C3532" s="235" t="s">
        <v>26508</v>
      </c>
      <c r="D3532" s="235" t="s">
        <v>26509</v>
      </c>
      <c r="E3532" s="243">
        <v>6.52E13</v>
      </c>
      <c r="F3532" s="245"/>
      <c r="G3532" s="235" t="s">
        <v>26510</v>
      </c>
      <c r="H3532" s="235" t="s">
        <v>26511</v>
      </c>
      <c r="I3532" s="235" t="s">
        <v>26511</v>
      </c>
      <c r="J3532" s="235" t="s">
        <v>26512</v>
      </c>
      <c r="K3532" s="235" t="s">
        <v>26513</v>
      </c>
      <c r="N3532" s="235" t="s">
        <v>53</v>
      </c>
      <c r="O3532" s="235" t="s">
        <v>512</v>
      </c>
      <c r="P3532" s="238">
        <v>1.0</v>
      </c>
      <c r="Q3532" s="235" t="s">
        <v>627</v>
      </c>
      <c r="R3532" s="238">
        <v>233.33</v>
      </c>
      <c r="S3532" s="238">
        <v>11.67</v>
      </c>
      <c r="T3532" s="238">
        <v>0.0</v>
      </c>
      <c r="U3532" s="238">
        <v>0.0</v>
      </c>
      <c r="V3532" s="238">
        <v>0.0</v>
      </c>
      <c r="W3532" s="238">
        <v>0.0</v>
      </c>
      <c r="X3532" s="235" t="s">
        <v>628</v>
      </c>
      <c r="Z3532" s="245"/>
      <c r="AA3532" s="245"/>
      <c r="AB3532" s="245"/>
      <c r="AC3532" s="235" t="s">
        <v>687</v>
      </c>
      <c r="AD3532" s="235" t="s">
        <v>666</v>
      </c>
      <c r="AE3532" s="238">
        <v>600001.0</v>
      </c>
      <c r="AF3532" s="235" t="s">
        <v>631</v>
      </c>
      <c r="AG3532" s="245"/>
      <c r="AH3532" s="245"/>
      <c r="AI3532" s="245"/>
      <c r="AJ3532" s="245"/>
      <c r="AK3532" s="245"/>
      <c r="AL3532" s="245"/>
      <c r="AM3532" s="245"/>
      <c r="AN3532" s="245"/>
      <c r="AO3532" s="238">
        <v>0.0</v>
      </c>
      <c r="AP3532" s="238">
        <v>0.0</v>
      </c>
      <c r="AQ3532" s="235" t="s">
        <v>632</v>
      </c>
      <c r="AR3532" s="243">
        <v>1.68E11</v>
      </c>
      <c r="AS3532" s="235" t="s">
        <v>25098</v>
      </c>
      <c r="AT3532" s="235" t="s">
        <v>9</v>
      </c>
      <c r="AU3532" s="235" t="s">
        <v>634</v>
      </c>
      <c r="AV3532" s="246" t="s">
        <v>635</v>
      </c>
      <c r="AW3532" s="227"/>
      <c r="AX3532" s="227"/>
      <c r="AY3532" s="227"/>
      <c r="AZ3532" s="227"/>
      <c r="BA3532" s="227"/>
      <c r="BB3532" s="227"/>
      <c r="BC3532" s="227"/>
      <c r="BD3532" s="227"/>
      <c r="BE3532" s="227"/>
      <c r="BF3532" s="227"/>
    </row>
    <row r="3533">
      <c r="A3533" s="235" t="s">
        <v>26514</v>
      </c>
      <c r="C3533" s="235" t="s">
        <v>26515</v>
      </c>
      <c r="D3533" s="235" t="s">
        <v>26516</v>
      </c>
      <c r="E3533" s="243">
        <v>6.52E13</v>
      </c>
      <c r="F3533" s="245"/>
      <c r="G3533" s="235" t="s">
        <v>26517</v>
      </c>
      <c r="H3533" s="235" t="s">
        <v>26518</v>
      </c>
      <c r="I3533" s="235" t="s">
        <v>26519</v>
      </c>
      <c r="J3533" s="235" t="s">
        <v>26520</v>
      </c>
      <c r="K3533" s="235" t="s">
        <v>26521</v>
      </c>
      <c r="N3533" s="235" t="s">
        <v>127</v>
      </c>
      <c r="O3533" s="235" t="s">
        <v>794</v>
      </c>
      <c r="P3533" s="238">
        <v>1.0</v>
      </c>
      <c r="Q3533" s="235" t="s">
        <v>627</v>
      </c>
      <c r="R3533" s="238">
        <v>236.2</v>
      </c>
      <c r="S3533" s="238">
        <v>11.8</v>
      </c>
      <c r="T3533" s="238">
        <v>0.0</v>
      </c>
      <c r="U3533" s="238">
        <v>0.0</v>
      </c>
      <c r="V3533" s="238">
        <v>0.0</v>
      </c>
      <c r="W3533" s="238">
        <v>0.0</v>
      </c>
      <c r="X3533" s="235" t="s">
        <v>628</v>
      </c>
      <c r="Z3533" s="245"/>
      <c r="AA3533" s="245"/>
      <c r="AB3533" s="245"/>
      <c r="AC3533" s="235" t="s">
        <v>6555</v>
      </c>
      <c r="AD3533" s="235" t="s">
        <v>679</v>
      </c>
      <c r="AE3533" s="238">
        <v>575005.0</v>
      </c>
      <c r="AF3533" s="235" t="s">
        <v>631</v>
      </c>
      <c r="AG3533" s="245"/>
      <c r="AH3533" s="245"/>
      <c r="AI3533" s="245"/>
      <c r="AJ3533" s="245"/>
      <c r="AK3533" s="245"/>
      <c r="AL3533" s="245"/>
      <c r="AM3533" s="245"/>
      <c r="AN3533" s="245"/>
      <c r="AO3533" s="238">
        <v>0.0</v>
      </c>
      <c r="AP3533" s="238">
        <v>0.0</v>
      </c>
      <c r="AQ3533" s="235" t="s">
        <v>632</v>
      </c>
      <c r="AR3533" s="243">
        <v>3.71E11</v>
      </c>
      <c r="AS3533" s="235" t="s">
        <v>25098</v>
      </c>
      <c r="AT3533" s="235" t="s">
        <v>9</v>
      </c>
      <c r="AU3533" s="235" t="s">
        <v>634</v>
      </c>
      <c r="AV3533" s="246" t="s">
        <v>635</v>
      </c>
      <c r="AW3533" s="227"/>
      <c r="AX3533" s="227"/>
      <c r="AY3533" s="227"/>
      <c r="AZ3533" s="227"/>
      <c r="BA3533" s="227"/>
      <c r="BB3533" s="227"/>
      <c r="BC3533" s="227"/>
      <c r="BD3533" s="227"/>
      <c r="BE3533" s="227"/>
      <c r="BF3533" s="227"/>
    </row>
    <row r="3534">
      <c r="A3534" s="235" t="s">
        <v>26522</v>
      </c>
      <c r="C3534" s="235" t="s">
        <v>26523</v>
      </c>
      <c r="D3534" s="235" t="s">
        <v>26524</v>
      </c>
      <c r="E3534" s="243">
        <v>6.52E13</v>
      </c>
      <c r="F3534" s="245"/>
      <c r="G3534" s="235" t="s">
        <v>26525</v>
      </c>
      <c r="H3534" s="235" t="s">
        <v>26526</v>
      </c>
      <c r="I3534" s="235" t="s">
        <v>26526</v>
      </c>
      <c r="J3534" s="235" t="s">
        <v>26527</v>
      </c>
      <c r="K3534" s="235" t="s">
        <v>26528</v>
      </c>
      <c r="N3534" s="235" t="s">
        <v>138</v>
      </c>
      <c r="O3534" s="235" t="s">
        <v>675</v>
      </c>
      <c r="P3534" s="238">
        <v>1.0</v>
      </c>
      <c r="Q3534" s="235" t="s">
        <v>627</v>
      </c>
      <c r="R3534" s="238">
        <v>246.67</v>
      </c>
      <c r="S3534" s="238">
        <v>12.08</v>
      </c>
      <c r="T3534" s="238">
        <v>0.0</v>
      </c>
      <c r="U3534" s="238">
        <v>0.0</v>
      </c>
      <c r="V3534" s="238">
        <v>0.0</v>
      </c>
      <c r="W3534" s="238">
        <v>0.0</v>
      </c>
      <c r="X3534" s="235" t="s">
        <v>628</v>
      </c>
      <c r="Z3534" s="245"/>
      <c r="AA3534" s="245"/>
      <c r="AB3534" s="245"/>
      <c r="AC3534" s="235" t="s">
        <v>1531</v>
      </c>
      <c r="AD3534" s="235" t="s">
        <v>1151</v>
      </c>
      <c r="AE3534" s="238">
        <v>700061.0</v>
      </c>
      <c r="AF3534" s="235" t="s">
        <v>631</v>
      </c>
      <c r="AG3534" s="245"/>
      <c r="AH3534" s="245"/>
      <c r="AI3534" s="245"/>
      <c r="AJ3534" s="245"/>
      <c r="AK3534" s="245"/>
      <c r="AL3534" s="245"/>
      <c r="AM3534" s="245"/>
      <c r="AN3534" s="245"/>
      <c r="AO3534" s="238">
        <v>-4.93</v>
      </c>
      <c r="AP3534" s="238">
        <v>0.0</v>
      </c>
      <c r="AQ3534" s="235" t="s">
        <v>632</v>
      </c>
      <c r="AR3534" s="243">
        <v>2.02E11</v>
      </c>
      <c r="AS3534" s="235" t="s">
        <v>25098</v>
      </c>
      <c r="AT3534" s="235" t="s">
        <v>11</v>
      </c>
      <c r="AU3534" s="235" t="s">
        <v>634</v>
      </c>
      <c r="AV3534" s="246" t="s">
        <v>635</v>
      </c>
      <c r="AW3534" s="227"/>
      <c r="AX3534" s="227"/>
      <c r="AY3534" s="227"/>
      <c r="AZ3534" s="227"/>
      <c r="BA3534" s="227"/>
      <c r="BB3534" s="227"/>
      <c r="BC3534" s="227"/>
      <c r="BD3534" s="227"/>
      <c r="BE3534" s="227"/>
      <c r="BF3534" s="227"/>
    </row>
    <row r="3535">
      <c r="A3535" s="235" t="s">
        <v>26529</v>
      </c>
      <c r="C3535" s="235" t="s">
        <v>26530</v>
      </c>
      <c r="D3535" s="235" t="s">
        <v>26531</v>
      </c>
      <c r="E3535" s="243">
        <v>6.51E13</v>
      </c>
      <c r="F3535" s="245"/>
      <c r="G3535" s="235" t="s">
        <v>26532</v>
      </c>
      <c r="H3535" s="235" t="s">
        <v>26533</v>
      </c>
      <c r="I3535" s="235" t="s">
        <v>26533</v>
      </c>
      <c r="J3535" s="235" t="s">
        <v>26534</v>
      </c>
      <c r="K3535" s="235" t="s">
        <v>26535</v>
      </c>
      <c r="N3535" s="235" t="s">
        <v>55</v>
      </c>
      <c r="O3535" s="235" t="s">
        <v>244</v>
      </c>
      <c r="P3535" s="238">
        <v>1.0</v>
      </c>
      <c r="Q3535" s="235" t="s">
        <v>627</v>
      </c>
      <c r="R3535" s="238">
        <v>236.19</v>
      </c>
      <c r="S3535" s="238">
        <v>11.46</v>
      </c>
      <c r="T3535" s="238">
        <v>38.1</v>
      </c>
      <c r="U3535" s="238">
        <v>1.9</v>
      </c>
      <c r="V3535" s="238">
        <v>0.0</v>
      </c>
      <c r="W3535" s="238">
        <v>0.0</v>
      </c>
      <c r="X3535" s="235" t="s">
        <v>628</v>
      </c>
      <c r="Z3535" s="245"/>
      <c r="AA3535" s="245"/>
      <c r="AB3535" s="245"/>
      <c r="AC3535" s="235" t="s">
        <v>3351</v>
      </c>
      <c r="AD3535" s="235" t="s">
        <v>1499</v>
      </c>
      <c r="AE3535" s="238">
        <v>462001.0</v>
      </c>
      <c r="AF3535" s="235" t="s">
        <v>631</v>
      </c>
      <c r="AG3535" s="245"/>
      <c r="AH3535" s="245"/>
      <c r="AI3535" s="245"/>
      <c r="AJ3535" s="245"/>
      <c r="AK3535" s="245"/>
      <c r="AL3535" s="245"/>
      <c r="AM3535" s="245"/>
      <c r="AN3535" s="245"/>
      <c r="AO3535" s="238">
        <v>-7.09</v>
      </c>
      <c r="AP3535" s="238">
        <v>-38.1</v>
      </c>
      <c r="AQ3535" s="235" t="s">
        <v>632</v>
      </c>
      <c r="AR3535" s="243">
        <v>3.71E11</v>
      </c>
      <c r="AS3535" s="235" t="s">
        <v>19388</v>
      </c>
      <c r="AT3535" s="235" t="s">
        <v>11</v>
      </c>
      <c r="AU3535" s="235" t="s">
        <v>634</v>
      </c>
      <c r="AV3535" s="246" t="s">
        <v>635</v>
      </c>
      <c r="AW3535" s="227"/>
      <c r="AX3535" s="227"/>
      <c r="AY3535" s="227"/>
      <c r="AZ3535" s="227"/>
      <c r="BA3535" s="227"/>
      <c r="BB3535" s="227"/>
      <c r="BC3535" s="227"/>
      <c r="BD3535" s="227"/>
      <c r="BE3535" s="227"/>
      <c r="BF3535" s="227"/>
    </row>
    <row r="3536">
      <c r="A3536" s="235" t="s">
        <v>26529</v>
      </c>
      <c r="C3536" s="235" t="s">
        <v>26530</v>
      </c>
      <c r="D3536" s="235" t="s">
        <v>26536</v>
      </c>
      <c r="E3536" s="243">
        <v>6.51E13</v>
      </c>
      <c r="F3536" s="245"/>
      <c r="G3536" s="235" t="s">
        <v>26532</v>
      </c>
      <c r="H3536" s="235" t="s">
        <v>26533</v>
      </c>
      <c r="I3536" s="235" t="s">
        <v>26533</v>
      </c>
      <c r="J3536" s="235" t="s">
        <v>26534</v>
      </c>
      <c r="K3536" s="235" t="s">
        <v>26535</v>
      </c>
      <c r="N3536" s="235" t="s">
        <v>54</v>
      </c>
      <c r="O3536" s="235" t="s">
        <v>294</v>
      </c>
      <c r="P3536" s="238">
        <v>1.0</v>
      </c>
      <c r="Q3536" s="235" t="s">
        <v>627</v>
      </c>
      <c r="R3536" s="238">
        <v>246.67</v>
      </c>
      <c r="S3536" s="238">
        <v>11.96</v>
      </c>
      <c r="T3536" s="238">
        <v>38.1</v>
      </c>
      <c r="U3536" s="238">
        <v>1.9</v>
      </c>
      <c r="V3536" s="238">
        <v>0.0</v>
      </c>
      <c r="W3536" s="238">
        <v>0.0</v>
      </c>
      <c r="X3536" s="235" t="s">
        <v>628</v>
      </c>
      <c r="Z3536" s="245"/>
      <c r="AA3536" s="245"/>
      <c r="AB3536" s="245"/>
      <c r="AC3536" s="235" t="s">
        <v>3351</v>
      </c>
      <c r="AD3536" s="235" t="s">
        <v>1499</v>
      </c>
      <c r="AE3536" s="238">
        <v>462001.0</v>
      </c>
      <c r="AF3536" s="235" t="s">
        <v>631</v>
      </c>
      <c r="AG3536" s="245"/>
      <c r="AH3536" s="245"/>
      <c r="AI3536" s="245"/>
      <c r="AJ3536" s="245"/>
      <c r="AK3536" s="245"/>
      <c r="AL3536" s="245"/>
      <c r="AM3536" s="245"/>
      <c r="AN3536" s="245"/>
      <c r="AO3536" s="238">
        <v>-7.4</v>
      </c>
      <c r="AP3536" s="238">
        <v>-38.1</v>
      </c>
      <c r="AQ3536" s="235" t="s">
        <v>632</v>
      </c>
      <c r="AR3536" s="243">
        <v>3.71E11</v>
      </c>
      <c r="AS3536" s="235" t="s">
        <v>19388</v>
      </c>
      <c r="AT3536" s="235" t="s">
        <v>11</v>
      </c>
      <c r="AU3536" s="235" t="s">
        <v>634</v>
      </c>
      <c r="AV3536" s="246" t="s">
        <v>635</v>
      </c>
      <c r="AW3536" s="227"/>
      <c r="AX3536" s="227"/>
      <c r="AY3536" s="227"/>
      <c r="AZ3536" s="227"/>
      <c r="BA3536" s="227"/>
      <c r="BB3536" s="227"/>
      <c r="BC3536" s="227"/>
      <c r="BD3536" s="227"/>
      <c r="BE3536" s="227"/>
      <c r="BF3536" s="227"/>
    </row>
    <row r="3537">
      <c r="A3537" s="235" t="s">
        <v>26537</v>
      </c>
      <c r="C3537" s="235" t="s">
        <v>26538</v>
      </c>
      <c r="D3537" s="235" t="s">
        <v>26539</v>
      </c>
      <c r="E3537" s="243">
        <v>6.51E13</v>
      </c>
      <c r="F3537" s="245"/>
      <c r="G3537" s="235" t="s">
        <v>26540</v>
      </c>
      <c r="H3537" s="235" t="s">
        <v>26541</v>
      </c>
      <c r="I3537" s="235" t="s">
        <v>26541</v>
      </c>
      <c r="J3537" s="235" t="s">
        <v>26542</v>
      </c>
      <c r="K3537" s="235" t="s">
        <v>26543</v>
      </c>
      <c r="N3537" s="235" t="s">
        <v>68</v>
      </c>
      <c r="O3537" s="235" t="s">
        <v>208</v>
      </c>
      <c r="P3537" s="238">
        <v>1.0</v>
      </c>
      <c r="Q3537" s="235" t="s">
        <v>627</v>
      </c>
      <c r="R3537" s="238">
        <v>246.66</v>
      </c>
      <c r="S3537" s="238">
        <v>12.34</v>
      </c>
      <c r="T3537" s="238">
        <v>0.0</v>
      </c>
      <c r="U3537" s="238">
        <v>0.0</v>
      </c>
      <c r="V3537" s="238">
        <v>0.0</v>
      </c>
      <c r="W3537" s="238">
        <v>0.0</v>
      </c>
      <c r="X3537" s="235" t="s">
        <v>628</v>
      </c>
      <c r="Z3537" s="245"/>
      <c r="AA3537" s="245"/>
      <c r="AB3537" s="245"/>
      <c r="AC3537" s="235" t="s">
        <v>1604</v>
      </c>
      <c r="AD3537" s="235" t="s">
        <v>845</v>
      </c>
      <c r="AE3537" s="238">
        <v>400061.0</v>
      </c>
      <c r="AF3537" s="235" t="s">
        <v>631</v>
      </c>
      <c r="AG3537" s="245"/>
      <c r="AH3537" s="245"/>
      <c r="AI3537" s="245"/>
      <c r="AJ3537" s="245"/>
      <c r="AK3537" s="245"/>
      <c r="AL3537" s="245"/>
      <c r="AM3537" s="245"/>
      <c r="AN3537" s="245"/>
      <c r="AO3537" s="238">
        <v>0.0</v>
      </c>
      <c r="AP3537" s="238">
        <v>0.0</v>
      </c>
      <c r="AQ3537" s="235" t="s">
        <v>632</v>
      </c>
      <c r="AR3537" s="243">
        <v>3.71E11</v>
      </c>
      <c r="AS3537" s="235" t="s">
        <v>25098</v>
      </c>
      <c r="AT3537" s="235" t="s">
        <v>17</v>
      </c>
      <c r="AU3537" s="235" t="s">
        <v>634</v>
      </c>
      <c r="AV3537" s="246" t="s">
        <v>635</v>
      </c>
      <c r="AW3537" s="227"/>
      <c r="AX3537" s="227"/>
      <c r="AY3537" s="227"/>
      <c r="AZ3537" s="227"/>
      <c r="BA3537" s="227"/>
      <c r="BB3537" s="227"/>
      <c r="BC3537" s="227"/>
      <c r="BD3537" s="227"/>
      <c r="BE3537" s="227"/>
      <c r="BF3537" s="227"/>
    </row>
    <row r="3538">
      <c r="A3538" s="235" t="s">
        <v>26544</v>
      </c>
      <c r="C3538" s="235" t="s">
        <v>26545</v>
      </c>
      <c r="D3538" s="235" t="s">
        <v>26546</v>
      </c>
      <c r="E3538" s="243">
        <v>6.52E13</v>
      </c>
      <c r="F3538" s="245"/>
      <c r="G3538" s="235" t="s">
        <v>26547</v>
      </c>
      <c r="H3538" s="235" t="s">
        <v>26548</v>
      </c>
      <c r="I3538" s="235" t="s">
        <v>26549</v>
      </c>
      <c r="J3538" s="235" t="s">
        <v>26550</v>
      </c>
      <c r="K3538" s="235" t="s">
        <v>26551</v>
      </c>
      <c r="N3538" s="235" t="s">
        <v>962</v>
      </c>
      <c r="O3538" s="235" t="s">
        <v>963</v>
      </c>
      <c r="P3538" s="238">
        <v>1.0</v>
      </c>
      <c r="Q3538" s="235" t="s">
        <v>627</v>
      </c>
      <c r="R3538" s="238">
        <v>246.67</v>
      </c>
      <c r="S3538" s="238">
        <v>12.08</v>
      </c>
      <c r="T3538" s="238">
        <v>0.0</v>
      </c>
      <c r="U3538" s="238">
        <v>0.0</v>
      </c>
      <c r="V3538" s="238">
        <v>0.0</v>
      </c>
      <c r="W3538" s="238">
        <v>0.0</v>
      </c>
      <c r="X3538" s="235" t="s">
        <v>628</v>
      </c>
      <c r="Z3538" s="245"/>
      <c r="AA3538" s="245"/>
      <c r="AB3538" s="245"/>
      <c r="AC3538" s="235" t="s">
        <v>814</v>
      </c>
      <c r="AD3538" s="235" t="s">
        <v>698</v>
      </c>
      <c r="AE3538" s="238">
        <v>500037.0</v>
      </c>
      <c r="AF3538" s="235" t="s">
        <v>631</v>
      </c>
      <c r="AG3538" s="245"/>
      <c r="AH3538" s="245"/>
      <c r="AI3538" s="245"/>
      <c r="AJ3538" s="245"/>
      <c r="AK3538" s="245"/>
      <c r="AL3538" s="245"/>
      <c r="AM3538" s="245"/>
      <c r="AN3538" s="245"/>
      <c r="AO3538" s="238">
        <v>-4.93</v>
      </c>
      <c r="AP3538" s="238">
        <v>0.0</v>
      </c>
      <c r="AQ3538" s="235" t="s">
        <v>632</v>
      </c>
      <c r="AR3538" s="243">
        <v>2.02E11</v>
      </c>
      <c r="AS3538" s="235" t="s">
        <v>25098</v>
      </c>
      <c r="AT3538" s="235" t="s">
        <v>9</v>
      </c>
      <c r="AU3538" s="235" t="s">
        <v>634</v>
      </c>
      <c r="AV3538" s="246" t="s">
        <v>635</v>
      </c>
      <c r="AW3538" s="227"/>
      <c r="AX3538" s="227"/>
      <c r="AY3538" s="227"/>
      <c r="AZ3538" s="227"/>
      <c r="BA3538" s="227"/>
      <c r="BB3538" s="227"/>
      <c r="BC3538" s="227"/>
      <c r="BD3538" s="227"/>
      <c r="BE3538" s="227"/>
      <c r="BF3538" s="227"/>
    </row>
    <row r="3539">
      <c r="A3539" s="235" t="s">
        <v>26552</v>
      </c>
      <c r="C3539" s="235" t="s">
        <v>26553</v>
      </c>
      <c r="D3539" s="235" t="s">
        <v>26554</v>
      </c>
      <c r="E3539" s="243">
        <v>6.52E13</v>
      </c>
      <c r="F3539" s="245"/>
      <c r="G3539" s="235" t="s">
        <v>26555</v>
      </c>
      <c r="H3539" s="235" t="s">
        <v>26556</v>
      </c>
      <c r="I3539" s="235" t="s">
        <v>26557</v>
      </c>
      <c r="J3539" s="235" t="s">
        <v>26558</v>
      </c>
      <c r="K3539" s="235" t="s">
        <v>26559</v>
      </c>
      <c r="N3539" s="235" t="s">
        <v>90</v>
      </c>
      <c r="O3539" s="235" t="s">
        <v>279</v>
      </c>
      <c r="P3539" s="238">
        <v>1.0</v>
      </c>
      <c r="Q3539" s="235" t="s">
        <v>627</v>
      </c>
      <c r="R3539" s="238">
        <v>246.66</v>
      </c>
      <c r="S3539" s="238">
        <v>12.34</v>
      </c>
      <c r="T3539" s="238">
        <v>0.0</v>
      </c>
      <c r="U3539" s="238">
        <v>0.0</v>
      </c>
      <c r="V3539" s="238">
        <v>0.0</v>
      </c>
      <c r="W3539" s="238">
        <v>0.0</v>
      </c>
      <c r="X3539" s="235" t="s">
        <v>628</v>
      </c>
      <c r="Z3539" s="245"/>
      <c r="AA3539" s="245"/>
      <c r="AB3539" s="245"/>
      <c r="AC3539" s="235" t="s">
        <v>5923</v>
      </c>
      <c r="AD3539" s="235" t="s">
        <v>666</v>
      </c>
      <c r="AE3539" s="238">
        <v>620008.0</v>
      </c>
      <c r="AF3539" s="235" t="s">
        <v>631</v>
      </c>
      <c r="AG3539" s="245"/>
      <c r="AH3539" s="245"/>
      <c r="AI3539" s="245"/>
      <c r="AJ3539" s="245"/>
      <c r="AK3539" s="245"/>
      <c r="AL3539" s="245"/>
      <c r="AM3539" s="245"/>
      <c r="AN3539" s="245"/>
      <c r="AO3539" s="238">
        <v>0.0</v>
      </c>
      <c r="AP3539" s="238">
        <v>0.0</v>
      </c>
      <c r="AQ3539" s="235" t="s">
        <v>632</v>
      </c>
      <c r="AR3539" s="243">
        <v>3.71E11</v>
      </c>
      <c r="AS3539" s="235" t="s">
        <v>25098</v>
      </c>
      <c r="AT3539" s="235" t="s">
        <v>155</v>
      </c>
      <c r="AU3539" s="235" t="s">
        <v>634</v>
      </c>
      <c r="AV3539" s="246" t="s">
        <v>635</v>
      </c>
      <c r="AW3539" s="227"/>
      <c r="AX3539" s="227"/>
      <c r="AY3539" s="227"/>
      <c r="AZ3539" s="227"/>
      <c r="BA3539" s="227"/>
      <c r="BB3539" s="227"/>
      <c r="BC3539" s="227"/>
      <c r="BD3539" s="227"/>
      <c r="BE3539" s="227"/>
      <c r="BF3539" s="227"/>
    </row>
    <row r="3540">
      <c r="A3540" s="235" t="s">
        <v>26560</v>
      </c>
      <c r="C3540" s="235" t="s">
        <v>26561</v>
      </c>
      <c r="D3540" s="235" t="s">
        <v>26562</v>
      </c>
      <c r="E3540" s="243">
        <v>6.52E13</v>
      </c>
      <c r="F3540" s="245"/>
      <c r="G3540" s="235" t="s">
        <v>26563</v>
      </c>
      <c r="H3540" s="235" t="s">
        <v>26564</v>
      </c>
      <c r="I3540" s="235" t="s">
        <v>26565</v>
      </c>
      <c r="J3540" s="235" t="s">
        <v>26566</v>
      </c>
      <c r="K3540" s="235" t="s">
        <v>26567</v>
      </c>
      <c r="N3540" s="235" t="s">
        <v>962</v>
      </c>
      <c r="O3540" s="235" t="s">
        <v>963</v>
      </c>
      <c r="P3540" s="238">
        <v>1.0</v>
      </c>
      <c r="Q3540" s="235" t="s">
        <v>627</v>
      </c>
      <c r="R3540" s="238">
        <v>246.67</v>
      </c>
      <c r="S3540" s="238">
        <v>12.08</v>
      </c>
      <c r="T3540" s="238">
        <v>0.0</v>
      </c>
      <c r="U3540" s="238">
        <v>0.0</v>
      </c>
      <c r="V3540" s="238">
        <v>0.0</v>
      </c>
      <c r="W3540" s="238">
        <v>0.0</v>
      </c>
      <c r="X3540" s="235" t="s">
        <v>628</v>
      </c>
      <c r="Z3540" s="245"/>
      <c r="AA3540" s="245"/>
      <c r="AB3540" s="245"/>
      <c r="AC3540" s="235" t="s">
        <v>26568</v>
      </c>
      <c r="AD3540" s="235" t="s">
        <v>666</v>
      </c>
      <c r="AE3540" s="238">
        <v>603103.0</v>
      </c>
      <c r="AF3540" s="235" t="s">
        <v>631</v>
      </c>
      <c r="AG3540" s="245"/>
      <c r="AH3540" s="245"/>
      <c r="AI3540" s="245"/>
      <c r="AJ3540" s="245"/>
      <c r="AK3540" s="245"/>
      <c r="AL3540" s="245"/>
      <c r="AM3540" s="245"/>
      <c r="AN3540" s="245"/>
      <c r="AO3540" s="238">
        <v>-4.93</v>
      </c>
      <c r="AP3540" s="238">
        <v>0.0</v>
      </c>
      <c r="AQ3540" s="235" t="s">
        <v>632</v>
      </c>
      <c r="AR3540" s="243">
        <v>1.68E11</v>
      </c>
      <c r="AS3540" s="235" t="s">
        <v>25098</v>
      </c>
      <c r="AT3540" s="235" t="s">
        <v>11</v>
      </c>
      <c r="AU3540" s="235" t="s">
        <v>634</v>
      </c>
      <c r="AV3540" s="246" t="s">
        <v>635</v>
      </c>
      <c r="AW3540" s="227"/>
      <c r="AX3540" s="227"/>
      <c r="AY3540" s="227"/>
      <c r="AZ3540" s="227"/>
      <c r="BA3540" s="227"/>
      <c r="BB3540" s="227"/>
      <c r="BC3540" s="227"/>
      <c r="BD3540" s="227"/>
      <c r="BE3540" s="227"/>
      <c r="BF3540" s="227"/>
    </row>
    <row r="3541">
      <c r="A3541" s="235" t="s">
        <v>26569</v>
      </c>
      <c r="C3541" s="235" t="s">
        <v>26570</v>
      </c>
      <c r="D3541" s="235" t="s">
        <v>26571</v>
      </c>
      <c r="E3541" s="243">
        <v>6.52E13</v>
      </c>
      <c r="F3541" s="245"/>
      <c r="G3541" s="235" t="s">
        <v>26572</v>
      </c>
      <c r="H3541" s="235" t="s">
        <v>26573</v>
      </c>
      <c r="I3541" s="235" t="s">
        <v>26573</v>
      </c>
      <c r="J3541" s="235" t="s">
        <v>26574</v>
      </c>
      <c r="K3541" s="235" t="s">
        <v>26575</v>
      </c>
      <c r="N3541" s="235" t="s">
        <v>34</v>
      </c>
      <c r="O3541" s="235" t="s">
        <v>1050</v>
      </c>
      <c r="P3541" s="238">
        <v>1.0</v>
      </c>
      <c r="Q3541" s="235" t="s">
        <v>627</v>
      </c>
      <c r="R3541" s="238">
        <v>446.67</v>
      </c>
      <c r="S3541" s="238">
        <v>21.88</v>
      </c>
      <c r="T3541" s="238">
        <v>0.0</v>
      </c>
      <c r="U3541" s="238">
        <v>0.0</v>
      </c>
      <c r="V3541" s="238">
        <v>0.0</v>
      </c>
      <c r="W3541" s="238">
        <v>0.0</v>
      </c>
      <c r="X3541" s="235" t="s">
        <v>628</v>
      </c>
      <c r="Z3541" s="245"/>
      <c r="AA3541" s="245"/>
      <c r="AB3541" s="245"/>
      <c r="AC3541" s="235" t="s">
        <v>1531</v>
      </c>
      <c r="AD3541" s="235" t="s">
        <v>1151</v>
      </c>
      <c r="AE3541" s="238">
        <v>700034.0</v>
      </c>
      <c r="AF3541" s="235" t="s">
        <v>631</v>
      </c>
      <c r="AG3541" s="245"/>
      <c r="AH3541" s="245"/>
      <c r="AI3541" s="245"/>
      <c r="AJ3541" s="245"/>
      <c r="AK3541" s="245"/>
      <c r="AL3541" s="245"/>
      <c r="AM3541" s="245"/>
      <c r="AN3541" s="245"/>
      <c r="AO3541" s="238">
        <v>-8.93</v>
      </c>
      <c r="AP3541" s="238">
        <v>0.0</v>
      </c>
      <c r="AQ3541" s="235" t="s">
        <v>632</v>
      </c>
      <c r="AR3541" s="243">
        <v>2.02E11</v>
      </c>
      <c r="AS3541" s="235" t="s">
        <v>25098</v>
      </c>
      <c r="AT3541" s="235" t="s">
        <v>14</v>
      </c>
      <c r="AU3541" s="235" t="s">
        <v>634</v>
      </c>
      <c r="AV3541" s="246" t="s">
        <v>635</v>
      </c>
      <c r="AW3541" s="227"/>
      <c r="AX3541" s="227"/>
      <c r="AY3541" s="227"/>
      <c r="AZ3541" s="227"/>
      <c r="BA3541" s="227"/>
      <c r="BB3541" s="227"/>
      <c r="BC3541" s="227"/>
      <c r="BD3541" s="227"/>
      <c r="BE3541" s="227"/>
      <c r="BF3541" s="227"/>
    </row>
    <row r="3542">
      <c r="A3542" s="235" t="s">
        <v>26576</v>
      </c>
      <c r="C3542" s="235" t="s">
        <v>26577</v>
      </c>
      <c r="D3542" s="235" t="s">
        <v>26578</v>
      </c>
      <c r="E3542" s="243">
        <v>6.52E13</v>
      </c>
      <c r="F3542" s="245"/>
      <c r="G3542" s="235" t="s">
        <v>26579</v>
      </c>
      <c r="H3542" s="235" t="s">
        <v>26580</v>
      </c>
      <c r="I3542" s="235" t="s">
        <v>26580</v>
      </c>
      <c r="J3542" s="235" t="s">
        <v>26581</v>
      </c>
      <c r="K3542" s="235" t="s">
        <v>26582</v>
      </c>
      <c r="N3542" s="235" t="s">
        <v>154</v>
      </c>
      <c r="O3542" s="235" t="s">
        <v>766</v>
      </c>
      <c r="P3542" s="238">
        <v>1.0</v>
      </c>
      <c r="Q3542" s="235" t="s">
        <v>627</v>
      </c>
      <c r="R3542" s="238">
        <v>423.81</v>
      </c>
      <c r="S3542" s="238">
        <v>21.19</v>
      </c>
      <c r="T3542" s="238">
        <v>0.0</v>
      </c>
      <c r="U3542" s="238">
        <v>0.0</v>
      </c>
      <c r="V3542" s="238">
        <v>0.0</v>
      </c>
      <c r="W3542" s="238">
        <v>0.0</v>
      </c>
      <c r="X3542" s="235" t="s">
        <v>628</v>
      </c>
      <c r="Z3542" s="245"/>
      <c r="AA3542" s="245"/>
      <c r="AB3542" s="245"/>
      <c r="AC3542" s="235" t="s">
        <v>26583</v>
      </c>
      <c r="AD3542" s="235" t="s">
        <v>833</v>
      </c>
      <c r="AE3542" s="238">
        <v>517408.0</v>
      </c>
      <c r="AF3542" s="235" t="s">
        <v>631</v>
      </c>
      <c r="AG3542" s="245"/>
      <c r="AH3542" s="245"/>
      <c r="AI3542" s="245"/>
      <c r="AJ3542" s="245"/>
      <c r="AK3542" s="245"/>
      <c r="AL3542" s="245"/>
      <c r="AM3542" s="245"/>
      <c r="AN3542" s="245"/>
      <c r="AO3542" s="238">
        <v>0.0</v>
      </c>
      <c r="AP3542" s="238">
        <v>0.0</v>
      </c>
      <c r="AQ3542" s="235" t="s">
        <v>632</v>
      </c>
      <c r="AR3542" s="243">
        <v>3.71E11</v>
      </c>
      <c r="AS3542" s="235" t="s">
        <v>25098</v>
      </c>
      <c r="AT3542" s="235" t="s">
        <v>156</v>
      </c>
      <c r="AU3542" s="235" t="s">
        <v>634</v>
      </c>
      <c r="AV3542" s="246" t="s">
        <v>635</v>
      </c>
      <c r="AW3542" s="227"/>
      <c r="AX3542" s="227"/>
      <c r="AY3542" s="227"/>
      <c r="AZ3542" s="227"/>
      <c r="BA3542" s="227"/>
      <c r="BB3542" s="227"/>
      <c r="BC3542" s="227"/>
      <c r="BD3542" s="227"/>
      <c r="BE3542" s="227"/>
      <c r="BF3542" s="227"/>
    </row>
    <row r="3543">
      <c r="A3543" s="235" t="s">
        <v>26584</v>
      </c>
      <c r="C3543" s="235" t="s">
        <v>26585</v>
      </c>
      <c r="D3543" s="235" t="s">
        <v>26586</v>
      </c>
      <c r="E3543" s="243">
        <v>6.52E13</v>
      </c>
      <c r="F3543" s="245"/>
      <c r="G3543" s="235" t="s">
        <v>26587</v>
      </c>
      <c r="H3543" s="235" t="s">
        <v>26588</v>
      </c>
      <c r="I3543" s="235" t="s">
        <v>26589</v>
      </c>
      <c r="J3543" s="235" t="s">
        <v>26590</v>
      </c>
      <c r="K3543" s="235" t="s">
        <v>26591</v>
      </c>
      <c r="N3543" s="235" t="s">
        <v>141</v>
      </c>
      <c r="O3543" s="235" t="s">
        <v>342</v>
      </c>
      <c r="P3543" s="238">
        <v>1.0</v>
      </c>
      <c r="Q3543" s="235" t="s">
        <v>627</v>
      </c>
      <c r="R3543" s="238">
        <v>233.34</v>
      </c>
      <c r="S3543" s="238">
        <v>11.32</v>
      </c>
      <c r="T3543" s="238">
        <v>0.0</v>
      </c>
      <c r="U3543" s="238">
        <v>0.0</v>
      </c>
      <c r="V3543" s="238">
        <v>0.0</v>
      </c>
      <c r="W3543" s="238">
        <v>0.0</v>
      </c>
      <c r="X3543" s="235" t="s">
        <v>628</v>
      </c>
      <c r="Z3543" s="245"/>
      <c r="AA3543" s="245"/>
      <c r="AB3543" s="245"/>
      <c r="AC3543" s="235" t="s">
        <v>1095</v>
      </c>
      <c r="AD3543" s="235" t="s">
        <v>845</v>
      </c>
      <c r="AE3543" s="238">
        <v>410210.0</v>
      </c>
      <c r="AF3543" s="235" t="s">
        <v>631</v>
      </c>
      <c r="AG3543" s="245"/>
      <c r="AH3543" s="245"/>
      <c r="AI3543" s="245"/>
      <c r="AJ3543" s="245"/>
      <c r="AK3543" s="245"/>
      <c r="AL3543" s="245"/>
      <c r="AM3543" s="245"/>
      <c r="AN3543" s="245"/>
      <c r="AO3543" s="238">
        <v>-7.01</v>
      </c>
      <c r="AP3543" s="238">
        <v>0.0</v>
      </c>
      <c r="AQ3543" s="235" t="s">
        <v>632</v>
      </c>
      <c r="AR3543" s="243">
        <v>3.71E11</v>
      </c>
      <c r="AS3543" s="235" t="s">
        <v>25098</v>
      </c>
      <c r="AT3543" s="235" t="s">
        <v>17</v>
      </c>
      <c r="AU3543" s="235" t="s">
        <v>634</v>
      </c>
      <c r="AV3543" s="246" t="s">
        <v>635</v>
      </c>
      <c r="AW3543" s="227"/>
      <c r="AX3543" s="227"/>
      <c r="AY3543" s="227"/>
      <c r="AZ3543" s="227"/>
      <c r="BA3543" s="227"/>
      <c r="BB3543" s="227"/>
      <c r="BC3543" s="227"/>
      <c r="BD3543" s="227"/>
      <c r="BE3543" s="227"/>
      <c r="BF3543" s="227"/>
    </row>
    <row r="3544">
      <c r="A3544" s="235" t="s">
        <v>26592</v>
      </c>
      <c r="C3544" s="235" t="s">
        <v>26593</v>
      </c>
      <c r="D3544" s="235" t="s">
        <v>26594</v>
      </c>
      <c r="E3544" s="243">
        <v>6.52E13</v>
      </c>
      <c r="F3544" s="245"/>
      <c r="G3544" s="235" t="s">
        <v>26595</v>
      </c>
      <c r="H3544" s="235" t="s">
        <v>26596</v>
      </c>
      <c r="I3544" s="235" t="s">
        <v>26596</v>
      </c>
      <c r="J3544" s="235" t="s">
        <v>26597</v>
      </c>
      <c r="K3544" s="235" t="s">
        <v>26598</v>
      </c>
      <c r="N3544" s="235" t="s">
        <v>92</v>
      </c>
      <c r="O3544" s="235" t="s">
        <v>248</v>
      </c>
      <c r="P3544" s="238">
        <v>1.0</v>
      </c>
      <c r="Q3544" s="235" t="s">
        <v>627</v>
      </c>
      <c r="R3544" s="238">
        <v>246.67</v>
      </c>
      <c r="S3544" s="238">
        <v>12.33</v>
      </c>
      <c r="T3544" s="238">
        <v>38.1</v>
      </c>
      <c r="U3544" s="238">
        <v>1.9</v>
      </c>
      <c r="V3544" s="238">
        <v>0.0</v>
      </c>
      <c r="W3544" s="238">
        <v>0.0</v>
      </c>
      <c r="X3544" s="235" t="s">
        <v>628</v>
      </c>
      <c r="Z3544" s="245"/>
      <c r="AA3544" s="245"/>
      <c r="AB3544" s="245"/>
      <c r="AC3544" s="235" t="s">
        <v>6276</v>
      </c>
      <c r="AD3544" s="235" t="s">
        <v>1086</v>
      </c>
      <c r="AE3544" s="238">
        <v>140603.0</v>
      </c>
      <c r="AF3544" s="235" t="s">
        <v>631</v>
      </c>
      <c r="AG3544" s="245"/>
      <c r="AH3544" s="245"/>
      <c r="AI3544" s="245"/>
      <c r="AJ3544" s="245"/>
      <c r="AK3544" s="245"/>
      <c r="AL3544" s="245"/>
      <c r="AM3544" s="245"/>
      <c r="AN3544" s="245"/>
      <c r="AO3544" s="238">
        <v>0.0</v>
      </c>
      <c r="AP3544" s="238">
        <v>-38.1</v>
      </c>
      <c r="AQ3544" s="235" t="s">
        <v>632</v>
      </c>
      <c r="AR3544" s="243">
        <v>3.71E11</v>
      </c>
      <c r="AS3544" s="235" t="s">
        <v>20529</v>
      </c>
      <c r="AT3544" s="235" t="s">
        <v>17</v>
      </c>
      <c r="AU3544" s="235" t="s">
        <v>634</v>
      </c>
      <c r="AV3544" s="246" t="s">
        <v>635</v>
      </c>
      <c r="AW3544" s="227"/>
      <c r="AX3544" s="227"/>
      <c r="AY3544" s="227"/>
      <c r="AZ3544" s="227"/>
      <c r="BA3544" s="227"/>
      <c r="BB3544" s="227"/>
      <c r="BC3544" s="227"/>
      <c r="BD3544" s="227"/>
      <c r="BE3544" s="227"/>
      <c r="BF3544" s="227"/>
    </row>
    <row r="3545">
      <c r="A3545" s="235" t="s">
        <v>26599</v>
      </c>
      <c r="C3545" s="235" t="s">
        <v>26600</v>
      </c>
      <c r="D3545" s="235" t="s">
        <v>26601</v>
      </c>
      <c r="E3545" s="243">
        <v>6.51E13</v>
      </c>
      <c r="F3545" s="245"/>
      <c r="G3545" s="235" t="s">
        <v>26602</v>
      </c>
      <c r="H3545" s="235" t="s">
        <v>26603</v>
      </c>
      <c r="I3545" s="235" t="s">
        <v>26604</v>
      </c>
      <c r="J3545" s="235" t="s">
        <v>26605</v>
      </c>
      <c r="K3545" s="235" t="s">
        <v>26606</v>
      </c>
      <c r="N3545" s="235" t="s">
        <v>92</v>
      </c>
      <c r="O3545" s="235" t="s">
        <v>248</v>
      </c>
      <c r="P3545" s="238">
        <v>1.0</v>
      </c>
      <c r="Q3545" s="235" t="s">
        <v>627</v>
      </c>
      <c r="R3545" s="238">
        <v>243.8</v>
      </c>
      <c r="S3545" s="238">
        <v>11.96</v>
      </c>
      <c r="T3545" s="238">
        <v>0.0</v>
      </c>
      <c r="U3545" s="238">
        <v>0.0</v>
      </c>
      <c r="V3545" s="238">
        <v>0.0</v>
      </c>
      <c r="W3545" s="238">
        <v>0.0</v>
      </c>
      <c r="X3545" s="235" t="s">
        <v>628</v>
      </c>
      <c r="Z3545" s="245"/>
      <c r="AA3545" s="245"/>
      <c r="AB3545" s="245"/>
      <c r="AC3545" s="235" t="s">
        <v>1095</v>
      </c>
      <c r="AD3545" s="235" t="s">
        <v>845</v>
      </c>
      <c r="AE3545" s="238">
        <v>400708.0</v>
      </c>
      <c r="AF3545" s="235" t="s">
        <v>631</v>
      </c>
      <c r="AG3545" s="245"/>
      <c r="AH3545" s="245"/>
      <c r="AI3545" s="245"/>
      <c r="AJ3545" s="245"/>
      <c r="AK3545" s="245"/>
      <c r="AL3545" s="245"/>
      <c r="AM3545" s="245"/>
      <c r="AN3545" s="245"/>
      <c r="AO3545" s="238">
        <v>-4.88</v>
      </c>
      <c r="AP3545" s="238">
        <v>0.0</v>
      </c>
      <c r="AQ3545" s="235" t="s">
        <v>632</v>
      </c>
      <c r="AR3545" s="243">
        <v>3.71E11</v>
      </c>
      <c r="AS3545" s="235" t="s">
        <v>25098</v>
      </c>
      <c r="AT3545" s="235" t="s">
        <v>17</v>
      </c>
      <c r="AU3545" s="235" t="s">
        <v>634</v>
      </c>
      <c r="AV3545" s="246" t="s">
        <v>635</v>
      </c>
      <c r="AW3545" s="227"/>
      <c r="AX3545" s="227"/>
      <c r="AY3545" s="227"/>
      <c r="AZ3545" s="227"/>
      <c r="BA3545" s="227"/>
      <c r="BB3545" s="227"/>
      <c r="BC3545" s="227"/>
      <c r="BD3545" s="227"/>
      <c r="BE3545" s="227"/>
      <c r="BF3545" s="227"/>
    </row>
    <row r="3546">
      <c r="A3546" s="235" t="s">
        <v>26607</v>
      </c>
      <c r="C3546" s="235" t="s">
        <v>26608</v>
      </c>
      <c r="D3546" s="235" t="s">
        <v>26609</v>
      </c>
      <c r="E3546" s="243">
        <v>6.52E13</v>
      </c>
      <c r="F3546" s="245"/>
      <c r="G3546" s="235" t="s">
        <v>26610</v>
      </c>
      <c r="H3546" s="235" t="s">
        <v>26611</v>
      </c>
      <c r="I3546" s="235" t="s">
        <v>26611</v>
      </c>
      <c r="J3546" s="235" t="s">
        <v>26612</v>
      </c>
      <c r="K3546" s="235" t="s">
        <v>26613</v>
      </c>
      <c r="N3546" s="235" t="s">
        <v>71</v>
      </c>
      <c r="O3546" s="235" t="s">
        <v>240</v>
      </c>
      <c r="P3546" s="238">
        <v>1.0</v>
      </c>
      <c r="Q3546" s="235" t="s">
        <v>627</v>
      </c>
      <c r="R3546" s="238">
        <v>246.66</v>
      </c>
      <c r="S3546" s="238">
        <v>12.1</v>
      </c>
      <c r="T3546" s="238">
        <v>0.0</v>
      </c>
      <c r="U3546" s="238">
        <v>0.0</v>
      </c>
      <c r="V3546" s="238">
        <v>0.0</v>
      </c>
      <c r="W3546" s="238">
        <v>0.0</v>
      </c>
      <c r="X3546" s="235" t="s">
        <v>628</v>
      </c>
      <c r="Z3546" s="245"/>
      <c r="AA3546" s="245"/>
      <c r="AB3546" s="245"/>
      <c r="AC3546" s="235" t="s">
        <v>687</v>
      </c>
      <c r="AD3546" s="235" t="s">
        <v>666</v>
      </c>
      <c r="AE3546" s="238">
        <v>600125.0</v>
      </c>
      <c r="AF3546" s="235" t="s">
        <v>631</v>
      </c>
      <c r="AG3546" s="245"/>
      <c r="AH3546" s="245"/>
      <c r="AI3546" s="245"/>
      <c r="AJ3546" s="245"/>
      <c r="AK3546" s="245"/>
      <c r="AL3546" s="245"/>
      <c r="AM3546" s="245"/>
      <c r="AN3546" s="245"/>
      <c r="AO3546" s="238">
        <v>-4.94</v>
      </c>
      <c r="AP3546" s="238">
        <v>0.0</v>
      </c>
      <c r="AQ3546" s="235" t="s">
        <v>632</v>
      </c>
      <c r="AR3546" s="243">
        <v>3.71E11</v>
      </c>
      <c r="AS3546" s="235" t="s">
        <v>25098</v>
      </c>
      <c r="AT3546" s="235" t="s">
        <v>156</v>
      </c>
      <c r="AU3546" s="235" t="s">
        <v>634</v>
      </c>
      <c r="AV3546" s="246" t="s">
        <v>635</v>
      </c>
      <c r="AW3546" s="227"/>
      <c r="AX3546" s="227"/>
      <c r="AY3546" s="227"/>
      <c r="AZ3546" s="227"/>
      <c r="BA3546" s="227"/>
      <c r="BB3546" s="227"/>
      <c r="BC3546" s="227"/>
      <c r="BD3546" s="227"/>
      <c r="BE3546" s="227"/>
      <c r="BF3546" s="227"/>
    </row>
    <row r="3547">
      <c r="A3547" s="235" t="s">
        <v>26614</v>
      </c>
      <c r="C3547" s="235" t="s">
        <v>26615</v>
      </c>
      <c r="D3547" s="235" t="s">
        <v>26616</v>
      </c>
      <c r="E3547" s="243">
        <v>6.52E13</v>
      </c>
      <c r="F3547" s="245"/>
      <c r="G3547" s="235" t="s">
        <v>26617</v>
      </c>
      <c r="H3547" s="235" t="s">
        <v>26618</v>
      </c>
      <c r="I3547" s="235" t="s">
        <v>26618</v>
      </c>
      <c r="J3547" s="235" t="s">
        <v>26619</v>
      </c>
      <c r="K3547" s="235" t="s">
        <v>26620</v>
      </c>
      <c r="N3547" s="235" t="s">
        <v>53</v>
      </c>
      <c r="O3547" s="235" t="s">
        <v>512</v>
      </c>
      <c r="P3547" s="238">
        <v>1.0</v>
      </c>
      <c r="Q3547" s="235" t="s">
        <v>627</v>
      </c>
      <c r="R3547" s="238">
        <v>237.14</v>
      </c>
      <c r="S3547" s="238">
        <v>11.62</v>
      </c>
      <c r="T3547" s="238">
        <v>0.0</v>
      </c>
      <c r="U3547" s="238">
        <v>0.0</v>
      </c>
      <c r="V3547" s="238">
        <v>0.0</v>
      </c>
      <c r="W3547" s="238">
        <v>0.0</v>
      </c>
      <c r="X3547" s="235" t="s">
        <v>628</v>
      </c>
      <c r="Z3547" s="245"/>
      <c r="AA3547" s="245"/>
      <c r="AB3547" s="245"/>
      <c r="AC3547" s="235" t="s">
        <v>687</v>
      </c>
      <c r="AD3547" s="235" t="s">
        <v>666</v>
      </c>
      <c r="AE3547" s="238">
        <v>600127.0</v>
      </c>
      <c r="AF3547" s="235" t="s">
        <v>631</v>
      </c>
      <c r="AG3547" s="245"/>
      <c r="AH3547" s="245"/>
      <c r="AI3547" s="245"/>
      <c r="AJ3547" s="245"/>
      <c r="AK3547" s="245"/>
      <c r="AL3547" s="245"/>
      <c r="AM3547" s="245"/>
      <c r="AN3547" s="245"/>
      <c r="AO3547" s="238">
        <v>-4.74</v>
      </c>
      <c r="AP3547" s="238">
        <v>0.0</v>
      </c>
      <c r="AQ3547" s="235" t="s">
        <v>632</v>
      </c>
      <c r="AR3547" s="243">
        <v>3.71E11</v>
      </c>
      <c r="AS3547" s="235" t="s">
        <v>23542</v>
      </c>
      <c r="AT3547" s="235" t="s">
        <v>155</v>
      </c>
      <c r="AU3547" s="235" t="s">
        <v>634</v>
      </c>
      <c r="AV3547" s="246" t="s">
        <v>635</v>
      </c>
      <c r="AW3547" s="227"/>
      <c r="AX3547" s="227"/>
      <c r="AY3547" s="227"/>
      <c r="AZ3547" s="227"/>
      <c r="BA3547" s="227"/>
      <c r="BB3547" s="227"/>
      <c r="BC3547" s="227"/>
      <c r="BD3547" s="227"/>
      <c r="BE3547" s="227"/>
      <c r="BF3547" s="227"/>
    </row>
    <row r="3548">
      <c r="A3548" s="235" t="s">
        <v>26621</v>
      </c>
      <c r="C3548" s="235" t="s">
        <v>26622</v>
      </c>
      <c r="D3548" s="235" t="s">
        <v>26623</v>
      </c>
      <c r="E3548" s="243">
        <v>6.52E13</v>
      </c>
      <c r="F3548" s="245"/>
      <c r="G3548" s="235" t="s">
        <v>26624</v>
      </c>
      <c r="H3548" s="235" t="s">
        <v>26625</v>
      </c>
      <c r="I3548" s="235" t="s">
        <v>26626</v>
      </c>
      <c r="J3548" s="235" t="s">
        <v>26627</v>
      </c>
      <c r="K3548" s="235" t="s">
        <v>26628</v>
      </c>
      <c r="N3548" s="235" t="s">
        <v>0</v>
      </c>
      <c r="O3548" s="235" t="s">
        <v>740</v>
      </c>
      <c r="P3548" s="238">
        <v>1.0</v>
      </c>
      <c r="Q3548" s="235" t="s">
        <v>627</v>
      </c>
      <c r="R3548" s="238">
        <v>284.76</v>
      </c>
      <c r="S3548" s="238">
        <v>14.24</v>
      </c>
      <c r="T3548" s="238">
        <v>0.0</v>
      </c>
      <c r="U3548" s="238">
        <v>0.0</v>
      </c>
      <c r="V3548" s="238">
        <v>0.0</v>
      </c>
      <c r="W3548" s="238">
        <v>0.0</v>
      </c>
      <c r="X3548" s="235" t="s">
        <v>628</v>
      </c>
      <c r="Z3548" s="245"/>
      <c r="AA3548" s="245"/>
      <c r="AB3548" s="245"/>
      <c r="AC3548" s="235" t="s">
        <v>1613</v>
      </c>
      <c r="AD3548" s="235" t="s">
        <v>630</v>
      </c>
      <c r="AE3548" s="238">
        <v>226029.0</v>
      </c>
      <c r="AF3548" s="235" t="s">
        <v>631</v>
      </c>
      <c r="AG3548" s="245"/>
      <c r="AH3548" s="245"/>
      <c r="AI3548" s="245"/>
      <c r="AJ3548" s="245"/>
      <c r="AK3548" s="245"/>
      <c r="AL3548" s="245"/>
      <c r="AM3548" s="245"/>
      <c r="AN3548" s="245"/>
      <c r="AO3548" s="238">
        <v>0.0</v>
      </c>
      <c r="AP3548" s="238">
        <v>0.0</v>
      </c>
      <c r="AQ3548" s="235" t="s">
        <v>632</v>
      </c>
      <c r="AR3548" s="243">
        <v>2.02E11</v>
      </c>
      <c r="AS3548" s="235" t="s">
        <v>25098</v>
      </c>
      <c r="AT3548" s="235" t="s">
        <v>13</v>
      </c>
      <c r="AU3548" s="235" t="s">
        <v>634</v>
      </c>
      <c r="AV3548" s="246" t="s">
        <v>635</v>
      </c>
      <c r="AW3548" s="227"/>
      <c r="AX3548" s="227"/>
      <c r="AY3548" s="227"/>
      <c r="AZ3548" s="227"/>
      <c r="BA3548" s="227"/>
      <c r="BB3548" s="227"/>
      <c r="BC3548" s="227"/>
      <c r="BD3548" s="227"/>
      <c r="BE3548" s="227"/>
      <c r="BF3548" s="227"/>
    </row>
    <row r="3549">
      <c r="A3549" s="235" t="s">
        <v>26629</v>
      </c>
      <c r="C3549" s="235" t="s">
        <v>26630</v>
      </c>
      <c r="D3549" s="235" t="s">
        <v>26631</v>
      </c>
      <c r="E3549" s="243">
        <v>6.52E13</v>
      </c>
      <c r="F3549" s="245"/>
      <c r="G3549" s="235" t="s">
        <v>26632</v>
      </c>
      <c r="H3549" s="235" t="s">
        <v>26633</v>
      </c>
      <c r="I3549" s="235" t="s">
        <v>26634</v>
      </c>
      <c r="J3549" s="235" t="s">
        <v>26635</v>
      </c>
      <c r="K3549" s="235" t="s">
        <v>26636</v>
      </c>
      <c r="N3549" s="235" t="s">
        <v>85</v>
      </c>
      <c r="O3549" s="235" t="s">
        <v>872</v>
      </c>
      <c r="P3549" s="238">
        <v>1.0</v>
      </c>
      <c r="Q3549" s="235" t="s">
        <v>627</v>
      </c>
      <c r="R3549" s="238">
        <v>232.38</v>
      </c>
      <c r="S3549" s="238">
        <v>11.28</v>
      </c>
      <c r="T3549" s="238">
        <v>0.0</v>
      </c>
      <c r="U3549" s="238">
        <v>0.0</v>
      </c>
      <c r="V3549" s="238">
        <v>0.0</v>
      </c>
      <c r="W3549" s="238">
        <v>0.0</v>
      </c>
      <c r="X3549" s="235" t="s">
        <v>628</v>
      </c>
      <c r="Z3549" s="245"/>
      <c r="AA3549" s="245"/>
      <c r="AB3549" s="245"/>
      <c r="AC3549" s="235" t="s">
        <v>678</v>
      </c>
      <c r="AD3549" s="235" t="s">
        <v>679</v>
      </c>
      <c r="AE3549" s="238">
        <v>560100.0</v>
      </c>
      <c r="AF3549" s="235" t="s">
        <v>631</v>
      </c>
      <c r="AG3549" s="245"/>
      <c r="AH3549" s="245"/>
      <c r="AI3549" s="245"/>
      <c r="AJ3549" s="245"/>
      <c r="AK3549" s="245"/>
      <c r="AL3549" s="245"/>
      <c r="AM3549" s="245"/>
      <c r="AN3549" s="245"/>
      <c r="AO3549" s="238">
        <v>-6.98</v>
      </c>
      <c r="AP3549" s="238">
        <v>0.0</v>
      </c>
      <c r="AQ3549" s="235" t="s">
        <v>632</v>
      </c>
      <c r="AR3549" s="243">
        <v>3.71E11</v>
      </c>
      <c r="AS3549" s="235" t="s">
        <v>25098</v>
      </c>
      <c r="AT3549" s="235" t="s">
        <v>11</v>
      </c>
      <c r="AU3549" s="235" t="s">
        <v>634</v>
      </c>
      <c r="AV3549" s="246" t="s">
        <v>635</v>
      </c>
      <c r="AW3549" s="227"/>
      <c r="AX3549" s="227"/>
      <c r="AY3549" s="227"/>
      <c r="AZ3549" s="227"/>
      <c r="BA3549" s="227"/>
      <c r="BB3549" s="227"/>
      <c r="BC3549" s="227"/>
      <c r="BD3549" s="227"/>
      <c r="BE3549" s="227"/>
      <c r="BF3549" s="227"/>
    </row>
    <row r="3550">
      <c r="A3550" s="235" t="s">
        <v>26637</v>
      </c>
      <c r="C3550" s="235" t="s">
        <v>26638</v>
      </c>
      <c r="D3550" s="235" t="s">
        <v>26639</v>
      </c>
      <c r="E3550" s="243">
        <v>6.52E13</v>
      </c>
      <c r="F3550" s="245"/>
      <c r="G3550" s="235" t="s">
        <v>26640</v>
      </c>
      <c r="H3550" s="235" t="s">
        <v>26641</v>
      </c>
      <c r="I3550" s="235" t="s">
        <v>26642</v>
      </c>
      <c r="J3550" s="235" t="s">
        <v>26643</v>
      </c>
      <c r="K3550" s="235" t="s">
        <v>26644</v>
      </c>
      <c r="N3550" s="235" t="s">
        <v>75</v>
      </c>
      <c r="O3550" s="235" t="s">
        <v>2108</v>
      </c>
      <c r="P3550" s="238">
        <v>1.0</v>
      </c>
      <c r="Q3550" s="235" t="s">
        <v>627</v>
      </c>
      <c r="R3550" s="238">
        <v>360.96</v>
      </c>
      <c r="S3550" s="238">
        <v>17.68</v>
      </c>
      <c r="T3550" s="238">
        <v>0.0</v>
      </c>
      <c r="U3550" s="238">
        <v>0.0</v>
      </c>
      <c r="V3550" s="238">
        <v>0.0</v>
      </c>
      <c r="W3550" s="238">
        <v>0.0</v>
      </c>
      <c r="X3550" s="235" t="s">
        <v>628</v>
      </c>
      <c r="Z3550" s="245"/>
      <c r="AA3550" s="245"/>
      <c r="AB3550" s="245"/>
      <c r="AC3550" s="235" t="s">
        <v>26645</v>
      </c>
      <c r="AD3550" s="235" t="s">
        <v>26646</v>
      </c>
      <c r="AE3550" s="238">
        <v>562123.0</v>
      </c>
      <c r="AF3550" s="235" t="s">
        <v>631</v>
      </c>
      <c r="AG3550" s="245"/>
      <c r="AH3550" s="245"/>
      <c r="AI3550" s="245"/>
      <c r="AJ3550" s="245"/>
      <c r="AK3550" s="245"/>
      <c r="AL3550" s="245"/>
      <c r="AM3550" s="245"/>
      <c r="AN3550" s="245"/>
      <c r="AO3550" s="238">
        <v>-7.22</v>
      </c>
      <c r="AP3550" s="238">
        <v>0.0</v>
      </c>
      <c r="AQ3550" s="235" t="s">
        <v>632</v>
      </c>
      <c r="AR3550" s="243">
        <v>1.68E11</v>
      </c>
      <c r="AS3550" s="235" t="s">
        <v>25713</v>
      </c>
      <c r="AT3550" s="235" t="s">
        <v>11</v>
      </c>
      <c r="AU3550" s="235" t="s">
        <v>634</v>
      </c>
      <c r="AV3550" s="246" t="s">
        <v>635</v>
      </c>
      <c r="AW3550" s="227"/>
      <c r="AX3550" s="227"/>
      <c r="AY3550" s="227"/>
      <c r="AZ3550" s="227"/>
      <c r="BA3550" s="227"/>
      <c r="BB3550" s="227"/>
      <c r="BC3550" s="227"/>
      <c r="BD3550" s="227"/>
      <c r="BE3550" s="227"/>
      <c r="BF3550" s="227"/>
    </row>
    <row r="3551">
      <c r="A3551" s="235" t="s">
        <v>26647</v>
      </c>
      <c r="C3551" s="235" t="s">
        <v>26648</v>
      </c>
      <c r="D3551" s="235" t="s">
        <v>26649</v>
      </c>
      <c r="E3551" s="243">
        <v>6.52E13</v>
      </c>
      <c r="F3551" s="245"/>
      <c r="G3551" s="235" t="s">
        <v>26650</v>
      </c>
      <c r="H3551" s="235" t="s">
        <v>26651</v>
      </c>
      <c r="I3551" s="235" t="s">
        <v>26652</v>
      </c>
      <c r="J3551" s="235" t="s">
        <v>26653</v>
      </c>
      <c r="K3551" s="235" t="s">
        <v>26654</v>
      </c>
      <c r="N3551" s="235" t="s">
        <v>962</v>
      </c>
      <c r="O3551" s="235" t="s">
        <v>963</v>
      </c>
      <c r="P3551" s="238">
        <v>1.0</v>
      </c>
      <c r="Q3551" s="235" t="s">
        <v>627</v>
      </c>
      <c r="R3551" s="238">
        <v>246.67</v>
      </c>
      <c r="S3551" s="238">
        <v>12.33</v>
      </c>
      <c r="T3551" s="238">
        <v>0.0</v>
      </c>
      <c r="U3551" s="238">
        <v>0.0</v>
      </c>
      <c r="V3551" s="238">
        <v>0.0</v>
      </c>
      <c r="W3551" s="238">
        <v>0.0</v>
      </c>
      <c r="X3551" s="235" t="s">
        <v>628</v>
      </c>
      <c r="Z3551" s="245"/>
      <c r="AA3551" s="245"/>
      <c r="AB3551" s="245"/>
      <c r="AC3551" s="235" t="s">
        <v>814</v>
      </c>
      <c r="AD3551" s="235" t="s">
        <v>698</v>
      </c>
      <c r="AE3551" s="238">
        <v>500049.0</v>
      </c>
      <c r="AF3551" s="235" t="s">
        <v>631</v>
      </c>
      <c r="AG3551" s="245"/>
      <c r="AH3551" s="245"/>
      <c r="AI3551" s="245"/>
      <c r="AJ3551" s="245"/>
      <c r="AK3551" s="245"/>
      <c r="AL3551" s="245"/>
      <c r="AM3551" s="245"/>
      <c r="AN3551" s="245"/>
      <c r="AO3551" s="238">
        <v>0.0</v>
      </c>
      <c r="AP3551" s="238">
        <v>0.0</v>
      </c>
      <c r="AQ3551" s="235" t="s">
        <v>632</v>
      </c>
      <c r="AR3551" s="243">
        <v>2.02E11</v>
      </c>
      <c r="AS3551" s="235" t="s">
        <v>25098</v>
      </c>
      <c r="AT3551" s="235" t="s">
        <v>9</v>
      </c>
      <c r="AU3551" s="235" t="s">
        <v>634</v>
      </c>
      <c r="AV3551" s="246" t="s">
        <v>635</v>
      </c>
      <c r="AW3551" s="227"/>
      <c r="AX3551" s="227"/>
      <c r="AY3551" s="227"/>
      <c r="AZ3551" s="227"/>
      <c r="BA3551" s="227"/>
      <c r="BB3551" s="227"/>
      <c r="BC3551" s="227"/>
      <c r="BD3551" s="227"/>
      <c r="BE3551" s="227"/>
      <c r="BF3551" s="227"/>
    </row>
    <row r="3552">
      <c r="A3552" s="235" t="s">
        <v>26655</v>
      </c>
      <c r="C3552" s="235" t="s">
        <v>26656</v>
      </c>
      <c r="D3552" s="235" t="s">
        <v>26657</v>
      </c>
      <c r="E3552" s="243">
        <v>6.52E13</v>
      </c>
      <c r="F3552" s="245"/>
      <c r="G3552" s="235" t="s">
        <v>26658</v>
      </c>
      <c r="H3552" s="235" t="s">
        <v>26659</v>
      </c>
      <c r="I3552" s="235" t="s">
        <v>26659</v>
      </c>
      <c r="J3552" s="235" t="s">
        <v>26660</v>
      </c>
      <c r="K3552" s="235" t="s">
        <v>26661</v>
      </c>
      <c r="N3552" s="235" t="s">
        <v>42</v>
      </c>
      <c r="O3552" s="235" t="s">
        <v>204</v>
      </c>
      <c r="P3552" s="238">
        <v>1.0</v>
      </c>
      <c r="Q3552" s="235" t="s">
        <v>627</v>
      </c>
      <c r="R3552" s="238">
        <v>236.19</v>
      </c>
      <c r="S3552" s="238">
        <v>11.81</v>
      </c>
      <c r="T3552" s="238">
        <v>0.0</v>
      </c>
      <c r="U3552" s="238">
        <v>0.0</v>
      </c>
      <c r="V3552" s="238">
        <v>0.0</v>
      </c>
      <c r="W3552" s="238">
        <v>0.0</v>
      </c>
      <c r="X3552" s="235" t="s">
        <v>628</v>
      </c>
      <c r="Z3552" s="245"/>
      <c r="AA3552" s="245"/>
      <c r="AB3552" s="245"/>
      <c r="AC3552" s="235" t="s">
        <v>3274</v>
      </c>
      <c r="AD3552" s="235" t="s">
        <v>698</v>
      </c>
      <c r="AE3552" s="238">
        <v>500072.0</v>
      </c>
      <c r="AF3552" s="235" t="s">
        <v>631</v>
      </c>
      <c r="AG3552" s="245"/>
      <c r="AH3552" s="245"/>
      <c r="AI3552" s="245"/>
      <c r="AJ3552" s="245"/>
      <c r="AK3552" s="245"/>
      <c r="AL3552" s="245"/>
      <c r="AM3552" s="245"/>
      <c r="AN3552" s="245"/>
      <c r="AO3552" s="238">
        <v>0.0</v>
      </c>
      <c r="AP3552" s="238">
        <v>0.0</v>
      </c>
      <c r="AQ3552" s="235" t="s">
        <v>632</v>
      </c>
      <c r="AR3552" s="243">
        <v>3.71E11</v>
      </c>
      <c r="AS3552" s="235" t="s">
        <v>23542</v>
      </c>
      <c r="AT3552" s="235" t="s">
        <v>11</v>
      </c>
      <c r="AU3552" s="235" t="s">
        <v>634</v>
      </c>
      <c r="AV3552" s="246" t="s">
        <v>635</v>
      </c>
      <c r="AW3552" s="227"/>
      <c r="AX3552" s="227"/>
      <c r="AY3552" s="227"/>
      <c r="AZ3552" s="227"/>
      <c r="BA3552" s="227"/>
      <c r="BB3552" s="227"/>
      <c r="BC3552" s="227"/>
      <c r="BD3552" s="227"/>
      <c r="BE3552" s="227"/>
      <c r="BF3552" s="227"/>
    </row>
    <row r="3553">
      <c r="A3553" s="235" t="s">
        <v>26662</v>
      </c>
      <c r="C3553" s="235" t="s">
        <v>26663</v>
      </c>
      <c r="D3553" s="235" t="s">
        <v>26664</v>
      </c>
      <c r="E3553" s="243">
        <v>6.51E13</v>
      </c>
      <c r="F3553" s="245"/>
      <c r="G3553" s="235" t="s">
        <v>26665</v>
      </c>
      <c r="H3553" s="235" t="s">
        <v>26666</v>
      </c>
      <c r="I3553" s="235" t="s">
        <v>26666</v>
      </c>
      <c r="J3553" s="235" t="s">
        <v>26667</v>
      </c>
      <c r="K3553" s="235" t="s">
        <v>26668</v>
      </c>
      <c r="N3553" s="235" t="s">
        <v>4</v>
      </c>
      <c r="O3553" s="235" t="s">
        <v>1791</v>
      </c>
      <c r="P3553" s="238">
        <v>1.0</v>
      </c>
      <c r="Q3553" s="235" t="s">
        <v>627</v>
      </c>
      <c r="R3553" s="238">
        <v>256.19</v>
      </c>
      <c r="S3553" s="238">
        <v>12.81</v>
      </c>
      <c r="T3553" s="238">
        <v>38.1</v>
      </c>
      <c r="U3553" s="238">
        <v>1.9</v>
      </c>
      <c r="V3553" s="238">
        <v>0.0</v>
      </c>
      <c r="W3553" s="238">
        <v>0.0</v>
      </c>
      <c r="X3553" s="235" t="s">
        <v>628</v>
      </c>
      <c r="Z3553" s="245"/>
      <c r="AA3553" s="245"/>
      <c r="AB3553" s="245"/>
      <c r="AC3553" s="235" t="s">
        <v>795</v>
      </c>
      <c r="AD3553" s="235" t="s">
        <v>796</v>
      </c>
      <c r="AE3553" s="238">
        <v>110027.0</v>
      </c>
      <c r="AF3553" s="235" t="s">
        <v>631</v>
      </c>
      <c r="AG3553" s="245"/>
      <c r="AH3553" s="245"/>
      <c r="AI3553" s="245"/>
      <c r="AJ3553" s="245"/>
      <c r="AK3553" s="245"/>
      <c r="AL3553" s="245"/>
      <c r="AM3553" s="245"/>
      <c r="AN3553" s="245"/>
      <c r="AO3553" s="238">
        <v>0.0</v>
      </c>
      <c r="AP3553" s="238">
        <v>-38.1</v>
      </c>
      <c r="AQ3553" s="235" t="s">
        <v>632</v>
      </c>
      <c r="AR3553" s="243">
        <v>3.71E11</v>
      </c>
      <c r="AS3553" s="235" t="s">
        <v>25098</v>
      </c>
      <c r="AT3553" s="235" t="s">
        <v>14</v>
      </c>
      <c r="AU3553" s="235" t="s">
        <v>634</v>
      </c>
      <c r="AV3553" s="246" t="s">
        <v>635</v>
      </c>
      <c r="AW3553" s="227"/>
      <c r="AX3553" s="227"/>
      <c r="AY3553" s="227"/>
      <c r="AZ3553" s="227"/>
      <c r="BA3553" s="227"/>
      <c r="BB3553" s="227"/>
      <c r="BC3553" s="227"/>
      <c r="BD3553" s="227"/>
      <c r="BE3553" s="227"/>
      <c r="BF3553" s="227"/>
    </row>
    <row r="3554">
      <c r="A3554" s="235" t="s">
        <v>26669</v>
      </c>
      <c r="C3554" s="235" t="s">
        <v>26670</v>
      </c>
      <c r="D3554" s="235" t="s">
        <v>26671</v>
      </c>
      <c r="E3554" s="243">
        <v>6.51E13</v>
      </c>
      <c r="F3554" s="245"/>
      <c r="G3554" s="235" t="s">
        <v>26672</v>
      </c>
      <c r="H3554" s="235" t="s">
        <v>26673</v>
      </c>
      <c r="I3554" s="235" t="s">
        <v>26674</v>
      </c>
      <c r="J3554" s="235" t="s">
        <v>26675</v>
      </c>
      <c r="K3554" s="235" t="s">
        <v>26676</v>
      </c>
      <c r="N3554" s="235" t="s">
        <v>842</v>
      </c>
      <c r="O3554" s="235" t="s">
        <v>843</v>
      </c>
      <c r="P3554" s="238">
        <v>1.0</v>
      </c>
      <c r="Q3554" s="235" t="s">
        <v>627</v>
      </c>
      <c r="R3554" s="238">
        <v>237.14</v>
      </c>
      <c r="S3554" s="238">
        <v>11.62</v>
      </c>
      <c r="T3554" s="238">
        <v>38.1</v>
      </c>
      <c r="U3554" s="238">
        <v>1.9</v>
      </c>
      <c r="V3554" s="238">
        <v>0.0</v>
      </c>
      <c r="W3554" s="238">
        <v>0.0</v>
      </c>
      <c r="X3554" s="235" t="s">
        <v>628</v>
      </c>
      <c r="Z3554" s="245"/>
      <c r="AA3554" s="245"/>
      <c r="AB3554" s="245"/>
      <c r="AC3554" s="235" t="s">
        <v>26677</v>
      </c>
      <c r="AD3554" s="235" t="s">
        <v>698</v>
      </c>
      <c r="AE3554" s="238">
        <v>505209.0</v>
      </c>
      <c r="AF3554" s="235" t="s">
        <v>631</v>
      </c>
      <c r="AG3554" s="245"/>
      <c r="AH3554" s="245"/>
      <c r="AI3554" s="245"/>
      <c r="AJ3554" s="245"/>
      <c r="AK3554" s="245"/>
      <c r="AL3554" s="245"/>
      <c r="AM3554" s="245"/>
      <c r="AN3554" s="245"/>
      <c r="AO3554" s="238">
        <v>-4.74</v>
      </c>
      <c r="AP3554" s="238">
        <v>-38.1</v>
      </c>
      <c r="AQ3554" s="235" t="s">
        <v>632</v>
      </c>
      <c r="AR3554" s="243">
        <v>3.71E11</v>
      </c>
      <c r="AS3554" s="235" t="s">
        <v>23542</v>
      </c>
      <c r="AT3554" s="235" t="s">
        <v>11</v>
      </c>
      <c r="AU3554" s="235" t="s">
        <v>634</v>
      </c>
      <c r="AV3554" s="246" t="s">
        <v>635</v>
      </c>
      <c r="AW3554" s="227"/>
      <c r="AX3554" s="227"/>
      <c r="AY3554" s="227"/>
      <c r="AZ3554" s="227"/>
      <c r="BA3554" s="227"/>
      <c r="BB3554" s="227"/>
      <c r="BC3554" s="227"/>
      <c r="BD3554" s="227"/>
      <c r="BE3554" s="227"/>
      <c r="BF3554" s="227"/>
    </row>
    <row r="3555">
      <c r="A3555" s="235" t="s">
        <v>26678</v>
      </c>
      <c r="C3555" s="235" t="s">
        <v>26679</v>
      </c>
      <c r="D3555" s="235" t="s">
        <v>26680</v>
      </c>
      <c r="E3555" s="243">
        <v>6.51E13</v>
      </c>
      <c r="F3555" s="245"/>
      <c r="G3555" s="235" t="s">
        <v>26681</v>
      </c>
      <c r="H3555" s="235" t="s">
        <v>26682</v>
      </c>
      <c r="I3555" s="235" t="s">
        <v>26682</v>
      </c>
      <c r="J3555" s="235" t="s">
        <v>26683</v>
      </c>
      <c r="K3555" s="235" t="s">
        <v>26684</v>
      </c>
      <c r="N3555" s="235" t="s">
        <v>154</v>
      </c>
      <c r="O3555" s="235" t="s">
        <v>766</v>
      </c>
      <c r="P3555" s="238">
        <v>1.0</v>
      </c>
      <c r="Q3555" s="235" t="s">
        <v>627</v>
      </c>
      <c r="R3555" s="238">
        <v>423.8</v>
      </c>
      <c r="S3555" s="238">
        <v>21.2</v>
      </c>
      <c r="T3555" s="238">
        <v>38.1</v>
      </c>
      <c r="U3555" s="238">
        <v>1.9</v>
      </c>
      <c r="V3555" s="238">
        <v>0.0</v>
      </c>
      <c r="W3555" s="238">
        <v>0.0</v>
      </c>
      <c r="X3555" s="235" t="s">
        <v>628</v>
      </c>
      <c r="Z3555" s="245"/>
      <c r="AA3555" s="245"/>
      <c r="AB3555" s="245"/>
      <c r="AC3555" s="235" t="s">
        <v>1095</v>
      </c>
      <c r="AD3555" s="235" t="s">
        <v>845</v>
      </c>
      <c r="AE3555" s="238">
        <v>400705.0</v>
      </c>
      <c r="AF3555" s="235" t="s">
        <v>631</v>
      </c>
      <c r="AG3555" s="245"/>
      <c r="AH3555" s="245"/>
      <c r="AI3555" s="245"/>
      <c r="AJ3555" s="245"/>
      <c r="AK3555" s="245"/>
      <c r="AL3555" s="245"/>
      <c r="AM3555" s="245"/>
      <c r="AN3555" s="245"/>
      <c r="AO3555" s="238">
        <v>0.0</v>
      </c>
      <c r="AP3555" s="238">
        <v>-38.1</v>
      </c>
      <c r="AQ3555" s="235" t="s">
        <v>632</v>
      </c>
      <c r="AR3555" s="243">
        <v>3.71E11</v>
      </c>
      <c r="AS3555" s="235" t="s">
        <v>25098</v>
      </c>
      <c r="AT3555" s="235" t="s">
        <v>16</v>
      </c>
      <c r="AU3555" s="235" t="s">
        <v>634</v>
      </c>
      <c r="AV3555" s="246" t="s">
        <v>635</v>
      </c>
      <c r="AW3555" s="227"/>
      <c r="AX3555" s="227"/>
      <c r="AY3555" s="227"/>
      <c r="AZ3555" s="227"/>
      <c r="BA3555" s="227"/>
      <c r="BB3555" s="227"/>
      <c r="BC3555" s="227"/>
      <c r="BD3555" s="227"/>
      <c r="BE3555" s="227"/>
      <c r="BF3555" s="227"/>
    </row>
    <row r="3556">
      <c r="A3556" s="235" t="s">
        <v>26685</v>
      </c>
      <c r="C3556" s="235" t="s">
        <v>26686</v>
      </c>
      <c r="D3556" s="235" t="s">
        <v>26687</v>
      </c>
      <c r="E3556" s="243">
        <v>6.52E13</v>
      </c>
      <c r="F3556" s="245"/>
      <c r="G3556" s="235" t="s">
        <v>26688</v>
      </c>
      <c r="H3556" s="235" t="s">
        <v>26689</v>
      </c>
      <c r="I3556" s="235" t="s">
        <v>26689</v>
      </c>
      <c r="J3556" s="235" t="s">
        <v>26690</v>
      </c>
      <c r="K3556" s="235" t="s">
        <v>26691</v>
      </c>
      <c r="N3556" s="235" t="s">
        <v>42</v>
      </c>
      <c r="O3556" s="235" t="s">
        <v>204</v>
      </c>
      <c r="P3556" s="238">
        <v>1.0</v>
      </c>
      <c r="Q3556" s="235" t="s">
        <v>627</v>
      </c>
      <c r="R3556" s="238">
        <v>236.19</v>
      </c>
      <c r="S3556" s="238">
        <v>11.81</v>
      </c>
      <c r="T3556" s="238">
        <v>0.0</v>
      </c>
      <c r="U3556" s="238">
        <v>0.0</v>
      </c>
      <c r="V3556" s="238">
        <v>0.0</v>
      </c>
      <c r="W3556" s="238">
        <v>0.0</v>
      </c>
      <c r="X3556" s="235" t="s">
        <v>628</v>
      </c>
      <c r="Z3556" s="245"/>
      <c r="AA3556" s="245"/>
      <c r="AB3556" s="245"/>
      <c r="AC3556" s="235" t="s">
        <v>2493</v>
      </c>
      <c r="AD3556" s="235" t="s">
        <v>833</v>
      </c>
      <c r="AE3556" s="238">
        <v>520011.0</v>
      </c>
      <c r="AF3556" s="235" t="s">
        <v>631</v>
      </c>
      <c r="AG3556" s="245"/>
      <c r="AH3556" s="245"/>
      <c r="AI3556" s="245"/>
      <c r="AJ3556" s="245"/>
      <c r="AK3556" s="245"/>
      <c r="AL3556" s="245"/>
      <c r="AM3556" s="245"/>
      <c r="AN3556" s="245"/>
      <c r="AO3556" s="238">
        <v>0.0</v>
      </c>
      <c r="AP3556" s="238">
        <v>0.0</v>
      </c>
      <c r="AQ3556" s="235" t="s">
        <v>632</v>
      </c>
      <c r="AR3556" s="243">
        <v>1.68E11</v>
      </c>
      <c r="AS3556" s="235" t="s">
        <v>25098</v>
      </c>
      <c r="AT3556" s="235" t="s">
        <v>156</v>
      </c>
      <c r="AU3556" s="235" t="s">
        <v>634</v>
      </c>
      <c r="AV3556" s="246" t="s">
        <v>635</v>
      </c>
      <c r="AW3556" s="227"/>
      <c r="AX3556" s="227"/>
      <c r="AY3556" s="227"/>
      <c r="AZ3556" s="227"/>
      <c r="BA3556" s="227"/>
      <c r="BB3556" s="227"/>
      <c r="BC3556" s="227"/>
      <c r="BD3556" s="227"/>
      <c r="BE3556" s="227"/>
      <c r="BF3556" s="227"/>
    </row>
    <row r="3557">
      <c r="A3557" s="235" t="s">
        <v>26692</v>
      </c>
      <c r="C3557" s="235" t="s">
        <v>26693</v>
      </c>
      <c r="D3557" s="235" t="s">
        <v>26694</v>
      </c>
      <c r="E3557" s="243">
        <v>6.52E13</v>
      </c>
      <c r="F3557" s="245"/>
      <c r="G3557" s="235" t="s">
        <v>26695</v>
      </c>
      <c r="H3557" s="235" t="s">
        <v>26696</v>
      </c>
      <c r="I3557" s="235" t="s">
        <v>26697</v>
      </c>
      <c r="J3557" s="235" t="s">
        <v>26698</v>
      </c>
      <c r="K3557" s="235" t="s">
        <v>26699</v>
      </c>
      <c r="N3557" s="235" t="s">
        <v>42</v>
      </c>
      <c r="O3557" s="235" t="s">
        <v>204</v>
      </c>
      <c r="P3557" s="238">
        <v>1.0</v>
      </c>
      <c r="Q3557" s="235" t="s">
        <v>627</v>
      </c>
      <c r="R3557" s="238">
        <v>237.14</v>
      </c>
      <c r="S3557" s="238">
        <v>11.86</v>
      </c>
      <c r="T3557" s="238">
        <v>0.0</v>
      </c>
      <c r="U3557" s="238">
        <v>0.0</v>
      </c>
      <c r="V3557" s="238">
        <v>0.0</v>
      </c>
      <c r="W3557" s="238">
        <v>0.0</v>
      </c>
      <c r="X3557" s="235" t="s">
        <v>628</v>
      </c>
      <c r="Z3557" s="245"/>
      <c r="AA3557" s="245"/>
      <c r="AB3557" s="245"/>
      <c r="AC3557" s="235" t="s">
        <v>697</v>
      </c>
      <c r="AD3557" s="235" t="s">
        <v>698</v>
      </c>
      <c r="AE3557" s="238">
        <v>500090.0</v>
      </c>
      <c r="AF3557" s="235" t="s">
        <v>631</v>
      </c>
      <c r="AG3557" s="245"/>
      <c r="AH3557" s="245"/>
      <c r="AI3557" s="245"/>
      <c r="AJ3557" s="245"/>
      <c r="AK3557" s="245"/>
      <c r="AL3557" s="245"/>
      <c r="AM3557" s="245"/>
      <c r="AN3557" s="245"/>
      <c r="AO3557" s="238">
        <v>0.0</v>
      </c>
      <c r="AP3557" s="238">
        <v>0.0</v>
      </c>
      <c r="AQ3557" s="235" t="s">
        <v>632</v>
      </c>
      <c r="AR3557" s="243">
        <v>2.02E11</v>
      </c>
      <c r="AS3557" s="235" t="s">
        <v>25098</v>
      </c>
      <c r="AT3557" s="235" t="s">
        <v>11</v>
      </c>
      <c r="AU3557" s="235" t="s">
        <v>634</v>
      </c>
      <c r="AV3557" s="246" t="s">
        <v>635</v>
      </c>
      <c r="AW3557" s="227"/>
      <c r="AX3557" s="227"/>
      <c r="AY3557" s="227"/>
      <c r="AZ3557" s="227"/>
      <c r="BA3557" s="227"/>
      <c r="BB3557" s="227"/>
      <c r="BC3557" s="227"/>
      <c r="BD3557" s="227"/>
      <c r="BE3557" s="227"/>
      <c r="BF3557" s="227"/>
    </row>
    <row r="3558">
      <c r="A3558" s="235" t="s">
        <v>26700</v>
      </c>
      <c r="C3558" s="235" t="s">
        <v>26701</v>
      </c>
      <c r="D3558" s="235" t="s">
        <v>26702</v>
      </c>
      <c r="E3558" s="243">
        <v>6.52E13</v>
      </c>
      <c r="F3558" s="245"/>
      <c r="G3558" s="235" t="s">
        <v>26703</v>
      </c>
      <c r="H3558" s="235" t="s">
        <v>26704</v>
      </c>
      <c r="I3558" s="235" t="s">
        <v>26704</v>
      </c>
      <c r="J3558" s="235" t="s">
        <v>26705</v>
      </c>
      <c r="K3558" s="235" t="s">
        <v>26706</v>
      </c>
      <c r="N3558" s="235" t="s">
        <v>127</v>
      </c>
      <c r="O3558" s="235" t="s">
        <v>794</v>
      </c>
      <c r="P3558" s="238">
        <v>1.0</v>
      </c>
      <c r="Q3558" s="235" t="s">
        <v>627</v>
      </c>
      <c r="R3558" s="238">
        <v>236.19</v>
      </c>
      <c r="S3558" s="238">
        <v>11.81</v>
      </c>
      <c r="T3558" s="238">
        <v>0.0</v>
      </c>
      <c r="U3558" s="238">
        <v>0.0</v>
      </c>
      <c r="V3558" s="238">
        <v>0.0</v>
      </c>
      <c r="W3558" s="238">
        <v>0.0</v>
      </c>
      <c r="X3558" s="235" t="s">
        <v>628</v>
      </c>
      <c r="Z3558" s="245"/>
      <c r="AA3558" s="245"/>
      <c r="AB3558" s="245"/>
      <c r="AC3558" s="235" t="s">
        <v>697</v>
      </c>
      <c r="AD3558" s="235" t="s">
        <v>698</v>
      </c>
      <c r="AE3558" s="238">
        <v>501301.0</v>
      </c>
      <c r="AF3558" s="235" t="s">
        <v>631</v>
      </c>
      <c r="AG3558" s="245"/>
      <c r="AH3558" s="245"/>
      <c r="AI3558" s="245"/>
      <c r="AJ3558" s="245"/>
      <c r="AK3558" s="245"/>
      <c r="AL3558" s="245"/>
      <c r="AM3558" s="245"/>
      <c r="AN3558" s="245"/>
      <c r="AO3558" s="238">
        <v>0.0</v>
      </c>
      <c r="AP3558" s="238">
        <v>0.0</v>
      </c>
      <c r="AQ3558" s="235" t="s">
        <v>632</v>
      </c>
      <c r="AR3558" s="243">
        <v>3.71E11</v>
      </c>
      <c r="AS3558" s="235" t="s">
        <v>23542</v>
      </c>
      <c r="AT3558" s="235" t="s">
        <v>11</v>
      </c>
      <c r="AU3558" s="235" t="s">
        <v>634</v>
      </c>
      <c r="AV3558" s="246" t="s">
        <v>635</v>
      </c>
      <c r="AW3558" s="227"/>
      <c r="AX3558" s="227"/>
      <c r="AY3558" s="227"/>
      <c r="AZ3558" s="227"/>
      <c r="BA3558" s="227"/>
      <c r="BB3558" s="227"/>
      <c r="BC3558" s="227"/>
      <c r="BD3558" s="227"/>
      <c r="BE3558" s="227"/>
      <c r="BF3558" s="227"/>
    </row>
    <row r="3559">
      <c r="A3559" s="235" t="s">
        <v>26707</v>
      </c>
      <c r="C3559" s="235" t="s">
        <v>26708</v>
      </c>
      <c r="D3559" s="235" t="s">
        <v>26709</v>
      </c>
      <c r="E3559" s="243">
        <v>6.52E13</v>
      </c>
      <c r="F3559" s="245"/>
      <c r="G3559" s="235" t="s">
        <v>26710</v>
      </c>
      <c r="H3559" s="235" t="s">
        <v>26711</v>
      </c>
      <c r="I3559" s="235" t="s">
        <v>26711</v>
      </c>
      <c r="J3559" s="235" t="s">
        <v>26712</v>
      </c>
      <c r="K3559" s="235" t="s">
        <v>26713</v>
      </c>
      <c r="N3559" s="235" t="s">
        <v>154</v>
      </c>
      <c r="O3559" s="235" t="s">
        <v>766</v>
      </c>
      <c r="P3559" s="238">
        <v>1.0</v>
      </c>
      <c r="Q3559" s="235" t="s">
        <v>627</v>
      </c>
      <c r="R3559" s="238">
        <v>423.8</v>
      </c>
      <c r="S3559" s="238">
        <v>21.2</v>
      </c>
      <c r="T3559" s="238">
        <v>0.0</v>
      </c>
      <c r="U3559" s="238">
        <v>0.0</v>
      </c>
      <c r="V3559" s="238">
        <v>0.0</v>
      </c>
      <c r="W3559" s="238">
        <v>0.0</v>
      </c>
      <c r="X3559" s="235" t="s">
        <v>628</v>
      </c>
      <c r="Z3559" s="245"/>
      <c r="AA3559" s="245"/>
      <c r="AB3559" s="245"/>
      <c r="AC3559" s="235" t="s">
        <v>844</v>
      </c>
      <c r="AD3559" s="235" t="s">
        <v>845</v>
      </c>
      <c r="AE3559" s="238">
        <v>411052.0</v>
      </c>
      <c r="AF3559" s="235" t="s">
        <v>631</v>
      </c>
      <c r="AG3559" s="245"/>
      <c r="AH3559" s="245"/>
      <c r="AI3559" s="245"/>
      <c r="AJ3559" s="245"/>
      <c r="AK3559" s="245"/>
      <c r="AL3559" s="245"/>
      <c r="AM3559" s="245"/>
      <c r="AN3559" s="245"/>
      <c r="AO3559" s="238">
        <v>0.0</v>
      </c>
      <c r="AP3559" s="238">
        <v>0.0</v>
      </c>
      <c r="AQ3559" s="235" t="s">
        <v>632</v>
      </c>
      <c r="AR3559" s="243">
        <v>3.71E11</v>
      </c>
      <c r="AS3559" s="235" t="s">
        <v>23542</v>
      </c>
      <c r="AT3559" s="235" t="s">
        <v>16</v>
      </c>
      <c r="AU3559" s="235" t="s">
        <v>634</v>
      </c>
      <c r="AV3559" s="246" t="s">
        <v>635</v>
      </c>
      <c r="AW3559" s="227"/>
      <c r="AX3559" s="227"/>
      <c r="AY3559" s="227"/>
      <c r="AZ3559" s="227"/>
      <c r="BA3559" s="227"/>
      <c r="BB3559" s="227"/>
      <c r="BC3559" s="227"/>
      <c r="BD3559" s="227"/>
      <c r="BE3559" s="227"/>
      <c r="BF3559" s="227"/>
    </row>
    <row r="3560">
      <c r="A3560" s="235" t="s">
        <v>26714</v>
      </c>
      <c r="C3560" s="235" t="s">
        <v>26715</v>
      </c>
      <c r="D3560" s="235" t="s">
        <v>26716</v>
      </c>
      <c r="E3560" s="243">
        <v>6.52E13</v>
      </c>
      <c r="F3560" s="245"/>
      <c r="G3560" s="235" t="s">
        <v>26717</v>
      </c>
      <c r="H3560" s="235" t="s">
        <v>26718</v>
      </c>
      <c r="I3560" s="235" t="s">
        <v>26718</v>
      </c>
      <c r="J3560" s="235" t="s">
        <v>26719</v>
      </c>
      <c r="K3560" s="235" t="s">
        <v>26720</v>
      </c>
      <c r="N3560" s="235" t="s">
        <v>53</v>
      </c>
      <c r="O3560" s="235" t="s">
        <v>512</v>
      </c>
      <c r="P3560" s="238">
        <v>1.0</v>
      </c>
      <c r="Q3560" s="235" t="s">
        <v>627</v>
      </c>
      <c r="R3560" s="238">
        <v>233.33</v>
      </c>
      <c r="S3560" s="238">
        <v>11.67</v>
      </c>
      <c r="T3560" s="238">
        <v>0.0</v>
      </c>
      <c r="U3560" s="238">
        <v>0.0</v>
      </c>
      <c r="V3560" s="238">
        <v>0.0</v>
      </c>
      <c r="W3560" s="238">
        <v>0.0</v>
      </c>
      <c r="X3560" s="235" t="s">
        <v>628</v>
      </c>
      <c r="Z3560" s="245"/>
      <c r="AA3560" s="245"/>
      <c r="AB3560" s="245"/>
      <c r="AC3560" s="235" t="s">
        <v>26721</v>
      </c>
      <c r="AD3560" s="235" t="s">
        <v>833</v>
      </c>
      <c r="AE3560" s="238">
        <v>534003.0</v>
      </c>
      <c r="AF3560" s="235" t="s">
        <v>631</v>
      </c>
      <c r="AG3560" s="245"/>
      <c r="AH3560" s="245"/>
      <c r="AI3560" s="245"/>
      <c r="AJ3560" s="245"/>
      <c r="AK3560" s="245"/>
      <c r="AL3560" s="245"/>
      <c r="AM3560" s="245"/>
      <c r="AN3560" s="245"/>
      <c r="AO3560" s="238">
        <v>0.0</v>
      </c>
      <c r="AP3560" s="238">
        <v>0.0</v>
      </c>
      <c r="AQ3560" s="235" t="s">
        <v>632</v>
      </c>
      <c r="AR3560" s="243">
        <v>3.71E11</v>
      </c>
      <c r="AS3560" s="235" t="s">
        <v>23542</v>
      </c>
      <c r="AT3560" s="235" t="s">
        <v>156</v>
      </c>
      <c r="AU3560" s="235" t="s">
        <v>634</v>
      </c>
      <c r="AV3560" s="246" t="s">
        <v>635</v>
      </c>
      <c r="AW3560" s="227"/>
      <c r="AX3560" s="227"/>
      <c r="AY3560" s="227"/>
      <c r="AZ3560" s="227"/>
      <c r="BA3560" s="227"/>
      <c r="BB3560" s="227"/>
      <c r="BC3560" s="227"/>
      <c r="BD3560" s="227"/>
      <c r="BE3560" s="227"/>
      <c r="BF3560" s="227"/>
    </row>
    <row r="3561">
      <c r="A3561" s="235" t="s">
        <v>26722</v>
      </c>
      <c r="C3561" s="235" t="s">
        <v>26723</v>
      </c>
      <c r="D3561" s="235" t="s">
        <v>26724</v>
      </c>
      <c r="E3561" s="243">
        <v>6.51E13</v>
      </c>
      <c r="F3561" s="245"/>
      <c r="G3561" s="235" t="s">
        <v>26725</v>
      </c>
      <c r="H3561" s="235" t="s">
        <v>26726</v>
      </c>
      <c r="I3561" s="235" t="s">
        <v>26726</v>
      </c>
      <c r="J3561" s="235" t="s">
        <v>26727</v>
      </c>
      <c r="K3561" s="235" t="s">
        <v>14274</v>
      </c>
      <c r="N3561" s="235" t="s">
        <v>42</v>
      </c>
      <c r="O3561" s="235" t="s">
        <v>204</v>
      </c>
      <c r="P3561" s="238">
        <v>1.0</v>
      </c>
      <c r="Q3561" s="235" t="s">
        <v>627</v>
      </c>
      <c r="R3561" s="238">
        <v>236.2</v>
      </c>
      <c r="S3561" s="238">
        <v>11.8</v>
      </c>
      <c r="T3561" s="238">
        <v>38.1</v>
      </c>
      <c r="U3561" s="238">
        <v>1.9</v>
      </c>
      <c r="V3561" s="238">
        <v>0.0</v>
      </c>
      <c r="W3561" s="238">
        <v>0.0</v>
      </c>
      <c r="X3561" s="235" t="s">
        <v>628</v>
      </c>
      <c r="Z3561" s="245"/>
      <c r="AA3561" s="245"/>
      <c r="AB3561" s="245"/>
      <c r="AC3561" s="235" t="s">
        <v>5679</v>
      </c>
      <c r="AD3561" s="235" t="s">
        <v>679</v>
      </c>
      <c r="AE3561" s="238">
        <v>570026.0</v>
      </c>
      <c r="AF3561" s="235" t="s">
        <v>631</v>
      </c>
      <c r="AG3561" s="245"/>
      <c r="AH3561" s="245"/>
      <c r="AI3561" s="245"/>
      <c r="AJ3561" s="245"/>
      <c r="AK3561" s="245"/>
      <c r="AL3561" s="245"/>
      <c r="AM3561" s="245"/>
      <c r="AN3561" s="245"/>
      <c r="AO3561" s="238">
        <v>0.0</v>
      </c>
      <c r="AP3561" s="238">
        <v>-38.1</v>
      </c>
      <c r="AQ3561" s="235" t="s">
        <v>632</v>
      </c>
      <c r="AR3561" s="243">
        <v>3.71E11</v>
      </c>
      <c r="AS3561" s="235" t="s">
        <v>25098</v>
      </c>
      <c r="AT3561" s="235" t="s">
        <v>11</v>
      </c>
      <c r="AU3561" s="235" t="s">
        <v>634</v>
      </c>
      <c r="AV3561" s="246" t="s">
        <v>635</v>
      </c>
      <c r="AW3561" s="227"/>
      <c r="AX3561" s="227"/>
      <c r="AY3561" s="227"/>
      <c r="AZ3561" s="227"/>
      <c r="BA3561" s="227"/>
      <c r="BB3561" s="227"/>
      <c r="BC3561" s="227"/>
      <c r="BD3561" s="227"/>
      <c r="BE3561" s="227"/>
      <c r="BF3561" s="227"/>
    </row>
    <row r="3562">
      <c r="A3562" s="235" t="s">
        <v>26728</v>
      </c>
      <c r="C3562" s="235" t="s">
        <v>26729</v>
      </c>
      <c r="D3562" s="235" t="s">
        <v>26730</v>
      </c>
      <c r="E3562" s="243">
        <v>6.51E13</v>
      </c>
      <c r="F3562" s="245"/>
      <c r="G3562" s="235" t="s">
        <v>26731</v>
      </c>
      <c r="H3562" s="235" t="s">
        <v>26732</v>
      </c>
      <c r="I3562" s="235" t="s">
        <v>26732</v>
      </c>
      <c r="J3562" s="235" t="s">
        <v>26733</v>
      </c>
      <c r="K3562" s="235" t="s">
        <v>26734</v>
      </c>
      <c r="N3562" s="235" t="s">
        <v>127</v>
      </c>
      <c r="O3562" s="235" t="s">
        <v>794</v>
      </c>
      <c r="P3562" s="238">
        <v>1.0</v>
      </c>
      <c r="Q3562" s="235" t="s">
        <v>627</v>
      </c>
      <c r="R3562" s="238">
        <v>243.8</v>
      </c>
      <c r="S3562" s="238">
        <v>12.2</v>
      </c>
      <c r="T3562" s="238">
        <v>38.1</v>
      </c>
      <c r="U3562" s="238">
        <v>1.9</v>
      </c>
      <c r="V3562" s="238">
        <v>0.0</v>
      </c>
      <c r="W3562" s="238">
        <v>0.0</v>
      </c>
      <c r="X3562" s="235" t="s">
        <v>628</v>
      </c>
      <c r="Z3562" s="245"/>
      <c r="AA3562" s="245"/>
      <c r="AB3562" s="245"/>
      <c r="AC3562" s="235" t="s">
        <v>1058</v>
      </c>
      <c r="AD3562" s="235" t="s">
        <v>845</v>
      </c>
      <c r="AE3562" s="238">
        <v>400059.0</v>
      </c>
      <c r="AF3562" s="235" t="s">
        <v>631</v>
      </c>
      <c r="AG3562" s="245"/>
      <c r="AH3562" s="245"/>
      <c r="AI3562" s="245"/>
      <c r="AJ3562" s="245"/>
      <c r="AK3562" s="245"/>
      <c r="AL3562" s="245"/>
      <c r="AM3562" s="245"/>
      <c r="AN3562" s="245"/>
      <c r="AO3562" s="238">
        <v>0.0</v>
      </c>
      <c r="AP3562" s="238">
        <v>-38.1</v>
      </c>
      <c r="AQ3562" s="235" t="s">
        <v>632</v>
      </c>
      <c r="AR3562" s="243">
        <v>3.71E11</v>
      </c>
      <c r="AS3562" s="235" t="s">
        <v>25098</v>
      </c>
      <c r="AT3562" s="235" t="s">
        <v>17</v>
      </c>
      <c r="AU3562" s="235" t="s">
        <v>634</v>
      </c>
      <c r="AV3562" s="246" t="s">
        <v>635</v>
      </c>
      <c r="AW3562" s="227"/>
      <c r="AX3562" s="227"/>
      <c r="AY3562" s="227"/>
      <c r="AZ3562" s="227"/>
      <c r="BA3562" s="227"/>
      <c r="BB3562" s="227"/>
      <c r="BC3562" s="227"/>
      <c r="BD3562" s="227"/>
      <c r="BE3562" s="227"/>
      <c r="BF3562" s="227"/>
    </row>
    <row r="3563">
      <c r="A3563" s="235" t="s">
        <v>26735</v>
      </c>
      <c r="C3563" s="235" t="s">
        <v>26736</v>
      </c>
      <c r="D3563" s="235" t="s">
        <v>26737</v>
      </c>
      <c r="E3563" s="243">
        <v>6.52E13</v>
      </c>
      <c r="F3563" s="245"/>
      <c r="G3563" s="235" t="s">
        <v>26738</v>
      </c>
      <c r="H3563" s="235" t="s">
        <v>26739</v>
      </c>
      <c r="I3563" s="235" t="s">
        <v>26739</v>
      </c>
      <c r="J3563" s="235" t="s">
        <v>26740</v>
      </c>
      <c r="K3563" s="235" t="s">
        <v>26741</v>
      </c>
      <c r="N3563" s="235" t="s">
        <v>82</v>
      </c>
      <c r="O3563" s="235" t="s">
        <v>889</v>
      </c>
      <c r="P3563" s="238">
        <v>1.0</v>
      </c>
      <c r="Q3563" s="235" t="s">
        <v>627</v>
      </c>
      <c r="R3563" s="238">
        <v>246.66</v>
      </c>
      <c r="S3563" s="238">
        <v>12.34</v>
      </c>
      <c r="T3563" s="238">
        <v>0.0</v>
      </c>
      <c r="U3563" s="238">
        <v>0.0</v>
      </c>
      <c r="V3563" s="238">
        <v>0.0</v>
      </c>
      <c r="W3563" s="238">
        <v>0.0</v>
      </c>
      <c r="X3563" s="235" t="s">
        <v>628</v>
      </c>
      <c r="Z3563" s="245"/>
      <c r="AA3563" s="245"/>
      <c r="AB3563" s="245"/>
      <c r="AC3563" s="235" t="s">
        <v>1320</v>
      </c>
      <c r="AD3563" s="235" t="s">
        <v>666</v>
      </c>
      <c r="AE3563" s="238">
        <v>600089.0</v>
      </c>
      <c r="AF3563" s="235" t="s">
        <v>631</v>
      </c>
      <c r="AG3563" s="245"/>
      <c r="AH3563" s="245"/>
      <c r="AI3563" s="245"/>
      <c r="AJ3563" s="245"/>
      <c r="AK3563" s="245"/>
      <c r="AL3563" s="245"/>
      <c r="AM3563" s="245"/>
      <c r="AN3563" s="245"/>
      <c r="AO3563" s="238">
        <v>0.0</v>
      </c>
      <c r="AP3563" s="238">
        <v>0.0</v>
      </c>
      <c r="AQ3563" s="235" t="s">
        <v>632</v>
      </c>
      <c r="AR3563" s="243">
        <v>3.71E11</v>
      </c>
      <c r="AS3563" s="235" t="s">
        <v>25098</v>
      </c>
      <c r="AT3563" s="235" t="s">
        <v>156</v>
      </c>
      <c r="AU3563" s="235" t="s">
        <v>634</v>
      </c>
      <c r="AV3563" s="246" t="s">
        <v>635</v>
      </c>
      <c r="AW3563" s="227"/>
      <c r="AX3563" s="227"/>
      <c r="AY3563" s="227"/>
      <c r="AZ3563" s="227"/>
      <c r="BA3563" s="227"/>
      <c r="BB3563" s="227"/>
      <c r="BC3563" s="227"/>
      <c r="BD3563" s="227"/>
      <c r="BE3563" s="227"/>
      <c r="BF3563" s="227"/>
    </row>
    <row r="3564">
      <c r="A3564" s="235" t="s">
        <v>26742</v>
      </c>
      <c r="C3564" s="235" t="s">
        <v>26743</v>
      </c>
      <c r="D3564" s="235" t="s">
        <v>26744</v>
      </c>
      <c r="E3564" s="243">
        <v>6.52E13</v>
      </c>
      <c r="F3564" s="245"/>
      <c r="G3564" s="235" t="s">
        <v>26745</v>
      </c>
      <c r="H3564" s="235" t="s">
        <v>26746</v>
      </c>
      <c r="I3564" s="235" t="s">
        <v>26746</v>
      </c>
      <c r="J3564" s="235" t="s">
        <v>26747</v>
      </c>
      <c r="K3564" s="235" t="s">
        <v>19498</v>
      </c>
      <c r="N3564" s="235" t="s">
        <v>42</v>
      </c>
      <c r="O3564" s="235" t="s">
        <v>204</v>
      </c>
      <c r="P3564" s="238">
        <v>1.0</v>
      </c>
      <c r="Q3564" s="235" t="s">
        <v>627</v>
      </c>
      <c r="R3564" s="238">
        <v>236.2</v>
      </c>
      <c r="S3564" s="238">
        <v>11.8</v>
      </c>
      <c r="T3564" s="238">
        <v>0.0</v>
      </c>
      <c r="U3564" s="238">
        <v>0.0</v>
      </c>
      <c r="V3564" s="238">
        <v>0.0</v>
      </c>
      <c r="W3564" s="238">
        <v>0.0</v>
      </c>
      <c r="X3564" s="235" t="s">
        <v>628</v>
      </c>
      <c r="Z3564" s="245"/>
      <c r="AA3564" s="245"/>
      <c r="AB3564" s="245"/>
      <c r="AC3564" s="235" t="s">
        <v>1320</v>
      </c>
      <c r="AD3564" s="235" t="s">
        <v>666</v>
      </c>
      <c r="AE3564" s="238">
        <v>600116.0</v>
      </c>
      <c r="AF3564" s="235" t="s">
        <v>631</v>
      </c>
      <c r="AG3564" s="245"/>
      <c r="AH3564" s="245"/>
      <c r="AI3564" s="245"/>
      <c r="AJ3564" s="245"/>
      <c r="AK3564" s="245"/>
      <c r="AL3564" s="245"/>
      <c r="AM3564" s="245"/>
      <c r="AN3564" s="245"/>
      <c r="AO3564" s="238">
        <v>0.0</v>
      </c>
      <c r="AP3564" s="238">
        <v>0.0</v>
      </c>
      <c r="AQ3564" s="235" t="s">
        <v>632</v>
      </c>
      <c r="AR3564" s="243">
        <v>2.02E11</v>
      </c>
      <c r="AS3564" s="235" t="s">
        <v>25098</v>
      </c>
      <c r="AT3564" s="235" t="s">
        <v>155</v>
      </c>
      <c r="AU3564" s="235" t="s">
        <v>634</v>
      </c>
      <c r="AV3564" s="246" t="s">
        <v>635</v>
      </c>
      <c r="AW3564" s="227"/>
      <c r="AX3564" s="227"/>
      <c r="AY3564" s="227"/>
      <c r="AZ3564" s="227"/>
      <c r="BA3564" s="227"/>
      <c r="BB3564" s="227"/>
      <c r="BC3564" s="227"/>
      <c r="BD3564" s="227"/>
      <c r="BE3564" s="227"/>
      <c r="BF3564" s="227"/>
    </row>
    <row r="3565">
      <c r="A3565" s="235" t="s">
        <v>26748</v>
      </c>
      <c r="C3565" s="235" t="s">
        <v>26749</v>
      </c>
      <c r="D3565" s="235" t="s">
        <v>26750</v>
      </c>
      <c r="E3565" s="243">
        <v>6.52E13</v>
      </c>
      <c r="F3565" s="245"/>
      <c r="G3565" s="235" t="s">
        <v>26751</v>
      </c>
      <c r="H3565" s="235" t="s">
        <v>26752</v>
      </c>
      <c r="I3565" s="235" t="s">
        <v>26752</v>
      </c>
      <c r="J3565" s="235" t="s">
        <v>26753</v>
      </c>
      <c r="K3565" s="235" t="s">
        <v>26754</v>
      </c>
      <c r="N3565" s="235" t="s">
        <v>51</v>
      </c>
      <c r="O3565" s="235" t="s">
        <v>273</v>
      </c>
      <c r="P3565" s="238">
        <v>1.0</v>
      </c>
      <c r="Q3565" s="235" t="s">
        <v>627</v>
      </c>
      <c r="R3565" s="238">
        <v>246.67</v>
      </c>
      <c r="S3565" s="238">
        <v>12.33</v>
      </c>
      <c r="T3565" s="238">
        <v>0.0</v>
      </c>
      <c r="U3565" s="238">
        <v>0.0</v>
      </c>
      <c r="V3565" s="238">
        <v>0.0</v>
      </c>
      <c r="W3565" s="238">
        <v>0.0</v>
      </c>
      <c r="X3565" s="235" t="s">
        <v>628</v>
      </c>
      <c r="Z3565" s="245"/>
      <c r="AA3565" s="245"/>
      <c r="AB3565" s="245"/>
      <c r="AC3565" s="235" t="s">
        <v>26755</v>
      </c>
      <c r="AD3565" s="235" t="s">
        <v>1499</v>
      </c>
      <c r="AE3565" s="238">
        <v>452001.0</v>
      </c>
      <c r="AF3565" s="235" t="s">
        <v>631</v>
      </c>
      <c r="AG3565" s="245"/>
      <c r="AH3565" s="245"/>
      <c r="AI3565" s="245"/>
      <c r="AJ3565" s="245"/>
      <c r="AK3565" s="245"/>
      <c r="AL3565" s="245"/>
      <c r="AM3565" s="245"/>
      <c r="AN3565" s="245"/>
      <c r="AO3565" s="238">
        <v>0.0</v>
      </c>
      <c r="AP3565" s="238">
        <v>0.0</v>
      </c>
      <c r="AQ3565" s="235" t="s">
        <v>632</v>
      </c>
      <c r="AR3565" s="243">
        <v>1.68E11</v>
      </c>
      <c r="AS3565" s="235" t="s">
        <v>25098</v>
      </c>
      <c r="AT3565" s="235" t="s">
        <v>13</v>
      </c>
      <c r="AU3565" s="235" t="s">
        <v>634</v>
      </c>
      <c r="AV3565" s="246" t="s">
        <v>635</v>
      </c>
      <c r="AW3565" s="227"/>
      <c r="AX3565" s="227"/>
      <c r="AY3565" s="227"/>
      <c r="AZ3565" s="227"/>
      <c r="BA3565" s="227"/>
      <c r="BB3565" s="227"/>
      <c r="BC3565" s="227"/>
      <c r="BD3565" s="227"/>
      <c r="BE3565" s="227"/>
      <c r="BF3565" s="227"/>
    </row>
    <row r="3566">
      <c r="A3566" s="235" t="s">
        <v>26756</v>
      </c>
      <c r="C3566" s="235" t="s">
        <v>26757</v>
      </c>
      <c r="D3566" s="235" t="s">
        <v>26758</v>
      </c>
      <c r="E3566" s="243">
        <v>6.52E13</v>
      </c>
      <c r="F3566" s="245"/>
      <c r="G3566" s="235" t="s">
        <v>26759</v>
      </c>
      <c r="H3566" s="235" t="s">
        <v>26760</v>
      </c>
      <c r="I3566" s="235" t="s">
        <v>26761</v>
      </c>
      <c r="J3566" s="235" t="s">
        <v>26762</v>
      </c>
      <c r="K3566" s="235" t="s">
        <v>26763</v>
      </c>
      <c r="N3566" s="235" t="s">
        <v>92</v>
      </c>
      <c r="O3566" s="235" t="s">
        <v>248</v>
      </c>
      <c r="P3566" s="238">
        <v>1.0</v>
      </c>
      <c r="Q3566" s="235" t="s">
        <v>627</v>
      </c>
      <c r="R3566" s="238">
        <v>233.33</v>
      </c>
      <c r="S3566" s="238">
        <v>11.32</v>
      </c>
      <c r="T3566" s="238">
        <v>0.0</v>
      </c>
      <c r="U3566" s="238">
        <v>0.0</v>
      </c>
      <c r="V3566" s="238">
        <v>0.0</v>
      </c>
      <c r="W3566" s="238">
        <v>0.0</v>
      </c>
      <c r="X3566" s="235" t="s">
        <v>628</v>
      </c>
      <c r="Z3566" s="245"/>
      <c r="AA3566" s="245"/>
      <c r="AB3566" s="245"/>
      <c r="AC3566" s="235" t="s">
        <v>26764</v>
      </c>
      <c r="AD3566" s="235" t="s">
        <v>891</v>
      </c>
      <c r="AE3566" s="238">
        <v>605006.0</v>
      </c>
      <c r="AF3566" s="235" t="s">
        <v>631</v>
      </c>
      <c r="AG3566" s="245"/>
      <c r="AH3566" s="245"/>
      <c r="AI3566" s="245"/>
      <c r="AJ3566" s="245"/>
      <c r="AK3566" s="245"/>
      <c r="AL3566" s="245"/>
      <c r="AM3566" s="245"/>
      <c r="AN3566" s="245"/>
      <c r="AO3566" s="238">
        <v>-7.0</v>
      </c>
      <c r="AP3566" s="238">
        <v>0.0</v>
      </c>
      <c r="AQ3566" s="235" t="s">
        <v>632</v>
      </c>
      <c r="AR3566" s="243">
        <v>3.71E11</v>
      </c>
      <c r="AS3566" s="235" t="s">
        <v>25098</v>
      </c>
      <c r="AT3566" s="235" t="s">
        <v>156</v>
      </c>
      <c r="AU3566" s="235" t="s">
        <v>634</v>
      </c>
      <c r="AV3566" s="246" t="s">
        <v>635</v>
      </c>
      <c r="AW3566" s="227"/>
      <c r="AX3566" s="227"/>
      <c r="AY3566" s="227"/>
      <c r="AZ3566" s="227"/>
      <c r="BA3566" s="227"/>
      <c r="BB3566" s="227"/>
      <c r="BC3566" s="227"/>
      <c r="BD3566" s="227"/>
      <c r="BE3566" s="227"/>
      <c r="BF3566" s="227"/>
    </row>
    <row r="3567">
      <c r="A3567" s="235" t="s">
        <v>26765</v>
      </c>
      <c r="C3567" s="235" t="s">
        <v>26766</v>
      </c>
      <c r="D3567" s="235" t="s">
        <v>26767</v>
      </c>
      <c r="E3567" s="243">
        <v>6.52E13</v>
      </c>
      <c r="F3567" s="245"/>
      <c r="G3567" s="235" t="s">
        <v>26768</v>
      </c>
      <c r="H3567" s="235" t="s">
        <v>26769</v>
      </c>
      <c r="I3567" s="235" t="s">
        <v>26769</v>
      </c>
      <c r="J3567" s="235" t="s">
        <v>26770</v>
      </c>
      <c r="K3567" s="235" t="s">
        <v>26771</v>
      </c>
      <c r="N3567" s="235" t="s">
        <v>139</v>
      </c>
      <c r="O3567" s="235" t="s">
        <v>2091</v>
      </c>
      <c r="P3567" s="238">
        <v>1.0</v>
      </c>
      <c r="Q3567" s="235" t="s">
        <v>627</v>
      </c>
      <c r="R3567" s="238">
        <v>233.33</v>
      </c>
      <c r="S3567" s="238">
        <v>11.44</v>
      </c>
      <c r="T3567" s="238">
        <v>0.0</v>
      </c>
      <c r="U3567" s="238">
        <v>0.0</v>
      </c>
      <c r="V3567" s="238">
        <v>0.0</v>
      </c>
      <c r="W3567" s="238">
        <v>0.0</v>
      </c>
      <c r="X3567" s="235" t="s">
        <v>628</v>
      </c>
      <c r="Z3567" s="245"/>
      <c r="AA3567" s="245"/>
      <c r="AB3567" s="245"/>
      <c r="AC3567" s="235" t="s">
        <v>687</v>
      </c>
      <c r="AD3567" s="235" t="s">
        <v>666</v>
      </c>
      <c r="AE3567" s="238">
        <v>600117.0</v>
      </c>
      <c r="AF3567" s="235" t="s">
        <v>631</v>
      </c>
      <c r="AG3567" s="245"/>
      <c r="AH3567" s="245"/>
      <c r="AI3567" s="245"/>
      <c r="AJ3567" s="245"/>
      <c r="AK3567" s="245"/>
      <c r="AL3567" s="245"/>
      <c r="AM3567" s="245"/>
      <c r="AN3567" s="245"/>
      <c r="AO3567" s="238">
        <v>-4.67</v>
      </c>
      <c r="AP3567" s="238">
        <v>0.0</v>
      </c>
      <c r="AQ3567" s="235" t="s">
        <v>632</v>
      </c>
      <c r="AR3567" s="243">
        <v>1.68E11</v>
      </c>
      <c r="AS3567" s="235" t="s">
        <v>25098</v>
      </c>
      <c r="AT3567" s="235" t="s">
        <v>9</v>
      </c>
      <c r="AU3567" s="235" t="s">
        <v>634</v>
      </c>
      <c r="AV3567" s="246" t="s">
        <v>635</v>
      </c>
      <c r="AW3567" s="227"/>
      <c r="AX3567" s="227"/>
      <c r="AY3567" s="227"/>
      <c r="AZ3567" s="227"/>
      <c r="BA3567" s="227"/>
      <c r="BB3567" s="227"/>
      <c r="BC3567" s="227"/>
      <c r="BD3567" s="227"/>
      <c r="BE3567" s="227"/>
      <c r="BF3567" s="227"/>
    </row>
    <row r="3568">
      <c r="A3568" s="235" t="s">
        <v>26772</v>
      </c>
      <c r="C3568" s="235" t="s">
        <v>26773</v>
      </c>
      <c r="D3568" s="235" t="s">
        <v>26774</v>
      </c>
      <c r="E3568" s="243">
        <v>6.52E13</v>
      </c>
      <c r="F3568" s="245"/>
      <c r="G3568" s="235" t="s">
        <v>26775</v>
      </c>
      <c r="H3568" s="235" t="s">
        <v>26769</v>
      </c>
      <c r="I3568" s="235" t="s">
        <v>26769</v>
      </c>
      <c r="J3568" s="235" t="s">
        <v>26776</v>
      </c>
      <c r="K3568" s="235" t="s">
        <v>26777</v>
      </c>
      <c r="N3568" s="235" t="s">
        <v>962</v>
      </c>
      <c r="O3568" s="235" t="s">
        <v>963</v>
      </c>
      <c r="P3568" s="238">
        <v>1.0</v>
      </c>
      <c r="Q3568" s="235" t="s">
        <v>627</v>
      </c>
      <c r="R3568" s="238">
        <v>237.14</v>
      </c>
      <c r="S3568" s="238">
        <v>11.86</v>
      </c>
      <c r="T3568" s="238">
        <v>0.0</v>
      </c>
      <c r="U3568" s="238">
        <v>0.0</v>
      </c>
      <c r="V3568" s="238">
        <v>0.0</v>
      </c>
      <c r="W3568" s="238">
        <v>0.0</v>
      </c>
      <c r="X3568" s="235" t="s">
        <v>628</v>
      </c>
      <c r="Z3568" s="245"/>
      <c r="AA3568" s="245"/>
      <c r="AB3568" s="245"/>
      <c r="AC3568" s="235" t="s">
        <v>3398</v>
      </c>
      <c r="AD3568" s="235" t="s">
        <v>698</v>
      </c>
      <c r="AE3568" s="238">
        <v>500015.0</v>
      </c>
      <c r="AF3568" s="235" t="s">
        <v>631</v>
      </c>
      <c r="AG3568" s="245"/>
      <c r="AH3568" s="245"/>
      <c r="AI3568" s="245"/>
      <c r="AJ3568" s="245"/>
      <c r="AK3568" s="245"/>
      <c r="AL3568" s="245"/>
      <c r="AM3568" s="245"/>
      <c r="AN3568" s="245"/>
      <c r="AO3568" s="238">
        <v>0.0</v>
      </c>
      <c r="AP3568" s="238">
        <v>0.0</v>
      </c>
      <c r="AQ3568" s="235" t="s">
        <v>632</v>
      </c>
      <c r="AR3568" s="243">
        <v>1.68E11</v>
      </c>
      <c r="AS3568" s="235" t="s">
        <v>25098</v>
      </c>
      <c r="AT3568" s="235" t="s">
        <v>9</v>
      </c>
      <c r="AU3568" s="235" t="s">
        <v>634</v>
      </c>
      <c r="AV3568" s="246" t="s">
        <v>635</v>
      </c>
      <c r="AW3568" s="227"/>
      <c r="AX3568" s="227"/>
      <c r="AY3568" s="227"/>
      <c r="AZ3568" s="227"/>
      <c r="BA3568" s="227"/>
      <c r="BB3568" s="227"/>
      <c r="BC3568" s="227"/>
      <c r="BD3568" s="227"/>
      <c r="BE3568" s="227"/>
      <c r="BF3568" s="227"/>
    </row>
    <row r="3569">
      <c r="A3569" s="235" t="s">
        <v>26778</v>
      </c>
      <c r="C3569" s="235" t="s">
        <v>26779</v>
      </c>
      <c r="D3569" s="235" t="s">
        <v>26780</v>
      </c>
      <c r="E3569" s="243">
        <v>6.52E13</v>
      </c>
      <c r="F3569" s="245"/>
      <c r="G3569" s="235" t="s">
        <v>26781</v>
      </c>
      <c r="H3569" s="235" t="s">
        <v>26782</v>
      </c>
      <c r="I3569" s="235" t="s">
        <v>26782</v>
      </c>
      <c r="J3569" s="235" t="s">
        <v>26783</v>
      </c>
      <c r="K3569" s="235" t="s">
        <v>26784</v>
      </c>
      <c r="N3569" s="235" t="s">
        <v>82</v>
      </c>
      <c r="O3569" s="235" t="s">
        <v>889</v>
      </c>
      <c r="P3569" s="238">
        <v>1.0</v>
      </c>
      <c r="Q3569" s="235" t="s">
        <v>627</v>
      </c>
      <c r="R3569" s="238">
        <v>246.67</v>
      </c>
      <c r="S3569" s="238">
        <v>11.96</v>
      </c>
      <c r="T3569" s="238">
        <v>0.0</v>
      </c>
      <c r="U3569" s="238">
        <v>0.0</v>
      </c>
      <c r="V3569" s="238">
        <v>0.0</v>
      </c>
      <c r="W3569" s="238">
        <v>0.0</v>
      </c>
      <c r="X3569" s="235" t="s">
        <v>628</v>
      </c>
      <c r="Z3569" s="245"/>
      <c r="AA3569" s="245"/>
      <c r="AB3569" s="245"/>
      <c r="AC3569" s="235" t="s">
        <v>697</v>
      </c>
      <c r="AD3569" s="235" t="s">
        <v>698</v>
      </c>
      <c r="AE3569" s="238">
        <v>500085.0</v>
      </c>
      <c r="AF3569" s="235" t="s">
        <v>631</v>
      </c>
      <c r="AG3569" s="245"/>
      <c r="AH3569" s="245"/>
      <c r="AI3569" s="245"/>
      <c r="AJ3569" s="245"/>
      <c r="AK3569" s="245"/>
      <c r="AL3569" s="245"/>
      <c r="AM3569" s="245"/>
      <c r="AN3569" s="245"/>
      <c r="AO3569" s="238">
        <v>-7.4</v>
      </c>
      <c r="AP3569" s="238">
        <v>0.0</v>
      </c>
      <c r="AQ3569" s="235" t="s">
        <v>632</v>
      </c>
      <c r="AR3569" s="243">
        <v>3.71E11</v>
      </c>
      <c r="AS3569" s="235" t="s">
        <v>23542</v>
      </c>
      <c r="AT3569" s="235" t="s">
        <v>11</v>
      </c>
      <c r="AU3569" s="235" t="s">
        <v>634</v>
      </c>
      <c r="AV3569" s="246" t="s">
        <v>635</v>
      </c>
      <c r="AW3569" s="227"/>
      <c r="AX3569" s="227"/>
      <c r="AY3569" s="227"/>
      <c r="AZ3569" s="227"/>
      <c r="BA3569" s="227"/>
      <c r="BB3569" s="227"/>
      <c r="BC3569" s="227"/>
      <c r="BD3569" s="227"/>
      <c r="BE3569" s="227"/>
      <c r="BF3569" s="227"/>
    </row>
    <row r="3570">
      <c r="A3570" s="235" t="s">
        <v>26785</v>
      </c>
      <c r="C3570" s="235" t="s">
        <v>26786</v>
      </c>
      <c r="D3570" s="235" t="s">
        <v>26787</v>
      </c>
      <c r="E3570" s="243">
        <v>6.51E13</v>
      </c>
      <c r="F3570" s="245"/>
      <c r="G3570" s="235" t="s">
        <v>26788</v>
      </c>
      <c r="H3570" s="235" t="s">
        <v>26789</v>
      </c>
      <c r="I3570" s="235" t="s">
        <v>26789</v>
      </c>
      <c r="J3570" s="235" t="s">
        <v>26790</v>
      </c>
      <c r="K3570" s="235" t="s">
        <v>26791</v>
      </c>
      <c r="N3570" s="235" t="s">
        <v>117</v>
      </c>
      <c r="O3570" s="235" t="s">
        <v>334</v>
      </c>
      <c r="P3570" s="238">
        <v>1.0</v>
      </c>
      <c r="Q3570" s="235" t="s">
        <v>627</v>
      </c>
      <c r="R3570" s="238">
        <v>270.48</v>
      </c>
      <c r="S3570" s="238">
        <v>13.25</v>
      </c>
      <c r="T3570" s="238">
        <v>0.0</v>
      </c>
      <c r="U3570" s="238">
        <v>0.0</v>
      </c>
      <c r="V3570" s="238">
        <v>0.0</v>
      </c>
      <c r="W3570" s="238">
        <v>0.0</v>
      </c>
      <c r="X3570" s="235" t="s">
        <v>628</v>
      </c>
      <c r="Z3570" s="245"/>
      <c r="AA3570" s="245"/>
      <c r="AB3570" s="245"/>
      <c r="AC3570" s="235" t="s">
        <v>8273</v>
      </c>
      <c r="AD3570" s="235" t="s">
        <v>3113</v>
      </c>
      <c r="AE3570" s="238">
        <v>492001.0</v>
      </c>
      <c r="AF3570" s="235" t="s">
        <v>631</v>
      </c>
      <c r="AG3570" s="245"/>
      <c r="AH3570" s="245"/>
      <c r="AI3570" s="245"/>
      <c r="AJ3570" s="245"/>
      <c r="AK3570" s="245"/>
      <c r="AL3570" s="245"/>
      <c r="AM3570" s="245"/>
      <c r="AN3570" s="245"/>
      <c r="AO3570" s="238">
        <v>-5.41</v>
      </c>
      <c r="AP3570" s="238">
        <v>0.0</v>
      </c>
      <c r="AQ3570" s="235" t="s">
        <v>632</v>
      </c>
      <c r="AR3570" s="243">
        <v>3.71E11</v>
      </c>
      <c r="AS3570" s="235" t="s">
        <v>22269</v>
      </c>
      <c r="AT3570" s="235" t="s">
        <v>9</v>
      </c>
      <c r="AU3570" s="235" t="s">
        <v>634</v>
      </c>
      <c r="AV3570" s="246" t="s">
        <v>635</v>
      </c>
      <c r="AW3570" s="227"/>
      <c r="AX3570" s="227"/>
      <c r="AY3570" s="227"/>
      <c r="AZ3570" s="227"/>
      <c r="BA3570" s="227"/>
      <c r="BB3570" s="227"/>
      <c r="BC3570" s="227"/>
      <c r="BD3570" s="227"/>
      <c r="BE3570" s="227"/>
      <c r="BF3570" s="227"/>
    </row>
    <row r="3571">
      <c r="A3571" s="235" t="s">
        <v>26792</v>
      </c>
      <c r="C3571" s="235" t="s">
        <v>26793</v>
      </c>
      <c r="D3571" s="235" t="s">
        <v>26794</v>
      </c>
      <c r="E3571" s="243">
        <v>6.52E13</v>
      </c>
      <c r="F3571" s="245"/>
      <c r="G3571" s="235" t="s">
        <v>26795</v>
      </c>
      <c r="H3571" s="235" t="s">
        <v>26796</v>
      </c>
      <c r="I3571" s="235" t="s">
        <v>26796</v>
      </c>
      <c r="J3571" s="235" t="s">
        <v>26797</v>
      </c>
      <c r="K3571" s="235" t="s">
        <v>26798</v>
      </c>
      <c r="N3571" s="235" t="s">
        <v>962</v>
      </c>
      <c r="O3571" s="235" t="s">
        <v>963</v>
      </c>
      <c r="P3571" s="238">
        <v>1.0</v>
      </c>
      <c r="Q3571" s="235" t="s">
        <v>627</v>
      </c>
      <c r="R3571" s="238">
        <v>237.14</v>
      </c>
      <c r="S3571" s="238">
        <v>11.5</v>
      </c>
      <c r="T3571" s="238">
        <v>0.0</v>
      </c>
      <c r="U3571" s="238">
        <v>0.0</v>
      </c>
      <c r="V3571" s="238">
        <v>0.0</v>
      </c>
      <c r="W3571" s="238">
        <v>0.0</v>
      </c>
      <c r="X3571" s="235" t="s">
        <v>628</v>
      </c>
      <c r="Z3571" s="245"/>
      <c r="AA3571" s="245"/>
      <c r="AB3571" s="245"/>
      <c r="AC3571" s="235" t="s">
        <v>1320</v>
      </c>
      <c r="AD3571" s="235" t="s">
        <v>666</v>
      </c>
      <c r="AE3571" s="238">
        <v>600063.0</v>
      </c>
      <c r="AF3571" s="235" t="s">
        <v>631</v>
      </c>
      <c r="AG3571" s="245"/>
      <c r="AH3571" s="245"/>
      <c r="AI3571" s="245"/>
      <c r="AJ3571" s="245"/>
      <c r="AK3571" s="245"/>
      <c r="AL3571" s="245"/>
      <c r="AM3571" s="245"/>
      <c r="AN3571" s="245"/>
      <c r="AO3571" s="238">
        <v>-7.11</v>
      </c>
      <c r="AP3571" s="238">
        <v>0.0</v>
      </c>
      <c r="AQ3571" s="235" t="s">
        <v>632</v>
      </c>
      <c r="AR3571" s="243">
        <v>1.68E11</v>
      </c>
      <c r="AS3571" s="235" t="s">
        <v>25098</v>
      </c>
      <c r="AT3571" s="235" t="s">
        <v>11</v>
      </c>
      <c r="AU3571" s="235" t="s">
        <v>634</v>
      </c>
      <c r="AV3571" s="246" t="s">
        <v>635</v>
      </c>
      <c r="AW3571" s="227"/>
      <c r="AX3571" s="227"/>
      <c r="AY3571" s="227"/>
      <c r="AZ3571" s="227"/>
      <c r="BA3571" s="227"/>
      <c r="BB3571" s="227"/>
      <c r="BC3571" s="227"/>
      <c r="BD3571" s="227"/>
      <c r="BE3571" s="227"/>
      <c r="BF3571" s="227"/>
    </row>
    <row r="3572">
      <c r="A3572" s="235" t="s">
        <v>26799</v>
      </c>
      <c r="C3572" s="235" t="s">
        <v>26800</v>
      </c>
      <c r="D3572" s="235" t="s">
        <v>26801</v>
      </c>
      <c r="E3572" s="243">
        <v>6.52E13</v>
      </c>
      <c r="F3572" s="245"/>
      <c r="G3572" s="235" t="s">
        <v>26802</v>
      </c>
      <c r="H3572" s="235" t="s">
        <v>26803</v>
      </c>
      <c r="I3572" s="235" t="s">
        <v>26803</v>
      </c>
      <c r="J3572" s="235" t="s">
        <v>26804</v>
      </c>
      <c r="K3572" s="235" t="s">
        <v>26805</v>
      </c>
      <c r="N3572" s="235" t="s">
        <v>3467</v>
      </c>
      <c r="O3572" s="235" t="s">
        <v>3468</v>
      </c>
      <c r="P3572" s="238">
        <v>1.0</v>
      </c>
      <c r="Q3572" s="235" t="s">
        <v>627</v>
      </c>
      <c r="R3572" s="238">
        <v>237.14</v>
      </c>
      <c r="S3572" s="238">
        <v>11.86</v>
      </c>
      <c r="T3572" s="238">
        <v>0.0</v>
      </c>
      <c r="U3572" s="238">
        <v>0.0</v>
      </c>
      <c r="V3572" s="238">
        <v>0.0</v>
      </c>
      <c r="W3572" s="238">
        <v>0.0</v>
      </c>
      <c r="X3572" s="235" t="s">
        <v>628</v>
      </c>
      <c r="Z3572" s="245"/>
      <c r="AA3572" s="245"/>
      <c r="AB3572" s="245"/>
      <c r="AC3572" s="235" t="s">
        <v>26806</v>
      </c>
      <c r="AD3572" s="235" t="s">
        <v>698</v>
      </c>
      <c r="AE3572" s="238">
        <v>500013.0</v>
      </c>
      <c r="AF3572" s="235" t="s">
        <v>631</v>
      </c>
      <c r="AG3572" s="245"/>
      <c r="AH3572" s="245"/>
      <c r="AI3572" s="245"/>
      <c r="AJ3572" s="245"/>
      <c r="AK3572" s="245"/>
      <c r="AL3572" s="245"/>
      <c r="AM3572" s="245"/>
      <c r="AN3572" s="245"/>
      <c r="AO3572" s="238">
        <v>0.0</v>
      </c>
      <c r="AP3572" s="238">
        <v>0.0</v>
      </c>
      <c r="AQ3572" s="235" t="s">
        <v>632</v>
      </c>
      <c r="AR3572" s="243">
        <v>3.71E11</v>
      </c>
      <c r="AS3572" s="235" t="s">
        <v>23542</v>
      </c>
      <c r="AT3572" s="235" t="s">
        <v>11</v>
      </c>
      <c r="AU3572" s="235" t="s">
        <v>634</v>
      </c>
      <c r="AV3572" s="246" t="s">
        <v>635</v>
      </c>
      <c r="AW3572" s="227"/>
      <c r="AX3572" s="227"/>
      <c r="AY3572" s="227"/>
      <c r="AZ3572" s="227"/>
      <c r="BA3572" s="227"/>
      <c r="BB3572" s="227"/>
      <c r="BC3572" s="227"/>
      <c r="BD3572" s="227"/>
      <c r="BE3572" s="227"/>
      <c r="BF3572" s="227"/>
    </row>
    <row r="3573">
      <c r="A3573" s="235" t="s">
        <v>26807</v>
      </c>
      <c r="C3573" s="235" t="s">
        <v>26808</v>
      </c>
      <c r="D3573" s="235" t="s">
        <v>26809</v>
      </c>
      <c r="E3573" s="243">
        <v>6.52E13</v>
      </c>
      <c r="F3573" s="245"/>
      <c r="G3573" s="235" t="s">
        <v>26810</v>
      </c>
      <c r="H3573" s="235" t="s">
        <v>26811</v>
      </c>
      <c r="I3573" s="235" t="s">
        <v>26812</v>
      </c>
      <c r="J3573" s="235" t="s">
        <v>26813</v>
      </c>
      <c r="K3573" s="235" t="s">
        <v>26814</v>
      </c>
      <c r="N3573" s="235" t="s">
        <v>154</v>
      </c>
      <c r="O3573" s="235" t="s">
        <v>766</v>
      </c>
      <c r="P3573" s="238">
        <v>1.0</v>
      </c>
      <c r="Q3573" s="235" t="s">
        <v>627</v>
      </c>
      <c r="R3573" s="238">
        <v>423.81</v>
      </c>
      <c r="S3573" s="238">
        <v>21.19</v>
      </c>
      <c r="T3573" s="238">
        <v>0.0</v>
      </c>
      <c r="U3573" s="238">
        <v>0.0</v>
      </c>
      <c r="V3573" s="238">
        <v>0.0</v>
      </c>
      <c r="W3573" s="238">
        <v>0.0</v>
      </c>
      <c r="X3573" s="235" t="s">
        <v>628</v>
      </c>
      <c r="Z3573" s="245"/>
      <c r="AA3573" s="245"/>
      <c r="AB3573" s="245"/>
      <c r="AC3573" s="235" t="s">
        <v>26815</v>
      </c>
      <c r="AD3573" s="235" t="s">
        <v>845</v>
      </c>
      <c r="AE3573" s="238">
        <v>444404.0</v>
      </c>
      <c r="AF3573" s="235" t="s">
        <v>631</v>
      </c>
      <c r="AG3573" s="245"/>
      <c r="AH3573" s="245"/>
      <c r="AI3573" s="245"/>
      <c r="AJ3573" s="245"/>
      <c r="AK3573" s="245"/>
      <c r="AL3573" s="245"/>
      <c r="AM3573" s="245"/>
      <c r="AN3573" s="245"/>
      <c r="AO3573" s="238">
        <v>0.0</v>
      </c>
      <c r="AP3573" s="238">
        <v>0.0</v>
      </c>
      <c r="AQ3573" s="235" t="s">
        <v>632</v>
      </c>
      <c r="AR3573" s="243">
        <v>3.71E11</v>
      </c>
      <c r="AS3573" s="235" t="s">
        <v>20529</v>
      </c>
      <c r="AT3573" s="235" t="s">
        <v>9</v>
      </c>
      <c r="AU3573" s="235" t="s">
        <v>634</v>
      </c>
      <c r="AV3573" s="246" t="s">
        <v>635</v>
      </c>
      <c r="AW3573" s="227"/>
      <c r="AX3573" s="227"/>
      <c r="AY3573" s="227"/>
      <c r="AZ3573" s="227"/>
      <c r="BA3573" s="227"/>
      <c r="BB3573" s="227"/>
      <c r="BC3573" s="227"/>
      <c r="BD3573" s="227"/>
      <c r="BE3573" s="227"/>
      <c r="BF3573" s="227"/>
    </row>
    <row r="3574">
      <c r="A3574" s="235" t="s">
        <v>26816</v>
      </c>
      <c r="C3574" s="235" t="s">
        <v>26817</v>
      </c>
      <c r="D3574" s="235" t="s">
        <v>26818</v>
      </c>
      <c r="E3574" s="243">
        <v>6.52E13</v>
      </c>
      <c r="F3574" s="245"/>
      <c r="G3574" s="235" t="s">
        <v>26819</v>
      </c>
      <c r="H3574" s="235" t="s">
        <v>26820</v>
      </c>
      <c r="I3574" s="235" t="s">
        <v>26821</v>
      </c>
      <c r="J3574" s="235" t="s">
        <v>26822</v>
      </c>
      <c r="K3574" s="235" t="s">
        <v>26823</v>
      </c>
      <c r="N3574" s="235" t="s">
        <v>139</v>
      </c>
      <c r="O3574" s="235" t="s">
        <v>2091</v>
      </c>
      <c r="P3574" s="238">
        <v>1.0</v>
      </c>
      <c r="Q3574" s="235" t="s">
        <v>627</v>
      </c>
      <c r="R3574" s="238">
        <v>233.33</v>
      </c>
      <c r="S3574" s="238">
        <v>11.44</v>
      </c>
      <c r="T3574" s="238">
        <v>0.0</v>
      </c>
      <c r="U3574" s="238">
        <v>0.0</v>
      </c>
      <c r="V3574" s="238">
        <v>0.0</v>
      </c>
      <c r="W3574" s="238">
        <v>0.0</v>
      </c>
      <c r="X3574" s="235" t="s">
        <v>628</v>
      </c>
      <c r="Z3574" s="245"/>
      <c r="AA3574" s="245"/>
      <c r="AB3574" s="245"/>
      <c r="AC3574" s="235" t="s">
        <v>814</v>
      </c>
      <c r="AD3574" s="235" t="s">
        <v>698</v>
      </c>
      <c r="AE3574" s="238">
        <v>500004.0</v>
      </c>
      <c r="AF3574" s="235" t="s">
        <v>631</v>
      </c>
      <c r="AG3574" s="245"/>
      <c r="AH3574" s="245"/>
      <c r="AI3574" s="245"/>
      <c r="AJ3574" s="245"/>
      <c r="AK3574" s="245"/>
      <c r="AL3574" s="245"/>
      <c r="AM3574" s="245"/>
      <c r="AN3574" s="245"/>
      <c r="AO3574" s="238">
        <v>-4.67</v>
      </c>
      <c r="AP3574" s="238">
        <v>0.0</v>
      </c>
      <c r="AQ3574" s="235" t="s">
        <v>632</v>
      </c>
      <c r="AR3574" s="243">
        <v>3.71E11</v>
      </c>
      <c r="AS3574" s="235" t="s">
        <v>23542</v>
      </c>
      <c r="AT3574" s="235" t="s">
        <v>156</v>
      </c>
      <c r="AU3574" s="235" t="s">
        <v>634</v>
      </c>
      <c r="AV3574" s="246" t="s">
        <v>635</v>
      </c>
      <c r="AW3574" s="227"/>
      <c r="AX3574" s="227"/>
      <c r="AY3574" s="227"/>
      <c r="AZ3574" s="227"/>
      <c r="BA3574" s="227"/>
      <c r="BB3574" s="227"/>
      <c r="BC3574" s="227"/>
      <c r="BD3574" s="227"/>
      <c r="BE3574" s="227"/>
      <c r="BF3574" s="227"/>
    </row>
    <row r="3575">
      <c r="A3575" s="235" t="s">
        <v>26824</v>
      </c>
      <c r="C3575" s="235" t="s">
        <v>26825</v>
      </c>
      <c r="D3575" s="235" t="s">
        <v>26826</v>
      </c>
      <c r="E3575" s="243">
        <v>6.52E13</v>
      </c>
      <c r="F3575" s="245"/>
      <c r="G3575" s="235" t="s">
        <v>26827</v>
      </c>
      <c r="H3575" s="235" t="s">
        <v>26828</v>
      </c>
      <c r="I3575" s="235" t="s">
        <v>26828</v>
      </c>
      <c r="J3575" s="235" t="s">
        <v>26829</v>
      </c>
      <c r="K3575" s="235" t="s">
        <v>26830</v>
      </c>
      <c r="N3575" s="235" t="s">
        <v>51</v>
      </c>
      <c r="O3575" s="235" t="s">
        <v>273</v>
      </c>
      <c r="P3575" s="238">
        <v>1.0</v>
      </c>
      <c r="Q3575" s="235" t="s">
        <v>627</v>
      </c>
      <c r="R3575" s="238">
        <v>246.67</v>
      </c>
      <c r="S3575" s="238">
        <v>11.96</v>
      </c>
      <c r="T3575" s="238">
        <v>0.0</v>
      </c>
      <c r="U3575" s="238">
        <v>0.0</v>
      </c>
      <c r="V3575" s="238">
        <v>0.0</v>
      </c>
      <c r="W3575" s="238">
        <v>0.0</v>
      </c>
      <c r="X3575" s="235" t="s">
        <v>628</v>
      </c>
      <c r="Z3575" s="245"/>
      <c r="AA3575" s="245"/>
      <c r="AB3575" s="245"/>
      <c r="AC3575" s="235" t="s">
        <v>697</v>
      </c>
      <c r="AD3575" s="235" t="s">
        <v>698</v>
      </c>
      <c r="AE3575" s="238">
        <v>500086.0</v>
      </c>
      <c r="AF3575" s="235" t="s">
        <v>631</v>
      </c>
      <c r="AG3575" s="245"/>
      <c r="AH3575" s="245"/>
      <c r="AI3575" s="245"/>
      <c r="AJ3575" s="245"/>
      <c r="AK3575" s="245"/>
      <c r="AL3575" s="245"/>
      <c r="AM3575" s="245"/>
      <c r="AN3575" s="245"/>
      <c r="AO3575" s="238">
        <v>-7.4</v>
      </c>
      <c r="AP3575" s="238">
        <v>0.0</v>
      </c>
      <c r="AQ3575" s="235" t="s">
        <v>632</v>
      </c>
      <c r="AR3575" s="243">
        <v>1.68E11</v>
      </c>
      <c r="AS3575" s="235" t="s">
        <v>25098</v>
      </c>
      <c r="AT3575" s="235" t="s">
        <v>9</v>
      </c>
      <c r="AU3575" s="235" t="s">
        <v>634</v>
      </c>
      <c r="AV3575" s="246" t="s">
        <v>635</v>
      </c>
      <c r="AW3575" s="227"/>
      <c r="AX3575" s="227"/>
      <c r="AY3575" s="227"/>
      <c r="AZ3575" s="227"/>
      <c r="BA3575" s="227"/>
      <c r="BB3575" s="227"/>
      <c r="BC3575" s="227"/>
      <c r="BD3575" s="227"/>
      <c r="BE3575" s="227"/>
      <c r="BF3575" s="227"/>
    </row>
    <row r="3576">
      <c r="A3576" s="235" t="s">
        <v>26831</v>
      </c>
      <c r="C3576" s="235" t="s">
        <v>26832</v>
      </c>
      <c r="D3576" s="235" t="s">
        <v>26833</v>
      </c>
      <c r="E3576" s="243">
        <v>6.52E13</v>
      </c>
      <c r="F3576" s="245"/>
      <c r="G3576" s="235" t="s">
        <v>26834</v>
      </c>
      <c r="H3576" s="235" t="s">
        <v>26835</v>
      </c>
      <c r="I3576" s="235" t="s">
        <v>26836</v>
      </c>
      <c r="J3576" s="235" t="s">
        <v>26837</v>
      </c>
      <c r="K3576" s="235" t="s">
        <v>26838</v>
      </c>
      <c r="N3576" s="235" t="s">
        <v>115</v>
      </c>
      <c r="O3576" s="235" t="s">
        <v>548</v>
      </c>
      <c r="P3576" s="238">
        <v>1.0</v>
      </c>
      <c r="Q3576" s="235" t="s">
        <v>627</v>
      </c>
      <c r="R3576" s="238">
        <v>237.14</v>
      </c>
      <c r="S3576" s="238">
        <v>11.86</v>
      </c>
      <c r="T3576" s="238">
        <v>56.2</v>
      </c>
      <c r="U3576" s="238">
        <v>2.8</v>
      </c>
      <c r="V3576" s="238">
        <v>0.0</v>
      </c>
      <c r="W3576" s="238">
        <v>0.0</v>
      </c>
      <c r="X3576" s="235" t="s">
        <v>628</v>
      </c>
      <c r="Z3576" s="245"/>
      <c r="AA3576" s="245"/>
      <c r="AB3576" s="245"/>
      <c r="AC3576" s="235" t="s">
        <v>26839</v>
      </c>
      <c r="AD3576" s="235" t="s">
        <v>666</v>
      </c>
      <c r="AE3576" s="238">
        <v>642006.0</v>
      </c>
      <c r="AF3576" s="235" t="s">
        <v>631</v>
      </c>
      <c r="AG3576" s="245"/>
      <c r="AH3576" s="245"/>
      <c r="AI3576" s="245"/>
      <c r="AJ3576" s="245"/>
      <c r="AK3576" s="245"/>
      <c r="AL3576" s="245"/>
      <c r="AM3576" s="245"/>
      <c r="AN3576" s="245"/>
      <c r="AO3576" s="238">
        <v>0.0</v>
      </c>
      <c r="AP3576" s="238">
        <v>0.0</v>
      </c>
      <c r="AQ3576" s="235" t="s">
        <v>632</v>
      </c>
      <c r="AR3576" s="243">
        <v>3.71E11</v>
      </c>
      <c r="AS3576" s="235" t="s">
        <v>23542</v>
      </c>
      <c r="AT3576" s="235" t="s">
        <v>156</v>
      </c>
      <c r="AU3576" s="235" t="s">
        <v>634</v>
      </c>
      <c r="AV3576" s="246" t="s">
        <v>635</v>
      </c>
      <c r="AW3576" s="227"/>
      <c r="AX3576" s="227"/>
      <c r="AY3576" s="227"/>
      <c r="AZ3576" s="227"/>
      <c r="BA3576" s="227"/>
      <c r="BB3576" s="227"/>
      <c r="BC3576" s="227"/>
      <c r="BD3576" s="227"/>
      <c r="BE3576" s="227"/>
      <c r="BF3576" s="227"/>
    </row>
    <row r="3577">
      <c r="A3577" s="235" t="s">
        <v>26840</v>
      </c>
      <c r="C3577" s="235" t="s">
        <v>26841</v>
      </c>
      <c r="D3577" s="235" t="s">
        <v>26842</v>
      </c>
      <c r="E3577" s="243">
        <v>6.52E13</v>
      </c>
      <c r="F3577" s="245"/>
      <c r="G3577" s="235" t="s">
        <v>26843</v>
      </c>
      <c r="H3577" s="235" t="s">
        <v>26844</v>
      </c>
      <c r="I3577" s="235" t="s">
        <v>26844</v>
      </c>
      <c r="J3577" s="235" t="s">
        <v>26674</v>
      </c>
      <c r="K3577" s="235" t="s">
        <v>26845</v>
      </c>
      <c r="N3577" s="235" t="s">
        <v>71</v>
      </c>
      <c r="O3577" s="235" t="s">
        <v>240</v>
      </c>
      <c r="P3577" s="238">
        <v>1.0</v>
      </c>
      <c r="Q3577" s="235" t="s">
        <v>627</v>
      </c>
      <c r="R3577" s="238">
        <v>223.81</v>
      </c>
      <c r="S3577" s="238">
        <v>11.19</v>
      </c>
      <c r="T3577" s="238">
        <v>0.0</v>
      </c>
      <c r="U3577" s="238">
        <v>0.0</v>
      </c>
      <c r="V3577" s="238">
        <v>0.0</v>
      </c>
      <c r="W3577" s="238">
        <v>0.0</v>
      </c>
      <c r="X3577" s="235" t="s">
        <v>628</v>
      </c>
      <c r="Z3577" s="245"/>
      <c r="AA3577" s="245"/>
      <c r="AB3577" s="245"/>
      <c r="AC3577" s="235" t="s">
        <v>26846</v>
      </c>
      <c r="AD3577" s="235" t="s">
        <v>645</v>
      </c>
      <c r="AE3577" s="238">
        <v>670010.0</v>
      </c>
      <c r="AF3577" s="235" t="s">
        <v>631</v>
      </c>
      <c r="AG3577" s="245"/>
      <c r="AH3577" s="245"/>
      <c r="AI3577" s="245"/>
      <c r="AJ3577" s="245"/>
      <c r="AK3577" s="245"/>
      <c r="AL3577" s="245"/>
      <c r="AM3577" s="245"/>
      <c r="AN3577" s="245"/>
      <c r="AO3577" s="238">
        <v>0.0</v>
      </c>
      <c r="AP3577" s="238">
        <v>0.0</v>
      </c>
      <c r="AQ3577" s="235" t="s">
        <v>632</v>
      </c>
      <c r="AR3577" s="243">
        <v>3.71E11</v>
      </c>
      <c r="AS3577" s="235" t="s">
        <v>25098</v>
      </c>
      <c r="AT3577" s="235" t="s">
        <v>155</v>
      </c>
      <c r="AU3577" s="235" t="s">
        <v>634</v>
      </c>
      <c r="AV3577" s="246" t="s">
        <v>635</v>
      </c>
      <c r="AW3577" s="227"/>
      <c r="AX3577" s="227"/>
      <c r="AY3577" s="227"/>
      <c r="AZ3577" s="227"/>
      <c r="BA3577" s="227"/>
      <c r="BB3577" s="227"/>
      <c r="BC3577" s="227"/>
      <c r="BD3577" s="227"/>
      <c r="BE3577" s="227"/>
      <c r="BF3577" s="227"/>
    </row>
    <row r="3578">
      <c r="A3578" s="235" t="s">
        <v>26847</v>
      </c>
      <c r="C3578" s="235" t="s">
        <v>26848</v>
      </c>
      <c r="D3578" s="235" t="s">
        <v>26849</v>
      </c>
      <c r="E3578" s="243">
        <v>6.52E13</v>
      </c>
      <c r="F3578" s="245"/>
      <c r="G3578" s="235" t="s">
        <v>26850</v>
      </c>
      <c r="H3578" s="235" t="s">
        <v>26851</v>
      </c>
      <c r="I3578" s="235" t="s">
        <v>26852</v>
      </c>
      <c r="J3578" s="235" t="s">
        <v>26853</v>
      </c>
      <c r="K3578" s="235" t="s">
        <v>26854</v>
      </c>
      <c r="N3578" s="235" t="s">
        <v>47</v>
      </c>
      <c r="O3578" s="235" t="s">
        <v>270</v>
      </c>
      <c r="P3578" s="238">
        <v>1.0</v>
      </c>
      <c r="Q3578" s="235" t="s">
        <v>627</v>
      </c>
      <c r="R3578" s="238">
        <v>237.14</v>
      </c>
      <c r="S3578" s="238">
        <v>11.86</v>
      </c>
      <c r="T3578" s="238">
        <v>0.0</v>
      </c>
      <c r="U3578" s="238">
        <v>0.0</v>
      </c>
      <c r="V3578" s="238">
        <v>0.0</v>
      </c>
      <c r="W3578" s="238">
        <v>0.0</v>
      </c>
      <c r="X3578" s="235" t="s">
        <v>628</v>
      </c>
      <c r="Z3578" s="245"/>
      <c r="AA3578" s="245"/>
      <c r="AB3578" s="245"/>
      <c r="AC3578" s="235" t="s">
        <v>5444</v>
      </c>
      <c r="AD3578" s="235" t="s">
        <v>645</v>
      </c>
      <c r="AE3578" s="238">
        <v>680617.0</v>
      </c>
      <c r="AF3578" s="235" t="s">
        <v>631</v>
      </c>
      <c r="AG3578" s="245"/>
      <c r="AH3578" s="245"/>
      <c r="AI3578" s="245"/>
      <c r="AJ3578" s="245"/>
      <c r="AK3578" s="245"/>
      <c r="AL3578" s="245"/>
      <c r="AM3578" s="245"/>
      <c r="AN3578" s="245"/>
      <c r="AO3578" s="238">
        <v>0.0</v>
      </c>
      <c r="AP3578" s="238">
        <v>0.0</v>
      </c>
      <c r="AQ3578" s="235" t="s">
        <v>632</v>
      </c>
      <c r="AR3578" s="243">
        <v>3.71E11</v>
      </c>
      <c r="AS3578" s="235" t="s">
        <v>23542</v>
      </c>
      <c r="AT3578" s="235" t="s">
        <v>156</v>
      </c>
      <c r="AU3578" s="235" t="s">
        <v>634</v>
      </c>
      <c r="AV3578" s="246" t="s">
        <v>635</v>
      </c>
      <c r="AW3578" s="227"/>
      <c r="AX3578" s="227"/>
      <c r="AY3578" s="227"/>
      <c r="AZ3578" s="227"/>
      <c r="BA3578" s="227"/>
      <c r="BB3578" s="227"/>
      <c r="BC3578" s="227"/>
      <c r="BD3578" s="227"/>
      <c r="BE3578" s="227"/>
      <c r="BF3578" s="227"/>
    </row>
    <row r="3579">
      <c r="A3579" s="235" t="s">
        <v>26855</v>
      </c>
      <c r="C3579" s="235" t="s">
        <v>26856</v>
      </c>
      <c r="D3579" s="235" t="s">
        <v>26857</v>
      </c>
      <c r="E3579" s="243">
        <v>6.52E13</v>
      </c>
      <c r="F3579" s="245"/>
      <c r="G3579" s="235" t="s">
        <v>26858</v>
      </c>
      <c r="H3579" s="235" t="s">
        <v>26859</v>
      </c>
      <c r="I3579" s="235" t="s">
        <v>26859</v>
      </c>
      <c r="J3579" s="235" t="s">
        <v>26860</v>
      </c>
      <c r="K3579" s="235" t="s">
        <v>26861</v>
      </c>
      <c r="N3579" s="235" t="s">
        <v>145</v>
      </c>
      <c r="O3579" s="235" t="s">
        <v>370</v>
      </c>
      <c r="P3579" s="238">
        <v>1.0</v>
      </c>
      <c r="Q3579" s="235" t="s">
        <v>627</v>
      </c>
      <c r="R3579" s="238">
        <v>1475.24</v>
      </c>
      <c r="S3579" s="238">
        <v>71.55</v>
      </c>
      <c r="T3579" s="238">
        <v>0.0</v>
      </c>
      <c r="U3579" s="238">
        <v>0.0</v>
      </c>
      <c r="V3579" s="238">
        <v>0.0</v>
      </c>
      <c r="W3579" s="238">
        <v>0.0</v>
      </c>
      <c r="X3579" s="235" t="s">
        <v>628</v>
      </c>
      <c r="Z3579" s="245"/>
      <c r="AA3579" s="245"/>
      <c r="AB3579" s="245"/>
      <c r="AC3579" s="235" t="s">
        <v>5203</v>
      </c>
      <c r="AD3579" s="235" t="s">
        <v>666</v>
      </c>
      <c r="AE3579" s="238">
        <v>636302.0</v>
      </c>
      <c r="AF3579" s="235" t="s">
        <v>631</v>
      </c>
      <c r="AG3579" s="245"/>
      <c r="AH3579" s="245"/>
      <c r="AI3579" s="245"/>
      <c r="AJ3579" s="245"/>
      <c r="AK3579" s="245"/>
      <c r="AL3579" s="245"/>
      <c r="AM3579" s="245"/>
      <c r="AN3579" s="245"/>
      <c r="AO3579" s="238">
        <v>-44.26</v>
      </c>
      <c r="AP3579" s="238">
        <v>0.0</v>
      </c>
      <c r="AQ3579" s="235" t="s">
        <v>632</v>
      </c>
      <c r="AR3579" s="243">
        <v>3.71E11</v>
      </c>
      <c r="AS3579" s="235" t="s">
        <v>23542</v>
      </c>
      <c r="AT3579" s="235" t="s">
        <v>156</v>
      </c>
      <c r="AU3579" s="235" t="s">
        <v>634</v>
      </c>
      <c r="AV3579" s="246" t="s">
        <v>635</v>
      </c>
      <c r="AW3579" s="227"/>
      <c r="AX3579" s="227"/>
      <c r="AY3579" s="227"/>
      <c r="AZ3579" s="227"/>
      <c r="BA3579" s="227"/>
      <c r="BB3579" s="227"/>
      <c r="BC3579" s="227"/>
      <c r="BD3579" s="227"/>
      <c r="BE3579" s="227"/>
      <c r="BF3579" s="227"/>
    </row>
    <row r="3580">
      <c r="A3580" s="235" t="s">
        <v>26862</v>
      </c>
      <c r="C3580" s="235" t="s">
        <v>26863</v>
      </c>
      <c r="D3580" s="235" t="s">
        <v>26864</v>
      </c>
      <c r="E3580" s="243">
        <v>6.52E13</v>
      </c>
      <c r="F3580" s="245"/>
      <c r="G3580" s="235" t="s">
        <v>26865</v>
      </c>
      <c r="H3580" s="235" t="s">
        <v>26866</v>
      </c>
      <c r="I3580" s="235" t="s">
        <v>26867</v>
      </c>
      <c r="J3580" s="235" t="s">
        <v>26868</v>
      </c>
      <c r="K3580" s="235" t="s">
        <v>26869</v>
      </c>
      <c r="N3580" s="235" t="s">
        <v>136</v>
      </c>
      <c r="O3580" s="235" t="s">
        <v>256</v>
      </c>
      <c r="P3580" s="238">
        <v>1.0</v>
      </c>
      <c r="Q3580" s="235" t="s">
        <v>627</v>
      </c>
      <c r="R3580" s="238">
        <v>246.67</v>
      </c>
      <c r="S3580" s="238">
        <v>12.08</v>
      </c>
      <c r="T3580" s="238">
        <v>0.0</v>
      </c>
      <c r="U3580" s="238">
        <v>0.0</v>
      </c>
      <c r="V3580" s="238">
        <v>0.0</v>
      </c>
      <c r="W3580" s="238">
        <v>0.0</v>
      </c>
      <c r="X3580" s="235" t="s">
        <v>628</v>
      </c>
      <c r="Z3580" s="245"/>
      <c r="AA3580" s="245"/>
      <c r="AB3580" s="245"/>
      <c r="AC3580" s="235" t="s">
        <v>26870</v>
      </c>
      <c r="AD3580" s="235" t="s">
        <v>1151</v>
      </c>
      <c r="AE3580" s="238">
        <v>743127.0</v>
      </c>
      <c r="AF3580" s="235" t="s">
        <v>631</v>
      </c>
      <c r="AG3580" s="245"/>
      <c r="AH3580" s="245"/>
      <c r="AI3580" s="245"/>
      <c r="AJ3580" s="245"/>
      <c r="AK3580" s="245"/>
      <c r="AL3580" s="245"/>
      <c r="AM3580" s="245"/>
      <c r="AN3580" s="245"/>
      <c r="AO3580" s="238">
        <v>-4.93</v>
      </c>
      <c r="AP3580" s="238">
        <v>0.0</v>
      </c>
      <c r="AQ3580" s="235" t="s">
        <v>632</v>
      </c>
      <c r="AR3580" s="243">
        <v>2.02E11</v>
      </c>
      <c r="AS3580" s="235" t="s">
        <v>25098</v>
      </c>
      <c r="AT3580" s="235" t="s">
        <v>156</v>
      </c>
      <c r="AU3580" s="235" t="s">
        <v>634</v>
      </c>
      <c r="AV3580" s="246" t="s">
        <v>635</v>
      </c>
      <c r="AW3580" s="227"/>
      <c r="AX3580" s="227"/>
      <c r="AY3580" s="227"/>
      <c r="AZ3580" s="227"/>
      <c r="BA3580" s="227"/>
      <c r="BB3580" s="227"/>
      <c r="BC3580" s="227"/>
      <c r="BD3580" s="227"/>
      <c r="BE3580" s="227"/>
      <c r="BF3580" s="227"/>
    </row>
    <row r="3581">
      <c r="A3581" s="235" t="s">
        <v>26871</v>
      </c>
      <c r="C3581" s="235" t="s">
        <v>26872</v>
      </c>
      <c r="D3581" s="235" t="s">
        <v>26873</v>
      </c>
      <c r="E3581" s="243">
        <v>6.51E13</v>
      </c>
      <c r="F3581" s="245"/>
      <c r="G3581" s="235" t="s">
        <v>26874</v>
      </c>
      <c r="H3581" s="235" t="s">
        <v>26875</v>
      </c>
      <c r="I3581" s="235" t="s">
        <v>26875</v>
      </c>
      <c r="J3581" s="235" t="s">
        <v>26876</v>
      </c>
      <c r="K3581" s="235" t="s">
        <v>26877</v>
      </c>
      <c r="N3581" s="235" t="s">
        <v>136</v>
      </c>
      <c r="O3581" s="235" t="s">
        <v>256</v>
      </c>
      <c r="P3581" s="238">
        <v>1.0</v>
      </c>
      <c r="Q3581" s="235" t="s">
        <v>627</v>
      </c>
      <c r="R3581" s="238">
        <v>237.14</v>
      </c>
      <c r="S3581" s="238">
        <v>11.5</v>
      </c>
      <c r="T3581" s="238">
        <v>0.0</v>
      </c>
      <c r="U3581" s="238">
        <v>0.0</v>
      </c>
      <c r="V3581" s="238">
        <v>0.0</v>
      </c>
      <c r="W3581" s="238">
        <v>0.0</v>
      </c>
      <c r="X3581" s="235" t="s">
        <v>628</v>
      </c>
      <c r="Z3581" s="245"/>
      <c r="AA3581" s="245"/>
      <c r="AB3581" s="245"/>
      <c r="AC3581" s="235" t="s">
        <v>3390</v>
      </c>
      <c r="AD3581" s="235" t="s">
        <v>833</v>
      </c>
      <c r="AE3581" s="238">
        <v>530002.0</v>
      </c>
      <c r="AF3581" s="235" t="s">
        <v>631</v>
      </c>
      <c r="AG3581" s="245"/>
      <c r="AH3581" s="245"/>
      <c r="AI3581" s="245"/>
      <c r="AJ3581" s="245"/>
      <c r="AK3581" s="245"/>
      <c r="AL3581" s="245"/>
      <c r="AM3581" s="245"/>
      <c r="AN3581" s="245"/>
      <c r="AO3581" s="238">
        <v>-7.11</v>
      </c>
      <c r="AP3581" s="238">
        <v>0.0</v>
      </c>
      <c r="AQ3581" s="235" t="s">
        <v>632</v>
      </c>
      <c r="AR3581" s="243">
        <v>3.71E11</v>
      </c>
      <c r="AS3581" s="235" t="s">
        <v>19388</v>
      </c>
      <c r="AT3581" s="235" t="s">
        <v>546</v>
      </c>
      <c r="AU3581" s="235" t="s">
        <v>634</v>
      </c>
      <c r="AV3581" s="246" t="s">
        <v>635</v>
      </c>
      <c r="AW3581" s="227"/>
      <c r="AX3581" s="227"/>
      <c r="AY3581" s="227"/>
      <c r="AZ3581" s="227"/>
      <c r="BA3581" s="227"/>
      <c r="BB3581" s="227"/>
      <c r="BC3581" s="227"/>
      <c r="BD3581" s="227"/>
      <c r="BE3581" s="227"/>
      <c r="BF3581" s="227"/>
    </row>
    <row r="3582">
      <c r="A3582" s="235" t="s">
        <v>26878</v>
      </c>
      <c r="C3582" s="235" t="s">
        <v>26879</v>
      </c>
      <c r="D3582" s="235" t="s">
        <v>26880</v>
      </c>
      <c r="E3582" s="243">
        <v>6.52E13</v>
      </c>
      <c r="F3582" s="245"/>
      <c r="G3582" s="235" t="s">
        <v>26881</v>
      </c>
      <c r="H3582" s="235" t="s">
        <v>26882</v>
      </c>
      <c r="I3582" s="235" t="s">
        <v>26882</v>
      </c>
      <c r="J3582" s="235" t="s">
        <v>26883</v>
      </c>
      <c r="K3582" s="235" t="s">
        <v>26884</v>
      </c>
      <c r="N3582" s="235" t="s">
        <v>42</v>
      </c>
      <c r="O3582" s="235" t="s">
        <v>204</v>
      </c>
      <c r="P3582" s="238">
        <v>1.0</v>
      </c>
      <c r="Q3582" s="235" t="s">
        <v>627</v>
      </c>
      <c r="R3582" s="238">
        <v>237.14</v>
      </c>
      <c r="S3582" s="238">
        <v>11.62</v>
      </c>
      <c r="T3582" s="238">
        <v>0.0</v>
      </c>
      <c r="U3582" s="238">
        <v>0.0</v>
      </c>
      <c r="V3582" s="238">
        <v>0.0</v>
      </c>
      <c r="W3582" s="238">
        <v>0.0</v>
      </c>
      <c r="X3582" s="235" t="s">
        <v>628</v>
      </c>
      <c r="Z3582" s="245"/>
      <c r="AA3582" s="245"/>
      <c r="AB3582" s="245"/>
      <c r="AC3582" s="235" t="s">
        <v>697</v>
      </c>
      <c r="AD3582" s="235" t="s">
        <v>698</v>
      </c>
      <c r="AE3582" s="238">
        <v>500089.0</v>
      </c>
      <c r="AF3582" s="235" t="s">
        <v>631</v>
      </c>
      <c r="AG3582" s="245"/>
      <c r="AH3582" s="245"/>
      <c r="AI3582" s="245"/>
      <c r="AJ3582" s="245"/>
      <c r="AK3582" s="245"/>
      <c r="AL3582" s="245"/>
      <c r="AM3582" s="245"/>
      <c r="AN3582" s="245"/>
      <c r="AO3582" s="238">
        <v>-4.74</v>
      </c>
      <c r="AP3582" s="238">
        <v>0.0</v>
      </c>
      <c r="AQ3582" s="235" t="s">
        <v>632</v>
      </c>
      <c r="AR3582" s="243">
        <v>2.02E11</v>
      </c>
      <c r="AS3582" s="235" t="s">
        <v>25098</v>
      </c>
      <c r="AT3582" s="235" t="s">
        <v>156</v>
      </c>
      <c r="AU3582" s="235" t="s">
        <v>634</v>
      </c>
      <c r="AV3582" s="246" t="s">
        <v>635</v>
      </c>
      <c r="AW3582" s="227"/>
      <c r="AX3582" s="227"/>
      <c r="AY3582" s="227"/>
      <c r="AZ3582" s="227"/>
      <c r="BA3582" s="227"/>
      <c r="BB3582" s="227"/>
      <c r="BC3582" s="227"/>
      <c r="BD3582" s="227"/>
      <c r="BE3582" s="227"/>
      <c r="BF3582" s="227"/>
    </row>
    <row r="3583">
      <c r="A3583" s="235" t="s">
        <v>26885</v>
      </c>
      <c r="C3583" s="235" t="s">
        <v>26886</v>
      </c>
      <c r="D3583" s="235" t="s">
        <v>26887</v>
      </c>
      <c r="E3583" s="243">
        <v>6.52E13</v>
      </c>
      <c r="F3583" s="245"/>
      <c r="G3583" s="235" t="s">
        <v>26888</v>
      </c>
      <c r="H3583" s="235" t="s">
        <v>26889</v>
      </c>
      <c r="I3583" s="235" t="s">
        <v>26889</v>
      </c>
      <c r="J3583" s="235" t="s">
        <v>26890</v>
      </c>
      <c r="K3583" s="235" t="s">
        <v>26891</v>
      </c>
      <c r="N3583" s="235" t="s">
        <v>127</v>
      </c>
      <c r="O3583" s="235" t="s">
        <v>794</v>
      </c>
      <c r="P3583" s="238">
        <v>1.0</v>
      </c>
      <c r="Q3583" s="235" t="s">
        <v>627</v>
      </c>
      <c r="R3583" s="238">
        <v>236.19</v>
      </c>
      <c r="S3583" s="238">
        <v>11.81</v>
      </c>
      <c r="T3583" s="238">
        <v>0.0</v>
      </c>
      <c r="U3583" s="238">
        <v>0.0</v>
      </c>
      <c r="V3583" s="238">
        <v>0.0</v>
      </c>
      <c r="W3583" s="238">
        <v>0.0</v>
      </c>
      <c r="X3583" s="235" t="s">
        <v>628</v>
      </c>
      <c r="Z3583" s="245"/>
      <c r="AA3583" s="245"/>
      <c r="AB3583" s="245"/>
      <c r="AC3583" s="235" t="s">
        <v>795</v>
      </c>
      <c r="AD3583" s="235" t="s">
        <v>796</v>
      </c>
      <c r="AE3583" s="238">
        <v>110009.0</v>
      </c>
      <c r="AF3583" s="235" t="s">
        <v>631</v>
      </c>
      <c r="AG3583" s="245"/>
      <c r="AH3583" s="245"/>
      <c r="AI3583" s="245"/>
      <c r="AJ3583" s="245"/>
      <c r="AK3583" s="245"/>
      <c r="AL3583" s="245"/>
      <c r="AM3583" s="245"/>
      <c r="AN3583" s="245"/>
      <c r="AO3583" s="238">
        <v>0.0</v>
      </c>
      <c r="AP3583" s="238">
        <v>0.0</v>
      </c>
      <c r="AQ3583" s="235" t="s">
        <v>632</v>
      </c>
      <c r="AR3583" s="243">
        <v>1.68E11</v>
      </c>
      <c r="AS3583" s="235" t="s">
        <v>26892</v>
      </c>
      <c r="AT3583" s="235" t="s">
        <v>533</v>
      </c>
      <c r="AU3583" s="235" t="s">
        <v>634</v>
      </c>
      <c r="AV3583" s="246" t="s">
        <v>635</v>
      </c>
      <c r="AW3583" s="227"/>
      <c r="AX3583" s="227"/>
      <c r="AY3583" s="227"/>
      <c r="AZ3583" s="227"/>
      <c r="BA3583" s="227"/>
      <c r="BB3583" s="227"/>
      <c r="BC3583" s="227"/>
      <c r="BD3583" s="227"/>
      <c r="BE3583" s="227"/>
      <c r="BF3583" s="227"/>
    </row>
    <row r="3584">
      <c r="A3584" s="235" t="s">
        <v>26893</v>
      </c>
      <c r="C3584" s="235" t="s">
        <v>26894</v>
      </c>
      <c r="D3584" s="235" t="s">
        <v>26895</v>
      </c>
      <c r="E3584" s="243">
        <v>6.52E13</v>
      </c>
      <c r="F3584" s="245"/>
      <c r="G3584" s="235" t="s">
        <v>26896</v>
      </c>
      <c r="H3584" s="235" t="s">
        <v>26897</v>
      </c>
      <c r="I3584" s="235" t="s">
        <v>26897</v>
      </c>
      <c r="J3584" s="235" t="s">
        <v>26898</v>
      </c>
      <c r="K3584" s="235" t="s">
        <v>26899</v>
      </c>
      <c r="N3584" s="235" t="s">
        <v>51</v>
      </c>
      <c r="O3584" s="235" t="s">
        <v>273</v>
      </c>
      <c r="P3584" s="238">
        <v>1.0</v>
      </c>
      <c r="Q3584" s="235" t="s">
        <v>627</v>
      </c>
      <c r="R3584" s="238">
        <v>246.66</v>
      </c>
      <c r="S3584" s="238">
        <v>11.97</v>
      </c>
      <c r="T3584" s="238">
        <v>0.0</v>
      </c>
      <c r="U3584" s="238">
        <v>0.0</v>
      </c>
      <c r="V3584" s="238">
        <v>0.0</v>
      </c>
      <c r="W3584" s="238">
        <v>0.0</v>
      </c>
      <c r="X3584" s="235" t="s">
        <v>628</v>
      </c>
      <c r="Z3584" s="245"/>
      <c r="AA3584" s="245"/>
      <c r="AB3584" s="245"/>
      <c r="AC3584" s="235" t="s">
        <v>26900</v>
      </c>
      <c r="AD3584" s="235" t="s">
        <v>679</v>
      </c>
      <c r="AE3584" s="238">
        <v>562112.0</v>
      </c>
      <c r="AF3584" s="235" t="s">
        <v>631</v>
      </c>
      <c r="AG3584" s="245"/>
      <c r="AH3584" s="245"/>
      <c r="AI3584" s="245"/>
      <c r="AJ3584" s="245"/>
      <c r="AK3584" s="245"/>
      <c r="AL3584" s="245"/>
      <c r="AM3584" s="245"/>
      <c r="AN3584" s="245"/>
      <c r="AO3584" s="238">
        <v>-7.4</v>
      </c>
      <c r="AP3584" s="238">
        <v>0.0</v>
      </c>
      <c r="AQ3584" s="235" t="s">
        <v>632</v>
      </c>
      <c r="AR3584" s="243">
        <v>3.71E11</v>
      </c>
      <c r="AS3584" s="235" t="s">
        <v>23542</v>
      </c>
      <c r="AT3584" s="235" t="s">
        <v>11</v>
      </c>
      <c r="AU3584" s="235" t="s">
        <v>634</v>
      </c>
      <c r="AV3584" s="246" t="s">
        <v>635</v>
      </c>
      <c r="AW3584" s="227"/>
      <c r="AX3584" s="227"/>
      <c r="AY3584" s="227"/>
      <c r="AZ3584" s="227"/>
      <c r="BA3584" s="227"/>
      <c r="BB3584" s="227"/>
      <c r="BC3584" s="227"/>
      <c r="BD3584" s="227"/>
      <c r="BE3584" s="227"/>
      <c r="BF3584" s="227"/>
    </row>
    <row r="3585">
      <c r="A3585" s="235" t="s">
        <v>26901</v>
      </c>
      <c r="C3585" s="235" t="s">
        <v>26902</v>
      </c>
      <c r="D3585" s="235" t="s">
        <v>26903</v>
      </c>
      <c r="E3585" s="243">
        <v>6.52E13</v>
      </c>
      <c r="F3585" s="245"/>
      <c r="G3585" s="235" t="s">
        <v>26904</v>
      </c>
      <c r="H3585" s="235" t="s">
        <v>26905</v>
      </c>
      <c r="I3585" s="235" t="s">
        <v>26906</v>
      </c>
      <c r="J3585" s="235" t="s">
        <v>26907</v>
      </c>
      <c r="K3585" s="235" t="s">
        <v>26908</v>
      </c>
      <c r="N3585" s="235" t="s">
        <v>42</v>
      </c>
      <c r="O3585" s="235" t="s">
        <v>204</v>
      </c>
      <c r="P3585" s="238">
        <v>1.0</v>
      </c>
      <c r="Q3585" s="235" t="s">
        <v>627</v>
      </c>
      <c r="R3585" s="238">
        <v>236.19</v>
      </c>
      <c r="S3585" s="238">
        <v>11.46</v>
      </c>
      <c r="T3585" s="238">
        <v>0.0</v>
      </c>
      <c r="U3585" s="238">
        <v>0.0</v>
      </c>
      <c r="V3585" s="238">
        <v>0.0</v>
      </c>
      <c r="W3585" s="238">
        <v>0.0</v>
      </c>
      <c r="X3585" s="235" t="s">
        <v>628</v>
      </c>
      <c r="Z3585" s="245"/>
      <c r="AA3585" s="245"/>
      <c r="AB3585" s="245"/>
      <c r="AC3585" s="235" t="s">
        <v>697</v>
      </c>
      <c r="AD3585" s="235" t="s">
        <v>698</v>
      </c>
      <c r="AE3585" s="238">
        <v>502319.0</v>
      </c>
      <c r="AF3585" s="235" t="s">
        <v>631</v>
      </c>
      <c r="AG3585" s="245"/>
      <c r="AH3585" s="245"/>
      <c r="AI3585" s="245"/>
      <c r="AJ3585" s="245"/>
      <c r="AK3585" s="245"/>
      <c r="AL3585" s="245"/>
      <c r="AM3585" s="245"/>
      <c r="AN3585" s="245"/>
      <c r="AO3585" s="238">
        <v>-7.09</v>
      </c>
      <c r="AP3585" s="238">
        <v>0.0</v>
      </c>
      <c r="AQ3585" s="235" t="s">
        <v>632</v>
      </c>
      <c r="AR3585" s="243">
        <v>3.71E11</v>
      </c>
      <c r="AS3585" s="235" t="s">
        <v>23542</v>
      </c>
      <c r="AT3585" s="235" t="s">
        <v>17</v>
      </c>
      <c r="AU3585" s="235" t="s">
        <v>634</v>
      </c>
      <c r="AV3585" s="246" t="s">
        <v>635</v>
      </c>
      <c r="AW3585" s="227"/>
      <c r="AX3585" s="227"/>
      <c r="AY3585" s="227"/>
      <c r="AZ3585" s="227"/>
      <c r="BA3585" s="227"/>
      <c r="BB3585" s="227"/>
      <c r="BC3585" s="227"/>
      <c r="BD3585" s="227"/>
      <c r="BE3585" s="227"/>
      <c r="BF3585" s="227"/>
    </row>
    <row r="3586">
      <c r="A3586" s="235" t="s">
        <v>26909</v>
      </c>
      <c r="C3586" s="235" t="s">
        <v>26910</v>
      </c>
      <c r="D3586" s="235" t="s">
        <v>26911</v>
      </c>
      <c r="E3586" s="243">
        <v>6.51E13</v>
      </c>
      <c r="F3586" s="245"/>
      <c r="G3586" s="235" t="s">
        <v>26912</v>
      </c>
      <c r="H3586" s="235" t="s">
        <v>26913</v>
      </c>
      <c r="I3586" s="235" t="s">
        <v>26914</v>
      </c>
      <c r="J3586" s="235" t="s">
        <v>26915</v>
      </c>
      <c r="K3586" s="235" t="s">
        <v>26916</v>
      </c>
      <c r="N3586" s="235" t="s">
        <v>27</v>
      </c>
      <c r="O3586" s="235" t="s">
        <v>573</v>
      </c>
      <c r="P3586" s="238">
        <v>2.0</v>
      </c>
      <c r="Q3586" s="235" t="s">
        <v>627</v>
      </c>
      <c r="R3586" s="238">
        <v>760.0</v>
      </c>
      <c r="S3586" s="238">
        <v>36.86</v>
      </c>
      <c r="T3586" s="238">
        <v>76.2</v>
      </c>
      <c r="U3586" s="238">
        <v>3.8</v>
      </c>
      <c r="V3586" s="238">
        <v>0.0</v>
      </c>
      <c r="W3586" s="238">
        <v>0.0</v>
      </c>
      <c r="X3586" s="235" t="s">
        <v>628</v>
      </c>
      <c r="Z3586" s="245"/>
      <c r="AA3586" s="245"/>
      <c r="AB3586" s="245"/>
      <c r="AC3586" s="235" t="s">
        <v>23339</v>
      </c>
      <c r="AD3586" s="235" t="s">
        <v>2067</v>
      </c>
      <c r="AE3586" s="238">
        <v>825301.0</v>
      </c>
      <c r="AF3586" s="235" t="s">
        <v>631</v>
      </c>
      <c r="AG3586" s="245"/>
      <c r="AH3586" s="245"/>
      <c r="AI3586" s="245"/>
      <c r="AJ3586" s="245"/>
      <c r="AK3586" s="245"/>
      <c r="AL3586" s="245"/>
      <c r="AM3586" s="245"/>
      <c r="AN3586" s="245"/>
      <c r="AO3586" s="238">
        <v>-22.8</v>
      </c>
      <c r="AP3586" s="238">
        <v>-76.2</v>
      </c>
      <c r="AQ3586" s="235" t="s">
        <v>632</v>
      </c>
      <c r="AR3586" s="243">
        <v>3.71E11</v>
      </c>
      <c r="AS3586" s="235" t="s">
        <v>19388</v>
      </c>
      <c r="AT3586" s="235" t="s">
        <v>14</v>
      </c>
      <c r="AU3586" s="235" t="s">
        <v>634</v>
      </c>
      <c r="AV3586" s="246" t="s">
        <v>635</v>
      </c>
      <c r="AW3586" s="227"/>
      <c r="AX3586" s="227"/>
      <c r="AY3586" s="227"/>
      <c r="AZ3586" s="227"/>
      <c r="BA3586" s="227"/>
      <c r="BB3586" s="227"/>
      <c r="BC3586" s="227"/>
      <c r="BD3586" s="227"/>
      <c r="BE3586" s="227"/>
      <c r="BF3586" s="227"/>
    </row>
    <row r="3587">
      <c r="A3587" s="235" t="s">
        <v>26917</v>
      </c>
      <c r="C3587" s="235" t="s">
        <v>26918</v>
      </c>
      <c r="D3587" s="235" t="s">
        <v>26919</v>
      </c>
      <c r="E3587" s="243">
        <v>6.52E13</v>
      </c>
      <c r="F3587" s="245"/>
      <c r="G3587" s="235" t="s">
        <v>26920</v>
      </c>
      <c r="H3587" s="235" t="s">
        <v>26921</v>
      </c>
      <c r="I3587" s="235" t="s">
        <v>26922</v>
      </c>
      <c r="J3587" s="235" t="s">
        <v>26923</v>
      </c>
      <c r="K3587" s="235" t="s">
        <v>26924</v>
      </c>
      <c r="N3587" s="235" t="s">
        <v>153</v>
      </c>
      <c r="O3587" s="235" t="s">
        <v>390</v>
      </c>
      <c r="P3587" s="238">
        <v>1.0</v>
      </c>
      <c r="Q3587" s="235" t="s">
        <v>627</v>
      </c>
      <c r="R3587" s="238">
        <v>490.68</v>
      </c>
      <c r="S3587" s="238">
        <v>85.68</v>
      </c>
      <c r="T3587" s="238">
        <v>0.0</v>
      </c>
      <c r="U3587" s="238">
        <v>0.0</v>
      </c>
      <c r="V3587" s="238">
        <v>0.0</v>
      </c>
      <c r="W3587" s="238">
        <v>0.0</v>
      </c>
      <c r="X3587" s="235" t="s">
        <v>628</v>
      </c>
      <c r="Z3587" s="245"/>
      <c r="AA3587" s="245"/>
      <c r="AB3587" s="245"/>
      <c r="AC3587" s="235" t="s">
        <v>678</v>
      </c>
      <c r="AD3587" s="235" t="s">
        <v>679</v>
      </c>
      <c r="AE3587" s="238">
        <v>560102.0</v>
      </c>
      <c r="AF3587" s="235" t="s">
        <v>631</v>
      </c>
      <c r="AG3587" s="245"/>
      <c r="AH3587" s="245"/>
      <c r="AI3587" s="245"/>
      <c r="AJ3587" s="245"/>
      <c r="AK3587" s="245"/>
      <c r="AL3587" s="245"/>
      <c r="AM3587" s="245"/>
      <c r="AN3587" s="245"/>
      <c r="AO3587" s="238">
        <v>-14.73</v>
      </c>
      <c r="AP3587" s="238">
        <v>0.0</v>
      </c>
      <c r="AQ3587" s="235" t="s">
        <v>632</v>
      </c>
      <c r="AR3587" s="243">
        <v>1.68E11</v>
      </c>
      <c r="AS3587" s="235" t="s">
        <v>26892</v>
      </c>
      <c r="AT3587" s="235" t="s">
        <v>11</v>
      </c>
      <c r="AU3587" s="235" t="s">
        <v>634</v>
      </c>
      <c r="AV3587" s="246" t="s">
        <v>635</v>
      </c>
      <c r="AW3587" s="227"/>
      <c r="AX3587" s="227"/>
      <c r="AY3587" s="227"/>
      <c r="AZ3587" s="227"/>
      <c r="BA3587" s="227"/>
      <c r="BB3587" s="227"/>
      <c r="BC3587" s="227"/>
      <c r="BD3587" s="227"/>
      <c r="BE3587" s="227"/>
      <c r="BF3587" s="227"/>
    </row>
    <row r="3588">
      <c r="A3588" s="235" t="s">
        <v>26917</v>
      </c>
      <c r="C3588" s="235" t="s">
        <v>26918</v>
      </c>
      <c r="D3588" s="235" t="s">
        <v>26925</v>
      </c>
      <c r="E3588" s="243">
        <v>6.52E13</v>
      </c>
      <c r="F3588" s="245"/>
      <c r="G3588" s="235" t="s">
        <v>26920</v>
      </c>
      <c r="H3588" s="235" t="s">
        <v>26921</v>
      </c>
      <c r="I3588" s="235" t="s">
        <v>26922</v>
      </c>
      <c r="J3588" s="235" t="s">
        <v>26923</v>
      </c>
      <c r="K3588" s="235" t="s">
        <v>26924</v>
      </c>
      <c r="N3588" s="235" t="s">
        <v>153</v>
      </c>
      <c r="O3588" s="235" t="s">
        <v>390</v>
      </c>
      <c r="P3588" s="238">
        <v>1.0</v>
      </c>
      <c r="Q3588" s="235" t="s">
        <v>627</v>
      </c>
      <c r="R3588" s="238">
        <v>490.68</v>
      </c>
      <c r="S3588" s="238">
        <v>85.68</v>
      </c>
      <c r="T3588" s="238">
        <v>0.0</v>
      </c>
      <c r="U3588" s="238">
        <v>0.0</v>
      </c>
      <c r="V3588" s="238">
        <v>0.0</v>
      </c>
      <c r="W3588" s="238">
        <v>0.0</v>
      </c>
      <c r="X3588" s="235" t="s">
        <v>628</v>
      </c>
      <c r="Z3588" s="245"/>
      <c r="AA3588" s="245"/>
      <c r="AB3588" s="245"/>
      <c r="AC3588" s="235" t="s">
        <v>678</v>
      </c>
      <c r="AD3588" s="235" t="s">
        <v>679</v>
      </c>
      <c r="AE3588" s="238">
        <v>560102.0</v>
      </c>
      <c r="AF3588" s="235" t="s">
        <v>631</v>
      </c>
      <c r="AG3588" s="245"/>
      <c r="AH3588" s="245"/>
      <c r="AI3588" s="245"/>
      <c r="AJ3588" s="245"/>
      <c r="AK3588" s="245"/>
      <c r="AL3588" s="245"/>
      <c r="AM3588" s="245"/>
      <c r="AN3588" s="245"/>
      <c r="AO3588" s="238">
        <v>-14.73</v>
      </c>
      <c r="AP3588" s="238">
        <v>0.0</v>
      </c>
      <c r="AQ3588" s="235" t="s">
        <v>632</v>
      </c>
      <c r="AR3588" s="243">
        <v>1.68E11</v>
      </c>
      <c r="AS3588" s="235" t="s">
        <v>26892</v>
      </c>
      <c r="AT3588" s="235" t="s">
        <v>11</v>
      </c>
      <c r="AU3588" s="235" t="s">
        <v>634</v>
      </c>
      <c r="AV3588" s="246" t="s">
        <v>635</v>
      </c>
      <c r="AW3588" s="227"/>
      <c r="AX3588" s="227"/>
      <c r="AY3588" s="227"/>
      <c r="AZ3588" s="227"/>
      <c r="BA3588" s="227"/>
      <c r="BB3588" s="227"/>
      <c r="BC3588" s="227"/>
      <c r="BD3588" s="227"/>
      <c r="BE3588" s="227"/>
      <c r="BF3588" s="227"/>
    </row>
    <row r="3589">
      <c r="A3589" s="235" t="s">
        <v>26926</v>
      </c>
      <c r="C3589" s="235" t="s">
        <v>26927</v>
      </c>
      <c r="D3589" s="235" t="s">
        <v>26928</v>
      </c>
      <c r="E3589" s="243">
        <v>6.52E13</v>
      </c>
      <c r="F3589" s="245"/>
      <c r="G3589" s="235" t="s">
        <v>26929</v>
      </c>
      <c r="H3589" s="235" t="s">
        <v>26930</v>
      </c>
      <c r="I3589" s="235" t="s">
        <v>26930</v>
      </c>
      <c r="J3589" s="235" t="s">
        <v>26931</v>
      </c>
      <c r="K3589" s="235" t="s">
        <v>26932</v>
      </c>
      <c r="N3589" s="235" t="s">
        <v>10</v>
      </c>
      <c r="O3589" s="235" t="s">
        <v>936</v>
      </c>
      <c r="P3589" s="238">
        <v>1.0</v>
      </c>
      <c r="Q3589" s="235" t="s">
        <v>627</v>
      </c>
      <c r="R3589" s="238">
        <v>256.19</v>
      </c>
      <c r="S3589" s="238">
        <v>12.43</v>
      </c>
      <c r="T3589" s="238">
        <v>0.0</v>
      </c>
      <c r="U3589" s="238">
        <v>0.0</v>
      </c>
      <c r="V3589" s="238">
        <v>0.0</v>
      </c>
      <c r="W3589" s="238">
        <v>0.0</v>
      </c>
      <c r="X3589" s="235" t="s">
        <v>628</v>
      </c>
      <c r="Z3589" s="245"/>
      <c r="AA3589" s="245"/>
      <c r="AB3589" s="245"/>
      <c r="AC3589" s="235" t="s">
        <v>1085</v>
      </c>
      <c r="AD3589" s="235" t="s">
        <v>1086</v>
      </c>
      <c r="AE3589" s="238">
        <v>141013.0</v>
      </c>
      <c r="AF3589" s="235" t="s">
        <v>631</v>
      </c>
      <c r="AG3589" s="245"/>
      <c r="AH3589" s="245"/>
      <c r="AI3589" s="245"/>
      <c r="AJ3589" s="245"/>
      <c r="AK3589" s="245"/>
      <c r="AL3589" s="245"/>
      <c r="AM3589" s="245"/>
      <c r="AN3589" s="245"/>
      <c r="AO3589" s="238">
        <v>-7.69</v>
      </c>
      <c r="AP3589" s="238">
        <v>0.0</v>
      </c>
      <c r="AQ3589" s="235" t="s">
        <v>632</v>
      </c>
      <c r="AR3589" s="243">
        <v>3.71E11</v>
      </c>
      <c r="AS3589" s="235" t="s">
        <v>23542</v>
      </c>
      <c r="AT3589" s="235" t="s">
        <v>533</v>
      </c>
      <c r="AU3589" s="235" t="s">
        <v>634</v>
      </c>
      <c r="AV3589" s="246" t="s">
        <v>635</v>
      </c>
      <c r="AW3589" s="227"/>
      <c r="AX3589" s="227"/>
      <c r="AY3589" s="227"/>
      <c r="AZ3589" s="227"/>
      <c r="BA3589" s="227"/>
      <c r="BB3589" s="227"/>
      <c r="BC3589" s="227"/>
      <c r="BD3589" s="227"/>
      <c r="BE3589" s="227"/>
      <c r="BF3589" s="227"/>
    </row>
    <row r="3590">
      <c r="A3590" s="235" t="s">
        <v>26933</v>
      </c>
      <c r="C3590" s="235" t="s">
        <v>26934</v>
      </c>
      <c r="D3590" s="235" t="s">
        <v>26935</v>
      </c>
      <c r="E3590" s="243">
        <v>6.52E13</v>
      </c>
      <c r="F3590" s="245"/>
      <c r="G3590" s="235" t="s">
        <v>26936</v>
      </c>
      <c r="H3590" s="235" t="s">
        <v>26937</v>
      </c>
      <c r="I3590" s="235" t="s">
        <v>26937</v>
      </c>
      <c r="J3590" s="235" t="s">
        <v>26938</v>
      </c>
      <c r="K3590" s="235" t="s">
        <v>26939</v>
      </c>
      <c r="N3590" s="235" t="s">
        <v>128</v>
      </c>
      <c r="O3590" s="235" t="s">
        <v>2710</v>
      </c>
      <c r="P3590" s="238">
        <v>1.0</v>
      </c>
      <c r="Q3590" s="235" t="s">
        <v>627</v>
      </c>
      <c r="R3590" s="238">
        <v>233.33</v>
      </c>
      <c r="S3590" s="238">
        <v>11.67</v>
      </c>
      <c r="T3590" s="238">
        <v>0.0</v>
      </c>
      <c r="U3590" s="238">
        <v>0.0</v>
      </c>
      <c r="V3590" s="238">
        <v>0.0</v>
      </c>
      <c r="W3590" s="238">
        <v>0.0</v>
      </c>
      <c r="X3590" s="235" t="s">
        <v>628</v>
      </c>
      <c r="Z3590" s="245"/>
      <c r="AA3590" s="245"/>
      <c r="AB3590" s="245"/>
      <c r="AC3590" s="235" t="s">
        <v>1935</v>
      </c>
      <c r="AD3590" s="235" t="s">
        <v>630</v>
      </c>
      <c r="AE3590" s="238">
        <v>282005.0</v>
      </c>
      <c r="AF3590" s="235" t="s">
        <v>631</v>
      </c>
      <c r="AG3590" s="245"/>
      <c r="AH3590" s="245"/>
      <c r="AI3590" s="245"/>
      <c r="AJ3590" s="245"/>
      <c r="AK3590" s="245"/>
      <c r="AL3590" s="245"/>
      <c r="AM3590" s="245"/>
      <c r="AN3590" s="245"/>
      <c r="AO3590" s="238">
        <v>0.0</v>
      </c>
      <c r="AP3590" s="238">
        <v>0.0</v>
      </c>
      <c r="AQ3590" s="235" t="s">
        <v>632</v>
      </c>
      <c r="AR3590" s="243">
        <v>3.71E11</v>
      </c>
      <c r="AS3590" s="235" t="s">
        <v>25098</v>
      </c>
      <c r="AT3590" s="235" t="s">
        <v>13</v>
      </c>
      <c r="AU3590" s="235" t="s">
        <v>634</v>
      </c>
      <c r="AV3590" s="246" t="s">
        <v>635</v>
      </c>
      <c r="AW3590" s="227"/>
      <c r="AX3590" s="227"/>
      <c r="AY3590" s="227"/>
      <c r="AZ3590" s="227"/>
      <c r="BA3590" s="227"/>
      <c r="BB3590" s="227"/>
      <c r="BC3590" s="227"/>
      <c r="BD3590" s="227"/>
      <c r="BE3590" s="227"/>
      <c r="BF3590" s="227"/>
    </row>
    <row r="3591">
      <c r="A3591" s="235" t="s">
        <v>26940</v>
      </c>
      <c r="C3591" s="235" t="s">
        <v>26941</v>
      </c>
      <c r="D3591" s="235" t="s">
        <v>26942</v>
      </c>
      <c r="E3591" s="243">
        <v>6.52E13</v>
      </c>
      <c r="F3591" s="245"/>
      <c r="G3591" s="235" t="s">
        <v>26943</v>
      </c>
      <c r="H3591" s="235" t="s">
        <v>26944</v>
      </c>
      <c r="I3591" s="235" t="s">
        <v>26945</v>
      </c>
      <c r="J3591" s="235" t="s">
        <v>26946</v>
      </c>
      <c r="K3591" s="235" t="s">
        <v>26947</v>
      </c>
      <c r="N3591" s="235" t="s">
        <v>127</v>
      </c>
      <c r="O3591" s="235" t="s">
        <v>794</v>
      </c>
      <c r="P3591" s="238">
        <v>1.0</v>
      </c>
      <c r="Q3591" s="235" t="s">
        <v>627</v>
      </c>
      <c r="R3591" s="238">
        <v>236.19</v>
      </c>
      <c r="S3591" s="238">
        <v>11.81</v>
      </c>
      <c r="T3591" s="238">
        <v>0.0</v>
      </c>
      <c r="U3591" s="238">
        <v>0.0</v>
      </c>
      <c r="V3591" s="238">
        <v>0.0</v>
      </c>
      <c r="W3591" s="238">
        <v>0.0</v>
      </c>
      <c r="X3591" s="235" t="s">
        <v>628</v>
      </c>
      <c r="Z3591" s="245"/>
      <c r="AA3591" s="245"/>
      <c r="AB3591" s="245"/>
      <c r="AC3591" s="235" t="s">
        <v>15017</v>
      </c>
      <c r="AD3591" s="235" t="s">
        <v>5260</v>
      </c>
      <c r="AE3591" s="238">
        <v>160036.0</v>
      </c>
      <c r="AF3591" s="235" t="s">
        <v>631</v>
      </c>
      <c r="AG3591" s="245"/>
      <c r="AH3591" s="245"/>
      <c r="AI3591" s="245"/>
      <c r="AJ3591" s="245"/>
      <c r="AK3591" s="245"/>
      <c r="AL3591" s="245"/>
      <c r="AM3591" s="245"/>
      <c r="AN3591" s="245"/>
      <c r="AO3591" s="238">
        <v>0.0</v>
      </c>
      <c r="AP3591" s="238">
        <v>0.0</v>
      </c>
      <c r="AQ3591" s="235" t="s">
        <v>632</v>
      </c>
      <c r="AR3591" s="243">
        <v>1.68E11</v>
      </c>
      <c r="AS3591" s="235" t="s">
        <v>25098</v>
      </c>
      <c r="AT3591" s="235" t="s">
        <v>13</v>
      </c>
      <c r="AU3591" s="235" t="s">
        <v>634</v>
      </c>
      <c r="AV3591" s="246" t="s">
        <v>635</v>
      </c>
      <c r="AW3591" s="227"/>
      <c r="AX3591" s="227"/>
      <c r="AY3591" s="227"/>
      <c r="AZ3591" s="227"/>
      <c r="BA3591" s="227"/>
      <c r="BB3591" s="227"/>
      <c r="BC3591" s="227"/>
      <c r="BD3591" s="227"/>
      <c r="BE3591" s="227"/>
      <c r="BF3591" s="227"/>
    </row>
    <row r="3592">
      <c r="A3592" s="235" t="s">
        <v>26948</v>
      </c>
      <c r="C3592" s="235" t="s">
        <v>26949</v>
      </c>
      <c r="D3592" s="235" t="s">
        <v>26950</v>
      </c>
      <c r="E3592" s="243">
        <v>6.52E13</v>
      </c>
      <c r="F3592" s="245"/>
      <c r="G3592" s="235" t="s">
        <v>26951</v>
      </c>
      <c r="H3592" s="235" t="s">
        <v>26952</v>
      </c>
      <c r="I3592" s="235" t="s">
        <v>26952</v>
      </c>
      <c r="J3592" s="235" t="s">
        <v>26953</v>
      </c>
      <c r="K3592" s="235" t="s">
        <v>26954</v>
      </c>
      <c r="N3592" s="235" t="s">
        <v>43</v>
      </c>
      <c r="O3592" s="235" t="s">
        <v>276</v>
      </c>
      <c r="P3592" s="238">
        <v>1.0</v>
      </c>
      <c r="Q3592" s="235" t="s">
        <v>627</v>
      </c>
      <c r="R3592" s="238">
        <v>233.34</v>
      </c>
      <c r="S3592" s="238">
        <v>11.66</v>
      </c>
      <c r="T3592" s="238">
        <v>0.0</v>
      </c>
      <c r="U3592" s="238">
        <v>0.0</v>
      </c>
      <c r="V3592" s="238">
        <v>0.0</v>
      </c>
      <c r="W3592" s="238">
        <v>0.0</v>
      </c>
      <c r="X3592" s="235" t="s">
        <v>628</v>
      </c>
      <c r="Z3592" s="245"/>
      <c r="AA3592" s="245"/>
      <c r="AB3592" s="245"/>
      <c r="AC3592" s="235" t="s">
        <v>678</v>
      </c>
      <c r="AD3592" s="235" t="s">
        <v>679</v>
      </c>
      <c r="AE3592" s="238">
        <v>560037.0</v>
      </c>
      <c r="AF3592" s="235" t="s">
        <v>631</v>
      </c>
      <c r="AG3592" s="245"/>
      <c r="AH3592" s="245"/>
      <c r="AI3592" s="245"/>
      <c r="AJ3592" s="245"/>
      <c r="AK3592" s="245"/>
      <c r="AL3592" s="245"/>
      <c r="AM3592" s="245"/>
      <c r="AN3592" s="245"/>
      <c r="AO3592" s="238">
        <v>0.0</v>
      </c>
      <c r="AP3592" s="238">
        <v>0.0</v>
      </c>
      <c r="AQ3592" s="235" t="s">
        <v>632</v>
      </c>
      <c r="AR3592" s="243">
        <v>1.68E11</v>
      </c>
      <c r="AS3592" s="235" t="s">
        <v>26892</v>
      </c>
      <c r="AT3592" s="235" t="s">
        <v>11</v>
      </c>
      <c r="AU3592" s="235" t="s">
        <v>634</v>
      </c>
      <c r="AV3592" s="246" t="s">
        <v>635</v>
      </c>
      <c r="AW3592" s="227"/>
      <c r="AX3592" s="227"/>
      <c r="AY3592" s="227"/>
      <c r="AZ3592" s="227"/>
      <c r="BA3592" s="227"/>
      <c r="BB3592" s="227"/>
      <c r="BC3592" s="227"/>
      <c r="BD3592" s="227"/>
      <c r="BE3592" s="227"/>
      <c r="BF3592" s="227"/>
    </row>
    <row r="3593">
      <c r="A3593" s="235" t="s">
        <v>26955</v>
      </c>
      <c r="C3593" s="235" t="s">
        <v>26956</v>
      </c>
      <c r="D3593" s="235" t="s">
        <v>26957</v>
      </c>
      <c r="E3593" s="243">
        <v>6.52E13</v>
      </c>
      <c r="F3593" s="245"/>
      <c r="G3593" s="235" t="s">
        <v>26958</v>
      </c>
      <c r="H3593" s="235" t="s">
        <v>26959</v>
      </c>
      <c r="I3593" s="235" t="s">
        <v>26959</v>
      </c>
      <c r="J3593" s="235" t="s">
        <v>26960</v>
      </c>
      <c r="K3593" s="235" t="s">
        <v>26961</v>
      </c>
      <c r="N3593" s="235" t="s">
        <v>47</v>
      </c>
      <c r="O3593" s="235" t="s">
        <v>270</v>
      </c>
      <c r="P3593" s="238">
        <v>1.0</v>
      </c>
      <c r="Q3593" s="235" t="s">
        <v>627</v>
      </c>
      <c r="R3593" s="238">
        <v>236.19</v>
      </c>
      <c r="S3593" s="238">
        <v>11.81</v>
      </c>
      <c r="T3593" s="238">
        <v>0.0</v>
      </c>
      <c r="U3593" s="238">
        <v>0.0</v>
      </c>
      <c r="V3593" s="238">
        <v>0.0</v>
      </c>
      <c r="W3593" s="238">
        <v>0.0</v>
      </c>
      <c r="X3593" s="235" t="s">
        <v>628</v>
      </c>
      <c r="Z3593" s="245"/>
      <c r="AA3593" s="245"/>
      <c r="AB3593" s="245"/>
      <c r="AC3593" s="235" t="s">
        <v>2493</v>
      </c>
      <c r="AD3593" s="235" t="s">
        <v>833</v>
      </c>
      <c r="AE3593" s="238">
        <v>521108.0</v>
      </c>
      <c r="AF3593" s="235" t="s">
        <v>631</v>
      </c>
      <c r="AG3593" s="245"/>
      <c r="AH3593" s="245"/>
      <c r="AI3593" s="245"/>
      <c r="AJ3593" s="245"/>
      <c r="AK3593" s="245"/>
      <c r="AL3593" s="245"/>
      <c r="AM3593" s="245"/>
      <c r="AN3593" s="245"/>
      <c r="AO3593" s="238">
        <v>0.0</v>
      </c>
      <c r="AP3593" s="238">
        <v>0.0</v>
      </c>
      <c r="AQ3593" s="235" t="s">
        <v>632</v>
      </c>
      <c r="AR3593" s="243">
        <v>1.68E11</v>
      </c>
      <c r="AS3593" s="235" t="s">
        <v>25098</v>
      </c>
      <c r="AT3593" s="235" t="s">
        <v>156</v>
      </c>
      <c r="AU3593" s="235" t="s">
        <v>634</v>
      </c>
      <c r="AV3593" s="246" t="s">
        <v>635</v>
      </c>
      <c r="AW3593" s="227"/>
      <c r="AX3593" s="227"/>
      <c r="AY3593" s="227"/>
      <c r="AZ3593" s="227"/>
      <c r="BA3593" s="227"/>
      <c r="BB3593" s="227"/>
      <c r="BC3593" s="227"/>
      <c r="BD3593" s="227"/>
      <c r="BE3593" s="227"/>
      <c r="BF3593" s="227"/>
    </row>
    <row r="3594">
      <c r="A3594" s="235" t="s">
        <v>26962</v>
      </c>
      <c r="C3594" s="235" t="s">
        <v>26963</v>
      </c>
      <c r="D3594" s="235" t="s">
        <v>26964</v>
      </c>
      <c r="E3594" s="243">
        <v>6.52E13</v>
      </c>
      <c r="F3594" s="245"/>
      <c r="G3594" s="235" t="s">
        <v>26965</v>
      </c>
      <c r="H3594" s="235" t="s">
        <v>26966</v>
      </c>
      <c r="I3594" s="235" t="s">
        <v>26966</v>
      </c>
      <c r="J3594" s="235" t="s">
        <v>26967</v>
      </c>
      <c r="K3594" s="235" t="s">
        <v>26968</v>
      </c>
      <c r="N3594" s="235" t="s">
        <v>90</v>
      </c>
      <c r="O3594" s="235" t="s">
        <v>279</v>
      </c>
      <c r="P3594" s="238">
        <v>1.0</v>
      </c>
      <c r="Q3594" s="235" t="s">
        <v>627</v>
      </c>
      <c r="R3594" s="238">
        <v>246.67</v>
      </c>
      <c r="S3594" s="238">
        <v>11.96</v>
      </c>
      <c r="T3594" s="238">
        <v>0.0</v>
      </c>
      <c r="U3594" s="238">
        <v>0.0</v>
      </c>
      <c r="V3594" s="238">
        <v>0.0</v>
      </c>
      <c r="W3594" s="238">
        <v>0.0</v>
      </c>
      <c r="X3594" s="235" t="s">
        <v>628</v>
      </c>
      <c r="Z3594" s="245"/>
      <c r="AA3594" s="245"/>
      <c r="AB3594" s="245"/>
      <c r="AC3594" s="235" t="s">
        <v>844</v>
      </c>
      <c r="AD3594" s="235" t="s">
        <v>845</v>
      </c>
      <c r="AE3594" s="238">
        <v>411057.0</v>
      </c>
      <c r="AF3594" s="235" t="s">
        <v>631</v>
      </c>
      <c r="AG3594" s="245"/>
      <c r="AH3594" s="245"/>
      <c r="AI3594" s="245"/>
      <c r="AJ3594" s="245"/>
      <c r="AK3594" s="245"/>
      <c r="AL3594" s="245"/>
      <c r="AM3594" s="245"/>
      <c r="AN3594" s="245"/>
      <c r="AO3594" s="238">
        <v>-7.4</v>
      </c>
      <c r="AP3594" s="238">
        <v>0.0</v>
      </c>
      <c r="AQ3594" s="235" t="s">
        <v>632</v>
      </c>
      <c r="AR3594" s="243">
        <v>2.02E11</v>
      </c>
      <c r="AS3594" s="235" t="s">
        <v>25098</v>
      </c>
      <c r="AT3594" s="235" t="s">
        <v>13</v>
      </c>
      <c r="AU3594" s="235" t="s">
        <v>634</v>
      </c>
      <c r="AV3594" s="246" t="s">
        <v>635</v>
      </c>
      <c r="AW3594" s="227"/>
      <c r="AX3594" s="227"/>
      <c r="AY3594" s="227"/>
      <c r="AZ3594" s="227"/>
      <c r="BA3594" s="227"/>
      <c r="BB3594" s="227"/>
      <c r="BC3594" s="227"/>
      <c r="BD3594" s="227"/>
      <c r="BE3594" s="227"/>
      <c r="BF3594" s="227"/>
    </row>
    <row r="3595">
      <c r="A3595" s="235" t="s">
        <v>26969</v>
      </c>
      <c r="C3595" s="235" t="s">
        <v>26970</v>
      </c>
      <c r="D3595" s="235" t="s">
        <v>26971</v>
      </c>
      <c r="E3595" s="243">
        <v>6.52E13</v>
      </c>
      <c r="F3595" s="245"/>
      <c r="G3595" s="235" t="s">
        <v>26972</v>
      </c>
      <c r="H3595" s="235" t="s">
        <v>26973</v>
      </c>
      <c r="I3595" s="235" t="s">
        <v>26973</v>
      </c>
      <c r="J3595" s="235" t="s">
        <v>26974</v>
      </c>
      <c r="K3595" s="235" t="s">
        <v>26975</v>
      </c>
      <c r="N3595" s="235" t="s">
        <v>78</v>
      </c>
      <c r="O3595" s="235" t="s">
        <v>360</v>
      </c>
      <c r="P3595" s="238">
        <v>1.0</v>
      </c>
      <c r="Q3595" s="235" t="s">
        <v>627</v>
      </c>
      <c r="R3595" s="238">
        <v>341.9</v>
      </c>
      <c r="S3595" s="238">
        <v>17.1</v>
      </c>
      <c r="T3595" s="238">
        <v>0.0</v>
      </c>
      <c r="U3595" s="238">
        <v>0.0</v>
      </c>
      <c r="V3595" s="238">
        <v>0.0</v>
      </c>
      <c r="W3595" s="238">
        <v>0.0</v>
      </c>
      <c r="X3595" s="235" t="s">
        <v>628</v>
      </c>
      <c r="Z3595" s="245"/>
      <c r="AA3595" s="245"/>
      <c r="AB3595" s="245"/>
      <c r="AC3595" s="235" t="s">
        <v>3351</v>
      </c>
      <c r="AD3595" s="235" t="s">
        <v>1499</v>
      </c>
      <c r="AE3595" s="238">
        <v>462016.0</v>
      </c>
      <c r="AF3595" s="235" t="s">
        <v>631</v>
      </c>
      <c r="AG3595" s="245"/>
      <c r="AH3595" s="245"/>
      <c r="AI3595" s="245"/>
      <c r="AJ3595" s="245"/>
      <c r="AK3595" s="245"/>
      <c r="AL3595" s="245"/>
      <c r="AM3595" s="245"/>
      <c r="AN3595" s="245"/>
      <c r="AO3595" s="238">
        <v>0.0</v>
      </c>
      <c r="AP3595" s="238">
        <v>0.0</v>
      </c>
      <c r="AQ3595" s="235" t="s">
        <v>632</v>
      </c>
      <c r="AR3595" s="243">
        <v>1.68E11</v>
      </c>
      <c r="AS3595" s="235" t="s">
        <v>25098</v>
      </c>
      <c r="AT3595" s="235" t="s">
        <v>5</v>
      </c>
      <c r="AU3595" s="235" t="s">
        <v>634</v>
      </c>
      <c r="AV3595" s="246" t="s">
        <v>635</v>
      </c>
      <c r="AW3595" s="227"/>
      <c r="AX3595" s="227"/>
      <c r="AY3595" s="227"/>
      <c r="AZ3595" s="227"/>
      <c r="BA3595" s="227"/>
      <c r="BB3595" s="227"/>
      <c r="BC3595" s="227"/>
      <c r="BD3595" s="227"/>
      <c r="BE3595" s="227"/>
      <c r="BF3595" s="227"/>
    </row>
    <row r="3596">
      <c r="A3596" s="235" t="s">
        <v>26976</v>
      </c>
      <c r="C3596" s="235" t="s">
        <v>26977</v>
      </c>
      <c r="D3596" s="235" t="s">
        <v>26978</v>
      </c>
      <c r="E3596" s="243">
        <v>6.52E13</v>
      </c>
      <c r="F3596" s="245"/>
      <c r="G3596" s="235" t="s">
        <v>26979</v>
      </c>
      <c r="H3596" s="235" t="s">
        <v>26980</v>
      </c>
      <c r="I3596" s="235" t="s">
        <v>26980</v>
      </c>
      <c r="J3596" s="235" t="s">
        <v>26981</v>
      </c>
      <c r="K3596" s="235" t="s">
        <v>26982</v>
      </c>
      <c r="N3596" s="235" t="s">
        <v>145</v>
      </c>
      <c r="O3596" s="235" t="s">
        <v>370</v>
      </c>
      <c r="P3596" s="238">
        <v>1.0</v>
      </c>
      <c r="Q3596" s="235" t="s">
        <v>627</v>
      </c>
      <c r="R3596" s="238">
        <v>1522.86</v>
      </c>
      <c r="S3596" s="238">
        <v>76.14</v>
      </c>
      <c r="T3596" s="238">
        <v>0.0</v>
      </c>
      <c r="U3596" s="238">
        <v>0.0</v>
      </c>
      <c r="V3596" s="238">
        <v>0.0</v>
      </c>
      <c r="W3596" s="238">
        <v>0.0</v>
      </c>
      <c r="X3596" s="235" t="s">
        <v>628</v>
      </c>
      <c r="Z3596" s="245"/>
      <c r="AA3596" s="245"/>
      <c r="AB3596" s="245"/>
      <c r="AC3596" s="235" t="s">
        <v>687</v>
      </c>
      <c r="AD3596" s="235" t="s">
        <v>666</v>
      </c>
      <c r="AE3596" s="238">
        <v>600040.0</v>
      </c>
      <c r="AF3596" s="235" t="s">
        <v>631</v>
      </c>
      <c r="AG3596" s="245"/>
      <c r="AH3596" s="245"/>
      <c r="AI3596" s="245"/>
      <c r="AJ3596" s="245"/>
      <c r="AK3596" s="245"/>
      <c r="AL3596" s="245"/>
      <c r="AM3596" s="245"/>
      <c r="AN3596" s="245"/>
      <c r="AO3596" s="238">
        <v>0.0</v>
      </c>
      <c r="AP3596" s="238">
        <v>0.0</v>
      </c>
      <c r="AQ3596" s="235" t="s">
        <v>632</v>
      </c>
      <c r="AR3596" s="243">
        <v>2.02E11</v>
      </c>
      <c r="AS3596" s="235" t="s">
        <v>25098</v>
      </c>
      <c r="AT3596" s="235" t="s">
        <v>16</v>
      </c>
      <c r="AU3596" s="235" t="s">
        <v>634</v>
      </c>
      <c r="AV3596" s="246" t="s">
        <v>635</v>
      </c>
      <c r="AW3596" s="227"/>
      <c r="AX3596" s="227"/>
      <c r="AY3596" s="227"/>
      <c r="AZ3596" s="227"/>
      <c r="BA3596" s="227"/>
      <c r="BB3596" s="227"/>
      <c r="BC3596" s="227"/>
      <c r="BD3596" s="227"/>
      <c r="BE3596" s="227"/>
      <c r="BF3596" s="227"/>
    </row>
    <row r="3597">
      <c r="A3597" s="235" t="s">
        <v>26983</v>
      </c>
      <c r="C3597" s="235" t="s">
        <v>26984</v>
      </c>
      <c r="D3597" s="235" t="s">
        <v>26985</v>
      </c>
      <c r="E3597" s="243">
        <v>6.52E13</v>
      </c>
      <c r="F3597" s="245"/>
      <c r="G3597" s="235" t="s">
        <v>26986</v>
      </c>
      <c r="H3597" s="235" t="s">
        <v>26987</v>
      </c>
      <c r="I3597" s="235" t="s">
        <v>26988</v>
      </c>
      <c r="J3597" s="235" t="s">
        <v>26989</v>
      </c>
      <c r="K3597" s="235" t="s">
        <v>26990</v>
      </c>
      <c r="N3597" s="235" t="s">
        <v>92</v>
      </c>
      <c r="O3597" s="235" t="s">
        <v>248</v>
      </c>
      <c r="P3597" s="238">
        <v>1.0</v>
      </c>
      <c r="Q3597" s="235" t="s">
        <v>627</v>
      </c>
      <c r="R3597" s="238">
        <v>233.33</v>
      </c>
      <c r="S3597" s="238">
        <v>11.67</v>
      </c>
      <c r="T3597" s="238">
        <v>0.0</v>
      </c>
      <c r="U3597" s="238">
        <v>0.0</v>
      </c>
      <c r="V3597" s="238">
        <v>0.0</v>
      </c>
      <c r="W3597" s="238">
        <v>0.0</v>
      </c>
      <c r="X3597" s="235" t="s">
        <v>628</v>
      </c>
      <c r="Z3597" s="245"/>
      <c r="AA3597" s="245"/>
      <c r="AB3597" s="245"/>
      <c r="AC3597" s="235" t="s">
        <v>697</v>
      </c>
      <c r="AD3597" s="235" t="s">
        <v>698</v>
      </c>
      <c r="AE3597" s="238">
        <v>500043.0</v>
      </c>
      <c r="AF3597" s="235" t="s">
        <v>631</v>
      </c>
      <c r="AG3597" s="245"/>
      <c r="AH3597" s="245"/>
      <c r="AI3597" s="245"/>
      <c r="AJ3597" s="245"/>
      <c r="AK3597" s="245"/>
      <c r="AL3597" s="245"/>
      <c r="AM3597" s="245"/>
      <c r="AN3597" s="245"/>
      <c r="AO3597" s="238">
        <v>0.0</v>
      </c>
      <c r="AP3597" s="238">
        <v>0.0</v>
      </c>
      <c r="AQ3597" s="235" t="s">
        <v>632</v>
      </c>
      <c r="AR3597" s="243">
        <v>3.71E11</v>
      </c>
      <c r="AS3597" s="235" t="s">
        <v>23542</v>
      </c>
      <c r="AT3597" s="235" t="s">
        <v>17</v>
      </c>
      <c r="AU3597" s="235" t="s">
        <v>634</v>
      </c>
      <c r="AV3597" s="246" t="s">
        <v>635</v>
      </c>
      <c r="AW3597" s="227"/>
      <c r="AX3597" s="227"/>
      <c r="AY3597" s="227"/>
      <c r="AZ3597" s="227"/>
      <c r="BA3597" s="227"/>
      <c r="BB3597" s="227"/>
      <c r="BC3597" s="227"/>
      <c r="BD3597" s="227"/>
      <c r="BE3597" s="227"/>
      <c r="BF3597" s="227"/>
    </row>
    <row r="3598">
      <c r="A3598" s="235" t="s">
        <v>26991</v>
      </c>
      <c r="C3598" s="235" t="s">
        <v>26992</v>
      </c>
      <c r="D3598" s="235" t="s">
        <v>26993</v>
      </c>
      <c r="E3598" s="243">
        <v>6.52E13</v>
      </c>
      <c r="F3598" s="245"/>
      <c r="G3598" s="235" t="s">
        <v>26994</v>
      </c>
      <c r="H3598" s="235" t="s">
        <v>26995</v>
      </c>
      <c r="I3598" s="235" t="s">
        <v>26995</v>
      </c>
      <c r="J3598" s="235" t="s">
        <v>26996</v>
      </c>
      <c r="K3598" s="235" t="s">
        <v>26997</v>
      </c>
      <c r="N3598" s="235" t="s">
        <v>53</v>
      </c>
      <c r="O3598" s="235" t="s">
        <v>512</v>
      </c>
      <c r="P3598" s="238">
        <v>1.0</v>
      </c>
      <c r="Q3598" s="235" t="s">
        <v>627</v>
      </c>
      <c r="R3598" s="238">
        <v>237.14</v>
      </c>
      <c r="S3598" s="238">
        <v>11.62</v>
      </c>
      <c r="T3598" s="238">
        <v>0.0</v>
      </c>
      <c r="U3598" s="238">
        <v>0.0</v>
      </c>
      <c r="V3598" s="238">
        <v>0.0</v>
      </c>
      <c r="W3598" s="238">
        <v>0.0</v>
      </c>
      <c r="X3598" s="235" t="s">
        <v>628</v>
      </c>
      <c r="Z3598" s="245"/>
      <c r="AA3598" s="245"/>
      <c r="AB3598" s="245"/>
      <c r="AC3598" s="235" t="s">
        <v>814</v>
      </c>
      <c r="AD3598" s="235" t="s">
        <v>698</v>
      </c>
      <c r="AE3598" s="238">
        <v>500060.0</v>
      </c>
      <c r="AF3598" s="235" t="s">
        <v>631</v>
      </c>
      <c r="AG3598" s="245"/>
      <c r="AH3598" s="245"/>
      <c r="AI3598" s="245"/>
      <c r="AJ3598" s="245"/>
      <c r="AK3598" s="245"/>
      <c r="AL3598" s="245"/>
      <c r="AM3598" s="245"/>
      <c r="AN3598" s="245"/>
      <c r="AO3598" s="238">
        <v>-4.74</v>
      </c>
      <c r="AP3598" s="238">
        <v>0.0</v>
      </c>
      <c r="AQ3598" s="235" t="s">
        <v>632</v>
      </c>
      <c r="AR3598" s="243">
        <v>2.02E11</v>
      </c>
      <c r="AS3598" s="235" t="s">
        <v>25098</v>
      </c>
      <c r="AT3598" s="235" t="s">
        <v>155</v>
      </c>
      <c r="AU3598" s="235" t="s">
        <v>634</v>
      </c>
      <c r="AV3598" s="246" t="s">
        <v>635</v>
      </c>
      <c r="AW3598" s="227"/>
      <c r="AX3598" s="227"/>
      <c r="AY3598" s="227"/>
      <c r="AZ3598" s="227"/>
      <c r="BA3598" s="227"/>
      <c r="BB3598" s="227"/>
      <c r="BC3598" s="227"/>
      <c r="BD3598" s="227"/>
      <c r="BE3598" s="227"/>
      <c r="BF3598" s="227"/>
    </row>
    <row r="3599">
      <c r="A3599" s="235" t="s">
        <v>26998</v>
      </c>
      <c r="C3599" s="235" t="s">
        <v>26999</v>
      </c>
      <c r="D3599" s="235" t="s">
        <v>27000</v>
      </c>
      <c r="E3599" s="243">
        <v>6.51E13</v>
      </c>
      <c r="F3599" s="245"/>
      <c r="G3599" s="235" t="s">
        <v>27001</v>
      </c>
      <c r="H3599" s="235" t="s">
        <v>27002</v>
      </c>
      <c r="I3599" s="235" t="s">
        <v>27002</v>
      </c>
      <c r="J3599" s="235" t="s">
        <v>27003</v>
      </c>
      <c r="K3599" s="235" t="s">
        <v>27004</v>
      </c>
      <c r="N3599" s="235" t="s">
        <v>131</v>
      </c>
      <c r="O3599" s="235" t="s">
        <v>2148</v>
      </c>
      <c r="P3599" s="238">
        <v>1.0</v>
      </c>
      <c r="Q3599" s="235" t="s">
        <v>627</v>
      </c>
      <c r="R3599" s="238">
        <v>270.48</v>
      </c>
      <c r="S3599" s="238">
        <v>13.52</v>
      </c>
      <c r="T3599" s="238">
        <v>38.1</v>
      </c>
      <c r="U3599" s="238">
        <v>1.9</v>
      </c>
      <c r="V3599" s="238">
        <v>0.0</v>
      </c>
      <c r="W3599" s="238">
        <v>0.0</v>
      </c>
      <c r="X3599" s="235" t="s">
        <v>628</v>
      </c>
      <c r="Z3599" s="245"/>
      <c r="AA3599" s="245"/>
      <c r="AB3599" s="245"/>
      <c r="AC3599" s="235" t="s">
        <v>21350</v>
      </c>
      <c r="AD3599" s="235" t="s">
        <v>928</v>
      </c>
      <c r="AE3599" s="238">
        <v>136118.0</v>
      </c>
      <c r="AF3599" s="235" t="s">
        <v>631</v>
      </c>
      <c r="AG3599" s="245"/>
      <c r="AH3599" s="245"/>
      <c r="AI3599" s="245"/>
      <c r="AJ3599" s="245"/>
      <c r="AK3599" s="245"/>
      <c r="AL3599" s="245"/>
      <c r="AM3599" s="245"/>
      <c r="AN3599" s="245"/>
      <c r="AO3599" s="238">
        <v>0.0</v>
      </c>
      <c r="AP3599" s="238">
        <v>-38.1</v>
      </c>
      <c r="AQ3599" s="235" t="s">
        <v>632</v>
      </c>
      <c r="AR3599" s="243">
        <v>3.71E11</v>
      </c>
      <c r="AS3599" s="235" t="s">
        <v>23542</v>
      </c>
      <c r="AT3599" s="235" t="s">
        <v>14</v>
      </c>
      <c r="AU3599" s="235" t="s">
        <v>634</v>
      </c>
      <c r="AV3599" s="246" t="s">
        <v>635</v>
      </c>
      <c r="AW3599" s="227"/>
      <c r="AX3599" s="227"/>
      <c r="AY3599" s="227"/>
      <c r="AZ3599" s="227"/>
      <c r="BA3599" s="227"/>
      <c r="BB3599" s="227"/>
      <c r="BC3599" s="227"/>
      <c r="BD3599" s="227"/>
      <c r="BE3599" s="227"/>
      <c r="BF3599" s="227"/>
    </row>
    <row r="3600">
      <c r="A3600" s="235" t="s">
        <v>27005</v>
      </c>
      <c r="C3600" s="235" t="s">
        <v>27006</v>
      </c>
      <c r="D3600" s="235" t="s">
        <v>27007</v>
      </c>
      <c r="E3600" s="243">
        <v>6.52E13</v>
      </c>
      <c r="F3600" s="245"/>
      <c r="G3600" s="235" t="s">
        <v>27008</v>
      </c>
      <c r="H3600" s="235" t="s">
        <v>27009</v>
      </c>
      <c r="I3600" s="235" t="s">
        <v>27009</v>
      </c>
      <c r="J3600" s="235" t="s">
        <v>27010</v>
      </c>
      <c r="K3600" s="235" t="s">
        <v>27011</v>
      </c>
      <c r="N3600" s="235" t="s">
        <v>154</v>
      </c>
      <c r="O3600" s="235" t="s">
        <v>766</v>
      </c>
      <c r="P3600" s="238">
        <v>1.0</v>
      </c>
      <c r="Q3600" s="235" t="s">
        <v>627</v>
      </c>
      <c r="R3600" s="238">
        <v>423.81</v>
      </c>
      <c r="S3600" s="238">
        <v>20.55</v>
      </c>
      <c r="T3600" s="238">
        <v>0.0</v>
      </c>
      <c r="U3600" s="238">
        <v>0.0</v>
      </c>
      <c r="V3600" s="238">
        <v>0.0</v>
      </c>
      <c r="W3600" s="238">
        <v>0.0</v>
      </c>
      <c r="X3600" s="235" t="s">
        <v>628</v>
      </c>
      <c r="Z3600" s="245"/>
      <c r="AA3600" s="245"/>
      <c r="AB3600" s="245"/>
      <c r="AC3600" s="235" t="s">
        <v>1878</v>
      </c>
      <c r="AD3600" s="235" t="s">
        <v>645</v>
      </c>
      <c r="AE3600" s="238">
        <v>680581.0</v>
      </c>
      <c r="AF3600" s="235" t="s">
        <v>631</v>
      </c>
      <c r="AG3600" s="245"/>
      <c r="AH3600" s="245"/>
      <c r="AI3600" s="245"/>
      <c r="AJ3600" s="245"/>
      <c r="AK3600" s="245"/>
      <c r="AL3600" s="245"/>
      <c r="AM3600" s="245"/>
      <c r="AN3600" s="245"/>
      <c r="AO3600" s="238">
        <v>-12.71</v>
      </c>
      <c r="AP3600" s="238">
        <v>0.0</v>
      </c>
      <c r="AQ3600" s="235" t="s">
        <v>632</v>
      </c>
      <c r="AR3600" s="243">
        <v>1.68E11</v>
      </c>
      <c r="AS3600" s="235" t="s">
        <v>25098</v>
      </c>
      <c r="AT3600" s="235" t="s">
        <v>155</v>
      </c>
      <c r="AU3600" s="235" t="s">
        <v>634</v>
      </c>
      <c r="AV3600" s="246" t="s">
        <v>635</v>
      </c>
      <c r="AW3600" s="227"/>
      <c r="AX3600" s="227"/>
      <c r="AY3600" s="227"/>
      <c r="AZ3600" s="227"/>
      <c r="BA3600" s="227"/>
      <c r="BB3600" s="227"/>
      <c r="BC3600" s="227"/>
      <c r="BD3600" s="227"/>
      <c r="BE3600" s="227"/>
      <c r="BF3600" s="227"/>
    </row>
    <row r="3601">
      <c r="A3601" s="235" t="s">
        <v>27012</v>
      </c>
      <c r="C3601" s="235" t="s">
        <v>27013</v>
      </c>
      <c r="D3601" s="235" t="s">
        <v>27014</v>
      </c>
      <c r="E3601" s="243">
        <v>6.52E13</v>
      </c>
      <c r="F3601" s="245"/>
      <c r="G3601" s="235" t="s">
        <v>27015</v>
      </c>
      <c r="H3601" s="235" t="s">
        <v>27016</v>
      </c>
      <c r="I3601" s="235" t="s">
        <v>27016</v>
      </c>
      <c r="J3601" s="235" t="s">
        <v>27017</v>
      </c>
      <c r="K3601" s="235" t="s">
        <v>27018</v>
      </c>
      <c r="N3601" s="235" t="s">
        <v>127</v>
      </c>
      <c r="O3601" s="235" t="s">
        <v>794</v>
      </c>
      <c r="P3601" s="238">
        <v>1.0</v>
      </c>
      <c r="Q3601" s="235" t="s">
        <v>627</v>
      </c>
      <c r="R3601" s="238">
        <v>236.2</v>
      </c>
      <c r="S3601" s="238">
        <v>11.8</v>
      </c>
      <c r="T3601" s="238">
        <v>0.0</v>
      </c>
      <c r="U3601" s="238">
        <v>0.0</v>
      </c>
      <c r="V3601" s="238">
        <v>0.0</v>
      </c>
      <c r="W3601" s="238">
        <v>0.0</v>
      </c>
      <c r="X3601" s="235" t="s">
        <v>628</v>
      </c>
      <c r="Z3601" s="245"/>
      <c r="AA3601" s="245"/>
      <c r="AB3601" s="245"/>
      <c r="AC3601" s="235" t="s">
        <v>27019</v>
      </c>
      <c r="AD3601" s="235" t="s">
        <v>666</v>
      </c>
      <c r="AE3601" s="238">
        <v>612102.0</v>
      </c>
      <c r="AF3601" s="235" t="s">
        <v>631</v>
      </c>
      <c r="AG3601" s="245"/>
      <c r="AH3601" s="245"/>
      <c r="AI3601" s="245"/>
      <c r="AJ3601" s="245"/>
      <c r="AK3601" s="245"/>
      <c r="AL3601" s="245"/>
      <c r="AM3601" s="245"/>
      <c r="AN3601" s="245"/>
      <c r="AO3601" s="238">
        <v>0.0</v>
      </c>
      <c r="AP3601" s="238">
        <v>0.0</v>
      </c>
      <c r="AQ3601" s="235" t="s">
        <v>632</v>
      </c>
      <c r="AR3601" s="243">
        <v>1.68E11</v>
      </c>
      <c r="AS3601" s="235" t="s">
        <v>25098</v>
      </c>
      <c r="AT3601" s="235" t="s">
        <v>155</v>
      </c>
      <c r="AU3601" s="235" t="s">
        <v>634</v>
      </c>
      <c r="AV3601" s="246" t="s">
        <v>635</v>
      </c>
      <c r="AW3601" s="227"/>
      <c r="AX3601" s="227"/>
      <c r="AY3601" s="227"/>
      <c r="AZ3601" s="227"/>
      <c r="BA3601" s="227"/>
      <c r="BB3601" s="227"/>
      <c r="BC3601" s="227"/>
      <c r="BD3601" s="227"/>
      <c r="BE3601" s="227"/>
      <c r="BF3601" s="227"/>
    </row>
    <row r="3602">
      <c r="A3602" s="235" t="s">
        <v>27020</v>
      </c>
      <c r="C3602" s="235" t="s">
        <v>27021</v>
      </c>
      <c r="D3602" s="235" t="s">
        <v>27022</v>
      </c>
      <c r="E3602" s="243">
        <v>6.52E13</v>
      </c>
      <c r="F3602" s="245"/>
      <c r="G3602" s="235" t="s">
        <v>27023</v>
      </c>
      <c r="H3602" s="235" t="s">
        <v>27024</v>
      </c>
      <c r="I3602" s="235" t="s">
        <v>27024</v>
      </c>
      <c r="J3602" s="235" t="s">
        <v>27025</v>
      </c>
      <c r="K3602" s="235" t="s">
        <v>27026</v>
      </c>
      <c r="N3602" s="235" t="s">
        <v>42</v>
      </c>
      <c r="O3602" s="235" t="s">
        <v>204</v>
      </c>
      <c r="P3602" s="238">
        <v>1.0</v>
      </c>
      <c r="Q3602" s="235" t="s">
        <v>627</v>
      </c>
      <c r="R3602" s="238">
        <v>236.19</v>
      </c>
      <c r="S3602" s="238">
        <v>11.57</v>
      </c>
      <c r="T3602" s="238">
        <v>38.1</v>
      </c>
      <c r="U3602" s="238">
        <v>1.9</v>
      </c>
      <c r="V3602" s="238">
        <v>0.0</v>
      </c>
      <c r="W3602" s="238">
        <v>0.0</v>
      </c>
      <c r="X3602" s="235" t="s">
        <v>628</v>
      </c>
      <c r="Z3602" s="245"/>
      <c r="AA3602" s="245"/>
      <c r="AB3602" s="245"/>
      <c r="AC3602" s="235" t="s">
        <v>6896</v>
      </c>
      <c r="AD3602" s="235" t="s">
        <v>833</v>
      </c>
      <c r="AE3602" s="238">
        <v>533005.0</v>
      </c>
      <c r="AF3602" s="235" t="s">
        <v>631</v>
      </c>
      <c r="AG3602" s="245"/>
      <c r="AH3602" s="245"/>
      <c r="AI3602" s="245"/>
      <c r="AJ3602" s="245"/>
      <c r="AK3602" s="245"/>
      <c r="AL3602" s="245"/>
      <c r="AM3602" s="245"/>
      <c r="AN3602" s="245"/>
      <c r="AO3602" s="238">
        <v>-4.72</v>
      </c>
      <c r="AP3602" s="238">
        <v>-38.1</v>
      </c>
      <c r="AQ3602" s="235" t="s">
        <v>632</v>
      </c>
      <c r="AR3602" s="243">
        <v>3.71E11</v>
      </c>
      <c r="AS3602" s="235" t="s">
        <v>17988</v>
      </c>
      <c r="AT3602" s="235" t="s">
        <v>546</v>
      </c>
      <c r="AU3602" s="235" t="s">
        <v>634</v>
      </c>
      <c r="AV3602" s="246" t="s">
        <v>635</v>
      </c>
      <c r="AW3602" s="227"/>
      <c r="AX3602" s="227"/>
      <c r="AY3602" s="227"/>
      <c r="AZ3602" s="227"/>
      <c r="BA3602" s="227"/>
      <c r="BB3602" s="227"/>
      <c r="BC3602" s="227"/>
      <c r="BD3602" s="227"/>
      <c r="BE3602" s="227"/>
      <c r="BF3602" s="227"/>
    </row>
    <row r="3603">
      <c r="A3603" s="235" t="s">
        <v>27027</v>
      </c>
      <c r="C3603" s="235" t="s">
        <v>27028</v>
      </c>
      <c r="D3603" s="235" t="s">
        <v>27029</v>
      </c>
      <c r="E3603" s="243">
        <v>6.51E13</v>
      </c>
      <c r="F3603" s="245"/>
      <c r="G3603" s="235" t="s">
        <v>27030</v>
      </c>
      <c r="H3603" s="235" t="s">
        <v>27031</v>
      </c>
      <c r="I3603" s="235" t="s">
        <v>27032</v>
      </c>
      <c r="J3603" s="235" t="s">
        <v>27033</v>
      </c>
      <c r="K3603" s="235" t="s">
        <v>27034</v>
      </c>
      <c r="N3603" s="235" t="s">
        <v>134</v>
      </c>
      <c r="O3603" s="235" t="s">
        <v>314</v>
      </c>
      <c r="P3603" s="238">
        <v>1.0</v>
      </c>
      <c r="Q3603" s="235" t="s">
        <v>627</v>
      </c>
      <c r="R3603" s="238">
        <v>270.48</v>
      </c>
      <c r="S3603" s="238">
        <v>13.25</v>
      </c>
      <c r="T3603" s="238">
        <v>38.1</v>
      </c>
      <c r="U3603" s="238">
        <v>1.9</v>
      </c>
      <c r="V3603" s="238">
        <v>0.0</v>
      </c>
      <c r="W3603" s="238">
        <v>0.0</v>
      </c>
      <c r="X3603" s="235" t="s">
        <v>628</v>
      </c>
      <c r="Z3603" s="245"/>
      <c r="AA3603" s="245"/>
      <c r="AB3603" s="245"/>
      <c r="AC3603" s="235" t="s">
        <v>27035</v>
      </c>
      <c r="AD3603" s="235" t="s">
        <v>1499</v>
      </c>
      <c r="AE3603" s="238">
        <v>455332.0</v>
      </c>
      <c r="AF3603" s="235" t="s">
        <v>631</v>
      </c>
      <c r="AG3603" s="245"/>
      <c r="AH3603" s="245"/>
      <c r="AI3603" s="245"/>
      <c r="AJ3603" s="245"/>
      <c r="AK3603" s="245"/>
      <c r="AL3603" s="245"/>
      <c r="AM3603" s="245"/>
      <c r="AN3603" s="245"/>
      <c r="AO3603" s="238">
        <v>-5.41</v>
      </c>
      <c r="AP3603" s="238">
        <v>-38.1</v>
      </c>
      <c r="AQ3603" s="235" t="s">
        <v>632</v>
      </c>
      <c r="AR3603" s="243">
        <v>3.71E11</v>
      </c>
      <c r="AS3603" s="235" t="s">
        <v>22269</v>
      </c>
      <c r="AT3603" s="235" t="s">
        <v>5</v>
      </c>
      <c r="AU3603" s="235" t="s">
        <v>634</v>
      </c>
      <c r="AV3603" s="246" t="s">
        <v>635</v>
      </c>
      <c r="AW3603" s="227"/>
      <c r="AX3603" s="227"/>
      <c r="AY3603" s="227"/>
      <c r="AZ3603" s="227"/>
      <c r="BA3603" s="227"/>
      <c r="BB3603" s="227"/>
      <c r="BC3603" s="227"/>
      <c r="BD3603" s="227"/>
      <c r="BE3603" s="227"/>
      <c r="BF3603" s="227"/>
    </row>
    <row r="3604">
      <c r="A3604" s="235" t="s">
        <v>27036</v>
      </c>
      <c r="C3604" s="235" t="s">
        <v>27037</v>
      </c>
      <c r="D3604" s="235" t="s">
        <v>27038</v>
      </c>
      <c r="E3604" s="243">
        <v>6.52E13</v>
      </c>
      <c r="F3604" s="245"/>
      <c r="G3604" s="235" t="s">
        <v>27039</v>
      </c>
      <c r="H3604" s="235" t="s">
        <v>27040</v>
      </c>
      <c r="I3604" s="235" t="s">
        <v>27040</v>
      </c>
      <c r="J3604" s="235" t="s">
        <v>27041</v>
      </c>
      <c r="K3604" s="235" t="s">
        <v>27042</v>
      </c>
      <c r="N3604" s="235" t="s">
        <v>117</v>
      </c>
      <c r="O3604" s="235" t="s">
        <v>334</v>
      </c>
      <c r="P3604" s="238">
        <v>1.0</v>
      </c>
      <c r="Q3604" s="235" t="s">
        <v>627</v>
      </c>
      <c r="R3604" s="238">
        <v>233.33</v>
      </c>
      <c r="S3604" s="238">
        <v>11.67</v>
      </c>
      <c r="T3604" s="238">
        <v>0.0</v>
      </c>
      <c r="U3604" s="238">
        <v>0.0</v>
      </c>
      <c r="V3604" s="238">
        <v>0.0</v>
      </c>
      <c r="W3604" s="238">
        <v>0.0</v>
      </c>
      <c r="X3604" s="235" t="s">
        <v>628</v>
      </c>
      <c r="Z3604" s="245"/>
      <c r="AA3604" s="245"/>
      <c r="AB3604" s="245"/>
      <c r="AC3604" s="235" t="s">
        <v>697</v>
      </c>
      <c r="AD3604" s="235" t="s">
        <v>698</v>
      </c>
      <c r="AE3604" s="238">
        <v>500062.0</v>
      </c>
      <c r="AF3604" s="235" t="s">
        <v>631</v>
      </c>
      <c r="AG3604" s="245"/>
      <c r="AH3604" s="245"/>
      <c r="AI3604" s="245"/>
      <c r="AJ3604" s="245"/>
      <c r="AK3604" s="245"/>
      <c r="AL3604" s="245"/>
      <c r="AM3604" s="245"/>
      <c r="AN3604" s="245"/>
      <c r="AO3604" s="238">
        <v>0.0</v>
      </c>
      <c r="AP3604" s="238">
        <v>0.0</v>
      </c>
      <c r="AQ3604" s="235" t="s">
        <v>632</v>
      </c>
      <c r="AR3604" s="243">
        <v>3.71E11</v>
      </c>
      <c r="AS3604" s="235" t="s">
        <v>23542</v>
      </c>
      <c r="AT3604" s="235" t="s">
        <v>17</v>
      </c>
      <c r="AU3604" s="235" t="s">
        <v>634</v>
      </c>
      <c r="AV3604" s="246" t="s">
        <v>635</v>
      </c>
      <c r="AW3604" s="227"/>
      <c r="AX3604" s="227"/>
      <c r="AY3604" s="227"/>
      <c r="AZ3604" s="227"/>
      <c r="BA3604" s="227"/>
      <c r="BB3604" s="227"/>
      <c r="BC3604" s="227"/>
      <c r="BD3604" s="227"/>
      <c r="BE3604" s="227"/>
      <c r="BF3604" s="227"/>
    </row>
    <row r="3605">
      <c r="A3605" s="235" t="s">
        <v>27043</v>
      </c>
      <c r="C3605" s="235" t="s">
        <v>27044</v>
      </c>
      <c r="D3605" s="235" t="s">
        <v>27045</v>
      </c>
      <c r="E3605" s="243">
        <v>6.52E13</v>
      </c>
      <c r="F3605" s="245"/>
      <c r="G3605" s="235" t="s">
        <v>27046</v>
      </c>
      <c r="H3605" s="235" t="s">
        <v>27047</v>
      </c>
      <c r="I3605" s="235" t="s">
        <v>27047</v>
      </c>
      <c r="J3605" s="235" t="s">
        <v>27048</v>
      </c>
      <c r="K3605" s="235" t="s">
        <v>27049</v>
      </c>
      <c r="N3605" s="235" t="s">
        <v>144</v>
      </c>
      <c r="O3605" s="235" t="s">
        <v>232</v>
      </c>
      <c r="P3605" s="238">
        <v>1.0</v>
      </c>
      <c r="Q3605" s="235" t="s">
        <v>627</v>
      </c>
      <c r="R3605" s="238">
        <v>626.67</v>
      </c>
      <c r="S3605" s="238">
        <v>30.39</v>
      </c>
      <c r="T3605" s="238">
        <v>0.0</v>
      </c>
      <c r="U3605" s="238">
        <v>0.0</v>
      </c>
      <c r="V3605" s="238">
        <v>0.0</v>
      </c>
      <c r="W3605" s="238">
        <v>0.0</v>
      </c>
      <c r="X3605" s="235" t="s">
        <v>628</v>
      </c>
      <c r="Z3605" s="245"/>
      <c r="AA3605" s="245"/>
      <c r="AB3605" s="245"/>
      <c r="AC3605" s="235" t="s">
        <v>1456</v>
      </c>
      <c r="AD3605" s="235" t="s">
        <v>928</v>
      </c>
      <c r="AE3605" s="238">
        <v>122017.0</v>
      </c>
      <c r="AF3605" s="235" t="s">
        <v>631</v>
      </c>
      <c r="AG3605" s="245"/>
      <c r="AH3605" s="245"/>
      <c r="AI3605" s="245"/>
      <c r="AJ3605" s="245"/>
      <c r="AK3605" s="245"/>
      <c r="AL3605" s="245"/>
      <c r="AM3605" s="245"/>
      <c r="AN3605" s="245"/>
      <c r="AO3605" s="238">
        <v>-18.8</v>
      </c>
      <c r="AP3605" s="238">
        <v>0.0</v>
      </c>
      <c r="AQ3605" s="235" t="s">
        <v>632</v>
      </c>
      <c r="AR3605" s="243">
        <v>2.02E11</v>
      </c>
      <c r="AS3605" s="235" t="s">
        <v>25098</v>
      </c>
      <c r="AT3605" s="235" t="s">
        <v>5</v>
      </c>
      <c r="AU3605" s="235" t="s">
        <v>634</v>
      </c>
      <c r="AV3605" s="246" t="s">
        <v>635</v>
      </c>
      <c r="AW3605" s="227"/>
      <c r="AX3605" s="227"/>
      <c r="AY3605" s="227"/>
      <c r="AZ3605" s="227"/>
      <c r="BA3605" s="227"/>
      <c r="BB3605" s="227"/>
      <c r="BC3605" s="227"/>
      <c r="BD3605" s="227"/>
      <c r="BE3605" s="227"/>
      <c r="BF3605" s="227"/>
    </row>
    <row r="3606">
      <c r="A3606" s="235" t="s">
        <v>27050</v>
      </c>
      <c r="C3606" s="235" t="s">
        <v>27051</v>
      </c>
      <c r="D3606" s="235" t="s">
        <v>27052</v>
      </c>
      <c r="E3606" s="243">
        <v>6.52E13</v>
      </c>
      <c r="F3606" s="245"/>
      <c r="G3606" s="235" t="s">
        <v>27053</v>
      </c>
      <c r="H3606" s="235" t="s">
        <v>27054</v>
      </c>
      <c r="I3606" s="235" t="s">
        <v>27054</v>
      </c>
      <c r="J3606" s="235" t="s">
        <v>27055</v>
      </c>
      <c r="K3606" s="235" t="s">
        <v>27056</v>
      </c>
      <c r="N3606" s="235" t="s">
        <v>42</v>
      </c>
      <c r="O3606" s="235" t="s">
        <v>204</v>
      </c>
      <c r="P3606" s="238">
        <v>1.0</v>
      </c>
      <c r="Q3606" s="235" t="s">
        <v>627</v>
      </c>
      <c r="R3606" s="238">
        <v>236.19</v>
      </c>
      <c r="S3606" s="238">
        <v>11.46</v>
      </c>
      <c r="T3606" s="238">
        <v>0.0</v>
      </c>
      <c r="U3606" s="238">
        <v>0.0</v>
      </c>
      <c r="V3606" s="238">
        <v>0.0</v>
      </c>
      <c r="W3606" s="238">
        <v>0.0</v>
      </c>
      <c r="X3606" s="235" t="s">
        <v>628</v>
      </c>
      <c r="Z3606" s="245"/>
      <c r="AA3606" s="245"/>
      <c r="AB3606" s="245"/>
      <c r="AC3606" s="235" t="s">
        <v>678</v>
      </c>
      <c r="AD3606" s="235" t="s">
        <v>679</v>
      </c>
      <c r="AE3606" s="238">
        <v>560049.0</v>
      </c>
      <c r="AF3606" s="235" t="s">
        <v>631</v>
      </c>
      <c r="AG3606" s="245"/>
      <c r="AH3606" s="245"/>
      <c r="AI3606" s="245"/>
      <c r="AJ3606" s="245"/>
      <c r="AK3606" s="245"/>
      <c r="AL3606" s="245"/>
      <c r="AM3606" s="245"/>
      <c r="AN3606" s="245"/>
      <c r="AO3606" s="238">
        <v>-7.09</v>
      </c>
      <c r="AP3606" s="238">
        <v>0.0</v>
      </c>
      <c r="AQ3606" s="235" t="s">
        <v>632</v>
      </c>
      <c r="AR3606" s="243">
        <v>2.02E11</v>
      </c>
      <c r="AS3606" s="235" t="s">
        <v>25098</v>
      </c>
      <c r="AT3606" s="235" t="s">
        <v>17</v>
      </c>
      <c r="AU3606" s="235" t="s">
        <v>634</v>
      </c>
      <c r="AV3606" s="246" t="s">
        <v>635</v>
      </c>
      <c r="AW3606" s="227"/>
      <c r="AX3606" s="227"/>
      <c r="AY3606" s="227"/>
      <c r="AZ3606" s="227"/>
      <c r="BA3606" s="227"/>
      <c r="BB3606" s="227"/>
      <c r="BC3606" s="227"/>
      <c r="BD3606" s="227"/>
      <c r="BE3606" s="227"/>
      <c r="BF3606" s="227"/>
    </row>
    <row r="3607">
      <c r="A3607" s="235" t="s">
        <v>27057</v>
      </c>
      <c r="C3607" s="235" t="s">
        <v>27058</v>
      </c>
      <c r="D3607" s="235" t="s">
        <v>27059</v>
      </c>
      <c r="E3607" s="243">
        <v>6.52E13</v>
      </c>
      <c r="F3607" s="245"/>
      <c r="G3607" s="235" t="s">
        <v>27060</v>
      </c>
      <c r="H3607" s="235" t="s">
        <v>27061</v>
      </c>
      <c r="I3607" s="235" t="s">
        <v>27062</v>
      </c>
      <c r="J3607" s="235" t="s">
        <v>27063</v>
      </c>
      <c r="K3607" s="235" t="s">
        <v>27064</v>
      </c>
      <c r="N3607" s="235" t="s">
        <v>42</v>
      </c>
      <c r="O3607" s="235" t="s">
        <v>204</v>
      </c>
      <c r="P3607" s="238">
        <v>1.0</v>
      </c>
      <c r="Q3607" s="235" t="s">
        <v>627</v>
      </c>
      <c r="R3607" s="238">
        <v>236.19</v>
      </c>
      <c r="S3607" s="238">
        <v>11.46</v>
      </c>
      <c r="T3607" s="238">
        <v>0.0</v>
      </c>
      <c r="U3607" s="238">
        <v>0.0</v>
      </c>
      <c r="V3607" s="238">
        <v>0.0</v>
      </c>
      <c r="W3607" s="238">
        <v>0.0</v>
      </c>
      <c r="X3607" s="235" t="s">
        <v>628</v>
      </c>
      <c r="Z3607" s="245"/>
      <c r="AA3607" s="245"/>
      <c r="AB3607" s="245"/>
      <c r="AC3607" s="235" t="s">
        <v>2493</v>
      </c>
      <c r="AD3607" s="235" t="s">
        <v>833</v>
      </c>
      <c r="AE3607" s="238">
        <v>520007.0</v>
      </c>
      <c r="AF3607" s="235" t="s">
        <v>631</v>
      </c>
      <c r="AG3607" s="245"/>
      <c r="AH3607" s="245"/>
      <c r="AI3607" s="245"/>
      <c r="AJ3607" s="245"/>
      <c r="AK3607" s="245"/>
      <c r="AL3607" s="245"/>
      <c r="AM3607" s="245"/>
      <c r="AN3607" s="245"/>
      <c r="AO3607" s="238">
        <v>-7.09</v>
      </c>
      <c r="AP3607" s="238">
        <v>0.0</v>
      </c>
      <c r="AQ3607" s="235" t="s">
        <v>632</v>
      </c>
      <c r="AR3607" s="243">
        <v>1.68E11</v>
      </c>
      <c r="AS3607" s="235" t="s">
        <v>25098</v>
      </c>
      <c r="AT3607" s="235" t="s">
        <v>156</v>
      </c>
      <c r="AU3607" s="235" t="s">
        <v>634</v>
      </c>
      <c r="AV3607" s="246" t="s">
        <v>635</v>
      </c>
      <c r="AW3607" s="227"/>
      <c r="AX3607" s="227"/>
      <c r="AY3607" s="227"/>
      <c r="AZ3607" s="227"/>
      <c r="BA3607" s="227"/>
      <c r="BB3607" s="227"/>
      <c r="BC3607" s="227"/>
      <c r="BD3607" s="227"/>
      <c r="BE3607" s="227"/>
      <c r="BF3607" s="227"/>
    </row>
    <row r="3608">
      <c r="A3608" s="235" t="s">
        <v>27065</v>
      </c>
      <c r="C3608" s="235" t="s">
        <v>27066</v>
      </c>
      <c r="D3608" s="235" t="s">
        <v>27067</v>
      </c>
      <c r="E3608" s="243">
        <v>6.52E13</v>
      </c>
      <c r="F3608" s="245"/>
      <c r="G3608" s="235" t="s">
        <v>27068</v>
      </c>
      <c r="H3608" s="235" t="s">
        <v>27069</v>
      </c>
      <c r="I3608" s="235" t="s">
        <v>27069</v>
      </c>
      <c r="J3608" s="235" t="s">
        <v>27070</v>
      </c>
      <c r="K3608" s="235" t="s">
        <v>27071</v>
      </c>
      <c r="N3608" s="235" t="s">
        <v>139</v>
      </c>
      <c r="O3608" s="235" t="s">
        <v>2091</v>
      </c>
      <c r="P3608" s="238">
        <v>1.0</v>
      </c>
      <c r="Q3608" s="235" t="s">
        <v>627</v>
      </c>
      <c r="R3608" s="238">
        <v>233.33</v>
      </c>
      <c r="S3608" s="238">
        <v>11.44</v>
      </c>
      <c r="T3608" s="238">
        <v>0.0</v>
      </c>
      <c r="U3608" s="238">
        <v>0.0</v>
      </c>
      <c r="V3608" s="238">
        <v>0.0</v>
      </c>
      <c r="W3608" s="238">
        <v>0.0</v>
      </c>
      <c r="X3608" s="235" t="s">
        <v>628</v>
      </c>
      <c r="Z3608" s="245"/>
      <c r="AA3608" s="245"/>
      <c r="AB3608" s="245"/>
      <c r="AC3608" s="235" t="s">
        <v>795</v>
      </c>
      <c r="AD3608" s="235" t="s">
        <v>796</v>
      </c>
      <c r="AE3608" s="238">
        <v>110022.0</v>
      </c>
      <c r="AF3608" s="235" t="s">
        <v>631</v>
      </c>
      <c r="AG3608" s="245"/>
      <c r="AH3608" s="245"/>
      <c r="AI3608" s="245"/>
      <c r="AJ3608" s="245"/>
      <c r="AK3608" s="245"/>
      <c r="AL3608" s="245"/>
      <c r="AM3608" s="245"/>
      <c r="AN3608" s="245"/>
      <c r="AO3608" s="238">
        <v>-4.67</v>
      </c>
      <c r="AP3608" s="238">
        <v>0.0</v>
      </c>
      <c r="AQ3608" s="235" t="s">
        <v>632</v>
      </c>
      <c r="AR3608" s="243">
        <v>1.68E11</v>
      </c>
      <c r="AS3608" s="235" t="s">
        <v>26892</v>
      </c>
      <c r="AT3608" s="235" t="s">
        <v>533</v>
      </c>
      <c r="AU3608" s="235" t="s">
        <v>634</v>
      </c>
      <c r="AV3608" s="246" t="s">
        <v>635</v>
      </c>
      <c r="AW3608" s="227"/>
      <c r="AX3608" s="227"/>
      <c r="AY3608" s="227"/>
      <c r="AZ3608" s="227"/>
      <c r="BA3608" s="227"/>
      <c r="BB3608" s="227"/>
      <c r="BC3608" s="227"/>
      <c r="BD3608" s="227"/>
      <c r="BE3608" s="227"/>
      <c r="BF3608" s="227"/>
    </row>
    <row r="3609">
      <c r="A3609" s="235" t="s">
        <v>27072</v>
      </c>
      <c r="C3609" s="235" t="s">
        <v>27073</v>
      </c>
      <c r="D3609" s="235" t="s">
        <v>27074</v>
      </c>
      <c r="E3609" s="243">
        <v>6.52E13</v>
      </c>
      <c r="F3609" s="245"/>
      <c r="G3609" s="235" t="s">
        <v>27075</v>
      </c>
      <c r="H3609" s="235" t="s">
        <v>27076</v>
      </c>
      <c r="I3609" s="235" t="s">
        <v>27076</v>
      </c>
      <c r="J3609" s="235" t="s">
        <v>27077</v>
      </c>
      <c r="K3609" s="235" t="s">
        <v>27078</v>
      </c>
      <c r="N3609" s="235" t="s">
        <v>127</v>
      </c>
      <c r="O3609" s="235" t="s">
        <v>794</v>
      </c>
      <c r="P3609" s="238">
        <v>1.0</v>
      </c>
      <c r="Q3609" s="235" t="s">
        <v>627</v>
      </c>
      <c r="R3609" s="238">
        <v>236.19</v>
      </c>
      <c r="S3609" s="238">
        <v>11.81</v>
      </c>
      <c r="T3609" s="238">
        <v>0.0</v>
      </c>
      <c r="U3609" s="238">
        <v>0.0</v>
      </c>
      <c r="V3609" s="238">
        <v>0.0</v>
      </c>
      <c r="W3609" s="238">
        <v>0.0</v>
      </c>
      <c r="X3609" s="235" t="s">
        <v>628</v>
      </c>
      <c r="Z3609" s="245"/>
      <c r="AA3609" s="245"/>
      <c r="AB3609" s="245"/>
      <c r="AC3609" s="235" t="s">
        <v>697</v>
      </c>
      <c r="AD3609" s="235" t="s">
        <v>698</v>
      </c>
      <c r="AE3609" s="238">
        <v>500085.0</v>
      </c>
      <c r="AF3609" s="235" t="s">
        <v>631</v>
      </c>
      <c r="AG3609" s="245"/>
      <c r="AH3609" s="245"/>
      <c r="AI3609" s="245"/>
      <c r="AJ3609" s="245"/>
      <c r="AK3609" s="245"/>
      <c r="AL3609" s="245"/>
      <c r="AM3609" s="245"/>
      <c r="AN3609" s="245"/>
      <c r="AO3609" s="238">
        <v>0.0</v>
      </c>
      <c r="AP3609" s="238">
        <v>0.0</v>
      </c>
      <c r="AQ3609" s="235" t="s">
        <v>632</v>
      </c>
      <c r="AR3609" s="243">
        <v>3.71E11</v>
      </c>
      <c r="AS3609" s="235" t="s">
        <v>23542</v>
      </c>
      <c r="AT3609" s="235" t="s">
        <v>156</v>
      </c>
      <c r="AU3609" s="235" t="s">
        <v>634</v>
      </c>
      <c r="AV3609" s="246" t="s">
        <v>635</v>
      </c>
      <c r="AW3609" s="227"/>
      <c r="AX3609" s="227"/>
      <c r="AY3609" s="227"/>
      <c r="AZ3609" s="227"/>
      <c r="BA3609" s="227"/>
      <c r="BB3609" s="227"/>
      <c r="BC3609" s="227"/>
      <c r="BD3609" s="227"/>
      <c r="BE3609" s="227"/>
      <c r="BF3609" s="227"/>
    </row>
    <row r="3610">
      <c r="A3610" s="235" t="s">
        <v>27079</v>
      </c>
      <c r="C3610" s="235" t="s">
        <v>27080</v>
      </c>
      <c r="D3610" s="235" t="s">
        <v>27081</v>
      </c>
      <c r="E3610" s="243">
        <v>6.52E13</v>
      </c>
      <c r="F3610" s="245"/>
      <c r="G3610" s="235" t="s">
        <v>27082</v>
      </c>
      <c r="H3610" s="235" t="s">
        <v>27083</v>
      </c>
      <c r="I3610" s="235" t="s">
        <v>27083</v>
      </c>
      <c r="J3610" s="235" t="s">
        <v>27084</v>
      </c>
      <c r="K3610" s="235" t="s">
        <v>27085</v>
      </c>
      <c r="N3610" s="235" t="s">
        <v>962</v>
      </c>
      <c r="O3610" s="235" t="s">
        <v>963</v>
      </c>
      <c r="P3610" s="238">
        <v>1.0</v>
      </c>
      <c r="Q3610" s="235" t="s">
        <v>627</v>
      </c>
      <c r="R3610" s="238">
        <v>237.14</v>
      </c>
      <c r="S3610" s="238">
        <v>11.62</v>
      </c>
      <c r="T3610" s="238">
        <v>38.1</v>
      </c>
      <c r="U3610" s="238">
        <v>1.9</v>
      </c>
      <c r="V3610" s="238">
        <v>0.0</v>
      </c>
      <c r="W3610" s="238">
        <v>0.0</v>
      </c>
      <c r="X3610" s="235" t="s">
        <v>628</v>
      </c>
      <c r="Z3610" s="245"/>
      <c r="AA3610" s="245"/>
      <c r="AB3610" s="245"/>
      <c r="AC3610" s="235" t="s">
        <v>27086</v>
      </c>
      <c r="AD3610" s="235" t="s">
        <v>1086</v>
      </c>
      <c r="AE3610" s="238">
        <v>140109.0</v>
      </c>
      <c r="AF3610" s="235" t="s">
        <v>631</v>
      </c>
      <c r="AG3610" s="245"/>
      <c r="AH3610" s="245"/>
      <c r="AI3610" s="245"/>
      <c r="AJ3610" s="245"/>
      <c r="AK3610" s="245"/>
      <c r="AL3610" s="245"/>
      <c r="AM3610" s="245"/>
      <c r="AN3610" s="245"/>
      <c r="AO3610" s="238">
        <v>-4.74</v>
      </c>
      <c r="AP3610" s="238">
        <v>-38.1</v>
      </c>
      <c r="AQ3610" s="235" t="s">
        <v>632</v>
      </c>
      <c r="AR3610" s="243">
        <v>3.71E11</v>
      </c>
      <c r="AS3610" s="235" t="s">
        <v>23542</v>
      </c>
      <c r="AT3610" s="235" t="s">
        <v>13</v>
      </c>
      <c r="AU3610" s="235" t="s">
        <v>634</v>
      </c>
      <c r="AV3610" s="246" t="s">
        <v>635</v>
      </c>
      <c r="AW3610" s="227"/>
      <c r="AX3610" s="227"/>
      <c r="AY3610" s="227"/>
      <c r="AZ3610" s="227"/>
      <c r="BA3610" s="227"/>
      <c r="BB3610" s="227"/>
      <c r="BC3610" s="227"/>
      <c r="BD3610" s="227"/>
      <c r="BE3610" s="227"/>
      <c r="BF3610" s="227"/>
    </row>
    <row r="3611">
      <c r="A3611" s="235" t="s">
        <v>27087</v>
      </c>
      <c r="C3611" s="235" t="s">
        <v>27088</v>
      </c>
      <c r="D3611" s="235" t="s">
        <v>27089</v>
      </c>
      <c r="E3611" s="243">
        <v>6.52E13</v>
      </c>
      <c r="F3611" s="245"/>
      <c r="G3611" s="235" t="s">
        <v>27090</v>
      </c>
      <c r="H3611" s="235" t="s">
        <v>27091</v>
      </c>
      <c r="I3611" s="235" t="s">
        <v>27092</v>
      </c>
      <c r="J3611" s="235" t="s">
        <v>27093</v>
      </c>
      <c r="K3611" s="235" t="s">
        <v>27094</v>
      </c>
      <c r="N3611" s="235" t="s">
        <v>128</v>
      </c>
      <c r="O3611" s="235" t="s">
        <v>2710</v>
      </c>
      <c r="P3611" s="238">
        <v>1.0</v>
      </c>
      <c r="Q3611" s="235" t="s">
        <v>627</v>
      </c>
      <c r="R3611" s="238">
        <v>233.33</v>
      </c>
      <c r="S3611" s="238">
        <v>11.67</v>
      </c>
      <c r="T3611" s="238">
        <v>0.0</v>
      </c>
      <c r="U3611" s="238">
        <v>0.0</v>
      </c>
      <c r="V3611" s="238">
        <v>0.0</v>
      </c>
      <c r="W3611" s="238">
        <v>0.0</v>
      </c>
      <c r="X3611" s="235" t="s">
        <v>628</v>
      </c>
      <c r="Z3611" s="245"/>
      <c r="AA3611" s="245"/>
      <c r="AB3611" s="245"/>
      <c r="AC3611" s="235" t="s">
        <v>27095</v>
      </c>
      <c r="AD3611" s="235" t="s">
        <v>881</v>
      </c>
      <c r="AE3611" s="238">
        <v>755001.0</v>
      </c>
      <c r="AF3611" s="235" t="s">
        <v>631</v>
      </c>
      <c r="AG3611" s="245"/>
      <c r="AH3611" s="245"/>
      <c r="AI3611" s="245"/>
      <c r="AJ3611" s="245"/>
      <c r="AK3611" s="245"/>
      <c r="AL3611" s="245"/>
      <c r="AM3611" s="245"/>
      <c r="AN3611" s="245"/>
      <c r="AO3611" s="238">
        <v>0.0</v>
      </c>
      <c r="AP3611" s="238">
        <v>0.0</v>
      </c>
      <c r="AQ3611" s="235" t="s">
        <v>632</v>
      </c>
      <c r="AR3611" s="243">
        <v>3.71E11</v>
      </c>
      <c r="AS3611" s="235" t="s">
        <v>20529</v>
      </c>
      <c r="AT3611" s="235" t="s">
        <v>13</v>
      </c>
      <c r="AU3611" s="235" t="s">
        <v>634</v>
      </c>
      <c r="AV3611" s="246" t="s">
        <v>635</v>
      </c>
      <c r="AW3611" s="227"/>
      <c r="AX3611" s="227"/>
      <c r="AY3611" s="227"/>
      <c r="AZ3611" s="227"/>
      <c r="BA3611" s="227"/>
      <c r="BB3611" s="227"/>
      <c r="BC3611" s="227"/>
      <c r="BD3611" s="227"/>
      <c r="BE3611" s="227"/>
      <c r="BF3611" s="227"/>
    </row>
    <row r="3612">
      <c r="A3612" s="235" t="s">
        <v>27096</v>
      </c>
      <c r="C3612" s="235" t="s">
        <v>27097</v>
      </c>
      <c r="D3612" s="235" t="s">
        <v>27098</v>
      </c>
      <c r="E3612" s="243">
        <v>6.52E13</v>
      </c>
      <c r="F3612" s="245"/>
      <c r="G3612" s="235" t="s">
        <v>27099</v>
      </c>
      <c r="H3612" s="235" t="s">
        <v>27100</v>
      </c>
      <c r="I3612" s="235" t="s">
        <v>27100</v>
      </c>
      <c r="J3612" s="235" t="s">
        <v>27101</v>
      </c>
      <c r="K3612" s="235" t="s">
        <v>24967</v>
      </c>
      <c r="N3612" s="235" t="s">
        <v>42</v>
      </c>
      <c r="O3612" s="235" t="s">
        <v>204</v>
      </c>
      <c r="P3612" s="238">
        <v>1.0</v>
      </c>
      <c r="Q3612" s="235" t="s">
        <v>627</v>
      </c>
      <c r="R3612" s="238">
        <v>236.2</v>
      </c>
      <c r="S3612" s="238">
        <v>11.45</v>
      </c>
      <c r="T3612" s="238">
        <v>0.0</v>
      </c>
      <c r="U3612" s="238">
        <v>0.0</v>
      </c>
      <c r="V3612" s="238">
        <v>0.0</v>
      </c>
      <c r="W3612" s="238">
        <v>0.0</v>
      </c>
      <c r="X3612" s="235" t="s">
        <v>628</v>
      </c>
      <c r="Z3612" s="245"/>
      <c r="AA3612" s="245"/>
      <c r="AB3612" s="245"/>
      <c r="AC3612" s="235" t="s">
        <v>1671</v>
      </c>
      <c r="AD3612" s="235" t="s">
        <v>666</v>
      </c>
      <c r="AE3612" s="238">
        <v>641035.0</v>
      </c>
      <c r="AF3612" s="235" t="s">
        <v>631</v>
      </c>
      <c r="AG3612" s="245"/>
      <c r="AH3612" s="245"/>
      <c r="AI3612" s="245"/>
      <c r="AJ3612" s="245"/>
      <c r="AK3612" s="245"/>
      <c r="AL3612" s="245"/>
      <c r="AM3612" s="245"/>
      <c r="AN3612" s="245"/>
      <c r="AO3612" s="238">
        <v>-7.09</v>
      </c>
      <c r="AP3612" s="238">
        <v>0.0</v>
      </c>
      <c r="AQ3612" s="235" t="s">
        <v>632</v>
      </c>
      <c r="AR3612" s="243">
        <v>1.68E11</v>
      </c>
      <c r="AS3612" s="235" t="s">
        <v>26892</v>
      </c>
      <c r="AT3612" s="235" t="s">
        <v>155</v>
      </c>
      <c r="AU3612" s="235" t="s">
        <v>634</v>
      </c>
      <c r="AV3612" s="246" t="s">
        <v>635</v>
      </c>
      <c r="AW3612" s="227"/>
      <c r="AX3612" s="227"/>
      <c r="AY3612" s="227"/>
      <c r="AZ3612" s="227"/>
      <c r="BA3612" s="227"/>
      <c r="BB3612" s="227"/>
      <c r="BC3612" s="227"/>
      <c r="BD3612" s="227"/>
      <c r="BE3612" s="227"/>
      <c r="BF3612" s="227"/>
    </row>
    <row r="3613">
      <c r="A3613" s="235" t="s">
        <v>27102</v>
      </c>
      <c r="C3613" s="235" t="s">
        <v>27103</v>
      </c>
      <c r="D3613" s="235" t="s">
        <v>27104</v>
      </c>
      <c r="E3613" s="243">
        <v>6.52E13</v>
      </c>
      <c r="F3613" s="245"/>
      <c r="G3613" s="235" t="s">
        <v>27105</v>
      </c>
      <c r="H3613" s="235" t="s">
        <v>27106</v>
      </c>
      <c r="I3613" s="235" t="s">
        <v>27106</v>
      </c>
      <c r="J3613" s="235" t="s">
        <v>27107</v>
      </c>
      <c r="K3613" s="235" t="s">
        <v>27108</v>
      </c>
      <c r="N3613" s="235" t="s">
        <v>2163</v>
      </c>
      <c r="O3613" s="235" t="s">
        <v>2164</v>
      </c>
      <c r="P3613" s="238">
        <v>1.0</v>
      </c>
      <c r="Q3613" s="235" t="s">
        <v>627</v>
      </c>
      <c r="R3613" s="238">
        <v>233.33</v>
      </c>
      <c r="S3613" s="238">
        <v>11.67</v>
      </c>
      <c r="T3613" s="238">
        <v>38.1</v>
      </c>
      <c r="U3613" s="238">
        <v>1.9</v>
      </c>
      <c r="V3613" s="238">
        <v>0.0</v>
      </c>
      <c r="W3613" s="238">
        <v>0.0</v>
      </c>
      <c r="X3613" s="235" t="s">
        <v>628</v>
      </c>
      <c r="Z3613" s="245"/>
      <c r="AA3613" s="245"/>
      <c r="AB3613" s="245"/>
      <c r="AC3613" s="235" t="s">
        <v>27109</v>
      </c>
      <c r="AD3613" s="235" t="s">
        <v>1151</v>
      </c>
      <c r="AE3613" s="238">
        <v>721144.0</v>
      </c>
      <c r="AF3613" s="235" t="s">
        <v>631</v>
      </c>
      <c r="AG3613" s="245"/>
      <c r="AH3613" s="245"/>
      <c r="AI3613" s="245"/>
      <c r="AJ3613" s="245"/>
      <c r="AK3613" s="245"/>
      <c r="AL3613" s="245"/>
      <c r="AM3613" s="245"/>
      <c r="AN3613" s="245"/>
      <c r="AO3613" s="238">
        <v>0.0</v>
      </c>
      <c r="AP3613" s="238">
        <v>-38.1</v>
      </c>
      <c r="AQ3613" s="235" t="s">
        <v>632</v>
      </c>
      <c r="AR3613" s="243">
        <v>3.71E11</v>
      </c>
      <c r="AS3613" s="235" t="s">
        <v>17988</v>
      </c>
      <c r="AT3613" s="235" t="s">
        <v>11</v>
      </c>
      <c r="AU3613" s="235" t="s">
        <v>634</v>
      </c>
      <c r="AV3613" s="246" t="s">
        <v>635</v>
      </c>
      <c r="AW3613" s="227"/>
      <c r="AX3613" s="227"/>
      <c r="AY3613" s="227"/>
      <c r="AZ3613" s="227"/>
      <c r="BA3613" s="227"/>
      <c r="BB3613" s="227"/>
      <c r="BC3613" s="227"/>
      <c r="BD3613" s="227"/>
      <c r="BE3613" s="227"/>
      <c r="BF3613" s="227"/>
    </row>
    <row r="3614">
      <c r="A3614" s="235" t="s">
        <v>27110</v>
      </c>
      <c r="C3614" s="235" t="s">
        <v>27111</v>
      </c>
      <c r="D3614" s="235" t="s">
        <v>27112</v>
      </c>
      <c r="E3614" s="243">
        <v>6.51E13</v>
      </c>
      <c r="F3614" s="245"/>
      <c r="G3614" s="235" t="s">
        <v>27113</v>
      </c>
      <c r="H3614" s="235" t="s">
        <v>27114</v>
      </c>
      <c r="I3614" s="235" t="s">
        <v>27114</v>
      </c>
      <c r="J3614" s="235" t="s">
        <v>27115</v>
      </c>
      <c r="K3614" s="235" t="s">
        <v>27116</v>
      </c>
      <c r="N3614" s="235" t="s">
        <v>1646</v>
      </c>
      <c r="O3614" s="235" t="s">
        <v>1647</v>
      </c>
      <c r="P3614" s="238">
        <v>1.0</v>
      </c>
      <c r="Q3614" s="235" t="s">
        <v>627</v>
      </c>
      <c r="R3614" s="238">
        <v>270.48</v>
      </c>
      <c r="S3614" s="238">
        <v>13.52</v>
      </c>
      <c r="T3614" s="238">
        <v>38.1</v>
      </c>
      <c r="U3614" s="238">
        <v>1.9</v>
      </c>
      <c r="V3614" s="238">
        <v>0.0</v>
      </c>
      <c r="W3614" s="238">
        <v>0.0</v>
      </c>
      <c r="X3614" s="235" t="s">
        <v>628</v>
      </c>
      <c r="Z3614" s="245"/>
      <c r="AA3614" s="245"/>
      <c r="AB3614" s="245"/>
      <c r="AC3614" s="235" t="s">
        <v>27117</v>
      </c>
      <c r="AD3614" s="235" t="s">
        <v>1077</v>
      </c>
      <c r="AE3614" s="238">
        <v>363330.0</v>
      </c>
      <c r="AF3614" s="235" t="s">
        <v>631</v>
      </c>
      <c r="AG3614" s="245"/>
      <c r="AH3614" s="245"/>
      <c r="AI3614" s="245"/>
      <c r="AJ3614" s="245"/>
      <c r="AK3614" s="245"/>
      <c r="AL3614" s="245"/>
      <c r="AM3614" s="245"/>
      <c r="AN3614" s="245"/>
      <c r="AO3614" s="238">
        <v>0.0</v>
      </c>
      <c r="AP3614" s="238">
        <v>-38.1</v>
      </c>
      <c r="AQ3614" s="235" t="s">
        <v>632</v>
      </c>
      <c r="AR3614" s="243">
        <v>3.71E11</v>
      </c>
      <c r="AS3614" s="235" t="s">
        <v>25098</v>
      </c>
      <c r="AT3614" s="235" t="s">
        <v>5</v>
      </c>
      <c r="AU3614" s="235" t="s">
        <v>634</v>
      </c>
      <c r="AV3614" s="246" t="s">
        <v>635</v>
      </c>
      <c r="AW3614" s="227"/>
      <c r="AX3614" s="227"/>
      <c r="AY3614" s="227"/>
      <c r="AZ3614" s="227"/>
      <c r="BA3614" s="227"/>
      <c r="BB3614" s="227"/>
      <c r="BC3614" s="227"/>
      <c r="BD3614" s="227"/>
      <c r="BE3614" s="227"/>
      <c r="BF3614" s="227"/>
    </row>
    <row r="3615">
      <c r="A3615" s="235" t="s">
        <v>27118</v>
      </c>
      <c r="C3615" s="235" t="s">
        <v>27119</v>
      </c>
      <c r="D3615" s="235" t="s">
        <v>27120</v>
      </c>
      <c r="E3615" s="243">
        <v>6.52E13</v>
      </c>
      <c r="F3615" s="245"/>
      <c r="G3615" s="235" t="s">
        <v>27121</v>
      </c>
      <c r="H3615" s="235" t="s">
        <v>27122</v>
      </c>
      <c r="I3615" s="235" t="s">
        <v>27122</v>
      </c>
      <c r="J3615" s="235" t="s">
        <v>27123</v>
      </c>
      <c r="K3615" s="235" t="s">
        <v>27124</v>
      </c>
      <c r="N3615" s="235" t="s">
        <v>138</v>
      </c>
      <c r="O3615" s="235" t="s">
        <v>675</v>
      </c>
      <c r="P3615" s="238">
        <v>1.0</v>
      </c>
      <c r="Q3615" s="235" t="s">
        <v>627</v>
      </c>
      <c r="R3615" s="238">
        <v>233.34</v>
      </c>
      <c r="S3615" s="238">
        <v>11.66</v>
      </c>
      <c r="T3615" s="238">
        <v>0.0</v>
      </c>
      <c r="U3615" s="238">
        <v>0.0</v>
      </c>
      <c r="V3615" s="238">
        <v>0.0</v>
      </c>
      <c r="W3615" s="238">
        <v>0.0</v>
      </c>
      <c r="X3615" s="235" t="s">
        <v>628</v>
      </c>
      <c r="Z3615" s="245"/>
      <c r="AA3615" s="245"/>
      <c r="AB3615" s="245"/>
      <c r="AC3615" s="235" t="s">
        <v>687</v>
      </c>
      <c r="AD3615" s="235" t="s">
        <v>666</v>
      </c>
      <c r="AE3615" s="238">
        <v>600044.0</v>
      </c>
      <c r="AF3615" s="235" t="s">
        <v>631</v>
      </c>
      <c r="AG3615" s="245"/>
      <c r="AH3615" s="245"/>
      <c r="AI3615" s="245"/>
      <c r="AJ3615" s="245"/>
      <c r="AK3615" s="245"/>
      <c r="AL3615" s="245"/>
      <c r="AM3615" s="245"/>
      <c r="AN3615" s="245"/>
      <c r="AO3615" s="238">
        <v>0.0</v>
      </c>
      <c r="AP3615" s="238">
        <v>0.0</v>
      </c>
      <c r="AQ3615" s="235" t="s">
        <v>632</v>
      </c>
      <c r="AR3615" s="243">
        <v>1.68E11</v>
      </c>
      <c r="AS3615" s="235" t="s">
        <v>26892</v>
      </c>
      <c r="AT3615" s="235" t="s">
        <v>156</v>
      </c>
      <c r="AU3615" s="235" t="s">
        <v>634</v>
      </c>
      <c r="AV3615" s="246" t="s">
        <v>635</v>
      </c>
      <c r="AW3615" s="227"/>
      <c r="AX3615" s="227"/>
      <c r="AY3615" s="227"/>
      <c r="AZ3615" s="227"/>
      <c r="BA3615" s="227"/>
      <c r="BB3615" s="227"/>
      <c r="BC3615" s="227"/>
      <c r="BD3615" s="227"/>
      <c r="BE3615" s="227"/>
      <c r="BF3615" s="227"/>
    </row>
    <row r="3616">
      <c r="A3616" s="235" t="s">
        <v>27125</v>
      </c>
      <c r="C3616" s="235" t="s">
        <v>27126</v>
      </c>
      <c r="D3616" s="235" t="s">
        <v>27127</v>
      </c>
      <c r="E3616" s="243">
        <v>6.51E13</v>
      </c>
      <c r="F3616" s="245"/>
      <c r="G3616" s="235" t="s">
        <v>27128</v>
      </c>
      <c r="H3616" s="235" t="s">
        <v>27129</v>
      </c>
      <c r="I3616" s="235" t="s">
        <v>27129</v>
      </c>
      <c r="J3616" s="235" t="s">
        <v>27130</v>
      </c>
      <c r="K3616" s="235" t="s">
        <v>27131</v>
      </c>
      <c r="N3616" s="235" t="s">
        <v>10</v>
      </c>
      <c r="O3616" s="235" t="s">
        <v>936</v>
      </c>
      <c r="P3616" s="238">
        <v>1.0</v>
      </c>
      <c r="Q3616" s="235" t="s">
        <v>627</v>
      </c>
      <c r="R3616" s="238">
        <v>256.19</v>
      </c>
      <c r="S3616" s="238">
        <v>12.81</v>
      </c>
      <c r="T3616" s="238">
        <v>38.1</v>
      </c>
      <c r="U3616" s="238">
        <v>1.9</v>
      </c>
      <c r="V3616" s="238">
        <v>0.0</v>
      </c>
      <c r="W3616" s="238">
        <v>0.0</v>
      </c>
      <c r="X3616" s="235" t="s">
        <v>628</v>
      </c>
      <c r="Z3616" s="245"/>
      <c r="AA3616" s="245"/>
      <c r="AB3616" s="245"/>
      <c r="AC3616" s="235" t="s">
        <v>22859</v>
      </c>
      <c r="AD3616" s="235" t="s">
        <v>917</v>
      </c>
      <c r="AE3616" s="238">
        <v>312601.0</v>
      </c>
      <c r="AF3616" s="235" t="s">
        <v>631</v>
      </c>
      <c r="AG3616" s="245"/>
      <c r="AH3616" s="245"/>
      <c r="AI3616" s="245"/>
      <c r="AJ3616" s="245"/>
      <c r="AK3616" s="245"/>
      <c r="AL3616" s="245"/>
      <c r="AM3616" s="245"/>
      <c r="AN3616" s="245"/>
      <c r="AO3616" s="238">
        <v>0.0</v>
      </c>
      <c r="AP3616" s="238">
        <v>-38.1</v>
      </c>
      <c r="AQ3616" s="235" t="s">
        <v>632</v>
      </c>
      <c r="AR3616" s="243">
        <v>3.71E11</v>
      </c>
      <c r="AS3616" s="235" t="s">
        <v>22269</v>
      </c>
      <c r="AT3616" s="235" t="s">
        <v>5</v>
      </c>
      <c r="AU3616" s="235" t="s">
        <v>634</v>
      </c>
      <c r="AV3616" s="246" t="s">
        <v>635</v>
      </c>
      <c r="AW3616" s="227"/>
      <c r="AX3616" s="227"/>
      <c r="AY3616" s="227"/>
      <c r="AZ3616" s="227"/>
      <c r="BA3616" s="227"/>
      <c r="BB3616" s="227"/>
      <c r="BC3616" s="227"/>
      <c r="BD3616" s="227"/>
      <c r="BE3616" s="227"/>
      <c r="BF3616" s="227"/>
    </row>
    <row r="3617">
      <c r="A3617" s="235" t="s">
        <v>27132</v>
      </c>
      <c r="C3617" s="235" t="s">
        <v>27133</v>
      </c>
      <c r="D3617" s="235" t="s">
        <v>27134</v>
      </c>
      <c r="E3617" s="243">
        <v>6.52E13</v>
      </c>
      <c r="F3617" s="245"/>
      <c r="G3617" s="235" t="s">
        <v>27135</v>
      </c>
      <c r="H3617" s="235" t="s">
        <v>27136</v>
      </c>
      <c r="I3617" s="235" t="s">
        <v>27137</v>
      </c>
      <c r="J3617" s="235" t="s">
        <v>27138</v>
      </c>
      <c r="K3617" s="235" t="s">
        <v>27139</v>
      </c>
      <c r="N3617" s="235" t="s">
        <v>127</v>
      </c>
      <c r="O3617" s="235" t="s">
        <v>794</v>
      </c>
      <c r="P3617" s="238">
        <v>1.0</v>
      </c>
      <c r="Q3617" s="235" t="s">
        <v>627</v>
      </c>
      <c r="R3617" s="238">
        <v>236.2</v>
      </c>
      <c r="S3617" s="238">
        <v>11.45</v>
      </c>
      <c r="T3617" s="238">
        <v>0.0</v>
      </c>
      <c r="U3617" s="238">
        <v>0.0</v>
      </c>
      <c r="V3617" s="238">
        <v>0.0</v>
      </c>
      <c r="W3617" s="238">
        <v>0.0</v>
      </c>
      <c r="X3617" s="235" t="s">
        <v>628</v>
      </c>
      <c r="Z3617" s="245"/>
      <c r="AA3617" s="245"/>
      <c r="AB3617" s="245"/>
      <c r="AC3617" s="235" t="s">
        <v>1887</v>
      </c>
      <c r="AD3617" s="235" t="s">
        <v>679</v>
      </c>
      <c r="AE3617" s="238">
        <v>560051.0</v>
      </c>
      <c r="AF3617" s="235" t="s">
        <v>631</v>
      </c>
      <c r="AG3617" s="245"/>
      <c r="AH3617" s="245"/>
      <c r="AI3617" s="245"/>
      <c r="AJ3617" s="245"/>
      <c r="AK3617" s="245"/>
      <c r="AL3617" s="245"/>
      <c r="AM3617" s="245"/>
      <c r="AN3617" s="245"/>
      <c r="AO3617" s="238">
        <v>-7.09</v>
      </c>
      <c r="AP3617" s="238">
        <v>0.0</v>
      </c>
      <c r="AQ3617" s="235" t="s">
        <v>632</v>
      </c>
      <c r="AR3617" s="243">
        <v>1.68E11</v>
      </c>
      <c r="AS3617" s="235" t="s">
        <v>26892</v>
      </c>
      <c r="AT3617" s="235" t="s">
        <v>9</v>
      </c>
      <c r="AU3617" s="235" t="s">
        <v>634</v>
      </c>
      <c r="AV3617" s="246" t="s">
        <v>635</v>
      </c>
      <c r="AW3617" s="227"/>
      <c r="AX3617" s="227"/>
      <c r="AY3617" s="227"/>
      <c r="AZ3617" s="227"/>
      <c r="BA3617" s="227"/>
      <c r="BB3617" s="227"/>
      <c r="BC3617" s="227"/>
      <c r="BD3617" s="227"/>
      <c r="BE3617" s="227"/>
      <c r="BF3617" s="227"/>
    </row>
    <row r="3618">
      <c r="A3618" s="235" t="s">
        <v>27140</v>
      </c>
      <c r="C3618" s="235" t="s">
        <v>27141</v>
      </c>
      <c r="D3618" s="235" t="s">
        <v>27142</v>
      </c>
      <c r="E3618" s="243">
        <v>6.52E13</v>
      </c>
      <c r="F3618" s="245"/>
      <c r="G3618" s="235" t="s">
        <v>27143</v>
      </c>
      <c r="H3618" s="235" t="s">
        <v>27144</v>
      </c>
      <c r="I3618" s="235" t="s">
        <v>27144</v>
      </c>
      <c r="J3618" s="235" t="s">
        <v>27145</v>
      </c>
      <c r="K3618" s="235" t="s">
        <v>15184</v>
      </c>
      <c r="N3618" s="235" t="s">
        <v>42</v>
      </c>
      <c r="O3618" s="235" t="s">
        <v>204</v>
      </c>
      <c r="P3618" s="238">
        <v>1.0</v>
      </c>
      <c r="Q3618" s="235" t="s">
        <v>627</v>
      </c>
      <c r="R3618" s="238">
        <v>236.19</v>
      </c>
      <c r="S3618" s="238">
        <v>11.81</v>
      </c>
      <c r="T3618" s="238">
        <v>0.0</v>
      </c>
      <c r="U3618" s="238">
        <v>0.0</v>
      </c>
      <c r="V3618" s="238">
        <v>0.0</v>
      </c>
      <c r="W3618" s="238">
        <v>0.0</v>
      </c>
      <c r="X3618" s="235" t="s">
        <v>628</v>
      </c>
      <c r="Z3618" s="245"/>
      <c r="AA3618" s="245"/>
      <c r="AB3618" s="245"/>
      <c r="AC3618" s="235" t="s">
        <v>697</v>
      </c>
      <c r="AD3618" s="235" t="s">
        <v>698</v>
      </c>
      <c r="AE3618" s="238">
        <v>500068.0</v>
      </c>
      <c r="AF3618" s="235" t="s">
        <v>631</v>
      </c>
      <c r="AG3618" s="245"/>
      <c r="AH3618" s="245"/>
      <c r="AI3618" s="245"/>
      <c r="AJ3618" s="245"/>
      <c r="AK3618" s="245"/>
      <c r="AL3618" s="245"/>
      <c r="AM3618" s="245"/>
      <c r="AN3618" s="245"/>
      <c r="AO3618" s="238">
        <v>0.0</v>
      </c>
      <c r="AP3618" s="238">
        <v>0.0</v>
      </c>
      <c r="AQ3618" s="235" t="s">
        <v>632</v>
      </c>
      <c r="AR3618" s="243">
        <v>2.02E11</v>
      </c>
      <c r="AS3618" s="235" t="s">
        <v>25098</v>
      </c>
      <c r="AT3618" s="235" t="s">
        <v>155</v>
      </c>
      <c r="AU3618" s="235" t="s">
        <v>634</v>
      </c>
      <c r="AV3618" s="246" t="s">
        <v>635</v>
      </c>
      <c r="AW3618" s="227"/>
      <c r="AX3618" s="227"/>
      <c r="AY3618" s="227"/>
      <c r="AZ3618" s="227"/>
      <c r="BA3618" s="227"/>
      <c r="BB3618" s="227"/>
      <c r="BC3618" s="227"/>
      <c r="BD3618" s="227"/>
      <c r="BE3618" s="227"/>
      <c r="BF3618" s="227"/>
    </row>
    <row r="3619">
      <c r="A3619" s="235" t="s">
        <v>27146</v>
      </c>
      <c r="C3619" s="235" t="s">
        <v>27147</v>
      </c>
      <c r="D3619" s="235" t="s">
        <v>27148</v>
      </c>
      <c r="E3619" s="243">
        <v>6.51E13</v>
      </c>
      <c r="F3619" s="245"/>
      <c r="G3619" s="235" t="s">
        <v>27149</v>
      </c>
      <c r="H3619" s="235" t="s">
        <v>27150</v>
      </c>
      <c r="I3619" s="235" t="s">
        <v>27150</v>
      </c>
      <c r="J3619" s="235" t="s">
        <v>27151</v>
      </c>
      <c r="K3619" s="235" t="s">
        <v>27152</v>
      </c>
      <c r="N3619" s="235" t="s">
        <v>120</v>
      </c>
      <c r="O3619" s="235" t="s">
        <v>324</v>
      </c>
      <c r="P3619" s="238">
        <v>1.0</v>
      </c>
      <c r="Q3619" s="235" t="s">
        <v>627</v>
      </c>
      <c r="R3619" s="238">
        <v>233.33</v>
      </c>
      <c r="S3619" s="238">
        <v>11.67</v>
      </c>
      <c r="T3619" s="238">
        <v>0.0</v>
      </c>
      <c r="U3619" s="238">
        <v>0.0</v>
      </c>
      <c r="V3619" s="238">
        <v>0.0</v>
      </c>
      <c r="W3619" s="238">
        <v>0.0</v>
      </c>
      <c r="X3619" s="235" t="s">
        <v>628</v>
      </c>
      <c r="Z3619" s="245"/>
      <c r="AA3619" s="245"/>
      <c r="AB3619" s="245"/>
      <c r="AC3619" s="235" t="s">
        <v>2647</v>
      </c>
      <c r="AD3619" s="235" t="s">
        <v>845</v>
      </c>
      <c r="AE3619" s="238">
        <v>401107.0</v>
      </c>
      <c r="AF3619" s="235" t="s">
        <v>631</v>
      </c>
      <c r="AG3619" s="245"/>
      <c r="AH3619" s="245"/>
      <c r="AI3619" s="245"/>
      <c r="AJ3619" s="245"/>
      <c r="AK3619" s="245"/>
      <c r="AL3619" s="245"/>
      <c r="AM3619" s="245"/>
      <c r="AN3619" s="245"/>
      <c r="AO3619" s="238">
        <v>0.0</v>
      </c>
      <c r="AP3619" s="238">
        <v>0.0</v>
      </c>
      <c r="AQ3619" s="235" t="s">
        <v>1356</v>
      </c>
      <c r="AR3619" s="235" t="s">
        <v>27153</v>
      </c>
      <c r="AS3619" s="235" t="s">
        <v>16626</v>
      </c>
      <c r="AT3619" s="235" t="s">
        <v>14</v>
      </c>
      <c r="AU3619" s="235" t="s">
        <v>634</v>
      </c>
      <c r="AV3619" s="246" t="s">
        <v>635</v>
      </c>
      <c r="AW3619" s="227"/>
      <c r="AX3619" s="227"/>
      <c r="AY3619" s="227"/>
      <c r="AZ3619" s="227"/>
      <c r="BA3619" s="227"/>
      <c r="BB3619" s="227"/>
      <c r="BC3619" s="227"/>
      <c r="BD3619" s="227"/>
      <c r="BE3619" s="227"/>
      <c r="BF3619" s="227"/>
    </row>
    <row r="3620">
      <c r="A3620" s="235" t="s">
        <v>27154</v>
      </c>
      <c r="C3620" s="235" t="s">
        <v>27155</v>
      </c>
      <c r="D3620" s="235" t="s">
        <v>27156</v>
      </c>
      <c r="E3620" s="243">
        <v>6.51E13</v>
      </c>
      <c r="F3620" s="245"/>
      <c r="G3620" s="235" t="s">
        <v>27157</v>
      </c>
      <c r="H3620" s="235" t="s">
        <v>27158</v>
      </c>
      <c r="I3620" s="235" t="s">
        <v>27158</v>
      </c>
      <c r="J3620" s="235" t="s">
        <v>27159</v>
      </c>
      <c r="K3620" s="235" t="s">
        <v>20831</v>
      </c>
      <c r="N3620" s="235" t="s">
        <v>130</v>
      </c>
      <c r="O3620" s="235" t="s">
        <v>707</v>
      </c>
      <c r="P3620" s="238">
        <v>1.0</v>
      </c>
      <c r="Q3620" s="235" t="s">
        <v>627</v>
      </c>
      <c r="R3620" s="238">
        <v>270.48</v>
      </c>
      <c r="S3620" s="238">
        <v>13.12</v>
      </c>
      <c r="T3620" s="238">
        <v>38.1</v>
      </c>
      <c r="U3620" s="238">
        <v>1.9</v>
      </c>
      <c r="V3620" s="238">
        <v>0.0</v>
      </c>
      <c r="W3620" s="238">
        <v>0.0</v>
      </c>
      <c r="X3620" s="235" t="s">
        <v>628</v>
      </c>
      <c r="Z3620" s="245"/>
      <c r="AA3620" s="245"/>
      <c r="AB3620" s="245"/>
      <c r="AC3620" s="235" t="s">
        <v>20832</v>
      </c>
      <c r="AD3620" s="235" t="s">
        <v>928</v>
      </c>
      <c r="AE3620" s="238">
        <v>134109.0</v>
      </c>
      <c r="AF3620" s="235" t="s">
        <v>631</v>
      </c>
      <c r="AG3620" s="245"/>
      <c r="AH3620" s="245"/>
      <c r="AI3620" s="245"/>
      <c r="AJ3620" s="245"/>
      <c r="AK3620" s="245"/>
      <c r="AL3620" s="245"/>
      <c r="AM3620" s="245"/>
      <c r="AN3620" s="245"/>
      <c r="AO3620" s="238">
        <v>-8.12</v>
      </c>
      <c r="AP3620" s="238">
        <v>-38.1</v>
      </c>
      <c r="AQ3620" s="235" t="s">
        <v>632</v>
      </c>
      <c r="AR3620" s="243">
        <v>3.71E11</v>
      </c>
      <c r="AS3620" s="235" t="s">
        <v>25098</v>
      </c>
      <c r="AT3620" s="235" t="s">
        <v>14</v>
      </c>
      <c r="AU3620" s="235" t="s">
        <v>634</v>
      </c>
      <c r="AV3620" s="246" t="s">
        <v>635</v>
      </c>
      <c r="AW3620" s="227"/>
      <c r="AX3620" s="227"/>
      <c r="AY3620" s="227"/>
      <c r="AZ3620" s="227"/>
      <c r="BA3620" s="227"/>
      <c r="BB3620" s="227"/>
      <c r="BC3620" s="227"/>
      <c r="BD3620" s="227"/>
      <c r="BE3620" s="227"/>
      <c r="BF3620" s="227"/>
    </row>
    <row r="3621">
      <c r="A3621" s="235" t="s">
        <v>27154</v>
      </c>
      <c r="C3621" s="235" t="s">
        <v>27155</v>
      </c>
      <c r="D3621" s="235" t="s">
        <v>27160</v>
      </c>
      <c r="E3621" s="243">
        <v>6.51E13</v>
      </c>
      <c r="F3621" s="245"/>
      <c r="G3621" s="235" t="s">
        <v>27157</v>
      </c>
      <c r="H3621" s="235" t="s">
        <v>27158</v>
      </c>
      <c r="I3621" s="235" t="s">
        <v>27158</v>
      </c>
      <c r="J3621" s="235" t="s">
        <v>27159</v>
      </c>
      <c r="K3621" s="235" t="s">
        <v>20831</v>
      </c>
      <c r="N3621" s="235" t="s">
        <v>127</v>
      </c>
      <c r="O3621" s="235" t="s">
        <v>794</v>
      </c>
      <c r="P3621" s="238">
        <v>1.0</v>
      </c>
      <c r="Q3621" s="235" t="s">
        <v>627</v>
      </c>
      <c r="R3621" s="238">
        <v>256.2</v>
      </c>
      <c r="S3621" s="238">
        <v>12.42</v>
      </c>
      <c r="T3621" s="238">
        <v>38.1</v>
      </c>
      <c r="U3621" s="238">
        <v>1.9</v>
      </c>
      <c r="V3621" s="238">
        <v>0.0</v>
      </c>
      <c r="W3621" s="238">
        <v>0.0</v>
      </c>
      <c r="X3621" s="235" t="s">
        <v>628</v>
      </c>
      <c r="Z3621" s="245"/>
      <c r="AA3621" s="245"/>
      <c r="AB3621" s="245"/>
      <c r="AC3621" s="235" t="s">
        <v>20832</v>
      </c>
      <c r="AD3621" s="235" t="s">
        <v>928</v>
      </c>
      <c r="AE3621" s="238">
        <v>134109.0</v>
      </c>
      <c r="AF3621" s="235" t="s">
        <v>631</v>
      </c>
      <c r="AG3621" s="245"/>
      <c r="AH3621" s="245"/>
      <c r="AI3621" s="245"/>
      <c r="AJ3621" s="245"/>
      <c r="AK3621" s="245"/>
      <c r="AL3621" s="245"/>
      <c r="AM3621" s="245"/>
      <c r="AN3621" s="245"/>
      <c r="AO3621" s="238">
        <v>-7.69</v>
      </c>
      <c r="AP3621" s="238">
        <v>-38.1</v>
      </c>
      <c r="AQ3621" s="235" t="s">
        <v>632</v>
      </c>
      <c r="AR3621" s="243">
        <v>3.71E11</v>
      </c>
      <c r="AS3621" s="235" t="s">
        <v>25098</v>
      </c>
      <c r="AT3621" s="235" t="s">
        <v>14</v>
      </c>
      <c r="AU3621" s="235" t="s">
        <v>634</v>
      </c>
      <c r="AV3621" s="246" t="s">
        <v>635</v>
      </c>
      <c r="AW3621" s="227"/>
      <c r="AX3621" s="227"/>
      <c r="AY3621" s="227"/>
      <c r="AZ3621" s="227"/>
      <c r="BA3621" s="227"/>
      <c r="BB3621" s="227"/>
      <c r="BC3621" s="227"/>
      <c r="BD3621" s="227"/>
      <c r="BE3621" s="227"/>
      <c r="BF3621" s="227"/>
    </row>
    <row r="3622">
      <c r="A3622" s="235" t="s">
        <v>27154</v>
      </c>
      <c r="C3622" s="235" t="s">
        <v>27155</v>
      </c>
      <c r="D3622" s="235" t="s">
        <v>27161</v>
      </c>
      <c r="E3622" s="243">
        <v>6.51E13</v>
      </c>
      <c r="F3622" s="245"/>
      <c r="G3622" s="235" t="s">
        <v>27157</v>
      </c>
      <c r="H3622" s="235" t="s">
        <v>27158</v>
      </c>
      <c r="I3622" s="235" t="s">
        <v>27158</v>
      </c>
      <c r="J3622" s="235" t="s">
        <v>27159</v>
      </c>
      <c r="K3622" s="235" t="s">
        <v>20831</v>
      </c>
      <c r="N3622" s="235" t="s">
        <v>127</v>
      </c>
      <c r="O3622" s="235" t="s">
        <v>794</v>
      </c>
      <c r="P3622" s="238">
        <v>1.0</v>
      </c>
      <c r="Q3622" s="235" t="s">
        <v>627</v>
      </c>
      <c r="R3622" s="238">
        <v>256.2</v>
      </c>
      <c r="S3622" s="238">
        <v>12.42</v>
      </c>
      <c r="T3622" s="238">
        <v>38.1</v>
      </c>
      <c r="U3622" s="238">
        <v>1.9</v>
      </c>
      <c r="V3622" s="238">
        <v>0.0</v>
      </c>
      <c r="W3622" s="238">
        <v>0.0</v>
      </c>
      <c r="X3622" s="235" t="s">
        <v>628</v>
      </c>
      <c r="Z3622" s="245"/>
      <c r="AA3622" s="245"/>
      <c r="AB3622" s="245"/>
      <c r="AC3622" s="235" t="s">
        <v>20832</v>
      </c>
      <c r="AD3622" s="235" t="s">
        <v>928</v>
      </c>
      <c r="AE3622" s="238">
        <v>134109.0</v>
      </c>
      <c r="AF3622" s="235" t="s">
        <v>631</v>
      </c>
      <c r="AG3622" s="245"/>
      <c r="AH3622" s="245"/>
      <c r="AI3622" s="245"/>
      <c r="AJ3622" s="245"/>
      <c r="AK3622" s="245"/>
      <c r="AL3622" s="245"/>
      <c r="AM3622" s="245"/>
      <c r="AN3622" s="245"/>
      <c r="AO3622" s="238">
        <v>-7.69</v>
      </c>
      <c r="AP3622" s="238">
        <v>-38.1</v>
      </c>
      <c r="AQ3622" s="235" t="s">
        <v>632</v>
      </c>
      <c r="AR3622" s="243">
        <v>3.71E11</v>
      </c>
      <c r="AS3622" s="235" t="s">
        <v>25098</v>
      </c>
      <c r="AT3622" s="235" t="s">
        <v>14</v>
      </c>
      <c r="AU3622" s="235" t="s">
        <v>634</v>
      </c>
      <c r="AV3622" s="246" t="s">
        <v>635</v>
      </c>
      <c r="AW3622" s="227"/>
      <c r="AX3622" s="227"/>
      <c r="AY3622" s="227"/>
      <c r="AZ3622" s="227"/>
      <c r="BA3622" s="227"/>
      <c r="BB3622" s="227"/>
      <c r="BC3622" s="227"/>
      <c r="BD3622" s="227"/>
      <c r="BE3622" s="227"/>
      <c r="BF3622" s="227"/>
    </row>
    <row r="3623">
      <c r="A3623" s="235" t="s">
        <v>27162</v>
      </c>
      <c r="C3623" s="235" t="s">
        <v>27163</v>
      </c>
      <c r="D3623" s="235" t="s">
        <v>27164</v>
      </c>
      <c r="E3623" s="243">
        <v>6.52E13</v>
      </c>
      <c r="F3623" s="245"/>
      <c r="G3623" s="235" t="s">
        <v>27165</v>
      </c>
      <c r="H3623" s="235" t="s">
        <v>27166</v>
      </c>
      <c r="I3623" s="235" t="s">
        <v>27166</v>
      </c>
      <c r="J3623" s="235" t="s">
        <v>27167</v>
      </c>
      <c r="K3623" s="235" t="s">
        <v>27168</v>
      </c>
      <c r="N3623" s="235" t="s">
        <v>127</v>
      </c>
      <c r="O3623" s="235" t="s">
        <v>794</v>
      </c>
      <c r="P3623" s="238">
        <v>1.0</v>
      </c>
      <c r="Q3623" s="235" t="s">
        <v>627</v>
      </c>
      <c r="R3623" s="238">
        <v>236.2</v>
      </c>
      <c r="S3623" s="238">
        <v>11.45</v>
      </c>
      <c r="T3623" s="238">
        <v>0.0</v>
      </c>
      <c r="U3623" s="238">
        <v>0.0</v>
      </c>
      <c r="V3623" s="238">
        <v>0.0</v>
      </c>
      <c r="W3623" s="238">
        <v>0.0</v>
      </c>
      <c r="X3623" s="235" t="s">
        <v>628</v>
      </c>
      <c r="Z3623" s="245"/>
      <c r="AA3623" s="245"/>
      <c r="AB3623" s="245"/>
      <c r="AC3623" s="235" t="s">
        <v>678</v>
      </c>
      <c r="AD3623" s="235" t="s">
        <v>679</v>
      </c>
      <c r="AE3623" s="238">
        <v>560068.0</v>
      </c>
      <c r="AF3623" s="235" t="s">
        <v>631</v>
      </c>
      <c r="AG3623" s="245"/>
      <c r="AH3623" s="245"/>
      <c r="AI3623" s="245"/>
      <c r="AJ3623" s="245"/>
      <c r="AK3623" s="245"/>
      <c r="AL3623" s="245"/>
      <c r="AM3623" s="245"/>
      <c r="AN3623" s="245"/>
      <c r="AO3623" s="238">
        <v>-7.09</v>
      </c>
      <c r="AP3623" s="238">
        <v>0.0</v>
      </c>
      <c r="AQ3623" s="235" t="s">
        <v>632</v>
      </c>
      <c r="AR3623" s="243">
        <v>1.68E11</v>
      </c>
      <c r="AS3623" s="235" t="s">
        <v>26892</v>
      </c>
      <c r="AT3623" s="235" t="s">
        <v>11</v>
      </c>
      <c r="AU3623" s="235" t="s">
        <v>634</v>
      </c>
      <c r="AV3623" s="246" t="s">
        <v>635</v>
      </c>
      <c r="AW3623" s="227"/>
      <c r="AX3623" s="227"/>
      <c r="AY3623" s="227"/>
      <c r="AZ3623" s="227"/>
      <c r="BA3623" s="227"/>
      <c r="BB3623" s="227"/>
      <c r="BC3623" s="227"/>
      <c r="BD3623" s="227"/>
      <c r="BE3623" s="227"/>
      <c r="BF3623" s="227"/>
    </row>
    <row r="3624">
      <c r="A3624" s="235" t="s">
        <v>27169</v>
      </c>
      <c r="C3624" s="235" t="s">
        <v>27170</v>
      </c>
      <c r="D3624" s="235" t="s">
        <v>27171</v>
      </c>
      <c r="E3624" s="243">
        <v>6.52E13</v>
      </c>
      <c r="F3624" s="245"/>
      <c r="G3624" s="235" t="s">
        <v>27172</v>
      </c>
      <c r="H3624" s="235" t="s">
        <v>27173</v>
      </c>
      <c r="I3624" s="235" t="s">
        <v>27174</v>
      </c>
      <c r="J3624" s="235" t="s">
        <v>27175</v>
      </c>
      <c r="K3624" s="235" t="s">
        <v>27176</v>
      </c>
      <c r="N3624" s="235" t="s">
        <v>110</v>
      </c>
      <c r="O3624" s="235" t="s">
        <v>364</v>
      </c>
      <c r="P3624" s="238">
        <v>1.0</v>
      </c>
      <c r="Q3624" s="235" t="s">
        <v>627</v>
      </c>
      <c r="R3624" s="238">
        <v>237.14</v>
      </c>
      <c r="S3624" s="238">
        <v>11.86</v>
      </c>
      <c r="T3624" s="238">
        <v>0.0</v>
      </c>
      <c r="U3624" s="238">
        <v>0.0</v>
      </c>
      <c r="V3624" s="238">
        <v>0.0</v>
      </c>
      <c r="W3624" s="238">
        <v>0.0</v>
      </c>
      <c r="X3624" s="235" t="s">
        <v>628</v>
      </c>
      <c r="Z3624" s="245"/>
      <c r="AA3624" s="245"/>
      <c r="AB3624" s="245"/>
      <c r="AC3624" s="235" t="s">
        <v>678</v>
      </c>
      <c r="AD3624" s="235" t="s">
        <v>679</v>
      </c>
      <c r="AE3624" s="238">
        <v>560103.0</v>
      </c>
      <c r="AF3624" s="235" t="s">
        <v>631</v>
      </c>
      <c r="AG3624" s="245"/>
      <c r="AH3624" s="245"/>
      <c r="AI3624" s="245"/>
      <c r="AJ3624" s="245"/>
      <c r="AK3624" s="245"/>
      <c r="AL3624" s="245"/>
      <c r="AM3624" s="245"/>
      <c r="AN3624" s="245"/>
      <c r="AO3624" s="238">
        <v>0.0</v>
      </c>
      <c r="AP3624" s="238">
        <v>0.0</v>
      </c>
      <c r="AQ3624" s="235" t="s">
        <v>632</v>
      </c>
      <c r="AR3624" s="243">
        <v>3.71E11</v>
      </c>
      <c r="AS3624" s="235" t="s">
        <v>23542</v>
      </c>
      <c r="AT3624" s="235" t="s">
        <v>156</v>
      </c>
      <c r="AU3624" s="235" t="s">
        <v>634</v>
      </c>
      <c r="AV3624" s="246" t="s">
        <v>635</v>
      </c>
      <c r="AW3624" s="227"/>
      <c r="AX3624" s="227"/>
      <c r="AY3624" s="227"/>
      <c r="AZ3624" s="227"/>
      <c r="BA3624" s="227"/>
      <c r="BB3624" s="227"/>
      <c r="BC3624" s="227"/>
      <c r="BD3624" s="227"/>
      <c r="BE3624" s="227"/>
      <c r="BF3624" s="227"/>
    </row>
    <row r="3625">
      <c r="A3625" s="235" t="s">
        <v>27177</v>
      </c>
      <c r="C3625" s="235" t="s">
        <v>27178</v>
      </c>
      <c r="D3625" s="235" t="s">
        <v>27179</v>
      </c>
      <c r="E3625" s="243">
        <v>6.52E13</v>
      </c>
      <c r="F3625" s="245"/>
      <c r="G3625" s="235" t="s">
        <v>27180</v>
      </c>
      <c r="H3625" s="235" t="s">
        <v>27181</v>
      </c>
      <c r="I3625" s="235" t="s">
        <v>27182</v>
      </c>
      <c r="J3625" s="235" t="s">
        <v>27183</v>
      </c>
      <c r="K3625" s="235" t="s">
        <v>27184</v>
      </c>
      <c r="N3625" s="235" t="s">
        <v>55</v>
      </c>
      <c r="O3625" s="235" t="s">
        <v>244</v>
      </c>
      <c r="P3625" s="238">
        <v>1.0</v>
      </c>
      <c r="Q3625" s="235" t="s">
        <v>627</v>
      </c>
      <c r="R3625" s="238">
        <v>261.9</v>
      </c>
      <c r="S3625" s="238">
        <v>13.1</v>
      </c>
      <c r="T3625" s="238">
        <v>0.0</v>
      </c>
      <c r="U3625" s="238">
        <v>0.0</v>
      </c>
      <c r="V3625" s="238">
        <v>0.0</v>
      </c>
      <c r="W3625" s="238">
        <v>0.0</v>
      </c>
      <c r="X3625" s="235" t="s">
        <v>628</v>
      </c>
      <c r="Z3625" s="245"/>
      <c r="AA3625" s="245"/>
      <c r="AB3625" s="245"/>
      <c r="AC3625" s="235" t="s">
        <v>814</v>
      </c>
      <c r="AD3625" s="235" t="s">
        <v>698</v>
      </c>
      <c r="AE3625" s="238">
        <v>500010.0</v>
      </c>
      <c r="AF3625" s="235" t="s">
        <v>631</v>
      </c>
      <c r="AG3625" s="245"/>
      <c r="AH3625" s="245"/>
      <c r="AI3625" s="245"/>
      <c r="AJ3625" s="245"/>
      <c r="AK3625" s="245"/>
      <c r="AL3625" s="245"/>
      <c r="AM3625" s="245"/>
      <c r="AN3625" s="245"/>
      <c r="AO3625" s="238">
        <v>0.0</v>
      </c>
      <c r="AP3625" s="238">
        <v>0.0</v>
      </c>
      <c r="AQ3625" s="235" t="s">
        <v>632</v>
      </c>
      <c r="AR3625" s="243">
        <v>1.68E11</v>
      </c>
      <c r="AS3625" s="235" t="s">
        <v>25098</v>
      </c>
      <c r="AT3625" s="235" t="s">
        <v>156</v>
      </c>
      <c r="AU3625" s="235" t="s">
        <v>634</v>
      </c>
      <c r="AV3625" s="246" t="s">
        <v>635</v>
      </c>
      <c r="AW3625" s="227"/>
      <c r="AX3625" s="227"/>
      <c r="AY3625" s="227"/>
      <c r="AZ3625" s="227"/>
      <c r="BA3625" s="227"/>
      <c r="BB3625" s="227"/>
      <c r="BC3625" s="227"/>
      <c r="BD3625" s="227"/>
      <c r="BE3625" s="227"/>
      <c r="BF3625" s="227"/>
    </row>
    <row r="3626">
      <c r="A3626" s="235" t="s">
        <v>27185</v>
      </c>
      <c r="C3626" s="235" t="s">
        <v>27186</v>
      </c>
      <c r="D3626" s="235" t="s">
        <v>27187</v>
      </c>
      <c r="E3626" s="243">
        <v>6.52E13</v>
      </c>
      <c r="F3626" s="245"/>
      <c r="G3626" s="235" t="s">
        <v>27188</v>
      </c>
      <c r="H3626" s="235" t="s">
        <v>27189</v>
      </c>
      <c r="I3626" s="235" t="s">
        <v>27190</v>
      </c>
      <c r="J3626" s="235" t="s">
        <v>27191</v>
      </c>
      <c r="K3626" s="235" t="s">
        <v>27192</v>
      </c>
      <c r="N3626" s="235" t="s">
        <v>53</v>
      </c>
      <c r="O3626" s="235" t="s">
        <v>512</v>
      </c>
      <c r="P3626" s="238">
        <v>1.0</v>
      </c>
      <c r="Q3626" s="235" t="s">
        <v>627</v>
      </c>
      <c r="R3626" s="238">
        <v>233.33</v>
      </c>
      <c r="S3626" s="238">
        <v>11.67</v>
      </c>
      <c r="T3626" s="238">
        <v>0.0</v>
      </c>
      <c r="U3626" s="238">
        <v>0.0</v>
      </c>
      <c r="V3626" s="238">
        <v>0.0</v>
      </c>
      <c r="W3626" s="238">
        <v>0.0</v>
      </c>
      <c r="X3626" s="235" t="s">
        <v>628</v>
      </c>
      <c r="Z3626" s="245"/>
      <c r="AA3626" s="245"/>
      <c r="AB3626" s="245"/>
      <c r="AC3626" s="235" t="s">
        <v>6654</v>
      </c>
      <c r="AD3626" s="235" t="s">
        <v>666</v>
      </c>
      <c r="AE3626" s="238">
        <v>627011.0</v>
      </c>
      <c r="AF3626" s="235" t="s">
        <v>631</v>
      </c>
      <c r="AG3626" s="245"/>
      <c r="AH3626" s="245"/>
      <c r="AI3626" s="245"/>
      <c r="AJ3626" s="245"/>
      <c r="AK3626" s="245"/>
      <c r="AL3626" s="245"/>
      <c r="AM3626" s="245"/>
      <c r="AN3626" s="245"/>
      <c r="AO3626" s="238">
        <v>0.0</v>
      </c>
      <c r="AP3626" s="238">
        <v>0.0</v>
      </c>
      <c r="AQ3626" s="235" t="s">
        <v>632</v>
      </c>
      <c r="AR3626" s="243">
        <v>3.71E11</v>
      </c>
      <c r="AS3626" s="235" t="s">
        <v>25098</v>
      </c>
      <c r="AT3626" s="235" t="s">
        <v>9</v>
      </c>
      <c r="AU3626" s="235" t="s">
        <v>634</v>
      </c>
      <c r="AV3626" s="246" t="s">
        <v>635</v>
      </c>
      <c r="AW3626" s="227"/>
      <c r="AX3626" s="227"/>
      <c r="AY3626" s="227"/>
      <c r="AZ3626" s="227"/>
      <c r="BA3626" s="227"/>
      <c r="BB3626" s="227"/>
      <c r="BC3626" s="227"/>
      <c r="BD3626" s="227"/>
      <c r="BE3626" s="227"/>
      <c r="BF3626" s="227"/>
    </row>
    <row r="3627">
      <c r="A3627" s="235" t="s">
        <v>27193</v>
      </c>
      <c r="C3627" s="235" t="s">
        <v>27194</v>
      </c>
      <c r="D3627" s="235" t="s">
        <v>27195</v>
      </c>
      <c r="E3627" s="243">
        <v>6.52E13</v>
      </c>
      <c r="F3627" s="245"/>
      <c r="G3627" s="235" t="s">
        <v>27196</v>
      </c>
      <c r="H3627" s="235" t="s">
        <v>27197</v>
      </c>
      <c r="I3627" s="235" t="s">
        <v>27198</v>
      </c>
      <c r="J3627" s="235" t="s">
        <v>27199</v>
      </c>
      <c r="K3627" s="235" t="s">
        <v>27200</v>
      </c>
      <c r="N3627" s="235" t="s">
        <v>106</v>
      </c>
      <c r="O3627" s="235" t="s">
        <v>338</v>
      </c>
      <c r="P3627" s="238">
        <v>1.0</v>
      </c>
      <c r="Q3627" s="235" t="s">
        <v>627</v>
      </c>
      <c r="R3627" s="238">
        <v>237.14</v>
      </c>
      <c r="S3627" s="238">
        <v>11.62</v>
      </c>
      <c r="T3627" s="238">
        <v>0.0</v>
      </c>
      <c r="U3627" s="238">
        <v>0.0</v>
      </c>
      <c r="V3627" s="238">
        <v>0.0</v>
      </c>
      <c r="W3627" s="238">
        <v>0.0</v>
      </c>
      <c r="X3627" s="235" t="s">
        <v>628</v>
      </c>
      <c r="Z3627" s="245"/>
      <c r="AA3627" s="245"/>
      <c r="AB3627" s="245"/>
      <c r="AC3627" s="235" t="s">
        <v>697</v>
      </c>
      <c r="AD3627" s="235" t="s">
        <v>698</v>
      </c>
      <c r="AE3627" s="238">
        <v>500091.0</v>
      </c>
      <c r="AF3627" s="235" t="s">
        <v>631</v>
      </c>
      <c r="AG3627" s="245"/>
      <c r="AH3627" s="245"/>
      <c r="AI3627" s="245"/>
      <c r="AJ3627" s="245"/>
      <c r="AK3627" s="245"/>
      <c r="AL3627" s="245"/>
      <c r="AM3627" s="245"/>
      <c r="AN3627" s="245"/>
      <c r="AO3627" s="238">
        <v>-4.74</v>
      </c>
      <c r="AP3627" s="238">
        <v>0.0</v>
      </c>
      <c r="AQ3627" s="235" t="s">
        <v>632</v>
      </c>
      <c r="AR3627" s="243">
        <v>3.71E11</v>
      </c>
      <c r="AS3627" s="235" t="s">
        <v>23542</v>
      </c>
      <c r="AT3627" s="235" t="s">
        <v>17</v>
      </c>
      <c r="AU3627" s="235" t="s">
        <v>634</v>
      </c>
      <c r="AV3627" s="246" t="s">
        <v>635</v>
      </c>
      <c r="AW3627" s="227"/>
      <c r="AX3627" s="227"/>
      <c r="AY3627" s="227"/>
      <c r="AZ3627" s="227"/>
      <c r="BA3627" s="227"/>
      <c r="BB3627" s="227"/>
      <c r="BC3627" s="227"/>
      <c r="BD3627" s="227"/>
      <c r="BE3627" s="227"/>
      <c r="BF3627" s="227"/>
    </row>
    <row r="3628">
      <c r="A3628" s="235" t="s">
        <v>27201</v>
      </c>
      <c r="C3628" s="235" t="s">
        <v>27202</v>
      </c>
      <c r="D3628" s="235" t="s">
        <v>27203</v>
      </c>
      <c r="E3628" s="243">
        <v>6.52E13</v>
      </c>
      <c r="F3628" s="245"/>
      <c r="G3628" s="235" t="s">
        <v>27204</v>
      </c>
      <c r="H3628" s="235" t="s">
        <v>27205</v>
      </c>
      <c r="I3628" s="235" t="s">
        <v>27205</v>
      </c>
      <c r="J3628" s="235" t="s">
        <v>27206</v>
      </c>
      <c r="K3628" s="235" t="s">
        <v>27207</v>
      </c>
      <c r="N3628" s="235" t="s">
        <v>42</v>
      </c>
      <c r="O3628" s="235" t="s">
        <v>204</v>
      </c>
      <c r="P3628" s="238">
        <v>1.0</v>
      </c>
      <c r="Q3628" s="235" t="s">
        <v>627</v>
      </c>
      <c r="R3628" s="238">
        <v>236.19</v>
      </c>
      <c r="S3628" s="238">
        <v>11.46</v>
      </c>
      <c r="T3628" s="238">
        <v>0.0</v>
      </c>
      <c r="U3628" s="238">
        <v>0.0</v>
      </c>
      <c r="V3628" s="238">
        <v>0.0</v>
      </c>
      <c r="W3628" s="238">
        <v>0.0</v>
      </c>
      <c r="X3628" s="235" t="s">
        <v>628</v>
      </c>
      <c r="Z3628" s="245"/>
      <c r="AA3628" s="245"/>
      <c r="AB3628" s="245"/>
      <c r="AC3628" s="235" t="s">
        <v>20869</v>
      </c>
      <c r="AD3628" s="235" t="s">
        <v>833</v>
      </c>
      <c r="AE3628" s="238">
        <v>522202.0</v>
      </c>
      <c r="AF3628" s="235" t="s">
        <v>631</v>
      </c>
      <c r="AG3628" s="245"/>
      <c r="AH3628" s="245"/>
      <c r="AI3628" s="245"/>
      <c r="AJ3628" s="245"/>
      <c r="AK3628" s="245"/>
      <c r="AL3628" s="245"/>
      <c r="AM3628" s="245"/>
      <c r="AN3628" s="245"/>
      <c r="AO3628" s="238">
        <v>-7.09</v>
      </c>
      <c r="AP3628" s="238">
        <v>0.0</v>
      </c>
      <c r="AQ3628" s="235" t="s">
        <v>632</v>
      </c>
      <c r="AR3628" s="243">
        <v>1.68E11</v>
      </c>
      <c r="AS3628" s="235" t="s">
        <v>25098</v>
      </c>
      <c r="AT3628" s="235" t="s">
        <v>156</v>
      </c>
      <c r="AU3628" s="235" t="s">
        <v>634</v>
      </c>
      <c r="AV3628" s="246" t="s">
        <v>635</v>
      </c>
      <c r="AW3628" s="227"/>
      <c r="AX3628" s="227"/>
      <c r="AY3628" s="227"/>
      <c r="AZ3628" s="227"/>
      <c r="BA3628" s="227"/>
      <c r="BB3628" s="227"/>
      <c r="BC3628" s="227"/>
      <c r="BD3628" s="227"/>
      <c r="BE3628" s="227"/>
      <c r="BF3628" s="227"/>
    </row>
    <row r="3629">
      <c r="A3629" s="235" t="s">
        <v>27208</v>
      </c>
      <c r="C3629" s="235" t="s">
        <v>27209</v>
      </c>
      <c r="D3629" s="235" t="s">
        <v>27210</v>
      </c>
      <c r="E3629" s="243">
        <v>6.52E13</v>
      </c>
      <c r="F3629" s="245"/>
      <c r="G3629" s="235" t="s">
        <v>27211</v>
      </c>
      <c r="H3629" s="235" t="s">
        <v>27212</v>
      </c>
      <c r="I3629" s="235" t="s">
        <v>27212</v>
      </c>
      <c r="J3629" s="235" t="s">
        <v>27213</v>
      </c>
      <c r="K3629" s="235" t="s">
        <v>27214</v>
      </c>
      <c r="N3629" s="235" t="s">
        <v>842</v>
      </c>
      <c r="O3629" s="235" t="s">
        <v>843</v>
      </c>
      <c r="P3629" s="238">
        <v>1.0</v>
      </c>
      <c r="Q3629" s="235" t="s">
        <v>627</v>
      </c>
      <c r="R3629" s="238">
        <v>270.48</v>
      </c>
      <c r="S3629" s="238">
        <v>13.25</v>
      </c>
      <c r="T3629" s="238">
        <v>0.0</v>
      </c>
      <c r="U3629" s="238">
        <v>0.0</v>
      </c>
      <c r="V3629" s="238">
        <v>0.0</v>
      </c>
      <c r="W3629" s="238">
        <v>0.0</v>
      </c>
      <c r="X3629" s="235" t="s">
        <v>628</v>
      </c>
      <c r="Z3629" s="245"/>
      <c r="AA3629" s="245"/>
      <c r="AB3629" s="245"/>
      <c r="AC3629" s="235" t="s">
        <v>27215</v>
      </c>
      <c r="AD3629" s="235" t="s">
        <v>698</v>
      </c>
      <c r="AE3629" s="238">
        <v>502319.0</v>
      </c>
      <c r="AF3629" s="235" t="s">
        <v>631</v>
      </c>
      <c r="AG3629" s="245"/>
      <c r="AH3629" s="245"/>
      <c r="AI3629" s="245"/>
      <c r="AJ3629" s="245"/>
      <c r="AK3629" s="245"/>
      <c r="AL3629" s="245"/>
      <c r="AM3629" s="245"/>
      <c r="AN3629" s="245"/>
      <c r="AO3629" s="238">
        <v>-5.41</v>
      </c>
      <c r="AP3629" s="238">
        <v>0.0</v>
      </c>
      <c r="AQ3629" s="235" t="s">
        <v>632</v>
      </c>
      <c r="AR3629" s="243">
        <v>1.68E11</v>
      </c>
      <c r="AS3629" s="235" t="s">
        <v>25098</v>
      </c>
      <c r="AT3629" s="235" t="s">
        <v>156</v>
      </c>
      <c r="AU3629" s="235" t="s">
        <v>634</v>
      </c>
      <c r="AV3629" s="246" t="s">
        <v>635</v>
      </c>
      <c r="AW3629" s="227"/>
      <c r="AX3629" s="227"/>
      <c r="AY3629" s="227"/>
      <c r="AZ3629" s="227"/>
      <c r="BA3629" s="227"/>
      <c r="BB3629" s="227"/>
      <c r="BC3629" s="227"/>
      <c r="BD3629" s="227"/>
      <c r="BE3629" s="227"/>
      <c r="BF3629" s="227"/>
    </row>
    <row r="3630">
      <c r="A3630" s="235" t="s">
        <v>27216</v>
      </c>
      <c r="C3630" s="235" t="s">
        <v>27217</v>
      </c>
      <c r="D3630" s="235" t="s">
        <v>27218</v>
      </c>
      <c r="E3630" s="243">
        <v>6.52E13</v>
      </c>
      <c r="F3630" s="245"/>
      <c r="G3630" s="235" t="s">
        <v>27219</v>
      </c>
      <c r="H3630" s="235" t="s">
        <v>27220</v>
      </c>
      <c r="I3630" s="235" t="s">
        <v>27220</v>
      </c>
      <c r="J3630" s="235" t="s">
        <v>27221</v>
      </c>
      <c r="K3630" s="235" t="s">
        <v>27222</v>
      </c>
      <c r="N3630" s="235" t="s">
        <v>43</v>
      </c>
      <c r="O3630" s="235" t="s">
        <v>276</v>
      </c>
      <c r="P3630" s="238">
        <v>1.0</v>
      </c>
      <c r="Q3630" s="235" t="s">
        <v>627</v>
      </c>
      <c r="R3630" s="238">
        <v>233.34</v>
      </c>
      <c r="S3630" s="238">
        <v>11.66</v>
      </c>
      <c r="T3630" s="238">
        <v>0.0</v>
      </c>
      <c r="U3630" s="238">
        <v>0.0</v>
      </c>
      <c r="V3630" s="238">
        <v>0.0</v>
      </c>
      <c r="W3630" s="238">
        <v>0.0</v>
      </c>
      <c r="X3630" s="235" t="s">
        <v>628</v>
      </c>
      <c r="Z3630" s="245"/>
      <c r="AA3630" s="245"/>
      <c r="AB3630" s="245"/>
      <c r="AC3630" s="235" t="s">
        <v>687</v>
      </c>
      <c r="AD3630" s="235" t="s">
        <v>666</v>
      </c>
      <c r="AE3630" s="238">
        <v>600116.0</v>
      </c>
      <c r="AF3630" s="235" t="s">
        <v>631</v>
      </c>
      <c r="AG3630" s="245"/>
      <c r="AH3630" s="245"/>
      <c r="AI3630" s="245"/>
      <c r="AJ3630" s="245"/>
      <c r="AK3630" s="245"/>
      <c r="AL3630" s="245"/>
      <c r="AM3630" s="245"/>
      <c r="AN3630" s="245"/>
      <c r="AO3630" s="238">
        <v>0.0</v>
      </c>
      <c r="AP3630" s="238">
        <v>0.0</v>
      </c>
      <c r="AQ3630" s="235" t="s">
        <v>632</v>
      </c>
      <c r="AR3630" s="243">
        <v>1.68E11</v>
      </c>
      <c r="AS3630" s="235" t="s">
        <v>26892</v>
      </c>
      <c r="AT3630" s="235" t="s">
        <v>156</v>
      </c>
      <c r="AU3630" s="235" t="s">
        <v>634</v>
      </c>
      <c r="AV3630" s="246" t="s">
        <v>635</v>
      </c>
      <c r="AW3630" s="227"/>
      <c r="AX3630" s="227"/>
      <c r="AY3630" s="227"/>
      <c r="AZ3630" s="227"/>
      <c r="BA3630" s="227"/>
      <c r="BB3630" s="227"/>
      <c r="BC3630" s="227"/>
      <c r="BD3630" s="227"/>
      <c r="BE3630" s="227"/>
      <c r="BF3630" s="227"/>
    </row>
    <row r="3631">
      <c r="A3631" s="235" t="s">
        <v>27223</v>
      </c>
      <c r="C3631" s="235" t="s">
        <v>27224</v>
      </c>
      <c r="D3631" s="235" t="s">
        <v>27225</v>
      </c>
      <c r="E3631" s="243">
        <v>6.52E13</v>
      </c>
      <c r="F3631" s="245"/>
      <c r="G3631" s="235" t="s">
        <v>27226</v>
      </c>
      <c r="H3631" s="235" t="s">
        <v>27227</v>
      </c>
      <c r="I3631" s="235" t="s">
        <v>27228</v>
      </c>
      <c r="J3631" s="235" t="s">
        <v>27229</v>
      </c>
      <c r="K3631" s="235" t="s">
        <v>27230</v>
      </c>
      <c r="N3631" s="235" t="s">
        <v>42</v>
      </c>
      <c r="O3631" s="235" t="s">
        <v>204</v>
      </c>
      <c r="P3631" s="238">
        <v>1.0</v>
      </c>
      <c r="Q3631" s="235" t="s">
        <v>627</v>
      </c>
      <c r="R3631" s="238">
        <v>236.19</v>
      </c>
      <c r="S3631" s="238">
        <v>11.81</v>
      </c>
      <c r="T3631" s="238">
        <v>0.0</v>
      </c>
      <c r="U3631" s="238">
        <v>0.0</v>
      </c>
      <c r="V3631" s="238">
        <v>0.0</v>
      </c>
      <c r="W3631" s="238">
        <v>0.0</v>
      </c>
      <c r="X3631" s="235" t="s">
        <v>628</v>
      </c>
      <c r="Z3631" s="245"/>
      <c r="AA3631" s="245"/>
      <c r="AB3631" s="245"/>
      <c r="AC3631" s="235" t="s">
        <v>2493</v>
      </c>
      <c r="AD3631" s="235" t="s">
        <v>833</v>
      </c>
      <c r="AE3631" s="238">
        <v>520010.0</v>
      </c>
      <c r="AF3631" s="235" t="s">
        <v>631</v>
      </c>
      <c r="AG3631" s="245"/>
      <c r="AH3631" s="245"/>
      <c r="AI3631" s="245"/>
      <c r="AJ3631" s="245"/>
      <c r="AK3631" s="245"/>
      <c r="AL3631" s="245"/>
      <c r="AM3631" s="245"/>
      <c r="AN3631" s="245"/>
      <c r="AO3631" s="238">
        <v>0.0</v>
      </c>
      <c r="AP3631" s="238">
        <v>0.0</v>
      </c>
      <c r="AQ3631" s="235" t="s">
        <v>632</v>
      </c>
      <c r="AR3631" s="243">
        <v>1.68E11</v>
      </c>
      <c r="AS3631" s="235" t="s">
        <v>25098</v>
      </c>
      <c r="AT3631" s="235" t="s">
        <v>156</v>
      </c>
      <c r="AU3631" s="235" t="s">
        <v>634</v>
      </c>
      <c r="AV3631" s="246" t="s">
        <v>635</v>
      </c>
      <c r="AW3631" s="227"/>
      <c r="AX3631" s="227"/>
      <c r="AY3631" s="227"/>
      <c r="AZ3631" s="227"/>
      <c r="BA3631" s="227"/>
      <c r="BB3631" s="227"/>
      <c r="BC3631" s="227"/>
      <c r="BD3631" s="227"/>
      <c r="BE3631" s="227"/>
      <c r="BF3631" s="227"/>
    </row>
    <row r="3632">
      <c r="A3632" s="235" t="s">
        <v>27231</v>
      </c>
      <c r="C3632" s="235" t="s">
        <v>27232</v>
      </c>
      <c r="D3632" s="235" t="s">
        <v>27233</v>
      </c>
      <c r="E3632" s="243">
        <v>6.52E13</v>
      </c>
      <c r="F3632" s="245"/>
      <c r="G3632" s="235" t="s">
        <v>27234</v>
      </c>
      <c r="H3632" s="235" t="s">
        <v>27235</v>
      </c>
      <c r="I3632" s="235" t="s">
        <v>27235</v>
      </c>
      <c r="J3632" s="235" t="s">
        <v>27236</v>
      </c>
      <c r="K3632" s="235" t="s">
        <v>27237</v>
      </c>
      <c r="N3632" s="235" t="s">
        <v>51</v>
      </c>
      <c r="O3632" s="235" t="s">
        <v>273</v>
      </c>
      <c r="P3632" s="238">
        <v>1.0</v>
      </c>
      <c r="Q3632" s="235" t="s">
        <v>627</v>
      </c>
      <c r="R3632" s="238">
        <v>246.67</v>
      </c>
      <c r="S3632" s="238">
        <v>12.33</v>
      </c>
      <c r="T3632" s="238">
        <v>0.0</v>
      </c>
      <c r="U3632" s="238">
        <v>0.0</v>
      </c>
      <c r="V3632" s="238">
        <v>0.0</v>
      </c>
      <c r="W3632" s="238">
        <v>0.0</v>
      </c>
      <c r="X3632" s="235" t="s">
        <v>628</v>
      </c>
      <c r="Z3632" s="245"/>
      <c r="AA3632" s="245"/>
      <c r="AB3632" s="245"/>
      <c r="AC3632" s="235" t="s">
        <v>27238</v>
      </c>
      <c r="AD3632" s="235" t="s">
        <v>833</v>
      </c>
      <c r="AE3632" s="238">
        <v>523001.0</v>
      </c>
      <c r="AF3632" s="235" t="s">
        <v>631</v>
      </c>
      <c r="AG3632" s="245"/>
      <c r="AH3632" s="245"/>
      <c r="AI3632" s="245"/>
      <c r="AJ3632" s="245"/>
      <c r="AK3632" s="245"/>
      <c r="AL3632" s="245"/>
      <c r="AM3632" s="245"/>
      <c r="AN3632" s="245"/>
      <c r="AO3632" s="238">
        <v>0.0</v>
      </c>
      <c r="AP3632" s="238">
        <v>0.0</v>
      </c>
      <c r="AQ3632" s="235" t="s">
        <v>632</v>
      </c>
      <c r="AR3632" s="243">
        <v>3.71E11</v>
      </c>
      <c r="AS3632" s="235" t="s">
        <v>23542</v>
      </c>
      <c r="AT3632" s="235" t="s">
        <v>156</v>
      </c>
      <c r="AU3632" s="235" t="s">
        <v>634</v>
      </c>
      <c r="AV3632" s="246" t="s">
        <v>635</v>
      </c>
      <c r="AW3632" s="227"/>
      <c r="AX3632" s="227"/>
      <c r="AY3632" s="227"/>
      <c r="AZ3632" s="227"/>
      <c r="BA3632" s="227"/>
      <c r="BB3632" s="227"/>
      <c r="BC3632" s="227"/>
      <c r="BD3632" s="227"/>
      <c r="BE3632" s="227"/>
      <c r="BF3632" s="227"/>
    </row>
    <row r="3633">
      <c r="A3633" s="235" t="s">
        <v>27239</v>
      </c>
      <c r="C3633" s="235" t="s">
        <v>27240</v>
      </c>
      <c r="D3633" s="235" t="s">
        <v>27241</v>
      </c>
      <c r="E3633" s="243">
        <v>6.52E13</v>
      </c>
      <c r="F3633" s="245"/>
      <c r="G3633" s="235" t="s">
        <v>27242</v>
      </c>
      <c r="H3633" s="235" t="s">
        <v>27243</v>
      </c>
      <c r="I3633" s="235" t="s">
        <v>27243</v>
      </c>
      <c r="J3633" s="235" t="s">
        <v>27244</v>
      </c>
      <c r="K3633" s="235" t="s">
        <v>27245</v>
      </c>
      <c r="N3633" s="235" t="s">
        <v>139</v>
      </c>
      <c r="O3633" s="235" t="s">
        <v>2091</v>
      </c>
      <c r="P3633" s="238">
        <v>1.0</v>
      </c>
      <c r="Q3633" s="235" t="s">
        <v>627</v>
      </c>
      <c r="R3633" s="238">
        <v>233.33</v>
      </c>
      <c r="S3633" s="238">
        <v>11.67</v>
      </c>
      <c r="T3633" s="238">
        <v>0.0</v>
      </c>
      <c r="U3633" s="238">
        <v>0.0</v>
      </c>
      <c r="V3633" s="238">
        <v>0.0</v>
      </c>
      <c r="W3633" s="238">
        <v>0.0</v>
      </c>
      <c r="X3633" s="235" t="s">
        <v>628</v>
      </c>
      <c r="Z3633" s="245"/>
      <c r="AA3633" s="245"/>
      <c r="AB3633" s="245"/>
      <c r="AC3633" s="235" t="s">
        <v>3195</v>
      </c>
      <c r="AD3633" s="235" t="s">
        <v>881</v>
      </c>
      <c r="AE3633" s="238">
        <v>751019.0</v>
      </c>
      <c r="AF3633" s="235" t="s">
        <v>631</v>
      </c>
      <c r="AG3633" s="245"/>
      <c r="AH3633" s="245"/>
      <c r="AI3633" s="245"/>
      <c r="AJ3633" s="245"/>
      <c r="AK3633" s="245"/>
      <c r="AL3633" s="245"/>
      <c r="AM3633" s="245"/>
      <c r="AN3633" s="245"/>
      <c r="AO3633" s="238">
        <v>0.0</v>
      </c>
      <c r="AP3633" s="238">
        <v>0.0</v>
      </c>
      <c r="AQ3633" s="235" t="s">
        <v>632</v>
      </c>
      <c r="AR3633" s="243">
        <v>3.71E11</v>
      </c>
      <c r="AS3633" s="235" t="s">
        <v>20529</v>
      </c>
      <c r="AT3633" s="235" t="s">
        <v>11</v>
      </c>
      <c r="AU3633" s="235" t="s">
        <v>634</v>
      </c>
      <c r="AV3633" s="246" t="s">
        <v>635</v>
      </c>
      <c r="AW3633" s="227"/>
      <c r="AX3633" s="227"/>
      <c r="AY3633" s="227"/>
      <c r="AZ3633" s="227"/>
      <c r="BA3633" s="227"/>
      <c r="BB3633" s="227"/>
      <c r="BC3633" s="227"/>
      <c r="BD3633" s="227"/>
      <c r="BE3633" s="227"/>
      <c r="BF3633" s="227"/>
    </row>
    <row r="3634">
      <c r="A3634" s="235" t="s">
        <v>27246</v>
      </c>
      <c r="C3634" s="235" t="s">
        <v>27247</v>
      </c>
      <c r="D3634" s="235" t="s">
        <v>27248</v>
      </c>
      <c r="E3634" s="243">
        <v>6.52E13</v>
      </c>
      <c r="F3634" s="245"/>
      <c r="G3634" s="235" t="s">
        <v>27249</v>
      </c>
      <c r="H3634" s="235" t="s">
        <v>27250</v>
      </c>
      <c r="I3634" s="235" t="s">
        <v>27250</v>
      </c>
      <c r="J3634" s="235" t="s">
        <v>27251</v>
      </c>
      <c r="K3634" s="235" t="s">
        <v>27252</v>
      </c>
      <c r="N3634" s="235" t="s">
        <v>42</v>
      </c>
      <c r="O3634" s="235" t="s">
        <v>204</v>
      </c>
      <c r="P3634" s="238">
        <v>1.0</v>
      </c>
      <c r="Q3634" s="235" t="s">
        <v>627</v>
      </c>
      <c r="R3634" s="238">
        <v>236.2</v>
      </c>
      <c r="S3634" s="238">
        <v>11.8</v>
      </c>
      <c r="T3634" s="238">
        <v>0.0</v>
      </c>
      <c r="U3634" s="238">
        <v>0.0</v>
      </c>
      <c r="V3634" s="238">
        <v>0.0</v>
      </c>
      <c r="W3634" s="238">
        <v>0.0</v>
      </c>
      <c r="X3634" s="235" t="s">
        <v>628</v>
      </c>
      <c r="Z3634" s="245"/>
      <c r="AA3634" s="245"/>
      <c r="AB3634" s="245"/>
      <c r="AC3634" s="235" t="s">
        <v>687</v>
      </c>
      <c r="AD3634" s="235" t="s">
        <v>666</v>
      </c>
      <c r="AE3634" s="238">
        <v>600017.0</v>
      </c>
      <c r="AF3634" s="235" t="s">
        <v>631</v>
      </c>
      <c r="AG3634" s="245"/>
      <c r="AH3634" s="245"/>
      <c r="AI3634" s="245"/>
      <c r="AJ3634" s="245"/>
      <c r="AK3634" s="245"/>
      <c r="AL3634" s="245"/>
      <c r="AM3634" s="245"/>
      <c r="AN3634" s="245"/>
      <c r="AO3634" s="238">
        <v>0.0</v>
      </c>
      <c r="AP3634" s="238">
        <v>0.0</v>
      </c>
      <c r="AQ3634" s="235" t="s">
        <v>632</v>
      </c>
      <c r="AR3634" s="243">
        <v>1.68E11</v>
      </c>
      <c r="AS3634" s="235" t="s">
        <v>26892</v>
      </c>
      <c r="AT3634" s="235" t="s">
        <v>156</v>
      </c>
      <c r="AU3634" s="235" t="s">
        <v>634</v>
      </c>
      <c r="AV3634" s="246" t="s">
        <v>635</v>
      </c>
      <c r="AW3634" s="227"/>
      <c r="AX3634" s="227"/>
      <c r="AY3634" s="227"/>
      <c r="AZ3634" s="227"/>
      <c r="BA3634" s="227"/>
      <c r="BB3634" s="227"/>
      <c r="BC3634" s="227"/>
      <c r="BD3634" s="227"/>
      <c r="BE3634" s="227"/>
      <c r="BF3634" s="227"/>
    </row>
    <row r="3635">
      <c r="A3635" s="235" t="s">
        <v>27253</v>
      </c>
      <c r="C3635" s="235" t="s">
        <v>27254</v>
      </c>
      <c r="D3635" s="235" t="s">
        <v>27255</v>
      </c>
      <c r="E3635" s="243">
        <v>6.52E13</v>
      </c>
      <c r="F3635" s="245"/>
      <c r="G3635" s="235" t="s">
        <v>27256</v>
      </c>
      <c r="H3635" s="235" t="s">
        <v>27257</v>
      </c>
      <c r="I3635" s="235" t="s">
        <v>27258</v>
      </c>
      <c r="J3635" s="235" t="s">
        <v>27259</v>
      </c>
      <c r="K3635" s="235" t="s">
        <v>27260</v>
      </c>
      <c r="N3635" s="235" t="s">
        <v>92</v>
      </c>
      <c r="O3635" s="235" t="s">
        <v>248</v>
      </c>
      <c r="P3635" s="238">
        <v>1.0</v>
      </c>
      <c r="Q3635" s="235" t="s">
        <v>627</v>
      </c>
      <c r="R3635" s="238">
        <v>233.33</v>
      </c>
      <c r="S3635" s="238">
        <v>11.32</v>
      </c>
      <c r="T3635" s="238">
        <v>0.0</v>
      </c>
      <c r="U3635" s="238">
        <v>0.0</v>
      </c>
      <c r="V3635" s="238">
        <v>0.0</v>
      </c>
      <c r="W3635" s="238">
        <v>0.0</v>
      </c>
      <c r="X3635" s="235" t="s">
        <v>628</v>
      </c>
      <c r="Z3635" s="245"/>
      <c r="AA3635" s="245"/>
      <c r="AB3635" s="245"/>
      <c r="AC3635" s="235" t="s">
        <v>1843</v>
      </c>
      <c r="AD3635" s="235" t="s">
        <v>645</v>
      </c>
      <c r="AE3635" s="238">
        <v>691010.0</v>
      </c>
      <c r="AF3635" s="235" t="s">
        <v>631</v>
      </c>
      <c r="AG3635" s="245"/>
      <c r="AH3635" s="245"/>
      <c r="AI3635" s="245"/>
      <c r="AJ3635" s="245"/>
      <c r="AK3635" s="245"/>
      <c r="AL3635" s="245"/>
      <c r="AM3635" s="245"/>
      <c r="AN3635" s="245"/>
      <c r="AO3635" s="238">
        <v>-7.0</v>
      </c>
      <c r="AP3635" s="238">
        <v>0.0</v>
      </c>
      <c r="AQ3635" s="235" t="s">
        <v>632</v>
      </c>
      <c r="AR3635" s="243">
        <v>3.71E11</v>
      </c>
      <c r="AS3635" s="235" t="s">
        <v>23542</v>
      </c>
      <c r="AT3635" s="235" t="s">
        <v>155</v>
      </c>
      <c r="AU3635" s="235" t="s">
        <v>634</v>
      </c>
      <c r="AV3635" s="246" t="s">
        <v>635</v>
      </c>
      <c r="AW3635" s="227"/>
      <c r="AX3635" s="227"/>
      <c r="AY3635" s="227"/>
      <c r="AZ3635" s="227"/>
      <c r="BA3635" s="227"/>
      <c r="BB3635" s="227"/>
      <c r="BC3635" s="227"/>
      <c r="BD3635" s="227"/>
      <c r="BE3635" s="227"/>
      <c r="BF3635" s="227"/>
    </row>
    <row r="3636">
      <c r="A3636" s="235" t="s">
        <v>27261</v>
      </c>
      <c r="C3636" s="235" t="s">
        <v>27262</v>
      </c>
      <c r="D3636" s="235" t="s">
        <v>27263</v>
      </c>
      <c r="E3636" s="243">
        <v>6.52E13</v>
      </c>
      <c r="F3636" s="245"/>
      <c r="G3636" s="235" t="s">
        <v>27264</v>
      </c>
      <c r="H3636" s="235" t="s">
        <v>27265</v>
      </c>
      <c r="I3636" s="235" t="s">
        <v>27265</v>
      </c>
      <c r="J3636" s="235" t="s">
        <v>27266</v>
      </c>
      <c r="K3636" s="235" t="s">
        <v>27267</v>
      </c>
      <c r="N3636" s="235" t="s">
        <v>139</v>
      </c>
      <c r="O3636" s="235" t="s">
        <v>2091</v>
      </c>
      <c r="P3636" s="238">
        <v>1.0</v>
      </c>
      <c r="Q3636" s="235" t="s">
        <v>627</v>
      </c>
      <c r="R3636" s="238">
        <v>233.34</v>
      </c>
      <c r="S3636" s="238">
        <v>11.43</v>
      </c>
      <c r="T3636" s="238">
        <v>0.0</v>
      </c>
      <c r="U3636" s="238">
        <v>0.0</v>
      </c>
      <c r="V3636" s="238">
        <v>0.0</v>
      </c>
      <c r="W3636" s="238">
        <v>0.0</v>
      </c>
      <c r="X3636" s="235" t="s">
        <v>628</v>
      </c>
      <c r="Z3636" s="245"/>
      <c r="AA3636" s="245"/>
      <c r="AB3636" s="245"/>
      <c r="AC3636" s="235" t="s">
        <v>678</v>
      </c>
      <c r="AD3636" s="235" t="s">
        <v>679</v>
      </c>
      <c r="AE3636" s="238">
        <v>560078.0</v>
      </c>
      <c r="AF3636" s="235" t="s">
        <v>631</v>
      </c>
      <c r="AG3636" s="245"/>
      <c r="AH3636" s="245"/>
      <c r="AI3636" s="245"/>
      <c r="AJ3636" s="245"/>
      <c r="AK3636" s="245"/>
      <c r="AL3636" s="245"/>
      <c r="AM3636" s="245"/>
      <c r="AN3636" s="245"/>
      <c r="AO3636" s="238">
        <v>-4.67</v>
      </c>
      <c r="AP3636" s="238">
        <v>0.0</v>
      </c>
      <c r="AQ3636" s="235" t="s">
        <v>632</v>
      </c>
      <c r="AR3636" s="243">
        <v>1.68E11</v>
      </c>
      <c r="AS3636" s="235" t="s">
        <v>26892</v>
      </c>
      <c r="AT3636" s="235" t="s">
        <v>9</v>
      </c>
      <c r="AU3636" s="235" t="s">
        <v>634</v>
      </c>
      <c r="AV3636" s="246" t="s">
        <v>635</v>
      </c>
      <c r="AW3636" s="227"/>
      <c r="AX3636" s="227"/>
      <c r="AY3636" s="227"/>
      <c r="AZ3636" s="227"/>
      <c r="BA3636" s="227"/>
      <c r="BB3636" s="227"/>
      <c r="BC3636" s="227"/>
      <c r="BD3636" s="227"/>
      <c r="BE3636" s="227"/>
      <c r="BF3636" s="227"/>
    </row>
    <row r="3637">
      <c r="A3637" s="235" t="s">
        <v>27268</v>
      </c>
      <c r="C3637" s="235" t="s">
        <v>27269</v>
      </c>
      <c r="D3637" s="235" t="s">
        <v>27270</v>
      </c>
      <c r="E3637" s="243">
        <v>6.51E13</v>
      </c>
      <c r="F3637" s="245"/>
      <c r="G3637" s="235" t="s">
        <v>27271</v>
      </c>
      <c r="H3637" s="235" t="s">
        <v>27272</v>
      </c>
      <c r="I3637" s="235" t="s">
        <v>27272</v>
      </c>
      <c r="J3637" s="235" t="s">
        <v>27273</v>
      </c>
      <c r="K3637" s="235" t="s">
        <v>27274</v>
      </c>
      <c r="N3637" s="235" t="s">
        <v>139</v>
      </c>
      <c r="O3637" s="235" t="s">
        <v>2091</v>
      </c>
      <c r="P3637" s="238">
        <v>1.0</v>
      </c>
      <c r="Q3637" s="235" t="s">
        <v>627</v>
      </c>
      <c r="R3637" s="238">
        <v>233.33</v>
      </c>
      <c r="S3637" s="238">
        <v>11.44</v>
      </c>
      <c r="T3637" s="238">
        <v>0.0</v>
      </c>
      <c r="U3637" s="238">
        <v>0.0</v>
      </c>
      <c r="V3637" s="238">
        <v>0.0</v>
      </c>
      <c r="W3637" s="238">
        <v>0.0</v>
      </c>
      <c r="X3637" s="235" t="s">
        <v>628</v>
      </c>
      <c r="Z3637" s="245"/>
      <c r="AA3637" s="245"/>
      <c r="AB3637" s="245"/>
      <c r="AC3637" s="235" t="s">
        <v>10089</v>
      </c>
      <c r="AD3637" s="235" t="s">
        <v>917</v>
      </c>
      <c r="AE3637" s="238">
        <v>343001.0</v>
      </c>
      <c r="AF3637" s="235" t="s">
        <v>631</v>
      </c>
      <c r="AG3637" s="245"/>
      <c r="AH3637" s="245"/>
      <c r="AI3637" s="245"/>
      <c r="AJ3637" s="245"/>
      <c r="AK3637" s="245"/>
      <c r="AL3637" s="245"/>
      <c r="AM3637" s="245"/>
      <c r="AN3637" s="245"/>
      <c r="AO3637" s="238">
        <v>-4.67</v>
      </c>
      <c r="AP3637" s="238">
        <v>0.0</v>
      </c>
      <c r="AQ3637" s="235" t="s">
        <v>632</v>
      </c>
      <c r="AR3637" s="243">
        <v>3.71E11</v>
      </c>
      <c r="AS3637" s="235" t="s">
        <v>23542</v>
      </c>
      <c r="AT3637" s="235" t="s">
        <v>5</v>
      </c>
      <c r="AU3637" s="235" t="s">
        <v>634</v>
      </c>
      <c r="AV3637" s="246" t="s">
        <v>635</v>
      </c>
      <c r="AW3637" s="227"/>
      <c r="AX3637" s="227"/>
      <c r="AY3637" s="227"/>
      <c r="AZ3637" s="227"/>
      <c r="BA3637" s="227"/>
      <c r="BB3637" s="227"/>
      <c r="BC3637" s="227"/>
      <c r="BD3637" s="227"/>
      <c r="BE3637" s="227"/>
      <c r="BF3637" s="227"/>
    </row>
    <row r="3638">
      <c r="A3638" s="235" t="s">
        <v>27275</v>
      </c>
      <c r="C3638" s="235" t="s">
        <v>27276</v>
      </c>
      <c r="D3638" s="235" t="s">
        <v>27277</v>
      </c>
      <c r="E3638" s="243">
        <v>6.52E13</v>
      </c>
      <c r="F3638" s="245"/>
      <c r="G3638" s="235" t="s">
        <v>27278</v>
      </c>
      <c r="H3638" s="235" t="s">
        <v>27279</v>
      </c>
      <c r="I3638" s="235" t="s">
        <v>27279</v>
      </c>
      <c r="J3638" s="235" t="s">
        <v>27280</v>
      </c>
      <c r="K3638" s="235" t="s">
        <v>27281</v>
      </c>
      <c r="N3638" s="235" t="s">
        <v>139</v>
      </c>
      <c r="O3638" s="235" t="s">
        <v>2091</v>
      </c>
      <c r="P3638" s="238">
        <v>1.0</v>
      </c>
      <c r="Q3638" s="235" t="s">
        <v>627</v>
      </c>
      <c r="R3638" s="238">
        <v>233.34</v>
      </c>
      <c r="S3638" s="238">
        <v>11.43</v>
      </c>
      <c r="T3638" s="238">
        <v>0.0</v>
      </c>
      <c r="U3638" s="238">
        <v>0.0</v>
      </c>
      <c r="V3638" s="238">
        <v>0.0</v>
      </c>
      <c r="W3638" s="238">
        <v>0.0</v>
      </c>
      <c r="X3638" s="235" t="s">
        <v>628</v>
      </c>
      <c r="Z3638" s="245"/>
      <c r="AA3638" s="245"/>
      <c r="AB3638" s="245"/>
      <c r="AC3638" s="235" t="s">
        <v>678</v>
      </c>
      <c r="AD3638" s="235" t="s">
        <v>679</v>
      </c>
      <c r="AE3638" s="238">
        <v>560066.0</v>
      </c>
      <c r="AF3638" s="235" t="s">
        <v>631</v>
      </c>
      <c r="AG3638" s="245"/>
      <c r="AH3638" s="245"/>
      <c r="AI3638" s="245"/>
      <c r="AJ3638" s="245"/>
      <c r="AK3638" s="245"/>
      <c r="AL3638" s="245"/>
      <c r="AM3638" s="245"/>
      <c r="AN3638" s="245"/>
      <c r="AO3638" s="238">
        <v>-4.67</v>
      </c>
      <c r="AP3638" s="238">
        <v>0.0</v>
      </c>
      <c r="AQ3638" s="235" t="s">
        <v>632</v>
      </c>
      <c r="AR3638" s="243">
        <v>1.68E11</v>
      </c>
      <c r="AS3638" s="235" t="s">
        <v>26892</v>
      </c>
      <c r="AT3638" s="235" t="s">
        <v>9</v>
      </c>
      <c r="AU3638" s="235" t="s">
        <v>634</v>
      </c>
      <c r="AV3638" s="246" t="s">
        <v>635</v>
      </c>
      <c r="AW3638" s="227"/>
      <c r="AX3638" s="227"/>
      <c r="AY3638" s="227"/>
      <c r="AZ3638" s="227"/>
      <c r="BA3638" s="227"/>
      <c r="BB3638" s="227"/>
      <c r="BC3638" s="227"/>
      <c r="BD3638" s="227"/>
      <c r="BE3638" s="227"/>
      <c r="BF3638" s="227"/>
    </row>
    <row r="3639">
      <c r="A3639" s="235" t="s">
        <v>27282</v>
      </c>
      <c r="C3639" s="235" t="s">
        <v>27283</v>
      </c>
      <c r="D3639" s="235" t="s">
        <v>27284</v>
      </c>
      <c r="E3639" s="243">
        <v>6.52E13</v>
      </c>
      <c r="F3639" s="245"/>
      <c r="G3639" s="235" t="s">
        <v>27285</v>
      </c>
      <c r="H3639" s="235" t="s">
        <v>27286</v>
      </c>
      <c r="I3639" s="235" t="s">
        <v>27286</v>
      </c>
      <c r="J3639" s="235" t="s">
        <v>27287</v>
      </c>
      <c r="K3639" s="235" t="s">
        <v>27288</v>
      </c>
      <c r="N3639" s="235" t="s">
        <v>154</v>
      </c>
      <c r="O3639" s="235" t="s">
        <v>766</v>
      </c>
      <c r="P3639" s="238">
        <v>1.0</v>
      </c>
      <c r="Q3639" s="235" t="s">
        <v>627</v>
      </c>
      <c r="R3639" s="238">
        <v>423.8</v>
      </c>
      <c r="S3639" s="238">
        <v>21.2</v>
      </c>
      <c r="T3639" s="238">
        <v>0.0</v>
      </c>
      <c r="U3639" s="238">
        <v>0.0</v>
      </c>
      <c r="V3639" s="238">
        <v>0.0</v>
      </c>
      <c r="W3639" s="238">
        <v>0.0</v>
      </c>
      <c r="X3639" s="235" t="s">
        <v>628</v>
      </c>
      <c r="Z3639" s="245"/>
      <c r="AA3639" s="245"/>
      <c r="AB3639" s="245"/>
      <c r="AC3639" s="235" t="s">
        <v>1206</v>
      </c>
      <c r="AD3639" s="235" t="s">
        <v>679</v>
      </c>
      <c r="AE3639" s="238">
        <v>560076.0</v>
      </c>
      <c r="AF3639" s="235" t="s">
        <v>631</v>
      </c>
      <c r="AG3639" s="245"/>
      <c r="AH3639" s="245"/>
      <c r="AI3639" s="245"/>
      <c r="AJ3639" s="245"/>
      <c r="AK3639" s="245"/>
      <c r="AL3639" s="245"/>
      <c r="AM3639" s="245"/>
      <c r="AN3639" s="245"/>
      <c r="AO3639" s="238">
        <v>0.0</v>
      </c>
      <c r="AP3639" s="238">
        <v>0.0</v>
      </c>
      <c r="AQ3639" s="235" t="s">
        <v>632</v>
      </c>
      <c r="AR3639" s="243">
        <v>1.68E11</v>
      </c>
      <c r="AS3639" s="235" t="s">
        <v>26892</v>
      </c>
      <c r="AT3639" s="235" t="s">
        <v>11</v>
      </c>
      <c r="AU3639" s="235" t="s">
        <v>634</v>
      </c>
      <c r="AV3639" s="246" t="s">
        <v>635</v>
      </c>
      <c r="AW3639" s="227"/>
      <c r="AX3639" s="227"/>
      <c r="AY3639" s="227"/>
      <c r="AZ3639" s="227"/>
      <c r="BA3639" s="227"/>
      <c r="BB3639" s="227"/>
      <c r="BC3639" s="227"/>
      <c r="BD3639" s="227"/>
      <c r="BE3639" s="227"/>
      <c r="BF3639" s="227"/>
    </row>
    <row r="3640">
      <c r="A3640" s="235" t="s">
        <v>27289</v>
      </c>
      <c r="C3640" s="235" t="s">
        <v>27290</v>
      </c>
      <c r="D3640" s="235" t="s">
        <v>27291</v>
      </c>
      <c r="E3640" s="243">
        <v>6.52E13</v>
      </c>
      <c r="F3640" s="245"/>
      <c r="G3640" s="235" t="s">
        <v>27292</v>
      </c>
      <c r="H3640" s="235" t="s">
        <v>27293</v>
      </c>
      <c r="I3640" s="235" t="s">
        <v>27293</v>
      </c>
      <c r="J3640" s="235" t="s">
        <v>27294</v>
      </c>
      <c r="K3640" s="235" t="s">
        <v>27295</v>
      </c>
      <c r="N3640" s="235" t="s">
        <v>962</v>
      </c>
      <c r="O3640" s="235" t="s">
        <v>963</v>
      </c>
      <c r="P3640" s="238">
        <v>1.0</v>
      </c>
      <c r="Q3640" s="235" t="s">
        <v>627</v>
      </c>
      <c r="R3640" s="238">
        <v>237.14</v>
      </c>
      <c r="S3640" s="238">
        <v>11.86</v>
      </c>
      <c r="T3640" s="238">
        <v>0.0</v>
      </c>
      <c r="U3640" s="238">
        <v>0.0</v>
      </c>
      <c r="V3640" s="238">
        <v>0.0</v>
      </c>
      <c r="W3640" s="238">
        <v>0.0</v>
      </c>
      <c r="X3640" s="235" t="s">
        <v>628</v>
      </c>
      <c r="Z3640" s="245"/>
      <c r="AA3640" s="245"/>
      <c r="AB3640" s="245"/>
      <c r="AC3640" s="235" t="s">
        <v>3806</v>
      </c>
      <c r="AD3640" s="235" t="s">
        <v>881</v>
      </c>
      <c r="AE3640" s="238">
        <v>753014.0</v>
      </c>
      <c r="AF3640" s="235" t="s">
        <v>631</v>
      </c>
      <c r="AG3640" s="245"/>
      <c r="AH3640" s="245"/>
      <c r="AI3640" s="245"/>
      <c r="AJ3640" s="245"/>
      <c r="AK3640" s="245"/>
      <c r="AL3640" s="245"/>
      <c r="AM3640" s="245"/>
      <c r="AN3640" s="245"/>
      <c r="AO3640" s="238">
        <v>0.0</v>
      </c>
      <c r="AP3640" s="238">
        <v>0.0</v>
      </c>
      <c r="AQ3640" s="235" t="s">
        <v>632</v>
      </c>
      <c r="AR3640" s="243">
        <v>3.71E11</v>
      </c>
      <c r="AS3640" s="235" t="s">
        <v>20529</v>
      </c>
      <c r="AT3640" s="235" t="s">
        <v>11</v>
      </c>
      <c r="AU3640" s="235" t="s">
        <v>634</v>
      </c>
      <c r="AV3640" s="246" t="s">
        <v>635</v>
      </c>
      <c r="AW3640" s="227"/>
      <c r="AX3640" s="227"/>
      <c r="AY3640" s="227"/>
      <c r="AZ3640" s="227"/>
      <c r="BA3640" s="227"/>
      <c r="BB3640" s="227"/>
      <c r="BC3640" s="227"/>
      <c r="BD3640" s="227"/>
      <c r="BE3640" s="227"/>
      <c r="BF3640" s="227"/>
    </row>
    <row r="3641">
      <c r="A3641" s="235" t="s">
        <v>27296</v>
      </c>
      <c r="C3641" s="235" t="s">
        <v>27297</v>
      </c>
      <c r="D3641" s="235" t="s">
        <v>27298</v>
      </c>
      <c r="E3641" s="243">
        <v>6.52E13</v>
      </c>
      <c r="F3641" s="245"/>
      <c r="G3641" s="235" t="s">
        <v>27299</v>
      </c>
      <c r="H3641" s="235" t="s">
        <v>27300</v>
      </c>
      <c r="I3641" s="235" t="s">
        <v>27300</v>
      </c>
      <c r="J3641" s="235" t="s">
        <v>27301</v>
      </c>
      <c r="K3641" s="235" t="s">
        <v>27302</v>
      </c>
      <c r="N3641" s="235" t="s">
        <v>42</v>
      </c>
      <c r="O3641" s="235" t="s">
        <v>204</v>
      </c>
      <c r="P3641" s="238">
        <v>1.0</v>
      </c>
      <c r="Q3641" s="235" t="s">
        <v>627</v>
      </c>
      <c r="R3641" s="238">
        <v>236.19</v>
      </c>
      <c r="S3641" s="238">
        <v>11.81</v>
      </c>
      <c r="T3641" s="238">
        <v>0.0</v>
      </c>
      <c r="U3641" s="238">
        <v>0.0</v>
      </c>
      <c r="V3641" s="238">
        <v>0.0</v>
      </c>
      <c r="W3641" s="238">
        <v>0.0</v>
      </c>
      <c r="X3641" s="235" t="s">
        <v>628</v>
      </c>
      <c r="Z3641" s="245"/>
      <c r="AA3641" s="245"/>
      <c r="AB3641" s="245"/>
      <c r="AC3641" s="235" t="s">
        <v>22667</v>
      </c>
      <c r="AD3641" s="235" t="s">
        <v>666</v>
      </c>
      <c r="AE3641" s="238">
        <v>626117.0</v>
      </c>
      <c r="AF3641" s="235" t="s">
        <v>631</v>
      </c>
      <c r="AG3641" s="245"/>
      <c r="AH3641" s="245"/>
      <c r="AI3641" s="245"/>
      <c r="AJ3641" s="245"/>
      <c r="AK3641" s="245"/>
      <c r="AL3641" s="245"/>
      <c r="AM3641" s="245"/>
      <c r="AN3641" s="245"/>
      <c r="AO3641" s="238">
        <v>0.0</v>
      </c>
      <c r="AP3641" s="238">
        <v>0.0</v>
      </c>
      <c r="AQ3641" s="235" t="s">
        <v>632</v>
      </c>
      <c r="AR3641" s="243">
        <v>3.71E11</v>
      </c>
      <c r="AS3641" s="235" t="s">
        <v>25098</v>
      </c>
      <c r="AT3641" s="235" t="s">
        <v>9</v>
      </c>
      <c r="AU3641" s="235" t="s">
        <v>634</v>
      </c>
      <c r="AV3641" s="246" t="s">
        <v>635</v>
      </c>
      <c r="AW3641" s="227"/>
      <c r="AX3641" s="227"/>
      <c r="AY3641" s="227"/>
      <c r="AZ3641" s="227"/>
      <c r="BA3641" s="227"/>
      <c r="BB3641" s="227"/>
      <c r="BC3641" s="227"/>
      <c r="BD3641" s="227"/>
      <c r="BE3641" s="227"/>
      <c r="BF3641" s="227"/>
    </row>
    <row r="3642">
      <c r="A3642" s="235" t="s">
        <v>27303</v>
      </c>
      <c r="C3642" s="235" t="s">
        <v>27304</v>
      </c>
      <c r="D3642" s="235" t="s">
        <v>27305</v>
      </c>
      <c r="E3642" s="243">
        <v>6.52E13</v>
      </c>
      <c r="F3642" s="245"/>
      <c r="G3642" s="235" t="s">
        <v>27306</v>
      </c>
      <c r="H3642" s="235" t="s">
        <v>27307</v>
      </c>
      <c r="I3642" s="235" t="s">
        <v>27307</v>
      </c>
      <c r="J3642" s="235" t="s">
        <v>27308</v>
      </c>
      <c r="K3642" s="235" t="s">
        <v>27309</v>
      </c>
      <c r="N3642" s="235" t="s">
        <v>42</v>
      </c>
      <c r="O3642" s="235" t="s">
        <v>204</v>
      </c>
      <c r="P3642" s="238">
        <v>1.0</v>
      </c>
      <c r="Q3642" s="235" t="s">
        <v>627</v>
      </c>
      <c r="R3642" s="238">
        <v>236.19</v>
      </c>
      <c r="S3642" s="238">
        <v>11.57</v>
      </c>
      <c r="T3642" s="238">
        <v>0.0</v>
      </c>
      <c r="U3642" s="238">
        <v>0.0</v>
      </c>
      <c r="V3642" s="238">
        <v>0.0</v>
      </c>
      <c r="W3642" s="238">
        <v>0.0</v>
      </c>
      <c r="X3642" s="235" t="s">
        <v>628</v>
      </c>
      <c r="Z3642" s="245"/>
      <c r="AA3642" s="245"/>
      <c r="AB3642" s="245"/>
      <c r="AC3642" s="235" t="s">
        <v>814</v>
      </c>
      <c r="AD3642" s="235" t="s">
        <v>698</v>
      </c>
      <c r="AE3642" s="238">
        <v>500018.0</v>
      </c>
      <c r="AF3642" s="235" t="s">
        <v>631</v>
      </c>
      <c r="AG3642" s="245"/>
      <c r="AH3642" s="245"/>
      <c r="AI3642" s="245"/>
      <c r="AJ3642" s="245"/>
      <c r="AK3642" s="245"/>
      <c r="AL3642" s="245"/>
      <c r="AM3642" s="245"/>
      <c r="AN3642" s="245"/>
      <c r="AO3642" s="238">
        <v>-4.72</v>
      </c>
      <c r="AP3642" s="238">
        <v>0.0</v>
      </c>
      <c r="AQ3642" s="235" t="s">
        <v>632</v>
      </c>
      <c r="AR3642" s="243">
        <v>3.71E11</v>
      </c>
      <c r="AS3642" s="235" t="s">
        <v>23542</v>
      </c>
      <c r="AT3642" s="235" t="s">
        <v>16</v>
      </c>
      <c r="AU3642" s="235" t="s">
        <v>634</v>
      </c>
      <c r="AV3642" s="246" t="s">
        <v>635</v>
      </c>
      <c r="AW3642" s="227"/>
      <c r="AX3642" s="227"/>
      <c r="AY3642" s="227"/>
      <c r="AZ3642" s="227"/>
      <c r="BA3642" s="227"/>
      <c r="BB3642" s="227"/>
      <c r="BC3642" s="227"/>
      <c r="BD3642" s="227"/>
      <c r="BE3642" s="227"/>
      <c r="BF3642" s="227"/>
    </row>
    <row r="3643">
      <c r="A3643" s="235" t="s">
        <v>27310</v>
      </c>
      <c r="C3643" s="235" t="s">
        <v>27311</v>
      </c>
      <c r="D3643" s="235" t="s">
        <v>27312</v>
      </c>
      <c r="E3643" s="243">
        <v>6.52E13</v>
      </c>
      <c r="F3643" s="245"/>
      <c r="G3643" s="235" t="s">
        <v>27313</v>
      </c>
      <c r="H3643" s="235" t="s">
        <v>27314</v>
      </c>
      <c r="I3643" s="235" t="s">
        <v>27314</v>
      </c>
      <c r="J3643" s="235" t="s">
        <v>27315</v>
      </c>
      <c r="K3643" s="235" t="s">
        <v>27316</v>
      </c>
      <c r="N3643" s="235" t="s">
        <v>134</v>
      </c>
      <c r="O3643" s="235" t="s">
        <v>314</v>
      </c>
      <c r="P3643" s="238">
        <v>1.0</v>
      </c>
      <c r="Q3643" s="235" t="s">
        <v>627</v>
      </c>
      <c r="R3643" s="238">
        <v>233.33</v>
      </c>
      <c r="S3643" s="238">
        <v>11.67</v>
      </c>
      <c r="T3643" s="238">
        <v>0.0</v>
      </c>
      <c r="U3643" s="238">
        <v>0.0</v>
      </c>
      <c r="V3643" s="238">
        <v>0.0</v>
      </c>
      <c r="W3643" s="238">
        <v>0.0</v>
      </c>
      <c r="X3643" s="235" t="s">
        <v>628</v>
      </c>
      <c r="Z3643" s="245"/>
      <c r="AA3643" s="245"/>
      <c r="AB3643" s="245"/>
      <c r="AC3643" s="235" t="s">
        <v>27317</v>
      </c>
      <c r="AD3643" s="235" t="s">
        <v>1077</v>
      </c>
      <c r="AE3643" s="238">
        <v>394270.0</v>
      </c>
      <c r="AF3643" s="235" t="s">
        <v>631</v>
      </c>
      <c r="AG3643" s="245"/>
      <c r="AH3643" s="245"/>
      <c r="AI3643" s="245"/>
      <c r="AJ3643" s="245"/>
      <c r="AK3643" s="245"/>
      <c r="AL3643" s="245"/>
      <c r="AM3643" s="245"/>
      <c r="AN3643" s="245"/>
      <c r="AO3643" s="238">
        <v>0.0</v>
      </c>
      <c r="AP3643" s="238">
        <v>0.0</v>
      </c>
      <c r="AQ3643" s="235" t="s">
        <v>632</v>
      </c>
      <c r="AR3643" s="243">
        <v>1.68E11</v>
      </c>
      <c r="AS3643" s="235" t="s">
        <v>25098</v>
      </c>
      <c r="AT3643" s="235" t="s">
        <v>17</v>
      </c>
      <c r="AU3643" s="235" t="s">
        <v>634</v>
      </c>
      <c r="AV3643" s="246" t="s">
        <v>635</v>
      </c>
      <c r="AW3643" s="227"/>
      <c r="AX3643" s="227"/>
      <c r="AY3643" s="227"/>
      <c r="AZ3643" s="227"/>
      <c r="BA3643" s="227"/>
      <c r="BB3643" s="227"/>
      <c r="BC3643" s="227"/>
      <c r="BD3643" s="227"/>
      <c r="BE3643" s="227"/>
      <c r="BF3643" s="227"/>
    </row>
    <row r="3644">
      <c r="A3644" s="235" t="s">
        <v>27318</v>
      </c>
      <c r="C3644" s="235" t="s">
        <v>27319</v>
      </c>
      <c r="D3644" s="235" t="s">
        <v>27320</v>
      </c>
      <c r="E3644" s="243">
        <v>6.52E13</v>
      </c>
      <c r="F3644" s="245"/>
      <c r="G3644" s="235" t="s">
        <v>27321</v>
      </c>
      <c r="H3644" s="235" t="s">
        <v>27322</v>
      </c>
      <c r="I3644" s="235" t="s">
        <v>27323</v>
      </c>
      <c r="J3644" s="235" t="s">
        <v>27324</v>
      </c>
      <c r="K3644" s="235" t="s">
        <v>27325</v>
      </c>
      <c r="N3644" s="235" t="s">
        <v>131</v>
      </c>
      <c r="O3644" s="235" t="s">
        <v>2148</v>
      </c>
      <c r="P3644" s="238">
        <v>1.0</v>
      </c>
      <c r="Q3644" s="235" t="s">
        <v>627</v>
      </c>
      <c r="R3644" s="238">
        <v>237.14</v>
      </c>
      <c r="S3644" s="238">
        <v>11.86</v>
      </c>
      <c r="T3644" s="238">
        <v>0.0</v>
      </c>
      <c r="U3644" s="238">
        <v>0.0</v>
      </c>
      <c r="V3644" s="238">
        <v>0.0</v>
      </c>
      <c r="W3644" s="238">
        <v>0.0</v>
      </c>
      <c r="X3644" s="235" t="s">
        <v>628</v>
      </c>
      <c r="Z3644" s="245"/>
      <c r="AA3644" s="245"/>
      <c r="AB3644" s="245"/>
      <c r="AC3644" s="235" t="s">
        <v>822</v>
      </c>
      <c r="AD3644" s="235" t="s">
        <v>630</v>
      </c>
      <c r="AE3644" s="238">
        <v>201301.0</v>
      </c>
      <c r="AF3644" s="235" t="s">
        <v>631</v>
      </c>
      <c r="AG3644" s="245"/>
      <c r="AH3644" s="245"/>
      <c r="AI3644" s="245"/>
      <c r="AJ3644" s="245"/>
      <c r="AK3644" s="245"/>
      <c r="AL3644" s="245"/>
      <c r="AM3644" s="245"/>
      <c r="AN3644" s="245"/>
      <c r="AO3644" s="238">
        <v>0.0</v>
      </c>
      <c r="AP3644" s="238">
        <v>0.0</v>
      </c>
      <c r="AQ3644" s="235" t="s">
        <v>632</v>
      </c>
      <c r="AR3644" s="243">
        <v>1.68E11</v>
      </c>
      <c r="AS3644" s="235" t="s">
        <v>26892</v>
      </c>
      <c r="AT3644" s="235" t="s">
        <v>13</v>
      </c>
      <c r="AU3644" s="235" t="s">
        <v>634</v>
      </c>
      <c r="AV3644" s="246" t="s">
        <v>635</v>
      </c>
      <c r="AW3644" s="227"/>
      <c r="AX3644" s="227"/>
      <c r="AY3644" s="227"/>
      <c r="AZ3644" s="227"/>
      <c r="BA3644" s="227"/>
      <c r="BB3644" s="227"/>
      <c r="BC3644" s="227"/>
      <c r="BD3644" s="227"/>
      <c r="BE3644" s="227"/>
      <c r="BF3644" s="227"/>
    </row>
    <row r="3645">
      <c r="A3645" s="235" t="s">
        <v>27326</v>
      </c>
      <c r="C3645" s="235" t="s">
        <v>27327</v>
      </c>
      <c r="D3645" s="235" t="s">
        <v>27328</v>
      </c>
      <c r="E3645" s="243">
        <v>6.52E13</v>
      </c>
      <c r="F3645" s="245"/>
      <c r="G3645" s="235" t="s">
        <v>27329</v>
      </c>
      <c r="H3645" s="235" t="s">
        <v>27330</v>
      </c>
      <c r="I3645" s="235" t="s">
        <v>27330</v>
      </c>
      <c r="J3645" s="235" t="s">
        <v>27331</v>
      </c>
      <c r="K3645" s="235" t="s">
        <v>27332</v>
      </c>
      <c r="N3645" s="235" t="s">
        <v>127</v>
      </c>
      <c r="O3645" s="235" t="s">
        <v>794</v>
      </c>
      <c r="P3645" s="238">
        <v>1.0</v>
      </c>
      <c r="Q3645" s="235" t="s">
        <v>627</v>
      </c>
      <c r="R3645" s="238">
        <v>236.19</v>
      </c>
      <c r="S3645" s="238">
        <v>11.81</v>
      </c>
      <c r="T3645" s="238">
        <v>0.0</v>
      </c>
      <c r="U3645" s="238">
        <v>0.0</v>
      </c>
      <c r="V3645" s="238">
        <v>0.0</v>
      </c>
      <c r="W3645" s="238">
        <v>0.0</v>
      </c>
      <c r="X3645" s="235" t="s">
        <v>628</v>
      </c>
      <c r="Z3645" s="245"/>
      <c r="AA3645" s="245"/>
      <c r="AB3645" s="245"/>
      <c r="AC3645" s="235" t="s">
        <v>1514</v>
      </c>
      <c r="AD3645" s="235" t="s">
        <v>1077</v>
      </c>
      <c r="AE3645" s="238">
        <v>380022.0</v>
      </c>
      <c r="AF3645" s="235" t="s">
        <v>631</v>
      </c>
      <c r="AG3645" s="245"/>
      <c r="AH3645" s="245"/>
      <c r="AI3645" s="245"/>
      <c r="AJ3645" s="245"/>
      <c r="AK3645" s="245"/>
      <c r="AL3645" s="245"/>
      <c r="AM3645" s="245"/>
      <c r="AN3645" s="245"/>
      <c r="AO3645" s="238">
        <v>0.0</v>
      </c>
      <c r="AP3645" s="238">
        <v>0.0</v>
      </c>
      <c r="AQ3645" s="235" t="s">
        <v>632</v>
      </c>
      <c r="AR3645" s="243">
        <v>2.02E11</v>
      </c>
      <c r="AS3645" s="235" t="s">
        <v>25098</v>
      </c>
      <c r="AT3645" s="235" t="s">
        <v>16</v>
      </c>
      <c r="AU3645" s="235" t="s">
        <v>634</v>
      </c>
      <c r="AV3645" s="246" t="s">
        <v>635</v>
      </c>
      <c r="AW3645" s="227"/>
      <c r="AX3645" s="227"/>
      <c r="AY3645" s="227"/>
      <c r="AZ3645" s="227"/>
      <c r="BA3645" s="227"/>
      <c r="BB3645" s="227"/>
      <c r="BC3645" s="227"/>
      <c r="BD3645" s="227"/>
      <c r="BE3645" s="227"/>
      <c r="BF3645" s="227"/>
    </row>
    <row r="3646">
      <c r="A3646" s="235" t="s">
        <v>27333</v>
      </c>
      <c r="C3646" s="235" t="s">
        <v>27334</v>
      </c>
      <c r="D3646" s="235" t="s">
        <v>27335</v>
      </c>
      <c r="E3646" s="243">
        <v>6.52E13</v>
      </c>
      <c r="F3646" s="245"/>
      <c r="G3646" s="235" t="s">
        <v>27336</v>
      </c>
      <c r="H3646" s="235" t="s">
        <v>27337</v>
      </c>
      <c r="I3646" s="235" t="s">
        <v>27337</v>
      </c>
      <c r="J3646" s="235" t="s">
        <v>27338</v>
      </c>
      <c r="K3646" s="235" t="s">
        <v>27339</v>
      </c>
      <c r="N3646" s="235" t="s">
        <v>53</v>
      </c>
      <c r="O3646" s="235" t="s">
        <v>512</v>
      </c>
      <c r="P3646" s="238">
        <v>1.0</v>
      </c>
      <c r="Q3646" s="235" t="s">
        <v>627</v>
      </c>
      <c r="R3646" s="238">
        <v>233.33</v>
      </c>
      <c r="S3646" s="238">
        <v>11.32</v>
      </c>
      <c r="T3646" s="238">
        <v>0.0</v>
      </c>
      <c r="U3646" s="238">
        <v>0.0</v>
      </c>
      <c r="V3646" s="238">
        <v>0.0</v>
      </c>
      <c r="W3646" s="238">
        <v>0.0</v>
      </c>
      <c r="X3646" s="235" t="s">
        <v>628</v>
      </c>
      <c r="Z3646" s="245"/>
      <c r="AA3646" s="245"/>
      <c r="AB3646" s="245"/>
      <c r="AC3646" s="235" t="s">
        <v>27340</v>
      </c>
      <c r="AD3646" s="235" t="s">
        <v>666</v>
      </c>
      <c r="AE3646" s="238">
        <v>613006.0</v>
      </c>
      <c r="AF3646" s="235" t="s">
        <v>631</v>
      </c>
      <c r="AG3646" s="245"/>
      <c r="AH3646" s="245"/>
      <c r="AI3646" s="245"/>
      <c r="AJ3646" s="245"/>
      <c r="AK3646" s="245"/>
      <c r="AL3646" s="245"/>
      <c r="AM3646" s="245"/>
      <c r="AN3646" s="245"/>
      <c r="AO3646" s="238">
        <v>-7.0</v>
      </c>
      <c r="AP3646" s="238">
        <v>0.0</v>
      </c>
      <c r="AQ3646" s="235" t="s">
        <v>632</v>
      </c>
      <c r="AR3646" s="243">
        <v>1.68E11</v>
      </c>
      <c r="AS3646" s="235" t="s">
        <v>25098</v>
      </c>
      <c r="AT3646" s="235" t="s">
        <v>11</v>
      </c>
      <c r="AU3646" s="235" t="s">
        <v>634</v>
      </c>
      <c r="AV3646" s="246" t="s">
        <v>635</v>
      </c>
      <c r="AW3646" s="227"/>
      <c r="AX3646" s="227"/>
      <c r="AY3646" s="227"/>
      <c r="AZ3646" s="227"/>
      <c r="BA3646" s="227"/>
      <c r="BB3646" s="227"/>
      <c r="BC3646" s="227"/>
      <c r="BD3646" s="227"/>
      <c r="BE3646" s="227"/>
      <c r="BF3646" s="227"/>
    </row>
    <row r="3647">
      <c r="A3647" s="235" t="s">
        <v>27341</v>
      </c>
      <c r="C3647" s="235" t="s">
        <v>27342</v>
      </c>
      <c r="D3647" s="235" t="s">
        <v>27343</v>
      </c>
      <c r="E3647" s="243">
        <v>6.52E13</v>
      </c>
      <c r="F3647" s="245"/>
      <c r="G3647" s="235" t="s">
        <v>27344</v>
      </c>
      <c r="H3647" s="235" t="s">
        <v>27345</v>
      </c>
      <c r="I3647" s="235" t="s">
        <v>27345</v>
      </c>
      <c r="J3647" s="235" t="s">
        <v>27346</v>
      </c>
      <c r="K3647" s="235" t="s">
        <v>27347</v>
      </c>
      <c r="N3647" s="235" t="s">
        <v>138</v>
      </c>
      <c r="O3647" s="235" t="s">
        <v>675</v>
      </c>
      <c r="P3647" s="238">
        <v>1.0</v>
      </c>
      <c r="Q3647" s="235" t="s">
        <v>627</v>
      </c>
      <c r="R3647" s="238">
        <v>233.33</v>
      </c>
      <c r="S3647" s="238">
        <v>11.67</v>
      </c>
      <c r="T3647" s="238">
        <v>0.0</v>
      </c>
      <c r="U3647" s="238">
        <v>0.0</v>
      </c>
      <c r="V3647" s="238">
        <v>0.0</v>
      </c>
      <c r="W3647" s="238">
        <v>0.0</v>
      </c>
      <c r="X3647" s="235" t="s">
        <v>628</v>
      </c>
      <c r="Z3647" s="245"/>
      <c r="AA3647" s="245"/>
      <c r="AB3647" s="245"/>
      <c r="AC3647" s="235" t="s">
        <v>27348</v>
      </c>
      <c r="AD3647" s="235" t="s">
        <v>854</v>
      </c>
      <c r="AE3647" s="238">
        <v>403708.0</v>
      </c>
      <c r="AF3647" s="235" t="s">
        <v>631</v>
      </c>
      <c r="AG3647" s="245"/>
      <c r="AH3647" s="245"/>
      <c r="AI3647" s="245"/>
      <c r="AJ3647" s="245"/>
      <c r="AK3647" s="245"/>
      <c r="AL3647" s="245"/>
      <c r="AM3647" s="245"/>
      <c r="AN3647" s="245"/>
      <c r="AO3647" s="238">
        <v>0.0</v>
      </c>
      <c r="AP3647" s="238">
        <v>0.0</v>
      </c>
      <c r="AQ3647" s="235" t="s">
        <v>632</v>
      </c>
      <c r="AR3647" s="243">
        <v>1.68E11</v>
      </c>
      <c r="AS3647" s="235" t="s">
        <v>22269</v>
      </c>
      <c r="AT3647" s="235" t="s">
        <v>546</v>
      </c>
      <c r="AU3647" s="235" t="s">
        <v>634</v>
      </c>
      <c r="AV3647" s="246" t="s">
        <v>635</v>
      </c>
      <c r="AW3647" s="227"/>
      <c r="AX3647" s="227"/>
      <c r="AY3647" s="227"/>
      <c r="AZ3647" s="227"/>
      <c r="BA3647" s="227"/>
      <c r="BB3647" s="227"/>
      <c r="BC3647" s="227"/>
      <c r="BD3647" s="227"/>
      <c r="BE3647" s="227"/>
      <c r="BF3647" s="227"/>
    </row>
    <row r="3648">
      <c r="A3648" s="235" t="s">
        <v>27349</v>
      </c>
      <c r="C3648" s="235" t="s">
        <v>27350</v>
      </c>
      <c r="D3648" s="235" t="s">
        <v>27351</v>
      </c>
      <c r="E3648" s="243">
        <v>6.52E13</v>
      </c>
      <c r="F3648" s="245"/>
      <c r="G3648" s="235" t="s">
        <v>27352</v>
      </c>
      <c r="H3648" s="235" t="s">
        <v>27353</v>
      </c>
      <c r="I3648" s="235" t="s">
        <v>27354</v>
      </c>
      <c r="J3648" s="235" t="s">
        <v>27355</v>
      </c>
      <c r="K3648" s="235" t="s">
        <v>27356</v>
      </c>
      <c r="N3648" s="235" t="s">
        <v>51</v>
      </c>
      <c r="O3648" s="235" t="s">
        <v>273</v>
      </c>
      <c r="P3648" s="238">
        <v>1.0</v>
      </c>
      <c r="Q3648" s="235" t="s">
        <v>627</v>
      </c>
      <c r="R3648" s="238">
        <v>246.67</v>
      </c>
      <c r="S3648" s="238">
        <v>12.33</v>
      </c>
      <c r="T3648" s="238">
        <v>0.0</v>
      </c>
      <c r="U3648" s="238">
        <v>0.0</v>
      </c>
      <c r="V3648" s="238">
        <v>0.0</v>
      </c>
      <c r="W3648" s="238">
        <v>0.0</v>
      </c>
      <c r="X3648" s="235" t="s">
        <v>628</v>
      </c>
      <c r="Z3648" s="245"/>
      <c r="AA3648" s="245"/>
      <c r="AB3648" s="245"/>
      <c r="AC3648" s="235" t="s">
        <v>27357</v>
      </c>
      <c r="AD3648" s="235" t="s">
        <v>666</v>
      </c>
      <c r="AE3648" s="238">
        <v>614701.0</v>
      </c>
      <c r="AF3648" s="235" t="s">
        <v>631</v>
      </c>
      <c r="AG3648" s="245"/>
      <c r="AH3648" s="245"/>
      <c r="AI3648" s="245"/>
      <c r="AJ3648" s="245"/>
      <c r="AK3648" s="245"/>
      <c r="AL3648" s="245"/>
      <c r="AM3648" s="245"/>
      <c r="AN3648" s="245"/>
      <c r="AO3648" s="238">
        <v>0.0</v>
      </c>
      <c r="AP3648" s="238">
        <v>0.0</v>
      </c>
      <c r="AQ3648" s="235" t="s">
        <v>632</v>
      </c>
      <c r="AR3648" s="243">
        <v>3.71E11</v>
      </c>
      <c r="AS3648" s="235" t="s">
        <v>23542</v>
      </c>
      <c r="AT3648" s="235" t="s">
        <v>9</v>
      </c>
      <c r="AU3648" s="235" t="s">
        <v>634</v>
      </c>
      <c r="AV3648" s="246" t="s">
        <v>635</v>
      </c>
      <c r="AW3648" s="227"/>
      <c r="AX3648" s="227"/>
      <c r="AY3648" s="227"/>
      <c r="AZ3648" s="227"/>
      <c r="BA3648" s="227"/>
      <c r="BB3648" s="227"/>
      <c r="BC3648" s="227"/>
      <c r="BD3648" s="227"/>
      <c r="BE3648" s="227"/>
      <c r="BF3648" s="227"/>
    </row>
    <row r="3649">
      <c r="A3649" s="235" t="s">
        <v>27358</v>
      </c>
      <c r="C3649" s="235" t="s">
        <v>27359</v>
      </c>
      <c r="D3649" s="235" t="s">
        <v>27360</v>
      </c>
      <c r="E3649" s="243">
        <v>6.51E13</v>
      </c>
      <c r="F3649" s="245"/>
      <c r="G3649" s="235" t="s">
        <v>27361</v>
      </c>
      <c r="H3649" s="235" t="s">
        <v>27362</v>
      </c>
      <c r="I3649" s="235" t="s">
        <v>27362</v>
      </c>
      <c r="J3649" s="235" t="s">
        <v>27363</v>
      </c>
      <c r="K3649" s="235" t="s">
        <v>27364</v>
      </c>
      <c r="N3649" s="235" t="s">
        <v>92</v>
      </c>
      <c r="O3649" s="235" t="s">
        <v>248</v>
      </c>
      <c r="P3649" s="238">
        <v>1.0</v>
      </c>
      <c r="Q3649" s="235" t="s">
        <v>627</v>
      </c>
      <c r="R3649" s="238">
        <v>233.33</v>
      </c>
      <c r="S3649" s="238">
        <v>11.32</v>
      </c>
      <c r="T3649" s="238">
        <v>0.0</v>
      </c>
      <c r="U3649" s="238">
        <v>0.0</v>
      </c>
      <c r="V3649" s="238">
        <v>0.0</v>
      </c>
      <c r="W3649" s="238">
        <v>0.0</v>
      </c>
      <c r="X3649" s="235" t="s">
        <v>628</v>
      </c>
      <c r="Z3649" s="245"/>
      <c r="AA3649" s="245"/>
      <c r="AB3649" s="245"/>
      <c r="AC3649" s="235" t="s">
        <v>9767</v>
      </c>
      <c r="AD3649" s="235" t="s">
        <v>1151</v>
      </c>
      <c r="AE3649" s="238">
        <v>711405.0</v>
      </c>
      <c r="AF3649" s="235" t="s">
        <v>631</v>
      </c>
      <c r="AG3649" s="245"/>
      <c r="AH3649" s="245"/>
      <c r="AI3649" s="245"/>
      <c r="AJ3649" s="245"/>
      <c r="AK3649" s="245"/>
      <c r="AL3649" s="245"/>
      <c r="AM3649" s="245"/>
      <c r="AN3649" s="245"/>
      <c r="AO3649" s="238">
        <v>-7.0</v>
      </c>
      <c r="AP3649" s="238">
        <v>0.0</v>
      </c>
      <c r="AQ3649" s="235" t="s">
        <v>632</v>
      </c>
      <c r="AR3649" s="243">
        <v>3.71E11</v>
      </c>
      <c r="AS3649" s="235" t="s">
        <v>22269</v>
      </c>
      <c r="AT3649" s="235" t="s">
        <v>14</v>
      </c>
      <c r="AU3649" s="235" t="s">
        <v>634</v>
      </c>
      <c r="AV3649" s="246" t="s">
        <v>635</v>
      </c>
      <c r="AW3649" s="227"/>
      <c r="AX3649" s="227"/>
      <c r="AY3649" s="227"/>
      <c r="AZ3649" s="227"/>
      <c r="BA3649" s="227"/>
      <c r="BB3649" s="227"/>
      <c r="BC3649" s="227"/>
      <c r="BD3649" s="227"/>
      <c r="BE3649" s="227"/>
      <c r="BF3649" s="227"/>
    </row>
    <row r="3650">
      <c r="A3650" s="235" t="s">
        <v>27365</v>
      </c>
      <c r="C3650" s="235" t="s">
        <v>27366</v>
      </c>
      <c r="D3650" s="235" t="s">
        <v>27367</v>
      </c>
      <c r="E3650" s="243">
        <v>6.52E13</v>
      </c>
      <c r="F3650" s="245"/>
      <c r="G3650" s="235" t="s">
        <v>27368</v>
      </c>
      <c r="H3650" s="235" t="s">
        <v>27369</v>
      </c>
      <c r="I3650" s="235" t="s">
        <v>27370</v>
      </c>
      <c r="J3650" s="235" t="s">
        <v>27371</v>
      </c>
      <c r="K3650" s="235" t="s">
        <v>27372</v>
      </c>
      <c r="N3650" s="235" t="s">
        <v>49</v>
      </c>
      <c r="O3650" s="235" t="s">
        <v>321</v>
      </c>
      <c r="P3650" s="238">
        <v>1.0</v>
      </c>
      <c r="Q3650" s="235" t="s">
        <v>627</v>
      </c>
      <c r="R3650" s="238">
        <v>233.33</v>
      </c>
      <c r="S3650" s="238">
        <v>11.67</v>
      </c>
      <c r="T3650" s="238">
        <v>0.0</v>
      </c>
      <c r="U3650" s="238">
        <v>0.0</v>
      </c>
      <c r="V3650" s="238">
        <v>0.0</v>
      </c>
      <c r="W3650" s="238">
        <v>0.0</v>
      </c>
      <c r="X3650" s="235" t="s">
        <v>628</v>
      </c>
      <c r="Z3650" s="245"/>
      <c r="AA3650" s="245"/>
      <c r="AB3650" s="245"/>
      <c r="AC3650" s="235" t="s">
        <v>27373</v>
      </c>
      <c r="AD3650" s="235" t="s">
        <v>698</v>
      </c>
      <c r="AE3650" s="238">
        <v>506009.0</v>
      </c>
      <c r="AF3650" s="235" t="s">
        <v>631</v>
      </c>
      <c r="AG3650" s="245"/>
      <c r="AH3650" s="245"/>
      <c r="AI3650" s="245"/>
      <c r="AJ3650" s="245"/>
      <c r="AK3650" s="245"/>
      <c r="AL3650" s="245"/>
      <c r="AM3650" s="245"/>
      <c r="AN3650" s="245"/>
      <c r="AO3650" s="238">
        <v>0.0</v>
      </c>
      <c r="AP3650" s="238">
        <v>0.0</v>
      </c>
      <c r="AQ3650" s="235" t="s">
        <v>632</v>
      </c>
      <c r="AR3650" s="243">
        <v>3.71E11</v>
      </c>
      <c r="AS3650" s="235" t="s">
        <v>22269</v>
      </c>
      <c r="AT3650" s="235" t="s">
        <v>17</v>
      </c>
      <c r="AU3650" s="235" t="s">
        <v>634</v>
      </c>
      <c r="AV3650" s="246" t="s">
        <v>635</v>
      </c>
      <c r="AW3650" s="227"/>
      <c r="AX3650" s="227"/>
      <c r="AY3650" s="227"/>
      <c r="AZ3650" s="227"/>
      <c r="BA3650" s="227"/>
      <c r="BB3650" s="227"/>
      <c r="BC3650" s="227"/>
      <c r="BD3650" s="227"/>
      <c r="BE3650" s="227"/>
      <c r="BF3650" s="227"/>
    </row>
    <row r="3651">
      <c r="A3651" s="235" t="s">
        <v>27374</v>
      </c>
      <c r="C3651" s="235" t="s">
        <v>27375</v>
      </c>
      <c r="D3651" s="235" t="s">
        <v>27376</v>
      </c>
      <c r="E3651" s="243">
        <v>6.51E13</v>
      </c>
      <c r="F3651" s="245"/>
      <c r="G3651" s="235" t="s">
        <v>27377</v>
      </c>
      <c r="H3651" s="235" t="s">
        <v>27378</v>
      </c>
      <c r="I3651" s="235" t="s">
        <v>27378</v>
      </c>
      <c r="J3651" s="235" t="s">
        <v>27379</v>
      </c>
      <c r="K3651" s="235" t="s">
        <v>27380</v>
      </c>
      <c r="N3651" s="235" t="s">
        <v>127</v>
      </c>
      <c r="O3651" s="235" t="s">
        <v>794</v>
      </c>
      <c r="P3651" s="238">
        <v>1.0</v>
      </c>
      <c r="Q3651" s="235" t="s">
        <v>627</v>
      </c>
      <c r="R3651" s="238">
        <v>256.19</v>
      </c>
      <c r="S3651" s="238">
        <v>12.81</v>
      </c>
      <c r="T3651" s="238">
        <v>38.1</v>
      </c>
      <c r="U3651" s="238">
        <v>1.9</v>
      </c>
      <c r="V3651" s="238">
        <v>0.0</v>
      </c>
      <c r="W3651" s="238">
        <v>0.0</v>
      </c>
      <c r="X3651" s="235" t="s">
        <v>628</v>
      </c>
      <c r="Z3651" s="245"/>
      <c r="AA3651" s="245"/>
      <c r="AB3651" s="245"/>
      <c r="AC3651" s="235" t="s">
        <v>4420</v>
      </c>
      <c r="AD3651" s="235" t="s">
        <v>630</v>
      </c>
      <c r="AE3651" s="238">
        <v>208001.0</v>
      </c>
      <c r="AF3651" s="235" t="s">
        <v>631</v>
      </c>
      <c r="AG3651" s="245"/>
      <c r="AH3651" s="245"/>
      <c r="AI3651" s="245"/>
      <c r="AJ3651" s="245"/>
      <c r="AK3651" s="245"/>
      <c r="AL3651" s="245"/>
      <c r="AM3651" s="245"/>
      <c r="AN3651" s="245"/>
      <c r="AO3651" s="238">
        <v>0.0</v>
      </c>
      <c r="AP3651" s="238">
        <v>-38.1</v>
      </c>
      <c r="AQ3651" s="235" t="s">
        <v>632</v>
      </c>
      <c r="AR3651" s="243">
        <v>3.71E11</v>
      </c>
      <c r="AS3651" s="235" t="s">
        <v>22269</v>
      </c>
      <c r="AT3651" s="235" t="s">
        <v>14</v>
      </c>
      <c r="AU3651" s="235" t="s">
        <v>634</v>
      </c>
      <c r="AV3651" s="246" t="s">
        <v>635</v>
      </c>
      <c r="AW3651" s="227"/>
      <c r="AX3651" s="227"/>
      <c r="AY3651" s="227"/>
      <c r="AZ3651" s="227"/>
      <c r="BA3651" s="227"/>
      <c r="BB3651" s="227"/>
      <c r="BC3651" s="227"/>
      <c r="BD3651" s="227"/>
      <c r="BE3651" s="227"/>
      <c r="BF3651" s="227"/>
    </row>
    <row r="3652">
      <c r="A3652" s="235" t="s">
        <v>27381</v>
      </c>
      <c r="C3652" s="235" t="s">
        <v>27382</v>
      </c>
      <c r="D3652" s="235" t="s">
        <v>27383</v>
      </c>
      <c r="E3652" s="243">
        <v>6.52E13</v>
      </c>
      <c r="F3652" s="245"/>
      <c r="G3652" s="235" t="s">
        <v>27384</v>
      </c>
      <c r="H3652" s="235" t="s">
        <v>27385</v>
      </c>
      <c r="I3652" s="235" t="s">
        <v>27385</v>
      </c>
      <c r="J3652" s="235" t="s">
        <v>27386</v>
      </c>
      <c r="K3652" s="235" t="s">
        <v>27387</v>
      </c>
      <c r="N3652" s="235" t="s">
        <v>53</v>
      </c>
      <c r="O3652" s="235" t="s">
        <v>512</v>
      </c>
      <c r="P3652" s="238">
        <v>1.0</v>
      </c>
      <c r="Q3652" s="235" t="s">
        <v>627</v>
      </c>
      <c r="R3652" s="238">
        <v>233.33</v>
      </c>
      <c r="S3652" s="238">
        <v>11.32</v>
      </c>
      <c r="T3652" s="238">
        <v>0.0</v>
      </c>
      <c r="U3652" s="238">
        <v>0.0</v>
      </c>
      <c r="V3652" s="238">
        <v>0.0</v>
      </c>
      <c r="W3652" s="238">
        <v>0.0</v>
      </c>
      <c r="X3652" s="235" t="s">
        <v>628</v>
      </c>
      <c r="Z3652" s="245"/>
      <c r="AA3652" s="245"/>
      <c r="AB3652" s="245"/>
      <c r="AC3652" s="235" t="s">
        <v>757</v>
      </c>
      <c r="AD3652" s="235" t="s">
        <v>666</v>
      </c>
      <c r="AE3652" s="238">
        <v>625020.0</v>
      </c>
      <c r="AF3652" s="235" t="s">
        <v>631</v>
      </c>
      <c r="AG3652" s="245"/>
      <c r="AH3652" s="245"/>
      <c r="AI3652" s="245"/>
      <c r="AJ3652" s="245"/>
      <c r="AK3652" s="245"/>
      <c r="AL3652" s="245"/>
      <c r="AM3652" s="245"/>
      <c r="AN3652" s="245"/>
      <c r="AO3652" s="238">
        <v>-7.0</v>
      </c>
      <c r="AP3652" s="238">
        <v>0.0</v>
      </c>
      <c r="AQ3652" s="235" t="s">
        <v>632</v>
      </c>
      <c r="AR3652" s="243">
        <v>3.71E11</v>
      </c>
      <c r="AS3652" s="235" t="s">
        <v>25098</v>
      </c>
      <c r="AT3652" s="235" t="s">
        <v>9</v>
      </c>
      <c r="AU3652" s="235" t="s">
        <v>634</v>
      </c>
      <c r="AV3652" s="246" t="s">
        <v>635</v>
      </c>
      <c r="AW3652" s="227"/>
      <c r="AX3652" s="227"/>
      <c r="AY3652" s="227"/>
      <c r="AZ3652" s="227"/>
      <c r="BA3652" s="227"/>
      <c r="BB3652" s="227"/>
      <c r="BC3652" s="227"/>
      <c r="BD3652" s="227"/>
      <c r="BE3652" s="227"/>
      <c r="BF3652" s="227"/>
    </row>
    <row r="3653">
      <c r="A3653" s="235" t="s">
        <v>27388</v>
      </c>
      <c r="C3653" s="235" t="s">
        <v>27389</v>
      </c>
      <c r="D3653" s="235" t="s">
        <v>27390</v>
      </c>
      <c r="E3653" s="243">
        <v>6.52E13</v>
      </c>
      <c r="F3653" s="245"/>
      <c r="G3653" s="235" t="s">
        <v>27391</v>
      </c>
      <c r="H3653" s="235" t="s">
        <v>27392</v>
      </c>
      <c r="I3653" s="235" t="s">
        <v>27393</v>
      </c>
      <c r="J3653" s="235" t="s">
        <v>27394</v>
      </c>
      <c r="K3653" s="235" t="s">
        <v>27395</v>
      </c>
      <c r="N3653" s="235" t="s">
        <v>42</v>
      </c>
      <c r="O3653" s="235" t="s">
        <v>204</v>
      </c>
      <c r="P3653" s="238">
        <v>1.0</v>
      </c>
      <c r="Q3653" s="235" t="s">
        <v>627</v>
      </c>
      <c r="R3653" s="238">
        <v>236.2</v>
      </c>
      <c r="S3653" s="238">
        <v>11.45</v>
      </c>
      <c r="T3653" s="238">
        <v>0.0</v>
      </c>
      <c r="U3653" s="238">
        <v>0.0</v>
      </c>
      <c r="V3653" s="238">
        <v>0.0</v>
      </c>
      <c r="W3653" s="238">
        <v>0.0</v>
      </c>
      <c r="X3653" s="235" t="s">
        <v>628</v>
      </c>
      <c r="Z3653" s="245"/>
      <c r="AA3653" s="245"/>
      <c r="AB3653" s="245"/>
      <c r="AC3653" s="235" t="s">
        <v>687</v>
      </c>
      <c r="AD3653" s="235" t="s">
        <v>666</v>
      </c>
      <c r="AE3653" s="238">
        <v>600100.0</v>
      </c>
      <c r="AF3653" s="235" t="s">
        <v>631</v>
      </c>
      <c r="AG3653" s="245"/>
      <c r="AH3653" s="245"/>
      <c r="AI3653" s="245"/>
      <c r="AJ3653" s="245"/>
      <c r="AK3653" s="245"/>
      <c r="AL3653" s="245"/>
      <c r="AM3653" s="245"/>
      <c r="AN3653" s="245"/>
      <c r="AO3653" s="238">
        <v>-7.09</v>
      </c>
      <c r="AP3653" s="238">
        <v>0.0</v>
      </c>
      <c r="AQ3653" s="235" t="s">
        <v>632</v>
      </c>
      <c r="AR3653" s="243">
        <v>3.71E11</v>
      </c>
      <c r="AS3653" s="235" t="s">
        <v>26892</v>
      </c>
      <c r="AT3653" s="235" t="s">
        <v>156</v>
      </c>
      <c r="AU3653" s="235" t="s">
        <v>634</v>
      </c>
      <c r="AV3653" s="246" t="s">
        <v>635</v>
      </c>
      <c r="AW3653" s="227"/>
      <c r="AX3653" s="227"/>
      <c r="AY3653" s="227"/>
      <c r="AZ3653" s="227"/>
      <c r="BA3653" s="227"/>
      <c r="BB3653" s="227"/>
      <c r="BC3653" s="227"/>
      <c r="BD3653" s="227"/>
      <c r="BE3653" s="227"/>
      <c r="BF3653" s="227"/>
    </row>
    <row r="3654">
      <c r="A3654" s="235" t="s">
        <v>27396</v>
      </c>
      <c r="C3654" s="235" t="s">
        <v>27397</v>
      </c>
      <c r="D3654" s="235" t="s">
        <v>27398</v>
      </c>
      <c r="E3654" s="243">
        <v>6.51E13</v>
      </c>
      <c r="F3654" s="245"/>
      <c r="G3654" s="235" t="s">
        <v>27399</v>
      </c>
      <c r="H3654" s="235" t="s">
        <v>27400</v>
      </c>
      <c r="I3654" s="235" t="s">
        <v>27400</v>
      </c>
      <c r="J3654" s="235" t="s">
        <v>27401</v>
      </c>
      <c r="K3654" s="235" t="s">
        <v>27402</v>
      </c>
      <c r="N3654" s="235" t="s">
        <v>134</v>
      </c>
      <c r="O3654" s="235" t="s">
        <v>314</v>
      </c>
      <c r="P3654" s="238">
        <v>1.0</v>
      </c>
      <c r="Q3654" s="235" t="s">
        <v>627</v>
      </c>
      <c r="R3654" s="238">
        <v>233.33</v>
      </c>
      <c r="S3654" s="238">
        <v>11.67</v>
      </c>
      <c r="T3654" s="238">
        <v>0.0</v>
      </c>
      <c r="U3654" s="238">
        <v>0.0</v>
      </c>
      <c r="V3654" s="238">
        <v>0.0</v>
      </c>
      <c r="W3654" s="238">
        <v>0.0</v>
      </c>
      <c r="X3654" s="235" t="s">
        <v>628</v>
      </c>
      <c r="Z3654" s="245"/>
      <c r="AA3654" s="245"/>
      <c r="AB3654" s="245"/>
      <c r="AC3654" s="235" t="s">
        <v>27403</v>
      </c>
      <c r="AD3654" s="235" t="s">
        <v>833</v>
      </c>
      <c r="AE3654" s="238">
        <v>530048.0</v>
      </c>
      <c r="AF3654" s="235" t="s">
        <v>631</v>
      </c>
      <c r="AG3654" s="245"/>
      <c r="AH3654" s="245"/>
      <c r="AI3654" s="245"/>
      <c r="AJ3654" s="245"/>
      <c r="AK3654" s="245"/>
      <c r="AL3654" s="245"/>
      <c r="AM3654" s="245"/>
      <c r="AN3654" s="245"/>
      <c r="AO3654" s="238">
        <v>0.0</v>
      </c>
      <c r="AP3654" s="238">
        <v>0.0</v>
      </c>
      <c r="AQ3654" s="235" t="s">
        <v>632</v>
      </c>
      <c r="AR3654" s="243">
        <v>3.71E11</v>
      </c>
      <c r="AS3654" s="235" t="s">
        <v>22269</v>
      </c>
      <c r="AT3654" s="235" t="s">
        <v>546</v>
      </c>
      <c r="AU3654" s="235" t="s">
        <v>634</v>
      </c>
      <c r="AV3654" s="246" t="s">
        <v>635</v>
      </c>
      <c r="AW3654" s="227"/>
      <c r="AX3654" s="227"/>
      <c r="AY3654" s="227"/>
      <c r="AZ3654" s="227"/>
      <c r="BA3654" s="227"/>
      <c r="BB3654" s="227"/>
      <c r="BC3654" s="227"/>
      <c r="BD3654" s="227"/>
      <c r="BE3654" s="227"/>
      <c r="BF3654" s="227"/>
    </row>
    <row r="3655">
      <c r="A3655" s="235" t="s">
        <v>27404</v>
      </c>
      <c r="C3655" s="235" t="s">
        <v>27405</v>
      </c>
      <c r="D3655" s="235" t="s">
        <v>27406</v>
      </c>
      <c r="E3655" s="243">
        <v>6.51E13</v>
      </c>
      <c r="F3655" s="245"/>
      <c r="G3655" s="235" t="s">
        <v>27407</v>
      </c>
      <c r="H3655" s="235" t="s">
        <v>27408</v>
      </c>
      <c r="I3655" s="235" t="s">
        <v>27409</v>
      </c>
      <c r="J3655" s="235" t="s">
        <v>27410</v>
      </c>
      <c r="K3655" s="235" t="s">
        <v>27411</v>
      </c>
      <c r="N3655" s="235" t="s">
        <v>842</v>
      </c>
      <c r="O3655" s="235" t="s">
        <v>843</v>
      </c>
      <c r="P3655" s="238">
        <v>1.0</v>
      </c>
      <c r="Q3655" s="235" t="s">
        <v>627</v>
      </c>
      <c r="R3655" s="238">
        <v>237.14</v>
      </c>
      <c r="S3655" s="238">
        <v>11.62</v>
      </c>
      <c r="T3655" s="238">
        <v>0.0</v>
      </c>
      <c r="U3655" s="238">
        <v>0.0</v>
      </c>
      <c r="V3655" s="238">
        <v>0.0</v>
      </c>
      <c r="W3655" s="238">
        <v>0.0</v>
      </c>
      <c r="X3655" s="235" t="s">
        <v>628</v>
      </c>
      <c r="Z3655" s="245"/>
      <c r="AA3655" s="245"/>
      <c r="AB3655" s="245"/>
      <c r="AC3655" s="235" t="s">
        <v>2350</v>
      </c>
      <c r="AD3655" s="235" t="s">
        <v>917</v>
      </c>
      <c r="AE3655" s="238">
        <v>342008.0</v>
      </c>
      <c r="AF3655" s="235" t="s">
        <v>631</v>
      </c>
      <c r="AG3655" s="245"/>
      <c r="AH3655" s="245"/>
      <c r="AI3655" s="245"/>
      <c r="AJ3655" s="245"/>
      <c r="AK3655" s="245"/>
      <c r="AL3655" s="245"/>
      <c r="AM3655" s="245"/>
      <c r="AN3655" s="245"/>
      <c r="AO3655" s="238">
        <v>-4.74</v>
      </c>
      <c r="AP3655" s="238">
        <v>0.0</v>
      </c>
      <c r="AQ3655" s="235" t="s">
        <v>632</v>
      </c>
      <c r="AR3655" s="243">
        <v>3.71E11</v>
      </c>
      <c r="AS3655" s="235" t="s">
        <v>25098</v>
      </c>
      <c r="AT3655" s="235" t="s">
        <v>13</v>
      </c>
      <c r="AU3655" s="235" t="s">
        <v>634</v>
      </c>
      <c r="AV3655" s="246" t="s">
        <v>635</v>
      </c>
      <c r="AW3655" s="227"/>
      <c r="AX3655" s="227"/>
      <c r="AY3655" s="227"/>
      <c r="AZ3655" s="227"/>
      <c r="BA3655" s="227"/>
      <c r="BB3655" s="227"/>
      <c r="BC3655" s="227"/>
      <c r="BD3655" s="227"/>
      <c r="BE3655" s="227"/>
      <c r="BF3655" s="227"/>
    </row>
    <row r="3656">
      <c r="A3656" s="235" t="s">
        <v>27412</v>
      </c>
      <c r="C3656" s="235" t="s">
        <v>27413</v>
      </c>
      <c r="D3656" s="235" t="s">
        <v>27414</v>
      </c>
      <c r="E3656" s="243">
        <v>6.51E13</v>
      </c>
      <c r="F3656" s="245"/>
      <c r="G3656" s="235" t="s">
        <v>27415</v>
      </c>
      <c r="H3656" s="235" t="s">
        <v>27416</v>
      </c>
      <c r="I3656" s="235" t="s">
        <v>27416</v>
      </c>
      <c r="J3656" s="235" t="s">
        <v>27417</v>
      </c>
      <c r="K3656" s="235" t="s">
        <v>27418</v>
      </c>
      <c r="N3656" s="235" t="s">
        <v>90</v>
      </c>
      <c r="O3656" s="235" t="s">
        <v>279</v>
      </c>
      <c r="P3656" s="238">
        <v>1.0</v>
      </c>
      <c r="Q3656" s="235" t="s">
        <v>627</v>
      </c>
      <c r="R3656" s="238">
        <v>246.66</v>
      </c>
      <c r="S3656" s="238">
        <v>11.97</v>
      </c>
      <c r="T3656" s="238">
        <v>0.0</v>
      </c>
      <c r="U3656" s="238">
        <v>0.0</v>
      </c>
      <c r="V3656" s="238">
        <v>0.0</v>
      </c>
      <c r="W3656" s="238">
        <v>0.0</v>
      </c>
      <c r="X3656" s="235" t="s">
        <v>628</v>
      </c>
      <c r="Z3656" s="245"/>
      <c r="AA3656" s="245"/>
      <c r="AB3656" s="245"/>
      <c r="AC3656" s="235" t="s">
        <v>27419</v>
      </c>
      <c r="AD3656" s="235" t="s">
        <v>845</v>
      </c>
      <c r="AE3656" s="238">
        <v>402203.0</v>
      </c>
      <c r="AF3656" s="235" t="s">
        <v>631</v>
      </c>
      <c r="AG3656" s="245"/>
      <c r="AH3656" s="245"/>
      <c r="AI3656" s="245"/>
      <c r="AJ3656" s="245"/>
      <c r="AK3656" s="245"/>
      <c r="AL3656" s="245"/>
      <c r="AM3656" s="245"/>
      <c r="AN3656" s="245"/>
      <c r="AO3656" s="238">
        <v>-7.4</v>
      </c>
      <c r="AP3656" s="238">
        <v>0.0</v>
      </c>
      <c r="AQ3656" s="235" t="s">
        <v>632</v>
      </c>
      <c r="AR3656" s="243">
        <v>3.71E11</v>
      </c>
      <c r="AS3656" s="235" t="s">
        <v>22269</v>
      </c>
      <c r="AT3656" s="235" t="s">
        <v>16</v>
      </c>
      <c r="AU3656" s="235" t="s">
        <v>634</v>
      </c>
      <c r="AV3656" s="246" t="s">
        <v>635</v>
      </c>
      <c r="AW3656" s="227"/>
      <c r="AX3656" s="227"/>
      <c r="AY3656" s="227"/>
      <c r="AZ3656" s="227"/>
      <c r="BA3656" s="227"/>
      <c r="BB3656" s="227"/>
      <c r="BC3656" s="227"/>
      <c r="BD3656" s="227"/>
      <c r="BE3656" s="227"/>
      <c r="BF3656" s="227"/>
    </row>
    <row r="3657">
      <c r="A3657" s="235" t="s">
        <v>27420</v>
      </c>
      <c r="C3657" s="235" t="s">
        <v>27421</v>
      </c>
      <c r="D3657" s="235" t="s">
        <v>27422</v>
      </c>
      <c r="E3657" s="243">
        <v>6.52E13</v>
      </c>
      <c r="F3657" s="245"/>
      <c r="G3657" s="235" t="s">
        <v>27423</v>
      </c>
      <c r="H3657" s="235" t="s">
        <v>27424</v>
      </c>
      <c r="I3657" s="235" t="s">
        <v>27425</v>
      </c>
      <c r="J3657" s="235" t="s">
        <v>27426</v>
      </c>
      <c r="K3657" s="235" t="s">
        <v>27427</v>
      </c>
      <c r="N3657" s="235" t="s">
        <v>4</v>
      </c>
      <c r="O3657" s="235" t="s">
        <v>1791</v>
      </c>
      <c r="P3657" s="238">
        <v>1.0</v>
      </c>
      <c r="Q3657" s="235" t="s">
        <v>627</v>
      </c>
      <c r="R3657" s="238">
        <v>256.2</v>
      </c>
      <c r="S3657" s="238">
        <v>12.8</v>
      </c>
      <c r="T3657" s="238">
        <v>0.0</v>
      </c>
      <c r="U3657" s="238">
        <v>0.0</v>
      </c>
      <c r="V3657" s="238">
        <v>0.0</v>
      </c>
      <c r="W3657" s="238">
        <v>0.0</v>
      </c>
      <c r="X3657" s="235" t="s">
        <v>628</v>
      </c>
      <c r="Z3657" s="245"/>
      <c r="AA3657" s="245"/>
      <c r="AB3657" s="245"/>
      <c r="AC3657" s="235" t="s">
        <v>2165</v>
      </c>
      <c r="AD3657" s="235" t="s">
        <v>928</v>
      </c>
      <c r="AE3657" s="238">
        <v>121006.0</v>
      </c>
      <c r="AF3657" s="235" t="s">
        <v>631</v>
      </c>
      <c r="AG3657" s="245"/>
      <c r="AH3657" s="245"/>
      <c r="AI3657" s="245"/>
      <c r="AJ3657" s="245"/>
      <c r="AK3657" s="245"/>
      <c r="AL3657" s="245"/>
      <c r="AM3657" s="245"/>
      <c r="AN3657" s="245"/>
      <c r="AO3657" s="238">
        <v>0.0</v>
      </c>
      <c r="AP3657" s="238">
        <v>0.0</v>
      </c>
      <c r="AQ3657" s="235" t="s">
        <v>632</v>
      </c>
      <c r="AR3657" s="243">
        <v>1.68E11</v>
      </c>
      <c r="AS3657" s="235" t="s">
        <v>27428</v>
      </c>
      <c r="AT3657" s="235" t="s">
        <v>14</v>
      </c>
      <c r="AU3657" s="235" t="s">
        <v>634</v>
      </c>
      <c r="AV3657" s="246" t="s">
        <v>635</v>
      </c>
      <c r="AW3657" s="227"/>
      <c r="AX3657" s="227"/>
      <c r="AY3657" s="227"/>
      <c r="AZ3657" s="227"/>
      <c r="BA3657" s="227"/>
      <c r="BB3657" s="227"/>
      <c r="BC3657" s="227"/>
      <c r="BD3657" s="227"/>
      <c r="BE3657" s="227"/>
      <c r="BF3657" s="227"/>
    </row>
    <row r="3658">
      <c r="A3658" s="235" t="s">
        <v>27429</v>
      </c>
      <c r="C3658" s="235" t="s">
        <v>27430</v>
      </c>
      <c r="D3658" s="235" t="s">
        <v>27431</v>
      </c>
      <c r="E3658" s="243">
        <v>6.52E13</v>
      </c>
      <c r="F3658" s="245"/>
      <c r="G3658" s="235" t="s">
        <v>27432</v>
      </c>
      <c r="H3658" s="235" t="s">
        <v>27433</v>
      </c>
      <c r="I3658" s="235" t="s">
        <v>27434</v>
      </c>
      <c r="J3658" s="235" t="s">
        <v>27435</v>
      </c>
      <c r="K3658" s="235" t="s">
        <v>27436</v>
      </c>
      <c r="N3658" s="235" t="s">
        <v>27</v>
      </c>
      <c r="O3658" s="235" t="s">
        <v>573</v>
      </c>
      <c r="P3658" s="238">
        <v>1.0</v>
      </c>
      <c r="Q3658" s="235" t="s">
        <v>627</v>
      </c>
      <c r="R3658" s="238">
        <v>380.0</v>
      </c>
      <c r="S3658" s="238">
        <v>19.0</v>
      </c>
      <c r="T3658" s="238">
        <v>0.0</v>
      </c>
      <c r="U3658" s="238">
        <v>0.0</v>
      </c>
      <c r="V3658" s="238">
        <v>0.0</v>
      </c>
      <c r="W3658" s="238">
        <v>0.0</v>
      </c>
      <c r="X3658" s="235" t="s">
        <v>628</v>
      </c>
      <c r="Z3658" s="245"/>
      <c r="AA3658" s="245"/>
      <c r="AB3658" s="245"/>
      <c r="AC3658" s="235" t="s">
        <v>1206</v>
      </c>
      <c r="AD3658" s="235" t="s">
        <v>679</v>
      </c>
      <c r="AE3658" s="238">
        <v>560102.0</v>
      </c>
      <c r="AF3658" s="235" t="s">
        <v>631</v>
      </c>
      <c r="AG3658" s="245"/>
      <c r="AH3658" s="245"/>
      <c r="AI3658" s="245"/>
      <c r="AJ3658" s="245"/>
      <c r="AK3658" s="245"/>
      <c r="AL3658" s="245"/>
      <c r="AM3658" s="245"/>
      <c r="AN3658" s="245"/>
      <c r="AO3658" s="238">
        <v>0.0</v>
      </c>
      <c r="AP3658" s="238">
        <v>0.0</v>
      </c>
      <c r="AQ3658" s="235" t="s">
        <v>632</v>
      </c>
      <c r="AR3658" s="243">
        <v>3.71E11</v>
      </c>
      <c r="AS3658" s="235" t="s">
        <v>26892</v>
      </c>
      <c r="AT3658" s="235" t="s">
        <v>11</v>
      </c>
      <c r="AU3658" s="235" t="s">
        <v>634</v>
      </c>
      <c r="AV3658" s="246" t="s">
        <v>635</v>
      </c>
      <c r="AW3658" s="227"/>
      <c r="AX3658" s="227"/>
      <c r="AY3658" s="227"/>
      <c r="AZ3658" s="227"/>
      <c r="BA3658" s="227"/>
      <c r="BB3658" s="227"/>
      <c r="BC3658" s="227"/>
      <c r="BD3658" s="227"/>
      <c r="BE3658" s="227"/>
      <c r="BF3658" s="227"/>
    </row>
    <row r="3659">
      <c r="A3659" s="235" t="s">
        <v>27437</v>
      </c>
      <c r="C3659" s="235" t="s">
        <v>27438</v>
      </c>
      <c r="D3659" s="235" t="s">
        <v>27439</v>
      </c>
      <c r="E3659" s="243">
        <v>6.51E13</v>
      </c>
      <c r="F3659" s="245"/>
      <c r="G3659" s="235" t="s">
        <v>27440</v>
      </c>
      <c r="H3659" s="235" t="s">
        <v>27441</v>
      </c>
      <c r="I3659" s="235" t="s">
        <v>27442</v>
      </c>
      <c r="J3659" s="235" t="s">
        <v>27443</v>
      </c>
      <c r="K3659" s="235" t="s">
        <v>27444</v>
      </c>
      <c r="N3659" s="235" t="s">
        <v>144</v>
      </c>
      <c r="O3659" s="235" t="s">
        <v>232</v>
      </c>
      <c r="P3659" s="238">
        <v>1.0</v>
      </c>
      <c r="Q3659" s="235" t="s">
        <v>627</v>
      </c>
      <c r="R3659" s="238">
        <v>626.67</v>
      </c>
      <c r="S3659" s="238">
        <v>31.33</v>
      </c>
      <c r="T3659" s="238">
        <v>0.0</v>
      </c>
      <c r="U3659" s="238">
        <v>0.0</v>
      </c>
      <c r="V3659" s="238">
        <v>0.0</v>
      </c>
      <c r="W3659" s="238">
        <v>0.0</v>
      </c>
      <c r="X3659" s="235" t="s">
        <v>628</v>
      </c>
      <c r="Z3659" s="245"/>
      <c r="AA3659" s="245"/>
      <c r="AB3659" s="245"/>
      <c r="AC3659" s="235" t="s">
        <v>20375</v>
      </c>
      <c r="AD3659" s="235" t="s">
        <v>833</v>
      </c>
      <c r="AE3659" s="238">
        <v>530041.0</v>
      </c>
      <c r="AF3659" s="235" t="s">
        <v>631</v>
      </c>
      <c r="AG3659" s="245"/>
      <c r="AH3659" s="245"/>
      <c r="AI3659" s="245"/>
      <c r="AJ3659" s="245"/>
      <c r="AK3659" s="245"/>
      <c r="AL3659" s="245"/>
      <c r="AM3659" s="245"/>
      <c r="AN3659" s="245"/>
      <c r="AO3659" s="238">
        <v>0.0</v>
      </c>
      <c r="AP3659" s="238">
        <v>0.0</v>
      </c>
      <c r="AQ3659" s="235" t="s">
        <v>632</v>
      </c>
      <c r="AR3659" s="243">
        <v>3.71E11</v>
      </c>
      <c r="AS3659" s="235" t="s">
        <v>22269</v>
      </c>
      <c r="AT3659" s="235" t="s">
        <v>16</v>
      </c>
      <c r="AU3659" s="235" t="s">
        <v>634</v>
      </c>
      <c r="AV3659" s="246" t="s">
        <v>635</v>
      </c>
      <c r="AW3659" s="227"/>
      <c r="AX3659" s="227"/>
      <c r="AY3659" s="227"/>
      <c r="AZ3659" s="227"/>
      <c r="BA3659" s="227"/>
      <c r="BB3659" s="227"/>
      <c r="BC3659" s="227"/>
      <c r="BD3659" s="227"/>
      <c r="BE3659" s="227"/>
      <c r="BF3659" s="227"/>
    </row>
    <row r="3660">
      <c r="A3660" s="235" t="s">
        <v>27445</v>
      </c>
      <c r="C3660" s="235" t="s">
        <v>27446</v>
      </c>
      <c r="D3660" s="235" t="s">
        <v>27447</v>
      </c>
      <c r="E3660" s="243">
        <v>6.52E13</v>
      </c>
      <c r="F3660" s="245"/>
      <c r="G3660" s="235" t="s">
        <v>27448</v>
      </c>
      <c r="H3660" s="235" t="s">
        <v>27449</v>
      </c>
      <c r="I3660" s="235" t="s">
        <v>27450</v>
      </c>
      <c r="J3660" s="235" t="s">
        <v>27451</v>
      </c>
      <c r="K3660" s="235" t="s">
        <v>27452</v>
      </c>
      <c r="N3660" s="235" t="s">
        <v>154</v>
      </c>
      <c r="O3660" s="235" t="s">
        <v>766</v>
      </c>
      <c r="P3660" s="238">
        <v>1.0</v>
      </c>
      <c r="Q3660" s="235" t="s">
        <v>627</v>
      </c>
      <c r="R3660" s="238">
        <v>423.81</v>
      </c>
      <c r="S3660" s="238">
        <v>21.19</v>
      </c>
      <c r="T3660" s="238">
        <v>0.0</v>
      </c>
      <c r="U3660" s="238">
        <v>0.0</v>
      </c>
      <c r="V3660" s="238">
        <v>0.0</v>
      </c>
      <c r="W3660" s="238">
        <v>0.0</v>
      </c>
      <c r="X3660" s="235" t="s">
        <v>628</v>
      </c>
      <c r="Z3660" s="245"/>
      <c r="AA3660" s="245"/>
      <c r="AB3660" s="245"/>
      <c r="AC3660" s="235" t="s">
        <v>795</v>
      </c>
      <c r="AD3660" s="235" t="s">
        <v>796</v>
      </c>
      <c r="AE3660" s="238">
        <v>110049.0</v>
      </c>
      <c r="AF3660" s="235" t="s">
        <v>631</v>
      </c>
      <c r="AG3660" s="245"/>
      <c r="AH3660" s="245"/>
      <c r="AI3660" s="245"/>
      <c r="AJ3660" s="245"/>
      <c r="AK3660" s="245"/>
      <c r="AL3660" s="245"/>
      <c r="AM3660" s="245"/>
      <c r="AN3660" s="245"/>
      <c r="AO3660" s="238">
        <v>0.0</v>
      </c>
      <c r="AP3660" s="238">
        <v>0.0</v>
      </c>
      <c r="AQ3660" s="235" t="s">
        <v>632</v>
      </c>
      <c r="AR3660" s="243">
        <v>3.71E11</v>
      </c>
      <c r="AS3660" s="235" t="s">
        <v>26892</v>
      </c>
      <c r="AT3660" s="235" t="s">
        <v>533</v>
      </c>
      <c r="AU3660" s="235" t="s">
        <v>634</v>
      </c>
      <c r="AV3660" s="246" t="s">
        <v>635</v>
      </c>
      <c r="AW3660" s="227"/>
      <c r="AX3660" s="227"/>
      <c r="AY3660" s="227"/>
      <c r="AZ3660" s="227"/>
      <c r="BA3660" s="227"/>
      <c r="BB3660" s="227"/>
      <c r="BC3660" s="227"/>
      <c r="BD3660" s="227"/>
      <c r="BE3660" s="227"/>
      <c r="BF3660" s="227"/>
    </row>
    <row r="3661">
      <c r="A3661" s="235" t="s">
        <v>27453</v>
      </c>
      <c r="C3661" s="235" t="s">
        <v>27454</v>
      </c>
      <c r="D3661" s="235" t="s">
        <v>27455</v>
      </c>
      <c r="E3661" s="243">
        <v>6.51E13</v>
      </c>
      <c r="F3661" s="245"/>
      <c r="G3661" s="235" t="s">
        <v>27456</v>
      </c>
      <c r="H3661" s="235" t="s">
        <v>27457</v>
      </c>
      <c r="I3661" s="235" t="s">
        <v>27457</v>
      </c>
      <c r="J3661" s="235" t="s">
        <v>27458</v>
      </c>
      <c r="K3661" s="235" t="s">
        <v>27459</v>
      </c>
      <c r="N3661" s="235" t="s">
        <v>154</v>
      </c>
      <c r="O3661" s="235" t="s">
        <v>766</v>
      </c>
      <c r="P3661" s="238">
        <v>1.0</v>
      </c>
      <c r="Q3661" s="235" t="s">
        <v>627</v>
      </c>
      <c r="R3661" s="238">
        <v>423.8</v>
      </c>
      <c r="S3661" s="238">
        <v>20.56</v>
      </c>
      <c r="T3661" s="238">
        <v>0.0</v>
      </c>
      <c r="U3661" s="238">
        <v>0.0</v>
      </c>
      <c r="V3661" s="238">
        <v>0.0</v>
      </c>
      <c r="W3661" s="238">
        <v>0.0</v>
      </c>
      <c r="X3661" s="235" t="s">
        <v>628</v>
      </c>
      <c r="Z3661" s="245"/>
      <c r="AA3661" s="245"/>
      <c r="AB3661" s="245"/>
      <c r="AC3661" s="235" t="s">
        <v>9278</v>
      </c>
      <c r="AD3661" s="235" t="s">
        <v>1077</v>
      </c>
      <c r="AE3661" s="238">
        <v>390020.0</v>
      </c>
      <c r="AF3661" s="235" t="s">
        <v>631</v>
      </c>
      <c r="AG3661" s="245"/>
      <c r="AH3661" s="245"/>
      <c r="AI3661" s="245"/>
      <c r="AJ3661" s="245"/>
      <c r="AK3661" s="245"/>
      <c r="AL3661" s="245"/>
      <c r="AM3661" s="245"/>
      <c r="AN3661" s="245"/>
      <c r="AO3661" s="238">
        <v>-12.71</v>
      </c>
      <c r="AP3661" s="238">
        <v>0.0</v>
      </c>
      <c r="AQ3661" s="235" t="s">
        <v>632</v>
      </c>
      <c r="AR3661" s="243">
        <v>1.68E11</v>
      </c>
      <c r="AS3661" s="235" t="s">
        <v>26892</v>
      </c>
      <c r="AT3661" s="235" t="s">
        <v>5</v>
      </c>
      <c r="AU3661" s="235" t="s">
        <v>634</v>
      </c>
      <c r="AV3661" s="246" t="s">
        <v>635</v>
      </c>
      <c r="AW3661" s="227"/>
      <c r="AX3661" s="227"/>
      <c r="AY3661" s="227"/>
      <c r="AZ3661" s="227"/>
      <c r="BA3661" s="227"/>
      <c r="BB3661" s="227"/>
      <c r="BC3661" s="227"/>
      <c r="BD3661" s="227"/>
      <c r="BE3661" s="227"/>
      <c r="BF3661" s="227"/>
    </row>
    <row r="3662">
      <c r="A3662" s="235" t="s">
        <v>27460</v>
      </c>
      <c r="C3662" s="235" t="s">
        <v>27461</v>
      </c>
      <c r="D3662" s="235" t="s">
        <v>27462</v>
      </c>
      <c r="E3662" s="243">
        <v>6.52E13</v>
      </c>
      <c r="F3662" s="245"/>
      <c r="G3662" s="235" t="s">
        <v>27463</v>
      </c>
      <c r="H3662" s="235" t="s">
        <v>27464</v>
      </c>
      <c r="I3662" s="235" t="s">
        <v>27464</v>
      </c>
      <c r="J3662" s="235" t="s">
        <v>27465</v>
      </c>
      <c r="K3662" s="235" t="s">
        <v>27466</v>
      </c>
      <c r="N3662" s="235" t="s">
        <v>127</v>
      </c>
      <c r="O3662" s="235" t="s">
        <v>794</v>
      </c>
      <c r="P3662" s="238">
        <v>1.0</v>
      </c>
      <c r="Q3662" s="235" t="s">
        <v>627</v>
      </c>
      <c r="R3662" s="238">
        <v>236.19</v>
      </c>
      <c r="S3662" s="238">
        <v>11.81</v>
      </c>
      <c r="T3662" s="238">
        <v>0.0</v>
      </c>
      <c r="U3662" s="238">
        <v>0.0</v>
      </c>
      <c r="V3662" s="238">
        <v>0.0</v>
      </c>
      <c r="W3662" s="238">
        <v>0.0</v>
      </c>
      <c r="X3662" s="235" t="s">
        <v>628</v>
      </c>
      <c r="Z3662" s="245"/>
      <c r="AA3662" s="245"/>
      <c r="AB3662" s="245"/>
      <c r="AC3662" s="235" t="s">
        <v>795</v>
      </c>
      <c r="AD3662" s="235" t="s">
        <v>796</v>
      </c>
      <c r="AE3662" s="238">
        <v>110085.0</v>
      </c>
      <c r="AF3662" s="235" t="s">
        <v>631</v>
      </c>
      <c r="AG3662" s="245"/>
      <c r="AH3662" s="245"/>
      <c r="AI3662" s="245"/>
      <c r="AJ3662" s="245"/>
      <c r="AK3662" s="245"/>
      <c r="AL3662" s="245"/>
      <c r="AM3662" s="245"/>
      <c r="AN3662" s="245"/>
      <c r="AO3662" s="238">
        <v>0.0</v>
      </c>
      <c r="AP3662" s="238">
        <v>0.0</v>
      </c>
      <c r="AQ3662" s="235" t="s">
        <v>632</v>
      </c>
      <c r="AR3662" s="243">
        <v>1.68E11</v>
      </c>
      <c r="AS3662" s="235" t="s">
        <v>27428</v>
      </c>
      <c r="AT3662" s="235" t="s">
        <v>533</v>
      </c>
      <c r="AU3662" s="235" t="s">
        <v>634</v>
      </c>
      <c r="AV3662" s="246" t="s">
        <v>635</v>
      </c>
      <c r="AW3662" s="227"/>
      <c r="AX3662" s="227"/>
      <c r="AY3662" s="227"/>
      <c r="AZ3662" s="227"/>
      <c r="BA3662" s="227"/>
      <c r="BB3662" s="227"/>
      <c r="BC3662" s="227"/>
      <c r="BD3662" s="227"/>
      <c r="BE3662" s="227"/>
      <c r="BF3662" s="227"/>
    </row>
    <row r="3663">
      <c r="A3663" s="235" t="s">
        <v>27467</v>
      </c>
      <c r="C3663" s="235" t="s">
        <v>27468</v>
      </c>
      <c r="D3663" s="235" t="s">
        <v>27469</v>
      </c>
      <c r="E3663" s="243">
        <v>6.52E13</v>
      </c>
      <c r="F3663" s="245"/>
      <c r="G3663" s="235" t="s">
        <v>27470</v>
      </c>
      <c r="H3663" s="235" t="s">
        <v>27471</v>
      </c>
      <c r="I3663" s="235" t="s">
        <v>27471</v>
      </c>
      <c r="J3663" s="235" t="s">
        <v>27472</v>
      </c>
      <c r="K3663" s="235" t="s">
        <v>27473</v>
      </c>
      <c r="N3663" s="235" t="s">
        <v>98</v>
      </c>
      <c r="O3663" s="235" t="s">
        <v>357</v>
      </c>
      <c r="P3663" s="238">
        <v>1.0</v>
      </c>
      <c r="Q3663" s="235" t="s">
        <v>627</v>
      </c>
      <c r="R3663" s="238">
        <v>237.14</v>
      </c>
      <c r="S3663" s="238">
        <v>11.86</v>
      </c>
      <c r="T3663" s="238">
        <v>0.0</v>
      </c>
      <c r="U3663" s="238">
        <v>0.0</v>
      </c>
      <c r="V3663" s="238">
        <v>0.0</v>
      </c>
      <c r="W3663" s="238">
        <v>0.0</v>
      </c>
      <c r="X3663" s="235" t="s">
        <v>628</v>
      </c>
      <c r="Z3663" s="245"/>
      <c r="AA3663" s="245"/>
      <c r="AB3663" s="245"/>
      <c r="AC3663" s="235" t="s">
        <v>795</v>
      </c>
      <c r="AD3663" s="235" t="s">
        <v>796</v>
      </c>
      <c r="AE3663" s="238">
        <v>110016.0</v>
      </c>
      <c r="AF3663" s="235" t="s">
        <v>631</v>
      </c>
      <c r="AG3663" s="245"/>
      <c r="AH3663" s="245"/>
      <c r="AI3663" s="245"/>
      <c r="AJ3663" s="245"/>
      <c r="AK3663" s="245"/>
      <c r="AL3663" s="245"/>
      <c r="AM3663" s="245"/>
      <c r="AN3663" s="245"/>
      <c r="AO3663" s="238">
        <v>0.0</v>
      </c>
      <c r="AP3663" s="238">
        <v>0.0</v>
      </c>
      <c r="AQ3663" s="235" t="s">
        <v>632</v>
      </c>
      <c r="AR3663" s="243">
        <v>3.71E11</v>
      </c>
      <c r="AS3663" s="235" t="s">
        <v>26892</v>
      </c>
      <c r="AT3663" s="235" t="s">
        <v>533</v>
      </c>
      <c r="AU3663" s="235" t="s">
        <v>634</v>
      </c>
      <c r="AV3663" s="246" t="s">
        <v>635</v>
      </c>
      <c r="AW3663" s="227"/>
      <c r="AX3663" s="227"/>
      <c r="AY3663" s="227"/>
      <c r="AZ3663" s="227"/>
      <c r="BA3663" s="227"/>
      <c r="BB3663" s="227"/>
      <c r="BC3663" s="227"/>
      <c r="BD3663" s="227"/>
      <c r="BE3663" s="227"/>
      <c r="BF3663" s="227"/>
    </row>
    <row r="3664">
      <c r="A3664" s="235" t="s">
        <v>27474</v>
      </c>
      <c r="C3664" s="235" t="s">
        <v>27475</v>
      </c>
      <c r="D3664" s="235" t="s">
        <v>27476</v>
      </c>
      <c r="E3664" s="243">
        <v>6.52E13</v>
      </c>
      <c r="F3664" s="245"/>
      <c r="G3664" s="235" t="s">
        <v>27477</v>
      </c>
      <c r="H3664" s="235" t="s">
        <v>27478</v>
      </c>
      <c r="I3664" s="235" t="s">
        <v>27478</v>
      </c>
      <c r="J3664" s="235" t="s">
        <v>27479</v>
      </c>
      <c r="K3664" s="235" t="s">
        <v>27480</v>
      </c>
      <c r="N3664" s="235" t="s">
        <v>49</v>
      </c>
      <c r="O3664" s="235" t="s">
        <v>321</v>
      </c>
      <c r="P3664" s="238">
        <v>1.0</v>
      </c>
      <c r="Q3664" s="235" t="s">
        <v>627</v>
      </c>
      <c r="R3664" s="238">
        <v>233.34</v>
      </c>
      <c r="S3664" s="238">
        <v>11.32</v>
      </c>
      <c r="T3664" s="238">
        <v>0.0</v>
      </c>
      <c r="U3664" s="238">
        <v>0.0</v>
      </c>
      <c r="V3664" s="238">
        <v>0.0</v>
      </c>
      <c r="W3664" s="238">
        <v>0.0</v>
      </c>
      <c r="X3664" s="235" t="s">
        <v>628</v>
      </c>
      <c r="Z3664" s="245"/>
      <c r="AA3664" s="245"/>
      <c r="AB3664" s="245"/>
      <c r="AC3664" s="235" t="s">
        <v>687</v>
      </c>
      <c r="AD3664" s="235" t="s">
        <v>666</v>
      </c>
      <c r="AE3664" s="238">
        <v>600096.0</v>
      </c>
      <c r="AF3664" s="235" t="s">
        <v>631</v>
      </c>
      <c r="AG3664" s="245"/>
      <c r="AH3664" s="245"/>
      <c r="AI3664" s="245"/>
      <c r="AJ3664" s="245"/>
      <c r="AK3664" s="245"/>
      <c r="AL3664" s="245"/>
      <c r="AM3664" s="245"/>
      <c r="AN3664" s="245"/>
      <c r="AO3664" s="238">
        <v>-7.01</v>
      </c>
      <c r="AP3664" s="238">
        <v>0.0</v>
      </c>
      <c r="AQ3664" s="235" t="s">
        <v>632</v>
      </c>
      <c r="AR3664" s="243">
        <v>3.71E11</v>
      </c>
      <c r="AS3664" s="235" t="s">
        <v>26892</v>
      </c>
      <c r="AT3664" s="235" t="s">
        <v>156</v>
      </c>
      <c r="AU3664" s="235" t="s">
        <v>634</v>
      </c>
      <c r="AV3664" s="246" t="s">
        <v>635</v>
      </c>
      <c r="AW3664" s="227"/>
      <c r="AX3664" s="227"/>
      <c r="AY3664" s="227"/>
      <c r="AZ3664" s="227"/>
      <c r="BA3664" s="227"/>
      <c r="BB3664" s="227"/>
      <c r="BC3664" s="227"/>
      <c r="BD3664" s="227"/>
      <c r="BE3664" s="227"/>
      <c r="BF3664" s="227"/>
    </row>
    <row r="3665">
      <c r="A3665" s="235" t="s">
        <v>27481</v>
      </c>
      <c r="C3665" s="235" t="s">
        <v>27482</v>
      </c>
      <c r="D3665" s="235" t="s">
        <v>27483</v>
      </c>
      <c r="E3665" s="243">
        <v>6.52E13</v>
      </c>
      <c r="F3665" s="245"/>
      <c r="G3665" s="235" t="s">
        <v>27484</v>
      </c>
      <c r="H3665" s="235" t="s">
        <v>27485</v>
      </c>
      <c r="I3665" s="235" t="s">
        <v>27485</v>
      </c>
      <c r="J3665" s="235" t="s">
        <v>27486</v>
      </c>
      <c r="K3665" s="235" t="s">
        <v>27487</v>
      </c>
      <c r="N3665" s="235" t="s">
        <v>154</v>
      </c>
      <c r="O3665" s="235" t="s">
        <v>766</v>
      </c>
      <c r="P3665" s="238">
        <v>1.0</v>
      </c>
      <c r="Q3665" s="235" t="s">
        <v>627</v>
      </c>
      <c r="R3665" s="238">
        <v>423.81</v>
      </c>
      <c r="S3665" s="238">
        <v>20.55</v>
      </c>
      <c r="T3665" s="238">
        <v>0.0</v>
      </c>
      <c r="U3665" s="238">
        <v>0.0</v>
      </c>
      <c r="V3665" s="238">
        <v>0.0</v>
      </c>
      <c r="W3665" s="238">
        <v>0.0</v>
      </c>
      <c r="X3665" s="235" t="s">
        <v>628</v>
      </c>
      <c r="Z3665" s="245"/>
      <c r="AA3665" s="245"/>
      <c r="AB3665" s="245"/>
      <c r="AC3665" s="235" t="s">
        <v>697</v>
      </c>
      <c r="AD3665" s="235" t="s">
        <v>698</v>
      </c>
      <c r="AE3665" s="238">
        <v>500092.0</v>
      </c>
      <c r="AF3665" s="235" t="s">
        <v>631</v>
      </c>
      <c r="AG3665" s="245"/>
      <c r="AH3665" s="245"/>
      <c r="AI3665" s="245"/>
      <c r="AJ3665" s="245"/>
      <c r="AK3665" s="245"/>
      <c r="AL3665" s="245"/>
      <c r="AM3665" s="245"/>
      <c r="AN3665" s="245"/>
      <c r="AO3665" s="238">
        <v>-12.71</v>
      </c>
      <c r="AP3665" s="238">
        <v>0.0</v>
      </c>
      <c r="AQ3665" s="235" t="s">
        <v>632</v>
      </c>
      <c r="AR3665" s="243">
        <v>1.68E11</v>
      </c>
      <c r="AS3665" s="235" t="s">
        <v>25098</v>
      </c>
      <c r="AT3665" s="235" t="s">
        <v>156</v>
      </c>
      <c r="AU3665" s="235" t="s">
        <v>634</v>
      </c>
      <c r="AV3665" s="246" t="s">
        <v>635</v>
      </c>
      <c r="AW3665" s="227"/>
      <c r="AX3665" s="227"/>
      <c r="AY3665" s="227"/>
      <c r="AZ3665" s="227"/>
      <c r="BA3665" s="227"/>
      <c r="BB3665" s="227"/>
      <c r="BC3665" s="227"/>
      <c r="BD3665" s="227"/>
      <c r="BE3665" s="227"/>
      <c r="BF3665" s="227"/>
    </row>
    <row r="3666">
      <c r="A3666" s="235" t="s">
        <v>27488</v>
      </c>
      <c r="C3666" s="235" t="s">
        <v>27489</v>
      </c>
      <c r="D3666" s="235" t="s">
        <v>27490</v>
      </c>
      <c r="E3666" s="243">
        <v>6.51E13</v>
      </c>
      <c r="F3666" s="245"/>
      <c r="G3666" s="235" t="s">
        <v>27491</v>
      </c>
      <c r="H3666" s="235" t="s">
        <v>27492</v>
      </c>
      <c r="I3666" s="235" t="s">
        <v>27492</v>
      </c>
      <c r="J3666" s="235" t="s">
        <v>27493</v>
      </c>
      <c r="K3666" s="235" t="s">
        <v>22299</v>
      </c>
      <c r="N3666" s="235" t="s">
        <v>842</v>
      </c>
      <c r="O3666" s="235" t="s">
        <v>843</v>
      </c>
      <c r="P3666" s="238">
        <v>1.0</v>
      </c>
      <c r="Q3666" s="235" t="s">
        <v>627</v>
      </c>
      <c r="R3666" s="238">
        <v>270.48</v>
      </c>
      <c r="S3666" s="238">
        <v>13.52</v>
      </c>
      <c r="T3666" s="238">
        <v>38.1</v>
      </c>
      <c r="U3666" s="238">
        <v>1.9</v>
      </c>
      <c r="V3666" s="238">
        <v>0.0</v>
      </c>
      <c r="W3666" s="238">
        <v>0.0</v>
      </c>
      <c r="X3666" s="235" t="s">
        <v>628</v>
      </c>
      <c r="Z3666" s="245"/>
      <c r="AA3666" s="245"/>
      <c r="AB3666" s="245"/>
      <c r="AC3666" s="235" t="s">
        <v>4397</v>
      </c>
      <c r="AD3666" s="235" t="s">
        <v>1151</v>
      </c>
      <c r="AE3666" s="238">
        <v>700058.0</v>
      </c>
      <c r="AF3666" s="235" t="s">
        <v>631</v>
      </c>
      <c r="AG3666" s="245"/>
      <c r="AH3666" s="245"/>
      <c r="AI3666" s="245"/>
      <c r="AJ3666" s="245"/>
      <c r="AK3666" s="245"/>
      <c r="AL3666" s="245"/>
      <c r="AM3666" s="245"/>
      <c r="AN3666" s="245"/>
      <c r="AO3666" s="238">
        <v>0.0</v>
      </c>
      <c r="AP3666" s="238">
        <v>-38.1</v>
      </c>
      <c r="AQ3666" s="235" t="s">
        <v>632</v>
      </c>
      <c r="AR3666" s="243">
        <v>3.71E11</v>
      </c>
      <c r="AS3666" s="235" t="s">
        <v>22269</v>
      </c>
      <c r="AT3666" s="235" t="s">
        <v>14</v>
      </c>
      <c r="AU3666" s="235" t="s">
        <v>634</v>
      </c>
      <c r="AV3666" s="246" t="s">
        <v>635</v>
      </c>
      <c r="AW3666" s="227"/>
      <c r="AX3666" s="227"/>
      <c r="AY3666" s="227"/>
      <c r="AZ3666" s="227"/>
      <c r="BA3666" s="227"/>
      <c r="BB3666" s="227"/>
      <c r="BC3666" s="227"/>
      <c r="BD3666" s="227"/>
      <c r="BE3666" s="227"/>
      <c r="BF3666" s="227"/>
    </row>
    <row r="3667">
      <c r="A3667" s="235" t="s">
        <v>27494</v>
      </c>
      <c r="C3667" s="235" t="s">
        <v>27495</v>
      </c>
      <c r="D3667" s="235" t="s">
        <v>27496</v>
      </c>
      <c r="E3667" s="243">
        <v>6.52E13</v>
      </c>
      <c r="F3667" s="245"/>
      <c r="G3667" s="235" t="s">
        <v>27497</v>
      </c>
      <c r="H3667" s="235" t="s">
        <v>27498</v>
      </c>
      <c r="I3667" s="235" t="s">
        <v>27499</v>
      </c>
      <c r="J3667" s="235" t="s">
        <v>27500</v>
      </c>
      <c r="K3667" s="235" t="s">
        <v>27501</v>
      </c>
      <c r="N3667" s="235" t="s">
        <v>92</v>
      </c>
      <c r="O3667" s="235" t="s">
        <v>248</v>
      </c>
      <c r="P3667" s="238">
        <v>1.0</v>
      </c>
      <c r="Q3667" s="235" t="s">
        <v>627</v>
      </c>
      <c r="R3667" s="238">
        <v>233.34</v>
      </c>
      <c r="S3667" s="238">
        <v>11.32</v>
      </c>
      <c r="T3667" s="238">
        <v>0.0</v>
      </c>
      <c r="U3667" s="238">
        <v>0.0</v>
      </c>
      <c r="V3667" s="238">
        <v>0.0</v>
      </c>
      <c r="W3667" s="238">
        <v>0.0</v>
      </c>
      <c r="X3667" s="235" t="s">
        <v>628</v>
      </c>
      <c r="Z3667" s="245"/>
      <c r="AA3667" s="245"/>
      <c r="AB3667" s="245"/>
      <c r="AC3667" s="235" t="s">
        <v>27502</v>
      </c>
      <c r="AD3667" s="235" t="s">
        <v>845</v>
      </c>
      <c r="AE3667" s="238">
        <v>425201.0</v>
      </c>
      <c r="AF3667" s="235" t="s">
        <v>631</v>
      </c>
      <c r="AG3667" s="245"/>
      <c r="AH3667" s="245"/>
      <c r="AI3667" s="245"/>
      <c r="AJ3667" s="245"/>
      <c r="AK3667" s="245"/>
      <c r="AL3667" s="245"/>
      <c r="AM3667" s="245"/>
      <c r="AN3667" s="245"/>
      <c r="AO3667" s="238">
        <v>-7.01</v>
      </c>
      <c r="AP3667" s="238">
        <v>0.0</v>
      </c>
      <c r="AQ3667" s="235" t="s">
        <v>632</v>
      </c>
      <c r="AR3667" s="243">
        <v>1.68E11</v>
      </c>
      <c r="AS3667" s="235" t="s">
        <v>25098</v>
      </c>
      <c r="AT3667" s="235" t="s">
        <v>17</v>
      </c>
      <c r="AU3667" s="235" t="s">
        <v>634</v>
      </c>
      <c r="AV3667" s="246" t="s">
        <v>635</v>
      </c>
      <c r="AW3667" s="227"/>
      <c r="AX3667" s="227"/>
      <c r="AY3667" s="227"/>
      <c r="AZ3667" s="227"/>
      <c r="BA3667" s="227"/>
      <c r="BB3667" s="227"/>
      <c r="BC3667" s="227"/>
      <c r="BD3667" s="227"/>
      <c r="BE3667" s="227"/>
      <c r="BF3667" s="227"/>
    </row>
    <row r="3668">
      <c r="A3668" s="235" t="s">
        <v>27503</v>
      </c>
      <c r="C3668" s="235" t="s">
        <v>27504</v>
      </c>
      <c r="D3668" s="235" t="s">
        <v>27505</v>
      </c>
      <c r="E3668" s="243">
        <v>6.52E13</v>
      </c>
      <c r="F3668" s="245"/>
      <c r="G3668" s="235" t="s">
        <v>27506</v>
      </c>
      <c r="H3668" s="235" t="s">
        <v>27507</v>
      </c>
      <c r="I3668" s="235" t="s">
        <v>27507</v>
      </c>
      <c r="J3668" s="235" t="s">
        <v>27508</v>
      </c>
      <c r="K3668" s="235" t="s">
        <v>27509</v>
      </c>
      <c r="N3668" s="235" t="s">
        <v>42</v>
      </c>
      <c r="O3668" s="235" t="s">
        <v>204</v>
      </c>
      <c r="P3668" s="238">
        <v>1.0</v>
      </c>
      <c r="Q3668" s="235" t="s">
        <v>627</v>
      </c>
      <c r="R3668" s="238">
        <v>236.19</v>
      </c>
      <c r="S3668" s="238">
        <v>11.81</v>
      </c>
      <c r="T3668" s="238">
        <v>0.0</v>
      </c>
      <c r="U3668" s="238">
        <v>0.0</v>
      </c>
      <c r="V3668" s="238">
        <v>0.0</v>
      </c>
      <c r="W3668" s="238">
        <v>0.0</v>
      </c>
      <c r="X3668" s="235" t="s">
        <v>628</v>
      </c>
      <c r="Z3668" s="245"/>
      <c r="AA3668" s="245"/>
      <c r="AB3668" s="245"/>
      <c r="AC3668" s="235" t="s">
        <v>697</v>
      </c>
      <c r="AD3668" s="235" t="s">
        <v>698</v>
      </c>
      <c r="AE3668" s="238">
        <v>500008.0</v>
      </c>
      <c r="AF3668" s="235" t="s">
        <v>631</v>
      </c>
      <c r="AG3668" s="245"/>
      <c r="AH3668" s="245"/>
      <c r="AI3668" s="245"/>
      <c r="AJ3668" s="245"/>
      <c r="AK3668" s="245"/>
      <c r="AL3668" s="245"/>
      <c r="AM3668" s="245"/>
      <c r="AN3668" s="245"/>
      <c r="AO3668" s="238">
        <v>0.0</v>
      </c>
      <c r="AP3668" s="238">
        <v>0.0</v>
      </c>
      <c r="AQ3668" s="235" t="s">
        <v>632</v>
      </c>
      <c r="AR3668" s="243">
        <v>2.02E11</v>
      </c>
      <c r="AS3668" s="235" t="s">
        <v>25098</v>
      </c>
      <c r="AT3668" s="235" t="s">
        <v>156</v>
      </c>
      <c r="AU3668" s="235" t="s">
        <v>634</v>
      </c>
      <c r="AV3668" s="246" t="s">
        <v>635</v>
      </c>
      <c r="AW3668" s="227"/>
      <c r="AX3668" s="227"/>
      <c r="AY3668" s="227"/>
      <c r="AZ3668" s="227"/>
      <c r="BA3668" s="227"/>
      <c r="BB3668" s="227"/>
      <c r="BC3668" s="227"/>
      <c r="BD3668" s="227"/>
      <c r="BE3668" s="227"/>
      <c r="BF3668" s="227"/>
    </row>
    <row r="3669">
      <c r="A3669" s="235" t="s">
        <v>27510</v>
      </c>
      <c r="C3669" s="235" t="s">
        <v>27511</v>
      </c>
      <c r="D3669" s="235" t="s">
        <v>27512</v>
      </c>
      <c r="E3669" s="243">
        <v>6.52E13</v>
      </c>
      <c r="F3669" s="245"/>
      <c r="G3669" s="235" t="s">
        <v>27513</v>
      </c>
      <c r="H3669" s="235" t="s">
        <v>27514</v>
      </c>
      <c r="I3669" s="235" t="s">
        <v>27514</v>
      </c>
      <c r="J3669" s="235" t="s">
        <v>27515</v>
      </c>
      <c r="K3669" s="235" t="s">
        <v>27516</v>
      </c>
      <c r="N3669" s="235" t="s">
        <v>53</v>
      </c>
      <c r="O3669" s="235" t="s">
        <v>512</v>
      </c>
      <c r="P3669" s="238">
        <v>1.0</v>
      </c>
      <c r="Q3669" s="235" t="s">
        <v>627</v>
      </c>
      <c r="R3669" s="238">
        <v>233.34</v>
      </c>
      <c r="S3669" s="238">
        <v>11.66</v>
      </c>
      <c r="T3669" s="238">
        <v>0.0</v>
      </c>
      <c r="U3669" s="238">
        <v>0.0</v>
      </c>
      <c r="V3669" s="238">
        <v>0.0</v>
      </c>
      <c r="W3669" s="238">
        <v>0.0</v>
      </c>
      <c r="X3669" s="235" t="s">
        <v>628</v>
      </c>
      <c r="Z3669" s="245"/>
      <c r="AA3669" s="245"/>
      <c r="AB3669" s="245"/>
      <c r="AC3669" s="235" t="s">
        <v>1671</v>
      </c>
      <c r="AD3669" s="235" t="s">
        <v>666</v>
      </c>
      <c r="AE3669" s="238">
        <v>641006.0</v>
      </c>
      <c r="AF3669" s="235" t="s">
        <v>631</v>
      </c>
      <c r="AG3669" s="245"/>
      <c r="AH3669" s="245"/>
      <c r="AI3669" s="245"/>
      <c r="AJ3669" s="245"/>
      <c r="AK3669" s="245"/>
      <c r="AL3669" s="245"/>
      <c r="AM3669" s="245"/>
      <c r="AN3669" s="245"/>
      <c r="AO3669" s="238">
        <v>0.0</v>
      </c>
      <c r="AP3669" s="238">
        <v>0.0</v>
      </c>
      <c r="AQ3669" s="235" t="s">
        <v>632</v>
      </c>
      <c r="AR3669" s="243">
        <v>3.71E11</v>
      </c>
      <c r="AS3669" s="235" t="s">
        <v>26892</v>
      </c>
      <c r="AT3669" s="235" t="s">
        <v>155</v>
      </c>
      <c r="AU3669" s="235" t="s">
        <v>634</v>
      </c>
      <c r="AV3669" s="246" t="s">
        <v>635</v>
      </c>
      <c r="AW3669" s="227"/>
      <c r="AX3669" s="227"/>
      <c r="AY3669" s="227"/>
      <c r="AZ3669" s="227"/>
      <c r="BA3669" s="227"/>
      <c r="BB3669" s="227"/>
      <c r="BC3669" s="227"/>
      <c r="BD3669" s="227"/>
      <c r="BE3669" s="227"/>
      <c r="BF3669" s="227"/>
    </row>
    <row r="3670">
      <c r="A3670" s="235" t="s">
        <v>27517</v>
      </c>
      <c r="C3670" s="235" t="s">
        <v>27518</v>
      </c>
      <c r="D3670" s="235" t="s">
        <v>27519</v>
      </c>
      <c r="E3670" s="243">
        <v>6.52E13</v>
      </c>
      <c r="F3670" s="245"/>
      <c r="G3670" s="235" t="s">
        <v>27520</v>
      </c>
      <c r="H3670" s="235" t="s">
        <v>27521</v>
      </c>
      <c r="I3670" s="235" t="s">
        <v>27521</v>
      </c>
      <c r="J3670" s="235" t="s">
        <v>27522</v>
      </c>
      <c r="K3670" s="235" t="s">
        <v>25033</v>
      </c>
      <c r="N3670" s="235" t="s">
        <v>42</v>
      </c>
      <c r="O3670" s="235" t="s">
        <v>204</v>
      </c>
      <c r="P3670" s="238">
        <v>1.0</v>
      </c>
      <c r="Q3670" s="235" t="s">
        <v>627</v>
      </c>
      <c r="R3670" s="238">
        <v>236.2</v>
      </c>
      <c r="S3670" s="238">
        <v>11.8</v>
      </c>
      <c r="T3670" s="238">
        <v>0.0</v>
      </c>
      <c r="U3670" s="238">
        <v>0.0</v>
      </c>
      <c r="V3670" s="238">
        <v>0.0</v>
      </c>
      <c r="W3670" s="238">
        <v>0.0</v>
      </c>
      <c r="X3670" s="235" t="s">
        <v>628</v>
      </c>
      <c r="Z3670" s="245"/>
      <c r="AA3670" s="245"/>
      <c r="AB3670" s="245"/>
      <c r="AC3670" s="235" t="s">
        <v>1671</v>
      </c>
      <c r="AD3670" s="235" t="s">
        <v>666</v>
      </c>
      <c r="AE3670" s="238">
        <v>641006.0</v>
      </c>
      <c r="AF3670" s="235" t="s">
        <v>631</v>
      </c>
      <c r="AG3670" s="245"/>
      <c r="AH3670" s="245"/>
      <c r="AI3670" s="245"/>
      <c r="AJ3670" s="245"/>
      <c r="AK3670" s="245"/>
      <c r="AL3670" s="245"/>
      <c r="AM3670" s="245"/>
      <c r="AN3670" s="245"/>
      <c r="AO3670" s="238">
        <v>0.0</v>
      </c>
      <c r="AP3670" s="238">
        <v>0.0</v>
      </c>
      <c r="AQ3670" s="235" t="s">
        <v>632</v>
      </c>
      <c r="AR3670" s="243">
        <v>3.71E11</v>
      </c>
      <c r="AS3670" s="235" t="s">
        <v>26892</v>
      </c>
      <c r="AT3670" s="235" t="s">
        <v>155</v>
      </c>
      <c r="AU3670" s="235" t="s">
        <v>634</v>
      </c>
      <c r="AV3670" s="246" t="s">
        <v>635</v>
      </c>
      <c r="AW3670" s="227"/>
      <c r="AX3670" s="227"/>
      <c r="AY3670" s="227"/>
      <c r="AZ3670" s="227"/>
      <c r="BA3670" s="227"/>
      <c r="BB3670" s="227"/>
      <c r="BC3670" s="227"/>
      <c r="BD3670" s="227"/>
      <c r="BE3670" s="227"/>
      <c r="BF3670" s="227"/>
    </row>
    <row r="3671">
      <c r="A3671" s="235" t="s">
        <v>27523</v>
      </c>
      <c r="C3671" s="235" t="s">
        <v>27524</v>
      </c>
      <c r="D3671" s="235" t="s">
        <v>27525</v>
      </c>
      <c r="E3671" s="243">
        <v>6.52E13</v>
      </c>
      <c r="F3671" s="245"/>
      <c r="G3671" s="235" t="s">
        <v>27526</v>
      </c>
      <c r="H3671" s="235" t="s">
        <v>27527</v>
      </c>
      <c r="I3671" s="235" t="s">
        <v>27527</v>
      </c>
      <c r="J3671" s="235" t="s">
        <v>27528</v>
      </c>
      <c r="K3671" s="235" t="s">
        <v>27529</v>
      </c>
      <c r="N3671" s="235" t="s">
        <v>962</v>
      </c>
      <c r="O3671" s="235" t="s">
        <v>963</v>
      </c>
      <c r="P3671" s="238">
        <v>1.0</v>
      </c>
      <c r="Q3671" s="235" t="s">
        <v>627</v>
      </c>
      <c r="R3671" s="238">
        <v>237.14</v>
      </c>
      <c r="S3671" s="238">
        <v>11.86</v>
      </c>
      <c r="T3671" s="238">
        <v>0.0</v>
      </c>
      <c r="U3671" s="238">
        <v>0.0</v>
      </c>
      <c r="V3671" s="238">
        <v>0.0</v>
      </c>
      <c r="W3671" s="238">
        <v>0.0</v>
      </c>
      <c r="X3671" s="235" t="s">
        <v>628</v>
      </c>
      <c r="Z3671" s="245"/>
      <c r="AA3671" s="245"/>
      <c r="AB3671" s="245"/>
      <c r="AC3671" s="235" t="s">
        <v>1998</v>
      </c>
      <c r="AD3671" s="235" t="s">
        <v>928</v>
      </c>
      <c r="AE3671" s="238">
        <v>121001.0</v>
      </c>
      <c r="AF3671" s="235" t="s">
        <v>631</v>
      </c>
      <c r="AG3671" s="245"/>
      <c r="AH3671" s="245"/>
      <c r="AI3671" s="245"/>
      <c r="AJ3671" s="245"/>
      <c r="AK3671" s="245"/>
      <c r="AL3671" s="245"/>
      <c r="AM3671" s="245"/>
      <c r="AN3671" s="245"/>
      <c r="AO3671" s="238">
        <v>0.0</v>
      </c>
      <c r="AP3671" s="238">
        <v>0.0</v>
      </c>
      <c r="AQ3671" s="235" t="s">
        <v>632</v>
      </c>
      <c r="AR3671" s="243">
        <v>1.68E11</v>
      </c>
      <c r="AS3671" s="235" t="s">
        <v>27428</v>
      </c>
      <c r="AT3671" s="235" t="s">
        <v>533</v>
      </c>
      <c r="AU3671" s="235" t="s">
        <v>634</v>
      </c>
      <c r="AV3671" s="246" t="s">
        <v>635</v>
      </c>
      <c r="AW3671" s="227"/>
      <c r="AX3671" s="227"/>
      <c r="AY3671" s="227"/>
      <c r="AZ3671" s="227"/>
      <c r="BA3671" s="227"/>
      <c r="BB3671" s="227"/>
      <c r="BC3671" s="227"/>
      <c r="BD3671" s="227"/>
      <c r="BE3671" s="227"/>
      <c r="BF3671" s="227"/>
    </row>
    <row r="3672">
      <c r="A3672" s="235" t="s">
        <v>27530</v>
      </c>
      <c r="C3672" s="235" t="s">
        <v>27531</v>
      </c>
      <c r="D3672" s="235" t="s">
        <v>27532</v>
      </c>
      <c r="E3672" s="243">
        <v>6.52E13</v>
      </c>
      <c r="F3672" s="245"/>
      <c r="G3672" s="235" t="s">
        <v>27533</v>
      </c>
      <c r="H3672" s="235" t="s">
        <v>27534</v>
      </c>
      <c r="I3672" s="235" t="s">
        <v>27534</v>
      </c>
      <c r="J3672" s="235" t="s">
        <v>27535</v>
      </c>
      <c r="K3672" s="235" t="s">
        <v>27536</v>
      </c>
      <c r="N3672" s="235" t="s">
        <v>42</v>
      </c>
      <c r="O3672" s="235" t="s">
        <v>204</v>
      </c>
      <c r="P3672" s="238">
        <v>1.0</v>
      </c>
      <c r="Q3672" s="235" t="s">
        <v>627</v>
      </c>
      <c r="R3672" s="238">
        <v>236.19</v>
      </c>
      <c r="S3672" s="238">
        <v>11.81</v>
      </c>
      <c r="T3672" s="238">
        <v>0.0</v>
      </c>
      <c r="U3672" s="238">
        <v>0.0</v>
      </c>
      <c r="V3672" s="238">
        <v>0.0</v>
      </c>
      <c r="W3672" s="238">
        <v>0.0</v>
      </c>
      <c r="X3672" s="235" t="s">
        <v>628</v>
      </c>
      <c r="Z3672" s="245"/>
      <c r="AA3672" s="245"/>
      <c r="AB3672" s="245"/>
      <c r="AC3672" s="235" t="s">
        <v>697</v>
      </c>
      <c r="AD3672" s="235" t="s">
        <v>698</v>
      </c>
      <c r="AE3672" s="238">
        <v>500050.0</v>
      </c>
      <c r="AF3672" s="235" t="s">
        <v>631</v>
      </c>
      <c r="AG3672" s="245"/>
      <c r="AH3672" s="245"/>
      <c r="AI3672" s="245"/>
      <c r="AJ3672" s="245"/>
      <c r="AK3672" s="245"/>
      <c r="AL3672" s="245"/>
      <c r="AM3672" s="245"/>
      <c r="AN3672" s="245"/>
      <c r="AO3672" s="238">
        <v>0.0</v>
      </c>
      <c r="AP3672" s="238">
        <v>0.0</v>
      </c>
      <c r="AQ3672" s="235" t="s">
        <v>632</v>
      </c>
      <c r="AR3672" s="243">
        <v>1.68E11</v>
      </c>
      <c r="AS3672" s="235" t="s">
        <v>25098</v>
      </c>
      <c r="AT3672" s="235" t="s">
        <v>156</v>
      </c>
      <c r="AU3672" s="235" t="s">
        <v>634</v>
      </c>
      <c r="AV3672" s="246" t="s">
        <v>635</v>
      </c>
      <c r="AW3672" s="227"/>
      <c r="AX3672" s="227"/>
      <c r="AY3672" s="227"/>
      <c r="AZ3672" s="227"/>
      <c r="BA3672" s="227"/>
      <c r="BB3672" s="227"/>
      <c r="BC3672" s="227"/>
      <c r="BD3672" s="227"/>
      <c r="BE3672" s="227"/>
      <c r="BF3672" s="227"/>
    </row>
    <row r="3673">
      <c r="A3673" s="235" t="s">
        <v>27537</v>
      </c>
      <c r="C3673" s="235" t="s">
        <v>27538</v>
      </c>
      <c r="D3673" s="235" t="s">
        <v>27539</v>
      </c>
      <c r="E3673" s="243">
        <v>6.51E13</v>
      </c>
      <c r="F3673" s="245"/>
      <c r="G3673" s="235" t="s">
        <v>27540</v>
      </c>
      <c r="H3673" s="235" t="s">
        <v>27541</v>
      </c>
      <c r="I3673" s="235" t="s">
        <v>27542</v>
      </c>
      <c r="J3673" s="235" t="s">
        <v>27543</v>
      </c>
      <c r="K3673" s="235" t="s">
        <v>27544</v>
      </c>
      <c r="N3673" s="235" t="s">
        <v>136</v>
      </c>
      <c r="O3673" s="235" t="s">
        <v>256</v>
      </c>
      <c r="P3673" s="238">
        <v>1.0</v>
      </c>
      <c r="Q3673" s="235" t="s">
        <v>627</v>
      </c>
      <c r="R3673" s="238">
        <v>237.14</v>
      </c>
      <c r="S3673" s="238">
        <v>11.86</v>
      </c>
      <c r="T3673" s="238">
        <v>0.0</v>
      </c>
      <c r="U3673" s="238">
        <v>0.0</v>
      </c>
      <c r="V3673" s="238">
        <v>0.0</v>
      </c>
      <c r="W3673" s="238">
        <v>0.0</v>
      </c>
      <c r="X3673" s="235" t="s">
        <v>628</v>
      </c>
      <c r="Z3673" s="245"/>
      <c r="AA3673" s="245"/>
      <c r="AB3673" s="245"/>
      <c r="AC3673" s="235" t="s">
        <v>1887</v>
      </c>
      <c r="AD3673" s="235" t="s">
        <v>679</v>
      </c>
      <c r="AE3673" s="238">
        <v>560103.0</v>
      </c>
      <c r="AF3673" s="235" t="s">
        <v>631</v>
      </c>
      <c r="AG3673" s="245"/>
      <c r="AH3673" s="245"/>
      <c r="AI3673" s="245"/>
      <c r="AJ3673" s="245"/>
      <c r="AK3673" s="245"/>
      <c r="AL3673" s="245"/>
      <c r="AM3673" s="245"/>
      <c r="AN3673" s="245"/>
      <c r="AO3673" s="238">
        <v>0.0</v>
      </c>
      <c r="AP3673" s="238">
        <v>0.0</v>
      </c>
      <c r="AQ3673" s="235" t="s">
        <v>632</v>
      </c>
      <c r="AR3673" s="243">
        <v>3.71E11</v>
      </c>
      <c r="AS3673" s="235" t="s">
        <v>26892</v>
      </c>
      <c r="AT3673" s="235" t="s">
        <v>11</v>
      </c>
      <c r="AU3673" s="235" t="s">
        <v>634</v>
      </c>
      <c r="AV3673" s="246" t="s">
        <v>635</v>
      </c>
      <c r="AW3673" s="227"/>
      <c r="AX3673" s="227"/>
      <c r="AY3673" s="227"/>
      <c r="AZ3673" s="227"/>
      <c r="BA3673" s="227"/>
      <c r="BB3673" s="227"/>
      <c r="BC3673" s="227"/>
      <c r="BD3673" s="227"/>
      <c r="BE3673" s="227"/>
      <c r="BF3673" s="227"/>
    </row>
    <row r="3674">
      <c r="A3674" s="235" t="s">
        <v>27545</v>
      </c>
      <c r="C3674" s="235" t="s">
        <v>27546</v>
      </c>
      <c r="D3674" s="235" t="s">
        <v>27547</v>
      </c>
      <c r="E3674" s="243">
        <v>6.52E13</v>
      </c>
      <c r="F3674" s="245"/>
      <c r="G3674" s="235" t="s">
        <v>27548</v>
      </c>
      <c r="H3674" s="235" t="s">
        <v>27549</v>
      </c>
      <c r="I3674" s="235" t="s">
        <v>27549</v>
      </c>
      <c r="J3674" s="235" t="s">
        <v>27394</v>
      </c>
      <c r="K3674" s="235" t="s">
        <v>27550</v>
      </c>
      <c r="N3674" s="235" t="s">
        <v>53</v>
      </c>
      <c r="O3674" s="235" t="s">
        <v>512</v>
      </c>
      <c r="P3674" s="238">
        <v>1.0</v>
      </c>
      <c r="Q3674" s="235" t="s">
        <v>627</v>
      </c>
      <c r="R3674" s="238">
        <v>233.34</v>
      </c>
      <c r="S3674" s="238">
        <v>11.32</v>
      </c>
      <c r="T3674" s="238">
        <v>0.0</v>
      </c>
      <c r="U3674" s="238">
        <v>0.0</v>
      </c>
      <c r="V3674" s="238">
        <v>0.0</v>
      </c>
      <c r="W3674" s="238">
        <v>0.0</v>
      </c>
      <c r="X3674" s="235" t="s">
        <v>628</v>
      </c>
      <c r="Z3674" s="245"/>
      <c r="AA3674" s="245"/>
      <c r="AB3674" s="245"/>
      <c r="AC3674" s="235" t="s">
        <v>687</v>
      </c>
      <c r="AD3674" s="235" t="s">
        <v>666</v>
      </c>
      <c r="AE3674" s="238">
        <v>600092.0</v>
      </c>
      <c r="AF3674" s="235" t="s">
        <v>631</v>
      </c>
      <c r="AG3674" s="245"/>
      <c r="AH3674" s="245"/>
      <c r="AI3674" s="245"/>
      <c r="AJ3674" s="245"/>
      <c r="AK3674" s="245"/>
      <c r="AL3674" s="245"/>
      <c r="AM3674" s="245"/>
      <c r="AN3674" s="245"/>
      <c r="AO3674" s="238">
        <v>-7.01</v>
      </c>
      <c r="AP3674" s="238">
        <v>0.0</v>
      </c>
      <c r="AQ3674" s="235" t="s">
        <v>632</v>
      </c>
      <c r="AR3674" s="243">
        <v>3.71E11</v>
      </c>
      <c r="AS3674" s="235" t="s">
        <v>26892</v>
      </c>
      <c r="AT3674" s="235" t="s">
        <v>156</v>
      </c>
      <c r="AU3674" s="235" t="s">
        <v>634</v>
      </c>
      <c r="AV3674" s="246" t="s">
        <v>635</v>
      </c>
      <c r="AW3674" s="227"/>
      <c r="AX3674" s="227"/>
      <c r="AY3674" s="227"/>
      <c r="AZ3674" s="227"/>
      <c r="BA3674" s="227"/>
      <c r="BB3674" s="227"/>
      <c r="BC3674" s="227"/>
      <c r="BD3674" s="227"/>
      <c r="BE3674" s="227"/>
      <c r="BF3674" s="227"/>
    </row>
    <row r="3675">
      <c r="A3675" s="235" t="s">
        <v>27551</v>
      </c>
      <c r="C3675" s="235" t="s">
        <v>27552</v>
      </c>
      <c r="D3675" s="235" t="s">
        <v>27553</v>
      </c>
      <c r="E3675" s="243">
        <v>6.52E13</v>
      </c>
      <c r="F3675" s="245"/>
      <c r="G3675" s="235" t="s">
        <v>27554</v>
      </c>
      <c r="H3675" s="235" t="s">
        <v>27555</v>
      </c>
      <c r="I3675" s="235" t="s">
        <v>27556</v>
      </c>
      <c r="J3675" s="235" t="s">
        <v>27557</v>
      </c>
      <c r="K3675" s="235" t="s">
        <v>27558</v>
      </c>
      <c r="N3675" s="235" t="s">
        <v>75</v>
      </c>
      <c r="O3675" s="235" t="s">
        <v>2108</v>
      </c>
      <c r="P3675" s="238">
        <v>1.0</v>
      </c>
      <c r="Q3675" s="235" t="s">
        <v>627</v>
      </c>
      <c r="R3675" s="238">
        <v>335.24</v>
      </c>
      <c r="S3675" s="238">
        <v>16.26</v>
      </c>
      <c r="T3675" s="238">
        <v>0.0</v>
      </c>
      <c r="U3675" s="238">
        <v>0.0</v>
      </c>
      <c r="V3675" s="238">
        <v>0.0</v>
      </c>
      <c r="W3675" s="238">
        <v>0.0</v>
      </c>
      <c r="X3675" s="235" t="s">
        <v>628</v>
      </c>
      <c r="Z3675" s="245"/>
      <c r="AA3675" s="245"/>
      <c r="AB3675" s="245"/>
      <c r="AC3675" s="235" t="s">
        <v>1320</v>
      </c>
      <c r="AD3675" s="235" t="s">
        <v>666</v>
      </c>
      <c r="AE3675" s="238">
        <v>600050.0</v>
      </c>
      <c r="AF3675" s="235" t="s">
        <v>631</v>
      </c>
      <c r="AG3675" s="245"/>
      <c r="AH3675" s="245"/>
      <c r="AI3675" s="245"/>
      <c r="AJ3675" s="245"/>
      <c r="AK3675" s="245"/>
      <c r="AL3675" s="245"/>
      <c r="AM3675" s="245"/>
      <c r="AN3675" s="245"/>
      <c r="AO3675" s="238">
        <v>-10.06</v>
      </c>
      <c r="AP3675" s="238">
        <v>0.0</v>
      </c>
      <c r="AQ3675" s="235" t="s">
        <v>632</v>
      </c>
      <c r="AR3675" s="243">
        <v>3.71E11</v>
      </c>
      <c r="AS3675" s="235" t="s">
        <v>26892</v>
      </c>
      <c r="AT3675" s="235" t="s">
        <v>156</v>
      </c>
      <c r="AU3675" s="235" t="s">
        <v>634</v>
      </c>
      <c r="AV3675" s="246" t="s">
        <v>635</v>
      </c>
      <c r="AW3675" s="227"/>
      <c r="AX3675" s="227"/>
      <c r="AY3675" s="227"/>
      <c r="AZ3675" s="227"/>
      <c r="BA3675" s="227"/>
      <c r="BB3675" s="227"/>
      <c r="BC3675" s="227"/>
      <c r="BD3675" s="227"/>
      <c r="BE3675" s="227"/>
      <c r="BF3675" s="227"/>
    </row>
    <row r="3676">
      <c r="A3676" s="235" t="s">
        <v>27559</v>
      </c>
      <c r="C3676" s="235" t="s">
        <v>27560</v>
      </c>
      <c r="D3676" s="235" t="s">
        <v>27561</v>
      </c>
      <c r="E3676" s="243">
        <v>6.51E13</v>
      </c>
      <c r="F3676" s="245"/>
      <c r="G3676" s="235" t="s">
        <v>27562</v>
      </c>
      <c r="H3676" s="235" t="s">
        <v>27563</v>
      </c>
      <c r="I3676" s="235" t="s">
        <v>27563</v>
      </c>
      <c r="J3676" s="235" t="s">
        <v>27564</v>
      </c>
      <c r="K3676" s="235" t="s">
        <v>27565</v>
      </c>
      <c r="N3676" s="235" t="s">
        <v>154</v>
      </c>
      <c r="O3676" s="235" t="s">
        <v>766</v>
      </c>
      <c r="P3676" s="238">
        <v>1.0</v>
      </c>
      <c r="Q3676" s="235" t="s">
        <v>627</v>
      </c>
      <c r="R3676" s="238">
        <v>465.72</v>
      </c>
      <c r="S3676" s="238">
        <v>23.28</v>
      </c>
      <c r="T3676" s="238">
        <v>38.1</v>
      </c>
      <c r="U3676" s="238">
        <v>1.9</v>
      </c>
      <c r="V3676" s="238">
        <v>0.0</v>
      </c>
      <c r="W3676" s="238">
        <v>0.0</v>
      </c>
      <c r="X3676" s="235" t="s">
        <v>628</v>
      </c>
      <c r="Z3676" s="245"/>
      <c r="AA3676" s="245"/>
      <c r="AB3676" s="245"/>
      <c r="AC3676" s="235" t="s">
        <v>1058</v>
      </c>
      <c r="AD3676" s="235" t="s">
        <v>845</v>
      </c>
      <c r="AE3676" s="238">
        <v>400074.0</v>
      </c>
      <c r="AF3676" s="235" t="s">
        <v>631</v>
      </c>
      <c r="AG3676" s="245"/>
      <c r="AH3676" s="245"/>
      <c r="AI3676" s="245"/>
      <c r="AJ3676" s="245"/>
      <c r="AK3676" s="245"/>
      <c r="AL3676" s="245"/>
      <c r="AM3676" s="245"/>
      <c r="AN3676" s="245"/>
      <c r="AO3676" s="238">
        <v>0.0</v>
      </c>
      <c r="AP3676" s="238">
        <v>0.0</v>
      </c>
      <c r="AQ3676" s="235" t="s">
        <v>632</v>
      </c>
      <c r="AR3676" s="243">
        <v>3.71E11</v>
      </c>
      <c r="AS3676" s="235" t="s">
        <v>26892</v>
      </c>
      <c r="AT3676" s="235" t="s">
        <v>16</v>
      </c>
      <c r="AU3676" s="235" t="s">
        <v>634</v>
      </c>
      <c r="AV3676" s="246" t="s">
        <v>635</v>
      </c>
      <c r="AW3676" s="227"/>
      <c r="AX3676" s="227"/>
      <c r="AY3676" s="227"/>
      <c r="AZ3676" s="227"/>
      <c r="BA3676" s="227"/>
      <c r="BB3676" s="227"/>
      <c r="BC3676" s="227"/>
      <c r="BD3676" s="227"/>
      <c r="BE3676" s="227"/>
      <c r="BF3676" s="227"/>
    </row>
    <row r="3677">
      <c r="A3677" s="235" t="s">
        <v>27566</v>
      </c>
      <c r="C3677" s="235" t="s">
        <v>27567</v>
      </c>
      <c r="D3677" s="235" t="s">
        <v>27568</v>
      </c>
      <c r="E3677" s="243">
        <v>6.52E13</v>
      </c>
      <c r="F3677" s="245"/>
      <c r="G3677" s="235" t="s">
        <v>27569</v>
      </c>
      <c r="H3677" s="235" t="s">
        <v>27570</v>
      </c>
      <c r="I3677" s="235" t="s">
        <v>27571</v>
      </c>
      <c r="J3677" s="235" t="s">
        <v>27572</v>
      </c>
      <c r="K3677" s="235" t="s">
        <v>27573</v>
      </c>
      <c r="N3677" s="235" t="s">
        <v>2163</v>
      </c>
      <c r="O3677" s="235" t="s">
        <v>2164</v>
      </c>
      <c r="P3677" s="238">
        <v>1.0</v>
      </c>
      <c r="Q3677" s="235" t="s">
        <v>627</v>
      </c>
      <c r="R3677" s="238">
        <v>233.34</v>
      </c>
      <c r="S3677" s="238">
        <v>11.32</v>
      </c>
      <c r="T3677" s="238">
        <v>0.0</v>
      </c>
      <c r="U3677" s="238">
        <v>0.0</v>
      </c>
      <c r="V3677" s="238">
        <v>0.0</v>
      </c>
      <c r="W3677" s="238">
        <v>0.0</v>
      </c>
      <c r="X3677" s="235" t="s">
        <v>628</v>
      </c>
      <c r="Z3677" s="245"/>
      <c r="AA3677" s="245"/>
      <c r="AB3677" s="245"/>
      <c r="AC3677" s="235" t="s">
        <v>1887</v>
      </c>
      <c r="AD3677" s="235" t="s">
        <v>679</v>
      </c>
      <c r="AE3677" s="238">
        <v>560054.0</v>
      </c>
      <c r="AF3677" s="235" t="s">
        <v>631</v>
      </c>
      <c r="AG3677" s="245"/>
      <c r="AH3677" s="245"/>
      <c r="AI3677" s="245"/>
      <c r="AJ3677" s="245"/>
      <c r="AK3677" s="245"/>
      <c r="AL3677" s="245"/>
      <c r="AM3677" s="245"/>
      <c r="AN3677" s="245"/>
      <c r="AO3677" s="238">
        <v>-7.01</v>
      </c>
      <c r="AP3677" s="238">
        <v>0.0</v>
      </c>
      <c r="AQ3677" s="235" t="s">
        <v>632</v>
      </c>
      <c r="AR3677" s="243">
        <v>1.68E11</v>
      </c>
      <c r="AS3677" s="235" t="s">
        <v>27428</v>
      </c>
      <c r="AT3677" s="235" t="s">
        <v>11</v>
      </c>
      <c r="AU3677" s="235" t="s">
        <v>634</v>
      </c>
      <c r="AV3677" s="246" t="s">
        <v>635</v>
      </c>
      <c r="AW3677" s="227"/>
      <c r="AX3677" s="227"/>
      <c r="AY3677" s="227"/>
      <c r="AZ3677" s="227"/>
      <c r="BA3677" s="227"/>
      <c r="BB3677" s="227"/>
      <c r="BC3677" s="227"/>
      <c r="BD3677" s="227"/>
      <c r="BE3677" s="227"/>
      <c r="BF3677" s="227"/>
    </row>
    <row r="3678">
      <c r="A3678" s="235" t="s">
        <v>27574</v>
      </c>
      <c r="C3678" s="235" t="s">
        <v>27575</v>
      </c>
      <c r="D3678" s="235" t="s">
        <v>27576</v>
      </c>
      <c r="E3678" s="243">
        <v>6.52E13</v>
      </c>
      <c r="F3678" s="245"/>
      <c r="G3678" s="235" t="s">
        <v>27577</v>
      </c>
      <c r="H3678" s="235" t="s">
        <v>27578</v>
      </c>
      <c r="I3678" s="235" t="s">
        <v>27578</v>
      </c>
      <c r="J3678" s="235" t="s">
        <v>27579</v>
      </c>
      <c r="K3678" s="235" t="s">
        <v>27580</v>
      </c>
      <c r="N3678" s="235" t="s">
        <v>51</v>
      </c>
      <c r="O3678" s="235" t="s">
        <v>273</v>
      </c>
      <c r="P3678" s="238">
        <v>1.0</v>
      </c>
      <c r="Q3678" s="235" t="s">
        <v>627</v>
      </c>
      <c r="R3678" s="238">
        <v>246.66</v>
      </c>
      <c r="S3678" s="238">
        <v>12.34</v>
      </c>
      <c r="T3678" s="238">
        <v>0.0</v>
      </c>
      <c r="U3678" s="238">
        <v>0.0</v>
      </c>
      <c r="V3678" s="238">
        <v>0.0</v>
      </c>
      <c r="W3678" s="238">
        <v>0.0</v>
      </c>
      <c r="X3678" s="235" t="s">
        <v>628</v>
      </c>
      <c r="Z3678" s="245"/>
      <c r="AA3678" s="245"/>
      <c r="AB3678" s="245"/>
      <c r="AC3678" s="235" t="s">
        <v>678</v>
      </c>
      <c r="AD3678" s="235" t="s">
        <v>679</v>
      </c>
      <c r="AE3678" s="238">
        <v>560043.0</v>
      </c>
      <c r="AF3678" s="235" t="s">
        <v>631</v>
      </c>
      <c r="AG3678" s="245"/>
      <c r="AH3678" s="245"/>
      <c r="AI3678" s="245"/>
      <c r="AJ3678" s="245"/>
      <c r="AK3678" s="245"/>
      <c r="AL3678" s="245"/>
      <c r="AM3678" s="245"/>
      <c r="AN3678" s="245"/>
      <c r="AO3678" s="238">
        <v>0.0</v>
      </c>
      <c r="AP3678" s="238">
        <v>0.0</v>
      </c>
      <c r="AQ3678" s="235" t="s">
        <v>632</v>
      </c>
      <c r="AR3678" s="243">
        <v>1.68E11</v>
      </c>
      <c r="AS3678" s="235" t="s">
        <v>27428</v>
      </c>
      <c r="AT3678" s="235" t="s">
        <v>9</v>
      </c>
      <c r="AU3678" s="235" t="s">
        <v>634</v>
      </c>
      <c r="AV3678" s="246" t="s">
        <v>635</v>
      </c>
      <c r="AW3678" s="227"/>
      <c r="AX3678" s="227"/>
      <c r="AY3678" s="227"/>
      <c r="AZ3678" s="227"/>
      <c r="BA3678" s="227"/>
      <c r="BB3678" s="227"/>
      <c r="BC3678" s="227"/>
      <c r="BD3678" s="227"/>
      <c r="BE3678" s="227"/>
      <c r="BF3678" s="227"/>
    </row>
    <row r="3679">
      <c r="A3679" s="235" t="s">
        <v>27581</v>
      </c>
      <c r="C3679" s="235" t="s">
        <v>27582</v>
      </c>
      <c r="D3679" s="235" t="s">
        <v>27583</v>
      </c>
      <c r="E3679" s="243">
        <v>6.52E13</v>
      </c>
      <c r="F3679" s="245"/>
      <c r="G3679" s="235" t="s">
        <v>27584</v>
      </c>
      <c r="H3679" s="235" t="s">
        <v>27585</v>
      </c>
      <c r="I3679" s="235" t="s">
        <v>27585</v>
      </c>
      <c r="J3679" s="235" t="s">
        <v>27586</v>
      </c>
      <c r="K3679" s="235" t="s">
        <v>19991</v>
      </c>
      <c r="N3679" s="235" t="s">
        <v>154</v>
      </c>
      <c r="O3679" s="235" t="s">
        <v>766</v>
      </c>
      <c r="P3679" s="238">
        <v>1.0</v>
      </c>
      <c r="Q3679" s="235" t="s">
        <v>627</v>
      </c>
      <c r="R3679" s="238">
        <v>423.81</v>
      </c>
      <c r="S3679" s="238">
        <v>21.19</v>
      </c>
      <c r="T3679" s="238">
        <v>0.0</v>
      </c>
      <c r="U3679" s="238">
        <v>0.0</v>
      </c>
      <c r="V3679" s="238">
        <v>0.0</v>
      </c>
      <c r="W3679" s="238">
        <v>0.0</v>
      </c>
      <c r="X3679" s="235" t="s">
        <v>628</v>
      </c>
      <c r="Z3679" s="245"/>
      <c r="AA3679" s="245"/>
      <c r="AB3679" s="245"/>
      <c r="AC3679" s="235" t="s">
        <v>814</v>
      </c>
      <c r="AD3679" s="235" t="s">
        <v>17499</v>
      </c>
      <c r="AE3679" s="238">
        <v>500038.0</v>
      </c>
      <c r="AF3679" s="235" t="s">
        <v>631</v>
      </c>
      <c r="AG3679" s="245"/>
      <c r="AH3679" s="245"/>
      <c r="AI3679" s="245"/>
      <c r="AJ3679" s="245"/>
      <c r="AK3679" s="245"/>
      <c r="AL3679" s="245"/>
      <c r="AM3679" s="245"/>
      <c r="AN3679" s="245"/>
      <c r="AO3679" s="238">
        <v>0.0</v>
      </c>
      <c r="AP3679" s="238">
        <v>0.0</v>
      </c>
      <c r="AQ3679" s="235" t="s">
        <v>632</v>
      </c>
      <c r="AR3679" s="243">
        <v>3.71E11</v>
      </c>
      <c r="AS3679" s="235" t="s">
        <v>23542</v>
      </c>
      <c r="AT3679" s="235" t="s">
        <v>16</v>
      </c>
      <c r="AU3679" s="235" t="s">
        <v>634</v>
      </c>
      <c r="AV3679" s="246" t="s">
        <v>635</v>
      </c>
      <c r="AW3679" s="227"/>
      <c r="AX3679" s="227"/>
      <c r="AY3679" s="227"/>
      <c r="AZ3679" s="227"/>
      <c r="BA3679" s="227"/>
      <c r="BB3679" s="227"/>
      <c r="BC3679" s="227"/>
      <c r="BD3679" s="227"/>
      <c r="BE3679" s="227"/>
      <c r="BF3679" s="227"/>
    </row>
    <row r="3680">
      <c r="A3680" s="235" t="s">
        <v>27587</v>
      </c>
      <c r="C3680" s="235" t="s">
        <v>27588</v>
      </c>
      <c r="D3680" s="235" t="s">
        <v>27589</v>
      </c>
      <c r="E3680" s="243">
        <v>6.52E13</v>
      </c>
      <c r="F3680" s="245"/>
      <c r="G3680" s="235" t="s">
        <v>27590</v>
      </c>
      <c r="H3680" s="235" t="s">
        <v>27591</v>
      </c>
      <c r="I3680" s="235" t="s">
        <v>27591</v>
      </c>
      <c r="J3680" s="235" t="s">
        <v>27592</v>
      </c>
      <c r="K3680" s="235" t="s">
        <v>27593</v>
      </c>
      <c r="N3680" s="235" t="s">
        <v>42</v>
      </c>
      <c r="O3680" s="235" t="s">
        <v>204</v>
      </c>
      <c r="P3680" s="238">
        <v>1.0</v>
      </c>
      <c r="Q3680" s="235" t="s">
        <v>627</v>
      </c>
      <c r="R3680" s="238">
        <v>236.2</v>
      </c>
      <c r="S3680" s="238">
        <v>11.8</v>
      </c>
      <c r="T3680" s="238">
        <v>0.0</v>
      </c>
      <c r="U3680" s="238">
        <v>0.0</v>
      </c>
      <c r="V3680" s="238">
        <v>0.0</v>
      </c>
      <c r="W3680" s="238">
        <v>0.0</v>
      </c>
      <c r="X3680" s="235" t="s">
        <v>628</v>
      </c>
      <c r="Z3680" s="245"/>
      <c r="AA3680" s="245"/>
      <c r="AB3680" s="245"/>
      <c r="AC3680" s="235" t="s">
        <v>1320</v>
      </c>
      <c r="AD3680" s="235" t="s">
        <v>666</v>
      </c>
      <c r="AE3680" s="238">
        <v>600126.0</v>
      </c>
      <c r="AF3680" s="235" t="s">
        <v>631</v>
      </c>
      <c r="AG3680" s="245"/>
      <c r="AH3680" s="245"/>
      <c r="AI3680" s="245"/>
      <c r="AJ3680" s="245"/>
      <c r="AK3680" s="245"/>
      <c r="AL3680" s="245"/>
      <c r="AM3680" s="245"/>
      <c r="AN3680" s="245"/>
      <c r="AO3680" s="238">
        <v>0.0</v>
      </c>
      <c r="AP3680" s="238">
        <v>0.0</v>
      </c>
      <c r="AQ3680" s="235" t="s">
        <v>632</v>
      </c>
      <c r="AR3680" s="243">
        <v>3.71E11</v>
      </c>
      <c r="AS3680" s="235" t="s">
        <v>26892</v>
      </c>
      <c r="AT3680" s="235" t="s">
        <v>156</v>
      </c>
      <c r="AU3680" s="235" t="s">
        <v>634</v>
      </c>
      <c r="AV3680" s="246" t="s">
        <v>635</v>
      </c>
      <c r="AW3680" s="227"/>
      <c r="AX3680" s="227"/>
      <c r="AY3680" s="227"/>
      <c r="AZ3680" s="227"/>
      <c r="BA3680" s="227"/>
      <c r="BB3680" s="227"/>
      <c r="BC3680" s="227"/>
      <c r="BD3680" s="227"/>
      <c r="BE3680" s="227"/>
      <c r="BF3680" s="227"/>
    </row>
    <row r="3681">
      <c r="A3681" s="235" t="s">
        <v>27594</v>
      </c>
      <c r="C3681" s="235" t="s">
        <v>27595</v>
      </c>
      <c r="D3681" s="235" t="s">
        <v>27596</v>
      </c>
      <c r="E3681" s="243">
        <v>6.52E13</v>
      </c>
      <c r="F3681" s="245"/>
      <c r="G3681" s="235" t="s">
        <v>27597</v>
      </c>
      <c r="H3681" s="235" t="s">
        <v>27598</v>
      </c>
      <c r="I3681" s="235" t="s">
        <v>27599</v>
      </c>
      <c r="J3681" s="235" t="s">
        <v>27600</v>
      </c>
      <c r="K3681" s="235" t="s">
        <v>27601</v>
      </c>
      <c r="N3681" s="235" t="s">
        <v>90</v>
      </c>
      <c r="O3681" s="235" t="s">
        <v>279</v>
      </c>
      <c r="P3681" s="238">
        <v>1.0</v>
      </c>
      <c r="Q3681" s="235" t="s">
        <v>627</v>
      </c>
      <c r="R3681" s="238">
        <v>246.66</v>
      </c>
      <c r="S3681" s="238">
        <v>11.97</v>
      </c>
      <c r="T3681" s="238">
        <v>0.0</v>
      </c>
      <c r="U3681" s="238">
        <v>0.0</v>
      </c>
      <c r="V3681" s="238">
        <v>0.0</v>
      </c>
      <c r="W3681" s="238">
        <v>0.0</v>
      </c>
      <c r="X3681" s="235" t="s">
        <v>628</v>
      </c>
      <c r="Z3681" s="245"/>
      <c r="AA3681" s="245"/>
      <c r="AB3681" s="245"/>
      <c r="AC3681" s="235" t="s">
        <v>1910</v>
      </c>
      <c r="AD3681" s="235" t="s">
        <v>928</v>
      </c>
      <c r="AE3681" s="238">
        <v>122101.0</v>
      </c>
      <c r="AF3681" s="235" t="s">
        <v>631</v>
      </c>
      <c r="AG3681" s="245"/>
      <c r="AH3681" s="245"/>
      <c r="AI3681" s="245"/>
      <c r="AJ3681" s="245"/>
      <c r="AK3681" s="245"/>
      <c r="AL3681" s="245"/>
      <c r="AM3681" s="245"/>
      <c r="AN3681" s="245"/>
      <c r="AO3681" s="238">
        <v>-7.4</v>
      </c>
      <c r="AP3681" s="238">
        <v>0.0</v>
      </c>
      <c r="AQ3681" s="235" t="s">
        <v>632</v>
      </c>
      <c r="AR3681" s="243">
        <v>1.68E11</v>
      </c>
      <c r="AS3681" s="235" t="s">
        <v>27428</v>
      </c>
      <c r="AT3681" s="235" t="s">
        <v>533</v>
      </c>
      <c r="AU3681" s="235" t="s">
        <v>634</v>
      </c>
      <c r="AV3681" s="246" t="s">
        <v>635</v>
      </c>
      <c r="AW3681" s="227"/>
      <c r="AX3681" s="227"/>
      <c r="AY3681" s="227"/>
      <c r="AZ3681" s="227"/>
      <c r="BA3681" s="227"/>
      <c r="BB3681" s="227"/>
      <c r="BC3681" s="227"/>
      <c r="BD3681" s="227"/>
      <c r="BE3681" s="227"/>
      <c r="BF3681" s="227"/>
    </row>
    <row r="3682">
      <c r="A3682" s="235" t="s">
        <v>27602</v>
      </c>
      <c r="C3682" s="235" t="s">
        <v>27603</v>
      </c>
      <c r="D3682" s="235" t="s">
        <v>27604</v>
      </c>
      <c r="E3682" s="243">
        <v>6.52E13</v>
      </c>
      <c r="F3682" s="245"/>
      <c r="G3682" s="235" t="s">
        <v>27605</v>
      </c>
      <c r="H3682" s="235" t="s">
        <v>27606</v>
      </c>
      <c r="I3682" s="235" t="s">
        <v>27598</v>
      </c>
      <c r="J3682" s="235" t="s">
        <v>27607</v>
      </c>
      <c r="K3682" s="235" t="s">
        <v>27608</v>
      </c>
      <c r="N3682" s="235" t="s">
        <v>136</v>
      </c>
      <c r="O3682" s="235" t="s">
        <v>256</v>
      </c>
      <c r="P3682" s="238">
        <v>1.0</v>
      </c>
      <c r="Q3682" s="235" t="s">
        <v>627</v>
      </c>
      <c r="R3682" s="238">
        <v>237.14</v>
      </c>
      <c r="S3682" s="238">
        <v>11.86</v>
      </c>
      <c r="T3682" s="238">
        <v>0.0</v>
      </c>
      <c r="U3682" s="238">
        <v>0.0</v>
      </c>
      <c r="V3682" s="238">
        <v>0.0</v>
      </c>
      <c r="W3682" s="238">
        <v>0.0</v>
      </c>
      <c r="X3682" s="235" t="s">
        <v>628</v>
      </c>
      <c r="Z3682" s="245"/>
      <c r="AA3682" s="245"/>
      <c r="AB3682" s="245"/>
      <c r="AC3682" s="235" t="s">
        <v>1475</v>
      </c>
      <c r="AD3682" s="235" t="s">
        <v>796</v>
      </c>
      <c r="AE3682" s="238">
        <v>110078.0</v>
      </c>
      <c r="AF3682" s="235" t="s">
        <v>631</v>
      </c>
      <c r="AG3682" s="245"/>
      <c r="AH3682" s="245"/>
      <c r="AI3682" s="245"/>
      <c r="AJ3682" s="245"/>
      <c r="AK3682" s="245"/>
      <c r="AL3682" s="245"/>
      <c r="AM3682" s="245"/>
      <c r="AN3682" s="245"/>
      <c r="AO3682" s="238">
        <v>0.0</v>
      </c>
      <c r="AP3682" s="238">
        <v>0.0</v>
      </c>
      <c r="AQ3682" s="235" t="s">
        <v>632</v>
      </c>
      <c r="AR3682" s="243">
        <v>1.68E11</v>
      </c>
      <c r="AS3682" s="235" t="s">
        <v>27428</v>
      </c>
      <c r="AT3682" s="235" t="s">
        <v>533</v>
      </c>
      <c r="AU3682" s="235" t="s">
        <v>634</v>
      </c>
      <c r="AV3682" s="246" t="s">
        <v>635</v>
      </c>
      <c r="AW3682" s="227"/>
      <c r="AX3682" s="227"/>
      <c r="AY3682" s="227"/>
      <c r="AZ3682" s="227"/>
      <c r="BA3682" s="227"/>
      <c r="BB3682" s="227"/>
      <c r="BC3682" s="227"/>
      <c r="BD3682" s="227"/>
      <c r="BE3682" s="227"/>
      <c r="BF3682" s="227"/>
    </row>
    <row r="3683">
      <c r="A3683" s="235" t="s">
        <v>27609</v>
      </c>
      <c r="C3683" s="235" t="s">
        <v>27610</v>
      </c>
      <c r="D3683" s="235" t="s">
        <v>27611</v>
      </c>
      <c r="E3683" s="243">
        <v>6.52E13</v>
      </c>
      <c r="F3683" s="245"/>
      <c r="G3683" s="235" t="s">
        <v>27612</v>
      </c>
      <c r="H3683" s="235" t="s">
        <v>27613</v>
      </c>
      <c r="I3683" s="235" t="s">
        <v>27613</v>
      </c>
      <c r="J3683" s="235" t="s">
        <v>27614</v>
      </c>
      <c r="K3683" s="235" t="s">
        <v>27615</v>
      </c>
      <c r="N3683" s="235" t="s">
        <v>54</v>
      </c>
      <c r="O3683" s="235" t="s">
        <v>294</v>
      </c>
      <c r="P3683" s="238">
        <v>1.0</v>
      </c>
      <c r="Q3683" s="235" t="s">
        <v>627</v>
      </c>
      <c r="R3683" s="238">
        <v>246.67</v>
      </c>
      <c r="S3683" s="238">
        <v>11.96</v>
      </c>
      <c r="T3683" s="238">
        <v>0.0</v>
      </c>
      <c r="U3683" s="238">
        <v>0.0</v>
      </c>
      <c r="V3683" s="238">
        <v>0.0</v>
      </c>
      <c r="W3683" s="238">
        <v>0.0</v>
      </c>
      <c r="X3683" s="235" t="s">
        <v>628</v>
      </c>
      <c r="Z3683" s="245"/>
      <c r="AA3683" s="245"/>
      <c r="AB3683" s="245"/>
      <c r="AC3683" s="235" t="s">
        <v>795</v>
      </c>
      <c r="AD3683" s="235" t="s">
        <v>796</v>
      </c>
      <c r="AE3683" s="238">
        <v>110070.0</v>
      </c>
      <c r="AF3683" s="235" t="s">
        <v>631</v>
      </c>
      <c r="AG3683" s="245"/>
      <c r="AH3683" s="245"/>
      <c r="AI3683" s="245"/>
      <c r="AJ3683" s="245"/>
      <c r="AK3683" s="245"/>
      <c r="AL3683" s="245"/>
      <c r="AM3683" s="245"/>
      <c r="AN3683" s="245"/>
      <c r="AO3683" s="238">
        <v>-7.4</v>
      </c>
      <c r="AP3683" s="238">
        <v>0.0</v>
      </c>
      <c r="AQ3683" s="235" t="s">
        <v>632</v>
      </c>
      <c r="AR3683" s="243">
        <v>1.68E11</v>
      </c>
      <c r="AS3683" s="235" t="s">
        <v>27428</v>
      </c>
      <c r="AT3683" s="235" t="s">
        <v>13</v>
      </c>
      <c r="AU3683" s="235" t="s">
        <v>634</v>
      </c>
      <c r="AV3683" s="246" t="s">
        <v>635</v>
      </c>
      <c r="AW3683" s="227"/>
      <c r="AX3683" s="227"/>
      <c r="AY3683" s="227"/>
      <c r="AZ3683" s="227"/>
      <c r="BA3683" s="227"/>
      <c r="BB3683" s="227"/>
      <c r="BC3683" s="227"/>
      <c r="BD3683" s="227"/>
      <c r="BE3683" s="227"/>
      <c r="BF3683" s="227"/>
    </row>
    <row r="3684">
      <c r="A3684" s="235" t="s">
        <v>27609</v>
      </c>
      <c r="C3684" s="235" t="s">
        <v>27610</v>
      </c>
      <c r="D3684" s="235" t="s">
        <v>27616</v>
      </c>
      <c r="E3684" s="243">
        <v>6.52E13</v>
      </c>
      <c r="F3684" s="245"/>
      <c r="G3684" s="235" t="s">
        <v>27612</v>
      </c>
      <c r="H3684" s="235" t="s">
        <v>27613</v>
      </c>
      <c r="I3684" s="235" t="s">
        <v>27613</v>
      </c>
      <c r="J3684" s="235" t="s">
        <v>27614</v>
      </c>
      <c r="K3684" s="235" t="s">
        <v>27615</v>
      </c>
      <c r="N3684" s="235" t="s">
        <v>54</v>
      </c>
      <c r="O3684" s="235" t="s">
        <v>294</v>
      </c>
      <c r="P3684" s="238">
        <v>1.0</v>
      </c>
      <c r="Q3684" s="235" t="s">
        <v>627</v>
      </c>
      <c r="R3684" s="238">
        <v>246.67</v>
      </c>
      <c r="S3684" s="238">
        <v>11.96</v>
      </c>
      <c r="T3684" s="238">
        <v>0.0</v>
      </c>
      <c r="U3684" s="238">
        <v>0.0</v>
      </c>
      <c r="V3684" s="238">
        <v>0.0</v>
      </c>
      <c r="W3684" s="238">
        <v>0.0</v>
      </c>
      <c r="X3684" s="235" t="s">
        <v>628</v>
      </c>
      <c r="Z3684" s="245"/>
      <c r="AA3684" s="245"/>
      <c r="AB3684" s="245"/>
      <c r="AC3684" s="235" t="s">
        <v>795</v>
      </c>
      <c r="AD3684" s="235" t="s">
        <v>796</v>
      </c>
      <c r="AE3684" s="238">
        <v>110070.0</v>
      </c>
      <c r="AF3684" s="235" t="s">
        <v>631</v>
      </c>
      <c r="AG3684" s="245"/>
      <c r="AH3684" s="245"/>
      <c r="AI3684" s="245"/>
      <c r="AJ3684" s="245"/>
      <c r="AK3684" s="245"/>
      <c r="AL3684" s="245"/>
      <c r="AM3684" s="245"/>
      <c r="AN3684" s="245"/>
      <c r="AO3684" s="238">
        <v>-7.4</v>
      </c>
      <c r="AP3684" s="238">
        <v>0.0</v>
      </c>
      <c r="AQ3684" s="235" t="s">
        <v>632</v>
      </c>
      <c r="AR3684" s="243">
        <v>1.68E11</v>
      </c>
      <c r="AS3684" s="235" t="s">
        <v>27428</v>
      </c>
      <c r="AT3684" s="235" t="s">
        <v>13</v>
      </c>
      <c r="AU3684" s="235" t="s">
        <v>634</v>
      </c>
      <c r="AV3684" s="246" t="s">
        <v>635</v>
      </c>
      <c r="AW3684" s="227"/>
      <c r="AX3684" s="227"/>
      <c r="AY3684" s="227"/>
      <c r="AZ3684" s="227"/>
      <c r="BA3684" s="227"/>
      <c r="BB3684" s="227"/>
      <c r="BC3684" s="227"/>
      <c r="BD3684" s="227"/>
      <c r="BE3684" s="227"/>
      <c r="BF3684" s="227"/>
    </row>
    <row r="3685">
      <c r="A3685" s="235" t="s">
        <v>27617</v>
      </c>
      <c r="C3685" s="235" t="s">
        <v>27618</v>
      </c>
      <c r="D3685" s="235" t="s">
        <v>27619</v>
      </c>
      <c r="E3685" s="243">
        <v>6.52E13</v>
      </c>
      <c r="F3685" s="245"/>
      <c r="G3685" s="235" t="s">
        <v>27620</v>
      </c>
      <c r="H3685" s="235" t="s">
        <v>27621</v>
      </c>
      <c r="I3685" s="235" t="s">
        <v>27621</v>
      </c>
      <c r="J3685" s="235" t="s">
        <v>27622</v>
      </c>
      <c r="K3685" s="235" t="s">
        <v>27623</v>
      </c>
      <c r="N3685" s="235" t="s">
        <v>110</v>
      </c>
      <c r="O3685" s="235" t="s">
        <v>364</v>
      </c>
      <c r="P3685" s="238">
        <v>1.0</v>
      </c>
      <c r="Q3685" s="235" t="s">
        <v>627</v>
      </c>
      <c r="R3685" s="238">
        <v>237.14</v>
      </c>
      <c r="S3685" s="238">
        <v>11.5</v>
      </c>
      <c r="T3685" s="238">
        <v>0.0</v>
      </c>
      <c r="U3685" s="238">
        <v>0.0</v>
      </c>
      <c r="V3685" s="238">
        <v>0.0</v>
      </c>
      <c r="W3685" s="238">
        <v>0.0</v>
      </c>
      <c r="X3685" s="235" t="s">
        <v>628</v>
      </c>
      <c r="Z3685" s="245"/>
      <c r="AA3685" s="245"/>
      <c r="AB3685" s="245"/>
      <c r="AC3685" s="235" t="s">
        <v>795</v>
      </c>
      <c r="AD3685" s="235" t="s">
        <v>796</v>
      </c>
      <c r="AE3685" s="238">
        <v>110015.0</v>
      </c>
      <c r="AF3685" s="235" t="s">
        <v>631</v>
      </c>
      <c r="AG3685" s="245"/>
      <c r="AH3685" s="245"/>
      <c r="AI3685" s="245"/>
      <c r="AJ3685" s="245"/>
      <c r="AK3685" s="245"/>
      <c r="AL3685" s="245"/>
      <c r="AM3685" s="245"/>
      <c r="AN3685" s="245"/>
      <c r="AO3685" s="238">
        <v>-7.11</v>
      </c>
      <c r="AP3685" s="238">
        <v>0.0</v>
      </c>
      <c r="AQ3685" s="235" t="s">
        <v>632</v>
      </c>
      <c r="AR3685" s="243">
        <v>2.02E11</v>
      </c>
      <c r="AS3685" s="235" t="s">
        <v>25098</v>
      </c>
      <c r="AT3685" s="235" t="s">
        <v>155</v>
      </c>
      <c r="AU3685" s="235" t="s">
        <v>634</v>
      </c>
      <c r="AV3685" s="246" t="s">
        <v>635</v>
      </c>
      <c r="AW3685" s="227"/>
      <c r="AX3685" s="227"/>
      <c r="AY3685" s="227"/>
      <c r="AZ3685" s="227"/>
      <c r="BA3685" s="227"/>
      <c r="BB3685" s="227"/>
      <c r="BC3685" s="227"/>
      <c r="BD3685" s="227"/>
      <c r="BE3685" s="227"/>
      <c r="BF3685" s="227"/>
    </row>
    <row r="3686">
      <c r="A3686" s="235" t="s">
        <v>27624</v>
      </c>
      <c r="C3686" s="235" t="s">
        <v>27625</v>
      </c>
      <c r="D3686" s="235" t="s">
        <v>27626</v>
      </c>
      <c r="E3686" s="243">
        <v>6.52E13</v>
      </c>
      <c r="F3686" s="245"/>
      <c r="G3686" s="235" t="s">
        <v>27627</v>
      </c>
      <c r="H3686" s="235" t="s">
        <v>27628</v>
      </c>
      <c r="I3686" s="235" t="s">
        <v>27628</v>
      </c>
      <c r="J3686" s="235" t="s">
        <v>27629</v>
      </c>
      <c r="K3686" s="235" t="s">
        <v>27630</v>
      </c>
      <c r="N3686" s="235" t="s">
        <v>154</v>
      </c>
      <c r="O3686" s="235" t="s">
        <v>766</v>
      </c>
      <c r="P3686" s="238">
        <v>1.0</v>
      </c>
      <c r="Q3686" s="235" t="s">
        <v>627</v>
      </c>
      <c r="R3686" s="238">
        <v>423.8</v>
      </c>
      <c r="S3686" s="238">
        <v>20.56</v>
      </c>
      <c r="T3686" s="238">
        <v>0.0</v>
      </c>
      <c r="U3686" s="238">
        <v>0.0</v>
      </c>
      <c r="V3686" s="238">
        <v>0.0</v>
      </c>
      <c r="W3686" s="238">
        <v>0.0</v>
      </c>
      <c r="X3686" s="235" t="s">
        <v>628</v>
      </c>
      <c r="Z3686" s="245"/>
      <c r="AA3686" s="245"/>
      <c r="AB3686" s="245"/>
      <c r="AC3686" s="235" t="s">
        <v>687</v>
      </c>
      <c r="AD3686" s="235" t="s">
        <v>666</v>
      </c>
      <c r="AE3686" s="238">
        <v>600082.0</v>
      </c>
      <c r="AF3686" s="235" t="s">
        <v>631</v>
      </c>
      <c r="AG3686" s="245"/>
      <c r="AH3686" s="245"/>
      <c r="AI3686" s="245"/>
      <c r="AJ3686" s="245"/>
      <c r="AK3686" s="245"/>
      <c r="AL3686" s="245"/>
      <c r="AM3686" s="245"/>
      <c r="AN3686" s="245"/>
      <c r="AO3686" s="238">
        <v>-12.71</v>
      </c>
      <c r="AP3686" s="238">
        <v>0.0</v>
      </c>
      <c r="AQ3686" s="235" t="s">
        <v>632</v>
      </c>
      <c r="AR3686" s="243">
        <v>1.68E11</v>
      </c>
      <c r="AS3686" s="235" t="s">
        <v>27428</v>
      </c>
      <c r="AT3686" s="235" t="s">
        <v>156</v>
      </c>
      <c r="AU3686" s="235" t="s">
        <v>634</v>
      </c>
      <c r="AV3686" s="246" t="s">
        <v>635</v>
      </c>
      <c r="AW3686" s="227"/>
      <c r="AX3686" s="227"/>
      <c r="AY3686" s="227"/>
      <c r="AZ3686" s="227"/>
      <c r="BA3686" s="227"/>
      <c r="BB3686" s="227"/>
      <c r="BC3686" s="227"/>
      <c r="BD3686" s="227"/>
      <c r="BE3686" s="227"/>
      <c r="BF3686" s="227"/>
    </row>
    <row r="3687">
      <c r="A3687" s="235" t="s">
        <v>27631</v>
      </c>
      <c r="C3687" s="235" t="s">
        <v>27632</v>
      </c>
      <c r="D3687" s="235" t="s">
        <v>27633</v>
      </c>
      <c r="E3687" s="243">
        <v>6.52E13</v>
      </c>
      <c r="F3687" s="245"/>
      <c r="G3687" s="235" t="s">
        <v>27634</v>
      </c>
      <c r="H3687" s="235" t="s">
        <v>27635</v>
      </c>
      <c r="I3687" s="235" t="s">
        <v>27635</v>
      </c>
      <c r="J3687" s="235" t="s">
        <v>27636</v>
      </c>
      <c r="K3687" s="235" t="s">
        <v>27637</v>
      </c>
      <c r="N3687" s="235" t="s">
        <v>127</v>
      </c>
      <c r="O3687" s="235" t="s">
        <v>794</v>
      </c>
      <c r="P3687" s="238">
        <v>1.0</v>
      </c>
      <c r="Q3687" s="235" t="s">
        <v>627</v>
      </c>
      <c r="R3687" s="238">
        <v>236.2</v>
      </c>
      <c r="S3687" s="238">
        <v>11.8</v>
      </c>
      <c r="T3687" s="238">
        <v>0.0</v>
      </c>
      <c r="U3687" s="238">
        <v>0.0</v>
      </c>
      <c r="V3687" s="238">
        <v>0.0</v>
      </c>
      <c r="W3687" s="238">
        <v>0.0</v>
      </c>
      <c r="X3687" s="235" t="s">
        <v>628</v>
      </c>
      <c r="Z3687" s="245"/>
      <c r="AA3687" s="245"/>
      <c r="AB3687" s="245"/>
      <c r="AC3687" s="235" t="s">
        <v>678</v>
      </c>
      <c r="AD3687" s="235" t="s">
        <v>679</v>
      </c>
      <c r="AE3687" s="238">
        <v>560076.0</v>
      </c>
      <c r="AF3687" s="235" t="s">
        <v>631</v>
      </c>
      <c r="AG3687" s="245"/>
      <c r="AH3687" s="245"/>
      <c r="AI3687" s="245"/>
      <c r="AJ3687" s="245"/>
      <c r="AK3687" s="245"/>
      <c r="AL3687" s="245"/>
      <c r="AM3687" s="245"/>
      <c r="AN3687" s="245"/>
      <c r="AO3687" s="238">
        <v>0.0</v>
      </c>
      <c r="AP3687" s="238">
        <v>0.0</v>
      </c>
      <c r="AQ3687" s="235" t="s">
        <v>632</v>
      </c>
      <c r="AR3687" s="243">
        <v>3.71E11</v>
      </c>
      <c r="AS3687" s="235" t="s">
        <v>26892</v>
      </c>
      <c r="AT3687" s="235" t="s">
        <v>9</v>
      </c>
      <c r="AU3687" s="235" t="s">
        <v>634</v>
      </c>
      <c r="AV3687" s="246" t="s">
        <v>635</v>
      </c>
      <c r="AW3687" s="227"/>
      <c r="AX3687" s="227"/>
      <c r="AY3687" s="227"/>
      <c r="AZ3687" s="227"/>
      <c r="BA3687" s="227"/>
      <c r="BB3687" s="227"/>
      <c r="BC3687" s="227"/>
      <c r="BD3687" s="227"/>
      <c r="BE3687" s="227"/>
      <c r="BF3687" s="227"/>
    </row>
    <row r="3688">
      <c r="A3688" s="235" t="s">
        <v>27638</v>
      </c>
      <c r="C3688" s="235" t="s">
        <v>27639</v>
      </c>
      <c r="D3688" s="235" t="s">
        <v>27640</v>
      </c>
      <c r="E3688" s="243">
        <v>6.52E13</v>
      </c>
      <c r="F3688" s="245"/>
      <c r="G3688" s="235" t="s">
        <v>27641</v>
      </c>
      <c r="H3688" s="235" t="s">
        <v>27642</v>
      </c>
      <c r="I3688" s="235" t="s">
        <v>27643</v>
      </c>
      <c r="J3688" s="235" t="s">
        <v>27644</v>
      </c>
      <c r="K3688" s="235" t="s">
        <v>27645</v>
      </c>
      <c r="N3688" s="235" t="s">
        <v>92</v>
      </c>
      <c r="O3688" s="235" t="s">
        <v>248</v>
      </c>
      <c r="P3688" s="238">
        <v>1.0</v>
      </c>
      <c r="Q3688" s="235" t="s">
        <v>627</v>
      </c>
      <c r="R3688" s="238">
        <v>233.33</v>
      </c>
      <c r="S3688" s="238">
        <v>11.67</v>
      </c>
      <c r="T3688" s="238">
        <v>0.0</v>
      </c>
      <c r="U3688" s="238">
        <v>0.0</v>
      </c>
      <c r="V3688" s="238">
        <v>0.0</v>
      </c>
      <c r="W3688" s="238">
        <v>0.0</v>
      </c>
      <c r="X3688" s="235" t="s">
        <v>628</v>
      </c>
      <c r="Z3688" s="245"/>
      <c r="AA3688" s="245"/>
      <c r="AB3688" s="245"/>
      <c r="AC3688" s="235" t="s">
        <v>1287</v>
      </c>
      <c r="AD3688" s="235" t="s">
        <v>630</v>
      </c>
      <c r="AE3688" s="238">
        <v>201017.0</v>
      </c>
      <c r="AF3688" s="235" t="s">
        <v>631</v>
      </c>
      <c r="AG3688" s="245"/>
      <c r="AH3688" s="245"/>
      <c r="AI3688" s="245"/>
      <c r="AJ3688" s="245"/>
      <c r="AK3688" s="245"/>
      <c r="AL3688" s="245"/>
      <c r="AM3688" s="245"/>
      <c r="AN3688" s="245"/>
      <c r="AO3688" s="238">
        <v>0.0</v>
      </c>
      <c r="AP3688" s="238">
        <v>0.0</v>
      </c>
      <c r="AQ3688" s="235" t="s">
        <v>632</v>
      </c>
      <c r="AR3688" s="243">
        <v>1.68E11</v>
      </c>
      <c r="AS3688" s="235" t="s">
        <v>27428</v>
      </c>
      <c r="AT3688" s="235" t="s">
        <v>13</v>
      </c>
      <c r="AU3688" s="235" t="s">
        <v>634</v>
      </c>
      <c r="AV3688" s="246" t="s">
        <v>635</v>
      </c>
      <c r="AW3688" s="227"/>
      <c r="AX3688" s="227"/>
      <c r="AY3688" s="227"/>
      <c r="AZ3688" s="227"/>
      <c r="BA3688" s="227"/>
      <c r="BB3688" s="227"/>
      <c r="BC3688" s="227"/>
      <c r="BD3688" s="227"/>
      <c r="BE3688" s="227"/>
      <c r="BF3688" s="227"/>
    </row>
    <row r="3689">
      <c r="A3689" s="235" t="s">
        <v>27646</v>
      </c>
      <c r="C3689" s="235" t="s">
        <v>27647</v>
      </c>
      <c r="D3689" s="235" t="s">
        <v>27648</v>
      </c>
      <c r="E3689" s="243">
        <v>6.52E13</v>
      </c>
      <c r="F3689" s="245"/>
      <c r="G3689" s="235" t="s">
        <v>27649</v>
      </c>
      <c r="H3689" s="235" t="s">
        <v>27650</v>
      </c>
      <c r="I3689" s="235" t="s">
        <v>27651</v>
      </c>
      <c r="J3689" s="235" t="s">
        <v>27652</v>
      </c>
      <c r="K3689" s="235" t="s">
        <v>27653</v>
      </c>
      <c r="N3689" s="235" t="s">
        <v>127</v>
      </c>
      <c r="O3689" s="235" t="s">
        <v>794</v>
      </c>
      <c r="P3689" s="238">
        <v>1.0</v>
      </c>
      <c r="Q3689" s="235" t="s">
        <v>627</v>
      </c>
      <c r="R3689" s="238">
        <v>236.2</v>
      </c>
      <c r="S3689" s="238">
        <v>11.8</v>
      </c>
      <c r="T3689" s="238">
        <v>0.0</v>
      </c>
      <c r="U3689" s="238">
        <v>0.0</v>
      </c>
      <c r="V3689" s="238">
        <v>0.0</v>
      </c>
      <c r="W3689" s="238">
        <v>0.0</v>
      </c>
      <c r="X3689" s="235" t="s">
        <v>628</v>
      </c>
      <c r="Z3689" s="245"/>
      <c r="AA3689" s="245"/>
      <c r="AB3689" s="245"/>
      <c r="AC3689" s="235" t="s">
        <v>1320</v>
      </c>
      <c r="AD3689" s="235" t="s">
        <v>666</v>
      </c>
      <c r="AE3689" s="238">
        <v>600092.0</v>
      </c>
      <c r="AF3689" s="235" t="s">
        <v>631</v>
      </c>
      <c r="AG3689" s="245"/>
      <c r="AH3689" s="245"/>
      <c r="AI3689" s="245"/>
      <c r="AJ3689" s="245"/>
      <c r="AK3689" s="245"/>
      <c r="AL3689" s="245"/>
      <c r="AM3689" s="245"/>
      <c r="AN3689" s="245"/>
      <c r="AO3689" s="238">
        <v>0.0</v>
      </c>
      <c r="AP3689" s="238">
        <v>0.0</v>
      </c>
      <c r="AQ3689" s="235" t="s">
        <v>632</v>
      </c>
      <c r="AR3689" s="243">
        <v>3.71E11</v>
      </c>
      <c r="AS3689" s="235" t="s">
        <v>26892</v>
      </c>
      <c r="AT3689" s="235" t="s">
        <v>156</v>
      </c>
      <c r="AU3689" s="235" t="s">
        <v>634</v>
      </c>
      <c r="AV3689" s="246" t="s">
        <v>635</v>
      </c>
      <c r="AW3689" s="227"/>
      <c r="AX3689" s="227"/>
      <c r="AY3689" s="227"/>
      <c r="AZ3689" s="227"/>
      <c r="BA3689" s="227"/>
      <c r="BB3689" s="227"/>
      <c r="BC3689" s="227"/>
      <c r="BD3689" s="227"/>
      <c r="BE3689" s="227"/>
      <c r="BF3689" s="227"/>
    </row>
    <row r="3690">
      <c r="A3690" s="235" t="s">
        <v>27654</v>
      </c>
      <c r="C3690" s="235" t="s">
        <v>27655</v>
      </c>
      <c r="D3690" s="235" t="s">
        <v>27656</v>
      </c>
      <c r="E3690" s="243">
        <v>6.52E13</v>
      </c>
      <c r="F3690" s="245"/>
      <c r="G3690" s="235" t="s">
        <v>27657</v>
      </c>
      <c r="H3690" s="235" t="s">
        <v>27658</v>
      </c>
      <c r="I3690" s="235" t="s">
        <v>27658</v>
      </c>
      <c r="J3690" s="235" t="s">
        <v>27659</v>
      </c>
      <c r="K3690" s="235" t="s">
        <v>27660</v>
      </c>
      <c r="N3690" s="235" t="s">
        <v>78</v>
      </c>
      <c r="O3690" s="235" t="s">
        <v>360</v>
      </c>
      <c r="P3690" s="238">
        <v>1.0</v>
      </c>
      <c r="Q3690" s="235" t="s">
        <v>627</v>
      </c>
      <c r="R3690" s="238">
        <v>341.9</v>
      </c>
      <c r="S3690" s="238">
        <v>16.59</v>
      </c>
      <c r="T3690" s="238">
        <v>0.0</v>
      </c>
      <c r="U3690" s="238">
        <v>0.0</v>
      </c>
      <c r="V3690" s="238">
        <v>0.0</v>
      </c>
      <c r="W3690" s="238">
        <v>0.0</v>
      </c>
      <c r="X3690" s="235" t="s">
        <v>628</v>
      </c>
      <c r="Z3690" s="245"/>
      <c r="AA3690" s="245"/>
      <c r="AB3690" s="245"/>
      <c r="AC3690" s="235" t="s">
        <v>697</v>
      </c>
      <c r="AD3690" s="235" t="s">
        <v>698</v>
      </c>
      <c r="AE3690" s="238">
        <v>500023.0</v>
      </c>
      <c r="AF3690" s="235" t="s">
        <v>631</v>
      </c>
      <c r="AG3690" s="245"/>
      <c r="AH3690" s="245"/>
      <c r="AI3690" s="245"/>
      <c r="AJ3690" s="245"/>
      <c r="AK3690" s="245"/>
      <c r="AL3690" s="245"/>
      <c r="AM3690" s="245"/>
      <c r="AN3690" s="245"/>
      <c r="AO3690" s="238">
        <v>-10.26</v>
      </c>
      <c r="AP3690" s="238">
        <v>0.0</v>
      </c>
      <c r="AQ3690" s="235" t="s">
        <v>632</v>
      </c>
      <c r="AR3690" s="243">
        <v>3.71E11</v>
      </c>
      <c r="AS3690" s="235" t="s">
        <v>25098</v>
      </c>
      <c r="AT3690" s="235" t="s">
        <v>11</v>
      </c>
      <c r="AU3690" s="235" t="s">
        <v>634</v>
      </c>
      <c r="AV3690" s="246" t="s">
        <v>635</v>
      </c>
      <c r="AW3690" s="227"/>
      <c r="AX3690" s="227"/>
      <c r="AY3690" s="227"/>
      <c r="AZ3690" s="227"/>
      <c r="BA3690" s="227"/>
      <c r="BB3690" s="227"/>
      <c r="BC3690" s="227"/>
      <c r="BD3690" s="227"/>
      <c r="BE3690" s="227"/>
      <c r="BF3690" s="227"/>
    </row>
    <row r="3691">
      <c r="A3691" s="235" t="s">
        <v>27661</v>
      </c>
      <c r="C3691" s="235" t="s">
        <v>27662</v>
      </c>
      <c r="D3691" s="235" t="s">
        <v>27663</v>
      </c>
      <c r="E3691" s="243">
        <v>6.52E13</v>
      </c>
      <c r="F3691" s="245"/>
      <c r="G3691" s="235" t="s">
        <v>27664</v>
      </c>
      <c r="H3691" s="235" t="s">
        <v>27665</v>
      </c>
      <c r="I3691" s="235" t="s">
        <v>27665</v>
      </c>
      <c r="J3691" s="235" t="s">
        <v>27666</v>
      </c>
      <c r="K3691" s="235" t="s">
        <v>27667</v>
      </c>
      <c r="N3691" s="235" t="s">
        <v>53</v>
      </c>
      <c r="O3691" s="235" t="s">
        <v>512</v>
      </c>
      <c r="P3691" s="238">
        <v>1.0</v>
      </c>
      <c r="Q3691" s="235" t="s">
        <v>627</v>
      </c>
      <c r="R3691" s="238">
        <v>233.33</v>
      </c>
      <c r="S3691" s="238">
        <v>11.67</v>
      </c>
      <c r="T3691" s="238">
        <v>38.1</v>
      </c>
      <c r="U3691" s="238">
        <v>1.9</v>
      </c>
      <c r="V3691" s="238">
        <v>0.0</v>
      </c>
      <c r="W3691" s="238">
        <v>0.0</v>
      </c>
      <c r="X3691" s="235" t="s">
        <v>628</v>
      </c>
      <c r="Z3691" s="245"/>
      <c r="AA3691" s="245"/>
      <c r="AB3691" s="245"/>
      <c r="AC3691" s="235" t="s">
        <v>697</v>
      </c>
      <c r="AD3691" s="235" t="s">
        <v>698</v>
      </c>
      <c r="AE3691" s="238">
        <v>500072.0</v>
      </c>
      <c r="AF3691" s="235" t="s">
        <v>631</v>
      </c>
      <c r="AG3691" s="245"/>
      <c r="AH3691" s="245"/>
      <c r="AI3691" s="245"/>
      <c r="AJ3691" s="245"/>
      <c r="AK3691" s="245"/>
      <c r="AL3691" s="245"/>
      <c r="AM3691" s="245"/>
      <c r="AN3691" s="245"/>
      <c r="AO3691" s="238">
        <v>0.0</v>
      </c>
      <c r="AP3691" s="238">
        <v>-38.1</v>
      </c>
      <c r="AQ3691" s="235" t="s">
        <v>632</v>
      </c>
      <c r="AR3691" s="243">
        <v>3.71E11</v>
      </c>
      <c r="AS3691" s="235" t="s">
        <v>23542</v>
      </c>
      <c r="AT3691" s="235" t="s">
        <v>16</v>
      </c>
      <c r="AU3691" s="235" t="s">
        <v>634</v>
      </c>
      <c r="AV3691" s="246" t="s">
        <v>635</v>
      </c>
      <c r="AW3691" s="227"/>
      <c r="AX3691" s="227"/>
      <c r="AY3691" s="227"/>
      <c r="AZ3691" s="227"/>
      <c r="BA3691" s="227"/>
      <c r="BB3691" s="227"/>
      <c r="BC3691" s="227"/>
      <c r="BD3691" s="227"/>
      <c r="BE3691" s="227"/>
      <c r="BF3691" s="227"/>
    </row>
    <row r="3692">
      <c r="A3692" s="235" t="s">
        <v>27668</v>
      </c>
      <c r="C3692" s="235" t="s">
        <v>27669</v>
      </c>
      <c r="D3692" s="235" t="s">
        <v>27670</v>
      </c>
      <c r="E3692" s="243">
        <v>6.52E13</v>
      </c>
      <c r="F3692" s="245"/>
      <c r="G3692" s="235" t="s">
        <v>27671</v>
      </c>
      <c r="H3692" s="235" t="s">
        <v>27672</v>
      </c>
      <c r="I3692" s="235" t="s">
        <v>27672</v>
      </c>
      <c r="J3692" s="235" t="s">
        <v>27673</v>
      </c>
      <c r="K3692" s="235" t="s">
        <v>27674</v>
      </c>
      <c r="N3692" s="235" t="s">
        <v>962</v>
      </c>
      <c r="O3692" s="235" t="s">
        <v>963</v>
      </c>
      <c r="P3692" s="238">
        <v>1.0</v>
      </c>
      <c r="Q3692" s="235" t="s">
        <v>627</v>
      </c>
      <c r="R3692" s="238">
        <v>237.14</v>
      </c>
      <c r="S3692" s="238">
        <v>11.5</v>
      </c>
      <c r="T3692" s="238">
        <v>0.0</v>
      </c>
      <c r="U3692" s="238">
        <v>0.0</v>
      </c>
      <c r="V3692" s="238">
        <v>0.0</v>
      </c>
      <c r="W3692" s="238">
        <v>0.0</v>
      </c>
      <c r="X3692" s="235" t="s">
        <v>628</v>
      </c>
      <c r="Z3692" s="245"/>
      <c r="AA3692" s="245"/>
      <c r="AB3692" s="245"/>
      <c r="AC3692" s="235" t="s">
        <v>678</v>
      </c>
      <c r="AD3692" s="235" t="s">
        <v>679</v>
      </c>
      <c r="AE3692" s="238">
        <v>560076.0</v>
      </c>
      <c r="AF3692" s="235" t="s">
        <v>631</v>
      </c>
      <c r="AG3692" s="245"/>
      <c r="AH3692" s="245"/>
      <c r="AI3692" s="245"/>
      <c r="AJ3692" s="245"/>
      <c r="AK3692" s="245"/>
      <c r="AL3692" s="245"/>
      <c r="AM3692" s="245"/>
      <c r="AN3692" s="245"/>
      <c r="AO3692" s="238">
        <v>-7.11</v>
      </c>
      <c r="AP3692" s="238">
        <v>0.0</v>
      </c>
      <c r="AQ3692" s="235" t="s">
        <v>632</v>
      </c>
      <c r="AR3692" s="243">
        <v>3.71E11</v>
      </c>
      <c r="AS3692" s="235" t="s">
        <v>26892</v>
      </c>
      <c r="AT3692" s="235" t="s">
        <v>11</v>
      </c>
      <c r="AU3692" s="235" t="s">
        <v>634</v>
      </c>
      <c r="AV3692" s="246" t="s">
        <v>635</v>
      </c>
      <c r="AW3692" s="227"/>
      <c r="AX3692" s="227"/>
      <c r="AY3692" s="227"/>
      <c r="AZ3692" s="227"/>
      <c r="BA3692" s="227"/>
      <c r="BB3692" s="227"/>
      <c r="BC3692" s="227"/>
      <c r="BD3692" s="227"/>
      <c r="BE3692" s="227"/>
      <c r="BF3692" s="227"/>
    </row>
    <row r="3693">
      <c r="A3693" s="235" t="s">
        <v>27675</v>
      </c>
      <c r="C3693" s="235" t="s">
        <v>27676</v>
      </c>
      <c r="D3693" s="235" t="s">
        <v>27677</v>
      </c>
      <c r="E3693" s="243">
        <v>6.52E13</v>
      </c>
      <c r="F3693" s="245"/>
      <c r="G3693" s="235" t="s">
        <v>27678</v>
      </c>
      <c r="H3693" s="235" t="s">
        <v>27679</v>
      </c>
      <c r="I3693" s="235" t="s">
        <v>27679</v>
      </c>
      <c r="J3693" s="235" t="s">
        <v>27680</v>
      </c>
      <c r="K3693" s="235" t="s">
        <v>27681</v>
      </c>
      <c r="N3693" s="235" t="s">
        <v>144</v>
      </c>
      <c r="O3693" s="235" t="s">
        <v>232</v>
      </c>
      <c r="P3693" s="238">
        <v>1.0</v>
      </c>
      <c r="Q3693" s="235" t="s">
        <v>627</v>
      </c>
      <c r="R3693" s="238">
        <v>626.66</v>
      </c>
      <c r="S3693" s="238">
        <v>31.34</v>
      </c>
      <c r="T3693" s="238">
        <v>0.0</v>
      </c>
      <c r="U3693" s="238">
        <v>0.0</v>
      </c>
      <c r="V3693" s="238">
        <v>0.0</v>
      </c>
      <c r="W3693" s="238">
        <v>0.0</v>
      </c>
      <c r="X3693" s="235" t="s">
        <v>628</v>
      </c>
      <c r="Z3693" s="245"/>
      <c r="AA3693" s="245"/>
      <c r="AB3693" s="245"/>
      <c r="AC3693" s="235" t="s">
        <v>1887</v>
      </c>
      <c r="AD3693" s="235" t="s">
        <v>679</v>
      </c>
      <c r="AE3693" s="238">
        <v>560098.0</v>
      </c>
      <c r="AF3693" s="235" t="s">
        <v>631</v>
      </c>
      <c r="AG3693" s="245"/>
      <c r="AH3693" s="245"/>
      <c r="AI3693" s="245"/>
      <c r="AJ3693" s="245"/>
      <c r="AK3693" s="245"/>
      <c r="AL3693" s="245"/>
      <c r="AM3693" s="245"/>
      <c r="AN3693" s="245"/>
      <c r="AO3693" s="238">
        <v>0.0</v>
      </c>
      <c r="AP3693" s="238">
        <v>0.0</v>
      </c>
      <c r="AQ3693" s="235" t="s">
        <v>632</v>
      </c>
      <c r="AR3693" s="243">
        <v>3.71E11</v>
      </c>
      <c r="AS3693" s="235" t="s">
        <v>26892</v>
      </c>
      <c r="AT3693" s="235" t="s">
        <v>9</v>
      </c>
      <c r="AU3693" s="235" t="s">
        <v>634</v>
      </c>
      <c r="AV3693" s="246" t="s">
        <v>635</v>
      </c>
      <c r="AW3693" s="227"/>
      <c r="AX3693" s="227"/>
      <c r="AY3693" s="227"/>
      <c r="AZ3693" s="227"/>
      <c r="BA3693" s="227"/>
      <c r="BB3693" s="227"/>
      <c r="BC3693" s="227"/>
      <c r="BD3693" s="227"/>
      <c r="BE3693" s="227"/>
      <c r="BF3693" s="227"/>
    </row>
    <row r="3694">
      <c r="A3694" s="235" t="s">
        <v>27682</v>
      </c>
      <c r="C3694" s="235" t="s">
        <v>27683</v>
      </c>
      <c r="D3694" s="235" t="s">
        <v>27684</v>
      </c>
      <c r="E3694" s="243">
        <v>6.52E13</v>
      </c>
      <c r="F3694" s="245"/>
      <c r="G3694" s="235" t="s">
        <v>27685</v>
      </c>
      <c r="H3694" s="235" t="s">
        <v>27686</v>
      </c>
      <c r="I3694" s="235" t="s">
        <v>27686</v>
      </c>
      <c r="J3694" s="235" t="s">
        <v>27687</v>
      </c>
      <c r="K3694" s="235" t="s">
        <v>27688</v>
      </c>
      <c r="N3694" s="235" t="s">
        <v>136</v>
      </c>
      <c r="O3694" s="235" t="s">
        <v>256</v>
      </c>
      <c r="P3694" s="238">
        <v>1.0</v>
      </c>
      <c r="Q3694" s="235" t="s">
        <v>627</v>
      </c>
      <c r="R3694" s="238">
        <v>242.86</v>
      </c>
      <c r="S3694" s="238">
        <v>12.14</v>
      </c>
      <c r="T3694" s="238">
        <v>0.0</v>
      </c>
      <c r="U3694" s="238">
        <v>0.0</v>
      </c>
      <c r="V3694" s="238">
        <v>0.0</v>
      </c>
      <c r="W3694" s="238">
        <v>0.0</v>
      </c>
      <c r="X3694" s="235" t="s">
        <v>628</v>
      </c>
      <c r="Z3694" s="245"/>
      <c r="AA3694" s="245"/>
      <c r="AB3694" s="245"/>
      <c r="AC3694" s="235" t="s">
        <v>27689</v>
      </c>
      <c r="AD3694" s="235" t="s">
        <v>796</v>
      </c>
      <c r="AE3694" s="238">
        <v>110092.0</v>
      </c>
      <c r="AF3694" s="235" t="s">
        <v>631</v>
      </c>
      <c r="AG3694" s="245"/>
      <c r="AH3694" s="245"/>
      <c r="AI3694" s="245"/>
      <c r="AJ3694" s="245"/>
      <c r="AK3694" s="245"/>
      <c r="AL3694" s="245"/>
      <c r="AM3694" s="245"/>
      <c r="AN3694" s="245"/>
      <c r="AO3694" s="238">
        <v>0.0</v>
      </c>
      <c r="AP3694" s="238">
        <v>0.0</v>
      </c>
      <c r="AQ3694" s="235" t="s">
        <v>632</v>
      </c>
      <c r="AR3694" s="243">
        <v>1.68E11</v>
      </c>
      <c r="AS3694" s="235" t="s">
        <v>27428</v>
      </c>
      <c r="AT3694" s="235" t="s">
        <v>14</v>
      </c>
      <c r="AU3694" s="235" t="s">
        <v>634</v>
      </c>
      <c r="AV3694" s="246" t="s">
        <v>635</v>
      </c>
      <c r="AW3694" s="227"/>
      <c r="AX3694" s="227"/>
      <c r="AY3694" s="227"/>
      <c r="AZ3694" s="227"/>
      <c r="BA3694" s="227"/>
      <c r="BB3694" s="227"/>
      <c r="BC3694" s="227"/>
      <c r="BD3694" s="227"/>
      <c r="BE3694" s="227"/>
      <c r="BF3694" s="227"/>
    </row>
    <row r="3695">
      <c r="A3695" s="235" t="s">
        <v>27690</v>
      </c>
      <c r="C3695" s="235" t="s">
        <v>27691</v>
      </c>
      <c r="D3695" s="235" t="s">
        <v>27692</v>
      </c>
      <c r="E3695" s="243">
        <v>6.51E13</v>
      </c>
      <c r="F3695" s="245"/>
      <c r="G3695" s="235" t="s">
        <v>27693</v>
      </c>
      <c r="H3695" s="235" t="s">
        <v>27694</v>
      </c>
      <c r="I3695" s="235" t="s">
        <v>27694</v>
      </c>
      <c r="J3695" s="235" t="s">
        <v>27695</v>
      </c>
      <c r="K3695" s="235" t="s">
        <v>23331</v>
      </c>
      <c r="N3695" s="235" t="s">
        <v>85</v>
      </c>
      <c r="O3695" s="235" t="s">
        <v>872</v>
      </c>
      <c r="P3695" s="238">
        <v>1.0</v>
      </c>
      <c r="Q3695" s="235" t="s">
        <v>627</v>
      </c>
      <c r="R3695" s="238">
        <v>232.38</v>
      </c>
      <c r="S3695" s="238">
        <v>11.27</v>
      </c>
      <c r="T3695" s="238">
        <v>0.0</v>
      </c>
      <c r="U3695" s="238">
        <v>0.0</v>
      </c>
      <c r="V3695" s="238">
        <v>0.0</v>
      </c>
      <c r="W3695" s="238">
        <v>0.0</v>
      </c>
      <c r="X3695" s="235" t="s">
        <v>628</v>
      </c>
      <c r="Z3695" s="245"/>
      <c r="AA3695" s="245"/>
      <c r="AB3695" s="245"/>
      <c r="AC3695" s="235" t="s">
        <v>16410</v>
      </c>
      <c r="AD3695" s="235" t="s">
        <v>917</v>
      </c>
      <c r="AE3695" s="238">
        <v>334003.0</v>
      </c>
      <c r="AF3695" s="235" t="s">
        <v>631</v>
      </c>
      <c r="AG3695" s="245"/>
      <c r="AH3695" s="245"/>
      <c r="AI3695" s="245"/>
      <c r="AJ3695" s="245"/>
      <c r="AK3695" s="245"/>
      <c r="AL3695" s="245"/>
      <c r="AM3695" s="245"/>
      <c r="AN3695" s="245"/>
      <c r="AO3695" s="238">
        <v>-6.97</v>
      </c>
      <c r="AP3695" s="238">
        <v>0.0</v>
      </c>
      <c r="AQ3695" s="235" t="s">
        <v>632</v>
      </c>
      <c r="AR3695" s="243">
        <v>3.71E11</v>
      </c>
      <c r="AS3695" s="235" t="s">
        <v>25098</v>
      </c>
      <c r="AT3695" s="235" t="s">
        <v>533</v>
      </c>
      <c r="AU3695" s="235" t="s">
        <v>634</v>
      </c>
      <c r="AV3695" s="246" t="s">
        <v>635</v>
      </c>
      <c r="AW3695" s="227"/>
      <c r="AX3695" s="227"/>
      <c r="AY3695" s="227"/>
      <c r="AZ3695" s="227"/>
      <c r="BA3695" s="227"/>
      <c r="BB3695" s="227"/>
      <c r="BC3695" s="227"/>
      <c r="BD3695" s="227"/>
      <c r="BE3695" s="227"/>
      <c r="BF3695" s="227"/>
    </row>
    <row r="3696">
      <c r="A3696" s="235" t="s">
        <v>27696</v>
      </c>
      <c r="C3696" s="235" t="s">
        <v>27697</v>
      </c>
      <c r="D3696" s="235" t="s">
        <v>27698</v>
      </c>
      <c r="E3696" s="243">
        <v>6.52E13</v>
      </c>
      <c r="F3696" s="245"/>
      <c r="G3696" s="235" t="s">
        <v>27699</v>
      </c>
      <c r="H3696" s="235" t="s">
        <v>27700</v>
      </c>
      <c r="I3696" s="235" t="s">
        <v>27700</v>
      </c>
      <c r="J3696" s="235" t="s">
        <v>27701</v>
      </c>
      <c r="K3696" s="235" t="s">
        <v>27702</v>
      </c>
      <c r="N3696" s="235" t="s">
        <v>144</v>
      </c>
      <c r="O3696" s="235" t="s">
        <v>232</v>
      </c>
      <c r="P3696" s="238">
        <v>1.0</v>
      </c>
      <c r="Q3696" s="235" t="s">
        <v>627</v>
      </c>
      <c r="R3696" s="238">
        <v>626.66</v>
      </c>
      <c r="S3696" s="238">
        <v>30.4</v>
      </c>
      <c r="T3696" s="238">
        <v>0.0</v>
      </c>
      <c r="U3696" s="238">
        <v>0.0</v>
      </c>
      <c r="V3696" s="238">
        <v>0.0</v>
      </c>
      <c r="W3696" s="238">
        <v>0.0</v>
      </c>
      <c r="X3696" s="235" t="s">
        <v>628</v>
      </c>
      <c r="Z3696" s="245"/>
      <c r="AA3696" s="245"/>
      <c r="AB3696" s="245"/>
      <c r="AC3696" s="235" t="s">
        <v>678</v>
      </c>
      <c r="AD3696" s="235" t="s">
        <v>679</v>
      </c>
      <c r="AE3696" s="238">
        <v>560016.0</v>
      </c>
      <c r="AF3696" s="235" t="s">
        <v>631</v>
      </c>
      <c r="AG3696" s="245"/>
      <c r="AH3696" s="245"/>
      <c r="AI3696" s="245"/>
      <c r="AJ3696" s="245"/>
      <c r="AK3696" s="245"/>
      <c r="AL3696" s="245"/>
      <c r="AM3696" s="245"/>
      <c r="AN3696" s="245"/>
      <c r="AO3696" s="238">
        <v>-18.8</v>
      </c>
      <c r="AP3696" s="238">
        <v>0.0</v>
      </c>
      <c r="AQ3696" s="235" t="s">
        <v>632</v>
      </c>
      <c r="AR3696" s="243">
        <v>1.68E11</v>
      </c>
      <c r="AS3696" s="235" t="s">
        <v>27428</v>
      </c>
      <c r="AT3696" s="235" t="s">
        <v>9</v>
      </c>
      <c r="AU3696" s="235" t="s">
        <v>634</v>
      </c>
      <c r="AV3696" s="246" t="s">
        <v>635</v>
      </c>
      <c r="AW3696" s="227"/>
      <c r="AX3696" s="227"/>
      <c r="AY3696" s="227"/>
      <c r="AZ3696" s="227"/>
      <c r="BA3696" s="227"/>
      <c r="BB3696" s="227"/>
      <c r="BC3696" s="227"/>
      <c r="BD3696" s="227"/>
      <c r="BE3696" s="227"/>
      <c r="BF3696" s="227"/>
    </row>
    <row r="3697">
      <c r="A3697" s="235" t="s">
        <v>27703</v>
      </c>
      <c r="C3697" s="235" t="s">
        <v>27704</v>
      </c>
      <c r="D3697" s="235" t="s">
        <v>27705</v>
      </c>
      <c r="E3697" s="243">
        <v>6.52E13</v>
      </c>
      <c r="F3697" s="245"/>
      <c r="G3697" s="235" t="s">
        <v>27706</v>
      </c>
      <c r="H3697" s="235" t="s">
        <v>27707</v>
      </c>
      <c r="I3697" s="235" t="s">
        <v>27707</v>
      </c>
      <c r="J3697" s="235" t="s">
        <v>27708</v>
      </c>
      <c r="K3697" s="235" t="s">
        <v>27709</v>
      </c>
      <c r="N3697" s="235" t="s">
        <v>842</v>
      </c>
      <c r="O3697" s="235" t="s">
        <v>843</v>
      </c>
      <c r="P3697" s="238">
        <v>1.0</v>
      </c>
      <c r="Q3697" s="235" t="s">
        <v>627</v>
      </c>
      <c r="R3697" s="238">
        <v>237.14</v>
      </c>
      <c r="S3697" s="238">
        <v>11.86</v>
      </c>
      <c r="T3697" s="238">
        <v>0.0</v>
      </c>
      <c r="U3697" s="238">
        <v>0.0</v>
      </c>
      <c r="V3697" s="238">
        <v>0.0</v>
      </c>
      <c r="W3697" s="238">
        <v>0.0</v>
      </c>
      <c r="X3697" s="235" t="s">
        <v>628</v>
      </c>
      <c r="Z3697" s="245"/>
      <c r="AA3697" s="245"/>
      <c r="AB3697" s="245"/>
      <c r="AC3697" s="235" t="s">
        <v>1475</v>
      </c>
      <c r="AD3697" s="235" t="s">
        <v>796</v>
      </c>
      <c r="AE3697" s="238">
        <v>110025.0</v>
      </c>
      <c r="AF3697" s="235" t="s">
        <v>631</v>
      </c>
      <c r="AG3697" s="245"/>
      <c r="AH3697" s="245"/>
      <c r="AI3697" s="245"/>
      <c r="AJ3697" s="245"/>
      <c r="AK3697" s="245"/>
      <c r="AL3697" s="245"/>
      <c r="AM3697" s="245"/>
      <c r="AN3697" s="245"/>
      <c r="AO3697" s="238">
        <v>0.0</v>
      </c>
      <c r="AP3697" s="238">
        <v>0.0</v>
      </c>
      <c r="AQ3697" s="235" t="s">
        <v>632</v>
      </c>
      <c r="AR3697" s="243">
        <v>1.68E11</v>
      </c>
      <c r="AS3697" s="235" t="s">
        <v>27428</v>
      </c>
      <c r="AT3697" s="235" t="s">
        <v>14</v>
      </c>
      <c r="AU3697" s="235" t="s">
        <v>634</v>
      </c>
      <c r="AV3697" s="246" t="s">
        <v>635</v>
      </c>
      <c r="AW3697" s="227"/>
      <c r="AX3697" s="227"/>
      <c r="AY3697" s="227"/>
      <c r="AZ3697" s="227"/>
      <c r="BA3697" s="227"/>
      <c r="BB3697" s="227"/>
      <c r="BC3697" s="227"/>
      <c r="BD3697" s="227"/>
      <c r="BE3697" s="227"/>
      <c r="BF3697" s="227"/>
    </row>
    <row r="3698">
      <c r="A3698" s="235" t="s">
        <v>27710</v>
      </c>
      <c r="C3698" s="235" t="s">
        <v>27711</v>
      </c>
      <c r="D3698" s="235" t="s">
        <v>27712</v>
      </c>
      <c r="E3698" s="243">
        <v>6.51E13</v>
      </c>
      <c r="F3698" s="245"/>
      <c r="G3698" s="235" t="s">
        <v>27713</v>
      </c>
      <c r="H3698" s="235" t="s">
        <v>27714</v>
      </c>
      <c r="I3698" s="235" t="s">
        <v>27715</v>
      </c>
      <c r="J3698" s="235" t="s">
        <v>27716</v>
      </c>
      <c r="K3698" s="235" t="s">
        <v>27717</v>
      </c>
      <c r="N3698" s="235" t="s">
        <v>127</v>
      </c>
      <c r="O3698" s="235" t="s">
        <v>794</v>
      </c>
      <c r="P3698" s="238">
        <v>1.0</v>
      </c>
      <c r="Q3698" s="235" t="s">
        <v>627</v>
      </c>
      <c r="R3698" s="238">
        <v>270.48</v>
      </c>
      <c r="S3698" s="238">
        <v>13.52</v>
      </c>
      <c r="T3698" s="238">
        <v>38.1</v>
      </c>
      <c r="U3698" s="238">
        <v>1.9</v>
      </c>
      <c r="V3698" s="238">
        <v>0.0</v>
      </c>
      <c r="W3698" s="238">
        <v>0.0</v>
      </c>
      <c r="X3698" s="235" t="s">
        <v>628</v>
      </c>
      <c r="Z3698" s="245"/>
      <c r="AA3698" s="245"/>
      <c r="AB3698" s="245"/>
      <c r="AC3698" s="235" t="s">
        <v>1910</v>
      </c>
      <c r="AD3698" s="235" t="s">
        <v>928</v>
      </c>
      <c r="AE3698" s="238">
        <v>122001.0</v>
      </c>
      <c r="AF3698" s="235" t="s">
        <v>631</v>
      </c>
      <c r="AG3698" s="245"/>
      <c r="AH3698" s="245"/>
      <c r="AI3698" s="245"/>
      <c r="AJ3698" s="245"/>
      <c r="AK3698" s="245"/>
      <c r="AL3698" s="245"/>
      <c r="AM3698" s="245"/>
      <c r="AN3698" s="245"/>
      <c r="AO3698" s="238">
        <v>0.0</v>
      </c>
      <c r="AP3698" s="238">
        <v>-38.1</v>
      </c>
      <c r="AQ3698" s="235" t="s">
        <v>632</v>
      </c>
      <c r="AR3698" s="243">
        <v>3.71E11</v>
      </c>
      <c r="AS3698" s="235" t="s">
        <v>26892</v>
      </c>
      <c r="AT3698" s="235" t="s">
        <v>13</v>
      </c>
      <c r="AU3698" s="235" t="s">
        <v>634</v>
      </c>
      <c r="AV3698" s="246" t="s">
        <v>635</v>
      </c>
      <c r="AW3698" s="227"/>
      <c r="AX3698" s="227"/>
      <c r="AY3698" s="227"/>
      <c r="AZ3698" s="227"/>
      <c r="BA3698" s="227"/>
      <c r="BB3698" s="227"/>
      <c r="BC3698" s="227"/>
      <c r="BD3698" s="227"/>
      <c r="BE3698" s="227"/>
      <c r="BF3698" s="227"/>
    </row>
    <row r="3699">
      <c r="A3699" s="235" t="s">
        <v>27718</v>
      </c>
      <c r="C3699" s="235" t="s">
        <v>27719</v>
      </c>
      <c r="D3699" s="235" t="s">
        <v>27720</v>
      </c>
      <c r="E3699" s="243">
        <v>6.52E13</v>
      </c>
      <c r="F3699" s="245"/>
      <c r="G3699" s="235" t="s">
        <v>27721</v>
      </c>
      <c r="H3699" s="235" t="s">
        <v>27722</v>
      </c>
      <c r="I3699" s="235" t="s">
        <v>27723</v>
      </c>
      <c r="J3699" s="235" t="s">
        <v>27724</v>
      </c>
      <c r="K3699" s="235" t="s">
        <v>27725</v>
      </c>
      <c r="N3699" s="235" t="s">
        <v>42</v>
      </c>
      <c r="O3699" s="235" t="s">
        <v>204</v>
      </c>
      <c r="P3699" s="238">
        <v>1.0</v>
      </c>
      <c r="Q3699" s="235" t="s">
        <v>627</v>
      </c>
      <c r="R3699" s="238">
        <v>236.19</v>
      </c>
      <c r="S3699" s="238">
        <v>11.46</v>
      </c>
      <c r="T3699" s="238">
        <v>0.0</v>
      </c>
      <c r="U3699" s="238">
        <v>0.0</v>
      </c>
      <c r="V3699" s="238">
        <v>0.0</v>
      </c>
      <c r="W3699" s="238">
        <v>0.0</v>
      </c>
      <c r="X3699" s="235" t="s">
        <v>628</v>
      </c>
      <c r="Z3699" s="245"/>
      <c r="AA3699" s="245"/>
      <c r="AB3699" s="245"/>
      <c r="AC3699" s="235" t="s">
        <v>27726</v>
      </c>
      <c r="AD3699" s="235" t="s">
        <v>833</v>
      </c>
      <c r="AE3699" s="238">
        <v>523155.0</v>
      </c>
      <c r="AF3699" s="235" t="s">
        <v>631</v>
      </c>
      <c r="AG3699" s="245"/>
      <c r="AH3699" s="245"/>
      <c r="AI3699" s="245"/>
      <c r="AJ3699" s="245"/>
      <c r="AK3699" s="245"/>
      <c r="AL3699" s="245"/>
      <c r="AM3699" s="245"/>
      <c r="AN3699" s="245"/>
      <c r="AO3699" s="238">
        <v>-7.09</v>
      </c>
      <c r="AP3699" s="238">
        <v>0.0</v>
      </c>
      <c r="AQ3699" s="235" t="s">
        <v>632</v>
      </c>
      <c r="AR3699" s="243">
        <v>3.71E11</v>
      </c>
      <c r="AS3699" s="235" t="s">
        <v>23542</v>
      </c>
      <c r="AT3699" s="235" t="s">
        <v>156</v>
      </c>
      <c r="AU3699" s="235" t="s">
        <v>634</v>
      </c>
      <c r="AV3699" s="246" t="s">
        <v>635</v>
      </c>
      <c r="AW3699" s="227"/>
      <c r="AX3699" s="227"/>
      <c r="AY3699" s="227"/>
      <c r="AZ3699" s="227"/>
      <c r="BA3699" s="227"/>
      <c r="BB3699" s="227"/>
      <c r="BC3699" s="227"/>
      <c r="BD3699" s="227"/>
      <c r="BE3699" s="227"/>
      <c r="BF3699" s="227"/>
    </row>
    <row r="3700">
      <c r="A3700" s="235" t="s">
        <v>27718</v>
      </c>
      <c r="C3700" s="235" t="s">
        <v>27719</v>
      </c>
      <c r="D3700" s="235" t="s">
        <v>27727</v>
      </c>
      <c r="E3700" s="243">
        <v>6.52E13</v>
      </c>
      <c r="F3700" s="245"/>
      <c r="G3700" s="235" t="s">
        <v>27721</v>
      </c>
      <c r="H3700" s="235" t="s">
        <v>27722</v>
      </c>
      <c r="I3700" s="235" t="s">
        <v>27723</v>
      </c>
      <c r="J3700" s="235" t="s">
        <v>27724</v>
      </c>
      <c r="K3700" s="235" t="s">
        <v>27725</v>
      </c>
      <c r="N3700" s="235" t="s">
        <v>42</v>
      </c>
      <c r="O3700" s="235" t="s">
        <v>204</v>
      </c>
      <c r="P3700" s="238">
        <v>1.0</v>
      </c>
      <c r="Q3700" s="235" t="s">
        <v>627</v>
      </c>
      <c r="R3700" s="238">
        <v>236.19</v>
      </c>
      <c r="S3700" s="238">
        <v>11.46</v>
      </c>
      <c r="T3700" s="238">
        <v>0.0</v>
      </c>
      <c r="U3700" s="238">
        <v>0.0</v>
      </c>
      <c r="V3700" s="238">
        <v>0.0</v>
      </c>
      <c r="W3700" s="238">
        <v>0.0</v>
      </c>
      <c r="X3700" s="235" t="s">
        <v>628</v>
      </c>
      <c r="Z3700" s="245"/>
      <c r="AA3700" s="245"/>
      <c r="AB3700" s="245"/>
      <c r="AC3700" s="235" t="s">
        <v>27726</v>
      </c>
      <c r="AD3700" s="235" t="s">
        <v>833</v>
      </c>
      <c r="AE3700" s="238">
        <v>523155.0</v>
      </c>
      <c r="AF3700" s="235" t="s">
        <v>631</v>
      </c>
      <c r="AG3700" s="245"/>
      <c r="AH3700" s="245"/>
      <c r="AI3700" s="245"/>
      <c r="AJ3700" s="245"/>
      <c r="AK3700" s="245"/>
      <c r="AL3700" s="245"/>
      <c r="AM3700" s="245"/>
      <c r="AN3700" s="245"/>
      <c r="AO3700" s="238">
        <v>-7.09</v>
      </c>
      <c r="AP3700" s="238">
        <v>0.0</v>
      </c>
      <c r="AQ3700" s="235" t="s">
        <v>632</v>
      </c>
      <c r="AR3700" s="243">
        <v>3.71E11</v>
      </c>
      <c r="AS3700" s="235" t="s">
        <v>23542</v>
      </c>
      <c r="AT3700" s="235" t="s">
        <v>156</v>
      </c>
      <c r="AU3700" s="235" t="s">
        <v>634</v>
      </c>
      <c r="AV3700" s="246" t="s">
        <v>635</v>
      </c>
      <c r="AW3700" s="227"/>
      <c r="AX3700" s="227"/>
      <c r="AY3700" s="227"/>
      <c r="AZ3700" s="227"/>
      <c r="BA3700" s="227"/>
      <c r="BB3700" s="227"/>
      <c r="BC3700" s="227"/>
      <c r="BD3700" s="227"/>
      <c r="BE3700" s="227"/>
      <c r="BF3700" s="227"/>
    </row>
    <row r="3701">
      <c r="A3701" s="235" t="s">
        <v>27728</v>
      </c>
      <c r="C3701" s="235" t="s">
        <v>27729</v>
      </c>
      <c r="D3701" s="235" t="s">
        <v>27730</v>
      </c>
      <c r="E3701" s="243">
        <v>6.52E13</v>
      </c>
      <c r="F3701" s="245"/>
      <c r="G3701" s="235" t="s">
        <v>27731</v>
      </c>
      <c r="H3701" s="235" t="s">
        <v>27723</v>
      </c>
      <c r="I3701" s="235" t="s">
        <v>27723</v>
      </c>
      <c r="J3701" s="235" t="s">
        <v>27732</v>
      </c>
      <c r="K3701" s="235" t="s">
        <v>26478</v>
      </c>
      <c r="N3701" s="235" t="s">
        <v>51</v>
      </c>
      <c r="O3701" s="235" t="s">
        <v>273</v>
      </c>
      <c r="P3701" s="238">
        <v>1.0</v>
      </c>
      <c r="Q3701" s="235" t="s">
        <v>627</v>
      </c>
      <c r="R3701" s="238">
        <v>246.66</v>
      </c>
      <c r="S3701" s="238">
        <v>12.34</v>
      </c>
      <c r="T3701" s="238">
        <v>0.0</v>
      </c>
      <c r="U3701" s="238">
        <v>0.0</v>
      </c>
      <c r="V3701" s="238">
        <v>0.0</v>
      </c>
      <c r="W3701" s="238">
        <v>0.0</v>
      </c>
      <c r="X3701" s="235" t="s">
        <v>628</v>
      </c>
      <c r="Z3701" s="245"/>
      <c r="AA3701" s="245"/>
      <c r="AB3701" s="245"/>
      <c r="AC3701" s="235" t="s">
        <v>1887</v>
      </c>
      <c r="AD3701" s="235" t="s">
        <v>679</v>
      </c>
      <c r="AE3701" s="238">
        <v>560043.0</v>
      </c>
      <c r="AF3701" s="235" t="s">
        <v>631</v>
      </c>
      <c r="AG3701" s="245"/>
      <c r="AH3701" s="245"/>
      <c r="AI3701" s="245"/>
      <c r="AJ3701" s="245"/>
      <c r="AK3701" s="245"/>
      <c r="AL3701" s="245"/>
      <c r="AM3701" s="245"/>
      <c r="AN3701" s="245"/>
      <c r="AO3701" s="238">
        <v>0.0</v>
      </c>
      <c r="AP3701" s="238">
        <v>0.0</v>
      </c>
      <c r="AQ3701" s="235" t="s">
        <v>632</v>
      </c>
      <c r="AR3701" s="243">
        <v>1.68E11</v>
      </c>
      <c r="AS3701" s="235" t="s">
        <v>27428</v>
      </c>
      <c r="AT3701" s="235" t="s">
        <v>11</v>
      </c>
      <c r="AU3701" s="235" t="s">
        <v>634</v>
      </c>
      <c r="AV3701" s="246" t="s">
        <v>635</v>
      </c>
      <c r="AW3701" s="227"/>
      <c r="AX3701" s="227"/>
      <c r="AY3701" s="227"/>
      <c r="AZ3701" s="227"/>
      <c r="BA3701" s="227"/>
      <c r="BB3701" s="227"/>
      <c r="BC3701" s="227"/>
      <c r="BD3701" s="227"/>
      <c r="BE3701" s="227"/>
      <c r="BF3701" s="227"/>
    </row>
    <row r="3702">
      <c r="A3702" s="235" t="s">
        <v>27733</v>
      </c>
      <c r="C3702" s="235" t="s">
        <v>27734</v>
      </c>
      <c r="D3702" s="235" t="s">
        <v>27735</v>
      </c>
      <c r="E3702" s="243">
        <v>6.51E13</v>
      </c>
      <c r="F3702" s="245"/>
      <c r="G3702" s="235" t="s">
        <v>27736</v>
      </c>
      <c r="H3702" s="235" t="s">
        <v>27737</v>
      </c>
      <c r="I3702" s="235" t="s">
        <v>27737</v>
      </c>
      <c r="J3702" s="235" t="s">
        <v>27738</v>
      </c>
      <c r="K3702" s="235" t="s">
        <v>27739</v>
      </c>
      <c r="N3702" s="235" t="s">
        <v>50</v>
      </c>
      <c r="O3702" s="235" t="s">
        <v>367</v>
      </c>
      <c r="P3702" s="238">
        <v>1.0</v>
      </c>
      <c r="Q3702" s="235" t="s">
        <v>627</v>
      </c>
      <c r="R3702" s="238">
        <v>246.67</v>
      </c>
      <c r="S3702" s="238">
        <v>12.33</v>
      </c>
      <c r="T3702" s="238">
        <v>38.1</v>
      </c>
      <c r="U3702" s="238">
        <v>1.9</v>
      </c>
      <c r="V3702" s="238">
        <v>0.0</v>
      </c>
      <c r="W3702" s="238">
        <v>0.0</v>
      </c>
      <c r="X3702" s="235" t="s">
        <v>628</v>
      </c>
      <c r="Z3702" s="245"/>
      <c r="AA3702" s="245"/>
      <c r="AB3702" s="245"/>
      <c r="AC3702" s="235" t="s">
        <v>697</v>
      </c>
      <c r="AD3702" s="235" t="s">
        <v>698</v>
      </c>
      <c r="AE3702" s="238">
        <v>500010.0</v>
      </c>
      <c r="AF3702" s="235" t="s">
        <v>631</v>
      </c>
      <c r="AG3702" s="245"/>
      <c r="AH3702" s="245"/>
      <c r="AI3702" s="245"/>
      <c r="AJ3702" s="245"/>
      <c r="AK3702" s="245"/>
      <c r="AL3702" s="245"/>
      <c r="AM3702" s="245"/>
      <c r="AN3702" s="245"/>
      <c r="AO3702" s="238">
        <v>0.0</v>
      </c>
      <c r="AP3702" s="238">
        <v>0.0</v>
      </c>
      <c r="AQ3702" s="235" t="s">
        <v>632</v>
      </c>
      <c r="AR3702" s="243">
        <v>3.71E11</v>
      </c>
      <c r="AS3702" s="235" t="s">
        <v>23542</v>
      </c>
      <c r="AT3702" s="235" t="s">
        <v>16</v>
      </c>
      <c r="AU3702" s="235" t="s">
        <v>634</v>
      </c>
      <c r="AV3702" s="246" t="s">
        <v>635</v>
      </c>
      <c r="AW3702" s="227"/>
      <c r="AX3702" s="227"/>
      <c r="AY3702" s="227"/>
      <c r="AZ3702" s="227"/>
      <c r="BA3702" s="227"/>
      <c r="BB3702" s="227"/>
      <c r="BC3702" s="227"/>
      <c r="BD3702" s="227"/>
      <c r="BE3702" s="227"/>
      <c r="BF3702" s="227"/>
    </row>
    <row r="3703">
      <c r="A3703" s="235" t="s">
        <v>27740</v>
      </c>
      <c r="C3703" s="235" t="s">
        <v>27741</v>
      </c>
      <c r="D3703" s="235" t="s">
        <v>27742</v>
      </c>
      <c r="E3703" s="243">
        <v>6.52E13</v>
      </c>
      <c r="F3703" s="245"/>
      <c r="G3703" s="235" t="s">
        <v>27743</v>
      </c>
      <c r="H3703" s="235" t="s">
        <v>27744</v>
      </c>
      <c r="I3703" s="235" t="s">
        <v>27745</v>
      </c>
      <c r="J3703" s="235" t="s">
        <v>27746</v>
      </c>
      <c r="K3703" s="235" t="s">
        <v>27747</v>
      </c>
      <c r="N3703" s="235" t="s">
        <v>85</v>
      </c>
      <c r="O3703" s="235" t="s">
        <v>872</v>
      </c>
      <c r="P3703" s="238">
        <v>1.0</v>
      </c>
      <c r="Q3703" s="235" t="s">
        <v>627</v>
      </c>
      <c r="R3703" s="238">
        <v>232.38</v>
      </c>
      <c r="S3703" s="238">
        <v>11.62</v>
      </c>
      <c r="T3703" s="238">
        <v>0.0</v>
      </c>
      <c r="U3703" s="238">
        <v>0.0</v>
      </c>
      <c r="V3703" s="238">
        <v>0.0</v>
      </c>
      <c r="W3703" s="238">
        <v>0.0</v>
      </c>
      <c r="X3703" s="235" t="s">
        <v>628</v>
      </c>
      <c r="Z3703" s="245"/>
      <c r="AA3703" s="245"/>
      <c r="AB3703" s="245"/>
      <c r="AC3703" s="235" t="s">
        <v>5923</v>
      </c>
      <c r="AD3703" s="235" t="s">
        <v>666</v>
      </c>
      <c r="AE3703" s="238">
        <v>620019.0</v>
      </c>
      <c r="AF3703" s="235" t="s">
        <v>631</v>
      </c>
      <c r="AG3703" s="245"/>
      <c r="AH3703" s="245"/>
      <c r="AI3703" s="245"/>
      <c r="AJ3703" s="245"/>
      <c r="AK3703" s="245"/>
      <c r="AL3703" s="245"/>
      <c r="AM3703" s="245"/>
      <c r="AN3703" s="245"/>
      <c r="AO3703" s="238">
        <v>0.0</v>
      </c>
      <c r="AP3703" s="238">
        <v>0.0</v>
      </c>
      <c r="AQ3703" s="235" t="s">
        <v>632</v>
      </c>
      <c r="AR3703" s="243">
        <v>3.71E11</v>
      </c>
      <c r="AS3703" s="235" t="s">
        <v>26892</v>
      </c>
      <c r="AT3703" s="235" t="s">
        <v>155</v>
      </c>
      <c r="AU3703" s="235" t="s">
        <v>634</v>
      </c>
      <c r="AV3703" s="246" t="s">
        <v>635</v>
      </c>
      <c r="AW3703" s="227"/>
      <c r="AX3703" s="227"/>
      <c r="AY3703" s="227"/>
      <c r="AZ3703" s="227"/>
      <c r="BA3703" s="227"/>
      <c r="BB3703" s="227"/>
      <c r="BC3703" s="227"/>
      <c r="BD3703" s="227"/>
      <c r="BE3703" s="227"/>
      <c r="BF3703" s="227"/>
    </row>
    <row r="3704">
      <c r="A3704" s="235" t="s">
        <v>27748</v>
      </c>
      <c r="C3704" s="235" t="s">
        <v>27749</v>
      </c>
      <c r="D3704" s="235" t="s">
        <v>27750</v>
      </c>
      <c r="E3704" s="243">
        <v>6.52E13</v>
      </c>
      <c r="F3704" s="245"/>
      <c r="G3704" s="235" t="s">
        <v>27751</v>
      </c>
      <c r="H3704" s="235" t="s">
        <v>27752</v>
      </c>
      <c r="I3704" s="235" t="s">
        <v>27753</v>
      </c>
      <c r="J3704" s="235" t="s">
        <v>27754</v>
      </c>
      <c r="K3704" s="235" t="s">
        <v>27755</v>
      </c>
      <c r="N3704" s="235" t="s">
        <v>127</v>
      </c>
      <c r="O3704" s="235" t="s">
        <v>794</v>
      </c>
      <c r="P3704" s="238">
        <v>1.0</v>
      </c>
      <c r="Q3704" s="235" t="s">
        <v>627</v>
      </c>
      <c r="R3704" s="238">
        <v>236.2</v>
      </c>
      <c r="S3704" s="238">
        <v>11.45</v>
      </c>
      <c r="T3704" s="238">
        <v>0.0</v>
      </c>
      <c r="U3704" s="238">
        <v>0.0</v>
      </c>
      <c r="V3704" s="238">
        <v>0.0</v>
      </c>
      <c r="W3704" s="238">
        <v>0.0</v>
      </c>
      <c r="X3704" s="235" t="s">
        <v>628</v>
      </c>
      <c r="Z3704" s="245"/>
      <c r="AA3704" s="245"/>
      <c r="AB3704" s="245"/>
      <c r="AC3704" s="235" t="s">
        <v>1456</v>
      </c>
      <c r="AD3704" s="235" t="s">
        <v>928</v>
      </c>
      <c r="AE3704" s="238">
        <v>122505.0</v>
      </c>
      <c r="AF3704" s="235" t="s">
        <v>631</v>
      </c>
      <c r="AG3704" s="245"/>
      <c r="AH3704" s="245"/>
      <c r="AI3704" s="245"/>
      <c r="AJ3704" s="245"/>
      <c r="AK3704" s="245"/>
      <c r="AL3704" s="245"/>
      <c r="AM3704" s="245"/>
      <c r="AN3704" s="245"/>
      <c r="AO3704" s="238">
        <v>-7.09</v>
      </c>
      <c r="AP3704" s="238">
        <v>0.0</v>
      </c>
      <c r="AQ3704" s="235" t="s">
        <v>632</v>
      </c>
      <c r="AR3704" s="243">
        <v>3.71E11</v>
      </c>
      <c r="AS3704" s="235" t="s">
        <v>26892</v>
      </c>
      <c r="AT3704" s="235" t="s">
        <v>13</v>
      </c>
      <c r="AU3704" s="235" t="s">
        <v>634</v>
      </c>
      <c r="AV3704" s="246" t="s">
        <v>635</v>
      </c>
      <c r="AW3704" s="227"/>
      <c r="AX3704" s="227"/>
      <c r="AY3704" s="227"/>
      <c r="AZ3704" s="227"/>
      <c r="BA3704" s="227"/>
      <c r="BB3704" s="227"/>
      <c r="BC3704" s="227"/>
      <c r="BD3704" s="227"/>
      <c r="BE3704" s="227"/>
      <c r="BF3704" s="227"/>
    </row>
    <row r="3705">
      <c r="A3705" s="235" t="s">
        <v>27756</v>
      </c>
      <c r="C3705" s="235" t="s">
        <v>27757</v>
      </c>
      <c r="D3705" s="235" t="s">
        <v>27758</v>
      </c>
      <c r="E3705" s="243">
        <v>6.52E13</v>
      </c>
      <c r="F3705" s="245"/>
      <c r="G3705" s="235" t="s">
        <v>27759</v>
      </c>
      <c r="H3705" s="235" t="s">
        <v>27760</v>
      </c>
      <c r="I3705" s="235" t="s">
        <v>27760</v>
      </c>
      <c r="J3705" s="235" t="s">
        <v>27761</v>
      </c>
      <c r="K3705" s="235" t="s">
        <v>27762</v>
      </c>
      <c r="N3705" s="235" t="s">
        <v>143</v>
      </c>
      <c r="O3705" s="235" t="s">
        <v>220</v>
      </c>
      <c r="P3705" s="238">
        <v>1.0</v>
      </c>
      <c r="Q3705" s="235" t="s">
        <v>627</v>
      </c>
      <c r="R3705" s="238">
        <v>233.34</v>
      </c>
      <c r="S3705" s="238">
        <v>11.66</v>
      </c>
      <c r="T3705" s="238">
        <v>0.0</v>
      </c>
      <c r="U3705" s="238">
        <v>0.0</v>
      </c>
      <c r="V3705" s="238">
        <v>0.0</v>
      </c>
      <c r="W3705" s="238">
        <v>0.0</v>
      </c>
      <c r="X3705" s="235" t="s">
        <v>628</v>
      </c>
      <c r="Z3705" s="245"/>
      <c r="AA3705" s="245"/>
      <c r="AB3705" s="245"/>
      <c r="AC3705" s="235" t="s">
        <v>1320</v>
      </c>
      <c r="AD3705" s="235" t="s">
        <v>666</v>
      </c>
      <c r="AE3705" s="238">
        <v>600099.0</v>
      </c>
      <c r="AF3705" s="235" t="s">
        <v>631</v>
      </c>
      <c r="AG3705" s="245"/>
      <c r="AH3705" s="245"/>
      <c r="AI3705" s="245"/>
      <c r="AJ3705" s="245"/>
      <c r="AK3705" s="245"/>
      <c r="AL3705" s="245"/>
      <c r="AM3705" s="245"/>
      <c r="AN3705" s="245"/>
      <c r="AO3705" s="238">
        <v>0.0</v>
      </c>
      <c r="AP3705" s="238">
        <v>0.0</v>
      </c>
      <c r="AQ3705" s="235" t="s">
        <v>632</v>
      </c>
      <c r="AR3705" s="243">
        <v>1.68E11</v>
      </c>
      <c r="AS3705" s="235" t="s">
        <v>27428</v>
      </c>
      <c r="AT3705" s="235" t="s">
        <v>156</v>
      </c>
      <c r="AU3705" s="235" t="s">
        <v>634</v>
      </c>
      <c r="AV3705" s="246" t="s">
        <v>635</v>
      </c>
      <c r="AW3705" s="227"/>
      <c r="AX3705" s="227"/>
      <c r="AY3705" s="227"/>
      <c r="AZ3705" s="227"/>
      <c r="BA3705" s="227"/>
      <c r="BB3705" s="227"/>
      <c r="BC3705" s="227"/>
      <c r="BD3705" s="227"/>
      <c r="BE3705" s="227"/>
      <c r="BF3705" s="227"/>
    </row>
    <row r="3706">
      <c r="A3706" s="235" t="s">
        <v>27763</v>
      </c>
      <c r="C3706" s="235" t="s">
        <v>27764</v>
      </c>
      <c r="D3706" s="235" t="s">
        <v>27765</v>
      </c>
      <c r="E3706" s="243">
        <v>6.52E13</v>
      </c>
      <c r="F3706" s="245"/>
      <c r="G3706" s="235" t="s">
        <v>27766</v>
      </c>
      <c r="H3706" s="235" t="s">
        <v>27767</v>
      </c>
      <c r="I3706" s="235" t="s">
        <v>27767</v>
      </c>
      <c r="J3706" s="235" t="s">
        <v>27768</v>
      </c>
      <c r="K3706" s="235" t="s">
        <v>27769</v>
      </c>
      <c r="N3706" s="235" t="s">
        <v>3</v>
      </c>
      <c r="O3706" s="235" t="s">
        <v>654</v>
      </c>
      <c r="P3706" s="238">
        <v>1.0</v>
      </c>
      <c r="Q3706" s="235" t="s">
        <v>627</v>
      </c>
      <c r="R3706" s="238">
        <v>247.62</v>
      </c>
      <c r="S3706" s="238">
        <v>12.01</v>
      </c>
      <c r="T3706" s="238">
        <v>0.0</v>
      </c>
      <c r="U3706" s="238">
        <v>0.0</v>
      </c>
      <c r="V3706" s="238">
        <v>0.0</v>
      </c>
      <c r="W3706" s="238">
        <v>0.0</v>
      </c>
      <c r="X3706" s="235" t="s">
        <v>628</v>
      </c>
      <c r="Z3706" s="245"/>
      <c r="AA3706" s="245"/>
      <c r="AB3706" s="245"/>
      <c r="AC3706" s="235" t="s">
        <v>678</v>
      </c>
      <c r="AD3706" s="235" t="s">
        <v>679</v>
      </c>
      <c r="AE3706" s="238">
        <v>560049.0</v>
      </c>
      <c r="AF3706" s="235" t="s">
        <v>631</v>
      </c>
      <c r="AG3706" s="245"/>
      <c r="AH3706" s="245"/>
      <c r="AI3706" s="245"/>
      <c r="AJ3706" s="245"/>
      <c r="AK3706" s="245"/>
      <c r="AL3706" s="245"/>
      <c r="AM3706" s="245"/>
      <c r="AN3706" s="245"/>
      <c r="AO3706" s="238">
        <v>-7.43</v>
      </c>
      <c r="AP3706" s="238">
        <v>0.0</v>
      </c>
      <c r="AQ3706" s="235" t="s">
        <v>632</v>
      </c>
      <c r="AR3706" s="243">
        <v>3.71E11</v>
      </c>
      <c r="AS3706" s="235" t="s">
        <v>26892</v>
      </c>
      <c r="AT3706" s="235" t="s">
        <v>9</v>
      </c>
      <c r="AU3706" s="235" t="s">
        <v>634</v>
      </c>
      <c r="AV3706" s="246" t="s">
        <v>635</v>
      </c>
      <c r="AW3706" s="227"/>
      <c r="AX3706" s="227"/>
      <c r="AY3706" s="227"/>
      <c r="AZ3706" s="227"/>
      <c r="BA3706" s="227"/>
      <c r="BB3706" s="227"/>
      <c r="BC3706" s="227"/>
      <c r="BD3706" s="227"/>
      <c r="BE3706" s="227"/>
      <c r="BF3706" s="227"/>
    </row>
    <row r="3707">
      <c r="A3707" s="235" t="s">
        <v>27770</v>
      </c>
      <c r="C3707" s="235" t="s">
        <v>27771</v>
      </c>
      <c r="D3707" s="235" t="s">
        <v>27772</v>
      </c>
      <c r="E3707" s="243">
        <v>6.51E13</v>
      </c>
      <c r="F3707" s="245"/>
      <c r="G3707" s="235" t="s">
        <v>27773</v>
      </c>
      <c r="H3707" s="235" t="s">
        <v>27774</v>
      </c>
      <c r="I3707" s="235" t="s">
        <v>27774</v>
      </c>
      <c r="J3707" s="235" t="s">
        <v>27775</v>
      </c>
      <c r="K3707" s="235" t="s">
        <v>27776</v>
      </c>
      <c r="N3707" s="235" t="s">
        <v>842</v>
      </c>
      <c r="O3707" s="235" t="s">
        <v>843</v>
      </c>
      <c r="P3707" s="238">
        <v>1.0</v>
      </c>
      <c r="Q3707" s="235" t="s">
        <v>627</v>
      </c>
      <c r="R3707" s="238">
        <v>237.14</v>
      </c>
      <c r="S3707" s="238">
        <v>11.86</v>
      </c>
      <c r="T3707" s="238">
        <v>0.0</v>
      </c>
      <c r="U3707" s="238">
        <v>0.0</v>
      </c>
      <c r="V3707" s="238">
        <v>0.0</v>
      </c>
      <c r="W3707" s="238">
        <v>0.0</v>
      </c>
      <c r="X3707" s="235" t="s">
        <v>628</v>
      </c>
      <c r="Z3707" s="245"/>
      <c r="AA3707" s="245"/>
      <c r="AB3707" s="245"/>
      <c r="AC3707" s="235" t="s">
        <v>844</v>
      </c>
      <c r="AD3707" s="235" t="s">
        <v>845</v>
      </c>
      <c r="AE3707" s="238">
        <v>411045.0</v>
      </c>
      <c r="AF3707" s="235" t="s">
        <v>631</v>
      </c>
      <c r="AG3707" s="245"/>
      <c r="AH3707" s="245"/>
      <c r="AI3707" s="245"/>
      <c r="AJ3707" s="245"/>
      <c r="AK3707" s="245"/>
      <c r="AL3707" s="245"/>
      <c r="AM3707" s="245"/>
      <c r="AN3707" s="245"/>
      <c r="AO3707" s="238">
        <v>0.0</v>
      </c>
      <c r="AP3707" s="238">
        <v>0.0</v>
      </c>
      <c r="AQ3707" s="235" t="s">
        <v>632</v>
      </c>
      <c r="AR3707" s="243">
        <v>1.68E11</v>
      </c>
      <c r="AS3707" s="235" t="s">
        <v>25098</v>
      </c>
      <c r="AT3707" s="235" t="s">
        <v>546</v>
      </c>
      <c r="AU3707" s="235" t="s">
        <v>634</v>
      </c>
      <c r="AV3707" s="246" t="s">
        <v>635</v>
      </c>
      <c r="AW3707" s="227"/>
      <c r="AX3707" s="227"/>
      <c r="AY3707" s="227"/>
      <c r="AZ3707" s="227"/>
      <c r="BA3707" s="227"/>
      <c r="BB3707" s="227"/>
      <c r="BC3707" s="227"/>
      <c r="BD3707" s="227"/>
      <c r="BE3707" s="227"/>
      <c r="BF3707" s="227"/>
    </row>
    <row r="3708">
      <c r="A3708" s="235" t="s">
        <v>27777</v>
      </c>
      <c r="C3708" s="235" t="s">
        <v>27778</v>
      </c>
      <c r="D3708" s="235" t="s">
        <v>27779</v>
      </c>
      <c r="E3708" s="243">
        <v>6.51E13</v>
      </c>
      <c r="F3708" s="245"/>
      <c r="G3708" s="235" t="s">
        <v>27780</v>
      </c>
      <c r="H3708" s="235" t="s">
        <v>27781</v>
      </c>
      <c r="I3708" s="235" t="s">
        <v>27781</v>
      </c>
      <c r="J3708" s="235" t="s">
        <v>27782</v>
      </c>
      <c r="K3708" s="235" t="s">
        <v>27783</v>
      </c>
      <c r="N3708" s="235" t="s">
        <v>154</v>
      </c>
      <c r="O3708" s="235" t="s">
        <v>766</v>
      </c>
      <c r="P3708" s="238">
        <v>1.0</v>
      </c>
      <c r="Q3708" s="235" t="s">
        <v>627</v>
      </c>
      <c r="R3708" s="238">
        <v>423.8</v>
      </c>
      <c r="S3708" s="238">
        <v>21.2</v>
      </c>
      <c r="T3708" s="238">
        <v>0.0</v>
      </c>
      <c r="U3708" s="238">
        <v>0.0</v>
      </c>
      <c r="V3708" s="238">
        <v>0.0</v>
      </c>
      <c r="W3708" s="238">
        <v>0.0</v>
      </c>
      <c r="X3708" s="235" t="s">
        <v>628</v>
      </c>
      <c r="Z3708" s="245"/>
      <c r="AA3708" s="245"/>
      <c r="AB3708" s="245"/>
      <c r="AC3708" s="235" t="s">
        <v>844</v>
      </c>
      <c r="AD3708" s="235" t="s">
        <v>845</v>
      </c>
      <c r="AE3708" s="238">
        <v>411028.0</v>
      </c>
      <c r="AF3708" s="235" t="s">
        <v>631</v>
      </c>
      <c r="AG3708" s="245"/>
      <c r="AH3708" s="245"/>
      <c r="AI3708" s="245"/>
      <c r="AJ3708" s="245"/>
      <c r="AK3708" s="245"/>
      <c r="AL3708" s="245"/>
      <c r="AM3708" s="245"/>
      <c r="AN3708" s="245"/>
      <c r="AO3708" s="238">
        <v>0.0</v>
      </c>
      <c r="AP3708" s="238">
        <v>0.0</v>
      </c>
      <c r="AQ3708" s="235" t="s">
        <v>632</v>
      </c>
      <c r="AR3708" s="243">
        <v>3.71E11</v>
      </c>
      <c r="AS3708" s="235" t="s">
        <v>25098</v>
      </c>
      <c r="AT3708" s="235" t="s">
        <v>17</v>
      </c>
      <c r="AU3708" s="235" t="s">
        <v>634</v>
      </c>
      <c r="AV3708" s="246" t="s">
        <v>635</v>
      </c>
      <c r="AW3708" s="227"/>
      <c r="AX3708" s="227"/>
      <c r="AY3708" s="227"/>
      <c r="AZ3708" s="227"/>
      <c r="BA3708" s="227"/>
      <c r="BB3708" s="227"/>
      <c r="BC3708" s="227"/>
      <c r="BD3708" s="227"/>
      <c r="BE3708" s="227"/>
      <c r="BF3708" s="227"/>
    </row>
    <row r="3709">
      <c r="A3709" s="235" t="s">
        <v>27784</v>
      </c>
      <c r="C3709" s="235" t="s">
        <v>27785</v>
      </c>
      <c r="D3709" s="235" t="s">
        <v>27786</v>
      </c>
      <c r="E3709" s="243">
        <v>6.52E13</v>
      </c>
      <c r="F3709" s="245"/>
      <c r="G3709" s="235" t="s">
        <v>27787</v>
      </c>
      <c r="H3709" s="235" t="s">
        <v>27788</v>
      </c>
      <c r="I3709" s="235" t="s">
        <v>27788</v>
      </c>
      <c r="J3709" s="235" t="s">
        <v>27789</v>
      </c>
      <c r="K3709" s="235" t="s">
        <v>27790</v>
      </c>
      <c r="N3709" s="235" t="s">
        <v>130</v>
      </c>
      <c r="O3709" s="235" t="s">
        <v>707</v>
      </c>
      <c r="P3709" s="238">
        <v>1.0</v>
      </c>
      <c r="Q3709" s="235" t="s">
        <v>627</v>
      </c>
      <c r="R3709" s="238">
        <v>232.38</v>
      </c>
      <c r="S3709" s="238">
        <v>11.62</v>
      </c>
      <c r="T3709" s="238">
        <v>0.0</v>
      </c>
      <c r="U3709" s="238">
        <v>0.0</v>
      </c>
      <c r="V3709" s="238">
        <v>0.0</v>
      </c>
      <c r="W3709" s="238">
        <v>0.0</v>
      </c>
      <c r="X3709" s="235" t="s">
        <v>628</v>
      </c>
      <c r="Z3709" s="245"/>
      <c r="AA3709" s="245"/>
      <c r="AB3709" s="245"/>
      <c r="AC3709" s="235" t="s">
        <v>697</v>
      </c>
      <c r="AD3709" s="235" t="s">
        <v>698</v>
      </c>
      <c r="AE3709" s="238">
        <v>500089.0</v>
      </c>
      <c r="AF3709" s="235" t="s">
        <v>631</v>
      </c>
      <c r="AG3709" s="245"/>
      <c r="AH3709" s="245"/>
      <c r="AI3709" s="245"/>
      <c r="AJ3709" s="245"/>
      <c r="AK3709" s="245"/>
      <c r="AL3709" s="245"/>
      <c r="AM3709" s="245"/>
      <c r="AN3709" s="245"/>
      <c r="AO3709" s="238">
        <v>0.0</v>
      </c>
      <c r="AP3709" s="238">
        <v>0.0</v>
      </c>
      <c r="AQ3709" s="235" t="s">
        <v>632</v>
      </c>
      <c r="AR3709" s="243">
        <v>2.02E11</v>
      </c>
      <c r="AS3709" s="235" t="s">
        <v>25098</v>
      </c>
      <c r="AT3709" s="235" t="s">
        <v>17</v>
      </c>
      <c r="AU3709" s="235" t="s">
        <v>634</v>
      </c>
      <c r="AV3709" s="246" t="s">
        <v>635</v>
      </c>
      <c r="AW3709" s="227"/>
      <c r="AX3709" s="227"/>
      <c r="AY3709" s="227"/>
      <c r="AZ3709" s="227"/>
      <c r="BA3709" s="227"/>
      <c r="BB3709" s="227"/>
      <c r="BC3709" s="227"/>
      <c r="BD3709" s="227"/>
      <c r="BE3709" s="227"/>
      <c r="BF3709" s="227"/>
    </row>
    <row r="3710">
      <c r="A3710" s="235" t="s">
        <v>27791</v>
      </c>
      <c r="C3710" s="235" t="s">
        <v>27792</v>
      </c>
      <c r="D3710" s="235" t="s">
        <v>27793</v>
      </c>
      <c r="E3710" s="243">
        <v>6.51E13</v>
      </c>
      <c r="F3710" s="245"/>
      <c r="G3710" s="235" t="s">
        <v>27794</v>
      </c>
      <c r="H3710" s="235" t="s">
        <v>27795</v>
      </c>
      <c r="I3710" s="235" t="s">
        <v>27795</v>
      </c>
      <c r="J3710" s="235" t="s">
        <v>27796</v>
      </c>
      <c r="K3710" s="235" t="s">
        <v>27797</v>
      </c>
      <c r="N3710" s="235" t="s">
        <v>8</v>
      </c>
      <c r="O3710" s="235" t="s">
        <v>16329</v>
      </c>
      <c r="P3710" s="238">
        <v>1.0</v>
      </c>
      <c r="Q3710" s="235" t="s">
        <v>627</v>
      </c>
      <c r="R3710" s="238">
        <v>284.76</v>
      </c>
      <c r="S3710" s="238">
        <v>14.24</v>
      </c>
      <c r="T3710" s="238">
        <v>38.1</v>
      </c>
      <c r="U3710" s="238">
        <v>1.9</v>
      </c>
      <c r="V3710" s="238">
        <v>0.0</v>
      </c>
      <c r="W3710" s="238">
        <v>0.0</v>
      </c>
      <c r="X3710" s="235" t="s">
        <v>628</v>
      </c>
      <c r="Z3710" s="245"/>
      <c r="AA3710" s="245"/>
      <c r="AB3710" s="245"/>
      <c r="AC3710" s="235" t="s">
        <v>25295</v>
      </c>
      <c r="AD3710" s="235" t="s">
        <v>845</v>
      </c>
      <c r="AE3710" s="238">
        <v>424002.0</v>
      </c>
      <c r="AF3710" s="235" t="s">
        <v>631</v>
      </c>
      <c r="AG3710" s="245"/>
      <c r="AH3710" s="245"/>
      <c r="AI3710" s="245"/>
      <c r="AJ3710" s="245"/>
      <c r="AK3710" s="245"/>
      <c r="AL3710" s="245"/>
      <c r="AM3710" s="245"/>
      <c r="AN3710" s="245"/>
      <c r="AO3710" s="238">
        <v>0.0</v>
      </c>
      <c r="AP3710" s="238">
        <v>-38.1</v>
      </c>
      <c r="AQ3710" s="235" t="s">
        <v>632</v>
      </c>
      <c r="AR3710" s="243">
        <v>3.71E11</v>
      </c>
      <c r="AS3710" s="235" t="s">
        <v>25098</v>
      </c>
      <c r="AT3710" s="235" t="s">
        <v>16</v>
      </c>
      <c r="AU3710" s="235" t="s">
        <v>634</v>
      </c>
      <c r="AV3710" s="246" t="s">
        <v>635</v>
      </c>
      <c r="AW3710" s="227"/>
      <c r="AX3710" s="227"/>
      <c r="AY3710" s="227"/>
      <c r="AZ3710" s="227"/>
      <c r="BA3710" s="227"/>
      <c r="BB3710" s="227"/>
      <c r="BC3710" s="227"/>
      <c r="BD3710" s="227"/>
      <c r="BE3710" s="227"/>
      <c r="BF3710" s="227"/>
    </row>
    <row r="3711">
      <c r="A3711" s="235" t="s">
        <v>27798</v>
      </c>
      <c r="C3711" s="235" t="s">
        <v>27799</v>
      </c>
      <c r="D3711" s="235" t="s">
        <v>27800</v>
      </c>
      <c r="E3711" s="243">
        <v>6.51E13</v>
      </c>
      <c r="F3711" s="245"/>
      <c r="G3711" s="235" t="s">
        <v>27801</v>
      </c>
      <c r="H3711" s="235" t="s">
        <v>27802</v>
      </c>
      <c r="I3711" s="235" t="s">
        <v>27802</v>
      </c>
      <c r="J3711" s="235" t="s">
        <v>27803</v>
      </c>
      <c r="K3711" s="235" t="s">
        <v>27804</v>
      </c>
      <c r="N3711" s="235" t="s">
        <v>127</v>
      </c>
      <c r="O3711" s="235" t="s">
        <v>794</v>
      </c>
      <c r="P3711" s="238">
        <v>1.0</v>
      </c>
      <c r="Q3711" s="235" t="s">
        <v>627</v>
      </c>
      <c r="R3711" s="238">
        <v>236.19</v>
      </c>
      <c r="S3711" s="238">
        <v>11.46</v>
      </c>
      <c r="T3711" s="238">
        <v>0.0</v>
      </c>
      <c r="U3711" s="238">
        <v>0.0</v>
      </c>
      <c r="V3711" s="238">
        <v>0.0</v>
      </c>
      <c r="W3711" s="238">
        <v>0.0</v>
      </c>
      <c r="X3711" s="235" t="s">
        <v>628</v>
      </c>
      <c r="Z3711" s="245"/>
      <c r="AA3711" s="245"/>
      <c r="AB3711" s="245"/>
      <c r="AC3711" s="235" t="s">
        <v>17169</v>
      </c>
      <c r="AD3711" s="235" t="s">
        <v>2067</v>
      </c>
      <c r="AE3711" s="238">
        <v>835222.0</v>
      </c>
      <c r="AF3711" s="235" t="s">
        <v>631</v>
      </c>
      <c r="AG3711" s="245"/>
      <c r="AH3711" s="245"/>
      <c r="AI3711" s="245"/>
      <c r="AJ3711" s="245"/>
      <c r="AK3711" s="245"/>
      <c r="AL3711" s="245"/>
      <c r="AM3711" s="245"/>
      <c r="AN3711" s="245"/>
      <c r="AO3711" s="238">
        <v>-7.09</v>
      </c>
      <c r="AP3711" s="238">
        <v>0.0</v>
      </c>
      <c r="AQ3711" s="235" t="s">
        <v>632</v>
      </c>
      <c r="AR3711" s="243">
        <v>3.71E11</v>
      </c>
      <c r="AS3711" s="235" t="s">
        <v>20529</v>
      </c>
      <c r="AT3711" s="235" t="s">
        <v>14</v>
      </c>
      <c r="AU3711" s="235" t="s">
        <v>634</v>
      </c>
      <c r="AV3711" s="246" t="s">
        <v>635</v>
      </c>
      <c r="AW3711" s="227"/>
      <c r="AX3711" s="227"/>
      <c r="AY3711" s="227"/>
      <c r="AZ3711" s="227"/>
      <c r="BA3711" s="227"/>
      <c r="BB3711" s="227"/>
      <c r="BC3711" s="227"/>
      <c r="BD3711" s="227"/>
      <c r="BE3711" s="227"/>
      <c r="BF3711" s="227"/>
    </row>
    <row r="3712">
      <c r="A3712" s="235" t="s">
        <v>27805</v>
      </c>
      <c r="C3712" s="235" t="s">
        <v>27806</v>
      </c>
      <c r="D3712" s="235" t="s">
        <v>27807</v>
      </c>
      <c r="E3712" s="243">
        <v>6.52E13</v>
      </c>
      <c r="F3712" s="245"/>
      <c r="G3712" s="235" t="s">
        <v>27808</v>
      </c>
      <c r="H3712" s="235" t="s">
        <v>27809</v>
      </c>
      <c r="I3712" s="235" t="s">
        <v>27809</v>
      </c>
      <c r="J3712" s="235" t="s">
        <v>27810</v>
      </c>
      <c r="K3712" s="235" t="s">
        <v>27811</v>
      </c>
      <c r="N3712" s="235" t="s">
        <v>130</v>
      </c>
      <c r="O3712" s="235" t="s">
        <v>707</v>
      </c>
      <c r="P3712" s="238">
        <v>1.0</v>
      </c>
      <c r="Q3712" s="235" t="s">
        <v>627</v>
      </c>
      <c r="R3712" s="238">
        <v>232.38</v>
      </c>
      <c r="S3712" s="238">
        <v>11.62</v>
      </c>
      <c r="T3712" s="238">
        <v>0.0</v>
      </c>
      <c r="U3712" s="238">
        <v>0.0</v>
      </c>
      <c r="V3712" s="238">
        <v>0.0</v>
      </c>
      <c r="W3712" s="238">
        <v>0.0</v>
      </c>
      <c r="X3712" s="235" t="s">
        <v>628</v>
      </c>
      <c r="Z3712" s="245"/>
      <c r="AA3712" s="245"/>
      <c r="AB3712" s="245"/>
      <c r="AC3712" s="235" t="s">
        <v>1320</v>
      </c>
      <c r="AD3712" s="235" t="s">
        <v>666</v>
      </c>
      <c r="AE3712" s="238">
        <v>600062.0</v>
      </c>
      <c r="AF3712" s="235" t="s">
        <v>631</v>
      </c>
      <c r="AG3712" s="245"/>
      <c r="AH3712" s="245"/>
      <c r="AI3712" s="245"/>
      <c r="AJ3712" s="245"/>
      <c r="AK3712" s="245"/>
      <c r="AL3712" s="245"/>
      <c r="AM3712" s="245"/>
      <c r="AN3712" s="245"/>
      <c r="AO3712" s="238">
        <v>0.0</v>
      </c>
      <c r="AP3712" s="238">
        <v>0.0</v>
      </c>
      <c r="AQ3712" s="235" t="s">
        <v>632</v>
      </c>
      <c r="AR3712" s="243">
        <v>3.71E11</v>
      </c>
      <c r="AS3712" s="235" t="s">
        <v>26892</v>
      </c>
      <c r="AT3712" s="235" t="s">
        <v>156</v>
      </c>
      <c r="AU3712" s="235" t="s">
        <v>634</v>
      </c>
      <c r="AV3712" s="246" t="s">
        <v>635</v>
      </c>
      <c r="AW3712" s="227"/>
      <c r="AX3712" s="227"/>
      <c r="AY3712" s="227"/>
      <c r="AZ3712" s="227"/>
      <c r="BA3712" s="227"/>
      <c r="BB3712" s="227"/>
      <c r="BC3712" s="227"/>
      <c r="BD3712" s="227"/>
      <c r="BE3712" s="227"/>
      <c r="BF3712" s="227"/>
    </row>
    <row r="3713">
      <c r="A3713" s="235" t="s">
        <v>27812</v>
      </c>
      <c r="C3713" s="235" t="s">
        <v>27813</v>
      </c>
      <c r="D3713" s="235" t="s">
        <v>27814</v>
      </c>
      <c r="E3713" s="243">
        <v>6.52E13</v>
      </c>
      <c r="F3713" s="245"/>
      <c r="G3713" s="235" t="s">
        <v>27815</v>
      </c>
      <c r="H3713" s="235" t="s">
        <v>27816</v>
      </c>
      <c r="I3713" s="235" t="s">
        <v>27816</v>
      </c>
      <c r="J3713" s="235" t="s">
        <v>27817</v>
      </c>
      <c r="K3713" s="235" t="s">
        <v>27818</v>
      </c>
      <c r="N3713" s="235" t="s">
        <v>90</v>
      </c>
      <c r="O3713" s="235" t="s">
        <v>279</v>
      </c>
      <c r="P3713" s="238">
        <v>1.0</v>
      </c>
      <c r="Q3713" s="235" t="s">
        <v>627</v>
      </c>
      <c r="R3713" s="238">
        <v>246.66</v>
      </c>
      <c r="S3713" s="238">
        <v>12.34</v>
      </c>
      <c r="T3713" s="238">
        <v>0.0</v>
      </c>
      <c r="U3713" s="238">
        <v>0.0</v>
      </c>
      <c r="V3713" s="238">
        <v>0.0</v>
      </c>
      <c r="W3713" s="238">
        <v>0.0</v>
      </c>
      <c r="X3713" s="235" t="s">
        <v>628</v>
      </c>
      <c r="Z3713" s="245"/>
      <c r="AA3713" s="245"/>
      <c r="AB3713" s="245"/>
      <c r="AC3713" s="235" t="s">
        <v>5100</v>
      </c>
      <c r="AD3713" s="235" t="s">
        <v>666</v>
      </c>
      <c r="AE3713" s="238">
        <v>603202.0</v>
      </c>
      <c r="AF3713" s="235" t="s">
        <v>631</v>
      </c>
      <c r="AG3713" s="245"/>
      <c r="AH3713" s="245"/>
      <c r="AI3713" s="245"/>
      <c r="AJ3713" s="245"/>
      <c r="AK3713" s="245"/>
      <c r="AL3713" s="245"/>
      <c r="AM3713" s="245"/>
      <c r="AN3713" s="245"/>
      <c r="AO3713" s="238">
        <v>0.0</v>
      </c>
      <c r="AP3713" s="238">
        <v>0.0</v>
      </c>
      <c r="AQ3713" s="235" t="s">
        <v>632</v>
      </c>
      <c r="AR3713" s="243">
        <v>3.71E11</v>
      </c>
      <c r="AS3713" s="235" t="s">
        <v>26892</v>
      </c>
      <c r="AT3713" s="235" t="s">
        <v>156</v>
      </c>
      <c r="AU3713" s="235" t="s">
        <v>634</v>
      </c>
      <c r="AV3713" s="246" t="s">
        <v>635</v>
      </c>
      <c r="AW3713" s="227"/>
      <c r="AX3713" s="227"/>
      <c r="AY3713" s="227"/>
      <c r="AZ3713" s="227"/>
      <c r="BA3713" s="227"/>
      <c r="BB3713" s="227"/>
      <c r="BC3713" s="227"/>
      <c r="BD3713" s="227"/>
      <c r="BE3713" s="227"/>
      <c r="BF3713" s="227"/>
    </row>
    <row r="3714">
      <c r="A3714" s="235" t="s">
        <v>27819</v>
      </c>
      <c r="C3714" s="235" t="s">
        <v>27820</v>
      </c>
      <c r="D3714" s="235" t="s">
        <v>27821</v>
      </c>
      <c r="E3714" s="243">
        <v>6.51E13</v>
      </c>
      <c r="F3714" s="245"/>
      <c r="G3714" s="235" t="s">
        <v>27822</v>
      </c>
      <c r="H3714" s="235" t="s">
        <v>27823</v>
      </c>
      <c r="I3714" s="235" t="s">
        <v>27823</v>
      </c>
      <c r="J3714" s="235" t="s">
        <v>27824</v>
      </c>
      <c r="K3714" s="235" t="s">
        <v>27825</v>
      </c>
      <c r="N3714" s="235" t="s">
        <v>51</v>
      </c>
      <c r="O3714" s="235" t="s">
        <v>273</v>
      </c>
      <c r="P3714" s="238">
        <v>1.0</v>
      </c>
      <c r="Q3714" s="235" t="s">
        <v>627</v>
      </c>
      <c r="R3714" s="238">
        <v>246.66</v>
      </c>
      <c r="S3714" s="238">
        <v>12.34</v>
      </c>
      <c r="T3714" s="238">
        <v>0.0</v>
      </c>
      <c r="U3714" s="238">
        <v>0.0</v>
      </c>
      <c r="V3714" s="238">
        <v>0.0</v>
      </c>
      <c r="W3714" s="238">
        <v>0.0</v>
      </c>
      <c r="X3714" s="235" t="s">
        <v>628</v>
      </c>
      <c r="Z3714" s="245"/>
      <c r="AA3714" s="245"/>
      <c r="AB3714" s="245"/>
      <c r="AC3714" s="235" t="s">
        <v>757</v>
      </c>
      <c r="AD3714" s="235" t="s">
        <v>666</v>
      </c>
      <c r="AE3714" s="238">
        <v>625007.0</v>
      </c>
      <c r="AF3714" s="235" t="s">
        <v>631</v>
      </c>
      <c r="AG3714" s="245"/>
      <c r="AH3714" s="245"/>
      <c r="AI3714" s="245"/>
      <c r="AJ3714" s="245"/>
      <c r="AK3714" s="245"/>
      <c r="AL3714" s="245"/>
      <c r="AM3714" s="245"/>
      <c r="AN3714" s="245"/>
      <c r="AO3714" s="238">
        <v>0.0</v>
      </c>
      <c r="AP3714" s="238">
        <v>0.0</v>
      </c>
      <c r="AQ3714" s="235" t="s">
        <v>632</v>
      </c>
      <c r="AR3714" s="243">
        <v>3.71E11</v>
      </c>
      <c r="AS3714" s="235" t="s">
        <v>26892</v>
      </c>
      <c r="AT3714" s="235" t="s">
        <v>155</v>
      </c>
      <c r="AU3714" s="235" t="s">
        <v>634</v>
      </c>
      <c r="AV3714" s="246" t="s">
        <v>635</v>
      </c>
      <c r="AW3714" s="227"/>
      <c r="AX3714" s="227"/>
      <c r="AY3714" s="227"/>
      <c r="AZ3714" s="227"/>
      <c r="BA3714" s="227"/>
      <c r="BB3714" s="227"/>
      <c r="BC3714" s="227"/>
      <c r="BD3714" s="227"/>
      <c r="BE3714" s="227"/>
      <c r="BF3714" s="227"/>
    </row>
    <row r="3715">
      <c r="A3715" s="235" t="s">
        <v>27826</v>
      </c>
      <c r="C3715" s="235" t="s">
        <v>27827</v>
      </c>
      <c r="D3715" s="235" t="s">
        <v>27828</v>
      </c>
      <c r="E3715" s="243">
        <v>6.52E13</v>
      </c>
      <c r="F3715" s="245"/>
      <c r="G3715" s="235" t="s">
        <v>27829</v>
      </c>
      <c r="H3715" s="235" t="s">
        <v>27830</v>
      </c>
      <c r="I3715" s="235" t="s">
        <v>27831</v>
      </c>
      <c r="J3715" s="235" t="s">
        <v>27832</v>
      </c>
      <c r="K3715" s="235" t="s">
        <v>27833</v>
      </c>
      <c r="N3715" s="235" t="s">
        <v>138</v>
      </c>
      <c r="O3715" s="235" t="s">
        <v>675</v>
      </c>
      <c r="P3715" s="238">
        <v>1.0</v>
      </c>
      <c r="Q3715" s="235" t="s">
        <v>627</v>
      </c>
      <c r="R3715" s="238">
        <v>233.34</v>
      </c>
      <c r="S3715" s="238">
        <v>11.66</v>
      </c>
      <c r="T3715" s="238">
        <v>0.0</v>
      </c>
      <c r="U3715" s="238">
        <v>0.0</v>
      </c>
      <c r="V3715" s="238">
        <v>0.0</v>
      </c>
      <c r="W3715" s="238">
        <v>0.0</v>
      </c>
      <c r="X3715" s="235" t="s">
        <v>628</v>
      </c>
      <c r="Z3715" s="245"/>
      <c r="AA3715" s="245"/>
      <c r="AB3715" s="245"/>
      <c r="AC3715" s="235" t="s">
        <v>27834</v>
      </c>
      <c r="AD3715" s="235" t="s">
        <v>845</v>
      </c>
      <c r="AE3715" s="238">
        <v>401501.0</v>
      </c>
      <c r="AF3715" s="235" t="s">
        <v>631</v>
      </c>
      <c r="AG3715" s="245"/>
      <c r="AH3715" s="245"/>
      <c r="AI3715" s="245"/>
      <c r="AJ3715" s="245"/>
      <c r="AK3715" s="245"/>
      <c r="AL3715" s="245"/>
      <c r="AM3715" s="245"/>
      <c r="AN3715" s="245"/>
      <c r="AO3715" s="238">
        <v>0.0</v>
      </c>
      <c r="AP3715" s="238">
        <v>0.0</v>
      </c>
      <c r="AQ3715" s="235" t="s">
        <v>632</v>
      </c>
      <c r="AR3715" s="243">
        <v>1.68E11</v>
      </c>
      <c r="AS3715" s="235" t="s">
        <v>25098</v>
      </c>
      <c r="AT3715" s="235" t="s">
        <v>16</v>
      </c>
      <c r="AU3715" s="235" t="s">
        <v>634</v>
      </c>
      <c r="AV3715" s="246" t="s">
        <v>635</v>
      </c>
      <c r="AW3715" s="227"/>
      <c r="AX3715" s="227"/>
      <c r="AY3715" s="227"/>
      <c r="AZ3715" s="227"/>
      <c r="BA3715" s="227"/>
      <c r="BB3715" s="227"/>
      <c r="BC3715" s="227"/>
      <c r="BD3715" s="227"/>
      <c r="BE3715" s="227"/>
      <c r="BF3715" s="227"/>
    </row>
    <row r="3716">
      <c r="A3716" s="235" t="s">
        <v>27835</v>
      </c>
      <c r="C3716" s="235" t="s">
        <v>27836</v>
      </c>
      <c r="D3716" s="235" t="s">
        <v>27837</v>
      </c>
      <c r="E3716" s="243">
        <v>6.51E13</v>
      </c>
      <c r="F3716" s="245"/>
      <c r="G3716" s="235" t="s">
        <v>27838</v>
      </c>
      <c r="H3716" s="235" t="s">
        <v>27839</v>
      </c>
      <c r="I3716" s="235" t="s">
        <v>27839</v>
      </c>
      <c r="J3716" s="235" t="s">
        <v>27840</v>
      </c>
      <c r="K3716" s="235" t="s">
        <v>25077</v>
      </c>
      <c r="N3716" s="235" t="s">
        <v>42</v>
      </c>
      <c r="O3716" s="235" t="s">
        <v>204</v>
      </c>
      <c r="P3716" s="238">
        <v>1.0</v>
      </c>
      <c r="Q3716" s="235" t="s">
        <v>627</v>
      </c>
      <c r="R3716" s="238">
        <v>236.19</v>
      </c>
      <c r="S3716" s="238">
        <v>11.46</v>
      </c>
      <c r="T3716" s="238">
        <v>0.0</v>
      </c>
      <c r="U3716" s="238">
        <v>0.0</v>
      </c>
      <c r="V3716" s="238">
        <v>0.0</v>
      </c>
      <c r="W3716" s="238">
        <v>0.0</v>
      </c>
      <c r="X3716" s="235" t="s">
        <v>628</v>
      </c>
      <c r="Z3716" s="245"/>
      <c r="AA3716" s="245"/>
      <c r="AB3716" s="245"/>
      <c r="AC3716" s="235" t="s">
        <v>814</v>
      </c>
      <c r="AD3716" s="235" t="s">
        <v>698</v>
      </c>
      <c r="AE3716" s="238">
        <v>500072.0</v>
      </c>
      <c r="AF3716" s="235" t="s">
        <v>631</v>
      </c>
      <c r="AG3716" s="245"/>
      <c r="AH3716" s="245"/>
      <c r="AI3716" s="245"/>
      <c r="AJ3716" s="245"/>
      <c r="AK3716" s="245"/>
      <c r="AL3716" s="245"/>
      <c r="AM3716" s="245"/>
      <c r="AN3716" s="245"/>
      <c r="AO3716" s="238">
        <v>-7.09</v>
      </c>
      <c r="AP3716" s="238">
        <v>0.0</v>
      </c>
      <c r="AQ3716" s="235" t="s">
        <v>632</v>
      </c>
      <c r="AR3716" s="243">
        <v>2.02E11</v>
      </c>
      <c r="AS3716" s="235" t="s">
        <v>25098</v>
      </c>
      <c r="AT3716" s="235" t="s">
        <v>546</v>
      </c>
      <c r="AU3716" s="235" t="s">
        <v>634</v>
      </c>
      <c r="AV3716" s="246" t="s">
        <v>635</v>
      </c>
      <c r="AW3716" s="227"/>
      <c r="AX3716" s="227"/>
      <c r="AY3716" s="227"/>
      <c r="AZ3716" s="227"/>
      <c r="BA3716" s="227"/>
      <c r="BB3716" s="227"/>
      <c r="BC3716" s="227"/>
      <c r="BD3716" s="227"/>
      <c r="BE3716" s="227"/>
      <c r="BF3716" s="227"/>
    </row>
    <row r="3717">
      <c r="A3717" s="235" t="s">
        <v>27841</v>
      </c>
      <c r="C3717" s="235" t="s">
        <v>27842</v>
      </c>
      <c r="D3717" s="235" t="s">
        <v>27843</v>
      </c>
      <c r="E3717" s="243">
        <v>6.52E13</v>
      </c>
      <c r="F3717" s="245"/>
      <c r="G3717" s="235" t="s">
        <v>27844</v>
      </c>
      <c r="H3717" s="235" t="s">
        <v>27845</v>
      </c>
      <c r="I3717" s="235" t="s">
        <v>27845</v>
      </c>
      <c r="J3717" s="235" t="s">
        <v>27846</v>
      </c>
      <c r="K3717" s="235" t="s">
        <v>27847</v>
      </c>
      <c r="N3717" s="235" t="s">
        <v>42</v>
      </c>
      <c r="O3717" s="235" t="s">
        <v>204</v>
      </c>
      <c r="P3717" s="238">
        <v>1.0</v>
      </c>
      <c r="Q3717" s="235" t="s">
        <v>627</v>
      </c>
      <c r="R3717" s="238">
        <v>236.2</v>
      </c>
      <c r="S3717" s="238">
        <v>11.8</v>
      </c>
      <c r="T3717" s="238">
        <v>0.0</v>
      </c>
      <c r="U3717" s="238">
        <v>0.0</v>
      </c>
      <c r="V3717" s="238">
        <v>0.0</v>
      </c>
      <c r="W3717" s="238">
        <v>0.0</v>
      </c>
      <c r="X3717" s="235" t="s">
        <v>628</v>
      </c>
      <c r="Z3717" s="245"/>
      <c r="AA3717" s="245"/>
      <c r="AB3717" s="245"/>
      <c r="AC3717" s="235" t="s">
        <v>1320</v>
      </c>
      <c r="AD3717" s="235" t="s">
        <v>666</v>
      </c>
      <c r="AE3717" s="238">
        <v>600126.0</v>
      </c>
      <c r="AF3717" s="235" t="s">
        <v>631</v>
      </c>
      <c r="AG3717" s="245"/>
      <c r="AH3717" s="245"/>
      <c r="AI3717" s="245"/>
      <c r="AJ3717" s="245"/>
      <c r="AK3717" s="245"/>
      <c r="AL3717" s="245"/>
      <c r="AM3717" s="245"/>
      <c r="AN3717" s="245"/>
      <c r="AO3717" s="238">
        <v>0.0</v>
      </c>
      <c r="AP3717" s="238">
        <v>0.0</v>
      </c>
      <c r="AQ3717" s="235" t="s">
        <v>632</v>
      </c>
      <c r="AR3717" s="243">
        <v>3.71E11</v>
      </c>
      <c r="AS3717" s="235" t="s">
        <v>26892</v>
      </c>
      <c r="AT3717" s="235" t="s">
        <v>156</v>
      </c>
      <c r="AU3717" s="235" t="s">
        <v>634</v>
      </c>
      <c r="AV3717" s="246" t="s">
        <v>635</v>
      </c>
      <c r="AW3717" s="227"/>
      <c r="AX3717" s="227"/>
      <c r="AY3717" s="227"/>
      <c r="AZ3717" s="227"/>
      <c r="BA3717" s="227"/>
      <c r="BB3717" s="227"/>
      <c r="BC3717" s="227"/>
      <c r="BD3717" s="227"/>
      <c r="BE3717" s="227"/>
      <c r="BF3717" s="227"/>
    </row>
    <row r="3718">
      <c r="A3718" s="235" t="s">
        <v>27848</v>
      </c>
      <c r="C3718" s="235" t="s">
        <v>27849</v>
      </c>
      <c r="D3718" s="235" t="s">
        <v>27850</v>
      </c>
      <c r="E3718" s="243">
        <v>6.52E13</v>
      </c>
      <c r="F3718" s="245"/>
      <c r="G3718" s="235" t="s">
        <v>27851</v>
      </c>
      <c r="H3718" s="235" t="s">
        <v>27852</v>
      </c>
      <c r="I3718" s="235" t="s">
        <v>27852</v>
      </c>
      <c r="J3718" s="235" t="s">
        <v>27853</v>
      </c>
      <c r="K3718" s="235" t="s">
        <v>27854</v>
      </c>
      <c r="N3718" s="235" t="s">
        <v>49</v>
      </c>
      <c r="O3718" s="235" t="s">
        <v>321</v>
      </c>
      <c r="P3718" s="238">
        <v>1.0</v>
      </c>
      <c r="Q3718" s="235" t="s">
        <v>627</v>
      </c>
      <c r="R3718" s="238">
        <v>233.34</v>
      </c>
      <c r="S3718" s="238">
        <v>11.66</v>
      </c>
      <c r="T3718" s="238">
        <v>0.0</v>
      </c>
      <c r="U3718" s="238">
        <v>0.0</v>
      </c>
      <c r="V3718" s="238">
        <v>0.0</v>
      </c>
      <c r="W3718" s="238">
        <v>0.0</v>
      </c>
      <c r="X3718" s="235" t="s">
        <v>628</v>
      </c>
      <c r="Z3718" s="245"/>
      <c r="AA3718" s="245"/>
      <c r="AB3718" s="245"/>
      <c r="AC3718" s="235" t="s">
        <v>6060</v>
      </c>
      <c r="AD3718" s="235" t="s">
        <v>666</v>
      </c>
      <c r="AE3718" s="238">
        <v>613007.0</v>
      </c>
      <c r="AF3718" s="235" t="s">
        <v>631</v>
      </c>
      <c r="AG3718" s="245"/>
      <c r="AH3718" s="245"/>
      <c r="AI3718" s="245"/>
      <c r="AJ3718" s="245"/>
      <c r="AK3718" s="245"/>
      <c r="AL3718" s="245"/>
      <c r="AM3718" s="245"/>
      <c r="AN3718" s="245"/>
      <c r="AO3718" s="238">
        <v>0.0</v>
      </c>
      <c r="AP3718" s="238">
        <v>0.0</v>
      </c>
      <c r="AQ3718" s="235" t="s">
        <v>632</v>
      </c>
      <c r="AR3718" s="243">
        <v>3.71E11</v>
      </c>
      <c r="AS3718" s="235" t="s">
        <v>26892</v>
      </c>
      <c r="AT3718" s="235" t="s">
        <v>155</v>
      </c>
      <c r="AU3718" s="235" t="s">
        <v>634</v>
      </c>
      <c r="AV3718" s="246" t="s">
        <v>635</v>
      </c>
      <c r="AW3718" s="227"/>
      <c r="AX3718" s="227"/>
      <c r="AY3718" s="227"/>
      <c r="AZ3718" s="227"/>
      <c r="BA3718" s="227"/>
      <c r="BB3718" s="227"/>
      <c r="BC3718" s="227"/>
      <c r="BD3718" s="227"/>
      <c r="BE3718" s="227"/>
      <c r="BF3718" s="227"/>
    </row>
    <row r="3719">
      <c r="A3719" s="235" t="s">
        <v>27855</v>
      </c>
      <c r="C3719" s="235" t="s">
        <v>27856</v>
      </c>
      <c r="D3719" s="235" t="s">
        <v>27857</v>
      </c>
      <c r="E3719" s="243">
        <v>6.52E13</v>
      </c>
      <c r="F3719" s="245"/>
      <c r="G3719" s="235" t="s">
        <v>27858</v>
      </c>
      <c r="H3719" s="235" t="s">
        <v>27859</v>
      </c>
      <c r="I3719" s="235" t="s">
        <v>27859</v>
      </c>
      <c r="J3719" s="235" t="s">
        <v>27860</v>
      </c>
      <c r="K3719" s="235" t="s">
        <v>27861</v>
      </c>
      <c r="N3719" s="235" t="s">
        <v>130</v>
      </c>
      <c r="O3719" s="235" t="s">
        <v>707</v>
      </c>
      <c r="P3719" s="238">
        <v>1.0</v>
      </c>
      <c r="Q3719" s="235" t="s">
        <v>627</v>
      </c>
      <c r="R3719" s="238">
        <v>232.38</v>
      </c>
      <c r="S3719" s="238">
        <v>11.62</v>
      </c>
      <c r="T3719" s="238">
        <v>0.0</v>
      </c>
      <c r="U3719" s="238">
        <v>0.0</v>
      </c>
      <c r="V3719" s="238">
        <v>0.0</v>
      </c>
      <c r="W3719" s="238">
        <v>0.0</v>
      </c>
      <c r="X3719" s="235" t="s">
        <v>628</v>
      </c>
      <c r="Z3719" s="245"/>
      <c r="AA3719" s="245"/>
      <c r="AB3719" s="245"/>
      <c r="AC3719" s="235" t="s">
        <v>27862</v>
      </c>
      <c r="AD3719" s="235" t="s">
        <v>666</v>
      </c>
      <c r="AE3719" s="238">
        <v>621005.0</v>
      </c>
      <c r="AF3719" s="235" t="s">
        <v>631</v>
      </c>
      <c r="AG3719" s="245"/>
      <c r="AH3719" s="245"/>
      <c r="AI3719" s="245"/>
      <c r="AJ3719" s="245"/>
      <c r="AK3719" s="245"/>
      <c r="AL3719" s="245"/>
      <c r="AM3719" s="245"/>
      <c r="AN3719" s="245"/>
      <c r="AO3719" s="238">
        <v>0.0</v>
      </c>
      <c r="AP3719" s="238">
        <v>0.0</v>
      </c>
      <c r="AQ3719" s="235" t="s">
        <v>632</v>
      </c>
      <c r="AR3719" s="243">
        <v>3.71E11</v>
      </c>
      <c r="AS3719" s="235" t="s">
        <v>25098</v>
      </c>
      <c r="AT3719" s="235" t="s">
        <v>155</v>
      </c>
      <c r="AU3719" s="235" t="s">
        <v>634</v>
      </c>
      <c r="AV3719" s="246" t="s">
        <v>635</v>
      </c>
      <c r="AW3719" s="227"/>
      <c r="AX3719" s="227"/>
      <c r="AY3719" s="227"/>
      <c r="AZ3719" s="227"/>
      <c r="BA3719" s="227"/>
      <c r="BB3719" s="227"/>
      <c r="BC3719" s="227"/>
      <c r="BD3719" s="227"/>
      <c r="BE3719" s="227"/>
      <c r="BF3719" s="227"/>
    </row>
    <row r="3720">
      <c r="A3720" s="235" t="s">
        <v>27863</v>
      </c>
      <c r="C3720" s="235" t="s">
        <v>27864</v>
      </c>
      <c r="D3720" s="235" t="s">
        <v>27865</v>
      </c>
      <c r="E3720" s="243">
        <v>6.52E13</v>
      </c>
      <c r="F3720" s="245"/>
      <c r="G3720" s="235" t="s">
        <v>27866</v>
      </c>
      <c r="H3720" s="235" t="s">
        <v>27867</v>
      </c>
      <c r="I3720" s="235" t="s">
        <v>27867</v>
      </c>
      <c r="J3720" s="235" t="s">
        <v>27868</v>
      </c>
      <c r="K3720" s="235" t="s">
        <v>27869</v>
      </c>
      <c r="N3720" s="235" t="s">
        <v>127</v>
      </c>
      <c r="O3720" s="235" t="s">
        <v>794</v>
      </c>
      <c r="P3720" s="238">
        <v>1.0</v>
      </c>
      <c r="Q3720" s="235" t="s">
        <v>627</v>
      </c>
      <c r="R3720" s="238">
        <v>236.2</v>
      </c>
      <c r="S3720" s="238">
        <v>11.45</v>
      </c>
      <c r="T3720" s="238">
        <v>0.0</v>
      </c>
      <c r="U3720" s="238">
        <v>0.0</v>
      </c>
      <c r="V3720" s="238">
        <v>0.0</v>
      </c>
      <c r="W3720" s="238">
        <v>0.0</v>
      </c>
      <c r="X3720" s="235" t="s">
        <v>628</v>
      </c>
      <c r="Z3720" s="245"/>
      <c r="AA3720" s="245"/>
      <c r="AB3720" s="245"/>
      <c r="AC3720" s="235" t="s">
        <v>1887</v>
      </c>
      <c r="AD3720" s="235" t="s">
        <v>679</v>
      </c>
      <c r="AE3720" s="238">
        <v>560084.0</v>
      </c>
      <c r="AF3720" s="235" t="s">
        <v>631</v>
      </c>
      <c r="AG3720" s="245"/>
      <c r="AH3720" s="245"/>
      <c r="AI3720" s="245"/>
      <c r="AJ3720" s="245"/>
      <c r="AK3720" s="245"/>
      <c r="AL3720" s="245"/>
      <c r="AM3720" s="245"/>
      <c r="AN3720" s="245"/>
      <c r="AO3720" s="238">
        <v>-7.09</v>
      </c>
      <c r="AP3720" s="238">
        <v>0.0</v>
      </c>
      <c r="AQ3720" s="235" t="s">
        <v>632</v>
      </c>
      <c r="AR3720" s="243">
        <v>3.71E11</v>
      </c>
      <c r="AS3720" s="235" t="s">
        <v>26892</v>
      </c>
      <c r="AT3720" s="235" t="s">
        <v>9</v>
      </c>
      <c r="AU3720" s="235" t="s">
        <v>634</v>
      </c>
      <c r="AV3720" s="246" t="s">
        <v>635</v>
      </c>
      <c r="AW3720" s="227"/>
      <c r="AX3720" s="227"/>
      <c r="AY3720" s="227"/>
      <c r="AZ3720" s="227"/>
      <c r="BA3720" s="227"/>
      <c r="BB3720" s="227"/>
      <c r="BC3720" s="227"/>
      <c r="BD3720" s="227"/>
      <c r="BE3720" s="227"/>
      <c r="BF3720" s="227"/>
    </row>
    <row r="3721">
      <c r="A3721" s="235" t="s">
        <v>27870</v>
      </c>
      <c r="C3721" s="235" t="s">
        <v>27871</v>
      </c>
      <c r="D3721" s="235" t="s">
        <v>27872</v>
      </c>
      <c r="E3721" s="243">
        <v>6.52E13</v>
      </c>
      <c r="F3721" s="245"/>
      <c r="G3721" s="235" t="s">
        <v>27873</v>
      </c>
      <c r="H3721" s="235" t="s">
        <v>27874</v>
      </c>
      <c r="I3721" s="235" t="s">
        <v>27874</v>
      </c>
      <c r="J3721" s="235" t="s">
        <v>27875</v>
      </c>
      <c r="K3721" s="235" t="s">
        <v>27876</v>
      </c>
      <c r="N3721" s="235" t="s">
        <v>127</v>
      </c>
      <c r="O3721" s="235" t="s">
        <v>794</v>
      </c>
      <c r="P3721" s="238">
        <v>1.0</v>
      </c>
      <c r="Q3721" s="235" t="s">
        <v>627</v>
      </c>
      <c r="R3721" s="238">
        <v>236.2</v>
      </c>
      <c r="S3721" s="238">
        <v>11.8</v>
      </c>
      <c r="T3721" s="238">
        <v>0.0</v>
      </c>
      <c r="U3721" s="238">
        <v>0.0</v>
      </c>
      <c r="V3721" s="238">
        <v>0.0</v>
      </c>
      <c r="W3721" s="238">
        <v>0.0</v>
      </c>
      <c r="X3721" s="235" t="s">
        <v>628</v>
      </c>
      <c r="Z3721" s="245"/>
      <c r="AA3721" s="245"/>
      <c r="AB3721" s="245"/>
      <c r="AC3721" s="235" t="s">
        <v>678</v>
      </c>
      <c r="AD3721" s="235" t="s">
        <v>679</v>
      </c>
      <c r="AE3721" s="238">
        <v>560078.0</v>
      </c>
      <c r="AF3721" s="235" t="s">
        <v>631</v>
      </c>
      <c r="AG3721" s="245"/>
      <c r="AH3721" s="245"/>
      <c r="AI3721" s="245"/>
      <c r="AJ3721" s="245"/>
      <c r="AK3721" s="245"/>
      <c r="AL3721" s="245"/>
      <c r="AM3721" s="245"/>
      <c r="AN3721" s="245"/>
      <c r="AO3721" s="238">
        <v>0.0</v>
      </c>
      <c r="AP3721" s="238">
        <v>0.0</v>
      </c>
      <c r="AQ3721" s="235" t="s">
        <v>632</v>
      </c>
      <c r="AR3721" s="243">
        <v>1.68E11</v>
      </c>
      <c r="AS3721" s="235" t="s">
        <v>27428</v>
      </c>
      <c r="AT3721" s="235" t="s">
        <v>11</v>
      </c>
      <c r="AU3721" s="235" t="s">
        <v>634</v>
      </c>
      <c r="AV3721" s="246" t="s">
        <v>635</v>
      </c>
      <c r="AW3721" s="227"/>
      <c r="AX3721" s="227"/>
      <c r="AY3721" s="227"/>
      <c r="AZ3721" s="227"/>
      <c r="BA3721" s="227"/>
      <c r="BB3721" s="227"/>
      <c r="BC3721" s="227"/>
      <c r="BD3721" s="227"/>
      <c r="BE3721" s="227"/>
      <c r="BF3721" s="227"/>
    </row>
    <row r="3722">
      <c r="A3722" s="235" t="s">
        <v>27877</v>
      </c>
      <c r="C3722" s="235" t="s">
        <v>27878</v>
      </c>
      <c r="D3722" s="235" t="s">
        <v>27879</v>
      </c>
      <c r="E3722" s="243">
        <v>6.52E13</v>
      </c>
      <c r="F3722" s="245"/>
      <c r="G3722" s="235" t="s">
        <v>27880</v>
      </c>
      <c r="H3722" s="235" t="s">
        <v>27881</v>
      </c>
      <c r="I3722" s="235" t="s">
        <v>27881</v>
      </c>
      <c r="J3722" s="235" t="s">
        <v>27882</v>
      </c>
      <c r="K3722" s="235" t="s">
        <v>27883</v>
      </c>
      <c r="N3722" s="235" t="s">
        <v>104</v>
      </c>
      <c r="O3722" s="235" t="s">
        <v>401</v>
      </c>
      <c r="P3722" s="238">
        <v>1.0</v>
      </c>
      <c r="Q3722" s="235" t="s">
        <v>627</v>
      </c>
      <c r="R3722" s="238">
        <v>237.14</v>
      </c>
      <c r="S3722" s="238">
        <v>11.62</v>
      </c>
      <c r="T3722" s="238">
        <v>0.0</v>
      </c>
      <c r="U3722" s="238">
        <v>0.0</v>
      </c>
      <c r="V3722" s="238">
        <v>0.0</v>
      </c>
      <c r="W3722" s="238">
        <v>0.0</v>
      </c>
      <c r="X3722" s="235" t="s">
        <v>628</v>
      </c>
      <c r="Z3722" s="245"/>
      <c r="AA3722" s="245"/>
      <c r="AB3722" s="245"/>
      <c r="AC3722" s="235" t="s">
        <v>2057</v>
      </c>
      <c r="AD3722" s="235" t="s">
        <v>698</v>
      </c>
      <c r="AE3722" s="238">
        <v>500017.0</v>
      </c>
      <c r="AF3722" s="235" t="s">
        <v>631</v>
      </c>
      <c r="AG3722" s="245"/>
      <c r="AH3722" s="245"/>
      <c r="AI3722" s="245"/>
      <c r="AJ3722" s="245"/>
      <c r="AK3722" s="245"/>
      <c r="AL3722" s="245"/>
      <c r="AM3722" s="245"/>
      <c r="AN3722" s="245"/>
      <c r="AO3722" s="238">
        <v>-4.74</v>
      </c>
      <c r="AP3722" s="238">
        <v>0.0</v>
      </c>
      <c r="AQ3722" s="235" t="s">
        <v>632</v>
      </c>
      <c r="AR3722" s="243">
        <v>3.71E11</v>
      </c>
      <c r="AS3722" s="235" t="s">
        <v>25098</v>
      </c>
      <c r="AT3722" s="235" t="s">
        <v>11</v>
      </c>
      <c r="AU3722" s="235" t="s">
        <v>634</v>
      </c>
      <c r="AV3722" s="246" t="s">
        <v>635</v>
      </c>
      <c r="AW3722" s="227"/>
      <c r="AX3722" s="227"/>
      <c r="AY3722" s="227"/>
      <c r="AZ3722" s="227"/>
      <c r="BA3722" s="227"/>
      <c r="BB3722" s="227"/>
      <c r="BC3722" s="227"/>
      <c r="BD3722" s="227"/>
      <c r="BE3722" s="227"/>
      <c r="BF3722" s="227"/>
    </row>
    <row r="3723">
      <c r="A3723" s="235" t="s">
        <v>27884</v>
      </c>
      <c r="C3723" s="235" t="s">
        <v>27885</v>
      </c>
      <c r="D3723" s="235" t="s">
        <v>27886</v>
      </c>
      <c r="E3723" s="243">
        <v>6.52E13</v>
      </c>
      <c r="F3723" s="245"/>
      <c r="G3723" s="235" t="s">
        <v>27887</v>
      </c>
      <c r="H3723" s="235" t="s">
        <v>27888</v>
      </c>
      <c r="I3723" s="235" t="s">
        <v>27888</v>
      </c>
      <c r="J3723" s="235" t="s">
        <v>27889</v>
      </c>
      <c r="K3723" s="235" t="s">
        <v>27890</v>
      </c>
      <c r="N3723" s="235" t="s">
        <v>85</v>
      </c>
      <c r="O3723" s="235" t="s">
        <v>872</v>
      </c>
      <c r="P3723" s="238">
        <v>1.0</v>
      </c>
      <c r="Q3723" s="235" t="s">
        <v>627</v>
      </c>
      <c r="R3723" s="238">
        <v>232.38</v>
      </c>
      <c r="S3723" s="238">
        <v>11.62</v>
      </c>
      <c r="T3723" s="238">
        <v>0.0</v>
      </c>
      <c r="U3723" s="238">
        <v>0.0</v>
      </c>
      <c r="V3723" s="238">
        <v>0.0</v>
      </c>
      <c r="W3723" s="238">
        <v>0.0</v>
      </c>
      <c r="X3723" s="235" t="s">
        <v>628</v>
      </c>
      <c r="Z3723" s="245"/>
      <c r="AA3723" s="245"/>
      <c r="AB3723" s="245"/>
      <c r="AC3723" s="235" t="s">
        <v>775</v>
      </c>
      <c r="AD3723" s="235" t="s">
        <v>679</v>
      </c>
      <c r="AE3723" s="238">
        <v>560016.0</v>
      </c>
      <c r="AF3723" s="235" t="s">
        <v>631</v>
      </c>
      <c r="AG3723" s="245"/>
      <c r="AH3723" s="245"/>
      <c r="AI3723" s="245"/>
      <c r="AJ3723" s="245"/>
      <c r="AK3723" s="245"/>
      <c r="AL3723" s="245"/>
      <c r="AM3723" s="245"/>
      <c r="AN3723" s="245"/>
      <c r="AO3723" s="238">
        <v>0.0</v>
      </c>
      <c r="AP3723" s="238">
        <v>0.0</v>
      </c>
      <c r="AQ3723" s="235" t="s">
        <v>632</v>
      </c>
      <c r="AR3723" s="243">
        <v>1.68E11</v>
      </c>
      <c r="AS3723" s="235" t="s">
        <v>27428</v>
      </c>
      <c r="AT3723" s="235" t="s">
        <v>9</v>
      </c>
      <c r="AU3723" s="235" t="s">
        <v>634</v>
      </c>
      <c r="AV3723" s="246" t="s">
        <v>635</v>
      </c>
      <c r="AW3723" s="227"/>
      <c r="AX3723" s="227"/>
      <c r="AY3723" s="227"/>
      <c r="AZ3723" s="227"/>
      <c r="BA3723" s="227"/>
      <c r="BB3723" s="227"/>
      <c r="BC3723" s="227"/>
      <c r="BD3723" s="227"/>
      <c r="BE3723" s="227"/>
      <c r="BF3723" s="227"/>
    </row>
    <row r="3724">
      <c r="A3724" s="235" t="s">
        <v>27891</v>
      </c>
      <c r="C3724" s="235" t="s">
        <v>27892</v>
      </c>
      <c r="D3724" s="235" t="s">
        <v>27893</v>
      </c>
      <c r="E3724" s="243">
        <v>6.52E13</v>
      </c>
      <c r="F3724" s="245"/>
      <c r="G3724" s="235" t="s">
        <v>27894</v>
      </c>
      <c r="H3724" s="235" t="s">
        <v>27895</v>
      </c>
      <c r="I3724" s="235" t="s">
        <v>27895</v>
      </c>
      <c r="J3724" s="235" t="s">
        <v>27896</v>
      </c>
      <c r="K3724" s="235" t="s">
        <v>27897</v>
      </c>
      <c r="N3724" s="235" t="s">
        <v>136</v>
      </c>
      <c r="O3724" s="235" t="s">
        <v>256</v>
      </c>
      <c r="P3724" s="238">
        <v>1.0</v>
      </c>
      <c r="Q3724" s="235" t="s">
        <v>627</v>
      </c>
      <c r="R3724" s="238">
        <v>237.14</v>
      </c>
      <c r="S3724" s="238">
        <v>11.86</v>
      </c>
      <c r="T3724" s="238">
        <v>0.0</v>
      </c>
      <c r="U3724" s="238">
        <v>0.0</v>
      </c>
      <c r="V3724" s="238">
        <v>0.0</v>
      </c>
      <c r="W3724" s="238">
        <v>0.0</v>
      </c>
      <c r="X3724" s="235" t="s">
        <v>628</v>
      </c>
      <c r="Z3724" s="245"/>
      <c r="AA3724" s="245"/>
      <c r="AB3724" s="245"/>
      <c r="AC3724" s="235" t="s">
        <v>678</v>
      </c>
      <c r="AD3724" s="235" t="s">
        <v>679</v>
      </c>
      <c r="AE3724" s="238">
        <v>560049.0</v>
      </c>
      <c r="AF3724" s="235" t="s">
        <v>631</v>
      </c>
      <c r="AG3724" s="245"/>
      <c r="AH3724" s="245"/>
      <c r="AI3724" s="245"/>
      <c r="AJ3724" s="245"/>
      <c r="AK3724" s="245"/>
      <c r="AL3724" s="245"/>
      <c r="AM3724" s="245"/>
      <c r="AN3724" s="245"/>
      <c r="AO3724" s="238">
        <v>0.0</v>
      </c>
      <c r="AP3724" s="238">
        <v>0.0</v>
      </c>
      <c r="AQ3724" s="235" t="s">
        <v>632</v>
      </c>
      <c r="AR3724" s="243">
        <v>1.68E11</v>
      </c>
      <c r="AS3724" s="235" t="s">
        <v>27428</v>
      </c>
      <c r="AT3724" s="235" t="s">
        <v>9</v>
      </c>
      <c r="AU3724" s="235" t="s">
        <v>634</v>
      </c>
      <c r="AV3724" s="246" t="s">
        <v>635</v>
      </c>
      <c r="AW3724" s="227"/>
      <c r="AX3724" s="227"/>
      <c r="AY3724" s="227"/>
      <c r="AZ3724" s="227"/>
      <c r="BA3724" s="227"/>
      <c r="BB3724" s="227"/>
      <c r="BC3724" s="227"/>
      <c r="BD3724" s="227"/>
      <c r="BE3724" s="227"/>
      <c r="BF3724" s="227"/>
    </row>
    <row r="3725">
      <c r="A3725" s="235" t="s">
        <v>27898</v>
      </c>
      <c r="C3725" s="235" t="s">
        <v>27899</v>
      </c>
      <c r="D3725" s="235" t="s">
        <v>27900</v>
      </c>
      <c r="E3725" s="243">
        <v>6.51E13</v>
      </c>
      <c r="F3725" s="245"/>
      <c r="G3725" s="235" t="s">
        <v>27901</v>
      </c>
      <c r="H3725" s="235" t="s">
        <v>27902</v>
      </c>
      <c r="I3725" s="235" t="s">
        <v>27902</v>
      </c>
      <c r="J3725" s="235" t="s">
        <v>27903</v>
      </c>
      <c r="K3725" s="235" t="s">
        <v>27904</v>
      </c>
      <c r="N3725" s="235" t="s">
        <v>143</v>
      </c>
      <c r="O3725" s="235" t="s">
        <v>220</v>
      </c>
      <c r="P3725" s="238">
        <v>1.0</v>
      </c>
      <c r="Q3725" s="235" t="s">
        <v>627</v>
      </c>
      <c r="R3725" s="238">
        <v>233.33</v>
      </c>
      <c r="S3725" s="238">
        <v>11.67</v>
      </c>
      <c r="T3725" s="238">
        <v>0.0</v>
      </c>
      <c r="U3725" s="238">
        <v>0.0</v>
      </c>
      <c r="V3725" s="238">
        <v>0.0</v>
      </c>
      <c r="W3725" s="238">
        <v>0.0</v>
      </c>
      <c r="X3725" s="235" t="s">
        <v>628</v>
      </c>
      <c r="Z3725" s="245"/>
      <c r="AA3725" s="245"/>
      <c r="AB3725" s="245"/>
      <c r="AC3725" s="235" t="s">
        <v>795</v>
      </c>
      <c r="AD3725" s="235" t="s">
        <v>796</v>
      </c>
      <c r="AE3725" s="238">
        <v>110001.0</v>
      </c>
      <c r="AF3725" s="235" t="s">
        <v>631</v>
      </c>
      <c r="AG3725" s="245"/>
      <c r="AH3725" s="245"/>
      <c r="AI3725" s="245"/>
      <c r="AJ3725" s="245"/>
      <c r="AK3725" s="245"/>
      <c r="AL3725" s="245"/>
      <c r="AM3725" s="245"/>
      <c r="AN3725" s="245"/>
      <c r="AO3725" s="238">
        <v>0.0</v>
      </c>
      <c r="AP3725" s="238">
        <v>0.0</v>
      </c>
      <c r="AQ3725" s="235" t="s">
        <v>632</v>
      </c>
      <c r="AR3725" s="243">
        <v>3.71E11</v>
      </c>
      <c r="AS3725" s="235" t="s">
        <v>26892</v>
      </c>
      <c r="AT3725" s="235" t="s">
        <v>14</v>
      </c>
      <c r="AU3725" s="235" t="s">
        <v>634</v>
      </c>
      <c r="AV3725" s="246" t="s">
        <v>635</v>
      </c>
      <c r="AW3725" s="227"/>
      <c r="AX3725" s="227"/>
      <c r="AY3725" s="227"/>
      <c r="AZ3725" s="227"/>
      <c r="BA3725" s="227"/>
      <c r="BB3725" s="227"/>
      <c r="BC3725" s="227"/>
      <c r="BD3725" s="227"/>
      <c r="BE3725" s="227"/>
      <c r="BF3725" s="227"/>
    </row>
    <row r="3726">
      <c r="A3726" s="235" t="s">
        <v>27905</v>
      </c>
      <c r="C3726" s="235" t="s">
        <v>27906</v>
      </c>
      <c r="D3726" s="235" t="s">
        <v>27907</v>
      </c>
      <c r="E3726" s="243">
        <v>6.52E13</v>
      </c>
      <c r="F3726" s="245"/>
      <c r="G3726" s="235" t="s">
        <v>27908</v>
      </c>
      <c r="H3726" s="235" t="s">
        <v>27909</v>
      </c>
      <c r="I3726" s="235" t="s">
        <v>27909</v>
      </c>
      <c r="J3726" s="235" t="s">
        <v>27910</v>
      </c>
      <c r="K3726" s="235" t="s">
        <v>27911</v>
      </c>
      <c r="N3726" s="235" t="s">
        <v>53</v>
      </c>
      <c r="O3726" s="235" t="s">
        <v>512</v>
      </c>
      <c r="P3726" s="238">
        <v>1.0</v>
      </c>
      <c r="Q3726" s="235" t="s">
        <v>627</v>
      </c>
      <c r="R3726" s="238">
        <v>233.33</v>
      </c>
      <c r="S3726" s="238">
        <v>11.67</v>
      </c>
      <c r="T3726" s="238">
        <v>0.0</v>
      </c>
      <c r="U3726" s="238">
        <v>0.0</v>
      </c>
      <c r="V3726" s="238">
        <v>0.0</v>
      </c>
      <c r="W3726" s="238">
        <v>0.0</v>
      </c>
      <c r="X3726" s="235" t="s">
        <v>628</v>
      </c>
      <c r="Z3726" s="245"/>
      <c r="AA3726" s="245"/>
      <c r="AB3726" s="245"/>
      <c r="AC3726" s="235" t="s">
        <v>899</v>
      </c>
      <c r="AD3726" s="235" t="s">
        <v>833</v>
      </c>
      <c r="AE3726" s="238">
        <v>517507.0</v>
      </c>
      <c r="AF3726" s="235" t="s">
        <v>631</v>
      </c>
      <c r="AG3726" s="245"/>
      <c r="AH3726" s="245"/>
      <c r="AI3726" s="245"/>
      <c r="AJ3726" s="245"/>
      <c r="AK3726" s="245"/>
      <c r="AL3726" s="245"/>
      <c r="AM3726" s="245"/>
      <c r="AN3726" s="245"/>
      <c r="AO3726" s="238">
        <v>0.0</v>
      </c>
      <c r="AP3726" s="238">
        <v>0.0</v>
      </c>
      <c r="AQ3726" s="235" t="s">
        <v>632</v>
      </c>
      <c r="AR3726" s="243">
        <v>3.71E11</v>
      </c>
      <c r="AS3726" s="235" t="s">
        <v>26892</v>
      </c>
      <c r="AT3726" s="235" t="s">
        <v>156</v>
      </c>
      <c r="AU3726" s="235" t="s">
        <v>634</v>
      </c>
      <c r="AV3726" s="246" t="s">
        <v>635</v>
      </c>
      <c r="AW3726" s="227"/>
      <c r="AX3726" s="227"/>
      <c r="AY3726" s="227"/>
      <c r="AZ3726" s="227"/>
      <c r="BA3726" s="227"/>
      <c r="BB3726" s="227"/>
      <c r="BC3726" s="227"/>
      <c r="BD3726" s="227"/>
      <c r="BE3726" s="227"/>
      <c r="BF3726" s="227"/>
    </row>
    <row r="3727">
      <c r="A3727" s="235" t="s">
        <v>27912</v>
      </c>
      <c r="C3727" s="235" t="s">
        <v>27913</v>
      </c>
      <c r="D3727" s="235" t="s">
        <v>27914</v>
      </c>
      <c r="E3727" s="243">
        <v>6.51E13</v>
      </c>
      <c r="F3727" s="245"/>
      <c r="G3727" s="235" t="s">
        <v>27915</v>
      </c>
      <c r="H3727" s="235" t="s">
        <v>27909</v>
      </c>
      <c r="I3727" s="235" t="s">
        <v>27909</v>
      </c>
      <c r="J3727" s="235" t="s">
        <v>27910</v>
      </c>
      <c r="K3727" s="235" t="s">
        <v>27916</v>
      </c>
      <c r="N3727" s="235" t="s">
        <v>144</v>
      </c>
      <c r="O3727" s="235" t="s">
        <v>232</v>
      </c>
      <c r="P3727" s="238">
        <v>1.0</v>
      </c>
      <c r="Q3727" s="235" t="s">
        <v>627</v>
      </c>
      <c r="R3727" s="238">
        <v>626.67</v>
      </c>
      <c r="S3727" s="238">
        <v>31.33</v>
      </c>
      <c r="T3727" s="238">
        <v>0.0</v>
      </c>
      <c r="U3727" s="238">
        <v>0.0</v>
      </c>
      <c r="V3727" s="238">
        <v>0.0</v>
      </c>
      <c r="W3727" s="238">
        <v>0.0</v>
      </c>
      <c r="X3727" s="235" t="s">
        <v>628</v>
      </c>
      <c r="Z3727" s="245"/>
      <c r="AA3727" s="245"/>
      <c r="AB3727" s="245"/>
      <c r="AC3727" s="235" t="s">
        <v>832</v>
      </c>
      <c r="AD3727" s="235" t="s">
        <v>833</v>
      </c>
      <c r="AE3727" s="238">
        <v>530018.0</v>
      </c>
      <c r="AF3727" s="235" t="s">
        <v>631</v>
      </c>
      <c r="AG3727" s="245"/>
      <c r="AH3727" s="245"/>
      <c r="AI3727" s="245"/>
      <c r="AJ3727" s="245"/>
      <c r="AK3727" s="245"/>
      <c r="AL3727" s="245"/>
      <c r="AM3727" s="245"/>
      <c r="AN3727" s="245"/>
      <c r="AO3727" s="238">
        <v>0.0</v>
      </c>
      <c r="AP3727" s="238">
        <v>0.0</v>
      </c>
      <c r="AQ3727" s="235" t="s">
        <v>632</v>
      </c>
      <c r="AR3727" s="243">
        <v>3.71E11</v>
      </c>
      <c r="AS3727" s="235" t="s">
        <v>22269</v>
      </c>
      <c r="AT3727" s="235" t="s">
        <v>16</v>
      </c>
      <c r="AU3727" s="235" t="s">
        <v>634</v>
      </c>
      <c r="AV3727" s="246" t="s">
        <v>635</v>
      </c>
      <c r="AW3727" s="227"/>
      <c r="AX3727" s="227"/>
      <c r="AY3727" s="227"/>
      <c r="AZ3727" s="227"/>
      <c r="BA3727" s="227"/>
      <c r="BB3727" s="227"/>
      <c r="BC3727" s="227"/>
      <c r="BD3727" s="227"/>
      <c r="BE3727" s="227"/>
      <c r="BF3727" s="227"/>
    </row>
    <row r="3728">
      <c r="A3728" s="235" t="s">
        <v>27917</v>
      </c>
      <c r="C3728" s="235" t="s">
        <v>27918</v>
      </c>
      <c r="D3728" s="235" t="s">
        <v>27919</v>
      </c>
      <c r="E3728" s="243">
        <v>6.52E13</v>
      </c>
      <c r="F3728" s="245"/>
      <c r="G3728" s="235" t="s">
        <v>27920</v>
      </c>
      <c r="H3728" s="235" t="s">
        <v>27921</v>
      </c>
      <c r="I3728" s="235" t="s">
        <v>27921</v>
      </c>
      <c r="J3728" s="235" t="s">
        <v>27922</v>
      </c>
      <c r="K3728" s="235" t="s">
        <v>27923</v>
      </c>
      <c r="N3728" s="235" t="s">
        <v>53</v>
      </c>
      <c r="O3728" s="235" t="s">
        <v>512</v>
      </c>
      <c r="P3728" s="238">
        <v>1.0</v>
      </c>
      <c r="Q3728" s="235" t="s">
        <v>627</v>
      </c>
      <c r="R3728" s="238">
        <v>233.34</v>
      </c>
      <c r="S3728" s="238">
        <v>11.32</v>
      </c>
      <c r="T3728" s="238">
        <v>0.0</v>
      </c>
      <c r="U3728" s="238">
        <v>0.0</v>
      </c>
      <c r="V3728" s="238">
        <v>0.0</v>
      </c>
      <c r="W3728" s="238">
        <v>0.0</v>
      </c>
      <c r="X3728" s="235" t="s">
        <v>628</v>
      </c>
      <c r="Z3728" s="245"/>
      <c r="AA3728" s="245"/>
      <c r="AB3728" s="245"/>
      <c r="AC3728" s="235" t="s">
        <v>1887</v>
      </c>
      <c r="AD3728" s="235" t="s">
        <v>679</v>
      </c>
      <c r="AE3728" s="238">
        <v>560103.0</v>
      </c>
      <c r="AF3728" s="235" t="s">
        <v>631</v>
      </c>
      <c r="AG3728" s="245"/>
      <c r="AH3728" s="245"/>
      <c r="AI3728" s="245"/>
      <c r="AJ3728" s="245"/>
      <c r="AK3728" s="245"/>
      <c r="AL3728" s="245"/>
      <c r="AM3728" s="245"/>
      <c r="AN3728" s="245"/>
      <c r="AO3728" s="238">
        <v>-7.01</v>
      </c>
      <c r="AP3728" s="238">
        <v>0.0</v>
      </c>
      <c r="AQ3728" s="235" t="s">
        <v>632</v>
      </c>
      <c r="AR3728" s="243">
        <v>3.71E11</v>
      </c>
      <c r="AS3728" s="235" t="s">
        <v>26892</v>
      </c>
      <c r="AT3728" s="235" t="s">
        <v>9</v>
      </c>
      <c r="AU3728" s="235" t="s">
        <v>634</v>
      </c>
      <c r="AV3728" s="246" t="s">
        <v>635</v>
      </c>
      <c r="AW3728" s="227"/>
      <c r="AX3728" s="227"/>
      <c r="AY3728" s="227"/>
      <c r="AZ3728" s="227"/>
      <c r="BA3728" s="227"/>
      <c r="BB3728" s="227"/>
      <c r="BC3728" s="227"/>
      <c r="BD3728" s="227"/>
      <c r="BE3728" s="227"/>
      <c r="BF3728" s="227"/>
    </row>
    <row r="3729">
      <c r="A3729" s="235" t="s">
        <v>27924</v>
      </c>
      <c r="C3729" s="235" t="s">
        <v>27925</v>
      </c>
      <c r="D3729" s="235" t="s">
        <v>27926</v>
      </c>
      <c r="E3729" s="243">
        <v>6.52E13</v>
      </c>
      <c r="F3729" s="245"/>
      <c r="G3729" s="235" t="s">
        <v>27927</v>
      </c>
      <c r="H3729" s="235" t="s">
        <v>27928</v>
      </c>
      <c r="I3729" s="235" t="s">
        <v>27928</v>
      </c>
      <c r="J3729" s="235" t="s">
        <v>27929</v>
      </c>
      <c r="K3729" s="235" t="s">
        <v>27930</v>
      </c>
      <c r="N3729" s="235" t="s">
        <v>49</v>
      </c>
      <c r="O3729" s="235" t="s">
        <v>321</v>
      </c>
      <c r="P3729" s="238">
        <v>1.0</v>
      </c>
      <c r="Q3729" s="235" t="s">
        <v>627</v>
      </c>
      <c r="R3729" s="238">
        <v>233.34</v>
      </c>
      <c r="S3729" s="238">
        <v>11.43</v>
      </c>
      <c r="T3729" s="238">
        <v>0.0</v>
      </c>
      <c r="U3729" s="238">
        <v>0.0</v>
      </c>
      <c r="V3729" s="238">
        <v>0.0</v>
      </c>
      <c r="W3729" s="238">
        <v>0.0</v>
      </c>
      <c r="X3729" s="235" t="s">
        <v>628</v>
      </c>
      <c r="Z3729" s="245"/>
      <c r="AA3729" s="245"/>
      <c r="AB3729" s="245"/>
      <c r="AC3729" s="235" t="s">
        <v>678</v>
      </c>
      <c r="AD3729" s="235" t="s">
        <v>679</v>
      </c>
      <c r="AE3729" s="238">
        <v>560016.0</v>
      </c>
      <c r="AF3729" s="235" t="s">
        <v>631</v>
      </c>
      <c r="AG3729" s="245"/>
      <c r="AH3729" s="245"/>
      <c r="AI3729" s="245"/>
      <c r="AJ3729" s="245"/>
      <c r="AK3729" s="245"/>
      <c r="AL3729" s="245"/>
      <c r="AM3729" s="245"/>
      <c r="AN3729" s="245"/>
      <c r="AO3729" s="238">
        <v>-4.67</v>
      </c>
      <c r="AP3729" s="238">
        <v>0.0</v>
      </c>
      <c r="AQ3729" s="235" t="s">
        <v>632</v>
      </c>
      <c r="AR3729" s="243">
        <v>1.68E11</v>
      </c>
      <c r="AS3729" s="235" t="s">
        <v>27428</v>
      </c>
      <c r="AT3729" s="235" t="s">
        <v>9</v>
      </c>
      <c r="AU3729" s="235" t="s">
        <v>634</v>
      </c>
      <c r="AV3729" s="246" t="s">
        <v>635</v>
      </c>
      <c r="AW3729" s="227"/>
      <c r="AX3729" s="227"/>
      <c r="AY3729" s="227"/>
      <c r="AZ3729" s="227"/>
      <c r="BA3729" s="227"/>
      <c r="BB3729" s="227"/>
      <c r="BC3729" s="227"/>
      <c r="BD3729" s="227"/>
      <c r="BE3729" s="227"/>
      <c r="BF3729" s="227"/>
    </row>
    <row r="3730">
      <c r="A3730" s="235" t="s">
        <v>27931</v>
      </c>
      <c r="C3730" s="235" t="s">
        <v>27932</v>
      </c>
      <c r="D3730" s="235" t="s">
        <v>27933</v>
      </c>
      <c r="E3730" s="243">
        <v>6.52E13</v>
      </c>
      <c r="F3730" s="245"/>
      <c r="G3730" s="235" t="s">
        <v>27934</v>
      </c>
      <c r="H3730" s="235" t="s">
        <v>27935</v>
      </c>
      <c r="I3730" s="235" t="s">
        <v>27935</v>
      </c>
      <c r="J3730" s="235" t="s">
        <v>27936</v>
      </c>
      <c r="K3730" s="235" t="s">
        <v>27937</v>
      </c>
      <c r="N3730" s="235" t="s">
        <v>71</v>
      </c>
      <c r="O3730" s="235" t="s">
        <v>240</v>
      </c>
      <c r="P3730" s="238">
        <v>1.0</v>
      </c>
      <c r="Q3730" s="235" t="s">
        <v>627</v>
      </c>
      <c r="R3730" s="238">
        <v>223.8</v>
      </c>
      <c r="S3730" s="238">
        <v>10.98</v>
      </c>
      <c r="T3730" s="238">
        <v>0.0</v>
      </c>
      <c r="U3730" s="238">
        <v>0.0</v>
      </c>
      <c r="V3730" s="238">
        <v>0.0</v>
      </c>
      <c r="W3730" s="238">
        <v>0.0</v>
      </c>
      <c r="X3730" s="235" t="s">
        <v>628</v>
      </c>
      <c r="Z3730" s="245"/>
      <c r="AA3730" s="245"/>
      <c r="AB3730" s="245"/>
      <c r="AC3730" s="235" t="s">
        <v>678</v>
      </c>
      <c r="AD3730" s="235" t="s">
        <v>679</v>
      </c>
      <c r="AE3730" s="238">
        <v>560023.0</v>
      </c>
      <c r="AF3730" s="235" t="s">
        <v>631</v>
      </c>
      <c r="AG3730" s="245"/>
      <c r="AH3730" s="245"/>
      <c r="AI3730" s="245"/>
      <c r="AJ3730" s="245"/>
      <c r="AK3730" s="245"/>
      <c r="AL3730" s="245"/>
      <c r="AM3730" s="245"/>
      <c r="AN3730" s="245"/>
      <c r="AO3730" s="238">
        <v>-4.48</v>
      </c>
      <c r="AP3730" s="238">
        <v>0.0</v>
      </c>
      <c r="AQ3730" s="235" t="s">
        <v>632</v>
      </c>
      <c r="AR3730" s="243">
        <v>1.68E11</v>
      </c>
      <c r="AS3730" s="235" t="s">
        <v>27428</v>
      </c>
      <c r="AT3730" s="235" t="s">
        <v>9</v>
      </c>
      <c r="AU3730" s="235" t="s">
        <v>634</v>
      </c>
      <c r="AV3730" s="246" t="s">
        <v>635</v>
      </c>
      <c r="AW3730" s="227"/>
      <c r="AX3730" s="227"/>
      <c r="AY3730" s="227"/>
      <c r="AZ3730" s="227"/>
      <c r="BA3730" s="227"/>
      <c r="BB3730" s="227"/>
      <c r="BC3730" s="227"/>
      <c r="BD3730" s="227"/>
      <c r="BE3730" s="227"/>
      <c r="BF3730" s="227"/>
    </row>
    <row r="3731">
      <c r="A3731" s="235" t="s">
        <v>27938</v>
      </c>
      <c r="C3731" s="235" t="s">
        <v>27939</v>
      </c>
      <c r="D3731" s="235" t="s">
        <v>27940</v>
      </c>
      <c r="E3731" s="243">
        <v>6.52E13</v>
      </c>
      <c r="F3731" s="245"/>
      <c r="G3731" s="235" t="s">
        <v>27941</v>
      </c>
      <c r="H3731" s="235" t="s">
        <v>27942</v>
      </c>
      <c r="I3731" s="235" t="s">
        <v>27942</v>
      </c>
      <c r="J3731" s="235" t="s">
        <v>27943</v>
      </c>
      <c r="K3731" s="235" t="s">
        <v>27944</v>
      </c>
      <c r="N3731" s="235" t="s">
        <v>154</v>
      </c>
      <c r="O3731" s="235" t="s">
        <v>766</v>
      </c>
      <c r="P3731" s="238">
        <v>1.0</v>
      </c>
      <c r="Q3731" s="235" t="s">
        <v>627</v>
      </c>
      <c r="R3731" s="238">
        <v>423.8</v>
      </c>
      <c r="S3731" s="238">
        <v>21.2</v>
      </c>
      <c r="T3731" s="238">
        <v>0.0</v>
      </c>
      <c r="U3731" s="238">
        <v>0.0</v>
      </c>
      <c r="V3731" s="238">
        <v>0.0</v>
      </c>
      <c r="W3731" s="238">
        <v>0.0</v>
      </c>
      <c r="X3731" s="235" t="s">
        <v>628</v>
      </c>
      <c r="Z3731" s="245"/>
      <c r="AA3731" s="245"/>
      <c r="AB3731" s="245"/>
      <c r="AC3731" s="235" t="s">
        <v>1456</v>
      </c>
      <c r="AD3731" s="235" t="s">
        <v>928</v>
      </c>
      <c r="AE3731" s="238">
        <v>122001.0</v>
      </c>
      <c r="AF3731" s="235" t="s">
        <v>631</v>
      </c>
      <c r="AG3731" s="245"/>
      <c r="AH3731" s="245"/>
      <c r="AI3731" s="245"/>
      <c r="AJ3731" s="245"/>
      <c r="AK3731" s="245"/>
      <c r="AL3731" s="245"/>
      <c r="AM3731" s="245"/>
      <c r="AN3731" s="245"/>
      <c r="AO3731" s="238">
        <v>0.0</v>
      </c>
      <c r="AP3731" s="238">
        <v>0.0</v>
      </c>
      <c r="AQ3731" s="235" t="s">
        <v>632</v>
      </c>
      <c r="AR3731" s="243">
        <v>1.68E11</v>
      </c>
      <c r="AS3731" s="235" t="s">
        <v>27428</v>
      </c>
      <c r="AT3731" s="235" t="s">
        <v>14</v>
      </c>
      <c r="AU3731" s="235" t="s">
        <v>634</v>
      </c>
      <c r="AV3731" s="246" t="s">
        <v>635</v>
      </c>
      <c r="AW3731" s="227"/>
      <c r="AX3731" s="227"/>
      <c r="AY3731" s="227"/>
      <c r="AZ3731" s="227"/>
      <c r="BA3731" s="227"/>
      <c r="BB3731" s="227"/>
      <c r="BC3731" s="227"/>
      <c r="BD3731" s="227"/>
      <c r="BE3731" s="227"/>
      <c r="BF3731" s="227"/>
    </row>
    <row r="3732">
      <c r="A3732" s="235" t="s">
        <v>27945</v>
      </c>
      <c r="C3732" s="235" t="s">
        <v>27946</v>
      </c>
      <c r="D3732" s="235" t="s">
        <v>27947</v>
      </c>
      <c r="E3732" s="243">
        <v>6.52E13</v>
      </c>
      <c r="F3732" s="245"/>
      <c r="G3732" s="235" t="s">
        <v>27948</v>
      </c>
      <c r="H3732" s="235" t="s">
        <v>27949</v>
      </c>
      <c r="I3732" s="235" t="s">
        <v>27950</v>
      </c>
      <c r="J3732" s="235" t="s">
        <v>27951</v>
      </c>
      <c r="K3732" s="235" t="s">
        <v>27952</v>
      </c>
      <c r="N3732" s="235" t="s">
        <v>138</v>
      </c>
      <c r="O3732" s="235" t="s">
        <v>675</v>
      </c>
      <c r="P3732" s="238">
        <v>1.0</v>
      </c>
      <c r="Q3732" s="235" t="s">
        <v>627</v>
      </c>
      <c r="R3732" s="238">
        <v>233.33</v>
      </c>
      <c r="S3732" s="238">
        <v>11.44</v>
      </c>
      <c r="T3732" s="238">
        <v>0.0</v>
      </c>
      <c r="U3732" s="238">
        <v>0.0</v>
      </c>
      <c r="V3732" s="238">
        <v>0.0</v>
      </c>
      <c r="W3732" s="238">
        <v>0.0</v>
      </c>
      <c r="X3732" s="235" t="s">
        <v>628</v>
      </c>
      <c r="Z3732" s="245"/>
      <c r="AA3732" s="245"/>
      <c r="AB3732" s="245"/>
      <c r="AC3732" s="235" t="s">
        <v>21491</v>
      </c>
      <c r="AD3732" s="235" t="s">
        <v>833</v>
      </c>
      <c r="AE3732" s="238">
        <v>524305.0</v>
      </c>
      <c r="AF3732" s="235" t="s">
        <v>631</v>
      </c>
      <c r="AG3732" s="245"/>
      <c r="AH3732" s="245"/>
      <c r="AI3732" s="245"/>
      <c r="AJ3732" s="245"/>
      <c r="AK3732" s="245"/>
      <c r="AL3732" s="245"/>
      <c r="AM3732" s="245"/>
      <c r="AN3732" s="245"/>
      <c r="AO3732" s="238">
        <v>-4.67</v>
      </c>
      <c r="AP3732" s="238">
        <v>0.0</v>
      </c>
      <c r="AQ3732" s="235" t="s">
        <v>632</v>
      </c>
      <c r="AR3732" s="243">
        <v>1.68E11</v>
      </c>
      <c r="AS3732" s="235" t="s">
        <v>26892</v>
      </c>
      <c r="AT3732" s="235" t="s">
        <v>156</v>
      </c>
      <c r="AU3732" s="235" t="s">
        <v>634</v>
      </c>
      <c r="AV3732" s="246" t="s">
        <v>635</v>
      </c>
      <c r="AW3732" s="227"/>
      <c r="AX3732" s="227"/>
      <c r="AY3732" s="227"/>
      <c r="AZ3732" s="227"/>
      <c r="BA3732" s="227"/>
      <c r="BB3732" s="227"/>
      <c r="BC3732" s="227"/>
      <c r="BD3732" s="227"/>
      <c r="BE3732" s="227"/>
      <c r="BF3732" s="227"/>
    </row>
    <row r="3733">
      <c r="A3733" s="235" t="s">
        <v>27953</v>
      </c>
      <c r="C3733" s="235" t="s">
        <v>27954</v>
      </c>
      <c r="D3733" s="235" t="s">
        <v>27955</v>
      </c>
      <c r="E3733" s="243">
        <v>6.52E13</v>
      </c>
      <c r="F3733" s="245"/>
      <c r="G3733" s="235" t="s">
        <v>27956</v>
      </c>
      <c r="H3733" s="235" t="s">
        <v>27957</v>
      </c>
      <c r="I3733" s="235" t="s">
        <v>27958</v>
      </c>
      <c r="J3733" s="235" t="s">
        <v>27959</v>
      </c>
      <c r="K3733" s="235" t="s">
        <v>27960</v>
      </c>
      <c r="N3733" s="235" t="s">
        <v>110</v>
      </c>
      <c r="O3733" s="235" t="s">
        <v>364</v>
      </c>
      <c r="P3733" s="238">
        <v>1.0</v>
      </c>
      <c r="Q3733" s="235" t="s">
        <v>627</v>
      </c>
      <c r="R3733" s="238">
        <v>237.14</v>
      </c>
      <c r="S3733" s="238">
        <v>11.5</v>
      </c>
      <c r="T3733" s="238">
        <v>0.0</v>
      </c>
      <c r="U3733" s="238">
        <v>0.0</v>
      </c>
      <c r="V3733" s="238">
        <v>0.0</v>
      </c>
      <c r="W3733" s="238">
        <v>0.0</v>
      </c>
      <c r="X3733" s="235" t="s">
        <v>628</v>
      </c>
      <c r="Z3733" s="245"/>
      <c r="AA3733" s="245"/>
      <c r="AB3733" s="245"/>
      <c r="AC3733" s="235" t="s">
        <v>27961</v>
      </c>
      <c r="AD3733" s="235" t="s">
        <v>666</v>
      </c>
      <c r="AE3733" s="238">
        <v>609108.0</v>
      </c>
      <c r="AF3733" s="235" t="s">
        <v>631</v>
      </c>
      <c r="AG3733" s="245"/>
      <c r="AH3733" s="245"/>
      <c r="AI3733" s="245"/>
      <c r="AJ3733" s="245"/>
      <c r="AK3733" s="245"/>
      <c r="AL3733" s="245"/>
      <c r="AM3733" s="245"/>
      <c r="AN3733" s="245"/>
      <c r="AO3733" s="238">
        <v>-7.11</v>
      </c>
      <c r="AP3733" s="238">
        <v>0.0</v>
      </c>
      <c r="AQ3733" s="235" t="s">
        <v>632</v>
      </c>
      <c r="AR3733" s="243">
        <v>1.68E11</v>
      </c>
      <c r="AS3733" s="235" t="s">
        <v>26892</v>
      </c>
      <c r="AT3733" s="235" t="s">
        <v>156</v>
      </c>
      <c r="AU3733" s="235" t="s">
        <v>634</v>
      </c>
      <c r="AV3733" s="246" t="s">
        <v>635</v>
      </c>
      <c r="AW3733" s="227"/>
      <c r="AX3733" s="227"/>
      <c r="AY3733" s="227"/>
      <c r="AZ3733" s="227"/>
      <c r="BA3733" s="227"/>
      <c r="BB3733" s="227"/>
      <c r="BC3733" s="227"/>
      <c r="BD3733" s="227"/>
      <c r="BE3733" s="227"/>
      <c r="BF3733" s="227"/>
    </row>
    <row r="3734">
      <c r="A3734" s="235" t="s">
        <v>27962</v>
      </c>
      <c r="C3734" s="235" t="s">
        <v>27963</v>
      </c>
      <c r="D3734" s="235" t="s">
        <v>27964</v>
      </c>
      <c r="E3734" s="243">
        <v>6.51E13</v>
      </c>
      <c r="F3734" s="245"/>
      <c r="G3734" s="235" t="s">
        <v>27965</v>
      </c>
      <c r="H3734" s="235" t="s">
        <v>27966</v>
      </c>
      <c r="I3734" s="235" t="s">
        <v>27966</v>
      </c>
      <c r="J3734" s="235" t="s">
        <v>27967</v>
      </c>
      <c r="K3734" s="235" t="s">
        <v>27968</v>
      </c>
      <c r="N3734" s="235" t="s">
        <v>42</v>
      </c>
      <c r="O3734" s="235" t="s">
        <v>204</v>
      </c>
      <c r="P3734" s="238">
        <v>1.0</v>
      </c>
      <c r="Q3734" s="235" t="s">
        <v>627</v>
      </c>
      <c r="R3734" s="238">
        <v>236.2</v>
      </c>
      <c r="S3734" s="238">
        <v>11.8</v>
      </c>
      <c r="T3734" s="238">
        <v>0.0</v>
      </c>
      <c r="U3734" s="238">
        <v>0.0</v>
      </c>
      <c r="V3734" s="238">
        <v>0.0</v>
      </c>
      <c r="W3734" s="238">
        <v>0.0</v>
      </c>
      <c r="X3734" s="235" t="s">
        <v>628</v>
      </c>
      <c r="Z3734" s="245"/>
      <c r="AA3734" s="245"/>
      <c r="AB3734" s="245"/>
      <c r="AC3734" s="235" t="s">
        <v>687</v>
      </c>
      <c r="AD3734" s="235" t="s">
        <v>666</v>
      </c>
      <c r="AE3734" s="238">
        <v>600125.0</v>
      </c>
      <c r="AF3734" s="235" t="s">
        <v>631</v>
      </c>
      <c r="AG3734" s="245"/>
      <c r="AH3734" s="245"/>
      <c r="AI3734" s="245"/>
      <c r="AJ3734" s="245"/>
      <c r="AK3734" s="245"/>
      <c r="AL3734" s="245"/>
      <c r="AM3734" s="245"/>
      <c r="AN3734" s="245"/>
      <c r="AO3734" s="238">
        <v>0.0</v>
      </c>
      <c r="AP3734" s="238">
        <v>0.0</v>
      </c>
      <c r="AQ3734" s="235" t="s">
        <v>632</v>
      </c>
      <c r="AR3734" s="243">
        <v>3.71E11</v>
      </c>
      <c r="AS3734" s="235" t="s">
        <v>26892</v>
      </c>
      <c r="AT3734" s="235" t="s">
        <v>156</v>
      </c>
      <c r="AU3734" s="235" t="s">
        <v>634</v>
      </c>
      <c r="AV3734" s="246" t="s">
        <v>635</v>
      </c>
      <c r="AW3734" s="227"/>
      <c r="AX3734" s="227"/>
      <c r="AY3734" s="227"/>
      <c r="AZ3734" s="227"/>
      <c r="BA3734" s="227"/>
      <c r="BB3734" s="227"/>
      <c r="BC3734" s="227"/>
      <c r="BD3734" s="227"/>
      <c r="BE3734" s="227"/>
      <c r="BF3734" s="227"/>
    </row>
    <row r="3735">
      <c r="A3735" s="235" t="s">
        <v>27969</v>
      </c>
      <c r="C3735" s="235" t="s">
        <v>27970</v>
      </c>
      <c r="D3735" s="235" t="s">
        <v>27971</v>
      </c>
      <c r="E3735" s="243">
        <v>6.52E13</v>
      </c>
      <c r="F3735" s="245"/>
      <c r="G3735" s="235" t="s">
        <v>27972</v>
      </c>
      <c r="H3735" s="235" t="s">
        <v>27973</v>
      </c>
      <c r="I3735" s="235" t="s">
        <v>27973</v>
      </c>
      <c r="J3735" s="235" t="s">
        <v>27974</v>
      </c>
      <c r="K3735" s="235" t="s">
        <v>27975</v>
      </c>
      <c r="N3735" s="235" t="s">
        <v>3</v>
      </c>
      <c r="O3735" s="235" t="s">
        <v>654</v>
      </c>
      <c r="P3735" s="238">
        <v>2.0</v>
      </c>
      <c r="Q3735" s="235" t="s">
        <v>627</v>
      </c>
      <c r="R3735" s="238">
        <v>495.24</v>
      </c>
      <c r="S3735" s="238">
        <v>24.02</v>
      </c>
      <c r="T3735" s="238">
        <v>0.0</v>
      </c>
      <c r="U3735" s="238">
        <v>0.0</v>
      </c>
      <c r="V3735" s="238">
        <v>0.0</v>
      </c>
      <c r="W3735" s="238">
        <v>0.0</v>
      </c>
      <c r="X3735" s="235" t="s">
        <v>628</v>
      </c>
      <c r="Z3735" s="245"/>
      <c r="AA3735" s="245"/>
      <c r="AB3735" s="245"/>
      <c r="AC3735" s="235" t="s">
        <v>1475</v>
      </c>
      <c r="AD3735" s="235" t="s">
        <v>796</v>
      </c>
      <c r="AE3735" s="238">
        <v>110088.0</v>
      </c>
      <c r="AF3735" s="235" t="s">
        <v>631</v>
      </c>
      <c r="AG3735" s="245"/>
      <c r="AH3735" s="245"/>
      <c r="AI3735" s="245"/>
      <c r="AJ3735" s="245"/>
      <c r="AK3735" s="245"/>
      <c r="AL3735" s="245"/>
      <c r="AM3735" s="245"/>
      <c r="AN3735" s="245"/>
      <c r="AO3735" s="238">
        <v>-14.86</v>
      </c>
      <c r="AP3735" s="238">
        <v>0.0</v>
      </c>
      <c r="AQ3735" s="235" t="s">
        <v>632</v>
      </c>
      <c r="AR3735" s="243">
        <v>1.68E11</v>
      </c>
      <c r="AS3735" s="235" t="s">
        <v>27428</v>
      </c>
      <c r="AT3735" s="235" t="s">
        <v>14</v>
      </c>
      <c r="AU3735" s="235" t="s">
        <v>634</v>
      </c>
      <c r="AV3735" s="246" t="s">
        <v>635</v>
      </c>
      <c r="AW3735" s="227"/>
      <c r="AX3735" s="227"/>
      <c r="AY3735" s="227"/>
      <c r="AZ3735" s="227"/>
      <c r="BA3735" s="227"/>
      <c r="BB3735" s="227"/>
      <c r="BC3735" s="227"/>
      <c r="BD3735" s="227"/>
      <c r="BE3735" s="227"/>
      <c r="BF3735" s="227"/>
    </row>
    <row r="3736">
      <c r="A3736" s="235" t="s">
        <v>27976</v>
      </c>
      <c r="C3736" s="235" t="s">
        <v>27977</v>
      </c>
      <c r="D3736" s="235" t="s">
        <v>27978</v>
      </c>
      <c r="E3736" s="243">
        <v>6.52E13</v>
      </c>
      <c r="F3736" s="245"/>
      <c r="G3736" s="235" t="s">
        <v>27979</v>
      </c>
      <c r="H3736" s="235" t="s">
        <v>27980</v>
      </c>
      <c r="I3736" s="235" t="s">
        <v>27980</v>
      </c>
      <c r="J3736" s="235" t="s">
        <v>27981</v>
      </c>
      <c r="K3736" s="235" t="s">
        <v>27982</v>
      </c>
      <c r="N3736" s="235" t="s">
        <v>144</v>
      </c>
      <c r="O3736" s="235" t="s">
        <v>232</v>
      </c>
      <c r="P3736" s="238">
        <v>1.0</v>
      </c>
      <c r="Q3736" s="235" t="s">
        <v>627</v>
      </c>
      <c r="R3736" s="238">
        <v>626.67</v>
      </c>
      <c r="S3736" s="238">
        <v>30.39</v>
      </c>
      <c r="T3736" s="238">
        <v>0.0</v>
      </c>
      <c r="U3736" s="238">
        <v>0.0</v>
      </c>
      <c r="V3736" s="238">
        <v>0.0</v>
      </c>
      <c r="W3736" s="238">
        <v>0.0</v>
      </c>
      <c r="X3736" s="235" t="s">
        <v>628</v>
      </c>
      <c r="Z3736" s="245"/>
      <c r="AA3736" s="245"/>
      <c r="AB3736" s="245"/>
      <c r="AC3736" s="235" t="s">
        <v>1287</v>
      </c>
      <c r="AD3736" s="235" t="s">
        <v>630</v>
      </c>
      <c r="AE3736" s="238">
        <v>201014.0</v>
      </c>
      <c r="AF3736" s="235" t="s">
        <v>631</v>
      </c>
      <c r="AG3736" s="245"/>
      <c r="AH3736" s="245"/>
      <c r="AI3736" s="245"/>
      <c r="AJ3736" s="245"/>
      <c r="AK3736" s="245"/>
      <c r="AL3736" s="245"/>
      <c r="AM3736" s="245"/>
      <c r="AN3736" s="245"/>
      <c r="AO3736" s="238">
        <v>-18.8</v>
      </c>
      <c r="AP3736" s="238">
        <v>0.0</v>
      </c>
      <c r="AQ3736" s="235" t="s">
        <v>632</v>
      </c>
      <c r="AR3736" s="243">
        <v>1.68E11</v>
      </c>
      <c r="AS3736" s="235" t="s">
        <v>27428</v>
      </c>
      <c r="AT3736" s="235" t="s">
        <v>14</v>
      </c>
      <c r="AU3736" s="235" t="s">
        <v>634</v>
      </c>
      <c r="AV3736" s="246" t="s">
        <v>635</v>
      </c>
      <c r="AW3736" s="227"/>
      <c r="AX3736" s="227"/>
      <c r="AY3736" s="227"/>
      <c r="AZ3736" s="227"/>
      <c r="BA3736" s="227"/>
      <c r="BB3736" s="227"/>
      <c r="BC3736" s="227"/>
      <c r="BD3736" s="227"/>
      <c r="BE3736" s="227"/>
      <c r="BF3736" s="227"/>
    </row>
    <row r="3737">
      <c r="A3737" s="235" t="s">
        <v>27983</v>
      </c>
      <c r="C3737" s="235" t="s">
        <v>27984</v>
      </c>
      <c r="D3737" s="235" t="s">
        <v>27985</v>
      </c>
      <c r="E3737" s="243">
        <v>6.52E13</v>
      </c>
      <c r="F3737" s="245"/>
      <c r="G3737" s="235" t="s">
        <v>27986</v>
      </c>
      <c r="H3737" s="235" t="s">
        <v>27987</v>
      </c>
      <c r="I3737" s="235" t="s">
        <v>27987</v>
      </c>
      <c r="J3737" s="235" t="s">
        <v>27988</v>
      </c>
      <c r="K3737" s="235" t="s">
        <v>27989</v>
      </c>
      <c r="N3737" s="235" t="s">
        <v>145</v>
      </c>
      <c r="O3737" s="235" t="s">
        <v>370</v>
      </c>
      <c r="P3737" s="238">
        <v>1.0</v>
      </c>
      <c r="Q3737" s="235" t="s">
        <v>627</v>
      </c>
      <c r="R3737" s="238">
        <v>1475.24</v>
      </c>
      <c r="S3737" s="238">
        <v>73.76</v>
      </c>
      <c r="T3737" s="238">
        <v>0.0</v>
      </c>
      <c r="U3737" s="238">
        <v>0.0</v>
      </c>
      <c r="V3737" s="238">
        <v>0.0</v>
      </c>
      <c r="W3737" s="238">
        <v>0.0</v>
      </c>
      <c r="X3737" s="235" t="s">
        <v>628</v>
      </c>
      <c r="Z3737" s="245"/>
      <c r="AA3737" s="245"/>
      <c r="AB3737" s="245"/>
      <c r="AC3737" s="235" t="s">
        <v>687</v>
      </c>
      <c r="AD3737" s="235" t="s">
        <v>666</v>
      </c>
      <c r="AE3737" s="238">
        <v>600078.0</v>
      </c>
      <c r="AF3737" s="235" t="s">
        <v>631</v>
      </c>
      <c r="AG3737" s="245"/>
      <c r="AH3737" s="245"/>
      <c r="AI3737" s="245"/>
      <c r="AJ3737" s="245"/>
      <c r="AK3737" s="245"/>
      <c r="AL3737" s="245"/>
      <c r="AM3737" s="245"/>
      <c r="AN3737" s="245"/>
      <c r="AO3737" s="238">
        <v>0.0</v>
      </c>
      <c r="AP3737" s="238">
        <v>0.0</v>
      </c>
      <c r="AQ3737" s="235" t="s">
        <v>632</v>
      </c>
      <c r="AR3737" s="243">
        <v>1.68E11</v>
      </c>
      <c r="AS3737" s="235" t="s">
        <v>26892</v>
      </c>
      <c r="AT3737" s="235" t="s">
        <v>11</v>
      </c>
      <c r="AU3737" s="235" t="s">
        <v>634</v>
      </c>
      <c r="AV3737" s="246" t="s">
        <v>635</v>
      </c>
      <c r="AW3737" s="227"/>
      <c r="AX3737" s="227"/>
      <c r="AY3737" s="227"/>
      <c r="AZ3737" s="227"/>
      <c r="BA3737" s="227"/>
      <c r="BB3737" s="227"/>
      <c r="BC3737" s="227"/>
      <c r="BD3737" s="227"/>
      <c r="BE3737" s="227"/>
      <c r="BF3737" s="227"/>
    </row>
    <row r="3738">
      <c r="A3738" s="235" t="s">
        <v>27990</v>
      </c>
      <c r="C3738" s="235" t="s">
        <v>27991</v>
      </c>
      <c r="D3738" s="235" t="s">
        <v>27992</v>
      </c>
      <c r="E3738" s="243">
        <v>6.51E13</v>
      </c>
      <c r="F3738" s="245"/>
      <c r="G3738" s="235" t="s">
        <v>27993</v>
      </c>
      <c r="H3738" s="235" t="s">
        <v>27994</v>
      </c>
      <c r="I3738" s="235" t="s">
        <v>27995</v>
      </c>
      <c r="J3738" s="235" t="s">
        <v>27996</v>
      </c>
      <c r="K3738" s="235" t="s">
        <v>27997</v>
      </c>
      <c r="N3738" s="235" t="s">
        <v>136</v>
      </c>
      <c r="O3738" s="235" t="s">
        <v>256</v>
      </c>
      <c r="P3738" s="238">
        <v>1.0</v>
      </c>
      <c r="Q3738" s="235" t="s">
        <v>627</v>
      </c>
      <c r="R3738" s="238">
        <v>237.14</v>
      </c>
      <c r="S3738" s="238">
        <v>11.5</v>
      </c>
      <c r="T3738" s="238">
        <v>0.0</v>
      </c>
      <c r="U3738" s="238">
        <v>0.0</v>
      </c>
      <c r="V3738" s="238">
        <v>0.0</v>
      </c>
      <c r="W3738" s="238">
        <v>0.0</v>
      </c>
      <c r="X3738" s="235" t="s">
        <v>628</v>
      </c>
      <c r="Z3738" s="245"/>
      <c r="AA3738" s="245"/>
      <c r="AB3738" s="245"/>
      <c r="AC3738" s="235" t="s">
        <v>687</v>
      </c>
      <c r="AD3738" s="235" t="s">
        <v>666</v>
      </c>
      <c r="AE3738" s="238">
        <v>600127.0</v>
      </c>
      <c r="AF3738" s="235" t="s">
        <v>631</v>
      </c>
      <c r="AG3738" s="245"/>
      <c r="AH3738" s="245"/>
      <c r="AI3738" s="245"/>
      <c r="AJ3738" s="245"/>
      <c r="AK3738" s="245"/>
      <c r="AL3738" s="245"/>
      <c r="AM3738" s="245"/>
      <c r="AN3738" s="245"/>
      <c r="AO3738" s="238">
        <v>-7.11</v>
      </c>
      <c r="AP3738" s="238">
        <v>0.0</v>
      </c>
      <c r="AQ3738" s="235" t="s">
        <v>632</v>
      </c>
      <c r="AR3738" s="243">
        <v>3.71E11</v>
      </c>
      <c r="AS3738" s="235" t="s">
        <v>26892</v>
      </c>
      <c r="AT3738" s="235" t="s">
        <v>156</v>
      </c>
      <c r="AU3738" s="235" t="s">
        <v>634</v>
      </c>
      <c r="AV3738" s="246" t="s">
        <v>635</v>
      </c>
      <c r="AW3738" s="227"/>
      <c r="AX3738" s="227"/>
      <c r="AY3738" s="227"/>
      <c r="AZ3738" s="227"/>
      <c r="BA3738" s="227"/>
      <c r="BB3738" s="227"/>
      <c r="BC3738" s="227"/>
      <c r="BD3738" s="227"/>
      <c r="BE3738" s="227"/>
      <c r="BF3738" s="227"/>
    </row>
    <row r="3739">
      <c r="A3739" s="235" t="s">
        <v>27998</v>
      </c>
      <c r="C3739" s="235" t="s">
        <v>27999</v>
      </c>
      <c r="D3739" s="235" t="s">
        <v>28000</v>
      </c>
      <c r="E3739" s="243">
        <v>6.52E13</v>
      </c>
      <c r="F3739" s="245"/>
      <c r="G3739" s="235" t="s">
        <v>28001</v>
      </c>
      <c r="H3739" s="235" t="s">
        <v>28002</v>
      </c>
      <c r="I3739" s="235" t="s">
        <v>28002</v>
      </c>
      <c r="J3739" s="235" t="s">
        <v>28003</v>
      </c>
      <c r="K3739" s="235" t="s">
        <v>28004</v>
      </c>
      <c r="N3739" s="235" t="s">
        <v>138</v>
      </c>
      <c r="O3739" s="235" t="s">
        <v>675</v>
      </c>
      <c r="P3739" s="238">
        <v>1.0</v>
      </c>
      <c r="Q3739" s="235" t="s">
        <v>627</v>
      </c>
      <c r="R3739" s="238">
        <v>233.33</v>
      </c>
      <c r="S3739" s="238">
        <v>11.67</v>
      </c>
      <c r="T3739" s="238">
        <v>0.0</v>
      </c>
      <c r="U3739" s="238">
        <v>0.0</v>
      </c>
      <c r="V3739" s="238">
        <v>0.0</v>
      </c>
      <c r="W3739" s="238">
        <v>0.0</v>
      </c>
      <c r="X3739" s="235" t="s">
        <v>628</v>
      </c>
      <c r="Z3739" s="245"/>
      <c r="AA3739" s="245"/>
      <c r="AB3739" s="245"/>
      <c r="AC3739" s="235" t="s">
        <v>3195</v>
      </c>
      <c r="AD3739" s="235" t="s">
        <v>881</v>
      </c>
      <c r="AE3739" s="238">
        <v>751024.0</v>
      </c>
      <c r="AF3739" s="235" t="s">
        <v>631</v>
      </c>
      <c r="AG3739" s="245"/>
      <c r="AH3739" s="245"/>
      <c r="AI3739" s="245"/>
      <c r="AJ3739" s="245"/>
      <c r="AK3739" s="245"/>
      <c r="AL3739" s="245"/>
      <c r="AM3739" s="245"/>
      <c r="AN3739" s="245"/>
      <c r="AO3739" s="238">
        <v>0.0</v>
      </c>
      <c r="AP3739" s="238">
        <v>0.0</v>
      </c>
      <c r="AQ3739" s="235" t="s">
        <v>632</v>
      </c>
      <c r="AR3739" s="243">
        <v>2.02E11</v>
      </c>
      <c r="AS3739" s="235" t="s">
        <v>26892</v>
      </c>
      <c r="AT3739" s="235" t="s">
        <v>533</v>
      </c>
      <c r="AU3739" s="235" t="s">
        <v>634</v>
      </c>
      <c r="AV3739" s="246" t="s">
        <v>635</v>
      </c>
      <c r="AW3739" s="227"/>
      <c r="AX3739" s="227"/>
      <c r="AY3739" s="227"/>
      <c r="AZ3739" s="227"/>
      <c r="BA3739" s="227"/>
      <c r="BB3739" s="227"/>
      <c r="BC3739" s="227"/>
      <c r="BD3739" s="227"/>
      <c r="BE3739" s="227"/>
      <c r="BF3739" s="227"/>
    </row>
    <row r="3740">
      <c r="A3740" s="235" t="s">
        <v>28005</v>
      </c>
      <c r="C3740" s="235" t="s">
        <v>28006</v>
      </c>
      <c r="D3740" s="235" t="s">
        <v>28007</v>
      </c>
      <c r="E3740" s="243">
        <v>6.51E13</v>
      </c>
      <c r="F3740" s="245"/>
      <c r="G3740" s="235" t="s">
        <v>28008</v>
      </c>
      <c r="H3740" s="235" t="s">
        <v>28009</v>
      </c>
      <c r="I3740" s="235" t="s">
        <v>28009</v>
      </c>
      <c r="J3740" s="235" t="s">
        <v>28010</v>
      </c>
      <c r="K3740" s="235" t="s">
        <v>28011</v>
      </c>
      <c r="N3740" s="235" t="s">
        <v>154</v>
      </c>
      <c r="O3740" s="235" t="s">
        <v>766</v>
      </c>
      <c r="P3740" s="238">
        <v>1.0</v>
      </c>
      <c r="Q3740" s="235" t="s">
        <v>627</v>
      </c>
      <c r="R3740" s="238">
        <v>423.8</v>
      </c>
      <c r="S3740" s="238">
        <v>21.2</v>
      </c>
      <c r="T3740" s="238">
        <v>0.0</v>
      </c>
      <c r="U3740" s="238">
        <v>0.0</v>
      </c>
      <c r="V3740" s="238">
        <v>0.0</v>
      </c>
      <c r="W3740" s="238">
        <v>0.0</v>
      </c>
      <c r="X3740" s="235" t="s">
        <v>628</v>
      </c>
      <c r="Z3740" s="245"/>
      <c r="AA3740" s="245"/>
      <c r="AB3740" s="245"/>
      <c r="AC3740" s="235" t="s">
        <v>844</v>
      </c>
      <c r="AD3740" s="235" t="s">
        <v>845</v>
      </c>
      <c r="AE3740" s="238">
        <v>411014.0</v>
      </c>
      <c r="AF3740" s="235" t="s">
        <v>631</v>
      </c>
      <c r="AG3740" s="245"/>
      <c r="AH3740" s="245"/>
      <c r="AI3740" s="245"/>
      <c r="AJ3740" s="245"/>
      <c r="AK3740" s="245"/>
      <c r="AL3740" s="245"/>
      <c r="AM3740" s="245"/>
      <c r="AN3740" s="245"/>
      <c r="AO3740" s="238">
        <v>0.0</v>
      </c>
      <c r="AP3740" s="238">
        <v>0.0</v>
      </c>
      <c r="AQ3740" s="235" t="s">
        <v>632</v>
      </c>
      <c r="AR3740" s="243">
        <v>1.68E11</v>
      </c>
      <c r="AS3740" s="235" t="s">
        <v>26892</v>
      </c>
      <c r="AT3740" s="235" t="s">
        <v>16</v>
      </c>
      <c r="AU3740" s="235" t="s">
        <v>634</v>
      </c>
      <c r="AV3740" s="246" t="s">
        <v>635</v>
      </c>
      <c r="AW3740" s="227"/>
      <c r="AX3740" s="227"/>
      <c r="AY3740" s="227"/>
      <c r="AZ3740" s="227"/>
      <c r="BA3740" s="227"/>
      <c r="BB3740" s="227"/>
      <c r="BC3740" s="227"/>
      <c r="BD3740" s="227"/>
      <c r="BE3740" s="227"/>
      <c r="BF3740" s="227"/>
    </row>
    <row r="3741">
      <c r="A3741" s="235" t="s">
        <v>28012</v>
      </c>
      <c r="C3741" s="235" t="s">
        <v>28013</v>
      </c>
      <c r="D3741" s="235" t="s">
        <v>28014</v>
      </c>
      <c r="E3741" s="243">
        <v>6.52E13</v>
      </c>
      <c r="F3741" s="245"/>
      <c r="G3741" s="235" t="s">
        <v>28015</v>
      </c>
      <c r="H3741" s="235" t="s">
        <v>28016</v>
      </c>
      <c r="I3741" s="235" t="s">
        <v>28017</v>
      </c>
      <c r="J3741" s="235" t="s">
        <v>28018</v>
      </c>
      <c r="K3741" s="235" t="s">
        <v>28019</v>
      </c>
      <c r="N3741" s="235" t="s">
        <v>127</v>
      </c>
      <c r="O3741" s="235" t="s">
        <v>794</v>
      </c>
      <c r="P3741" s="238">
        <v>1.0</v>
      </c>
      <c r="Q3741" s="235" t="s">
        <v>627</v>
      </c>
      <c r="R3741" s="238">
        <v>236.19</v>
      </c>
      <c r="S3741" s="238">
        <v>11.81</v>
      </c>
      <c r="T3741" s="238">
        <v>0.0</v>
      </c>
      <c r="U3741" s="238">
        <v>0.0</v>
      </c>
      <c r="V3741" s="238">
        <v>0.0</v>
      </c>
      <c r="W3741" s="238">
        <v>0.0</v>
      </c>
      <c r="X3741" s="235" t="s">
        <v>628</v>
      </c>
      <c r="Z3741" s="245"/>
      <c r="AA3741" s="245"/>
      <c r="AB3741" s="245"/>
      <c r="AC3741" s="235" t="s">
        <v>687</v>
      </c>
      <c r="AD3741" s="235" t="s">
        <v>666</v>
      </c>
      <c r="AE3741" s="238">
        <v>600116.0</v>
      </c>
      <c r="AF3741" s="235" t="s">
        <v>631</v>
      </c>
      <c r="AG3741" s="245"/>
      <c r="AH3741" s="245"/>
      <c r="AI3741" s="245"/>
      <c r="AJ3741" s="245"/>
      <c r="AK3741" s="245"/>
      <c r="AL3741" s="245"/>
      <c r="AM3741" s="245"/>
      <c r="AN3741" s="245"/>
      <c r="AO3741" s="238">
        <v>0.0</v>
      </c>
      <c r="AP3741" s="238">
        <v>0.0</v>
      </c>
      <c r="AQ3741" s="235" t="s">
        <v>632</v>
      </c>
      <c r="AR3741" s="243">
        <v>3.71E11</v>
      </c>
      <c r="AS3741" s="235" t="s">
        <v>25098</v>
      </c>
      <c r="AT3741" s="235" t="s">
        <v>11</v>
      </c>
      <c r="AU3741" s="235" t="s">
        <v>634</v>
      </c>
      <c r="AV3741" s="246" t="s">
        <v>635</v>
      </c>
      <c r="AW3741" s="227"/>
      <c r="AX3741" s="227"/>
      <c r="AY3741" s="227"/>
      <c r="AZ3741" s="227"/>
      <c r="BA3741" s="227"/>
      <c r="BB3741" s="227"/>
      <c r="BC3741" s="227"/>
      <c r="BD3741" s="227"/>
      <c r="BE3741" s="227"/>
      <c r="BF3741" s="227"/>
    </row>
    <row r="3742">
      <c r="A3742" s="235" t="s">
        <v>28020</v>
      </c>
      <c r="C3742" s="235" t="s">
        <v>28021</v>
      </c>
      <c r="D3742" s="235" t="s">
        <v>28022</v>
      </c>
      <c r="E3742" s="243">
        <v>6.52E13</v>
      </c>
      <c r="F3742" s="245"/>
      <c r="G3742" s="235" t="s">
        <v>28023</v>
      </c>
      <c r="H3742" s="235" t="s">
        <v>28024</v>
      </c>
      <c r="I3742" s="235" t="s">
        <v>28025</v>
      </c>
      <c r="J3742" s="235" t="s">
        <v>28026</v>
      </c>
      <c r="K3742" s="235" t="s">
        <v>28027</v>
      </c>
      <c r="N3742" s="235" t="s">
        <v>127</v>
      </c>
      <c r="O3742" s="235" t="s">
        <v>794</v>
      </c>
      <c r="P3742" s="238">
        <v>1.0</v>
      </c>
      <c r="Q3742" s="235" t="s">
        <v>627</v>
      </c>
      <c r="R3742" s="238">
        <v>236.2</v>
      </c>
      <c r="S3742" s="238">
        <v>11.8</v>
      </c>
      <c r="T3742" s="238">
        <v>0.0</v>
      </c>
      <c r="U3742" s="238">
        <v>0.0</v>
      </c>
      <c r="V3742" s="238">
        <v>0.0</v>
      </c>
      <c r="W3742" s="238">
        <v>0.0</v>
      </c>
      <c r="X3742" s="235" t="s">
        <v>628</v>
      </c>
      <c r="Z3742" s="245"/>
      <c r="AA3742" s="245"/>
      <c r="AB3742" s="245"/>
      <c r="AC3742" s="235" t="s">
        <v>28028</v>
      </c>
      <c r="AD3742" s="235" t="s">
        <v>679</v>
      </c>
      <c r="AE3742" s="238">
        <v>574253.0</v>
      </c>
      <c r="AF3742" s="235" t="s">
        <v>631</v>
      </c>
      <c r="AG3742" s="245"/>
      <c r="AH3742" s="245"/>
      <c r="AI3742" s="245"/>
      <c r="AJ3742" s="245"/>
      <c r="AK3742" s="245"/>
      <c r="AL3742" s="245"/>
      <c r="AM3742" s="245"/>
      <c r="AN3742" s="245"/>
      <c r="AO3742" s="238">
        <v>0.0</v>
      </c>
      <c r="AP3742" s="238">
        <v>0.0</v>
      </c>
      <c r="AQ3742" s="235" t="s">
        <v>632</v>
      </c>
      <c r="AR3742" s="243">
        <v>3.71E11</v>
      </c>
      <c r="AS3742" s="235" t="s">
        <v>25098</v>
      </c>
      <c r="AT3742" s="235" t="s">
        <v>11</v>
      </c>
      <c r="AU3742" s="235" t="s">
        <v>634</v>
      </c>
      <c r="AV3742" s="246" t="s">
        <v>635</v>
      </c>
      <c r="AW3742" s="227"/>
      <c r="AX3742" s="227"/>
      <c r="AY3742" s="227"/>
      <c r="AZ3742" s="227"/>
      <c r="BA3742" s="227"/>
      <c r="BB3742" s="227"/>
      <c r="BC3742" s="227"/>
      <c r="BD3742" s="227"/>
      <c r="BE3742" s="227"/>
      <c r="BF3742" s="227"/>
    </row>
    <row r="3743">
      <c r="A3743" s="235" t="s">
        <v>28029</v>
      </c>
      <c r="C3743" s="235" t="s">
        <v>28030</v>
      </c>
      <c r="D3743" s="235" t="s">
        <v>28031</v>
      </c>
      <c r="E3743" s="243">
        <v>6.52E13</v>
      </c>
      <c r="F3743" s="245"/>
      <c r="G3743" s="235" t="s">
        <v>28032</v>
      </c>
      <c r="H3743" s="235" t="s">
        <v>28033</v>
      </c>
      <c r="I3743" s="235" t="s">
        <v>28034</v>
      </c>
      <c r="J3743" s="235" t="s">
        <v>28035</v>
      </c>
      <c r="K3743" s="235" t="s">
        <v>28036</v>
      </c>
      <c r="N3743" s="235" t="s">
        <v>115</v>
      </c>
      <c r="O3743" s="235" t="s">
        <v>548</v>
      </c>
      <c r="P3743" s="238">
        <v>1.0</v>
      </c>
      <c r="Q3743" s="235" t="s">
        <v>627</v>
      </c>
      <c r="R3743" s="238">
        <v>237.14</v>
      </c>
      <c r="S3743" s="238">
        <v>11.5</v>
      </c>
      <c r="T3743" s="238">
        <v>0.0</v>
      </c>
      <c r="U3743" s="238">
        <v>0.0</v>
      </c>
      <c r="V3743" s="238">
        <v>0.0</v>
      </c>
      <c r="W3743" s="238">
        <v>0.0</v>
      </c>
      <c r="X3743" s="235" t="s">
        <v>628</v>
      </c>
      <c r="Z3743" s="245"/>
      <c r="AA3743" s="245"/>
      <c r="AB3743" s="245"/>
      <c r="AC3743" s="235" t="s">
        <v>1058</v>
      </c>
      <c r="AD3743" s="235" t="s">
        <v>845</v>
      </c>
      <c r="AE3743" s="238">
        <v>400014.0</v>
      </c>
      <c r="AF3743" s="235" t="s">
        <v>631</v>
      </c>
      <c r="AG3743" s="245"/>
      <c r="AH3743" s="245"/>
      <c r="AI3743" s="245"/>
      <c r="AJ3743" s="245"/>
      <c r="AK3743" s="245"/>
      <c r="AL3743" s="245"/>
      <c r="AM3743" s="245"/>
      <c r="AN3743" s="245"/>
      <c r="AO3743" s="238">
        <v>-7.11</v>
      </c>
      <c r="AP3743" s="238">
        <v>0.0</v>
      </c>
      <c r="AQ3743" s="235" t="s">
        <v>632</v>
      </c>
      <c r="AR3743" s="243">
        <v>1.68E11</v>
      </c>
      <c r="AS3743" s="235" t="s">
        <v>27428</v>
      </c>
      <c r="AT3743" s="235" t="s">
        <v>16</v>
      </c>
      <c r="AU3743" s="235" t="s">
        <v>634</v>
      </c>
      <c r="AV3743" s="246" t="s">
        <v>635</v>
      </c>
      <c r="AW3743" s="227"/>
      <c r="AX3743" s="227"/>
      <c r="AY3743" s="227"/>
      <c r="AZ3743" s="227"/>
      <c r="BA3743" s="227"/>
      <c r="BB3743" s="227"/>
      <c r="BC3743" s="227"/>
      <c r="BD3743" s="227"/>
      <c r="BE3743" s="227"/>
      <c r="BF3743" s="227"/>
    </row>
    <row r="3744">
      <c r="A3744" s="235" t="s">
        <v>28037</v>
      </c>
      <c r="C3744" s="235" t="s">
        <v>28038</v>
      </c>
      <c r="D3744" s="235" t="s">
        <v>28039</v>
      </c>
      <c r="E3744" s="243">
        <v>6.51E13</v>
      </c>
      <c r="F3744" s="245"/>
      <c r="G3744" s="235" t="s">
        <v>28040</v>
      </c>
      <c r="H3744" s="235" t="s">
        <v>28041</v>
      </c>
      <c r="I3744" s="235" t="s">
        <v>28041</v>
      </c>
      <c r="J3744" s="235" t="s">
        <v>28042</v>
      </c>
      <c r="K3744" s="235" t="s">
        <v>28043</v>
      </c>
      <c r="N3744" s="235" t="s">
        <v>138</v>
      </c>
      <c r="O3744" s="235" t="s">
        <v>675</v>
      </c>
      <c r="P3744" s="238">
        <v>1.0</v>
      </c>
      <c r="Q3744" s="235" t="s">
        <v>627</v>
      </c>
      <c r="R3744" s="238">
        <v>233.33</v>
      </c>
      <c r="S3744" s="238">
        <v>11.67</v>
      </c>
      <c r="T3744" s="238">
        <v>0.0</v>
      </c>
      <c r="U3744" s="238">
        <v>0.0</v>
      </c>
      <c r="V3744" s="238">
        <v>0.0</v>
      </c>
      <c r="W3744" s="238">
        <v>0.0</v>
      </c>
      <c r="X3744" s="235" t="s">
        <v>628</v>
      </c>
      <c r="Z3744" s="245"/>
      <c r="AA3744" s="245"/>
      <c r="AB3744" s="245"/>
      <c r="AC3744" s="235" t="s">
        <v>28044</v>
      </c>
      <c r="AD3744" s="235" t="s">
        <v>645</v>
      </c>
      <c r="AE3744" s="238">
        <v>673012.0</v>
      </c>
      <c r="AF3744" s="235" t="s">
        <v>631</v>
      </c>
      <c r="AG3744" s="245"/>
      <c r="AH3744" s="245"/>
      <c r="AI3744" s="245"/>
      <c r="AJ3744" s="245"/>
      <c r="AK3744" s="245"/>
      <c r="AL3744" s="245"/>
      <c r="AM3744" s="245"/>
      <c r="AN3744" s="245"/>
      <c r="AO3744" s="238">
        <v>0.0</v>
      </c>
      <c r="AP3744" s="238">
        <v>0.0</v>
      </c>
      <c r="AQ3744" s="235" t="s">
        <v>632</v>
      </c>
      <c r="AR3744" s="243">
        <v>3.71E11</v>
      </c>
      <c r="AS3744" s="235" t="s">
        <v>26892</v>
      </c>
      <c r="AT3744" s="235" t="s">
        <v>155</v>
      </c>
      <c r="AU3744" s="235" t="s">
        <v>634</v>
      </c>
      <c r="AV3744" s="246" t="s">
        <v>635</v>
      </c>
      <c r="AW3744" s="227"/>
      <c r="AX3744" s="227"/>
      <c r="AY3744" s="227"/>
      <c r="AZ3744" s="227"/>
      <c r="BA3744" s="227"/>
      <c r="BB3744" s="227"/>
      <c r="BC3744" s="227"/>
      <c r="BD3744" s="227"/>
      <c r="BE3744" s="227"/>
      <c r="BF3744" s="227"/>
    </row>
    <row r="3745">
      <c r="A3745" s="235" t="s">
        <v>28045</v>
      </c>
      <c r="C3745" s="235" t="s">
        <v>28046</v>
      </c>
      <c r="D3745" s="235" t="s">
        <v>28047</v>
      </c>
      <c r="E3745" s="243">
        <v>6.52E13</v>
      </c>
      <c r="F3745" s="245"/>
      <c r="G3745" s="235" t="s">
        <v>28048</v>
      </c>
      <c r="H3745" s="235" t="s">
        <v>28049</v>
      </c>
      <c r="I3745" s="235" t="s">
        <v>28049</v>
      </c>
      <c r="J3745" s="235" t="s">
        <v>28050</v>
      </c>
      <c r="K3745" s="235" t="s">
        <v>28051</v>
      </c>
      <c r="N3745" s="235" t="s">
        <v>92</v>
      </c>
      <c r="O3745" s="235" t="s">
        <v>248</v>
      </c>
      <c r="P3745" s="238">
        <v>1.0</v>
      </c>
      <c r="Q3745" s="235" t="s">
        <v>627</v>
      </c>
      <c r="R3745" s="238">
        <v>233.34</v>
      </c>
      <c r="S3745" s="238">
        <v>11.66</v>
      </c>
      <c r="T3745" s="238">
        <v>0.0</v>
      </c>
      <c r="U3745" s="238">
        <v>0.0</v>
      </c>
      <c r="V3745" s="238">
        <v>0.0</v>
      </c>
      <c r="W3745" s="238">
        <v>0.0</v>
      </c>
      <c r="X3745" s="235" t="s">
        <v>628</v>
      </c>
      <c r="Z3745" s="245"/>
      <c r="AA3745" s="245"/>
      <c r="AB3745" s="245"/>
      <c r="AC3745" s="235" t="s">
        <v>28052</v>
      </c>
      <c r="AD3745" s="235" t="s">
        <v>666</v>
      </c>
      <c r="AE3745" s="238">
        <v>620001.0</v>
      </c>
      <c r="AF3745" s="235" t="s">
        <v>631</v>
      </c>
      <c r="AG3745" s="245"/>
      <c r="AH3745" s="245"/>
      <c r="AI3745" s="245"/>
      <c r="AJ3745" s="245"/>
      <c r="AK3745" s="245"/>
      <c r="AL3745" s="245"/>
      <c r="AM3745" s="245"/>
      <c r="AN3745" s="245"/>
      <c r="AO3745" s="238">
        <v>0.0</v>
      </c>
      <c r="AP3745" s="238">
        <v>0.0</v>
      </c>
      <c r="AQ3745" s="235" t="s">
        <v>632</v>
      </c>
      <c r="AR3745" s="243">
        <v>3.71E11</v>
      </c>
      <c r="AS3745" s="235" t="s">
        <v>26892</v>
      </c>
      <c r="AT3745" s="235" t="s">
        <v>155</v>
      </c>
      <c r="AU3745" s="235" t="s">
        <v>634</v>
      </c>
      <c r="AV3745" s="246" t="s">
        <v>635</v>
      </c>
      <c r="AW3745" s="227"/>
      <c r="AX3745" s="227"/>
      <c r="AY3745" s="227"/>
      <c r="AZ3745" s="227"/>
      <c r="BA3745" s="227"/>
      <c r="BB3745" s="227"/>
      <c r="BC3745" s="227"/>
      <c r="BD3745" s="227"/>
      <c r="BE3745" s="227"/>
      <c r="BF3745" s="227"/>
    </row>
    <row r="3746">
      <c r="A3746" s="235" t="s">
        <v>28053</v>
      </c>
      <c r="C3746" s="235" t="s">
        <v>28054</v>
      </c>
      <c r="D3746" s="235" t="s">
        <v>28055</v>
      </c>
      <c r="E3746" s="243">
        <v>6.52E13</v>
      </c>
      <c r="F3746" s="245"/>
      <c r="G3746" s="235" t="s">
        <v>25886</v>
      </c>
      <c r="H3746" s="235" t="s">
        <v>28056</v>
      </c>
      <c r="I3746" s="235" t="s">
        <v>28056</v>
      </c>
      <c r="J3746" s="235" t="s">
        <v>28057</v>
      </c>
      <c r="K3746" s="235" t="s">
        <v>28058</v>
      </c>
      <c r="N3746" s="235" t="s">
        <v>138</v>
      </c>
      <c r="O3746" s="235" t="s">
        <v>675</v>
      </c>
      <c r="P3746" s="238">
        <v>1.0</v>
      </c>
      <c r="Q3746" s="235" t="s">
        <v>627</v>
      </c>
      <c r="R3746" s="238">
        <v>233.34</v>
      </c>
      <c r="S3746" s="238">
        <v>11.66</v>
      </c>
      <c r="T3746" s="238">
        <v>0.0</v>
      </c>
      <c r="U3746" s="238">
        <v>0.0</v>
      </c>
      <c r="V3746" s="238">
        <v>0.0</v>
      </c>
      <c r="W3746" s="238">
        <v>0.0</v>
      </c>
      <c r="X3746" s="235" t="s">
        <v>628</v>
      </c>
      <c r="Z3746" s="245"/>
      <c r="AA3746" s="245"/>
      <c r="AB3746" s="245"/>
      <c r="AC3746" s="235" t="s">
        <v>767</v>
      </c>
      <c r="AD3746" s="235" t="s">
        <v>679</v>
      </c>
      <c r="AE3746" s="238">
        <v>562114.0</v>
      </c>
      <c r="AF3746" s="235" t="s">
        <v>631</v>
      </c>
      <c r="AG3746" s="245"/>
      <c r="AH3746" s="245"/>
      <c r="AI3746" s="245"/>
      <c r="AJ3746" s="245"/>
      <c r="AK3746" s="245"/>
      <c r="AL3746" s="245"/>
      <c r="AM3746" s="245"/>
      <c r="AN3746" s="245"/>
      <c r="AO3746" s="238">
        <v>0.0</v>
      </c>
      <c r="AP3746" s="238">
        <v>0.0</v>
      </c>
      <c r="AQ3746" s="235" t="s">
        <v>632</v>
      </c>
      <c r="AR3746" s="243">
        <v>3.71E11</v>
      </c>
      <c r="AS3746" s="235" t="s">
        <v>26892</v>
      </c>
      <c r="AT3746" s="235" t="s">
        <v>11</v>
      </c>
      <c r="AU3746" s="235" t="s">
        <v>634</v>
      </c>
      <c r="AV3746" s="246" t="s">
        <v>635</v>
      </c>
      <c r="AW3746" s="227"/>
      <c r="AX3746" s="227"/>
      <c r="AY3746" s="227"/>
      <c r="AZ3746" s="227"/>
      <c r="BA3746" s="227"/>
      <c r="BB3746" s="227"/>
      <c r="BC3746" s="227"/>
      <c r="BD3746" s="227"/>
      <c r="BE3746" s="227"/>
      <c r="BF3746" s="227"/>
    </row>
    <row r="3747">
      <c r="A3747" s="235" t="s">
        <v>28059</v>
      </c>
      <c r="C3747" s="235" t="s">
        <v>28060</v>
      </c>
      <c r="D3747" s="235" t="s">
        <v>28061</v>
      </c>
      <c r="E3747" s="243">
        <v>6.52E13</v>
      </c>
      <c r="F3747" s="245"/>
      <c r="G3747" s="235" t="s">
        <v>28062</v>
      </c>
      <c r="H3747" s="235" t="s">
        <v>28063</v>
      </c>
      <c r="I3747" s="235" t="s">
        <v>28063</v>
      </c>
      <c r="J3747" s="235" t="s">
        <v>28064</v>
      </c>
      <c r="K3747" s="235" t="s">
        <v>28065</v>
      </c>
      <c r="N3747" s="235" t="s">
        <v>138</v>
      </c>
      <c r="O3747" s="235" t="s">
        <v>675</v>
      </c>
      <c r="P3747" s="238">
        <v>1.0</v>
      </c>
      <c r="Q3747" s="235" t="s">
        <v>627</v>
      </c>
      <c r="R3747" s="238">
        <v>233.34</v>
      </c>
      <c r="S3747" s="238">
        <v>11.43</v>
      </c>
      <c r="T3747" s="238">
        <v>0.0</v>
      </c>
      <c r="U3747" s="238">
        <v>0.0</v>
      </c>
      <c r="V3747" s="238">
        <v>0.0</v>
      </c>
      <c r="W3747" s="238">
        <v>0.0</v>
      </c>
      <c r="X3747" s="235" t="s">
        <v>628</v>
      </c>
      <c r="Z3747" s="245"/>
      <c r="AA3747" s="245"/>
      <c r="AB3747" s="245"/>
      <c r="AC3747" s="235" t="s">
        <v>1887</v>
      </c>
      <c r="AD3747" s="235" t="s">
        <v>679</v>
      </c>
      <c r="AE3747" s="238">
        <v>560067.0</v>
      </c>
      <c r="AF3747" s="235" t="s">
        <v>631</v>
      </c>
      <c r="AG3747" s="245"/>
      <c r="AH3747" s="245"/>
      <c r="AI3747" s="245"/>
      <c r="AJ3747" s="245"/>
      <c r="AK3747" s="245"/>
      <c r="AL3747" s="245"/>
      <c r="AM3747" s="245"/>
      <c r="AN3747" s="245"/>
      <c r="AO3747" s="238">
        <v>-4.67</v>
      </c>
      <c r="AP3747" s="238">
        <v>0.0</v>
      </c>
      <c r="AQ3747" s="235" t="s">
        <v>632</v>
      </c>
      <c r="AR3747" s="243">
        <v>1.68E11</v>
      </c>
      <c r="AS3747" s="235" t="s">
        <v>27428</v>
      </c>
      <c r="AT3747" s="235" t="s">
        <v>11</v>
      </c>
      <c r="AU3747" s="235" t="s">
        <v>634</v>
      </c>
      <c r="AV3747" s="246" t="s">
        <v>635</v>
      </c>
      <c r="AW3747" s="227"/>
      <c r="AX3747" s="227"/>
      <c r="AY3747" s="227"/>
      <c r="AZ3747" s="227"/>
      <c r="BA3747" s="227"/>
      <c r="BB3747" s="227"/>
      <c r="BC3747" s="227"/>
      <c r="BD3747" s="227"/>
      <c r="BE3747" s="227"/>
      <c r="BF3747" s="227"/>
    </row>
    <row r="3748">
      <c r="A3748" s="235" t="s">
        <v>28066</v>
      </c>
      <c r="C3748" s="235" t="s">
        <v>28067</v>
      </c>
      <c r="D3748" s="235" t="s">
        <v>28068</v>
      </c>
      <c r="E3748" s="243">
        <v>6.52E13</v>
      </c>
      <c r="F3748" s="245"/>
      <c r="G3748" s="235" t="s">
        <v>28069</v>
      </c>
      <c r="H3748" s="235" t="s">
        <v>28070</v>
      </c>
      <c r="I3748" s="235" t="s">
        <v>28070</v>
      </c>
      <c r="J3748" s="235" t="s">
        <v>28071</v>
      </c>
      <c r="K3748" s="235" t="s">
        <v>28072</v>
      </c>
      <c r="N3748" s="235" t="s">
        <v>42</v>
      </c>
      <c r="O3748" s="235" t="s">
        <v>204</v>
      </c>
      <c r="P3748" s="238">
        <v>1.0</v>
      </c>
      <c r="Q3748" s="235" t="s">
        <v>627</v>
      </c>
      <c r="R3748" s="238">
        <v>236.19</v>
      </c>
      <c r="S3748" s="238">
        <v>11.46</v>
      </c>
      <c r="T3748" s="238">
        <v>38.1</v>
      </c>
      <c r="U3748" s="238">
        <v>1.9</v>
      </c>
      <c r="V3748" s="238">
        <v>0.0</v>
      </c>
      <c r="W3748" s="238">
        <v>0.0</v>
      </c>
      <c r="X3748" s="235" t="s">
        <v>628</v>
      </c>
      <c r="Z3748" s="245"/>
      <c r="AA3748" s="245"/>
      <c r="AB3748" s="245"/>
      <c r="AC3748" s="235" t="s">
        <v>28073</v>
      </c>
      <c r="AD3748" s="235" t="s">
        <v>833</v>
      </c>
      <c r="AE3748" s="238">
        <v>523169.0</v>
      </c>
      <c r="AF3748" s="235" t="s">
        <v>631</v>
      </c>
      <c r="AG3748" s="245"/>
      <c r="AH3748" s="245"/>
      <c r="AI3748" s="245"/>
      <c r="AJ3748" s="245"/>
      <c r="AK3748" s="245"/>
      <c r="AL3748" s="245"/>
      <c r="AM3748" s="245"/>
      <c r="AN3748" s="245"/>
      <c r="AO3748" s="238">
        <v>-7.09</v>
      </c>
      <c r="AP3748" s="238">
        <v>-38.1</v>
      </c>
      <c r="AQ3748" s="235" t="s">
        <v>632</v>
      </c>
      <c r="AR3748" s="243">
        <v>1.68E11</v>
      </c>
      <c r="AS3748" s="235" t="s">
        <v>23542</v>
      </c>
      <c r="AT3748" s="235" t="s">
        <v>156</v>
      </c>
      <c r="AU3748" s="235" t="s">
        <v>634</v>
      </c>
      <c r="AV3748" s="246" t="s">
        <v>635</v>
      </c>
      <c r="AW3748" s="227"/>
      <c r="AX3748" s="227"/>
      <c r="AY3748" s="227"/>
      <c r="AZ3748" s="227"/>
      <c r="BA3748" s="227"/>
      <c r="BB3748" s="227"/>
      <c r="BC3748" s="227"/>
      <c r="BD3748" s="227"/>
      <c r="BE3748" s="227"/>
      <c r="BF3748" s="227"/>
    </row>
    <row r="3749">
      <c r="A3749" s="235" t="s">
        <v>28066</v>
      </c>
      <c r="C3749" s="235" t="s">
        <v>28067</v>
      </c>
      <c r="D3749" s="235" t="s">
        <v>28074</v>
      </c>
      <c r="E3749" s="243">
        <v>6.52E13</v>
      </c>
      <c r="F3749" s="245"/>
      <c r="G3749" s="235" t="s">
        <v>28069</v>
      </c>
      <c r="H3749" s="235" t="s">
        <v>28070</v>
      </c>
      <c r="I3749" s="235" t="s">
        <v>28070</v>
      </c>
      <c r="J3749" s="235" t="s">
        <v>28071</v>
      </c>
      <c r="K3749" s="235" t="s">
        <v>28072</v>
      </c>
      <c r="N3749" s="235" t="s">
        <v>42</v>
      </c>
      <c r="O3749" s="235" t="s">
        <v>204</v>
      </c>
      <c r="P3749" s="238">
        <v>1.0</v>
      </c>
      <c r="Q3749" s="235" t="s">
        <v>627</v>
      </c>
      <c r="R3749" s="238">
        <v>236.19</v>
      </c>
      <c r="S3749" s="238">
        <v>11.46</v>
      </c>
      <c r="T3749" s="238">
        <v>38.1</v>
      </c>
      <c r="U3749" s="238">
        <v>1.9</v>
      </c>
      <c r="V3749" s="238">
        <v>0.0</v>
      </c>
      <c r="W3749" s="238">
        <v>0.0</v>
      </c>
      <c r="X3749" s="235" t="s">
        <v>628</v>
      </c>
      <c r="Z3749" s="245"/>
      <c r="AA3749" s="245"/>
      <c r="AB3749" s="245"/>
      <c r="AC3749" s="235" t="s">
        <v>28073</v>
      </c>
      <c r="AD3749" s="235" t="s">
        <v>833</v>
      </c>
      <c r="AE3749" s="238">
        <v>523169.0</v>
      </c>
      <c r="AF3749" s="235" t="s">
        <v>631</v>
      </c>
      <c r="AG3749" s="245"/>
      <c r="AH3749" s="245"/>
      <c r="AI3749" s="245"/>
      <c r="AJ3749" s="245"/>
      <c r="AK3749" s="245"/>
      <c r="AL3749" s="245"/>
      <c r="AM3749" s="245"/>
      <c r="AN3749" s="245"/>
      <c r="AO3749" s="238">
        <v>-7.09</v>
      </c>
      <c r="AP3749" s="238">
        <v>-38.1</v>
      </c>
      <c r="AQ3749" s="235" t="s">
        <v>632</v>
      </c>
      <c r="AR3749" s="243">
        <v>1.68E11</v>
      </c>
      <c r="AS3749" s="235" t="s">
        <v>23542</v>
      </c>
      <c r="AT3749" s="235" t="s">
        <v>156</v>
      </c>
      <c r="AU3749" s="235" t="s">
        <v>634</v>
      </c>
      <c r="AV3749" s="246" t="s">
        <v>635</v>
      </c>
      <c r="AW3749" s="227"/>
      <c r="AX3749" s="227"/>
      <c r="AY3749" s="227"/>
      <c r="AZ3749" s="227"/>
      <c r="BA3749" s="227"/>
      <c r="BB3749" s="227"/>
      <c r="BC3749" s="227"/>
      <c r="BD3749" s="227"/>
      <c r="BE3749" s="227"/>
      <c r="BF3749" s="227"/>
    </row>
    <row r="3750">
      <c r="A3750" s="235" t="s">
        <v>28075</v>
      </c>
      <c r="C3750" s="235" t="s">
        <v>28076</v>
      </c>
      <c r="D3750" s="235" t="s">
        <v>28077</v>
      </c>
      <c r="E3750" s="243">
        <v>6.52E13</v>
      </c>
      <c r="F3750" s="245"/>
      <c r="G3750" s="235" t="s">
        <v>28078</v>
      </c>
      <c r="H3750" s="235" t="s">
        <v>28079</v>
      </c>
      <c r="I3750" s="235" t="s">
        <v>28079</v>
      </c>
      <c r="J3750" s="235" t="s">
        <v>28080</v>
      </c>
      <c r="K3750" s="235" t="s">
        <v>28081</v>
      </c>
      <c r="N3750" s="235" t="s">
        <v>49</v>
      </c>
      <c r="O3750" s="235" t="s">
        <v>321</v>
      </c>
      <c r="P3750" s="238">
        <v>1.0</v>
      </c>
      <c r="Q3750" s="235" t="s">
        <v>627</v>
      </c>
      <c r="R3750" s="238">
        <v>233.34</v>
      </c>
      <c r="S3750" s="238">
        <v>11.32</v>
      </c>
      <c r="T3750" s="238">
        <v>0.0</v>
      </c>
      <c r="U3750" s="238">
        <v>0.0</v>
      </c>
      <c r="V3750" s="238">
        <v>0.0</v>
      </c>
      <c r="W3750" s="238">
        <v>0.0</v>
      </c>
      <c r="X3750" s="235" t="s">
        <v>628</v>
      </c>
      <c r="Z3750" s="245"/>
      <c r="AA3750" s="245"/>
      <c r="AB3750" s="245"/>
      <c r="AC3750" s="235" t="s">
        <v>678</v>
      </c>
      <c r="AD3750" s="235" t="s">
        <v>679</v>
      </c>
      <c r="AE3750" s="238">
        <v>560037.0</v>
      </c>
      <c r="AF3750" s="235" t="s">
        <v>631</v>
      </c>
      <c r="AG3750" s="245"/>
      <c r="AH3750" s="245"/>
      <c r="AI3750" s="245"/>
      <c r="AJ3750" s="245"/>
      <c r="AK3750" s="245"/>
      <c r="AL3750" s="245"/>
      <c r="AM3750" s="245"/>
      <c r="AN3750" s="245"/>
      <c r="AO3750" s="238">
        <v>-7.01</v>
      </c>
      <c r="AP3750" s="238">
        <v>0.0</v>
      </c>
      <c r="AQ3750" s="235" t="s">
        <v>632</v>
      </c>
      <c r="AR3750" s="243">
        <v>1.68E11</v>
      </c>
      <c r="AS3750" s="235" t="s">
        <v>27428</v>
      </c>
      <c r="AT3750" s="235" t="s">
        <v>11</v>
      </c>
      <c r="AU3750" s="235" t="s">
        <v>634</v>
      </c>
      <c r="AV3750" s="246" t="s">
        <v>635</v>
      </c>
      <c r="AW3750" s="227"/>
      <c r="AX3750" s="227"/>
      <c r="AY3750" s="227"/>
      <c r="AZ3750" s="227"/>
      <c r="BA3750" s="227"/>
      <c r="BB3750" s="227"/>
      <c r="BC3750" s="227"/>
      <c r="BD3750" s="227"/>
      <c r="BE3750" s="227"/>
      <c r="BF3750" s="227"/>
    </row>
    <row r="3751">
      <c r="A3751" s="235" t="s">
        <v>28082</v>
      </c>
      <c r="C3751" s="235" t="s">
        <v>28083</v>
      </c>
      <c r="D3751" s="235" t="s">
        <v>28084</v>
      </c>
      <c r="E3751" s="243">
        <v>6.51E13</v>
      </c>
      <c r="F3751" s="245"/>
      <c r="G3751" s="235" t="s">
        <v>28085</v>
      </c>
      <c r="H3751" s="235" t="s">
        <v>28086</v>
      </c>
      <c r="I3751" s="235" t="s">
        <v>28087</v>
      </c>
      <c r="J3751" s="235" t="s">
        <v>28088</v>
      </c>
      <c r="K3751" s="235" t="s">
        <v>28089</v>
      </c>
      <c r="N3751" s="235" t="s">
        <v>117</v>
      </c>
      <c r="O3751" s="235" t="s">
        <v>334</v>
      </c>
      <c r="P3751" s="238">
        <v>1.0</v>
      </c>
      <c r="Q3751" s="235" t="s">
        <v>627</v>
      </c>
      <c r="R3751" s="238">
        <v>233.33</v>
      </c>
      <c r="S3751" s="238">
        <v>11.32</v>
      </c>
      <c r="T3751" s="238">
        <v>0.0</v>
      </c>
      <c r="U3751" s="238">
        <v>0.0</v>
      </c>
      <c r="V3751" s="238">
        <v>0.0</v>
      </c>
      <c r="W3751" s="238">
        <v>0.0</v>
      </c>
      <c r="X3751" s="235" t="s">
        <v>628</v>
      </c>
      <c r="Z3751" s="245"/>
      <c r="AA3751" s="245"/>
      <c r="AB3751" s="245"/>
      <c r="AC3751" s="235" t="s">
        <v>5158</v>
      </c>
      <c r="AD3751" s="235" t="s">
        <v>833</v>
      </c>
      <c r="AE3751" s="238">
        <v>515004.0</v>
      </c>
      <c r="AF3751" s="235" t="s">
        <v>631</v>
      </c>
      <c r="AG3751" s="245"/>
      <c r="AH3751" s="245"/>
      <c r="AI3751" s="245"/>
      <c r="AJ3751" s="245"/>
      <c r="AK3751" s="245"/>
      <c r="AL3751" s="245"/>
      <c r="AM3751" s="245"/>
      <c r="AN3751" s="245"/>
      <c r="AO3751" s="238">
        <v>-7.0</v>
      </c>
      <c r="AP3751" s="238">
        <v>0.0</v>
      </c>
      <c r="AQ3751" s="235" t="s">
        <v>632</v>
      </c>
      <c r="AR3751" s="243">
        <v>3.71E11</v>
      </c>
      <c r="AS3751" s="235" t="s">
        <v>26892</v>
      </c>
      <c r="AT3751" s="235" t="s">
        <v>11</v>
      </c>
      <c r="AU3751" s="235" t="s">
        <v>634</v>
      </c>
      <c r="AV3751" s="246" t="s">
        <v>635</v>
      </c>
      <c r="AW3751" s="227"/>
      <c r="AX3751" s="227"/>
      <c r="AY3751" s="227"/>
      <c r="AZ3751" s="227"/>
      <c r="BA3751" s="227"/>
      <c r="BB3751" s="227"/>
      <c r="BC3751" s="227"/>
      <c r="BD3751" s="227"/>
      <c r="BE3751" s="227"/>
      <c r="BF3751" s="227"/>
    </row>
    <row r="3752">
      <c r="A3752" s="235" t="s">
        <v>28090</v>
      </c>
      <c r="C3752" s="235" t="s">
        <v>28091</v>
      </c>
      <c r="D3752" s="235" t="s">
        <v>28092</v>
      </c>
      <c r="E3752" s="243">
        <v>6.51E13</v>
      </c>
      <c r="F3752" s="245"/>
      <c r="G3752" s="235" t="s">
        <v>28093</v>
      </c>
      <c r="H3752" s="235" t="s">
        <v>28094</v>
      </c>
      <c r="I3752" s="235" t="s">
        <v>28094</v>
      </c>
      <c r="J3752" s="235" t="s">
        <v>28095</v>
      </c>
      <c r="K3752" s="235" t="s">
        <v>28096</v>
      </c>
      <c r="N3752" s="235" t="s">
        <v>53</v>
      </c>
      <c r="O3752" s="235" t="s">
        <v>512</v>
      </c>
      <c r="P3752" s="238">
        <v>1.0</v>
      </c>
      <c r="Q3752" s="235" t="s">
        <v>627</v>
      </c>
      <c r="R3752" s="238">
        <v>233.33</v>
      </c>
      <c r="S3752" s="238">
        <v>11.67</v>
      </c>
      <c r="T3752" s="238">
        <v>0.0</v>
      </c>
      <c r="U3752" s="238">
        <v>0.0</v>
      </c>
      <c r="V3752" s="238">
        <v>0.0</v>
      </c>
      <c r="W3752" s="238">
        <v>0.0</v>
      </c>
      <c r="X3752" s="235" t="s">
        <v>628</v>
      </c>
      <c r="Z3752" s="245"/>
      <c r="AA3752" s="245"/>
      <c r="AB3752" s="245"/>
      <c r="AC3752" s="235" t="s">
        <v>687</v>
      </c>
      <c r="AD3752" s="235" t="s">
        <v>666</v>
      </c>
      <c r="AE3752" s="238">
        <v>600125.0</v>
      </c>
      <c r="AF3752" s="235" t="s">
        <v>631</v>
      </c>
      <c r="AG3752" s="245"/>
      <c r="AH3752" s="245"/>
      <c r="AI3752" s="245"/>
      <c r="AJ3752" s="245"/>
      <c r="AK3752" s="245"/>
      <c r="AL3752" s="245"/>
      <c r="AM3752" s="245"/>
      <c r="AN3752" s="245"/>
      <c r="AO3752" s="238">
        <v>0.0</v>
      </c>
      <c r="AP3752" s="238">
        <v>0.0</v>
      </c>
      <c r="AQ3752" s="235" t="s">
        <v>632</v>
      </c>
      <c r="AR3752" s="243">
        <v>1.68E11</v>
      </c>
      <c r="AS3752" s="235" t="s">
        <v>26892</v>
      </c>
      <c r="AT3752" s="235" t="s">
        <v>11</v>
      </c>
      <c r="AU3752" s="235" t="s">
        <v>634</v>
      </c>
      <c r="AV3752" s="246" t="s">
        <v>635</v>
      </c>
      <c r="AW3752" s="227"/>
      <c r="AX3752" s="227"/>
      <c r="AY3752" s="227"/>
      <c r="AZ3752" s="227"/>
      <c r="BA3752" s="227"/>
      <c r="BB3752" s="227"/>
      <c r="BC3752" s="227"/>
      <c r="BD3752" s="227"/>
      <c r="BE3752" s="227"/>
      <c r="BF3752" s="227"/>
    </row>
    <row r="3753">
      <c r="A3753" s="235" t="s">
        <v>28097</v>
      </c>
      <c r="C3753" s="235" t="s">
        <v>28098</v>
      </c>
      <c r="D3753" s="235" t="s">
        <v>28099</v>
      </c>
      <c r="E3753" s="243">
        <v>6.52E13</v>
      </c>
      <c r="F3753" s="245"/>
      <c r="G3753" s="235" t="s">
        <v>28100</v>
      </c>
      <c r="H3753" s="235" t="s">
        <v>28101</v>
      </c>
      <c r="I3753" s="235" t="s">
        <v>28102</v>
      </c>
      <c r="J3753" s="235" t="s">
        <v>28103</v>
      </c>
      <c r="K3753" s="235" t="s">
        <v>7443</v>
      </c>
      <c r="N3753" s="235" t="s">
        <v>144</v>
      </c>
      <c r="O3753" s="235" t="s">
        <v>232</v>
      </c>
      <c r="P3753" s="238">
        <v>1.0</v>
      </c>
      <c r="Q3753" s="235" t="s">
        <v>627</v>
      </c>
      <c r="R3753" s="238">
        <v>626.66</v>
      </c>
      <c r="S3753" s="238">
        <v>31.34</v>
      </c>
      <c r="T3753" s="238">
        <v>0.0</v>
      </c>
      <c r="U3753" s="238">
        <v>0.0</v>
      </c>
      <c r="V3753" s="238">
        <v>0.0</v>
      </c>
      <c r="W3753" s="238">
        <v>0.0</v>
      </c>
      <c r="X3753" s="235" t="s">
        <v>628</v>
      </c>
      <c r="Z3753" s="245"/>
      <c r="AA3753" s="245"/>
      <c r="AB3753" s="245"/>
      <c r="AC3753" s="235" t="s">
        <v>1887</v>
      </c>
      <c r="AD3753" s="235" t="s">
        <v>679</v>
      </c>
      <c r="AE3753" s="238">
        <v>560076.0</v>
      </c>
      <c r="AF3753" s="235" t="s">
        <v>631</v>
      </c>
      <c r="AG3753" s="245"/>
      <c r="AH3753" s="245"/>
      <c r="AI3753" s="245"/>
      <c r="AJ3753" s="245"/>
      <c r="AK3753" s="245"/>
      <c r="AL3753" s="245"/>
      <c r="AM3753" s="245"/>
      <c r="AN3753" s="245"/>
      <c r="AO3753" s="238">
        <v>0.0</v>
      </c>
      <c r="AP3753" s="238">
        <v>0.0</v>
      </c>
      <c r="AQ3753" s="235" t="s">
        <v>632</v>
      </c>
      <c r="AR3753" s="243">
        <v>1.68E11</v>
      </c>
      <c r="AS3753" s="235" t="s">
        <v>27428</v>
      </c>
      <c r="AT3753" s="235" t="s">
        <v>11</v>
      </c>
      <c r="AU3753" s="235" t="s">
        <v>634</v>
      </c>
      <c r="AV3753" s="246" t="s">
        <v>635</v>
      </c>
      <c r="AW3753" s="227"/>
      <c r="AX3753" s="227"/>
      <c r="AY3753" s="227"/>
      <c r="AZ3753" s="227"/>
      <c r="BA3753" s="227"/>
      <c r="BB3753" s="227"/>
      <c r="BC3753" s="227"/>
      <c r="BD3753" s="227"/>
      <c r="BE3753" s="227"/>
      <c r="BF3753" s="227"/>
    </row>
    <row r="3754">
      <c r="A3754" s="235" t="s">
        <v>28104</v>
      </c>
      <c r="C3754" s="235" t="s">
        <v>28105</v>
      </c>
      <c r="D3754" s="235" t="s">
        <v>28106</v>
      </c>
      <c r="E3754" s="243">
        <v>6.52E13</v>
      </c>
      <c r="F3754" s="245"/>
      <c r="G3754" s="235" t="s">
        <v>28107</v>
      </c>
      <c r="H3754" s="235" t="s">
        <v>28108</v>
      </c>
      <c r="I3754" s="235" t="s">
        <v>28108</v>
      </c>
      <c r="J3754" s="235" t="s">
        <v>28109</v>
      </c>
      <c r="K3754" s="235" t="s">
        <v>28110</v>
      </c>
      <c r="N3754" s="235" t="s">
        <v>127</v>
      </c>
      <c r="O3754" s="235" t="s">
        <v>794</v>
      </c>
      <c r="P3754" s="238">
        <v>1.0</v>
      </c>
      <c r="Q3754" s="235" t="s">
        <v>627</v>
      </c>
      <c r="R3754" s="238">
        <v>236.2</v>
      </c>
      <c r="S3754" s="238">
        <v>11.45</v>
      </c>
      <c r="T3754" s="238">
        <v>0.0</v>
      </c>
      <c r="U3754" s="238">
        <v>0.0</v>
      </c>
      <c r="V3754" s="238">
        <v>0.0</v>
      </c>
      <c r="W3754" s="238">
        <v>0.0</v>
      </c>
      <c r="X3754" s="235" t="s">
        <v>628</v>
      </c>
      <c r="Z3754" s="245"/>
      <c r="AA3754" s="245"/>
      <c r="AB3754" s="245"/>
      <c r="AC3754" s="235" t="s">
        <v>1887</v>
      </c>
      <c r="AD3754" s="235" t="s">
        <v>679</v>
      </c>
      <c r="AE3754" s="238">
        <v>560103.0</v>
      </c>
      <c r="AF3754" s="235" t="s">
        <v>631</v>
      </c>
      <c r="AG3754" s="245"/>
      <c r="AH3754" s="245"/>
      <c r="AI3754" s="245"/>
      <c r="AJ3754" s="245"/>
      <c r="AK3754" s="245"/>
      <c r="AL3754" s="245"/>
      <c r="AM3754" s="245"/>
      <c r="AN3754" s="245"/>
      <c r="AO3754" s="238">
        <v>-7.09</v>
      </c>
      <c r="AP3754" s="238">
        <v>0.0</v>
      </c>
      <c r="AQ3754" s="235" t="s">
        <v>632</v>
      </c>
      <c r="AR3754" s="243">
        <v>1.68E11</v>
      </c>
      <c r="AS3754" s="235" t="s">
        <v>27428</v>
      </c>
      <c r="AT3754" s="235" t="s">
        <v>9</v>
      </c>
      <c r="AU3754" s="235" t="s">
        <v>634</v>
      </c>
      <c r="AV3754" s="246" t="s">
        <v>635</v>
      </c>
      <c r="AW3754" s="227"/>
      <c r="AX3754" s="227"/>
      <c r="AY3754" s="227"/>
      <c r="AZ3754" s="227"/>
      <c r="BA3754" s="227"/>
      <c r="BB3754" s="227"/>
      <c r="BC3754" s="227"/>
      <c r="BD3754" s="227"/>
      <c r="BE3754" s="227"/>
      <c r="BF3754" s="227"/>
    </row>
    <row r="3755">
      <c r="A3755" s="235" t="s">
        <v>28111</v>
      </c>
      <c r="C3755" s="235" t="s">
        <v>28112</v>
      </c>
      <c r="D3755" s="235" t="s">
        <v>28113</v>
      </c>
      <c r="E3755" s="243">
        <v>6.52E13</v>
      </c>
      <c r="F3755" s="245"/>
      <c r="G3755" s="235" t="s">
        <v>28114</v>
      </c>
      <c r="H3755" s="235" t="s">
        <v>28115</v>
      </c>
      <c r="I3755" s="235" t="s">
        <v>28115</v>
      </c>
      <c r="J3755" s="235" t="s">
        <v>28116</v>
      </c>
      <c r="K3755" s="235" t="s">
        <v>28117</v>
      </c>
      <c r="N3755" s="235" t="s">
        <v>541</v>
      </c>
      <c r="O3755" s="235" t="s">
        <v>664</v>
      </c>
      <c r="P3755" s="238">
        <v>1.0</v>
      </c>
      <c r="Q3755" s="235" t="s">
        <v>627</v>
      </c>
      <c r="R3755" s="238">
        <v>668.64</v>
      </c>
      <c r="S3755" s="238">
        <v>120.36</v>
      </c>
      <c r="T3755" s="238">
        <v>0.0</v>
      </c>
      <c r="U3755" s="238">
        <v>0.0</v>
      </c>
      <c r="V3755" s="238">
        <v>0.0</v>
      </c>
      <c r="W3755" s="238">
        <v>0.0</v>
      </c>
      <c r="X3755" s="235" t="s">
        <v>628</v>
      </c>
      <c r="Z3755" s="245"/>
      <c r="AA3755" s="245"/>
      <c r="AB3755" s="245"/>
      <c r="AC3755" s="235" t="s">
        <v>687</v>
      </c>
      <c r="AD3755" s="235" t="s">
        <v>666</v>
      </c>
      <c r="AE3755" s="238">
        <v>600041.0</v>
      </c>
      <c r="AF3755" s="235" t="s">
        <v>631</v>
      </c>
      <c r="AG3755" s="245"/>
      <c r="AH3755" s="245"/>
      <c r="AI3755" s="245"/>
      <c r="AJ3755" s="245"/>
      <c r="AK3755" s="245"/>
      <c r="AL3755" s="245"/>
      <c r="AM3755" s="245"/>
      <c r="AN3755" s="245"/>
      <c r="AO3755" s="238">
        <v>0.0</v>
      </c>
      <c r="AP3755" s="238">
        <v>0.0</v>
      </c>
      <c r="AQ3755" s="235" t="s">
        <v>632</v>
      </c>
      <c r="AR3755" s="243">
        <v>1.68E11</v>
      </c>
      <c r="AS3755" s="235" t="s">
        <v>27428</v>
      </c>
      <c r="AT3755" s="235" t="s">
        <v>156</v>
      </c>
      <c r="AU3755" s="235" t="s">
        <v>634</v>
      </c>
      <c r="AV3755" s="246" t="s">
        <v>635</v>
      </c>
      <c r="AW3755" s="227"/>
      <c r="AX3755" s="227"/>
      <c r="AY3755" s="227"/>
      <c r="AZ3755" s="227"/>
      <c r="BA3755" s="227"/>
      <c r="BB3755" s="227"/>
      <c r="BC3755" s="227"/>
      <c r="BD3755" s="227"/>
      <c r="BE3755" s="227"/>
      <c r="BF3755" s="227"/>
    </row>
    <row r="3756">
      <c r="A3756" s="235" t="s">
        <v>28118</v>
      </c>
      <c r="C3756" s="235" t="s">
        <v>28119</v>
      </c>
      <c r="D3756" s="235" t="s">
        <v>28120</v>
      </c>
      <c r="E3756" s="243">
        <v>6.52E13</v>
      </c>
      <c r="F3756" s="245"/>
      <c r="G3756" s="235" t="s">
        <v>28121</v>
      </c>
      <c r="H3756" s="235" t="s">
        <v>28122</v>
      </c>
      <c r="I3756" s="235" t="s">
        <v>28122</v>
      </c>
      <c r="J3756" s="235" t="s">
        <v>28123</v>
      </c>
      <c r="K3756" s="235" t="s">
        <v>28124</v>
      </c>
      <c r="N3756" s="235" t="s">
        <v>82</v>
      </c>
      <c r="O3756" s="235" t="s">
        <v>889</v>
      </c>
      <c r="P3756" s="238">
        <v>1.0</v>
      </c>
      <c r="Q3756" s="235" t="s">
        <v>627</v>
      </c>
      <c r="R3756" s="238">
        <v>246.66</v>
      </c>
      <c r="S3756" s="238">
        <v>12.34</v>
      </c>
      <c r="T3756" s="238">
        <v>0.0</v>
      </c>
      <c r="U3756" s="238">
        <v>0.0</v>
      </c>
      <c r="V3756" s="238">
        <v>0.0</v>
      </c>
      <c r="W3756" s="238">
        <v>0.0</v>
      </c>
      <c r="X3756" s="235" t="s">
        <v>628</v>
      </c>
      <c r="Z3756" s="245"/>
      <c r="AA3756" s="245"/>
      <c r="AB3756" s="245"/>
      <c r="AC3756" s="235" t="s">
        <v>1095</v>
      </c>
      <c r="AD3756" s="235" t="s">
        <v>845</v>
      </c>
      <c r="AE3756" s="238">
        <v>400706.0</v>
      </c>
      <c r="AF3756" s="235" t="s">
        <v>631</v>
      </c>
      <c r="AG3756" s="245"/>
      <c r="AH3756" s="245"/>
      <c r="AI3756" s="245"/>
      <c r="AJ3756" s="245"/>
      <c r="AK3756" s="245"/>
      <c r="AL3756" s="245"/>
      <c r="AM3756" s="245"/>
      <c r="AN3756" s="245"/>
      <c r="AO3756" s="238">
        <v>0.0</v>
      </c>
      <c r="AP3756" s="238">
        <v>0.0</v>
      </c>
      <c r="AQ3756" s="235" t="s">
        <v>632</v>
      </c>
      <c r="AR3756" s="243">
        <v>1.68E11</v>
      </c>
      <c r="AS3756" s="235" t="s">
        <v>27428</v>
      </c>
      <c r="AT3756" s="235" t="s">
        <v>17</v>
      </c>
      <c r="AU3756" s="235" t="s">
        <v>634</v>
      </c>
      <c r="AV3756" s="246" t="s">
        <v>635</v>
      </c>
      <c r="AW3756" s="227"/>
      <c r="AX3756" s="227"/>
      <c r="AY3756" s="227"/>
      <c r="AZ3756" s="227"/>
      <c r="BA3756" s="227"/>
      <c r="BB3756" s="227"/>
      <c r="BC3756" s="227"/>
      <c r="BD3756" s="227"/>
      <c r="BE3756" s="227"/>
      <c r="BF3756" s="227"/>
    </row>
    <row r="3757">
      <c r="A3757" s="235" t="s">
        <v>28125</v>
      </c>
      <c r="C3757" s="235" t="s">
        <v>28126</v>
      </c>
      <c r="D3757" s="235" t="s">
        <v>28127</v>
      </c>
      <c r="E3757" s="243">
        <v>6.52E13</v>
      </c>
      <c r="F3757" s="245"/>
      <c r="G3757" s="235" t="s">
        <v>28128</v>
      </c>
      <c r="H3757" s="235" t="s">
        <v>28129</v>
      </c>
      <c r="I3757" s="235" t="s">
        <v>28130</v>
      </c>
      <c r="J3757" s="235" t="s">
        <v>28131</v>
      </c>
      <c r="K3757" s="235" t="s">
        <v>28132</v>
      </c>
      <c r="N3757" s="235" t="s">
        <v>145</v>
      </c>
      <c r="O3757" s="235" t="s">
        <v>370</v>
      </c>
      <c r="P3757" s="238">
        <v>1.0</v>
      </c>
      <c r="Q3757" s="235" t="s">
        <v>627</v>
      </c>
      <c r="R3757" s="238">
        <v>1475.24</v>
      </c>
      <c r="S3757" s="238">
        <v>71.55</v>
      </c>
      <c r="T3757" s="238">
        <v>0.0</v>
      </c>
      <c r="U3757" s="238">
        <v>0.0</v>
      </c>
      <c r="V3757" s="238">
        <v>0.0</v>
      </c>
      <c r="W3757" s="238">
        <v>0.0</v>
      </c>
      <c r="X3757" s="235" t="s">
        <v>628</v>
      </c>
      <c r="Z3757" s="245"/>
      <c r="AA3757" s="245"/>
      <c r="AB3757" s="245"/>
      <c r="AC3757" s="235" t="s">
        <v>678</v>
      </c>
      <c r="AD3757" s="235" t="s">
        <v>679</v>
      </c>
      <c r="AE3757" s="238">
        <v>560017.0</v>
      </c>
      <c r="AF3757" s="235" t="s">
        <v>631</v>
      </c>
      <c r="AG3757" s="245"/>
      <c r="AH3757" s="245"/>
      <c r="AI3757" s="245"/>
      <c r="AJ3757" s="245"/>
      <c r="AK3757" s="245"/>
      <c r="AL3757" s="245"/>
      <c r="AM3757" s="245"/>
      <c r="AN3757" s="245"/>
      <c r="AO3757" s="238">
        <v>-44.26</v>
      </c>
      <c r="AP3757" s="238">
        <v>0.0</v>
      </c>
      <c r="AQ3757" s="235" t="s">
        <v>632</v>
      </c>
      <c r="AR3757" s="243">
        <v>1.68E11</v>
      </c>
      <c r="AS3757" s="235" t="s">
        <v>27428</v>
      </c>
      <c r="AT3757" s="235" t="s">
        <v>11</v>
      </c>
      <c r="AU3757" s="235" t="s">
        <v>634</v>
      </c>
      <c r="AV3757" s="246" t="s">
        <v>635</v>
      </c>
      <c r="AW3757" s="227"/>
      <c r="AX3757" s="227"/>
      <c r="AY3757" s="227"/>
      <c r="AZ3757" s="227"/>
      <c r="BA3757" s="227"/>
      <c r="BB3757" s="227"/>
      <c r="BC3757" s="227"/>
      <c r="BD3757" s="227"/>
      <c r="BE3757" s="227"/>
      <c r="BF3757" s="227"/>
    </row>
    <row r="3758">
      <c r="A3758" s="235" t="s">
        <v>28133</v>
      </c>
      <c r="C3758" s="235" t="s">
        <v>28134</v>
      </c>
      <c r="D3758" s="235" t="s">
        <v>28135</v>
      </c>
      <c r="E3758" s="243">
        <v>6.52E13</v>
      </c>
      <c r="F3758" s="245"/>
      <c r="G3758" s="235" t="s">
        <v>28136</v>
      </c>
      <c r="H3758" s="235" t="s">
        <v>28137</v>
      </c>
      <c r="I3758" s="235" t="s">
        <v>28137</v>
      </c>
      <c r="J3758" s="235" t="s">
        <v>28138</v>
      </c>
      <c r="K3758" s="235" t="s">
        <v>28139</v>
      </c>
      <c r="N3758" s="235" t="s">
        <v>54</v>
      </c>
      <c r="O3758" s="235" t="s">
        <v>294</v>
      </c>
      <c r="P3758" s="238">
        <v>1.0</v>
      </c>
      <c r="Q3758" s="235" t="s">
        <v>627</v>
      </c>
      <c r="R3758" s="238">
        <v>246.67</v>
      </c>
      <c r="S3758" s="238">
        <v>11.96</v>
      </c>
      <c r="T3758" s="238">
        <v>0.0</v>
      </c>
      <c r="U3758" s="238">
        <v>0.0</v>
      </c>
      <c r="V3758" s="238">
        <v>0.0</v>
      </c>
      <c r="W3758" s="238">
        <v>0.0</v>
      </c>
      <c r="X3758" s="235" t="s">
        <v>628</v>
      </c>
      <c r="Z3758" s="245"/>
      <c r="AA3758" s="245"/>
      <c r="AB3758" s="245"/>
      <c r="AC3758" s="235" t="s">
        <v>28140</v>
      </c>
      <c r="AD3758" s="235" t="s">
        <v>630</v>
      </c>
      <c r="AE3758" s="238">
        <v>201103.0</v>
      </c>
      <c r="AF3758" s="235" t="s">
        <v>631</v>
      </c>
      <c r="AG3758" s="245"/>
      <c r="AH3758" s="245"/>
      <c r="AI3758" s="245"/>
      <c r="AJ3758" s="245"/>
      <c r="AK3758" s="245"/>
      <c r="AL3758" s="245"/>
      <c r="AM3758" s="245"/>
      <c r="AN3758" s="245"/>
      <c r="AO3758" s="238">
        <v>-7.4</v>
      </c>
      <c r="AP3758" s="238">
        <v>0.0</v>
      </c>
      <c r="AQ3758" s="235" t="s">
        <v>632</v>
      </c>
      <c r="AR3758" s="243">
        <v>3.71E11</v>
      </c>
      <c r="AS3758" s="235" t="s">
        <v>26892</v>
      </c>
      <c r="AT3758" s="235" t="s">
        <v>13</v>
      </c>
      <c r="AU3758" s="235" t="s">
        <v>634</v>
      </c>
      <c r="AV3758" s="246" t="s">
        <v>635</v>
      </c>
      <c r="AW3758" s="227"/>
      <c r="AX3758" s="227"/>
      <c r="AY3758" s="227"/>
      <c r="AZ3758" s="227"/>
      <c r="BA3758" s="227"/>
      <c r="BB3758" s="227"/>
      <c r="BC3758" s="227"/>
      <c r="BD3758" s="227"/>
      <c r="BE3758" s="227"/>
      <c r="BF3758" s="227"/>
    </row>
    <row r="3759">
      <c r="A3759" s="235" t="s">
        <v>28141</v>
      </c>
      <c r="C3759" s="235" t="s">
        <v>28142</v>
      </c>
      <c r="D3759" s="235" t="s">
        <v>28143</v>
      </c>
      <c r="E3759" s="243">
        <v>6.51E13</v>
      </c>
      <c r="F3759" s="245"/>
      <c r="G3759" s="235" t="s">
        <v>28144</v>
      </c>
      <c r="H3759" s="235" t="s">
        <v>28145</v>
      </c>
      <c r="I3759" s="235" t="s">
        <v>28145</v>
      </c>
      <c r="J3759" s="235" t="s">
        <v>28146</v>
      </c>
      <c r="K3759" s="235" t="s">
        <v>28147</v>
      </c>
      <c r="N3759" s="235" t="s">
        <v>53</v>
      </c>
      <c r="O3759" s="235" t="s">
        <v>512</v>
      </c>
      <c r="P3759" s="238">
        <v>1.0</v>
      </c>
      <c r="Q3759" s="235" t="s">
        <v>627</v>
      </c>
      <c r="R3759" s="238">
        <v>233.34</v>
      </c>
      <c r="S3759" s="238">
        <v>11.43</v>
      </c>
      <c r="T3759" s="238">
        <v>38.1</v>
      </c>
      <c r="U3759" s="238">
        <v>1.9</v>
      </c>
      <c r="V3759" s="238">
        <v>0.0</v>
      </c>
      <c r="W3759" s="238">
        <v>0.0</v>
      </c>
      <c r="X3759" s="235" t="s">
        <v>628</v>
      </c>
      <c r="Z3759" s="245"/>
      <c r="AA3759" s="245"/>
      <c r="AB3759" s="245"/>
      <c r="AC3759" s="235" t="s">
        <v>1206</v>
      </c>
      <c r="AD3759" s="235" t="s">
        <v>26646</v>
      </c>
      <c r="AE3759" s="238">
        <v>560076.0</v>
      </c>
      <c r="AF3759" s="235" t="s">
        <v>631</v>
      </c>
      <c r="AG3759" s="245"/>
      <c r="AH3759" s="245"/>
      <c r="AI3759" s="245"/>
      <c r="AJ3759" s="245"/>
      <c r="AK3759" s="245"/>
      <c r="AL3759" s="245"/>
      <c r="AM3759" s="245"/>
      <c r="AN3759" s="245"/>
      <c r="AO3759" s="238">
        <v>-4.67</v>
      </c>
      <c r="AP3759" s="238">
        <v>-38.1</v>
      </c>
      <c r="AQ3759" s="235" t="s">
        <v>632</v>
      </c>
      <c r="AR3759" s="243">
        <v>3.71E11</v>
      </c>
      <c r="AS3759" s="235" t="s">
        <v>26892</v>
      </c>
      <c r="AT3759" s="235" t="s">
        <v>11</v>
      </c>
      <c r="AU3759" s="235" t="s">
        <v>634</v>
      </c>
      <c r="AV3759" s="246" t="s">
        <v>635</v>
      </c>
      <c r="AW3759" s="227"/>
      <c r="AX3759" s="227"/>
      <c r="AY3759" s="227"/>
      <c r="AZ3759" s="227"/>
      <c r="BA3759" s="227"/>
      <c r="BB3759" s="227"/>
      <c r="BC3759" s="227"/>
      <c r="BD3759" s="227"/>
      <c r="BE3759" s="227"/>
      <c r="BF3759" s="227"/>
    </row>
    <row r="3760">
      <c r="A3760" s="235" t="s">
        <v>28148</v>
      </c>
      <c r="C3760" s="235" t="s">
        <v>28149</v>
      </c>
      <c r="D3760" s="235" t="s">
        <v>28150</v>
      </c>
      <c r="E3760" s="243">
        <v>6.52E13</v>
      </c>
      <c r="F3760" s="245"/>
      <c r="G3760" s="235" t="s">
        <v>28151</v>
      </c>
      <c r="H3760" s="235" t="s">
        <v>28152</v>
      </c>
      <c r="I3760" s="235" t="s">
        <v>28152</v>
      </c>
      <c r="J3760" s="235" t="s">
        <v>28153</v>
      </c>
      <c r="K3760" s="235" t="s">
        <v>28154</v>
      </c>
      <c r="N3760" s="235" t="s">
        <v>92</v>
      </c>
      <c r="O3760" s="235" t="s">
        <v>248</v>
      </c>
      <c r="P3760" s="238">
        <v>1.0</v>
      </c>
      <c r="Q3760" s="235" t="s">
        <v>627</v>
      </c>
      <c r="R3760" s="238">
        <v>233.33</v>
      </c>
      <c r="S3760" s="238">
        <v>11.67</v>
      </c>
      <c r="T3760" s="238">
        <v>0.0</v>
      </c>
      <c r="U3760" s="238">
        <v>0.0</v>
      </c>
      <c r="V3760" s="238">
        <v>0.0</v>
      </c>
      <c r="W3760" s="238">
        <v>0.0</v>
      </c>
      <c r="X3760" s="235" t="s">
        <v>628</v>
      </c>
      <c r="Z3760" s="245"/>
      <c r="AA3760" s="245"/>
      <c r="AB3760" s="245"/>
      <c r="AC3760" s="235" t="s">
        <v>7088</v>
      </c>
      <c r="AD3760" s="235" t="s">
        <v>630</v>
      </c>
      <c r="AE3760" s="238">
        <v>201318.0</v>
      </c>
      <c r="AF3760" s="235" t="s">
        <v>631</v>
      </c>
      <c r="AG3760" s="245"/>
      <c r="AH3760" s="245"/>
      <c r="AI3760" s="245"/>
      <c r="AJ3760" s="245"/>
      <c r="AK3760" s="245"/>
      <c r="AL3760" s="245"/>
      <c r="AM3760" s="245"/>
      <c r="AN3760" s="245"/>
      <c r="AO3760" s="238">
        <v>0.0</v>
      </c>
      <c r="AP3760" s="238">
        <v>0.0</v>
      </c>
      <c r="AQ3760" s="235" t="s">
        <v>632</v>
      </c>
      <c r="AR3760" s="243">
        <v>1.68E11</v>
      </c>
      <c r="AS3760" s="235" t="s">
        <v>27428</v>
      </c>
      <c r="AT3760" s="235" t="s">
        <v>13</v>
      </c>
      <c r="AU3760" s="235" t="s">
        <v>634</v>
      </c>
      <c r="AV3760" s="246" t="s">
        <v>635</v>
      </c>
      <c r="AW3760" s="227"/>
      <c r="AX3760" s="227"/>
      <c r="AY3760" s="227"/>
      <c r="AZ3760" s="227"/>
      <c r="BA3760" s="227"/>
      <c r="BB3760" s="227"/>
      <c r="BC3760" s="227"/>
      <c r="BD3760" s="227"/>
      <c r="BE3760" s="227"/>
      <c r="BF3760" s="227"/>
    </row>
    <row r="3761">
      <c r="A3761" s="235" t="s">
        <v>28155</v>
      </c>
      <c r="C3761" s="235" t="s">
        <v>28156</v>
      </c>
      <c r="D3761" s="235" t="s">
        <v>28157</v>
      </c>
      <c r="E3761" s="243">
        <v>6.52E13</v>
      </c>
      <c r="F3761" s="245"/>
      <c r="G3761" s="235" t="s">
        <v>28158</v>
      </c>
      <c r="H3761" s="235" t="s">
        <v>28159</v>
      </c>
      <c r="I3761" s="235" t="s">
        <v>28160</v>
      </c>
      <c r="J3761" s="235" t="s">
        <v>28161</v>
      </c>
      <c r="K3761" s="235" t="s">
        <v>28162</v>
      </c>
      <c r="N3761" s="235" t="s">
        <v>962</v>
      </c>
      <c r="O3761" s="235" t="s">
        <v>963</v>
      </c>
      <c r="P3761" s="238">
        <v>1.0</v>
      </c>
      <c r="Q3761" s="235" t="s">
        <v>627</v>
      </c>
      <c r="R3761" s="238">
        <v>237.14</v>
      </c>
      <c r="S3761" s="238">
        <v>11.86</v>
      </c>
      <c r="T3761" s="238">
        <v>0.0</v>
      </c>
      <c r="U3761" s="238">
        <v>0.0</v>
      </c>
      <c r="V3761" s="238">
        <v>0.0</v>
      </c>
      <c r="W3761" s="238">
        <v>0.0</v>
      </c>
      <c r="X3761" s="235" t="s">
        <v>628</v>
      </c>
      <c r="Z3761" s="245"/>
      <c r="AA3761" s="245"/>
      <c r="AB3761" s="245"/>
      <c r="AC3761" s="235" t="s">
        <v>7836</v>
      </c>
      <c r="AD3761" s="235" t="s">
        <v>666</v>
      </c>
      <c r="AE3761" s="238">
        <v>630002.0</v>
      </c>
      <c r="AF3761" s="235" t="s">
        <v>631</v>
      </c>
      <c r="AG3761" s="245"/>
      <c r="AH3761" s="245"/>
      <c r="AI3761" s="245"/>
      <c r="AJ3761" s="245"/>
      <c r="AK3761" s="245"/>
      <c r="AL3761" s="245"/>
      <c r="AM3761" s="245"/>
      <c r="AN3761" s="245"/>
      <c r="AO3761" s="238">
        <v>0.0</v>
      </c>
      <c r="AP3761" s="238">
        <v>0.0</v>
      </c>
      <c r="AQ3761" s="235" t="s">
        <v>632</v>
      </c>
      <c r="AR3761" s="243">
        <v>3.71E11</v>
      </c>
      <c r="AS3761" s="235" t="s">
        <v>26892</v>
      </c>
      <c r="AT3761" s="235" t="s">
        <v>155</v>
      </c>
      <c r="AU3761" s="235" t="s">
        <v>634</v>
      </c>
      <c r="AV3761" s="246" t="s">
        <v>635</v>
      </c>
      <c r="AW3761" s="227"/>
      <c r="AX3761" s="227"/>
      <c r="AY3761" s="227"/>
      <c r="AZ3761" s="227"/>
      <c r="BA3761" s="227"/>
      <c r="BB3761" s="227"/>
      <c r="BC3761" s="227"/>
      <c r="BD3761" s="227"/>
      <c r="BE3761" s="227"/>
      <c r="BF3761" s="227"/>
    </row>
    <row r="3762">
      <c r="A3762" s="235" t="s">
        <v>28163</v>
      </c>
      <c r="C3762" s="235" t="s">
        <v>28164</v>
      </c>
      <c r="D3762" s="235" t="s">
        <v>28165</v>
      </c>
      <c r="E3762" s="243">
        <v>6.52E13</v>
      </c>
      <c r="F3762" s="245"/>
      <c r="G3762" s="235" t="s">
        <v>28166</v>
      </c>
      <c r="H3762" s="235" t="s">
        <v>28167</v>
      </c>
      <c r="I3762" s="235" t="s">
        <v>28167</v>
      </c>
      <c r="J3762" s="235" t="s">
        <v>28168</v>
      </c>
      <c r="K3762" s="235" t="s">
        <v>28169</v>
      </c>
      <c r="N3762" s="235" t="s">
        <v>53</v>
      </c>
      <c r="O3762" s="235" t="s">
        <v>512</v>
      </c>
      <c r="P3762" s="238">
        <v>1.0</v>
      </c>
      <c r="Q3762" s="235" t="s">
        <v>627</v>
      </c>
      <c r="R3762" s="238">
        <v>233.34</v>
      </c>
      <c r="S3762" s="238">
        <v>11.66</v>
      </c>
      <c r="T3762" s="238">
        <v>38.1</v>
      </c>
      <c r="U3762" s="238">
        <v>1.9</v>
      </c>
      <c r="V3762" s="238">
        <v>0.0</v>
      </c>
      <c r="W3762" s="238">
        <v>0.0</v>
      </c>
      <c r="X3762" s="235" t="s">
        <v>628</v>
      </c>
      <c r="Z3762" s="245"/>
      <c r="AA3762" s="245"/>
      <c r="AB3762" s="245"/>
      <c r="AC3762" s="235" t="s">
        <v>678</v>
      </c>
      <c r="AD3762" s="235" t="s">
        <v>679</v>
      </c>
      <c r="AE3762" s="238">
        <v>560100.0</v>
      </c>
      <c r="AF3762" s="235" t="s">
        <v>631</v>
      </c>
      <c r="AG3762" s="245"/>
      <c r="AH3762" s="245"/>
      <c r="AI3762" s="245"/>
      <c r="AJ3762" s="245"/>
      <c r="AK3762" s="245"/>
      <c r="AL3762" s="245"/>
      <c r="AM3762" s="245"/>
      <c r="AN3762" s="245"/>
      <c r="AO3762" s="238">
        <v>0.0</v>
      </c>
      <c r="AP3762" s="238">
        <v>-38.1</v>
      </c>
      <c r="AQ3762" s="235" t="s">
        <v>632</v>
      </c>
      <c r="AR3762" s="243">
        <v>1.68E11</v>
      </c>
      <c r="AS3762" s="235" t="s">
        <v>27428</v>
      </c>
      <c r="AT3762" s="235" t="s">
        <v>11</v>
      </c>
      <c r="AU3762" s="235" t="s">
        <v>634</v>
      </c>
      <c r="AV3762" s="246" t="s">
        <v>635</v>
      </c>
      <c r="AW3762" s="227"/>
      <c r="AX3762" s="227"/>
      <c r="AY3762" s="227"/>
      <c r="AZ3762" s="227"/>
      <c r="BA3762" s="227"/>
      <c r="BB3762" s="227"/>
      <c r="BC3762" s="227"/>
      <c r="BD3762" s="227"/>
      <c r="BE3762" s="227"/>
      <c r="BF3762" s="227"/>
    </row>
    <row r="3763">
      <c r="A3763" s="235" t="s">
        <v>28170</v>
      </c>
      <c r="C3763" s="235" t="s">
        <v>28171</v>
      </c>
      <c r="D3763" s="235" t="s">
        <v>28172</v>
      </c>
      <c r="E3763" s="243">
        <v>6.52E13</v>
      </c>
      <c r="F3763" s="245"/>
      <c r="G3763" s="235" t="s">
        <v>28173</v>
      </c>
      <c r="H3763" s="235" t="s">
        <v>28174</v>
      </c>
      <c r="I3763" s="235" t="s">
        <v>28174</v>
      </c>
      <c r="J3763" s="235" t="s">
        <v>28175</v>
      </c>
      <c r="K3763" s="235" t="s">
        <v>28176</v>
      </c>
      <c r="N3763" s="235" t="s">
        <v>154</v>
      </c>
      <c r="O3763" s="235" t="s">
        <v>766</v>
      </c>
      <c r="P3763" s="238">
        <v>1.0</v>
      </c>
      <c r="Q3763" s="235" t="s">
        <v>627</v>
      </c>
      <c r="R3763" s="238">
        <v>423.8</v>
      </c>
      <c r="S3763" s="238">
        <v>21.2</v>
      </c>
      <c r="T3763" s="238">
        <v>0.0</v>
      </c>
      <c r="U3763" s="238">
        <v>0.0</v>
      </c>
      <c r="V3763" s="238">
        <v>0.0</v>
      </c>
      <c r="W3763" s="238">
        <v>0.0</v>
      </c>
      <c r="X3763" s="235" t="s">
        <v>628</v>
      </c>
      <c r="Z3763" s="245"/>
      <c r="AA3763" s="245"/>
      <c r="AB3763" s="245"/>
      <c r="AC3763" s="235" t="s">
        <v>28177</v>
      </c>
      <c r="AD3763" s="235" t="s">
        <v>845</v>
      </c>
      <c r="AE3763" s="238">
        <v>400071.0</v>
      </c>
      <c r="AF3763" s="235" t="s">
        <v>631</v>
      </c>
      <c r="AG3763" s="245"/>
      <c r="AH3763" s="245"/>
      <c r="AI3763" s="245"/>
      <c r="AJ3763" s="245"/>
      <c r="AK3763" s="245"/>
      <c r="AL3763" s="245"/>
      <c r="AM3763" s="245"/>
      <c r="AN3763" s="245"/>
      <c r="AO3763" s="238">
        <v>0.0</v>
      </c>
      <c r="AP3763" s="238">
        <v>0.0</v>
      </c>
      <c r="AQ3763" s="235" t="s">
        <v>632</v>
      </c>
      <c r="AR3763" s="243">
        <v>1.68E11</v>
      </c>
      <c r="AS3763" s="235" t="s">
        <v>27428</v>
      </c>
      <c r="AT3763" s="235" t="s">
        <v>17</v>
      </c>
      <c r="AU3763" s="235" t="s">
        <v>634</v>
      </c>
      <c r="AV3763" s="246" t="s">
        <v>635</v>
      </c>
      <c r="AW3763" s="227"/>
      <c r="AX3763" s="227"/>
      <c r="AY3763" s="227"/>
      <c r="AZ3763" s="227"/>
      <c r="BA3763" s="227"/>
      <c r="BB3763" s="227"/>
      <c r="BC3763" s="227"/>
      <c r="BD3763" s="227"/>
      <c r="BE3763" s="227"/>
      <c r="BF3763" s="227"/>
    </row>
    <row r="3764">
      <c r="A3764" s="235" t="s">
        <v>28178</v>
      </c>
      <c r="C3764" s="235" t="s">
        <v>28179</v>
      </c>
      <c r="D3764" s="235" t="s">
        <v>28180</v>
      </c>
      <c r="E3764" s="243">
        <v>6.51E13</v>
      </c>
      <c r="F3764" s="245"/>
      <c r="G3764" s="235" t="s">
        <v>28181</v>
      </c>
      <c r="H3764" s="235" t="s">
        <v>28182</v>
      </c>
      <c r="I3764" s="235" t="s">
        <v>28183</v>
      </c>
      <c r="J3764" s="235" t="s">
        <v>28184</v>
      </c>
      <c r="K3764" s="235" t="s">
        <v>28185</v>
      </c>
      <c r="N3764" s="235" t="s">
        <v>154</v>
      </c>
      <c r="O3764" s="235" t="s">
        <v>766</v>
      </c>
      <c r="P3764" s="238">
        <v>1.0</v>
      </c>
      <c r="Q3764" s="235" t="s">
        <v>627</v>
      </c>
      <c r="R3764" s="238">
        <v>423.81</v>
      </c>
      <c r="S3764" s="238">
        <v>21.19</v>
      </c>
      <c r="T3764" s="238">
        <v>0.0</v>
      </c>
      <c r="U3764" s="238">
        <v>0.0</v>
      </c>
      <c r="V3764" s="238">
        <v>0.0</v>
      </c>
      <c r="W3764" s="238">
        <v>0.0</v>
      </c>
      <c r="X3764" s="235" t="s">
        <v>628</v>
      </c>
      <c r="Z3764" s="245"/>
      <c r="AA3764" s="245"/>
      <c r="AB3764" s="245"/>
      <c r="AC3764" s="235" t="s">
        <v>3313</v>
      </c>
      <c r="AD3764" s="235" t="s">
        <v>645</v>
      </c>
      <c r="AE3764" s="238">
        <v>673002.0</v>
      </c>
      <c r="AF3764" s="235" t="s">
        <v>631</v>
      </c>
      <c r="AG3764" s="245"/>
      <c r="AH3764" s="245"/>
      <c r="AI3764" s="245"/>
      <c r="AJ3764" s="245"/>
      <c r="AK3764" s="245"/>
      <c r="AL3764" s="245"/>
      <c r="AM3764" s="245"/>
      <c r="AN3764" s="245"/>
      <c r="AO3764" s="238">
        <v>0.0</v>
      </c>
      <c r="AP3764" s="238">
        <v>0.0</v>
      </c>
      <c r="AQ3764" s="235" t="s">
        <v>632</v>
      </c>
      <c r="AR3764" s="243">
        <v>3.71E11</v>
      </c>
      <c r="AS3764" s="235" t="s">
        <v>26892</v>
      </c>
      <c r="AT3764" s="235" t="s">
        <v>155</v>
      </c>
      <c r="AU3764" s="235" t="s">
        <v>634</v>
      </c>
      <c r="AV3764" s="246" t="s">
        <v>635</v>
      </c>
      <c r="AW3764" s="227"/>
      <c r="AX3764" s="227"/>
      <c r="AY3764" s="227"/>
      <c r="AZ3764" s="227"/>
      <c r="BA3764" s="227"/>
      <c r="BB3764" s="227"/>
      <c r="BC3764" s="227"/>
      <c r="BD3764" s="227"/>
      <c r="BE3764" s="227"/>
      <c r="BF3764" s="227"/>
    </row>
    <row r="3765">
      <c r="A3765" s="235" t="s">
        <v>28186</v>
      </c>
      <c r="C3765" s="235" t="s">
        <v>28187</v>
      </c>
      <c r="D3765" s="235" t="s">
        <v>28188</v>
      </c>
      <c r="E3765" s="243">
        <v>6.52E13</v>
      </c>
      <c r="F3765" s="245"/>
      <c r="G3765" s="235" t="s">
        <v>28189</v>
      </c>
      <c r="H3765" s="235" t="s">
        <v>28190</v>
      </c>
      <c r="I3765" s="235" t="s">
        <v>28191</v>
      </c>
      <c r="J3765" s="235" t="s">
        <v>28192</v>
      </c>
      <c r="K3765" s="235" t="s">
        <v>28193</v>
      </c>
      <c r="N3765" s="235" t="s">
        <v>127</v>
      </c>
      <c r="O3765" s="235" t="s">
        <v>794</v>
      </c>
      <c r="P3765" s="238">
        <v>1.0</v>
      </c>
      <c r="Q3765" s="235" t="s">
        <v>627</v>
      </c>
      <c r="R3765" s="238">
        <v>236.19</v>
      </c>
      <c r="S3765" s="238">
        <v>11.81</v>
      </c>
      <c r="T3765" s="238">
        <v>0.0</v>
      </c>
      <c r="U3765" s="238">
        <v>0.0</v>
      </c>
      <c r="V3765" s="238">
        <v>0.0</v>
      </c>
      <c r="W3765" s="238">
        <v>0.0</v>
      </c>
      <c r="X3765" s="235" t="s">
        <v>628</v>
      </c>
      <c r="Z3765" s="245"/>
      <c r="AA3765" s="245"/>
      <c r="AB3765" s="245"/>
      <c r="AC3765" s="235" t="s">
        <v>795</v>
      </c>
      <c r="AD3765" s="235" t="s">
        <v>796</v>
      </c>
      <c r="AE3765" s="238">
        <v>110059.0</v>
      </c>
      <c r="AF3765" s="235" t="s">
        <v>631</v>
      </c>
      <c r="AG3765" s="245"/>
      <c r="AH3765" s="245"/>
      <c r="AI3765" s="245"/>
      <c r="AJ3765" s="245"/>
      <c r="AK3765" s="245"/>
      <c r="AL3765" s="245"/>
      <c r="AM3765" s="245"/>
      <c r="AN3765" s="245"/>
      <c r="AO3765" s="238">
        <v>0.0</v>
      </c>
      <c r="AP3765" s="238">
        <v>0.0</v>
      </c>
      <c r="AQ3765" s="235" t="s">
        <v>632</v>
      </c>
      <c r="AR3765" s="243">
        <v>1.68E11</v>
      </c>
      <c r="AS3765" s="235" t="s">
        <v>27428</v>
      </c>
      <c r="AT3765" s="235" t="s">
        <v>14</v>
      </c>
      <c r="AU3765" s="235" t="s">
        <v>634</v>
      </c>
      <c r="AV3765" s="246" t="s">
        <v>635</v>
      </c>
      <c r="AW3765" s="227"/>
      <c r="AX3765" s="227"/>
      <c r="AY3765" s="227"/>
      <c r="AZ3765" s="227"/>
      <c r="BA3765" s="227"/>
      <c r="BB3765" s="227"/>
      <c r="BC3765" s="227"/>
      <c r="BD3765" s="227"/>
      <c r="BE3765" s="227"/>
      <c r="BF3765" s="227"/>
    </row>
    <row r="3766">
      <c r="A3766" s="235" t="s">
        <v>28194</v>
      </c>
      <c r="C3766" s="235" t="s">
        <v>28195</v>
      </c>
      <c r="D3766" s="235" t="s">
        <v>28196</v>
      </c>
      <c r="E3766" s="243">
        <v>6.51E13</v>
      </c>
      <c r="F3766" s="245"/>
      <c r="G3766" s="235" t="s">
        <v>28197</v>
      </c>
      <c r="H3766" s="235" t="s">
        <v>28198</v>
      </c>
      <c r="I3766" s="235" t="s">
        <v>28199</v>
      </c>
      <c r="J3766" s="235" t="s">
        <v>28200</v>
      </c>
      <c r="K3766" s="235" t="s">
        <v>28201</v>
      </c>
      <c r="N3766" s="235" t="s">
        <v>50</v>
      </c>
      <c r="O3766" s="235" t="s">
        <v>367</v>
      </c>
      <c r="P3766" s="238">
        <v>1.0</v>
      </c>
      <c r="Q3766" s="235" t="s">
        <v>627</v>
      </c>
      <c r="R3766" s="238">
        <v>246.67</v>
      </c>
      <c r="S3766" s="238">
        <v>11.96</v>
      </c>
      <c r="T3766" s="238">
        <v>0.0</v>
      </c>
      <c r="U3766" s="238">
        <v>0.0</v>
      </c>
      <c r="V3766" s="238">
        <v>0.0</v>
      </c>
      <c r="W3766" s="238">
        <v>0.0</v>
      </c>
      <c r="X3766" s="235" t="s">
        <v>628</v>
      </c>
      <c r="Z3766" s="245"/>
      <c r="AA3766" s="245"/>
      <c r="AB3766" s="245"/>
      <c r="AC3766" s="235" t="s">
        <v>697</v>
      </c>
      <c r="AD3766" s="235" t="s">
        <v>698</v>
      </c>
      <c r="AE3766" s="238">
        <v>500056.0</v>
      </c>
      <c r="AF3766" s="235" t="s">
        <v>631</v>
      </c>
      <c r="AG3766" s="245"/>
      <c r="AH3766" s="245"/>
      <c r="AI3766" s="245"/>
      <c r="AJ3766" s="245"/>
      <c r="AK3766" s="245"/>
      <c r="AL3766" s="245"/>
      <c r="AM3766" s="245"/>
      <c r="AN3766" s="245"/>
      <c r="AO3766" s="238">
        <v>-7.4</v>
      </c>
      <c r="AP3766" s="238">
        <v>0.0</v>
      </c>
      <c r="AQ3766" s="235" t="s">
        <v>632</v>
      </c>
      <c r="AR3766" s="243">
        <v>3.71E11</v>
      </c>
      <c r="AS3766" s="235" t="s">
        <v>25098</v>
      </c>
      <c r="AT3766" s="235" t="s">
        <v>17</v>
      </c>
      <c r="AU3766" s="235" t="s">
        <v>634</v>
      </c>
      <c r="AV3766" s="246" t="s">
        <v>635</v>
      </c>
      <c r="AW3766" s="227"/>
      <c r="AX3766" s="227"/>
      <c r="AY3766" s="227"/>
      <c r="AZ3766" s="227"/>
      <c r="BA3766" s="227"/>
      <c r="BB3766" s="227"/>
      <c r="BC3766" s="227"/>
      <c r="BD3766" s="227"/>
      <c r="BE3766" s="227"/>
      <c r="BF3766" s="227"/>
    </row>
    <row r="3767">
      <c r="A3767" s="235" t="s">
        <v>28202</v>
      </c>
      <c r="C3767" s="235" t="s">
        <v>28203</v>
      </c>
      <c r="D3767" s="235" t="s">
        <v>28204</v>
      </c>
      <c r="E3767" s="243">
        <v>6.52E13</v>
      </c>
      <c r="F3767" s="245"/>
      <c r="G3767" s="235" t="s">
        <v>28205</v>
      </c>
      <c r="H3767" s="235" t="s">
        <v>28206</v>
      </c>
      <c r="I3767" s="235" t="s">
        <v>28206</v>
      </c>
      <c r="J3767" s="235" t="s">
        <v>28207</v>
      </c>
      <c r="K3767" s="235" t="s">
        <v>28208</v>
      </c>
      <c r="N3767" s="235" t="s">
        <v>138</v>
      </c>
      <c r="O3767" s="235" t="s">
        <v>675</v>
      </c>
      <c r="P3767" s="238">
        <v>1.0</v>
      </c>
      <c r="Q3767" s="235" t="s">
        <v>627</v>
      </c>
      <c r="R3767" s="238">
        <v>233.33</v>
      </c>
      <c r="S3767" s="238">
        <v>11.67</v>
      </c>
      <c r="T3767" s="238">
        <v>0.0</v>
      </c>
      <c r="U3767" s="238">
        <v>0.0</v>
      </c>
      <c r="V3767" s="238">
        <v>0.0</v>
      </c>
      <c r="W3767" s="238">
        <v>0.0</v>
      </c>
      <c r="X3767" s="235" t="s">
        <v>628</v>
      </c>
      <c r="Z3767" s="245"/>
      <c r="AA3767" s="245"/>
      <c r="AB3767" s="245"/>
      <c r="AC3767" s="235" t="s">
        <v>2452</v>
      </c>
      <c r="AD3767" s="235" t="s">
        <v>1151</v>
      </c>
      <c r="AE3767" s="238">
        <v>700064.0</v>
      </c>
      <c r="AF3767" s="235" t="s">
        <v>631</v>
      </c>
      <c r="AG3767" s="245"/>
      <c r="AH3767" s="245"/>
      <c r="AI3767" s="245"/>
      <c r="AJ3767" s="245"/>
      <c r="AK3767" s="245"/>
      <c r="AL3767" s="245"/>
      <c r="AM3767" s="245"/>
      <c r="AN3767" s="245"/>
      <c r="AO3767" s="238">
        <v>0.0</v>
      </c>
      <c r="AP3767" s="238">
        <v>0.0</v>
      </c>
      <c r="AQ3767" s="235" t="s">
        <v>632</v>
      </c>
      <c r="AR3767" s="243">
        <v>2.02E11</v>
      </c>
      <c r="AS3767" s="235" t="s">
        <v>26892</v>
      </c>
      <c r="AT3767" s="235" t="s">
        <v>546</v>
      </c>
      <c r="AU3767" s="235" t="s">
        <v>634</v>
      </c>
      <c r="AV3767" s="246" t="s">
        <v>635</v>
      </c>
      <c r="AW3767" s="227"/>
      <c r="AX3767" s="227"/>
      <c r="AY3767" s="227"/>
      <c r="AZ3767" s="227"/>
      <c r="BA3767" s="227"/>
      <c r="BB3767" s="227"/>
      <c r="BC3767" s="227"/>
      <c r="BD3767" s="227"/>
      <c r="BE3767" s="227"/>
      <c r="BF3767" s="227"/>
    </row>
    <row r="3768">
      <c r="A3768" s="235" t="s">
        <v>28209</v>
      </c>
      <c r="C3768" s="235" t="s">
        <v>28210</v>
      </c>
      <c r="D3768" s="235" t="s">
        <v>28211</v>
      </c>
      <c r="E3768" s="243">
        <v>6.52E13</v>
      </c>
      <c r="F3768" s="245"/>
      <c r="G3768" s="235" t="s">
        <v>28212</v>
      </c>
      <c r="H3768" s="235" t="s">
        <v>28213</v>
      </c>
      <c r="I3768" s="235" t="s">
        <v>28213</v>
      </c>
      <c r="J3768" s="235" t="s">
        <v>28214</v>
      </c>
      <c r="K3768" s="235" t="s">
        <v>28215</v>
      </c>
      <c r="N3768" s="235" t="s">
        <v>2706</v>
      </c>
      <c r="O3768" s="235" t="s">
        <v>2707</v>
      </c>
      <c r="P3768" s="238">
        <v>1.0</v>
      </c>
      <c r="Q3768" s="235" t="s">
        <v>627</v>
      </c>
      <c r="R3768" s="238">
        <v>761.86</v>
      </c>
      <c r="S3768" s="238">
        <v>134.4</v>
      </c>
      <c r="T3768" s="238">
        <v>0.0</v>
      </c>
      <c r="U3768" s="238">
        <v>0.0</v>
      </c>
      <c r="V3768" s="238">
        <v>0.0</v>
      </c>
      <c r="W3768" s="238">
        <v>0.0</v>
      </c>
      <c r="X3768" s="235" t="s">
        <v>628</v>
      </c>
      <c r="Z3768" s="245"/>
      <c r="AA3768" s="245"/>
      <c r="AB3768" s="245"/>
      <c r="AC3768" s="235" t="s">
        <v>844</v>
      </c>
      <c r="AD3768" s="235" t="s">
        <v>845</v>
      </c>
      <c r="AE3768" s="238">
        <v>411045.0</v>
      </c>
      <c r="AF3768" s="235" t="s">
        <v>631</v>
      </c>
      <c r="AG3768" s="245"/>
      <c r="AH3768" s="245"/>
      <c r="AI3768" s="245"/>
      <c r="AJ3768" s="245"/>
      <c r="AK3768" s="245"/>
      <c r="AL3768" s="245"/>
      <c r="AM3768" s="245"/>
      <c r="AN3768" s="245"/>
      <c r="AO3768" s="238">
        <v>-15.24</v>
      </c>
      <c r="AP3768" s="238">
        <v>0.0</v>
      </c>
      <c r="AQ3768" s="235" t="s">
        <v>632</v>
      </c>
      <c r="AR3768" s="243">
        <v>1.68E11</v>
      </c>
      <c r="AS3768" s="235" t="s">
        <v>27428</v>
      </c>
      <c r="AT3768" s="235" t="s">
        <v>546</v>
      </c>
      <c r="AU3768" s="235" t="s">
        <v>634</v>
      </c>
      <c r="AV3768" s="246" t="s">
        <v>635</v>
      </c>
      <c r="AW3768" s="227"/>
      <c r="AX3768" s="227"/>
      <c r="AY3768" s="227"/>
      <c r="AZ3768" s="227"/>
      <c r="BA3768" s="227"/>
      <c r="BB3768" s="227"/>
      <c r="BC3768" s="227"/>
      <c r="BD3768" s="227"/>
      <c r="BE3768" s="227"/>
      <c r="BF3768" s="227"/>
    </row>
    <row r="3769">
      <c r="A3769" s="235" t="s">
        <v>28216</v>
      </c>
      <c r="C3769" s="235" t="s">
        <v>28217</v>
      </c>
      <c r="D3769" s="235" t="s">
        <v>28218</v>
      </c>
      <c r="E3769" s="243">
        <v>6.52E13</v>
      </c>
      <c r="F3769" s="245"/>
      <c r="G3769" s="235" t="s">
        <v>28219</v>
      </c>
      <c r="H3769" s="235" t="s">
        <v>28220</v>
      </c>
      <c r="I3769" s="235" t="s">
        <v>28220</v>
      </c>
      <c r="J3769" s="235" t="s">
        <v>28221</v>
      </c>
      <c r="K3769" s="235" t="s">
        <v>28222</v>
      </c>
      <c r="N3769" s="235" t="s">
        <v>139</v>
      </c>
      <c r="O3769" s="235" t="s">
        <v>2091</v>
      </c>
      <c r="P3769" s="238">
        <v>1.0</v>
      </c>
      <c r="Q3769" s="235" t="s">
        <v>627</v>
      </c>
      <c r="R3769" s="238">
        <v>233.33</v>
      </c>
      <c r="S3769" s="238">
        <v>11.44</v>
      </c>
      <c r="T3769" s="238">
        <v>0.0</v>
      </c>
      <c r="U3769" s="238">
        <v>0.0</v>
      </c>
      <c r="V3769" s="238">
        <v>0.0</v>
      </c>
      <c r="W3769" s="238">
        <v>0.0</v>
      </c>
      <c r="X3769" s="235" t="s">
        <v>628</v>
      </c>
      <c r="Z3769" s="245"/>
      <c r="AA3769" s="245"/>
      <c r="AB3769" s="245"/>
      <c r="AC3769" s="235" t="s">
        <v>28223</v>
      </c>
      <c r="AD3769" s="235" t="s">
        <v>833</v>
      </c>
      <c r="AE3769" s="238">
        <v>516001.0</v>
      </c>
      <c r="AF3769" s="235" t="s">
        <v>631</v>
      </c>
      <c r="AG3769" s="245"/>
      <c r="AH3769" s="245"/>
      <c r="AI3769" s="245"/>
      <c r="AJ3769" s="245"/>
      <c r="AK3769" s="245"/>
      <c r="AL3769" s="245"/>
      <c r="AM3769" s="245"/>
      <c r="AN3769" s="245"/>
      <c r="AO3769" s="238">
        <v>-4.67</v>
      </c>
      <c r="AP3769" s="238">
        <v>0.0</v>
      </c>
      <c r="AQ3769" s="235" t="s">
        <v>632</v>
      </c>
      <c r="AR3769" s="243">
        <v>3.71E11</v>
      </c>
      <c r="AS3769" s="235" t="s">
        <v>26892</v>
      </c>
      <c r="AT3769" s="235" t="s">
        <v>156</v>
      </c>
      <c r="AU3769" s="235" t="s">
        <v>634</v>
      </c>
      <c r="AV3769" s="246" t="s">
        <v>635</v>
      </c>
      <c r="AW3769" s="227"/>
      <c r="AX3769" s="227"/>
      <c r="AY3769" s="227"/>
      <c r="AZ3769" s="227"/>
      <c r="BA3769" s="227"/>
      <c r="BB3769" s="227"/>
      <c r="BC3769" s="227"/>
      <c r="BD3769" s="227"/>
      <c r="BE3769" s="227"/>
      <c r="BF3769" s="227"/>
    </row>
    <row r="3770">
      <c r="A3770" s="235" t="s">
        <v>28224</v>
      </c>
      <c r="C3770" s="235" t="s">
        <v>28225</v>
      </c>
      <c r="D3770" s="235" t="s">
        <v>28226</v>
      </c>
      <c r="E3770" s="243">
        <v>6.52E13</v>
      </c>
      <c r="F3770" s="245"/>
      <c r="G3770" s="235" t="s">
        <v>28227</v>
      </c>
      <c r="H3770" s="235" t="s">
        <v>28228</v>
      </c>
      <c r="I3770" s="235" t="s">
        <v>28229</v>
      </c>
      <c r="J3770" s="235" t="s">
        <v>28230</v>
      </c>
      <c r="K3770" s="235" t="s">
        <v>28231</v>
      </c>
      <c r="N3770" s="235" t="s">
        <v>138</v>
      </c>
      <c r="O3770" s="235" t="s">
        <v>675</v>
      </c>
      <c r="P3770" s="238">
        <v>1.0</v>
      </c>
      <c r="Q3770" s="235" t="s">
        <v>627</v>
      </c>
      <c r="R3770" s="238">
        <v>233.34</v>
      </c>
      <c r="S3770" s="238">
        <v>11.43</v>
      </c>
      <c r="T3770" s="238">
        <v>0.0</v>
      </c>
      <c r="U3770" s="238">
        <v>0.0</v>
      </c>
      <c r="V3770" s="238">
        <v>0.0</v>
      </c>
      <c r="W3770" s="238">
        <v>0.0</v>
      </c>
      <c r="X3770" s="235" t="s">
        <v>628</v>
      </c>
      <c r="Z3770" s="245"/>
      <c r="AA3770" s="245"/>
      <c r="AB3770" s="245"/>
      <c r="AC3770" s="235" t="s">
        <v>10348</v>
      </c>
      <c r="AD3770" s="235" t="s">
        <v>666</v>
      </c>
      <c r="AE3770" s="238">
        <v>639113.0</v>
      </c>
      <c r="AF3770" s="235" t="s">
        <v>631</v>
      </c>
      <c r="AG3770" s="245"/>
      <c r="AH3770" s="245"/>
      <c r="AI3770" s="245"/>
      <c r="AJ3770" s="245"/>
      <c r="AK3770" s="245"/>
      <c r="AL3770" s="245"/>
      <c r="AM3770" s="245"/>
      <c r="AN3770" s="245"/>
      <c r="AO3770" s="238">
        <v>-4.67</v>
      </c>
      <c r="AP3770" s="238">
        <v>0.0</v>
      </c>
      <c r="AQ3770" s="235" t="s">
        <v>632</v>
      </c>
      <c r="AR3770" s="243">
        <v>3.71E11</v>
      </c>
      <c r="AS3770" s="235" t="s">
        <v>26892</v>
      </c>
      <c r="AT3770" s="235" t="s">
        <v>155</v>
      </c>
      <c r="AU3770" s="235" t="s">
        <v>634</v>
      </c>
      <c r="AV3770" s="246" t="s">
        <v>635</v>
      </c>
      <c r="AW3770" s="227"/>
      <c r="AX3770" s="227"/>
      <c r="AY3770" s="227"/>
      <c r="AZ3770" s="227"/>
      <c r="BA3770" s="227"/>
      <c r="BB3770" s="227"/>
      <c r="BC3770" s="227"/>
      <c r="BD3770" s="227"/>
      <c r="BE3770" s="227"/>
      <c r="BF3770" s="227"/>
    </row>
    <row r="3771">
      <c r="A3771" s="235" t="s">
        <v>28232</v>
      </c>
      <c r="C3771" s="235" t="s">
        <v>28233</v>
      </c>
      <c r="D3771" s="235" t="s">
        <v>28234</v>
      </c>
      <c r="E3771" s="243">
        <v>6.51E13</v>
      </c>
      <c r="F3771" s="245"/>
      <c r="G3771" s="235" t="s">
        <v>28235</v>
      </c>
      <c r="H3771" s="235" t="s">
        <v>28236</v>
      </c>
      <c r="I3771" s="235" t="s">
        <v>28236</v>
      </c>
      <c r="J3771" s="235" t="s">
        <v>28237</v>
      </c>
      <c r="K3771" s="235" t="s">
        <v>28238</v>
      </c>
      <c r="N3771" s="235" t="s">
        <v>128</v>
      </c>
      <c r="O3771" s="235" t="s">
        <v>2710</v>
      </c>
      <c r="P3771" s="238">
        <v>1.0</v>
      </c>
      <c r="Q3771" s="235" t="s">
        <v>627</v>
      </c>
      <c r="R3771" s="238">
        <v>233.33</v>
      </c>
      <c r="S3771" s="238">
        <v>11.32</v>
      </c>
      <c r="T3771" s="238">
        <v>0.0</v>
      </c>
      <c r="U3771" s="238">
        <v>0.0</v>
      </c>
      <c r="V3771" s="238">
        <v>0.0</v>
      </c>
      <c r="W3771" s="238">
        <v>0.0</v>
      </c>
      <c r="X3771" s="235" t="s">
        <v>628</v>
      </c>
      <c r="Z3771" s="245"/>
      <c r="AA3771" s="245"/>
      <c r="AB3771" s="245"/>
      <c r="AC3771" s="235" t="s">
        <v>11884</v>
      </c>
      <c r="AD3771" s="235" t="s">
        <v>845</v>
      </c>
      <c r="AE3771" s="238">
        <v>402107.0</v>
      </c>
      <c r="AF3771" s="235" t="s">
        <v>631</v>
      </c>
      <c r="AG3771" s="245"/>
      <c r="AH3771" s="245"/>
      <c r="AI3771" s="245"/>
      <c r="AJ3771" s="245"/>
      <c r="AK3771" s="245"/>
      <c r="AL3771" s="245"/>
      <c r="AM3771" s="245"/>
      <c r="AN3771" s="245"/>
      <c r="AO3771" s="238">
        <v>-7.0</v>
      </c>
      <c r="AP3771" s="238">
        <v>0.0</v>
      </c>
      <c r="AQ3771" s="235" t="s">
        <v>632</v>
      </c>
      <c r="AR3771" s="243">
        <v>3.71E11</v>
      </c>
      <c r="AS3771" s="235" t="s">
        <v>22269</v>
      </c>
      <c r="AT3771" s="235" t="s">
        <v>5</v>
      </c>
      <c r="AU3771" s="235" t="s">
        <v>634</v>
      </c>
      <c r="AV3771" s="246" t="s">
        <v>635</v>
      </c>
      <c r="AW3771" s="227"/>
      <c r="AX3771" s="227"/>
      <c r="AY3771" s="227"/>
      <c r="AZ3771" s="227"/>
      <c r="BA3771" s="227"/>
      <c r="BB3771" s="227"/>
      <c r="BC3771" s="227"/>
      <c r="BD3771" s="227"/>
      <c r="BE3771" s="227"/>
      <c r="BF3771" s="227"/>
    </row>
    <row r="3772">
      <c r="A3772" s="235" t="s">
        <v>28239</v>
      </c>
      <c r="C3772" s="235" t="s">
        <v>28240</v>
      </c>
      <c r="D3772" s="235" t="s">
        <v>28241</v>
      </c>
      <c r="E3772" s="243">
        <v>6.52E13</v>
      </c>
      <c r="F3772" s="245"/>
      <c r="G3772" s="235" t="s">
        <v>28242</v>
      </c>
      <c r="H3772" s="235" t="s">
        <v>28243</v>
      </c>
      <c r="I3772" s="235" t="s">
        <v>28243</v>
      </c>
      <c r="J3772" s="235" t="s">
        <v>28244</v>
      </c>
      <c r="K3772" s="235" t="s">
        <v>28245</v>
      </c>
      <c r="N3772" s="235" t="s">
        <v>82</v>
      </c>
      <c r="O3772" s="235" t="s">
        <v>889</v>
      </c>
      <c r="P3772" s="238">
        <v>1.0</v>
      </c>
      <c r="Q3772" s="235" t="s">
        <v>627</v>
      </c>
      <c r="R3772" s="238">
        <v>246.67</v>
      </c>
      <c r="S3772" s="238">
        <v>12.33</v>
      </c>
      <c r="T3772" s="238">
        <v>0.0</v>
      </c>
      <c r="U3772" s="238">
        <v>0.0</v>
      </c>
      <c r="V3772" s="238">
        <v>0.0</v>
      </c>
      <c r="W3772" s="238">
        <v>0.0</v>
      </c>
      <c r="X3772" s="235" t="s">
        <v>628</v>
      </c>
      <c r="Z3772" s="245"/>
      <c r="AA3772" s="245"/>
      <c r="AB3772" s="245"/>
      <c r="AC3772" s="235" t="s">
        <v>814</v>
      </c>
      <c r="AD3772" s="235" t="s">
        <v>698</v>
      </c>
      <c r="AE3772" s="238">
        <v>500030.0</v>
      </c>
      <c r="AF3772" s="235" t="s">
        <v>631</v>
      </c>
      <c r="AG3772" s="245"/>
      <c r="AH3772" s="245"/>
      <c r="AI3772" s="245"/>
      <c r="AJ3772" s="245"/>
      <c r="AK3772" s="245"/>
      <c r="AL3772" s="245"/>
      <c r="AM3772" s="245"/>
      <c r="AN3772" s="245"/>
      <c r="AO3772" s="238">
        <v>0.0</v>
      </c>
      <c r="AP3772" s="238">
        <v>0.0</v>
      </c>
      <c r="AQ3772" s="235" t="s">
        <v>632</v>
      </c>
      <c r="AR3772" s="243">
        <v>2.02E11</v>
      </c>
      <c r="AS3772" s="235" t="s">
        <v>26892</v>
      </c>
      <c r="AT3772" s="235" t="s">
        <v>156</v>
      </c>
      <c r="AU3772" s="235" t="s">
        <v>634</v>
      </c>
      <c r="AV3772" s="246" t="s">
        <v>635</v>
      </c>
      <c r="AW3772" s="227"/>
      <c r="AX3772" s="227"/>
      <c r="AY3772" s="227"/>
      <c r="AZ3772" s="227"/>
      <c r="BA3772" s="227"/>
      <c r="BB3772" s="227"/>
      <c r="BC3772" s="227"/>
      <c r="BD3772" s="227"/>
      <c r="BE3772" s="227"/>
      <c r="BF3772" s="227"/>
    </row>
    <row r="3773">
      <c r="A3773" s="235" t="s">
        <v>28246</v>
      </c>
      <c r="C3773" s="235" t="s">
        <v>28247</v>
      </c>
      <c r="D3773" s="235" t="s">
        <v>28248</v>
      </c>
      <c r="E3773" s="243">
        <v>6.52E13</v>
      </c>
      <c r="F3773" s="245"/>
      <c r="G3773" s="235" t="s">
        <v>28249</v>
      </c>
      <c r="H3773" s="235" t="s">
        <v>28250</v>
      </c>
      <c r="I3773" s="235" t="s">
        <v>28250</v>
      </c>
      <c r="J3773" s="235" t="s">
        <v>28251</v>
      </c>
      <c r="K3773" s="235" t="s">
        <v>28252</v>
      </c>
      <c r="N3773" s="235" t="s">
        <v>42</v>
      </c>
      <c r="O3773" s="235" t="s">
        <v>204</v>
      </c>
      <c r="P3773" s="238">
        <v>1.0</v>
      </c>
      <c r="Q3773" s="235" t="s">
        <v>627</v>
      </c>
      <c r="R3773" s="238">
        <v>236.19</v>
      </c>
      <c r="S3773" s="238">
        <v>11.46</v>
      </c>
      <c r="T3773" s="238">
        <v>0.0</v>
      </c>
      <c r="U3773" s="238">
        <v>0.0</v>
      </c>
      <c r="V3773" s="238">
        <v>0.0</v>
      </c>
      <c r="W3773" s="238">
        <v>0.0</v>
      </c>
      <c r="X3773" s="235" t="s">
        <v>628</v>
      </c>
      <c r="Z3773" s="245"/>
      <c r="AA3773" s="245"/>
      <c r="AB3773" s="245"/>
      <c r="AC3773" s="235" t="s">
        <v>28253</v>
      </c>
      <c r="AD3773" s="235" t="s">
        <v>833</v>
      </c>
      <c r="AE3773" s="238">
        <v>530045.0</v>
      </c>
      <c r="AF3773" s="235" t="s">
        <v>631</v>
      </c>
      <c r="AG3773" s="245"/>
      <c r="AH3773" s="245"/>
      <c r="AI3773" s="245"/>
      <c r="AJ3773" s="245"/>
      <c r="AK3773" s="245"/>
      <c r="AL3773" s="245"/>
      <c r="AM3773" s="245"/>
      <c r="AN3773" s="245"/>
      <c r="AO3773" s="238">
        <v>-7.09</v>
      </c>
      <c r="AP3773" s="238">
        <v>0.0</v>
      </c>
      <c r="AQ3773" s="235" t="s">
        <v>632</v>
      </c>
      <c r="AR3773" s="243">
        <v>2.02E11</v>
      </c>
      <c r="AS3773" s="235" t="s">
        <v>26892</v>
      </c>
      <c r="AT3773" s="235" t="s">
        <v>11</v>
      </c>
      <c r="AU3773" s="235" t="s">
        <v>634</v>
      </c>
      <c r="AV3773" s="246" t="s">
        <v>635</v>
      </c>
      <c r="AW3773" s="227"/>
      <c r="AX3773" s="227"/>
      <c r="AY3773" s="227"/>
      <c r="AZ3773" s="227"/>
      <c r="BA3773" s="227"/>
      <c r="BB3773" s="227"/>
      <c r="BC3773" s="227"/>
      <c r="BD3773" s="227"/>
      <c r="BE3773" s="227"/>
      <c r="BF3773" s="227"/>
    </row>
    <row r="3774">
      <c r="A3774" s="235" t="s">
        <v>28254</v>
      </c>
      <c r="C3774" s="235" t="s">
        <v>28255</v>
      </c>
      <c r="D3774" s="235" t="s">
        <v>28256</v>
      </c>
      <c r="E3774" s="243">
        <v>6.52E13</v>
      </c>
      <c r="F3774" s="245"/>
      <c r="G3774" s="235" t="s">
        <v>28257</v>
      </c>
      <c r="H3774" s="235" t="s">
        <v>28258</v>
      </c>
      <c r="I3774" s="235" t="s">
        <v>28258</v>
      </c>
      <c r="J3774" s="235" t="s">
        <v>28259</v>
      </c>
      <c r="K3774" s="235" t="s">
        <v>28260</v>
      </c>
      <c r="N3774" s="235" t="s">
        <v>27</v>
      </c>
      <c r="O3774" s="235" t="s">
        <v>573</v>
      </c>
      <c r="P3774" s="238">
        <v>1.0</v>
      </c>
      <c r="Q3774" s="235" t="s">
        <v>627</v>
      </c>
      <c r="R3774" s="238">
        <v>380.0</v>
      </c>
      <c r="S3774" s="238">
        <v>19.0</v>
      </c>
      <c r="T3774" s="238">
        <v>0.0</v>
      </c>
      <c r="U3774" s="238">
        <v>0.0</v>
      </c>
      <c r="V3774" s="238">
        <v>0.0</v>
      </c>
      <c r="W3774" s="238">
        <v>0.0</v>
      </c>
      <c r="X3774" s="235" t="s">
        <v>628</v>
      </c>
      <c r="Z3774" s="245"/>
      <c r="AA3774" s="245"/>
      <c r="AB3774" s="245"/>
      <c r="AC3774" s="235" t="s">
        <v>1531</v>
      </c>
      <c r="AD3774" s="235" t="s">
        <v>1151</v>
      </c>
      <c r="AE3774" s="238">
        <v>700031.0</v>
      </c>
      <c r="AF3774" s="235" t="s">
        <v>631</v>
      </c>
      <c r="AG3774" s="245"/>
      <c r="AH3774" s="245"/>
      <c r="AI3774" s="245"/>
      <c r="AJ3774" s="245"/>
      <c r="AK3774" s="245"/>
      <c r="AL3774" s="245"/>
      <c r="AM3774" s="245"/>
      <c r="AN3774" s="245"/>
      <c r="AO3774" s="238">
        <v>0.0</v>
      </c>
      <c r="AP3774" s="238">
        <v>0.0</v>
      </c>
      <c r="AQ3774" s="235" t="s">
        <v>632</v>
      </c>
      <c r="AR3774" s="243">
        <v>2.02E11</v>
      </c>
      <c r="AS3774" s="235" t="s">
        <v>26892</v>
      </c>
      <c r="AT3774" s="235" t="s">
        <v>11</v>
      </c>
      <c r="AU3774" s="235" t="s">
        <v>634</v>
      </c>
      <c r="AV3774" s="246" t="s">
        <v>635</v>
      </c>
      <c r="AW3774" s="227"/>
      <c r="AX3774" s="227"/>
      <c r="AY3774" s="227"/>
      <c r="AZ3774" s="227"/>
      <c r="BA3774" s="227"/>
      <c r="BB3774" s="227"/>
      <c r="BC3774" s="227"/>
      <c r="BD3774" s="227"/>
      <c r="BE3774" s="227"/>
      <c r="BF3774" s="227"/>
    </row>
    <row r="3775">
      <c r="A3775" s="235" t="s">
        <v>28261</v>
      </c>
      <c r="C3775" s="235" t="s">
        <v>28262</v>
      </c>
      <c r="D3775" s="235" t="s">
        <v>28263</v>
      </c>
      <c r="E3775" s="243">
        <v>6.52E13</v>
      </c>
      <c r="F3775" s="245"/>
      <c r="G3775" s="235" t="s">
        <v>28264</v>
      </c>
      <c r="H3775" s="235" t="s">
        <v>28265</v>
      </c>
      <c r="I3775" s="235" t="s">
        <v>28265</v>
      </c>
      <c r="J3775" s="235" t="s">
        <v>28266</v>
      </c>
      <c r="K3775" s="235" t="s">
        <v>28267</v>
      </c>
      <c r="N3775" s="235" t="s">
        <v>154</v>
      </c>
      <c r="O3775" s="235" t="s">
        <v>766</v>
      </c>
      <c r="P3775" s="238">
        <v>1.0</v>
      </c>
      <c r="Q3775" s="235" t="s">
        <v>627</v>
      </c>
      <c r="R3775" s="238">
        <v>423.81</v>
      </c>
      <c r="S3775" s="238">
        <v>21.19</v>
      </c>
      <c r="T3775" s="238">
        <v>0.0</v>
      </c>
      <c r="U3775" s="238">
        <v>0.0</v>
      </c>
      <c r="V3775" s="238">
        <v>0.0</v>
      </c>
      <c r="W3775" s="238">
        <v>0.0</v>
      </c>
      <c r="X3775" s="235" t="s">
        <v>628</v>
      </c>
      <c r="Z3775" s="245"/>
      <c r="AA3775" s="245"/>
      <c r="AB3775" s="245"/>
      <c r="AC3775" s="235" t="s">
        <v>687</v>
      </c>
      <c r="AD3775" s="235" t="s">
        <v>666</v>
      </c>
      <c r="AE3775" s="238">
        <v>600125.0</v>
      </c>
      <c r="AF3775" s="235" t="s">
        <v>631</v>
      </c>
      <c r="AG3775" s="245"/>
      <c r="AH3775" s="245"/>
      <c r="AI3775" s="245"/>
      <c r="AJ3775" s="245"/>
      <c r="AK3775" s="245"/>
      <c r="AL3775" s="245"/>
      <c r="AM3775" s="245"/>
      <c r="AN3775" s="245"/>
      <c r="AO3775" s="238">
        <v>0.0</v>
      </c>
      <c r="AP3775" s="238">
        <v>0.0</v>
      </c>
      <c r="AQ3775" s="235" t="s">
        <v>632</v>
      </c>
      <c r="AR3775" s="243">
        <v>1.68E11</v>
      </c>
      <c r="AS3775" s="235" t="s">
        <v>26892</v>
      </c>
      <c r="AT3775" s="235" t="s">
        <v>11</v>
      </c>
      <c r="AU3775" s="235" t="s">
        <v>634</v>
      </c>
      <c r="AV3775" s="246" t="s">
        <v>635</v>
      </c>
      <c r="AW3775" s="227"/>
      <c r="AX3775" s="227"/>
      <c r="AY3775" s="227"/>
      <c r="AZ3775" s="227"/>
      <c r="BA3775" s="227"/>
      <c r="BB3775" s="227"/>
      <c r="BC3775" s="227"/>
      <c r="BD3775" s="227"/>
      <c r="BE3775" s="227"/>
      <c r="BF3775" s="227"/>
    </row>
    <row r="3776">
      <c r="A3776" s="235" t="s">
        <v>28268</v>
      </c>
      <c r="C3776" s="235" t="s">
        <v>28269</v>
      </c>
      <c r="D3776" s="235" t="s">
        <v>28270</v>
      </c>
      <c r="E3776" s="243">
        <v>6.51E13</v>
      </c>
      <c r="F3776" s="245"/>
      <c r="G3776" s="235" t="s">
        <v>28271</v>
      </c>
      <c r="H3776" s="235" t="s">
        <v>28272</v>
      </c>
      <c r="I3776" s="235" t="s">
        <v>28272</v>
      </c>
      <c r="J3776" s="235" t="s">
        <v>28273</v>
      </c>
      <c r="K3776" s="235" t="s">
        <v>28274</v>
      </c>
      <c r="N3776" s="235" t="s">
        <v>154</v>
      </c>
      <c r="O3776" s="235" t="s">
        <v>766</v>
      </c>
      <c r="P3776" s="238">
        <v>1.0</v>
      </c>
      <c r="Q3776" s="235" t="s">
        <v>627</v>
      </c>
      <c r="R3776" s="238">
        <v>423.8</v>
      </c>
      <c r="S3776" s="238">
        <v>21.2</v>
      </c>
      <c r="T3776" s="238">
        <v>0.0</v>
      </c>
      <c r="U3776" s="238">
        <v>0.0</v>
      </c>
      <c r="V3776" s="238">
        <v>0.0</v>
      </c>
      <c r="W3776" s="238">
        <v>0.0</v>
      </c>
      <c r="X3776" s="235" t="s">
        <v>628</v>
      </c>
      <c r="Z3776" s="245"/>
      <c r="AA3776" s="245"/>
      <c r="AB3776" s="245"/>
      <c r="AC3776" s="235" t="s">
        <v>1058</v>
      </c>
      <c r="AD3776" s="235" t="s">
        <v>845</v>
      </c>
      <c r="AE3776" s="238">
        <v>400066.0</v>
      </c>
      <c r="AF3776" s="235" t="s">
        <v>631</v>
      </c>
      <c r="AG3776" s="245"/>
      <c r="AH3776" s="245"/>
      <c r="AI3776" s="245"/>
      <c r="AJ3776" s="245"/>
      <c r="AK3776" s="245"/>
      <c r="AL3776" s="245"/>
      <c r="AM3776" s="245"/>
      <c r="AN3776" s="245"/>
      <c r="AO3776" s="238">
        <v>0.0</v>
      </c>
      <c r="AP3776" s="238">
        <v>0.0</v>
      </c>
      <c r="AQ3776" s="235" t="s">
        <v>632</v>
      </c>
      <c r="AR3776" s="243">
        <v>3.71E11</v>
      </c>
      <c r="AS3776" s="235" t="s">
        <v>26892</v>
      </c>
      <c r="AT3776" s="235" t="s">
        <v>17</v>
      </c>
      <c r="AU3776" s="235" t="s">
        <v>634</v>
      </c>
      <c r="AV3776" s="246" t="s">
        <v>635</v>
      </c>
      <c r="AW3776" s="227"/>
      <c r="AX3776" s="227"/>
      <c r="AY3776" s="227"/>
      <c r="AZ3776" s="227"/>
      <c r="BA3776" s="227"/>
      <c r="BB3776" s="227"/>
      <c r="BC3776" s="227"/>
      <c r="BD3776" s="227"/>
      <c r="BE3776" s="227"/>
      <c r="BF3776" s="227"/>
    </row>
    <row r="3777">
      <c r="A3777" s="235" t="s">
        <v>28275</v>
      </c>
      <c r="C3777" s="235" t="s">
        <v>28276</v>
      </c>
      <c r="D3777" s="235" t="s">
        <v>28277</v>
      </c>
      <c r="E3777" s="243">
        <v>6.52E13</v>
      </c>
      <c r="F3777" s="245"/>
      <c r="G3777" s="235" t="s">
        <v>28278</v>
      </c>
      <c r="H3777" s="235" t="s">
        <v>28279</v>
      </c>
      <c r="I3777" s="235" t="s">
        <v>28279</v>
      </c>
      <c r="J3777" s="235" t="s">
        <v>28280</v>
      </c>
      <c r="K3777" s="235" t="s">
        <v>28281</v>
      </c>
      <c r="N3777" s="235" t="s">
        <v>962</v>
      </c>
      <c r="O3777" s="235" t="s">
        <v>963</v>
      </c>
      <c r="P3777" s="238">
        <v>1.0</v>
      </c>
      <c r="Q3777" s="235" t="s">
        <v>627</v>
      </c>
      <c r="R3777" s="238">
        <v>237.14</v>
      </c>
      <c r="S3777" s="238">
        <v>11.5</v>
      </c>
      <c r="T3777" s="238">
        <v>0.0</v>
      </c>
      <c r="U3777" s="238">
        <v>0.0</v>
      </c>
      <c r="V3777" s="238">
        <v>0.0</v>
      </c>
      <c r="W3777" s="238">
        <v>0.0</v>
      </c>
      <c r="X3777" s="235" t="s">
        <v>628</v>
      </c>
      <c r="Z3777" s="245"/>
      <c r="AA3777" s="245"/>
      <c r="AB3777" s="245"/>
      <c r="AC3777" s="235" t="s">
        <v>3185</v>
      </c>
      <c r="AD3777" s="235" t="s">
        <v>1086</v>
      </c>
      <c r="AE3777" s="238">
        <v>147001.0</v>
      </c>
      <c r="AF3777" s="235" t="s">
        <v>631</v>
      </c>
      <c r="AG3777" s="245"/>
      <c r="AH3777" s="245"/>
      <c r="AI3777" s="245"/>
      <c r="AJ3777" s="245"/>
      <c r="AK3777" s="245"/>
      <c r="AL3777" s="245"/>
      <c r="AM3777" s="245"/>
      <c r="AN3777" s="245"/>
      <c r="AO3777" s="238">
        <v>-7.11</v>
      </c>
      <c r="AP3777" s="238">
        <v>0.0</v>
      </c>
      <c r="AQ3777" s="235" t="s">
        <v>632</v>
      </c>
      <c r="AR3777" s="243">
        <v>1.68E11</v>
      </c>
      <c r="AS3777" s="235" t="s">
        <v>26892</v>
      </c>
      <c r="AT3777" s="235" t="s">
        <v>533</v>
      </c>
      <c r="AU3777" s="235" t="s">
        <v>634</v>
      </c>
      <c r="AV3777" s="246" t="s">
        <v>635</v>
      </c>
      <c r="AW3777" s="227"/>
      <c r="AX3777" s="227"/>
      <c r="AY3777" s="227"/>
      <c r="AZ3777" s="227"/>
      <c r="BA3777" s="227"/>
      <c r="BB3777" s="227"/>
      <c r="BC3777" s="227"/>
      <c r="BD3777" s="227"/>
      <c r="BE3777" s="227"/>
      <c r="BF3777" s="227"/>
    </row>
    <row r="3778">
      <c r="A3778" s="235" t="s">
        <v>28282</v>
      </c>
      <c r="C3778" s="235" t="s">
        <v>28283</v>
      </c>
      <c r="D3778" s="235" t="s">
        <v>28284</v>
      </c>
      <c r="E3778" s="243">
        <v>6.52E13</v>
      </c>
      <c r="F3778" s="245"/>
      <c r="G3778" s="235" t="s">
        <v>28285</v>
      </c>
      <c r="H3778" s="235" t="s">
        <v>28286</v>
      </c>
      <c r="I3778" s="235" t="s">
        <v>28286</v>
      </c>
      <c r="J3778" s="235" t="s">
        <v>28287</v>
      </c>
      <c r="K3778" s="235" t="s">
        <v>28288</v>
      </c>
      <c r="N3778" s="235" t="s">
        <v>75</v>
      </c>
      <c r="O3778" s="235" t="s">
        <v>2108</v>
      </c>
      <c r="P3778" s="238">
        <v>1.0</v>
      </c>
      <c r="Q3778" s="235" t="s">
        <v>627</v>
      </c>
      <c r="R3778" s="238">
        <v>335.24</v>
      </c>
      <c r="S3778" s="238">
        <v>16.76</v>
      </c>
      <c r="T3778" s="238">
        <v>0.0</v>
      </c>
      <c r="U3778" s="238">
        <v>0.0</v>
      </c>
      <c r="V3778" s="238">
        <v>0.0</v>
      </c>
      <c r="W3778" s="238">
        <v>0.0</v>
      </c>
      <c r="X3778" s="235" t="s">
        <v>628</v>
      </c>
      <c r="Z3778" s="245"/>
      <c r="AA3778" s="245"/>
      <c r="AB3778" s="245"/>
      <c r="AC3778" s="235" t="s">
        <v>2493</v>
      </c>
      <c r="AD3778" s="235" t="s">
        <v>833</v>
      </c>
      <c r="AE3778" s="238">
        <v>520013.0</v>
      </c>
      <c r="AF3778" s="235" t="s">
        <v>631</v>
      </c>
      <c r="AG3778" s="245"/>
      <c r="AH3778" s="245"/>
      <c r="AI3778" s="245"/>
      <c r="AJ3778" s="245"/>
      <c r="AK3778" s="245"/>
      <c r="AL3778" s="245"/>
      <c r="AM3778" s="245"/>
      <c r="AN3778" s="245"/>
      <c r="AO3778" s="238">
        <v>0.0</v>
      </c>
      <c r="AP3778" s="238">
        <v>0.0</v>
      </c>
      <c r="AQ3778" s="235" t="s">
        <v>632</v>
      </c>
      <c r="AR3778" s="243">
        <v>1.68E11</v>
      </c>
      <c r="AS3778" s="235" t="s">
        <v>26892</v>
      </c>
      <c r="AT3778" s="235" t="s">
        <v>156</v>
      </c>
      <c r="AU3778" s="235" t="s">
        <v>634</v>
      </c>
      <c r="AV3778" s="246" t="s">
        <v>635</v>
      </c>
      <c r="AW3778" s="227"/>
      <c r="AX3778" s="227"/>
      <c r="AY3778" s="227"/>
      <c r="AZ3778" s="227"/>
      <c r="BA3778" s="227"/>
      <c r="BB3778" s="227"/>
      <c r="BC3778" s="227"/>
      <c r="BD3778" s="227"/>
      <c r="BE3778" s="227"/>
      <c r="BF3778" s="227"/>
    </row>
    <row r="3779">
      <c r="A3779" s="235" t="s">
        <v>28289</v>
      </c>
      <c r="C3779" s="235" t="s">
        <v>28290</v>
      </c>
      <c r="D3779" s="235" t="s">
        <v>28291</v>
      </c>
      <c r="E3779" s="243">
        <v>6.51E13</v>
      </c>
      <c r="F3779" s="245"/>
      <c r="G3779" s="235" t="s">
        <v>28292</v>
      </c>
      <c r="H3779" s="235" t="s">
        <v>28293</v>
      </c>
      <c r="I3779" s="235" t="s">
        <v>28293</v>
      </c>
      <c r="J3779" s="235" t="s">
        <v>28294</v>
      </c>
      <c r="K3779" s="235" t="s">
        <v>28295</v>
      </c>
      <c r="N3779" s="235" t="s">
        <v>42</v>
      </c>
      <c r="O3779" s="235" t="s">
        <v>204</v>
      </c>
      <c r="P3779" s="238">
        <v>1.0</v>
      </c>
      <c r="Q3779" s="235" t="s">
        <v>627</v>
      </c>
      <c r="R3779" s="238">
        <v>236.2</v>
      </c>
      <c r="S3779" s="238">
        <v>11.8</v>
      </c>
      <c r="T3779" s="238">
        <v>0.0</v>
      </c>
      <c r="U3779" s="238">
        <v>0.0</v>
      </c>
      <c r="V3779" s="238">
        <v>0.0</v>
      </c>
      <c r="W3779" s="238">
        <v>0.0</v>
      </c>
      <c r="X3779" s="235" t="s">
        <v>628</v>
      </c>
      <c r="Z3779" s="245"/>
      <c r="AA3779" s="245"/>
      <c r="AB3779" s="245"/>
      <c r="AC3779" s="235" t="s">
        <v>21246</v>
      </c>
      <c r="AD3779" s="235" t="s">
        <v>1077</v>
      </c>
      <c r="AE3779" s="238">
        <v>388001.0</v>
      </c>
      <c r="AF3779" s="235" t="s">
        <v>631</v>
      </c>
      <c r="AG3779" s="245"/>
      <c r="AH3779" s="245"/>
      <c r="AI3779" s="245"/>
      <c r="AJ3779" s="245"/>
      <c r="AK3779" s="245"/>
      <c r="AL3779" s="245"/>
      <c r="AM3779" s="245"/>
      <c r="AN3779" s="245"/>
      <c r="AO3779" s="238">
        <v>0.0</v>
      </c>
      <c r="AP3779" s="238">
        <v>0.0</v>
      </c>
      <c r="AQ3779" s="235" t="s">
        <v>632</v>
      </c>
      <c r="AR3779" s="243">
        <v>1.68E11</v>
      </c>
      <c r="AS3779" s="235" t="s">
        <v>26892</v>
      </c>
      <c r="AT3779" s="235" t="s">
        <v>5</v>
      </c>
      <c r="AU3779" s="235" t="s">
        <v>634</v>
      </c>
      <c r="AV3779" s="246" t="s">
        <v>635</v>
      </c>
      <c r="AW3779" s="227"/>
      <c r="AX3779" s="227"/>
      <c r="AY3779" s="227"/>
      <c r="AZ3779" s="227"/>
      <c r="BA3779" s="227"/>
      <c r="BB3779" s="227"/>
      <c r="BC3779" s="227"/>
      <c r="BD3779" s="227"/>
      <c r="BE3779" s="227"/>
      <c r="BF3779" s="227"/>
    </row>
    <row r="3780">
      <c r="A3780" s="235" t="s">
        <v>28296</v>
      </c>
      <c r="C3780" s="235" t="s">
        <v>28297</v>
      </c>
      <c r="D3780" s="235" t="s">
        <v>28298</v>
      </c>
      <c r="E3780" s="243">
        <v>6.52E13</v>
      </c>
      <c r="F3780" s="245"/>
      <c r="G3780" s="235" t="s">
        <v>28299</v>
      </c>
      <c r="H3780" s="235" t="s">
        <v>28300</v>
      </c>
      <c r="I3780" s="235" t="s">
        <v>28301</v>
      </c>
      <c r="J3780" s="235" t="s">
        <v>28302</v>
      </c>
      <c r="K3780" s="235" t="s">
        <v>28303</v>
      </c>
      <c r="N3780" s="235" t="s">
        <v>127</v>
      </c>
      <c r="O3780" s="235" t="s">
        <v>794</v>
      </c>
      <c r="P3780" s="238">
        <v>1.0</v>
      </c>
      <c r="Q3780" s="235" t="s">
        <v>627</v>
      </c>
      <c r="R3780" s="238">
        <v>236.2</v>
      </c>
      <c r="S3780" s="238">
        <v>11.45</v>
      </c>
      <c r="T3780" s="238">
        <v>0.0</v>
      </c>
      <c r="U3780" s="238">
        <v>0.0</v>
      </c>
      <c r="V3780" s="238">
        <v>0.0</v>
      </c>
      <c r="W3780" s="238">
        <v>0.0</v>
      </c>
      <c r="X3780" s="235" t="s">
        <v>628</v>
      </c>
      <c r="Z3780" s="245"/>
      <c r="AA3780" s="245"/>
      <c r="AB3780" s="245"/>
      <c r="AC3780" s="235" t="s">
        <v>991</v>
      </c>
      <c r="AD3780" s="235" t="s">
        <v>845</v>
      </c>
      <c r="AE3780" s="238">
        <v>416010.0</v>
      </c>
      <c r="AF3780" s="235" t="s">
        <v>631</v>
      </c>
      <c r="AG3780" s="245"/>
      <c r="AH3780" s="245"/>
      <c r="AI3780" s="245"/>
      <c r="AJ3780" s="245"/>
      <c r="AK3780" s="245"/>
      <c r="AL3780" s="245"/>
      <c r="AM3780" s="245"/>
      <c r="AN3780" s="245"/>
      <c r="AO3780" s="238">
        <v>-7.09</v>
      </c>
      <c r="AP3780" s="238">
        <v>0.0</v>
      </c>
      <c r="AQ3780" s="235" t="s">
        <v>632</v>
      </c>
      <c r="AR3780" s="243">
        <v>1.68E11</v>
      </c>
      <c r="AS3780" s="235" t="s">
        <v>26892</v>
      </c>
      <c r="AT3780" s="235" t="s">
        <v>546</v>
      </c>
      <c r="AU3780" s="235" t="s">
        <v>634</v>
      </c>
      <c r="AV3780" s="246" t="s">
        <v>635</v>
      </c>
      <c r="AW3780" s="227"/>
      <c r="AX3780" s="227"/>
      <c r="AY3780" s="227"/>
      <c r="AZ3780" s="227"/>
      <c r="BA3780" s="227"/>
      <c r="BB3780" s="227"/>
      <c r="BC3780" s="227"/>
      <c r="BD3780" s="227"/>
      <c r="BE3780" s="227"/>
      <c r="BF3780" s="227"/>
    </row>
    <row r="3781">
      <c r="A3781" s="235" t="s">
        <v>28304</v>
      </c>
      <c r="C3781" s="235" t="s">
        <v>28305</v>
      </c>
      <c r="D3781" s="235" t="s">
        <v>28306</v>
      </c>
      <c r="E3781" s="243">
        <v>6.52E13</v>
      </c>
      <c r="F3781" s="245"/>
      <c r="G3781" s="235" t="s">
        <v>28307</v>
      </c>
      <c r="H3781" s="235" t="s">
        <v>28308</v>
      </c>
      <c r="I3781" s="235" t="s">
        <v>28309</v>
      </c>
      <c r="J3781" s="235" t="s">
        <v>28310</v>
      </c>
      <c r="K3781" s="235" t="s">
        <v>28311</v>
      </c>
      <c r="N3781" s="235" t="s">
        <v>154</v>
      </c>
      <c r="O3781" s="235" t="s">
        <v>766</v>
      </c>
      <c r="P3781" s="238">
        <v>1.0</v>
      </c>
      <c r="Q3781" s="235" t="s">
        <v>627</v>
      </c>
      <c r="R3781" s="238">
        <v>423.81</v>
      </c>
      <c r="S3781" s="238">
        <v>20.55</v>
      </c>
      <c r="T3781" s="238">
        <v>0.0</v>
      </c>
      <c r="U3781" s="238">
        <v>0.0</v>
      </c>
      <c r="V3781" s="238">
        <v>0.0</v>
      </c>
      <c r="W3781" s="238">
        <v>0.0</v>
      </c>
      <c r="X3781" s="235" t="s">
        <v>628</v>
      </c>
      <c r="Z3781" s="245"/>
      <c r="AA3781" s="245"/>
      <c r="AB3781" s="245"/>
      <c r="AC3781" s="235" t="s">
        <v>1728</v>
      </c>
      <c r="AD3781" s="235" t="s">
        <v>630</v>
      </c>
      <c r="AE3781" s="238">
        <v>221002.0</v>
      </c>
      <c r="AF3781" s="235" t="s">
        <v>631</v>
      </c>
      <c r="AG3781" s="245"/>
      <c r="AH3781" s="245"/>
      <c r="AI3781" s="245"/>
      <c r="AJ3781" s="245"/>
      <c r="AK3781" s="245"/>
      <c r="AL3781" s="245"/>
      <c r="AM3781" s="245"/>
      <c r="AN3781" s="245"/>
      <c r="AO3781" s="238">
        <v>-12.71</v>
      </c>
      <c r="AP3781" s="238">
        <v>0.0</v>
      </c>
      <c r="AQ3781" s="235" t="s">
        <v>632</v>
      </c>
      <c r="AR3781" s="243">
        <v>3.71E11</v>
      </c>
      <c r="AS3781" s="235" t="s">
        <v>22269</v>
      </c>
      <c r="AT3781" s="235" t="s">
        <v>16</v>
      </c>
      <c r="AU3781" s="235" t="s">
        <v>634</v>
      </c>
      <c r="AV3781" s="246" t="s">
        <v>635</v>
      </c>
      <c r="AW3781" s="227"/>
      <c r="AX3781" s="227"/>
      <c r="AY3781" s="227"/>
      <c r="AZ3781" s="227"/>
      <c r="BA3781" s="227"/>
      <c r="BB3781" s="227"/>
      <c r="BC3781" s="227"/>
      <c r="BD3781" s="227"/>
      <c r="BE3781" s="227"/>
      <c r="BF3781" s="227"/>
    </row>
    <row r="3782">
      <c r="A3782" s="235" t="s">
        <v>28312</v>
      </c>
      <c r="C3782" s="235" t="s">
        <v>28313</v>
      </c>
      <c r="D3782" s="235" t="s">
        <v>28314</v>
      </c>
      <c r="E3782" s="243">
        <v>6.52E13</v>
      </c>
      <c r="F3782" s="245"/>
      <c r="G3782" s="235" t="s">
        <v>28315</v>
      </c>
      <c r="H3782" s="235" t="s">
        <v>28316</v>
      </c>
      <c r="I3782" s="235" t="s">
        <v>28317</v>
      </c>
      <c r="J3782" s="235" t="s">
        <v>28318</v>
      </c>
      <c r="K3782" s="235" t="s">
        <v>28319</v>
      </c>
      <c r="N3782" s="235" t="s">
        <v>130</v>
      </c>
      <c r="O3782" s="235" t="s">
        <v>707</v>
      </c>
      <c r="P3782" s="238">
        <v>1.0</v>
      </c>
      <c r="Q3782" s="235" t="s">
        <v>627</v>
      </c>
      <c r="R3782" s="238">
        <v>232.38</v>
      </c>
      <c r="S3782" s="238">
        <v>11.27</v>
      </c>
      <c r="T3782" s="238">
        <v>0.0</v>
      </c>
      <c r="U3782" s="238">
        <v>0.0</v>
      </c>
      <c r="V3782" s="238">
        <v>0.0</v>
      </c>
      <c r="W3782" s="238">
        <v>0.0</v>
      </c>
      <c r="X3782" s="235" t="s">
        <v>628</v>
      </c>
      <c r="Z3782" s="245"/>
      <c r="AA3782" s="245"/>
      <c r="AB3782" s="245"/>
      <c r="AC3782" s="235" t="s">
        <v>4139</v>
      </c>
      <c r="AD3782" s="235" t="s">
        <v>796</v>
      </c>
      <c r="AE3782" s="238">
        <v>110092.0</v>
      </c>
      <c r="AF3782" s="235" t="s">
        <v>631</v>
      </c>
      <c r="AG3782" s="245"/>
      <c r="AH3782" s="245"/>
      <c r="AI3782" s="245"/>
      <c r="AJ3782" s="245"/>
      <c r="AK3782" s="245"/>
      <c r="AL3782" s="245"/>
      <c r="AM3782" s="245"/>
      <c r="AN3782" s="245"/>
      <c r="AO3782" s="238">
        <v>-6.97</v>
      </c>
      <c r="AP3782" s="238">
        <v>0.0</v>
      </c>
      <c r="AQ3782" s="235" t="s">
        <v>632</v>
      </c>
      <c r="AR3782" s="243">
        <v>3.71E11</v>
      </c>
      <c r="AS3782" s="235" t="s">
        <v>26892</v>
      </c>
      <c r="AT3782" s="235" t="s">
        <v>13</v>
      </c>
      <c r="AU3782" s="235" t="s">
        <v>634</v>
      </c>
      <c r="AV3782" s="246" t="s">
        <v>635</v>
      </c>
      <c r="AW3782" s="227"/>
      <c r="AX3782" s="227"/>
      <c r="AY3782" s="227"/>
      <c r="AZ3782" s="227"/>
      <c r="BA3782" s="227"/>
      <c r="BB3782" s="227"/>
      <c r="BC3782" s="227"/>
      <c r="BD3782" s="227"/>
      <c r="BE3782" s="227"/>
      <c r="BF3782" s="227"/>
    </row>
    <row r="3783">
      <c r="A3783" s="235" t="s">
        <v>28320</v>
      </c>
      <c r="C3783" s="235" t="s">
        <v>28321</v>
      </c>
      <c r="D3783" s="235" t="s">
        <v>28322</v>
      </c>
      <c r="E3783" s="243">
        <v>6.52E13</v>
      </c>
      <c r="F3783" s="245"/>
      <c r="G3783" s="235" t="s">
        <v>28323</v>
      </c>
      <c r="H3783" s="235" t="s">
        <v>28324</v>
      </c>
      <c r="I3783" s="235" t="s">
        <v>28324</v>
      </c>
      <c r="J3783" s="235" t="s">
        <v>28325</v>
      </c>
      <c r="K3783" s="235" t="s">
        <v>28326</v>
      </c>
      <c r="N3783" s="235" t="s">
        <v>139</v>
      </c>
      <c r="O3783" s="235" t="s">
        <v>2091</v>
      </c>
      <c r="P3783" s="238">
        <v>1.0</v>
      </c>
      <c r="Q3783" s="235" t="s">
        <v>627</v>
      </c>
      <c r="R3783" s="238">
        <v>233.33</v>
      </c>
      <c r="S3783" s="238">
        <v>11.44</v>
      </c>
      <c r="T3783" s="238">
        <v>0.0</v>
      </c>
      <c r="U3783" s="238">
        <v>0.0</v>
      </c>
      <c r="V3783" s="238">
        <v>0.0</v>
      </c>
      <c r="W3783" s="238">
        <v>0.0</v>
      </c>
      <c r="X3783" s="235" t="s">
        <v>628</v>
      </c>
      <c r="Z3783" s="245"/>
      <c r="AA3783" s="245"/>
      <c r="AB3783" s="245"/>
      <c r="AC3783" s="235" t="s">
        <v>2325</v>
      </c>
      <c r="AD3783" s="235" t="s">
        <v>645</v>
      </c>
      <c r="AE3783" s="238">
        <v>682032.0</v>
      </c>
      <c r="AF3783" s="235" t="s">
        <v>631</v>
      </c>
      <c r="AG3783" s="245"/>
      <c r="AH3783" s="245"/>
      <c r="AI3783" s="245"/>
      <c r="AJ3783" s="245"/>
      <c r="AK3783" s="245"/>
      <c r="AL3783" s="245"/>
      <c r="AM3783" s="245"/>
      <c r="AN3783" s="245"/>
      <c r="AO3783" s="238">
        <v>-4.67</v>
      </c>
      <c r="AP3783" s="238">
        <v>0.0</v>
      </c>
      <c r="AQ3783" s="235" t="s">
        <v>632</v>
      </c>
      <c r="AR3783" s="243">
        <v>3.71E11</v>
      </c>
      <c r="AS3783" s="235" t="s">
        <v>25098</v>
      </c>
      <c r="AT3783" s="235" t="s">
        <v>156</v>
      </c>
      <c r="AU3783" s="235" t="s">
        <v>634</v>
      </c>
      <c r="AV3783" s="246" t="s">
        <v>635</v>
      </c>
      <c r="AW3783" s="227"/>
      <c r="AX3783" s="227"/>
      <c r="AY3783" s="227"/>
      <c r="AZ3783" s="227"/>
      <c r="BA3783" s="227"/>
      <c r="BB3783" s="227"/>
      <c r="BC3783" s="227"/>
      <c r="BD3783" s="227"/>
      <c r="BE3783" s="227"/>
      <c r="BF3783" s="227"/>
    </row>
    <row r="3784">
      <c r="A3784" s="235" t="s">
        <v>28327</v>
      </c>
      <c r="C3784" s="235" t="s">
        <v>28328</v>
      </c>
      <c r="D3784" s="235" t="s">
        <v>28329</v>
      </c>
      <c r="E3784" s="243">
        <v>6.52E13</v>
      </c>
      <c r="F3784" s="245"/>
      <c r="G3784" s="235" t="s">
        <v>28330</v>
      </c>
      <c r="H3784" s="235" t="s">
        <v>28331</v>
      </c>
      <c r="I3784" s="235" t="s">
        <v>28331</v>
      </c>
      <c r="J3784" s="235" t="s">
        <v>28332</v>
      </c>
      <c r="K3784" s="235" t="s">
        <v>28333</v>
      </c>
      <c r="N3784" s="235" t="s">
        <v>962</v>
      </c>
      <c r="O3784" s="235" t="s">
        <v>963</v>
      </c>
      <c r="P3784" s="238">
        <v>1.0</v>
      </c>
      <c r="Q3784" s="235" t="s">
        <v>627</v>
      </c>
      <c r="R3784" s="238">
        <v>237.14</v>
      </c>
      <c r="S3784" s="238">
        <v>11.86</v>
      </c>
      <c r="T3784" s="238">
        <v>0.0</v>
      </c>
      <c r="U3784" s="238">
        <v>0.0</v>
      </c>
      <c r="V3784" s="238">
        <v>0.0</v>
      </c>
      <c r="W3784" s="238">
        <v>0.0</v>
      </c>
      <c r="X3784" s="235" t="s">
        <v>628</v>
      </c>
      <c r="Z3784" s="245"/>
      <c r="AA3784" s="245"/>
      <c r="AB3784" s="245"/>
      <c r="AC3784" s="235" t="s">
        <v>697</v>
      </c>
      <c r="AD3784" s="235" t="s">
        <v>698</v>
      </c>
      <c r="AE3784" s="238">
        <v>500089.0</v>
      </c>
      <c r="AF3784" s="235" t="s">
        <v>631</v>
      </c>
      <c r="AG3784" s="245"/>
      <c r="AH3784" s="245"/>
      <c r="AI3784" s="245"/>
      <c r="AJ3784" s="245"/>
      <c r="AK3784" s="245"/>
      <c r="AL3784" s="245"/>
      <c r="AM3784" s="245"/>
      <c r="AN3784" s="245"/>
      <c r="AO3784" s="238">
        <v>0.0</v>
      </c>
      <c r="AP3784" s="238">
        <v>0.0</v>
      </c>
      <c r="AQ3784" s="235" t="s">
        <v>632</v>
      </c>
      <c r="AR3784" s="243">
        <v>3.71E11</v>
      </c>
      <c r="AS3784" s="235" t="s">
        <v>25098</v>
      </c>
      <c r="AT3784" s="235" t="s">
        <v>11</v>
      </c>
      <c r="AU3784" s="235" t="s">
        <v>634</v>
      </c>
      <c r="AV3784" s="246" t="s">
        <v>635</v>
      </c>
      <c r="AW3784" s="227"/>
      <c r="AX3784" s="227"/>
      <c r="AY3784" s="227"/>
      <c r="AZ3784" s="227"/>
      <c r="BA3784" s="227"/>
      <c r="BB3784" s="227"/>
      <c r="BC3784" s="227"/>
      <c r="BD3784" s="227"/>
      <c r="BE3784" s="227"/>
      <c r="BF3784" s="227"/>
    </row>
    <row r="3785">
      <c r="A3785" s="235" t="s">
        <v>28334</v>
      </c>
      <c r="C3785" s="235" t="s">
        <v>28335</v>
      </c>
      <c r="D3785" s="235" t="s">
        <v>28336</v>
      </c>
      <c r="E3785" s="243">
        <v>6.52E13</v>
      </c>
      <c r="F3785" s="245"/>
      <c r="G3785" s="235" t="s">
        <v>28337</v>
      </c>
      <c r="H3785" s="235" t="s">
        <v>28338</v>
      </c>
      <c r="I3785" s="235" t="s">
        <v>28338</v>
      </c>
      <c r="J3785" s="235" t="s">
        <v>28339</v>
      </c>
      <c r="K3785" s="235" t="s">
        <v>28340</v>
      </c>
      <c r="N3785" s="235" t="s">
        <v>3564</v>
      </c>
      <c r="O3785" s="235" t="s">
        <v>3565</v>
      </c>
      <c r="P3785" s="238">
        <v>1.0</v>
      </c>
      <c r="Q3785" s="235" t="s">
        <v>627</v>
      </c>
      <c r="R3785" s="238">
        <v>380.51</v>
      </c>
      <c r="S3785" s="238">
        <v>66.44</v>
      </c>
      <c r="T3785" s="238">
        <v>0.0</v>
      </c>
      <c r="U3785" s="238">
        <v>0.0</v>
      </c>
      <c r="V3785" s="238">
        <v>0.0</v>
      </c>
      <c r="W3785" s="238">
        <v>0.0</v>
      </c>
      <c r="X3785" s="235" t="s">
        <v>628</v>
      </c>
      <c r="Z3785" s="245"/>
      <c r="AA3785" s="245"/>
      <c r="AB3785" s="245"/>
      <c r="AC3785" s="235" t="s">
        <v>1355</v>
      </c>
      <c r="AD3785" s="235" t="s">
        <v>833</v>
      </c>
      <c r="AE3785" s="238">
        <v>518006.0</v>
      </c>
      <c r="AF3785" s="235" t="s">
        <v>631</v>
      </c>
      <c r="AG3785" s="245"/>
      <c r="AH3785" s="245"/>
      <c r="AI3785" s="245"/>
      <c r="AJ3785" s="245"/>
      <c r="AK3785" s="245"/>
      <c r="AL3785" s="245"/>
      <c r="AM3785" s="245"/>
      <c r="AN3785" s="245"/>
      <c r="AO3785" s="238">
        <v>-11.42</v>
      </c>
      <c r="AP3785" s="238">
        <v>0.0</v>
      </c>
      <c r="AQ3785" s="235" t="s">
        <v>632</v>
      </c>
      <c r="AR3785" s="243">
        <v>3.71E11</v>
      </c>
      <c r="AS3785" s="235" t="s">
        <v>25098</v>
      </c>
      <c r="AT3785" s="235" t="s">
        <v>9</v>
      </c>
      <c r="AU3785" s="235" t="s">
        <v>634</v>
      </c>
      <c r="AV3785" s="246" t="s">
        <v>635</v>
      </c>
      <c r="AW3785" s="227"/>
      <c r="AX3785" s="227"/>
      <c r="AY3785" s="227"/>
      <c r="AZ3785" s="227"/>
      <c r="BA3785" s="227"/>
      <c r="BB3785" s="227"/>
      <c r="BC3785" s="227"/>
      <c r="BD3785" s="227"/>
      <c r="BE3785" s="227"/>
      <c r="BF3785" s="227"/>
    </row>
    <row r="3786">
      <c r="A3786" s="235" t="s">
        <v>28341</v>
      </c>
      <c r="C3786" s="235" t="s">
        <v>28342</v>
      </c>
      <c r="D3786" s="235" t="s">
        <v>28343</v>
      </c>
      <c r="E3786" s="243">
        <v>6.51E13</v>
      </c>
      <c r="F3786" s="245"/>
      <c r="G3786" s="235" t="s">
        <v>28344</v>
      </c>
      <c r="H3786" s="235" t="s">
        <v>28345</v>
      </c>
      <c r="I3786" s="235" t="s">
        <v>28345</v>
      </c>
      <c r="J3786" s="235" t="s">
        <v>28346</v>
      </c>
      <c r="K3786" s="235" t="s">
        <v>28347</v>
      </c>
      <c r="N3786" s="235" t="s">
        <v>566</v>
      </c>
      <c r="O3786" s="235" t="s">
        <v>13068</v>
      </c>
      <c r="P3786" s="238">
        <v>1.0</v>
      </c>
      <c r="Q3786" s="235" t="s">
        <v>627</v>
      </c>
      <c r="R3786" s="238">
        <v>405.93</v>
      </c>
      <c r="S3786" s="238">
        <v>73.07</v>
      </c>
      <c r="T3786" s="238">
        <v>0.0</v>
      </c>
      <c r="U3786" s="238">
        <v>0.0</v>
      </c>
      <c r="V3786" s="238">
        <v>0.0</v>
      </c>
      <c r="W3786" s="238">
        <v>0.0</v>
      </c>
      <c r="X3786" s="235" t="s">
        <v>628</v>
      </c>
      <c r="Z3786" s="245"/>
      <c r="AA3786" s="245"/>
      <c r="AB3786" s="245"/>
      <c r="AC3786" s="235" t="s">
        <v>8281</v>
      </c>
      <c r="AD3786" s="235" t="s">
        <v>845</v>
      </c>
      <c r="AE3786" s="238">
        <v>411028.0</v>
      </c>
      <c r="AF3786" s="235" t="s">
        <v>631</v>
      </c>
      <c r="AG3786" s="245"/>
      <c r="AH3786" s="245"/>
      <c r="AI3786" s="245"/>
      <c r="AJ3786" s="245"/>
      <c r="AK3786" s="245"/>
      <c r="AL3786" s="245"/>
      <c r="AM3786" s="245"/>
      <c r="AN3786" s="245"/>
      <c r="AO3786" s="238">
        <v>0.0</v>
      </c>
      <c r="AP3786" s="238">
        <v>0.0</v>
      </c>
      <c r="AQ3786" s="235" t="s">
        <v>632</v>
      </c>
      <c r="AR3786" s="243">
        <v>3.71E11</v>
      </c>
      <c r="AS3786" s="235" t="s">
        <v>23542</v>
      </c>
      <c r="AT3786" s="235" t="s">
        <v>11</v>
      </c>
      <c r="AU3786" s="235" t="s">
        <v>634</v>
      </c>
      <c r="AV3786" s="246" t="s">
        <v>635</v>
      </c>
      <c r="AW3786" s="227"/>
      <c r="AX3786" s="227"/>
      <c r="AY3786" s="227"/>
      <c r="AZ3786" s="227"/>
      <c r="BA3786" s="227"/>
      <c r="BB3786" s="227"/>
      <c r="BC3786" s="227"/>
      <c r="BD3786" s="227"/>
      <c r="BE3786" s="227"/>
      <c r="BF3786" s="227"/>
    </row>
    <row r="3787">
      <c r="A3787" s="235" t="s">
        <v>28348</v>
      </c>
      <c r="C3787" s="235" t="s">
        <v>28349</v>
      </c>
      <c r="D3787" s="235" t="s">
        <v>28350</v>
      </c>
      <c r="E3787" s="243">
        <v>6.52E13</v>
      </c>
      <c r="F3787" s="245"/>
      <c r="G3787" s="235" t="s">
        <v>28351</v>
      </c>
      <c r="H3787" s="235" t="s">
        <v>28352</v>
      </c>
      <c r="I3787" s="235" t="s">
        <v>28352</v>
      </c>
      <c r="J3787" s="235" t="s">
        <v>28353</v>
      </c>
      <c r="K3787" s="235" t="s">
        <v>28354</v>
      </c>
      <c r="N3787" s="235" t="s">
        <v>2964</v>
      </c>
      <c r="O3787" s="235" t="s">
        <v>2965</v>
      </c>
      <c r="P3787" s="238">
        <v>1.0</v>
      </c>
      <c r="Q3787" s="235" t="s">
        <v>627</v>
      </c>
      <c r="R3787" s="238">
        <v>237.14</v>
      </c>
      <c r="S3787" s="238">
        <v>11.86</v>
      </c>
      <c r="T3787" s="238">
        <v>0.0</v>
      </c>
      <c r="U3787" s="238">
        <v>0.0</v>
      </c>
      <c r="V3787" s="238">
        <v>0.0</v>
      </c>
      <c r="W3787" s="238">
        <v>0.0</v>
      </c>
      <c r="X3787" s="235" t="s">
        <v>628</v>
      </c>
      <c r="Z3787" s="245"/>
      <c r="AA3787" s="245"/>
      <c r="AB3787" s="245"/>
      <c r="AC3787" s="235" t="s">
        <v>785</v>
      </c>
      <c r="AD3787" s="235" t="s">
        <v>630</v>
      </c>
      <c r="AE3787" s="238">
        <v>201005.0</v>
      </c>
      <c r="AF3787" s="235" t="s">
        <v>631</v>
      </c>
      <c r="AG3787" s="245"/>
      <c r="AH3787" s="245"/>
      <c r="AI3787" s="245"/>
      <c r="AJ3787" s="245"/>
      <c r="AK3787" s="245"/>
      <c r="AL3787" s="245"/>
      <c r="AM3787" s="245"/>
      <c r="AN3787" s="245"/>
      <c r="AO3787" s="238">
        <v>0.0</v>
      </c>
      <c r="AP3787" s="238">
        <v>0.0</v>
      </c>
      <c r="AQ3787" s="235" t="s">
        <v>632</v>
      </c>
      <c r="AR3787" s="243">
        <v>3.71E11</v>
      </c>
      <c r="AS3787" s="235" t="s">
        <v>26892</v>
      </c>
      <c r="AT3787" s="235" t="s">
        <v>533</v>
      </c>
      <c r="AU3787" s="235" t="s">
        <v>634</v>
      </c>
      <c r="AV3787" s="246" t="s">
        <v>635</v>
      </c>
      <c r="AW3787" s="227"/>
      <c r="AX3787" s="227"/>
      <c r="AY3787" s="227"/>
      <c r="AZ3787" s="227"/>
      <c r="BA3787" s="227"/>
      <c r="BB3787" s="227"/>
      <c r="BC3787" s="227"/>
      <c r="BD3787" s="227"/>
      <c r="BE3787" s="227"/>
      <c r="BF3787" s="227"/>
    </row>
    <row r="3788">
      <c r="A3788" s="235" t="s">
        <v>28355</v>
      </c>
      <c r="C3788" s="235" t="s">
        <v>28356</v>
      </c>
      <c r="D3788" s="235" t="s">
        <v>28357</v>
      </c>
      <c r="E3788" s="243">
        <v>6.51E13</v>
      </c>
      <c r="F3788" s="245"/>
      <c r="G3788" s="235" t="s">
        <v>28358</v>
      </c>
      <c r="H3788" s="235" t="s">
        <v>28359</v>
      </c>
      <c r="I3788" s="235" t="s">
        <v>28359</v>
      </c>
      <c r="J3788" s="235" t="s">
        <v>28360</v>
      </c>
      <c r="K3788" s="235" t="s">
        <v>28361</v>
      </c>
      <c r="N3788" s="235" t="s">
        <v>42</v>
      </c>
      <c r="O3788" s="235" t="s">
        <v>204</v>
      </c>
      <c r="P3788" s="238">
        <v>1.0</v>
      </c>
      <c r="Q3788" s="235" t="s">
        <v>627</v>
      </c>
      <c r="R3788" s="238">
        <v>236.19</v>
      </c>
      <c r="S3788" s="238">
        <v>11.46</v>
      </c>
      <c r="T3788" s="238">
        <v>0.0</v>
      </c>
      <c r="U3788" s="238">
        <v>0.0</v>
      </c>
      <c r="V3788" s="238">
        <v>0.0</v>
      </c>
      <c r="W3788" s="238">
        <v>0.0</v>
      </c>
      <c r="X3788" s="235" t="s">
        <v>628</v>
      </c>
      <c r="Z3788" s="245"/>
      <c r="AA3788" s="245"/>
      <c r="AB3788" s="245"/>
      <c r="AC3788" s="235" t="s">
        <v>697</v>
      </c>
      <c r="AD3788" s="235" t="s">
        <v>698</v>
      </c>
      <c r="AE3788" s="238">
        <v>500068.0</v>
      </c>
      <c r="AF3788" s="235" t="s">
        <v>631</v>
      </c>
      <c r="AG3788" s="245"/>
      <c r="AH3788" s="245"/>
      <c r="AI3788" s="245"/>
      <c r="AJ3788" s="245"/>
      <c r="AK3788" s="245"/>
      <c r="AL3788" s="245"/>
      <c r="AM3788" s="245"/>
      <c r="AN3788" s="245"/>
      <c r="AO3788" s="238">
        <v>-7.09</v>
      </c>
      <c r="AP3788" s="238">
        <v>0.0</v>
      </c>
      <c r="AQ3788" s="235" t="s">
        <v>632</v>
      </c>
      <c r="AR3788" s="243">
        <v>3.71E11</v>
      </c>
      <c r="AS3788" s="235" t="s">
        <v>25098</v>
      </c>
      <c r="AT3788" s="235" t="s">
        <v>17</v>
      </c>
      <c r="AU3788" s="235" t="s">
        <v>634</v>
      </c>
      <c r="AV3788" s="246" t="s">
        <v>635</v>
      </c>
      <c r="AW3788" s="227"/>
      <c r="AX3788" s="227"/>
      <c r="AY3788" s="227"/>
      <c r="AZ3788" s="227"/>
      <c r="BA3788" s="227"/>
      <c r="BB3788" s="227"/>
      <c r="BC3788" s="227"/>
      <c r="BD3788" s="227"/>
      <c r="BE3788" s="227"/>
      <c r="BF3788" s="227"/>
    </row>
    <row r="3789">
      <c r="A3789" s="235" t="s">
        <v>28362</v>
      </c>
      <c r="C3789" s="235" t="s">
        <v>28363</v>
      </c>
      <c r="D3789" s="235" t="s">
        <v>28364</v>
      </c>
      <c r="E3789" s="243">
        <v>6.52E13</v>
      </c>
      <c r="F3789" s="245"/>
      <c r="G3789" s="235" t="s">
        <v>28365</v>
      </c>
      <c r="H3789" s="235" t="s">
        <v>28366</v>
      </c>
      <c r="I3789" s="235" t="s">
        <v>28366</v>
      </c>
      <c r="J3789" s="235" t="s">
        <v>28367</v>
      </c>
      <c r="K3789" s="235" t="s">
        <v>28368</v>
      </c>
      <c r="N3789" s="235" t="s">
        <v>43</v>
      </c>
      <c r="O3789" s="235" t="s">
        <v>276</v>
      </c>
      <c r="P3789" s="238">
        <v>1.0</v>
      </c>
      <c r="Q3789" s="235" t="s">
        <v>627</v>
      </c>
      <c r="R3789" s="238">
        <v>233.34</v>
      </c>
      <c r="S3789" s="238">
        <v>11.66</v>
      </c>
      <c r="T3789" s="238">
        <v>0.0</v>
      </c>
      <c r="U3789" s="238">
        <v>0.0</v>
      </c>
      <c r="V3789" s="238">
        <v>0.0</v>
      </c>
      <c r="W3789" s="238">
        <v>0.0</v>
      </c>
      <c r="X3789" s="235" t="s">
        <v>628</v>
      </c>
      <c r="Z3789" s="245"/>
      <c r="AA3789" s="245"/>
      <c r="AB3789" s="245"/>
      <c r="AC3789" s="235" t="s">
        <v>8056</v>
      </c>
      <c r="AD3789" s="235" t="s">
        <v>666</v>
      </c>
      <c r="AE3789" s="238">
        <v>638004.0</v>
      </c>
      <c r="AF3789" s="235" t="s">
        <v>631</v>
      </c>
      <c r="AG3789" s="245"/>
      <c r="AH3789" s="245"/>
      <c r="AI3789" s="245"/>
      <c r="AJ3789" s="245"/>
      <c r="AK3789" s="245"/>
      <c r="AL3789" s="245"/>
      <c r="AM3789" s="245"/>
      <c r="AN3789" s="245"/>
      <c r="AO3789" s="238">
        <v>0.0</v>
      </c>
      <c r="AP3789" s="238">
        <v>0.0</v>
      </c>
      <c r="AQ3789" s="235" t="s">
        <v>632</v>
      </c>
      <c r="AR3789" s="243">
        <v>3.71E11</v>
      </c>
      <c r="AS3789" s="235" t="s">
        <v>26892</v>
      </c>
      <c r="AT3789" s="235" t="s">
        <v>155</v>
      </c>
      <c r="AU3789" s="235" t="s">
        <v>634</v>
      </c>
      <c r="AV3789" s="246" t="s">
        <v>635</v>
      </c>
      <c r="AW3789" s="227"/>
      <c r="AX3789" s="227"/>
      <c r="AY3789" s="227"/>
      <c r="AZ3789" s="227"/>
      <c r="BA3789" s="227"/>
      <c r="BB3789" s="227"/>
      <c r="BC3789" s="227"/>
      <c r="BD3789" s="227"/>
      <c r="BE3789" s="227"/>
      <c r="BF3789" s="227"/>
    </row>
    <row r="3790">
      <c r="A3790" s="235" t="s">
        <v>28369</v>
      </c>
      <c r="C3790" s="235" t="s">
        <v>28370</v>
      </c>
      <c r="D3790" s="235" t="s">
        <v>28371</v>
      </c>
      <c r="E3790" s="243">
        <v>6.51E13</v>
      </c>
      <c r="F3790" s="245"/>
      <c r="G3790" s="235" t="s">
        <v>28372</v>
      </c>
      <c r="H3790" s="235" t="s">
        <v>28373</v>
      </c>
      <c r="I3790" s="235" t="s">
        <v>28373</v>
      </c>
      <c r="J3790" s="235" t="s">
        <v>28374</v>
      </c>
      <c r="K3790" s="235" t="s">
        <v>28375</v>
      </c>
      <c r="N3790" s="235" t="s">
        <v>82</v>
      </c>
      <c r="O3790" s="235" t="s">
        <v>889</v>
      </c>
      <c r="P3790" s="238">
        <v>1.0</v>
      </c>
      <c r="Q3790" s="235" t="s">
        <v>627</v>
      </c>
      <c r="R3790" s="238">
        <v>246.67</v>
      </c>
      <c r="S3790" s="238">
        <v>12.33</v>
      </c>
      <c r="T3790" s="238">
        <v>0.0</v>
      </c>
      <c r="U3790" s="238">
        <v>0.0</v>
      </c>
      <c r="V3790" s="238">
        <v>0.0</v>
      </c>
      <c r="W3790" s="238">
        <v>0.0</v>
      </c>
      <c r="X3790" s="235" t="s">
        <v>628</v>
      </c>
      <c r="Z3790" s="245"/>
      <c r="AA3790" s="245"/>
      <c r="AB3790" s="245"/>
      <c r="AC3790" s="235" t="s">
        <v>907</v>
      </c>
      <c r="AD3790" s="235" t="s">
        <v>908</v>
      </c>
      <c r="AE3790" s="238">
        <v>248001.0</v>
      </c>
      <c r="AF3790" s="235" t="s">
        <v>631</v>
      </c>
      <c r="AG3790" s="245"/>
      <c r="AH3790" s="245"/>
      <c r="AI3790" s="245"/>
      <c r="AJ3790" s="245"/>
      <c r="AK3790" s="245"/>
      <c r="AL3790" s="245"/>
      <c r="AM3790" s="245"/>
      <c r="AN3790" s="245"/>
      <c r="AO3790" s="238">
        <v>0.0</v>
      </c>
      <c r="AP3790" s="238">
        <v>0.0</v>
      </c>
      <c r="AQ3790" s="235" t="s">
        <v>632</v>
      </c>
      <c r="AR3790" s="243">
        <v>1.68E11</v>
      </c>
      <c r="AS3790" s="235" t="s">
        <v>26892</v>
      </c>
      <c r="AT3790" s="235" t="s">
        <v>14</v>
      </c>
      <c r="AU3790" s="235" t="s">
        <v>634</v>
      </c>
      <c r="AV3790" s="246" t="s">
        <v>635</v>
      </c>
      <c r="AW3790" s="227"/>
      <c r="AX3790" s="227"/>
      <c r="AY3790" s="227"/>
      <c r="AZ3790" s="227"/>
      <c r="BA3790" s="227"/>
      <c r="BB3790" s="227"/>
      <c r="BC3790" s="227"/>
      <c r="BD3790" s="227"/>
      <c r="BE3790" s="227"/>
      <c r="BF3790" s="227"/>
    </row>
    <row r="3791">
      <c r="A3791" s="235" t="s">
        <v>28376</v>
      </c>
      <c r="C3791" s="235" t="s">
        <v>28377</v>
      </c>
      <c r="D3791" s="235" t="s">
        <v>28378</v>
      </c>
      <c r="E3791" s="243">
        <v>6.52E13</v>
      </c>
      <c r="F3791" s="245"/>
      <c r="G3791" s="235" t="s">
        <v>28379</v>
      </c>
      <c r="H3791" s="235" t="s">
        <v>28380</v>
      </c>
      <c r="I3791" s="235" t="s">
        <v>28381</v>
      </c>
      <c r="J3791" s="235" t="s">
        <v>28382</v>
      </c>
      <c r="K3791" s="235" t="s">
        <v>28383</v>
      </c>
      <c r="N3791" s="235" t="s">
        <v>127</v>
      </c>
      <c r="O3791" s="235" t="s">
        <v>794</v>
      </c>
      <c r="P3791" s="238">
        <v>1.0</v>
      </c>
      <c r="Q3791" s="235" t="s">
        <v>627</v>
      </c>
      <c r="R3791" s="238">
        <v>236.19</v>
      </c>
      <c r="S3791" s="238">
        <v>11.46</v>
      </c>
      <c r="T3791" s="238">
        <v>0.0</v>
      </c>
      <c r="U3791" s="238">
        <v>0.0</v>
      </c>
      <c r="V3791" s="238">
        <v>0.0</v>
      </c>
      <c r="W3791" s="238">
        <v>0.0</v>
      </c>
      <c r="X3791" s="235" t="s">
        <v>628</v>
      </c>
      <c r="Z3791" s="245"/>
      <c r="AA3791" s="245"/>
      <c r="AB3791" s="245"/>
      <c r="AC3791" s="235" t="s">
        <v>24684</v>
      </c>
      <c r="AD3791" s="235" t="s">
        <v>709</v>
      </c>
      <c r="AE3791" s="238">
        <v>854326.0</v>
      </c>
      <c r="AF3791" s="235" t="s">
        <v>631</v>
      </c>
      <c r="AG3791" s="245"/>
      <c r="AH3791" s="245"/>
      <c r="AI3791" s="245"/>
      <c r="AJ3791" s="245"/>
      <c r="AK3791" s="245"/>
      <c r="AL3791" s="245"/>
      <c r="AM3791" s="245"/>
      <c r="AN3791" s="245"/>
      <c r="AO3791" s="238">
        <v>-7.09</v>
      </c>
      <c r="AP3791" s="238">
        <v>0.0</v>
      </c>
      <c r="AQ3791" s="235" t="s">
        <v>632</v>
      </c>
      <c r="AR3791" s="243">
        <v>2.02E11</v>
      </c>
      <c r="AS3791" s="235" t="s">
        <v>25098</v>
      </c>
      <c r="AT3791" s="235" t="s">
        <v>11</v>
      </c>
      <c r="AU3791" s="235" t="s">
        <v>634</v>
      </c>
      <c r="AV3791" s="246" t="s">
        <v>635</v>
      </c>
      <c r="AW3791" s="227"/>
      <c r="AX3791" s="227"/>
      <c r="AY3791" s="227"/>
      <c r="AZ3791" s="227"/>
      <c r="BA3791" s="227"/>
      <c r="BB3791" s="227"/>
      <c r="BC3791" s="227"/>
      <c r="BD3791" s="227"/>
      <c r="BE3791" s="227"/>
      <c r="BF3791" s="227"/>
    </row>
    <row r="3792">
      <c r="A3792" s="235" t="s">
        <v>28384</v>
      </c>
      <c r="C3792" s="235" t="s">
        <v>28385</v>
      </c>
      <c r="D3792" s="235" t="s">
        <v>28386</v>
      </c>
      <c r="E3792" s="243">
        <v>6.52E13</v>
      </c>
      <c r="F3792" s="245"/>
      <c r="G3792" s="235" t="s">
        <v>28387</v>
      </c>
      <c r="H3792" s="235" t="s">
        <v>28388</v>
      </c>
      <c r="I3792" s="235" t="s">
        <v>28388</v>
      </c>
      <c r="J3792" s="235" t="s">
        <v>28389</v>
      </c>
      <c r="K3792" s="235" t="s">
        <v>28390</v>
      </c>
      <c r="N3792" s="235" t="s">
        <v>154</v>
      </c>
      <c r="O3792" s="235" t="s">
        <v>766</v>
      </c>
      <c r="P3792" s="238">
        <v>1.0</v>
      </c>
      <c r="Q3792" s="235" t="s">
        <v>627</v>
      </c>
      <c r="R3792" s="238">
        <v>423.81</v>
      </c>
      <c r="S3792" s="238">
        <v>20.55</v>
      </c>
      <c r="T3792" s="238">
        <v>0.0</v>
      </c>
      <c r="U3792" s="238">
        <v>0.0</v>
      </c>
      <c r="V3792" s="238">
        <v>0.0</v>
      </c>
      <c r="W3792" s="238">
        <v>0.0</v>
      </c>
      <c r="X3792" s="235" t="s">
        <v>628</v>
      </c>
      <c r="Z3792" s="245"/>
      <c r="AA3792" s="245"/>
      <c r="AB3792" s="245"/>
      <c r="AC3792" s="235" t="s">
        <v>1466</v>
      </c>
      <c r="AD3792" s="235" t="s">
        <v>630</v>
      </c>
      <c r="AE3792" s="238">
        <v>229001.0</v>
      </c>
      <c r="AF3792" s="235" t="s">
        <v>631</v>
      </c>
      <c r="AG3792" s="245"/>
      <c r="AH3792" s="245"/>
      <c r="AI3792" s="245"/>
      <c r="AJ3792" s="245"/>
      <c r="AK3792" s="245"/>
      <c r="AL3792" s="245"/>
      <c r="AM3792" s="245"/>
      <c r="AN3792" s="245"/>
      <c r="AO3792" s="238">
        <v>-12.71</v>
      </c>
      <c r="AP3792" s="238">
        <v>0.0</v>
      </c>
      <c r="AQ3792" s="235" t="s">
        <v>632</v>
      </c>
      <c r="AR3792" s="243">
        <v>3.71E11</v>
      </c>
      <c r="AS3792" s="235" t="s">
        <v>23542</v>
      </c>
      <c r="AT3792" s="235" t="s">
        <v>533</v>
      </c>
      <c r="AU3792" s="235" t="s">
        <v>634</v>
      </c>
      <c r="AV3792" s="246" t="s">
        <v>635</v>
      </c>
      <c r="AW3792" s="227"/>
      <c r="AX3792" s="227"/>
      <c r="AY3792" s="227"/>
      <c r="AZ3792" s="227"/>
      <c r="BA3792" s="227"/>
      <c r="BB3792" s="227"/>
      <c r="BC3792" s="227"/>
      <c r="BD3792" s="227"/>
      <c r="BE3792" s="227"/>
      <c r="BF3792" s="227"/>
    </row>
    <row r="3793">
      <c r="A3793" s="235" t="s">
        <v>28391</v>
      </c>
      <c r="C3793" s="235" t="s">
        <v>28392</v>
      </c>
      <c r="D3793" s="235" t="s">
        <v>28393</v>
      </c>
      <c r="E3793" s="243">
        <v>6.52E13</v>
      </c>
      <c r="F3793" s="245"/>
      <c r="G3793" s="235" t="s">
        <v>28394</v>
      </c>
      <c r="H3793" s="235" t="s">
        <v>28395</v>
      </c>
      <c r="I3793" s="235" t="s">
        <v>28395</v>
      </c>
      <c r="J3793" s="235" t="s">
        <v>28396</v>
      </c>
      <c r="K3793" s="235" t="s">
        <v>28397</v>
      </c>
      <c r="N3793" s="235" t="s">
        <v>141</v>
      </c>
      <c r="O3793" s="235" t="s">
        <v>342</v>
      </c>
      <c r="P3793" s="238">
        <v>1.0</v>
      </c>
      <c r="Q3793" s="235" t="s">
        <v>627</v>
      </c>
      <c r="R3793" s="238">
        <v>233.34</v>
      </c>
      <c r="S3793" s="238">
        <v>11.66</v>
      </c>
      <c r="T3793" s="238">
        <v>0.0</v>
      </c>
      <c r="U3793" s="238">
        <v>0.0</v>
      </c>
      <c r="V3793" s="238">
        <v>0.0</v>
      </c>
      <c r="W3793" s="238">
        <v>0.0</v>
      </c>
      <c r="X3793" s="235" t="s">
        <v>628</v>
      </c>
      <c r="Z3793" s="245"/>
      <c r="AA3793" s="245"/>
      <c r="AB3793" s="245"/>
      <c r="AC3793" s="235" t="s">
        <v>2341</v>
      </c>
      <c r="AD3793" s="235" t="s">
        <v>928</v>
      </c>
      <c r="AE3793" s="238">
        <v>122102.0</v>
      </c>
      <c r="AF3793" s="235" t="s">
        <v>631</v>
      </c>
      <c r="AG3793" s="245"/>
      <c r="AH3793" s="245"/>
      <c r="AI3793" s="245"/>
      <c r="AJ3793" s="245"/>
      <c r="AK3793" s="245"/>
      <c r="AL3793" s="245"/>
      <c r="AM3793" s="245"/>
      <c r="AN3793" s="245"/>
      <c r="AO3793" s="238">
        <v>0.0</v>
      </c>
      <c r="AP3793" s="238">
        <v>0.0</v>
      </c>
      <c r="AQ3793" s="235" t="s">
        <v>632</v>
      </c>
      <c r="AR3793" s="243">
        <v>3.71E11</v>
      </c>
      <c r="AS3793" s="235" t="s">
        <v>26892</v>
      </c>
      <c r="AT3793" s="235" t="s">
        <v>533</v>
      </c>
      <c r="AU3793" s="235" t="s">
        <v>634</v>
      </c>
      <c r="AV3793" s="246" t="s">
        <v>635</v>
      </c>
      <c r="AW3793" s="227"/>
      <c r="AX3793" s="227"/>
      <c r="AY3793" s="227"/>
      <c r="AZ3793" s="227"/>
      <c r="BA3793" s="227"/>
      <c r="BB3793" s="227"/>
      <c r="BC3793" s="227"/>
      <c r="BD3793" s="227"/>
      <c r="BE3793" s="227"/>
      <c r="BF3793" s="227"/>
    </row>
    <row r="3794">
      <c r="A3794" s="235" t="s">
        <v>28398</v>
      </c>
      <c r="C3794" s="235" t="s">
        <v>28399</v>
      </c>
      <c r="D3794" s="235" t="s">
        <v>28400</v>
      </c>
      <c r="E3794" s="243">
        <v>6.51E13</v>
      </c>
      <c r="F3794" s="245"/>
      <c r="G3794" s="235" t="s">
        <v>28401</v>
      </c>
      <c r="H3794" s="235" t="s">
        <v>28402</v>
      </c>
      <c r="I3794" s="235" t="s">
        <v>28402</v>
      </c>
      <c r="J3794" s="235" t="s">
        <v>28403</v>
      </c>
      <c r="K3794" s="235" t="s">
        <v>28404</v>
      </c>
      <c r="N3794" s="235" t="s">
        <v>15</v>
      </c>
      <c r="O3794" s="235" t="s">
        <v>856</v>
      </c>
      <c r="P3794" s="238">
        <v>1.0</v>
      </c>
      <c r="Q3794" s="235" t="s">
        <v>627</v>
      </c>
      <c r="R3794" s="238">
        <v>360.95</v>
      </c>
      <c r="S3794" s="238">
        <v>18.05</v>
      </c>
      <c r="T3794" s="238">
        <v>38.1</v>
      </c>
      <c r="U3794" s="238">
        <v>1.9</v>
      </c>
      <c r="V3794" s="238">
        <v>0.0</v>
      </c>
      <c r="W3794" s="238">
        <v>0.0</v>
      </c>
      <c r="X3794" s="235" t="s">
        <v>628</v>
      </c>
      <c r="Z3794" s="245"/>
      <c r="AA3794" s="245"/>
      <c r="AB3794" s="245"/>
      <c r="AC3794" s="235" t="s">
        <v>28405</v>
      </c>
      <c r="AD3794" s="235" t="s">
        <v>666</v>
      </c>
      <c r="AE3794" s="238">
        <v>627657.0</v>
      </c>
      <c r="AF3794" s="235" t="s">
        <v>631</v>
      </c>
      <c r="AG3794" s="245"/>
      <c r="AH3794" s="245"/>
      <c r="AI3794" s="245"/>
      <c r="AJ3794" s="245"/>
      <c r="AK3794" s="245"/>
      <c r="AL3794" s="245"/>
      <c r="AM3794" s="245"/>
      <c r="AN3794" s="245"/>
      <c r="AO3794" s="238">
        <v>0.0</v>
      </c>
      <c r="AP3794" s="238">
        <v>-38.1</v>
      </c>
      <c r="AQ3794" s="235" t="s">
        <v>632</v>
      </c>
      <c r="AR3794" s="243">
        <v>3.71E11</v>
      </c>
      <c r="AS3794" s="235" t="s">
        <v>23542</v>
      </c>
      <c r="AT3794" s="235" t="s">
        <v>9</v>
      </c>
      <c r="AU3794" s="235" t="s">
        <v>634</v>
      </c>
      <c r="AV3794" s="246" t="s">
        <v>635</v>
      </c>
      <c r="AW3794" s="227"/>
      <c r="AX3794" s="227"/>
      <c r="AY3794" s="227"/>
      <c r="AZ3794" s="227"/>
      <c r="BA3794" s="227"/>
      <c r="BB3794" s="227"/>
      <c r="BC3794" s="227"/>
      <c r="BD3794" s="227"/>
      <c r="BE3794" s="227"/>
      <c r="BF3794" s="227"/>
    </row>
    <row r="3795">
      <c r="A3795" s="235" t="s">
        <v>28406</v>
      </c>
      <c r="C3795" s="235" t="s">
        <v>28407</v>
      </c>
      <c r="D3795" s="235" t="s">
        <v>28408</v>
      </c>
      <c r="E3795" s="243">
        <v>6.52E13</v>
      </c>
      <c r="F3795" s="245"/>
      <c r="G3795" s="235" t="s">
        <v>28409</v>
      </c>
      <c r="H3795" s="235" t="s">
        <v>28410</v>
      </c>
      <c r="I3795" s="235" t="s">
        <v>28410</v>
      </c>
      <c r="J3795" s="235" t="s">
        <v>28411</v>
      </c>
      <c r="K3795" s="235" t="s">
        <v>28412</v>
      </c>
      <c r="N3795" s="235" t="s">
        <v>85</v>
      </c>
      <c r="O3795" s="235" t="s">
        <v>872</v>
      </c>
      <c r="P3795" s="238">
        <v>1.0</v>
      </c>
      <c r="Q3795" s="235" t="s">
        <v>627</v>
      </c>
      <c r="R3795" s="238">
        <v>232.38</v>
      </c>
      <c r="S3795" s="238">
        <v>11.27</v>
      </c>
      <c r="T3795" s="238">
        <v>0.0</v>
      </c>
      <c r="U3795" s="238">
        <v>0.0</v>
      </c>
      <c r="V3795" s="238">
        <v>0.0</v>
      </c>
      <c r="W3795" s="238">
        <v>0.0</v>
      </c>
      <c r="X3795" s="235" t="s">
        <v>628</v>
      </c>
      <c r="Z3795" s="245"/>
      <c r="AA3795" s="245"/>
      <c r="AB3795" s="245"/>
      <c r="AC3795" s="235" t="s">
        <v>1514</v>
      </c>
      <c r="AD3795" s="235" t="s">
        <v>1077</v>
      </c>
      <c r="AE3795" s="238">
        <v>380054.0</v>
      </c>
      <c r="AF3795" s="235" t="s">
        <v>631</v>
      </c>
      <c r="AG3795" s="245"/>
      <c r="AH3795" s="245"/>
      <c r="AI3795" s="245"/>
      <c r="AJ3795" s="245"/>
      <c r="AK3795" s="245"/>
      <c r="AL3795" s="245"/>
      <c r="AM3795" s="245"/>
      <c r="AN3795" s="245"/>
      <c r="AO3795" s="238">
        <v>-6.97</v>
      </c>
      <c r="AP3795" s="238">
        <v>0.0</v>
      </c>
      <c r="AQ3795" s="235" t="s">
        <v>632</v>
      </c>
      <c r="AR3795" s="243">
        <v>2.02E11</v>
      </c>
      <c r="AS3795" s="235" t="s">
        <v>26892</v>
      </c>
      <c r="AT3795" s="235" t="s">
        <v>16</v>
      </c>
      <c r="AU3795" s="235" t="s">
        <v>634</v>
      </c>
      <c r="AV3795" s="246" t="s">
        <v>635</v>
      </c>
      <c r="AW3795" s="227"/>
      <c r="AX3795" s="227"/>
      <c r="AY3795" s="227"/>
      <c r="AZ3795" s="227"/>
      <c r="BA3795" s="227"/>
      <c r="BB3795" s="227"/>
      <c r="BC3795" s="227"/>
      <c r="BD3795" s="227"/>
      <c r="BE3795" s="227"/>
      <c r="BF3795" s="227"/>
    </row>
    <row r="3796">
      <c r="A3796" s="235" t="s">
        <v>28413</v>
      </c>
      <c r="C3796" s="235" t="s">
        <v>28414</v>
      </c>
      <c r="D3796" s="235" t="s">
        <v>28415</v>
      </c>
      <c r="E3796" s="243">
        <v>6.51E13</v>
      </c>
      <c r="F3796" s="245"/>
      <c r="G3796" s="235" t="s">
        <v>28416</v>
      </c>
      <c r="H3796" s="235" t="s">
        <v>28410</v>
      </c>
      <c r="I3796" s="235" t="s">
        <v>28410</v>
      </c>
      <c r="J3796" s="235" t="s">
        <v>28411</v>
      </c>
      <c r="K3796" s="235" t="s">
        <v>28417</v>
      </c>
      <c r="N3796" s="235" t="s">
        <v>130</v>
      </c>
      <c r="O3796" s="235" t="s">
        <v>707</v>
      </c>
      <c r="P3796" s="238">
        <v>1.0</v>
      </c>
      <c r="Q3796" s="235" t="s">
        <v>627</v>
      </c>
      <c r="R3796" s="238">
        <v>232.38</v>
      </c>
      <c r="S3796" s="238">
        <v>11.62</v>
      </c>
      <c r="T3796" s="238">
        <v>0.0</v>
      </c>
      <c r="U3796" s="238">
        <v>0.0</v>
      </c>
      <c r="V3796" s="238">
        <v>0.0</v>
      </c>
      <c r="W3796" s="238">
        <v>0.0</v>
      </c>
      <c r="X3796" s="235" t="s">
        <v>628</v>
      </c>
      <c r="Z3796" s="245"/>
      <c r="AA3796" s="245"/>
      <c r="AB3796" s="245"/>
      <c r="AC3796" s="235" t="s">
        <v>749</v>
      </c>
      <c r="AD3796" s="235" t="s">
        <v>630</v>
      </c>
      <c r="AE3796" s="238">
        <v>201318.0</v>
      </c>
      <c r="AF3796" s="235" t="s">
        <v>631</v>
      </c>
      <c r="AG3796" s="245"/>
      <c r="AH3796" s="245"/>
      <c r="AI3796" s="245"/>
      <c r="AJ3796" s="245"/>
      <c r="AK3796" s="245"/>
      <c r="AL3796" s="245"/>
      <c r="AM3796" s="245"/>
      <c r="AN3796" s="245"/>
      <c r="AO3796" s="238">
        <v>0.0</v>
      </c>
      <c r="AP3796" s="238">
        <v>0.0</v>
      </c>
      <c r="AQ3796" s="235" t="s">
        <v>632</v>
      </c>
      <c r="AR3796" s="243">
        <v>3.71E11</v>
      </c>
      <c r="AS3796" s="235" t="s">
        <v>26892</v>
      </c>
      <c r="AT3796" s="235" t="s">
        <v>14</v>
      </c>
      <c r="AU3796" s="235" t="s">
        <v>634</v>
      </c>
      <c r="AV3796" s="246" t="s">
        <v>635</v>
      </c>
      <c r="AW3796" s="227"/>
      <c r="AX3796" s="227"/>
      <c r="AY3796" s="227"/>
      <c r="AZ3796" s="227"/>
      <c r="BA3796" s="227"/>
      <c r="BB3796" s="227"/>
      <c r="BC3796" s="227"/>
      <c r="BD3796" s="227"/>
      <c r="BE3796" s="227"/>
      <c r="BF3796" s="227"/>
    </row>
    <row r="3797">
      <c r="A3797" s="235" t="s">
        <v>28418</v>
      </c>
      <c r="C3797" s="235" t="s">
        <v>28419</v>
      </c>
      <c r="D3797" s="235" t="s">
        <v>28420</v>
      </c>
      <c r="E3797" s="243">
        <v>6.51E13</v>
      </c>
      <c r="F3797" s="245"/>
      <c r="G3797" s="235" t="s">
        <v>28421</v>
      </c>
      <c r="H3797" s="235" t="s">
        <v>28422</v>
      </c>
      <c r="I3797" s="235" t="s">
        <v>28423</v>
      </c>
      <c r="J3797" s="235" t="s">
        <v>28424</v>
      </c>
      <c r="K3797" s="235" t="s">
        <v>28425</v>
      </c>
      <c r="N3797" s="235" t="s">
        <v>127</v>
      </c>
      <c r="O3797" s="235" t="s">
        <v>794</v>
      </c>
      <c r="P3797" s="238">
        <v>1.0</v>
      </c>
      <c r="Q3797" s="235" t="s">
        <v>627</v>
      </c>
      <c r="R3797" s="238">
        <v>236.2</v>
      </c>
      <c r="S3797" s="238">
        <v>11.8</v>
      </c>
      <c r="T3797" s="238">
        <v>0.0</v>
      </c>
      <c r="U3797" s="238">
        <v>0.0</v>
      </c>
      <c r="V3797" s="238">
        <v>0.0</v>
      </c>
      <c r="W3797" s="238">
        <v>0.0</v>
      </c>
      <c r="X3797" s="235" t="s">
        <v>628</v>
      </c>
      <c r="Z3797" s="245"/>
      <c r="AA3797" s="245"/>
      <c r="AB3797" s="245"/>
      <c r="AC3797" s="235" t="s">
        <v>1887</v>
      </c>
      <c r="AD3797" s="235" t="s">
        <v>679</v>
      </c>
      <c r="AE3797" s="238">
        <v>560087.0</v>
      </c>
      <c r="AF3797" s="235" t="s">
        <v>631</v>
      </c>
      <c r="AG3797" s="245"/>
      <c r="AH3797" s="245"/>
      <c r="AI3797" s="245"/>
      <c r="AJ3797" s="245"/>
      <c r="AK3797" s="245"/>
      <c r="AL3797" s="245"/>
      <c r="AM3797" s="245"/>
      <c r="AN3797" s="245"/>
      <c r="AO3797" s="238">
        <v>0.0</v>
      </c>
      <c r="AP3797" s="238">
        <v>0.0</v>
      </c>
      <c r="AQ3797" s="235" t="s">
        <v>632</v>
      </c>
      <c r="AR3797" s="243">
        <v>3.71E11</v>
      </c>
      <c r="AS3797" s="235" t="s">
        <v>26892</v>
      </c>
      <c r="AT3797" s="235" t="s">
        <v>11</v>
      </c>
      <c r="AU3797" s="235" t="s">
        <v>634</v>
      </c>
      <c r="AV3797" s="246" t="s">
        <v>635</v>
      </c>
      <c r="AW3797" s="227"/>
      <c r="AX3797" s="227"/>
      <c r="AY3797" s="227"/>
      <c r="AZ3797" s="227"/>
      <c r="BA3797" s="227"/>
      <c r="BB3797" s="227"/>
      <c r="BC3797" s="227"/>
      <c r="BD3797" s="227"/>
      <c r="BE3797" s="227"/>
      <c r="BF3797" s="227"/>
    </row>
    <row r="3798">
      <c r="A3798" s="235" t="s">
        <v>28426</v>
      </c>
      <c r="C3798" s="235" t="s">
        <v>28427</v>
      </c>
      <c r="D3798" s="235" t="s">
        <v>28428</v>
      </c>
      <c r="E3798" s="243">
        <v>6.52E13</v>
      </c>
      <c r="F3798" s="245"/>
      <c r="G3798" s="235" t="s">
        <v>28429</v>
      </c>
      <c r="H3798" s="235" t="s">
        <v>28430</v>
      </c>
      <c r="I3798" s="235" t="s">
        <v>28431</v>
      </c>
      <c r="J3798" s="235" t="s">
        <v>28432</v>
      </c>
      <c r="K3798" s="235" t="s">
        <v>28433</v>
      </c>
      <c r="N3798" s="235" t="s">
        <v>127</v>
      </c>
      <c r="O3798" s="235" t="s">
        <v>794</v>
      </c>
      <c r="P3798" s="238">
        <v>1.0</v>
      </c>
      <c r="Q3798" s="235" t="s">
        <v>627</v>
      </c>
      <c r="R3798" s="238">
        <v>236.2</v>
      </c>
      <c r="S3798" s="238">
        <v>11.45</v>
      </c>
      <c r="T3798" s="238">
        <v>0.0</v>
      </c>
      <c r="U3798" s="238">
        <v>0.0</v>
      </c>
      <c r="V3798" s="238">
        <v>0.0</v>
      </c>
      <c r="W3798" s="238">
        <v>0.0</v>
      </c>
      <c r="X3798" s="235" t="s">
        <v>628</v>
      </c>
      <c r="Z3798" s="245"/>
      <c r="AA3798" s="245"/>
      <c r="AB3798" s="245"/>
      <c r="AC3798" s="235" t="s">
        <v>687</v>
      </c>
      <c r="AD3798" s="235" t="s">
        <v>666</v>
      </c>
      <c r="AE3798" s="238">
        <v>600063.0</v>
      </c>
      <c r="AF3798" s="235" t="s">
        <v>631</v>
      </c>
      <c r="AG3798" s="245"/>
      <c r="AH3798" s="245"/>
      <c r="AI3798" s="245"/>
      <c r="AJ3798" s="245"/>
      <c r="AK3798" s="245"/>
      <c r="AL3798" s="245"/>
      <c r="AM3798" s="245"/>
      <c r="AN3798" s="245"/>
      <c r="AO3798" s="238">
        <v>-7.09</v>
      </c>
      <c r="AP3798" s="238">
        <v>0.0</v>
      </c>
      <c r="AQ3798" s="235" t="s">
        <v>632</v>
      </c>
      <c r="AR3798" s="243">
        <v>3.71E11</v>
      </c>
      <c r="AS3798" s="235" t="s">
        <v>26892</v>
      </c>
      <c r="AT3798" s="235" t="s">
        <v>156</v>
      </c>
      <c r="AU3798" s="235" t="s">
        <v>634</v>
      </c>
      <c r="AV3798" s="246" t="s">
        <v>635</v>
      </c>
      <c r="AW3798" s="227"/>
      <c r="AX3798" s="227"/>
      <c r="AY3798" s="227"/>
      <c r="AZ3798" s="227"/>
      <c r="BA3798" s="227"/>
      <c r="BB3798" s="227"/>
      <c r="BC3798" s="227"/>
      <c r="BD3798" s="227"/>
      <c r="BE3798" s="227"/>
      <c r="BF3798" s="227"/>
    </row>
    <row r="3799">
      <c r="A3799" s="235" t="s">
        <v>28434</v>
      </c>
      <c r="C3799" s="235" t="s">
        <v>28435</v>
      </c>
      <c r="D3799" s="235" t="s">
        <v>28436</v>
      </c>
      <c r="E3799" s="243">
        <v>6.51E13</v>
      </c>
      <c r="F3799" s="245"/>
      <c r="G3799" s="235" t="s">
        <v>28437</v>
      </c>
      <c r="H3799" s="235" t="s">
        <v>28438</v>
      </c>
      <c r="I3799" s="235" t="s">
        <v>28439</v>
      </c>
      <c r="J3799" s="235" t="s">
        <v>28440</v>
      </c>
      <c r="K3799" s="235" t="s">
        <v>28441</v>
      </c>
      <c r="N3799" s="235" t="s">
        <v>90</v>
      </c>
      <c r="O3799" s="235" t="s">
        <v>279</v>
      </c>
      <c r="P3799" s="238">
        <v>1.0</v>
      </c>
      <c r="Q3799" s="235" t="s">
        <v>627</v>
      </c>
      <c r="R3799" s="238">
        <v>246.67</v>
      </c>
      <c r="S3799" s="238">
        <v>11.96</v>
      </c>
      <c r="T3799" s="238">
        <v>0.0</v>
      </c>
      <c r="U3799" s="238">
        <v>0.0</v>
      </c>
      <c r="V3799" s="238">
        <v>0.0</v>
      </c>
      <c r="W3799" s="238">
        <v>0.0</v>
      </c>
      <c r="X3799" s="235" t="s">
        <v>628</v>
      </c>
      <c r="Z3799" s="245"/>
      <c r="AA3799" s="245"/>
      <c r="AB3799" s="245"/>
      <c r="AC3799" s="235" t="s">
        <v>907</v>
      </c>
      <c r="AD3799" s="235" t="s">
        <v>908</v>
      </c>
      <c r="AE3799" s="238">
        <v>248001.0</v>
      </c>
      <c r="AF3799" s="235" t="s">
        <v>631</v>
      </c>
      <c r="AG3799" s="245"/>
      <c r="AH3799" s="245"/>
      <c r="AI3799" s="245"/>
      <c r="AJ3799" s="245"/>
      <c r="AK3799" s="245"/>
      <c r="AL3799" s="245"/>
      <c r="AM3799" s="245"/>
      <c r="AN3799" s="245"/>
      <c r="AO3799" s="238">
        <v>-7.4</v>
      </c>
      <c r="AP3799" s="238">
        <v>0.0</v>
      </c>
      <c r="AQ3799" s="235" t="s">
        <v>632</v>
      </c>
      <c r="AR3799" s="243">
        <v>1.68E11</v>
      </c>
      <c r="AS3799" s="235" t="s">
        <v>26892</v>
      </c>
      <c r="AT3799" s="235" t="s">
        <v>13</v>
      </c>
      <c r="AU3799" s="235" t="s">
        <v>634</v>
      </c>
      <c r="AV3799" s="246" t="s">
        <v>635</v>
      </c>
      <c r="AW3799" s="227"/>
      <c r="AX3799" s="227"/>
      <c r="AY3799" s="227"/>
      <c r="AZ3799" s="227"/>
      <c r="BA3799" s="227"/>
      <c r="BB3799" s="227"/>
      <c r="BC3799" s="227"/>
      <c r="BD3799" s="227"/>
      <c r="BE3799" s="227"/>
      <c r="BF3799" s="227"/>
    </row>
    <row r="3800">
      <c r="A3800" s="235" t="s">
        <v>28442</v>
      </c>
      <c r="C3800" s="235" t="s">
        <v>28443</v>
      </c>
      <c r="D3800" s="235" t="s">
        <v>28444</v>
      </c>
      <c r="E3800" s="243">
        <v>6.51E13</v>
      </c>
      <c r="F3800" s="245"/>
      <c r="G3800" s="235" t="s">
        <v>28445</v>
      </c>
      <c r="H3800" s="235" t="s">
        <v>28446</v>
      </c>
      <c r="I3800" s="235" t="s">
        <v>28447</v>
      </c>
      <c r="J3800" s="235" t="s">
        <v>28448</v>
      </c>
      <c r="K3800" s="235" t="s">
        <v>28449</v>
      </c>
      <c r="N3800" s="235" t="s">
        <v>53</v>
      </c>
      <c r="O3800" s="235" t="s">
        <v>512</v>
      </c>
      <c r="P3800" s="238">
        <v>1.0</v>
      </c>
      <c r="Q3800" s="235" t="s">
        <v>627</v>
      </c>
      <c r="R3800" s="238">
        <v>233.33</v>
      </c>
      <c r="S3800" s="238">
        <v>11.32</v>
      </c>
      <c r="T3800" s="238">
        <v>0.0</v>
      </c>
      <c r="U3800" s="238">
        <v>0.0</v>
      </c>
      <c r="V3800" s="238">
        <v>0.0</v>
      </c>
      <c r="W3800" s="238">
        <v>0.0</v>
      </c>
      <c r="X3800" s="235" t="s">
        <v>628</v>
      </c>
      <c r="Z3800" s="245"/>
      <c r="AA3800" s="245"/>
      <c r="AB3800" s="245"/>
      <c r="AC3800" s="235" t="s">
        <v>28450</v>
      </c>
      <c r="AD3800" s="235" t="s">
        <v>833</v>
      </c>
      <c r="AE3800" s="238">
        <v>534447.0</v>
      </c>
      <c r="AF3800" s="235" t="s">
        <v>631</v>
      </c>
      <c r="AG3800" s="245"/>
      <c r="AH3800" s="245"/>
      <c r="AI3800" s="245"/>
      <c r="AJ3800" s="245"/>
      <c r="AK3800" s="245"/>
      <c r="AL3800" s="245"/>
      <c r="AM3800" s="245"/>
      <c r="AN3800" s="245"/>
      <c r="AO3800" s="238">
        <v>-7.0</v>
      </c>
      <c r="AP3800" s="238">
        <v>0.0</v>
      </c>
      <c r="AQ3800" s="235" t="s">
        <v>632</v>
      </c>
      <c r="AR3800" s="243">
        <v>3.71E11</v>
      </c>
      <c r="AS3800" s="235" t="s">
        <v>25098</v>
      </c>
      <c r="AT3800" s="235" t="s">
        <v>156</v>
      </c>
      <c r="AU3800" s="235" t="s">
        <v>634</v>
      </c>
      <c r="AV3800" s="246" t="s">
        <v>635</v>
      </c>
      <c r="AW3800" s="227"/>
      <c r="AX3800" s="227"/>
      <c r="AY3800" s="227"/>
      <c r="AZ3800" s="227"/>
      <c r="BA3800" s="227"/>
      <c r="BB3800" s="227"/>
      <c r="BC3800" s="227"/>
      <c r="BD3800" s="227"/>
      <c r="BE3800" s="227"/>
      <c r="BF3800" s="227"/>
    </row>
    <row r="3801">
      <c r="A3801" s="235" t="s">
        <v>28451</v>
      </c>
      <c r="C3801" s="235" t="s">
        <v>28452</v>
      </c>
      <c r="D3801" s="235" t="s">
        <v>28453</v>
      </c>
      <c r="E3801" s="243">
        <v>6.51E13</v>
      </c>
      <c r="F3801" s="245"/>
      <c r="G3801" s="235" t="s">
        <v>28454</v>
      </c>
      <c r="H3801" s="235" t="s">
        <v>28455</v>
      </c>
      <c r="I3801" s="235" t="s">
        <v>28455</v>
      </c>
      <c r="J3801" s="235" t="s">
        <v>28456</v>
      </c>
      <c r="K3801" s="235" t="s">
        <v>28457</v>
      </c>
      <c r="N3801" s="235" t="s">
        <v>43</v>
      </c>
      <c r="O3801" s="235" t="s">
        <v>276</v>
      </c>
      <c r="P3801" s="238">
        <v>1.0</v>
      </c>
      <c r="Q3801" s="235" t="s">
        <v>627</v>
      </c>
      <c r="R3801" s="238">
        <v>233.33</v>
      </c>
      <c r="S3801" s="238">
        <v>11.67</v>
      </c>
      <c r="T3801" s="238">
        <v>0.0</v>
      </c>
      <c r="U3801" s="238">
        <v>0.0</v>
      </c>
      <c r="V3801" s="238">
        <v>0.0</v>
      </c>
      <c r="W3801" s="238">
        <v>0.0</v>
      </c>
      <c r="X3801" s="235" t="s">
        <v>628</v>
      </c>
      <c r="Z3801" s="245"/>
      <c r="AA3801" s="245"/>
      <c r="AB3801" s="245"/>
      <c r="AC3801" s="235" t="s">
        <v>28458</v>
      </c>
      <c r="AD3801" s="235" t="s">
        <v>666</v>
      </c>
      <c r="AE3801" s="238">
        <v>625104.0</v>
      </c>
      <c r="AF3801" s="235" t="s">
        <v>631</v>
      </c>
      <c r="AG3801" s="245"/>
      <c r="AH3801" s="245"/>
      <c r="AI3801" s="245"/>
      <c r="AJ3801" s="245"/>
      <c r="AK3801" s="245"/>
      <c r="AL3801" s="245"/>
      <c r="AM3801" s="245"/>
      <c r="AN3801" s="245"/>
      <c r="AO3801" s="238">
        <v>0.0</v>
      </c>
      <c r="AP3801" s="238">
        <v>0.0</v>
      </c>
      <c r="AQ3801" s="235" t="s">
        <v>632</v>
      </c>
      <c r="AR3801" s="243">
        <v>1.68E11</v>
      </c>
      <c r="AS3801" s="235" t="s">
        <v>26892</v>
      </c>
      <c r="AT3801" s="235" t="s">
        <v>11</v>
      </c>
      <c r="AU3801" s="235" t="s">
        <v>634</v>
      </c>
      <c r="AV3801" s="246" t="s">
        <v>635</v>
      </c>
      <c r="AW3801" s="227"/>
      <c r="AX3801" s="227"/>
      <c r="AY3801" s="227"/>
      <c r="AZ3801" s="227"/>
      <c r="BA3801" s="227"/>
      <c r="BB3801" s="227"/>
      <c r="BC3801" s="227"/>
      <c r="BD3801" s="227"/>
      <c r="BE3801" s="227"/>
      <c r="BF3801" s="227"/>
    </row>
    <row r="3802">
      <c r="A3802" s="235" t="s">
        <v>28459</v>
      </c>
      <c r="C3802" s="235" t="s">
        <v>28460</v>
      </c>
      <c r="D3802" s="235" t="s">
        <v>28461</v>
      </c>
      <c r="E3802" s="243">
        <v>6.51E13</v>
      </c>
      <c r="F3802" s="245"/>
      <c r="G3802" s="235" t="s">
        <v>28462</v>
      </c>
      <c r="H3802" s="235" t="s">
        <v>28463</v>
      </c>
      <c r="I3802" s="235" t="s">
        <v>28463</v>
      </c>
      <c r="J3802" s="235" t="s">
        <v>28464</v>
      </c>
      <c r="K3802" s="235" t="s">
        <v>28465</v>
      </c>
      <c r="N3802" s="235" t="s">
        <v>85</v>
      </c>
      <c r="O3802" s="235" t="s">
        <v>872</v>
      </c>
      <c r="P3802" s="238">
        <v>1.0</v>
      </c>
      <c r="Q3802" s="235" t="s">
        <v>627</v>
      </c>
      <c r="R3802" s="238">
        <v>232.38</v>
      </c>
      <c r="S3802" s="238">
        <v>11.28</v>
      </c>
      <c r="T3802" s="238">
        <v>0.0</v>
      </c>
      <c r="U3802" s="238">
        <v>0.0</v>
      </c>
      <c r="V3802" s="238">
        <v>0.0</v>
      </c>
      <c r="W3802" s="238">
        <v>0.0</v>
      </c>
      <c r="X3802" s="235" t="s">
        <v>628</v>
      </c>
      <c r="Z3802" s="245"/>
      <c r="AA3802" s="245"/>
      <c r="AB3802" s="245"/>
      <c r="AC3802" s="235" t="s">
        <v>678</v>
      </c>
      <c r="AD3802" s="235" t="s">
        <v>679</v>
      </c>
      <c r="AE3802" s="238">
        <v>560036.0</v>
      </c>
      <c r="AF3802" s="235" t="s">
        <v>631</v>
      </c>
      <c r="AG3802" s="245"/>
      <c r="AH3802" s="245"/>
      <c r="AI3802" s="245"/>
      <c r="AJ3802" s="245"/>
      <c r="AK3802" s="245"/>
      <c r="AL3802" s="245"/>
      <c r="AM3802" s="245"/>
      <c r="AN3802" s="245"/>
      <c r="AO3802" s="238">
        <v>-6.98</v>
      </c>
      <c r="AP3802" s="238">
        <v>0.0</v>
      </c>
      <c r="AQ3802" s="235" t="s">
        <v>632</v>
      </c>
      <c r="AR3802" s="243">
        <v>3.71E11</v>
      </c>
      <c r="AS3802" s="235" t="s">
        <v>26892</v>
      </c>
      <c r="AT3802" s="235" t="s">
        <v>9</v>
      </c>
      <c r="AU3802" s="235" t="s">
        <v>634</v>
      </c>
      <c r="AV3802" s="246" t="s">
        <v>635</v>
      </c>
      <c r="AW3802" s="227"/>
      <c r="AX3802" s="227"/>
      <c r="AY3802" s="227"/>
      <c r="AZ3802" s="227"/>
      <c r="BA3802" s="227"/>
      <c r="BB3802" s="227"/>
      <c r="BC3802" s="227"/>
      <c r="BD3802" s="227"/>
      <c r="BE3802" s="227"/>
      <c r="BF3802" s="227"/>
    </row>
    <row r="3803">
      <c r="A3803" s="235" t="s">
        <v>28466</v>
      </c>
      <c r="C3803" s="235" t="s">
        <v>28467</v>
      </c>
      <c r="D3803" s="235" t="s">
        <v>28468</v>
      </c>
      <c r="E3803" s="243">
        <v>6.52E13</v>
      </c>
      <c r="F3803" s="245"/>
      <c r="G3803" s="235" t="s">
        <v>28469</v>
      </c>
      <c r="H3803" s="235" t="s">
        <v>28470</v>
      </c>
      <c r="I3803" s="235" t="s">
        <v>28470</v>
      </c>
      <c r="J3803" s="235" t="s">
        <v>28471</v>
      </c>
      <c r="K3803" s="235" t="s">
        <v>28472</v>
      </c>
      <c r="N3803" s="235" t="s">
        <v>42</v>
      </c>
      <c r="O3803" s="235" t="s">
        <v>204</v>
      </c>
      <c r="P3803" s="238">
        <v>1.0</v>
      </c>
      <c r="Q3803" s="235" t="s">
        <v>627</v>
      </c>
      <c r="R3803" s="238">
        <v>236.19</v>
      </c>
      <c r="S3803" s="238">
        <v>11.46</v>
      </c>
      <c r="T3803" s="238">
        <v>0.0</v>
      </c>
      <c r="U3803" s="238">
        <v>0.0</v>
      </c>
      <c r="V3803" s="238">
        <v>0.0</v>
      </c>
      <c r="W3803" s="238">
        <v>0.0</v>
      </c>
      <c r="X3803" s="235" t="s">
        <v>628</v>
      </c>
      <c r="Z3803" s="245"/>
      <c r="AA3803" s="245"/>
      <c r="AB3803" s="245"/>
      <c r="AC3803" s="235" t="s">
        <v>28473</v>
      </c>
      <c r="AD3803" s="235" t="s">
        <v>833</v>
      </c>
      <c r="AE3803" s="238">
        <v>534202.0</v>
      </c>
      <c r="AF3803" s="235" t="s">
        <v>631</v>
      </c>
      <c r="AG3803" s="245"/>
      <c r="AH3803" s="245"/>
      <c r="AI3803" s="245"/>
      <c r="AJ3803" s="245"/>
      <c r="AK3803" s="245"/>
      <c r="AL3803" s="245"/>
      <c r="AM3803" s="245"/>
      <c r="AN3803" s="245"/>
      <c r="AO3803" s="238">
        <v>-7.09</v>
      </c>
      <c r="AP3803" s="238">
        <v>0.0</v>
      </c>
      <c r="AQ3803" s="235" t="s">
        <v>632</v>
      </c>
      <c r="AR3803" s="243">
        <v>3.71E11</v>
      </c>
      <c r="AS3803" s="235" t="s">
        <v>25098</v>
      </c>
      <c r="AT3803" s="235" t="s">
        <v>156</v>
      </c>
      <c r="AU3803" s="235" t="s">
        <v>634</v>
      </c>
      <c r="AV3803" s="246" t="s">
        <v>635</v>
      </c>
      <c r="AW3803" s="227"/>
      <c r="AX3803" s="227"/>
      <c r="AY3803" s="227"/>
      <c r="AZ3803" s="227"/>
      <c r="BA3803" s="227"/>
      <c r="BB3803" s="227"/>
      <c r="BC3803" s="227"/>
      <c r="BD3803" s="227"/>
      <c r="BE3803" s="227"/>
      <c r="BF3803" s="227"/>
    </row>
    <row r="3804">
      <c r="A3804" s="235" t="s">
        <v>28466</v>
      </c>
      <c r="C3804" s="235" t="s">
        <v>28467</v>
      </c>
      <c r="D3804" s="235" t="s">
        <v>28474</v>
      </c>
      <c r="E3804" s="243">
        <v>6.52E13</v>
      </c>
      <c r="F3804" s="245"/>
      <c r="G3804" s="235" t="s">
        <v>28469</v>
      </c>
      <c r="H3804" s="235" t="s">
        <v>28470</v>
      </c>
      <c r="I3804" s="235" t="s">
        <v>28470</v>
      </c>
      <c r="J3804" s="235" t="s">
        <v>28471</v>
      </c>
      <c r="K3804" s="235" t="s">
        <v>28472</v>
      </c>
      <c r="N3804" s="235" t="s">
        <v>42</v>
      </c>
      <c r="O3804" s="235" t="s">
        <v>204</v>
      </c>
      <c r="P3804" s="238">
        <v>1.0</v>
      </c>
      <c r="Q3804" s="235" t="s">
        <v>627</v>
      </c>
      <c r="R3804" s="238">
        <v>236.19</v>
      </c>
      <c r="S3804" s="238">
        <v>11.46</v>
      </c>
      <c r="T3804" s="238">
        <v>0.0</v>
      </c>
      <c r="U3804" s="238">
        <v>0.0</v>
      </c>
      <c r="V3804" s="238">
        <v>0.0</v>
      </c>
      <c r="W3804" s="238">
        <v>0.0</v>
      </c>
      <c r="X3804" s="235" t="s">
        <v>628</v>
      </c>
      <c r="Z3804" s="245"/>
      <c r="AA3804" s="245"/>
      <c r="AB3804" s="245"/>
      <c r="AC3804" s="235" t="s">
        <v>28473</v>
      </c>
      <c r="AD3804" s="235" t="s">
        <v>833</v>
      </c>
      <c r="AE3804" s="238">
        <v>534202.0</v>
      </c>
      <c r="AF3804" s="235" t="s">
        <v>631</v>
      </c>
      <c r="AG3804" s="245"/>
      <c r="AH3804" s="245"/>
      <c r="AI3804" s="245"/>
      <c r="AJ3804" s="245"/>
      <c r="AK3804" s="245"/>
      <c r="AL3804" s="245"/>
      <c r="AM3804" s="245"/>
      <c r="AN3804" s="245"/>
      <c r="AO3804" s="238">
        <v>-7.09</v>
      </c>
      <c r="AP3804" s="238">
        <v>0.0</v>
      </c>
      <c r="AQ3804" s="235" t="s">
        <v>632</v>
      </c>
      <c r="AR3804" s="243">
        <v>3.71E11</v>
      </c>
      <c r="AS3804" s="235" t="s">
        <v>25098</v>
      </c>
      <c r="AT3804" s="235" t="s">
        <v>156</v>
      </c>
      <c r="AU3804" s="235" t="s">
        <v>634</v>
      </c>
      <c r="AV3804" s="246" t="s">
        <v>635</v>
      </c>
      <c r="AW3804" s="227"/>
      <c r="AX3804" s="227"/>
      <c r="AY3804" s="227"/>
      <c r="AZ3804" s="227"/>
      <c r="BA3804" s="227"/>
      <c r="BB3804" s="227"/>
      <c r="BC3804" s="227"/>
      <c r="BD3804" s="227"/>
      <c r="BE3804" s="227"/>
      <c r="BF3804" s="227"/>
    </row>
    <row r="3805">
      <c r="A3805" s="235" t="s">
        <v>28475</v>
      </c>
      <c r="C3805" s="235" t="s">
        <v>28476</v>
      </c>
      <c r="D3805" s="235" t="s">
        <v>28477</v>
      </c>
      <c r="E3805" s="243">
        <v>6.52E13</v>
      </c>
      <c r="F3805" s="245"/>
      <c r="G3805" s="235" t="s">
        <v>28478</v>
      </c>
      <c r="H3805" s="235" t="s">
        <v>28479</v>
      </c>
      <c r="I3805" s="235" t="s">
        <v>28479</v>
      </c>
      <c r="J3805" s="235" t="s">
        <v>28480</v>
      </c>
      <c r="K3805" s="235" t="s">
        <v>28481</v>
      </c>
      <c r="N3805" s="235" t="s">
        <v>55</v>
      </c>
      <c r="O3805" s="235" t="s">
        <v>244</v>
      </c>
      <c r="P3805" s="238">
        <v>1.0</v>
      </c>
      <c r="Q3805" s="235" t="s">
        <v>627</v>
      </c>
      <c r="R3805" s="238">
        <v>236.2</v>
      </c>
      <c r="S3805" s="238">
        <v>11.45</v>
      </c>
      <c r="T3805" s="238">
        <v>0.0</v>
      </c>
      <c r="U3805" s="238">
        <v>0.0</v>
      </c>
      <c r="V3805" s="238">
        <v>0.0</v>
      </c>
      <c r="W3805" s="238">
        <v>0.0</v>
      </c>
      <c r="X3805" s="235" t="s">
        <v>628</v>
      </c>
      <c r="Z3805" s="245"/>
      <c r="AA3805" s="245"/>
      <c r="AB3805" s="245"/>
      <c r="AC3805" s="235" t="s">
        <v>687</v>
      </c>
      <c r="AD3805" s="235" t="s">
        <v>666</v>
      </c>
      <c r="AE3805" s="238">
        <v>600030.0</v>
      </c>
      <c r="AF3805" s="235" t="s">
        <v>631</v>
      </c>
      <c r="AG3805" s="245"/>
      <c r="AH3805" s="245"/>
      <c r="AI3805" s="245"/>
      <c r="AJ3805" s="245"/>
      <c r="AK3805" s="245"/>
      <c r="AL3805" s="245"/>
      <c r="AM3805" s="245"/>
      <c r="AN3805" s="245"/>
      <c r="AO3805" s="238">
        <v>-7.09</v>
      </c>
      <c r="AP3805" s="238">
        <v>0.0</v>
      </c>
      <c r="AQ3805" s="235" t="s">
        <v>632</v>
      </c>
      <c r="AR3805" s="243">
        <v>1.68E11</v>
      </c>
      <c r="AS3805" s="235" t="s">
        <v>28482</v>
      </c>
      <c r="AT3805" s="235" t="s">
        <v>156</v>
      </c>
      <c r="AU3805" s="235" t="s">
        <v>634</v>
      </c>
      <c r="AV3805" s="246" t="s">
        <v>635</v>
      </c>
      <c r="AW3805" s="227"/>
      <c r="AX3805" s="227"/>
      <c r="AY3805" s="227"/>
      <c r="AZ3805" s="227"/>
      <c r="BA3805" s="227"/>
      <c r="BB3805" s="227"/>
      <c r="BC3805" s="227"/>
      <c r="BD3805" s="227"/>
      <c r="BE3805" s="227"/>
      <c r="BF3805" s="227"/>
    </row>
    <row r="3806">
      <c r="A3806" s="235" t="s">
        <v>28483</v>
      </c>
      <c r="C3806" s="235" t="s">
        <v>28484</v>
      </c>
      <c r="D3806" s="235" t="s">
        <v>28485</v>
      </c>
      <c r="E3806" s="243">
        <v>6.52E13</v>
      </c>
      <c r="F3806" s="245"/>
      <c r="G3806" s="235" t="s">
        <v>28486</v>
      </c>
      <c r="H3806" s="235" t="s">
        <v>28487</v>
      </c>
      <c r="I3806" s="235" t="s">
        <v>28488</v>
      </c>
      <c r="J3806" s="235" t="s">
        <v>28489</v>
      </c>
      <c r="K3806" s="235" t="s">
        <v>28490</v>
      </c>
      <c r="N3806" s="235" t="s">
        <v>92</v>
      </c>
      <c r="O3806" s="235" t="s">
        <v>248</v>
      </c>
      <c r="P3806" s="238">
        <v>1.0</v>
      </c>
      <c r="Q3806" s="235" t="s">
        <v>627</v>
      </c>
      <c r="R3806" s="238">
        <v>233.33</v>
      </c>
      <c r="S3806" s="238">
        <v>11.32</v>
      </c>
      <c r="T3806" s="238">
        <v>0.0</v>
      </c>
      <c r="U3806" s="238">
        <v>0.0</v>
      </c>
      <c r="V3806" s="238">
        <v>0.0</v>
      </c>
      <c r="W3806" s="238">
        <v>0.0</v>
      </c>
      <c r="X3806" s="235" t="s">
        <v>628</v>
      </c>
      <c r="Z3806" s="245"/>
      <c r="AA3806" s="245"/>
      <c r="AB3806" s="245"/>
      <c r="AC3806" s="235" t="s">
        <v>697</v>
      </c>
      <c r="AD3806" s="235" t="s">
        <v>698</v>
      </c>
      <c r="AE3806" s="238">
        <v>500032.0</v>
      </c>
      <c r="AF3806" s="235" t="s">
        <v>631</v>
      </c>
      <c r="AG3806" s="245"/>
      <c r="AH3806" s="245"/>
      <c r="AI3806" s="245"/>
      <c r="AJ3806" s="245"/>
      <c r="AK3806" s="245"/>
      <c r="AL3806" s="245"/>
      <c r="AM3806" s="245"/>
      <c r="AN3806" s="245"/>
      <c r="AO3806" s="238">
        <v>-7.0</v>
      </c>
      <c r="AP3806" s="238">
        <v>0.0</v>
      </c>
      <c r="AQ3806" s="235" t="s">
        <v>632</v>
      </c>
      <c r="AR3806" s="243">
        <v>3.71E11</v>
      </c>
      <c r="AS3806" s="235" t="s">
        <v>25098</v>
      </c>
      <c r="AT3806" s="235" t="s">
        <v>156</v>
      </c>
      <c r="AU3806" s="235" t="s">
        <v>634</v>
      </c>
      <c r="AV3806" s="246" t="s">
        <v>635</v>
      </c>
      <c r="AW3806" s="227"/>
      <c r="AX3806" s="227"/>
      <c r="AY3806" s="227"/>
      <c r="AZ3806" s="227"/>
      <c r="BA3806" s="227"/>
      <c r="BB3806" s="227"/>
      <c r="BC3806" s="227"/>
      <c r="BD3806" s="227"/>
      <c r="BE3806" s="227"/>
      <c r="BF3806" s="227"/>
    </row>
    <row r="3807">
      <c r="A3807" s="235" t="s">
        <v>28491</v>
      </c>
      <c r="C3807" s="235" t="s">
        <v>28492</v>
      </c>
      <c r="D3807" s="235" t="s">
        <v>28493</v>
      </c>
      <c r="E3807" s="243">
        <v>6.51E13</v>
      </c>
      <c r="F3807" s="245"/>
      <c r="G3807" s="235" t="s">
        <v>28494</v>
      </c>
      <c r="H3807" s="235" t="s">
        <v>28495</v>
      </c>
      <c r="I3807" s="235" t="s">
        <v>28495</v>
      </c>
      <c r="J3807" s="235" t="s">
        <v>28496</v>
      </c>
      <c r="K3807" s="235" t="s">
        <v>28497</v>
      </c>
      <c r="N3807" s="235" t="s">
        <v>2163</v>
      </c>
      <c r="O3807" s="235" t="s">
        <v>2164</v>
      </c>
      <c r="P3807" s="238">
        <v>1.0</v>
      </c>
      <c r="Q3807" s="235" t="s">
        <v>627</v>
      </c>
      <c r="R3807" s="238">
        <v>233.34</v>
      </c>
      <c r="S3807" s="238">
        <v>11.32</v>
      </c>
      <c r="T3807" s="238">
        <v>0.0</v>
      </c>
      <c r="U3807" s="238">
        <v>0.0</v>
      </c>
      <c r="V3807" s="238">
        <v>0.0</v>
      </c>
      <c r="W3807" s="238">
        <v>0.0</v>
      </c>
      <c r="X3807" s="235" t="s">
        <v>628</v>
      </c>
      <c r="Z3807" s="245"/>
      <c r="AA3807" s="245"/>
      <c r="AB3807" s="245"/>
      <c r="AC3807" s="235" t="s">
        <v>12541</v>
      </c>
      <c r="AD3807" s="235" t="s">
        <v>666</v>
      </c>
      <c r="AE3807" s="238">
        <v>628002.0</v>
      </c>
      <c r="AF3807" s="235" t="s">
        <v>631</v>
      </c>
      <c r="AG3807" s="245"/>
      <c r="AH3807" s="245"/>
      <c r="AI3807" s="245"/>
      <c r="AJ3807" s="245"/>
      <c r="AK3807" s="245"/>
      <c r="AL3807" s="245"/>
      <c r="AM3807" s="245"/>
      <c r="AN3807" s="245"/>
      <c r="AO3807" s="238">
        <v>-7.01</v>
      </c>
      <c r="AP3807" s="238">
        <v>0.0</v>
      </c>
      <c r="AQ3807" s="235" t="s">
        <v>632</v>
      </c>
      <c r="AR3807" s="243">
        <v>3.71E11</v>
      </c>
      <c r="AS3807" s="235" t="s">
        <v>26892</v>
      </c>
      <c r="AT3807" s="235" t="s">
        <v>155</v>
      </c>
      <c r="AU3807" s="235" t="s">
        <v>634</v>
      </c>
      <c r="AV3807" s="246" t="s">
        <v>635</v>
      </c>
      <c r="AW3807" s="227"/>
      <c r="AX3807" s="227"/>
      <c r="AY3807" s="227"/>
      <c r="AZ3807" s="227"/>
      <c r="BA3807" s="227"/>
      <c r="BB3807" s="227"/>
      <c r="BC3807" s="227"/>
      <c r="BD3807" s="227"/>
      <c r="BE3807" s="227"/>
      <c r="BF3807" s="227"/>
    </row>
    <row r="3808">
      <c r="A3808" s="235" t="s">
        <v>28498</v>
      </c>
      <c r="C3808" s="235" t="s">
        <v>28499</v>
      </c>
      <c r="D3808" s="235" t="s">
        <v>28500</v>
      </c>
      <c r="E3808" s="243">
        <v>6.51E13</v>
      </c>
      <c r="F3808" s="245"/>
      <c r="G3808" s="235" t="s">
        <v>28501</v>
      </c>
      <c r="H3808" s="235" t="s">
        <v>28502</v>
      </c>
      <c r="I3808" s="235" t="s">
        <v>28502</v>
      </c>
      <c r="J3808" s="235" t="s">
        <v>28503</v>
      </c>
      <c r="K3808" s="235" t="s">
        <v>28504</v>
      </c>
      <c r="N3808" s="235" t="s">
        <v>51</v>
      </c>
      <c r="O3808" s="235" t="s">
        <v>273</v>
      </c>
      <c r="P3808" s="238">
        <v>1.0</v>
      </c>
      <c r="Q3808" s="235" t="s">
        <v>627</v>
      </c>
      <c r="R3808" s="238">
        <v>0.0</v>
      </c>
      <c r="S3808" s="238">
        <v>0.0</v>
      </c>
      <c r="T3808" s="238">
        <v>0.0</v>
      </c>
      <c r="U3808" s="238">
        <v>0.0</v>
      </c>
      <c r="V3808" s="238">
        <v>0.0</v>
      </c>
      <c r="W3808" s="238">
        <v>0.0</v>
      </c>
      <c r="X3808" s="235" t="s">
        <v>628</v>
      </c>
      <c r="Z3808" s="245"/>
      <c r="AA3808" s="245"/>
      <c r="AB3808" s="245"/>
      <c r="AC3808" s="235" t="s">
        <v>18813</v>
      </c>
      <c r="AD3808" s="235" t="s">
        <v>666</v>
      </c>
      <c r="AE3808" s="238">
        <v>624703.0</v>
      </c>
      <c r="AF3808" s="235" t="s">
        <v>631</v>
      </c>
      <c r="AG3808" s="245"/>
      <c r="AH3808" s="245"/>
      <c r="AI3808" s="245"/>
      <c r="AJ3808" s="245"/>
      <c r="AK3808" s="245"/>
      <c r="AL3808" s="245"/>
      <c r="AM3808" s="245"/>
      <c r="AN3808" s="245"/>
      <c r="AO3808" s="238">
        <v>0.0</v>
      </c>
      <c r="AP3808" s="238">
        <v>0.0</v>
      </c>
      <c r="AQ3808" s="235" t="s">
        <v>1328</v>
      </c>
      <c r="AR3808" s="243">
        <v>1.34E13</v>
      </c>
      <c r="AS3808" s="235" t="s">
        <v>20529</v>
      </c>
      <c r="AT3808" s="235" t="s">
        <v>155</v>
      </c>
      <c r="AU3808" s="235" t="s">
        <v>634</v>
      </c>
      <c r="AV3808" s="246" t="s">
        <v>635</v>
      </c>
      <c r="AW3808" s="227"/>
      <c r="AX3808" s="227"/>
      <c r="AY3808" s="227"/>
      <c r="AZ3808" s="227"/>
      <c r="BA3808" s="227"/>
      <c r="BB3808" s="227"/>
      <c r="BC3808" s="227"/>
      <c r="BD3808" s="227"/>
      <c r="BE3808" s="227"/>
      <c r="BF3808" s="227"/>
    </row>
    <row r="3809">
      <c r="A3809" s="235" t="s">
        <v>28505</v>
      </c>
      <c r="C3809" s="235" t="s">
        <v>28506</v>
      </c>
      <c r="D3809" s="235" t="s">
        <v>28507</v>
      </c>
      <c r="E3809" s="243">
        <v>6.52E13</v>
      </c>
      <c r="F3809" s="245"/>
      <c r="G3809" s="235" t="s">
        <v>28508</v>
      </c>
      <c r="H3809" s="235" t="s">
        <v>28509</v>
      </c>
      <c r="I3809" s="235" t="s">
        <v>28510</v>
      </c>
      <c r="J3809" s="235" t="s">
        <v>28511</v>
      </c>
      <c r="K3809" s="235" t="s">
        <v>28512</v>
      </c>
      <c r="N3809" s="235" t="s">
        <v>117</v>
      </c>
      <c r="O3809" s="235" t="s">
        <v>334</v>
      </c>
      <c r="P3809" s="238">
        <v>1.0</v>
      </c>
      <c r="Q3809" s="235" t="s">
        <v>627</v>
      </c>
      <c r="R3809" s="238">
        <v>233.33</v>
      </c>
      <c r="S3809" s="238">
        <v>11.32</v>
      </c>
      <c r="T3809" s="238">
        <v>0.0</v>
      </c>
      <c r="U3809" s="238">
        <v>0.0</v>
      </c>
      <c r="V3809" s="238">
        <v>0.0</v>
      </c>
      <c r="W3809" s="238">
        <v>0.0</v>
      </c>
      <c r="X3809" s="235" t="s">
        <v>628</v>
      </c>
      <c r="Z3809" s="245"/>
      <c r="AA3809" s="245"/>
      <c r="AB3809" s="245"/>
      <c r="AC3809" s="235" t="s">
        <v>678</v>
      </c>
      <c r="AD3809" s="235" t="s">
        <v>679</v>
      </c>
      <c r="AE3809" s="238">
        <v>560017.0</v>
      </c>
      <c r="AF3809" s="235" t="s">
        <v>631</v>
      </c>
      <c r="AG3809" s="245"/>
      <c r="AH3809" s="245"/>
      <c r="AI3809" s="245"/>
      <c r="AJ3809" s="245"/>
      <c r="AK3809" s="245"/>
      <c r="AL3809" s="245"/>
      <c r="AM3809" s="245"/>
      <c r="AN3809" s="245"/>
      <c r="AO3809" s="238">
        <v>-7.0</v>
      </c>
      <c r="AP3809" s="238">
        <v>0.0</v>
      </c>
      <c r="AQ3809" s="235" t="s">
        <v>632</v>
      </c>
      <c r="AR3809" s="243">
        <v>1.68E11</v>
      </c>
      <c r="AS3809" s="235" t="s">
        <v>26892</v>
      </c>
      <c r="AT3809" s="235" t="s">
        <v>156</v>
      </c>
      <c r="AU3809" s="235" t="s">
        <v>634</v>
      </c>
      <c r="AV3809" s="246" t="s">
        <v>635</v>
      </c>
      <c r="AW3809" s="227"/>
      <c r="AX3809" s="227"/>
      <c r="AY3809" s="227"/>
      <c r="AZ3809" s="227"/>
      <c r="BA3809" s="227"/>
      <c r="BB3809" s="227"/>
      <c r="BC3809" s="227"/>
      <c r="BD3809" s="227"/>
      <c r="BE3809" s="227"/>
      <c r="BF3809" s="227"/>
    </row>
    <row r="3810">
      <c r="A3810" s="235" t="s">
        <v>28513</v>
      </c>
      <c r="C3810" s="235" t="s">
        <v>28514</v>
      </c>
      <c r="D3810" s="235" t="s">
        <v>28515</v>
      </c>
      <c r="E3810" s="243">
        <v>6.51E13</v>
      </c>
      <c r="F3810" s="245"/>
      <c r="G3810" s="235" t="s">
        <v>28516</v>
      </c>
      <c r="H3810" s="235" t="s">
        <v>28517</v>
      </c>
      <c r="I3810" s="235" t="s">
        <v>28518</v>
      </c>
      <c r="J3810" s="235" t="s">
        <v>28519</v>
      </c>
      <c r="K3810" s="235" t="s">
        <v>28520</v>
      </c>
      <c r="N3810" s="235" t="s">
        <v>842</v>
      </c>
      <c r="O3810" s="235" t="s">
        <v>843</v>
      </c>
      <c r="P3810" s="238">
        <v>1.0</v>
      </c>
      <c r="Q3810" s="235" t="s">
        <v>627</v>
      </c>
      <c r="R3810" s="238">
        <v>237.14</v>
      </c>
      <c r="S3810" s="238">
        <v>11.86</v>
      </c>
      <c r="T3810" s="238">
        <v>0.0</v>
      </c>
      <c r="U3810" s="238">
        <v>0.0</v>
      </c>
      <c r="V3810" s="238">
        <v>0.0</v>
      </c>
      <c r="W3810" s="238">
        <v>0.0</v>
      </c>
      <c r="X3810" s="235" t="s">
        <v>628</v>
      </c>
      <c r="Z3810" s="245"/>
      <c r="AA3810" s="245"/>
      <c r="AB3810" s="245"/>
      <c r="AC3810" s="235" t="s">
        <v>28521</v>
      </c>
      <c r="AD3810" s="235" t="s">
        <v>630</v>
      </c>
      <c r="AE3810" s="238">
        <v>250404.0</v>
      </c>
      <c r="AF3810" s="235" t="s">
        <v>631</v>
      </c>
      <c r="AG3810" s="245"/>
      <c r="AH3810" s="245"/>
      <c r="AI3810" s="245"/>
      <c r="AJ3810" s="245"/>
      <c r="AK3810" s="245"/>
      <c r="AL3810" s="245"/>
      <c r="AM3810" s="245"/>
      <c r="AN3810" s="245"/>
      <c r="AO3810" s="238">
        <v>0.0</v>
      </c>
      <c r="AP3810" s="238">
        <v>0.0</v>
      </c>
      <c r="AQ3810" s="235" t="s">
        <v>632</v>
      </c>
      <c r="AR3810" s="243">
        <v>3.71E11</v>
      </c>
      <c r="AS3810" s="235" t="s">
        <v>25098</v>
      </c>
      <c r="AT3810" s="235" t="s">
        <v>533</v>
      </c>
      <c r="AU3810" s="235" t="s">
        <v>634</v>
      </c>
      <c r="AV3810" s="246" t="s">
        <v>635</v>
      </c>
      <c r="AW3810" s="227"/>
      <c r="AX3810" s="227"/>
      <c r="AY3810" s="227"/>
      <c r="AZ3810" s="227"/>
      <c r="BA3810" s="227"/>
      <c r="BB3810" s="227"/>
      <c r="BC3810" s="227"/>
      <c r="BD3810" s="227"/>
      <c r="BE3810" s="227"/>
      <c r="BF3810" s="227"/>
    </row>
    <row r="3811">
      <c r="A3811" s="235" t="s">
        <v>28522</v>
      </c>
      <c r="C3811" s="235" t="s">
        <v>28523</v>
      </c>
      <c r="D3811" s="235" t="s">
        <v>28524</v>
      </c>
      <c r="E3811" s="243">
        <v>6.52E13</v>
      </c>
      <c r="F3811" s="245"/>
      <c r="G3811" s="235" t="s">
        <v>28525</v>
      </c>
      <c r="H3811" s="235" t="s">
        <v>28526</v>
      </c>
      <c r="I3811" s="235" t="s">
        <v>28526</v>
      </c>
      <c r="J3811" s="235" t="s">
        <v>28527</v>
      </c>
      <c r="K3811" s="235" t="s">
        <v>28528</v>
      </c>
      <c r="N3811" s="235" t="s">
        <v>42</v>
      </c>
      <c r="O3811" s="235" t="s">
        <v>204</v>
      </c>
      <c r="P3811" s="238">
        <v>1.0</v>
      </c>
      <c r="Q3811" s="235" t="s">
        <v>627</v>
      </c>
      <c r="R3811" s="238">
        <v>236.2</v>
      </c>
      <c r="S3811" s="238">
        <v>11.8</v>
      </c>
      <c r="T3811" s="238">
        <v>0.0</v>
      </c>
      <c r="U3811" s="238">
        <v>0.0</v>
      </c>
      <c r="V3811" s="238">
        <v>0.0</v>
      </c>
      <c r="W3811" s="238">
        <v>0.0</v>
      </c>
      <c r="X3811" s="235" t="s">
        <v>628</v>
      </c>
      <c r="Z3811" s="245"/>
      <c r="AA3811" s="245"/>
      <c r="AB3811" s="245"/>
      <c r="AC3811" s="235" t="s">
        <v>687</v>
      </c>
      <c r="AD3811" s="235" t="s">
        <v>666</v>
      </c>
      <c r="AE3811" s="238">
        <v>600015.0</v>
      </c>
      <c r="AF3811" s="235" t="s">
        <v>631</v>
      </c>
      <c r="AG3811" s="245"/>
      <c r="AH3811" s="245"/>
      <c r="AI3811" s="245"/>
      <c r="AJ3811" s="245"/>
      <c r="AK3811" s="245"/>
      <c r="AL3811" s="245"/>
      <c r="AM3811" s="245"/>
      <c r="AN3811" s="245"/>
      <c r="AO3811" s="238">
        <v>0.0</v>
      </c>
      <c r="AP3811" s="238">
        <v>0.0</v>
      </c>
      <c r="AQ3811" s="235" t="s">
        <v>632</v>
      </c>
      <c r="AR3811" s="243">
        <v>1.68E11</v>
      </c>
      <c r="AS3811" s="235" t="s">
        <v>28482</v>
      </c>
      <c r="AT3811" s="235" t="s">
        <v>156</v>
      </c>
      <c r="AU3811" s="235" t="s">
        <v>634</v>
      </c>
      <c r="AV3811" s="246" t="s">
        <v>635</v>
      </c>
      <c r="AW3811" s="227"/>
      <c r="AX3811" s="227"/>
      <c r="AY3811" s="227"/>
      <c r="AZ3811" s="227"/>
      <c r="BA3811" s="227"/>
      <c r="BB3811" s="227"/>
      <c r="BC3811" s="227"/>
      <c r="BD3811" s="227"/>
      <c r="BE3811" s="227"/>
      <c r="BF3811" s="227"/>
    </row>
    <row r="3812">
      <c r="A3812" s="235" t="s">
        <v>28529</v>
      </c>
      <c r="C3812" s="235" t="s">
        <v>28530</v>
      </c>
      <c r="D3812" s="235" t="s">
        <v>28531</v>
      </c>
      <c r="E3812" s="243">
        <v>6.51E13</v>
      </c>
      <c r="F3812" s="245"/>
      <c r="G3812" s="235" t="s">
        <v>28532</v>
      </c>
      <c r="H3812" s="235" t="s">
        <v>28533</v>
      </c>
      <c r="I3812" s="235" t="s">
        <v>28533</v>
      </c>
      <c r="J3812" s="235" t="s">
        <v>28534</v>
      </c>
      <c r="K3812" s="235" t="s">
        <v>28535</v>
      </c>
      <c r="N3812" s="235" t="s">
        <v>962</v>
      </c>
      <c r="O3812" s="235" t="s">
        <v>963</v>
      </c>
      <c r="P3812" s="238">
        <v>1.0</v>
      </c>
      <c r="Q3812" s="235" t="s">
        <v>627</v>
      </c>
      <c r="R3812" s="238">
        <v>237.14</v>
      </c>
      <c r="S3812" s="238">
        <v>11.5</v>
      </c>
      <c r="T3812" s="238">
        <v>0.0</v>
      </c>
      <c r="U3812" s="238">
        <v>0.0</v>
      </c>
      <c r="V3812" s="238">
        <v>0.0</v>
      </c>
      <c r="W3812" s="238">
        <v>0.0</v>
      </c>
      <c r="X3812" s="235" t="s">
        <v>628</v>
      </c>
      <c r="Z3812" s="245"/>
      <c r="AA3812" s="245"/>
      <c r="AB3812" s="245"/>
      <c r="AC3812" s="235" t="s">
        <v>28536</v>
      </c>
      <c r="AD3812" s="235" t="s">
        <v>1086</v>
      </c>
      <c r="AE3812" s="238">
        <v>151201.0</v>
      </c>
      <c r="AF3812" s="235" t="s">
        <v>631</v>
      </c>
      <c r="AG3812" s="245"/>
      <c r="AH3812" s="245"/>
      <c r="AI3812" s="245"/>
      <c r="AJ3812" s="245"/>
      <c r="AK3812" s="245"/>
      <c r="AL3812" s="245"/>
      <c r="AM3812" s="245"/>
      <c r="AN3812" s="245"/>
      <c r="AO3812" s="238">
        <v>-7.11</v>
      </c>
      <c r="AP3812" s="238">
        <v>0.0</v>
      </c>
      <c r="AQ3812" s="235" t="s">
        <v>632</v>
      </c>
      <c r="AR3812" s="243">
        <v>3.71E11</v>
      </c>
      <c r="AS3812" s="235" t="s">
        <v>25098</v>
      </c>
      <c r="AT3812" s="235" t="s">
        <v>13</v>
      </c>
      <c r="AU3812" s="235" t="s">
        <v>634</v>
      </c>
      <c r="AV3812" s="246" t="s">
        <v>635</v>
      </c>
      <c r="AW3812" s="227"/>
      <c r="AX3812" s="227"/>
      <c r="AY3812" s="227"/>
      <c r="AZ3812" s="227"/>
      <c r="BA3812" s="227"/>
      <c r="BB3812" s="227"/>
      <c r="BC3812" s="227"/>
      <c r="BD3812" s="227"/>
      <c r="BE3812" s="227"/>
      <c r="BF3812" s="227"/>
    </row>
    <row r="3813">
      <c r="A3813" s="235" t="s">
        <v>28537</v>
      </c>
      <c r="C3813" s="235" t="s">
        <v>28538</v>
      </c>
      <c r="D3813" s="235" t="s">
        <v>28539</v>
      </c>
      <c r="E3813" s="243">
        <v>6.51E13</v>
      </c>
      <c r="F3813" s="245"/>
      <c r="G3813" s="235" t="s">
        <v>28540</v>
      </c>
      <c r="H3813" s="235" t="s">
        <v>28541</v>
      </c>
      <c r="I3813" s="235" t="s">
        <v>28541</v>
      </c>
      <c r="J3813" s="235" t="s">
        <v>28542</v>
      </c>
      <c r="K3813" s="235" t="s">
        <v>28543</v>
      </c>
      <c r="N3813" s="235" t="s">
        <v>154</v>
      </c>
      <c r="O3813" s="235" t="s">
        <v>766</v>
      </c>
      <c r="P3813" s="238">
        <v>1.0</v>
      </c>
      <c r="Q3813" s="235" t="s">
        <v>627</v>
      </c>
      <c r="R3813" s="238">
        <v>423.8</v>
      </c>
      <c r="S3813" s="238">
        <v>20.56</v>
      </c>
      <c r="T3813" s="238">
        <v>0.0</v>
      </c>
      <c r="U3813" s="238">
        <v>0.0</v>
      </c>
      <c r="V3813" s="238">
        <v>0.0</v>
      </c>
      <c r="W3813" s="238">
        <v>0.0</v>
      </c>
      <c r="X3813" s="235" t="s">
        <v>628</v>
      </c>
      <c r="Z3813" s="245"/>
      <c r="AA3813" s="245"/>
      <c r="AB3813" s="245"/>
      <c r="AC3813" s="235" t="s">
        <v>844</v>
      </c>
      <c r="AD3813" s="235" t="s">
        <v>845</v>
      </c>
      <c r="AE3813" s="238">
        <v>411045.0</v>
      </c>
      <c r="AF3813" s="235" t="s">
        <v>631</v>
      </c>
      <c r="AG3813" s="245"/>
      <c r="AH3813" s="245"/>
      <c r="AI3813" s="245"/>
      <c r="AJ3813" s="245"/>
      <c r="AK3813" s="245"/>
      <c r="AL3813" s="245"/>
      <c r="AM3813" s="245"/>
      <c r="AN3813" s="245"/>
      <c r="AO3813" s="238">
        <v>-12.71</v>
      </c>
      <c r="AP3813" s="238">
        <v>0.0</v>
      </c>
      <c r="AQ3813" s="235" t="s">
        <v>632</v>
      </c>
      <c r="AR3813" s="243">
        <v>1.68E11</v>
      </c>
      <c r="AS3813" s="235" t="s">
        <v>28482</v>
      </c>
      <c r="AT3813" s="235" t="s">
        <v>546</v>
      </c>
      <c r="AU3813" s="235" t="s">
        <v>634</v>
      </c>
      <c r="AV3813" s="246" t="s">
        <v>635</v>
      </c>
      <c r="AW3813" s="227"/>
      <c r="AX3813" s="227"/>
      <c r="AY3813" s="227"/>
      <c r="AZ3813" s="227"/>
      <c r="BA3813" s="227"/>
      <c r="BB3813" s="227"/>
      <c r="BC3813" s="227"/>
      <c r="BD3813" s="227"/>
      <c r="BE3813" s="227"/>
      <c r="BF3813" s="227"/>
    </row>
    <row r="3814">
      <c r="A3814" s="235" t="s">
        <v>28544</v>
      </c>
      <c r="C3814" s="235" t="s">
        <v>28545</v>
      </c>
      <c r="D3814" s="235" t="s">
        <v>28546</v>
      </c>
      <c r="E3814" s="243">
        <v>6.51E13</v>
      </c>
      <c r="F3814" s="245"/>
      <c r="G3814" s="235" t="s">
        <v>28547</v>
      </c>
      <c r="H3814" s="235" t="s">
        <v>28548</v>
      </c>
      <c r="I3814" s="235" t="s">
        <v>28549</v>
      </c>
      <c r="J3814" s="235" t="s">
        <v>28550</v>
      </c>
      <c r="K3814" s="235" t="s">
        <v>28551</v>
      </c>
      <c r="N3814" s="235" t="s">
        <v>842</v>
      </c>
      <c r="O3814" s="235" t="s">
        <v>843</v>
      </c>
      <c r="P3814" s="238">
        <v>1.0</v>
      </c>
      <c r="Q3814" s="235" t="s">
        <v>627</v>
      </c>
      <c r="R3814" s="238">
        <v>237.14</v>
      </c>
      <c r="S3814" s="238">
        <v>11.62</v>
      </c>
      <c r="T3814" s="238">
        <v>0.0</v>
      </c>
      <c r="U3814" s="238">
        <v>0.0</v>
      </c>
      <c r="V3814" s="238">
        <v>0.0</v>
      </c>
      <c r="W3814" s="238">
        <v>0.0</v>
      </c>
      <c r="X3814" s="235" t="s">
        <v>628</v>
      </c>
      <c r="Z3814" s="245"/>
      <c r="AA3814" s="245"/>
      <c r="AB3814" s="245"/>
      <c r="AC3814" s="235" t="s">
        <v>678</v>
      </c>
      <c r="AD3814" s="235" t="s">
        <v>679</v>
      </c>
      <c r="AE3814" s="238">
        <v>560102.0</v>
      </c>
      <c r="AF3814" s="235" t="s">
        <v>631</v>
      </c>
      <c r="AG3814" s="245"/>
      <c r="AH3814" s="245"/>
      <c r="AI3814" s="245"/>
      <c r="AJ3814" s="245"/>
      <c r="AK3814" s="245"/>
      <c r="AL3814" s="245"/>
      <c r="AM3814" s="245"/>
      <c r="AN3814" s="245"/>
      <c r="AO3814" s="238">
        <v>-4.74</v>
      </c>
      <c r="AP3814" s="238">
        <v>0.0</v>
      </c>
      <c r="AQ3814" s="235" t="s">
        <v>632</v>
      </c>
      <c r="AR3814" s="243">
        <v>1.68E11</v>
      </c>
      <c r="AS3814" s="235" t="s">
        <v>28482</v>
      </c>
      <c r="AT3814" s="235" t="s">
        <v>11</v>
      </c>
      <c r="AU3814" s="235" t="s">
        <v>634</v>
      </c>
      <c r="AV3814" s="246" t="s">
        <v>635</v>
      </c>
      <c r="AW3814" s="227"/>
      <c r="AX3814" s="227"/>
      <c r="AY3814" s="227"/>
      <c r="AZ3814" s="227"/>
      <c r="BA3814" s="227"/>
      <c r="BB3814" s="227"/>
      <c r="BC3814" s="227"/>
      <c r="BD3814" s="227"/>
      <c r="BE3814" s="227"/>
      <c r="BF3814" s="227"/>
    </row>
    <row r="3815">
      <c r="A3815" s="235" t="s">
        <v>28552</v>
      </c>
      <c r="C3815" s="235" t="s">
        <v>28553</v>
      </c>
      <c r="D3815" s="235" t="s">
        <v>28554</v>
      </c>
      <c r="E3815" s="243">
        <v>6.51E13</v>
      </c>
      <c r="F3815" s="245"/>
      <c r="G3815" s="235" t="s">
        <v>28555</v>
      </c>
      <c r="H3815" s="235" t="s">
        <v>28556</v>
      </c>
      <c r="I3815" s="235" t="s">
        <v>28556</v>
      </c>
      <c r="J3815" s="235" t="s">
        <v>28557</v>
      </c>
      <c r="K3815" s="235" t="s">
        <v>28558</v>
      </c>
      <c r="N3815" s="235" t="s">
        <v>49</v>
      </c>
      <c r="O3815" s="235" t="s">
        <v>321</v>
      </c>
      <c r="P3815" s="238">
        <v>1.0</v>
      </c>
      <c r="Q3815" s="235" t="s">
        <v>627</v>
      </c>
      <c r="R3815" s="238">
        <v>233.33</v>
      </c>
      <c r="S3815" s="238">
        <v>11.32</v>
      </c>
      <c r="T3815" s="238">
        <v>0.0</v>
      </c>
      <c r="U3815" s="238">
        <v>0.0</v>
      </c>
      <c r="V3815" s="238">
        <v>0.0</v>
      </c>
      <c r="W3815" s="238">
        <v>0.0</v>
      </c>
      <c r="X3815" s="235" t="s">
        <v>628</v>
      </c>
      <c r="Z3815" s="245"/>
      <c r="AA3815" s="245"/>
      <c r="AB3815" s="245"/>
      <c r="AC3815" s="235" t="s">
        <v>697</v>
      </c>
      <c r="AD3815" s="235" t="s">
        <v>698</v>
      </c>
      <c r="AE3815" s="238">
        <v>500050.0</v>
      </c>
      <c r="AF3815" s="235" t="s">
        <v>631</v>
      </c>
      <c r="AG3815" s="245"/>
      <c r="AH3815" s="245"/>
      <c r="AI3815" s="245"/>
      <c r="AJ3815" s="245"/>
      <c r="AK3815" s="245"/>
      <c r="AL3815" s="245"/>
      <c r="AM3815" s="245"/>
      <c r="AN3815" s="245"/>
      <c r="AO3815" s="238">
        <v>-7.0</v>
      </c>
      <c r="AP3815" s="238">
        <v>0.0</v>
      </c>
      <c r="AQ3815" s="235" t="s">
        <v>632</v>
      </c>
      <c r="AR3815" s="243">
        <v>1.68E11</v>
      </c>
      <c r="AS3815" s="235" t="s">
        <v>26892</v>
      </c>
      <c r="AT3815" s="235" t="s">
        <v>156</v>
      </c>
      <c r="AU3815" s="235" t="s">
        <v>634</v>
      </c>
      <c r="AV3815" s="246" t="s">
        <v>635</v>
      </c>
      <c r="AW3815" s="227"/>
      <c r="AX3815" s="227"/>
      <c r="AY3815" s="227"/>
      <c r="AZ3815" s="227"/>
      <c r="BA3815" s="227"/>
      <c r="BB3815" s="227"/>
      <c r="BC3815" s="227"/>
      <c r="BD3815" s="227"/>
      <c r="BE3815" s="227"/>
      <c r="BF3815" s="227"/>
    </row>
    <row r="3816">
      <c r="A3816" s="235" t="s">
        <v>28552</v>
      </c>
      <c r="C3816" s="235" t="s">
        <v>28553</v>
      </c>
      <c r="D3816" s="235" t="s">
        <v>28559</v>
      </c>
      <c r="E3816" s="243">
        <v>6.51E13</v>
      </c>
      <c r="F3816" s="245"/>
      <c r="G3816" s="235" t="s">
        <v>28555</v>
      </c>
      <c r="H3816" s="235" t="s">
        <v>28556</v>
      </c>
      <c r="I3816" s="235" t="s">
        <v>28556</v>
      </c>
      <c r="J3816" s="235" t="s">
        <v>28557</v>
      </c>
      <c r="K3816" s="235" t="s">
        <v>28558</v>
      </c>
      <c r="N3816" s="235" t="s">
        <v>49</v>
      </c>
      <c r="O3816" s="235" t="s">
        <v>321</v>
      </c>
      <c r="P3816" s="238">
        <v>1.0</v>
      </c>
      <c r="Q3816" s="235" t="s">
        <v>627</v>
      </c>
      <c r="R3816" s="238">
        <v>233.33</v>
      </c>
      <c r="S3816" s="238">
        <v>11.32</v>
      </c>
      <c r="T3816" s="238">
        <v>0.0</v>
      </c>
      <c r="U3816" s="238">
        <v>0.0</v>
      </c>
      <c r="V3816" s="238">
        <v>0.0</v>
      </c>
      <c r="W3816" s="238">
        <v>0.0</v>
      </c>
      <c r="X3816" s="235" t="s">
        <v>628</v>
      </c>
      <c r="Z3816" s="245"/>
      <c r="AA3816" s="245"/>
      <c r="AB3816" s="245"/>
      <c r="AC3816" s="235" t="s">
        <v>697</v>
      </c>
      <c r="AD3816" s="235" t="s">
        <v>698</v>
      </c>
      <c r="AE3816" s="238">
        <v>500050.0</v>
      </c>
      <c r="AF3816" s="235" t="s">
        <v>631</v>
      </c>
      <c r="AG3816" s="245"/>
      <c r="AH3816" s="245"/>
      <c r="AI3816" s="245"/>
      <c r="AJ3816" s="245"/>
      <c r="AK3816" s="245"/>
      <c r="AL3816" s="245"/>
      <c r="AM3816" s="245"/>
      <c r="AN3816" s="245"/>
      <c r="AO3816" s="238">
        <v>-7.0</v>
      </c>
      <c r="AP3816" s="238">
        <v>0.0</v>
      </c>
      <c r="AQ3816" s="235" t="s">
        <v>632</v>
      </c>
      <c r="AR3816" s="243">
        <v>1.68E11</v>
      </c>
      <c r="AS3816" s="235" t="s">
        <v>26892</v>
      </c>
      <c r="AT3816" s="235" t="s">
        <v>156</v>
      </c>
      <c r="AU3816" s="235" t="s">
        <v>634</v>
      </c>
      <c r="AV3816" s="246" t="s">
        <v>635</v>
      </c>
      <c r="AW3816" s="227"/>
      <c r="AX3816" s="227"/>
      <c r="AY3816" s="227"/>
      <c r="AZ3816" s="227"/>
      <c r="BA3816" s="227"/>
      <c r="BB3816" s="227"/>
      <c r="BC3816" s="227"/>
      <c r="BD3816" s="227"/>
      <c r="BE3816" s="227"/>
      <c r="BF3816" s="227"/>
    </row>
    <row r="3817">
      <c r="A3817" s="235" t="s">
        <v>28560</v>
      </c>
      <c r="C3817" s="235" t="s">
        <v>28561</v>
      </c>
      <c r="D3817" s="235" t="s">
        <v>28562</v>
      </c>
      <c r="E3817" s="243">
        <v>6.52E13</v>
      </c>
      <c r="F3817" s="245"/>
      <c r="G3817" s="235" t="s">
        <v>28563</v>
      </c>
      <c r="H3817" s="235" t="s">
        <v>28564</v>
      </c>
      <c r="I3817" s="235" t="s">
        <v>28565</v>
      </c>
      <c r="J3817" s="235" t="s">
        <v>28566</v>
      </c>
      <c r="K3817" s="235" t="s">
        <v>28567</v>
      </c>
      <c r="N3817" s="235" t="s">
        <v>117</v>
      </c>
      <c r="O3817" s="235" t="s">
        <v>334</v>
      </c>
      <c r="P3817" s="238">
        <v>1.0</v>
      </c>
      <c r="Q3817" s="235" t="s">
        <v>627</v>
      </c>
      <c r="R3817" s="238">
        <v>233.33</v>
      </c>
      <c r="S3817" s="238">
        <v>11.32</v>
      </c>
      <c r="T3817" s="238">
        <v>0.0</v>
      </c>
      <c r="U3817" s="238">
        <v>0.0</v>
      </c>
      <c r="V3817" s="238">
        <v>0.0</v>
      </c>
      <c r="W3817" s="238">
        <v>0.0</v>
      </c>
      <c r="X3817" s="235" t="s">
        <v>628</v>
      </c>
      <c r="Z3817" s="245"/>
      <c r="AA3817" s="245"/>
      <c r="AB3817" s="245"/>
      <c r="AC3817" s="235" t="s">
        <v>697</v>
      </c>
      <c r="AD3817" s="235" t="s">
        <v>698</v>
      </c>
      <c r="AE3817" s="238">
        <v>500089.0</v>
      </c>
      <c r="AF3817" s="235" t="s">
        <v>631</v>
      </c>
      <c r="AG3817" s="245"/>
      <c r="AH3817" s="245"/>
      <c r="AI3817" s="245"/>
      <c r="AJ3817" s="245"/>
      <c r="AK3817" s="245"/>
      <c r="AL3817" s="245"/>
      <c r="AM3817" s="245"/>
      <c r="AN3817" s="245"/>
      <c r="AO3817" s="238">
        <v>-7.0</v>
      </c>
      <c r="AP3817" s="238">
        <v>0.0</v>
      </c>
      <c r="AQ3817" s="235" t="s">
        <v>632</v>
      </c>
      <c r="AR3817" s="243">
        <v>3.71E11</v>
      </c>
      <c r="AS3817" s="235" t="s">
        <v>25098</v>
      </c>
      <c r="AT3817" s="235" t="s">
        <v>17</v>
      </c>
      <c r="AU3817" s="235" t="s">
        <v>634</v>
      </c>
      <c r="AV3817" s="246" t="s">
        <v>635</v>
      </c>
      <c r="AW3817" s="227"/>
      <c r="AX3817" s="227"/>
      <c r="AY3817" s="227"/>
      <c r="AZ3817" s="227"/>
      <c r="BA3817" s="227"/>
      <c r="BB3817" s="227"/>
      <c r="BC3817" s="227"/>
      <c r="BD3817" s="227"/>
      <c r="BE3817" s="227"/>
      <c r="BF3817" s="227"/>
    </row>
    <row r="3818">
      <c r="A3818" s="235" t="s">
        <v>28568</v>
      </c>
      <c r="C3818" s="235" t="s">
        <v>28569</v>
      </c>
      <c r="D3818" s="235" t="s">
        <v>28570</v>
      </c>
      <c r="E3818" s="243">
        <v>6.51E13</v>
      </c>
      <c r="F3818" s="245"/>
      <c r="G3818" s="235" t="s">
        <v>28571</v>
      </c>
      <c r="H3818" s="235" t="s">
        <v>28572</v>
      </c>
      <c r="I3818" s="235" t="s">
        <v>28573</v>
      </c>
      <c r="J3818" s="235" t="s">
        <v>28574</v>
      </c>
      <c r="K3818" s="235" t="s">
        <v>28575</v>
      </c>
      <c r="N3818" s="235" t="s">
        <v>141</v>
      </c>
      <c r="O3818" s="235" t="s">
        <v>342</v>
      </c>
      <c r="P3818" s="238">
        <v>1.0</v>
      </c>
      <c r="Q3818" s="235" t="s">
        <v>627</v>
      </c>
      <c r="R3818" s="238">
        <v>233.33</v>
      </c>
      <c r="S3818" s="238">
        <v>11.67</v>
      </c>
      <c r="T3818" s="238">
        <v>0.0</v>
      </c>
      <c r="U3818" s="238">
        <v>0.0</v>
      </c>
      <c r="V3818" s="238">
        <v>0.0</v>
      </c>
      <c r="W3818" s="238">
        <v>0.0</v>
      </c>
      <c r="X3818" s="235" t="s">
        <v>628</v>
      </c>
      <c r="Z3818" s="245"/>
      <c r="AA3818" s="245"/>
      <c r="AB3818" s="245"/>
      <c r="AC3818" s="235" t="s">
        <v>6276</v>
      </c>
      <c r="AD3818" s="235" t="s">
        <v>1086</v>
      </c>
      <c r="AE3818" s="238">
        <v>140604.0</v>
      </c>
      <c r="AF3818" s="235" t="s">
        <v>631</v>
      </c>
      <c r="AG3818" s="245"/>
      <c r="AH3818" s="245"/>
      <c r="AI3818" s="245"/>
      <c r="AJ3818" s="245"/>
      <c r="AK3818" s="245"/>
      <c r="AL3818" s="245"/>
      <c r="AM3818" s="245"/>
      <c r="AN3818" s="245"/>
      <c r="AO3818" s="238">
        <v>0.0</v>
      </c>
      <c r="AP3818" s="238">
        <v>0.0</v>
      </c>
      <c r="AQ3818" s="235" t="s">
        <v>632</v>
      </c>
      <c r="AR3818" s="243">
        <v>3.71E11</v>
      </c>
      <c r="AS3818" s="235" t="s">
        <v>26892</v>
      </c>
      <c r="AT3818" s="235" t="s">
        <v>14</v>
      </c>
      <c r="AU3818" s="235" t="s">
        <v>634</v>
      </c>
      <c r="AV3818" s="246" t="s">
        <v>635</v>
      </c>
      <c r="AW3818" s="227"/>
      <c r="AX3818" s="227"/>
      <c r="AY3818" s="227"/>
      <c r="AZ3818" s="227"/>
      <c r="BA3818" s="227"/>
      <c r="BB3818" s="227"/>
      <c r="BC3818" s="227"/>
      <c r="BD3818" s="227"/>
      <c r="BE3818" s="227"/>
      <c r="BF3818" s="227"/>
    </row>
    <row r="3819">
      <c r="A3819" s="235" t="s">
        <v>28576</v>
      </c>
      <c r="C3819" s="235" t="s">
        <v>28577</v>
      </c>
      <c r="D3819" s="235" t="s">
        <v>28578</v>
      </c>
      <c r="E3819" s="243">
        <v>6.51E13</v>
      </c>
      <c r="F3819" s="245"/>
      <c r="G3819" s="235" t="s">
        <v>28579</v>
      </c>
      <c r="H3819" s="235" t="s">
        <v>28580</v>
      </c>
      <c r="I3819" s="235" t="s">
        <v>28580</v>
      </c>
      <c r="J3819" s="235" t="s">
        <v>28581</v>
      </c>
      <c r="K3819" s="235" t="s">
        <v>28582</v>
      </c>
      <c r="N3819" s="235" t="s">
        <v>154</v>
      </c>
      <c r="O3819" s="235" t="s">
        <v>766</v>
      </c>
      <c r="P3819" s="238">
        <v>1.0</v>
      </c>
      <c r="Q3819" s="235" t="s">
        <v>627</v>
      </c>
      <c r="R3819" s="238">
        <v>423.8</v>
      </c>
      <c r="S3819" s="238">
        <v>20.56</v>
      </c>
      <c r="T3819" s="238">
        <v>0.0</v>
      </c>
      <c r="U3819" s="238">
        <v>0.0</v>
      </c>
      <c r="V3819" s="238">
        <v>0.0</v>
      </c>
      <c r="W3819" s="238">
        <v>0.0</v>
      </c>
      <c r="X3819" s="235" t="s">
        <v>628</v>
      </c>
      <c r="Z3819" s="245"/>
      <c r="AA3819" s="245"/>
      <c r="AB3819" s="245"/>
      <c r="AC3819" s="235" t="s">
        <v>28583</v>
      </c>
      <c r="AD3819" s="235" t="s">
        <v>666</v>
      </c>
      <c r="AE3819" s="238">
        <v>625516.0</v>
      </c>
      <c r="AF3819" s="235" t="s">
        <v>631</v>
      </c>
      <c r="AG3819" s="245"/>
      <c r="AH3819" s="245"/>
      <c r="AI3819" s="245"/>
      <c r="AJ3819" s="245"/>
      <c r="AK3819" s="245"/>
      <c r="AL3819" s="245"/>
      <c r="AM3819" s="245"/>
      <c r="AN3819" s="245"/>
      <c r="AO3819" s="238">
        <v>-12.71</v>
      </c>
      <c r="AP3819" s="238">
        <v>0.0</v>
      </c>
      <c r="AQ3819" s="235" t="s">
        <v>632</v>
      </c>
      <c r="AR3819" s="243">
        <v>3.71E11</v>
      </c>
      <c r="AS3819" s="235" t="s">
        <v>26892</v>
      </c>
      <c r="AT3819" s="235" t="s">
        <v>155</v>
      </c>
      <c r="AU3819" s="235" t="s">
        <v>634</v>
      </c>
      <c r="AV3819" s="246" t="s">
        <v>635</v>
      </c>
      <c r="AW3819" s="227"/>
      <c r="AX3819" s="227"/>
      <c r="AY3819" s="227"/>
      <c r="AZ3819" s="227"/>
      <c r="BA3819" s="227"/>
      <c r="BB3819" s="227"/>
      <c r="BC3819" s="227"/>
      <c r="BD3819" s="227"/>
      <c r="BE3819" s="227"/>
      <c r="BF3819" s="227"/>
    </row>
    <row r="3820">
      <c r="A3820" s="235" t="s">
        <v>28584</v>
      </c>
      <c r="C3820" s="235" t="s">
        <v>28585</v>
      </c>
      <c r="D3820" s="235" t="s">
        <v>28586</v>
      </c>
      <c r="E3820" s="243">
        <v>6.51E13</v>
      </c>
      <c r="F3820" s="245"/>
      <c r="G3820" s="235" t="s">
        <v>28587</v>
      </c>
      <c r="H3820" s="235" t="s">
        <v>28588</v>
      </c>
      <c r="I3820" s="235" t="s">
        <v>28588</v>
      </c>
      <c r="J3820" s="235" t="s">
        <v>28589</v>
      </c>
      <c r="K3820" s="235" t="s">
        <v>28590</v>
      </c>
      <c r="N3820" s="235" t="s">
        <v>51</v>
      </c>
      <c r="O3820" s="235" t="s">
        <v>273</v>
      </c>
      <c r="P3820" s="238">
        <v>1.0</v>
      </c>
      <c r="Q3820" s="235" t="s">
        <v>627</v>
      </c>
      <c r="R3820" s="238">
        <v>246.66</v>
      </c>
      <c r="S3820" s="238">
        <v>12.34</v>
      </c>
      <c r="T3820" s="238">
        <v>38.1</v>
      </c>
      <c r="U3820" s="238">
        <v>1.9</v>
      </c>
      <c r="V3820" s="238">
        <v>0.0</v>
      </c>
      <c r="W3820" s="238">
        <v>0.0</v>
      </c>
      <c r="X3820" s="235" t="s">
        <v>628</v>
      </c>
      <c r="Z3820" s="245"/>
      <c r="AA3820" s="245"/>
      <c r="AB3820" s="245"/>
      <c r="AC3820" s="235" t="s">
        <v>5679</v>
      </c>
      <c r="AD3820" s="235" t="s">
        <v>679</v>
      </c>
      <c r="AE3820" s="238">
        <v>570028.0</v>
      </c>
      <c r="AF3820" s="235" t="s">
        <v>631</v>
      </c>
      <c r="AG3820" s="245"/>
      <c r="AH3820" s="245"/>
      <c r="AI3820" s="245"/>
      <c r="AJ3820" s="245"/>
      <c r="AK3820" s="245"/>
      <c r="AL3820" s="245"/>
      <c r="AM3820" s="245"/>
      <c r="AN3820" s="245"/>
      <c r="AO3820" s="238">
        <v>0.0</v>
      </c>
      <c r="AP3820" s="238">
        <v>-38.1</v>
      </c>
      <c r="AQ3820" s="235" t="s">
        <v>632</v>
      </c>
      <c r="AR3820" s="243">
        <v>3.71E11</v>
      </c>
      <c r="AS3820" s="235" t="s">
        <v>26892</v>
      </c>
      <c r="AT3820" s="235" t="s">
        <v>9</v>
      </c>
      <c r="AU3820" s="235" t="s">
        <v>634</v>
      </c>
      <c r="AV3820" s="246" t="s">
        <v>635</v>
      </c>
      <c r="AW3820" s="227"/>
      <c r="AX3820" s="227"/>
      <c r="AY3820" s="227"/>
      <c r="AZ3820" s="227"/>
      <c r="BA3820" s="227"/>
      <c r="BB3820" s="227"/>
      <c r="BC3820" s="227"/>
      <c r="BD3820" s="227"/>
      <c r="BE3820" s="227"/>
      <c r="BF3820" s="227"/>
    </row>
    <row r="3821">
      <c r="A3821" s="235" t="s">
        <v>28591</v>
      </c>
      <c r="C3821" s="235" t="s">
        <v>28592</v>
      </c>
      <c r="D3821" s="235" t="s">
        <v>28593</v>
      </c>
      <c r="E3821" s="243">
        <v>6.51E13</v>
      </c>
      <c r="F3821" s="245"/>
      <c r="G3821" s="235" t="s">
        <v>28594</v>
      </c>
      <c r="H3821" s="235" t="s">
        <v>28595</v>
      </c>
      <c r="I3821" s="235" t="s">
        <v>28595</v>
      </c>
      <c r="J3821" s="235" t="s">
        <v>28596</v>
      </c>
      <c r="K3821" s="235" t="s">
        <v>28597</v>
      </c>
      <c r="N3821" s="235" t="s">
        <v>2706</v>
      </c>
      <c r="O3821" s="235" t="s">
        <v>2707</v>
      </c>
      <c r="P3821" s="238">
        <v>1.0</v>
      </c>
      <c r="Q3821" s="235" t="s">
        <v>627</v>
      </c>
      <c r="R3821" s="238">
        <v>761.86</v>
      </c>
      <c r="S3821" s="238">
        <v>137.14</v>
      </c>
      <c r="T3821" s="238">
        <v>0.0</v>
      </c>
      <c r="U3821" s="238">
        <v>0.0</v>
      </c>
      <c r="V3821" s="238">
        <v>0.0</v>
      </c>
      <c r="W3821" s="238">
        <v>0.0</v>
      </c>
      <c r="X3821" s="235" t="s">
        <v>628</v>
      </c>
      <c r="Z3821" s="245"/>
      <c r="AA3821" s="245"/>
      <c r="AB3821" s="245"/>
      <c r="AC3821" s="235" t="s">
        <v>844</v>
      </c>
      <c r="AD3821" s="235" t="s">
        <v>845</v>
      </c>
      <c r="AE3821" s="238">
        <v>411057.0</v>
      </c>
      <c r="AF3821" s="235" t="s">
        <v>631</v>
      </c>
      <c r="AG3821" s="245"/>
      <c r="AH3821" s="245"/>
      <c r="AI3821" s="245"/>
      <c r="AJ3821" s="245"/>
      <c r="AK3821" s="245"/>
      <c r="AL3821" s="245"/>
      <c r="AM3821" s="245"/>
      <c r="AN3821" s="245"/>
      <c r="AO3821" s="238">
        <v>0.0</v>
      </c>
      <c r="AP3821" s="238">
        <v>0.0</v>
      </c>
      <c r="AQ3821" s="235" t="s">
        <v>632</v>
      </c>
      <c r="AR3821" s="243">
        <v>1.68E11</v>
      </c>
      <c r="AS3821" s="235" t="s">
        <v>26892</v>
      </c>
      <c r="AT3821" s="235" t="s">
        <v>16</v>
      </c>
      <c r="AU3821" s="235" t="s">
        <v>634</v>
      </c>
      <c r="AV3821" s="246" t="s">
        <v>635</v>
      </c>
      <c r="AW3821" s="227"/>
      <c r="AX3821" s="227"/>
      <c r="AY3821" s="227"/>
      <c r="AZ3821" s="227"/>
      <c r="BA3821" s="227"/>
      <c r="BB3821" s="227"/>
      <c r="BC3821" s="227"/>
      <c r="BD3821" s="227"/>
      <c r="BE3821" s="227"/>
      <c r="BF3821" s="227"/>
    </row>
    <row r="3822">
      <c r="A3822" s="235" t="s">
        <v>28598</v>
      </c>
      <c r="C3822" s="235" t="s">
        <v>28599</v>
      </c>
      <c r="D3822" s="235" t="s">
        <v>28600</v>
      </c>
      <c r="E3822" s="243">
        <v>6.51E13</v>
      </c>
      <c r="F3822" s="245"/>
      <c r="G3822" s="235" t="s">
        <v>28601</v>
      </c>
      <c r="H3822" s="235" t="s">
        <v>28602</v>
      </c>
      <c r="I3822" s="235" t="s">
        <v>28602</v>
      </c>
      <c r="J3822" s="235" t="s">
        <v>28603</v>
      </c>
      <c r="K3822" s="235" t="s">
        <v>28604</v>
      </c>
      <c r="N3822" s="235" t="s">
        <v>842</v>
      </c>
      <c r="O3822" s="235" t="s">
        <v>843</v>
      </c>
      <c r="P3822" s="238">
        <v>1.0</v>
      </c>
      <c r="Q3822" s="235" t="s">
        <v>627</v>
      </c>
      <c r="R3822" s="238">
        <v>237.14</v>
      </c>
      <c r="S3822" s="238">
        <v>11.62</v>
      </c>
      <c r="T3822" s="238">
        <v>0.0</v>
      </c>
      <c r="U3822" s="238">
        <v>0.0</v>
      </c>
      <c r="V3822" s="238">
        <v>0.0</v>
      </c>
      <c r="W3822" s="238">
        <v>0.0</v>
      </c>
      <c r="X3822" s="235" t="s">
        <v>628</v>
      </c>
      <c r="Z3822" s="245"/>
      <c r="AA3822" s="245"/>
      <c r="AB3822" s="245"/>
      <c r="AC3822" s="235" t="s">
        <v>1728</v>
      </c>
      <c r="AD3822" s="235" t="s">
        <v>630</v>
      </c>
      <c r="AE3822" s="238">
        <v>221007.0</v>
      </c>
      <c r="AF3822" s="235" t="s">
        <v>631</v>
      </c>
      <c r="AG3822" s="245"/>
      <c r="AH3822" s="245"/>
      <c r="AI3822" s="245"/>
      <c r="AJ3822" s="245"/>
      <c r="AK3822" s="245"/>
      <c r="AL3822" s="245"/>
      <c r="AM3822" s="245"/>
      <c r="AN3822" s="245"/>
      <c r="AO3822" s="238">
        <v>-4.74</v>
      </c>
      <c r="AP3822" s="238">
        <v>0.0</v>
      </c>
      <c r="AQ3822" s="235" t="s">
        <v>632</v>
      </c>
      <c r="AR3822" s="243">
        <v>3.71E11</v>
      </c>
      <c r="AS3822" s="235" t="s">
        <v>23542</v>
      </c>
      <c r="AT3822" s="235" t="s">
        <v>533</v>
      </c>
      <c r="AU3822" s="235" t="s">
        <v>634</v>
      </c>
      <c r="AV3822" s="246" t="s">
        <v>635</v>
      </c>
      <c r="AW3822" s="227"/>
      <c r="AX3822" s="227"/>
      <c r="AY3822" s="227"/>
      <c r="AZ3822" s="227"/>
      <c r="BA3822" s="227"/>
      <c r="BB3822" s="227"/>
      <c r="BC3822" s="227"/>
      <c r="BD3822" s="227"/>
      <c r="BE3822" s="227"/>
      <c r="BF3822" s="227"/>
    </row>
    <row r="3823">
      <c r="A3823" s="235" t="s">
        <v>28605</v>
      </c>
      <c r="C3823" s="235" t="s">
        <v>28606</v>
      </c>
      <c r="D3823" s="235" t="s">
        <v>28607</v>
      </c>
      <c r="E3823" s="243">
        <v>6.51E13</v>
      </c>
      <c r="F3823" s="245"/>
      <c r="G3823" s="235" t="s">
        <v>28608</v>
      </c>
      <c r="H3823" s="235" t="s">
        <v>28609</v>
      </c>
      <c r="I3823" s="235" t="s">
        <v>28610</v>
      </c>
      <c r="J3823" s="235" t="s">
        <v>28611</v>
      </c>
      <c r="K3823" s="235" t="s">
        <v>28612</v>
      </c>
      <c r="N3823" s="235" t="s">
        <v>51</v>
      </c>
      <c r="O3823" s="235" t="s">
        <v>273</v>
      </c>
      <c r="P3823" s="238">
        <v>1.0</v>
      </c>
      <c r="Q3823" s="235" t="s">
        <v>627</v>
      </c>
      <c r="R3823" s="238">
        <v>246.67</v>
      </c>
      <c r="S3823" s="238">
        <v>12.33</v>
      </c>
      <c r="T3823" s="238">
        <v>0.0</v>
      </c>
      <c r="U3823" s="238">
        <v>0.0</v>
      </c>
      <c r="V3823" s="238">
        <v>0.0</v>
      </c>
      <c r="W3823" s="238">
        <v>0.0</v>
      </c>
      <c r="X3823" s="235" t="s">
        <v>628</v>
      </c>
      <c r="Z3823" s="245"/>
      <c r="AA3823" s="245"/>
      <c r="AB3823" s="245"/>
      <c r="AC3823" s="235" t="s">
        <v>2493</v>
      </c>
      <c r="AD3823" s="235" t="s">
        <v>833</v>
      </c>
      <c r="AE3823" s="238">
        <v>521104.0</v>
      </c>
      <c r="AF3823" s="235" t="s">
        <v>631</v>
      </c>
      <c r="AG3823" s="245"/>
      <c r="AH3823" s="245"/>
      <c r="AI3823" s="245"/>
      <c r="AJ3823" s="245"/>
      <c r="AK3823" s="245"/>
      <c r="AL3823" s="245"/>
      <c r="AM3823" s="245"/>
      <c r="AN3823" s="245"/>
      <c r="AO3823" s="238">
        <v>0.0</v>
      </c>
      <c r="AP3823" s="238">
        <v>0.0</v>
      </c>
      <c r="AQ3823" s="235" t="s">
        <v>632</v>
      </c>
      <c r="AR3823" s="243">
        <v>1.68E11</v>
      </c>
      <c r="AS3823" s="235" t="s">
        <v>26892</v>
      </c>
      <c r="AT3823" s="235" t="s">
        <v>156</v>
      </c>
      <c r="AU3823" s="235" t="s">
        <v>634</v>
      </c>
      <c r="AV3823" s="246" t="s">
        <v>635</v>
      </c>
      <c r="AW3823" s="227"/>
      <c r="AX3823" s="227"/>
      <c r="AY3823" s="227"/>
      <c r="AZ3823" s="227"/>
      <c r="BA3823" s="227"/>
      <c r="BB3823" s="227"/>
      <c r="BC3823" s="227"/>
      <c r="BD3823" s="227"/>
      <c r="BE3823" s="227"/>
      <c r="BF3823" s="227"/>
    </row>
    <row r="3824">
      <c r="A3824" s="235" t="s">
        <v>28613</v>
      </c>
      <c r="C3824" s="235" t="s">
        <v>28614</v>
      </c>
      <c r="D3824" s="235" t="s">
        <v>28615</v>
      </c>
      <c r="E3824" s="243">
        <v>6.51E13</v>
      </c>
      <c r="F3824" s="245"/>
      <c r="G3824" s="235" t="s">
        <v>28616</v>
      </c>
      <c r="H3824" s="235" t="s">
        <v>28617</v>
      </c>
      <c r="I3824" s="235" t="s">
        <v>28617</v>
      </c>
      <c r="J3824" s="235" t="s">
        <v>28618</v>
      </c>
      <c r="K3824" s="235" t="s">
        <v>28619</v>
      </c>
      <c r="N3824" s="235" t="s">
        <v>962</v>
      </c>
      <c r="O3824" s="235" t="s">
        <v>963</v>
      </c>
      <c r="P3824" s="238">
        <v>1.0</v>
      </c>
      <c r="Q3824" s="235" t="s">
        <v>627</v>
      </c>
      <c r="R3824" s="238">
        <v>237.14</v>
      </c>
      <c r="S3824" s="238">
        <v>11.86</v>
      </c>
      <c r="T3824" s="238">
        <v>0.0</v>
      </c>
      <c r="U3824" s="238">
        <v>0.0</v>
      </c>
      <c r="V3824" s="238">
        <v>0.0</v>
      </c>
      <c r="W3824" s="238">
        <v>0.0</v>
      </c>
      <c r="X3824" s="235" t="s">
        <v>628</v>
      </c>
      <c r="Z3824" s="245"/>
      <c r="AA3824" s="245"/>
      <c r="AB3824" s="245"/>
      <c r="AC3824" s="235" t="s">
        <v>697</v>
      </c>
      <c r="AD3824" s="235" t="s">
        <v>698</v>
      </c>
      <c r="AE3824" s="238">
        <v>500089.0</v>
      </c>
      <c r="AF3824" s="235" t="s">
        <v>631</v>
      </c>
      <c r="AG3824" s="245"/>
      <c r="AH3824" s="245"/>
      <c r="AI3824" s="245"/>
      <c r="AJ3824" s="245"/>
      <c r="AK3824" s="245"/>
      <c r="AL3824" s="245"/>
      <c r="AM3824" s="245"/>
      <c r="AN3824" s="245"/>
      <c r="AO3824" s="238">
        <v>0.0</v>
      </c>
      <c r="AP3824" s="238">
        <v>0.0</v>
      </c>
      <c r="AQ3824" s="235" t="s">
        <v>632</v>
      </c>
      <c r="AR3824" s="243">
        <v>1.68E11</v>
      </c>
      <c r="AS3824" s="235" t="s">
        <v>26892</v>
      </c>
      <c r="AT3824" s="235" t="s">
        <v>9</v>
      </c>
      <c r="AU3824" s="235" t="s">
        <v>634</v>
      </c>
      <c r="AV3824" s="246" t="s">
        <v>635</v>
      </c>
      <c r="AW3824" s="227"/>
      <c r="AX3824" s="227"/>
      <c r="AY3824" s="227"/>
      <c r="AZ3824" s="227"/>
      <c r="BA3824" s="227"/>
      <c r="BB3824" s="227"/>
      <c r="BC3824" s="227"/>
      <c r="BD3824" s="227"/>
      <c r="BE3824" s="227"/>
      <c r="BF3824" s="227"/>
    </row>
    <row r="3825">
      <c r="A3825" s="235" t="s">
        <v>28620</v>
      </c>
      <c r="C3825" s="235" t="s">
        <v>28621</v>
      </c>
      <c r="D3825" s="235" t="s">
        <v>28622</v>
      </c>
      <c r="E3825" s="243">
        <v>6.51E13</v>
      </c>
      <c r="F3825" s="245"/>
      <c r="G3825" s="235" t="s">
        <v>28623</v>
      </c>
      <c r="H3825" s="235" t="s">
        <v>28624</v>
      </c>
      <c r="I3825" s="235" t="s">
        <v>28624</v>
      </c>
      <c r="J3825" s="235" t="s">
        <v>28625</v>
      </c>
      <c r="K3825" s="235" t="s">
        <v>28626</v>
      </c>
      <c r="N3825" s="235" t="s">
        <v>138</v>
      </c>
      <c r="O3825" s="235" t="s">
        <v>675</v>
      </c>
      <c r="P3825" s="238">
        <v>1.0</v>
      </c>
      <c r="Q3825" s="235" t="s">
        <v>627</v>
      </c>
      <c r="R3825" s="238">
        <v>233.34</v>
      </c>
      <c r="S3825" s="238">
        <v>11.66</v>
      </c>
      <c r="T3825" s="238">
        <v>0.0</v>
      </c>
      <c r="U3825" s="238">
        <v>0.0</v>
      </c>
      <c r="V3825" s="238">
        <v>0.0</v>
      </c>
      <c r="W3825" s="238">
        <v>0.0</v>
      </c>
      <c r="X3825" s="235" t="s">
        <v>628</v>
      </c>
      <c r="Z3825" s="245"/>
      <c r="AA3825" s="245"/>
      <c r="AB3825" s="245"/>
      <c r="AC3825" s="235" t="s">
        <v>28627</v>
      </c>
      <c r="AD3825" s="235" t="s">
        <v>928</v>
      </c>
      <c r="AE3825" s="238">
        <v>127032.0</v>
      </c>
      <c r="AF3825" s="235" t="s">
        <v>631</v>
      </c>
      <c r="AG3825" s="245"/>
      <c r="AH3825" s="245"/>
      <c r="AI3825" s="245"/>
      <c r="AJ3825" s="245"/>
      <c r="AK3825" s="245"/>
      <c r="AL3825" s="245"/>
      <c r="AM3825" s="245"/>
      <c r="AN3825" s="245"/>
      <c r="AO3825" s="238">
        <v>0.0</v>
      </c>
      <c r="AP3825" s="238">
        <v>0.0</v>
      </c>
      <c r="AQ3825" s="235" t="s">
        <v>632</v>
      </c>
      <c r="AR3825" s="243">
        <v>3.71E11</v>
      </c>
      <c r="AS3825" s="235" t="s">
        <v>26892</v>
      </c>
      <c r="AT3825" s="235" t="s">
        <v>533</v>
      </c>
      <c r="AU3825" s="235" t="s">
        <v>634</v>
      </c>
      <c r="AV3825" s="246" t="s">
        <v>635</v>
      </c>
      <c r="AW3825" s="227"/>
      <c r="AX3825" s="227"/>
      <c r="AY3825" s="227"/>
      <c r="AZ3825" s="227"/>
      <c r="BA3825" s="227"/>
      <c r="BB3825" s="227"/>
      <c r="BC3825" s="227"/>
      <c r="BD3825" s="227"/>
      <c r="BE3825" s="227"/>
      <c r="BF3825" s="227"/>
    </row>
    <row r="3826">
      <c r="A3826" s="235" t="s">
        <v>28628</v>
      </c>
      <c r="C3826" s="235" t="s">
        <v>28629</v>
      </c>
      <c r="D3826" s="235" t="s">
        <v>28630</v>
      </c>
      <c r="E3826" s="243">
        <v>6.52E13</v>
      </c>
      <c r="F3826" s="245"/>
      <c r="G3826" s="235" t="s">
        <v>28631</v>
      </c>
      <c r="H3826" s="235" t="s">
        <v>28632</v>
      </c>
      <c r="I3826" s="235" t="s">
        <v>28632</v>
      </c>
      <c r="J3826" s="235" t="s">
        <v>28633</v>
      </c>
      <c r="K3826" s="235" t="s">
        <v>28634</v>
      </c>
      <c r="N3826" s="235" t="s">
        <v>98</v>
      </c>
      <c r="O3826" s="235" t="s">
        <v>357</v>
      </c>
      <c r="P3826" s="238">
        <v>1.0</v>
      </c>
      <c r="Q3826" s="235" t="s">
        <v>627</v>
      </c>
      <c r="R3826" s="238">
        <v>237.14</v>
      </c>
      <c r="S3826" s="238">
        <v>11.86</v>
      </c>
      <c r="T3826" s="238">
        <v>0.0</v>
      </c>
      <c r="U3826" s="238">
        <v>0.0</v>
      </c>
      <c r="V3826" s="238">
        <v>0.0</v>
      </c>
      <c r="W3826" s="238">
        <v>0.0</v>
      </c>
      <c r="X3826" s="235" t="s">
        <v>628</v>
      </c>
      <c r="Z3826" s="245"/>
      <c r="AA3826" s="245"/>
      <c r="AB3826" s="245"/>
      <c r="AC3826" s="235" t="s">
        <v>678</v>
      </c>
      <c r="AD3826" s="235" t="s">
        <v>679</v>
      </c>
      <c r="AE3826" s="238">
        <v>560086.0</v>
      </c>
      <c r="AF3826" s="235" t="s">
        <v>631</v>
      </c>
      <c r="AG3826" s="245"/>
      <c r="AH3826" s="245"/>
      <c r="AI3826" s="245"/>
      <c r="AJ3826" s="245"/>
      <c r="AK3826" s="245"/>
      <c r="AL3826" s="245"/>
      <c r="AM3826" s="245"/>
      <c r="AN3826" s="245"/>
      <c r="AO3826" s="238">
        <v>0.0</v>
      </c>
      <c r="AP3826" s="238">
        <v>0.0</v>
      </c>
      <c r="AQ3826" s="235" t="s">
        <v>632</v>
      </c>
      <c r="AR3826" s="243">
        <v>1.68E11</v>
      </c>
      <c r="AS3826" s="235" t="s">
        <v>28482</v>
      </c>
      <c r="AT3826" s="235" t="s">
        <v>11</v>
      </c>
      <c r="AU3826" s="235" t="s">
        <v>634</v>
      </c>
      <c r="AV3826" s="246" t="s">
        <v>635</v>
      </c>
      <c r="AW3826" s="227"/>
      <c r="AX3826" s="227"/>
      <c r="AY3826" s="227"/>
      <c r="AZ3826" s="227"/>
      <c r="BA3826" s="227"/>
      <c r="BB3826" s="227"/>
      <c r="BC3826" s="227"/>
      <c r="BD3826" s="227"/>
      <c r="BE3826" s="227"/>
      <c r="BF3826" s="227"/>
    </row>
    <row r="3827">
      <c r="A3827" s="235" t="s">
        <v>28635</v>
      </c>
      <c r="C3827" s="235" t="s">
        <v>28636</v>
      </c>
      <c r="D3827" s="235" t="s">
        <v>28637</v>
      </c>
      <c r="E3827" s="243">
        <v>6.51E13</v>
      </c>
      <c r="F3827" s="245"/>
      <c r="G3827" s="235" t="s">
        <v>28638</v>
      </c>
      <c r="H3827" s="235" t="s">
        <v>28639</v>
      </c>
      <c r="I3827" s="235" t="s">
        <v>28639</v>
      </c>
      <c r="J3827" s="235" t="s">
        <v>28640</v>
      </c>
      <c r="K3827" s="235" t="s">
        <v>28641</v>
      </c>
      <c r="N3827" s="235" t="s">
        <v>15</v>
      </c>
      <c r="O3827" s="235" t="s">
        <v>856</v>
      </c>
      <c r="P3827" s="238">
        <v>1.0</v>
      </c>
      <c r="Q3827" s="235" t="s">
        <v>627</v>
      </c>
      <c r="R3827" s="238">
        <v>341.9</v>
      </c>
      <c r="S3827" s="238">
        <v>16.59</v>
      </c>
      <c r="T3827" s="238">
        <v>38.1</v>
      </c>
      <c r="U3827" s="238">
        <v>1.9</v>
      </c>
      <c r="V3827" s="238">
        <v>0.0</v>
      </c>
      <c r="W3827" s="238">
        <v>0.0</v>
      </c>
      <c r="X3827" s="235" t="s">
        <v>628</v>
      </c>
      <c r="Z3827" s="245"/>
      <c r="AA3827" s="245"/>
      <c r="AB3827" s="245"/>
      <c r="AC3827" s="235" t="s">
        <v>3912</v>
      </c>
      <c r="AD3827" s="235" t="s">
        <v>3913</v>
      </c>
      <c r="AE3827" s="238">
        <v>797113.0</v>
      </c>
      <c r="AF3827" s="235" t="s">
        <v>631</v>
      </c>
      <c r="AG3827" s="245"/>
      <c r="AH3827" s="245"/>
      <c r="AI3827" s="245"/>
      <c r="AJ3827" s="245"/>
      <c r="AK3827" s="245"/>
      <c r="AL3827" s="245"/>
      <c r="AM3827" s="245"/>
      <c r="AN3827" s="245"/>
      <c r="AO3827" s="238">
        <v>-10.26</v>
      </c>
      <c r="AP3827" s="238">
        <v>-38.1</v>
      </c>
      <c r="AQ3827" s="235" t="s">
        <v>632</v>
      </c>
      <c r="AR3827" s="243">
        <v>3.71E11</v>
      </c>
      <c r="AS3827" s="235" t="s">
        <v>23542</v>
      </c>
      <c r="AT3827" s="235" t="s">
        <v>14</v>
      </c>
      <c r="AU3827" s="235" t="s">
        <v>634</v>
      </c>
      <c r="AV3827" s="246" t="s">
        <v>635</v>
      </c>
      <c r="AW3827" s="227"/>
      <c r="AX3827" s="227"/>
      <c r="AY3827" s="227"/>
      <c r="AZ3827" s="227"/>
      <c r="BA3827" s="227"/>
      <c r="BB3827" s="227"/>
      <c r="BC3827" s="227"/>
      <c r="BD3827" s="227"/>
      <c r="BE3827" s="227"/>
      <c r="BF3827" s="227"/>
    </row>
    <row r="3828">
      <c r="A3828" s="235" t="s">
        <v>28635</v>
      </c>
      <c r="C3828" s="235" t="s">
        <v>28636</v>
      </c>
      <c r="D3828" s="235" t="s">
        <v>28642</v>
      </c>
      <c r="E3828" s="243">
        <v>6.51E13</v>
      </c>
      <c r="F3828" s="245"/>
      <c r="G3828" s="235" t="s">
        <v>28638</v>
      </c>
      <c r="H3828" s="235" t="s">
        <v>28639</v>
      </c>
      <c r="I3828" s="235" t="s">
        <v>28639</v>
      </c>
      <c r="J3828" s="235" t="s">
        <v>28640</v>
      </c>
      <c r="K3828" s="235" t="s">
        <v>28641</v>
      </c>
      <c r="N3828" s="235" t="s">
        <v>15</v>
      </c>
      <c r="O3828" s="235" t="s">
        <v>856</v>
      </c>
      <c r="P3828" s="238">
        <v>1.0</v>
      </c>
      <c r="Q3828" s="235" t="s">
        <v>627</v>
      </c>
      <c r="R3828" s="238">
        <v>341.9</v>
      </c>
      <c r="S3828" s="238">
        <v>16.59</v>
      </c>
      <c r="T3828" s="238">
        <v>38.1</v>
      </c>
      <c r="U3828" s="238">
        <v>1.9</v>
      </c>
      <c r="V3828" s="238">
        <v>0.0</v>
      </c>
      <c r="W3828" s="238">
        <v>0.0</v>
      </c>
      <c r="X3828" s="235" t="s">
        <v>628</v>
      </c>
      <c r="Z3828" s="245"/>
      <c r="AA3828" s="245"/>
      <c r="AB3828" s="245"/>
      <c r="AC3828" s="235" t="s">
        <v>3912</v>
      </c>
      <c r="AD3828" s="235" t="s">
        <v>3913</v>
      </c>
      <c r="AE3828" s="238">
        <v>797113.0</v>
      </c>
      <c r="AF3828" s="235" t="s">
        <v>631</v>
      </c>
      <c r="AG3828" s="245"/>
      <c r="AH3828" s="245"/>
      <c r="AI3828" s="245"/>
      <c r="AJ3828" s="245"/>
      <c r="AK3828" s="245"/>
      <c r="AL3828" s="245"/>
      <c r="AM3828" s="245"/>
      <c r="AN3828" s="245"/>
      <c r="AO3828" s="238">
        <v>-10.26</v>
      </c>
      <c r="AP3828" s="238">
        <v>-38.1</v>
      </c>
      <c r="AQ3828" s="235" t="s">
        <v>632</v>
      </c>
      <c r="AR3828" s="243">
        <v>3.71E11</v>
      </c>
      <c r="AS3828" s="235" t="s">
        <v>23542</v>
      </c>
      <c r="AT3828" s="235" t="s">
        <v>14</v>
      </c>
      <c r="AU3828" s="235" t="s">
        <v>634</v>
      </c>
      <c r="AV3828" s="246" t="s">
        <v>635</v>
      </c>
      <c r="AW3828" s="227"/>
      <c r="AX3828" s="227"/>
      <c r="AY3828" s="227"/>
      <c r="AZ3828" s="227"/>
      <c r="BA3828" s="227"/>
      <c r="BB3828" s="227"/>
      <c r="BC3828" s="227"/>
      <c r="BD3828" s="227"/>
      <c r="BE3828" s="227"/>
      <c r="BF3828" s="227"/>
    </row>
    <row r="3829">
      <c r="A3829" s="235" t="s">
        <v>28643</v>
      </c>
      <c r="C3829" s="235" t="s">
        <v>28644</v>
      </c>
      <c r="D3829" s="235" t="s">
        <v>28645</v>
      </c>
      <c r="E3829" s="243">
        <v>6.52E13</v>
      </c>
      <c r="F3829" s="245"/>
      <c r="G3829" s="235" t="s">
        <v>28646</v>
      </c>
      <c r="H3829" s="235" t="s">
        <v>28647</v>
      </c>
      <c r="I3829" s="235" t="s">
        <v>28647</v>
      </c>
      <c r="J3829" s="235" t="s">
        <v>28648</v>
      </c>
      <c r="K3829" s="235" t="s">
        <v>28649</v>
      </c>
      <c r="N3829" s="235" t="s">
        <v>51</v>
      </c>
      <c r="O3829" s="235" t="s">
        <v>273</v>
      </c>
      <c r="P3829" s="238">
        <v>1.0</v>
      </c>
      <c r="Q3829" s="235" t="s">
        <v>627</v>
      </c>
      <c r="R3829" s="238">
        <v>246.66</v>
      </c>
      <c r="S3829" s="238">
        <v>12.34</v>
      </c>
      <c r="T3829" s="238">
        <v>0.0</v>
      </c>
      <c r="U3829" s="238">
        <v>0.0</v>
      </c>
      <c r="V3829" s="238">
        <v>0.0</v>
      </c>
      <c r="W3829" s="238">
        <v>0.0</v>
      </c>
      <c r="X3829" s="235" t="s">
        <v>628</v>
      </c>
      <c r="Z3829" s="245"/>
      <c r="AA3829" s="245"/>
      <c r="AB3829" s="245"/>
      <c r="AC3829" s="235" t="s">
        <v>687</v>
      </c>
      <c r="AD3829" s="235" t="s">
        <v>666</v>
      </c>
      <c r="AE3829" s="238">
        <v>600004.0</v>
      </c>
      <c r="AF3829" s="235" t="s">
        <v>631</v>
      </c>
      <c r="AG3829" s="245"/>
      <c r="AH3829" s="245"/>
      <c r="AI3829" s="245"/>
      <c r="AJ3829" s="245"/>
      <c r="AK3829" s="245"/>
      <c r="AL3829" s="245"/>
      <c r="AM3829" s="245"/>
      <c r="AN3829" s="245"/>
      <c r="AO3829" s="238">
        <v>0.0</v>
      </c>
      <c r="AP3829" s="238">
        <v>0.0</v>
      </c>
      <c r="AQ3829" s="235" t="s">
        <v>632</v>
      </c>
      <c r="AR3829" s="243">
        <v>1.68E11</v>
      </c>
      <c r="AS3829" s="235" t="s">
        <v>28482</v>
      </c>
      <c r="AT3829" s="235" t="s">
        <v>156</v>
      </c>
      <c r="AU3829" s="235" t="s">
        <v>634</v>
      </c>
      <c r="AV3829" s="246" t="s">
        <v>635</v>
      </c>
      <c r="AW3829" s="227"/>
      <c r="AX3829" s="227"/>
      <c r="AY3829" s="227"/>
      <c r="AZ3829" s="227"/>
      <c r="BA3829" s="227"/>
      <c r="BB3829" s="227"/>
      <c r="BC3829" s="227"/>
      <c r="BD3829" s="227"/>
      <c r="BE3829" s="227"/>
      <c r="BF3829" s="227"/>
    </row>
    <row r="3830">
      <c r="A3830" s="235" t="s">
        <v>28650</v>
      </c>
      <c r="C3830" s="235" t="s">
        <v>28651</v>
      </c>
      <c r="D3830" s="235" t="s">
        <v>28652</v>
      </c>
      <c r="E3830" s="243">
        <v>6.51E13</v>
      </c>
      <c r="F3830" s="245"/>
      <c r="G3830" s="235" t="s">
        <v>28653</v>
      </c>
      <c r="H3830" s="235" t="s">
        <v>28654</v>
      </c>
      <c r="I3830" s="235" t="s">
        <v>28655</v>
      </c>
      <c r="J3830" s="235" t="s">
        <v>28656</v>
      </c>
      <c r="K3830" s="235" t="s">
        <v>28657</v>
      </c>
      <c r="N3830" s="235" t="s">
        <v>138</v>
      </c>
      <c r="O3830" s="235" t="s">
        <v>675</v>
      </c>
      <c r="P3830" s="238">
        <v>1.0</v>
      </c>
      <c r="Q3830" s="235" t="s">
        <v>627</v>
      </c>
      <c r="R3830" s="238">
        <v>233.34</v>
      </c>
      <c r="S3830" s="238">
        <v>11.66</v>
      </c>
      <c r="T3830" s="238">
        <v>0.0</v>
      </c>
      <c r="U3830" s="238">
        <v>0.0</v>
      </c>
      <c r="V3830" s="238">
        <v>0.0</v>
      </c>
      <c r="W3830" s="238">
        <v>0.0</v>
      </c>
      <c r="X3830" s="235" t="s">
        <v>628</v>
      </c>
      <c r="Z3830" s="245"/>
      <c r="AA3830" s="245"/>
      <c r="AB3830" s="245"/>
      <c r="AC3830" s="235" t="s">
        <v>1320</v>
      </c>
      <c r="AD3830" s="235" t="s">
        <v>666</v>
      </c>
      <c r="AE3830" s="238">
        <v>600100.0</v>
      </c>
      <c r="AF3830" s="235" t="s">
        <v>631</v>
      </c>
      <c r="AG3830" s="245"/>
      <c r="AH3830" s="245"/>
      <c r="AI3830" s="245"/>
      <c r="AJ3830" s="245"/>
      <c r="AK3830" s="245"/>
      <c r="AL3830" s="245"/>
      <c r="AM3830" s="245"/>
      <c r="AN3830" s="245"/>
      <c r="AO3830" s="238">
        <v>0.0</v>
      </c>
      <c r="AP3830" s="238">
        <v>0.0</v>
      </c>
      <c r="AQ3830" s="235" t="s">
        <v>632</v>
      </c>
      <c r="AR3830" s="243">
        <v>3.71E11</v>
      </c>
      <c r="AS3830" s="235" t="s">
        <v>26892</v>
      </c>
      <c r="AT3830" s="235" t="s">
        <v>156</v>
      </c>
      <c r="AU3830" s="235" t="s">
        <v>634</v>
      </c>
      <c r="AV3830" s="246" t="s">
        <v>635</v>
      </c>
      <c r="AW3830" s="227"/>
      <c r="AX3830" s="227"/>
      <c r="AY3830" s="227"/>
      <c r="AZ3830" s="227"/>
      <c r="BA3830" s="227"/>
      <c r="BB3830" s="227"/>
      <c r="BC3830" s="227"/>
      <c r="BD3830" s="227"/>
      <c r="BE3830" s="227"/>
      <c r="BF3830" s="227"/>
    </row>
    <row r="3831">
      <c r="A3831" s="235" t="s">
        <v>28658</v>
      </c>
      <c r="C3831" s="235" t="s">
        <v>28659</v>
      </c>
      <c r="D3831" s="235" t="s">
        <v>28660</v>
      </c>
      <c r="E3831" s="243">
        <v>6.51E13</v>
      </c>
      <c r="F3831" s="245"/>
      <c r="G3831" s="235" t="s">
        <v>28661</v>
      </c>
      <c r="H3831" s="235" t="s">
        <v>28662</v>
      </c>
      <c r="I3831" s="235" t="s">
        <v>28663</v>
      </c>
      <c r="J3831" s="235" t="s">
        <v>28664</v>
      </c>
      <c r="K3831" s="235" t="s">
        <v>28665</v>
      </c>
      <c r="N3831" s="235" t="s">
        <v>3467</v>
      </c>
      <c r="O3831" s="235" t="s">
        <v>3468</v>
      </c>
      <c r="P3831" s="238">
        <v>1.0</v>
      </c>
      <c r="Q3831" s="235" t="s">
        <v>627</v>
      </c>
      <c r="R3831" s="238">
        <v>237.14</v>
      </c>
      <c r="S3831" s="238">
        <v>11.86</v>
      </c>
      <c r="T3831" s="238">
        <v>0.0</v>
      </c>
      <c r="U3831" s="238">
        <v>0.0</v>
      </c>
      <c r="V3831" s="238">
        <v>0.0</v>
      </c>
      <c r="W3831" s="238">
        <v>0.0</v>
      </c>
      <c r="X3831" s="235" t="s">
        <v>628</v>
      </c>
      <c r="Z3831" s="245"/>
      <c r="AA3831" s="245"/>
      <c r="AB3831" s="245"/>
      <c r="AC3831" s="235" t="s">
        <v>1287</v>
      </c>
      <c r="AD3831" s="235" t="s">
        <v>630</v>
      </c>
      <c r="AE3831" s="238">
        <v>201012.0</v>
      </c>
      <c r="AF3831" s="235" t="s">
        <v>631</v>
      </c>
      <c r="AG3831" s="245"/>
      <c r="AH3831" s="245"/>
      <c r="AI3831" s="245"/>
      <c r="AJ3831" s="245"/>
      <c r="AK3831" s="245"/>
      <c r="AL3831" s="245"/>
      <c r="AM3831" s="245"/>
      <c r="AN3831" s="245"/>
      <c r="AO3831" s="238">
        <v>0.0</v>
      </c>
      <c r="AP3831" s="238">
        <v>0.0</v>
      </c>
      <c r="AQ3831" s="235" t="s">
        <v>632</v>
      </c>
      <c r="AR3831" s="243">
        <v>1.68E11</v>
      </c>
      <c r="AS3831" s="235" t="s">
        <v>28482</v>
      </c>
      <c r="AT3831" s="235" t="s">
        <v>533</v>
      </c>
      <c r="AU3831" s="235" t="s">
        <v>634</v>
      </c>
      <c r="AV3831" s="246" t="s">
        <v>635</v>
      </c>
      <c r="AW3831" s="227"/>
      <c r="AX3831" s="227"/>
      <c r="AY3831" s="227"/>
      <c r="AZ3831" s="227"/>
      <c r="BA3831" s="227"/>
      <c r="BB3831" s="227"/>
      <c r="BC3831" s="227"/>
      <c r="BD3831" s="227"/>
      <c r="BE3831" s="227"/>
      <c r="BF3831" s="227"/>
    </row>
    <row r="3832">
      <c r="A3832" s="235" t="s">
        <v>28666</v>
      </c>
      <c r="C3832" s="235" t="s">
        <v>28667</v>
      </c>
      <c r="D3832" s="235" t="s">
        <v>28668</v>
      </c>
      <c r="E3832" s="243">
        <v>6.51E13</v>
      </c>
      <c r="F3832" s="245"/>
      <c r="G3832" s="235" t="s">
        <v>28669</v>
      </c>
      <c r="H3832" s="235" t="s">
        <v>28670</v>
      </c>
      <c r="I3832" s="235" t="s">
        <v>28670</v>
      </c>
      <c r="J3832" s="235" t="s">
        <v>28671</v>
      </c>
      <c r="K3832" s="235" t="s">
        <v>28672</v>
      </c>
      <c r="N3832" s="235" t="s">
        <v>92</v>
      </c>
      <c r="O3832" s="235" t="s">
        <v>248</v>
      </c>
      <c r="P3832" s="238">
        <v>1.0</v>
      </c>
      <c r="Q3832" s="235" t="s">
        <v>627</v>
      </c>
      <c r="R3832" s="238">
        <v>233.33</v>
      </c>
      <c r="S3832" s="238">
        <v>11.32</v>
      </c>
      <c r="T3832" s="238">
        <v>0.0</v>
      </c>
      <c r="U3832" s="238">
        <v>0.0</v>
      </c>
      <c r="V3832" s="238">
        <v>0.0</v>
      </c>
      <c r="W3832" s="238">
        <v>0.0</v>
      </c>
      <c r="X3832" s="235" t="s">
        <v>628</v>
      </c>
      <c r="Z3832" s="245"/>
      <c r="AA3832" s="245"/>
      <c r="AB3832" s="245"/>
      <c r="AC3832" s="235" t="s">
        <v>28673</v>
      </c>
      <c r="AD3832" s="235" t="s">
        <v>1086</v>
      </c>
      <c r="AE3832" s="238">
        <v>145024.0</v>
      </c>
      <c r="AF3832" s="235" t="s">
        <v>631</v>
      </c>
      <c r="AG3832" s="245"/>
      <c r="AH3832" s="245"/>
      <c r="AI3832" s="245"/>
      <c r="AJ3832" s="245"/>
      <c r="AK3832" s="245"/>
      <c r="AL3832" s="245"/>
      <c r="AM3832" s="245"/>
      <c r="AN3832" s="245"/>
      <c r="AO3832" s="238">
        <v>-7.0</v>
      </c>
      <c r="AP3832" s="238">
        <v>0.0</v>
      </c>
      <c r="AQ3832" s="235" t="s">
        <v>632</v>
      </c>
      <c r="AR3832" s="243">
        <v>1.68E11</v>
      </c>
      <c r="AS3832" s="235" t="s">
        <v>26892</v>
      </c>
      <c r="AT3832" s="235" t="s">
        <v>533</v>
      </c>
      <c r="AU3832" s="235" t="s">
        <v>634</v>
      </c>
      <c r="AV3832" s="246" t="s">
        <v>635</v>
      </c>
      <c r="AW3832" s="227"/>
      <c r="AX3832" s="227"/>
      <c r="AY3832" s="227"/>
      <c r="AZ3832" s="227"/>
      <c r="BA3832" s="227"/>
      <c r="BB3832" s="227"/>
      <c r="BC3832" s="227"/>
      <c r="BD3832" s="227"/>
      <c r="BE3832" s="227"/>
      <c r="BF3832" s="227"/>
    </row>
    <row r="3833">
      <c r="A3833" s="235" t="s">
        <v>28674</v>
      </c>
      <c r="C3833" s="235" t="s">
        <v>28675</v>
      </c>
      <c r="D3833" s="235" t="s">
        <v>28676</v>
      </c>
      <c r="E3833" s="243">
        <v>6.52E13</v>
      </c>
      <c r="F3833" s="245"/>
      <c r="G3833" s="235" t="s">
        <v>28677</v>
      </c>
      <c r="H3833" s="235" t="s">
        <v>28678</v>
      </c>
      <c r="I3833" s="235" t="s">
        <v>28679</v>
      </c>
      <c r="J3833" s="235" t="s">
        <v>28680</v>
      </c>
      <c r="K3833" s="235" t="s">
        <v>28681</v>
      </c>
      <c r="N3833" s="235" t="s">
        <v>90</v>
      </c>
      <c r="O3833" s="235" t="s">
        <v>279</v>
      </c>
      <c r="P3833" s="238">
        <v>1.0</v>
      </c>
      <c r="Q3833" s="235" t="s">
        <v>627</v>
      </c>
      <c r="R3833" s="238">
        <v>246.67</v>
      </c>
      <c r="S3833" s="238">
        <v>12.33</v>
      </c>
      <c r="T3833" s="238">
        <v>0.0</v>
      </c>
      <c r="U3833" s="238">
        <v>0.0</v>
      </c>
      <c r="V3833" s="238">
        <v>0.0</v>
      </c>
      <c r="W3833" s="238">
        <v>0.0</v>
      </c>
      <c r="X3833" s="235" t="s">
        <v>628</v>
      </c>
      <c r="Z3833" s="245"/>
      <c r="AA3833" s="245"/>
      <c r="AB3833" s="245"/>
      <c r="AC3833" s="235" t="s">
        <v>28682</v>
      </c>
      <c r="AD3833" s="235" t="s">
        <v>698</v>
      </c>
      <c r="AE3833" s="238">
        <v>500101.0</v>
      </c>
      <c r="AF3833" s="235" t="s">
        <v>631</v>
      </c>
      <c r="AG3833" s="245"/>
      <c r="AH3833" s="245"/>
      <c r="AI3833" s="245"/>
      <c r="AJ3833" s="245"/>
      <c r="AK3833" s="245"/>
      <c r="AL3833" s="245"/>
      <c r="AM3833" s="245"/>
      <c r="AN3833" s="245"/>
      <c r="AO3833" s="238">
        <v>0.0</v>
      </c>
      <c r="AP3833" s="238">
        <v>0.0</v>
      </c>
      <c r="AQ3833" s="235" t="s">
        <v>632</v>
      </c>
      <c r="AR3833" s="243">
        <v>3.71E11</v>
      </c>
      <c r="AS3833" s="235" t="s">
        <v>25098</v>
      </c>
      <c r="AT3833" s="235" t="s">
        <v>16</v>
      </c>
      <c r="AU3833" s="235" t="s">
        <v>634</v>
      </c>
      <c r="AV3833" s="246" t="s">
        <v>635</v>
      </c>
      <c r="AW3833" s="227"/>
      <c r="AX3833" s="227"/>
      <c r="AY3833" s="227"/>
      <c r="AZ3833" s="227"/>
      <c r="BA3833" s="227"/>
      <c r="BB3833" s="227"/>
      <c r="BC3833" s="227"/>
      <c r="BD3833" s="227"/>
      <c r="BE3833" s="227"/>
      <c r="BF3833" s="227"/>
    </row>
    <row r="3834">
      <c r="A3834" s="235" t="s">
        <v>28683</v>
      </c>
      <c r="C3834" s="235" t="s">
        <v>28684</v>
      </c>
      <c r="D3834" s="235" t="s">
        <v>28685</v>
      </c>
      <c r="E3834" s="243">
        <v>6.51E13</v>
      </c>
      <c r="F3834" s="245"/>
      <c r="G3834" s="235" t="s">
        <v>28686</v>
      </c>
      <c r="H3834" s="235" t="s">
        <v>28687</v>
      </c>
      <c r="I3834" s="235" t="s">
        <v>28687</v>
      </c>
      <c r="J3834" s="235" t="s">
        <v>28688</v>
      </c>
      <c r="K3834" s="235" t="s">
        <v>28689</v>
      </c>
      <c r="N3834" s="235" t="s">
        <v>42</v>
      </c>
      <c r="O3834" s="235" t="s">
        <v>204</v>
      </c>
      <c r="P3834" s="238">
        <v>1.0</v>
      </c>
      <c r="Q3834" s="235" t="s">
        <v>627</v>
      </c>
      <c r="R3834" s="238">
        <v>237.14</v>
      </c>
      <c r="S3834" s="238">
        <v>11.86</v>
      </c>
      <c r="T3834" s="238">
        <v>0.0</v>
      </c>
      <c r="U3834" s="238">
        <v>0.0</v>
      </c>
      <c r="V3834" s="238">
        <v>0.0</v>
      </c>
      <c r="W3834" s="238">
        <v>0.0</v>
      </c>
      <c r="X3834" s="235" t="s">
        <v>628</v>
      </c>
      <c r="Z3834" s="245"/>
      <c r="AA3834" s="245"/>
      <c r="AB3834" s="245"/>
      <c r="AC3834" s="235" t="s">
        <v>3872</v>
      </c>
      <c r="AD3834" s="235" t="s">
        <v>666</v>
      </c>
      <c r="AE3834" s="238">
        <v>601301.0</v>
      </c>
      <c r="AF3834" s="235" t="s">
        <v>631</v>
      </c>
      <c r="AG3834" s="245"/>
      <c r="AH3834" s="245"/>
      <c r="AI3834" s="245"/>
      <c r="AJ3834" s="245"/>
      <c r="AK3834" s="245"/>
      <c r="AL3834" s="245"/>
      <c r="AM3834" s="245"/>
      <c r="AN3834" s="245"/>
      <c r="AO3834" s="238">
        <v>0.0</v>
      </c>
      <c r="AP3834" s="238">
        <v>0.0</v>
      </c>
      <c r="AQ3834" s="235" t="s">
        <v>1356</v>
      </c>
      <c r="AR3834" s="235" t="s">
        <v>28690</v>
      </c>
      <c r="AS3834" s="235" t="s">
        <v>20529</v>
      </c>
      <c r="AT3834" s="235" t="s">
        <v>156</v>
      </c>
      <c r="AU3834" s="235" t="s">
        <v>634</v>
      </c>
      <c r="AV3834" s="246" t="s">
        <v>635</v>
      </c>
      <c r="AW3834" s="227"/>
      <c r="AX3834" s="227"/>
      <c r="AY3834" s="227"/>
      <c r="AZ3834" s="227"/>
      <c r="BA3834" s="227"/>
      <c r="BB3834" s="227"/>
      <c r="BC3834" s="227"/>
      <c r="BD3834" s="227"/>
      <c r="BE3834" s="227"/>
      <c r="BF3834" s="227"/>
    </row>
    <row r="3835">
      <c r="A3835" s="235" t="s">
        <v>28691</v>
      </c>
      <c r="C3835" s="235" t="s">
        <v>28692</v>
      </c>
      <c r="D3835" s="235" t="s">
        <v>28693</v>
      </c>
      <c r="E3835" s="243">
        <v>6.51E13</v>
      </c>
      <c r="F3835" s="245"/>
      <c r="G3835" s="235" t="s">
        <v>28694</v>
      </c>
      <c r="H3835" s="235" t="s">
        <v>28695</v>
      </c>
      <c r="I3835" s="235" t="s">
        <v>28695</v>
      </c>
      <c r="J3835" s="235" t="s">
        <v>28696</v>
      </c>
      <c r="K3835" s="235" t="s">
        <v>28697</v>
      </c>
      <c r="N3835" s="235" t="s">
        <v>726</v>
      </c>
      <c r="O3835" s="235" t="s">
        <v>727</v>
      </c>
      <c r="P3835" s="238">
        <v>1.0</v>
      </c>
      <c r="Q3835" s="235" t="s">
        <v>627</v>
      </c>
      <c r="R3835" s="238">
        <v>244.76</v>
      </c>
      <c r="S3835" s="238">
        <v>12.24</v>
      </c>
      <c r="T3835" s="238">
        <v>38.1</v>
      </c>
      <c r="U3835" s="238">
        <v>1.9</v>
      </c>
      <c r="V3835" s="238">
        <v>0.0</v>
      </c>
      <c r="W3835" s="238">
        <v>0.0</v>
      </c>
      <c r="X3835" s="235" t="s">
        <v>628</v>
      </c>
      <c r="Z3835" s="245"/>
      <c r="AA3835" s="245"/>
      <c r="AB3835" s="245"/>
      <c r="AC3835" s="235" t="s">
        <v>1475</v>
      </c>
      <c r="AD3835" s="235" t="s">
        <v>796</v>
      </c>
      <c r="AE3835" s="238">
        <v>110092.0</v>
      </c>
      <c r="AF3835" s="235" t="s">
        <v>631</v>
      </c>
      <c r="AG3835" s="245"/>
      <c r="AH3835" s="245"/>
      <c r="AI3835" s="245"/>
      <c r="AJ3835" s="245"/>
      <c r="AK3835" s="245"/>
      <c r="AL3835" s="245"/>
      <c r="AM3835" s="245"/>
      <c r="AN3835" s="245"/>
      <c r="AO3835" s="238">
        <v>0.0</v>
      </c>
      <c r="AP3835" s="238">
        <v>-38.1</v>
      </c>
      <c r="AQ3835" s="235" t="s">
        <v>632</v>
      </c>
      <c r="AR3835" s="243">
        <v>3.71E11</v>
      </c>
      <c r="AS3835" s="235" t="s">
        <v>26892</v>
      </c>
      <c r="AT3835" s="235" t="s">
        <v>14</v>
      </c>
      <c r="AU3835" s="235" t="s">
        <v>634</v>
      </c>
      <c r="AV3835" s="246" t="s">
        <v>635</v>
      </c>
      <c r="AW3835" s="227"/>
      <c r="AX3835" s="227"/>
      <c r="AY3835" s="227"/>
      <c r="AZ3835" s="227"/>
      <c r="BA3835" s="227"/>
      <c r="BB3835" s="227"/>
      <c r="BC3835" s="227"/>
      <c r="BD3835" s="227"/>
      <c r="BE3835" s="227"/>
      <c r="BF3835" s="227"/>
    </row>
    <row r="3836">
      <c r="A3836" s="235" t="s">
        <v>28698</v>
      </c>
      <c r="C3836" s="235" t="s">
        <v>28699</v>
      </c>
      <c r="D3836" s="235" t="s">
        <v>28700</v>
      </c>
      <c r="E3836" s="243">
        <v>6.51E13</v>
      </c>
      <c r="F3836" s="245"/>
      <c r="G3836" s="235" t="s">
        <v>28701</v>
      </c>
      <c r="H3836" s="235" t="s">
        <v>28702</v>
      </c>
      <c r="I3836" s="235" t="s">
        <v>28702</v>
      </c>
      <c r="J3836" s="235" t="s">
        <v>28703</v>
      </c>
      <c r="K3836" s="235" t="s">
        <v>28704</v>
      </c>
      <c r="N3836" s="235" t="s">
        <v>145</v>
      </c>
      <c r="O3836" s="235" t="s">
        <v>370</v>
      </c>
      <c r="P3836" s="238">
        <v>1.0</v>
      </c>
      <c r="Q3836" s="235" t="s">
        <v>627</v>
      </c>
      <c r="R3836" s="238">
        <v>1475.24</v>
      </c>
      <c r="S3836" s="238">
        <v>73.76</v>
      </c>
      <c r="T3836" s="238">
        <v>0.0</v>
      </c>
      <c r="U3836" s="238">
        <v>0.0</v>
      </c>
      <c r="V3836" s="238">
        <v>0.0</v>
      </c>
      <c r="W3836" s="238">
        <v>0.0</v>
      </c>
      <c r="X3836" s="235" t="s">
        <v>628</v>
      </c>
      <c r="Z3836" s="245"/>
      <c r="AA3836" s="245"/>
      <c r="AB3836" s="245"/>
      <c r="AC3836" s="235" t="s">
        <v>687</v>
      </c>
      <c r="AD3836" s="235" t="s">
        <v>666</v>
      </c>
      <c r="AE3836" s="238">
        <v>600125.0</v>
      </c>
      <c r="AF3836" s="235" t="s">
        <v>631</v>
      </c>
      <c r="AG3836" s="245"/>
      <c r="AH3836" s="245"/>
      <c r="AI3836" s="245"/>
      <c r="AJ3836" s="245"/>
      <c r="AK3836" s="245"/>
      <c r="AL3836" s="245"/>
      <c r="AM3836" s="245"/>
      <c r="AN3836" s="245"/>
      <c r="AO3836" s="238">
        <v>0.0</v>
      </c>
      <c r="AP3836" s="238">
        <v>0.0</v>
      </c>
      <c r="AQ3836" s="235" t="s">
        <v>632</v>
      </c>
      <c r="AR3836" s="243">
        <v>3.71E11</v>
      </c>
      <c r="AS3836" s="235" t="s">
        <v>26892</v>
      </c>
      <c r="AT3836" s="235" t="s">
        <v>156</v>
      </c>
      <c r="AU3836" s="235" t="s">
        <v>634</v>
      </c>
      <c r="AV3836" s="246" t="s">
        <v>635</v>
      </c>
      <c r="AW3836" s="227"/>
      <c r="AX3836" s="227"/>
      <c r="AY3836" s="227"/>
      <c r="AZ3836" s="227"/>
      <c r="BA3836" s="227"/>
      <c r="BB3836" s="227"/>
      <c r="BC3836" s="227"/>
      <c r="BD3836" s="227"/>
      <c r="BE3836" s="227"/>
      <c r="BF3836" s="227"/>
    </row>
    <row r="3837">
      <c r="A3837" s="235" t="s">
        <v>28705</v>
      </c>
      <c r="C3837" s="235" t="s">
        <v>28706</v>
      </c>
      <c r="D3837" s="235" t="s">
        <v>28707</v>
      </c>
      <c r="E3837" s="243">
        <v>6.51E13</v>
      </c>
      <c r="F3837" s="245"/>
      <c r="G3837" s="235" t="s">
        <v>28708</v>
      </c>
      <c r="H3837" s="235" t="s">
        <v>28709</v>
      </c>
      <c r="I3837" s="235" t="s">
        <v>28710</v>
      </c>
      <c r="J3837" s="235" t="s">
        <v>28711</v>
      </c>
      <c r="K3837" s="235" t="s">
        <v>28712</v>
      </c>
      <c r="N3837" s="235" t="s">
        <v>42</v>
      </c>
      <c r="O3837" s="235" t="s">
        <v>204</v>
      </c>
      <c r="P3837" s="238">
        <v>1.0</v>
      </c>
      <c r="Q3837" s="235" t="s">
        <v>627</v>
      </c>
      <c r="R3837" s="238">
        <v>236.19</v>
      </c>
      <c r="S3837" s="238">
        <v>11.81</v>
      </c>
      <c r="T3837" s="238">
        <v>0.0</v>
      </c>
      <c r="U3837" s="238">
        <v>0.0</v>
      </c>
      <c r="V3837" s="238">
        <v>0.0</v>
      </c>
      <c r="W3837" s="238">
        <v>0.0</v>
      </c>
      <c r="X3837" s="235" t="s">
        <v>628</v>
      </c>
      <c r="Z3837" s="245"/>
      <c r="AA3837" s="245"/>
      <c r="AB3837" s="245"/>
      <c r="AC3837" s="235" t="s">
        <v>697</v>
      </c>
      <c r="AD3837" s="235" t="s">
        <v>698</v>
      </c>
      <c r="AE3837" s="238">
        <v>500084.0</v>
      </c>
      <c r="AF3837" s="235" t="s">
        <v>631</v>
      </c>
      <c r="AG3837" s="245"/>
      <c r="AH3837" s="245"/>
      <c r="AI3837" s="245"/>
      <c r="AJ3837" s="245"/>
      <c r="AK3837" s="245"/>
      <c r="AL3837" s="245"/>
      <c r="AM3837" s="245"/>
      <c r="AN3837" s="245"/>
      <c r="AO3837" s="238">
        <v>0.0</v>
      </c>
      <c r="AP3837" s="238">
        <v>0.0</v>
      </c>
      <c r="AQ3837" s="235" t="s">
        <v>632</v>
      </c>
      <c r="AR3837" s="243">
        <v>3.71E11</v>
      </c>
      <c r="AS3837" s="235" t="s">
        <v>25098</v>
      </c>
      <c r="AT3837" s="235" t="s">
        <v>16</v>
      </c>
      <c r="AU3837" s="235" t="s">
        <v>634</v>
      </c>
      <c r="AV3837" s="246" t="s">
        <v>635</v>
      </c>
      <c r="AW3837" s="227"/>
      <c r="AX3837" s="227"/>
      <c r="AY3837" s="227"/>
      <c r="AZ3837" s="227"/>
      <c r="BA3837" s="227"/>
      <c r="BB3837" s="227"/>
      <c r="BC3837" s="227"/>
      <c r="BD3837" s="227"/>
      <c r="BE3837" s="227"/>
      <c r="BF3837" s="227"/>
    </row>
    <row r="3838">
      <c r="A3838" s="235" t="s">
        <v>28713</v>
      </c>
      <c r="C3838" s="235" t="s">
        <v>28714</v>
      </c>
      <c r="D3838" s="235" t="s">
        <v>28715</v>
      </c>
      <c r="E3838" s="243">
        <v>6.51E13</v>
      </c>
      <c r="F3838" s="245"/>
      <c r="G3838" s="235" t="s">
        <v>28716</v>
      </c>
      <c r="H3838" s="235" t="s">
        <v>28717</v>
      </c>
      <c r="I3838" s="235" t="s">
        <v>28718</v>
      </c>
      <c r="J3838" s="235" t="s">
        <v>28719</v>
      </c>
      <c r="K3838" s="235" t="s">
        <v>28720</v>
      </c>
      <c r="N3838" s="235" t="s">
        <v>154</v>
      </c>
      <c r="O3838" s="235" t="s">
        <v>766</v>
      </c>
      <c r="P3838" s="238">
        <v>1.0</v>
      </c>
      <c r="Q3838" s="235" t="s">
        <v>627</v>
      </c>
      <c r="R3838" s="238">
        <v>423.81</v>
      </c>
      <c r="S3838" s="238">
        <v>20.55</v>
      </c>
      <c r="T3838" s="238">
        <v>0.0</v>
      </c>
      <c r="U3838" s="238">
        <v>0.0</v>
      </c>
      <c r="V3838" s="238">
        <v>0.0</v>
      </c>
      <c r="W3838" s="238">
        <v>0.0</v>
      </c>
      <c r="X3838" s="235" t="s">
        <v>628</v>
      </c>
      <c r="Z3838" s="245"/>
      <c r="AA3838" s="245"/>
      <c r="AB3838" s="245"/>
      <c r="AC3838" s="235" t="s">
        <v>1531</v>
      </c>
      <c r="AD3838" s="235" t="s">
        <v>1151</v>
      </c>
      <c r="AE3838" s="238">
        <v>700086.0</v>
      </c>
      <c r="AF3838" s="235" t="s">
        <v>631</v>
      </c>
      <c r="AG3838" s="245"/>
      <c r="AH3838" s="245"/>
      <c r="AI3838" s="245"/>
      <c r="AJ3838" s="245"/>
      <c r="AK3838" s="245"/>
      <c r="AL3838" s="245"/>
      <c r="AM3838" s="245"/>
      <c r="AN3838" s="245"/>
      <c r="AO3838" s="238">
        <v>-12.71</v>
      </c>
      <c r="AP3838" s="238">
        <v>0.0</v>
      </c>
      <c r="AQ3838" s="235" t="s">
        <v>632</v>
      </c>
      <c r="AR3838" s="243">
        <v>2.02E11</v>
      </c>
      <c r="AS3838" s="235" t="s">
        <v>26892</v>
      </c>
      <c r="AT3838" s="235" t="s">
        <v>14</v>
      </c>
      <c r="AU3838" s="235" t="s">
        <v>634</v>
      </c>
      <c r="AV3838" s="246" t="s">
        <v>635</v>
      </c>
      <c r="AW3838" s="227"/>
      <c r="AX3838" s="227"/>
      <c r="AY3838" s="227"/>
      <c r="AZ3838" s="227"/>
      <c r="BA3838" s="227"/>
      <c r="BB3838" s="227"/>
      <c r="BC3838" s="227"/>
      <c r="BD3838" s="227"/>
      <c r="BE3838" s="227"/>
      <c r="BF3838" s="227"/>
    </row>
    <row r="3839">
      <c r="A3839" s="235" t="s">
        <v>28721</v>
      </c>
      <c r="C3839" s="235" t="s">
        <v>28722</v>
      </c>
      <c r="D3839" s="235" t="s">
        <v>28723</v>
      </c>
      <c r="E3839" s="243">
        <v>6.51E13</v>
      </c>
      <c r="F3839" s="245"/>
      <c r="G3839" s="235" t="s">
        <v>28724</v>
      </c>
      <c r="H3839" s="235" t="s">
        <v>28725</v>
      </c>
      <c r="I3839" s="235" t="s">
        <v>28726</v>
      </c>
      <c r="J3839" s="235" t="s">
        <v>28727</v>
      </c>
      <c r="K3839" s="235" t="s">
        <v>28728</v>
      </c>
      <c r="N3839" s="235" t="s">
        <v>139</v>
      </c>
      <c r="O3839" s="235" t="s">
        <v>2091</v>
      </c>
      <c r="P3839" s="238">
        <v>1.0</v>
      </c>
      <c r="Q3839" s="235" t="s">
        <v>627</v>
      </c>
      <c r="R3839" s="238">
        <v>233.33</v>
      </c>
      <c r="S3839" s="238">
        <v>11.44</v>
      </c>
      <c r="T3839" s="238">
        <v>0.0</v>
      </c>
      <c r="U3839" s="238">
        <v>0.0</v>
      </c>
      <c r="V3839" s="238">
        <v>0.0</v>
      </c>
      <c r="W3839" s="238">
        <v>0.0</v>
      </c>
      <c r="X3839" s="235" t="s">
        <v>628</v>
      </c>
      <c r="Z3839" s="245"/>
      <c r="AA3839" s="245"/>
      <c r="AB3839" s="245"/>
      <c r="AC3839" s="235" t="s">
        <v>697</v>
      </c>
      <c r="AD3839" s="235" t="s">
        <v>698</v>
      </c>
      <c r="AE3839" s="238">
        <v>500019.0</v>
      </c>
      <c r="AF3839" s="235" t="s">
        <v>631</v>
      </c>
      <c r="AG3839" s="245"/>
      <c r="AH3839" s="245"/>
      <c r="AI3839" s="245"/>
      <c r="AJ3839" s="245"/>
      <c r="AK3839" s="245"/>
      <c r="AL3839" s="245"/>
      <c r="AM3839" s="245"/>
      <c r="AN3839" s="245"/>
      <c r="AO3839" s="238">
        <v>-4.67</v>
      </c>
      <c r="AP3839" s="238">
        <v>0.0</v>
      </c>
      <c r="AQ3839" s="235" t="s">
        <v>632</v>
      </c>
      <c r="AR3839" s="243">
        <v>1.68E11</v>
      </c>
      <c r="AS3839" s="235" t="s">
        <v>26892</v>
      </c>
      <c r="AT3839" s="235" t="s">
        <v>9</v>
      </c>
      <c r="AU3839" s="235" t="s">
        <v>634</v>
      </c>
      <c r="AV3839" s="246" t="s">
        <v>635</v>
      </c>
      <c r="AW3839" s="227"/>
      <c r="AX3839" s="227"/>
      <c r="AY3839" s="227"/>
      <c r="AZ3839" s="227"/>
      <c r="BA3839" s="227"/>
      <c r="BB3839" s="227"/>
      <c r="BC3839" s="227"/>
      <c r="BD3839" s="227"/>
      <c r="BE3839" s="227"/>
      <c r="BF3839" s="227"/>
    </row>
    <row r="3840">
      <c r="A3840" s="235" t="s">
        <v>28729</v>
      </c>
      <c r="C3840" s="235" t="s">
        <v>28730</v>
      </c>
      <c r="D3840" s="235" t="s">
        <v>28731</v>
      </c>
      <c r="E3840" s="243">
        <v>6.52E13</v>
      </c>
      <c r="F3840" s="245"/>
      <c r="G3840" s="235" t="s">
        <v>28732</v>
      </c>
      <c r="H3840" s="235" t="s">
        <v>28733</v>
      </c>
      <c r="I3840" s="235" t="s">
        <v>28725</v>
      </c>
      <c r="J3840" s="235" t="s">
        <v>28734</v>
      </c>
      <c r="K3840" s="235" t="s">
        <v>28735</v>
      </c>
      <c r="N3840" s="235" t="s">
        <v>842</v>
      </c>
      <c r="O3840" s="235" t="s">
        <v>843</v>
      </c>
      <c r="P3840" s="238">
        <v>1.0</v>
      </c>
      <c r="Q3840" s="235" t="s">
        <v>627</v>
      </c>
      <c r="R3840" s="238">
        <v>237.14</v>
      </c>
      <c r="S3840" s="238">
        <v>11.86</v>
      </c>
      <c r="T3840" s="238">
        <v>0.0</v>
      </c>
      <c r="U3840" s="238">
        <v>0.0</v>
      </c>
      <c r="V3840" s="238">
        <v>0.0</v>
      </c>
      <c r="W3840" s="238">
        <v>0.0</v>
      </c>
      <c r="X3840" s="235" t="s">
        <v>628</v>
      </c>
      <c r="Z3840" s="245"/>
      <c r="AA3840" s="245"/>
      <c r="AB3840" s="245"/>
      <c r="AC3840" s="235" t="s">
        <v>1961</v>
      </c>
      <c r="AD3840" s="235" t="s">
        <v>845</v>
      </c>
      <c r="AE3840" s="238">
        <v>411033.0</v>
      </c>
      <c r="AF3840" s="235" t="s">
        <v>631</v>
      </c>
      <c r="AG3840" s="245"/>
      <c r="AH3840" s="245"/>
      <c r="AI3840" s="245"/>
      <c r="AJ3840" s="245"/>
      <c r="AK3840" s="245"/>
      <c r="AL3840" s="245"/>
      <c r="AM3840" s="245"/>
      <c r="AN3840" s="245"/>
      <c r="AO3840" s="238">
        <v>0.0</v>
      </c>
      <c r="AP3840" s="238">
        <v>0.0</v>
      </c>
      <c r="AQ3840" s="235" t="s">
        <v>632</v>
      </c>
      <c r="AR3840" s="243">
        <v>1.68E11</v>
      </c>
      <c r="AS3840" s="235" t="s">
        <v>26892</v>
      </c>
      <c r="AT3840" s="235" t="s">
        <v>16</v>
      </c>
      <c r="AU3840" s="235" t="s">
        <v>634</v>
      </c>
      <c r="AV3840" s="246" t="s">
        <v>635</v>
      </c>
      <c r="AW3840" s="227"/>
      <c r="AX3840" s="227"/>
      <c r="AY3840" s="227"/>
      <c r="AZ3840" s="227"/>
      <c r="BA3840" s="227"/>
      <c r="BB3840" s="227"/>
      <c r="BC3840" s="227"/>
      <c r="BD3840" s="227"/>
      <c r="BE3840" s="227"/>
      <c r="BF3840" s="227"/>
    </row>
    <row r="3841">
      <c r="A3841" s="235" t="s">
        <v>28736</v>
      </c>
      <c r="C3841" s="235" t="s">
        <v>28737</v>
      </c>
      <c r="D3841" s="235" t="s">
        <v>28738</v>
      </c>
      <c r="E3841" s="243">
        <v>6.51E13</v>
      </c>
      <c r="F3841" s="245"/>
      <c r="G3841" s="235" t="s">
        <v>28739</v>
      </c>
      <c r="H3841" s="235" t="s">
        <v>28740</v>
      </c>
      <c r="I3841" s="235" t="s">
        <v>28740</v>
      </c>
      <c r="J3841" s="235" t="s">
        <v>28741</v>
      </c>
      <c r="K3841" s="235" t="s">
        <v>28742</v>
      </c>
      <c r="N3841" s="235" t="s">
        <v>42</v>
      </c>
      <c r="O3841" s="235" t="s">
        <v>204</v>
      </c>
      <c r="P3841" s="238">
        <v>1.0</v>
      </c>
      <c r="Q3841" s="235" t="s">
        <v>627</v>
      </c>
      <c r="R3841" s="238">
        <v>236.2</v>
      </c>
      <c r="S3841" s="238">
        <v>11.8</v>
      </c>
      <c r="T3841" s="238">
        <v>0.0</v>
      </c>
      <c r="U3841" s="238">
        <v>0.0</v>
      </c>
      <c r="V3841" s="238">
        <v>0.0</v>
      </c>
      <c r="W3841" s="238">
        <v>0.0</v>
      </c>
      <c r="X3841" s="235" t="s">
        <v>628</v>
      </c>
      <c r="Z3841" s="245"/>
      <c r="AA3841" s="245"/>
      <c r="AB3841" s="245"/>
      <c r="AC3841" s="235" t="s">
        <v>678</v>
      </c>
      <c r="AD3841" s="235" t="s">
        <v>679</v>
      </c>
      <c r="AE3841" s="238">
        <v>560060.0</v>
      </c>
      <c r="AF3841" s="235" t="s">
        <v>631</v>
      </c>
      <c r="AG3841" s="245"/>
      <c r="AH3841" s="245"/>
      <c r="AI3841" s="245"/>
      <c r="AJ3841" s="245"/>
      <c r="AK3841" s="245"/>
      <c r="AL3841" s="245"/>
      <c r="AM3841" s="245"/>
      <c r="AN3841" s="245"/>
      <c r="AO3841" s="238">
        <v>0.0</v>
      </c>
      <c r="AP3841" s="238">
        <v>0.0</v>
      </c>
      <c r="AQ3841" s="235" t="s">
        <v>632</v>
      </c>
      <c r="AR3841" s="243">
        <v>1.68E11</v>
      </c>
      <c r="AS3841" s="235" t="s">
        <v>28482</v>
      </c>
      <c r="AT3841" s="235" t="s">
        <v>9</v>
      </c>
      <c r="AU3841" s="235" t="s">
        <v>634</v>
      </c>
      <c r="AV3841" s="246" t="s">
        <v>635</v>
      </c>
      <c r="AW3841" s="227"/>
      <c r="AX3841" s="227"/>
      <c r="AY3841" s="227"/>
      <c r="AZ3841" s="227"/>
      <c r="BA3841" s="227"/>
      <c r="BB3841" s="227"/>
      <c r="BC3841" s="227"/>
      <c r="BD3841" s="227"/>
      <c r="BE3841" s="227"/>
      <c r="BF3841" s="227"/>
    </row>
    <row r="3842">
      <c r="A3842" s="235" t="s">
        <v>28743</v>
      </c>
      <c r="C3842" s="235" t="s">
        <v>28744</v>
      </c>
      <c r="D3842" s="235" t="s">
        <v>28745</v>
      </c>
      <c r="E3842" s="243">
        <v>6.51E13</v>
      </c>
      <c r="F3842" s="245"/>
      <c r="G3842" s="235" t="s">
        <v>28746</v>
      </c>
      <c r="H3842" s="235" t="s">
        <v>28747</v>
      </c>
      <c r="I3842" s="235" t="s">
        <v>28748</v>
      </c>
      <c r="J3842" s="235" t="s">
        <v>28749</v>
      </c>
      <c r="K3842" s="235" t="s">
        <v>28750</v>
      </c>
      <c r="N3842" s="235" t="s">
        <v>53</v>
      </c>
      <c r="O3842" s="235" t="s">
        <v>512</v>
      </c>
      <c r="P3842" s="238">
        <v>1.0</v>
      </c>
      <c r="Q3842" s="235" t="s">
        <v>627</v>
      </c>
      <c r="R3842" s="238">
        <v>233.34</v>
      </c>
      <c r="S3842" s="238">
        <v>11.66</v>
      </c>
      <c r="T3842" s="238">
        <v>0.0</v>
      </c>
      <c r="U3842" s="238">
        <v>0.0</v>
      </c>
      <c r="V3842" s="238">
        <v>0.0</v>
      </c>
      <c r="W3842" s="238">
        <v>0.0</v>
      </c>
      <c r="X3842" s="235" t="s">
        <v>628</v>
      </c>
      <c r="Z3842" s="245"/>
      <c r="AA3842" s="245"/>
      <c r="AB3842" s="245"/>
      <c r="AC3842" s="235" t="s">
        <v>1206</v>
      </c>
      <c r="AD3842" s="235" t="s">
        <v>5953</v>
      </c>
      <c r="AE3842" s="238">
        <v>560078.0</v>
      </c>
      <c r="AF3842" s="235" t="s">
        <v>631</v>
      </c>
      <c r="AG3842" s="245"/>
      <c r="AH3842" s="245"/>
      <c r="AI3842" s="245"/>
      <c r="AJ3842" s="245"/>
      <c r="AK3842" s="245"/>
      <c r="AL3842" s="245"/>
      <c r="AM3842" s="245"/>
      <c r="AN3842" s="245"/>
      <c r="AO3842" s="238">
        <v>0.0</v>
      </c>
      <c r="AP3842" s="238">
        <v>0.0</v>
      </c>
      <c r="AQ3842" s="235" t="s">
        <v>632</v>
      </c>
      <c r="AR3842" s="243">
        <v>1.68E11</v>
      </c>
      <c r="AS3842" s="235" t="s">
        <v>28482</v>
      </c>
      <c r="AT3842" s="235" t="s">
        <v>9</v>
      </c>
      <c r="AU3842" s="235" t="s">
        <v>634</v>
      </c>
      <c r="AV3842" s="246" t="s">
        <v>635</v>
      </c>
      <c r="AW3842" s="227"/>
      <c r="AX3842" s="227"/>
      <c r="AY3842" s="227"/>
      <c r="AZ3842" s="227"/>
      <c r="BA3842" s="227"/>
      <c r="BB3842" s="227"/>
      <c r="BC3842" s="227"/>
      <c r="BD3842" s="227"/>
      <c r="BE3842" s="227"/>
      <c r="BF3842" s="227"/>
    </row>
    <row r="3843">
      <c r="A3843" s="235" t="s">
        <v>28751</v>
      </c>
      <c r="C3843" s="235" t="s">
        <v>28752</v>
      </c>
      <c r="D3843" s="235" t="s">
        <v>28753</v>
      </c>
      <c r="E3843" s="243">
        <v>6.51E13</v>
      </c>
      <c r="F3843" s="245"/>
      <c r="G3843" s="235" t="s">
        <v>28754</v>
      </c>
      <c r="H3843" s="235" t="s">
        <v>28755</v>
      </c>
      <c r="I3843" s="235" t="s">
        <v>28756</v>
      </c>
      <c r="J3843" s="235" t="s">
        <v>28757</v>
      </c>
      <c r="K3843" s="235" t="s">
        <v>28758</v>
      </c>
      <c r="N3843" s="235" t="s">
        <v>42</v>
      </c>
      <c r="O3843" s="235" t="s">
        <v>204</v>
      </c>
      <c r="P3843" s="238">
        <v>1.0</v>
      </c>
      <c r="Q3843" s="235" t="s">
        <v>627</v>
      </c>
      <c r="R3843" s="238">
        <v>236.19</v>
      </c>
      <c r="S3843" s="238">
        <v>11.46</v>
      </c>
      <c r="T3843" s="238">
        <v>0.0</v>
      </c>
      <c r="U3843" s="238">
        <v>0.0</v>
      </c>
      <c r="V3843" s="238">
        <v>0.0</v>
      </c>
      <c r="W3843" s="238">
        <v>0.0</v>
      </c>
      <c r="X3843" s="235" t="s">
        <v>628</v>
      </c>
      <c r="Z3843" s="245"/>
      <c r="AA3843" s="245"/>
      <c r="AB3843" s="245"/>
      <c r="AC3843" s="235" t="s">
        <v>697</v>
      </c>
      <c r="AD3843" s="235" t="s">
        <v>698</v>
      </c>
      <c r="AE3843" s="238">
        <v>500019.0</v>
      </c>
      <c r="AF3843" s="235" t="s">
        <v>631</v>
      </c>
      <c r="AG3843" s="245"/>
      <c r="AH3843" s="245"/>
      <c r="AI3843" s="245"/>
      <c r="AJ3843" s="245"/>
      <c r="AK3843" s="245"/>
      <c r="AL3843" s="245"/>
      <c r="AM3843" s="245"/>
      <c r="AN3843" s="245"/>
      <c r="AO3843" s="238">
        <v>-7.09</v>
      </c>
      <c r="AP3843" s="238">
        <v>0.0</v>
      </c>
      <c r="AQ3843" s="235" t="s">
        <v>632</v>
      </c>
      <c r="AR3843" s="243">
        <v>3.71E11</v>
      </c>
      <c r="AS3843" s="235" t="s">
        <v>25098</v>
      </c>
      <c r="AT3843" s="235" t="s">
        <v>16</v>
      </c>
      <c r="AU3843" s="235" t="s">
        <v>634</v>
      </c>
      <c r="AV3843" s="246" t="s">
        <v>635</v>
      </c>
      <c r="AW3843" s="227"/>
      <c r="AX3843" s="227"/>
      <c r="AY3843" s="227"/>
      <c r="AZ3843" s="227"/>
      <c r="BA3843" s="227"/>
      <c r="BB3843" s="227"/>
      <c r="BC3843" s="227"/>
      <c r="BD3843" s="227"/>
      <c r="BE3843" s="227"/>
      <c r="BF3843" s="227"/>
    </row>
    <row r="3844">
      <c r="A3844" s="235" t="s">
        <v>28759</v>
      </c>
      <c r="C3844" s="235" t="s">
        <v>28760</v>
      </c>
      <c r="D3844" s="235" t="s">
        <v>28761</v>
      </c>
      <c r="E3844" s="243">
        <v>6.52E13</v>
      </c>
      <c r="F3844" s="245"/>
      <c r="G3844" s="235" t="s">
        <v>28762</v>
      </c>
      <c r="H3844" s="235" t="s">
        <v>28763</v>
      </c>
      <c r="I3844" s="235" t="s">
        <v>28764</v>
      </c>
      <c r="J3844" s="235" t="s">
        <v>28765</v>
      </c>
      <c r="K3844" s="235" t="s">
        <v>28766</v>
      </c>
      <c r="N3844" s="235" t="s">
        <v>154</v>
      </c>
      <c r="O3844" s="235" t="s">
        <v>766</v>
      </c>
      <c r="P3844" s="238">
        <v>1.0</v>
      </c>
      <c r="Q3844" s="235" t="s">
        <v>627</v>
      </c>
      <c r="R3844" s="238">
        <v>423.81</v>
      </c>
      <c r="S3844" s="238">
        <v>21.19</v>
      </c>
      <c r="T3844" s="238">
        <v>0.0</v>
      </c>
      <c r="U3844" s="238">
        <v>0.0</v>
      </c>
      <c r="V3844" s="238">
        <v>0.0</v>
      </c>
      <c r="W3844" s="238">
        <v>0.0</v>
      </c>
      <c r="X3844" s="235" t="s">
        <v>628</v>
      </c>
      <c r="Z3844" s="245"/>
      <c r="AA3844" s="245"/>
      <c r="AB3844" s="245"/>
      <c r="AC3844" s="235" t="s">
        <v>814</v>
      </c>
      <c r="AD3844" s="235" t="s">
        <v>698</v>
      </c>
      <c r="AE3844" s="238">
        <v>500032.0</v>
      </c>
      <c r="AF3844" s="235" t="s">
        <v>631</v>
      </c>
      <c r="AG3844" s="245"/>
      <c r="AH3844" s="245"/>
      <c r="AI3844" s="245"/>
      <c r="AJ3844" s="245"/>
      <c r="AK3844" s="245"/>
      <c r="AL3844" s="245"/>
      <c r="AM3844" s="245"/>
      <c r="AN3844" s="245"/>
      <c r="AO3844" s="238">
        <v>0.0</v>
      </c>
      <c r="AP3844" s="238">
        <v>0.0</v>
      </c>
      <c r="AQ3844" s="235" t="s">
        <v>632</v>
      </c>
      <c r="AR3844" s="243">
        <v>1.68E11</v>
      </c>
      <c r="AS3844" s="235" t="s">
        <v>26892</v>
      </c>
      <c r="AT3844" s="235" t="s">
        <v>9</v>
      </c>
      <c r="AU3844" s="235" t="s">
        <v>634</v>
      </c>
      <c r="AV3844" s="246" t="s">
        <v>635</v>
      </c>
      <c r="AW3844" s="227"/>
      <c r="AX3844" s="227"/>
      <c r="AY3844" s="227"/>
      <c r="AZ3844" s="227"/>
      <c r="BA3844" s="227"/>
      <c r="BB3844" s="227"/>
      <c r="BC3844" s="227"/>
      <c r="BD3844" s="227"/>
      <c r="BE3844" s="227"/>
      <c r="BF3844" s="227"/>
    </row>
    <row r="3845">
      <c r="A3845" s="235" t="s">
        <v>28767</v>
      </c>
      <c r="C3845" s="235" t="s">
        <v>28768</v>
      </c>
      <c r="D3845" s="235" t="s">
        <v>28769</v>
      </c>
      <c r="E3845" s="243">
        <v>6.51E13</v>
      </c>
      <c r="F3845" s="245"/>
      <c r="G3845" s="235" t="s">
        <v>28770</v>
      </c>
      <c r="H3845" s="235" t="s">
        <v>28771</v>
      </c>
      <c r="I3845" s="235" t="s">
        <v>28771</v>
      </c>
      <c r="J3845" s="235" t="s">
        <v>28772</v>
      </c>
      <c r="K3845" s="235" t="s">
        <v>28773</v>
      </c>
      <c r="N3845" s="235" t="s">
        <v>47</v>
      </c>
      <c r="O3845" s="235" t="s">
        <v>270</v>
      </c>
      <c r="P3845" s="238">
        <v>1.0</v>
      </c>
      <c r="Q3845" s="235" t="s">
        <v>627</v>
      </c>
      <c r="R3845" s="238">
        <v>236.19</v>
      </c>
      <c r="S3845" s="238">
        <v>11.46</v>
      </c>
      <c r="T3845" s="238">
        <v>0.0</v>
      </c>
      <c r="U3845" s="238">
        <v>0.0</v>
      </c>
      <c r="V3845" s="238">
        <v>0.0</v>
      </c>
      <c r="W3845" s="238">
        <v>0.0</v>
      </c>
      <c r="X3845" s="235" t="s">
        <v>628</v>
      </c>
      <c r="Z3845" s="245"/>
      <c r="AA3845" s="245"/>
      <c r="AB3845" s="245"/>
      <c r="AC3845" s="235" t="s">
        <v>28774</v>
      </c>
      <c r="AD3845" s="235" t="s">
        <v>833</v>
      </c>
      <c r="AE3845" s="238">
        <v>522501.0</v>
      </c>
      <c r="AF3845" s="235" t="s">
        <v>631</v>
      </c>
      <c r="AG3845" s="245"/>
      <c r="AH3845" s="245"/>
      <c r="AI3845" s="245"/>
      <c r="AJ3845" s="245"/>
      <c r="AK3845" s="245"/>
      <c r="AL3845" s="245"/>
      <c r="AM3845" s="245"/>
      <c r="AN3845" s="245"/>
      <c r="AO3845" s="238">
        <v>-7.09</v>
      </c>
      <c r="AP3845" s="238">
        <v>0.0</v>
      </c>
      <c r="AQ3845" s="235" t="s">
        <v>632</v>
      </c>
      <c r="AR3845" s="243">
        <v>1.68E11</v>
      </c>
      <c r="AS3845" s="235" t="s">
        <v>26892</v>
      </c>
      <c r="AT3845" s="235" t="s">
        <v>156</v>
      </c>
      <c r="AU3845" s="235" t="s">
        <v>634</v>
      </c>
      <c r="AV3845" s="246" t="s">
        <v>635</v>
      </c>
      <c r="AW3845" s="227"/>
      <c r="AX3845" s="227"/>
      <c r="AY3845" s="227"/>
      <c r="AZ3845" s="227"/>
      <c r="BA3845" s="227"/>
      <c r="BB3845" s="227"/>
      <c r="BC3845" s="227"/>
      <c r="BD3845" s="227"/>
      <c r="BE3845" s="227"/>
      <c r="BF3845" s="227"/>
    </row>
    <row r="3846">
      <c r="A3846" s="235" t="s">
        <v>28775</v>
      </c>
      <c r="C3846" s="235" t="s">
        <v>28776</v>
      </c>
      <c r="D3846" s="235" t="s">
        <v>28777</v>
      </c>
      <c r="E3846" s="243">
        <v>6.51E13</v>
      </c>
      <c r="F3846" s="245"/>
      <c r="G3846" s="235" t="s">
        <v>28778</v>
      </c>
      <c r="H3846" s="235" t="s">
        <v>28779</v>
      </c>
      <c r="I3846" s="235" t="s">
        <v>28779</v>
      </c>
      <c r="J3846" s="235" t="s">
        <v>28780</v>
      </c>
      <c r="K3846" s="235" t="s">
        <v>28781</v>
      </c>
      <c r="N3846" s="235" t="s">
        <v>42</v>
      </c>
      <c r="O3846" s="235" t="s">
        <v>204</v>
      </c>
      <c r="P3846" s="238">
        <v>1.0</v>
      </c>
      <c r="Q3846" s="235" t="s">
        <v>627</v>
      </c>
      <c r="R3846" s="238">
        <v>270.48</v>
      </c>
      <c r="S3846" s="238">
        <v>13.52</v>
      </c>
      <c r="T3846" s="238">
        <v>38.1</v>
      </c>
      <c r="U3846" s="238">
        <v>1.9</v>
      </c>
      <c r="V3846" s="238">
        <v>0.0</v>
      </c>
      <c r="W3846" s="238">
        <v>0.0</v>
      </c>
      <c r="X3846" s="235" t="s">
        <v>628</v>
      </c>
      <c r="Z3846" s="245"/>
      <c r="AA3846" s="245"/>
      <c r="AB3846" s="245"/>
      <c r="AC3846" s="235" t="s">
        <v>5138</v>
      </c>
      <c r="AD3846" s="235" t="s">
        <v>833</v>
      </c>
      <c r="AE3846" s="238">
        <v>524003.0</v>
      </c>
      <c r="AF3846" s="235" t="s">
        <v>631</v>
      </c>
      <c r="AG3846" s="245"/>
      <c r="AH3846" s="245"/>
      <c r="AI3846" s="245"/>
      <c r="AJ3846" s="245"/>
      <c r="AK3846" s="245"/>
      <c r="AL3846" s="245"/>
      <c r="AM3846" s="245"/>
      <c r="AN3846" s="245"/>
      <c r="AO3846" s="238">
        <v>0.0</v>
      </c>
      <c r="AP3846" s="238">
        <v>-38.1</v>
      </c>
      <c r="AQ3846" s="235" t="s">
        <v>632</v>
      </c>
      <c r="AR3846" s="243">
        <v>3.71E11</v>
      </c>
      <c r="AS3846" s="235" t="s">
        <v>26892</v>
      </c>
      <c r="AT3846" s="235" t="s">
        <v>156</v>
      </c>
      <c r="AU3846" s="235" t="s">
        <v>634</v>
      </c>
      <c r="AV3846" s="246" t="s">
        <v>635</v>
      </c>
      <c r="AW3846" s="227"/>
      <c r="AX3846" s="227"/>
      <c r="AY3846" s="227"/>
      <c r="AZ3846" s="227"/>
      <c r="BA3846" s="227"/>
      <c r="BB3846" s="227"/>
      <c r="BC3846" s="227"/>
      <c r="BD3846" s="227"/>
      <c r="BE3846" s="227"/>
      <c r="BF3846" s="227"/>
    </row>
    <row r="3847">
      <c r="A3847" s="235" t="s">
        <v>28782</v>
      </c>
      <c r="C3847" s="235" t="s">
        <v>28783</v>
      </c>
      <c r="D3847" s="235" t="s">
        <v>28784</v>
      </c>
      <c r="E3847" s="243">
        <v>6.51E13</v>
      </c>
      <c r="F3847" s="245"/>
      <c r="G3847" s="235" t="s">
        <v>28785</v>
      </c>
      <c r="H3847" s="235" t="s">
        <v>28786</v>
      </c>
      <c r="I3847" s="235" t="s">
        <v>28787</v>
      </c>
      <c r="J3847" s="235" t="s">
        <v>28788</v>
      </c>
      <c r="K3847" s="235" t="s">
        <v>28789</v>
      </c>
      <c r="N3847" s="235" t="s">
        <v>726</v>
      </c>
      <c r="O3847" s="235" t="s">
        <v>727</v>
      </c>
      <c r="P3847" s="238">
        <v>1.0</v>
      </c>
      <c r="Q3847" s="235" t="s">
        <v>627</v>
      </c>
      <c r="R3847" s="238">
        <v>237.14</v>
      </c>
      <c r="S3847" s="238">
        <v>11.5</v>
      </c>
      <c r="T3847" s="238">
        <v>0.0</v>
      </c>
      <c r="U3847" s="238">
        <v>0.0</v>
      </c>
      <c r="V3847" s="238">
        <v>0.0</v>
      </c>
      <c r="W3847" s="238">
        <v>0.0</v>
      </c>
      <c r="X3847" s="235" t="s">
        <v>628</v>
      </c>
      <c r="Z3847" s="245"/>
      <c r="AA3847" s="245"/>
      <c r="AB3847" s="245"/>
      <c r="AC3847" s="235" t="s">
        <v>28790</v>
      </c>
      <c r="AD3847" s="235" t="s">
        <v>1077</v>
      </c>
      <c r="AE3847" s="238">
        <v>396430.0</v>
      </c>
      <c r="AF3847" s="235" t="s">
        <v>631</v>
      </c>
      <c r="AG3847" s="245"/>
      <c r="AH3847" s="245"/>
      <c r="AI3847" s="245"/>
      <c r="AJ3847" s="245"/>
      <c r="AK3847" s="245"/>
      <c r="AL3847" s="245"/>
      <c r="AM3847" s="245"/>
      <c r="AN3847" s="245"/>
      <c r="AO3847" s="238">
        <v>-7.11</v>
      </c>
      <c r="AP3847" s="238">
        <v>0.0</v>
      </c>
      <c r="AQ3847" s="235" t="s">
        <v>632</v>
      </c>
      <c r="AR3847" s="243">
        <v>1.68E11</v>
      </c>
      <c r="AS3847" s="235" t="s">
        <v>26892</v>
      </c>
      <c r="AT3847" s="235" t="s">
        <v>17</v>
      </c>
      <c r="AU3847" s="235" t="s">
        <v>634</v>
      </c>
      <c r="AV3847" s="246" t="s">
        <v>635</v>
      </c>
      <c r="AW3847" s="227"/>
      <c r="AX3847" s="227"/>
      <c r="AY3847" s="227"/>
      <c r="AZ3847" s="227"/>
      <c r="BA3847" s="227"/>
      <c r="BB3847" s="227"/>
      <c r="BC3847" s="227"/>
      <c r="BD3847" s="227"/>
      <c r="BE3847" s="227"/>
      <c r="BF3847" s="227"/>
    </row>
    <row r="3848">
      <c r="A3848" s="235" t="s">
        <v>28791</v>
      </c>
      <c r="C3848" s="235" t="s">
        <v>28792</v>
      </c>
      <c r="D3848" s="235" t="s">
        <v>28793</v>
      </c>
      <c r="E3848" s="243">
        <v>6.51E13</v>
      </c>
      <c r="F3848" s="245"/>
      <c r="G3848" s="235" t="s">
        <v>28794</v>
      </c>
      <c r="H3848" s="235" t="s">
        <v>28795</v>
      </c>
      <c r="I3848" s="235" t="s">
        <v>28795</v>
      </c>
      <c r="J3848" s="235" t="s">
        <v>28796</v>
      </c>
      <c r="K3848" s="235" t="s">
        <v>28797</v>
      </c>
      <c r="N3848" s="235" t="s">
        <v>154</v>
      </c>
      <c r="O3848" s="235" t="s">
        <v>766</v>
      </c>
      <c r="P3848" s="238">
        <v>1.0</v>
      </c>
      <c r="Q3848" s="235" t="s">
        <v>627</v>
      </c>
      <c r="R3848" s="238">
        <v>423.8</v>
      </c>
      <c r="S3848" s="238">
        <v>21.2</v>
      </c>
      <c r="T3848" s="238">
        <v>0.0</v>
      </c>
      <c r="U3848" s="238">
        <v>0.0</v>
      </c>
      <c r="V3848" s="238">
        <v>0.0</v>
      </c>
      <c r="W3848" s="238">
        <v>0.0</v>
      </c>
      <c r="X3848" s="235" t="s">
        <v>628</v>
      </c>
      <c r="Z3848" s="245"/>
      <c r="AA3848" s="245"/>
      <c r="AB3848" s="245"/>
      <c r="AC3848" s="235" t="s">
        <v>1514</v>
      </c>
      <c r="AD3848" s="235" t="s">
        <v>1077</v>
      </c>
      <c r="AE3848" s="238">
        <v>382210.0</v>
      </c>
      <c r="AF3848" s="235" t="s">
        <v>631</v>
      </c>
      <c r="AG3848" s="245"/>
      <c r="AH3848" s="245"/>
      <c r="AI3848" s="245"/>
      <c r="AJ3848" s="245"/>
      <c r="AK3848" s="245"/>
      <c r="AL3848" s="245"/>
      <c r="AM3848" s="245"/>
      <c r="AN3848" s="245"/>
      <c r="AO3848" s="238">
        <v>0.0</v>
      </c>
      <c r="AP3848" s="238">
        <v>0.0</v>
      </c>
      <c r="AQ3848" s="235" t="s">
        <v>632</v>
      </c>
      <c r="AR3848" s="243">
        <v>3.71E11</v>
      </c>
      <c r="AS3848" s="235" t="s">
        <v>26892</v>
      </c>
      <c r="AT3848" s="235" t="s">
        <v>5</v>
      </c>
      <c r="AU3848" s="235" t="s">
        <v>634</v>
      </c>
      <c r="AV3848" s="246" t="s">
        <v>635</v>
      </c>
      <c r="AW3848" s="227"/>
      <c r="AX3848" s="227"/>
      <c r="AY3848" s="227"/>
      <c r="AZ3848" s="227"/>
      <c r="BA3848" s="227"/>
      <c r="BB3848" s="227"/>
      <c r="BC3848" s="227"/>
      <c r="BD3848" s="227"/>
      <c r="BE3848" s="227"/>
      <c r="BF3848" s="227"/>
    </row>
    <row r="3849">
      <c r="A3849" s="235" t="s">
        <v>28798</v>
      </c>
      <c r="C3849" s="235" t="s">
        <v>28799</v>
      </c>
      <c r="D3849" s="235" t="s">
        <v>28800</v>
      </c>
      <c r="E3849" s="243">
        <v>6.51E13</v>
      </c>
      <c r="F3849" s="245"/>
      <c r="G3849" s="235" t="s">
        <v>28801</v>
      </c>
      <c r="H3849" s="235" t="s">
        <v>28802</v>
      </c>
      <c r="I3849" s="235" t="s">
        <v>28802</v>
      </c>
      <c r="J3849" s="235" t="s">
        <v>28803</v>
      </c>
      <c r="K3849" s="235" t="s">
        <v>28804</v>
      </c>
      <c r="N3849" s="235" t="s">
        <v>47</v>
      </c>
      <c r="O3849" s="235" t="s">
        <v>270</v>
      </c>
      <c r="P3849" s="238">
        <v>1.0</v>
      </c>
      <c r="Q3849" s="235" t="s">
        <v>627</v>
      </c>
      <c r="R3849" s="238">
        <v>236.19</v>
      </c>
      <c r="S3849" s="238">
        <v>11.81</v>
      </c>
      <c r="T3849" s="238">
        <v>0.0</v>
      </c>
      <c r="U3849" s="238">
        <v>0.0</v>
      </c>
      <c r="V3849" s="238">
        <v>0.0</v>
      </c>
      <c r="W3849" s="238">
        <v>0.0</v>
      </c>
      <c r="X3849" s="235" t="s">
        <v>628</v>
      </c>
      <c r="Z3849" s="245"/>
      <c r="AA3849" s="245"/>
      <c r="AB3849" s="245"/>
      <c r="AC3849" s="235" t="s">
        <v>2493</v>
      </c>
      <c r="AD3849" s="235" t="s">
        <v>833</v>
      </c>
      <c r="AE3849" s="238">
        <v>520013.0</v>
      </c>
      <c r="AF3849" s="235" t="s">
        <v>631</v>
      </c>
      <c r="AG3849" s="245"/>
      <c r="AH3849" s="245"/>
      <c r="AI3849" s="245"/>
      <c r="AJ3849" s="245"/>
      <c r="AK3849" s="245"/>
      <c r="AL3849" s="245"/>
      <c r="AM3849" s="245"/>
      <c r="AN3849" s="245"/>
      <c r="AO3849" s="238">
        <v>0.0</v>
      </c>
      <c r="AP3849" s="238">
        <v>0.0</v>
      </c>
      <c r="AQ3849" s="235" t="s">
        <v>632</v>
      </c>
      <c r="AR3849" s="243">
        <v>1.68E11</v>
      </c>
      <c r="AS3849" s="235" t="s">
        <v>26892</v>
      </c>
      <c r="AT3849" s="235" t="s">
        <v>156</v>
      </c>
      <c r="AU3849" s="235" t="s">
        <v>634</v>
      </c>
      <c r="AV3849" s="246" t="s">
        <v>635</v>
      </c>
      <c r="AW3849" s="227"/>
      <c r="AX3849" s="227"/>
      <c r="AY3849" s="227"/>
      <c r="AZ3849" s="227"/>
      <c r="BA3849" s="227"/>
      <c r="BB3849" s="227"/>
      <c r="BC3849" s="227"/>
      <c r="BD3849" s="227"/>
      <c r="BE3849" s="227"/>
      <c r="BF3849" s="227"/>
    </row>
    <row r="3850">
      <c r="A3850" s="235" t="s">
        <v>28805</v>
      </c>
      <c r="C3850" s="235" t="s">
        <v>28806</v>
      </c>
      <c r="D3850" s="235" t="s">
        <v>28807</v>
      </c>
      <c r="E3850" s="243">
        <v>6.51E13</v>
      </c>
      <c r="F3850" s="245"/>
      <c r="G3850" s="235" t="s">
        <v>28808</v>
      </c>
      <c r="H3850" s="235" t="s">
        <v>28809</v>
      </c>
      <c r="I3850" s="235" t="s">
        <v>28809</v>
      </c>
      <c r="J3850" s="235" t="s">
        <v>28810</v>
      </c>
      <c r="K3850" s="235" t="s">
        <v>28811</v>
      </c>
      <c r="N3850" s="235" t="s">
        <v>104</v>
      </c>
      <c r="O3850" s="235" t="s">
        <v>401</v>
      </c>
      <c r="P3850" s="238">
        <v>1.0</v>
      </c>
      <c r="Q3850" s="235" t="s">
        <v>627</v>
      </c>
      <c r="R3850" s="238">
        <v>237.14</v>
      </c>
      <c r="S3850" s="238">
        <v>11.86</v>
      </c>
      <c r="T3850" s="238">
        <v>0.0</v>
      </c>
      <c r="U3850" s="238">
        <v>0.0</v>
      </c>
      <c r="V3850" s="238">
        <v>0.0</v>
      </c>
      <c r="W3850" s="238">
        <v>0.0</v>
      </c>
      <c r="X3850" s="235" t="s">
        <v>628</v>
      </c>
      <c r="Z3850" s="245"/>
      <c r="AA3850" s="245"/>
      <c r="AB3850" s="245"/>
      <c r="AC3850" s="235" t="s">
        <v>28812</v>
      </c>
      <c r="AD3850" s="235" t="s">
        <v>645</v>
      </c>
      <c r="AE3850" s="238">
        <v>670011.0</v>
      </c>
      <c r="AF3850" s="235" t="s">
        <v>631</v>
      </c>
      <c r="AG3850" s="245"/>
      <c r="AH3850" s="245"/>
      <c r="AI3850" s="245"/>
      <c r="AJ3850" s="245"/>
      <c r="AK3850" s="245"/>
      <c r="AL3850" s="245"/>
      <c r="AM3850" s="245"/>
      <c r="AN3850" s="245"/>
      <c r="AO3850" s="238">
        <v>0.0</v>
      </c>
      <c r="AP3850" s="238">
        <v>0.0</v>
      </c>
      <c r="AQ3850" s="235" t="s">
        <v>632</v>
      </c>
      <c r="AR3850" s="243">
        <v>3.71E11</v>
      </c>
      <c r="AS3850" s="235" t="s">
        <v>25098</v>
      </c>
      <c r="AT3850" s="235" t="s">
        <v>9</v>
      </c>
      <c r="AU3850" s="235" t="s">
        <v>634</v>
      </c>
      <c r="AV3850" s="246" t="s">
        <v>635</v>
      </c>
      <c r="AW3850" s="227"/>
      <c r="AX3850" s="227"/>
      <c r="AY3850" s="227"/>
      <c r="AZ3850" s="227"/>
      <c r="BA3850" s="227"/>
      <c r="BB3850" s="227"/>
      <c r="BC3850" s="227"/>
      <c r="BD3850" s="227"/>
      <c r="BE3850" s="227"/>
      <c r="BF3850" s="227"/>
    </row>
    <row r="3851">
      <c r="A3851" s="235" t="s">
        <v>28813</v>
      </c>
      <c r="C3851" s="235" t="s">
        <v>28814</v>
      </c>
      <c r="D3851" s="235" t="s">
        <v>28815</v>
      </c>
      <c r="E3851" s="243">
        <v>6.51E13</v>
      </c>
      <c r="F3851" s="245"/>
      <c r="G3851" s="235" t="s">
        <v>28816</v>
      </c>
      <c r="H3851" s="235" t="s">
        <v>28817</v>
      </c>
      <c r="I3851" s="235" t="s">
        <v>28818</v>
      </c>
      <c r="J3851" s="235" t="s">
        <v>28819</v>
      </c>
      <c r="K3851" s="235" t="s">
        <v>28820</v>
      </c>
      <c r="N3851" s="235" t="s">
        <v>842</v>
      </c>
      <c r="O3851" s="235" t="s">
        <v>843</v>
      </c>
      <c r="P3851" s="238">
        <v>1.0</v>
      </c>
      <c r="Q3851" s="235" t="s">
        <v>627</v>
      </c>
      <c r="R3851" s="238">
        <v>242.86</v>
      </c>
      <c r="S3851" s="238">
        <v>12.14</v>
      </c>
      <c r="T3851" s="238">
        <v>0.0</v>
      </c>
      <c r="U3851" s="238">
        <v>0.0</v>
      </c>
      <c r="V3851" s="238">
        <v>0.0</v>
      </c>
      <c r="W3851" s="238">
        <v>0.0</v>
      </c>
      <c r="X3851" s="235" t="s">
        <v>628</v>
      </c>
      <c r="Z3851" s="245"/>
      <c r="AA3851" s="245"/>
      <c r="AB3851" s="245"/>
      <c r="AC3851" s="235" t="s">
        <v>4387</v>
      </c>
      <c r="AD3851" s="235" t="s">
        <v>845</v>
      </c>
      <c r="AE3851" s="238">
        <v>421301.0</v>
      </c>
      <c r="AF3851" s="235" t="s">
        <v>631</v>
      </c>
      <c r="AG3851" s="245"/>
      <c r="AH3851" s="245"/>
      <c r="AI3851" s="245"/>
      <c r="AJ3851" s="245"/>
      <c r="AK3851" s="245"/>
      <c r="AL3851" s="245"/>
      <c r="AM3851" s="245"/>
      <c r="AN3851" s="245"/>
      <c r="AO3851" s="238">
        <v>0.0</v>
      </c>
      <c r="AP3851" s="238">
        <v>0.0</v>
      </c>
      <c r="AQ3851" s="235" t="s">
        <v>632</v>
      </c>
      <c r="AR3851" s="243">
        <v>3.71E11</v>
      </c>
      <c r="AS3851" s="235" t="s">
        <v>26892</v>
      </c>
      <c r="AT3851" s="235" t="s">
        <v>16</v>
      </c>
      <c r="AU3851" s="235" t="s">
        <v>634</v>
      </c>
      <c r="AV3851" s="246" t="s">
        <v>635</v>
      </c>
      <c r="AW3851" s="227"/>
      <c r="AX3851" s="227"/>
      <c r="AY3851" s="227"/>
      <c r="AZ3851" s="227"/>
      <c r="BA3851" s="227"/>
      <c r="BB3851" s="227"/>
      <c r="BC3851" s="227"/>
      <c r="BD3851" s="227"/>
      <c r="BE3851" s="227"/>
      <c r="BF3851" s="227"/>
    </row>
    <row r="3852">
      <c r="A3852" s="235" t="s">
        <v>28821</v>
      </c>
      <c r="C3852" s="235" t="s">
        <v>28822</v>
      </c>
      <c r="D3852" s="235" t="s">
        <v>28823</v>
      </c>
      <c r="E3852" s="243">
        <v>6.51E13</v>
      </c>
      <c r="F3852" s="245"/>
      <c r="G3852" s="235" t="s">
        <v>28824</v>
      </c>
      <c r="H3852" s="235" t="s">
        <v>28825</v>
      </c>
      <c r="I3852" s="235" t="s">
        <v>28825</v>
      </c>
      <c r="J3852" s="235" t="s">
        <v>28826</v>
      </c>
      <c r="K3852" s="235" t="s">
        <v>28827</v>
      </c>
      <c r="N3852" s="235" t="s">
        <v>49</v>
      </c>
      <c r="O3852" s="235" t="s">
        <v>321</v>
      </c>
      <c r="P3852" s="238">
        <v>1.0</v>
      </c>
      <c r="Q3852" s="235" t="s">
        <v>627</v>
      </c>
      <c r="R3852" s="238">
        <v>233.33</v>
      </c>
      <c r="S3852" s="238">
        <v>11.32</v>
      </c>
      <c r="T3852" s="238">
        <v>0.0</v>
      </c>
      <c r="U3852" s="238">
        <v>0.0</v>
      </c>
      <c r="V3852" s="238">
        <v>0.0</v>
      </c>
      <c r="W3852" s="238">
        <v>0.0</v>
      </c>
      <c r="X3852" s="235" t="s">
        <v>628</v>
      </c>
      <c r="Z3852" s="245"/>
      <c r="AA3852" s="245"/>
      <c r="AB3852" s="245"/>
      <c r="AC3852" s="235" t="s">
        <v>697</v>
      </c>
      <c r="AD3852" s="235" t="s">
        <v>698</v>
      </c>
      <c r="AE3852" s="238">
        <v>500084.0</v>
      </c>
      <c r="AF3852" s="235" t="s">
        <v>631</v>
      </c>
      <c r="AG3852" s="245"/>
      <c r="AH3852" s="245"/>
      <c r="AI3852" s="245"/>
      <c r="AJ3852" s="245"/>
      <c r="AK3852" s="245"/>
      <c r="AL3852" s="245"/>
      <c r="AM3852" s="245"/>
      <c r="AN3852" s="245"/>
      <c r="AO3852" s="238">
        <v>-7.0</v>
      </c>
      <c r="AP3852" s="238">
        <v>0.0</v>
      </c>
      <c r="AQ3852" s="235" t="s">
        <v>632</v>
      </c>
      <c r="AR3852" s="243">
        <v>2.02E11</v>
      </c>
      <c r="AS3852" s="235" t="s">
        <v>26892</v>
      </c>
      <c r="AT3852" s="235" t="s">
        <v>11</v>
      </c>
      <c r="AU3852" s="235" t="s">
        <v>634</v>
      </c>
      <c r="AV3852" s="246" t="s">
        <v>635</v>
      </c>
      <c r="AW3852" s="227"/>
      <c r="AX3852" s="227"/>
      <c r="AY3852" s="227"/>
      <c r="AZ3852" s="227"/>
      <c r="BA3852" s="227"/>
      <c r="BB3852" s="227"/>
      <c r="BC3852" s="227"/>
      <c r="BD3852" s="227"/>
      <c r="BE3852" s="227"/>
      <c r="BF3852" s="227"/>
    </row>
    <row r="3853">
      <c r="A3853" s="235" t="s">
        <v>28828</v>
      </c>
      <c r="C3853" s="235" t="s">
        <v>28829</v>
      </c>
      <c r="D3853" s="235" t="s">
        <v>28830</v>
      </c>
      <c r="E3853" s="243">
        <v>6.52E13</v>
      </c>
      <c r="F3853" s="245"/>
      <c r="G3853" s="235" t="s">
        <v>28831</v>
      </c>
      <c r="H3853" s="235" t="s">
        <v>28832</v>
      </c>
      <c r="I3853" s="235" t="s">
        <v>28832</v>
      </c>
      <c r="J3853" s="235" t="s">
        <v>28833</v>
      </c>
      <c r="K3853" s="235" t="s">
        <v>28834</v>
      </c>
      <c r="N3853" s="235" t="s">
        <v>51</v>
      </c>
      <c r="O3853" s="235" t="s">
        <v>273</v>
      </c>
      <c r="P3853" s="238">
        <v>1.0</v>
      </c>
      <c r="Q3853" s="235" t="s">
        <v>627</v>
      </c>
      <c r="R3853" s="238">
        <v>246.67</v>
      </c>
      <c r="S3853" s="238">
        <v>12.33</v>
      </c>
      <c r="T3853" s="238">
        <v>0.0</v>
      </c>
      <c r="U3853" s="238">
        <v>0.0</v>
      </c>
      <c r="V3853" s="238">
        <v>0.0</v>
      </c>
      <c r="W3853" s="238">
        <v>0.0</v>
      </c>
      <c r="X3853" s="235" t="s">
        <v>628</v>
      </c>
      <c r="Z3853" s="245"/>
      <c r="AA3853" s="245"/>
      <c r="AB3853" s="245"/>
      <c r="AC3853" s="235" t="s">
        <v>697</v>
      </c>
      <c r="AD3853" s="235" t="s">
        <v>698</v>
      </c>
      <c r="AE3853" s="238">
        <v>500045.0</v>
      </c>
      <c r="AF3853" s="235" t="s">
        <v>631</v>
      </c>
      <c r="AG3853" s="245"/>
      <c r="AH3853" s="245"/>
      <c r="AI3853" s="245"/>
      <c r="AJ3853" s="245"/>
      <c r="AK3853" s="245"/>
      <c r="AL3853" s="245"/>
      <c r="AM3853" s="245"/>
      <c r="AN3853" s="245"/>
      <c r="AO3853" s="238">
        <v>0.0</v>
      </c>
      <c r="AP3853" s="238">
        <v>0.0</v>
      </c>
      <c r="AQ3853" s="235" t="s">
        <v>632</v>
      </c>
      <c r="AR3853" s="243">
        <v>3.71E11</v>
      </c>
      <c r="AS3853" s="235" t="s">
        <v>25098</v>
      </c>
      <c r="AT3853" s="235" t="s">
        <v>16</v>
      </c>
      <c r="AU3853" s="235" t="s">
        <v>634</v>
      </c>
      <c r="AV3853" s="246" t="s">
        <v>635</v>
      </c>
      <c r="AW3853" s="227"/>
      <c r="AX3853" s="227"/>
      <c r="AY3853" s="227"/>
      <c r="AZ3853" s="227"/>
      <c r="BA3853" s="227"/>
      <c r="BB3853" s="227"/>
      <c r="BC3853" s="227"/>
      <c r="BD3853" s="227"/>
      <c r="BE3853" s="227"/>
      <c r="BF3853" s="227"/>
    </row>
    <row r="3854">
      <c r="A3854" s="235" t="s">
        <v>27125</v>
      </c>
      <c r="C3854" s="235" t="s">
        <v>28835</v>
      </c>
      <c r="D3854" s="235" t="s">
        <v>28836</v>
      </c>
      <c r="E3854" s="243">
        <v>6.51E13</v>
      </c>
      <c r="F3854" s="245"/>
      <c r="G3854" s="235" t="s">
        <v>27128</v>
      </c>
      <c r="H3854" s="235" t="s">
        <v>28832</v>
      </c>
      <c r="I3854" s="235" t="s">
        <v>28832</v>
      </c>
      <c r="J3854" s="235" t="s">
        <v>28837</v>
      </c>
      <c r="K3854" s="235" t="s">
        <v>27131</v>
      </c>
      <c r="N3854" s="235" t="s">
        <v>10</v>
      </c>
      <c r="O3854" s="235" t="s">
        <v>936</v>
      </c>
      <c r="P3854" s="238">
        <v>1.0</v>
      </c>
      <c r="Q3854" s="235" t="s">
        <v>627</v>
      </c>
      <c r="R3854" s="238">
        <v>256.19</v>
      </c>
      <c r="S3854" s="238">
        <v>12.81</v>
      </c>
      <c r="T3854" s="238">
        <v>38.1</v>
      </c>
      <c r="U3854" s="238">
        <v>1.9</v>
      </c>
      <c r="V3854" s="238">
        <v>0.0</v>
      </c>
      <c r="W3854" s="238">
        <v>0.0</v>
      </c>
      <c r="X3854" s="235" t="s">
        <v>628</v>
      </c>
      <c r="Z3854" s="245"/>
      <c r="AA3854" s="245"/>
      <c r="AB3854" s="245"/>
      <c r="AC3854" s="235" t="s">
        <v>22859</v>
      </c>
      <c r="AD3854" s="235" t="s">
        <v>917</v>
      </c>
      <c r="AE3854" s="238">
        <v>312601.0</v>
      </c>
      <c r="AF3854" s="235" t="s">
        <v>631</v>
      </c>
      <c r="AG3854" s="245"/>
      <c r="AH3854" s="245"/>
      <c r="AI3854" s="245"/>
      <c r="AJ3854" s="245"/>
      <c r="AK3854" s="245"/>
      <c r="AL3854" s="245"/>
      <c r="AM3854" s="245"/>
      <c r="AN3854" s="245"/>
      <c r="AO3854" s="238">
        <v>0.0</v>
      </c>
      <c r="AP3854" s="238">
        <v>-38.1</v>
      </c>
      <c r="AQ3854" s="235" t="s">
        <v>632</v>
      </c>
      <c r="AR3854" s="243">
        <v>3.71E11</v>
      </c>
      <c r="AS3854" s="235" t="s">
        <v>23542</v>
      </c>
      <c r="AT3854" s="235" t="s">
        <v>17</v>
      </c>
      <c r="AU3854" s="235" t="s">
        <v>634</v>
      </c>
      <c r="AV3854" s="246" t="s">
        <v>635</v>
      </c>
      <c r="AW3854" s="227"/>
      <c r="AX3854" s="227"/>
      <c r="AY3854" s="227"/>
      <c r="AZ3854" s="227"/>
      <c r="BA3854" s="227"/>
      <c r="BB3854" s="227"/>
      <c r="BC3854" s="227"/>
      <c r="BD3854" s="227"/>
      <c r="BE3854" s="227"/>
      <c r="BF3854" s="227"/>
    </row>
    <row r="3855">
      <c r="A3855" s="235" t="s">
        <v>28838</v>
      </c>
      <c r="C3855" s="235" t="s">
        <v>28839</v>
      </c>
      <c r="D3855" s="235" t="s">
        <v>28840</v>
      </c>
      <c r="E3855" s="243">
        <v>6.51E13</v>
      </c>
      <c r="F3855" s="245"/>
      <c r="G3855" s="235" t="s">
        <v>28841</v>
      </c>
      <c r="H3855" s="235" t="s">
        <v>28842</v>
      </c>
      <c r="I3855" s="235" t="s">
        <v>28842</v>
      </c>
      <c r="J3855" s="235" t="s">
        <v>28843</v>
      </c>
      <c r="K3855" s="235" t="s">
        <v>28844</v>
      </c>
      <c r="N3855" s="235" t="s">
        <v>128</v>
      </c>
      <c r="O3855" s="235" t="s">
        <v>2710</v>
      </c>
      <c r="P3855" s="238">
        <v>1.0</v>
      </c>
      <c r="Q3855" s="235" t="s">
        <v>627</v>
      </c>
      <c r="R3855" s="238">
        <v>233.33</v>
      </c>
      <c r="S3855" s="238">
        <v>11.32</v>
      </c>
      <c r="T3855" s="238">
        <v>0.0</v>
      </c>
      <c r="U3855" s="238">
        <v>0.0</v>
      </c>
      <c r="V3855" s="238">
        <v>0.0</v>
      </c>
      <c r="W3855" s="238">
        <v>0.0</v>
      </c>
      <c r="X3855" s="235" t="s">
        <v>628</v>
      </c>
      <c r="Z3855" s="245"/>
      <c r="AA3855" s="245"/>
      <c r="AB3855" s="245"/>
      <c r="AC3855" s="235" t="s">
        <v>697</v>
      </c>
      <c r="AD3855" s="235" t="s">
        <v>698</v>
      </c>
      <c r="AE3855" s="238">
        <v>500058.0</v>
      </c>
      <c r="AF3855" s="235" t="s">
        <v>631</v>
      </c>
      <c r="AG3855" s="245"/>
      <c r="AH3855" s="245"/>
      <c r="AI3855" s="245"/>
      <c r="AJ3855" s="245"/>
      <c r="AK3855" s="245"/>
      <c r="AL3855" s="245"/>
      <c r="AM3855" s="245"/>
      <c r="AN3855" s="245"/>
      <c r="AO3855" s="238">
        <v>-7.0</v>
      </c>
      <c r="AP3855" s="238">
        <v>0.0</v>
      </c>
      <c r="AQ3855" s="235" t="s">
        <v>632</v>
      </c>
      <c r="AR3855" s="243">
        <v>1.68E11</v>
      </c>
      <c r="AS3855" s="235" t="s">
        <v>26892</v>
      </c>
      <c r="AT3855" s="235" t="s">
        <v>9</v>
      </c>
      <c r="AU3855" s="235" t="s">
        <v>634</v>
      </c>
      <c r="AV3855" s="246" t="s">
        <v>635</v>
      </c>
      <c r="AW3855" s="227"/>
      <c r="AX3855" s="227"/>
      <c r="AY3855" s="227"/>
      <c r="AZ3855" s="227"/>
      <c r="BA3855" s="227"/>
      <c r="BB3855" s="227"/>
      <c r="BC3855" s="227"/>
      <c r="BD3855" s="227"/>
      <c r="BE3855" s="227"/>
      <c r="BF3855" s="227"/>
    </row>
    <row r="3856">
      <c r="A3856" s="235" t="s">
        <v>28845</v>
      </c>
      <c r="C3856" s="235" t="s">
        <v>28846</v>
      </c>
      <c r="D3856" s="235" t="s">
        <v>28847</v>
      </c>
      <c r="E3856" s="243">
        <v>6.51E13</v>
      </c>
      <c r="F3856" s="245"/>
      <c r="G3856" s="235" t="s">
        <v>28848</v>
      </c>
      <c r="H3856" s="235" t="s">
        <v>28849</v>
      </c>
      <c r="I3856" s="235" t="s">
        <v>28849</v>
      </c>
      <c r="J3856" s="235" t="s">
        <v>28850</v>
      </c>
      <c r="K3856" s="235" t="s">
        <v>28851</v>
      </c>
      <c r="N3856" s="235" t="s">
        <v>144</v>
      </c>
      <c r="O3856" s="235" t="s">
        <v>232</v>
      </c>
      <c r="P3856" s="238">
        <v>1.0</v>
      </c>
      <c r="Q3856" s="235" t="s">
        <v>627</v>
      </c>
      <c r="R3856" s="238">
        <v>626.67</v>
      </c>
      <c r="S3856" s="238">
        <v>31.33</v>
      </c>
      <c r="T3856" s="238">
        <v>0.0</v>
      </c>
      <c r="U3856" s="238">
        <v>0.0</v>
      </c>
      <c r="V3856" s="238">
        <v>0.0</v>
      </c>
      <c r="W3856" s="238">
        <v>0.0</v>
      </c>
      <c r="X3856" s="235" t="s">
        <v>628</v>
      </c>
      <c r="Z3856" s="245"/>
      <c r="AA3856" s="245"/>
      <c r="AB3856" s="245"/>
      <c r="AC3856" s="235" t="s">
        <v>697</v>
      </c>
      <c r="AD3856" s="235" t="s">
        <v>698</v>
      </c>
      <c r="AE3856" s="238">
        <v>500072.0</v>
      </c>
      <c r="AF3856" s="235" t="s">
        <v>631</v>
      </c>
      <c r="AG3856" s="245"/>
      <c r="AH3856" s="245"/>
      <c r="AI3856" s="245"/>
      <c r="AJ3856" s="245"/>
      <c r="AK3856" s="245"/>
      <c r="AL3856" s="245"/>
      <c r="AM3856" s="245"/>
      <c r="AN3856" s="245"/>
      <c r="AO3856" s="238">
        <v>0.0</v>
      </c>
      <c r="AP3856" s="238">
        <v>0.0</v>
      </c>
      <c r="AQ3856" s="235" t="s">
        <v>632</v>
      </c>
      <c r="AR3856" s="243">
        <v>3.71E11</v>
      </c>
      <c r="AS3856" s="235" t="s">
        <v>25098</v>
      </c>
      <c r="AT3856" s="235" t="s">
        <v>9</v>
      </c>
      <c r="AU3856" s="235" t="s">
        <v>634</v>
      </c>
      <c r="AV3856" s="246" t="s">
        <v>635</v>
      </c>
      <c r="AW3856" s="227"/>
      <c r="AX3856" s="227"/>
      <c r="AY3856" s="227"/>
      <c r="AZ3856" s="227"/>
      <c r="BA3856" s="227"/>
      <c r="BB3856" s="227"/>
      <c r="BC3856" s="227"/>
      <c r="BD3856" s="227"/>
      <c r="BE3856" s="227"/>
      <c r="BF3856" s="227"/>
    </row>
    <row r="3857">
      <c r="A3857" s="235" t="s">
        <v>28852</v>
      </c>
      <c r="C3857" s="235" t="s">
        <v>28853</v>
      </c>
      <c r="D3857" s="235" t="s">
        <v>28854</v>
      </c>
      <c r="E3857" s="243">
        <v>6.51E13</v>
      </c>
      <c r="F3857" s="245"/>
      <c r="G3857" s="235" t="s">
        <v>28855</v>
      </c>
      <c r="H3857" s="235" t="s">
        <v>28856</v>
      </c>
      <c r="I3857" s="235" t="s">
        <v>28856</v>
      </c>
      <c r="J3857" s="235" t="s">
        <v>28857</v>
      </c>
      <c r="K3857" s="235" t="s">
        <v>28858</v>
      </c>
      <c r="N3857" s="235" t="s">
        <v>138</v>
      </c>
      <c r="O3857" s="235" t="s">
        <v>675</v>
      </c>
      <c r="P3857" s="238">
        <v>1.0</v>
      </c>
      <c r="Q3857" s="235" t="s">
        <v>627</v>
      </c>
      <c r="R3857" s="238">
        <v>233.34</v>
      </c>
      <c r="S3857" s="238">
        <v>11.43</v>
      </c>
      <c r="T3857" s="238">
        <v>0.0</v>
      </c>
      <c r="U3857" s="238">
        <v>0.0</v>
      </c>
      <c r="V3857" s="238">
        <v>0.0</v>
      </c>
      <c r="W3857" s="238">
        <v>0.0</v>
      </c>
      <c r="X3857" s="235" t="s">
        <v>628</v>
      </c>
      <c r="Z3857" s="245"/>
      <c r="AA3857" s="245"/>
      <c r="AB3857" s="245"/>
      <c r="AC3857" s="235" t="s">
        <v>1095</v>
      </c>
      <c r="AD3857" s="235" t="s">
        <v>845</v>
      </c>
      <c r="AE3857" s="238">
        <v>400614.0</v>
      </c>
      <c r="AF3857" s="235" t="s">
        <v>631</v>
      </c>
      <c r="AG3857" s="245"/>
      <c r="AH3857" s="245"/>
      <c r="AI3857" s="245"/>
      <c r="AJ3857" s="245"/>
      <c r="AK3857" s="245"/>
      <c r="AL3857" s="245"/>
      <c r="AM3857" s="245"/>
      <c r="AN3857" s="245"/>
      <c r="AO3857" s="238">
        <v>-4.67</v>
      </c>
      <c r="AP3857" s="238">
        <v>0.0</v>
      </c>
      <c r="AQ3857" s="235" t="s">
        <v>632</v>
      </c>
      <c r="AR3857" s="243">
        <v>3.71E11</v>
      </c>
      <c r="AS3857" s="235" t="s">
        <v>26892</v>
      </c>
      <c r="AT3857" s="235" t="s">
        <v>17</v>
      </c>
      <c r="AU3857" s="235" t="s">
        <v>634</v>
      </c>
      <c r="AV3857" s="246" t="s">
        <v>635</v>
      </c>
      <c r="AW3857" s="227"/>
      <c r="AX3857" s="227"/>
      <c r="AY3857" s="227"/>
      <c r="AZ3857" s="227"/>
      <c r="BA3857" s="227"/>
      <c r="BB3857" s="227"/>
      <c r="BC3857" s="227"/>
      <c r="BD3857" s="227"/>
      <c r="BE3857" s="227"/>
      <c r="BF3857" s="227"/>
    </row>
    <row r="3858">
      <c r="A3858" s="235" t="s">
        <v>28859</v>
      </c>
      <c r="C3858" s="235" t="s">
        <v>28860</v>
      </c>
      <c r="D3858" s="235" t="s">
        <v>28861</v>
      </c>
      <c r="E3858" s="243">
        <v>6.51E13</v>
      </c>
      <c r="F3858" s="245"/>
      <c r="G3858" s="235" t="s">
        <v>28862</v>
      </c>
      <c r="H3858" s="235" t="s">
        <v>28863</v>
      </c>
      <c r="I3858" s="235" t="s">
        <v>28864</v>
      </c>
      <c r="J3858" s="235" t="s">
        <v>28865</v>
      </c>
      <c r="K3858" s="235" t="s">
        <v>28866</v>
      </c>
      <c r="N3858" s="235" t="s">
        <v>92</v>
      </c>
      <c r="O3858" s="235" t="s">
        <v>248</v>
      </c>
      <c r="P3858" s="238">
        <v>1.0</v>
      </c>
      <c r="Q3858" s="235" t="s">
        <v>627</v>
      </c>
      <c r="R3858" s="238">
        <v>270.48</v>
      </c>
      <c r="S3858" s="238">
        <v>13.25</v>
      </c>
      <c r="T3858" s="238">
        <v>0.0</v>
      </c>
      <c r="U3858" s="238">
        <v>0.0</v>
      </c>
      <c r="V3858" s="238">
        <v>0.0</v>
      </c>
      <c r="W3858" s="238">
        <v>0.0</v>
      </c>
      <c r="X3858" s="235" t="s">
        <v>628</v>
      </c>
      <c r="Z3858" s="245"/>
      <c r="AA3858" s="245"/>
      <c r="AB3858" s="245"/>
      <c r="AC3858" s="235" t="s">
        <v>28867</v>
      </c>
      <c r="AD3858" s="235" t="s">
        <v>731</v>
      </c>
      <c r="AE3858" s="238">
        <v>783126.0</v>
      </c>
      <c r="AF3858" s="235" t="s">
        <v>631</v>
      </c>
      <c r="AG3858" s="245"/>
      <c r="AH3858" s="245"/>
      <c r="AI3858" s="245"/>
      <c r="AJ3858" s="245"/>
      <c r="AK3858" s="245"/>
      <c r="AL3858" s="245"/>
      <c r="AM3858" s="245"/>
      <c r="AN3858" s="245"/>
      <c r="AO3858" s="238">
        <v>-5.41</v>
      </c>
      <c r="AP3858" s="238">
        <v>0.0</v>
      </c>
      <c r="AQ3858" s="235" t="s">
        <v>632</v>
      </c>
      <c r="AR3858" s="243">
        <v>3.71E11</v>
      </c>
      <c r="AS3858" s="235" t="s">
        <v>22269</v>
      </c>
      <c r="AT3858" s="235" t="s">
        <v>13</v>
      </c>
      <c r="AU3858" s="235" t="s">
        <v>634</v>
      </c>
      <c r="AV3858" s="246" t="s">
        <v>635</v>
      </c>
      <c r="AW3858" s="227"/>
      <c r="AX3858" s="227"/>
      <c r="AY3858" s="227"/>
      <c r="AZ3858" s="227"/>
      <c r="BA3858" s="227"/>
      <c r="BB3858" s="227"/>
      <c r="BC3858" s="227"/>
      <c r="BD3858" s="227"/>
      <c r="BE3858" s="227"/>
      <c r="BF3858" s="227"/>
    </row>
    <row r="3859">
      <c r="A3859" s="235" t="s">
        <v>28868</v>
      </c>
      <c r="C3859" s="235" t="s">
        <v>28869</v>
      </c>
      <c r="D3859" s="235" t="s">
        <v>28870</v>
      </c>
      <c r="E3859" s="243">
        <v>6.51E13</v>
      </c>
      <c r="F3859" s="245"/>
      <c r="G3859" s="235" t="s">
        <v>28871</v>
      </c>
      <c r="H3859" s="235" t="s">
        <v>28872</v>
      </c>
      <c r="I3859" s="235" t="s">
        <v>28872</v>
      </c>
      <c r="J3859" s="235" t="s">
        <v>28873</v>
      </c>
      <c r="K3859" s="235" t="s">
        <v>28874</v>
      </c>
      <c r="N3859" s="235" t="s">
        <v>117</v>
      </c>
      <c r="O3859" s="235" t="s">
        <v>334</v>
      </c>
      <c r="P3859" s="238">
        <v>1.0</v>
      </c>
      <c r="Q3859" s="235" t="s">
        <v>627</v>
      </c>
      <c r="R3859" s="238">
        <v>270.48</v>
      </c>
      <c r="S3859" s="238">
        <v>13.25</v>
      </c>
      <c r="T3859" s="238">
        <v>38.1</v>
      </c>
      <c r="U3859" s="238">
        <v>1.9</v>
      </c>
      <c r="V3859" s="238">
        <v>0.0</v>
      </c>
      <c r="W3859" s="238">
        <v>0.0</v>
      </c>
      <c r="X3859" s="235" t="s">
        <v>628</v>
      </c>
      <c r="Z3859" s="245"/>
      <c r="AA3859" s="245"/>
      <c r="AB3859" s="245"/>
      <c r="AC3859" s="235" t="s">
        <v>795</v>
      </c>
      <c r="AD3859" s="235" t="s">
        <v>796</v>
      </c>
      <c r="AE3859" s="238">
        <v>110075.0</v>
      </c>
      <c r="AF3859" s="235" t="s">
        <v>631</v>
      </c>
      <c r="AG3859" s="245"/>
      <c r="AH3859" s="245"/>
      <c r="AI3859" s="245"/>
      <c r="AJ3859" s="245"/>
      <c r="AK3859" s="245"/>
      <c r="AL3859" s="245"/>
      <c r="AM3859" s="245"/>
      <c r="AN3859" s="245"/>
      <c r="AO3859" s="238">
        <v>-5.41</v>
      </c>
      <c r="AP3859" s="238">
        <v>-38.1</v>
      </c>
      <c r="AQ3859" s="235" t="s">
        <v>632</v>
      </c>
      <c r="AR3859" s="243">
        <v>3.71E11</v>
      </c>
      <c r="AS3859" s="235" t="s">
        <v>26892</v>
      </c>
      <c r="AT3859" s="235" t="s">
        <v>533</v>
      </c>
      <c r="AU3859" s="235" t="s">
        <v>634</v>
      </c>
      <c r="AV3859" s="246" t="s">
        <v>635</v>
      </c>
      <c r="AW3859" s="227"/>
      <c r="AX3859" s="227"/>
      <c r="AY3859" s="227"/>
      <c r="AZ3859" s="227"/>
      <c r="BA3859" s="227"/>
      <c r="BB3859" s="227"/>
      <c r="BC3859" s="227"/>
      <c r="BD3859" s="227"/>
      <c r="BE3859" s="227"/>
      <c r="BF3859" s="227"/>
    </row>
    <row r="3860">
      <c r="A3860" s="235" t="s">
        <v>28875</v>
      </c>
      <c r="C3860" s="235" t="s">
        <v>28876</v>
      </c>
      <c r="D3860" s="235" t="s">
        <v>28877</v>
      </c>
      <c r="E3860" s="243">
        <v>6.51E13</v>
      </c>
      <c r="F3860" s="245"/>
      <c r="G3860" s="235" t="s">
        <v>28878</v>
      </c>
      <c r="H3860" s="235" t="s">
        <v>28879</v>
      </c>
      <c r="I3860" s="235" t="s">
        <v>28880</v>
      </c>
      <c r="J3860" s="235" t="s">
        <v>28881</v>
      </c>
      <c r="K3860" s="235" t="s">
        <v>28882</v>
      </c>
      <c r="N3860" s="235" t="s">
        <v>144</v>
      </c>
      <c r="O3860" s="235" t="s">
        <v>232</v>
      </c>
      <c r="P3860" s="238">
        <v>1.0</v>
      </c>
      <c r="Q3860" s="235" t="s">
        <v>627</v>
      </c>
      <c r="R3860" s="238">
        <v>626.67</v>
      </c>
      <c r="S3860" s="238">
        <v>30.39</v>
      </c>
      <c r="T3860" s="238">
        <v>0.0</v>
      </c>
      <c r="U3860" s="238">
        <v>0.0</v>
      </c>
      <c r="V3860" s="238">
        <v>0.0</v>
      </c>
      <c r="W3860" s="238">
        <v>0.0</v>
      </c>
      <c r="X3860" s="235" t="s">
        <v>628</v>
      </c>
      <c r="Z3860" s="245"/>
      <c r="AA3860" s="245"/>
      <c r="AB3860" s="245"/>
      <c r="AC3860" s="235" t="s">
        <v>795</v>
      </c>
      <c r="AD3860" s="235" t="s">
        <v>796</v>
      </c>
      <c r="AE3860" s="238">
        <v>110063.0</v>
      </c>
      <c r="AF3860" s="235" t="s">
        <v>631</v>
      </c>
      <c r="AG3860" s="245"/>
      <c r="AH3860" s="245"/>
      <c r="AI3860" s="245"/>
      <c r="AJ3860" s="245"/>
      <c r="AK3860" s="245"/>
      <c r="AL3860" s="245"/>
      <c r="AM3860" s="245"/>
      <c r="AN3860" s="245"/>
      <c r="AO3860" s="238">
        <v>-18.8</v>
      </c>
      <c r="AP3860" s="238">
        <v>0.0</v>
      </c>
      <c r="AQ3860" s="235" t="s">
        <v>632</v>
      </c>
      <c r="AR3860" s="243">
        <v>3.71E11</v>
      </c>
      <c r="AS3860" s="235" t="s">
        <v>28482</v>
      </c>
      <c r="AT3860" s="235" t="s">
        <v>533</v>
      </c>
      <c r="AU3860" s="235" t="s">
        <v>634</v>
      </c>
      <c r="AV3860" s="246" t="s">
        <v>635</v>
      </c>
      <c r="AW3860" s="227"/>
      <c r="AX3860" s="227"/>
      <c r="AY3860" s="227"/>
      <c r="AZ3860" s="227"/>
      <c r="BA3860" s="227"/>
      <c r="BB3860" s="227"/>
      <c r="BC3860" s="227"/>
      <c r="BD3860" s="227"/>
      <c r="BE3860" s="227"/>
      <c r="BF3860" s="227"/>
    </row>
    <row r="3861">
      <c r="A3861" s="235" t="s">
        <v>28883</v>
      </c>
      <c r="C3861" s="235" t="s">
        <v>28884</v>
      </c>
      <c r="D3861" s="235" t="s">
        <v>28885</v>
      </c>
      <c r="E3861" s="243">
        <v>6.51E13</v>
      </c>
      <c r="F3861" s="245"/>
      <c r="G3861" s="235" t="s">
        <v>28886</v>
      </c>
      <c r="H3861" s="235" t="s">
        <v>28879</v>
      </c>
      <c r="I3861" s="235" t="s">
        <v>28879</v>
      </c>
      <c r="J3861" s="235" t="s">
        <v>28887</v>
      </c>
      <c r="K3861" s="235" t="s">
        <v>28888</v>
      </c>
      <c r="N3861" s="235" t="s">
        <v>138</v>
      </c>
      <c r="O3861" s="235" t="s">
        <v>675</v>
      </c>
      <c r="P3861" s="238">
        <v>1.0</v>
      </c>
      <c r="Q3861" s="235" t="s">
        <v>627</v>
      </c>
      <c r="R3861" s="238">
        <v>233.33</v>
      </c>
      <c r="S3861" s="238">
        <v>11.67</v>
      </c>
      <c r="T3861" s="238">
        <v>0.0</v>
      </c>
      <c r="U3861" s="238">
        <v>0.0</v>
      </c>
      <c r="V3861" s="238">
        <v>0.0</v>
      </c>
      <c r="W3861" s="238">
        <v>0.0</v>
      </c>
      <c r="X3861" s="235" t="s">
        <v>628</v>
      </c>
      <c r="Z3861" s="245"/>
      <c r="AA3861" s="245"/>
      <c r="AB3861" s="245"/>
      <c r="AC3861" s="235" t="s">
        <v>15727</v>
      </c>
      <c r="AD3861" s="235" t="s">
        <v>645</v>
      </c>
      <c r="AE3861" s="238">
        <v>682301.0</v>
      </c>
      <c r="AF3861" s="235" t="s">
        <v>631</v>
      </c>
      <c r="AG3861" s="245"/>
      <c r="AH3861" s="245"/>
      <c r="AI3861" s="245"/>
      <c r="AJ3861" s="245"/>
      <c r="AK3861" s="245"/>
      <c r="AL3861" s="245"/>
      <c r="AM3861" s="245"/>
      <c r="AN3861" s="245"/>
      <c r="AO3861" s="238">
        <v>0.0</v>
      </c>
      <c r="AP3861" s="238">
        <v>0.0</v>
      </c>
      <c r="AQ3861" s="235" t="s">
        <v>632</v>
      </c>
      <c r="AR3861" s="243">
        <v>3.71E11</v>
      </c>
      <c r="AS3861" s="235" t="s">
        <v>26892</v>
      </c>
      <c r="AT3861" s="235" t="s">
        <v>155</v>
      </c>
      <c r="AU3861" s="235" t="s">
        <v>634</v>
      </c>
      <c r="AV3861" s="246" t="s">
        <v>635</v>
      </c>
      <c r="AW3861" s="227"/>
      <c r="AX3861" s="227"/>
      <c r="AY3861" s="227"/>
      <c r="AZ3861" s="227"/>
      <c r="BA3861" s="227"/>
      <c r="BB3861" s="227"/>
      <c r="BC3861" s="227"/>
      <c r="BD3861" s="227"/>
      <c r="BE3861" s="227"/>
      <c r="BF3861" s="227"/>
    </row>
    <row r="3862">
      <c r="A3862" s="235" t="s">
        <v>28889</v>
      </c>
      <c r="C3862" s="235" t="s">
        <v>28890</v>
      </c>
      <c r="D3862" s="235" t="s">
        <v>28891</v>
      </c>
      <c r="E3862" s="243">
        <v>6.51E13</v>
      </c>
      <c r="F3862" s="245"/>
      <c r="G3862" s="235" t="s">
        <v>28892</v>
      </c>
      <c r="H3862" s="235" t="s">
        <v>28893</v>
      </c>
      <c r="I3862" s="235" t="s">
        <v>28893</v>
      </c>
      <c r="J3862" s="235" t="s">
        <v>28894</v>
      </c>
      <c r="K3862" s="235" t="s">
        <v>28895</v>
      </c>
      <c r="N3862" s="235" t="s">
        <v>127</v>
      </c>
      <c r="O3862" s="235" t="s">
        <v>794</v>
      </c>
      <c r="P3862" s="238">
        <v>1.0</v>
      </c>
      <c r="Q3862" s="235" t="s">
        <v>627</v>
      </c>
      <c r="R3862" s="238">
        <v>236.2</v>
      </c>
      <c r="S3862" s="238">
        <v>11.45</v>
      </c>
      <c r="T3862" s="238">
        <v>0.0</v>
      </c>
      <c r="U3862" s="238">
        <v>0.0</v>
      </c>
      <c r="V3862" s="238">
        <v>0.0</v>
      </c>
      <c r="W3862" s="238">
        <v>0.0</v>
      </c>
      <c r="X3862" s="235" t="s">
        <v>628</v>
      </c>
      <c r="Z3862" s="245"/>
      <c r="AA3862" s="245"/>
      <c r="AB3862" s="245"/>
      <c r="AC3862" s="235" t="s">
        <v>1671</v>
      </c>
      <c r="AD3862" s="235" t="s">
        <v>666</v>
      </c>
      <c r="AE3862" s="238">
        <v>641048.0</v>
      </c>
      <c r="AF3862" s="235" t="s">
        <v>631</v>
      </c>
      <c r="AG3862" s="245"/>
      <c r="AH3862" s="245"/>
      <c r="AI3862" s="245"/>
      <c r="AJ3862" s="245"/>
      <c r="AK3862" s="245"/>
      <c r="AL3862" s="245"/>
      <c r="AM3862" s="245"/>
      <c r="AN3862" s="245"/>
      <c r="AO3862" s="238">
        <v>-7.09</v>
      </c>
      <c r="AP3862" s="238">
        <v>0.0</v>
      </c>
      <c r="AQ3862" s="235" t="s">
        <v>632</v>
      </c>
      <c r="AR3862" s="243">
        <v>3.71E11</v>
      </c>
      <c r="AS3862" s="235" t="s">
        <v>28482</v>
      </c>
      <c r="AT3862" s="235" t="s">
        <v>155</v>
      </c>
      <c r="AU3862" s="235" t="s">
        <v>634</v>
      </c>
      <c r="AV3862" s="246" t="s">
        <v>635</v>
      </c>
      <c r="AW3862" s="227"/>
      <c r="AX3862" s="227"/>
      <c r="AY3862" s="227"/>
      <c r="AZ3862" s="227"/>
      <c r="BA3862" s="227"/>
      <c r="BB3862" s="227"/>
      <c r="BC3862" s="227"/>
      <c r="BD3862" s="227"/>
      <c r="BE3862" s="227"/>
      <c r="BF3862" s="227"/>
    </row>
    <row r="3863">
      <c r="A3863" s="235" t="s">
        <v>28896</v>
      </c>
      <c r="C3863" s="235" t="s">
        <v>28897</v>
      </c>
      <c r="D3863" s="235" t="s">
        <v>28898</v>
      </c>
      <c r="E3863" s="243">
        <v>6.51E13</v>
      </c>
      <c r="F3863" s="245"/>
      <c r="G3863" s="235" t="s">
        <v>28899</v>
      </c>
      <c r="H3863" s="235" t="s">
        <v>28900</v>
      </c>
      <c r="I3863" s="235" t="s">
        <v>28901</v>
      </c>
      <c r="J3863" s="235" t="s">
        <v>28902</v>
      </c>
      <c r="K3863" s="235" t="s">
        <v>28903</v>
      </c>
      <c r="N3863" s="235" t="s">
        <v>82</v>
      </c>
      <c r="O3863" s="235" t="s">
        <v>889</v>
      </c>
      <c r="P3863" s="238">
        <v>1.0</v>
      </c>
      <c r="Q3863" s="235" t="s">
        <v>627</v>
      </c>
      <c r="R3863" s="238">
        <v>270.48</v>
      </c>
      <c r="S3863" s="238">
        <v>13.12</v>
      </c>
      <c r="T3863" s="238">
        <v>0.0</v>
      </c>
      <c r="U3863" s="238">
        <v>0.0</v>
      </c>
      <c r="V3863" s="238">
        <v>0.0</v>
      </c>
      <c r="W3863" s="238">
        <v>0.0</v>
      </c>
      <c r="X3863" s="235" t="s">
        <v>628</v>
      </c>
      <c r="Z3863" s="245"/>
      <c r="AA3863" s="245"/>
      <c r="AB3863" s="245"/>
      <c r="AC3863" s="235" t="s">
        <v>678</v>
      </c>
      <c r="AD3863" s="235" t="s">
        <v>679</v>
      </c>
      <c r="AE3863" s="238">
        <v>560077.0</v>
      </c>
      <c r="AF3863" s="235" t="s">
        <v>631</v>
      </c>
      <c r="AG3863" s="245"/>
      <c r="AH3863" s="245"/>
      <c r="AI3863" s="245"/>
      <c r="AJ3863" s="245"/>
      <c r="AK3863" s="245"/>
      <c r="AL3863" s="245"/>
      <c r="AM3863" s="245"/>
      <c r="AN3863" s="245"/>
      <c r="AO3863" s="238">
        <v>-8.12</v>
      </c>
      <c r="AP3863" s="238">
        <v>0.0</v>
      </c>
      <c r="AQ3863" s="235" t="s">
        <v>632</v>
      </c>
      <c r="AR3863" s="243">
        <v>3.71E11</v>
      </c>
      <c r="AS3863" s="235" t="s">
        <v>28482</v>
      </c>
      <c r="AT3863" s="235" t="s">
        <v>9</v>
      </c>
      <c r="AU3863" s="235" t="s">
        <v>634</v>
      </c>
      <c r="AV3863" s="246" t="s">
        <v>635</v>
      </c>
      <c r="AW3863" s="227"/>
      <c r="AX3863" s="227"/>
      <c r="AY3863" s="227"/>
      <c r="AZ3863" s="227"/>
      <c r="BA3863" s="227"/>
      <c r="BB3863" s="227"/>
      <c r="BC3863" s="227"/>
      <c r="BD3863" s="227"/>
      <c r="BE3863" s="227"/>
      <c r="BF3863" s="227"/>
    </row>
    <row r="3864">
      <c r="A3864" s="235" t="s">
        <v>28904</v>
      </c>
      <c r="C3864" s="235" t="s">
        <v>28905</v>
      </c>
      <c r="D3864" s="235" t="s">
        <v>28906</v>
      </c>
      <c r="E3864" s="243">
        <v>6.51E13</v>
      </c>
      <c r="F3864" s="245"/>
      <c r="G3864" s="235" t="s">
        <v>28907</v>
      </c>
      <c r="H3864" s="235" t="s">
        <v>28908</v>
      </c>
      <c r="I3864" s="235" t="s">
        <v>28908</v>
      </c>
      <c r="J3864" s="235" t="s">
        <v>28909</v>
      </c>
      <c r="K3864" s="235" t="s">
        <v>28910</v>
      </c>
      <c r="N3864" s="235" t="s">
        <v>106</v>
      </c>
      <c r="O3864" s="235" t="s">
        <v>338</v>
      </c>
      <c r="P3864" s="238">
        <v>1.0</v>
      </c>
      <c r="Q3864" s="235" t="s">
        <v>627</v>
      </c>
      <c r="R3864" s="238">
        <v>237.14</v>
      </c>
      <c r="S3864" s="238">
        <v>11.86</v>
      </c>
      <c r="T3864" s="238">
        <v>0.0</v>
      </c>
      <c r="U3864" s="238">
        <v>0.0</v>
      </c>
      <c r="V3864" s="238">
        <v>0.0</v>
      </c>
      <c r="W3864" s="238">
        <v>0.0</v>
      </c>
      <c r="X3864" s="235" t="s">
        <v>628</v>
      </c>
      <c r="Z3864" s="245"/>
      <c r="AA3864" s="245"/>
      <c r="AB3864" s="245"/>
      <c r="AC3864" s="235" t="s">
        <v>1671</v>
      </c>
      <c r="AD3864" s="235" t="s">
        <v>666</v>
      </c>
      <c r="AE3864" s="238">
        <v>641006.0</v>
      </c>
      <c r="AF3864" s="235" t="s">
        <v>631</v>
      </c>
      <c r="AG3864" s="245"/>
      <c r="AH3864" s="245"/>
      <c r="AI3864" s="245"/>
      <c r="AJ3864" s="245"/>
      <c r="AK3864" s="245"/>
      <c r="AL3864" s="245"/>
      <c r="AM3864" s="245"/>
      <c r="AN3864" s="245"/>
      <c r="AO3864" s="238">
        <v>0.0</v>
      </c>
      <c r="AP3864" s="238">
        <v>0.0</v>
      </c>
      <c r="AQ3864" s="235" t="s">
        <v>632</v>
      </c>
      <c r="AR3864" s="243">
        <v>3.71E11</v>
      </c>
      <c r="AS3864" s="235" t="s">
        <v>28482</v>
      </c>
      <c r="AT3864" s="235" t="s">
        <v>155</v>
      </c>
      <c r="AU3864" s="235" t="s">
        <v>634</v>
      </c>
      <c r="AV3864" s="246" t="s">
        <v>635</v>
      </c>
      <c r="AW3864" s="227"/>
      <c r="AX3864" s="227"/>
      <c r="AY3864" s="227"/>
      <c r="AZ3864" s="227"/>
      <c r="BA3864" s="227"/>
      <c r="BB3864" s="227"/>
      <c r="BC3864" s="227"/>
      <c r="BD3864" s="227"/>
      <c r="BE3864" s="227"/>
      <c r="BF3864" s="227"/>
    </row>
    <row r="3865">
      <c r="A3865" s="235" t="s">
        <v>28911</v>
      </c>
      <c r="C3865" s="235" t="s">
        <v>28912</v>
      </c>
      <c r="D3865" s="235" t="s">
        <v>28913</v>
      </c>
      <c r="E3865" s="243">
        <v>6.51E13</v>
      </c>
      <c r="F3865" s="245"/>
      <c r="G3865" s="235" t="s">
        <v>28914</v>
      </c>
      <c r="H3865" s="235" t="s">
        <v>28915</v>
      </c>
      <c r="I3865" s="235" t="s">
        <v>28915</v>
      </c>
      <c r="J3865" s="235" t="s">
        <v>28916</v>
      </c>
      <c r="K3865" s="235" t="s">
        <v>28917</v>
      </c>
      <c r="N3865" s="235" t="s">
        <v>42</v>
      </c>
      <c r="O3865" s="235" t="s">
        <v>204</v>
      </c>
      <c r="P3865" s="238">
        <v>1.0</v>
      </c>
      <c r="Q3865" s="235" t="s">
        <v>627</v>
      </c>
      <c r="R3865" s="238">
        <v>236.19</v>
      </c>
      <c r="S3865" s="238">
        <v>11.81</v>
      </c>
      <c r="T3865" s="238">
        <v>0.0</v>
      </c>
      <c r="U3865" s="238">
        <v>0.0</v>
      </c>
      <c r="V3865" s="238">
        <v>0.0</v>
      </c>
      <c r="W3865" s="238">
        <v>0.0</v>
      </c>
      <c r="X3865" s="235" t="s">
        <v>628</v>
      </c>
      <c r="Z3865" s="245"/>
      <c r="AA3865" s="245"/>
      <c r="AB3865" s="245"/>
      <c r="AC3865" s="235" t="s">
        <v>697</v>
      </c>
      <c r="AD3865" s="235" t="s">
        <v>698</v>
      </c>
      <c r="AE3865" s="238">
        <v>502032.0</v>
      </c>
      <c r="AF3865" s="235" t="s">
        <v>631</v>
      </c>
      <c r="AG3865" s="245"/>
      <c r="AH3865" s="245"/>
      <c r="AI3865" s="245"/>
      <c r="AJ3865" s="245"/>
      <c r="AK3865" s="245"/>
      <c r="AL3865" s="245"/>
      <c r="AM3865" s="245"/>
      <c r="AN3865" s="245"/>
      <c r="AO3865" s="238">
        <v>0.0</v>
      </c>
      <c r="AP3865" s="238">
        <v>0.0</v>
      </c>
      <c r="AQ3865" s="235" t="s">
        <v>632</v>
      </c>
      <c r="AR3865" s="243">
        <v>2.02E11</v>
      </c>
      <c r="AS3865" s="235" t="s">
        <v>26892</v>
      </c>
      <c r="AT3865" s="235" t="s">
        <v>156</v>
      </c>
      <c r="AU3865" s="235" t="s">
        <v>634</v>
      </c>
      <c r="AV3865" s="246" t="s">
        <v>635</v>
      </c>
      <c r="AW3865" s="227"/>
      <c r="AX3865" s="227"/>
      <c r="AY3865" s="227"/>
      <c r="AZ3865" s="227"/>
      <c r="BA3865" s="227"/>
      <c r="BB3865" s="227"/>
      <c r="BC3865" s="227"/>
      <c r="BD3865" s="227"/>
      <c r="BE3865" s="227"/>
      <c r="BF3865" s="227"/>
    </row>
    <row r="3866">
      <c r="A3866" s="235" t="s">
        <v>28918</v>
      </c>
      <c r="C3866" s="235" t="s">
        <v>28919</v>
      </c>
      <c r="D3866" s="235" t="s">
        <v>28920</v>
      </c>
      <c r="E3866" s="243">
        <v>6.51E13</v>
      </c>
      <c r="F3866" s="245"/>
      <c r="G3866" s="235" t="s">
        <v>28921</v>
      </c>
      <c r="H3866" s="235" t="s">
        <v>28922</v>
      </c>
      <c r="I3866" s="235" t="s">
        <v>28922</v>
      </c>
      <c r="J3866" s="235" t="s">
        <v>28923</v>
      </c>
      <c r="K3866" s="235" t="s">
        <v>28924</v>
      </c>
      <c r="N3866" s="235" t="s">
        <v>154</v>
      </c>
      <c r="O3866" s="235" t="s">
        <v>766</v>
      </c>
      <c r="P3866" s="238">
        <v>1.0</v>
      </c>
      <c r="Q3866" s="235" t="s">
        <v>627</v>
      </c>
      <c r="R3866" s="238">
        <v>423.8</v>
      </c>
      <c r="S3866" s="238">
        <v>20.56</v>
      </c>
      <c r="T3866" s="238">
        <v>0.0</v>
      </c>
      <c r="U3866" s="238">
        <v>0.0</v>
      </c>
      <c r="V3866" s="238">
        <v>0.0</v>
      </c>
      <c r="W3866" s="238">
        <v>0.0</v>
      </c>
      <c r="X3866" s="235" t="s">
        <v>628</v>
      </c>
      <c r="Z3866" s="245"/>
      <c r="AA3866" s="245"/>
      <c r="AB3866" s="245"/>
      <c r="AC3866" s="235" t="s">
        <v>1456</v>
      </c>
      <c r="AD3866" s="235" t="s">
        <v>928</v>
      </c>
      <c r="AE3866" s="238">
        <v>122018.0</v>
      </c>
      <c r="AF3866" s="235" t="s">
        <v>631</v>
      </c>
      <c r="AG3866" s="245"/>
      <c r="AH3866" s="245"/>
      <c r="AI3866" s="245"/>
      <c r="AJ3866" s="245"/>
      <c r="AK3866" s="245"/>
      <c r="AL3866" s="245"/>
      <c r="AM3866" s="245"/>
      <c r="AN3866" s="245"/>
      <c r="AO3866" s="238">
        <v>-12.71</v>
      </c>
      <c r="AP3866" s="238">
        <v>0.0</v>
      </c>
      <c r="AQ3866" s="235" t="s">
        <v>632</v>
      </c>
      <c r="AR3866" s="243">
        <v>3.71E11</v>
      </c>
      <c r="AS3866" s="235" t="s">
        <v>28482</v>
      </c>
      <c r="AT3866" s="235" t="s">
        <v>14</v>
      </c>
      <c r="AU3866" s="235" t="s">
        <v>634</v>
      </c>
      <c r="AV3866" s="246" t="s">
        <v>635</v>
      </c>
      <c r="AW3866" s="227"/>
      <c r="AX3866" s="227"/>
      <c r="AY3866" s="227"/>
      <c r="AZ3866" s="227"/>
      <c r="BA3866" s="227"/>
      <c r="BB3866" s="227"/>
      <c r="BC3866" s="227"/>
      <c r="BD3866" s="227"/>
      <c r="BE3866" s="227"/>
      <c r="BF3866" s="227"/>
    </row>
    <row r="3867">
      <c r="A3867" s="235" t="s">
        <v>28925</v>
      </c>
      <c r="C3867" s="235" t="s">
        <v>28926</v>
      </c>
      <c r="D3867" s="235" t="s">
        <v>28927</v>
      </c>
      <c r="E3867" s="243">
        <v>6.51E13</v>
      </c>
      <c r="F3867" s="245"/>
      <c r="G3867" s="235" t="s">
        <v>28928</v>
      </c>
      <c r="H3867" s="235" t="s">
        <v>28929</v>
      </c>
      <c r="I3867" s="235" t="s">
        <v>28930</v>
      </c>
      <c r="J3867" s="235" t="s">
        <v>28931</v>
      </c>
      <c r="K3867" s="235" t="s">
        <v>28932</v>
      </c>
      <c r="N3867" s="235" t="s">
        <v>85</v>
      </c>
      <c r="O3867" s="235" t="s">
        <v>872</v>
      </c>
      <c r="P3867" s="238">
        <v>1.0</v>
      </c>
      <c r="Q3867" s="235" t="s">
        <v>627</v>
      </c>
      <c r="R3867" s="238">
        <v>232.38</v>
      </c>
      <c r="S3867" s="238">
        <v>11.27</v>
      </c>
      <c r="T3867" s="238">
        <v>0.0</v>
      </c>
      <c r="U3867" s="238">
        <v>0.0</v>
      </c>
      <c r="V3867" s="238">
        <v>0.0</v>
      </c>
      <c r="W3867" s="238">
        <v>0.0</v>
      </c>
      <c r="X3867" s="235" t="s">
        <v>628</v>
      </c>
      <c r="Z3867" s="245"/>
      <c r="AA3867" s="245"/>
      <c r="AB3867" s="245"/>
      <c r="AC3867" s="235" t="s">
        <v>3374</v>
      </c>
      <c r="AD3867" s="235" t="s">
        <v>645</v>
      </c>
      <c r="AE3867" s="238">
        <v>695006.0</v>
      </c>
      <c r="AF3867" s="235" t="s">
        <v>631</v>
      </c>
      <c r="AG3867" s="245"/>
      <c r="AH3867" s="245"/>
      <c r="AI3867" s="245"/>
      <c r="AJ3867" s="245"/>
      <c r="AK3867" s="245"/>
      <c r="AL3867" s="245"/>
      <c r="AM3867" s="245"/>
      <c r="AN3867" s="245"/>
      <c r="AO3867" s="238">
        <v>-6.97</v>
      </c>
      <c r="AP3867" s="238">
        <v>0.0</v>
      </c>
      <c r="AQ3867" s="235" t="s">
        <v>632</v>
      </c>
      <c r="AR3867" s="243">
        <v>1.68E11</v>
      </c>
      <c r="AS3867" s="235" t="s">
        <v>26892</v>
      </c>
      <c r="AT3867" s="235" t="s">
        <v>11</v>
      </c>
      <c r="AU3867" s="235" t="s">
        <v>634</v>
      </c>
      <c r="AV3867" s="246" t="s">
        <v>635</v>
      </c>
      <c r="AW3867" s="227"/>
      <c r="AX3867" s="227"/>
      <c r="AY3867" s="227"/>
      <c r="AZ3867" s="227"/>
      <c r="BA3867" s="227"/>
      <c r="BB3867" s="227"/>
      <c r="BC3867" s="227"/>
      <c r="BD3867" s="227"/>
      <c r="BE3867" s="227"/>
      <c r="BF3867" s="227"/>
    </row>
    <row r="3868">
      <c r="A3868" s="235" t="s">
        <v>28933</v>
      </c>
      <c r="C3868" s="235" t="s">
        <v>28934</v>
      </c>
      <c r="D3868" s="235" t="s">
        <v>28935</v>
      </c>
      <c r="E3868" s="243">
        <v>6.51E13</v>
      </c>
      <c r="F3868" s="245"/>
      <c r="G3868" s="235" t="s">
        <v>28936</v>
      </c>
      <c r="H3868" s="235" t="s">
        <v>28937</v>
      </c>
      <c r="I3868" s="235" t="s">
        <v>28938</v>
      </c>
      <c r="J3868" s="235" t="s">
        <v>28939</v>
      </c>
      <c r="K3868" s="235" t="s">
        <v>28940</v>
      </c>
      <c r="N3868" s="235" t="s">
        <v>104</v>
      </c>
      <c r="O3868" s="235" t="s">
        <v>401</v>
      </c>
      <c r="P3868" s="238">
        <v>1.0</v>
      </c>
      <c r="Q3868" s="235" t="s">
        <v>627</v>
      </c>
      <c r="R3868" s="238">
        <v>237.14</v>
      </c>
      <c r="S3868" s="238">
        <v>11.62</v>
      </c>
      <c r="T3868" s="238">
        <v>0.0</v>
      </c>
      <c r="U3868" s="238">
        <v>0.0</v>
      </c>
      <c r="V3868" s="238">
        <v>0.0</v>
      </c>
      <c r="W3868" s="238">
        <v>0.0</v>
      </c>
      <c r="X3868" s="235" t="s">
        <v>628</v>
      </c>
      <c r="Z3868" s="245"/>
      <c r="AA3868" s="245"/>
      <c r="AB3868" s="245"/>
      <c r="AC3868" s="235" t="s">
        <v>697</v>
      </c>
      <c r="AD3868" s="235" t="s">
        <v>698</v>
      </c>
      <c r="AE3868" s="238">
        <v>500049.0</v>
      </c>
      <c r="AF3868" s="235" t="s">
        <v>631</v>
      </c>
      <c r="AG3868" s="245"/>
      <c r="AH3868" s="245"/>
      <c r="AI3868" s="245"/>
      <c r="AJ3868" s="245"/>
      <c r="AK3868" s="245"/>
      <c r="AL3868" s="245"/>
      <c r="AM3868" s="245"/>
      <c r="AN3868" s="245"/>
      <c r="AO3868" s="238">
        <v>-4.74</v>
      </c>
      <c r="AP3868" s="238">
        <v>0.0</v>
      </c>
      <c r="AQ3868" s="235" t="s">
        <v>632</v>
      </c>
      <c r="AR3868" s="243">
        <v>2.02E11</v>
      </c>
      <c r="AS3868" s="235" t="s">
        <v>26892</v>
      </c>
      <c r="AT3868" s="235" t="s">
        <v>156</v>
      </c>
      <c r="AU3868" s="235" t="s">
        <v>634</v>
      </c>
      <c r="AV3868" s="246" t="s">
        <v>635</v>
      </c>
      <c r="AW3868" s="227"/>
      <c r="AX3868" s="227"/>
      <c r="AY3868" s="227"/>
      <c r="AZ3868" s="227"/>
      <c r="BA3868" s="227"/>
      <c r="BB3868" s="227"/>
      <c r="BC3868" s="227"/>
      <c r="BD3868" s="227"/>
      <c r="BE3868" s="227"/>
      <c r="BF3868" s="227"/>
    </row>
    <row r="3869">
      <c r="A3869" s="235" t="s">
        <v>28941</v>
      </c>
      <c r="C3869" s="235" t="s">
        <v>28942</v>
      </c>
      <c r="D3869" s="235" t="s">
        <v>28943</v>
      </c>
      <c r="E3869" s="243">
        <v>6.51E13</v>
      </c>
      <c r="F3869" s="245"/>
      <c r="G3869" s="235" t="s">
        <v>28944</v>
      </c>
      <c r="H3869" s="235" t="s">
        <v>28938</v>
      </c>
      <c r="I3869" s="235" t="s">
        <v>28938</v>
      </c>
      <c r="J3869" s="235" t="s">
        <v>28945</v>
      </c>
      <c r="K3869" s="235" t="s">
        <v>28946</v>
      </c>
      <c r="N3869" s="235" t="s">
        <v>127</v>
      </c>
      <c r="O3869" s="235" t="s">
        <v>794</v>
      </c>
      <c r="P3869" s="238">
        <v>1.0</v>
      </c>
      <c r="Q3869" s="235" t="s">
        <v>627</v>
      </c>
      <c r="R3869" s="238">
        <v>236.19</v>
      </c>
      <c r="S3869" s="238">
        <v>11.46</v>
      </c>
      <c r="T3869" s="238">
        <v>0.0</v>
      </c>
      <c r="U3869" s="238">
        <v>0.0</v>
      </c>
      <c r="V3869" s="238">
        <v>0.0</v>
      </c>
      <c r="W3869" s="238">
        <v>0.0</v>
      </c>
      <c r="X3869" s="235" t="s">
        <v>628</v>
      </c>
      <c r="Z3869" s="245"/>
      <c r="AA3869" s="245"/>
      <c r="AB3869" s="245"/>
      <c r="AC3869" s="235" t="s">
        <v>795</v>
      </c>
      <c r="AD3869" s="235" t="s">
        <v>796</v>
      </c>
      <c r="AE3869" s="238">
        <v>110032.0</v>
      </c>
      <c r="AF3869" s="235" t="s">
        <v>631</v>
      </c>
      <c r="AG3869" s="245"/>
      <c r="AH3869" s="245"/>
      <c r="AI3869" s="245"/>
      <c r="AJ3869" s="245"/>
      <c r="AK3869" s="245"/>
      <c r="AL3869" s="245"/>
      <c r="AM3869" s="245"/>
      <c r="AN3869" s="245"/>
      <c r="AO3869" s="238">
        <v>-7.09</v>
      </c>
      <c r="AP3869" s="238">
        <v>0.0</v>
      </c>
      <c r="AQ3869" s="235" t="s">
        <v>632</v>
      </c>
      <c r="AR3869" s="243">
        <v>1.68E11</v>
      </c>
      <c r="AS3869" s="235" t="s">
        <v>28947</v>
      </c>
      <c r="AT3869" s="235" t="s">
        <v>533</v>
      </c>
      <c r="AU3869" s="235" t="s">
        <v>634</v>
      </c>
      <c r="AV3869" s="246" t="s">
        <v>635</v>
      </c>
      <c r="AW3869" s="227"/>
      <c r="AX3869" s="227"/>
      <c r="AY3869" s="227"/>
      <c r="AZ3869" s="227"/>
      <c r="BA3869" s="227"/>
      <c r="BB3869" s="227"/>
      <c r="BC3869" s="227"/>
      <c r="BD3869" s="227"/>
      <c r="BE3869" s="227"/>
      <c r="BF3869" s="227"/>
    </row>
    <row r="3870">
      <c r="A3870" s="235" t="s">
        <v>28948</v>
      </c>
      <c r="C3870" s="235" t="s">
        <v>28949</v>
      </c>
      <c r="D3870" s="235" t="s">
        <v>28950</v>
      </c>
      <c r="E3870" s="243">
        <v>6.51E13</v>
      </c>
      <c r="F3870" s="245"/>
      <c r="G3870" s="235" t="s">
        <v>28951</v>
      </c>
      <c r="H3870" s="235" t="s">
        <v>28952</v>
      </c>
      <c r="I3870" s="235" t="s">
        <v>28953</v>
      </c>
      <c r="J3870" s="235" t="s">
        <v>28954</v>
      </c>
      <c r="K3870" s="235" t="s">
        <v>28955</v>
      </c>
      <c r="N3870" s="235" t="s">
        <v>68</v>
      </c>
      <c r="O3870" s="235" t="s">
        <v>208</v>
      </c>
      <c r="P3870" s="238">
        <v>1.0</v>
      </c>
      <c r="Q3870" s="235" t="s">
        <v>627</v>
      </c>
      <c r="R3870" s="238">
        <v>236.2</v>
      </c>
      <c r="S3870" s="238">
        <v>11.45</v>
      </c>
      <c r="T3870" s="238">
        <v>0.0</v>
      </c>
      <c r="U3870" s="238">
        <v>0.0</v>
      </c>
      <c r="V3870" s="238">
        <v>0.0</v>
      </c>
      <c r="W3870" s="238">
        <v>0.0</v>
      </c>
      <c r="X3870" s="235" t="s">
        <v>628</v>
      </c>
      <c r="Z3870" s="245"/>
      <c r="AA3870" s="245"/>
      <c r="AB3870" s="245"/>
      <c r="AC3870" s="235" t="s">
        <v>687</v>
      </c>
      <c r="AD3870" s="235" t="s">
        <v>666</v>
      </c>
      <c r="AE3870" s="238">
        <v>600062.0</v>
      </c>
      <c r="AF3870" s="235" t="s">
        <v>631</v>
      </c>
      <c r="AG3870" s="245"/>
      <c r="AH3870" s="245"/>
      <c r="AI3870" s="245"/>
      <c r="AJ3870" s="245"/>
      <c r="AK3870" s="245"/>
      <c r="AL3870" s="245"/>
      <c r="AM3870" s="245"/>
      <c r="AN3870" s="245"/>
      <c r="AO3870" s="238">
        <v>-7.09</v>
      </c>
      <c r="AP3870" s="238">
        <v>0.0</v>
      </c>
      <c r="AQ3870" s="235" t="s">
        <v>632</v>
      </c>
      <c r="AR3870" s="243">
        <v>3.71E11</v>
      </c>
      <c r="AS3870" s="235" t="s">
        <v>28482</v>
      </c>
      <c r="AT3870" s="235" t="s">
        <v>156</v>
      </c>
      <c r="AU3870" s="235" t="s">
        <v>634</v>
      </c>
      <c r="AV3870" s="246" t="s">
        <v>635</v>
      </c>
      <c r="AW3870" s="227"/>
      <c r="AX3870" s="227"/>
      <c r="AY3870" s="227"/>
      <c r="AZ3870" s="227"/>
      <c r="BA3870" s="227"/>
      <c r="BB3870" s="227"/>
      <c r="BC3870" s="227"/>
      <c r="BD3870" s="227"/>
      <c r="BE3870" s="227"/>
      <c r="BF3870" s="227"/>
    </row>
    <row r="3871">
      <c r="A3871" s="235" t="s">
        <v>28956</v>
      </c>
      <c r="C3871" s="235" t="s">
        <v>28957</v>
      </c>
      <c r="D3871" s="235" t="s">
        <v>28958</v>
      </c>
      <c r="E3871" s="243">
        <v>6.51E13</v>
      </c>
      <c r="F3871" s="245"/>
      <c r="G3871" s="235" t="s">
        <v>28959</v>
      </c>
      <c r="H3871" s="235" t="s">
        <v>28960</v>
      </c>
      <c r="I3871" s="235" t="s">
        <v>28960</v>
      </c>
      <c r="J3871" s="235" t="s">
        <v>28961</v>
      </c>
      <c r="K3871" s="235" t="s">
        <v>28962</v>
      </c>
      <c r="N3871" s="235" t="s">
        <v>143</v>
      </c>
      <c r="O3871" s="235" t="s">
        <v>220</v>
      </c>
      <c r="P3871" s="238">
        <v>1.0</v>
      </c>
      <c r="Q3871" s="235" t="s">
        <v>627</v>
      </c>
      <c r="R3871" s="238">
        <v>233.34</v>
      </c>
      <c r="S3871" s="238">
        <v>11.66</v>
      </c>
      <c r="T3871" s="238">
        <v>0.0</v>
      </c>
      <c r="U3871" s="238">
        <v>0.0</v>
      </c>
      <c r="V3871" s="238">
        <v>0.0</v>
      </c>
      <c r="W3871" s="238">
        <v>0.0</v>
      </c>
      <c r="X3871" s="235" t="s">
        <v>628</v>
      </c>
      <c r="Z3871" s="245"/>
      <c r="AA3871" s="245"/>
      <c r="AB3871" s="245"/>
      <c r="AC3871" s="235" t="s">
        <v>1456</v>
      </c>
      <c r="AD3871" s="235" t="s">
        <v>928</v>
      </c>
      <c r="AE3871" s="238">
        <v>122001.0</v>
      </c>
      <c r="AF3871" s="235" t="s">
        <v>631</v>
      </c>
      <c r="AG3871" s="245"/>
      <c r="AH3871" s="245"/>
      <c r="AI3871" s="245"/>
      <c r="AJ3871" s="245"/>
      <c r="AK3871" s="245"/>
      <c r="AL3871" s="245"/>
      <c r="AM3871" s="245"/>
      <c r="AN3871" s="245"/>
      <c r="AO3871" s="238">
        <v>0.0</v>
      </c>
      <c r="AP3871" s="238">
        <v>0.0</v>
      </c>
      <c r="AQ3871" s="235" t="s">
        <v>632</v>
      </c>
      <c r="AR3871" s="243">
        <v>1.68E11</v>
      </c>
      <c r="AS3871" s="235" t="s">
        <v>28947</v>
      </c>
      <c r="AT3871" s="235" t="s">
        <v>13</v>
      </c>
      <c r="AU3871" s="235" t="s">
        <v>634</v>
      </c>
      <c r="AV3871" s="246" t="s">
        <v>635</v>
      </c>
      <c r="AW3871" s="227"/>
      <c r="AX3871" s="227"/>
      <c r="AY3871" s="227"/>
      <c r="AZ3871" s="227"/>
      <c r="BA3871" s="227"/>
      <c r="BB3871" s="227"/>
      <c r="BC3871" s="227"/>
      <c r="BD3871" s="227"/>
      <c r="BE3871" s="227"/>
      <c r="BF3871" s="227"/>
    </row>
    <row r="3872">
      <c r="A3872" s="235" t="s">
        <v>28963</v>
      </c>
      <c r="C3872" s="235" t="s">
        <v>28964</v>
      </c>
      <c r="D3872" s="235" t="s">
        <v>28965</v>
      </c>
      <c r="E3872" s="243">
        <v>6.51E13</v>
      </c>
      <c r="F3872" s="245"/>
      <c r="G3872" s="235" t="s">
        <v>28966</v>
      </c>
      <c r="H3872" s="235" t="s">
        <v>28967</v>
      </c>
      <c r="I3872" s="235" t="s">
        <v>28967</v>
      </c>
      <c r="J3872" s="235" t="s">
        <v>28968</v>
      </c>
      <c r="K3872" s="235" t="s">
        <v>28969</v>
      </c>
      <c r="N3872" s="235" t="s">
        <v>143</v>
      </c>
      <c r="O3872" s="235" t="s">
        <v>220</v>
      </c>
      <c r="P3872" s="238">
        <v>1.0</v>
      </c>
      <c r="Q3872" s="235" t="s">
        <v>627</v>
      </c>
      <c r="R3872" s="238">
        <v>233.34</v>
      </c>
      <c r="S3872" s="238">
        <v>11.66</v>
      </c>
      <c r="T3872" s="238">
        <v>0.0</v>
      </c>
      <c r="U3872" s="238">
        <v>0.0</v>
      </c>
      <c r="V3872" s="238">
        <v>0.0</v>
      </c>
      <c r="W3872" s="238">
        <v>0.0</v>
      </c>
      <c r="X3872" s="235" t="s">
        <v>628</v>
      </c>
      <c r="Z3872" s="245"/>
      <c r="AA3872" s="245"/>
      <c r="AB3872" s="245"/>
      <c r="AC3872" s="235" t="s">
        <v>1456</v>
      </c>
      <c r="AD3872" s="235" t="s">
        <v>928</v>
      </c>
      <c r="AE3872" s="238">
        <v>122004.0</v>
      </c>
      <c r="AF3872" s="235" t="s">
        <v>631</v>
      </c>
      <c r="AG3872" s="245"/>
      <c r="AH3872" s="245"/>
      <c r="AI3872" s="245"/>
      <c r="AJ3872" s="245"/>
      <c r="AK3872" s="245"/>
      <c r="AL3872" s="245"/>
      <c r="AM3872" s="245"/>
      <c r="AN3872" s="245"/>
      <c r="AO3872" s="238">
        <v>0.0</v>
      </c>
      <c r="AP3872" s="238">
        <v>0.0</v>
      </c>
      <c r="AQ3872" s="235" t="s">
        <v>632</v>
      </c>
      <c r="AR3872" s="243">
        <v>1.68E11</v>
      </c>
      <c r="AS3872" s="235" t="s">
        <v>28947</v>
      </c>
      <c r="AT3872" s="235" t="s">
        <v>14</v>
      </c>
      <c r="AU3872" s="235" t="s">
        <v>634</v>
      </c>
      <c r="AV3872" s="246" t="s">
        <v>635</v>
      </c>
      <c r="AW3872" s="227"/>
      <c r="AX3872" s="227"/>
      <c r="AY3872" s="227"/>
      <c r="AZ3872" s="227"/>
      <c r="BA3872" s="227"/>
      <c r="BB3872" s="227"/>
      <c r="BC3872" s="227"/>
      <c r="BD3872" s="227"/>
      <c r="BE3872" s="227"/>
      <c r="BF3872" s="227"/>
    </row>
    <row r="3873">
      <c r="A3873" s="235" t="s">
        <v>28970</v>
      </c>
      <c r="C3873" s="235" t="s">
        <v>28971</v>
      </c>
      <c r="D3873" s="235" t="s">
        <v>28972</v>
      </c>
      <c r="E3873" s="243">
        <v>6.51E13</v>
      </c>
      <c r="F3873" s="245"/>
      <c r="G3873" s="235" t="s">
        <v>28973</v>
      </c>
      <c r="H3873" s="235" t="s">
        <v>28974</v>
      </c>
      <c r="I3873" s="235" t="s">
        <v>28975</v>
      </c>
      <c r="J3873" s="235" t="s">
        <v>28976</v>
      </c>
      <c r="K3873" s="235" t="s">
        <v>28977</v>
      </c>
      <c r="N3873" s="235" t="s">
        <v>42</v>
      </c>
      <c r="O3873" s="235" t="s">
        <v>204</v>
      </c>
      <c r="P3873" s="238">
        <v>1.0</v>
      </c>
      <c r="Q3873" s="235" t="s">
        <v>627</v>
      </c>
      <c r="R3873" s="238">
        <v>236.2</v>
      </c>
      <c r="S3873" s="238">
        <v>11.8</v>
      </c>
      <c r="T3873" s="238">
        <v>0.0</v>
      </c>
      <c r="U3873" s="238">
        <v>0.0</v>
      </c>
      <c r="V3873" s="238">
        <v>0.0</v>
      </c>
      <c r="W3873" s="238">
        <v>0.0</v>
      </c>
      <c r="X3873" s="235" t="s">
        <v>628</v>
      </c>
      <c r="Z3873" s="245"/>
      <c r="AA3873" s="245"/>
      <c r="AB3873" s="245"/>
      <c r="AC3873" s="235" t="s">
        <v>687</v>
      </c>
      <c r="AD3873" s="235" t="s">
        <v>666</v>
      </c>
      <c r="AE3873" s="238">
        <v>600080.0</v>
      </c>
      <c r="AF3873" s="235" t="s">
        <v>631</v>
      </c>
      <c r="AG3873" s="245"/>
      <c r="AH3873" s="245"/>
      <c r="AI3873" s="245"/>
      <c r="AJ3873" s="245"/>
      <c r="AK3873" s="245"/>
      <c r="AL3873" s="245"/>
      <c r="AM3873" s="245"/>
      <c r="AN3873" s="245"/>
      <c r="AO3873" s="238">
        <v>0.0</v>
      </c>
      <c r="AP3873" s="238">
        <v>0.0</v>
      </c>
      <c r="AQ3873" s="235" t="s">
        <v>632</v>
      </c>
      <c r="AR3873" s="243">
        <v>3.71E11</v>
      </c>
      <c r="AS3873" s="235" t="s">
        <v>28482</v>
      </c>
      <c r="AT3873" s="235" t="s">
        <v>156</v>
      </c>
      <c r="AU3873" s="235" t="s">
        <v>634</v>
      </c>
      <c r="AV3873" s="246" t="s">
        <v>635</v>
      </c>
      <c r="AW3873" s="227"/>
      <c r="AX3873" s="227"/>
      <c r="AY3873" s="227"/>
      <c r="AZ3873" s="227"/>
      <c r="BA3873" s="227"/>
      <c r="BB3873" s="227"/>
      <c r="BC3873" s="227"/>
      <c r="BD3873" s="227"/>
      <c r="BE3873" s="227"/>
      <c r="BF3873" s="227"/>
    </row>
    <row r="3874">
      <c r="A3874" s="235" t="s">
        <v>28978</v>
      </c>
      <c r="C3874" s="235" t="s">
        <v>28979</v>
      </c>
      <c r="D3874" s="235" t="s">
        <v>28980</v>
      </c>
      <c r="E3874" s="243">
        <v>6.51E13</v>
      </c>
      <c r="F3874" s="245"/>
      <c r="G3874" s="235" t="s">
        <v>28981</v>
      </c>
      <c r="H3874" s="235" t="s">
        <v>28982</v>
      </c>
      <c r="I3874" s="235" t="s">
        <v>28983</v>
      </c>
      <c r="J3874" s="235" t="s">
        <v>28984</v>
      </c>
      <c r="K3874" s="235" t="s">
        <v>28985</v>
      </c>
      <c r="N3874" s="235" t="s">
        <v>129</v>
      </c>
      <c r="O3874" s="235" t="s">
        <v>522</v>
      </c>
      <c r="P3874" s="238">
        <v>1.0</v>
      </c>
      <c r="Q3874" s="235" t="s">
        <v>627</v>
      </c>
      <c r="R3874" s="238">
        <v>233.33</v>
      </c>
      <c r="S3874" s="238">
        <v>11.32</v>
      </c>
      <c r="T3874" s="238">
        <v>0.0</v>
      </c>
      <c r="U3874" s="238">
        <v>0.0</v>
      </c>
      <c r="V3874" s="238">
        <v>0.0</v>
      </c>
      <c r="W3874" s="238">
        <v>0.0</v>
      </c>
      <c r="X3874" s="235" t="s">
        <v>628</v>
      </c>
      <c r="Z3874" s="245"/>
      <c r="AA3874" s="245"/>
      <c r="AB3874" s="245"/>
      <c r="AC3874" s="235" t="s">
        <v>10769</v>
      </c>
      <c r="AD3874" s="235" t="s">
        <v>845</v>
      </c>
      <c r="AE3874" s="238">
        <v>422010.0</v>
      </c>
      <c r="AF3874" s="235" t="s">
        <v>631</v>
      </c>
      <c r="AG3874" s="245"/>
      <c r="AH3874" s="245"/>
      <c r="AI3874" s="245"/>
      <c r="AJ3874" s="245"/>
      <c r="AK3874" s="245"/>
      <c r="AL3874" s="245"/>
      <c r="AM3874" s="245"/>
      <c r="AN3874" s="245"/>
      <c r="AO3874" s="238">
        <v>-7.0</v>
      </c>
      <c r="AP3874" s="238">
        <v>0.0</v>
      </c>
      <c r="AQ3874" s="235" t="s">
        <v>632</v>
      </c>
      <c r="AR3874" s="243">
        <v>3.71E11</v>
      </c>
      <c r="AS3874" s="235" t="s">
        <v>23542</v>
      </c>
      <c r="AT3874" s="235" t="s">
        <v>13</v>
      </c>
      <c r="AU3874" s="235" t="s">
        <v>634</v>
      </c>
      <c r="AV3874" s="246" t="s">
        <v>635</v>
      </c>
      <c r="AW3874" s="227"/>
      <c r="AX3874" s="227"/>
      <c r="AY3874" s="227"/>
      <c r="AZ3874" s="227"/>
      <c r="BA3874" s="227"/>
      <c r="BB3874" s="227"/>
      <c r="BC3874" s="227"/>
      <c r="BD3874" s="227"/>
      <c r="BE3874" s="227"/>
      <c r="BF3874" s="227"/>
    </row>
    <row r="3875">
      <c r="A3875" s="235" t="s">
        <v>28986</v>
      </c>
      <c r="C3875" s="235" t="s">
        <v>28987</v>
      </c>
      <c r="D3875" s="235" t="s">
        <v>28988</v>
      </c>
      <c r="E3875" s="243">
        <v>6.51E13</v>
      </c>
      <c r="F3875" s="245"/>
      <c r="G3875" s="235" t="s">
        <v>28989</v>
      </c>
      <c r="H3875" s="235" t="s">
        <v>28990</v>
      </c>
      <c r="I3875" s="235" t="s">
        <v>28991</v>
      </c>
      <c r="J3875" s="235" t="s">
        <v>28992</v>
      </c>
      <c r="K3875" s="235" t="s">
        <v>28993</v>
      </c>
      <c r="N3875" s="235" t="s">
        <v>85</v>
      </c>
      <c r="O3875" s="235" t="s">
        <v>872</v>
      </c>
      <c r="P3875" s="238">
        <v>1.0</v>
      </c>
      <c r="Q3875" s="235" t="s">
        <v>627</v>
      </c>
      <c r="R3875" s="238">
        <v>232.38</v>
      </c>
      <c r="S3875" s="238">
        <v>11.28</v>
      </c>
      <c r="T3875" s="238">
        <v>0.0</v>
      </c>
      <c r="U3875" s="238">
        <v>0.0</v>
      </c>
      <c r="V3875" s="238">
        <v>0.0</v>
      </c>
      <c r="W3875" s="238">
        <v>0.0</v>
      </c>
      <c r="X3875" s="235" t="s">
        <v>628</v>
      </c>
      <c r="Z3875" s="245"/>
      <c r="AA3875" s="245"/>
      <c r="AB3875" s="245"/>
      <c r="AC3875" s="235" t="s">
        <v>1671</v>
      </c>
      <c r="AD3875" s="235" t="s">
        <v>666</v>
      </c>
      <c r="AE3875" s="238">
        <v>641002.0</v>
      </c>
      <c r="AF3875" s="235" t="s">
        <v>631</v>
      </c>
      <c r="AG3875" s="245"/>
      <c r="AH3875" s="245"/>
      <c r="AI3875" s="245"/>
      <c r="AJ3875" s="245"/>
      <c r="AK3875" s="245"/>
      <c r="AL3875" s="245"/>
      <c r="AM3875" s="245"/>
      <c r="AN3875" s="245"/>
      <c r="AO3875" s="238">
        <v>-6.98</v>
      </c>
      <c r="AP3875" s="238">
        <v>0.0</v>
      </c>
      <c r="AQ3875" s="235" t="s">
        <v>632</v>
      </c>
      <c r="AR3875" s="243">
        <v>1.68E11</v>
      </c>
      <c r="AS3875" s="235" t="s">
        <v>28947</v>
      </c>
      <c r="AT3875" s="235" t="s">
        <v>155</v>
      </c>
      <c r="AU3875" s="235" t="s">
        <v>634</v>
      </c>
      <c r="AV3875" s="246" t="s">
        <v>635</v>
      </c>
      <c r="AW3875" s="227"/>
      <c r="AX3875" s="227"/>
      <c r="AY3875" s="227"/>
      <c r="AZ3875" s="227"/>
      <c r="BA3875" s="227"/>
      <c r="BB3875" s="227"/>
      <c r="BC3875" s="227"/>
      <c r="BD3875" s="227"/>
      <c r="BE3875" s="227"/>
      <c r="BF3875" s="227"/>
    </row>
    <row r="3876">
      <c r="A3876" s="235" t="s">
        <v>28994</v>
      </c>
      <c r="C3876" s="235" t="s">
        <v>28995</v>
      </c>
      <c r="D3876" s="235" t="s">
        <v>28996</v>
      </c>
      <c r="E3876" s="243">
        <v>6.51E13</v>
      </c>
      <c r="F3876" s="245"/>
      <c r="G3876" s="235" t="s">
        <v>28997</v>
      </c>
      <c r="H3876" s="235" t="s">
        <v>28998</v>
      </c>
      <c r="I3876" s="235" t="s">
        <v>28998</v>
      </c>
      <c r="J3876" s="235" t="s">
        <v>28999</v>
      </c>
      <c r="K3876" s="235" t="s">
        <v>29000</v>
      </c>
      <c r="N3876" s="235" t="s">
        <v>127</v>
      </c>
      <c r="O3876" s="235" t="s">
        <v>794</v>
      </c>
      <c r="P3876" s="238">
        <v>1.0</v>
      </c>
      <c r="Q3876" s="235" t="s">
        <v>627</v>
      </c>
      <c r="R3876" s="238">
        <v>236.2</v>
      </c>
      <c r="S3876" s="238">
        <v>11.8</v>
      </c>
      <c r="T3876" s="238">
        <v>0.0</v>
      </c>
      <c r="U3876" s="238">
        <v>0.0</v>
      </c>
      <c r="V3876" s="238">
        <v>0.0</v>
      </c>
      <c r="W3876" s="238">
        <v>0.0</v>
      </c>
      <c r="X3876" s="235" t="s">
        <v>628</v>
      </c>
      <c r="Z3876" s="245"/>
      <c r="AA3876" s="245"/>
      <c r="AB3876" s="245"/>
      <c r="AC3876" s="235" t="s">
        <v>1320</v>
      </c>
      <c r="AD3876" s="235" t="s">
        <v>666</v>
      </c>
      <c r="AE3876" s="238">
        <v>600119.0</v>
      </c>
      <c r="AF3876" s="235" t="s">
        <v>631</v>
      </c>
      <c r="AG3876" s="245"/>
      <c r="AH3876" s="245"/>
      <c r="AI3876" s="245"/>
      <c r="AJ3876" s="245"/>
      <c r="AK3876" s="245"/>
      <c r="AL3876" s="245"/>
      <c r="AM3876" s="245"/>
      <c r="AN3876" s="245"/>
      <c r="AO3876" s="238">
        <v>0.0</v>
      </c>
      <c r="AP3876" s="238">
        <v>0.0</v>
      </c>
      <c r="AQ3876" s="235" t="s">
        <v>632</v>
      </c>
      <c r="AR3876" s="243">
        <v>3.71E11</v>
      </c>
      <c r="AS3876" s="235" t="s">
        <v>28482</v>
      </c>
      <c r="AT3876" s="235" t="s">
        <v>156</v>
      </c>
      <c r="AU3876" s="235" t="s">
        <v>634</v>
      </c>
      <c r="AV3876" s="246" t="s">
        <v>635</v>
      </c>
      <c r="AW3876" s="227"/>
      <c r="AX3876" s="227"/>
      <c r="AY3876" s="227"/>
      <c r="AZ3876" s="227"/>
      <c r="BA3876" s="227"/>
      <c r="BB3876" s="227"/>
      <c r="BC3876" s="227"/>
      <c r="BD3876" s="227"/>
      <c r="BE3876" s="227"/>
      <c r="BF3876" s="227"/>
    </row>
    <row r="3877">
      <c r="A3877" s="235" t="s">
        <v>29001</v>
      </c>
      <c r="C3877" s="235" t="s">
        <v>29002</v>
      </c>
      <c r="D3877" s="235" t="s">
        <v>29003</v>
      </c>
      <c r="E3877" s="243">
        <v>6.51E13</v>
      </c>
      <c r="F3877" s="245"/>
      <c r="G3877" s="235" t="s">
        <v>29004</v>
      </c>
      <c r="H3877" s="235" t="s">
        <v>29005</v>
      </c>
      <c r="I3877" s="235" t="s">
        <v>29005</v>
      </c>
      <c r="J3877" s="235" t="s">
        <v>29006</v>
      </c>
      <c r="K3877" s="235" t="s">
        <v>29007</v>
      </c>
      <c r="N3877" s="235" t="s">
        <v>136</v>
      </c>
      <c r="O3877" s="235" t="s">
        <v>256</v>
      </c>
      <c r="P3877" s="238">
        <v>1.0</v>
      </c>
      <c r="Q3877" s="235" t="s">
        <v>627</v>
      </c>
      <c r="R3877" s="238">
        <v>237.14</v>
      </c>
      <c r="S3877" s="238">
        <v>11.86</v>
      </c>
      <c r="T3877" s="238">
        <v>0.0</v>
      </c>
      <c r="U3877" s="238">
        <v>0.0</v>
      </c>
      <c r="V3877" s="238">
        <v>0.0</v>
      </c>
      <c r="W3877" s="238">
        <v>0.0</v>
      </c>
      <c r="X3877" s="235" t="s">
        <v>628</v>
      </c>
      <c r="Z3877" s="245"/>
      <c r="AA3877" s="245"/>
      <c r="AB3877" s="245"/>
      <c r="AC3877" s="235" t="s">
        <v>678</v>
      </c>
      <c r="AD3877" s="235" t="s">
        <v>679</v>
      </c>
      <c r="AE3877" s="238">
        <v>560024.0</v>
      </c>
      <c r="AF3877" s="235" t="s">
        <v>631</v>
      </c>
      <c r="AG3877" s="245"/>
      <c r="AH3877" s="245"/>
      <c r="AI3877" s="245"/>
      <c r="AJ3877" s="245"/>
      <c r="AK3877" s="245"/>
      <c r="AL3877" s="245"/>
      <c r="AM3877" s="245"/>
      <c r="AN3877" s="245"/>
      <c r="AO3877" s="238">
        <v>0.0</v>
      </c>
      <c r="AP3877" s="238">
        <v>0.0</v>
      </c>
      <c r="AQ3877" s="235" t="s">
        <v>632</v>
      </c>
      <c r="AR3877" s="243">
        <v>1.68E11</v>
      </c>
      <c r="AS3877" s="235" t="s">
        <v>28947</v>
      </c>
      <c r="AT3877" s="235" t="s">
        <v>9</v>
      </c>
      <c r="AU3877" s="235" t="s">
        <v>634</v>
      </c>
      <c r="AV3877" s="246" t="s">
        <v>635</v>
      </c>
      <c r="AW3877" s="227"/>
      <c r="AX3877" s="227"/>
      <c r="AY3877" s="227"/>
      <c r="AZ3877" s="227"/>
      <c r="BA3877" s="227"/>
      <c r="BB3877" s="227"/>
      <c r="BC3877" s="227"/>
      <c r="BD3877" s="227"/>
      <c r="BE3877" s="227"/>
      <c r="BF3877" s="227"/>
    </row>
    <row r="3878">
      <c r="A3878" s="235" t="s">
        <v>29008</v>
      </c>
      <c r="C3878" s="235" t="s">
        <v>29009</v>
      </c>
      <c r="D3878" s="235" t="s">
        <v>29010</v>
      </c>
      <c r="E3878" s="243">
        <v>6.51E13</v>
      </c>
      <c r="F3878" s="245"/>
      <c r="G3878" s="235" t="s">
        <v>29011</v>
      </c>
      <c r="H3878" s="235" t="s">
        <v>29012</v>
      </c>
      <c r="I3878" s="235" t="s">
        <v>29012</v>
      </c>
      <c r="J3878" s="235" t="s">
        <v>29013</v>
      </c>
      <c r="K3878" s="235" t="s">
        <v>29014</v>
      </c>
      <c r="N3878" s="235" t="s">
        <v>90</v>
      </c>
      <c r="O3878" s="235" t="s">
        <v>279</v>
      </c>
      <c r="P3878" s="238">
        <v>1.0</v>
      </c>
      <c r="Q3878" s="235" t="s">
        <v>627</v>
      </c>
      <c r="R3878" s="238">
        <v>246.67</v>
      </c>
      <c r="S3878" s="238">
        <v>11.96</v>
      </c>
      <c r="T3878" s="238">
        <v>0.0</v>
      </c>
      <c r="U3878" s="238">
        <v>0.0</v>
      </c>
      <c r="V3878" s="238">
        <v>0.0</v>
      </c>
      <c r="W3878" s="238">
        <v>0.0</v>
      </c>
      <c r="X3878" s="235" t="s">
        <v>628</v>
      </c>
      <c r="Z3878" s="245"/>
      <c r="AA3878" s="245"/>
      <c r="AB3878" s="245"/>
      <c r="AC3878" s="235" t="s">
        <v>15017</v>
      </c>
      <c r="AD3878" s="235" t="s">
        <v>5260</v>
      </c>
      <c r="AE3878" s="238">
        <v>160012.0</v>
      </c>
      <c r="AF3878" s="235" t="s">
        <v>631</v>
      </c>
      <c r="AG3878" s="245"/>
      <c r="AH3878" s="245"/>
      <c r="AI3878" s="245"/>
      <c r="AJ3878" s="245"/>
      <c r="AK3878" s="245"/>
      <c r="AL3878" s="245"/>
      <c r="AM3878" s="245"/>
      <c r="AN3878" s="245"/>
      <c r="AO3878" s="238">
        <v>-7.4</v>
      </c>
      <c r="AP3878" s="238">
        <v>0.0</v>
      </c>
      <c r="AQ3878" s="235" t="s">
        <v>632</v>
      </c>
      <c r="AR3878" s="243">
        <v>3.71E11</v>
      </c>
      <c r="AS3878" s="235" t="s">
        <v>26892</v>
      </c>
      <c r="AT3878" s="235" t="s">
        <v>14</v>
      </c>
      <c r="AU3878" s="235" t="s">
        <v>634</v>
      </c>
      <c r="AV3878" s="246" t="s">
        <v>635</v>
      </c>
      <c r="AW3878" s="227"/>
      <c r="AX3878" s="227"/>
      <c r="AY3878" s="227"/>
      <c r="AZ3878" s="227"/>
      <c r="BA3878" s="227"/>
      <c r="BB3878" s="227"/>
      <c r="BC3878" s="227"/>
      <c r="BD3878" s="227"/>
      <c r="BE3878" s="227"/>
      <c r="BF3878" s="227"/>
    </row>
    <row r="3879">
      <c r="A3879" s="235" t="s">
        <v>29008</v>
      </c>
      <c r="C3879" s="235" t="s">
        <v>29009</v>
      </c>
      <c r="D3879" s="235" t="s">
        <v>29015</v>
      </c>
      <c r="E3879" s="243">
        <v>6.51E13</v>
      </c>
      <c r="F3879" s="245"/>
      <c r="G3879" s="235" t="s">
        <v>29011</v>
      </c>
      <c r="H3879" s="235" t="s">
        <v>29012</v>
      </c>
      <c r="I3879" s="235" t="s">
        <v>29012</v>
      </c>
      <c r="J3879" s="235" t="s">
        <v>29013</v>
      </c>
      <c r="K3879" s="235" t="s">
        <v>29014</v>
      </c>
      <c r="N3879" s="235" t="s">
        <v>90</v>
      </c>
      <c r="O3879" s="235" t="s">
        <v>279</v>
      </c>
      <c r="P3879" s="238">
        <v>1.0</v>
      </c>
      <c r="Q3879" s="235" t="s">
        <v>627</v>
      </c>
      <c r="R3879" s="238">
        <v>246.67</v>
      </c>
      <c r="S3879" s="238">
        <v>11.96</v>
      </c>
      <c r="T3879" s="238">
        <v>0.0</v>
      </c>
      <c r="U3879" s="238">
        <v>0.0</v>
      </c>
      <c r="V3879" s="238">
        <v>0.0</v>
      </c>
      <c r="W3879" s="238">
        <v>0.0</v>
      </c>
      <c r="X3879" s="235" t="s">
        <v>628</v>
      </c>
      <c r="Z3879" s="245"/>
      <c r="AA3879" s="245"/>
      <c r="AB3879" s="245"/>
      <c r="AC3879" s="235" t="s">
        <v>15017</v>
      </c>
      <c r="AD3879" s="235" t="s">
        <v>5260</v>
      </c>
      <c r="AE3879" s="238">
        <v>160012.0</v>
      </c>
      <c r="AF3879" s="235" t="s">
        <v>631</v>
      </c>
      <c r="AG3879" s="245"/>
      <c r="AH3879" s="245"/>
      <c r="AI3879" s="245"/>
      <c r="AJ3879" s="245"/>
      <c r="AK3879" s="245"/>
      <c r="AL3879" s="245"/>
      <c r="AM3879" s="245"/>
      <c r="AN3879" s="245"/>
      <c r="AO3879" s="238">
        <v>-7.4</v>
      </c>
      <c r="AP3879" s="238">
        <v>0.0</v>
      </c>
      <c r="AQ3879" s="235" t="s">
        <v>632</v>
      </c>
      <c r="AR3879" s="243">
        <v>3.71E11</v>
      </c>
      <c r="AS3879" s="235" t="s">
        <v>26892</v>
      </c>
      <c r="AT3879" s="235" t="s">
        <v>14</v>
      </c>
      <c r="AU3879" s="235" t="s">
        <v>634</v>
      </c>
      <c r="AV3879" s="246" t="s">
        <v>635</v>
      </c>
      <c r="AW3879" s="227"/>
      <c r="AX3879" s="227"/>
      <c r="AY3879" s="227"/>
      <c r="AZ3879" s="227"/>
      <c r="BA3879" s="227"/>
      <c r="BB3879" s="227"/>
      <c r="BC3879" s="227"/>
      <c r="BD3879" s="227"/>
      <c r="BE3879" s="227"/>
      <c r="BF3879" s="227"/>
    </row>
    <row r="3880">
      <c r="A3880" s="235" t="s">
        <v>29016</v>
      </c>
      <c r="C3880" s="235" t="s">
        <v>29017</v>
      </c>
      <c r="D3880" s="235" t="s">
        <v>29018</v>
      </c>
      <c r="E3880" s="243">
        <v>6.51E13</v>
      </c>
      <c r="F3880" s="245"/>
      <c r="G3880" s="235" t="s">
        <v>29019</v>
      </c>
      <c r="H3880" s="235" t="s">
        <v>29020</v>
      </c>
      <c r="I3880" s="235" t="s">
        <v>29021</v>
      </c>
      <c r="J3880" s="235" t="s">
        <v>29022</v>
      </c>
      <c r="K3880" s="235" t="s">
        <v>29023</v>
      </c>
      <c r="N3880" s="235" t="s">
        <v>127</v>
      </c>
      <c r="O3880" s="235" t="s">
        <v>794</v>
      </c>
      <c r="P3880" s="238">
        <v>1.0</v>
      </c>
      <c r="Q3880" s="235" t="s">
        <v>627</v>
      </c>
      <c r="R3880" s="238">
        <v>236.19</v>
      </c>
      <c r="S3880" s="238">
        <v>11.81</v>
      </c>
      <c r="T3880" s="238">
        <v>0.0</v>
      </c>
      <c r="U3880" s="238">
        <v>0.0</v>
      </c>
      <c r="V3880" s="238">
        <v>0.0</v>
      </c>
      <c r="W3880" s="238">
        <v>0.0</v>
      </c>
      <c r="X3880" s="235" t="s">
        <v>628</v>
      </c>
      <c r="Z3880" s="245"/>
      <c r="AA3880" s="245"/>
      <c r="AB3880" s="245"/>
      <c r="AC3880" s="235" t="s">
        <v>29024</v>
      </c>
      <c r="AD3880" s="235" t="s">
        <v>645</v>
      </c>
      <c r="AE3880" s="238">
        <v>680702.0</v>
      </c>
      <c r="AF3880" s="235" t="s">
        <v>631</v>
      </c>
      <c r="AG3880" s="245"/>
      <c r="AH3880" s="245"/>
      <c r="AI3880" s="245"/>
      <c r="AJ3880" s="245"/>
      <c r="AK3880" s="245"/>
      <c r="AL3880" s="245"/>
      <c r="AM3880" s="245"/>
      <c r="AN3880" s="245"/>
      <c r="AO3880" s="238">
        <v>0.0</v>
      </c>
      <c r="AP3880" s="238">
        <v>0.0</v>
      </c>
      <c r="AQ3880" s="235" t="s">
        <v>632</v>
      </c>
      <c r="AR3880" s="243">
        <v>1.68E11</v>
      </c>
      <c r="AS3880" s="235" t="s">
        <v>28482</v>
      </c>
      <c r="AT3880" s="235" t="s">
        <v>155</v>
      </c>
      <c r="AU3880" s="235" t="s">
        <v>634</v>
      </c>
      <c r="AV3880" s="246" t="s">
        <v>635</v>
      </c>
      <c r="AW3880" s="227"/>
      <c r="AX3880" s="227"/>
      <c r="AY3880" s="227"/>
      <c r="AZ3880" s="227"/>
      <c r="BA3880" s="227"/>
      <c r="BB3880" s="227"/>
      <c r="BC3880" s="227"/>
      <c r="BD3880" s="227"/>
      <c r="BE3880" s="227"/>
      <c r="BF3880" s="227"/>
    </row>
    <row r="3881">
      <c r="A3881" s="235" t="s">
        <v>29025</v>
      </c>
      <c r="C3881" s="235" t="s">
        <v>29026</v>
      </c>
      <c r="D3881" s="235" t="s">
        <v>29027</v>
      </c>
      <c r="E3881" s="243">
        <v>6.51E13</v>
      </c>
      <c r="F3881" s="245"/>
      <c r="G3881" s="235" t="s">
        <v>29028</v>
      </c>
      <c r="H3881" s="235" t="s">
        <v>29029</v>
      </c>
      <c r="I3881" s="235" t="s">
        <v>29029</v>
      </c>
      <c r="J3881" s="235" t="s">
        <v>29030</v>
      </c>
      <c r="K3881" s="235" t="s">
        <v>29031</v>
      </c>
      <c r="N3881" s="235" t="s">
        <v>82</v>
      </c>
      <c r="O3881" s="235" t="s">
        <v>889</v>
      </c>
      <c r="P3881" s="238">
        <v>1.0</v>
      </c>
      <c r="Q3881" s="235" t="s">
        <v>627</v>
      </c>
      <c r="R3881" s="238">
        <v>246.67</v>
      </c>
      <c r="S3881" s="238">
        <v>12.33</v>
      </c>
      <c r="T3881" s="238">
        <v>0.0</v>
      </c>
      <c r="U3881" s="238">
        <v>0.0</v>
      </c>
      <c r="V3881" s="238">
        <v>0.0</v>
      </c>
      <c r="W3881" s="238">
        <v>0.0</v>
      </c>
      <c r="X3881" s="235" t="s">
        <v>628</v>
      </c>
      <c r="Z3881" s="245"/>
      <c r="AA3881" s="245"/>
      <c r="AB3881" s="245"/>
      <c r="AC3881" s="235" t="s">
        <v>629</v>
      </c>
      <c r="AD3881" s="235" t="s">
        <v>630</v>
      </c>
      <c r="AE3881" s="238">
        <v>201307.0</v>
      </c>
      <c r="AF3881" s="235" t="s">
        <v>631</v>
      </c>
      <c r="AG3881" s="245"/>
      <c r="AH3881" s="245"/>
      <c r="AI3881" s="245"/>
      <c r="AJ3881" s="245"/>
      <c r="AK3881" s="245"/>
      <c r="AL3881" s="245"/>
      <c r="AM3881" s="245"/>
      <c r="AN3881" s="245"/>
      <c r="AO3881" s="238">
        <v>0.0</v>
      </c>
      <c r="AP3881" s="238">
        <v>0.0</v>
      </c>
      <c r="AQ3881" s="235" t="s">
        <v>632</v>
      </c>
      <c r="AR3881" s="243">
        <v>1.68E11</v>
      </c>
      <c r="AS3881" s="235" t="s">
        <v>28947</v>
      </c>
      <c r="AT3881" s="235" t="s">
        <v>13</v>
      </c>
      <c r="AU3881" s="235" t="s">
        <v>634</v>
      </c>
      <c r="AV3881" s="246" t="s">
        <v>635</v>
      </c>
      <c r="AW3881" s="227"/>
      <c r="AX3881" s="227"/>
      <c r="AY3881" s="227"/>
      <c r="AZ3881" s="227"/>
      <c r="BA3881" s="227"/>
      <c r="BB3881" s="227"/>
      <c r="BC3881" s="227"/>
      <c r="BD3881" s="227"/>
      <c r="BE3881" s="227"/>
      <c r="BF3881" s="227"/>
    </row>
    <row r="3882">
      <c r="A3882" s="235" t="s">
        <v>29032</v>
      </c>
      <c r="C3882" s="235" t="s">
        <v>29033</v>
      </c>
      <c r="D3882" s="235" t="s">
        <v>29034</v>
      </c>
      <c r="E3882" s="243">
        <v>6.51E13</v>
      </c>
      <c r="F3882" s="245"/>
      <c r="G3882" s="235" t="s">
        <v>29035</v>
      </c>
      <c r="H3882" s="235" t="s">
        <v>29036</v>
      </c>
      <c r="I3882" s="235" t="s">
        <v>29036</v>
      </c>
      <c r="J3882" s="235" t="s">
        <v>29037</v>
      </c>
      <c r="K3882" s="235" t="s">
        <v>29038</v>
      </c>
      <c r="N3882" s="235" t="s">
        <v>154</v>
      </c>
      <c r="O3882" s="235" t="s">
        <v>766</v>
      </c>
      <c r="P3882" s="238">
        <v>1.0</v>
      </c>
      <c r="Q3882" s="235" t="s">
        <v>627</v>
      </c>
      <c r="R3882" s="238">
        <v>423.8</v>
      </c>
      <c r="S3882" s="238">
        <v>20.56</v>
      </c>
      <c r="T3882" s="238">
        <v>0.0</v>
      </c>
      <c r="U3882" s="238">
        <v>0.0</v>
      </c>
      <c r="V3882" s="238">
        <v>0.0</v>
      </c>
      <c r="W3882" s="238">
        <v>0.0</v>
      </c>
      <c r="X3882" s="235" t="s">
        <v>628</v>
      </c>
      <c r="Z3882" s="245"/>
      <c r="AA3882" s="245"/>
      <c r="AB3882" s="245"/>
      <c r="AC3882" s="235" t="s">
        <v>844</v>
      </c>
      <c r="AD3882" s="235" t="s">
        <v>845</v>
      </c>
      <c r="AE3882" s="238">
        <v>411030.0</v>
      </c>
      <c r="AF3882" s="235" t="s">
        <v>631</v>
      </c>
      <c r="AG3882" s="245"/>
      <c r="AH3882" s="245"/>
      <c r="AI3882" s="245"/>
      <c r="AJ3882" s="245"/>
      <c r="AK3882" s="245"/>
      <c r="AL3882" s="245"/>
      <c r="AM3882" s="245"/>
      <c r="AN3882" s="245"/>
      <c r="AO3882" s="238">
        <v>-12.71</v>
      </c>
      <c r="AP3882" s="238">
        <v>0.0</v>
      </c>
      <c r="AQ3882" s="235" t="s">
        <v>632</v>
      </c>
      <c r="AR3882" s="243">
        <v>3.71E11</v>
      </c>
      <c r="AS3882" s="235" t="s">
        <v>28482</v>
      </c>
      <c r="AT3882" s="235" t="s">
        <v>546</v>
      </c>
      <c r="AU3882" s="235" t="s">
        <v>634</v>
      </c>
      <c r="AV3882" s="246" t="s">
        <v>635</v>
      </c>
      <c r="AW3882" s="227"/>
      <c r="AX3882" s="227"/>
      <c r="AY3882" s="227"/>
      <c r="AZ3882" s="227"/>
      <c r="BA3882" s="227"/>
      <c r="BB3882" s="227"/>
      <c r="BC3882" s="227"/>
      <c r="BD3882" s="227"/>
      <c r="BE3882" s="227"/>
      <c r="BF3882" s="227"/>
    </row>
    <row r="3883">
      <c r="A3883" s="235" t="s">
        <v>29032</v>
      </c>
      <c r="C3883" s="235" t="s">
        <v>29033</v>
      </c>
      <c r="D3883" s="235" t="s">
        <v>29039</v>
      </c>
      <c r="E3883" s="243">
        <v>6.51E13</v>
      </c>
      <c r="F3883" s="245"/>
      <c r="G3883" s="235" t="s">
        <v>29035</v>
      </c>
      <c r="H3883" s="235" t="s">
        <v>29036</v>
      </c>
      <c r="I3883" s="235" t="s">
        <v>29036</v>
      </c>
      <c r="J3883" s="235" t="s">
        <v>29037</v>
      </c>
      <c r="K3883" s="235" t="s">
        <v>29038</v>
      </c>
      <c r="N3883" s="235" t="s">
        <v>154</v>
      </c>
      <c r="O3883" s="235" t="s">
        <v>766</v>
      </c>
      <c r="P3883" s="238">
        <v>1.0</v>
      </c>
      <c r="Q3883" s="235" t="s">
        <v>627</v>
      </c>
      <c r="R3883" s="238">
        <v>423.8</v>
      </c>
      <c r="S3883" s="238">
        <v>20.56</v>
      </c>
      <c r="T3883" s="238">
        <v>0.0</v>
      </c>
      <c r="U3883" s="238">
        <v>0.0</v>
      </c>
      <c r="V3883" s="238">
        <v>0.0</v>
      </c>
      <c r="W3883" s="238">
        <v>0.0</v>
      </c>
      <c r="X3883" s="235" t="s">
        <v>628</v>
      </c>
      <c r="Z3883" s="245"/>
      <c r="AA3883" s="245"/>
      <c r="AB3883" s="245"/>
      <c r="AC3883" s="235" t="s">
        <v>844</v>
      </c>
      <c r="AD3883" s="235" t="s">
        <v>845</v>
      </c>
      <c r="AE3883" s="238">
        <v>411030.0</v>
      </c>
      <c r="AF3883" s="235" t="s">
        <v>631</v>
      </c>
      <c r="AG3883" s="245"/>
      <c r="AH3883" s="245"/>
      <c r="AI3883" s="245"/>
      <c r="AJ3883" s="245"/>
      <c r="AK3883" s="245"/>
      <c r="AL3883" s="245"/>
      <c r="AM3883" s="245"/>
      <c r="AN3883" s="245"/>
      <c r="AO3883" s="238">
        <v>-12.71</v>
      </c>
      <c r="AP3883" s="238">
        <v>0.0</v>
      </c>
      <c r="AQ3883" s="235" t="s">
        <v>632</v>
      </c>
      <c r="AR3883" s="243">
        <v>3.71E11</v>
      </c>
      <c r="AS3883" s="235" t="s">
        <v>28482</v>
      </c>
      <c r="AT3883" s="235" t="s">
        <v>546</v>
      </c>
      <c r="AU3883" s="235" t="s">
        <v>634</v>
      </c>
      <c r="AV3883" s="246" t="s">
        <v>635</v>
      </c>
      <c r="AW3883" s="227"/>
      <c r="AX3883" s="227"/>
      <c r="AY3883" s="227"/>
      <c r="AZ3883" s="227"/>
      <c r="BA3883" s="227"/>
      <c r="BB3883" s="227"/>
      <c r="BC3883" s="227"/>
      <c r="BD3883" s="227"/>
      <c r="BE3883" s="227"/>
      <c r="BF3883" s="227"/>
    </row>
    <row r="3884">
      <c r="A3884" s="235" t="s">
        <v>29040</v>
      </c>
      <c r="C3884" s="235" t="s">
        <v>29041</v>
      </c>
      <c r="D3884" s="235" t="s">
        <v>29042</v>
      </c>
      <c r="E3884" s="243">
        <v>6.51E13</v>
      </c>
      <c r="F3884" s="245"/>
      <c r="G3884" s="235" t="s">
        <v>29043</v>
      </c>
      <c r="H3884" s="235" t="s">
        <v>29044</v>
      </c>
      <c r="I3884" s="235" t="s">
        <v>29044</v>
      </c>
      <c r="J3884" s="235" t="s">
        <v>29045</v>
      </c>
      <c r="K3884" s="235" t="s">
        <v>29046</v>
      </c>
      <c r="N3884" s="235" t="s">
        <v>962</v>
      </c>
      <c r="O3884" s="235" t="s">
        <v>963</v>
      </c>
      <c r="P3884" s="238">
        <v>1.0</v>
      </c>
      <c r="Q3884" s="235" t="s">
        <v>627</v>
      </c>
      <c r="R3884" s="238">
        <v>237.14</v>
      </c>
      <c r="S3884" s="238">
        <v>11.5</v>
      </c>
      <c r="T3884" s="238">
        <v>0.0</v>
      </c>
      <c r="U3884" s="238">
        <v>0.0</v>
      </c>
      <c r="V3884" s="238">
        <v>0.0</v>
      </c>
      <c r="W3884" s="238">
        <v>0.0</v>
      </c>
      <c r="X3884" s="235" t="s">
        <v>628</v>
      </c>
      <c r="Z3884" s="245"/>
      <c r="AA3884" s="245"/>
      <c r="AB3884" s="245"/>
      <c r="AC3884" s="235" t="s">
        <v>10506</v>
      </c>
      <c r="AD3884" s="235" t="s">
        <v>1499</v>
      </c>
      <c r="AE3884" s="238">
        <v>474007.0</v>
      </c>
      <c r="AF3884" s="235" t="s">
        <v>631</v>
      </c>
      <c r="AG3884" s="245"/>
      <c r="AH3884" s="245"/>
      <c r="AI3884" s="245"/>
      <c r="AJ3884" s="245"/>
      <c r="AK3884" s="245"/>
      <c r="AL3884" s="245"/>
      <c r="AM3884" s="245"/>
      <c r="AN3884" s="245"/>
      <c r="AO3884" s="238">
        <v>-7.11</v>
      </c>
      <c r="AP3884" s="238">
        <v>0.0</v>
      </c>
      <c r="AQ3884" s="235" t="s">
        <v>632</v>
      </c>
      <c r="AR3884" s="243">
        <v>3.71E11</v>
      </c>
      <c r="AS3884" s="235" t="s">
        <v>26892</v>
      </c>
      <c r="AT3884" s="235" t="s">
        <v>14</v>
      </c>
      <c r="AU3884" s="235" t="s">
        <v>634</v>
      </c>
      <c r="AV3884" s="246" t="s">
        <v>635</v>
      </c>
      <c r="AW3884" s="227"/>
      <c r="AX3884" s="227"/>
      <c r="AY3884" s="227"/>
      <c r="AZ3884" s="227"/>
      <c r="BA3884" s="227"/>
      <c r="BB3884" s="227"/>
      <c r="BC3884" s="227"/>
      <c r="BD3884" s="227"/>
      <c r="BE3884" s="227"/>
      <c r="BF3884" s="227"/>
    </row>
    <row r="3885">
      <c r="A3885" s="235" t="s">
        <v>29047</v>
      </c>
      <c r="C3885" s="235" t="s">
        <v>29048</v>
      </c>
      <c r="D3885" s="235" t="s">
        <v>29049</v>
      </c>
      <c r="E3885" s="243">
        <v>6.51E13</v>
      </c>
      <c r="F3885" s="245"/>
      <c r="G3885" s="235" t="s">
        <v>29050</v>
      </c>
      <c r="H3885" s="235" t="s">
        <v>29051</v>
      </c>
      <c r="I3885" s="235" t="s">
        <v>29052</v>
      </c>
      <c r="J3885" s="235" t="s">
        <v>29053</v>
      </c>
      <c r="K3885" s="235" t="s">
        <v>29054</v>
      </c>
      <c r="N3885" s="235" t="s">
        <v>53</v>
      </c>
      <c r="O3885" s="235" t="s">
        <v>512</v>
      </c>
      <c r="P3885" s="238">
        <v>1.0</v>
      </c>
      <c r="Q3885" s="235" t="s">
        <v>627</v>
      </c>
      <c r="R3885" s="238">
        <v>233.34</v>
      </c>
      <c r="S3885" s="238">
        <v>11.32</v>
      </c>
      <c r="T3885" s="238">
        <v>0.0</v>
      </c>
      <c r="U3885" s="238">
        <v>0.0</v>
      </c>
      <c r="V3885" s="238">
        <v>0.0</v>
      </c>
      <c r="W3885" s="238">
        <v>0.0</v>
      </c>
      <c r="X3885" s="235" t="s">
        <v>628</v>
      </c>
      <c r="Z3885" s="245"/>
      <c r="AA3885" s="245"/>
      <c r="AB3885" s="245"/>
      <c r="AC3885" s="235" t="s">
        <v>678</v>
      </c>
      <c r="AD3885" s="235" t="s">
        <v>679</v>
      </c>
      <c r="AE3885" s="238">
        <v>560048.0</v>
      </c>
      <c r="AF3885" s="235" t="s">
        <v>631</v>
      </c>
      <c r="AG3885" s="245"/>
      <c r="AH3885" s="245"/>
      <c r="AI3885" s="245"/>
      <c r="AJ3885" s="245"/>
      <c r="AK3885" s="245"/>
      <c r="AL3885" s="245"/>
      <c r="AM3885" s="245"/>
      <c r="AN3885" s="245"/>
      <c r="AO3885" s="238">
        <v>-7.01</v>
      </c>
      <c r="AP3885" s="238">
        <v>0.0</v>
      </c>
      <c r="AQ3885" s="235" t="s">
        <v>632</v>
      </c>
      <c r="AR3885" s="243">
        <v>3.71E11</v>
      </c>
      <c r="AS3885" s="235" t="s">
        <v>28482</v>
      </c>
      <c r="AT3885" s="235" t="s">
        <v>9</v>
      </c>
      <c r="AU3885" s="235" t="s">
        <v>634</v>
      </c>
      <c r="AV3885" s="246" t="s">
        <v>635</v>
      </c>
      <c r="AW3885" s="227"/>
      <c r="AX3885" s="227"/>
      <c r="AY3885" s="227"/>
      <c r="AZ3885" s="227"/>
      <c r="BA3885" s="227"/>
      <c r="BB3885" s="227"/>
      <c r="BC3885" s="227"/>
      <c r="BD3885" s="227"/>
      <c r="BE3885" s="227"/>
      <c r="BF3885" s="227"/>
    </row>
    <row r="3886">
      <c r="A3886" s="235" t="s">
        <v>29055</v>
      </c>
      <c r="C3886" s="235" t="s">
        <v>29056</v>
      </c>
      <c r="D3886" s="235" t="s">
        <v>29057</v>
      </c>
      <c r="E3886" s="243">
        <v>6.5E13</v>
      </c>
      <c r="F3886" s="245"/>
      <c r="G3886" s="235" t="s">
        <v>29058</v>
      </c>
      <c r="H3886" s="235" t="s">
        <v>29059</v>
      </c>
      <c r="I3886" s="235" t="s">
        <v>29059</v>
      </c>
      <c r="J3886" s="235" t="s">
        <v>29060</v>
      </c>
      <c r="K3886" s="235" t="s">
        <v>29061</v>
      </c>
      <c r="N3886" s="235" t="s">
        <v>726</v>
      </c>
      <c r="O3886" s="235" t="s">
        <v>727</v>
      </c>
      <c r="P3886" s="238">
        <v>1.0</v>
      </c>
      <c r="Q3886" s="235" t="s">
        <v>627</v>
      </c>
      <c r="R3886" s="238">
        <v>244.76</v>
      </c>
      <c r="S3886" s="238">
        <v>12.24</v>
      </c>
      <c r="T3886" s="238">
        <v>38.1</v>
      </c>
      <c r="U3886" s="238">
        <v>1.9</v>
      </c>
      <c r="V3886" s="238">
        <v>0.0</v>
      </c>
      <c r="W3886" s="238">
        <v>0.0</v>
      </c>
      <c r="X3886" s="235" t="s">
        <v>628</v>
      </c>
      <c r="Z3886" s="245"/>
      <c r="AA3886" s="245"/>
      <c r="AB3886" s="245"/>
      <c r="AC3886" s="235" t="s">
        <v>1792</v>
      </c>
      <c r="AD3886" s="235" t="s">
        <v>1077</v>
      </c>
      <c r="AE3886" s="238">
        <v>391410.0</v>
      </c>
      <c r="AF3886" s="235" t="s">
        <v>631</v>
      </c>
      <c r="AG3886" s="245"/>
      <c r="AH3886" s="245"/>
      <c r="AI3886" s="245"/>
      <c r="AJ3886" s="245"/>
      <c r="AK3886" s="245"/>
      <c r="AL3886" s="245"/>
      <c r="AM3886" s="245"/>
      <c r="AN3886" s="245"/>
      <c r="AO3886" s="238">
        <v>0.0</v>
      </c>
      <c r="AP3886" s="238">
        <v>-38.1</v>
      </c>
      <c r="AQ3886" s="235" t="s">
        <v>632</v>
      </c>
      <c r="AR3886" s="243">
        <v>1.68E11</v>
      </c>
      <c r="AS3886" s="235" t="s">
        <v>28482</v>
      </c>
      <c r="AT3886" s="235" t="s">
        <v>5</v>
      </c>
      <c r="AU3886" s="235" t="s">
        <v>634</v>
      </c>
      <c r="AV3886" s="246" t="s">
        <v>635</v>
      </c>
      <c r="AW3886" s="227"/>
      <c r="AX3886" s="227"/>
      <c r="AY3886" s="227"/>
      <c r="AZ3886" s="227"/>
      <c r="BA3886" s="227"/>
      <c r="BB3886" s="227"/>
      <c r="BC3886" s="227"/>
      <c r="BD3886" s="227"/>
      <c r="BE3886" s="227"/>
      <c r="BF3886" s="227"/>
    </row>
    <row r="3887">
      <c r="A3887" s="235" t="s">
        <v>29062</v>
      </c>
      <c r="C3887" s="235" t="s">
        <v>29063</v>
      </c>
      <c r="D3887" s="235" t="s">
        <v>29064</v>
      </c>
      <c r="E3887" s="243">
        <v>6.51E13</v>
      </c>
      <c r="F3887" s="245"/>
      <c r="G3887" s="235" t="s">
        <v>29065</v>
      </c>
      <c r="H3887" s="235" t="s">
        <v>29066</v>
      </c>
      <c r="I3887" s="235" t="s">
        <v>29066</v>
      </c>
      <c r="J3887" s="235" t="s">
        <v>29060</v>
      </c>
      <c r="K3887" s="235" t="s">
        <v>29067</v>
      </c>
      <c r="N3887" s="235" t="s">
        <v>130</v>
      </c>
      <c r="O3887" s="235" t="s">
        <v>707</v>
      </c>
      <c r="P3887" s="238">
        <v>1.0</v>
      </c>
      <c r="Q3887" s="235" t="s">
        <v>627</v>
      </c>
      <c r="R3887" s="238">
        <v>232.38</v>
      </c>
      <c r="S3887" s="238">
        <v>11.39</v>
      </c>
      <c r="T3887" s="238">
        <v>0.0</v>
      </c>
      <c r="U3887" s="238">
        <v>0.0</v>
      </c>
      <c r="V3887" s="238">
        <v>0.0</v>
      </c>
      <c r="W3887" s="238">
        <v>0.0</v>
      </c>
      <c r="X3887" s="235" t="s">
        <v>628</v>
      </c>
      <c r="Z3887" s="245"/>
      <c r="AA3887" s="245"/>
      <c r="AB3887" s="245"/>
      <c r="AC3887" s="235" t="s">
        <v>678</v>
      </c>
      <c r="AD3887" s="235" t="s">
        <v>679</v>
      </c>
      <c r="AE3887" s="238">
        <v>560047.0</v>
      </c>
      <c r="AF3887" s="235" t="s">
        <v>631</v>
      </c>
      <c r="AG3887" s="245"/>
      <c r="AH3887" s="245"/>
      <c r="AI3887" s="245"/>
      <c r="AJ3887" s="245"/>
      <c r="AK3887" s="245"/>
      <c r="AL3887" s="245"/>
      <c r="AM3887" s="245"/>
      <c r="AN3887" s="245"/>
      <c r="AO3887" s="238">
        <v>-4.65</v>
      </c>
      <c r="AP3887" s="238">
        <v>0.0</v>
      </c>
      <c r="AQ3887" s="235" t="s">
        <v>632</v>
      </c>
      <c r="AR3887" s="243">
        <v>3.71E11</v>
      </c>
      <c r="AS3887" s="235" t="s">
        <v>28482</v>
      </c>
      <c r="AT3887" s="235" t="s">
        <v>11</v>
      </c>
      <c r="AU3887" s="235" t="s">
        <v>634</v>
      </c>
      <c r="AV3887" s="246" t="s">
        <v>635</v>
      </c>
      <c r="AW3887" s="227"/>
      <c r="AX3887" s="227"/>
      <c r="AY3887" s="227"/>
      <c r="AZ3887" s="227"/>
      <c r="BA3887" s="227"/>
      <c r="BB3887" s="227"/>
      <c r="BC3887" s="227"/>
      <c r="BD3887" s="227"/>
      <c r="BE3887" s="227"/>
      <c r="BF3887" s="227"/>
    </row>
    <row r="3888">
      <c r="A3888" s="235" t="s">
        <v>29068</v>
      </c>
      <c r="C3888" s="235" t="s">
        <v>29069</v>
      </c>
      <c r="D3888" s="235" t="s">
        <v>29070</v>
      </c>
      <c r="E3888" s="243">
        <v>6.51E13</v>
      </c>
      <c r="F3888" s="245"/>
      <c r="G3888" s="235" t="s">
        <v>29071</v>
      </c>
      <c r="H3888" s="235" t="s">
        <v>29072</v>
      </c>
      <c r="I3888" s="235" t="s">
        <v>29072</v>
      </c>
      <c r="J3888" s="235" t="s">
        <v>29073</v>
      </c>
      <c r="K3888" s="235" t="s">
        <v>29074</v>
      </c>
      <c r="N3888" s="235" t="s">
        <v>141</v>
      </c>
      <c r="O3888" s="235" t="s">
        <v>342</v>
      </c>
      <c r="P3888" s="238">
        <v>1.0</v>
      </c>
      <c r="Q3888" s="235" t="s">
        <v>627</v>
      </c>
      <c r="R3888" s="238">
        <v>233.34</v>
      </c>
      <c r="S3888" s="238">
        <v>11.66</v>
      </c>
      <c r="T3888" s="238">
        <v>0.0</v>
      </c>
      <c r="U3888" s="238">
        <v>0.0</v>
      </c>
      <c r="V3888" s="238">
        <v>0.0</v>
      </c>
      <c r="W3888" s="238">
        <v>0.0</v>
      </c>
      <c r="X3888" s="235" t="s">
        <v>628</v>
      </c>
      <c r="Z3888" s="245"/>
      <c r="AA3888" s="245"/>
      <c r="AB3888" s="245"/>
      <c r="AC3888" s="235" t="s">
        <v>1910</v>
      </c>
      <c r="AD3888" s="235" t="s">
        <v>928</v>
      </c>
      <c r="AE3888" s="238">
        <v>122002.0</v>
      </c>
      <c r="AF3888" s="235" t="s">
        <v>631</v>
      </c>
      <c r="AG3888" s="245"/>
      <c r="AH3888" s="245"/>
      <c r="AI3888" s="245"/>
      <c r="AJ3888" s="245"/>
      <c r="AK3888" s="245"/>
      <c r="AL3888" s="245"/>
      <c r="AM3888" s="245"/>
      <c r="AN3888" s="245"/>
      <c r="AO3888" s="238">
        <v>0.0</v>
      </c>
      <c r="AP3888" s="238">
        <v>0.0</v>
      </c>
      <c r="AQ3888" s="235" t="s">
        <v>632</v>
      </c>
      <c r="AR3888" s="243">
        <v>3.71E11</v>
      </c>
      <c r="AS3888" s="235" t="s">
        <v>28482</v>
      </c>
      <c r="AT3888" s="235" t="s">
        <v>13</v>
      </c>
      <c r="AU3888" s="235" t="s">
        <v>634</v>
      </c>
      <c r="AV3888" s="246" t="s">
        <v>635</v>
      </c>
      <c r="AW3888" s="227"/>
      <c r="AX3888" s="227"/>
      <c r="AY3888" s="227"/>
      <c r="AZ3888" s="227"/>
      <c r="BA3888" s="227"/>
      <c r="BB3888" s="227"/>
      <c r="BC3888" s="227"/>
      <c r="BD3888" s="227"/>
      <c r="BE3888" s="227"/>
      <c r="BF3888" s="227"/>
    </row>
    <row r="3889">
      <c r="A3889" s="235" t="s">
        <v>29075</v>
      </c>
      <c r="C3889" s="235" t="s">
        <v>29076</v>
      </c>
      <c r="D3889" s="235" t="s">
        <v>29077</v>
      </c>
      <c r="E3889" s="243">
        <v>6.5E13</v>
      </c>
      <c r="F3889" s="245"/>
      <c r="G3889" s="235" t="s">
        <v>29078</v>
      </c>
      <c r="H3889" s="235" t="s">
        <v>29079</v>
      </c>
      <c r="I3889" s="235" t="s">
        <v>29079</v>
      </c>
      <c r="J3889" s="235" t="s">
        <v>29080</v>
      </c>
      <c r="K3889" s="235" t="s">
        <v>29081</v>
      </c>
      <c r="N3889" s="235" t="s">
        <v>75</v>
      </c>
      <c r="O3889" s="235" t="s">
        <v>2108</v>
      </c>
      <c r="P3889" s="238">
        <v>1.0</v>
      </c>
      <c r="Q3889" s="235" t="s">
        <v>627</v>
      </c>
      <c r="R3889" s="238">
        <v>0.0</v>
      </c>
      <c r="S3889" s="238">
        <v>0.0</v>
      </c>
      <c r="T3889" s="238">
        <v>0.0</v>
      </c>
      <c r="U3889" s="238">
        <v>0.0</v>
      </c>
      <c r="V3889" s="238">
        <v>0.0</v>
      </c>
      <c r="W3889" s="238">
        <v>0.0</v>
      </c>
      <c r="X3889" s="235" t="s">
        <v>2433</v>
      </c>
      <c r="Y3889" s="245"/>
      <c r="Z3889" s="245"/>
      <c r="AA3889" s="245"/>
      <c r="AB3889" s="245"/>
      <c r="AC3889" s="235" t="s">
        <v>795</v>
      </c>
      <c r="AD3889" s="235" t="s">
        <v>796</v>
      </c>
      <c r="AE3889" s="238">
        <v>110025.0</v>
      </c>
      <c r="AF3889" s="235" t="s">
        <v>631</v>
      </c>
      <c r="AG3889" s="245"/>
      <c r="AH3889" s="245"/>
      <c r="AI3889" s="245"/>
      <c r="AJ3889" s="245"/>
      <c r="AK3889" s="245"/>
      <c r="AL3889" s="245"/>
      <c r="AM3889" s="245"/>
      <c r="AN3889" s="245"/>
      <c r="AO3889" s="238">
        <v>0.0</v>
      </c>
      <c r="AP3889" s="238">
        <v>0.0</v>
      </c>
      <c r="AQ3889" s="235" t="s">
        <v>632</v>
      </c>
      <c r="AR3889" s="243">
        <v>3.71E11</v>
      </c>
      <c r="AS3889" s="235" t="s">
        <v>28482</v>
      </c>
      <c r="AT3889" s="235" t="s">
        <v>13</v>
      </c>
      <c r="AU3889" s="235" t="s">
        <v>634</v>
      </c>
      <c r="AV3889" s="246" t="s">
        <v>635</v>
      </c>
      <c r="AW3889" s="227"/>
      <c r="AX3889" s="227"/>
      <c r="AY3889" s="227"/>
      <c r="AZ3889" s="227"/>
      <c r="BA3889" s="227"/>
      <c r="BB3889" s="227"/>
      <c r="BC3889" s="227"/>
      <c r="BD3889" s="227"/>
      <c r="BE3889" s="227"/>
      <c r="BF3889" s="227"/>
    </row>
    <row r="3890">
      <c r="A3890" s="235" t="s">
        <v>29082</v>
      </c>
      <c r="C3890" s="235" t="s">
        <v>29083</v>
      </c>
      <c r="D3890" s="235" t="s">
        <v>29084</v>
      </c>
      <c r="E3890" s="243">
        <v>6.51E13</v>
      </c>
      <c r="F3890" s="245"/>
      <c r="G3890" s="235" t="s">
        <v>29085</v>
      </c>
      <c r="H3890" s="235" t="s">
        <v>29086</v>
      </c>
      <c r="I3890" s="235" t="s">
        <v>29087</v>
      </c>
      <c r="J3890" s="235" t="s">
        <v>29088</v>
      </c>
      <c r="K3890" s="235" t="s">
        <v>29089</v>
      </c>
      <c r="N3890" s="235" t="s">
        <v>90</v>
      </c>
      <c r="O3890" s="235" t="s">
        <v>279</v>
      </c>
      <c r="P3890" s="238">
        <v>1.0</v>
      </c>
      <c r="Q3890" s="235" t="s">
        <v>627</v>
      </c>
      <c r="R3890" s="238">
        <v>246.66</v>
      </c>
      <c r="S3890" s="238">
        <v>12.34</v>
      </c>
      <c r="T3890" s="238">
        <v>0.0</v>
      </c>
      <c r="U3890" s="238">
        <v>0.0</v>
      </c>
      <c r="V3890" s="238">
        <v>0.0</v>
      </c>
      <c r="W3890" s="238">
        <v>0.0</v>
      </c>
      <c r="X3890" s="235" t="s">
        <v>628</v>
      </c>
      <c r="Z3890" s="245"/>
      <c r="AA3890" s="245"/>
      <c r="AB3890" s="245"/>
      <c r="AC3890" s="235" t="s">
        <v>678</v>
      </c>
      <c r="AD3890" s="235" t="s">
        <v>679</v>
      </c>
      <c r="AE3890" s="238">
        <v>560049.0</v>
      </c>
      <c r="AF3890" s="235" t="s">
        <v>631</v>
      </c>
      <c r="AG3890" s="245"/>
      <c r="AH3890" s="245"/>
      <c r="AI3890" s="245"/>
      <c r="AJ3890" s="245"/>
      <c r="AK3890" s="245"/>
      <c r="AL3890" s="245"/>
      <c r="AM3890" s="245"/>
      <c r="AN3890" s="245"/>
      <c r="AO3890" s="238">
        <v>0.0</v>
      </c>
      <c r="AP3890" s="238">
        <v>0.0</v>
      </c>
      <c r="AQ3890" s="235" t="s">
        <v>632</v>
      </c>
      <c r="AR3890" s="243">
        <v>1.68E11</v>
      </c>
      <c r="AS3890" s="235" t="s">
        <v>28947</v>
      </c>
      <c r="AT3890" s="235" t="s">
        <v>11</v>
      </c>
      <c r="AU3890" s="235" t="s">
        <v>634</v>
      </c>
      <c r="AV3890" s="246" t="s">
        <v>635</v>
      </c>
      <c r="AW3890" s="227"/>
      <c r="AX3890" s="227"/>
      <c r="AY3890" s="227"/>
      <c r="AZ3890" s="227"/>
      <c r="BA3890" s="227"/>
      <c r="BB3890" s="227"/>
      <c r="BC3890" s="227"/>
      <c r="BD3890" s="227"/>
      <c r="BE3890" s="227"/>
      <c r="BF3890" s="227"/>
    </row>
    <row r="3891">
      <c r="A3891" s="235" t="s">
        <v>29090</v>
      </c>
      <c r="C3891" s="235" t="s">
        <v>29091</v>
      </c>
      <c r="D3891" s="235" t="s">
        <v>29092</v>
      </c>
      <c r="E3891" s="243">
        <v>6.51E13</v>
      </c>
      <c r="F3891" s="245"/>
      <c r="G3891" s="235" t="s">
        <v>29093</v>
      </c>
      <c r="H3891" s="235" t="s">
        <v>29094</v>
      </c>
      <c r="I3891" s="235" t="s">
        <v>29094</v>
      </c>
      <c r="J3891" s="235" t="s">
        <v>29095</v>
      </c>
      <c r="K3891" s="235" t="s">
        <v>29096</v>
      </c>
      <c r="N3891" s="235" t="s">
        <v>154</v>
      </c>
      <c r="O3891" s="235" t="s">
        <v>766</v>
      </c>
      <c r="P3891" s="238">
        <v>1.0</v>
      </c>
      <c r="Q3891" s="235" t="s">
        <v>627</v>
      </c>
      <c r="R3891" s="238">
        <v>423.8</v>
      </c>
      <c r="S3891" s="238">
        <v>20.56</v>
      </c>
      <c r="T3891" s="238">
        <v>0.0</v>
      </c>
      <c r="U3891" s="238">
        <v>0.0</v>
      </c>
      <c r="V3891" s="238">
        <v>0.0</v>
      </c>
      <c r="W3891" s="238">
        <v>0.0</v>
      </c>
      <c r="X3891" s="235" t="s">
        <v>628</v>
      </c>
      <c r="Z3891" s="245"/>
      <c r="AA3891" s="245"/>
      <c r="AB3891" s="245"/>
      <c r="AC3891" s="235" t="s">
        <v>678</v>
      </c>
      <c r="AD3891" s="235" t="s">
        <v>679</v>
      </c>
      <c r="AE3891" s="238">
        <v>560087.0</v>
      </c>
      <c r="AF3891" s="235" t="s">
        <v>631</v>
      </c>
      <c r="AG3891" s="245"/>
      <c r="AH3891" s="245"/>
      <c r="AI3891" s="245"/>
      <c r="AJ3891" s="245"/>
      <c r="AK3891" s="245"/>
      <c r="AL3891" s="245"/>
      <c r="AM3891" s="245"/>
      <c r="AN3891" s="245"/>
      <c r="AO3891" s="238">
        <v>-12.71</v>
      </c>
      <c r="AP3891" s="238">
        <v>0.0</v>
      </c>
      <c r="AQ3891" s="235" t="s">
        <v>632</v>
      </c>
      <c r="AR3891" s="243">
        <v>1.68E11</v>
      </c>
      <c r="AS3891" s="235" t="s">
        <v>28947</v>
      </c>
      <c r="AT3891" s="235" t="s">
        <v>9</v>
      </c>
      <c r="AU3891" s="235" t="s">
        <v>634</v>
      </c>
      <c r="AV3891" s="246" t="s">
        <v>635</v>
      </c>
      <c r="AW3891" s="227"/>
      <c r="AX3891" s="227"/>
      <c r="AY3891" s="227"/>
      <c r="AZ3891" s="227"/>
      <c r="BA3891" s="227"/>
      <c r="BB3891" s="227"/>
      <c r="BC3891" s="227"/>
      <c r="BD3891" s="227"/>
      <c r="BE3891" s="227"/>
      <c r="BF3891" s="227"/>
    </row>
    <row r="3892">
      <c r="A3892" s="235" t="s">
        <v>29097</v>
      </c>
      <c r="C3892" s="235" t="s">
        <v>29098</v>
      </c>
      <c r="D3892" s="235" t="s">
        <v>29099</v>
      </c>
      <c r="E3892" s="243">
        <v>6.51E13</v>
      </c>
      <c r="F3892" s="245"/>
      <c r="G3892" s="235" t="s">
        <v>29100</v>
      </c>
      <c r="H3892" s="235" t="s">
        <v>29101</v>
      </c>
      <c r="I3892" s="235" t="s">
        <v>29102</v>
      </c>
      <c r="J3892" s="235" t="s">
        <v>29103</v>
      </c>
      <c r="K3892" s="235" t="s">
        <v>29104</v>
      </c>
      <c r="N3892" s="235" t="s">
        <v>148</v>
      </c>
      <c r="O3892" s="235" t="s">
        <v>1006</v>
      </c>
      <c r="P3892" s="238">
        <v>1.0</v>
      </c>
      <c r="Q3892" s="235" t="s">
        <v>627</v>
      </c>
      <c r="R3892" s="238">
        <v>281.9</v>
      </c>
      <c r="S3892" s="238">
        <v>13.68</v>
      </c>
      <c r="T3892" s="238">
        <v>0.0</v>
      </c>
      <c r="U3892" s="238">
        <v>0.0</v>
      </c>
      <c r="V3892" s="238">
        <v>0.0</v>
      </c>
      <c r="W3892" s="238">
        <v>0.0</v>
      </c>
      <c r="X3892" s="235" t="s">
        <v>628</v>
      </c>
      <c r="Z3892" s="245"/>
      <c r="AA3892" s="245"/>
      <c r="AB3892" s="245"/>
      <c r="AC3892" s="235" t="s">
        <v>1095</v>
      </c>
      <c r="AD3892" s="235" t="s">
        <v>845</v>
      </c>
      <c r="AE3892" s="238">
        <v>400706.0</v>
      </c>
      <c r="AF3892" s="235" t="s">
        <v>631</v>
      </c>
      <c r="AG3892" s="245"/>
      <c r="AH3892" s="245"/>
      <c r="AI3892" s="245"/>
      <c r="AJ3892" s="245"/>
      <c r="AK3892" s="245"/>
      <c r="AL3892" s="245"/>
      <c r="AM3892" s="245"/>
      <c r="AN3892" s="245"/>
      <c r="AO3892" s="238">
        <v>-8.46</v>
      </c>
      <c r="AP3892" s="238">
        <v>0.0</v>
      </c>
      <c r="AQ3892" s="235" t="s">
        <v>632</v>
      </c>
      <c r="AR3892" s="243">
        <v>3.71E11</v>
      </c>
      <c r="AS3892" s="235" t="s">
        <v>28482</v>
      </c>
      <c r="AT3892" s="235" t="s">
        <v>17</v>
      </c>
      <c r="AU3892" s="235" t="s">
        <v>634</v>
      </c>
      <c r="AV3892" s="246" t="s">
        <v>635</v>
      </c>
      <c r="AW3892" s="227"/>
      <c r="AX3892" s="227"/>
      <c r="AY3892" s="227"/>
      <c r="AZ3892" s="227"/>
      <c r="BA3892" s="227"/>
      <c r="BB3892" s="227"/>
      <c r="BC3892" s="227"/>
      <c r="BD3892" s="227"/>
      <c r="BE3892" s="227"/>
      <c r="BF3892" s="227"/>
    </row>
    <row r="3893">
      <c r="A3893" s="235" t="s">
        <v>29105</v>
      </c>
      <c r="C3893" s="235" t="s">
        <v>29106</v>
      </c>
      <c r="D3893" s="235" t="s">
        <v>29107</v>
      </c>
      <c r="E3893" s="243">
        <v>6.51E13</v>
      </c>
      <c r="F3893" s="245"/>
      <c r="G3893" s="235" t="s">
        <v>29108</v>
      </c>
      <c r="H3893" s="235" t="s">
        <v>29109</v>
      </c>
      <c r="I3893" s="235" t="s">
        <v>29109</v>
      </c>
      <c r="J3893" s="235" t="s">
        <v>29110</v>
      </c>
      <c r="K3893" s="235" t="s">
        <v>29111</v>
      </c>
      <c r="N3893" s="235" t="s">
        <v>145</v>
      </c>
      <c r="O3893" s="235" t="s">
        <v>370</v>
      </c>
      <c r="P3893" s="238">
        <v>1.0</v>
      </c>
      <c r="Q3893" s="235" t="s">
        <v>627</v>
      </c>
      <c r="R3893" s="238">
        <v>1475.24</v>
      </c>
      <c r="S3893" s="238">
        <v>73.76</v>
      </c>
      <c r="T3893" s="238">
        <v>0.0</v>
      </c>
      <c r="U3893" s="238">
        <v>0.0</v>
      </c>
      <c r="V3893" s="238">
        <v>0.0</v>
      </c>
      <c r="W3893" s="238">
        <v>0.0</v>
      </c>
      <c r="X3893" s="235" t="s">
        <v>628</v>
      </c>
      <c r="Z3893" s="245"/>
      <c r="AA3893" s="245"/>
      <c r="AB3893" s="245"/>
      <c r="AC3893" s="235" t="s">
        <v>678</v>
      </c>
      <c r="AD3893" s="235" t="s">
        <v>679</v>
      </c>
      <c r="AE3893" s="238">
        <v>560036.0</v>
      </c>
      <c r="AF3893" s="235" t="s">
        <v>631</v>
      </c>
      <c r="AG3893" s="245"/>
      <c r="AH3893" s="245"/>
      <c r="AI3893" s="245"/>
      <c r="AJ3893" s="245"/>
      <c r="AK3893" s="245"/>
      <c r="AL3893" s="245"/>
      <c r="AM3893" s="245"/>
      <c r="AN3893" s="245"/>
      <c r="AO3893" s="238">
        <v>0.0</v>
      </c>
      <c r="AP3893" s="238">
        <v>0.0</v>
      </c>
      <c r="AQ3893" s="235" t="s">
        <v>632</v>
      </c>
      <c r="AR3893" s="243">
        <v>3.71E11</v>
      </c>
      <c r="AS3893" s="235" t="s">
        <v>28482</v>
      </c>
      <c r="AT3893" s="235" t="s">
        <v>9</v>
      </c>
      <c r="AU3893" s="235" t="s">
        <v>634</v>
      </c>
      <c r="AV3893" s="246" t="s">
        <v>635</v>
      </c>
      <c r="AW3893" s="227"/>
      <c r="AX3893" s="227"/>
      <c r="AY3893" s="227"/>
      <c r="AZ3893" s="227"/>
      <c r="BA3893" s="227"/>
      <c r="BB3893" s="227"/>
      <c r="BC3893" s="227"/>
      <c r="BD3893" s="227"/>
      <c r="BE3893" s="227"/>
      <c r="BF3893" s="227"/>
    </row>
    <row r="3894">
      <c r="A3894" s="235" t="s">
        <v>29112</v>
      </c>
      <c r="C3894" s="235" t="s">
        <v>29113</v>
      </c>
      <c r="D3894" s="235" t="s">
        <v>29114</v>
      </c>
      <c r="E3894" s="243">
        <v>6.51E13</v>
      </c>
      <c r="F3894" s="245"/>
      <c r="G3894" s="235" t="s">
        <v>29115</v>
      </c>
      <c r="H3894" s="235" t="s">
        <v>29116</v>
      </c>
      <c r="I3894" s="235" t="s">
        <v>29116</v>
      </c>
      <c r="J3894" s="235" t="s">
        <v>29117</v>
      </c>
      <c r="K3894" s="235" t="s">
        <v>29118</v>
      </c>
      <c r="N3894" s="235" t="s">
        <v>117</v>
      </c>
      <c r="O3894" s="235" t="s">
        <v>334</v>
      </c>
      <c r="P3894" s="238">
        <v>1.0</v>
      </c>
      <c r="Q3894" s="235" t="s">
        <v>627</v>
      </c>
      <c r="R3894" s="238">
        <v>233.33</v>
      </c>
      <c r="S3894" s="238">
        <v>11.67</v>
      </c>
      <c r="T3894" s="238">
        <v>0.0</v>
      </c>
      <c r="U3894" s="238">
        <v>0.0</v>
      </c>
      <c r="V3894" s="238">
        <v>0.0</v>
      </c>
      <c r="W3894" s="238">
        <v>0.0</v>
      </c>
      <c r="X3894" s="235" t="s">
        <v>628</v>
      </c>
      <c r="Z3894" s="245"/>
      <c r="AA3894" s="245"/>
      <c r="AB3894" s="245"/>
      <c r="AC3894" s="235" t="s">
        <v>629</v>
      </c>
      <c r="AD3894" s="235" t="s">
        <v>630</v>
      </c>
      <c r="AE3894" s="238">
        <v>201301.0</v>
      </c>
      <c r="AF3894" s="235" t="s">
        <v>631</v>
      </c>
      <c r="AG3894" s="245"/>
      <c r="AH3894" s="245"/>
      <c r="AI3894" s="245"/>
      <c r="AJ3894" s="245"/>
      <c r="AK3894" s="245"/>
      <c r="AL3894" s="245"/>
      <c r="AM3894" s="245"/>
      <c r="AN3894" s="245"/>
      <c r="AO3894" s="238">
        <v>0.0</v>
      </c>
      <c r="AP3894" s="238">
        <v>0.0</v>
      </c>
      <c r="AQ3894" s="235" t="s">
        <v>632</v>
      </c>
      <c r="AR3894" s="243">
        <v>3.71E11</v>
      </c>
      <c r="AS3894" s="235" t="s">
        <v>28482</v>
      </c>
      <c r="AT3894" s="235" t="s">
        <v>14</v>
      </c>
      <c r="AU3894" s="235" t="s">
        <v>634</v>
      </c>
      <c r="AV3894" s="246" t="s">
        <v>635</v>
      </c>
      <c r="AW3894" s="227"/>
      <c r="AX3894" s="227"/>
      <c r="AY3894" s="227"/>
      <c r="AZ3894" s="227"/>
      <c r="BA3894" s="227"/>
      <c r="BB3894" s="227"/>
      <c r="BC3894" s="227"/>
      <c r="BD3894" s="227"/>
      <c r="BE3894" s="227"/>
      <c r="BF3894" s="227"/>
    </row>
    <row r="3895">
      <c r="A3895" s="235" t="s">
        <v>29119</v>
      </c>
      <c r="C3895" s="235" t="s">
        <v>29120</v>
      </c>
      <c r="D3895" s="235" t="s">
        <v>29121</v>
      </c>
      <c r="E3895" s="243">
        <v>6.51E13</v>
      </c>
      <c r="F3895" s="245"/>
      <c r="G3895" s="235" t="s">
        <v>29122</v>
      </c>
      <c r="H3895" s="235" t="s">
        <v>29123</v>
      </c>
      <c r="I3895" s="235" t="s">
        <v>29123</v>
      </c>
      <c r="J3895" s="235" t="s">
        <v>29124</v>
      </c>
      <c r="K3895" s="235" t="s">
        <v>29125</v>
      </c>
      <c r="N3895" s="235" t="s">
        <v>120</v>
      </c>
      <c r="O3895" s="235" t="s">
        <v>324</v>
      </c>
      <c r="P3895" s="238">
        <v>1.0</v>
      </c>
      <c r="Q3895" s="235" t="s">
        <v>627</v>
      </c>
      <c r="R3895" s="238">
        <v>233.34</v>
      </c>
      <c r="S3895" s="238">
        <v>11.66</v>
      </c>
      <c r="T3895" s="238">
        <v>0.0</v>
      </c>
      <c r="U3895" s="238">
        <v>0.0</v>
      </c>
      <c r="V3895" s="238">
        <v>0.0</v>
      </c>
      <c r="W3895" s="238">
        <v>0.0</v>
      </c>
      <c r="X3895" s="235" t="s">
        <v>628</v>
      </c>
      <c r="Z3895" s="245"/>
      <c r="AA3895" s="245"/>
      <c r="AB3895" s="245"/>
      <c r="AC3895" s="235" t="s">
        <v>2341</v>
      </c>
      <c r="AD3895" s="235" t="s">
        <v>928</v>
      </c>
      <c r="AE3895" s="238">
        <v>122011.0</v>
      </c>
      <c r="AF3895" s="235" t="s">
        <v>631</v>
      </c>
      <c r="AG3895" s="245"/>
      <c r="AH3895" s="245"/>
      <c r="AI3895" s="245"/>
      <c r="AJ3895" s="245"/>
      <c r="AK3895" s="245"/>
      <c r="AL3895" s="245"/>
      <c r="AM3895" s="245"/>
      <c r="AN3895" s="245"/>
      <c r="AO3895" s="238">
        <v>0.0</v>
      </c>
      <c r="AP3895" s="238">
        <v>0.0</v>
      </c>
      <c r="AQ3895" s="235" t="s">
        <v>632</v>
      </c>
      <c r="AR3895" s="243">
        <v>1.68E11</v>
      </c>
      <c r="AS3895" s="235" t="s">
        <v>28947</v>
      </c>
      <c r="AT3895" s="235" t="s">
        <v>14</v>
      </c>
      <c r="AU3895" s="235" t="s">
        <v>634</v>
      </c>
      <c r="AV3895" s="246" t="s">
        <v>635</v>
      </c>
      <c r="AW3895" s="227"/>
      <c r="AX3895" s="227"/>
      <c r="AY3895" s="227"/>
      <c r="AZ3895" s="227"/>
      <c r="BA3895" s="227"/>
      <c r="BB3895" s="227"/>
      <c r="BC3895" s="227"/>
      <c r="BD3895" s="227"/>
      <c r="BE3895" s="227"/>
      <c r="BF3895" s="227"/>
    </row>
    <row r="3896">
      <c r="A3896" s="235" t="s">
        <v>29126</v>
      </c>
      <c r="C3896" s="235" t="s">
        <v>29127</v>
      </c>
      <c r="D3896" s="235" t="s">
        <v>29128</v>
      </c>
      <c r="E3896" s="243">
        <v>6.51E13</v>
      </c>
      <c r="F3896" s="245"/>
      <c r="G3896" s="235" t="s">
        <v>29129</v>
      </c>
      <c r="H3896" s="235" t="s">
        <v>29130</v>
      </c>
      <c r="I3896" s="235" t="s">
        <v>29130</v>
      </c>
      <c r="J3896" s="235" t="s">
        <v>29131</v>
      </c>
      <c r="K3896" s="235" t="s">
        <v>29132</v>
      </c>
      <c r="N3896" s="235" t="s">
        <v>154</v>
      </c>
      <c r="O3896" s="235" t="s">
        <v>766</v>
      </c>
      <c r="P3896" s="238">
        <v>1.0</v>
      </c>
      <c r="Q3896" s="235" t="s">
        <v>627</v>
      </c>
      <c r="R3896" s="238">
        <v>423.8</v>
      </c>
      <c r="S3896" s="238">
        <v>21.2</v>
      </c>
      <c r="T3896" s="238">
        <v>0.0</v>
      </c>
      <c r="U3896" s="238">
        <v>0.0</v>
      </c>
      <c r="V3896" s="238">
        <v>0.0</v>
      </c>
      <c r="W3896" s="238">
        <v>0.0</v>
      </c>
      <c r="X3896" s="235" t="s">
        <v>628</v>
      </c>
      <c r="Z3896" s="245"/>
      <c r="AA3896" s="245"/>
      <c r="AB3896" s="245"/>
      <c r="AC3896" s="235" t="s">
        <v>678</v>
      </c>
      <c r="AD3896" s="235" t="s">
        <v>679</v>
      </c>
      <c r="AE3896" s="238">
        <v>560076.0</v>
      </c>
      <c r="AF3896" s="235" t="s">
        <v>631</v>
      </c>
      <c r="AG3896" s="245"/>
      <c r="AH3896" s="245"/>
      <c r="AI3896" s="245"/>
      <c r="AJ3896" s="245"/>
      <c r="AK3896" s="245"/>
      <c r="AL3896" s="245"/>
      <c r="AM3896" s="245"/>
      <c r="AN3896" s="245"/>
      <c r="AO3896" s="238">
        <v>0.0</v>
      </c>
      <c r="AP3896" s="238">
        <v>0.0</v>
      </c>
      <c r="AQ3896" s="235" t="s">
        <v>632</v>
      </c>
      <c r="AR3896" s="243">
        <v>1.68E11</v>
      </c>
      <c r="AS3896" s="235" t="s">
        <v>28947</v>
      </c>
      <c r="AT3896" s="235" t="s">
        <v>9</v>
      </c>
      <c r="AU3896" s="235" t="s">
        <v>634</v>
      </c>
      <c r="AV3896" s="246" t="s">
        <v>635</v>
      </c>
      <c r="AW3896" s="227"/>
      <c r="AX3896" s="227"/>
      <c r="AY3896" s="227"/>
      <c r="AZ3896" s="227"/>
      <c r="BA3896" s="227"/>
      <c r="BB3896" s="227"/>
      <c r="BC3896" s="227"/>
      <c r="BD3896" s="227"/>
      <c r="BE3896" s="227"/>
      <c r="BF3896" s="227"/>
    </row>
    <row r="3897">
      <c r="A3897" s="235" t="s">
        <v>29133</v>
      </c>
      <c r="C3897" s="235" t="s">
        <v>29134</v>
      </c>
      <c r="D3897" s="235" t="s">
        <v>29135</v>
      </c>
      <c r="E3897" s="243">
        <v>6.51E13</v>
      </c>
      <c r="F3897" s="245"/>
      <c r="G3897" s="235" t="s">
        <v>29136</v>
      </c>
      <c r="H3897" s="235" t="s">
        <v>29137</v>
      </c>
      <c r="I3897" s="235" t="s">
        <v>29138</v>
      </c>
      <c r="J3897" s="235" t="s">
        <v>29139</v>
      </c>
      <c r="K3897" s="235" t="s">
        <v>29140</v>
      </c>
      <c r="N3897" s="235" t="s">
        <v>51</v>
      </c>
      <c r="O3897" s="235" t="s">
        <v>273</v>
      </c>
      <c r="P3897" s="238">
        <v>1.0</v>
      </c>
      <c r="Q3897" s="235" t="s">
        <v>627</v>
      </c>
      <c r="R3897" s="238">
        <v>246.67</v>
      </c>
      <c r="S3897" s="238">
        <v>11.96</v>
      </c>
      <c r="T3897" s="238">
        <v>0.0</v>
      </c>
      <c r="U3897" s="238">
        <v>0.0</v>
      </c>
      <c r="V3897" s="238">
        <v>0.0</v>
      </c>
      <c r="W3897" s="238">
        <v>0.0</v>
      </c>
      <c r="X3897" s="235" t="s">
        <v>628</v>
      </c>
      <c r="Z3897" s="245"/>
      <c r="AA3897" s="245"/>
      <c r="AB3897" s="245"/>
      <c r="AC3897" s="235" t="s">
        <v>697</v>
      </c>
      <c r="AD3897" s="235" t="s">
        <v>698</v>
      </c>
      <c r="AE3897" s="238">
        <v>500035.0</v>
      </c>
      <c r="AF3897" s="235" t="s">
        <v>631</v>
      </c>
      <c r="AG3897" s="245"/>
      <c r="AH3897" s="245"/>
      <c r="AI3897" s="245"/>
      <c r="AJ3897" s="245"/>
      <c r="AK3897" s="245"/>
      <c r="AL3897" s="245"/>
      <c r="AM3897" s="245"/>
      <c r="AN3897" s="245"/>
      <c r="AO3897" s="238">
        <v>-7.4</v>
      </c>
      <c r="AP3897" s="238">
        <v>0.0</v>
      </c>
      <c r="AQ3897" s="235" t="s">
        <v>632</v>
      </c>
      <c r="AR3897" s="243">
        <v>3.71E11</v>
      </c>
      <c r="AS3897" s="235" t="s">
        <v>26892</v>
      </c>
      <c r="AT3897" s="235" t="s">
        <v>11</v>
      </c>
      <c r="AU3897" s="235" t="s">
        <v>634</v>
      </c>
      <c r="AV3897" s="246" t="s">
        <v>635</v>
      </c>
      <c r="AW3897" s="227"/>
      <c r="AX3897" s="227"/>
      <c r="AY3897" s="227"/>
      <c r="AZ3897" s="227"/>
      <c r="BA3897" s="227"/>
      <c r="BB3897" s="227"/>
      <c r="BC3897" s="227"/>
      <c r="BD3897" s="227"/>
      <c r="BE3897" s="227"/>
      <c r="BF3897" s="227"/>
    </row>
    <row r="3898">
      <c r="A3898" s="235" t="s">
        <v>29141</v>
      </c>
      <c r="C3898" s="235" t="s">
        <v>29142</v>
      </c>
      <c r="D3898" s="235" t="s">
        <v>29143</v>
      </c>
      <c r="E3898" s="243">
        <v>6.51E13</v>
      </c>
      <c r="F3898" s="245"/>
      <c r="G3898" s="235" t="s">
        <v>29144</v>
      </c>
      <c r="H3898" s="235" t="s">
        <v>29145</v>
      </c>
      <c r="I3898" s="235" t="s">
        <v>29145</v>
      </c>
      <c r="J3898" s="235" t="s">
        <v>29146</v>
      </c>
      <c r="K3898" s="235" t="s">
        <v>29147</v>
      </c>
      <c r="N3898" s="235" t="s">
        <v>42</v>
      </c>
      <c r="O3898" s="235" t="s">
        <v>204</v>
      </c>
      <c r="P3898" s="238">
        <v>1.0</v>
      </c>
      <c r="Q3898" s="235" t="s">
        <v>627</v>
      </c>
      <c r="R3898" s="238">
        <v>236.2</v>
      </c>
      <c r="S3898" s="238">
        <v>11.8</v>
      </c>
      <c r="T3898" s="238">
        <v>0.0</v>
      </c>
      <c r="U3898" s="238">
        <v>0.0</v>
      </c>
      <c r="V3898" s="238">
        <v>0.0</v>
      </c>
      <c r="W3898" s="238">
        <v>0.0</v>
      </c>
      <c r="X3898" s="235" t="s">
        <v>628</v>
      </c>
      <c r="Z3898" s="245"/>
      <c r="AA3898" s="245"/>
      <c r="AB3898" s="245"/>
      <c r="AC3898" s="235" t="s">
        <v>678</v>
      </c>
      <c r="AD3898" s="235" t="s">
        <v>679</v>
      </c>
      <c r="AE3898" s="238">
        <v>560067.0</v>
      </c>
      <c r="AF3898" s="235" t="s">
        <v>631</v>
      </c>
      <c r="AG3898" s="245"/>
      <c r="AH3898" s="245"/>
      <c r="AI3898" s="245"/>
      <c r="AJ3898" s="245"/>
      <c r="AK3898" s="245"/>
      <c r="AL3898" s="245"/>
      <c r="AM3898" s="245"/>
      <c r="AN3898" s="245"/>
      <c r="AO3898" s="238">
        <v>0.0</v>
      </c>
      <c r="AP3898" s="238">
        <v>0.0</v>
      </c>
      <c r="AQ3898" s="235" t="s">
        <v>632</v>
      </c>
      <c r="AR3898" s="243">
        <v>3.71E11</v>
      </c>
      <c r="AS3898" s="235" t="s">
        <v>28482</v>
      </c>
      <c r="AT3898" s="235" t="s">
        <v>9</v>
      </c>
      <c r="AU3898" s="235" t="s">
        <v>634</v>
      </c>
      <c r="AV3898" s="246" t="s">
        <v>635</v>
      </c>
      <c r="AW3898" s="227"/>
      <c r="AX3898" s="227"/>
      <c r="AY3898" s="227"/>
      <c r="AZ3898" s="227"/>
      <c r="BA3898" s="227"/>
      <c r="BB3898" s="227"/>
      <c r="BC3898" s="227"/>
      <c r="BD3898" s="227"/>
      <c r="BE3898" s="227"/>
      <c r="BF3898" s="227"/>
    </row>
    <row r="3899">
      <c r="A3899" s="235" t="s">
        <v>29148</v>
      </c>
      <c r="C3899" s="235" t="s">
        <v>29149</v>
      </c>
      <c r="D3899" s="235" t="s">
        <v>29150</v>
      </c>
      <c r="E3899" s="243">
        <v>6.51E13</v>
      </c>
      <c r="F3899" s="245"/>
      <c r="G3899" s="235" t="s">
        <v>29151</v>
      </c>
      <c r="H3899" s="235" t="s">
        <v>29152</v>
      </c>
      <c r="I3899" s="235" t="s">
        <v>29153</v>
      </c>
      <c r="J3899" s="235" t="s">
        <v>29154</v>
      </c>
      <c r="K3899" s="235" t="s">
        <v>29155</v>
      </c>
      <c r="N3899" s="235" t="s">
        <v>85</v>
      </c>
      <c r="O3899" s="235" t="s">
        <v>872</v>
      </c>
      <c r="P3899" s="238">
        <v>1.0</v>
      </c>
      <c r="Q3899" s="235" t="s">
        <v>627</v>
      </c>
      <c r="R3899" s="238">
        <v>232.38</v>
      </c>
      <c r="S3899" s="238">
        <v>11.62</v>
      </c>
      <c r="T3899" s="238">
        <v>0.0</v>
      </c>
      <c r="U3899" s="238">
        <v>0.0</v>
      </c>
      <c r="V3899" s="238">
        <v>0.0</v>
      </c>
      <c r="W3899" s="238">
        <v>0.0</v>
      </c>
      <c r="X3899" s="235" t="s">
        <v>628</v>
      </c>
      <c r="Z3899" s="245"/>
      <c r="AA3899" s="245"/>
      <c r="AB3899" s="245"/>
      <c r="AC3899" s="235" t="s">
        <v>795</v>
      </c>
      <c r="AD3899" s="235" t="s">
        <v>796</v>
      </c>
      <c r="AE3899" s="238">
        <v>110018.0</v>
      </c>
      <c r="AF3899" s="235" t="s">
        <v>631</v>
      </c>
      <c r="AG3899" s="245"/>
      <c r="AH3899" s="245"/>
      <c r="AI3899" s="245"/>
      <c r="AJ3899" s="245"/>
      <c r="AK3899" s="245"/>
      <c r="AL3899" s="245"/>
      <c r="AM3899" s="245"/>
      <c r="AN3899" s="245"/>
      <c r="AO3899" s="238">
        <v>0.0</v>
      </c>
      <c r="AP3899" s="238">
        <v>0.0</v>
      </c>
      <c r="AQ3899" s="235" t="s">
        <v>632</v>
      </c>
      <c r="AR3899" s="243">
        <v>1.68E11</v>
      </c>
      <c r="AS3899" s="235" t="s">
        <v>28947</v>
      </c>
      <c r="AT3899" s="235" t="s">
        <v>14</v>
      </c>
      <c r="AU3899" s="235" t="s">
        <v>634</v>
      </c>
      <c r="AV3899" s="246" t="s">
        <v>635</v>
      </c>
      <c r="AW3899" s="227"/>
      <c r="AX3899" s="227"/>
      <c r="AY3899" s="227"/>
      <c r="AZ3899" s="227"/>
      <c r="BA3899" s="227"/>
      <c r="BB3899" s="227"/>
      <c r="BC3899" s="227"/>
      <c r="BD3899" s="227"/>
      <c r="BE3899" s="227"/>
      <c r="BF3899" s="227"/>
    </row>
    <row r="3900">
      <c r="A3900" s="235" t="s">
        <v>29156</v>
      </c>
      <c r="C3900" s="235" t="s">
        <v>29157</v>
      </c>
      <c r="D3900" s="235" t="s">
        <v>29158</v>
      </c>
      <c r="E3900" s="243">
        <v>6.51E13</v>
      </c>
      <c r="F3900" s="245"/>
      <c r="G3900" s="235" t="s">
        <v>29159</v>
      </c>
      <c r="H3900" s="235" t="s">
        <v>29160</v>
      </c>
      <c r="I3900" s="235" t="s">
        <v>29160</v>
      </c>
      <c r="J3900" s="235" t="s">
        <v>29161</v>
      </c>
      <c r="K3900" s="235" t="s">
        <v>29162</v>
      </c>
      <c r="N3900" s="235" t="s">
        <v>85</v>
      </c>
      <c r="O3900" s="235" t="s">
        <v>872</v>
      </c>
      <c r="P3900" s="238">
        <v>1.0</v>
      </c>
      <c r="Q3900" s="235" t="s">
        <v>627</v>
      </c>
      <c r="R3900" s="238">
        <v>232.38</v>
      </c>
      <c r="S3900" s="238">
        <v>11.62</v>
      </c>
      <c r="T3900" s="238">
        <v>0.0</v>
      </c>
      <c r="U3900" s="238">
        <v>0.0</v>
      </c>
      <c r="V3900" s="238">
        <v>0.0</v>
      </c>
      <c r="W3900" s="238">
        <v>0.0</v>
      </c>
      <c r="X3900" s="235" t="s">
        <v>628</v>
      </c>
      <c r="Z3900" s="245"/>
      <c r="AA3900" s="245"/>
      <c r="AB3900" s="245"/>
      <c r="AC3900" s="235" t="s">
        <v>29163</v>
      </c>
      <c r="AD3900" s="235" t="s">
        <v>845</v>
      </c>
      <c r="AE3900" s="238">
        <v>410507.0</v>
      </c>
      <c r="AF3900" s="235" t="s">
        <v>631</v>
      </c>
      <c r="AG3900" s="245"/>
      <c r="AH3900" s="245"/>
      <c r="AI3900" s="245"/>
      <c r="AJ3900" s="245"/>
      <c r="AK3900" s="245"/>
      <c r="AL3900" s="245"/>
      <c r="AM3900" s="245"/>
      <c r="AN3900" s="245"/>
      <c r="AO3900" s="238">
        <v>0.0</v>
      </c>
      <c r="AP3900" s="238">
        <v>0.0</v>
      </c>
      <c r="AQ3900" s="235" t="s">
        <v>632</v>
      </c>
      <c r="AR3900" s="243">
        <v>3.71E11</v>
      </c>
      <c r="AS3900" s="235" t="s">
        <v>28482</v>
      </c>
      <c r="AT3900" s="235" t="s">
        <v>546</v>
      </c>
      <c r="AU3900" s="235" t="s">
        <v>634</v>
      </c>
      <c r="AV3900" s="246" t="s">
        <v>635</v>
      </c>
      <c r="AW3900" s="227"/>
      <c r="AX3900" s="227"/>
      <c r="AY3900" s="227"/>
      <c r="AZ3900" s="227"/>
      <c r="BA3900" s="227"/>
      <c r="BB3900" s="227"/>
      <c r="BC3900" s="227"/>
      <c r="BD3900" s="227"/>
      <c r="BE3900" s="227"/>
      <c r="BF3900" s="227"/>
    </row>
    <row r="3901">
      <c r="A3901" s="235" t="s">
        <v>29164</v>
      </c>
      <c r="C3901" s="235" t="s">
        <v>29165</v>
      </c>
      <c r="D3901" s="235" t="s">
        <v>29166</v>
      </c>
      <c r="E3901" s="243">
        <v>6.51E13</v>
      </c>
      <c r="F3901" s="245"/>
      <c r="G3901" s="235" t="s">
        <v>29167</v>
      </c>
      <c r="H3901" s="235" t="s">
        <v>29168</v>
      </c>
      <c r="I3901" s="235" t="s">
        <v>29169</v>
      </c>
      <c r="J3901" s="235" t="s">
        <v>29170</v>
      </c>
      <c r="K3901" s="235" t="s">
        <v>29171</v>
      </c>
      <c r="N3901" s="235" t="s">
        <v>3467</v>
      </c>
      <c r="O3901" s="235" t="s">
        <v>3468</v>
      </c>
      <c r="P3901" s="238">
        <v>1.0</v>
      </c>
      <c r="Q3901" s="235" t="s">
        <v>627</v>
      </c>
      <c r="R3901" s="238">
        <v>237.14</v>
      </c>
      <c r="S3901" s="238">
        <v>11.86</v>
      </c>
      <c r="T3901" s="238">
        <v>0.0</v>
      </c>
      <c r="U3901" s="238">
        <v>0.0</v>
      </c>
      <c r="V3901" s="238">
        <v>0.0</v>
      </c>
      <c r="W3901" s="238">
        <v>0.0</v>
      </c>
      <c r="X3901" s="235" t="s">
        <v>628</v>
      </c>
      <c r="Z3901" s="245"/>
      <c r="AA3901" s="245"/>
      <c r="AB3901" s="245"/>
      <c r="AC3901" s="235" t="s">
        <v>697</v>
      </c>
      <c r="AD3901" s="235" t="s">
        <v>698</v>
      </c>
      <c r="AE3901" s="238">
        <v>500089.0</v>
      </c>
      <c r="AF3901" s="235" t="s">
        <v>631</v>
      </c>
      <c r="AG3901" s="245"/>
      <c r="AH3901" s="245"/>
      <c r="AI3901" s="245"/>
      <c r="AJ3901" s="245"/>
      <c r="AK3901" s="245"/>
      <c r="AL3901" s="245"/>
      <c r="AM3901" s="245"/>
      <c r="AN3901" s="245"/>
      <c r="AO3901" s="238">
        <v>0.0</v>
      </c>
      <c r="AP3901" s="238">
        <v>0.0</v>
      </c>
      <c r="AQ3901" s="235" t="s">
        <v>632</v>
      </c>
      <c r="AR3901" s="243">
        <v>3.71E11</v>
      </c>
      <c r="AS3901" s="235" t="s">
        <v>26892</v>
      </c>
      <c r="AT3901" s="235" t="s">
        <v>11</v>
      </c>
      <c r="AU3901" s="235" t="s">
        <v>634</v>
      </c>
      <c r="AV3901" s="246" t="s">
        <v>635</v>
      </c>
      <c r="AW3901" s="227"/>
      <c r="AX3901" s="227"/>
      <c r="AY3901" s="227"/>
      <c r="AZ3901" s="227"/>
      <c r="BA3901" s="227"/>
      <c r="BB3901" s="227"/>
      <c r="BC3901" s="227"/>
      <c r="BD3901" s="227"/>
      <c r="BE3901" s="227"/>
      <c r="BF3901" s="227"/>
    </row>
    <row r="3902">
      <c r="A3902" s="235" t="s">
        <v>29172</v>
      </c>
      <c r="C3902" s="235" t="s">
        <v>29173</v>
      </c>
      <c r="D3902" s="235" t="s">
        <v>29174</v>
      </c>
      <c r="E3902" s="243">
        <v>6.51E13</v>
      </c>
      <c r="F3902" s="245"/>
      <c r="G3902" s="235" t="s">
        <v>29175</v>
      </c>
      <c r="H3902" s="235" t="s">
        <v>29176</v>
      </c>
      <c r="I3902" s="235" t="s">
        <v>29177</v>
      </c>
      <c r="J3902" s="235" t="s">
        <v>29178</v>
      </c>
      <c r="K3902" s="235" t="s">
        <v>29179</v>
      </c>
      <c r="N3902" s="235" t="s">
        <v>10</v>
      </c>
      <c r="O3902" s="235" t="s">
        <v>936</v>
      </c>
      <c r="P3902" s="238">
        <v>1.0</v>
      </c>
      <c r="Q3902" s="235" t="s">
        <v>627</v>
      </c>
      <c r="R3902" s="238">
        <v>256.2</v>
      </c>
      <c r="S3902" s="238">
        <v>12.42</v>
      </c>
      <c r="T3902" s="238">
        <v>0.0</v>
      </c>
      <c r="U3902" s="238">
        <v>0.0</v>
      </c>
      <c r="V3902" s="238">
        <v>0.0</v>
      </c>
      <c r="W3902" s="238">
        <v>0.0</v>
      </c>
      <c r="X3902" s="235" t="s">
        <v>628</v>
      </c>
      <c r="Z3902" s="245"/>
      <c r="AA3902" s="245"/>
      <c r="AB3902" s="245"/>
      <c r="AC3902" s="235" t="s">
        <v>687</v>
      </c>
      <c r="AD3902" s="235" t="s">
        <v>666</v>
      </c>
      <c r="AE3902" s="238">
        <v>600114.0</v>
      </c>
      <c r="AF3902" s="235" t="s">
        <v>631</v>
      </c>
      <c r="AG3902" s="245"/>
      <c r="AH3902" s="245"/>
      <c r="AI3902" s="245"/>
      <c r="AJ3902" s="245"/>
      <c r="AK3902" s="245"/>
      <c r="AL3902" s="245"/>
      <c r="AM3902" s="245"/>
      <c r="AN3902" s="245"/>
      <c r="AO3902" s="238">
        <v>-7.69</v>
      </c>
      <c r="AP3902" s="238">
        <v>0.0</v>
      </c>
      <c r="AQ3902" s="235" t="s">
        <v>632</v>
      </c>
      <c r="AR3902" s="243">
        <v>1.68E11</v>
      </c>
      <c r="AS3902" s="235" t="s">
        <v>28947</v>
      </c>
      <c r="AT3902" s="235" t="s">
        <v>156</v>
      </c>
      <c r="AU3902" s="235" t="s">
        <v>634</v>
      </c>
      <c r="AV3902" s="246" t="s">
        <v>635</v>
      </c>
      <c r="AW3902" s="227"/>
      <c r="AX3902" s="227"/>
      <c r="AY3902" s="227"/>
      <c r="AZ3902" s="227"/>
      <c r="BA3902" s="227"/>
      <c r="BB3902" s="227"/>
      <c r="BC3902" s="227"/>
      <c r="BD3902" s="227"/>
      <c r="BE3902" s="227"/>
      <c r="BF3902" s="227"/>
    </row>
    <row r="3903">
      <c r="A3903" s="235" t="s">
        <v>29180</v>
      </c>
      <c r="C3903" s="235" t="s">
        <v>29181</v>
      </c>
      <c r="D3903" s="235" t="s">
        <v>29182</v>
      </c>
      <c r="E3903" s="243">
        <v>6.51E13</v>
      </c>
      <c r="F3903" s="245"/>
      <c r="G3903" s="235" t="s">
        <v>29183</v>
      </c>
      <c r="H3903" s="235" t="s">
        <v>29184</v>
      </c>
      <c r="I3903" s="235" t="s">
        <v>29184</v>
      </c>
      <c r="J3903" s="235" t="s">
        <v>29185</v>
      </c>
      <c r="K3903" s="235" t="s">
        <v>29186</v>
      </c>
      <c r="N3903" s="235" t="s">
        <v>726</v>
      </c>
      <c r="O3903" s="235" t="s">
        <v>727</v>
      </c>
      <c r="P3903" s="238">
        <v>1.0</v>
      </c>
      <c r="Q3903" s="235" t="s">
        <v>627</v>
      </c>
      <c r="R3903" s="238">
        <v>237.14</v>
      </c>
      <c r="S3903" s="238">
        <v>11.5</v>
      </c>
      <c r="T3903" s="238">
        <v>0.0</v>
      </c>
      <c r="U3903" s="238">
        <v>0.0</v>
      </c>
      <c r="V3903" s="238">
        <v>0.0</v>
      </c>
      <c r="W3903" s="238">
        <v>0.0</v>
      </c>
      <c r="X3903" s="235" t="s">
        <v>628</v>
      </c>
      <c r="Z3903" s="245"/>
      <c r="AA3903" s="245"/>
      <c r="AB3903" s="245"/>
      <c r="AC3903" s="235" t="s">
        <v>795</v>
      </c>
      <c r="AD3903" s="235" t="s">
        <v>796</v>
      </c>
      <c r="AE3903" s="238">
        <v>110095.0</v>
      </c>
      <c r="AF3903" s="235" t="s">
        <v>631</v>
      </c>
      <c r="AG3903" s="245"/>
      <c r="AH3903" s="245"/>
      <c r="AI3903" s="245"/>
      <c r="AJ3903" s="245"/>
      <c r="AK3903" s="245"/>
      <c r="AL3903" s="245"/>
      <c r="AM3903" s="245"/>
      <c r="AN3903" s="245"/>
      <c r="AO3903" s="238">
        <v>-7.11</v>
      </c>
      <c r="AP3903" s="238">
        <v>0.0</v>
      </c>
      <c r="AQ3903" s="235" t="s">
        <v>632</v>
      </c>
      <c r="AR3903" s="243">
        <v>1.68E11</v>
      </c>
      <c r="AS3903" s="235" t="s">
        <v>28947</v>
      </c>
      <c r="AT3903" s="235" t="s">
        <v>13</v>
      </c>
      <c r="AU3903" s="235" t="s">
        <v>634</v>
      </c>
      <c r="AV3903" s="246" t="s">
        <v>635</v>
      </c>
      <c r="AW3903" s="227"/>
      <c r="AX3903" s="227"/>
      <c r="AY3903" s="227"/>
      <c r="AZ3903" s="227"/>
      <c r="BA3903" s="227"/>
      <c r="BB3903" s="227"/>
      <c r="BC3903" s="227"/>
      <c r="BD3903" s="227"/>
      <c r="BE3903" s="227"/>
      <c r="BF3903" s="227"/>
    </row>
    <row r="3904">
      <c r="A3904" s="235" t="s">
        <v>29187</v>
      </c>
      <c r="C3904" s="235" t="s">
        <v>29188</v>
      </c>
      <c r="D3904" s="235" t="s">
        <v>29189</v>
      </c>
      <c r="E3904" s="243">
        <v>6.51E13</v>
      </c>
      <c r="F3904" s="245"/>
      <c r="G3904" s="235" t="s">
        <v>29190</v>
      </c>
      <c r="H3904" s="235" t="s">
        <v>29191</v>
      </c>
      <c r="I3904" s="235" t="s">
        <v>29192</v>
      </c>
      <c r="J3904" s="235" t="s">
        <v>29193</v>
      </c>
      <c r="K3904" s="235" t="s">
        <v>13898</v>
      </c>
      <c r="N3904" s="235" t="s">
        <v>139</v>
      </c>
      <c r="O3904" s="235" t="s">
        <v>2091</v>
      </c>
      <c r="P3904" s="238">
        <v>1.0</v>
      </c>
      <c r="Q3904" s="235" t="s">
        <v>627</v>
      </c>
      <c r="R3904" s="238">
        <v>233.34</v>
      </c>
      <c r="S3904" s="238">
        <v>11.43</v>
      </c>
      <c r="T3904" s="238">
        <v>0.0</v>
      </c>
      <c r="U3904" s="238">
        <v>0.0</v>
      </c>
      <c r="V3904" s="238">
        <v>0.0</v>
      </c>
      <c r="W3904" s="238">
        <v>0.0</v>
      </c>
      <c r="X3904" s="235" t="s">
        <v>628</v>
      </c>
      <c r="Z3904" s="245"/>
      <c r="AA3904" s="245"/>
      <c r="AB3904" s="245"/>
      <c r="AC3904" s="235" t="s">
        <v>5091</v>
      </c>
      <c r="AD3904" s="235" t="s">
        <v>845</v>
      </c>
      <c r="AE3904" s="238">
        <v>440017.0</v>
      </c>
      <c r="AF3904" s="235" t="s">
        <v>631</v>
      </c>
      <c r="AG3904" s="245"/>
      <c r="AH3904" s="245"/>
      <c r="AI3904" s="245"/>
      <c r="AJ3904" s="245"/>
      <c r="AK3904" s="245"/>
      <c r="AL3904" s="245"/>
      <c r="AM3904" s="245"/>
      <c r="AN3904" s="245"/>
      <c r="AO3904" s="238">
        <v>-4.67</v>
      </c>
      <c r="AP3904" s="238">
        <v>0.0</v>
      </c>
      <c r="AQ3904" s="235" t="s">
        <v>632</v>
      </c>
      <c r="AR3904" s="243">
        <v>3.71E11</v>
      </c>
      <c r="AS3904" s="235" t="s">
        <v>25098</v>
      </c>
      <c r="AT3904" s="235" t="s">
        <v>17</v>
      </c>
      <c r="AU3904" s="235" t="s">
        <v>634</v>
      </c>
      <c r="AV3904" s="246" t="s">
        <v>635</v>
      </c>
      <c r="AW3904" s="227"/>
      <c r="AX3904" s="227"/>
      <c r="AY3904" s="227"/>
      <c r="AZ3904" s="227"/>
      <c r="BA3904" s="227"/>
      <c r="BB3904" s="227"/>
      <c r="BC3904" s="227"/>
      <c r="BD3904" s="227"/>
      <c r="BE3904" s="227"/>
      <c r="BF3904" s="227"/>
    </row>
    <row r="3905">
      <c r="A3905" s="235" t="s">
        <v>28537</v>
      </c>
      <c r="C3905" s="235" t="s">
        <v>29194</v>
      </c>
      <c r="D3905" s="235" t="s">
        <v>29195</v>
      </c>
      <c r="E3905" s="243">
        <v>6.51E13</v>
      </c>
      <c r="F3905" s="245"/>
      <c r="G3905" s="235" t="s">
        <v>28540</v>
      </c>
      <c r="H3905" s="235" t="s">
        <v>29196</v>
      </c>
      <c r="I3905" s="235" t="s">
        <v>29196</v>
      </c>
      <c r="J3905" s="235" t="s">
        <v>29197</v>
      </c>
      <c r="K3905" s="235" t="s">
        <v>28543</v>
      </c>
      <c r="N3905" s="235" t="s">
        <v>144</v>
      </c>
      <c r="O3905" s="235" t="s">
        <v>232</v>
      </c>
      <c r="P3905" s="238">
        <v>1.0</v>
      </c>
      <c r="Q3905" s="235" t="s">
        <v>627</v>
      </c>
      <c r="R3905" s="238">
        <v>626.66</v>
      </c>
      <c r="S3905" s="238">
        <v>30.4</v>
      </c>
      <c r="T3905" s="238">
        <v>0.0</v>
      </c>
      <c r="U3905" s="238">
        <v>0.0</v>
      </c>
      <c r="V3905" s="238">
        <v>0.0</v>
      </c>
      <c r="W3905" s="238">
        <v>0.0</v>
      </c>
      <c r="X3905" s="235" t="s">
        <v>628</v>
      </c>
      <c r="Z3905" s="245"/>
      <c r="AA3905" s="245"/>
      <c r="AB3905" s="245"/>
      <c r="AC3905" s="235" t="s">
        <v>844</v>
      </c>
      <c r="AD3905" s="235" t="s">
        <v>845</v>
      </c>
      <c r="AE3905" s="238">
        <v>411045.0</v>
      </c>
      <c r="AF3905" s="235" t="s">
        <v>631</v>
      </c>
      <c r="AG3905" s="245"/>
      <c r="AH3905" s="245"/>
      <c r="AI3905" s="245"/>
      <c r="AJ3905" s="245"/>
      <c r="AK3905" s="245"/>
      <c r="AL3905" s="245"/>
      <c r="AM3905" s="245"/>
      <c r="AN3905" s="245"/>
      <c r="AO3905" s="238">
        <v>-18.8</v>
      </c>
      <c r="AP3905" s="238">
        <v>0.0</v>
      </c>
      <c r="AQ3905" s="235" t="s">
        <v>632</v>
      </c>
      <c r="AR3905" s="243">
        <v>3.71E11</v>
      </c>
      <c r="AS3905" s="235" t="s">
        <v>28482</v>
      </c>
      <c r="AT3905" s="235" t="s">
        <v>546</v>
      </c>
      <c r="AU3905" s="235" t="s">
        <v>634</v>
      </c>
      <c r="AV3905" s="246" t="s">
        <v>635</v>
      </c>
      <c r="AW3905" s="227"/>
      <c r="AX3905" s="227"/>
      <c r="AY3905" s="227"/>
      <c r="AZ3905" s="227"/>
      <c r="BA3905" s="227"/>
      <c r="BB3905" s="227"/>
      <c r="BC3905" s="227"/>
      <c r="BD3905" s="227"/>
      <c r="BE3905" s="227"/>
      <c r="BF3905" s="227"/>
    </row>
    <row r="3906">
      <c r="A3906" s="235" t="s">
        <v>29198</v>
      </c>
      <c r="C3906" s="235" t="s">
        <v>29199</v>
      </c>
      <c r="D3906" s="235" t="s">
        <v>29200</v>
      </c>
      <c r="E3906" s="243">
        <v>6.51E13</v>
      </c>
      <c r="F3906" s="245"/>
      <c r="G3906" s="235" t="s">
        <v>29201</v>
      </c>
      <c r="H3906" s="235" t="s">
        <v>29202</v>
      </c>
      <c r="I3906" s="235" t="s">
        <v>29203</v>
      </c>
      <c r="J3906" s="235" t="s">
        <v>29204</v>
      </c>
      <c r="K3906" s="235" t="s">
        <v>29205</v>
      </c>
      <c r="N3906" s="235" t="s">
        <v>104</v>
      </c>
      <c r="O3906" s="235" t="s">
        <v>401</v>
      </c>
      <c r="P3906" s="238">
        <v>1.0</v>
      </c>
      <c r="Q3906" s="235" t="s">
        <v>627</v>
      </c>
      <c r="R3906" s="238">
        <v>237.14</v>
      </c>
      <c r="S3906" s="238">
        <v>11.62</v>
      </c>
      <c r="T3906" s="238">
        <v>0.0</v>
      </c>
      <c r="U3906" s="238">
        <v>0.0</v>
      </c>
      <c r="V3906" s="238">
        <v>0.0</v>
      </c>
      <c r="W3906" s="238">
        <v>0.0</v>
      </c>
      <c r="X3906" s="235" t="s">
        <v>628</v>
      </c>
      <c r="Z3906" s="245"/>
      <c r="AA3906" s="245"/>
      <c r="AB3906" s="245"/>
      <c r="AC3906" s="235" t="s">
        <v>2092</v>
      </c>
      <c r="AD3906" s="235" t="s">
        <v>845</v>
      </c>
      <c r="AE3906" s="238">
        <v>412207.0</v>
      </c>
      <c r="AF3906" s="235" t="s">
        <v>631</v>
      </c>
      <c r="AG3906" s="245"/>
      <c r="AH3906" s="245"/>
      <c r="AI3906" s="245"/>
      <c r="AJ3906" s="245"/>
      <c r="AK3906" s="245"/>
      <c r="AL3906" s="245"/>
      <c r="AM3906" s="245"/>
      <c r="AN3906" s="245"/>
      <c r="AO3906" s="238">
        <v>-4.74</v>
      </c>
      <c r="AP3906" s="238">
        <v>0.0</v>
      </c>
      <c r="AQ3906" s="235" t="s">
        <v>632</v>
      </c>
      <c r="AR3906" s="243">
        <v>1.68E11</v>
      </c>
      <c r="AS3906" s="235" t="s">
        <v>28482</v>
      </c>
      <c r="AT3906" s="235" t="s">
        <v>17</v>
      </c>
      <c r="AU3906" s="235" t="s">
        <v>634</v>
      </c>
      <c r="AV3906" s="246" t="s">
        <v>635</v>
      </c>
      <c r="AW3906" s="227"/>
      <c r="AX3906" s="227"/>
      <c r="AY3906" s="227"/>
      <c r="AZ3906" s="227"/>
      <c r="BA3906" s="227"/>
      <c r="BB3906" s="227"/>
      <c r="BC3906" s="227"/>
      <c r="BD3906" s="227"/>
      <c r="BE3906" s="227"/>
      <c r="BF3906" s="227"/>
    </row>
    <row r="3907">
      <c r="A3907" s="235" t="s">
        <v>29206</v>
      </c>
      <c r="C3907" s="235" t="s">
        <v>29207</v>
      </c>
      <c r="D3907" s="235" t="s">
        <v>29208</v>
      </c>
      <c r="E3907" s="243">
        <v>6.51E13</v>
      </c>
      <c r="F3907" s="245"/>
      <c r="G3907" s="235" t="s">
        <v>29209</v>
      </c>
      <c r="H3907" s="235" t="s">
        <v>29210</v>
      </c>
      <c r="I3907" s="235" t="s">
        <v>29211</v>
      </c>
      <c r="J3907" s="235" t="s">
        <v>29212</v>
      </c>
      <c r="K3907" s="235" t="s">
        <v>29213</v>
      </c>
      <c r="N3907" s="235" t="s">
        <v>541</v>
      </c>
      <c r="O3907" s="235" t="s">
        <v>664</v>
      </c>
      <c r="P3907" s="238">
        <v>1.0</v>
      </c>
      <c r="Q3907" s="235" t="s">
        <v>627</v>
      </c>
      <c r="R3907" s="238">
        <v>668.64</v>
      </c>
      <c r="S3907" s="238">
        <v>120.36</v>
      </c>
      <c r="T3907" s="238">
        <v>0.0</v>
      </c>
      <c r="U3907" s="238">
        <v>0.0</v>
      </c>
      <c r="V3907" s="238">
        <v>0.0</v>
      </c>
      <c r="W3907" s="238">
        <v>0.0</v>
      </c>
      <c r="X3907" s="235" t="s">
        <v>628</v>
      </c>
      <c r="Z3907" s="245"/>
      <c r="AA3907" s="245"/>
      <c r="AB3907" s="245"/>
      <c r="AC3907" s="235" t="s">
        <v>1456</v>
      </c>
      <c r="AD3907" s="235" t="s">
        <v>928</v>
      </c>
      <c r="AE3907" s="238">
        <v>122017.0</v>
      </c>
      <c r="AF3907" s="235" t="s">
        <v>631</v>
      </c>
      <c r="AG3907" s="245"/>
      <c r="AH3907" s="245"/>
      <c r="AI3907" s="245"/>
      <c r="AJ3907" s="245"/>
      <c r="AK3907" s="245"/>
      <c r="AL3907" s="245"/>
      <c r="AM3907" s="245"/>
      <c r="AN3907" s="245"/>
      <c r="AO3907" s="238">
        <v>0.0</v>
      </c>
      <c r="AP3907" s="238">
        <v>0.0</v>
      </c>
      <c r="AQ3907" s="235" t="s">
        <v>632</v>
      </c>
      <c r="AR3907" s="243">
        <v>1.68E11</v>
      </c>
      <c r="AS3907" s="235" t="s">
        <v>28947</v>
      </c>
      <c r="AT3907" s="235" t="s">
        <v>14</v>
      </c>
      <c r="AU3907" s="235" t="s">
        <v>634</v>
      </c>
      <c r="AV3907" s="246" t="s">
        <v>635</v>
      </c>
      <c r="AW3907" s="227"/>
      <c r="AX3907" s="227"/>
      <c r="AY3907" s="227"/>
      <c r="AZ3907" s="227"/>
      <c r="BA3907" s="227"/>
      <c r="BB3907" s="227"/>
      <c r="BC3907" s="227"/>
      <c r="BD3907" s="227"/>
      <c r="BE3907" s="227"/>
      <c r="BF3907" s="227"/>
    </row>
    <row r="3908">
      <c r="A3908" s="235" t="s">
        <v>29214</v>
      </c>
      <c r="C3908" s="235" t="s">
        <v>29215</v>
      </c>
      <c r="D3908" s="235" t="s">
        <v>29216</v>
      </c>
      <c r="E3908" s="243">
        <v>6.51E13</v>
      </c>
      <c r="F3908" s="245"/>
      <c r="G3908" s="235" t="s">
        <v>29217</v>
      </c>
      <c r="H3908" s="235" t="s">
        <v>29218</v>
      </c>
      <c r="I3908" s="235" t="s">
        <v>29218</v>
      </c>
      <c r="J3908" s="235" t="s">
        <v>29219</v>
      </c>
      <c r="K3908" s="235" t="s">
        <v>29220</v>
      </c>
      <c r="N3908" s="235" t="s">
        <v>127</v>
      </c>
      <c r="O3908" s="235" t="s">
        <v>794</v>
      </c>
      <c r="P3908" s="238">
        <v>1.0</v>
      </c>
      <c r="Q3908" s="235" t="s">
        <v>627</v>
      </c>
      <c r="R3908" s="238">
        <v>236.19</v>
      </c>
      <c r="S3908" s="238">
        <v>11.81</v>
      </c>
      <c r="T3908" s="238">
        <v>0.0</v>
      </c>
      <c r="U3908" s="238">
        <v>0.0</v>
      </c>
      <c r="V3908" s="238">
        <v>0.0</v>
      </c>
      <c r="W3908" s="238">
        <v>0.0</v>
      </c>
      <c r="X3908" s="235" t="s">
        <v>628</v>
      </c>
      <c r="Z3908" s="245"/>
      <c r="AA3908" s="245"/>
      <c r="AB3908" s="245"/>
      <c r="AC3908" s="235" t="s">
        <v>1887</v>
      </c>
      <c r="AD3908" s="235" t="s">
        <v>679</v>
      </c>
      <c r="AE3908" s="238">
        <v>560078.0</v>
      </c>
      <c r="AF3908" s="235" t="s">
        <v>631</v>
      </c>
      <c r="AG3908" s="245"/>
      <c r="AH3908" s="245"/>
      <c r="AI3908" s="245"/>
      <c r="AJ3908" s="245"/>
      <c r="AK3908" s="245"/>
      <c r="AL3908" s="245"/>
      <c r="AM3908" s="245"/>
      <c r="AN3908" s="245"/>
      <c r="AO3908" s="238">
        <v>0.0</v>
      </c>
      <c r="AP3908" s="238">
        <v>0.0</v>
      </c>
      <c r="AQ3908" s="235" t="s">
        <v>632</v>
      </c>
      <c r="AR3908" s="243">
        <v>2.02E11</v>
      </c>
      <c r="AS3908" s="235" t="s">
        <v>28482</v>
      </c>
      <c r="AT3908" s="235" t="s">
        <v>16</v>
      </c>
      <c r="AU3908" s="235" t="s">
        <v>634</v>
      </c>
      <c r="AV3908" s="246" t="s">
        <v>635</v>
      </c>
      <c r="AW3908" s="227"/>
      <c r="AX3908" s="227"/>
      <c r="AY3908" s="227"/>
      <c r="AZ3908" s="227"/>
      <c r="BA3908" s="227"/>
      <c r="BB3908" s="227"/>
      <c r="BC3908" s="227"/>
      <c r="BD3908" s="227"/>
      <c r="BE3908" s="227"/>
      <c r="BF3908" s="227"/>
    </row>
    <row r="3909">
      <c r="A3909" s="235" t="s">
        <v>29221</v>
      </c>
      <c r="C3909" s="235" t="s">
        <v>29222</v>
      </c>
      <c r="D3909" s="235" t="s">
        <v>29223</v>
      </c>
      <c r="E3909" s="243">
        <v>6.51E13</v>
      </c>
      <c r="F3909" s="245"/>
      <c r="G3909" s="235" t="s">
        <v>29224</v>
      </c>
      <c r="H3909" s="235" t="s">
        <v>29225</v>
      </c>
      <c r="I3909" s="235" t="s">
        <v>29225</v>
      </c>
      <c r="J3909" s="235" t="s">
        <v>29226</v>
      </c>
      <c r="K3909" s="235" t="s">
        <v>29227</v>
      </c>
      <c r="N3909" s="235" t="s">
        <v>138</v>
      </c>
      <c r="O3909" s="235" t="s">
        <v>675</v>
      </c>
      <c r="P3909" s="238">
        <v>1.0</v>
      </c>
      <c r="Q3909" s="235" t="s">
        <v>627</v>
      </c>
      <c r="R3909" s="238">
        <v>233.34</v>
      </c>
      <c r="S3909" s="238">
        <v>11.43</v>
      </c>
      <c r="T3909" s="238">
        <v>0.0</v>
      </c>
      <c r="U3909" s="238">
        <v>0.0</v>
      </c>
      <c r="V3909" s="238">
        <v>0.0</v>
      </c>
      <c r="W3909" s="238">
        <v>0.0</v>
      </c>
      <c r="X3909" s="235" t="s">
        <v>628</v>
      </c>
      <c r="Z3909" s="245"/>
      <c r="AA3909" s="245"/>
      <c r="AB3909" s="245"/>
      <c r="AC3909" s="235" t="s">
        <v>687</v>
      </c>
      <c r="AD3909" s="235" t="s">
        <v>666</v>
      </c>
      <c r="AE3909" s="238">
        <v>600053.0</v>
      </c>
      <c r="AF3909" s="235" t="s">
        <v>631</v>
      </c>
      <c r="AG3909" s="245"/>
      <c r="AH3909" s="245"/>
      <c r="AI3909" s="245"/>
      <c r="AJ3909" s="245"/>
      <c r="AK3909" s="245"/>
      <c r="AL3909" s="245"/>
      <c r="AM3909" s="245"/>
      <c r="AN3909" s="245"/>
      <c r="AO3909" s="238">
        <v>-4.67</v>
      </c>
      <c r="AP3909" s="238">
        <v>0.0</v>
      </c>
      <c r="AQ3909" s="235" t="s">
        <v>632</v>
      </c>
      <c r="AR3909" s="243">
        <v>1.68E11</v>
      </c>
      <c r="AS3909" s="235" t="s">
        <v>28947</v>
      </c>
      <c r="AT3909" s="235" t="s">
        <v>156</v>
      </c>
      <c r="AU3909" s="235" t="s">
        <v>634</v>
      </c>
      <c r="AV3909" s="246" t="s">
        <v>635</v>
      </c>
      <c r="AW3909" s="227"/>
      <c r="AX3909" s="227"/>
      <c r="AY3909" s="227"/>
      <c r="AZ3909" s="227"/>
      <c r="BA3909" s="227"/>
      <c r="BB3909" s="227"/>
      <c r="BC3909" s="227"/>
      <c r="BD3909" s="227"/>
      <c r="BE3909" s="227"/>
      <c r="BF3909" s="227"/>
    </row>
    <row r="3910">
      <c r="A3910" s="235" t="s">
        <v>29228</v>
      </c>
      <c r="C3910" s="235" t="s">
        <v>29229</v>
      </c>
      <c r="D3910" s="235" t="s">
        <v>29230</v>
      </c>
      <c r="E3910" s="243">
        <v>6.51E13</v>
      </c>
      <c r="F3910" s="245"/>
      <c r="G3910" s="235" t="s">
        <v>29231</v>
      </c>
      <c r="H3910" s="235" t="s">
        <v>29232</v>
      </c>
      <c r="I3910" s="235" t="s">
        <v>29232</v>
      </c>
      <c r="J3910" s="235" t="s">
        <v>29233</v>
      </c>
      <c r="K3910" s="235" t="s">
        <v>29234</v>
      </c>
      <c r="N3910" s="235" t="s">
        <v>130</v>
      </c>
      <c r="O3910" s="235" t="s">
        <v>707</v>
      </c>
      <c r="P3910" s="238">
        <v>1.0</v>
      </c>
      <c r="Q3910" s="235" t="s">
        <v>627</v>
      </c>
      <c r="R3910" s="238">
        <v>232.38</v>
      </c>
      <c r="S3910" s="238">
        <v>11.28</v>
      </c>
      <c r="T3910" s="238">
        <v>0.0</v>
      </c>
      <c r="U3910" s="238">
        <v>0.0</v>
      </c>
      <c r="V3910" s="238">
        <v>0.0</v>
      </c>
      <c r="W3910" s="238">
        <v>0.0</v>
      </c>
      <c r="X3910" s="235" t="s">
        <v>628</v>
      </c>
      <c r="Z3910" s="245"/>
      <c r="AA3910" s="245"/>
      <c r="AB3910" s="245"/>
      <c r="AC3910" s="235" t="s">
        <v>16678</v>
      </c>
      <c r="AD3910" s="235" t="s">
        <v>666</v>
      </c>
      <c r="AE3910" s="238">
        <v>632503.0</v>
      </c>
      <c r="AF3910" s="235" t="s">
        <v>631</v>
      </c>
      <c r="AG3910" s="245"/>
      <c r="AH3910" s="245"/>
      <c r="AI3910" s="245"/>
      <c r="AJ3910" s="245"/>
      <c r="AK3910" s="245"/>
      <c r="AL3910" s="245"/>
      <c r="AM3910" s="245"/>
      <c r="AN3910" s="245"/>
      <c r="AO3910" s="238">
        <v>-6.98</v>
      </c>
      <c r="AP3910" s="238">
        <v>0.0</v>
      </c>
      <c r="AQ3910" s="235" t="s">
        <v>632</v>
      </c>
      <c r="AR3910" s="243">
        <v>1.68E11</v>
      </c>
      <c r="AS3910" s="235" t="s">
        <v>28482</v>
      </c>
      <c r="AT3910" s="235" t="s">
        <v>156</v>
      </c>
      <c r="AU3910" s="235" t="s">
        <v>634</v>
      </c>
      <c r="AV3910" s="246" t="s">
        <v>635</v>
      </c>
      <c r="AW3910" s="227"/>
      <c r="AX3910" s="227"/>
      <c r="AY3910" s="227"/>
      <c r="AZ3910" s="227"/>
      <c r="BA3910" s="227"/>
      <c r="BB3910" s="227"/>
      <c r="BC3910" s="227"/>
      <c r="BD3910" s="227"/>
      <c r="BE3910" s="227"/>
      <c r="BF3910" s="227"/>
    </row>
    <row r="3911">
      <c r="A3911" s="235" t="s">
        <v>29235</v>
      </c>
      <c r="C3911" s="235" t="s">
        <v>29236</v>
      </c>
      <c r="D3911" s="235" t="s">
        <v>29237</v>
      </c>
      <c r="E3911" s="243">
        <v>6.51E13</v>
      </c>
      <c r="F3911" s="245"/>
      <c r="G3911" s="235" t="s">
        <v>29238</v>
      </c>
      <c r="H3911" s="235" t="s">
        <v>29239</v>
      </c>
      <c r="I3911" s="235" t="s">
        <v>29239</v>
      </c>
      <c r="J3911" s="235" t="s">
        <v>29240</v>
      </c>
      <c r="K3911" s="235" t="s">
        <v>29241</v>
      </c>
      <c r="N3911" s="235" t="s">
        <v>110</v>
      </c>
      <c r="O3911" s="235" t="s">
        <v>364</v>
      </c>
      <c r="P3911" s="238">
        <v>1.0</v>
      </c>
      <c r="Q3911" s="235" t="s">
        <v>627</v>
      </c>
      <c r="R3911" s="238">
        <v>237.14</v>
      </c>
      <c r="S3911" s="238">
        <v>11.86</v>
      </c>
      <c r="T3911" s="238">
        <v>0.0</v>
      </c>
      <c r="U3911" s="238">
        <v>0.0</v>
      </c>
      <c r="V3911" s="238">
        <v>0.0</v>
      </c>
      <c r="W3911" s="238">
        <v>0.0</v>
      </c>
      <c r="X3911" s="235" t="s">
        <v>628</v>
      </c>
      <c r="Z3911" s="245"/>
      <c r="AA3911" s="245"/>
      <c r="AB3911" s="245"/>
      <c r="AC3911" s="235" t="s">
        <v>687</v>
      </c>
      <c r="AD3911" s="235" t="s">
        <v>666</v>
      </c>
      <c r="AE3911" s="238">
        <v>600087.0</v>
      </c>
      <c r="AF3911" s="235" t="s">
        <v>631</v>
      </c>
      <c r="AG3911" s="245"/>
      <c r="AH3911" s="245"/>
      <c r="AI3911" s="245"/>
      <c r="AJ3911" s="245"/>
      <c r="AK3911" s="245"/>
      <c r="AL3911" s="245"/>
      <c r="AM3911" s="245"/>
      <c r="AN3911" s="245"/>
      <c r="AO3911" s="238">
        <v>0.0</v>
      </c>
      <c r="AP3911" s="238">
        <v>0.0</v>
      </c>
      <c r="AQ3911" s="235" t="s">
        <v>632</v>
      </c>
      <c r="AR3911" s="243">
        <v>3.71E11</v>
      </c>
      <c r="AS3911" s="235" t="s">
        <v>28482</v>
      </c>
      <c r="AT3911" s="235" t="s">
        <v>156</v>
      </c>
      <c r="AU3911" s="235" t="s">
        <v>634</v>
      </c>
      <c r="AV3911" s="246" t="s">
        <v>635</v>
      </c>
      <c r="AW3911" s="227"/>
      <c r="AX3911" s="227"/>
      <c r="AY3911" s="227"/>
      <c r="AZ3911" s="227"/>
      <c r="BA3911" s="227"/>
      <c r="BB3911" s="227"/>
      <c r="BC3911" s="227"/>
      <c r="BD3911" s="227"/>
      <c r="BE3911" s="227"/>
      <c r="BF3911" s="227"/>
    </row>
    <row r="3912">
      <c r="A3912" s="235" t="s">
        <v>29242</v>
      </c>
      <c r="C3912" s="235" t="s">
        <v>29243</v>
      </c>
      <c r="D3912" s="235" t="s">
        <v>29244</v>
      </c>
      <c r="E3912" s="243">
        <v>6.51E13</v>
      </c>
      <c r="F3912" s="245"/>
      <c r="G3912" s="235" t="s">
        <v>29245</v>
      </c>
      <c r="H3912" s="235" t="s">
        <v>29246</v>
      </c>
      <c r="I3912" s="235" t="s">
        <v>29247</v>
      </c>
      <c r="J3912" s="235" t="s">
        <v>29248</v>
      </c>
      <c r="K3912" s="235" t="s">
        <v>29249</v>
      </c>
      <c r="N3912" s="235" t="s">
        <v>962</v>
      </c>
      <c r="O3912" s="235" t="s">
        <v>963</v>
      </c>
      <c r="P3912" s="238">
        <v>1.0</v>
      </c>
      <c r="Q3912" s="235" t="s">
        <v>627</v>
      </c>
      <c r="R3912" s="238">
        <v>237.14</v>
      </c>
      <c r="S3912" s="238">
        <v>11.86</v>
      </c>
      <c r="T3912" s="238">
        <v>0.0</v>
      </c>
      <c r="U3912" s="238">
        <v>0.0</v>
      </c>
      <c r="V3912" s="238">
        <v>0.0</v>
      </c>
      <c r="W3912" s="238">
        <v>0.0</v>
      </c>
      <c r="X3912" s="235" t="s">
        <v>628</v>
      </c>
      <c r="Z3912" s="245"/>
      <c r="AA3912" s="245"/>
      <c r="AB3912" s="245"/>
      <c r="AC3912" s="235" t="s">
        <v>1604</v>
      </c>
      <c r="AD3912" s="235" t="s">
        <v>845</v>
      </c>
      <c r="AE3912" s="238">
        <v>400068.0</v>
      </c>
      <c r="AF3912" s="235" t="s">
        <v>631</v>
      </c>
      <c r="AG3912" s="245"/>
      <c r="AH3912" s="245"/>
      <c r="AI3912" s="245"/>
      <c r="AJ3912" s="245"/>
      <c r="AK3912" s="245"/>
      <c r="AL3912" s="245"/>
      <c r="AM3912" s="245"/>
      <c r="AN3912" s="245"/>
      <c r="AO3912" s="238">
        <v>0.0</v>
      </c>
      <c r="AP3912" s="238">
        <v>0.0</v>
      </c>
      <c r="AQ3912" s="235" t="s">
        <v>632</v>
      </c>
      <c r="AR3912" s="243">
        <v>3.71E11</v>
      </c>
      <c r="AS3912" s="235" t="s">
        <v>28482</v>
      </c>
      <c r="AT3912" s="235" t="s">
        <v>17</v>
      </c>
      <c r="AU3912" s="235" t="s">
        <v>634</v>
      </c>
      <c r="AV3912" s="246" t="s">
        <v>635</v>
      </c>
      <c r="AW3912" s="227"/>
      <c r="AX3912" s="227"/>
      <c r="AY3912" s="227"/>
      <c r="AZ3912" s="227"/>
      <c r="BA3912" s="227"/>
      <c r="BB3912" s="227"/>
      <c r="BC3912" s="227"/>
      <c r="BD3912" s="227"/>
      <c r="BE3912" s="227"/>
      <c r="BF3912" s="227"/>
    </row>
    <row r="3913">
      <c r="A3913" s="235" t="s">
        <v>29250</v>
      </c>
      <c r="C3913" s="235" t="s">
        <v>29251</v>
      </c>
      <c r="D3913" s="235" t="s">
        <v>29252</v>
      </c>
      <c r="E3913" s="243">
        <v>6.51E13</v>
      </c>
      <c r="F3913" s="245"/>
      <c r="G3913" s="235" t="s">
        <v>29253</v>
      </c>
      <c r="H3913" s="235" t="s">
        <v>29254</v>
      </c>
      <c r="I3913" s="235" t="s">
        <v>29254</v>
      </c>
      <c r="J3913" s="235" t="s">
        <v>29255</v>
      </c>
      <c r="K3913" s="235" t="s">
        <v>20143</v>
      </c>
      <c r="N3913" s="235" t="s">
        <v>154</v>
      </c>
      <c r="O3913" s="235" t="s">
        <v>766</v>
      </c>
      <c r="P3913" s="238">
        <v>1.0</v>
      </c>
      <c r="Q3913" s="235" t="s">
        <v>627</v>
      </c>
      <c r="R3913" s="238">
        <v>423.8</v>
      </c>
      <c r="S3913" s="238">
        <v>20.56</v>
      </c>
      <c r="T3913" s="238">
        <v>0.0</v>
      </c>
      <c r="U3913" s="238">
        <v>0.0</v>
      </c>
      <c r="V3913" s="238">
        <v>0.0</v>
      </c>
      <c r="W3913" s="238">
        <v>0.0</v>
      </c>
      <c r="X3913" s="235" t="s">
        <v>628</v>
      </c>
      <c r="Z3913" s="245"/>
      <c r="AA3913" s="245"/>
      <c r="AB3913" s="245"/>
      <c r="AC3913" s="235" t="s">
        <v>1320</v>
      </c>
      <c r="AD3913" s="235" t="s">
        <v>666</v>
      </c>
      <c r="AE3913" s="238">
        <v>600119.0</v>
      </c>
      <c r="AF3913" s="235" t="s">
        <v>631</v>
      </c>
      <c r="AG3913" s="245"/>
      <c r="AH3913" s="245"/>
      <c r="AI3913" s="245"/>
      <c r="AJ3913" s="245"/>
      <c r="AK3913" s="245"/>
      <c r="AL3913" s="245"/>
      <c r="AM3913" s="245"/>
      <c r="AN3913" s="245"/>
      <c r="AO3913" s="238">
        <v>-12.71</v>
      </c>
      <c r="AP3913" s="238">
        <v>0.0</v>
      </c>
      <c r="AQ3913" s="235" t="s">
        <v>632</v>
      </c>
      <c r="AR3913" s="243">
        <v>3.71E11</v>
      </c>
      <c r="AS3913" s="235" t="s">
        <v>28482</v>
      </c>
      <c r="AT3913" s="235" t="s">
        <v>156</v>
      </c>
      <c r="AU3913" s="235" t="s">
        <v>634</v>
      </c>
      <c r="AV3913" s="246" t="s">
        <v>635</v>
      </c>
      <c r="AW3913" s="227"/>
      <c r="AX3913" s="227"/>
      <c r="AY3913" s="227"/>
      <c r="AZ3913" s="227"/>
      <c r="BA3913" s="227"/>
      <c r="BB3913" s="227"/>
      <c r="BC3913" s="227"/>
      <c r="BD3913" s="227"/>
      <c r="BE3913" s="227"/>
      <c r="BF3913" s="227"/>
    </row>
    <row r="3914">
      <c r="A3914" s="235" t="s">
        <v>29256</v>
      </c>
      <c r="C3914" s="235" t="s">
        <v>29257</v>
      </c>
      <c r="D3914" s="235" t="s">
        <v>29258</v>
      </c>
      <c r="E3914" s="243">
        <v>6.51E13</v>
      </c>
      <c r="F3914" s="245"/>
      <c r="G3914" s="235" t="s">
        <v>29259</v>
      </c>
      <c r="H3914" s="235" t="s">
        <v>29260</v>
      </c>
      <c r="I3914" s="235" t="s">
        <v>29260</v>
      </c>
      <c r="J3914" s="235" t="s">
        <v>29261</v>
      </c>
      <c r="K3914" s="235" t="s">
        <v>29262</v>
      </c>
      <c r="N3914" s="235" t="s">
        <v>962</v>
      </c>
      <c r="O3914" s="235" t="s">
        <v>963</v>
      </c>
      <c r="P3914" s="238">
        <v>1.0</v>
      </c>
      <c r="Q3914" s="235" t="s">
        <v>627</v>
      </c>
      <c r="R3914" s="238">
        <v>237.14</v>
      </c>
      <c r="S3914" s="238">
        <v>11.86</v>
      </c>
      <c r="T3914" s="238">
        <v>0.0</v>
      </c>
      <c r="U3914" s="238">
        <v>0.0</v>
      </c>
      <c r="V3914" s="238">
        <v>0.0</v>
      </c>
      <c r="W3914" s="238">
        <v>0.0</v>
      </c>
      <c r="X3914" s="235" t="s">
        <v>628</v>
      </c>
      <c r="Z3914" s="245"/>
      <c r="AA3914" s="245"/>
      <c r="AB3914" s="245"/>
      <c r="AC3914" s="235" t="s">
        <v>697</v>
      </c>
      <c r="AD3914" s="235" t="s">
        <v>698</v>
      </c>
      <c r="AE3914" s="238">
        <v>500087.0</v>
      </c>
      <c r="AF3914" s="235" t="s">
        <v>631</v>
      </c>
      <c r="AG3914" s="245"/>
      <c r="AH3914" s="245"/>
      <c r="AI3914" s="245"/>
      <c r="AJ3914" s="245"/>
      <c r="AK3914" s="245"/>
      <c r="AL3914" s="245"/>
      <c r="AM3914" s="245"/>
      <c r="AN3914" s="245"/>
      <c r="AO3914" s="238">
        <v>0.0</v>
      </c>
      <c r="AP3914" s="238">
        <v>0.0</v>
      </c>
      <c r="AQ3914" s="235" t="s">
        <v>632</v>
      </c>
      <c r="AR3914" s="243">
        <v>3.71E11</v>
      </c>
      <c r="AS3914" s="235" t="s">
        <v>26892</v>
      </c>
      <c r="AT3914" s="235" t="s">
        <v>546</v>
      </c>
      <c r="AU3914" s="235" t="s">
        <v>634</v>
      </c>
      <c r="AV3914" s="246" t="s">
        <v>635</v>
      </c>
      <c r="AW3914" s="227"/>
      <c r="AX3914" s="227"/>
      <c r="AY3914" s="227"/>
      <c r="AZ3914" s="227"/>
      <c r="BA3914" s="227"/>
      <c r="BB3914" s="227"/>
      <c r="BC3914" s="227"/>
      <c r="BD3914" s="227"/>
      <c r="BE3914" s="227"/>
      <c r="BF3914" s="227"/>
    </row>
    <row r="3915">
      <c r="A3915" s="235" t="s">
        <v>29263</v>
      </c>
      <c r="C3915" s="235" t="s">
        <v>29264</v>
      </c>
      <c r="D3915" s="235" t="s">
        <v>29265</v>
      </c>
      <c r="E3915" s="243">
        <v>6.51E13</v>
      </c>
      <c r="F3915" s="245"/>
      <c r="G3915" s="235" t="s">
        <v>29266</v>
      </c>
      <c r="H3915" s="235" t="s">
        <v>29267</v>
      </c>
      <c r="I3915" s="235" t="s">
        <v>29267</v>
      </c>
      <c r="J3915" s="235" t="s">
        <v>29268</v>
      </c>
      <c r="K3915" s="235" t="s">
        <v>29269</v>
      </c>
      <c r="N3915" s="235" t="s">
        <v>2163</v>
      </c>
      <c r="O3915" s="235" t="s">
        <v>2164</v>
      </c>
      <c r="P3915" s="238">
        <v>1.0</v>
      </c>
      <c r="Q3915" s="235" t="s">
        <v>627</v>
      </c>
      <c r="R3915" s="238">
        <v>233.34</v>
      </c>
      <c r="S3915" s="238">
        <v>11.32</v>
      </c>
      <c r="T3915" s="238">
        <v>0.0</v>
      </c>
      <c r="U3915" s="238">
        <v>0.0</v>
      </c>
      <c r="V3915" s="238">
        <v>0.0</v>
      </c>
      <c r="W3915" s="238">
        <v>0.0</v>
      </c>
      <c r="X3915" s="235" t="s">
        <v>628</v>
      </c>
      <c r="Z3915" s="245"/>
      <c r="AA3915" s="245"/>
      <c r="AB3915" s="245"/>
      <c r="AC3915" s="235" t="s">
        <v>1998</v>
      </c>
      <c r="AD3915" s="235" t="s">
        <v>928</v>
      </c>
      <c r="AE3915" s="238">
        <v>121002.0</v>
      </c>
      <c r="AF3915" s="235" t="s">
        <v>631</v>
      </c>
      <c r="AG3915" s="245"/>
      <c r="AH3915" s="245"/>
      <c r="AI3915" s="245"/>
      <c r="AJ3915" s="245"/>
      <c r="AK3915" s="245"/>
      <c r="AL3915" s="245"/>
      <c r="AM3915" s="245"/>
      <c r="AN3915" s="245"/>
      <c r="AO3915" s="238">
        <v>-7.01</v>
      </c>
      <c r="AP3915" s="238">
        <v>0.0</v>
      </c>
      <c r="AQ3915" s="235" t="s">
        <v>632</v>
      </c>
      <c r="AR3915" s="243">
        <v>3.71E11</v>
      </c>
      <c r="AS3915" s="235" t="s">
        <v>28482</v>
      </c>
      <c r="AT3915" s="235" t="s">
        <v>14</v>
      </c>
      <c r="AU3915" s="235" t="s">
        <v>634</v>
      </c>
      <c r="AV3915" s="246" t="s">
        <v>635</v>
      </c>
      <c r="AW3915" s="227"/>
      <c r="AX3915" s="227"/>
      <c r="AY3915" s="227"/>
      <c r="AZ3915" s="227"/>
      <c r="BA3915" s="227"/>
      <c r="BB3915" s="227"/>
      <c r="BC3915" s="227"/>
      <c r="BD3915" s="227"/>
      <c r="BE3915" s="227"/>
      <c r="BF3915" s="227"/>
    </row>
    <row r="3916">
      <c r="A3916" s="235" t="s">
        <v>29270</v>
      </c>
      <c r="C3916" s="235" t="s">
        <v>29271</v>
      </c>
      <c r="D3916" s="235" t="s">
        <v>29272</v>
      </c>
      <c r="E3916" s="243">
        <v>6.51E13</v>
      </c>
      <c r="F3916" s="245"/>
      <c r="G3916" s="235" t="s">
        <v>29273</v>
      </c>
      <c r="H3916" s="235" t="s">
        <v>29274</v>
      </c>
      <c r="I3916" s="235" t="s">
        <v>29274</v>
      </c>
      <c r="J3916" s="235" t="s">
        <v>29275</v>
      </c>
      <c r="K3916" s="235" t="s">
        <v>29276</v>
      </c>
      <c r="N3916" s="235" t="s">
        <v>154</v>
      </c>
      <c r="O3916" s="235" t="s">
        <v>766</v>
      </c>
      <c r="P3916" s="238">
        <v>1.0</v>
      </c>
      <c r="Q3916" s="235" t="s">
        <v>627</v>
      </c>
      <c r="R3916" s="238">
        <v>423.81</v>
      </c>
      <c r="S3916" s="238">
        <v>21.19</v>
      </c>
      <c r="T3916" s="238">
        <v>0.0</v>
      </c>
      <c r="U3916" s="238">
        <v>0.0</v>
      </c>
      <c r="V3916" s="238">
        <v>0.0</v>
      </c>
      <c r="W3916" s="238">
        <v>0.0</v>
      </c>
      <c r="X3916" s="235" t="s">
        <v>628</v>
      </c>
      <c r="Z3916" s="245"/>
      <c r="AA3916" s="245"/>
      <c r="AB3916" s="245"/>
      <c r="AC3916" s="235" t="s">
        <v>1287</v>
      </c>
      <c r="AD3916" s="235" t="s">
        <v>630</v>
      </c>
      <c r="AE3916" s="238">
        <v>201012.0</v>
      </c>
      <c r="AF3916" s="235" t="s">
        <v>631</v>
      </c>
      <c r="AG3916" s="245"/>
      <c r="AH3916" s="245"/>
      <c r="AI3916" s="245"/>
      <c r="AJ3916" s="245"/>
      <c r="AK3916" s="245"/>
      <c r="AL3916" s="245"/>
      <c r="AM3916" s="245"/>
      <c r="AN3916" s="245"/>
      <c r="AO3916" s="238">
        <v>0.0</v>
      </c>
      <c r="AP3916" s="238">
        <v>0.0</v>
      </c>
      <c r="AQ3916" s="235" t="s">
        <v>632</v>
      </c>
      <c r="AR3916" s="243">
        <v>1.68E11</v>
      </c>
      <c r="AS3916" s="235" t="s">
        <v>28947</v>
      </c>
      <c r="AT3916" s="235" t="s">
        <v>14</v>
      </c>
      <c r="AU3916" s="235" t="s">
        <v>634</v>
      </c>
      <c r="AV3916" s="246" t="s">
        <v>635</v>
      </c>
      <c r="AW3916" s="227"/>
      <c r="AX3916" s="227"/>
      <c r="AY3916" s="227"/>
      <c r="AZ3916" s="227"/>
      <c r="BA3916" s="227"/>
      <c r="BB3916" s="227"/>
      <c r="BC3916" s="227"/>
      <c r="BD3916" s="227"/>
      <c r="BE3916" s="227"/>
      <c r="BF3916" s="227"/>
    </row>
    <row r="3917">
      <c r="A3917" s="235" t="s">
        <v>29277</v>
      </c>
      <c r="C3917" s="235" t="s">
        <v>29278</v>
      </c>
      <c r="D3917" s="235" t="s">
        <v>29279</v>
      </c>
      <c r="E3917" s="243">
        <v>6.51E13</v>
      </c>
      <c r="F3917" s="245"/>
      <c r="G3917" s="235" t="s">
        <v>29280</v>
      </c>
      <c r="H3917" s="235" t="s">
        <v>29281</v>
      </c>
      <c r="I3917" s="235" t="s">
        <v>29281</v>
      </c>
      <c r="J3917" s="235" t="s">
        <v>29282</v>
      </c>
      <c r="K3917" s="235" t="s">
        <v>29283</v>
      </c>
      <c r="N3917" s="235" t="s">
        <v>127</v>
      </c>
      <c r="O3917" s="235" t="s">
        <v>794</v>
      </c>
      <c r="P3917" s="238">
        <v>1.0</v>
      </c>
      <c r="Q3917" s="235" t="s">
        <v>627</v>
      </c>
      <c r="R3917" s="238">
        <v>236.19</v>
      </c>
      <c r="S3917" s="238">
        <v>11.81</v>
      </c>
      <c r="T3917" s="238">
        <v>0.0</v>
      </c>
      <c r="U3917" s="238">
        <v>0.0</v>
      </c>
      <c r="V3917" s="238">
        <v>0.0</v>
      </c>
      <c r="W3917" s="238">
        <v>0.0</v>
      </c>
      <c r="X3917" s="235" t="s">
        <v>628</v>
      </c>
      <c r="Z3917" s="245"/>
      <c r="AA3917" s="245"/>
      <c r="AB3917" s="245"/>
      <c r="AC3917" s="235" t="s">
        <v>749</v>
      </c>
      <c r="AD3917" s="235" t="s">
        <v>630</v>
      </c>
      <c r="AE3917" s="238">
        <v>201318.0</v>
      </c>
      <c r="AF3917" s="235" t="s">
        <v>631</v>
      </c>
      <c r="AG3917" s="245"/>
      <c r="AH3917" s="245"/>
      <c r="AI3917" s="245"/>
      <c r="AJ3917" s="245"/>
      <c r="AK3917" s="245"/>
      <c r="AL3917" s="245"/>
      <c r="AM3917" s="245"/>
      <c r="AN3917" s="245"/>
      <c r="AO3917" s="238">
        <v>0.0</v>
      </c>
      <c r="AP3917" s="238">
        <v>0.0</v>
      </c>
      <c r="AQ3917" s="235" t="s">
        <v>632</v>
      </c>
      <c r="AR3917" s="243">
        <v>3.71E11</v>
      </c>
      <c r="AS3917" s="235" t="s">
        <v>28482</v>
      </c>
      <c r="AT3917" s="235" t="s">
        <v>14</v>
      </c>
      <c r="AU3917" s="235" t="s">
        <v>634</v>
      </c>
      <c r="AV3917" s="246" t="s">
        <v>635</v>
      </c>
      <c r="AW3917" s="227"/>
      <c r="AX3917" s="227"/>
      <c r="AY3917" s="227"/>
      <c r="AZ3917" s="227"/>
      <c r="BA3917" s="227"/>
      <c r="BB3917" s="227"/>
      <c r="BC3917" s="227"/>
      <c r="BD3917" s="227"/>
      <c r="BE3917" s="227"/>
      <c r="BF3917" s="227"/>
    </row>
    <row r="3918">
      <c r="A3918" s="235" t="s">
        <v>29284</v>
      </c>
      <c r="C3918" s="235" t="s">
        <v>29285</v>
      </c>
      <c r="D3918" s="235" t="s">
        <v>29286</v>
      </c>
      <c r="E3918" s="243">
        <v>6.51E13</v>
      </c>
      <c r="F3918" s="245"/>
      <c r="G3918" s="235" t="s">
        <v>29287</v>
      </c>
      <c r="H3918" s="235" t="s">
        <v>29288</v>
      </c>
      <c r="I3918" s="235" t="s">
        <v>29289</v>
      </c>
      <c r="J3918" s="235" t="s">
        <v>29290</v>
      </c>
      <c r="K3918" s="235" t="s">
        <v>19476</v>
      </c>
      <c r="N3918" s="235" t="s">
        <v>51</v>
      </c>
      <c r="O3918" s="235" t="s">
        <v>273</v>
      </c>
      <c r="P3918" s="238">
        <v>1.0</v>
      </c>
      <c r="Q3918" s="235" t="s">
        <v>627</v>
      </c>
      <c r="R3918" s="238">
        <v>246.66</v>
      </c>
      <c r="S3918" s="238">
        <v>11.97</v>
      </c>
      <c r="T3918" s="238">
        <v>0.0</v>
      </c>
      <c r="U3918" s="238">
        <v>0.0</v>
      </c>
      <c r="V3918" s="238">
        <v>0.0</v>
      </c>
      <c r="W3918" s="238">
        <v>0.0</v>
      </c>
      <c r="X3918" s="235" t="s">
        <v>628</v>
      </c>
      <c r="Z3918" s="245"/>
      <c r="AA3918" s="245"/>
      <c r="AB3918" s="245"/>
      <c r="AC3918" s="235" t="s">
        <v>687</v>
      </c>
      <c r="AD3918" s="235" t="s">
        <v>666</v>
      </c>
      <c r="AE3918" s="238">
        <v>600100.0</v>
      </c>
      <c r="AF3918" s="235" t="s">
        <v>631</v>
      </c>
      <c r="AG3918" s="245"/>
      <c r="AH3918" s="245"/>
      <c r="AI3918" s="245"/>
      <c r="AJ3918" s="245"/>
      <c r="AK3918" s="245"/>
      <c r="AL3918" s="245"/>
      <c r="AM3918" s="245"/>
      <c r="AN3918" s="245"/>
      <c r="AO3918" s="238">
        <v>-7.4</v>
      </c>
      <c r="AP3918" s="238">
        <v>0.0</v>
      </c>
      <c r="AQ3918" s="235" t="s">
        <v>632</v>
      </c>
      <c r="AR3918" s="243">
        <v>3.71E11</v>
      </c>
      <c r="AS3918" s="235" t="s">
        <v>28482</v>
      </c>
      <c r="AT3918" s="235" t="s">
        <v>156</v>
      </c>
      <c r="AU3918" s="235" t="s">
        <v>634</v>
      </c>
      <c r="AV3918" s="246" t="s">
        <v>635</v>
      </c>
      <c r="AW3918" s="227"/>
      <c r="AX3918" s="227"/>
      <c r="AY3918" s="227"/>
      <c r="AZ3918" s="227"/>
      <c r="BA3918" s="227"/>
      <c r="BB3918" s="227"/>
      <c r="BC3918" s="227"/>
      <c r="BD3918" s="227"/>
      <c r="BE3918" s="227"/>
      <c r="BF3918" s="227"/>
    </row>
    <row r="3919">
      <c r="A3919" s="235" t="s">
        <v>29291</v>
      </c>
      <c r="C3919" s="235" t="s">
        <v>29292</v>
      </c>
      <c r="D3919" s="235" t="s">
        <v>29293</v>
      </c>
      <c r="E3919" s="243">
        <v>6.51E13</v>
      </c>
      <c r="F3919" s="245"/>
      <c r="G3919" s="235" t="s">
        <v>29294</v>
      </c>
      <c r="H3919" s="235" t="s">
        <v>29295</v>
      </c>
      <c r="I3919" s="235" t="s">
        <v>29295</v>
      </c>
      <c r="J3919" s="235" t="s">
        <v>29296</v>
      </c>
      <c r="K3919" s="235" t="s">
        <v>29297</v>
      </c>
      <c r="N3919" s="235" t="s">
        <v>136</v>
      </c>
      <c r="O3919" s="235" t="s">
        <v>256</v>
      </c>
      <c r="P3919" s="238">
        <v>1.0</v>
      </c>
      <c r="Q3919" s="235" t="s">
        <v>627</v>
      </c>
      <c r="R3919" s="238">
        <v>237.14</v>
      </c>
      <c r="S3919" s="238">
        <v>11.86</v>
      </c>
      <c r="T3919" s="238">
        <v>0.0</v>
      </c>
      <c r="U3919" s="238">
        <v>0.0</v>
      </c>
      <c r="V3919" s="238">
        <v>0.0</v>
      </c>
      <c r="W3919" s="238">
        <v>0.0</v>
      </c>
      <c r="X3919" s="235" t="s">
        <v>628</v>
      </c>
      <c r="Z3919" s="245"/>
      <c r="AA3919" s="245"/>
      <c r="AB3919" s="245"/>
      <c r="AC3919" s="235" t="s">
        <v>1320</v>
      </c>
      <c r="AD3919" s="235" t="s">
        <v>666</v>
      </c>
      <c r="AE3919" s="238">
        <v>600100.0</v>
      </c>
      <c r="AF3919" s="235" t="s">
        <v>631</v>
      </c>
      <c r="AG3919" s="245"/>
      <c r="AH3919" s="245"/>
      <c r="AI3919" s="245"/>
      <c r="AJ3919" s="245"/>
      <c r="AK3919" s="245"/>
      <c r="AL3919" s="245"/>
      <c r="AM3919" s="245"/>
      <c r="AN3919" s="245"/>
      <c r="AO3919" s="238">
        <v>0.0</v>
      </c>
      <c r="AP3919" s="238">
        <v>0.0</v>
      </c>
      <c r="AQ3919" s="235" t="s">
        <v>632</v>
      </c>
      <c r="AR3919" s="243">
        <v>1.68E11</v>
      </c>
      <c r="AS3919" s="235" t="s">
        <v>28947</v>
      </c>
      <c r="AT3919" s="235" t="s">
        <v>156</v>
      </c>
      <c r="AU3919" s="235" t="s">
        <v>634</v>
      </c>
      <c r="AV3919" s="246" t="s">
        <v>635</v>
      </c>
      <c r="AW3919" s="227"/>
      <c r="AX3919" s="227"/>
      <c r="AY3919" s="227"/>
      <c r="AZ3919" s="227"/>
      <c r="BA3919" s="227"/>
      <c r="BB3919" s="227"/>
      <c r="BC3919" s="227"/>
      <c r="BD3919" s="227"/>
      <c r="BE3919" s="227"/>
      <c r="BF3919" s="227"/>
    </row>
    <row r="3920">
      <c r="A3920" s="235" t="s">
        <v>29298</v>
      </c>
      <c r="C3920" s="235" t="s">
        <v>29299</v>
      </c>
      <c r="D3920" s="235" t="s">
        <v>29300</v>
      </c>
      <c r="E3920" s="243">
        <v>6.51E13</v>
      </c>
      <c r="F3920" s="245"/>
      <c r="G3920" s="235" t="s">
        <v>29301</v>
      </c>
      <c r="H3920" s="235" t="s">
        <v>29302</v>
      </c>
      <c r="I3920" s="235" t="s">
        <v>29303</v>
      </c>
      <c r="J3920" s="235" t="s">
        <v>29304</v>
      </c>
      <c r="K3920" s="235" t="s">
        <v>29305</v>
      </c>
      <c r="N3920" s="235" t="s">
        <v>126</v>
      </c>
      <c r="O3920" s="235" t="s">
        <v>407</v>
      </c>
      <c r="P3920" s="238">
        <v>1.0</v>
      </c>
      <c r="Q3920" s="235" t="s">
        <v>627</v>
      </c>
      <c r="R3920" s="238">
        <v>233.34</v>
      </c>
      <c r="S3920" s="238">
        <v>11.66</v>
      </c>
      <c r="T3920" s="238">
        <v>0.0</v>
      </c>
      <c r="U3920" s="238">
        <v>0.0</v>
      </c>
      <c r="V3920" s="238">
        <v>0.0</v>
      </c>
      <c r="W3920" s="238">
        <v>0.0</v>
      </c>
      <c r="X3920" s="235" t="s">
        <v>628</v>
      </c>
      <c r="Z3920" s="245"/>
      <c r="AA3920" s="245"/>
      <c r="AB3920" s="245"/>
      <c r="AC3920" s="235" t="s">
        <v>1255</v>
      </c>
      <c r="AD3920" s="235" t="s">
        <v>845</v>
      </c>
      <c r="AE3920" s="238">
        <v>400608.0</v>
      </c>
      <c r="AF3920" s="235" t="s">
        <v>631</v>
      </c>
      <c r="AG3920" s="245"/>
      <c r="AH3920" s="245"/>
      <c r="AI3920" s="245"/>
      <c r="AJ3920" s="245"/>
      <c r="AK3920" s="245"/>
      <c r="AL3920" s="245"/>
      <c r="AM3920" s="245"/>
      <c r="AN3920" s="245"/>
      <c r="AO3920" s="238">
        <v>0.0</v>
      </c>
      <c r="AP3920" s="238">
        <v>0.0</v>
      </c>
      <c r="AQ3920" s="235" t="s">
        <v>632</v>
      </c>
      <c r="AR3920" s="243">
        <v>1.68E11</v>
      </c>
      <c r="AS3920" s="235" t="s">
        <v>28947</v>
      </c>
      <c r="AT3920" s="235" t="s">
        <v>16</v>
      </c>
      <c r="AU3920" s="235" t="s">
        <v>634</v>
      </c>
      <c r="AV3920" s="246" t="s">
        <v>635</v>
      </c>
      <c r="AW3920" s="227"/>
      <c r="AX3920" s="227"/>
      <c r="AY3920" s="227"/>
      <c r="AZ3920" s="227"/>
      <c r="BA3920" s="227"/>
      <c r="BB3920" s="227"/>
      <c r="BC3920" s="227"/>
      <c r="BD3920" s="227"/>
      <c r="BE3920" s="227"/>
      <c r="BF3920" s="227"/>
    </row>
    <row r="3921">
      <c r="A3921" s="235" t="s">
        <v>29306</v>
      </c>
      <c r="C3921" s="235" t="s">
        <v>29307</v>
      </c>
      <c r="D3921" s="235" t="s">
        <v>29308</v>
      </c>
      <c r="E3921" s="243">
        <v>6.51E13</v>
      </c>
      <c r="F3921" s="245"/>
      <c r="G3921" s="235" t="s">
        <v>29309</v>
      </c>
      <c r="H3921" s="235" t="s">
        <v>29310</v>
      </c>
      <c r="I3921" s="235" t="s">
        <v>29311</v>
      </c>
      <c r="J3921" s="235" t="s">
        <v>29312</v>
      </c>
      <c r="K3921" s="235" t="s">
        <v>29313</v>
      </c>
      <c r="N3921" s="235" t="s">
        <v>82</v>
      </c>
      <c r="O3921" s="235" t="s">
        <v>889</v>
      </c>
      <c r="P3921" s="238">
        <v>1.0</v>
      </c>
      <c r="Q3921" s="235" t="s">
        <v>627</v>
      </c>
      <c r="R3921" s="238">
        <v>246.66</v>
      </c>
      <c r="S3921" s="238">
        <v>12.34</v>
      </c>
      <c r="T3921" s="238">
        <v>0.0</v>
      </c>
      <c r="U3921" s="238">
        <v>0.0</v>
      </c>
      <c r="V3921" s="238">
        <v>0.0</v>
      </c>
      <c r="W3921" s="238">
        <v>0.0</v>
      </c>
      <c r="X3921" s="235" t="s">
        <v>628</v>
      </c>
      <c r="Z3921" s="245"/>
      <c r="AA3921" s="245"/>
      <c r="AB3921" s="245"/>
      <c r="AC3921" s="235" t="s">
        <v>678</v>
      </c>
      <c r="AD3921" s="235" t="s">
        <v>679</v>
      </c>
      <c r="AE3921" s="238">
        <v>560100.0</v>
      </c>
      <c r="AF3921" s="235" t="s">
        <v>631</v>
      </c>
      <c r="AG3921" s="245"/>
      <c r="AH3921" s="245"/>
      <c r="AI3921" s="245"/>
      <c r="AJ3921" s="245"/>
      <c r="AK3921" s="245"/>
      <c r="AL3921" s="245"/>
      <c r="AM3921" s="245"/>
      <c r="AN3921" s="245"/>
      <c r="AO3921" s="238">
        <v>0.0</v>
      </c>
      <c r="AP3921" s="238">
        <v>0.0</v>
      </c>
      <c r="AQ3921" s="235" t="s">
        <v>632</v>
      </c>
      <c r="AR3921" s="243">
        <v>3.71E11</v>
      </c>
      <c r="AS3921" s="235" t="s">
        <v>28482</v>
      </c>
      <c r="AT3921" s="235" t="s">
        <v>11</v>
      </c>
      <c r="AU3921" s="235" t="s">
        <v>634</v>
      </c>
      <c r="AV3921" s="246" t="s">
        <v>635</v>
      </c>
      <c r="AW3921" s="227"/>
      <c r="AX3921" s="227"/>
      <c r="AY3921" s="227"/>
      <c r="AZ3921" s="227"/>
      <c r="BA3921" s="227"/>
      <c r="BB3921" s="227"/>
      <c r="BC3921" s="227"/>
      <c r="BD3921" s="227"/>
      <c r="BE3921" s="227"/>
      <c r="BF3921" s="227"/>
    </row>
    <row r="3922">
      <c r="A3922" s="235" t="s">
        <v>29314</v>
      </c>
      <c r="C3922" s="235" t="s">
        <v>29315</v>
      </c>
      <c r="D3922" s="235" t="s">
        <v>29316</v>
      </c>
      <c r="E3922" s="243">
        <v>6.51E13</v>
      </c>
      <c r="F3922" s="245"/>
      <c r="G3922" s="235" t="s">
        <v>29317</v>
      </c>
      <c r="H3922" s="235" t="s">
        <v>29318</v>
      </c>
      <c r="I3922" s="235" t="s">
        <v>29318</v>
      </c>
      <c r="J3922" s="235" t="s">
        <v>29319</v>
      </c>
      <c r="K3922" s="235" t="s">
        <v>29320</v>
      </c>
      <c r="N3922" s="235" t="s">
        <v>144</v>
      </c>
      <c r="O3922" s="235" t="s">
        <v>232</v>
      </c>
      <c r="P3922" s="238">
        <v>1.0</v>
      </c>
      <c r="Q3922" s="235" t="s">
        <v>627</v>
      </c>
      <c r="R3922" s="238">
        <v>626.67</v>
      </c>
      <c r="S3922" s="238">
        <v>31.33</v>
      </c>
      <c r="T3922" s="238">
        <v>0.0</v>
      </c>
      <c r="U3922" s="238">
        <v>0.0</v>
      </c>
      <c r="V3922" s="238">
        <v>0.0</v>
      </c>
      <c r="W3922" s="238">
        <v>0.0</v>
      </c>
      <c r="X3922" s="235" t="s">
        <v>628</v>
      </c>
      <c r="Z3922" s="245"/>
      <c r="AA3922" s="245"/>
      <c r="AB3922" s="245"/>
      <c r="AC3922" s="235" t="s">
        <v>795</v>
      </c>
      <c r="AD3922" s="235" t="s">
        <v>796</v>
      </c>
      <c r="AE3922" s="238">
        <v>110064.0</v>
      </c>
      <c r="AF3922" s="235" t="s">
        <v>631</v>
      </c>
      <c r="AG3922" s="245"/>
      <c r="AH3922" s="245"/>
      <c r="AI3922" s="245"/>
      <c r="AJ3922" s="245"/>
      <c r="AK3922" s="245"/>
      <c r="AL3922" s="245"/>
      <c r="AM3922" s="245"/>
      <c r="AN3922" s="245"/>
      <c r="AO3922" s="238">
        <v>0.0</v>
      </c>
      <c r="AP3922" s="238">
        <v>0.0</v>
      </c>
      <c r="AQ3922" s="235" t="s">
        <v>632</v>
      </c>
      <c r="AR3922" s="243">
        <v>1.68E11</v>
      </c>
      <c r="AS3922" s="235" t="s">
        <v>28947</v>
      </c>
      <c r="AT3922" s="235" t="s">
        <v>533</v>
      </c>
      <c r="AU3922" s="235" t="s">
        <v>634</v>
      </c>
      <c r="AV3922" s="246" t="s">
        <v>635</v>
      </c>
      <c r="AW3922" s="227"/>
      <c r="AX3922" s="227"/>
      <c r="AY3922" s="227"/>
      <c r="AZ3922" s="227"/>
      <c r="BA3922" s="227"/>
      <c r="BB3922" s="227"/>
      <c r="BC3922" s="227"/>
      <c r="BD3922" s="227"/>
      <c r="BE3922" s="227"/>
      <c r="BF3922" s="227"/>
    </row>
    <row r="3923">
      <c r="A3923" s="235" t="s">
        <v>29321</v>
      </c>
      <c r="C3923" s="235" t="s">
        <v>29322</v>
      </c>
      <c r="D3923" s="235" t="s">
        <v>29323</v>
      </c>
      <c r="E3923" s="243">
        <v>6.51E13</v>
      </c>
      <c r="F3923" s="245"/>
      <c r="G3923" s="235" t="s">
        <v>29324</v>
      </c>
      <c r="H3923" s="235" t="s">
        <v>29325</v>
      </c>
      <c r="I3923" s="235" t="s">
        <v>29326</v>
      </c>
      <c r="J3923" s="235" t="s">
        <v>29327</v>
      </c>
      <c r="K3923" s="235" t="s">
        <v>29328</v>
      </c>
      <c r="N3923" s="235" t="s">
        <v>144</v>
      </c>
      <c r="O3923" s="235" t="s">
        <v>232</v>
      </c>
      <c r="P3923" s="238">
        <v>1.0</v>
      </c>
      <c r="Q3923" s="235" t="s">
        <v>627</v>
      </c>
      <c r="R3923" s="238">
        <v>626.67</v>
      </c>
      <c r="S3923" s="238">
        <v>30.39</v>
      </c>
      <c r="T3923" s="238">
        <v>0.0</v>
      </c>
      <c r="U3923" s="238">
        <v>0.0</v>
      </c>
      <c r="V3923" s="238">
        <v>0.0</v>
      </c>
      <c r="W3923" s="238">
        <v>0.0</v>
      </c>
      <c r="X3923" s="235" t="s">
        <v>628</v>
      </c>
      <c r="Z3923" s="245"/>
      <c r="AA3923" s="245"/>
      <c r="AB3923" s="245"/>
      <c r="AC3923" s="235" t="s">
        <v>697</v>
      </c>
      <c r="AD3923" s="235" t="s">
        <v>698</v>
      </c>
      <c r="AE3923" s="238">
        <v>500049.0</v>
      </c>
      <c r="AF3923" s="235" t="s">
        <v>631</v>
      </c>
      <c r="AG3923" s="245"/>
      <c r="AH3923" s="245"/>
      <c r="AI3923" s="245"/>
      <c r="AJ3923" s="245"/>
      <c r="AK3923" s="245"/>
      <c r="AL3923" s="245"/>
      <c r="AM3923" s="245"/>
      <c r="AN3923" s="245"/>
      <c r="AO3923" s="238">
        <v>-18.8</v>
      </c>
      <c r="AP3923" s="238">
        <v>0.0</v>
      </c>
      <c r="AQ3923" s="235" t="s">
        <v>632</v>
      </c>
      <c r="AR3923" s="243">
        <v>3.71E11</v>
      </c>
      <c r="AS3923" s="235" t="s">
        <v>26892</v>
      </c>
      <c r="AT3923" s="235" t="s">
        <v>11</v>
      </c>
      <c r="AU3923" s="235" t="s">
        <v>634</v>
      </c>
      <c r="AV3923" s="246" t="s">
        <v>635</v>
      </c>
      <c r="AW3923" s="227"/>
      <c r="AX3923" s="227"/>
      <c r="AY3923" s="227"/>
      <c r="AZ3923" s="227"/>
      <c r="BA3923" s="227"/>
      <c r="BB3923" s="227"/>
      <c r="BC3923" s="227"/>
      <c r="BD3923" s="227"/>
      <c r="BE3923" s="227"/>
      <c r="BF3923" s="227"/>
    </row>
    <row r="3924">
      <c r="A3924" s="235" t="s">
        <v>29329</v>
      </c>
      <c r="C3924" s="235" t="s">
        <v>29330</v>
      </c>
      <c r="D3924" s="235" t="s">
        <v>29331</v>
      </c>
      <c r="E3924" s="243">
        <v>6.51E13</v>
      </c>
      <c r="F3924" s="245"/>
      <c r="G3924" s="235" t="s">
        <v>29332</v>
      </c>
      <c r="H3924" s="235" t="s">
        <v>29333</v>
      </c>
      <c r="I3924" s="235" t="s">
        <v>29334</v>
      </c>
      <c r="J3924" s="235" t="s">
        <v>29335</v>
      </c>
      <c r="K3924" s="235" t="s">
        <v>29336</v>
      </c>
      <c r="N3924" s="235" t="s">
        <v>141</v>
      </c>
      <c r="O3924" s="235" t="s">
        <v>342</v>
      </c>
      <c r="P3924" s="238">
        <v>1.0</v>
      </c>
      <c r="Q3924" s="235" t="s">
        <v>627</v>
      </c>
      <c r="R3924" s="238">
        <v>233.34</v>
      </c>
      <c r="S3924" s="238">
        <v>11.66</v>
      </c>
      <c r="T3924" s="238">
        <v>0.0</v>
      </c>
      <c r="U3924" s="238">
        <v>0.0</v>
      </c>
      <c r="V3924" s="238">
        <v>0.0</v>
      </c>
      <c r="W3924" s="238">
        <v>0.0</v>
      </c>
      <c r="X3924" s="235" t="s">
        <v>628</v>
      </c>
      <c r="Z3924" s="245"/>
      <c r="AA3924" s="245"/>
      <c r="AB3924" s="245"/>
      <c r="AC3924" s="235" t="s">
        <v>678</v>
      </c>
      <c r="AD3924" s="235" t="s">
        <v>679</v>
      </c>
      <c r="AE3924" s="238">
        <v>560005.0</v>
      </c>
      <c r="AF3924" s="235" t="s">
        <v>631</v>
      </c>
      <c r="AG3924" s="245"/>
      <c r="AH3924" s="245"/>
      <c r="AI3924" s="245"/>
      <c r="AJ3924" s="245"/>
      <c r="AK3924" s="245"/>
      <c r="AL3924" s="245"/>
      <c r="AM3924" s="245"/>
      <c r="AN3924" s="245"/>
      <c r="AO3924" s="238">
        <v>0.0</v>
      </c>
      <c r="AP3924" s="238">
        <v>0.0</v>
      </c>
      <c r="AQ3924" s="235" t="s">
        <v>632</v>
      </c>
      <c r="AR3924" s="243">
        <v>1.68E11</v>
      </c>
      <c r="AS3924" s="235" t="s">
        <v>28947</v>
      </c>
      <c r="AT3924" s="235" t="s">
        <v>9</v>
      </c>
      <c r="AU3924" s="235" t="s">
        <v>634</v>
      </c>
      <c r="AV3924" s="246" t="s">
        <v>635</v>
      </c>
      <c r="AW3924" s="227"/>
      <c r="AX3924" s="227"/>
      <c r="AY3924" s="227"/>
      <c r="AZ3924" s="227"/>
      <c r="BA3924" s="227"/>
      <c r="BB3924" s="227"/>
      <c r="BC3924" s="227"/>
      <c r="BD3924" s="227"/>
      <c r="BE3924" s="227"/>
      <c r="BF3924" s="227"/>
    </row>
    <row r="3925">
      <c r="A3925" s="235" t="s">
        <v>29337</v>
      </c>
      <c r="C3925" s="235" t="s">
        <v>29338</v>
      </c>
      <c r="D3925" s="235" t="s">
        <v>29339</v>
      </c>
      <c r="E3925" s="243">
        <v>6.51E13</v>
      </c>
      <c r="F3925" s="245"/>
      <c r="G3925" s="235" t="s">
        <v>29340</v>
      </c>
      <c r="H3925" s="235" t="s">
        <v>29341</v>
      </c>
      <c r="I3925" s="235" t="s">
        <v>29341</v>
      </c>
      <c r="J3925" s="235" t="s">
        <v>29342</v>
      </c>
      <c r="K3925" s="235" t="s">
        <v>26365</v>
      </c>
      <c r="N3925" s="235" t="s">
        <v>68</v>
      </c>
      <c r="O3925" s="235" t="s">
        <v>208</v>
      </c>
      <c r="P3925" s="238">
        <v>1.0</v>
      </c>
      <c r="Q3925" s="235" t="s">
        <v>627</v>
      </c>
      <c r="R3925" s="238">
        <v>236.19</v>
      </c>
      <c r="S3925" s="238">
        <v>11.46</v>
      </c>
      <c r="T3925" s="238">
        <v>0.0</v>
      </c>
      <c r="U3925" s="238">
        <v>0.0</v>
      </c>
      <c r="V3925" s="238">
        <v>0.0</v>
      </c>
      <c r="W3925" s="238">
        <v>0.0</v>
      </c>
      <c r="X3925" s="235" t="s">
        <v>628</v>
      </c>
      <c r="Z3925" s="245"/>
      <c r="AA3925" s="245"/>
      <c r="AB3925" s="245"/>
      <c r="AC3925" s="235" t="s">
        <v>1475</v>
      </c>
      <c r="AD3925" s="235" t="s">
        <v>796</v>
      </c>
      <c r="AE3925" s="238">
        <v>110017.0</v>
      </c>
      <c r="AF3925" s="235" t="s">
        <v>631</v>
      </c>
      <c r="AG3925" s="245"/>
      <c r="AH3925" s="245"/>
      <c r="AI3925" s="245"/>
      <c r="AJ3925" s="245"/>
      <c r="AK3925" s="245"/>
      <c r="AL3925" s="245"/>
      <c r="AM3925" s="245"/>
      <c r="AN3925" s="245"/>
      <c r="AO3925" s="238">
        <v>-7.09</v>
      </c>
      <c r="AP3925" s="238">
        <v>0.0</v>
      </c>
      <c r="AQ3925" s="235" t="s">
        <v>632</v>
      </c>
      <c r="AR3925" s="243">
        <v>3.71E11</v>
      </c>
      <c r="AS3925" s="235" t="s">
        <v>28482</v>
      </c>
      <c r="AT3925" s="235" t="s">
        <v>13</v>
      </c>
      <c r="AU3925" s="235" t="s">
        <v>634</v>
      </c>
      <c r="AV3925" s="246" t="s">
        <v>635</v>
      </c>
      <c r="AW3925" s="227"/>
      <c r="AX3925" s="227"/>
      <c r="AY3925" s="227"/>
      <c r="AZ3925" s="227"/>
      <c r="BA3925" s="227"/>
      <c r="BB3925" s="227"/>
      <c r="BC3925" s="227"/>
      <c r="BD3925" s="227"/>
      <c r="BE3925" s="227"/>
      <c r="BF3925" s="227"/>
    </row>
    <row r="3926">
      <c r="A3926" s="235" t="s">
        <v>29343</v>
      </c>
      <c r="C3926" s="235" t="s">
        <v>29344</v>
      </c>
      <c r="D3926" s="235" t="s">
        <v>29345</v>
      </c>
      <c r="E3926" s="243">
        <v>6.51E13</v>
      </c>
      <c r="F3926" s="245"/>
      <c r="G3926" s="235" t="s">
        <v>29346</v>
      </c>
      <c r="H3926" s="235" t="s">
        <v>29347</v>
      </c>
      <c r="I3926" s="235" t="s">
        <v>29347</v>
      </c>
      <c r="J3926" s="235" t="s">
        <v>29348</v>
      </c>
      <c r="K3926" s="235" t="s">
        <v>29349</v>
      </c>
      <c r="N3926" s="235" t="s">
        <v>962</v>
      </c>
      <c r="O3926" s="235" t="s">
        <v>963</v>
      </c>
      <c r="P3926" s="238">
        <v>1.0</v>
      </c>
      <c r="Q3926" s="235" t="s">
        <v>627</v>
      </c>
      <c r="R3926" s="238">
        <v>237.14</v>
      </c>
      <c r="S3926" s="238">
        <v>11.5</v>
      </c>
      <c r="T3926" s="238">
        <v>0.0</v>
      </c>
      <c r="U3926" s="238">
        <v>0.0</v>
      </c>
      <c r="V3926" s="238">
        <v>0.0</v>
      </c>
      <c r="W3926" s="238">
        <v>0.0</v>
      </c>
      <c r="X3926" s="235" t="s">
        <v>628</v>
      </c>
      <c r="Z3926" s="245"/>
      <c r="AA3926" s="245"/>
      <c r="AB3926" s="245"/>
      <c r="AC3926" s="235" t="s">
        <v>2325</v>
      </c>
      <c r="AD3926" s="235" t="s">
        <v>645</v>
      </c>
      <c r="AE3926" s="238">
        <v>682041.0</v>
      </c>
      <c r="AF3926" s="235" t="s">
        <v>631</v>
      </c>
      <c r="AG3926" s="245"/>
      <c r="AH3926" s="245"/>
      <c r="AI3926" s="245"/>
      <c r="AJ3926" s="245"/>
      <c r="AK3926" s="245"/>
      <c r="AL3926" s="245"/>
      <c r="AM3926" s="245"/>
      <c r="AN3926" s="245"/>
      <c r="AO3926" s="238">
        <v>-7.11</v>
      </c>
      <c r="AP3926" s="238">
        <v>0.0</v>
      </c>
      <c r="AQ3926" s="235" t="s">
        <v>632</v>
      </c>
      <c r="AR3926" s="243">
        <v>1.68E11</v>
      </c>
      <c r="AS3926" s="235" t="s">
        <v>28482</v>
      </c>
      <c r="AT3926" s="235" t="s">
        <v>155</v>
      </c>
      <c r="AU3926" s="235" t="s">
        <v>634</v>
      </c>
      <c r="AV3926" s="246" t="s">
        <v>635</v>
      </c>
      <c r="AW3926" s="227"/>
      <c r="AX3926" s="227"/>
      <c r="AY3926" s="227"/>
      <c r="AZ3926" s="227"/>
      <c r="BA3926" s="227"/>
      <c r="BB3926" s="227"/>
      <c r="BC3926" s="227"/>
      <c r="BD3926" s="227"/>
      <c r="BE3926" s="227"/>
      <c r="BF3926" s="227"/>
    </row>
    <row r="3927">
      <c r="A3927" s="235" t="s">
        <v>29350</v>
      </c>
      <c r="C3927" s="235" t="s">
        <v>29351</v>
      </c>
      <c r="D3927" s="235" t="s">
        <v>29352</v>
      </c>
      <c r="E3927" s="243">
        <v>6.51E13</v>
      </c>
      <c r="F3927" s="245"/>
      <c r="G3927" s="235" t="s">
        <v>29353</v>
      </c>
      <c r="H3927" s="235" t="s">
        <v>29354</v>
      </c>
      <c r="I3927" s="235" t="s">
        <v>29354</v>
      </c>
      <c r="J3927" s="235" t="s">
        <v>29355</v>
      </c>
      <c r="K3927" s="235" t="s">
        <v>29356</v>
      </c>
      <c r="N3927" s="235" t="s">
        <v>41</v>
      </c>
      <c r="O3927" s="235" t="s">
        <v>291</v>
      </c>
      <c r="P3927" s="238">
        <v>1.0</v>
      </c>
      <c r="Q3927" s="235" t="s">
        <v>627</v>
      </c>
      <c r="R3927" s="238">
        <v>237.14</v>
      </c>
      <c r="S3927" s="238">
        <v>11.62</v>
      </c>
      <c r="T3927" s="238">
        <v>0.0</v>
      </c>
      <c r="U3927" s="238">
        <v>0.0</v>
      </c>
      <c r="V3927" s="238">
        <v>0.0</v>
      </c>
      <c r="W3927" s="238">
        <v>0.0</v>
      </c>
      <c r="X3927" s="235" t="s">
        <v>628</v>
      </c>
      <c r="Z3927" s="245"/>
      <c r="AA3927" s="245"/>
      <c r="AB3927" s="245"/>
      <c r="AC3927" s="235" t="s">
        <v>15801</v>
      </c>
      <c r="AD3927" s="235" t="s">
        <v>698</v>
      </c>
      <c r="AE3927" s="238">
        <v>508213.0</v>
      </c>
      <c r="AF3927" s="235" t="s">
        <v>631</v>
      </c>
      <c r="AG3927" s="245"/>
      <c r="AH3927" s="245"/>
      <c r="AI3927" s="245"/>
      <c r="AJ3927" s="245"/>
      <c r="AK3927" s="245"/>
      <c r="AL3927" s="245"/>
      <c r="AM3927" s="245"/>
      <c r="AN3927" s="245"/>
      <c r="AO3927" s="238">
        <v>-4.74</v>
      </c>
      <c r="AP3927" s="238">
        <v>0.0</v>
      </c>
      <c r="AQ3927" s="235" t="s">
        <v>632</v>
      </c>
      <c r="AR3927" s="243">
        <v>3.71E11</v>
      </c>
      <c r="AS3927" s="235" t="s">
        <v>25098</v>
      </c>
      <c r="AT3927" s="235" t="s">
        <v>546</v>
      </c>
      <c r="AU3927" s="235" t="s">
        <v>634</v>
      </c>
      <c r="AV3927" s="246" t="s">
        <v>635</v>
      </c>
      <c r="AW3927" s="227"/>
      <c r="AX3927" s="227"/>
      <c r="AY3927" s="227"/>
      <c r="AZ3927" s="227"/>
      <c r="BA3927" s="227"/>
      <c r="BB3927" s="227"/>
      <c r="BC3927" s="227"/>
      <c r="BD3927" s="227"/>
      <c r="BE3927" s="227"/>
      <c r="BF3927" s="227"/>
    </row>
    <row r="3928">
      <c r="A3928" s="235" t="s">
        <v>29357</v>
      </c>
      <c r="C3928" s="235" t="s">
        <v>29358</v>
      </c>
      <c r="D3928" s="235" t="s">
        <v>29359</v>
      </c>
      <c r="E3928" s="243">
        <v>6.51E13</v>
      </c>
      <c r="F3928" s="245"/>
      <c r="G3928" s="235" t="s">
        <v>29360</v>
      </c>
      <c r="H3928" s="235" t="s">
        <v>29361</v>
      </c>
      <c r="I3928" s="235" t="s">
        <v>29361</v>
      </c>
      <c r="J3928" s="235" t="s">
        <v>29362</v>
      </c>
      <c r="K3928" s="235" t="s">
        <v>29363</v>
      </c>
      <c r="N3928" s="235" t="s">
        <v>42</v>
      </c>
      <c r="O3928" s="235" t="s">
        <v>204</v>
      </c>
      <c r="P3928" s="238">
        <v>1.0</v>
      </c>
      <c r="Q3928" s="235" t="s">
        <v>627</v>
      </c>
      <c r="R3928" s="238">
        <v>236.19</v>
      </c>
      <c r="S3928" s="238">
        <v>11.81</v>
      </c>
      <c r="T3928" s="238">
        <v>0.0</v>
      </c>
      <c r="U3928" s="238">
        <v>0.0</v>
      </c>
      <c r="V3928" s="238">
        <v>0.0</v>
      </c>
      <c r="W3928" s="238">
        <v>0.0</v>
      </c>
      <c r="X3928" s="235" t="s">
        <v>628</v>
      </c>
      <c r="Z3928" s="245"/>
      <c r="AA3928" s="245"/>
      <c r="AB3928" s="245"/>
      <c r="AC3928" s="235" t="s">
        <v>697</v>
      </c>
      <c r="AD3928" s="235" t="s">
        <v>698</v>
      </c>
      <c r="AE3928" s="238">
        <v>500075.0</v>
      </c>
      <c r="AF3928" s="235" t="s">
        <v>631</v>
      </c>
      <c r="AG3928" s="245"/>
      <c r="AH3928" s="245"/>
      <c r="AI3928" s="245"/>
      <c r="AJ3928" s="245"/>
      <c r="AK3928" s="245"/>
      <c r="AL3928" s="245"/>
      <c r="AM3928" s="245"/>
      <c r="AN3928" s="245"/>
      <c r="AO3928" s="238">
        <v>0.0</v>
      </c>
      <c r="AP3928" s="238">
        <v>0.0</v>
      </c>
      <c r="AQ3928" s="235" t="s">
        <v>632</v>
      </c>
      <c r="AR3928" s="243">
        <v>3.71E11</v>
      </c>
      <c r="AS3928" s="235" t="s">
        <v>26892</v>
      </c>
      <c r="AT3928" s="235" t="s">
        <v>546</v>
      </c>
      <c r="AU3928" s="235" t="s">
        <v>634</v>
      </c>
      <c r="AV3928" s="246" t="s">
        <v>635</v>
      </c>
      <c r="AW3928" s="227"/>
      <c r="AX3928" s="227"/>
      <c r="AY3928" s="227"/>
      <c r="AZ3928" s="227"/>
      <c r="BA3928" s="227"/>
      <c r="BB3928" s="227"/>
      <c r="BC3928" s="227"/>
      <c r="BD3928" s="227"/>
      <c r="BE3928" s="227"/>
      <c r="BF3928" s="227"/>
    </row>
    <row r="3929">
      <c r="A3929" s="235" t="s">
        <v>29364</v>
      </c>
      <c r="C3929" s="235" t="s">
        <v>29365</v>
      </c>
      <c r="D3929" s="235" t="s">
        <v>29366</v>
      </c>
      <c r="E3929" s="243">
        <v>6.51E13</v>
      </c>
      <c r="F3929" s="245"/>
      <c r="G3929" s="235" t="s">
        <v>29367</v>
      </c>
      <c r="H3929" s="235" t="s">
        <v>29368</v>
      </c>
      <c r="I3929" s="235" t="s">
        <v>29368</v>
      </c>
      <c r="J3929" s="235" t="s">
        <v>29369</v>
      </c>
      <c r="K3929" s="235" t="s">
        <v>29370</v>
      </c>
      <c r="N3929" s="235" t="s">
        <v>154</v>
      </c>
      <c r="O3929" s="235" t="s">
        <v>766</v>
      </c>
      <c r="P3929" s="238">
        <v>1.0</v>
      </c>
      <c r="Q3929" s="235" t="s">
        <v>627</v>
      </c>
      <c r="R3929" s="238">
        <v>423.81</v>
      </c>
      <c r="S3929" s="238">
        <v>21.19</v>
      </c>
      <c r="T3929" s="238">
        <v>0.0</v>
      </c>
      <c r="U3929" s="238">
        <v>0.0</v>
      </c>
      <c r="V3929" s="238">
        <v>0.0</v>
      </c>
      <c r="W3929" s="238">
        <v>0.0</v>
      </c>
      <c r="X3929" s="235" t="s">
        <v>628</v>
      </c>
      <c r="Z3929" s="245"/>
      <c r="AA3929" s="245"/>
      <c r="AB3929" s="245"/>
      <c r="AC3929" s="235" t="s">
        <v>2228</v>
      </c>
      <c r="AD3929" s="235" t="s">
        <v>1151</v>
      </c>
      <c r="AE3929" s="238">
        <v>700059.0</v>
      </c>
      <c r="AF3929" s="235" t="s">
        <v>631</v>
      </c>
      <c r="AG3929" s="245"/>
      <c r="AH3929" s="245"/>
      <c r="AI3929" s="245"/>
      <c r="AJ3929" s="245"/>
      <c r="AK3929" s="245"/>
      <c r="AL3929" s="245"/>
      <c r="AM3929" s="245"/>
      <c r="AN3929" s="245"/>
      <c r="AO3929" s="238">
        <v>0.0</v>
      </c>
      <c r="AP3929" s="238">
        <v>0.0</v>
      </c>
      <c r="AQ3929" s="235" t="s">
        <v>632</v>
      </c>
      <c r="AR3929" s="243">
        <v>2.02E11</v>
      </c>
      <c r="AS3929" s="235" t="s">
        <v>28482</v>
      </c>
      <c r="AT3929" s="235" t="s">
        <v>11</v>
      </c>
      <c r="AU3929" s="235" t="s">
        <v>634</v>
      </c>
      <c r="AV3929" s="246" t="s">
        <v>635</v>
      </c>
      <c r="AW3929" s="227"/>
      <c r="AX3929" s="227"/>
      <c r="AY3929" s="227"/>
      <c r="AZ3929" s="227"/>
      <c r="BA3929" s="227"/>
      <c r="BB3929" s="227"/>
      <c r="BC3929" s="227"/>
      <c r="BD3929" s="227"/>
      <c r="BE3929" s="227"/>
      <c r="BF3929" s="227"/>
    </row>
    <row r="3930">
      <c r="A3930" s="235" t="s">
        <v>29371</v>
      </c>
      <c r="C3930" s="235" t="s">
        <v>29372</v>
      </c>
      <c r="D3930" s="235" t="s">
        <v>29373</v>
      </c>
      <c r="E3930" s="243">
        <v>6.51E13</v>
      </c>
      <c r="F3930" s="245"/>
      <c r="G3930" s="235" t="s">
        <v>29374</v>
      </c>
      <c r="H3930" s="235" t="s">
        <v>29375</v>
      </c>
      <c r="I3930" s="235" t="s">
        <v>29375</v>
      </c>
      <c r="J3930" s="235" t="s">
        <v>29376</v>
      </c>
      <c r="K3930" s="235" t="s">
        <v>12715</v>
      </c>
      <c r="N3930" s="235" t="s">
        <v>42</v>
      </c>
      <c r="O3930" s="235" t="s">
        <v>204</v>
      </c>
      <c r="P3930" s="238">
        <v>1.0</v>
      </c>
      <c r="Q3930" s="235" t="s">
        <v>627</v>
      </c>
      <c r="R3930" s="238">
        <v>236.19</v>
      </c>
      <c r="S3930" s="238">
        <v>11.81</v>
      </c>
      <c r="T3930" s="238">
        <v>0.0</v>
      </c>
      <c r="U3930" s="238">
        <v>0.0</v>
      </c>
      <c r="V3930" s="238">
        <v>0.0</v>
      </c>
      <c r="W3930" s="238">
        <v>0.0</v>
      </c>
      <c r="X3930" s="235" t="s">
        <v>628</v>
      </c>
      <c r="Z3930" s="245"/>
      <c r="AA3930" s="245"/>
      <c r="AB3930" s="245"/>
      <c r="AC3930" s="235" t="s">
        <v>697</v>
      </c>
      <c r="AD3930" s="235" t="s">
        <v>698</v>
      </c>
      <c r="AE3930" s="238">
        <v>500085.0</v>
      </c>
      <c r="AF3930" s="235" t="s">
        <v>631</v>
      </c>
      <c r="AG3930" s="245"/>
      <c r="AH3930" s="245"/>
      <c r="AI3930" s="245"/>
      <c r="AJ3930" s="245"/>
      <c r="AK3930" s="245"/>
      <c r="AL3930" s="245"/>
      <c r="AM3930" s="245"/>
      <c r="AN3930" s="245"/>
      <c r="AO3930" s="238">
        <v>0.0</v>
      </c>
      <c r="AP3930" s="238">
        <v>0.0</v>
      </c>
      <c r="AQ3930" s="235" t="s">
        <v>632</v>
      </c>
      <c r="AR3930" s="243">
        <v>3.71E11</v>
      </c>
      <c r="AS3930" s="235" t="s">
        <v>26892</v>
      </c>
      <c r="AT3930" s="235" t="s">
        <v>546</v>
      </c>
      <c r="AU3930" s="235" t="s">
        <v>634</v>
      </c>
      <c r="AV3930" s="246" t="s">
        <v>635</v>
      </c>
      <c r="AW3930" s="227"/>
      <c r="AX3930" s="227"/>
      <c r="AY3930" s="227"/>
      <c r="AZ3930" s="227"/>
      <c r="BA3930" s="227"/>
      <c r="BB3930" s="227"/>
      <c r="BC3930" s="227"/>
      <c r="BD3930" s="227"/>
      <c r="BE3930" s="227"/>
      <c r="BF3930" s="227"/>
    </row>
    <row r="3931">
      <c r="A3931" s="235" t="s">
        <v>29377</v>
      </c>
      <c r="C3931" s="235" t="s">
        <v>29378</v>
      </c>
      <c r="D3931" s="235" t="s">
        <v>29379</v>
      </c>
      <c r="E3931" s="243">
        <v>6.51E13</v>
      </c>
      <c r="F3931" s="245"/>
      <c r="G3931" s="235" t="s">
        <v>29380</v>
      </c>
      <c r="H3931" s="235" t="s">
        <v>29381</v>
      </c>
      <c r="I3931" s="235" t="s">
        <v>29381</v>
      </c>
      <c r="J3931" s="235" t="s">
        <v>29382</v>
      </c>
      <c r="K3931" s="235" t="s">
        <v>29383</v>
      </c>
      <c r="N3931" s="235" t="s">
        <v>134</v>
      </c>
      <c r="O3931" s="235" t="s">
        <v>314</v>
      </c>
      <c r="P3931" s="238">
        <v>1.0</v>
      </c>
      <c r="Q3931" s="235" t="s">
        <v>627</v>
      </c>
      <c r="R3931" s="238">
        <v>233.34</v>
      </c>
      <c r="S3931" s="238">
        <v>11.66</v>
      </c>
      <c r="T3931" s="238">
        <v>0.0</v>
      </c>
      <c r="U3931" s="238">
        <v>0.0</v>
      </c>
      <c r="V3931" s="238">
        <v>0.0</v>
      </c>
      <c r="W3931" s="238">
        <v>0.0</v>
      </c>
      <c r="X3931" s="235" t="s">
        <v>628</v>
      </c>
      <c r="Z3931" s="245"/>
      <c r="AA3931" s="245"/>
      <c r="AB3931" s="245"/>
      <c r="AC3931" s="235" t="s">
        <v>678</v>
      </c>
      <c r="AD3931" s="235" t="s">
        <v>679</v>
      </c>
      <c r="AE3931" s="238">
        <v>560091.0</v>
      </c>
      <c r="AF3931" s="235" t="s">
        <v>631</v>
      </c>
      <c r="AG3931" s="245"/>
      <c r="AH3931" s="245"/>
      <c r="AI3931" s="245"/>
      <c r="AJ3931" s="245"/>
      <c r="AK3931" s="245"/>
      <c r="AL3931" s="245"/>
      <c r="AM3931" s="245"/>
      <c r="AN3931" s="245"/>
      <c r="AO3931" s="238">
        <v>0.0</v>
      </c>
      <c r="AP3931" s="238">
        <v>0.0</v>
      </c>
      <c r="AQ3931" s="235" t="s">
        <v>632</v>
      </c>
      <c r="AR3931" s="243">
        <v>3.71E11</v>
      </c>
      <c r="AS3931" s="235" t="s">
        <v>28482</v>
      </c>
      <c r="AT3931" s="235" t="s">
        <v>11</v>
      </c>
      <c r="AU3931" s="235" t="s">
        <v>634</v>
      </c>
      <c r="AV3931" s="246" t="s">
        <v>635</v>
      </c>
      <c r="AW3931" s="227"/>
      <c r="AX3931" s="227"/>
      <c r="AY3931" s="227"/>
      <c r="AZ3931" s="227"/>
      <c r="BA3931" s="227"/>
      <c r="BB3931" s="227"/>
      <c r="BC3931" s="227"/>
      <c r="BD3931" s="227"/>
      <c r="BE3931" s="227"/>
      <c r="BF3931" s="227"/>
    </row>
    <row r="3932">
      <c r="A3932" s="235" t="s">
        <v>29384</v>
      </c>
      <c r="C3932" s="235" t="s">
        <v>29385</v>
      </c>
      <c r="D3932" s="235" t="s">
        <v>29386</v>
      </c>
      <c r="E3932" s="243">
        <v>6.51E13</v>
      </c>
      <c r="F3932" s="245"/>
      <c r="G3932" s="235" t="s">
        <v>29387</v>
      </c>
      <c r="H3932" s="235" t="s">
        <v>29388</v>
      </c>
      <c r="I3932" s="235" t="s">
        <v>29388</v>
      </c>
      <c r="J3932" s="235" t="s">
        <v>29389</v>
      </c>
      <c r="K3932" s="235" t="s">
        <v>29390</v>
      </c>
      <c r="N3932" s="235" t="s">
        <v>51</v>
      </c>
      <c r="O3932" s="235" t="s">
        <v>273</v>
      </c>
      <c r="P3932" s="238">
        <v>1.0</v>
      </c>
      <c r="Q3932" s="235" t="s">
        <v>627</v>
      </c>
      <c r="R3932" s="238">
        <v>246.67</v>
      </c>
      <c r="S3932" s="238">
        <v>11.96</v>
      </c>
      <c r="T3932" s="238">
        <v>0.0</v>
      </c>
      <c r="U3932" s="238">
        <v>0.0</v>
      </c>
      <c r="V3932" s="238">
        <v>0.0</v>
      </c>
      <c r="W3932" s="238">
        <v>0.0</v>
      </c>
      <c r="X3932" s="235" t="s">
        <v>628</v>
      </c>
      <c r="Z3932" s="245"/>
      <c r="AA3932" s="245"/>
      <c r="AB3932" s="245"/>
      <c r="AC3932" s="235" t="s">
        <v>814</v>
      </c>
      <c r="AD3932" s="235" t="s">
        <v>698</v>
      </c>
      <c r="AE3932" s="238">
        <v>500084.0</v>
      </c>
      <c r="AF3932" s="235" t="s">
        <v>631</v>
      </c>
      <c r="AG3932" s="245"/>
      <c r="AH3932" s="245"/>
      <c r="AI3932" s="245"/>
      <c r="AJ3932" s="245"/>
      <c r="AK3932" s="245"/>
      <c r="AL3932" s="245"/>
      <c r="AM3932" s="245"/>
      <c r="AN3932" s="245"/>
      <c r="AO3932" s="238">
        <v>-7.4</v>
      </c>
      <c r="AP3932" s="238">
        <v>0.0</v>
      </c>
      <c r="AQ3932" s="235" t="s">
        <v>632</v>
      </c>
      <c r="AR3932" s="243">
        <v>3.71E11</v>
      </c>
      <c r="AS3932" s="235" t="s">
        <v>26892</v>
      </c>
      <c r="AT3932" s="235" t="s">
        <v>546</v>
      </c>
      <c r="AU3932" s="235" t="s">
        <v>634</v>
      </c>
      <c r="AV3932" s="246" t="s">
        <v>635</v>
      </c>
      <c r="AW3932" s="227"/>
      <c r="AX3932" s="227"/>
      <c r="AY3932" s="227"/>
      <c r="AZ3932" s="227"/>
      <c r="BA3932" s="227"/>
      <c r="BB3932" s="227"/>
      <c r="BC3932" s="227"/>
      <c r="BD3932" s="227"/>
      <c r="BE3932" s="227"/>
      <c r="BF3932" s="227"/>
    </row>
    <row r="3933">
      <c r="A3933" s="235" t="s">
        <v>29391</v>
      </c>
      <c r="C3933" s="235" t="s">
        <v>29392</v>
      </c>
      <c r="D3933" s="235" t="s">
        <v>29393</v>
      </c>
      <c r="E3933" s="243">
        <v>6.51E13</v>
      </c>
      <c r="F3933" s="245"/>
      <c r="G3933" s="235" t="s">
        <v>29394</v>
      </c>
      <c r="H3933" s="235" t="s">
        <v>29395</v>
      </c>
      <c r="I3933" s="235" t="s">
        <v>29396</v>
      </c>
      <c r="J3933" s="235" t="s">
        <v>29397</v>
      </c>
      <c r="K3933" s="235" t="s">
        <v>29398</v>
      </c>
      <c r="N3933" s="235" t="s">
        <v>71</v>
      </c>
      <c r="O3933" s="235" t="s">
        <v>240</v>
      </c>
      <c r="P3933" s="238">
        <v>1.0</v>
      </c>
      <c r="Q3933" s="235" t="s">
        <v>627</v>
      </c>
      <c r="R3933" s="238">
        <v>223.8</v>
      </c>
      <c r="S3933" s="238">
        <v>10.86</v>
      </c>
      <c r="T3933" s="238">
        <v>0.0</v>
      </c>
      <c r="U3933" s="238">
        <v>0.0</v>
      </c>
      <c r="V3933" s="238">
        <v>0.0</v>
      </c>
      <c r="W3933" s="238">
        <v>0.0</v>
      </c>
      <c r="X3933" s="235" t="s">
        <v>628</v>
      </c>
      <c r="Z3933" s="245"/>
      <c r="AA3933" s="245"/>
      <c r="AB3933" s="245"/>
      <c r="AC3933" s="235" t="s">
        <v>678</v>
      </c>
      <c r="AD3933" s="235" t="s">
        <v>679</v>
      </c>
      <c r="AE3933" s="238">
        <v>560049.0</v>
      </c>
      <c r="AF3933" s="235" t="s">
        <v>631</v>
      </c>
      <c r="AG3933" s="245"/>
      <c r="AH3933" s="245"/>
      <c r="AI3933" s="245"/>
      <c r="AJ3933" s="245"/>
      <c r="AK3933" s="245"/>
      <c r="AL3933" s="245"/>
      <c r="AM3933" s="245"/>
      <c r="AN3933" s="245"/>
      <c r="AO3933" s="238">
        <v>-6.71</v>
      </c>
      <c r="AP3933" s="238">
        <v>0.0</v>
      </c>
      <c r="AQ3933" s="235" t="s">
        <v>632</v>
      </c>
      <c r="AR3933" s="243">
        <v>1.68E11</v>
      </c>
      <c r="AS3933" s="235" t="s">
        <v>28947</v>
      </c>
      <c r="AT3933" s="235" t="s">
        <v>11</v>
      </c>
      <c r="AU3933" s="235" t="s">
        <v>634</v>
      </c>
      <c r="AV3933" s="246" t="s">
        <v>635</v>
      </c>
      <c r="AW3933" s="227"/>
      <c r="AX3933" s="227"/>
      <c r="AY3933" s="227"/>
      <c r="AZ3933" s="227"/>
      <c r="BA3933" s="227"/>
      <c r="BB3933" s="227"/>
      <c r="BC3933" s="227"/>
      <c r="BD3933" s="227"/>
      <c r="BE3933" s="227"/>
      <c r="BF3933" s="227"/>
    </row>
    <row r="3934">
      <c r="A3934" s="235" t="s">
        <v>29399</v>
      </c>
      <c r="C3934" s="235" t="s">
        <v>29400</v>
      </c>
      <c r="D3934" s="235" t="s">
        <v>29401</v>
      </c>
      <c r="E3934" s="243">
        <v>6.51E13</v>
      </c>
      <c r="F3934" s="245"/>
      <c r="G3934" s="235" t="s">
        <v>29402</v>
      </c>
      <c r="H3934" s="235" t="s">
        <v>29403</v>
      </c>
      <c r="I3934" s="235" t="s">
        <v>29404</v>
      </c>
      <c r="J3934" s="235" t="s">
        <v>29405</v>
      </c>
      <c r="K3934" s="235" t="s">
        <v>29406</v>
      </c>
      <c r="N3934" s="235" t="s">
        <v>127</v>
      </c>
      <c r="O3934" s="235" t="s">
        <v>794</v>
      </c>
      <c r="P3934" s="238">
        <v>1.0</v>
      </c>
      <c r="Q3934" s="235" t="s">
        <v>627</v>
      </c>
      <c r="R3934" s="238">
        <v>236.19</v>
      </c>
      <c r="S3934" s="238">
        <v>11.81</v>
      </c>
      <c r="T3934" s="238">
        <v>0.0</v>
      </c>
      <c r="U3934" s="238">
        <v>0.0</v>
      </c>
      <c r="V3934" s="238">
        <v>0.0</v>
      </c>
      <c r="W3934" s="238">
        <v>0.0</v>
      </c>
      <c r="X3934" s="235" t="s">
        <v>628</v>
      </c>
      <c r="Z3934" s="245"/>
      <c r="AA3934" s="245"/>
      <c r="AB3934" s="245"/>
      <c r="AC3934" s="235" t="s">
        <v>8997</v>
      </c>
      <c r="AD3934" s="235" t="s">
        <v>1086</v>
      </c>
      <c r="AE3934" s="238">
        <v>140307.0</v>
      </c>
      <c r="AF3934" s="235" t="s">
        <v>631</v>
      </c>
      <c r="AG3934" s="245"/>
      <c r="AH3934" s="245"/>
      <c r="AI3934" s="245"/>
      <c r="AJ3934" s="245"/>
      <c r="AK3934" s="245"/>
      <c r="AL3934" s="245"/>
      <c r="AM3934" s="245"/>
      <c r="AN3934" s="245"/>
      <c r="AO3934" s="238">
        <v>0.0</v>
      </c>
      <c r="AP3934" s="238">
        <v>0.0</v>
      </c>
      <c r="AQ3934" s="235" t="s">
        <v>632</v>
      </c>
      <c r="AR3934" s="243">
        <v>3.71E11</v>
      </c>
      <c r="AS3934" s="235" t="s">
        <v>26892</v>
      </c>
      <c r="AT3934" s="235" t="s">
        <v>14</v>
      </c>
      <c r="AU3934" s="235" t="s">
        <v>634</v>
      </c>
      <c r="AV3934" s="246" t="s">
        <v>635</v>
      </c>
      <c r="AW3934" s="227"/>
      <c r="AX3934" s="227"/>
      <c r="AY3934" s="227"/>
      <c r="AZ3934" s="227"/>
      <c r="BA3934" s="227"/>
      <c r="BB3934" s="227"/>
      <c r="BC3934" s="227"/>
      <c r="BD3934" s="227"/>
      <c r="BE3934" s="227"/>
      <c r="BF3934" s="227"/>
    </row>
    <row r="3935">
      <c r="A3935" s="235" t="s">
        <v>29407</v>
      </c>
      <c r="C3935" s="235" t="s">
        <v>29408</v>
      </c>
      <c r="D3935" s="235" t="s">
        <v>29409</v>
      </c>
      <c r="E3935" s="243">
        <v>6.51E13</v>
      </c>
      <c r="F3935" s="245"/>
      <c r="G3935" s="235" t="s">
        <v>29410</v>
      </c>
      <c r="H3935" s="235" t="s">
        <v>29411</v>
      </c>
      <c r="I3935" s="235" t="s">
        <v>29412</v>
      </c>
      <c r="J3935" s="235" t="s">
        <v>29413</v>
      </c>
      <c r="K3935" s="235" t="s">
        <v>29414</v>
      </c>
      <c r="N3935" s="235" t="s">
        <v>136</v>
      </c>
      <c r="O3935" s="235" t="s">
        <v>256</v>
      </c>
      <c r="P3935" s="238">
        <v>1.0</v>
      </c>
      <c r="Q3935" s="235" t="s">
        <v>627</v>
      </c>
      <c r="R3935" s="238">
        <v>237.14</v>
      </c>
      <c r="S3935" s="238">
        <v>11.5</v>
      </c>
      <c r="T3935" s="238">
        <v>0.0</v>
      </c>
      <c r="U3935" s="238">
        <v>0.0</v>
      </c>
      <c r="V3935" s="238">
        <v>0.0</v>
      </c>
      <c r="W3935" s="238">
        <v>0.0</v>
      </c>
      <c r="X3935" s="235" t="s">
        <v>628</v>
      </c>
      <c r="Z3935" s="245"/>
      <c r="AA3935" s="245"/>
      <c r="AB3935" s="245"/>
      <c r="AC3935" s="235" t="s">
        <v>1514</v>
      </c>
      <c r="AD3935" s="235" t="s">
        <v>1077</v>
      </c>
      <c r="AE3935" s="238">
        <v>380058.0</v>
      </c>
      <c r="AF3935" s="235" t="s">
        <v>631</v>
      </c>
      <c r="AG3935" s="245"/>
      <c r="AH3935" s="245"/>
      <c r="AI3935" s="245"/>
      <c r="AJ3935" s="245"/>
      <c r="AK3935" s="245"/>
      <c r="AL3935" s="245"/>
      <c r="AM3935" s="245"/>
      <c r="AN3935" s="245"/>
      <c r="AO3935" s="238">
        <v>-7.11</v>
      </c>
      <c r="AP3935" s="238">
        <v>0.0</v>
      </c>
      <c r="AQ3935" s="235" t="s">
        <v>632</v>
      </c>
      <c r="AR3935" s="243">
        <v>1.68E11</v>
      </c>
      <c r="AS3935" s="235" t="s">
        <v>28947</v>
      </c>
      <c r="AT3935" s="235" t="s">
        <v>5</v>
      </c>
      <c r="AU3935" s="235" t="s">
        <v>634</v>
      </c>
      <c r="AV3935" s="246" t="s">
        <v>635</v>
      </c>
      <c r="AW3935" s="227"/>
      <c r="AX3935" s="227"/>
      <c r="AY3935" s="227"/>
      <c r="AZ3935" s="227"/>
      <c r="BA3935" s="227"/>
      <c r="BB3935" s="227"/>
      <c r="BC3935" s="227"/>
      <c r="BD3935" s="227"/>
      <c r="BE3935" s="227"/>
      <c r="BF3935" s="227"/>
    </row>
    <row r="3936">
      <c r="A3936" s="235" t="s">
        <v>29415</v>
      </c>
      <c r="C3936" s="235" t="s">
        <v>29416</v>
      </c>
      <c r="D3936" s="235" t="s">
        <v>29417</v>
      </c>
      <c r="E3936" s="243">
        <v>6.51E13</v>
      </c>
      <c r="F3936" s="245"/>
      <c r="G3936" s="235" t="s">
        <v>29418</v>
      </c>
      <c r="H3936" s="235" t="s">
        <v>29419</v>
      </c>
      <c r="I3936" s="235" t="s">
        <v>29419</v>
      </c>
      <c r="J3936" s="235" t="s">
        <v>29420</v>
      </c>
      <c r="K3936" s="235" t="s">
        <v>29421</v>
      </c>
      <c r="N3936" s="235" t="s">
        <v>138</v>
      </c>
      <c r="O3936" s="235" t="s">
        <v>675</v>
      </c>
      <c r="P3936" s="238">
        <v>1.0</v>
      </c>
      <c r="Q3936" s="235" t="s">
        <v>627</v>
      </c>
      <c r="R3936" s="238">
        <v>233.34</v>
      </c>
      <c r="S3936" s="238">
        <v>11.43</v>
      </c>
      <c r="T3936" s="238">
        <v>0.0</v>
      </c>
      <c r="U3936" s="238">
        <v>0.0</v>
      </c>
      <c r="V3936" s="238">
        <v>0.0</v>
      </c>
      <c r="W3936" s="238">
        <v>0.0</v>
      </c>
      <c r="X3936" s="235" t="s">
        <v>628</v>
      </c>
      <c r="Z3936" s="245"/>
      <c r="AA3936" s="245"/>
      <c r="AB3936" s="245"/>
      <c r="AC3936" s="235" t="s">
        <v>1910</v>
      </c>
      <c r="AD3936" s="235" t="s">
        <v>928</v>
      </c>
      <c r="AE3936" s="238">
        <v>122001.0</v>
      </c>
      <c r="AF3936" s="235" t="s">
        <v>631</v>
      </c>
      <c r="AG3936" s="245"/>
      <c r="AH3936" s="245"/>
      <c r="AI3936" s="245"/>
      <c r="AJ3936" s="245"/>
      <c r="AK3936" s="245"/>
      <c r="AL3936" s="245"/>
      <c r="AM3936" s="245"/>
      <c r="AN3936" s="245"/>
      <c r="AO3936" s="238">
        <v>-4.67</v>
      </c>
      <c r="AP3936" s="238">
        <v>0.0</v>
      </c>
      <c r="AQ3936" s="235" t="s">
        <v>632</v>
      </c>
      <c r="AR3936" s="243">
        <v>3.71E11</v>
      </c>
      <c r="AS3936" s="235" t="s">
        <v>28482</v>
      </c>
      <c r="AT3936" s="235" t="s">
        <v>533</v>
      </c>
      <c r="AU3936" s="235" t="s">
        <v>634</v>
      </c>
      <c r="AV3936" s="246" t="s">
        <v>635</v>
      </c>
      <c r="AW3936" s="227"/>
      <c r="AX3936" s="227"/>
      <c r="AY3936" s="227"/>
      <c r="AZ3936" s="227"/>
      <c r="BA3936" s="227"/>
      <c r="BB3936" s="227"/>
      <c r="BC3936" s="227"/>
      <c r="BD3936" s="227"/>
      <c r="BE3936" s="227"/>
      <c r="BF3936" s="227"/>
    </row>
    <row r="3937">
      <c r="A3937" s="235" t="s">
        <v>29422</v>
      </c>
      <c r="C3937" s="235" t="s">
        <v>29423</v>
      </c>
      <c r="D3937" s="235" t="s">
        <v>29424</v>
      </c>
      <c r="E3937" s="243">
        <v>6.51E13</v>
      </c>
      <c r="F3937" s="245"/>
      <c r="G3937" s="235" t="s">
        <v>29425</v>
      </c>
      <c r="H3937" s="235" t="s">
        <v>29426</v>
      </c>
      <c r="I3937" s="235" t="s">
        <v>29426</v>
      </c>
      <c r="J3937" s="235" t="s">
        <v>29427</v>
      </c>
      <c r="K3937" s="235" t="s">
        <v>29428</v>
      </c>
      <c r="N3937" s="235" t="s">
        <v>139</v>
      </c>
      <c r="O3937" s="235" t="s">
        <v>2091</v>
      </c>
      <c r="P3937" s="238">
        <v>1.0</v>
      </c>
      <c r="Q3937" s="235" t="s">
        <v>627</v>
      </c>
      <c r="R3937" s="238">
        <v>233.34</v>
      </c>
      <c r="S3937" s="238">
        <v>11.43</v>
      </c>
      <c r="T3937" s="238">
        <v>0.0</v>
      </c>
      <c r="U3937" s="238">
        <v>0.0</v>
      </c>
      <c r="V3937" s="238">
        <v>0.0</v>
      </c>
      <c r="W3937" s="238">
        <v>0.0</v>
      </c>
      <c r="X3937" s="235" t="s">
        <v>628</v>
      </c>
      <c r="Z3937" s="245"/>
      <c r="AA3937" s="245"/>
      <c r="AB3937" s="245"/>
      <c r="AC3937" s="235" t="s">
        <v>1887</v>
      </c>
      <c r="AD3937" s="235" t="s">
        <v>679</v>
      </c>
      <c r="AE3937" s="238">
        <v>560068.0</v>
      </c>
      <c r="AF3937" s="235" t="s">
        <v>631</v>
      </c>
      <c r="AG3937" s="245"/>
      <c r="AH3937" s="245"/>
      <c r="AI3937" s="245"/>
      <c r="AJ3937" s="245"/>
      <c r="AK3937" s="245"/>
      <c r="AL3937" s="245"/>
      <c r="AM3937" s="245"/>
      <c r="AN3937" s="245"/>
      <c r="AO3937" s="238">
        <v>-4.67</v>
      </c>
      <c r="AP3937" s="238">
        <v>0.0</v>
      </c>
      <c r="AQ3937" s="235" t="s">
        <v>632</v>
      </c>
      <c r="AR3937" s="243">
        <v>3.71E11</v>
      </c>
      <c r="AS3937" s="235" t="s">
        <v>28482</v>
      </c>
      <c r="AT3937" s="235" t="s">
        <v>9</v>
      </c>
      <c r="AU3937" s="235" t="s">
        <v>634</v>
      </c>
      <c r="AV3937" s="246" t="s">
        <v>635</v>
      </c>
      <c r="AW3937" s="227"/>
      <c r="AX3937" s="227"/>
      <c r="AY3937" s="227"/>
      <c r="AZ3937" s="227"/>
      <c r="BA3937" s="227"/>
      <c r="BB3937" s="227"/>
      <c r="BC3937" s="227"/>
      <c r="BD3937" s="227"/>
      <c r="BE3937" s="227"/>
      <c r="BF3937" s="227"/>
    </row>
    <row r="3938">
      <c r="A3938" s="235" t="s">
        <v>29429</v>
      </c>
      <c r="C3938" s="235" t="s">
        <v>29430</v>
      </c>
      <c r="D3938" s="235" t="s">
        <v>29431</v>
      </c>
      <c r="E3938" s="243">
        <v>6.51E13</v>
      </c>
      <c r="F3938" s="245"/>
      <c r="G3938" s="235" t="s">
        <v>29432</v>
      </c>
      <c r="H3938" s="235" t="s">
        <v>29433</v>
      </c>
      <c r="I3938" s="235" t="s">
        <v>29433</v>
      </c>
      <c r="J3938" s="235" t="s">
        <v>29434</v>
      </c>
      <c r="K3938" s="235" t="s">
        <v>29435</v>
      </c>
      <c r="N3938" s="235" t="s">
        <v>154</v>
      </c>
      <c r="O3938" s="235" t="s">
        <v>766</v>
      </c>
      <c r="P3938" s="238">
        <v>1.0</v>
      </c>
      <c r="Q3938" s="235" t="s">
        <v>627</v>
      </c>
      <c r="R3938" s="238">
        <v>423.81</v>
      </c>
      <c r="S3938" s="238">
        <v>20.55</v>
      </c>
      <c r="T3938" s="238">
        <v>0.0</v>
      </c>
      <c r="U3938" s="238">
        <v>0.0</v>
      </c>
      <c r="V3938" s="238">
        <v>0.0</v>
      </c>
      <c r="W3938" s="238">
        <v>0.0</v>
      </c>
      <c r="X3938" s="235" t="s">
        <v>628</v>
      </c>
      <c r="Z3938" s="245"/>
      <c r="AA3938" s="245"/>
      <c r="AB3938" s="245"/>
      <c r="AC3938" s="235" t="s">
        <v>6968</v>
      </c>
      <c r="AD3938" s="235" t="s">
        <v>833</v>
      </c>
      <c r="AE3938" s="238">
        <v>517501.0</v>
      </c>
      <c r="AF3938" s="235" t="s">
        <v>631</v>
      </c>
      <c r="AG3938" s="245"/>
      <c r="AH3938" s="245"/>
      <c r="AI3938" s="245"/>
      <c r="AJ3938" s="245"/>
      <c r="AK3938" s="245"/>
      <c r="AL3938" s="245"/>
      <c r="AM3938" s="245"/>
      <c r="AN3938" s="245"/>
      <c r="AO3938" s="238">
        <v>-12.71</v>
      </c>
      <c r="AP3938" s="238">
        <v>0.0</v>
      </c>
      <c r="AQ3938" s="235" t="s">
        <v>632</v>
      </c>
      <c r="AR3938" s="243">
        <v>3.71E11</v>
      </c>
      <c r="AS3938" s="235" t="s">
        <v>28482</v>
      </c>
      <c r="AT3938" s="235" t="s">
        <v>156</v>
      </c>
      <c r="AU3938" s="235" t="s">
        <v>634</v>
      </c>
      <c r="AV3938" s="246" t="s">
        <v>635</v>
      </c>
      <c r="AW3938" s="227"/>
      <c r="AX3938" s="227"/>
      <c r="AY3938" s="227"/>
      <c r="AZ3938" s="227"/>
      <c r="BA3938" s="227"/>
      <c r="BB3938" s="227"/>
      <c r="BC3938" s="227"/>
      <c r="BD3938" s="227"/>
      <c r="BE3938" s="227"/>
      <c r="BF3938" s="227"/>
    </row>
    <row r="3939">
      <c r="A3939" s="235" t="s">
        <v>29429</v>
      </c>
      <c r="C3939" s="235" t="s">
        <v>29430</v>
      </c>
      <c r="D3939" s="235" t="s">
        <v>29436</v>
      </c>
      <c r="E3939" s="243">
        <v>6.51E13</v>
      </c>
      <c r="F3939" s="245"/>
      <c r="G3939" s="235" t="s">
        <v>29432</v>
      </c>
      <c r="H3939" s="235" t="s">
        <v>29433</v>
      </c>
      <c r="I3939" s="235" t="s">
        <v>29433</v>
      </c>
      <c r="J3939" s="235" t="s">
        <v>29434</v>
      </c>
      <c r="K3939" s="235" t="s">
        <v>29435</v>
      </c>
      <c r="N3939" s="235" t="s">
        <v>154</v>
      </c>
      <c r="O3939" s="235" t="s">
        <v>766</v>
      </c>
      <c r="P3939" s="238">
        <v>1.0</v>
      </c>
      <c r="Q3939" s="235" t="s">
        <v>627</v>
      </c>
      <c r="R3939" s="238">
        <v>423.81</v>
      </c>
      <c r="S3939" s="238">
        <v>20.55</v>
      </c>
      <c r="T3939" s="238">
        <v>0.0</v>
      </c>
      <c r="U3939" s="238">
        <v>0.0</v>
      </c>
      <c r="V3939" s="238">
        <v>0.0</v>
      </c>
      <c r="W3939" s="238">
        <v>0.0</v>
      </c>
      <c r="X3939" s="235" t="s">
        <v>628</v>
      </c>
      <c r="Z3939" s="245"/>
      <c r="AA3939" s="245"/>
      <c r="AB3939" s="245"/>
      <c r="AC3939" s="235" t="s">
        <v>6968</v>
      </c>
      <c r="AD3939" s="235" t="s">
        <v>833</v>
      </c>
      <c r="AE3939" s="238">
        <v>517501.0</v>
      </c>
      <c r="AF3939" s="235" t="s">
        <v>631</v>
      </c>
      <c r="AG3939" s="245"/>
      <c r="AH3939" s="245"/>
      <c r="AI3939" s="245"/>
      <c r="AJ3939" s="245"/>
      <c r="AK3939" s="245"/>
      <c r="AL3939" s="245"/>
      <c r="AM3939" s="245"/>
      <c r="AN3939" s="245"/>
      <c r="AO3939" s="238">
        <v>-12.71</v>
      </c>
      <c r="AP3939" s="238">
        <v>0.0</v>
      </c>
      <c r="AQ3939" s="235" t="s">
        <v>632</v>
      </c>
      <c r="AR3939" s="243">
        <v>3.71E11</v>
      </c>
      <c r="AS3939" s="235" t="s">
        <v>28482</v>
      </c>
      <c r="AT3939" s="235" t="s">
        <v>156</v>
      </c>
      <c r="AU3939" s="235" t="s">
        <v>634</v>
      </c>
      <c r="AV3939" s="246" t="s">
        <v>635</v>
      </c>
      <c r="AW3939" s="227"/>
      <c r="AX3939" s="227"/>
      <c r="AY3939" s="227"/>
      <c r="AZ3939" s="227"/>
      <c r="BA3939" s="227"/>
      <c r="BB3939" s="227"/>
      <c r="BC3939" s="227"/>
      <c r="BD3939" s="227"/>
      <c r="BE3939" s="227"/>
      <c r="BF3939" s="227"/>
    </row>
    <row r="3940">
      <c r="A3940" s="235" t="s">
        <v>29437</v>
      </c>
      <c r="C3940" s="235" t="s">
        <v>29438</v>
      </c>
      <c r="D3940" s="235" t="s">
        <v>29439</v>
      </c>
      <c r="E3940" s="243">
        <v>6.51E13</v>
      </c>
      <c r="F3940" s="245"/>
      <c r="G3940" s="235" t="s">
        <v>29440</v>
      </c>
      <c r="H3940" s="235" t="s">
        <v>29441</v>
      </c>
      <c r="I3940" s="235" t="s">
        <v>26026</v>
      </c>
      <c r="J3940" s="235" t="s">
        <v>29442</v>
      </c>
      <c r="K3940" s="235" t="s">
        <v>29443</v>
      </c>
      <c r="N3940" s="235" t="s">
        <v>2696</v>
      </c>
      <c r="O3940" s="235" t="s">
        <v>2697</v>
      </c>
      <c r="P3940" s="238">
        <v>1.0</v>
      </c>
      <c r="Q3940" s="235" t="s">
        <v>627</v>
      </c>
      <c r="R3940" s="238">
        <v>233.33</v>
      </c>
      <c r="S3940" s="238">
        <v>11.32</v>
      </c>
      <c r="T3940" s="238">
        <v>0.0</v>
      </c>
      <c r="U3940" s="238">
        <v>0.0</v>
      </c>
      <c r="V3940" s="238">
        <v>0.0</v>
      </c>
      <c r="W3940" s="238">
        <v>0.0</v>
      </c>
      <c r="X3940" s="235" t="s">
        <v>628</v>
      </c>
      <c r="Z3940" s="245"/>
      <c r="AA3940" s="245"/>
      <c r="AB3940" s="245"/>
      <c r="AC3940" s="235" t="s">
        <v>1531</v>
      </c>
      <c r="AD3940" s="235" t="s">
        <v>1151</v>
      </c>
      <c r="AE3940" s="238">
        <v>700028.0</v>
      </c>
      <c r="AF3940" s="235" t="s">
        <v>631</v>
      </c>
      <c r="AG3940" s="245"/>
      <c r="AH3940" s="245"/>
      <c r="AI3940" s="245"/>
      <c r="AJ3940" s="245"/>
      <c r="AK3940" s="245"/>
      <c r="AL3940" s="245"/>
      <c r="AM3940" s="245"/>
      <c r="AN3940" s="245"/>
      <c r="AO3940" s="238">
        <v>-7.0</v>
      </c>
      <c r="AP3940" s="238">
        <v>0.0</v>
      </c>
      <c r="AQ3940" s="235" t="s">
        <v>632</v>
      </c>
      <c r="AR3940" s="243">
        <v>2.02E11</v>
      </c>
      <c r="AS3940" s="235" t="s">
        <v>26892</v>
      </c>
      <c r="AT3940" s="235" t="s">
        <v>14</v>
      </c>
      <c r="AU3940" s="235" t="s">
        <v>634</v>
      </c>
      <c r="AV3940" s="246" t="s">
        <v>635</v>
      </c>
      <c r="AW3940" s="227"/>
      <c r="AX3940" s="227"/>
      <c r="AY3940" s="227"/>
      <c r="AZ3940" s="227"/>
      <c r="BA3940" s="227"/>
      <c r="BB3940" s="227"/>
      <c r="BC3940" s="227"/>
      <c r="BD3940" s="227"/>
      <c r="BE3940" s="227"/>
      <c r="BF3940" s="227"/>
    </row>
    <row r="3941">
      <c r="A3941" s="235" t="s">
        <v>29444</v>
      </c>
      <c r="C3941" s="235" t="s">
        <v>29445</v>
      </c>
      <c r="D3941" s="235" t="s">
        <v>29446</v>
      </c>
      <c r="E3941" s="243">
        <v>6.51E13</v>
      </c>
      <c r="F3941" s="245"/>
      <c r="G3941" s="235" t="s">
        <v>29447</v>
      </c>
      <c r="H3941" s="235" t="s">
        <v>29448</v>
      </c>
      <c r="I3941" s="235" t="s">
        <v>29449</v>
      </c>
      <c r="J3941" s="235" t="s">
        <v>29450</v>
      </c>
      <c r="K3941" s="235" t="s">
        <v>29451</v>
      </c>
      <c r="N3941" s="235" t="s">
        <v>51</v>
      </c>
      <c r="O3941" s="235" t="s">
        <v>273</v>
      </c>
      <c r="P3941" s="238">
        <v>1.0</v>
      </c>
      <c r="Q3941" s="235" t="s">
        <v>627</v>
      </c>
      <c r="R3941" s="238">
        <v>236.19</v>
      </c>
      <c r="S3941" s="238">
        <v>11.46</v>
      </c>
      <c r="T3941" s="238">
        <v>0.0</v>
      </c>
      <c r="U3941" s="238">
        <v>0.0</v>
      </c>
      <c r="V3941" s="238">
        <v>0.0</v>
      </c>
      <c r="W3941" s="238">
        <v>0.0</v>
      </c>
      <c r="X3941" s="235" t="s">
        <v>628</v>
      </c>
      <c r="Z3941" s="245"/>
      <c r="AA3941" s="245"/>
      <c r="AB3941" s="245"/>
      <c r="AC3941" s="235" t="s">
        <v>1058</v>
      </c>
      <c r="AD3941" s="235" t="s">
        <v>845</v>
      </c>
      <c r="AE3941" s="238">
        <v>400053.0</v>
      </c>
      <c r="AF3941" s="235" t="s">
        <v>631</v>
      </c>
      <c r="AG3941" s="245"/>
      <c r="AH3941" s="245"/>
      <c r="AI3941" s="245"/>
      <c r="AJ3941" s="245"/>
      <c r="AK3941" s="245"/>
      <c r="AL3941" s="245"/>
      <c r="AM3941" s="245"/>
      <c r="AN3941" s="245"/>
      <c r="AO3941" s="238">
        <v>-7.09</v>
      </c>
      <c r="AP3941" s="238">
        <v>0.0</v>
      </c>
      <c r="AQ3941" s="235" t="s">
        <v>2581</v>
      </c>
      <c r="AR3941" s="235" t="s">
        <v>29452</v>
      </c>
      <c r="AS3941" s="235" t="s">
        <v>17988</v>
      </c>
      <c r="AT3941" s="235" t="s">
        <v>16</v>
      </c>
      <c r="AU3941" s="235" t="s">
        <v>634</v>
      </c>
      <c r="AV3941" s="246" t="s">
        <v>635</v>
      </c>
      <c r="AW3941" s="227"/>
      <c r="AX3941" s="227"/>
      <c r="AY3941" s="227"/>
      <c r="AZ3941" s="227"/>
      <c r="BA3941" s="227"/>
      <c r="BB3941" s="227"/>
      <c r="BC3941" s="227"/>
      <c r="BD3941" s="227"/>
      <c r="BE3941" s="227"/>
      <c r="BF3941" s="227"/>
    </row>
    <row r="3942">
      <c r="A3942" s="235" t="s">
        <v>29453</v>
      </c>
      <c r="C3942" s="235" t="s">
        <v>29454</v>
      </c>
      <c r="D3942" s="235" t="s">
        <v>29455</v>
      </c>
      <c r="E3942" s="243">
        <v>6.51E13</v>
      </c>
      <c r="F3942" s="245"/>
      <c r="G3942" s="235" t="s">
        <v>29456</v>
      </c>
      <c r="H3942" s="235" t="s">
        <v>29457</v>
      </c>
      <c r="I3942" s="235" t="s">
        <v>29457</v>
      </c>
      <c r="J3942" s="235" t="s">
        <v>29458</v>
      </c>
      <c r="K3942" s="235" t="s">
        <v>29459</v>
      </c>
      <c r="N3942" s="235" t="s">
        <v>126</v>
      </c>
      <c r="O3942" s="235" t="s">
        <v>407</v>
      </c>
      <c r="P3942" s="238">
        <v>1.0</v>
      </c>
      <c r="Q3942" s="235" t="s">
        <v>627</v>
      </c>
      <c r="R3942" s="238">
        <v>233.33</v>
      </c>
      <c r="S3942" s="238">
        <v>11.32</v>
      </c>
      <c r="T3942" s="238">
        <v>0.0</v>
      </c>
      <c r="U3942" s="238">
        <v>0.0</v>
      </c>
      <c r="V3942" s="238">
        <v>0.0</v>
      </c>
      <c r="W3942" s="238">
        <v>0.0</v>
      </c>
      <c r="X3942" s="235" t="s">
        <v>628</v>
      </c>
      <c r="Z3942" s="245"/>
      <c r="AA3942" s="245"/>
      <c r="AB3942" s="245"/>
      <c r="AC3942" s="235" t="s">
        <v>1475</v>
      </c>
      <c r="AD3942" s="235" t="s">
        <v>796</v>
      </c>
      <c r="AE3942" s="238">
        <v>110075.0</v>
      </c>
      <c r="AF3942" s="235" t="s">
        <v>631</v>
      </c>
      <c r="AG3942" s="245"/>
      <c r="AH3942" s="245"/>
      <c r="AI3942" s="245"/>
      <c r="AJ3942" s="245"/>
      <c r="AK3942" s="245"/>
      <c r="AL3942" s="245"/>
      <c r="AM3942" s="245"/>
      <c r="AN3942" s="245"/>
      <c r="AO3942" s="238">
        <v>-7.0</v>
      </c>
      <c r="AP3942" s="238">
        <v>0.0</v>
      </c>
      <c r="AQ3942" s="235" t="s">
        <v>632</v>
      </c>
      <c r="AR3942" s="243">
        <v>2.02E11</v>
      </c>
      <c r="AS3942" s="235" t="s">
        <v>28482</v>
      </c>
      <c r="AT3942" s="235" t="s">
        <v>546</v>
      </c>
      <c r="AU3942" s="235" t="s">
        <v>634</v>
      </c>
      <c r="AV3942" s="246" t="s">
        <v>635</v>
      </c>
      <c r="AW3942" s="227"/>
      <c r="AX3942" s="227"/>
      <c r="AY3942" s="227"/>
      <c r="AZ3942" s="227"/>
      <c r="BA3942" s="227"/>
      <c r="BB3942" s="227"/>
      <c r="BC3942" s="227"/>
      <c r="BD3942" s="227"/>
      <c r="BE3942" s="227"/>
      <c r="BF3942" s="227"/>
    </row>
    <row r="3943">
      <c r="A3943" s="235" t="s">
        <v>29460</v>
      </c>
      <c r="C3943" s="235" t="s">
        <v>29461</v>
      </c>
      <c r="D3943" s="235" t="s">
        <v>29462</v>
      </c>
      <c r="E3943" s="243">
        <v>6.51E13</v>
      </c>
      <c r="F3943" s="245"/>
      <c r="G3943" s="235" t="s">
        <v>29463</v>
      </c>
      <c r="H3943" s="235" t="s">
        <v>29464</v>
      </c>
      <c r="I3943" s="235" t="s">
        <v>29464</v>
      </c>
      <c r="J3943" s="235" t="s">
        <v>29465</v>
      </c>
      <c r="K3943" s="235" t="s">
        <v>29466</v>
      </c>
      <c r="N3943" s="235" t="s">
        <v>85</v>
      </c>
      <c r="O3943" s="235" t="s">
        <v>872</v>
      </c>
      <c r="P3943" s="238">
        <v>1.0</v>
      </c>
      <c r="Q3943" s="235" t="s">
        <v>627</v>
      </c>
      <c r="R3943" s="238">
        <v>232.38</v>
      </c>
      <c r="S3943" s="238">
        <v>11.27</v>
      </c>
      <c r="T3943" s="238">
        <v>0.0</v>
      </c>
      <c r="U3943" s="238">
        <v>0.0</v>
      </c>
      <c r="V3943" s="238">
        <v>0.0</v>
      </c>
      <c r="W3943" s="238">
        <v>0.0</v>
      </c>
      <c r="X3943" s="235" t="s">
        <v>628</v>
      </c>
      <c r="Z3943" s="245"/>
      <c r="AA3943" s="245"/>
      <c r="AB3943" s="245"/>
      <c r="AC3943" s="235" t="s">
        <v>1613</v>
      </c>
      <c r="AD3943" s="235" t="s">
        <v>630</v>
      </c>
      <c r="AE3943" s="238">
        <v>226031.0</v>
      </c>
      <c r="AF3943" s="235" t="s">
        <v>631</v>
      </c>
      <c r="AG3943" s="245"/>
      <c r="AH3943" s="245"/>
      <c r="AI3943" s="245"/>
      <c r="AJ3943" s="245"/>
      <c r="AK3943" s="245"/>
      <c r="AL3943" s="245"/>
      <c r="AM3943" s="245"/>
      <c r="AN3943" s="245"/>
      <c r="AO3943" s="238">
        <v>-6.97</v>
      </c>
      <c r="AP3943" s="238">
        <v>0.0</v>
      </c>
      <c r="AQ3943" s="235" t="s">
        <v>632</v>
      </c>
      <c r="AR3943" s="243">
        <v>2.02E11</v>
      </c>
      <c r="AS3943" s="235" t="s">
        <v>28482</v>
      </c>
      <c r="AT3943" s="235" t="s">
        <v>14</v>
      </c>
      <c r="AU3943" s="235" t="s">
        <v>634</v>
      </c>
      <c r="AV3943" s="246" t="s">
        <v>635</v>
      </c>
      <c r="AW3943" s="227"/>
      <c r="AX3943" s="227"/>
      <c r="AY3943" s="227"/>
      <c r="AZ3943" s="227"/>
      <c r="BA3943" s="227"/>
      <c r="BB3943" s="227"/>
      <c r="BC3943" s="227"/>
      <c r="BD3943" s="227"/>
      <c r="BE3943" s="227"/>
      <c r="BF3943" s="227"/>
    </row>
    <row r="3944">
      <c r="A3944" s="235" t="s">
        <v>29467</v>
      </c>
      <c r="C3944" s="235" t="s">
        <v>29468</v>
      </c>
      <c r="D3944" s="235" t="s">
        <v>29469</v>
      </c>
      <c r="E3944" s="243">
        <v>6.51E13</v>
      </c>
      <c r="F3944" s="245"/>
      <c r="G3944" s="235" t="s">
        <v>29470</v>
      </c>
      <c r="H3944" s="235" t="s">
        <v>29471</v>
      </c>
      <c r="I3944" s="235" t="s">
        <v>29471</v>
      </c>
      <c r="J3944" s="235" t="s">
        <v>29472</v>
      </c>
      <c r="K3944" s="235" t="s">
        <v>29473</v>
      </c>
      <c r="N3944" s="235" t="s">
        <v>42</v>
      </c>
      <c r="O3944" s="235" t="s">
        <v>204</v>
      </c>
      <c r="P3944" s="238">
        <v>1.0</v>
      </c>
      <c r="Q3944" s="235" t="s">
        <v>627</v>
      </c>
      <c r="R3944" s="238">
        <v>236.19</v>
      </c>
      <c r="S3944" s="238">
        <v>11.46</v>
      </c>
      <c r="T3944" s="238">
        <v>0.0</v>
      </c>
      <c r="U3944" s="238">
        <v>0.0</v>
      </c>
      <c r="V3944" s="238">
        <v>0.0</v>
      </c>
      <c r="W3944" s="238">
        <v>0.0</v>
      </c>
      <c r="X3944" s="235" t="s">
        <v>628</v>
      </c>
      <c r="Z3944" s="245"/>
      <c r="AA3944" s="245"/>
      <c r="AB3944" s="245"/>
      <c r="AC3944" s="235" t="s">
        <v>697</v>
      </c>
      <c r="AD3944" s="235" t="s">
        <v>698</v>
      </c>
      <c r="AE3944" s="238">
        <v>500008.0</v>
      </c>
      <c r="AF3944" s="235" t="s">
        <v>631</v>
      </c>
      <c r="AG3944" s="245"/>
      <c r="AH3944" s="245"/>
      <c r="AI3944" s="245"/>
      <c r="AJ3944" s="245"/>
      <c r="AK3944" s="245"/>
      <c r="AL3944" s="245"/>
      <c r="AM3944" s="245"/>
      <c r="AN3944" s="245"/>
      <c r="AO3944" s="238">
        <v>-7.09</v>
      </c>
      <c r="AP3944" s="238">
        <v>0.0</v>
      </c>
      <c r="AQ3944" s="235" t="s">
        <v>632</v>
      </c>
      <c r="AR3944" s="243">
        <v>3.71E11</v>
      </c>
      <c r="AS3944" s="235" t="s">
        <v>26892</v>
      </c>
      <c r="AT3944" s="235" t="s">
        <v>546</v>
      </c>
      <c r="AU3944" s="235" t="s">
        <v>634</v>
      </c>
      <c r="AV3944" s="246" t="s">
        <v>635</v>
      </c>
      <c r="AW3944" s="227"/>
      <c r="AX3944" s="227"/>
      <c r="AY3944" s="227"/>
      <c r="AZ3944" s="227"/>
      <c r="BA3944" s="227"/>
      <c r="BB3944" s="227"/>
      <c r="BC3944" s="227"/>
      <c r="BD3944" s="227"/>
      <c r="BE3944" s="227"/>
      <c r="BF3944" s="227"/>
    </row>
    <row r="3945">
      <c r="A3945" s="235" t="s">
        <v>29474</v>
      </c>
      <c r="C3945" s="235" t="s">
        <v>29475</v>
      </c>
      <c r="D3945" s="235" t="s">
        <v>29476</v>
      </c>
      <c r="E3945" s="243">
        <v>6.51E13</v>
      </c>
      <c r="F3945" s="245"/>
      <c r="G3945" s="235" t="s">
        <v>29477</v>
      </c>
      <c r="H3945" s="235" t="s">
        <v>29478</v>
      </c>
      <c r="I3945" s="235" t="s">
        <v>29479</v>
      </c>
      <c r="J3945" s="235" t="s">
        <v>29480</v>
      </c>
      <c r="K3945" s="235" t="s">
        <v>29481</v>
      </c>
      <c r="N3945" s="235" t="s">
        <v>145</v>
      </c>
      <c r="O3945" s="235" t="s">
        <v>370</v>
      </c>
      <c r="P3945" s="238">
        <v>1.0</v>
      </c>
      <c r="Q3945" s="235" t="s">
        <v>627</v>
      </c>
      <c r="R3945" s="238">
        <v>1475.24</v>
      </c>
      <c r="S3945" s="238">
        <v>73.76</v>
      </c>
      <c r="T3945" s="238">
        <v>0.0</v>
      </c>
      <c r="U3945" s="238">
        <v>0.0</v>
      </c>
      <c r="V3945" s="238">
        <v>0.0</v>
      </c>
      <c r="W3945" s="238">
        <v>0.0</v>
      </c>
      <c r="X3945" s="235" t="s">
        <v>628</v>
      </c>
      <c r="Z3945" s="245"/>
      <c r="AA3945" s="245"/>
      <c r="AB3945" s="245"/>
      <c r="AC3945" s="235" t="s">
        <v>29482</v>
      </c>
      <c r="AD3945" s="235" t="s">
        <v>965</v>
      </c>
      <c r="AE3945" s="238">
        <v>176042.0</v>
      </c>
      <c r="AF3945" s="235" t="s">
        <v>631</v>
      </c>
      <c r="AG3945" s="245"/>
      <c r="AH3945" s="245"/>
      <c r="AI3945" s="245"/>
      <c r="AJ3945" s="245"/>
      <c r="AK3945" s="245"/>
      <c r="AL3945" s="245"/>
      <c r="AM3945" s="245"/>
      <c r="AN3945" s="245"/>
      <c r="AO3945" s="238">
        <v>0.0</v>
      </c>
      <c r="AP3945" s="238">
        <v>0.0</v>
      </c>
      <c r="AQ3945" s="235" t="s">
        <v>632</v>
      </c>
      <c r="AR3945" s="243">
        <v>3.71E11</v>
      </c>
      <c r="AS3945" s="235" t="s">
        <v>26892</v>
      </c>
      <c r="AT3945" s="235" t="s">
        <v>14</v>
      </c>
      <c r="AU3945" s="235" t="s">
        <v>634</v>
      </c>
      <c r="AV3945" s="246" t="s">
        <v>635</v>
      </c>
      <c r="AW3945" s="227"/>
      <c r="AX3945" s="227"/>
      <c r="AY3945" s="227"/>
      <c r="AZ3945" s="227"/>
      <c r="BA3945" s="227"/>
      <c r="BB3945" s="227"/>
      <c r="BC3945" s="227"/>
      <c r="BD3945" s="227"/>
      <c r="BE3945" s="227"/>
      <c r="BF3945" s="227"/>
    </row>
    <row r="3946">
      <c r="A3946" s="235" t="s">
        <v>29483</v>
      </c>
      <c r="C3946" s="235" t="s">
        <v>29484</v>
      </c>
      <c r="D3946" s="235" t="s">
        <v>29485</v>
      </c>
      <c r="E3946" s="243">
        <v>6.51E13</v>
      </c>
      <c r="F3946" s="245"/>
      <c r="G3946" s="235" t="s">
        <v>29486</v>
      </c>
      <c r="H3946" s="235" t="s">
        <v>29487</v>
      </c>
      <c r="I3946" s="235" t="s">
        <v>29488</v>
      </c>
      <c r="J3946" s="235" t="s">
        <v>29489</v>
      </c>
      <c r="K3946" s="235" t="s">
        <v>29490</v>
      </c>
      <c r="N3946" s="235" t="s">
        <v>127</v>
      </c>
      <c r="O3946" s="235" t="s">
        <v>794</v>
      </c>
      <c r="P3946" s="238">
        <v>1.0</v>
      </c>
      <c r="Q3946" s="235" t="s">
        <v>627</v>
      </c>
      <c r="R3946" s="238">
        <v>236.19</v>
      </c>
      <c r="S3946" s="238">
        <v>11.81</v>
      </c>
      <c r="T3946" s="238">
        <v>0.0</v>
      </c>
      <c r="U3946" s="238">
        <v>0.0</v>
      </c>
      <c r="V3946" s="238">
        <v>0.0</v>
      </c>
      <c r="W3946" s="238">
        <v>0.0</v>
      </c>
      <c r="X3946" s="235" t="s">
        <v>628</v>
      </c>
      <c r="Z3946" s="245"/>
      <c r="AA3946" s="245"/>
      <c r="AB3946" s="245"/>
      <c r="AC3946" s="235" t="s">
        <v>697</v>
      </c>
      <c r="AD3946" s="235" t="s">
        <v>698</v>
      </c>
      <c r="AE3946" s="238">
        <v>500056.0</v>
      </c>
      <c r="AF3946" s="235" t="s">
        <v>631</v>
      </c>
      <c r="AG3946" s="245"/>
      <c r="AH3946" s="245"/>
      <c r="AI3946" s="245"/>
      <c r="AJ3946" s="245"/>
      <c r="AK3946" s="245"/>
      <c r="AL3946" s="245"/>
      <c r="AM3946" s="245"/>
      <c r="AN3946" s="245"/>
      <c r="AO3946" s="238">
        <v>0.0</v>
      </c>
      <c r="AP3946" s="238">
        <v>0.0</v>
      </c>
      <c r="AQ3946" s="235" t="s">
        <v>632</v>
      </c>
      <c r="AR3946" s="243">
        <v>3.71E11</v>
      </c>
      <c r="AS3946" s="235" t="s">
        <v>26892</v>
      </c>
      <c r="AT3946" s="235" t="s">
        <v>11</v>
      </c>
      <c r="AU3946" s="235" t="s">
        <v>634</v>
      </c>
      <c r="AV3946" s="246" t="s">
        <v>635</v>
      </c>
      <c r="AW3946" s="227"/>
      <c r="AX3946" s="227"/>
      <c r="AY3946" s="227"/>
      <c r="AZ3946" s="227"/>
      <c r="BA3946" s="227"/>
      <c r="BB3946" s="227"/>
      <c r="BC3946" s="227"/>
      <c r="BD3946" s="227"/>
      <c r="BE3946" s="227"/>
      <c r="BF3946" s="227"/>
    </row>
    <row r="3947">
      <c r="A3947" s="235" t="s">
        <v>29491</v>
      </c>
      <c r="C3947" s="235" t="s">
        <v>29492</v>
      </c>
      <c r="D3947" s="235" t="s">
        <v>29493</v>
      </c>
      <c r="E3947" s="243">
        <v>6.51E13</v>
      </c>
      <c r="F3947" s="245"/>
      <c r="G3947" s="235" t="s">
        <v>29494</v>
      </c>
      <c r="H3947" s="235" t="s">
        <v>29495</v>
      </c>
      <c r="I3947" s="235" t="s">
        <v>29495</v>
      </c>
      <c r="J3947" s="235" t="s">
        <v>29496</v>
      </c>
      <c r="K3947" s="235" t="s">
        <v>29497</v>
      </c>
      <c r="N3947" s="235" t="s">
        <v>136</v>
      </c>
      <c r="O3947" s="235" t="s">
        <v>256</v>
      </c>
      <c r="P3947" s="238">
        <v>1.0</v>
      </c>
      <c r="Q3947" s="235" t="s">
        <v>627</v>
      </c>
      <c r="R3947" s="238">
        <v>237.14</v>
      </c>
      <c r="S3947" s="238">
        <v>11.5</v>
      </c>
      <c r="T3947" s="238">
        <v>0.0</v>
      </c>
      <c r="U3947" s="238">
        <v>0.0</v>
      </c>
      <c r="V3947" s="238">
        <v>0.0</v>
      </c>
      <c r="W3947" s="238">
        <v>0.0</v>
      </c>
      <c r="X3947" s="235" t="s">
        <v>628</v>
      </c>
      <c r="Z3947" s="245"/>
      <c r="AA3947" s="245"/>
      <c r="AB3947" s="245"/>
      <c r="AC3947" s="235" t="s">
        <v>844</v>
      </c>
      <c r="AD3947" s="235" t="s">
        <v>845</v>
      </c>
      <c r="AE3947" s="238">
        <v>411014.0</v>
      </c>
      <c r="AF3947" s="235" t="s">
        <v>631</v>
      </c>
      <c r="AG3947" s="245"/>
      <c r="AH3947" s="245"/>
      <c r="AI3947" s="245"/>
      <c r="AJ3947" s="245"/>
      <c r="AK3947" s="245"/>
      <c r="AL3947" s="245"/>
      <c r="AM3947" s="245"/>
      <c r="AN3947" s="245"/>
      <c r="AO3947" s="238">
        <v>-7.11</v>
      </c>
      <c r="AP3947" s="238">
        <v>0.0</v>
      </c>
      <c r="AQ3947" s="235" t="s">
        <v>632</v>
      </c>
      <c r="AR3947" s="243">
        <v>3.71E11</v>
      </c>
      <c r="AS3947" s="235" t="s">
        <v>28482</v>
      </c>
      <c r="AT3947" s="235" t="s">
        <v>546</v>
      </c>
      <c r="AU3947" s="235" t="s">
        <v>634</v>
      </c>
      <c r="AV3947" s="246" t="s">
        <v>635</v>
      </c>
      <c r="AW3947" s="227"/>
      <c r="AX3947" s="227"/>
      <c r="AY3947" s="227"/>
      <c r="AZ3947" s="227"/>
      <c r="BA3947" s="227"/>
      <c r="BB3947" s="227"/>
      <c r="BC3947" s="227"/>
      <c r="BD3947" s="227"/>
      <c r="BE3947" s="227"/>
      <c r="BF3947" s="227"/>
    </row>
    <row r="3948">
      <c r="A3948" s="235" t="s">
        <v>29498</v>
      </c>
      <c r="C3948" s="235" t="s">
        <v>29499</v>
      </c>
      <c r="D3948" s="235" t="s">
        <v>29500</v>
      </c>
      <c r="E3948" s="243">
        <v>6.51E13</v>
      </c>
      <c r="F3948" s="245"/>
      <c r="G3948" s="235" t="s">
        <v>29501</v>
      </c>
      <c r="H3948" s="235" t="s">
        <v>29495</v>
      </c>
      <c r="I3948" s="235" t="s">
        <v>29495</v>
      </c>
      <c r="J3948" s="235" t="s">
        <v>29502</v>
      </c>
      <c r="K3948" s="235" t="s">
        <v>29503</v>
      </c>
      <c r="N3948" s="235" t="s">
        <v>43</v>
      </c>
      <c r="O3948" s="235" t="s">
        <v>276</v>
      </c>
      <c r="P3948" s="238">
        <v>1.0</v>
      </c>
      <c r="Q3948" s="235" t="s">
        <v>627</v>
      </c>
      <c r="R3948" s="238">
        <v>233.34</v>
      </c>
      <c r="S3948" s="238">
        <v>11.66</v>
      </c>
      <c r="T3948" s="238">
        <v>0.0</v>
      </c>
      <c r="U3948" s="238">
        <v>0.0</v>
      </c>
      <c r="V3948" s="238">
        <v>0.0</v>
      </c>
      <c r="W3948" s="238">
        <v>0.0</v>
      </c>
      <c r="X3948" s="235" t="s">
        <v>628</v>
      </c>
      <c r="Z3948" s="245"/>
      <c r="AA3948" s="245"/>
      <c r="AB3948" s="245"/>
      <c r="AC3948" s="235" t="s">
        <v>687</v>
      </c>
      <c r="AD3948" s="235" t="s">
        <v>666</v>
      </c>
      <c r="AE3948" s="238">
        <v>600017.0</v>
      </c>
      <c r="AF3948" s="235" t="s">
        <v>631</v>
      </c>
      <c r="AG3948" s="245"/>
      <c r="AH3948" s="245"/>
      <c r="AI3948" s="245"/>
      <c r="AJ3948" s="245"/>
      <c r="AK3948" s="245"/>
      <c r="AL3948" s="245"/>
      <c r="AM3948" s="245"/>
      <c r="AN3948" s="245"/>
      <c r="AO3948" s="238">
        <v>0.0</v>
      </c>
      <c r="AP3948" s="238">
        <v>0.0</v>
      </c>
      <c r="AQ3948" s="235" t="s">
        <v>632</v>
      </c>
      <c r="AR3948" s="243">
        <v>3.71E11</v>
      </c>
      <c r="AS3948" s="235" t="s">
        <v>28482</v>
      </c>
      <c r="AT3948" s="235" t="s">
        <v>156</v>
      </c>
      <c r="AU3948" s="235" t="s">
        <v>634</v>
      </c>
      <c r="AV3948" s="246" t="s">
        <v>635</v>
      </c>
      <c r="AW3948" s="227"/>
      <c r="AX3948" s="227"/>
      <c r="AY3948" s="227"/>
      <c r="AZ3948" s="227"/>
      <c r="BA3948" s="227"/>
      <c r="BB3948" s="227"/>
      <c r="BC3948" s="227"/>
      <c r="BD3948" s="227"/>
      <c r="BE3948" s="227"/>
      <c r="BF3948" s="227"/>
    </row>
    <row r="3949">
      <c r="A3949" s="235" t="s">
        <v>29504</v>
      </c>
      <c r="C3949" s="235" t="s">
        <v>29505</v>
      </c>
      <c r="D3949" s="235" t="s">
        <v>29506</v>
      </c>
      <c r="E3949" s="243">
        <v>6.51E13</v>
      </c>
      <c r="F3949" s="245"/>
      <c r="G3949" s="235" t="s">
        <v>29507</v>
      </c>
      <c r="H3949" s="235" t="s">
        <v>29508</v>
      </c>
      <c r="I3949" s="235" t="s">
        <v>29508</v>
      </c>
      <c r="J3949" s="235" t="s">
        <v>29509</v>
      </c>
      <c r="K3949" s="235" t="s">
        <v>29510</v>
      </c>
      <c r="N3949" s="235" t="s">
        <v>10</v>
      </c>
      <c r="O3949" s="235" t="s">
        <v>936</v>
      </c>
      <c r="P3949" s="238">
        <v>2.0</v>
      </c>
      <c r="Q3949" s="235" t="s">
        <v>627</v>
      </c>
      <c r="R3949" s="238">
        <v>512.38</v>
      </c>
      <c r="S3949" s="238">
        <v>25.62</v>
      </c>
      <c r="T3949" s="238">
        <v>76.2</v>
      </c>
      <c r="U3949" s="238">
        <v>3.8</v>
      </c>
      <c r="V3949" s="238">
        <v>0.0</v>
      </c>
      <c r="W3949" s="238">
        <v>0.0</v>
      </c>
      <c r="X3949" s="235" t="s">
        <v>628</v>
      </c>
      <c r="Z3949" s="245"/>
      <c r="AA3949" s="245"/>
      <c r="AB3949" s="245"/>
      <c r="AC3949" s="235" t="s">
        <v>29511</v>
      </c>
      <c r="AD3949" s="235" t="s">
        <v>8917</v>
      </c>
      <c r="AE3949" s="238">
        <v>636501.0</v>
      </c>
      <c r="AF3949" s="235" t="s">
        <v>631</v>
      </c>
      <c r="AG3949" s="245"/>
      <c r="AH3949" s="245"/>
      <c r="AI3949" s="245"/>
      <c r="AJ3949" s="245"/>
      <c r="AK3949" s="245"/>
      <c r="AL3949" s="245"/>
      <c r="AM3949" s="245"/>
      <c r="AN3949" s="245"/>
      <c r="AO3949" s="238">
        <v>0.0</v>
      </c>
      <c r="AP3949" s="238">
        <v>-76.2</v>
      </c>
      <c r="AQ3949" s="235" t="s">
        <v>632</v>
      </c>
      <c r="AR3949" s="243">
        <v>3.71E11</v>
      </c>
      <c r="AS3949" s="235" t="s">
        <v>26892</v>
      </c>
      <c r="AT3949" s="235" t="s">
        <v>11</v>
      </c>
      <c r="AU3949" s="235" t="s">
        <v>634</v>
      </c>
      <c r="AV3949" s="246" t="s">
        <v>635</v>
      </c>
      <c r="AW3949" s="227"/>
      <c r="AX3949" s="227"/>
      <c r="AY3949" s="227"/>
      <c r="AZ3949" s="227"/>
      <c r="BA3949" s="227"/>
      <c r="BB3949" s="227"/>
      <c r="BC3949" s="227"/>
      <c r="BD3949" s="227"/>
      <c r="BE3949" s="227"/>
      <c r="BF3949" s="227"/>
    </row>
    <row r="3950">
      <c r="A3950" s="235" t="s">
        <v>29504</v>
      </c>
      <c r="C3950" s="235" t="s">
        <v>29505</v>
      </c>
      <c r="D3950" s="235" t="s">
        <v>29512</v>
      </c>
      <c r="E3950" s="243">
        <v>6.51E13</v>
      </c>
      <c r="F3950" s="245"/>
      <c r="G3950" s="235" t="s">
        <v>29507</v>
      </c>
      <c r="H3950" s="235" t="s">
        <v>29508</v>
      </c>
      <c r="I3950" s="235" t="s">
        <v>29508</v>
      </c>
      <c r="J3950" s="235" t="s">
        <v>29509</v>
      </c>
      <c r="K3950" s="235" t="s">
        <v>29510</v>
      </c>
      <c r="N3950" s="235" t="s">
        <v>10</v>
      </c>
      <c r="O3950" s="235" t="s">
        <v>936</v>
      </c>
      <c r="P3950" s="238">
        <v>2.0</v>
      </c>
      <c r="Q3950" s="235" t="s">
        <v>627</v>
      </c>
      <c r="R3950" s="238">
        <v>512.38</v>
      </c>
      <c r="S3950" s="238">
        <v>25.62</v>
      </c>
      <c r="T3950" s="238">
        <v>76.2</v>
      </c>
      <c r="U3950" s="238">
        <v>3.8</v>
      </c>
      <c r="V3950" s="238">
        <v>0.0</v>
      </c>
      <c r="W3950" s="238">
        <v>0.0</v>
      </c>
      <c r="X3950" s="235" t="s">
        <v>628</v>
      </c>
      <c r="Z3950" s="245"/>
      <c r="AA3950" s="245"/>
      <c r="AB3950" s="245"/>
      <c r="AC3950" s="235" t="s">
        <v>29511</v>
      </c>
      <c r="AD3950" s="235" t="s">
        <v>8917</v>
      </c>
      <c r="AE3950" s="238">
        <v>636501.0</v>
      </c>
      <c r="AF3950" s="235" t="s">
        <v>631</v>
      </c>
      <c r="AG3950" s="245"/>
      <c r="AH3950" s="245"/>
      <c r="AI3950" s="245"/>
      <c r="AJ3950" s="245"/>
      <c r="AK3950" s="245"/>
      <c r="AL3950" s="245"/>
      <c r="AM3950" s="245"/>
      <c r="AN3950" s="245"/>
      <c r="AO3950" s="238">
        <v>0.0</v>
      </c>
      <c r="AP3950" s="238">
        <v>-76.2</v>
      </c>
      <c r="AQ3950" s="235" t="s">
        <v>632</v>
      </c>
      <c r="AR3950" s="243">
        <v>3.71E11</v>
      </c>
      <c r="AS3950" s="235" t="s">
        <v>26892</v>
      </c>
      <c r="AT3950" s="235" t="s">
        <v>11</v>
      </c>
      <c r="AU3950" s="235" t="s">
        <v>634</v>
      </c>
      <c r="AV3950" s="246" t="s">
        <v>635</v>
      </c>
      <c r="AW3950" s="227"/>
      <c r="AX3950" s="227"/>
      <c r="AY3950" s="227"/>
      <c r="AZ3950" s="227"/>
      <c r="BA3950" s="227"/>
      <c r="BB3950" s="227"/>
      <c r="BC3950" s="227"/>
      <c r="BD3950" s="227"/>
      <c r="BE3950" s="227"/>
      <c r="BF3950" s="227"/>
    </row>
    <row r="3951">
      <c r="A3951" s="235" t="s">
        <v>29513</v>
      </c>
      <c r="C3951" s="235" t="s">
        <v>29514</v>
      </c>
      <c r="D3951" s="235" t="s">
        <v>29515</v>
      </c>
      <c r="E3951" s="243">
        <v>6.51E13</v>
      </c>
      <c r="F3951" s="245"/>
      <c r="G3951" s="235" t="s">
        <v>29516</v>
      </c>
      <c r="H3951" s="235" t="s">
        <v>29517</v>
      </c>
      <c r="I3951" s="235" t="s">
        <v>29518</v>
      </c>
      <c r="J3951" s="235" t="s">
        <v>29519</v>
      </c>
      <c r="K3951" s="235" t="s">
        <v>29520</v>
      </c>
      <c r="N3951" s="235" t="s">
        <v>92</v>
      </c>
      <c r="O3951" s="235" t="s">
        <v>248</v>
      </c>
      <c r="P3951" s="238">
        <v>1.0</v>
      </c>
      <c r="Q3951" s="235" t="s">
        <v>627</v>
      </c>
      <c r="R3951" s="238">
        <v>233.34</v>
      </c>
      <c r="S3951" s="238">
        <v>11.66</v>
      </c>
      <c r="T3951" s="238">
        <v>0.0</v>
      </c>
      <c r="U3951" s="238">
        <v>0.0</v>
      </c>
      <c r="V3951" s="238">
        <v>0.0</v>
      </c>
      <c r="W3951" s="238">
        <v>0.0</v>
      </c>
      <c r="X3951" s="235" t="s">
        <v>628</v>
      </c>
      <c r="Z3951" s="245"/>
      <c r="AA3951" s="245"/>
      <c r="AB3951" s="245"/>
      <c r="AC3951" s="235" t="s">
        <v>1058</v>
      </c>
      <c r="AD3951" s="235" t="s">
        <v>845</v>
      </c>
      <c r="AE3951" s="238">
        <v>400103.0</v>
      </c>
      <c r="AF3951" s="235" t="s">
        <v>631</v>
      </c>
      <c r="AG3951" s="245"/>
      <c r="AH3951" s="245"/>
      <c r="AI3951" s="245"/>
      <c r="AJ3951" s="245"/>
      <c r="AK3951" s="245"/>
      <c r="AL3951" s="245"/>
      <c r="AM3951" s="245"/>
      <c r="AN3951" s="245"/>
      <c r="AO3951" s="238">
        <v>0.0</v>
      </c>
      <c r="AP3951" s="238">
        <v>0.0</v>
      </c>
      <c r="AQ3951" s="235" t="s">
        <v>632</v>
      </c>
      <c r="AR3951" s="243">
        <v>1.68E11</v>
      </c>
      <c r="AS3951" s="235" t="s">
        <v>28947</v>
      </c>
      <c r="AT3951" s="235" t="s">
        <v>17</v>
      </c>
      <c r="AU3951" s="235" t="s">
        <v>634</v>
      </c>
      <c r="AV3951" s="246" t="s">
        <v>635</v>
      </c>
      <c r="AW3951" s="227"/>
      <c r="AX3951" s="227"/>
      <c r="AY3951" s="227"/>
      <c r="AZ3951" s="227"/>
      <c r="BA3951" s="227"/>
      <c r="BB3951" s="227"/>
      <c r="BC3951" s="227"/>
      <c r="BD3951" s="227"/>
      <c r="BE3951" s="227"/>
      <c r="BF3951" s="227"/>
    </row>
    <row r="3952">
      <c r="A3952" s="235" t="s">
        <v>29521</v>
      </c>
      <c r="C3952" s="235" t="s">
        <v>29522</v>
      </c>
      <c r="D3952" s="235" t="s">
        <v>29523</v>
      </c>
      <c r="E3952" s="243">
        <v>6.51E13</v>
      </c>
      <c r="F3952" s="245"/>
      <c r="G3952" s="235" t="s">
        <v>29524</v>
      </c>
      <c r="H3952" s="235" t="s">
        <v>29525</v>
      </c>
      <c r="I3952" s="235" t="s">
        <v>29525</v>
      </c>
      <c r="J3952" s="235" t="s">
        <v>29526</v>
      </c>
      <c r="K3952" s="235" t="s">
        <v>29527</v>
      </c>
      <c r="N3952" s="235" t="s">
        <v>53</v>
      </c>
      <c r="O3952" s="235" t="s">
        <v>512</v>
      </c>
      <c r="P3952" s="238">
        <v>1.0</v>
      </c>
      <c r="Q3952" s="235" t="s">
        <v>627</v>
      </c>
      <c r="R3952" s="238">
        <v>233.33</v>
      </c>
      <c r="S3952" s="238">
        <v>11.67</v>
      </c>
      <c r="T3952" s="238">
        <v>0.0</v>
      </c>
      <c r="U3952" s="238">
        <v>0.0</v>
      </c>
      <c r="V3952" s="238">
        <v>0.0</v>
      </c>
      <c r="W3952" s="238">
        <v>0.0</v>
      </c>
      <c r="X3952" s="235" t="s">
        <v>628</v>
      </c>
      <c r="Z3952" s="245"/>
      <c r="AA3952" s="245"/>
      <c r="AB3952" s="245"/>
      <c r="AC3952" s="235" t="s">
        <v>814</v>
      </c>
      <c r="AD3952" s="235" t="s">
        <v>698</v>
      </c>
      <c r="AE3952" s="238">
        <v>500086.0</v>
      </c>
      <c r="AF3952" s="235" t="s">
        <v>631</v>
      </c>
      <c r="AG3952" s="245"/>
      <c r="AH3952" s="245"/>
      <c r="AI3952" s="245"/>
      <c r="AJ3952" s="245"/>
      <c r="AK3952" s="245"/>
      <c r="AL3952" s="245"/>
      <c r="AM3952" s="245"/>
      <c r="AN3952" s="245"/>
      <c r="AO3952" s="238">
        <v>0.0</v>
      </c>
      <c r="AP3952" s="238">
        <v>0.0</v>
      </c>
      <c r="AQ3952" s="235" t="s">
        <v>632</v>
      </c>
      <c r="AR3952" s="243">
        <v>3.71E11</v>
      </c>
      <c r="AS3952" s="235" t="s">
        <v>26892</v>
      </c>
      <c r="AT3952" s="235" t="s">
        <v>11</v>
      </c>
      <c r="AU3952" s="235" t="s">
        <v>634</v>
      </c>
      <c r="AV3952" s="246" t="s">
        <v>635</v>
      </c>
      <c r="AW3952" s="227"/>
      <c r="AX3952" s="227"/>
      <c r="AY3952" s="227"/>
      <c r="AZ3952" s="227"/>
      <c r="BA3952" s="227"/>
      <c r="BB3952" s="227"/>
      <c r="BC3952" s="227"/>
      <c r="BD3952" s="227"/>
      <c r="BE3952" s="227"/>
      <c r="BF3952" s="227"/>
    </row>
    <row r="3953">
      <c r="A3953" s="235" t="s">
        <v>29528</v>
      </c>
      <c r="C3953" s="235" t="s">
        <v>29529</v>
      </c>
      <c r="D3953" s="235" t="s">
        <v>29530</v>
      </c>
      <c r="E3953" s="243">
        <v>6.51E13</v>
      </c>
      <c r="F3953" s="245"/>
      <c r="G3953" s="235" t="s">
        <v>29531</v>
      </c>
      <c r="H3953" s="235" t="s">
        <v>29532</v>
      </c>
      <c r="I3953" s="235" t="s">
        <v>29532</v>
      </c>
      <c r="J3953" s="235" t="s">
        <v>29533</v>
      </c>
      <c r="K3953" s="235" t="s">
        <v>29534</v>
      </c>
      <c r="N3953" s="235" t="s">
        <v>962</v>
      </c>
      <c r="O3953" s="235" t="s">
        <v>963</v>
      </c>
      <c r="P3953" s="238">
        <v>1.0</v>
      </c>
      <c r="Q3953" s="235" t="s">
        <v>627</v>
      </c>
      <c r="R3953" s="238">
        <v>237.14</v>
      </c>
      <c r="S3953" s="238">
        <v>11.86</v>
      </c>
      <c r="T3953" s="238">
        <v>0.0</v>
      </c>
      <c r="U3953" s="238">
        <v>0.0</v>
      </c>
      <c r="V3953" s="238">
        <v>0.0</v>
      </c>
      <c r="W3953" s="238">
        <v>0.0</v>
      </c>
      <c r="X3953" s="235" t="s">
        <v>628</v>
      </c>
      <c r="Z3953" s="245"/>
      <c r="AA3953" s="245"/>
      <c r="AB3953" s="245"/>
      <c r="AC3953" s="235" t="s">
        <v>697</v>
      </c>
      <c r="AD3953" s="235" t="s">
        <v>698</v>
      </c>
      <c r="AE3953" s="238">
        <v>500035.0</v>
      </c>
      <c r="AF3953" s="235" t="s">
        <v>631</v>
      </c>
      <c r="AG3953" s="245"/>
      <c r="AH3953" s="245"/>
      <c r="AI3953" s="245"/>
      <c r="AJ3953" s="245"/>
      <c r="AK3953" s="245"/>
      <c r="AL3953" s="245"/>
      <c r="AM3953" s="245"/>
      <c r="AN3953" s="245"/>
      <c r="AO3953" s="238">
        <v>0.0</v>
      </c>
      <c r="AP3953" s="238">
        <v>0.0</v>
      </c>
      <c r="AQ3953" s="235" t="s">
        <v>632</v>
      </c>
      <c r="AR3953" s="243">
        <v>2.02E11</v>
      </c>
      <c r="AS3953" s="235" t="s">
        <v>28482</v>
      </c>
      <c r="AT3953" s="235" t="s">
        <v>9</v>
      </c>
      <c r="AU3953" s="235" t="s">
        <v>634</v>
      </c>
      <c r="AV3953" s="246" t="s">
        <v>635</v>
      </c>
      <c r="AW3953" s="227"/>
      <c r="AX3953" s="227"/>
      <c r="AY3953" s="227"/>
      <c r="AZ3953" s="227"/>
      <c r="BA3953" s="227"/>
      <c r="BB3953" s="227"/>
      <c r="BC3953" s="227"/>
      <c r="BD3953" s="227"/>
      <c r="BE3953" s="227"/>
      <c r="BF3953" s="227"/>
    </row>
    <row r="3954">
      <c r="A3954" s="235" t="s">
        <v>29535</v>
      </c>
      <c r="C3954" s="235" t="s">
        <v>29536</v>
      </c>
      <c r="D3954" s="235" t="s">
        <v>29537</v>
      </c>
      <c r="E3954" s="243">
        <v>6.51E13</v>
      </c>
      <c r="F3954" s="245"/>
      <c r="G3954" s="235" t="s">
        <v>29538</v>
      </c>
      <c r="H3954" s="235" t="s">
        <v>29539</v>
      </c>
      <c r="I3954" s="235" t="s">
        <v>29540</v>
      </c>
      <c r="J3954" s="235" t="s">
        <v>29541</v>
      </c>
      <c r="K3954" s="235" t="s">
        <v>29542</v>
      </c>
      <c r="N3954" s="235" t="s">
        <v>85</v>
      </c>
      <c r="O3954" s="235" t="s">
        <v>872</v>
      </c>
      <c r="P3954" s="238">
        <v>1.0</v>
      </c>
      <c r="Q3954" s="235" t="s">
        <v>627</v>
      </c>
      <c r="R3954" s="238">
        <v>232.38</v>
      </c>
      <c r="S3954" s="238">
        <v>11.62</v>
      </c>
      <c r="T3954" s="238">
        <v>0.0</v>
      </c>
      <c r="U3954" s="238">
        <v>0.0</v>
      </c>
      <c r="V3954" s="238">
        <v>0.0</v>
      </c>
      <c r="W3954" s="238">
        <v>0.0</v>
      </c>
      <c r="X3954" s="235" t="s">
        <v>628</v>
      </c>
      <c r="Z3954" s="245"/>
      <c r="AA3954" s="245"/>
      <c r="AB3954" s="245"/>
      <c r="AC3954" s="235" t="s">
        <v>1887</v>
      </c>
      <c r="AD3954" s="235" t="s">
        <v>679</v>
      </c>
      <c r="AE3954" s="238">
        <v>560084.0</v>
      </c>
      <c r="AF3954" s="235" t="s">
        <v>631</v>
      </c>
      <c r="AG3954" s="245"/>
      <c r="AH3954" s="245"/>
      <c r="AI3954" s="245"/>
      <c r="AJ3954" s="245"/>
      <c r="AK3954" s="245"/>
      <c r="AL3954" s="245"/>
      <c r="AM3954" s="245"/>
      <c r="AN3954" s="245"/>
      <c r="AO3954" s="238">
        <v>0.0</v>
      </c>
      <c r="AP3954" s="238">
        <v>0.0</v>
      </c>
      <c r="AQ3954" s="235" t="s">
        <v>632</v>
      </c>
      <c r="AR3954" s="243">
        <v>2.02E11</v>
      </c>
      <c r="AS3954" s="235" t="s">
        <v>28482</v>
      </c>
      <c r="AT3954" s="235" t="s">
        <v>17</v>
      </c>
      <c r="AU3954" s="235" t="s">
        <v>634</v>
      </c>
      <c r="AV3954" s="246" t="s">
        <v>635</v>
      </c>
      <c r="AW3954" s="227"/>
      <c r="AX3954" s="227"/>
      <c r="AY3954" s="227"/>
      <c r="AZ3954" s="227"/>
      <c r="BA3954" s="227"/>
      <c r="BB3954" s="227"/>
      <c r="BC3954" s="227"/>
      <c r="BD3954" s="227"/>
      <c r="BE3954" s="227"/>
      <c r="BF3954" s="227"/>
    </row>
    <row r="3955">
      <c r="A3955" s="235" t="s">
        <v>29543</v>
      </c>
      <c r="C3955" s="235" t="s">
        <v>29544</v>
      </c>
      <c r="D3955" s="235" t="s">
        <v>29545</v>
      </c>
      <c r="E3955" s="243">
        <v>6.51E13</v>
      </c>
      <c r="F3955" s="245"/>
      <c r="G3955" s="235" t="s">
        <v>29546</v>
      </c>
      <c r="H3955" s="235" t="s">
        <v>29547</v>
      </c>
      <c r="I3955" s="235" t="s">
        <v>29547</v>
      </c>
      <c r="J3955" s="235" t="s">
        <v>29548</v>
      </c>
      <c r="K3955" s="235" t="s">
        <v>29549</v>
      </c>
      <c r="N3955" s="235" t="s">
        <v>43</v>
      </c>
      <c r="O3955" s="235" t="s">
        <v>276</v>
      </c>
      <c r="P3955" s="238">
        <v>1.0</v>
      </c>
      <c r="Q3955" s="235" t="s">
        <v>627</v>
      </c>
      <c r="R3955" s="238">
        <v>233.33</v>
      </c>
      <c r="S3955" s="238">
        <v>11.67</v>
      </c>
      <c r="T3955" s="238">
        <v>0.0</v>
      </c>
      <c r="U3955" s="238">
        <v>0.0</v>
      </c>
      <c r="V3955" s="238">
        <v>0.0</v>
      </c>
      <c r="W3955" s="238">
        <v>0.0</v>
      </c>
      <c r="X3955" s="235" t="s">
        <v>628</v>
      </c>
      <c r="Z3955" s="245"/>
      <c r="AA3955" s="245"/>
      <c r="AB3955" s="245"/>
      <c r="AC3955" s="235" t="s">
        <v>5203</v>
      </c>
      <c r="AD3955" s="235" t="s">
        <v>666</v>
      </c>
      <c r="AE3955" s="238">
        <v>636009.0</v>
      </c>
      <c r="AF3955" s="235" t="s">
        <v>631</v>
      </c>
      <c r="AG3955" s="245"/>
      <c r="AH3955" s="245"/>
      <c r="AI3955" s="245"/>
      <c r="AJ3955" s="245"/>
      <c r="AK3955" s="245"/>
      <c r="AL3955" s="245"/>
      <c r="AM3955" s="245"/>
      <c r="AN3955" s="245"/>
      <c r="AO3955" s="238">
        <v>0.0</v>
      </c>
      <c r="AP3955" s="238">
        <v>0.0</v>
      </c>
      <c r="AQ3955" s="235" t="s">
        <v>632</v>
      </c>
      <c r="AR3955" s="243">
        <v>3.71E11</v>
      </c>
      <c r="AS3955" s="235" t="s">
        <v>28482</v>
      </c>
      <c r="AT3955" s="235" t="s">
        <v>9</v>
      </c>
      <c r="AU3955" s="235" t="s">
        <v>634</v>
      </c>
      <c r="AV3955" s="246" t="s">
        <v>635</v>
      </c>
      <c r="AW3955" s="227"/>
      <c r="AX3955" s="227"/>
      <c r="AY3955" s="227"/>
      <c r="AZ3955" s="227"/>
      <c r="BA3955" s="227"/>
      <c r="BB3955" s="227"/>
      <c r="BC3955" s="227"/>
      <c r="BD3955" s="227"/>
      <c r="BE3955" s="227"/>
      <c r="BF3955" s="227"/>
    </row>
    <row r="3956">
      <c r="A3956" s="235" t="s">
        <v>29550</v>
      </c>
      <c r="C3956" s="235" t="s">
        <v>29551</v>
      </c>
      <c r="D3956" s="235" t="s">
        <v>29552</v>
      </c>
      <c r="E3956" s="243">
        <v>6.51E13</v>
      </c>
      <c r="F3956" s="245"/>
      <c r="G3956" s="235" t="s">
        <v>29553</v>
      </c>
      <c r="H3956" s="235" t="s">
        <v>29554</v>
      </c>
      <c r="I3956" s="235" t="s">
        <v>29555</v>
      </c>
      <c r="J3956" s="235" t="s">
        <v>29556</v>
      </c>
      <c r="K3956" s="235" t="s">
        <v>29557</v>
      </c>
      <c r="N3956" s="235" t="s">
        <v>51</v>
      </c>
      <c r="O3956" s="235" t="s">
        <v>273</v>
      </c>
      <c r="P3956" s="238">
        <v>1.0</v>
      </c>
      <c r="Q3956" s="235" t="s">
        <v>627</v>
      </c>
      <c r="R3956" s="238">
        <v>246.67</v>
      </c>
      <c r="S3956" s="238">
        <v>12.33</v>
      </c>
      <c r="T3956" s="238">
        <v>0.0</v>
      </c>
      <c r="U3956" s="238">
        <v>0.0</v>
      </c>
      <c r="V3956" s="238">
        <v>0.0</v>
      </c>
      <c r="W3956" s="238">
        <v>0.0</v>
      </c>
      <c r="X3956" s="235" t="s">
        <v>628</v>
      </c>
      <c r="Z3956" s="245"/>
      <c r="AA3956" s="245"/>
      <c r="AB3956" s="245"/>
      <c r="AC3956" s="235" t="s">
        <v>697</v>
      </c>
      <c r="AD3956" s="235" t="s">
        <v>698</v>
      </c>
      <c r="AE3956" s="238">
        <v>500039.0</v>
      </c>
      <c r="AF3956" s="235" t="s">
        <v>631</v>
      </c>
      <c r="AG3956" s="245"/>
      <c r="AH3956" s="245"/>
      <c r="AI3956" s="245"/>
      <c r="AJ3956" s="245"/>
      <c r="AK3956" s="245"/>
      <c r="AL3956" s="245"/>
      <c r="AM3956" s="245"/>
      <c r="AN3956" s="245"/>
      <c r="AO3956" s="238">
        <v>0.0</v>
      </c>
      <c r="AP3956" s="238">
        <v>0.0</v>
      </c>
      <c r="AQ3956" s="235" t="s">
        <v>632</v>
      </c>
      <c r="AR3956" s="243">
        <v>3.71E11</v>
      </c>
      <c r="AS3956" s="235" t="s">
        <v>26892</v>
      </c>
      <c r="AT3956" s="235" t="s">
        <v>546</v>
      </c>
      <c r="AU3956" s="235" t="s">
        <v>634</v>
      </c>
      <c r="AV3956" s="246" t="s">
        <v>635</v>
      </c>
      <c r="AW3956" s="227"/>
      <c r="AX3956" s="227"/>
      <c r="AY3956" s="227"/>
      <c r="AZ3956" s="227"/>
      <c r="BA3956" s="227"/>
      <c r="BB3956" s="227"/>
      <c r="BC3956" s="227"/>
      <c r="BD3956" s="227"/>
      <c r="BE3956" s="227"/>
      <c r="BF3956" s="227"/>
    </row>
    <row r="3957">
      <c r="A3957" s="235" t="s">
        <v>29558</v>
      </c>
      <c r="C3957" s="235" t="s">
        <v>29559</v>
      </c>
      <c r="D3957" s="235" t="s">
        <v>29560</v>
      </c>
      <c r="E3957" s="243">
        <v>6.51E13</v>
      </c>
      <c r="F3957" s="245"/>
      <c r="G3957" s="235" t="s">
        <v>29561</v>
      </c>
      <c r="H3957" s="235" t="s">
        <v>29562</v>
      </c>
      <c r="I3957" s="235" t="s">
        <v>29563</v>
      </c>
      <c r="J3957" s="235" t="s">
        <v>29564</v>
      </c>
      <c r="K3957" s="235" t="s">
        <v>29565</v>
      </c>
      <c r="N3957" s="235" t="s">
        <v>117</v>
      </c>
      <c r="O3957" s="235" t="s">
        <v>334</v>
      </c>
      <c r="P3957" s="238">
        <v>1.0</v>
      </c>
      <c r="Q3957" s="235" t="s">
        <v>627</v>
      </c>
      <c r="R3957" s="238">
        <v>233.34</v>
      </c>
      <c r="S3957" s="238">
        <v>11.32</v>
      </c>
      <c r="T3957" s="238">
        <v>0.0</v>
      </c>
      <c r="U3957" s="238">
        <v>0.0</v>
      </c>
      <c r="V3957" s="238">
        <v>0.0</v>
      </c>
      <c r="W3957" s="238">
        <v>0.0</v>
      </c>
      <c r="X3957" s="235" t="s">
        <v>628</v>
      </c>
      <c r="Z3957" s="245"/>
      <c r="AA3957" s="245"/>
      <c r="AB3957" s="245"/>
      <c r="AC3957" s="235" t="s">
        <v>757</v>
      </c>
      <c r="AD3957" s="235" t="s">
        <v>666</v>
      </c>
      <c r="AE3957" s="238">
        <v>625003.0</v>
      </c>
      <c r="AF3957" s="235" t="s">
        <v>631</v>
      </c>
      <c r="AG3957" s="245"/>
      <c r="AH3957" s="245"/>
      <c r="AI3957" s="245"/>
      <c r="AJ3957" s="245"/>
      <c r="AK3957" s="245"/>
      <c r="AL3957" s="245"/>
      <c r="AM3957" s="245"/>
      <c r="AN3957" s="245"/>
      <c r="AO3957" s="238">
        <v>-7.01</v>
      </c>
      <c r="AP3957" s="238">
        <v>0.0</v>
      </c>
      <c r="AQ3957" s="235" t="s">
        <v>632</v>
      </c>
      <c r="AR3957" s="243">
        <v>3.71E11</v>
      </c>
      <c r="AS3957" s="235" t="s">
        <v>28482</v>
      </c>
      <c r="AT3957" s="235" t="s">
        <v>155</v>
      </c>
      <c r="AU3957" s="235" t="s">
        <v>634</v>
      </c>
      <c r="AV3957" s="246" t="s">
        <v>635</v>
      </c>
      <c r="AW3957" s="227"/>
      <c r="AX3957" s="227"/>
      <c r="AY3957" s="227"/>
      <c r="AZ3957" s="227"/>
      <c r="BA3957" s="227"/>
      <c r="BB3957" s="227"/>
      <c r="BC3957" s="227"/>
      <c r="BD3957" s="227"/>
      <c r="BE3957" s="227"/>
      <c r="BF3957" s="227"/>
    </row>
    <row r="3958">
      <c r="A3958" s="235" t="s">
        <v>29566</v>
      </c>
      <c r="C3958" s="235" t="s">
        <v>29567</v>
      </c>
      <c r="D3958" s="235" t="s">
        <v>29568</v>
      </c>
      <c r="E3958" s="243">
        <v>6.51E13</v>
      </c>
      <c r="F3958" s="245"/>
      <c r="G3958" s="235" t="s">
        <v>29569</v>
      </c>
      <c r="H3958" s="235" t="s">
        <v>29570</v>
      </c>
      <c r="I3958" s="235" t="s">
        <v>29571</v>
      </c>
      <c r="J3958" s="235" t="s">
        <v>29572</v>
      </c>
      <c r="K3958" s="235" t="s">
        <v>29573</v>
      </c>
      <c r="N3958" s="235" t="s">
        <v>1346</v>
      </c>
      <c r="O3958" s="235" t="s">
        <v>1347</v>
      </c>
      <c r="P3958" s="238">
        <v>1.0</v>
      </c>
      <c r="Q3958" s="235" t="s">
        <v>627</v>
      </c>
      <c r="R3958" s="238">
        <v>256.19</v>
      </c>
      <c r="S3958" s="238">
        <v>12.81</v>
      </c>
      <c r="T3958" s="238">
        <v>0.0</v>
      </c>
      <c r="U3958" s="238">
        <v>0.0</v>
      </c>
      <c r="V3958" s="238">
        <v>0.0</v>
      </c>
      <c r="W3958" s="238">
        <v>0.0</v>
      </c>
      <c r="X3958" s="235" t="s">
        <v>628</v>
      </c>
      <c r="Z3958" s="245"/>
      <c r="AA3958" s="245"/>
      <c r="AB3958" s="245"/>
      <c r="AC3958" s="235" t="s">
        <v>8273</v>
      </c>
      <c r="AD3958" s="235" t="s">
        <v>3113</v>
      </c>
      <c r="AE3958" s="238">
        <v>492005.0</v>
      </c>
      <c r="AF3958" s="235" t="s">
        <v>631</v>
      </c>
      <c r="AG3958" s="245"/>
      <c r="AH3958" s="245"/>
      <c r="AI3958" s="245"/>
      <c r="AJ3958" s="245"/>
      <c r="AK3958" s="245"/>
      <c r="AL3958" s="245"/>
      <c r="AM3958" s="245"/>
      <c r="AN3958" s="245"/>
      <c r="AO3958" s="238">
        <v>0.0</v>
      </c>
      <c r="AP3958" s="238">
        <v>0.0</v>
      </c>
      <c r="AQ3958" s="235" t="s">
        <v>632</v>
      </c>
      <c r="AR3958" s="243">
        <v>3.71E11</v>
      </c>
      <c r="AS3958" s="235" t="s">
        <v>22269</v>
      </c>
      <c r="AT3958" s="235" t="s">
        <v>5</v>
      </c>
      <c r="AU3958" s="235" t="s">
        <v>634</v>
      </c>
      <c r="AV3958" s="246" t="s">
        <v>635</v>
      </c>
      <c r="AW3958" s="227"/>
      <c r="AX3958" s="227"/>
      <c r="AY3958" s="227"/>
      <c r="AZ3958" s="227"/>
      <c r="BA3958" s="227"/>
      <c r="BB3958" s="227"/>
      <c r="BC3958" s="227"/>
      <c r="BD3958" s="227"/>
      <c r="BE3958" s="227"/>
      <c r="BF3958" s="227"/>
    </row>
    <row r="3959">
      <c r="A3959" s="235" t="s">
        <v>29574</v>
      </c>
      <c r="C3959" s="235" t="s">
        <v>29575</v>
      </c>
      <c r="D3959" s="235" t="s">
        <v>29576</v>
      </c>
      <c r="E3959" s="243">
        <v>6.51E13</v>
      </c>
      <c r="F3959" s="245"/>
      <c r="G3959" s="235" t="s">
        <v>29577</v>
      </c>
      <c r="H3959" s="235" t="s">
        <v>29578</v>
      </c>
      <c r="I3959" s="235" t="s">
        <v>29578</v>
      </c>
      <c r="J3959" s="235" t="s">
        <v>29579</v>
      </c>
      <c r="K3959" s="235" t="s">
        <v>19558</v>
      </c>
      <c r="N3959" s="235" t="s">
        <v>10</v>
      </c>
      <c r="O3959" s="235" t="s">
        <v>936</v>
      </c>
      <c r="P3959" s="238">
        <v>2.0</v>
      </c>
      <c r="Q3959" s="235" t="s">
        <v>627</v>
      </c>
      <c r="R3959" s="238">
        <v>512.4</v>
      </c>
      <c r="S3959" s="238">
        <v>25.6</v>
      </c>
      <c r="T3959" s="238">
        <v>0.0</v>
      </c>
      <c r="U3959" s="238">
        <v>0.0</v>
      </c>
      <c r="V3959" s="238">
        <v>0.0</v>
      </c>
      <c r="W3959" s="238">
        <v>0.0</v>
      </c>
      <c r="X3959" s="235" t="s">
        <v>628</v>
      </c>
      <c r="Z3959" s="245"/>
      <c r="AA3959" s="245"/>
      <c r="AB3959" s="245"/>
      <c r="AC3959" s="235" t="s">
        <v>678</v>
      </c>
      <c r="AD3959" s="235" t="s">
        <v>679</v>
      </c>
      <c r="AE3959" s="238">
        <v>560008.0</v>
      </c>
      <c r="AF3959" s="235" t="s">
        <v>631</v>
      </c>
      <c r="AG3959" s="245"/>
      <c r="AH3959" s="245"/>
      <c r="AI3959" s="245"/>
      <c r="AJ3959" s="245"/>
      <c r="AK3959" s="245"/>
      <c r="AL3959" s="245"/>
      <c r="AM3959" s="245"/>
      <c r="AN3959" s="245"/>
      <c r="AO3959" s="238">
        <v>0.0</v>
      </c>
      <c r="AP3959" s="238">
        <v>0.0</v>
      </c>
      <c r="AQ3959" s="235" t="s">
        <v>632</v>
      </c>
      <c r="AR3959" s="243">
        <v>1.68E11</v>
      </c>
      <c r="AS3959" s="235" t="s">
        <v>28947</v>
      </c>
      <c r="AT3959" s="235" t="s">
        <v>11</v>
      </c>
      <c r="AU3959" s="235" t="s">
        <v>634</v>
      </c>
      <c r="AV3959" s="246" t="s">
        <v>635</v>
      </c>
      <c r="AW3959" s="227"/>
      <c r="AX3959" s="227"/>
      <c r="AY3959" s="227"/>
      <c r="AZ3959" s="227"/>
      <c r="BA3959" s="227"/>
      <c r="BB3959" s="227"/>
      <c r="BC3959" s="227"/>
      <c r="BD3959" s="227"/>
      <c r="BE3959" s="227"/>
      <c r="BF3959" s="227"/>
    </row>
    <row r="3960">
      <c r="A3960" s="235" t="s">
        <v>29574</v>
      </c>
      <c r="C3960" s="235" t="s">
        <v>29575</v>
      </c>
      <c r="D3960" s="235" t="s">
        <v>29580</v>
      </c>
      <c r="E3960" s="243">
        <v>6.51E13</v>
      </c>
      <c r="F3960" s="245"/>
      <c r="G3960" s="235" t="s">
        <v>29577</v>
      </c>
      <c r="H3960" s="235" t="s">
        <v>29578</v>
      </c>
      <c r="I3960" s="235" t="s">
        <v>29578</v>
      </c>
      <c r="J3960" s="235" t="s">
        <v>29579</v>
      </c>
      <c r="K3960" s="235" t="s">
        <v>19558</v>
      </c>
      <c r="N3960" s="235" t="s">
        <v>10</v>
      </c>
      <c r="O3960" s="235" t="s">
        <v>936</v>
      </c>
      <c r="P3960" s="238">
        <v>2.0</v>
      </c>
      <c r="Q3960" s="235" t="s">
        <v>627</v>
      </c>
      <c r="R3960" s="238">
        <v>512.4</v>
      </c>
      <c r="S3960" s="238">
        <v>25.6</v>
      </c>
      <c r="T3960" s="238">
        <v>0.0</v>
      </c>
      <c r="U3960" s="238">
        <v>0.0</v>
      </c>
      <c r="V3960" s="238">
        <v>0.0</v>
      </c>
      <c r="W3960" s="238">
        <v>0.0</v>
      </c>
      <c r="X3960" s="235" t="s">
        <v>628</v>
      </c>
      <c r="Z3960" s="245"/>
      <c r="AA3960" s="245"/>
      <c r="AB3960" s="245"/>
      <c r="AC3960" s="235" t="s">
        <v>678</v>
      </c>
      <c r="AD3960" s="235" t="s">
        <v>679</v>
      </c>
      <c r="AE3960" s="238">
        <v>560008.0</v>
      </c>
      <c r="AF3960" s="235" t="s">
        <v>631</v>
      </c>
      <c r="AG3960" s="245"/>
      <c r="AH3960" s="245"/>
      <c r="AI3960" s="245"/>
      <c r="AJ3960" s="245"/>
      <c r="AK3960" s="245"/>
      <c r="AL3960" s="245"/>
      <c r="AM3960" s="245"/>
      <c r="AN3960" s="245"/>
      <c r="AO3960" s="238">
        <v>0.0</v>
      </c>
      <c r="AP3960" s="238">
        <v>0.0</v>
      </c>
      <c r="AQ3960" s="235" t="s">
        <v>632</v>
      </c>
      <c r="AR3960" s="243">
        <v>1.68E11</v>
      </c>
      <c r="AS3960" s="235" t="s">
        <v>28947</v>
      </c>
      <c r="AT3960" s="235" t="s">
        <v>11</v>
      </c>
      <c r="AU3960" s="235" t="s">
        <v>634</v>
      </c>
      <c r="AV3960" s="246" t="s">
        <v>635</v>
      </c>
      <c r="AW3960" s="227"/>
      <c r="AX3960" s="227"/>
      <c r="AY3960" s="227"/>
      <c r="AZ3960" s="227"/>
      <c r="BA3960" s="227"/>
      <c r="BB3960" s="227"/>
      <c r="BC3960" s="227"/>
      <c r="BD3960" s="227"/>
      <c r="BE3960" s="227"/>
      <c r="BF3960" s="227"/>
    </row>
    <row r="3961">
      <c r="A3961" s="235" t="s">
        <v>29581</v>
      </c>
      <c r="C3961" s="235" t="s">
        <v>29582</v>
      </c>
      <c r="D3961" s="235" t="s">
        <v>29583</v>
      </c>
      <c r="E3961" s="243">
        <v>6.51E13</v>
      </c>
      <c r="F3961" s="245"/>
      <c r="G3961" s="235" t="s">
        <v>29584</v>
      </c>
      <c r="H3961" s="235" t="s">
        <v>29585</v>
      </c>
      <c r="I3961" s="235" t="s">
        <v>29585</v>
      </c>
      <c r="J3961" s="235" t="s">
        <v>29586</v>
      </c>
      <c r="K3961" s="235" t="s">
        <v>29587</v>
      </c>
      <c r="N3961" s="235" t="s">
        <v>154</v>
      </c>
      <c r="O3961" s="235" t="s">
        <v>766</v>
      </c>
      <c r="P3961" s="238">
        <v>1.0</v>
      </c>
      <c r="Q3961" s="235" t="s">
        <v>627</v>
      </c>
      <c r="R3961" s="238">
        <v>423.8</v>
      </c>
      <c r="S3961" s="238">
        <v>21.2</v>
      </c>
      <c r="T3961" s="238">
        <v>0.0</v>
      </c>
      <c r="U3961" s="238">
        <v>0.0</v>
      </c>
      <c r="V3961" s="238">
        <v>0.0</v>
      </c>
      <c r="W3961" s="238">
        <v>0.0</v>
      </c>
      <c r="X3961" s="235" t="s">
        <v>628</v>
      </c>
      <c r="Z3961" s="245"/>
      <c r="AA3961" s="245"/>
      <c r="AB3961" s="245"/>
      <c r="AC3961" s="235" t="s">
        <v>1058</v>
      </c>
      <c r="AD3961" s="235" t="s">
        <v>845</v>
      </c>
      <c r="AE3961" s="238">
        <v>400076.0</v>
      </c>
      <c r="AF3961" s="235" t="s">
        <v>631</v>
      </c>
      <c r="AG3961" s="245"/>
      <c r="AH3961" s="245"/>
      <c r="AI3961" s="245"/>
      <c r="AJ3961" s="245"/>
      <c r="AK3961" s="245"/>
      <c r="AL3961" s="245"/>
      <c r="AM3961" s="245"/>
      <c r="AN3961" s="245"/>
      <c r="AO3961" s="238">
        <v>0.0</v>
      </c>
      <c r="AP3961" s="238">
        <v>0.0</v>
      </c>
      <c r="AQ3961" s="235" t="s">
        <v>632</v>
      </c>
      <c r="AR3961" s="243">
        <v>3.71E11</v>
      </c>
      <c r="AS3961" s="235" t="s">
        <v>28482</v>
      </c>
      <c r="AT3961" s="235" t="s">
        <v>17</v>
      </c>
      <c r="AU3961" s="235" t="s">
        <v>634</v>
      </c>
      <c r="AV3961" s="246" t="s">
        <v>635</v>
      </c>
      <c r="AW3961" s="227"/>
      <c r="AX3961" s="227"/>
      <c r="AY3961" s="227"/>
      <c r="AZ3961" s="227"/>
      <c r="BA3961" s="227"/>
      <c r="BB3961" s="227"/>
      <c r="BC3961" s="227"/>
      <c r="BD3961" s="227"/>
      <c r="BE3961" s="227"/>
      <c r="BF3961" s="227"/>
    </row>
    <row r="3962">
      <c r="A3962" s="235" t="s">
        <v>29588</v>
      </c>
      <c r="C3962" s="235" t="s">
        <v>29589</v>
      </c>
      <c r="D3962" s="235" t="s">
        <v>29590</v>
      </c>
      <c r="E3962" s="243">
        <v>6.51E13</v>
      </c>
      <c r="F3962" s="245"/>
      <c r="G3962" s="235" t="s">
        <v>29591</v>
      </c>
      <c r="H3962" s="235" t="s">
        <v>29592</v>
      </c>
      <c r="I3962" s="235" t="s">
        <v>29592</v>
      </c>
      <c r="J3962" s="235" t="s">
        <v>29593</v>
      </c>
      <c r="K3962" s="235" t="s">
        <v>29594</v>
      </c>
      <c r="N3962" s="235" t="s">
        <v>154</v>
      </c>
      <c r="O3962" s="235" t="s">
        <v>766</v>
      </c>
      <c r="P3962" s="238">
        <v>1.0</v>
      </c>
      <c r="Q3962" s="235" t="s">
        <v>627</v>
      </c>
      <c r="R3962" s="238">
        <v>423.81</v>
      </c>
      <c r="S3962" s="238">
        <v>21.19</v>
      </c>
      <c r="T3962" s="238">
        <v>0.0</v>
      </c>
      <c r="U3962" s="238">
        <v>0.0</v>
      </c>
      <c r="V3962" s="238">
        <v>0.0</v>
      </c>
      <c r="W3962" s="238">
        <v>0.0</v>
      </c>
      <c r="X3962" s="235" t="s">
        <v>628</v>
      </c>
      <c r="Z3962" s="245"/>
      <c r="AA3962" s="245"/>
      <c r="AB3962" s="245"/>
      <c r="AC3962" s="235" t="s">
        <v>29595</v>
      </c>
      <c r="AD3962" s="235" t="s">
        <v>854</v>
      </c>
      <c r="AE3962" s="238">
        <v>403402.0</v>
      </c>
      <c r="AF3962" s="235" t="s">
        <v>631</v>
      </c>
      <c r="AG3962" s="245"/>
      <c r="AH3962" s="245"/>
      <c r="AI3962" s="245"/>
      <c r="AJ3962" s="245"/>
      <c r="AK3962" s="245"/>
      <c r="AL3962" s="245"/>
      <c r="AM3962" s="245"/>
      <c r="AN3962" s="245"/>
      <c r="AO3962" s="238">
        <v>0.0</v>
      </c>
      <c r="AP3962" s="238">
        <v>0.0</v>
      </c>
      <c r="AQ3962" s="235" t="s">
        <v>632</v>
      </c>
      <c r="AR3962" s="243">
        <v>2.02E11</v>
      </c>
      <c r="AS3962" s="235" t="s">
        <v>28482</v>
      </c>
      <c r="AT3962" s="235" t="s">
        <v>9</v>
      </c>
      <c r="AU3962" s="235" t="s">
        <v>634</v>
      </c>
      <c r="AV3962" s="246" t="s">
        <v>635</v>
      </c>
      <c r="AW3962" s="227"/>
      <c r="AX3962" s="227"/>
      <c r="AY3962" s="227"/>
      <c r="AZ3962" s="227"/>
      <c r="BA3962" s="227"/>
      <c r="BB3962" s="227"/>
      <c r="BC3962" s="227"/>
      <c r="BD3962" s="227"/>
      <c r="BE3962" s="227"/>
      <c r="BF3962" s="227"/>
    </row>
    <row r="3963">
      <c r="A3963" s="235" t="s">
        <v>29596</v>
      </c>
      <c r="C3963" s="235" t="s">
        <v>29597</v>
      </c>
      <c r="D3963" s="235" t="s">
        <v>29598</v>
      </c>
      <c r="E3963" s="243">
        <v>6.51E13</v>
      </c>
      <c r="F3963" s="245"/>
      <c r="G3963" s="235" t="s">
        <v>29599</v>
      </c>
      <c r="H3963" s="235" t="s">
        <v>29600</v>
      </c>
      <c r="I3963" s="235" t="s">
        <v>29600</v>
      </c>
      <c r="J3963" s="235" t="s">
        <v>29601</v>
      </c>
      <c r="K3963" s="235" t="s">
        <v>29602</v>
      </c>
      <c r="N3963" s="235" t="s">
        <v>12</v>
      </c>
      <c r="O3963" s="235" t="s">
        <v>804</v>
      </c>
      <c r="P3963" s="238">
        <v>1.0</v>
      </c>
      <c r="Q3963" s="235" t="s">
        <v>627</v>
      </c>
      <c r="R3963" s="238">
        <v>284.76</v>
      </c>
      <c r="S3963" s="238">
        <v>13.82</v>
      </c>
      <c r="T3963" s="238">
        <v>0.0</v>
      </c>
      <c r="U3963" s="238">
        <v>0.0</v>
      </c>
      <c r="V3963" s="238">
        <v>0.0</v>
      </c>
      <c r="W3963" s="238">
        <v>0.0</v>
      </c>
      <c r="X3963" s="235" t="s">
        <v>628</v>
      </c>
      <c r="Z3963" s="245"/>
      <c r="AA3963" s="245"/>
      <c r="AB3963" s="245"/>
      <c r="AC3963" s="235" t="s">
        <v>1887</v>
      </c>
      <c r="AD3963" s="235" t="s">
        <v>679</v>
      </c>
      <c r="AE3963" s="238">
        <v>560100.0</v>
      </c>
      <c r="AF3963" s="235" t="s">
        <v>631</v>
      </c>
      <c r="AG3963" s="245"/>
      <c r="AH3963" s="245"/>
      <c r="AI3963" s="245"/>
      <c r="AJ3963" s="245"/>
      <c r="AK3963" s="245"/>
      <c r="AL3963" s="245"/>
      <c r="AM3963" s="245"/>
      <c r="AN3963" s="245"/>
      <c r="AO3963" s="238">
        <v>-8.55</v>
      </c>
      <c r="AP3963" s="238">
        <v>0.0</v>
      </c>
      <c r="AQ3963" s="235" t="s">
        <v>632</v>
      </c>
      <c r="AR3963" s="243">
        <v>1.68E11</v>
      </c>
      <c r="AS3963" s="235" t="s">
        <v>28947</v>
      </c>
      <c r="AT3963" s="235" t="s">
        <v>9</v>
      </c>
      <c r="AU3963" s="235" t="s">
        <v>634</v>
      </c>
      <c r="AV3963" s="246" t="s">
        <v>635</v>
      </c>
      <c r="AW3963" s="227"/>
      <c r="AX3963" s="227"/>
      <c r="AY3963" s="227"/>
      <c r="AZ3963" s="227"/>
      <c r="BA3963" s="227"/>
      <c r="BB3963" s="227"/>
      <c r="BC3963" s="227"/>
      <c r="BD3963" s="227"/>
      <c r="BE3963" s="227"/>
      <c r="BF3963" s="227"/>
    </row>
    <row r="3964">
      <c r="A3964" s="235" t="s">
        <v>29603</v>
      </c>
      <c r="C3964" s="235" t="s">
        <v>29604</v>
      </c>
      <c r="D3964" s="235" t="s">
        <v>29605</v>
      </c>
      <c r="E3964" s="243">
        <v>6.51E13</v>
      </c>
      <c r="F3964" s="245"/>
      <c r="G3964" s="235" t="s">
        <v>29606</v>
      </c>
      <c r="H3964" s="235" t="s">
        <v>29607</v>
      </c>
      <c r="I3964" s="235" t="s">
        <v>29607</v>
      </c>
      <c r="J3964" s="235" t="s">
        <v>29608</v>
      </c>
      <c r="K3964" s="235" t="s">
        <v>29609</v>
      </c>
      <c r="N3964" s="235" t="s">
        <v>989</v>
      </c>
      <c r="O3964" s="235" t="s">
        <v>990</v>
      </c>
      <c r="P3964" s="238">
        <v>1.0</v>
      </c>
      <c r="Q3964" s="235" t="s">
        <v>627</v>
      </c>
      <c r="R3964" s="238">
        <v>256.19</v>
      </c>
      <c r="S3964" s="238">
        <v>12.43</v>
      </c>
      <c r="T3964" s="238">
        <v>0.0</v>
      </c>
      <c r="U3964" s="238">
        <v>0.0</v>
      </c>
      <c r="V3964" s="238">
        <v>0.0</v>
      </c>
      <c r="W3964" s="238">
        <v>0.0</v>
      </c>
      <c r="X3964" s="235" t="s">
        <v>628</v>
      </c>
      <c r="Z3964" s="245"/>
      <c r="AA3964" s="245"/>
      <c r="AB3964" s="245"/>
      <c r="AC3964" s="235" t="s">
        <v>29610</v>
      </c>
      <c r="AD3964" s="235" t="s">
        <v>1499</v>
      </c>
      <c r="AE3964" s="238">
        <v>451221.0</v>
      </c>
      <c r="AF3964" s="235" t="s">
        <v>631</v>
      </c>
      <c r="AG3964" s="245"/>
      <c r="AH3964" s="245"/>
      <c r="AI3964" s="245"/>
      <c r="AJ3964" s="245"/>
      <c r="AK3964" s="245"/>
      <c r="AL3964" s="245"/>
      <c r="AM3964" s="245"/>
      <c r="AN3964" s="245"/>
      <c r="AO3964" s="238">
        <v>-7.69</v>
      </c>
      <c r="AP3964" s="238">
        <v>0.0</v>
      </c>
      <c r="AQ3964" s="235" t="s">
        <v>632</v>
      </c>
      <c r="AR3964" s="243">
        <v>3.71E11</v>
      </c>
      <c r="AS3964" s="235" t="s">
        <v>26892</v>
      </c>
      <c r="AT3964" s="235" t="s">
        <v>17</v>
      </c>
      <c r="AU3964" s="235" t="s">
        <v>634</v>
      </c>
      <c r="AV3964" s="246" t="s">
        <v>635</v>
      </c>
      <c r="AW3964" s="227"/>
      <c r="AX3964" s="227"/>
      <c r="AY3964" s="227"/>
      <c r="AZ3964" s="227"/>
      <c r="BA3964" s="227"/>
      <c r="BB3964" s="227"/>
      <c r="BC3964" s="227"/>
      <c r="BD3964" s="227"/>
      <c r="BE3964" s="227"/>
      <c r="BF3964" s="227"/>
    </row>
    <row r="3965">
      <c r="A3965" s="235" t="s">
        <v>29611</v>
      </c>
      <c r="C3965" s="235" t="s">
        <v>29612</v>
      </c>
      <c r="D3965" s="235" t="s">
        <v>29613</v>
      </c>
      <c r="E3965" s="243">
        <v>6.51E13</v>
      </c>
      <c r="F3965" s="245"/>
      <c r="G3965" s="235" t="s">
        <v>29614</v>
      </c>
      <c r="H3965" s="235" t="s">
        <v>29615</v>
      </c>
      <c r="I3965" s="235" t="s">
        <v>29615</v>
      </c>
      <c r="J3965" s="235" t="s">
        <v>29616</v>
      </c>
      <c r="K3965" s="235" t="s">
        <v>29617</v>
      </c>
      <c r="N3965" s="235" t="s">
        <v>42</v>
      </c>
      <c r="O3965" s="235" t="s">
        <v>204</v>
      </c>
      <c r="P3965" s="238">
        <v>1.0</v>
      </c>
      <c r="Q3965" s="235" t="s">
        <v>627</v>
      </c>
      <c r="R3965" s="238">
        <v>270.48</v>
      </c>
      <c r="S3965" s="238">
        <v>13.52</v>
      </c>
      <c r="T3965" s="238">
        <v>0.0</v>
      </c>
      <c r="U3965" s="238">
        <v>0.0</v>
      </c>
      <c r="V3965" s="238">
        <v>0.0</v>
      </c>
      <c r="W3965" s="238">
        <v>0.0</v>
      </c>
      <c r="X3965" s="235" t="s">
        <v>628</v>
      </c>
      <c r="Z3965" s="245"/>
      <c r="AA3965" s="245"/>
      <c r="AB3965" s="245"/>
      <c r="AC3965" s="235" t="s">
        <v>27238</v>
      </c>
      <c r="AD3965" s="235" t="s">
        <v>833</v>
      </c>
      <c r="AE3965" s="238">
        <v>523002.0</v>
      </c>
      <c r="AF3965" s="235" t="s">
        <v>631</v>
      </c>
      <c r="AG3965" s="245"/>
      <c r="AH3965" s="245"/>
      <c r="AI3965" s="245"/>
      <c r="AJ3965" s="245"/>
      <c r="AK3965" s="245"/>
      <c r="AL3965" s="245"/>
      <c r="AM3965" s="245"/>
      <c r="AN3965" s="245"/>
      <c r="AO3965" s="238">
        <v>0.0</v>
      </c>
      <c r="AP3965" s="238">
        <v>0.0</v>
      </c>
      <c r="AQ3965" s="235" t="s">
        <v>632</v>
      </c>
      <c r="AR3965" s="243">
        <v>3.71E11</v>
      </c>
      <c r="AS3965" s="235" t="s">
        <v>25098</v>
      </c>
      <c r="AT3965" s="235" t="s">
        <v>11</v>
      </c>
      <c r="AU3965" s="235" t="s">
        <v>634</v>
      </c>
      <c r="AV3965" s="246" t="s">
        <v>635</v>
      </c>
      <c r="AW3965" s="227"/>
      <c r="AX3965" s="227"/>
      <c r="AY3965" s="227"/>
      <c r="AZ3965" s="227"/>
      <c r="BA3965" s="227"/>
      <c r="BB3965" s="227"/>
      <c r="BC3965" s="227"/>
      <c r="BD3965" s="227"/>
      <c r="BE3965" s="227"/>
      <c r="BF3965" s="227"/>
    </row>
    <row r="3966">
      <c r="A3966" s="235" t="s">
        <v>29618</v>
      </c>
      <c r="C3966" s="235" t="s">
        <v>29619</v>
      </c>
      <c r="D3966" s="235" t="s">
        <v>29620</v>
      </c>
      <c r="E3966" s="243">
        <v>6.51E13</v>
      </c>
      <c r="F3966" s="245"/>
      <c r="G3966" s="235" t="s">
        <v>29621</v>
      </c>
      <c r="H3966" s="235" t="s">
        <v>29622</v>
      </c>
      <c r="I3966" s="235" t="s">
        <v>29623</v>
      </c>
      <c r="J3966" s="235" t="s">
        <v>29624</v>
      </c>
      <c r="K3966" s="235" t="s">
        <v>29625</v>
      </c>
      <c r="N3966" s="235" t="s">
        <v>42</v>
      </c>
      <c r="O3966" s="235" t="s">
        <v>204</v>
      </c>
      <c r="P3966" s="238">
        <v>1.0</v>
      </c>
      <c r="Q3966" s="235" t="s">
        <v>627</v>
      </c>
      <c r="R3966" s="238">
        <v>236.19</v>
      </c>
      <c r="S3966" s="238">
        <v>11.46</v>
      </c>
      <c r="T3966" s="238">
        <v>0.0</v>
      </c>
      <c r="U3966" s="238">
        <v>0.0</v>
      </c>
      <c r="V3966" s="238">
        <v>0.0</v>
      </c>
      <c r="W3966" s="238">
        <v>0.0</v>
      </c>
      <c r="X3966" s="235" t="s">
        <v>628</v>
      </c>
      <c r="Z3966" s="245"/>
      <c r="AA3966" s="245"/>
      <c r="AB3966" s="245"/>
      <c r="AC3966" s="235" t="s">
        <v>697</v>
      </c>
      <c r="AD3966" s="235" t="s">
        <v>698</v>
      </c>
      <c r="AE3966" s="238">
        <v>500028.0</v>
      </c>
      <c r="AF3966" s="235" t="s">
        <v>631</v>
      </c>
      <c r="AG3966" s="245"/>
      <c r="AH3966" s="245"/>
      <c r="AI3966" s="245"/>
      <c r="AJ3966" s="245"/>
      <c r="AK3966" s="245"/>
      <c r="AL3966" s="245"/>
      <c r="AM3966" s="245"/>
      <c r="AN3966" s="245"/>
      <c r="AO3966" s="238">
        <v>-7.09</v>
      </c>
      <c r="AP3966" s="238">
        <v>0.0</v>
      </c>
      <c r="AQ3966" s="235" t="s">
        <v>632</v>
      </c>
      <c r="AR3966" s="243">
        <v>3.71E11</v>
      </c>
      <c r="AS3966" s="235" t="s">
        <v>26892</v>
      </c>
      <c r="AT3966" s="235" t="s">
        <v>546</v>
      </c>
      <c r="AU3966" s="235" t="s">
        <v>634</v>
      </c>
      <c r="AV3966" s="246" t="s">
        <v>635</v>
      </c>
      <c r="AW3966" s="227"/>
      <c r="AX3966" s="227"/>
      <c r="AY3966" s="227"/>
      <c r="AZ3966" s="227"/>
      <c r="BA3966" s="227"/>
      <c r="BB3966" s="227"/>
      <c r="BC3966" s="227"/>
      <c r="BD3966" s="227"/>
      <c r="BE3966" s="227"/>
      <c r="BF3966" s="227"/>
    </row>
    <row r="3967">
      <c r="A3967" s="235" t="s">
        <v>29626</v>
      </c>
      <c r="C3967" s="235" t="s">
        <v>29627</v>
      </c>
      <c r="D3967" s="235" t="s">
        <v>29628</v>
      </c>
      <c r="E3967" s="243">
        <v>6.51E13</v>
      </c>
      <c r="F3967" s="245"/>
      <c r="G3967" s="235" t="s">
        <v>29629</v>
      </c>
      <c r="H3967" s="235" t="s">
        <v>29630</v>
      </c>
      <c r="I3967" s="235" t="s">
        <v>29630</v>
      </c>
      <c r="J3967" s="235" t="s">
        <v>29631</v>
      </c>
      <c r="K3967" s="235" t="s">
        <v>29632</v>
      </c>
      <c r="N3967" s="235" t="s">
        <v>1346</v>
      </c>
      <c r="O3967" s="235" t="s">
        <v>1347</v>
      </c>
      <c r="P3967" s="238">
        <v>1.0</v>
      </c>
      <c r="Q3967" s="235" t="s">
        <v>627</v>
      </c>
      <c r="R3967" s="238">
        <v>256.2</v>
      </c>
      <c r="S3967" s="238">
        <v>12.54</v>
      </c>
      <c r="T3967" s="238">
        <v>0.0</v>
      </c>
      <c r="U3967" s="238">
        <v>0.0</v>
      </c>
      <c r="V3967" s="238">
        <v>0.0</v>
      </c>
      <c r="W3967" s="238">
        <v>0.0</v>
      </c>
      <c r="X3967" s="235" t="s">
        <v>628</v>
      </c>
      <c r="Z3967" s="245"/>
      <c r="AA3967" s="245"/>
      <c r="AB3967" s="245"/>
      <c r="AC3967" s="235" t="s">
        <v>29633</v>
      </c>
      <c r="AD3967" s="235" t="s">
        <v>666</v>
      </c>
      <c r="AE3967" s="238">
        <v>635115.0</v>
      </c>
      <c r="AF3967" s="235" t="s">
        <v>631</v>
      </c>
      <c r="AG3967" s="245"/>
      <c r="AH3967" s="245"/>
      <c r="AI3967" s="245"/>
      <c r="AJ3967" s="245"/>
      <c r="AK3967" s="245"/>
      <c r="AL3967" s="245"/>
      <c r="AM3967" s="245"/>
      <c r="AN3967" s="245"/>
      <c r="AO3967" s="238">
        <v>-5.12</v>
      </c>
      <c r="AP3967" s="238">
        <v>0.0</v>
      </c>
      <c r="AQ3967" s="235" t="s">
        <v>632</v>
      </c>
      <c r="AR3967" s="243">
        <v>3.71E11</v>
      </c>
      <c r="AS3967" s="235" t="s">
        <v>28482</v>
      </c>
      <c r="AT3967" s="235" t="s">
        <v>155</v>
      </c>
      <c r="AU3967" s="235" t="s">
        <v>634</v>
      </c>
      <c r="AV3967" s="246" t="s">
        <v>635</v>
      </c>
      <c r="AW3967" s="227"/>
      <c r="AX3967" s="227"/>
      <c r="AY3967" s="227"/>
      <c r="AZ3967" s="227"/>
      <c r="BA3967" s="227"/>
      <c r="BB3967" s="227"/>
      <c r="BC3967" s="227"/>
      <c r="BD3967" s="227"/>
      <c r="BE3967" s="227"/>
      <c r="BF3967" s="227"/>
    </row>
    <row r="3968">
      <c r="A3968" s="235" t="s">
        <v>29634</v>
      </c>
      <c r="C3968" s="235" t="s">
        <v>29635</v>
      </c>
      <c r="D3968" s="235" t="s">
        <v>29636</v>
      </c>
      <c r="E3968" s="243">
        <v>6.51E13</v>
      </c>
      <c r="F3968" s="245"/>
      <c r="G3968" s="235" t="s">
        <v>29637</v>
      </c>
      <c r="H3968" s="235" t="s">
        <v>29638</v>
      </c>
      <c r="I3968" s="235" t="s">
        <v>29639</v>
      </c>
      <c r="J3968" s="235" t="s">
        <v>29640</v>
      </c>
      <c r="K3968" s="235" t="s">
        <v>29641</v>
      </c>
      <c r="N3968" s="235" t="s">
        <v>51</v>
      </c>
      <c r="O3968" s="235" t="s">
        <v>273</v>
      </c>
      <c r="P3968" s="238">
        <v>1.0</v>
      </c>
      <c r="Q3968" s="235" t="s">
        <v>627</v>
      </c>
      <c r="R3968" s="238">
        <v>246.66</v>
      </c>
      <c r="S3968" s="238">
        <v>12.34</v>
      </c>
      <c r="T3968" s="238">
        <v>0.0</v>
      </c>
      <c r="U3968" s="238">
        <v>0.0</v>
      </c>
      <c r="V3968" s="238">
        <v>0.0</v>
      </c>
      <c r="W3968" s="238">
        <v>0.0</v>
      </c>
      <c r="X3968" s="235" t="s">
        <v>628</v>
      </c>
      <c r="Z3968" s="245"/>
      <c r="AA3968" s="245"/>
      <c r="AB3968" s="245"/>
      <c r="AC3968" s="235" t="s">
        <v>687</v>
      </c>
      <c r="AD3968" s="235" t="s">
        <v>666</v>
      </c>
      <c r="AE3968" s="238">
        <v>600041.0</v>
      </c>
      <c r="AF3968" s="235" t="s">
        <v>631</v>
      </c>
      <c r="AG3968" s="245"/>
      <c r="AH3968" s="245"/>
      <c r="AI3968" s="245"/>
      <c r="AJ3968" s="245"/>
      <c r="AK3968" s="245"/>
      <c r="AL3968" s="245"/>
      <c r="AM3968" s="245"/>
      <c r="AN3968" s="245"/>
      <c r="AO3968" s="238">
        <v>0.0</v>
      </c>
      <c r="AP3968" s="238">
        <v>0.0</v>
      </c>
      <c r="AQ3968" s="235" t="s">
        <v>632</v>
      </c>
      <c r="AR3968" s="243">
        <v>3.71E11</v>
      </c>
      <c r="AS3968" s="235" t="s">
        <v>28482</v>
      </c>
      <c r="AT3968" s="235" t="s">
        <v>156</v>
      </c>
      <c r="AU3968" s="235" t="s">
        <v>634</v>
      </c>
      <c r="AV3968" s="246" t="s">
        <v>635</v>
      </c>
      <c r="AW3968" s="227"/>
      <c r="AX3968" s="227"/>
      <c r="AY3968" s="227"/>
      <c r="AZ3968" s="227"/>
      <c r="BA3968" s="227"/>
      <c r="BB3968" s="227"/>
      <c r="BC3968" s="227"/>
      <c r="BD3968" s="227"/>
      <c r="BE3968" s="227"/>
      <c r="BF3968" s="227"/>
    </row>
    <row r="3969">
      <c r="A3969" s="235" t="s">
        <v>29642</v>
      </c>
      <c r="C3969" s="235" t="s">
        <v>29643</v>
      </c>
      <c r="D3969" s="235" t="s">
        <v>29644</v>
      </c>
      <c r="E3969" s="243">
        <v>6.51E13</v>
      </c>
      <c r="F3969" s="245"/>
      <c r="G3969" s="235" t="s">
        <v>29645</v>
      </c>
      <c r="H3969" s="235" t="s">
        <v>29646</v>
      </c>
      <c r="I3969" s="235" t="s">
        <v>29647</v>
      </c>
      <c r="J3969" s="235" t="s">
        <v>29648</v>
      </c>
      <c r="K3969" s="235" t="s">
        <v>29649</v>
      </c>
      <c r="N3969" s="235" t="s">
        <v>1346</v>
      </c>
      <c r="O3969" s="235" t="s">
        <v>1347</v>
      </c>
      <c r="P3969" s="238">
        <v>1.0</v>
      </c>
      <c r="Q3969" s="235" t="s">
        <v>627</v>
      </c>
      <c r="R3969" s="238">
        <v>256.2</v>
      </c>
      <c r="S3969" s="238">
        <v>12.54</v>
      </c>
      <c r="T3969" s="238">
        <v>0.0</v>
      </c>
      <c r="U3969" s="238">
        <v>0.0</v>
      </c>
      <c r="V3969" s="238">
        <v>0.0</v>
      </c>
      <c r="W3969" s="238">
        <v>0.0</v>
      </c>
      <c r="X3969" s="235" t="s">
        <v>628</v>
      </c>
      <c r="Z3969" s="245"/>
      <c r="AA3969" s="245"/>
      <c r="AB3969" s="245"/>
      <c r="AC3969" s="235" t="s">
        <v>1320</v>
      </c>
      <c r="AD3969" s="235" t="s">
        <v>666</v>
      </c>
      <c r="AE3969" s="238">
        <v>600091.0</v>
      </c>
      <c r="AF3969" s="235" t="s">
        <v>631</v>
      </c>
      <c r="AG3969" s="245"/>
      <c r="AH3969" s="245"/>
      <c r="AI3969" s="245"/>
      <c r="AJ3969" s="245"/>
      <c r="AK3969" s="245"/>
      <c r="AL3969" s="245"/>
      <c r="AM3969" s="245"/>
      <c r="AN3969" s="245"/>
      <c r="AO3969" s="238">
        <v>-5.12</v>
      </c>
      <c r="AP3969" s="238">
        <v>0.0</v>
      </c>
      <c r="AQ3969" s="235" t="s">
        <v>632</v>
      </c>
      <c r="AR3969" s="243">
        <v>3.71E11</v>
      </c>
      <c r="AS3969" s="235" t="s">
        <v>26892</v>
      </c>
      <c r="AT3969" s="235" t="s">
        <v>155</v>
      </c>
      <c r="AU3969" s="235" t="s">
        <v>634</v>
      </c>
      <c r="AV3969" s="246" t="s">
        <v>635</v>
      </c>
      <c r="AW3969" s="227"/>
      <c r="AX3969" s="227"/>
      <c r="AY3969" s="227"/>
      <c r="AZ3969" s="227"/>
      <c r="BA3969" s="227"/>
      <c r="BB3969" s="227"/>
      <c r="BC3969" s="227"/>
      <c r="BD3969" s="227"/>
      <c r="BE3969" s="227"/>
      <c r="BF3969" s="227"/>
    </row>
    <row r="3970">
      <c r="A3970" s="235" t="s">
        <v>29650</v>
      </c>
      <c r="C3970" s="235" t="s">
        <v>29651</v>
      </c>
      <c r="D3970" s="235" t="s">
        <v>29652</v>
      </c>
      <c r="E3970" s="243">
        <v>6.51E13</v>
      </c>
      <c r="F3970" s="245"/>
      <c r="G3970" s="235" t="s">
        <v>29653</v>
      </c>
      <c r="H3970" s="235" t="s">
        <v>29654</v>
      </c>
      <c r="I3970" s="235" t="s">
        <v>29654</v>
      </c>
      <c r="J3970" s="235" t="s">
        <v>29655</v>
      </c>
      <c r="K3970" s="235" t="s">
        <v>29656</v>
      </c>
      <c r="N3970" s="235" t="s">
        <v>154</v>
      </c>
      <c r="O3970" s="235" t="s">
        <v>766</v>
      </c>
      <c r="P3970" s="238">
        <v>1.0</v>
      </c>
      <c r="Q3970" s="235" t="s">
        <v>627</v>
      </c>
      <c r="R3970" s="238">
        <v>423.81</v>
      </c>
      <c r="S3970" s="238">
        <v>20.55</v>
      </c>
      <c r="T3970" s="238">
        <v>0.0</v>
      </c>
      <c r="U3970" s="238">
        <v>0.0</v>
      </c>
      <c r="V3970" s="238">
        <v>0.0</v>
      </c>
      <c r="W3970" s="238">
        <v>0.0</v>
      </c>
      <c r="X3970" s="235" t="s">
        <v>628</v>
      </c>
      <c r="Z3970" s="245"/>
      <c r="AA3970" s="245"/>
      <c r="AB3970" s="245"/>
      <c r="AC3970" s="235" t="s">
        <v>15463</v>
      </c>
      <c r="AD3970" s="235" t="s">
        <v>1086</v>
      </c>
      <c r="AE3970" s="238">
        <v>143001.0</v>
      </c>
      <c r="AF3970" s="235" t="s">
        <v>631</v>
      </c>
      <c r="AG3970" s="245"/>
      <c r="AH3970" s="245"/>
      <c r="AI3970" s="245"/>
      <c r="AJ3970" s="245"/>
      <c r="AK3970" s="245"/>
      <c r="AL3970" s="245"/>
      <c r="AM3970" s="245"/>
      <c r="AN3970" s="245"/>
      <c r="AO3970" s="238">
        <v>-12.71</v>
      </c>
      <c r="AP3970" s="238">
        <v>0.0</v>
      </c>
      <c r="AQ3970" s="235" t="s">
        <v>632</v>
      </c>
      <c r="AR3970" s="243">
        <v>2.02E11</v>
      </c>
      <c r="AS3970" s="235" t="s">
        <v>28482</v>
      </c>
      <c r="AT3970" s="235" t="s">
        <v>533</v>
      </c>
      <c r="AU3970" s="235" t="s">
        <v>634</v>
      </c>
      <c r="AV3970" s="246" t="s">
        <v>635</v>
      </c>
      <c r="AW3970" s="227"/>
      <c r="AX3970" s="227"/>
      <c r="AY3970" s="227"/>
      <c r="AZ3970" s="227"/>
      <c r="BA3970" s="227"/>
      <c r="BB3970" s="227"/>
      <c r="BC3970" s="227"/>
      <c r="BD3970" s="227"/>
      <c r="BE3970" s="227"/>
      <c r="BF3970" s="227"/>
    </row>
    <row r="3971">
      <c r="A3971" s="235" t="s">
        <v>29657</v>
      </c>
      <c r="C3971" s="235" t="s">
        <v>29658</v>
      </c>
      <c r="D3971" s="235" t="s">
        <v>29659</v>
      </c>
      <c r="E3971" s="243">
        <v>6.51E13</v>
      </c>
      <c r="F3971" s="245"/>
      <c r="G3971" s="235" t="s">
        <v>29660</v>
      </c>
      <c r="H3971" s="235" t="s">
        <v>29661</v>
      </c>
      <c r="I3971" s="235" t="s">
        <v>29662</v>
      </c>
      <c r="J3971" s="235" t="s">
        <v>29663</v>
      </c>
      <c r="K3971" s="235" t="s">
        <v>29664</v>
      </c>
      <c r="N3971" s="235" t="s">
        <v>42</v>
      </c>
      <c r="O3971" s="235" t="s">
        <v>204</v>
      </c>
      <c r="P3971" s="238">
        <v>1.0</v>
      </c>
      <c r="Q3971" s="235" t="s">
        <v>627</v>
      </c>
      <c r="R3971" s="238">
        <v>236.19</v>
      </c>
      <c r="S3971" s="238">
        <v>11.81</v>
      </c>
      <c r="T3971" s="238">
        <v>0.0</v>
      </c>
      <c r="U3971" s="238">
        <v>0.0</v>
      </c>
      <c r="V3971" s="238">
        <v>0.0</v>
      </c>
      <c r="W3971" s="238">
        <v>0.0</v>
      </c>
      <c r="X3971" s="235" t="s">
        <v>628</v>
      </c>
      <c r="Z3971" s="245"/>
      <c r="AA3971" s="245"/>
      <c r="AB3971" s="245"/>
      <c r="AC3971" s="235" t="s">
        <v>697</v>
      </c>
      <c r="AD3971" s="235" t="s">
        <v>698</v>
      </c>
      <c r="AE3971" s="238">
        <v>500075.0</v>
      </c>
      <c r="AF3971" s="235" t="s">
        <v>631</v>
      </c>
      <c r="AG3971" s="245"/>
      <c r="AH3971" s="245"/>
      <c r="AI3971" s="245"/>
      <c r="AJ3971" s="245"/>
      <c r="AK3971" s="245"/>
      <c r="AL3971" s="245"/>
      <c r="AM3971" s="245"/>
      <c r="AN3971" s="245"/>
      <c r="AO3971" s="238">
        <v>0.0</v>
      </c>
      <c r="AP3971" s="238">
        <v>0.0</v>
      </c>
      <c r="AQ3971" s="235" t="s">
        <v>632</v>
      </c>
      <c r="AR3971" s="243">
        <v>3.71E11</v>
      </c>
      <c r="AS3971" s="235" t="s">
        <v>26892</v>
      </c>
      <c r="AT3971" s="235" t="s">
        <v>11</v>
      </c>
      <c r="AU3971" s="235" t="s">
        <v>634</v>
      </c>
      <c r="AV3971" s="246" t="s">
        <v>635</v>
      </c>
      <c r="AW3971" s="227"/>
      <c r="AX3971" s="227"/>
      <c r="AY3971" s="227"/>
      <c r="AZ3971" s="227"/>
      <c r="BA3971" s="227"/>
      <c r="BB3971" s="227"/>
      <c r="BC3971" s="227"/>
      <c r="BD3971" s="227"/>
      <c r="BE3971" s="227"/>
      <c r="BF3971" s="227"/>
    </row>
    <row r="3972">
      <c r="A3972" s="235" t="s">
        <v>29665</v>
      </c>
      <c r="C3972" s="235" t="s">
        <v>29666</v>
      </c>
      <c r="D3972" s="235" t="s">
        <v>29667</v>
      </c>
      <c r="E3972" s="243">
        <v>6.51E13</v>
      </c>
      <c r="F3972" s="245"/>
      <c r="G3972" s="235" t="s">
        <v>29668</v>
      </c>
      <c r="H3972" s="235" t="s">
        <v>29669</v>
      </c>
      <c r="I3972" s="235" t="s">
        <v>29669</v>
      </c>
      <c r="J3972" s="235" t="s">
        <v>29670</v>
      </c>
      <c r="K3972" s="235" t="s">
        <v>29671</v>
      </c>
      <c r="N3972" s="235" t="s">
        <v>2706</v>
      </c>
      <c r="O3972" s="235" t="s">
        <v>2707</v>
      </c>
      <c r="P3972" s="238">
        <v>1.0</v>
      </c>
      <c r="Q3972" s="235" t="s">
        <v>627</v>
      </c>
      <c r="R3972" s="238">
        <v>761.86</v>
      </c>
      <c r="S3972" s="238">
        <v>134.4</v>
      </c>
      <c r="T3972" s="238">
        <v>0.0</v>
      </c>
      <c r="U3972" s="238">
        <v>0.0</v>
      </c>
      <c r="V3972" s="238">
        <v>0.0</v>
      </c>
      <c r="W3972" s="238">
        <v>0.0</v>
      </c>
      <c r="X3972" s="235" t="s">
        <v>628</v>
      </c>
      <c r="Z3972" s="245"/>
      <c r="AA3972" s="245"/>
      <c r="AB3972" s="245"/>
      <c r="AC3972" s="235" t="s">
        <v>952</v>
      </c>
      <c r="AD3972" s="235" t="s">
        <v>666</v>
      </c>
      <c r="AE3972" s="238">
        <v>600106.0</v>
      </c>
      <c r="AF3972" s="235" t="s">
        <v>631</v>
      </c>
      <c r="AG3972" s="245"/>
      <c r="AH3972" s="245"/>
      <c r="AI3972" s="245"/>
      <c r="AJ3972" s="245"/>
      <c r="AK3972" s="245"/>
      <c r="AL3972" s="245"/>
      <c r="AM3972" s="245"/>
      <c r="AN3972" s="245"/>
      <c r="AO3972" s="238">
        <v>-15.24</v>
      </c>
      <c r="AP3972" s="238">
        <v>0.0</v>
      </c>
      <c r="AQ3972" s="235" t="s">
        <v>632</v>
      </c>
      <c r="AR3972" s="243">
        <v>1.68E11</v>
      </c>
      <c r="AS3972" s="235" t="s">
        <v>28482</v>
      </c>
      <c r="AT3972" s="235" t="s">
        <v>9</v>
      </c>
      <c r="AU3972" s="235" t="s">
        <v>634</v>
      </c>
      <c r="AV3972" s="246" t="s">
        <v>635</v>
      </c>
      <c r="AW3972" s="227"/>
      <c r="AX3972" s="227"/>
      <c r="AY3972" s="227"/>
      <c r="AZ3972" s="227"/>
      <c r="BA3972" s="227"/>
      <c r="BB3972" s="227"/>
      <c r="BC3972" s="227"/>
      <c r="BD3972" s="227"/>
      <c r="BE3972" s="227"/>
      <c r="BF3972" s="227"/>
    </row>
    <row r="3973">
      <c r="A3973" s="235" t="s">
        <v>29672</v>
      </c>
      <c r="C3973" s="235" t="s">
        <v>29673</v>
      </c>
      <c r="D3973" s="235" t="s">
        <v>29674</v>
      </c>
      <c r="E3973" s="243">
        <v>6.51E13</v>
      </c>
      <c r="F3973" s="245"/>
      <c r="G3973" s="235" t="s">
        <v>29675</v>
      </c>
      <c r="H3973" s="235" t="s">
        <v>29676</v>
      </c>
      <c r="I3973" s="235" t="s">
        <v>29676</v>
      </c>
      <c r="J3973" s="235" t="s">
        <v>29677</v>
      </c>
      <c r="K3973" s="235" t="s">
        <v>29678</v>
      </c>
      <c r="N3973" s="235" t="s">
        <v>47</v>
      </c>
      <c r="O3973" s="235" t="s">
        <v>270</v>
      </c>
      <c r="P3973" s="238">
        <v>1.0</v>
      </c>
      <c r="Q3973" s="235" t="s">
        <v>627</v>
      </c>
      <c r="R3973" s="238">
        <v>236.19</v>
      </c>
      <c r="S3973" s="238">
        <v>11.81</v>
      </c>
      <c r="T3973" s="238">
        <v>0.0</v>
      </c>
      <c r="U3973" s="238">
        <v>0.0</v>
      </c>
      <c r="V3973" s="238">
        <v>0.0</v>
      </c>
      <c r="W3973" s="238">
        <v>0.0</v>
      </c>
      <c r="X3973" s="235" t="s">
        <v>628</v>
      </c>
      <c r="Z3973" s="245"/>
      <c r="AA3973" s="245"/>
      <c r="AB3973" s="245"/>
      <c r="AC3973" s="235" t="s">
        <v>2493</v>
      </c>
      <c r="AD3973" s="235" t="s">
        <v>833</v>
      </c>
      <c r="AE3973" s="238">
        <v>522501.0</v>
      </c>
      <c r="AF3973" s="235" t="s">
        <v>631</v>
      </c>
      <c r="AG3973" s="245"/>
      <c r="AH3973" s="245"/>
      <c r="AI3973" s="245"/>
      <c r="AJ3973" s="245"/>
      <c r="AK3973" s="245"/>
      <c r="AL3973" s="245"/>
      <c r="AM3973" s="245"/>
      <c r="AN3973" s="245"/>
      <c r="AO3973" s="238">
        <v>0.0</v>
      </c>
      <c r="AP3973" s="238">
        <v>0.0</v>
      </c>
      <c r="AQ3973" s="235" t="s">
        <v>632</v>
      </c>
      <c r="AR3973" s="243">
        <v>1.68E11</v>
      </c>
      <c r="AS3973" s="235" t="s">
        <v>28482</v>
      </c>
      <c r="AT3973" s="235" t="s">
        <v>156</v>
      </c>
      <c r="AU3973" s="235" t="s">
        <v>634</v>
      </c>
      <c r="AV3973" s="246" t="s">
        <v>635</v>
      </c>
      <c r="AW3973" s="227"/>
      <c r="AX3973" s="227"/>
      <c r="AY3973" s="227"/>
      <c r="AZ3973" s="227"/>
      <c r="BA3973" s="227"/>
      <c r="BB3973" s="227"/>
      <c r="BC3973" s="227"/>
      <c r="BD3973" s="227"/>
      <c r="BE3973" s="227"/>
      <c r="BF3973" s="227"/>
    </row>
    <row r="3974">
      <c r="A3974" s="235" t="s">
        <v>29679</v>
      </c>
      <c r="C3974" s="235" t="s">
        <v>29680</v>
      </c>
      <c r="D3974" s="235" t="s">
        <v>29681</v>
      </c>
      <c r="E3974" s="243">
        <v>6.51E13</v>
      </c>
      <c r="F3974" s="245"/>
      <c r="G3974" s="235" t="s">
        <v>29682</v>
      </c>
      <c r="H3974" s="235" t="s">
        <v>29683</v>
      </c>
      <c r="I3974" s="235" t="s">
        <v>29683</v>
      </c>
      <c r="J3974" s="235" t="s">
        <v>29684</v>
      </c>
      <c r="K3974" s="235" t="s">
        <v>29685</v>
      </c>
      <c r="N3974" s="235" t="s">
        <v>127</v>
      </c>
      <c r="O3974" s="235" t="s">
        <v>794</v>
      </c>
      <c r="P3974" s="238">
        <v>1.0</v>
      </c>
      <c r="Q3974" s="235" t="s">
        <v>627</v>
      </c>
      <c r="R3974" s="238">
        <v>236.19</v>
      </c>
      <c r="S3974" s="238">
        <v>11.46</v>
      </c>
      <c r="T3974" s="238">
        <v>0.0</v>
      </c>
      <c r="U3974" s="238">
        <v>0.0</v>
      </c>
      <c r="V3974" s="238">
        <v>0.0</v>
      </c>
      <c r="W3974" s="238">
        <v>0.0</v>
      </c>
      <c r="X3974" s="235" t="s">
        <v>628</v>
      </c>
      <c r="Z3974" s="245"/>
      <c r="AA3974" s="245"/>
      <c r="AB3974" s="245"/>
      <c r="AC3974" s="235" t="s">
        <v>29686</v>
      </c>
      <c r="AD3974" s="235" t="s">
        <v>1499</v>
      </c>
      <c r="AE3974" s="238">
        <v>453441.0</v>
      </c>
      <c r="AF3974" s="235" t="s">
        <v>631</v>
      </c>
      <c r="AG3974" s="245"/>
      <c r="AH3974" s="245"/>
      <c r="AI3974" s="245"/>
      <c r="AJ3974" s="245"/>
      <c r="AK3974" s="245"/>
      <c r="AL3974" s="245"/>
      <c r="AM3974" s="245"/>
      <c r="AN3974" s="245"/>
      <c r="AO3974" s="238">
        <v>-7.09</v>
      </c>
      <c r="AP3974" s="238">
        <v>0.0</v>
      </c>
      <c r="AQ3974" s="235" t="s">
        <v>632</v>
      </c>
      <c r="AR3974" s="243">
        <v>3.71E11</v>
      </c>
      <c r="AS3974" s="235" t="s">
        <v>25098</v>
      </c>
      <c r="AT3974" s="235" t="s">
        <v>17</v>
      </c>
      <c r="AU3974" s="235" t="s">
        <v>634</v>
      </c>
      <c r="AV3974" s="246" t="s">
        <v>635</v>
      </c>
      <c r="AW3974" s="227"/>
      <c r="AX3974" s="227"/>
      <c r="AY3974" s="227"/>
      <c r="AZ3974" s="227"/>
      <c r="BA3974" s="227"/>
      <c r="BB3974" s="227"/>
      <c r="BC3974" s="227"/>
      <c r="BD3974" s="227"/>
      <c r="BE3974" s="227"/>
      <c r="BF3974" s="227"/>
    </row>
    <row r="3975">
      <c r="A3975" s="235" t="s">
        <v>29687</v>
      </c>
      <c r="C3975" s="235" t="s">
        <v>29688</v>
      </c>
      <c r="D3975" s="235" t="s">
        <v>29689</v>
      </c>
      <c r="E3975" s="243">
        <v>6.51E13</v>
      </c>
      <c r="F3975" s="245"/>
      <c r="G3975" s="235" t="s">
        <v>29690</v>
      </c>
      <c r="H3975" s="235" t="s">
        <v>29691</v>
      </c>
      <c r="I3975" s="235" t="s">
        <v>29691</v>
      </c>
      <c r="J3975" s="235" t="s">
        <v>29692</v>
      </c>
      <c r="K3975" s="235" t="s">
        <v>29693</v>
      </c>
      <c r="N3975" s="235" t="s">
        <v>42</v>
      </c>
      <c r="O3975" s="235" t="s">
        <v>204</v>
      </c>
      <c r="P3975" s="238">
        <v>1.0</v>
      </c>
      <c r="Q3975" s="235" t="s">
        <v>627</v>
      </c>
      <c r="R3975" s="238">
        <v>236.19</v>
      </c>
      <c r="S3975" s="238">
        <v>11.46</v>
      </c>
      <c r="T3975" s="238">
        <v>0.0</v>
      </c>
      <c r="U3975" s="238">
        <v>0.0</v>
      </c>
      <c r="V3975" s="238">
        <v>0.0</v>
      </c>
      <c r="W3975" s="238">
        <v>0.0</v>
      </c>
      <c r="X3975" s="235" t="s">
        <v>628</v>
      </c>
      <c r="Z3975" s="245"/>
      <c r="AA3975" s="245"/>
      <c r="AB3975" s="245"/>
      <c r="AC3975" s="235" t="s">
        <v>899</v>
      </c>
      <c r="AD3975" s="235" t="s">
        <v>833</v>
      </c>
      <c r="AE3975" s="238">
        <v>517501.0</v>
      </c>
      <c r="AF3975" s="235" t="s">
        <v>631</v>
      </c>
      <c r="AG3975" s="245"/>
      <c r="AH3975" s="245"/>
      <c r="AI3975" s="245"/>
      <c r="AJ3975" s="245"/>
      <c r="AK3975" s="245"/>
      <c r="AL3975" s="245"/>
      <c r="AM3975" s="245"/>
      <c r="AN3975" s="245"/>
      <c r="AO3975" s="238">
        <v>-7.09</v>
      </c>
      <c r="AP3975" s="238">
        <v>0.0</v>
      </c>
      <c r="AQ3975" s="235" t="s">
        <v>632</v>
      </c>
      <c r="AR3975" s="243">
        <v>3.71E11</v>
      </c>
      <c r="AS3975" s="235" t="s">
        <v>28482</v>
      </c>
      <c r="AT3975" s="235" t="s">
        <v>156</v>
      </c>
      <c r="AU3975" s="235" t="s">
        <v>634</v>
      </c>
      <c r="AV3975" s="246" t="s">
        <v>635</v>
      </c>
      <c r="AW3975" s="227"/>
      <c r="AX3975" s="227"/>
      <c r="AY3975" s="227"/>
      <c r="AZ3975" s="227"/>
      <c r="BA3975" s="227"/>
      <c r="BB3975" s="227"/>
      <c r="BC3975" s="227"/>
      <c r="BD3975" s="227"/>
      <c r="BE3975" s="227"/>
      <c r="BF3975" s="227"/>
    </row>
    <row r="3976">
      <c r="A3976" s="235" t="s">
        <v>29694</v>
      </c>
      <c r="C3976" s="235" t="s">
        <v>29695</v>
      </c>
      <c r="D3976" s="235" t="s">
        <v>29696</v>
      </c>
      <c r="E3976" s="243">
        <v>6.51E13</v>
      </c>
      <c r="F3976" s="245"/>
      <c r="G3976" s="235" t="s">
        <v>29697</v>
      </c>
      <c r="H3976" s="235" t="s">
        <v>29698</v>
      </c>
      <c r="I3976" s="235" t="s">
        <v>29698</v>
      </c>
      <c r="J3976" s="235" t="s">
        <v>29699</v>
      </c>
      <c r="K3976" s="235" t="s">
        <v>29700</v>
      </c>
      <c r="N3976" s="235" t="s">
        <v>143</v>
      </c>
      <c r="O3976" s="235" t="s">
        <v>220</v>
      </c>
      <c r="P3976" s="238">
        <v>1.0</v>
      </c>
      <c r="Q3976" s="235" t="s">
        <v>627</v>
      </c>
      <c r="R3976" s="238">
        <v>233.33</v>
      </c>
      <c r="S3976" s="238">
        <v>11.67</v>
      </c>
      <c r="T3976" s="238">
        <v>0.0</v>
      </c>
      <c r="U3976" s="238">
        <v>0.0</v>
      </c>
      <c r="V3976" s="238">
        <v>0.0</v>
      </c>
      <c r="W3976" s="238">
        <v>0.0</v>
      </c>
      <c r="X3976" s="235" t="s">
        <v>628</v>
      </c>
      <c r="Z3976" s="245"/>
      <c r="AA3976" s="245"/>
      <c r="AB3976" s="245"/>
      <c r="AC3976" s="235" t="s">
        <v>1058</v>
      </c>
      <c r="AD3976" s="235" t="s">
        <v>845</v>
      </c>
      <c r="AE3976" s="238">
        <v>400059.0</v>
      </c>
      <c r="AF3976" s="235" t="s">
        <v>631</v>
      </c>
      <c r="AG3976" s="245"/>
      <c r="AH3976" s="245"/>
      <c r="AI3976" s="245"/>
      <c r="AJ3976" s="245"/>
      <c r="AK3976" s="245"/>
      <c r="AL3976" s="245"/>
      <c r="AM3976" s="245"/>
      <c r="AN3976" s="245"/>
      <c r="AO3976" s="238">
        <v>0.0</v>
      </c>
      <c r="AP3976" s="238">
        <v>0.0</v>
      </c>
      <c r="AQ3976" s="235" t="s">
        <v>632</v>
      </c>
      <c r="AR3976" s="243">
        <v>3.71E11</v>
      </c>
      <c r="AS3976" s="235" t="s">
        <v>25098</v>
      </c>
      <c r="AT3976" s="235" t="s">
        <v>9</v>
      </c>
      <c r="AU3976" s="235" t="s">
        <v>634</v>
      </c>
      <c r="AV3976" s="246" t="s">
        <v>635</v>
      </c>
      <c r="AW3976" s="227"/>
      <c r="AX3976" s="227"/>
      <c r="AY3976" s="227"/>
      <c r="AZ3976" s="227"/>
      <c r="BA3976" s="227"/>
      <c r="BB3976" s="227"/>
      <c r="BC3976" s="227"/>
      <c r="BD3976" s="227"/>
      <c r="BE3976" s="227"/>
      <c r="BF3976" s="227"/>
    </row>
    <row r="3977">
      <c r="A3977" s="235" t="s">
        <v>29701</v>
      </c>
      <c r="C3977" s="235" t="s">
        <v>29702</v>
      </c>
      <c r="D3977" s="235" t="s">
        <v>29703</v>
      </c>
      <c r="E3977" s="243">
        <v>6.51E13</v>
      </c>
      <c r="F3977" s="245"/>
      <c r="G3977" s="235" t="s">
        <v>29704</v>
      </c>
      <c r="H3977" s="235" t="s">
        <v>29705</v>
      </c>
      <c r="I3977" s="235" t="s">
        <v>29705</v>
      </c>
      <c r="J3977" s="235" t="s">
        <v>29706</v>
      </c>
      <c r="K3977" s="235" t="s">
        <v>29707</v>
      </c>
      <c r="N3977" s="235" t="s">
        <v>2706</v>
      </c>
      <c r="O3977" s="235" t="s">
        <v>2707</v>
      </c>
      <c r="P3977" s="238">
        <v>1.0</v>
      </c>
      <c r="Q3977" s="235" t="s">
        <v>627</v>
      </c>
      <c r="R3977" s="238">
        <v>761.86</v>
      </c>
      <c r="S3977" s="238">
        <v>137.14</v>
      </c>
      <c r="T3977" s="238">
        <v>0.0</v>
      </c>
      <c r="U3977" s="238">
        <v>0.0</v>
      </c>
      <c r="V3977" s="238">
        <v>0.0</v>
      </c>
      <c r="W3977" s="238">
        <v>0.0</v>
      </c>
      <c r="X3977" s="235" t="s">
        <v>628</v>
      </c>
      <c r="Z3977" s="245"/>
      <c r="AA3977" s="245"/>
      <c r="AB3977" s="245"/>
      <c r="AC3977" s="235" t="s">
        <v>687</v>
      </c>
      <c r="AD3977" s="235" t="s">
        <v>666</v>
      </c>
      <c r="AE3977" s="238">
        <v>600100.0</v>
      </c>
      <c r="AF3977" s="235" t="s">
        <v>631</v>
      </c>
      <c r="AG3977" s="245"/>
      <c r="AH3977" s="245"/>
      <c r="AI3977" s="245"/>
      <c r="AJ3977" s="245"/>
      <c r="AK3977" s="245"/>
      <c r="AL3977" s="245"/>
      <c r="AM3977" s="245"/>
      <c r="AN3977" s="245"/>
      <c r="AO3977" s="238">
        <v>0.0</v>
      </c>
      <c r="AP3977" s="238">
        <v>0.0</v>
      </c>
      <c r="AQ3977" s="235" t="s">
        <v>632</v>
      </c>
      <c r="AR3977" s="243">
        <v>1.68E11</v>
      </c>
      <c r="AS3977" s="235" t="s">
        <v>28482</v>
      </c>
      <c r="AT3977" s="235" t="s">
        <v>9</v>
      </c>
      <c r="AU3977" s="235" t="s">
        <v>634</v>
      </c>
      <c r="AV3977" s="246" t="s">
        <v>635</v>
      </c>
      <c r="AW3977" s="227"/>
      <c r="AX3977" s="227"/>
      <c r="AY3977" s="227"/>
      <c r="AZ3977" s="227"/>
      <c r="BA3977" s="227"/>
      <c r="BB3977" s="227"/>
      <c r="BC3977" s="227"/>
      <c r="BD3977" s="227"/>
      <c r="BE3977" s="227"/>
      <c r="BF3977" s="227"/>
    </row>
    <row r="3978">
      <c r="A3978" s="235" t="s">
        <v>29708</v>
      </c>
      <c r="C3978" s="235" t="s">
        <v>29709</v>
      </c>
      <c r="D3978" s="235" t="s">
        <v>29710</v>
      </c>
      <c r="E3978" s="243">
        <v>6.51E13</v>
      </c>
      <c r="F3978" s="245"/>
      <c r="G3978" s="235" t="s">
        <v>29711</v>
      </c>
      <c r="H3978" s="235" t="s">
        <v>29712</v>
      </c>
      <c r="I3978" s="235" t="s">
        <v>29712</v>
      </c>
      <c r="J3978" s="235" t="s">
        <v>29713</v>
      </c>
      <c r="K3978" s="235" t="s">
        <v>29714</v>
      </c>
      <c r="N3978" s="235" t="s">
        <v>113</v>
      </c>
      <c r="O3978" s="235" t="s">
        <v>452</v>
      </c>
      <c r="P3978" s="238">
        <v>1.0</v>
      </c>
      <c r="Q3978" s="235" t="s">
        <v>627</v>
      </c>
      <c r="R3978" s="238">
        <v>237.14</v>
      </c>
      <c r="S3978" s="238">
        <v>11.5</v>
      </c>
      <c r="T3978" s="238">
        <v>0.0</v>
      </c>
      <c r="U3978" s="238">
        <v>0.0</v>
      </c>
      <c r="V3978" s="238">
        <v>0.0</v>
      </c>
      <c r="W3978" s="238">
        <v>0.0</v>
      </c>
      <c r="X3978" s="235" t="s">
        <v>628</v>
      </c>
      <c r="Z3978" s="245"/>
      <c r="AA3978" s="245"/>
      <c r="AB3978" s="245"/>
      <c r="AC3978" s="235" t="s">
        <v>678</v>
      </c>
      <c r="AD3978" s="235" t="s">
        <v>679</v>
      </c>
      <c r="AE3978" s="238">
        <v>560092.0</v>
      </c>
      <c r="AF3978" s="235" t="s">
        <v>631</v>
      </c>
      <c r="AG3978" s="245"/>
      <c r="AH3978" s="245"/>
      <c r="AI3978" s="245"/>
      <c r="AJ3978" s="245"/>
      <c r="AK3978" s="245"/>
      <c r="AL3978" s="245"/>
      <c r="AM3978" s="245"/>
      <c r="AN3978" s="245"/>
      <c r="AO3978" s="238">
        <v>-7.11</v>
      </c>
      <c r="AP3978" s="238">
        <v>0.0</v>
      </c>
      <c r="AQ3978" s="235" t="s">
        <v>632</v>
      </c>
      <c r="AR3978" s="243">
        <v>1.68E11</v>
      </c>
      <c r="AS3978" s="235" t="s">
        <v>28482</v>
      </c>
      <c r="AT3978" s="235" t="s">
        <v>156</v>
      </c>
      <c r="AU3978" s="235" t="s">
        <v>634</v>
      </c>
      <c r="AV3978" s="246" t="s">
        <v>635</v>
      </c>
      <c r="AW3978" s="227"/>
      <c r="AX3978" s="227"/>
      <c r="AY3978" s="227"/>
      <c r="AZ3978" s="227"/>
      <c r="BA3978" s="227"/>
      <c r="BB3978" s="227"/>
      <c r="BC3978" s="227"/>
      <c r="BD3978" s="227"/>
      <c r="BE3978" s="227"/>
      <c r="BF3978" s="227"/>
    </row>
    <row r="3979">
      <c r="A3979" s="235" t="s">
        <v>29715</v>
      </c>
      <c r="C3979" s="235" t="s">
        <v>29716</v>
      </c>
      <c r="D3979" s="235" t="s">
        <v>29717</v>
      </c>
      <c r="E3979" s="243">
        <v>6.51E13</v>
      </c>
      <c r="F3979" s="245"/>
      <c r="G3979" s="235" t="s">
        <v>29718</v>
      </c>
      <c r="H3979" s="235" t="s">
        <v>29719</v>
      </c>
      <c r="I3979" s="235" t="s">
        <v>29720</v>
      </c>
      <c r="J3979" s="235" t="s">
        <v>29721</v>
      </c>
      <c r="K3979" s="235" t="s">
        <v>29722</v>
      </c>
      <c r="N3979" s="235" t="s">
        <v>139</v>
      </c>
      <c r="O3979" s="235" t="s">
        <v>2091</v>
      </c>
      <c r="P3979" s="238">
        <v>1.0</v>
      </c>
      <c r="Q3979" s="235" t="s">
        <v>627</v>
      </c>
      <c r="R3979" s="238">
        <v>233.34</v>
      </c>
      <c r="S3979" s="238">
        <v>11.43</v>
      </c>
      <c r="T3979" s="238">
        <v>0.0</v>
      </c>
      <c r="U3979" s="238">
        <v>0.0</v>
      </c>
      <c r="V3979" s="238">
        <v>0.0</v>
      </c>
      <c r="W3979" s="238">
        <v>0.0</v>
      </c>
      <c r="X3979" s="235" t="s">
        <v>628</v>
      </c>
      <c r="Z3979" s="245"/>
      <c r="AA3979" s="245"/>
      <c r="AB3979" s="245"/>
      <c r="AC3979" s="235" t="s">
        <v>844</v>
      </c>
      <c r="AD3979" s="235" t="s">
        <v>845</v>
      </c>
      <c r="AE3979" s="238">
        <v>411057.0</v>
      </c>
      <c r="AF3979" s="235" t="s">
        <v>631</v>
      </c>
      <c r="AG3979" s="245"/>
      <c r="AH3979" s="245"/>
      <c r="AI3979" s="245"/>
      <c r="AJ3979" s="245"/>
      <c r="AK3979" s="245"/>
      <c r="AL3979" s="245"/>
      <c r="AM3979" s="245"/>
      <c r="AN3979" s="245"/>
      <c r="AO3979" s="238">
        <v>-4.67</v>
      </c>
      <c r="AP3979" s="238">
        <v>0.0</v>
      </c>
      <c r="AQ3979" s="235" t="s">
        <v>632</v>
      </c>
      <c r="AR3979" s="243">
        <v>1.68E11</v>
      </c>
      <c r="AS3979" s="235" t="s">
        <v>28947</v>
      </c>
      <c r="AT3979" s="235" t="s">
        <v>546</v>
      </c>
      <c r="AU3979" s="235" t="s">
        <v>634</v>
      </c>
      <c r="AV3979" s="246" t="s">
        <v>635</v>
      </c>
      <c r="AW3979" s="227"/>
      <c r="AX3979" s="227"/>
      <c r="AY3979" s="227"/>
      <c r="AZ3979" s="227"/>
      <c r="BA3979" s="227"/>
      <c r="BB3979" s="227"/>
      <c r="BC3979" s="227"/>
      <c r="BD3979" s="227"/>
      <c r="BE3979" s="227"/>
      <c r="BF3979" s="227"/>
    </row>
    <row r="3980">
      <c r="A3980" s="235" t="s">
        <v>29723</v>
      </c>
      <c r="C3980" s="235" t="s">
        <v>29724</v>
      </c>
      <c r="D3980" s="235" t="s">
        <v>29725</v>
      </c>
      <c r="E3980" s="243">
        <v>6.51E13</v>
      </c>
      <c r="F3980" s="245"/>
      <c r="G3980" s="235" t="s">
        <v>29726</v>
      </c>
      <c r="H3980" s="235" t="s">
        <v>29727</v>
      </c>
      <c r="I3980" s="235" t="s">
        <v>29727</v>
      </c>
      <c r="J3980" s="235" t="s">
        <v>29728</v>
      </c>
      <c r="K3980" s="235" t="s">
        <v>29729</v>
      </c>
      <c r="N3980" s="235" t="s">
        <v>134</v>
      </c>
      <c r="O3980" s="235" t="s">
        <v>314</v>
      </c>
      <c r="P3980" s="238">
        <v>1.0</v>
      </c>
      <c r="Q3980" s="235" t="s">
        <v>627</v>
      </c>
      <c r="R3980" s="238">
        <v>233.33</v>
      </c>
      <c r="S3980" s="238">
        <v>11.67</v>
      </c>
      <c r="T3980" s="238">
        <v>0.0</v>
      </c>
      <c r="U3980" s="238">
        <v>0.0</v>
      </c>
      <c r="V3980" s="238">
        <v>0.0</v>
      </c>
      <c r="W3980" s="238">
        <v>0.0</v>
      </c>
      <c r="X3980" s="235" t="s">
        <v>628</v>
      </c>
      <c r="Z3980" s="245"/>
      <c r="AA3980" s="245"/>
      <c r="AB3980" s="245"/>
      <c r="AC3980" s="235" t="s">
        <v>697</v>
      </c>
      <c r="AD3980" s="235" t="s">
        <v>698</v>
      </c>
      <c r="AE3980" s="238">
        <v>500015.0</v>
      </c>
      <c r="AF3980" s="235" t="s">
        <v>631</v>
      </c>
      <c r="AG3980" s="245"/>
      <c r="AH3980" s="245"/>
      <c r="AI3980" s="245"/>
      <c r="AJ3980" s="245"/>
      <c r="AK3980" s="245"/>
      <c r="AL3980" s="245"/>
      <c r="AM3980" s="245"/>
      <c r="AN3980" s="245"/>
      <c r="AO3980" s="238">
        <v>0.0</v>
      </c>
      <c r="AP3980" s="238">
        <v>0.0</v>
      </c>
      <c r="AQ3980" s="235" t="s">
        <v>632</v>
      </c>
      <c r="AR3980" s="243">
        <v>2.02E11</v>
      </c>
      <c r="AS3980" s="235" t="s">
        <v>28482</v>
      </c>
      <c r="AT3980" s="235" t="s">
        <v>16</v>
      </c>
      <c r="AU3980" s="235" t="s">
        <v>634</v>
      </c>
      <c r="AV3980" s="246" t="s">
        <v>635</v>
      </c>
      <c r="AW3980" s="227"/>
      <c r="AX3980" s="227"/>
      <c r="AY3980" s="227"/>
      <c r="AZ3980" s="227"/>
      <c r="BA3980" s="227"/>
      <c r="BB3980" s="227"/>
      <c r="BC3980" s="227"/>
      <c r="BD3980" s="227"/>
      <c r="BE3980" s="227"/>
      <c r="BF3980" s="227"/>
    </row>
    <row r="3981">
      <c r="A3981" s="235" t="s">
        <v>29730</v>
      </c>
      <c r="C3981" s="235" t="s">
        <v>29731</v>
      </c>
      <c r="D3981" s="235" t="s">
        <v>29732</v>
      </c>
      <c r="E3981" s="243">
        <v>6.51E13</v>
      </c>
      <c r="F3981" s="245"/>
      <c r="G3981" s="235" t="s">
        <v>29733</v>
      </c>
      <c r="H3981" s="235" t="s">
        <v>29734</v>
      </c>
      <c r="I3981" s="235" t="s">
        <v>29735</v>
      </c>
      <c r="J3981" s="235" t="s">
        <v>29736</v>
      </c>
      <c r="K3981" s="235" t="s">
        <v>29737</v>
      </c>
      <c r="N3981" s="235" t="s">
        <v>82</v>
      </c>
      <c r="O3981" s="235" t="s">
        <v>889</v>
      </c>
      <c r="P3981" s="238">
        <v>1.0</v>
      </c>
      <c r="Q3981" s="235" t="s">
        <v>627</v>
      </c>
      <c r="R3981" s="238">
        <v>246.66</v>
      </c>
      <c r="S3981" s="238">
        <v>12.34</v>
      </c>
      <c r="T3981" s="238">
        <v>0.0</v>
      </c>
      <c r="U3981" s="238">
        <v>0.0</v>
      </c>
      <c r="V3981" s="238">
        <v>0.0</v>
      </c>
      <c r="W3981" s="238">
        <v>0.0</v>
      </c>
      <c r="X3981" s="235" t="s">
        <v>628</v>
      </c>
      <c r="Z3981" s="245"/>
      <c r="AA3981" s="245"/>
      <c r="AB3981" s="245"/>
      <c r="AC3981" s="235" t="s">
        <v>2731</v>
      </c>
      <c r="AD3981" s="235" t="s">
        <v>666</v>
      </c>
      <c r="AE3981" s="238">
        <v>635121.0</v>
      </c>
      <c r="AF3981" s="235" t="s">
        <v>631</v>
      </c>
      <c r="AG3981" s="245"/>
      <c r="AH3981" s="245"/>
      <c r="AI3981" s="245"/>
      <c r="AJ3981" s="245"/>
      <c r="AK3981" s="245"/>
      <c r="AL3981" s="245"/>
      <c r="AM3981" s="245"/>
      <c r="AN3981" s="245"/>
      <c r="AO3981" s="238">
        <v>0.0</v>
      </c>
      <c r="AP3981" s="238">
        <v>0.0</v>
      </c>
      <c r="AQ3981" s="235" t="s">
        <v>632</v>
      </c>
      <c r="AR3981" s="243">
        <v>3.71E11</v>
      </c>
      <c r="AS3981" s="235" t="s">
        <v>28482</v>
      </c>
      <c r="AT3981" s="235" t="s">
        <v>155</v>
      </c>
      <c r="AU3981" s="235" t="s">
        <v>634</v>
      </c>
      <c r="AV3981" s="246" t="s">
        <v>635</v>
      </c>
      <c r="AW3981" s="227"/>
      <c r="AX3981" s="227"/>
      <c r="AY3981" s="227"/>
      <c r="AZ3981" s="227"/>
      <c r="BA3981" s="227"/>
      <c r="BB3981" s="227"/>
      <c r="BC3981" s="227"/>
      <c r="BD3981" s="227"/>
      <c r="BE3981" s="227"/>
      <c r="BF3981" s="227"/>
    </row>
    <row r="3982">
      <c r="A3982" s="235" t="s">
        <v>29738</v>
      </c>
      <c r="C3982" s="235" t="s">
        <v>29739</v>
      </c>
      <c r="D3982" s="235" t="s">
        <v>29740</v>
      </c>
      <c r="E3982" s="243">
        <v>6.51E13</v>
      </c>
      <c r="F3982" s="245"/>
      <c r="G3982" s="235" t="s">
        <v>29741</v>
      </c>
      <c r="H3982" s="235" t="s">
        <v>29742</v>
      </c>
      <c r="I3982" s="235" t="s">
        <v>29742</v>
      </c>
      <c r="J3982" s="235" t="s">
        <v>29743</v>
      </c>
      <c r="K3982" s="235" t="s">
        <v>29744</v>
      </c>
      <c r="N3982" s="235" t="s">
        <v>42</v>
      </c>
      <c r="O3982" s="235" t="s">
        <v>204</v>
      </c>
      <c r="P3982" s="238">
        <v>1.0</v>
      </c>
      <c r="Q3982" s="235" t="s">
        <v>627</v>
      </c>
      <c r="R3982" s="238">
        <v>236.2</v>
      </c>
      <c r="S3982" s="238">
        <v>11.8</v>
      </c>
      <c r="T3982" s="238">
        <v>0.0</v>
      </c>
      <c r="U3982" s="238">
        <v>0.0</v>
      </c>
      <c r="V3982" s="238">
        <v>0.0</v>
      </c>
      <c r="W3982" s="238">
        <v>0.0</v>
      </c>
      <c r="X3982" s="235" t="s">
        <v>628</v>
      </c>
      <c r="Z3982" s="245"/>
      <c r="AA3982" s="245"/>
      <c r="AB3982" s="245"/>
      <c r="AC3982" s="235" t="s">
        <v>1320</v>
      </c>
      <c r="AD3982" s="235" t="s">
        <v>666</v>
      </c>
      <c r="AE3982" s="238">
        <v>600077.0</v>
      </c>
      <c r="AF3982" s="235" t="s">
        <v>631</v>
      </c>
      <c r="AG3982" s="245"/>
      <c r="AH3982" s="245"/>
      <c r="AI3982" s="245"/>
      <c r="AJ3982" s="245"/>
      <c r="AK3982" s="245"/>
      <c r="AL3982" s="245"/>
      <c r="AM3982" s="245"/>
      <c r="AN3982" s="245"/>
      <c r="AO3982" s="238">
        <v>0.0</v>
      </c>
      <c r="AP3982" s="238">
        <v>0.0</v>
      </c>
      <c r="AQ3982" s="235" t="s">
        <v>632</v>
      </c>
      <c r="AR3982" s="243">
        <v>3.71E11</v>
      </c>
      <c r="AS3982" s="235" t="s">
        <v>28482</v>
      </c>
      <c r="AT3982" s="235" t="s">
        <v>156</v>
      </c>
      <c r="AU3982" s="235" t="s">
        <v>634</v>
      </c>
      <c r="AV3982" s="246" t="s">
        <v>635</v>
      </c>
      <c r="AW3982" s="227"/>
      <c r="AX3982" s="227"/>
      <c r="AY3982" s="227"/>
      <c r="AZ3982" s="227"/>
      <c r="BA3982" s="227"/>
      <c r="BB3982" s="227"/>
      <c r="BC3982" s="227"/>
      <c r="BD3982" s="227"/>
      <c r="BE3982" s="227"/>
      <c r="BF3982" s="227"/>
    </row>
    <row r="3983">
      <c r="A3983" s="235" t="s">
        <v>29745</v>
      </c>
      <c r="C3983" s="235" t="s">
        <v>29746</v>
      </c>
      <c r="D3983" s="235" t="s">
        <v>29747</v>
      </c>
      <c r="E3983" s="243">
        <v>6.51E13</v>
      </c>
      <c r="F3983" s="245"/>
      <c r="G3983" s="235" t="s">
        <v>29748</v>
      </c>
      <c r="H3983" s="235" t="s">
        <v>29749</v>
      </c>
      <c r="I3983" s="235" t="s">
        <v>29749</v>
      </c>
      <c r="J3983" s="235" t="s">
        <v>29750</v>
      </c>
      <c r="K3983" s="235" t="s">
        <v>25280</v>
      </c>
      <c r="N3983" s="235" t="s">
        <v>148</v>
      </c>
      <c r="O3983" s="235" t="s">
        <v>1006</v>
      </c>
      <c r="P3983" s="238">
        <v>1.0</v>
      </c>
      <c r="Q3983" s="235" t="s">
        <v>627</v>
      </c>
      <c r="R3983" s="238">
        <v>281.9</v>
      </c>
      <c r="S3983" s="238">
        <v>14.1</v>
      </c>
      <c r="T3983" s="238">
        <v>0.0</v>
      </c>
      <c r="U3983" s="238">
        <v>0.0</v>
      </c>
      <c r="V3983" s="238">
        <v>0.0</v>
      </c>
      <c r="W3983" s="238">
        <v>0.0</v>
      </c>
      <c r="X3983" s="235" t="s">
        <v>628</v>
      </c>
      <c r="Z3983" s="245"/>
      <c r="AA3983" s="245"/>
      <c r="AB3983" s="245"/>
      <c r="AC3983" s="235" t="s">
        <v>3351</v>
      </c>
      <c r="AD3983" s="235" t="s">
        <v>1499</v>
      </c>
      <c r="AE3983" s="238">
        <v>462039.0</v>
      </c>
      <c r="AF3983" s="235" t="s">
        <v>631</v>
      </c>
      <c r="AG3983" s="245"/>
      <c r="AH3983" s="245"/>
      <c r="AI3983" s="245"/>
      <c r="AJ3983" s="245"/>
      <c r="AK3983" s="245"/>
      <c r="AL3983" s="245"/>
      <c r="AM3983" s="245"/>
      <c r="AN3983" s="245"/>
      <c r="AO3983" s="238">
        <v>0.0</v>
      </c>
      <c r="AP3983" s="238">
        <v>0.0</v>
      </c>
      <c r="AQ3983" s="235" t="s">
        <v>632</v>
      </c>
      <c r="AR3983" s="243">
        <v>3.71E11</v>
      </c>
      <c r="AS3983" s="235" t="s">
        <v>26892</v>
      </c>
      <c r="AT3983" s="235" t="s">
        <v>5</v>
      </c>
      <c r="AU3983" s="235" t="s">
        <v>634</v>
      </c>
      <c r="AV3983" s="246" t="s">
        <v>635</v>
      </c>
      <c r="AW3983" s="227"/>
      <c r="AX3983" s="227"/>
      <c r="AY3983" s="227"/>
      <c r="AZ3983" s="227"/>
      <c r="BA3983" s="227"/>
      <c r="BB3983" s="227"/>
      <c r="BC3983" s="227"/>
      <c r="BD3983" s="227"/>
      <c r="BE3983" s="227"/>
      <c r="BF3983" s="227"/>
    </row>
    <row r="3984">
      <c r="A3984" s="235" t="s">
        <v>29751</v>
      </c>
      <c r="C3984" s="235" t="s">
        <v>29752</v>
      </c>
      <c r="D3984" s="235" t="s">
        <v>29753</v>
      </c>
      <c r="E3984" s="243">
        <v>6.51E13</v>
      </c>
      <c r="F3984" s="245"/>
      <c r="G3984" s="235" t="s">
        <v>29754</v>
      </c>
      <c r="H3984" s="235" t="s">
        <v>29755</v>
      </c>
      <c r="I3984" s="235" t="s">
        <v>29756</v>
      </c>
      <c r="J3984" s="235" t="s">
        <v>29757</v>
      </c>
      <c r="K3984" s="235" t="s">
        <v>29758</v>
      </c>
      <c r="N3984" s="235" t="s">
        <v>42</v>
      </c>
      <c r="O3984" s="235" t="s">
        <v>204</v>
      </c>
      <c r="P3984" s="238">
        <v>1.0</v>
      </c>
      <c r="Q3984" s="235" t="s">
        <v>627</v>
      </c>
      <c r="R3984" s="238">
        <v>236.19</v>
      </c>
      <c r="S3984" s="238">
        <v>11.81</v>
      </c>
      <c r="T3984" s="238">
        <v>0.0</v>
      </c>
      <c r="U3984" s="238">
        <v>0.0</v>
      </c>
      <c r="V3984" s="238">
        <v>0.0</v>
      </c>
      <c r="W3984" s="238">
        <v>0.0</v>
      </c>
      <c r="X3984" s="235" t="s">
        <v>628</v>
      </c>
      <c r="Z3984" s="245"/>
      <c r="AA3984" s="245"/>
      <c r="AB3984" s="245"/>
      <c r="AC3984" s="235" t="s">
        <v>832</v>
      </c>
      <c r="AD3984" s="235" t="s">
        <v>833</v>
      </c>
      <c r="AE3984" s="238">
        <v>530040.0</v>
      </c>
      <c r="AF3984" s="235" t="s">
        <v>631</v>
      </c>
      <c r="AG3984" s="245"/>
      <c r="AH3984" s="245"/>
      <c r="AI3984" s="245"/>
      <c r="AJ3984" s="245"/>
      <c r="AK3984" s="245"/>
      <c r="AL3984" s="245"/>
      <c r="AM3984" s="245"/>
      <c r="AN3984" s="245"/>
      <c r="AO3984" s="238">
        <v>0.0</v>
      </c>
      <c r="AP3984" s="238">
        <v>0.0</v>
      </c>
      <c r="AQ3984" s="235" t="s">
        <v>632</v>
      </c>
      <c r="AR3984" s="243">
        <v>2.02E11</v>
      </c>
      <c r="AS3984" s="235" t="s">
        <v>28482</v>
      </c>
      <c r="AT3984" s="235" t="s">
        <v>14</v>
      </c>
      <c r="AU3984" s="235" t="s">
        <v>634</v>
      </c>
      <c r="AV3984" s="246" t="s">
        <v>635</v>
      </c>
      <c r="AW3984" s="227"/>
      <c r="AX3984" s="227"/>
      <c r="AY3984" s="227"/>
      <c r="AZ3984" s="227"/>
      <c r="BA3984" s="227"/>
      <c r="BB3984" s="227"/>
      <c r="BC3984" s="227"/>
      <c r="BD3984" s="227"/>
      <c r="BE3984" s="227"/>
      <c r="BF3984" s="227"/>
    </row>
    <row r="3985">
      <c r="A3985" s="235" t="s">
        <v>29759</v>
      </c>
      <c r="C3985" s="235" t="s">
        <v>29760</v>
      </c>
      <c r="D3985" s="235" t="s">
        <v>29761</v>
      </c>
      <c r="E3985" s="243">
        <v>6.51E13</v>
      </c>
      <c r="F3985" s="245"/>
      <c r="G3985" s="235" t="s">
        <v>29762</v>
      </c>
      <c r="H3985" s="235" t="s">
        <v>29763</v>
      </c>
      <c r="I3985" s="235" t="s">
        <v>29763</v>
      </c>
      <c r="J3985" s="235" t="s">
        <v>29764</v>
      </c>
      <c r="K3985" s="235" t="s">
        <v>29765</v>
      </c>
      <c r="N3985" s="235" t="s">
        <v>42</v>
      </c>
      <c r="O3985" s="235" t="s">
        <v>204</v>
      </c>
      <c r="P3985" s="238">
        <v>1.0</v>
      </c>
      <c r="Q3985" s="235" t="s">
        <v>627</v>
      </c>
      <c r="R3985" s="238">
        <v>236.19</v>
      </c>
      <c r="S3985" s="238">
        <v>11.46</v>
      </c>
      <c r="T3985" s="238">
        <v>0.0</v>
      </c>
      <c r="U3985" s="238">
        <v>0.0</v>
      </c>
      <c r="V3985" s="238">
        <v>0.0</v>
      </c>
      <c r="W3985" s="238">
        <v>0.0</v>
      </c>
      <c r="X3985" s="235" t="s">
        <v>628</v>
      </c>
      <c r="Z3985" s="245"/>
      <c r="AA3985" s="245"/>
      <c r="AB3985" s="245"/>
      <c r="AC3985" s="235" t="s">
        <v>814</v>
      </c>
      <c r="AD3985" s="235" t="s">
        <v>698</v>
      </c>
      <c r="AE3985" s="238">
        <v>500008.0</v>
      </c>
      <c r="AF3985" s="235" t="s">
        <v>631</v>
      </c>
      <c r="AG3985" s="245"/>
      <c r="AH3985" s="245"/>
      <c r="AI3985" s="245"/>
      <c r="AJ3985" s="245"/>
      <c r="AK3985" s="245"/>
      <c r="AL3985" s="245"/>
      <c r="AM3985" s="245"/>
      <c r="AN3985" s="245"/>
      <c r="AO3985" s="238">
        <v>-7.09</v>
      </c>
      <c r="AP3985" s="238">
        <v>0.0</v>
      </c>
      <c r="AQ3985" s="235" t="s">
        <v>632</v>
      </c>
      <c r="AR3985" s="243">
        <v>2.02E11</v>
      </c>
      <c r="AS3985" s="235" t="s">
        <v>28482</v>
      </c>
      <c r="AT3985" s="235" t="s">
        <v>156</v>
      </c>
      <c r="AU3985" s="235" t="s">
        <v>634</v>
      </c>
      <c r="AV3985" s="246" t="s">
        <v>635</v>
      </c>
      <c r="AW3985" s="227"/>
      <c r="AX3985" s="227"/>
      <c r="AY3985" s="227"/>
      <c r="AZ3985" s="227"/>
      <c r="BA3985" s="227"/>
      <c r="BB3985" s="227"/>
      <c r="BC3985" s="227"/>
      <c r="BD3985" s="227"/>
      <c r="BE3985" s="227"/>
      <c r="BF3985" s="227"/>
    </row>
    <row r="3986">
      <c r="A3986" s="235" t="s">
        <v>29759</v>
      </c>
      <c r="C3986" s="235" t="s">
        <v>29760</v>
      </c>
      <c r="D3986" s="235" t="s">
        <v>29766</v>
      </c>
      <c r="E3986" s="243">
        <v>6.51E13</v>
      </c>
      <c r="F3986" s="245"/>
      <c r="G3986" s="235" t="s">
        <v>29762</v>
      </c>
      <c r="H3986" s="235" t="s">
        <v>29763</v>
      </c>
      <c r="I3986" s="235" t="s">
        <v>29763</v>
      </c>
      <c r="J3986" s="235" t="s">
        <v>29764</v>
      </c>
      <c r="K3986" s="235" t="s">
        <v>29765</v>
      </c>
      <c r="N3986" s="235" t="s">
        <v>42</v>
      </c>
      <c r="O3986" s="235" t="s">
        <v>204</v>
      </c>
      <c r="P3986" s="238">
        <v>1.0</v>
      </c>
      <c r="Q3986" s="235" t="s">
        <v>627</v>
      </c>
      <c r="R3986" s="238">
        <v>236.19</v>
      </c>
      <c r="S3986" s="238">
        <v>11.46</v>
      </c>
      <c r="T3986" s="238">
        <v>0.0</v>
      </c>
      <c r="U3986" s="238">
        <v>0.0</v>
      </c>
      <c r="V3986" s="238">
        <v>0.0</v>
      </c>
      <c r="W3986" s="238">
        <v>0.0</v>
      </c>
      <c r="X3986" s="235" t="s">
        <v>628</v>
      </c>
      <c r="Z3986" s="245"/>
      <c r="AA3986" s="245"/>
      <c r="AB3986" s="245"/>
      <c r="AC3986" s="235" t="s">
        <v>814</v>
      </c>
      <c r="AD3986" s="235" t="s">
        <v>698</v>
      </c>
      <c r="AE3986" s="238">
        <v>500008.0</v>
      </c>
      <c r="AF3986" s="235" t="s">
        <v>631</v>
      </c>
      <c r="AG3986" s="245"/>
      <c r="AH3986" s="245"/>
      <c r="AI3986" s="245"/>
      <c r="AJ3986" s="245"/>
      <c r="AK3986" s="245"/>
      <c r="AL3986" s="245"/>
      <c r="AM3986" s="245"/>
      <c r="AN3986" s="245"/>
      <c r="AO3986" s="238">
        <v>-7.09</v>
      </c>
      <c r="AP3986" s="238">
        <v>0.0</v>
      </c>
      <c r="AQ3986" s="235" t="s">
        <v>632</v>
      </c>
      <c r="AR3986" s="243">
        <v>2.02E11</v>
      </c>
      <c r="AS3986" s="235" t="s">
        <v>28482</v>
      </c>
      <c r="AT3986" s="235" t="s">
        <v>156</v>
      </c>
      <c r="AU3986" s="235" t="s">
        <v>634</v>
      </c>
      <c r="AV3986" s="246" t="s">
        <v>635</v>
      </c>
      <c r="AW3986" s="227"/>
      <c r="AX3986" s="227"/>
      <c r="AY3986" s="227"/>
      <c r="AZ3986" s="227"/>
      <c r="BA3986" s="227"/>
      <c r="BB3986" s="227"/>
      <c r="BC3986" s="227"/>
      <c r="BD3986" s="227"/>
      <c r="BE3986" s="227"/>
      <c r="BF3986" s="227"/>
    </row>
    <row r="3987">
      <c r="A3987" s="235" t="s">
        <v>29767</v>
      </c>
      <c r="C3987" s="235" t="s">
        <v>29768</v>
      </c>
      <c r="D3987" s="235" t="s">
        <v>29769</v>
      </c>
      <c r="E3987" s="243">
        <v>6.51E13</v>
      </c>
      <c r="F3987" s="245"/>
      <c r="G3987" s="235" t="s">
        <v>29770</v>
      </c>
      <c r="H3987" s="235" t="s">
        <v>29771</v>
      </c>
      <c r="I3987" s="235" t="s">
        <v>29771</v>
      </c>
      <c r="J3987" s="235" t="s">
        <v>29772</v>
      </c>
      <c r="K3987" s="235" t="s">
        <v>29773</v>
      </c>
      <c r="N3987" s="235" t="s">
        <v>148</v>
      </c>
      <c r="O3987" s="235" t="s">
        <v>1006</v>
      </c>
      <c r="P3987" s="238">
        <v>1.0</v>
      </c>
      <c r="Q3987" s="235" t="s">
        <v>627</v>
      </c>
      <c r="R3987" s="238">
        <v>281.9</v>
      </c>
      <c r="S3987" s="238">
        <v>14.1</v>
      </c>
      <c r="T3987" s="238">
        <v>0.0</v>
      </c>
      <c r="U3987" s="238">
        <v>0.0</v>
      </c>
      <c r="V3987" s="238">
        <v>0.0</v>
      </c>
      <c r="W3987" s="238">
        <v>0.0</v>
      </c>
      <c r="X3987" s="235" t="s">
        <v>628</v>
      </c>
      <c r="Z3987" s="245"/>
      <c r="AA3987" s="245"/>
      <c r="AB3987" s="245"/>
      <c r="AC3987" s="235" t="s">
        <v>1058</v>
      </c>
      <c r="AD3987" s="235" t="s">
        <v>845</v>
      </c>
      <c r="AE3987" s="238">
        <v>400078.0</v>
      </c>
      <c r="AF3987" s="235" t="s">
        <v>631</v>
      </c>
      <c r="AG3987" s="245"/>
      <c r="AH3987" s="245"/>
      <c r="AI3987" s="245"/>
      <c r="AJ3987" s="245"/>
      <c r="AK3987" s="245"/>
      <c r="AL3987" s="245"/>
      <c r="AM3987" s="245"/>
      <c r="AN3987" s="245"/>
      <c r="AO3987" s="238">
        <v>0.0</v>
      </c>
      <c r="AP3987" s="238">
        <v>0.0</v>
      </c>
      <c r="AQ3987" s="235" t="s">
        <v>632</v>
      </c>
      <c r="AR3987" s="243">
        <v>1.68E11</v>
      </c>
      <c r="AS3987" s="235" t="s">
        <v>28947</v>
      </c>
      <c r="AT3987" s="235" t="s">
        <v>17</v>
      </c>
      <c r="AU3987" s="235" t="s">
        <v>634</v>
      </c>
      <c r="AV3987" s="246" t="s">
        <v>635</v>
      </c>
      <c r="AW3987" s="227"/>
      <c r="AX3987" s="227"/>
      <c r="AY3987" s="227"/>
      <c r="AZ3987" s="227"/>
      <c r="BA3987" s="227"/>
      <c r="BB3987" s="227"/>
      <c r="BC3987" s="227"/>
      <c r="BD3987" s="227"/>
      <c r="BE3987" s="227"/>
      <c r="BF3987" s="227"/>
    </row>
    <row r="3988">
      <c r="A3988" s="235" t="s">
        <v>29774</v>
      </c>
      <c r="C3988" s="235" t="s">
        <v>29775</v>
      </c>
      <c r="D3988" s="235" t="s">
        <v>29776</v>
      </c>
      <c r="E3988" s="243">
        <v>6.51E13</v>
      </c>
      <c r="F3988" s="245"/>
      <c r="G3988" s="235" t="s">
        <v>29777</v>
      </c>
      <c r="H3988" s="235" t="s">
        <v>29778</v>
      </c>
      <c r="I3988" s="235" t="s">
        <v>29779</v>
      </c>
      <c r="J3988" s="235" t="s">
        <v>29780</v>
      </c>
      <c r="K3988" s="235" t="s">
        <v>29781</v>
      </c>
      <c r="N3988" s="235" t="s">
        <v>15</v>
      </c>
      <c r="O3988" s="235" t="s">
        <v>856</v>
      </c>
      <c r="P3988" s="238">
        <v>1.0</v>
      </c>
      <c r="Q3988" s="235" t="s">
        <v>627</v>
      </c>
      <c r="R3988" s="238">
        <v>341.9</v>
      </c>
      <c r="S3988" s="238">
        <v>17.1</v>
      </c>
      <c r="T3988" s="238">
        <v>0.0</v>
      </c>
      <c r="U3988" s="238">
        <v>0.0</v>
      </c>
      <c r="V3988" s="238">
        <v>0.0</v>
      </c>
      <c r="W3988" s="238">
        <v>0.0</v>
      </c>
      <c r="X3988" s="235" t="s">
        <v>628</v>
      </c>
      <c r="Z3988" s="245"/>
      <c r="AA3988" s="245"/>
      <c r="AB3988" s="245"/>
      <c r="AC3988" s="235" t="s">
        <v>8737</v>
      </c>
      <c r="AD3988" s="235" t="s">
        <v>666</v>
      </c>
      <c r="AE3988" s="238">
        <v>632014.0</v>
      </c>
      <c r="AF3988" s="235" t="s">
        <v>631</v>
      </c>
      <c r="AG3988" s="245"/>
      <c r="AH3988" s="245"/>
      <c r="AI3988" s="245"/>
      <c r="AJ3988" s="245"/>
      <c r="AK3988" s="245"/>
      <c r="AL3988" s="245"/>
      <c r="AM3988" s="245"/>
      <c r="AN3988" s="245"/>
      <c r="AO3988" s="238">
        <v>0.0</v>
      </c>
      <c r="AP3988" s="238">
        <v>0.0</v>
      </c>
      <c r="AQ3988" s="235" t="s">
        <v>632</v>
      </c>
      <c r="AR3988" s="243">
        <v>1.68E11</v>
      </c>
      <c r="AS3988" s="235" t="s">
        <v>28947</v>
      </c>
      <c r="AT3988" s="235" t="s">
        <v>156</v>
      </c>
      <c r="AU3988" s="235" t="s">
        <v>634</v>
      </c>
      <c r="AV3988" s="246" t="s">
        <v>635</v>
      </c>
      <c r="AW3988" s="227"/>
      <c r="AX3988" s="227"/>
      <c r="AY3988" s="227"/>
      <c r="AZ3988" s="227"/>
      <c r="BA3988" s="227"/>
      <c r="BB3988" s="227"/>
      <c r="BC3988" s="227"/>
      <c r="BD3988" s="227"/>
      <c r="BE3988" s="227"/>
      <c r="BF3988" s="227"/>
    </row>
    <row r="3989">
      <c r="A3989" s="235" t="s">
        <v>29782</v>
      </c>
      <c r="C3989" s="235" t="s">
        <v>29783</v>
      </c>
      <c r="D3989" s="235" t="s">
        <v>29784</v>
      </c>
      <c r="E3989" s="243">
        <v>6.51E13</v>
      </c>
      <c r="F3989" s="245"/>
      <c r="G3989" s="235" t="s">
        <v>29785</v>
      </c>
      <c r="H3989" s="235" t="s">
        <v>29786</v>
      </c>
      <c r="I3989" s="235" t="s">
        <v>29787</v>
      </c>
      <c r="J3989" s="235" t="s">
        <v>29788</v>
      </c>
      <c r="K3989" s="235" t="s">
        <v>29789</v>
      </c>
      <c r="N3989" s="235" t="s">
        <v>82</v>
      </c>
      <c r="O3989" s="235" t="s">
        <v>889</v>
      </c>
      <c r="P3989" s="238">
        <v>1.0</v>
      </c>
      <c r="Q3989" s="235" t="s">
        <v>627</v>
      </c>
      <c r="R3989" s="238">
        <v>246.67</v>
      </c>
      <c r="S3989" s="238">
        <v>12.08</v>
      </c>
      <c r="T3989" s="238">
        <v>0.0</v>
      </c>
      <c r="U3989" s="238">
        <v>0.0</v>
      </c>
      <c r="V3989" s="238">
        <v>0.0</v>
      </c>
      <c r="W3989" s="238">
        <v>0.0</v>
      </c>
      <c r="X3989" s="235" t="s">
        <v>628</v>
      </c>
      <c r="Z3989" s="245"/>
      <c r="AA3989" s="245"/>
      <c r="AB3989" s="245"/>
      <c r="AC3989" s="235" t="s">
        <v>29790</v>
      </c>
      <c r="AD3989" s="235" t="s">
        <v>666</v>
      </c>
      <c r="AE3989" s="238">
        <v>639117.0</v>
      </c>
      <c r="AF3989" s="235" t="s">
        <v>631</v>
      </c>
      <c r="AG3989" s="245"/>
      <c r="AH3989" s="245"/>
      <c r="AI3989" s="245"/>
      <c r="AJ3989" s="245"/>
      <c r="AK3989" s="245"/>
      <c r="AL3989" s="245"/>
      <c r="AM3989" s="245"/>
      <c r="AN3989" s="245"/>
      <c r="AO3989" s="238">
        <v>-4.93</v>
      </c>
      <c r="AP3989" s="238">
        <v>0.0</v>
      </c>
      <c r="AQ3989" s="235" t="s">
        <v>632</v>
      </c>
      <c r="AR3989" s="243">
        <v>3.71E11</v>
      </c>
      <c r="AS3989" s="235" t="s">
        <v>28482</v>
      </c>
      <c r="AT3989" s="235" t="s">
        <v>9</v>
      </c>
      <c r="AU3989" s="235" t="s">
        <v>634</v>
      </c>
      <c r="AV3989" s="246" t="s">
        <v>635</v>
      </c>
      <c r="AW3989" s="227"/>
      <c r="AX3989" s="227"/>
      <c r="AY3989" s="227"/>
      <c r="AZ3989" s="227"/>
      <c r="BA3989" s="227"/>
      <c r="BB3989" s="227"/>
      <c r="BC3989" s="227"/>
      <c r="BD3989" s="227"/>
      <c r="BE3989" s="227"/>
      <c r="BF3989" s="227"/>
    </row>
    <row r="3990">
      <c r="A3990" s="235" t="s">
        <v>29791</v>
      </c>
      <c r="C3990" s="235" t="s">
        <v>29792</v>
      </c>
      <c r="D3990" s="235" t="s">
        <v>29793</v>
      </c>
      <c r="E3990" s="243">
        <v>6.51E13</v>
      </c>
      <c r="F3990" s="245"/>
      <c r="G3990" s="235" t="s">
        <v>29794</v>
      </c>
      <c r="H3990" s="235" t="s">
        <v>29795</v>
      </c>
      <c r="I3990" s="235" t="s">
        <v>29795</v>
      </c>
      <c r="J3990" s="235" t="s">
        <v>29796</v>
      </c>
      <c r="K3990" s="235" t="s">
        <v>29797</v>
      </c>
      <c r="N3990" s="235" t="s">
        <v>130</v>
      </c>
      <c r="O3990" s="235" t="s">
        <v>707</v>
      </c>
      <c r="P3990" s="238">
        <v>1.0</v>
      </c>
      <c r="Q3990" s="235" t="s">
        <v>627</v>
      </c>
      <c r="R3990" s="238">
        <v>232.38</v>
      </c>
      <c r="S3990" s="238">
        <v>11.27</v>
      </c>
      <c r="T3990" s="238">
        <v>0.0</v>
      </c>
      <c r="U3990" s="238">
        <v>0.0</v>
      </c>
      <c r="V3990" s="238">
        <v>0.0</v>
      </c>
      <c r="W3990" s="238">
        <v>0.0</v>
      </c>
      <c r="X3990" s="235" t="s">
        <v>628</v>
      </c>
      <c r="Z3990" s="245"/>
      <c r="AA3990" s="245"/>
      <c r="AB3990" s="245"/>
      <c r="AC3990" s="235" t="s">
        <v>15079</v>
      </c>
      <c r="AD3990" s="235" t="s">
        <v>645</v>
      </c>
      <c r="AE3990" s="238">
        <v>670012.0</v>
      </c>
      <c r="AF3990" s="235" t="s">
        <v>631</v>
      </c>
      <c r="AG3990" s="245"/>
      <c r="AH3990" s="245"/>
      <c r="AI3990" s="245"/>
      <c r="AJ3990" s="245"/>
      <c r="AK3990" s="245"/>
      <c r="AL3990" s="245"/>
      <c r="AM3990" s="245"/>
      <c r="AN3990" s="245"/>
      <c r="AO3990" s="238">
        <v>-6.97</v>
      </c>
      <c r="AP3990" s="238">
        <v>0.0</v>
      </c>
      <c r="AQ3990" s="235" t="s">
        <v>632</v>
      </c>
      <c r="AR3990" s="243">
        <v>3.71E11</v>
      </c>
      <c r="AS3990" s="235" t="s">
        <v>28482</v>
      </c>
      <c r="AT3990" s="235" t="s">
        <v>155</v>
      </c>
      <c r="AU3990" s="235" t="s">
        <v>634</v>
      </c>
      <c r="AV3990" s="246" t="s">
        <v>635</v>
      </c>
      <c r="AW3990" s="227"/>
      <c r="AX3990" s="227"/>
      <c r="AY3990" s="227"/>
      <c r="AZ3990" s="227"/>
      <c r="BA3990" s="227"/>
      <c r="BB3990" s="227"/>
      <c r="BC3990" s="227"/>
      <c r="BD3990" s="227"/>
      <c r="BE3990" s="227"/>
      <c r="BF3990" s="227"/>
    </row>
    <row r="3991">
      <c r="A3991" s="235" t="s">
        <v>29798</v>
      </c>
      <c r="C3991" s="235" t="s">
        <v>29799</v>
      </c>
      <c r="D3991" s="235" t="s">
        <v>29800</v>
      </c>
      <c r="E3991" s="243">
        <v>6.51E13</v>
      </c>
      <c r="F3991" s="245"/>
      <c r="G3991" s="235" t="s">
        <v>29801</v>
      </c>
      <c r="H3991" s="235" t="s">
        <v>29802</v>
      </c>
      <c r="I3991" s="235" t="s">
        <v>29802</v>
      </c>
      <c r="J3991" s="235" t="s">
        <v>29803</v>
      </c>
      <c r="K3991" s="235" t="s">
        <v>29804</v>
      </c>
      <c r="N3991" s="235" t="s">
        <v>962</v>
      </c>
      <c r="O3991" s="235" t="s">
        <v>963</v>
      </c>
      <c r="P3991" s="238">
        <v>1.0</v>
      </c>
      <c r="Q3991" s="235" t="s">
        <v>627</v>
      </c>
      <c r="R3991" s="238">
        <v>270.48</v>
      </c>
      <c r="S3991" s="238">
        <v>13.11</v>
      </c>
      <c r="T3991" s="238">
        <v>0.0</v>
      </c>
      <c r="U3991" s="238">
        <v>0.0</v>
      </c>
      <c r="V3991" s="238">
        <v>0.0</v>
      </c>
      <c r="W3991" s="238">
        <v>0.0</v>
      </c>
      <c r="X3991" s="235" t="s">
        <v>628</v>
      </c>
      <c r="Z3991" s="245"/>
      <c r="AA3991" s="245"/>
      <c r="AB3991" s="245"/>
      <c r="AC3991" s="235" t="s">
        <v>697</v>
      </c>
      <c r="AD3991" s="235" t="s">
        <v>698</v>
      </c>
      <c r="AE3991" s="238">
        <v>500086.0</v>
      </c>
      <c r="AF3991" s="235" t="s">
        <v>631</v>
      </c>
      <c r="AG3991" s="245"/>
      <c r="AH3991" s="245"/>
      <c r="AI3991" s="245"/>
      <c r="AJ3991" s="245"/>
      <c r="AK3991" s="245"/>
      <c r="AL3991" s="245"/>
      <c r="AM3991" s="245"/>
      <c r="AN3991" s="245"/>
      <c r="AO3991" s="238">
        <v>-8.11</v>
      </c>
      <c r="AP3991" s="238">
        <v>0.0</v>
      </c>
      <c r="AQ3991" s="235" t="s">
        <v>632</v>
      </c>
      <c r="AR3991" s="243">
        <v>2.02E11</v>
      </c>
      <c r="AS3991" s="235" t="s">
        <v>28482</v>
      </c>
      <c r="AT3991" s="235" t="s">
        <v>16</v>
      </c>
      <c r="AU3991" s="235" t="s">
        <v>634</v>
      </c>
      <c r="AV3991" s="246" t="s">
        <v>635</v>
      </c>
      <c r="AW3991" s="227"/>
      <c r="AX3991" s="227"/>
      <c r="AY3991" s="227"/>
      <c r="AZ3991" s="227"/>
      <c r="BA3991" s="227"/>
      <c r="BB3991" s="227"/>
      <c r="BC3991" s="227"/>
      <c r="BD3991" s="227"/>
      <c r="BE3991" s="227"/>
      <c r="BF3991" s="227"/>
    </row>
    <row r="3992">
      <c r="A3992" s="235" t="s">
        <v>29805</v>
      </c>
      <c r="C3992" s="235" t="s">
        <v>29806</v>
      </c>
      <c r="D3992" s="235" t="s">
        <v>29807</v>
      </c>
      <c r="E3992" s="243">
        <v>6.51E13</v>
      </c>
      <c r="F3992" s="245"/>
      <c r="G3992" s="235" t="s">
        <v>29808</v>
      </c>
      <c r="H3992" s="235" t="s">
        <v>29809</v>
      </c>
      <c r="I3992" s="235" t="s">
        <v>29809</v>
      </c>
      <c r="J3992" s="235" t="s">
        <v>29810</v>
      </c>
      <c r="K3992" s="235" t="s">
        <v>29811</v>
      </c>
      <c r="N3992" s="235" t="s">
        <v>726</v>
      </c>
      <c r="O3992" s="235" t="s">
        <v>727</v>
      </c>
      <c r="P3992" s="238">
        <v>1.0</v>
      </c>
      <c r="Q3992" s="235" t="s">
        <v>627</v>
      </c>
      <c r="R3992" s="238">
        <v>237.14</v>
      </c>
      <c r="S3992" s="238">
        <v>11.86</v>
      </c>
      <c r="T3992" s="238">
        <v>0.0</v>
      </c>
      <c r="U3992" s="238">
        <v>0.0</v>
      </c>
      <c r="V3992" s="238">
        <v>0.0</v>
      </c>
      <c r="W3992" s="238">
        <v>0.0</v>
      </c>
      <c r="X3992" s="235" t="s">
        <v>628</v>
      </c>
      <c r="Z3992" s="245"/>
      <c r="AA3992" s="245"/>
      <c r="AB3992" s="245"/>
      <c r="AC3992" s="235" t="s">
        <v>1514</v>
      </c>
      <c r="AD3992" s="235" t="s">
        <v>1077</v>
      </c>
      <c r="AE3992" s="238">
        <v>380054.0</v>
      </c>
      <c r="AF3992" s="235" t="s">
        <v>631</v>
      </c>
      <c r="AG3992" s="245"/>
      <c r="AH3992" s="245"/>
      <c r="AI3992" s="245"/>
      <c r="AJ3992" s="245"/>
      <c r="AK3992" s="245"/>
      <c r="AL3992" s="245"/>
      <c r="AM3992" s="245"/>
      <c r="AN3992" s="245"/>
      <c r="AO3992" s="238">
        <v>0.0</v>
      </c>
      <c r="AP3992" s="238">
        <v>0.0</v>
      </c>
      <c r="AQ3992" s="235" t="s">
        <v>632</v>
      </c>
      <c r="AR3992" s="243">
        <v>2.02E11</v>
      </c>
      <c r="AS3992" s="235" t="s">
        <v>28482</v>
      </c>
      <c r="AT3992" s="235" t="s">
        <v>11</v>
      </c>
      <c r="AU3992" s="235" t="s">
        <v>634</v>
      </c>
      <c r="AV3992" s="246" t="s">
        <v>635</v>
      </c>
      <c r="AW3992" s="227"/>
      <c r="AX3992" s="227"/>
      <c r="AY3992" s="227"/>
      <c r="AZ3992" s="227"/>
      <c r="BA3992" s="227"/>
      <c r="BB3992" s="227"/>
      <c r="BC3992" s="227"/>
      <c r="BD3992" s="227"/>
      <c r="BE3992" s="227"/>
      <c r="BF3992" s="227"/>
    </row>
    <row r="3993">
      <c r="A3993" s="235" t="s">
        <v>29812</v>
      </c>
      <c r="C3993" s="235" t="s">
        <v>29813</v>
      </c>
      <c r="D3993" s="235" t="s">
        <v>29814</v>
      </c>
      <c r="E3993" s="243">
        <v>6.51E13</v>
      </c>
      <c r="F3993" s="245"/>
      <c r="G3993" s="235" t="s">
        <v>29815</v>
      </c>
      <c r="H3993" s="235" t="s">
        <v>29816</v>
      </c>
      <c r="I3993" s="235" t="s">
        <v>29816</v>
      </c>
      <c r="J3993" s="235" t="s">
        <v>29817</v>
      </c>
      <c r="K3993" s="235" t="s">
        <v>29818</v>
      </c>
      <c r="N3993" s="235" t="s">
        <v>144</v>
      </c>
      <c r="O3993" s="235" t="s">
        <v>232</v>
      </c>
      <c r="P3993" s="238">
        <v>1.0</v>
      </c>
      <c r="Q3993" s="235" t="s">
        <v>627</v>
      </c>
      <c r="R3993" s="238">
        <v>626.67</v>
      </c>
      <c r="S3993" s="238">
        <v>31.33</v>
      </c>
      <c r="T3993" s="238">
        <v>0.0</v>
      </c>
      <c r="U3993" s="238">
        <v>0.0</v>
      </c>
      <c r="V3993" s="238">
        <v>0.0</v>
      </c>
      <c r="W3993" s="238">
        <v>0.0</v>
      </c>
      <c r="X3993" s="235" t="s">
        <v>628</v>
      </c>
      <c r="Z3993" s="245"/>
      <c r="AA3993" s="245"/>
      <c r="AB3993" s="245"/>
      <c r="AC3993" s="235" t="s">
        <v>844</v>
      </c>
      <c r="AD3993" s="235" t="s">
        <v>845</v>
      </c>
      <c r="AE3993" s="238">
        <v>411047.0</v>
      </c>
      <c r="AF3993" s="235" t="s">
        <v>631</v>
      </c>
      <c r="AG3993" s="245"/>
      <c r="AH3993" s="245"/>
      <c r="AI3993" s="245"/>
      <c r="AJ3993" s="245"/>
      <c r="AK3993" s="245"/>
      <c r="AL3993" s="245"/>
      <c r="AM3993" s="245"/>
      <c r="AN3993" s="245"/>
      <c r="AO3993" s="238">
        <v>0.0</v>
      </c>
      <c r="AP3993" s="238">
        <v>0.0</v>
      </c>
      <c r="AQ3993" s="235" t="s">
        <v>632</v>
      </c>
      <c r="AR3993" s="243">
        <v>2.02E11</v>
      </c>
      <c r="AS3993" s="235" t="s">
        <v>28482</v>
      </c>
      <c r="AT3993" s="235" t="s">
        <v>533</v>
      </c>
      <c r="AU3993" s="235" t="s">
        <v>634</v>
      </c>
      <c r="AV3993" s="246" t="s">
        <v>635</v>
      </c>
      <c r="AW3993" s="227"/>
      <c r="AX3993" s="227"/>
      <c r="AY3993" s="227"/>
      <c r="AZ3993" s="227"/>
      <c r="BA3993" s="227"/>
      <c r="BB3993" s="227"/>
      <c r="BC3993" s="227"/>
      <c r="BD3993" s="227"/>
      <c r="BE3993" s="227"/>
      <c r="BF3993" s="227"/>
    </row>
    <row r="3994">
      <c r="A3994" s="235" t="s">
        <v>29819</v>
      </c>
      <c r="C3994" s="235" t="s">
        <v>29820</v>
      </c>
      <c r="D3994" s="235" t="s">
        <v>29821</v>
      </c>
      <c r="E3994" s="243">
        <v>6.51E13</v>
      </c>
      <c r="F3994" s="245"/>
      <c r="G3994" s="235" t="s">
        <v>29822</v>
      </c>
      <c r="H3994" s="235" t="s">
        <v>29823</v>
      </c>
      <c r="I3994" s="235" t="s">
        <v>29823</v>
      </c>
      <c r="J3994" s="235" t="s">
        <v>29824</v>
      </c>
      <c r="K3994" s="235" t="s">
        <v>29825</v>
      </c>
      <c r="N3994" s="235" t="s">
        <v>117</v>
      </c>
      <c r="O3994" s="235" t="s">
        <v>334</v>
      </c>
      <c r="P3994" s="238">
        <v>1.0</v>
      </c>
      <c r="Q3994" s="235" t="s">
        <v>627</v>
      </c>
      <c r="R3994" s="238">
        <v>233.33</v>
      </c>
      <c r="S3994" s="238">
        <v>11.67</v>
      </c>
      <c r="T3994" s="238">
        <v>0.0</v>
      </c>
      <c r="U3994" s="238">
        <v>0.0</v>
      </c>
      <c r="V3994" s="238">
        <v>0.0</v>
      </c>
      <c r="W3994" s="238">
        <v>0.0</v>
      </c>
      <c r="X3994" s="235" t="s">
        <v>628</v>
      </c>
      <c r="Z3994" s="245"/>
      <c r="AA3994" s="245"/>
      <c r="AB3994" s="245"/>
      <c r="AC3994" s="235" t="s">
        <v>697</v>
      </c>
      <c r="AD3994" s="235" t="s">
        <v>698</v>
      </c>
      <c r="AE3994" s="238">
        <v>500027.0</v>
      </c>
      <c r="AF3994" s="235" t="s">
        <v>631</v>
      </c>
      <c r="AG3994" s="245"/>
      <c r="AH3994" s="245"/>
      <c r="AI3994" s="245"/>
      <c r="AJ3994" s="245"/>
      <c r="AK3994" s="245"/>
      <c r="AL3994" s="245"/>
      <c r="AM3994" s="245"/>
      <c r="AN3994" s="245"/>
      <c r="AO3994" s="238">
        <v>0.0</v>
      </c>
      <c r="AP3994" s="238">
        <v>0.0</v>
      </c>
      <c r="AQ3994" s="235" t="s">
        <v>632</v>
      </c>
      <c r="AR3994" s="243">
        <v>2.02E11</v>
      </c>
      <c r="AS3994" s="235" t="s">
        <v>28482</v>
      </c>
      <c r="AT3994" s="235" t="s">
        <v>11</v>
      </c>
      <c r="AU3994" s="235" t="s">
        <v>634</v>
      </c>
      <c r="AV3994" s="246" t="s">
        <v>635</v>
      </c>
      <c r="AW3994" s="227"/>
      <c r="AX3994" s="227"/>
      <c r="AY3994" s="227"/>
      <c r="AZ3994" s="227"/>
      <c r="BA3994" s="227"/>
      <c r="BB3994" s="227"/>
      <c r="BC3994" s="227"/>
      <c r="BD3994" s="227"/>
      <c r="BE3994" s="227"/>
      <c r="BF3994" s="227"/>
    </row>
    <row r="3995">
      <c r="A3995" s="235" t="s">
        <v>29826</v>
      </c>
      <c r="C3995" s="235" t="s">
        <v>29827</v>
      </c>
      <c r="D3995" s="235" t="s">
        <v>29828</v>
      </c>
      <c r="E3995" s="243">
        <v>6.51E13</v>
      </c>
      <c r="F3995" s="245"/>
      <c r="G3995" s="235" t="s">
        <v>29829</v>
      </c>
      <c r="H3995" s="235" t="s">
        <v>29830</v>
      </c>
      <c r="I3995" s="235" t="s">
        <v>29830</v>
      </c>
      <c r="J3995" s="235" t="s">
        <v>29831</v>
      </c>
      <c r="K3995" s="235" t="s">
        <v>29832</v>
      </c>
      <c r="N3995" s="235" t="s">
        <v>54</v>
      </c>
      <c r="O3995" s="235" t="s">
        <v>294</v>
      </c>
      <c r="P3995" s="238">
        <v>1.0</v>
      </c>
      <c r="Q3995" s="235" t="s">
        <v>627</v>
      </c>
      <c r="R3995" s="238">
        <v>246.66</v>
      </c>
      <c r="S3995" s="238">
        <v>12.34</v>
      </c>
      <c r="T3995" s="238">
        <v>0.0</v>
      </c>
      <c r="U3995" s="238">
        <v>0.0</v>
      </c>
      <c r="V3995" s="238">
        <v>0.0</v>
      </c>
      <c r="W3995" s="238">
        <v>0.0</v>
      </c>
      <c r="X3995" s="235" t="s">
        <v>628</v>
      </c>
      <c r="Z3995" s="245"/>
      <c r="AA3995" s="245"/>
      <c r="AB3995" s="245"/>
      <c r="AC3995" s="235" t="s">
        <v>29833</v>
      </c>
      <c r="AD3995" s="235" t="s">
        <v>679</v>
      </c>
      <c r="AE3995" s="238">
        <v>572101.0</v>
      </c>
      <c r="AF3995" s="235" t="s">
        <v>631</v>
      </c>
      <c r="AG3995" s="245"/>
      <c r="AH3995" s="245"/>
      <c r="AI3995" s="245"/>
      <c r="AJ3995" s="245"/>
      <c r="AK3995" s="245"/>
      <c r="AL3995" s="245"/>
      <c r="AM3995" s="245"/>
      <c r="AN3995" s="245"/>
      <c r="AO3995" s="238">
        <v>0.0</v>
      </c>
      <c r="AP3995" s="238">
        <v>0.0</v>
      </c>
      <c r="AQ3995" s="235" t="s">
        <v>632</v>
      </c>
      <c r="AR3995" s="243">
        <v>3.71E11</v>
      </c>
      <c r="AS3995" s="235" t="s">
        <v>28482</v>
      </c>
      <c r="AT3995" s="235" t="s">
        <v>11</v>
      </c>
      <c r="AU3995" s="235" t="s">
        <v>634</v>
      </c>
      <c r="AV3995" s="246" t="s">
        <v>635</v>
      </c>
      <c r="AW3995" s="227"/>
      <c r="AX3995" s="227"/>
      <c r="AY3995" s="227"/>
      <c r="AZ3995" s="227"/>
      <c r="BA3995" s="227"/>
      <c r="BB3995" s="227"/>
      <c r="BC3995" s="227"/>
      <c r="BD3995" s="227"/>
      <c r="BE3995" s="227"/>
      <c r="BF3995" s="227"/>
    </row>
    <row r="3996">
      <c r="A3996" s="235" t="s">
        <v>29834</v>
      </c>
      <c r="C3996" s="235" t="s">
        <v>29835</v>
      </c>
      <c r="D3996" s="235" t="s">
        <v>29836</v>
      </c>
      <c r="E3996" s="243">
        <v>6.51E13</v>
      </c>
      <c r="F3996" s="245"/>
      <c r="G3996" s="235" t="s">
        <v>29837</v>
      </c>
      <c r="H3996" s="235" t="s">
        <v>29838</v>
      </c>
      <c r="I3996" s="235" t="s">
        <v>29838</v>
      </c>
      <c r="J3996" s="235" t="s">
        <v>29839</v>
      </c>
      <c r="K3996" s="235" t="s">
        <v>29840</v>
      </c>
      <c r="N3996" s="235" t="s">
        <v>154</v>
      </c>
      <c r="O3996" s="235" t="s">
        <v>766</v>
      </c>
      <c r="P3996" s="238">
        <v>1.0</v>
      </c>
      <c r="Q3996" s="235" t="s">
        <v>627</v>
      </c>
      <c r="R3996" s="238">
        <v>423.8</v>
      </c>
      <c r="S3996" s="238">
        <v>20.56</v>
      </c>
      <c r="T3996" s="238">
        <v>0.0</v>
      </c>
      <c r="U3996" s="238">
        <v>0.0</v>
      </c>
      <c r="V3996" s="238">
        <v>0.0</v>
      </c>
      <c r="W3996" s="238">
        <v>0.0</v>
      </c>
      <c r="X3996" s="235" t="s">
        <v>628</v>
      </c>
      <c r="Z3996" s="245"/>
      <c r="AA3996" s="245"/>
      <c r="AB3996" s="245"/>
      <c r="AC3996" s="235" t="s">
        <v>6182</v>
      </c>
      <c r="AD3996" s="235" t="s">
        <v>845</v>
      </c>
      <c r="AE3996" s="238">
        <v>401202.0</v>
      </c>
      <c r="AF3996" s="235" t="s">
        <v>631</v>
      </c>
      <c r="AG3996" s="245"/>
      <c r="AH3996" s="245"/>
      <c r="AI3996" s="245"/>
      <c r="AJ3996" s="245"/>
      <c r="AK3996" s="245"/>
      <c r="AL3996" s="245"/>
      <c r="AM3996" s="245"/>
      <c r="AN3996" s="245"/>
      <c r="AO3996" s="238">
        <v>-12.71</v>
      </c>
      <c r="AP3996" s="238">
        <v>0.0</v>
      </c>
      <c r="AQ3996" s="235" t="s">
        <v>632</v>
      </c>
      <c r="AR3996" s="243">
        <v>3.71E11</v>
      </c>
      <c r="AS3996" s="235" t="s">
        <v>28482</v>
      </c>
      <c r="AT3996" s="235" t="s">
        <v>16</v>
      </c>
      <c r="AU3996" s="235" t="s">
        <v>634</v>
      </c>
      <c r="AV3996" s="246" t="s">
        <v>635</v>
      </c>
      <c r="AW3996" s="227"/>
      <c r="AX3996" s="227"/>
      <c r="AY3996" s="227"/>
      <c r="AZ3996" s="227"/>
      <c r="BA3996" s="227"/>
      <c r="BB3996" s="227"/>
      <c r="BC3996" s="227"/>
      <c r="BD3996" s="227"/>
      <c r="BE3996" s="227"/>
      <c r="BF3996" s="227"/>
    </row>
    <row r="3997">
      <c r="A3997" s="235" t="s">
        <v>29841</v>
      </c>
      <c r="C3997" s="235" t="s">
        <v>29842</v>
      </c>
      <c r="D3997" s="235" t="s">
        <v>29843</v>
      </c>
      <c r="E3997" s="243">
        <v>6.51E13</v>
      </c>
      <c r="F3997" s="245"/>
      <c r="G3997" s="235" t="s">
        <v>29844</v>
      </c>
      <c r="H3997" s="235" t="s">
        <v>29845</v>
      </c>
      <c r="I3997" s="235" t="s">
        <v>29845</v>
      </c>
      <c r="J3997" s="235" t="s">
        <v>29846</v>
      </c>
      <c r="K3997" s="235" t="s">
        <v>29847</v>
      </c>
      <c r="N3997" s="235" t="s">
        <v>50</v>
      </c>
      <c r="O3997" s="235" t="s">
        <v>367</v>
      </c>
      <c r="P3997" s="238">
        <v>1.0</v>
      </c>
      <c r="Q3997" s="235" t="s">
        <v>627</v>
      </c>
      <c r="R3997" s="238">
        <v>246.67</v>
      </c>
      <c r="S3997" s="238">
        <v>12.33</v>
      </c>
      <c r="T3997" s="238">
        <v>0.0</v>
      </c>
      <c r="U3997" s="238">
        <v>0.0</v>
      </c>
      <c r="V3997" s="238">
        <v>0.0</v>
      </c>
      <c r="W3997" s="238">
        <v>0.0</v>
      </c>
      <c r="X3997" s="235" t="s">
        <v>628</v>
      </c>
      <c r="Z3997" s="245"/>
      <c r="AA3997" s="245"/>
      <c r="AB3997" s="245"/>
      <c r="AC3997" s="235" t="s">
        <v>697</v>
      </c>
      <c r="AD3997" s="235" t="s">
        <v>698</v>
      </c>
      <c r="AE3997" s="238">
        <v>502032.0</v>
      </c>
      <c r="AF3997" s="235" t="s">
        <v>631</v>
      </c>
      <c r="AG3997" s="245"/>
      <c r="AH3997" s="245"/>
      <c r="AI3997" s="245"/>
      <c r="AJ3997" s="245"/>
      <c r="AK3997" s="245"/>
      <c r="AL3997" s="245"/>
      <c r="AM3997" s="245"/>
      <c r="AN3997" s="245"/>
      <c r="AO3997" s="238">
        <v>0.0</v>
      </c>
      <c r="AP3997" s="238">
        <v>0.0</v>
      </c>
      <c r="AQ3997" s="235" t="s">
        <v>632</v>
      </c>
      <c r="AR3997" s="243">
        <v>2.02E11</v>
      </c>
      <c r="AS3997" s="235" t="s">
        <v>28482</v>
      </c>
      <c r="AT3997" s="235" t="s">
        <v>16</v>
      </c>
      <c r="AU3997" s="235" t="s">
        <v>634</v>
      </c>
      <c r="AV3997" s="246" t="s">
        <v>635</v>
      </c>
      <c r="AW3997" s="227"/>
      <c r="AX3997" s="227"/>
      <c r="AY3997" s="227"/>
      <c r="AZ3997" s="227"/>
      <c r="BA3997" s="227"/>
      <c r="BB3997" s="227"/>
      <c r="BC3997" s="227"/>
      <c r="BD3997" s="227"/>
      <c r="BE3997" s="227"/>
      <c r="BF3997" s="227"/>
    </row>
    <row r="3998">
      <c r="A3998" s="235" t="s">
        <v>29848</v>
      </c>
      <c r="C3998" s="235" t="s">
        <v>29849</v>
      </c>
      <c r="D3998" s="235" t="s">
        <v>29850</v>
      </c>
      <c r="E3998" s="243">
        <v>6.51E13</v>
      </c>
      <c r="F3998" s="245"/>
      <c r="G3998" s="235" t="s">
        <v>29851</v>
      </c>
      <c r="H3998" s="235" t="s">
        <v>29852</v>
      </c>
      <c r="I3998" s="235" t="s">
        <v>29852</v>
      </c>
      <c r="J3998" s="235" t="s">
        <v>29853</v>
      </c>
      <c r="K3998" s="235" t="s">
        <v>29854</v>
      </c>
      <c r="N3998" s="235" t="s">
        <v>92</v>
      </c>
      <c r="O3998" s="235" t="s">
        <v>248</v>
      </c>
      <c r="P3998" s="238">
        <v>1.0</v>
      </c>
      <c r="Q3998" s="235" t="s">
        <v>627</v>
      </c>
      <c r="R3998" s="238">
        <v>233.34</v>
      </c>
      <c r="S3998" s="238">
        <v>11.32</v>
      </c>
      <c r="T3998" s="238">
        <v>0.0</v>
      </c>
      <c r="U3998" s="238">
        <v>0.0</v>
      </c>
      <c r="V3998" s="238">
        <v>0.0</v>
      </c>
      <c r="W3998" s="238">
        <v>0.0</v>
      </c>
      <c r="X3998" s="235" t="s">
        <v>628</v>
      </c>
      <c r="Z3998" s="245"/>
      <c r="AA3998" s="245"/>
      <c r="AB3998" s="245"/>
      <c r="AC3998" s="235" t="s">
        <v>678</v>
      </c>
      <c r="AD3998" s="235" t="s">
        <v>679</v>
      </c>
      <c r="AE3998" s="238">
        <v>560066.0</v>
      </c>
      <c r="AF3998" s="235" t="s">
        <v>631</v>
      </c>
      <c r="AG3998" s="245"/>
      <c r="AH3998" s="245"/>
      <c r="AI3998" s="245"/>
      <c r="AJ3998" s="245"/>
      <c r="AK3998" s="245"/>
      <c r="AL3998" s="245"/>
      <c r="AM3998" s="245"/>
      <c r="AN3998" s="245"/>
      <c r="AO3998" s="238">
        <v>-7.01</v>
      </c>
      <c r="AP3998" s="238">
        <v>0.0</v>
      </c>
      <c r="AQ3998" s="235" t="s">
        <v>632</v>
      </c>
      <c r="AR3998" s="243">
        <v>3.71E11</v>
      </c>
      <c r="AS3998" s="235" t="s">
        <v>28482</v>
      </c>
      <c r="AT3998" s="235" t="s">
        <v>11</v>
      </c>
      <c r="AU3998" s="235" t="s">
        <v>634</v>
      </c>
      <c r="AV3998" s="246" t="s">
        <v>635</v>
      </c>
      <c r="AW3998" s="227"/>
      <c r="AX3998" s="227"/>
      <c r="AY3998" s="227"/>
      <c r="AZ3998" s="227"/>
      <c r="BA3998" s="227"/>
      <c r="BB3998" s="227"/>
      <c r="BC3998" s="227"/>
      <c r="BD3998" s="227"/>
      <c r="BE3998" s="227"/>
      <c r="BF3998" s="227"/>
    </row>
    <row r="3999">
      <c r="A3999" s="235" t="s">
        <v>29855</v>
      </c>
      <c r="C3999" s="235" t="s">
        <v>29856</v>
      </c>
      <c r="D3999" s="235" t="s">
        <v>29857</v>
      </c>
      <c r="E3999" s="243">
        <v>6.51E13</v>
      </c>
      <c r="F3999" s="245"/>
      <c r="G3999" s="235" t="s">
        <v>29858</v>
      </c>
      <c r="H3999" s="235" t="s">
        <v>29859</v>
      </c>
      <c r="I3999" s="235" t="s">
        <v>29859</v>
      </c>
      <c r="J3999" s="235" t="s">
        <v>29860</v>
      </c>
      <c r="K3999" s="235" t="s">
        <v>29861</v>
      </c>
      <c r="N3999" s="235" t="s">
        <v>154</v>
      </c>
      <c r="O3999" s="235" t="s">
        <v>766</v>
      </c>
      <c r="P3999" s="238">
        <v>1.0</v>
      </c>
      <c r="Q3999" s="235" t="s">
        <v>627</v>
      </c>
      <c r="R3999" s="238">
        <v>500.96</v>
      </c>
      <c r="S3999" s="238">
        <v>25.04</v>
      </c>
      <c r="T3999" s="238">
        <v>0.0</v>
      </c>
      <c r="U3999" s="238">
        <v>0.0</v>
      </c>
      <c r="V3999" s="238">
        <v>0.0</v>
      </c>
      <c r="W3999" s="238">
        <v>0.0</v>
      </c>
      <c r="X3999" s="235" t="s">
        <v>628</v>
      </c>
      <c r="Z3999" s="245"/>
      <c r="AA3999" s="245"/>
      <c r="AB3999" s="245"/>
      <c r="AC3999" s="235" t="s">
        <v>1058</v>
      </c>
      <c r="AD3999" s="235" t="s">
        <v>845</v>
      </c>
      <c r="AE3999" s="238">
        <v>400077.0</v>
      </c>
      <c r="AF3999" s="235" t="s">
        <v>631</v>
      </c>
      <c r="AG3999" s="245"/>
      <c r="AH3999" s="245"/>
      <c r="AI3999" s="245"/>
      <c r="AJ3999" s="245"/>
      <c r="AK3999" s="245"/>
      <c r="AL3999" s="245"/>
      <c r="AM3999" s="245"/>
      <c r="AN3999" s="245"/>
      <c r="AO3999" s="238">
        <v>0.0</v>
      </c>
      <c r="AP3999" s="238">
        <v>0.0</v>
      </c>
      <c r="AQ3999" s="235" t="s">
        <v>632</v>
      </c>
      <c r="AR3999" s="243">
        <v>3.71E11</v>
      </c>
      <c r="AS3999" s="235" t="s">
        <v>28482</v>
      </c>
      <c r="AT3999" s="235" t="s">
        <v>16</v>
      </c>
      <c r="AU3999" s="235" t="s">
        <v>634</v>
      </c>
      <c r="AV3999" s="246" t="s">
        <v>635</v>
      </c>
      <c r="AW3999" s="227"/>
      <c r="AX3999" s="227"/>
      <c r="AY3999" s="227"/>
      <c r="AZ3999" s="227"/>
      <c r="BA3999" s="227"/>
      <c r="BB3999" s="227"/>
      <c r="BC3999" s="227"/>
      <c r="BD3999" s="227"/>
      <c r="BE3999" s="227"/>
      <c r="BF3999" s="227"/>
    </row>
    <row r="4000">
      <c r="A4000" s="235" t="s">
        <v>29862</v>
      </c>
      <c r="C4000" s="235" t="s">
        <v>29863</v>
      </c>
      <c r="D4000" s="235" t="s">
        <v>29864</v>
      </c>
      <c r="E4000" s="243">
        <v>6.51E13</v>
      </c>
      <c r="F4000" s="245"/>
      <c r="G4000" s="235" t="s">
        <v>29865</v>
      </c>
      <c r="H4000" s="235" t="s">
        <v>29866</v>
      </c>
      <c r="I4000" s="235" t="s">
        <v>29866</v>
      </c>
      <c r="J4000" s="235" t="s">
        <v>29867</v>
      </c>
      <c r="K4000" s="235" t="s">
        <v>29868</v>
      </c>
      <c r="N4000" s="235" t="s">
        <v>138</v>
      </c>
      <c r="O4000" s="235" t="s">
        <v>675</v>
      </c>
      <c r="P4000" s="238">
        <v>1.0</v>
      </c>
      <c r="Q4000" s="235" t="s">
        <v>627</v>
      </c>
      <c r="R4000" s="238">
        <v>233.33</v>
      </c>
      <c r="S4000" s="238">
        <v>11.44</v>
      </c>
      <c r="T4000" s="238">
        <v>0.0</v>
      </c>
      <c r="U4000" s="238">
        <v>0.0</v>
      </c>
      <c r="V4000" s="238">
        <v>0.0</v>
      </c>
      <c r="W4000" s="238">
        <v>0.0</v>
      </c>
      <c r="X4000" s="235" t="s">
        <v>628</v>
      </c>
      <c r="Z4000" s="245"/>
      <c r="AA4000" s="245"/>
      <c r="AB4000" s="245"/>
      <c r="AC4000" s="235" t="s">
        <v>697</v>
      </c>
      <c r="AD4000" s="235" t="s">
        <v>698</v>
      </c>
      <c r="AE4000" s="238">
        <v>500019.0</v>
      </c>
      <c r="AF4000" s="235" t="s">
        <v>631</v>
      </c>
      <c r="AG4000" s="245"/>
      <c r="AH4000" s="245"/>
      <c r="AI4000" s="245"/>
      <c r="AJ4000" s="245"/>
      <c r="AK4000" s="245"/>
      <c r="AL4000" s="245"/>
      <c r="AM4000" s="245"/>
      <c r="AN4000" s="245"/>
      <c r="AO4000" s="238">
        <v>-4.67</v>
      </c>
      <c r="AP4000" s="238">
        <v>0.0</v>
      </c>
      <c r="AQ4000" s="235" t="s">
        <v>632</v>
      </c>
      <c r="AR4000" s="243">
        <v>3.71E11</v>
      </c>
      <c r="AS4000" s="235" t="s">
        <v>26892</v>
      </c>
      <c r="AT4000" s="235" t="s">
        <v>546</v>
      </c>
      <c r="AU4000" s="235" t="s">
        <v>634</v>
      </c>
      <c r="AV4000" s="246" t="s">
        <v>635</v>
      </c>
      <c r="AW4000" s="227"/>
      <c r="AX4000" s="227"/>
      <c r="AY4000" s="227"/>
      <c r="AZ4000" s="227"/>
      <c r="BA4000" s="227"/>
      <c r="BB4000" s="227"/>
      <c r="BC4000" s="227"/>
      <c r="BD4000" s="227"/>
      <c r="BE4000" s="227"/>
      <c r="BF4000" s="227"/>
    </row>
    <row r="4001">
      <c r="A4001" s="235" t="s">
        <v>29869</v>
      </c>
      <c r="C4001" s="235" t="s">
        <v>29870</v>
      </c>
      <c r="D4001" s="235" t="s">
        <v>29871</v>
      </c>
      <c r="E4001" s="243">
        <v>6.51E13</v>
      </c>
      <c r="F4001" s="245"/>
      <c r="G4001" s="235" t="s">
        <v>29872</v>
      </c>
      <c r="H4001" s="235" t="s">
        <v>29873</v>
      </c>
      <c r="I4001" s="235" t="s">
        <v>29873</v>
      </c>
      <c r="J4001" s="235" t="s">
        <v>29874</v>
      </c>
      <c r="K4001" s="235" t="s">
        <v>29875</v>
      </c>
      <c r="N4001" s="235" t="s">
        <v>92</v>
      </c>
      <c r="O4001" s="235" t="s">
        <v>248</v>
      </c>
      <c r="P4001" s="238">
        <v>1.0</v>
      </c>
      <c r="Q4001" s="235" t="s">
        <v>627</v>
      </c>
      <c r="R4001" s="238">
        <v>233.33</v>
      </c>
      <c r="S4001" s="238">
        <v>11.67</v>
      </c>
      <c r="T4001" s="238">
        <v>0.0</v>
      </c>
      <c r="U4001" s="238">
        <v>0.0</v>
      </c>
      <c r="V4001" s="238">
        <v>0.0</v>
      </c>
      <c r="W4001" s="238">
        <v>0.0</v>
      </c>
      <c r="X4001" s="235" t="s">
        <v>628</v>
      </c>
      <c r="Z4001" s="245"/>
      <c r="AA4001" s="245"/>
      <c r="AB4001" s="245"/>
      <c r="AC4001" s="235" t="s">
        <v>844</v>
      </c>
      <c r="AD4001" s="235" t="s">
        <v>845</v>
      </c>
      <c r="AE4001" s="238">
        <v>411014.0</v>
      </c>
      <c r="AF4001" s="235" t="s">
        <v>631</v>
      </c>
      <c r="AG4001" s="245"/>
      <c r="AH4001" s="245"/>
      <c r="AI4001" s="245"/>
      <c r="AJ4001" s="245"/>
      <c r="AK4001" s="245"/>
      <c r="AL4001" s="245"/>
      <c r="AM4001" s="245"/>
      <c r="AN4001" s="245"/>
      <c r="AO4001" s="238">
        <v>0.0</v>
      </c>
      <c r="AP4001" s="238">
        <v>0.0</v>
      </c>
      <c r="AQ4001" s="235" t="s">
        <v>632</v>
      </c>
      <c r="AR4001" s="243">
        <v>2.02E11</v>
      </c>
      <c r="AS4001" s="235" t="s">
        <v>28482</v>
      </c>
      <c r="AT4001" s="235" t="s">
        <v>11</v>
      </c>
      <c r="AU4001" s="235" t="s">
        <v>634</v>
      </c>
      <c r="AV4001" s="246" t="s">
        <v>635</v>
      </c>
      <c r="AW4001" s="227"/>
      <c r="AX4001" s="227"/>
      <c r="AY4001" s="227"/>
      <c r="AZ4001" s="227"/>
      <c r="BA4001" s="227"/>
      <c r="BB4001" s="227"/>
      <c r="BC4001" s="227"/>
      <c r="BD4001" s="227"/>
      <c r="BE4001" s="227"/>
      <c r="BF4001" s="227"/>
    </row>
    <row r="4002">
      <c r="A4002" s="235" t="s">
        <v>29876</v>
      </c>
      <c r="C4002" s="235" t="s">
        <v>29877</v>
      </c>
      <c r="D4002" s="235" t="s">
        <v>29878</v>
      </c>
      <c r="E4002" s="243">
        <v>6.51E13</v>
      </c>
      <c r="F4002" s="245"/>
      <c r="G4002" s="235" t="s">
        <v>29879</v>
      </c>
      <c r="H4002" s="235" t="s">
        <v>29880</v>
      </c>
      <c r="I4002" s="235" t="s">
        <v>29880</v>
      </c>
      <c r="J4002" s="235" t="s">
        <v>29881</v>
      </c>
      <c r="K4002" s="235" t="s">
        <v>29882</v>
      </c>
      <c r="N4002" s="235" t="s">
        <v>154</v>
      </c>
      <c r="O4002" s="235" t="s">
        <v>766</v>
      </c>
      <c r="P4002" s="238">
        <v>1.0</v>
      </c>
      <c r="Q4002" s="235" t="s">
        <v>627</v>
      </c>
      <c r="R4002" s="238">
        <v>423.8</v>
      </c>
      <c r="S4002" s="238">
        <v>21.2</v>
      </c>
      <c r="T4002" s="238">
        <v>0.0</v>
      </c>
      <c r="U4002" s="238">
        <v>0.0</v>
      </c>
      <c r="V4002" s="238">
        <v>0.0</v>
      </c>
      <c r="W4002" s="238">
        <v>0.0</v>
      </c>
      <c r="X4002" s="235" t="s">
        <v>628</v>
      </c>
      <c r="Z4002" s="245"/>
      <c r="AA4002" s="245"/>
      <c r="AB4002" s="245"/>
      <c r="AC4002" s="235" t="s">
        <v>678</v>
      </c>
      <c r="AD4002" s="235" t="s">
        <v>679</v>
      </c>
      <c r="AE4002" s="238">
        <v>560035.0</v>
      </c>
      <c r="AF4002" s="235" t="s">
        <v>631</v>
      </c>
      <c r="AG4002" s="245"/>
      <c r="AH4002" s="245"/>
      <c r="AI4002" s="245"/>
      <c r="AJ4002" s="245"/>
      <c r="AK4002" s="245"/>
      <c r="AL4002" s="245"/>
      <c r="AM4002" s="245"/>
      <c r="AN4002" s="245"/>
      <c r="AO4002" s="238">
        <v>0.0</v>
      </c>
      <c r="AP4002" s="238">
        <v>0.0</v>
      </c>
      <c r="AQ4002" s="235" t="s">
        <v>632</v>
      </c>
      <c r="AR4002" s="243">
        <v>1.68E11</v>
      </c>
      <c r="AS4002" s="235" t="s">
        <v>29883</v>
      </c>
      <c r="AT4002" s="235" t="s">
        <v>9</v>
      </c>
      <c r="AU4002" s="235" t="s">
        <v>634</v>
      </c>
      <c r="AV4002" s="246" t="s">
        <v>635</v>
      </c>
      <c r="AW4002" s="227"/>
      <c r="AX4002" s="227"/>
      <c r="AY4002" s="227"/>
      <c r="AZ4002" s="227"/>
      <c r="BA4002" s="227"/>
      <c r="BB4002" s="227"/>
      <c r="BC4002" s="227"/>
      <c r="BD4002" s="227"/>
      <c r="BE4002" s="227"/>
      <c r="BF4002" s="227"/>
    </row>
    <row r="4003">
      <c r="A4003" s="235" t="s">
        <v>29884</v>
      </c>
      <c r="C4003" s="235" t="s">
        <v>29885</v>
      </c>
      <c r="D4003" s="235" t="s">
        <v>29886</v>
      </c>
      <c r="E4003" s="243">
        <v>6.51E13</v>
      </c>
      <c r="F4003" s="245"/>
      <c r="G4003" s="235" t="s">
        <v>29887</v>
      </c>
      <c r="H4003" s="235" t="s">
        <v>29888</v>
      </c>
      <c r="I4003" s="235" t="s">
        <v>29888</v>
      </c>
      <c r="J4003" s="235" t="s">
        <v>29889</v>
      </c>
      <c r="K4003" s="235" t="s">
        <v>29890</v>
      </c>
      <c r="N4003" s="235" t="s">
        <v>47</v>
      </c>
      <c r="O4003" s="235" t="s">
        <v>270</v>
      </c>
      <c r="P4003" s="238">
        <v>1.0</v>
      </c>
      <c r="Q4003" s="235" t="s">
        <v>627</v>
      </c>
      <c r="R4003" s="238">
        <v>236.19</v>
      </c>
      <c r="S4003" s="238">
        <v>11.81</v>
      </c>
      <c r="T4003" s="238">
        <v>0.0</v>
      </c>
      <c r="U4003" s="238">
        <v>0.0</v>
      </c>
      <c r="V4003" s="238">
        <v>0.0</v>
      </c>
      <c r="W4003" s="238">
        <v>0.0</v>
      </c>
      <c r="X4003" s="235" t="s">
        <v>628</v>
      </c>
      <c r="Z4003" s="245"/>
      <c r="AA4003" s="245"/>
      <c r="AB4003" s="245"/>
      <c r="AC4003" s="235" t="s">
        <v>29891</v>
      </c>
      <c r="AD4003" s="235" t="s">
        <v>698</v>
      </c>
      <c r="AE4003" s="238">
        <v>506001.0</v>
      </c>
      <c r="AF4003" s="235" t="s">
        <v>631</v>
      </c>
      <c r="AG4003" s="245"/>
      <c r="AH4003" s="245"/>
      <c r="AI4003" s="245"/>
      <c r="AJ4003" s="245"/>
      <c r="AK4003" s="245"/>
      <c r="AL4003" s="245"/>
      <c r="AM4003" s="245"/>
      <c r="AN4003" s="245"/>
      <c r="AO4003" s="238">
        <v>0.0</v>
      </c>
      <c r="AP4003" s="238">
        <v>0.0</v>
      </c>
      <c r="AQ4003" s="235" t="s">
        <v>632</v>
      </c>
      <c r="AR4003" s="243">
        <v>3.71E11</v>
      </c>
      <c r="AS4003" s="235" t="s">
        <v>26892</v>
      </c>
      <c r="AT4003" s="235" t="s">
        <v>9</v>
      </c>
      <c r="AU4003" s="235" t="s">
        <v>634</v>
      </c>
      <c r="AV4003" s="246" t="s">
        <v>635</v>
      </c>
      <c r="AW4003" s="227"/>
      <c r="AX4003" s="227"/>
      <c r="AY4003" s="227"/>
      <c r="AZ4003" s="227"/>
      <c r="BA4003" s="227"/>
      <c r="BB4003" s="227"/>
      <c r="BC4003" s="227"/>
      <c r="BD4003" s="227"/>
      <c r="BE4003" s="227"/>
      <c r="BF4003" s="227"/>
    </row>
    <row r="4004">
      <c r="A4004" s="235" t="s">
        <v>29892</v>
      </c>
      <c r="C4004" s="235" t="s">
        <v>29893</v>
      </c>
      <c r="D4004" s="235" t="s">
        <v>29894</v>
      </c>
      <c r="E4004" s="243">
        <v>6.51E13</v>
      </c>
      <c r="F4004" s="245"/>
      <c r="G4004" s="235" t="s">
        <v>29895</v>
      </c>
      <c r="H4004" s="235" t="s">
        <v>29896</v>
      </c>
      <c r="I4004" s="235" t="s">
        <v>29897</v>
      </c>
      <c r="J4004" s="235" t="s">
        <v>29898</v>
      </c>
      <c r="K4004" s="235" t="s">
        <v>29899</v>
      </c>
      <c r="N4004" s="235" t="s">
        <v>962</v>
      </c>
      <c r="O4004" s="235" t="s">
        <v>963</v>
      </c>
      <c r="P4004" s="238">
        <v>1.0</v>
      </c>
      <c r="Q4004" s="235" t="s">
        <v>627</v>
      </c>
      <c r="R4004" s="238">
        <v>237.14</v>
      </c>
      <c r="S4004" s="238">
        <v>11.5</v>
      </c>
      <c r="T4004" s="238">
        <v>0.0</v>
      </c>
      <c r="U4004" s="238">
        <v>0.0</v>
      </c>
      <c r="V4004" s="238">
        <v>0.0</v>
      </c>
      <c r="W4004" s="238">
        <v>0.0</v>
      </c>
      <c r="X4004" s="235" t="s">
        <v>628</v>
      </c>
      <c r="Z4004" s="245"/>
      <c r="AA4004" s="245"/>
      <c r="AB4004" s="245"/>
      <c r="AC4004" s="235" t="s">
        <v>687</v>
      </c>
      <c r="AD4004" s="235" t="s">
        <v>666</v>
      </c>
      <c r="AE4004" s="238">
        <v>600130.0</v>
      </c>
      <c r="AF4004" s="235" t="s">
        <v>631</v>
      </c>
      <c r="AG4004" s="245"/>
      <c r="AH4004" s="245"/>
      <c r="AI4004" s="245"/>
      <c r="AJ4004" s="245"/>
      <c r="AK4004" s="245"/>
      <c r="AL4004" s="245"/>
      <c r="AM4004" s="245"/>
      <c r="AN4004" s="245"/>
      <c r="AO4004" s="238">
        <v>-7.11</v>
      </c>
      <c r="AP4004" s="238">
        <v>0.0</v>
      </c>
      <c r="AQ4004" s="235" t="s">
        <v>632</v>
      </c>
      <c r="AR4004" s="243">
        <v>1.68E11</v>
      </c>
      <c r="AS4004" s="235" t="s">
        <v>28482</v>
      </c>
      <c r="AT4004" s="235" t="s">
        <v>11</v>
      </c>
      <c r="AU4004" s="235" t="s">
        <v>634</v>
      </c>
      <c r="AV4004" s="246" t="s">
        <v>635</v>
      </c>
      <c r="AW4004" s="227"/>
      <c r="AX4004" s="227"/>
      <c r="AY4004" s="227"/>
      <c r="AZ4004" s="227"/>
      <c r="BA4004" s="227"/>
      <c r="BB4004" s="227"/>
      <c r="BC4004" s="227"/>
      <c r="BD4004" s="227"/>
      <c r="BE4004" s="227"/>
      <c r="BF4004" s="227"/>
    </row>
    <row r="4005">
      <c r="A4005" s="235" t="s">
        <v>29900</v>
      </c>
      <c r="C4005" s="235" t="s">
        <v>29901</v>
      </c>
      <c r="D4005" s="235" t="s">
        <v>29902</v>
      </c>
      <c r="E4005" s="243">
        <v>6.51E13</v>
      </c>
      <c r="F4005" s="245"/>
      <c r="G4005" s="235" t="s">
        <v>29903</v>
      </c>
      <c r="H4005" s="235" t="s">
        <v>29904</v>
      </c>
      <c r="I4005" s="235" t="s">
        <v>29904</v>
      </c>
      <c r="J4005" s="235" t="s">
        <v>29905</v>
      </c>
      <c r="K4005" s="235" t="s">
        <v>29906</v>
      </c>
      <c r="N4005" s="235" t="s">
        <v>134</v>
      </c>
      <c r="O4005" s="235" t="s">
        <v>314</v>
      </c>
      <c r="P4005" s="238">
        <v>1.0</v>
      </c>
      <c r="Q4005" s="235" t="s">
        <v>627</v>
      </c>
      <c r="R4005" s="238">
        <v>233.33</v>
      </c>
      <c r="S4005" s="238">
        <v>11.67</v>
      </c>
      <c r="T4005" s="238">
        <v>0.0</v>
      </c>
      <c r="U4005" s="238">
        <v>0.0</v>
      </c>
      <c r="V4005" s="238">
        <v>0.0</v>
      </c>
      <c r="W4005" s="238">
        <v>0.0</v>
      </c>
      <c r="X4005" s="235" t="s">
        <v>628</v>
      </c>
      <c r="Z4005" s="245"/>
      <c r="AA4005" s="245"/>
      <c r="AB4005" s="245"/>
      <c r="AC4005" s="235" t="s">
        <v>1878</v>
      </c>
      <c r="AD4005" s="235" t="s">
        <v>645</v>
      </c>
      <c r="AE4005" s="238">
        <v>680005.0</v>
      </c>
      <c r="AF4005" s="235" t="s">
        <v>631</v>
      </c>
      <c r="AG4005" s="245"/>
      <c r="AH4005" s="245"/>
      <c r="AI4005" s="245"/>
      <c r="AJ4005" s="245"/>
      <c r="AK4005" s="245"/>
      <c r="AL4005" s="245"/>
      <c r="AM4005" s="245"/>
      <c r="AN4005" s="245"/>
      <c r="AO4005" s="238">
        <v>0.0</v>
      </c>
      <c r="AP4005" s="238">
        <v>0.0</v>
      </c>
      <c r="AQ4005" s="235" t="s">
        <v>632</v>
      </c>
      <c r="AR4005" s="243">
        <v>3.71E11</v>
      </c>
      <c r="AS4005" s="235" t="s">
        <v>28482</v>
      </c>
      <c r="AT4005" s="235" t="s">
        <v>155</v>
      </c>
      <c r="AU4005" s="235" t="s">
        <v>634</v>
      </c>
      <c r="AV4005" s="246" t="s">
        <v>635</v>
      </c>
      <c r="AW4005" s="227"/>
      <c r="AX4005" s="227"/>
      <c r="AY4005" s="227"/>
      <c r="AZ4005" s="227"/>
      <c r="BA4005" s="227"/>
      <c r="BB4005" s="227"/>
      <c r="BC4005" s="227"/>
      <c r="BD4005" s="227"/>
      <c r="BE4005" s="227"/>
      <c r="BF4005" s="227"/>
    </row>
    <row r="4006">
      <c r="A4006" s="235" t="s">
        <v>29907</v>
      </c>
      <c r="C4006" s="235" t="s">
        <v>29908</v>
      </c>
      <c r="D4006" s="235" t="s">
        <v>29909</v>
      </c>
      <c r="E4006" s="243">
        <v>6.51E13</v>
      </c>
      <c r="F4006" s="245"/>
      <c r="G4006" s="235" t="s">
        <v>29910</v>
      </c>
      <c r="H4006" s="235" t="s">
        <v>29911</v>
      </c>
      <c r="I4006" s="235" t="s">
        <v>29912</v>
      </c>
      <c r="J4006" s="235" t="s">
        <v>29913</v>
      </c>
      <c r="K4006" s="235" t="s">
        <v>29914</v>
      </c>
      <c r="N4006" s="235" t="s">
        <v>115</v>
      </c>
      <c r="O4006" s="235" t="s">
        <v>548</v>
      </c>
      <c r="P4006" s="238">
        <v>1.0</v>
      </c>
      <c r="Q4006" s="235" t="s">
        <v>627</v>
      </c>
      <c r="R4006" s="238">
        <v>237.14</v>
      </c>
      <c r="S4006" s="238">
        <v>11.5</v>
      </c>
      <c r="T4006" s="238">
        <v>0.0</v>
      </c>
      <c r="U4006" s="238">
        <v>0.0</v>
      </c>
      <c r="V4006" s="238">
        <v>0.0</v>
      </c>
      <c r="W4006" s="238">
        <v>0.0</v>
      </c>
      <c r="X4006" s="235" t="s">
        <v>628</v>
      </c>
      <c r="Z4006" s="245"/>
      <c r="AA4006" s="245"/>
      <c r="AB4006" s="245"/>
      <c r="AC4006" s="235" t="s">
        <v>8110</v>
      </c>
      <c r="AD4006" s="235" t="s">
        <v>679</v>
      </c>
      <c r="AE4006" s="238">
        <v>580007.0</v>
      </c>
      <c r="AF4006" s="235" t="s">
        <v>631</v>
      </c>
      <c r="AG4006" s="245"/>
      <c r="AH4006" s="245"/>
      <c r="AI4006" s="245"/>
      <c r="AJ4006" s="245"/>
      <c r="AK4006" s="245"/>
      <c r="AL4006" s="245"/>
      <c r="AM4006" s="245"/>
      <c r="AN4006" s="245"/>
      <c r="AO4006" s="238">
        <v>-7.11</v>
      </c>
      <c r="AP4006" s="238">
        <v>0.0</v>
      </c>
      <c r="AQ4006" s="235" t="s">
        <v>632</v>
      </c>
      <c r="AR4006" s="243">
        <v>1.68E11</v>
      </c>
      <c r="AS4006" s="235" t="s">
        <v>28482</v>
      </c>
      <c r="AT4006" s="235" t="s">
        <v>9</v>
      </c>
      <c r="AU4006" s="235" t="s">
        <v>634</v>
      </c>
      <c r="AV4006" s="246" t="s">
        <v>635</v>
      </c>
      <c r="AW4006" s="227"/>
      <c r="AX4006" s="227"/>
      <c r="AY4006" s="227"/>
      <c r="AZ4006" s="227"/>
      <c r="BA4006" s="227"/>
      <c r="BB4006" s="227"/>
      <c r="BC4006" s="227"/>
      <c r="BD4006" s="227"/>
      <c r="BE4006" s="227"/>
      <c r="BF4006" s="227"/>
    </row>
    <row r="4007">
      <c r="A4007" s="235" t="s">
        <v>29915</v>
      </c>
      <c r="C4007" s="235" t="s">
        <v>29916</v>
      </c>
      <c r="D4007" s="235" t="s">
        <v>29917</v>
      </c>
      <c r="E4007" s="243">
        <v>6.51E13</v>
      </c>
      <c r="F4007" s="245"/>
      <c r="G4007" s="235" t="s">
        <v>29918</v>
      </c>
      <c r="H4007" s="235" t="s">
        <v>29919</v>
      </c>
      <c r="I4007" s="235" t="s">
        <v>29920</v>
      </c>
      <c r="J4007" s="235" t="s">
        <v>29921</v>
      </c>
      <c r="K4007" s="235" t="s">
        <v>29922</v>
      </c>
      <c r="N4007" s="235" t="s">
        <v>125</v>
      </c>
      <c r="O4007" s="235" t="s">
        <v>29923</v>
      </c>
      <c r="P4007" s="238">
        <v>1.0</v>
      </c>
      <c r="Q4007" s="235" t="s">
        <v>627</v>
      </c>
      <c r="R4007" s="238">
        <v>269.52</v>
      </c>
      <c r="S4007" s="238">
        <v>13.08</v>
      </c>
      <c r="T4007" s="238">
        <v>0.0</v>
      </c>
      <c r="U4007" s="238">
        <v>0.0</v>
      </c>
      <c r="V4007" s="238">
        <v>0.0</v>
      </c>
      <c r="W4007" s="238">
        <v>0.0</v>
      </c>
      <c r="X4007" s="235" t="s">
        <v>628</v>
      </c>
      <c r="Z4007" s="245"/>
      <c r="AA4007" s="245"/>
      <c r="AB4007" s="245"/>
      <c r="AC4007" s="235" t="s">
        <v>795</v>
      </c>
      <c r="AD4007" s="235" t="s">
        <v>796</v>
      </c>
      <c r="AE4007" s="238">
        <v>110043.0</v>
      </c>
      <c r="AF4007" s="235" t="s">
        <v>631</v>
      </c>
      <c r="AG4007" s="245"/>
      <c r="AH4007" s="245"/>
      <c r="AI4007" s="245"/>
      <c r="AJ4007" s="245"/>
      <c r="AK4007" s="245"/>
      <c r="AL4007" s="245"/>
      <c r="AM4007" s="245"/>
      <c r="AN4007" s="245"/>
      <c r="AO4007" s="238">
        <v>-8.09</v>
      </c>
      <c r="AP4007" s="238">
        <v>0.0</v>
      </c>
      <c r="AQ4007" s="235" t="s">
        <v>632</v>
      </c>
      <c r="AR4007" s="243">
        <v>3.71E11</v>
      </c>
      <c r="AS4007" s="235" t="s">
        <v>28482</v>
      </c>
      <c r="AT4007" s="235" t="s">
        <v>14</v>
      </c>
      <c r="AU4007" s="235" t="s">
        <v>634</v>
      </c>
      <c r="AV4007" s="246" t="s">
        <v>635</v>
      </c>
      <c r="AW4007" s="227"/>
      <c r="AX4007" s="227"/>
      <c r="AY4007" s="227"/>
      <c r="AZ4007" s="227"/>
      <c r="BA4007" s="227"/>
      <c r="BB4007" s="227"/>
      <c r="BC4007" s="227"/>
      <c r="BD4007" s="227"/>
      <c r="BE4007" s="227"/>
      <c r="BF4007" s="227"/>
    </row>
    <row r="4008">
      <c r="A4008" s="235" t="s">
        <v>29924</v>
      </c>
      <c r="C4008" s="235" t="s">
        <v>29925</v>
      </c>
      <c r="D4008" s="235" t="s">
        <v>29926</v>
      </c>
      <c r="E4008" s="243">
        <v>6.51E13</v>
      </c>
      <c r="F4008" s="245"/>
      <c r="G4008" s="235" t="s">
        <v>29927</v>
      </c>
      <c r="H4008" s="235" t="s">
        <v>29928</v>
      </c>
      <c r="I4008" s="235" t="s">
        <v>29928</v>
      </c>
      <c r="J4008" s="235" t="s">
        <v>29929</v>
      </c>
      <c r="K4008" s="235" t="s">
        <v>29930</v>
      </c>
      <c r="N4008" s="235" t="s">
        <v>42</v>
      </c>
      <c r="O4008" s="235" t="s">
        <v>204</v>
      </c>
      <c r="P4008" s="238">
        <v>1.0</v>
      </c>
      <c r="Q4008" s="235" t="s">
        <v>627</v>
      </c>
      <c r="R4008" s="238">
        <v>236.19</v>
      </c>
      <c r="S4008" s="238">
        <v>11.81</v>
      </c>
      <c r="T4008" s="238">
        <v>0.0</v>
      </c>
      <c r="U4008" s="238">
        <v>0.0</v>
      </c>
      <c r="V4008" s="238">
        <v>0.0</v>
      </c>
      <c r="W4008" s="238">
        <v>0.0</v>
      </c>
      <c r="X4008" s="235" t="s">
        <v>628</v>
      </c>
      <c r="Z4008" s="245"/>
      <c r="AA4008" s="245"/>
      <c r="AB4008" s="245"/>
      <c r="AC4008" s="235" t="s">
        <v>697</v>
      </c>
      <c r="AD4008" s="235" t="s">
        <v>698</v>
      </c>
      <c r="AE4008" s="238">
        <v>501218.0</v>
      </c>
      <c r="AF4008" s="235" t="s">
        <v>631</v>
      </c>
      <c r="AG4008" s="245"/>
      <c r="AH4008" s="245"/>
      <c r="AI4008" s="245"/>
      <c r="AJ4008" s="245"/>
      <c r="AK4008" s="245"/>
      <c r="AL4008" s="245"/>
      <c r="AM4008" s="245"/>
      <c r="AN4008" s="245"/>
      <c r="AO4008" s="238">
        <v>0.0</v>
      </c>
      <c r="AP4008" s="238">
        <v>0.0</v>
      </c>
      <c r="AQ4008" s="235" t="s">
        <v>632</v>
      </c>
      <c r="AR4008" s="243">
        <v>3.71E11</v>
      </c>
      <c r="AS4008" s="235" t="s">
        <v>26892</v>
      </c>
      <c r="AT4008" s="235" t="s">
        <v>546</v>
      </c>
      <c r="AU4008" s="235" t="s">
        <v>634</v>
      </c>
      <c r="AV4008" s="246" t="s">
        <v>635</v>
      </c>
      <c r="AW4008" s="227"/>
      <c r="AX4008" s="227"/>
      <c r="AY4008" s="227"/>
      <c r="AZ4008" s="227"/>
      <c r="BA4008" s="227"/>
      <c r="BB4008" s="227"/>
      <c r="BC4008" s="227"/>
      <c r="BD4008" s="227"/>
      <c r="BE4008" s="227"/>
      <c r="BF4008" s="227"/>
    </row>
    <row r="4009">
      <c r="A4009" s="235" t="s">
        <v>29931</v>
      </c>
      <c r="C4009" s="235" t="s">
        <v>29932</v>
      </c>
      <c r="D4009" s="235" t="s">
        <v>29933</v>
      </c>
      <c r="E4009" s="243">
        <v>6.51E13</v>
      </c>
      <c r="F4009" s="245"/>
      <c r="G4009" s="235" t="s">
        <v>29934</v>
      </c>
      <c r="H4009" s="235" t="s">
        <v>29935</v>
      </c>
      <c r="I4009" s="235" t="s">
        <v>29936</v>
      </c>
      <c r="J4009" s="235" t="s">
        <v>29937</v>
      </c>
      <c r="K4009" s="235" t="s">
        <v>29938</v>
      </c>
      <c r="N4009" s="235" t="s">
        <v>42</v>
      </c>
      <c r="O4009" s="235" t="s">
        <v>204</v>
      </c>
      <c r="P4009" s="238">
        <v>1.0</v>
      </c>
      <c r="Q4009" s="235" t="s">
        <v>627</v>
      </c>
      <c r="R4009" s="238">
        <v>236.19</v>
      </c>
      <c r="S4009" s="238">
        <v>11.46</v>
      </c>
      <c r="T4009" s="238">
        <v>0.0</v>
      </c>
      <c r="U4009" s="238">
        <v>0.0</v>
      </c>
      <c r="V4009" s="238">
        <v>0.0</v>
      </c>
      <c r="W4009" s="238">
        <v>0.0</v>
      </c>
      <c r="X4009" s="235" t="s">
        <v>628</v>
      </c>
      <c r="Z4009" s="245"/>
      <c r="AA4009" s="245"/>
      <c r="AB4009" s="245"/>
      <c r="AC4009" s="235" t="s">
        <v>814</v>
      </c>
      <c r="AD4009" s="235" t="s">
        <v>698</v>
      </c>
      <c r="AE4009" s="238">
        <v>500049.0</v>
      </c>
      <c r="AF4009" s="235" t="s">
        <v>631</v>
      </c>
      <c r="AG4009" s="245"/>
      <c r="AH4009" s="245"/>
      <c r="AI4009" s="245"/>
      <c r="AJ4009" s="245"/>
      <c r="AK4009" s="245"/>
      <c r="AL4009" s="245"/>
      <c r="AM4009" s="245"/>
      <c r="AN4009" s="245"/>
      <c r="AO4009" s="238">
        <v>-7.09</v>
      </c>
      <c r="AP4009" s="238">
        <v>0.0</v>
      </c>
      <c r="AQ4009" s="235" t="s">
        <v>632</v>
      </c>
      <c r="AR4009" s="243">
        <v>1.68E11</v>
      </c>
      <c r="AS4009" s="235" t="s">
        <v>28482</v>
      </c>
      <c r="AT4009" s="235" t="s">
        <v>156</v>
      </c>
      <c r="AU4009" s="235" t="s">
        <v>634</v>
      </c>
      <c r="AV4009" s="246" t="s">
        <v>635</v>
      </c>
      <c r="AW4009" s="227"/>
      <c r="AX4009" s="227"/>
      <c r="AY4009" s="227"/>
      <c r="AZ4009" s="227"/>
      <c r="BA4009" s="227"/>
      <c r="BB4009" s="227"/>
      <c r="BC4009" s="227"/>
      <c r="BD4009" s="227"/>
      <c r="BE4009" s="227"/>
      <c r="BF4009" s="227"/>
    </row>
    <row r="4010">
      <c r="A4010" s="235" t="s">
        <v>29939</v>
      </c>
      <c r="C4010" s="235" t="s">
        <v>29940</v>
      </c>
      <c r="D4010" s="235" t="s">
        <v>29941</v>
      </c>
      <c r="E4010" s="243">
        <v>6.51E13</v>
      </c>
      <c r="F4010" s="245"/>
      <c r="G4010" s="235" t="s">
        <v>29942</v>
      </c>
      <c r="H4010" s="235" t="s">
        <v>29943</v>
      </c>
      <c r="I4010" s="235" t="s">
        <v>29943</v>
      </c>
      <c r="J4010" s="235" t="s">
        <v>29944</v>
      </c>
      <c r="K4010" s="235" t="s">
        <v>29945</v>
      </c>
      <c r="N4010" s="235" t="s">
        <v>139</v>
      </c>
      <c r="O4010" s="235" t="s">
        <v>2091</v>
      </c>
      <c r="P4010" s="238">
        <v>1.0</v>
      </c>
      <c r="Q4010" s="235" t="s">
        <v>627</v>
      </c>
      <c r="R4010" s="238">
        <v>233.34</v>
      </c>
      <c r="S4010" s="238">
        <v>11.66</v>
      </c>
      <c r="T4010" s="238">
        <v>0.0</v>
      </c>
      <c r="U4010" s="238">
        <v>0.0</v>
      </c>
      <c r="V4010" s="238">
        <v>0.0</v>
      </c>
      <c r="W4010" s="238">
        <v>0.0</v>
      </c>
      <c r="X4010" s="235" t="s">
        <v>628</v>
      </c>
      <c r="Z4010" s="245"/>
      <c r="AA4010" s="245"/>
      <c r="AB4010" s="245"/>
      <c r="AC4010" s="235" t="s">
        <v>29946</v>
      </c>
      <c r="AD4010" s="235" t="s">
        <v>8663</v>
      </c>
      <c r="AE4010" s="238">
        <v>416007.0</v>
      </c>
      <c r="AF4010" s="235" t="s">
        <v>631</v>
      </c>
      <c r="AG4010" s="245"/>
      <c r="AH4010" s="245"/>
      <c r="AI4010" s="245"/>
      <c r="AJ4010" s="245"/>
      <c r="AK4010" s="245"/>
      <c r="AL4010" s="245"/>
      <c r="AM4010" s="245"/>
      <c r="AN4010" s="245"/>
      <c r="AO4010" s="238">
        <v>0.0</v>
      </c>
      <c r="AP4010" s="238">
        <v>0.0</v>
      </c>
      <c r="AQ4010" s="235" t="s">
        <v>632</v>
      </c>
      <c r="AR4010" s="243">
        <v>1.68E11</v>
      </c>
      <c r="AS4010" s="235" t="s">
        <v>28482</v>
      </c>
      <c r="AT4010" s="235" t="s">
        <v>546</v>
      </c>
      <c r="AU4010" s="235" t="s">
        <v>634</v>
      </c>
      <c r="AV4010" s="246" t="s">
        <v>635</v>
      </c>
      <c r="AW4010" s="227"/>
      <c r="AX4010" s="227"/>
      <c r="AY4010" s="227"/>
      <c r="AZ4010" s="227"/>
      <c r="BA4010" s="227"/>
      <c r="BB4010" s="227"/>
      <c r="BC4010" s="227"/>
      <c r="BD4010" s="227"/>
      <c r="BE4010" s="227"/>
      <c r="BF4010" s="227"/>
    </row>
    <row r="4011">
      <c r="A4011" s="235" t="s">
        <v>29947</v>
      </c>
      <c r="C4011" s="235" t="s">
        <v>29948</v>
      </c>
      <c r="D4011" s="235" t="s">
        <v>29949</v>
      </c>
      <c r="E4011" s="243">
        <v>6.51E13</v>
      </c>
      <c r="F4011" s="245"/>
      <c r="G4011" s="235" t="s">
        <v>29950</v>
      </c>
      <c r="H4011" s="235" t="s">
        <v>29951</v>
      </c>
      <c r="I4011" s="235" t="s">
        <v>29951</v>
      </c>
      <c r="J4011" s="235" t="s">
        <v>29952</v>
      </c>
      <c r="K4011" s="235" t="s">
        <v>29953</v>
      </c>
      <c r="N4011" s="235" t="s">
        <v>82</v>
      </c>
      <c r="O4011" s="235" t="s">
        <v>889</v>
      </c>
      <c r="P4011" s="238">
        <v>1.0</v>
      </c>
      <c r="Q4011" s="235" t="s">
        <v>627</v>
      </c>
      <c r="R4011" s="238">
        <v>246.66</v>
      </c>
      <c r="S4011" s="238">
        <v>12.34</v>
      </c>
      <c r="T4011" s="238">
        <v>0.0</v>
      </c>
      <c r="U4011" s="238">
        <v>0.0</v>
      </c>
      <c r="V4011" s="238">
        <v>0.0</v>
      </c>
      <c r="W4011" s="238">
        <v>0.0</v>
      </c>
      <c r="X4011" s="235" t="s">
        <v>628</v>
      </c>
      <c r="Z4011" s="245"/>
      <c r="AA4011" s="245"/>
      <c r="AB4011" s="245"/>
      <c r="AC4011" s="235" t="s">
        <v>844</v>
      </c>
      <c r="AD4011" s="235" t="s">
        <v>845</v>
      </c>
      <c r="AE4011" s="238">
        <v>411048.0</v>
      </c>
      <c r="AF4011" s="235" t="s">
        <v>631</v>
      </c>
      <c r="AG4011" s="245"/>
      <c r="AH4011" s="245"/>
      <c r="AI4011" s="245"/>
      <c r="AJ4011" s="245"/>
      <c r="AK4011" s="245"/>
      <c r="AL4011" s="245"/>
      <c r="AM4011" s="245"/>
      <c r="AN4011" s="245"/>
      <c r="AO4011" s="238">
        <v>0.0</v>
      </c>
      <c r="AP4011" s="238">
        <v>0.0</v>
      </c>
      <c r="AQ4011" s="235" t="s">
        <v>632</v>
      </c>
      <c r="AR4011" s="243">
        <v>3.71E11</v>
      </c>
      <c r="AS4011" s="235" t="s">
        <v>28482</v>
      </c>
      <c r="AT4011" s="235" t="s">
        <v>546</v>
      </c>
      <c r="AU4011" s="235" t="s">
        <v>634</v>
      </c>
      <c r="AV4011" s="246" t="s">
        <v>635</v>
      </c>
      <c r="AW4011" s="227"/>
      <c r="AX4011" s="227"/>
      <c r="AY4011" s="227"/>
      <c r="AZ4011" s="227"/>
      <c r="BA4011" s="227"/>
      <c r="BB4011" s="227"/>
      <c r="BC4011" s="227"/>
      <c r="BD4011" s="227"/>
      <c r="BE4011" s="227"/>
      <c r="BF4011" s="227"/>
    </row>
    <row r="4012">
      <c r="A4012" s="235" t="s">
        <v>29954</v>
      </c>
      <c r="C4012" s="235" t="s">
        <v>29955</v>
      </c>
      <c r="D4012" s="235" t="s">
        <v>29956</v>
      </c>
      <c r="E4012" s="243">
        <v>6.51E13</v>
      </c>
      <c r="F4012" s="245"/>
      <c r="G4012" s="235" t="s">
        <v>29957</v>
      </c>
      <c r="H4012" s="235" t="s">
        <v>29958</v>
      </c>
      <c r="I4012" s="235" t="s">
        <v>29958</v>
      </c>
      <c r="J4012" s="235" t="s">
        <v>29959</v>
      </c>
      <c r="K4012" s="235" t="s">
        <v>29960</v>
      </c>
      <c r="N4012" s="235" t="s">
        <v>154</v>
      </c>
      <c r="O4012" s="235" t="s">
        <v>766</v>
      </c>
      <c r="P4012" s="238">
        <v>1.0</v>
      </c>
      <c r="Q4012" s="235" t="s">
        <v>627</v>
      </c>
      <c r="R4012" s="238">
        <v>423.8</v>
      </c>
      <c r="S4012" s="238">
        <v>21.2</v>
      </c>
      <c r="T4012" s="238">
        <v>0.0</v>
      </c>
      <c r="U4012" s="238">
        <v>0.0</v>
      </c>
      <c r="V4012" s="238">
        <v>0.0</v>
      </c>
      <c r="W4012" s="238">
        <v>0.0</v>
      </c>
      <c r="X4012" s="235" t="s">
        <v>628</v>
      </c>
      <c r="Z4012" s="245"/>
      <c r="AA4012" s="245"/>
      <c r="AB4012" s="245"/>
      <c r="AC4012" s="235" t="s">
        <v>844</v>
      </c>
      <c r="AD4012" s="235" t="s">
        <v>845</v>
      </c>
      <c r="AE4012" s="238">
        <v>411030.0</v>
      </c>
      <c r="AF4012" s="235" t="s">
        <v>631</v>
      </c>
      <c r="AG4012" s="245"/>
      <c r="AH4012" s="245"/>
      <c r="AI4012" s="245"/>
      <c r="AJ4012" s="245"/>
      <c r="AK4012" s="245"/>
      <c r="AL4012" s="245"/>
      <c r="AM4012" s="245"/>
      <c r="AN4012" s="245"/>
      <c r="AO4012" s="238">
        <v>0.0</v>
      </c>
      <c r="AP4012" s="238">
        <v>0.0</v>
      </c>
      <c r="AQ4012" s="235" t="s">
        <v>632</v>
      </c>
      <c r="AR4012" s="243">
        <v>3.71E11</v>
      </c>
      <c r="AS4012" s="235" t="s">
        <v>28482</v>
      </c>
      <c r="AT4012" s="235" t="s">
        <v>546</v>
      </c>
      <c r="AU4012" s="235" t="s">
        <v>634</v>
      </c>
      <c r="AV4012" s="246" t="s">
        <v>635</v>
      </c>
      <c r="AW4012" s="227"/>
      <c r="AX4012" s="227"/>
      <c r="AY4012" s="227"/>
      <c r="AZ4012" s="227"/>
      <c r="BA4012" s="227"/>
      <c r="BB4012" s="227"/>
      <c r="BC4012" s="227"/>
      <c r="BD4012" s="227"/>
      <c r="BE4012" s="227"/>
      <c r="BF4012" s="227"/>
    </row>
    <row r="4013">
      <c r="A4013" s="235" t="s">
        <v>29961</v>
      </c>
      <c r="C4013" s="235" t="s">
        <v>29962</v>
      </c>
      <c r="D4013" s="235" t="s">
        <v>29963</v>
      </c>
      <c r="E4013" s="243">
        <v>6.51E13</v>
      </c>
      <c r="F4013" s="245"/>
      <c r="G4013" s="235" t="s">
        <v>29964</v>
      </c>
      <c r="H4013" s="235" t="s">
        <v>29965</v>
      </c>
      <c r="I4013" s="235" t="s">
        <v>29966</v>
      </c>
      <c r="J4013" s="235" t="s">
        <v>29967</v>
      </c>
      <c r="K4013" s="235" t="s">
        <v>29968</v>
      </c>
      <c r="N4013" s="235" t="s">
        <v>42</v>
      </c>
      <c r="O4013" s="235" t="s">
        <v>204</v>
      </c>
      <c r="P4013" s="238">
        <v>1.0</v>
      </c>
      <c r="Q4013" s="235" t="s">
        <v>627</v>
      </c>
      <c r="R4013" s="238">
        <v>236.19</v>
      </c>
      <c r="S4013" s="238">
        <v>11.46</v>
      </c>
      <c r="T4013" s="238">
        <v>0.0</v>
      </c>
      <c r="U4013" s="238">
        <v>0.0</v>
      </c>
      <c r="V4013" s="238">
        <v>0.0</v>
      </c>
      <c r="W4013" s="238">
        <v>0.0</v>
      </c>
      <c r="X4013" s="235" t="s">
        <v>628</v>
      </c>
      <c r="Z4013" s="245"/>
      <c r="AA4013" s="245"/>
      <c r="AB4013" s="245"/>
      <c r="AC4013" s="235" t="s">
        <v>697</v>
      </c>
      <c r="AD4013" s="235" t="s">
        <v>698</v>
      </c>
      <c r="AE4013" s="238">
        <v>500016.0</v>
      </c>
      <c r="AF4013" s="235" t="s">
        <v>631</v>
      </c>
      <c r="AG4013" s="245"/>
      <c r="AH4013" s="245"/>
      <c r="AI4013" s="245"/>
      <c r="AJ4013" s="245"/>
      <c r="AK4013" s="245"/>
      <c r="AL4013" s="245"/>
      <c r="AM4013" s="245"/>
      <c r="AN4013" s="245"/>
      <c r="AO4013" s="238">
        <v>-7.09</v>
      </c>
      <c r="AP4013" s="238">
        <v>0.0</v>
      </c>
      <c r="AQ4013" s="235" t="s">
        <v>632</v>
      </c>
      <c r="AR4013" s="243">
        <v>3.71E11</v>
      </c>
      <c r="AS4013" s="235" t="s">
        <v>26892</v>
      </c>
      <c r="AT4013" s="235" t="s">
        <v>546</v>
      </c>
      <c r="AU4013" s="235" t="s">
        <v>634</v>
      </c>
      <c r="AV4013" s="246" t="s">
        <v>635</v>
      </c>
      <c r="AW4013" s="227"/>
      <c r="AX4013" s="227"/>
      <c r="AY4013" s="227"/>
      <c r="AZ4013" s="227"/>
      <c r="BA4013" s="227"/>
      <c r="BB4013" s="227"/>
      <c r="BC4013" s="227"/>
      <c r="BD4013" s="227"/>
      <c r="BE4013" s="227"/>
      <c r="BF4013" s="227"/>
    </row>
    <row r="4014">
      <c r="A4014" s="235" t="s">
        <v>29969</v>
      </c>
      <c r="C4014" s="235" t="s">
        <v>29970</v>
      </c>
      <c r="D4014" s="235" t="s">
        <v>29971</v>
      </c>
      <c r="E4014" s="243">
        <v>6.51E13</v>
      </c>
      <c r="F4014" s="245"/>
      <c r="G4014" s="235" t="s">
        <v>29972</v>
      </c>
      <c r="H4014" s="235" t="s">
        <v>29973</v>
      </c>
      <c r="I4014" s="235" t="s">
        <v>29973</v>
      </c>
      <c r="J4014" s="235" t="s">
        <v>29974</v>
      </c>
      <c r="K4014" s="235" t="s">
        <v>29975</v>
      </c>
      <c r="N4014" s="235" t="s">
        <v>42</v>
      </c>
      <c r="O4014" s="235" t="s">
        <v>204</v>
      </c>
      <c r="P4014" s="238">
        <v>1.0</v>
      </c>
      <c r="Q4014" s="235" t="s">
        <v>627</v>
      </c>
      <c r="R4014" s="238">
        <v>236.2</v>
      </c>
      <c r="S4014" s="238">
        <v>11.8</v>
      </c>
      <c r="T4014" s="238">
        <v>0.0</v>
      </c>
      <c r="U4014" s="238">
        <v>0.0</v>
      </c>
      <c r="V4014" s="238">
        <v>0.0</v>
      </c>
      <c r="W4014" s="238">
        <v>0.0</v>
      </c>
      <c r="X4014" s="235" t="s">
        <v>628</v>
      </c>
      <c r="Z4014" s="245"/>
      <c r="AA4014" s="245"/>
      <c r="AB4014" s="245"/>
      <c r="AC4014" s="235" t="s">
        <v>1320</v>
      </c>
      <c r="AD4014" s="235" t="s">
        <v>666</v>
      </c>
      <c r="AE4014" s="238">
        <v>600031.0</v>
      </c>
      <c r="AF4014" s="235" t="s">
        <v>631</v>
      </c>
      <c r="AG4014" s="245"/>
      <c r="AH4014" s="245"/>
      <c r="AI4014" s="245"/>
      <c r="AJ4014" s="245"/>
      <c r="AK4014" s="245"/>
      <c r="AL4014" s="245"/>
      <c r="AM4014" s="245"/>
      <c r="AN4014" s="245"/>
      <c r="AO4014" s="238">
        <v>0.0</v>
      </c>
      <c r="AP4014" s="238">
        <v>0.0</v>
      </c>
      <c r="AQ4014" s="235" t="s">
        <v>632</v>
      </c>
      <c r="AR4014" s="243">
        <v>1.68E11</v>
      </c>
      <c r="AS4014" s="235" t="s">
        <v>29883</v>
      </c>
      <c r="AT4014" s="235" t="s">
        <v>156</v>
      </c>
      <c r="AU4014" s="235" t="s">
        <v>634</v>
      </c>
      <c r="AV4014" s="246" t="s">
        <v>635</v>
      </c>
      <c r="AW4014" s="227"/>
      <c r="AX4014" s="227"/>
      <c r="AY4014" s="227"/>
      <c r="AZ4014" s="227"/>
      <c r="BA4014" s="227"/>
      <c r="BB4014" s="227"/>
      <c r="BC4014" s="227"/>
      <c r="BD4014" s="227"/>
      <c r="BE4014" s="227"/>
      <c r="BF4014" s="227"/>
    </row>
    <row r="4015">
      <c r="A4015" s="235" t="s">
        <v>29976</v>
      </c>
      <c r="C4015" s="235" t="s">
        <v>29977</v>
      </c>
      <c r="D4015" s="235" t="s">
        <v>29978</v>
      </c>
      <c r="E4015" s="243">
        <v>6.5E13</v>
      </c>
      <c r="F4015" s="245"/>
      <c r="G4015" s="235" t="s">
        <v>29979</v>
      </c>
      <c r="H4015" s="235" t="s">
        <v>29980</v>
      </c>
      <c r="I4015" s="235" t="s">
        <v>29981</v>
      </c>
      <c r="J4015" s="235" t="s">
        <v>29982</v>
      </c>
      <c r="K4015" s="235" t="s">
        <v>29983</v>
      </c>
      <c r="N4015" s="235" t="s">
        <v>144</v>
      </c>
      <c r="O4015" s="235" t="s">
        <v>232</v>
      </c>
      <c r="P4015" s="238">
        <v>1.0</v>
      </c>
      <c r="Q4015" s="235" t="s">
        <v>627</v>
      </c>
      <c r="R4015" s="238">
        <v>665.72</v>
      </c>
      <c r="S4015" s="238">
        <v>33.28</v>
      </c>
      <c r="T4015" s="238">
        <v>0.0</v>
      </c>
      <c r="U4015" s="238">
        <v>0.0</v>
      </c>
      <c r="V4015" s="238">
        <v>0.0</v>
      </c>
      <c r="W4015" s="238">
        <v>0.0</v>
      </c>
      <c r="X4015" s="235" t="s">
        <v>628</v>
      </c>
      <c r="Z4015" s="245"/>
      <c r="AA4015" s="245"/>
      <c r="AB4015" s="245"/>
      <c r="AC4015" s="235" t="s">
        <v>1604</v>
      </c>
      <c r="AD4015" s="235" t="s">
        <v>845</v>
      </c>
      <c r="AE4015" s="238">
        <v>400053.0</v>
      </c>
      <c r="AF4015" s="235" t="s">
        <v>631</v>
      </c>
      <c r="AG4015" s="245"/>
      <c r="AH4015" s="245"/>
      <c r="AI4015" s="245"/>
      <c r="AJ4015" s="245"/>
      <c r="AK4015" s="245"/>
      <c r="AL4015" s="245"/>
      <c r="AM4015" s="245"/>
      <c r="AN4015" s="245"/>
      <c r="AO4015" s="238">
        <v>0.0</v>
      </c>
      <c r="AP4015" s="238">
        <v>0.0</v>
      </c>
      <c r="AQ4015" s="235" t="s">
        <v>632</v>
      </c>
      <c r="AR4015" s="243">
        <v>3.71E11</v>
      </c>
      <c r="AS4015" s="235" t="s">
        <v>28482</v>
      </c>
      <c r="AT4015" s="235" t="s">
        <v>546</v>
      </c>
      <c r="AU4015" s="235" t="s">
        <v>634</v>
      </c>
      <c r="AV4015" s="246" t="s">
        <v>635</v>
      </c>
      <c r="AW4015" s="227"/>
      <c r="AX4015" s="227"/>
      <c r="AY4015" s="227"/>
      <c r="AZ4015" s="227"/>
      <c r="BA4015" s="227"/>
      <c r="BB4015" s="227"/>
      <c r="BC4015" s="227"/>
      <c r="BD4015" s="227"/>
      <c r="BE4015" s="227"/>
      <c r="BF4015" s="227"/>
    </row>
    <row r="4016">
      <c r="A4016" s="235" t="s">
        <v>29984</v>
      </c>
      <c r="C4016" s="235" t="s">
        <v>29985</v>
      </c>
      <c r="D4016" s="235" t="s">
        <v>29986</v>
      </c>
      <c r="E4016" s="243">
        <v>6.51E13</v>
      </c>
      <c r="F4016" s="245"/>
      <c r="G4016" s="235" t="s">
        <v>29987</v>
      </c>
      <c r="H4016" s="235" t="s">
        <v>29988</v>
      </c>
      <c r="I4016" s="235" t="s">
        <v>29988</v>
      </c>
      <c r="J4016" s="235" t="s">
        <v>29989</v>
      </c>
      <c r="K4016" s="235" t="s">
        <v>29990</v>
      </c>
      <c r="N4016" s="235" t="s">
        <v>8</v>
      </c>
      <c r="O4016" s="235" t="s">
        <v>16329</v>
      </c>
      <c r="P4016" s="238">
        <v>1.0</v>
      </c>
      <c r="Q4016" s="235" t="s">
        <v>627</v>
      </c>
      <c r="R4016" s="238">
        <v>284.76</v>
      </c>
      <c r="S4016" s="238">
        <v>13.82</v>
      </c>
      <c r="T4016" s="238">
        <v>0.0</v>
      </c>
      <c r="U4016" s="238">
        <v>0.0</v>
      </c>
      <c r="V4016" s="238">
        <v>0.0</v>
      </c>
      <c r="W4016" s="238">
        <v>0.0</v>
      </c>
      <c r="X4016" s="235" t="s">
        <v>628</v>
      </c>
      <c r="Z4016" s="245"/>
      <c r="AA4016" s="245"/>
      <c r="AB4016" s="245"/>
      <c r="AC4016" s="235" t="s">
        <v>1887</v>
      </c>
      <c r="AD4016" s="235" t="s">
        <v>679</v>
      </c>
      <c r="AE4016" s="238">
        <v>560008.0</v>
      </c>
      <c r="AF4016" s="235" t="s">
        <v>631</v>
      </c>
      <c r="AG4016" s="245"/>
      <c r="AH4016" s="245"/>
      <c r="AI4016" s="245"/>
      <c r="AJ4016" s="245"/>
      <c r="AK4016" s="245"/>
      <c r="AL4016" s="245"/>
      <c r="AM4016" s="245"/>
      <c r="AN4016" s="245"/>
      <c r="AO4016" s="238">
        <v>-8.55</v>
      </c>
      <c r="AP4016" s="238">
        <v>0.0</v>
      </c>
      <c r="AQ4016" s="235" t="s">
        <v>632</v>
      </c>
      <c r="AR4016" s="243">
        <v>1.68E11</v>
      </c>
      <c r="AS4016" s="235" t="s">
        <v>29883</v>
      </c>
      <c r="AT4016" s="235" t="s">
        <v>11</v>
      </c>
      <c r="AU4016" s="235" t="s">
        <v>634</v>
      </c>
      <c r="AV4016" s="246" t="s">
        <v>635</v>
      </c>
      <c r="AW4016" s="227"/>
      <c r="AX4016" s="227"/>
      <c r="AY4016" s="227"/>
      <c r="AZ4016" s="227"/>
      <c r="BA4016" s="227"/>
      <c r="BB4016" s="227"/>
      <c r="BC4016" s="227"/>
      <c r="BD4016" s="227"/>
      <c r="BE4016" s="227"/>
      <c r="BF4016" s="227"/>
    </row>
    <row r="4017">
      <c r="A4017" s="235" t="s">
        <v>29991</v>
      </c>
      <c r="C4017" s="235" t="s">
        <v>29992</v>
      </c>
      <c r="D4017" s="235" t="s">
        <v>29993</v>
      </c>
      <c r="E4017" s="243">
        <v>6.51E13</v>
      </c>
      <c r="F4017" s="245"/>
      <c r="G4017" s="235" t="s">
        <v>29994</v>
      </c>
      <c r="H4017" s="235" t="s">
        <v>29995</v>
      </c>
      <c r="I4017" s="235" t="s">
        <v>29995</v>
      </c>
      <c r="J4017" s="235" t="s">
        <v>29996</v>
      </c>
      <c r="K4017" s="235" t="s">
        <v>29997</v>
      </c>
      <c r="N4017" s="235" t="s">
        <v>154</v>
      </c>
      <c r="O4017" s="235" t="s">
        <v>766</v>
      </c>
      <c r="P4017" s="238">
        <v>2.0</v>
      </c>
      <c r="Q4017" s="235" t="s">
        <v>627</v>
      </c>
      <c r="R4017" s="238">
        <v>914.28</v>
      </c>
      <c r="S4017" s="238">
        <v>44.36</v>
      </c>
      <c r="T4017" s="238">
        <v>0.0</v>
      </c>
      <c r="U4017" s="238">
        <v>0.0</v>
      </c>
      <c r="V4017" s="238">
        <v>0.0</v>
      </c>
      <c r="W4017" s="238">
        <v>0.0</v>
      </c>
      <c r="X4017" s="235" t="s">
        <v>628</v>
      </c>
      <c r="Z4017" s="245"/>
      <c r="AA4017" s="245"/>
      <c r="AB4017" s="245"/>
      <c r="AC4017" s="235" t="s">
        <v>21246</v>
      </c>
      <c r="AD4017" s="235" t="s">
        <v>1077</v>
      </c>
      <c r="AE4017" s="238">
        <v>388121.0</v>
      </c>
      <c r="AF4017" s="235" t="s">
        <v>631</v>
      </c>
      <c r="AG4017" s="245"/>
      <c r="AH4017" s="245"/>
      <c r="AI4017" s="245"/>
      <c r="AJ4017" s="245"/>
      <c r="AK4017" s="245"/>
      <c r="AL4017" s="245"/>
      <c r="AM4017" s="245"/>
      <c r="AN4017" s="245"/>
      <c r="AO4017" s="238">
        <v>-27.44</v>
      </c>
      <c r="AP4017" s="238">
        <v>0.0</v>
      </c>
      <c r="AQ4017" s="235" t="s">
        <v>632</v>
      </c>
      <c r="AR4017" s="243">
        <v>3.71E11</v>
      </c>
      <c r="AS4017" s="235" t="s">
        <v>28482</v>
      </c>
      <c r="AT4017" s="235" t="s">
        <v>5</v>
      </c>
      <c r="AU4017" s="235" t="s">
        <v>634</v>
      </c>
      <c r="AV4017" s="246" t="s">
        <v>635</v>
      </c>
      <c r="AW4017" s="227"/>
      <c r="AX4017" s="227"/>
      <c r="AY4017" s="227"/>
      <c r="AZ4017" s="227"/>
      <c r="BA4017" s="227"/>
      <c r="BB4017" s="227"/>
      <c r="BC4017" s="227"/>
      <c r="BD4017" s="227"/>
      <c r="BE4017" s="227"/>
      <c r="BF4017" s="227"/>
    </row>
    <row r="4018">
      <c r="A4018" s="235" t="s">
        <v>29991</v>
      </c>
      <c r="C4018" s="235" t="s">
        <v>29992</v>
      </c>
      <c r="D4018" s="235" t="s">
        <v>29998</v>
      </c>
      <c r="E4018" s="243">
        <v>6.51E13</v>
      </c>
      <c r="F4018" s="245"/>
      <c r="G4018" s="235" t="s">
        <v>29994</v>
      </c>
      <c r="H4018" s="235" t="s">
        <v>29995</v>
      </c>
      <c r="I4018" s="235" t="s">
        <v>29995</v>
      </c>
      <c r="J4018" s="235" t="s">
        <v>29996</v>
      </c>
      <c r="K4018" s="235" t="s">
        <v>29997</v>
      </c>
      <c r="N4018" s="235" t="s">
        <v>154</v>
      </c>
      <c r="O4018" s="235" t="s">
        <v>766</v>
      </c>
      <c r="P4018" s="238">
        <v>1.0</v>
      </c>
      <c r="Q4018" s="235" t="s">
        <v>627</v>
      </c>
      <c r="R4018" s="238">
        <v>457.14</v>
      </c>
      <c r="S4018" s="238">
        <v>22.18</v>
      </c>
      <c r="T4018" s="238">
        <v>0.0</v>
      </c>
      <c r="U4018" s="238">
        <v>0.0</v>
      </c>
      <c r="V4018" s="238">
        <v>0.0</v>
      </c>
      <c r="W4018" s="238">
        <v>0.0</v>
      </c>
      <c r="X4018" s="235" t="s">
        <v>628</v>
      </c>
      <c r="Z4018" s="245"/>
      <c r="AA4018" s="245"/>
      <c r="AB4018" s="245"/>
      <c r="AC4018" s="235" t="s">
        <v>21246</v>
      </c>
      <c r="AD4018" s="235" t="s">
        <v>1077</v>
      </c>
      <c r="AE4018" s="238">
        <v>388121.0</v>
      </c>
      <c r="AF4018" s="235" t="s">
        <v>631</v>
      </c>
      <c r="AG4018" s="245"/>
      <c r="AH4018" s="245"/>
      <c r="AI4018" s="245"/>
      <c r="AJ4018" s="245"/>
      <c r="AK4018" s="245"/>
      <c r="AL4018" s="245"/>
      <c r="AM4018" s="245"/>
      <c r="AN4018" s="245"/>
      <c r="AO4018" s="238">
        <v>-13.72</v>
      </c>
      <c r="AP4018" s="238">
        <v>0.0</v>
      </c>
      <c r="AQ4018" s="235" t="s">
        <v>632</v>
      </c>
      <c r="AR4018" s="243">
        <v>3.71E11</v>
      </c>
      <c r="AS4018" s="235" t="s">
        <v>28482</v>
      </c>
      <c r="AT4018" s="235" t="s">
        <v>5</v>
      </c>
      <c r="AU4018" s="235" t="s">
        <v>634</v>
      </c>
      <c r="AV4018" s="246" t="s">
        <v>635</v>
      </c>
      <c r="AW4018" s="227"/>
      <c r="AX4018" s="227"/>
      <c r="AY4018" s="227"/>
      <c r="AZ4018" s="227"/>
      <c r="BA4018" s="227"/>
      <c r="BB4018" s="227"/>
      <c r="BC4018" s="227"/>
      <c r="BD4018" s="227"/>
      <c r="BE4018" s="227"/>
      <c r="BF4018" s="227"/>
    </row>
    <row r="4019">
      <c r="A4019" s="235" t="s">
        <v>29999</v>
      </c>
      <c r="C4019" s="235" t="s">
        <v>30000</v>
      </c>
      <c r="D4019" s="235" t="s">
        <v>30001</v>
      </c>
      <c r="E4019" s="243">
        <v>6.51E13</v>
      </c>
      <c r="F4019" s="245"/>
      <c r="G4019" s="235" t="s">
        <v>30002</v>
      </c>
      <c r="H4019" s="235" t="s">
        <v>30003</v>
      </c>
      <c r="I4019" s="235" t="s">
        <v>30003</v>
      </c>
      <c r="J4019" s="235" t="s">
        <v>30004</v>
      </c>
      <c r="K4019" s="235" t="s">
        <v>30005</v>
      </c>
      <c r="N4019" s="235" t="s">
        <v>127</v>
      </c>
      <c r="O4019" s="235" t="s">
        <v>794</v>
      </c>
      <c r="P4019" s="238">
        <v>1.0</v>
      </c>
      <c r="Q4019" s="235" t="s">
        <v>627</v>
      </c>
      <c r="R4019" s="238">
        <v>236.19</v>
      </c>
      <c r="S4019" s="238">
        <v>11.81</v>
      </c>
      <c r="T4019" s="238">
        <v>0.0</v>
      </c>
      <c r="U4019" s="238">
        <v>0.0</v>
      </c>
      <c r="V4019" s="238">
        <v>0.0</v>
      </c>
      <c r="W4019" s="238">
        <v>0.0</v>
      </c>
      <c r="X4019" s="235" t="s">
        <v>628</v>
      </c>
      <c r="Z4019" s="245"/>
      <c r="AA4019" s="245"/>
      <c r="AB4019" s="245"/>
      <c r="AC4019" s="235" t="s">
        <v>1531</v>
      </c>
      <c r="AD4019" s="235" t="s">
        <v>1151</v>
      </c>
      <c r="AE4019" s="238">
        <v>700055.0</v>
      </c>
      <c r="AF4019" s="235" t="s">
        <v>631</v>
      </c>
      <c r="AG4019" s="245"/>
      <c r="AH4019" s="245"/>
      <c r="AI4019" s="245"/>
      <c r="AJ4019" s="245"/>
      <c r="AK4019" s="245"/>
      <c r="AL4019" s="245"/>
      <c r="AM4019" s="245"/>
      <c r="AN4019" s="245"/>
      <c r="AO4019" s="238">
        <v>0.0</v>
      </c>
      <c r="AP4019" s="238">
        <v>0.0</v>
      </c>
      <c r="AQ4019" s="235" t="s">
        <v>632</v>
      </c>
      <c r="AR4019" s="243">
        <v>2.02E11</v>
      </c>
      <c r="AS4019" s="235" t="s">
        <v>28482</v>
      </c>
      <c r="AT4019" s="235" t="s">
        <v>156</v>
      </c>
      <c r="AU4019" s="235" t="s">
        <v>634</v>
      </c>
      <c r="AV4019" s="246" t="s">
        <v>635</v>
      </c>
      <c r="AW4019" s="227"/>
      <c r="AX4019" s="227"/>
      <c r="AY4019" s="227"/>
      <c r="AZ4019" s="227"/>
      <c r="BA4019" s="227"/>
      <c r="BB4019" s="227"/>
      <c r="BC4019" s="227"/>
      <c r="BD4019" s="227"/>
      <c r="BE4019" s="227"/>
      <c r="BF4019" s="227"/>
    </row>
    <row r="4020">
      <c r="A4020" s="235" t="s">
        <v>30006</v>
      </c>
      <c r="C4020" s="235" t="s">
        <v>30007</v>
      </c>
      <c r="D4020" s="235" t="s">
        <v>30008</v>
      </c>
      <c r="E4020" s="243">
        <v>6.51E13</v>
      </c>
      <c r="F4020" s="245"/>
      <c r="G4020" s="235" t="s">
        <v>30009</v>
      </c>
      <c r="H4020" s="235" t="s">
        <v>30010</v>
      </c>
      <c r="I4020" s="235" t="s">
        <v>30011</v>
      </c>
      <c r="J4020" s="235" t="s">
        <v>30012</v>
      </c>
      <c r="K4020" s="235" t="s">
        <v>29693</v>
      </c>
      <c r="N4020" s="235" t="s">
        <v>42</v>
      </c>
      <c r="O4020" s="235" t="s">
        <v>204</v>
      </c>
      <c r="P4020" s="238">
        <v>1.0</v>
      </c>
      <c r="Q4020" s="235" t="s">
        <v>627</v>
      </c>
      <c r="R4020" s="238">
        <v>236.19</v>
      </c>
      <c r="S4020" s="238">
        <v>11.46</v>
      </c>
      <c r="T4020" s="238">
        <v>0.0</v>
      </c>
      <c r="U4020" s="238">
        <v>0.0</v>
      </c>
      <c r="V4020" s="238">
        <v>0.0</v>
      </c>
      <c r="W4020" s="238">
        <v>0.0</v>
      </c>
      <c r="X4020" s="235" t="s">
        <v>628</v>
      </c>
      <c r="Z4020" s="245"/>
      <c r="AA4020" s="245"/>
      <c r="AB4020" s="245"/>
      <c r="AC4020" s="235" t="s">
        <v>814</v>
      </c>
      <c r="AD4020" s="235" t="s">
        <v>698</v>
      </c>
      <c r="AE4020" s="238">
        <v>500072.0</v>
      </c>
      <c r="AF4020" s="235" t="s">
        <v>631</v>
      </c>
      <c r="AG4020" s="245"/>
      <c r="AH4020" s="245"/>
      <c r="AI4020" s="245"/>
      <c r="AJ4020" s="245"/>
      <c r="AK4020" s="245"/>
      <c r="AL4020" s="245"/>
      <c r="AM4020" s="245"/>
      <c r="AN4020" s="245"/>
      <c r="AO4020" s="238">
        <v>-7.09</v>
      </c>
      <c r="AP4020" s="238">
        <v>0.0</v>
      </c>
      <c r="AQ4020" s="235" t="s">
        <v>632</v>
      </c>
      <c r="AR4020" s="243">
        <v>3.71E11</v>
      </c>
      <c r="AS4020" s="235" t="s">
        <v>26892</v>
      </c>
      <c r="AT4020" s="235" t="s">
        <v>17</v>
      </c>
      <c r="AU4020" s="235" t="s">
        <v>634</v>
      </c>
      <c r="AV4020" s="246" t="s">
        <v>635</v>
      </c>
      <c r="AW4020" s="227"/>
      <c r="AX4020" s="227"/>
      <c r="AY4020" s="227"/>
      <c r="AZ4020" s="227"/>
      <c r="BA4020" s="227"/>
      <c r="BB4020" s="227"/>
      <c r="BC4020" s="227"/>
      <c r="BD4020" s="227"/>
      <c r="BE4020" s="227"/>
      <c r="BF4020" s="227"/>
    </row>
    <row r="4021">
      <c r="A4021" s="235" t="s">
        <v>30013</v>
      </c>
      <c r="C4021" s="235" t="s">
        <v>30014</v>
      </c>
      <c r="D4021" s="235" t="s">
        <v>30015</v>
      </c>
      <c r="E4021" s="243">
        <v>6.51E13</v>
      </c>
      <c r="F4021" s="245"/>
      <c r="G4021" s="235" t="s">
        <v>30016</v>
      </c>
      <c r="H4021" s="235" t="s">
        <v>30017</v>
      </c>
      <c r="I4021" s="235" t="s">
        <v>30017</v>
      </c>
      <c r="J4021" s="235" t="s">
        <v>30018</v>
      </c>
      <c r="K4021" s="235" t="s">
        <v>30019</v>
      </c>
      <c r="N4021" s="235" t="s">
        <v>85</v>
      </c>
      <c r="O4021" s="235" t="s">
        <v>872</v>
      </c>
      <c r="P4021" s="238">
        <v>1.0</v>
      </c>
      <c r="Q4021" s="235" t="s">
        <v>627</v>
      </c>
      <c r="R4021" s="238">
        <v>232.38</v>
      </c>
      <c r="S4021" s="238">
        <v>11.62</v>
      </c>
      <c r="T4021" s="238">
        <v>0.0</v>
      </c>
      <c r="U4021" s="238">
        <v>0.0</v>
      </c>
      <c r="V4021" s="238">
        <v>0.0</v>
      </c>
      <c r="W4021" s="238">
        <v>0.0</v>
      </c>
      <c r="X4021" s="235" t="s">
        <v>628</v>
      </c>
      <c r="Z4021" s="245"/>
      <c r="AA4021" s="245"/>
      <c r="AB4021" s="245"/>
      <c r="AC4021" s="235" t="s">
        <v>678</v>
      </c>
      <c r="AD4021" s="235" t="s">
        <v>679</v>
      </c>
      <c r="AE4021" s="238">
        <v>560037.0</v>
      </c>
      <c r="AF4021" s="235" t="s">
        <v>631</v>
      </c>
      <c r="AG4021" s="245"/>
      <c r="AH4021" s="245"/>
      <c r="AI4021" s="245"/>
      <c r="AJ4021" s="245"/>
      <c r="AK4021" s="245"/>
      <c r="AL4021" s="245"/>
      <c r="AM4021" s="245"/>
      <c r="AN4021" s="245"/>
      <c r="AO4021" s="238">
        <v>0.0</v>
      </c>
      <c r="AP4021" s="238">
        <v>0.0</v>
      </c>
      <c r="AQ4021" s="235" t="s">
        <v>632</v>
      </c>
      <c r="AR4021" s="243">
        <v>1.68E11</v>
      </c>
      <c r="AS4021" s="235" t="s">
        <v>29883</v>
      </c>
      <c r="AT4021" s="235" t="s">
        <v>9</v>
      </c>
      <c r="AU4021" s="235" t="s">
        <v>634</v>
      </c>
      <c r="AV4021" s="246" t="s">
        <v>635</v>
      </c>
      <c r="AW4021" s="227"/>
      <c r="AX4021" s="227"/>
      <c r="AY4021" s="227"/>
      <c r="AZ4021" s="227"/>
      <c r="BA4021" s="227"/>
      <c r="BB4021" s="227"/>
      <c r="BC4021" s="227"/>
      <c r="BD4021" s="227"/>
      <c r="BE4021" s="227"/>
      <c r="BF4021" s="227"/>
    </row>
    <row r="4022">
      <c r="A4022" s="235" t="s">
        <v>30020</v>
      </c>
      <c r="C4022" s="235" t="s">
        <v>30021</v>
      </c>
      <c r="D4022" s="235" t="s">
        <v>30022</v>
      </c>
      <c r="E4022" s="243">
        <v>6.51E13</v>
      </c>
      <c r="F4022" s="245"/>
      <c r="G4022" s="235" t="s">
        <v>30023</v>
      </c>
      <c r="H4022" s="235" t="s">
        <v>30024</v>
      </c>
      <c r="I4022" s="235" t="s">
        <v>30024</v>
      </c>
      <c r="J4022" s="235" t="s">
        <v>30025</v>
      </c>
      <c r="K4022" s="235" t="s">
        <v>30026</v>
      </c>
      <c r="N4022" s="235" t="s">
        <v>90</v>
      </c>
      <c r="O4022" s="235" t="s">
        <v>279</v>
      </c>
      <c r="P4022" s="238">
        <v>1.0</v>
      </c>
      <c r="Q4022" s="235" t="s">
        <v>627</v>
      </c>
      <c r="R4022" s="238">
        <v>270.48</v>
      </c>
      <c r="S4022" s="238">
        <v>13.52</v>
      </c>
      <c r="T4022" s="238">
        <v>0.0</v>
      </c>
      <c r="U4022" s="238">
        <v>0.0</v>
      </c>
      <c r="V4022" s="238">
        <v>0.0</v>
      </c>
      <c r="W4022" s="238">
        <v>0.0</v>
      </c>
      <c r="X4022" s="235" t="s">
        <v>628</v>
      </c>
      <c r="Z4022" s="245"/>
      <c r="AA4022" s="245"/>
      <c r="AB4022" s="245"/>
      <c r="AC4022" s="235" t="s">
        <v>2469</v>
      </c>
      <c r="AD4022" s="235" t="s">
        <v>666</v>
      </c>
      <c r="AE4022" s="238">
        <v>624619.0</v>
      </c>
      <c r="AF4022" s="235" t="s">
        <v>631</v>
      </c>
      <c r="AG4022" s="245"/>
      <c r="AH4022" s="245"/>
      <c r="AI4022" s="245"/>
      <c r="AJ4022" s="245"/>
      <c r="AK4022" s="245"/>
      <c r="AL4022" s="245"/>
      <c r="AM4022" s="245"/>
      <c r="AN4022" s="245"/>
      <c r="AO4022" s="238">
        <v>0.0</v>
      </c>
      <c r="AP4022" s="238">
        <v>0.0</v>
      </c>
      <c r="AQ4022" s="235" t="s">
        <v>632</v>
      </c>
      <c r="AR4022" s="243">
        <v>3.71E11</v>
      </c>
      <c r="AS4022" s="235" t="s">
        <v>28482</v>
      </c>
      <c r="AT4022" s="235" t="s">
        <v>9</v>
      </c>
      <c r="AU4022" s="235" t="s">
        <v>634</v>
      </c>
      <c r="AV4022" s="246" t="s">
        <v>635</v>
      </c>
      <c r="AW4022" s="227"/>
      <c r="AX4022" s="227"/>
      <c r="AY4022" s="227"/>
      <c r="AZ4022" s="227"/>
      <c r="BA4022" s="227"/>
      <c r="BB4022" s="227"/>
      <c r="BC4022" s="227"/>
      <c r="BD4022" s="227"/>
      <c r="BE4022" s="227"/>
      <c r="BF4022" s="227"/>
    </row>
    <row r="4023">
      <c r="A4023" s="235" t="s">
        <v>30027</v>
      </c>
      <c r="C4023" s="235" t="s">
        <v>30028</v>
      </c>
      <c r="D4023" s="235" t="s">
        <v>30029</v>
      </c>
      <c r="E4023" s="243">
        <v>6.51E13</v>
      </c>
      <c r="F4023" s="245"/>
      <c r="G4023" s="235" t="s">
        <v>30030</v>
      </c>
      <c r="H4023" s="235" t="s">
        <v>30031</v>
      </c>
      <c r="I4023" s="235" t="s">
        <v>30031</v>
      </c>
      <c r="J4023" s="235" t="s">
        <v>30032</v>
      </c>
      <c r="K4023" s="235" t="s">
        <v>30033</v>
      </c>
      <c r="N4023" s="235" t="s">
        <v>15</v>
      </c>
      <c r="O4023" s="235" t="s">
        <v>856</v>
      </c>
      <c r="P4023" s="238">
        <v>1.0</v>
      </c>
      <c r="Q4023" s="235" t="s">
        <v>627</v>
      </c>
      <c r="R4023" s="238">
        <v>380.0</v>
      </c>
      <c r="S4023" s="238">
        <v>18.62</v>
      </c>
      <c r="T4023" s="238">
        <v>0.0</v>
      </c>
      <c r="U4023" s="238">
        <v>0.0</v>
      </c>
      <c r="V4023" s="238">
        <v>0.0</v>
      </c>
      <c r="W4023" s="238">
        <v>0.0</v>
      </c>
      <c r="X4023" s="235" t="s">
        <v>628</v>
      </c>
      <c r="Z4023" s="245"/>
      <c r="AA4023" s="245"/>
      <c r="AB4023" s="245"/>
      <c r="AC4023" s="235" t="s">
        <v>1887</v>
      </c>
      <c r="AD4023" s="235" t="s">
        <v>679</v>
      </c>
      <c r="AE4023" s="238">
        <v>560024.0</v>
      </c>
      <c r="AF4023" s="235" t="s">
        <v>631</v>
      </c>
      <c r="AG4023" s="245"/>
      <c r="AH4023" s="245"/>
      <c r="AI4023" s="245"/>
      <c r="AJ4023" s="245"/>
      <c r="AK4023" s="245"/>
      <c r="AL4023" s="245"/>
      <c r="AM4023" s="245"/>
      <c r="AN4023" s="245"/>
      <c r="AO4023" s="238">
        <v>-7.6</v>
      </c>
      <c r="AP4023" s="238">
        <v>0.0</v>
      </c>
      <c r="AQ4023" s="235" t="s">
        <v>632</v>
      </c>
      <c r="AR4023" s="243">
        <v>1.68E11</v>
      </c>
      <c r="AS4023" s="235" t="s">
        <v>28482</v>
      </c>
      <c r="AT4023" s="235" t="s">
        <v>155</v>
      </c>
      <c r="AU4023" s="235" t="s">
        <v>634</v>
      </c>
      <c r="AV4023" s="246" t="s">
        <v>635</v>
      </c>
      <c r="AW4023" s="227"/>
      <c r="AX4023" s="227"/>
      <c r="AY4023" s="227"/>
      <c r="AZ4023" s="227"/>
      <c r="BA4023" s="227"/>
      <c r="BB4023" s="227"/>
      <c r="BC4023" s="227"/>
      <c r="BD4023" s="227"/>
      <c r="BE4023" s="227"/>
      <c r="BF4023" s="227"/>
    </row>
    <row r="4024">
      <c r="A4024" s="235" t="s">
        <v>30034</v>
      </c>
      <c r="C4024" s="235" t="s">
        <v>30035</v>
      </c>
      <c r="D4024" s="235" t="s">
        <v>30036</v>
      </c>
      <c r="E4024" s="243">
        <v>6.51E13</v>
      </c>
      <c r="F4024" s="245"/>
      <c r="G4024" s="235" t="s">
        <v>30037</v>
      </c>
      <c r="H4024" s="235" t="s">
        <v>30038</v>
      </c>
      <c r="I4024" s="235" t="s">
        <v>30039</v>
      </c>
      <c r="J4024" s="235" t="s">
        <v>30040</v>
      </c>
      <c r="K4024" s="235" t="s">
        <v>30041</v>
      </c>
      <c r="N4024" s="235" t="s">
        <v>78</v>
      </c>
      <c r="O4024" s="235" t="s">
        <v>360</v>
      </c>
      <c r="P4024" s="238">
        <v>1.0</v>
      </c>
      <c r="Q4024" s="235" t="s">
        <v>627</v>
      </c>
      <c r="R4024" s="238">
        <v>341.9</v>
      </c>
      <c r="S4024" s="238">
        <v>16.59</v>
      </c>
      <c r="T4024" s="238">
        <v>0.0</v>
      </c>
      <c r="U4024" s="238">
        <v>0.0</v>
      </c>
      <c r="V4024" s="238">
        <v>0.0</v>
      </c>
      <c r="W4024" s="238">
        <v>0.0</v>
      </c>
      <c r="X4024" s="235" t="s">
        <v>628</v>
      </c>
      <c r="Z4024" s="245"/>
      <c r="AA4024" s="245"/>
      <c r="AB4024" s="245"/>
      <c r="AC4024" s="235" t="s">
        <v>844</v>
      </c>
      <c r="AD4024" s="235" t="s">
        <v>845</v>
      </c>
      <c r="AE4024" s="238">
        <v>411032.0</v>
      </c>
      <c r="AF4024" s="235" t="s">
        <v>631</v>
      </c>
      <c r="AG4024" s="245"/>
      <c r="AH4024" s="245"/>
      <c r="AI4024" s="245"/>
      <c r="AJ4024" s="245"/>
      <c r="AK4024" s="245"/>
      <c r="AL4024" s="245"/>
      <c r="AM4024" s="245"/>
      <c r="AN4024" s="245"/>
      <c r="AO4024" s="238">
        <v>-10.26</v>
      </c>
      <c r="AP4024" s="238">
        <v>0.0</v>
      </c>
      <c r="AQ4024" s="235" t="s">
        <v>632</v>
      </c>
      <c r="AR4024" s="243">
        <v>1.68E11</v>
      </c>
      <c r="AS4024" s="235" t="s">
        <v>28482</v>
      </c>
      <c r="AT4024" s="235" t="s">
        <v>16</v>
      </c>
      <c r="AU4024" s="235" t="s">
        <v>634</v>
      </c>
      <c r="AV4024" s="246" t="s">
        <v>635</v>
      </c>
      <c r="AW4024" s="227"/>
      <c r="AX4024" s="227"/>
      <c r="AY4024" s="227"/>
      <c r="AZ4024" s="227"/>
      <c r="BA4024" s="227"/>
      <c r="BB4024" s="227"/>
      <c r="BC4024" s="227"/>
      <c r="BD4024" s="227"/>
      <c r="BE4024" s="227"/>
      <c r="BF4024" s="227"/>
    </row>
    <row r="4025">
      <c r="A4025" s="235" t="s">
        <v>30042</v>
      </c>
      <c r="C4025" s="235" t="s">
        <v>30043</v>
      </c>
      <c r="D4025" s="235" t="s">
        <v>30044</v>
      </c>
      <c r="E4025" s="243">
        <v>6.51E13</v>
      </c>
      <c r="F4025" s="245"/>
      <c r="G4025" s="235" t="s">
        <v>30045</v>
      </c>
      <c r="H4025" s="235" t="s">
        <v>30046</v>
      </c>
      <c r="I4025" s="235" t="s">
        <v>30046</v>
      </c>
      <c r="J4025" s="235" t="s">
        <v>30047</v>
      </c>
      <c r="K4025" s="235" t="s">
        <v>30048</v>
      </c>
      <c r="N4025" s="235" t="s">
        <v>154</v>
      </c>
      <c r="O4025" s="235" t="s">
        <v>766</v>
      </c>
      <c r="P4025" s="238">
        <v>1.0</v>
      </c>
      <c r="Q4025" s="235" t="s">
        <v>627</v>
      </c>
      <c r="R4025" s="238">
        <v>423.8</v>
      </c>
      <c r="S4025" s="238">
        <v>20.56</v>
      </c>
      <c r="T4025" s="238">
        <v>0.0</v>
      </c>
      <c r="U4025" s="238">
        <v>0.0</v>
      </c>
      <c r="V4025" s="238">
        <v>0.0</v>
      </c>
      <c r="W4025" s="238">
        <v>0.0</v>
      </c>
      <c r="X4025" s="235" t="s">
        <v>628</v>
      </c>
      <c r="Z4025" s="245"/>
      <c r="AA4025" s="245"/>
      <c r="AB4025" s="245"/>
      <c r="AC4025" s="235" t="s">
        <v>678</v>
      </c>
      <c r="AD4025" s="235" t="s">
        <v>679</v>
      </c>
      <c r="AE4025" s="238">
        <v>560102.0</v>
      </c>
      <c r="AF4025" s="235" t="s">
        <v>631</v>
      </c>
      <c r="AG4025" s="245"/>
      <c r="AH4025" s="245"/>
      <c r="AI4025" s="245"/>
      <c r="AJ4025" s="245"/>
      <c r="AK4025" s="245"/>
      <c r="AL4025" s="245"/>
      <c r="AM4025" s="245"/>
      <c r="AN4025" s="245"/>
      <c r="AO4025" s="238">
        <v>-12.71</v>
      </c>
      <c r="AP4025" s="238">
        <v>0.0</v>
      </c>
      <c r="AQ4025" s="235" t="s">
        <v>632</v>
      </c>
      <c r="AR4025" s="243">
        <v>1.68E11</v>
      </c>
      <c r="AS4025" s="235" t="s">
        <v>29883</v>
      </c>
      <c r="AT4025" s="235" t="s">
        <v>11</v>
      </c>
      <c r="AU4025" s="235" t="s">
        <v>634</v>
      </c>
      <c r="AV4025" s="246" t="s">
        <v>635</v>
      </c>
      <c r="AW4025" s="227"/>
      <c r="AX4025" s="227"/>
      <c r="AY4025" s="227"/>
      <c r="AZ4025" s="227"/>
      <c r="BA4025" s="227"/>
      <c r="BB4025" s="227"/>
      <c r="BC4025" s="227"/>
      <c r="BD4025" s="227"/>
      <c r="BE4025" s="227"/>
      <c r="BF4025" s="227"/>
    </row>
    <row r="4026">
      <c r="A4026" s="235" t="s">
        <v>30049</v>
      </c>
      <c r="C4026" s="235" t="s">
        <v>30050</v>
      </c>
      <c r="D4026" s="235" t="s">
        <v>30051</v>
      </c>
      <c r="E4026" s="243">
        <v>6.51E13</v>
      </c>
      <c r="F4026" s="245"/>
      <c r="G4026" s="235" t="s">
        <v>30052</v>
      </c>
      <c r="H4026" s="235" t="s">
        <v>30053</v>
      </c>
      <c r="I4026" s="235" t="s">
        <v>30054</v>
      </c>
      <c r="J4026" s="235" t="s">
        <v>30055</v>
      </c>
      <c r="K4026" s="235" t="s">
        <v>30056</v>
      </c>
      <c r="N4026" s="235" t="s">
        <v>962</v>
      </c>
      <c r="O4026" s="235" t="s">
        <v>963</v>
      </c>
      <c r="P4026" s="238">
        <v>1.0</v>
      </c>
      <c r="Q4026" s="235" t="s">
        <v>627</v>
      </c>
      <c r="R4026" s="238">
        <v>237.14</v>
      </c>
      <c r="S4026" s="238">
        <v>11.5</v>
      </c>
      <c r="T4026" s="238">
        <v>0.0</v>
      </c>
      <c r="U4026" s="238">
        <v>0.0</v>
      </c>
      <c r="V4026" s="238">
        <v>0.0</v>
      </c>
      <c r="W4026" s="238">
        <v>0.0</v>
      </c>
      <c r="X4026" s="235" t="s">
        <v>628</v>
      </c>
      <c r="Z4026" s="245"/>
      <c r="AA4026" s="245"/>
      <c r="AB4026" s="245"/>
      <c r="AC4026" s="235" t="s">
        <v>678</v>
      </c>
      <c r="AD4026" s="235" t="s">
        <v>679</v>
      </c>
      <c r="AE4026" s="238">
        <v>560076.0</v>
      </c>
      <c r="AF4026" s="235" t="s">
        <v>631</v>
      </c>
      <c r="AG4026" s="245"/>
      <c r="AH4026" s="245"/>
      <c r="AI4026" s="245"/>
      <c r="AJ4026" s="245"/>
      <c r="AK4026" s="245"/>
      <c r="AL4026" s="245"/>
      <c r="AM4026" s="245"/>
      <c r="AN4026" s="245"/>
      <c r="AO4026" s="238">
        <v>-7.11</v>
      </c>
      <c r="AP4026" s="238">
        <v>0.0</v>
      </c>
      <c r="AQ4026" s="235" t="s">
        <v>632</v>
      </c>
      <c r="AR4026" s="243">
        <v>1.68E11</v>
      </c>
      <c r="AS4026" s="235" t="s">
        <v>29883</v>
      </c>
      <c r="AT4026" s="235" t="s">
        <v>11</v>
      </c>
      <c r="AU4026" s="235" t="s">
        <v>634</v>
      </c>
      <c r="AV4026" s="246" t="s">
        <v>635</v>
      </c>
      <c r="AW4026" s="227"/>
      <c r="AX4026" s="227"/>
      <c r="AY4026" s="227"/>
      <c r="AZ4026" s="227"/>
      <c r="BA4026" s="227"/>
      <c r="BB4026" s="227"/>
      <c r="BC4026" s="227"/>
      <c r="BD4026" s="227"/>
      <c r="BE4026" s="227"/>
      <c r="BF4026" s="227"/>
    </row>
    <row r="4027">
      <c r="A4027" s="235" t="s">
        <v>30049</v>
      </c>
      <c r="C4027" s="235" t="s">
        <v>30050</v>
      </c>
      <c r="D4027" s="235" t="s">
        <v>30057</v>
      </c>
      <c r="E4027" s="243">
        <v>6.51E13</v>
      </c>
      <c r="F4027" s="245"/>
      <c r="G4027" s="235" t="s">
        <v>30052</v>
      </c>
      <c r="H4027" s="235" t="s">
        <v>30053</v>
      </c>
      <c r="I4027" s="235" t="s">
        <v>30054</v>
      </c>
      <c r="J4027" s="235" t="s">
        <v>30055</v>
      </c>
      <c r="K4027" s="235" t="s">
        <v>30056</v>
      </c>
      <c r="N4027" s="235" t="s">
        <v>962</v>
      </c>
      <c r="O4027" s="235" t="s">
        <v>963</v>
      </c>
      <c r="P4027" s="238">
        <v>1.0</v>
      </c>
      <c r="Q4027" s="235" t="s">
        <v>627</v>
      </c>
      <c r="R4027" s="238">
        <v>237.14</v>
      </c>
      <c r="S4027" s="238">
        <v>11.5</v>
      </c>
      <c r="T4027" s="238">
        <v>0.0</v>
      </c>
      <c r="U4027" s="238">
        <v>0.0</v>
      </c>
      <c r="V4027" s="238">
        <v>0.0</v>
      </c>
      <c r="W4027" s="238">
        <v>0.0</v>
      </c>
      <c r="X4027" s="235" t="s">
        <v>628</v>
      </c>
      <c r="Z4027" s="245"/>
      <c r="AA4027" s="245"/>
      <c r="AB4027" s="245"/>
      <c r="AC4027" s="235" t="s">
        <v>678</v>
      </c>
      <c r="AD4027" s="235" t="s">
        <v>679</v>
      </c>
      <c r="AE4027" s="238">
        <v>560076.0</v>
      </c>
      <c r="AF4027" s="235" t="s">
        <v>631</v>
      </c>
      <c r="AG4027" s="245"/>
      <c r="AH4027" s="245"/>
      <c r="AI4027" s="245"/>
      <c r="AJ4027" s="245"/>
      <c r="AK4027" s="245"/>
      <c r="AL4027" s="245"/>
      <c r="AM4027" s="245"/>
      <c r="AN4027" s="245"/>
      <c r="AO4027" s="238">
        <v>-7.11</v>
      </c>
      <c r="AP4027" s="238">
        <v>0.0</v>
      </c>
      <c r="AQ4027" s="235" t="s">
        <v>632</v>
      </c>
      <c r="AR4027" s="243">
        <v>1.68E11</v>
      </c>
      <c r="AS4027" s="235" t="s">
        <v>29883</v>
      </c>
      <c r="AT4027" s="235" t="s">
        <v>11</v>
      </c>
      <c r="AU4027" s="235" t="s">
        <v>634</v>
      </c>
      <c r="AV4027" s="246" t="s">
        <v>635</v>
      </c>
      <c r="AW4027" s="227"/>
      <c r="AX4027" s="227"/>
      <c r="AY4027" s="227"/>
      <c r="AZ4027" s="227"/>
      <c r="BA4027" s="227"/>
      <c r="BB4027" s="227"/>
      <c r="BC4027" s="227"/>
      <c r="BD4027" s="227"/>
      <c r="BE4027" s="227"/>
      <c r="BF4027" s="227"/>
    </row>
    <row r="4028">
      <c r="A4028" s="235" t="s">
        <v>30058</v>
      </c>
      <c r="C4028" s="235" t="s">
        <v>30059</v>
      </c>
      <c r="D4028" s="235" t="s">
        <v>30060</v>
      </c>
      <c r="E4028" s="243">
        <v>6.51E13</v>
      </c>
      <c r="F4028" s="245"/>
      <c r="G4028" s="235" t="s">
        <v>30061</v>
      </c>
      <c r="H4028" s="235" t="s">
        <v>30062</v>
      </c>
      <c r="I4028" s="235" t="s">
        <v>30063</v>
      </c>
      <c r="J4028" s="235" t="s">
        <v>30064</v>
      </c>
      <c r="K4028" s="235" t="s">
        <v>30065</v>
      </c>
      <c r="N4028" s="235" t="s">
        <v>117</v>
      </c>
      <c r="O4028" s="235" t="s">
        <v>334</v>
      </c>
      <c r="P4028" s="238">
        <v>1.0</v>
      </c>
      <c r="Q4028" s="235" t="s">
        <v>627</v>
      </c>
      <c r="R4028" s="238">
        <v>233.33</v>
      </c>
      <c r="S4028" s="238">
        <v>11.32</v>
      </c>
      <c r="T4028" s="238">
        <v>0.0</v>
      </c>
      <c r="U4028" s="238">
        <v>0.0</v>
      </c>
      <c r="V4028" s="238">
        <v>0.0</v>
      </c>
      <c r="W4028" s="238">
        <v>0.0</v>
      </c>
      <c r="X4028" s="235" t="s">
        <v>628</v>
      </c>
      <c r="Z4028" s="245"/>
      <c r="AA4028" s="245"/>
      <c r="AB4028" s="245"/>
      <c r="AC4028" s="235" t="s">
        <v>30066</v>
      </c>
      <c r="AD4028" s="235" t="s">
        <v>645</v>
      </c>
      <c r="AE4028" s="238">
        <v>688541.0</v>
      </c>
      <c r="AF4028" s="235" t="s">
        <v>631</v>
      </c>
      <c r="AG4028" s="245"/>
      <c r="AH4028" s="245"/>
      <c r="AI4028" s="245"/>
      <c r="AJ4028" s="245"/>
      <c r="AK4028" s="245"/>
      <c r="AL4028" s="245"/>
      <c r="AM4028" s="245"/>
      <c r="AN4028" s="245"/>
      <c r="AO4028" s="238">
        <v>-7.0</v>
      </c>
      <c r="AP4028" s="238">
        <v>0.0</v>
      </c>
      <c r="AQ4028" s="235" t="s">
        <v>632</v>
      </c>
      <c r="AR4028" s="243">
        <v>3.71E11</v>
      </c>
      <c r="AS4028" s="235" t="s">
        <v>28482</v>
      </c>
      <c r="AT4028" s="235" t="s">
        <v>155</v>
      </c>
      <c r="AU4028" s="235" t="s">
        <v>634</v>
      </c>
      <c r="AV4028" s="246" t="s">
        <v>635</v>
      </c>
      <c r="AW4028" s="227"/>
      <c r="AX4028" s="227"/>
      <c r="AY4028" s="227"/>
      <c r="AZ4028" s="227"/>
      <c r="BA4028" s="227"/>
      <c r="BB4028" s="227"/>
      <c r="BC4028" s="227"/>
      <c r="BD4028" s="227"/>
      <c r="BE4028" s="227"/>
      <c r="BF4028" s="227"/>
    </row>
    <row r="4029">
      <c r="A4029" s="235" t="s">
        <v>30067</v>
      </c>
      <c r="C4029" s="235" t="s">
        <v>30068</v>
      </c>
      <c r="D4029" s="235" t="s">
        <v>30069</v>
      </c>
      <c r="E4029" s="243">
        <v>6.51E13</v>
      </c>
      <c r="F4029" s="245"/>
      <c r="G4029" s="235" t="s">
        <v>30070</v>
      </c>
      <c r="H4029" s="235" t="s">
        <v>30071</v>
      </c>
      <c r="I4029" s="235" t="s">
        <v>30071</v>
      </c>
      <c r="J4029" s="235" t="s">
        <v>30072</v>
      </c>
      <c r="K4029" s="235" t="s">
        <v>30073</v>
      </c>
      <c r="N4029" s="235" t="s">
        <v>50</v>
      </c>
      <c r="O4029" s="235" t="s">
        <v>367</v>
      </c>
      <c r="P4029" s="238">
        <v>1.0</v>
      </c>
      <c r="Q4029" s="235" t="s">
        <v>627</v>
      </c>
      <c r="R4029" s="238">
        <v>270.48</v>
      </c>
      <c r="S4029" s="238">
        <v>13.11</v>
      </c>
      <c r="T4029" s="238">
        <v>0.0</v>
      </c>
      <c r="U4029" s="238">
        <v>0.0</v>
      </c>
      <c r="V4029" s="238">
        <v>0.0</v>
      </c>
      <c r="W4029" s="238">
        <v>0.0</v>
      </c>
      <c r="X4029" s="235" t="s">
        <v>628</v>
      </c>
      <c r="Z4029" s="245"/>
      <c r="AA4029" s="245"/>
      <c r="AB4029" s="245"/>
      <c r="AC4029" s="235" t="s">
        <v>6896</v>
      </c>
      <c r="AD4029" s="235" t="s">
        <v>833</v>
      </c>
      <c r="AE4029" s="238">
        <v>533001.0</v>
      </c>
      <c r="AF4029" s="235" t="s">
        <v>631</v>
      </c>
      <c r="AG4029" s="245"/>
      <c r="AH4029" s="245"/>
      <c r="AI4029" s="245"/>
      <c r="AJ4029" s="245"/>
      <c r="AK4029" s="245"/>
      <c r="AL4029" s="245"/>
      <c r="AM4029" s="245"/>
      <c r="AN4029" s="245"/>
      <c r="AO4029" s="238">
        <v>-8.11</v>
      </c>
      <c r="AP4029" s="238">
        <v>0.0</v>
      </c>
      <c r="AQ4029" s="235" t="s">
        <v>2581</v>
      </c>
      <c r="AR4029" s="235" t="s">
        <v>30074</v>
      </c>
      <c r="AS4029" s="235" t="s">
        <v>20529</v>
      </c>
      <c r="AT4029" s="235" t="s">
        <v>16</v>
      </c>
      <c r="AU4029" s="235" t="s">
        <v>634</v>
      </c>
      <c r="AV4029" s="246" t="s">
        <v>635</v>
      </c>
      <c r="AW4029" s="227"/>
      <c r="AX4029" s="227"/>
      <c r="AY4029" s="227"/>
      <c r="AZ4029" s="227"/>
      <c r="BA4029" s="227"/>
      <c r="BB4029" s="227"/>
      <c r="BC4029" s="227"/>
      <c r="BD4029" s="227"/>
      <c r="BE4029" s="227"/>
      <c r="BF4029" s="227"/>
    </row>
    <row r="4030">
      <c r="A4030" s="235" t="s">
        <v>30075</v>
      </c>
      <c r="C4030" s="235" t="s">
        <v>30076</v>
      </c>
      <c r="D4030" s="235" t="s">
        <v>30077</v>
      </c>
      <c r="E4030" s="243">
        <v>6.51E13</v>
      </c>
      <c r="F4030" s="245"/>
      <c r="G4030" s="235" t="s">
        <v>30078</v>
      </c>
      <c r="H4030" s="235" t="s">
        <v>30079</v>
      </c>
      <c r="I4030" s="235" t="s">
        <v>30079</v>
      </c>
      <c r="J4030" s="235" t="s">
        <v>30080</v>
      </c>
      <c r="K4030" s="235" t="s">
        <v>30081</v>
      </c>
      <c r="N4030" s="235" t="s">
        <v>144</v>
      </c>
      <c r="O4030" s="235" t="s">
        <v>232</v>
      </c>
      <c r="P4030" s="238">
        <v>1.0</v>
      </c>
      <c r="Q4030" s="235" t="s">
        <v>627</v>
      </c>
      <c r="R4030" s="238">
        <v>626.66</v>
      </c>
      <c r="S4030" s="238">
        <v>30.4</v>
      </c>
      <c r="T4030" s="238">
        <v>0.0</v>
      </c>
      <c r="U4030" s="238">
        <v>0.0</v>
      </c>
      <c r="V4030" s="238">
        <v>0.0</v>
      </c>
      <c r="W4030" s="238">
        <v>0.0</v>
      </c>
      <c r="X4030" s="235" t="s">
        <v>628</v>
      </c>
      <c r="Z4030" s="245"/>
      <c r="AA4030" s="245"/>
      <c r="AB4030" s="245"/>
      <c r="AC4030" s="235" t="s">
        <v>678</v>
      </c>
      <c r="AD4030" s="235" t="s">
        <v>679</v>
      </c>
      <c r="AE4030" s="238">
        <v>560076.0</v>
      </c>
      <c r="AF4030" s="235" t="s">
        <v>631</v>
      </c>
      <c r="AG4030" s="245"/>
      <c r="AH4030" s="245"/>
      <c r="AI4030" s="245"/>
      <c r="AJ4030" s="245"/>
      <c r="AK4030" s="245"/>
      <c r="AL4030" s="245"/>
      <c r="AM4030" s="245"/>
      <c r="AN4030" s="245"/>
      <c r="AO4030" s="238">
        <v>-18.8</v>
      </c>
      <c r="AP4030" s="238">
        <v>0.0</v>
      </c>
      <c r="AQ4030" s="235" t="s">
        <v>632</v>
      </c>
      <c r="AR4030" s="243">
        <v>1.68E11</v>
      </c>
      <c r="AS4030" s="235" t="s">
        <v>29883</v>
      </c>
      <c r="AT4030" s="235" t="s">
        <v>11</v>
      </c>
      <c r="AU4030" s="235" t="s">
        <v>634</v>
      </c>
      <c r="AV4030" s="246" t="s">
        <v>635</v>
      </c>
      <c r="AW4030" s="227"/>
      <c r="AX4030" s="227"/>
      <c r="AY4030" s="227"/>
      <c r="AZ4030" s="227"/>
      <c r="BA4030" s="227"/>
      <c r="BB4030" s="227"/>
      <c r="BC4030" s="227"/>
      <c r="BD4030" s="227"/>
      <c r="BE4030" s="227"/>
      <c r="BF4030" s="227"/>
    </row>
    <row r="4031">
      <c r="A4031" s="235" t="s">
        <v>30082</v>
      </c>
      <c r="C4031" s="235" t="s">
        <v>30083</v>
      </c>
      <c r="D4031" s="235" t="s">
        <v>30084</v>
      </c>
      <c r="E4031" s="243">
        <v>6.51E13</v>
      </c>
      <c r="F4031" s="245"/>
      <c r="G4031" s="235" t="s">
        <v>30085</v>
      </c>
      <c r="H4031" s="235" t="s">
        <v>30086</v>
      </c>
      <c r="I4031" s="235" t="s">
        <v>30087</v>
      </c>
      <c r="J4031" s="235" t="s">
        <v>30088</v>
      </c>
      <c r="K4031" s="235" t="s">
        <v>30089</v>
      </c>
      <c r="N4031" s="235" t="s">
        <v>138</v>
      </c>
      <c r="O4031" s="235" t="s">
        <v>675</v>
      </c>
      <c r="P4031" s="238">
        <v>1.0</v>
      </c>
      <c r="Q4031" s="235" t="s">
        <v>627</v>
      </c>
      <c r="R4031" s="238">
        <v>233.33</v>
      </c>
      <c r="S4031" s="238">
        <v>11.44</v>
      </c>
      <c r="T4031" s="238">
        <v>0.0</v>
      </c>
      <c r="U4031" s="238">
        <v>0.0</v>
      </c>
      <c r="V4031" s="238">
        <v>0.0</v>
      </c>
      <c r="W4031" s="238">
        <v>0.0</v>
      </c>
      <c r="X4031" s="235" t="s">
        <v>628</v>
      </c>
      <c r="Z4031" s="245"/>
      <c r="AA4031" s="245"/>
      <c r="AB4031" s="245"/>
      <c r="AC4031" s="235" t="s">
        <v>30090</v>
      </c>
      <c r="AD4031" s="235" t="s">
        <v>881</v>
      </c>
      <c r="AE4031" s="238">
        <v>768201.0</v>
      </c>
      <c r="AF4031" s="235" t="s">
        <v>631</v>
      </c>
      <c r="AG4031" s="245"/>
      <c r="AH4031" s="245"/>
      <c r="AI4031" s="245"/>
      <c r="AJ4031" s="245"/>
      <c r="AK4031" s="245"/>
      <c r="AL4031" s="245"/>
      <c r="AM4031" s="245"/>
      <c r="AN4031" s="245"/>
      <c r="AO4031" s="238">
        <v>-4.67</v>
      </c>
      <c r="AP4031" s="238">
        <v>0.0</v>
      </c>
      <c r="AQ4031" s="235" t="s">
        <v>632</v>
      </c>
      <c r="AR4031" s="243">
        <v>3.71E11</v>
      </c>
      <c r="AS4031" s="235" t="s">
        <v>23542</v>
      </c>
      <c r="AT4031" s="235" t="s">
        <v>11</v>
      </c>
      <c r="AU4031" s="235" t="s">
        <v>634</v>
      </c>
      <c r="AV4031" s="246" t="s">
        <v>635</v>
      </c>
      <c r="AW4031" s="227"/>
      <c r="AX4031" s="227"/>
      <c r="AY4031" s="227"/>
      <c r="AZ4031" s="227"/>
      <c r="BA4031" s="227"/>
      <c r="BB4031" s="227"/>
      <c r="BC4031" s="227"/>
      <c r="BD4031" s="227"/>
      <c r="BE4031" s="227"/>
      <c r="BF4031" s="227"/>
    </row>
    <row r="4032">
      <c r="A4032" s="235" t="s">
        <v>30091</v>
      </c>
      <c r="C4032" s="235" t="s">
        <v>30092</v>
      </c>
      <c r="D4032" s="235" t="s">
        <v>30093</v>
      </c>
      <c r="E4032" s="243">
        <v>6.51E13</v>
      </c>
      <c r="F4032" s="245"/>
      <c r="G4032" s="235" t="s">
        <v>30094</v>
      </c>
      <c r="H4032" s="235" t="s">
        <v>30095</v>
      </c>
      <c r="I4032" s="235" t="s">
        <v>30095</v>
      </c>
      <c r="J4032" s="235" t="s">
        <v>30096</v>
      </c>
      <c r="K4032" s="235" t="s">
        <v>30097</v>
      </c>
      <c r="N4032" s="235" t="s">
        <v>42</v>
      </c>
      <c r="O4032" s="235" t="s">
        <v>204</v>
      </c>
      <c r="P4032" s="238">
        <v>1.0</v>
      </c>
      <c r="Q4032" s="235" t="s">
        <v>627</v>
      </c>
      <c r="R4032" s="238">
        <v>236.2</v>
      </c>
      <c r="S4032" s="238">
        <v>11.45</v>
      </c>
      <c r="T4032" s="238">
        <v>0.0</v>
      </c>
      <c r="U4032" s="238">
        <v>0.0</v>
      </c>
      <c r="V4032" s="238">
        <v>0.0</v>
      </c>
      <c r="W4032" s="238">
        <v>0.0</v>
      </c>
      <c r="X4032" s="235" t="s">
        <v>628</v>
      </c>
      <c r="Z4032" s="245"/>
      <c r="AA4032" s="245"/>
      <c r="AB4032" s="245"/>
      <c r="AC4032" s="235" t="s">
        <v>678</v>
      </c>
      <c r="AD4032" s="235" t="s">
        <v>679</v>
      </c>
      <c r="AE4032" s="238">
        <v>560068.0</v>
      </c>
      <c r="AF4032" s="235" t="s">
        <v>631</v>
      </c>
      <c r="AG4032" s="245"/>
      <c r="AH4032" s="245"/>
      <c r="AI4032" s="245"/>
      <c r="AJ4032" s="245"/>
      <c r="AK4032" s="245"/>
      <c r="AL4032" s="245"/>
      <c r="AM4032" s="245"/>
      <c r="AN4032" s="245"/>
      <c r="AO4032" s="238">
        <v>-7.09</v>
      </c>
      <c r="AP4032" s="238">
        <v>0.0</v>
      </c>
      <c r="AQ4032" s="235" t="s">
        <v>632</v>
      </c>
      <c r="AR4032" s="243">
        <v>1.68E11</v>
      </c>
      <c r="AS4032" s="235" t="s">
        <v>29883</v>
      </c>
      <c r="AT4032" s="235" t="s">
        <v>11</v>
      </c>
      <c r="AU4032" s="235" t="s">
        <v>634</v>
      </c>
      <c r="AV4032" s="246" t="s">
        <v>635</v>
      </c>
      <c r="AW4032" s="227"/>
      <c r="AX4032" s="227"/>
      <c r="AY4032" s="227"/>
      <c r="AZ4032" s="227"/>
      <c r="BA4032" s="227"/>
      <c r="BB4032" s="227"/>
      <c r="BC4032" s="227"/>
      <c r="BD4032" s="227"/>
      <c r="BE4032" s="227"/>
      <c r="BF4032" s="227"/>
    </row>
    <row r="4033">
      <c r="A4033" s="235" t="s">
        <v>30098</v>
      </c>
      <c r="C4033" s="235" t="s">
        <v>30099</v>
      </c>
      <c r="D4033" s="235" t="s">
        <v>30100</v>
      </c>
      <c r="E4033" s="243">
        <v>6.51E13</v>
      </c>
      <c r="F4033" s="245"/>
      <c r="G4033" s="235" t="s">
        <v>30101</v>
      </c>
      <c r="H4033" s="235" t="s">
        <v>30102</v>
      </c>
      <c r="I4033" s="235" t="s">
        <v>30102</v>
      </c>
      <c r="J4033" s="235" t="s">
        <v>30103</v>
      </c>
      <c r="K4033" s="235" t="s">
        <v>30104</v>
      </c>
      <c r="N4033" s="235" t="s">
        <v>53</v>
      </c>
      <c r="O4033" s="235" t="s">
        <v>512</v>
      </c>
      <c r="P4033" s="238">
        <v>1.0</v>
      </c>
      <c r="Q4033" s="235" t="s">
        <v>627</v>
      </c>
      <c r="R4033" s="238">
        <v>233.33</v>
      </c>
      <c r="S4033" s="238">
        <v>11.67</v>
      </c>
      <c r="T4033" s="238">
        <v>0.0</v>
      </c>
      <c r="U4033" s="238">
        <v>0.0</v>
      </c>
      <c r="V4033" s="238">
        <v>0.0</v>
      </c>
      <c r="W4033" s="238">
        <v>0.0</v>
      </c>
      <c r="X4033" s="235" t="s">
        <v>628</v>
      </c>
      <c r="Z4033" s="245"/>
      <c r="AA4033" s="245"/>
      <c r="AB4033" s="245"/>
      <c r="AC4033" s="235" t="s">
        <v>795</v>
      </c>
      <c r="AD4033" s="235" t="s">
        <v>796</v>
      </c>
      <c r="AE4033" s="238">
        <v>110023.0</v>
      </c>
      <c r="AF4033" s="235" t="s">
        <v>631</v>
      </c>
      <c r="AG4033" s="245"/>
      <c r="AH4033" s="245"/>
      <c r="AI4033" s="245"/>
      <c r="AJ4033" s="245"/>
      <c r="AK4033" s="245"/>
      <c r="AL4033" s="245"/>
      <c r="AM4033" s="245"/>
      <c r="AN4033" s="245"/>
      <c r="AO4033" s="238">
        <v>0.0</v>
      </c>
      <c r="AP4033" s="238">
        <v>0.0</v>
      </c>
      <c r="AQ4033" s="235" t="s">
        <v>632</v>
      </c>
      <c r="AR4033" s="243">
        <v>1.68E11</v>
      </c>
      <c r="AS4033" s="235" t="s">
        <v>29883</v>
      </c>
      <c r="AT4033" s="235" t="s">
        <v>14</v>
      </c>
      <c r="AU4033" s="235" t="s">
        <v>634</v>
      </c>
      <c r="AV4033" s="246" t="s">
        <v>635</v>
      </c>
      <c r="AW4033" s="227"/>
      <c r="AX4033" s="227"/>
      <c r="AY4033" s="227"/>
      <c r="AZ4033" s="227"/>
      <c r="BA4033" s="227"/>
      <c r="BB4033" s="227"/>
      <c r="BC4033" s="227"/>
      <c r="BD4033" s="227"/>
      <c r="BE4033" s="227"/>
      <c r="BF4033" s="227"/>
    </row>
    <row r="4034">
      <c r="A4034" s="235" t="s">
        <v>30105</v>
      </c>
      <c r="C4034" s="235" t="s">
        <v>30106</v>
      </c>
      <c r="D4034" s="235" t="s">
        <v>30107</v>
      </c>
      <c r="E4034" s="243">
        <v>6.51E13</v>
      </c>
      <c r="F4034" s="245"/>
      <c r="G4034" s="235" t="s">
        <v>30108</v>
      </c>
      <c r="H4034" s="235" t="s">
        <v>30109</v>
      </c>
      <c r="I4034" s="235" t="s">
        <v>30109</v>
      </c>
      <c r="J4034" s="235" t="s">
        <v>30110</v>
      </c>
      <c r="K4034" s="235" t="s">
        <v>30111</v>
      </c>
      <c r="N4034" s="235" t="s">
        <v>127</v>
      </c>
      <c r="O4034" s="235" t="s">
        <v>794</v>
      </c>
      <c r="P4034" s="238">
        <v>1.0</v>
      </c>
      <c r="Q4034" s="235" t="s">
        <v>627</v>
      </c>
      <c r="R4034" s="238">
        <v>236.19</v>
      </c>
      <c r="S4034" s="238">
        <v>11.81</v>
      </c>
      <c r="T4034" s="238">
        <v>0.0</v>
      </c>
      <c r="U4034" s="238">
        <v>0.0</v>
      </c>
      <c r="V4034" s="238">
        <v>0.0</v>
      </c>
      <c r="W4034" s="238">
        <v>0.0</v>
      </c>
      <c r="X4034" s="235" t="s">
        <v>628</v>
      </c>
      <c r="Z4034" s="245"/>
      <c r="AA4034" s="245"/>
      <c r="AB4034" s="245"/>
      <c r="AC4034" s="235" t="s">
        <v>30112</v>
      </c>
      <c r="AD4034" s="235" t="s">
        <v>917</v>
      </c>
      <c r="AE4034" s="238">
        <v>344022.0</v>
      </c>
      <c r="AF4034" s="235" t="s">
        <v>631</v>
      </c>
      <c r="AG4034" s="245"/>
      <c r="AH4034" s="245"/>
      <c r="AI4034" s="245"/>
      <c r="AJ4034" s="245"/>
      <c r="AK4034" s="245"/>
      <c r="AL4034" s="245"/>
      <c r="AM4034" s="245"/>
      <c r="AN4034" s="245"/>
      <c r="AO4034" s="238">
        <v>0.0</v>
      </c>
      <c r="AP4034" s="238">
        <v>0.0</v>
      </c>
      <c r="AQ4034" s="235" t="s">
        <v>632</v>
      </c>
      <c r="AR4034" s="243">
        <v>3.71E11</v>
      </c>
      <c r="AS4034" s="235" t="s">
        <v>26892</v>
      </c>
      <c r="AT4034" s="235" t="s">
        <v>5</v>
      </c>
      <c r="AU4034" s="235" t="s">
        <v>634</v>
      </c>
      <c r="AV4034" s="246" t="s">
        <v>635</v>
      </c>
      <c r="AW4034" s="227"/>
      <c r="AX4034" s="227"/>
      <c r="AY4034" s="227"/>
      <c r="AZ4034" s="227"/>
      <c r="BA4034" s="227"/>
      <c r="BB4034" s="227"/>
      <c r="BC4034" s="227"/>
      <c r="BD4034" s="227"/>
      <c r="BE4034" s="227"/>
      <c r="BF4034" s="227"/>
    </row>
    <row r="4035">
      <c r="A4035" s="235" t="s">
        <v>30113</v>
      </c>
      <c r="C4035" s="235" t="s">
        <v>30114</v>
      </c>
      <c r="D4035" s="235" t="s">
        <v>30115</v>
      </c>
      <c r="E4035" s="243">
        <v>6.51E13</v>
      </c>
      <c r="F4035" s="245"/>
      <c r="G4035" s="235" t="s">
        <v>30116</v>
      </c>
      <c r="H4035" s="235" t="s">
        <v>30117</v>
      </c>
      <c r="I4035" s="235" t="s">
        <v>30117</v>
      </c>
      <c r="J4035" s="235" t="s">
        <v>30118</v>
      </c>
      <c r="K4035" s="235" t="s">
        <v>30119</v>
      </c>
      <c r="N4035" s="235" t="s">
        <v>962</v>
      </c>
      <c r="O4035" s="235" t="s">
        <v>963</v>
      </c>
      <c r="P4035" s="238">
        <v>1.0</v>
      </c>
      <c r="Q4035" s="235" t="s">
        <v>627</v>
      </c>
      <c r="R4035" s="238">
        <v>237.14</v>
      </c>
      <c r="S4035" s="238">
        <v>11.86</v>
      </c>
      <c r="T4035" s="238">
        <v>0.0</v>
      </c>
      <c r="U4035" s="238">
        <v>0.0</v>
      </c>
      <c r="V4035" s="238">
        <v>0.0</v>
      </c>
      <c r="W4035" s="238">
        <v>0.0</v>
      </c>
      <c r="X4035" s="235" t="s">
        <v>628</v>
      </c>
      <c r="Z4035" s="245"/>
      <c r="AA4035" s="245"/>
      <c r="AB4035" s="245"/>
      <c r="AC4035" s="235" t="s">
        <v>1206</v>
      </c>
      <c r="AD4035" s="235" t="s">
        <v>679</v>
      </c>
      <c r="AE4035" s="238">
        <v>560036.0</v>
      </c>
      <c r="AF4035" s="235" t="s">
        <v>631</v>
      </c>
      <c r="AG4035" s="245"/>
      <c r="AH4035" s="245"/>
      <c r="AI4035" s="245"/>
      <c r="AJ4035" s="245"/>
      <c r="AK4035" s="245"/>
      <c r="AL4035" s="245"/>
      <c r="AM4035" s="245"/>
      <c r="AN4035" s="245"/>
      <c r="AO4035" s="238">
        <v>0.0</v>
      </c>
      <c r="AP4035" s="238">
        <v>0.0</v>
      </c>
      <c r="AQ4035" s="235" t="s">
        <v>632</v>
      </c>
      <c r="AR4035" s="243">
        <v>3.71E11</v>
      </c>
      <c r="AS4035" s="235" t="s">
        <v>28482</v>
      </c>
      <c r="AT4035" s="235" t="s">
        <v>11</v>
      </c>
      <c r="AU4035" s="235" t="s">
        <v>634</v>
      </c>
      <c r="AV4035" s="246" t="s">
        <v>635</v>
      </c>
      <c r="AW4035" s="227"/>
      <c r="AX4035" s="227"/>
      <c r="AY4035" s="227"/>
      <c r="AZ4035" s="227"/>
      <c r="BA4035" s="227"/>
      <c r="BB4035" s="227"/>
      <c r="BC4035" s="227"/>
      <c r="BD4035" s="227"/>
      <c r="BE4035" s="227"/>
      <c r="BF4035" s="227"/>
    </row>
    <row r="4036">
      <c r="A4036" s="235" t="s">
        <v>30120</v>
      </c>
      <c r="C4036" s="235" t="s">
        <v>30121</v>
      </c>
      <c r="D4036" s="235" t="s">
        <v>30122</v>
      </c>
      <c r="E4036" s="243">
        <v>6.51E13</v>
      </c>
      <c r="F4036" s="245"/>
      <c r="G4036" s="235" t="s">
        <v>30123</v>
      </c>
      <c r="H4036" s="235" t="s">
        <v>30124</v>
      </c>
      <c r="I4036" s="235" t="s">
        <v>30124</v>
      </c>
      <c r="J4036" s="235" t="s">
        <v>30125</v>
      </c>
      <c r="K4036" s="235" t="s">
        <v>30126</v>
      </c>
      <c r="N4036" s="235" t="s">
        <v>117</v>
      </c>
      <c r="O4036" s="235" t="s">
        <v>334</v>
      </c>
      <c r="P4036" s="238">
        <v>1.0</v>
      </c>
      <c r="Q4036" s="235" t="s">
        <v>627</v>
      </c>
      <c r="R4036" s="238">
        <v>233.33</v>
      </c>
      <c r="S4036" s="238">
        <v>11.67</v>
      </c>
      <c r="T4036" s="238">
        <v>0.0</v>
      </c>
      <c r="U4036" s="238">
        <v>0.0</v>
      </c>
      <c r="V4036" s="238">
        <v>0.0</v>
      </c>
      <c r="W4036" s="238">
        <v>0.0</v>
      </c>
      <c r="X4036" s="235" t="s">
        <v>628</v>
      </c>
      <c r="Z4036" s="245"/>
      <c r="AA4036" s="245"/>
      <c r="AB4036" s="245"/>
      <c r="AC4036" s="235" t="s">
        <v>30127</v>
      </c>
      <c r="AD4036" s="235" t="s">
        <v>645</v>
      </c>
      <c r="AE4036" s="238">
        <v>685561.0</v>
      </c>
      <c r="AF4036" s="235" t="s">
        <v>631</v>
      </c>
      <c r="AG4036" s="245"/>
      <c r="AH4036" s="245"/>
      <c r="AI4036" s="245"/>
      <c r="AJ4036" s="245"/>
      <c r="AK4036" s="245"/>
      <c r="AL4036" s="245"/>
      <c r="AM4036" s="245"/>
      <c r="AN4036" s="245"/>
      <c r="AO4036" s="238">
        <v>0.0</v>
      </c>
      <c r="AP4036" s="238">
        <v>0.0</v>
      </c>
      <c r="AQ4036" s="235" t="s">
        <v>632</v>
      </c>
      <c r="AR4036" s="243">
        <v>3.71E11</v>
      </c>
      <c r="AS4036" s="235" t="s">
        <v>26892</v>
      </c>
      <c r="AT4036" s="235" t="s">
        <v>155</v>
      </c>
      <c r="AU4036" s="235" t="s">
        <v>634</v>
      </c>
      <c r="AV4036" s="246" t="s">
        <v>635</v>
      </c>
      <c r="AW4036" s="227"/>
      <c r="AX4036" s="227"/>
      <c r="AY4036" s="227"/>
      <c r="AZ4036" s="227"/>
      <c r="BA4036" s="227"/>
      <c r="BB4036" s="227"/>
      <c r="BC4036" s="227"/>
      <c r="BD4036" s="227"/>
      <c r="BE4036" s="227"/>
      <c r="BF4036" s="227"/>
    </row>
    <row r="4037">
      <c r="A4037" s="235" t="s">
        <v>30128</v>
      </c>
      <c r="C4037" s="235" t="s">
        <v>30129</v>
      </c>
      <c r="D4037" s="235" t="s">
        <v>30130</v>
      </c>
      <c r="E4037" s="243">
        <v>6.51E13</v>
      </c>
      <c r="F4037" s="245"/>
      <c r="G4037" s="235" t="s">
        <v>30131</v>
      </c>
      <c r="H4037" s="235" t="s">
        <v>30132</v>
      </c>
      <c r="I4037" s="235" t="s">
        <v>30132</v>
      </c>
      <c r="J4037" s="235" t="s">
        <v>30133</v>
      </c>
      <c r="K4037" s="235" t="s">
        <v>30134</v>
      </c>
      <c r="N4037" s="235" t="s">
        <v>92</v>
      </c>
      <c r="O4037" s="235" t="s">
        <v>248</v>
      </c>
      <c r="P4037" s="238">
        <v>1.0</v>
      </c>
      <c r="Q4037" s="235" t="s">
        <v>627</v>
      </c>
      <c r="R4037" s="238">
        <v>233.34</v>
      </c>
      <c r="S4037" s="238">
        <v>11.66</v>
      </c>
      <c r="T4037" s="238">
        <v>0.0</v>
      </c>
      <c r="U4037" s="238">
        <v>0.0</v>
      </c>
      <c r="V4037" s="238">
        <v>0.0</v>
      </c>
      <c r="W4037" s="238">
        <v>0.0</v>
      </c>
      <c r="X4037" s="235" t="s">
        <v>628</v>
      </c>
      <c r="Z4037" s="245"/>
      <c r="AA4037" s="245"/>
      <c r="AB4037" s="245"/>
      <c r="AC4037" s="235" t="s">
        <v>30135</v>
      </c>
      <c r="AD4037" s="235" t="s">
        <v>1077</v>
      </c>
      <c r="AE4037" s="238">
        <v>363641.0</v>
      </c>
      <c r="AF4037" s="235" t="s">
        <v>631</v>
      </c>
      <c r="AG4037" s="245"/>
      <c r="AH4037" s="245"/>
      <c r="AI4037" s="245"/>
      <c r="AJ4037" s="245"/>
      <c r="AK4037" s="245"/>
      <c r="AL4037" s="245"/>
      <c r="AM4037" s="245"/>
      <c r="AN4037" s="245"/>
      <c r="AO4037" s="238">
        <v>0.0</v>
      </c>
      <c r="AP4037" s="238">
        <v>0.0</v>
      </c>
      <c r="AQ4037" s="235" t="s">
        <v>632</v>
      </c>
      <c r="AR4037" s="243">
        <v>3.71E11</v>
      </c>
      <c r="AS4037" s="235" t="s">
        <v>28482</v>
      </c>
      <c r="AT4037" s="235" t="s">
        <v>5</v>
      </c>
      <c r="AU4037" s="235" t="s">
        <v>634</v>
      </c>
      <c r="AV4037" s="246" t="s">
        <v>635</v>
      </c>
      <c r="AW4037" s="227"/>
      <c r="AX4037" s="227"/>
      <c r="AY4037" s="227"/>
      <c r="AZ4037" s="227"/>
      <c r="BA4037" s="227"/>
      <c r="BB4037" s="227"/>
      <c r="BC4037" s="227"/>
      <c r="BD4037" s="227"/>
      <c r="BE4037" s="227"/>
      <c r="BF4037" s="227"/>
    </row>
    <row r="4038">
      <c r="A4038" s="235" t="s">
        <v>30136</v>
      </c>
      <c r="C4038" s="235" t="s">
        <v>30137</v>
      </c>
      <c r="D4038" s="235" t="s">
        <v>30138</v>
      </c>
      <c r="E4038" s="243">
        <v>6.51E13</v>
      </c>
      <c r="F4038" s="245"/>
      <c r="G4038" s="235" t="s">
        <v>30139</v>
      </c>
      <c r="H4038" s="235" t="s">
        <v>30140</v>
      </c>
      <c r="I4038" s="235" t="s">
        <v>30140</v>
      </c>
      <c r="J4038" s="235" t="s">
        <v>30141</v>
      </c>
      <c r="K4038" s="235" t="s">
        <v>30142</v>
      </c>
      <c r="N4038" s="235" t="s">
        <v>51</v>
      </c>
      <c r="O4038" s="235" t="s">
        <v>273</v>
      </c>
      <c r="P4038" s="238">
        <v>1.0</v>
      </c>
      <c r="Q4038" s="235" t="s">
        <v>627</v>
      </c>
      <c r="R4038" s="238">
        <v>270.48</v>
      </c>
      <c r="S4038" s="238">
        <v>13.52</v>
      </c>
      <c r="T4038" s="238">
        <v>0.0</v>
      </c>
      <c r="U4038" s="238">
        <v>0.0</v>
      </c>
      <c r="V4038" s="238">
        <v>0.0</v>
      </c>
      <c r="W4038" s="238">
        <v>0.0</v>
      </c>
      <c r="X4038" s="235" t="s">
        <v>628</v>
      </c>
      <c r="Z4038" s="245"/>
      <c r="AA4038" s="245"/>
      <c r="AB4038" s="245"/>
      <c r="AC4038" s="235" t="s">
        <v>6555</v>
      </c>
      <c r="AD4038" s="235" t="s">
        <v>679</v>
      </c>
      <c r="AE4038" s="238">
        <v>575005.0</v>
      </c>
      <c r="AF4038" s="235" t="s">
        <v>631</v>
      </c>
      <c r="AG4038" s="245"/>
      <c r="AH4038" s="245"/>
      <c r="AI4038" s="245"/>
      <c r="AJ4038" s="245"/>
      <c r="AK4038" s="245"/>
      <c r="AL4038" s="245"/>
      <c r="AM4038" s="245"/>
      <c r="AN4038" s="245"/>
      <c r="AO4038" s="238">
        <v>0.0</v>
      </c>
      <c r="AP4038" s="238">
        <v>0.0</v>
      </c>
      <c r="AQ4038" s="235" t="s">
        <v>632</v>
      </c>
      <c r="AR4038" s="243">
        <v>3.71E11</v>
      </c>
      <c r="AS4038" s="235" t="s">
        <v>28482</v>
      </c>
      <c r="AT4038" s="235" t="s">
        <v>9</v>
      </c>
      <c r="AU4038" s="235" t="s">
        <v>634</v>
      </c>
      <c r="AV4038" s="246" t="s">
        <v>635</v>
      </c>
      <c r="AW4038" s="227"/>
      <c r="AX4038" s="227"/>
      <c r="AY4038" s="227"/>
      <c r="AZ4038" s="227"/>
      <c r="BA4038" s="227"/>
      <c r="BB4038" s="227"/>
      <c r="BC4038" s="227"/>
      <c r="BD4038" s="227"/>
      <c r="BE4038" s="227"/>
      <c r="BF4038" s="227"/>
    </row>
    <row r="4039">
      <c r="A4039" s="235" t="s">
        <v>30143</v>
      </c>
      <c r="C4039" s="235" t="s">
        <v>30144</v>
      </c>
      <c r="D4039" s="235" t="s">
        <v>30145</v>
      </c>
      <c r="E4039" s="243">
        <v>6.51E13</v>
      </c>
      <c r="F4039" s="245"/>
      <c r="G4039" s="235" t="s">
        <v>30146</v>
      </c>
      <c r="H4039" s="235" t="s">
        <v>30147</v>
      </c>
      <c r="I4039" s="235" t="s">
        <v>30147</v>
      </c>
      <c r="J4039" s="235" t="s">
        <v>30148</v>
      </c>
      <c r="K4039" s="235" t="s">
        <v>30149</v>
      </c>
      <c r="N4039" s="235" t="s">
        <v>82</v>
      </c>
      <c r="O4039" s="235" t="s">
        <v>889</v>
      </c>
      <c r="P4039" s="238">
        <v>1.0</v>
      </c>
      <c r="Q4039" s="235" t="s">
        <v>627</v>
      </c>
      <c r="R4039" s="238">
        <v>246.67</v>
      </c>
      <c r="S4039" s="238">
        <v>12.33</v>
      </c>
      <c r="T4039" s="238">
        <v>0.0</v>
      </c>
      <c r="U4039" s="238">
        <v>0.0</v>
      </c>
      <c r="V4039" s="238">
        <v>0.0</v>
      </c>
      <c r="W4039" s="238">
        <v>0.0</v>
      </c>
      <c r="X4039" s="235" t="s">
        <v>628</v>
      </c>
      <c r="Z4039" s="245"/>
      <c r="AA4039" s="245"/>
      <c r="AB4039" s="245"/>
      <c r="AC4039" s="235" t="s">
        <v>697</v>
      </c>
      <c r="AD4039" s="235" t="s">
        <v>698</v>
      </c>
      <c r="AE4039" s="238">
        <v>500004.0</v>
      </c>
      <c r="AF4039" s="235" t="s">
        <v>631</v>
      </c>
      <c r="AG4039" s="245"/>
      <c r="AH4039" s="245"/>
      <c r="AI4039" s="245"/>
      <c r="AJ4039" s="245"/>
      <c r="AK4039" s="245"/>
      <c r="AL4039" s="245"/>
      <c r="AM4039" s="245"/>
      <c r="AN4039" s="245"/>
      <c r="AO4039" s="238">
        <v>0.0</v>
      </c>
      <c r="AP4039" s="238">
        <v>0.0</v>
      </c>
      <c r="AQ4039" s="235" t="s">
        <v>632</v>
      </c>
      <c r="AR4039" s="243">
        <v>1.68E11</v>
      </c>
      <c r="AS4039" s="235" t="s">
        <v>28482</v>
      </c>
      <c r="AT4039" s="235" t="s">
        <v>9</v>
      </c>
      <c r="AU4039" s="235" t="s">
        <v>634</v>
      </c>
      <c r="AV4039" s="246" t="s">
        <v>635</v>
      </c>
      <c r="AW4039" s="227"/>
      <c r="AX4039" s="227"/>
      <c r="AY4039" s="227"/>
      <c r="AZ4039" s="227"/>
      <c r="BA4039" s="227"/>
      <c r="BB4039" s="227"/>
      <c r="BC4039" s="227"/>
      <c r="BD4039" s="227"/>
      <c r="BE4039" s="227"/>
      <c r="BF4039" s="227"/>
    </row>
    <row r="4040">
      <c r="A4040" s="235" t="s">
        <v>30150</v>
      </c>
      <c r="C4040" s="235" t="s">
        <v>30151</v>
      </c>
      <c r="D4040" s="235" t="s">
        <v>30152</v>
      </c>
      <c r="E4040" s="243">
        <v>6.51E13</v>
      </c>
      <c r="F4040" s="245"/>
      <c r="G4040" s="235" t="s">
        <v>30153</v>
      </c>
      <c r="H4040" s="235" t="s">
        <v>30154</v>
      </c>
      <c r="I4040" s="235" t="s">
        <v>30154</v>
      </c>
      <c r="J4040" s="235" t="s">
        <v>30155</v>
      </c>
      <c r="K4040" s="235" t="s">
        <v>30156</v>
      </c>
      <c r="N4040" s="235" t="s">
        <v>42</v>
      </c>
      <c r="O4040" s="235" t="s">
        <v>204</v>
      </c>
      <c r="P4040" s="238">
        <v>1.0</v>
      </c>
      <c r="Q4040" s="235" t="s">
        <v>627</v>
      </c>
      <c r="R4040" s="238">
        <v>236.2</v>
      </c>
      <c r="S4040" s="238">
        <v>11.8</v>
      </c>
      <c r="T4040" s="238">
        <v>0.0</v>
      </c>
      <c r="U4040" s="238">
        <v>0.0</v>
      </c>
      <c r="V4040" s="238">
        <v>0.0</v>
      </c>
      <c r="W4040" s="238">
        <v>0.0</v>
      </c>
      <c r="X4040" s="235" t="s">
        <v>628</v>
      </c>
      <c r="Z4040" s="245"/>
      <c r="AA4040" s="245"/>
      <c r="AB4040" s="245"/>
      <c r="AC4040" s="235" t="s">
        <v>687</v>
      </c>
      <c r="AD4040" s="235" t="s">
        <v>666</v>
      </c>
      <c r="AE4040" s="238">
        <v>600015.0</v>
      </c>
      <c r="AF4040" s="235" t="s">
        <v>631</v>
      </c>
      <c r="AG4040" s="245"/>
      <c r="AH4040" s="245"/>
      <c r="AI4040" s="245"/>
      <c r="AJ4040" s="245"/>
      <c r="AK4040" s="245"/>
      <c r="AL4040" s="245"/>
      <c r="AM4040" s="245"/>
      <c r="AN4040" s="245"/>
      <c r="AO4040" s="238">
        <v>0.0</v>
      </c>
      <c r="AP4040" s="238">
        <v>0.0</v>
      </c>
      <c r="AQ4040" s="235" t="s">
        <v>632</v>
      </c>
      <c r="AR4040" s="243">
        <v>1.68E11</v>
      </c>
      <c r="AS4040" s="235" t="s">
        <v>29883</v>
      </c>
      <c r="AT4040" s="235" t="s">
        <v>156</v>
      </c>
      <c r="AU4040" s="235" t="s">
        <v>634</v>
      </c>
      <c r="AV4040" s="246" t="s">
        <v>635</v>
      </c>
      <c r="AW4040" s="227"/>
      <c r="AX4040" s="227"/>
      <c r="AY4040" s="227"/>
      <c r="AZ4040" s="227"/>
      <c r="BA4040" s="227"/>
      <c r="BB4040" s="227"/>
      <c r="BC4040" s="227"/>
      <c r="BD4040" s="227"/>
      <c r="BE4040" s="227"/>
      <c r="BF4040" s="227"/>
    </row>
    <row r="4041">
      <c r="A4041" s="235" t="s">
        <v>30157</v>
      </c>
      <c r="C4041" s="235" t="s">
        <v>30158</v>
      </c>
      <c r="D4041" s="235" t="s">
        <v>30159</v>
      </c>
      <c r="E4041" s="243">
        <v>6.51E13</v>
      </c>
      <c r="F4041" s="245"/>
      <c r="G4041" s="235" t="s">
        <v>30160</v>
      </c>
      <c r="H4041" s="235" t="s">
        <v>30161</v>
      </c>
      <c r="I4041" s="235" t="s">
        <v>30161</v>
      </c>
      <c r="J4041" s="235" t="s">
        <v>30162</v>
      </c>
      <c r="K4041" s="235" t="s">
        <v>30163</v>
      </c>
      <c r="N4041" s="235" t="s">
        <v>51</v>
      </c>
      <c r="O4041" s="235" t="s">
        <v>273</v>
      </c>
      <c r="P4041" s="238">
        <v>1.0</v>
      </c>
      <c r="Q4041" s="235" t="s">
        <v>627</v>
      </c>
      <c r="R4041" s="238">
        <v>270.48</v>
      </c>
      <c r="S4041" s="238">
        <v>13.25</v>
      </c>
      <c r="T4041" s="238">
        <v>38.1</v>
      </c>
      <c r="U4041" s="238">
        <v>1.9</v>
      </c>
      <c r="V4041" s="238">
        <v>0.0</v>
      </c>
      <c r="W4041" s="238">
        <v>0.0</v>
      </c>
      <c r="X4041" s="235" t="s">
        <v>628</v>
      </c>
      <c r="Z4041" s="245"/>
      <c r="AA4041" s="245"/>
      <c r="AB4041" s="245"/>
      <c r="AC4041" s="235" t="s">
        <v>687</v>
      </c>
      <c r="AD4041" s="235" t="s">
        <v>666</v>
      </c>
      <c r="AE4041" s="238">
        <v>600100.0</v>
      </c>
      <c r="AF4041" s="235" t="s">
        <v>631</v>
      </c>
      <c r="AG4041" s="245"/>
      <c r="AH4041" s="245"/>
      <c r="AI4041" s="245"/>
      <c r="AJ4041" s="245"/>
      <c r="AK4041" s="245"/>
      <c r="AL4041" s="245"/>
      <c r="AM4041" s="245"/>
      <c r="AN4041" s="245"/>
      <c r="AO4041" s="238">
        <v>-5.41</v>
      </c>
      <c r="AP4041" s="238">
        <v>-38.1</v>
      </c>
      <c r="AQ4041" s="235" t="s">
        <v>632</v>
      </c>
      <c r="AR4041" s="243">
        <v>3.71E11</v>
      </c>
      <c r="AS4041" s="235" t="s">
        <v>28482</v>
      </c>
      <c r="AT4041" s="235" t="s">
        <v>156</v>
      </c>
      <c r="AU4041" s="235" t="s">
        <v>634</v>
      </c>
      <c r="AV4041" s="246" t="s">
        <v>635</v>
      </c>
      <c r="AW4041" s="227"/>
      <c r="AX4041" s="227"/>
      <c r="AY4041" s="227"/>
      <c r="AZ4041" s="227"/>
      <c r="BA4041" s="227"/>
      <c r="BB4041" s="227"/>
      <c r="BC4041" s="227"/>
      <c r="BD4041" s="227"/>
      <c r="BE4041" s="227"/>
      <c r="BF4041" s="227"/>
    </row>
    <row r="4042">
      <c r="A4042" s="235" t="s">
        <v>30164</v>
      </c>
      <c r="C4042" s="235" t="s">
        <v>30165</v>
      </c>
      <c r="D4042" s="235" t="s">
        <v>30166</v>
      </c>
      <c r="E4042" s="243">
        <v>6.51E13</v>
      </c>
      <c r="F4042" s="245"/>
      <c r="G4042" s="235" t="s">
        <v>30167</v>
      </c>
      <c r="H4042" s="235" t="s">
        <v>30168</v>
      </c>
      <c r="I4042" s="235" t="s">
        <v>30168</v>
      </c>
      <c r="J4042" s="235" t="s">
        <v>30169</v>
      </c>
      <c r="K4042" s="235" t="s">
        <v>8806</v>
      </c>
      <c r="N4042" s="235" t="s">
        <v>138</v>
      </c>
      <c r="O4042" s="235" t="s">
        <v>675</v>
      </c>
      <c r="P4042" s="238">
        <v>1.0</v>
      </c>
      <c r="Q4042" s="235" t="s">
        <v>627</v>
      </c>
      <c r="R4042" s="238">
        <v>233.34</v>
      </c>
      <c r="S4042" s="238">
        <v>11.66</v>
      </c>
      <c r="T4042" s="238">
        <v>0.0</v>
      </c>
      <c r="U4042" s="238">
        <v>0.0</v>
      </c>
      <c r="V4042" s="238">
        <v>0.0</v>
      </c>
      <c r="W4042" s="238">
        <v>0.0</v>
      </c>
      <c r="X4042" s="235" t="s">
        <v>628</v>
      </c>
      <c r="Z4042" s="245"/>
      <c r="AA4042" s="245"/>
      <c r="AB4042" s="245"/>
      <c r="AC4042" s="235" t="s">
        <v>678</v>
      </c>
      <c r="AD4042" s="235" t="s">
        <v>679</v>
      </c>
      <c r="AE4042" s="238">
        <v>560035.0</v>
      </c>
      <c r="AF4042" s="235" t="s">
        <v>631</v>
      </c>
      <c r="AG4042" s="245"/>
      <c r="AH4042" s="245"/>
      <c r="AI4042" s="245"/>
      <c r="AJ4042" s="245"/>
      <c r="AK4042" s="245"/>
      <c r="AL4042" s="245"/>
      <c r="AM4042" s="245"/>
      <c r="AN4042" s="245"/>
      <c r="AO4042" s="238">
        <v>0.0</v>
      </c>
      <c r="AP4042" s="238">
        <v>0.0</v>
      </c>
      <c r="AQ4042" s="235" t="s">
        <v>632</v>
      </c>
      <c r="AR4042" s="243">
        <v>1.68E11</v>
      </c>
      <c r="AS4042" s="235" t="s">
        <v>29883</v>
      </c>
      <c r="AT4042" s="235" t="s">
        <v>11</v>
      </c>
      <c r="AU4042" s="235" t="s">
        <v>634</v>
      </c>
      <c r="AV4042" s="246" t="s">
        <v>635</v>
      </c>
      <c r="AW4042" s="227"/>
      <c r="AX4042" s="227"/>
      <c r="AY4042" s="227"/>
      <c r="AZ4042" s="227"/>
      <c r="BA4042" s="227"/>
      <c r="BB4042" s="227"/>
      <c r="BC4042" s="227"/>
      <c r="BD4042" s="227"/>
      <c r="BE4042" s="227"/>
      <c r="BF4042" s="227"/>
    </row>
    <row r="4043">
      <c r="A4043" s="235" t="s">
        <v>30170</v>
      </c>
      <c r="C4043" s="235" t="s">
        <v>30171</v>
      </c>
      <c r="D4043" s="235" t="s">
        <v>30172</v>
      </c>
      <c r="E4043" s="243">
        <v>6.51E13</v>
      </c>
      <c r="F4043" s="245"/>
      <c r="G4043" s="235" t="s">
        <v>30173</v>
      </c>
      <c r="H4043" s="235" t="s">
        <v>30174</v>
      </c>
      <c r="I4043" s="235" t="s">
        <v>30175</v>
      </c>
      <c r="J4043" s="235" t="s">
        <v>30176</v>
      </c>
      <c r="K4043" s="235" t="s">
        <v>30177</v>
      </c>
      <c r="N4043" s="235" t="s">
        <v>962</v>
      </c>
      <c r="O4043" s="235" t="s">
        <v>963</v>
      </c>
      <c r="P4043" s="238">
        <v>1.0</v>
      </c>
      <c r="Q4043" s="235" t="s">
        <v>627</v>
      </c>
      <c r="R4043" s="238">
        <v>237.14</v>
      </c>
      <c r="S4043" s="238">
        <v>11.5</v>
      </c>
      <c r="T4043" s="238">
        <v>0.0</v>
      </c>
      <c r="U4043" s="238">
        <v>0.0</v>
      </c>
      <c r="V4043" s="238">
        <v>0.0</v>
      </c>
      <c r="W4043" s="238">
        <v>0.0</v>
      </c>
      <c r="X4043" s="235" t="s">
        <v>628</v>
      </c>
      <c r="Z4043" s="245"/>
      <c r="AA4043" s="245"/>
      <c r="AB4043" s="245"/>
      <c r="AC4043" s="235" t="s">
        <v>30178</v>
      </c>
      <c r="AD4043" s="235" t="s">
        <v>645</v>
      </c>
      <c r="AE4043" s="238">
        <v>683580.0</v>
      </c>
      <c r="AF4043" s="235" t="s">
        <v>631</v>
      </c>
      <c r="AG4043" s="245"/>
      <c r="AH4043" s="245"/>
      <c r="AI4043" s="245"/>
      <c r="AJ4043" s="245"/>
      <c r="AK4043" s="245"/>
      <c r="AL4043" s="245"/>
      <c r="AM4043" s="245"/>
      <c r="AN4043" s="245"/>
      <c r="AO4043" s="238">
        <v>-7.11</v>
      </c>
      <c r="AP4043" s="238">
        <v>0.0</v>
      </c>
      <c r="AQ4043" s="235" t="s">
        <v>632</v>
      </c>
      <c r="AR4043" s="243">
        <v>3.71E11</v>
      </c>
      <c r="AS4043" s="235" t="s">
        <v>28482</v>
      </c>
      <c r="AT4043" s="235" t="s">
        <v>155</v>
      </c>
      <c r="AU4043" s="235" t="s">
        <v>634</v>
      </c>
      <c r="AV4043" s="246" t="s">
        <v>635</v>
      </c>
      <c r="AW4043" s="227"/>
      <c r="AX4043" s="227"/>
      <c r="AY4043" s="227"/>
      <c r="AZ4043" s="227"/>
      <c r="BA4043" s="227"/>
      <c r="BB4043" s="227"/>
      <c r="BC4043" s="227"/>
      <c r="BD4043" s="227"/>
      <c r="BE4043" s="227"/>
      <c r="BF4043" s="227"/>
    </row>
    <row r="4044">
      <c r="A4044" s="235" t="s">
        <v>30179</v>
      </c>
      <c r="C4044" s="235" t="s">
        <v>30180</v>
      </c>
      <c r="D4044" s="235" t="s">
        <v>30181</v>
      </c>
      <c r="E4044" s="243">
        <v>6.51E13</v>
      </c>
      <c r="F4044" s="245"/>
      <c r="G4044" s="235" t="s">
        <v>30182</v>
      </c>
      <c r="H4044" s="235" t="s">
        <v>30183</v>
      </c>
      <c r="I4044" s="235" t="s">
        <v>30183</v>
      </c>
      <c r="J4044" s="235" t="s">
        <v>30184</v>
      </c>
      <c r="K4044" s="235" t="s">
        <v>30185</v>
      </c>
      <c r="N4044" s="235" t="s">
        <v>42</v>
      </c>
      <c r="O4044" s="235" t="s">
        <v>204</v>
      </c>
      <c r="P4044" s="238">
        <v>1.0</v>
      </c>
      <c r="Q4044" s="235" t="s">
        <v>627</v>
      </c>
      <c r="R4044" s="238">
        <v>236.19</v>
      </c>
      <c r="S4044" s="238">
        <v>11.81</v>
      </c>
      <c r="T4044" s="238">
        <v>0.0</v>
      </c>
      <c r="U4044" s="238">
        <v>0.0</v>
      </c>
      <c r="V4044" s="238">
        <v>0.0</v>
      </c>
      <c r="W4044" s="238">
        <v>0.0</v>
      </c>
      <c r="X4044" s="235" t="s">
        <v>628</v>
      </c>
      <c r="Z4044" s="245"/>
      <c r="AA4044" s="245"/>
      <c r="AB4044" s="245"/>
      <c r="AC4044" s="235" t="s">
        <v>697</v>
      </c>
      <c r="AD4044" s="235" t="s">
        <v>698</v>
      </c>
      <c r="AE4044" s="238">
        <v>502319.0</v>
      </c>
      <c r="AF4044" s="235" t="s">
        <v>631</v>
      </c>
      <c r="AG4044" s="245"/>
      <c r="AH4044" s="245"/>
      <c r="AI4044" s="245"/>
      <c r="AJ4044" s="245"/>
      <c r="AK4044" s="245"/>
      <c r="AL4044" s="245"/>
      <c r="AM4044" s="245"/>
      <c r="AN4044" s="245"/>
      <c r="AO4044" s="238">
        <v>0.0</v>
      </c>
      <c r="AP4044" s="238">
        <v>0.0</v>
      </c>
      <c r="AQ4044" s="235" t="s">
        <v>632</v>
      </c>
      <c r="AR4044" s="243">
        <v>3.71E11</v>
      </c>
      <c r="AS4044" s="235" t="s">
        <v>26892</v>
      </c>
      <c r="AT4044" s="235" t="s">
        <v>16</v>
      </c>
      <c r="AU4044" s="235" t="s">
        <v>634</v>
      </c>
      <c r="AV4044" s="246" t="s">
        <v>635</v>
      </c>
      <c r="AW4044" s="227"/>
      <c r="AX4044" s="227"/>
      <c r="AY4044" s="227"/>
      <c r="AZ4044" s="227"/>
      <c r="BA4044" s="227"/>
      <c r="BB4044" s="227"/>
      <c r="BC4044" s="227"/>
      <c r="BD4044" s="227"/>
      <c r="BE4044" s="227"/>
      <c r="BF4044" s="227"/>
    </row>
    <row r="4045">
      <c r="A4045" s="235" t="s">
        <v>30186</v>
      </c>
      <c r="C4045" s="235" t="s">
        <v>30187</v>
      </c>
      <c r="D4045" s="235" t="s">
        <v>30188</v>
      </c>
      <c r="E4045" s="243">
        <v>6.51E13</v>
      </c>
      <c r="F4045" s="245"/>
      <c r="G4045" s="235" t="s">
        <v>30189</v>
      </c>
      <c r="H4045" s="235" t="s">
        <v>30190</v>
      </c>
      <c r="I4045" s="235" t="s">
        <v>30190</v>
      </c>
      <c r="J4045" s="235" t="s">
        <v>30191</v>
      </c>
      <c r="K4045" s="235" t="s">
        <v>30192</v>
      </c>
      <c r="N4045" s="235" t="s">
        <v>129</v>
      </c>
      <c r="O4045" s="235" t="s">
        <v>522</v>
      </c>
      <c r="P4045" s="238">
        <v>1.0</v>
      </c>
      <c r="Q4045" s="235" t="s">
        <v>627</v>
      </c>
      <c r="R4045" s="238">
        <v>233.33</v>
      </c>
      <c r="S4045" s="238">
        <v>11.67</v>
      </c>
      <c r="T4045" s="238">
        <v>0.0</v>
      </c>
      <c r="U4045" s="238">
        <v>0.0</v>
      </c>
      <c r="V4045" s="238">
        <v>0.0</v>
      </c>
      <c r="W4045" s="238">
        <v>0.0</v>
      </c>
      <c r="X4045" s="235" t="s">
        <v>628</v>
      </c>
      <c r="Z4045" s="245"/>
      <c r="AA4045" s="245"/>
      <c r="AB4045" s="245"/>
      <c r="AC4045" s="235" t="s">
        <v>822</v>
      </c>
      <c r="AD4045" s="235" t="s">
        <v>630</v>
      </c>
      <c r="AE4045" s="238">
        <v>201305.0</v>
      </c>
      <c r="AF4045" s="235" t="s">
        <v>631</v>
      </c>
      <c r="AG4045" s="245"/>
      <c r="AH4045" s="245"/>
      <c r="AI4045" s="245"/>
      <c r="AJ4045" s="245"/>
      <c r="AK4045" s="245"/>
      <c r="AL4045" s="245"/>
      <c r="AM4045" s="245"/>
      <c r="AN4045" s="245"/>
      <c r="AO4045" s="238">
        <v>0.0</v>
      </c>
      <c r="AP4045" s="238">
        <v>0.0</v>
      </c>
      <c r="AQ4045" s="235" t="s">
        <v>632</v>
      </c>
      <c r="AR4045" s="243">
        <v>3.71E11</v>
      </c>
      <c r="AS4045" s="235" t="s">
        <v>28482</v>
      </c>
      <c r="AT4045" s="235" t="s">
        <v>14</v>
      </c>
      <c r="AU4045" s="235" t="s">
        <v>634</v>
      </c>
      <c r="AV4045" s="246" t="s">
        <v>635</v>
      </c>
      <c r="AW4045" s="227"/>
      <c r="AX4045" s="227"/>
      <c r="AY4045" s="227"/>
      <c r="AZ4045" s="227"/>
      <c r="BA4045" s="227"/>
      <c r="BB4045" s="227"/>
      <c r="BC4045" s="227"/>
      <c r="BD4045" s="227"/>
      <c r="BE4045" s="227"/>
      <c r="BF4045" s="227"/>
    </row>
    <row r="4046">
      <c r="A4046" s="235" t="s">
        <v>30193</v>
      </c>
      <c r="C4046" s="235" t="s">
        <v>30194</v>
      </c>
      <c r="D4046" s="235" t="s">
        <v>30195</v>
      </c>
      <c r="E4046" s="243">
        <v>6.51E13</v>
      </c>
      <c r="F4046" s="245"/>
      <c r="G4046" s="235" t="s">
        <v>30196</v>
      </c>
      <c r="H4046" s="235" t="s">
        <v>30197</v>
      </c>
      <c r="I4046" s="235" t="s">
        <v>30197</v>
      </c>
      <c r="J4046" s="235" t="s">
        <v>30198</v>
      </c>
      <c r="K4046" s="235" t="s">
        <v>30199</v>
      </c>
      <c r="N4046" s="235" t="s">
        <v>154</v>
      </c>
      <c r="O4046" s="235" t="s">
        <v>766</v>
      </c>
      <c r="P4046" s="238">
        <v>1.0</v>
      </c>
      <c r="Q4046" s="235" t="s">
        <v>627</v>
      </c>
      <c r="R4046" s="238">
        <v>423.8</v>
      </c>
      <c r="S4046" s="238">
        <v>21.2</v>
      </c>
      <c r="T4046" s="238">
        <v>0.0</v>
      </c>
      <c r="U4046" s="238">
        <v>0.0</v>
      </c>
      <c r="V4046" s="238">
        <v>0.0</v>
      </c>
      <c r="W4046" s="238">
        <v>0.0</v>
      </c>
      <c r="X4046" s="235" t="s">
        <v>628</v>
      </c>
      <c r="Z4046" s="245"/>
      <c r="AA4046" s="245"/>
      <c r="AB4046" s="245"/>
      <c r="AC4046" s="235" t="s">
        <v>5432</v>
      </c>
      <c r="AD4046" s="235" t="s">
        <v>1077</v>
      </c>
      <c r="AE4046" s="238">
        <v>382355.0</v>
      </c>
      <c r="AF4046" s="235" t="s">
        <v>631</v>
      </c>
      <c r="AG4046" s="245"/>
      <c r="AH4046" s="245"/>
      <c r="AI4046" s="245"/>
      <c r="AJ4046" s="245"/>
      <c r="AK4046" s="245"/>
      <c r="AL4046" s="245"/>
      <c r="AM4046" s="245"/>
      <c r="AN4046" s="245"/>
      <c r="AO4046" s="238">
        <v>0.0</v>
      </c>
      <c r="AP4046" s="238">
        <v>0.0</v>
      </c>
      <c r="AQ4046" s="235" t="s">
        <v>632</v>
      </c>
      <c r="AR4046" s="243">
        <v>3.71E11</v>
      </c>
      <c r="AS4046" s="235" t="s">
        <v>28482</v>
      </c>
      <c r="AT4046" s="235" t="s">
        <v>5</v>
      </c>
      <c r="AU4046" s="235" t="s">
        <v>634</v>
      </c>
      <c r="AV4046" s="246" t="s">
        <v>635</v>
      </c>
      <c r="AW4046" s="227"/>
      <c r="AX4046" s="227"/>
      <c r="AY4046" s="227"/>
      <c r="AZ4046" s="227"/>
      <c r="BA4046" s="227"/>
      <c r="BB4046" s="227"/>
      <c r="BC4046" s="227"/>
      <c r="BD4046" s="227"/>
      <c r="BE4046" s="227"/>
      <c r="BF4046" s="227"/>
    </row>
    <row r="4047">
      <c r="A4047" s="235" t="s">
        <v>30200</v>
      </c>
      <c r="C4047" s="235" t="s">
        <v>30201</v>
      </c>
      <c r="D4047" s="235" t="s">
        <v>30202</v>
      </c>
      <c r="E4047" s="243">
        <v>6.51E13</v>
      </c>
      <c r="F4047" s="245"/>
      <c r="G4047" s="235" t="s">
        <v>30203</v>
      </c>
      <c r="H4047" s="235" t="s">
        <v>30204</v>
      </c>
      <c r="I4047" s="235" t="s">
        <v>30205</v>
      </c>
      <c r="J4047" s="235" t="s">
        <v>30206</v>
      </c>
      <c r="K4047" s="235" t="s">
        <v>30207</v>
      </c>
      <c r="N4047" s="235" t="s">
        <v>68</v>
      </c>
      <c r="O4047" s="235" t="s">
        <v>208</v>
      </c>
      <c r="P4047" s="238">
        <v>1.0</v>
      </c>
      <c r="Q4047" s="235" t="s">
        <v>627</v>
      </c>
      <c r="R4047" s="238">
        <v>236.2</v>
      </c>
      <c r="S4047" s="238">
        <v>11.8</v>
      </c>
      <c r="T4047" s="238">
        <v>0.0</v>
      </c>
      <c r="U4047" s="238">
        <v>0.0</v>
      </c>
      <c r="V4047" s="238">
        <v>0.0</v>
      </c>
      <c r="W4047" s="238">
        <v>0.0</v>
      </c>
      <c r="X4047" s="235" t="s">
        <v>628</v>
      </c>
      <c r="Z4047" s="245"/>
      <c r="AA4047" s="245"/>
      <c r="AB4047" s="245"/>
      <c r="AC4047" s="235" t="s">
        <v>30208</v>
      </c>
      <c r="AD4047" s="235" t="s">
        <v>845</v>
      </c>
      <c r="AE4047" s="238">
        <v>412301.0</v>
      </c>
      <c r="AF4047" s="235" t="s">
        <v>631</v>
      </c>
      <c r="AG4047" s="245"/>
      <c r="AH4047" s="245"/>
      <c r="AI4047" s="245"/>
      <c r="AJ4047" s="245"/>
      <c r="AK4047" s="245"/>
      <c r="AL4047" s="245"/>
      <c r="AM4047" s="245"/>
      <c r="AN4047" s="245"/>
      <c r="AO4047" s="238">
        <v>0.0</v>
      </c>
      <c r="AP4047" s="238">
        <v>0.0</v>
      </c>
      <c r="AQ4047" s="235" t="s">
        <v>632</v>
      </c>
      <c r="AR4047" s="243">
        <v>3.71E11</v>
      </c>
      <c r="AS4047" s="235" t="s">
        <v>28482</v>
      </c>
      <c r="AT4047" s="235" t="s">
        <v>546</v>
      </c>
      <c r="AU4047" s="235" t="s">
        <v>634</v>
      </c>
      <c r="AV4047" s="246" t="s">
        <v>635</v>
      </c>
      <c r="AW4047" s="227"/>
      <c r="AX4047" s="227"/>
      <c r="AY4047" s="227"/>
      <c r="AZ4047" s="227"/>
      <c r="BA4047" s="227"/>
      <c r="BB4047" s="227"/>
      <c r="BC4047" s="227"/>
      <c r="BD4047" s="227"/>
      <c r="BE4047" s="227"/>
      <c r="BF4047" s="227"/>
    </row>
    <row r="4048">
      <c r="A4048" s="235" t="s">
        <v>30209</v>
      </c>
      <c r="C4048" s="235" t="s">
        <v>30210</v>
      </c>
      <c r="D4048" s="235" t="s">
        <v>30211</v>
      </c>
      <c r="E4048" s="243">
        <v>6.51E13</v>
      </c>
      <c r="F4048" s="245"/>
      <c r="G4048" s="235" t="s">
        <v>30212</v>
      </c>
      <c r="H4048" s="235" t="s">
        <v>30213</v>
      </c>
      <c r="I4048" s="235" t="s">
        <v>30213</v>
      </c>
      <c r="J4048" s="235" t="s">
        <v>30214</v>
      </c>
      <c r="K4048" s="235" t="s">
        <v>30215</v>
      </c>
      <c r="N4048" s="235" t="s">
        <v>90</v>
      </c>
      <c r="O4048" s="235" t="s">
        <v>279</v>
      </c>
      <c r="P4048" s="238">
        <v>1.0</v>
      </c>
      <c r="Q4048" s="235" t="s">
        <v>627</v>
      </c>
      <c r="R4048" s="238">
        <v>246.67</v>
      </c>
      <c r="S4048" s="238">
        <v>12.33</v>
      </c>
      <c r="T4048" s="238">
        <v>0.0</v>
      </c>
      <c r="U4048" s="238">
        <v>0.0</v>
      </c>
      <c r="V4048" s="238">
        <v>0.0</v>
      </c>
      <c r="W4048" s="238">
        <v>0.0</v>
      </c>
      <c r="X4048" s="235" t="s">
        <v>628</v>
      </c>
      <c r="Z4048" s="245"/>
      <c r="AA4048" s="245"/>
      <c r="AB4048" s="245"/>
      <c r="AC4048" s="235" t="s">
        <v>9880</v>
      </c>
      <c r="AD4048" s="235" t="s">
        <v>630</v>
      </c>
      <c r="AE4048" s="238">
        <v>281121.0</v>
      </c>
      <c r="AF4048" s="235" t="s">
        <v>631</v>
      </c>
      <c r="AG4048" s="245"/>
      <c r="AH4048" s="245"/>
      <c r="AI4048" s="245"/>
      <c r="AJ4048" s="245"/>
      <c r="AK4048" s="245"/>
      <c r="AL4048" s="245"/>
      <c r="AM4048" s="245"/>
      <c r="AN4048" s="245"/>
      <c r="AO4048" s="238">
        <v>0.0</v>
      </c>
      <c r="AP4048" s="238">
        <v>0.0</v>
      </c>
      <c r="AQ4048" s="235" t="s">
        <v>632</v>
      </c>
      <c r="AR4048" s="243">
        <v>3.71E11</v>
      </c>
      <c r="AS4048" s="235" t="s">
        <v>28482</v>
      </c>
      <c r="AT4048" s="235" t="s">
        <v>14</v>
      </c>
      <c r="AU4048" s="235" t="s">
        <v>634</v>
      </c>
      <c r="AV4048" s="246" t="s">
        <v>635</v>
      </c>
      <c r="AW4048" s="227"/>
      <c r="AX4048" s="227"/>
      <c r="AY4048" s="227"/>
      <c r="AZ4048" s="227"/>
      <c r="BA4048" s="227"/>
      <c r="BB4048" s="227"/>
      <c r="BC4048" s="227"/>
      <c r="BD4048" s="227"/>
      <c r="BE4048" s="227"/>
      <c r="BF4048" s="227"/>
    </row>
    <row r="4049">
      <c r="A4049" s="235" t="s">
        <v>30216</v>
      </c>
      <c r="C4049" s="235" t="s">
        <v>30217</v>
      </c>
      <c r="D4049" s="235" t="s">
        <v>30218</v>
      </c>
      <c r="E4049" s="243">
        <v>6.51E13</v>
      </c>
      <c r="F4049" s="245"/>
      <c r="G4049" s="235" t="s">
        <v>30219</v>
      </c>
      <c r="H4049" s="235" t="s">
        <v>30220</v>
      </c>
      <c r="I4049" s="235" t="s">
        <v>30220</v>
      </c>
      <c r="J4049" s="235" t="s">
        <v>30221</v>
      </c>
      <c r="K4049" s="235" t="s">
        <v>30222</v>
      </c>
      <c r="N4049" s="235" t="s">
        <v>842</v>
      </c>
      <c r="O4049" s="235" t="s">
        <v>843</v>
      </c>
      <c r="P4049" s="238">
        <v>1.0</v>
      </c>
      <c r="Q4049" s="235" t="s">
        <v>627</v>
      </c>
      <c r="R4049" s="238">
        <v>246.66</v>
      </c>
      <c r="S4049" s="238">
        <v>12.34</v>
      </c>
      <c r="T4049" s="238">
        <v>0.0</v>
      </c>
      <c r="U4049" s="238">
        <v>0.0</v>
      </c>
      <c r="V4049" s="238">
        <v>0.0</v>
      </c>
      <c r="W4049" s="238">
        <v>0.0</v>
      </c>
      <c r="X4049" s="235" t="s">
        <v>628</v>
      </c>
      <c r="Z4049" s="245"/>
      <c r="AA4049" s="245"/>
      <c r="AB4049" s="245"/>
      <c r="AC4049" s="235" t="s">
        <v>14875</v>
      </c>
      <c r="AD4049" s="235" t="s">
        <v>845</v>
      </c>
      <c r="AE4049" s="238">
        <v>401501.0</v>
      </c>
      <c r="AF4049" s="235" t="s">
        <v>631</v>
      </c>
      <c r="AG4049" s="245"/>
      <c r="AH4049" s="245"/>
      <c r="AI4049" s="245"/>
      <c r="AJ4049" s="245"/>
      <c r="AK4049" s="245"/>
      <c r="AL4049" s="245"/>
      <c r="AM4049" s="245"/>
      <c r="AN4049" s="245"/>
      <c r="AO4049" s="238">
        <v>0.0</v>
      </c>
      <c r="AP4049" s="238">
        <v>0.0</v>
      </c>
      <c r="AQ4049" s="235" t="s">
        <v>632</v>
      </c>
      <c r="AR4049" s="243">
        <v>1.68E11</v>
      </c>
      <c r="AS4049" s="235" t="s">
        <v>28482</v>
      </c>
      <c r="AT4049" s="235" t="s">
        <v>16</v>
      </c>
      <c r="AU4049" s="235" t="s">
        <v>634</v>
      </c>
      <c r="AV4049" s="246" t="s">
        <v>635</v>
      </c>
      <c r="AW4049" s="227"/>
      <c r="AX4049" s="227"/>
      <c r="AY4049" s="227"/>
      <c r="AZ4049" s="227"/>
      <c r="BA4049" s="227"/>
      <c r="BB4049" s="227"/>
      <c r="BC4049" s="227"/>
      <c r="BD4049" s="227"/>
      <c r="BE4049" s="227"/>
      <c r="BF4049" s="227"/>
    </row>
    <row r="4050">
      <c r="A4050" s="235" t="s">
        <v>30223</v>
      </c>
      <c r="C4050" s="235" t="s">
        <v>30224</v>
      </c>
      <c r="D4050" s="235" t="s">
        <v>30225</v>
      </c>
      <c r="E4050" s="243">
        <v>6.51E13</v>
      </c>
      <c r="F4050" s="245"/>
      <c r="G4050" s="235" t="s">
        <v>30226</v>
      </c>
      <c r="H4050" s="235" t="s">
        <v>30227</v>
      </c>
      <c r="I4050" s="235" t="s">
        <v>30228</v>
      </c>
      <c r="J4050" s="235" t="s">
        <v>30229</v>
      </c>
      <c r="K4050" s="235" t="s">
        <v>30230</v>
      </c>
      <c r="N4050" s="235" t="s">
        <v>130</v>
      </c>
      <c r="O4050" s="235" t="s">
        <v>707</v>
      </c>
      <c r="P4050" s="238">
        <v>1.0</v>
      </c>
      <c r="Q4050" s="235" t="s">
        <v>627</v>
      </c>
      <c r="R4050" s="238">
        <v>232.38</v>
      </c>
      <c r="S4050" s="238">
        <v>11.62</v>
      </c>
      <c r="T4050" s="238">
        <v>0.0</v>
      </c>
      <c r="U4050" s="238">
        <v>0.0</v>
      </c>
      <c r="V4050" s="238">
        <v>0.0</v>
      </c>
      <c r="W4050" s="238">
        <v>0.0</v>
      </c>
      <c r="X4050" s="235" t="s">
        <v>628</v>
      </c>
      <c r="Z4050" s="245"/>
      <c r="AA4050" s="245"/>
      <c r="AB4050" s="245"/>
      <c r="AC4050" s="235" t="s">
        <v>844</v>
      </c>
      <c r="AD4050" s="235" t="s">
        <v>845</v>
      </c>
      <c r="AE4050" s="238">
        <v>411047.0</v>
      </c>
      <c r="AF4050" s="235" t="s">
        <v>631</v>
      </c>
      <c r="AG4050" s="245"/>
      <c r="AH4050" s="245"/>
      <c r="AI4050" s="245"/>
      <c r="AJ4050" s="245"/>
      <c r="AK4050" s="245"/>
      <c r="AL4050" s="245"/>
      <c r="AM4050" s="245"/>
      <c r="AN4050" s="245"/>
      <c r="AO4050" s="238">
        <v>0.0</v>
      </c>
      <c r="AP4050" s="238">
        <v>0.0</v>
      </c>
      <c r="AQ4050" s="235" t="s">
        <v>632</v>
      </c>
      <c r="AR4050" s="243">
        <v>1.68E11</v>
      </c>
      <c r="AS4050" s="235" t="s">
        <v>28482</v>
      </c>
      <c r="AT4050" s="235" t="s">
        <v>16</v>
      </c>
      <c r="AU4050" s="235" t="s">
        <v>634</v>
      </c>
      <c r="AV4050" s="246" t="s">
        <v>635</v>
      </c>
      <c r="AW4050" s="227"/>
      <c r="AX4050" s="227"/>
      <c r="AY4050" s="227"/>
      <c r="AZ4050" s="227"/>
      <c r="BA4050" s="227"/>
      <c r="BB4050" s="227"/>
      <c r="BC4050" s="227"/>
      <c r="BD4050" s="227"/>
      <c r="BE4050" s="227"/>
      <c r="BF4050" s="227"/>
    </row>
    <row r="4051">
      <c r="A4051" s="235" t="s">
        <v>30231</v>
      </c>
      <c r="C4051" s="235" t="s">
        <v>30232</v>
      </c>
      <c r="D4051" s="235" t="s">
        <v>30233</v>
      </c>
      <c r="E4051" s="243">
        <v>6.51E13</v>
      </c>
      <c r="F4051" s="245"/>
      <c r="G4051" s="235" t="s">
        <v>30234</v>
      </c>
      <c r="H4051" s="235" t="s">
        <v>30235</v>
      </c>
      <c r="I4051" s="235" t="s">
        <v>30236</v>
      </c>
      <c r="J4051" s="235" t="s">
        <v>30237</v>
      </c>
      <c r="K4051" s="235" t="s">
        <v>30238</v>
      </c>
      <c r="N4051" s="235" t="s">
        <v>962</v>
      </c>
      <c r="O4051" s="235" t="s">
        <v>963</v>
      </c>
      <c r="P4051" s="238">
        <v>1.0</v>
      </c>
      <c r="Q4051" s="235" t="s">
        <v>627</v>
      </c>
      <c r="R4051" s="238">
        <v>237.14</v>
      </c>
      <c r="S4051" s="238">
        <v>11.86</v>
      </c>
      <c r="T4051" s="238">
        <v>0.0</v>
      </c>
      <c r="U4051" s="238">
        <v>0.0</v>
      </c>
      <c r="V4051" s="238">
        <v>0.0</v>
      </c>
      <c r="W4051" s="238">
        <v>0.0</v>
      </c>
      <c r="X4051" s="235" t="s">
        <v>628</v>
      </c>
      <c r="Z4051" s="245"/>
      <c r="AA4051" s="245"/>
      <c r="AB4051" s="245"/>
      <c r="AC4051" s="235" t="s">
        <v>832</v>
      </c>
      <c r="AD4051" s="235" t="s">
        <v>833</v>
      </c>
      <c r="AE4051" s="238">
        <v>530018.0</v>
      </c>
      <c r="AF4051" s="235" t="s">
        <v>631</v>
      </c>
      <c r="AG4051" s="245"/>
      <c r="AH4051" s="245"/>
      <c r="AI4051" s="245"/>
      <c r="AJ4051" s="245"/>
      <c r="AK4051" s="245"/>
      <c r="AL4051" s="245"/>
      <c r="AM4051" s="245"/>
      <c r="AN4051" s="245"/>
      <c r="AO4051" s="238">
        <v>0.0</v>
      </c>
      <c r="AP4051" s="238">
        <v>0.0</v>
      </c>
      <c r="AQ4051" s="235" t="s">
        <v>632</v>
      </c>
      <c r="AR4051" s="243">
        <v>3.71E11</v>
      </c>
      <c r="AS4051" s="235" t="s">
        <v>25098</v>
      </c>
      <c r="AT4051" s="235" t="s">
        <v>17</v>
      </c>
      <c r="AU4051" s="235" t="s">
        <v>634</v>
      </c>
      <c r="AV4051" s="246" t="s">
        <v>635</v>
      </c>
      <c r="AW4051" s="227"/>
      <c r="AX4051" s="227"/>
      <c r="AY4051" s="227"/>
      <c r="AZ4051" s="227"/>
      <c r="BA4051" s="227"/>
      <c r="BB4051" s="227"/>
      <c r="BC4051" s="227"/>
      <c r="BD4051" s="227"/>
      <c r="BE4051" s="227"/>
      <c r="BF4051" s="227"/>
    </row>
    <row r="4052">
      <c r="A4052" s="235" t="s">
        <v>30239</v>
      </c>
      <c r="C4052" s="235" t="s">
        <v>30240</v>
      </c>
      <c r="D4052" s="235" t="s">
        <v>30241</v>
      </c>
      <c r="E4052" s="243">
        <v>6.51E13</v>
      </c>
      <c r="F4052" s="245"/>
      <c r="G4052" s="235" t="s">
        <v>30242</v>
      </c>
      <c r="H4052" s="235" t="s">
        <v>30243</v>
      </c>
      <c r="I4052" s="235" t="s">
        <v>30243</v>
      </c>
      <c r="J4052" s="235" t="s">
        <v>30244</v>
      </c>
      <c r="K4052" s="235" t="s">
        <v>30245</v>
      </c>
      <c r="N4052" s="235" t="s">
        <v>127</v>
      </c>
      <c r="O4052" s="235" t="s">
        <v>794</v>
      </c>
      <c r="P4052" s="238">
        <v>1.0</v>
      </c>
      <c r="Q4052" s="235" t="s">
        <v>627</v>
      </c>
      <c r="R4052" s="238">
        <v>236.2</v>
      </c>
      <c r="S4052" s="238">
        <v>11.45</v>
      </c>
      <c r="T4052" s="238">
        <v>0.0</v>
      </c>
      <c r="U4052" s="238">
        <v>0.0</v>
      </c>
      <c r="V4052" s="238">
        <v>0.0</v>
      </c>
      <c r="W4052" s="238">
        <v>0.0</v>
      </c>
      <c r="X4052" s="235" t="s">
        <v>628</v>
      </c>
      <c r="Z4052" s="245"/>
      <c r="AA4052" s="245"/>
      <c r="AB4052" s="245"/>
      <c r="AC4052" s="235" t="s">
        <v>30246</v>
      </c>
      <c r="AD4052" s="235" t="s">
        <v>666</v>
      </c>
      <c r="AE4052" s="238">
        <v>602025.0</v>
      </c>
      <c r="AF4052" s="235" t="s">
        <v>631</v>
      </c>
      <c r="AG4052" s="245"/>
      <c r="AH4052" s="245"/>
      <c r="AI4052" s="245"/>
      <c r="AJ4052" s="245"/>
      <c r="AK4052" s="245"/>
      <c r="AL4052" s="245"/>
      <c r="AM4052" s="245"/>
      <c r="AN4052" s="245"/>
      <c r="AO4052" s="238">
        <v>-7.09</v>
      </c>
      <c r="AP4052" s="238">
        <v>0.0</v>
      </c>
      <c r="AQ4052" s="235" t="s">
        <v>632</v>
      </c>
      <c r="AR4052" s="243">
        <v>3.71E11</v>
      </c>
      <c r="AS4052" s="235" t="s">
        <v>29883</v>
      </c>
      <c r="AT4052" s="235" t="s">
        <v>156</v>
      </c>
      <c r="AU4052" s="235" t="s">
        <v>634</v>
      </c>
      <c r="AV4052" s="246" t="s">
        <v>635</v>
      </c>
      <c r="AW4052" s="227"/>
      <c r="AX4052" s="227"/>
      <c r="AY4052" s="227"/>
      <c r="AZ4052" s="227"/>
      <c r="BA4052" s="227"/>
      <c r="BB4052" s="227"/>
      <c r="BC4052" s="227"/>
      <c r="BD4052" s="227"/>
      <c r="BE4052" s="227"/>
      <c r="BF4052" s="227"/>
    </row>
    <row r="4053">
      <c r="A4053" s="235" t="s">
        <v>30247</v>
      </c>
      <c r="C4053" s="235" t="s">
        <v>30248</v>
      </c>
      <c r="D4053" s="235" t="s">
        <v>30249</v>
      </c>
      <c r="E4053" s="243">
        <v>6.51E13</v>
      </c>
      <c r="F4053" s="245"/>
      <c r="G4053" s="235" t="s">
        <v>30250</v>
      </c>
      <c r="H4053" s="235" t="s">
        <v>30251</v>
      </c>
      <c r="I4053" s="235" t="s">
        <v>30252</v>
      </c>
      <c r="J4053" s="235" t="s">
        <v>30253</v>
      </c>
      <c r="K4053" s="235" t="s">
        <v>30254</v>
      </c>
      <c r="N4053" s="235" t="s">
        <v>153</v>
      </c>
      <c r="O4053" s="235" t="s">
        <v>390</v>
      </c>
      <c r="P4053" s="238">
        <v>1.0</v>
      </c>
      <c r="Q4053" s="235" t="s">
        <v>627</v>
      </c>
      <c r="R4053" s="238">
        <v>490.68</v>
      </c>
      <c r="S4053" s="238">
        <v>88.32</v>
      </c>
      <c r="T4053" s="238">
        <v>0.0</v>
      </c>
      <c r="U4053" s="238">
        <v>0.0</v>
      </c>
      <c r="V4053" s="238">
        <v>0.0</v>
      </c>
      <c r="W4053" s="238">
        <v>0.0</v>
      </c>
      <c r="X4053" s="235" t="s">
        <v>628</v>
      </c>
      <c r="Z4053" s="245"/>
      <c r="AA4053" s="245"/>
      <c r="AB4053" s="245"/>
      <c r="AC4053" s="235" t="s">
        <v>2731</v>
      </c>
      <c r="AD4053" s="235" t="s">
        <v>666</v>
      </c>
      <c r="AE4053" s="238">
        <v>635002.0</v>
      </c>
      <c r="AF4053" s="235" t="s">
        <v>631</v>
      </c>
      <c r="AG4053" s="245"/>
      <c r="AH4053" s="245"/>
      <c r="AI4053" s="245"/>
      <c r="AJ4053" s="245"/>
      <c r="AK4053" s="245"/>
      <c r="AL4053" s="245"/>
      <c r="AM4053" s="245"/>
      <c r="AN4053" s="245"/>
      <c r="AO4053" s="238">
        <v>0.0</v>
      </c>
      <c r="AP4053" s="238">
        <v>0.0</v>
      </c>
      <c r="AQ4053" s="235" t="s">
        <v>632</v>
      </c>
      <c r="AR4053" s="243">
        <v>1.68E11</v>
      </c>
      <c r="AS4053" s="235" t="s">
        <v>29883</v>
      </c>
      <c r="AT4053" s="235" t="s">
        <v>155</v>
      </c>
      <c r="AU4053" s="235" t="s">
        <v>634</v>
      </c>
      <c r="AV4053" s="246" t="s">
        <v>635</v>
      </c>
      <c r="AW4053" s="227"/>
      <c r="AX4053" s="227"/>
      <c r="AY4053" s="227"/>
      <c r="AZ4053" s="227"/>
      <c r="BA4053" s="227"/>
      <c r="BB4053" s="227"/>
      <c r="BC4053" s="227"/>
      <c r="BD4053" s="227"/>
      <c r="BE4053" s="227"/>
      <c r="BF4053" s="227"/>
    </row>
    <row r="4054">
      <c r="A4054" s="235" t="s">
        <v>30255</v>
      </c>
      <c r="C4054" s="235" t="s">
        <v>30256</v>
      </c>
      <c r="D4054" s="235" t="s">
        <v>30257</v>
      </c>
      <c r="E4054" s="243">
        <v>6.51E13</v>
      </c>
      <c r="F4054" s="245"/>
      <c r="G4054" s="235" t="s">
        <v>30258</v>
      </c>
      <c r="H4054" s="235" t="s">
        <v>30259</v>
      </c>
      <c r="I4054" s="235" t="s">
        <v>30259</v>
      </c>
      <c r="J4054" s="235" t="s">
        <v>30260</v>
      </c>
      <c r="K4054" s="235" t="s">
        <v>30261</v>
      </c>
      <c r="N4054" s="235" t="s">
        <v>42</v>
      </c>
      <c r="O4054" s="235" t="s">
        <v>204</v>
      </c>
      <c r="P4054" s="238">
        <v>1.0</v>
      </c>
      <c r="Q4054" s="235" t="s">
        <v>627</v>
      </c>
      <c r="R4054" s="238">
        <v>236.2</v>
      </c>
      <c r="S4054" s="238">
        <v>11.8</v>
      </c>
      <c r="T4054" s="238">
        <v>0.0</v>
      </c>
      <c r="U4054" s="238">
        <v>0.0</v>
      </c>
      <c r="V4054" s="238">
        <v>0.0</v>
      </c>
      <c r="W4054" s="238">
        <v>0.0</v>
      </c>
      <c r="X4054" s="235" t="s">
        <v>628</v>
      </c>
      <c r="Z4054" s="245"/>
      <c r="AA4054" s="245"/>
      <c r="AB4054" s="245"/>
      <c r="AC4054" s="235" t="s">
        <v>30262</v>
      </c>
      <c r="AD4054" s="235" t="s">
        <v>666</v>
      </c>
      <c r="AE4054" s="238">
        <v>641043.0</v>
      </c>
      <c r="AF4054" s="235" t="s">
        <v>631</v>
      </c>
      <c r="AG4054" s="245"/>
      <c r="AH4054" s="245"/>
      <c r="AI4054" s="245"/>
      <c r="AJ4054" s="245"/>
      <c r="AK4054" s="245"/>
      <c r="AL4054" s="245"/>
      <c r="AM4054" s="245"/>
      <c r="AN4054" s="245"/>
      <c r="AO4054" s="238">
        <v>0.0</v>
      </c>
      <c r="AP4054" s="238">
        <v>0.0</v>
      </c>
      <c r="AQ4054" s="235" t="s">
        <v>632</v>
      </c>
      <c r="AR4054" s="243">
        <v>1.68E11</v>
      </c>
      <c r="AS4054" s="235" t="s">
        <v>30263</v>
      </c>
      <c r="AT4054" s="235" t="s">
        <v>155</v>
      </c>
      <c r="AU4054" s="235" t="s">
        <v>634</v>
      </c>
      <c r="AV4054" s="246" t="s">
        <v>635</v>
      </c>
      <c r="AW4054" s="227"/>
      <c r="AX4054" s="227"/>
      <c r="AY4054" s="227"/>
      <c r="AZ4054" s="227"/>
      <c r="BA4054" s="227"/>
      <c r="BB4054" s="227"/>
      <c r="BC4054" s="227"/>
      <c r="BD4054" s="227"/>
      <c r="BE4054" s="227"/>
      <c r="BF4054" s="227"/>
    </row>
    <row r="4055">
      <c r="A4055" s="235" t="s">
        <v>30264</v>
      </c>
      <c r="C4055" s="235" t="s">
        <v>30265</v>
      </c>
      <c r="D4055" s="235" t="s">
        <v>30266</v>
      </c>
      <c r="E4055" s="243">
        <v>6.51E13</v>
      </c>
      <c r="F4055" s="245"/>
      <c r="G4055" s="235" t="s">
        <v>30267</v>
      </c>
      <c r="H4055" s="235" t="s">
        <v>30268</v>
      </c>
      <c r="I4055" s="235" t="s">
        <v>30268</v>
      </c>
      <c r="J4055" s="235" t="s">
        <v>30269</v>
      </c>
      <c r="K4055" s="235" t="s">
        <v>30270</v>
      </c>
      <c r="N4055" s="235" t="s">
        <v>127</v>
      </c>
      <c r="O4055" s="235" t="s">
        <v>794</v>
      </c>
      <c r="P4055" s="238">
        <v>1.0</v>
      </c>
      <c r="Q4055" s="235" t="s">
        <v>627</v>
      </c>
      <c r="R4055" s="238">
        <v>236.2</v>
      </c>
      <c r="S4055" s="238">
        <v>11.8</v>
      </c>
      <c r="T4055" s="238">
        <v>0.0</v>
      </c>
      <c r="U4055" s="238">
        <v>0.0</v>
      </c>
      <c r="V4055" s="238">
        <v>0.0</v>
      </c>
      <c r="W4055" s="238">
        <v>0.0</v>
      </c>
      <c r="X4055" s="235" t="s">
        <v>628</v>
      </c>
      <c r="Z4055" s="245"/>
      <c r="AA4055" s="245"/>
      <c r="AB4055" s="245"/>
      <c r="AC4055" s="235" t="s">
        <v>678</v>
      </c>
      <c r="AD4055" s="235" t="s">
        <v>679</v>
      </c>
      <c r="AE4055" s="238">
        <v>560115.0</v>
      </c>
      <c r="AF4055" s="235" t="s">
        <v>631</v>
      </c>
      <c r="AG4055" s="245"/>
      <c r="AH4055" s="245"/>
      <c r="AI4055" s="245"/>
      <c r="AJ4055" s="245"/>
      <c r="AK4055" s="245"/>
      <c r="AL4055" s="245"/>
      <c r="AM4055" s="245"/>
      <c r="AN4055" s="245"/>
      <c r="AO4055" s="238">
        <v>0.0</v>
      </c>
      <c r="AP4055" s="238">
        <v>0.0</v>
      </c>
      <c r="AQ4055" s="235" t="s">
        <v>632</v>
      </c>
      <c r="AR4055" s="243">
        <v>1.68E11</v>
      </c>
      <c r="AS4055" s="235" t="s">
        <v>29883</v>
      </c>
      <c r="AT4055" s="235" t="s">
        <v>11</v>
      </c>
      <c r="AU4055" s="235" t="s">
        <v>634</v>
      </c>
      <c r="AV4055" s="246" t="s">
        <v>635</v>
      </c>
      <c r="AW4055" s="227"/>
      <c r="AX4055" s="227"/>
      <c r="AY4055" s="227"/>
      <c r="AZ4055" s="227"/>
      <c r="BA4055" s="227"/>
      <c r="BB4055" s="227"/>
      <c r="BC4055" s="227"/>
      <c r="BD4055" s="227"/>
      <c r="BE4055" s="227"/>
      <c r="BF4055" s="227"/>
    </row>
    <row r="4056">
      <c r="A4056" s="235" t="s">
        <v>30271</v>
      </c>
      <c r="C4056" s="235" t="s">
        <v>30272</v>
      </c>
      <c r="D4056" s="235" t="s">
        <v>30273</v>
      </c>
      <c r="E4056" s="243">
        <v>6.51E13</v>
      </c>
      <c r="F4056" s="245"/>
      <c r="G4056" s="235" t="s">
        <v>30274</v>
      </c>
      <c r="H4056" s="235" t="s">
        <v>30275</v>
      </c>
      <c r="I4056" s="235" t="s">
        <v>30275</v>
      </c>
      <c r="J4056" s="235" t="s">
        <v>30276</v>
      </c>
      <c r="K4056" s="235" t="s">
        <v>30277</v>
      </c>
      <c r="N4056" s="235" t="s">
        <v>127</v>
      </c>
      <c r="O4056" s="235" t="s">
        <v>794</v>
      </c>
      <c r="P4056" s="238">
        <v>1.0</v>
      </c>
      <c r="Q4056" s="235" t="s">
        <v>627</v>
      </c>
      <c r="R4056" s="238">
        <v>236.2</v>
      </c>
      <c r="S4056" s="238">
        <v>11.8</v>
      </c>
      <c r="T4056" s="238">
        <v>0.0</v>
      </c>
      <c r="U4056" s="238">
        <v>0.0</v>
      </c>
      <c r="V4056" s="238">
        <v>0.0</v>
      </c>
      <c r="W4056" s="238">
        <v>0.0</v>
      </c>
      <c r="X4056" s="235" t="s">
        <v>628</v>
      </c>
      <c r="Z4056" s="245"/>
      <c r="AA4056" s="245"/>
      <c r="AB4056" s="245"/>
      <c r="AC4056" s="235" t="s">
        <v>5091</v>
      </c>
      <c r="AD4056" s="235" t="s">
        <v>845</v>
      </c>
      <c r="AE4056" s="238">
        <v>440034.0</v>
      </c>
      <c r="AF4056" s="235" t="s">
        <v>631</v>
      </c>
      <c r="AG4056" s="245"/>
      <c r="AH4056" s="245"/>
      <c r="AI4056" s="245"/>
      <c r="AJ4056" s="245"/>
      <c r="AK4056" s="245"/>
      <c r="AL4056" s="245"/>
      <c r="AM4056" s="245"/>
      <c r="AN4056" s="245"/>
      <c r="AO4056" s="238">
        <v>0.0</v>
      </c>
      <c r="AP4056" s="238">
        <v>0.0</v>
      </c>
      <c r="AQ4056" s="235" t="s">
        <v>632</v>
      </c>
      <c r="AR4056" s="243">
        <v>3.71E11</v>
      </c>
      <c r="AS4056" s="235" t="s">
        <v>26892</v>
      </c>
      <c r="AT4056" s="235" t="s">
        <v>17</v>
      </c>
      <c r="AU4056" s="235" t="s">
        <v>634</v>
      </c>
      <c r="AV4056" s="246" t="s">
        <v>635</v>
      </c>
      <c r="AW4056" s="227"/>
      <c r="AX4056" s="227"/>
      <c r="AY4056" s="227"/>
      <c r="AZ4056" s="227"/>
      <c r="BA4056" s="227"/>
      <c r="BB4056" s="227"/>
      <c r="BC4056" s="227"/>
      <c r="BD4056" s="227"/>
      <c r="BE4056" s="227"/>
      <c r="BF4056" s="227"/>
    </row>
    <row r="4057">
      <c r="A4057" s="235" t="s">
        <v>30278</v>
      </c>
      <c r="C4057" s="235" t="s">
        <v>30279</v>
      </c>
      <c r="D4057" s="235" t="s">
        <v>30280</v>
      </c>
      <c r="E4057" s="243">
        <v>6.51E13</v>
      </c>
      <c r="F4057" s="245"/>
      <c r="G4057" s="235" t="s">
        <v>30281</v>
      </c>
      <c r="H4057" s="235" t="s">
        <v>30282</v>
      </c>
      <c r="I4057" s="235" t="s">
        <v>30283</v>
      </c>
      <c r="J4057" s="235" t="s">
        <v>30284</v>
      </c>
      <c r="K4057" s="235" t="s">
        <v>30285</v>
      </c>
      <c r="N4057" s="235" t="s">
        <v>42</v>
      </c>
      <c r="O4057" s="235" t="s">
        <v>204</v>
      </c>
      <c r="P4057" s="238">
        <v>1.0</v>
      </c>
      <c r="Q4057" s="235" t="s">
        <v>627</v>
      </c>
      <c r="R4057" s="238">
        <v>236.2</v>
      </c>
      <c r="S4057" s="238">
        <v>11.45</v>
      </c>
      <c r="T4057" s="238">
        <v>0.0</v>
      </c>
      <c r="U4057" s="238">
        <v>0.0</v>
      </c>
      <c r="V4057" s="238">
        <v>0.0</v>
      </c>
      <c r="W4057" s="238">
        <v>0.0</v>
      </c>
      <c r="X4057" s="235" t="s">
        <v>628</v>
      </c>
      <c r="Z4057" s="245"/>
      <c r="AA4057" s="245"/>
      <c r="AB4057" s="245"/>
      <c r="AC4057" s="235" t="s">
        <v>678</v>
      </c>
      <c r="AD4057" s="235" t="s">
        <v>679</v>
      </c>
      <c r="AE4057" s="238">
        <v>560048.0</v>
      </c>
      <c r="AF4057" s="235" t="s">
        <v>631</v>
      </c>
      <c r="AG4057" s="245"/>
      <c r="AH4057" s="245"/>
      <c r="AI4057" s="245"/>
      <c r="AJ4057" s="245"/>
      <c r="AK4057" s="245"/>
      <c r="AL4057" s="245"/>
      <c r="AM4057" s="245"/>
      <c r="AN4057" s="245"/>
      <c r="AO4057" s="238">
        <v>-7.09</v>
      </c>
      <c r="AP4057" s="238">
        <v>0.0</v>
      </c>
      <c r="AQ4057" s="235" t="s">
        <v>632</v>
      </c>
      <c r="AR4057" s="243">
        <v>1.68E11</v>
      </c>
      <c r="AS4057" s="235" t="s">
        <v>30263</v>
      </c>
      <c r="AT4057" s="235" t="s">
        <v>11</v>
      </c>
      <c r="AU4057" s="235" t="s">
        <v>634</v>
      </c>
      <c r="AV4057" s="246" t="s">
        <v>635</v>
      </c>
      <c r="AW4057" s="227"/>
      <c r="AX4057" s="227"/>
      <c r="AY4057" s="227"/>
      <c r="AZ4057" s="227"/>
      <c r="BA4057" s="227"/>
      <c r="BB4057" s="227"/>
      <c r="BC4057" s="227"/>
      <c r="BD4057" s="227"/>
      <c r="BE4057" s="227"/>
      <c r="BF4057" s="227"/>
    </row>
    <row r="4058">
      <c r="A4058" s="235" t="s">
        <v>30286</v>
      </c>
      <c r="C4058" s="235" t="s">
        <v>30287</v>
      </c>
      <c r="D4058" s="235" t="s">
        <v>30288</v>
      </c>
      <c r="E4058" s="243">
        <v>6.51E13</v>
      </c>
      <c r="F4058" s="245"/>
      <c r="G4058" s="235" t="s">
        <v>30289</v>
      </c>
      <c r="H4058" s="235" t="s">
        <v>30290</v>
      </c>
      <c r="I4058" s="235" t="s">
        <v>30290</v>
      </c>
      <c r="J4058" s="235" t="s">
        <v>30291</v>
      </c>
      <c r="K4058" s="235" t="s">
        <v>30292</v>
      </c>
      <c r="N4058" s="235" t="s">
        <v>130</v>
      </c>
      <c r="O4058" s="235" t="s">
        <v>707</v>
      </c>
      <c r="P4058" s="238">
        <v>1.0</v>
      </c>
      <c r="Q4058" s="235" t="s">
        <v>627</v>
      </c>
      <c r="R4058" s="238">
        <v>232.38</v>
      </c>
      <c r="S4058" s="238">
        <v>11.28</v>
      </c>
      <c r="T4058" s="238">
        <v>0.0</v>
      </c>
      <c r="U4058" s="238">
        <v>0.0</v>
      </c>
      <c r="V4058" s="238">
        <v>0.0</v>
      </c>
      <c r="W4058" s="238">
        <v>0.0</v>
      </c>
      <c r="X4058" s="235" t="s">
        <v>628</v>
      </c>
      <c r="Z4058" s="245"/>
      <c r="AA4058" s="245"/>
      <c r="AB4058" s="245"/>
      <c r="AC4058" s="235" t="s">
        <v>678</v>
      </c>
      <c r="AD4058" s="235" t="s">
        <v>679</v>
      </c>
      <c r="AE4058" s="238">
        <v>560043.0</v>
      </c>
      <c r="AF4058" s="235" t="s">
        <v>631</v>
      </c>
      <c r="AG4058" s="245"/>
      <c r="AH4058" s="245"/>
      <c r="AI4058" s="245"/>
      <c r="AJ4058" s="245"/>
      <c r="AK4058" s="245"/>
      <c r="AL4058" s="245"/>
      <c r="AM4058" s="245"/>
      <c r="AN4058" s="245"/>
      <c r="AO4058" s="238">
        <v>-6.98</v>
      </c>
      <c r="AP4058" s="238">
        <v>0.0</v>
      </c>
      <c r="AQ4058" s="235" t="s">
        <v>632</v>
      </c>
      <c r="AR4058" s="243">
        <v>3.71E11</v>
      </c>
      <c r="AS4058" s="235" t="s">
        <v>29883</v>
      </c>
      <c r="AT4058" s="235" t="s">
        <v>9</v>
      </c>
      <c r="AU4058" s="235" t="s">
        <v>634</v>
      </c>
      <c r="AV4058" s="246" t="s">
        <v>635</v>
      </c>
      <c r="AW4058" s="227"/>
      <c r="AX4058" s="227"/>
      <c r="AY4058" s="227"/>
      <c r="AZ4058" s="227"/>
      <c r="BA4058" s="227"/>
      <c r="BB4058" s="227"/>
      <c r="BC4058" s="227"/>
      <c r="BD4058" s="227"/>
      <c r="BE4058" s="227"/>
      <c r="BF4058" s="227"/>
    </row>
    <row r="4059">
      <c r="A4059" s="235" t="s">
        <v>30293</v>
      </c>
      <c r="C4059" s="235" t="s">
        <v>30294</v>
      </c>
      <c r="D4059" s="235" t="s">
        <v>30295</v>
      </c>
      <c r="E4059" s="243">
        <v>6.51E13</v>
      </c>
      <c r="F4059" s="245"/>
      <c r="G4059" s="235" t="s">
        <v>30296</v>
      </c>
      <c r="H4059" s="235" t="s">
        <v>30297</v>
      </c>
      <c r="I4059" s="235" t="s">
        <v>30298</v>
      </c>
      <c r="J4059" s="235" t="s">
        <v>30299</v>
      </c>
      <c r="K4059" s="235" t="s">
        <v>30300</v>
      </c>
      <c r="N4059" s="235" t="s">
        <v>71</v>
      </c>
      <c r="O4059" s="235" t="s">
        <v>240</v>
      </c>
      <c r="P4059" s="238">
        <v>1.0</v>
      </c>
      <c r="Q4059" s="235" t="s">
        <v>627</v>
      </c>
      <c r="R4059" s="238">
        <v>223.8</v>
      </c>
      <c r="S4059" s="238">
        <v>11.2</v>
      </c>
      <c r="T4059" s="238">
        <v>0.0</v>
      </c>
      <c r="U4059" s="238">
        <v>0.0</v>
      </c>
      <c r="V4059" s="238">
        <v>0.0</v>
      </c>
      <c r="W4059" s="238">
        <v>0.0</v>
      </c>
      <c r="X4059" s="235" t="s">
        <v>628</v>
      </c>
      <c r="Z4059" s="245"/>
      <c r="AA4059" s="245"/>
      <c r="AB4059" s="245"/>
      <c r="AC4059" s="235" t="s">
        <v>678</v>
      </c>
      <c r="AD4059" s="235" t="s">
        <v>679</v>
      </c>
      <c r="AE4059" s="238">
        <v>560035.0</v>
      </c>
      <c r="AF4059" s="235" t="s">
        <v>631</v>
      </c>
      <c r="AG4059" s="245"/>
      <c r="AH4059" s="245"/>
      <c r="AI4059" s="245"/>
      <c r="AJ4059" s="245"/>
      <c r="AK4059" s="245"/>
      <c r="AL4059" s="245"/>
      <c r="AM4059" s="245"/>
      <c r="AN4059" s="245"/>
      <c r="AO4059" s="238">
        <v>0.0</v>
      </c>
      <c r="AP4059" s="238">
        <v>0.0</v>
      </c>
      <c r="AQ4059" s="235" t="s">
        <v>632</v>
      </c>
      <c r="AR4059" s="243">
        <v>1.68E11</v>
      </c>
      <c r="AS4059" s="235" t="s">
        <v>30263</v>
      </c>
      <c r="AT4059" s="235" t="s">
        <v>11</v>
      </c>
      <c r="AU4059" s="235" t="s">
        <v>634</v>
      </c>
      <c r="AV4059" s="246" t="s">
        <v>635</v>
      </c>
      <c r="AW4059" s="227"/>
      <c r="AX4059" s="227"/>
      <c r="AY4059" s="227"/>
      <c r="AZ4059" s="227"/>
      <c r="BA4059" s="227"/>
      <c r="BB4059" s="227"/>
      <c r="BC4059" s="227"/>
      <c r="BD4059" s="227"/>
      <c r="BE4059" s="227"/>
      <c r="BF4059" s="227"/>
    </row>
    <row r="4060">
      <c r="A4060" s="235" t="s">
        <v>30301</v>
      </c>
      <c r="C4060" s="235" t="s">
        <v>30302</v>
      </c>
      <c r="D4060" s="235" t="s">
        <v>30303</v>
      </c>
      <c r="E4060" s="243">
        <v>6.51E13</v>
      </c>
      <c r="F4060" s="245"/>
      <c r="G4060" s="235" t="s">
        <v>30304</v>
      </c>
      <c r="H4060" s="235" t="s">
        <v>30305</v>
      </c>
      <c r="I4060" s="235" t="s">
        <v>30305</v>
      </c>
      <c r="J4060" s="235" t="s">
        <v>30306</v>
      </c>
      <c r="K4060" s="235" t="s">
        <v>24396</v>
      </c>
      <c r="N4060" s="235" t="s">
        <v>22</v>
      </c>
      <c r="O4060" s="235" t="s">
        <v>729</v>
      </c>
      <c r="P4060" s="238">
        <v>1.0</v>
      </c>
      <c r="Q4060" s="235" t="s">
        <v>627</v>
      </c>
      <c r="R4060" s="238">
        <v>380.0</v>
      </c>
      <c r="S4060" s="238">
        <v>18.43</v>
      </c>
      <c r="T4060" s="238">
        <v>0.0</v>
      </c>
      <c r="U4060" s="238">
        <v>0.0</v>
      </c>
      <c r="V4060" s="238">
        <v>0.0</v>
      </c>
      <c r="W4060" s="238">
        <v>0.0</v>
      </c>
      <c r="X4060" s="235" t="s">
        <v>628</v>
      </c>
      <c r="Z4060" s="245"/>
      <c r="AA4060" s="245"/>
      <c r="AB4060" s="245"/>
      <c r="AC4060" s="235" t="s">
        <v>9521</v>
      </c>
      <c r="AD4060" s="235" t="s">
        <v>1077</v>
      </c>
      <c r="AE4060" s="238">
        <v>395004.0</v>
      </c>
      <c r="AF4060" s="235" t="s">
        <v>631</v>
      </c>
      <c r="AG4060" s="245"/>
      <c r="AH4060" s="245"/>
      <c r="AI4060" s="245"/>
      <c r="AJ4060" s="245"/>
      <c r="AK4060" s="245"/>
      <c r="AL4060" s="245"/>
      <c r="AM4060" s="245"/>
      <c r="AN4060" s="245"/>
      <c r="AO4060" s="238">
        <v>-11.4</v>
      </c>
      <c r="AP4060" s="238">
        <v>0.0</v>
      </c>
      <c r="AQ4060" s="235" t="s">
        <v>632</v>
      </c>
      <c r="AR4060" s="243">
        <v>3.71E11</v>
      </c>
      <c r="AS4060" s="235" t="s">
        <v>26892</v>
      </c>
      <c r="AT4060" s="235" t="s">
        <v>16</v>
      </c>
      <c r="AU4060" s="235" t="s">
        <v>634</v>
      </c>
      <c r="AV4060" s="246" t="s">
        <v>635</v>
      </c>
      <c r="AW4060" s="227"/>
      <c r="AX4060" s="227"/>
      <c r="AY4060" s="227"/>
      <c r="AZ4060" s="227"/>
      <c r="BA4060" s="227"/>
      <c r="BB4060" s="227"/>
      <c r="BC4060" s="227"/>
      <c r="BD4060" s="227"/>
      <c r="BE4060" s="227"/>
      <c r="BF4060" s="227"/>
    </row>
    <row r="4061">
      <c r="A4061" s="235" t="s">
        <v>30307</v>
      </c>
      <c r="C4061" s="235" t="s">
        <v>30308</v>
      </c>
      <c r="D4061" s="235" t="s">
        <v>30309</v>
      </c>
      <c r="E4061" s="243">
        <v>6.51E13</v>
      </c>
      <c r="F4061" s="245"/>
      <c r="G4061" s="235" t="s">
        <v>30310</v>
      </c>
      <c r="H4061" s="235" t="s">
        <v>30311</v>
      </c>
      <c r="I4061" s="235" t="s">
        <v>30311</v>
      </c>
      <c r="J4061" s="235" t="s">
        <v>30312</v>
      </c>
      <c r="K4061" s="235" t="s">
        <v>30313</v>
      </c>
      <c r="N4061" s="235" t="s">
        <v>41</v>
      </c>
      <c r="O4061" s="235" t="s">
        <v>291</v>
      </c>
      <c r="P4061" s="238">
        <v>1.0</v>
      </c>
      <c r="Q4061" s="235" t="s">
        <v>627</v>
      </c>
      <c r="R4061" s="238">
        <v>233.33</v>
      </c>
      <c r="S4061" s="238">
        <v>11.32</v>
      </c>
      <c r="T4061" s="238">
        <v>0.0</v>
      </c>
      <c r="U4061" s="238">
        <v>0.0</v>
      </c>
      <c r="V4061" s="238">
        <v>0.0</v>
      </c>
      <c r="W4061" s="238">
        <v>0.0</v>
      </c>
      <c r="X4061" s="235" t="s">
        <v>628</v>
      </c>
      <c r="Z4061" s="245"/>
      <c r="AA4061" s="245"/>
      <c r="AB4061" s="245"/>
      <c r="AC4061" s="235" t="s">
        <v>25128</v>
      </c>
      <c r="AD4061" s="235" t="s">
        <v>666</v>
      </c>
      <c r="AE4061" s="238">
        <v>609704.0</v>
      </c>
      <c r="AF4061" s="235" t="s">
        <v>631</v>
      </c>
      <c r="AG4061" s="245"/>
      <c r="AH4061" s="245"/>
      <c r="AI4061" s="245"/>
      <c r="AJ4061" s="245"/>
      <c r="AK4061" s="245"/>
      <c r="AL4061" s="245"/>
      <c r="AM4061" s="245"/>
      <c r="AN4061" s="245"/>
      <c r="AO4061" s="238">
        <v>-7.0</v>
      </c>
      <c r="AP4061" s="238">
        <v>0.0</v>
      </c>
      <c r="AQ4061" s="235" t="s">
        <v>2778</v>
      </c>
      <c r="AR4061" s="243">
        <v>7.82E10</v>
      </c>
      <c r="AS4061" s="235" t="s">
        <v>13822</v>
      </c>
      <c r="AT4061" s="235" t="s">
        <v>14</v>
      </c>
      <c r="AU4061" s="235" t="s">
        <v>634</v>
      </c>
      <c r="AV4061" s="246" t="s">
        <v>635</v>
      </c>
      <c r="AW4061" s="227"/>
      <c r="AX4061" s="227"/>
      <c r="AY4061" s="227"/>
      <c r="AZ4061" s="227"/>
      <c r="BA4061" s="227"/>
      <c r="BB4061" s="227"/>
      <c r="BC4061" s="227"/>
      <c r="BD4061" s="227"/>
      <c r="BE4061" s="227"/>
      <c r="BF4061" s="227"/>
    </row>
    <row r="4062">
      <c r="A4062" s="235" t="s">
        <v>30314</v>
      </c>
      <c r="C4062" s="235" t="s">
        <v>30315</v>
      </c>
      <c r="D4062" s="235" t="s">
        <v>30316</v>
      </c>
      <c r="E4062" s="243">
        <v>6.51E13</v>
      </c>
      <c r="F4062" s="245"/>
      <c r="G4062" s="235" t="s">
        <v>30317</v>
      </c>
      <c r="H4062" s="235" t="s">
        <v>30318</v>
      </c>
      <c r="I4062" s="235" t="s">
        <v>30318</v>
      </c>
      <c r="J4062" s="235" t="s">
        <v>30319</v>
      </c>
      <c r="K4062" s="235" t="s">
        <v>30320</v>
      </c>
      <c r="N4062" s="235" t="s">
        <v>144</v>
      </c>
      <c r="O4062" s="235" t="s">
        <v>232</v>
      </c>
      <c r="P4062" s="238">
        <v>1.0</v>
      </c>
      <c r="Q4062" s="235" t="s">
        <v>627</v>
      </c>
      <c r="R4062" s="238">
        <v>626.66</v>
      </c>
      <c r="S4062" s="238">
        <v>30.4</v>
      </c>
      <c r="T4062" s="238">
        <v>0.0</v>
      </c>
      <c r="U4062" s="238">
        <v>0.0</v>
      </c>
      <c r="V4062" s="238">
        <v>0.0</v>
      </c>
      <c r="W4062" s="238">
        <v>0.0</v>
      </c>
      <c r="X4062" s="235" t="s">
        <v>628</v>
      </c>
      <c r="Z4062" s="245"/>
      <c r="AA4062" s="245"/>
      <c r="AB4062" s="245"/>
      <c r="AC4062" s="235" t="s">
        <v>687</v>
      </c>
      <c r="AD4062" s="235" t="s">
        <v>666</v>
      </c>
      <c r="AE4062" s="238">
        <v>600062.0</v>
      </c>
      <c r="AF4062" s="235" t="s">
        <v>631</v>
      </c>
      <c r="AG4062" s="245"/>
      <c r="AH4062" s="245"/>
      <c r="AI4062" s="245"/>
      <c r="AJ4062" s="245"/>
      <c r="AK4062" s="245"/>
      <c r="AL4062" s="245"/>
      <c r="AM4062" s="245"/>
      <c r="AN4062" s="245"/>
      <c r="AO4062" s="238">
        <v>-18.8</v>
      </c>
      <c r="AP4062" s="238">
        <v>0.0</v>
      </c>
      <c r="AQ4062" s="235" t="s">
        <v>632</v>
      </c>
      <c r="AR4062" s="243">
        <v>3.71E11</v>
      </c>
      <c r="AS4062" s="235" t="s">
        <v>29883</v>
      </c>
      <c r="AT4062" s="235" t="s">
        <v>156</v>
      </c>
      <c r="AU4062" s="235" t="s">
        <v>634</v>
      </c>
      <c r="AV4062" s="246" t="s">
        <v>635</v>
      </c>
      <c r="AW4062" s="227"/>
      <c r="AX4062" s="227"/>
      <c r="AY4062" s="227"/>
      <c r="AZ4062" s="227"/>
      <c r="BA4062" s="227"/>
      <c r="BB4062" s="227"/>
      <c r="BC4062" s="227"/>
      <c r="BD4062" s="227"/>
      <c r="BE4062" s="227"/>
      <c r="BF4062" s="227"/>
    </row>
    <row r="4063">
      <c r="A4063" s="235" t="s">
        <v>30321</v>
      </c>
      <c r="C4063" s="235" t="s">
        <v>30322</v>
      </c>
      <c r="D4063" s="235" t="s">
        <v>30323</v>
      </c>
      <c r="E4063" s="243">
        <v>6.51E13</v>
      </c>
      <c r="F4063" s="245"/>
      <c r="G4063" s="235" t="s">
        <v>30324</v>
      </c>
      <c r="H4063" s="235" t="s">
        <v>30325</v>
      </c>
      <c r="I4063" s="235" t="s">
        <v>30326</v>
      </c>
      <c r="J4063" s="235" t="s">
        <v>30327</v>
      </c>
      <c r="K4063" s="235" t="s">
        <v>30328</v>
      </c>
      <c r="N4063" s="235" t="s">
        <v>139</v>
      </c>
      <c r="O4063" s="235" t="s">
        <v>2091</v>
      </c>
      <c r="P4063" s="238">
        <v>1.0</v>
      </c>
      <c r="Q4063" s="235" t="s">
        <v>627</v>
      </c>
      <c r="R4063" s="238">
        <v>233.34</v>
      </c>
      <c r="S4063" s="238">
        <v>11.66</v>
      </c>
      <c r="T4063" s="238">
        <v>0.0</v>
      </c>
      <c r="U4063" s="238">
        <v>0.0</v>
      </c>
      <c r="V4063" s="238">
        <v>0.0</v>
      </c>
      <c r="W4063" s="238">
        <v>0.0</v>
      </c>
      <c r="X4063" s="235" t="s">
        <v>628</v>
      </c>
      <c r="Z4063" s="245"/>
      <c r="AA4063" s="245"/>
      <c r="AB4063" s="245"/>
      <c r="AC4063" s="235" t="s">
        <v>687</v>
      </c>
      <c r="AD4063" s="235" t="s">
        <v>666</v>
      </c>
      <c r="AE4063" s="238">
        <v>600099.0</v>
      </c>
      <c r="AF4063" s="235" t="s">
        <v>631</v>
      </c>
      <c r="AG4063" s="245"/>
      <c r="AH4063" s="245"/>
      <c r="AI4063" s="245"/>
      <c r="AJ4063" s="245"/>
      <c r="AK4063" s="245"/>
      <c r="AL4063" s="245"/>
      <c r="AM4063" s="245"/>
      <c r="AN4063" s="245"/>
      <c r="AO4063" s="238">
        <v>0.0</v>
      </c>
      <c r="AP4063" s="238">
        <v>0.0</v>
      </c>
      <c r="AQ4063" s="235" t="s">
        <v>632</v>
      </c>
      <c r="AR4063" s="243">
        <v>3.71E11</v>
      </c>
      <c r="AS4063" s="235" t="s">
        <v>29883</v>
      </c>
      <c r="AT4063" s="235" t="s">
        <v>156</v>
      </c>
      <c r="AU4063" s="235" t="s">
        <v>634</v>
      </c>
      <c r="AV4063" s="246" t="s">
        <v>635</v>
      </c>
      <c r="AW4063" s="227"/>
      <c r="AX4063" s="227"/>
      <c r="AY4063" s="227"/>
      <c r="AZ4063" s="227"/>
      <c r="BA4063" s="227"/>
      <c r="BB4063" s="227"/>
      <c r="BC4063" s="227"/>
      <c r="BD4063" s="227"/>
      <c r="BE4063" s="227"/>
      <c r="BF4063" s="227"/>
    </row>
    <row r="4064">
      <c r="A4064" s="235" t="s">
        <v>30329</v>
      </c>
      <c r="C4064" s="235" t="s">
        <v>30330</v>
      </c>
      <c r="D4064" s="235" t="s">
        <v>30331</v>
      </c>
      <c r="E4064" s="243">
        <v>6.51E13</v>
      </c>
      <c r="F4064" s="245"/>
      <c r="G4064" s="235" t="s">
        <v>30332</v>
      </c>
      <c r="H4064" s="235" t="s">
        <v>30333</v>
      </c>
      <c r="I4064" s="235" t="s">
        <v>30333</v>
      </c>
      <c r="J4064" s="235" t="s">
        <v>30334</v>
      </c>
      <c r="K4064" s="235" t="s">
        <v>30335</v>
      </c>
      <c r="N4064" s="235" t="s">
        <v>127</v>
      </c>
      <c r="O4064" s="235" t="s">
        <v>794</v>
      </c>
      <c r="P4064" s="238">
        <v>1.0</v>
      </c>
      <c r="Q4064" s="235" t="s">
        <v>627</v>
      </c>
      <c r="R4064" s="238">
        <v>236.2</v>
      </c>
      <c r="S4064" s="238">
        <v>11.8</v>
      </c>
      <c r="T4064" s="238">
        <v>0.0</v>
      </c>
      <c r="U4064" s="238">
        <v>0.0</v>
      </c>
      <c r="V4064" s="238">
        <v>0.0</v>
      </c>
      <c r="W4064" s="238">
        <v>0.0</v>
      </c>
      <c r="X4064" s="235" t="s">
        <v>628</v>
      </c>
      <c r="Z4064" s="245"/>
      <c r="AA4064" s="245"/>
      <c r="AB4064" s="245"/>
      <c r="AC4064" s="235" t="s">
        <v>678</v>
      </c>
      <c r="AD4064" s="235" t="s">
        <v>679</v>
      </c>
      <c r="AE4064" s="238">
        <v>560093.0</v>
      </c>
      <c r="AF4064" s="235" t="s">
        <v>631</v>
      </c>
      <c r="AG4064" s="245"/>
      <c r="AH4064" s="245"/>
      <c r="AI4064" s="245"/>
      <c r="AJ4064" s="245"/>
      <c r="AK4064" s="245"/>
      <c r="AL4064" s="245"/>
      <c r="AM4064" s="245"/>
      <c r="AN4064" s="245"/>
      <c r="AO4064" s="238">
        <v>0.0</v>
      </c>
      <c r="AP4064" s="238">
        <v>0.0</v>
      </c>
      <c r="AQ4064" s="235" t="s">
        <v>632</v>
      </c>
      <c r="AR4064" s="243">
        <v>3.71E11</v>
      </c>
      <c r="AS4064" s="235" t="s">
        <v>29883</v>
      </c>
      <c r="AT4064" s="235" t="s">
        <v>11</v>
      </c>
      <c r="AU4064" s="235" t="s">
        <v>634</v>
      </c>
      <c r="AV4064" s="246" t="s">
        <v>635</v>
      </c>
      <c r="AW4064" s="227"/>
      <c r="AX4064" s="227"/>
      <c r="AY4064" s="227"/>
      <c r="AZ4064" s="227"/>
      <c r="BA4064" s="227"/>
      <c r="BB4064" s="227"/>
      <c r="BC4064" s="227"/>
      <c r="BD4064" s="227"/>
      <c r="BE4064" s="227"/>
      <c r="BF4064" s="227"/>
    </row>
    <row r="4065">
      <c r="A4065" s="235" t="s">
        <v>30336</v>
      </c>
      <c r="C4065" s="235" t="s">
        <v>30337</v>
      </c>
      <c r="D4065" s="235" t="s">
        <v>30338</v>
      </c>
      <c r="E4065" s="243">
        <v>6.51E13</v>
      </c>
      <c r="F4065" s="245"/>
      <c r="G4065" s="235" t="s">
        <v>30339</v>
      </c>
      <c r="H4065" s="235" t="s">
        <v>30340</v>
      </c>
      <c r="I4065" s="235" t="s">
        <v>30340</v>
      </c>
      <c r="J4065" s="235" t="s">
        <v>30341</v>
      </c>
      <c r="K4065" s="235" t="s">
        <v>30342</v>
      </c>
      <c r="N4065" s="235" t="s">
        <v>962</v>
      </c>
      <c r="O4065" s="235" t="s">
        <v>963</v>
      </c>
      <c r="P4065" s="238">
        <v>1.0</v>
      </c>
      <c r="Q4065" s="235" t="s">
        <v>627</v>
      </c>
      <c r="R4065" s="238">
        <v>237.14</v>
      </c>
      <c r="S4065" s="238">
        <v>11.86</v>
      </c>
      <c r="T4065" s="238">
        <v>0.0</v>
      </c>
      <c r="U4065" s="238">
        <v>0.0</v>
      </c>
      <c r="V4065" s="238">
        <v>0.0</v>
      </c>
      <c r="W4065" s="238">
        <v>0.0</v>
      </c>
      <c r="X4065" s="235" t="s">
        <v>628</v>
      </c>
      <c r="Z4065" s="245"/>
      <c r="AA4065" s="245"/>
      <c r="AB4065" s="245"/>
      <c r="AC4065" s="235" t="s">
        <v>687</v>
      </c>
      <c r="AD4065" s="235" t="s">
        <v>666</v>
      </c>
      <c r="AE4065" s="238">
        <v>600091.0</v>
      </c>
      <c r="AF4065" s="235" t="s">
        <v>631</v>
      </c>
      <c r="AG4065" s="245"/>
      <c r="AH4065" s="245"/>
      <c r="AI4065" s="245"/>
      <c r="AJ4065" s="245"/>
      <c r="AK4065" s="245"/>
      <c r="AL4065" s="245"/>
      <c r="AM4065" s="245"/>
      <c r="AN4065" s="245"/>
      <c r="AO4065" s="238">
        <v>0.0</v>
      </c>
      <c r="AP4065" s="238">
        <v>0.0</v>
      </c>
      <c r="AQ4065" s="235" t="s">
        <v>632</v>
      </c>
      <c r="AR4065" s="243">
        <v>3.71E11</v>
      </c>
      <c r="AS4065" s="235" t="s">
        <v>29883</v>
      </c>
      <c r="AT4065" s="235" t="s">
        <v>156</v>
      </c>
      <c r="AU4065" s="235" t="s">
        <v>634</v>
      </c>
      <c r="AV4065" s="246" t="s">
        <v>635</v>
      </c>
      <c r="AW4065" s="227"/>
      <c r="AX4065" s="227"/>
      <c r="AY4065" s="227"/>
      <c r="AZ4065" s="227"/>
      <c r="BA4065" s="227"/>
      <c r="BB4065" s="227"/>
      <c r="BC4065" s="227"/>
      <c r="BD4065" s="227"/>
      <c r="BE4065" s="227"/>
      <c r="BF4065" s="227"/>
    </row>
    <row r="4066">
      <c r="A4066" s="235" t="s">
        <v>30343</v>
      </c>
      <c r="C4066" s="235" t="s">
        <v>30344</v>
      </c>
      <c r="D4066" s="235" t="s">
        <v>30345</v>
      </c>
      <c r="E4066" s="243">
        <v>6.51E13</v>
      </c>
      <c r="F4066" s="245"/>
      <c r="G4066" s="235" t="s">
        <v>30346</v>
      </c>
      <c r="H4066" s="235" t="s">
        <v>30347</v>
      </c>
      <c r="I4066" s="235" t="s">
        <v>30347</v>
      </c>
      <c r="J4066" s="235" t="s">
        <v>30348</v>
      </c>
      <c r="K4066" s="235" t="s">
        <v>30349</v>
      </c>
      <c r="N4066" s="235" t="s">
        <v>2163</v>
      </c>
      <c r="O4066" s="235" t="s">
        <v>2164</v>
      </c>
      <c r="P4066" s="238">
        <v>1.0</v>
      </c>
      <c r="Q4066" s="235" t="s">
        <v>627</v>
      </c>
      <c r="R4066" s="238">
        <v>233.34</v>
      </c>
      <c r="S4066" s="238">
        <v>11.66</v>
      </c>
      <c r="T4066" s="238">
        <v>0.0</v>
      </c>
      <c r="U4066" s="238">
        <v>0.0</v>
      </c>
      <c r="V4066" s="238">
        <v>0.0</v>
      </c>
      <c r="W4066" s="238">
        <v>0.0</v>
      </c>
      <c r="X4066" s="235" t="s">
        <v>628</v>
      </c>
      <c r="Z4066" s="245"/>
      <c r="AA4066" s="245"/>
      <c r="AB4066" s="245"/>
      <c r="AC4066" s="235" t="s">
        <v>687</v>
      </c>
      <c r="AD4066" s="235" t="s">
        <v>666</v>
      </c>
      <c r="AE4066" s="238">
        <v>600033.0</v>
      </c>
      <c r="AF4066" s="235" t="s">
        <v>631</v>
      </c>
      <c r="AG4066" s="245"/>
      <c r="AH4066" s="245"/>
      <c r="AI4066" s="245"/>
      <c r="AJ4066" s="245"/>
      <c r="AK4066" s="245"/>
      <c r="AL4066" s="245"/>
      <c r="AM4066" s="245"/>
      <c r="AN4066" s="245"/>
      <c r="AO4066" s="238">
        <v>0.0</v>
      </c>
      <c r="AP4066" s="238">
        <v>0.0</v>
      </c>
      <c r="AQ4066" s="235" t="s">
        <v>632</v>
      </c>
      <c r="AR4066" s="243">
        <v>3.71E11</v>
      </c>
      <c r="AS4066" s="235" t="s">
        <v>29883</v>
      </c>
      <c r="AT4066" s="235" t="s">
        <v>156</v>
      </c>
      <c r="AU4066" s="235" t="s">
        <v>634</v>
      </c>
      <c r="AV4066" s="246" t="s">
        <v>635</v>
      </c>
      <c r="AW4066" s="227"/>
      <c r="AX4066" s="227"/>
      <c r="AY4066" s="227"/>
      <c r="AZ4066" s="227"/>
      <c r="BA4066" s="227"/>
      <c r="BB4066" s="227"/>
      <c r="BC4066" s="227"/>
      <c r="BD4066" s="227"/>
      <c r="BE4066" s="227"/>
      <c r="BF4066" s="227"/>
    </row>
    <row r="4067">
      <c r="A4067" s="235" t="s">
        <v>30350</v>
      </c>
      <c r="C4067" s="235" t="s">
        <v>30351</v>
      </c>
      <c r="D4067" s="235" t="s">
        <v>30352</v>
      </c>
      <c r="E4067" s="243">
        <v>6.51E13</v>
      </c>
      <c r="F4067" s="245"/>
      <c r="G4067" s="235" t="s">
        <v>30353</v>
      </c>
      <c r="H4067" s="235" t="s">
        <v>30354</v>
      </c>
      <c r="I4067" s="235" t="s">
        <v>30354</v>
      </c>
      <c r="J4067" s="235" t="s">
        <v>30355</v>
      </c>
      <c r="K4067" s="235" t="s">
        <v>30356</v>
      </c>
      <c r="N4067" s="235" t="s">
        <v>51</v>
      </c>
      <c r="O4067" s="235" t="s">
        <v>273</v>
      </c>
      <c r="P4067" s="238">
        <v>1.0</v>
      </c>
      <c r="Q4067" s="235" t="s">
        <v>627</v>
      </c>
      <c r="R4067" s="238">
        <v>246.67</v>
      </c>
      <c r="S4067" s="238">
        <v>12.33</v>
      </c>
      <c r="T4067" s="238">
        <v>0.0</v>
      </c>
      <c r="U4067" s="238">
        <v>0.0</v>
      </c>
      <c r="V4067" s="238">
        <v>0.0</v>
      </c>
      <c r="W4067" s="238">
        <v>0.0</v>
      </c>
      <c r="X4067" s="235" t="s">
        <v>628</v>
      </c>
      <c r="Z4067" s="245"/>
      <c r="AA4067" s="245"/>
      <c r="AB4067" s="245"/>
      <c r="AC4067" s="235" t="s">
        <v>6414</v>
      </c>
      <c r="AD4067" s="235" t="s">
        <v>645</v>
      </c>
      <c r="AE4067" s="238">
        <v>678005.0</v>
      </c>
      <c r="AF4067" s="235" t="s">
        <v>631</v>
      </c>
      <c r="AG4067" s="245"/>
      <c r="AH4067" s="245"/>
      <c r="AI4067" s="245"/>
      <c r="AJ4067" s="245"/>
      <c r="AK4067" s="245"/>
      <c r="AL4067" s="245"/>
      <c r="AM4067" s="245"/>
      <c r="AN4067" s="245"/>
      <c r="AO4067" s="238">
        <v>0.0</v>
      </c>
      <c r="AP4067" s="238">
        <v>0.0</v>
      </c>
      <c r="AQ4067" s="235" t="s">
        <v>632</v>
      </c>
      <c r="AR4067" s="243">
        <v>3.71E11</v>
      </c>
      <c r="AS4067" s="235" t="s">
        <v>29883</v>
      </c>
      <c r="AT4067" s="235" t="s">
        <v>155</v>
      </c>
      <c r="AU4067" s="235" t="s">
        <v>634</v>
      </c>
      <c r="AV4067" s="246" t="s">
        <v>635</v>
      </c>
      <c r="AW4067" s="227"/>
      <c r="AX4067" s="227"/>
      <c r="AY4067" s="227"/>
      <c r="AZ4067" s="227"/>
      <c r="BA4067" s="227"/>
      <c r="BB4067" s="227"/>
      <c r="BC4067" s="227"/>
      <c r="BD4067" s="227"/>
      <c r="BE4067" s="227"/>
      <c r="BF4067" s="227"/>
    </row>
    <row r="4068">
      <c r="A4068" s="235" t="s">
        <v>30357</v>
      </c>
      <c r="C4068" s="235" t="s">
        <v>30358</v>
      </c>
      <c r="D4068" s="235" t="s">
        <v>30359</v>
      </c>
      <c r="E4068" s="243">
        <v>6.51E13</v>
      </c>
      <c r="F4068" s="245"/>
      <c r="G4068" s="235" t="s">
        <v>30360</v>
      </c>
      <c r="H4068" s="235" t="s">
        <v>30361</v>
      </c>
      <c r="I4068" s="235" t="s">
        <v>30361</v>
      </c>
      <c r="J4068" s="235" t="s">
        <v>30362</v>
      </c>
      <c r="K4068" s="235" t="s">
        <v>30363</v>
      </c>
      <c r="N4068" s="235" t="s">
        <v>92</v>
      </c>
      <c r="O4068" s="235" t="s">
        <v>248</v>
      </c>
      <c r="P4068" s="238">
        <v>1.0</v>
      </c>
      <c r="Q4068" s="235" t="s">
        <v>627</v>
      </c>
      <c r="R4068" s="238">
        <v>233.34</v>
      </c>
      <c r="S4068" s="238">
        <v>11.66</v>
      </c>
      <c r="T4068" s="238">
        <v>0.0</v>
      </c>
      <c r="U4068" s="238">
        <v>0.0</v>
      </c>
      <c r="V4068" s="238">
        <v>0.0</v>
      </c>
      <c r="W4068" s="238">
        <v>0.0</v>
      </c>
      <c r="X4068" s="235" t="s">
        <v>628</v>
      </c>
      <c r="Z4068" s="245"/>
      <c r="AA4068" s="245"/>
      <c r="AB4068" s="245"/>
      <c r="AC4068" s="235" t="s">
        <v>678</v>
      </c>
      <c r="AD4068" s="235" t="s">
        <v>679</v>
      </c>
      <c r="AE4068" s="238">
        <v>560085.0</v>
      </c>
      <c r="AF4068" s="235" t="s">
        <v>631</v>
      </c>
      <c r="AG4068" s="245"/>
      <c r="AH4068" s="245"/>
      <c r="AI4068" s="245"/>
      <c r="AJ4068" s="245"/>
      <c r="AK4068" s="245"/>
      <c r="AL4068" s="245"/>
      <c r="AM4068" s="245"/>
      <c r="AN4068" s="245"/>
      <c r="AO4068" s="238">
        <v>0.0</v>
      </c>
      <c r="AP4068" s="238">
        <v>0.0</v>
      </c>
      <c r="AQ4068" s="235" t="s">
        <v>632</v>
      </c>
      <c r="AR4068" s="243">
        <v>1.68E11</v>
      </c>
      <c r="AS4068" s="235" t="s">
        <v>30263</v>
      </c>
      <c r="AT4068" s="235" t="s">
        <v>11</v>
      </c>
      <c r="AU4068" s="235" t="s">
        <v>634</v>
      </c>
      <c r="AV4068" s="246" t="s">
        <v>635</v>
      </c>
      <c r="AW4068" s="227"/>
      <c r="AX4068" s="227"/>
      <c r="AY4068" s="227"/>
      <c r="AZ4068" s="227"/>
      <c r="BA4068" s="227"/>
      <c r="BB4068" s="227"/>
      <c r="BC4068" s="227"/>
      <c r="BD4068" s="227"/>
      <c r="BE4068" s="227"/>
      <c r="BF4068" s="227"/>
    </row>
    <row r="4069">
      <c r="A4069" s="235" t="s">
        <v>30364</v>
      </c>
      <c r="C4069" s="235" t="s">
        <v>30365</v>
      </c>
      <c r="D4069" s="235" t="s">
        <v>30366</v>
      </c>
      <c r="E4069" s="243">
        <v>6.51E13</v>
      </c>
      <c r="F4069" s="245"/>
      <c r="G4069" s="235" t="s">
        <v>30367</v>
      </c>
      <c r="H4069" s="235" t="s">
        <v>30368</v>
      </c>
      <c r="I4069" s="235" t="s">
        <v>30368</v>
      </c>
      <c r="J4069" s="235" t="s">
        <v>30369</v>
      </c>
      <c r="K4069" s="235" t="s">
        <v>30370</v>
      </c>
      <c r="N4069" s="235" t="s">
        <v>144</v>
      </c>
      <c r="O4069" s="235" t="s">
        <v>232</v>
      </c>
      <c r="P4069" s="238">
        <v>1.0</v>
      </c>
      <c r="Q4069" s="235" t="s">
        <v>627</v>
      </c>
      <c r="R4069" s="238">
        <v>626.66</v>
      </c>
      <c r="S4069" s="238">
        <v>30.4</v>
      </c>
      <c r="T4069" s="238">
        <v>0.0</v>
      </c>
      <c r="U4069" s="238">
        <v>0.0</v>
      </c>
      <c r="V4069" s="238">
        <v>0.0</v>
      </c>
      <c r="W4069" s="238">
        <v>0.0</v>
      </c>
      <c r="X4069" s="235" t="s">
        <v>628</v>
      </c>
      <c r="Z4069" s="245"/>
      <c r="AA4069" s="245"/>
      <c r="AB4069" s="245"/>
      <c r="AC4069" s="235" t="s">
        <v>678</v>
      </c>
      <c r="AD4069" s="235" t="s">
        <v>679</v>
      </c>
      <c r="AE4069" s="238">
        <v>560066.0</v>
      </c>
      <c r="AF4069" s="235" t="s">
        <v>631</v>
      </c>
      <c r="AG4069" s="245"/>
      <c r="AH4069" s="245"/>
      <c r="AI4069" s="245"/>
      <c r="AJ4069" s="245"/>
      <c r="AK4069" s="245"/>
      <c r="AL4069" s="245"/>
      <c r="AM4069" s="245"/>
      <c r="AN4069" s="245"/>
      <c r="AO4069" s="238">
        <v>-18.8</v>
      </c>
      <c r="AP4069" s="238">
        <v>0.0</v>
      </c>
      <c r="AQ4069" s="235" t="s">
        <v>632</v>
      </c>
      <c r="AR4069" s="243">
        <v>3.71E11</v>
      </c>
      <c r="AS4069" s="235" t="s">
        <v>29883</v>
      </c>
      <c r="AT4069" s="235" t="s">
        <v>9</v>
      </c>
      <c r="AU4069" s="235" t="s">
        <v>634</v>
      </c>
      <c r="AV4069" s="246" t="s">
        <v>635</v>
      </c>
      <c r="AW4069" s="227"/>
      <c r="AX4069" s="227"/>
      <c r="AY4069" s="227"/>
      <c r="AZ4069" s="227"/>
      <c r="BA4069" s="227"/>
      <c r="BB4069" s="227"/>
      <c r="BC4069" s="227"/>
      <c r="BD4069" s="227"/>
      <c r="BE4069" s="227"/>
      <c r="BF4069" s="227"/>
    </row>
    <row r="4070">
      <c r="A4070" s="235" t="s">
        <v>30364</v>
      </c>
      <c r="C4070" s="235" t="s">
        <v>30365</v>
      </c>
      <c r="D4070" s="235" t="s">
        <v>30371</v>
      </c>
      <c r="E4070" s="243">
        <v>6.51E13</v>
      </c>
      <c r="F4070" s="245"/>
      <c r="G4070" s="235" t="s">
        <v>30367</v>
      </c>
      <c r="H4070" s="235" t="s">
        <v>30368</v>
      </c>
      <c r="I4070" s="235" t="s">
        <v>30368</v>
      </c>
      <c r="J4070" s="235" t="s">
        <v>30369</v>
      </c>
      <c r="K4070" s="235" t="s">
        <v>30370</v>
      </c>
      <c r="N4070" s="235" t="s">
        <v>144</v>
      </c>
      <c r="O4070" s="235" t="s">
        <v>232</v>
      </c>
      <c r="P4070" s="238">
        <v>1.0</v>
      </c>
      <c r="Q4070" s="235" t="s">
        <v>627</v>
      </c>
      <c r="R4070" s="238">
        <v>626.66</v>
      </c>
      <c r="S4070" s="238">
        <v>30.4</v>
      </c>
      <c r="T4070" s="238">
        <v>0.0</v>
      </c>
      <c r="U4070" s="238">
        <v>0.0</v>
      </c>
      <c r="V4070" s="238">
        <v>0.0</v>
      </c>
      <c r="W4070" s="238">
        <v>0.0</v>
      </c>
      <c r="X4070" s="235" t="s">
        <v>628</v>
      </c>
      <c r="Z4070" s="245"/>
      <c r="AA4070" s="245"/>
      <c r="AB4070" s="245"/>
      <c r="AC4070" s="235" t="s">
        <v>678</v>
      </c>
      <c r="AD4070" s="235" t="s">
        <v>679</v>
      </c>
      <c r="AE4070" s="238">
        <v>560066.0</v>
      </c>
      <c r="AF4070" s="235" t="s">
        <v>631</v>
      </c>
      <c r="AG4070" s="245"/>
      <c r="AH4070" s="245"/>
      <c r="AI4070" s="245"/>
      <c r="AJ4070" s="245"/>
      <c r="AK4070" s="245"/>
      <c r="AL4070" s="245"/>
      <c r="AM4070" s="245"/>
      <c r="AN4070" s="245"/>
      <c r="AO4070" s="238">
        <v>-18.8</v>
      </c>
      <c r="AP4070" s="238">
        <v>0.0</v>
      </c>
      <c r="AQ4070" s="235" t="s">
        <v>632</v>
      </c>
      <c r="AR4070" s="243">
        <v>3.71E11</v>
      </c>
      <c r="AS4070" s="235" t="s">
        <v>29883</v>
      </c>
      <c r="AT4070" s="235" t="s">
        <v>9</v>
      </c>
      <c r="AU4070" s="235" t="s">
        <v>634</v>
      </c>
      <c r="AV4070" s="246" t="s">
        <v>635</v>
      </c>
      <c r="AW4070" s="227"/>
      <c r="AX4070" s="227"/>
      <c r="AY4070" s="227"/>
      <c r="AZ4070" s="227"/>
      <c r="BA4070" s="227"/>
      <c r="BB4070" s="227"/>
      <c r="BC4070" s="227"/>
      <c r="BD4070" s="227"/>
      <c r="BE4070" s="227"/>
      <c r="BF4070" s="227"/>
    </row>
    <row r="4071">
      <c r="A4071" s="235" t="s">
        <v>30372</v>
      </c>
      <c r="C4071" s="235" t="s">
        <v>30373</v>
      </c>
      <c r="D4071" s="235" t="s">
        <v>30374</v>
      </c>
      <c r="E4071" s="243">
        <v>6.51E13</v>
      </c>
      <c r="F4071" s="245"/>
      <c r="G4071" s="235" t="s">
        <v>30375</v>
      </c>
      <c r="H4071" s="235" t="s">
        <v>30376</v>
      </c>
      <c r="I4071" s="235" t="s">
        <v>30376</v>
      </c>
      <c r="J4071" s="235" t="s">
        <v>30377</v>
      </c>
      <c r="K4071" s="235" t="s">
        <v>30378</v>
      </c>
      <c r="N4071" s="235" t="s">
        <v>134</v>
      </c>
      <c r="O4071" s="235" t="s">
        <v>314</v>
      </c>
      <c r="P4071" s="238">
        <v>1.0</v>
      </c>
      <c r="Q4071" s="235" t="s">
        <v>627</v>
      </c>
      <c r="R4071" s="238">
        <v>233.34</v>
      </c>
      <c r="S4071" s="238">
        <v>11.66</v>
      </c>
      <c r="T4071" s="238">
        <v>0.0</v>
      </c>
      <c r="U4071" s="238">
        <v>0.0</v>
      </c>
      <c r="V4071" s="238">
        <v>0.0</v>
      </c>
      <c r="W4071" s="238">
        <v>0.0</v>
      </c>
      <c r="X4071" s="235" t="s">
        <v>628</v>
      </c>
      <c r="Z4071" s="245"/>
      <c r="AA4071" s="245"/>
      <c r="AB4071" s="245"/>
      <c r="AC4071" s="235" t="s">
        <v>678</v>
      </c>
      <c r="AD4071" s="235" t="s">
        <v>679</v>
      </c>
      <c r="AE4071" s="238">
        <v>560105.0</v>
      </c>
      <c r="AF4071" s="235" t="s">
        <v>631</v>
      </c>
      <c r="AG4071" s="245"/>
      <c r="AH4071" s="245"/>
      <c r="AI4071" s="245"/>
      <c r="AJ4071" s="245"/>
      <c r="AK4071" s="245"/>
      <c r="AL4071" s="245"/>
      <c r="AM4071" s="245"/>
      <c r="AN4071" s="245"/>
      <c r="AO4071" s="238">
        <v>0.0</v>
      </c>
      <c r="AP4071" s="238">
        <v>0.0</v>
      </c>
      <c r="AQ4071" s="235" t="s">
        <v>632</v>
      </c>
      <c r="AR4071" s="243">
        <v>3.71E11</v>
      </c>
      <c r="AS4071" s="235" t="s">
        <v>29883</v>
      </c>
      <c r="AT4071" s="235" t="s">
        <v>9</v>
      </c>
      <c r="AU4071" s="235" t="s">
        <v>634</v>
      </c>
      <c r="AV4071" s="246" t="s">
        <v>635</v>
      </c>
      <c r="AW4071" s="227"/>
      <c r="AX4071" s="227"/>
      <c r="AY4071" s="227"/>
      <c r="AZ4071" s="227"/>
      <c r="BA4071" s="227"/>
      <c r="BB4071" s="227"/>
      <c r="BC4071" s="227"/>
      <c r="BD4071" s="227"/>
      <c r="BE4071" s="227"/>
      <c r="BF4071" s="227"/>
    </row>
    <row r="4072">
      <c r="A4072" s="235" t="s">
        <v>30379</v>
      </c>
      <c r="C4072" s="235" t="s">
        <v>30380</v>
      </c>
      <c r="D4072" s="235" t="s">
        <v>30381</v>
      </c>
      <c r="E4072" s="243">
        <v>6.51E13</v>
      </c>
      <c r="F4072" s="245"/>
      <c r="G4072" s="235" t="s">
        <v>30382</v>
      </c>
      <c r="H4072" s="235" t="s">
        <v>30383</v>
      </c>
      <c r="I4072" s="235" t="s">
        <v>30383</v>
      </c>
      <c r="J4072" s="235" t="s">
        <v>30384</v>
      </c>
      <c r="K4072" s="235" t="s">
        <v>30385</v>
      </c>
      <c r="N4072" s="235" t="s">
        <v>71</v>
      </c>
      <c r="O4072" s="235" t="s">
        <v>240</v>
      </c>
      <c r="P4072" s="238">
        <v>1.0</v>
      </c>
      <c r="Q4072" s="235" t="s">
        <v>627</v>
      </c>
      <c r="R4072" s="238">
        <v>223.8</v>
      </c>
      <c r="S4072" s="238">
        <v>11.2</v>
      </c>
      <c r="T4072" s="238">
        <v>0.0</v>
      </c>
      <c r="U4072" s="238">
        <v>0.0</v>
      </c>
      <c r="V4072" s="238">
        <v>0.0</v>
      </c>
      <c r="W4072" s="238">
        <v>0.0</v>
      </c>
      <c r="X4072" s="235" t="s">
        <v>628</v>
      </c>
      <c r="Z4072" s="245"/>
      <c r="AA4072" s="245"/>
      <c r="AB4072" s="245"/>
      <c r="AC4072" s="235" t="s">
        <v>1456</v>
      </c>
      <c r="AD4072" s="235" t="s">
        <v>928</v>
      </c>
      <c r="AE4072" s="238">
        <v>122001.0</v>
      </c>
      <c r="AF4072" s="235" t="s">
        <v>631</v>
      </c>
      <c r="AG4072" s="245"/>
      <c r="AH4072" s="245"/>
      <c r="AI4072" s="245"/>
      <c r="AJ4072" s="245"/>
      <c r="AK4072" s="245"/>
      <c r="AL4072" s="245"/>
      <c r="AM4072" s="245"/>
      <c r="AN4072" s="245"/>
      <c r="AO4072" s="238">
        <v>0.0</v>
      </c>
      <c r="AP4072" s="238">
        <v>0.0</v>
      </c>
      <c r="AQ4072" s="235" t="s">
        <v>632</v>
      </c>
      <c r="AR4072" s="243">
        <v>3.71E11</v>
      </c>
      <c r="AS4072" s="235" t="s">
        <v>29883</v>
      </c>
      <c r="AT4072" s="235" t="s">
        <v>14</v>
      </c>
      <c r="AU4072" s="235" t="s">
        <v>634</v>
      </c>
      <c r="AV4072" s="246" t="s">
        <v>635</v>
      </c>
      <c r="AW4072" s="227"/>
      <c r="AX4072" s="227"/>
      <c r="AY4072" s="227"/>
      <c r="AZ4072" s="227"/>
      <c r="BA4072" s="227"/>
      <c r="BB4072" s="227"/>
      <c r="BC4072" s="227"/>
      <c r="BD4072" s="227"/>
      <c r="BE4072" s="227"/>
      <c r="BF4072" s="227"/>
    </row>
    <row r="4073">
      <c r="A4073" s="235" t="s">
        <v>30386</v>
      </c>
      <c r="C4073" s="235" t="s">
        <v>30387</v>
      </c>
      <c r="D4073" s="235" t="s">
        <v>30388</v>
      </c>
      <c r="E4073" s="243">
        <v>6.51E13</v>
      </c>
      <c r="F4073" s="245"/>
      <c r="G4073" s="235" t="s">
        <v>30389</v>
      </c>
      <c r="H4073" s="235" t="s">
        <v>30390</v>
      </c>
      <c r="I4073" s="235" t="s">
        <v>30391</v>
      </c>
      <c r="J4073" s="235" t="s">
        <v>30392</v>
      </c>
      <c r="K4073" s="235" t="s">
        <v>25721</v>
      </c>
      <c r="N4073" s="235" t="s">
        <v>92</v>
      </c>
      <c r="O4073" s="235" t="s">
        <v>248</v>
      </c>
      <c r="P4073" s="238">
        <v>1.0</v>
      </c>
      <c r="Q4073" s="235" t="s">
        <v>627</v>
      </c>
      <c r="R4073" s="238">
        <v>233.34</v>
      </c>
      <c r="S4073" s="238">
        <v>11.66</v>
      </c>
      <c r="T4073" s="238">
        <v>0.0</v>
      </c>
      <c r="U4073" s="238">
        <v>0.0</v>
      </c>
      <c r="V4073" s="238">
        <v>0.0</v>
      </c>
      <c r="W4073" s="238">
        <v>0.0</v>
      </c>
      <c r="X4073" s="235" t="s">
        <v>628</v>
      </c>
      <c r="Z4073" s="245"/>
      <c r="AA4073" s="245"/>
      <c r="AB4073" s="245"/>
      <c r="AC4073" s="235" t="s">
        <v>1887</v>
      </c>
      <c r="AD4073" s="235" t="s">
        <v>679</v>
      </c>
      <c r="AE4073" s="238">
        <v>560102.0</v>
      </c>
      <c r="AF4073" s="235" t="s">
        <v>631</v>
      </c>
      <c r="AG4073" s="245"/>
      <c r="AH4073" s="245"/>
      <c r="AI4073" s="245"/>
      <c r="AJ4073" s="245"/>
      <c r="AK4073" s="245"/>
      <c r="AL4073" s="245"/>
      <c r="AM4073" s="245"/>
      <c r="AN4073" s="245"/>
      <c r="AO4073" s="238">
        <v>0.0</v>
      </c>
      <c r="AP4073" s="238">
        <v>0.0</v>
      </c>
      <c r="AQ4073" s="235" t="s">
        <v>632</v>
      </c>
      <c r="AR4073" s="243">
        <v>3.71E11</v>
      </c>
      <c r="AS4073" s="235" t="s">
        <v>29883</v>
      </c>
      <c r="AT4073" s="235" t="s">
        <v>11</v>
      </c>
      <c r="AU4073" s="235" t="s">
        <v>634</v>
      </c>
      <c r="AV4073" s="246" t="s">
        <v>635</v>
      </c>
      <c r="AW4073" s="227"/>
      <c r="AX4073" s="227"/>
      <c r="AY4073" s="227"/>
      <c r="AZ4073" s="227"/>
      <c r="BA4073" s="227"/>
      <c r="BB4073" s="227"/>
      <c r="BC4073" s="227"/>
      <c r="BD4073" s="227"/>
      <c r="BE4073" s="227"/>
      <c r="BF4073" s="227"/>
    </row>
    <row r="4074">
      <c r="A4074" s="235" t="s">
        <v>30393</v>
      </c>
      <c r="C4074" s="235" t="s">
        <v>30394</v>
      </c>
      <c r="D4074" s="235" t="s">
        <v>30395</v>
      </c>
      <c r="E4074" s="243">
        <v>6.51E13</v>
      </c>
      <c r="F4074" s="245"/>
      <c r="G4074" s="235" t="s">
        <v>30396</v>
      </c>
      <c r="H4074" s="235" t="s">
        <v>30397</v>
      </c>
      <c r="I4074" s="235" t="s">
        <v>30397</v>
      </c>
      <c r="J4074" s="235" t="s">
        <v>30398</v>
      </c>
      <c r="K4074" s="235" t="s">
        <v>6268</v>
      </c>
      <c r="N4074" s="235" t="s">
        <v>541</v>
      </c>
      <c r="O4074" s="235" t="s">
        <v>664</v>
      </c>
      <c r="P4074" s="238">
        <v>1.0</v>
      </c>
      <c r="Q4074" s="235" t="s">
        <v>627</v>
      </c>
      <c r="R4074" s="238">
        <v>846.62</v>
      </c>
      <c r="S4074" s="238">
        <v>152.38</v>
      </c>
      <c r="T4074" s="238">
        <v>0.0</v>
      </c>
      <c r="U4074" s="238">
        <v>0.0</v>
      </c>
      <c r="V4074" s="238">
        <v>0.0</v>
      </c>
      <c r="W4074" s="238">
        <v>0.0</v>
      </c>
      <c r="X4074" s="235" t="s">
        <v>628</v>
      </c>
      <c r="Z4074" s="245"/>
      <c r="AA4074" s="245"/>
      <c r="AB4074" s="245"/>
      <c r="AC4074" s="235" t="s">
        <v>1851</v>
      </c>
      <c r="AD4074" s="235" t="s">
        <v>1077</v>
      </c>
      <c r="AE4074" s="238">
        <v>380015.0</v>
      </c>
      <c r="AF4074" s="235" t="s">
        <v>631</v>
      </c>
      <c r="AG4074" s="245"/>
      <c r="AH4074" s="245"/>
      <c r="AI4074" s="245"/>
      <c r="AJ4074" s="245"/>
      <c r="AK4074" s="245"/>
      <c r="AL4074" s="245"/>
      <c r="AM4074" s="245"/>
      <c r="AN4074" s="245"/>
      <c r="AO4074" s="238">
        <v>0.0</v>
      </c>
      <c r="AP4074" s="238">
        <v>0.0</v>
      </c>
      <c r="AQ4074" s="235" t="s">
        <v>632</v>
      </c>
      <c r="AR4074" s="243">
        <v>3.71E11</v>
      </c>
      <c r="AS4074" s="235" t="s">
        <v>29883</v>
      </c>
      <c r="AT4074" s="235" t="s">
        <v>5</v>
      </c>
      <c r="AU4074" s="235" t="s">
        <v>634</v>
      </c>
      <c r="AV4074" s="246" t="s">
        <v>635</v>
      </c>
      <c r="AW4074" s="227"/>
      <c r="AX4074" s="227"/>
      <c r="AY4074" s="227"/>
      <c r="AZ4074" s="227"/>
      <c r="BA4074" s="227"/>
      <c r="BB4074" s="227"/>
      <c r="BC4074" s="227"/>
      <c r="BD4074" s="227"/>
      <c r="BE4074" s="227"/>
      <c r="BF4074" s="227"/>
    </row>
    <row r="4075">
      <c r="A4075" s="235" t="s">
        <v>30399</v>
      </c>
      <c r="C4075" s="235" t="s">
        <v>30400</v>
      </c>
      <c r="D4075" s="235" t="s">
        <v>30401</v>
      </c>
      <c r="E4075" s="243">
        <v>6.51E13</v>
      </c>
      <c r="F4075" s="245"/>
      <c r="G4075" s="235" t="s">
        <v>30402</v>
      </c>
      <c r="H4075" s="235" t="s">
        <v>30403</v>
      </c>
      <c r="I4075" s="235" t="s">
        <v>30403</v>
      </c>
      <c r="J4075" s="235" t="s">
        <v>30404</v>
      </c>
      <c r="K4075" s="235" t="s">
        <v>30405</v>
      </c>
      <c r="N4075" s="235" t="s">
        <v>842</v>
      </c>
      <c r="O4075" s="235" t="s">
        <v>843</v>
      </c>
      <c r="P4075" s="238">
        <v>1.0</v>
      </c>
      <c r="Q4075" s="235" t="s">
        <v>627</v>
      </c>
      <c r="R4075" s="238">
        <v>237.14</v>
      </c>
      <c r="S4075" s="238">
        <v>11.86</v>
      </c>
      <c r="T4075" s="238">
        <v>0.0</v>
      </c>
      <c r="U4075" s="238">
        <v>0.0</v>
      </c>
      <c r="V4075" s="238">
        <v>0.0</v>
      </c>
      <c r="W4075" s="238">
        <v>0.0</v>
      </c>
      <c r="X4075" s="235" t="s">
        <v>628</v>
      </c>
      <c r="Z4075" s="245"/>
      <c r="AA4075" s="245"/>
      <c r="AB4075" s="245"/>
      <c r="AC4075" s="235" t="s">
        <v>687</v>
      </c>
      <c r="AD4075" s="235" t="s">
        <v>666</v>
      </c>
      <c r="AE4075" s="238">
        <v>600041.0</v>
      </c>
      <c r="AF4075" s="235" t="s">
        <v>631</v>
      </c>
      <c r="AG4075" s="245"/>
      <c r="AH4075" s="245"/>
      <c r="AI4075" s="245"/>
      <c r="AJ4075" s="245"/>
      <c r="AK4075" s="245"/>
      <c r="AL4075" s="245"/>
      <c r="AM4075" s="245"/>
      <c r="AN4075" s="245"/>
      <c r="AO4075" s="238">
        <v>0.0</v>
      </c>
      <c r="AP4075" s="238">
        <v>0.0</v>
      </c>
      <c r="AQ4075" s="235" t="s">
        <v>632</v>
      </c>
      <c r="AR4075" s="243">
        <v>1.68E11</v>
      </c>
      <c r="AS4075" s="235" t="s">
        <v>29883</v>
      </c>
      <c r="AT4075" s="235" t="s">
        <v>9</v>
      </c>
      <c r="AU4075" s="235" t="s">
        <v>634</v>
      </c>
      <c r="AV4075" s="246" t="s">
        <v>635</v>
      </c>
      <c r="AW4075" s="227"/>
      <c r="AX4075" s="227"/>
      <c r="AY4075" s="227"/>
      <c r="AZ4075" s="227"/>
      <c r="BA4075" s="227"/>
      <c r="BB4075" s="227"/>
      <c r="BC4075" s="227"/>
      <c r="BD4075" s="227"/>
      <c r="BE4075" s="227"/>
      <c r="BF4075" s="227"/>
    </row>
    <row r="4076">
      <c r="A4076" s="235" t="s">
        <v>30406</v>
      </c>
      <c r="C4076" s="235" t="s">
        <v>30407</v>
      </c>
      <c r="D4076" s="235" t="s">
        <v>30408</v>
      </c>
      <c r="E4076" s="243">
        <v>6.51E13</v>
      </c>
      <c r="F4076" s="245"/>
      <c r="G4076" s="235" t="s">
        <v>30409</v>
      </c>
      <c r="H4076" s="235" t="s">
        <v>30410</v>
      </c>
      <c r="I4076" s="235" t="s">
        <v>30410</v>
      </c>
      <c r="J4076" s="235" t="s">
        <v>30411</v>
      </c>
      <c r="K4076" s="235" t="s">
        <v>30412</v>
      </c>
      <c r="N4076" s="235" t="s">
        <v>1646</v>
      </c>
      <c r="O4076" s="235" t="s">
        <v>1647</v>
      </c>
      <c r="P4076" s="238">
        <v>1.0</v>
      </c>
      <c r="Q4076" s="235" t="s">
        <v>627</v>
      </c>
      <c r="R4076" s="238">
        <v>246.67</v>
      </c>
      <c r="S4076" s="238">
        <v>12.33</v>
      </c>
      <c r="T4076" s="238">
        <v>38.1</v>
      </c>
      <c r="U4076" s="238">
        <v>1.9</v>
      </c>
      <c r="V4076" s="238">
        <v>0.0</v>
      </c>
      <c r="W4076" s="238">
        <v>0.0</v>
      </c>
      <c r="X4076" s="235" t="s">
        <v>628</v>
      </c>
      <c r="Z4076" s="245"/>
      <c r="AA4076" s="245"/>
      <c r="AB4076" s="245"/>
      <c r="AC4076" s="235" t="s">
        <v>30413</v>
      </c>
      <c r="AD4076" s="235" t="s">
        <v>917</v>
      </c>
      <c r="AE4076" s="238">
        <v>344704.0</v>
      </c>
      <c r="AF4076" s="235" t="s">
        <v>631</v>
      </c>
      <c r="AG4076" s="245"/>
      <c r="AH4076" s="245"/>
      <c r="AI4076" s="245"/>
      <c r="AJ4076" s="245"/>
      <c r="AK4076" s="245"/>
      <c r="AL4076" s="245"/>
      <c r="AM4076" s="245"/>
      <c r="AN4076" s="245"/>
      <c r="AO4076" s="238">
        <v>0.0</v>
      </c>
      <c r="AP4076" s="238">
        <v>-38.1</v>
      </c>
      <c r="AQ4076" s="235" t="s">
        <v>1328</v>
      </c>
      <c r="AR4076" s="243">
        <v>1.34E13</v>
      </c>
      <c r="AS4076" s="235" t="s">
        <v>20529</v>
      </c>
      <c r="AT4076" s="235" t="s">
        <v>5</v>
      </c>
      <c r="AU4076" s="235" t="s">
        <v>634</v>
      </c>
      <c r="AV4076" s="246" t="s">
        <v>635</v>
      </c>
      <c r="AW4076" s="227"/>
      <c r="AX4076" s="227"/>
      <c r="AY4076" s="227"/>
      <c r="AZ4076" s="227"/>
      <c r="BA4076" s="227"/>
      <c r="BB4076" s="227"/>
      <c r="BC4076" s="227"/>
      <c r="BD4076" s="227"/>
      <c r="BE4076" s="227"/>
      <c r="BF4076" s="227"/>
    </row>
    <row r="4077">
      <c r="A4077" s="235" t="s">
        <v>30414</v>
      </c>
      <c r="C4077" s="235" t="s">
        <v>30415</v>
      </c>
      <c r="D4077" s="235" t="s">
        <v>30416</v>
      </c>
      <c r="E4077" s="243">
        <v>6.51E13</v>
      </c>
      <c r="F4077" s="245"/>
      <c r="G4077" s="235" t="s">
        <v>30417</v>
      </c>
      <c r="H4077" s="235" t="s">
        <v>30418</v>
      </c>
      <c r="I4077" s="235" t="s">
        <v>30419</v>
      </c>
      <c r="J4077" s="235" t="s">
        <v>30420</v>
      </c>
      <c r="K4077" s="235" t="s">
        <v>30421</v>
      </c>
      <c r="N4077" s="235" t="s">
        <v>127</v>
      </c>
      <c r="O4077" s="235" t="s">
        <v>794</v>
      </c>
      <c r="P4077" s="238">
        <v>1.0</v>
      </c>
      <c r="Q4077" s="235" t="s">
        <v>627</v>
      </c>
      <c r="R4077" s="238">
        <v>236.2</v>
      </c>
      <c r="S4077" s="238">
        <v>11.45</v>
      </c>
      <c r="T4077" s="238">
        <v>0.0</v>
      </c>
      <c r="U4077" s="238">
        <v>0.0</v>
      </c>
      <c r="V4077" s="238">
        <v>0.0</v>
      </c>
      <c r="W4077" s="238">
        <v>0.0</v>
      </c>
      <c r="X4077" s="235" t="s">
        <v>628</v>
      </c>
      <c r="Z4077" s="245"/>
      <c r="AA4077" s="245"/>
      <c r="AB4077" s="245"/>
      <c r="AC4077" s="235" t="s">
        <v>1887</v>
      </c>
      <c r="AD4077" s="235" t="s">
        <v>679</v>
      </c>
      <c r="AE4077" s="238">
        <v>560062.0</v>
      </c>
      <c r="AF4077" s="235" t="s">
        <v>631</v>
      </c>
      <c r="AG4077" s="245"/>
      <c r="AH4077" s="245"/>
      <c r="AI4077" s="245"/>
      <c r="AJ4077" s="245"/>
      <c r="AK4077" s="245"/>
      <c r="AL4077" s="245"/>
      <c r="AM4077" s="245"/>
      <c r="AN4077" s="245"/>
      <c r="AO4077" s="238">
        <v>-7.09</v>
      </c>
      <c r="AP4077" s="238">
        <v>0.0</v>
      </c>
      <c r="AQ4077" s="235" t="s">
        <v>632</v>
      </c>
      <c r="AR4077" s="243">
        <v>1.68E11</v>
      </c>
      <c r="AS4077" s="235" t="s">
        <v>30263</v>
      </c>
      <c r="AT4077" s="235" t="s">
        <v>11</v>
      </c>
      <c r="AU4077" s="235" t="s">
        <v>634</v>
      </c>
      <c r="AV4077" s="246" t="s">
        <v>635</v>
      </c>
      <c r="AW4077" s="227"/>
      <c r="AX4077" s="227"/>
      <c r="AY4077" s="227"/>
      <c r="AZ4077" s="227"/>
      <c r="BA4077" s="227"/>
      <c r="BB4077" s="227"/>
      <c r="BC4077" s="227"/>
      <c r="BD4077" s="227"/>
      <c r="BE4077" s="227"/>
      <c r="BF4077" s="227"/>
    </row>
    <row r="4078">
      <c r="A4078" s="235" t="s">
        <v>30422</v>
      </c>
      <c r="C4078" s="235" t="s">
        <v>30423</v>
      </c>
      <c r="D4078" s="235" t="s">
        <v>30424</v>
      </c>
      <c r="E4078" s="243">
        <v>6.51E13</v>
      </c>
      <c r="F4078" s="245"/>
      <c r="G4078" s="235" t="s">
        <v>30425</v>
      </c>
      <c r="H4078" s="235" t="s">
        <v>30426</v>
      </c>
      <c r="I4078" s="235" t="s">
        <v>30426</v>
      </c>
      <c r="J4078" s="235" t="s">
        <v>30427</v>
      </c>
      <c r="K4078" s="235" t="s">
        <v>30428</v>
      </c>
      <c r="N4078" s="235" t="s">
        <v>53</v>
      </c>
      <c r="O4078" s="235" t="s">
        <v>512</v>
      </c>
      <c r="P4078" s="238">
        <v>1.0</v>
      </c>
      <c r="Q4078" s="235" t="s">
        <v>627</v>
      </c>
      <c r="R4078" s="238">
        <v>233.34</v>
      </c>
      <c r="S4078" s="238">
        <v>11.32</v>
      </c>
      <c r="T4078" s="238">
        <v>0.0</v>
      </c>
      <c r="U4078" s="238">
        <v>0.0</v>
      </c>
      <c r="V4078" s="238">
        <v>0.0</v>
      </c>
      <c r="W4078" s="238">
        <v>0.0</v>
      </c>
      <c r="X4078" s="235" t="s">
        <v>628</v>
      </c>
      <c r="Z4078" s="245"/>
      <c r="AA4078" s="245"/>
      <c r="AB4078" s="245"/>
      <c r="AC4078" s="235" t="s">
        <v>4294</v>
      </c>
      <c r="AD4078" s="235" t="s">
        <v>666</v>
      </c>
      <c r="AE4078" s="238">
        <v>641604.0</v>
      </c>
      <c r="AF4078" s="235" t="s">
        <v>631</v>
      </c>
      <c r="AG4078" s="245"/>
      <c r="AH4078" s="245"/>
      <c r="AI4078" s="245"/>
      <c r="AJ4078" s="245"/>
      <c r="AK4078" s="245"/>
      <c r="AL4078" s="245"/>
      <c r="AM4078" s="245"/>
      <c r="AN4078" s="245"/>
      <c r="AO4078" s="238">
        <v>-7.01</v>
      </c>
      <c r="AP4078" s="238">
        <v>0.0</v>
      </c>
      <c r="AQ4078" s="235" t="s">
        <v>632</v>
      </c>
      <c r="AR4078" s="243">
        <v>3.71E11</v>
      </c>
      <c r="AS4078" s="235" t="s">
        <v>29883</v>
      </c>
      <c r="AT4078" s="235" t="s">
        <v>155</v>
      </c>
      <c r="AU4078" s="235" t="s">
        <v>634</v>
      </c>
      <c r="AV4078" s="246" t="s">
        <v>635</v>
      </c>
      <c r="AW4078" s="227"/>
      <c r="AX4078" s="227"/>
      <c r="AY4078" s="227"/>
      <c r="AZ4078" s="227"/>
      <c r="BA4078" s="227"/>
      <c r="BB4078" s="227"/>
      <c r="BC4078" s="227"/>
      <c r="BD4078" s="227"/>
      <c r="BE4078" s="227"/>
      <c r="BF4078" s="227"/>
    </row>
    <row r="4079">
      <c r="A4079" s="235" t="s">
        <v>30429</v>
      </c>
      <c r="C4079" s="235" t="s">
        <v>30430</v>
      </c>
      <c r="D4079" s="235" t="s">
        <v>30431</v>
      </c>
      <c r="E4079" s="243">
        <v>6.51E13</v>
      </c>
      <c r="F4079" s="245"/>
      <c r="G4079" s="235" t="s">
        <v>30432</v>
      </c>
      <c r="H4079" s="235" t="s">
        <v>30433</v>
      </c>
      <c r="I4079" s="235" t="s">
        <v>30433</v>
      </c>
      <c r="J4079" s="235" t="s">
        <v>30434</v>
      </c>
      <c r="K4079" s="235" t="s">
        <v>30435</v>
      </c>
      <c r="N4079" s="235" t="s">
        <v>15</v>
      </c>
      <c r="O4079" s="235" t="s">
        <v>856</v>
      </c>
      <c r="P4079" s="238">
        <v>1.0</v>
      </c>
      <c r="Q4079" s="235" t="s">
        <v>627</v>
      </c>
      <c r="R4079" s="238">
        <v>357.14</v>
      </c>
      <c r="S4079" s="238">
        <v>17.86</v>
      </c>
      <c r="T4079" s="238">
        <v>38.1</v>
      </c>
      <c r="U4079" s="238">
        <v>1.9</v>
      </c>
      <c r="V4079" s="238">
        <v>0.0</v>
      </c>
      <c r="W4079" s="238">
        <v>0.0</v>
      </c>
      <c r="X4079" s="235" t="s">
        <v>628</v>
      </c>
      <c r="Z4079" s="245"/>
      <c r="AA4079" s="245"/>
      <c r="AB4079" s="245"/>
      <c r="AC4079" s="235" t="s">
        <v>27502</v>
      </c>
      <c r="AD4079" s="235" t="s">
        <v>845</v>
      </c>
      <c r="AE4079" s="238">
        <v>425201.0</v>
      </c>
      <c r="AF4079" s="235" t="s">
        <v>631</v>
      </c>
      <c r="AG4079" s="245"/>
      <c r="AH4079" s="245"/>
      <c r="AI4079" s="245"/>
      <c r="AJ4079" s="245"/>
      <c r="AK4079" s="245"/>
      <c r="AL4079" s="245"/>
      <c r="AM4079" s="245"/>
      <c r="AN4079" s="245"/>
      <c r="AO4079" s="238">
        <v>0.0</v>
      </c>
      <c r="AP4079" s="238">
        <v>0.0</v>
      </c>
      <c r="AQ4079" s="235" t="s">
        <v>632</v>
      </c>
      <c r="AR4079" s="243">
        <v>3.71E11</v>
      </c>
      <c r="AS4079" s="235" t="s">
        <v>26892</v>
      </c>
      <c r="AT4079" s="235" t="s">
        <v>16</v>
      </c>
      <c r="AU4079" s="235" t="s">
        <v>634</v>
      </c>
      <c r="AV4079" s="246" t="s">
        <v>635</v>
      </c>
      <c r="AW4079" s="227"/>
      <c r="AX4079" s="227"/>
      <c r="AY4079" s="227"/>
      <c r="AZ4079" s="227"/>
      <c r="BA4079" s="227"/>
      <c r="BB4079" s="227"/>
      <c r="BC4079" s="227"/>
      <c r="BD4079" s="227"/>
      <c r="BE4079" s="227"/>
      <c r="BF4079" s="227"/>
    </row>
    <row r="4080">
      <c r="A4080" s="235" t="s">
        <v>30436</v>
      </c>
      <c r="C4080" s="235" t="s">
        <v>30437</v>
      </c>
      <c r="D4080" s="235" t="s">
        <v>30438</v>
      </c>
      <c r="E4080" s="243">
        <v>6.51E13</v>
      </c>
      <c r="F4080" s="245"/>
      <c r="G4080" s="235" t="s">
        <v>30439</v>
      </c>
      <c r="H4080" s="235" t="s">
        <v>30440</v>
      </c>
      <c r="I4080" s="235" t="s">
        <v>30441</v>
      </c>
      <c r="J4080" s="235" t="s">
        <v>30442</v>
      </c>
      <c r="K4080" s="235" t="s">
        <v>30443</v>
      </c>
      <c r="N4080" s="235" t="s">
        <v>962</v>
      </c>
      <c r="O4080" s="235" t="s">
        <v>963</v>
      </c>
      <c r="P4080" s="238">
        <v>1.0</v>
      </c>
      <c r="Q4080" s="235" t="s">
        <v>627</v>
      </c>
      <c r="R4080" s="238">
        <v>237.14</v>
      </c>
      <c r="S4080" s="238">
        <v>11.86</v>
      </c>
      <c r="T4080" s="238">
        <v>0.0</v>
      </c>
      <c r="U4080" s="238">
        <v>0.0</v>
      </c>
      <c r="V4080" s="238">
        <v>0.0</v>
      </c>
      <c r="W4080" s="238">
        <v>0.0</v>
      </c>
      <c r="X4080" s="235" t="s">
        <v>628</v>
      </c>
      <c r="Z4080" s="245"/>
      <c r="AA4080" s="245"/>
      <c r="AB4080" s="245"/>
      <c r="AC4080" s="235" t="s">
        <v>795</v>
      </c>
      <c r="AD4080" s="235" t="s">
        <v>796</v>
      </c>
      <c r="AE4080" s="238">
        <v>110075.0</v>
      </c>
      <c r="AF4080" s="235" t="s">
        <v>631</v>
      </c>
      <c r="AG4080" s="245"/>
      <c r="AH4080" s="245"/>
      <c r="AI4080" s="245"/>
      <c r="AJ4080" s="245"/>
      <c r="AK4080" s="245"/>
      <c r="AL4080" s="245"/>
      <c r="AM4080" s="245"/>
      <c r="AN4080" s="245"/>
      <c r="AO4080" s="238">
        <v>0.0</v>
      </c>
      <c r="AP4080" s="238">
        <v>0.0</v>
      </c>
      <c r="AQ4080" s="235" t="s">
        <v>632</v>
      </c>
      <c r="AR4080" s="243">
        <v>3.71E11</v>
      </c>
      <c r="AS4080" s="235" t="s">
        <v>29883</v>
      </c>
      <c r="AT4080" s="235" t="s">
        <v>14</v>
      </c>
      <c r="AU4080" s="235" t="s">
        <v>634</v>
      </c>
      <c r="AV4080" s="246" t="s">
        <v>635</v>
      </c>
      <c r="AW4080" s="227"/>
      <c r="AX4080" s="227"/>
      <c r="AY4080" s="227"/>
      <c r="AZ4080" s="227"/>
      <c r="BA4080" s="227"/>
      <c r="BB4080" s="227"/>
      <c r="BC4080" s="227"/>
      <c r="BD4080" s="227"/>
      <c r="BE4080" s="227"/>
      <c r="BF4080" s="227"/>
    </row>
    <row r="4081">
      <c r="A4081" s="235" t="s">
        <v>30444</v>
      </c>
      <c r="C4081" s="235" t="s">
        <v>30445</v>
      </c>
      <c r="D4081" s="235" t="s">
        <v>30446</v>
      </c>
      <c r="E4081" s="243">
        <v>6.51E13</v>
      </c>
      <c r="F4081" s="245"/>
      <c r="G4081" s="235" t="s">
        <v>30447</v>
      </c>
      <c r="H4081" s="235" t="s">
        <v>30448</v>
      </c>
      <c r="I4081" s="235" t="s">
        <v>30449</v>
      </c>
      <c r="J4081" s="235" t="s">
        <v>30450</v>
      </c>
      <c r="K4081" s="235" t="s">
        <v>30451</v>
      </c>
      <c r="N4081" s="235" t="s">
        <v>2163</v>
      </c>
      <c r="O4081" s="235" t="s">
        <v>2164</v>
      </c>
      <c r="P4081" s="238">
        <v>1.0</v>
      </c>
      <c r="Q4081" s="235" t="s">
        <v>627</v>
      </c>
      <c r="R4081" s="238">
        <v>233.33</v>
      </c>
      <c r="S4081" s="238">
        <v>11.32</v>
      </c>
      <c r="T4081" s="238">
        <v>0.0</v>
      </c>
      <c r="U4081" s="238">
        <v>0.0</v>
      </c>
      <c r="V4081" s="238">
        <v>0.0</v>
      </c>
      <c r="W4081" s="238">
        <v>0.0</v>
      </c>
      <c r="X4081" s="235" t="s">
        <v>628</v>
      </c>
      <c r="Z4081" s="245"/>
      <c r="AA4081" s="245"/>
      <c r="AB4081" s="245"/>
      <c r="AC4081" s="235" t="s">
        <v>795</v>
      </c>
      <c r="AD4081" s="235" t="s">
        <v>796</v>
      </c>
      <c r="AE4081" s="238">
        <v>110059.0</v>
      </c>
      <c r="AF4081" s="235" t="s">
        <v>631</v>
      </c>
      <c r="AG4081" s="245"/>
      <c r="AH4081" s="245"/>
      <c r="AI4081" s="245"/>
      <c r="AJ4081" s="245"/>
      <c r="AK4081" s="245"/>
      <c r="AL4081" s="245"/>
      <c r="AM4081" s="245"/>
      <c r="AN4081" s="245"/>
      <c r="AO4081" s="238">
        <v>-7.0</v>
      </c>
      <c r="AP4081" s="238">
        <v>0.0</v>
      </c>
      <c r="AQ4081" s="235" t="s">
        <v>632</v>
      </c>
      <c r="AR4081" s="243">
        <v>1.68E11</v>
      </c>
      <c r="AS4081" s="235" t="s">
        <v>30263</v>
      </c>
      <c r="AT4081" s="235" t="s">
        <v>13</v>
      </c>
      <c r="AU4081" s="235" t="s">
        <v>634</v>
      </c>
      <c r="AV4081" s="246" t="s">
        <v>635</v>
      </c>
      <c r="AW4081" s="227"/>
      <c r="AX4081" s="227"/>
      <c r="AY4081" s="227"/>
      <c r="AZ4081" s="227"/>
      <c r="BA4081" s="227"/>
      <c r="BB4081" s="227"/>
      <c r="BC4081" s="227"/>
      <c r="BD4081" s="227"/>
      <c r="BE4081" s="227"/>
      <c r="BF4081" s="227"/>
    </row>
    <row r="4082">
      <c r="A4082" s="235" t="s">
        <v>30452</v>
      </c>
      <c r="C4082" s="235" t="s">
        <v>30453</v>
      </c>
      <c r="D4082" s="235" t="s">
        <v>30454</v>
      </c>
      <c r="E4082" s="243">
        <v>6.51E13</v>
      </c>
      <c r="F4082" s="245"/>
      <c r="G4082" s="235" t="s">
        <v>30455</v>
      </c>
      <c r="H4082" s="235" t="s">
        <v>30456</v>
      </c>
      <c r="I4082" s="235" t="s">
        <v>30456</v>
      </c>
      <c r="J4082" s="235" t="s">
        <v>30457</v>
      </c>
      <c r="K4082" s="235" t="s">
        <v>30458</v>
      </c>
      <c r="N4082" s="235" t="s">
        <v>98</v>
      </c>
      <c r="O4082" s="235" t="s">
        <v>357</v>
      </c>
      <c r="P4082" s="238">
        <v>1.0</v>
      </c>
      <c r="Q4082" s="235" t="s">
        <v>627</v>
      </c>
      <c r="R4082" s="238">
        <v>270.48</v>
      </c>
      <c r="S4082" s="238">
        <v>13.52</v>
      </c>
      <c r="T4082" s="238">
        <v>38.1</v>
      </c>
      <c r="U4082" s="238">
        <v>1.9</v>
      </c>
      <c r="V4082" s="238">
        <v>0.0</v>
      </c>
      <c r="W4082" s="238">
        <v>0.0</v>
      </c>
      <c r="X4082" s="235" t="s">
        <v>628</v>
      </c>
      <c r="Z4082" s="245"/>
      <c r="AA4082" s="245"/>
      <c r="AB4082" s="245"/>
      <c r="AC4082" s="235" t="s">
        <v>1531</v>
      </c>
      <c r="AD4082" s="235" t="s">
        <v>1151</v>
      </c>
      <c r="AE4082" s="238">
        <v>700017.0</v>
      </c>
      <c r="AF4082" s="235" t="s">
        <v>631</v>
      </c>
      <c r="AG4082" s="245"/>
      <c r="AH4082" s="245"/>
      <c r="AI4082" s="245"/>
      <c r="AJ4082" s="245"/>
      <c r="AK4082" s="245"/>
      <c r="AL4082" s="245"/>
      <c r="AM4082" s="245"/>
      <c r="AN4082" s="245"/>
      <c r="AO4082" s="238">
        <v>0.0</v>
      </c>
      <c r="AP4082" s="238">
        <v>-38.1</v>
      </c>
      <c r="AQ4082" s="235" t="s">
        <v>632</v>
      </c>
      <c r="AR4082" s="243">
        <v>3.71E11</v>
      </c>
      <c r="AS4082" s="235" t="s">
        <v>22269</v>
      </c>
      <c r="AT4082" s="235" t="s">
        <v>5</v>
      </c>
      <c r="AU4082" s="235" t="s">
        <v>634</v>
      </c>
      <c r="AV4082" s="246" t="s">
        <v>635</v>
      </c>
      <c r="AW4082" s="227"/>
      <c r="AX4082" s="227"/>
      <c r="AY4082" s="227"/>
      <c r="AZ4082" s="227"/>
      <c r="BA4082" s="227"/>
      <c r="BB4082" s="227"/>
      <c r="BC4082" s="227"/>
      <c r="BD4082" s="227"/>
      <c r="BE4082" s="227"/>
      <c r="BF4082" s="227"/>
    </row>
    <row r="4083">
      <c r="A4083" s="235" t="s">
        <v>30459</v>
      </c>
      <c r="C4083" s="235" t="s">
        <v>30460</v>
      </c>
      <c r="D4083" s="235" t="s">
        <v>30461</v>
      </c>
      <c r="E4083" s="243">
        <v>6.51E13</v>
      </c>
      <c r="F4083" s="245"/>
      <c r="G4083" s="235" t="s">
        <v>30462</v>
      </c>
      <c r="H4083" s="235" t="s">
        <v>30463</v>
      </c>
      <c r="I4083" s="235" t="s">
        <v>30463</v>
      </c>
      <c r="J4083" s="235" t="s">
        <v>30464</v>
      </c>
      <c r="K4083" s="235" t="s">
        <v>30465</v>
      </c>
      <c r="N4083" s="235" t="s">
        <v>128</v>
      </c>
      <c r="O4083" s="235" t="s">
        <v>2710</v>
      </c>
      <c r="P4083" s="238">
        <v>1.0</v>
      </c>
      <c r="Q4083" s="235" t="s">
        <v>627</v>
      </c>
      <c r="R4083" s="238">
        <v>233.33</v>
      </c>
      <c r="S4083" s="238">
        <v>11.67</v>
      </c>
      <c r="T4083" s="238">
        <v>0.0</v>
      </c>
      <c r="U4083" s="238">
        <v>0.0</v>
      </c>
      <c r="V4083" s="238">
        <v>0.0</v>
      </c>
      <c r="W4083" s="238">
        <v>0.0</v>
      </c>
      <c r="X4083" s="235" t="s">
        <v>628</v>
      </c>
      <c r="Z4083" s="245"/>
      <c r="AA4083" s="245"/>
      <c r="AB4083" s="245"/>
      <c r="AC4083" s="235" t="s">
        <v>795</v>
      </c>
      <c r="AD4083" s="235" t="s">
        <v>796</v>
      </c>
      <c r="AE4083" s="238">
        <v>110075.0</v>
      </c>
      <c r="AF4083" s="235" t="s">
        <v>631</v>
      </c>
      <c r="AG4083" s="245"/>
      <c r="AH4083" s="245"/>
      <c r="AI4083" s="245"/>
      <c r="AJ4083" s="245"/>
      <c r="AK4083" s="245"/>
      <c r="AL4083" s="245"/>
      <c r="AM4083" s="245"/>
      <c r="AN4083" s="245"/>
      <c r="AO4083" s="238">
        <v>0.0</v>
      </c>
      <c r="AP4083" s="238">
        <v>0.0</v>
      </c>
      <c r="AQ4083" s="235" t="s">
        <v>632</v>
      </c>
      <c r="AR4083" s="243">
        <v>1.68E11</v>
      </c>
      <c r="AS4083" s="235" t="s">
        <v>30263</v>
      </c>
      <c r="AT4083" s="235" t="s">
        <v>13</v>
      </c>
      <c r="AU4083" s="235" t="s">
        <v>634</v>
      </c>
      <c r="AV4083" s="246" t="s">
        <v>635</v>
      </c>
      <c r="AW4083" s="227"/>
      <c r="AX4083" s="227"/>
      <c r="AY4083" s="227"/>
      <c r="AZ4083" s="227"/>
      <c r="BA4083" s="227"/>
      <c r="BB4083" s="227"/>
      <c r="BC4083" s="227"/>
      <c r="BD4083" s="227"/>
      <c r="BE4083" s="227"/>
      <c r="BF4083" s="227"/>
    </row>
    <row r="4084">
      <c r="A4084" s="235" t="s">
        <v>30466</v>
      </c>
      <c r="C4084" s="235" t="s">
        <v>30467</v>
      </c>
      <c r="D4084" s="235" t="s">
        <v>30468</v>
      </c>
      <c r="E4084" s="243">
        <v>6.51E13</v>
      </c>
      <c r="F4084" s="245"/>
      <c r="G4084" s="235" t="s">
        <v>30469</v>
      </c>
      <c r="H4084" s="235" t="s">
        <v>30470</v>
      </c>
      <c r="I4084" s="235" t="s">
        <v>30470</v>
      </c>
      <c r="J4084" s="235" t="s">
        <v>30471</v>
      </c>
      <c r="K4084" s="235" t="s">
        <v>30472</v>
      </c>
      <c r="N4084" s="235" t="s">
        <v>2163</v>
      </c>
      <c r="O4084" s="235" t="s">
        <v>2164</v>
      </c>
      <c r="P4084" s="238">
        <v>1.0</v>
      </c>
      <c r="Q4084" s="235" t="s">
        <v>627</v>
      </c>
      <c r="R4084" s="238">
        <v>233.34</v>
      </c>
      <c r="S4084" s="238">
        <v>11.66</v>
      </c>
      <c r="T4084" s="238">
        <v>0.0</v>
      </c>
      <c r="U4084" s="238">
        <v>0.0</v>
      </c>
      <c r="V4084" s="238">
        <v>0.0</v>
      </c>
      <c r="W4084" s="238">
        <v>0.0</v>
      </c>
      <c r="X4084" s="235" t="s">
        <v>628</v>
      </c>
      <c r="Z4084" s="245"/>
      <c r="AA4084" s="245"/>
      <c r="AB4084" s="245"/>
      <c r="AC4084" s="235" t="s">
        <v>687</v>
      </c>
      <c r="AD4084" s="235" t="s">
        <v>666</v>
      </c>
      <c r="AE4084" s="238">
        <v>600017.0</v>
      </c>
      <c r="AF4084" s="235" t="s">
        <v>631</v>
      </c>
      <c r="AG4084" s="245"/>
      <c r="AH4084" s="245"/>
      <c r="AI4084" s="245"/>
      <c r="AJ4084" s="245"/>
      <c r="AK4084" s="245"/>
      <c r="AL4084" s="245"/>
      <c r="AM4084" s="245"/>
      <c r="AN4084" s="245"/>
      <c r="AO4084" s="238">
        <v>0.0</v>
      </c>
      <c r="AP4084" s="238">
        <v>0.0</v>
      </c>
      <c r="AQ4084" s="235" t="s">
        <v>632</v>
      </c>
      <c r="AR4084" s="243">
        <v>1.68E11</v>
      </c>
      <c r="AS4084" s="235" t="s">
        <v>30263</v>
      </c>
      <c r="AT4084" s="235" t="s">
        <v>156</v>
      </c>
      <c r="AU4084" s="235" t="s">
        <v>634</v>
      </c>
      <c r="AV4084" s="246" t="s">
        <v>635</v>
      </c>
      <c r="AW4084" s="227"/>
      <c r="AX4084" s="227"/>
      <c r="AY4084" s="227"/>
      <c r="AZ4084" s="227"/>
      <c r="BA4084" s="227"/>
      <c r="BB4084" s="227"/>
      <c r="BC4084" s="227"/>
      <c r="BD4084" s="227"/>
      <c r="BE4084" s="227"/>
      <c r="BF4084" s="227"/>
    </row>
    <row r="4085">
      <c r="A4085" s="235" t="s">
        <v>30473</v>
      </c>
      <c r="C4085" s="235" t="s">
        <v>30474</v>
      </c>
      <c r="D4085" s="235" t="s">
        <v>30475</v>
      </c>
      <c r="E4085" s="243">
        <v>6.51E13</v>
      </c>
      <c r="F4085" s="245"/>
      <c r="G4085" s="235" t="s">
        <v>30476</v>
      </c>
      <c r="H4085" s="235" t="s">
        <v>30477</v>
      </c>
      <c r="I4085" s="235" t="s">
        <v>27128</v>
      </c>
      <c r="J4085" s="235" t="s">
        <v>30478</v>
      </c>
      <c r="K4085" s="235" t="s">
        <v>30479</v>
      </c>
      <c r="N4085" s="235" t="s">
        <v>134</v>
      </c>
      <c r="O4085" s="235" t="s">
        <v>314</v>
      </c>
      <c r="P4085" s="238">
        <v>1.0</v>
      </c>
      <c r="Q4085" s="235" t="s">
        <v>627</v>
      </c>
      <c r="R4085" s="238">
        <v>233.33</v>
      </c>
      <c r="S4085" s="238">
        <v>11.67</v>
      </c>
      <c r="T4085" s="238">
        <v>0.0</v>
      </c>
      <c r="U4085" s="238">
        <v>0.0</v>
      </c>
      <c r="V4085" s="238">
        <v>0.0</v>
      </c>
      <c r="W4085" s="238">
        <v>0.0</v>
      </c>
      <c r="X4085" s="235" t="s">
        <v>628</v>
      </c>
      <c r="Z4085" s="245"/>
      <c r="AA4085" s="245"/>
      <c r="AB4085" s="245"/>
      <c r="AC4085" s="235" t="s">
        <v>7088</v>
      </c>
      <c r="AD4085" s="235" t="s">
        <v>630</v>
      </c>
      <c r="AE4085" s="238">
        <v>201318.0</v>
      </c>
      <c r="AF4085" s="235" t="s">
        <v>631</v>
      </c>
      <c r="AG4085" s="245"/>
      <c r="AH4085" s="245"/>
      <c r="AI4085" s="245"/>
      <c r="AJ4085" s="245"/>
      <c r="AK4085" s="245"/>
      <c r="AL4085" s="245"/>
      <c r="AM4085" s="245"/>
      <c r="AN4085" s="245"/>
      <c r="AO4085" s="238">
        <v>0.0</v>
      </c>
      <c r="AP4085" s="238">
        <v>0.0</v>
      </c>
      <c r="AQ4085" s="235" t="s">
        <v>632</v>
      </c>
      <c r="AR4085" s="243">
        <v>3.71E11</v>
      </c>
      <c r="AS4085" s="235" t="s">
        <v>29883</v>
      </c>
      <c r="AT4085" s="235" t="s">
        <v>13</v>
      </c>
      <c r="AU4085" s="235" t="s">
        <v>634</v>
      </c>
      <c r="AV4085" s="246" t="s">
        <v>635</v>
      </c>
      <c r="AW4085" s="227"/>
      <c r="AX4085" s="227"/>
      <c r="AY4085" s="227"/>
      <c r="AZ4085" s="227"/>
      <c r="BA4085" s="227"/>
      <c r="BB4085" s="227"/>
      <c r="BC4085" s="227"/>
      <c r="BD4085" s="227"/>
      <c r="BE4085" s="227"/>
      <c r="BF4085" s="227"/>
    </row>
    <row r="4086">
      <c r="A4086" s="235" t="s">
        <v>30480</v>
      </c>
      <c r="C4086" s="235" t="s">
        <v>30481</v>
      </c>
      <c r="D4086" s="235" t="s">
        <v>30482</v>
      </c>
      <c r="E4086" s="243">
        <v>6.51E13</v>
      </c>
      <c r="F4086" s="245"/>
      <c r="G4086" s="235" t="s">
        <v>30483</v>
      </c>
      <c r="H4086" s="235" t="s">
        <v>30484</v>
      </c>
      <c r="I4086" s="235" t="s">
        <v>30484</v>
      </c>
      <c r="J4086" s="235" t="s">
        <v>30485</v>
      </c>
      <c r="K4086" s="235" t="s">
        <v>30486</v>
      </c>
      <c r="N4086" s="235" t="s">
        <v>842</v>
      </c>
      <c r="O4086" s="235" t="s">
        <v>843</v>
      </c>
      <c r="P4086" s="238">
        <v>1.0</v>
      </c>
      <c r="Q4086" s="235" t="s">
        <v>627</v>
      </c>
      <c r="R4086" s="238">
        <v>237.14</v>
      </c>
      <c r="S4086" s="238">
        <v>11.86</v>
      </c>
      <c r="T4086" s="238">
        <v>0.0</v>
      </c>
      <c r="U4086" s="238">
        <v>0.0</v>
      </c>
      <c r="V4086" s="238">
        <v>0.0</v>
      </c>
      <c r="W4086" s="238">
        <v>0.0</v>
      </c>
      <c r="X4086" s="235" t="s">
        <v>628</v>
      </c>
      <c r="Z4086" s="245"/>
      <c r="AA4086" s="245"/>
      <c r="AB4086" s="245"/>
      <c r="AC4086" s="235" t="s">
        <v>678</v>
      </c>
      <c r="AD4086" s="235" t="s">
        <v>679</v>
      </c>
      <c r="AE4086" s="238">
        <v>560036.0</v>
      </c>
      <c r="AF4086" s="235" t="s">
        <v>631</v>
      </c>
      <c r="AG4086" s="245"/>
      <c r="AH4086" s="245"/>
      <c r="AI4086" s="245"/>
      <c r="AJ4086" s="245"/>
      <c r="AK4086" s="245"/>
      <c r="AL4086" s="245"/>
      <c r="AM4086" s="245"/>
      <c r="AN4086" s="245"/>
      <c r="AO4086" s="238">
        <v>0.0</v>
      </c>
      <c r="AP4086" s="238">
        <v>0.0</v>
      </c>
      <c r="AQ4086" s="235" t="s">
        <v>632</v>
      </c>
      <c r="AR4086" s="243">
        <v>3.71E11</v>
      </c>
      <c r="AS4086" s="235" t="s">
        <v>29883</v>
      </c>
      <c r="AT4086" s="235" t="s">
        <v>9</v>
      </c>
      <c r="AU4086" s="235" t="s">
        <v>634</v>
      </c>
      <c r="AV4086" s="246" t="s">
        <v>635</v>
      </c>
      <c r="AW4086" s="227"/>
      <c r="AX4086" s="227"/>
      <c r="AY4086" s="227"/>
      <c r="AZ4086" s="227"/>
      <c r="BA4086" s="227"/>
      <c r="BB4086" s="227"/>
      <c r="BC4086" s="227"/>
      <c r="BD4086" s="227"/>
      <c r="BE4086" s="227"/>
      <c r="BF4086" s="227"/>
    </row>
    <row r="4087">
      <c r="A4087" s="235" t="s">
        <v>30487</v>
      </c>
      <c r="C4087" s="235" t="s">
        <v>30488</v>
      </c>
      <c r="D4087" s="235" t="s">
        <v>30489</v>
      </c>
      <c r="E4087" s="243">
        <v>6.51E13</v>
      </c>
      <c r="F4087" s="245"/>
      <c r="G4087" s="235" t="s">
        <v>30490</v>
      </c>
      <c r="H4087" s="235" t="s">
        <v>30491</v>
      </c>
      <c r="I4087" s="235" t="s">
        <v>30491</v>
      </c>
      <c r="J4087" s="235" t="s">
        <v>30492</v>
      </c>
      <c r="K4087" s="235" t="s">
        <v>30493</v>
      </c>
      <c r="N4087" s="235" t="s">
        <v>85</v>
      </c>
      <c r="O4087" s="235" t="s">
        <v>872</v>
      </c>
      <c r="P4087" s="238">
        <v>1.0</v>
      </c>
      <c r="Q4087" s="235" t="s">
        <v>627</v>
      </c>
      <c r="R4087" s="238">
        <v>232.38</v>
      </c>
      <c r="S4087" s="238">
        <v>11.62</v>
      </c>
      <c r="T4087" s="238">
        <v>0.0</v>
      </c>
      <c r="U4087" s="238">
        <v>0.0</v>
      </c>
      <c r="V4087" s="238">
        <v>0.0</v>
      </c>
      <c r="W4087" s="238">
        <v>0.0</v>
      </c>
      <c r="X4087" s="235" t="s">
        <v>628</v>
      </c>
      <c r="Z4087" s="245"/>
      <c r="AA4087" s="245"/>
      <c r="AB4087" s="245"/>
      <c r="AC4087" s="235" t="s">
        <v>19226</v>
      </c>
      <c r="AD4087" s="235" t="s">
        <v>30494</v>
      </c>
      <c r="AE4087" s="238">
        <v>173208.0</v>
      </c>
      <c r="AF4087" s="235" t="s">
        <v>631</v>
      </c>
      <c r="AG4087" s="245"/>
      <c r="AH4087" s="245"/>
      <c r="AI4087" s="245"/>
      <c r="AJ4087" s="245"/>
      <c r="AK4087" s="245"/>
      <c r="AL4087" s="245"/>
      <c r="AM4087" s="245"/>
      <c r="AN4087" s="245"/>
      <c r="AO4087" s="238">
        <v>0.0</v>
      </c>
      <c r="AP4087" s="238">
        <v>0.0</v>
      </c>
      <c r="AQ4087" s="235" t="s">
        <v>1328</v>
      </c>
      <c r="AR4087" s="243">
        <v>1.34E13</v>
      </c>
      <c r="AS4087" s="235" t="s">
        <v>22269</v>
      </c>
      <c r="AT4087" s="235" t="s">
        <v>14</v>
      </c>
      <c r="AU4087" s="235" t="s">
        <v>634</v>
      </c>
      <c r="AV4087" s="246" t="s">
        <v>635</v>
      </c>
      <c r="AW4087" s="227"/>
      <c r="AX4087" s="227"/>
      <c r="AY4087" s="227"/>
      <c r="AZ4087" s="227"/>
      <c r="BA4087" s="227"/>
      <c r="BB4087" s="227"/>
      <c r="BC4087" s="227"/>
      <c r="BD4087" s="227"/>
      <c r="BE4087" s="227"/>
      <c r="BF4087" s="227"/>
    </row>
    <row r="4088">
      <c r="A4088" s="235" t="s">
        <v>30495</v>
      </c>
      <c r="C4088" s="235" t="s">
        <v>30496</v>
      </c>
      <c r="D4088" s="235" t="s">
        <v>30497</v>
      </c>
      <c r="E4088" s="243">
        <v>6.51E13</v>
      </c>
      <c r="F4088" s="245"/>
      <c r="G4088" s="235" t="s">
        <v>30498</v>
      </c>
      <c r="H4088" s="235" t="s">
        <v>30499</v>
      </c>
      <c r="I4088" s="235" t="s">
        <v>30499</v>
      </c>
      <c r="J4088" s="235" t="s">
        <v>30500</v>
      </c>
      <c r="K4088" s="235" t="s">
        <v>30501</v>
      </c>
      <c r="N4088" s="235" t="s">
        <v>92</v>
      </c>
      <c r="O4088" s="235" t="s">
        <v>248</v>
      </c>
      <c r="P4088" s="238">
        <v>1.0</v>
      </c>
      <c r="Q4088" s="235" t="s">
        <v>627</v>
      </c>
      <c r="R4088" s="238">
        <v>233.34</v>
      </c>
      <c r="S4088" s="238">
        <v>11.32</v>
      </c>
      <c r="T4088" s="238">
        <v>0.0</v>
      </c>
      <c r="U4088" s="238">
        <v>0.0</v>
      </c>
      <c r="V4088" s="238">
        <v>0.0</v>
      </c>
      <c r="W4088" s="238">
        <v>0.0</v>
      </c>
      <c r="X4088" s="235" t="s">
        <v>628</v>
      </c>
      <c r="Z4088" s="245"/>
      <c r="AA4088" s="245"/>
      <c r="AB4088" s="245"/>
      <c r="AC4088" s="235" t="s">
        <v>29833</v>
      </c>
      <c r="AD4088" s="235" t="s">
        <v>679</v>
      </c>
      <c r="AE4088" s="238">
        <v>572105.0</v>
      </c>
      <c r="AF4088" s="235" t="s">
        <v>631</v>
      </c>
      <c r="AG4088" s="245"/>
      <c r="AH4088" s="245"/>
      <c r="AI4088" s="245"/>
      <c r="AJ4088" s="245"/>
      <c r="AK4088" s="245"/>
      <c r="AL4088" s="245"/>
      <c r="AM4088" s="245"/>
      <c r="AN4088" s="245"/>
      <c r="AO4088" s="238">
        <v>-7.01</v>
      </c>
      <c r="AP4088" s="238">
        <v>0.0</v>
      </c>
      <c r="AQ4088" s="235" t="s">
        <v>632</v>
      </c>
      <c r="AR4088" s="243">
        <v>1.68E11</v>
      </c>
      <c r="AS4088" s="235" t="s">
        <v>29883</v>
      </c>
      <c r="AT4088" s="235" t="s">
        <v>11</v>
      </c>
      <c r="AU4088" s="235" t="s">
        <v>634</v>
      </c>
      <c r="AV4088" s="246" t="s">
        <v>635</v>
      </c>
      <c r="AW4088" s="227"/>
      <c r="AX4088" s="227"/>
      <c r="AY4088" s="227"/>
      <c r="AZ4088" s="227"/>
      <c r="BA4088" s="227"/>
      <c r="BB4088" s="227"/>
      <c r="BC4088" s="227"/>
      <c r="BD4088" s="227"/>
      <c r="BE4088" s="227"/>
      <c r="BF4088" s="227"/>
    </row>
    <row r="4089">
      <c r="A4089" s="235" t="s">
        <v>30502</v>
      </c>
      <c r="C4089" s="235" t="s">
        <v>30503</v>
      </c>
      <c r="D4089" s="235" t="s">
        <v>30504</v>
      </c>
      <c r="E4089" s="243">
        <v>6.51E13</v>
      </c>
      <c r="F4089" s="245"/>
      <c r="G4089" s="235" t="s">
        <v>30505</v>
      </c>
      <c r="H4089" s="235" t="s">
        <v>30506</v>
      </c>
      <c r="I4089" s="235" t="s">
        <v>30507</v>
      </c>
      <c r="J4089" s="235" t="s">
        <v>30508</v>
      </c>
      <c r="K4089" s="235" t="s">
        <v>30509</v>
      </c>
      <c r="N4089" s="235" t="s">
        <v>51</v>
      </c>
      <c r="O4089" s="235" t="s">
        <v>273</v>
      </c>
      <c r="P4089" s="238">
        <v>1.0</v>
      </c>
      <c r="Q4089" s="235" t="s">
        <v>627</v>
      </c>
      <c r="R4089" s="238">
        <v>270.48</v>
      </c>
      <c r="S4089" s="238">
        <v>13.11</v>
      </c>
      <c r="T4089" s="238">
        <v>0.0</v>
      </c>
      <c r="U4089" s="238">
        <v>0.0</v>
      </c>
      <c r="V4089" s="238">
        <v>0.0</v>
      </c>
      <c r="W4089" s="238">
        <v>0.0</v>
      </c>
      <c r="X4089" s="235" t="s">
        <v>628</v>
      </c>
      <c r="Z4089" s="245"/>
      <c r="AA4089" s="245"/>
      <c r="AB4089" s="245"/>
      <c r="AC4089" s="235" t="s">
        <v>30510</v>
      </c>
      <c r="AD4089" s="235" t="s">
        <v>698</v>
      </c>
      <c r="AE4089" s="238">
        <v>500090.0</v>
      </c>
      <c r="AF4089" s="235" t="s">
        <v>631</v>
      </c>
      <c r="AG4089" s="245"/>
      <c r="AH4089" s="245"/>
      <c r="AI4089" s="245"/>
      <c r="AJ4089" s="245"/>
      <c r="AK4089" s="245"/>
      <c r="AL4089" s="245"/>
      <c r="AM4089" s="245"/>
      <c r="AN4089" s="245"/>
      <c r="AO4089" s="238">
        <v>-8.11</v>
      </c>
      <c r="AP4089" s="238">
        <v>0.0</v>
      </c>
      <c r="AQ4089" s="235" t="s">
        <v>632</v>
      </c>
      <c r="AR4089" s="243">
        <v>3.71E11</v>
      </c>
      <c r="AS4089" s="235" t="s">
        <v>28482</v>
      </c>
      <c r="AT4089" s="235" t="s">
        <v>546</v>
      </c>
      <c r="AU4089" s="235" t="s">
        <v>634</v>
      </c>
      <c r="AV4089" s="246" t="s">
        <v>635</v>
      </c>
      <c r="AW4089" s="227"/>
      <c r="AX4089" s="227"/>
      <c r="AY4089" s="227"/>
      <c r="AZ4089" s="227"/>
      <c r="BA4089" s="227"/>
      <c r="BB4089" s="227"/>
      <c r="BC4089" s="227"/>
      <c r="BD4089" s="227"/>
      <c r="BE4089" s="227"/>
      <c r="BF4089" s="227"/>
    </row>
    <row r="4090">
      <c r="A4090" s="235" t="s">
        <v>30511</v>
      </c>
      <c r="C4090" s="235" t="s">
        <v>30512</v>
      </c>
      <c r="D4090" s="235" t="s">
        <v>30513</v>
      </c>
      <c r="E4090" s="243">
        <v>6.51E13</v>
      </c>
      <c r="F4090" s="245"/>
      <c r="G4090" s="235" t="s">
        <v>30514</v>
      </c>
      <c r="H4090" s="235" t="s">
        <v>30515</v>
      </c>
      <c r="I4090" s="235" t="s">
        <v>30515</v>
      </c>
      <c r="J4090" s="235" t="s">
        <v>30516</v>
      </c>
      <c r="K4090" s="235" t="s">
        <v>30517</v>
      </c>
      <c r="N4090" s="235" t="s">
        <v>127</v>
      </c>
      <c r="O4090" s="235" t="s">
        <v>794</v>
      </c>
      <c r="P4090" s="238">
        <v>1.0</v>
      </c>
      <c r="Q4090" s="235" t="s">
        <v>627</v>
      </c>
      <c r="R4090" s="238">
        <v>236.19</v>
      </c>
      <c r="S4090" s="238">
        <v>11.81</v>
      </c>
      <c r="T4090" s="238">
        <v>0.0</v>
      </c>
      <c r="U4090" s="238">
        <v>0.0</v>
      </c>
      <c r="V4090" s="238">
        <v>0.0</v>
      </c>
      <c r="W4090" s="238">
        <v>0.0</v>
      </c>
      <c r="X4090" s="235" t="s">
        <v>628</v>
      </c>
      <c r="Z4090" s="245"/>
      <c r="AA4090" s="245"/>
      <c r="AB4090" s="245"/>
      <c r="AC4090" s="235" t="s">
        <v>1287</v>
      </c>
      <c r="AD4090" s="235" t="s">
        <v>630</v>
      </c>
      <c r="AE4090" s="238">
        <v>201014.0</v>
      </c>
      <c r="AF4090" s="235" t="s">
        <v>631</v>
      </c>
      <c r="AG4090" s="245"/>
      <c r="AH4090" s="245"/>
      <c r="AI4090" s="245"/>
      <c r="AJ4090" s="245"/>
      <c r="AK4090" s="245"/>
      <c r="AL4090" s="245"/>
      <c r="AM4090" s="245"/>
      <c r="AN4090" s="245"/>
      <c r="AO4090" s="238">
        <v>0.0</v>
      </c>
      <c r="AP4090" s="238">
        <v>0.0</v>
      </c>
      <c r="AQ4090" s="235" t="s">
        <v>632</v>
      </c>
      <c r="AR4090" s="243">
        <v>1.68E11</v>
      </c>
      <c r="AS4090" s="235" t="s">
        <v>30263</v>
      </c>
      <c r="AT4090" s="235" t="s">
        <v>13</v>
      </c>
      <c r="AU4090" s="235" t="s">
        <v>634</v>
      </c>
      <c r="AV4090" s="246" t="s">
        <v>635</v>
      </c>
      <c r="AW4090" s="227"/>
      <c r="AX4090" s="227"/>
      <c r="AY4090" s="227"/>
      <c r="AZ4090" s="227"/>
      <c r="BA4090" s="227"/>
      <c r="BB4090" s="227"/>
      <c r="BC4090" s="227"/>
      <c r="BD4090" s="227"/>
      <c r="BE4090" s="227"/>
      <c r="BF4090" s="227"/>
    </row>
    <row r="4091">
      <c r="A4091" s="235" t="s">
        <v>30518</v>
      </c>
      <c r="C4091" s="235" t="s">
        <v>30519</v>
      </c>
      <c r="D4091" s="235" t="s">
        <v>30520</v>
      </c>
      <c r="E4091" s="243">
        <v>6.51E13</v>
      </c>
      <c r="F4091" s="245"/>
      <c r="G4091" s="235" t="s">
        <v>30521</v>
      </c>
      <c r="H4091" s="235" t="s">
        <v>30522</v>
      </c>
      <c r="I4091" s="235" t="s">
        <v>30522</v>
      </c>
      <c r="J4091" s="235" t="s">
        <v>30523</v>
      </c>
      <c r="K4091" s="235" t="s">
        <v>30524</v>
      </c>
      <c r="N4091" s="235" t="s">
        <v>842</v>
      </c>
      <c r="O4091" s="235" t="s">
        <v>843</v>
      </c>
      <c r="P4091" s="238">
        <v>1.0</v>
      </c>
      <c r="Q4091" s="235" t="s">
        <v>627</v>
      </c>
      <c r="R4091" s="238">
        <v>237.14</v>
      </c>
      <c r="S4091" s="238">
        <v>11.86</v>
      </c>
      <c r="T4091" s="238">
        <v>0.0</v>
      </c>
      <c r="U4091" s="238">
        <v>0.0</v>
      </c>
      <c r="V4091" s="238">
        <v>0.0</v>
      </c>
      <c r="W4091" s="238">
        <v>0.0</v>
      </c>
      <c r="X4091" s="235" t="s">
        <v>628</v>
      </c>
      <c r="Z4091" s="245"/>
      <c r="AA4091" s="245"/>
      <c r="AB4091" s="245"/>
      <c r="AC4091" s="235" t="s">
        <v>795</v>
      </c>
      <c r="AD4091" s="235" t="s">
        <v>796</v>
      </c>
      <c r="AE4091" s="238">
        <v>110053.0</v>
      </c>
      <c r="AF4091" s="235" t="s">
        <v>631</v>
      </c>
      <c r="AG4091" s="245"/>
      <c r="AH4091" s="245"/>
      <c r="AI4091" s="245"/>
      <c r="AJ4091" s="245"/>
      <c r="AK4091" s="245"/>
      <c r="AL4091" s="245"/>
      <c r="AM4091" s="245"/>
      <c r="AN4091" s="245"/>
      <c r="AO4091" s="238">
        <v>0.0</v>
      </c>
      <c r="AP4091" s="238">
        <v>0.0</v>
      </c>
      <c r="AQ4091" s="235" t="s">
        <v>632</v>
      </c>
      <c r="AR4091" s="243">
        <v>3.71E11</v>
      </c>
      <c r="AS4091" s="235" t="s">
        <v>29883</v>
      </c>
      <c r="AT4091" s="235" t="s">
        <v>14</v>
      </c>
      <c r="AU4091" s="235" t="s">
        <v>634</v>
      </c>
      <c r="AV4091" s="246" t="s">
        <v>635</v>
      </c>
      <c r="AW4091" s="227"/>
      <c r="AX4091" s="227"/>
      <c r="AY4091" s="227"/>
      <c r="AZ4091" s="227"/>
      <c r="BA4091" s="227"/>
      <c r="BB4091" s="227"/>
      <c r="BC4091" s="227"/>
      <c r="BD4091" s="227"/>
      <c r="BE4091" s="227"/>
      <c r="BF4091" s="227"/>
    </row>
    <row r="4092">
      <c r="A4092" s="235" t="s">
        <v>30525</v>
      </c>
      <c r="C4092" s="235" t="s">
        <v>30526</v>
      </c>
      <c r="D4092" s="235" t="s">
        <v>30527</v>
      </c>
      <c r="E4092" s="243">
        <v>6.51E13</v>
      </c>
      <c r="F4092" s="245"/>
      <c r="G4092" s="235" t="s">
        <v>30528</v>
      </c>
      <c r="H4092" s="235" t="s">
        <v>30529</v>
      </c>
      <c r="I4092" s="235" t="s">
        <v>30530</v>
      </c>
      <c r="J4092" s="235" t="s">
        <v>30531</v>
      </c>
      <c r="K4092" s="235" t="s">
        <v>30532</v>
      </c>
      <c r="N4092" s="235" t="s">
        <v>3</v>
      </c>
      <c r="O4092" s="235" t="s">
        <v>654</v>
      </c>
      <c r="P4092" s="238">
        <v>1.0</v>
      </c>
      <c r="Q4092" s="235" t="s">
        <v>627</v>
      </c>
      <c r="R4092" s="238">
        <v>247.62</v>
      </c>
      <c r="S4092" s="238">
        <v>12.01</v>
      </c>
      <c r="T4092" s="238">
        <v>0.0</v>
      </c>
      <c r="U4092" s="238">
        <v>0.0</v>
      </c>
      <c r="V4092" s="238">
        <v>0.0</v>
      </c>
      <c r="W4092" s="238">
        <v>0.0</v>
      </c>
      <c r="X4092" s="235" t="s">
        <v>628</v>
      </c>
      <c r="Z4092" s="245"/>
      <c r="AA4092" s="245"/>
      <c r="AB4092" s="245"/>
      <c r="AC4092" s="235" t="s">
        <v>678</v>
      </c>
      <c r="AD4092" s="235" t="s">
        <v>679</v>
      </c>
      <c r="AE4092" s="238">
        <v>560049.0</v>
      </c>
      <c r="AF4092" s="235" t="s">
        <v>631</v>
      </c>
      <c r="AG4092" s="245"/>
      <c r="AH4092" s="245"/>
      <c r="AI4092" s="245"/>
      <c r="AJ4092" s="245"/>
      <c r="AK4092" s="245"/>
      <c r="AL4092" s="245"/>
      <c r="AM4092" s="245"/>
      <c r="AN4092" s="245"/>
      <c r="AO4092" s="238">
        <v>-7.43</v>
      </c>
      <c r="AP4092" s="238">
        <v>0.0</v>
      </c>
      <c r="AQ4092" s="235" t="s">
        <v>632</v>
      </c>
      <c r="AR4092" s="243">
        <v>3.71E11</v>
      </c>
      <c r="AS4092" s="235" t="s">
        <v>29883</v>
      </c>
      <c r="AT4092" s="235" t="s">
        <v>9</v>
      </c>
      <c r="AU4092" s="235" t="s">
        <v>634</v>
      </c>
      <c r="AV4092" s="246" t="s">
        <v>635</v>
      </c>
      <c r="AW4092" s="227"/>
      <c r="AX4092" s="227"/>
      <c r="AY4092" s="227"/>
      <c r="AZ4092" s="227"/>
      <c r="BA4092" s="227"/>
      <c r="BB4092" s="227"/>
      <c r="BC4092" s="227"/>
      <c r="BD4092" s="227"/>
      <c r="BE4092" s="227"/>
      <c r="BF4092" s="227"/>
    </row>
    <row r="4093">
      <c r="A4093" s="235" t="s">
        <v>30533</v>
      </c>
      <c r="C4093" s="235" t="s">
        <v>30534</v>
      </c>
      <c r="D4093" s="235" t="s">
        <v>30535</v>
      </c>
      <c r="E4093" s="243">
        <v>6.51E13</v>
      </c>
      <c r="F4093" s="245"/>
      <c r="G4093" s="235" t="s">
        <v>30536</v>
      </c>
      <c r="H4093" s="235" t="s">
        <v>30537</v>
      </c>
      <c r="I4093" s="235" t="s">
        <v>30537</v>
      </c>
      <c r="J4093" s="235" t="s">
        <v>30538</v>
      </c>
      <c r="K4093" s="235" t="s">
        <v>30539</v>
      </c>
      <c r="N4093" s="235" t="s">
        <v>145</v>
      </c>
      <c r="O4093" s="235" t="s">
        <v>370</v>
      </c>
      <c r="P4093" s="238">
        <v>1.0</v>
      </c>
      <c r="Q4093" s="235" t="s">
        <v>627</v>
      </c>
      <c r="R4093" s="238">
        <v>1475.24</v>
      </c>
      <c r="S4093" s="238">
        <v>71.55</v>
      </c>
      <c r="T4093" s="238">
        <v>0.0</v>
      </c>
      <c r="U4093" s="238">
        <v>0.0</v>
      </c>
      <c r="V4093" s="238">
        <v>0.0</v>
      </c>
      <c r="W4093" s="238">
        <v>0.0</v>
      </c>
      <c r="X4093" s="235" t="s">
        <v>628</v>
      </c>
      <c r="Z4093" s="245"/>
      <c r="AA4093" s="245"/>
      <c r="AB4093" s="245"/>
      <c r="AC4093" s="235" t="s">
        <v>844</v>
      </c>
      <c r="AD4093" s="235" t="s">
        <v>845</v>
      </c>
      <c r="AE4093" s="238">
        <v>411007.0</v>
      </c>
      <c r="AF4093" s="235" t="s">
        <v>631</v>
      </c>
      <c r="AG4093" s="245"/>
      <c r="AH4093" s="245"/>
      <c r="AI4093" s="245"/>
      <c r="AJ4093" s="245"/>
      <c r="AK4093" s="245"/>
      <c r="AL4093" s="245"/>
      <c r="AM4093" s="245"/>
      <c r="AN4093" s="245"/>
      <c r="AO4093" s="238">
        <v>-44.26</v>
      </c>
      <c r="AP4093" s="238">
        <v>0.0</v>
      </c>
      <c r="AQ4093" s="235" t="s">
        <v>632</v>
      </c>
      <c r="AR4093" s="243">
        <v>3.71E11</v>
      </c>
      <c r="AS4093" s="235" t="s">
        <v>29883</v>
      </c>
      <c r="AT4093" s="235" t="s">
        <v>546</v>
      </c>
      <c r="AU4093" s="235" t="s">
        <v>634</v>
      </c>
      <c r="AV4093" s="246" t="s">
        <v>635</v>
      </c>
      <c r="AW4093" s="227"/>
      <c r="AX4093" s="227"/>
      <c r="AY4093" s="227"/>
      <c r="AZ4093" s="227"/>
      <c r="BA4093" s="227"/>
      <c r="BB4093" s="227"/>
      <c r="BC4093" s="227"/>
      <c r="BD4093" s="227"/>
      <c r="BE4093" s="227"/>
      <c r="BF4093" s="227"/>
    </row>
    <row r="4094">
      <c r="A4094" s="235" t="s">
        <v>30540</v>
      </c>
      <c r="C4094" s="235" t="s">
        <v>30541</v>
      </c>
      <c r="D4094" s="235" t="s">
        <v>30542</v>
      </c>
      <c r="E4094" s="243">
        <v>6.51E13</v>
      </c>
      <c r="F4094" s="245"/>
      <c r="G4094" s="235" t="s">
        <v>30543</v>
      </c>
      <c r="H4094" s="235" t="s">
        <v>30544</v>
      </c>
      <c r="I4094" s="235" t="s">
        <v>30545</v>
      </c>
      <c r="J4094" s="235" t="s">
        <v>30546</v>
      </c>
      <c r="K4094" s="235" t="s">
        <v>30547</v>
      </c>
      <c r="N4094" s="235" t="s">
        <v>3467</v>
      </c>
      <c r="O4094" s="235" t="s">
        <v>3468</v>
      </c>
      <c r="P4094" s="238">
        <v>1.0</v>
      </c>
      <c r="Q4094" s="235" t="s">
        <v>627</v>
      </c>
      <c r="R4094" s="238">
        <v>270.48</v>
      </c>
      <c r="S4094" s="238">
        <v>13.52</v>
      </c>
      <c r="T4094" s="238">
        <v>0.0</v>
      </c>
      <c r="U4094" s="238">
        <v>0.0</v>
      </c>
      <c r="V4094" s="238">
        <v>0.0</v>
      </c>
      <c r="W4094" s="238">
        <v>0.0</v>
      </c>
      <c r="X4094" s="235" t="s">
        <v>628</v>
      </c>
      <c r="Z4094" s="245"/>
      <c r="AA4094" s="245"/>
      <c r="AB4094" s="245"/>
      <c r="AC4094" s="235" t="s">
        <v>795</v>
      </c>
      <c r="AD4094" s="235" t="s">
        <v>796</v>
      </c>
      <c r="AE4094" s="238">
        <v>110092.0</v>
      </c>
      <c r="AF4094" s="235" t="s">
        <v>631</v>
      </c>
      <c r="AG4094" s="245"/>
      <c r="AH4094" s="245"/>
      <c r="AI4094" s="245"/>
      <c r="AJ4094" s="245"/>
      <c r="AK4094" s="245"/>
      <c r="AL4094" s="245"/>
      <c r="AM4094" s="245"/>
      <c r="AN4094" s="245"/>
      <c r="AO4094" s="238">
        <v>0.0</v>
      </c>
      <c r="AP4094" s="238">
        <v>0.0</v>
      </c>
      <c r="AQ4094" s="235" t="s">
        <v>632</v>
      </c>
      <c r="AR4094" s="243">
        <v>3.71E11</v>
      </c>
      <c r="AS4094" s="235" t="s">
        <v>29883</v>
      </c>
      <c r="AT4094" s="235" t="s">
        <v>13</v>
      </c>
      <c r="AU4094" s="235" t="s">
        <v>634</v>
      </c>
      <c r="AV4094" s="246" t="s">
        <v>635</v>
      </c>
      <c r="AW4094" s="227"/>
      <c r="AX4094" s="227"/>
      <c r="AY4094" s="227"/>
      <c r="AZ4094" s="227"/>
      <c r="BA4094" s="227"/>
      <c r="BB4094" s="227"/>
      <c r="BC4094" s="227"/>
      <c r="BD4094" s="227"/>
      <c r="BE4094" s="227"/>
      <c r="BF4094" s="227"/>
    </row>
    <row r="4095">
      <c r="A4095" s="235" t="s">
        <v>30548</v>
      </c>
      <c r="C4095" s="235" t="s">
        <v>30549</v>
      </c>
      <c r="D4095" s="235" t="s">
        <v>30550</v>
      </c>
      <c r="E4095" s="243">
        <v>6.51E13</v>
      </c>
      <c r="F4095" s="245"/>
      <c r="G4095" s="235" t="s">
        <v>30551</v>
      </c>
      <c r="H4095" s="235" t="s">
        <v>30552</v>
      </c>
      <c r="I4095" s="235" t="s">
        <v>30553</v>
      </c>
      <c r="J4095" s="235" t="s">
        <v>30554</v>
      </c>
      <c r="K4095" s="235" t="s">
        <v>30555</v>
      </c>
      <c r="N4095" s="235" t="s">
        <v>85</v>
      </c>
      <c r="O4095" s="235" t="s">
        <v>872</v>
      </c>
      <c r="P4095" s="238">
        <v>1.0</v>
      </c>
      <c r="Q4095" s="235" t="s">
        <v>627</v>
      </c>
      <c r="R4095" s="238">
        <v>232.38</v>
      </c>
      <c r="S4095" s="238">
        <v>11.62</v>
      </c>
      <c r="T4095" s="238">
        <v>0.0</v>
      </c>
      <c r="U4095" s="238">
        <v>0.0</v>
      </c>
      <c r="V4095" s="238">
        <v>0.0</v>
      </c>
      <c r="W4095" s="238">
        <v>0.0</v>
      </c>
      <c r="X4095" s="235" t="s">
        <v>628</v>
      </c>
      <c r="Z4095" s="245"/>
      <c r="AA4095" s="245"/>
      <c r="AB4095" s="245"/>
      <c r="AC4095" s="235" t="s">
        <v>1792</v>
      </c>
      <c r="AD4095" s="235" t="s">
        <v>1077</v>
      </c>
      <c r="AE4095" s="238">
        <v>391410.0</v>
      </c>
      <c r="AF4095" s="235" t="s">
        <v>631</v>
      </c>
      <c r="AG4095" s="245"/>
      <c r="AH4095" s="245"/>
      <c r="AI4095" s="245"/>
      <c r="AJ4095" s="245"/>
      <c r="AK4095" s="245"/>
      <c r="AL4095" s="245"/>
      <c r="AM4095" s="245"/>
      <c r="AN4095" s="245"/>
      <c r="AO4095" s="238">
        <v>0.0</v>
      </c>
      <c r="AP4095" s="238">
        <v>0.0</v>
      </c>
      <c r="AQ4095" s="235" t="s">
        <v>632</v>
      </c>
      <c r="AR4095" s="243">
        <v>3.71E11</v>
      </c>
      <c r="AS4095" s="235" t="s">
        <v>28482</v>
      </c>
      <c r="AT4095" s="235" t="s">
        <v>5</v>
      </c>
      <c r="AU4095" s="235" t="s">
        <v>634</v>
      </c>
      <c r="AV4095" s="246" t="s">
        <v>635</v>
      </c>
      <c r="AW4095" s="227"/>
      <c r="AX4095" s="227"/>
      <c r="AY4095" s="227"/>
      <c r="AZ4095" s="227"/>
      <c r="BA4095" s="227"/>
      <c r="BB4095" s="227"/>
      <c r="BC4095" s="227"/>
      <c r="BD4095" s="227"/>
      <c r="BE4095" s="227"/>
      <c r="BF4095" s="227"/>
    </row>
    <row r="4096">
      <c r="A4096" s="235" t="s">
        <v>30556</v>
      </c>
      <c r="C4096" s="235" t="s">
        <v>30557</v>
      </c>
      <c r="D4096" s="235" t="s">
        <v>30558</v>
      </c>
      <c r="E4096" s="243">
        <v>6.51E13</v>
      </c>
      <c r="F4096" s="245"/>
      <c r="G4096" s="235" t="s">
        <v>30559</v>
      </c>
      <c r="H4096" s="235" t="s">
        <v>30560</v>
      </c>
      <c r="I4096" s="235" t="s">
        <v>30560</v>
      </c>
      <c r="J4096" s="235" t="s">
        <v>30561</v>
      </c>
      <c r="K4096" s="235" t="s">
        <v>30562</v>
      </c>
      <c r="N4096" s="235" t="s">
        <v>134</v>
      </c>
      <c r="O4096" s="235" t="s">
        <v>314</v>
      </c>
      <c r="P4096" s="238">
        <v>1.0</v>
      </c>
      <c r="Q4096" s="235" t="s">
        <v>627</v>
      </c>
      <c r="R4096" s="238">
        <v>233.33</v>
      </c>
      <c r="S4096" s="238">
        <v>11.32</v>
      </c>
      <c r="T4096" s="238">
        <v>0.0</v>
      </c>
      <c r="U4096" s="238">
        <v>0.0</v>
      </c>
      <c r="V4096" s="238">
        <v>0.0</v>
      </c>
      <c r="W4096" s="238">
        <v>0.0</v>
      </c>
      <c r="X4096" s="235" t="s">
        <v>628</v>
      </c>
      <c r="Z4096" s="245"/>
      <c r="AA4096" s="245"/>
      <c r="AB4096" s="245"/>
      <c r="AC4096" s="235" t="s">
        <v>795</v>
      </c>
      <c r="AD4096" s="235" t="s">
        <v>796</v>
      </c>
      <c r="AE4096" s="238">
        <v>110024.0</v>
      </c>
      <c r="AF4096" s="235" t="s">
        <v>631</v>
      </c>
      <c r="AG4096" s="245"/>
      <c r="AH4096" s="245"/>
      <c r="AI4096" s="245"/>
      <c r="AJ4096" s="245"/>
      <c r="AK4096" s="245"/>
      <c r="AL4096" s="245"/>
      <c r="AM4096" s="245"/>
      <c r="AN4096" s="245"/>
      <c r="AO4096" s="238">
        <v>-7.0</v>
      </c>
      <c r="AP4096" s="238">
        <v>0.0</v>
      </c>
      <c r="AQ4096" s="235" t="s">
        <v>632</v>
      </c>
      <c r="AR4096" s="243">
        <v>1.68E11</v>
      </c>
      <c r="AS4096" s="235" t="s">
        <v>30263</v>
      </c>
      <c r="AT4096" s="235" t="s">
        <v>13</v>
      </c>
      <c r="AU4096" s="235" t="s">
        <v>634</v>
      </c>
      <c r="AV4096" s="246" t="s">
        <v>635</v>
      </c>
      <c r="AW4096" s="227"/>
      <c r="AX4096" s="227"/>
      <c r="AY4096" s="227"/>
      <c r="AZ4096" s="227"/>
      <c r="BA4096" s="227"/>
      <c r="BB4096" s="227"/>
      <c r="BC4096" s="227"/>
      <c r="BD4096" s="227"/>
      <c r="BE4096" s="227"/>
      <c r="BF4096" s="227"/>
    </row>
    <row r="4097">
      <c r="A4097" s="235" t="s">
        <v>30563</v>
      </c>
      <c r="C4097" s="235" t="s">
        <v>30564</v>
      </c>
      <c r="D4097" s="235" t="s">
        <v>30565</v>
      </c>
      <c r="E4097" s="243">
        <v>6.51E13</v>
      </c>
      <c r="F4097" s="245"/>
      <c r="G4097" s="235" t="s">
        <v>30566</v>
      </c>
      <c r="H4097" s="235" t="s">
        <v>30567</v>
      </c>
      <c r="I4097" s="235" t="s">
        <v>30567</v>
      </c>
      <c r="J4097" s="235" t="s">
        <v>30568</v>
      </c>
      <c r="K4097" s="235" t="s">
        <v>30569</v>
      </c>
      <c r="N4097" s="235" t="s">
        <v>42</v>
      </c>
      <c r="O4097" s="235" t="s">
        <v>204</v>
      </c>
      <c r="P4097" s="238">
        <v>1.0</v>
      </c>
      <c r="Q4097" s="235" t="s">
        <v>627</v>
      </c>
      <c r="R4097" s="238">
        <v>236.2</v>
      </c>
      <c r="S4097" s="238">
        <v>11.45</v>
      </c>
      <c r="T4097" s="238">
        <v>0.0</v>
      </c>
      <c r="U4097" s="238">
        <v>0.0</v>
      </c>
      <c r="V4097" s="238">
        <v>0.0</v>
      </c>
      <c r="W4097" s="238">
        <v>0.0</v>
      </c>
      <c r="X4097" s="235" t="s">
        <v>628</v>
      </c>
      <c r="Z4097" s="245"/>
      <c r="AA4097" s="245"/>
      <c r="AB4097" s="245"/>
      <c r="AC4097" s="235" t="s">
        <v>5923</v>
      </c>
      <c r="AD4097" s="235" t="s">
        <v>666</v>
      </c>
      <c r="AE4097" s="238">
        <v>620019.0</v>
      </c>
      <c r="AF4097" s="235" t="s">
        <v>631</v>
      </c>
      <c r="AG4097" s="245"/>
      <c r="AH4097" s="245"/>
      <c r="AI4097" s="245"/>
      <c r="AJ4097" s="245"/>
      <c r="AK4097" s="245"/>
      <c r="AL4097" s="245"/>
      <c r="AM4097" s="245"/>
      <c r="AN4097" s="245"/>
      <c r="AO4097" s="238">
        <v>-7.09</v>
      </c>
      <c r="AP4097" s="238">
        <v>0.0</v>
      </c>
      <c r="AQ4097" s="235" t="s">
        <v>632</v>
      </c>
      <c r="AR4097" s="243">
        <v>3.71E11</v>
      </c>
      <c r="AS4097" s="235" t="s">
        <v>29883</v>
      </c>
      <c r="AT4097" s="235" t="s">
        <v>155</v>
      </c>
      <c r="AU4097" s="235" t="s">
        <v>634</v>
      </c>
      <c r="AV4097" s="246" t="s">
        <v>635</v>
      </c>
      <c r="AW4097" s="227"/>
      <c r="AX4097" s="227"/>
      <c r="AY4097" s="227"/>
      <c r="AZ4097" s="227"/>
      <c r="BA4097" s="227"/>
      <c r="BB4097" s="227"/>
      <c r="BC4097" s="227"/>
      <c r="BD4097" s="227"/>
      <c r="BE4097" s="227"/>
      <c r="BF4097" s="227"/>
    </row>
    <row r="4098">
      <c r="A4098" s="235" t="s">
        <v>30570</v>
      </c>
      <c r="C4098" s="235" t="s">
        <v>30571</v>
      </c>
      <c r="D4098" s="235" t="s">
        <v>30572</v>
      </c>
      <c r="E4098" s="243">
        <v>6.51E13</v>
      </c>
      <c r="F4098" s="245"/>
      <c r="G4098" s="235" t="s">
        <v>30573</v>
      </c>
      <c r="H4098" s="235" t="s">
        <v>30574</v>
      </c>
      <c r="I4098" s="235" t="s">
        <v>30574</v>
      </c>
      <c r="J4098" s="235" t="s">
        <v>30575</v>
      </c>
      <c r="K4098" s="235" t="s">
        <v>30576</v>
      </c>
      <c r="N4098" s="235" t="s">
        <v>68</v>
      </c>
      <c r="O4098" s="235" t="s">
        <v>208</v>
      </c>
      <c r="P4098" s="238">
        <v>1.0</v>
      </c>
      <c r="Q4098" s="235" t="s">
        <v>627</v>
      </c>
      <c r="R4098" s="238">
        <v>236.19</v>
      </c>
      <c r="S4098" s="238">
        <v>11.81</v>
      </c>
      <c r="T4098" s="238">
        <v>0.0</v>
      </c>
      <c r="U4098" s="238">
        <v>0.0</v>
      </c>
      <c r="V4098" s="238">
        <v>0.0</v>
      </c>
      <c r="W4098" s="238">
        <v>0.0</v>
      </c>
      <c r="X4098" s="235" t="s">
        <v>628</v>
      </c>
      <c r="Z4098" s="245"/>
      <c r="AA4098" s="245"/>
      <c r="AB4098" s="245"/>
      <c r="AC4098" s="235" t="s">
        <v>795</v>
      </c>
      <c r="AD4098" s="235" t="s">
        <v>796</v>
      </c>
      <c r="AE4098" s="238">
        <v>110016.0</v>
      </c>
      <c r="AF4098" s="235" t="s">
        <v>631</v>
      </c>
      <c r="AG4098" s="245"/>
      <c r="AH4098" s="245"/>
      <c r="AI4098" s="245"/>
      <c r="AJ4098" s="245"/>
      <c r="AK4098" s="245"/>
      <c r="AL4098" s="245"/>
      <c r="AM4098" s="245"/>
      <c r="AN4098" s="245"/>
      <c r="AO4098" s="238">
        <v>0.0</v>
      </c>
      <c r="AP4098" s="238">
        <v>0.0</v>
      </c>
      <c r="AQ4098" s="235" t="s">
        <v>632</v>
      </c>
      <c r="AR4098" s="243">
        <v>1.68E11</v>
      </c>
      <c r="AS4098" s="235" t="s">
        <v>30263</v>
      </c>
      <c r="AT4098" s="235" t="s">
        <v>13</v>
      </c>
      <c r="AU4098" s="235" t="s">
        <v>634</v>
      </c>
      <c r="AV4098" s="246" t="s">
        <v>635</v>
      </c>
      <c r="AW4098" s="227"/>
      <c r="AX4098" s="227"/>
      <c r="AY4098" s="227"/>
      <c r="AZ4098" s="227"/>
      <c r="BA4098" s="227"/>
      <c r="BB4098" s="227"/>
      <c r="BC4098" s="227"/>
      <c r="BD4098" s="227"/>
      <c r="BE4098" s="227"/>
      <c r="BF4098" s="227"/>
    </row>
    <row r="4099">
      <c r="A4099" s="235" t="s">
        <v>30577</v>
      </c>
      <c r="C4099" s="235" t="s">
        <v>30578</v>
      </c>
      <c r="D4099" s="235" t="s">
        <v>30579</v>
      </c>
      <c r="E4099" s="243">
        <v>6.51E13</v>
      </c>
      <c r="F4099" s="245"/>
      <c r="G4099" s="235" t="s">
        <v>30580</v>
      </c>
      <c r="H4099" s="235" t="s">
        <v>30581</v>
      </c>
      <c r="I4099" s="235" t="s">
        <v>30581</v>
      </c>
      <c r="J4099" s="235" t="s">
        <v>30582</v>
      </c>
      <c r="K4099" s="235" t="s">
        <v>30583</v>
      </c>
      <c r="N4099" s="235" t="s">
        <v>47</v>
      </c>
      <c r="O4099" s="235" t="s">
        <v>270</v>
      </c>
      <c r="P4099" s="238">
        <v>1.0</v>
      </c>
      <c r="Q4099" s="235" t="s">
        <v>627</v>
      </c>
      <c r="R4099" s="238">
        <v>236.2</v>
      </c>
      <c r="S4099" s="238">
        <v>11.56</v>
      </c>
      <c r="T4099" s="238">
        <v>0.0</v>
      </c>
      <c r="U4099" s="238">
        <v>0.0</v>
      </c>
      <c r="V4099" s="238">
        <v>0.0</v>
      </c>
      <c r="W4099" s="238">
        <v>0.0</v>
      </c>
      <c r="X4099" s="235" t="s">
        <v>628</v>
      </c>
      <c r="Z4099" s="245"/>
      <c r="AA4099" s="245"/>
      <c r="AB4099" s="245"/>
      <c r="AC4099" s="235" t="s">
        <v>4294</v>
      </c>
      <c r="AD4099" s="235" t="s">
        <v>666</v>
      </c>
      <c r="AE4099" s="238">
        <v>641601.0</v>
      </c>
      <c r="AF4099" s="235" t="s">
        <v>631</v>
      </c>
      <c r="AG4099" s="245"/>
      <c r="AH4099" s="245"/>
      <c r="AI4099" s="245"/>
      <c r="AJ4099" s="245"/>
      <c r="AK4099" s="245"/>
      <c r="AL4099" s="245"/>
      <c r="AM4099" s="245"/>
      <c r="AN4099" s="245"/>
      <c r="AO4099" s="238">
        <v>-4.72</v>
      </c>
      <c r="AP4099" s="238">
        <v>0.0</v>
      </c>
      <c r="AQ4099" s="235" t="s">
        <v>632</v>
      </c>
      <c r="AR4099" s="243">
        <v>3.71E11</v>
      </c>
      <c r="AS4099" s="235" t="s">
        <v>29883</v>
      </c>
      <c r="AT4099" s="235" t="s">
        <v>155</v>
      </c>
      <c r="AU4099" s="235" t="s">
        <v>634</v>
      </c>
      <c r="AV4099" s="246" t="s">
        <v>635</v>
      </c>
      <c r="AW4099" s="227"/>
      <c r="AX4099" s="227"/>
      <c r="AY4099" s="227"/>
      <c r="AZ4099" s="227"/>
      <c r="BA4099" s="227"/>
      <c r="BB4099" s="227"/>
      <c r="BC4099" s="227"/>
      <c r="BD4099" s="227"/>
      <c r="BE4099" s="227"/>
      <c r="BF4099" s="227"/>
    </row>
    <row r="4100">
      <c r="A4100" s="235" t="s">
        <v>30584</v>
      </c>
      <c r="C4100" s="235" t="s">
        <v>30585</v>
      </c>
      <c r="D4100" s="235" t="s">
        <v>30586</v>
      </c>
      <c r="E4100" s="243">
        <v>6.51E13</v>
      </c>
      <c r="F4100" s="245"/>
      <c r="G4100" s="235" t="s">
        <v>30587</v>
      </c>
      <c r="H4100" s="235" t="s">
        <v>30588</v>
      </c>
      <c r="I4100" s="235" t="s">
        <v>30588</v>
      </c>
      <c r="J4100" s="235" t="s">
        <v>30589</v>
      </c>
      <c r="K4100" s="235" t="s">
        <v>30590</v>
      </c>
      <c r="N4100" s="235" t="s">
        <v>42</v>
      </c>
      <c r="O4100" s="235" t="s">
        <v>204</v>
      </c>
      <c r="P4100" s="238">
        <v>1.0</v>
      </c>
      <c r="Q4100" s="235" t="s">
        <v>627</v>
      </c>
      <c r="R4100" s="238">
        <v>236.2</v>
      </c>
      <c r="S4100" s="238">
        <v>11.8</v>
      </c>
      <c r="T4100" s="238">
        <v>0.0</v>
      </c>
      <c r="U4100" s="238">
        <v>0.0</v>
      </c>
      <c r="V4100" s="238">
        <v>0.0</v>
      </c>
      <c r="W4100" s="238">
        <v>0.0</v>
      </c>
      <c r="X4100" s="235" t="s">
        <v>628</v>
      </c>
      <c r="Z4100" s="245"/>
      <c r="AA4100" s="245"/>
      <c r="AB4100" s="245"/>
      <c r="AC4100" s="235" t="s">
        <v>678</v>
      </c>
      <c r="AD4100" s="235" t="s">
        <v>679</v>
      </c>
      <c r="AE4100" s="238">
        <v>560100.0</v>
      </c>
      <c r="AF4100" s="235" t="s">
        <v>631</v>
      </c>
      <c r="AG4100" s="245"/>
      <c r="AH4100" s="245"/>
      <c r="AI4100" s="245"/>
      <c r="AJ4100" s="245"/>
      <c r="AK4100" s="245"/>
      <c r="AL4100" s="245"/>
      <c r="AM4100" s="245"/>
      <c r="AN4100" s="245"/>
      <c r="AO4100" s="238">
        <v>0.0</v>
      </c>
      <c r="AP4100" s="238">
        <v>0.0</v>
      </c>
      <c r="AQ4100" s="235" t="s">
        <v>632</v>
      </c>
      <c r="AR4100" s="243">
        <v>1.68E11</v>
      </c>
      <c r="AS4100" s="235" t="s">
        <v>30263</v>
      </c>
      <c r="AT4100" s="235" t="s">
        <v>11</v>
      </c>
      <c r="AU4100" s="235" t="s">
        <v>634</v>
      </c>
      <c r="AV4100" s="246" t="s">
        <v>635</v>
      </c>
      <c r="AW4100" s="227"/>
      <c r="AX4100" s="227"/>
      <c r="AY4100" s="227"/>
      <c r="AZ4100" s="227"/>
      <c r="BA4100" s="227"/>
      <c r="BB4100" s="227"/>
      <c r="BC4100" s="227"/>
      <c r="BD4100" s="227"/>
      <c r="BE4100" s="227"/>
      <c r="BF4100" s="227"/>
    </row>
    <row r="4101">
      <c r="A4101" s="235" t="s">
        <v>30591</v>
      </c>
      <c r="C4101" s="235" t="s">
        <v>30592</v>
      </c>
      <c r="D4101" s="235" t="s">
        <v>30593</v>
      </c>
      <c r="E4101" s="243">
        <v>6.51E13</v>
      </c>
      <c r="F4101" s="245"/>
      <c r="G4101" s="235" t="s">
        <v>30594</v>
      </c>
      <c r="H4101" s="235" t="s">
        <v>30595</v>
      </c>
      <c r="I4101" s="235" t="s">
        <v>30596</v>
      </c>
      <c r="J4101" s="235" t="s">
        <v>30597</v>
      </c>
      <c r="K4101" s="235" t="s">
        <v>30598</v>
      </c>
      <c r="N4101" s="235" t="s">
        <v>42</v>
      </c>
      <c r="O4101" s="235" t="s">
        <v>204</v>
      </c>
      <c r="P4101" s="238">
        <v>1.0</v>
      </c>
      <c r="Q4101" s="235" t="s">
        <v>627</v>
      </c>
      <c r="R4101" s="238">
        <v>236.2</v>
      </c>
      <c r="S4101" s="238">
        <v>11.8</v>
      </c>
      <c r="T4101" s="238">
        <v>0.0</v>
      </c>
      <c r="U4101" s="238">
        <v>0.0</v>
      </c>
      <c r="V4101" s="238">
        <v>0.0</v>
      </c>
      <c r="W4101" s="238">
        <v>0.0</v>
      </c>
      <c r="X4101" s="235" t="s">
        <v>628</v>
      </c>
      <c r="Z4101" s="245"/>
      <c r="AA4101" s="245"/>
      <c r="AB4101" s="245"/>
      <c r="AC4101" s="235" t="s">
        <v>10269</v>
      </c>
      <c r="AD4101" s="235" t="s">
        <v>666</v>
      </c>
      <c r="AE4101" s="238">
        <v>600058.0</v>
      </c>
      <c r="AF4101" s="235" t="s">
        <v>631</v>
      </c>
      <c r="AG4101" s="245"/>
      <c r="AH4101" s="245"/>
      <c r="AI4101" s="245"/>
      <c r="AJ4101" s="245"/>
      <c r="AK4101" s="245"/>
      <c r="AL4101" s="245"/>
      <c r="AM4101" s="245"/>
      <c r="AN4101" s="245"/>
      <c r="AO4101" s="238">
        <v>0.0</v>
      </c>
      <c r="AP4101" s="238">
        <v>0.0</v>
      </c>
      <c r="AQ4101" s="235" t="s">
        <v>632</v>
      </c>
      <c r="AR4101" s="243">
        <v>1.68E11</v>
      </c>
      <c r="AS4101" s="235" t="s">
        <v>30263</v>
      </c>
      <c r="AT4101" s="235" t="s">
        <v>156</v>
      </c>
      <c r="AU4101" s="235" t="s">
        <v>634</v>
      </c>
      <c r="AV4101" s="246" t="s">
        <v>635</v>
      </c>
      <c r="AW4101" s="227"/>
      <c r="AX4101" s="227"/>
      <c r="AY4101" s="227"/>
      <c r="AZ4101" s="227"/>
      <c r="BA4101" s="227"/>
      <c r="BB4101" s="227"/>
      <c r="BC4101" s="227"/>
      <c r="BD4101" s="227"/>
      <c r="BE4101" s="227"/>
      <c r="BF4101" s="227"/>
    </row>
    <row r="4102">
      <c r="A4102" s="235" t="s">
        <v>30599</v>
      </c>
      <c r="C4102" s="235" t="s">
        <v>30600</v>
      </c>
      <c r="D4102" s="235" t="s">
        <v>30601</v>
      </c>
      <c r="E4102" s="243">
        <v>6.51E13</v>
      </c>
      <c r="F4102" s="245"/>
      <c r="G4102" s="235" t="s">
        <v>30602</v>
      </c>
      <c r="H4102" s="235" t="s">
        <v>30603</v>
      </c>
      <c r="I4102" s="235" t="s">
        <v>30603</v>
      </c>
      <c r="J4102" s="235" t="s">
        <v>30604</v>
      </c>
      <c r="K4102" s="235" t="s">
        <v>30605</v>
      </c>
      <c r="N4102" s="235" t="s">
        <v>27</v>
      </c>
      <c r="O4102" s="235" t="s">
        <v>573</v>
      </c>
      <c r="P4102" s="238">
        <v>1.0</v>
      </c>
      <c r="Q4102" s="235" t="s">
        <v>627</v>
      </c>
      <c r="R4102" s="238">
        <v>380.0</v>
      </c>
      <c r="S4102" s="238">
        <v>18.43</v>
      </c>
      <c r="T4102" s="238">
        <v>0.0</v>
      </c>
      <c r="U4102" s="238">
        <v>0.0</v>
      </c>
      <c r="V4102" s="238">
        <v>0.0</v>
      </c>
      <c r="W4102" s="238">
        <v>0.0</v>
      </c>
      <c r="X4102" s="235" t="s">
        <v>628</v>
      </c>
      <c r="Z4102" s="245"/>
      <c r="AA4102" s="245"/>
      <c r="AB4102" s="245"/>
      <c r="AC4102" s="235" t="s">
        <v>11186</v>
      </c>
      <c r="AD4102" s="235" t="s">
        <v>845</v>
      </c>
      <c r="AE4102" s="238">
        <v>416115.0</v>
      </c>
      <c r="AF4102" s="235" t="s">
        <v>631</v>
      </c>
      <c r="AG4102" s="245"/>
      <c r="AH4102" s="245"/>
      <c r="AI4102" s="245"/>
      <c r="AJ4102" s="245"/>
      <c r="AK4102" s="245"/>
      <c r="AL4102" s="245"/>
      <c r="AM4102" s="245"/>
      <c r="AN4102" s="245"/>
      <c r="AO4102" s="238">
        <v>-11.4</v>
      </c>
      <c r="AP4102" s="238">
        <v>0.0</v>
      </c>
      <c r="AQ4102" s="235" t="s">
        <v>632</v>
      </c>
      <c r="AR4102" s="243">
        <v>3.71E11</v>
      </c>
      <c r="AS4102" s="235" t="s">
        <v>28482</v>
      </c>
      <c r="AT4102" s="235" t="s">
        <v>16</v>
      </c>
      <c r="AU4102" s="235" t="s">
        <v>634</v>
      </c>
      <c r="AV4102" s="246" t="s">
        <v>635</v>
      </c>
      <c r="AW4102" s="227"/>
      <c r="AX4102" s="227"/>
      <c r="AY4102" s="227"/>
      <c r="AZ4102" s="227"/>
      <c r="BA4102" s="227"/>
      <c r="BB4102" s="227"/>
      <c r="BC4102" s="227"/>
      <c r="BD4102" s="227"/>
      <c r="BE4102" s="227"/>
      <c r="BF4102" s="227"/>
    </row>
    <row r="4103">
      <c r="A4103" s="235" t="s">
        <v>30599</v>
      </c>
      <c r="C4103" s="235" t="s">
        <v>30600</v>
      </c>
      <c r="D4103" s="235" t="s">
        <v>30606</v>
      </c>
      <c r="E4103" s="243">
        <v>6.51E13</v>
      </c>
      <c r="F4103" s="245"/>
      <c r="G4103" s="235" t="s">
        <v>30602</v>
      </c>
      <c r="H4103" s="235" t="s">
        <v>30603</v>
      </c>
      <c r="I4103" s="235" t="s">
        <v>30603</v>
      </c>
      <c r="J4103" s="235" t="s">
        <v>30604</v>
      </c>
      <c r="K4103" s="235" t="s">
        <v>30605</v>
      </c>
      <c r="N4103" s="235" t="s">
        <v>27</v>
      </c>
      <c r="O4103" s="235" t="s">
        <v>573</v>
      </c>
      <c r="P4103" s="238">
        <v>1.0</v>
      </c>
      <c r="Q4103" s="235" t="s">
        <v>627</v>
      </c>
      <c r="R4103" s="238">
        <v>380.0</v>
      </c>
      <c r="S4103" s="238">
        <v>18.43</v>
      </c>
      <c r="T4103" s="238">
        <v>0.0</v>
      </c>
      <c r="U4103" s="238">
        <v>0.0</v>
      </c>
      <c r="V4103" s="238">
        <v>0.0</v>
      </c>
      <c r="W4103" s="238">
        <v>0.0</v>
      </c>
      <c r="X4103" s="235" t="s">
        <v>628</v>
      </c>
      <c r="Z4103" s="245"/>
      <c r="AA4103" s="245"/>
      <c r="AB4103" s="245"/>
      <c r="AC4103" s="235" t="s">
        <v>11186</v>
      </c>
      <c r="AD4103" s="235" t="s">
        <v>845</v>
      </c>
      <c r="AE4103" s="238">
        <v>416115.0</v>
      </c>
      <c r="AF4103" s="235" t="s">
        <v>631</v>
      </c>
      <c r="AG4103" s="245"/>
      <c r="AH4103" s="245"/>
      <c r="AI4103" s="245"/>
      <c r="AJ4103" s="245"/>
      <c r="AK4103" s="245"/>
      <c r="AL4103" s="245"/>
      <c r="AM4103" s="245"/>
      <c r="AN4103" s="245"/>
      <c r="AO4103" s="238">
        <v>-11.4</v>
      </c>
      <c r="AP4103" s="238">
        <v>0.0</v>
      </c>
      <c r="AQ4103" s="235" t="s">
        <v>632</v>
      </c>
      <c r="AR4103" s="243">
        <v>3.71E11</v>
      </c>
      <c r="AS4103" s="235" t="s">
        <v>28482</v>
      </c>
      <c r="AT4103" s="235" t="s">
        <v>16</v>
      </c>
      <c r="AU4103" s="235" t="s">
        <v>634</v>
      </c>
      <c r="AV4103" s="246" t="s">
        <v>635</v>
      </c>
      <c r="AW4103" s="227"/>
      <c r="AX4103" s="227"/>
      <c r="AY4103" s="227"/>
      <c r="AZ4103" s="227"/>
      <c r="BA4103" s="227"/>
      <c r="BB4103" s="227"/>
      <c r="BC4103" s="227"/>
      <c r="BD4103" s="227"/>
      <c r="BE4103" s="227"/>
      <c r="BF4103" s="227"/>
    </row>
    <row r="4104">
      <c r="A4104" s="235" t="s">
        <v>30607</v>
      </c>
      <c r="C4104" s="235" t="s">
        <v>30608</v>
      </c>
      <c r="D4104" s="235" t="s">
        <v>30609</v>
      </c>
      <c r="E4104" s="243">
        <v>6.51E13</v>
      </c>
      <c r="F4104" s="245"/>
      <c r="G4104" s="235" t="s">
        <v>30610</v>
      </c>
      <c r="H4104" s="235" t="s">
        <v>30611</v>
      </c>
      <c r="I4104" s="235" t="s">
        <v>30611</v>
      </c>
      <c r="J4104" s="235" t="s">
        <v>30612</v>
      </c>
      <c r="K4104" s="235" t="s">
        <v>28117</v>
      </c>
      <c r="N4104" s="235" t="s">
        <v>566</v>
      </c>
      <c r="O4104" s="235" t="s">
        <v>13068</v>
      </c>
      <c r="P4104" s="238">
        <v>1.0</v>
      </c>
      <c r="Q4104" s="235" t="s">
        <v>627</v>
      </c>
      <c r="R4104" s="238">
        <v>405.94</v>
      </c>
      <c r="S4104" s="238">
        <v>70.87</v>
      </c>
      <c r="T4104" s="238">
        <v>0.0</v>
      </c>
      <c r="U4104" s="238">
        <v>0.0</v>
      </c>
      <c r="V4104" s="238">
        <v>0.0</v>
      </c>
      <c r="W4104" s="238">
        <v>0.0</v>
      </c>
      <c r="X4104" s="235" t="s">
        <v>628</v>
      </c>
      <c r="Z4104" s="245"/>
      <c r="AA4104" s="245"/>
      <c r="AB4104" s="245"/>
      <c r="AC4104" s="235" t="s">
        <v>687</v>
      </c>
      <c r="AD4104" s="235" t="s">
        <v>666</v>
      </c>
      <c r="AE4104" s="238">
        <v>600041.0</v>
      </c>
      <c r="AF4104" s="235" t="s">
        <v>631</v>
      </c>
      <c r="AG4104" s="245"/>
      <c r="AH4104" s="245"/>
      <c r="AI4104" s="245"/>
      <c r="AJ4104" s="245"/>
      <c r="AK4104" s="245"/>
      <c r="AL4104" s="245"/>
      <c r="AM4104" s="245"/>
      <c r="AN4104" s="245"/>
      <c r="AO4104" s="238">
        <v>-12.18</v>
      </c>
      <c r="AP4104" s="238">
        <v>0.0</v>
      </c>
      <c r="AQ4104" s="235" t="s">
        <v>632</v>
      </c>
      <c r="AR4104" s="243">
        <v>3.71E11</v>
      </c>
      <c r="AS4104" s="235" t="s">
        <v>29883</v>
      </c>
      <c r="AT4104" s="235" t="s">
        <v>156</v>
      </c>
      <c r="AU4104" s="235" t="s">
        <v>634</v>
      </c>
      <c r="AV4104" s="246" t="s">
        <v>635</v>
      </c>
      <c r="AW4104" s="227"/>
      <c r="AX4104" s="227"/>
      <c r="AY4104" s="227"/>
      <c r="AZ4104" s="227"/>
      <c r="BA4104" s="227"/>
      <c r="BB4104" s="227"/>
      <c r="BC4104" s="227"/>
      <c r="BD4104" s="227"/>
      <c r="BE4104" s="227"/>
      <c r="BF4104" s="227"/>
    </row>
    <row r="4105">
      <c r="A4105" s="235" t="s">
        <v>30613</v>
      </c>
      <c r="C4105" s="235" t="s">
        <v>30614</v>
      </c>
      <c r="D4105" s="235" t="s">
        <v>30615</v>
      </c>
      <c r="E4105" s="243">
        <v>6.51E13</v>
      </c>
      <c r="F4105" s="245"/>
      <c r="G4105" s="235" t="s">
        <v>30616</v>
      </c>
      <c r="H4105" s="235" t="s">
        <v>30617</v>
      </c>
      <c r="I4105" s="235" t="s">
        <v>30617</v>
      </c>
      <c r="J4105" s="235" t="s">
        <v>30618</v>
      </c>
      <c r="K4105" s="235" t="s">
        <v>30619</v>
      </c>
      <c r="N4105" s="235" t="s">
        <v>43</v>
      </c>
      <c r="O4105" s="235" t="s">
        <v>276</v>
      </c>
      <c r="P4105" s="238">
        <v>1.0</v>
      </c>
      <c r="Q4105" s="235" t="s">
        <v>627</v>
      </c>
      <c r="R4105" s="238">
        <v>233.34</v>
      </c>
      <c r="S4105" s="238">
        <v>11.66</v>
      </c>
      <c r="T4105" s="238">
        <v>0.0</v>
      </c>
      <c r="U4105" s="238">
        <v>0.0</v>
      </c>
      <c r="V4105" s="238">
        <v>0.0</v>
      </c>
      <c r="W4105" s="238">
        <v>0.0</v>
      </c>
      <c r="X4105" s="235" t="s">
        <v>628</v>
      </c>
      <c r="Z4105" s="245"/>
      <c r="AA4105" s="245"/>
      <c r="AB4105" s="245"/>
      <c r="AC4105" s="235" t="s">
        <v>687</v>
      </c>
      <c r="AD4105" s="235" t="s">
        <v>666</v>
      </c>
      <c r="AE4105" s="238">
        <v>600035.0</v>
      </c>
      <c r="AF4105" s="235" t="s">
        <v>631</v>
      </c>
      <c r="AG4105" s="245"/>
      <c r="AH4105" s="245"/>
      <c r="AI4105" s="245"/>
      <c r="AJ4105" s="245"/>
      <c r="AK4105" s="245"/>
      <c r="AL4105" s="245"/>
      <c r="AM4105" s="245"/>
      <c r="AN4105" s="245"/>
      <c r="AO4105" s="238">
        <v>0.0</v>
      </c>
      <c r="AP4105" s="238">
        <v>0.0</v>
      </c>
      <c r="AQ4105" s="235" t="s">
        <v>632</v>
      </c>
      <c r="AR4105" s="243">
        <v>1.68E11</v>
      </c>
      <c r="AS4105" s="235" t="s">
        <v>30263</v>
      </c>
      <c r="AT4105" s="235" t="s">
        <v>156</v>
      </c>
      <c r="AU4105" s="235" t="s">
        <v>634</v>
      </c>
      <c r="AV4105" s="246" t="s">
        <v>635</v>
      </c>
      <c r="AW4105" s="227"/>
      <c r="AX4105" s="227"/>
      <c r="AY4105" s="227"/>
      <c r="AZ4105" s="227"/>
      <c r="BA4105" s="227"/>
      <c r="BB4105" s="227"/>
      <c r="BC4105" s="227"/>
      <c r="BD4105" s="227"/>
      <c r="BE4105" s="227"/>
      <c r="BF4105" s="227"/>
    </row>
    <row r="4106">
      <c r="A4106" s="235" t="s">
        <v>30620</v>
      </c>
      <c r="C4106" s="235" t="s">
        <v>30621</v>
      </c>
      <c r="D4106" s="235" t="s">
        <v>30622</v>
      </c>
      <c r="E4106" s="243">
        <v>6.51E13</v>
      </c>
      <c r="F4106" s="245"/>
      <c r="G4106" s="235" t="s">
        <v>30623</v>
      </c>
      <c r="H4106" s="235" t="s">
        <v>30624</v>
      </c>
      <c r="I4106" s="235" t="s">
        <v>30624</v>
      </c>
      <c r="J4106" s="235" t="s">
        <v>30625</v>
      </c>
      <c r="K4106" s="235" t="s">
        <v>30626</v>
      </c>
      <c r="N4106" s="235" t="s">
        <v>90</v>
      </c>
      <c r="O4106" s="235" t="s">
        <v>279</v>
      </c>
      <c r="P4106" s="238">
        <v>1.0</v>
      </c>
      <c r="Q4106" s="235" t="s">
        <v>627</v>
      </c>
      <c r="R4106" s="238">
        <v>270.48</v>
      </c>
      <c r="S4106" s="238">
        <v>13.52</v>
      </c>
      <c r="T4106" s="238">
        <v>0.0</v>
      </c>
      <c r="U4106" s="238">
        <v>0.0</v>
      </c>
      <c r="V4106" s="238">
        <v>0.0</v>
      </c>
      <c r="W4106" s="238">
        <v>0.0</v>
      </c>
      <c r="X4106" s="235" t="s">
        <v>628</v>
      </c>
      <c r="Z4106" s="245"/>
      <c r="AA4106" s="245"/>
      <c r="AB4106" s="245"/>
      <c r="AC4106" s="235" t="s">
        <v>795</v>
      </c>
      <c r="AD4106" s="235" t="s">
        <v>796</v>
      </c>
      <c r="AE4106" s="238">
        <v>110034.0</v>
      </c>
      <c r="AF4106" s="235" t="s">
        <v>631</v>
      </c>
      <c r="AG4106" s="245"/>
      <c r="AH4106" s="245"/>
      <c r="AI4106" s="245"/>
      <c r="AJ4106" s="245"/>
      <c r="AK4106" s="245"/>
      <c r="AL4106" s="245"/>
      <c r="AM4106" s="245"/>
      <c r="AN4106" s="245"/>
      <c r="AO4106" s="238">
        <v>0.0</v>
      </c>
      <c r="AP4106" s="238">
        <v>0.0</v>
      </c>
      <c r="AQ4106" s="235" t="s">
        <v>632</v>
      </c>
      <c r="AR4106" s="243">
        <v>3.71E11</v>
      </c>
      <c r="AS4106" s="235" t="s">
        <v>29883</v>
      </c>
      <c r="AT4106" s="235" t="s">
        <v>14</v>
      </c>
      <c r="AU4106" s="235" t="s">
        <v>634</v>
      </c>
      <c r="AV4106" s="246" t="s">
        <v>635</v>
      </c>
      <c r="AW4106" s="227"/>
      <c r="AX4106" s="227"/>
      <c r="AY4106" s="227"/>
      <c r="AZ4106" s="227"/>
      <c r="BA4106" s="227"/>
      <c r="BB4106" s="227"/>
      <c r="BC4106" s="227"/>
      <c r="BD4106" s="227"/>
      <c r="BE4106" s="227"/>
      <c r="BF4106" s="227"/>
    </row>
    <row r="4107">
      <c r="A4107" s="235" t="s">
        <v>30627</v>
      </c>
      <c r="C4107" s="235" t="s">
        <v>30628</v>
      </c>
      <c r="D4107" s="235" t="s">
        <v>30629</v>
      </c>
      <c r="E4107" s="243">
        <v>6.51E13</v>
      </c>
      <c r="F4107" s="245"/>
      <c r="G4107" s="235" t="s">
        <v>30630</v>
      </c>
      <c r="H4107" s="235" t="s">
        <v>30631</v>
      </c>
      <c r="I4107" s="235" t="s">
        <v>30631</v>
      </c>
      <c r="J4107" s="235" t="s">
        <v>30632</v>
      </c>
      <c r="K4107" s="235" t="s">
        <v>30633</v>
      </c>
      <c r="N4107" s="235" t="s">
        <v>12</v>
      </c>
      <c r="O4107" s="235" t="s">
        <v>804</v>
      </c>
      <c r="P4107" s="238">
        <v>1.0</v>
      </c>
      <c r="Q4107" s="235" t="s">
        <v>627</v>
      </c>
      <c r="R4107" s="238">
        <v>284.76</v>
      </c>
      <c r="S4107" s="238">
        <v>14.24</v>
      </c>
      <c r="T4107" s="238">
        <v>0.0</v>
      </c>
      <c r="U4107" s="238">
        <v>0.0</v>
      </c>
      <c r="V4107" s="238">
        <v>0.0</v>
      </c>
      <c r="W4107" s="238">
        <v>0.0</v>
      </c>
      <c r="X4107" s="235" t="s">
        <v>628</v>
      </c>
      <c r="Z4107" s="245"/>
      <c r="AA4107" s="245"/>
      <c r="AB4107" s="245"/>
      <c r="AC4107" s="235" t="s">
        <v>678</v>
      </c>
      <c r="AD4107" s="235" t="s">
        <v>679</v>
      </c>
      <c r="AE4107" s="238">
        <v>560035.0</v>
      </c>
      <c r="AF4107" s="235" t="s">
        <v>631</v>
      </c>
      <c r="AG4107" s="245"/>
      <c r="AH4107" s="245"/>
      <c r="AI4107" s="245"/>
      <c r="AJ4107" s="245"/>
      <c r="AK4107" s="245"/>
      <c r="AL4107" s="245"/>
      <c r="AM4107" s="245"/>
      <c r="AN4107" s="245"/>
      <c r="AO4107" s="238">
        <v>0.0</v>
      </c>
      <c r="AP4107" s="238">
        <v>0.0</v>
      </c>
      <c r="AQ4107" s="235" t="s">
        <v>632</v>
      </c>
      <c r="AR4107" s="243">
        <v>1.68E11</v>
      </c>
      <c r="AS4107" s="235" t="s">
        <v>30263</v>
      </c>
      <c r="AT4107" s="235" t="s">
        <v>9</v>
      </c>
      <c r="AU4107" s="235" t="s">
        <v>634</v>
      </c>
      <c r="AV4107" s="246" t="s">
        <v>635</v>
      </c>
      <c r="AW4107" s="227"/>
      <c r="AX4107" s="227"/>
      <c r="AY4107" s="227"/>
      <c r="AZ4107" s="227"/>
      <c r="BA4107" s="227"/>
      <c r="BB4107" s="227"/>
      <c r="BC4107" s="227"/>
      <c r="BD4107" s="227"/>
      <c r="BE4107" s="227"/>
      <c r="BF4107" s="227"/>
    </row>
    <row r="4108">
      <c r="A4108" s="235" t="s">
        <v>30634</v>
      </c>
      <c r="C4108" s="235" t="s">
        <v>30635</v>
      </c>
      <c r="D4108" s="235" t="s">
        <v>30636</v>
      </c>
      <c r="E4108" s="243">
        <v>6.51E13</v>
      </c>
      <c r="F4108" s="245"/>
      <c r="G4108" s="235" t="s">
        <v>30637</v>
      </c>
      <c r="H4108" s="235" t="s">
        <v>30638</v>
      </c>
      <c r="I4108" s="235" t="s">
        <v>30638</v>
      </c>
      <c r="J4108" s="235" t="s">
        <v>30639</v>
      </c>
      <c r="K4108" s="235" t="s">
        <v>30640</v>
      </c>
      <c r="N4108" s="235" t="s">
        <v>42</v>
      </c>
      <c r="O4108" s="235" t="s">
        <v>204</v>
      </c>
      <c r="P4108" s="238">
        <v>1.0</v>
      </c>
      <c r="Q4108" s="235" t="s">
        <v>627</v>
      </c>
      <c r="R4108" s="238">
        <v>236.2</v>
      </c>
      <c r="S4108" s="238">
        <v>11.8</v>
      </c>
      <c r="T4108" s="238">
        <v>0.0</v>
      </c>
      <c r="U4108" s="238">
        <v>0.0</v>
      </c>
      <c r="V4108" s="238">
        <v>0.0</v>
      </c>
      <c r="W4108" s="238">
        <v>0.0</v>
      </c>
      <c r="X4108" s="235" t="s">
        <v>628</v>
      </c>
      <c r="Z4108" s="245"/>
      <c r="AA4108" s="245"/>
      <c r="AB4108" s="245"/>
      <c r="AC4108" s="235" t="s">
        <v>678</v>
      </c>
      <c r="AD4108" s="235" t="s">
        <v>679</v>
      </c>
      <c r="AE4108" s="238">
        <v>560068.0</v>
      </c>
      <c r="AF4108" s="235" t="s">
        <v>631</v>
      </c>
      <c r="AG4108" s="245"/>
      <c r="AH4108" s="245"/>
      <c r="AI4108" s="245"/>
      <c r="AJ4108" s="245"/>
      <c r="AK4108" s="245"/>
      <c r="AL4108" s="245"/>
      <c r="AM4108" s="245"/>
      <c r="AN4108" s="245"/>
      <c r="AO4108" s="238">
        <v>0.0</v>
      </c>
      <c r="AP4108" s="238">
        <v>0.0</v>
      </c>
      <c r="AQ4108" s="235" t="s">
        <v>632</v>
      </c>
      <c r="AR4108" s="243">
        <v>1.68E11</v>
      </c>
      <c r="AS4108" s="235" t="s">
        <v>30263</v>
      </c>
      <c r="AT4108" s="235" t="s">
        <v>11</v>
      </c>
      <c r="AU4108" s="235" t="s">
        <v>634</v>
      </c>
      <c r="AV4108" s="246" t="s">
        <v>635</v>
      </c>
      <c r="AW4108" s="227"/>
      <c r="AX4108" s="227"/>
      <c r="AY4108" s="227"/>
      <c r="AZ4108" s="227"/>
      <c r="BA4108" s="227"/>
      <c r="BB4108" s="227"/>
      <c r="BC4108" s="227"/>
      <c r="BD4108" s="227"/>
      <c r="BE4108" s="227"/>
      <c r="BF4108" s="227"/>
    </row>
    <row r="4109">
      <c r="A4109" s="235" t="s">
        <v>30641</v>
      </c>
      <c r="C4109" s="235" t="s">
        <v>30642</v>
      </c>
      <c r="D4109" s="235" t="s">
        <v>30643</v>
      </c>
      <c r="E4109" s="243">
        <v>6.51E13</v>
      </c>
      <c r="F4109" s="245"/>
      <c r="G4109" s="235" t="s">
        <v>30644</v>
      </c>
      <c r="H4109" s="235" t="s">
        <v>30645</v>
      </c>
      <c r="I4109" s="235" t="s">
        <v>30646</v>
      </c>
      <c r="J4109" s="235" t="s">
        <v>30647</v>
      </c>
      <c r="K4109" s="235" t="s">
        <v>30648</v>
      </c>
      <c r="N4109" s="235" t="s">
        <v>47</v>
      </c>
      <c r="O4109" s="235" t="s">
        <v>270</v>
      </c>
      <c r="P4109" s="238">
        <v>1.0</v>
      </c>
      <c r="Q4109" s="235" t="s">
        <v>627</v>
      </c>
      <c r="R4109" s="238">
        <v>236.2</v>
      </c>
      <c r="S4109" s="238">
        <v>11.56</v>
      </c>
      <c r="T4109" s="238">
        <v>0.0</v>
      </c>
      <c r="U4109" s="238">
        <v>0.0</v>
      </c>
      <c r="V4109" s="238">
        <v>0.0</v>
      </c>
      <c r="W4109" s="238">
        <v>0.0</v>
      </c>
      <c r="X4109" s="235" t="s">
        <v>628</v>
      </c>
      <c r="Z4109" s="245"/>
      <c r="AA4109" s="245"/>
      <c r="AB4109" s="245"/>
      <c r="AC4109" s="235" t="s">
        <v>687</v>
      </c>
      <c r="AD4109" s="235" t="s">
        <v>666</v>
      </c>
      <c r="AE4109" s="238">
        <v>600107.0</v>
      </c>
      <c r="AF4109" s="235" t="s">
        <v>631</v>
      </c>
      <c r="AG4109" s="245"/>
      <c r="AH4109" s="245"/>
      <c r="AI4109" s="245"/>
      <c r="AJ4109" s="245"/>
      <c r="AK4109" s="245"/>
      <c r="AL4109" s="245"/>
      <c r="AM4109" s="245"/>
      <c r="AN4109" s="245"/>
      <c r="AO4109" s="238">
        <v>-4.72</v>
      </c>
      <c r="AP4109" s="238">
        <v>0.0</v>
      </c>
      <c r="AQ4109" s="235" t="s">
        <v>632</v>
      </c>
      <c r="AR4109" s="243">
        <v>1.68E11</v>
      </c>
      <c r="AS4109" s="235" t="s">
        <v>30263</v>
      </c>
      <c r="AT4109" s="235" t="s">
        <v>156</v>
      </c>
      <c r="AU4109" s="235" t="s">
        <v>634</v>
      </c>
      <c r="AV4109" s="246" t="s">
        <v>635</v>
      </c>
      <c r="AW4109" s="227"/>
      <c r="AX4109" s="227"/>
      <c r="AY4109" s="227"/>
      <c r="AZ4109" s="227"/>
      <c r="BA4109" s="227"/>
      <c r="BB4109" s="227"/>
      <c r="BC4109" s="227"/>
      <c r="BD4109" s="227"/>
      <c r="BE4109" s="227"/>
      <c r="BF4109" s="227"/>
    </row>
    <row r="4110">
      <c r="A4110" s="235" t="s">
        <v>30649</v>
      </c>
      <c r="C4110" s="235" t="s">
        <v>30650</v>
      </c>
      <c r="D4110" s="235" t="s">
        <v>30651</v>
      </c>
      <c r="E4110" s="243">
        <v>6.51E13</v>
      </c>
      <c r="F4110" s="245"/>
      <c r="G4110" s="235" t="s">
        <v>30652</v>
      </c>
      <c r="H4110" s="235" t="s">
        <v>30653</v>
      </c>
      <c r="I4110" s="235" t="s">
        <v>30653</v>
      </c>
      <c r="J4110" s="235" t="s">
        <v>30654</v>
      </c>
      <c r="K4110" s="235" t="s">
        <v>30655</v>
      </c>
      <c r="N4110" s="235" t="s">
        <v>51</v>
      </c>
      <c r="O4110" s="235" t="s">
        <v>273</v>
      </c>
      <c r="P4110" s="238">
        <v>1.0</v>
      </c>
      <c r="Q4110" s="235" t="s">
        <v>627</v>
      </c>
      <c r="R4110" s="238">
        <v>270.48</v>
      </c>
      <c r="S4110" s="238">
        <v>13.52</v>
      </c>
      <c r="T4110" s="238">
        <v>0.0</v>
      </c>
      <c r="U4110" s="238">
        <v>0.0</v>
      </c>
      <c r="V4110" s="238">
        <v>0.0</v>
      </c>
      <c r="W4110" s="238">
        <v>0.0</v>
      </c>
      <c r="X4110" s="235" t="s">
        <v>628</v>
      </c>
      <c r="Z4110" s="245"/>
      <c r="AA4110" s="245"/>
      <c r="AB4110" s="245"/>
      <c r="AC4110" s="235" t="s">
        <v>3329</v>
      </c>
      <c r="AD4110" s="235" t="s">
        <v>666</v>
      </c>
      <c r="AE4110" s="238">
        <v>625006.0</v>
      </c>
      <c r="AF4110" s="235" t="s">
        <v>631</v>
      </c>
      <c r="AG4110" s="245"/>
      <c r="AH4110" s="245"/>
      <c r="AI4110" s="245"/>
      <c r="AJ4110" s="245"/>
      <c r="AK4110" s="245"/>
      <c r="AL4110" s="245"/>
      <c r="AM4110" s="245"/>
      <c r="AN4110" s="245"/>
      <c r="AO4110" s="238">
        <v>0.0</v>
      </c>
      <c r="AP4110" s="238">
        <v>0.0</v>
      </c>
      <c r="AQ4110" s="235" t="s">
        <v>632</v>
      </c>
      <c r="AR4110" s="243">
        <v>3.71E11</v>
      </c>
      <c r="AS4110" s="235" t="s">
        <v>29883</v>
      </c>
      <c r="AT4110" s="235" t="s">
        <v>155</v>
      </c>
      <c r="AU4110" s="235" t="s">
        <v>634</v>
      </c>
      <c r="AV4110" s="246" t="s">
        <v>635</v>
      </c>
      <c r="AW4110" s="227"/>
      <c r="AX4110" s="227"/>
      <c r="AY4110" s="227"/>
      <c r="AZ4110" s="227"/>
      <c r="BA4110" s="227"/>
      <c r="BB4110" s="227"/>
      <c r="BC4110" s="227"/>
      <c r="BD4110" s="227"/>
      <c r="BE4110" s="227"/>
      <c r="BF4110" s="227"/>
    </row>
    <row r="4111">
      <c r="A4111" s="235" t="s">
        <v>30656</v>
      </c>
      <c r="C4111" s="235" t="s">
        <v>30657</v>
      </c>
      <c r="D4111" s="235" t="s">
        <v>30658</v>
      </c>
      <c r="E4111" s="243">
        <v>6.51E13</v>
      </c>
      <c r="F4111" s="245"/>
      <c r="G4111" s="235" t="s">
        <v>30659</v>
      </c>
      <c r="H4111" s="235" t="s">
        <v>30660</v>
      </c>
      <c r="I4111" s="235" t="s">
        <v>30661</v>
      </c>
      <c r="J4111" s="235" t="s">
        <v>30662</v>
      </c>
      <c r="K4111" s="235" t="s">
        <v>30663</v>
      </c>
      <c r="N4111" s="235" t="s">
        <v>962</v>
      </c>
      <c r="O4111" s="235" t="s">
        <v>963</v>
      </c>
      <c r="P4111" s="238">
        <v>1.0</v>
      </c>
      <c r="Q4111" s="235" t="s">
        <v>627</v>
      </c>
      <c r="R4111" s="238">
        <v>237.14</v>
      </c>
      <c r="S4111" s="238">
        <v>11.5</v>
      </c>
      <c r="T4111" s="238">
        <v>0.0</v>
      </c>
      <c r="U4111" s="238">
        <v>0.0</v>
      </c>
      <c r="V4111" s="238">
        <v>0.0</v>
      </c>
      <c r="W4111" s="238">
        <v>0.0</v>
      </c>
      <c r="X4111" s="235" t="s">
        <v>628</v>
      </c>
      <c r="Z4111" s="245"/>
      <c r="AA4111" s="245"/>
      <c r="AB4111" s="245"/>
      <c r="AC4111" s="235" t="s">
        <v>1206</v>
      </c>
      <c r="AD4111" s="235" t="s">
        <v>679</v>
      </c>
      <c r="AE4111" s="238">
        <v>560097.0</v>
      </c>
      <c r="AF4111" s="235" t="s">
        <v>631</v>
      </c>
      <c r="AG4111" s="245"/>
      <c r="AH4111" s="245"/>
      <c r="AI4111" s="245"/>
      <c r="AJ4111" s="245"/>
      <c r="AK4111" s="245"/>
      <c r="AL4111" s="245"/>
      <c r="AM4111" s="245"/>
      <c r="AN4111" s="245"/>
      <c r="AO4111" s="238">
        <v>-7.11</v>
      </c>
      <c r="AP4111" s="238">
        <v>0.0</v>
      </c>
      <c r="AQ4111" s="235" t="s">
        <v>632</v>
      </c>
      <c r="AR4111" s="243">
        <v>1.68E11</v>
      </c>
      <c r="AS4111" s="235" t="s">
        <v>30263</v>
      </c>
      <c r="AT4111" s="235" t="s">
        <v>9</v>
      </c>
      <c r="AU4111" s="235" t="s">
        <v>634</v>
      </c>
      <c r="AV4111" s="246" t="s">
        <v>635</v>
      </c>
      <c r="AW4111" s="227"/>
      <c r="AX4111" s="227"/>
      <c r="AY4111" s="227"/>
      <c r="AZ4111" s="227"/>
      <c r="BA4111" s="227"/>
      <c r="BB4111" s="227"/>
      <c r="BC4111" s="227"/>
      <c r="BD4111" s="227"/>
      <c r="BE4111" s="227"/>
      <c r="BF4111" s="227"/>
    </row>
    <row r="4112">
      <c r="A4112" s="235" t="s">
        <v>30664</v>
      </c>
      <c r="C4112" s="235" t="s">
        <v>30665</v>
      </c>
      <c r="D4112" s="235" t="s">
        <v>30666</v>
      </c>
      <c r="E4112" s="243">
        <v>6.51E13</v>
      </c>
      <c r="F4112" s="245"/>
      <c r="G4112" s="235" t="s">
        <v>30667</v>
      </c>
      <c r="H4112" s="235" t="s">
        <v>30668</v>
      </c>
      <c r="I4112" s="235" t="s">
        <v>30669</v>
      </c>
      <c r="J4112" s="235" t="s">
        <v>30670</v>
      </c>
      <c r="K4112" s="235" t="s">
        <v>30671</v>
      </c>
      <c r="N4112" s="235" t="s">
        <v>962</v>
      </c>
      <c r="O4112" s="235" t="s">
        <v>963</v>
      </c>
      <c r="P4112" s="238">
        <v>1.0</v>
      </c>
      <c r="Q4112" s="235" t="s">
        <v>627</v>
      </c>
      <c r="R4112" s="238">
        <v>237.14</v>
      </c>
      <c r="S4112" s="238">
        <v>11.5</v>
      </c>
      <c r="T4112" s="238">
        <v>0.0</v>
      </c>
      <c r="U4112" s="238">
        <v>0.0</v>
      </c>
      <c r="V4112" s="238">
        <v>0.0</v>
      </c>
      <c r="W4112" s="238">
        <v>0.0</v>
      </c>
      <c r="X4112" s="235" t="s">
        <v>628</v>
      </c>
      <c r="Z4112" s="245"/>
      <c r="AA4112" s="245"/>
      <c r="AB4112" s="245"/>
      <c r="AC4112" s="235" t="s">
        <v>30672</v>
      </c>
      <c r="AD4112" s="235" t="s">
        <v>833</v>
      </c>
      <c r="AE4112" s="238">
        <v>522647.0</v>
      </c>
      <c r="AF4112" s="235" t="s">
        <v>631</v>
      </c>
      <c r="AG4112" s="245"/>
      <c r="AH4112" s="245"/>
      <c r="AI4112" s="245"/>
      <c r="AJ4112" s="245"/>
      <c r="AK4112" s="245"/>
      <c r="AL4112" s="245"/>
      <c r="AM4112" s="245"/>
      <c r="AN4112" s="245"/>
      <c r="AO4112" s="238">
        <v>-7.11</v>
      </c>
      <c r="AP4112" s="238">
        <v>0.0</v>
      </c>
      <c r="AQ4112" s="235" t="s">
        <v>632</v>
      </c>
      <c r="AR4112" s="243">
        <v>3.71E11</v>
      </c>
      <c r="AS4112" s="235" t="s">
        <v>26892</v>
      </c>
      <c r="AT4112" s="235" t="s">
        <v>156</v>
      </c>
      <c r="AU4112" s="235" t="s">
        <v>634</v>
      </c>
      <c r="AV4112" s="246" t="s">
        <v>635</v>
      </c>
      <c r="AW4112" s="227"/>
      <c r="AX4112" s="227"/>
      <c r="AY4112" s="227"/>
      <c r="AZ4112" s="227"/>
      <c r="BA4112" s="227"/>
      <c r="BB4112" s="227"/>
      <c r="BC4112" s="227"/>
      <c r="BD4112" s="227"/>
      <c r="BE4112" s="227"/>
      <c r="BF4112" s="227"/>
    </row>
    <row r="4113">
      <c r="A4113" s="235" t="s">
        <v>30673</v>
      </c>
      <c r="C4113" s="235" t="s">
        <v>30674</v>
      </c>
      <c r="D4113" s="235" t="s">
        <v>30675</v>
      </c>
      <c r="E4113" s="243">
        <v>6.51E13</v>
      </c>
      <c r="F4113" s="245"/>
      <c r="G4113" s="235" t="s">
        <v>30676</v>
      </c>
      <c r="H4113" s="235" t="s">
        <v>30677</v>
      </c>
      <c r="I4113" s="235" t="s">
        <v>30677</v>
      </c>
      <c r="J4113" s="235" t="s">
        <v>30678</v>
      </c>
      <c r="K4113" s="235" t="s">
        <v>30679</v>
      </c>
      <c r="N4113" s="235" t="s">
        <v>127</v>
      </c>
      <c r="O4113" s="235" t="s">
        <v>794</v>
      </c>
      <c r="P4113" s="238">
        <v>1.0</v>
      </c>
      <c r="Q4113" s="235" t="s">
        <v>627</v>
      </c>
      <c r="R4113" s="238">
        <v>236.2</v>
      </c>
      <c r="S4113" s="238">
        <v>11.8</v>
      </c>
      <c r="T4113" s="238">
        <v>0.0</v>
      </c>
      <c r="U4113" s="238">
        <v>0.0</v>
      </c>
      <c r="V4113" s="238">
        <v>0.0</v>
      </c>
      <c r="W4113" s="238">
        <v>0.0</v>
      </c>
      <c r="X4113" s="235" t="s">
        <v>628</v>
      </c>
      <c r="Z4113" s="245"/>
      <c r="AA4113" s="245"/>
      <c r="AB4113" s="245"/>
      <c r="AC4113" s="235" t="s">
        <v>844</v>
      </c>
      <c r="AD4113" s="235" t="s">
        <v>845</v>
      </c>
      <c r="AE4113" s="238">
        <v>411038.0</v>
      </c>
      <c r="AF4113" s="235" t="s">
        <v>631</v>
      </c>
      <c r="AG4113" s="245"/>
      <c r="AH4113" s="245"/>
      <c r="AI4113" s="245"/>
      <c r="AJ4113" s="245"/>
      <c r="AK4113" s="245"/>
      <c r="AL4113" s="245"/>
      <c r="AM4113" s="245"/>
      <c r="AN4113" s="245"/>
      <c r="AO4113" s="238">
        <v>0.0</v>
      </c>
      <c r="AP4113" s="238">
        <v>0.0</v>
      </c>
      <c r="AQ4113" s="235" t="s">
        <v>632</v>
      </c>
      <c r="AR4113" s="243">
        <v>3.71E11</v>
      </c>
      <c r="AS4113" s="235" t="s">
        <v>29883</v>
      </c>
      <c r="AT4113" s="235" t="s">
        <v>546</v>
      </c>
      <c r="AU4113" s="235" t="s">
        <v>634</v>
      </c>
      <c r="AV4113" s="246" t="s">
        <v>635</v>
      </c>
      <c r="AW4113" s="227"/>
      <c r="AX4113" s="227"/>
      <c r="AY4113" s="227"/>
      <c r="AZ4113" s="227"/>
      <c r="BA4113" s="227"/>
      <c r="BB4113" s="227"/>
      <c r="BC4113" s="227"/>
      <c r="BD4113" s="227"/>
      <c r="BE4113" s="227"/>
      <c r="BF4113" s="227"/>
    </row>
    <row r="4114">
      <c r="A4114" s="235" t="s">
        <v>30680</v>
      </c>
      <c r="C4114" s="235" t="s">
        <v>30681</v>
      </c>
      <c r="D4114" s="235" t="s">
        <v>30682</v>
      </c>
      <c r="E4114" s="243">
        <v>6.51E13</v>
      </c>
      <c r="F4114" s="245"/>
      <c r="G4114" s="235" t="s">
        <v>30683</v>
      </c>
      <c r="H4114" s="235" t="s">
        <v>30684</v>
      </c>
      <c r="I4114" s="235" t="s">
        <v>30684</v>
      </c>
      <c r="J4114" s="235" t="s">
        <v>30685</v>
      </c>
      <c r="K4114" s="235" t="s">
        <v>30686</v>
      </c>
      <c r="N4114" s="235" t="s">
        <v>138</v>
      </c>
      <c r="O4114" s="235" t="s">
        <v>675</v>
      </c>
      <c r="P4114" s="238">
        <v>1.0</v>
      </c>
      <c r="Q4114" s="235" t="s">
        <v>627</v>
      </c>
      <c r="R4114" s="238">
        <v>233.34</v>
      </c>
      <c r="S4114" s="238">
        <v>11.43</v>
      </c>
      <c r="T4114" s="238">
        <v>0.0</v>
      </c>
      <c r="U4114" s="238">
        <v>0.0</v>
      </c>
      <c r="V4114" s="238">
        <v>0.0</v>
      </c>
      <c r="W4114" s="238">
        <v>0.0</v>
      </c>
      <c r="X4114" s="235" t="s">
        <v>628</v>
      </c>
      <c r="Z4114" s="245"/>
      <c r="AA4114" s="245"/>
      <c r="AB4114" s="245"/>
      <c r="AC4114" s="235" t="s">
        <v>678</v>
      </c>
      <c r="AD4114" s="235" t="s">
        <v>679</v>
      </c>
      <c r="AE4114" s="238">
        <v>560100.0</v>
      </c>
      <c r="AF4114" s="235" t="s">
        <v>631</v>
      </c>
      <c r="AG4114" s="245"/>
      <c r="AH4114" s="245"/>
      <c r="AI4114" s="245"/>
      <c r="AJ4114" s="245"/>
      <c r="AK4114" s="245"/>
      <c r="AL4114" s="245"/>
      <c r="AM4114" s="245"/>
      <c r="AN4114" s="245"/>
      <c r="AO4114" s="238">
        <v>-4.67</v>
      </c>
      <c r="AP4114" s="238">
        <v>0.0</v>
      </c>
      <c r="AQ4114" s="235" t="s">
        <v>632</v>
      </c>
      <c r="AR4114" s="243">
        <v>1.68E11</v>
      </c>
      <c r="AS4114" s="235" t="s">
        <v>30263</v>
      </c>
      <c r="AT4114" s="235" t="s">
        <v>9</v>
      </c>
      <c r="AU4114" s="235" t="s">
        <v>634</v>
      </c>
      <c r="AV4114" s="246" t="s">
        <v>635</v>
      </c>
      <c r="AW4114" s="227"/>
      <c r="AX4114" s="227"/>
      <c r="AY4114" s="227"/>
      <c r="AZ4114" s="227"/>
      <c r="BA4114" s="227"/>
      <c r="BB4114" s="227"/>
      <c r="BC4114" s="227"/>
      <c r="BD4114" s="227"/>
      <c r="BE4114" s="227"/>
      <c r="BF4114" s="227"/>
    </row>
    <row r="4115">
      <c r="A4115" s="235" t="s">
        <v>30687</v>
      </c>
      <c r="C4115" s="235" t="s">
        <v>30688</v>
      </c>
      <c r="D4115" s="235" t="s">
        <v>30689</v>
      </c>
      <c r="E4115" s="243">
        <v>6.51E13</v>
      </c>
      <c r="F4115" s="245"/>
      <c r="G4115" s="235" t="s">
        <v>30690</v>
      </c>
      <c r="H4115" s="235" t="s">
        <v>30691</v>
      </c>
      <c r="I4115" s="235" t="s">
        <v>30691</v>
      </c>
      <c r="J4115" s="235" t="s">
        <v>30692</v>
      </c>
      <c r="K4115" s="235" t="s">
        <v>30693</v>
      </c>
      <c r="N4115" s="235" t="s">
        <v>131</v>
      </c>
      <c r="O4115" s="235" t="s">
        <v>2148</v>
      </c>
      <c r="P4115" s="238">
        <v>1.0</v>
      </c>
      <c r="Q4115" s="235" t="s">
        <v>627</v>
      </c>
      <c r="R4115" s="238">
        <v>237.14</v>
      </c>
      <c r="S4115" s="238">
        <v>11.86</v>
      </c>
      <c r="T4115" s="238">
        <v>0.0</v>
      </c>
      <c r="U4115" s="238">
        <v>0.0</v>
      </c>
      <c r="V4115" s="238">
        <v>0.0</v>
      </c>
      <c r="W4115" s="238">
        <v>0.0</v>
      </c>
      <c r="X4115" s="235" t="s">
        <v>628</v>
      </c>
      <c r="Z4115" s="245"/>
      <c r="AA4115" s="245"/>
      <c r="AB4115" s="245"/>
      <c r="AC4115" s="235" t="s">
        <v>1279</v>
      </c>
      <c r="AD4115" s="235" t="s">
        <v>917</v>
      </c>
      <c r="AE4115" s="238">
        <v>302024.0</v>
      </c>
      <c r="AF4115" s="235" t="s">
        <v>631</v>
      </c>
      <c r="AG4115" s="245"/>
      <c r="AH4115" s="245"/>
      <c r="AI4115" s="245"/>
      <c r="AJ4115" s="245"/>
      <c r="AK4115" s="245"/>
      <c r="AL4115" s="245"/>
      <c r="AM4115" s="245"/>
      <c r="AN4115" s="245"/>
      <c r="AO4115" s="238">
        <v>0.0</v>
      </c>
      <c r="AP4115" s="238">
        <v>0.0</v>
      </c>
      <c r="AQ4115" s="235" t="s">
        <v>632</v>
      </c>
      <c r="AR4115" s="243">
        <v>1.68E11</v>
      </c>
      <c r="AS4115" s="235" t="s">
        <v>29883</v>
      </c>
      <c r="AT4115" s="235" t="s">
        <v>13</v>
      </c>
      <c r="AU4115" s="235" t="s">
        <v>634</v>
      </c>
      <c r="AV4115" s="246" t="s">
        <v>635</v>
      </c>
      <c r="AW4115" s="227"/>
      <c r="AX4115" s="227"/>
      <c r="AY4115" s="227"/>
      <c r="AZ4115" s="227"/>
      <c r="BA4115" s="227"/>
      <c r="BB4115" s="227"/>
      <c r="BC4115" s="227"/>
      <c r="BD4115" s="227"/>
      <c r="BE4115" s="227"/>
      <c r="BF4115" s="227"/>
    </row>
    <row r="4116">
      <c r="A4116" s="235" t="s">
        <v>30694</v>
      </c>
      <c r="C4116" s="235" t="s">
        <v>30695</v>
      </c>
      <c r="D4116" s="235" t="s">
        <v>30696</v>
      </c>
      <c r="E4116" s="243">
        <v>6.51E13</v>
      </c>
      <c r="F4116" s="245"/>
      <c r="G4116" s="235" t="s">
        <v>30697</v>
      </c>
      <c r="H4116" s="235" t="s">
        <v>30698</v>
      </c>
      <c r="I4116" s="235" t="s">
        <v>30699</v>
      </c>
      <c r="J4116" s="235" t="s">
        <v>30700</v>
      </c>
      <c r="K4116" s="235" t="s">
        <v>30701</v>
      </c>
      <c r="N4116" s="235" t="s">
        <v>153</v>
      </c>
      <c r="O4116" s="235" t="s">
        <v>390</v>
      </c>
      <c r="P4116" s="238">
        <v>1.0</v>
      </c>
      <c r="Q4116" s="235" t="s">
        <v>627</v>
      </c>
      <c r="R4116" s="238">
        <v>490.68</v>
      </c>
      <c r="S4116" s="238">
        <v>86.56</v>
      </c>
      <c r="T4116" s="238">
        <v>0.0</v>
      </c>
      <c r="U4116" s="238">
        <v>0.0</v>
      </c>
      <c r="V4116" s="238">
        <v>0.0</v>
      </c>
      <c r="W4116" s="238">
        <v>0.0</v>
      </c>
      <c r="X4116" s="235" t="s">
        <v>628</v>
      </c>
      <c r="Z4116" s="245"/>
      <c r="AA4116" s="245"/>
      <c r="AB4116" s="245"/>
      <c r="AC4116" s="235" t="s">
        <v>844</v>
      </c>
      <c r="AD4116" s="235" t="s">
        <v>845</v>
      </c>
      <c r="AE4116" s="238">
        <v>411045.0</v>
      </c>
      <c r="AF4116" s="235" t="s">
        <v>631</v>
      </c>
      <c r="AG4116" s="245"/>
      <c r="AH4116" s="245"/>
      <c r="AI4116" s="245"/>
      <c r="AJ4116" s="245"/>
      <c r="AK4116" s="245"/>
      <c r="AL4116" s="245"/>
      <c r="AM4116" s="245"/>
      <c r="AN4116" s="245"/>
      <c r="AO4116" s="238">
        <v>-9.82</v>
      </c>
      <c r="AP4116" s="238">
        <v>0.0</v>
      </c>
      <c r="AQ4116" s="235" t="s">
        <v>632</v>
      </c>
      <c r="AR4116" s="243">
        <v>1.68E11</v>
      </c>
      <c r="AS4116" s="235" t="s">
        <v>29883</v>
      </c>
      <c r="AT4116" s="235" t="s">
        <v>16</v>
      </c>
      <c r="AU4116" s="235" t="s">
        <v>634</v>
      </c>
      <c r="AV4116" s="246" t="s">
        <v>635</v>
      </c>
      <c r="AW4116" s="227"/>
      <c r="AX4116" s="227"/>
      <c r="AY4116" s="227"/>
      <c r="AZ4116" s="227"/>
      <c r="BA4116" s="227"/>
      <c r="BB4116" s="227"/>
      <c r="BC4116" s="227"/>
      <c r="BD4116" s="227"/>
      <c r="BE4116" s="227"/>
      <c r="BF4116" s="227"/>
    </row>
    <row r="4117">
      <c r="A4117" s="235" t="s">
        <v>30702</v>
      </c>
      <c r="C4117" s="235" t="s">
        <v>30703</v>
      </c>
      <c r="D4117" s="235" t="s">
        <v>30704</v>
      </c>
      <c r="E4117" s="243">
        <v>6.51E13</v>
      </c>
      <c r="F4117" s="245"/>
      <c r="G4117" s="235" t="s">
        <v>30705</v>
      </c>
      <c r="H4117" s="235" t="s">
        <v>30706</v>
      </c>
      <c r="I4117" s="235" t="s">
        <v>30706</v>
      </c>
      <c r="J4117" s="235" t="s">
        <v>30707</v>
      </c>
      <c r="K4117" s="235" t="s">
        <v>30708</v>
      </c>
      <c r="N4117" s="235" t="s">
        <v>42</v>
      </c>
      <c r="O4117" s="235" t="s">
        <v>204</v>
      </c>
      <c r="P4117" s="238">
        <v>1.0</v>
      </c>
      <c r="Q4117" s="235" t="s">
        <v>627</v>
      </c>
      <c r="R4117" s="238">
        <v>236.19</v>
      </c>
      <c r="S4117" s="238">
        <v>11.81</v>
      </c>
      <c r="T4117" s="238">
        <v>0.0</v>
      </c>
      <c r="U4117" s="238">
        <v>0.0</v>
      </c>
      <c r="V4117" s="238">
        <v>0.0</v>
      </c>
      <c r="W4117" s="238">
        <v>0.0</v>
      </c>
      <c r="X4117" s="235" t="s">
        <v>628</v>
      </c>
      <c r="Z4117" s="245"/>
      <c r="AA4117" s="245"/>
      <c r="AB4117" s="245"/>
      <c r="AC4117" s="235" t="s">
        <v>697</v>
      </c>
      <c r="AD4117" s="235" t="s">
        <v>698</v>
      </c>
      <c r="AE4117" s="238">
        <v>500072.0</v>
      </c>
      <c r="AF4117" s="235" t="s">
        <v>631</v>
      </c>
      <c r="AG4117" s="245"/>
      <c r="AH4117" s="245"/>
      <c r="AI4117" s="245"/>
      <c r="AJ4117" s="245"/>
      <c r="AK4117" s="245"/>
      <c r="AL4117" s="245"/>
      <c r="AM4117" s="245"/>
      <c r="AN4117" s="245"/>
      <c r="AO4117" s="238">
        <v>0.0</v>
      </c>
      <c r="AP4117" s="238">
        <v>0.0</v>
      </c>
      <c r="AQ4117" s="235" t="s">
        <v>632</v>
      </c>
      <c r="AR4117" s="243">
        <v>3.71E11</v>
      </c>
      <c r="AS4117" s="235" t="s">
        <v>28482</v>
      </c>
      <c r="AT4117" s="235" t="s">
        <v>546</v>
      </c>
      <c r="AU4117" s="235" t="s">
        <v>634</v>
      </c>
      <c r="AV4117" s="246" t="s">
        <v>635</v>
      </c>
      <c r="AW4117" s="227"/>
      <c r="AX4117" s="227"/>
      <c r="AY4117" s="227"/>
      <c r="AZ4117" s="227"/>
      <c r="BA4117" s="227"/>
      <c r="BB4117" s="227"/>
      <c r="BC4117" s="227"/>
      <c r="BD4117" s="227"/>
      <c r="BE4117" s="227"/>
      <c r="BF4117" s="227"/>
    </row>
    <row r="4118">
      <c r="A4118" s="235" t="s">
        <v>30709</v>
      </c>
      <c r="C4118" s="235" t="s">
        <v>30710</v>
      </c>
      <c r="D4118" s="235" t="s">
        <v>30711</v>
      </c>
      <c r="E4118" s="243">
        <v>6.51E13</v>
      </c>
      <c r="F4118" s="245"/>
      <c r="G4118" s="235" t="s">
        <v>30712</v>
      </c>
      <c r="H4118" s="235" t="s">
        <v>30713</v>
      </c>
      <c r="I4118" s="235" t="s">
        <v>30713</v>
      </c>
      <c r="J4118" s="235" t="s">
        <v>30714</v>
      </c>
      <c r="K4118" s="235" t="s">
        <v>30715</v>
      </c>
      <c r="N4118" s="235" t="s">
        <v>154</v>
      </c>
      <c r="O4118" s="235" t="s">
        <v>766</v>
      </c>
      <c r="P4118" s="238">
        <v>1.0</v>
      </c>
      <c r="Q4118" s="235" t="s">
        <v>627</v>
      </c>
      <c r="R4118" s="238">
        <v>423.8</v>
      </c>
      <c r="S4118" s="238">
        <v>21.2</v>
      </c>
      <c r="T4118" s="238">
        <v>0.0</v>
      </c>
      <c r="U4118" s="238">
        <v>0.0</v>
      </c>
      <c r="V4118" s="238">
        <v>0.0</v>
      </c>
      <c r="W4118" s="238">
        <v>0.0</v>
      </c>
      <c r="X4118" s="235" t="s">
        <v>628</v>
      </c>
      <c r="Z4118" s="245"/>
      <c r="AA4118" s="245"/>
      <c r="AB4118" s="245"/>
      <c r="AC4118" s="235" t="s">
        <v>1514</v>
      </c>
      <c r="AD4118" s="235" t="s">
        <v>1077</v>
      </c>
      <c r="AE4118" s="238">
        <v>380009.0</v>
      </c>
      <c r="AF4118" s="235" t="s">
        <v>631</v>
      </c>
      <c r="AG4118" s="245"/>
      <c r="AH4118" s="245"/>
      <c r="AI4118" s="245"/>
      <c r="AJ4118" s="245"/>
      <c r="AK4118" s="245"/>
      <c r="AL4118" s="245"/>
      <c r="AM4118" s="245"/>
      <c r="AN4118" s="245"/>
      <c r="AO4118" s="238">
        <v>0.0</v>
      </c>
      <c r="AP4118" s="238">
        <v>0.0</v>
      </c>
      <c r="AQ4118" s="235" t="s">
        <v>632</v>
      </c>
      <c r="AR4118" s="243">
        <v>1.68E11</v>
      </c>
      <c r="AS4118" s="235" t="s">
        <v>30263</v>
      </c>
      <c r="AT4118" s="235" t="s">
        <v>5</v>
      </c>
      <c r="AU4118" s="235" t="s">
        <v>634</v>
      </c>
      <c r="AV4118" s="246" t="s">
        <v>635</v>
      </c>
      <c r="AW4118" s="227"/>
      <c r="AX4118" s="227"/>
      <c r="AY4118" s="227"/>
      <c r="AZ4118" s="227"/>
      <c r="BA4118" s="227"/>
      <c r="BB4118" s="227"/>
      <c r="BC4118" s="227"/>
      <c r="BD4118" s="227"/>
      <c r="BE4118" s="227"/>
      <c r="BF4118" s="227"/>
    </row>
    <row r="4119">
      <c r="A4119" s="235" t="s">
        <v>30716</v>
      </c>
      <c r="C4119" s="235" t="s">
        <v>30717</v>
      </c>
      <c r="D4119" s="235" t="s">
        <v>30718</v>
      </c>
      <c r="E4119" s="243">
        <v>6.51E13</v>
      </c>
      <c r="F4119" s="245"/>
      <c r="G4119" s="235" t="s">
        <v>30719</v>
      </c>
      <c r="H4119" s="235" t="s">
        <v>30720</v>
      </c>
      <c r="I4119" s="235" t="s">
        <v>30721</v>
      </c>
      <c r="J4119" s="235" t="s">
        <v>30722</v>
      </c>
      <c r="K4119" s="235" t="s">
        <v>30723</v>
      </c>
      <c r="N4119" s="235" t="s">
        <v>68</v>
      </c>
      <c r="O4119" s="235" t="s">
        <v>208</v>
      </c>
      <c r="P4119" s="238">
        <v>1.0</v>
      </c>
      <c r="Q4119" s="235" t="s">
        <v>627</v>
      </c>
      <c r="R4119" s="238">
        <v>236.2</v>
      </c>
      <c r="S4119" s="238">
        <v>11.8</v>
      </c>
      <c r="T4119" s="238">
        <v>0.0</v>
      </c>
      <c r="U4119" s="238">
        <v>0.0</v>
      </c>
      <c r="V4119" s="238">
        <v>0.0</v>
      </c>
      <c r="W4119" s="238">
        <v>0.0</v>
      </c>
      <c r="X4119" s="235" t="s">
        <v>628</v>
      </c>
      <c r="Z4119" s="245"/>
      <c r="AA4119" s="245"/>
      <c r="AB4119" s="245"/>
      <c r="AC4119" s="235" t="s">
        <v>678</v>
      </c>
      <c r="AD4119" s="235" t="s">
        <v>679</v>
      </c>
      <c r="AE4119" s="238">
        <v>560066.0</v>
      </c>
      <c r="AF4119" s="235" t="s">
        <v>631</v>
      </c>
      <c r="AG4119" s="245"/>
      <c r="AH4119" s="245"/>
      <c r="AI4119" s="245"/>
      <c r="AJ4119" s="245"/>
      <c r="AK4119" s="245"/>
      <c r="AL4119" s="245"/>
      <c r="AM4119" s="245"/>
      <c r="AN4119" s="245"/>
      <c r="AO4119" s="238">
        <v>0.0</v>
      </c>
      <c r="AP4119" s="238">
        <v>0.0</v>
      </c>
      <c r="AQ4119" s="235" t="s">
        <v>632</v>
      </c>
      <c r="AR4119" s="243">
        <v>1.68E11</v>
      </c>
      <c r="AS4119" s="235" t="s">
        <v>30263</v>
      </c>
      <c r="AT4119" s="235" t="s">
        <v>9</v>
      </c>
      <c r="AU4119" s="235" t="s">
        <v>634</v>
      </c>
      <c r="AV4119" s="246" t="s">
        <v>635</v>
      </c>
      <c r="AW4119" s="227"/>
      <c r="AX4119" s="227"/>
      <c r="AY4119" s="227"/>
      <c r="AZ4119" s="227"/>
      <c r="BA4119" s="227"/>
      <c r="BB4119" s="227"/>
      <c r="BC4119" s="227"/>
      <c r="BD4119" s="227"/>
      <c r="BE4119" s="227"/>
      <c r="BF4119" s="227"/>
    </row>
    <row r="4120">
      <c r="A4120" s="235" t="s">
        <v>30724</v>
      </c>
      <c r="C4120" s="235" t="s">
        <v>30725</v>
      </c>
      <c r="D4120" s="235" t="s">
        <v>30726</v>
      </c>
      <c r="E4120" s="243">
        <v>6.51E13</v>
      </c>
      <c r="F4120" s="245"/>
      <c r="G4120" s="235" t="s">
        <v>30727</v>
      </c>
      <c r="H4120" s="235" t="s">
        <v>30728</v>
      </c>
      <c r="I4120" s="235" t="s">
        <v>30728</v>
      </c>
      <c r="J4120" s="235" t="s">
        <v>30729</v>
      </c>
      <c r="K4120" s="235" t="s">
        <v>30730</v>
      </c>
      <c r="N4120" s="235" t="s">
        <v>139</v>
      </c>
      <c r="O4120" s="235" t="s">
        <v>2091</v>
      </c>
      <c r="P4120" s="238">
        <v>1.0</v>
      </c>
      <c r="Q4120" s="235" t="s">
        <v>627</v>
      </c>
      <c r="R4120" s="238">
        <v>233.34</v>
      </c>
      <c r="S4120" s="238">
        <v>11.66</v>
      </c>
      <c r="T4120" s="238">
        <v>0.0</v>
      </c>
      <c r="U4120" s="238">
        <v>0.0</v>
      </c>
      <c r="V4120" s="238">
        <v>0.0</v>
      </c>
      <c r="W4120" s="238">
        <v>0.0</v>
      </c>
      <c r="X4120" s="235" t="s">
        <v>628</v>
      </c>
      <c r="Z4120" s="245"/>
      <c r="AA4120" s="245"/>
      <c r="AB4120" s="245"/>
      <c r="AC4120" s="235" t="s">
        <v>687</v>
      </c>
      <c r="AD4120" s="235" t="s">
        <v>666</v>
      </c>
      <c r="AE4120" s="238">
        <v>600128.0</v>
      </c>
      <c r="AF4120" s="235" t="s">
        <v>631</v>
      </c>
      <c r="AG4120" s="245"/>
      <c r="AH4120" s="245"/>
      <c r="AI4120" s="245"/>
      <c r="AJ4120" s="245"/>
      <c r="AK4120" s="245"/>
      <c r="AL4120" s="245"/>
      <c r="AM4120" s="245"/>
      <c r="AN4120" s="245"/>
      <c r="AO4120" s="238">
        <v>0.0</v>
      </c>
      <c r="AP4120" s="238">
        <v>0.0</v>
      </c>
      <c r="AQ4120" s="235" t="s">
        <v>632</v>
      </c>
      <c r="AR4120" s="243">
        <v>1.68E11</v>
      </c>
      <c r="AS4120" s="235" t="s">
        <v>30263</v>
      </c>
      <c r="AT4120" s="235" t="s">
        <v>156</v>
      </c>
      <c r="AU4120" s="235" t="s">
        <v>634</v>
      </c>
      <c r="AV4120" s="246" t="s">
        <v>635</v>
      </c>
      <c r="AW4120" s="227"/>
      <c r="AX4120" s="227"/>
      <c r="AY4120" s="227"/>
      <c r="AZ4120" s="227"/>
      <c r="BA4120" s="227"/>
      <c r="BB4120" s="227"/>
      <c r="BC4120" s="227"/>
      <c r="BD4120" s="227"/>
      <c r="BE4120" s="227"/>
      <c r="BF4120" s="227"/>
    </row>
    <row r="4121">
      <c r="A4121" s="235" t="s">
        <v>30731</v>
      </c>
      <c r="C4121" s="235" t="s">
        <v>30732</v>
      </c>
      <c r="D4121" s="235" t="s">
        <v>30733</v>
      </c>
      <c r="E4121" s="243">
        <v>6.51E13</v>
      </c>
      <c r="F4121" s="245"/>
      <c r="G4121" s="235" t="s">
        <v>30734</v>
      </c>
      <c r="H4121" s="235" t="s">
        <v>30735</v>
      </c>
      <c r="I4121" s="235" t="s">
        <v>30735</v>
      </c>
      <c r="J4121" s="235" t="s">
        <v>30736</v>
      </c>
      <c r="K4121" s="235" t="s">
        <v>30737</v>
      </c>
      <c r="N4121" s="235" t="s">
        <v>1346</v>
      </c>
      <c r="O4121" s="235" t="s">
        <v>1347</v>
      </c>
      <c r="P4121" s="238">
        <v>1.0</v>
      </c>
      <c r="Q4121" s="235" t="s">
        <v>627</v>
      </c>
      <c r="R4121" s="238">
        <v>256.2</v>
      </c>
      <c r="S4121" s="238">
        <v>12.54</v>
      </c>
      <c r="T4121" s="238">
        <v>0.0</v>
      </c>
      <c r="U4121" s="238">
        <v>0.0</v>
      </c>
      <c r="V4121" s="238">
        <v>0.0</v>
      </c>
      <c r="W4121" s="238">
        <v>0.0</v>
      </c>
      <c r="X4121" s="235" t="s">
        <v>628</v>
      </c>
      <c r="Z4121" s="245"/>
      <c r="AA4121" s="245"/>
      <c r="AB4121" s="245"/>
      <c r="AC4121" s="235" t="s">
        <v>1320</v>
      </c>
      <c r="AD4121" s="235" t="s">
        <v>24339</v>
      </c>
      <c r="AE4121" s="238">
        <v>600033.0</v>
      </c>
      <c r="AF4121" s="235" t="s">
        <v>631</v>
      </c>
      <c r="AG4121" s="245"/>
      <c r="AH4121" s="245"/>
      <c r="AI4121" s="245"/>
      <c r="AJ4121" s="245"/>
      <c r="AK4121" s="245"/>
      <c r="AL4121" s="245"/>
      <c r="AM4121" s="245"/>
      <c r="AN4121" s="245"/>
      <c r="AO4121" s="238">
        <v>-5.12</v>
      </c>
      <c r="AP4121" s="238">
        <v>0.0</v>
      </c>
      <c r="AQ4121" s="235" t="s">
        <v>632</v>
      </c>
      <c r="AR4121" s="243">
        <v>1.68E11</v>
      </c>
      <c r="AS4121" s="235" t="s">
        <v>30263</v>
      </c>
      <c r="AT4121" s="235" t="s">
        <v>156</v>
      </c>
      <c r="AU4121" s="235" t="s">
        <v>634</v>
      </c>
      <c r="AV4121" s="246" t="s">
        <v>635</v>
      </c>
      <c r="AW4121" s="227"/>
      <c r="AX4121" s="227"/>
      <c r="AY4121" s="227"/>
      <c r="AZ4121" s="227"/>
      <c r="BA4121" s="227"/>
      <c r="BB4121" s="227"/>
      <c r="BC4121" s="227"/>
      <c r="BD4121" s="227"/>
      <c r="BE4121" s="227"/>
      <c r="BF4121" s="227"/>
    </row>
    <row r="4122">
      <c r="A4122" s="235" t="s">
        <v>30738</v>
      </c>
      <c r="C4122" s="235" t="s">
        <v>30739</v>
      </c>
      <c r="D4122" s="235" t="s">
        <v>30740</v>
      </c>
      <c r="E4122" s="243">
        <v>6.51E13</v>
      </c>
      <c r="F4122" s="245"/>
      <c r="G4122" s="235" t="s">
        <v>30741</v>
      </c>
      <c r="H4122" s="235" t="s">
        <v>30742</v>
      </c>
      <c r="I4122" s="235" t="s">
        <v>30743</v>
      </c>
      <c r="J4122" s="235" t="s">
        <v>30744</v>
      </c>
      <c r="K4122" s="235" t="s">
        <v>30745</v>
      </c>
      <c r="N4122" s="235" t="s">
        <v>154</v>
      </c>
      <c r="O4122" s="235" t="s">
        <v>766</v>
      </c>
      <c r="P4122" s="238">
        <v>1.0</v>
      </c>
      <c r="Q4122" s="235" t="s">
        <v>627</v>
      </c>
      <c r="R4122" s="238">
        <v>423.81</v>
      </c>
      <c r="S4122" s="238">
        <v>21.19</v>
      </c>
      <c r="T4122" s="238">
        <v>0.0</v>
      </c>
      <c r="U4122" s="238">
        <v>0.0</v>
      </c>
      <c r="V4122" s="238">
        <v>0.0</v>
      </c>
      <c r="W4122" s="238">
        <v>0.0</v>
      </c>
      <c r="X4122" s="235" t="s">
        <v>628</v>
      </c>
      <c r="Z4122" s="245"/>
      <c r="AA4122" s="245"/>
      <c r="AB4122" s="245"/>
      <c r="AC4122" s="235" t="s">
        <v>697</v>
      </c>
      <c r="AD4122" s="235" t="s">
        <v>698</v>
      </c>
      <c r="AE4122" s="238">
        <v>500049.0</v>
      </c>
      <c r="AF4122" s="235" t="s">
        <v>631</v>
      </c>
      <c r="AG4122" s="245"/>
      <c r="AH4122" s="245"/>
      <c r="AI4122" s="245"/>
      <c r="AJ4122" s="245"/>
      <c r="AK4122" s="245"/>
      <c r="AL4122" s="245"/>
      <c r="AM4122" s="245"/>
      <c r="AN4122" s="245"/>
      <c r="AO4122" s="238">
        <v>0.0</v>
      </c>
      <c r="AP4122" s="238">
        <v>0.0</v>
      </c>
      <c r="AQ4122" s="235" t="s">
        <v>632</v>
      </c>
      <c r="AR4122" s="243">
        <v>3.71E11</v>
      </c>
      <c r="AS4122" s="235" t="s">
        <v>28482</v>
      </c>
      <c r="AT4122" s="235" t="s">
        <v>546</v>
      </c>
      <c r="AU4122" s="235" t="s">
        <v>634</v>
      </c>
      <c r="AV4122" s="246" t="s">
        <v>635</v>
      </c>
      <c r="AW4122" s="227"/>
      <c r="AX4122" s="227"/>
      <c r="AY4122" s="227"/>
      <c r="AZ4122" s="227"/>
      <c r="BA4122" s="227"/>
      <c r="BB4122" s="227"/>
      <c r="BC4122" s="227"/>
      <c r="BD4122" s="227"/>
      <c r="BE4122" s="227"/>
      <c r="BF4122" s="227"/>
    </row>
    <row r="4123">
      <c r="A4123" s="235" t="s">
        <v>30746</v>
      </c>
      <c r="C4123" s="235" t="s">
        <v>30747</v>
      </c>
      <c r="D4123" s="235" t="s">
        <v>30748</v>
      </c>
      <c r="E4123" s="243">
        <v>6.51E13</v>
      </c>
      <c r="F4123" s="245"/>
      <c r="G4123" s="235" t="s">
        <v>30749</v>
      </c>
      <c r="H4123" s="235" t="s">
        <v>30750</v>
      </c>
      <c r="I4123" s="235" t="s">
        <v>30751</v>
      </c>
      <c r="J4123" s="235" t="s">
        <v>30752</v>
      </c>
      <c r="K4123" s="235" t="s">
        <v>30753</v>
      </c>
      <c r="N4123" s="235" t="s">
        <v>42</v>
      </c>
      <c r="O4123" s="235" t="s">
        <v>204</v>
      </c>
      <c r="P4123" s="238">
        <v>1.0</v>
      </c>
      <c r="Q4123" s="235" t="s">
        <v>627</v>
      </c>
      <c r="R4123" s="238">
        <v>236.2</v>
      </c>
      <c r="S4123" s="238">
        <v>11.56</v>
      </c>
      <c r="T4123" s="238">
        <v>0.0</v>
      </c>
      <c r="U4123" s="238">
        <v>0.0</v>
      </c>
      <c r="V4123" s="238">
        <v>0.0</v>
      </c>
      <c r="W4123" s="238">
        <v>0.0</v>
      </c>
      <c r="X4123" s="235" t="s">
        <v>628</v>
      </c>
      <c r="Z4123" s="245"/>
      <c r="AA4123" s="245"/>
      <c r="AB4123" s="245"/>
      <c r="AC4123" s="235" t="s">
        <v>678</v>
      </c>
      <c r="AD4123" s="235" t="s">
        <v>679</v>
      </c>
      <c r="AE4123" s="238">
        <v>560035.0</v>
      </c>
      <c r="AF4123" s="235" t="s">
        <v>631</v>
      </c>
      <c r="AG4123" s="245"/>
      <c r="AH4123" s="245"/>
      <c r="AI4123" s="245"/>
      <c r="AJ4123" s="245"/>
      <c r="AK4123" s="245"/>
      <c r="AL4123" s="245"/>
      <c r="AM4123" s="245"/>
      <c r="AN4123" s="245"/>
      <c r="AO4123" s="238">
        <v>-4.72</v>
      </c>
      <c r="AP4123" s="238">
        <v>0.0</v>
      </c>
      <c r="AQ4123" s="235" t="s">
        <v>632</v>
      </c>
      <c r="AR4123" s="243">
        <v>1.68E11</v>
      </c>
      <c r="AS4123" s="235" t="s">
        <v>30263</v>
      </c>
      <c r="AT4123" s="235" t="s">
        <v>9</v>
      </c>
      <c r="AU4123" s="235" t="s">
        <v>634</v>
      </c>
      <c r="AV4123" s="246" t="s">
        <v>635</v>
      </c>
      <c r="AW4123" s="227"/>
      <c r="AX4123" s="227"/>
      <c r="AY4123" s="227"/>
      <c r="AZ4123" s="227"/>
      <c r="BA4123" s="227"/>
      <c r="BB4123" s="227"/>
      <c r="BC4123" s="227"/>
      <c r="BD4123" s="227"/>
      <c r="BE4123" s="227"/>
      <c r="BF4123" s="227"/>
    </row>
    <row r="4124">
      <c r="A4124" s="235" t="s">
        <v>30754</v>
      </c>
      <c r="C4124" s="235" t="s">
        <v>30755</v>
      </c>
      <c r="D4124" s="235" t="s">
        <v>30756</v>
      </c>
      <c r="E4124" s="243">
        <v>6.51E13</v>
      </c>
      <c r="F4124" s="245"/>
      <c r="G4124" s="235" t="s">
        <v>30757</v>
      </c>
      <c r="H4124" s="235" t="s">
        <v>30758</v>
      </c>
      <c r="I4124" s="235" t="s">
        <v>30758</v>
      </c>
      <c r="J4124" s="235" t="s">
        <v>30759</v>
      </c>
      <c r="K4124" s="235" t="s">
        <v>30760</v>
      </c>
      <c r="N4124" s="235" t="s">
        <v>51</v>
      </c>
      <c r="O4124" s="235" t="s">
        <v>273</v>
      </c>
      <c r="P4124" s="238">
        <v>1.0</v>
      </c>
      <c r="Q4124" s="235" t="s">
        <v>627</v>
      </c>
      <c r="R4124" s="238">
        <v>270.48</v>
      </c>
      <c r="S4124" s="238">
        <v>13.52</v>
      </c>
      <c r="T4124" s="238">
        <v>0.0</v>
      </c>
      <c r="U4124" s="238">
        <v>0.0</v>
      </c>
      <c r="V4124" s="238">
        <v>0.0</v>
      </c>
      <c r="W4124" s="238">
        <v>0.0</v>
      </c>
      <c r="X4124" s="235" t="s">
        <v>628</v>
      </c>
      <c r="Z4124" s="245"/>
      <c r="AA4124" s="245"/>
      <c r="AB4124" s="245"/>
      <c r="AC4124" s="235" t="s">
        <v>687</v>
      </c>
      <c r="AD4124" s="235" t="s">
        <v>666</v>
      </c>
      <c r="AE4124" s="238">
        <v>600040.0</v>
      </c>
      <c r="AF4124" s="235" t="s">
        <v>631</v>
      </c>
      <c r="AG4124" s="245"/>
      <c r="AH4124" s="245"/>
      <c r="AI4124" s="245"/>
      <c r="AJ4124" s="245"/>
      <c r="AK4124" s="245"/>
      <c r="AL4124" s="245"/>
      <c r="AM4124" s="245"/>
      <c r="AN4124" s="245"/>
      <c r="AO4124" s="238">
        <v>0.0</v>
      </c>
      <c r="AP4124" s="238">
        <v>0.0</v>
      </c>
      <c r="AQ4124" s="235" t="s">
        <v>632</v>
      </c>
      <c r="AR4124" s="243">
        <v>1.68E11</v>
      </c>
      <c r="AS4124" s="235" t="s">
        <v>30263</v>
      </c>
      <c r="AT4124" s="235" t="s">
        <v>156</v>
      </c>
      <c r="AU4124" s="235" t="s">
        <v>634</v>
      </c>
      <c r="AV4124" s="246" t="s">
        <v>635</v>
      </c>
      <c r="AW4124" s="227"/>
      <c r="AX4124" s="227"/>
      <c r="AY4124" s="227"/>
      <c r="AZ4124" s="227"/>
      <c r="BA4124" s="227"/>
      <c r="BB4124" s="227"/>
      <c r="BC4124" s="227"/>
      <c r="BD4124" s="227"/>
      <c r="BE4124" s="227"/>
      <c r="BF4124" s="227"/>
    </row>
    <row r="4125">
      <c r="A4125" s="235" t="s">
        <v>30761</v>
      </c>
      <c r="C4125" s="235" t="s">
        <v>30762</v>
      </c>
      <c r="D4125" s="235" t="s">
        <v>30763</v>
      </c>
      <c r="E4125" s="243">
        <v>6.51E13</v>
      </c>
      <c r="F4125" s="245"/>
      <c r="G4125" s="235" t="s">
        <v>30764</v>
      </c>
      <c r="H4125" s="235" t="s">
        <v>30765</v>
      </c>
      <c r="I4125" s="235" t="s">
        <v>30766</v>
      </c>
      <c r="J4125" s="235" t="s">
        <v>30767</v>
      </c>
      <c r="K4125" s="235" t="s">
        <v>30768</v>
      </c>
      <c r="N4125" s="235" t="s">
        <v>127</v>
      </c>
      <c r="O4125" s="235" t="s">
        <v>794</v>
      </c>
      <c r="P4125" s="238">
        <v>1.0</v>
      </c>
      <c r="Q4125" s="235" t="s">
        <v>627</v>
      </c>
      <c r="R4125" s="238">
        <v>236.19</v>
      </c>
      <c r="S4125" s="238">
        <v>11.81</v>
      </c>
      <c r="T4125" s="238">
        <v>0.0</v>
      </c>
      <c r="U4125" s="238">
        <v>0.0</v>
      </c>
      <c r="V4125" s="238">
        <v>0.0</v>
      </c>
      <c r="W4125" s="238">
        <v>0.0</v>
      </c>
      <c r="X4125" s="235" t="s">
        <v>628</v>
      </c>
      <c r="Z4125" s="245"/>
      <c r="AA4125" s="245"/>
      <c r="AB4125" s="245"/>
      <c r="AC4125" s="235" t="s">
        <v>30769</v>
      </c>
      <c r="AD4125" s="235" t="s">
        <v>630</v>
      </c>
      <c r="AE4125" s="238">
        <v>201001.0</v>
      </c>
      <c r="AF4125" s="235" t="s">
        <v>631</v>
      </c>
      <c r="AG4125" s="245"/>
      <c r="AH4125" s="245"/>
      <c r="AI4125" s="245"/>
      <c r="AJ4125" s="245"/>
      <c r="AK4125" s="245"/>
      <c r="AL4125" s="245"/>
      <c r="AM4125" s="245"/>
      <c r="AN4125" s="245"/>
      <c r="AO4125" s="238">
        <v>0.0</v>
      </c>
      <c r="AP4125" s="238">
        <v>0.0</v>
      </c>
      <c r="AQ4125" s="235" t="s">
        <v>632</v>
      </c>
      <c r="AR4125" s="243">
        <v>1.68E11</v>
      </c>
      <c r="AS4125" s="235" t="s">
        <v>30263</v>
      </c>
      <c r="AT4125" s="235" t="s">
        <v>13</v>
      </c>
      <c r="AU4125" s="235" t="s">
        <v>634</v>
      </c>
      <c r="AV4125" s="246" t="s">
        <v>635</v>
      </c>
      <c r="AW4125" s="227"/>
      <c r="AX4125" s="227"/>
      <c r="AY4125" s="227"/>
      <c r="AZ4125" s="227"/>
      <c r="BA4125" s="227"/>
      <c r="BB4125" s="227"/>
      <c r="BC4125" s="227"/>
      <c r="BD4125" s="227"/>
      <c r="BE4125" s="227"/>
      <c r="BF4125" s="227"/>
    </row>
    <row r="4126">
      <c r="A4126" s="235" t="s">
        <v>30770</v>
      </c>
      <c r="C4126" s="235" t="s">
        <v>30771</v>
      </c>
      <c r="D4126" s="235" t="s">
        <v>30772</v>
      </c>
      <c r="E4126" s="243">
        <v>6.51E13</v>
      </c>
      <c r="F4126" s="245"/>
      <c r="G4126" s="235" t="s">
        <v>30773</v>
      </c>
      <c r="H4126" s="235" t="s">
        <v>30774</v>
      </c>
      <c r="I4126" s="235" t="s">
        <v>30775</v>
      </c>
      <c r="J4126" s="235" t="s">
        <v>30776</v>
      </c>
      <c r="K4126" s="235" t="s">
        <v>30777</v>
      </c>
      <c r="N4126" s="235" t="s">
        <v>127</v>
      </c>
      <c r="O4126" s="235" t="s">
        <v>794</v>
      </c>
      <c r="P4126" s="238">
        <v>1.0</v>
      </c>
      <c r="Q4126" s="235" t="s">
        <v>627</v>
      </c>
      <c r="R4126" s="238">
        <v>236.2</v>
      </c>
      <c r="S4126" s="238">
        <v>11.8</v>
      </c>
      <c r="T4126" s="238">
        <v>0.0</v>
      </c>
      <c r="U4126" s="238">
        <v>0.0</v>
      </c>
      <c r="V4126" s="238">
        <v>0.0</v>
      </c>
      <c r="W4126" s="238">
        <v>0.0</v>
      </c>
      <c r="X4126" s="235" t="s">
        <v>628</v>
      </c>
      <c r="Z4126" s="245"/>
      <c r="AA4126" s="245"/>
      <c r="AB4126" s="245"/>
      <c r="AC4126" s="235" t="s">
        <v>1456</v>
      </c>
      <c r="AD4126" s="235" t="s">
        <v>928</v>
      </c>
      <c r="AE4126" s="238">
        <v>122001.0</v>
      </c>
      <c r="AF4126" s="235" t="s">
        <v>631</v>
      </c>
      <c r="AG4126" s="245"/>
      <c r="AH4126" s="245"/>
      <c r="AI4126" s="245"/>
      <c r="AJ4126" s="245"/>
      <c r="AK4126" s="245"/>
      <c r="AL4126" s="245"/>
      <c r="AM4126" s="245"/>
      <c r="AN4126" s="245"/>
      <c r="AO4126" s="238">
        <v>0.0</v>
      </c>
      <c r="AP4126" s="238">
        <v>0.0</v>
      </c>
      <c r="AQ4126" s="235" t="s">
        <v>632</v>
      </c>
      <c r="AR4126" s="243">
        <v>1.68E11</v>
      </c>
      <c r="AS4126" s="235" t="s">
        <v>30263</v>
      </c>
      <c r="AT4126" s="235" t="s">
        <v>13</v>
      </c>
      <c r="AU4126" s="235" t="s">
        <v>634</v>
      </c>
      <c r="AV4126" s="246" t="s">
        <v>635</v>
      </c>
      <c r="AW4126" s="227"/>
      <c r="AX4126" s="227"/>
      <c r="AY4126" s="227"/>
      <c r="AZ4126" s="227"/>
      <c r="BA4126" s="227"/>
      <c r="BB4126" s="227"/>
      <c r="BC4126" s="227"/>
      <c r="BD4126" s="227"/>
      <c r="BE4126" s="227"/>
      <c r="BF4126" s="227"/>
    </row>
    <row r="4127">
      <c r="A4127" s="235" t="s">
        <v>30778</v>
      </c>
      <c r="C4127" s="235" t="s">
        <v>30779</v>
      </c>
      <c r="D4127" s="235" t="s">
        <v>30780</v>
      </c>
      <c r="E4127" s="243">
        <v>6.51E13</v>
      </c>
      <c r="F4127" s="245"/>
      <c r="G4127" s="235" t="s">
        <v>30781</v>
      </c>
      <c r="H4127" s="235" t="s">
        <v>30782</v>
      </c>
      <c r="I4127" s="235" t="s">
        <v>30782</v>
      </c>
      <c r="J4127" s="235" t="s">
        <v>30783</v>
      </c>
      <c r="K4127" s="235" t="s">
        <v>30784</v>
      </c>
      <c r="N4127" s="235" t="s">
        <v>154</v>
      </c>
      <c r="O4127" s="235" t="s">
        <v>766</v>
      </c>
      <c r="P4127" s="238">
        <v>1.0</v>
      </c>
      <c r="Q4127" s="235" t="s">
        <v>627</v>
      </c>
      <c r="R4127" s="238">
        <v>423.8</v>
      </c>
      <c r="S4127" s="238">
        <v>20.56</v>
      </c>
      <c r="T4127" s="238">
        <v>0.0</v>
      </c>
      <c r="U4127" s="238">
        <v>0.0</v>
      </c>
      <c r="V4127" s="238">
        <v>0.0</v>
      </c>
      <c r="W4127" s="238">
        <v>0.0</v>
      </c>
      <c r="X4127" s="235" t="s">
        <v>628</v>
      </c>
      <c r="Z4127" s="245"/>
      <c r="AA4127" s="245"/>
      <c r="AB4127" s="245"/>
      <c r="AC4127" s="235" t="s">
        <v>1887</v>
      </c>
      <c r="AD4127" s="235" t="s">
        <v>679</v>
      </c>
      <c r="AE4127" s="238">
        <v>560111.0</v>
      </c>
      <c r="AF4127" s="235" t="s">
        <v>631</v>
      </c>
      <c r="AG4127" s="245"/>
      <c r="AH4127" s="245"/>
      <c r="AI4127" s="245"/>
      <c r="AJ4127" s="245"/>
      <c r="AK4127" s="245"/>
      <c r="AL4127" s="245"/>
      <c r="AM4127" s="245"/>
      <c r="AN4127" s="245"/>
      <c r="AO4127" s="238">
        <v>-12.71</v>
      </c>
      <c r="AP4127" s="238">
        <v>0.0</v>
      </c>
      <c r="AQ4127" s="235" t="s">
        <v>632</v>
      </c>
      <c r="AR4127" s="243">
        <v>3.71E11</v>
      </c>
      <c r="AS4127" s="235" t="s">
        <v>29883</v>
      </c>
      <c r="AT4127" s="235" t="s">
        <v>11</v>
      </c>
      <c r="AU4127" s="235" t="s">
        <v>634</v>
      </c>
      <c r="AV4127" s="246" t="s">
        <v>635</v>
      </c>
      <c r="AW4127" s="227"/>
      <c r="AX4127" s="227"/>
      <c r="AY4127" s="227"/>
      <c r="AZ4127" s="227"/>
      <c r="BA4127" s="227"/>
      <c r="BB4127" s="227"/>
      <c r="BC4127" s="227"/>
      <c r="BD4127" s="227"/>
      <c r="BE4127" s="227"/>
      <c r="BF4127" s="227"/>
    </row>
    <row r="4128">
      <c r="A4128" s="235" t="s">
        <v>30785</v>
      </c>
      <c r="C4128" s="235" t="s">
        <v>30786</v>
      </c>
      <c r="D4128" s="235" t="s">
        <v>30787</v>
      </c>
      <c r="E4128" s="243">
        <v>6.51E13</v>
      </c>
      <c r="F4128" s="245"/>
      <c r="G4128" s="235" t="s">
        <v>30788</v>
      </c>
      <c r="H4128" s="235" t="s">
        <v>30789</v>
      </c>
      <c r="I4128" s="235" t="s">
        <v>30789</v>
      </c>
      <c r="J4128" s="235" t="s">
        <v>30790</v>
      </c>
      <c r="K4128" s="235" t="s">
        <v>30791</v>
      </c>
      <c r="N4128" s="235" t="s">
        <v>42</v>
      </c>
      <c r="O4128" s="235" t="s">
        <v>204</v>
      </c>
      <c r="P4128" s="238">
        <v>1.0</v>
      </c>
      <c r="Q4128" s="235" t="s">
        <v>627</v>
      </c>
      <c r="R4128" s="238">
        <v>236.2</v>
      </c>
      <c r="S4128" s="238">
        <v>11.45</v>
      </c>
      <c r="T4128" s="238">
        <v>0.0</v>
      </c>
      <c r="U4128" s="238">
        <v>0.0</v>
      </c>
      <c r="V4128" s="238">
        <v>0.0</v>
      </c>
      <c r="W4128" s="238">
        <v>0.0</v>
      </c>
      <c r="X4128" s="235" t="s">
        <v>628</v>
      </c>
      <c r="Z4128" s="245"/>
      <c r="AA4128" s="245"/>
      <c r="AB4128" s="245"/>
      <c r="AC4128" s="235" t="s">
        <v>25136</v>
      </c>
      <c r="AD4128" s="235" t="s">
        <v>928</v>
      </c>
      <c r="AE4128" s="238">
        <v>122051.0</v>
      </c>
      <c r="AF4128" s="235" t="s">
        <v>631</v>
      </c>
      <c r="AG4128" s="245"/>
      <c r="AH4128" s="245"/>
      <c r="AI4128" s="245"/>
      <c r="AJ4128" s="245"/>
      <c r="AK4128" s="245"/>
      <c r="AL4128" s="245"/>
      <c r="AM4128" s="245"/>
      <c r="AN4128" s="245"/>
      <c r="AO4128" s="238">
        <v>-7.09</v>
      </c>
      <c r="AP4128" s="238">
        <v>0.0</v>
      </c>
      <c r="AQ4128" s="235" t="s">
        <v>632</v>
      </c>
      <c r="AR4128" s="243">
        <v>1.68E11</v>
      </c>
      <c r="AS4128" s="235" t="s">
        <v>30263</v>
      </c>
      <c r="AT4128" s="235" t="s">
        <v>14</v>
      </c>
      <c r="AU4128" s="235" t="s">
        <v>634</v>
      </c>
      <c r="AV4128" s="246" t="s">
        <v>635</v>
      </c>
      <c r="AW4128" s="227"/>
      <c r="AX4128" s="227"/>
      <c r="AY4128" s="227"/>
      <c r="AZ4128" s="227"/>
      <c r="BA4128" s="227"/>
      <c r="BB4128" s="227"/>
      <c r="BC4128" s="227"/>
      <c r="BD4128" s="227"/>
      <c r="BE4128" s="227"/>
      <c r="BF4128" s="227"/>
    </row>
    <row r="4129">
      <c r="A4129" s="235" t="s">
        <v>30792</v>
      </c>
      <c r="C4129" s="235" t="s">
        <v>30793</v>
      </c>
      <c r="D4129" s="235" t="s">
        <v>30794</v>
      </c>
      <c r="E4129" s="243">
        <v>6.51E13</v>
      </c>
      <c r="F4129" s="245"/>
      <c r="G4129" s="235" t="s">
        <v>30795</v>
      </c>
      <c r="H4129" s="235" t="s">
        <v>30796</v>
      </c>
      <c r="I4129" s="235" t="s">
        <v>30796</v>
      </c>
      <c r="J4129" s="235" t="s">
        <v>30797</v>
      </c>
      <c r="K4129" s="235" t="s">
        <v>30798</v>
      </c>
      <c r="N4129" s="235" t="s">
        <v>92</v>
      </c>
      <c r="O4129" s="235" t="s">
        <v>248</v>
      </c>
      <c r="P4129" s="238">
        <v>1.0</v>
      </c>
      <c r="Q4129" s="235" t="s">
        <v>627</v>
      </c>
      <c r="R4129" s="238">
        <v>233.33</v>
      </c>
      <c r="S4129" s="238">
        <v>11.67</v>
      </c>
      <c r="T4129" s="238">
        <v>0.0</v>
      </c>
      <c r="U4129" s="238">
        <v>0.0</v>
      </c>
      <c r="V4129" s="238">
        <v>0.0</v>
      </c>
      <c r="W4129" s="238">
        <v>0.0</v>
      </c>
      <c r="X4129" s="235" t="s">
        <v>628</v>
      </c>
      <c r="Z4129" s="245"/>
      <c r="AA4129" s="245"/>
      <c r="AB4129" s="245"/>
      <c r="AC4129" s="235" t="s">
        <v>697</v>
      </c>
      <c r="AD4129" s="235" t="s">
        <v>698</v>
      </c>
      <c r="AE4129" s="238">
        <v>500075.0</v>
      </c>
      <c r="AF4129" s="235" t="s">
        <v>631</v>
      </c>
      <c r="AG4129" s="245"/>
      <c r="AH4129" s="245"/>
      <c r="AI4129" s="245"/>
      <c r="AJ4129" s="245"/>
      <c r="AK4129" s="245"/>
      <c r="AL4129" s="245"/>
      <c r="AM4129" s="245"/>
      <c r="AN4129" s="245"/>
      <c r="AO4129" s="238">
        <v>0.0</v>
      </c>
      <c r="AP4129" s="238">
        <v>0.0</v>
      </c>
      <c r="AQ4129" s="235" t="s">
        <v>632</v>
      </c>
      <c r="AR4129" s="243">
        <v>3.71E11</v>
      </c>
      <c r="AS4129" s="235" t="s">
        <v>28482</v>
      </c>
      <c r="AT4129" s="235" t="s">
        <v>546</v>
      </c>
      <c r="AU4129" s="235" t="s">
        <v>634</v>
      </c>
      <c r="AV4129" s="246" t="s">
        <v>635</v>
      </c>
      <c r="AW4129" s="227"/>
      <c r="AX4129" s="227"/>
      <c r="AY4129" s="227"/>
      <c r="AZ4129" s="227"/>
      <c r="BA4129" s="227"/>
      <c r="BB4129" s="227"/>
      <c r="BC4129" s="227"/>
      <c r="BD4129" s="227"/>
      <c r="BE4129" s="227"/>
      <c r="BF4129" s="227"/>
    </row>
    <row r="4130">
      <c r="A4130" s="235" t="s">
        <v>30799</v>
      </c>
      <c r="C4130" s="235" t="s">
        <v>30800</v>
      </c>
      <c r="D4130" s="235" t="s">
        <v>30801</v>
      </c>
      <c r="E4130" s="243">
        <v>6.51E13</v>
      </c>
      <c r="F4130" s="245"/>
      <c r="G4130" s="235" t="s">
        <v>30802</v>
      </c>
      <c r="H4130" s="235" t="s">
        <v>30803</v>
      </c>
      <c r="I4130" s="235" t="s">
        <v>30803</v>
      </c>
      <c r="J4130" s="235" t="s">
        <v>30804</v>
      </c>
      <c r="K4130" s="235" t="s">
        <v>30805</v>
      </c>
      <c r="N4130" s="235" t="s">
        <v>127</v>
      </c>
      <c r="O4130" s="235" t="s">
        <v>794</v>
      </c>
      <c r="P4130" s="238">
        <v>1.0</v>
      </c>
      <c r="Q4130" s="235" t="s">
        <v>627</v>
      </c>
      <c r="R4130" s="238">
        <v>236.2</v>
      </c>
      <c r="S4130" s="238">
        <v>11.8</v>
      </c>
      <c r="T4130" s="238">
        <v>0.0</v>
      </c>
      <c r="U4130" s="238">
        <v>0.0</v>
      </c>
      <c r="V4130" s="238">
        <v>0.0</v>
      </c>
      <c r="W4130" s="238">
        <v>0.0</v>
      </c>
      <c r="X4130" s="235" t="s">
        <v>628</v>
      </c>
      <c r="Z4130" s="245"/>
      <c r="AA4130" s="245"/>
      <c r="AB4130" s="245"/>
      <c r="AC4130" s="235" t="s">
        <v>687</v>
      </c>
      <c r="AD4130" s="235" t="s">
        <v>666</v>
      </c>
      <c r="AE4130" s="238">
        <v>600100.0</v>
      </c>
      <c r="AF4130" s="235" t="s">
        <v>631</v>
      </c>
      <c r="AG4130" s="245"/>
      <c r="AH4130" s="245"/>
      <c r="AI4130" s="245"/>
      <c r="AJ4130" s="245"/>
      <c r="AK4130" s="245"/>
      <c r="AL4130" s="245"/>
      <c r="AM4130" s="245"/>
      <c r="AN4130" s="245"/>
      <c r="AO4130" s="238">
        <v>0.0</v>
      </c>
      <c r="AP4130" s="238">
        <v>0.0</v>
      </c>
      <c r="AQ4130" s="235" t="s">
        <v>632</v>
      </c>
      <c r="AR4130" s="243">
        <v>3.71E11</v>
      </c>
      <c r="AS4130" s="235" t="s">
        <v>29883</v>
      </c>
      <c r="AT4130" s="235" t="s">
        <v>156</v>
      </c>
      <c r="AU4130" s="235" t="s">
        <v>634</v>
      </c>
      <c r="AV4130" s="246" t="s">
        <v>635</v>
      </c>
      <c r="AW4130" s="227"/>
      <c r="AX4130" s="227"/>
      <c r="AY4130" s="227"/>
      <c r="AZ4130" s="227"/>
      <c r="BA4130" s="227"/>
      <c r="BB4130" s="227"/>
      <c r="BC4130" s="227"/>
      <c r="BD4130" s="227"/>
      <c r="BE4130" s="227"/>
      <c r="BF4130" s="227"/>
    </row>
    <row r="4131">
      <c r="A4131" s="235" t="s">
        <v>30806</v>
      </c>
      <c r="C4131" s="235" t="s">
        <v>30807</v>
      </c>
      <c r="D4131" s="235" t="s">
        <v>30808</v>
      </c>
      <c r="E4131" s="243">
        <v>6.51E13</v>
      </c>
      <c r="F4131" s="245"/>
      <c r="G4131" s="235" t="s">
        <v>30809</v>
      </c>
      <c r="H4131" s="235" t="s">
        <v>30810</v>
      </c>
      <c r="I4131" s="235" t="s">
        <v>30810</v>
      </c>
      <c r="J4131" s="235" t="s">
        <v>30811</v>
      </c>
      <c r="K4131" s="235" t="s">
        <v>30812</v>
      </c>
      <c r="N4131" s="235" t="s">
        <v>120</v>
      </c>
      <c r="O4131" s="235" t="s">
        <v>324</v>
      </c>
      <c r="P4131" s="238">
        <v>1.0</v>
      </c>
      <c r="Q4131" s="235" t="s">
        <v>627</v>
      </c>
      <c r="R4131" s="238">
        <v>233.33</v>
      </c>
      <c r="S4131" s="238">
        <v>11.67</v>
      </c>
      <c r="T4131" s="238">
        <v>0.0</v>
      </c>
      <c r="U4131" s="238">
        <v>0.0</v>
      </c>
      <c r="V4131" s="238">
        <v>0.0</v>
      </c>
      <c r="W4131" s="238">
        <v>0.0</v>
      </c>
      <c r="X4131" s="235" t="s">
        <v>628</v>
      </c>
      <c r="Z4131" s="245"/>
      <c r="AA4131" s="245"/>
      <c r="AB4131" s="245"/>
      <c r="AC4131" s="235" t="s">
        <v>795</v>
      </c>
      <c r="AD4131" s="235" t="s">
        <v>796</v>
      </c>
      <c r="AE4131" s="238">
        <v>110024.0</v>
      </c>
      <c r="AF4131" s="235" t="s">
        <v>631</v>
      </c>
      <c r="AG4131" s="245"/>
      <c r="AH4131" s="245"/>
      <c r="AI4131" s="245"/>
      <c r="AJ4131" s="245"/>
      <c r="AK4131" s="245"/>
      <c r="AL4131" s="245"/>
      <c r="AM4131" s="245"/>
      <c r="AN4131" s="245"/>
      <c r="AO4131" s="238">
        <v>0.0</v>
      </c>
      <c r="AP4131" s="238">
        <v>0.0</v>
      </c>
      <c r="AQ4131" s="235" t="s">
        <v>632</v>
      </c>
      <c r="AR4131" s="243">
        <v>1.68E11</v>
      </c>
      <c r="AS4131" s="235" t="s">
        <v>30263</v>
      </c>
      <c r="AT4131" s="235" t="s">
        <v>14</v>
      </c>
      <c r="AU4131" s="235" t="s">
        <v>634</v>
      </c>
      <c r="AV4131" s="246" t="s">
        <v>635</v>
      </c>
      <c r="AW4131" s="227"/>
      <c r="AX4131" s="227"/>
      <c r="AY4131" s="227"/>
      <c r="AZ4131" s="227"/>
      <c r="BA4131" s="227"/>
      <c r="BB4131" s="227"/>
      <c r="BC4131" s="227"/>
      <c r="BD4131" s="227"/>
      <c r="BE4131" s="227"/>
      <c r="BF4131" s="227"/>
    </row>
    <row r="4132">
      <c r="A4132" s="235" t="s">
        <v>30813</v>
      </c>
      <c r="C4132" s="235" t="s">
        <v>30814</v>
      </c>
      <c r="D4132" s="235" t="s">
        <v>30815</v>
      </c>
      <c r="E4132" s="243">
        <v>6.51E13</v>
      </c>
      <c r="F4132" s="245"/>
      <c r="G4132" s="235" t="s">
        <v>30816</v>
      </c>
      <c r="H4132" s="235" t="s">
        <v>30817</v>
      </c>
      <c r="I4132" s="235" t="s">
        <v>30817</v>
      </c>
      <c r="J4132" s="235" t="s">
        <v>30818</v>
      </c>
      <c r="K4132" s="235" t="s">
        <v>30819</v>
      </c>
      <c r="N4132" s="235" t="s">
        <v>127</v>
      </c>
      <c r="O4132" s="235" t="s">
        <v>794</v>
      </c>
      <c r="P4132" s="238">
        <v>1.0</v>
      </c>
      <c r="Q4132" s="235" t="s">
        <v>627</v>
      </c>
      <c r="R4132" s="238">
        <v>236.19</v>
      </c>
      <c r="S4132" s="238">
        <v>11.81</v>
      </c>
      <c r="T4132" s="238">
        <v>0.0</v>
      </c>
      <c r="U4132" s="238">
        <v>0.0</v>
      </c>
      <c r="V4132" s="238">
        <v>0.0</v>
      </c>
      <c r="W4132" s="238">
        <v>0.0</v>
      </c>
      <c r="X4132" s="235" t="s">
        <v>628</v>
      </c>
      <c r="Z4132" s="245"/>
      <c r="AA4132" s="245"/>
      <c r="AB4132" s="245"/>
      <c r="AC4132" s="235" t="s">
        <v>7611</v>
      </c>
      <c r="AD4132" s="235" t="s">
        <v>630</v>
      </c>
      <c r="AE4132" s="238">
        <v>250001.0</v>
      </c>
      <c r="AF4132" s="235" t="s">
        <v>631</v>
      </c>
      <c r="AG4132" s="245"/>
      <c r="AH4132" s="245"/>
      <c r="AI4132" s="245"/>
      <c r="AJ4132" s="245"/>
      <c r="AK4132" s="245"/>
      <c r="AL4132" s="245"/>
      <c r="AM4132" s="245"/>
      <c r="AN4132" s="245"/>
      <c r="AO4132" s="238">
        <v>0.0</v>
      </c>
      <c r="AP4132" s="238">
        <v>0.0</v>
      </c>
      <c r="AQ4132" s="235" t="s">
        <v>632</v>
      </c>
      <c r="AR4132" s="243">
        <v>3.71E11</v>
      </c>
      <c r="AS4132" s="235" t="s">
        <v>29883</v>
      </c>
      <c r="AT4132" s="235" t="s">
        <v>14</v>
      </c>
      <c r="AU4132" s="235" t="s">
        <v>634</v>
      </c>
      <c r="AV4132" s="246" t="s">
        <v>635</v>
      </c>
      <c r="AW4132" s="227"/>
      <c r="AX4132" s="227"/>
      <c r="AY4132" s="227"/>
      <c r="AZ4132" s="227"/>
      <c r="BA4132" s="227"/>
      <c r="BB4132" s="227"/>
      <c r="BC4132" s="227"/>
      <c r="BD4132" s="227"/>
      <c r="BE4132" s="227"/>
      <c r="BF4132" s="227"/>
    </row>
    <row r="4133">
      <c r="A4133" s="235" t="s">
        <v>30820</v>
      </c>
      <c r="C4133" s="235" t="s">
        <v>30821</v>
      </c>
      <c r="D4133" s="235" t="s">
        <v>30822</v>
      </c>
      <c r="E4133" s="243">
        <v>6.51E13</v>
      </c>
      <c r="F4133" s="245"/>
      <c r="G4133" s="235" t="s">
        <v>30823</v>
      </c>
      <c r="H4133" s="235" t="s">
        <v>30824</v>
      </c>
      <c r="I4133" s="235" t="s">
        <v>30824</v>
      </c>
      <c r="J4133" s="235" t="s">
        <v>30825</v>
      </c>
      <c r="K4133" s="235" t="s">
        <v>30826</v>
      </c>
      <c r="N4133" s="235" t="s">
        <v>962</v>
      </c>
      <c r="O4133" s="235" t="s">
        <v>963</v>
      </c>
      <c r="P4133" s="238">
        <v>1.0</v>
      </c>
      <c r="Q4133" s="235" t="s">
        <v>627</v>
      </c>
      <c r="R4133" s="238">
        <v>237.14</v>
      </c>
      <c r="S4133" s="238">
        <v>11.86</v>
      </c>
      <c r="T4133" s="238">
        <v>0.0</v>
      </c>
      <c r="U4133" s="238">
        <v>0.0</v>
      </c>
      <c r="V4133" s="238">
        <v>0.0</v>
      </c>
      <c r="W4133" s="238">
        <v>0.0</v>
      </c>
      <c r="X4133" s="235" t="s">
        <v>628</v>
      </c>
      <c r="Z4133" s="245"/>
      <c r="AA4133" s="245"/>
      <c r="AB4133" s="245"/>
      <c r="AC4133" s="235" t="s">
        <v>697</v>
      </c>
      <c r="AD4133" s="235" t="s">
        <v>698</v>
      </c>
      <c r="AE4133" s="238">
        <v>500019.0</v>
      </c>
      <c r="AF4133" s="235" t="s">
        <v>631</v>
      </c>
      <c r="AG4133" s="245"/>
      <c r="AH4133" s="245"/>
      <c r="AI4133" s="245"/>
      <c r="AJ4133" s="245"/>
      <c r="AK4133" s="245"/>
      <c r="AL4133" s="245"/>
      <c r="AM4133" s="245"/>
      <c r="AN4133" s="245"/>
      <c r="AO4133" s="238">
        <v>0.0</v>
      </c>
      <c r="AP4133" s="238">
        <v>0.0</v>
      </c>
      <c r="AQ4133" s="235" t="s">
        <v>632</v>
      </c>
      <c r="AR4133" s="243">
        <v>3.71E11</v>
      </c>
      <c r="AS4133" s="235" t="s">
        <v>28482</v>
      </c>
      <c r="AT4133" s="235" t="s">
        <v>546</v>
      </c>
      <c r="AU4133" s="235" t="s">
        <v>634</v>
      </c>
      <c r="AV4133" s="246" t="s">
        <v>635</v>
      </c>
      <c r="AW4133" s="227"/>
      <c r="AX4133" s="227"/>
      <c r="AY4133" s="227"/>
      <c r="AZ4133" s="227"/>
      <c r="BA4133" s="227"/>
      <c r="BB4133" s="227"/>
      <c r="BC4133" s="227"/>
      <c r="BD4133" s="227"/>
      <c r="BE4133" s="227"/>
      <c r="BF4133" s="227"/>
    </row>
    <row r="4134">
      <c r="A4134" s="235" t="s">
        <v>30827</v>
      </c>
      <c r="C4134" s="235" t="s">
        <v>30828</v>
      </c>
      <c r="D4134" s="235" t="s">
        <v>30829</v>
      </c>
      <c r="E4134" s="243">
        <v>6.51E13</v>
      </c>
      <c r="F4134" s="245"/>
      <c r="G4134" s="235" t="s">
        <v>30830</v>
      </c>
      <c r="H4134" s="235" t="s">
        <v>30831</v>
      </c>
      <c r="I4134" s="235" t="s">
        <v>30831</v>
      </c>
      <c r="J4134" s="235" t="s">
        <v>30832</v>
      </c>
      <c r="K4134" s="235" t="s">
        <v>30833</v>
      </c>
      <c r="N4134" s="235" t="s">
        <v>154</v>
      </c>
      <c r="O4134" s="235" t="s">
        <v>766</v>
      </c>
      <c r="P4134" s="238">
        <v>1.0</v>
      </c>
      <c r="Q4134" s="235" t="s">
        <v>627</v>
      </c>
      <c r="R4134" s="238">
        <v>423.8</v>
      </c>
      <c r="S4134" s="238">
        <v>20.56</v>
      </c>
      <c r="T4134" s="238">
        <v>0.0</v>
      </c>
      <c r="U4134" s="238">
        <v>0.0</v>
      </c>
      <c r="V4134" s="238">
        <v>0.0</v>
      </c>
      <c r="W4134" s="238">
        <v>0.0</v>
      </c>
      <c r="X4134" s="235" t="s">
        <v>628</v>
      </c>
      <c r="Z4134" s="245"/>
      <c r="AA4134" s="245"/>
      <c r="AB4134" s="245"/>
      <c r="AC4134" s="235" t="s">
        <v>844</v>
      </c>
      <c r="AD4134" s="235" t="s">
        <v>845</v>
      </c>
      <c r="AE4134" s="238">
        <v>411002.0</v>
      </c>
      <c r="AF4134" s="235" t="s">
        <v>631</v>
      </c>
      <c r="AG4134" s="245"/>
      <c r="AH4134" s="245"/>
      <c r="AI4134" s="245"/>
      <c r="AJ4134" s="245"/>
      <c r="AK4134" s="245"/>
      <c r="AL4134" s="245"/>
      <c r="AM4134" s="245"/>
      <c r="AN4134" s="245"/>
      <c r="AO4134" s="238">
        <v>-12.71</v>
      </c>
      <c r="AP4134" s="238">
        <v>0.0</v>
      </c>
      <c r="AQ4134" s="235" t="s">
        <v>632</v>
      </c>
      <c r="AR4134" s="243">
        <v>3.71E11</v>
      </c>
      <c r="AS4134" s="235" t="s">
        <v>29883</v>
      </c>
      <c r="AT4134" s="235" t="s">
        <v>546</v>
      </c>
      <c r="AU4134" s="235" t="s">
        <v>634</v>
      </c>
      <c r="AV4134" s="246" t="s">
        <v>635</v>
      </c>
      <c r="AW4134" s="227"/>
      <c r="AX4134" s="227"/>
      <c r="AY4134" s="227"/>
      <c r="AZ4134" s="227"/>
      <c r="BA4134" s="227"/>
      <c r="BB4134" s="227"/>
      <c r="BC4134" s="227"/>
      <c r="BD4134" s="227"/>
      <c r="BE4134" s="227"/>
      <c r="BF4134" s="227"/>
    </row>
    <row r="4135">
      <c r="A4135" s="235" t="s">
        <v>30834</v>
      </c>
      <c r="C4135" s="235" t="s">
        <v>30835</v>
      </c>
      <c r="D4135" s="235" t="s">
        <v>30836</v>
      </c>
      <c r="E4135" s="243">
        <v>6.51E13</v>
      </c>
      <c r="F4135" s="245"/>
      <c r="G4135" s="235" t="s">
        <v>30837</v>
      </c>
      <c r="H4135" s="235" t="s">
        <v>30838</v>
      </c>
      <c r="I4135" s="235" t="s">
        <v>30838</v>
      </c>
      <c r="J4135" s="235" t="s">
        <v>30839</v>
      </c>
      <c r="K4135" s="235" t="s">
        <v>30840</v>
      </c>
      <c r="N4135" s="235" t="s">
        <v>143</v>
      </c>
      <c r="O4135" s="235" t="s">
        <v>220</v>
      </c>
      <c r="P4135" s="238">
        <v>1.0</v>
      </c>
      <c r="Q4135" s="235" t="s">
        <v>627</v>
      </c>
      <c r="R4135" s="238">
        <v>233.34</v>
      </c>
      <c r="S4135" s="238">
        <v>11.66</v>
      </c>
      <c r="T4135" s="238">
        <v>0.0</v>
      </c>
      <c r="U4135" s="238">
        <v>0.0</v>
      </c>
      <c r="V4135" s="238">
        <v>0.0</v>
      </c>
      <c r="W4135" s="238">
        <v>0.0</v>
      </c>
      <c r="X4135" s="235" t="s">
        <v>628</v>
      </c>
      <c r="Z4135" s="245"/>
      <c r="AA4135" s="245"/>
      <c r="AB4135" s="245"/>
      <c r="AC4135" s="235" t="s">
        <v>1792</v>
      </c>
      <c r="AD4135" s="235" t="s">
        <v>1077</v>
      </c>
      <c r="AE4135" s="238">
        <v>390007.0</v>
      </c>
      <c r="AF4135" s="235" t="s">
        <v>631</v>
      </c>
      <c r="AG4135" s="245"/>
      <c r="AH4135" s="245"/>
      <c r="AI4135" s="245"/>
      <c r="AJ4135" s="245"/>
      <c r="AK4135" s="245"/>
      <c r="AL4135" s="245"/>
      <c r="AM4135" s="245"/>
      <c r="AN4135" s="245"/>
      <c r="AO4135" s="238">
        <v>0.0</v>
      </c>
      <c r="AP4135" s="238">
        <v>0.0</v>
      </c>
      <c r="AQ4135" s="235" t="s">
        <v>632</v>
      </c>
      <c r="AR4135" s="243">
        <v>3.71E11</v>
      </c>
      <c r="AS4135" s="235" t="s">
        <v>28482</v>
      </c>
      <c r="AT4135" s="235" t="s">
        <v>5</v>
      </c>
      <c r="AU4135" s="235" t="s">
        <v>634</v>
      </c>
      <c r="AV4135" s="246" t="s">
        <v>635</v>
      </c>
      <c r="AW4135" s="227"/>
      <c r="AX4135" s="227"/>
      <c r="AY4135" s="227"/>
      <c r="AZ4135" s="227"/>
      <c r="BA4135" s="227"/>
      <c r="BB4135" s="227"/>
      <c r="BC4135" s="227"/>
      <c r="BD4135" s="227"/>
      <c r="BE4135" s="227"/>
      <c r="BF4135" s="227"/>
    </row>
    <row r="4136">
      <c r="A4136" s="235" t="s">
        <v>30841</v>
      </c>
      <c r="C4136" s="235" t="s">
        <v>30842</v>
      </c>
      <c r="D4136" s="235" t="s">
        <v>30843</v>
      </c>
      <c r="E4136" s="243">
        <v>6.51E13</v>
      </c>
      <c r="F4136" s="245"/>
      <c r="G4136" s="235" t="s">
        <v>30844</v>
      </c>
      <c r="H4136" s="235" t="s">
        <v>30845</v>
      </c>
      <c r="I4136" s="235" t="s">
        <v>30846</v>
      </c>
      <c r="J4136" s="235" t="s">
        <v>30847</v>
      </c>
      <c r="K4136" s="235" t="s">
        <v>30848</v>
      </c>
      <c r="N4136" s="235" t="s">
        <v>42</v>
      </c>
      <c r="O4136" s="235" t="s">
        <v>204</v>
      </c>
      <c r="P4136" s="238">
        <v>1.0</v>
      </c>
      <c r="Q4136" s="235" t="s">
        <v>627</v>
      </c>
      <c r="R4136" s="238">
        <v>236.2</v>
      </c>
      <c r="S4136" s="238">
        <v>11.8</v>
      </c>
      <c r="T4136" s="238">
        <v>0.0</v>
      </c>
      <c r="U4136" s="238">
        <v>0.0</v>
      </c>
      <c r="V4136" s="238">
        <v>0.0</v>
      </c>
      <c r="W4136" s="238">
        <v>0.0</v>
      </c>
      <c r="X4136" s="235" t="s">
        <v>628</v>
      </c>
      <c r="Z4136" s="245"/>
      <c r="AA4136" s="245"/>
      <c r="AB4136" s="245"/>
      <c r="AC4136" s="235" t="s">
        <v>21978</v>
      </c>
      <c r="AD4136" s="235" t="s">
        <v>666</v>
      </c>
      <c r="AE4136" s="238">
        <v>606601.0</v>
      </c>
      <c r="AF4136" s="235" t="s">
        <v>631</v>
      </c>
      <c r="AG4136" s="245"/>
      <c r="AH4136" s="245"/>
      <c r="AI4136" s="245"/>
      <c r="AJ4136" s="245"/>
      <c r="AK4136" s="245"/>
      <c r="AL4136" s="245"/>
      <c r="AM4136" s="245"/>
      <c r="AN4136" s="245"/>
      <c r="AO4136" s="238">
        <v>0.0</v>
      </c>
      <c r="AP4136" s="238">
        <v>0.0</v>
      </c>
      <c r="AQ4136" s="235" t="s">
        <v>632</v>
      </c>
      <c r="AR4136" s="243">
        <v>1.68E11</v>
      </c>
      <c r="AS4136" s="235" t="s">
        <v>29883</v>
      </c>
      <c r="AT4136" s="235" t="s">
        <v>156</v>
      </c>
      <c r="AU4136" s="235" t="s">
        <v>634</v>
      </c>
      <c r="AV4136" s="246" t="s">
        <v>635</v>
      </c>
      <c r="AW4136" s="227"/>
      <c r="AX4136" s="227"/>
      <c r="AY4136" s="227"/>
      <c r="AZ4136" s="227"/>
      <c r="BA4136" s="227"/>
      <c r="BB4136" s="227"/>
      <c r="BC4136" s="227"/>
      <c r="BD4136" s="227"/>
      <c r="BE4136" s="227"/>
      <c r="BF4136" s="227"/>
    </row>
    <row r="4137">
      <c r="A4137" s="235" t="s">
        <v>30849</v>
      </c>
      <c r="C4137" s="235" t="s">
        <v>30850</v>
      </c>
      <c r="D4137" s="235" t="s">
        <v>30851</v>
      </c>
      <c r="E4137" s="243">
        <v>6.49E13</v>
      </c>
      <c r="F4137" s="245"/>
      <c r="G4137" s="235" t="s">
        <v>30852</v>
      </c>
      <c r="H4137" s="235" t="s">
        <v>30853</v>
      </c>
      <c r="I4137" s="235" t="s">
        <v>30853</v>
      </c>
      <c r="J4137" s="235" t="s">
        <v>30854</v>
      </c>
      <c r="K4137" s="235" t="s">
        <v>30855</v>
      </c>
      <c r="N4137" s="235" t="s">
        <v>541</v>
      </c>
      <c r="O4137" s="235" t="s">
        <v>30856</v>
      </c>
      <c r="P4137" s="238">
        <v>1.0</v>
      </c>
      <c r="Q4137" s="235" t="s">
        <v>627</v>
      </c>
      <c r="R4137" s="238">
        <v>659.32</v>
      </c>
      <c r="S4137" s="238">
        <v>116.31</v>
      </c>
      <c r="T4137" s="238">
        <v>0.0</v>
      </c>
      <c r="U4137" s="238">
        <v>0.0</v>
      </c>
      <c r="V4137" s="238">
        <v>0.0</v>
      </c>
      <c r="W4137" s="238">
        <v>0.0</v>
      </c>
      <c r="X4137" s="235" t="s">
        <v>628</v>
      </c>
      <c r="Z4137" s="245"/>
      <c r="AA4137" s="245"/>
      <c r="AB4137" s="245"/>
      <c r="AC4137" s="235" t="s">
        <v>1058</v>
      </c>
      <c r="AD4137" s="235" t="s">
        <v>845</v>
      </c>
      <c r="AE4137" s="238">
        <v>400074.0</v>
      </c>
      <c r="AF4137" s="235" t="s">
        <v>631</v>
      </c>
      <c r="AG4137" s="245"/>
      <c r="AH4137" s="245"/>
      <c r="AI4137" s="245"/>
      <c r="AJ4137" s="245"/>
      <c r="AK4137" s="245"/>
      <c r="AL4137" s="245"/>
      <c r="AM4137" s="245"/>
      <c r="AN4137" s="245"/>
      <c r="AO4137" s="238">
        <v>-13.19</v>
      </c>
      <c r="AP4137" s="238">
        <v>0.0</v>
      </c>
      <c r="AQ4137" s="235" t="s">
        <v>632</v>
      </c>
      <c r="AR4137" s="243">
        <v>3.71E11</v>
      </c>
      <c r="AS4137" s="235" t="s">
        <v>29883</v>
      </c>
      <c r="AT4137" s="235" t="s">
        <v>16</v>
      </c>
      <c r="AU4137" s="235" t="s">
        <v>634</v>
      </c>
      <c r="AV4137" s="246" t="s">
        <v>635</v>
      </c>
      <c r="AW4137" s="227"/>
      <c r="AX4137" s="227"/>
      <c r="AY4137" s="227"/>
      <c r="AZ4137" s="227"/>
      <c r="BA4137" s="227"/>
      <c r="BB4137" s="227"/>
      <c r="BC4137" s="227"/>
      <c r="BD4137" s="227"/>
      <c r="BE4137" s="227"/>
      <c r="BF4137" s="227"/>
    </row>
    <row r="4138">
      <c r="A4138" s="235" t="s">
        <v>30857</v>
      </c>
      <c r="C4138" s="235" t="s">
        <v>30858</v>
      </c>
      <c r="D4138" s="235" t="s">
        <v>30859</v>
      </c>
      <c r="E4138" s="243">
        <v>6.51E13</v>
      </c>
      <c r="F4138" s="245"/>
      <c r="G4138" s="235" t="s">
        <v>30860</v>
      </c>
      <c r="H4138" s="235" t="s">
        <v>30861</v>
      </c>
      <c r="I4138" s="235" t="s">
        <v>30861</v>
      </c>
      <c r="J4138" s="235" t="s">
        <v>30862</v>
      </c>
      <c r="K4138" s="235" t="s">
        <v>30863</v>
      </c>
      <c r="N4138" s="235" t="s">
        <v>41</v>
      </c>
      <c r="O4138" s="235" t="s">
        <v>291</v>
      </c>
      <c r="P4138" s="238">
        <v>1.0</v>
      </c>
      <c r="Q4138" s="235" t="s">
        <v>627</v>
      </c>
      <c r="R4138" s="238">
        <v>233.33</v>
      </c>
      <c r="S4138" s="238">
        <v>11.32</v>
      </c>
      <c r="T4138" s="238">
        <v>0.0</v>
      </c>
      <c r="U4138" s="238">
        <v>0.0</v>
      </c>
      <c r="V4138" s="238">
        <v>0.0</v>
      </c>
      <c r="W4138" s="238">
        <v>0.0</v>
      </c>
      <c r="X4138" s="235" t="s">
        <v>628</v>
      </c>
      <c r="Z4138" s="245"/>
      <c r="AA4138" s="245"/>
      <c r="AB4138" s="245"/>
      <c r="AC4138" s="235" t="s">
        <v>678</v>
      </c>
      <c r="AD4138" s="235" t="s">
        <v>679</v>
      </c>
      <c r="AE4138" s="238">
        <v>560076.0</v>
      </c>
      <c r="AF4138" s="235" t="s">
        <v>631</v>
      </c>
      <c r="AG4138" s="245"/>
      <c r="AH4138" s="245"/>
      <c r="AI4138" s="245"/>
      <c r="AJ4138" s="245"/>
      <c r="AK4138" s="245"/>
      <c r="AL4138" s="245"/>
      <c r="AM4138" s="245"/>
      <c r="AN4138" s="245"/>
      <c r="AO4138" s="238">
        <v>-7.0</v>
      </c>
      <c r="AP4138" s="238">
        <v>0.0</v>
      </c>
      <c r="AQ4138" s="235" t="s">
        <v>632</v>
      </c>
      <c r="AR4138" s="243">
        <v>2.02E11</v>
      </c>
      <c r="AS4138" s="235" t="s">
        <v>29883</v>
      </c>
      <c r="AT4138" s="235" t="s">
        <v>14</v>
      </c>
      <c r="AU4138" s="235" t="s">
        <v>634</v>
      </c>
      <c r="AV4138" s="246" t="s">
        <v>635</v>
      </c>
      <c r="AW4138" s="227"/>
      <c r="AX4138" s="227"/>
      <c r="AY4138" s="227"/>
      <c r="AZ4138" s="227"/>
      <c r="BA4138" s="227"/>
      <c r="BB4138" s="227"/>
      <c r="BC4138" s="227"/>
      <c r="BD4138" s="227"/>
      <c r="BE4138" s="227"/>
      <c r="BF4138" s="227"/>
    </row>
    <row r="4139">
      <c r="A4139" s="235" t="s">
        <v>30864</v>
      </c>
      <c r="C4139" s="235" t="s">
        <v>30865</v>
      </c>
      <c r="D4139" s="235" t="s">
        <v>30866</v>
      </c>
      <c r="E4139" s="243">
        <v>6.51E13</v>
      </c>
      <c r="F4139" s="245"/>
      <c r="G4139" s="235" t="s">
        <v>30867</v>
      </c>
      <c r="H4139" s="235" t="s">
        <v>30868</v>
      </c>
      <c r="I4139" s="235" t="s">
        <v>30869</v>
      </c>
      <c r="J4139" s="235" t="s">
        <v>30870</v>
      </c>
      <c r="K4139" s="235" t="s">
        <v>30871</v>
      </c>
      <c r="N4139" s="235" t="s">
        <v>143</v>
      </c>
      <c r="O4139" s="235" t="s">
        <v>220</v>
      </c>
      <c r="P4139" s="238">
        <v>1.0</v>
      </c>
      <c r="Q4139" s="235" t="s">
        <v>627</v>
      </c>
      <c r="R4139" s="238">
        <v>270.48</v>
      </c>
      <c r="S4139" s="238">
        <v>13.25</v>
      </c>
      <c r="T4139" s="238">
        <v>38.1</v>
      </c>
      <c r="U4139" s="238">
        <v>1.9</v>
      </c>
      <c r="V4139" s="238">
        <v>0.0</v>
      </c>
      <c r="W4139" s="238">
        <v>0.0</v>
      </c>
      <c r="X4139" s="235" t="s">
        <v>628</v>
      </c>
      <c r="Z4139" s="245"/>
      <c r="AA4139" s="245"/>
      <c r="AB4139" s="245"/>
      <c r="AC4139" s="235" t="s">
        <v>30872</v>
      </c>
      <c r="AD4139" s="235" t="s">
        <v>666</v>
      </c>
      <c r="AE4139" s="238">
        <v>600073.0</v>
      </c>
      <c r="AF4139" s="235" t="s">
        <v>631</v>
      </c>
      <c r="AG4139" s="245"/>
      <c r="AH4139" s="245"/>
      <c r="AI4139" s="245"/>
      <c r="AJ4139" s="245"/>
      <c r="AK4139" s="245"/>
      <c r="AL4139" s="245"/>
      <c r="AM4139" s="245"/>
      <c r="AN4139" s="245"/>
      <c r="AO4139" s="238">
        <v>-5.41</v>
      </c>
      <c r="AP4139" s="238">
        <v>-38.1</v>
      </c>
      <c r="AQ4139" s="235" t="s">
        <v>632</v>
      </c>
      <c r="AR4139" s="243">
        <v>3.71E11</v>
      </c>
      <c r="AS4139" s="235" t="s">
        <v>29883</v>
      </c>
      <c r="AT4139" s="235" t="s">
        <v>156</v>
      </c>
      <c r="AU4139" s="235" t="s">
        <v>634</v>
      </c>
      <c r="AV4139" s="246" t="s">
        <v>635</v>
      </c>
      <c r="AW4139" s="227"/>
      <c r="AX4139" s="227"/>
      <c r="AY4139" s="227"/>
      <c r="AZ4139" s="227"/>
      <c r="BA4139" s="227"/>
      <c r="BB4139" s="227"/>
      <c r="BC4139" s="227"/>
      <c r="BD4139" s="227"/>
      <c r="BE4139" s="227"/>
      <c r="BF4139" s="227"/>
    </row>
    <row r="4140">
      <c r="A4140" s="235" t="s">
        <v>30873</v>
      </c>
      <c r="C4140" s="235" t="s">
        <v>30874</v>
      </c>
      <c r="D4140" s="235" t="s">
        <v>30875</v>
      </c>
      <c r="E4140" s="243">
        <v>6.51E13</v>
      </c>
      <c r="F4140" s="245"/>
      <c r="G4140" s="235" t="s">
        <v>30876</v>
      </c>
      <c r="H4140" s="235" t="s">
        <v>30877</v>
      </c>
      <c r="I4140" s="235" t="s">
        <v>30878</v>
      </c>
      <c r="J4140" s="235" t="s">
        <v>30879</v>
      </c>
      <c r="K4140" s="235" t="s">
        <v>30880</v>
      </c>
      <c r="N4140" s="235" t="s">
        <v>962</v>
      </c>
      <c r="O4140" s="235" t="s">
        <v>963</v>
      </c>
      <c r="P4140" s="238">
        <v>1.0</v>
      </c>
      <c r="Q4140" s="235" t="s">
        <v>627</v>
      </c>
      <c r="R4140" s="238">
        <v>237.14</v>
      </c>
      <c r="S4140" s="238">
        <v>11.5</v>
      </c>
      <c r="T4140" s="238">
        <v>0.0</v>
      </c>
      <c r="U4140" s="238">
        <v>0.0</v>
      </c>
      <c r="V4140" s="238">
        <v>0.0</v>
      </c>
      <c r="W4140" s="238">
        <v>0.0</v>
      </c>
      <c r="X4140" s="235" t="s">
        <v>628</v>
      </c>
      <c r="Z4140" s="245"/>
      <c r="AA4140" s="245"/>
      <c r="AB4140" s="245"/>
      <c r="AC4140" s="235" t="s">
        <v>1514</v>
      </c>
      <c r="AD4140" s="235" t="s">
        <v>1077</v>
      </c>
      <c r="AE4140" s="238">
        <v>380058.0</v>
      </c>
      <c r="AF4140" s="235" t="s">
        <v>631</v>
      </c>
      <c r="AG4140" s="245"/>
      <c r="AH4140" s="245"/>
      <c r="AI4140" s="245"/>
      <c r="AJ4140" s="245"/>
      <c r="AK4140" s="245"/>
      <c r="AL4140" s="245"/>
      <c r="AM4140" s="245"/>
      <c r="AN4140" s="245"/>
      <c r="AO4140" s="238">
        <v>-7.11</v>
      </c>
      <c r="AP4140" s="238">
        <v>0.0</v>
      </c>
      <c r="AQ4140" s="235" t="s">
        <v>632</v>
      </c>
      <c r="AR4140" s="243">
        <v>1.68E11</v>
      </c>
      <c r="AS4140" s="235" t="s">
        <v>29883</v>
      </c>
      <c r="AT4140" s="235" t="s">
        <v>5</v>
      </c>
      <c r="AU4140" s="235" t="s">
        <v>634</v>
      </c>
      <c r="AV4140" s="246" t="s">
        <v>635</v>
      </c>
      <c r="AW4140" s="227"/>
      <c r="AX4140" s="227"/>
      <c r="AY4140" s="227"/>
      <c r="AZ4140" s="227"/>
      <c r="BA4140" s="227"/>
      <c r="BB4140" s="227"/>
      <c r="BC4140" s="227"/>
      <c r="BD4140" s="227"/>
      <c r="BE4140" s="227"/>
      <c r="BF4140" s="227"/>
    </row>
    <row r="4141">
      <c r="A4141" s="235" t="s">
        <v>30881</v>
      </c>
      <c r="C4141" s="235" t="s">
        <v>30882</v>
      </c>
      <c r="D4141" s="235" t="s">
        <v>30883</v>
      </c>
      <c r="E4141" s="243">
        <v>6.51E13</v>
      </c>
      <c r="F4141" s="245"/>
      <c r="G4141" s="235" t="s">
        <v>30884</v>
      </c>
      <c r="H4141" s="235" t="s">
        <v>30885</v>
      </c>
      <c r="I4141" s="235" t="s">
        <v>30885</v>
      </c>
      <c r="J4141" s="235" t="s">
        <v>30886</v>
      </c>
      <c r="K4141" s="235" t="s">
        <v>29707</v>
      </c>
      <c r="N4141" s="235" t="s">
        <v>3962</v>
      </c>
      <c r="O4141" s="235" t="s">
        <v>3963</v>
      </c>
      <c r="P4141" s="238">
        <v>1.0</v>
      </c>
      <c r="Q4141" s="235" t="s">
        <v>627</v>
      </c>
      <c r="R4141" s="238">
        <v>550.0</v>
      </c>
      <c r="S4141" s="238">
        <v>99.0</v>
      </c>
      <c r="T4141" s="238">
        <v>0.0</v>
      </c>
      <c r="U4141" s="238">
        <v>0.0</v>
      </c>
      <c r="V4141" s="238">
        <v>0.0</v>
      </c>
      <c r="W4141" s="238">
        <v>0.0</v>
      </c>
      <c r="X4141" s="235" t="s">
        <v>628</v>
      </c>
      <c r="Z4141" s="245"/>
      <c r="AA4141" s="245"/>
      <c r="AB4141" s="245"/>
      <c r="AC4141" s="235" t="s">
        <v>687</v>
      </c>
      <c r="AD4141" s="235" t="s">
        <v>666</v>
      </c>
      <c r="AE4141" s="238">
        <v>600100.0</v>
      </c>
      <c r="AF4141" s="235" t="s">
        <v>631</v>
      </c>
      <c r="AG4141" s="245"/>
      <c r="AH4141" s="245"/>
      <c r="AI4141" s="245"/>
      <c r="AJ4141" s="245"/>
      <c r="AK4141" s="245"/>
      <c r="AL4141" s="245"/>
      <c r="AM4141" s="245"/>
      <c r="AN4141" s="245"/>
      <c r="AO4141" s="238">
        <v>0.0</v>
      </c>
      <c r="AP4141" s="238">
        <v>0.0</v>
      </c>
      <c r="AQ4141" s="235" t="s">
        <v>632</v>
      </c>
      <c r="AR4141" s="243">
        <v>1.68E11</v>
      </c>
      <c r="AS4141" s="235" t="s">
        <v>29883</v>
      </c>
      <c r="AT4141" s="235" t="s">
        <v>9</v>
      </c>
      <c r="AU4141" s="235" t="s">
        <v>634</v>
      </c>
      <c r="AV4141" s="246" t="s">
        <v>635</v>
      </c>
      <c r="AW4141" s="227"/>
      <c r="AX4141" s="227"/>
      <c r="AY4141" s="227"/>
      <c r="AZ4141" s="227"/>
      <c r="BA4141" s="227"/>
      <c r="BB4141" s="227"/>
      <c r="BC4141" s="227"/>
      <c r="BD4141" s="227"/>
      <c r="BE4141" s="227"/>
      <c r="BF4141" s="227"/>
    </row>
    <row r="4142">
      <c r="A4142" s="235" t="s">
        <v>30887</v>
      </c>
      <c r="C4142" s="235" t="s">
        <v>30888</v>
      </c>
      <c r="D4142" s="235" t="s">
        <v>30889</v>
      </c>
      <c r="E4142" s="243">
        <v>6.51E13</v>
      </c>
      <c r="F4142" s="245"/>
      <c r="G4142" s="235" t="s">
        <v>30890</v>
      </c>
      <c r="H4142" s="235" t="s">
        <v>30891</v>
      </c>
      <c r="I4142" s="235" t="s">
        <v>30891</v>
      </c>
      <c r="J4142" s="235" t="s">
        <v>30892</v>
      </c>
      <c r="K4142" s="235" t="s">
        <v>30893</v>
      </c>
      <c r="N4142" s="235" t="s">
        <v>42</v>
      </c>
      <c r="O4142" s="235" t="s">
        <v>204</v>
      </c>
      <c r="P4142" s="238">
        <v>1.0</v>
      </c>
      <c r="Q4142" s="235" t="s">
        <v>627</v>
      </c>
      <c r="R4142" s="238">
        <v>236.2</v>
      </c>
      <c r="S4142" s="238">
        <v>11.45</v>
      </c>
      <c r="T4142" s="238">
        <v>0.0</v>
      </c>
      <c r="U4142" s="238">
        <v>0.0</v>
      </c>
      <c r="V4142" s="238">
        <v>0.0</v>
      </c>
      <c r="W4142" s="238">
        <v>0.0</v>
      </c>
      <c r="X4142" s="235" t="s">
        <v>628</v>
      </c>
      <c r="Z4142" s="245"/>
      <c r="AA4142" s="245"/>
      <c r="AB4142" s="245"/>
      <c r="AC4142" s="235" t="s">
        <v>687</v>
      </c>
      <c r="AD4142" s="235" t="s">
        <v>666</v>
      </c>
      <c r="AE4142" s="238">
        <v>600053.0</v>
      </c>
      <c r="AF4142" s="235" t="s">
        <v>631</v>
      </c>
      <c r="AG4142" s="245"/>
      <c r="AH4142" s="245"/>
      <c r="AI4142" s="245"/>
      <c r="AJ4142" s="245"/>
      <c r="AK4142" s="245"/>
      <c r="AL4142" s="245"/>
      <c r="AM4142" s="245"/>
      <c r="AN4142" s="245"/>
      <c r="AO4142" s="238">
        <v>-7.09</v>
      </c>
      <c r="AP4142" s="238">
        <v>0.0</v>
      </c>
      <c r="AQ4142" s="235" t="s">
        <v>632</v>
      </c>
      <c r="AR4142" s="243">
        <v>1.68E11</v>
      </c>
      <c r="AS4142" s="235" t="s">
        <v>30263</v>
      </c>
      <c r="AT4142" s="235" t="s">
        <v>156</v>
      </c>
      <c r="AU4142" s="235" t="s">
        <v>634</v>
      </c>
      <c r="AV4142" s="246" t="s">
        <v>635</v>
      </c>
      <c r="AW4142" s="227"/>
      <c r="AX4142" s="227"/>
      <c r="AY4142" s="227"/>
      <c r="AZ4142" s="227"/>
      <c r="BA4142" s="227"/>
      <c r="BB4142" s="227"/>
      <c r="BC4142" s="227"/>
      <c r="BD4142" s="227"/>
      <c r="BE4142" s="227"/>
      <c r="BF4142" s="227"/>
    </row>
    <row r="4143">
      <c r="A4143" s="235" t="s">
        <v>30894</v>
      </c>
      <c r="C4143" s="235" t="s">
        <v>30895</v>
      </c>
      <c r="D4143" s="235" t="s">
        <v>30896</v>
      </c>
      <c r="E4143" s="243">
        <v>6.51E13</v>
      </c>
      <c r="F4143" s="245"/>
      <c r="G4143" s="235" t="s">
        <v>30897</v>
      </c>
      <c r="H4143" s="235" t="s">
        <v>30898</v>
      </c>
      <c r="I4143" s="235" t="s">
        <v>30898</v>
      </c>
      <c r="J4143" s="235" t="s">
        <v>30899</v>
      </c>
      <c r="K4143" s="235" t="s">
        <v>30900</v>
      </c>
      <c r="N4143" s="235" t="s">
        <v>42</v>
      </c>
      <c r="O4143" s="235" t="s">
        <v>204</v>
      </c>
      <c r="P4143" s="238">
        <v>1.0</v>
      </c>
      <c r="Q4143" s="235" t="s">
        <v>627</v>
      </c>
      <c r="R4143" s="238">
        <v>236.2</v>
      </c>
      <c r="S4143" s="238">
        <v>11.8</v>
      </c>
      <c r="T4143" s="238">
        <v>0.0</v>
      </c>
      <c r="U4143" s="238">
        <v>0.0</v>
      </c>
      <c r="V4143" s="238">
        <v>0.0</v>
      </c>
      <c r="W4143" s="238">
        <v>0.0</v>
      </c>
      <c r="X4143" s="235" t="s">
        <v>628</v>
      </c>
      <c r="Z4143" s="245"/>
      <c r="AA4143" s="245"/>
      <c r="AB4143" s="245"/>
      <c r="AC4143" s="235" t="s">
        <v>687</v>
      </c>
      <c r="AD4143" s="235" t="s">
        <v>666</v>
      </c>
      <c r="AE4143" s="238">
        <v>600054.0</v>
      </c>
      <c r="AF4143" s="235" t="s">
        <v>631</v>
      </c>
      <c r="AG4143" s="245"/>
      <c r="AH4143" s="245"/>
      <c r="AI4143" s="245"/>
      <c r="AJ4143" s="245"/>
      <c r="AK4143" s="245"/>
      <c r="AL4143" s="245"/>
      <c r="AM4143" s="245"/>
      <c r="AN4143" s="245"/>
      <c r="AO4143" s="238">
        <v>0.0</v>
      </c>
      <c r="AP4143" s="238">
        <v>0.0</v>
      </c>
      <c r="AQ4143" s="235" t="s">
        <v>632</v>
      </c>
      <c r="AR4143" s="243">
        <v>1.68E11</v>
      </c>
      <c r="AS4143" s="235" t="s">
        <v>30263</v>
      </c>
      <c r="AT4143" s="235" t="s">
        <v>156</v>
      </c>
      <c r="AU4143" s="235" t="s">
        <v>634</v>
      </c>
      <c r="AV4143" s="246" t="s">
        <v>635</v>
      </c>
      <c r="AW4143" s="227"/>
      <c r="AX4143" s="227"/>
      <c r="AY4143" s="227"/>
      <c r="AZ4143" s="227"/>
      <c r="BA4143" s="227"/>
      <c r="BB4143" s="227"/>
      <c r="BC4143" s="227"/>
      <c r="BD4143" s="227"/>
      <c r="BE4143" s="227"/>
      <c r="BF4143" s="227"/>
    </row>
    <row r="4144">
      <c r="A4144" s="235" t="s">
        <v>30901</v>
      </c>
      <c r="C4144" s="235" t="s">
        <v>30902</v>
      </c>
      <c r="D4144" s="235" t="s">
        <v>30903</v>
      </c>
      <c r="E4144" s="243">
        <v>6.51E13</v>
      </c>
      <c r="F4144" s="245"/>
      <c r="G4144" s="235" t="s">
        <v>30904</v>
      </c>
      <c r="H4144" s="235" t="s">
        <v>30905</v>
      </c>
      <c r="I4144" s="235" t="s">
        <v>30905</v>
      </c>
      <c r="J4144" s="235" t="s">
        <v>30906</v>
      </c>
      <c r="K4144" s="235" t="s">
        <v>30907</v>
      </c>
      <c r="N4144" s="235" t="s">
        <v>42</v>
      </c>
      <c r="O4144" s="235" t="s">
        <v>204</v>
      </c>
      <c r="P4144" s="238">
        <v>1.0</v>
      </c>
      <c r="Q4144" s="235" t="s">
        <v>627</v>
      </c>
      <c r="R4144" s="238">
        <v>236.2</v>
      </c>
      <c r="S4144" s="238">
        <v>11.8</v>
      </c>
      <c r="T4144" s="238">
        <v>0.0</v>
      </c>
      <c r="U4144" s="238">
        <v>0.0</v>
      </c>
      <c r="V4144" s="238">
        <v>0.0</v>
      </c>
      <c r="W4144" s="238">
        <v>0.0</v>
      </c>
      <c r="X4144" s="235" t="s">
        <v>628</v>
      </c>
      <c r="Z4144" s="245"/>
      <c r="AA4144" s="245"/>
      <c r="AB4144" s="245"/>
      <c r="AC4144" s="235" t="s">
        <v>687</v>
      </c>
      <c r="AD4144" s="235" t="s">
        <v>666</v>
      </c>
      <c r="AE4144" s="238">
        <v>600060.0</v>
      </c>
      <c r="AF4144" s="235" t="s">
        <v>631</v>
      </c>
      <c r="AG4144" s="245"/>
      <c r="AH4144" s="245"/>
      <c r="AI4144" s="245"/>
      <c r="AJ4144" s="245"/>
      <c r="AK4144" s="245"/>
      <c r="AL4144" s="245"/>
      <c r="AM4144" s="245"/>
      <c r="AN4144" s="245"/>
      <c r="AO4144" s="238">
        <v>0.0</v>
      </c>
      <c r="AP4144" s="238">
        <v>0.0</v>
      </c>
      <c r="AQ4144" s="235" t="s">
        <v>632</v>
      </c>
      <c r="AR4144" s="243">
        <v>1.68E11</v>
      </c>
      <c r="AS4144" s="235" t="s">
        <v>30263</v>
      </c>
      <c r="AT4144" s="235" t="s">
        <v>156</v>
      </c>
      <c r="AU4144" s="235" t="s">
        <v>634</v>
      </c>
      <c r="AV4144" s="246" t="s">
        <v>635</v>
      </c>
      <c r="AW4144" s="227"/>
      <c r="AX4144" s="227"/>
      <c r="AY4144" s="227"/>
      <c r="AZ4144" s="227"/>
      <c r="BA4144" s="227"/>
      <c r="BB4144" s="227"/>
      <c r="BC4144" s="227"/>
      <c r="BD4144" s="227"/>
      <c r="BE4144" s="227"/>
      <c r="BF4144" s="227"/>
    </row>
    <row r="4145">
      <c r="A4145" s="235" t="s">
        <v>30908</v>
      </c>
      <c r="C4145" s="235" t="s">
        <v>30909</v>
      </c>
      <c r="D4145" s="235" t="s">
        <v>30910</v>
      </c>
      <c r="E4145" s="243">
        <v>6.51E13</v>
      </c>
      <c r="F4145" s="245"/>
      <c r="G4145" s="235" t="s">
        <v>30911</v>
      </c>
      <c r="H4145" s="235" t="s">
        <v>30912</v>
      </c>
      <c r="I4145" s="235" t="s">
        <v>30913</v>
      </c>
      <c r="J4145" s="235" t="s">
        <v>30914</v>
      </c>
      <c r="K4145" s="235" t="s">
        <v>30915</v>
      </c>
      <c r="N4145" s="235" t="s">
        <v>42</v>
      </c>
      <c r="O4145" s="235" t="s">
        <v>204</v>
      </c>
      <c r="P4145" s="238">
        <v>1.0</v>
      </c>
      <c r="Q4145" s="235" t="s">
        <v>627</v>
      </c>
      <c r="R4145" s="238">
        <v>236.2</v>
      </c>
      <c r="S4145" s="238">
        <v>11.45</v>
      </c>
      <c r="T4145" s="238">
        <v>0.0</v>
      </c>
      <c r="U4145" s="238">
        <v>0.0</v>
      </c>
      <c r="V4145" s="238">
        <v>0.0</v>
      </c>
      <c r="W4145" s="238">
        <v>0.0</v>
      </c>
      <c r="X4145" s="235" t="s">
        <v>628</v>
      </c>
      <c r="Z4145" s="245"/>
      <c r="AA4145" s="245"/>
      <c r="AB4145" s="245"/>
      <c r="AC4145" s="235" t="s">
        <v>687</v>
      </c>
      <c r="AD4145" s="235" t="s">
        <v>666</v>
      </c>
      <c r="AE4145" s="238">
        <v>600075.0</v>
      </c>
      <c r="AF4145" s="235" t="s">
        <v>631</v>
      </c>
      <c r="AG4145" s="245"/>
      <c r="AH4145" s="245"/>
      <c r="AI4145" s="245"/>
      <c r="AJ4145" s="245"/>
      <c r="AK4145" s="245"/>
      <c r="AL4145" s="245"/>
      <c r="AM4145" s="245"/>
      <c r="AN4145" s="245"/>
      <c r="AO4145" s="238">
        <v>-7.09</v>
      </c>
      <c r="AP4145" s="238">
        <v>0.0</v>
      </c>
      <c r="AQ4145" s="235" t="s">
        <v>632</v>
      </c>
      <c r="AR4145" s="243">
        <v>1.68E11</v>
      </c>
      <c r="AS4145" s="235" t="s">
        <v>30263</v>
      </c>
      <c r="AT4145" s="235" t="s">
        <v>156</v>
      </c>
      <c r="AU4145" s="235" t="s">
        <v>634</v>
      </c>
      <c r="AV4145" s="246" t="s">
        <v>635</v>
      </c>
      <c r="AW4145" s="227"/>
      <c r="AX4145" s="227"/>
      <c r="AY4145" s="227"/>
      <c r="AZ4145" s="227"/>
      <c r="BA4145" s="227"/>
      <c r="BB4145" s="227"/>
      <c r="BC4145" s="227"/>
      <c r="BD4145" s="227"/>
      <c r="BE4145" s="227"/>
      <c r="BF4145" s="227"/>
    </row>
    <row r="4146">
      <c r="A4146" s="235" t="s">
        <v>30916</v>
      </c>
      <c r="C4146" s="235" t="s">
        <v>30917</v>
      </c>
      <c r="D4146" s="235" t="s">
        <v>30918</v>
      </c>
      <c r="E4146" s="243">
        <v>6.51E13</v>
      </c>
      <c r="F4146" s="245"/>
      <c r="G4146" s="235" t="s">
        <v>30919</v>
      </c>
      <c r="H4146" s="235" t="s">
        <v>30920</v>
      </c>
      <c r="I4146" s="235" t="s">
        <v>30920</v>
      </c>
      <c r="J4146" s="235" t="s">
        <v>30921</v>
      </c>
      <c r="K4146" s="235" t="s">
        <v>30922</v>
      </c>
      <c r="N4146" s="235" t="s">
        <v>962</v>
      </c>
      <c r="O4146" s="235" t="s">
        <v>963</v>
      </c>
      <c r="P4146" s="238">
        <v>1.0</v>
      </c>
      <c r="Q4146" s="235" t="s">
        <v>627</v>
      </c>
      <c r="R4146" s="238">
        <v>237.14</v>
      </c>
      <c r="S4146" s="238">
        <v>11.86</v>
      </c>
      <c r="T4146" s="238">
        <v>0.0</v>
      </c>
      <c r="U4146" s="238">
        <v>0.0</v>
      </c>
      <c r="V4146" s="238">
        <v>0.0</v>
      </c>
      <c r="W4146" s="238">
        <v>0.0</v>
      </c>
      <c r="X4146" s="235" t="s">
        <v>628</v>
      </c>
      <c r="Z4146" s="245"/>
      <c r="AA4146" s="245"/>
      <c r="AB4146" s="245"/>
      <c r="AC4146" s="235" t="s">
        <v>687</v>
      </c>
      <c r="AD4146" s="235" t="s">
        <v>666</v>
      </c>
      <c r="AE4146" s="238">
        <v>600028.0</v>
      </c>
      <c r="AF4146" s="235" t="s">
        <v>631</v>
      </c>
      <c r="AG4146" s="245"/>
      <c r="AH4146" s="245"/>
      <c r="AI4146" s="245"/>
      <c r="AJ4146" s="245"/>
      <c r="AK4146" s="245"/>
      <c r="AL4146" s="245"/>
      <c r="AM4146" s="245"/>
      <c r="AN4146" s="245"/>
      <c r="AO4146" s="238">
        <v>0.0</v>
      </c>
      <c r="AP4146" s="238">
        <v>0.0</v>
      </c>
      <c r="AQ4146" s="235" t="s">
        <v>632</v>
      </c>
      <c r="AR4146" s="243">
        <v>1.68E11</v>
      </c>
      <c r="AS4146" s="235" t="s">
        <v>30263</v>
      </c>
      <c r="AT4146" s="235" t="s">
        <v>156</v>
      </c>
      <c r="AU4146" s="235" t="s">
        <v>634</v>
      </c>
      <c r="AV4146" s="246" t="s">
        <v>635</v>
      </c>
      <c r="AW4146" s="227"/>
      <c r="AX4146" s="227"/>
      <c r="AY4146" s="227"/>
      <c r="AZ4146" s="227"/>
      <c r="BA4146" s="227"/>
      <c r="BB4146" s="227"/>
      <c r="BC4146" s="227"/>
      <c r="BD4146" s="227"/>
      <c r="BE4146" s="227"/>
      <c r="BF4146" s="227"/>
    </row>
    <row r="4147">
      <c r="A4147" s="235" t="s">
        <v>30923</v>
      </c>
      <c r="C4147" s="235" t="s">
        <v>30924</v>
      </c>
      <c r="D4147" s="235" t="s">
        <v>30925</v>
      </c>
      <c r="E4147" s="243">
        <v>6.51E13</v>
      </c>
      <c r="F4147" s="245"/>
      <c r="G4147" s="235" t="s">
        <v>30926</v>
      </c>
      <c r="H4147" s="235" t="s">
        <v>30927</v>
      </c>
      <c r="I4147" s="235" t="s">
        <v>30927</v>
      </c>
      <c r="J4147" s="235" t="s">
        <v>30928</v>
      </c>
      <c r="K4147" s="235" t="s">
        <v>30929</v>
      </c>
      <c r="N4147" s="235" t="s">
        <v>842</v>
      </c>
      <c r="O4147" s="235" t="s">
        <v>843</v>
      </c>
      <c r="P4147" s="238">
        <v>1.0</v>
      </c>
      <c r="Q4147" s="235" t="s">
        <v>627</v>
      </c>
      <c r="R4147" s="238">
        <v>246.67</v>
      </c>
      <c r="S4147" s="238">
        <v>12.33</v>
      </c>
      <c r="T4147" s="238">
        <v>0.0</v>
      </c>
      <c r="U4147" s="238">
        <v>0.0</v>
      </c>
      <c r="V4147" s="238">
        <v>0.0</v>
      </c>
      <c r="W4147" s="238">
        <v>0.0</v>
      </c>
      <c r="X4147" s="235" t="s">
        <v>628</v>
      </c>
      <c r="Z4147" s="245"/>
      <c r="AA4147" s="245"/>
      <c r="AB4147" s="245"/>
      <c r="AC4147" s="235" t="s">
        <v>30930</v>
      </c>
      <c r="AD4147" s="235" t="s">
        <v>1086</v>
      </c>
      <c r="AE4147" s="238">
        <v>160103.0</v>
      </c>
      <c r="AF4147" s="235" t="s">
        <v>631</v>
      </c>
      <c r="AG4147" s="245"/>
      <c r="AH4147" s="245"/>
      <c r="AI4147" s="245"/>
      <c r="AJ4147" s="245"/>
      <c r="AK4147" s="245"/>
      <c r="AL4147" s="245"/>
      <c r="AM4147" s="245"/>
      <c r="AN4147" s="245"/>
      <c r="AO4147" s="238">
        <v>0.0</v>
      </c>
      <c r="AP4147" s="238">
        <v>0.0</v>
      </c>
      <c r="AQ4147" s="235" t="s">
        <v>632</v>
      </c>
      <c r="AR4147" s="243">
        <v>3.71E11</v>
      </c>
      <c r="AS4147" s="235" t="s">
        <v>28482</v>
      </c>
      <c r="AT4147" s="235" t="s">
        <v>533</v>
      </c>
      <c r="AU4147" s="235" t="s">
        <v>634</v>
      </c>
      <c r="AV4147" s="246" t="s">
        <v>635</v>
      </c>
      <c r="AW4147" s="227"/>
      <c r="AX4147" s="227"/>
      <c r="AY4147" s="227"/>
      <c r="AZ4147" s="227"/>
      <c r="BA4147" s="227"/>
      <c r="BB4147" s="227"/>
      <c r="BC4147" s="227"/>
      <c r="BD4147" s="227"/>
      <c r="BE4147" s="227"/>
      <c r="BF4147" s="227"/>
    </row>
    <row r="4148">
      <c r="A4148" s="235" t="s">
        <v>30931</v>
      </c>
      <c r="C4148" s="235" t="s">
        <v>30932</v>
      </c>
      <c r="D4148" s="235" t="s">
        <v>30933</v>
      </c>
      <c r="E4148" s="243">
        <v>6.51E13</v>
      </c>
      <c r="F4148" s="245"/>
      <c r="G4148" s="235" t="s">
        <v>30934</v>
      </c>
      <c r="H4148" s="235" t="s">
        <v>30935</v>
      </c>
      <c r="I4148" s="235" t="s">
        <v>30935</v>
      </c>
      <c r="J4148" s="235" t="s">
        <v>30936</v>
      </c>
      <c r="K4148" s="235" t="s">
        <v>30937</v>
      </c>
      <c r="N4148" s="235" t="s">
        <v>128</v>
      </c>
      <c r="O4148" s="235" t="s">
        <v>2710</v>
      </c>
      <c r="P4148" s="238">
        <v>1.0</v>
      </c>
      <c r="Q4148" s="235" t="s">
        <v>627</v>
      </c>
      <c r="R4148" s="238">
        <v>233.33</v>
      </c>
      <c r="S4148" s="238">
        <v>11.32</v>
      </c>
      <c r="T4148" s="238">
        <v>0.0</v>
      </c>
      <c r="U4148" s="238">
        <v>0.0</v>
      </c>
      <c r="V4148" s="238">
        <v>0.0</v>
      </c>
      <c r="W4148" s="238">
        <v>0.0</v>
      </c>
      <c r="X4148" s="235" t="s">
        <v>628</v>
      </c>
      <c r="Z4148" s="245"/>
      <c r="AA4148" s="245"/>
      <c r="AB4148" s="245"/>
      <c r="AC4148" s="235" t="s">
        <v>1320</v>
      </c>
      <c r="AD4148" s="235" t="s">
        <v>666</v>
      </c>
      <c r="AE4148" s="238">
        <v>600100.0</v>
      </c>
      <c r="AF4148" s="235" t="s">
        <v>631</v>
      </c>
      <c r="AG4148" s="245"/>
      <c r="AH4148" s="245"/>
      <c r="AI4148" s="245"/>
      <c r="AJ4148" s="245"/>
      <c r="AK4148" s="245"/>
      <c r="AL4148" s="245"/>
      <c r="AM4148" s="245"/>
      <c r="AN4148" s="245"/>
      <c r="AO4148" s="238">
        <v>-7.0</v>
      </c>
      <c r="AP4148" s="238">
        <v>0.0</v>
      </c>
      <c r="AQ4148" s="235" t="s">
        <v>632</v>
      </c>
      <c r="AR4148" s="243">
        <v>1.68E11</v>
      </c>
      <c r="AS4148" s="235" t="s">
        <v>29883</v>
      </c>
      <c r="AT4148" s="235" t="s">
        <v>9</v>
      </c>
      <c r="AU4148" s="235" t="s">
        <v>634</v>
      </c>
      <c r="AV4148" s="246" t="s">
        <v>635</v>
      </c>
      <c r="AW4148" s="227"/>
      <c r="AX4148" s="227"/>
      <c r="AY4148" s="227"/>
      <c r="AZ4148" s="227"/>
      <c r="BA4148" s="227"/>
      <c r="BB4148" s="227"/>
      <c r="BC4148" s="227"/>
      <c r="BD4148" s="227"/>
      <c r="BE4148" s="227"/>
      <c r="BF4148" s="227"/>
    </row>
    <row r="4149">
      <c r="A4149" s="235" t="s">
        <v>30938</v>
      </c>
      <c r="C4149" s="235" t="s">
        <v>30939</v>
      </c>
      <c r="D4149" s="235" t="s">
        <v>30940</v>
      </c>
      <c r="E4149" s="243">
        <v>6.51E13</v>
      </c>
      <c r="F4149" s="245"/>
      <c r="G4149" s="235" t="s">
        <v>30941</v>
      </c>
      <c r="H4149" s="235" t="s">
        <v>30942</v>
      </c>
      <c r="I4149" s="235" t="s">
        <v>30942</v>
      </c>
      <c r="J4149" s="235" t="s">
        <v>30943</v>
      </c>
      <c r="K4149" s="235" t="s">
        <v>30944</v>
      </c>
      <c r="N4149" s="235" t="s">
        <v>117</v>
      </c>
      <c r="O4149" s="235" t="s">
        <v>334</v>
      </c>
      <c r="P4149" s="238">
        <v>1.0</v>
      </c>
      <c r="Q4149" s="235" t="s">
        <v>627</v>
      </c>
      <c r="R4149" s="238">
        <v>233.34</v>
      </c>
      <c r="S4149" s="238">
        <v>11.32</v>
      </c>
      <c r="T4149" s="238">
        <v>0.0</v>
      </c>
      <c r="U4149" s="238">
        <v>0.0</v>
      </c>
      <c r="V4149" s="238">
        <v>0.0</v>
      </c>
      <c r="W4149" s="238">
        <v>0.0</v>
      </c>
      <c r="X4149" s="235" t="s">
        <v>628</v>
      </c>
      <c r="Z4149" s="245"/>
      <c r="AA4149" s="245"/>
      <c r="AB4149" s="245"/>
      <c r="AC4149" s="235" t="s">
        <v>17839</v>
      </c>
      <c r="AD4149" s="235" t="s">
        <v>845</v>
      </c>
      <c r="AE4149" s="238">
        <v>415002.0</v>
      </c>
      <c r="AF4149" s="235" t="s">
        <v>631</v>
      </c>
      <c r="AG4149" s="245"/>
      <c r="AH4149" s="245"/>
      <c r="AI4149" s="245"/>
      <c r="AJ4149" s="245"/>
      <c r="AK4149" s="245"/>
      <c r="AL4149" s="245"/>
      <c r="AM4149" s="245"/>
      <c r="AN4149" s="245"/>
      <c r="AO4149" s="238">
        <v>-7.01</v>
      </c>
      <c r="AP4149" s="238">
        <v>0.0</v>
      </c>
      <c r="AQ4149" s="235" t="s">
        <v>632</v>
      </c>
      <c r="AR4149" s="243">
        <v>1.68E11</v>
      </c>
      <c r="AS4149" s="235" t="s">
        <v>29883</v>
      </c>
      <c r="AT4149" s="235" t="s">
        <v>546</v>
      </c>
      <c r="AU4149" s="235" t="s">
        <v>634</v>
      </c>
      <c r="AV4149" s="246" t="s">
        <v>635</v>
      </c>
      <c r="AW4149" s="227"/>
      <c r="AX4149" s="227"/>
      <c r="AY4149" s="227"/>
      <c r="AZ4149" s="227"/>
      <c r="BA4149" s="227"/>
      <c r="BB4149" s="227"/>
      <c r="BC4149" s="227"/>
      <c r="BD4149" s="227"/>
      <c r="BE4149" s="227"/>
      <c r="BF4149" s="227"/>
    </row>
    <row r="4150">
      <c r="A4150" s="235" t="s">
        <v>30945</v>
      </c>
      <c r="C4150" s="235" t="s">
        <v>30946</v>
      </c>
      <c r="D4150" s="235" t="s">
        <v>30947</v>
      </c>
      <c r="E4150" s="243">
        <v>6.51E13</v>
      </c>
      <c r="F4150" s="245"/>
      <c r="G4150" s="235" t="s">
        <v>30948</v>
      </c>
      <c r="H4150" s="235" t="s">
        <v>30949</v>
      </c>
      <c r="I4150" s="235" t="s">
        <v>30950</v>
      </c>
      <c r="J4150" s="235" t="s">
        <v>30951</v>
      </c>
      <c r="K4150" s="235" t="s">
        <v>30952</v>
      </c>
      <c r="N4150" s="235" t="s">
        <v>33</v>
      </c>
      <c r="O4150" s="235" t="s">
        <v>1009</v>
      </c>
      <c r="P4150" s="238">
        <v>1.0</v>
      </c>
      <c r="Q4150" s="235" t="s">
        <v>627</v>
      </c>
      <c r="R4150" s="238">
        <v>475.24</v>
      </c>
      <c r="S4150" s="238">
        <v>23.76</v>
      </c>
      <c r="T4150" s="238">
        <v>0.0</v>
      </c>
      <c r="U4150" s="238">
        <v>0.0</v>
      </c>
      <c r="V4150" s="238">
        <v>0.0</v>
      </c>
      <c r="W4150" s="238">
        <v>0.0</v>
      </c>
      <c r="X4150" s="235" t="s">
        <v>628</v>
      </c>
      <c r="Z4150" s="245"/>
      <c r="AA4150" s="245"/>
      <c r="AB4150" s="245"/>
      <c r="AC4150" s="235" t="s">
        <v>2092</v>
      </c>
      <c r="AD4150" s="235" t="s">
        <v>845</v>
      </c>
      <c r="AE4150" s="238">
        <v>411060.0</v>
      </c>
      <c r="AF4150" s="235" t="s">
        <v>631</v>
      </c>
      <c r="AG4150" s="245"/>
      <c r="AH4150" s="245"/>
      <c r="AI4150" s="245"/>
      <c r="AJ4150" s="245"/>
      <c r="AK4150" s="245"/>
      <c r="AL4150" s="245"/>
      <c r="AM4150" s="245"/>
      <c r="AN4150" s="245"/>
      <c r="AO4150" s="238">
        <v>0.0</v>
      </c>
      <c r="AP4150" s="238">
        <v>0.0</v>
      </c>
      <c r="AQ4150" s="235" t="s">
        <v>632</v>
      </c>
      <c r="AR4150" s="243">
        <v>3.71E11</v>
      </c>
      <c r="AS4150" s="235" t="s">
        <v>28482</v>
      </c>
      <c r="AT4150" s="235" t="s">
        <v>16</v>
      </c>
      <c r="AU4150" s="235" t="s">
        <v>634</v>
      </c>
      <c r="AV4150" s="246" t="s">
        <v>635</v>
      </c>
      <c r="AW4150" s="227"/>
      <c r="AX4150" s="227"/>
      <c r="AY4150" s="227"/>
      <c r="AZ4150" s="227"/>
      <c r="BA4150" s="227"/>
      <c r="BB4150" s="227"/>
      <c r="BC4150" s="227"/>
      <c r="BD4150" s="227"/>
      <c r="BE4150" s="227"/>
      <c r="BF4150" s="227"/>
    </row>
    <row r="4151">
      <c r="A4151" s="235" t="s">
        <v>30953</v>
      </c>
      <c r="C4151" s="235" t="s">
        <v>30954</v>
      </c>
      <c r="D4151" s="235" t="s">
        <v>30955</v>
      </c>
      <c r="E4151" s="243">
        <v>6.51E13</v>
      </c>
      <c r="F4151" s="245"/>
      <c r="G4151" s="235" t="s">
        <v>30956</v>
      </c>
      <c r="H4151" s="235" t="s">
        <v>30957</v>
      </c>
      <c r="I4151" s="235" t="s">
        <v>30958</v>
      </c>
      <c r="J4151" s="235" t="s">
        <v>30959</v>
      </c>
      <c r="K4151" s="235" t="s">
        <v>30960</v>
      </c>
      <c r="N4151" s="235" t="s">
        <v>138</v>
      </c>
      <c r="O4151" s="235" t="s">
        <v>675</v>
      </c>
      <c r="P4151" s="238">
        <v>1.0</v>
      </c>
      <c r="Q4151" s="235" t="s">
        <v>627</v>
      </c>
      <c r="R4151" s="238">
        <v>233.34</v>
      </c>
      <c r="S4151" s="238">
        <v>11.43</v>
      </c>
      <c r="T4151" s="238">
        <v>0.0</v>
      </c>
      <c r="U4151" s="238">
        <v>0.0</v>
      </c>
      <c r="V4151" s="238">
        <v>0.0</v>
      </c>
      <c r="W4151" s="238">
        <v>0.0</v>
      </c>
      <c r="X4151" s="235" t="s">
        <v>628</v>
      </c>
      <c r="Z4151" s="245"/>
      <c r="AA4151" s="245"/>
      <c r="AB4151" s="245"/>
      <c r="AC4151" s="235" t="s">
        <v>678</v>
      </c>
      <c r="AD4151" s="235" t="s">
        <v>679</v>
      </c>
      <c r="AE4151" s="238">
        <v>560099.0</v>
      </c>
      <c r="AF4151" s="235" t="s">
        <v>631</v>
      </c>
      <c r="AG4151" s="245"/>
      <c r="AH4151" s="245"/>
      <c r="AI4151" s="245"/>
      <c r="AJ4151" s="245"/>
      <c r="AK4151" s="245"/>
      <c r="AL4151" s="245"/>
      <c r="AM4151" s="245"/>
      <c r="AN4151" s="245"/>
      <c r="AO4151" s="238">
        <v>-4.67</v>
      </c>
      <c r="AP4151" s="238">
        <v>0.0</v>
      </c>
      <c r="AQ4151" s="235" t="s">
        <v>632</v>
      </c>
      <c r="AR4151" s="243">
        <v>1.68E11</v>
      </c>
      <c r="AS4151" s="235" t="s">
        <v>30263</v>
      </c>
      <c r="AT4151" s="235" t="s">
        <v>11</v>
      </c>
      <c r="AU4151" s="235" t="s">
        <v>634</v>
      </c>
      <c r="AV4151" s="246" t="s">
        <v>635</v>
      </c>
      <c r="AW4151" s="227"/>
      <c r="AX4151" s="227"/>
      <c r="AY4151" s="227"/>
      <c r="AZ4151" s="227"/>
      <c r="BA4151" s="227"/>
      <c r="BB4151" s="227"/>
      <c r="BC4151" s="227"/>
      <c r="BD4151" s="227"/>
      <c r="BE4151" s="227"/>
      <c r="BF4151" s="227"/>
    </row>
    <row r="4152">
      <c r="A4152" s="235" t="s">
        <v>30961</v>
      </c>
      <c r="C4152" s="235" t="s">
        <v>30962</v>
      </c>
      <c r="D4152" s="235" t="s">
        <v>30963</v>
      </c>
      <c r="E4152" s="243">
        <v>6.51E13</v>
      </c>
      <c r="F4152" s="245"/>
      <c r="G4152" s="235" t="s">
        <v>30964</v>
      </c>
      <c r="H4152" s="235" t="s">
        <v>30965</v>
      </c>
      <c r="I4152" s="235" t="s">
        <v>30965</v>
      </c>
      <c r="J4152" s="235" t="s">
        <v>30966</v>
      </c>
      <c r="K4152" s="235" t="s">
        <v>30967</v>
      </c>
      <c r="N4152" s="235" t="s">
        <v>51</v>
      </c>
      <c r="O4152" s="235" t="s">
        <v>273</v>
      </c>
      <c r="P4152" s="238">
        <v>1.0</v>
      </c>
      <c r="Q4152" s="235" t="s">
        <v>627</v>
      </c>
      <c r="R4152" s="238">
        <v>270.48</v>
      </c>
      <c r="S4152" s="238">
        <v>13.52</v>
      </c>
      <c r="T4152" s="238">
        <v>38.1</v>
      </c>
      <c r="U4152" s="238">
        <v>1.9</v>
      </c>
      <c r="V4152" s="238">
        <v>0.0</v>
      </c>
      <c r="W4152" s="238">
        <v>0.0</v>
      </c>
      <c r="X4152" s="235" t="s">
        <v>628</v>
      </c>
      <c r="Z4152" s="245"/>
      <c r="AA4152" s="245"/>
      <c r="AB4152" s="245"/>
      <c r="AC4152" s="235" t="s">
        <v>697</v>
      </c>
      <c r="AD4152" s="235" t="s">
        <v>698</v>
      </c>
      <c r="AE4152" s="238">
        <v>500048.0</v>
      </c>
      <c r="AF4152" s="235" t="s">
        <v>631</v>
      </c>
      <c r="AG4152" s="245"/>
      <c r="AH4152" s="245"/>
      <c r="AI4152" s="245"/>
      <c r="AJ4152" s="245"/>
      <c r="AK4152" s="245"/>
      <c r="AL4152" s="245"/>
      <c r="AM4152" s="245"/>
      <c r="AN4152" s="245"/>
      <c r="AO4152" s="238">
        <v>0.0</v>
      </c>
      <c r="AP4152" s="238">
        <v>-38.1</v>
      </c>
      <c r="AQ4152" s="235" t="s">
        <v>632</v>
      </c>
      <c r="AR4152" s="243">
        <v>3.71E11</v>
      </c>
      <c r="AS4152" s="235" t="s">
        <v>26892</v>
      </c>
      <c r="AT4152" s="235" t="s">
        <v>16</v>
      </c>
      <c r="AU4152" s="235" t="s">
        <v>634</v>
      </c>
      <c r="AV4152" s="246" t="s">
        <v>635</v>
      </c>
      <c r="AW4152" s="227"/>
      <c r="AX4152" s="227"/>
      <c r="AY4152" s="227"/>
      <c r="AZ4152" s="227"/>
      <c r="BA4152" s="227"/>
      <c r="BB4152" s="227"/>
      <c r="BC4152" s="227"/>
      <c r="BD4152" s="227"/>
      <c r="BE4152" s="227"/>
      <c r="BF4152" s="227"/>
    </row>
    <row r="4153">
      <c r="A4153" s="235" t="s">
        <v>30968</v>
      </c>
      <c r="C4153" s="235" t="s">
        <v>30969</v>
      </c>
      <c r="D4153" s="235" t="s">
        <v>30970</v>
      </c>
      <c r="E4153" s="243">
        <v>6.51E13</v>
      </c>
      <c r="F4153" s="245"/>
      <c r="G4153" s="235" t="s">
        <v>30971</v>
      </c>
      <c r="H4153" s="235" t="s">
        <v>30972</v>
      </c>
      <c r="I4153" s="235" t="s">
        <v>30972</v>
      </c>
      <c r="J4153" s="235" t="s">
        <v>30973</v>
      </c>
      <c r="K4153" s="235" t="s">
        <v>30974</v>
      </c>
      <c r="N4153" s="235" t="s">
        <v>10</v>
      </c>
      <c r="O4153" s="235" t="s">
        <v>936</v>
      </c>
      <c r="P4153" s="238">
        <v>1.0</v>
      </c>
      <c r="Q4153" s="235" t="s">
        <v>627</v>
      </c>
      <c r="R4153" s="238">
        <v>284.76</v>
      </c>
      <c r="S4153" s="238">
        <v>14.24</v>
      </c>
      <c r="T4153" s="238">
        <v>38.1</v>
      </c>
      <c r="U4153" s="238">
        <v>1.9</v>
      </c>
      <c r="V4153" s="238">
        <v>0.0</v>
      </c>
      <c r="W4153" s="238">
        <v>0.0</v>
      </c>
      <c r="X4153" s="235" t="s">
        <v>628</v>
      </c>
      <c r="Z4153" s="245"/>
      <c r="AA4153" s="245"/>
      <c r="AB4153" s="245"/>
      <c r="AC4153" s="235" t="s">
        <v>697</v>
      </c>
      <c r="AD4153" s="235" t="s">
        <v>698</v>
      </c>
      <c r="AE4153" s="238">
        <v>500005.0</v>
      </c>
      <c r="AF4153" s="235" t="s">
        <v>631</v>
      </c>
      <c r="AG4153" s="245"/>
      <c r="AH4153" s="245"/>
      <c r="AI4153" s="245"/>
      <c r="AJ4153" s="245"/>
      <c r="AK4153" s="245"/>
      <c r="AL4153" s="245"/>
      <c r="AM4153" s="245"/>
      <c r="AN4153" s="245"/>
      <c r="AO4153" s="238">
        <v>0.0</v>
      </c>
      <c r="AP4153" s="238">
        <v>-38.1</v>
      </c>
      <c r="AQ4153" s="235" t="s">
        <v>632</v>
      </c>
      <c r="AR4153" s="243">
        <v>3.71E11</v>
      </c>
      <c r="AS4153" s="235" t="s">
        <v>26892</v>
      </c>
      <c r="AT4153" s="235" t="s">
        <v>16</v>
      </c>
      <c r="AU4153" s="235" t="s">
        <v>634</v>
      </c>
      <c r="AV4153" s="246" t="s">
        <v>635</v>
      </c>
      <c r="AW4153" s="227"/>
      <c r="AX4153" s="227"/>
      <c r="AY4153" s="227"/>
      <c r="AZ4153" s="227"/>
      <c r="BA4153" s="227"/>
      <c r="BB4153" s="227"/>
      <c r="BC4153" s="227"/>
      <c r="BD4153" s="227"/>
      <c r="BE4153" s="227"/>
      <c r="BF4153" s="227"/>
    </row>
    <row r="4154">
      <c r="A4154" s="235" t="s">
        <v>30975</v>
      </c>
      <c r="C4154" s="235" t="s">
        <v>30976</v>
      </c>
      <c r="D4154" s="235" t="s">
        <v>30977</v>
      </c>
      <c r="E4154" s="243">
        <v>6.51E13</v>
      </c>
      <c r="F4154" s="245"/>
      <c r="G4154" s="235" t="s">
        <v>30978</v>
      </c>
      <c r="H4154" s="235" t="s">
        <v>30979</v>
      </c>
      <c r="I4154" s="235" t="s">
        <v>30979</v>
      </c>
      <c r="J4154" s="235" t="s">
        <v>30980</v>
      </c>
      <c r="K4154" s="235" t="s">
        <v>30981</v>
      </c>
      <c r="N4154" s="235" t="s">
        <v>127</v>
      </c>
      <c r="O4154" s="235" t="s">
        <v>794</v>
      </c>
      <c r="P4154" s="238">
        <v>1.0</v>
      </c>
      <c r="Q4154" s="235" t="s">
        <v>627</v>
      </c>
      <c r="R4154" s="238">
        <v>236.2</v>
      </c>
      <c r="S4154" s="238">
        <v>11.8</v>
      </c>
      <c r="T4154" s="238">
        <v>0.0</v>
      </c>
      <c r="U4154" s="238">
        <v>0.0</v>
      </c>
      <c r="V4154" s="238">
        <v>0.0</v>
      </c>
      <c r="W4154" s="238">
        <v>0.0</v>
      </c>
      <c r="X4154" s="235" t="s">
        <v>628</v>
      </c>
      <c r="Z4154" s="245"/>
      <c r="AA4154" s="245"/>
      <c r="AB4154" s="245"/>
      <c r="AC4154" s="235" t="s">
        <v>5679</v>
      </c>
      <c r="AD4154" s="235" t="s">
        <v>679</v>
      </c>
      <c r="AE4154" s="238">
        <v>570019.0</v>
      </c>
      <c r="AF4154" s="235" t="s">
        <v>631</v>
      </c>
      <c r="AG4154" s="245"/>
      <c r="AH4154" s="245"/>
      <c r="AI4154" s="245"/>
      <c r="AJ4154" s="245"/>
      <c r="AK4154" s="245"/>
      <c r="AL4154" s="245"/>
      <c r="AM4154" s="245"/>
      <c r="AN4154" s="245"/>
      <c r="AO4154" s="238">
        <v>0.0</v>
      </c>
      <c r="AP4154" s="238">
        <v>0.0</v>
      </c>
      <c r="AQ4154" s="235" t="s">
        <v>632</v>
      </c>
      <c r="AR4154" s="243">
        <v>1.68E11</v>
      </c>
      <c r="AS4154" s="235" t="s">
        <v>30263</v>
      </c>
      <c r="AT4154" s="235" t="s">
        <v>11</v>
      </c>
      <c r="AU4154" s="235" t="s">
        <v>634</v>
      </c>
      <c r="AV4154" s="246" t="s">
        <v>635</v>
      </c>
      <c r="AW4154" s="227"/>
      <c r="AX4154" s="227"/>
      <c r="AY4154" s="227"/>
      <c r="AZ4154" s="227"/>
      <c r="BA4154" s="227"/>
      <c r="BB4154" s="227"/>
      <c r="BC4154" s="227"/>
      <c r="BD4154" s="227"/>
      <c r="BE4154" s="227"/>
      <c r="BF4154" s="227"/>
    </row>
    <row r="4155">
      <c r="A4155" s="235" t="s">
        <v>30982</v>
      </c>
      <c r="C4155" s="235" t="s">
        <v>30983</v>
      </c>
      <c r="D4155" s="235" t="s">
        <v>30984</v>
      </c>
      <c r="E4155" s="243">
        <v>6.51E13</v>
      </c>
      <c r="F4155" s="245"/>
      <c r="G4155" s="235" t="s">
        <v>30985</v>
      </c>
      <c r="H4155" s="235" t="s">
        <v>30986</v>
      </c>
      <c r="I4155" s="235" t="s">
        <v>30986</v>
      </c>
      <c r="J4155" s="235" t="s">
        <v>30987</v>
      </c>
      <c r="K4155" s="235" t="s">
        <v>30988</v>
      </c>
      <c r="N4155" s="235" t="s">
        <v>85</v>
      </c>
      <c r="O4155" s="235" t="s">
        <v>872</v>
      </c>
      <c r="P4155" s="238">
        <v>1.0</v>
      </c>
      <c r="Q4155" s="235" t="s">
        <v>627</v>
      </c>
      <c r="R4155" s="238">
        <v>232.38</v>
      </c>
      <c r="S4155" s="238">
        <v>11.27</v>
      </c>
      <c r="T4155" s="238">
        <v>0.0</v>
      </c>
      <c r="U4155" s="238">
        <v>0.0</v>
      </c>
      <c r="V4155" s="238">
        <v>0.0</v>
      </c>
      <c r="W4155" s="238">
        <v>0.0</v>
      </c>
      <c r="X4155" s="235" t="s">
        <v>628</v>
      </c>
      <c r="Z4155" s="245"/>
      <c r="AA4155" s="245"/>
      <c r="AB4155" s="245"/>
      <c r="AC4155" s="235" t="s">
        <v>697</v>
      </c>
      <c r="AD4155" s="235" t="s">
        <v>698</v>
      </c>
      <c r="AE4155" s="238">
        <v>500043.0</v>
      </c>
      <c r="AF4155" s="235" t="s">
        <v>631</v>
      </c>
      <c r="AG4155" s="245"/>
      <c r="AH4155" s="245"/>
      <c r="AI4155" s="245"/>
      <c r="AJ4155" s="245"/>
      <c r="AK4155" s="245"/>
      <c r="AL4155" s="245"/>
      <c r="AM4155" s="245"/>
      <c r="AN4155" s="245"/>
      <c r="AO4155" s="238">
        <v>-6.97</v>
      </c>
      <c r="AP4155" s="238">
        <v>0.0</v>
      </c>
      <c r="AQ4155" s="235" t="s">
        <v>632</v>
      </c>
      <c r="AR4155" s="243">
        <v>3.71E11</v>
      </c>
      <c r="AS4155" s="235" t="s">
        <v>28482</v>
      </c>
      <c r="AT4155" s="235" t="s">
        <v>11</v>
      </c>
      <c r="AU4155" s="235" t="s">
        <v>634</v>
      </c>
      <c r="AV4155" s="246" t="s">
        <v>635</v>
      </c>
      <c r="AW4155" s="227"/>
      <c r="AX4155" s="227"/>
      <c r="AY4155" s="227"/>
      <c r="AZ4155" s="227"/>
      <c r="BA4155" s="227"/>
      <c r="BB4155" s="227"/>
      <c r="BC4155" s="227"/>
      <c r="BD4155" s="227"/>
      <c r="BE4155" s="227"/>
      <c r="BF4155" s="227"/>
    </row>
    <row r="4156">
      <c r="A4156" s="235" t="s">
        <v>30989</v>
      </c>
      <c r="C4156" s="235" t="s">
        <v>30990</v>
      </c>
      <c r="D4156" s="235" t="s">
        <v>30991</v>
      </c>
      <c r="E4156" s="243">
        <v>6.51E13</v>
      </c>
      <c r="F4156" s="245"/>
      <c r="G4156" s="235" t="s">
        <v>30992</v>
      </c>
      <c r="H4156" s="235" t="s">
        <v>30993</v>
      </c>
      <c r="I4156" s="235" t="s">
        <v>30994</v>
      </c>
      <c r="J4156" s="235" t="s">
        <v>30995</v>
      </c>
      <c r="K4156" s="235" t="s">
        <v>30996</v>
      </c>
      <c r="N4156" s="235" t="s">
        <v>145</v>
      </c>
      <c r="O4156" s="235" t="s">
        <v>370</v>
      </c>
      <c r="P4156" s="238">
        <v>1.0</v>
      </c>
      <c r="Q4156" s="235" t="s">
        <v>627</v>
      </c>
      <c r="R4156" s="238">
        <v>1475.24</v>
      </c>
      <c r="S4156" s="238">
        <v>71.55</v>
      </c>
      <c r="T4156" s="238">
        <v>0.0</v>
      </c>
      <c r="U4156" s="238">
        <v>0.0</v>
      </c>
      <c r="V4156" s="238">
        <v>0.0</v>
      </c>
      <c r="W4156" s="238">
        <v>0.0</v>
      </c>
      <c r="X4156" s="235" t="s">
        <v>628</v>
      </c>
      <c r="Z4156" s="245"/>
      <c r="AA4156" s="245"/>
      <c r="AB4156" s="245"/>
      <c r="AC4156" s="235" t="s">
        <v>5688</v>
      </c>
      <c r="AD4156" s="235" t="s">
        <v>645</v>
      </c>
      <c r="AE4156" s="238">
        <v>695010.0</v>
      </c>
      <c r="AF4156" s="235" t="s">
        <v>631</v>
      </c>
      <c r="AG4156" s="245"/>
      <c r="AH4156" s="245"/>
      <c r="AI4156" s="245"/>
      <c r="AJ4156" s="245"/>
      <c r="AK4156" s="245"/>
      <c r="AL4156" s="245"/>
      <c r="AM4156" s="245"/>
      <c r="AN4156" s="245"/>
      <c r="AO4156" s="238">
        <v>-44.26</v>
      </c>
      <c r="AP4156" s="238">
        <v>0.0</v>
      </c>
      <c r="AQ4156" s="235" t="s">
        <v>632</v>
      </c>
      <c r="AR4156" s="243">
        <v>1.68E11</v>
      </c>
      <c r="AS4156" s="235" t="s">
        <v>28482</v>
      </c>
      <c r="AT4156" s="235" t="s">
        <v>11</v>
      </c>
      <c r="AU4156" s="235" t="s">
        <v>634</v>
      </c>
      <c r="AV4156" s="246" t="s">
        <v>635</v>
      </c>
      <c r="AW4156" s="227"/>
      <c r="AX4156" s="227"/>
      <c r="AY4156" s="227"/>
      <c r="AZ4156" s="227"/>
      <c r="BA4156" s="227"/>
      <c r="BB4156" s="227"/>
      <c r="BC4156" s="227"/>
      <c r="BD4156" s="227"/>
      <c r="BE4156" s="227"/>
      <c r="BF4156" s="227"/>
    </row>
    <row r="4157">
      <c r="A4157" s="235" t="s">
        <v>30989</v>
      </c>
      <c r="C4157" s="235" t="s">
        <v>30990</v>
      </c>
      <c r="D4157" s="235" t="s">
        <v>30997</v>
      </c>
      <c r="E4157" s="243">
        <v>6.51E13</v>
      </c>
      <c r="F4157" s="245"/>
      <c r="G4157" s="235" t="s">
        <v>30992</v>
      </c>
      <c r="H4157" s="235" t="s">
        <v>30993</v>
      </c>
      <c r="I4157" s="235" t="s">
        <v>30994</v>
      </c>
      <c r="J4157" s="235" t="s">
        <v>30995</v>
      </c>
      <c r="K4157" s="235" t="s">
        <v>30996</v>
      </c>
      <c r="N4157" s="235" t="s">
        <v>145</v>
      </c>
      <c r="O4157" s="235" t="s">
        <v>370</v>
      </c>
      <c r="P4157" s="238">
        <v>1.0</v>
      </c>
      <c r="Q4157" s="235" t="s">
        <v>627</v>
      </c>
      <c r="R4157" s="238">
        <v>1475.24</v>
      </c>
      <c r="S4157" s="238">
        <v>71.55</v>
      </c>
      <c r="T4157" s="238">
        <v>0.0</v>
      </c>
      <c r="U4157" s="238">
        <v>0.0</v>
      </c>
      <c r="V4157" s="238">
        <v>0.0</v>
      </c>
      <c r="W4157" s="238">
        <v>0.0</v>
      </c>
      <c r="X4157" s="235" t="s">
        <v>628</v>
      </c>
      <c r="Z4157" s="245"/>
      <c r="AA4157" s="245"/>
      <c r="AB4157" s="245"/>
      <c r="AC4157" s="235" t="s">
        <v>5688</v>
      </c>
      <c r="AD4157" s="235" t="s">
        <v>645</v>
      </c>
      <c r="AE4157" s="238">
        <v>695010.0</v>
      </c>
      <c r="AF4157" s="235" t="s">
        <v>631</v>
      </c>
      <c r="AG4157" s="245"/>
      <c r="AH4157" s="245"/>
      <c r="AI4157" s="245"/>
      <c r="AJ4157" s="245"/>
      <c r="AK4157" s="245"/>
      <c r="AL4157" s="245"/>
      <c r="AM4157" s="245"/>
      <c r="AN4157" s="245"/>
      <c r="AO4157" s="238">
        <v>-44.26</v>
      </c>
      <c r="AP4157" s="238">
        <v>0.0</v>
      </c>
      <c r="AQ4157" s="235" t="s">
        <v>632</v>
      </c>
      <c r="AR4157" s="243">
        <v>1.68E11</v>
      </c>
      <c r="AS4157" s="235" t="s">
        <v>28482</v>
      </c>
      <c r="AT4157" s="235" t="s">
        <v>11</v>
      </c>
      <c r="AU4157" s="235" t="s">
        <v>634</v>
      </c>
      <c r="AV4157" s="246" t="s">
        <v>635</v>
      </c>
      <c r="AW4157" s="227"/>
      <c r="AX4157" s="227"/>
      <c r="AY4157" s="227"/>
      <c r="AZ4157" s="227"/>
      <c r="BA4157" s="227"/>
      <c r="BB4157" s="227"/>
      <c r="BC4157" s="227"/>
      <c r="BD4157" s="227"/>
      <c r="BE4157" s="227"/>
      <c r="BF4157" s="227"/>
    </row>
    <row r="4158">
      <c r="A4158" s="235" t="s">
        <v>30998</v>
      </c>
      <c r="C4158" s="235" t="s">
        <v>30999</v>
      </c>
      <c r="D4158" s="235" t="s">
        <v>31000</v>
      </c>
      <c r="E4158" s="243">
        <v>6.51E13</v>
      </c>
      <c r="F4158" s="245"/>
      <c r="G4158" s="235" t="s">
        <v>31001</v>
      </c>
      <c r="H4158" s="235" t="s">
        <v>31002</v>
      </c>
      <c r="I4158" s="235" t="s">
        <v>31002</v>
      </c>
      <c r="J4158" s="235" t="s">
        <v>31003</v>
      </c>
      <c r="K4158" s="235" t="s">
        <v>31004</v>
      </c>
      <c r="N4158" s="235" t="s">
        <v>1346</v>
      </c>
      <c r="O4158" s="235" t="s">
        <v>1347</v>
      </c>
      <c r="P4158" s="238">
        <v>1.0</v>
      </c>
      <c r="Q4158" s="235" t="s">
        <v>627</v>
      </c>
      <c r="R4158" s="238">
        <v>256.19</v>
      </c>
      <c r="S4158" s="238">
        <v>12.55</v>
      </c>
      <c r="T4158" s="238">
        <v>38.1</v>
      </c>
      <c r="U4158" s="238">
        <v>1.9</v>
      </c>
      <c r="V4158" s="238">
        <v>0.0</v>
      </c>
      <c r="W4158" s="238">
        <v>0.0</v>
      </c>
      <c r="X4158" s="235" t="s">
        <v>628</v>
      </c>
      <c r="Z4158" s="245"/>
      <c r="AA4158" s="245"/>
      <c r="AB4158" s="245"/>
      <c r="AC4158" s="235" t="s">
        <v>697</v>
      </c>
      <c r="AD4158" s="235" t="s">
        <v>698</v>
      </c>
      <c r="AE4158" s="238">
        <v>500016.0</v>
      </c>
      <c r="AF4158" s="235" t="s">
        <v>631</v>
      </c>
      <c r="AG4158" s="245"/>
      <c r="AH4158" s="245"/>
      <c r="AI4158" s="245"/>
      <c r="AJ4158" s="245"/>
      <c r="AK4158" s="245"/>
      <c r="AL4158" s="245"/>
      <c r="AM4158" s="245"/>
      <c r="AN4158" s="245"/>
      <c r="AO4158" s="238">
        <v>-5.12</v>
      </c>
      <c r="AP4158" s="238">
        <v>-38.1</v>
      </c>
      <c r="AQ4158" s="235" t="s">
        <v>1356</v>
      </c>
      <c r="AR4158" s="235" t="s">
        <v>31005</v>
      </c>
      <c r="AS4158" s="235" t="s">
        <v>23542</v>
      </c>
      <c r="AT4158" s="235" t="s">
        <v>16</v>
      </c>
      <c r="AU4158" s="235" t="s">
        <v>634</v>
      </c>
      <c r="AV4158" s="246" t="s">
        <v>635</v>
      </c>
      <c r="AW4158" s="227"/>
      <c r="AX4158" s="227"/>
      <c r="AY4158" s="227"/>
      <c r="AZ4158" s="227"/>
      <c r="BA4158" s="227"/>
      <c r="BB4158" s="227"/>
      <c r="BC4158" s="227"/>
      <c r="BD4158" s="227"/>
      <c r="BE4158" s="227"/>
      <c r="BF4158" s="227"/>
    </row>
    <row r="4159">
      <c r="A4159" s="235" t="s">
        <v>31006</v>
      </c>
      <c r="C4159" s="235" t="s">
        <v>31007</v>
      </c>
      <c r="D4159" s="235" t="s">
        <v>31008</v>
      </c>
      <c r="E4159" s="243">
        <v>6.51E13</v>
      </c>
      <c r="F4159" s="245"/>
      <c r="G4159" s="235" t="s">
        <v>31009</v>
      </c>
      <c r="H4159" s="235" t="s">
        <v>31010</v>
      </c>
      <c r="I4159" s="235" t="s">
        <v>31010</v>
      </c>
      <c r="J4159" s="235" t="s">
        <v>31011</v>
      </c>
      <c r="K4159" s="235" t="s">
        <v>31012</v>
      </c>
      <c r="N4159" s="235" t="s">
        <v>144</v>
      </c>
      <c r="O4159" s="235" t="s">
        <v>232</v>
      </c>
      <c r="P4159" s="238">
        <v>1.0</v>
      </c>
      <c r="Q4159" s="235" t="s">
        <v>627</v>
      </c>
      <c r="R4159" s="238">
        <v>626.67</v>
      </c>
      <c r="S4159" s="238">
        <v>31.33</v>
      </c>
      <c r="T4159" s="238">
        <v>0.0</v>
      </c>
      <c r="U4159" s="238">
        <v>0.0</v>
      </c>
      <c r="V4159" s="238">
        <v>0.0</v>
      </c>
      <c r="W4159" s="238">
        <v>0.0</v>
      </c>
      <c r="X4159" s="235" t="s">
        <v>628</v>
      </c>
      <c r="Z4159" s="245"/>
      <c r="AA4159" s="245"/>
      <c r="AB4159" s="245"/>
      <c r="AC4159" s="235" t="s">
        <v>31013</v>
      </c>
      <c r="AD4159" s="235" t="s">
        <v>1151</v>
      </c>
      <c r="AE4159" s="238">
        <v>700110.0</v>
      </c>
      <c r="AF4159" s="235" t="s">
        <v>631</v>
      </c>
      <c r="AG4159" s="245"/>
      <c r="AH4159" s="245"/>
      <c r="AI4159" s="245"/>
      <c r="AJ4159" s="245"/>
      <c r="AK4159" s="245"/>
      <c r="AL4159" s="245"/>
      <c r="AM4159" s="245"/>
      <c r="AN4159" s="245"/>
      <c r="AO4159" s="238">
        <v>0.0</v>
      </c>
      <c r="AP4159" s="238">
        <v>0.0</v>
      </c>
      <c r="AQ4159" s="235" t="s">
        <v>632</v>
      </c>
      <c r="AR4159" s="243">
        <v>2.02E11</v>
      </c>
      <c r="AS4159" s="235" t="s">
        <v>29883</v>
      </c>
      <c r="AT4159" s="235" t="s">
        <v>14</v>
      </c>
      <c r="AU4159" s="235" t="s">
        <v>634</v>
      </c>
      <c r="AV4159" s="246" t="s">
        <v>635</v>
      </c>
      <c r="AW4159" s="227"/>
      <c r="AX4159" s="227"/>
      <c r="AY4159" s="227"/>
      <c r="AZ4159" s="227"/>
      <c r="BA4159" s="227"/>
      <c r="BB4159" s="227"/>
      <c r="BC4159" s="227"/>
      <c r="BD4159" s="227"/>
      <c r="BE4159" s="227"/>
      <c r="BF4159" s="227"/>
    </row>
    <row r="4160">
      <c r="A4160" s="235" t="s">
        <v>31014</v>
      </c>
      <c r="C4160" s="235" t="s">
        <v>31015</v>
      </c>
      <c r="D4160" s="235" t="s">
        <v>31016</v>
      </c>
      <c r="E4160" s="243">
        <v>6.51E13</v>
      </c>
      <c r="F4160" s="245"/>
      <c r="G4160" s="235" t="s">
        <v>31017</v>
      </c>
      <c r="H4160" s="235" t="s">
        <v>31018</v>
      </c>
      <c r="I4160" s="235" t="s">
        <v>31019</v>
      </c>
      <c r="J4160" s="235" t="s">
        <v>31020</v>
      </c>
      <c r="K4160" s="235" t="s">
        <v>31021</v>
      </c>
      <c r="N4160" s="235" t="s">
        <v>136</v>
      </c>
      <c r="O4160" s="235" t="s">
        <v>256</v>
      </c>
      <c r="P4160" s="238">
        <v>1.0</v>
      </c>
      <c r="Q4160" s="235" t="s">
        <v>627</v>
      </c>
      <c r="R4160" s="238">
        <v>237.14</v>
      </c>
      <c r="S4160" s="238">
        <v>11.5</v>
      </c>
      <c r="T4160" s="238">
        <v>0.0</v>
      </c>
      <c r="U4160" s="238">
        <v>0.0</v>
      </c>
      <c r="V4160" s="238">
        <v>0.0</v>
      </c>
      <c r="W4160" s="238">
        <v>0.0</v>
      </c>
      <c r="X4160" s="235" t="s">
        <v>628</v>
      </c>
      <c r="Z4160" s="245"/>
      <c r="AA4160" s="245"/>
      <c r="AB4160" s="245"/>
      <c r="AC4160" s="235" t="s">
        <v>1456</v>
      </c>
      <c r="AD4160" s="235" t="s">
        <v>928</v>
      </c>
      <c r="AE4160" s="238">
        <v>122003.0</v>
      </c>
      <c r="AF4160" s="235" t="s">
        <v>631</v>
      </c>
      <c r="AG4160" s="245"/>
      <c r="AH4160" s="245"/>
      <c r="AI4160" s="245"/>
      <c r="AJ4160" s="245"/>
      <c r="AK4160" s="245"/>
      <c r="AL4160" s="245"/>
      <c r="AM4160" s="245"/>
      <c r="AN4160" s="245"/>
      <c r="AO4160" s="238">
        <v>-7.11</v>
      </c>
      <c r="AP4160" s="238">
        <v>0.0</v>
      </c>
      <c r="AQ4160" s="235" t="s">
        <v>632</v>
      </c>
      <c r="AR4160" s="243">
        <v>1.68E11</v>
      </c>
      <c r="AS4160" s="235" t="s">
        <v>30263</v>
      </c>
      <c r="AT4160" s="235" t="s">
        <v>14</v>
      </c>
      <c r="AU4160" s="235" t="s">
        <v>634</v>
      </c>
      <c r="AV4160" s="246" t="s">
        <v>635</v>
      </c>
      <c r="AW4160" s="227"/>
      <c r="AX4160" s="227"/>
      <c r="AY4160" s="227"/>
      <c r="AZ4160" s="227"/>
      <c r="BA4160" s="227"/>
      <c r="BB4160" s="227"/>
      <c r="BC4160" s="227"/>
      <c r="BD4160" s="227"/>
      <c r="BE4160" s="227"/>
      <c r="BF4160" s="227"/>
    </row>
    <row r="4161">
      <c r="A4161" s="235" t="s">
        <v>31022</v>
      </c>
      <c r="C4161" s="235" t="s">
        <v>31023</v>
      </c>
      <c r="D4161" s="235" t="s">
        <v>31024</v>
      </c>
      <c r="E4161" s="243">
        <v>6.51E13</v>
      </c>
      <c r="F4161" s="245"/>
      <c r="G4161" s="235" t="s">
        <v>31025</v>
      </c>
      <c r="H4161" s="235" t="s">
        <v>31026</v>
      </c>
      <c r="I4161" s="235" t="s">
        <v>31026</v>
      </c>
      <c r="J4161" s="235" t="s">
        <v>31027</v>
      </c>
      <c r="K4161" s="235" t="s">
        <v>31028</v>
      </c>
      <c r="N4161" s="235" t="s">
        <v>145</v>
      </c>
      <c r="O4161" s="235" t="s">
        <v>370</v>
      </c>
      <c r="P4161" s="238">
        <v>1.0</v>
      </c>
      <c r="Q4161" s="235" t="s">
        <v>627</v>
      </c>
      <c r="R4161" s="238">
        <v>1475.24</v>
      </c>
      <c r="S4161" s="238">
        <v>73.76</v>
      </c>
      <c r="T4161" s="238">
        <v>0.0</v>
      </c>
      <c r="U4161" s="238">
        <v>0.0</v>
      </c>
      <c r="V4161" s="238">
        <v>0.0</v>
      </c>
      <c r="W4161" s="238">
        <v>0.0</v>
      </c>
      <c r="X4161" s="235" t="s">
        <v>628</v>
      </c>
      <c r="Z4161" s="245"/>
      <c r="AA4161" s="245"/>
      <c r="AB4161" s="245"/>
      <c r="AC4161" s="235" t="s">
        <v>678</v>
      </c>
      <c r="AD4161" s="235" t="s">
        <v>679</v>
      </c>
      <c r="AE4161" s="238">
        <v>560077.0</v>
      </c>
      <c r="AF4161" s="235" t="s">
        <v>631</v>
      </c>
      <c r="AG4161" s="245"/>
      <c r="AH4161" s="245"/>
      <c r="AI4161" s="245"/>
      <c r="AJ4161" s="245"/>
      <c r="AK4161" s="245"/>
      <c r="AL4161" s="245"/>
      <c r="AM4161" s="245"/>
      <c r="AN4161" s="245"/>
      <c r="AO4161" s="238">
        <v>0.0</v>
      </c>
      <c r="AP4161" s="238">
        <v>0.0</v>
      </c>
      <c r="AQ4161" s="235" t="s">
        <v>632</v>
      </c>
      <c r="AR4161" s="243">
        <v>3.71E11</v>
      </c>
      <c r="AS4161" s="235" t="s">
        <v>29883</v>
      </c>
      <c r="AT4161" s="235" t="s">
        <v>9</v>
      </c>
      <c r="AU4161" s="235" t="s">
        <v>634</v>
      </c>
      <c r="AV4161" s="246" t="s">
        <v>635</v>
      </c>
      <c r="AW4161" s="227"/>
      <c r="AX4161" s="227"/>
      <c r="AY4161" s="227"/>
      <c r="AZ4161" s="227"/>
      <c r="BA4161" s="227"/>
      <c r="BB4161" s="227"/>
      <c r="BC4161" s="227"/>
      <c r="BD4161" s="227"/>
      <c r="BE4161" s="227"/>
      <c r="BF4161" s="227"/>
    </row>
    <row r="4162">
      <c r="A4162" s="235" t="s">
        <v>31029</v>
      </c>
      <c r="C4162" s="235" t="s">
        <v>31030</v>
      </c>
      <c r="D4162" s="235" t="s">
        <v>31031</v>
      </c>
      <c r="E4162" s="243">
        <v>6.51E13</v>
      </c>
      <c r="F4162" s="245"/>
      <c r="G4162" s="235" t="s">
        <v>31032</v>
      </c>
      <c r="H4162" s="235" t="s">
        <v>31033</v>
      </c>
      <c r="I4162" s="235" t="s">
        <v>31033</v>
      </c>
      <c r="J4162" s="235" t="s">
        <v>31034</v>
      </c>
      <c r="K4162" s="235" t="s">
        <v>31035</v>
      </c>
      <c r="N4162" s="235" t="s">
        <v>127</v>
      </c>
      <c r="O4162" s="235" t="s">
        <v>794</v>
      </c>
      <c r="P4162" s="238">
        <v>1.0</v>
      </c>
      <c r="Q4162" s="235" t="s">
        <v>627</v>
      </c>
      <c r="R4162" s="238">
        <v>236.19</v>
      </c>
      <c r="S4162" s="238">
        <v>11.81</v>
      </c>
      <c r="T4162" s="238">
        <v>0.0</v>
      </c>
      <c r="U4162" s="238">
        <v>0.0</v>
      </c>
      <c r="V4162" s="238">
        <v>0.0</v>
      </c>
      <c r="W4162" s="238">
        <v>0.0</v>
      </c>
      <c r="X4162" s="235" t="s">
        <v>628</v>
      </c>
      <c r="Z4162" s="245"/>
      <c r="AA4162" s="245"/>
      <c r="AB4162" s="245"/>
      <c r="AC4162" s="235" t="s">
        <v>21621</v>
      </c>
      <c r="AD4162" s="235" t="s">
        <v>698</v>
      </c>
      <c r="AE4162" s="238">
        <v>503224.0</v>
      </c>
      <c r="AF4162" s="235" t="s">
        <v>631</v>
      </c>
      <c r="AG4162" s="245"/>
      <c r="AH4162" s="245"/>
      <c r="AI4162" s="245"/>
      <c r="AJ4162" s="245"/>
      <c r="AK4162" s="245"/>
      <c r="AL4162" s="245"/>
      <c r="AM4162" s="245"/>
      <c r="AN4162" s="245"/>
      <c r="AO4162" s="238">
        <v>0.0</v>
      </c>
      <c r="AP4162" s="238">
        <v>0.0</v>
      </c>
      <c r="AQ4162" s="235" t="s">
        <v>632</v>
      </c>
      <c r="AR4162" s="243">
        <v>3.71E11</v>
      </c>
      <c r="AS4162" s="235" t="s">
        <v>26892</v>
      </c>
      <c r="AT4162" s="235" t="s">
        <v>11</v>
      </c>
      <c r="AU4162" s="235" t="s">
        <v>634</v>
      </c>
      <c r="AV4162" s="246" t="s">
        <v>635</v>
      </c>
      <c r="AW4162" s="227"/>
      <c r="AX4162" s="227"/>
      <c r="AY4162" s="227"/>
      <c r="AZ4162" s="227"/>
      <c r="BA4162" s="227"/>
      <c r="BB4162" s="227"/>
      <c r="BC4162" s="227"/>
      <c r="BD4162" s="227"/>
      <c r="BE4162" s="227"/>
      <c r="BF4162" s="227"/>
    </row>
    <row r="4163">
      <c r="A4163" s="235" t="s">
        <v>31036</v>
      </c>
      <c r="C4163" s="235" t="s">
        <v>31037</v>
      </c>
      <c r="D4163" s="235" t="s">
        <v>31038</v>
      </c>
      <c r="E4163" s="243">
        <v>6.51E13</v>
      </c>
      <c r="F4163" s="245"/>
      <c r="G4163" s="235" t="s">
        <v>31039</v>
      </c>
      <c r="H4163" s="235" t="s">
        <v>31040</v>
      </c>
      <c r="I4163" s="235" t="s">
        <v>31040</v>
      </c>
      <c r="J4163" s="235" t="s">
        <v>31041</v>
      </c>
      <c r="K4163" s="235" t="s">
        <v>31042</v>
      </c>
      <c r="N4163" s="235" t="s">
        <v>144</v>
      </c>
      <c r="O4163" s="235" t="s">
        <v>232</v>
      </c>
      <c r="P4163" s="238">
        <v>1.0</v>
      </c>
      <c r="Q4163" s="235" t="s">
        <v>627</v>
      </c>
      <c r="R4163" s="238">
        <v>626.66</v>
      </c>
      <c r="S4163" s="238">
        <v>31.34</v>
      </c>
      <c r="T4163" s="238">
        <v>0.0</v>
      </c>
      <c r="U4163" s="238">
        <v>0.0</v>
      </c>
      <c r="V4163" s="238">
        <v>0.0</v>
      </c>
      <c r="W4163" s="238">
        <v>0.0</v>
      </c>
      <c r="X4163" s="235" t="s">
        <v>628</v>
      </c>
      <c r="Z4163" s="245"/>
      <c r="AA4163" s="245"/>
      <c r="AB4163" s="245"/>
      <c r="AC4163" s="235" t="s">
        <v>1792</v>
      </c>
      <c r="AD4163" s="235" t="s">
        <v>1077</v>
      </c>
      <c r="AE4163" s="238">
        <v>390011.0</v>
      </c>
      <c r="AF4163" s="235" t="s">
        <v>631</v>
      </c>
      <c r="AG4163" s="245"/>
      <c r="AH4163" s="245"/>
      <c r="AI4163" s="245"/>
      <c r="AJ4163" s="245"/>
      <c r="AK4163" s="245"/>
      <c r="AL4163" s="245"/>
      <c r="AM4163" s="245"/>
      <c r="AN4163" s="245"/>
      <c r="AO4163" s="238">
        <v>0.0</v>
      </c>
      <c r="AP4163" s="238">
        <v>0.0</v>
      </c>
      <c r="AQ4163" s="235" t="s">
        <v>632</v>
      </c>
      <c r="AR4163" s="243">
        <v>1.68E11</v>
      </c>
      <c r="AS4163" s="235" t="s">
        <v>29883</v>
      </c>
      <c r="AT4163" s="235" t="s">
        <v>5</v>
      </c>
      <c r="AU4163" s="235" t="s">
        <v>634</v>
      </c>
      <c r="AV4163" s="246" t="s">
        <v>635</v>
      </c>
      <c r="AW4163" s="227"/>
      <c r="AX4163" s="227"/>
      <c r="AY4163" s="227"/>
      <c r="AZ4163" s="227"/>
      <c r="BA4163" s="227"/>
      <c r="BB4163" s="227"/>
      <c r="BC4163" s="227"/>
      <c r="BD4163" s="227"/>
      <c r="BE4163" s="227"/>
      <c r="BF4163" s="227"/>
    </row>
    <row r="4164">
      <c r="A4164" s="235" t="s">
        <v>31043</v>
      </c>
      <c r="C4164" s="235" t="s">
        <v>31044</v>
      </c>
      <c r="D4164" s="235" t="s">
        <v>31045</v>
      </c>
      <c r="E4164" s="243">
        <v>6.51E13</v>
      </c>
      <c r="F4164" s="245"/>
      <c r="G4164" s="235" t="s">
        <v>31046</v>
      </c>
      <c r="H4164" s="235" t="s">
        <v>31047</v>
      </c>
      <c r="I4164" s="235" t="s">
        <v>31047</v>
      </c>
      <c r="J4164" s="235" t="s">
        <v>31048</v>
      </c>
      <c r="K4164" s="235" t="s">
        <v>31049</v>
      </c>
      <c r="N4164" s="235" t="s">
        <v>726</v>
      </c>
      <c r="O4164" s="235" t="s">
        <v>727</v>
      </c>
      <c r="P4164" s="238">
        <v>1.0</v>
      </c>
      <c r="Q4164" s="235" t="s">
        <v>627</v>
      </c>
      <c r="R4164" s="238">
        <v>284.76</v>
      </c>
      <c r="S4164" s="238">
        <v>14.24</v>
      </c>
      <c r="T4164" s="238">
        <v>38.1</v>
      </c>
      <c r="U4164" s="238">
        <v>1.9</v>
      </c>
      <c r="V4164" s="238">
        <v>0.0</v>
      </c>
      <c r="W4164" s="238">
        <v>0.0</v>
      </c>
      <c r="X4164" s="235" t="s">
        <v>628</v>
      </c>
      <c r="Z4164" s="245"/>
      <c r="AA4164" s="245"/>
      <c r="AB4164" s="245"/>
      <c r="AC4164" s="235" t="s">
        <v>4420</v>
      </c>
      <c r="AD4164" s="235" t="s">
        <v>630</v>
      </c>
      <c r="AE4164" s="238">
        <v>208027.0</v>
      </c>
      <c r="AF4164" s="235" t="s">
        <v>631</v>
      </c>
      <c r="AG4164" s="245"/>
      <c r="AH4164" s="245"/>
      <c r="AI4164" s="245"/>
      <c r="AJ4164" s="245"/>
      <c r="AK4164" s="245"/>
      <c r="AL4164" s="245"/>
      <c r="AM4164" s="245"/>
      <c r="AN4164" s="245"/>
      <c r="AO4164" s="238">
        <v>0.0</v>
      </c>
      <c r="AP4164" s="238">
        <v>-38.1</v>
      </c>
      <c r="AQ4164" s="235" t="s">
        <v>632</v>
      </c>
      <c r="AR4164" s="243">
        <v>3.71E11</v>
      </c>
      <c r="AS4164" s="235" t="s">
        <v>26892</v>
      </c>
      <c r="AT4164" s="235" t="s">
        <v>14</v>
      </c>
      <c r="AU4164" s="235" t="s">
        <v>634</v>
      </c>
      <c r="AV4164" s="246" t="s">
        <v>635</v>
      </c>
      <c r="AW4164" s="227"/>
      <c r="AX4164" s="227"/>
      <c r="AY4164" s="227"/>
      <c r="AZ4164" s="227"/>
      <c r="BA4164" s="227"/>
      <c r="BB4164" s="227"/>
      <c r="BC4164" s="227"/>
      <c r="BD4164" s="227"/>
      <c r="BE4164" s="227"/>
      <c r="BF4164" s="227"/>
    </row>
    <row r="4165">
      <c r="A4165" s="235" t="s">
        <v>31050</v>
      </c>
      <c r="C4165" s="235" t="s">
        <v>31051</v>
      </c>
      <c r="D4165" s="235" t="s">
        <v>31052</v>
      </c>
      <c r="E4165" s="243">
        <v>6.51E13</v>
      </c>
      <c r="F4165" s="245"/>
      <c r="G4165" s="235" t="s">
        <v>31053</v>
      </c>
      <c r="H4165" s="235" t="s">
        <v>31054</v>
      </c>
      <c r="I4165" s="235" t="s">
        <v>31054</v>
      </c>
      <c r="J4165" s="235" t="s">
        <v>31055</v>
      </c>
      <c r="K4165" s="235" t="s">
        <v>31056</v>
      </c>
      <c r="N4165" s="235" t="s">
        <v>47</v>
      </c>
      <c r="O4165" s="235" t="s">
        <v>270</v>
      </c>
      <c r="P4165" s="238">
        <v>1.0</v>
      </c>
      <c r="Q4165" s="235" t="s">
        <v>627</v>
      </c>
      <c r="R4165" s="238">
        <v>236.19</v>
      </c>
      <c r="S4165" s="238">
        <v>11.46</v>
      </c>
      <c r="T4165" s="238">
        <v>0.0</v>
      </c>
      <c r="U4165" s="238">
        <v>0.0</v>
      </c>
      <c r="V4165" s="238">
        <v>0.0</v>
      </c>
      <c r="W4165" s="238">
        <v>0.0</v>
      </c>
      <c r="X4165" s="235" t="s">
        <v>628</v>
      </c>
      <c r="Z4165" s="245"/>
      <c r="AA4165" s="245"/>
      <c r="AB4165" s="245"/>
      <c r="AC4165" s="235" t="s">
        <v>2493</v>
      </c>
      <c r="AD4165" s="235" t="s">
        <v>833</v>
      </c>
      <c r="AE4165" s="238">
        <v>520004.0</v>
      </c>
      <c r="AF4165" s="235" t="s">
        <v>631</v>
      </c>
      <c r="AG4165" s="245"/>
      <c r="AH4165" s="245"/>
      <c r="AI4165" s="245"/>
      <c r="AJ4165" s="245"/>
      <c r="AK4165" s="245"/>
      <c r="AL4165" s="245"/>
      <c r="AM4165" s="245"/>
      <c r="AN4165" s="245"/>
      <c r="AO4165" s="238">
        <v>-7.09</v>
      </c>
      <c r="AP4165" s="238">
        <v>0.0</v>
      </c>
      <c r="AQ4165" s="235" t="s">
        <v>632</v>
      </c>
      <c r="AR4165" s="243">
        <v>1.68E11</v>
      </c>
      <c r="AS4165" s="235" t="s">
        <v>29883</v>
      </c>
      <c r="AT4165" s="235" t="s">
        <v>156</v>
      </c>
      <c r="AU4165" s="235" t="s">
        <v>634</v>
      </c>
      <c r="AV4165" s="246" t="s">
        <v>635</v>
      </c>
      <c r="AW4165" s="227"/>
      <c r="AX4165" s="227"/>
      <c r="AY4165" s="227"/>
      <c r="AZ4165" s="227"/>
      <c r="BA4165" s="227"/>
      <c r="BB4165" s="227"/>
      <c r="BC4165" s="227"/>
      <c r="BD4165" s="227"/>
      <c r="BE4165" s="227"/>
      <c r="BF4165" s="227"/>
    </row>
    <row r="4166">
      <c r="A4166" s="235" t="s">
        <v>31057</v>
      </c>
      <c r="C4166" s="235" t="s">
        <v>31058</v>
      </c>
      <c r="D4166" s="235" t="s">
        <v>31059</v>
      </c>
      <c r="E4166" s="243">
        <v>6.51E13</v>
      </c>
      <c r="F4166" s="245"/>
      <c r="G4166" s="235" t="s">
        <v>31060</v>
      </c>
      <c r="H4166" s="235" t="s">
        <v>31061</v>
      </c>
      <c r="I4166" s="235" t="s">
        <v>31061</v>
      </c>
      <c r="J4166" s="235" t="s">
        <v>31062</v>
      </c>
      <c r="K4166" s="235" t="s">
        <v>31063</v>
      </c>
      <c r="N4166" s="235" t="s">
        <v>92</v>
      </c>
      <c r="O4166" s="235" t="s">
        <v>248</v>
      </c>
      <c r="P4166" s="238">
        <v>1.0</v>
      </c>
      <c r="Q4166" s="235" t="s">
        <v>627</v>
      </c>
      <c r="R4166" s="238">
        <v>233.33</v>
      </c>
      <c r="S4166" s="238">
        <v>11.67</v>
      </c>
      <c r="T4166" s="238">
        <v>0.0</v>
      </c>
      <c r="U4166" s="238">
        <v>0.0</v>
      </c>
      <c r="V4166" s="238">
        <v>0.0</v>
      </c>
      <c r="W4166" s="238">
        <v>0.0</v>
      </c>
      <c r="X4166" s="235" t="s">
        <v>628</v>
      </c>
      <c r="Z4166" s="245"/>
      <c r="AA4166" s="245"/>
      <c r="AB4166" s="245"/>
      <c r="AC4166" s="235" t="s">
        <v>937</v>
      </c>
      <c r="AD4166" s="235" t="s">
        <v>709</v>
      </c>
      <c r="AE4166" s="238">
        <v>800025.0</v>
      </c>
      <c r="AF4166" s="235" t="s">
        <v>631</v>
      </c>
      <c r="AG4166" s="245"/>
      <c r="AH4166" s="245"/>
      <c r="AI4166" s="245"/>
      <c r="AJ4166" s="245"/>
      <c r="AK4166" s="245"/>
      <c r="AL4166" s="245"/>
      <c r="AM4166" s="245"/>
      <c r="AN4166" s="245"/>
      <c r="AO4166" s="238">
        <v>0.0</v>
      </c>
      <c r="AP4166" s="238">
        <v>0.0</v>
      </c>
      <c r="AQ4166" s="235" t="s">
        <v>632</v>
      </c>
      <c r="AR4166" s="243">
        <v>2.02E11</v>
      </c>
      <c r="AS4166" s="235" t="s">
        <v>29883</v>
      </c>
      <c r="AT4166" s="235" t="s">
        <v>9</v>
      </c>
      <c r="AU4166" s="235" t="s">
        <v>634</v>
      </c>
      <c r="AV4166" s="246" t="s">
        <v>635</v>
      </c>
      <c r="AW4166" s="227"/>
      <c r="AX4166" s="227"/>
      <c r="AY4166" s="227"/>
      <c r="AZ4166" s="227"/>
      <c r="BA4166" s="227"/>
      <c r="BB4166" s="227"/>
      <c r="BC4166" s="227"/>
      <c r="BD4166" s="227"/>
      <c r="BE4166" s="227"/>
      <c r="BF4166" s="227"/>
    </row>
    <row r="4167">
      <c r="A4167" s="235" t="s">
        <v>31064</v>
      </c>
      <c r="C4167" s="235" t="s">
        <v>31065</v>
      </c>
      <c r="D4167" s="235" t="s">
        <v>31066</v>
      </c>
      <c r="E4167" s="243">
        <v>6.51E13</v>
      </c>
      <c r="F4167" s="245"/>
      <c r="G4167" s="235" t="s">
        <v>31067</v>
      </c>
      <c r="H4167" s="235" t="s">
        <v>31068</v>
      </c>
      <c r="I4167" s="235" t="s">
        <v>31068</v>
      </c>
      <c r="J4167" s="235" t="s">
        <v>31069</v>
      </c>
      <c r="K4167" s="235" t="s">
        <v>17439</v>
      </c>
      <c r="N4167" s="235" t="s">
        <v>127</v>
      </c>
      <c r="O4167" s="235" t="s">
        <v>794</v>
      </c>
      <c r="P4167" s="238">
        <v>1.0</v>
      </c>
      <c r="Q4167" s="235" t="s">
        <v>627</v>
      </c>
      <c r="R4167" s="238">
        <v>236.19</v>
      </c>
      <c r="S4167" s="238">
        <v>11.81</v>
      </c>
      <c r="T4167" s="238">
        <v>0.0</v>
      </c>
      <c r="U4167" s="238">
        <v>0.0</v>
      </c>
      <c r="V4167" s="238">
        <v>0.0</v>
      </c>
      <c r="W4167" s="238">
        <v>0.0</v>
      </c>
      <c r="X4167" s="235" t="s">
        <v>628</v>
      </c>
      <c r="Z4167" s="245"/>
      <c r="AA4167" s="245"/>
      <c r="AB4167" s="245"/>
      <c r="AC4167" s="235" t="s">
        <v>2452</v>
      </c>
      <c r="AD4167" s="235" t="s">
        <v>1151</v>
      </c>
      <c r="AE4167" s="238">
        <v>700091.0</v>
      </c>
      <c r="AF4167" s="235" t="s">
        <v>631</v>
      </c>
      <c r="AG4167" s="245"/>
      <c r="AH4167" s="245"/>
      <c r="AI4167" s="245"/>
      <c r="AJ4167" s="245"/>
      <c r="AK4167" s="245"/>
      <c r="AL4167" s="245"/>
      <c r="AM4167" s="245"/>
      <c r="AN4167" s="245"/>
      <c r="AO4167" s="238">
        <v>0.0</v>
      </c>
      <c r="AP4167" s="238">
        <v>0.0</v>
      </c>
      <c r="AQ4167" s="235" t="s">
        <v>632</v>
      </c>
      <c r="AR4167" s="243">
        <v>2.02E11</v>
      </c>
      <c r="AS4167" s="235" t="s">
        <v>28482</v>
      </c>
      <c r="AT4167" s="235" t="s">
        <v>533</v>
      </c>
      <c r="AU4167" s="235" t="s">
        <v>634</v>
      </c>
      <c r="AV4167" s="246" t="s">
        <v>635</v>
      </c>
      <c r="AW4167" s="227"/>
      <c r="AX4167" s="227"/>
      <c r="AY4167" s="227"/>
      <c r="AZ4167" s="227"/>
      <c r="BA4167" s="227"/>
      <c r="BB4167" s="227"/>
      <c r="BC4167" s="227"/>
      <c r="BD4167" s="227"/>
      <c r="BE4167" s="227"/>
      <c r="BF4167" s="227"/>
    </row>
    <row r="4168">
      <c r="A4168" s="235" t="s">
        <v>31070</v>
      </c>
      <c r="C4168" s="235" t="s">
        <v>31071</v>
      </c>
      <c r="D4168" s="235" t="s">
        <v>31072</v>
      </c>
      <c r="E4168" s="243">
        <v>6.51E13</v>
      </c>
      <c r="F4168" s="245"/>
      <c r="G4168" s="235" t="s">
        <v>31073</v>
      </c>
      <c r="H4168" s="235" t="s">
        <v>31074</v>
      </c>
      <c r="I4168" s="235" t="s">
        <v>31075</v>
      </c>
      <c r="J4168" s="235" t="s">
        <v>31076</v>
      </c>
      <c r="K4168" s="235" t="s">
        <v>31077</v>
      </c>
      <c r="N4168" s="235" t="s">
        <v>154</v>
      </c>
      <c r="O4168" s="235" t="s">
        <v>766</v>
      </c>
      <c r="P4168" s="238">
        <v>2.0</v>
      </c>
      <c r="Q4168" s="235" t="s">
        <v>627</v>
      </c>
      <c r="R4168" s="238">
        <v>847.62</v>
      </c>
      <c r="S4168" s="238">
        <v>41.1</v>
      </c>
      <c r="T4168" s="238">
        <v>0.0</v>
      </c>
      <c r="U4168" s="238">
        <v>0.0</v>
      </c>
      <c r="V4168" s="238">
        <v>0.0</v>
      </c>
      <c r="W4168" s="238">
        <v>0.0</v>
      </c>
      <c r="X4168" s="235" t="s">
        <v>628</v>
      </c>
      <c r="Z4168" s="245"/>
      <c r="AA4168" s="245"/>
      <c r="AB4168" s="245"/>
      <c r="AC4168" s="235" t="s">
        <v>697</v>
      </c>
      <c r="AD4168" s="235" t="s">
        <v>698</v>
      </c>
      <c r="AE4168" s="238">
        <v>500049.0</v>
      </c>
      <c r="AF4168" s="235" t="s">
        <v>631</v>
      </c>
      <c r="AG4168" s="245"/>
      <c r="AH4168" s="245"/>
      <c r="AI4168" s="245"/>
      <c r="AJ4168" s="245"/>
      <c r="AK4168" s="245"/>
      <c r="AL4168" s="245"/>
      <c r="AM4168" s="245"/>
      <c r="AN4168" s="245"/>
      <c r="AO4168" s="238">
        <v>-25.42</v>
      </c>
      <c r="AP4168" s="238">
        <v>0.0</v>
      </c>
      <c r="AQ4168" s="235" t="s">
        <v>632</v>
      </c>
      <c r="AR4168" s="243">
        <v>2.02E11</v>
      </c>
      <c r="AS4168" s="235" t="s">
        <v>29883</v>
      </c>
      <c r="AT4168" s="235" t="s">
        <v>156</v>
      </c>
      <c r="AU4168" s="235" t="s">
        <v>634</v>
      </c>
      <c r="AV4168" s="246" t="s">
        <v>635</v>
      </c>
      <c r="AW4168" s="227"/>
      <c r="AX4168" s="227"/>
      <c r="AY4168" s="227"/>
      <c r="AZ4168" s="227"/>
      <c r="BA4168" s="227"/>
      <c r="BB4168" s="227"/>
      <c r="BC4168" s="227"/>
      <c r="BD4168" s="227"/>
      <c r="BE4168" s="227"/>
      <c r="BF4168" s="227"/>
    </row>
    <row r="4169">
      <c r="A4169" s="235" t="s">
        <v>31070</v>
      </c>
      <c r="C4169" s="235" t="s">
        <v>31071</v>
      </c>
      <c r="D4169" s="235" t="s">
        <v>31078</v>
      </c>
      <c r="E4169" s="243">
        <v>6.51E13</v>
      </c>
      <c r="F4169" s="245"/>
      <c r="G4169" s="235" t="s">
        <v>31073</v>
      </c>
      <c r="H4169" s="235" t="s">
        <v>31074</v>
      </c>
      <c r="I4169" s="235" t="s">
        <v>31075</v>
      </c>
      <c r="J4169" s="235" t="s">
        <v>31076</v>
      </c>
      <c r="K4169" s="235" t="s">
        <v>31077</v>
      </c>
      <c r="N4169" s="235" t="s">
        <v>154</v>
      </c>
      <c r="O4169" s="235" t="s">
        <v>766</v>
      </c>
      <c r="P4169" s="238">
        <v>1.0</v>
      </c>
      <c r="Q4169" s="235" t="s">
        <v>627</v>
      </c>
      <c r="R4169" s="238">
        <v>423.81</v>
      </c>
      <c r="S4169" s="238">
        <v>20.55</v>
      </c>
      <c r="T4169" s="238">
        <v>0.0</v>
      </c>
      <c r="U4169" s="238">
        <v>0.0</v>
      </c>
      <c r="V4169" s="238">
        <v>0.0</v>
      </c>
      <c r="W4169" s="238">
        <v>0.0</v>
      </c>
      <c r="X4169" s="235" t="s">
        <v>628</v>
      </c>
      <c r="Z4169" s="245"/>
      <c r="AA4169" s="245"/>
      <c r="AB4169" s="245"/>
      <c r="AC4169" s="235" t="s">
        <v>697</v>
      </c>
      <c r="AD4169" s="235" t="s">
        <v>698</v>
      </c>
      <c r="AE4169" s="238">
        <v>500049.0</v>
      </c>
      <c r="AF4169" s="235" t="s">
        <v>631</v>
      </c>
      <c r="AG4169" s="245"/>
      <c r="AH4169" s="245"/>
      <c r="AI4169" s="245"/>
      <c r="AJ4169" s="245"/>
      <c r="AK4169" s="245"/>
      <c r="AL4169" s="245"/>
      <c r="AM4169" s="245"/>
      <c r="AN4169" s="245"/>
      <c r="AO4169" s="238">
        <v>-12.71</v>
      </c>
      <c r="AP4169" s="238">
        <v>0.0</v>
      </c>
      <c r="AQ4169" s="235" t="s">
        <v>632</v>
      </c>
      <c r="AR4169" s="243">
        <v>2.02E11</v>
      </c>
      <c r="AS4169" s="235" t="s">
        <v>29883</v>
      </c>
      <c r="AT4169" s="235" t="s">
        <v>156</v>
      </c>
      <c r="AU4169" s="235" t="s">
        <v>634</v>
      </c>
      <c r="AV4169" s="246" t="s">
        <v>635</v>
      </c>
      <c r="AW4169" s="227"/>
      <c r="AX4169" s="227"/>
      <c r="AY4169" s="227"/>
      <c r="AZ4169" s="227"/>
      <c r="BA4169" s="227"/>
      <c r="BB4169" s="227"/>
      <c r="BC4169" s="227"/>
      <c r="BD4169" s="227"/>
      <c r="BE4169" s="227"/>
      <c r="BF4169" s="227"/>
    </row>
    <row r="4170">
      <c r="A4170" s="235" t="s">
        <v>31079</v>
      </c>
      <c r="C4170" s="235" t="s">
        <v>31080</v>
      </c>
      <c r="D4170" s="235" t="s">
        <v>31081</v>
      </c>
      <c r="E4170" s="243">
        <v>6.51E13</v>
      </c>
      <c r="F4170" s="245"/>
      <c r="G4170" s="235" t="s">
        <v>31082</v>
      </c>
      <c r="H4170" s="235" t="s">
        <v>31083</v>
      </c>
      <c r="I4170" s="235" t="s">
        <v>31083</v>
      </c>
      <c r="J4170" s="235" t="s">
        <v>31084</v>
      </c>
      <c r="K4170" s="235" t="s">
        <v>31085</v>
      </c>
      <c r="N4170" s="235" t="s">
        <v>42</v>
      </c>
      <c r="O4170" s="235" t="s">
        <v>204</v>
      </c>
      <c r="P4170" s="238">
        <v>1.0</v>
      </c>
      <c r="Q4170" s="235" t="s">
        <v>627</v>
      </c>
      <c r="R4170" s="238">
        <v>236.19</v>
      </c>
      <c r="S4170" s="238">
        <v>11.81</v>
      </c>
      <c r="T4170" s="238">
        <v>0.0</v>
      </c>
      <c r="U4170" s="238">
        <v>0.0</v>
      </c>
      <c r="V4170" s="238">
        <v>0.0</v>
      </c>
      <c r="W4170" s="238">
        <v>0.0</v>
      </c>
      <c r="X4170" s="235" t="s">
        <v>628</v>
      </c>
      <c r="Z4170" s="245"/>
      <c r="AA4170" s="245"/>
      <c r="AB4170" s="245"/>
      <c r="AC4170" s="235" t="s">
        <v>2493</v>
      </c>
      <c r="AD4170" s="235" t="s">
        <v>833</v>
      </c>
      <c r="AE4170" s="238">
        <v>522501.0</v>
      </c>
      <c r="AF4170" s="235" t="s">
        <v>631</v>
      </c>
      <c r="AG4170" s="245"/>
      <c r="AH4170" s="245"/>
      <c r="AI4170" s="245"/>
      <c r="AJ4170" s="245"/>
      <c r="AK4170" s="245"/>
      <c r="AL4170" s="245"/>
      <c r="AM4170" s="245"/>
      <c r="AN4170" s="245"/>
      <c r="AO4170" s="238">
        <v>0.0</v>
      </c>
      <c r="AP4170" s="238">
        <v>0.0</v>
      </c>
      <c r="AQ4170" s="235" t="s">
        <v>632</v>
      </c>
      <c r="AR4170" s="243">
        <v>1.68E11</v>
      </c>
      <c r="AS4170" s="235" t="s">
        <v>29883</v>
      </c>
      <c r="AT4170" s="235" t="s">
        <v>156</v>
      </c>
      <c r="AU4170" s="235" t="s">
        <v>634</v>
      </c>
      <c r="AV4170" s="246" t="s">
        <v>635</v>
      </c>
      <c r="AW4170" s="227"/>
      <c r="AX4170" s="227"/>
      <c r="AY4170" s="227"/>
      <c r="AZ4170" s="227"/>
      <c r="BA4170" s="227"/>
      <c r="BB4170" s="227"/>
      <c r="BC4170" s="227"/>
      <c r="BD4170" s="227"/>
      <c r="BE4170" s="227"/>
      <c r="BF4170" s="227"/>
    </row>
    <row r="4171">
      <c r="A4171" s="235" t="s">
        <v>31086</v>
      </c>
      <c r="C4171" s="235" t="s">
        <v>31087</v>
      </c>
      <c r="D4171" s="235" t="s">
        <v>31088</v>
      </c>
      <c r="E4171" s="243">
        <v>6.51E13</v>
      </c>
      <c r="F4171" s="245"/>
      <c r="G4171" s="235" t="s">
        <v>31089</v>
      </c>
      <c r="H4171" s="235" t="s">
        <v>31090</v>
      </c>
      <c r="I4171" s="235" t="s">
        <v>31090</v>
      </c>
      <c r="J4171" s="235" t="s">
        <v>31091</v>
      </c>
      <c r="K4171" s="235" t="s">
        <v>25508</v>
      </c>
      <c r="N4171" s="235" t="s">
        <v>127</v>
      </c>
      <c r="O4171" s="235" t="s">
        <v>794</v>
      </c>
      <c r="P4171" s="238">
        <v>1.0</v>
      </c>
      <c r="Q4171" s="235" t="s">
        <v>627</v>
      </c>
      <c r="R4171" s="238">
        <v>236.19</v>
      </c>
      <c r="S4171" s="238">
        <v>11.46</v>
      </c>
      <c r="T4171" s="238">
        <v>0.0</v>
      </c>
      <c r="U4171" s="238">
        <v>0.0</v>
      </c>
      <c r="V4171" s="238">
        <v>0.0</v>
      </c>
      <c r="W4171" s="238">
        <v>0.0</v>
      </c>
      <c r="X4171" s="235" t="s">
        <v>628</v>
      </c>
      <c r="Z4171" s="245"/>
      <c r="AA4171" s="245"/>
      <c r="AB4171" s="245"/>
      <c r="AC4171" s="235" t="s">
        <v>1279</v>
      </c>
      <c r="AD4171" s="235" t="s">
        <v>917</v>
      </c>
      <c r="AE4171" s="238">
        <v>302019.0</v>
      </c>
      <c r="AF4171" s="235" t="s">
        <v>631</v>
      </c>
      <c r="AG4171" s="245"/>
      <c r="AH4171" s="245"/>
      <c r="AI4171" s="245"/>
      <c r="AJ4171" s="245"/>
      <c r="AK4171" s="245"/>
      <c r="AL4171" s="245"/>
      <c r="AM4171" s="245"/>
      <c r="AN4171" s="245"/>
      <c r="AO4171" s="238">
        <v>-7.09</v>
      </c>
      <c r="AP4171" s="238">
        <v>0.0</v>
      </c>
      <c r="AQ4171" s="235" t="s">
        <v>632</v>
      </c>
      <c r="AR4171" s="243">
        <v>1.68E11</v>
      </c>
      <c r="AS4171" s="235" t="s">
        <v>29883</v>
      </c>
      <c r="AT4171" s="235" t="s">
        <v>533</v>
      </c>
      <c r="AU4171" s="235" t="s">
        <v>634</v>
      </c>
      <c r="AV4171" s="246" t="s">
        <v>635</v>
      </c>
      <c r="AW4171" s="227"/>
      <c r="AX4171" s="227"/>
      <c r="AY4171" s="227"/>
      <c r="AZ4171" s="227"/>
      <c r="BA4171" s="227"/>
      <c r="BB4171" s="227"/>
      <c r="BC4171" s="227"/>
      <c r="BD4171" s="227"/>
      <c r="BE4171" s="227"/>
      <c r="BF4171" s="227"/>
    </row>
    <row r="4172">
      <c r="A4172" s="235" t="s">
        <v>31092</v>
      </c>
      <c r="C4172" s="235" t="s">
        <v>31093</v>
      </c>
      <c r="D4172" s="235" t="s">
        <v>31094</v>
      </c>
      <c r="E4172" s="243">
        <v>6.51E13</v>
      </c>
      <c r="F4172" s="245"/>
      <c r="G4172" s="235" t="s">
        <v>31095</v>
      </c>
      <c r="H4172" s="235" t="s">
        <v>31096</v>
      </c>
      <c r="I4172" s="235" t="s">
        <v>31096</v>
      </c>
      <c r="J4172" s="235" t="s">
        <v>31097</v>
      </c>
      <c r="K4172" s="235" t="s">
        <v>31098</v>
      </c>
      <c r="N4172" s="235" t="s">
        <v>144</v>
      </c>
      <c r="O4172" s="235" t="s">
        <v>232</v>
      </c>
      <c r="P4172" s="238">
        <v>1.0</v>
      </c>
      <c r="Q4172" s="235" t="s">
        <v>627</v>
      </c>
      <c r="R4172" s="238">
        <v>626.66</v>
      </c>
      <c r="S4172" s="238">
        <v>30.4</v>
      </c>
      <c r="T4172" s="238">
        <v>0.0</v>
      </c>
      <c r="U4172" s="238">
        <v>0.0</v>
      </c>
      <c r="V4172" s="238">
        <v>0.0</v>
      </c>
      <c r="W4172" s="238">
        <v>0.0</v>
      </c>
      <c r="X4172" s="235" t="s">
        <v>628</v>
      </c>
      <c r="Z4172" s="245"/>
      <c r="AA4172" s="245"/>
      <c r="AB4172" s="245"/>
      <c r="AC4172" s="235" t="s">
        <v>844</v>
      </c>
      <c r="AD4172" s="235" t="s">
        <v>845</v>
      </c>
      <c r="AE4172" s="238">
        <v>411057.0</v>
      </c>
      <c r="AF4172" s="235" t="s">
        <v>631</v>
      </c>
      <c r="AG4172" s="245"/>
      <c r="AH4172" s="245"/>
      <c r="AI4172" s="245"/>
      <c r="AJ4172" s="245"/>
      <c r="AK4172" s="245"/>
      <c r="AL4172" s="245"/>
      <c r="AM4172" s="245"/>
      <c r="AN4172" s="245"/>
      <c r="AO4172" s="238">
        <v>-18.8</v>
      </c>
      <c r="AP4172" s="238">
        <v>0.0</v>
      </c>
      <c r="AQ4172" s="235" t="s">
        <v>632</v>
      </c>
      <c r="AR4172" s="243">
        <v>3.71E11</v>
      </c>
      <c r="AS4172" s="235" t="s">
        <v>29883</v>
      </c>
      <c r="AT4172" s="235" t="s">
        <v>546</v>
      </c>
      <c r="AU4172" s="235" t="s">
        <v>634</v>
      </c>
      <c r="AV4172" s="246" t="s">
        <v>635</v>
      </c>
      <c r="AW4172" s="227"/>
      <c r="AX4172" s="227"/>
      <c r="AY4172" s="227"/>
      <c r="AZ4172" s="227"/>
      <c r="BA4172" s="227"/>
      <c r="BB4172" s="227"/>
      <c r="BC4172" s="227"/>
      <c r="BD4172" s="227"/>
      <c r="BE4172" s="227"/>
      <c r="BF4172" s="227"/>
    </row>
    <row r="4173">
      <c r="A4173" s="235" t="s">
        <v>31099</v>
      </c>
      <c r="C4173" s="235" t="s">
        <v>31100</v>
      </c>
      <c r="D4173" s="235" t="s">
        <v>31101</v>
      </c>
      <c r="E4173" s="243">
        <v>6.51E13</v>
      </c>
      <c r="F4173" s="245"/>
      <c r="G4173" s="235" t="s">
        <v>31102</v>
      </c>
      <c r="H4173" s="235" t="s">
        <v>31103</v>
      </c>
      <c r="I4173" s="235" t="s">
        <v>31103</v>
      </c>
      <c r="J4173" s="235" t="s">
        <v>31104</v>
      </c>
      <c r="K4173" s="235" t="s">
        <v>31105</v>
      </c>
      <c r="N4173" s="235" t="s">
        <v>154</v>
      </c>
      <c r="O4173" s="235" t="s">
        <v>766</v>
      </c>
      <c r="P4173" s="238">
        <v>1.0</v>
      </c>
      <c r="Q4173" s="235" t="s">
        <v>627</v>
      </c>
      <c r="R4173" s="238">
        <v>423.81</v>
      </c>
      <c r="S4173" s="238">
        <v>20.55</v>
      </c>
      <c r="T4173" s="238">
        <v>0.0</v>
      </c>
      <c r="U4173" s="238">
        <v>0.0</v>
      </c>
      <c r="V4173" s="238">
        <v>0.0</v>
      </c>
      <c r="W4173" s="238">
        <v>0.0</v>
      </c>
      <c r="X4173" s="235" t="s">
        <v>628</v>
      </c>
      <c r="Z4173" s="245"/>
      <c r="AA4173" s="245"/>
      <c r="AB4173" s="245"/>
      <c r="AC4173" s="235" t="s">
        <v>2325</v>
      </c>
      <c r="AD4173" s="235" t="s">
        <v>645</v>
      </c>
      <c r="AE4173" s="238">
        <v>683541.0</v>
      </c>
      <c r="AF4173" s="235" t="s">
        <v>631</v>
      </c>
      <c r="AG4173" s="245"/>
      <c r="AH4173" s="245"/>
      <c r="AI4173" s="245"/>
      <c r="AJ4173" s="245"/>
      <c r="AK4173" s="245"/>
      <c r="AL4173" s="245"/>
      <c r="AM4173" s="245"/>
      <c r="AN4173" s="245"/>
      <c r="AO4173" s="238">
        <v>-12.71</v>
      </c>
      <c r="AP4173" s="238">
        <v>0.0</v>
      </c>
      <c r="AQ4173" s="235" t="s">
        <v>632</v>
      </c>
      <c r="AR4173" s="243">
        <v>3.71E11</v>
      </c>
      <c r="AS4173" s="235" t="s">
        <v>29883</v>
      </c>
      <c r="AT4173" s="235" t="s">
        <v>155</v>
      </c>
      <c r="AU4173" s="235" t="s">
        <v>634</v>
      </c>
      <c r="AV4173" s="246" t="s">
        <v>635</v>
      </c>
      <c r="AW4173" s="227"/>
      <c r="AX4173" s="227"/>
      <c r="AY4173" s="227"/>
      <c r="AZ4173" s="227"/>
      <c r="BA4173" s="227"/>
      <c r="BB4173" s="227"/>
      <c r="BC4173" s="227"/>
      <c r="BD4173" s="227"/>
      <c r="BE4173" s="227"/>
      <c r="BF4173" s="227"/>
    </row>
    <row r="4174">
      <c r="A4174" s="235" t="s">
        <v>31099</v>
      </c>
      <c r="C4174" s="235" t="s">
        <v>31100</v>
      </c>
      <c r="D4174" s="235" t="s">
        <v>31106</v>
      </c>
      <c r="E4174" s="243">
        <v>6.51E13</v>
      </c>
      <c r="F4174" s="245"/>
      <c r="G4174" s="235" t="s">
        <v>31102</v>
      </c>
      <c r="H4174" s="235" t="s">
        <v>31103</v>
      </c>
      <c r="I4174" s="235" t="s">
        <v>31103</v>
      </c>
      <c r="J4174" s="235" t="s">
        <v>31104</v>
      </c>
      <c r="K4174" s="235" t="s">
        <v>31105</v>
      </c>
      <c r="N4174" s="235" t="s">
        <v>154</v>
      </c>
      <c r="O4174" s="235" t="s">
        <v>766</v>
      </c>
      <c r="P4174" s="238">
        <v>1.0</v>
      </c>
      <c r="Q4174" s="235" t="s">
        <v>627</v>
      </c>
      <c r="R4174" s="238">
        <v>423.81</v>
      </c>
      <c r="S4174" s="238">
        <v>20.55</v>
      </c>
      <c r="T4174" s="238">
        <v>0.0</v>
      </c>
      <c r="U4174" s="238">
        <v>0.0</v>
      </c>
      <c r="V4174" s="238">
        <v>0.0</v>
      </c>
      <c r="W4174" s="238">
        <v>0.0</v>
      </c>
      <c r="X4174" s="235" t="s">
        <v>628</v>
      </c>
      <c r="Z4174" s="245"/>
      <c r="AA4174" s="245"/>
      <c r="AB4174" s="245"/>
      <c r="AC4174" s="235" t="s">
        <v>2325</v>
      </c>
      <c r="AD4174" s="235" t="s">
        <v>645</v>
      </c>
      <c r="AE4174" s="238">
        <v>683541.0</v>
      </c>
      <c r="AF4174" s="235" t="s">
        <v>631</v>
      </c>
      <c r="AG4174" s="245"/>
      <c r="AH4174" s="245"/>
      <c r="AI4174" s="245"/>
      <c r="AJ4174" s="245"/>
      <c r="AK4174" s="245"/>
      <c r="AL4174" s="245"/>
      <c r="AM4174" s="245"/>
      <c r="AN4174" s="245"/>
      <c r="AO4174" s="238">
        <v>-12.71</v>
      </c>
      <c r="AP4174" s="238">
        <v>0.0</v>
      </c>
      <c r="AQ4174" s="235" t="s">
        <v>632</v>
      </c>
      <c r="AR4174" s="243">
        <v>3.71E11</v>
      </c>
      <c r="AS4174" s="235" t="s">
        <v>29883</v>
      </c>
      <c r="AT4174" s="235" t="s">
        <v>155</v>
      </c>
      <c r="AU4174" s="235" t="s">
        <v>634</v>
      </c>
      <c r="AV4174" s="246" t="s">
        <v>635</v>
      </c>
      <c r="AW4174" s="227"/>
      <c r="AX4174" s="227"/>
      <c r="AY4174" s="227"/>
      <c r="AZ4174" s="227"/>
      <c r="BA4174" s="227"/>
      <c r="BB4174" s="227"/>
      <c r="BC4174" s="227"/>
      <c r="BD4174" s="227"/>
      <c r="BE4174" s="227"/>
      <c r="BF4174" s="227"/>
    </row>
    <row r="4175">
      <c r="A4175" s="235" t="s">
        <v>31107</v>
      </c>
      <c r="C4175" s="235" t="s">
        <v>31108</v>
      </c>
      <c r="D4175" s="235" t="s">
        <v>31109</v>
      </c>
      <c r="E4175" s="243">
        <v>6.51E13</v>
      </c>
      <c r="F4175" s="245"/>
      <c r="G4175" s="235" t="s">
        <v>31110</v>
      </c>
      <c r="H4175" s="235" t="s">
        <v>31111</v>
      </c>
      <c r="I4175" s="235" t="s">
        <v>31111</v>
      </c>
      <c r="J4175" s="235" t="s">
        <v>31112</v>
      </c>
      <c r="K4175" s="235" t="s">
        <v>31113</v>
      </c>
      <c r="N4175" s="235" t="s">
        <v>42</v>
      </c>
      <c r="O4175" s="235" t="s">
        <v>204</v>
      </c>
      <c r="P4175" s="238">
        <v>1.0</v>
      </c>
      <c r="Q4175" s="235" t="s">
        <v>627</v>
      </c>
      <c r="R4175" s="238">
        <v>236.19</v>
      </c>
      <c r="S4175" s="238">
        <v>11.81</v>
      </c>
      <c r="T4175" s="238">
        <v>0.0</v>
      </c>
      <c r="U4175" s="238">
        <v>0.0</v>
      </c>
      <c r="V4175" s="238">
        <v>0.0</v>
      </c>
      <c r="W4175" s="238">
        <v>0.0</v>
      </c>
      <c r="X4175" s="235" t="s">
        <v>628</v>
      </c>
      <c r="Z4175" s="245"/>
      <c r="AA4175" s="245"/>
      <c r="AB4175" s="245"/>
      <c r="AC4175" s="235" t="s">
        <v>1304</v>
      </c>
      <c r="AD4175" s="235" t="s">
        <v>833</v>
      </c>
      <c r="AE4175" s="238">
        <v>522501.0</v>
      </c>
      <c r="AF4175" s="235" t="s">
        <v>631</v>
      </c>
      <c r="AG4175" s="245"/>
      <c r="AH4175" s="245"/>
      <c r="AI4175" s="245"/>
      <c r="AJ4175" s="245"/>
      <c r="AK4175" s="245"/>
      <c r="AL4175" s="245"/>
      <c r="AM4175" s="245"/>
      <c r="AN4175" s="245"/>
      <c r="AO4175" s="238">
        <v>0.0</v>
      </c>
      <c r="AP4175" s="238">
        <v>0.0</v>
      </c>
      <c r="AQ4175" s="235" t="s">
        <v>632</v>
      </c>
      <c r="AR4175" s="243">
        <v>1.68E11</v>
      </c>
      <c r="AS4175" s="235" t="s">
        <v>29883</v>
      </c>
      <c r="AT4175" s="235" t="s">
        <v>156</v>
      </c>
      <c r="AU4175" s="235" t="s">
        <v>634</v>
      </c>
      <c r="AV4175" s="246" t="s">
        <v>635</v>
      </c>
      <c r="AW4175" s="227"/>
      <c r="AX4175" s="227"/>
      <c r="AY4175" s="227"/>
      <c r="AZ4175" s="227"/>
      <c r="BA4175" s="227"/>
      <c r="BB4175" s="227"/>
      <c r="BC4175" s="227"/>
      <c r="BD4175" s="227"/>
      <c r="BE4175" s="227"/>
      <c r="BF4175" s="227"/>
    </row>
    <row r="4176">
      <c r="A4176" s="235" t="s">
        <v>31114</v>
      </c>
      <c r="C4176" s="235" t="s">
        <v>31115</v>
      </c>
      <c r="D4176" s="235" t="s">
        <v>31116</v>
      </c>
      <c r="E4176" s="243">
        <v>6.51E13</v>
      </c>
      <c r="F4176" s="245"/>
      <c r="G4176" s="235" t="s">
        <v>31117</v>
      </c>
      <c r="H4176" s="235" t="s">
        <v>31118</v>
      </c>
      <c r="I4176" s="235" t="s">
        <v>31119</v>
      </c>
      <c r="J4176" s="235" t="s">
        <v>31120</v>
      </c>
      <c r="K4176" s="235" t="s">
        <v>31121</v>
      </c>
      <c r="N4176" s="235" t="s">
        <v>842</v>
      </c>
      <c r="O4176" s="235" t="s">
        <v>843</v>
      </c>
      <c r="P4176" s="238">
        <v>1.0</v>
      </c>
      <c r="Q4176" s="235" t="s">
        <v>627</v>
      </c>
      <c r="R4176" s="238">
        <v>246.66</v>
      </c>
      <c r="S4176" s="238">
        <v>12.34</v>
      </c>
      <c r="T4176" s="238">
        <v>0.0</v>
      </c>
      <c r="U4176" s="238">
        <v>0.0</v>
      </c>
      <c r="V4176" s="238">
        <v>0.0</v>
      </c>
      <c r="W4176" s="238">
        <v>0.0</v>
      </c>
      <c r="X4176" s="235" t="s">
        <v>628</v>
      </c>
      <c r="Z4176" s="245"/>
      <c r="AA4176" s="245"/>
      <c r="AB4176" s="245"/>
      <c r="AC4176" s="235" t="s">
        <v>31122</v>
      </c>
      <c r="AD4176" s="235" t="s">
        <v>845</v>
      </c>
      <c r="AE4176" s="238">
        <v>412201.0</v>
      </c>
      <c r="AF4176" s="235" t="s">
        <v>631</v>
      </c>
      <c r="AG4176" s="245"/>
      <c r="AH4176" s="245"/>
      <c r="AI4176" s="245"/>
      <c r="AJ4176" s="245"/>
      <c r="AK4176" s="245"/>
      <c r="AL4176" s="245"/>
      <c r="AM4176" s="245"/>
      <c r="AN4176" s="245"/>
      <c r="AO4176" s="238">
        <v>0.0</v>
      </c>
      <c r="AP4176" s="238">
        <v>0.0</v>
      </c>
      <c r="AQ4176" s="235" t="s">
        <v>632</v>
      </c>
      <c r="AR4176" s="243">
        <v>1.68E11</v>
      </c>
      <c r="AS4176" s="235" t="s">
        <v>29883</v>
      </c>
      <c r="AT4176" s="235" t="s">
        <v>546</v>
      </c>
      <c r="AU4176" s="235" t="s">
        <v>634</v>
      </c>
      <c r="AV4176" s="246" t="s">
        <v>635</v>
      </c>
      <c r="AW4176" s="227"/>
      <c r="AX4176" s="227"/>
      <c r="AY4176" s="227"/>
      <c r="AZ4176" s="227"/>
      <c r="BA4176" s="227"/>
      <c r="BB4176" s="227"/>
      <c r="BC4176" s="227"/>
      <c r="BD4176" s="227"/>
      <c r="BE4176" s="227"/>
      <c r="BF4176" s="227"/>
    </row>
    <row r="4177">
      <c r="A4177" s="235" t="s">
        <v>31123</v>
      </c>
      <c r="C4177" s="235" t="s">
        <v>31124</v>
      </c>
      <c r="D4177" s="235" t="s">
        <v>31125</v>
      </c>
      <c r="E4177" s="243">
        <v>6.51E13</v>
      </c>
      <c r="F4177" s="245"/>
      <c r="G4177" s="235" t="s">
        <v>31126</v>
      </c>
      <c r="H4177" s="235" t="s">
        <v>31127</v>
      </c>
      <c r="I4177" s="235" t="s">
        <v>31127</v>
      </c>
      <c r="J4177" s="235" t="s">
        <v>31128</v>
      </c>
      <c r="K4177" s="235" t="s">
        <v>31129</v>
      </c>
      <c r="N4177" s="235" t="s">
        <v>85</v>
      </c>
      <c r="O4177" s="235" t="s">
        <v>872</v>
      </c>
      <c r="P4177" s="238">
        <v>1.0</v>
      </c>
      <c r="Q4177" s="235" t="s">
        <v>627</v>
      </c>
      <c r="R4177" s="238">
        <v>232.38</v>
      </c>
      <c r="S4177" s="238">
        <v>11.62</v>
      </c>
      <c r="T4177" s="238">
        <v>0.0</v>
      </c>
      <c r="U4177" s="238">
        <v>0.0</v>
      </c>
      <c r="V4177" s="238">
        <v>0.0</v>
      </c>
      <c r="W4177" s="238">
        <v>0.0</v>
      </c>
      <c r="X4177" s="235" t="s">
        <v>628</v>
      </c>
      <c r="Z4177" s="245"/>
      <c r="AA4177" s="245"/>
      <c r="AB4177" s="245"/>
      <c r="AC4177" s="235" t="s">
        <v>15463</v>
      </c>
      <c r="AD4177" s="235" t="s">
        <v>1086</v>
      </c>
      <c r="AE4177" s="238">
        <v>143001.0</v>
      </c>
      <c r="AF4177" s="235" t="s">
        <v>631</v>
      </c>
      <c r="AG4177" s="245"/>
      <c r="AH4177" s="245"/>
      <c r="AI4177" s="245"/>
      <c r="AJ4177" s="245"/>
      <c r="AK4177" s="245"/>
      <c r="AL4177" s="245"/>
      <c r="AM4177" s="245"/>
      <c r="AN4177" s="245"/>
      <c r="AO4177" s="238">
        <v>0.0</v>
      </c>
      <c r="AP4177" s="238">
        <v>0.0</v>
      </c>
      <c r="AQ4177" s="235" t="s">
        <v>632</v>
      </c>
      <c r="AR4177" s="243">
        <v>2.02E11</v>
      </c>
      <c r="AS4177" s="235" t="s">
        <v>29883</v>
      </c>
      <c r="AT4177" s="235" t="s">
        <v>14</v>
      </c>
      <c r="AU4177" s="235" t="s">
        <v>634</v>
      </c>
      <c r="AV4177" s="246" t="s">
        <v>635</v>
      </c>
      <c r="AW4177" s="227"/>
      <c r="AX4177" s="227"/>
      <c r="AY4177" s="227"/>
      <c r="AZ4177" s="227"/>
      <c r="BA4177" s="227"/>
      <c r="BB4177" s="227"/>
      <c r="BC4177" s="227"/>
      <c r="BD4177" s="227"/>
      <c r="BE4177" s="227"/>
      <c r="BF4177" s="227"/>
    </row>
    <row r="4178">
      <c r="A4178" s="235" t="s">
        <v>31130</v>
      </c>
      <c r="C4178" s="235" t="s">
        <v>31131</v>
      </c>
      <c r="D4178" s="235" t="s">
        <v>31132</v>
      </c>
      <c r="E4178" s="243">
        <v>6.51E13</v>
      </c>
      <c r="F4178" s="245"/>
      <c r="G4178" s="235" t="s">
        <v>31133</v>
      </c>
      <c r="H4178" s="235" t="s">
        <v>31134</v>
      </c>
      <c r="I4178" s="235" t="s">
        <v>31134</v>
      </c>
      <c r="J4178" s="235" t="s">
        <v>31135</v>
      </c>
      <c r="K4178" s="235" t="s">
        <v>31136</v>
      </c>
      <c r="N4178" s="235" t="s">
        <v>53</v>
      </c>
      <c r="O4178" s="235" t="s">
        <v>512</v>
      </c>
      <c r="P4178" s="238">
        <v>1.0</v>
      </c>
      <c r="Q4178" s="235" t="s">
        <v>627</v>
      </c>
      <c r="R4178" s="238">
        <v>233.34</v>
      </c>
      <c r="S4178" s="238">
        <v>11.66</v>
      </c>
      <c r="T4178" s="238">
        <v>0.0</v>
      </c>
      <c r="U4178" s="238">
        <v>0.0</v>
      </c>
      <c r="V4178" s="238">
        <v>0.0</v>
      </c>
      <c r="W4178" s="238">
        <v>0.0</v>
      </c>
      <c r="X4178" s="235" t="s">
        <v>628</v>
      </c>
      <c r="Z4178" s="245"/>
      <c r="AA4178" s="245"/>
      <c r="AB4178" s="245"/>
      <c r="AC4178" s="235" t="s">
        <v>844</v>
      </c>
      <c r="AD4178" s="235" t="s">
        <v>845</v>
      </c>
      <c r="AE4178" s="238">
        <v>411057.0</v>
      </c>
      <c r="AF4178" s="235" t="s">
        <v>631</v>
      </c>
      <c r="AG4178" s="245"/>
      <c r="AH4178" s="245"/>
      <c r="AI4178" s="245"/>
      <c r="AJ4178" s="245"/>
      <c r="AK4178" s="245"/>
      <c r="AL4178" s="245"/>
      <c r="AM4178" s="245"/>
      <c r="AN4178" s="245"/>
      <c r="AO4178" s="238">
        <v>0.0</v>
      </c>
      <c r="AP4178" s="238">
        <v>0.0</v>
      </c>
      <c r="AQ4178" s="235" t="s">
        <v>632</v>
      </c>
      <c r="AR4178" s="243">
        <v>3.71E11</v>
      </c>
      <c r="AS4178" s="235" t="s">
        <v>29883</v>
      </c>
      <c r="AT4178" s="235" t="s">
        <v>546</v>
      </c>
      <c r="AU4178" s="235" t="s">
        <v>634</v>
      </c>
      <c r="AV4178" s="246" t="s">
        <v>635</v>
      </c>
      <c r="AW4178" s="227"/>
      <c r="AX4178" s="227"/>
      <c r="AY4178" s="227"/>
      <c r="AZ4178" s="227"/>
      <c r="BA4178" s="227"/>
      <c r="BB4178" s="227"/>
      <c r="BC4178" s="227"/>
      <c r="BD4178" s="227"/>
      <c r="BE4178" s="227"/>
      <c r="BF4178" s="227"/>
    </row>
    <row r="4179">
      <c r="A4179" s="235" t="s">
        <v>31137</v>
      </c>
      <c r="C4179" s="235" t="s">
        <v>31138</v>
      </c>
      <c r="D4179" s="235" t="s">
        <v>31139</v>
      </c>
      <c r="E4179" s="243">
        <v>6.51E13</v>
      </c>
      <c r="F4179" s="245"/>
      <c r="G4179" s="235" t="s">
        <v>31140</v>
      </c>
      <c r="H4179" s="235" t="s">
        <v>31141</v>
      </c>
      <c r="I4179" s="235" t="s">
        <v>31142</v>
      </c>
      <c r="J4179" s="235" t="s">
        <v>31143</v>
      </c>
      <c r="K4179" s="235" t="s">
        <v>31144</v>
      </c>
      <c r="N4179" s="235" t="s">
        <v>104</v>
      </c>
      <c r="O4179" s="235" t="s">
        <v>401</v>
      </c>
      <c r="P4179" s="238">
        <v>1.0</v>
      </c>
      <c r="Q4179" s="235" t="s">
        <v>627</v>
      </c>
      <c r="R4179" s="238">
        <v>237.14</v>
      </c>
      <c r="S4179" s="238">
        <v>11.86</v>
      </c>
      <c r="T4179" s="238">
        <v>0.0</v>
      </c>
      <c r="U4179" s="238">
        <v>0.0</v>
      </c>
      <c r="V4179" s="238">
        <v>0.0</v>
      </c>
      <c r="W4179" s="238">
        <v>0.0</v>
      </c>
      <c r="X4179" s="235" t="s">
        <v>628</v>
      </c>
      <c r="Z4179" s="245"/>
      <c r="AA4179" s="245"/>
      <c r="AB4179" s="245"/>
      <c r="AC4179" s="235" t="s">
        <v>844</v>
      </c>
      <c r="AD4179" s="235" t="s">
        <v>845</v>
      </c>
      <c r="AE4179" s="238">
        <v>412308.0</v>
      </c>
      <c r="AF4179" s="235" t="s">
        <v>631</v>
      </c>
      <c r="AG4179" s="245"/>
      <c r="AH4179" s="245"/>
      <c r="AI4179" s="245"/>
      <c r="AJ4179" s="245"/>
      <c r="AK4179" s="245"/>
      <c r="AL4179" s="245"/>
      <c r="AM4179" s="245"/>
      <c r="AN4179" s="245"/>
      <c r="AO4179" s="238">
        <v>0.0</v>
      </c>
      <c r="AP4179" s="238">
        <v>0.0</v>
      </c>
      <c r="AQ4179" s="235" t="s">
        <v>632</v>
      </c>
      <c r="AR4179" s="243">
        <v>3.71E11</v>
      </c>
      <c r="AS4179" s="235" t="s">
        <v>29883</v>
      </c>
      <c r="AT4179" s="235" t="s">
        <v>546</v>
      </c>
      <c r="AU4179" s="235" t="s">
        <v>634</v>
      </c>
      <c r="AV4179" s="246" t="s">
        <v>635</v>
      </c>
      <c r="AW4179" s="227"/>
      <c r="AX4179" s="227"/>
      <c r="AY4179" s="227"/>
      <c r="AZ4179" s="227"/>
      <c r="BA4179" s="227"/>
      <c r="BB4179" s="227"/>
      <c r="BC4179" s="227"/>
      <c r="BD4179" s="227"/>
      <c r="BE4179" s="227"/>
      <c r="BF4179" s="227"/>
    </row>
    <row r="4180">
      <c r="A4180" s="235" t="s">
        <v>31145</v>
      </c>
      <c r="C4180" s="235" t="s">
        <v>31146</v>
      </c>
      <c r="D4180" s="235" t="s">
        <v>31147</v>
      </c>
      <c r="E4180" s="243">
        <v>6.51E13</v>
      </c>
      <c r="F4180" s="245"/>
      <c r="G4180" s="235" t="s">
        <v>31148</v>
      </c>
      <c r="H4180" s="235" t="s">
        <v>31149</v>
      </c>
      <c r="I4180" s="235" t="s">
        <v>31149</v>
      </c>
      <c r="J4180" s="235" t="s">
        <v>31150</v>
      </c>
      <c r="K4180" s="235" t="s">
        <v>31151</v>
      </c>
      <c r="N4180" s="235" t="s">
        <v>92</v>
      </c>
      <c r="O4180" s="235" t="s">
        <v>248</v>
      </c>
      <c r="P4180" s="238">
        <v>1.0</v>
      </c>
      <c r="Q4180" s="235" t="s">
        <v>627</v>
      </c>
      <c r="R4180" s="238">
        <v>270.48</v>
      </c>
      <c r="S4180" s="238">
        <v>13.52</v>
      </c>
      <c r="T4180" s="238">
        <v>38.1</v>
      </c>
      <c r="U4180" s="238">
        <v>1.9</v>
      </c>
      <c r="V4180" s="238">
        <v>0.0</v>
      </c>
      <c r="W4180" s="238">
        <v>0.0</v>
      </c>
      <c r="X4180" s="235" t="s">
        <v>628</v>
      </c>
      <c r="Z4180" s="245"/>
      <c r="AA4180" s="245"/>
      <c r="AB4180" s="245"/>
      <c r="AC4180" s="235" t="s">
        <v>31152</v>
      </c>
      <c r="AD4180" s="235" t="s">
        <v>917</v>
      </c>
      <c r="AE4180" s="238">
        <v>325217.0</v>
      </c>
      <c r="AF4180" s="235" t="s">
        <v>631</v>
      </c>
      <c r="AG4180" s="245"/>
      <c r="AH4180" s="245"/>
      <c r="AI4180" s="245"/>
      <c r="AJ4180" s="245"/>
      <c r="AK4180" s="245"/>
      <c r="AL4180" s="245"/>
      <c r="AM4180" s="245"/>
      <c r="AN4180" s="245"/>
      <c r="AO4180" s="238">
        <v>0.0</v>
      </c>
      <c r="AP4180" s="238">
        <v>-38.1</v>
      </c>
      <c r="AQ4180" s="235" t="s">
        <v>1328</v>
      </c>
      <c r="AR4180" s="243">
        <v>1.34E13</v>
      </c>
      <c r="AS4180" s="235" t="s">
        <v>23542</v>
      </c>
      <c r="AT4180" s="235" t="s">
        <v>5</v>
      </c>
      <c r="AU4180" s="235" t="s">
        <v>634</v>
      </c>
      <c r="AV4180" s="246" t="s">
        <v>635</v>
      </c>
      <c r="AW4180" s="227"/>
      <c r="AX4180" s="227"/>
      <c r="AY4180" s="227"/>
      <c r="AZ4180" s="227"/>
      <c r="BA4180" s="227"/>
      <c r="BB4180" s="227"/>
      <c r="BC4180" s="227"/>
      <c r="BD4180" s="227"/>
      <c r="BE4180" s="227"/>
      <c r="BF4180" s="227"/>
    </row>
    <row r="4181">
      <c r="A4181" s="235" t="s">
        <v>31153</v>
      </c>
      <c r="C4181" s="235" t="s">
        <v>31154</v>
      </c>
      <c r="D4181" s="235" t="s">
        <v>31155</v>
      </c>
      <c r="E4181" s="243">
        <v>6.51E13</v>
      </c>
      <c r="F4181" s="245"/>
      <c r="G4181" s="235" t="s">
        <v>31156</v>
      </c>
      <c r="H4181" s="235" t="s">
        <v>31157</v>
      </c>
      <c r="I4181" s="235" t="s">
        <v>31158</v>
      </c>
      <c r="J4181" s="235" t="s">
        <v>31159</v>
      </c>
      <c r="K4181" s="235" t="s">
        <v>31160</v>
      </c>
      <c r="N4181" s="235" t="s">
        <v>154</v>
      </c>
      <c r="O4181" s="235" t="s">
        <v>766</v>
      </c>
      <c r="P4181" s="238">
        <v>1.0</v>
      </c>
      <c r="Q4181" s="235" t="s">
        <v>627</v>
      </c>
      <c r="R4181" s="238">
        <v>500.95</v>
      </c>
      <c r="S4181" s="238">
        <v>24.55</v>
      </c>
      <c r="T4181" s="238">
        <v>0.0</v>
      </c>
      <c r="U4181" s="238">
        <v>0.0</v>
      </c>
      <c r="V4181" s="238">
        <v>0.0</v>
      </c>
      <c r="W4181" s="238">
        <v>0.0</v>
      </c>
      <c r="X4181" s="235" t="s">
        <v>628</v>
      </c>
      <c r="Z4181" s="245"/>
      <c r="AA4181" s="245"/>
      <c r="AB4181" s="245"/>
      <c r="AC4181" s="235" t="s">
        <v>687</v>
      </c>
      <c r="AD4181" s="235" t="s">
        <v>666</v>
      </c>
      <c r="AE4181" s="238">
        <v>600127.0</v>
      </c>
      <c r="AF4181" s="235" t="s">
        <v>631</v>
      </c>
      <c r="AG4181" s="245"/>
      <c r="AH4181" s="245"/>
      <c r="AI4181" s="245"/>
      <c r="AJ4181" s="245"/>
      <c r="AK4181" s="245"/>
      <c r="AL4181" s="245"/>
      <c r="AM4181" s="245"/>
      <c r="AN4181" s="245"/>
      <c r="AO4181" s="238">
        <v>-10.02</v>
      </c>
      <c r="AP4181" s="238">
        <v>0.0</v>
      </c>
      <c r="AQ4181" s="235" t="s">
        <v>632</v>
      </c>
      <c r="AR4181" s="243">
        <v>1.68E11</v>
      </c>
      <c r="AS4181" s="235" t="s">
        <v>29883</v>
      </c>
      <c r="AT4181" s="235" t="s">
        <v>9</v>
      </c>
      <c r="AU4181" s="235" t="s">
        <v>634</v>
      </c>
      <c r="AV4181" s="246" t="s">
        <v>635</v>
      </c>
      <c r="AW4181" s="227"/>
      <c r="AX4181" s="227"/>
      <c r="AY4181" s="227"/>
      <c r="AZ4181" s="227"/>
      <c r="BA4181" s="227"/>
      <c r="BB4181" s="227"/>
      <c r="BC4181" s="227"/>
      <c r="BD4181" s="227"/>
      <c r="BE4181" s="227"/>
      <c r="BF4181" s="227"/>
    </row>
    <row r="4182">
      <c r="A4182" s="235" t="s">
        <v>31161</v>
      </c>
      <c r="C4182" s="235" t="s">
        <v>31162</v>
      </c>
      <c r="D4182" s="235" t="s">
        <v>31163</v>
      </c>
      <c r="E4182" s="243">
        <v>6.51E13</v>
      </c>
      <c r="F4182" s="245"/>
      <c r="G4182" s="235" t="s">
        <v>31164</v>
      </c>
      <c r="H4182" s="235" t="s">
        <v>31165</v>
      </c>
      <c r="I4182" s="235" t="s">
        <v>31165</v>
      </c>
      <c r="J4182" s="235" t="s">
        <v>31166</v>
      </c>
      <c r="K4182" s="235" t="s">
        <v>31167</v>
      </c>
      <c r="N4182" s="235" t="s">
        <v>962</v>
      </c>
      <c r="O4182" s="235" t="s">
        <v>963</v>
      </c>
      <c r="P4182" s="238">
        <v>1.0</v>
      </c>
      <c r="Q4182" s="235" t="s">
        <v>627</v>
      </c>
      <c r="R4182" s="238">
        <v>270.48</v>
      </c>
      <c r="S4182" s="238">
        <v>13.25</v>
      </c>
      <c r="T4182" s="238">
        <v>0.0</v>
      </c>
      <c r="U4182" s="238">
        <v>0.0</v>
      </c>
      <c r="V4182" s="238">
        <v>0.0</v>
      </c>
      <c r="W4182" s="238">
        <v>0.0</v>
      </c>
      <c r="X4182" s="235" t="s">
        <v>628</v>
      </c>
      <c r="Z4182" s="245"/>
      <c r="AA4182" s="245"/>
      <c r="AB4182" s="245"/>
      <c r="AC4182" s="235" t="s">
        <v>1255</v>
      </c>
      <c r="AD4182" s="235" t="s">
        <v>845</v>
      </c>
      <c r="AE4182" s="238">
        <v>400607.0</v>
      </c>
      <c r="AF4182" s="235" t="s">
        <v>631</v>
      </c>
      <c r="AG4182" s="245"/>
      <c r="AH4182" s="245"/>
      <c r="AI4182" s="245"/>
      <c r="AJ4182" s="245"/>
      <c r="AK4182" s="245"/>
      <c r="AL4182" s="245"/>
      <c r="AM4182" s="245"/>
      <c r="AN4182" s="245"/>
      <c r="AO4182" s="238">
        <v>-5.41</v>
      </c>
      <c r="AP4182" s="238">
        <v>0.0</v>
      </c>
      <c r="AQ4182" s="235" t="s">
        <v>632</v>
      </c>
      <c r="AR4182" s="243">
        <v>3.71E11</v>
      </c>
      <c r="AS4182" s="235" t="s">
        <v>29883</v>
      </c>
      <c r="AT4182" s="235" t="s">
        <v>16</v>
      </c>
      <c r="AU4182" s="235" t="s">
        <v>634</v>
      </c>
      <c r="AV4182" s="246" t="s">
        <v>635</v>
      </c>
      <c r="AW4182" s="227"/>
      <c r="AX4182" s="227"/>
      <c r="AY4182" s="227"/>
      <c r="AZ4182" s="227"/>
      <c r="BA4182" s="227"/>
      <c r="BB4182" s="227"/>
      <c r="BC4182" s="227"/>
      <c r="BD4182" s="227"/>
      <c r="BE4182" s="227"/>
      <c r="BF4182" s="227"/>
    </row>
    <row r="4183">
      <c r="A4183" s="235" t="s">
        <v>31168</v>
      </c>
      <c r="C4183" s="235" t="s">
        <v>31169</v>
      </c>
      <c r="D4183" s="235" t="s">
        <v>31170</v>
      </c>
      <c r="E4183" s="243">
        <v>6.51E13</v>
      </c>
      <c r="F4183" s="245"/>
      <c r="G4183" s="235" t="s">
        <v>31171</v>
      </c>
      <c r="H4183" s="235" t="s">
        <v>31172</v>
      </c>
      <c r="I4183" s="235" t="s">
        <v>31172</v>
      </c>
      <c r="J4183" s="235" t="s">
        <v>31173</v>
      </c>
      <c r="K4183" s="235" t="s">
        <v>31174</v>
      </c>
      <c r="N4183" s="235" t="s">
        <v>42</v>
      </c>
      <c r="O4183" s="235" t="s">
        <v>204</v>
      </c>
      <c r="P4183" s="238">
        <v>1.0</v>
      </c>
      <c r="Q4183" s="235" t="s">
        <v>627</v>
      </c>
      <c r="R4183" s="238">
        <v>236.19</v>
      </c>
      <c r="S4183" s="238">
        <v>11.81</v>
      </c>
      <c r="T4183" s="238">
        <v>0.0</v>
      </c>
      <c r="U4183" s="238">
        <v>0.0</v>
      </c>
      <c r="V4183" s="238">
        <v>0.0</v>
      </c>
      <c r="W4183" s="238">
        <v>0.0</v>
      </c>
      <c r="X4183" s="235" t="s">
        <v>628</v>
      </c>
      <c r="Z4183" s="245"/>
      <c r="AA4183" s="245"/>
      <c r="AB4183" s="245"/>
      <c r="AC4183" s="235" t="s">
        <v>2493</v>
      </c>
      <c r="AD4183" s="235" t="s">
        <v>833</v>
      </c>
      <c r="AE4183" s="238">
        <v>520007.0</v>
      </c>
      <c r="AF4183" s="235" t="s">
        <v>631</v>
      </c>
      <c r="AG4183" s="245"/>
      <c r="AH4183" s="245"/>
      <c r="AI4183" s="245"/>
      <c r="AJ4183" s="245"/>
      <c r="AK4183" s="245"/>
      <c r="AL4183" s="245"/>
      <c r="AM4183" s="245"/>
      <c r="AN4183" s="245"/>
      <c r="AO4183" s="238">
        <v>0.0</v>
      </c>
      <c r="AP4183" s="238">
        <v>0.0</v>
      </c>
      <c r="AQ4183" s="235" t="s">
        <v>632</v>
      </c>
      <c r="AR4183" s="243">
        <v>1.68E11</v>
      </c>
      <c r="AS4183" s="235" t="s">
        <v>29883</v>
      </c>
      <c r="AT4183" s="235" t="s">
        <v>156</v>
      </c>
      <c r="AU4183" s="235" t="s">
        <v>634</v>
      </c>
      <c r="AV4183" s="246" t="s">
        <v>635</v>
      </c>
      <c r="AW4183" s="227"/>
      <c r="AX4183" s="227"/>
      <c r="AY4183" s="227"/>
      <c r="AZ4183" s="227"/>
      <c r="BA4183" s="227"/>
      <c r="BB4183" s="227"/>
      <c r="BC4183" s="227"/>
      <c r="BD4183" s="227"/>
      <c r="BE4183" s="227"/>
      <c r="BF4183" s="227"/>
    </row>
    <row r="4184">
      <c r="A4184" s="235" t="s">
        <v>31175</v>
      </c>
      <c r="C4184" s="235" t="s">
        <v>31176</v>
      </c>
      <c r="D4184" s="235" t="s">
        <v>31177</v>
      </c>
      <c r="E4184" s="243">
        <v>6.51E13</v>
      </c>
      <c r="F4184" s="245"/>
      <c r="G4184" s="235" t="s">
        <v>31178</v>
      </c>
      <c r="H4184" s="235" t="s">
        <v>31179</v>
      </c>
      <c r="I4184" s="235" t="s">
        <v>31180</v>
      </c>
      <c r="J4184" s="235" t="s">
        <v>31181</v>
      </c>
      <c r="K4184" s="235" t="s">
        <v>31182</v>
      </c>
      <c r="N4184" s="235" t="s">
        <v>92</v>
      </c>
      <c r="O4184" s="235" t="s">
        <v>248</v>
      </c>
      <c r="P4184" s="238">
        <v>1.0</v>
      </c>
      <c r="Q4184" s="235" t="s">
        <v>627</v>
      </c>
      <c r="R4184" s="238">
        <v>270.48</v>
      </c>
      <c r="S4184" s="238">
        <v>13.52</v>
      </c>
      <c r="T4184" s="238">
        <v>0.0</v>
      </c>
      <c r="U4184" s="238">
        <v>0.0</v>
      </c>
      <c r="V4184" s="238">
        <v>0.0</v>
      </c>
      <c r="W4184" s="238">
        <v>0.0</v>
      </c>
      <c r="X4184" s="235" t="s">
        <v>628</v>
      </c>
      <c r="Z4184" s="245"/>
      <c r="AA4184" s="245"/>
      <c r="AB4184" s="245"/>
      <c r="AC4184" s="235" t="s">
        <v>31183</v>
      </c>
      <c r="AD4184" s="235" t="s">
        <v>2067</v>
      </c>
      <c r="AE4184" s="238">
        <v>829106.0</v>
      </c>
      <c r="AF4184" s="235" t="s">
        <v>631</v>
      </c>
      <c r="AG4184" s="245"/>
      <c r="AH4184" s="245"/>
      <c r="AI4184" s="245"/>
      <c r="AJ4184" s="245"/>
      <c r="AK4184" s="245"/>
      <c r="AL4184" s="245"/>
      <c r="AM4184" s="245"/>
      <c r="AN4184" s="245"/>
      <c r="AO4184" s="238">
        <v>0.0</v>
      </c>
      <c r="AP4184" s="238">
        <v>0.0</v>
      </c>
      <c r="AQ4184" s="235" t="s">
        <v>632</v>
      </c>
      <c r="AR4184" s="243">
        <v>3.71E11</v>
      </c>
      <c r="AS4184" s="235" t="s">
        <v>25098</v>
      </c>
      <c r="AT4184" s="235" t="s">
        <v>14</v>
      </c>
      <c r="AU4184" s="235" t="s">
        <v>634</v>
      </c>
      <c r="AV4184" s="246" t="s">
        <v>635</v>
      </c>
      <c r="AW4184" s="227"/>
      <c r="AX4184" s="227"/>
      <c r="AY4184" s="227"/>
      <c r="AZ4184" s="227"/>
      <c r="BA4184" s="227"/>
      <c r="BB4184" s="227"/>
      <c r="BC4184" s="227"/>
      <c r="BD4184" s="227"/>
      <c r="BE4184" s="227"/>
      <c r="BF4184" s="227"/>
    </row>
    <row r="4185">
      <c r="A4185" s="235" t="s">
        <v>31184</v>
      </c>
      <c r="C4185" s="235" t="s">
        <v>31185</v>
      </c>
      <c r="D4185" s="235" t="s">
        <v>31186</v>
      </c>
      <c r="E4185" s="243">
        <v>6.51E13</v>
      </c>
      <c r="F4185" s="245"/>
      <c r="G4185" s="235" t="s">
        <v>31187</v>
      </c>
      <c r="H4185" s="235" t="s">
        <v>31180</v>
      </c>
      <c r="I4185" s="235" t="s">
        <v>31180</v>
      </c>
      <c r="J4185" s="235" t="s">
        <v>31188</v>
      </c>
      <c r="K4185" s="235" t="s">
        <v>31189</v>
      </c>
      <c r="N4185" s="235" t="s">
        <v>1346</v>
      </c>
      <c r="O4185" s="235" t="s">
        <v>1347</v>
      </c>
      <c r="P4185" s="238">
        <v>1.0</v>
      </c>
      <c r="Q4185" s="235" t="s">
        <v>627</v>
      </c>
      <c r="R4185" s="238">
        <v>256.19</v>
      </c>
      <c r="S4185" s="238">
        <v>12.81</v>
      </c>
      <c r="T4185" s="238">
        <v>38.1</v>
      </c>
      <c r="U4185" s="238">
        <v>1.9</v>
      </c>
      <c r="V4185" s="238">
        <v>0.0</v>
      </c>
      <c r="W4185" s="238">
        <v>0.0</v>
      </c>
      <c r="X4185" s="235" t="s">
        <v>628</v>
      </c>
      <c r="Z4185" s="245"/>
      <c r="AA4185" s="245"/>
      <c r="AB4185" s="245"/>
      <c r="AC4185" s="235" t="s">
        <v>4845</v>
      </c>
      <c r="AD4185" s="235" t="s">
        <v>1086</v>
      </c>
      <c r="AE4185" s="238">
        <v>144001.0</v>
      </c>
      <c r="AF4185" s="235" t="s">
        <v>631</v>
      </c>
      <c r="AG4185" s="245"/>
      <c r="AH4185" s="245"/>
      <c r="AI4185" s="245"/>
      <c r="AJ4185" s="245"/>
      <c r="AK4185" s="245"/>
      <c r="AL4185" s="245"/>
      <c r="AM4185" s="245"/>
      <c r="AN4185" s="245"/>
      <c r="AO4185" s="238">
        <v>0.0</v>
      </c>
      <c r="AP4185" s="238">
        <v>-38.1</v>
      </c>
      <c r="AQ4185" s="235" t="s">
        <v>632</v>
      </c>
      <c r="AR4185" s="243">
        <v>3.71E11</v>
      </c>
      <c r="AS4185" s="235" t="s">
        <v>28482</v>
      </c>
      <c r="AT4185" s="235" t="s">
        <v>14</v>
      </c>
      <c r="AU4185" s="235" t="s">
        <v>634</v>
      </c>
      <c r="AV4185" s="246" t="s">
        <v>635</v>
      </c>
      <c r="AW4185" s="227"/>
      <c r="AX4185" s="227"/>
      <c r="AY4185" s="227"/>
      <c r="AZ4185" s="227"/>
      <c r="BA4185" s="227"/>
      <c r="BB4185" s="227"/>
      <c r="BC4185" s="227"/>
      <c r="BD4185" s="227"/>
      <c r="BE4185" s="227"/>
      <c r="BF4185" s="227"/>
    </row>
    <row r="4186">
      <c r="A4186" s="235" t="s">
        <v>31190</v>
      </c>
      <c r="C4186" s="235" t="s">
        <v>31191</v>
      </c>
      <c r="D4186" s="235" t="s">
        <v>31192</v>
      </c>
      <c r="E4186" s="243">
        <v>6.51E13</v>
      </c>
      <c r="F4186" s="245"/>
      <c r="G4186" s="235" t="s">
        <v>31193</v>
      </c>
      <c r="H4186" s="235" t="s">
        <v>31194</v>
      </c>
      <c r="I4186" s="235" t="s">
        <v>31194</v>
      </c>
      <c r="J4186" s="235" t="s">
        <v>31195</v>
      </c>
      <c r="K4186" s="235" t="s">
        <v>30385</v>
      </c>
      <c r="N4186" s="235" t="s">
        <v>71</v>
      </c>
      <c r="O4186" s="235" t="s">
        <v>240</v>
      </c>
      <c r="P4186" s="238">
        <v>1.0</v>
      </c>
      <c r="Q4186" s="235" t="s">
        <v>627</v>
      </c>
      <c r="R4186" s="238">
        <v>223.8</v>
      </c>
      <c r="S4186" s="238">
        <v>11.2</v>
      </c>
      <c r="T4186" s="238">
        <v>0.0</v>
      </c>
      <c r="U4186" s="238">
        <v>0.0</v>
      </c>
      <c r="V4186" s="238">
        <v>0.0</v>
      </c>
      <c r="W4186" s="238">
        <v>0.0</v>
      </c>
      <c r="X4186" s="235" t="s">
        <v>628</v>
      </c>
      <c r="Z4186" s="245"/>
      <c r="AA4186" s="245"/>
      <c r="AB4186" s="245"/>
      <c r="AC4186" s="235" t="s">
        <v>1456</v>
      </c>
      <c r="AD4186" s="235" t="s">
        <v>928</v>
      </c>
      <c r="AE4186" s="238">
        <v>122001.0</v>
      </c>
      <c r="AF4186" s="235" t="s">
        <v>631</v>
      </c>
      <c r="AG4186" s="245"/>
      <c r="AH4186" s="245"/>
      <c r="AI4186" s="245"/>
      <c r="AJ4186" s="245"/>
      <c r="AK4186" s="245"/>
      <c r="AL4186" s="245"/>
      <c r="AM4186" s="245"/>
      <c r="AN4186" s="245"/>
      <c r="AO4186" s="238">
        <v>0.0</v>
      </c>
      <c r="AP4186" s="238">
        <v>0.0</v>
      </c>
      <c r="AQ4186" s="235" t="s">
        <v>632</v>
      </c>
      <c r="AR4186" s="243">
        <v>1.68E11</v>
      </c>
      <c r="AS4186" s="235" t="s">
        <v>30263</v>
      </c>
      <c r="AT4186" s="235" t="s">
        <v>533</v>
      </c>
      <c r="AU4186" s="235" t="s">
        <v>634</v>
      </c>
      <c r="AV4186" s="246" t="s">
        <v>635</v>
      </c>
      <c r="AW4186" s="227"/>
      <c r="AX4186" s="227"/>
      <c r="AY4186" s="227"/>
      <c r="AZ4186" s="227"/>
      <c r="BA4186" s="227"/>
      <c r="BB4186" s="227"/>
      <c r="BC4186" s="227"/>
      <c r="BD4186" s="227"/>
      <c r="BE4186" s="227"/>
      <c r="BF4186" s="227"/>
    </row>
    <row r="4187">
      <c r="A4187" s="235" t="s">
        <v>31196</v>
      </c>
      <c r="C4187" s="235" t="s">
        <v>31197</v>
      </c>
      <c r="D4187" s="235" t="s">
        <v>31198</v>
      </c>
      <c r="E4187" s="243">
        <v>6.51E13</v>
      </c>
      <c r="F4187" s="245"/>
      <c r="G4187" s="235" t="s">
        <v>31199</v>
      </c>
      <c r="H4187" s="235" t="s">
        <v>31200</v>
      </c>
      <c r="I4187" s="235" t="s">
        <v>31201</v>
      </c>
      <c r="J4187" s="235" t="s">
        <v>31202</v>
      </c>
      <c r="K4187" s="235" t="s">
        <v>31203</v>
      </c>
      <c r="N4187" s="235" t="s">
        <v>90</v>
      </c>
      <c r="O4187" s="235" t="s">
        <v>279</v>
      </c>
      <c r="P4187" s="238">
        <v>1.0</v>
      </c>
      <c r="Q4187" s="235" t="s">
        <v>627</v>
      </c>
      <c r="R4187" s="238">
        <v>270.48</v>
      </c>
      <c r="S4187" s="238">
        <v>13.25</v>
      </c>
      <c r="T4187" s="238">
        <v>0.0</v>
      </c>
      <c r="U4187" s="238">
        <v>0.0</v>
      </c>
      <c r="V4187" s="238">
        <v>0.0</v>
      </c>
      <c r="W4187" s="238">
        <v>0.0</v>
      </c>
      <c r="X4187" s="235" t="s">
        <v>628</v>
      </c>
      <c r="Z4187" s="245"/>
      <c r="AA4187" s="245"/>
      <c r="AB4187" s="245"/>
      <c r="AC4187" s="235" t="s">
        <v>678</v>
      </c>
      <c r="AD4187" s="235" t="s">
        <v>679</v>
      </c>
      <c r="AE4187" s="238">
        <v>560066.0</v>
      </c>
      <c r="AF4187" s="235" t="s">
        <v>631</v>
      </c>
      <c r="AG4187" s="245"/>
      <c r="AH4187" s="245"/>
      <c r="AI4187" s="245"/>
      <c r="AJ4187" s="245"/>
      <c r="AK4187" s="245"/>
      <c r="AL4187" s="245"/>
      <c r="AM4187" s="245"/>
      <c r="AN4187" s="245"/>
      <c r="AO4187" s="238">
        <v>-5.41</v>
      </c>
      <c r="AP4187" s="238">
        <v>0.0</v>
      </c>
      <c r="AQ4187" s="235" t="s">
        <v>632</v>
      </c>
      <c r="AR4187" s="243">
        <v>3.71E11</v>
      </c>
      <c r="AS4187" s="235" t="s">
        <v>29883</v>
      </c>
      <c r="AT4187" s="235" t="s">
        <v>9</v>
      </c>
      <c r="AU4187" s="235" t="s">
        <v>634</v>
      </c>
      <c r="AV4187" s="246" t="s">
        <v>635</v>
      </c>
      <c r="AW4187" s="227"/>
      <c r="AX4187" s="227"/>
      <c r="AY4187" s="227"/>
      <c r="AZ4187" s="227"/>
      <c r="BA4187" s="227"/>
      <c r="BB4187" s="227"/>
      <c r="BC4187" s="227"/>
      <c r="BD4187" s="227"/>
      <c r="BE4187" s="227"/>
      <c r="BF4187" s="227"/>
    </row>
    <row r="4188">
      <c r="A4188" s="235" t="s">
        <v>31204</v>
      </c>
      <c r="C4188" s="235" t="s">
        <v>31205</v>
      </c>
      <c r="D4188" s="235" t="s">
        <v>31206</v>
      </c>
      <c r="E4188" s="243">
        <v>6.51E13</v>
      </c>
      <c r="F4188" s="245"/>
      <c r="G4188" s="235" t="s">
        <v>31207</v>
      </c>
      <c r="H4188" s="235" t="s">
        <v>31208</v>
      </c>
      <c r="I4188" s="235" t="s">
        <v>31208</v>
      </c>
      <c r="J4188" s="235" t="s">
        <v>31209</v>
      </c>
      <c r="K4188" s="235" t="s">
        <v>31210</v>
      </c>
      <c r="N4188" s="235" t="s">
        <v>154</v>
      </c>
      <c r="O4188" s="235" t="s">
        <v>766</v>
      </c>
      <c r="P4188" s="238">
        <v>1.0</v>
      </c>
      <c r="Q4188" s="235" t="s">
        <v>627</v>
      </c>
      <c r="R4188" s="238">
        <v>423.8</v>
      </c>
      <c r="S4188" s="238">
        <v>21.2</v>
      </c>
      <c r="T4188" s="238">
        <v>0.0</v>
      </c>
      <c r="U4188" s="238">
        <v>0.0</v>
      </c>
      <c r="V4188" s="238">
        <v>0.0</v>
      </c>
      <c r="W4188" s="238">
        <v>0.0</v>
      </c>
      <c r="X4188" s="235" t="s">
        <v>628</v>
      </c>
      <c r="Z4188" s="245"/>
      <c r="AA4188" s="245"/>
      <c r="AB4188" s="245"/>
      <c r="AC4188" s="235" t="s">
        <v>678</v>
      </c>
      <c r="AD4188" s="235" t="s">
        <v>679</v>
      </c>
      <c r="AE4188" s="238">
        <v>560004.0</v>
      </c>
      <c r="AF4188" s="235" t="s">
        <v>631</v>
      </c>
      <c r="AG4188" s="245"/>
      <c r="AH4188" s="245"/>
      <c r="AI4188" s="245"/>
      <c r="AJ4188" s="245"/>
      <c r="AK4188" s="245"/>
      <c r="AL4188" s="245"/>
      <c r="AM4188" s="245"/>
      <c r="AN4188" s="245"/>
      <c r="AO4188" s="238">
        <v>0.0</v>
      </c>
      <c r="AP4188" s="238">
        <v>0.0</v>
      </c>
      <c r="AQ4188" s="235" t="s">
        <v>632</v>
      </c>
      <c r="AR4188" s="243">
        <v>1.68E11</v>
      </c>
      <c r="AS4188" s="235" t="s">
        <v>30263</v>
      </c>
      <c r="AT4188" s="235" t="s">
        <v>9</v>
      </c>
      <c r="AU4188" s="235" t="s">
        <v>634</v>
      </c>
      <c r="AV4188" s="246" t="s">
        <v>635</v>
      </c>
      <c r="AW4188" s="227"/>
      <c r="AX4188" s="227"/>
      <c r="AY4188" s="227"/>
      <c r="AZ4188" s="227"/>
      <c r="BA4188" s="227"/>
      <c r="BB4188" s="227"/>
      <c r="BC4188" s="227"/>
      <c r="BD4188" s="227"/>
      <c r="BE4188" s="227"/>
      <c r="BF4188" s="227"/>
    </row>
    <row r="4189">
      <c r="A4189" s="235" t="s">
        <v>31211</v>
      </c>
      <c r="C4189" s="235" t="s">
        <v>31212</v>
      </c>
      <c r="D4189" s="235" t="s">
        <v>31213</v>
      </c>
      <c r="E4189" s="243">
        <v>6.51E13</v>
      </c>
      <c r="F4189" s="245"/>
      <c r="G4189" s="235" t="s">
        <v>31214</v>
      </c>
      <c r="H4189" s="235" t="s">
        <v>31215</v>
      </c>
      <c r="I4189" s="235" t="s">
        <v>31215</v>
      </c>
      <c r="J4189" s="235" t="s">
        <v>31216</v>
      </c>
      <c r="K4189" s="235" t="s">
        <v>31217</v>
      </c>
      <c r="N4189" s="235" t="s">
        <v>1346</v>
      </c>
      <c r="O4189" s="235" t="s">
        <v>1347</v>
      </c>
      <c r="P4189" s="238">
        <v>1.0</v>
      </c>
      <c r="Q4189" s="235" t="s">
        <v>627</v>
      </c>
      <c r="R4189" s="238">
        <v>256.19</v>
      </c>
      <c r="S4189" s="238">
        <v>12.81</v>
      </c>
      <c r="T4189" s="238">
        <v>0.0</v>
      </c>
      <c r="U4189" s="238">
        <v>0.0</v>
      </c>
      <c r="V4189" s="238">
        <v>0.0</v>
      </c>
      <c r="W4189" s="238">
        <v>0.0</v>
      </c>
      <c r="X4189" s="235" t="s">
        <v>628</v>
      </c>
      <c r="Z4189" s="245"/>
      <c r="AA4189" s="245"/>
      <c r="AB4189" s="245"/>
      <c r="AC4189" s="235" t="s">
        <v>3351</v>
      </c>
      <c r="AD4189" s="235" t="s">
        <v>1499</v>
      </c>
      <c r="AE4189" s="238">
        <v>462003.0</v>
      </c>
      <c r="AF4189" s="235" t="s">
        <v>631</v>
      </c>
      <c r="AG4189" s="245"/>
      <c r="AH4189" s="245"/>
      <c r="AI4189" s="245"/>
      <c r="AJ4189" s="245"/>
      <c r="AK4189" s="245"/>
      <c r="AL4189" s="245"/>
      <c r="AM4189" s="245"/>
      <c r="AN4189" s="245"/>
      <c r="AO4189" s="238">
        <v>0.0</v>
      </c>
      <c r="AP4189" s="238">
        <v>0.0</v>
      </c>
      <c r="AQ4189" s="235" t="s">
        <v>632</v>
      </c>
      <c r="AR4189" s="243">
        <v>3.71E11</v>
      </c>
      <c r="AS4189" s="235" t="s">
        <v>28482</v>
      </c>
      <c r="AT4189" s="235" t="s">
        <v>17</v>
      </c>
      <c r="AU4189" s="235" t="s">
        <v>634</v>
      </c>
      <c r="AV4189" s="246" t="s">
        <v>635</v>
      </c>
      <c r="AW4189" s="227"/>
      <c r="AX4189" s="227"/>
      <c r="AY4189" s="227"/>
      <c r="AZ4189" s="227"/>
      <c r="BA4189" s="227"/>
      <c r="BB4189" s="227"/>
      <c r="BC4189" s="227"/>
      <c r="BD4189" s="227"/>
      <c r="BE4189" s="227"/>
      <c r="BF4189" s="227"/>
    </row>
    <row r="4190">
      <c r="A4190" s="235" t="s">
        <v>31218</v>
      </c>
      <c r="C4190" s="235" t="s">
        <v>31219</v>
      </c>
      <c r="D4190" s="235" t="s">
        <v>31220</v>
      </c>
      <c r="E4190" s="243">
        <v>6.51E13</v>
      </c>
      <c r="F4190" s="245"/>
      <c r="G4190" s="235" t="s">
        <v>31221</v>
      </c>
      <c r="H4190" s="235" t="s">
        <v>31222</v>
      </c>
      <c r="I4190" s="235" t="s">
        <v>31223</v>
      </c>
      <c r="J4190" s="235" t="s">
        <v>31224</v>
      </c>
      <c r="K4190" s="235" t="s">
        <v>27911</v>
      </c>
      <c r="N4190" s="235" t="s">
        <v>53</v>
      </c>
      <c r="O4190" s="235" t="s">
        <v>512</v>
      </c>
      <c r="P4190" s="238">
        <v>1.0</v>
      </c>
      <c r="Q4190" s="235" t="s">
        <v>627</v>
      </c>
      <c r="R4190" s="238">
        <v>233.33</v>
      </c>
      <c r="S4190" s="238">
        <v>11.67</v>
      </c>
      <c r="T4190" s="238">
        <v>0.0</v>
      </c>
      <c r="U4190" s="238">
        <v>0.0</v>
      </c>
      <c r="V4190" s="238">
        <v>0.0</v>
      </c>
      <c r="W4190" s="238">
        <v>0.0</v>
      </c>
      <c r="X4190" s="235" t="s">
        <v>628</v>
      </c>
      <c r="Z4190" s="245"/>
      <c r="AA4190" s="245"/>
      <c r="AB4190" s="245"/>
      <c r="AC4190" s="235" t="s">
        <v>899</v>
      </c>
      <c r="AD4190" s="235" t="s">
        <v>833</v>
      </c>
      <c r="AE4190" s="238">
        <v>517507.0</v>
      </c>
      <c r="AF4190" s="235" t="s">
        <v>631</v>
      </c>
      <c r="AG4190" s="245"/>
      <c r="AH4190" s="245"/>
      <c r="AI4190" s="245"/>
      <c r="AJ4190" s="245"/>
      <c r="AK4190" s="245"/>
      <c r="AL4190" s="245"/>
      <c r="AM4190" s="245"/>
      <c r="AN4190" s="245"/>
      <c r="AO4190" s="238">
        <v>0.0</v>
      </c>
      <c r="AP4190" s="238">
        <v>0.0</v>
      </c>
      <c r="AQ4190" s="235" t="s">
        <v>632</v>
      </c>
      <c r="AR4190" s="243">
        <v>1.68E11</v>
      </c>
      <c r="AS4190" s="235" t="s">
        <v>29883</v>
      </c>
      <c r="AT4190" s="235" t="s">
        <v>11</v>
      </c>
      <c r="AU4190" s="235" t="s">
        <v>634</v>
      </c>
      <c r="AV4190" s="246" t="s">
        <v>635</v>
      </c>
      <c r="AW4190" s="227"/>
      <c r="AX4190" s="227"/>
      <c r="AY4190" s="227"/>
      <c r="AZ4190" s="227"/>
      <c r="BA4190" s="227"/>
      <c r="BB4190" s="227"/>
      <c r="BC4190" s="227"/>
      <c r="BD4190" s="227"/>
      <c r="BE4190" s="227"/>
      <c r="BF4190" s="227"/>
    </row>
    <row r="4191">
      <c r="A4191" s="235" t="s">
        <v>31225</v>
      </c>
      <c r="C4191" s="235" t="s">
        <v>31226</v>
      </c>
      <c r="D4191" s="235" t="s">
        <v>31227</v>
      </c>
      <c r="E4191" s="243">
        <v>6.51E13</v>
      </c>
      <c r="F4191" s="245"/>
      <c r="G4191" s="235" t="s">
        <v>31228</v>
      </c>
      <c r="H4191" s="235" t="s">
        <v>31229</v>
      </c>
      <c r="I4191" s="235" t="s">
        <v>31229</v>
      </c>
      <c r="J4191" s="235" t="s">
        <v>31230</v>
      </c>
      <c r="K4191" s="235" t="s">
        <v>31231</v>
      </c>
      <c r="N4191" s="235" t="s">
        <v>68</v>
      </c>
      <c r="O4191" s="235" t="s">
        <v>208</v>
      </c>
      <c r="P4191" s="238">
        <v>1.0</v>
      </c>
      <c r="Q4191" s="235" t="s">
        <v>627</v>
      </c>
      <c r="R4191" s="238">
        <v>236.2</v>
      </c>
      <c r="S4191" s="238">
        <v>11.45</v>
      </c>
      <c r="T4191" s="238">
        <v>0.0</v>
      </c>
      <c r="U4191" s="238">
        <v>0.0</v>
      </c>
      <c r="V4191" s="238">
        <v>0.0</v>
      </c>
      <c r="W4191" s="238">
        <v>0.0</v>
      </c>
      <c r="X4191" s="235" t="s">
        <v>628</v>
      </c>
      <c r="Z4191" s="245"/>
      <c r="AA4191" s="245"/>
      <c r="AB4191" s="245"/>
      <c r="AC4191" s="235" t="s">
        <v>678</v>
      </c>
      <c r="AD4191" s="235" t="s">
        <v>679</v>
      </c>
      <c r="AE4191" s="238">
        <v>560048.0</v>
      </c>
      <c r="AF4191" s="235" t="s">
        <v>631</v>
      </c>
      <c r="AG4191" s="245"/>
      <c r="AH4191" s="245"/>
      <c r="AI4191" s="245"/>
      <c r="AJ4191" s="245"/>
      <c r="AK4191" s="245"/>
      <c r="AL4191" s="245"/>
      <c r="AM4191" s="245"/>
      <c r="AN4191" s="245"/>
      <c r="AO4191" s="238">
        <v>-7.09</v>
      </c>
      <c r="AP4191" s="238">
        <v>0.0</v>
      </c>
      <c r="AQ4191" s="235" t="s">
        <v>632</v>
      </c>
      <c r="AR4191" s="243">
        <v>1.68E11</v>
      </c>
      <c r="AS4191" s="235" t="s">
        <v>31232</v>
      </c>
      <c r="AT4191" s="235" t="s">
        <v>11</v>
      </c>
      <c r="AU4191" s="235" t="s">
        <v>634</v>
      </c>
      <c r="AV4191" s="246" t="s">
        <v>635</v>
      </c>
      <c r="AW4191" s="227"/>
      <c r="AX4191" s="227"/>
      <c r="AY4191" s="227"/>
      <c r="AZ4191" s="227"/>
      <c r="BA4191" s="227"/>
      <c r="BB4191" s="227"/>
      <c r="BC4191" s="227"/>
      <c r="BD4191" s="227"/>
      <c r="BE4191" s="227"/>
      <c r="BF4191" s="227"/>
    </row>
    <row r="4192">
      <c r="A4192" s="235" t="s">
        <v>31233</v>
      </c>
      <c r="C4192" s="235" t="s">
        <v>31234</v>
      </c>
      <c r="D4192" s="235" t="s">
        <v>31235</v>
      </c>
      <c r="E4192" s="243">
        <v>6.51E13</v>
      </c>
      <c r="F4192" s="245"/>
      <c r="G4192" s="235" t="s">
        <v>31236</v>
      </c>
      <c r="H4192" s="235" t="s">
        <v>31237</v>
      </c>
      <c r="I4192" s="235" t="s">
        <v>31237</v>
      </c>
      <c r="J4192" s="235" t="s">
        <v>31238</v>
      </c>
      <c r="K4192" s="235" t="s">
        <v>31239</v>
      </c>
      <c r="N4192" s="235" t="s">
        <v>85</v>
      </c>
      <c r="O4192" s="235" t="s">
        <v>872</v>
      </c>
      <c r="P4192" s="238">
        <v>1.0</v>
      </c>
      <c r="Q4192" s="235" t="s">
        <v>627</v>
      </c>
      <c r="R4192" s="238">
        <v>232.38</v>
      </c>
      <c r="S4192" s="238">
        <v>11.62</v>
      </c>
      <c r="T4192" s="238">
        <v>0.0</v>
      </c>
      <c r="U4192" s="238">
        <v>0.0</v>
      </c>
      <c r="V4192" s="238">
        <v>0.0</v>
      </c>
      <c r="W4192" s="238">
        <v>0.0</v>
      </c>
      <c r="X4192" s="235" t="s">
        <v>628</v>
      </c>
      <c r="Z4192" s="245"/>
      <c r="AA4192" s="245"/>
      <c r="AB4192" s="245"/>
      <c r="AC4192" s="235" t="s">
        <v>31240</v>
      </c>
      <c r="AD4192" s="235" t="s">
        <v>845</v>
      </c>
      <c r="AE4192" s="238">
        <v>423203.0</v>
      </c>
      <c r="AF4192" s="235" t="s">
        <v>631</v>
      </c>
      <c r="AG4192" s="245"/>
      <c r="AH4192" s="245"/>
      <c r="AI4192" s="245"/>
      <c r="AJ4192" s="245"/>
      <c r="AK4192" s="245"/>
      <c r="AL4192" s="245"/>
      <c r="AM4192" s="245"/>
      <c r="AN4192" s="245"/>
      <c r="AO4192" s="238">
        <v>0.0</v>
      </c>
      <c r="AP4192" s="238">
        <v>0.0</v>
      </c>
      <c r="AQ4192" s="235" t="s">
        <v>632</v>
      </c>
      <c r="AR4192" s="243">
        <v>3.71E11</v>
      </c>
      <c r="AS4192" s="235" t="s">
        <v>29883</v>
      </c>
      <c r="AT4192" s="235" t="s">
        <v>17</v>
      </c>
      <c r="AU4192" s="235" t="s">
        <v>634</v>
      </c>
      <c r="AV4192" s="246" t="s">
        <v>635</v>
      </c>
      <c r="AW4192" s="227"/>
      <c r="AX4192" s="227"/>
      <c r="AY4192" s="227"/>
      <c r="AZ4192" s="227"/>
      <c r="BA4192" s="227"/>
      <c r="BB4192" s="227"/>
      <c r="BC4192" s="227"/>
      <c r="BD4192" s="227"/>
      <c r="BE4192" s="227"/>
      <c r="BF4192" s="227"/>
    </row>
    <row r="4193">
      <c r="A4193" s="235" t="s">
        <v>31241</v>
      </c>
      <c r="C4193" s="235" t="s">
        <v>31242</v>
      </c>
      <c r="D4193" s="235" t="s">
        <v>31243</v>
      </c>
      <c r="E4193" s="243">
        <v>6.51E13</v>
      </c>
      <c r="F4193" s="245"/>
      <c r="G4193" s="235" t="s">
        <v>31244</v>
      </c>
      <c r="H4193" s="235" t="s">
        <v>31245</v>
      </c>
      <c r="I4193" s="235" t="s">
        <v>31245</v>
      </c>
      <c r="J4193" s="235" t="s">
        <v>31246</v>
      </c>
      <c r="K4193" s="235" t="s">
        <v>31247</v>
      </c>
      <c r="N4193" s="235" t="s">
        <v>842</v>
      </c>
      <c r="O4193" s="235" t="s">
        <v>843</v>
      </c>
      <c r="P4193" s="238">
        <v>1.0</v>
      </c>
      <c r="Q4193" s="235" t="s">
        <v>627</v>
      </c>
      <c r="R4193" s="238">
        <v>246.67</v>
      </c>
      <c r="S4193" s="238">
        <v>12.33</v>
      </c>
      <c r="T4193" s="238">
        <v>38.1</v>
      </c>
      <c r="U4193" s="238">
        <v>1.9</v>
      </c>
      <c r="V4193" s="238">
        <v>0.0</v>
      </c>
      <c r="W4193" s="238">
        <v>0.0</v>
      </c>
      <c r="X4193" s="235" t="s">
        <v>628</v>
      </c>
      <c r="Z4193" s="245"/>
      <c r="AA4193" s="245"/>
      <c r="AB4193" s="245"/>
      <c r="AC4193" s="235" t="s">
        <v>31248</v>
      </c>
      <c r="AD4193" s="235" t="s">
        <v>731</v>
      </c>
      <c r="AE4193" s="238">
        <v>781319.0</v>
      </c>
      <c r="AF4193" s="235" t="s">
        <v>631</v>
      </c>
      <c r="AG4193" s="245"/>
      <c r="AH4193" s="245"/>
      <c r="AI4193" s="245"/>
      <c r="AJ4193" s="245"/>
      <c r="AK4193" s="245"/>
      <c r="AL4193" s="245"/>
      <c r="AM4193" s="245"/>
      <c r="AN4193" s="245"/>
      <c r="AO4193" s="238">
        <v>0.0</v>
      </c>
      <c r="AP4193" s="238">
        <v>-38.1</v>
      </c>
      <c r="AQ4193" s="235" t="s">
        <v>1356</v>
      </c>
      <c r="AR4193" s="235" t="s">
        <v>31249</v>
      </c>
      <c r="AS4193" s="235" t="s">
        <v>16626</v>
      </c>
      <c r="AT4193" s="235" t="s">
        <v>13</v>
      </c>
      <c r="AU4193" s="235" t="s">
        <v>634</v>
      </c>
      <c r="AV4193" s="246" t="s">
        <v>635</v>
      </c>
      <c r="AW4193" s="227"/>
      <c r="AX4193" s="227"/>
      <c r="AY4193" s="227"/>
      <c r="AZ4193" s="227"/>
      <c r="BA4193" s="227"/>
      <c r="BB4193" s="227"/>
      <c r="BC4193" s="227"/>
      <c r="BD4193" s="227"/>
      <c r="BE4193" s="227"/>
      <c r="BF4193" s="227"/>
    </row>
    <row r="4194">
      <c r="A4194" s="235" t="s">
        <v>31250</v>
      </c>
      <c r="C4194" s="235" t="s">
        <v>31251</v>
      </c>
      <c r="D4194" s="235" t="s">
        <v>31252</v>
      </c>
      <c r="E4194" s="243">
        <v>6.51E13</v>
      </c>
      <c r="F4194" s="245"/>
      <c r="G4194" s="235" t="s">
        <v>31253</v>
      </c>
      <c r="H4194" s="235" t="s">
        <v>31254</v>
      </c>
      <c r="I4194" s="235" t="s">
        <v>31254</v>
      </c>
      <c r="J4194" s="235" t="s">
        <v>31255</v>
      </c>
      <c r="K4194" s="235" t="s">
        <v>31256</v>
      </c>
      <c r="N4194" s="235" t="s">
        <v>110</v>
      </c>
      <c r="O4194" s="235" t="s">
        <v>364</v>
      </c>
      <c r="P4194" s="238">
        <v>1.0</v>
      </c>
      <c r="Q4194" s="235" t="s">
        <v>627</v>
      </c>
      <c r="R4194" s="238">
        <v>237.14</v>
      </c>
      <c r="S4194" s="238">
        <v>11.5</v>
      </c>
      <c r="T4194" s="238">
        <v>0.0</v>
      </c>
      <c r="U4194" s="238">
        <v>0.0</v>
      </c>
      <c r="V4194" s="238">
        <v>0.0</v>
      </c>
      <c r="W4194" s="238">
        <v>0.0</v>
      </c>
      <c r="X4194" s="235" t="s">
        <v>628</v>
      </c>
      <c r="Z4194" s="245"/>
      <c r="AA4194" s="245"/>
      <c r="AB4194" s="245"/>
      <c r="AC4194" s="235" t="s">
        <v>678</v>
      </c>
      <c r="AD4194" s="235" t="s">
        <v>679</v>
      </c>
      <c r="AE4194" s="238">
        <v>560085.0</v>
      </c>
      <c r="AF4194" s="235" t="s">
        <v>631</v>
      </c>
      <c r="AG4194" s="245"/>
      <c r="AH4194" s="245"/>
      <c r="AI4194" s="245"/>
      <c r="AJ4194" s="245"/>
      <c r="AK4194" s="245"/>
      <c r="AL4194" s="245"/>
      <c r="AM4194" s="245"/>
      <c r="AN4194" s="245"/>
      <c r="AO4194" s="238">
        <v>-7.11</v>
      </c>
      <c r="AP4194" s="238">
        <v>0.0</v>
      </c>
      <c r="AQ4194" s="235" t="s">
        <v>632</v>
      </c>
      <c r="AR4194" s="243">
        <v>1.68E11</v>
      </c>
      <c r="AS4194" s="235" t="s">
        <v>29883</v>
      </c>
      <c r="AT4194" s="235" t="s">
        <v>155</v>
      </c>
      <c r="AU4194" s="235" t="s">
        <v>634</v>
      </c>
      <c r="AV4194" s="246" t="s">
        <v>635</v>
      </c>
      <c r="AW4194" s="227"/>
      <c r="AX4194" s="227"/>
      <c r="AY4194" s="227"/>
      <c r="AZ4194" s="227"/>
      <c r="BA4194" s="227"/>
      <c r="BB4194" s="227"/>
      <c r="BC4194" s="227"/>
      <c r="BD4194" s="227"/>
      <c r="BE4194" s="227"/>
      <c r="BF4194" s="227"/>
    </row>
    <row r="4195">
      <c r="A4195" s="235" t="s">
        <v>31257</v>
      </c>
      <c r="C4195" s="235" t="s">
        <v>31258</v>
      </c>
      <c r="D4195" s="235" t="s">
        <v>31259</v>
      </c>
      <c r="E4195" s="243">
        <v>6.51E13</v>
      </c>
      <c r="F4195" s="245"/>
      <c r="G4195" s="235" t="s">
        <v>31260</v>
      </c>
      <c r="H4195" s="235" t="s">
        <v>31261</v>
      </c>
      <c r="I4195" s="235" t="s">
        <v>31261</v>
      </c>
      <c r="J4195" s="235" t="s">
        <v>31262</v>
      </c>
      <c r="K4195" s="235" t="s">
        <v>31263</v>
      </c>
      <c r="N4195" s="235" t="s">
        <v>39</v>
      </c>
      <c r="O4195" s="235" t="s">
        <v>291</v>
      </c>
      <c r="P4195" s="238">
        <v>1.0</v>
      </c>
      <c r="Q4195" s="235" t="s">
        <v>627</v>
      </c>
      <c r="R4195" s="238">
        <v>270.48</v>
      </c>
      <c r="S4195" s="238">
        <v>13.52</v>
      </c>
      <c r="T4195" s="238">
        <v>0.0</v>
      </c>
      <c r="U4195" s="238">
        <v>0.0</v>
      </c>
      <c r="V4195" s="238">
        <v>0.0</v>
      </c>
      <c r="W4195" s="238">
        <v>0.0</v>
      </c>
      <c r="X4195" s="235" t="s">
        <v>628</v>
      </c>
      <c r="Z4195" s="245"/>
      <c r="AA4195" s="245"/>
      <c r="AB4195" s="245"/>
      <c r="AC4195" s="235" t="s">
        <v>697</v>
      </c>
      <c r="AD4195" s="235" t="s">
        <v>698</v>
      </c>
      <c r="AE4195" s="238">
        <v>500075.0</v>
      </c>
      <c r="AF4195" s="235" t="s">
        <v>631</v>
      </c>
      <c r="AG4195" s="245"/>
      <c r="AH4195" s="245"/>
      <c r="AI4195" s="245"/>
      <c r="AJ4195" s="245"/>
      <c r="AK4195" s="245"/>
      <c r="AL4195" s="245"/>
      <c r="AM4195" s="245"/>
      <c r="AN4195" s="245"/>
      <c r="AO4195" s="238">
        <v>0.0</v>
      </c>
      <c r="AP4195" s="238">
        <v>0.0</v>
      </c>
      <c r="AQ4195" s="235" t="s">
        <v>632</v>
      </c>
      <c r="AR4195" s="243">
        <v>2.02E11</v>
      </c>
      <c r="AS4195" s="235" t="s">
        <v>29883</v>
      </c>
      <c r="AT4195" s="235" t="s">
        <v>156</v>
      </c>
      <c r="AU4195" s="235" t="s">
        <v>634</v>
      </c>
      <c r="AV4195" s="246" t="s">
        <v>635</v>
      </c>
      <c r="AW4195" s="227"/>
      <c r="AX4195" s="227"/>
      <c r="AY4195" s="227"/>
      <c r="AZ4195" s="227"/>
      <c r="BA4195" s="227"/>
      <c r="BB4195" s="227"/>
      <c r="BC4195" s="227"/>
      <c r="BD4195" s="227"/>
      <c r="BE4195" s="227"/>
      <c r="BF4195" s="227"/>
    </row>
    <row r="4196">
      <c r="A4196" s="235" t="s">
        <v>31264</v>
      </c>
      <c r="C4196" s="235" t="s">
        <v>31265</v>
      </c>
      <c r="D4196" s="235" t="s">
        <v>31266</v>
      </c>
      <c r="E4196" s="243">
        <v>6.51E13</v>
      </c>
      <c r="F4196" s="245"/>
      <c r="G4196" s="235" t="s">
        <v>31267</v>
      </c>
      <c r="H4196" s="235" t="s">
        <v>31268</v>
      </c>
      <c r="I4196" s="235" t="s">
        <v>31268</v>
      </c>
      <c r="J4196" s="235" t="s">
        <v>31269</v>
      </c>
      <c r="K4196" s="235" t="s">
        <v>31270</v>
      </c>
      <c r="N4196" s="235" t="s">
        <v>51</v>
      </c>
      <c r="O4196" s="235" t="s">
        <v>273</v>
      </c>
      <c r="P4196" s="238">
        <v>1.0</v>
      </c>
      <c r="Q4196" s="235" t="s">
        <v>627</v>
      </c>
      <c r="R4196" s="238">
        <v>270.48</v>
      </c>
      <c r="S4196" s="238">
        <v>13.52</v>
      </c>
      <c r="T4196" s="238">
        <v>38.1</v>
      </c>
      <c r="U4196" s="238">
        <v>1.9</v>
      </c>
      <c r="V4196" s="238">
        <v>0.0</v>
      </c>
      <c r="W4196" s="238">
        <v>0.0</v>
      </c>
      <c r="X4196" s="235" t="s">
        <v>628</v>
      </c>
      <c r="Z4196" s="245"/>
      <c r="AA4196" s="245"/>
      <c r="AB4196" s="245"/>
      <c r="AC4196" s="235" t="s">
        <v>31271</v>
      </c>
      <c r="AD4196" s="235" t="s">
        <v>833</v>
      </c>
      <c r="AE4196" s="238">
        <v>521201.0</v>
      </c>
      <c r="AF4196" s="235" t="s">
        <v>631</v>
      </c>
      <c r="AG4196" s="245"/>
      <c r="AH4196" s="245"/>
      <c r="AI4196" s="245"/>
      <c r="AJ4196" s="245"/>
      <c r="AK4196" s="245"/>
      <c r="AL4196" s="245"/>
      <c r="AM4196" s="245"/>
      <c r="AN4196" s="245"/>
      <c r="AO4196" s="238">
        <v>0.0</v>
      </c>
      <c r="AP4196" s="238">
        <v>0.0</v>
      </c>
      <c r="AQ4196" s="235" t="s">
        <v>632</v>
      </c>
      <c r="AR4196" s="243">
        <v>3.71E11</v>
      </c>
      <c r="AS4196" s="235" t="s">
        <v>28482</v>
      </c>
      <c r="AT4196" s="235" t="s">
        <v>156</v>
      </c>
      <c r="AU4196" s="235" t="s">
        <v>634</v>
      </c>
      <c r="AV4196" s="246" t="s">
        <v>635</v>
      </c>
      <c r="AW4196" s="227"/>
      <c r="AX4196" s="227"/>
      <c r="AY4196" s="227"/>
      <c r="AZ4196" s="227"/>
      <c r="BA4196" s="227"/>
      <c r="BB4196" s="227"/>
      <c r="BC4196" s="227"/>
      <c r="BD4196" s="227"/>
      <c r="BE4196" s="227"/>
      <c r="BF4196" s="227"/>
    </row>
    <row r="4197">
      <c r="A4197" s="235" t="s">
        <v>31272</v>
      </c>
      <c r="C4197" s="235" t="s">
        <v>31273</v>
      </c>
      <c r="D4197" s="235" t="s">
        <v>31274</v>
      </c>
      <c r="E4197" s="243">
        <v>6.51E13</v>
      </c>
      <c r="F4197" s="245"/>
      <c r="G4197" s="235" t="s">
        <v>31275</v>
      </c>
      <c r="H4197" s="235" t="s">
        <v>31276</v>
      </c>
      <c r="I4197" s="235" t="s">
        <v>31276</v>
      </c>
      <c r="J4197" s="235" t="s">
        <v>31277</v>
      </c>
      <c r="K4197" s="235" t="s">
        <v>31278</v>
      </c>
      <c r="N4197" s="235" t="s">
        <v>148</v>
      </c>
      <c r="O4197" s="235" t="s">
        <v>1006</v>
      </c>
      <c r="P4197" s="238">
        <v>1.0</v>
      </c>
      <c r="Q4197" s="235" t="s">
        <v>627</v>
      </c>
      <c r="R4197" s="238">
        <v>300.0</v>
      </c>
      <c r="S4197" s="238">
        <v>15.0</v>
      </c>
      <c r="T4197" s="238">
        <v>38.1</v>
      </c>
      <c r="U4197" s="238">
        <v>1.9</v>
      </c>
      <c r="V4197" s="238">
        <v>0.0</v>
      </c>
      <c r="W4197" s="238">
        <v>0.0</v>
      </c>
      <c r="X4197" s="235" t="s">
        <v>628</v>
      </c>
      <c r="Z4197" s="245"/>
      <c r="AA4197" s="245"/>
      <c r="AB4197" s="245"/>
      <c r="AC4197" s="235" t="s">
        <v>31279</v>
      </c>
      <c r="AD4197" s="235" t="s">
        <v>709</v>
      </c>
      <c r="AE4197" s="238">
        <v>813203.0</v>
      </c>
      <c r="AF4197" s="235" t="s">
        <v>631</v>
      </c>
      <c r="AG4197" s="245"/>
      <c r="AH4197" s="245"/>
      <c r="AI4197" s="245"/>
      <c r="AJ4197" s="245"/>
      <c r="AK4197" s="245"/>
      <c r="AL4197" s="245"/>
      <c r="AM4197" s="245"/>
      <c r="AN4197" s="245"/>
      <c r="AO4197" s="238">
        <v>0.0</v>
      </c>
      <c r="AP4197" s="238">
        <v>-38.1</v>
      </c>
      <c r="AQ4197" s="235" t="s">
        <v>1328</v>
      </c>
      <c r="AR4197" s="243">
        <v>1.34E13</v>
      </c>
      <c r="AS4197" s="235" t="s">
        <v>19388</v>
      </c>
      <c r="AT4197" s="235" t="s">
        <v>9</v>
      </c>
      <c r="AU4197" s="235" t="s">
        <v>634</v>
      </c>
      <c r="AV4197" s="246" t="s">
        <v>635</v>
      </c>
      <c r="AW4197" s="227"/>
      <c r="AX4197" s="227"/>
      <c r="AY4197" s="227"/>
      <c r="AZ4197" s="227"/>
      <c r="BA4197" s="227"/>
      <c r="BB4197" s="227"/>
      <c r="BC4197" s="227"/>
      <c r="BD4197" s="227"/>
      <c r="BE4197" s="227"/>
      <c r="BF4197" s="227"/>
    </row>
    <row r="4198">
      <c r="A4198" s="235" t="s">
        <v>31280</v>
      </c>
      <c r="C4198" s="235" t="s">
        <v>31281</v>
      </c>
      <c r="D4198" s="235" t="s">
        <v>31282</v>
      </c>
      <c r="E4198" s="243">
        <v>6.51E13</v>
      </c>
      <c r="F4198" s="245"/>
      <c r="G4198" s="235" t="s">
        <v>31283</v>
      </c>
      <c r="H4198" s="235" t="s">
        <v>31284</v>
      </c>
      <c r="I4198" s="235" t="s">
        <v>31285</v>
      </c>
      <c r="J4198" s="235" t="s">
        <v>31229</v>
      </c>
      <c r="K4198" s="235" t="s">
        <v>31286</v>
      </c>
      <c r="N4198" s="235" t="s">
        <v>42</v>
      </c>
      <c r="O4198" s="235" t="s">
        <v>204</v>
      </c>
      <c r="P4198" s="238">
        <v>1.0</v>
      </c>
      <c r="Q4198" s="235" t="s">
        <v>627</v>
      </c>
      <c r="R4198" s="238">
        <v>236.2</v>
      </c>
      <c r="S4198" s="238">
        <v>11.8</v>
      </c>
      <c r="T4198" s="238">
        <v>0.0</v>
      </c>
      <c r="U4198" s="238">
        <v>0.0</v>
      </c>
      <c r="V4198" s="238">
        <v>0.0</v>
      </c>
      <c r="W4198" s="238">
        <v>0.0</v>
      </c>
      <c r="X4198" s="235" t="s">
        <v>628</v>
      </c>
      <c r="Z4198" s="245"/>
      <c r="AA4198" s="245"/>
      <c r="AB4198" s="245"/>
      <c r="AC4198" s="235" t="s">
        <v>687</v>
      </c>
      <c r="AD4198" s="235" t="s">
        <v>666</v>
      </c>
      <c r="AE4198" s="238">
        <v>600040.0</v>
      </c>
      <c r="AF4198" s="235" t="s">
        <v>631</v>
      </c>
      <c r="AG4198" s="245"/>
      <c r="AH4198" s="245"/>
      <c r="AI4198" s="245"/>
      <c r="AJ4198" s="245"/>
      <c r="AK4198" s="245"/>
      <c r="AL4198" s="245"/>
      <c r="AM4198" s="245"/>
      <c r="AN4198" s="245"/>
      <c r="AO4198" s="238">
        <v>0.0</v>
      </c>
      <c r="AP4198" s="238">
        <v>0.0</v>
      </c>
      <c r="AQ4198" s="235" t="s">
        <v>632</v>
      </c>
      <c r="AR4198" s="243">
        <v>1.68E11</v>
      </c>
      <c r="AS4198" s="235" t="s">
        <v>31232</v>
      </c>
      <c r="AT4198" s="235" t="s">
        <v>156</v>
      </c>
      <c r="AU4198" s="235" t="s">
        <v>634</v>
      </c>
      <c r="AV4198" s="246" t="s">
        <v>635</v>
      </c>
      <c r="AW4198" s="227"/>
      <c r="AX4198" s="227"/>
      <c r="AY4198" s="227"/>
      <c r="AZ4198" s="227"/>
      <c r="BA4198" s="227"/>
      <c r="BB4198" s="227"/>
      <c r="BC4198" s="227"/>
      <c r="BD4198" s="227"/>
      <c r="BE4198" s="227"/>
      <c r="BF4198" s="227"/>
    </row>
    <row r="4199">
      <c r="A4199" s="235" t="s">
        <v>31287</v>
      </c>
      <c r="C4199" s="235" t="s">
        <v>31288</v>
      </c>
      <c r="D4199" s="235" t="s">
        <v>31289</v>
      </c>
      <c r="E4199" s="243">
        <v>6.51E13</v>
      </c>
      <c r="F4199" s="245"/>
      <c r="G4199" s="235" t="s">
        <v>31290</v>
      </c>
      <c r="H4199" s="235" t="s">
        <v>31291</v>
      </c>
      <c r="I4199" s="235" t="s">
        <v>31292</v>
      </c>
      <c r="J4199" s="235" t="s">
        <v>31293</v>
      </c>
      <c r="K4199" s="235" t="s">
        <v>31294</v>
      </c>
      <c r="N4199" s="235" t="s">
        <v>90</v>
      </c>
      <c r="O4199" s="235" t="s">
        <v>279</v>
      </c>
      <c r="P4199" s="238">
        <v>1.0</v>
      </c>
      <c r="Q4199" s="235" t="s">
        <v>627</v>
      </c>
      <c r="R4199" s="238">
        <v>270.48</v>
      </c>
      <c r="S4199" s="238">
        <v>13.11</v>
      </c>
      <c r="T4199" s="238">
        <v>0.0</v>
      </c>
      <c r="U4199" s="238">
        <v>0.0</v>
      </c>
      <c r="V4199" s="238">
        <v>0.0</v>
      </c>
      <c r="W4199" s="238">
        <v>0.0</v>
      </c>
      <c r="X4199" s="235" t="s">
        <v>628</v>
      </c>
      <c r="Z4199" s="245"/>
      <c r="AA4199" s="245"/>
      <c r="AB4199" s="245"/>
      <c r="AC4199" s="235" t="s">
        <v>31295</v>
      </c>
      <c r="AD4199" s="235" t="s">
        <v>630</v>
      </c>
      <c r="AE4199" s="238">
        <v>274001.0</v>
      </c>
      <c r="AF4199" s="235" t="s">
        <v>631</v>
      </c>
      <c r="AG4199" s="245"/>
      <c r="AH4199" s="245"/>
      <c r="AI4199" s="245"/>
      <c r="AJ4199" s="245"/>
      <c r="AK4199" s="245"/>
      <c r="AL4199" s="245"/>
      <c r="AM4199" s="245"/>
      <c r="AN4199" s="245"/>
      <c r="AO4199" s="238">
        <v>-8.11</v>
      </c>
      <c r="AP4199" s="238">
        <v>0.0</v>
      </c>
      <c r="AQ4199" s="235" t="s">
        <v>632</v>
      </c>
      <c r="AR4199" s="243">
        <v>3.71E11</v>
      </c>
      <c r="AS4199" s="235" t="s">
        <v>26892</v>
      </c>
      <c r="AT4199" s="235" t="s">
        <v>14</v>
      </c>
      <c r="AU4199" s="235" t="s">
        <v>634</v>
      </c>
      <c r="AV4199" s="246" t="s">
        <v>635</v>
      </c>
      <c r="AW4199" s="227"/>
      <c r="AX4199" s="227"/>
      <c r="AY4199" s="227"/>
      <c r="AZ4199" s="227"/>
      <c r="BA4199" s="227"/>
      <c r="BB4199" s="227"/>
      <c r="BC4199" s="227"/>
      <c r="BD4199" s="227"/>
      <c r="BE4199" s="227"/>
      <c r="BF4199" s="227"/>
    </row>
    <row r="4200">
      <c r="A4200" s="235" t="s">
        <v>31296</v>
      </c>
      <c r="C4200" s="235" t="s">
        <v>31297</v>
      </c>
      <c r="D4200" s="235" t="s">
        <v>31298</v>
      </c>
      <c r="E4200" s="243">
        <v>6.51E13</v>
      </c>
      <c r="F4200" s="245"/>
      <c r="G4200" s="235" t="s">
        <v>31299</v>
      </c>
      <c r="H4200" s="235" t="s">
        <v>31300</v>
      </c>
      <c r="I4200" s="235" t="s">
        <v>31301</v>
      </c>
      <c r="J4200" s="235" t="s">
        <v>31302</v>
      </c>
      <c r="K4200" s="235" t="s">
        <v>31303</v>
      </c>
      <c r="N4200" s="235" t="s">
        <v>138</v>
      </c>
      <c r="O4200" s="235" t="s">
        <v>675</v>
      </c>
      <c r="P4200" s="238">
        <v>1.0</v>
      </c>
      <c r="Q4200" s="235" t="s">
        <v>627</v>
      </c>
      <c r="R4200" s="238">
        <v>233.34</v>
      </c>
      <c r="S4200" s="238">
        <v>11.43</v>
      </c>
      <c r="T4200" s="238">
        <v>0.0</v>
      </c>
      <c r="U4200" s="238">
        <v>0.0</v>
      </c>
      <c r="V4200" s="238">
        <v>0.0</v>
      </c>
      <c r="W4200" s="238">
        <v>0.0</v>
      </c>
      <c r="X4200" s="235" t="s">
        <v>628</v>
      </c>
      <c r="Z4200" s="245"/>
      <c r="AA4200" s="245"/>
      <c r="AB4200" s="245"/>
      <c r="AC4200" s="235" t="s">
        <v>20832</v>
      </c>
      <c r="AD4200" s="235" t="s">
        <v>928</v>
      </c>
      <c r="AE4200" s="238">
        <v>134113.0</v>
      </c>
      <c r="AF4200" s="235" t="s">
        <v>631</v>
      </c>
      <c r="AG4200" s="245"/>
      <c r="AH4200" s="245"/>
      <c r="AI4200" s="245"/>
      <c r="AJ4200" s="245"/>
      <c r="AK4200" s="245"/>
      <c r="AL4200" s="245"/>
      <c r="AM4200" s="245"/>
      <c r="AN4200" s="245"/>
      <c r="AO4200" s="238">
        <v>-4.67</v>
      </c>
      <c r="AP4200" s="238">
        <v>0.0</v>
      </c>
      <c r="AQ4200" s="235" t="s">
        <v>632</v>
      </c>
      <c r="AR4200" s="243">
        <v>3.71E11</v>
      </c>
      <c r="AS4200" s="235" t="s">
        <v>29883</v>
      </c>
      <c r="AT4200" s="235" t="s">
        <v>14</v>
      </c>
      <c r="AU4200" s="235" t="s">
        <v>634</v>
      </c>
      <c r="AV4200" s="246" t="s">
        <v>635</v>
      </c>
      <c r="AW4200" s="227"/>
      <c r="AX4200" s="227"/>
      <c r="AY4200" s="227"/>
      <c r="AZ4200" s="227"/>
      <c r="BA4200" s="227"/>
      <c r="BB4200" s="227"/>
      <c r="BC4200" s="227"/>
      <c r="BD4200" s="227"/>
      <c r="BE4200" s="227"/>
      <c r="BF4200" s="227"/>
    </row>
    <row r="4201">
      <c r="A4201" s="235" t="s">
        <v>31304</v>
      </c>
      <c r="C4201" s="235" t="s">
        <v>31305</v>
      </c>
      <c r="D4201" s="235" t="s">
        <v>31306</v>
      </c>
      <c r="E4201" s="243">
        <v>6.51E13</v>
      </c>
      <c r="F4201" s="245"/>
      <c r="G4201" s="235" t="s">
        <v>31307</v>
      </c>
      <c r="H4201" s="235" t="s">
        <v>31308</v>
      </c>
      <c r="I4201" s="235" t="s">
        <v>31308</v>
      </c>
      <c r="J4201" s="235" t="s">
        <v>31309</v>
      </c>
      <c r="K4201" s="235" t="s">
        <v>31310</v>
      </c>
      <c r="N4201" s="235" t="s">
        <v>134</v>
      </c>
      <c r="O4201" s="235" t="s">
        <v>314</v>
      </c>
      <c r="P4201" s="238">
        <v>1.0</v>
      </c>
      <c r="Q4201" s="235" t="s">
        <v>627</v>
      </c>
      <c r="R4201" s="238">
        <v>233.33</v>
      </c>
      <c r="S4201" s="238">
        <v>11.32</v>
      </c>
      <c r="T4201" s="238">
        <v>0.0</v>
      </c>
      <c r="U4201" s="238">
        <v>0.0</v>
      </c>
      <c r="V4201" s="238">
        <v>0.0</v>
      </c>
      <c r="W4201" s="238">
        <v>0.0</v>
      </c>
      <c r="X4201" s="235" t="s">
        <v>628</v>
      </c>
      <c r="Z4201" s="245"/>
      <c r="AA4201" s="245"/>
      <c r="AB4201" s="245"/>
      <c r="AC4201" s="235" t="s">
        <v>1279</v>
      </c>
      <c r="AD4201" s="235" t="s">
        <v>917</v>
      </c>
      <c r="AE4201" s="238">
        <v>302020.0</v>
      </c>
      <c r="AF4201" s="235" t="s">
        <v>631</v>
      </c>
      <c r="AG4201" s="245"/>
      <c r="AH4201" s="245"/>
      <c r="AI4201" s="245"/>
      <c r="AJ4201" s="245"/>
      <c r="AK4201" s="245"/>
      <c r="AL4201" s="245"/>
      <c r="AM4201" s="245"/>
      <c r="AN4201" s="245"/>
      <c r="AO4201" s="238">
        <v>-7.0</v>
      </c>
      <c r="AP4201" s="238">
        <v>0.0</v>
      </c>
      <c r="AQ4201" s="235" t="s">
        <v>632</v>
      </c>
      <c r="AR4201" s="243">
        <v>1.68E11</v>
      </c>
      <c r="AS4201" s="235" t="s">
        <v>29883</v>
      </c>
      <c r="AT4201" s="235" t="s">
        <v>14</v>
      </c>
      <c r="AU4201" s="235" t="s">
        <v>634</v>
      </c>
      <c r="AV4201" s="246" t="s">
        <v>635</v>
      </c>
      <c r="AW4201" s="227"/>
      <c r="AX4201" s="227"/>
      <c r="AY4201" s="227"/>
      <c r="AZ4201" s="227"/>
      <c r="BA4201" s="227"/>
      <c r="BB4201" s="227"/>
      <c r="BC4201" s="227"/>
      <c r="BD4201" s="227"/>
      <c r="BE4201" s="227"/>
      <c r="BF4201" s="227"/>
    </row>
    <row r="4202">
      <c r="A4202" s="235" t="s">
        <v>31311</v>
      </c>
      <c r="C4202" s="235" t="s">
        <v>31312</v>
      </c>
      <c r="D4202" s="235" t="s">
        <v>31313</v>
      </c>
      <c r="E4202" s="243">
        <v>6.51E13</v>
      </c>
      <c r="F4202" s="245"/>
      <c r="G4202" s="235" t="s">
        <v>31314</v>
      </c>
      <c r="H4202" s="235" t="s">
        <v>31315</v>
      </c>
      <c r="I4202" s="235" t="s">
        <v>31308</v>
      </c>
      <c r="J4202" s="235" t="s">
        <v>31316</v>
      </c>
      <c r="K4202" s="235" t="s">
        <v>31317</v>
      </c>
      <c r="N4202" s="235" t="s">
        <v>42</v>
      </c>
      <c r="O4202" s="235" t="s">
        <v>204</v>
      </c>
      <c r="P4202" s="238">
        <v>1.0</v>
      </c>
      <c r="Q4202" s="235" t="s">
        <v>627</v>
      </c>
      <c r="R4202" s="238">
        <v>236.19</v>
      </c>
      <c r="S4202" s="238">
        <v>11.46</v>
      </c>
      <c r="T4202" s="238">
        <v>0.0</v>
      </c>
      <c r="U4202" s="238">
        <v>0.0</v>
      </c>
      <c r="V4202" s="238">
        <v>0.0</v>
      </c>
      <c r="W4202" s="238">
        <v>0.0</v>
      </c>
      <c r="X4202" s="235" t="s">
        <v>628</v>
      </c>
      <c r="Z4202" s="245"/>
      <c r="AA4202" s="245"/>
      <c r="AB4202" s="245"/>
      <c r="AC4202" s="235" t="s">
        <v>21521</v>
      </c>
      <c r="AD4202" s="235" t="s">
        <v>698</v>
      </c>
      <c r="AE4202" s="238">
        <v>507111.0</v>
      </c>
      <c r="AF4202" s="235" t="s">
        <v>631</v>
      </c>
      <c r="AG4202" s="245"/>
      <c r="AH4202" s="245"/>
      <c r="AI4202" s="245"/>
      <c r="AJ4202" s="245"/>
      <c r="AK4202" s="245"/>
      <c r="AL4202" s="245"/>
      <c r="AM4202" s="245"/>
      <c r="AN4202" s="245"/>
      <c r="AO4202" s="238">
        <v>-7.09</v>
      </c>
      <c r="AP4202" s="238">
        <v>0.0</v>
      </c>
      <c r="AQ4202" s="235" t="s">
        <v>632</v>
      </c>
      <c r="AR4202" s="243">
        <v>3.71E11</v>
      </c>
      <c r="AS4202" s="235" t="s">
        <v>28482</v>
      </c>
      <c r="AT4202" s="235" t="s">
        <v>156</v>
      </c>
      <c r="AU4202" s="235" t="s">
        <v>634</v>
      </c>
      <c r="AV4202" s="246" t="s">
        <v>635</v>
      </c>
      <c r="AW4202" s="227"/>
      <c r="AX4202" s="227"/>
      <c r="AY4202" s="227"/>
      <c r="AZ4202" s="227"/>
      <c r="BA4202" s="227"/>
      <c r="BB4202" s="227"/>
      <c r="BC4202" s="227"/>
      <c r="BD4202" s="227"/>
      <c r="BE4202" s="227"/>
      <c r="BF4202" s="227"/>
    </row>
    <row r="4203">
      <c r="A4203" s="235" t="s">
        <v>31318</v>
      </c>
      <c r="C4203" s="235" t="s">
        <v>31319</v>
      </c>
      <c r="D4203" s="235" t="s">
        <v>31320</v>
      </c>
      <c r="E4203" s="243">
        <v>6.51E13</v>
      </c>
      <c r="F4203" s="245"/>
      <c r="G4203" s="235" t="s">
        <v>31321</v>
      </c>
      <c r="H4203" s="235" t="s">
        <v>31322</v>
      </c>
      <c r="I4203" s="235" t="s">
        <v>31322</v>
      </c>
      <c r="J4203" s="235" t="s">
        <v>31323</v>
      </c>
      <c r="K4203" s="235" t="s">
        <v>31324</v>
      </c>
      <c r="N4203" s="235" t="s">
        <v>3858</v>
      </c>
      <c r="O4203" s="235" t="s">
        <v>3859</v>
      </c>
      <c r="P4203" s="238">
        <v>1.0</v>
      </c>
      <c r="Q4203" s="235" t="s">
        <v>627</v>
      </c>
      <c r="R4203" s="238">
        <v>246.67</v>
      </c>
      <c r="S4203" s="238">
        <v>12.33</v>
      </c>
      <c r="T4203" s="238">
        <v>0.0</v>
      </c>
      <c r="U4203" s="238">
        <v>0.0</v>
      </c>
      <c r="V4203" s="238">
        <v>0.0</v>
      </c>
      <c r="W4203" s="238">
        <v>0.0</v>
      </c>
      <c r="X4203" s="235" t="s">
        <v>628</v>
      </c>
      <c r="Z4203" s="245"/>
      <c r="AA4203" s="245"/>
      <c r="AB4203" s="245"/>
      <c r="AC4203" s="235" t="s">
        <v>1671</v>
      </c>
      <c r="AD4203" s="235" t="s">
        <v>666</v>
      </c>
      <c r="AE4203" s="238">
        <v>641004.0</v>
      </c>
      <c r="AF4203" s="235" t="s">
        <v>631</v>
      </c>
      <c r="AG4203" s="245"/>
      <c r="AH4203" s="245"/>
      <c r="AI4203" s="245"/>
      <c r="AJ4203" s="245"/>
      <c r="AK4203" s="245"/>
      <c r="AL4203" s="245"/>
      <c r="AM4203" s="245"/>
      <c r="AN4203" s="245"/>
      <c r="AO4203" s="238">
        <v>0.0</v>
      </c>
      <c r="AP4203" s="238">
        <v>0.0</v>
      </c>
      <c r="AQ4203" s="235" t="s">
        <v>632</v>
      </c>
      <c r="AR4203" s="243">
        <v>3.71E11</v>
      </c>
      <c r="AS4203" s="235" t="s">
        <v>26892</v>
      </c>
      <c r="AT4203" s="235" t="s">
        <v>16</v>
      </c>
      <c r="AU4203" s="235" t="s">
        <v>634</v>
      </c>
      <c r="AV4203" s="246" t="s">
        <v>635</v>
      </c>
      <c r="AW4203" s="227"/>
      <c r="AX4203" s="227"/>
      <c r="AY4203" s="227"/>
      <c r="AZ4203" s="227"/>
      <c r="BA4203" s="227"/>
      <c r="BB4203" s="227"/>
      <c r="BC4203" s="227"/>
      <c r="BD4203" s="227"/>
      <c r="BE4203" s="227"/>
      <c r="BF4203" s="227"/>
    </row>
    <row r="4204">
      <c r="A4204" s="235" t="s">
        <v>31325</v>
      </c>
      <c r="C4204" s="235" t="s">
        <v>31326</v>
      </c>
      <c r="D4204" s="235" t="s">
        <v>31327</v>
      </c>
      <c r="E4204" s="243">
        <v>6.51E13</v>
      </c>
      <c r="F4204" s="245"/>
      <c r="G4204" s="235" t="s">
        <v>31328</v>
      </c>
      <c r="H4204" s="235" t="s">
        <v>31329</v>
      </c>
      <c r="I4204" s="235" t="s">
        <v>31330</v>
      </c>
      <c r="J4204" s="235" t="s">
        <v>31331</v>
      </c>
      <c r="K4204" s="235" t="s">
        <v>31332</v>
      </c>
      <c r="N4204" s="235" t="s">
        <v>85</v>
      </c>
      <c r="O4204" s="235" t="s">
        <v>872</v>
      </c>
      <c r="P4204" s="238">
        <v>1.0</v>
      </c>
      <c r="Q4204" s="235" t="s">
        <v>627</v>
      </c>
      <c r="R4204" s="238">
        <v>232.38</v>
      </c>
      <c r="S4204" s="238">
        <v>11.62</v>
      </c>
      <c r="T4204" s="238">
        <v>0.0</v>
      </c>
      <c r="U4204" s="238">
        <v>0.0</v>
      </c>
      <c r="V4204" s="238">
        <v>0.0</v>
      </c>
      <c r="W4204" s="238">
        <v>0.0</v>
      </c>
      <c r="X4204" s="235" t="s">
        <v>628</v>
      </c>
      <c r="Z4204" s="245"/>
      <c r="AA4204" s="245"/>
      <c r="AB4204" s="245"/>
      <c r="AC4204" s="235" t="s">
        <v>795</v>
      </c>
      <c r="AD4204" s="235" t="s">
        <v>796</v>
      </c>
      <c r="AE4204" s="238">
        <v>110035.0</v>
      </c>
      <c r="AF4204" s="235" t="s">
        <v>631</v>
      </c>
      <c r="AG4204" s="245"/>
      <c r="AH4204" s="245"/>
      <c r="AI4204" s="245"/>
      <c r="AJ4204" s="245"/>
      <c r="AK4204" s="245"/>
      <c r="AL4204" s="245"/>
      <c r="AM4204" s="245"/>
      <c r="AN4204" s="245"/>
      <c r="AO4204" s="238">
        <v>0.0</v>
      </c>
      <c r="AP4204" s="238">
        <v>0.0</v>
      </c>
      <c r="AQ4204" s="235" t="s">
        <v>632</v>
      </c>
      <c r="AR4204" s="243">
        <v>1.68E11</v>
      </c>
      <c r="AS4204" s="235" t="s">
        <v>31232</v>
      </c>
      <c r="AT4204" s="235" t="s">
        <v>533</v>
      </c>
      <c r="AU4204" s="235" t="s">
        <v>634</v>
      </c>
      <c r="AV4204" s="246" t="s">
        <v>635</v>
      </c>
      <c r="AW4204" s="227"/>
      <c r="AX4204" s="227"/>
      <c r="AY4204" s="227"/>
      <c r="AZ4204" s="227"/>
      <c r="BA4204" s="227"/>
      <c r="BB4204" s="227"/>
      <c r="BC4204" s="227"/>
      <c r="BD4204" s="227"/>
      <c r="BE4204" s="227"/>
      <c r="BF4204" s="227"/>
    </row>
    <row r="4205">
      <c r="A4205" s="235" t="s">
        <v>31333</v>
      </c>
      <c r="C4205" s="235" t="s">
        <v>31334</v>
      </c>
      <c r="D4205" s="235" t="s">
        <v>31335</v>
      </c>
      <c r="E4205" s="243">
        <v>6.51E13</v>
      </c>
      <c r="F4205" s="245"/>
      <c r="G4205" s="235" t="s">
        <v>31336</v>
      </c>
      <c r="H4205" s="235" t="s">
        <v>31337</v>
      </c>
      <c r="I4205" s="235" t="s">
        <v>31338</v>
      </c>
      <c r="J4205" s="235" t="s">
        <v>31339</v>
      </c>
      <c r="K4205" s="235" t="s">
        <v>31340</v>
      </c>
      <c r="N4205" s="235" t="s">
        <v>145</v>
      </c>
      <c r="O4205" s="235" t="s">
        <v>370</v>
      </c>
      <c r="P4205" s="238">
        <v>1.0</v>
      </c>
      <c r="Q4205" s="235" t="s">
        <v>627</v>
      </c>
      <c r="R4205" s="238">
        <v>1475.24</v>
      </c>
      <c r="S4205" s="238">
        <v>71.55</v>
      </c>
      <c r="T4205" s="238">
        <v>0.0</v>
      </c>
      <c r="U4205" s="238">
        <v>0.0</v>
      </c>
      <c r="V4205" s="238">
        <v>0.0</v>
      </c>
      <c r="W4205" s="238">
        <v>0.0</v>
      </c>
      <c r="X4205" s="235" t="s">
        <v>628</v>
      </c>
      <c r="Z4205" s="245"/>
      <c r="AA4205" s="245"/>
      <c r="AB4205" s="245"/>
      <c r="AC4205" s="235" t="s">
        <v>31341</v>
      </c>
      <c r="AD4205" s="235" t="s">
        <v>645</v>
      </c>
      <c r="AE4205" s="238">
        <v>688524.0</v>
      </c>
      <c r="AF4205" s="235" t="s">
        <v>631</v>
      </c>
      <c r="AG4205" s="245"/>
      <c r="AH4205" s="245"/>
      <c r="AI4205" s="245"/>
      <c r="AJ4205" s="245"/>
      <c r="AK4205" s="245"/>
      <c r="AL4205" s="245"/>
      <c r="AM4205" s="245"/>
      <c r="AN4205" s="245"/>
      <c r="AO4205" s="238">
        <v>-44.26</v>
      </c>
      <c r="AP4205" s="238">
        <v>0.0</v>
      </c>
      <c r="AQ4205" s="235" t="s">
        <v>632</v>
      </c>
      <c r="AR4205" s="243">
        <v>3.71E11</v>
      </c>
      <c r="AS4205" s="235" t="s">
        <v>29883</v>
      </c>
      <c r="AT4205" s="235" t="s">
        <v>155</v>
      </c>
      <c r="AU4205" s="235" t="s">
        <v>634</v>
      </c>
      <c r="AV4205" s="246" t="s">
        <v>635</v>
      </c>
      <c r="AW4205" s="227"/>
      <c r="AX4205" s="227"/>
      <c r="AY4205" s="227"/>
      <c r="AZ4205" s="227"/>
      <c r="BA4205" s="227"/>
      <c r="BB4205" s="227"/>
      <c r="BC4205" s="227"/>
      <c r="BD4205" s="227"/>
      <c r="BE4205" s="227"/>
      <c r="BF4205" s="227"/>
    </row>
    <row r="4206">
      <c r="A4206" s="235" t="s">
        <v>31342</v>
      </c>
      <c r="C4206" s="235" t="s">
        <v>31343</v>
      </c>
      <c r="D4206" s="235" t="s">
        <v>31344</v>
      </c>
      <c r="E4206" s="243">
        <v>6.51E13</v>
      </c>
      <c r="F4206" s="245"/>
      <c r="G4206" s="235" t="s">
        <v>31345</v>
      </c>
      <c r="H4206" s="235" t="s">
        <v>31346</v>
      </c>
      <c r="I4206" s="235" t="s">
        <v>31346</v>
      </c>
      <c r="J4206" s="235" t="s">
        <v>31347</v>
      </c>
      <c r="K4206" s="235" t="s">
        <v>31348</v>
      </c>
      <c r="N4206" s="235" t="s">
        <v>154</v>
      </c>
      <c r="O4206" s="235" t="s">
        <v>766</v>
      </c>
      <c r="P4206" s="238">
        <v>1.0</v>
      </c>
      <c r="Q4206" s="235" t="s">
        <v>627</v>
      </c>
      <c r="R4206" s="238">
        <v>423.81</v>
      </c>
      <c r="S4206" s="238">
        <v>21.19</v>
      </c>
      <c r="T4206" s="238">
        <v>0.0</v>
      </c>
      <c r="U4206" s="238">
        <v>0.0</v>
      </c>
      <c r="V4206" s="238">
        <v>0.0</v>
      </c>
      <c r="W4206" s="238">
        <v>0.0</v>
      </c>
      <c r="X4206" s="235" t="s">
        <v>628</v>
      </c>
      <c r="Z4206" s="245"/>
      <c r="AA4206" s="245"/>
      <c r="AB4206" s="245"/>
      <c r="AC4206" s="235" t="s">
        <v>822</v>
      </c>
      <c r="AD4206" s="235" t="s">
        <v>630</v>
      </c>
      <c r="AE4206" s="238">
        <v>201301.0</v>
      </c>
      <c r="AF4206" s="235" t="s">
        <v>631</v>
      </c>
      <c r="AG4206" s="245"/>
      <c r="AH4206" s="245"/>
      <c r="AI4206" s="245"/>
      <c r="AJ4206" s="245"/>
      <c r="AK4206" s="245"/>
      <c r="AL4206" s="245"/>
      <c r="AM4206" s="245"/>
      <c r="AN4206" s="245"/>
      <c r="AO4206" s="238">
        <v>0.0</v>
      </c>
      <c r="AP4206" s="238">
        <v>0.0</v>
      </c>
      <c r="AQ4206" s="235" t="s">
        <v>632</v>
      </c>
      <c r="AR4206" s="243">
        <v>1.68E11</v>
      </c>
      <c r="AS4206" s="235" t="s">
        <v>31232</v>
      </c>
      <c r="AT4206" s="235" t="s">
        <v>14</v>
      </c>
      <c r="AU4206" s="235" t="s">
        <v>634</v>
      </c>
      <c r="AV4206" s="246" t="s">
        <v>635</v>
      </c>
      <c r="AW4206" s="227"/>
      <c r="AX4206" s="227"/>
      <c r="AY4206" s="227"/>
      <c r="AZ4206" s="227"/>
      <c r="BA4206" s="227"/>
      <c r="BB4206" s="227"/>
      <c r="BC4206" s="227"/>
      <c r="BD4206" s="227"/>
      <c r="BE4206" s="227"/>
      <c r="BF4206" s="227"/>
    </row>
    <row r="4207">
      <c r="A4207" s="235" t="s">
        <v>31349</v>
      </c>
      <c r="C4207" s="235" t="s">
        <v>31350</v>
      </c>
      <c r="D4207" s="235" t="s">
        <v>31351</v>
      </c>
      <c r="E4207" s="243">
        <v>6.51E13</v>
      </c>
      <c r="F4207" s="245"/>
      <c r="G4207" s="235" t="s">
        <v>31352</v>
      </c>
      <c r="H4207" s="235" t="s">
        <v>31353</v>
      </c>
      <c r="I4207" s="235" t="s">
        <v>31353</v>
      </c>
      <c r="J4207" s="235" t="s">
        <v>31354</v>
      </c>
      <c r="K4207" s="235" t="s">
        <v>31355</v>
      </c>
      <c r="N4207" s="235" t="s">
        <v>51</v>
      </c>
      <c r="O4207" s="235" t="s">
        <v>273</v>
      </c>
      <c r="P4207" s="238">
        <v>1.0</v>
      </c>
      <c r="Q4207" s="235" t="s">
        <v>627</v>
      </c>
      <c r="R4207" s="238">
        <v>270.48</v>
      </c>
      <c r="S4207" s="238">
        <v>13.25</v>
      </c>
      <c r="T4207" s="238">
        <v>0.0</v>
      </c>
      <c r="U4207" s="238">
        <v>0.0</v>
      </c>
      <c r="V4207" s="238">
        <v>0.0</v>
      </c>
      <c r="W4207" s="238">
        <v>0.0</v>
      </c>
      <c r="X4207" s="235" t="s">
        <v>628</v>
      </c>
      <c r="Z4207" s="245"/>
      <c r="AA4207" s="245"/>
      <c r="AB4207" s="245"/>
      <c r="AC4207" s="235" t="s">
        <v>687</v>
      </c>
      <c r="AD4207" s="235" t="s">
        <v>666</v>
      </c>
      <c r="AE4207" s="238">
        <v>600063.0</v>
      </c>
      <c r="AF4207" s="235" t="s">
        <v>631</v>
      </c>
      <c r="AG4207" s="245"/>
      <c r="AH4207" s="245"/>
      <c r="AI4207" s="245"/>
      <c r="AJ4207" s="245"/>
      <c r="AK4207" s="245"/>
      <c r="AL4207" s="245"/>
      <c r="AM4207" s="245"/>
      <c r="AN4207" s="245"/>
      <c r="AO4207" s="238">
        <v>-5.41</v>
      </c>
      <c r="AP4207" s="238">
        <v>0.0</v>
      </c>
      <c r="AQ4207" s="235" t="s">
        <v>632</v>
      </c>
      <c r="AR4207" s="243">
        <v>3.71E11</v>
      </c>
      <c r="AS4207" s="235" t="s">
        <v>29883</v>
      </c>
      <c r="AT4207" s="235" t="s">
        <v>156</v>
      </c>
      <c r="AU4207" s="235" t="s">
        <v>634</v>
      </c>
      <c r="AV4207" s="246" t="s">
        <v>635</v>
      </c>
      <c r="AW4207" s="227"/>
      <c r="AX4207" s="227"/>
      <c r="AY4207" s="227"/>
      <c r="AZ4207" s="227"/>
      <c r="BA4207" s="227"/>
      <c r="BB4207" s="227"/>
      <c r="BC4207" s="227"/>
      <c r="BD4207" s="227"/>
      <c r="BE4207" s="227"/>
      <c r="BF4207" s="227"/>
    </row>
    <row r="4208">
      <c r="A4208" s="235" t="s">
        <v>31356</v>
      </c>
      <c r="C4208" s="235" t="s">
        <v>31357</v>
      </c>
      <c r="D4208" s="235" t="s">
        <v>31358</v>
      </c>
      <c r="E4208" s="243">
        <v>6.51E13</v>
      </c>
      <c r="F4208" s="245"/>
      <c r="G4208" s="235" t="s">
        <v>31359</v>
      </c>
      <c r="H4208" s="235" t="s">
        <v>31360</v>
      </c>
      <c r="I4208" s="235" t="s">
        <v>31360</v>
      </c>
      <c r="J4208" s="235" t="s">
        <v>31361</v>
      </c>
      <c r="K4208" s="235" t="s">
        <v>31362</v>
      </c>
      <c r="N4208" s="235" t="s">
        <v>128</v>
      </c>
      <c r="O4208" s="235" t="s">
        <v>2710</v>
      </c>
      <c r="P4208" s="238">
        <v>1.0</v>
      </c>
      <c r="Q4208" s="235" t="s">
        <v>627</v>
      </c>
      <c r="R4208" s="238">
        <v>270.48</v>
      </c>
      <c r="S4208" s="238">
        <v>13.25</v>
      </c>
      <c r="T4208" s="238">
        <v>0.0</v>
      </c>
      <c r="U4208" s="238">
        <v>0.0</v>
      </c>
      <c r="V4208" s="238">
        <v>0.0</v>
      </c>
      <c r="W4208" s="238">
        <v>0.0</v>
      </c>
      <c r="X4208" s="235" t="s">
        <v>628</v>
      </c>
      <c r="Z4208" s="245"/>
      <c r="AA4208" s="245"/>
      <c r="AB4208" s="245"/>
      <c r="AC4208" s="235" t="s">
        <v>31363</v>
      </c>
      <c r="AD4208" s="235" t="s">
        <v>645</v>
      </c>
      <c r="AE4208" s="238">
        <v>689102.0</v>
      </c>
      <c r="AF4208" s="235" t="s">
        <v>631</v>
      </c>
      <c r="AG4208" s="245"/>
      <c r="AH4208" s="245"/>
      <c r="AI4208" s="245"/>
      <c r="AJ4208" s="245"/>
      <c r="AK4208" s="245"/>
      <c r="AL4208" s="245"/>
      <c r="AM4208" s="245"/>
      <c r="AN4208" s="245"/>
      <c r="AO4208" s="238">
        <v>-5.41</v>
      </c>
      <c r="AP4208" s="238">
        <v>0.0</v>
      </c>
      <c r="AQ4208" s="235" t="s">
        <v>632</v>
      </c>
      <c r="AR4208" s="243">
        <v>3.71E11</v>
      </c>
      <c r="AS4208" s="235" t="s">
        <v>28482</v>
      </c>
      <c r="AT4208" s="235" t="s">
        <v>11</v>
      </c>
      <c r="AU4208" s="235" t="s">
        <v>634</v>
      </c>
      <c r="AV4208" s="246" t="s">
        <v>635</v>
      </c>
      <c r="AW4208" s="227"/>
      <c r="AX4208" s="227"/>
      <c r="AY4208" s="227"/>
      <c r="AZ4208" s="227"/>
      <c r="BA4208" s="227"/>
      <c r="BB4208" s="227"/>
      <c r="BC4208" s="227"/>
      <c r="BD4208" s="227"/>
      <c r="BE4208" s="227"/>
      <c r="BF4208" s="227"/>
    </row>
    <row r="4209">
      <c r="A4209" s="235" t="s">
        <v>31364</v>
      </c>
      <c r="C4209" s="235" t="s">
        <v>31365</v>
      </c>
      <c r="D4209" s="235" t="s">
        <v>31366</v>
      </c>
      <c r="E4209" s="243">
        <v>6.51E13</v>
      </c>
      <c r="F4209" s="245"/>
      <c r="G4209" s="235" t="s">
        <v>31367</v>
      </c>
      <c r="H4209" s="235" t="s">
        <v>31368</v>
      </c>
      <c r="I4209" s="235" t="s">
        <v>31368</v>
      </c>
      <c r="J4209" s="235" t="s">
        <v>30904</v>
      </c>
      <c r="K4209" s="235" t="s">
        <v>31369</v>
      </c>
      <c r="N4209" s="235" t="s">
        <v>106</v>
      </c>
      <c r="O4209" s="235" t="s">
        <v>338</v>
      </c>
      <c r="P4209" s="238">
        <v>1.0</v>
      </c>
      <c r="Q4209" s="235" t="s">
        <v>627</v>
      </c>
      <c r="R4209" s="238">
        <v>237.14</v>
      </c>
      <c r="S4209" s="238">
        <v>11.86</v>
      </c>
      <c r="T4209" s="238">
        <v>0.0</v>
      </c>
      <c r="U4209" s="238">
        <v>0.0</v>
      </c>
      <c r="V4209" s="238">
        <v>0.0</v>
      </c>
      <c r="W4209" s="238">
        <v>0.0</v>
      </c>
      <c r="X4209" s="235" t="s">
        <v>628</v>
      </c>
      <c r="Z4209" s="245"/>
      <c r="AA4209" s="245"/>
      <c r="AB4209" s="245"/>
      <c r="AC4209" s="235" t="s">
        <v>795</v>
      </c>
      <c r="AD4209" s="235" t="s">
        <v>796</v>
      </c>
      <c r="AE4209" s="238">
        <v>110032.0</v>
      </c>
      <c r="AF4209" s="235" t="s">
        <v>631</v>
      </c>
      <c r="AG4209" s="245"/>
      <c r="AH4209" s="245"/>
      <c r="AI4209" s="245"/>
      <c r="AJ4209" s="245"/>
      <c r="AK4209" s="245"/>
      <c r="AL4209" s="245"/>
      <c r="AM4209" s="245"/>
      <c r="AN4209" s="245"/>
      <c r="AO4209" s="238">
        <v>0.0</v>
      </c>
      <c r="AP4209" s="238">
        <v>0.0</v>
      </c>
      <c r="AQ4209" s="235" t="s">
        <v>632</v>
      </c>
      <c r="AR4209" s="243">
        <v>1.68E11</v>
      </c>
      <c r="AS4209" s="235" t="s">
        <v>30263</v>
      </c>
      <c r="AT4209" s="235" t="s">
        <v>533</v>
      </c>
      <c r="AU4209" s="235" t="s">
        <v>634</v>
      </c>
      <c r="AV4209" s="246" t="s">
        <v>635</v>
      </c>
      <c r="AW4209" s="227"/>
      <c r="AX4209" s="227"/>
      <c r="AY4209" s="227"/>
      <c r="AZ4209" s="227"/>
      <c r="BA4209" s="227"/>
      <c r="BB4209" s="227"/>
      <c r="BC4209" s="227"/>
      <c r="BD4209" s="227"/>
      <c r="BE4209" s="227"/>
      <c r="BF4209" s="227"/>
    </row>
    <row r="4210">
      <c r="A4210" s="235" t="s">
        <v>31370</v>
      </c>
      <c r="C4210" s="235" t="s">
        <v>31371</v>
      </c>
      <c r="D4210" s="235" t="s">
        <v>31372</v>
      </c>
      <c r="E4210" s="243">
        <v>6.51E13</v>
      </c>
      <c r="F4210" s="245"/>
      <c r="G4210" s="235" t="s">
        <v>31373</v>
      </c>
      <c r="H4210" s="235" t="s">
        <v>31374</v>
      </c>
      <c r="I4210" s="235" t="s">
        <v>31374</v>
      </c>
      <c r="J4210" s="235" t="s">
        <v>31375</v>
      </c>
      <c r="K4210" s="235" t="s">
        <v>31376</v>
      </c>
      <c r="N4210" s="235" t="s">
        <v>962</v>
      </c>
      <c r="O4210" s="235" t="s">
        <v>963</v>
      </c>
      <c r="P4210" s="238">
        <v>1.0</v>
      </c>
      <c r="Q4210" s="235" t="s">
        <v>627</v>
      </c>
      <c r="R4210" s="238">
        <v>237.14</v>
      </c>
      <c r="S4210" s="238">
        <v>11.5</v>
      </c>
      <c r="T4210" s="238">
        <v>0.0</v>
      </c>
      <c r="U4210" s="238">
        <v>0.0</v>
      </c>
      <c r="V4210" s="238">
        <v>0.0</v>
      </c>
      <c r="W4210" s="238">
        <v>0.0</v>
      </c>
      <c r="X4210" s="235" t="s">
        <v>628</v>
      </c>
      <c r="Z4210" s="245"/>
      <c r="AA4210" s="245"/>
      <c r="AB4210" s="245"/>
      <c r="AC4210" s="235" t="s">
        <v>31377</v>
      </c>
      <c r="AD4210" s="235" t="s">
        <v>630</v>
      </c>
      <c r="AE4210" s="238">
        <v>209625.0</v>
      </c>
      <c r="AF4210" s="235" t="s">
        <v>631</v>
      </c>
      <c r="AG4210" s="245"/>
      <c r="AH4210" s="245"/>
      <c r="AI4210" s="245"/>
      <c r="AJ4210" s="245"/>
      <c r="AK4210" s="245"/>
      <c r="AL4210" s="245"/>
      <c r="AM4210" s="245"/>
      <c r="AN4210" s="245"/>
      <c r="AO4210" s="238">
        <v>-7.11</v>
      </c>
      <c r="AP4210" s="238">
        <v>0.0</v>
      </c>
      <c r="AQ4210" s="235" t="s">
        <v>632</v>
      </c>
      <c r="AR4210" s="243">
        <v>3.71E11</v>
      </c>
      <c r="AS4210" s="235" t="s">
        <v>28482</v>
      </c>
      <c r="AT4210" s="235" t="s">
        <v>13</v>
      </c>
      <c r="AU4210" s="235" t="s">
        <v>634</v>
      </c>
      <c r="AV4210" s="246" t="s">
        <v>635</v>
      </c>
      <c r="AW4210" s="227"/>
      <c r="AX4210" s="227"/>
      <c r="AY4210" s="227"/>
      <c r="AZ4210" s="227"/>
      <c r="BA4210" s="227"/>
      <c r="BB4210" s="227"/>
      <c r="BC4210" s="227"/>
      <c r="BD4210" s="227"/>
      <c r="BE4210" s="227"/>
      <c r="BF4210" s="227"/>
    </row>
    <row r="4211">
      <c r="A4211" s="235" t="s">
        <v>31378</v>
      </c>
      <c r="C4211" s="235" t="s">
        <v>31379</v>
      </c>
      <c r="D4211" s="235" t="s">
        <v>31380</v>
      </c>
      <c r="E4211" s="243">
        <v>6.51E13</v>
      </c>
      <c r="F4211" s="245"/>
      <c r="G4211" s="235" t="s">
        <v>31381</v>
      </c>
      <c r="H4211" s="235" t="s">
        <v>31382</v>
      </c>
      <c r="I4211" s="235" t="s">
        <v>31382</v>
      </c>
      <c r="J4211" s="235" t="s">
        <v>31383</v>
      </c>
      <c r="K4211" s="235" t="s">
        <v>31384</v>
      </c>
      <c r="N4211" s="235" t="s">
        <v>989</v>
      </c>
      <c r="O4211" s="235" t="s">
        <v>990</v>
      </c>
      <c r="P4211" s="238">
        <v>1.0</v>
      </c>
      <c r="Q4211" s="235" t="s">
        <v>627</v>
      </c>
      <c r="R4211" s="238">
        <v>256.19</v>
      </c>
      <c r="S4211" s="238">
        <v>12.81</v>
      </c>
      <c r="T4211" s="238">
        <v>38.1</v>
      </c>
      <c r="U4211" s="238">
        <v>1.9</v>
      </c>
      <c r="V4211" s="238">
        <v>0.0</v>
      </c>
      <c r="W4211" s="238">
        <v>0.0</v>
      </c>
      <c r="X4211" s="235" t="s">
        <v>628</v>
      </c>
      <c r="Z4211" s="245"/>
      <c r="AA4211" s="245"/>
      <c r="AB4211" s="245"/>
      <c r="AC4211" s="235" t="s">
        <v>31385</v>
      </c>
      <c r="AD4211" s="235" t="s">
        <v>709</v>
      </c>
      <c r="AE4211" s="238">
        <v>851212.0</v>
      </c>
      <c r="AF4211" s="235" t="s">
        <v>631</v>
      </c>
      <c r="AG4211" s="245"/>
      <c r="AH4211" s="245"/>
      <c r="AI4211" s="245"/>
      <c r="AJ4211" s="245"/>
      <c r="AK4211" s="245"/>
      <c r="AL4211" s="245"/>
      <c r="AM4211" s="245"/>
      <c r="AN4211" s="245"/>
      <c r="AO4211" s="238">
        <v>0.0</v>
      </c>
      <c r="AP4211" s="238">
        <v>-38.1</v>
      </c>
      <c r="AQ4211" s="235" t="s">
        <v>1328</v>
      </c>
      <c r="AR4211" s="243">
        <v>1.34E13</v>
      </c>
      <c r="AS4211" s="235" t="s">
        <v>25098</v>
      </c>
      <c r="AT4211" s="235" t="s">
        <v>14</v>
      </c>
      <c r="AU4211" s="235" t="s">
        <v>634</v>
      </c>
      <c r="AV4211" s="246" t="s">
        <v>635</v>
      </c>
      <c r="AW4211" s="227"/>
      <c r="AX4211" s="227"/>
      <c r="AY4211" s="227"/>
      <c r="AZ4211" s="227"/>
      <c r="BA4211" s="227"/>
      <c r="BB4211" s="227"/>
      <c r="BC4211" s="227"/>
      <c r="BD4211" s="227"/>
      <c r="BE4211" s="227"/>
      <c r="BF4211" s="227"/>
    </row>
    <row r="4212">
      <c r="A4212" s="235" t="s">
        <v>31386</v>
      </c>
      <c r="C4212" s="235" t="s">
        <v>31387</v>
      </c>
      <c r="D4212" s="235" t="s">
        <v>31388</v>
      </c>
      <c r="E4212" s="243">
        <v>6.51E13</v>
      </c>
      <c r="F4212" s="245"/>
      <c r="G4212" s="235" t="s">
        <v>31389</v>
      </c>
      <c r="H4212" s="235" t="s">
        <v>31390</v>
      </c>
      <c r="I4212" s="235" t="s">
        <v>31391</v>
      </c>
      <c r="J4212" s="235" t="s">
        <v>31392</v>
      </c>
      <c r="K4212" s="235" t="s">
        <v>31393</v>
      </c>
      <c r="N4212" s="235" t="s">
        <v>127</v>
      </c>
      <c r="O4212" s="235" t="s">
        <v>794</v>
      </c>
      <c r="P4212" s="238">
        <v>1.0</v>
      </c>
      <c r="Q4212" s="235" t="s">
        <v>627</v>
      </c>
      <c r="R4212" s="238">
        <v>236.19</v>
      </c>
      <c r="S4212" s="238">
        <v>11.81</v>
      </c>
      <c r="T4212" s="238">
        <v>0.0</v>
      </c>
      <c r="U4212" s="238">
        <v>0.0</v>
      </c>
      <c r="V4212" s="238">
        <v>0.0</v>
      </c>
      <c r="W4212" s="238">
        <v>0.0</v>
      </c>
      <c r="X4212" s="235" t="s">
        <v>628</v>
      </c>
      <c r="Z4212" s="245"/>
      <c r="AA4212" s="245"/>
      <c r="AB4212" s="245"/>
      <c r="AC4212" s="235" t="s">
        <v>814</v>
      </c>
      <c r="AD4212" s="235" t="s">
        <v>698</v>
      </c>
      <c r="AE4212" s="238">
        <v>500055.0</v>
      </c>
      <c r="AF4212" s="235" t="s">
        <v>631</v>
      </c>
      <c r="AG4212" s="245"/>
      <c r="AH4212" s="245"/>
      <c r="AI4212" s="245"/>
      <c r="AJ4212" s="245"/>
      <c r="AK4212" s="245"/>
      <c r="AL4212" s="245"/>
      <c r="AM4212" s="245"/>
      <c r="AN4212" s="245"/>
      <c r="AO4212" s="238">
        <v>0.0</v>
      </c>
      <c r="AP4212" s="238">
        <v>0.0</v>
      </c>
      <c r="AQ4212" s="235" t="s">
        <v>632</v>
      </c>
      <c r="AR4212" s="243">
        <v>2.02E11</v>
      </c>
      <c r="AS4212" s="235" t="s">
        <v>29883</v>
      </c>
      <c r="AT4212" s="235" t="s">
        <v>17</v>
      </c>
      <c r="AU4212" s="235" t="s">
        <v>634</v>
      </c>
      <c r="AV4212" s="246" t="s">
        <v>635</v>
      </c>
      <c r="AW4212" s="227"/>
      <c r="AX4212" s="227"/>
      <c r="AY4212" s="227"/>
      <c r="AZ4212" s="227"/>
      <c r="BA4212" s="227"/>
      <c r="BB4212" s="227"/>
      <c r="BC4212" s="227"/>
      <c r="BD4212" s="227"/>
      <c r="BE4212" s="227"/>
      <c r="BF4212" s="227"/>
    </row>
    <row r="4213">
      <c r="A4213" s="235" t="s">
        <v>31394</v>
      </c>
      <c r="C4213" s="235" t="s">
        <v>31395</v>
      </c>
      <c r="D4213" s="235" t="s">
        <v>31396</v>
      </c>
      <c r="E4213" s="243">
        <v>6.51E13</v>
      </c>
      <c r="F4213" s="245"/>
      <c r="G4213" s="235" t="s">
        <v>31397</v>
      </c>
      <c r="H4213" s="235" t="s">
        <v>31398</v>
      </c>
      <c r="I4213" s="235" t="s">
        <v>31399</v>
      </c>
      <c r="J4213" s="235" t="s">
        <v>31400</v>
      </c>
      <c r="K4213" s="235" t="s">
        <v>31401</v>
      </c>
      <c r="N4213" s="235" t="s">
        <v>127</v>
      </c>
      <c r="O4213" s="235" t="s">
        <v>794</v>
      </c>
      <c r="P4213" s="238">
        <v>1.0</v>
      </c>
      <c r="Q4213" s="235" t="s">
        <v>627</v>
      </c>
      <c r="R4213" s="238">
        <v>236.19</v>
      </c>
      <c r="S4213" s="238">
        <v>11.81</v>
      </c>
      <c r="T4213" s="238">
        <v>0.0</v>
      </c>
      <c r="U4213" s="238">
        <v>0.0</v>
      </c>
      <c r="V4213" s="238">
        <v>0.0</v>
      </c>
      <c r="W4213" s="238">
        <v>0.0</v>
      </c>
      <c r="X4213" s="235" t="s">
        <v>628</v>
      </c>
      <c r="Z4213" s="245"/>
      <c r="AA4213" s="245"/>
      <c r="AB4213" s="245"/>
      <c r="AC4213" s="235" t="s">
        <v>1531</v>
      </c>
      <c r="AD4213" s="235" t="s">
        <v>1151</v>
      </c>
      <c r="AE4213" s="238">
        <v>700007.0</v>
      </c>
      <c r="AF4213" s="235" t="s">
        <v>631</v>
      </c>
      <c r="AG4213" s="245"/>
      <c r="AH4213" s="245"/>
      <c r="AI4213" s="245"/>
      <c r="AJ4213" s="245"/>
      <c r="AK4213" s="245"/>
      <c r="AL4213" s="245"/>
      <c r="AM4213" s="245"/>
      <c r="AN4213" s="245"/>
      <c r="AO4213" s="238">
        <v>0.0</v>
      </c>
      <c r="AP4213" s="238">
        <v>0.0</v>
      </c>
      <c r="AQ4213" s="235" t="s">
        <v>632</v>
      </c>
      <c r="AR4213" s="243">
        <v>2.02E11</v>
      </c>
      <c r="AS4213" s="235" t="s">
        <v>29883</v>
      </c>
      <c r="AT4213" s="235" t="s">
        <v>156</v>
      </c>
      <c r="AU4213" s="235" t="s">
        <v>634</v>
      </c>
      <c r="AV4213" s="246" t="s">
        <v>635</v>
      </c>
      <c r="AW4213" s="227"/>
      <c r="AX4213" s="227"/>
      <c r="AY4213" s="227"/>
      <c r="AZ4213" s="227"/>
      <c r="BA4213" s="227"/>
      <c r="BB4213" s="227"/>
      <c r="BC4213" s="227"/>
      <c r="BD4213" s="227"/>
      <c r="BE4213" s="227"/>
      <c r="BF4213" s="227"/>
    </row>
    <row r="4214">
      <c r="A4214" s="235" t="s">
        <v>31402</v>
      </c>
      <c r="C4214" s="235" t="s">
        <v>31403</v>
      </c>
      <c r="D4214" s="235" t="s">
        <v>31404</v>
      </c>
      <c r="E4214" s="243">
        <v>6.51E13</v>
      </c>
      <c r="F4214" s="245"/>
      <c r="G4214" s="235" t="s">
        <v>31405</v>
      </c>
      <c r="H4214" s="235" t="s">
        <v>31406</v>
      </c>
      <c r="I4214" s="235" t="s">
        <v>31406</v>
      </c>
      <c r="J4214" s="235" t="s">
        <v>31407</v>
      </c>
      <c r="K4214" s="235" t="s">
        <v>31408</v>
      </c>
      <c r="N4214" s="235" t="s">
        <v>43</v>
      </c>
      <c r="O4214" s="235" t="s">
        <v>276</v>
      </c>
      <c r="P4214" s="238">
        <v>1.0</v>
      </c>
      <c r="Q4214" s="235" t="s">
        <v>627</v>
      </c>
      <c r="R4214" s="238">
        <v>233.33</v>
      </c>
      <c r="S4214" s="238">
        <v>11.32</v>
      </c>
      <c r="T4214" s="238">
        <v>0.0</v>
      </c>
      <c r="U4214" s="238">
        <v>0.0</v>
      </c>
      <c r="V4214" s="238">
        <v>0.0</v>
      </c>
      <c r="W4214" s="238">
        <v>0.0</v>
      </c>
      <c r="X4214" s="235" t="s">
        <v>628</v>
      </c>
      <c r="Z4214" s="245"/>
      <c r="AA4214" s="245"/>
      <c r="AB4214" s="245"/>
      <c r="AC4214" s="235" t="s">
        <v>697</v>
      </c>
      <c r="AD4214" s="235" t="s">
        <v>698</v>
      </c>
      <c r="AE4214" s="238">
        <v>500060.0</v>
      </c>
      <c r="AF4214" s="235" t="s">
        <v>631</v>
      </c>
      <c r="AG4214" s="245"/>
      <c r="AH4214" s="245"/>
      <c r="AI4214" s="245"/>
      <c r="AJ4214" s="245"/>
      <c r="AK4214" s="245"/>
      <c r="AL4214" s="245"/>
      <c r="AM4214" s="245"/>
      <c r="AN4214" s="245"/>
      <c r="AO4214" s="238">
        <v>-7.0</v>
      </c>
      <c r="AP4214" s="238">
        <v>0.0</v>
      </c>
      <c r="AQ4214" s="235" t="s">
        <v>632</v>
      </c>
      <c r="AR4214" s="243">
        <v>1.68E11</v>
      </c>
      <c r="AS4214" s="235" t="s">
        <v>29883</v>
      </c>
      <c r="AT4214" s="235" t="s">
        <v>9</v>
      </c>
      <c r="AU4214" s="235" t="s">
        <v>634</v>
      </c>
      <c r="AV4214" s="246" t="s">
        <v>635</v>
      </c>
      <c r="AW4214" s="227"/>
      <c r="AX4214" s="227"/>
      <c r="AY4214" s="227"/>
      <c r="AZ4214" s="227"/>
      <c r="BA4214" s="227"/>
      <c r="BB4214" s="227"/>
      <c r="BC4214" s="227"/>
      <c r="BD4214" s="227"/>
      <c r="BE4214" s="227"/>
      <c r="BF4214" s="227"/>
    </row>
    <row r="4215">
      <c r="A4215" s="235" t="s">
        <v>31409</v>
      </c>
      <c r="C4215" s="235" t="s">
        <v>31410</v>
      </c>
      <c r="D4215" s="235" t="s">
        <v>31411</v>
      </c>
      <c r="E4215" s="243">
        <v>6.51E13</v>
      </c>
      <c r="F4215" s="245"/>
      <c r="G4215" s="235" t="s">
        <v>31412</v>
      </c>
      <c r="H4215" s="235" t="s">
        <v>31413</v>
      </c>
      <c r="I4215" s="235" t="s">
        <v>31413</v>
      </c>
      <c r="J4215" s="235" t="s">
        <v>31414</v>
      </c>
      <c r="K4215" s="235" t="s">
        <v>31415</v>
      </c>
      <c r="N4215" s="235" t="s">
        <v>2163</v>
      </c>
      <c r="O4215" s="235" t="s">
        <v>2164</v>
      </c>
      <c r="P4215" s="238">
        <v>1.0</v>
      </c>
      <c r="Q4215" s="235" t="s">
        <v>627</v>
      </c>
      <c r="R4215" s="238">
        <v>233.34</v>
      </c>
      <c r="S4215" s="238">
        <v>11.32</v>
      </c>
      <c r="T4215" s="238">
        <v>0.0</v>
      </c>
      <c r="U4215" s="238">
        <v>0.0</v>
      </c>
      <c r="V4215" s="238">
        <v>0.0</v>
      </c>
      <c r="W4215" s="238">
        <v>0.0</v>
      </c>
      <c r="X4215" s="235" t="s">
        <v>628</v>
      </c>
      <c r="Z4215" s="245"/>
      <c r="AA4215" s="245"/>
      <c r="AB4215" s="245"/>
      <c r="AC4215" s="235" t="s">
        <v>678</v>
      </c>
      <c r="AD4215" s="235" t="s">
        <v>679</v>
      </c>
      <c r="AE4215" s="238">
        <v>560043.0</v>
      </c>
      <c r="AF4215" s="235" t="s">
        <v>631</v>
      </c>
      <c r="AG4215" s="245"/>
      <c r="AH4215" s="245"/>
      <c r="AI4215" s="245"/>
      <c r="AJ4215" s="245"/>
      <c r="AK4215" s="245"/>
      <c r="AL4215" s="245"/>
      <c r="AM4215" s="245"/>
      <c r="AN4215" s="245"/>
      <c r="AO4215" s="238">
        <v>-7.01</v>
      </c>
      <c r="AP4215" s="238">
        <v>0.0</v>
      </c>
      <c r="AQ4215" s="235" t="s">
        <v>632</v>
      </c>
      <c r="AR4215" s="243">
        <v>1.68E11</v>
      </c>
      <c r="AS4215" s="235" t="s">
        <v>31232</v>
      </c>
      <c r="AT4215" s="235" t="s">
        <v>9</v>
      </c>
      <c r="AU4215" s="235" t="s">
        <v>634</v>
      </c>
      <c r="AV4215" s="246" t="s">
        <v>635</v>
      </c>
      <c r="AW4215" s="227"/>
      <c r="AX4215" s="227"/>
      <c r="AY4215" s="227"/>
      <c r="AZ4215" s="227"/>
      <c r="BA4215" s="227"/>
      <c r="BB4215" s="227"/>
      <c r="BC4215" s="227"/>
      <c r="BD4215" s="227"/>
      <c r="BE4215" s="227"/>
      <c r="BF4215" s="227"/>
    </row>
    <row r="4216">
      <c r="A4216" s="235" t="s">
        <v>31416</v>
      </c>
      <c r="C4216" s="235" t="s">
        <v>31417</v>
      </c>
      <c r="D4216" s="235" t="s">
        <v>31418</v>
      </c>
      <c r="E4216" s="243">
        <v>6.51E13</v>
      </c>
      <c r="F4216" s="245"/>
      <c r="G4216" s="235" t="s">
        <v>31419</v>
      </c>
      <c r="H4216" s="235" t="s">
        <v>31420</v>
      </c>
      <c r="I4216" s="235" t="s">
        <v>31420</v>
      </c>
      <c r="J4216" s="235" t="s">
        <v>31421</v>
      </c>
      <c r="K4216" s="235" t="s">
        <v>31422</v>
      </c>
      <c r="N4216" s="235" t="s">
        <v>2696</v>
      </c>
      <c r="O4216" s="235" t="s">
        <v>2697</v>
      </c>
      <c r="P4216" s="238">
        <v>1.0</v>
      </c>
      <c r="Q4216" s="235" t="s">
        <v>627</v>
      </c>
      <c r="R4216" s="238">
        <v>233.33</v>
      </c>
      <c r="S4216" s="238">
        <v>11.44</v>
      </c>
      <c r="T4216" s="238">
        <v>0.0</v>
      </c>
      <c r="U4216" s="238">
        <v>0.0</v>
      </c>
      <c r="V4216" s="238">
        <v>0.0</v>
      </c>
      <c r="W4216" s="238">
        <v>0.0</v>
      </c>
      <c r="X4216" s="235" t="s">
        <v>628</v>
      </c>
      <c r="Z4216" s="245"/>
      <c r="AA4216" s="245"/>
      <c r="AB4216" s="245"/>
      <c r="AC4216" s="235" t="s">
        <v>31423</v>
      </c>
      <c r="AD4216" s="235" t="s">
        <v>917</v>
      </c>
      <c r="AE4216" s="238">
        <v>332402.0</v>
      </c>
      <c r="AF4216" s="235" t="s">
        <v>631</v>
      </c>
      <c r="AG4216" s="245"/>
      <c r="AH4216" s="245"/>
      <c r="AI4216" s="245"/>
      <c r="AJ4216" s="245"/>
      <c r="AK4216" s="245"/>
      <c r="AL4216" s="245"/>
      <c r="AM4216" s="245"/>
      <c r="AN4216" s="245"/>
      <c r="AO4216" s="238">
        <v>-4.67</v>
      </c>
      <c r="AP4216" s="238">
        <v>0.0</v>
      </c>
      <c r="AQ4216" s="235" t="s">
        <v>632</v>
      </c>
      <c r="AR4216" s="243">
        <v>3.71E11</v>
      </c>
      <c r="AS4216" s="235" t="s">
        <v>28482</v>
      </c>
      <c r="AT4216" s="235" t="s">
        <v>14</v>
      </c>
      <c r="AU4216" s="235" t="s">
        <v>634</v>
      </c>
      <c r="AV4216" s="246" t="s">
        <v>635</v>
      </c>
      <c r="AW4216" s="227"/>
      <c r="AX4216" s="227"/>
      <c r="AY4216" s="227"/>
      <c r="AZ4216" s="227"/>
      <c r="BA4216" s="227"/>
      <c r="BB4216" s="227"/>
      <c r="BC4216" s="227"/>
      <c r="BD4216" s="227"/>
      <c r="BE4216" s="227"/>
      <c r="BF4216" s="227"/>
    </row>
    <row r="4217">
      <c r="A4217" s="235" t="s">
        <v>31424</v>
      </c>
      <c r="C4217" s="235" t="s">
        <v>31425</v>
      </c>
      <c r="D4217" s="235" t="s">
        <v>31426</v>
      </c>
      <c r="E4217" s="243">
        <v>6.51E13</v>
      </c>
      <c r="F4217" s="245"/>
      <c r="G4217" s="235" t="s">
        <v>31427</v>
      </c>
      <c r="H4217" s="235" t="s">
        <v>31428</v>
      </c>
      <c r="I4217" s="235" t="s">
        <v>31429</v>
      </c>
      <c r="J4217" s="235" t="s">
        <v>31430</v>
      </c>
      <c r="K4217" s="235" t="s">
        <v>31431</v>
      </c>
      <c r="N4217" s="235" t="s">
        <v>82</v>
      </c>
      <c r="O4217" s="235" t="s">
        <v>889</v>
      </c>
      <c r="P4217" s="238">
        <v>1.0</v>
      </c>
      <c r="Q4217" s="235" t="s">
        <v>627</v>
      </c>
      <c r="R4217" s="238">
        <v>270.48</v>
      </c>
      <c r="S4217" s="238">
        <v>13.25</v>
      </c>
      <c r="T4217" s="238">
        <v>0.0</v>
      </c>
      <c r="U4217" s="238">
        <v>0.0</v>
      </c>
      <c r="V4217" s="238">
        <v>0.0</v>
      </c>
      <c r="W4217" s="238">
        <v>0.0</v>
      </c>
      <c r="X4217" s="235" t="s">
        <v>628</v>
      </c>
      <c r="Z4217" s="245"/>
      <c r="AA4217" s="245"/>
      <c r="AB4217" s="245"/>
      <c r="AC4217" s="235" t="s">
        <v>1920</v>
      </c>
      <c r="AD4217" s="235" t="s">
        <v>833</v>
      </c>
      <c r="AE4217" s="238">
        <v>522001.0</v>
      </c>
      <c r="AF4217" s="235" t="s">
        <v>631</v>
      </c>
      <c r="AG4217" s="245"/>
      <c r="AH4217" s="245"/>
      <c r="AI4217" s="245"/>
      <c r="AJ4217" s="245"/>
      <c r="AK4217" s="245"/>
      <c r="AL4217" s="245"/>
      <c r="AM4217" s="245"/>
      <c r="AN4217" s="245"/>
      <c r="AO4217" s="238">
        <v>-5.41</v>
      </c>
      <c r="AP4217" s="238">
        <v>0.0</v>
      </c>
      <c r="AQ4217" s="235" t="s">
        <v>632</v>
      </c>
      <c r="AR4217" s="243">
        <v>1.68E11</v>
      </c>
      <c r="AS4217" s="235" t="s">
        <v>29883</v>
      </c>
      <c r="AT4217" s="235" t="s">
        <v>156</v>
      </c>
      <c r="AU4217" s="235" t="s">
        <v>634</v>
      </c>
      <c r="AV4217" s="246" t="s">
        <v>635</v>
      </c>
      <c r="AW4217" s="227"/>
      <c r="AX4217" s="227"/>
      <c r="AY4217" s="227"/>
      <c r="AZ4217" s="227"/>
      <c r="BA4217" s="227"/>
      <c r="BB4217" s="227"/>
      <c r="BC4217" s="227"/>
      <c r="BD4217" s="227"/>
      <c r="BE4217" s="227"/>
      <c r="BF4217" s="227"/>
    </row>
    <row r="4218">
      <c r="A4218" s="235" t="s">
        <v>31432</v>
      </c>
      <c r="C4218" s="235" t="s">
        <v>31433</v>
      </c>
      <c r="D4218" s="235" t="s">
        <v>31434</v>
      </c>
      <c r="E4218" s="243">
        <v>6.51E13</v>
      </c>
      <c r="F4218" s="245"/>
      <c r="G4218" s="235" t="s">
        <v>31435</v>
      </c>
      <c r="H4218" s="235" t="s">
        <v>31436</v>
      </c>
      <c r="I4218" s="235" t="s">
        <v>31436</v>
      </c>
      <c r="J4218" s="235" t="s">
        <v>31437</v>
      </c>
      <c r="K4218" s="235" t="s">
        <v>31438</v>
      </c>
      <c r="N4218" s="235" t="s">
        <v>962</v>
      </c>
      <c r="O4218" s="235" t="s">
        <v>963</v>
      </c>
      <c r="P4218" s="238">
        <v>1.0</v>
      </c>
      <c r="Q4218" s="235" t="s">
        <v>627</v>
      </c>
      <c r="R4218" s="238">
        <v>237.14</v>
      </c>
      <c r="S4218" s="238">
        <v>11.86</v>
      </c>
      <c r="T4218" s="238">
        <v>0.0</v>
      </c>
      <c r="U4218" s="238">
        <v>0.0</v>
      </c>
      <c r="V4218" s="238">
        <v>0.0</v>
      </c>
      <c r="W4218" s="238">
        <v>0.0</v>
      </c>
      <c r="X4218" s="235" t="s">
        <v>628</v>
      </c>
      <c r="Z4218" s="245"/>
      <c r="AA4218" s="245"/>
      <c r="AB4218" s="245"/>
      <c r="AC4218" s="235" t="s">
        <v>687</v>
      </c>
      <c r="AD4218" s="235" t="s">
        <v>666</v>
      </c>
      <c r="AE4218" s="238">
        <v>600093.0</v>
      </c>
      <c r="AF4218" s="235" t="s">
        <v>631</v>
      </c>
      <c r="AG4218" s="245"/>
      <c r="AH4218" s="245"/>
      <c r="AI4218" s="245"/>
      <c r="AJ4218" s="245"/>
      <c r="AK4218" s="245"/>
      <c r="AL4218" s="245"/>
      <c r="AM4218" s="245"/>
      <c r="AN4218" s="245"/>
      <c r="AO4218" s="238">
        <v>0.0</v>
      </c>
      <c r="AP4218" s="238">
        <v>0.0</v>
      </c>
      <c r="AQ4218" s="235" t="s">
        <v>632</v>
      </c>
      <c r="AR4218" s="243">
        <v>1.68E11</v>
      </c>
      <c r="AS4218" s="235" t="s">
        <v>31232</v>
      </c>
      <c r="AT4218" s="235" t="s">
        <v>156</v>
      </c>
      <c r="AU4218" s="235" t="s">
        <v>634</v>
      </c>
      <c r="AV4218" s="246" t="s">
        <v>635</v>
      </c>
      <c r="AW4218" s="227"/>
      <c r="AX4218" s="227"/>
      <c r="AY4218" s="227"/>
      <c r="AZ4218" s="227"/>
      <c r="BA4218" s="227"/>
      <c r="BB4218" s="227"/>
      <c r="BC4218" s="227"/>
      <c r="BD4218" s="227"/>
      <c r="BE4218" s="227"/>
      <c r="BF4218" s="227"/>
    </row>
    <row r="4219">
      <c r="A4219" s="235" t="s">
        <v>31439</v>
      </c>
      <c r="C4219" s="235" t="s">
        <v>31440</v>
      </c>
      <c r="D4219" s="235" t="s">
        <v>31441</v>
      </c>
      <c r="E4219" s="243">
        <v>6.51E13</v>
      </c>
      <c r="F4219" s="245"/>
      <c r="G4219" s="235" t="s">
        <v>31442</v>
      </c>
      <c r="H4219" s="235" t="s">
        <v>31443</v>
      </c>
      <c r="I4219" s="235" t="s">
        <v>31443</v>
      </c>
      <c r="J4219" s="235" t="s">
        <v>31444</v>
      </c>
      <c r="K4219" s="235" t="s">
        <v>31445</v>
      </c>
      <c r="N4219" s="235" t="s">
        <v>726</v>
      </c>
      <c r="O4219" s="235" t="s">
        <v>727</v>
      </c>
      <c r="P4219" s="238">
        <v>1.0</v>
      </c>
      <c r="Q4219" s="235" t="s">
        <v>627</v>
      </c>
      <c r="R4219" s="238">
        <v>237.14</v>
      </c>
      <c r="S4219" s="238">
        <v>11.86</v>
      </c>
      <c r="T4219" s="238">
        <v>0.0</v>
      </c>
      <c r="U4219" s="238">
        <v>0.0</v>
      </c>
      <c r="V4219" s="238">
        <v>0.0</v>
      </c>
      <c r="W4219" s="238">
        <v>0.0</v>
      </c>
      <c r="X4219" s="235" t="s">
        <v>628</v>
      </c>
      <c r="Z4219" s="245"/>
      <c r="AA4219" s="245"/>
      <c r="AB4219" s="245"/>
      <c r="AC4219" s="235" t="s">
        <v>1514</v>
      </c>
      <c r="AD4219" s="235" t="s">
        <v>1077</v>
      </c>
      <c r="AE4219" s="238">
        <v>380058.0</v>
      </c>
      <c r="AF4219" s="235" t="s">
        <v>631</v>
      </c>
      <c r="AG4219" s="245"/>
      <c r="AH4219" s="245"/>
      <c r="AI4219" s="245"/>
      <c r="AJ4219" s="245"/>
      <c r="AK4219" s="245"/>
      <c r="AL4219" s="245"/>
      <c r="AM4219" s="245"/>
      <c r="AN4219" s="245"/>
      <c r="AO4219" s="238">
        <v>0.0</v>
      </c>
      <c r="AP4219" s="238">
        <v>0.0</v>
      </c>
      <c r="AQ4219" s="235" t="s">
        <v>632</v>
      </c>
      <c r="AR4219" s="243">
        <v>2.02E11</v>
      </c>
      <c r="AS4219" s="235" t="s">
        <v>29883</v>
      </c>
      <c r="AT4219" s="235" t="s">
        <v>11</v>
      </c>
      <c r="AU4219" s="235" t="s">
        <v>634</v>
      </c>
      <c r="AV4219" s="246" t="s">
        <v>635</v>
      </c>
      <c r="AW4219" s="227"/>
      <c r="AX4219" s="227"/>
      <c r="AY4219" s="227"/>
      <c r="AZ4219" s="227"/>
      <c r="BA4219" s="227"/>
      <c r="BB4219" s="227"/>
      <c r="BC4219" s="227"/>
      <c r="BD4219" s="227"/>
      <c r="BE4219" s="227"/>
      <c r="BF4219" s="227"/>
    </row>
    <row r="4220">
      <c r="A4220" s="235" t="s">
        <v>31446</v>
      </c>
      <c r="C4220" s="235" t="s">
        <v>31447</v>
      </c>
      <c r="D4220" s="235" t="s">
        <v>31448</v>
      </c>
      <c r="E4220" s="243">
        <v>6.51E13</v>
      </c>
      <c r="F4220" s="245"/>
      <c r="G4220" s="235" t="s">
        <v>31449</v>
      </c>
      <c r="H4220" s="235" t="s">
        <v>31450</v>
      </c>
      <c r="I4220" s="235" t="s">
        <v>31450</v>
      </c>
      <c r="J4220" s="235" t="s">
        <v>31451</v>
      </c>
      <c r="K4220" s="235" t="s">
        <v>31452</v>
      </c>
      <c r="N4220" s="235" t="s">
        <v>134</v>
      </c>
      <c r="O4220" s="235" t="s">
        <v>314</v>
      </c>
      <c r="P4220" s="238">
        <v>1.0</v>
      </c>
      <c r="Q4220" s="235" t="s">
        <v>627</v>
      </c>
      <c r="R4220" s="238">
        <v>233.34</v>
      </c>
      <c r="S4220" s="238">
        <v>11.32</v>
      </c>
      <c r="T4220" s="238">
        <v>0.0</v>
      </c>
      <c r="U4220" s="238">
        <v>0.0</v>
      </c>
      <c r="V4220" s="238">
        <v>0.0</v>
      </c>
      <c r="W4220" s="238">
        <v>0.0</v>
      </c>
      <c r="X4220" s="235" t="s">
        <v>628</v>
      </c>
      <c r="Z4220" s="245"/>
      <c r="AA4220" s="245"/>
      <c r="AB4220" s="245"/>
      <c r="AC4220" s="235" t="s">
        <v>1910</v>
      </c>
      <c r="AD4220" s="235" t="s">
        <v>928</v>
      </c>
      <c r="AE4220" s="238">
        <v>122004.0</v>
      </c>
      <c r="AF4220" s="235" t="s">
        <v>631</v>
      </c>
      <c r="AG4220" s="245"/>
      <c r="AH4220" s="245"/>
      <c r="AI4220" s="245"/>
      <c r="AJ4220" s="245"/>
      <c r="AK4220" s="245"/>
      <c r="AL4220" s="245"/>
      <c r="AM4220" s="245"/>
      <c r="AN4220" s="245"/>
      <c r="AO4220" s="238">
        <v>-7.01</v>
      </c>
      <c r="AP4220" s="238">
        <v>0.0</v>
      </c>
      <c r="AQ4220" s="235" t="s">
        <v>632</v>
      </c>
      <c r="AR4220" s="243">
        <v>1.68E11</v>
      </c>
      <c r="AS4220" s="235" t="s">
        <v>31232</v>
      </c>
      <c r="AT4220" s="235" t="s">
        <v>13</v>
      </c>
      <c r="AU4220" s="235" t="s">
        <v>634</v>
      </c>
      <c r="AV4220" s="246" t="s">
        <v>635</v>
      </c>
      <c r="AW4220" s="227"/>
      <c r="AX4220" s="227"/>
      <c r="AY4220" s="227"/>
      <c r="AZ4220" s="227"/>
      <c r="BA4220" s="227"/>
      <c r="BB4220" s="227"/>
      <c r="BC4220" s="227"/>
      <c r="BD4220" s="227"/>
      <c r="BE4220" s="227"/>
      <c r="BF4220" s="227"/>
    </row>
    <row r="4221">
      <c r="A4221" s="235" t="s">
        <v>31453</v>
      </c>
      <c r="C4221" s="235" t="s">
        <v>31454</v>
      </c>
      <c r="D4221" s="235" t="s">
        <v>31455</v>
      </c>
      <c r="E4221" s="243">
        <v>6.51E13</v>
      </c>
      <c r="F4221" s="245"/>
      <c r="G4221" s="235" t="s">
        <v>31456</v>
      </c>
      <c r="H4221" s="235" t="s">
        <v>31457</v>
      </c>
      <c r="I4221" s="235" t="s">
        <v>31458</v>
      </c>
      <c r="J4221" s="235" t="s">
        <v>31459</v>
      </c>
      <c r="K4221" s="235" t="s">
        <v>31460</v>
      </c>
      <c r="N4221" s="235" t="s">
        <v>842</v>
      </c>
      <c r="O4221" s="235" t="s">
        <v>843</v>
      </c>
      <c r="P4221" s="238">
        <v>1.0</v>
      </c>
      <c r="Q4221" s="235" t="s">
        <v>627</v>
      </c>
      <c r="R4221" s="238">
        <v>246.67</v>
      </c>
      <c r="S4221" s="238">
        <v>12.08</v>
      </c>
      <c r="T4221" s="238">
        <v>0.0</v>
      </c>
      <c r="U4221" s="238">
        <v>0.0</v>
      </c>
      <c r="V4221" s="238">
        <v>0.0</v>
      </c>
      <c r="W4221" s="238">
        <v>0.0</v>
      </c>
      <c r="X4221" s="235" t="s">
        <v>628</v>
      </c>
      <c r="Z4221" s="245"/>
      <c r="AA4221" s="245"/>
      <c r="AB4221" s="245"/>
      <c r="AC4221" s="235" t="s">
        <v>697</v>
      </c>
      <c r="AD4221" s="235" t="s">
        <v>698</v>
      </c>
      <c r="AE4221" s="238">
        <v>500045.0</v>
      </c>
      <c r="AF4221" s="235" t="s">
        <v>631</v>
      </c>
      <c r="AG4221" s="245"/>
      <c r="AH4221" s="245"/>
      <c r="AI4221" s="245"/>
      <c r="AJ4221" s="245"/>
      <c r="AK4221" s="245"/>
      <c r="AL4221" s="245"/>
      <c r="AM4221" s="245"/>
      <c r="AN4221" s="245"/>
      <c r="AO4221" s="238">
        <v>-4.93</v>
      </c>
      <c r="AP4221" s="238">
        <v>0.0</v>
      </c>
      <c r="AQ4221" s="235" t="s">
        <v>632</v>
      </c>
      <c r="AR4221" s="243">
        <v>2.02E11</v>
      </c>
      <c r="AS4221" s="235" t="s">
        <v>29883</v>
      </c>
      <c r="AT4221" s="235" t="s">
        <v>156</v>
      </c>
      <c r="AU4221" s="235" t="s">
        <v>634</v>
      </c>
      <c r="AV4221" s="246" t="s">
        <v>635</v>
      </c>
      <c r="AW4221" s="227"/>
      <c r="AX4221" s="227"/>
      <c r="AY4221" s="227"/>
      <c r="AZ4221" s="227"/>
      <c r="BA4221" s="227"/>
      <c r="BB4221" s="227"/>
      <c r="BC4221" s="227"/>
      <c r="BD4221" s="227"/>
      <c r="BE4221" s="227"/>
      <c r="BF4221" s="227"/>
    </row>
    <row r="4222">
      <c r="A4222" s="235" t="s">
        <v>31461</v>
      </c>
      <c r="C4222" s="235" t="s">
        <v>31462</v>
      </c>
      <c r="D4222" s="235" t="s">
        <v>31463</v>
      </c>
      <c r="E4222" s="243">
        <v>6.51E13</v>
      </c>
      <c r="F4222" s="245"/>
      <c r="G4222" s="235" t="s">
        <v>31464</v>
      </c>
      <c r="H4222" s="235" t="s">
        <v>31465</v>
      </c>
      <c r="I4222" s="235" t="s">
        <v>31465</v>
      </c>
      <c r="J4222" s="235" t="s">
        <v>31466</v>
      </c>
      <c r="K4222" s="235" t="s">
        <v>31467</v>
      </c>
      <c r="N4222" s="235" t="s">
        <v>92</v>
      </c>
      <c r="O4222" s="235" t="s">
        <v>248</v>
      </c>
      <c r="P4222" s="238">
        <v>1.0</v>
      </c>
      <c r="Q4222" s="235" t="s">
        <v>627</v>
      </c>
      <c r="R4222" s="238">
        <v>233.33</v>
      </c>
      <c r="S4222" s="238">
        <v>11.67</v>
      </c>
      <c r="T4222" s="238">
        <v>0.0</v>
      </c>
      <c r="U4222" s="238">
        <v>0.0</v>
      </c>
      <c r="V4222" s="238">
        <v>0.0</v>
      </c>
      <c r="W4222" s="238">
        <v>0.0</v>
      </c>
      <c r="X4222" s="235" t="s">
        <v>628</v>
      </c>
      <c r="Z4222" s="245"/>
      <c r="AA4222" s="245"/>
      <c r="AB4222" s="245"/>
      <c r="AC4222" s="235" t="s">
        <v>678</v>
      </c>
      <c r="AD4222" s="235" t="s">
        <v>679</v>
      </c>
      <c r="AE4222" s="238">
        <v>560064.0</v>
      </c>
      <c r="AF4222" s="235" t="s">
        <v>631</v>
      </c>
      <c r="AG4222" s="245"/>
      <c r="AH4222" s="245"/>
      <c r="AI4222" s="245"/>
      <c r="AJ4222" s="245"/>
      <c r="AK4222" s="245"/>
      <c r="AL4222" s="245"/>
      <c r="AM4222" s="245"/>
      <c r="AN4222" s="245"/>
      <c r="AO4222" s="238">
        <v>0.0</v>
      </c>
      <c r="AP4222" s="238">
        <v>0.0</v>
      </c>
      <c r="AQ4222" s="235" t="s">
        <v>632</v>
      </c>
      <c r="AR4222" s="243">
        <v>1.68E11</v>
      </c>
      <c r="AS4222" s="235" t="s">
        <v>31232</v>
      </c>
      <c r="AT4222" s="235" t="s">
        <v>9</v>
      </c>
      <c r="AU4222" s="235" t="s">
        <v>634</v>
      </c>
      <c r="AV4222" s="246" t="s">
        <v>635</v>
      </c>
      <c r="AW4222" s="227"/>
      <c r="AX4222" s="227"/>
      <c r="AY4222" s="227"/>
      <c r="AZ4222" s="227"/>
      <c r="BA4222" s="227"/>
      <c r="BB4222" s="227"/>
      <c r="BC4222" s="227"/>
      <c r="BD4222" s="227"/>
      <c r="BE4222" s="227"/>
      <c r="BF4222" s="227"/>
    </row>
    <row r="4223">
      <c r="A4223" s="235" t="s">
        <v>31468</v>
      </c>
      <c r="C4223" s="235" t="s">
        <v>31469</v>
      </c>
      <c r="D4223" s="235" t="s">
        <v>31470</v>
      </c>
      <c r="E4223" s="243">
        <v>6.51E13</v>
      </c>
      <c r="F4223" s="245"/>
      <c r="G4223" s="235" t="s">
        <v>31471</v>
      </c>
      <c r="H4223" s="235" t="s">
        <v>31472</v>
      </c>
      <c r="I4223" s="235" t="s">
        <v>31472</v>
      </c>
      <c r="J4223" s="235" t="s">
        <v>31473</v>
      </c>
      <c r="K4223" s="235" t="s">
        <v>31474</v>
      </c>
      <c r="N4223" s="235" t="s">
        <v>90</v>
      </c>
      <c r="O4223" s="235" t="s">
        <v>279</v>
      </c>
      <c r="P4223" s="238">
        <v>1.0</v>
      </c>
      <c r="Q4223" s="235" t="s">
        <v>627</v>
      </c>
      <c r="R4223" s="238">
        <v>270.48</v>
      </c>
      <c r="S4223" s="238">
        <v>13.25</v>
      </c>
      <c r="T4223" s="238">
        <v>0.0</v>
      </c>
      <c r="U4223" s="238">
        <v>0.0</v>
      </c>
      <c r="V4223" s="238">
        <v>0.0</v>
      </c>
      <c r="W4223" s="238">
        <v>0.0</v>
      </c>
      <c r="X4223" s="235" t="s">
        <v>628</v>
      </c>
      <c r="Z4223" s="245"/>
      <c r="AA4223" s="245"/>
      <c r="AB4223" s="245"/>
      <c r="AC4223" s="235" t="s">
        <v>678</v>
      </c>
      <c r="AD4223" s="235" t="s">
        <v>679</v>
      </c>
      <c r="AE4223" s="238">
        <v>560027.0</v>
      </c>
      <c r="AF4223" s="235" t="s">
        <v>631</v>
      </c>
      <c r="AG4223" s="245"/>
      <c r="AH4223" s="245"/>
      <c r="AI4223" s="245"/>
      <c r="AJ4223" s="245"/>
      <c r="AK4223" s="245"/>
      <c r="AL4223" s="245"/>
      <c r="AM4223" s="245"/>
      <c r="AN4223" s="245"/>
      <c r="AO4223" s="238">
        <v>-5.41</v>
      </c>
      <c r="AP4223" s="238">
        <v>0.0</v>
      </c>
      <c r="AQ4223" s="235" t="s">
        <v>632</v>
      </c>
      <c r="AR4223" s="243">
        <v>1.68E11</v>
      </c>
      <c r="AS4223" s="235" t="s">
        <v>31232</v>
      </c>
      <c r="AT4223" s="235" t="s">
        <v>11</v>
      </c>
      <c r="AU4223" s="235" t="s">
        <v>634</v>
      </c>
      <c r="AV4223" s="246" t="s">
        <v>635</v>
      </c>
      <c r="AW4223" s="227"/>
      <c r="AX4223" s="227"/>
      <c r="AY4223" s="227"/>
      <c r="AZ4223" s="227"/>
      <c r="BA4223" s="227"/>
      <c r="BB4223" s="227"/>
      <c r="BC4223" s="227"/>
      <c r="BD4223" s="227"/>
      <c r="BE4223" s="227"/>
      <c r="BF4223" s="227"/>
    </row>
    <row r="4224">
      <c r="A4224" s="235" t="s">
        <v>31475</v>
      </c>
      <c r="C4224" s="235" t="s">
        <v>31476</v>
      </c>
      <c r="D4224" s="235" t="s">
        <v>31477</v>
      </c>
      <c r="E4224" s="243">
        <v>6.51E13</v>
      </c>
      <c r="F4224" s="245"/>
      <c r="G4224" s="235" t="s">
        <v>31478</v>
      </c>
      <c r="H4224" s="235" t="s">
        <v>31479</v>
      </c>
      <c r="I4224" s="235" t="s">
        <v>31479</v>
      </c>
      <c r="J4224" s="235" t="s">
        <v>31480</v>
      </c>
      <c r="K4224" s="235" t="s">
        <v>31481</v>
      </c>
      <c r="N4224" s="235" t="s">
        <v>154</v>
      </c>
      <c r="O4224" s="235" t="s">
        <v>766</v>
      </c>
      <c r="P4224" s="238">
        <v>1.0</v>
      </c>
      <c r="Q4224" s="235" t="s">
        <v>627</v>
      </c>
      <c r="R4224" s="238">
        <v>500.95</v>
      </c>
      <c r="S4224" s="238">
        <v>25.05</v>
      </c>
      <c r="T4224" s="238">
        <v>38.1</v>
      </c>
      <c r="U4224" s="238">
        <v>1.9</v>
      </c>
      <c r="V4224" s="238">
        <v>0.0</v>
      </c>
      <c r="W4224" s="238">
        <v>0.0</v>
      </c>
      <c r="X4224" s="235" t="s">
        <v>628</v>
      </c>
      <c r="Z4224" s="245"/>
      <c r="AA4224" s="245"/>
      <c r="AB4224" s="245"/>
      <c r="AC4224" s="235" t="s">
        <v>795</v>
      </c>
      <c r="AD4224" s="235" t="s">
        <v>796</v>
      </c>
      <c r="AE4224" s="238">
        <v>110096.0</v>
      </c>
      <c r="AF4224" s="235" t="s">
        <v>631</v>
      </c>
      <c r="AG4224" s="245"/>
      <c r="AH4224" s="245"/>
      <c r="AI4224" s="245"/>
      <c r="AJ4224" s="245"/>
      <c r="AK4224" s="245"/>
      <c r="AL4224" s="245"/>
      <c r="AM4224" s="245"/>
      <c r="AN4224" s="245"/>
      <c r="AO4224" s="238">
        <v>0.0</v>
      </c>
      <c r="AP4224" s="238">
        <v>-38.1</v>
      </c>
      <c r="AQ4224" s="235" t="s">
        <v>632</v>
      </c>
      <c r="AR4224" s="243">
        <v>3.71E11</v>
      </c>
      <c r="AS4224" s="235" t="s">
        <v>29883</v>
      </c>
      <c r="AT4224" s="235" t="s">
        <v>14</v>
      </c>
      <c r="AU4224" s="235" t="s">
        <v>634</v>
      </c>
      <c r="AV4224" s="246" t="s">
        <v>635</v>
      </c>
      <c r="AW4224" s="227"/>
      <c r="AX4224" s="227"/>
      <c r="AY4224" s="227"/>
      <c r="AZ4224" s="227"/>
      <c r="BA4224" s="227"/>
      <c r="BB4224" s="227"/>
      <c r="BC4224" s="227"/>
      <c r="BD4224" s="227"/>
      <c r="BE4224" s="227"/>
      <c r="BF4224" s="227"/>
    </row>
    <row r="4225">
      <c r="A4225" s="235" t="s">
        <v>31482</v>
      </c>
      <c r="C4225" s="235" t="s">
        <v>31483</v>
      </c>
      <c r="D4225" s="235" t="s">
        <v>31484</v>
      </c>
      <c r="E4225" s="243">
        <v>6.5E13</v>
      </c>
      <c r="F4225" s="245"/>
      <c r="G4225" s="235" t="s">
        <v>31485</v>
      </c>
      <c r="H4225" s="235" t="s">
        <v>31486</v>
      </c>
      <c r="I4225" s="235" t="s">
        <v>31486</v>
      </c>
      <c r="J4225" s="235" t="s">
        <v>31487</v>
      </c>
      <c r="K4225" s="235" t="s">
        <v>31488</v>
      </c>
      <c r="N4225" s="235" t="s">
        <v>138</v>
      </c>
      <c r="O4225" s="235" t="s">
        <v>675</v>
      </c>
      <c r="P4225" s="238">
        <v>1.0</v>
      </c>
      <c r="Q4225" s="235" t="s">
        <v>627</v>
      </c>
      <c r="R4225" s="238">
        <v>242.86</v>
      </c>
      <c r="S4225" s="238">
        <v>11.78</v>
      </c>
      <c r="T4225" s="238">
        <v>38.1</v>
      </c>
      <c r="U4225" s="238">
        <v>1.9</v>
      </c>
      <c r="V4225" s="238">
        <v>0.0</v>
      </c>
      <c r="W4225" s="238">
        <v>0.0</v>
      </c>
      <c r="X4225" s="235" t="s">
        <v>628</v>
      </c>
      <c r="Z4225" s="245"/>
      <c r="AA4225" s="245"/>
      <c r="AB4225" s="245"/>
      <c r="AC4225" s="235" t="s">
        <v>31489</v>
      </c>
      <c r="AD4225" s="235" t="s">
        <v>917</v>
      </c>
      <c r="AE4225" s="238">
        <v>301702.0</v>
      </c>
      <c r="AF4225" s="235" t="s">
        <v>631</v>
      </c>
      <c r="AG4225" s="245"/>
      <c r="AH4225" s="245"/>
      <c r="AI4225" s="245"/>
      <c r="AJ4225" s="245"/>
      <c r="AK4225" s="245"/>
      <c r="AL4225" s="245"/>
      <c r="AM4225" s="245"/>
      <c r="AN4225" s="245"/>
      <c r="AO4225" s="238">
        <v>-7.29</v>
      </c>
      <c r="AP4225" s="238">
        <v>-38.1</v>
      </c>
      <c r="AQ4225" s="235" t="s">
        <v>632</v>
      </c>
      <c r="AR4225" s="243">
        <v>3.71E11</v>
      </c>
      <c r="AS4225" s="235" t="s">
        <v>28482</v>
      </c>
      <c r="AT4225" s="235" t="s">
        <v>533</v>
      </c>
      <c r="AU4225" s="235" t="s">
        <v>634</v>
      </c>
      <c r="AV4225" s="246" t="s">
        <v>635</v>
      </c>
      <c r="AW4225" s="227"/>
      <c r="AX4225" s="227"/>
      <c r="AY4225" s="227"/>
      <c r="AZ4225" s="227"/>
      <c r="BA4225" s="227"/>
      <c r="BB4225" s="227"/>
      <c r="BC4225" s="227"/>
      <c r="BD4225" s="227"/>
      <c r="BE4225" s="227"/>
      <c r="BF4225" s="227"/>
    </row>
    <row r="4226">
      <c r="A4226" s="235" t="s">
        <v>31482</v>
      </c>
      <c r="C4226" s="235" t="s">
        <v>31483</v>
      </c>
      <c r="D4226" s="235" t="s">
        <v>31490</v>
      </c>
      <c r="E4226" s="243">
        <v>6.5E13</v>
      </c>
      <c r="F4226" s="245"/>
      <c r="G4226" s="235" t="s">
        <v>31485</v>
      </c>
      <c r="H4226" s="235" t="s">
        <v>31486</v>
      </c>
      <c r="I4226" s="235" t="s">
        <v>31486</v>
      </c>
      <c r="J4226" s="235" t="s">
        <v>31487</v>
      </c>
      <c r="K4226" s="235" t="s">
        <v>31488</v>
      </c>
      <c r="N4226" s="235" t="s">
        <v>141</v>
      </c>
      <c r="O4226" s="235" t="s">
        <v>342</v>
      </c>
      <c r="P4226" s="238">
        <v>1.0</v>
      </c>
      <c r="Q4226" s="235" t="s">
        <v>627</v>
      </c>
      <c r="R4226" s="238">
        <v>242.86</v>
      </c>
      <c r="S4226" s="238">
        <v>11.78</v>
      </c>
      <c r="T4226" s="238">
        <v>38.1</v>
      </c>
      <c r="U4226" s="238">
        <v>1.9</v>
      </c>
      <c r="V4226" s="238">
        <v>0.0</v>
      </c>
      <c r="W4226" s="238">
        <v>0.0</v>
      </c>
      <c r="X4226" s="235" t="s">
        <v>628</v>
      </c>
      <c r="Z4226" s="245"/>
      <c r="AA4226" s="245"/>
      <c r="AB4226" s="245"/>
      <c r="AC4226" s="235" t="s">
        <v>31489</v>
      </c>
      <c r="AD4226" s="235" t="s">
        <v>917</v>
      </c>
      <c r="AE4226" s="238">
        <v>301702.0</v>
      </c>
      <c r="AF4226" s="235" t="s">
        <v>631</v>
      </c>
      <c r="AG4226" s="245"/>
      <c r="AH4226" s="245"/>
      <c r="AI4226" s="245"/>
      <c r="AJ4226" s="245"/>
      <c r="AK4226" s="245"/>
      <c r="AL4226" s="245"/>
      <c r="AM4226" s="245"/>
      <c r="AN4226" s="245"/>
      <c r="AO4226" s="238">
        <v>-7.29</v>
      </c>
      <c r="AP4226" s="238">
        <v>-38.1</v>
      </c>
      <c r="AQ4226" s="235" t="s">
        <v>632</v>
      </c>
      <c r="AR4226" s="243">
        <v>3.71E11</v>
      </c>
      <c r="AS4226" s="235" t="s">
        <v>28482</v>
      </c>
      <c r="AT4226" s="235" t="s">
        <v>533</v>
      </c>
      <c r="AU4226" s="235" t="s">
        <v>634</v>
      </c>
      <c r="AV4226" s="246" t="s">
        <v>635</v>
      </c>
      <c r="AW4226" s="227"/>
      <c r="AX4226" s="227"/>
      <c r="AY4226" s="227"/>
      <c r="AZ4226" s="227"/>
      <c r="BA4226" s="227"/>
      <c r="BB4226" s="227"/>
      <c r="BC4226" s="227"/>
      <c r="BD4226" s="227"/>
      <c r="BE4226" s="227"/>
      <c r="BF4226" s="227"/>
    </row>
    <row r="4227">
      <c r="A4227" s="235" t="s">
        <v>31491</v>
      </c>
      <c r="C4227" s="235" t="s">
        <v>31492</v>
      </c>
      <c r="D4227" s="235" t="s">
        <v>31493</v>
      </c>
      <c r="E4227" s="243">
        <v>6.51E13</v>
      </c>
      <c r="F4227" s="245"/>
      <c r="G4227" s="235" t="s">
        <v>31494</v>
      </c>
      <c r="H4227" s="235" t="s">
        <v>31495</v>
      </c>
      <c r="I4227" s="235" t="s">
        <v>31496</v>
      </c>
      <c r="J4227" s="235" t="s">
        <v>31497</v>
      </c>
      <c r="K4227" s="235" t="s">
        <v>31498</v>
      </c>
      <c r="N4227" s="235" t="s">
        <v>144</v>
      </c>
      <c r="O4227" s="235" t="s">
        <v>232</v>
      </c>
      <c r="P4227" s="238">
        <v>1.0</v>
      </c>
      <c r="Q4227" s="235" t="s">
        <v>627</v>
      </c>
      <c r="R4227" s="238">
        <v>626.66</v>
      </c>
      <c r="S4227" s="238">
        <v>31.34</v>
      </c>
      <c r="T4227" s="238">
        <v>0.0</v>
      </c>
      <c r="U4227" s="238">
        <v>0.0</v>
      </c>
      <c r="V4227" s="238">
        <v>0.0</v>
      </c>
      <c r="W4227" s="238">
        <v>0.0</v>
      </c>
      <c r="X4227" s="235" t="s">
        <v>628</v>
      </c>
      <c r="Z4227" s="245"/>
      <c r="AA4227" s="245"/>
      <c r="AB4227" s="245"/>
      <c r="AC4227" s="235" t="s">
        <v>1320</v>
      </c>
      <c r="AD4227" s="235" t="s">
        <v>666</v>
      </c>
      <c r="AE4227" s="238">
        <v>600004.0</v>
      </c>
      <c r="AF4227" s="235" t="s">
        <v>631</v>
      </c>
      <c r="AG4227" s="245"/>
      <c r="AH4227" s="245"/>
      <c r="AI4227" s="245"/>
      <c r="AJ4227" s="245"/>
      <c r="AK4227" s="245"/>
      <c r="AL4227" s="245"/>
      <c r="AM4227" s="245"/>
      <c r="AN4227" s="245"/>
      <c r="AO4227" s="238">
        <v>0.0</v>
      </c>
      <c r="AP4227" s="238">
        <v>0.0</v>
      </c>
      <c r="AQ4227" s="235" t="s">
        <v>632</v>
      </c>
      <c r="AR4227" s="243">
        <v>1.68E11</v>
      </c>
      <c r="AS4227" s="235" t="s">
        <v>31232</v>
      </c>
      <c r="AT4227" s="235" t="s">
        <v>156</v>
      </c>
      <c r="AU4227" s="235" t="s">
        <v>634</v>
      </c>
      <c r="AV4227" s="246" t="s">
        <v>635</v>
      </c>
      <c r="AW4227" s="227"/>
      <c r="AX4227" s="227"/>
      <c r="AY4227" s="227"/>
      <c r="AZ4227" s="227"/>
      <c r="BA4227" s="227"/>
      <c r="BB4227" s="227"/>
      <c r="BC4227" s="227"/>
      <c r="BD4227" s="227"/>
      <c r="BE4227" s="227"/>
      <c r="BF4227" s="227"/>
    </row>
    <row r="4228">
      <c r="A4228" s="235" t="s">
        <v>31499</v>
      </c>
      <c r="C4228" s="235" t="s">
        <v>31500</v>
      </c>
      <c r="D4228" s="235" t="s">
        <v>31501</v>
      </c>
      <c r="E4228" s="243">
        <v>6.51E13</v>
      </c>
      <c r="F4228" s="245"/>
      <c r="G4228" s="235" t="s">
        <v>31502</v>
      </c>
      <c r="H4228" s="235" t="s">
        <v>31503</v>
      </c>
      <c r="I4228" s="235" t="s">
        <v>31503</v>
      </c>
      <c r="J4228" s="235" t="s">
        <v>31504</v>
      </c>
      <c r="K4228" s="235" t="s">
        <v>31505</v>
      </c>
      <c r="N4228" s="235" t="s">
        <v>92</v>
      </c>
      <c r="O4228" s="235" t="s">
        <v>248</v>
      </c>
      <c r="P4228" s="238">
        <v>1.0</v>
      </c>
      <c r="Q4228" s="235" t="s">
        <v>627</v>
      </c>
      <c r="R4228" s="238">
        <v>233.34</v>
      </c>
      <c r="S4228" s="238">
        <v>11.32</v>
      </c>
      <c r="T4228" s="238">
        <v>0.0</v>
      </c>
      <c r="U4228" s="238">
        <v>0.0</v>
      </c>
      <c r="V4228" s="238">
        <v>0.0</v>
      </c>
      <c r="W4228" s="238">
        <v>0.0</v>
      </c>
      <c r="X4228" s="235" t="s">
        <v>628</v>
      </c>
      <c r="Z4228" s="245"/>
      <c r="AA4228" s="245"/>
      <c r="AB4228" s="245"/>
      <c r="AC4228" s="235" t="s">
        <v>1456</v>
      </c>
      <c r="AD4228" s="235" t="s">
        <v>928</v>
      </c>
      <c r="AE4228" s="238">
        <v>122001.0</v>
      </c>
      <c r="AF4228" s="235" t="s">
        <v>631</v>
      </c>
      <c r="AG4228" s="245"/>
      <c r="AH4228" s="245"/>
      <c r="AI4228" s="245"/>
      <c r="AJ4228" s="245"/>
      <c r="AK4228" s="245"/>
      <c r="AL4228" s="245"/>
      <c r="AM4228" s="245"/>
      <c r="AN4228" s="245"/>
      <c r="AO4228" s="238">
        <v>-7.01</v>
      </c>
      <c r="AP4228" s="238">
        <v>0.0</v>
      </c>
      <c r="AQ4228" s="235" t="s">
        <v>632</v>
      </c>
      <c r="AR4228" s="243">
        <v>1.68E11</v>
      </c>
      <c r="AS4228" s="235" t="s">
        <v>31232</v>
      </c>
      <c r="AT4228" s="235" t="s">
        <v>14</v>
      </c>
      <c r="AU4228" s="235" t="s">
        <v>634</v>
      </c>
      <c r="AV4228" s="246" t="s">
        <v>635</v>
      </c>
      <c r="AW4228" s="227"/>
      <c r="AX4228" s="227"/>
      <c r="AY4228" s="227"/>
      <c r="AZ4228" s="227"/>
      <c r="BA4228" s="227"/>
      <c r="BB4228" s="227"/>
      <c r="BC4228" s="227"/>
      <c r="BD4228" s="227"/>
      <c r="BE4228" s="227"/>
      <c r="BF4228" s="227"/>
    </row>
    <row r="4229">
      <c r="A4229" s="235" t="s">
        <v>31506</v>
      </c>
      <c r="C4229" s="235" t="s">
        <v>31507</v>
      </c>
      <c r="D4229" s="235" t="s">
        <v>31508</v>
      </c>
      <c r="E4229" s="243">
        <v>6.51E13</v>
      </c>
      <c r="F4229" s="245"/>
      <c r="G4229" s="235" t="s">
        <v>31509</v>
      </c>
      <c r="H4229" s="235" t="s">
        <v>31510</v>
      </c>
      <c r="I4229" s="235" t="s">
        <v>31510</v>
      </c>
      <c r="J4229" s="235" t="s">
        <v>31511</v>
      </c>
      <c r="K4229" s="235" t="s">
        <v>31512</v>
      </c>
      <c r="N4229" s="235" t="s">
        <v>104</v>
      </c>
      <c r="O4229" s="235" t="s">
        <v>401</v>
      </c>
      <c r="P4229" s="238">
        <v>1.0</v>
      </c>
      <c r="Q4229" s="235" t="s">
        <v>627</v>
      </c>
      <c r="R4229" s="238">
        <v>270.48</v>
      </c>
      <c r="S4229" s="238">
        <v>13.25</v>
      </c>
      <c r="T4229" s="238">
        <v>0.0</v>
      </c>
      <c r="U4229" s="238">
        <v>0.0</v>
      </c>
      <c r="V4229" s="238">
        <v>0.0</v>
      </c>
      <c r="W4229" s="238">
        <v>0.0</v>
      </c>
      <c r="X4229" s="235" t="s">
        <v>628</v>
      </c>
      <c r="Z4229" s="245"/>
      <c r="AA4229" s="245"/>
      <c r="AB4229" s="245"/>
      <c r="AC4229" s="235" t="s">
        <v>844</v>
      </c>
      <c r="AD4229" s="235" t="s">
        <v>845</v>
      </c>
      <c r="AE4229" s="238">
        <v>411014.0</v>
      </c>
      <c r="AF4229" s="235" t="s">
        <v>631</v>
      </c>
      <c r="AG4229" s="245"/>
      <c r="AH4229" s="245"/>
      <c r="AI4229" s="245"/>
      <c r="AJ4229" s="245"/>
      <c r="AK4229" s="245"/>
      <c r="AL4229" s="245"/>
      <c r="AM4229" s="245"/>
      <c r="AN4229" s="245"/>
      <c r="AO4229" s="238">
        <v>-5.41</v>
      </c>
      <c r="AP4229" s="238">
        <v>0.0</v>
      </c>
      <c r="AQ4229" s="235" t="s">
        <v>632</v>
      </c>
      <c r="AR4229" s="243">
        <v>3.71E11</v>
      </c>
      <c r="AS4229" s="235" t="s">
        <v>29883</v>
      </c>
      <c r="AT4229" s="235" t="s">
        <v>546</v>
      </c>
      <c r="AU4229" s="235" t="s">
        <v>634</v>
      </c>
      <c r="AV4229" s="246" t="s">
        <v>635</v>
      </c>
      <c r="AW4229" s="227"/>
      <c r="AX4229" s="227"/>
      <c r="AY4229" s="227"/>
      <c r="AZ4229" s="227"/>
      <c r="BA4229" s="227"/>
      <c r="BB4229" s="227"/>
      <c r="BC4229" s="227"/>
      <c r="BD4229" s="227"/>
      <c r="BE4229" s="227"/>
      <c r="BF4229" s="227"/>
    </row>
    <row r="4230">
      <c r="A4230" s="235" t="s">
        <v>31513</v>
      </c>
      <c r="C4230" s="235" t="s">
        <v>31514</v>
      </c>
      <c r="D4230" s="235" t="s">
        <v>31515</v>
      </c>
      <c r="E4230" s="243">
        <v>6.51E13</v>
      </c>
      <c r="F4230" s="245"/>
      <c r="G4230" s="235" t="s">
        <v>31516</v>
      </c>
      <c r="H4230" s="235" t="s">
        <v>31517</v>
      </c>
      <c r="I4230" s="235" t="s">
        <v>31517</v>
      </c>
      <c r="J4230" s="235" t="s">
        <v>31518</v>
      </c>
      <c r="K4230" s="235" t="s">
        <v>31519</v>
      </c>
      <c r="N4230" s="235" t="s">
        <v>54</v>
      </c>
      <c r="O4230" s="235" t="s">
        <v>294</v>
      </c>
      <c r="P4230" s="238">
        <v>1.0</v>
      </c>
      <c r="Q4230" s="235" t="s">
        <v>627</v>
      </c>
      <c r="R4230" s="238">
        <v>261.9</v>
      </c>
      <c r="S4230" s="238">
        <v>12.84</v>
      </c>
      <c r="T4230" s="238">
        <v>0.0</v>
      </c>
      <c r="U4230" s="238">
        <v>0.0</v>
      </c>
      <c r="V4230" s="238">
        <v>0.0</v>
      </c>
      <c r="W4230" s="238">
        <v>0.0</v>
      </c>
      <c r="X4230" s="235" t="s">
        <v>628</v>
      </c>
      <c r="Z4230" s="245"/>
      <c r="AA4230" s="245"/>
      <c r="AB4230" s="245"/>
      <c r="AC4230" s="235" t="s">
        <v>678</v>
      </c>
      <c r="AD4230" s="235" t="s">
        <v>679</v>
      </c>
      <c r="AE4230" s="238">
        <v>560017.0</v>
      </c>
      <c r="AF4230" s="235" t="s">
        <v>631</v>
      </c>
      <c r="AG4230" s="245"/>
      <c r="AH4230" s="245"/>
      <c r="AI4230" s="245"/>
      <c r="AJ4230" s="245"/>
      <c r="AK4230" s="245"/>
      <c r="AL4230" s="245"/>
      <c r="AM4230" s="245"/>
      <c r="AN4230" s="245"/>
      <c r="AO4230" s="238">
        <v>-5.24</v>
      </c>
      <c r="AP4230" s="238">
        <v>0.0</v>
      </c>
      <c r="AQ4230" s="235" t="s">
        <v>632</v>
      </c>
      <c r="AR4230" s="243">
        <v>1.68E11</v>
      </c>
      <c r="AS4230" s="235" t="s">
        <v>31232</v>
      </c>
      <c r="AT4230" s="235" t="s">
        <v>11</v>
      </c>
      <c r="AU4230" s="235" t="s">
        <v>634</v>
      </c>
      <c r="AV4230" s="246" t="s">
        <v>635</v>
      </c>
      <c r="AW4230" s="227"/>
      <c r="AX4230" s="227"/>
      <c r="AY4230" s="227"/>
      <c r="AZ4230" s="227"/>
      <c r="BA4230" s="227"/>
      <c r="BB4230" s="227"/>
      <c r="BC4230" s="227"/>
      <c r="BD4230" s="227"/>
      <c r="BE4230" s="227"/>
      <c r="BF4230" s="227"/>
    </row>
    <row r="4231">
      <c r="A4231" s="235" t="s">
        <v>31520</v>
      </c>
      <c r="C4231" s="235" t="s">
        <v>31521</v>
      </c>
      <c r="D4231" s="235" t="s">
        <v>31522</v>
      </c>
      <c r="E4231" s="243">
        <v>6.5E13</v>
      </c>
      <c r="F4231" s="245"/>
      <c r="G4231" s="235" t="s">
        <v>31523</v>
      </c>
      <c r="H4231" s="235" t="s">
        <v>31524</v>
      </c>
      <c r="I4231" s="235" t="s">
        <v>31524</v>
      </c>
      <c r="J4231" s="235" t="s">
        <v>31525</v>
      </c>
      <c r="K4231" s="235" t="s">
        <v>31526</v>
      </c>
      <c r="N4231" s="235" t="s">
        <v>144</v>
      </c>
      <c r="O4231" s="235" t="s">
        <v>232</v>
      </c>
      <c r="P4231" s="238">
        <v>1.0</v>
      </c>
      <c r="Q4231" s="235" t="s">
        <v>627</v>
      </c>
      <c r="R4231" s="238">
        <v>665.72</v>
      </c>
      <c r="S4231" s="238">
        <v>32.62</v>
      </c>
      <c r="T4231" s="238">
        <v>0.0</v>
      </c>
      <c r="U4231" s="238">
        <v>0.0</v>
      </c>
      <c r="V4231" s="238">
        <v>0.0</v>
      </c>
      <c r="W4231" s="238">
        <v>0.0</v>
      </c>
      <c r="X4231" s="235" t="s">
        <v>628</v>
      </c>
      <c r="Z4231" s="245"/>
      <c r="AA4231" s="245"/>
      <c r="AB4231" s="245"/>
      <c r="AC4231" s="235" t="s">
        <v>1255</v>
      </c>
      <c r="AD4231" s="235" t="s">
        <v>845</v>
      </c>
      <c r="AE4231" s="238">
        <v>400615.0</v>
      </c>
      <c r="AF4231" s="235" t="s">
        <v>631</v>
      </c>
      <c r="AG4231" s="245"/>
      <c r="AH4231" s="245"/>
      <c r="AI4231" s="245"/>
      <c r="AJ4231" s="245"/>
      <c r="AK4231" s="245"/>
      <c r="AL4231" s="245"/>
      <c r="AM4231" s="245"/>
      <c r="AN4231" s="245"/>
      <c r="AO4231" s="238">
        <v>-13.32</v>
      </c>
      <c r="AP4231" s="238">
        <v>0.0</v>
      </c>
      <c r="AQ4231" s="235" t="s">
        <v>632</v>
      </c>
      <c r="AR4231" s="243">
        <v>3.71E11</v>
      </c>
      <c r="AS4231" s="235" t="s">
        <v>29883</v>
      </c>
      <c r="AT4231" s="235" t="s">
        <v>17</v>
      </c>
      <c r="AU4231" s="235" t="s">
        <v>634</v>
      </c>
      <c r="AV4231" s="246" t="s">
        <v>635</v>
      </c>
      <c r="AW4231" s="227"/>
      <c r="AX4231" s="227"/>
      <c r="AY4231" s="227"/>
      <c r="AZ4231" s="227"/>
      <c r="BA4231" s="227"/>
      <c r="BB4231" s="227"/>
      <c r="BC4231" s="227"/>
      <c r="BD4231" s="227"/>
      <c r="BE4231" s="227"/>
      <c r="BF4231" s="227"/>
    </row>
    <row r="4232">
      <c r="A4232" s="235" t="s">
        <v>31527</v>
      </c>
      <c r="C4232" s="235" t="s">
        <v>31528</v>
      </c>
      <c r="D4232" s="235" t="s">
        <v>31529</v>
      </c>
      <c r="E4232" s="243">
        <v>6.51E13</v>
      </c>
      <c r="F4232" s="245"/>
      <c r="G4232" s="235" t="s">
        <v>31530</v>
      </c>
      <c r="H4232" s="235" t="s">
        <v>31531</v>
      </c>
      <c r="I4232" s="235" t="s">
        <v>31531</v>
      </c>
      <c r="J4232" s="235" t="s">
        <v>31532</v>
      </c>
      <c r="K4232" s="235" t="s">
        <v>31533</v>
      </c>
      <c r="N4232" s="235" t="s">
        <v>78</v>
      </c>
      <c r="O4232" s="235" t="s">
        <v>360</v>
      </c>
      <c r="P4232" s="238">
        <v>1.0</v>
      </c>
      <c r="Q4232" s="235" t="s">
        <v>627</v>
      </c>
      <c r="R4232" s="238">
        <v>354.29</v>
      </c>
      <c r="S4232" s="238">
        <v>17.18</v>
      </c>
      <c r="T4232" s="238">
        <v>0.0</v>
      </c>
      <c r="U4232" s="238">
        <v>0.0</v>
      </c>
      <c r="V4232" s="238">
        <v>0.0</v>
      </c>
      <c r="W4232" s="238">
        <v>0.0</v>
      </c>
      <c r="X4232" s="235" t="s">
        <v>628</v>
      </c>
      <c r="Z4232" s="245"/>
      <c r="AA4232" s="245"/>
      <c r="AB4232" s="245"/>
      <c r="AC4232" s="235" t="s">
        <v>697</v>
      </c>
      <c r="AD4232" s="235" t="s">
        <v>19002</v>
      </c>
      <c r="AE4232" s="238">
        <v>502032.0</v>
      </c>
      <c r="AF4232" s="235" t="s">
        <v>631</v>
      </c>
      <c r="AG4232" s="245"/>
      <c r="AH4232" s="245"/>
      <c r="AI4232" s="245"/>
      <c r="AJ4232" s="245"/>
      <c r="AK4232" s="245"/>
      <c r="AL4232" s="245"/>
      <c r="AM4232" s="245"/>
      <c r="AN4232" s="245"/>
      <c r="AO4232" s="238">
        <v>-10.63</v>
      </c>
      <c r="AP4232" s="238">
        <v>0.0</v>
      </c>
      <c r="AQ4232" s="235" t="s">
        <v>632</v>
      </c>
      <c r="AR4232" s="243">
        <v>3.71E11</v>
      </c>
      <c r="AS4232" s="235" t="s">
        <v>28482</v>
      </c>
      <c r="AT4232" s="235" t="s">
        <v>17</v>
      </c>
      <c r="AU4232" s="235" t="s">
        <v>634</v>
      </c>
      <c r="AV4232" s="246" t="s">
        <v>635</v>
      </c>
      <c r="AW4232" s="227"/>
      <c r="AX4232" s="227"/>
      <c r="AY4232" s="227"/>
      <c r="AZ4232" s="227"/>
      <c r="BA4232" s="227"/>
      <c r="BB4232" s="227"/>
      <c r="BC4232" s="227"/>
      <c r="BD4232" s="227"/>
      <c r="BE4232" s="227"/>
      <c r="BF4232" s="227"/>
    </row>
    <row r="4233">
      <c r="A4233" s="235" t="s">
        <v>31527</v>
      </c>
      <c r="C4233" s="235" t="s">
        <v>31528</v>
      </c>
      <c r="D4233" s="235" t="s">
        <v>31534</v>
      </c>
      <c r="E4233" s="243">
        <v>6.51E13</v>
      </c>
      <c r="F4233" s="245"/>
      <c r="G4233" s="235" t="s">
        <v>31530</v>
      </c>
      <c r="H4233" s="235" t="s">
        <v>31531</v>
      </c>
      <c r="I4233" s="235" t="s">
        <v>31531</v>
      </c>
      <c r="J4233" s="235" t="s">
        <v>31532</v>
      </c>
      <c r="K4233" s="235" t="s">
        <v>31533</v>
      </c>
      <c r="N4233" s="235" t="s">
        <v>78</v>
      </c>
      <c r="O4233" s="235" t="s">
        <v>360</v>
      </c>
      <c r="P4233" s="238">
        <v>1.0</v>
      </c>
      <c r="Q4233" s="235" t="s">
        <v>627</v>
      </c>
      <c r="R4233" s="238">
        <v>354.29</v>
      </c>
      <c r="S4233" s="238">
        <v>17.18</v>
      </c>
      <c r="T4233" s="238">
        <v>0.0</v>
      </c>
      <c r="U4233" s="238">
        <v>0.0</v>
      </c>
      <c r="V4233" s="238">
        <v>0.0</v>
      </c>
      <c r="W4233" s="238">
        <v>0.0</v>
      </c>
      <c r="X4233" s="235" t="s">
        <v>628</v>
      </c>
      <c r="Z4233" s="245"/>
      <c r="AA4233" s="245"/>
      <c r="AB4233" s="245"/>
      <c r="AC4233" s="235" t="s">
        <v>697</v>
      </c>
      <c r="AD4233" s="235" t="s">
        <v>19002</v>
      </c>
      <c r="AE4233" s="238">
        <v>502032.0</v>
      </c>
      <c r="AF4233" s="235" t="s">
        <v>631</v>
      </c>
      <c r="AG4233" s="245"/>
      <c r="AH4233" s="245"/>
      <c r="AI4233" s="245"/>
      <c r="AJ4233" s="245"/>
      <c r="AK4233" s="245"/>
      <c r="AL4233" s="245"/>
      <c r="AM4233" s="245"/>
      <c r="AN4233" s="245"/>
      <c r="AO4233" s="238">
        <v>-10.63</v>
      </c>
      <c r="AP4233" s="238">
        <v>0.0</v>
      </c>
      <c r="AQ4233" s="235" t="s">
        <v>632</v>
      </c>
      <c r="AR4233" s="243">
        <v>3.71E11</v>
      </c>
      <c r="AS4233" s="235" t="s">
        <v>28482</v>
      </c>
      <c r="AT4233" s="235" t="s">
        <v>17</v>
      </c>
      <c r="AU4233" s="235" t="s">
        <v>634</v>
      </c>
      <c r="AV4233" s="246" t="s">
        <v>635</v>
      </c>
      <c r="AW4233" s="227"/>
      <c r="AX4233" s="227"/>
      <c r="AY4233" s="227"/>
      <c r="AZ4233" s="227"/>
      <c r="BA4233" s="227"/>
      <c r="BB4233" s="227"/>
      <c r="BC4233" s="227"/>
      <c r="BD4233" s="227"/>
      <c r="BE4233" s="227"/>
      <c r="BF4233" s="227"/>
    </row>
    <row r="4234">
      <c r="A4234" s="235" t="s">
        <v>31527</v>
      </c>
      <c r="C4234" s="235" t="s">
        <v>31528</v>
      </c>
      <c r="D4234" s="235" t="s">
        <v>31535</v>
      </c>
      <c r="E4234" s="243">
        <v>6.51E13</v>
      </c>
      <c r="F4234" s="245"/>
      <c r="G4234" s="235" t="s">
        <v>31530</v>
      </c>
      <c r="H4234" s="235" t="s">
        <v>31531</v>
      </c>
      <c r="I4234" s="235" t="s">
        <v>31531</v>
      </c>
      <c r="J4234" s="235" t="s">
        <v>31532</v>
      </c>
      <c r="K4234" s="235" t="s">
        <v>31533</v>
      </c>
      <c r="N4234" s="235" t="s">
        <v>78</v>
      </c>
      <c r="O4234" s="235" t="s">
        <v>360</v>
      </c>
      <c r="P4234" s="238">
        <v>1.0</v>
      </c>
      <c r="Q4234" s="235" t="s">
        <v>627</v>
      </c>
      <c r="R4234" s="238">
        <v>354.29</v>
      </c>
      <c r="S4234" s="238">
        <v>17.18</v>
      </c>
      <c r="T4234" s="238">
        <v>0.0</v>
      </c>
      <c r="U4234" s="238">
        <v>0.0</v>
      </c>
      <c r="V4234" s="238">
        <v>0.0</v>
      </c>
      <c r="W4234" s="238">
        <v>0.0</v>
      </c>
      <c r="X4234" s="235" t="s">
        <v>628</v>
      </c>
      <c r="Z4234" s="245"/>
      <c r="AA4234" s="245"/>
      <c r="AB4234" s="245"/>
      <c r="AC4234" s="235" t="s">
        <v>697</v>
      </c>
      <c r="AD4234" s="235" t="s">
        <v>19002</v>
      </c>
      <c r="AE4234" s="238">
        <v>502032.0</v>
      </c>
      <c r="AF4234" s="235" t="s">
        <v>631</v>
      </c>
      <c r="AG4234" s="245"/>
      <c r="AH4234" s="245"/>
      <c r="AI4234" s="245"/>
      <c r="AJ4234" s="245"/>
      <c r="AK4234" s="245"/>
      <c r="AL4234" s="245"/>
      <c r="AM4234" s="245"/>
      <c r="AN4234" s="245"/>
      <c r="AO4234" s="238">
        <v>-10.63</v>
      </c>
      <c r="AP4234" s="238">
        <v>0.0</v>
      </c>
      <c r="AQ4234" s="235" t="s">
        <v>632</v>
      </c>
      <c r="AR4234" s="243">
        <v>3.71E11</v>
      </c>
      <c r="AS4234" s="235" t="s">
        <v>28482</v>
      </c>
      <c r="AT4234" s="235" t="s">
        <v>17</v>
      </c>
      <c r="AU4234" s="235" t="s">
        <v>634</v>
      </c>
      <c r="AV4234" s="246" t="s">
        <v>635</v>
      </c>
      <c r="AW4234" s="227"/>
      <c r="AX4234" s="227"/>
      <c r="AY4234" s="227"/>
      <c r="AZ4234" s="227"/>
      <c r="BA4234" s="227"/>
      <c r="BB4234" s="227"/>
      <c r="BC4234" s="227"/>
      <c r="BD4234" s="227"/>
      <c r="BE4234" s="227"/>
      <c r="BF4234" s="227"/>
    </row>
    <row r="4235">
      <c r="A4235" s="235" t="s">
        <v>31527</v>
      </c>
      <c r="C4235" s="235" t="s">
        <v>31528</v>
      </c>
      <c r="D4235" s="235" t="s">
        <v>31536</v>
      </c>
      <c r="E4235" s="243">
        <v>6.51E13</v>
      </c>
      <c r="F4235" s="245"/>
      <c r="G4235" s="235" t="s">
        <v>31530</v>
      </c>
      <c r="H4235" s="235" t="s">
        <v>31531</v>
      </c>
      <c r="I4235" s="235" t="s">
        <v>31531</v>
      </c>
      <c r="J4235" s="235" t="s">
        <v>31532</v>
      </c>
      <c r="K4235" s="235" t="s">
        <v>31533</v>
      </c>
      <c r="N4235" s="235" t="s">
        <v>78</v>
      </c>
      <c r="O4235" s="235" t="s">
        <v>360</v>
      </c>
      <c r="P4235" s="238">
        <v>1.0</v>
      </c>
      <c r="Q4235" s="235" t="s">
        <v>627</v>
      </c>
      <c r="R4235" s="238">
        <v>354.29</v>
      </c>
      <c r="S4235" s="238">
        <v>17.18</v>
      </c>
      <c r="T4235" s="238">
        <v>0.0</v>
      </c>
      <c r="U4235" s="238">
        <v>0.0</v>
      </c>
      <c r="V4235" s="238">
        <v>0.0</v>
      </c>
      <c r="W4235" s="238">
        <v>0.0</v>
      </c>
      <c r="X4235" s="235" t="s">
        <v>628</v>
      </c>
      <c r="Z4235" s="245"/>
      <c r="AA4235" s="245"/>
      <c r="AB4235" s="245"/>
      <c r="AC4235" s="235" t="s">
        <v>697</v>
      </c>
      <c r="AD4235" s="235" t="s">
        <v>19002</v>
      </c>
      <c r="AE4235" s="238">
        <v>502032.0</v>
      </c>
      <c r="AF4235" s="235" t="s">
        <v>631</v>
      </c>
      <c r="AG4235" s="245"/>
      <c r="AH4235" s="245"/>
      <c r="AI4235" s="245"/>
      <c r="AJ4235" s="245"/>
      <c r="AK4235" s="245"/>
      <c r="AL4235" s="245"/>
      <c r="AM4235" s="245"/>
      <c r="AN4235" s="245"/>
      <c r="AO4235" s="238">
        <v>-10.63</v>
      </c>
      <c r="AP4235" s="238">
        <v>0.0</v>
      </c>
      <c r="AQ4235" s="235" t="s">
        <v>632</v>
      </c>
      <c r="AR4235" s="243">
        <v>3.71E11</v>
      </c>
      <c r="AS4235" s="235" t="s">
        <v>28482</v>
      </c>
      <c r="AT4235" s="235" t="s">
        <v>17</v>
      </c>
      <c r="AU4235" s="235" t="s">
        <v>634</v>
      </c>
      <c r="AV4235" s="246" t="s">
        <v>635</v>
      </c>
      <c r="AW4235" s="227"/>
      <c r="AX4235" s="227"/>
      <c r="AY4235" s="227"/>
      <c r="AZ4235" s="227"/>
      <c r="BA4235" s="227"/>
      <c r="BB4235" s="227"/>
      <c r="BC4235" s="227"/>
      <c r="BD4235" s="227"/>
      <c r="BE4235" s="227"/>
      <c r="BF4235" s="227"/>
    </row>
    <row r="4236">
      <c r="A4236" s="235" t="s">
        <v>31537</v>
      </c>
      <c r="C4236" s="235" t="s">
        <v>31538</v>
      </c>
      <c r="D4236" s="235" t="s">
        <v>31539</v>
      </c>
      <c r="E4236" s="243">
        <v>6.51E13</v>
      </c>
      <c r="F4236" s="245"/>
      <c r="G4236" s="235" t="s">
        <v>31540</v>
      </c>
      <c r="H4236" s="235" t="s">
        <v>31541</v>
      </c>
      <c r="I4236" s="235" t="s">
        <v>31541</v>
      </c>
      <c r="J4236" s="235" t="s">
        <v>31542</v>
      </c>
      <c r="K4236" s="235" t="s">
        <v>31543</v>
      </c>
      <c r="N4236" s="235" t="s">
        <v>53</v>
      </c>
      <c r="O4236" s="235" t="s">
        <v>512</v>
      </c>
      <c r="P4236" s="238">
        <v>1.0</v>
      </c>
      <c r="Q4236" s="235" t="s">
        <v>627</v>
      </c>
      <c r="R4236" s="238">
        <v>237.14</v>
      </c>
      <c r="S4236" s="238">
        <v>11.86</v>
      </c>
      <c r="T4236" s="238">
        <v>38.1</v>
      </c>
      <c r="U4236" s="238">
        <v>1.9</v>
      </c>
      <c r="V4236" s="238">
        <v>0.0</v>
      </c>
      <c r="W4236" s="238">
        <v>0.0</v>
      </c>
      <c r="X4236" s="235" t="s">
        <v>628</v>
      </c>
      <c r="Z4236" s="245"/>
      <c r="AA4236" s="245"/>
      <c r="AB4236" s="245"/>
      <c r="AC4236" s="235" t="s">
        <v>31544</v>
      </c>
      <c r="AD4236" s="235" t="s">
        <v>679</v>
      </c>
      <c r="AE4236" s="238">
        <v>584167.0</v>
      </c>
      <c r="AF4236" s="235" t="s">
        <v>631</v>
      </c>
      <c r="AG4236" s="245"/>
      <c r="AH4236" s="245"/>
      <c r="AI4236" s="245"/>
      <c r="AJ4236" s="245"/>
      <c r="AK4236" s="245"/>
      <c r="AL4236" s="245"/>
      <c r="AM4236" s="245"/>
      <c r="AN4236" s="245"/>
      <c r="AO4236" s="238">
        <v>0.0</v>
      </c>
      <c r="AP4236" s="238">
        <v>-38.1</v>
      </c>
      <c r="AQ4236" s="235" t="s">
        <v>1328</v>
      </c>
      <c r="AR4236" s="243">
        <v>1.34E13</v>
      </c>
      <c r="AS4236" s="235" t="s">
        <v>25098</v>
      </c>
      <c r="AT4236" s="235" t="s">
        <v>11</v>
      </c>
      <c r="AU4236" s="235" t="s">
        <v>634</v>
      </c>
      <c r="AV4236" s="246" t="s">
        <v>635</v>
      </c>
      <c r="AW4236" s="227"/>
      <c r="AX4236" s="227"/>
      <c r="AY4236" s="227"/>
      <c r="AZ4236" s="227"/>
      <c r="BA4236" s="227"/>
      <c r="BB4236" s="227"/>
      <c r="BC4236" s="227"/>
      <c r="BD4236" s="227"/>
      <c r="BE4236" s="227"/>
      <c r="BF4236" s="227"/>
    </row>
    <row r="4237">
      <c r="A4237" s="235" t="s">
        <v>31545</v>
      </c>
      <c r="C4237" s="235" t="s">
        <v>31546</v>
      </c>
      <c r="D4237" s="235" t="s">
        <v>31547</v>
      </c>
      <c r="E4237" s="243">
        <v>6.51E13</v>
      </c>
      <c r="F4237" s="245"/>
      <c r="G4237" s="235" t="s">
        <v>31548</v>
      </c>
      <c r="H4237" s="235" t="s">
        <v>31549</v>
      </c>
      <c r="I4237" s="235" t="s">
        <v>31550</v>
      </c>
      <c r="J4237" s="235" t="s">
        <v>31551</v>
      </c>
      <c r="K4237" s="235" t="s">
        <v>31552</v>
      </c>
      <c r="N4237" s="235" t="s">
        <v>104</v>
      </c>
      <c r="O4237" s="235" t="s">
        <v>401</v>
      </c>
      <c r="P4237" s="238">
        <v>1.0</v>
      </c>
      <c r="Q4237" s="235" t="s">
        <v>627</v>
      </c>
      <c r="R4237" s="238">
        <v>269.52</v>
      </c>
      <c r="S4237" s="238">
        <v>13.48</v>
      </c>
      <c r="T4237" s="238">
        <v>0.0</v>
      </c>
      <c r="U4237" s="238">
        <v>0.0</v>
      </c>
      <c r="V4237" s="238">
        <v>0.0</v>
      </c>
      <c r="W4237" s="238">
        <v>0.0</v>
      </c>
      <c r="X4237" s="235" t="s">
        <v>628</v>
      </c>
      <c r="Z4237" s="245"/>
      <c r="AA4237" s="245"/>
      <c r="AB4237" s="245"/>
      <c r="AC4237" s="235" t="s">
        <v>678</v>
      </c>
      <c r="AD4237" s="235" t="s">
        <v>679</v>
      </c>
      <c r="AE4237" s="238">
        <v>560033.0</v>
      </c>
      <c r="AF4237" s="235" t="s">
        <v>631</v>
      </c>
      <c r="AG4237" s="245"/>
      <c r="AH4237" s="245"/>
      <c r="AI4237" s="245"/>
      <c r="AJ4237" s="245"/>
      <c r="AK4237" s="245"/>
      <c r="AL4237" s="245"/>
      <c r="AM4237" s="245"/>
      <c r="AN4237" s="245"/>
      <c r="AO4237" s="238">
        <v>0.0</v>
      </c>
      <c r="AP4237" s="238">
        <v>0.0</v>
      </c>
      <c r="AQ4237" s="235" t="s">
        <v>632</v>
      </c>
      <c r="AR4237" s="243">
        <v>1.68E11</v>
      </c>
      <c r="AS4237" s="235" t="s">
        <v>31232</v>
      </c>
      <c r="AT4237" s="235" t="s">
        <v>9</v>
      </c>
      <c r="AU4237" s="235" t="s">
        <v>634</v>
      </c>
      <c r="AV4237" s="246" t="s">
        <v>635</v>
      </c>
      <c r="AW4237" s="227"/>
      <c r="AX4237" s="227"/>
      <c r="AY4237" s="227"/>
      <c r="AZ4237" s="227"/>
      <c r="BA4237" s="227"/>
      <c r="BB4237" s="227"/>
      <c r="BC4237" s="227"/>
      <c r="BD4237" s="227"/>
      <c r="BE4237" s="227"/>
      <c r="BF4237" s="227"/>
    </row>
    <row r="4238">
      <c r="A4238" s="235" t="s">
        <v>31553</v>
      </c>
      <c r="C4238" s="235" t="s">
        <v>31554</v>
      </c>
      <c r="D4238" s="235" t="s">
        <v>31555</v>
      </c>
      <c r="E4238" s="243">
        <v>6.51E13</v>
      </c>
      <c r="F4238" s="245"/>
      <c r="G4238" s="235" t="s">
        <v>31556</v>
      </c>
      <c r="H4238" s="235" t="s">
        <v>31557</v>
      </c>
      <c r="I4238" s="235" t="s">
        <v>31557</v>
      </c>
      <c r="J4238" s="235" t="s">
        <v>31558</v>
      </c>
      <c r="K4238" s="235" t="s">
        <v>31559</v>
      </c>
      <c r="N4238" s="235" t="s">
        <v>842</v>
      </c>
      <c r="O4238" s="235" t="s">
        <v>843</v>
      </c>
      <c r="P4238" s="238">
        <v>1.0</v>
      </c>
      <c r="Q4238" s="235" t="s">
        <v>627</v>
      </c>
      <c r="R4238" s="238">
        <v>246.67</v>
      </c>
      <c r="S4238" s="238">
        <v>12.08</v>
      </c>
      <c r="T4238" s="238">
        <v>0.0</v>
      </c>
      <c r="U4238" s="238">
        <v>0.0</v>
      </c>
      <c r="V4238" s="238">
        <v>0.0</v>
      </c>
      <c r="W4238" s="238">
        <v>0.0</v>
      </c>
      <c r="X4238" s="235" t="s">
        <v>628</v>
      </c>
      <c r="Z4238" s="245"/>
      <c r="AA4238" s="245"/>
      <c r="AB4238" s="245"/>
      <c r="AC4238" s="235" t="s">
        <v>697</v>
      </c>
      <c r="AD4238" s="235" t="s">
        <v>698</v>
      </c>
      <c r="AE4238" s="238">
        <v>500089.0</v>
      </c>
      <c r="AF4238" s="235" t="s">
        <v>631</v>
      </c>
      <c r="AG4238" s="245"/>
      <c r="AH4238" s="245"/>
      <c r="AI4238" s="245"/>
      <c r="AJ4238" s="245"/>
      <c r="AK4238" s="245"/>
      <c r="AL4238" s="245"/>
      <c r="AM4238" s="245"/>
      <c r="AN4238" s="245"/>
      <c r="AO4238" s="238">
        <v>-4.93</v>
      </c>
      <c r="AP4238" s="238">
        <v>0.0</v>
      </c>
      <c r="AQ4238" s="235" t="s">
        <v>632</v>
      </c>
      <c r="AR4238" s="243">
        <v>1.68E11</v>
      </c>
      <c r="AS4238" s="235" t="s">
        <v>29883</v>
      </c>
      <c r="AT4238" s="235" t="s">
        <v>9</v>
      </c>
      <c r="AU4238" s="235" t="s">
        <v>634</v>
      </c>
      <c r="AV4238" s="246" t="s">
        <v>635</v>
      </c>
      <c r="AW4238" s="227"/>
      <c r="AX4238" s="227"/>
      <c r="AY4238" s="227"/>
      <c r="AZ4238" s="227"/>
      <c r="BA4238" s="227"/>
      <c r="BB4238" s="227"/>
      <c r="BC4238" s="227"/>
      <c r="BD4238" s="227"/>
      <c r="BE4238" s="227"/>
      <c r="BF4238" s="227"/>
    </row>
    <row r="4239">
      <c r="A4239" s="235" t="s">
        <v>31560</v>
      </c>
      <c r="C4239" s="235" t="s">
        <v>31561</v>
      </c>
      <c r="D4239" s="235" t="s">
        <v>31562</v>
      </c>
      <c r="E4239" s="243">
        <v>6.51E13</v>
      </c>
      <c r="F4239" s="245"/>
      <c r="G4239" s="235" t="s">
        <v>31563</v>
      </c>
      <c r="H4239" s="235" t="s">
        <v>31564</v>
      </c>
      <c r="I4239" s="235" t="s">
        <v>31565</v>
      </c>
      <c r="J4239" s="235" t="s">
        <v>31566</v>
      </c>
      <c r="K4239" s="235" t="s">
        <v>31567</v>
      </c>
      <c r="N4239" s="235" t="s">
        <v>51</v>
      </c>
      <c r="O4239" s="235" t="s">
        <v>273</v>
      </c>
      <c r="P4239" s="238">
        <v>1.0</v>
      </c>
      <c r="Q4239" s="235" t="s">
        <v>627</v>
      </c>
      <c r="R4239" s="238">
        <v>270.48</v>
      </c>
      <c r="S4239" s="238">
        <v>13.12</v>
      </c>
      <c r="T4239" s="238">
        <v>0.0</v>
      </c>
      <c r="U4239" s="238">
        <v>0.0</v>
      </c>
      <c r="V4239" s="238">
        <v>0.0</v>
      </c>
      <c r="W4239" s="238">
        <v>0.0</v>
      </c>
      <c r="X4239" s="235" t="s">
        <v>628</v>
      </c>
      <c r="Z4239" s="245"/>
      <c r="AA4239" s="245"/>
      <c r="AB4239" s="245"/>
      <c r="AC4239" s="235" t="s">
        <v>687</v>
      </c>
      <c r="AD4239" s="235" t="s">
        <v>666</v>
      </c>
      <c r="AE4239" s="238">
        <v>600078.0</v>
      </c>
      <c r="AF4239" s="235" t="s">
        <v>631</v>
      </c>
      <c r="AG4239" s="245"/>
      <c r="AH4239" s="245"/>
      <c r="AI4239" s="245"/>
      <c r="AJ4239" s="245"/>
      <c r="AK4239" s="245"/>
      <c r="AL4239" s="245"/>
      <c r="AM4239" s="245"/>
      <c r="AN4239" s="245"/>
      <c r="AO4239" s="238">
        <v>-8.12</v>
      </c>
      <c r="AP4239" s="238">
        <v>0.0</v>
      </c>
      <c r="AQ4239" s="235" t="s">
        <v>632</v>
      </c>
      <c r="AR4239" s="243">
        <v>1.68E11</v>
      </c>
      <c r="AS4239" s="235" t="s">
        <v>31232</v>
      </c>
      <c r="AT4239" s="235" t="s">
        <v>156</v>
      </c>
      <c r="AU4239" s="235" t="s">
        <v>634</v>
      </c>
      <c r="AV4239" s="246" t="s">
        <v>635</v>
      </c>
      <c r="AW4239" s="227"/>
      <c r="AX4239" s="227"/>
      <c r="AY4239" s="227"/>
      <c r="AZ4239" s="227"/>
      <c r="BA4239" s="227"/>
      <c r="BB4239" s="227"/>
      <c r="BC4239" s="227"/>
      <c r="BD4239" s="227"/>
      <c r="BE4239" s="227"/>
      <c r="BF4239" s="227"/>
    </row>
    <row r="4240">
      <c r="A4240" s="235" t="s">
        <v>31568</v>
      </c>
      <c r="C4240" s="235" t="s">
        <v>31569</v>
      </c>
      <c r="D4240" s="235" t="s">
        <v>31570</v>
      </c>
      <c r="E4240" s="243">
        <v>6.51E13</v>
      </c>
      <c r="F4240" s="245"/>
      <c r="G4240" s="235" t="s">
        <v>31571</v>
      </c>
      <c r="H4240" s="235" t="s">
        <v>31572</v>
      </c>
      <c r="I4240" s="235" t="s">
        <v>31573</v>
      </c>
      <c r="J4240" s="235" t="s">
        <v>31574</v>
      </c>
      <c r="K4240" s="235" t="s">
        <v>31575</v>
      </c>
      <c r="N4240" s="235" t="s">
        <v>2163</v>
      </c>
      <c r="O4240" s="235" t="s">
        <v>2164</v>
      </c>
      <c r="P4240" s="238">
        <v>1.0</v>
      </c>
      <c r="Q4240" s="235" t="s">
        <v>627</v>
      </c>
      <c r="R4240" s="238">
        <v>233.33</v>
      </c>
      <c r="S4240" s="238">
        <v>11.32</v>
      </c>
      <c r="T4240" s="238">
        <v>0.0</v>
      </c>
      <c r="U4240" s="238">
        <v>0.0</v>
      </c>
      <c r="V4240" s="238">
        <v>0.0</v>
      </c>
      <c r="W4240" s="238">
        <v>0.0</v>
      </c>
      <c r="X4240" s="235" t="s">
        <v>628</v>
      </c>
      <c r="Z4240" s="245"/>
      <c r="AA4240" s="245"/>
      <c r="AB4240" s="245"/>
      <c r="AC4240" s="235" t="s">
        <v>697</v>
      </c>
      <c r="AD4240" s="235" t="s">
        <v>698</v>
      </c>
      <c r="AE4240" s="238">
        <v>500010.0</v>
      </c>
      <c r="AF4240" s="235" t="s">
        <v>631</v>
      </c>
      <c r="AG4240" s="245"/>
      <c r="AH4240" s="245"/>
      <c r="AI4240" s="245"/>
      <c r="AJ4240" s="245"/>
      <c r="AK4240" s="245"/>
      <c r="AL4240" s="245"/>
      <c r="AM4240" s="245"/>
      <c r="AN4240" s="245"/>
      <c r="AO4240" s="238">
        <v>-7.0</v>
      </c>
      <c r="AP4240" s="238">
        <v>0.0</v>
      </c>
      <c r="AQ4240" s="235" t="s">
        <v>632</v>
      </c>
      <c r="AR4240" s="243">
        <v>1.68E11</v>
      </c>
      <c r="AS4240" s="235" t="s">
        <v>29883</v>
      </c>
      <c r="AT4240" s="235" t="s">
        <v>9</v>
      </c>
      <c r="AU4240" s="235" t="s">
        <v>634</v>
      </c>
      <c r="AV4240" s="246" t="s">
        <v>635</v>
      </c>
      <c r="AW4240" s="227"/>
      <c r="AX4240" s="227"/>
      <c r="AY4240" s="227"/>
      <c r="AZ4240" s="227"/>
      <c r="BA4240" s="227"/>
      <c r="BB4240" s="227"/>
      <c r="BC4240" s="227"/>
      <c r="BD4240" s="227"/>
      <c r="BE4240" s="227"/>
      <c r="BF4240" s="227"/>
    </row>
    <row r="4241">
      <c r="A4241" s="235" t="s">
        <v>31576</v>
      </c>
      <c r="C4241" s="235" t="s">
        <v>31577</v>
      </c>
      <c r="D4241" s="235" t="s">
        <v>31578</v>
      </c>
      <c r="E4241" s="243">
        <v>6.5E13</v>
      </c>
      <c r="F4241" s="245"/>
      <c r="G4241" s="235" t="s">
        <v>31579</v>
      </c>
      <c r="H4241" s="235" t="s">
        <v>31580</v>
      </c>
      <c r="I4241" s="235" t="s">
        <v>31580</v>
      </c>
      <c r="J4241" s="235" t="s">
        <v>31581</v>
      </c>
      <c r="K4241" s="235" t="s">
        <v>31582</v>
      </c>
      <c r="N4241" s="235" t="s">
        <v>127</v>
      </c>
      <c r="O4241" s="235" t="s">
        <v>794</v>
      </c>
      <c r="P4241" s="238">
        <v>1.0</v>
      </c>
      <c r="Q4241" s="235" t="s">
        <v>627</v>
      </c>
      <c r="R4241" s="238">
        <v>243.8</v>
      </c>
      <c r="S4241" s="238">
        <v>12.2</v>
      </c>
      <c r="T4241" s="238">
        <v>0.0</v>
      </c>
      <c r="U4241" s="238">
        <v>0.0</v>
      </c>
      <c r="V4241" s="238">
        <v>0.0</v>
      </c>
      <c r="W4241" s="238">
        <v>0.0</v>
      </c>
      <c r="X4241" s="235" t="s">
        <v>628</v>
      </c>
      <c r="Z4241" s="245"/>
      <c r="AA4241" s="245"/>
      <c r="AB4241" s="245"/>
      <c r="AC4241" s="235" t="s">
        <v>1058</v>
      </c>
      <c r="AD4241" s="235" t="s">
        <v>845</v>
      </c>
      <c r="AE4241" s="238">
        <v>400093.0</v>
      </c>
      <c r="AF4241" s="235" t="s">
        <v>631</v>
      </c>
      <c r="AG4241" s="245"/>
      <c r="AH4241" s="245"/>
      <c r="AI4241" s="245"/>
      <c r="AJ4241" s="245"/>
      <c r="AK4241" s="245"/>
      <c r="AL4241" s="245"/>
      <c r="AM4241" s="245"/>
      <c r="AN4241" s="245"/>
      <c r="AO4241" s="238">
        <v>0.0</v>
      </c>
      <c r="AP4241" s="238">
        <v>0.0</v>
      </c>
      <c r="AQ4241" s="235" t="s">
        <v>632</v>
      </c>
      <c r="AR4241" s="243">
        <v>3.71E11</v>
      </c>
      <c r="AS4241" s="235" t="s">
        <v>29883</v>
      </c>
      <c r="AT4241" s="235" t="s">
        <v>16</v>
      </c>
      <c r="AU4241" s="235" t="s">
        <v>634</v>
      </c>
      <c r="AV4241" s="246" t="s">
        <v>635</v>
      </c>
      <c r="AW4241" s="227"/>
      <c r="AX4241" s="227"/>
      <c r="AY4241" s="227"/>
      <c r="AZ4241" s="227"/>
      <c r="BA4241" s="227"/>
      <c r="BB4241" s="227"/>
      <c r="BC4241" s="227"/>
      <c r="BD4241" s="227"/>
      <c r="BE4241" s="227"/>
      <c r="BF4241" s="227"/>
    </row>
    <row r="4242">
      <c r="A4242" s="235" t="s">
        <v>31583</v>
      </c>
      <c r="C4242" s="235" t="s">
        <v>31584</v>
      </c>
      <c r="D4242" s="235" t="s">
        <v>31585</v>
      </c>
      <c r="E4242" s="243">
        <v>6.51E13</v>
      </c>
      <c r="F4242" s="245"/>
      <c r="G4242" s="235" t="s">
        <v>31586</v>
      </c>
      <c r="H4242" s="235" t="s">
        <v>31587</v>
      </c>
      <c r="I4242" s="235" t="s">
        <v>31587</v>
      </c>
      <c r="J4242" s="235" t="s">
        <v>31588</v>
      </c>
      <c r="K4242" s="235" t="s">
        <v>31589</v>
      </c>
      <c r="N4242" s="235" t="s">
        <v>842</v>
      </c>
      <c r="O4242" s="235" t="s">
        <v>843</v>
      </c>
      <c r="P4242" s="238">
        <v>1.0</v>
      </c>
      <c r="Q4242" s="235" t="s">
        <v>627</v>
      </c>
      <c r="R4242" s="238">
        <v>246.66</v>
      </c>
      <c r="S4242" s="238">
        <v>12.34</v>
      </c>
      <c r="T4242" s="238">
        <v>38.1</v>
      </c>
      <c r="U4242" s="238">
        <v>1.9</v>
      </c>
      <c r="V4242" s="238">
        <v>0.0</v>
      </c>
      <c r="W4242" s="238">
        <v>0.0</v>
      </c>
      <c r="X4242" s="235" t="s">
        <v>628</v>
      </c>
      <c r="Z4242" s="245"/>
      <c r="AA4242" s="245"/>
      <c r="AB4242" s="245"/>
      <c r="AC4242" s="235" t="s">
        <v>31590</v>
      </c>
      <c r="AD4242" s="235" t="s">
        <v>666</v>
      </c>
      <c r="AE4242" s="238">
        <v>621708.0</v>
      </c>
      <c r="AF4242" s="235" t="s">
        <v>631</v>
      </c>
      <c r="AG4242" s="245"/>
      <c r="AH4242" s="245"/>
      <c r="AI4242" s="245"/>
      <c r="AJ4242" s="245"/>
      <c r="AK4242" s="245"/>
      <c r="AL4242" s="245"/>
      <c r="AM4242" s="245"/>
      <c r="AN4242" s="245"/>
      <c r="AO4242" s="238">
        <v>0.0</v>
      </c>
      <c r="AP4242" s="238">
        <v>-38.1</v>
      </c>
      <c r="AQ4242" s="235" t="s">
        <v>1328</v>
      </c>
      <c r="AR4242" s="243">
        <v>1.34E13</v>
      </c>
      <c r="AS4242" s="235" t="s">
        <v>23542</v>
      </c>
      <c r="AT4242" s="235" t="s">
        <v>156</v>
      </c>
      <c r="AU4242" s="235" t="s">
        <v>634</v>
      </c>
      <c r="AV4242" s="246" t="s">
        <v>635</v>
      </c>
      <c r="AW4242" s="227"/>
      <c r="AX4242" s="227"/>
      <c r="AY4242" s="227"/>
      <c r="AZ4242" s="227"/>
      <c r="BA4242" s="227"/>
      <c r="BB4242" s="227"/>
      <c r="BC4242" s="227"/>
      <c r="BD4242" s="227"/>
      <c r="BE4242" s="227"/>
      <c r="BF4242" s="227"/>
    </row>
    <row r="4243">
      <c r="A4243" s="235" t="s">
        <v>31591</v>
      </c>
      <c r="C4243" s="235" t="s">
        <v>31592</v>
      </c>
      <c r="D4243" s="235" t="s">
        <v>31593</v>
      </c>
      <c r="E4243" s="243">
        <v>6.51E13</v>
      </c>
      <c r="F4243" s="245"/>
      <c r="G4243" s="235" t="s">
        <v>31594</v>
      </c>
      <c r="H4243" s="235" t="s">
        <v>31595</v>
      </c>
      <c r="I4243" s="235" t="s">
        <v>31595</v>
      </c>
      <c r="J4243" s="235" t="s">
        <v>31596</v>
      </c>
      <c r="K4243" s="235" t="s">
        <v>31597</v>
      </c>
      <c r="N4243" s="235" t="s">
        <v>71</v>
      </c>
      <c r="O4243" s="235" t="s">
        <v>240</v>
      </c>
      <c r="P4243" s="238">
        <v>2.0</v>
      </c>
      <c r="Q4243" s="235" t="s">
        <v>627</v>
      </c>
      <c r="R4243" s="238">
        <v>480.0</v>
      </c>
      <c r="S4243" s="238">
        <v>23.28</v>
      </c>
      <c r="T4243" s="238">
        <v>0.0</v>
      </c>
      <c r="U4243" s="238">
        <v>0.0</v>
      </c>
      <c r="V4243" s="238">
        <v>0.0</v>
      </c>
      <c r="W4243" s="238">
        <v>0.0</v>
      </c>
      <c r="X4243" s="235" t="s">
        <v>628</v>
      </c>
      <c r="Z4243" s="245"/>
      <c r="AA4243" s="245"/>
      <c r="AB4243" s="245"/>
      <c r="AC4243" s="235" t="s">
        <v>844</v>
      </c>
      <c r="AD4243" s="235" t="s">
        <v>845</v>
      </c>
      <c r="AE4243" s="238">
        <v>411045.0</v>
      </c>
      <c r="AF4243" s="235" t="s">
        <v>631</v>
      </c>
      <c r="AG4243" s="245"/>
      <c r="AH4243" s="245"/>
      <c r="AI4243" s="245"/>
      <c r="AJ4243" s="245"/>
      <c r="AK4243" s="245"/>
      <c r="AL4243" s="245"/>
      <c r="AM4243" s="245"/>
      <c r="AN4243" s="245"/>
      <c r="AO4243" s="238">
        <v>-14.4</v>
      </c>
      <c r="AP4243" s="238">
        <v>0.0</v>
      </c>
      <c r="AQ4243" s="235" t="s">
        <v>632</v>
      </c>
      <c r="AR4243" s="243">
        <v>3.71E11</v>
      </c>
      <c r="AS4243" s="235" t="s">
        <v>28482</v>
      </c>
      <c r="AT4243" s="235" t="s">
        <v>546</v>
      </c>
      <c r="AU4243" s="235" t="s">
        <v>634</v>
      </c>
      <c r="AV4243" s="246" t="s">
        <v>635</v>
      </c>
      <c r="AW4243" s="227"/>
      <c r="AX4243" s="227"/>
      <c r="AY4243" s="227"/>
      <c r="AZ4243" s="227"/>
      <c r="BA4243" s="227"/>
      <c r="BB4243" s="227"/>
      <c r="BC4243" s="227"/>
      <c r="BD4243" s="227"/>
      <c r="BE4243" s="227"/>
      <c r="BF4243" s="227"/>
    </row>
    <row r="4244">
      <c r="A4244" s="235" t="s">
        <v>31591</v>
      </c>
      <c r="C4244" s="235" t="s">
        <v>31592</v>
      </c>
      <c r="D4244" s="235" t="s">
        <v>31598</v>
      </c>
      <c r="E4244" s="243">
        <v>6.51E13</v>
      </c>
      <c r="F4244" s="245"/>
      <c r="G4244" s="235" t="s">
        <v>31594</v>
      </c>
      <c r="H4244" s="235" t="s">
        <v>31595</v>
      </c>
      <c r="I4244" s="235" t="s">
        <v>31595</v>
      </c>
      <c r="J4244" s="235" t="s">
        <v>31596</v>
      </c>
      <c r="K4244" s="235" t="s">
        <v>31597</v>
      </c>
      <c r="N4244" s="235" t="s">
        <v>71</v>
      </c>
      <c r="O4244" s="235" t="s">
        <v>240</v>
      </c>
      <c r="P4244" s="238">
        <v>1.0</v>
      </c>
      <c r="Q4244" s="235" t="s">
        <v>627</v>
      </c>
      <c r="R4244" s="238">
        <v>240.0</v>
      </c>
      <c r="S4244" s="238">
        <v>11.64</v>
      </c>
      <c r="T4244" s="238">
        <v>0.0</v>
      </c>
      <c r="U4244" s="238">
        <v>0.0</v>
      </c>
      <c r="V4244" s="238">
        <v>0.0</v>
      </c>
      <c r="W4244" s="238">
        <v>0.0</v>
      </c>
      <c r="X4244" s="235" t="s">
        <v>628</v>
      </c>
      <c r="Z4244" s="245"/>
      <c r="AA4244" s="245"/>
      <c r="AB4244" s="245"/>
      <c r="AC4244" s="235" t="s">
        <v>844</v>
      </c>
      <c r="AD4244" s="235" t="s">
        <v>845</v>
      </c>
      <c r="AE4244" s="238">
        <v>411045.0</v>
      </c>
      <c r="AF4244" s="235" t="s">
        <v>631</v>
      </c>
      <c r="AG4244" s="245"/>
      <c r="AH4244" s="245"/>
      <c r="AI4244" s="245"/>
      <c r="AJ4244" s="245"/>
      <c r="AK4244" s="245"/>
      <c r="AL4244" s="245"/>
      <c r="AM4244" s="245"/>
      <c r="AN4244" s="245"/>
      <c r="AO4244" s="238">
        <v>-7.2</v>
      </c>
      <c r="AP4244" s="238">
        <v>0.0</v>
      </c>
      <c r="AQ4244" s="235" t="s">
        <v>632</v>
      </c>
      <c r="AR4244" s="243">
        <v>3.71E11</v>
      </c>
      <c r="AS4244" s="235" t="s">
        <v>28482</v>
      </c>
      <c r="AT4244" s="235" t="s">
        <v>546</v>
      </c>
      <c r="AU4244" s="235" t="s">
        <v>634</v>
      </c>
      <c r="AV4244" s="246" t="s">
        <v>635</v>
      </c>
      <c r="AW4244" s="227"/>
      <c r="AX4244" s="227"/>
      <c r="AY4244" s="227"/>
      <c r="AZ4244" s="227"/>
      <c r="BA4244" s="227"/>
      <c r="BB4244" s="227"/>
      <c r="BC4244" s="227"/>
      <c r="BD4244" s="227"/>
      <c r="BE4244" s="227"/>
      <c r="BF4244" s="227"/>
    </row>
    <row r="4245">
      <c r="A4245" s="235" t="s">
        <v>31591</v>
      </c>
      <c r="C4245" s="235" t="s">
        <v>31592</v>
      </c>
      <c r="D4245" s="235" t="s">
        <v>31599</v>
      </c>
      <c r="E4245" s="243">
        <v>6.51E13</v>
      </c>
      <c r="F4245" s="245"/>
      <c r="G4245" s="235" t="s">
        <v>31594</v>
      </c>
      <c r="H4245" s="235" t="s">
        <v>31595</v>
      </c>
      <c r="I4245" s="235" t="s">
        <v>31595</v>
      </c>
      <c r="J4245" s="235" t="s">
        <v>31596</v>
      </c>
      <c r="K4245" s="235" t="s">
        <v>31597</v>
      </c>
      <c r="N4245" s="235" t="s">
        <v>71</v>
      </c>
      <c r="O4245" s="235" t="s">
        <v>240</v>
      </c>
      <c r="P4245" s="238">
        <v>1.0</v>
      </c>
      <c r="Q4245" s="235" t="s">
        <v>627</v>
      </c>
      <c r="R4245" s="238">
        <v>240.0</v>
      </c>
      <c r="S4245" s="238">
        <v>11.64</v>
      </c>
      <c r="T4245" s="238">
        <v>0.0</v>
      </c>
      <c r="U4245" s="238">
        <v>0.0</v>
      </c>
      <c r="V4245" s="238">
        <v>0.0</v>
      </c>
      <c r="W4245" s="238">
        <v>0.0</v>
      </c>
      <c r="X4245" s="235" t="s">
        <v>628</v>
      </c>
      <c r="Z4245" s="245"/>
      <c r="AA4245" s="245"/>
      <c r="AB4245" s="245"/>
      <c r="AC4245" s="235" t="s">
        <v>844</v>
      </c>
      <c r="AD4245" s="235" t="s">
        <v>845</v>
      </c>
      <c r="AE4245" s="238">
        <v>411045.0</v>
      </c>
      <c r="AF4245" s="235" t="s">
        <v>631</v>
      </c>
      <c r="AG4245" s="245"/>
      <c r="AH4245" s="245"/>
      <c r="AI4245" s="245"/>
      <c r="AJ4245" s="245"/>
      <c r="AK4245" s="245"/>
      <c r="AL4245" s="245"/>
      <c r="AM4245" s="245"/>
      <c r="AN4245" s="245"/>
      <c r="AO4245" s="238">
        <v>-7.2</v>
      </c>
      <c r="AP4245" s="238">
        <v>0.0</v>
      </c>
      <c r="AQ4245" s="235" t="s">
        <v>632</v>
      </c>
      <c r="AR4245" s="243">
        <v>3.71E11</v>
      </c>
      <c r="AS4245" s="235" t="s">
        <v>28482</v>
      </c>
      <c r="AT4245" s="235" t="s">
        <v>546</v>
      </c>
      <c r="AU4245" s="235" t="s">
        <v>634</v>
      </c>
      <c r="AV4245" s="246" t="s">
        <v>635</v>
      </c>
      <c r="AW4245" s="227"/>
      <c r="AX4245" s="227"/>
      <c r="AY4245" s="227"/>
      <c r="AZ4245" s="227"/>
      <c r="BA4245" s="227"/>
      <c r="BB4245" s="227"/>
      <c r="BC4245" s="227"/>
      <c r="BD4245" s="227"/>
      <c r="BE4245" s="227"/>
      <c r="BF4245" s="227"/>
    </row>
    <row r="4246">
      <c r="A4246" s="235" t="s">
        <v>31600</v>
      </c>
      <c r="C4246" s="235" t="s">
        <v>31601</v>
      </c>
      <c r="D4246" s="235" t="s">
        <v>31602</v>
      </c>
      <c r="E4246" s="243">
        <v>6.51E13</v>
      </c>
      <c r="F4246" s="245"/>
      <c r="G4246" s="235" t="s">
        <v>31603</v>
      </c>
      <c r="H4246" s="235" t="s">
        <v>31604</v>
      </c>
      <c r="I4246" s="235" t="s">
        <v>31604</v>
      </c>
      <c r="J4246" s="235" t="s">
        <v>31605</v>
      </c>
      <c r="K4246" s="235" t="s">
        <v>31606</v>
      </c>
      <c r="N4246" s="235" t="s">
        <v>153</v>
      </c>
      <c r="O4246" s="235" t="s">
        <v>390</v>
      </c>
      <c r="P4246" s="238">
        <v>1.0</v>
      </c>
      <c r="Q4246" s="235" t="s">
        <v>627</v>
      </c>
      <c r="R4246" s="238">
        <v>490.68</v>
      </c>
      <c r="S4246" s="238">
        <v>86.56</v>
      </c>
      <c r="T4246" s="238">
        <v>0.0</v>
      </c>
      <c r="U4246" s="238">
        <v>0.0</v>
      </c>
      <c r="V4246" s="238">
        <v>0.0</v>
      </c>
      <c r="W4246" s="238">
        <v>0.0</v>
      </c>
      <c r="X4246" s="235" t="s">
        <v>628</v>
      </c>
      <c r="Z4246" s="245"/>
      <c r="AA4246" s="245"/>
      <c r="AB4246" s="245"/>
      <c r="AC4246" s="235" t="s">
        <v>1058</v>
      </c>
      <c r="AD4246" s="235" t="s">
        <v>845</v>
      </c>
      <c r="AE4246" s="238">
        <v>400042.0</v>
      </c>
      <c r="AF4246" s="235" t="s">
        <v>631</v>
      </c>
      <c r="AG4246" s="245"/>
      <c r="AH4246" s="245"/>
      <c r="AI4246" s="245"/>
      <c r="AJ4246" s="245"/>
      <c r="AK4246" s="245"/>
      <c r="AL4246" s="245"/>
      <c r="AM4246" s="245"/>
      <c r="AN4246" s="245"/>
      <c r="AO4246" s="238">
        <v>-9.82</v>
      </c>
      <c r="AP4246" s="238">
        <v>0.0</v>
      </c>
      <c r="AQ4246" s="235" t="s">
        <v>632</v>
      </c>
      <c r="AR4246" s="243">
        <v>3.71E11</v>
      </c>
      <c r="AS4246" s="235" t="s">
        <v>29883</v>
      </c>
      <c r="AT4246" s="235" t="s">
        <v>17</v>
      </c>
      <c r="AU4246" s="235" t="s">
        <v>634</v>
      </c>
      <c r="AV4246" s="246" t="s">
        <v>635</v>
      </c>
      <c r="AW4246" s="227"/>
      <c r="AX4246" s="227"/>
      <c r="AY4246" s="227"/>
      <c r="AZ4246" s="227"/>
      <c r="BA4246" s="227"/>
      <c r="BB4246" s="227"/>
      <c r="BC4246" s="227"/>
      <c r="BD4246" s="227"/>
      <c r="BE4246" s="227"/>
      <c r="BF4246" s="227"/>
    </row>
    <row r="4247">
      <c r="A4247" s="235" t="s">
        <v>31607</v>
      </c>
      <c r="C4247" s="235" t="s">
        <v>31608</v>
      </c>
      <c r="D4247" s="235" t="s">
        <v>31609</v>
      </c>
      <c r="E4247" s="243">
        <v>6.51E13</v>
      </c>
      <c r="F4247" s="245"/>
      <c r="G4247" s="235" t="s">
        <v>31610</v>
      </c>
      <c r="H4247" s="235" t="s">
        <v>31611</v>
      </c>
      <c r="I4247" s="235" t="s">
        <v>31611</v>
      </c>
      <c r="J4247" s="235" t="s">
        <v>31612</v>
      </c>
      <c r="K4247" s="235" t="s">
        <v>31606</v>
      </c>
      <c r="N4247" s="235" t="s">
        <v>153</v>
      </c>
      <c r="O4247" s="235" t="s">
        <v>390</v>
      </c>
      <c r="P4247" s="238">
        <v>1.0</v>
      </c>
      <c r="Q4247" s="235" t="s">
        <v>627</v>
      </c>
      <c r="R4247" s="238">
        <v>490.68</v>
      </c>
      <c r="S4247" s="238">
        <v>85.68</v>
      </c>
      <c r="T4247" s="238">
        <v>0.0</v>
      </c>
      <c r="U4247" s="238">
        <v>0.0</v>
      </c>
      <c r="V4247" s="238">
        <v>0.0</v>
      </c>
      <c r="W4247" s="238">
        <v>0.0</v>
      </c>
      <c r="X4247" s="235" t="s">
        <v>628</v>
      </c>
      <c r="Z4247" s="245"/>
      <c r="AA4247" s="245"/>
      <c r="AB4247" s="245"/>
      <c r="AC4247" s="235" t="s">
        <v>1058</v>
      </c>
      <c r="AD4247" s="235" t="s">
        <v>845</v>
      </c>
      <c r="AE4247" s="238">
        <v>400042.0</v>
      </c>
      <c r="AF4247" s="235" t="s">
        <v>631</v>
      </c>
      <c r="AG4247" s="245"/>
      <c r="AH4247" s="245"/>
      <c r="AI4247" s="245"/>
      <c r="AJ4247" s="245"/>
      <c r="AK4247" s="245"/>
      <c r="AL4247" s="245"/>
      <c r="AM4247" s="245"/>
      <c r="AN4247" s="245"/>
      <c r="AO4247" s="238">
        <v>-14.73</v>
      </c>
      <c r="AP4247" s="238">
        <v>0.0</v>
      </c>
      <c r="AQ4247" s="235" t="s">
        <v>632</v>
      </c>
      <c r="AR4247" s="243">
        <v>3.71E11</v>
      </c>
      <c r="AS4247" s="235" t="s">
        <v>29883</v>
      </c>
      <c r="AT4247" s="235" t="s">
        <v>17</v>
      </c>
      <c r="AU4247" s="235" t="s">
        <v>634</v>
      </c>
      <c r="AV4247" s="246" t="s">
        <v>635</v>
      </c>
      <c r="AW4247" s="227"/>
      <c r="AX4247" s="227"/>
      <c r="AY4247" s="227"/>
      <c r="AZ4247" s="227"/>
      <c r="BA4247" s="227"/>
      <c r="BB4247" s="227"/>
      <c r="BC4247" s="227"/>
      <c r="BD4247" s="227"/>
      <c r="BE4247" s="227"/>
      <c r="BF4247" s="227"/>
    </row>
    <row r="4248">
      <c r="A4248" s="235" t="s">
        <v>31607</v>
      </c>
      <c r="C4248" s="235" t="s">
        <v>31608</v>
      </c>
      <c r="D4248" s="235" t="s">
        <v>31613</v>
      </c>
      <c r="E4248" s="243">
        <v>6.51E13</v>
      </c>
      <c r="F4248" s="245"/>
      <c r="G4248" s="235" t="s">
        <v>31610</v>
      </c>
      <c r="H4248" s="235" t="s">
        <v>31611</v>
      </c>
      <c r="I4248" s="235" t="s">
        <v>31611</v>
      </c>
      <c r="J4248" s="235" t="s">
        <v>31612</v>
      </c>
      <c r="K4248" s="235" t="s">
        <v>31606</v>
      </c>
      <c r="N4248" s="235" t="s">
        <v>153</v>
      </c>
      <c r="O4248" s="235" t="s">
        <v>390</v>
      </c>
      <c r="P4248" s="238">
        <v>1.0</v>
      </c>
      <c r="Q4248" s="235" t="s">
        <v>627</v>
      </c>
      <c r="R4248" s="238">
        <v>490.68</v>
      </c>
      <c r="S4248" s="238">
        <v>85.68</v>
      </c>
      <c r="T4248" s="238">
        <v>0.0</v>
      </c>
      <c r="U4248" s="238">
        <v>0.0</v>
      </c>
      <c r="V4248" s="238">
        <v>0.0</v>
      </c>
      <c r="W4248" s="238">
        <v>0.0</v>
      </c>
      <c r="X4248" s="235" t="s">
        <v>628</v>
      </c>
      <c r="Z4248" s="245"/>
      <c r="AA4248" s="245"/>
      <c r="AB4248" s="245"/>
      <c r="AC4248" s="235" t="s">
        <v>1058</v>
      </c>
      <c r="AD4248" s="235" t="s">
        <v>845</v>
      </c>
      <c r="AE4248" s="238">
        <v>400042.0</v>
      </c>
      <c r="AF4248" s="235" t="s">
        <v>631</v>
      </c>
      <c r="AG4248" s="245"/>
      <c r="AH4248" s="245"/>
      <c r="AI4248" s="245"/>
      <c r="AJ4248" s="245"/>
      <c r="AK4248" s="245"/>
      <c r="AL4248" s="245"/>
      <c r="AM4248" s="245"/>
      <c r="AN4248" s="245"/>
      <c r="AO4248" s="238">
        <v>-14.73</v>
      </c>
      <c r="AP4248" s="238">
        <v>0.0</v>
      </c>
      <c r="AQ4248" s="235" t="s">
        <v>632</v>
      </c>
      <c r="AR4248" s="243">
        <v>3.71E11</v>
      </c>
      <c r="AS4248" s="235" t="s">
        <v>29883</v>
      </c>
      <c r="AT4248" s="235" t="s">
        <v>17</v>
      </c>
      <c r="AU4248" s="235" t="s">
        <v>634</v>
      </c>
      <c r="AV4248" s="246" t="s">
        <v>635</v>
      </c>
      <c r="AW4248" s="227"/>
      <c r="AX4248" s="227"/>
      <c r="AY4248" s="227"/>
      <c r="AZ4248" s="227"/>
      <c r="BA4248" s="227"/>
      <c r="BB4248" s="227"/>
      <c r="BC4248" s="227"/>
      <c r="BD4248" s="227"/>
      <c r="BE4248" s="227"/>
      <c r="BF4248" s="227"/>
    </row>
    <row r="4249">
      <c r="A4249" s="235" t="s">
        <v>31614</v>
      </c>
      <c r="C4249" s="235" t="s">
        <v>31615</v>
      </c>
      <c r="D4249" s="235" t="s">
        <v>31616</v>
      </c>
      <c r="E4249" s="243">
        <v>6.51E13</v>
      </c>
      <c r="F4249" s="245"/>
      <c r="G4249" s="235" t="s">
        <v>31617</v>
      </c>
      <c r="H4249" s="235" t="s">
        <v>31618</v>
      </c>
      <c r="I4249" s="235" t="s">
        <v>31618</v>
      </c>
      <c r="J4249" s="235" t="s">
        <v>31619</v>
      </c>
      <c r="K4249" s="235" t="s">
        <v>31620</v>
      </c>
      <c r="N4249" s="235" t="s">
        <v>27</v>
      </c>
      <c r="O4249" s="235" t="s">
        <v>573</v>
      </c>
      <c r="P4249" s="238">
        <v>1.0</v>
      </c>
      <c r="Q4249" s="235" t="s">
        <v>627</v>
      </c>
      <c r="R4249" s="238">
        <v>360.95</v>
      </c>
      <c r="S4249" s="238">
        <v>17.51</v>
      </c>
      <c r="T4249" s="238">
        <v>0.0</v>
      </c>
      <c r="U4249" s="238">
        <v>0.0</v>
      </c>
      <c r="V4249" s="238">
        <v>0.0</v>
      </c>
      <c r="W4249" s="238">
        <v>0.0</v>
      </c>
      <c r="X4249" s="235" t="s">
        <v>628</v>
      </c>
      <c r="Z4249" s="245"/>
      <c r="AA4249" s="245"/>
      <c r="AB4249" s="245"/>
      <c r="AC4249" s="235" t="s">
        <v>832</v>
      </c>
      <c r="AD4249" s="235" t="s">
        <v>833</v>
      </c>
      <c r="AE4249" s="238">
        <v>530013.0</v>
      </c>
      <c r="AF4249" s="235" t="s">
        <v>631</v>
      </c>
      <c r="AG4249" s="245"/>
      <c r="AH4249" s="245"/>
      <c r="AI4249" s="245"/>
      <c r="AJ4249" s="245"/>
      <c r="AK4249" s="245"/>
      <c r="AL4249" s="245"/>
      <c r="AM4249" s="245"/>
      <c r="AN4249" s="245"/>
      <c r="AO4249" s="238">
        <v>-10.83</v>
      </c>
      <c r="AP4249" s="238">
        <v>0.0</v>
      </c>
      <c r="AQ4249" s="235" t="s">
        <v>632</v>
      </c>
      <c r="AR4249" s="243">
        <v>3.71E11</v>
      </c>
      <c r="AS4249" s="235" t="s">
        <v>26892</v>
      </c>
      <c r="AT4249" s="235" t="s">
        <v>16</v>
      </c>
      <c r="AU4249" s="235" t="s">
        <v>634</v>
      </c>
      <c r="AV4249" s="246" t="s">
        <v>635</v>
      </c>
      <c r="AW4249" s="227"/>
      <c r="AX4249" s="227"/>
      <c r="AY4249" s="227"/>
      <c r="AZ4249" s="227"/>
      <c r="BA4249" s="227"/>
      <c r="BB4249" s="227"/>
      <c r="BC4249" s="227"/>
      <c r="BD4249" s="227"/>
      <c r="BE4249" s="227"/>
      <c r="BF4249" s="227"/>
    </row>
    <row r="4250">
      <c r="A4250" s="235" t="s">
        <v>31614</v>
      </c>
      <c r="C4250" s="235" t="s">
        <v>31615</v>
      </c>
      <c r="D4250" s="235" t="s">
        <v>31621</v>
      </c>
      <c r="E4250" s="243">
        <v>6.51E13</v>
      </c>
      <c r="F4250" s="245"/>
      <c r="G4250" s="235" t="s">
        <v>31617</v>
      </c>
      <c r="H4250" s="235" t="s">
        <v>31618</v>
      </c>
      <c r="I4250" s="235" t="s">
        <v>31618</v>
      </c>
      <c r="J4250" s="235" t="s">
        <v>31619</v>
      </c>
      <c r="K4250" s="235" t="s">
        <v>31620</v>
      </c>
      <c r="N4250" s="235" t="s">
        <v>22</v>
      </c>
      <c r="O4250" s="235" t="s">
        <v>729</v>
      </c>
      <c r="P4250" s="238">
        <v>1.0</v>
      </c>
      <c r="Q4250" s="235" t="s">
        <v>627</v>
      </c>
      <c r="R4250" s="238">
        <v>360.95</v>
      </c>
      <c r="S4250" s="238">
        <v>17.51</v>
      </c>
      <c r="T4250" s="238">
        <v>0.0</v>
      </c>
      <c r="U4250" s="238">
        <v>0.0</v>
      </c>
      <c r="V4250" s="238">
        <v>0.0</v>
      </c>
      <c r="W4250" s="238">
        <v>0.0</v>
      </c>
      <c r="X4250" s="235" t="s">
        <v>628</v>
      </c>
      <c r="Z4250" s="245"/>
      <c r="AA4250" s="245"/>
      <c r="AB4250" s="245"/>
      <c r="AC4250" s="235" t="s">
        <v>832</v>
      </c>
      <c r="AD4250" s="235" t="s">
        <v>833</v>
      </c>
      <c r="AE4250" s="238">
        <v>530013.0</v>
      </c>
      <c r="AF4250" s="235" t="s">
        <v>631</v>
      </c>
      <c r="AG4250" s="245"/>
      <c r="AH4250" s="245"/>
      <c r="AI4250" s="245"/>
      <c r="AJ4250" s="245"/>
      <c r="AK4250" s="245"/>
      <c r="AL4250" s="245"/>
      <c r="AM4250" s="245"/>
      <c r="AN4250" s="245"/>
      <c r="AO4250" s="238">
        <v>-10.83</v>
      </c>
      <c r="AP4250" s="238">
        <v>0.0</v>
      </c>
      <c r="AQ4250" s="235" t="s">
        <v>632</v>
      </c>
      <c r="AR4250" s="243">
        <v>3.71E11</v>
      </c>
      <c r="AS4250" s="235" t="s">
        <v>26892</v>
      </c>
      <c r="AT4250" s="235" t="s">
        <v>16</v>
      </c>
      <c r="AU4250" s="235" t="s">
        <v>634</v>
      </c>
      <c r="AV4250" s="246" t="s">
        <v>635</v>
      </c>
      <c r="AW4250" s="227"/>
      <c r="AX4250" s="227"/>
      <c r="AY4250" s="227"/>
      <c r="AZ4250" s="227"/>
      <c r="BA4250" s="227"/>
      <c r="BB4250" s="227"/>
      <c r="BC4250" s="227"/>
      <c r="BD4250" s="227"/>
      <c r="BE4250" s="227"/>
      <c r="BF4250" s="227"/>
    </row>
    <row r="4251">
      <c r="A4251" s="235" t="s">
        <v>31622</v>
      </c>
      <c r="C4251" s="235" t="s">
        <v>31623</v>
      </c>
      <c r="D4251" s="235" t="s">
        <v>31624</v>
      </c>
      <c r="E4251" s="243">
        <v>6.51E13</v>
      </c>
      <c r="F4251" s="245"/>
      <c r="G4251" s="235" t="s">
        <v>31625</v>
      </c>
      <c r="H4251" s="235" t="s">
        <v>31626</v>
      </c>
      <c r="I4251" s="235" t="s">
        <v>31626</v>
      </c>
      <c r="J4251" s="235" t="s">
        <v>31627</v>
      </c>
      <c r="K4251" s="235" t="s">
        <v>31628</v>
      </c>
      <c r="N4251" s="235" t="s">
        <v>51</v>
      </c>
      <c r="O4251" s="235" t="s">
        <v>273</v>
      </c>
      <c r="P4251" s="238">
        <v>1.0</v>
      </c>
      <c r="Q4251" s="235" t="s">
        <v>627</v>
      </c>
      <c r="R4251" s="238">
        <v>270.48</v>
      </c>
      <c r="S4251" s="238">
        <v>13.52</v>
      </c>
      <c r="T4251" s="238">
        <v>0.0</v>
      </c>
      <c r="U4251" s="238">
        <v>0.0</v>
      </c>
      <c r="V4251" s="238">
        <v>0.0</v>
      </c>
      <c r="W4251" s="238">
        <v>0.0</v>
      </c>
      <c r="X4251" s="235" t="s">
        <v>628</v>
      </c>
      <c r="Z4251" s="245"/>
      <c r="AA4251" s="245"/>
      <c r="AB4251" s="245"/>
      <c r="AC4251" s="235" t="s">
        <v>697</v>
      </c>
      <c r="AD4251" s="235" t="s">
        <v>698</v>
      </c>
      <c r="AE4251" s="238">
        <v>500085.0</v>
      </c>
      <c r="AF4251" s="235" t="s">
        <v>631</v>
      </c>
      <c r="AG4251" s="245"/>
      <c r="AH4251" s="245"/>
      <c r="AI4251" s="245"/>
      <c r="AJ4251" s="245"/>
      <c r="AK4251" s="245"/>
      <c r="AL4251" s="245"/>
      <c r="AM4251" s="245"/>
      <c r="AN4251" s="245"/>
      <c r="AO4251" s="238">
        <v>0.0</v>
      </c>
      <c r="AP4251" s="238">
        <v>0.0</v>
      </c>
      <c r="AQ4251" s="235" t="s">
        <v>632</v>
      </c>
      <c r="AR4251" s="243">
        <v>2.02E11</v>
      </c>
      <c r="AS4251" s="235" t="s">
        <v>29883</v>
      </c>
      <c r="AT4251" s="235" t="s">
        <v>16</v>
      </c>
      <c r="AU4251" s="235" t="s">
        <v>634</v>
      </c>
      <c r="AV4251" s="246" t="s">
        <v>635</v>
      </c>
      <c r="AW4251" s="227"/>
      <c r="AX4251" s="227"/>
      <c r="AY4251" s="227"/>
      <c r="AZ4251" s="227"/>
      <c r="BA4251" s="227"/>
      <c r="BB4251" s="227"/>
      <c r="BC4251" s="227"/>
      <c r="BD4251" s="227"/>
      <c r="BE4251" s="227"/>
      <c r="BF4251" s="227"/>
    </row>
    <row r="4252">
      <c r="A4252" s="235" t="s">
        <v>31629</v>
      </c>
      <c r="C4252" s="235" t="s">
        <v>31630</v>
      </c>
      <c r="D4252" s="235" t="s">
        <v>31631</v>
      </c>
      <c r="E4252" s="243">
        <v>6.51E13</v>
      </c>
      <c r="F4252" s="245"/>
      <c r="G4252" s="235" t="s">
        <v>31632</v>
      </c>
      <c r="H4252" s="235" t="s">
        <v>31633</v>
      </c>
      <c r="I4252" s="235" t="s">
        <v>31634</v>
      </c>
      <c r="J4252" s="235" t="s">
        <v>31635</v>
      </c>
      <c r="K4252" s="235" t="s">
        <v>31636</v>
      </c>
      <c r="N4252" s="235" t="s">
        <v>842</v>
      </c>
      <c r="O4252" s="235" t="s">
        <v>843</v>
      </c>
      <c r="P4252" s="238">
        <v>1.0</v>
      </c>
      <c r="Q4252" s="235" t="s">
        <v>627</v>
      </c>
      <c r="R4252" s="238">
        <v>246.66</v>
      </c>
      <c r="S4252" s="238">
        <v>12.1</v>
      </c>
      <c r="T4252" s="238">
        <v>0.0</v>
      </c>
      <c r="U4252" s="238">
        <v>0.0</v>
      </c>
      <c r="V4252" s="238">
        <v>0.0</v>
      </c>
      <c r="W4252" s="238">
        <v>0.0</v>
      </c>
      <c r="X4252" s="235" t="s">
        <v>628</v>
      </c>
      <c r="Z4252" s="245"/>
      <c r="AA4252" s="245"/>
      <c r="AB4252" s="245"/>
      <c r="AC4252" s="235" t="s">
        <v>687</v>
      </c>
      <c r="AD4252" s="235" t="s">
        <v>666</v>
      </c>
      <c r="AE4252" s="238">
        <v>600087.0</v>
      </c>
      <c r="AF4252" s="235" t="s">
        <v>631</v>
      </c>
      <c r="AG4252" s="245"/>
      <c r="AH4252" s="245"/>
      <c r="AI4252" s="245"/>
      <c r="AJ4252" s="245"/>
      <c r="AK4252" s="245"/>
      <c r="AL4252" s="245"/>
      <c r="AM4252" s="245"/>
      <c r="AN4252" s="245"/>
      <c r="AO4252" s="238">
        <v>-4.94</v>
      </c>
      <c r="AP4252" s="238">
        <v>0.0</v>
      </c>
      <c r="AQ4252" s="235" t="s">
        <v>632</v>
      </c>
      <c r="AR4252" s="243">
        <v>1.68E11</v>
      </c>
      <c r="AS4252" s="235" t="s">
        <v>31232</v>
      </c>
      <c r="AT4252" s="235" t="s">
        <v>156</v>
      </c>
      <c r="AU4252" s="235" t="s">
        <v>634</v>
      </c>
      <c r="AV4252" s="246" t="s">
        <v>635</v>
      </c>
      <c r="AW4252" s="227"/>
      <c r="AX4252" s="227"/>
      <c r="AY4252" s="227"/>
      <c r="AZ4252" s="227"/>
      <c r="BA4252" s="227"/>
      <c r="BB4252" s="227"/>
      <c r="BC4252" s="227"/>
      <c r="BD4252" s="227"/>
      <c r="BE4252" s="227"/>
      <c r="BF4252" s="227"/>
    </row>
    <row r="4253">
      <c r="A4253" s="235" t="s">
        <v>31637</v>
      </c>
      <c r="C4253" s="235" t="s">
        <v>31638</v>
      </c>
      <c r="D4253" s="235" t="s">
        <v>31639</v>
      </c>
      <c r="E4253" s="243">
        <v>6.51E13</v>
      </c>
      <c r="F4253" s="245"/>
      <c r="G4253" s="235" t="s">
        <v>31640</v>
      </c>
      <c r="H4253" s="235" t="s">
        <v>31641</v>
      </c>
      <c r="I4253" s="235" t="s">
        <v>31642</v>
      </c>
      <c r="J4253" s="235" t="s">
        <v>31643</v>
      </c>
      <c r="K4253" s="235" t="s">
        <v>31644</v>
      </c>
      <c r="N4253" s="235" t="s">
        <v>962</v>
      </c>
      <c r="O4253" s="235" t="s">
        <v>963</v>
      </c>
      <c r="P4253" s="238">
        <v>1.0</v>
      </c>
      <c r="Q4253" s="235" t="s">
        <v>627</v>
      </c>
      <c r="R4253" s="238">
        <v>245.71</v>
      </c>
      <c r="S4253" s="238">
        <v>12.29</v>
      </c>
      <c r="T4253" s="238">
        <v>0.0</v>
      </c>
      <c r="U4253" s="238">
        <v>0.0</v>
      </c>
      <c r="V4253" s="238">
        <v>0.0</v>
      </c>
      <c r="W4253" s="238">
        <v>0.0</v>
      </c>
      <c r="X4253" s="235" t="s">
        <v>628</v>
      </c>
      <c r="Z4253" s="245"/>
      <c r="AA4253" s="245"/>
      <c r="AB4253" s="245"/>
      <c r="AC4253" s="235" t="s">
        <v>19174</v>
      </c>
      <c r="AD4253" s="235" t="s">
        <v>1499</v>
      </c>
      <c r="AE4253" s="238">
        <v>462026.0</v>
      </c>
      <c r="AF4253" s="235" t="s">
        <v>631</v>
      </c>
      <c r="AG4253" s="245"/>
      <c r="AH4253" s="245"/>
      <c r="AI4253" s="245"/>
      <c r="AJ4253" s="245"/>
      <c r="AK4253" s="245"/>
      <c r="AL4253" s="245"/>
      <c r="AM4253" s="245"/>
      <c r="AN4253" s="245"/>
      <c r="AO4253" s="238">
        <v>0.0</v>
      </c>
      <c r="AP4253" s="238">
        <v>0.0</v>
      </c>
      <c r="AQ4253" s="235" t="s">
        <v>632</v>
      </c>
      <c r="AR4253" s="243">
        <v>3.71E11</v>
      </c>
      <c r="AS4253" s="235" t="s">
        <v>28482</v>
      </c>
      <c r="AT4253" s="235" t="s">
        <v>5</v>
      </c>
      <c r="AU4253" s="235" t="s">
        <v>634</v>
      </c>
      <c r="AV4253" s="246" t="s">
        <v>635</v>
      </c>
      <c r="AW4253" s="227"/>
      <c r="AX4253" s="227"/>
      <c r="AY4253" s="227"/>
      <c r="AZ4253" s="227"/>
      <c r="BA4253" s="227"/>
      <c r="BB4253" s="227"/>
      <c r="BC4253" s="227"/>
      <c r="BD4253" s="227"/>
      <c r="BE4253" s="227"/>
      <c r="BF4253" s="227"/>
    </row>
    <row r="4254">
      <c r="A4254" s="235" t="s">
        <v>31645</v>
      </c>
      <c r="C4254" s="235" t="s">
        <v>31646</v>
      </c>
      <c r="D4254" s="235" t="s">
        <v>31647</v>
      </c>
      <c r="E4254" s="243">
        <v>6.51E13</v>
      </c>
      <c r="F4254" s="245"/>
      <c r="G4254" s="235" t="s">
        <v>31648</v>
      </c>
      <c r="H4254" s="235" t="s">
        <v>31649</v>
      </c>
      <c r="I4254" s="235" t="s">
        <v>31649</v>
      </c>
      <c r="J4254" s="235" t="s">
        <v>31650</v>
      </c>
      <c r="K4254" s="235" t="s">
        <v>31651</v>
      </c>
      <c r="N4254" s="235" t="s">
        <v>42</v>
      </c>
      <c r="O4254" s="235" t="s">
        <v>204</v>
      </c>
      <c r="P4254" s="238">
        <v>1.0</v>
      </c>
      <c r="Q4254" s="235" t="s">
        <v>627</v>
      </c>
      <c r="R4254" s="238">
        <v>237.14</v>
      </c>
      <c r="S4254" s="238">
        <v>11.62</v>
      </c>
      <c r="T4254" s="238">
        <v>0.0</v>
      </c>
      <c r="U4254" s="238">
        <v>0.0</v>
      </c>
      <c r="V4254" s="238">
        <v>0.0</v>
      </c>
      <c r="W4254" s="238">
        <v>0.0</v>
      </c>
      <c r="X4254" s="235" t="s">
        <v>628</v>
      </c>
      <c r="Z4254" s="245"/>
      <c r="AA4254" s="245"/>
      <c r="AB4254" s="245"/>
      <c r="AC4254" s="235" t="s">
        <v>4596</v>
      </c>
      <c r="AD4254" s="235" t="s">
        <v>833</v>
      </c>
      <c r="AE4254" s="238">
        <v>532001.0</v>
      </c>
      <c r="AF4254" s="235" t="s">
        <v>631</v>
      </c>
      <c r="AG4254" s="245"/>
      <c r="AH4254" s="245"/>
      <c r="AI4254" s="245"/>
      <c r="AJ4254" s="245"/>
      <c r="AK4254" s="245"/>
      <c r="AL4254" s="245"/>
      <c r="AM4254" s="245"/>
      <c r="AN4254" s="245"/>
      <c r="AO4254" s="238">
        <v>-4.74</v>
      </c>
      <c r="AP4254" s="238">
        <v>0.0</v>
      </c>
      <c r="AQ4254" s="235" t="s">
        <v>632</v>
      </c>
      <c r="AR4254" s="243">
        <v>3.71E11</v>
      </c>
      <c r="AS4254" s="235" t="s">
        <v>25098</v>
      </c>
      <c r="AT4254" s="235" t="s">
        <v>11</v>
      </c>
      <c r="AU4254" s="235" t="s">
        <v>634</v>
      </c>
      <c r="AV4254" s="246" t="s">
        <v>635</v>
      </c>
      <c r="AW4254" s="227"/>
      <c r="AX4254" s="227"/>
      <c r="AY4254" s="227"/>
      <c r="AZ4254" s="227"/>
      <c r="BA4254" s="227"/>
      <c r="BB4254" s="227"/>
      <c r="BC4254" s="227"/>
      <c r="BD4254" s="227"/>
      <c r="BE4254" s="227"/>
      <c r="BF4254" s="227"/>
    </row>
    <row r="4255">
      <c r="A4255" s="235" t="s">
        <v>31652</v>
      </c>
      <c r="C4255" s="235" t="s">
        <v>31653</v>
      </c>
      <c r="D4255" s="235" t="s">
        <v>31654</v>
      </c>
      <c r="E4255" s="243">
        <v>6.51E13</v>
      </c>
      <c r="F4255" s="245"/>
      <c r="G4255" s="235" t="s">
        <v>31655</v>
      </c>
      <c r="H4255" s="235" t="s">
        <v>31656</v>
      </c>
      <c r="I4255" s="235" t="s">
        <v>31657</v>
      </c>
      <c r="J4255" s="235" t="s">
        <v>31658</v>
      </c>
      <c r="K4255" s="235" t="s">
        <v>31659</v>
      </c>
      <c r="N4255" s="235" t="s">
        <v>2163</v>
      </c>
      <c r="O4255" s="235" t="s">
        <v>2164</v>
      </c>
      <c r="P4255" s="238">
        <v>1.0</v>
      </c>
      <c r="Q4255" s="235" t="s">
        <v>627</v>
      </c>
      <c r="R4255" s="238">
        <v>233.33</v>
      </c>
      <c r="S4255" s="238">
        <v>11.32</v>
      </c>
      <c r="T4255" s="238">
        <v>0.0</v>
      </c>
      <c r="U4255" s="238">
        <v>0.0</v>
      </c>
      <c r="V4255" s="238">
        <v>0.0</v>
      </c>
      <c r="W4255" s="238">
        <v>0.0</v>
      </c>
      <c r="X4255" s="235" t="s">
        <v>628</v>
      </c>
      <c r="Z4255" s="245"/>
      <c r="AA4255" s="245"/>
      <c r="AB4255" s="245"/>
      <c r="AC4255" s="235" t="s">
        <v>6436</v>
      </c>
      <c r="AD4255" s="235" t="s">
        <v>1499</v>
      </c>
      <c r="AE4255" s="238">
        <v>453112.0</v>
      </c>
      <c r="AF4255" s="235" t="s">
        <v>631</v>
      </c>
      <c r="AG4255" s="245"/>
      <c r="AH4255" s="245"/>
      <c r="AI4255" s="245"/>
      <c r="AJ4255" s="245"/>
      <c r="AK4255" s="245"/>
      <c r="AL4255" s="245"/>
      <c r="AM4255" s="245"/>
      <c r="AN4255" s="245"/>
      <c r="AO4255" s="238">
        <v>-7.0</v>
      </c>
      <c r="AP4255" s="238">
        <v>0.0</v>
      </c>
      <c r="AQ4255" s="235" t="s">
        <v>632</v>
      </c>
      <c r="AR4255" s="243">
        <v>3.71E11</v>
      </c>
      <c r="AS4255" s="235" t="s">
        <v>28482</v>
      </c>
      <c r="AT4255" s="235" t="s">
        <v>16</v>
      </c>
      <c r="AU4255" s="235" t="s">
        <v>634</v>
      </c>
      <c r="AV4255" s="246" t="s">
        <v>635</v>
      </c>
      <c r="AW4255" s="227"/>
      <c r="AX4255" s="227"/>
      <c r="AY4255" s="227"/>
      <c r="AZ4255" s="227"/>
      <c r="BA4255" s="227"/>
      <c r="BB4255" s="227"/>
      <c r="BC4255" s="227"/>
      <c r="BD4255" s="227"/>
      <c r="BE4255" s="227"/>
      <c r="BF4255" s="227"/>
    </row>
    <row r="4256">
      <c r="A4256" s="235" t="s">
        <v>31660</v>
      </c>
      <c r="C4256" s="235" t="s">
        <v>31661</v>
      </c>
      <c r="D4256" s="235" t="s">
        <v>31662</v>
      </c>
      <c r="E4256" s="243">
        <v>6.51E13</v>
      </c>
      <c r="F4256" s="245"/>
      <c r="G4256" s="235" t="s">
        <v>31663</v>
      </c>
      <c r="H4256" s="235" t="s">
        <v>31664</v>
      </c>
      <c r="I4256" s="235" t="s">
        <v>31665</v>
      </c>
      <c r="J4256" s="235" t="s">
        <v>31666</v>
      </c>
      <c r="K4256" s="235" t="s">
        <v>31667</v>
      </c>
      <c r="N4256" s="235" t="s">
        <v>50</v>
      </c>
      <c r="O4256" s="235" t="s">
        <v>367</v>
      </c>
      <c r="P4256" s="238">
        <v>1.0</v>
      </c>
      <c r="Q4256" s="235" t="s">
        <v>627</v>
      </c>
      <c r="R4256" s="238">
        <v>270.48</v>
      </c>
      <c r="S4256" s="238">
        <v>13.52</v>
      </c>
      <c r="T4256" s="238">
        <v>0.0</v>
      </c>
      <c r="U4256" s="238">
        <v>0.0</v>
      </c>
      <c r="V4256" s="238">
        <v>0.0</v>
      </c>
      <c r="W4256" s="238">
        <v>0.0</v>
      </c>
      <c r="X4256" s="235" t="s">
        <v>628</v>
      </c>
      <c r="Z4256" s="245"/>
      <c r="AA4256" s="245"/>
      <c r="AB4256" s="245"/>
      <c r="AC4256" s="235" t="s">
        <v>697</v>
      </c>
      <c r="AD4256" s="235" t="s">
        <v>698</v>
      </c>
      <c r="AE4256" s="238">
        <v>500019.0</v>
      </c>
      <c r="AF4256" s="235" t="s">
        <v>631</v>
      </c>
      <c r="AG4256" s="245"/>
      <c r="AH4256" s="245"/>
      <c r="AI4256" s="245"/>
      <c r="AJ4256" s="245"/>
      <c r="AK4256" s="245"/>
      <c r="AL4256" s="245"/>
      <c r="AM4256" s="245"/>
      <c r="AN4256" s="245"/>
      <c r="AO4256" s="238">
        <v>0.0</v>
      </c>
      <c r="AP4256" s="238">
        <v>0.0</v>
      </c>
      <c r="AQ4256" s="235" t="s">
        <v>632</v>
      </c>
      <c r="AR4256" s="243">
        <v>3.71E11</v>
      </c>
      <c r="AS4256" s="235" t="s">
        <v>28482</v>
      </c>
      <c r="AT4256" s="235" t="s">
        <v>16</v>
      </c>
      <c r="AU4256" s="235" t="s">
        <v>634</v>
      </c>
      <c r="AV4256" s="246" t="s">
        <v>635</v>
      </c>
      <c r="AW4256" s="227"/>
      <c r="AX4256" s="227"/>
      <c r="AY4256" s="227"/>
      <c r="AZ4256" s="227"/>
      <c r="BA4256" s="227"/>
      <c r="BB4256" s="227"/>
      <c r="BC4256" s="227"/>
      <c r="BD4256" s="227"/>
      <c r="BE4256" s="227"/>
      <c r="BF4256" s="227"/>
    </row>
    <row r="4257">
      <c r="A4257" s="235" t="s">
        <v>31668</v>
      </c>
      <c r="C4257" s="235" t="s">
        <v>31669</v>
      </c>
      <c r="D4257" s="235" t="s">
        <v>31670</v>
      </c>
      <c r="E4257" s="243">
        <v>6.51E13</v>
      </c>
      <c r="F4257" s="245"/>
      <c r="G4257" s="235" t="s">
        <v>31671</v>
      </c>
      <c r="H4257" s="235" t="s">
        <v>31672</v>
      </c>
      <c r="I4257" s="235" t="s">
        <v>31672</v>
      </c>
      <c r="J4257" s="235" t="s">
        <v>31673</v>
      </c>
      <c r="K4257" s="235" t="s">
        <v>31674</v>
      </c>
      <c r="N4257" s="235" t="s">
        <v>53</v>
      </c>
      <c r="O4257" s="235" t="s">
        <v>512</v>
      </c>
      <c r="P4257" s="238">
        <v>1.0</v>
      </c>
      <c r="Q4257" s="235" t="s">
        <v>627</v>
      </c>
      <c r="R4257" s="238">
        <v>270.48</v>
      </c>
      <c r="S4257" s="238">
        <v>13.52</v>
      </c>
      <c r="T4257" s="238">
        <v>0.0</v>
      </c>
      <c r="U4257" s="238">
        <v>0.0</v>
      </c>
      <c r="V4257" s="238">
        <v>0.0</v>
      </c>
      <c r="W4257" s="238">
        <v>0.0</v>
      </c>
      <c r="X4257" s="235" t="s">
        <v>628</v>
      </c>
      <c r="Z4257" s="245"/>
      <c r="AA4257" s="245"/>
      <c r="AB4257" s="245"/>
      <c r="AC4257" s="235" t="s">
        <v>1671</v>
      </c>
      <c r="AD4257" s="235" t="s">
        <v>666</v>
      </c>
      <c r="AE4257" s="238">
        <v>643101.0</v>
      </c>
      <c r="AF4257" s="235" t="s">
        <v>631</v>
      </c>
      <c r="AG4257" s="245"/>
      <c r="AH4257" s="245"/>
      <c r="AI4257" s="245"/>
      <c r="AJ4257" s="245"/>
      <c r="AK4257" s="245"/>
      <c r="AL4257" s="245"/>
      <c r="AM4257" s="245"/>
      <c r="AN4257" s="245"/>
      <c r="AO4257" s="238">
        <v>0.0</v>
      </c>
      <c r="AP4257" s="238">
        <v>0.0</v>
      </c>
      <c r="AQ4257" s="235" t="s">
        <v>632</v>
      </c>
      <c r="AR4257" s="243">
        <v>3.71E11</v>
      </c>
      <c r="AS4257" s="235" t="s">
        <v>28482</v>
      </c>
      <c r="AT4257" s="235" t="s">
        <v>9</v>
      </c>
      <c r="AU4257" s="235" t="s">
        <v>634</v>
      </c>
      <c r="AV4257" s="246" t="s">
        <v>635</v>
      </c>
      <c r="AW4257" s="227"/>
      <c r="AX4257" s="227"/>
      <c r="AY4257" s="227"/>
      <c r="AZ4257" s="227"/>
      <c r="BA4257" s="227"/>
      <c r="BB4257" s="227"/>
      <c r="BC4257" s="227"/>
      <c r="BD4257" s="227"/>
      <c r="BE4257" s="227"/>
      <c r="BF4257" s="227"/>
    </row>
    <row r="4258">
      <c r="A4258" s="235" t="s">
        <v>31675</v>
      </c>
      <c r="C4258" s="235" t="s">
        <v>31676</v>
      </c>
      <c r="D4258" s="235" t="s">
        <v>31677</v>
      </c>
      <c r="E4258" s="243">
        <v>6.51E13</v>
      </c>
      <c r="F4258" s="245"/>
      <c r="G4258" s="235" t="s">
        <v>31678</v>
      </c>
      <c r="H4258" s="235" t="s">
        <v>31679</v>
      </c>
      <c r="I4258" s="235" t="s">
        <v>31679</v>
      </c>
      <c r="J4258" s="235" t="s">
        <v>31680</v>
      </c>
      <c r="K4258" s="235" t="s">
        <v>31681</v>
      </c>
      <c r="N4258" s="235" t="s">
        <v>53</v>
      </c>
      <c r="O4258" s="235" t="s">
        <v>512</v>
      </c>
      <c r="P4258" s="238">
        <v>1.0</v>
      </c>
      <c r="Q4258" s="235" t="s">
        <v>627</v>
      </c>
      <c r="R4258" s="238">
        <v>237.14</v>
      </c>
      <c r="S4258" s="238">
        <v>11.86</v>
      </c>
      <c r="T4258" s="238">
        <v>38.1</v>
      </c>
      <c r="U4258" s="238">
        <v>1.9</v>
      </c>
      <c r="V4258" s="238">
        <v>0.0</v>
      </c>
      <c r="W4258" s="238">
        <v>0.0</v>
      </c>
      <c r="X4258" s="235" t="s">
        <v>628</v>
      </c>
      <c r="Z4258" s="245"/>
      <c r="AA4258" s="245"/>
      <c r="AB4258" s="245"/>
      <c r="AC4258" s="235" t="s">
        <v>31682</v>
      </c>
      <c r="AD4258" s="235" t="s">
        <v>833</v>
      </c>
      <c r="AE4258" s="238">
        <v>518222.0</v>
      </c>
      <c r="AF4258" s="235" t="s">
        <v>631</v>
      </c>
      <c r="AG4258" s="245"/>
      <c r="AH4258" s="245"/>
      <c r="AI4258" s="245"/>
      <c r="AJ4258" s="245"/>
      <c r="AK4258" s="245"/>
      <c r="AL4258" s="245"/>
      <c r="AM4258" s="245"/>
      <c r="AN4258" s="245"/>
      <c r="AO4258" s="238">
        <v>0.0</v>
      </c>
      <c r="AP4258" s="238">
        <v>-38.1</v>
      </c>
      <c r="AQ4258" s="235" t="s">
        <v>632</v>
      </c>
      <c r="AR4258" s="243">
        <v>3.71E11</v>
      </c>
      <c r="AS4258" s="235" t="s">
        <v>26892</v>
      </c>
      <c r="AT4258" s="235" t="s">
        <v>9</v>
      </c>
      <c r="AU4258" s="235" t="s">
        <v>634</v>
      </c>
      <c r="AV4258" s="246" t="s">
        <v>635</v>
      </c>
      <c r="AW4258" s="227"/>
      <c r="AX4258" s="227"/>
      <c r="AY4258" s="227"/>
      <c r="AZ4258" s="227"/>
      <c r="BA4258" s="227"/>
      <c r="BB4258" s="227"/>
      <c r="BC4258" s="227"/>
      <c r="BD4258" s="227"/>
      <c r="BE4258" s="227"/>
      <c r="BF4258" s="227"/>
    </row>
    <row r="4259">
      <c r="A4259" s="235" t="s">
        <v>31683</v>
      </c>
      <c r="C4259" s="235" t="s">
        <v>31684</v>
      </c>
      <c r="D4259" s="235" t="s">
        <v>31685</v>
      </c>
      <c r="E4259" s="243">
        <v>6.5E13</v>
      </c>
      <c r="F4259" s="245"/>
      <c r="G4259" s="235" t="s">
        <v>31686</v>
      </c>
      <c r="H4259" s="235" t="s">
        <v>31687</v>
      </c>
      <c r="I4259" s="235" t="s">
        <v>31688</v>
      </c>
      <c r="J4259" s="235" t="s">
        <v>31689</v>
      </c>
      <c r="K4259" s="235" t="s">
        <v>31690</v>
      </c>
      <c r="N4259" s="235" t="s">
        <v>130</v>
      </c>
      <c r="O4259" s="235" t="s">
        <v>707</v>
      </c>
      <c r="P4259" s="238">
        <v>1.0</v>
      </c>
      <c r="Q4259" s="235" t="s">
        <v>627</v>
      </c>
      <c r="R4259" s="238">
        <v>243.8</v>
      </c>
      <c r="S4259" s="238">
        <v>11.96</v>
      </c>
      <c r="T4259" s="238">
        <v>0.0</v>
      </c>
      <c r="U4259" s="238">
        <v>0.0</v>
      </c>
      <c r="V4259" s="238">
        <v>0.0</v>
      </c>
      <c r="W4259" s="238">
        <v>0.0</v>
      </c>
      <c r="X4259" s="235" t="s">
        <v>628</v>
      </c>
      <c r="Z4259" s="245"/>
      <c r="AA4259" s="245"/>
      <c r="AB4259" s="245"/>
      <c r="AC4259" s="235" t="s">
        <v>1604</v>
      </c>
      <c r="AD4259" s="235" t="s">
        <v>845</v>
      </c>
      <c r="AE4259" s="238">
        <v>400059.0</v>
      </c>
      <c r="AF4259" s="235" t="s">
        <v>631</v>
      </c>
      <c r="AG4259" s="245"/>
      <c r="AH4259" s="245"/>
      <c r="AI4259" s="245"/>
      <c r="AJ4259" s="245"/>
      <c r="AK4259" s="245"/>
      <c r="AL4259" s="245"/>
      <c r="AM4259" s="245"/>
      <c r="AN4259" s="245"/>
      <c r="AO4259" s="238">
        <v>-4.88</v>
      </c>
      <c r="AP4259" s="238">
        <v>0.0</v>
      </c>
      <c r="AQ4259" s="235" t="s">
        <v>632</v>
      </c>
      <c r="AR4259" s="243">
        <v>3.71E11</v>
      </c>
      <c r="AS4259" s="235" t="s">
        <v>29883</v>
      </c>
      <c r="AT4259" s="235" t="s">
        <v>17</v>
      </c>
      <c r="AU4259" s="235" t="s">
        <v>634</v>
      </c>
      <c r="AV4259" s="246" t="s">
        <v>635</v>
      </c>
      <c r="AW4259" s="227"/>
      <c r="AX4259" s="227"/>
      <c r="AY4259" s="227"/>
      <c r="AZ4259" s="227"/>
      <c r="BA4259" s="227"/>
      <c r="BB4259" s="227"/>
      <c r="BC4259" s="227"/>
      <c r="BD4259" s="227"/>
      <c r="BE4259" s="227"/>
      <c r="BF4259" s="227"/>
    </row>
    <row r="4260">
      <c r="A4260" s="235" t="s">
        <v>31691</v>
      </c>
      <c r="C4260" s="235" t="s">
        <v>31692</v>
      </c>
      <c r="D4260" s="235" t="s">
        <v>31693</v>
      </c>
      <c r="E4260" s="243">
        <v>6.51E13</v>
      </c>
      <c r="F4260" s="245"/>
      <c r="G4260" s="235" t="s">
        <v>31694</v>
      </c>
      <c r="H4260" s="235" t="s">
        <v>31695</v>
      </c>
      <c r="I4260" s="235" t="s">
        <v>31695</v>
      </c>
      <c r="J4260" s="235" t="s">
        <v>31696</v>
      </c>
      <c r="K4260" s="235" t="s">
        <v>31697</v>
      </c>
      <c r="N4260" s="235" t="s">
        <v>138</v>
      </c>
      <c r="O4260" s="235" t="s">
        <v>675</v>
      </c>
      <c r="P4260" s="238">
        <v>1.0</v>
      </c>
      <c r="Q4260" s="235" t="s">
        <v>627</v>
      </c>
      <c r="R4260" s="238">
        <v>270.48</v>
      </c>
      <c r="S4260" s="238">
        <v>13.52</v>
      </c>
      <c r="T4260" s="238">
        <v>0.0</v>
      </c>
      <c r="U4260" s="238">
        <v>0.0</v>
      </c>
      <c r="V4260" s="238">
        <v>0.0</v>
      </c>
      <c r="W4260" s="238">
        <v>0.0</v>
      </c>
      <c r="X4260" s="235" t="s">
        <v>628</v>
      </c>
      <c r="Z4260" s="245"/>
      <c r="AA4260" s="245"/>
      <c r="AB4260" s="245"/>
      <c r="AC4260" s="235" t="s">
        <v>3351</v>
      </c>
      <c r="AD4260" s="235" t="s">
        <v>1499</v>
      </c>
      <c r="AE4260" s="238">
        <v>462041.0</v>
      </c>
      <c r="AF4260" s="235" t="s">
        <v>631</v>
      </c>
      <c r="AG4260" s="245"/>
      <c r="AH4260" s="245"/>
      <c r="AI4260" s="245"/>
      <c r="AJ4260" s="245"/>
      <c r="AK4260" s="245"/>
      <c r="AL4260" s="245"/>
      <c r="AM4260" s="245"/>
      <c r="AN4260" s="245"/>
      <c r="AO4260" s="238">
        <v>0.0</v>
      </c>
      <c r="AP4260" s="238">
        <v>0.0</v>
      </c>
      <c r="AQ4260" s="235" t="s">
        <v>632</v>
      </c>
      <c r="AR4260" s="243">
        <v>1.68E11</v>
      </c>
      <c r="AS4260" s="235" t="s">
        <v>29883</v>
      </c>
      <c r="AT4260" s="235" t="s">
        <v>546</v>
      </c>
      <c r="AU4260" s="235" t="s">
        <v>634</v>
      </c>
      <c r="AV4260" s="246" t="s">
        <v>635</v>
      </c>
      <c r="AW4260" s="227"/>
      <c r="AX4260" s="227"/>
      <c r="AY4260" s="227"/>
      <c r="AZ4260" s="227"/>
      <c r="BA4260" s="227"/>
      <c r="BB4260" s="227"/>
      <c r="BC4260" s="227"/>
      <c r="BD4260" s="227"/>
      <c r="BE4260" s="227"/>
      <c r="BF4260" s="227"/>
    </row>
    <row r="4261">
      <c r="A4261" s="235" t="s">
        <v>31698</v>
      </c>
      <c r="C4261" s="235" t="s">
        <v>31699</v>
      </c>
      <c r="D4261" s="235" t="s">
        <v>31700</v>
      </c>
      <c r="E4261" s="243">
        <v>6.51E13</v>
      </c>
      <c r="F4261" s="245"/>
      <c r="G4261" s="235" t="s">
        <v>31701</v>
      </c>
      <c r="H4261" s="235" t="s">
        <v>31702</v>
      </c>
      <c r="I4261" s="235" t="s">
        <v>31702</v>
      </c>
      <c r="J4261" s="235" t="s">
        <v>31703</v>
      </c>
      <c r="K4261" s="235" t="s">
        <v>31704</v>
      </c>
      <c r="N4261" s="235" t="s">
        <v>82</v>
      </c>
      <c r="O4261" s="235" t="s">
        <v>889</v>
      </c>
      <c r="P4261" s="238">
        <v>1.0</v>
      </c>
      <c r="Q4261" s="235" t="s">
        <v>627</v>
      </c>
      <c r="R4261" s="238">
        <v>243.81</v>
      </c>
      <c r="S4261" s="238">
        <v>12.19</v>
      </c>
      <c r="T4261" s="238">
        <v>0.0</v>
      </c>
      <c r="U4261" s="238">
        <v>0.0</v>
      </c>
      <c r="V4261" s="238">
        <v>0.0</v>
      </c>
      <c r="W4261" s="238">
        <v>0.0</v>
      </c>
      <c r="X4261" s="235" t="s">
        <v>628</v>
      </c>
      <c r="Z4261" s="245"/>
      <c r="AA4261" s="245"/>
      <c r="AB4261" s="245"/>
      <c r="AC4261" s="235" t="s">
        <v>8003</v>
      </c>
      <c r="AD4261" s="235" t="s">
        <v>630</v>
      </c>
      <c r="AE4261" s="238">
        <v>202001.0</v>
      </c>
      <c r="AF4261" s="235" t="s">
        <v>631</v>
      </c>
      <c r="AG4261" s="245"/>
      <c r="AH4261" s="245"/>
      <c r="AI4261" s="245"/>
      <c r="AJ4261" s="245"/>
      <c r="AK4261" s="245"/>
      <c r="AL4261" s="245"/>
      <c r="AM4261" s="245"/>
      <c r="AN4261" s="245"/>
      <c r="AO4261" s="238">
        <v>0.0</v>
      </c>
      <c r="AP4261" s="238">
        <v>0.0</v>
      </c>
      <c r="AQ4261" s="235" t="s">
        <v>632</v>
      </c>
      <c r="AR4261" s="243">
        <v>3.71E11</v>
      </c>
      <c r="AS4261" s="235" t="s">
        <v>29883</v>
      </c>
      <c r="AT4261" s="235" t="s">
        <v>14</v>
      </c>
      <c r="AU4261" s="235" t="s">
        <v>634</v>
      </c>
      <c r="AV4261" s="246" t="s">
        <v>635</v>
      </c>
      <c r="AW4261" s="227"/>
      <c r="AX4261" s="227"/>
      <c r="AY4261" s="227"/>
      <c r="AZ4261" s="227"/>
      <c r="BA4261" s="227"/>
      <c r="BB4261" s="227"/>
      <c r="BC4261" s="227"/>
      <c r="BD4261" s="227"/>
      <c r="BE4261" s="227"/>
      <c r="BF4261" s="227"/>
    </row>
    <row r="4262">
      <c r="A4262" s="235" t="s">
        <v>31705</v>
      </c>
      <c r="C4262" s="235" t="s">
        <v>31706</v>
      </c>
      <c r="D4262" s="235" t="s">
        <v>31707</v>
      </c>
      <c r="E4262" s="243">
        <v>6.51E13</v>
      </c>
      <c r="F4262" s="245"/>
      <c r="G4262" s="235" t="s">
        <v>31708</v>
      </c>
      <c r="H4262" s="235" t="s">
        <v>31702</v>
      </c>
      <c r="I4262" s="235" t="s">
        <v>31702</v>
      </c>
      <c r="J4262" s="235" t="s">
        <v>31709</v>
      </c>
      <c r="K4262" s="235" t="s">
        <v>31710</v>
      </c>
      <c r="N4262" s="235" t="s">
        <v>12</v>
      </c>
      <c r="O4262" s="235" t="s">
        <v>804</v>
      </c>
      <c r="P4262" s="238">
        <v>1.0</v>
      </c>
      <c r="Q4262" s="235" t="s">
        <v>627</v>
      </c>
      <c r="R4262" s="238">
        <v>265.71</v>
      </c>
      <c r="S4262" s="238">
        <v>13.29</v>
      </c>
      <c r="T4262" s="238">
        <v>38.1</v>
      </c>
      <c r="U4262" s="238">
        <v>1.9</v>
      </c>
      <c r="V4262" s="238">
        <v>0.0</v>
      </c>
      <c r="W4262" s="238">
        <v>0.0</v>
      </c>
      <c r="X4262" s="235" t="s">
        <v>628</v>
      </c>
      <c r="Z4262" s="245"/>
      <c r="AA4262" s="245"/>
      <c r="AB4262" s="245"/>
      <c r="AC4262" s="235" t="s">
        <v>1531</v>
      </c>
      <c r="AD4262" s="235" t="s">
        <v>1151</v>
      </c>
      <c r="AE4262" s="238">
        <v>700028.0</v>
      </c>
      <c r="AF4262" s="235" t="s">
        <v>631</v>
      </c>
      <c r="AG4262" s="245"/>
      <c r="AH4262" s="245"/>
      <c r="AI4262" s="245"/>
      <c r="AJ4262" s="245"/>
      <c r="AK4262" s="245"/>
      <c r="AL4262" s="245"/>
      <c r="AM4262" s="245"/>
      <c r="AN4262" s="245"/>
      <c r="AO4262" s="238">
        <v>0.0</v>
      </c>
      <c r="AP4262" s="238">
        <v>-38.1</v>
      </c>
      <c r="AQ4262" s="235" t="s">
        <v>632</v>
      </c>
      <c r="AR4262" s="243">
        <v>3.71E11</v>
      </c>
      <c r="AS4262" s="235" t="s">
        <v>25098</v>
      </c>
      <c r="AT4262" s="235" t="s">
        <v>13</v>
      </c>
      <c r="AU4262" s="235" t="s">
        <v>634</v>
      </c>
      <c r="AV4262" s="246" t="s">
        <v>635</v>
      </c>
      <c r="AW4262" s="227"/>
      <c r="AX4262" s="227"/>
      <c r="AY4262" s="227"/>
      <c r="AZ4262" s="227"/>
      <c r="BA4262" s="227"/>
      <c r="BB4262" s="227"/>
      <c r="BC4262" s="227"/>
      <c r="BD4262" s="227"/>
      <c r="BE4262" s="227"/>
      <c r="BF4262" s="227"/>
    </row>
    <row r="4263">
      <c r="A4263" s="235" t="s">
        <v>31711</v>
      </c>
      <c r="C4263" s="235" t="s">
        <v>31712</v>
      </c>
      <c r="D4263" s="235" t="s">
        <v>31713</v>
      </c>
      <c r="E4263" s="243">
        <v>6.51E13</v>
      </c>
      <c r="F4263" s="245"/>
      <c r="G4263" s="235" t="s">
        <v>31714</v>
      </c>
      <c r="H4263" s="235" t="s">
        <v>31715</v>
      </c>
      <c r="I4263" s="235" t="s">
        <v>31715</v>
      </c>
      <c r="J4263" s="235" t="s">
        <v>31574</v>
      </c>
      <c r="K4263" s="235" t="s">
        <v>31716</v>
      </c>
      <c r="N4263" s="235" t="s">
        <v>842</v>
      </c>
      <c r="O4263" s="235" t="s">
        <v>843</v>
      </c>
      <c r="P4263" s="238">
        <v>1.0</v>
      </c>
      <c r="Q4263" s="235" t="s">
        <v>627</v>
      </c>
      <c r="R4263" s="238">
        <v>246.66</v>
      </c>
      <c r="S4263" s="238">
        <v>12.34</v>
      </c>
      <c r="T4263" s="238">
        <v>38.1</v>
      </c>
      <c r="U4263" s="238">
        <v>1.9</v>
      </c>
      <c r="V4263" s="238">
        <v>0.0</v>
      </c>
      <c r="W4263" s="238">
        <v>0.0</v>
      </c>
      <c r="X4263" s="235" t="s">
        <v>628</v>
      </c>
      <c r="Z4263" s="245"/>
      <c r="AA4263" s="245"/>
      <c r="AB4263" s="245"/>
      <c r="AC4263" s="235" t="s">
        <v>1058</v>
      </c>
      <c r="AD4263" s="235" t="s">
        <v>845</v>
      </c>
      <c r="AE4263" s="238">
        <v>400009.0</v>
      </c>
      <c r="AF4263" s="235" t="s">
        <v>631</v>
      </c>
      <c r="AG4263" s="245"/>
      <c r="AH4263" s="245"/>
      <c r="AI4263" s="245"/>
      <c r="AJ4263" s="245"/>
      <c r="AK4263" s="245"/>
      <c r="AL4263" s="245"/>
      <c r="AM4263" s="245"/>
      <c r="AN4263" s="245"/>
      <c r="AO4263" s="238">
        <v>0.0</v>
      </c>
      <c r="AP4263" s="238">
        <v>-38.1</v>
      </c>
      <c r="AQ4263" s="235" t="s">
        <v>632</v>
      </c>
      <c r="AR4263" s="243">
        <v>3.71E11</v>
      </c>
      <c r="AS4263" s="235" t="s">
        <v>29883</v>
      </c>
      <c r="AT4263" s="235" t="s">
        <v>16</v>
      </c>
      <c r="AU4263" s="235" t="s">
        <v>634</v>
      </c>
      <c r="AV4263" s="246" t="s">
        <v>635</v>
      </c>
      <c r="AW4263" s="227"/>
      <c r="AX4263" s="227"/>
      <c r="AY4263" s="227"/>
      <c r="AZ4263" s="227"/>
      <c r="BA4263" s="227"/>
      <c r="BB4263" s="227"/>
      <c r="BC4263" s="227"/>
      <c r="BD4263" s="227"/>
      <c r="BE4263" s="227"/>
      <c r="BF4263" s="227"/>
    </row>
    <row r="4264">
      <c r="A4264" s="235" t="s">
        <v>31717</v>
      </c>
      <c r="C4264" s="235" t="s">
        <v>31718</v>
      </c>
      <c r="D4264" s="235" t="s">
        <v>31719</v>
      </c>
      <c r="E4264" s="243">
        <v>6.51E13</v>
      </c>
      <c r="F4264" s="245"/>
      <c r="G4264" s="235" t="s">
        <v>31720</v>
      </c>
      <c r="H4264" s="235" t="s">
        <v>31721</v>
      </c>
      <c r="I4264" s="235" t="s">
        <v>31721</v>
      </c>
      <c r="J4264" s="235" t="s">
        <v>31722</v>
      </c>
      <c r="K4264" s="235" t="s">
        <v>31723</v>
      </c>
      <c r="N4264" s="235" t="s">
        <v>136</v>
      </c>
      <c r="O4264" s="235" t="s">
        <v>256</v>
      </c>
      <c r="P4264" s="238">
        <v>1.0</v>
      </c>
      <c r="Q4264" s="235" t="s">
        <v>627</v>
      </c>
      <c r="R4264" s="238">
        <v>242.86</v>
      </c>
      <c r="S4264" s="238">
        <v>12.14</v>
      </c>
      <c r="T4264" s="238">
        <v>38.1</v>
      </c>
      <c r="U4264" s="238">
        <v>1.9</v>
      </c>
      <c r="V4264" s="238">
        <v>0.0</v>
      </c>
      <c r="W4264" s="238">
        <v>0.0</v>
      </c>
      <c r="X4264" s="235" t="s">
        <v>628</v>
      </c>
      <c r="Z4264" s="245"/>
      <c r="AA4264" s="245"/>
      <c r="AB4264" s="245"/>
      <c r="AC4264" s="235" t="s">
        <v>1279</v>
      </c>
      <c r="AD4264" s="235" t="s">
        <v>917</v>
      </c>
      <c r="AE4264" s="238">
        <v>302020.0</v>
      </c>
      <c r="AF4264" s="235" t="s">
        <v>631</v>
      </c>
      <c r="AG4264" s="245"/>
      <c r="AH4264" s="245"/>
      <c r="AI4264" s="245"/>
      <c r="AJ4264" s="245"/>
      <c r="AK4264" s="245"/>
      <c r="AL4264" s="245"/>
      <c r="AM4264" s="245"/>
      <c r="AN4264" s="245"/>
      <c r="AO4264" s="238">
        <v>0.0</v>
      </c>
      <c r="AP4264" s="238">
        <v>-38.1</v>
      </c>
      <c r="AQ4264" s="235" t="s">
        <v>1356</v>
      </c>
      <c r="AR4264" s="235" t="s">
        <v>31724</v>
      </c>
      <c r="AS4264" s="235" t="s">
        <v>23542</v>
      </c>
      <c r="AT4264" s="235" t="s">
        <v>14</v>
      </c>
      <c r="AU4264" s="235" t="s">
        <v>634</v>
      </c>
      <c r="AV4264" s="246" t="s">
        <v>635</v>
      </c>
      <c r="AW4264" s="227"/>
      <c r="AX4264" s="227"/>
      <c r="AY4264" s="227"/>
      <c r="AZ4264" s="227"/>
      <c r="BA4264" s="227"/>
      <c r="BB4264" s="227"/>
      <c r="BC4264" s="227"/>
      <c r="BD4264" s="227"/>
      <c r="BE4264" s="227"/>
      <c r="BF4264" s="227"/>
    </row>
    <row r="4265">
      <c r="A4265" s="235" t="s">
        <v>31725</v>
      </c>
      <c r="C4265" s="235" t="s">
        <v>31726</v>
      </c>
      <c r="D4265" s="235" t="s">
        <v>31727</v>
      </c>
      <c r="E4265" s="243">
        <v>6.51E13</v>
      </c>
      <c r="F4265" s="245"/>
      <c r="G4265" s="235" t="s">
        <v>31728</v>
      </c>
      <c r="H4265" s="235" t="s">
        <v>31729</v>
      </c>
      <c r="I4265" s="235" t="s">
        <v>31729</v>
      </c>
      <c r="J4265" s="235" t="s">
        <v>31730</v>
      </c>
      <c r="K4265" s="235" t="s">
        <v>31731</v>
      </c>
      <c r="N4265" s="235" t="s">
        <v>717</v>
      </c>
      <c r="O4265" s="235" t="s">
        <v>718</v>
      </c>
      <c r="P4265" s="238">
        <v>1.0</v>
      </c>
      <c r="Q4265" s="235" t="s">
        <v>627</v>
      </c>
      <c r="R4265" s="238">
        <v>456.2</v>
      </c>
      <c r="S4265" s="238">
        <v>22.12</v>
      </c>
      <c r="T4265" s="238">
        <v>38.1</v>
      </c>
      <c r="U4265" s="238">
        <v>1.9</v>
      </c>
      <c r="V4265" s="238">
        <v>0.0</v>
      </c>
      <c r="W4265" s="238">
        <v>0.0</v>
      </c>
      <c r="X4265" s="235" t="s">
        <v>628</v>
      </c>
      <c r="Z4265" s="245"/>
      <c r="AA4265" s="245"/>
      <c r="AB4265" s="245"/>
      <c r="AC4265" s="235" t="s">
        <v>687</v>
      </c>
      <c r="AD4265" s="235" t="s">
        <v>666</v>
      </c>
      <c r="AE4265" s="238">
        <v>600095.0</v>
      </c>
      <c r="AF4265" s="235" t="s">
        <v>631</v>
      </c>
      <c r="AG4265" s="245"/>
      <c r="AH4265" s="245"/>
      <c r="AI4265" s="245"/>
      <c r="AJ4265" s="245"/>
      <c r="AK4265" s="245"/>
      <c r="AL4265" s="245"/>
      <c r="AM4265" s="245"/>
      <c r="AN4265" s="245"/>
      <c r="AO4265" s="238">
        <v>-13.69</v>
      </c>
      <c r="AP4265" s="238">
        <v>-38.1</v>
      </c>
      <c r="AQ4265" s="235" t="s">
        <v>632</v>
      </c>
      <c r="AR4265" s="243">
        <v>3.71E11</v>
      </c>
      <c r="AS4265" s="235" t="s">
        <v>31232</v>
      </c>
      <c r="AT4265" s="235" t="s">
        <v>156</v>
      </c>
      <c r="AU4265" s="235" t="s">
        <v>634</v>
      </c>
      <c r="AV4265" s="246" t="s">
        <v>635</v>
      </c>
      <c r="AW4265" s="227"/>
      <c r="AX4265" s="227"/>
      <c r="AY4265" s="227"/>
      <c r="AZ4265" s="227"/>
      <c r="BA4265" s="227"/>
      <c r="BB4265" s="227"/>
      <c r="BC4265" s="227"/>
      <c r="BD4265" s="227"/>
      <c r="BE4265" s="227"/>
      <c r="BF4265" s="227"/>
    </row>
    <row r="4266">
      <c r="A4266" s="235" t="s">
        <v>31725</v>
      </c>
      <c r="C4266" s="235" t="s">
        <v>31726</v>
      </c>
      <c r="D4266" s="235" t="s">
        <v>31732</v>
      </c>
      <c r="E4266" s="243">
        <v>6.51E13</v>
      </c>
      <c r="F4266" s="245"/>
      <c r="G4266" s="235" t="s">
        <v>31728</v>
      </c>
      <c r="H4266" s="235" t="s">
        <v>31729</v>
      </c>
      <c r="I4266" s="235" t="s">
        <v>31729</v>
      </c>
      <c r="J4266" s="235" t="s">
        <v>31730</v>
      </c>
      <c r="K4266" s="235" t="s">
        <v>31731</v>
      </c>
      <c r="N4266" s="235" t="s">
        <v>154</v>
      </c>
      <c r="O4266" s="235" t="s">
        <v>766</v>
      </c>
      <c r="P4266" s="238">
        <v>1.0</v>
      </c>
      <c r="Q4266" s="235" t="s">
        <v>627</v>
      </c>
      <c r="R4266" s="238">
        <v>465.72</v>
      </c>
      <c r="S4266" s="238">
        <v>22.58</v>
      </c>
      <c r="T4266" s="238">
        <v>38.1</v>
      </c>
      <c r="U4266" s="238">
        <v>1.9</v>
      </c>
      <c r="V4266" s="238">
        <v>0.0</v>
      </c>
      <c r="W4266" s="238">
        <v>0.0</v>
      </c>
      <c r="X4266" s="235" t="s">
        <v>628</v>
      </c>
      <c r="Z4266" s="245"/>
      <c r="AA4266" s="245"/>
      <c r="AB4266" s="245"/>
      <c r="AC4266" s="235" t="s">
        <v>687</v>
      </c>
      <c r="AD4266" s="235" t="s">
        <v>666</v>
      </c>
      <c r="AE4266" s="238">
        <v>600095.0</v>
      </c>
      <c r="AF4266" s="235" t="s">
        <v>631</v>
      </c>
      <c r="AG4266" s="245"/>
      <c r="AH4266" s="245"/>
      <c r="AI4266" s="245"/>
      <c r="AJ4266" s="245"/>
      <c r="AK4266" s="245"/>
      <c r="AL4266" s="245"/>
      <c r="AM4266" s="245"/>
      <c r="AN4266" s="245"/>
      <c r="AO4266" s="238">
        <v>-13.97</v>
      </c>
      <c r="AP4266" s="238">
        <v>-38.1</v>
      </c>
      <c r="AQ4266" s="235" t="s">
        <v>632</v>
      </c>
      <c r="AR4266" s="243">
        <v>3.71E11</v>
      </c>
      <c r="AS4266" s="235" t="s">
        <v>31232</v>
      </c>
      <c r="AT4266" s="235" t="s">
        <v>156</v>
      </c>
      <c r="AU4266" s="235" t="s">
        <v>634</v>
      </c>
      <c r="AV4266" s="246" t="s">
        <v>635</v>
      </c>
      <c r="AW4266" s="227"/>
      <c r="AX4266" s="227"/>
      <c r="AY4266" s="227"/>
      <c r="AZ4266" s="227"/>
      <c r="BA4266" s="227"/>
      <c r="BB4266" s="227"/>
      <c r="BC4266" s="227"/>
      <c r="BD4266" s="227"/>
      <c r="BE4266" s="227"/>
      <c r="BF4266" s="227"/>
    </row>
    <row r="4267">
      <c r="A4267" s="235" t="s">
        <v>31733</v>
      </c>
      <c r="C4267" s="235" t="s">
        <v>31734</v>
      </c>
      <c r="D4267" s="235" t="s">
        <v>31735</v>
      </c>
      <c r="E4267" s="243">
        <v>6.51E13</v>
      </c>
      <c r="F4267" s="245"/>
      <c r="G4267" s="235" t="s">
        <v>31736</v>
      </c>
      <c r="H4267" s="235" t="s">
        <v>31737</v>
      </c>
      <c r="I4267" s="235" t="s">
        <v>31737</v>
      </c>
      <c r="J4267" s="235" t="s">
        <v>31738</v>
      </c>
      <c r="K4267" s="235" t="s">
        <v>31739</v>
      </c>
      <c r="N4267" s="235" t="s">
        <v>127</v>
      </c>
      <c r="O4267" s="235" t="s">
        <v>794</v>
      </c>
      <c r="P4267" s="238">
        <v>1.0</v>
      </c>
      <c r="Q4267" s="235" t="s">
        <v>627</v>
      </c>
      <c r="R4267" s="238">
        <v>243.8</v>
      </c>
      <c r="S4267" s="238">
        <v>12.2</v>
      </c>
      <c r="T4267" s="238">
        <v>0.0</v>
      </c>
      <c r="U4267" s="238">
        <v>0.0</v>
      </c>
      <c r="V4267" s="238">
        <v>0.0</v>
      </c>
      <c r="W4267" s="238">
        <v>0.0</v>
      </c>
      <c r="X4267" s="235" t="s">
        <v>628</v>
      </c>
      <c r="Z4267" s="245"/>
      <c r="AA4267" s="245"/>
      <c r="AB4267" s="245"/>
      <c r="AC4267" s="235" t="s">
        <v>1255</v>
      </c>
      <c r="AD4267" s="235" t="s">
        <v>845</v>
      </c>
      <c r="AE4267" s="238">
        <v>400610.0</v>
      </c>
      <c r="AF4267" s="235" t="s">
        <v>631</v>
      </c>
      <c r="AG4267" s="245"/>
      <c r="AH4267" s="245"/>
      <c r="AI4267" s="245"/>
      <c r="AJ4267" s="245"/>
      <c r="AK4267" s="245"/>
      <c r="AL4267" s="245"/>
      <c r="AM4267" s="245"/>
      <c r="AN4267" s="245"/>
      <c r="AO4267" s="238">
        <v>0.0</v>
      </c>
      <c r="AP4267" s="238">
        <v>0.0</v>
      </c>
      <c r="AQ4267" s="235" t="s">
        <v>632</v>
      </c>
      <c r="AR4267" s="243">
        <v>3.71E11</v>
      </c>
      <c r="AS4267" s="235" t="s">
        <v>29883</v>
      </c>
      <c r="AT4267" s="235" t="s">
        <v>16</v>
      </c>
      <c r="AU4267" s="235" t="s">
        <v>634</v>
      </c>
      <c r="AV4267" s="246" t="s">
        <v>635</v>
      </c>
      <c r="AW4267" s="227"/>
      <c r="AX4267" s="227"/>
      <c r="AY4267" s="227"/>
      <c r="AZ4267" s="227"/>
      <c r="BA4267" s="227"/>
      <c r="BB4267" s="227"/>
      <c r="BC4267" s="227"/>
      <c r="BD4267" s="227"/>
      <c r="BE4267" s="227"/>
      <c r="BF4267" s="227"/>
    </row>
    <row r="4268">
      <c r="A4268" s="235" t="s">
        <v>31740</v>
      </c>
      <c r="C4268" s="235" t="s">
        <v>31741</v>
      </c>
      <c r="D4268" s="235" t="s">
        <v>31742</v>
      </c>
      <c r="E4268" s="243">
        <v>6.51E13</v>
      </c>
      <c r="F4268" s="245"/>
      <c r="G4268" s="235" t="s">
        <v>31743</v>
      </c>
      <c r="H4268" s="235" t="s">
        <v>31744</v>
      </c>
      <c r="I4268" s="235" t="s">
        <v>31744</v>
      </c>
      <c r="J4268" s="235" t="s">
        <v>31745</v>
      </c>
      <c r="K4268" s="235" t="s">
        <v>31746</v>
      </c>
      <c r="N4268" s="235" t="s">
        <v>47</v>
      </c>
      <c r="O4268" s="235" t="s">
        <v>270</v>
      </c>
      <c r="P4268" s="238">
        <v>1.0</v>
      </c>
      <c r="Q4268" s="235" t="s">
        <v>627</v>
      </c>
      <c r="R4268" s="238">
        <v>236.19</v>
      </c>
      <c r="S4268" s="238">
        <v>11.57</v>
      </c>
      <c r="T4268" s="238">
        <v>38.1</v>
      </c>
      <c r="U4268" s="238">
        <v>1.9</v>
      </c>
      <c r="V4268" s="238">
        <v>0.0</v>
      </c>
      <c r="W4268" s="238">
        <v>0.0</v>
      </c>
      <c r="X4268" s="235" t="s">
        <v>628</v>
      </c>
      <c r="Z4268" s="245"/>
      <c r="AA4268" s="245"/>
      <c r="AB4268" s="245"/>
      <c r="AC4268" s="235" t="s">
        <v>13799</v>
      </c>
      <c r="AD4268" s="235" t="s">
        <v>833</v>
      </c>
      <c r="AE4268" s="238">
        <v>522616.0</v>
      </c>
      <c r="AF4268" s="235" t="s">
        <v>631</v>
      </c>
      <c r="AG4268" s="245"/>
      <c r="AH4268" s="245"/>
      <c r="AI4268" s="245"/>
      <c r="AJ4268" s="245"/>
      <c r="AK4268" s="245"/>
      <c r="AL4268" s="245"/>
      <c r="AM4268" s="245"/>
      <c r="AN4268" s="245"/>
      <c r="AO4268" s="238">
        <v>-4.72</v>
      </c>
      <c r="AP4268" s="238">
        <v>-38.1</v>
      </c>
      <c r="AQ4268" s="235" t="s">
        <v>632</v>
      </c>
      <c r="AR4268" s="243">
        <v>3.71E11</v>
      </c>
      <c r="AS4268" s="235" t="s">
        <v>25098</v>
      </c>
      <c r="AT4268" s="235" t="s">
        <v>16</v>
      </c>
      <c r="AU4268" s="235" t="s">
        <v>634</v>
      </c>
      <c r="AV4268" s="246" t="s">
        <v>635</v>
      </c>
      <c r="AW4268" s="227"/>
      <c r="AX4268" s="227"/>
      <c r="AY4268" s="227"/>
      <c r="AZ4268" s="227"/>
      <c r="BA4268" s="227"/>
      <c r="BB4268" s="227"/>
      <c r="BC4268" s="227"/>
      <c r="BD4268" s="227"/>
      <c r="BE4268" s="227"/>
      <c r="BF4268" s="227"/>
    </row>
    <row r="4269">
      <c r="A4269" s="235" t="s">
        <v>31747</v>
      </c>
      <c r="C4269" s="235" t="s">
        <v>31748</v>
      </c>
      <c r="D4269" s="235" t="s">
        <v>31749</v>
      </c>
      <c r="E4269" s="243">
        <v>6.51E13</v>
      </c>
      <c r="F4269" s="245"/>
      <c r="G4269" s="235" t="s">
        <v>31750</v>
      </c>
      <c r="H4269" s="235" t="s">
        <v>31751</v>
      </c>
      <c r="I4269" s="235" t="s">
        <v>31751</v>
      </c>
      <c r="J4269" s="235" t="s">
        <v>31752</v>
      </c>
      <c r="K4269" s="235" t="s">
        <v>31753</v>
      </c>
      <c r="N4269" s="235" t="s">
        <v>726</v>
      </c>
      <c r="O4269" s="235" t="s">
        <v>727</v>
      </c>
      <c r="P4269" s="238">
        <v>1.0</v>
      </c>
      <c r="Q4269" s="235" t="s">
        <v>627</v>
      </c>
      <c r="R4269" s="238">
        <v>244.76</v>
      </c>
      <c r="S4269" s="238">
        <v>12.0</v>
      </c>
      <c r="T4269" s="238">
        <v>0.0</v>
      </c>
      <c r="U4269" s="238">
        <v>0.0</v>
      </c>
      <c r="V4269" s="238">
        <v>0.0</v>
      </c>
      <c r="W4269" s="238">
        <v>0.0</v>
      </c>
      <c r="X4269" s="235" t="s">
        <v>628</v>
      </c>
      <c r="Z4269" s="245"/>
      <c r="AA4269" s="245"/>
      <c r="AB4269" s="245"/>
      <c r="AC4269" s="235" t="s">
        <v>3824</v>
      </c>
      <c r="AD4269" s="235" t="s">
        <v>3825</v>
      </c>
      <c r="AE4269" s="238">
        <v>695581.0</v>
      </c>
      <c r="AF4269" s="235" t="s">
        <v>631</v>
      </c>
      <c r="AG4269" s="245"/>
      <c r="AH4269" s="245"/>
      <c r="AI4269" s="245"/>
      <c r="AJ4269" s="245"/>
      <c r="AK4269" s="245"/>
      <c r="AL4269" s="245"/>
      <c r="AM4269" s="245"/>
      <c r="AN4269" s="245"/>
      <c r="AO4269" s="238">
        <v>-4.9</v>
      </c>
      <c r="AP4269" s="238">
        <v>0.0</v>
      </c>
      <c r="AQ4269" s="235" t="s">
        <v>632</v>
      </c>
      <c r="AR4269" s="243">
        <v>1.68E11</v>
      </c>
      <c r="AS4269" s="235" t="s">
        <v>29883</v>
      </c>
      <c r="AT4269" s="235" t="s">
        <v>11</v>
      </c>
      <c r="AU4269" s="235" t="s">
        <v>634</v>
      </c>
      <c r="AV4269" s="246" t="s">
        <v>635</v>
      </c>
      <c r="AW4269" s="227"/>
      <c r="AX4269" s="227"/>
      <c r="AY4269" s="227"/>
      <c r="AZ4269" s="227"/>
      <c r="BA4269" s="227"/>
      <c r="BB4269" s="227"/>
      <c r="BC4269" s="227"/>
      <c r="BD4269" s="227"/>
      <c r="BE4269" s="227"/>
      <c r="BF4269" s="227"/>
    </row>
    <row r="4270">
      <c r="A4270" s="235" t="s">
        <v>31754</v>
      </c>
      <c r="C4270" s="235" t="s">
        <v>31755</v>
      </c>
      <c r="D4270" s="235" t="s">
        <v>31756</v>
      </c>
      <c r="E4270" s="243">
        <v>6.51E13</v>
      </c>
      <c r="F4270" s="245"/>
      <c r="G4270" s="235" t="s">
        <v>31757</v>
      </c>
      <c r="H4270" s="235" t="s">
        <v>31758</v>
      </c>
      <c r="I4270" s="235" t="s">
        <v>31759</v>
      </c>
      <c r="J4270" s="235" t="s">
        <v>31760</v>
      </c>
      <c r="K4270" s="235" t="s">
        <v>31761</v>
      </c>
      <c r="N4270" s="235" t="s">
        <v>42</v>
      </c>
      <c r="O4270" s="235" t="s">
        <v>204</v>
      </c>
      <c r="P4270" s="238">
        <v>1.0</v>
      </c>
      <c r="Q4270" s="235" t="s">
        <v>627</v>
      </c>
      <c r="R4270" s="238">
        <v>237.14</v>
      </c>
      <c r="S4270" s="238">
        <v>11.86</v>
      </c>
      <c r="T4270" s="238">
        <v>38.1</v>
      </c>
      <c r="U4270" s="238">
        <v>1.9</v>
      </c>
      <c r="V4270" s="238">
        <v>0.0</v>
      </c>
      <c r="W4270" s="238">
        <v>0.0</v>
      </c>
      <c r="X4270" s="235" t="s">
        <v>628</v>
      </c>
      <c r="Z4270" s="245"/>
      <c r="AA4270" s="245"/>
      <c r="AB4270" s="245"/>
      <c r="AC4270" s="235" t="s">
        <v>697</v>
      </c>
      <c r="AD4270" s="235" t="s">
        <v>698</v>
      </c>
      <c r="AE4270" s="238">
        <v>500090.0</v>
      </c>
      <c r="AF4270" s="235" t="s">
        <v>631</v>
      </c>
      <c r="AG4270" s="245"/>
      <c r="AH4270" s="245"/>
      <c r="AI4270" s="245"/>
      <c r="AJ4270" s="245"/>
      <c r="AK4270" s="245"/>
      <c r="AL4270" s="245"/>
      <c r="AM4270" s="245"/>
      <c r="AN4270" s="245"/>
      <c r="AO4270" s="238">
        <v>0.0</v>
      </c>
      <c r="AP4270" s="238">
        <v>-38.1</v>
      </c>
      <c r="AQ4270" s="235" t="s">
        <v>632</v>
      </c>
      <c r="AR4270" s="243">
        <v>3.71E11</v>
      </c>
      <c r="AS4270" s="235" t="s">
        <v>28482</v>
      </c>
      <c r="AT4270" s="235" t="s">
        <v>546</v>
      </c>
      <c r="AU4270" s="235" t="s">
        <v>634</v>
      </c>
      <c r="AV4270" s="246" t="s">
        <v>635</v>
      </c>
      <c r="AW4270" s="227"/>
      <c r="AX4270" s="227"/>
      <c r="AY4270" s="227"/>
      <c r="AZ4270" s="227"/>
      <c r="BA4270" s="227"/>
      <c r="BB4270" s="227"/>
      <c r="BC4270" s="227"/>
      <c r="BD4270" s="227"/>
      <c r="BE4270" s="227"/>
      <c r="BF4270" s="227"/>
    </row>
    <row r="4271">
      <c r="A4271" s="235" t="s">
        <v>31762</v>
      </c>
      <c r="C4271" s="235" t="s">
        <v>31763</v>
      </c>
      <c r="D4271" s="235" t="s">
        <v>31764</v>
      </c>
      <c r="E4271" s="243">
        <v>6.5E13</v>
      </c>
      <c r="F4271" s="245"/>
      <c r="G4271" s="235" t="s">
        <v>31765</v>
      </c>
      <c r="H4271" s="235" t="s">
        <v>31766</v>
      </c>
      <c r="I4271" s="235" t="s">
        <v>31766</v>
      </c>
      <c r="J4271" s="235" t="s">
        <v>31767</v>
      </c>
      <c r="K4271" s="235" t="s">
        <v>31768</v>
      </c>
      <c r="N4271" s="235" t="s">
        <v>154</v>
      </c>
      <c r="O4271" s="235" t="s">
        <v>766</v>
      </c>
      <c r="P4271" s="238">
        <v>1.0</v>
      </c>
      <c r="Q4271" s="235" t="s">
        <v>627</v>
      </c>
      <c r="R4271" s="238">
        <v>465.72</v>
      </c>
      <c r="S4271" s="238">
        <v>23.28</v>
      </c>
      <c r="T4271" s="238">
        <v>0.0</v>
      </c>
      <c r="U4271" s="238">
        <v>0.0</v>
      </c>
      <c r="V4271" s="238">
        <v>0.0</v>
      </c>
      <c r="W4271" s="238">
        <v>0.0</v>
      </c>
      <c r="X4271" s="235" t="s">
        <v>628</v>
      </c>
      <c r="Z4271" s="245"/>
      <c r="AA4271" s="245"/>
      <c r="AB4271" s="245"/>
      <c r="AC4271" s="235" t="s">
        <v>6912</v>
      </c>
      <c r="AD4271" s="235" t="s">
        <v>845</v>
      </c>
      <c r="AE4271" s="238">
        <v>400614.0</v>
      </c>
      <c r="AF4271" s="235" t="s">
        <v>631</v>
      </c>
      <c r="AG4271" s="245"/>
      <c r="AH4271" s="245"/>
      <c r="AI4271" s="245"/>
      <c r="AJ4271" s="245"/>
      <c r="AK4271" s="245"/>
      <c r="AL4271" s="245"/>
      <c r="AM4271" s="245"/>
      <c r="AN4271" s="245"/>
      <c r="AO4271" s="238">
        <v>0.0</v>
      </c>
      <c r="AP4271" s="238">
        <v>0.0</v>
      </c>
      <c r="AQ4271" s="235" t="s">
        <v>632</v>
      </c>
      <c r="AR4271" s="243">
        <v>3.71E11</v>
      </c>
      <c r="AS4271" s="235" t="s">
        <v>31232</v>
      </c>
      <c r="AT4271" s="235" t="s">
        <v>16</v>
      </c>
      <c r="AU4271" s="235" t="s">
        <v>634</v>
      </c>
      <c r="AV4271" s="246" t="s">
        <v>635</v>
      </c>
      <c r="AW4271" s="227"/>
      <c r="AX4271" s="227"/>
      <c r="AY4271" s="227"/>
      <c r="AZ4271" s="227"/>
      <c r="BA4271" s="227"/>
      <c r="BB4271" s="227"/>
      <c r="BC4271" s="227"/>
      <c r="BD4271" s="227"/>
      <c r="BE4271" s="227"/>
      <c r="BF4271" s="227"/>
    </row>
    <row r="4272">
      <c r="A4272" s="235" t="s">
        <v>31769</v>
      </c>
      <c r="C4272" s="235" t="s">
        <v>31770</v>
      </c>
      <c r="D4272" s="235" t="s">
        <v>31771</v>
      </c>
      <c r="E4272" s="243">
        <v>6.51E13</v>
      </c>
      <c r="F4272" s="245"/>
      <c r="G4272" s="235" t="s">
        <v>31772</v>
      </c>
      <c r="H4272" s="235" t="s">
        <v>31773</v>
      </c>
      <c r="I4272" s="235" t="s">
        <v>31773</v>
      </c>
      <c r="J4272" s="235" t="s">
        <v>31774</v>
      </c>
      <c r="K4272" s="235" t="s">
        <v>31775</v>
      </c>
      <c r="N4272" s="235" t="s">
        <v>54</v>
      </c>
      <c r="O4272" s="235" t="s">
        <v>294</v>
      </c>
      <c r="P4272" s="238">
        <v>1.0</v>
      </c>
      <c r="Q4272" s="235" t="s">
        <v>627</v>
      </c>
      <c r="R4272" s="238">
        <v>242.86</v>
      </c>
      <c r="S4272" s="238">
        <v>12.14</v>
      </c>
      <c r="T4272" s="238">
        <v>38.1</v>
      </c>
      <c r="U4272" s="238">
        <v>1.9</v>
      </c>
      <c r="V4272" s="238">
        <v>0.0</v>
      </c>
      <c r="W4272" s="238">
        <v>0.0</v>
      </c>
      <c r="X4272" s="235" t="s">
        <v>628</v>
      </c>
      <c r="Z4272" s="245"/>
      <c r="AA4272" s="245"/>
      <c r="AB4272" s="245"/>
      <c r="AC4272" s="235" t="s">
        <v>31776</v>
      </c>
      <c r="AD4272" s="235" t="s">
        <v>19002</v>
      </c>
      <c r="AE4272" s="238">
        <v>500081.0</v>
      </c>
      <c r="AF4272" s="235" t="s">
        <v>631</v>
      </c>
      <c r="AG4272" s="245"/>
      <c r="AH4272" s="245"/>
      <c r="AI4272" s="245"/>
      <c r="AJ4272" s="245"/>
      <c r="AK4272" s="245"/>
      <c r="AL4272" s="245"/>
      <c r="AM4272" s="245"/>
      <c r="AN4272" s="245"/>
      <c r="AO4272" s="238">
        <v>0.0</v>
      </c>
      <c r="AP4272" s="238">
        <v>-38.1</v>
      </c>
      <c r="AQ4272" s="235" t="s">
        <v>632</v>
      </c>
      <c r="AR4272" s="243">
        <v>3.71E11</v>
      </c>
      <c r="AS4272" s="235" t="s">
        <v>28482</v>
      </c>
      <c r="AT4272" s="235" t="s">
        <v>156</v>
      </c>
      <c r="AU4272" s="235" t="s">
        <v>634</v>
      </c>
      <c r="AV4272" s="246" t="s">
        <v>635</v>
      </c>
      <c r="AW4272" s="227"/>
      <c r="AX4272" s="227"/>
      <c r="AY4272" s="227"/>
      <c r="AZ4272" s="227"/>
      <c r="BA4272" s="227"/>
      <c r="BB4272" s="227"/>
      <c r="BC4272" s="227"/>
      <c r="BD4272" s="227"/>
      <c r="BE4272" s="227"/>
      <c r="BF4272" s="227"/>
    </row>
    <row r="4273">
      <c r="A4273" s="235" t="s">
        <v>31777</v>
      </c>
      <c r="C4273" s="235" t="s">
        <v>31778</v>
      </c>
      <c r="D4273" s="235" t="s">
        <v>31779</v>
      </c>
      <c r="E4273" s="243">
        <v>6.51E13</v>
      </c>
      <c r="F4273" s="245"/>
      <c r="G4273" s="235" t="s">
        <v>31780</v>
      </c>
      <c r="H4273" s="235" t="s">
        <v>31781</v>
      </c>
      <c r="I4273" s="235" t="s">
        <v>31781</v>
      </c>
      <c r="J4273" s="235" t="s">
        <v>31782</v>
      </c>
      <c r="K4273" s="235" t="s">
        <v>31783</v>
      </c>
      <c r="N4273" s="235" t="s">
        <v>127</v>
      </c>
      <c r="O4273" s="235" t="s">
        <v>794</v>
      </c>
      <c r="P4273" s="238">
        <v>1.0</v>
      </c>
      <c r="Q4273" s="235" t="s">
        <v>627</v>
      </c>
      <c r="R4273" s="238">
        <v>243.81</v>
      </c>
      <c r="S4273" s="238">
        <v>12.19</v>
      </c>
      <c r="T4273" s="238">
        <v>38.1</v>
      </c>
      <c r="U4273" s="238">
        <v>1.9</v>
      </c>
      <c r="V4273" s="238">
        <v>0.0</v>
      </c>
      <c r="W4273" s="238">
        <v>0.0</v>
      </c>
      <c r="X4273" s="235" t="s">
        <v>628</v>
      </c>
      <c r="Z4273" s="245"/>
      <c r="AA4273" s="245"/>
      <c r="AB4273" s="245"/>
      <c r="AC4273" s="235" t="s">
        <v>795</v>
      </c>
      <c r="AD4273" s="235" t="s">
        <v>796</v>
      </c>
      <c r="AE4273" s="238">
        <v>110052.0</v>
      </c>
      <c r="AF4273" s="235" t="s">
        <v>631</v>
      </c>
      <c r="AG4273" s="245"/>
      <c r="AH4273" s="245"/>
      <c r="AI4273" s="245"/>
      <c r="AJ4273" s="245"/>
      <c r="AK4273" s="245"/>
      <c r="AL4273" s="245"/>
      <c r="AM4273" s="245"/>
      <c r="AN4273" s="245"/>
      <c r="AO4273" s="238">
        <v>0.0</v>
      </c>
      <c r="AP4273" s="238">
        <v>-38.1</v>
      </c>
      <c r="AQ4273" s="235" t="s">
        <v>632</v>
      </c>
      <c r="AR4273" s="243">
        <v>3.71E11</v>
      </c>
      <c r="AS4273" s="235" t="s">
        <v>31232</v>
      </c>
      <c r="AT4273" s="235" t="s">
        <v>13</v>
      </c>
      <c r="AU4273" s="235" t="s">
        <v>634</v>
      </c>
      <c r="AV4273" s="246" t="s">
        <v>635</v>
      </c>
      <c r="AW4273" s="227"/>
      <c r="AX4273" s="227"/>
      <c r="AY4273" s="227"/>
      <c r="AZ4273" s="227"/>
      <c r="BA4273" s="227"/>
      <c r="BB4273" s="227"/>
      <c r="BC4273" s="227"/>
      <c r="BD4273" s="227"/>
      <c r="BE4273" s="227"/>
      <c r="BF4273" s="227"/>
    </row>
    <row r="4274">
      <c r="A4274" s="235" t="s">
        <v>31784</v>
      </c>
      <c r="C4274" s="235" t="s">
        <v>31785</v>
      </c>
      <c r="D4274" s="235" t="s">
        <v>31786</v>
      </c>
      <c r="E4274" s="243">
        <v>6.51E13</v>
      </c>
      <c r="F4274" s="245"/>
      <c r="G4274" s="235" t="s">
        <v>31787</v>
      </c>
      <c r="H4274" s="235" t="s">
        <v>31788</v>
      </c>
      <c r="I4274" s="235" t="s">
        <v>31788</v>
      </c>
      <c r="J4274" s="235" t="s">
        <v>31789</v>
      </c>
      <c r="K4274" s="235" t="s">
        <v>31790</v>
      </c>
      <c r="N4274" s="235" t="s">
        <v>82</v>
      </c>
      <c r="O4274" s="235" t="s">
        <v>889</v>
      </c>
      <c r="P4274" s="238">
        <v>1.0</v>
      </c>
      <c r="Q4274" s="235" t="s">
        <v>627</v>
      </c>
      <c r="R4274" s="238">
        <v>243.81</v>
      </c>
      <c r="S4274" s="238">
        <v>12.19</v>
      </c>
      <c r="T4274" s="238">
        <v>38.1</v>
      </c>
      <c r="U4274" s="238">
        <v>1.9</v>
      </c>
      <c r="V4274" s="238">
        <v>0.0</v>
      </c>
      <c r="W4274" s="238">
        <v>0.0</v>
      </c>
      <c r="X4274" s="235" t="s">
        <v>628</v>
      </c>
      <c r="Z4274" s="245"/>
      <c r="AA4274" s="245"/>
      <c r="AB4274" s="245"/>
      <c r="AC4274" s="235" t="s">
        <v>8997</v>
      </c>
      <c r="AD4274" s="235" t="s">
        <v>1086</v>
      </c>
      <c r="AE4274" s="238">
        <v>160055.0</v>
      </c>
      <c r="AF4274" s="235" t="s">
        <v>631</v>
      </c>
      <c r="AG4274" s="245"/>
      <c r="AH4274" s="245"/>
      <c r="AI4274" s="245"/>
      <c r="AJ4274" s="245"/>
      <c r="AK4274" s="245"/>
      <c r="AL4274" s="245"/>
      <c r="AM4274" s="245"/>
      <c r="AN4274" s="245"/>
      <c r="AO4274" s="238">
        <v>0.0</v>
      </c>
      <c r="AP4274" s="238">
        <v>0.0</v>
      </c>
      <c r="AQ4274" s="235" t="s">
        <v>632</v>
      </c>
      <c r="AR4274" s="243">
        <v>3.71E11</v>
      </c>
      <c r="AS4274" s="235" t="s">
        <v>28482</v>
      </c>
      <c r="AT4274" s="235" t="s">
        <v>14</v>
      </c>
      <c r="AU4274" s="235" t="s">
        <v>634</v>
      </c>
      <c r="AV4274" s="246" t="s">
        <v>635</v>
      </c>
      <c r="AW4274" s="227"/>
      <c r="AX4274" s="227"/>
      <c r="AY4274" s="227"/>
      <c r="AZ4274" s="227"/>
      <c r="BA4274" s="227"/>
      <c r="BB4274" s="227"/>
      <c r="BC4274" s="227"/>
      <c r="BD4274" s="227"/>
      <c r="BE4274" s="227"/>
      <c r="BF4274" s="227"/>
    </row>
    <row r="4275">
      <c r="A4275" s="235" t="s">
        <v>31791</v>
      </c>
      <c r="C4275" s="235" t="s">
        <v>31792</v>
      </c>
      <c r="D4275" s="235" t="s">
        <v>31793</v>
      </c>
      <c r="E4275" s="243">
        <v>6.51E13</v>
      </c>
      <c r="F4275" s="245"/>
      <c r="G4275" s="235" t="s">
        <v>31794</v>
      </c>
      <c r="H4275" s="235" t="s">
        <v>31795</v>
      </c>
      <c r="I4275" s="235" t="s">
        <v>31795</v>
      </c>
      <c r="J4275" s="235" t="s">
        <v>31796</v>
      </c>
      <c r="K4275" s="235" t="s">
        <v>31797</v>
      </c>
      <c r="N4275" s="235" t="s">
        <v>99</v>
      </c>
      <c r="O4275" s="235" t="s">
        <v>470</v>
      </c>
      <c r="P4275" s="238">
        <v>1.0</v>
      </c>
      <c r="Q4275" s="235" t="s">
        <v>627</v>
      </c>
      <c r="R4275" s="238">
        <v>270.48</v>
      </c>
      <c r="S4275" s="238">
        <v>13.52</v>
      </c>
      <c r="T4275" s="238">
        <v>94.28</v>
      </c>
      <c r="U4275" s="238">
        <v>4.72</v>
      </c>
      <c r="V4275" s="238">
        <v>0.0</v>
      </c>
      <c r="W4275" s="238">
        <v>0.0</v>
      </c>
      <c r="X4275" s="235" t="s">
        <v>628</v>
      </c>
      <c r="Z4275" s="245"/>
      <c r="AA4275" s="245"/>
      <c r="AB4275" s="245"/>
      <c r="AC4275" s="235" t="s">
        <v>2341</v>
      </c>
      <c r="AD4275" s="235" t="s">
        <v>26429</v>
      </c>
      <c r="AE4275" s="238">
        <v>122002.0</v>
      </c>
      <c r="AF4275" s="235" t="s">
        <v>631</v>
      </c>
      <c r="AG4275" s="245"/>
      <c r="AH4275" s="245"/>
      <c r="AI4275" s="245"/>
      <c r="AJ4275" s="245"/>
      <c r="AK4275" s="245"/>
      <c r="AL4275" s="245"/>
      <c r="AM4275" s="245"/>
      <c r="AN4275" s="245"/>
      <c r="AO4275" s="238">
        <v>0.0</v>
      </c>
      <c r="AP4275" s="238">
        <v>0.0</v>
      </c>
      <c r="AQ4275" s="235" t="s">
        <v>632</v>
      </c>
      <c r="AR4275" s="243">
        <v>1.68E11</v>
      </c>
      <c r="AS4275" s="235" t="s">
        <v>31798</v>
      </c>
      <c r="AT4275" s="235" t="s">
        <v>14</v>
      </c>
      <c r="AU4275" s="235" t="s">
        <v>634</v>
      </c>
      <c r="AV4275" s="246" t="s">
        <v>635</v>
      </c>
      <c r="AW4275" s="227"/>
      <c r="AX4275" s="227"/>
      <c r="AY4275" s="227"/>
      <c r="AZ4275" s="227"/>
      <c r="BA4275" s="227"/>
      <c r="BB4275" s="227"/>
      <c r="BC4275" s="227"/>
      <c r="BD4275" s="227"/>
      <c r="BE4275" s="227"/>
      <c r="BF4275" s="227"/>
    </row>
    <row r="4276">
      <c r="A4276" s="235" t="s">
        <v>31799</v>
      </c>
      <c r="C4276" s="235" t="s">
        <v>31800</v>
      </c>
      <c r="D4276" s="235" t="s">
        <v>31801</v>
      </c>
      <c r="E4276" s="243">
        <v>6.51E13</v>
      </c>
      <c r="F4276" s="245"/>
      <c r="G4276" s="235" t="s">
        <v>31802</v>
      </c>
      <c r="H4276" s="235" t="s">
        <v>31803</v>
      </c>
      <c r="I4276" s="235" t="s">
        <v>31804</v>
      </c>
      <c r="J4276" s="235" t="s">
        <v>31805</v>
      </c>
      <c r="K4276" s="235" t="s">
        <v>31806</v>
      </c>
      <c r="N4276" s="235" t="s">
        <v>154</v>
      </c>
      <c r="O4276" s="235" t="s">
        <v>766</v>
      </c>
      <c r="P4276" s="238">
        <v>1.0</v>
      </c>
      <c r="Q4276" s="235" t="s">
        <v>627</v>
      </c>
      <c r="R4276" s="238">
        <v>465.72</v>
      </c>
      <c r="S4276" s="238">
        <v>22.82</v>
      </c>
      <c r="T4276" s="238">
        <v>0.0</v>
      </c>
      <c r="U4276" s="238">
        <v>0.0</v>
      </c>
      <c r="V4276" s="238">
        <v>0.0</v>
      </c>
      <c r="W4276" s="238">
        <v>0.0</v>
      </c>
      <c r="X4276" s="235" t="s">
        <v>628</v>
      </c>
      <c r="Z4276" s="245"/>
      <c r="AA4276" s="245"/>
      <c r="AB4276" s="245"/>
      <c r="AC4276" s="235" t="s">
        <v>1887</v>
      </c>
      <c r="AD4276" s="235" t="s">
        <v>679</v>
      </c>
      <c r="AE4276" s="238">
        <v>560087.0</v>
      </c>
      <c r="AF4276" s="235" t="s">
        <v>631</v>
      </c>
      <c r="AG4276" s="245"/>
      <c r="AH4276" s="245"/>
      <c r="AI4276" s="245"/>
      <c r="AJ4276" s="245"/>
      <c r="AK4276" s="245"/>
      <c r="AL4276" s="245"/>
      <c r="AM4276" s="245"/>
      <c r="AN4276" s="245"/>
      <c r="AO4276" s="238">
        <v>-9.32</v>
      </c>
      <c r="AP4276" s="238">
        <v>0.0</v>
      </c>
      <c r="AQ4276" s="235" t="s">
        <v>632</v>
      </c>
      <c r="AR4276" s="243">
        <v>1.68E11</v>
      </c>
      <c r="AS4276" s="235" t="s">
        <v>31798</v>
      </c>
      <c r="AT4276" s="235" t="s">
        <v>11</v>
      </c>
      <c r="AU4276" s="235" t="s">
        <v>634</v>
      </c>
      <c r="AV4276" s="246" t="s">
        <v>635</v>
      </c>
      <c r="AW4276" s="227"/>
      <c r="AX4276" s="227"/>
      <c r="AY4276" s="227"/>
      <c r="AZ4276" s="227"/>
      <c r="BA4276" s="227"/>
      <c r="BB4276" s="227"/>
      <c r="BC4276" s="227"/>
      <c r="BD4276" s="227"/>
      <c r="BE4276" s="227"/>
      <c r="BF4276" s="227"/>
    </row>
    <row r="4277">
      <c r="A4277" s="235" t="s">
        <v>31807</v>
      </c>
      <c r="C4277" s="235" t="s">
        <v>31808</v>
      </c>
      <c r="D4277" s="235" t="s">
        <v>31809</v>
      </c>
      <c r="E4277" s="243">
        <v>6.5E13</v>
      </c>
      <c r="F4277" s="245"/>
      <c r="G4277" s="235" t="s">
        <v>31810</v>
      </c>
      <c r="H4277" s="235" t="s">
        <v>31811</v>
      </c>
      <c r="I4277" s="235" t="s">
        <v>31811</v>
      </c>
      <c r="J4277" s="235" t="s">
        <v>31812</v>
      </c>
      <c r="K4277" s="235" t="s">
        <v>31813</v>
      </c>
      <c r="N4277" s="235" t="s">
        <v>726</v>
      </c>
      <c r="O4277" s="235" t="s">
        <v>727</v>
      </c>
      <c r="P4277" s="238">
        <v>1.0</v>
      </c>
      <c r="Q4277" s="235" t="s">
        <v>627</v>
      </c>
      <c r="R4277" s="238">
        <v>244.76</v>
      </c>
      <c r="S4277" s="238">
        <v>12.24</v>
      </c>
      <c r="T4277" s="238">
        <v>38.1</v>
      </c>
      <c r="U4277" s="238">
        <v>1.9</v>
      </c>
      <c r="V4277" s="238">
        <v>0.0</v>
      </c>
      <c r="W4277" s="238">
        <v>0.0</v>
      </c>
      <c r="X4277" s="235" t="s">
        <v>628</v>
      </c>
      <c r="Z4277" s="245"/>
      <c r="AA4277" s="245"/>
      <c r="AB4277" s="245"/>
      <c r="AC4277" s="235" t="s">
        <v>31814</v>
      </c>
      <c r="AD4277" s="235" t="s">
        <v>1086</v>
      </c>
      <c r="AE4277" s="238">
        <v>148031.0</v>
      </c>
      <c r="AF4277" s="235" t="s">
        <v>631</v>
      </c>
      <c r="AG4277" s="245"/>
      <c r="AH4277" s="245"/>
      <c r="AI4277" s="245"/>
      <c r="AJ4277" s="245"/>
      <c r="AK4277" s="245"/>
      <c r="AL4277" s="245"/>
      <c r="AM4277" s="245"/>
      <c r="AN4277" s="245"/>
      <c r="AO4277" s="238">
        <v>0.0</v>
      </c>
      <c r="AP4277" s="238">
        <v>-38.1</v>
      </c>
      <c r="AQ4277" s="235" t="s">
        <v>632</v>
      </c>
      <c r="AR4277" s="243">
        <v>3.71E11</v>
      </c>
      <c r="AS4277" s="235" t="s">
        <v>28482</v>
      </c>
      <c r="AT4277" s="235" t="s">
        <v>533</v>
      </c>
      <c r="AU4277" s="235" t="s">
        <v>634</v>
      </c>
      <c r="AV4277" s="246" t="s">
        <v>635</v>
      </c>
      <c r="AW4277" s="227"/>
      <c r="AX4277" s="227"/>
      <c r="AY4277" s="227"/>
      <c r="AZ4277" s="227"/>
      <c r="BA4277" s="227"/>
      <c r="BB4277" s="227"/>
      <c r="BC4277" s="227"/>
      <c r="BD4277" s="227"/>
      <c r="BE4277" s="227"/>
      <c r="BF4277" s="227"/>
    </row>
    <row r="4278">
      <c r="A4278" s="235" t="s">
        <v>31815</v>
      </c>
      <c r="C4278" s="235" t="s">
        <v>31816</v>
      </c>
      <c r="D4278" s="235" t="s">
        <v>31817</v>
      </c>
      <c r="E4278" s="243">
        <v>6.51E13</v>
      </c>
      <c r="F4278" s="245"/>
      <c r="G4278" s="235" t="s">
        <v>31818</v>
      </c>
      <c r="H4278" s="235" t="s">
        <v>31819</v>
      </c>
      <c r="I4278" s="235" t="s">
        <v>31819</v>
      </c>
      <c r="J4278" s="235" t="s">
        <v>31820</v>
      </c>
      <c r="K4278" s="235" t="s">
        <v>31821</v>
      </c>
      <c r="N4278" s="235" t="s">
        <v>4</v>
      </c>
      <c r="O4278" s="235" t="s">
        <v>1791</v>
      </c>
      <c r="P4278" s="238">
        <v>1.0</v>
      </c>
      <c r="Q4278" s="235" t="s">
        <v>627</v>
      </c>
      <c r="R4278" s="238">
        <v>265.71</v>
      </c>
      <c r="S4278" s="238">
        <v>13.29</v>
      </c>
      <c r="T4278" s="238">
        <v>0.0</v>
      </c>
      <c r="U4278" s="238">
        <v>0.0</v>
      </c>
      <c r="V4278" s="238">
        <v>0.0</v>
      </c>
      <c r="W4278" s="238">
        <v>0.0</v>
      </c>
      <c r="X4278" s="235" t="s">
        <v>628</v>
      </c>
      <c r="Z4278" s="245"/>
      <c r="AA4278" s="245"/>
      <c r="AB4278" s="245"/>
      <c r="AC4278" s="235" t="s">
        <v>3449</v>
      </c>
      <c r="AD4278" s="235" t="s">
        <v>833</v>
      </c>
      <c r="AE4278" s="238">
        <v>533101.0</v>
      </c>
      <c r="AF4278" s="235" t="s">
        <v>631</v>
      </c>
      <c r="AG4278" s="245"/>
      <c r="AH4278" s="245"/>
      <c r="AI4278" s="245"/>
      <c r="AJ4278" s="245"/>
      <c r="AK4278" s="245"/>
      <c r="AL4278" s="245"/>
      <c r="AM4278" s="245"/>
      <c r="AN4278" s="245"/>
      <c r="AO4278" s="238">
        <v>0.0</v>
      </c>
      <c r="AP4278" s="238">
        <v>0.0</v>
      </c>
      <c r="AQ4278" s="235" t="s">
        <v>632</v>
      </c>
      <c r="AR4278" s="243">
        <v>3.71E11</v>
      </c>
      <c r="AS4278" s="235" t="s">
        <v>28482</v>
      </c>
      <c r="AT4278" s="235" t="s">
        <v>156</v>
      </c>
      <c r="AU4278" s="235" t="s">
        <v>634</v>
      </c>
      <c r="AV4278" s="246" t="s">
        <v>635</v>
      </c>
      <c r="AW4278" s="227"/>
      <c r="AX4278" s="227"/>
      <c r="AY4278" s="227"/>
      <c r="AZ4278" s="227"/>
      <c r="BA4278" s="227"/>
      <c r="BB4278" s="227"/>
      <c r="BC4278" s="227"/>
      <c r="BD4278" s="227"/>
      <c r="BE4278" s="227"/>
      <c r="BF4278" s="227"/>
    </row>
    <row r="4279">
      <c r="A4279" s="235" t="s">
        <v>31822</v>
      </c>
      <c r="C4279" s="235" t="s">
        <v>31823</v>
      </c>
      <c r="D4279" s="235" t="s">
        <v>31824</v>
      </c>
      <c r="E4279" s="243">
        <v>6.5E13</v>
      </c>
      <c r="F4279" s="245"/>
      <c r="G4279" s="235" t="s">
        <v>31825</v>
      </c>
      <c r="H4279" s="235" t="s">
        <v>31826</v>
      </c>
      <c r="I4279" s="235" t="s">
        <v>31826</v>
      </c>
      <c r="J4279" s="235" t="s">
        <v>31827</v>
      </c>
      <c r="K4279" s="235" t="s">
        <v>31828</v>
      </c>
      <c r="N4279" s="235" t="s">
        <v>82</v>
      </c>
      <c r="O4279" s="235" t="s">
        <v>889</v>
      </c>
      <c r="P4279" s="238">
        <v>1.0</v>
      </c>
      <c r="Q4279" s="235" t="s">
        <v>627</v>
      </c>
      <c r="R4279" s="238">
        <v>0.0</v>
      </c>
      <c r="S4279" s="238">
        <v>0.0</v>
      </c>
      <c r="T4279" s="238">
        <v>0.0</v>
      </c>
      <c r="U4279" s="238">
        <v>0.0</v>
      </c>
      <c r="V4279" s="238">
        <v>0.0</v>
      </c>
      <c r="W4279" s="238">
        <v>0.0</v>
      </c>
      <c r="X4279" s="235" t="s">
        <v>2433</v>
      </c>
      <c r="Y4279" s="245"/>
      <c r="Z4279" s="245"/>
      <c r="AA4279" s="245"/>
      <c r="AB4279" s="245"/>
      <c r="AC4279" s="235" t="s">
        <v>1058</v>
      </c>
      <c r="AD4279" s="235" t="s">
        <v>845</v>
      </c>
      <c r="AE4279" s="238">
        <v>400068.0</v>
      </c>
      <c r="AF4279" s="235" t="s">
        <v>631</v>
      </c>
      <c r="AG4279" s="245"/>
      <c r="AH4279" s="245"/>
      <c r="AI4279" s="245"/>
      <c r="AJ4279" s="245"/>
      <c r="AK4279" s="245"/>
      <c r="AL4279" s="245"/>
      <c r="AM4279" s="245"/>
      <c r="AN4279" s="245"/>
      <c r="AO4279" s="238">
        <v>0.0</v>
      </c>
      <c r="AP4279" s="238">
        <v>0.0</v>
      </c>
      <c r="AQ4279" s="235" t="s">
        <v>632</v>
      </c>
      <c r="AR4279" s="243">
        <v>3.71E11</v>
      </c>
      <c r="AS4279" s="235" t="s">
        <v>28482</v>
      </c>
      <c r="AT4279" s="235" t="s">
        <v>17</v>
      </c>
      <c r="AU4279" s="235" t="s">
        <v>634</v>
      </c>
      <c r="AV4279" s="246" t="s">
        <v>635</v>
      </c>
      <c r="AW4279" s="227"/>
      <c r="AX4279" s="227"/>
      <c r="AY4279" s="227"/>
      <c r="AZ4279" s="227"/>
      <c r="BA4279" s="227"/>
      <c r="BB4279" s="227"/>
      <c r="BC4279" s="227"/>
      <c r="BD4279" s="227"/>
      <c r="BE4279" s="227"/>
      <c r="BF4279" s="227"/>
    </row>
    <row r="4280">
      <c r="A4280" s="235" t="s">
        <v>31829</v>
      </c>
      <c r="C4280" s="235" t="s">
        <v>31830</v>
      </c>
      <c r="D4280" s="235" t="s">
        <v>31831</v>
      </c>
      <c r="E4280" s="243">
        <v>6.51E13</v>
      </c>
      <c r="F4280" s="245"/>
      <c r="G4280" s="235" t="s">
        <v>31832</v>
      </c>
      <c r="H4280" s="235" t="s">
        <v>31833</v>
      </c>
      <c r="I4280" s="235" t="s">
        <v>31833</v>
      </c>
      <c r="J4280" s="235" t="s">
        <v>31834</v>
      </c>
      <c r="K4280" s="235" t="s">
        <v>31835</v>
      </c>
      <c r="N4280" s="235" t="s">
        <v>136</v>
      </c>
      <c r="O4280" s="235" t="s">
        <v>256</v>
      </c>
      <c r="P4280" s="238">
        <v>1.0</v>
      </c>
      <c r="Q4280" s="235" t="s">
        <v>627</v>
      </c>
      <c r="R4280" s="238">
        <v>244.76</v>
      </c>
      <c r="S4280" s="238">
        <v>12.24</v>
      </c>
      <c r="T4280" s="238">
        <v>0.0</v>
      </c>
      <c r="U4280" s="238">
        <v>0.0</v>
      </c>
      <c r="V4280" s="238">
        <v>0.0</v>
      </c>
      <c r="W4280" s="238">
        <v>0.0</v>
      </c>
      <c r="X4280" s="235" t="s">
        <v>628</v>
      </c>
      <c r="Z4280" s="245"/>
      <c r="AA4280" s="245"/>
      <c r="AB4280" s="245"/>
      <c r="AC4280" s="235" t="s">
        <v>844</v>
      </c>
      <c r="AD4280" s="235" t="s">
        <v>845</v>
      </c>
      <c r="AE4280" s="238">
        <v>411057.0</v>
      </c>
      <c r="AF4280" s="235" t="s">
        <v>631</v>
      </c>
      <c r="AG4280" s="245"/>
      <c r="AH4280" s="245"/>
      <c r="AI4280" s="245"/>
      <c r="AJ4280" s="245"/>
      <c r="AK4280" s="245"/>
      <c r="AL4280" s="245"/>
      <c r="AM4280" s="245"/>
      <c r="AN4280" s="245"/>
      <c r="AO4280" s="238">
        <v>0.0</v>
      </c>
      <c r="AP4280" s="238">
        <v>0.0</v>
      </c>
      <c r="AQ4280" s="235" t="s">
        <v>632</v>
      </c>
      <c r="AR4280" s="243">
        <v>3.71E11</v>
      </c>
      <c r="AS4280" s="235" t="s">
        <v>31232</v>
      </c>
      <c r="AT4280" s="235" t="s">
        <v>546</v>
      </c>
      <c r="AU4280" s="235" t="s">
        <v>634</v>
      </c>
      <c r="AV4280" s="246" t="s">
        <v>635</v>
      </c>
      <c r="AW4280" s="227"/>
      <c r="AX4280" s="227"/>
      <c r="AY4280" s="227"/>
      <c r="AZ4280" s="227"/>
      <c r="BA4280" s="227"/>
      <c r="BB4280" s="227"/>
      <c r="BC4280" s="227"/>
      <c r="BD4280" s="227"/>
      <c r="BE4280" s="227"/>
      <c r="BF4280" s="227"/>
    </row>
    <row r="4281">
      <c r="A4281" s="235" t="s">
        <v>31836</v>
      </c>
      <c r="C4281" s="235" t="s">
        <v>31837</v>
      </c>
      <c r="D4281" s="235" t="s">
        <v>31838</v>
      </c>
      <c r="E4281" s="243">
        <v>6.51E13</v>
      </c>
      <c r="F4281" s="245"/>
      <c r="G4281" s="235" t="s">
        <v>31839</v>
      </c>
      <c r="H4281" s="235" t="s">
        <v>31840</v>
      </c>
      <c r="I4281" s="235" t="s">
        <v>31841</v>
      </c>
      <c r="J4281" s="235" t="s">
        <v>31842</v>
      </c>
      <c r="K4281" s="235" t="s">
        <v>23182</v>
      </c>
      <c r="N4281" s="235" t="s">
        <v>2163</v>
      </c>
      <c r="O4281" s="235" t="s">
        <v>2164</v>
      </c>
      <c r="P4281" s="238">
        <v>1.0</v>
      </c>
      <c r="Q4281" s="235" t="s">
        <v>627</v>
      </c>
      <c r="R4281" s="238">
        <v>270.48</v>
      </c>
      <c r="S4281" s="238">
        <v>13.52</v>
      </c>
      <c r="T4281" s="238">
        <v>0.0</v>
      </c>
      <c r="U4281" s="238">
        <v>0.0</v>
      </c>
      <c r="V4281" s="238">
        <v>0.0</v>
      </c>
      <c r="W4281" s="238">
        <v>0.0</v>
      </c>
      <c r="X4281" s="235" t="s">
        <v>628</v>
      </c>
      <c r="Z4281" s="245"/>
      <c r="AA4281" s="245"/>
      <c r="AB4281" s="245"/>
      <c r="AC4281" s="235" t="s">
        <v>5923</v>
      </c>
      <c r="AD4281" s="235" t="s">
        <v>666</v>
      </c>
      <c r="AE4281" s="238">
        <v>620019.0</v>
      </c>
      <c r="AF4281" s="235" t="s">
        <v>631</v>
      </c>
      <c r="AG4281" s="245"/>
      <c r="AH4281" s="245"/>
      <c r="AI4281" s="245"/>
      <c r="AJ4281" s="245"/>
      <c r="AK4281" s="245"/>
      <c r="AL4281" s="245"/>
      <c r="AM4281" s="245"/>
      <c r="AN4281" s="245"/>
      <c r="AO4281" s="238">
        <v>0.0</v>
      </c>
      <c r="AP4281" s="238">
        <v>0.0</v>
      </c>
      <c r="AQ4281" s="235" t="s">
        <v>632</v>
      </c>
      <c r="AR4281" s="243">
        <v>3.71E11</v>
      </c>
      <c r="AS4281" s="235" t="s">
        <v>31232</v>
      </c>
      <c r="AT4281" s="235" t="s">
        <v>155</v>
      </c>
      <c r="AU4281" s="235" t="s">
        <v>634</v>
      </c>
      <c r="AV4281" s="246" t="s">
        <v>635</v>
      </c>
      <c r="AW4281" s="227"/>
      <c r="AX4281" s="227"/>
      <c r="AY4281" s="227"/>
      <c r="AZ4281" s="227"/>
      <c r="BA4281" s="227"/>
      <c r="BB4281" s="227"/>
      <c r="BC4281" s="227"/>
      <c r="BD4281" s="227"/>
      <c r="BE4281" s="227"/>
      <c r="BF4281" s="227"/>
    </row>
    <row r="4282">
      <c r="A4282" s="235" t="s">
        <v>31843</v>
      </c>
      <c r="C4282" s="235" t="s">
        <v>31844</v>
      </c>
      <c r="D4282" s="235" t="s">
        <v>31845</v>
      </c>
      <c r="E4282" s="243">
        <v>6.51E13</v>
      </c>
      <c r="F4282" s="245"/>
      <c r="G4282" s="235" t="s">
        <v>31846</v>
      </c>
      <c r="H4282" s="235" t="s">
        <v>31847</v>
      </c>
      <c r="I4282" s="235" t="s">
        <v>31847</v>
      </c>
      <c r="J4282" s="235" t="s">
        <v>31848</v>
      </c>
      <c r="K4282" s="235" t="s">
        <v>31849</v>
      </c>
      <c r="N4282" s="235" t="s">
        <v>3</v>
      </c>
      <c r="O4282" s="235" t="s">
        <v>654</v>
      </c>
      <c r="P4282" s="238">
        <v>1.0</v>
      </c>
      <c r="Q4282" s="235" t="s">
        <v>627</v>
      </c>
      <c r="R4282" s="238">
        <v>284.76</v>
      </c>
      <c r="S4282" s="238">
        <v>13.82</v>
      </c>
      <c r="T4282" s="238">
        <v>0.0</v>
      </c>
      <c r="U4282" s="238">
        <v>0.0</v>
      </c>
      <c r="V4282" s="238">
        <v>0.0</v>
      </c>
      <c r="W4282" s="238">
        <v>0.0</v>
      </c>
      <c r="X4282" s="235" t="s">
        <v>628</v>
      </c>
      <c r="Z4282" s="245"/>
      <c r="AA4282" s="245"/>
      <c r="AB4282" s="245"/>
      <c r="AC4282" s="235" t="s">
        <v>8737</v>
      </c>
      <c r="AD4282" s="235" t="s">
        <v>666</v>
      </c>
      <c r="AE4282" s="238">
        <v>632004.0</v>
      </c>
      <c r="AF4282" s="235" t="s">
        <v>631</v>
      </c>
      <c r="AG4282" s="245"/>
      <c r="AH4282" s="245"/>
      <c r="AI4282" s="245"/>
      <c r="AJ4282" s="245"/>
      <c r="AK4282" s="245"/>
      <c r="AL4282" s="245"/>
      <c r="AM4282" s="245"/>
      <c r="AN4282" s="245"/>
      <c r="AO4282" s="238">
        <v>-8.55</v>
      </c>
      <c r="AP4282" s="238">
        <v>0.0</v>
      </c>
      <c r="AQ4282" s="235" t="s">
        <v>632</v>
      </c>
      <c r="AR4282" s="243">
        <v>1.68E11</v>
      </c>
      <c r="AS4282" s="235" t="s">
        <v>31798</v>
      </c>
      <c r="AT4282" s="235" t="s">
        <v>156</v>
      </c>
      <c r="AU4282" s="235" t="s">
        <v>634</v>
      </c>
      <c r="AV4282" s="246" t="s">
        <v>635</v>
      </c>
      <c r="AW4282" s="227"/>
      <c r="AX4282" s="227"/>
      <c r="AY4282" s="227"/>
      <c r="AZ4282" s="227"/>
      <c r="BA4282" s="227"/>
      <c r="BB4282" s="227"/>
      <c r="BC4282" s="227"/>
      <c r="BD4282" s="227"/>
      <c r="BE4282" s="227"/>
      <c r="BF4282" s="227"/>
    </row>
    <row r="4283">
      <c r="A4283" s="235" t="s">
        <v>31843</v>
      </c>
      <c r="C4283" s="235" t="s">
        <v>31844</v>
      </c>
      <c r="D4283" s="235" t="s">
        <v>31850</v>
      </c>
      <c r="E4283" s="243">
        <v>6.51E13</v>
      </c>
      <c r="F4283" s="245"/>
      <c r="G4283" s="235" t="s">
        <v>31846</v>
      </c>
      <c r="H4283" s="235" t="s">
        <v>31847</v>
      </c>
      <c r="I4283" s="235" t="s">
        <v>31847</v>
      </c>
      <c r="J4283" s="235" t="s">
        <v>31848</v>
      </c>
      <c r="K4283" s="235" t="s">
        <v>31849</v>
      </c>
      <c r="N4283" s="235" t="s">
        <v>6</v>
      </c>
      <c r="O4283" s="235" t="s">
        <v>806</v>
      </c>
      <c r="P4283" s="238">
        <v>1.0</v>
      </c>
      <c r="Q4283" s="235" t="s">
        <v>627</v>
      </c>
      <c r="R4283" s="238">
        <v>284.76</v>
      </c>
      <c r="S4283" s="238">
        <v>13.82</v>
      </c>
      <c r="T4283" s="238">
        <v>0.0</v>
      </c>
      <c r="U4283" s="238">
        <v>0.0</v>
      </c>
      <c r="V4283" s="238">
        <v>0.0</v>
      </c>
      <c r="W4283" s="238">
        <v>0.0</v>
      </c>
      <c r="X4283" s="235" t="s">
        <v>628</v>
      </c>
      <c r="Z4283" s="245"/>
      <c r="AA4283" s="245"/>
      <c r="AB4283" s="245"/>
      <c r="AC4283" s="235" t="s">
        <v>8737</v>
      </c>
      <c r="AD4283" s="235" t="s">
        <v>666</v>
      </c>
      <c r="AE4283" s="238">
        <v>632004.0</v>
      </c>
      <c r="AF4283" s="235" t="s">
        <v>631</v>
      </c>
      <c r="AG4283" s="245"/>
      <c r="AH4283" s="245"/>
      <c r="AI4283" s="245"/>
      <c r="AJ4283" s="245"/>
      <c r="AK4283" s="245"/>
      <c r="AL4283" s="245"/>
      <c r="AM4283" s="245"/>
      <c r="AN4283" s="245"/>
      <c r="AO4283" s="238">
        <v>-8.55</v>
      </c>
      <c r="AP4283" s="238">
        <v>0.0</v>
      </c>
      <c r="AQ4283" s="235" t="s">
        <v>632</v>
      </c>
      <c r="AR4283" s="243">
        <v>1.68E11</v>
      </c>
      <c r="AS4283" s="235" t="s">
        <v>31798</v>
      </c>
      <c r="AT4283" s="235" t="s">
        <v>156</v>
      </c>
      <c r="AU4283" s="235" t="s">
        <v>634</v>
      </c>
      <c r="AV4283" s="246" t="s">
        <v>635</v>
      </c>
      <c r="AW4283" s="227"/>
      <c r="AX4283" s="227"/>
      <c r="AY4283" s="227"/>
      <c r="AZ4283" s="227"/>
      <c r="BA4283" s="227"/>
      <c r="BB4283" s="227"/>
      <c r="BC4283" s="227"/>
      <c r="BD4283" s="227"/>
      <c r="BE4283" s="227"/>
      <c r="BF4283" s="227"/>
    </row>
    <row r="4284">
      <c r="A4284" s="235" t="s">
        <v>31851</v>
      </c>
      <c r="C4284" s="235" t="s">
        <v>31852</v>
      </c>
      <c r="D4284" s="235" t="s">
        <v>31853</v>
      </c>
      <c r="E4284" s="243">
        <v>6.51E13</v>
      </c>
      <c r="F4284" s="245"/>
      <c r="G4284" s="235" t="s">
        <v>31854</v>
      </c>
      <c r="H4284" s="235" t="s">
        <v>31855</v>
      </c>
      <c r="I4284" s="235" t="s">
        <v>31855</v>
      </c>
      <c r="J4284" s="235" t="s">
        <v>31856</v>
      </c>
      <c r="K4284" s="235" t="s">
        <v>10000</v>
      </c>
      <c r="N4284" s="235" t="s">
        <v>1148</v>
      </c>
      <c r="O4284" s="235" t="s">
        <v>1149</v>
      </c>
      <c r="P4284" s="238">
        <v>1.0</v>
      </c>
      <c r="Q4284" s="235" t="s">
        <v>627</v>
      </c>
      <c r="R4284" s="238">
        <v>846.61</v>
      </c>
      <c r="S4284" s="238">
        <v>149.34</v>
      </c>
      <c r="T4284" s="238">
        <v>0.0</v>
      </c>
      <c r="U4284" s="238">
        <v>0.0</v>
      </c>
      <c r="V4284" s="238">
        <v>0.0</v>
      </c>
      <c r="W4284" s="238">
        <v>0.0</v>
      </c>
      <c r="X4284" s="235" t="s">
        <v>628</v>
      </c>
      <c r="Z4284" s="245"/>
      <c r="AA4284" s="245"/>
      <c r="AB4284" s="245"/>
      <c r="AC4284" s="235" t="s">
        <v>795</v>
      </c>
      <c r="AD4284" s="235" t="s">
        <v>796</v>
      </c>
      <c r="AE4284" s="238">
        <v>110051.0</v>
      </c>
      <c r="AF4284" s="235" t="s">
        <v>631</v>
      </c>
      <c r="AG4284" s="245"/>
      <c r="AH4284" s="245"/>
      <c r="AI4284" s="245"/>
      <c r="AJ4284" s="245"/>
      <c r="AK4284" s="245"/>
      <c r="AL4284" s="245"/>
      <c r="AM4284" s="245"/>
      <c r="AN4284" s="245"/>
      <c r="AO4284" s="238">
        <v>-16.93</v>
      </c>
      <c r="AP4284" s="238">
        <v>0.0</v>
      </c>
      <c r="AQ4284" s="235" t="s">
        <v>632</v>
      </c>
      <c r="AR4284" s="243">
        <v>1.68E11</v>
      </c>
      <c r="AS4284" s="235" t="s">
        <v>31798</v>
      </c>
      <c r="AT4284" s="235" t="s">
        <v>14</v>
      </c>
      <c r="AU4284" s="235" t="s">
        <v>634</v>
      </c>
      <c r="AV4284" s="246" t="s">
        <v>635</v>
      </c>
      <c r="AW4284" s="227"/>
      <c r="AX4284" s="227"/>
      <c r="AY4284" s="227"/>
      <c r="AZ4284" s="227"/>
      <c r="BA4284" s="227"/>
      <c r="BB4284" s="227"/>
      <c r="BC4284" s="227"/>
      <c r="BD4284" s="227"/>
      <c r="BE4284" s="227"/>
      <c r="BF4284" s="227"/>
    </row>
    <row r="4285">
      <c r="A4285" s="235" t="s">
        <v>31857</v>
      </c>
      <c r="C4285" s="235" t="s">
        <v>31858</v>
      </c>
      <c r="D4285" s="235" t="s">
        <v>31859</v>
      </c>
      <c r="E4285" s="243">
        <v>6.51E13</v>
      </c>
      <c r="F4285" s="245"/>
      <c r="G4285" s="235" t="s">
        <v>31860</v>
      </c>
      <c r="H4285" s="235" t="s">
        <v>31861</v>
      </c>
      <c r="I4285" s="235" t="s">
        <v>31861</v>
      </c>
      <c r="J4285" s="235" t="s">
        <v>31862</v>
      </c>
      <c r="K4285" s="235" t="s">
        <v>31863</v>
      </c>
      <c r="N4285" s="235" t="s">
        <v>134</v>
      </c>
      <c r="O4285" s="235" t="s">
        <v>314</v>
      </c>
      <c r="P4285" s="238">
        <v>1.0</v>
      </c>
      <c r="Q4285" s="235" t="s">
        <v>627</v>
      </c>
      <c r="R4285" s="238">
        <v>270.48</v>
      </c>
      <c r="S4285" s="238">
        <v>13.52</v>
      </c>
      <c r="T4285" s="238">
        <v>0.0</v>
      </c>
      <c r="U4285" s="238">
        <v>0.0</v>
      </c>
      <c r="V4285" s="238">
        <v>0.0</v>
      </c>
      <c r="W4285" s="238">
        <v>0.0</v>
      </c>
      <c r="X4285" s="235" t="s">
        <v>628</v>
      </c>
      <c r="Z4285" s="245"/>
      <c r="AA4285" s="245"/>
      <c r="AB4285" s="245"/>
      <c r="AC4285" s="235" t="s">
        <v>1514</v>
      </c>
      <c r="AD4285" s="235" t="s">
        <v>1077</v>
      </c>
      <c r="AE4285" s="238">
        <v>380015.0</v>
      </c>
      <c r="AF4285" s="235" t="s">
        <v>631</v>
      </c>
      <c r="AG4285" s="245"/>
      <c r="AH4285" s="245"/>
      <c r="AI4285" s="245"/>
      <c r="AJ4285" s="245"/>
      <c r="AK4285" s="245"/>
      <c r="AL4285" s="245"/>
      <c r="AM4285" s="245"/>
      <c r="AN4285" s="245"/>
      <c r="AO4285" s="238">
        <v>0.0</v>
      </c>
      <c r="AP4285" s="238">
        <v>0.0</v>
      </c>
      <c r="AQ4285" s="235" t="s">
        <v>632</v>
      </c>
      <c r="AR4285" s="243">
        <v>3.71E11</v>
      </c>
      <c r="AS4285" s="235" t="s">
        <v>31232</v>
      </c>
      <c r="AT4285" s="235" t="s">
        <v>5</v>
      </c>
      <c r="AU4285" s="235" t="s">
        <v>634</v>
      </c>
      <c r="AV4285" s="246" t="s">
        <v>635</v>
      </c>
      <c r="AW4285" s="227"/>
      <c r="AX4285" s="227"/>
      <c r="AY4285" s="227"/>
      <c r="AZ4285" s="227"/>
      <c r="BA4285" s="227"/>
      <c r="BB4285" s="227"/>
      <c r="BC4285" s="227"/>
      <c r="BD4285" s="227"/>
      <c r="BE4285" s="227"/>
      <c r="BF4285" s="227"/>
    </row>
    <row r="4286">
      <c r="A4286" s="235" t="s">
        <v>31864</v>
      </c>
      <c r="C4286" s="235" t="s">
        <v>31865</v>
      </c>
      <c r="D4286" s="235" t="s">
        <v>31866</v>
      </c>
      <c r="E4286" s="243">
        <v>6.51E13</v>
      </c>
      <c r="F4286" s="245"/>
      <c r="G4286" s="235" t="s">
        <v>31867</v>
      </c>
      <c r="H4286" s="235" t="s">
        <v>31868</v>
      </c>
      <c r="I4286" s="235" t="s">
        <v>31868</v>
      </c>
      <c r="J4286" s="235" t="s">
        <v>31869</v>
      </c>
      <c r="K4286" s="235" t="s">
        <v>31870</v>
      </c>
      <c r="N4286" s="235" t="s">
        <v>2706</v>
      </c>
      <c r="O4286" s="235" t="s">
        <v>2707</v>
      </c>
      <c r="P4286" s="238">
        <v>1.0</v>
      </c>
      <c r="Q4286" s="235" t="s">
        <v>627</v>
      </c>
      <c r="R4286" s="238">
        <v>761.86</v>
      </c>
      <c r="S4286" s="238">
        <v>137.14</v>
      </c>
      <c r="T4286" s="238">
        <v>0.0</v>
      </c>
      <c r="U4286" s="238">
        <v>0.0</v>
      </c>
      <c r="V4286" s="238">
        <v>0.0</v>
      </c>
      <c r="W4286" s="238">
        <v>0.0</v>
      </c>
      <c r="X4286" s="235" t="s">
        <v>628</v>
      </c>
      <c r="Z4286" s="245"/>
      <c r="AA4286" s="245"/>
      <c r="AB4286" s="245"/>
      <c r="AC4286" s="235" t="s">
        <v>678</v>
      </c>
      <c r="AD4286" s="235" t="s">
        <v>679</v>
      </c>
      <c r="AE4286" s="238">
        <v>560035.0</v>
      </c>
      <c r="AF4286" s="235" t="s">
        <v>631</v>
      </c>
      <c r="AG4286" s="245"/>
      <c r="AH4286" s="245"/>
      <c r="AI4286" s="245"/>
      <c r="AJ4286" s="245"/>
      <c r="AK4286" s="245"/>
      <c r="AL4286" s="245"/>
      <c r="AM4286" s="245"/>
      <c r="AN4286" s="245"/>
      <c r="AO4286" s="238">
        <v>0.0</v>
      </c>
      <c r="AP4286" s="238">
        <v>0.0</v>
      </c>
      <c r="AQ4286" s="235" t="s">
        <v>632</v>
      </c>
      <c r="AR4286" s="243">
        <v>3.71E11</v>
      </c>
      <c r="AS4286" s="235" t="s">
        <v>31232</v>
      </c>
      <c r="AT4286" s="235" t="s">
        <v>11</v>
      </c>
      <c r="AU4286" s="235" t="s">
        <v>634</v>
      </c>
      <c r="AV4286" s="246" t="s">
        <v>635</v>
      </c>
      <c r="AW4286" s="227"/>
      <c r="AX4286" s="227"/>
      <c r="AY4286" s="227"/>
      <c r="AZ4286" s="227"/>
      <c r="BA4286" s="227"/>
      <c r="BB4286" s="227"/>
      <c r="BC4286" s="227"/>
      <c r="BD4286" s="227"/>
      <c r="BE4286" s="227"/>
      <c r="BF4286" s="227"/>
    </row>
    <row r="4287">
      <c r="A4287" s="235" t="s">
        <v>31871</v>
      </c>
      <c r="C4287" s="235" t="s">
        <v>31872</v>
      </c>
      <c r="D4287" s="235" t="s">
        <v>31873</v>
      </c>
      <c r="E4287" s="243">
        <v>6.51E13</v>
      </c>
      <c r="F4287" s="245"/>
      <c r="G4287" s="235" t="s">
        <v>31874</v>
      </c>
      <c r="H4287" s="235" t="s">
        <v>31875</v>
      </c>
      <c r="I4287" s="235" t="s">
        <v>31875</v>
      </c>
      <c r="J4287" s="235" t="s">
        <v>31876</v>
      </c>
      <c r="K4287" s="235" t="s">
        <v>31877</v>
      </c>
      <c r="N4287" s="235" t="s">
        <v>56</v>
      </c>
      <c r="O4287" s="235" t="s">
        <v>415</v>
      </c>
      <c r="P4287" s="238">
        <v>1.0</v>
      </c>
      <c r="Q4287" s="235" t="s">
        <v>627</v>
      </c>
      <c r="R4287" s="238">
        <v>627.62</v>
      </c>
      <c r="S4287" s="238">
        <v>31.38</v>
      </c>
      <c r="T4287" s="238">
        <v>38.1</v>
      </c>
      <c r="U4287" s="238">
        <v>1.9</v>
      </c>
      <c r="V4287" s="238">
        <v>0.0</v>
      </c>
      <c r="W4287" s="238">
        <v>0.0</v>
      </c>
      <c r="X4287" s="235" t="s">
        <v>628</v>
      </c>
      <c r="Z4287" s="245"/>
      <c r="AA4287" s="245"/>
      <c r="AB4287" s="245"/>
      <c r="AC4287" s="235" t="s">
        <v>31878</v>
      </c>
      <c r="AD4287" s="235" t="s">
        <v>709</v>
      </c>
      <c r="AE4287" s="238">
        <v>844101.0</v>
      </c>
      <c r="AF4287" s="235" t="s">
        <v>631</v>
      </c>
      <c r="AG4287" s="245"/>
      <c r="AH4287" s="245"/>
      <c r="AI4287" s="245"/>
      <c r="AJ4287" s="245"/>
      <c r="AK4287" s="245"/>
      <c r="AL4287" s="245"/>
      <c r="AM4287" s="245"/>
      <c r="AN4287" s="245"/>
      <c r="AO4287" s="238">
        <v>0.0</v>
      </c>
      <c r="AP4287" s="238">
        <v>-38.1</v>
      </c>
      <c r="AQ4287" s="235" t="s">
        <v>632</v>
      </c>
      <c r="AR4287" s="243">
        <v>3.71E11</v>
      </c>
      <c r="AS4287" s="235" t="s">
        <v>25098</v>
      </c>
      <c r="AT4287" s="235" t="s">
        <v>16</v>
      </c>
      <c r="AU4287" s="235" t="s">
        <v>634</v>
      </c>
      <c r="AV4287" s="246" t="s">
        <v>635</v>
      </c>
      <c r="AW4287" s="227"/>
      <c r="AX4287" s="227"/>
      <c r="AY4287" s="227"/>
      <c r="AZ4287" s="227"/>
      <c r="BA4287" s="227"/>
      <c r="BB4287" s="227"/>
      <c r="BC4287" s="227"/>
      <c r="BD4287" s="227"/>
      <c r="BE4287" s="227"/>
      <c r="BF4287" s="227"/>
    </row>
    <row r="4288">
      <c r="A4288" s="235" t="s">
        <v>31879</v>
      </c>
      <c r="C4288" s="235" t="s">
        <v>31880</v>
      </c>
      <c r="D4288" s="235" t="s">
        <v>31881</v>
      </c>
      <c r="E4288" s="243">
        <v>6.45E13</v>
      </c>
      <c r="F4288" s="245"/>
      <c r="G4288" s="235" t="s">
        <v>31882</v>
      </c>
      <c r="H4288" s="235" t="s">
        <v>31883</v>
      </c>
      <c r="I4288" s="235" t="s">
        <v>31883</v>
      </c>
      <c r="J4288" s="235" t="s">
        <v>31884</v>
      </c>
      <c r="K4288" s="235" t="s">
        <v>31885</v>
      </c>
      <c r="N4288" s="235" t="s">
        <v>49</v>
      </c>
      <c r="O4288" s="235" t="s">
        <v>321</v>
      </c>
      <c r="P4288" s="238">
        <v>1.0</v>
      </c>
      <c r="Q4288" s="235" t="s">
        <v>627</v>
      </c>
      <c r="R4288" s="238">
        <v>236.19</v>
      </c>
      <c r="S4288" s="238">
        <v>11.81</v>
      </c>
      <c r="T4288" s="238">
        <v>38.1</v>
      </c>
      <c r="U4288" s="238">
        <v>1.9</v>
      </c>
      <c r="V4288" s="238">
        <v>0.0</v>
      </c>
      <c r="W4288" s="238">
        <v>0.0</v>
      </c>
      <c r="X4288" s="235" t="s">
        <v>628</v>
      </c>
      <c r="Z4288" s="245"/>
      <c r="AA4288" s="245"/>
      <c r="AB4288" s="245"/>
      <c r="AC4288" s="235" t="s">
        <v>3374</v>
      </c>
      <c r="AD4288" s="235" t="s">
        <v>645</v>
      </c>
      <c r="AE4288" s="238">
        <v>695588.0</v>
      </c>
      <c r="AF4288" s="235" t="s">
        <v>631</v>
      </c>
      <c r="AG4288" s="245"/>
      <c r="AH4288" s="245"/>
      <c r="AI4288" s="245"/>
      <c r="AJ4288" s="245"/>
      <c r="AK4288" s="245"/>
      <c r="AL4288" s="245"/>
      <c r="AM4288" s="245"/>
      <c r="AN4288" s="245"/>
      <c r="AO4288" s="238">
        <v>0.0</v>
      </c>
      <c r="AP4288" s="238">
        <v>-38.1</v>
      </c>
      <c r="AQ4288" s="235" t="s">
        <v>632</v>
      </c>
      <c r="AR4288" s="243">
        <v>1.68E11</v>
      </c>
      <c r="AS4288" s="235" t="s">
        <v>29883</v>
      </c>
      <c r="AT4288" s="235" t="s">
        <v>11</v>
      </c>
      <c r="AU4288" s="235" t="s">
        <v>634</v>
      </c>
      <c r="AV4288" s="246" t="s">
        <v>635</v>
      </c>
      <c r="AW4288" s="227"/>
      <c r="AX4288" s="227"/>
      <c r="AY4288" s="227"/>
      <c r="AZ4288" s="227"/>
      <c r="BA4288" s="227"/>
      <c r="BB4288" s="227"/>
      <c r="BC4288" s="227"/>
      <c r="BD4288" s="227"/>
      <c r="BE4288" s="227"/>
      <c r="BF4288" s="227"/>
    </row>
    <row r="4289">
      <c r="A4289" s="235" t="s">
        <v>31886</v>
      </c>
      <c r="C4289" s="235" t="s">
        <v>31887</v>
      </c>
      <c r="D4289" s="235" t="s">
        <v>31888</v>
      </c>
      <c r="E4289" s="243">
        <v>6.51E13</v>
      </c>
      <c r="F4289" s="245"/>
      <c r="G4289" s="235" t="s">
        <v>31889</v>
      </c>
      <c r="H4289" s="235" t="s">
        <v>31890</v>
      </c>
      <c r="I4289" s="235" t="s">
        <v>31890</v>
      </c>
      <c r="J4289" s="235" t="s">
        <v>31891</v>
      </c>
      <c r="K4289" s="235" t="s">
        <v>31028</v>
      </c>
      <c r="N4289" s="235" t="s">
        <v>145</v>
      </c>
      <c r="O4289" s="235" t="s">
        <v>370</v>
      </c>
      <c r="P4289" s="238">
        <v>1.0</v>
      </c>
      <c r="Q4289" s="235" t="s">
        <v>627</v>
      </c>
      <c r="R4289" s="238">
        <v>1703.8</v>
      </c>
      <c r="S4289" s="238">
        <v>85.2</v>
      </c>
      <c r="T4289" s="238">
        <v>0.0</v>
      </c>
      <c r="U4289" s="238">
        <v>0.0</v>
      </c>
      <c r="V4289" s="238">
        <v>0.0</v>
      </c>
      <c r="W4289" s="238">
        <v>0.0</v>
      </c>
      <c r="X4289" s="235" t="s">
        <v>628</v>
      </c>
      <c r="Z4289" s="245"/>
      <c r="AA4289" s="245"/>
      <c r="AB4289" s="245"/>
      <c r="AC4289" s="235" t="s">
        <v>678</v>
      </c>
      <c r="AD4289" s="235" t="s">
        <v>679</v>
      </c>
      <c r="AE4289" s="238">
        <v>560077.0</v>
      </c>
      <c r="AF4289" s="235" t="s">
        <v>631</v>
      </c>
      <c r="AG4289" s="245"/>
      <c r="AH4289" s="245"/>
      <c r="AI4289" s="245"/>
      <c r="AJ4289" s="245"/>
      <c r="AK4289" s="245"/>
      <c r="AL4289" s="245"/>
      <c r="AM4289" s="245"/>
      <c r="AN4289" s="245"/>
      <c r="AO4289" s="238">
        <v>0.0</v>
      </c>
      <c r="AP4289" s="238">
        <v>0.0</v>
      </c>
      <c r="AQ4289" s="235" t="s">
        <v>632</v>
      </c>
      <c r="AR4289" s="243">
        <v>3.71E11</v>
      </c>
      <c r="AS4289" s="235" t="s">
        <v>31232</v>
      </c>
      <c r="AT4289" s="235" t="s">
        <v>11</v>
      </c>
      <c r="AU4289" s="235" t="s">
        <v>634</v>
      </c>
      <c r="AV4289" s="246" t="s">
        <v>635</v>
      </c>
      <c r="AW4289" s="227"/>
      <c r="AX4289" s="227"/>
      <c r="AY4289" s="227"/>
      <c r="AZ4289" s="227"/>
      <c r="BA4289" s="227"/>
      <c r="BB4289" s="227"/>
      <c r="BC4289" s="227"/>
      <c r="BD4289" s="227"/>
      <c r="BE4289" s="227"/>
      <c r="BF4289" s="227"/>
    </row>
    <row r="4290">
      <c r="A4290" s="235" t="s">
        <v>31892</v>
      </c>
      <c r="C4290" s="235" t="s">
        <v>31893</v>
      </c>
      <c r="D4290" s="235" t="s">
        <v>31894</v>
      </c>
      <c r="E4290" s="243">
        <v>6.51E13</v>
      </c>
      <c r="F4290" s="245"/>
      <c r="G4290" s="235" t="s">
        <v>31895</v>
      </c>
      <c r="H4290" s="235" t="s">
        <v>31896</v>
      </c>
      <c r="I4290" s="235" t="s">
        <v>31897</v>
      </c>
      <c r="J4290" s="235" t="s">
        <v>31898</v>
      </c>
      <c r="K4290" s="235" t="s">
        <v>31899</v>
      </c>
      <c r="N4290" s="235" t="s">
        <v>842</v>
      </c>
      <c r="O4290" s="235" t="s">
        <v>843</v>
      </c>
      <c r="P4290" s="238">
        <v>1.0</v>
      </c>
      <c r="Q4290" s="235" t="s">
        <v>627</v>
      </c>
      <c r="R4290" s="238">
        <v>246.66</v>
      </c>
      <c r="S4290" s="238">
        <v>12.34</v>
      </c>
      <c r="T4290" s="238">
        <v>0.0</v>
      </c>
      <c r="U4290" s="238">
        <v>0.0</v>
      </c>
      <c r="V4290" s="238">
        <v>0.0</v>
      </c>
      <c r="W4290" s="238">
        <v>0.0</v>
      </c>
      <c r="X4290" s="235" t="s">
        <v>628</v>
      </c>
      <c r="Z4290" s="245"/>
      <c r="AA4290" s="245"/>
      <c r="AB4290" s="245"/>
      <c r="AC4290" s="235" t="s">
        <v>678</v>
      </c>
      <c r="AD4290" s="235" t="s">
        <v>679</v>
      </c>
      <c r="AE4290" s="238">
        <v>560097.0</v>
      </c>
      <c r="AF4290" s="235" t="s">
        <v>631</v>
      </c>
      <c r="AG4290" s="245"/>
      <c r="AH4290" s="245"/>
      <c r="AI4290" s="245"/>
      <c r="AJ4290" s="245"/>
      <c r="AK4290" s="245"/>
      <c r="AL4290" s="245"/>
      <c r="AM4290" s="245"/>
      <c r="AN4290" s="245"/>
      <c r="AO4290" s="238">
        <v>0.0</v>
      </c>
      <c r="AP4290" s="238">
        <v>0.0</v>
      </c>
      <c r="AQ4290" s="235" t="s">
        <v>632</v>
      </c>
      <c r="AR4290" s="243">
        <v>1.68E11</v>
      </c>
      <c r="AS4290" s="235" t="s">
        <v>31798</v>
      </c>
      <c r="AT4290" s="235" t="s">
        <v>9</v>
      </c>
      <c r="AU4290" s="235" t="s">
        <v>634</v>
      </c>
      <c r="AV4290" s="246" t="s">
        <v>635</v>
      </c>
      <c r="AW4290" s="227"/>
      <c r="AX4290" s="227"/>
      <c r="AY4290" s="227"/>
      <c r="AZ4290" s="227"/>
      <c r="BA4290" s="227"/>
      <c r="BB4290" s="227"/>
      <c r="BC4290" s="227"/>
      <c r="BD4290" s="227"/>
      <c r="BE4290" s="227"/>
      <c r="BF4290" s="227"/>
    </row>
    <row r="4291">
      <c r="A4291" s="235" t="s">
        <v>31900</v>
      </c>
      <c r="C4291" s="235" t="s">
        <v>31901</v>
      </c>
      <c r="D4291" s="235" t="s">
        <v>31902</v>
      </c>
      <c r="E4291" s="243">
        <v>6.51E13</v>
      </c>
      <c r="F4291" s="245"/>
      <c r="G4291" s="235" t="s">
        <v>31903</v>
      </c>
      <c r="H4291" s="235" t="s">
        <v>31904</v>
      </c>
      <c r="I4291" s="235" t="s">
        <v>31905</v>
      </c>
      <c r="J4291" s="235" t="s">
        <v>31906</v>
      </c>
      <c r="K4291" s="235" t="s">
        <v>31907</v>
      </c>
      <c r="N4291" s="235" t="s">
        <v>2163</v>
      </c>
      <c r="O4291" s="235" t="s">
        <v>2164</v>
      </c>
      <c r="P4291" s="238">
        <v>1.0</v>
      </c>
      <c r="Q4291" s="235" t="s">
        <v>627</v>
      </c>
      <c r="R4291" s="238">
        <v>245.72</v>
      </c>
      <c r="S4291" s="238">
        <v>12.04</v>
      </c>
      <c r="T4291" s="238">
        <v>0.0</v>
      </c>
      <c r="U4291" s="238">
        <v>0.0</v>
      </c>
      <c r="V4291" s="238">
        <v>0.0</v>
      </c>
      <c r="W4291" s="238">
        <v>0.0</v>
      </c>
      <c r="X4291" s="235" t="s">
        <v>628</v>
      </c>
      <c r="Z4291" s="245"/>
      <c r="AA4291" s="245"/>
      <c r="AB4291" s="245"/>
      <c r="AC4291" s="235" t="s">
        <v>678</v>
      </c>
      <c r="AD4291" s="235" t="s">
        <v>679</v>
      </c>
      <c r="AE4291" s="238">
        <v>560036.0</v>
      </c>
      <c r="AF4291" s="235" t="s">
        <v>631</v>
      </c>
      <c r="AG4291" s="245"/>
      <c r="AH4291" s="245"/>
      <c r="AI4291" s="245"/>
      <c r="AJ4291" s="245"/>
      <c r="AK4291" s="245"/>
      <c r="AL4291" s="245"/>
      <c r="AM4291" s="245"/>
      <c r="AN4291" s="245"/>
      <c r="AO4291" s="238">
        <v>-4.92</v>
      </c>
      <c r="AP4291" s="238">
        <v>0.0</v>
      </c>
      <c r="AQ4291" s="235" t="s">
        <v>632</v>
      </c>
      <c r="AR4291" s="243">
        <v>1.68E11</v>
      </c>
      <c r="AS4291" s="235" t="s">
        <v>31798</v>
      </c>
      <c r="AT4291" s="235" t="s">
        <v>11</v>
      </c>
      <c r="AU4291" s="235" t="s">
        <v>634</v>
      </c>
      <c r="AV4291" s="246" t="s">
        <v>635</v>
      </c>
      <c r="AW4291" s="227"/>
      <c r="AX4291" s="227"/>
      <c r="AY4291" s="227"/>
      <c r="AZ4291" s="227"/>
      <c r="BA4291" s="227"/>
      <c r="BB4291" s="227"/>
      <c r="BC4291" s="227"/>
      <c r="BD4291" s="227"/>
      <c r="BE4291" s="227"/>
      <c r="BF4291" s="227"/>
    </row>
    <row r="4292">
      <c r="A4292" s="235" t="s">
        <v>31908</v>
      </c>
      <c r="C4292" s="235" t="s">
        <v>31909</v>
      </c>
      <c r="D4292" s="235" t="s">
        <v>31910</v>
      </c>
      <c r="E4292" s="243">
        <v>6.51E13</v>
      </c>
      <c r="F4292" s="245"/>
      <c r="G4292" s="235" t="s">
        <v>31911</v>
      </c>
      <c r="H4292" s="235" t="s">
        <v>31912</v>
      </c>
      <c r="I4292" s="235" t="s">
        <v>31912</v>
      </c>
      <c r="J4292" s="235" t="s">
        <v>31913</v>
      </c>
      <c r="K4292" s="235" t="s">
        <v>31914</v>
      </c>
      <c r="N4292" s="235" t="s">
        <v>42</v>
      </c>
      <c r="O4292" s="235" t="s">
        <v>204</v>
      </c>
      <c r="P4292" s="238">
        <v>1.0</v>
      </c>
      <c r="Q4292" s="235" t="s">
        <v>627</v>
      </c>
      <c r="R4292" s="238">
        <v>270.48</v>
      </c>
      <c r="S4292" s="238">
        <v>13.52</v>
      </c>
      <c r="T4292" s="238">
        <v>0.0</v>
      </c>
      <c r="U4292" s="238">
        <v>0.0</v>
      </c>
      <c r="V4292" s="238">
        <v>0.0</v>
      </c>
      <c r="W4292" s="238">
        <v>0.0</v>
      </c>
      <c r="X4292" s="235" t="s">
        <v>628</v>
      </c>
      <c r="Z4292" s="245"/>
      <c r="AA4292" s="245"/>
      <c r="AB4292" s="245"/>
      <c r="AC4292" s="235" t="s">
        <v>678</v>
      </c>
      <c r="AD4292" s="235" t="s">
        <v>679</v>
      </c>
      <c r="AE4292" s="238">
        <v>560063.0</v>
      </c>
      <c r="AF4292" s="235" t="s">
        <v>631</v>
      </c>
      <c r="AG4292" s="245"/>
      <c r="AH4292" s="245"/>
      <c r="AI4292" s="245"/>
      <c r="AJ4292" s="245"/>
      <c r="AK4292" s="245"/>
      <c r="AL4292" s="245"/>
      <c r="AM4292" s="245"/>
      <c r="AN4292" s="245"/>
      <c r="AO4292" s="238">
        <v>0.0</v>
      </c>
      <c r="AP4292" s="238">
        <v>0.0</v>
      </c>
      <c r="AQ4292" s="235" t="s">
        <v>632</v>
      </c>
      <c r="AR4292" s="243">
        <v>1.68E11</v>
      </c>
      <c r="AS4292" s="235" t="s">
        <v>31798</v>
      </c>
      <c r="AT4292" s="235" t="s">
        <v>9</v>
      </c>
      <c r="AU4292" s="235" t="s">
        <v>634</v>
      </c>
      <c r="AV4292" s="246" t="s">
        <v>635</v>
      </c>
      <c r="AW4292" s="227"/>
      <c r="AX4292" s="227"/>
      <c r="AY4292" s="227"/>
      <c r="AZ4292" s="227"/>
      <c r="BA4292" s="227"/>
      <c r="BB4292" s="227"/>
      <c r="BC4292" s="227"/>
      <c r="BD4292" s="227"/>
      <c r="BE4292" s="227"/>
      <c r="BF4292" s="227"/>
    </row>
    <row r="4293">
      <c r="A4293" s="235" t="s">
        <v>31915</v>
      </c>
      <c r="C4293" s="235" t="s">
        <v>31916</v>
      </c>
      <c r="D4293" s="235" t="s">
        <v>31917</v>
      </c>
      <c r="E4293" s="243">
        <v>6.51E13</v>
      </c>
      <c r="F4293" s="245"/>
      <c r="G4293" s="235" t="s">
        <v>31918</v>
      </c>
      <c r="H4293" s="235" t="s">
        <v>31919</v>
      </c>
      <c r="I4293" s="235" t="s">
        <v>31920</v>
      </c>
      <c r="J4293" s="235" t="s">
        <v>31921</v>
      </c>
      <c r="K4293" s="235" t="s">
        <v>31922</v>
      </c>
      <c r="N4293" s="235" t="s">
        <v>154</v>
      </c>
      <c r="O4293" s="235" t="s">
        <v>766</v>
      </c>
      <c r="P4293" s="238">
        <v>1.0</v>
      </c>
      <c r="Q4293" s="235" t="s">
        <v>627</v>
      </c>
      <c r="R4293" s="238">
        <v>465.71</v>
      </c>
      <c r="S4293" s="238">
        <v>23.29</v>
      </c>
      <c r="T4293" s="238">
        <v>0.0</v>
      </c>
      <c r="U4293" s="238">
        <v>0.0</v>
      </c>
      <c r="V4293" s="238">
        <v>0.0</v>
      </c>
      <c r="W4293" s="238">
        <v>0.0</v>
      </c>
      <c r="X4293" s="235" t="s">
        <v>628</v>
      </c>
      <c r="Z4293" s="245"/>
      <c r="AA4293" s="245"/>
      <c r="AB4293" s="245"/>
      <c r="AC4293" s="235" t="s">
        <v>10363</v>
      </c>
      <c r="AD4293" s="235" t="s">
        <v>645</v>
      </c>
      <c r="AE4293" s="238">
        <v>682013.0</v>
      </c>
      <c r="AF4293" s="235" t="s">
        <v>631</v>
      </c>
      <c r="AG4293" s="245"/>
      <c r="AH4293" s="245"/>
      <c r="AI4293" s="245"/>
      <c r="AJ4293" s="245"/>
      <c r="AK4293" s="245"/>
      <c r="AL4293" s="245"/>
      <c r="AM4293" s="245"/>
      <c r="AN4293" s="245"/>
      <c r="AO4293" s="238">
        <v>0.0</v>
      </c>
      <c r="AP4293" s="238">
        <v>0.0</v>
      </c>
      <c r="AQ4293" s="235" t="s">
        <v>632</v>
      </c>
      <c r="AR4293" s="243">
        <v>1.68E11</v>
      </c>
      <c r="AS4293" s="235" t="s">
        <v>31232</v>
      </c>
      <c r="AT4293" s="235" t="s">
        <v>155</v>
      </c>
      <c r="AU4293" s="235" t="s">
        <v>634</v>
      </c>
      <c r="AV4293" s="246" t="s">
        <v>635</v>
      </c>
      <c r="AW4293" s="227"/>
      <c r="AX4293" s="227"/>
      <c r="AY4293" s="227"/>
      <c r="AZ4293" s="227"/>
      <c r="BA4293" s="227"/>
      <c r="BB4293" s="227"/>
      <c r="BC4293" s="227"/>
      <c r="BD4293" s="227"/>
      <c r="BE4293" s="227"/>
      <c r="BF4293" s="227"/>
    </row>
    <row r="4294">
      <c r="A4294" s="235" t="s">
        <v>31923</v>
      </c>
      <c r="C4294" s="235" t="s">
        <v>31924</v>
      </c>
      <c r="D4294" s="235" t="s">
        <v>31925</v>
      </c>
      <c r="E4294" s="243">
        <v>6.51E13</v>
      </c>
      <c r="F4294" s="245"/>
      <c r="G4294" s="235" t="s">
        <v>31926</v>
      </c>
      <c r="H4294" s="235" t="s">
        <v>31927</v>
      </c>
      <c r="I4294" s="235" t="s">
        <v>31927</v>
      </c>
      <c r="J4294" s="235" t="s">
        <v>31928</v>
      </c>
      <c r="K4294" s="235" t="s">
        <v>31929</v>
      </c>
      <c r="N4294" s="235" t="s">
        <v>127</v>
      </c>
      <c r="O4294" s="235" t="s">
        <v>794</v>
      </c>
      <c r="P4294" s="238">
        <v>1.0</v>
      </c>
      <c r="Q4294" s="235" t="s">
        <v>627</v>
      </c>
      <c r="R4294" s="238">
        <v>243.81</v>
      </c>
      <c r="S4294" s="238">
        <v>11.95</v>
      </c>
      <c r="T4294" s="238">
        <v>0.0</v>
      </c>
      <c r="U4294" s="238">
        <v>0.0</v>
      </c>
      <c r="V4294" s="238">
        <v>0.0</v>
      </c>
      <c r="W4294" s="238">
        <v>0.0</v>
      </c>
      <c r="X4294" s="235" t="s">
        <v>628</v>
      </c>
      <c r="Z4294" s="245"/>
      <c r="AA4294" s="245"/>
      <c r="AB4294" s="245"/>
      <c r="AC4294" s="235" t="s">
        <v>795</v>
      </c>
      <c r="AD4294" s="235" t="s">
        <v>796</v>
      </c>
      <c r="AE4294" s="238">
        <v>110041.0</v>
      </c>
      <c r="AF4294" s="235" t="s">
        <v>631</v>
      </c>
      <c r="AG4294" s="245"/>
      <c r="AH4294" s="245"/>
      <c r="AI4294" s="245"/>
      <c r="AJ4294" s="245"/>
      <c r="AK4294" s="245"/>
      <c r="AL4294" s="245"/>
      <c r="AM4294" s="245"/>
      <c r="AN4294" s="245"/>
      <c r="AO4294" s="238">
        <v>-4.88</v>
      </c>
      <c r="AP4294" s="238">
        <v>0.0</v>
      </c>
      <c r="AQ4294" s="235" t="s">
        <v>632</v>
      </c>
      <c r="AR4294" s="243">
        <v>3.71E11</v>
      </c>
      <c r="AS4294" s="235" t="s">
        <v>31232</v>
      </c>
      <c r="AT4294" s="235" t="s">
        <v>533</v>
      </c>
      <c r="AU4294" s="235" t="s">
        <v>634</v>
      </c>
      <c r="AV4294" s="246" t="s">
        <v>635</v>
      </c>
      <c r="AW4294" s="227"/>
      <c r="AX4294" s="227"/>
      <c r="AY4294" s="227"/>
      <c r="AZ4294" s="227"/>
      <c r="BA4294" s="227"/>
      <c r="BB4294" s="227"/>
      <c r="BC4294" s="227"/>
      <c r="BD4294" s="227"/>
      <c r="BE4294" s="227"/>
      <c r="BF4294" s="227"/>
    </row>
    <row r="4295">
      <c r="A4295" s="235" t="s">
        <v>31930</v>
      </c>
      <c r="C4295" s="235" t="s">
        <v>31931</v>
      </c>
      <c r="D4295" s="235" t="s">
        <v>31932</v>
      </c>
      <c r="E4295" s="243">
        <v>6.51E13</v>
      </c>
      <c r="F4295" s="245"/>
      <c r="G4295" s="235" t="s">
        <v>31933</v>
      </c>
      <c r="H4295" s="235" t="s">
        <v>31934</v>
      </c>
      <c r="I4295" s="235" t="s">
        <v>31934</v>
      </c>
      <c r="J4295" s="235" t="s">
        <v>31935</v>
      </c>
      <c r="K4295" s="235" t="s">
        <v>31936</v>
      </c>
      <c r="N4295" s="235" t="s">
        <v>130</v>
      </c>
      <c r="O4295" s="235" t="s">
        <v>707</v>
      </c>
      <c r="P4295" s="238">
        <v>1.0</v>
      </c>
      <c r="Q4295" s="235" t="s">
        <v>627</v>
      </c>
      <c r="R4295" s="238">
        <v>243.81</v>
      </c>
      <c r="S4295" s="238">
        <v>12.19</v>
      </c>
      <c r="T4295" s="238">
        <v>0.0</v>
      </c>
      <c r="U4295" s="238">
        <v>0.0</v>
      </c>
      <c r="V4295" s="238">
        <v>0.0</v>
      </c>
      <c r="W4295" s="238">
        <v>0.0</v>
      </c>
      <c r="X4295" s="235" t="s">
        <v>628</v>
      </c>
      <c r="Z4295" s="245"/>
      <c r="AA4295" s="245"/>
      <c r="AB4295" s="245"/>
      <c r="AC4295" s="235" t="s">
        <v>795</v>
      </c>
      <c r="AD4295" s="235" t="s">
        <v>796</v>
      </c>
      <c r="AE4295" s="238">
        <v>110045.0</v>
      </c>
      <c r="AF4295" s="235" t="s">
        <v>631</v>
      </c>
      <c r="AG4295" s="245"/>
      <c r="AH4295" s="245"/>
      <c r="AI4295" s="245"/>
      <c r="AJ4295" s="245"/>
      <c r="AK4295" s="245"/>
      <c r="AL4295" s="245"/>
      <c r="AM4295" s="245"/>
      <c r="AN4295" s="245"/>
      <c r="AO4295" s="238">
        <v>0.0</v>
      </c>
      <c r="AP4295" s="238">
        <v>0.0</v>
      </c>
      <c r="AQ4295" s="235" t="s">
        <v>632</v>
      </c>
      <c r="AR4295" s="243">
        <v>1.68E11</v>
      </c>
      <c r="AS4295" s="235" t="s">
        <v>31798</v>
      </c>
      <c r="AT4295" s="235" t="s">
        <v>14</v>
      </c>
      <c r="AU4295" s="235" t="s">
        <v>634</v>
      </c>
      <c r="AV4295" s="246" t="s">
        <v>635</v>
      </c>
      <c r="AW4295" s="227"/>
      <c r="AX4295" s="227"/>
      <c r="AY4295" s="227"/>
      <c r="AZ4295" s="227"/>
      <c r="BA4295" s="227"/>
      <c r="BB4295" s="227"/>
      <c r="BC4295" s="227"/>
      <c r="BD4295" s="227"/>
      <c r="BE4295" s="227"/>
      <c r="BF4295" s="227"/>
    </row>
    <row r="4296">
      <c r="A4296" s="235" t="s">
        <v>31937</v>
      </c>
      <c r="C4296" s="235" t="s">
        <v>31938</v>
      </c>
      <c r="D4296" s="235" t="s">
        <v>31939</v>
      </c>
      <c r="E4296" s="243">
        <v>6.51E13</v>
      </c>
      <c r="F4296" s="245"/>
      <c r="G4296" s="235" t="s">
        <v>31940</v>
      </c>
      <c r="H4296" s="235" t="s">
        <v>31941</v>
      </c>
      <c r="I4296" s="235" t="s">
        <v>31941</v>
      </c>
      <c r="J4296" s="235" t="s">
        <v>31942</v>
      </c>
      <c r="K4296" s="235" t="s">
        <v>5002</v>
      </c>
      <c r="N4296" s="235" t="s">
        <v>566</v>
      </c>
      <c r="O4296" s="235" t="s">
        <v>13068</v>
      </c>
      <c r="P4296" s="238">
        <v>1.0</v>
      </c>
      <c r="Q4296" s="235" t="s">
        <v>627</v>
      </c>
      <c r="R4296" s="238">
        <v>419.49</v>
      </c>
      <c r="S4296" s="238">
        <v>75.51</v>
      </c>
      <c r="T4296" s="238">
        <v>0.0</v>
      </c>
      <c r="U4296" s="238">
        <v>0.0</v>
      </c>
      <c r="V4296" s="238">
        <v>0.0</v>
      </c>
      <c r="W4296" s="238">
        <v>0.0</v>
      </c>
      <c r="X4296" s="235" t="s">
        <v>628</v>
      </c>
      <c r="Z4296" s="245"/>
      <c r="AA4296" s="245"/>
      <c r="AB4296" s="245"/>
      <c r="AC4296" s="235" t="s">
        <v>5003</v>
      </c>
      <c r="AD4296" s="235" t="s">
        <v>645</v>
      </c>
      <c r="AE4296" s="238">
        <v>683585.0</v>
      </c>
      <c r="AF4296" s="235" t="s">
        <v>631</v>
      </c>
      <c r="AG4296" s="245"/>
      <c r="AH4296" s="245"/>
      <c r="AI4296" s="245"/>
      <c r="AJ4296" s="245"/>
      <c r="AK4296" s="245"/>
      <c r="AL4296" s="245"/>
      <c r="AM4296" s="245"/>
      <c r="AN4296" s="245"/>
      <c r="AO4296" s="238">
        <v>0.0</v>
      </c>
      <c r="AP4296" s="238">
        <v>0.0</v>
      </c>
      <c r="AQ4296" s="235" t="s">
        <v>632</v>
      </c>
      <c r="AR4296" s="243">
        <v>3.71E11</v>
      </c>
      <c r="AS4296" s="235" t="s">
        <v>28482</v>
      </c>
      <c r="AT4296" s="235" t="s">
        <v>155</v>
      </c>
      <c r="AU4296" s="235" t="s">
        <v>634</v>
      </c>
      <c r="AV4296" s="246" t="s">
        <v>635</v>
      </c>
      <c r="AW4296" s="227"/>
      <c r="AX4296" s="227"/>
      <c r="AY4296" s="227"/>
      <c r="AZ4296" s="227"/>
      <c r="BA4296" s="227"/>
      <c r="BB4296" s="227"/>
      <c r="BC4296" s="227"/>
      <c r="BD4296" s="227"/>
      <c r="BE4296" s="227"/>
      <c r="BF4296" s="227"/>
    </row>
    <row r="4297">
      <c r="A4297" s="235" t="s">
        <v>31943</v>
      </c>
      <c r="C4297" s="235" t="s">
        <v>31944</v>
      </c>
      <c r="D4297" s="235" t="s">
        <v>31945</v>
      </c>
      <c r="E4297" s="243">
        <v>6.51E13</v>
      </c>
      <c r="F4297" s="245"/>
      <c r="G4297" s="235" t="s">
        <v>31946</v>
      </c>
      <c r="H4297" s="235" t="s">
        <v>31947</v>
      </c>
      <c r="I4297" s="235" t="s">
        <v>31948</v>
      </c>
      <c r="J4297" s="235" t="s">
        <v>31949</v>
      </c>
      <c r="K4297" s="235" t="s">
        <v>31950</v>
      </c>
      <c r="N4297" s="235" t="s">
        <v>90</v>
      </c>
      <c r="O4297" s="235" t="s">
        <v>279</v>
      </c>
      <c r="P4297" s="238">
        <v>1.0</v>
      </c>
      <c r="Q4297" s="235" t="s">
        <v>627</v>
      </c>
      <c r="R4297" s="238">
        <v>270.48</v>
      </c>
      <c r="S4297" s="238">
        <v>13.52</v>
      </c>
      <c r="T4297" s="238">
        <v>0.0</v>
      </c>
      <c r="U4297" s="238">
        <v>0.0</v>
      </c>
      <c r="V4297" s="238">
        <v>0.0</v>
      </c>
      <c r="W4297" s="238">
        <v>0.0</v>
      </c>
      <c r="X4297" s="235" t="s">
        <v>628</v>
      </c>
      <c r="Z4297" s="245"/>
      <c r="AA4297" s="245"/>
      <c r="AB4297" s="245"/>
      <c r="AC4297" s="235" t="s">
        <v>1887</v>
      </c>
      <c r="AD4297" s="235" t="s">
        <v>679</v>
      </c>
      <c r="AE4297" s="238">
        <v>560087.0</v>
      </c>
      <c r="AF4297" s="235" t="s">
        <v>631</v>
      </c>
      <c r="AG4297" s="245"/>
      <c r="AH4297" s="245"/>
      <c r="AI4297" s="245"/>
      <c r="AJ4297" s="245"/>
      <c r="AK4297" s="245"/>
      <c r="AL4297" s="245"/>
      <c r="AM4297" s="245"/>
      <c r="AN4297" s="245"/>
      <c r="AO4297" s="238">
        <v>0.0</v>
      </c>
      <c r="AP4297" s="238">
        <v>0.0</v>
      </c>
      <c r="AQ4297" s="235" t="s">
        <v>632</v>
      </c>
      <c r="AR4297" s="243">
        <v>1.68E11</v>
      </c>
      <c r="AS4297" s="235" t="s">
        <v>31798</v>
      </c>
      <c r="AT4297" s="235" t="s">
        <v>9</v>
      </c>
      <c r="AU4297" s="235" t="s">
        <v>634</v>
      </c>
      <c r="AV4297" s="246" t="s">
        <v>635</v>
      </c>
      <c r="AW4297" s="227"/>
      <c r="AX4297" s="227"/>
      <c r="AY4297" s="227"/>
      <c r="AZ4297" s="227"/>
      <c r="BA4297" s="227"/>
      <c r="BB4297" s="227"/>
      <c r="BC4297" s="227"/>
      <c r="BD4297" s="227"/>
      <c r="BE4297" s="227"/>
      <c r="BF4297" s="227"/>
    </row>
    <row r="4298">
      <c r="A4298" s="235" t="s">
        <v>31951</v>
      </c>
      <c r="C4298" s="235" t="s">
        <v>31952</v>
      </c>
      <c r="D4298" s="235" t="s">
        <v>31953</v>
      </c>
      <c r="E4298" s="243">
        <v>6.5E13</v>
      </c>
      <c r="F4298" s="245"/>
      <c r="G4298" s="235" t="s">
        <v>31954</v>
      </c>
      <c r="H4298" s="235" t="s">
        <v>31955</v>
      </c>
      <c r="I4298" s="235" t="s">
        <v>31955</v>
      </c>
      <c r="J4298" s="235" t="s">
        <v>31956</v>
      </c>
      <c r="K4298" s="235" t="s">
        <v>31957</v>
      </c>
      <c r="N4298" s="235" t="s">
        <v>146</v>
      </c>
      <c r="O4298" s="235" t="s">
        <v>438</v>
      </c>
      <c r="P4298" s="238">
        <v>1.0</v>
      </c>
      <c r="Q4298" s="235" t="s">
        <v>627</v>
      </c>
      <c r="R4298" s="238">
        <v>256.2</v>
      </c>
      <c r="S4298" s="238">
        <v>12.8</v>
      </c>
      <c r="T4298" s="238">
        <v>0.0</v>
      </c>
      <c r="U4298" s="238">
        <v>0.0</v>
      </c>
      <c r="V4298" s="238">
        <v>0.0</v>
      </c>
      <c r="W4298" s="238">
        <v>0.0</v>
      </c>
      <c r="X4298" s="235" t="s">
        <v>628</v>
      </c>
      <c r="Z4298" s="245"/>
      <c r="AA4298" s="245"/>
      <c r="AB4298" s="245"/>
      <c r="AC4298" s="235" t="s">
        <v>1058</v>
      </c>
      <c r="AD4298" s="235" t="s">
        <v>845</v>
      </c>
      <c r="AE4298" s="238">
        <v>400037.0</v>
      </c>
      <c r="AF4298" s="235" t="s">
        <v>631</v>
      </c>
      <c r="AG4298" s="245"/>
      <c r="AH4298" s="245"/>
      <c r="AI4298" s="245"/>
      <c r="AJ4298" s="245"/>
      <c r="AK4298" s="245"/>
      <c r="AL4298" s="245"/>
      <c r="AM4298" s="245"/>
      <c r="AN4298" s="245"/>
      <c r="AO4298" s="238">
        <v>0.0</v>
      </c>
      <c r="AP4298" s="238">
        <v>0.0</v>
      </c>
      <c r="AQ4298" s="235" t="s">
        <v>632</v>
      </c>
      <c r="AR4298" s="243">
        <v>3.71E11</v>
      </c>
      <c r="AS4298" s="235" t="s">
        <v>31232</v>
      </c>
      <c r="AT4298" s="235" t="s">
        <v>16</v>
      </c>
      <c r="AU4298" s="235" t="s">
        <v>634</v>
      </c>
      <c r="AV4298" s="246" t="s">
        <v>635</v>
      </c>
      <c r="AW4298" s="227"/>
      <c r="AX4298" s="227"/>
      <c r="AY4298" s="227"/>
      <c r="AZ4298" s="227"/>
      <c r="BA4298" s="227"/>
      <c r="BB4298" s="227"/>
      <c r="BC4298" s="227"/>
      <c r="BD4298" s="227"/>
      <c r="BE4298" s="227"/>
      <c r="BF4298" s="227"/>
    </row>
    <row r="4299">
      <c r="A4299" s="235" t="s">
        <v>31958</v>
      </c>
      <c r="C4299" s="235" t="s">
        <v>31959</v>
      </c>
      <c r="D4299" s="235" t="s">
        <v>31960</v>
      </c>
      <c r="E4299" s="243">
        <v>6.51E13</v>
      </c>
      <c r="F4299" s="245"/>
      <c r="G4299" s="235" t="s">
        <v>31961</v>
      </c>
      <c r="H4299" s="235" t="s">
        <v>31962</v>
      </c>
      <c r="I4299" s="235" t="s">
        <v>31963</v>
      </c>
      <c r="J4299" s="235" t="s">
        <v>31964</v>
      </c>
      <c r="K4299" s="235" t="s">
        <v>31965</v>
      </c>
      <c r="N4299" s="235" t="s">
        <v>962</v>
      </c>
      <c r="O4299" s="235" t="s">
        <v>963</v>
      </c>
      <c r="P4299" s="238">
        <v>1.0</v>
      </c>
      <c r="Q4299" s="235" t="s">
        <v>627</v>
      </c>
      <c r="R4299" s="238">
        <v>270.48</v>
      </c>
      <c r="S4299" s="238">
        <v>13.52</v>
      </c>
      <c r="T4299" s="238">
        <v>0.0</v>
      </c>
      <c r="U4299" s="238">
        <v>0.0</v>
      </c>
      <c r="V4299" s="238">
        <v>0.0</v>
      </c>
      <c r="W4299" s="238">
        <v>0.0</v>
      </c>
      <c r="X4299" s="235" t="s">
        <v>628</v>
      </c>
      <c r="Z4299" s="245"/>
      <c r="AA4299" s="245"/>
      <c r="AB4299" s="245"/>
      <c r="AC4299" s="235" t="s">
        <v>2731</v>
      </c>
      <c r="AD4299" s="235" t="s">
        <v>666</v>
      </c>
      <c r="AE4299" s="238">
        <v>635001.0</v>
      </c>
      <c r="AF4299" s="235" t="s">
        <v>631</v>
      </c>
      <c r="AG4299" s="245"/>
      <c r="AH4299" s="245"/>
      <c r="AI4299" s="245"/>
      <c r="AJ4299" s="245"/>
      <c r="AK4299" s="245"/>
      <c r="AL4299" s="245"/>
      <c r="AM4299" s="245"/>
      <c r="AN4299" s="245"/>
      <c r="AO4299" s="238">
        <v>0.0</v>
      </c>
      <c r="AP4299" s="238">
        <v>0.0</v>
      </c>
      <c r="AQ4299" s="235" t="s">
        <v>632</v>
      </c>
      <c r="AR4299" s="243">
        <v>1.68E11</v>
      </c>
      <c r="AS4299" s="235" t="s">
        <v>31232</v>
      </c>
      <c r="AT4299" s="235" t="s">
        <v>155</v>
      </c>
      <c r="AU4299" s="235" t="s">
        <v>634</v>
      </c>
      <c r="AV4299" s="246" t="s">
        <v>635</v>
      </c>
      <c r="AW4299" s="227"/>
      <c r="AX4299" s="227"/>
      <c r="AY4299" s="227"/>
      <c r="AZ4299" s="227"/>
      <c r="BA4299" s="227"/>
      <c r="BB4299" s="227"/>
      <c r="BC4299" s="227"/>
      <c r="BD4299" s="227"/>
      <c r="BE4299" s="227"/>
      <c r="BF4299" s="227"/>
    </row>
    <row r="4300">
      <c r="A4300" s="235" t="s">
        <v>31966</v>
      </c>
      <c r="C4300" s="235" t="s">
        <v>31967</v>
      </c>
      <c r="D4300" s="235" t="s">
        <v>31968</v>
      </c>
      <c r="E4300" s="243">
        <v>6.51E13</v>
      </c>
      <c r="F4300" s="245"/>
      <c r="G4300" s="235" t="s">
        <v>31969</v>
      </c>
      <c r="H4300" s="235" t="s">
        <v>31970</v>
      </c>
      <c r="I4300" s="235" t="s">
        <v>31970</v>
      </c>
      <c r="J4300" s="235" t="s">
        <v>31971</v>
      </c>
      <c r="K4300" s="235" t="s">
        <v>31972</v>
      </c>
      <c r="N4300" s="235" t="s">
        <v>130</v>
      </c>
      <c r="O4300" s="235" t="s">
        <v>707</v>
      </c>
      <c r="P4300" s="238">
        <v>1.0</v>
      </c>
      <c r="Q4300" s="235" t="s">
        <v>627</v>
      </c>
      <c r="R4300" s="238">
        <v>270.48</v>
      </c>
      <c r="S4300" s="238">
        <v>13.52</v>
      </c>
      <c r="T4300" s="238">
        <v>0.0</v>
      </c>
      <c r="U4300" s="238">
        <v>0.0</v>
      </c>
      <c r="V4300" s="238">
        <v>0.0</v>
      </c>
      <c r="W4300" s="238">
        <v>0.0</v>
      </c>
      <c r="X4300" s="235" t="s">
        <v>628</v>
      </c>
      <c r="Z4300" s="245"/>
      <c r="AA4300" s="245"/>
      <c r="AB4300" s="245"/>
      <c r="AC4300" s="235" t="s">
        <v>4664</v>
      </c>
      <c r="AD4300" s="235" t="s">
        <v>698</v>
      </c>
      <c r="AE4300" s="238">
        <v>506002.0</v>
      </c>
      <c r="AF4300" s="235" t="s">
        <v>631</v>
      </c>
      <c r="AG4300" s="245"/>
      <c r="AH4300" s="245"/>
      <c r="AI4300" s="245"/>
      <c r="AJ4300" s="245"/>
      <c r="AK4300" s="245"/>
      <c r="AL4300" s="245"/>
      <c r="AM4300" s="245"/>
      <c r="AN4300" s="245"/>
      <c r="AO4300" s="238">
        <v>0.0</v>
      </c>
      <c r="AP4300" s="238">
        <v>0.0</v>
      </c>
      <c r="AQ4300" s="235" t="s">
        <v>632</v>
      </c>
      <c r="AR4300" s="243">
        <v>3.71E11</v>
      </c>
      <c r="AS4300" s="235" t="s">
        <v>28482</v>
      </c>
      <c r="AT4300" s="235" t="s">
        <v>546</v>
      </c>
      <c r="AU4300" s="235" t="s">
        <v>634</v>
      </c>
      <c r="AV4300" s="246" t="s">
        <v>635</v>
      </c>
      <c r="AW4300" s="227"/>
      <c r="AX4300" s="227"/>
      <c r="AY4300" s="227"/>
      <c r="AZ4300" s="227"/>
      <c r="BA4300" s="227"/>
      <c r="BB4300" s="227"/>
      <c r="BC4300" s="227"/>
      <c r="BD4300" s="227"/>
      <c r="BE4300" s="227"/>
      <c r="BF4300" s="227"/>
    </row>
    <row r="4301">
      <c r="A4301" s="235" t="s">
        <v>31973</v>
      </c>
      <c r="C4301" s="235" t="s">
        <v>31974</v>
      </c>
      <c r="D4301" s="235" t="s">
        <v>31975</v>
      </c>
      <c r="E4301" s="243">
        <v>6.51E13</v>
      </c>
      <c r="F4301" s="245"/>
      <c r="G4301" s="235" t="s">
        <v>31976</v>
      </c>
      <c r="H4301" s="235" t="s">
        <v>31977</v>
      </c>
      <c r="I4301" s="235" t="s">
        <v>31977</v>
      </c>
      <c r="J4301" s="235" t="s">
        <v>31978</v>
      </c>
      <c r="K4301" s="235" t="s">
        <v>31972</v>
      </c>
      <c r="N4301" s="235" t="s">
        <v>127</v>
      </c>
      <c r="O4301" s="235" t="s">
        <v>794</v>
      </c>
      <c r="P4301" s="238">
        <v>1.0</v>
      </c>
      <c r="Q4301" s="235" t="s">
        <v>627</v>
      </c>
      <c r="R4301" s="238">
        <v>270.48</v>
      </c>
      <c r="S4301" s="238">
        <v>13.52</v>
      </c>
      <c r="T4301" s="238">
        <v>0.0</v>
      </c>
      <c r="U4301" s="238">
        <v>0.0</v>
      </c>
      <c r="V4301" s="238">
        <v>0.0</v>
      </c>
      <c r="W4301" s="238">
        <v>0.0</v>
      </c>
      <c r="X4301" s="235" t="s">
        <v>628</v>
      </c>
      <c r="Z4301" s="245"/>
      <c r="AA4301" s="245"/>
      <c r="AB4301" s="245"/>
      <c r="AC4301" s="235" t="s">
        <v>4664</v>
      </c>
      <c r="AD4301" s="235" t="s">
        <v>698</v>
      </c>
      <c r="AE4301" s="238">
        <v>506002.0</v>
      </c>
      <c r="AF4301" s="235" t="s">
        <v>631</v>
      </c>
      <c r="AG4301" s="245"/>
      <c r="AH4301" s="245"/>
      <c r="AI4301" s="245"/>
      <c r="AJ4301" s="245"/>
      <c r="AK4301" s="245"/>
      <c r="AL4301" s="245"/>
      <c r="AM4301" s="245"/>
      <c r="AN4301" s="245"/>
      <c r="AO4301" s="238">
        <v>0.0</v>
      </c>
      <c r="AP4301" s="238">
        <v>0.0</v>
      </c>
      <c r="AQ4301" s="235" t="s">
        <v>632</v>
      </c>
      <c r="AR4301" s="243">
        <v>3.71E11</v>
      </c>
      <c r="AS4301" s="235" t="s">
        <v>28482</v>
      </c>
      <c r="AT4301" s="235" t="s">
        <v>546</v>
      </c>
      <c r="AU4301" s="235" t="s">
        <v>634</v>
      </c>
      <c r="AV4301" s="246" t="s">
        <v>635</v>
      </c>
      <c r="AW4301" s="227"/>
      <c r="AX4301" s="227"/>
      <c r="AY4301" s="227"/>
      <c r="AZ4301" s="227"/>
      <c r="BA4301" s="227"/>
      <c r="BB4301" s="227"/>
      <c r="BC4301" s="227"/>
      <c r="BD4301" s="227"/>
      <c r="BE4301" s="227"/>
      <c r="BF4301" s="227"/>
    </row>
    <row r="4302">
      <c r="A4302" s="235" t="s">
        <v>31979</v>
      </c>
      <c r="C4302" s="235" t="s">
        <v>31980</v>
      </c>
      <c r="D4302" s="235" t="s">
        <v>31981</v>
      </c>
      <c r="E4302" s="243">
        <v>6.5E13</v>
      </c>
      <c r="F4302" s="245"/>
      <c r="G4302" s="235" t="s">
        <v>31982</v>
      </c>
      <c r="H4302" s="235" t="s">
        <v>31983</v>
      </c>
      <c r="I4302" s="235" t="s">
        <v>31983</v>
      </c>
      <c r="J4302" s="235" t="s">
        <v>31984</v>
      </c>
      <c r="K4302" s="235" t="s">
        <v>31985</v>
      </c>
      <c r="N4302" s="235" t="s">
        <v>154</v>
      </c>
      <c r="O4302" s="235" t="s">
        <v>766</v>
      </c>
      <c r="P4302" s="238">
        <v>1.0</v>
      </c>
      <c r="Q4302" s="235" t="s">
        <v>627</v>
      </c>
      <c r="R4302" s="238">
        <v>465.71</v>
      </c>
      <c r="S4302" s="238">
        <v>22.82</v>
      </c>
      <c r="T4302" s="238">
        <v>0.0</v>
      </c>
      <c r="U4302" s="238">
        <v>0.0</v>
      </c>
      <c r="V4302" s="238">
        <v>0.0</v>
      </c>
      <c r="W4302" s="238">
        <v>0.0</v>
      </c>
      <c r="X4302" s="235" t="s">
        <v>628</v>
      </c>
      <c r="Z4302" s="245"/>
      <c r="AA4302" s="245"/>
      <c r="AB4302" s="245"/>
      <c r="AC4302" s="235" t="s">
        <v>1287</v>
      </c>
      <c r="AD4302" s="235" t="s">
        <v>630</v>
      </c>
      <c r="AE4302" s="238">
        <v>201001.0</v>
      </c>
      <c r="AF4302" s="235" t="s">
        <v>631</v>
      </c>
      <c r="AG4302" s="245"/>
      <c r="AH4302" s="245"/>
      <c r="AI4302" s="245"/>
      <c r="AJ4302" s="245"/>
      <c r="AK4302" s="245"/>
      <c r="AL4302" s="245"/>
      <c r="AM4302" s="245"/>
      <c r="AN4302" s="245"/>
      <c r="AO4302" s="238">
        <v>-9.31</v>
      </c>
      <c r="AP4302" s="238">
        <v>0.0</v>
      </c>
      <c r="AQ4302" s="235" t="s">
        <v>632</v>
      </c>
      <c r="AR4302" s="243">
        <v>3.71E11</v>
      </c>
      <c r="AS4302" s="235" t="s">
        <v>31232</v>
      </c>
      <c r="AT4302" s="235" t="s">
        <v>13</v>
      </c>
      <c r="AU4302" s="235" t="s">
        <v>634</v>
      </c>
      <c r="AV4302" s="246" t="s">
        <v>635</v>
      </c>
      <c r="AW4302" s="227"/>
      <c r="AX4302" s="227"/>
      <c r="AY4302" s="227"/>
      <c r="AZ4302" s="227"/>
      <c r="BA4302" s="227"/>
      <c r="BB4302" s="227"/>
      <c r="BC4302" s="227"/>
      <c r="BD4302" s="227"/>
      <c r="BE4302" s="227"/>
      <c r="BF4302" s="227"/>
    </row>
    <row r="4303">
      <c r="A4303" s="235" t="s">
        <v>31986</v>
      </c>
      <c r="C4303" s="235" t="s">
        <v>31987</v>
      </c>
      <c r="D4303" s="235" t="s">
        <v>31988</v>
      </c>
      <c r="E4303" s="243">
        <v>6.51E13</v>
      </c>
      <c r="F4303" s="245"/>
      <c r="G4303" s="235" t="s">
        <v>31989</v>
      </c>
      <c r="H4303" s="235" t="s">
        <v>31990</v>
      </c>
      <c r="I4303" s="235" t="s">
        <v>31990</v>
      </c>
      <c r="J4303" s="235" t="s">
        <v>31991</v>
      </c>
      <c r="K4303" s="235" t="s">
        <v>31992</v>
      </c>
      <c r="N4303" s="235" t="s">
        <v>127</v>
      </c>
      <c r="O4303" s="235" t="s">
        <v>794</v>
      </c>
      <c r="P4303" s="238">
        <v>1.0</v>
      </c>
      <c r="Q4303" s="235" t="s">
        <v>627</v>
      </c>
      <c r="R4303" s="238">
        <v>243.8</v>
      </c>
      <c r="S4303" s="238">
        <v>11.96</v>
      </c>
      <c r="T4303" s="238">
        <v>0.0</v>
      </c>
      <c r="U4303" s="238">
        <v>0.0</v>
      </c>
      <c r="V4303" s="238">
        <v>0.0</v>
      </c>
      <c r="W4303" s="238">
        <v>0.0</v>
      </c>
      <c r="X4303" s="235" t="s">
        <v>628</v>
      </c>
      <c r="Z4303" s="245"/>
      <c r="AA4303" s="245"/>
      <c r="AB4303" s="245"/>
      <c r="AC4303" s="235" t="s">
        <v>678</v>
      </c>
      <c r="AD4303" s="235" t="s">
        <v>679</v>
      </c>
      <c r="AE4303" s="238">
        <v>560062.0</v>
      </c>
      <c r="AF4303" s="235" t="s">
        <v>631</v>
      </c>
      <c r="AG4303" s="245"/>
      <c r="AH4303" s="245"/>
      <c r="AI4303" s="245"/>
      <c r="AJ4303" s="245"/>
      <c r="AK4303" s="245"/>
      <c r="AL4303" s="245"/>
      <c r="AM4303" s="245"/>
      <c r="AN4303" s="245"/>
      <c r="AO4303" s="238">
        <v>-4.88</v>
      </c>
      <c r="AP4303" s="238">
        <v>0.0</v>
      </c>
      <c r="AQ4303" s="235" t="s">
        <v>632</v>
      </c>
      <c r="AR4303" s="243">
        <v>1.68E11</v>
      </c>
      <c r="AS4303" s="235" t="s">
        <v>31798</v>
      </c>
      <c r="AT4303" s="235" t="s">
        <v>11</v>
      </c>
      <c r="AU4303" s="235" t="s">
        <v>634</v>
      </c>
      <c r="AV4303" s="246" t="s">
        <v>635</v>
      </c>
      <c r="AW4303" s="227"/>
      <c r="AX4303" s="227"/>
      <c r="AY4303" s="227"/>
      <c r="AZ4303" s="227"/>
      <c r="BA4303" s="227"/>
      <c r="BB4303" s="227"/>
      <c r="BC4303" s="227"/>
      <c r="BD4303" s="227"/>
      <c r="BE4303" s="227"/>
      <c r="BF4303" s="227"/>
    </row>
    <row r="4304">
      <c r="A4304" s="235" t="s">
        <v>31993</v>
      </c>
      <c r="C4304" s="235" t="s">
        <v>31994</v>
      </c>
      <c r="D4304" s="235" t="s">
        <v>31995</v>
      </c>
      <c r="E4304" s="243">
        <v>6.51E13</v>
      </c>
      <c r="F4304" s="245"/>
      <c r="G4304" s="235" t="s">
        <v>31996</v>
      </c>
      <c r="H4304" s="235" t="s">
        <v>31997</v>
      </c>
      <c r="I4304" s="235" t="s">
        <v>31997</v>
      </c>
      <c r="J4304" s="235" t="s">
        <v>31998</v>
      </c>
      <c r="K4304" s="235" t="s">
        <v>31999</v>
      </c>
      <c r="N4304" s="235" t="s">
        <v>962</v>
      </c>
      <c r="O4304" s="235" t="s">
        <v>963</v>
      </c>
      <c r="P4304" s="238">
        <v>1.0</v>
      </c>
      <c r="Q4304" s="235" t="s">
        <v>627</v>
      </c>
      <c r="R4304" s="238">
        <v>270.48</v>
      </c>
      <c r="S4304" s="238">
        <v>13.52</v>
      </c>
      <c r="T4304" s="238">
        <v>0.0</v>
      </c>
      <c r="U4304" s="238">
        <v>0.0</v>
      </c>
      <c r="V4304" s="238">
        <v>0.0</v>
      </c>
      <c r="W4304" s="238">
        <v>0.0</v>
      </c>
      <c r="X4304" s="235" t="s">
        <v>628</v>
      </c>
      <c r="Z4304" s="245"/>
      <c r="AA4304" s="245"/>
      <c r="AB4304" s="245"/>
      <c r="AC4304" s="235" t="s">
        <v>814</v>
      </c>
      <c r="AD4304" s="235" t="s">
        <v>698</v>
      </c>
      <c r="AE4304" s="238">
        <v>500085.0</v>
      </c>
      <c r="AF4304" s="235" t="s">
        <v>631</v>
      </c>
      <c r="AG4304" s="245"/>
      <c r="AH4304" s="245"/>
      <c r="AI4304" s="245"/>
      <c r="AJ4304" s="245"/>
      <c r="AK4304" s="245"/>
      <c r="AL4304" s="245"/>
      <c r="AM4304" s="245"/>
      <c r="AN4304" s="245"/>
      <c r="AO4304" s="238">
        <v>0.0</v>
      </c>
      <c r="AP4304" s="238">
        <v>0.0</v>
      </c>
      <c r="AQ4304" s="235" t="s">
        <v>632</v>
      </c>
      <c r="AR4304" s="243">
        <v>3.71E11</v>
      </c>
      <c r="AS4304" s="235" t="s">
        <v>29883</v>
      </c>
      <c r="AT4304" s="235" t="s">
        <v>11</v>
      </c>
      <c r="AU4304" s="235" t="s">
        <v>634</v>
      </c>
      <c r="AV4304" s="246" t="s">
        <v>635</v>
      </c>
      <c r="AW4304" s="227"/>
      <c r="AX4304" s="227"/>
      <c r="AY4304" s="227"/>
      <c r="AZ4304" s="227"/>
      <c r="BA4304" s="227"/>
      <c r="BB4304" s="227"/>
      <c r="BC4304" s="227"/>
      <c r="BD4304" s="227"/>
      <c r="BE4304" s="227"/>
      <c r="BF4304" s="227"/>
    </row>
    <row r="4305">
      <c r="A4305" s="235" t="s">
        <v>32000</v>
      </c>
      <c r="C4305" s="235" t="s">
        <v>32001</v>
      </c>
      <c r="D4305" s="235" t="s">
        <v>32002</v>
      </c>
      <c r="E4305" s="243">
        <v>6.51E13</v>
      </c>
      <c r="F4305" s="245"/>
      <c r="G4305" s="235" t="s">
        <v>32003</v>
      </c>
      <c r="H4305" s="235" t="s">
        <v>32004</v>
      </c>
      <c r="I4305" s="235" t="s">
        <v>32004</v>
      </c>
      <c r="J4305" s="235" t="s">
        <v>32005</v>
      </c>
      <c r="K4305" s="235" t="s">
        <v>32006</v>
      </c>
      <c r="N4305" s="235" t="s">
        <v>1346</v>
      </c>
      <c r="O4305" s="235" t="s">
        <v>1347</v>
      </c>
      <c r="P4305" s="238">
        <v>1.0</v>
      </c>
      <c r="Q4305" s="235" t="s">
        <v>627</v>
      </c>
      <c r="R4305" s="238">
        <v>256.2</v>
      </c>
      <c r="S4305" s="238">
        <v>12.8</v>
      </c>
      <c r="T4305" s="238">
        <v>38.1</v>
      </c>
      <c r="U4305" s="238">
        <v>1.9</v>
      </c>
      <c r="V4305" s="238">
        <v>0.0</v>
      </c>
      <c r="W4305" s="238">
        <v>0.0</v>
      </c>
      <c r="X4305" s="235" t="s">
        <v>628</v>
      </c>
      <c r="Z4305" s="245"/>
      <c r="AA4305" s="245"/>
      <c r="AB4305" s="245"/>
      <c r="AC4305" s="235" t="s">
        <v>687</v>
      </c>
      <c r="AD4305" s="235" t="s">
        <v>666</v>
      </c>
      <c r="AE4305" s="238">
        <v>600055.0</v>
      </c>
      <c r="AF4305" s="235" t="s">
        <v>631</v>
      </c>
      <c r="AG4305" s="245"/>
      <c r="AH4305" s="245"/>
      <c r="AI4305" s="245"/>
      <c r="AJ4305" s="245"/>
      <c r="AK4305" s="245"/>
      <c r="AL4305" s="245"/>
      <c r="AM4305" s="245"/>
      <c r="AN4305" s="245"/>
      <c r="AO4305" s="238">
        <v>0.0</v>
      </c>
      <c r="AP4305" s="238">
        <v>-38.1</v>
      </c>
      <c r="AQ4305" s="235" t="s">
        <v>632</v>
      </c>
      <c r="AR4305" s="243">
        <v>3.71E11</v>
      </c>
      <c r="AS4305" s="235" t="s">
        <v>31232</v>
      </c>
      <c r="AT4305" s="235" t="s">
        <v>156</v>
      </c>
      <c r="AU4305" s="235" t="s">
        <v>634</v>
      </c>
      <c r="AV4305" s="246" t="s">
        <v>635</v>
      </c>
      <c r="AW4305" s="227"/>
      <c r="AX4305" s="227"/>
      <c r="AY4305" s="227"/>
      <c r="AZ4305" s="227"/>
      <c r="BA4305" s="227"/>
      <c r="BB4305" s="227"/>
      <c r="BC4305" s="227"/>
      <c r="BD4305" s="227"/>
      <c r="BE4305" s="227"/>
      <c r="BF4305" s="227"/>
    </row>
    <row r="4306">
      <c r="A4306" s="235" t="s">
        <v>32007</v>
      </c>
      <c r="C4306" s="235" t="s">
        <v>32008</v>
      </c>
      <c r="D4306" s="235" t="s">
        <v>32009</v>
      </c>
      <c r="E4306" s="243">
        <v>6.51E13</v>
      </c>
      <c r="F4306" s="245"/>
      <c r="G4306" s="235" t="s">
        <v>32010</v>
      </c>
      <c r="H4306" s="235" t="s">
        <v>32011</v>
      </c>
      <c r="I4306" s="235" t="s">
        <v>32011</v>
      </c>
      <c r="J4306" s="235" t="s">
        <v>32012</v>
      </c>
      <c r="K4306" s="235" t="s">
        <v>32013</v>
      </c>
      <c r="N4306" s="235" t="s">
        <v>55</v>
      </c>
      <c r="O4306" s="235" t="s">
        <v>244</v>
      </c>
      <c r="P4306" s="238">
        <v>1.0</v>
      </c>
      <c r="Q4306" s="235" t="s">
        <v>627</v>
      </c>
      <c r="R4306" s="238">
        <v>246.67</v>
      </c>
      <c r="S4306" s="238">
        <v>12.33</v>
      </c>
      <c r="T4306" s="238">
        <v>0.0</v>
      </c>
      <c r="U4306" s="238">
        <v>0.0</v>
      </c>
      <c r="V4306" s="238">
        <v>0.0</v>
      </c>
      <c r="W4306" s="238">
        <v>0.0</v>
      </c>
      <c r="X4306" s="235" t="s">
        <v>628</v>
      </c>
      <c r="Z4306" s="245"/>
      <c r="AA4306" s="245"/>
      <c r="AB4306" s="245"/>
      <c r="AC4306" s="235" t="s">
        <v>32014</v>
      </c>
      <c r="AD4306" s="235" t="s">
        <v>917</v>
      </c>
      <c r="AE4306" s="238">
        <v>306401.0</v>
      </c>
      <c r="AF4306" s="235" t="s">
        <v>631</v>
      </c>
      <c r="AG4306" s="245"/>
      <c r="AH4306" s="245"/>
      <c r="AI4306" s="245"/>
      <c r="AJ4306" s="245"/>
      <c r="AK4306" s="245"/>
      <c r="AL4306" s="245"/>
      <c r="AM4306" s="245"/>
      <c r="AN4306" s="245"/>
      <c r="AO4306" s="238">
        <v>0.0</v>
      </c>
      <c r="AP4306" s="238">
        <v>0.0</v>
      </c>
      <c r="AQ4306" s="235" t="s">
        <v>632</v>
      </c>
      <c r="AR4306" s="243">
        <v>3.71E11</v>
      </c>
      <c r="AS4306" s="235" t="s">
        <v>26892</v>
      </c>
      <c r="AT4306" s="235" t="s">
        <v>16</v>
      </c>
      <c r="AU4306" s="235" t="s">
        <v>634</v>
      </c>
      <c r="AV4306" s="246" t="s">
        <v>635</v>
      </c>
      <c r="AW4306" s="227"/>
      <c r="AX4306" s="227"/>
      <c r="AY4306" s="227"/>
      <c r="AZ4306" s="227"/>
      <c r="BA4306" s="227"/>
      <c r="BB4306" s="227"/>
      <c r="BC4306" s="227"/>
      <c r="BD4306" s="227"/>
      <c r="BE4306" s="227"/>
      <c r="BF4306" s="227"/>
    </row>
    <row r="4307">
      <c r="A4307" s="235" t="s">
        <v>32015</v>
      </c>
      <c r="C4307" s="235" t="s">
        <v>32016</v>
      </c>
      <c r="D4307" s="235" t="s">
        <v>32017</v>
      </c>
      <c r="E4307" s="243">
        <v>6.51E13</v>
      </c>
      <c r="F4307" s="245"/>
      <c r="G4307" s="235" t="s">
        <v>32018</v>
      </c>
      <c r="H4307" s="235" t="s">
        <v>32019</v>
      </c>
      <c r="I4307" s="235" t="s">
        <v>32019</v>
      </c>
      <c r="J4307" s="235" t="s">
        <v>32020</v>
      </c>
      <c r="K4307" s="235" t="s">
        <v>32021</v>
      </c>
      <c r="N4307" s="235" t="s">
        <v>51</v>
      </c>
      <c r="O4307" s="235" t="s">
        <v>273</v>
      </c>
      <c r="P4307" s="238">
        <v>1.0</v>
      </c>
      <c r="Q4307" s="235" t="s">
        <v>627</v>
      </c>
      <c r="R4307" s="238">
        <v>235.24</v>
      </c>
      <c r="S4307" s="238">
        <v>11.76</v>
      </c>
      <c r="T4307" s="238">
        <v>0.0</v>
      </c>
      <c r="U4307" s="238">
        <v>0.0</v>
      </c>
      <c r="V4307" s="238">
        <v>0.0</v>
      </c>
      <c r="W4307" s="238">
        <v>0.0</v>
      </c>
      <c r="X4307" s="235" t="s">
        <v>628</v>
      </c>
      <c r="Z4307" s="245"/>
      <c r="AA4307" s="245"/>
      <c r="AB4307" s="245"/>
      <c r="AC4307" s="235" t="s">
        <v>1920</v>
      </c>
      <c r="AD4307" s="235" t="s">
        <v>833</v>
      </c>
      <c r="AE4307" s="238">
        <v>522004.0</v>
      </c>
      <c r="AF4307" s="235" t="s">
        <v>631</v>
      </c>
      <c r="AG4307" s="245"/>
      <c r="AH4307" s="245"/>
      <c r="AI4307" s="245"/>
      <c r="AJ4307" s="245"/>
      <c r="AK4307" s="245"/>
      <c r="AL4307" s="245"/>
      <c r="AM4307" s="245"/>
      <c r="AN4307" s="245"/>
      <c r="AO4307" s="238">
        <v>0.0</v>
      </c>
      <c r="AP4307" s="238">
        <v>0.0</v>
      </c>
      <c r="AQ4307" s="235" t="s">
        <v>632</v>
      </c>
      <c r="AR4307" s="243">
        <v>1.68E11</v>
      </c>
      <c r="AS4307" s="235" t="s">
        <v>29883</v>
      </c>
      <c r="AT4307" s="235" t="s">
        <v>156</v>
      </c>
      <c r="AU4307" s="235" t="s">
        <v>634</v>
      </c>
      <c r="AV4307" s="246" t="s">
        <v>635</v>
      </c>
      <c r="AW4307" s="227"/>
      <c r="AX4307" s="227"/>
      <c r="AY4307" s="227"/>
      <c r="AZ4307" s="227"/>
      <c r="BA4307" s="227"/>
      <c r="BB4307" s="227"/>
      <c r="BC4307" s="227"/>
      <c r="BD4307" s="227"/>
      <c r="BE4307" s="227"/>
      <c r="BF4307" s="227"/>
    </row>
    <row r="4308">
      <c r="A4308" s="235" t="s">
        <v>32022</v>
      </c>
      <c r="C4308" s="235" t="s">
        <v>32023</v>
      </c>
      <c r="D4308" s="235" t="s">
        <v>32024</v>
      </c>
      <c r="E4308" s="243">
        <v>6.51E13</v>
      </c>
      <c r="F4308" s="245"/>
      <c r="G4308" s="235" t="s">
        <v>32025</v>
      </c>
      <c r="H4308" s="235" t="s">
        <v>32026</v>
      </c>
      <c r="I4308" s="235" t="s">
        <v>32026</v>
      </c>
      <c r="J4308" s="235" t="s">
        <v>32027</v>
      </c>
      <c r="K4308" s="235" t="s">
        <v>32028</v>
      </c>
      <c r="N4308" s="235" t="s">
        <v>726</v>
      </c>
      <c r="O4308" s="235" t="s">
        <v>727</v>
      </c>
      <c r="P4308" s="238">
        <v>1.0</v>
      </c>
      <c r="Q4308" s="235" t="s">
        <v>627</v>
      </c>
      <c r="R4308" s="238">
        <v>242.86</v>
      </c>
      <c r="S4308" s="238">
        <v>12.14</v>
      </c>
      <c r="T4308" s="238">
        <v>0.0</v>
      </c>
      <c r="U4308" s="238">
        <v>0.0</v>
      </c>
      <c r="V4308" s="238">
        <v>0.0</v>
      </c>
      <c r="W4308" s="238">
        <v>0.0</v>
      </c>
      <c r="X4308" s="235" t="s">
        <v>628</v>
      </c>
      <c r="Z4308" s="245"/>
      <c r="AA4308" s="245"/>
      <c r="AB4308" s="245"/>
      <c r="AC4308" s="235" t="s">
        <v>3527</v>
      </c>
      <c r="AD4308" s="235" t="s">
        <v>845</v>
      </c>
      <c r="AE4308" s="238">
        <v>431001.0</v>
      </c>
      <c r="AF4308" s="235" t="s">
        <v>631</v>
      </c>
      <c r="AG4308" s="245"/>
      <c r="AH4308" s="245"/>
      <c r="AI4308" s="245"/>
      <c r="AJ4308" s="245"/>
      <c r="AK4308" s="245"/>
      <c r="AL4308" s="245"/>
      <c r="AM4308" s="245"/>
      <c r="AN4308" s="245"/>
      <c r="AO4308" s="238">
        <v>0.0</v>
      </c>
      <c r="AP4308" s="238">
        <v>0.0</v>
      </c>
      <c r="AQ4308" s="235" t="s">
        <v>632</v>
      </c>
      <c r="AR4308" s="243">
        <v>3.71E11</v>
      </c>
      <c r="AS4308" s="235" t="s">
        <v>29883</v>
      </c>
      <c r="AT4308" s="235" t="s">
        <v>16</v>
      </c>
      <c r="AU4308" s="235" t="s">
        <v>634</v>
      </c>
      <c r="AV4308" s="246" t="s">
        <v>635</v>
      </c>
      <c r="AW4308" s="227"/>
      <c r="AX4308" s="227"/>
      <c r="AY4308" s="227"/>
      <c r="AZ4308" s="227"/>
      <c r="BA4308" s="227"/>
      <c r="BB4308" s="227"/>
      <c r="BC4308" s="227"/>
      <c r="BD4308" s="227"/>
      <c r="BE4308" s="227"/>
      <c r="BF4308" s="227"/>
    </row>
    <row r="4309">
      <c r="A4309" s="235" t="s">
        <v>32029</v>
      </c>
      <c r="C4309" s="235" t="s">
        <v>32030</v>
      </c>
      <c r="D4309" s="235" t="s">
        <v>32031</v>
      </c>
      <c r="E4309" s="243">
        <v>6.5E13</v>
      </c>
      <c r="F4309" s="245"/>
      <c r="G4309" s="235" t="s">
        <v>32032</v>
      </c>
      <c r="H4309" s="235" t="s">
        <v>32033</v>
      </c>
      <c r="I4309" s="235" t="s">
        <v>32034</v>
      </c>
      <c r="J4309" s="235" t="s">
        <v>32035</v>
      </c>
      <c r="K4309" s="235" t="s">
        <v>32036</v>
      </c>
      <c r="N4309" s="235" t="s">
        <v>726</v>
      </c>
      <c r="O4309" s="235" t="s">
        <v>727</v>
      </c>
      <c r="P4309" s="238">
        <v>1.0</v>
      </c>
      <c r="Q4309" s="235" t="s">
        <v>627</v>
      </c>
      <c r="R4309" s="238">
        <v>244.76</v>
      </c>
      <c r="S4309" s="238">
        <v>12.0</v>
      </c>
      <c r="T4309" s="238">
        <v>0.0</v>
      </c>
      <c r="U4309" s="238">
        <v>0.0</v>
      </c>
      <c r="V4309" s="238">
        <v>0.0</v>
      </c>
      <c r="W4309" s="238">
        <v>0.0</v>
      </c>
      <c r="X4309" s="235" t="s">
        <v>628</v>
      </c>
      <c r="Z4309" s="245"/>
      <c r="AA4309" s="245"/>
      <c r="AB4309" s="245"/>
      <c r="AC4309" s="235" t="s">
        <v>1514</v>
      </c>
      <c r="AD4309" s="235" t="s">
        <v>1077</v>
      </c>
      <c r="AE4309" s="238">
        <v>380026.0</v>
      </c>
      <c r="AF4309" s="235" t="s">
        <v>631</v>
      </c>
      <c r="AG4309" s="245"/>
      <c r="AH4309" s="245"/>
      <c r="AI4309" s="245"/>
      <c r="AJ4309" s="245"/>
      <c r="AK4309" s="245"/>
      <c r="AL4309" s="245"/>
      <c r="AM4309" s="245"/>
      <c r="AN4309" s="245"/>
      <c r="AO4309" s="238">
        <v>-4.9</v>
      </c>
      <c r="AP4309" s="238">
        <v>0.0</v>
      </c>
      <c r="AQ4309" s="235" t="s">
        <v>632</v>
      </c>
      <c r="AR4309" s="243">
        <v>1.68E11</v>
      </c>
      <c r="AS4309" s="235" t="s">
        <v>28482</v>
      </c>
      <c r="AT4309" s="235" t="s">
        <v>17</v>
      </c>
      <c r="AU4309" s="235" t="s">
        <v>634</v>
      </c>
      <c r="AV4309" s="246" t="s">
        <v>635</v>
      </c>
      <c r="AW4309" s="227"/>
      <c r="AX4309" s="227"/>
      <c r="AY4309" s="227"/>
      <c r="AZ4309" s="227"/>
      <c r="BA4309" s="227"/>
      <c r="BB4309" s="227"/>
      <c r="BC4309" s="227"/>
      <c r="BD4309" s="227"/>
      <c r="BE4309" s="227"/>
      <c r="BF4309" s="227"/>
    </row>
    <row r="4310">
      <c r="A4310" s="235" t="s">
        <v>32037</v>
      </c>
      <c r="C4310" s="235" t="s">
        <v>32038</v>
      </c>
      <c r="D4310" s="235" t="s">
        <v>32039</v>
      </c>
      <c r="E4310" s="243">
        <v>6.51E13</v>
      </c>
      <c r="F4310" s="245"/>
      <c r="G4310" s="235" t="s">
        <v>32040</v>
      </c>
      <c r="H4310" s="235" t="s">
        <v>32041</v>
      </c>
      <c r="I4310" s="235" t="s">
        <v>32041</v>
      </c>
      <c r="J4310" s="235" t="s">
        <v>32042</v>
      </c>
      <c r="K4310" s="235" t="s">
        <v>32043</v>
      </c>
      <c r="N4310" s="235" t="s">
        <v>2163</v>
      </c>
      <c r="O4310" s="235" t="s">
        <v>2164</v>
      </c>
      <c r="P4310" s="238">
        <v>1.0</v>
      </c>
      <c r="Q4310" s="235" t="s">
        <v>627</v>
      </c>
      <c r="R4310" s="238">
        <v>245.72</v>
      </c>
      <c r="S4310" s="238">
        <v>12.04</v>
      </c>
      <c r="T4310" s="238">
        <v>0.0</v>
      </c>
      <c r="U4310" s="238">
        <v>0.0</v>
      </c>
      <c r="V4310" s="238">
        <v>0.0</v>
      </c>
      <c r="W4310" s="238">
        <v>0.0</v>
      </c>
      <c r="X4310" s="235" t="s">
        <v>628</v>
      </c>
      <c r="Z4310" s="245"/>
      <c r="AA4310" s="245"/>
      <c r="AB4310" s="245"/>
      <c r="AC4310" s="235" t="s">
        <v>10269</v>
      </c>
      <c r="AD4310" s="235" t="s">
        <v>666</v>
      </c>
      <c r="AE4310" s="238">
        <v>600099.0</v>
      </c>
      <c r="AF4310" s="235" t="s">
        <v>631</v>
      </c>
      <c r="AG4310" s="245"/>
      <c r="AH4310" s="245"/>
      <c r="AI4310" s="245"/>
      <c r="AJ4310" s="245"/>
      <c r="AK4310" s="245"/>
      <c r="AL4310" s="245"/>
      <c r="AM4310" s="245"/>
      <c r="AN4310" s="245"/>
      <c r="AO4310" s="238">
        <v>-4.92</v>
      </c>
      <c r="AP4310" s="238">
        <v>0.0</v>
      </c>
      <c r="AQ4310" s="235" t="s">
        <v>632</v>
      </c>
      <c r="AR4310" s="243">
        <v>1.68E11</v>
      </c>
      <c r="AS4310" s="235" t="s">
        <v>31798</v>
      </c>
      <c r="AT4310" s="235" t="s">
        <v>156</v>
      </c>
      <c r="AU4310" s="235" t="s">
        <v>634</v>
      </c>
      <c r="AV4310" s="246" t="s">
        <v>635</v>
      </c>
      <c r="AW4310" s="227"/>
      <c r="AX4310" s="227"/>
      <c r="AY4310" s="227"/>
      <c r="AZ4310" s="227"/>
      <c r="BA4310" s="227"/>
      <c r="BB4310" s="227"/>
      <c r="BC4310" s="227"/>
      <c r="BD4310" s="227"/>
      <c r="BE4310" s="227"/>
      <c r="BF4310" s="227"/>
    </row>
    <row r="4311">
      <c r="A4311" s="235" t="s">
        <v>32044</v>
      </c>
      <c r="C4311" s="235" t="s">
        <v>32045</v>
      </c>
      <c r="D4311" s="235" t="s">
        <v>32046</v>
      </c>
      <c r="E4311" s="243">
        <v>6.51E13</v>
      </c>
      <c r="F4311" s="245"/>
      <c r="G4311" s="235" t="s">
        <v>32047</v>
      </c>
      <c r="H4311" s="235" t="s">
        <v>32048</v>
      </c>
      <c r="I4311" s="235" t="s">
        <v>32048</v>
      </c>
      <c r="J4311" s="235" t="s">
        <v>32049</v>
      </c>
      <c r="K4311" s="235" t="s">
        <v>32050</v>
      </c>
      <c r="N4311" s="235" t="s">
        <v>92</v>
      </c>
      <c r="O4311" s="235" t="s">
        <v>248</v>
      </c>
      <c r="P4311" s="238">
        <v>1.0</v>
      </c>
      <c r="Q4311" s="235" t="s">
        <v>627</v>
      </c>
      <c r="R4311" s="238">
        <v>244.76</v>
      </c>
      <c r="S4311" s="238">
        <v>12.24</v>
      </c>
      <c r="T4311" s="238">
        <v>0.0</v>
      </c>
      <c r="U4311" s="238">
        <v>0.0</v>
      </c>
      <c r="V4311" s="238">
        <v>0.0</v>
      </c>
      <c r="W4311" s="238">
        <v>0.0</v>
      </c>
      <c r="X4311" s="235" t="s">
        <v>628</v>
      </c>
      <c r="Z4311" s="245"/>
      <c r="AA4311" s="245"/>
      <c r="AB4311" s="245"/>
      <c r="AC4311" s="235" t="s">
        <v>7088</v>
      </c>
      <c r="AD4311" s="235" t="s">
        <v>630</v>
      </c>
      <c r="AE4311" s="238">
        <v>201318.0</v>
      </c>
      <c r="AF4311" s="235" t="s">
        <v>631</v>
      </c>
      <c r="AG4311" s="245"/>
      <c r="AH4311" s="245"/>
      <c r="AI4311" s="245"/>
      <c r="AJ4311" s="245"/>
      <c r="AK4311" s="245"/>
      <c r="AL4311" s="245"/>
      <c r="AM4311" s="245"/>
      <c r="AN4311" s="245"/>
      <c r="AO4311" s="238">
        <v>0.0</v>
      </c>
      <c r="AP4311" s="238">
        <v>0.0</v>
      </c>
      <c r="AQ4311" s="235" t="s">
        <v>632</v>
      </c>
      <c r="AR4311" s="243">
        <v>3.71E11</v>
      </c>
      <c r="AS4311" s="235" t="s">
        <v>31232</v>
      </c>
      <c r="AT4311" s="235" t="s">
        <v>14</v>
      </c>
      <c r="AU4311" s="235" t="s">
        <v>634</v>
      </c>
      <c r="AV4311" s="246" t="s">
        <v>635</v>
      </c>
      <c r="AW4311" s="227"/>
      <c r="AX4311" s="227"/>
      <c r="AY4311" s="227"/>
      <c r="AZ4311" s="227"/>
      <c r="BA4311" s="227"/>
      <c r="BB4311" s="227"/>
      <c r="BC4311" s="227"/>
      <c r="BD4311" s="227"/>
      <c r="BE4311" s="227"/>
      <c r="BF4311" s="227"/>
    </row>
    <row r="4312">
      <c r="A4312" s="235" t="s">
        <v>32051</v>
      </c>
      <c r="C4312" s="235" t="s">
        <v>32052</v>
      </c>
      <c r="D4312" s="235" t="s">
        <v>32053</v>
      </c>
      <c r="E4312" s="243">
        <v>6.51E13</v>
      </c>
      <c r="F4312" s="245"/>
      <c r="G4312" s="235" t="s">
        <v>32054</v>
      </c>
      <c r="H4312" s="235" t="s">
        <v>32055</v>
      </c>
      <c r="I4312" s="235" t="s">
        <v>32055</v>
      </c>
      <c r="J4312" s="235" t="s">
        <v>32056</v>
      </c>
      <c r="K4312" s="235" t="s">
        <v>22920</v>
      </c>
      <c r="N4312" s="235" t="s">
        <v>85</v>
      </c>
      <c r="O4312" s="235" t="s">
        <v>872</v>
      </c>
      <c r="P4312" s="238">
        <v>1.0</v>
      </c>
      <c r="Q4312" s="235" t="s">
        <v>627</v>
      </c>
      <c r="R4312" s="238">
        <v>243.81</v>
      </c>
      <c r="S4312" s="238">
        <v>11.95</v>
      </c>
      <c r="T4312" s="238">
        <v>38.1</v>
      </c>
      <c r="U4312" s="238">
        <v>1.9</v>
      </c>
      <c r="V4312" s="238">
        <v>0.0</v>
      </c>
      <c r="W4312" s="238">
        <v>0.0</v>
      </c>
      <c r="X4312" s="235" t="s">
        <v>628</v>
      </c>
      <c r="Z4312" s="245"/>
      <c r="AA4312" s="245"/>
      <c r="AB4312" s="245"/>
      <c r="AC4312" s="235" t="s">
        <v>32057</v>
      </c>
      <c r="AD4312" s="235" t="s">
        <v>917</v>
      </c>
      <c r="AE4312" s="238">
        <v>341503.0</v>
      </c>
      <c r="AF4312" s="235" t="s">
        <v>631</v>
      </c>
      <c r="AG4312" s="245"/>
      <c r="AH4312" s="245"/>
      <c r="AI4312" s="245"/>
      <c r="AJ4312" s="245"/>
      <c r="AK4312" s="245"/>
      <c r="AL4312" s="245"/>
      <c r="AM4312" s="245"/>
      <c r="AN4312" s="245"/>
      <c r="AO4312" s="238">
        <v>-4.88</v>
      </c>
      <c r="AP4312" s="238">
        <v>-38.1</v>
      </c>
      <c r="AQ4312" s="235" t="s">
        <v>1328</v>
      </c>
      <c r="AR4312" s="243">
        <v>1.34E13</v>
      </c>
      <c r="AS4312" s="235" t="s">
        <v>25098</v>
      </c>
      <c r="AT4312" s="235" t="s">
        <v>14</v>
      </c>
      <c r="AU4312" s="235" t="s">
        <v>634</v>
      </c>
      <c r="AV4312" s="246" t="s">
        <v>635</v>
      </c>
      <c r="AW4312" s="227"/>
      <c r="AX4312" s="227"/>
      <c r="AY4312" s="227"/>
      <c r="AZ4312" s="227"/>
      <c r="BA4312" s="227"/>
      <c r="BB4312" s="227"/>
      <c r="BC4312" s="227"/>
      <c r="BD4312" s="227"/>
      <c r="BE4312" s="227"/>
      <c r="BF4312" s="227"/>
    </row>
    <row r="4313">
      <c r="A4313" s="235" t="s">
        <v>32058</v>
      </c>
      <c r="C4313" s="235" t="s">
        <v>32059</v>
      </c>
      <c r="D4313" s="235" t="s">
        <v>32060</v>
      </c>
      <c r="E4313" s="243">
        <v>6.51E13</v>
      </c>
      <c r="F4313" s="245"/>
      <c r="G4313" s="235" t="s">
        <v>32061</v>
      </c>
      <c r="H4313" s="235" t="s">
        <v>32062</v>
      </c>
      <c r="I4313" s="235" t="s">
        <v>32062</v>
      </c>
      <c r="J4313" s="235" t="s">
        <v>32063</v>
      </c>
      <c r="K4313" s="235" t="s">
        <v>32064</v>
      </c>
      <c r="N4313" s="235" t="s">
        <v>68</v>
      </c>
      <c r="O4313" s="235" t="s">
        <v>208</v>
      </c>
      <c r="P4313" s="238">
        <v>1.0</v>
      </c>
      <c r="Q4313" s="235" t="s">
        <v>627</v>
      </c>
      <c r="R4313" s="238">
        <v>246.67</v>
      </c>
      <c r="S4313" s="238">
        <v>12.33</v>
      </c>
      <c r="T4313" s="238">
        <v>0.0</v>
      </c>
      <c r="U4313" s="238">
        <v>0.0</v>
      </c>
      <c r="V4313" s="238">
        <v>0.0</v>
      </c>
      <c r="W4313" s="238">
        <v>0.0</v>
      </c>
      <c r="X4313" s="235" t="s">
        <v>628</v>
      </c>
      <c r="Z4313" s="245"/>
      <c r="AA4313" s="245"/>
      <c r="AB4313" s="245"/>
      <c r="AC4313" s="235" t="s">
        <v>1792</v>
      </c>
      <c r="AD4313" s="235" t="s">
        <v>1077</v>
      </c>
      <c r="AE4313" s="238">
        <v>390021.0</v>
      </c>
      <c r="AF4313" s="235" t="s">
        <v>631</v>
      </c>
      <c r="AG4313" s="245"/>
      <c r="AH4313" s="245"/>
      <c r="AI4313" s="245"/>
      <c r="AJ4313" s="245"/>
      <c r="AK4313" s="245"/>
      <c r="AL4313" s="245"/>
      <c r="AM4313" s="245"/>
      <c r="AN4313" s="245"/>
      <c r="AO4313" s="238">
        <v>0.0</v>
      </c>
      <c r="AP4313" s="238">
        <v>0.0</v>
      </c>
      <c r="AQ4313" s="235" t="s">
        <v>632</v>
      </c>
      <c r="AR4313" s="243">
        <v>1.68E11</v>
      </c>
      <c r="AS4313" s="235" t="s">
        <v>31232</v>
      </c>
      <c r="AT4313" s="235" t="s">
        <v>16</v>
      </c>
      <c r="AU4313" s="235" t="s">
        <v>634</v>
      </c>
      <c r="AV4313" s="246" t="s">
        <v>635</v>
      </c>
      <c r="AW4313" s="227"/>
      <c r="AX4313" s="227"/>
      <c r="AY4313" s="227"/>
      <c r="AZ4313" s="227"/>
      <c r="BA4313" s="227"/>
      <c r="BB4313" s="227"/>
      <c r="BC4313" s="227"/>
      <c r="BD4313" s="227"/>
      <c r="BE4313" s="227"/>
      <c r="BF4313" s="227"/>
    </row>
    <row r="4314">
      <c r="A4314" s="235" t="s">
        <v>32065</v>
      </c>
      <c r="C4314" s="235" t="s">
        <v>32066</v>
      </c>
      <c r="D4314" s="235" t="s">
        <v>32067</v>
      </c>
      <c r="E4314" s="243">
        <v>6.51E13</v>
      </c>
      <c r="F4314" s="245"/>
      <c r="G4314" s="235" t="s">
        <v>32068</v>
      </c>
      <c r="H4314" s="235" t="s">
        <v>32069</v>
      </c>
      <c r="I4314" s="235" t="s">
        <v>32069</v>
      </c>
      <c r="J4314" s="235" t="s">
        <v>32070</v>
      </c>
      <c r="K4314" s="235" t="s">
        <v>32071</v>
      </c>
      <c r="N4314" s="235" t="s">
        <v>78</v>
      </c>
      <c r="O4314" s="235" t="s">
        <v>360</v>
      </c>
      <c r="P4314" s="238">
        <v>1.0</v>
      </c>
      <c r="Q4314" s="235" t="s">
        <v>627</v>
      </c>
      <c r="R4314" s="238">
        <v>360.96</v>
      </c>
      <c r="S4314" s="238">
        <v>17.5</v>
      </c>
      <c r="T4314" s="238">
        <v>38.1</v>
      </c>
      <c r="U4314" s="238">
        <v>1.9</v>
      </c>
      <c r="V4314" s="238">
        <v>0.0</v>
      </c>
      <c r="W4314" s="238">
        <v>0.0</v>
      </c>
      <c r="X4314" s="235" t="s">
        <v>628</v>
      </c>
      <c r="Z4314" s="245"/>
      <c r="AA4314" s="245"/>
      <c r="AB4314" s="245"/>
      <c r="AC4314" s="235" t="s">
        <v>1961</v>
      </c>
      <c r="AD4314" s="235" t="s">
        <v>845</v>
      </c>
      <c r="AE4314" s="238">
        <v>411034.0</v>
      </c>
      <c r="AF4314" s="235" t="s">
        <v>631</v>
      </c>
      <c r="AG4314" s="245"/>
      <c r="AH4314" s="245"/>
      <c r="AI4314" s="245"/>
      <c r="AJ4314" s="245"/>
      <c r="AK4314" s="245"/>
      <c r="AL4314" s="245"/>
      <c r="AM4314" s="245"/>
      <c r="AN4314" s="245"/>
      <c r="AO4314" s="238">
        <v>-10.83</v>
      </c>
      <c r="AP4314" s="238">
        <v>-38.1</v>
      </c>
      <c r="AQ4314" s="235" t="s">
        <v>632</v>
      </c>
      <c r="AR4314" s="243">
        <v>3.71E11</v>
      </c>
      <c r="AS4314" s="235" t="s">
        <v>31232</v>
      </c>
      <c r="AT4314" s="235" t="s">
        <v>546</v>
      </c>
      <c r="AU4314" s="235" t="s">
        <v>634</v>
      </c>
      <c r="AV4314" s="246" t="s">
        <v>635</v>
      </c>
      <c r="AW4314" s="227"/>
      <c r="AX4314" s="227"/>
      <c r="AY4314" s="227"/>
      <c r="AZ4314" s="227"/>
      <c r="BA4314" s="227"/>
      <c r="BB4314" s="227"/>
      <c r="BC4314" s="227"/>
      <c r="BD4314" s="227"/>
      <c r="BE4314" s="227"/>
      <c r="BF4314" s="227"/>
    </row>
    <row r="4315">
      <c r="A4315" s="235" t="s">
        <v>32065</v>
      </c>
      <c r="C4315" s="235" t="s">
        <v>32066</v>
      </c>
      <c r="D4315" s="235" t="s">
        <v>32072</v>
      </c>
      <c r="E4315" s="243">
        <v>6.51E13</v>
      </c>
      <c r="F4315" s="245"/>
      <c r="G4315" s="235" t="s">
        <v>32068</v>
      </c>
      <c r="H4315" s="235" t="s">
        <v>32069</v>
      </c>
      <c r="I4315" s="235" t="s">
        <v>32069</v>
      </c>
      <c r="J4315" s="235" t="s">
        <v>32070</v>
      </c>
      <c r="K4315" s="235" t="s">
        <v>32071</v>
      </c>
      <c r="N4315" s="235" t="s">
        <v>78</v>
      </c>
      <c r="O4315" s="235" t="s">
        <v>360</v>
      </c>
      <c r="P4315" s="238">
        <v>1.0</v>
      </c>
      <c r="Q4315" s="235" t="s">
        <v>627</v>
      </c>
      <c r="R4315" s="238">
        <v>360.96</v>
      </c>
      <c r="S4315" s="238">
        <v>17.5</v>
      </c>
      <c r="T4315" s="238">
        <v>38.1</v>
      </c>
      <c r="U4315" s="238">
        <v>1.9</v>
      </c>
      <c r="V4315" s="238">
        <v>0.0</v>
      </c>
      <c r="W4315" s="238">
        <v>0.0</v>
      </c>
      <c r="X4315" s="235" t="s">
        <v>628</v>
      </c>
      <c r="Z4315" s="245"/>
      <c r="AA4315" s="245"/>
      <c r="AB4315" s="245"/>
      <c r="AC4315" s="235" t="s">
        <v>1961</v>
      </c>
      <c r="AD4315" s="235" t="s">
        <v>845</v>
      </c>
      <c r="AE4315" s="238">
        <v>411034.0</v>
      </c>
      <c r="AF4315" s="235" t="s">
        <v>631</v>
      </c>
      <c r="AG4315" s="245"/>
      <c r="AH4315" s="245"/>
      <c r="AI4315" s="245"/>
      <c r="AJ4315" s="245"/>
      <c r="AK4315" s="245"/>
      <c r="AL4315" s="245"/>
      <c r="AM4315" s="245"/>
      <c r="AN4315" s="245"/>
      <c r="AO4315" s="238">
        <v>-10.83</v>
      </c>
      <c r="AP4315" s="238">
        <v>-38.1</v>
      </c>
      <c r="AQ4315" s="235" t="s">
        <v>632</v>
      </c>
      <c r="AR4315" s="243">
        <v>3.71E11</v>
      </c>
      <c r="AS4315" s="235" t="s">
        <v>31232</v>
      </c>
      <c r="AT4315" s="235" t="s">
        <v>546</v>
      </c>
      <c r="AU4315" s="235" t="s">
        <v>634</v>
      </c>
      <c r="AV4315" s="246" t="s">
        <v>635</v>
      </c>
      <c r="AW4315" s="227"/>
      <c r="AX4315" s="227"/>
      <c r="AY4315" s="227"/>
      <c r="AZ4315" s="227"/>
      <c r="BA4315" s="227"/>
      <c r="BB4315" s="227"/>
      <c r="BC4315" s="227"/>
      <c r="BD4315" s="227"/>
      <c r="BE4315" s="227"/>
      <c r="BF4315" s="227"/>
    </row>
    <row r="4316">
      <c r="A4316" s="235" t="s">
        <v>32073</v>
      </c>
      <c r="C4316" s="235" t="s">
        <v>32074</v>
      </c>
      <c r="D4316" s="235" t="s">
        <v>32075</v>
      </c>
      <c r="E4316" s="243">
        <v>6.51E13</v>
      </c>
      <c r="F4316" s="245"/>
      <c r="G4316" s="235" t="s">
        <v>32076</v>
      </c>
      <c r="H4316" s="235" t="s">
        <v>32077</v>
      </c>
      <c r="I4316" s="235" t="s">
        <v>32077</v>
      </c>
      <c r="J4316" s="235" t="s">
        <v>32078</v>
      </c>
      <c r="K4316" s="235" t="s">
        <v>6942</v>
      </c>
      <c r="N4316" s="235" t="s">
        <v>90</v>
      </c>
      <c r="O4316" s="235" t="s">
        <v>279</v>
      </c>
      <c r="P4316" s="238">
        <v>1.0</v>
      </c>
      <c r="Q4316" s="235" t="s">
        <v>627</v>
      </c>
      <c r="R4316" s="238">
        <v>243.8</v>
      </c>
      <c r="S4316" s="238">
        <v>12.2</v>
      </c>
      <c r="T4316" s="238">
        <v>38.1</v>
      </c>
      <c r="U4316" s="238">
        <v>1.9</v>
      </c>
      <c r="V4316" s="238">
        <v>0.0</v>
      </c>
      <c r="W4316" s="238">
        <v>0.0</v>
      </c>
      <c r="X4316" s="235" t="s">
        <v>628</v>
      </c>
      <c r="Z4316" s="245"/>
      <c r="AA4316" s="245"/>
      <c r="AB4316" s="245"/>
      <c r="AC4316" s="235" t="s">
        <v>1671</v>
      </c>
      <c r="AD4316" s="235" t="s">
        <v>666</v>
      </c>
      <c r="AE4316" s="238">
        <v>641062.0</v>
      </c>
      <c r="AF4316" s="235" t="s">
        <v>631</v>
      </c>
      <c r="AG4316" s="245"/>
      <c r="AH4316" s="245"/>
      <c r="AI4316" s="245"/>
      <c r="AJ4316" s="245"/>
      <c r="AK4316" s="245"/>
      <c r="AL4316" s="245"/>
      <c r="AM4316" s="245"/>
      <c r="AN4316" s="245"/>
      <c r="AO4316" s="238">
        <v>0.0</v>
      </c>
      <c r="AP4316" s="238">
        <v>-38.1</v>
      </c>
      <c r="AQ4316" s="235" t="s">
        <v>632</v>
      </c>
      <c r="AR4316" s="243">
        <v>3.71E11</v>
      </c>
      <c r="AS4316" s="235" t="s">
        <v>31232</v>
      </c>
      <c r="AT4316" s="235" t="s">
        <v>155</v>
      </c>
      <c r="AU4316" s="235" t="s">
        <v>634</v>
      </c>
      <c r="AV4316" s="246" t="s">
        <v>635</v>
      </c>
      <c r="AW4316" s="227"/>
      <c r="AX4316" s="227"/>
      <c r="AY4316" s="227"/>
      <c r="AZ4316" s="227"/>
      <c r="BA4316" s="227"/>
      <c r="BB4316" s="227"/>
      <c r="BC4316" s="227"/>
      <c r="BD4316" s="227"/>
      <c r="BE4316" s="227"/>
      <c r="BF4316" s="227"/>
    </row>
    <row r="4317">
      <c r="A4317" s="235" t="s">
        <v>32079</v>
      </c>
      <c r="C4317" s="235" t="s">
        <v>32080</v>
      </c>
      <c r="D4317" s="235" t="s">
        <v>32081</v>
      </c>
      <c r="E4317" s="243">
        <v>6.51E13</v>
      </c>
      <c r="F4317" s="245"/>
      <c r="G4317" s="235" t="s">
        <v>32082</v>
      </c>
      <c r="H4317" s="235" t="s">
        <v>32083</v>
      </c>
      <c r="I4317" s="235" t="s">
        <v>32083</v>
      </c>
      <c r="J4317" s="235" t="s">
        <v>32084</v>
      </c>
      <c r="K4317" s="235" t="s">
        <v>32085</v>
      </c>
      <c r="N4317" s="235" t="s">
        <v>154</v>
      </c>
      <c r="O4317" s="235" t="s">
        <v>766</v>
      </c>
      <c r="P4317" s="238">
        <v>1.0</v>
      </c>
      <c r="Q4317" s="235" t="s">
        <v>627</v>
      </c>
      <c r="R4317" s="238">
        <v>465.71</v>
      </c>
      <c r="S4317" s="238">
        <v>22.82</v>
      </c>
      <c r="T4317" s="238">
        <v>0.0</v>
      </c>
      <c r="U4317" s="238">
        <v>0.0</v>
      </c>
      <c r="V4317" s="238">
        <v>0.0</v>
      </c>
      <c r="W4317" s="238">
        <v>0.0</v>
      </c>
      <c r="X4317" s="235" t="s">
        <v>628</v>
      </c>
      <c r="Z4317" s="245"/>
      <c r="AA4317" s="245"/>
      <c r="AB4317" s="245"/>
      <c r="AC4317" s="235" t="s">
        <v>10940</v>
      </c>
      <c r="AD4317" s="235" t="s">
        <v>645</v>
      </c>
      <c r="AE4317" s="238">
        <v>682024.0</v>
      </c>
      <c r="AF4317" s="235" t="s">
        <v>631</v>
      </c>
      <c r="AG4317" s="245"/>
      <c r="AH4317" s="245"/>
      <c r="AI4317" s="245"/>
      <c r="AJ4317" s="245"/>
      <c r="AK4317" s="245"/>
      <c r="AL4317" s="245"/>
      <c r="AM4317" s="245"/>
      <c r="AN4317" s="245"/>
      <c r="AO4317" s="238">
        <v>-9.31</v>
      </c>
      <c r="AP4317" s="238">
        <v>0.0</v>
      </c>
      <c r="AQ4317" s="235" t="s">
        <v>632</v>
      </c>
      <c r="AR4317" s="243">
        <v>3.71E11</v>
      </c>
      <c r="AS4317" s="235" t="s">
        <v>29883</v>
      </c>
      <c r="AT4317" s="235" t="s">
        <v>155</v>
      </c>
      <c r="AU4317" s="235" t="s">
        <v>634</v>
      </c>
      <c r="AV4317" s="246" t="s">
        <v>635</v>
      </c>
      <c r="AW4317" s="227"/>
      <c r="AX4317" s="227"/>
      <c r="AY4317" s="227"/>
      <c r="AZ4317" s="227"/>
      <c r="BA4317" s="227"/>
      <c r="BB4317" s="227"/>
      <c r="BC4317" s="227"/>
      <c r="BD4317" s="227"/>
      <c r="BE4317" s="227"/>
      <c r="BF4317" s="227"/>
    </row>
    <row r="4318">
      <c r="A4318" s="235" t="s">
        <v>32086</v>
      </c>
      <c r="C4318" s="235" t="s">
        <v>32087</v>
      </c>
      <c r="D4318" s="235" t="s">
        <v>32088</v>
      </c>
      <c r="E4318" s="243">
        <v>6.51E13</v>
      </c>
      <c r="F4318" s="245"/>
      <c r="G4318" s="235" t="s">
        <v>32089</v>
      </c>
      <c r="H4318" s="235" t="s">
        <v>32090</v>
      </c>
      <c r="I4318" s="235" t="s">
        <v>32090</v>
      </c>
      <c r="J4318" s="235" t="s">
        <v>32091</v>
      </c>
      <c r="K4318" s="235" t="s">
        <v>32092</v>
      </c>
      <c r="N4318" s="235" t="s">
        <v>962</v>
      </c>
      <c r="O4318" s="235" t="s">
        <v>963</v>
      </c>
      <c r="P4318" s="238">
        <v>1.0</v>
      </c>
      <c r="Q4318" s="235" t="s">
        <v>627</v>
      </c>
      <c r="R4318" s="238">
        <v>245.72</v>
      </c>
      <c r="S4318" s="238">
        <v>12.28</v>
      </c>
      <c r="T4318" s="238">
        <v>0.0</v>
      </c>
      <c r="U4318" s="238">
        <v>0.0</v>
      </c>
      <c r="V4318" s="238">
        <v>0.0</v>
      </c>
      <c r="W4318" s="238">
        <v>0.0</v>
      </c>
      <c r="X4318" s="235" t="s">
        <v>628</v>
      </c>
      <c r="Z4318" s="245"/>
      <c r="AA4318" s="245"/>
      <c r="AB4318" s="245"/>
      <c r="AC4318" s="235" t="s">
        <v>687</v>
      </c>
      <c r="AD4318" s="235" t="s">
        <v>666</v>
      </c>
      <c r="AE4318" s="238">
        <v>600046.0</v>
      </c>
      <c r="AF4318" s="235" t="s">
        <v>631</v>
      </c>
      <c r="AG4318" s="245"/>
      <c r="AH4318" s="245"/>
      <c r="AI4318" s="245"/>
      <c r="AJ4318" s="245"/>
      <c r="AK4318" s="245"/>
      <c r="AL4318" s="245"/>
      <c r="AM4318" s="245"/>
      <c r="AN4318" s="245"/>
      <c r="AO4318" s="238">
        <v>0.0</v>
      </c>
      <c r="AP4318" s="238">
        <v>0.0</v>
      </c>
      <c r="AQ4318" s="235" t="s">
        <v>632</v>
      </c>
      <c r="AR4318" s="243">
        <v>1.68E11</v>
      </c>
      <c r="AS4318" s="235" t="s">
        <v>31798</v>
      </c>
      <c r="AT4318" s="235" t="s">
        <v>156</v>
      </c>
      <c r="AU4318" s="235" t="s">
        <v>634</v>
      </c>
      <c r="AV4318" s="246" t="s">
        <v>635</v>
      </c>
      <c r="AW4318" s="227"/>
      <c r="AX4318" s="227"/>
      <c r="AY4318" s="227"/>
      <c r="AZ4318" s="227"/>
      <c r="BA4318" s="227"/>
      <c r="BB4318" s="227"/>
      <c r="BC4318" s="227"/>
      <c r="BD4318" s="227"/>
      <c r="BE4318" s="227"/>
      <c r="BF4318" s="227"/>
    </row>
    <row r="4319">
      <c r="A4319" s="235" t="s">
        <v>32093</v>
      </c>
      <c r="C4319" s="235" t="s">
        <v>32094</v>
      </c>
      <c r="D4319" s="235" t="s">
        <v>32095</v>
      </c>
      <c r="E4319" s="243">
        <v>6.51E13</v>
      </c>
      <c r="F4319" s="245"/>
      <c r="G4319" s="235" t="s">
        <v>32096</v>
      </c>
      <c r="H4319" s="235" t="s">
        <v>32097</v>
      </c>
      <c r="I4319" s="235" t="s">
        <v>32097</v>
      </c>
      <c r="J4319" s="235" t="s">
        <v>32098</v>
      </c>
      <c r="K4319" s="235" t="s">
        <v>32099</v>
      </c>
      <c r="N4319" s="235" t="s">
        <v>92</v>
      </c>
      <c r="O4319" s="235" t="s">
        <v>248</v>
      </c>
      <c r="P4319" s="238">
        <v>1.0</v>
      </c>
      <c r="Q4319" s="235" t="s">
        <v>627</v>
      </c>
      <c r="R4319" s="238">
        <v>244.76</v>
      </c>
      <c r="S4319" s="238">
        <v>12.0</v>
      </c>
      <c r="T4319" s="238">
        <v>0.0</v>
      </c>
      <c r="U4319" s="238">
        <v>0.0</v>
      </c>
      <c r="V4319" s="238">
        <v>0.0</v>
      </c>
      <c r="W4319" s="238">
        <v>0.0</v>
      </c>
      <c r="X4319" s="235" t="s">
        <v>628</v>
      </c>
      <c r="Z4319" s="245"/>
      <c r="AA4319" s="245"/>
      <c r="AB4319" s="245"/>
      <c r="AC4319" s="235" t="s">
        <v>32100</v>
      </c>
      <c r="AD4319" s="235" t="s">
        <v>731</v>
      </c>
      <c r="AE4319" s="238">
        <v>781028.0</v>
      </c>
      <c r="AF4319" s="235" t="s">
        <v>631</v>
      </c>
      <c r="AG4319" s="245"/>
      <c r="AH4319" s="245"/>
      <c r="AI4319" s="245"/>
      <c r="AJ4319" s="245"/>
      <c r="AK4319" s="245"/>
      <c r="AL4319" s="245"/>
      <c r="AM4319" s="245"/>
      <c r="AN4319" s="245"/>
      <c r="AO4319" s="238">
        <v>-4.9</v>
      </c>
      <c r="AP4319" s="238">
        <v>0.0</v>
      </c>
      <c r="AQ4319" s="235" t="s">
        <v>632</v>
      </c>
      <c r="AR4319" s="243">
        <v>2.02E11</v>
      </c>
      <c r="AS4319" s="235" t="s">
        <v>31232</v>
      </c>
      <c r="AT4319" s="235" t="s">
        <v>13</v>
      </c>
      <c r="AU4319" s="235" t="s">
        <v>634</v>
      </c>
      <c r="AV4319" s="246" t="s">
        <v>635</v>
      </c>
      <c r="AW4319" s="227"/>
      <c r="AX4319" s="227"/>
      <c r="AY4319" s="227"/>
      <c r="AZ4319" s="227"/>
      <c r="BA4319" s="227"/>
      <c r="BB4319" s="227"/>
      <c r="BC4319" s="227"/>
      <c r="BD4319" s="227"/>
      <c r="BE4319" s="227"/>
      <c r="BF4319" s="227"/>
    </row>
    <row r="4320">
      <c r="A4320" s="235" t="s">
        <v>32101</v>
      </c>
      <c r="C4320" s="235" t="s">
        <v>32102</v>
      </c>
      <c r="D4320" s="235" t="s">
        <v>32103</v>
      </c>
      <c r="E4320" s="243">
        <v>6.51E13</v>
      </c>
      <c r="F4320" s="245"/>
      <c r="G4320" s="235" t="s">
        <v>32104</v>
      </c>
      <c r="H4320" s="235" t="s">
        <v>32105</v>
      </c>
      <c r="I4320" s="235" t="s">
        <v>32105</v>
      </c>
      <c r="J4320" s="235" t="s">
        <v>32106</v>
      </c>
      <c r="K4320" s="235" t="s">
        <v>32107</v>
      </c>
      <c r="N4320" s="235" t="s">
        <v>962</v>
      </c>
      <c r="O4320" s="235" t="s">
        <v>963</v>
      </c>
      <c r="P4320" s="238">
        <v>1.0</v>
      </c>
      <c r="Q4320" s="235" t="s">
        <v>627</v>
      </c>
      <c r="R4320" s="238">
        <v>245.71</v>
      </c>
      <c r="S4320" s="238">
        <v>12.29</v>
      </c>
      <c r="T4320" s="238">
        <v>0.0</v>
      </c>
      <c r="U4320" s="238">
        <v>0.0</v>
      </c>
      <c r="V4320" s="238">
        <v>0.0</v>
      </c>
      <c r="W4320" s="238">
        <v>0.0</v>
      </c>
      <c r="X4320" s="235" t="s">
        <v>628</v>
      </c>
      <c r="Z4320" s="245"/>
      <c r="AA4320" s="245"/>
      <c r="AB4320" s="245"/>
      <c r="AC4320" s="235" t="s">
        <v>1613</v>
      </c>
      <c r="AD4320" s="235" t="s">
        <v>630</v>
      </c>
      <c r="AE4320" s="238">
        <v>226014.0</v>
      </c>
      <c r="AF4320" s="235" t="s">
        <v>631</v>
      </c>
      <c r="AG4320" s="245"/>
      <c r="AH4320" s="245"/>
      <c r="AI4320" s="245"/>
      <c r="AJ4320" s="245"/>
      <c r="AK4320" s="245"/>
      <c r="AL4320" s="245"/>
      <c r="AM4320" s="245"/>
      <c r="AN4320" s="245"/>
      <c r="AO4320" s="238">
        <v>0.0</v>
      </c>
      <c r="AP4320" s="238">
        <v>0.0</v>
      </c>
      <c r="AQ4320" s="235" t="s">
        <v>632</v>
      </c>
      <c r="AR4320" s="243">
        <v>2.02E11</v>
      </c>
      <c r="AS4320" s="235" t="s">
        <v>31232</v>
      </c>
      <c r="AT4320" s="235" t="s">
        <v>533</v>
      </c>
      <c r="AU4320" s="235" t="s">
        <v>634</v>
      </c>
      <c r="AV4320" s="246" t="s">
        <v>635</v>
      </c>
      <c r="AW4320" s="227"/>
      <c r="AX4320" s="227"/>
      <c r="AY4320" s="227"/>
      <c r="AZ4320" s="227"/>
      <c r="BA4320" s="227"/>
      <c r="BB4320" s="227"/>
      <c r="BC4320" s="227"/>
      <c r="BD4320" s="227"/>
      <c r="BE4320" s="227"/>
      <c r="BF4320" s="227"/>
    </row>
    <row r="4321">
      <c r="A4321" s="235" t="s">
        <v>32108</v>
      </c>
      <c r="C4321" s="235" t="s">
        <v>32109</v>
      </c>
      <c r="D4321" s="235" t="s">
        <v>32110</v>
      </c>
      <c r="E4321" s="243">
        <v>6.51E13</v>
      </c>
      <c r="F4321" s="245"/>
      <c r="G4321" s="235" t="s">
        <v>32111</v>
      </c>
      <c r="H4321" s="235" t="s">
        <v>32112</v>
      </c>
      <c r="I4321" s="235" t="s">
        <v>32112</v>
      </c>
      <c r="J4321" s="235" t="s">
        <v>32113</v>
      </c>
      <c r="K4321" s="235" t="s">
        <v>32114</v>
      </c>
      <c r="N4321" s="235" t="s">
        <v>127</v>
      </c>
      <c r="O4321" s="235" t="s">
        <v>794</v>
      </c>
      <c r="P4321" s="238">
        <v>1.0</v>
      </c>
      <c r="Q4321" s="235" t="s">
        <v>627</v>
      </c>
      <c r="R4321" s="238">
        <v>243.81</v>
      </c>
      <c r="S4321" s="238">
        <v>12.19</v>
      </c>
      <c r="T4321" s="238">
        <v>0.0</v>
      </c>
      <c r="U4321" s="238">
        <v>0.0</v>
      </c>
      <c r="V4321" s="238">
        <v>0.0</v>
      </c>
      <c r="W4321" s="238">
        <v>0.0</v>
      </c>
      <c r="X4321" s="235" t="s">
        <v>628</v>
      </c>
      <c r="Z4321" s="245"/>
      <c r="AA4321" s="245"/>
      <c r="AB4321" s="245"/>
      <c r="AC4321" s="235" t="s">
        <v>844</v>
      </c>
      <c r="AD4321" s="235" t="s">
        <v>845</v>
      </c>
      <c r="AE4321" s="238">
        <v>411047.0</v>
      </c>
      <c r="AF4321" s="235" t="s">
        <v>631</v>
      </c>
      <c r="AG4321" s="245"/>
      <c r="AH4321" s="245"/>
      <c r="AI4321" s="245"/>
      <c r="AJ4321" s="245"/>
      <c r="AK4321" s="245"/>
      <c r="AL4321" s="245"/>
      <c r="AM4321" s="245"/>
      <c r="AN4321" s="245"/>
      <c r="AO4321" s="238">
        <v>0.0</v>
      </c>
      <c r="AP4321" s="238">
        <v>0.0</v>
      </c>
      <c r="AQ4321" s="235" t="s">
        <v>632</v>
      </c>
      <c r="AR4321" s="243">
        <v>2.02E11</v>
      </c>
      <c r="AS4321" s="235" t="s">
        <v>31232</v>
      </c>
      <c r="AT4321" s="235" t="s">
        <v>9</v>
      </c>
      <c r="AU4321" s="235" t="s">
        <v>634</v>
      </c>
      <c r="AV4321" s="246" t="s">
        <v>635</v>
      </c>
      <c r="AW4321" s="227"/>
      <c r="AX4321" s="227"/>
      <c r="AY4321" s="227"/>
      <c r="AZ4321" s="227"/>
      <c r="BA4321" s="227"/>
      <c r="BB4321" s="227"/>
      <c r="BC4321" s="227"/>
      <c r="BD4321" s="227"/>
      <c r="BE4321" s="227"/>
      <c r="BF4321" s="227"/>
    </row>
    <row r="4322">
      <c r="A4322" s="235" t="s">
        <v>32115</v>
      </c>
      <c r="C4322" s="235" t="s">
        <v>32116</v>
      </c>
      <c r="D4322" s="235" t="s">
        <v>32117</v>
      </c>
      <c r="E4322" s="243">
        <v>6.5E13</v>
      </c>
      <c r="F4322" s="245"/>
      <c r="G4322" s="235" t="s">
        <v>32118</v>
      </c>
      <c r="H4322" s="235" t="s">
        <v>32119</v>
      </c>
      <c r="I4322" s="235" t="s">
        <v>32119</v>
      </c>
      <c r="J4322" s="235" t="s">
        <v>32120</v>
      </c>
      <c r="K4322" s="235" t="s">
        <v>32121</v>
      </c>
      <c r="N4322" s="235" t="s">
        <v>50</v>
      </c>
      <c r="O4322" s="235" t="s">
        <v>367</v>
      </c>
      <c r="P4322" s="238">
        <v>1.0</v>
      </c>
      <c r="Q4322" s="235" t="s">
        <v>627</v>
      </c>
      <c r="R4322" s="238">
        <v>234.28</v>
      </c>
      <c r="S4322" s="238">
        <v>11.72</v>
      </c>
      <c r="T4322" s="238">
        <v>0.0</v>
      </c>
      <c r="U4322" s="238">
        <v>0.0</v>
      </c>
      <c r="V4322" s="238">
        <v>0.0</v>
      </c>
      <c r="W4322" s="238">
        <v>0.0</v>
      </c>
      <c r="X4322" s="235" t="s">
        <v>628</v>
      </c>
      <c r="Z4322" s="245"/>
      <c r="AA4322" s="245"/>
      <c r="AB4322" s="245"/>
      <c r="AC4322" s="235" t="s">
        <v>15649</v>
      </c>
      <c r="AD4322" s="235" t="s">
        <v>666</v>
      </c>
      <c r="AE4322" s="238">
        <v>635126.0</v>
      </c>
      <c r="AF4322" s="235" t="s">
        <v>631</v>
      </c>
      <c r="AG4322" s="245"/>
      <c r="AH4322" s="245"/>
      <c r="AI4322" s="245"/>
      <c r="AJ4322" s="245"/>
      <c r="AK4322" s="245"/>
      <c r="AL4322" s="245"/>
      <c r="AM4322" s="245"/>
      <c r="AN4322" s="245"/>
      <c r="AO4322" s="238">
        <v>0.0</v>
      </c>
      <c r="AP4322" s="238">
        <v>0.0</v>
      </c>
      <c r="AQ4322" s="235" t="s">
        <v>632</v>
      </c>
      <c r="AR4322" s="243">
        <v>3.71E11</v>
      </c>
      <c r="AS4322" s="235" t="s">
        <v>28482</v>
      </c>
      <c r="AT4322" s="235" t="s">
        <v>155</v>
      </c>
      <c r="AU4322" s="235" t="s">
        <v>634</v>
      </c>
      <c r="AV4322" s="246" t="s">
        <v>635</v>
      </c>
      <c r="AW4322" s="227"/>
      <c r="AX4322" s="227"/>
      <c r="AY4322" s="227"/>
      <c r="AZ4322" s="227"/>
      <c r="BA4322" s="227"/>
      <c r="BB4322" s="227"/>
      <c r="BC4322" s="227"/>
      <c r="BD4322" s="227"/>
      <c r="BE4322" s="227"/>
      <c r="BF4322" s="227"/>
    </row>
    <row r="4323">
      <c r="A4323" s="235" t="s">
        <v>32122</v>
      </c>
      <c r="C4323" s="235" t="s">
        <v>32123</v>
      </c>
      <c r="D4323" s="235" t="s">
        <v>32124</v>
      </c>
      <c r="E4323" s="243">
        <v>6.51E13</v>
      </c>
      <c r="F4323" s="245"/>
      <c r="G4323" s="235" t="s">
        <v>32125</v>
      </c>
      <c r="H4323" s="235" t="s">
        <v>32126</v>
      </c>
      <c r="I4323" s="235" t="s">
        <v>32126</v>
      </c>
      <c r="J4323" s="235" t="s">
        <v>32127</v>
      </c>
      <c r="K4323" s="235" t="s">
        <v>32128</v>
      </c>
      <c r="N4323" s="235" t="s">
        <v>0</v>
      </c>
      <c r="O4323" s="235" t="s">
        <v>740</v>
      </c>
      <c r="P4323" s="238">
        <v>1.0</v>
      </c>
      <c r="Q4323" s="235" t="s">
        <v>627</v>
      </c>
      <c r="R4323" s="238">
        <v>265.72</v>
      </c>
      <c r="S4323" s="238">
        <v>13.02</v>
      </c>
      <c r="T4323" s="238">
        <v>0.0</v>
      </c>
      <c r="U4323" s="238">
        <v>0.0</v>
      </c>
      <c r="V4323" s="238">
        <v>0.0</v>
      </c>
      <c r="W4323" s="238">
        <v>0.0</v>
      </c>
      <c r="X4323" s="235" t="s">
        <v>628</v>
      </c>
      <c r="Z4323" s="245"/>
      <c r="AA4323" s="245"/>
      <c r="AB4323" s="245"/>
      <c r="AC4323" s="235" t="s">
        <v>16330</v>
      </c>
      <c r="AD4323" s="235" t="s">
        <v>845</v>
      </c>
      <c r="AE4323" s="238">
        <v>416416.0</v>
      </c>
      <c r="AF4323" s="235" t="s">
        <v>631</v>
      </c>
      <c r="AG4323" s="245"/>
      <c r="AH4323" s="245"/>
      <c r="AI4323" s="245"/>
      <c r="AJ4323" s="245"/>
      <c r="AK4323" s="245"/>
      <c r="AL4323" s="245"/>
      <c r="AM4323" s="245"/>
      <c r="AN4323" s="245"/>
      <c r="AO4323" s="238">
        <v>-5.32</v>
      </c>
      <c r="AP4323" s="238">
        <v>0.0</v>
      </c>
      <c r="AQ4323" s="235" t="s">
        <v>632</v>
      </c>
      <c r="AR4323" s="243">
        <v>1.68E11</v>
      </c>
      <c r="AS4323" s="235" t="s">
        <v>31232</v>
      </c>
      <c r="AT4323" s="235" t="s">
        <v>546</v>
      </c>
      <c r="AU4323" s="235" t="s">
        <v>634</v>
      </c>
      <c r="AV4323" s="246" t="s">
        <v>635</v>
      </c>
      <c r="AW4323" s="227"/>
      <c r="AX4323" s="227"/>
      <c r="AY4323" s="227"/>
      <c r="AZ4323" s="227"/>
      <c r="BA4323" s="227"/>
      <c r="BB4323" s="227"/>
      <c r="BC4323" s="227"/>
      <c r="BD4323" s="227"/>
      <c r="BE4323" s="227"/>
      <c r="BF4323" s="227"/>
    </row>
    <row r="4324">
      <c r="A4324" s="235" t="s">
        <v>32129</v>
      </c>
      <c r="C4324" s="235" t="s">
        <v>32130</v>
      </c>
      <c r="D4324" s="235" t="s">
        <v>32131</v>
      </c>
      <c r="E4324" s="243">
        <v>6.51E13</v>
      </c>
      <c r="F4324" s="245"/>
      <c r="G4324" s="235" t="s">
        <v>32132</v>
      </c>
      <c r="H4324" s="235" t="s">
        <v>32133</v>
      </c>
      <c r="I4324" s="235" t="s">
        <v>32133</v>
      </c>
      <c r="J4324" s="235" t="s">
        <v>32134</v>
      </c>
      <c r="K4324" s="235" t="s">
        <v>32135</v>
      </c>
      <c r="N4324" s="235" t="s">
        <v>42</v>
      </c>
      <c r="O4324" s="235" t="s">
        <v>204</v>
      </c>
      <c r="P4324" s="238">
        <v>1.0</v>
      </c>
      <c r="Q4324" s="235" t="s">
        <v>627</v>
      </c>
      <c r="R4324" s="238">
        <v>237.14</v>
      </c>
      <c r="S4324" s="238">
        <v>11.86</v>
      </c>
      <c r="T4324" s="238">
        <v>38.1</v>
      </c>
      <c r="U4324" s="238">
        <v>1.9</v>
      </c>
      <c r="V4324" s="238">
        <v>0.0</v>
      </c>
      <c r="W4324" s="238">
        <v>0.0</v>
      </c>
      <c r="X4324" s="235" t="s">
        <v>628</v>
      </c>
      <c r="Z4324" s="245"/>
      <c r="AA4324" s="245"/>
      <c r="AB4324" s="245"/>
      <c r="AC4324" s="235" t="s">
        <v>32136</v>
      </c>
      <c r="AD4324" s="235" t="s">
        <v>666</v>
      </c>
      <c r="AE4324" s="238">
        <v>603103.0</v>
      </c>
      <c r="AF4324" s="235" t="s">
        <v>631</v>
      </c>
      <c r="AG4324" s="245"/>
      <c r="AH4324" s="245"/>
      <c r="AI4324" s="245"/>
      <c r="AJ4324" s="245"/>
      <c r="AK4324" s="245"/>
      <c r="AL4324" s="245"/>
      <c r="AM4324" s="245"/>
      <c r="AN4324" s="245"/>
      <c r="AO4324" s="238">
        <v>0.0</v>
      </c>
      <c r="AP4324" s="238">
        <v>-38.1</v>
      </c>
      <c r="AQ4324" s="235" t="s">
        <v>632</v>
      </c>
      <c r="AR4324" s="243">
        <v>3.71E11</v>
      </c>
      <c r="AS4324" s="235" t="s">
        <v>31232</v>
      </c>
      <c r="AT4324" s="235" t="s">
        <v>156</v>
      </c>
      <c r="AU4324" s="235" t="s">
        <v>634</v>
      </c>
      <c r="AV4324" s="246" t="s">
        <v>635</v>
      </c>
      <c r="AW4324" s="227"/>
      <c r="AX4324" s="227"/>
      <c r="AY4324" s="227"/>
      <c r="AZ4324" s="227"/>
      <c r="BA4324" s="227"/>
      <c r="BB4324" s="227"/>
      <c r="BC4324" s="227"/>
      <c r="BD4324" s="227"/>
      <c r="BE4324" s="227"/>
      <c r="BF4324" s="227"/>
    </row>
    <row r="4325">
      <c r="A4325" s="235" t="s">
        <v>32137</v>
      </c>
      <c r="C4325" s="235" t="s">
        <v>32138</v>
      </c>
      <c r="D4325" s="235" t="s">
        <v>32139</v>
      </c>
      <c r="E4325" s="243">
        <v>6.51E13</v>
      </c>
      <c r="F4325" s="245"/>
      <c r="G4325" s="235" t="s">
        <v>32140</v>
      </c>
      <c r="H4325" s="235" t="s">
        <v>32141</v>
      </c>
      <c r="I4325" s="235" t="s">
        <v>32141</v>
      </c>
      <c r="J4325" s="235" t="s">
        <v>32142</v>
      </c>
      <c r="K4325" s="235" t="s">
        <v>32143</v>
      </c>
      <c r="N4325" s="235" t="s">
        <v>145</v>
      </c>
      <c r="O4325" s="235" t="s">
        <v>370</v>
      </c>
      <c r="P4325" s="238">
        <v>1.0</v>
      </c>
      <c r="Q4325" s="235" t="s">
        <v>627</v>
      </c>
      <c r="R4325" s="238">
        <v>1522.86</v>
      </c>
      <c r="S4325" s="238">
        <v>76.14</v>
      </c>
      <c r="T4325" s="238">
        <v>38.1</v>
      </c>
      <c r="U4325" s="238">
        <v>1.9</v>
      </c>
      <c r="V4325" s="238">
        <v>0.0</v>
      </c>
      <c r="W4325" s="238">
        <v>0.0</v>
      </c>
      <c r="X4325" s="235" t="s">
        <v>628</v>
      </c>
      <c r="Z4325" s="245"/>
      <c r="AA4325" s="245"/>
      <c r="AB4325" s="245"/>
      <c r="AC4325" s="235" t="s">
        <v>678</v>
      </c>
      <c r="AD4325" s="235" t="s">
        <v>679</v>
      </c>
      <c r="AE4325" s="238">
        <v>560103.0</v>
      </c>
      <c r="AF4325" s="235" t="s">
        <v>631</v>
      </c>
      <c r="AG4325" s="245"/>
      <c r="AH4325" s="245"/>
      <c r="AI4325" s="245"/>
      <c r="AJ4325" s="245"/>
      <c r="AK4325" s="245"/>
      <c r="AL4325" s="245"/>
      <c r="AM4325" s="245"/>
      <c r="AN4325" s="245"/>
      <c r="AO4325" s="238">
        <v>0.0</v>
      </c>
      <c r="AP4325" s="238">
        <v>-38.1</v>
      </c>
      <c r="AQ4325" s="235" t="s">
        <v>632</v>
      </c>
      <c r="AR4325" s="243">
        <v>3.71E11</v>
      </c>
      <c r="AS4325" s="235" t="s">
        <v>31232</v>
      </c>
      <c r="AT4325" s="235" t="s">
        <v>11</v>
      </c>
      <c r="AU4325" s="235" t="s">
        <v>634</v>
      </c>
      <c r="AV4325" s="246" t="s">
        <v>635</v>
      </c>
      <c r="AW4325" s="227"/>
      <c r="AX4325" s="227"/>
      <c r="AY4325" s="227"/>
      <c r="AZ4325" s="227"/>
      <c r="BA4325" s="227"/>
      <c r="BB4325" s="227"/>
      <c r="BC4325" s="227"/>
      <c r="BD4325" s="227"/>
      <c r="BE4325" s="227"/>
      <c r="BF4325" s="227"/>
    </row>
    <row r="4326">
      <c r="A4326" s="235" t="s">
        <v>32144</v>
      </c>
      <c r="C4326" s="235" t="s">
        <v>32145</v>
      </c>
      <c r="D4326" s="235" t="s">
        <v>32146</v>
      </c>
      <c r="E4326" s="243">
        <v>6.51E13</v>
      </c>
      <c r="F4326" s="245"/>
      <c r="G4326" s="235" t="s">
        <v>32147</v>
      </c>
      <c r="H4326" s="235" t="s">
        <v>32148</v>
      </c>
      <c r="I4326" s="235" t="s">
        <v>32149</v>
      </c>
      <c r="J4326" s="235" t="s">
        <v>32150</v>
      </c>
      <c r="K4326" s="235" t="s">
        <v>32151</v>
      </c>
      <c r="N4326" s="235" t="s">
        <v>2163</v>
      </c>
      <c r="O4326" s="235" t="s">
        <v>2164</v>
      </c>
      <c r="P4326" s="238">
        <v>1.0</v>
      </c>
      <c r="Q4326" s="235" t="s">
        <v>627</v>
      </c>
      <c r="R4326" s="238">
        <v>245.71</v>
      </c>
      <c r="S4326" s="238">
        <v>12.29</v>
      </c>
      <c r="T4326" s="238">
        <v>0.0</v>
      </c>
      <c r="U4326" s="238">
        <v>0.0</v>
      </c>
      <c r="V4326" s="238">
        <v>0.0</v>
      </c>
      <c r="W4326" s="238">
        <v>0.0</v>
      </c>
      <c r="X4326" s="235" t="s">
        <v>628</v>
      </c>
      <c r="Z4326" s="245"/>
      <c r="AA4326" s="245"/>
      <c r="AB4326" s="245"/>
      <c r="AC4326" s="235" t="s">
        <v>4664</v>
      </c>
      <c r="AD4326" s="235" t="s">
        <v>698</v>
      </c>
      <c r="AE4326" s="238">
        <v>506164.0</v>
      </c>
      <c r="AF4326" s="235" t="s">
        <v>631</v>
      </c>
      <c r="AG4326" s="245"/>
      <c r="AH4326" s="245"/>
      <c r="AI4326" s="245"/>
      <c r="AJ4326" s="245"/>
      <c r="AK4326" s="245"/>
      <c r="AL4326" s="245"/>
      <c r="AM4326" s="245"/>
      <c r="AN4326" s="245"/>
      <c r="AO4326" s="238">
        <v>0.0</v>
      </c>
      <c r="AP4326" s="238">
        <v>0.0</v>
      </c>
      <c r="AQ4326" s="235" t="s">
        <v>632</v>
      </c>
      <c r="AR4326" s="243">
        <v>3.71E11</v>
      </c>
      <c r="AS4326" s="235" t="s">
        <v>26892</v>
      </c>
      <c r="AT4326" s="235" t="s">
        <v>11</v>
      </c>
      <c r="AU4326" s="235" t="s">
        <v>634</v>
      </c>
      <c r="AV4326" s="246" t="s">
        <v>635</v>
      </c>
      <c r="AW4326" s="227"/>
      <c r="AX4326" s="227"/>
      <c r="AY4326" s="227"/>
      <c r="AZ4326" s="227"/>
      <c r="BA4326" s="227"/>
      <c r="BB4326" s="227"/>
      <c r="BC4326" s="227"/>
      <c r="BD4326" s="227"/>
      <c r="BE4326" s="227"/>
      <c r="BF4326" s="227"/>
    </row>
    <row r="4327">
      <c r="A4327" s="235" t="s">
        <v>32152</v>
      </c>
      <c r="C4327" s="235" t="s">
        <v>32153</v>
      </c>
      <c r="D4327" s="235" t="s">
        <v>32154</v>
      </c>
      <c r="E4327" s="243">
        <v>6.51E13</v>
      </c>
      <c r="F4327" s="245"/>
      <c r="G4327" s="235" t="s">
        <v>32155</v>
      </c>
      <c r="H4327" s="235" t="s">
        <v>32156</v>
      </c>
      <c r="I4327" s="235" t="s">
        <v>32156</v>
      </c>
      <c r="J4327" s="235" t="s">
        <v>32157</v>
      </c>
      <c r="K4327" s="235" t="s">
        <v>32158</v>
      </c>
      <c r="N4327" s="235" t="s">
        <v>127</v>
      </c>
      <c r="O4327" s="235" t="s">
        <v>794</v>
      </c>
      <c r="P4327" s="238">
        <v>1.0</v>
      </c>
      <c r="Q4327" s="235" t="s">
        <v>627</v>
      </c>
      <c r="R4327" s="238">
        <v>243.81</v>
      </c>
      <c r="S4327" s="238">
        <v>12.19</v>
      </c>
      <c r="T4327" s="238">
        <v>0.0</v>
      </c>
      <c r="U4327" s="238">
        <v>0.0</v>
      </c>
      <c r="V4327" s="238">
        <v>0.0</v>
      </c>
      <c r="W4327" s="238">
        <v>0.0</v>
      </c>
      <c r="X4327" s="235" t="s">
        <v>628</v>
      </c>
      <c r="Z4327" s="245"/>
      <c r="AA4327" s="245"/>
      <c r="AB4327" s="245"/>
      <c r="AC4327" s="235" t="s">
        <v>32159</v>
      </c>
      <c r="AD4327" s="235" t="s">
        <v>1086</v>
      </c>
      <c r="AE4327" s="238">
        <v>142022.0</v>
      </c>
      <c r="AF4327" s="235" t="s">
        <v>631</v>
      </c>
      <c r="AG4327" s="245"/>
      <c r="AH4327" s="245"/>
      <c r="AI4327" s="245"/>
      <c r="AJ4327" s="245"/>
      <c r="AK4327" s="245"/>
      <c r="AL4327" s="245"/>
      <c r="AM4327" s="245"/>
      <c r="AN4327" s="245"/>
      <c r="AO4327" s="238">
        <v>0.0</v>
      </c>
      <c r="AP4327" s="238">
        <v>0.0</v>
      </c>
      <c r="AQ4327" s="235" t="s">
        <v>632</v>
      </c>
      <c r="AR4327" s="243">
        <v>1.68E11</v>
      </c>
      <c r="AS4327" s="235" t="s">
        <v>31232</v>
      </c>
      <c r="AT4327" s="235" t="s">
        <v>14</v>
      </c>
      <c r="AU4327" s="235" t="s">
        <v>634</v>
      </c>
      <c r="AV4327" s="246" t="s">
        <v>635</v>
      </c>
      <c r="AW4327" s="227"/>
      <c r="AX4327" s="227"/>
      <c r="AY4327" s="227"/>
      <c r="AZ4327" s="227"/>
      <c r="BA4327" s="227"/>
      <c r="BB4327" s="227"/>
      <c r="BC4327" s="227"/>
      <c r="BD4327" s="227"/>
      <c r="BE4327" s="227"/>
      <c r="BF4327" s="227"/>
    </row>
    <row r="4328">
      <c r="A4328" s="235" t="s">
        <v>32160</v>
      </c>
      <c r="C4328" s="235" t="s">
        <v>32161</v>
      </c>
      <c r="D4328" s="235" t="s">
        <v>32162</v>
      </c>
      <c r="E4328" s="243">
        <v>6.49E13</v>
      </c>
      <c r="F4328" s="245"/>
      <c r="G4328" s="235" t="s">
        <v>32163</v>
      </c>
      <c r="H4328" s="235" t="s">
        <v>32164</v>
      </c>
      <c r="I4328" s="235" t="s">
        <v>32164</v>
      </c>
      <c r="J4328" s="235" t="s">
        <v>32165</v>
      </c>
      <c r="K4328" s="235" t="s">
        <v>32166</v>
      </c>
      <c r="N4328" s="235" t="s">
        <v>50</v>
      </c>
      <c r="O4328" s="235" t="s">
        <v>367</v>
      </c>
      <c r="P4328" s="238">
        <v>1.0</v>
      </c>
      <c r="Q4328" s="235" t="s">
        <v>627</v>
      </c>
      <c r="R4328" s="238">
        <v>234.28</v>
      </c>
      <c r="S4328" s="238">
        <v>11.72</v>
      </c>
      <c r="T4328" s="238">
        <v>38.1</v>
      </c>
      <c r="U4328" s="238">
        <v>1.9</v>
      </c>
      <c r="V4328" s="238">
        <v>0.0</v>
      </c>
      <c r="W4328" s="238">
        <v>0.0</v>
      </c>
      <c r="X4328" s="235" t="s">
        <v>628</v>
      </c>
      <c r="Z4328" s="245"/>
      <c r="AA4328" s="245"/>
      <c r="AB4328" s="245"/>
      <c r="AC4328" s="235" t="s">
        <v>2698</v>
      </c>
      <c r="AD4328" s="235" t="s">
        <v>666</v>
      </c>
      <c r="AE4328" s="238">
        <v>606001.0</v>
      </c>
      <c r="AF4328" s="235" t="s">
        <v>631</v>
      </c>
      <c r="AG4328" s="245"/>
      <c r="AH4328" s="245"/>
      <c r="AI4328" s="245"/>
      <c r="AJ4328" s="245"/>
      <c r="AK4328" s="245"/>
      <c r="AL4328" s="245"/>
      <c r="AM4328" s="245"/>
      <c r="AN4328" s="245"/>
      <c r="AO4328" s="238">
        <v>0.0</v>
      </c>
      <c r="AP4328" s="238">
        <v>-38.1</v>
      </c>
      <c r="AQ4328" s="235" t="s">
        <v>632</v>
      </c>
      <c r="AR4328" s="243">
        <v>3.71E11</v>
      </c>
      <c r="AS4328" s="235" t="s">
        <v>29883</v>
      </c>
      <c r="AT4328" s="235" t="s">
        <v>155</v>
      </c>
      <c r="AU4328" s="235" t="s">
        <v>634</v>
      </c>
      <c r="AV4328" s="246" t="s">
        <v>635</v>
      </c>
      <c r="AW4328" s="227"/>
      <c r="AX4328" s="227"/>
      <c r="AY4328" s="227"/>
      <c r="AZ4328" s="227"/>
      <c r="BA4328" s="227"/>
      <c r="BB4328" s="227"/>
      <c r="BC4328" s="227"/>
      <c r="BD4328" s="227"/>
      <c r="BE4328" s="227"/>
      <c r="BF4328" s="227"/>
    </row>
    <row r="4329">
      <c r="A4329" s="235" t="s">
        <v>32167</v>
      </c>
      <c r="C4329" s="235" t="s">
        <v>32168</v>
      </c>
      <c r="D4329" s="235" t="s">
        <v>32169</v>
      </c>
      <c r="E4329" s="243">
        <v>6.5E13</v>
      </c>
      <c r="F4329" s="245"/>
      <c r="G4329" s="235" t="s">
        <v>32170</v>
      </c>
      <c r="H4329" s="235" t="s">
        <v>32171</v>
      </c>
      <c r="I4329" s="235" t="s">
        <v>32172</v>
      </c>
      <c r="J4329" s="235" t="s">
        <v>32173</v>
      </c>
      <c r="K4329" s="235" t="s">
        <v>32174</v>
      </c>
      <c r="N4329" s="235" t="s">
        <v>0</v>
      </c>
      <c r="O4329" s="235" t="s">
        <v>740</v>
      </c>
      <c r="P4329" s="238">
        <v>1.0</v>
      </c>
      <c r="Q4329" s="235" t="s">
        <v>627</v>
      </c>
      <c r="R4329" s="238">
        <v>265.72</v>
      </c>
      <c r="S4329" s="238">
        <v>13.02</v>
      </c>
      <c r="T4329" s="238">
        <v>0.0</v>
      </c>
      <c r="U4329" s="238">
        <v>0.0</v>
      </c>
      <c r="V4329" s="238">
        <v>0.0</v>
      </c>
      <c r="W4329" s="238">
        <v>0.0</v>
      </c>
      <c r="X4329" s="235" t="s">
        <v>628</v>
      </c>
      <c r="Z4329" s="245"/>
      <c r="AA4329" s="245"/>
      <c r="AB4329" s="245"/>
      <c r="AC4329" s="235" t="s">
        <v>1058</v>
      </c>
      <c r="AD4329" s="235" t="s">
        <v>845</v>
      </c>
      <c r="AE4329" s="238">
        <v>400050.0</v>
      </c>
      <c r="AF4329" s="235" t="s">
        <v>631</v>
      </c>
      <c r="AG4329" s="245"/>
      <c r="AH4329" s="245"/>
      <c r="AI4329" s="245"/>
      <c r="AJ4329" s="245"/>
      <c r="AK4329" s="245"/>
      <c r="AL4329" s="245"/>
      <c r="AM4329" s="245"/>
      <c r="AN4329" s="245"/>
      <c r="AO4329" s="238">
        <v>-5.32</v>
      </c>
      <c r="AP4329" s="238">
        <v>0.0</v>
      </c>
      <c r="AQ4329" s="235" t="s">
        <v>632</v>
      </c>
      <c r="AR4329" s="243">
        <v>3.71E11</v>
      </c>
      <c r="AS4329" s="235" t="s">
        <v>31232</v>
      </c>
      <c r="AT4329" s="235" t="s">
        <v>16</v>
      </c>
      <c r="AU4329" s="235" t="s">
        <v>634</v>
      </c>
      <c r="AV4329" s="246" t="s">
        <v>635</v>
      </c>
      <c r="AW4329" s="227"/>
      <c r="AX4329" s="227"/>
      <c r="AY4329" s="227"/>
      <c r="AZ4329" s="227"/>
      <c r="BA4329" s="227"/>
      <c r="BB4329" s="227"/>
      <c r="BC4329" s="227"/>
      <c r="BD4329" s="227"/>
      <c r="BE4329" s="227"/>
      <c r="BF4329" s="227"/>
    </row>
    <row r="4330">
      <c r="A4330" s="235" t="s">
        <v>32175</v>
      </c>
      <c r="C4330" s="235" t="s">
        <v>32176</v>
      </c>
      <c r="D4330" s="235" t="s">
        <v>32177</v>
      </c>
      <c r="E4330" s="243">
        <v>6.51E13</v>
      </c>
      <c r="F4330" s="245"/>
      <c r="G4330" s="235" t="s">
        <v>32178</v>
      </c>
      <c r="H4330" s="235" t="s">
        <v>32179</v>
      </c>
      <c r="I4330" s="235" t="s">
        <v>32179</v>
      </c>
      <c r="J4330" s="235" t="s">
        <v>32180</v>
      </c>
      <c r="K4330" s="235" t="s">
        <v>32181</v>
      </c>
      <c r="N4330" s="235" t="s">
        <v>42</v>
      </c>
      <c r="O4330" s="235" t="s">
        <v>204</v>
      </c>
      <c r="P4330" s="238">
        <v>1.0</v>
      </c>
      <c r="Q4330" s="235" t="s">
        <v>627</v>
      </c>
      <c r="R4330" s="238">
        <v>237.14</v>
      </c>
      <c r="S4330" s="238">
        <v>11.86</v>
      </c>
      <c r="T4330" s="238">
        <v>0.0</v>
      </c>
      <c r="U4330" s="238">
        <v>0.0</v>
      </c>
      <c r="V4330" s="238">
        <v>0.0</v>
      </c>
      <c r="W4330" s="238">
        <v>0.0</v>
      </c>
      <c r="X4330" s="235" t="s">
        <v>628</v>
      </c>
      <c r="Z4330" s="245"/>
      <c r="AA4330" s="245"/>
      <c r="AB4330" s="245"/>
      <c r="AC4330" s="235" t="s">
        <v>687</v>
      </c>
      <c r="AD4330" s="235" t="s">
        <v>666</v>
      </c>
      <c r="AE4330" s="238">
        <v>600119.0</v>
      </c>
      <c r="AF4330" s="235" t="s">
        <v>631</v>
      </c>
      <c r="AG4330" s="245"/>
      <c r="AH4330" s="245"/>
      <c r="AI4330" s="245"/>
      <c r="AJ4330" s="245"/>
      <c r="AK4330" s="245"/>
      <c r="AL4330" s="245"/>
      <c r="AM4330" s="245"/>
      <c r="AN4330" s="245"/>
      <c r="AO4330" s="238">
        <v>0.0</v>
      </c>
      <c r="AP4330" s="238">
        <v>0.0</v>
      </c>
      <c r="AQ4330" s="235" t="s">
        <v>632</v>
      </c>
      <c r="AR4330" s="243">
        <v>3.71E11</v>
      </c>
      <c r="AS4330" s="235" t="s">
        <v>31232</v>
      </c>
      <c r="AT4330" s="235" t="s">
        <v>156</v>
      </c>
      <c r="AU4330" s="235" t="s">
        <v>634</v>
      </c>
      <c r="AV4330" s="246" t="s">
        <v>635</v>
      </c>
      <c r="AW4330" s="227"/>
      <c r="AX4330" s="227"/>
      <c r="AY4330" s="227"/>
      <c r="AZ4330" s="227"/>
      <c r="BA4330" s="227"/>
      <c r="BB4330" s="227"/>
      <c r="BC4330" s="227"/>
      <c r="BD4330" s="227"/>
      <c r="BE4330" s="227"/>
      <c r="BF4330" s="227"/>
    </row>
    <row r="4331">
      <c r="A4331" s="235" t="s">
        <v>32182</v>
      </c>
      <c r="C4331" s="235" t="s">
        <v>32183</v>
      </c>
      <c r="D4331" s="235" t="s">
        <v>32184</v>
      </c>
      <c r="E4331" s="243">
        <v>6.51E13</v>
      </c>
      <c r="F4331" s="245"/>
      <c r="G4331" s="235" t="s">
        <v>32185</v>
      </c>
      <c r="H4331" s="235" t="s">
        <v>32186</v>
      </c>
      <c r="I4331" s="235" t="s">
        <v>32186</v>
      </c>
      <c r="J4331" s="235" t="s">
        <v>32187</v>
      </c>
      <c r="K4331" s="235" t="s">
        <v>32188</v>
      </c>
      <c r="N4331" s="235" t="s">
        <v>68</v>
      </c>
      <c r="O4331" s="235" t="s">
        <v>208</v>
      </c>
      <c r="P4331" s="238">
        <v>1.0</v>
      </c>
      <c r="Q4331" s="235" t="s">
        <v>627</v>
      </c>
      <c r="R4331" s="238">
        <v>246.67</v>
      </c>
      <c r="S4331" s="238">
        <v>12.33</v>
      </c>
      <c r="T4331" s="238">
        <v>0.0</v>
      </c>
      <c r="U4331" s="238">
        <v>0.0</v>
      </c>
      <c r="V4331" s="238">
        <v>0.0</v>
      </c>
      <c r="W4331" s="238">
        <v>0.0</v>
      </c>
      <c r="X4331" s="235" t="s">
        <v>628</v>
      </c>
      <c r="Z4331" s="245"/>
      <c r="AA4331" s="245"/>
      <c r="AB4331" s="245"/>
      <c r="AC4331" s="235" t="s">
        <v>1935</v>
      </c>
      <c r="AD4331" s="235" t="s">
        <v>630</v>
      </c>
      <c r="AE4331" s="238">
        <v>282007.0</v>
      </c>
      <c r="AF4331" s="235" t="s">
        <v>631</v>
      </c>
      <c r="AG4331" s="245"/>
      <c r="AH4331" s="245"/>
      <c r="AI4331" s="245"/>
      <c r="AJ4331" s="245"/>
      <c r="AK4331" s="245"/>
      <c r="AL4331" s="245"/>
      <c r="AM4331" s="245"/>
      <c r="AN4331" s="245"/>
      <c r="AO4331" s="238">
        <v>0.0</v>
      </c>
      <c r="AP4331" s="238">
        <v>0.0</v>
      </c>
      <c r="AQ4331" s="235" t="s">
        <v>632</v>
      </c>
      <c r="AR4331" s="243">
        <v>3.71E11</v>
      </c>
      <c r="AS4331" s="235" t="s">
        <v>31232</v>
      </c>
      <c r="AT4331" s="235" t="s">
        <v>14</v>
      </c>
      <c r="AU4331" s="235" t="s">
        <v>634</v>
      </c>
      <c r="AV4331" s="246" t="s">
        <v>635</v>
      </c>
      <c r="AW4331" s="227"/>
      <c r="AX4331" s="227"/>
      <c r="AY4331" s="227"/>
      <c r="AZ4331" s="227"/>
      <c r="BA4331" s="227"/>
      <c r="BB4331" s="227"/>
      <c r="BC4331" s="227"/>
      <c r="BD4331" s="227"/>
      <c r="BE4331" s="227"/>
      <c r="BF4331" s="227"/>
    </row>
    <row r="4332">
      <c r="A4332" s="235" t="s">
        <v>32189</v>
      </c>
      <c r="C4332" s="235" t="s">
        <v>32190</v>
      </c>
      <c r="D4332" s="235" t="s">
        <v>32191</v>
      </c>
      <c r="E4332" s="243">
        <v>6.51E13</v>
      </c>
      <c r="F4332" s="245"/>
      <c r="G4332" s="235" t="s">
        <v>32192</v>
      </c>
      <c r="H4332" s="235" t="s">
        <v>32193</v>
      </c>
      <c r="I4332" s="235" t="s">
        <v>32193</v>
      </c>
      <c r="J4332" s="235" t="s">
        <v>32194</v>
      </c>
      <c r="K4332" s="235" t="s">
        <v>32195</v>
      </c>
      <c r="N4332" s="235" t="s">
        <v>127</v>
      </c>
      <c r="O4332" s="235" t="s">
        <v>794</v>
      </c>
      <c r="P4332" s="238">
        <v>1.0</v>
      </c>
      <c r="Q4332" s="235" t="s">
        <v>627</v>
      </c>
      <c r="R4332" s="238">
        <v>243.8</v>
      </c>
      <c r="S4332" s="238">
        <v>12.2</v>
      </c>
      <c r="T4332" s="238">
        <v>38.1</v>
      </c>
      <c r="U4332" s="238">
        <v>1.9</v>
      </c>
      <c r="V4332" s="238">
        <v>0.0</v>
      </c>
      <c r="W4332" s="238">
        <v>0.0</v>
      </c>
      <c r="X4332" s="235" t="s">
        <v>628</v>
      </c>
      <c r="Z4332" s="245"/>
      <c r="AA4332" s="245"/>
      <c r="AB4332" s="245"/>
      <c r="AC4332" s="235" t="s">
        <v>1076</v>
      </c>
      <c r="AD4332" s="235" t="s">
        <v>1077</v>
      </c>
      <c r="AE4332" s="238">
        <v>360005.0</v>
      </c>
      <c r="AF4332" s="235" t="s">
        <v>631</v>
      </c>
      <c r="AG4332" s="245"/>
      <c r="AH4332" s="245"/>
      <c r="AI4332" s="245"/>
      <c r="AJ4332" s="245"/>
      <c r="AK4332" s="245"/>
      <c r="AL4332" s="245"/>
      <c r="AM4332" s="245"/>
      <c r="AN4332" s="245"/>
      <c r="AO4332" s="238">
        <v>0.0</v>
      </c>
      <c r="AP4332" s="238">
        <v>-38.1</v>
      </c>
      <c r="AQ4332" s="235" t="s">
        <v>632</v>
      </c>
      <c r="AR4332" s="243">
        <v>3.71E11</v>
      </c>
      <c r="AS4332" s="235" t="s">
        <v>29883</v>
      </c>
      <c r="AT4332" s="235" t="s">
        <v>5</v>
      </c>
      <c r="AU4332" s="235" t="s">
        <v>634</v>
      </c>
      <c r="AV4332" s="246" t="s">
        <v>635</v>
      </c>
      <c r="AW4332" s="227"/>
      <c r="AX4332" s="227"/>
      <c r="AY4332" s="227"/>
      <c r="AZ4332" s="227"/>
      <c r="BA4332" s="227"/>
      <c r="BB4332" s="227"/>
      <c r="BC4332" s="227"/>
      <c r="BD4332" s="227"/>
      <c r="BE4332" s="227"/>
      <c r="BF4332" s="227"/>
    </row>
    <row r="4333">
      <c r="A4333" s="235" t="s">
        <v>32196</v>
      </c>
      <c r="C4333" s="235" t="s">
        <v>32197</v>
      </c>
      <c r="D4333" s="235" t="s">
        <v>32198</v>
      </c>
      <c r="E4333" s="243">
        <v>6.51E13</v>
      </c>
      <c r="F4333" s="245"/>
      <c r="G4333" s="235" t="s">
        <v>32199</v>
      </c>
      <c r="H4333" s="235" t="s">
        <v>32200</v>
      </c>
      <c r="I4333" s="235" t="s">
        <v>32200</v>
      </c>
      <c r="J4333" s="235" t="s">
        <v>32201</v>
      </c>
      <c r="K4333" s="235" t="s">
        <v>32202</v>
      </c>
      <c r="N4333" s="235" t="s">
        <v>42</v>
      </c>
      <c r="O4333" s="235" t="s">
        <v>204</v>
      </c>
      <c r="P4333" s="238">
        <v>1.0</v>
      </c>
      <c r="Q4333" s="235" t="s">
        <v>627</v>
      </c>
      <c r="R4333" s="238">
        <v>237.14</v>
      </c>
      <c r="S4333" s="238">
        <v>11.86</v>
      </c>
      <c r="T4333" s="238">
        <v>0.0</v>
      </c>
      <c r="U4333" s="238">
        <v>0.0</v>
      </c>
      <c r="V4333" s="238">
        <v>0.0</v>
      </c>
      <c r="W4333" s="238">
        <v>0.0</v>
      </c>
      <c r="X4333" s="235" t="s">
        <v>628</v>
      </c>
      <c r="Z4333" s="245"/>
      <c r="AA4333" s="245"/>
      <c r="AB4333" s="245"/>
      <c r="AC4333" s="235" t="s">
        <v>32203</v>
      </c>
      <c r="AD4333" s="235" t="s">
        <v>666</v>
      </c>
      <c r="AE4333" s="238">
        <v>630106.0</v>
      </c>
      <c r="AF4333" s="235" t="s">
        <v>631</v>
      </c>
      <c r="AG4333" s="245"/>
      <c r="AH4333" s="245"/>
      <c r="AI4333" s="245"/>
      <c r="AJ4333" s="245"/>
      <c r="AK4333" s="245"/>
      <c r="AL4333" s="245"/>
      <c r="AM4333" s="245"/>
      <c r="AN4333" s="245"/>
      <c r="AO4333" s="238">
        <v>0.0</v>
      </c>
      <c r="AP4333" s="238">
        <v>0.0</v>
      </c>
      <c r="AQ4333" s="235" t="s">
        <v>632</v>
      </c>
      <c r="AR4333" s="243">
        <v>3.71E11</v>
      </c>
      <c r="AS4333" s="235" t="s">
        <v>29883</v>
      </c>
      <c r="AT4333" s="235" t="s">
        <v>9</v>
      </c>
      <c r="AU4333" s="235" t="s">
        <v>634</v>
      </c>
      <c r="AV4333" s="246" t="s">
        <v>635</v>
      </c>
      <c r="AW4333" s="227"/>
      <c r="AX4333" s="227"/>
      <c r="AY4333" s="227"/>
      <c r="AZ4333" s="227"/>
      <c r="BA4333" s="227"/>
      <c r="BB4333" s="227"/>
      <c r="BC4333" s="227"/>
      <c r="BD4333" s="227"/>
      <c r="BE4333" s="227"/>
      <c r="BF4333" s="227"/>
    </row>
    <row r="4334">
      <c r="A4334" s="235" t="s">
        <v>32204</v>
      </c>
      <c r="C4334" s="235" t="s">
        <v>32205</v>
      </c>
      <c r="D4334" s="235" t="s">
        <v>32206</v>
      </c>
      <c r="E4334" s="243">
        <v>6.5E13</v>
      </c>
      <c r="F4334" s="245"/>
      <c r="G4334" s="235" t="s">
        <v>32207</v>
      </c>
      <c r="H4334" s="235" t="s">
        <v>32208</v>
      </c>
      <c r="I4334" s="235" t="s">
        <v>32208</v>
      </c>
      <c r="J4334" s="235" t="s">
        <v>32209</v>
      </c>
      <c r="K4334" s="235" t="s">
        <v>32210</v>
      </c>
      <c r="N4334" s="235" t="s">
        <v>42</v>
      </c>
      <c r="O4334" s="235" t="s">
        <v>204</v>
      </c>
      <c r="P4334" s="238">
        <v>1.0</v>
      </c>
      <c r="Q4334" s="235" t="s">
        <v>627</v>
      </c>
      <c r="R4334" s="238">
        <v>237.14</v>
      </c>
      <c r="S4334" s="238">
        <v>11.62</v>
      </c>
      <c r="T4334" s="238">
        <v>38.1</v>
      </c>
      <c r="U4334" s="238">
        <v>1.9</v>
      </c>
      <c r="V4334" s="238">
        <v>0.0</v>
      </c>
      <c r="W4334" s="238">
        <v>0.0</v>
      </c>
      <c r="X4334" s="235" t="s">
        <v>628</v>
      </c>
      <c r="Z4334" s="245"/>
      <c r="AA4334" s="245"/>
      <c r="AB4334" s="245"/>
      <c r="AC4334" s="235" t="s">
        <v>2857</v>
      </c>
      <c r="AD4334" s="235" t="s">
        <v>666</v>
      </c>
      <c r="AE4334" s="238">
        <v>629001.0</v>
      </c>
      <c r="AF4334" s="235" t="s">
        <v>631</v>
      </c>
      <c r="AG4334" s="245"/>
      <c r="AH4334" s="245"/>
      <c r="AI4334" s="245"/>
      <c r="AJ4334" s="245"/>
      <c r="AK4334" s="245"/>
      <c r="AL4334" s="245"/>
      <c r="AM4334" s="245"/>
      <c r="AN4334" s="245"/>
      <c r="AO4334" s="238">
        <v>-4.74</v>
      </c>
      <c r="AP4334" s="238">
        <v>-38.1</v>
      </c>
      <c r="AQ4334" s="235" t="s">
        <v>632</v>
      </c>
      <c r="AR4334" s="243">
        <v>3.71E11</v>
      </c>
      <c r="AS4334" s="235" t="s">
        <v>28482</v>
      </c>
      <c r="AT4334" s="235" t="s">
        <v>155</v>
      </c>
      <c r="AU4334" s="235" t="s">
        <v>634</v>
      </c>
      <c r="AV4334" s="246" t="s">
        <v>635</v>
      </c>
      <c r="AW4334" s="227"/>
      <c r="AX4334" s="227"/>
      <c r="AY4334" s="227"/>
      <c r="AZ4334" s="227"/>
      <c r="BA4334" s="227"/>
      <c r="BB4334" s="227"/>
      <c r="BC4334" s="227"/>
      <c r="BD4334" s="227"/>
      <c r="BE4334" s="227"/>
      <c r="BF4334" s="227"/>
    </row>
    <row r="4335">
      <c r="A4335" s="235" t="s">
        <v>32211</v>
      </c>
      <c r="C4335" s="235" t="s">
        <v>32212</v>
      </c>
      <c r="D4335" s="235" t="s">
        <v>32213</v>
      </c>
      <c r="E4335" s="243">
        <v>6.51E13</v>
      </c>
      <c r="F4335" s="245"/>
      <c r="G4335" s="235" t="s">
        <v>32214</v>
      </c>
      <c r="H4335" s="235" t="s">
        <v>32215</v>
      </c>
      <c r="I4335" s="235" t="s">
        <v>32215</v>
      </c>
      <c r="J4335" s="235" t="s">
        <v>32216</v>
      </c>
      <c r="K4335" s="235" t="s">
        <v>32217</v>
      </c>
      <c r="N4335" s="235" t="s">
        <v>141</v>
      </c>
      <c r="O4335" s="235" t="s">
        <v>342</v>
      </c>
      <c r="P4335" s="238">
        <v>1.0</v>
      </c>
      <c r="Q4335" s="235" t="s">
        <v>627</v>
      </c>
      <c r="R4335" s="238">
        <v>244.76</v>
      </c>
      <c r="S4335" s="238">
        <v>12.24</v>
      </c>
      <c r="T4335" s="238">
        <v>38.1</v>
      </c>
      <c r="U4335" s="238">
        <v>1.9</v>
      </c>
      <c r="V4335" s="238">
        <v>0.0</v>
      </c>
      <c r="W4335" s="238">
        <v>0.0</v>
      </c>
      <c r="X4335" s="235" t="s">
        <v>628</v>
      </c>
      <c r="Z4335" s="245"/>
      <c r="AA4335" s="245"/>
      <c r="AB4335" s="245"/>
      <c r="AC4335" s="235" t="s">
        <v>32218</v>
      </c>
      <c r="AD4335" s="235" t="s">
        <v>965</v>
      </c>
      <c r="AE4335" s="238">
        <v>173025.0</v>
      </c>
      <c r="AF4335" s="235" t="s">
        <v>631</v>
      </c>
      <c r="AG4335" s="245"/>
      <c r="AH4335" s="245"/>
      <c r="AI4335" s="245"/>
      <c r="AJ4335" s="245"/>
      <c r="AK4335" s="245"/>
      <c r="AL4335" s="245"/>
      <c r="AM4335" s="245"/>
      <c r="AN4335" s="245"/>
      <c r="AO4335" s="238">
        <v>0.0</v>
      </c>
      <c r="AP4335" s="238">
        <v>-38.1</v>
      </c>
      <c r="AQ4335" s="235" t="s">
        <v>632</v>
      </c>
      <c r="AR4335" s="243">
        <v>3.71E11</v>
      </c>
      <c r="AS4335" s="235" t="s">
        <v>28482</v>
      </c>
      <c r="AT4335" s="235" t="s">
        <v>14</v>
      </c>
      <c r="AU4335" s="235" t="s">
        <v>634</v>
      </c>
      <c r="AV4335" s="246" t="s">
        <v>635</v>
      </c>
      <c r="AW4335" s="227"/>
      <c r="AX4335" s="227"/>
      <c r="AY4335" s="227"/>
      <c r="AZ4335" s="227"/>
      <c r="BA4335" s="227"/>
      <c r="BB4335" s="227"/>
      <c r="BC4335" s="227"/>
      <c r="BD4335" s="227"/>
      <c r="BE4335" s="227"/>
      <c r="BF4335" s="227"/>
    </row>
    <row r="4336">
      <c r="A4336" s="235" t="s">
        <v>32219</v>
      </c>
      <c r="C4336" s="235" t="s">
        <v>32220</v>
      </c>
      <c r="D4336" s="235" t="s">
        <v>32221</v>
      </c>
      <c r="E4336" s="243">
        <v>6.51E13</v>
      </c>
      <c r="F4336" s="245"/>
      <c r="G4336" s="235" t="s">
        <v>32222</v>
      </c>
      <c r="H4336" s="235" t="s">
        <v>32223</v>
      </c>
      <c r="I4336" s="235" t="s">
        <v>32223</v>
      </c>
      <c r="J4336" s="235" t="s">
        <v>32224</v>
      </c>
      <c r="K4336" s="235" t="s">
        <v>32225</v>
      </c>
      <c r="N4336" s="235" t="s">
        <v>82</v>
      </c>
      <c r="O4336" s="235" t="s">
        <v>889</v>
      </c>
      <c r="P4336" s="238">
        <v>1.0</v>
      </c>
      <c r="Q4336" s="235" t="s">
        <v>627</v>
      </c>
      <c r="R4336" s="238">
        <v>243.8</v>
      </c>
      <c r="S4336" s="238">
        <v>12.2</v>
      </c>
      <c r="T4336" s="238">
        <v>0.0</v>
      </c>
      <c r="U4336" s="238">
        <v>0.0</v>
      </c>
      <c r="V4336" s="238">
        <v>0.0</v>
      </c>
      <c r="W4336" s="238">
        <v>0.0</v>
      </c>
      <c r="X4336" s="235" t="s">
        <v>628</v>
      </c>
      <c r="Z4336" s="245"/>
      <c r="AA4336" s="245"/>
      <c r="AB4336" s="245"/>
      <c r="AC4336" s="235" t="s">
        <v>844</v>
      </c>
      <c r="AD4336" s="235" t="s">
        <v>845</v>
      </c>
      <c r="AE4336" s="238">
        <v>411045.0</v>
      </c>
      <c r="AF4336" s="235" t="s">
        <v>631</v>
      </c>
      <c r="AG4336" s="245"/>
      <c r="AH4336" s="245"/>
      <c r="AI4336" s="245"/>
      <c r="AJ4336" s="245"/>
      <c r="AK4336" s="245"/>
      <c r="AL4336" s="245"/>
      <c r="AM4336" s="245"/>
      <c r="AN4336" s="245"/>
      <c r="AO4336" s="238">
        <v>0.0</v>
      </c>
      <c r="AP4336" s="238">
        <v>0.0</v>
      </c>
      <c r="AQ4336" s="235" t="s">
        <v>632</v>
      </c>
      <c r="AR4336" s="243">
        <v>3.71E11</v>
      </c>
      <c r="AS4336" s="235" t="s">
        <v>31232</v>
      </c>
      <c r="AT4336" s="235" t="s">
        <v>546</v>
      </c>
      <c r="AU4336" s="235" t="s">
        <v>634</v>
      </c>
      <c r="AV4336" s="246" t="s">
        <v>635</v>
      </c>
      <c r="AW4336" s="227"/>
      <c r="AX4336" s="227"/>
      <c r="AY4336" s="227"/>
      <c r="AZ4336" s="227"/>
      <c r="BA4336" s="227"/>
      <c r="BB4336" s="227"/>
      <c r="BC4336" s="227"/>
      <c r="BD4336" s="227"/>
      <c r="BE4336" s="227"/>
      <c r="BF4336" s="227"/>
    </row>
    <row r="4337">
      <c r="A4337" s="235" t="s">
        <v>32226</v>
      </c>
      <c r="C4337" s="235" t="s">
        <v>32227</v>
      </c>
      <c r="D4337" s="235" t="s">
        <v>32228</v>
      </c>
      <c r="E4337" s="243">
        <v>6.51E13</v>
      </c>
      <c r="F4337" s="245"/>
      <c r="G4337" s="235" t="s">
        <v>32229</v>
      </c>
      <c r="H4337" s="235" t="s">
        <v>32230</v>
      </c>
      <c r="I4337" s="235" t="s">
        <v>32230</v>
      </c>
      <c r="J4337" s="235" t="s">
        <v>32231</v>
      </c>
      <c r="K4337" s="235" t="s">
        <v>32232</v>
      </c>
      <c r="N4337" s="235" t="s">
        <v>145</v>
      </c>
      <c r="O4337" s="235" t="s">
        <v>370</v>
      </c>
      <c r="P4337" s="238">
        <v>1.0</v>
      </c>
      <c r="Q4337" s="235" t="s">
        <v>627</v>
      </c>
      <c r="R4337" s="238">
        <v>1522.86</v>
      </c>
      <c r="S4337" s="238">
        <v>76.14</v>
      </c>
      <c r="T4337" s="238">
        <v>0.0</v>
      </c>
      <c r="U4337" s="238">
        <v>0.0</v>
      </c>
      <c r="V4337" s="238">
        <v>0.0</v>
      </c>
      <c r="W4337" s="238">
        <v>0.0</v>
      </c>
      <c r="X4337" s="235" t="s">
        <v>628</v>
      </c>
      <c r="Z4337" s="245"/>
      <c r="AA4337" s="245"/>
      <c r="AB4337" s="245"/>
      <c r="AC4337" s="235" t="s">
        <v>3329</v>
      </c>
      <c r="AD4337" s="235" t="s">
        <v>24339</v>
      </c>
      <c r="AE4337" s="238">
        <v>625017.0</v>
      </c>
      <c r="AF4337" s="235" t="s">
        <v>631</v>
      </c>
      <c r="AG4337" s="245"/>
      <c r="AH4337" s="245"/>
      <c r="AI4337" s="245"/>
      <c r="AJ4337" s="245"/>
      <c r="AK4337" s="245"/>
      <c r="AL4337" s="245"/>
      <c r="AM4337" s="245"/>
      <c r="AN4337" s="245"/>
      <c r="AO4337" s="238">
        <v>0.0</v>
      </c>
      <c r="AP4337" s="238">
        <v>0.0</v>
      </c>
      <c r="AQ4337" s="235" t="s">
        <v>632</v>
      </c>
      <c r="AR4337" s="243">
        <v>3.71E11</v>
      </c>
      <c r="AS4337" s="235" t="s">
        <v>31232</v>
      </c>
      <c r="AT4337" s="235" t="s">
        <v>155</v>
      </c>
      <c r="AU4337" s="235" t="s">
        <v>634</v>
      </c>
      <c r="AV4337" s="246" t="s">
        <v>635</v>
      </c>
      <c r="AW4337" s="227"/>
      <c r="AX4337" s="227"/>
      <c r="AY4337" s="227"/>
      <c r="AZ4337" s="227"/>
      <c r="BA4337" s="227"/>
      <c r="BB4337" s="227"/>
      <c r="BC4337" s="227"/>
      <c r="BD4337" s="227"/>
      <c r="BE4337" s="227"/>
      <c r="BF4337" s="227"/>
    </row>
    <row r="4338">
      <c r="A4338" s="235" t="s">
        <v>32233</v>
      </c>
      <c r="C4338" s="235" t="s">
        <v>32234</v>
      </c>
      <c r="D4338" s="235" t="s">
        <v>32235</v>
      </c>
      <c r="E4338" s="243">
        <v>6.51E13</v>
      </c>
      <c r="F4338" s="245"/>
      <c r="G4338" s="235" t="s">
        <v>32236</v>
      </c>
      <c r="H4338" s="235" t="s">
        <v>32237</v>
      </c>
      <c r="I4338" s="235" t="s">
        <v>32237</v>
      </c>
      <c r="J4338" s="235" t="s">
        <v>31275</v>
      </c>
      <c r="K4338" s="235" t="s">
        <v>32238</v>
      </c>
      <c r="N4338" s="235" t="s">
        <v>138</v>
      </c>
      <c r="O4338" s="235" t="s">
        <v>675</v>
      </c>
      <c r="P4338" s="238">
        <v>1.0</v>
      </c>
      <c r="Q4338" s="235" t="s">
        <v>627</v>
      </c>
      <c r="R4338" s="238">
        <v>244.76</v>
      </c>
      <c r="S4338" s="238">
        <v>12.24</v>
      </c>
      <c r="T4338" s="238">
        <v>38.1</v>
      </c>
      <c r="U4338" s="238">
        <v>1.9</v>
      </c>
      <c r="V4338" s="238">
        <v>0.0</v>
      </c>
      <c r="W4338" s="238">
        <v>0.0</v>
      </c>
      <c r="X4338" s="235" t="s">
        <v>628</v>
      </c>
      <c r="Z4338" s="245"/>
      <c r="AA4338" s="245"/>
      <c r="AB4338" s="245"/>
      <c r="AC4338" s="235" t="s">
        <v>32239</v>
      </c>
      <c r="AD4338" s="235" t="s">
        <v>1086</v>
      </c>
      <c r="AE4338" s="238">
        <v>143505.0</v>
      </c>
      <c r="AF4338" s="235" t="s">
        <v>631</v>
      </c>
      <c r="AG4338" s="245"/>
      <c r="AH4338" s="245"/>
      <c r="AI4338" s="245"/>
      <c r="AJ4338" s="245"/>
      <c r="AK4338" s="245"/>
      <c r="AL4338" s="245"/>
      <c r="AM4338" s="245"/>
      <c r="AN4338" s="245"/>
      <c r="AO4338" s="238">
        <v>0.0</v>
      </c>
      <c r="AP4338" s="238">
        <v>-38.1</v>
      </c>
      <c r="AQ4338" s="235" t="s">
        <v>632</v>
      </c>
      <c r="AR4338" s="243">
        <v>3.71E11</v>
      </c>
      <c r="AS4338" s="235" t="s">
        <v>28482</v>
      </c>
      <c r="AT4338" s="235" t="s">
        <v>14</v>
      </c>
      <c r="AU4338" s="235" t="s">
        <v>634</v>
      </c>
      <c r="AV4338" s="246" t="s">
        <v>635</v>
      </c>
      <c r="AW4338" s="227"/>
      <c r="AX4338" s="227"/>
      <c r="AY4338" s="227"/>
      <c r="AZ4338" s="227"/>
      <c r="BA4338" s="227"/>
      <c r="BB4338" s="227"/>
      <c r="BC4338" s="227"/>
      <c r="BD4338" s="227"/>
      <c r="BE4338" s="227"/>
      <c r="BF4338" s="227"/>
    </row>
    <row r="4339">
      <c r="A4339" s="235" t="s">
        <v>32240</v>
      </c>
      <c r="C4339" s="235" t="s">
        <v>32241</v>
      </c>
      <c r="D4339" s="235" t="s">
        <v>32242</v>
      </c>
      <c r="E4339" s="243">
        <v>6.51E13</v>
      </c>
      <c r="F4339" s="245"/>
      <c r="G4339" s="235" t="s">
        <v>32243</v>
      </c>
      <c r="H4339" s="235" t="s">
        <v>32244</v>
      </c>
      <c r="I4339" s="235" t="s">
        <v>32244</v>
      </c>
      <c r="J4339" s="235" t="s">
        <v>32245</v>
      </c>
      <c r="K4339" s="235" t="s">
        <v>32246</v>
      </c>
      <c r="N4339" s="235" t="s">
        <v>90</v>
      </c>
      <c r="O4339" s="235" t="s">
        <v>279</v>
      </c>
      <c r="P4339" s="238">
        <v>1.0</v>
      </c>
      <c r="Q4339" s="235" t="s">
        <v>627</v>
      </c>
      <c r="R4339" s="238">
        <v>243.81</v>
      </c>
      <c r="S4339" s="238">
        <v>11.95</v>
      </c>
      <c r="T4339" s="238">
        <v>0.0</v>
      </c>
      <c r="U4339" s="238">
        <v>0.0</v>
      </c>
      <c r="V4339" s="238">
        <v>0.0</v>
      </c>
      <c r="W4339" s="238">
        <v>0.0</v>
      </c>
      <c r="X4339" s="235" t="s">
        <v>628</v>
      </c>
      <c r="Z4339" s="245"/>
      <c r="AA4339" s="245"/>
      <c r="AB4339" s="245"/>
      <c r="AC4339" s="235" t="s">
        <v>697</v>
      </c>
      <c r="AD4339" s="235" t="s">
        <v>698</v>
      </c>
      <c r="AE4339" s="238">
        <v>500016.0</v>
      </c>
      <c r="AF4339" s="235" t="s">
        <v>631</v>
      </c>
      <c r="AG4339" s="245"/>
      <c r="AH4339" s="245"/>
      <c r="AI4339" s="245"/>
      <c r="AJ4339" s="245"/>
      <c r="AK4339" s="245"/>
      <c r="AL4339" s="245"/>
      <c r="AM4339" s="245"/>
      <c r="AN4339" s="245"/>
      <c r="AO4339" s="238">
        <v>-4.88</v>
      </c>
      <c r="AP4339" s="238">
        <v>0.0</v>
      </c>
      <c r="AQ4339" s="235" t="s">
        <v>632</v>
      </c>
      <c r="AR4339" s="243">
        <v>2.02E11</v>
      </c>
      <c r="AS4339" s="235" t="s">
        <v>31232</v>
      </c>
      <c r="AT4339" s="235" t="s">
        <v>11</v>
      </c>
      <c r="AU4339" s="235" t="s">
        <v>634</v>
      </c>
      <c r="AV4339" s="246" t="s">
        <v>635</v>
      </c>
      <c r="AW4339" s="227"/>
      <c r="AX4339" s="227"/>
      <c r="AY4339" s="227"/>
      <c r="AZ4339" s="227"/>
      <c r="BA4339" s="227"/>
      <c r="BB4339" s="227"/>
      <c r="BC4339" s="227"/>
      <c r="BD4339" s="227"/>
      <c r="BE4339" s="227"/>
      <c r="BF4339" s="227"/>
    </row>
    <row r="4340">
      <c r="A4340" s="235" t="s">
        <v>32247</v>
      </c>
      <c r="C4340" s="235" t="s">
        <v>32248</v>
      </c>
      <c r="D4340" s="235" t="s">
        <v>32249</v>
      </c>
      <c r="E4340" s="243">
        <v>6.51E13</v>
      </c>
      <c r="F4340" s="245"/>
      <c r="G4340" s="235" t="s">
        <v>32250</v>
      </c>
      <c r="H4340" s="235" t="s">
        <v>32251</v>
      </c>
      <c r="I4340" s="235" t="s">
        <v>32251</v>
      </c>
      <c r="J4340" s="235" t="s">
        <v>32252</v>
      </c>
      <c r="K4340" s="235" t="s">
        <v>32253</v>
      </c>
      <c r="N4340" s="235" t="s">
        <v>3875</v>
      </c>
      <c r="O4340" s="235" t="s">
        <v>3876</v>
      </c>
      <c r="P4340" s="238">
        <v>1.0</v>
      </c>
      <c r="Q4340" s="235" t="s">
        <v>627</v>
      </c>
      <c r="R4340" s="238">
        <v>207.62</v>
      </c>
      <c r="S4340" s="238">
        <v>10.38</v>
      </c>
      <c r="T4340" s="238">
        <v>0.0</v>
      </c>
      <c r="U4340" s="238">
        <v>0.0</v>
      </c>
      <c r="V4340" s="238">
        <v>0.0</v>
      </c>
      <c r="W4340" s="238">
        <v>0.0</v>
      </c>
      <c r="X4340" s="235" t="s">
        <v>628</v>
      </c>
      <c r="Z4340" s="245"/>
      <c r="AA4340" s="245"/>
      <c r="AB4340" s="245"/>
      <c r="AC4340" s="235" t="s">
        <v>1287</v>
      </c>
      <c r="AD4340" s="235" t="s">
        <v>630</v>
      </c>
      <c r="AE4340" s="238">
        <v>201009.0</v>
      </c>
      <c r="AF4340" s="235" t="s">
        <v>631</v>
      </c>
      <c r="AG4340" s="245"/>
      <c r="AH4340" s="245"/>
      <c r="AI4340" s="245"/>
      <c r="AJ4340" s="245"/>
      <c r="AK4340" s="245"/>
      <c r="AL4340" s="245"/>
      <c r="AM4340" s="245"/>
      <c r="AN4340" s="245"/>
      <c r="AO4340" s="238">
        <v>0.0</v>
      </c>
      <c r="AP4340" s="238">
        <v>0.0</v>
      </c>
      <c r="AQ4340" s="235" t="s">
        <v>632</v>
      </c>
      <c r="AR4340" s="243">
        <v>3.71E11</v>
      </c>
      <c r="AS4340" s="235" t="s">
        <v>31232</v>
      </c>
      <c r="AT4340" s="235" t="s">
        <v>14</v>
      </c>
      <c r="AU4340" s="235" t="s">
        <v>634</v>
      </c>
      <c r="AV4340" s="246" t="s">
        <v>635</v>
      </c>
      <c r="AW4340" s="227"/>
      <c r="AX4340" s="227"/>
      <c r="AY4340" s="227"/>
      <c r="AZ4340" s="227"/>
      <c r="BA4340" s="227"/>
      <c r="BB4340" s="227"/>
      <c r="BC4340" s="227"/>
      <c r="BD4340" s="227"/>
      <c r="BE4340" s="227"/>
      <c r="BF4340" s="227"/>
    </row>
    <row r="4341">
      <c r="A4341" s="235" t="s">
        <v>32254</v>
      </c>
      <c r="C4341" s="235" t="s">
        <v>32255</v>
      </c>
      <c r="D4341" s="235" t="s">
        <v>32256</v>
      </c>
      <c r="E4341" s="243">
        <v>6.5E13</v>
      </c>
      <c r="F4341" s="245"/>
      <c r="G4341" s="235" t="s">
        <v>32257</v>
      </c>
      <c r="H4341" s="235" t="s">
        <v>32258</v>
      </c>
      <c r="I4341" s="235" t="s">
        <v>32259</v>
      </c>
      <c r="J4341" s="235" t="s">
        <v>32260</v>
      </c>
      <c r="K4341" s="235" t="s">
        <v>32261</v>
      </c>
      <c r="N4341" s="235" t="s">
        <v>141</v>
      </c>
      <c r="O4341" s="235" t="s">
        <v>342</v>
      </c>
      <c r="P4341" s="238">
        <v>1.0</v>
      </c>
      <c r="Q4341" s="235" t="s">
        <v>627</v>
      </c>
      <c r="R4341" s="238">
        <v>244.76</v>
      </c>
      <c r="S4341" s="238">
        <v>12.0</v>
      </c>
      <c r="T4341" s="238">
        <v>0.0</v>
      </c>
      <c r="U4341" s="238">
        <v>0.0</v>
      </c>
      <c r="V4341" s="238">
        <v>0.0</v>
      </c>
      <c r="W4341" s="238">
        <v>0.0</v>
      </c>
      <c r="X4341" s="235" t="s">
        <v>628</v>
      </c>
      <c r="Z4341" s="245"/>
      <c r="AA4341" s="245"/>
      <c r="AB4341" s="245"/>
      <c r="AC4341" s="235" t="s">
        <v>28177</v>
      </c>
      <c r="AD4341" s="235" t="s">
        <v>845</v>
      </c>
      <c r="AE4341" s="238">
        <v>400088.0</v>
      </c>
      <c r="AF4341" s="235" t="s">
        <v>631</v>
      </c>
      <c r="AG4341" s="245"/>
      <c r="AH4341" s="245"/>
      <c r="AI4341" s="245"/>
      <c r="AJ4341" s="245"/>
      <c r="AK4341" s="245"/>
      <c r="AL4341" s="245"/>
      <c r="AM4341" s="245"/>
      <c r="AN4341" s="245"/>
      <c r="AO4341" s="238">
        <v>-4.9</v>
      </c>
      <c r="AP4341" s="238">
        <v>0.0</v>
      </c>
      <c r="AQ4341" s="235" t="s">
        <v>632</v>
      </c>
      <c r="AR4341" s="243">
        <v>3.71E11</v>
      </c>
      <c r="AS4341" s="235" t="s">
        <v>31232</v>
      </c>
      <c r="AT4341" s="235" t="s">
        <v>16</v>
      </c>
      <c r="AU4341" s="235" t="s">
        <v>634</v>
      </c>
      <c r="AV4341" s="246" t="s">
        <v>635</v>
      </c>
      <c r="AW4341" s="227"/>
      <c r="AX4341" s="227"/>
      <c r="AY4341" s="227"/>
      <c r="AZ4341" s="227"/>
      <c r="BA4341" s="227"/>
      <c r="BB4341" s="227"/>
      <c r="BC4341" s="227"/>
      <c r="BD4341" s="227"/>
      <c r="BE4341" s="227"/>
      <c r="BF4341" s="227"/>
    </row>
    <row r="4342">
      <c r="A4342" s="235" t="s">
        <v>32262</v>
      </c>
      <c r="C4342" s="235" t="s">
        <v>32263</v>
      </c>
      <c r="D4342" s="235" t="s">
        <v>32264</v>
      </c>
      <c r="E4342" s="243">
        <v>6.51E13</v>
      </c>
      <c r="F4342" s="245"/>
      <c r="G4342" s="235" t="s">
        <v>32265</v>
      </c>
      <c r="H4342" s="235" t="s">
        <v>32266</v>
      </c>
      <c r="I4342" s="235" t="s">
        <v>32266</v>
      </c>
      <c r="J4342" s="235" t="s">
        <v>32267</v>
      </c>
      <c r="K4342" s="235" t="s">
        <v>32268</v>
      </c>
      <c r="N4342" s="235" t="s">
        <v>154</v>
      </c>
      <c r="O4342" s="235" t="s">
        <v>766</v>
      </c>
      <c r="P4342" s="238">
        <v>1.0</v>
      </c>
      <c r="Q4342" s="235" t="s">
        <v>627</v>
      </c>
      <c r="R4342" s="238">
        <v>465.71</v>
      </c>
      <c r="S4342" s="238">
        <v>23.29</v>
      </c>
      <c r="T4342" s="238">
        <v>0.0</v>
      </c>
      <c r="U4342" s="238">
        <v>0.0</v>
      </c>
      <c r="V4342" s="238">
        <v>0.0</v>
      </c>
      <c r="W4342" s="238">
        <v>0.0</v>
      </c>
      <c r="X4342" s="235" t="s">
        <v>628</v>
      </c>
      <c r="Z4342" s="245"/>
      <c r="AA4342" s="245"/>
      <c r="AB4342" s="245"/>
      <c r="AC4342" s="235" t="s">
        <v>11319</v>
      </c>
      <c r="AD4342" s="235" t="s">
        <v>796</v>
      </c>
      <c r="AE4342" s="238">
        <v>110021.0</v>
      </c>
      <c r="AF4342" s="235" t="s">
        <v>631</v>
      </c>
      <c r="AG4342" s="245"/>
      <c r="AH4342" s="245"/>
      <c r="AI4342" s="245"/>
      <c r="AJ4342" s="245"/>
      <c r="AK4342" s="245"/>
      <c r="AL4342" s="245"/>
      <c r="AM4342" s="245"/>
      <c r="AN4342" s="245"/>
      <c r="AO4342" s="238">
        <v>0.0</v>
      </c>
      <c r="AP4342" s="238">
        <v>0.0</v>
      </c>
      <c r="AQ4342" s="235" t="s">
        <v>632</v>
      </c>
      <c r="AR4342" s="243">
        <v>1.68E11</v>
      </c>
      <c r="AS4342" s="235" t="s">
        <v>31798</v>
      </c>
      <c r="AT4342" s="235" t="s">
        <v>14</v>
      </c>
      <c r="AU4342" s="235" t="s">
        <v>634</v>
      </c>
      <c r="AV4342" s="246" t="s">
        <v>635</v>
      </c>
      <c r="AW4342" s="227"/>
      <c r="AX4342" s="227"/>
      <c r="AY4342" s="227"/>
      <c r="AZ4342" s="227"/>
      <c r="BA4342" s="227"/>
      <c r="BB4342" s="227"/>
      <c r="BC4342" s="227"/>
      <c r="BD4342" s="227"/>
      <c r="BE4342" s="227"/>
      <c r="BF4342" s="227"/>
    </row>
    <row r="4343">
      <c r="A4343" s="235" t="s">
        <v>32269</v>
      </c>
      <c r="C4343" s="235" t="s">
        <v>32270</v>
      </c>
      <c r="D4343" s="235" t="s">
        <v>32271</v>
      </c>
      <c r="E4343" s="243">
        <v>6.51E13</v>
      </c>
      <c r="F4343" s="245"/>
      <c r="G4343" s="235" t="s">
        <v>32272</v>
      </c>
      <c r="H4343" s="235" t="s">
        <v>32273</v>
      </c>
      <c r="I4343" s="235" t="s">
        <v>32273</v>
      </c>
      <c r="J4343" s="235" t="s">
        <v>32274</v>
      </c>
      <c r="K4343" s="235" t="s">
        <v>32275</v>
      </c>
      <c r="N4343" s="235" t="s">
        <v>90</v>
      </c>
      <c r="O4343" s="235" t="s">
        <v>279</v>
      </c>
      <c r="P4343" s="238">
        <v>1.0</v>
      </c>
      <c r="Q4343" s="235" t="s">
        <v>627</v>
      </c>
      <c r="R4343" s="238">
        <v>243.81</v>
      </c>
      <c r="S4343" s="238">
        <v>11.95</v>
      </c>
      <c r="T4343" s="238">
        <v>0.0</v>
      </c>
      <c r="U4343" s="238">
        <v>0.0</v>
      </c>
      <c r="V4343" s="238">
        <v>0.0</v>
      </c>
      <c r="W4343" s="238">
        <v>0.0</v>
      </c>
      <c r="X4343" s="235" t="s">
        <v>628</v>
      </c>
      <c r="Z4343" s="245"/>
      <c r="AA4343" s="245"/>
      <c r="AB4343" s="245"/>
      <c r="AC4343" s="235" t="s">
        <v>697</v>
      </c>
      <c r="AD4343" s="235" t="s">
        <v>698</v>
      </c>
      <c r="AE4343" s="238">
        <v>501504.0</v>
      </c>
      <c r="AF4343" s="235" t="s">
        <v>631</v>
      </c>
      <c r="AG4343" s="245"/>
      <c r="AH4343" s="245"/>
      <c r="AI4343" s="245"/>
      <c r="AJ4343" s="245"/>
      <c r="AK4343" s="245"/>
      <c r="AL4343" s="245"/>
      <c r="AM4343" s="245"/>
      <c r="AN4343" s="245"/>
      <c r="AO4343" s="238">
        <v>-4.88</v>
      </c>
      <c r="AP4343" s="238">
        <v>0.0</v>
      </c>
      <c r="AQ4343" s="235" t="s">
        <v>632</v>
      </c>
      <c r="AR4343" s="243">
        <v>3.71E11</v>
      </c>
      <c r="AS4343" s="235" t="s">
        <v>29883</v>
      </c>
      <c r="AT4343" s="235" t="s">
        <v>546</v>
      </c>
      <c r="AU4343" s="235" t="s">
        <v>634</v>
      </c>
      <c r="AV4343" s="246" t="s">
        <v>635</v>
      </c>
      <c r="AW4343" s="227"/>
      <c r="AX4343" s="227"/>
      <c r="AY4343" s="227"/>
      <c r="AZ4343" s="227"/>
      <c r="BA4343" s="227"/>
      <c r="BB4343" s="227"/>
      <c r="BC4343" s="227"/>
      <c r="BD4343" s="227"/>
      <c r="BE4343" s="227"/>
      <c r="BF4343" s="227"/>
    </row>
    <row r="4344">
      <c r="A4344" s="235" t="s">
        <v>32276</v>
      </c>
      <c r="C4344" s="235" t="s">
        <v>32277</v>
      </c>
      <c r="D4344" s="235" t="s">
        <v>32278</v>
      </c>
      <c r="E4344" s="243">
        <v>6.51E13</v>
      </c>
      <c r="F4344" s="245"/>
      <c r="G4344" s="235" t="s">
        <v>32279</v>
      </c>
      <c r="H4344" s="235" t="s">
        <v>32280</v>
      </c>
      <c r="I4344" s="235" t="s">
        <v>32281</v>
      </c>
      <c r="J4344" s="235" t="s">
        <v>32282</v>
      </c>
      <c r="K4344" s="235" t="s">
        <v>32283</v>
      </c>
      <c r="N4344" s="235" t="s">
        <v>42</v>
      </c>
      <c r="O4344" s="235" t="s">
        <v>204</v>
      </c>
      <c r="P4344" s="238">
        <v>1.0</v>
      </c>
      <c r="Q4344" s="235" t="s">
        <v>627</v>
      </c>
      <c r="R4344" s="238">
        <v>237.14</v>
      </c>
      <c r="S4344" s="238">
        <v>11.62</v>
      </c>
      <c r="T4344" s="238">
        <v>0.0</v>
      </c>
      <c r="U4344" s="238">
        <v>0.0</v>
      </c>
      <c r="V4344" s="238">
        <v>0.0</v>
      </c>
      <c r="W4344" s="238">
        <v>0.0</v>
      </c>
      <c r="X4344" s="235" t="s">
        <v>628</v>
      </c>
      <c r="Z4344" s="245"/>
      <c r="AA4344" s="245"/>
      <c r="AB4344" s="245"/>
      <c r="AC4344" s="235" t="s">
        <v>697</v>
      </c>
      <c r="AD4344" s="235" t="s">
        <v>698</v>
      </c>
      <c r="AE4344" s="238">
        <v>500047.0</v>
      </c>
      <c r="AF4344" s="235" t="s">
        <v>631</v>
      </c>
      <c r="AG4344" s="245"/>
      <c r="AH4344" s="245"/>
      <c r="AI4344" s="245"/>
      <c r="AJ4344" s="245"/>
      <c r="AK4344" s="245"/>
      <c r="AL4344" s="245"/>
      <c r="AM4344" s="245"/>
      <c r="AN4344" s="245"/>
      <c r="AO4344" s="238">
        <v>-4.74</v>
      </c>
      <c r="AP4344" s="238">
        <v>0.0</v>
      </c>
      <c r="AQ4344" s="235" t="s">
        <v>632</v>
      </c>
      <c r="AR4344" s="243">
        <v>3.71E11</v>
      </c>
      <c r="AS4344" s="235" t="s">
        <v>29883</v>
      </c>
      <c r="AT4344" s="235" t="s">
        <v>11</v>
      </c>
      <c r="AU4344" s="235" t="s">
        <v>634</v>
      </c>
      <c r="AV4344" s="246" t="s">
        <v>635</v>
      </c>
      <c r="AW4344" s="227"/>
      <c r="AX4344" s="227"/>
      <c r="AY4344" s="227"/>
      <c r="AZ4344" s="227"/>
      <c r="BA4344" s="227"/>
      <c r="BB4344" s="227"/>
      <c r="BC4344" s="227"/>
      <c r="BD4344" s="227"/>
      <c r="BE4344" s="227"/>
      <c r="BF4344" s="227"/>
    </row>
    <row r="4345">
      <c r="A4345" s="235" t="s">
        <v>32284</v>
      </c>
      <c r="C4345" s="235" t="s">
        <v>32285</v>
      </c>
      <c r="D4345" s="235" t="s">
        <v>32286</v>
      </c>
      <c r="E4345" s="243">
        <v>6.5E13</v>
      </c>
      <c r="F4345" s="245"/>
      <c r="G4345" s="235" t="s">
        <v>32287</v>
      </c>
      <c r="H4345" s="235" t="s">
        <v>32288</v>
      </c>
      <c r="I4345" s="235" t="s">
        <v>32288</v>
      </c>
      <c r="J4345" s="235" t="s">
        <v>32289</v>
      </c>
      <c r="K4345" s="235" t="s">
        <v>32290</v>
      </c>
      <c r="N4345" s="235" t="s">
        <v>136</v>
      </c>
      <c r="O4345" s="235" t="s">
        <v>256</v>
      </c>
      <c r="P4345" s="238">
        <v>1.0</v>
      </c>
      <c r="Q4345" s="235" t="s">
        <v>627</v>
      </c>
      <c r="R4345" s="238">
        <v>244.76</v>
      </c>
      <c r="S4345" s="238">
        <v>12.24</v>
      </c>
      <c r="T4345" s="238">
        <v>38.1</v>
      </c>
      <c r="U4345" s="238">
        <v>1.9</v>
      </c>
      <c r="V4345" s="238">
        <v>0.0</v>
      </c>
      <c r="W4345" s="238">
        <v>0.0</v>
      </c>
      <c r="X4345" s="235" t="s">
        <v>628</v>
      </c>
      <c r="Z4345" s="245"/>
      <c r="AA4345" s="245"/>
      <c r="AB4345" s="245"/>
      <c r="AC4345" s="235" t="s">
        <v>6182</v>
      </c>
      <c r="AD4345" s="235" t="s">
        <v>845</v>
      </c>
      <c r="AE4345" s="238">
        <v>401208.0</v>
      </c>
      <c r="AF4345" s="235" t="s">
        <v>631</v>
      </c>
      <c r="AG4345" s="245"/>
      <c r="AH4345" s="245"/>
      <c r="AI4345" s="245"/>
      <c r="AJ4345" s="245"/>
      <c r="AK4345" s="245"/>
      <c r="AL4345" s="245"/>
      <c r="AM4345" s="245"/>
      <c r="AN4345" s="245"/>
      <c r="AO4345" s="238">
        <v>0.0</v>
      </c>
      <c r="AP4345" s="238">
        <v>-38.1</v>
      </c>
      <c r="AQ4345" s="235" t="s">
        <v>632</v>
      </c>
      <c r="AR4345" s="243">
        <v>3.71E11</v>
      </c>
      <c r="AS4345" s="235" t="s">
        <v>31232</v>
      </c>
      <c r="AT4345" s="235" t="s">
        <v>17</v>
      </c>
      <c r="AU4345" s="235" t="s">
        <v>634</v>
      </c>
      <c r="AV4345" s="246" t="s">
        <v>635</v>
      </c>
      <c r="AW4345" s="227"/>
      <c r="AX4345" s="227"/>
      <c r="AY4345" s="227"/>
      <c r="AZ4345" s="227"/>
      <c r="BA4345" s="227"/>
      <c r="BB4345" s="227"/>
      <c r="BC4345" s="227"/>
      <c r="BD4345" s="227"/>
      <c r="BE4345" s="227"/>
      <c r="BF4345" s="227"/>
    </row>
    <row r="4346">
      <c r="A4346" s="235" t="s">
        <v>32291</v>
      </c>
      <c r="C4346" s="235" t="s">
        <v>32292</v>
      </c>
      <c r="D4346" s="235" t="s">
        <v>32293</v>
      </c>
      <c r="E4346" s="243">
        <v>6.51E13</v>
      </c>
      <c r="F4346" s="245"/>
      <c r="G4346" s="235" t="s">
        <v>32294</v>
      </c>
      <c r="H4346" s="235" t="s">
        <v>32295</v>
      </c>
      <c r="I4346" s="235" t="s">
        <v>32296</v>
      </c>
      <c r="J4346" s="235" t="s">
        <v>32297</v>
      </c>
      <c r="K4346" s="235" t="s">
        <v>32298</v>
      </c>
      <c r="N4346" s="235" t="s">
        <v>127</v>
      </c>
      <c r="O4346" s="235" t="s">
        <v>794</v>
      </c>
      <c r="P4346" s="238">
        <v>1.0</v>
      </c>
      <c r="Q4346" s="235" t="s">
        <v>627</v>
      </c>
      <c r="R4346" s="238">
        <v>243.8</v>
      </c>
      <c r="S4346" s="238">
        <v>12.2</v>
      </c>
      <c r="T4346" s="238">
        <v>0.0</v>
      </c>
      <c r="U4346" s="238">
        <v>0.0</v>
      </c>
      <c r="V4346" s="238">
        <v>0.0</v>
      </c>
      <c r="W4346" s="238">
        <v>0.0</v>
      </c>
      <c r="X4346" s="235" t="s">
        <v>628</v>
      </c>
      <c r="Z4346" s="245"/>
      <c r="AA4346" s="245"/>
      <c r="AB4346" s="245"/>
      <c r="AC4346" s="235" t="s">
        <v>1961</v>
      </c>
      <c r="AD4346" s="235" t="s">
        <v>845</v>
      </c>
      <c r="AE4346" s="238">
        <v>412101.0</v>
      </c>
      <c r="AF4346" s="235" t="s">
        <v>631</v>
      </c>
      <c r="AG4346" s="245"/>
      <c r="AH4346" s="245"/>
      <c r="AI4346" s="245"/>
      <c r="AJ4346" s="245"/>
      <c r="AK4346" s="245"/>
      <c r="AL4346" s="245"/>
      <c r="AM4346" s="245"/>
      <c r="AN4346" s="245"/>
      <c r="AO4346" s="238">
        <v>0.0</v>
      </c>
      <c r="AP4346" s="238">
        <v>0.0</v>
      </c>
      <c r="AQ4346" s="235" t="s">
        <v>632</v>
      </c>
      <c r="AR4346" s="243">
        <v>1.68E11</v>
      </c>
      <c r="AS4346" s="235" t="s">
        <v>31798</v>
      </c>
      <c r="AT4346" s="235" t="s">
        <v>546</v>
      </c>
      <c r="AU4346" s="235" t="s">
        <v>634</v>
      </c>
      <c r="AV4346" s="246" t="s">
        <v>635</v>
      </c>
      <c r="AW4346" s="227"/>
      <c r="AX4346" s="227"/>
      <c r="AY4346" s="227"/>
      <c r="AZ4346" s="227"/>
      <c r="BA4346" s="227"/>
      <c r="BB4346" s="227"/>
      <c r="BC4346" s="227"/>
      <c r="BD4346" s="227"/>
      <c r="BE4346" s="227"/>
      <c r="BF4346" s="227"/>
    </row>
    <row r="4347">
      <c r="A4347" s="235" t="s">
        <v>32299</v>
      </c>
      <c r="C4347" s="235" t="s">
        <v>32300</v>
      </c>
      <c r="D4347" s="235" t="s">
        <v>32301</v>
      </c>
      <c r="E4347" s="243">
        <v>6.51E13</v>
      </c>
      <c r="F4347" s="245"/>
      <c r="G4347" s="235" t="s">
        <v>32302</v>
      </c>
      <c r="H4347" s="235" t="s">
        <v>32296</v>
      </c>
      <c r="I4347" s="235" t="s">
        <v>32296</v>
      </c>
      <c r="J4347" s="235" t="s">
        <v>32303</v>
      </c>
      <c r="K4347" s="235" t="s">
        <v>32304</v>
      </c>
      <c r="N4347" s="235" t="s">
        <v>42</v>
      </c>
      <c r="O4347" s="235" t="s">
        <v>204</v>
      </c>
      <c r="P4347" s="238">
        <v>1.0</v>
      </c>
      <c r="Q4347" s="235" t="s">
        <v>627</v>
      </c>
      <c r="R4347" s="238">
        <v>237.14</v>
      </c>
      <c r="S4347" s="238">
        <v>11.86</v>
      </c>
      <c r="T4347" s="238">
        <v>0.0</v>
      </c>
      <c r="U4347" s="238">
        <v>0.0</v>
      </c>
      <c r="V4347" s="238">
        <v>0.0</v>
      </c>
      <c r="W4347" s="238">
        <v>0.0</v>
      </c>
      <c r="X4347" s="235" t="s">
        <v>628</v>
      </c>
      <c r="Z4347" s="245"/>
      <c r="AA4347" s="245"/>
      <c r="AB4347" s="245"/>
      <c r="AC4347" s="235" t="s">
        <v>32305</v>
      </c>
      <c r="AD4347" s="235" t="s">
        <v>833</v>
      </c>
      <c r="AE4347" s="238">
        <v>534462.0</v>
      </c>
      <c r="AF4347" s="235" t="s">
        <v>631</v>
      </c>
      <c r="AG4347" s="245"/>
      <c r="AH4347" s="245"/>
      <c r="AI4347" s="245"/>
      <c r="AJ4347" s="245"/>
      <c r="AK4347" s="245"/>
      <c r="AL4347" s="245"/>
      <c r="AM4347" s="245"/>
      <c r="AN4347" s="245"/>
      <c r="AO4347" s="238">
        <v>0.0</v>
      </c>
      <c r="AP4347" s="238">
        <v>0.0</v>
      </c>
      <c r="AQ4347" s="235" t="s">
        <v>632</v>
      </c>
      <c r="AR4347" s="243">
        <v>3.71E11</v>
      </c>
      <c r="AS4347" s="235" t="s">
        <v>28482</v>
      </c>
      <c r="AT4347" s="235" t="s">
        <v>156</v>
      </c>
      <c r="AU4347" s="235" t="s">
        <v>634</v>
      </c>
      <c r="AV4347" s="246" t="s">
        <v>635</v>
      </c>
      <c r="AW4347" s="227"/>
      <c r="AX4347" s="227"/>
      <c r="AY4347" s="227"/>
      <c r="AZ4347" s="227"/>
      <c r="BA4347" s="227"/>
      <c r="BB4347" s="227"/>
      <c r="BC4347" s="227"/>
      <c r="BD4347" s="227"/>
      <c r="BE4347" s="227"/>
      <c r="BF4347" s="227"/>
    </row>
    <row r="4348">
      <c r="A4348" s="235" t="s">
        <v>32306</v>
      </c>
      <c r="C4348" s="235" t="s">
        <v>32307</v>
      </c>
      <c r="D4348" s="235" t="s">
        <v>32308</v>
      </c>
      <c r="E4348" s="243">
        <v>6.51E13</v>
      </c>
      <c r="F4348" s="245"/>
      <c r="G4348" s="235" t="s">
        <v>32309</v>
      </c>
      <c r="H4348" s="235" t="s">
        <v>32310</v>
      </c>
      <c r="I4348" s="235" t="s">
        <v>32310</v>
      </c>
      <c r="J4348" s="235" t="s">
        <v>32311</v>
      </c>
      <c r="K4348" s="235" t="s">
        <v>32312</v>
      </c>
      <c r="N4348" s="235" t="s">
        <v>127</v>
      </c>
      <c r="O4348" s="235" t="s">
        <v>794</v>
      </c>
      <c r="P4348" s="238">
        <v>1.0</v>
      </c>
      <c r="Q4348" s="235" t="s">
        <v>627</v>
      </c>
      <c r="R4348" s="238">
        <v>243.8</v>
      </c>
      <c r="S4348" s="238">
        <v>12.2</v>
      </c>
      <c r="T4348" s="238">
        <v>38.1</v>
      </c>
      <c r="U4348" s="238">
        <v>1.9</v>
      </c>
      <c r="V4348" s="238">
        <v>0.0</v>
      </c>
      <c r="W4348" s="238">
        <v>0.0</v>
      </c>
      <c r="X4348" s="235" t="s">
        <v>628</v>
      </c>
      <c r="Z4348" s="245"/>
      <c r="AA4348" s="245"/>
      <c r="AB4348" s="245"/>
      <c r="AC4348" s="235" t="s">
        <v>32313</v>
      </c>
      <c r="AD4348" s="235" t="s">
        <v>845</v>
      </c>
      <c r="AE4348" s="238">
        <v>415409.0</v>
      </c>
      <c r="AF4348" s="235" t="s">
        <v>631</v>
      </c>
      <c r="AG4348" s="245"/>
      <c r="AH4348" s="245"/>
      <c r="AI4348" s="245"/>
      <c r="AJ4348" s="245"/>
      <c r="AK4348" s="245"/>
      <c r="AL4348" s="245"/>
      <c r="AM4348" s="245"/>
      <c r="AN4348" s="245"/>
      <c r="AO4348" s="238">
        <v>0.0</v>
      </c>
      <c r="AP4348" s="238">
        <v>-38.1</v>
      </c>
      <c r="AQ4348" s="235" t="s">
        <v>632</v>
      </c>
      <c r="AR4348" s="243">
        <v>3.71E11</v>
      </c>
      <c r="AS4348" s="235" t="s">
        <v>26892</v>
      </c>
      <c r="AT4348" s="235" t="s">
        <v>546</v>
      </c>
      <c r="AU4348" s="235" t="s">
        <v>634</v>
      </c>
      <c r="AV4348" s="246" t="s">
        <v>635</v>
      </c>
      <c r="AW4348" s="227"/>
      <c r="AX4348" s="227"/>
      <c r="AY4348" s="227"/>
      <c r="AZ4348" s="227"/>
      <c r="BA4348" s="227"/>
      <c r="BB4348" s="227"/>
      <c r="BC4348" s="227"/>
      <c r="BD4348" s="227"/>
      <c r="BE4348" s="227"/>
      <c r="BF4348" s="227"/>
    </row>
    <row r="4349">
      <c r="A4349" s="235" t="s">
        <v>32314</v>
      </c>
      <c r="C4349" s="235" t="s">
        <v>32315</v>
      </c>
      <c r="D4349" s="235" t="s">
        <v>32316</v>
      </c>
      <c r="E4349" s="243">
        <v>6.51E13</v>
      </c>
      <c r="F4349" s="245"/>
      <c r="G4349" s="235" t="s">
        <v>32317</v>
      </c>
      <c r="H4349" s="235" t="s">
        <v>32318</v>
      </c>
      <c r="I4349" s="235" t="s">
        <v>32318</v>
      </c>
      <c r="J4349" s="235" t="s">
        <v>32319</v>
      </c>
      <c r="K4349" s="235" t="s">
        <v>32320</v>
      </c>
      <c r="N4349" s="235" t="s">
        <v>82</v>
      </c>
      <c r="O4349" s="235" t="s">
        <v>889</v>
      </c>
      <c r="P4349" s="238">
        <v>1.0</v>
      </c>
      <c r="Q4349" s="235" t="s">
        <v>627</v>
      </c>
      <c r="R4349" s="238">
        <v>243.8</v>
      </c>
      <c r="S4349" s="238">
        <v>12.2</v>
      </c>
      <c r="T4349" s="238">
        <v>0.0</v>
      </c>
      <c r="U4349" s="238">
        <v>0.0</v>
      </c>
      <c r="V4349" s="238">
        <v>0.0</v>
      </c>
      <c r="W4349" s="238">
        <v>0.0</v>
      </c>
      <c r="X4349" s="235" t="s">
        <v>628</v>
      </c>
      <c r="Z4349" s="245"/>
      <c r="AA4349" s="245"/>
      <c r="AB4349" s="245"/>
      <c r="AC4349" s="235" t="s">
        <v>687</v>
      </c>
      <c r="AD4349" s="235" t="s">
        <v>666</v>
      </c>
      <c r="AE4349" s="238">
        <v>600042.0</v>
      </c>
      <c r="AF4349" s="235" t="s">
        <v>631</v>
      </c>
      <c r="AG4349" s="245"/>
      <c r="AH4349" s="245"/>
      <c r="AI4349" s="245"/>
      <c r="AJ4349" s="245"/>
      <c r="AK4349" s="245"/>
      <c r="AL4349" s="245"/>
      <c r="AM4349" s="245"/>
      <c r="AN4349" s="245"/>
      <c r="AO4349" s="238">
        <v>0.0</v>
      </c>
      <c r="AP4349" s="238">
        <v>0.0</v>
      </c>
      <c r="AQ4349" s="235" t="s">
        <v>632</v>
      </c>
      <c r="AR4349" s="243">
        <v>1.68E11</v>
      </c>
      <c r="AS4349" s="235" t="s">
        <v>31798</v>
      </c>
      <c r="AT4349" s="235" t="s">
        <v>156</v>
      </c>
      <c r="AU4349" s="235" t="s">
        <v>634</v>
      </c>
      <c r="AV4349" s="246" t="s">
        <v>635</v>
      </c>
      <c r="AW4349" s="227"/>
      <c r="AX4349" s="227"/>
      <c r="AY4349" s="227"/>
      <c r="AZ4349" s="227"/>
      <c r="BA4349" s="227"/>
      <c r="BB4349" s="227"/>
      <c r="BC4349" s="227"/>
      <c r="BD4349" s="227"/>
      <c r="BE4349" s="227"/>
      <c r="BF4349" s="227"/>
    </row>
    <row r="4350">
      <c r="A4350" s="235" t="s">
        <v>32321</v>
      </c>
      <c r="C4350" s="235" t="s">
        <v>32322</v>
      </c>
      <c r="D4350" s="235" t="s">
        <v>32323</v>
      </c>
      <c r="E4350" s="243">
        <v>6.5E13</v>
      </c>
      <c r="F4350" s="245"/>
      <c r="G4350" s="235" t="s">
        <v>32324</v>
      </c>
      <c r="H4350" s="235" t="s">
        <v>32325</v>
      </c>
      <c r="I4350" s="235" t="s">
        <v>32325</v>
      </c>
      <c r="J4350" s="235" t="s">
        <v>32326</v>
      </c>
      <c r="K4350" s="235" t="s">
        <v>32327</v>
      </c>
      <c r="N4350" s="235" t="s">
        <v>47</v>
      </c>
      <c r="O4350" s="235" t="s">
        <v>270</v>
      </c>
      <c r="P4350" s="238">
        <v>1.0</v>
      </c>
      <c r="Q4350" s="235" t="s">
        <v>627</v>
      </c>
      <c r="R4350" s="238">
        <v>236.2</v>
      </c>
      <c r="S4350" s="238">
        <v>11.8</v>
      </c>
      <c r="T4350" s="238">
        <v>38.1</v>
      </c>
      <c r="U4350" s="238">
        <v>1.9</v>
      </c>
      <c r="V4350" s="238">
        <v>0.0</v>
      </c>
      <c r="W4350" s="238">
        <v>0.0</v>
      </c>
      <c r="X4350" s="235" t="s">
        <v>628</v>
      </c>
      <c r="Z4350" s="245"/>
      <c r="AA4350" s="245"/>
      <c r="AB4350" s="245"/>
      <c r="AC4350" s="235" t="s">
        <v>1887</v>
      </c>
      <c r="AD4350" s="235" t="s">
        <v>679</v>
      </c>
      <c r="AE4350" s="238">
        <v>560079.0</v>
      </c>
      <c r="AF4350" s="235" t="s">
        <v>631</v>
      </c>
      <c r="AG4350" s="245"/>
      <c r="AH4350" s="245"/>
      <c r="AI4350" s="245"/>
      <c r="AJ4350" s="245"/>
      <c r="AK4350" s="245"/>
      <c r="AL4350" s="245"/>
      <c r="AM4350" s="245"/>
      <c r="AN4350" s="245"/>
      <c r="AO4350" s="238">
        <v>0.0</v>
      </c>
      <c r="AP4350" s="238">
        <v>-38.1</v>
      </c>
      <c r="AQ4350" s="235" t="s">
        <v>632</v>
      </c>
      <c r="AR4350" s="243">
        <v>3.71E11</v>
      </c>
      <c r="AS4350" s="235" t="s">
        <v>31232</v>
      </c>
      <c r="AT4350" s="235" t="s">
        <v>9</v>
      </c>
      <c r="AU4350" s="235" t="s">
        <v>634</v>
      </c>
      <c r="AV4350" s="246" t="s">
        <v>635</v>
      </c>
      <c r="AW4350" s="227"/>
      <c r="AX4350" s="227"/>
      <c r="AY4350" s="227"/>
      <c r="AZ4350" s="227"/>
      <c r="BA4350" s="227"/>
      <c r="BB4350" s="227"/>
      <c r="BC4350" s="227"/>
      <c r="BD4350" s="227"/>
      <c r="BE4350" s="227"/>
      <c r="BF4350" s="227"/>
    </row>
    <row r="4351">
      <c r="A4351" s="235" t="s">
        <v>32328</v>
      </c>
      <c r="C4351" s="235" t="s">
        <v>32329</v>
      </c>
      <c r="D4351" s="235" t="s">
        <v>32330</v>
      </c>
      <c r="E4351" s="243">
        <v>6.51E13</v>
      </c>
      <c r="F4351" s="245"/>
      <c r="G4351" s="235" t="s">
        <v>32331</v>
      </c>
      <c r="H4351" s="235" t="s">
        <v>32332</v>
      </c>
      <c r="I4351" s="235" t="s">
        <v>32333</v>
      </c>
      <c r="J4351" s="235" t="s">
        <v>32334</v>
      </c>
      <c r="K4351" s="235" t="s">
        <v>32335</v>
      </c>
      <c r="N4351" s="235" t="s">
        <v>106</v>
      </c>
      <c r="O4351" s="235" t="s">
        <v>338</v>
      </c>
      <c r="P4351" s="238">
        <v>1.0</v>
      </c>
      <c r="Q4351" s="235" t="s">
        <v>627</v>
      </c>
      <c r="R4351" s="238">
        <v>246.66</v>
      </c>
      <c r="S4351" s="238">
        <v>12.34</v>
      </c>
      <c r="T4351" s="238">
        <v>0.0</v>
      </c>
      <c r="U4351" s="238">
        <v>0.0</v>
      </c>
      <c r="V4351" s="238">
        <v>0.0</v>
      </c>
      <c r="W4351" s="238">
        <v>0.0</v>
      </c>
      <c r="X4351" s="235" t="s">
        <v>628</v>
      </c>
      <c r="Z4351" s="245"/>
      <c r="AA4351" s="245"/>
      <c r="AB4351" s="245"/>
      <c r="AC4351" s="235" t="s">
        <v>678</v>
      </c>
      <c r="AD4351" s="235" t="s">
        <v>679</v>
      </c>
      <c r="AE4351" s="238">
        <v>560043.0</v>
      </c>
      <c r="AF4351" s="235" t="s">
        <v>631</v>
      </c>
      <c r="AG4351" s="245"/>
      <c r="AH4351" s="245"/>
      <c r="AI4351" s="245"/>
      <c r="AJ4351" s="245"/>
      <c r="AK4351" s="245"/>
      <c r="AL4351" s="245"/>
      <c r="AM4351" s="245"/>
      <c r="AN4351" s="245"/>
      <c r="AO4351" s="238">
        <v>0.0</v>
      </c>
      <c r="AP4351" s="238">
        <v>0.0</v>
      </c>
      <c r="AQ4351" s="235" t="s">
        <v>632</v>
      </c>
      <c r="AR4351" s="243">
        <v>1.68E11</v>
      </c>
      <c r="AS4351" s="235" t="s">
        <v>31798</v>
      </c>
      <c r="AT4351" s="235" t="s">
        <v>9</v>
      </c>
      <c r="AU4351" s="235" t="s">
        <v>634</v>
      </c>
      <c r="AV4351" s="246" t="s">
        <v>635</v>
      </c>
      <c r="AW4351" s="227"/>
      <c r="AX4351" s="227"/>
      <c r="AY4351" s="227"/>
      <c r="AZ4351" s="227"/>
      <c r="BA4351" s="227"/>
      <c r="BB4351" s="227"/>
      <c r="BC4351" s="227"/>
      <c r="BD4351" s="227"/>
      <c r="BE4351" s="227"/>
      <c r="BF4351" s="227"/>
    </row>
    <row r="4352">
      <c r="A4352" s="235" t="s">
        <v>32336</v>
      </c>
      <c r="C4352" s="235" t="s">
        <v>32337</v>
      </c>
      <c r="D4352" s="235" t="s">
        <v>32338</v>
      </c>
      <c r="E4352" s="243">
        <v>6.51E13</v>
      </c>
      <c r="F4352" s="245"/>
      <c r="G4352" s="235" t="s">
        <v>32339</v>
      </c>
      <c r="H4352" s="235" t="s">
        <v>32340</v>
      </c>
      <c r="I4352" s="235" t="s">
        <v>32340</v>
      </c>
      <c r="J4352" s="235" t="s">
        <v>32341</v>
      </c>
      <c r="K4352" s="235" t="s">
        <v>32342</v>
      </c>
      <c r="N4352" s="235" t="s">
        <v>82</v>
      </c>
      <c r="O4352" s="235" t="s">
        <v>889</v>
      </c>
      <c r="P4352" s="238">
        <v>1.0</v>
      </c>
      <c r="Q4352" s="235" t="s">
        <v>627</v>
      </c>
      <c r="R4352" s="238">
        <v>243.8</v>
      </c>
      <c r="S4352" s="238">
        <v>12.2</v>
      </c>
      <c r="T4352" s="238">
        <v>38.1</v>
      </c>
      <c r="U4352" s="238">
        <v>1.9</v>
      </c>
      <c r="V4352" s="238">
        <v>0.0</v>
      </c>
      <c r="W4352" s="238">
        <v>0.0</v>
      </c>
      <c r="X4352" s="235" t="s">
        <v>628</v>
      </c>
      <c r="Z4352" s="245"/>
      <c r="AA4352" s="245"/>
      <c r="AB4352" s="245"/>
      <c r="AC4352" s="235" t="s">
        <v>32343</v>
      </c>
      <c r="AD4352" s="235" t="s">
        <v>679</v>
      </c>
      <c r="AE4352" s="238">
        <v>586202.0</v>
      </c>
      <c r="AF4352" s="235" t="s">
        <v>631</v>
      </c>
      <c r="AG4352" s="245"/>
      <c r="AH4352" s="245"/>
      <c r="AI4352" s="245"/>
      <c r="AJ4352" s="245"/>
      <c r="AK4352" s="245"/>
      <c r="AL4352" s="245"/>
      <c r="AM4352" s="245"/>
      <c r="AN4352" s="245"/>
      <c r="AO4352" s="238">
        <v>0.0</v>
      </c>
      <c r="AP4352" s="238">
        <v>-38.1</v>
      </c>
      <c r="AQ4352" s="235" t="s">
        <v>632</v>
      </c>
      <c r="AR4352" s="243">
        <v>3.71E11</v>
      </c>
      <c r="AS4352" s="235" t="s">
        <v>26892</v>
      </c>
      <c r="AT4352" s="235" t="s">
        <v>9</v>
      </c>
      <c r="AU4352" s="235" t="s">
        <v>634</v>
      </c>
      <c r="AV4352" s="246" t="s">
        <v>635</v>
      </c>
      <c r="AW4352" s="227"/>
      <c r="AX4352" s="227"/>
      <c r="AY4352" s="227"/>
      <c r="AZ4352" s="227"/>
      <c r="BA4352" s="227"/>
      <c r="BB4352" s="227"/>
      <c r="BC4352" s="227"/>
      <c r="BD4352" s="227"/>
      <c r="BE4352" s="227"/>
      <c r="BF4352" s="227"/>
    </row>
    <row r="4353">
      <c r="A4353" s="235" t="s">
        <v>32344</v>
      </c>
      <c r="C4353" s="235" t="s">
        <v>32345</v>
      </c>
      <c r="D4353" s="235" t="s">
        <v>32346</v>
      </c>
      <c r="E4353" s="243">
        <v>6.51E13</v>
      </c>
      <c r="F4353" s="245"/>
      <c r="G4353" s="235" t="s">
        <v>32347</v>
      </c>
      <c r="H4353" s="235" t="s">
        <v>32348</v>
      </c>
      <c r="I4353" s="235" t="s">
        <v>32348</v>
      </c>
      <c r="J4353" s="235" t="s">
        <v>32349</v>
      </c>
      <c r="K4353" s="235" t="s">
        <v>32350</v>
      </c>
      <c r="N4353" s="235" t="s">
        <v>141</v>
      </c>
      <c r="O4353" s="235" t="s">
        <v>342</v>
      </c>
      <c r="P4353" s="238">
        <v>1.0</v>
      </c>
      <c r="Q4353" s="235" t="s">
        <v>627</v>
      </c>
      <c r="R4353" s="238">
        <v>244.76</v>
      </c>
      <c r="S4353" s="238">
        <v>12.0</v>
      </c>
      <c r="T4353" s="238">
        <v>38.1</v>
      </c>
      <c r="U4353" s="238">
        <v>1.9</v>
      </c>
      <c r="V4353" s="238">
        <v>0.0</v>
      </c>
      <c r="W4353" s="238">
        <v>0.0</v>
      </c>
      <c r="X4353" s="235" t="s">
        <v>628</v>
      </c>
      <c r="Z4353" s="245"/>
      <c r="AA4353" s="245"/>
      <c r="AB4353" s="245"/>
      <c r="AC4353" s="235" t="s">
        <v>32351</v>
      </c>
      <c r="AD4353" s="235" t="s">
        <v>630</v>
      </c>
      <c r="AE4353" s="238">
        <v>209202.0</v>
      </c>
      <c r="AF4353" s="235" t="s">
        <v>631</v>
      </c>
      <c r="AG4353" s="245"/>
      <c r="AH4353" s="245"/>
      <c r="AI4353" s="245"/>
      <c r="AJ4353" s="245"/>
      <c r="AK4353" s="245"/>
      <c r="AL4353" s="245"/>
      <c r="AM4353" s="245"/>
      <c r="AN4353" s="245"/>
      <c r="AO4353" s="238">
        <v>-4.9</v>
      </c>
      <c r="AP4353" s="238">
        <v>-38.1</v>
      </c>
      <c r="AQ4353" s="235" t="s">
        <v>632</v>
      </c>
      <c r="AR4353" s="243">
        <v>3.71E11</v>
      </c>
      <c r="AS4353" s="235" t="s">
        <v>28482</v>
      </c>
      <c r="AT4353" s="235" t="s">
        <v>533</v>
      </c>
      <c r="AU4353" s="235" t="s">
        <v>634</v>
      </c>
      <c r="AV4353" s="246" t="s">
        <v>635</v>
      </c>
      <c r="AW4353" s="227"/>
      <c r="AX4353" s="227"/>
      <c r="AY4353" s="227"/>
      <c r="AZ4353" s="227"/>
      <c r="BA4353" s="227"/>
      <c r="BB4353" s="227"/>
      <c r="BC4353" s="227"/>
      <c r="BD4353" s="227"/>
      <c r="BE4353" s="227"/>
      <c r="BF4353" s="227"/>
    </row>
    <row r="4354">
      <c r="A4354" s="235" t="s">
        <v>32352</v>
      </c>
      <c r="C4354" s="235" t="s">
        <v>32353</v>
      </c>
      <c r="D4354" s="235" t="s">
        <v>32354</v>
      </c>
      <c r="E4354" s="243">
        <v>6.5E13</v>
      </c>
      <c r="F4354" s="245"/>
      <c r="G4354" s="235" t="s">
        <v>32355</v>
      </c>
      <c r="H4354" s="235" t="s">
        <v>32356</v>
      </c>
      <c r="I4354" s="235" t="s">
        <v>32356</v>
      </c>
      <c r="J4354" s="235" t="s">
        <v>32357</v>
      </c>
      <c r="K4354" s="235" t="s">
        <v>32358</v>
      </c>
      <c r="N4354" s="235" t="s">
        <v>127</v>
      </c>
      <c r="O4354" s="235" t="s">
        <v>794</v>
      </c>
      <c r="P4354" s="238">
        <v>1.0</v>
      </c>
      <c r="Q4354" s="235" t="s">
        <v>627</v>
      </c>
      <c r="R4354" s="238">
        <v>243.8</v>
      </c>
      <c r="S4354" s="238">
        <v>12.2</v>
      </c>
      <c r="T4354" s="238">
        <v>38.1</v>
      </c>
      <c r="U4354" s="238">
        <v>1.9</v>
      </c>
      <c r="V4354" s="238">
        <v>0.0</v>
      </c>
      <c r="W4354" s="238">
        <v>0.0</v>
      </c>
      <c r="X4354" s="235" t="s">
        <v>628</v>
      </c>
      <c r="Z4354" s="245"/>
      <c r="AA4354" s="245"/>
      <c r="AB4354" s="245"/>
      <c r="AC4354" s="235" t="s">
        <v>1514</v>
      </c>
      <c r="AD4354" s="235" t="s">
        <v>1077</v>
      </c>
      <c r="AE4354" s="238">
        <v>382449.0</v>
      </c>
      <c r="AF4354" s="235" t="s">
        <v>631</v>
      </c>
      <c r="AG4354" s="245"/>
      <c r="AH4354" s="245"/>
      <c r="AI4354" s="245"/>
      <c r="AJ4354" s="245"/>
      <c r="AK4354" s="245"/>
      <c r="AL4354" s="245"/>
      <c r="AM4354" s="245"/>
      <c r="AN4354" s="245"/>
      <c r="AO4354" s="238">
        <v>0.0</v>
      </c>
      <c r="AP4354" s="238">
        <v>-38.1</v>
      </c>
      <c r="AQ4354" s="235" t="s">
        <v>632</v>
      </c>
      <c r="AR4354" s="243">
        <v>3.71E11</v>
      </c>
      <c r="AS4354" s="235" t="s">
        <v>31232</v>
      </c>
      <c r="AT4354" s="235" t="s">
        <v>5</v>
      </c>
      <c r="AU4354" s="235" t="s">
        <v>634</v>
      </c>
      <c r="AV4354" s="246" t="s">
        <v>635</v>
      </c>
      <c r="AW4354" s="227"/>
      <c r="AX4354" s="227"/>
      <c r="AY4354" s="227"/>
      <c r="AZ4354" s="227"/>
      <c r="BA4354" s="227"/>
      <c r="BB4354" s="227"/>
      <c r="BC4354" s="227"/>
      <c r="BD4354" s="227"/>
      <c r="BE4354" s="227"/>
      <c r="BF4354" s="227"/>
    </row>
    <row r="4355">
      <c r="A4355" s="235" t="s">
        <v>32359</v>
      </c>
      <c r="C4355" s="235" t="s">
        <v>32360</v>
      </c>
      <c r="D4355" s="235" t="s">
        <v>32361</v>
      </c>
      <c r="E4355" s="243">
        <v>6.51E13</v>
      </c>
      <c r="F4355" s="245"/>
      <c r="G4355" s="235" t="s">
        <v>32362</v>
      </c>
      <c r="H4355" s="235" t="s">
        <v>32363</v>
      </c>
      <c r="I4355" s="235" t="s">
        <v>32363</v>
      </c>
      <c r="J4355" s="235" t="s">
        <v>32364</v>
      </c>
      <c r="K4355" s="235" t="s">
        <v>32365</v>
      </c>
      <c r="N4355" s="235" t="s">
        <v>126</v>
      </c>
      <c r="O4355" s="235" t="s">
        <v>407</v>
      </c>
      <c r="P4355" s="238">
        <v>1.0</v>
      </c>
      <c r="Q4355" s="235" t="s">
        <v>627</v>
      </c>
      <c r="R4355" s="238">
        <v>237.14</v>
      </c>
      <c r="S4355" s="238">
        <v>11.86</v>
      </c>
      <c r="T4355" s="238">
        <v>0.0</v>
      </c>
      <c r="U4355" s="238">
        <v>0.0</v>
      </c>
      <c r="V4355" s="238">
        <v>0.0</v>
      </c>
      <c r="W4355" s="238">
        <v>0.0</v>
      </c>
      <c r="X4355" s="235" t="s">
        <v>628</v>
      </c>
      <c r="Z4355" s="245"/>
      <c r="AA4355" s="245"/>
      <c r="AB4355" s="245"/>
      <c r="AC4355" s="235" t="s">
        <v>3374</v>
      </c>
      <c r="AD4355" s="235" t="s">
        <v>645</v>
      </c>
      <c r="AE4355" s="238">
        <v>695004.0</v>
      </c>
      <c r="AF4355" s="235" t="s">
        <v>631</v>
      </c>
      <c r="AG4355" s="245"/>
      <c r="AH4355" s="245"/>
      <c r="AI4355" s="245"/>
      <c r="AJ4355" s="245"/>
      <c r="AK4355" s="245"/>
      <c r="AL4355" s="245"/>
      <c r="AM4355" s="245"/>
      <c r="AN4355" s="245"/>
      <c r="AO4355" s="238">
        <v>0.0</v>
      </c>
      <c r="AP4355" s="238">
        <v>0.0</v>
      </c>
      <c r="AQ4355" s="235" t="s">
        <v>632</v>
      </c>
      <c r="AR4355" s="243">
        <v>2.02E11</v>
      </c>
      <c r="AS4355" s="235" t="s">
        <v>31232</v>
      </c>
      <c r="AT4355" s="235" t="s">
        <v>9</v>
      </c>
      <c r="AU4355" s="235" t="s">
        <v>634</v>
      </c>
      <c r="AV4355" s="246" t="s">
        <v>635</v>
      </c>
      <c r="AW4355" s="227"/>
      <c r="AX4355" s="227"/>
      <c r="AY4355" s="227"/>
      <c r="AZ4355" s="227"/>
      <c r="BA4355" s="227"/>
      <c r="BB4355" s="227"/>
      <c r="BC4355" s="227"/>
      <c r="BD4355" s="227"/>
      <c r="BE4355" s="227"/>
      <c r="BF4355" s="227"/>
    </row>
    <row r="4356">
      <c r="A4356" s="235" t="s">
        <v>32366</v>
      </c>
      <c r="C4356" s="235" t="s">
        <v>32367</v>
      </c>
      <c r="D4356" s="235" t="s">
        <v>32368</v>
      </c>
      <c r="E4356" s="243">
        <v>6.51E13</v>
      </c>
      <c r="F4356" s="245"/>
      <c r="G4356" s="235" t="s">
        <v>32369</v>
      </c>
      <c r="H4356" s="235" t="s">
        <v>32370</v>
      </c>
      <c r="I4356" s="235" t="s">
        <v>32370</v>
      </c>
      <c r="J4356" s="235" t="s">
        <v>32371</v>
      </c>
      <c r="K4356" s="235" t="s">
        <v>32372</v>
      </c>
      <c r="N4356" s="235" t="s">
        <v>90</v>
      </c>
      <c r="O4356" s="235" t="s">
        <v>279</v>
      </c>
      <c r="P4356" s="238">
        <v>1.0</v>
      </c>
      <c r="Q4356" s="235" t="s">
        <v>627</v>
      </c>
      <c r="R4356" s="238">
        <v>243.8</v>
      </c>
      <c r="S4356" s="238">
        <v>12.2</v>
      </c>
      <c r="T4356" s="238">
        <v>38.1</v>
      </c>
      <c r="U4356" s="238">
        <v>1.9</v>
      </c>
      <c r="V4356" s="238">
        <v>0.0</v>
      </c>
      <c r="W4356" s="238">
        <v>0.0</v>
      </c>
      <c r="X4356" s="235" t="s">
        <v>628</v>
      </c>
      <c r="Z4356" s="245"/>
      <c r="AA4356" s="245"/>
      <c r="AB4356" s="245"/>
      <c r="AC4356" s="235" t="s">
        <v>10269</v>
      </c>
      <c r="AD4356" s="235" t="s">
        <v>666</v>
      </c>
      <c r="AE4356" s="238">
        <v>600077.0</v>
      </c>
      <c r="AF4356" s="235" t="s">
        <v>631</v>
      </c>
      <c r="AG4356" s="245"/>
      <c r="AH4356" s="245"/>
      <c r="AI4356" s="245"/>
      <c r="AJ4356" s="245"/>
      <c r="AK4356" s="245"/>
      <c r="AL4356" s="245"/>
      <c r="AM4356" s="245"/>
      <c r="AN4356" s="245"/>
      <c r="AO4356" s="238">
        <v>0.0</v>
      </c>
      <c r="AP4356" s="238">
        <v>-38.1</v>
      </c>
      <c r="AQ4356" s="235" t="s">
        <v>632</v>
      </c>
      <c r="AR4356" s="243">
        <v>3.71E11</v>
      </c>
      <c r="AS4356" s="235" t="s">
        <v>31232</v>
      </c>
      <c r="AT4356" s="235" t="s">
        <v>156</v>
      </c>
      <c r="AU4356" s="235" t="s">
        <v>634</v>
      </c>
      <c r="AV4356" s="246" t="s">
        <v>635</v>
      </c>
      <c r="AW4356" s="227"/>
      <c r="AX4356" s="227"/>
      <c r="AY4356" s="227"/>
      <c r="AZ4356" s="227"/>
      <c r="BA4356" s="227"/>
      <c r="BB4356" s="227"/>
      <c r="BC4356" s="227"/>
      <c r="BD4356" s="227"/>
      <c r="BE4356" s="227"/>
      <c r="BF4356" s="227"/>
    </row>
    <row r="4357">
      <c r="A4357" s="235" t="s">
        <v>32373</v>
      </c>
      <c r="C4357" s="235" t="s">
        <v>32374</v>
      </c>
      <c r="D4357" s="235" t="s">
        <v>32375</v>
      </c>
      <c r="E4357" s="243">
        <v>6.51E13</v>
      </c>
      <c r="F4357" s="245"/>
      <c r="G4357" s="235" t="s">
        <v>32376</v>
      </c>
      <c r="H4357" s="235" t="s">
        <v>32377</v>
      </c>
      <c r="I4357" s="235" t="s">
        <v>32377</v>
      </c>
      <c r="J4357" s="235" t="s">
        <v>32378</v>
      </c>
      <c r="K4357" s="235" t="s">
        <v>32379</v>
      </c>
      <c r="N4357" s="235" t="s">
        <v>51</v>
      </c>
      <c r="O4357" s="235" t="s">
        <v>273</v>
      </c>
      <c r="P4357" s="238">
        <v>1.0</v>
      </c>
      <c r="Q4357" s="235" t="s">
        <v>627</v>
      </c>
      <c r="R4357" s="238">
        <v>235.24</v>
      </c>
      <c r="S4357" s="238">
        <v>11.76</v>
      </c>
      <c r="T4357" s="238">
        <v>0.0</v>
      </c>
      <c r="U4357" s="238">
        <v>0.0</v>
      </c>
      <c r="V4357" s="238">
        <v>0.0</v>
      </c>
      <c r="W4357" s="238">
        <v>0.0</v>
      </c>
      <c r="X4357" s="235" t="s">
        <v>628</v>
      </c>
      <c r="Z4357" s="245"/>
      <c r="AA4357" s="245"/>
      <c r="AB4357" s="245"/>
      <c r="AC4357" s="235" t="s">
        <v>697</v>
      </c>
      <c r="AD4357" s="235" t="s">
        <v>698</v>
      </c>
      <c r="AE4357" s="238">
        <v>500049.0</v>
      </c>
      <c r="AF4357" s="235" t="s">
        <v>631</v>
      </c>
      <c r="AG4357" s="245"/>
      <c r="AH4357" s="245"/>
      <c r="AI4357" s="245"/>
      <c r="AJ4357" s="245"/>
      <c r="AK4357" s="245"/>
      <c r="AL4357" s="245"/>
      <c r="AM4357" s="245"/>
      <c r="AN4357" s="245"/>
      <c r="AO4357" s="238">
        <v>0.0</v>
      </c>
      <c r="AP4357" s="238">
        <v>0.0</v>
      </c>
      <c r="AQ4357" s="235" t="s">
        <v>632</v>
      </c>
      <c r="AR4357" s="243">
        <v>2.02E11</v>
      </c>
      <c r="AS4357" s="235" t="s">
        <v>31232</v>
      </c>
      <c r="AT4357" s="235" t="s">
        <v>156</v>
      </c>
      <c r="AU4357" s="235" t="s">
        <v>634</v>
      </c>
      <c r="AV4357" s="246" t="s">
        <v>635</v>
      </c>
      <c r="AW4357" s="227"/>
      <c r="AX4357" s="227"/>
      <c r="AY4357" s="227"/>
      <c r="AZ4357" s="227"/>
      <c r="BA4357" s="227"/>
      <c r="BB4357" s="227"/>
      <c r="BC4357" s="227"/>
      <c r="BD4357" s="227"/>
      <c r="BE4357" s="227"/>
      <c r="BF4357" s="227"/>
    </row>
    <row r="4358">
      <c r="A4358" s="235" t="s">
        <v>32380</v>
      </c>
      <c r="C4358" s="235" t="s">
        <v>32381</v>
      </c>
      <c r="D4358" s="235" t="s">
        <v>32382</v>
      </c>
      <c r="E4358" s="243">
        <v>6.51E13</v>
      </c>
      <c r="F4358" s="245"/>
      <c r="G4358" s="235" t="s">
        <v>32383</v>
      </c>
      <c r="H4358" s="235" t="s">
        <v>32384</v>
      </c>
      <c r="I4358" s="235" t="s">
        <v>32385</v>
      </c>
      <c r="J4358" s="235" t="s">
        <v>32386</v>
      </c>
      <c r="K4358" s="235" t="s">
        <v>32387</v>
      </c>
      <c r="N4358" s="235" t="s">
        <v>117</v>
      </c>
      <c r="O4358" s="235" t="s">
        <v>334</v>
      </c>
      <c r="P4358" s="238">
        <v>1.0</v>
      </c>
      <c r="Q4358" s="235" t="s">
        <v>627</v>
      </c>
      <c r="R4358" s="238">
        <v>237.14</v>
      </c>
      <c r="S4358" s="238">
        <v>11.86</v>
      </c>
      <c r="T4358" s="238">
        <v>0.0</v>
      </c>
      <c r="U4358" s="238">
        <v>0.0</v>
      </c>
      <c r="V4358" s="238">
        <v>0.0</v>
      </c>
      <c r="W4358" s="238">
        <v>0.0</v>
      </c>
      <c r="X4358" s="235" t="s">
        <v>628</v>
      </c>
      <c r="Z4358" s="245"/>
      <c r="AA4358" s="245"/>
      <c r="AB4358" s="245"/>
      <c r="AC4358" s="235" t="s">
        <v>32388</v>
      </c>
      <c r="AD4358" s="235" t="s">
        <v>833</v>
      </c>
      <c r="AE4358" s="238">
        <v>521229.0</v>
      </c>
      <c r="AF4358" s="235" t="s">
        <v>631</v>
      </c>
      <c r="AG4358" s="245"/>
      <c r="AH4358" s="245"/>
      <c r="AI4358" s="245"/>
      <c r="AJ4358" s="245"/>
      <c r="AK4358" s="245"/>
      <c r="AL4358" s="245"/>
      <c r="AM4358" s="245"/>
      <c r="AN4358" s="245"/>
      <c r="AO4358" s="238">
        <v>0.0</v>
      </c>
      <c r="AP4358" s="238">
        <v>0.0</v>
      </c>
      <c r="AQ4358" s="235" t="s">
        <v>632</v>
      </c>
      <c r="AR4358" s="243">
        <v>3.71E11</v>
      </c>
      <c r="AS4358" s="235" t="s">
        <v>29883</v>
      </c>
      <c r="AT4358" s="235" t="s">
        <v>156</v>
      </c>
      <c r="AU4358" s="235" t="s">
        <v>634</v>
      </c>
      <c r="AV4358" s="246" t="s">
        <v>635</v>
      </c>
      <c r="AW4358" s="227"/>
      <c r="AX4358" s="227"/>
      <c r="AY4358" s="227"/>
      <c r="AZ4358" s="227"/>
      <c r="BA4358" s="227"/>
      <c r="BB4358" s="227"/>
      <c r="BC4358" s="227"/>
      <c r="BD4358" s="227"/>
      <c r="BE4358" s="227"/>
      <c r="BF4358" s="227"/>
    </row>
    <row r="4359">
      <c r="A4359" s="235" t="s">
        <v>32389</v>
      </c>
      <c r="C4359" s="235" t="s">
        <v>32390</v>
      </c>
      <c r="D4359" s="235" t="s">
        <v>32391</v>
      </c>
      <c r="E4359" s="243">
        <v>6.51E13</v>
      </c>
      <c r="F4359" s="245"/>
      <c r="G4359" s="235" t="s">
        <v>32392</v>
      </c>
      <c r="H4359" s="235" t="s">
        <v>32393</v>
      </c>
      <c r="I4359" s="235" t="s">
        <v>32393</v>
      </c>
      <c r="J4359" s="235" t="s">
        <v>32394</v>
      </c>
      <c r="K4359" s="235" t="s">
        <v>32395</v>
      </c>
      <c r="N4359" s="235" t="s">
        <v>19</v>
      </c>
      <c r="O4359" s="235" t="s">
        <v>571</v>
      </c>
      <c r="P4359" s="238">
        <v>1.0</v>
      </c>
      <c r="Q4359" s="235" t="s">
        <v>627</v>
      </c>
      <c r="R4359" s="238">
        <v>360.95</v>
      </c>
      <c r="S4359" s="238">
        <v>18.05</v>
      </c>
      <c r="T4359" s="238">
        <v>0.0</v>
      </c>
      <c r="U4359" s="238">
        <v>0.0</v>
      </c>
      <c r="V4359" s="238">
        <v>0.0</v>
      </c>
      <c r="W4359" s="238">
        <v>0.0</v>
      </c>
      <c r="X4359" s="235" t="s">
        <v>628</v>
      </c>
      <c r="Z4359" s="245"/>
      <c r="AA4359" s="245"/>
      <c r="AB4359" s="245"/>
      <c r="AC4359" s="235" t="s">
        <v>1206</v>
      </c>
      <c r="AD4359" s="235" t="s">
        <v>679</v>
      </c>
      <c r="AE4359" s="238">
        <v>560078.0</v>
      </c>
      <c r="AF4359" s="235" t="s">
        <v>631</v>
      </c>
      <c r="AG4359" s="245"/>
      <c r="AH4359" s="245"/>
      <c r="AI4359" s="245"/>
      <c r="AJ4359" s="245"/>
      <c r="AK4359" s="245"/>
      <c r="AL4359" s="245"/>
      <c r="AM4359" s="245"/>
      <c r="AN4359" s="245"/>
      <c r="AO4359" s="238">
        <v>0.0</v>
      </c>
      <c r="AP4359" s="238">
        <v>0.0</v>
      </c>
      <c r="AQ4359" s="235" t="s">
        <v>632</v>
      </c>
      <c r="AR4359" s="243">
        <v>1.68E11</v>
      </c>
      <c r="AS4359" s="235" t="s">
        <v>31232</v>
      </c>
      <c r="AT4359" s="235" t="s">
        <v>156</v>
      </c>
      <c r="AU4359" s="235" t="s">
        <v>634</v>
      </c>
      <c r="AV4359" s="246" t="s">
        <v>635</v>
      </c>
      <c r="AW4359" s="227"/>
      <c r="AX4359" s="227"/>
      <c r="AY4359" s="227"/>
      <c r="AZ4359" s="227"/>
      <c r="BA4359" s="227"/>
      <c r="BB4359" s="227"/>
      <c r="BC4359" s="227"/>
      <c r="BD4359" s="227"/>
      <c r="BE4359" s="227"/>
      <c r="BF4359" s="227"/>
    </row>
    <row r="4360">
      <c r="A4360" s="235" t="s">
        <v>32396</v>
      </c>
      <c r="C4360" s="235" t="s">
        <v>32397</v>
      </c>
      <c r="D4360" s="235" t="s">
        <v>32398</v>
      </c>
      <c r="E4360" s="243">
        <v>6.51E13</v>
      </c>
      <c r="F4360" s="245"/>
      <c r="G4360" s="235" t="s">
        <v>32399</v>
      </c>
      <c r="H4360" s="235" t="s">
        <v>32400</v>
      </c>
      <c r="I4360" s="235" t="s">
        <v>32400</v>
      </c>
      <c r="J4360" s="235" t="s">
        <v>32401</v>
      </c>
      <c r="K4360" s="235" t="s">
        <v>32402</v>
      </c>
      <c r="N4360" s="235" t="s">
        <v>962</v>
      </c>
      <c r="O4360" s="235" t="s">
        <v>963</v>
      </c>
      <c r="P4360" s="238">
        <v>1.0</v>
      </c>
      <c r="Q4360" s="235" t="s">
        <v>627</v>
      </c>
      <c r="R4360" s="238">
        <v>245.72</v>
      </c>
      <c r="S4360" s="238">
        <v>12.04</v>
      </c>
      <c r="T4360" s="238">
        <v>0.0</v>
      </c>
      <c r="U4360" s="238">
        <v>0.0</v>
      </c>
      <c r="V4360" s="238">
        <v>0.0</v>
      </c>
      <c r="W4360" s="238">
        <v>0.0</v>
      </c>
      <c r="X4360" s="235" t="s">
        <v>628</v>
      </c>
      <c r="Z4360" s="245"/>
      <c r="AA4360" s="245"/>
      <c r="AB4360" s="245"/>
      <c r="AC4360" s="235" t="s">
        <v>687</v>
      </c>
      <c r="AD4360" s="235" t="s">
        <v>666</v>
      </c>
      <c r="AE4360" s="238">
        <v>600042.0</v>
      </c>
      <c r="AF4360" s="235" t="s">
        <v>631</v>
      </c>
      <c r="AG4360" s="245"/>
      <c r="AH4360" s="245"/>
      <c r="AI4360" s="245"/>
      <c r="AJ4360" s="245"/>
      <c r="AK4360" s="245"/>
      <c r="AL4360" s="245"/>
      <c r="AM4360" s="245"/>
      <c r="AN4360" s="245"/>
      <c r="AO4360" s="238">
        <v>-4.92</v>
      </c>
      <c r="AP4360" s="238">
        <v>0.0</v>
      </c>
      <c r="AQ4360" s="235" t="s">
        <v>632</v>
      </c>
      <c r="AR4360" s="243">
        <v>1.68E11</v>
      </c>
      <c r="AS4360" s="235" t="s">
        <v>31798</v>
      </c>
      <c r="AT4360" s="235" t="s">
        <v>156</v>
      </c>
      <c r="AU4360" s="235" t="s">
        <v>634</v>
      </c>
      <c r="AV4360" s="246" t="s">
        <v>635</v>
      </c>
      <c r="AW4360" s="227"/>
      <c r="AX4360" s="227"/>
      <c r="AY4360" s="227"/>
      <c r="AZ4360" s="227"/>
      <c r="BA4360" s="227"/>
      <c r="BB4360" s="227"/>
      <c r="BC4360" s="227"/>
      <c r="BD4360" s="227"/>
      <c r="BE4360" s="227"/>
      <c r="BF4360" s="227"/>
    </row>
    <row r="4361">
      <c r="A4361" s="235" t="s">
        <v>32403</v>
      </c>
      <c r="C4361" s="235" t="s">
        <v>32404</v>
      </c>
      <c r="D4361" s="235" t="s">
        <v>32405</v>
      </c>
      <c r="E4361" s="243">
        <v>6.51E13</v>
      </c>
      <c r="F4361" s="245"/>
      <c r="G4361" s="235" t="s">
        <v>32406</v>
      </c>
      <c r="H4361" s="235" t="s">
        <v>32407</v>
      </c>
      <c r="I4361" s="235" t="s">
        <v>32407</v>
      </c>
      <c r="J4361" s="235" t="s">
        <v>32408</v>
      </c>
      <c r="K4361" s="235" t="s">
        <v>32409</v>
      </c>
      <c r="N4361" s="235" t="s">
        <v>962</v>
      </c>
      <c r="O4361" s="235" t="s">
        <v>963</v>
      </c>
      <c r="P4361" s="238">
        <v>1.0</v>
      </c>
      <c r="Q4361" s="235" t="s">
        <v>627</v>
      </c>
      <c r="R4361" s="238">
        <v>245.72</v>
      </c>
      <c r="S4361" s="238">
        <v>12.28</v>
      </c>
      <c r="T4361" s="238">
        <v>0.0</v>
      </c>
      <c r="U4361" s="238">
        <v>0.0</v>
      </c>
      <c r="V4361" s="238">
        <v>0.0</v>
      </c>
      <c r="W4361" s="238">
        <v>0.0</v>
      </c>
      <c r="X4361" s="235" t="s">
        <v>628</v>
      </c>
      <c r="Z4361" s="245"/>
      <c r="AA4361" s="245"/>
      <c r="AB4361" s="245"/>
      <c r="AC4361" s="235" t="s">
        <v>20832</v>
      </c>
      <c r="AD4361" s="235" t="s">
        <v>928</v>
      </c>
      <c r="AE4361" s="238">
        <v>134109.0</v>
      </c>
      <c r="AF4361" s="235" t="s">
        <v>631</v>
      </c>
      <c r="AG4361" s="245"/>
      <c r="AH4361" s="245"/>
      <c r="AI4361" s="245"/>
      <c r="AJ4361" s="245"/>
      <c r="AK4361" s="245"/>
      <c r="AL4361" s="245"/>
      <c r="AM4361" s="245"/>
      <c r="AN4361" s="245"/>
      <c r="AO4361" s="238">
        <v>0.0</v>
      </c>
      <c r="AP4361" s="238">
        <v>0.0</v>
      </c>
      <c r="AQ4361" s="235" t="s">
        <v>632</v>
      </c>
      <c r="AR4361" s="243">
        <v>1.68E11</v>
      </c>
      <c r="AS4361" s="235" t="s">
        <v>31232</v>
      </c>
      <c r="AT4361" s="235" t="s">
        <v>13</v>
      </c>
      <c r="AU4361" s="235" t="s">
        <v>634</v>
      </c>
      <c r="AV4361" s="246" t="s">
        <v>635</v>
      </c>
      <c r="AW4361" s="227"/>
      <c r="AX4361" s="227"/>
      <c r="AY4361" s="227"/>
      <c r="AZ4361" s="227"/>
      <c r="BA4361" s="227"/>
      <c r="BB4361" s="227"/>
      <c r="BC4361" s="227"/>
      <c r="BD4361" s="227"/>
      <c r="BE4361" s="227"/>
      <c r="BF4361" s="227"/>
    </row>
    <row r="4362">
      <c r="A4362" s="235" t="s">
        <v>32410</v>
      </c>
      <c r="C4362" s="235" t="s">
        <v>32411</v>
      </c>
      <c r="D4362" s="235" t="s">
        <v>32412</v>
      </c>
      <c r="E4362" s="243">
        <v>6.51E13</v>
      </c>
      <c r="F4362" s="245"/>
      <c r="G4362" s="235" t="s">
        <v>32413</v>
      </c>
      <c r="H4362" s="235" t="s">
        <v>32414</v>
      </c>
      <c r="I4362" s="235" t="s">
        <v>32414</v>
      </c>
      <c r="J4362" s="235" t="s">
        <v>32415</v>
      </c>
      <c r="K4362" s="235" t="s">
        <v>32416</v>
      </c>
      <c r="N4362" s="235" t="s">
        <v>42</v>
      </c>
      <c r="O4362" s="235" t="s">
        <v>204</v>
      </c>
      <c r="P4362" s="238">
        <v>1.0</v>
      </c>
      <c r="Q4362" s="235" t="s">
        <v>627</v>
      </c>
      <c r="R4362" s="238">
        <v>237.14</v>
      </c>
      <c r="S4362" s="238">
        <v>11.62</v>
      </c>
      <c r="T4362" s="238">
        <v>0.0</v>
      </c>
      <c r="U4362" s="238">
        <v>0.0</v>
      </c>
      <c r="V4362" s="238">
        <v>0.0</v>
      </c>
      <c r="W4362" s="238">
        <v>0.0</v>
      </c>
      <c r="X4362" s="235" t="s">
        <v>628</v>
      </c>
      <c r="Z4362" s="245"/>
      <c r="AA4362" s="245"/>
      <c r="AB4362" s="245"/>
      <c r="AC4362" s="235" t="s">
        <v>2493</v>
      </c>
      <c r="AD4362" s="235" t="s">
        <v>833</v>
      </c>
      <c r="AE4362" s="238">
        <v>520007.0</v>
      </c>
      <c r="AF4362" s="235" t="s">
        <v>631</v>
      </c>
      <c r="AG4362" s="245"/>
      <c r="AH4362" s="245"/>
      <c r="AI4362" s="245"/>
      <c r="AJ4362" s="245"/>
      <c r="AK4362" s="245"/>
      <c r="AL4362" s="245"/>
      <c r="AM4362" s="245"/>
      <c r="AN4362" s="245"/>
      <c r="AO4362" s="238">
        <v>-4.74</v>
      </c>
      <c r="AP4362" s="238">
        <v>0.0</v>
      </c>
      <c r="AQ4362" s="235" t="s">
        <v>632</v>
      </c>
      <c r="AR4362" s="243">
        <v>1.68E11</v>
      </c>
      <c r="AS4362" s="235" t="s">
        <v>31232</v>
      </c>
      <c r="AT4362" s="235" t="s">
        <v>156</v>
      </c>
      <c r="AU4362" s="235" t="s">
        <v>634</v>
      </c>
      <c r="AV4362" s="246" t="s">
        <v>635</v>
      </c>
      <c r="AW4362" s="227"/>
      <c r="AX4362" s="227"/>
      <c r="AY4362" s="227"/>
      <c r="AZ4362" s="227"/>
      <c r="BA4362" s="227"/>
      <c r="BB4362" s="227"/>
      <c r="BC4362" s="227"/>
      <c r="BD4362" s="227"/>
      <c r="BE4362" s="227"/>
      <c r="BF4362" s="227"/>
    </row>
    <row r="4363">
      <c r="A4363" s="235" t="s">
        <v>32417</v>
      </c>
      <c r="C4363" s="235" t="s">
        <v>32418</v>
      </c>
      <c r="D4363" s="235" t="s">
        <v>32419</v>
      </c>
      <c r="E4363" s="243">
        <v>6.51E13</v>
      </c>
      <c r="F4363" s="245"/>
      <c r="G4363" s="235" t="s">
        <v>32420</v>
      </c>
      <c r="H4363" s="235" t="s">
        <v>32421</v>
      </c>
      <c r="I4363" s="235" t="s">
        <v>32421</v>
      </c>
      <c r="J4363" s="235" t="s">
        <v>32422</v>
      </c>
      <c r="K4363" s="235" t="s">
        <v>2994</v>
      </c>
      <c r="N4363" s="235" t="s">
        <v>90</v>
      </c>
      <c r="O4363" s="235" t="s">
        <v>279</v>
      </c>
      <c r="P4363" s="238">
        <v>1.0</v>
      </c>
      <c r="Q4363" s="235" t="s">
        <v>627</v>
      </c>
      <c r="R4363" s="238">
        <v>243.8</v>
      </c>
      <c r="S4363" s="238">
        <v>11.96</v>
      </c>
      <c r="T4363" s="238">
        <v>0.0</v>
      </c>
      <c r="U4363" s="238">
        <v>0.0</v>
      </c>
      <c r="V4363" s="238">
        <v>0.0</v>
      </c>
      <c r="W4363" s="238">
        <v>0.0</v>
      </c>
      <c r="X4363" s="235" t="s">
        <v>628</v>
      </c>
      <c r="Z4363" s="245"/>
      <c r="AA4363" s="245"/>
      <c r="AB4363" s="245"/>
      <c r="AC4363" s="235" t="s">
        <v>687</v>
      </c>
      <c r="AD4363" s="235" t="s">
        <v>666</v>
      </c>
      <c r="AE4363" s="238">
        <v>600067.0</v>
      </c>
      <c r="AF4363" s="235" t="s">
        <v>631</v>
      </c>
      <c r="AG4363" s="245"/>
      <c r="AH4363" s="245"/>
      <c r="AI4363" s="245"/>
      <c r="AJ4363" s="245"/>
      <c r="AK4363" s="245"/>
      <c r="AL4363" s="245"/>
      <c r="AM4363" s="245"/>
      <c r="AN4363" s="245"/>
      <c r="AO4363" s="238">
        <v>-4.88</v>
      </c>
      <c r="AP4363" s="238">
        <v>0.0</v>
      </c>
      <c r="AQ4363" s="235" t="s">
        <v>632</v>
      </c>
      <c r="AR4363" s="243">
        <v>3.71E11</v>
      </c>
      <c r="AS4363" s="235" t="s">
        <v>31232</v>
      </c>
      <c r="AT4363" s="235" t="s">
        <v>156</v>
      </c>
      <c r="AU4363" s="235" t="s">
        <v>634</v>
      </c>
      <c r="AV4363" s="246" t="s">
        <v>635</v>
      </c>
      <c r="AW4363" s="227"/>
      <c r="AX4363" s="227"/>
      <c r="AY4363" s="227"/>
      <c r="AZ4363" s="227"/>
      <c r="BA4363" s="227"/>
      <c r="BB4363" s="227"/>
      <c r="BC4363" s="227"/>
      <c r="BD4363" s="227"/>
      <c r="BE4363" s="227"/>
      <c r="BF4363" s="227"/>
    </row>
    <row r="4364">
      <c r="A4364" s="235" t="s">
        <v>32423</v>
      </c>
      <c r="C4364" s="235" t="s">
        <v>32424</v>
      </c>
      <c r="D4364" s="235" t="s">
        <v>32425</v>
      </c>
      <c r="E4364" s="243">
        <v>6.51E13</v>
      </c>
      <c r="F4364" s="245"/>
      <c r="G4364" s="235" t="s">
        <v>32426</v>
      </c>
      <c r="H4364" s="235" t="s">
        <v>32427</v>
      </c>
      <c r="I4364" s="235" t="s">
        <v>32427</v>
      </c>
      <c r="J4364" s="235" t="s">
        <v>32428</v>
      </c>
      <c r="K4364" s="235" t="s">
        <v>32429</v>
      </c>
      <c r="N4364" s="235" t="s">
        <v>126</v>
      </c>
      <c r="O4364" s="235" t="s">
        <v>407</v>
      </c>
      <c r="P4364" s="238">
        <v>1.0</v>
      </c>
      <c r="Q4364" s="235" t="s">
        <v>627</v>
      </c>
      <c r="R4364" s="238">
        <v>237.14</v>
      </c>
      <c r="S4364" s="238">
        <v>11.86</v>
      </c>
      <c r="T4364" s="238">
        <v>0.0</v>
      </c>
      <c r="U4364" s="238">
        <v>0.0</v>
      </c>
      <c r="V4364" s="238">
        <v>0.0</v>
      </c>
      <c r="W4364" s="238">
        <v>0.0</v>
      </c>
      <c r="X4364" s="235" t="s">
        <v>628</v>
      </c>
      <c r="Z4364" s="245"/>
      <c r="AA4364" s="245"/>
      <c r="AB4364" s="245"/>
      <c r="AC4364" s="235" t="s">
        <v>844</v>
      </c>
      <c r="AD4364" s="235" t="s">
        <v>845</v>
      </c>
      <c r="AE4364" s="238">
        <v>411028.0</v>
      </c>
      <c r="AF4364" s="235" t="s">
        <v>631</v>
      </c>
      <c r="AG4364" s="245"/>
      <c r="AH4364" s="245"/>
      <c r="AI4364" s="245"/>
      <c r="AJ4364" s="245"/>
      <c r="AK4364" s="245"/>
      <c r="AL4364" s="245"/>
      <c r="AM4364" s="245"/>
      <c r="AN4364" s="245"/>
      <c r="AO4364" s="238">
        <v>0.0</v>
      </c>
      <c r="AP4364" s="238">
        <v>0.0</v>
      </c>
      <c r="AQ4364" s="235" t="s">
        <v>632</v>
      </c>
      <c r="AR4364" s="243">
        <v>1.68E11</v>
      </c>
      <c r="AS4364" s="235" t="s">
        <v>31798</v>
      </c>
      <c r="AT4364" s="235" t="s">
        <v>546</v>
      </c>
      <c r="AU4364" s="235" t="s">
        <v>634</v>
      </c>
      <c r="AV4364" s="246" t="s">
        <v>635</v>
      </c>
      <c r="AW4364" s="227"/>
      <c r="AX4364" s="227"/>
      <c r="AY4364" s="227"/>
      <c r="AZ4364" s="227"/>
      <c r="BA4364" s="227"/>
      <c r="BB4364" s="227"/>
      <c r="BC4364" s="227"/>
      <c r="BD4364" s="227"/>
      <c r="BE4364" s="227"/>
      <c r="BF4364" s="227"/>
    </row>
    <row r="4365">
      <c r="A4365" s="235" t="s">
        <v>32430</v>
      </c>
      <c r="C4365" s="235" t="s">
        <v>32431</v>
      </c>
      <c r="D4365" s="235" t="s">
        <v>32432</v>
      </c>
      <c r="E4365" s="243">
        <v>6.51E13</v>
      </c>
      <c r="F4365" s="245"/>
      <c r="G4365" s="235" t="s">
        <v>32433</v>
      </c>
      <c r="H4365" s="235" t="s">
        <v>32434</v>
      </c>
      <c r="I4365" s="235" t="s">
        <v>32435</v>
      </c>
      <c r="J4365" s="235" t="s">
        <v>32436</v>
      </c>
      <c r="K4365" s="235" t="s">
        <v>32437</v>
      </c>
      <c r="N4365" s="235" t="s">
        <v>92</v>
      </c>
      <c r="O4365" s="235" t="s">
        <v>248</v>
      </c>
      <c r="P4365" s="238">
        <v>1.0</v>
      </c>
      <c r="Q4365" s="235" t="s">
        <v>627</v>
      </c>
      <c r="R4365" s="238">
        <v>244.76</v>
      </c>
      <c r="S4365" s="238">
        <v>12.0</v>
      </c>
      <c r="T4365" s="238">
        <v>0.0</v>
      </c>
      <c r="U4365" s="238">
        <v>0.0</v>
      </c>
      <c r="V4365" s="238">
        <v>0.0</v>
      </c>
      <c r="W4365" s="238">
        <v>0.0</v>
      </c>
      <c r="X4365" s="235" t="s">
        <v>628</v>
      </c>
      <c r="Z4365" s="245"/>
      <c r="AA4365" s="245"/>
      <c r="AB4365" s="245"/>
      <c r="AC4365" s="235" t="s">
        <v>697</v>
      </c>
      <c r="AD4365" s="235" t="s">
        <v>698</v>
      </c>
      <c r="AE4365" s="238">
        <v>500072.0</v>
      </c>
      <c r="AF4365" s="235" t="s">
        <v>631</v>
      </c>
      <c r="AG4365" s="245"/>
      <c r="AH4365" s="245"/>
      <c r="AI4365" s="245"/>
      <c r="AJ4365" s="245"/>
      <c r="AK4365" s="245"/>
      <c r="AL4365" s="245"/>
      <c r="AM4365" s="245"/>
      <c r="AN4365" s="245"/>
      <c r="AO4365" s="238">
        <v>-4.9</v>
      </c>
      <c r="AP4365" s="238">
        <v>0.0</v>
      </c>
      <c r="AQ4365" s="235" t="s">
        <v>632</v>
      </c>
      <c r="AR4365" s="243">
        <v>2.02E11</v>
      </c>
      <c r="AS4365" s="235" t="s">
        <v>31232</v>
      </c>
      <c r="AT4365" s="235" t="s">
        <v>16</v>
      </c>
      <c r="AU4365" s="235" t="s">
        <v>634</v>
      </c>
      <c r="AV4365" s="246" t="s">
        <v>635</v>
      </c>
      <c r="AW4365" s="227"/>
      <c r="AX4365" s="227"/>
      <c r="AY4365" s="227"/>
      <c r="AZ4365" s="227"/>
      <c r="BA4365" s="227"/>
      <c r="BB4365" s="227"/>
      <c r="BC4365" s="227"/>
      <c r="BD4365" s="227"/>
      <c r="BE4365" s="227"/>
      <c r="BF4365" s="227"/>
    </row>
    <row r="4366">
      <c r="A4366" s="235" t="s">
        <v>32438</v>
      </c>
      <c r="C4366" s="235" t="s">
        <v>32439</v>
      </c>
      <c r="D4366" s="235" t="s">
        <v>32440</v>
      </c>
      <c r="E4366" s="243">
        <v>6.5E13</v>
      </c>
      <c r="F4366" s="245"/>
      <c r="G4366" s="235" t="s">
        <v>32441</v>
      </c>
      <c r="H4366" s="235" t="s">
        <v>32442</v>
      </c>
      <c r="I4366" s="235" t="s">
        <v>32443</v>
      </c>
      <c r="J4366" s="235" t="s">
        <v>32444</v>
      </c>
      <c r="K4366" s="235" t="s">
        <v>32445</v>
      </c>
      <c r="N4366" s="235" t="s">
        <v>31</v>
      </c>
      <c r="O4366" s="235" t="s">
        <v>954</v>
      </c>
      <c r="P4366" s="238">
        <v>1.0</v>
      </c>
      <c r="Q4366" s="235" t="s">
        <v>627</v>
      </c>
      <c r="R4366" s="238">
        <v>446.66</v>
      </c>
      <c r="S4366" s="238">
        <v>22.34</v>
      </c>
      <c r="T4366" s="238">
        <v>0.0</v>
      </c>
      <c r="U4366" s="238">
        <v>0.0</v>
      </c>
      <c r="V4366" s="238">
        <v>0.0</v>
      </c>
      <c r="W4366" s="238">
        <v>0.0</v>
      </c>
      <c r="X4366" s="235" t="s">
        <v>628</v>
      </c>
      <c r="Z4366" s="245"/>
      <c r="AA4366" s="245"/>
      <c r="AB4366" s="245"/>
      <c r="AC4366" s="235" t="s">
        <v>32446</v>
      </c>
      <c r="AD4366" s="235" t="s">
        <v>845</v>
      </c>
      <c r="AE4366" s="238">
        <v>401202.0</v>
      </c>
      <c r="AF4366" s="235" t="s">
        <v>631</v>
      </c>
      <c r="AG4366" s="245"/>
      <c r="AH4366" s="245"/>
      <c r="AI4366" s="245"/>
      <c r="AJ4366" s="245"/>
      <c r="AK4366" s="245"/>
      <c r="AL4366" s="245"/>
      <c r="AM4366" s="245"/>
      <c r="AN4366" s="245"/>
      <c r="AO4366" s="238">
        <v>0.0</v>
      </c>
      <c r="AP4366" s="238">
        <v>0.0</v>
      </c>
      <c r="AQ4366" s="235" t="s">
        <v>632</v>
      </c>
      <c r="AR4366" s="243">
        <v>1.68E11</v>
      </c>
      <c r="AS4366" s="235" t="s">
        <v>31232</v>
      </c>
      <c r="AT4366" s="235" t="s">
        <v>546</v>
      </c>
      <c r="AU4366" s="235" t="s">
        <v>634</v>
      </c>
      <c r="AV4366" s="246" t="s">
        <v>635</v>
      </c>
      <c r="AW4366" s="227"/>
      <c r="AX4366" s="227"/>
      <c r="AY4366" s="227"/>
      <c r="AZ4366" s="227"/>
      <c r="BA4366" s="227"/>
      <c r="BB4366" s="227"/>
      <c r="BC4366" s="227"/>
      <c r="BD4366" s="227"/>
      <c r="BE4366" s="227"/>
      <c r="BF4366" s="227"/>
    </row>
    <row r="4367">
      <c r="A4367" s="235" t="s">
        <v>32447</v>
      </c>
      <c r="C4367" s="235" t="s">
        <v>32448</v>
      </c>
      <c r="D4367" s="235" t="s">
        <v>32449</v>
      </c>
      <c r="E4367" s="243">
        <v>6.51E13</v>
      </c>
      <c r="F4367" s="245"/>
      <c r="G4367" s="235" t="s">
        <v>32450</v>
      </c>
      <c r="H4367" s="235" t="s">
        <v>32451</v>
      </c>
      <c r="I4367" s="235" t="s">
        <v>32452</v>
      </c>
      <c r="J4367" s="235" t="s">
        <v>32453</v>
      </c>
      <c r="K4367" s="235" t="s">
        <v>32454</v>
      </c>
      <c r="N4367" s="235" t="s">
        <v>82</v>
      </c>
      <c r="O4367" s="235" t="s">
        <v>889</v>
      </c>
      <c r="P4367" s="238">
        <v>1.0</v>
      </c>
      <c r="Q4367" s="235" t="s">
        <v>627</v>
      </c>
      <c r="R4367" s="238">
        <v>243.8</v>
      </c>
      <c r="S4367" s="238">
        <v>11.96</v>
      </c>
      <c r="T4367" s="238">
        <v>0.0</v>
      </c>
      <c r="U4367" s="238">
        <v>0.0</v>
      </c>
      <c r="V4367" s="238">
        <v>0.0</v>
      </c>
      <c r="W4367" s="238">
        <v>0.0</v>
      </c>
      <c r="X4367" s="235" t="s">
        <v>628</v>
      </c>
      <c r="Z4367" s="245"/>
      <c r="AA4367" s="245"/>
      <c r="AB4367" s="245"/>
      <c r="AC4367" s="235" t="s">
        <v>678</v>
      </c>
      <c r="AD4367" s="235" t="s">
        <v>679</v>
      </c>
      <c r="AE4367" s="238">
        <v>560040.0</v>
      </c>
      <c r="AF4367" s="235" t="s">
        <v>631</v>
      </c>
      <c r="AG4367" s="245"/>
      <c r="AH4367" s="245"/>
      <c r="AI4367" s="245"/>
      <c r="AJ4367" s="245"/>
      <c r="AK4367" s="245"/>
      <c r="AL4367" s="245"/>
      <c r="AM4367" s="245"/>
      <c r="AN4367" s="245"/>
      <c r="AO4367" s="238">
        <v>-4.88</v>
      </c>
      <c r="AP4367" s="238">
        <v>0.0</v>
      </c>
      <c r="AQ4367" s="235" t="s">
        <v>632</v>
      </c>
      <c r="AR4367" s="243">
        <v>1.68E11</v>
      </c>
      <c r="AS4367" s="235" t="s">
        <v>32455</v>
      </c>
      <c r="AT4367" s="235" t="s">
        <v>9</v>
      </c>
      <c r="AU4367" s="235" t="s">
        <v>634</v>
      </c>
      <c r="AV4367" s="246" t="s">
        <v>635</v>
      </c>
      <c r="AW4367" s="227"/>
      <c r="AX4367" s="227"/>
      <c r="AY4367" s="227"/>
      <c r="AZ4367" s="227"/>
      <c r="BA4367" s="227"/>
      <c r="BB4367" s="227"/>
      <c r="BC4367" s="227"/>
      <c r="BD4367" s="227"/>
      <c r="BE4367" s="227"/>
      <c r="BF4367" s="227"/>
    </row>
    <row r="4368">
      <c r="A4368" s="235" t="s">
        <v>32456</v>
      </c>
      <c r="C4368" s="235" t="s">
        <v>32457</v>
      </c>
      <c r="D4368" s="235" t="s">
        <v>32458</v>
      </c>
      <c r="E4368" s="243">
        <v>6.51E13</v>
      </c>
      <c r="F4368" s="245"/>
      <c r="G4368" s="235" t="s">
        <v>32459</v>
      </c>
      <c r="H4368" s="235" t="s">
        <v>32460</v>
      </c>
      <c r="I4368" s="235" t="s">
        <v>32460</v>
      </c>
      <c r="J4368" s="235" t="s">
        <v>32461</v>
      </c>
      <c r="K4368" s="235" t="s">
        <v>32462</v>
      </c>
      <c r="N4368" s="235" t="s">
        <v>71</v>
      </c>
      <c r="O4368" s="235" t="s">
        <v>240</v>
      </c>
      <c r="P4368" s="238">
        <v>1.0</v>
      </c>
      <c r="Q4368" s="235" t="s">
        <v>627</v>
      </c>
      <c r="R4368" s="238">
        <v>246.66</v>
      </c>
      <c r="S4368" s="238">
        <v>12.34</v>
      </c>
      <c r="T4368" s="238">
        <v>0.0</v>
      </c>
      <c r="U4368" s="238">
        <v>0.0</v>
      </c>
      <c r="V4368" s="238">
        <v>0.0</v>
      </c>
      <c r="W4368" s="238">
        <v>0.0</v>
      </c>
      <c r="X4368" s="235" t="s">
        <v>628</v>
      </c>
      <c r="Z4368" s="245"/>
      <c r="AA4368" s="245"/>
      <c r="AB4368" s="245"/>
      <c r="AC4368" s="235" t="s">
        <v>678</v>
      </c>
      <c r="AD4368" s="235" t="s">
        <v>679</v>
      </c>
      <c r="AE4368" s="238">
        <v>560024.0</v>
      </c>
      <c r="AF4368" s="235" t="s">
        <v>631</v>
      </c>
      <c r="AG4368" s="245"/>
      <c r="AH4368" s="245"/>
      <c r="AI4368" s="245"/>
      <c r="AJ4368" s="245"/>
      <c r="AK4368" s="245"/>
      <c r="AL4368" s="245"/>
      <c r="AM4368" s="245"/>
      <c r="AN4368" s="245"/>
      <c r="AO4368" s="238">
        <v>0.0</v>
      </c>
      <c r="AP4368" s="238">
        <v>0.0</v>
      </c>
      <c r="AQ4368" s="235" t="s">
        <v>632</v>
      </c>
      <c r="AR4368" s="243">
        <v>1.68E11</v>
      </c>
      <c r="AS4368" s="235" t="s">
        <v>32455</v>
      </c>
      <c r="AT4368" s="235" t="s">
        <v>9</v>
      </c>
      <c r="AU4368" s="235" t="s">
        <v>634</v>
      </c>
      <c r="AV4368" s="246" t="s">
        <v>635</v>
      </c>
      <c r="AW4368" s="227"/>
      <c r="AX4368" s="227"/>
      <c r="AY4368" s="227"/>
      <c r="AZ4368" s="227"/>
      <c r="BA4368" s="227"/>
      <c r="BB4368" s="227"/>
      <c r="BC4368" s="227"/>
      <c r="BD4368" s="227"/>
      <c r="BE4368" s="227"/>
      <c r="BF4368" s="227"/>
    </row>
    <row r="4369">
      <c r="A4369" s="235" t="s">
        <v>32463</v>
      </c>
      <c r="C4369" s="235" t="s">
        <v>32464</v>
      </c>
      <c r="D4369" s="235" t="s">
        <v>32465</v>
      </c>
      <c r="E4369" s="243">
        <v>6.5E13</v>
      </c>
      <c r="F4369" s="245"/>
      <c r="G4369" s="235" t="s">
        <v>32466</v>
      </c>
      <c r="H4369" s="235" t="s">
        <v>32467</v>
      </c>
      <c r="I4369" s="235" t="s">
        <v>32467</v>
      </c>
      <c r="J4369" s="235" t="s">
        <v>32468</v>
      </c>
      <c r="K4369" s="235" t="s">
        <v>32469</v>
      </c>
      <c r="N4369" s="235" t="s">
        <v>136</v>
      </c>
      <c r="O4369" s="235" t="s">
        <v>256</v>
      </c>
      <c r="P4369" s="238">
        <v>1.0</v>
      </c>
      <c r="Q4369" s="235" t="s">
        <v>627</v>
      </c>
      <c r="R4369" s="238">
        <v>244.76</v>
      </c>
      <c r="S4369" s="238">
        <v>12.24</v>
      </c>
      <c r="T4369" s="238">
        <v>0.0</v>
      </c>
      <c r="U4369" s="238">
        <v>0.0</v>
      </c>
      <c r="V4369" s="238">
        <v>0.0</v>
      </c>
      <c r="W4369" s="238">
        <v>0.0</v>
      </c>
      <c r="X4369" s="235" t="s">
        <v>628</v>
      </c>
      <c r="Z4369" s="245"/>
      <c r="AA4369" s="245"/>
      <c r="AB4369" s="245"/>
      <c r="AC4369" s="235" t="s">
        <v>1058</v>
      </c>
      <c r="AD4369" s="235" t="s">
        <v>845</v>
      </c>
      <c r="AE4369" s="238">
        <v>400094.0</v>
      </c>
      <c r="AF4369" s="235" t="s">
        <v>631</v>
      </c>
      <c r="AG4369" s="245"/>
      <c r="AH4369" s="245"/>
      <c r="AI4369" s="245"/>
      <c r="AJ4369" s="245"/>
      <c r="AK4369" s="245"/>
      <c r="AL4369" s="245"/>
      <c r="AM4369" s="245"/>
      <c r="AN4369" s="245"/>
      <c r="AO4369" s="238">
        <v>0.0</v>
      </c>
      <c r="AP4369" s="238">
        <v>0.0</v>
      </c>
      <c r="AQ4369" s="235" t="s">
        <v>632</v>
      </c>
      <c r="AR4369" s="243">
        <v>3.71E11</v>
      </c>
      <c r="AS4369" s="235" t="s">
        <v>31232</v>
      </c>
      <c r="AT4369" s="235" t="s">
        <v>16</v>
      </c>
      <c r="AU4369" s="235" t="s">
        <v>634</v>
      </c>
      <c r="AV4369" s="246" t="s">
        <v>635</v>
      </c>
      <c r="AW4369" s="227"/>
      <c r="AX4369" s="227"/>
      <c r="AY4369" s="227"/>
      <c r="AZ4369" s="227"/>
      <c r="BA4369" s="227"/>
      <c r="BB4369" s="227"/>
      <c r="BC4369" s="227"/>
      <c r="BD4369" s="227"/>
      <c r="BE4369" s="227"/>
      <c r="BF4369" s="227"/>
    </row>
    <row r="4370">
      <c r="A4370" s="235" t="s">
        <v>32470</v>
      </c>
      <c r="C4370" s="235" t="s">
        <v>32471</v>
      </c>
      <c r="D4370" s="235" t="s">
        <v>32472</v>
      </c>
      <c r="E4370" s="243">
        <v>6.51E13</v>
      </c>
      <c r="F4370" s="245"/>
      <c r="G4370" s="235" t="s">
        <v>32473</v>
      </c>
      <c r="H4370" s="235" t="s">
        <v>32474</v>
      </c>
      <c r="I4370" s="235" t="s">
        <v>32474</v>
      </c>
      <c r="J4370" s="235" t="s">
        <v>32475</v>
      </c>
      <c r="K4370" s="235" t="s">
        <v>32476</v>
      </c>
      <c r="N4370" s="235" t="s">
        <v>43</v>
      </c>
      <c r="O4370" s="235" t="s">
        <v>276</v>
      </c>
      <c r="P4370" s="238">
        <v>1.0</v>
      </c>
      <c r="Q4370" s="235" t="s">
        <v>627</v>
      </c>
      <c r="R4370" s="238">
        <v>235.24</v>
      </c>
      <c r="S4370" s="238">
        <v>11.52</v>
      </c>
      <c r="T4370" s="238">
        <v>0.0</v>
      </c>
      <c r="U4370" s="238">
        <v>0.0</v>
      </c>
      <c r="V4370" s="238">
        <v>0.0</v>
      </c>
      <c r="W4370" s="238">
        <v>0.0</v>
      </c>
      <c r="X4370" s="235" t="s">
        <v>628</v>
      </c>
      <c r="Z4370" s="245"/>
      <c r="AA4370" s="245"/>
      <c r="AB4370" s="245"/>
      <c r="AC4370" s="235" t="s">
        <v>678</v>
      </c>
      <c r="AD4370" s="235" t="s">
        <v>679</v>
      </c>
      <c r="AE4370" s="238">
        <v>560076.0</v>
      </c>
      <c r="AF4370" s="235" t="s">
        <v>631</v>
      </c>
      <c r="AG4370" s="245"/>
      <c r="AH4370" s="245"/>
      <c r="AI4370" s="245"/>
      <c r="AJ4370" s="245"/>
      <c r="AK4370" s="245"/>
      <c r="AL4370" s="245"/>
      <c r="AM4370" s="245"/>
      <c r="AN4370" s="245"/>
      <c r="AO4370" s="238">
        <v>-4.7</v>
      </c>
      <c r="AP4370" s="238">
        <v>0.0</v>
      </c>
      <c r="AQ4370" s="235" t="s">
        <v>632</v>
      </c>
      <c r="AR4370" s="243">
        <v>1.68E11</v>
      </c>
      <c r="AS4370" s="235" t="s">
        <v>32455</v>
      </c>
      <c r="AT4370" s="235" t="s">
        <v>9</v>
      </c>
      <c r="AU4370" s="235" t="s">
        <v>634</v>
      </c>
      <c r="AV4370" s="246" t="s">
        <v>635</v>
      </c>
      <c r="AW4370" s="227"/>
      <c r="AX4370" s="227"/>
      <c r="AY4370" s="227"/>
      <c r="AZ4370" s="227"/>
      <c r="BA4370" s="227"/>
      <c r="BB4370" s="227"/>
      <c r="BC4370" s="227"/>
      <c r="BD4370" s="227"/>
      <c r="BE4370" s="227"/>
      <c r="BF4370" s="227"/>
    </row>
    <row r="4371">
      <c r="A4371" s="235" t="s">
        <v>32477</v>
      </c>
      <c r="C4371" s="235" t="s">
        <v>32478</v>
      </c>
      <c r="D4371" s="235" t="s">
        <v>32479</v>
      </c>
      <c r="E4371" s="243">
        <v>6.51E13</v>
      </c>
      <c r="F4371" s="245"/>
      <c r="G4371" s="235" t="s">
        <v>32480</v>
      </c>
      <c r="H4371" s="235" t="s">
        <v>32481</v>
      </c>
      <c r="I4371" s="235" t="s">
        <v>32481</v>
      </c>
      <c r="J4371" s="235" t="s">
        <v>32482</v>
      </c>
      <c r="K4371" s="235" t="s">
        <v>32483</v>
      </c>
      <c r="N4371" s="235" t="s">
        <v>541</v>
      </c>
      <c r="O4371" s="235" t="s">
        <v>664</v>
      </c>
      <c r="P4371" s="238">
        <v>1.0</v>
      </c>
      <c r="Q4371" s="235" t="s">
        <v>627</v>
      </c>
      <c r="R4371" s="238">
        <v>659.32</v>
      </c>
      <c r="S4371" s="238">
        <v>118.68</v>
      </c>
      <c r="T4371" s="238">
        <v>0.0</v>
      </c>
      <c r="U4371" s="238">
        <v>0.0</v>
      </c>
      <c r="V4371" s="238">
        <v>0.0</v>
      </c>
      <c r="W4371" s="238">
        <v>0.0</v>
      </c>
      <c r="X4371" s="235" t="s">
        <v>628</v>
      </c>
      <c r="Z4371" s="245"/>
      <c r="AA4371" s="245"/>
      <c r="AB4371" s="245"/>
      <c r="AC4371" s="235" t="s">
        <v>2350</v>
      </c>
      <c r="AD4371" s="235" t="s">
        <v>917</v>
      </c>
      <c r="AE4371" s="238">
        <v>342001.0</v>
      </c>
      <c r="AF4371" s="235" t="s">
        <v>631</v>
      </c>
      <c r="AG4371" s="245"/>
      <c r="AH4371" s="245"/>
      <c r="AI4371" s="245"/>
      <c r="AJ4371" s="245"/>
      <c r="AK4371" s="245"/>
      <c r="AL4371" s="245"/>
      <c r="AM4371" s="245"/>
      <c r="AN4371" s="245"/>
      <c r="AO4371" s="238">
        <v>0.0</v>
      </c>
      <c r="AP4371" s="238">
        <v>0.0</v>
      </c>
      <c r="AQ4371" s="235" t="s">
        <v>632</v>
      </c>
      <c r="AR4371" s="243">
        <v>3.71E11</v>
      </c>
      <c r="AS4371" s="235" t="s">
        <v>29883</v>
      </c>
      <c r="AT4371" s="235" t="s">
        <v>14</v>
      </c>
      <c r="AU4371" s="235" t="s">
        <v>634</v>
      </c>
      <c r="AV4371" s="246" t="s">
        <v>635</v>
      </c>
      <c r="AW4371" s="227"/>
      <c r="AX4371" s="227"/>
      <c r="AY4371" s="227"/>
      <c r="AZ4371" s="227"/>
      <c r="BA4371" s="227"/>
      <c r="BB4371" s="227"/>
      <c r="BC4371" s="227"/>
      <c r="BD4371" s="227"/>
      <c r="BE4371" s="227"/>
      <c r="BF4371" s="227"/>
    </row>
    <row r="4372">
      <c r="A4372" s="235" t="s">
        <v>32484</v>
      </c>
      <c r="C4372" s="235" t="s">
        <v>32485</v>
      </c>
      <c r="D4372" s="235" t="s">
        <v>32486</v>
      </c>
      <c r="E4372" s="243">
        <v>6.51E13</v>
      </c>
      <c r="F4372" s="245"/>
      <c r="G4372" s="235" t="s">
        <v>32487</v>
      </c>
      <c r="H4372" s="235" t="s">
        <v>32488</v>
      </c>
      <c r="I4372" s="235" t="s">
        <v>32488</v>
      </c>
      <c r="J4372" s="235" t="s">
        <v>32489</v>
      </c>
      <c r="K4372" s="235" t="s">
        <v>32490</v>
      </c>
      <c r="N4372" s="235" t="s">
        <v>51</v>
      </c>
      <c r="O4372" s="235" t="s">
        <v>273</v>
      </c>
      <c r="P4372" s="238">
        <v>1.0</v>
      </c>
      <c r="Q4372" s="235" t="s">
        <v>627</v>
      </c>
      <c r="R4372" s="238">
        <v>235.24</v>
      </c>
      <c r="S4372" s="238">
        <v>11.76</v>
      </c>
      <c r="T4372" s="238">
        <v>0.0</v>
      </c>
      <c r="U4372" s="238">
        <v>0.0</v>
      </c>
      <c r="V4372" s="238">
        <v>0.0</v>
      </c>
      <c r="W4372" s="238">
        <v>0.0</v>
      </c>
      <c r="X4372" s="235" t="s">
        <v>628</v>
      </c>
      <c r="Z4372" s="245"/>
      <c r="AA4372" s="245"/>
      <c r="AB4372" s="245"/>
      <c r="AC4372" s="235" t="s">
        <v>678</v>
      </c>
      <c r="AD4372" s="235" t="s">
        <v>679</v>
      </c>
      <c r="AE4372" s="238">
        <v>560043.0</v>
      </c>
      <c r="AF4372" s="235" t="s">
        <v>631</v>
      </c>
      <c r="AG4372" s="245"/>
      <c r="AH4372" s="245"/>
      <c r="AI4372" s="245"/>
      <c r="AJ4372" s="245"/>
      <c r="AK4372" s="245"/>
      <c r="AL4372" s="245"/>
      <c r="AM4372" s="245"/>
      <c r="AN4372" s="245"/>
      <c r="AO4372" s="238">
        <v>0.0</v>
      </c>
      <c r="AP4372" s="238">
        <v>0.0</v>
      </c>
      <c r="AQ4372" s="235" t="s">
        <v>632</v>
      </c>
      <c r="AR4372" s="243">
        <v>1.68E11</v>
      </c>
      <c r="AS4372" s="235" t="s">
        <v>32455</v>
      </c>
      <c r="AT4372" s="235" t="s">
        <v>11</v>
      </c>
      <c r="AU4372" s="235" t="s">
        <v>634</v>
      </c>
      <c r="AV4372" s="246" t="s">
        <v>635</v>
      </c>
      <c r="AW4372" s="227"/>
      <c r="AX4372" s="227"/>
      <c r="AY4372" s="227"/>
      <c r="AZ4372" s="227"/>
      <c r="BA4372" s="227"/>
      <c r="BB4372" s="227"/>
      <c r="BC4372" s="227"/>
      <c r="BD4372" s="227"/>
      <c r="BE4372" s="227"/>
      <c r="BF4372" s="227"/>
    </row>
    <row r="4373">
      <c r="A4373" s="235" t="s">
        <v>32491</v>
      </c>
      <c r="C4373" s="235" t="s">
        <v>32492</v>
      </c>
      <c r="D4373" s="235" t="s">
        <v>32493</v>
      </c>
      <c r="E4373" s="243">
        <v>6.51E13</v>
      </c>
      <c r="F4373" s="245"/>
      <c r="G4373" s="235" t="s">
        <v>32494</v>
      </c>
      <c r="H4373" s="235" t="s">
        <v>32495</v>
      </c>
      <c r="I4373" s="235" t="s">
        <v>32496</v>
      </c>
      <c r="J4373" s="235" t="s">
        <v>32497</v>
      </c>
      <c r="K4373" s="235" t="s">
        <v>32498</v>
      </c>
      <c r="N4373" s="235" t="s">
        <v>92</v>
      </c>
      <c r="O4373" s="235" t="s">
        <v>248</v>
      </c>
      <c r="P4373" s="238">
        <v>1.0</v>
      </c>
      <c r="Q4373" s="235" t="s">
        <v>627</v>
      </c>
      <c r="R4373" s="238">
        <v>244.76</v>
      </c>
      <c r="S4373" s="238">
        <v>12.24</v>
      </c>
      <c r="T4373" s="238">
        <v>38.1</v>
      </c>
      <c r="U4373" s="238">
        <v>1.9</v>
      </c>
      <c r="V4373" s="238">
        <v>0.0</v>
      </c>
      <c r="W4373" s="238">
        <v>0.0</v>
      </c>
      <c r="X4373" s="235" t="s">
        <v>628</v>
      </c>
      <c r="Z4373" s="245"/>
      <c r="AA4373" s="245"/>
      <c r="AB4373" s="245"/>
      <c r="AC4373" s="235" t="s">
        <v>32499</v>
      </c>
      <c r="AD4373" s="235" t="s">
        <v>917</v>
      </c>
      <c r="AE4373" s="238">
        <v>303510.0</v>
      </c>
      <c r="AF4373" s="235" t="s">
        <v>631</v>
      </c>
      <c r="AG4373" s="245"/>
      <c r="AH4373" s="245"/>
      <c r="AI4373" s="245"/>
      <c r="AJ4373" s="245"/>
      <c r="AK4373" s="245"/>
      <c r="AL4373" s="245"/>
      <c r="AM4373" s="245"/>
      <c r="AN4373" s="245"/>
      <c r="AO4373" s="238">
        <v>0.0</v>
      </c>
      <c r="AP4373" s="238">
        <v>-38.1</v>
      </c>
      <c r="AQ4373" s="235" t="s">
        <v>1328</v>
      </c>
      <c r="AR4373" s="243">
        <v>1.34E13</v>
      </c>
      <c r="AS4373" s="235" t="s">
        <v>28482</v>
      </c>
      <c r="AT4373" s="235" t="s">
        <v>14</v>
      </c>
      <c r="AU4373" s="235" t="s">
        <v>634</v>
      </c>
      <c r="AV4373" s="246" t="s">
        <v>635</v>
      </c>
      <c r="AW4373" s="227"/>
      <c r="AX4373" s="227"/>
      <c r="AY4373" s="227"/>
      <c r="AZ4373" s="227"/>
      <c r="BA4373" s="227"/>
      <c r="BB4373" s="227"/>
      <c r="BC4373" s="227"/>
      <c r="BD4373" s="227"/>
      <c r="BE4373" s="227"/>
      <c r="BF4373" s="227"/>
    </row>
    <row r="4374">
      <c r="A4374" s="235" t="s">
        <v>32500</v>
      </c>
      <c r="C4374" s="235" t="s">
        <v>32501</v>
      </c>
      <c r="D4374" s="235" t="s">
        <v>32502</v>
      </c>
      <c r="E4374" s="243">
        <v>6.5E13</v>
      </c>
      <c r="F4374" s="245"/>
      <c r="G4374" s="235" t="s">
        <v>32503</v>
      </c>
      <c r="H4374" s="235" t="s">
        <v>32504</v>
      </c>
      <c r="I4374" s="235" t="s">
        <v>32504</v>
      </c>
      <c r="J4374" s="235" t="s">
        <v>32505</v>
      </c>
      <c r="K4374" s="235" t="s">
        <v>32506</v>
      </c>
      <c r="N4374" s="235" t="s">
        <v>82</v>
      </c>
      <c r="O4374" s="235" t="s">
        <v>889</v>
      </c>
      <c r="P4374" s="238">
        <v>1.0</v>
      </c>
      <c r="Q4374" s="235" t="s">
        <v>627</v>
      </c>
      <c r="R4374" s="238">
        <v>243.81</v>
      </c>
      <c r="S4374" s="238">
        <v>12.19</v>
      </c>
      <c r="T4374" s="238">
        <v>0.0</v>
      </c>
      <c r="U4374" s="238">
        <v>0.0</v>
      </c>
      <c r="V4374" s="238">
        <v>0.0</v>
      </c>
      <c r="W4374" s="238">
        <v>0.0</v>
      </c>
      <c r="X4374" s="235" t="s">
        <v>628</v>
      </c>
      <c r="Z4374" s="245"/>
      <c r="AA4374" s="245"/>
      <c r="AB4374" s="245"/>
      <c r="AC4374" s="235" t="s">
        <v>32507</v>
      </c>
      <c r="AD4374" s="235" t="s">
        <v>731</v>
      </c>
      <c r="AE4374" s="238">
        <v>782440.0</v>
      </c>
      <c r="AF4374" s="235" t="s">
        <v>631</v>
      </c>
      <c r="AG4374" s="245"/>
      <c r="AH4374" s="245"/>
      <c r="AI4374" s="245"/>
      <c r="AJ4374" s="245"/>
      <c r="AK4374" s="245"/>
      <c r="AL4374" s="245"/>
      <c r="AM4374" s="245"/>
      <c r="AN4374" s="245"/>
      <c r="AO4374" s="238">
        <v>0.0</v>
      </c>
      <c r="AP4374" s="238">
        <v>0.0</v>
      </c>
      <c r="AQ4374" s="235" t="s">
        <v>632</v>
      </c>
      <c r="AR4374" s="243">
        <v>3.71E11</v>
      </c>
      <c r="AS4374" s="235" t="s">
        <v>26892</v>
      </c>
      <c r="AT4374" s="235" t="s">
        <v>14</v>
      </c>
      <c r="AU4374" s="235" t="s">
        <v>634</v>
      </c>
      <c r="AV4374" s="246" t="s">
        <v>635</v>
      </c>
      <c r="AW4374" s="227"/>
      <c r="AX4374" s="227"/>
      <c r="AY4374" s="227"/>
      <c r="AZ4374" s="227"/>
      <c r="BA4374" s="227"/>
      <c r="BB4374" s="227"/>
      <c r="BC4374" s="227"/>
      <c r="BD4374" s="227"/>
      <c r="BE4374" s="227"/>
      <c r="BF4374" s="227"/>
    </row>
    <row r="4375">
      <c r="A4375" s="235" t="s">
        <v>32508</v>
      </c>
      <c r="C4375" s="235" t="s">
        <v>32509</v>
      </c>
      <c r="D4375" s="235" t="s">
        <v>32510</v>
      </c>
      <c r="E4375" s="243">
        <v>6.51E13</v>
      </c>
      <c r="F4375" s="245"/>
      <c r="G4375" s="235" t="s">
        <v>32511</v>
      </c>
      <c r="H4375" s="235" t="s">
        <v>32512</v>
      </c>
      <c r="I4375" s="235" t="s">
        <v>32512</v>
      </c>
      <c r="J4375" s="235" t="s">
        <v>32513</v>
      </c>
      <c r="K4375" s="235" t="s">
        <v>32514</v>
      </c>
      <c r="N4375" s="235" t="s">
        <v>962</v>
      </c>
      <c r="O4375" s="235" t="s">
        <v>963</v>
      </c>
      <c r="P4375" s="238">
        <v>1.0</v>
      </c>
      <c r="Q4375" s="235" t="s">
        <v>627</v>
      </c>
      <c r="R4375" s="238">
        <v>245.72</v>
      </c>
      <c r="S4375" s="238">
        <v>12.28</v>
      </c>
      <c r="T4375" s="238">
        <v>0.0</v>
      </c>
      <c r="U4375" s="238">
        <v>0.0</v>
      </c>
      <c r="V4375" s="238">
        <v>0.0</v>
      </c>
      <c r="W4375" s="238">
        <v>0.0</v>
      </c>
      <c r="X4375" s="235" t="s">
        <v>628</v>
      </c>
      <c r="Z4375" s="245"/>
      <c r="AA4375" s="245"/>
      <c r="AB4375" s="245"/>
      <c r="AC4375" s="235" t="s">
        <v>1320</v>
      </c>
      <c r="AD4375" s="235" t="s">
        <v>24339</v>
      </c>
      <c r="AE4375" s="238">
        <v>600042.0</v>
      </c>
      <c r="AF4375" s="235" t="s">
        <v>631</v>
      </c>
      <c r="AG4375" s="245"/>
      <c r="AH4375" s="245"/>
      <c r="AI4375" s="245"/>
      <c r="AJ4375" s="245"/>
      <c r="AK4375" s="245"/>
      <c r="AL4375" s="245"/>
      <c r="AM4375" s="245"/>
      <c r="AN4375" s="245"/>
      <c r="AO4375" s="238">
        <v>0.0</v>
      </c>
      <c r="AP4375" s="238">
        <v>0.0</v>
      </c>
      <c r="AQ4375" s="235" t="s">
        <v>632</v>
      </c>
      <c r="AR4375" s="243">
        <v>1.68E11</v>
      </c>
      <c r="AS4375" s="235" t="s">
        <v>32455</v>
      </c>
      <c r="AT4375" s="235" t="s">
        <v>156</v>
      </c>
      <c r="AU4375" s="235" t="s">
        <v>634</v>
      </c>
      <c r="AV4375" s="246" t="s">
        <v>635</v>
      </c>
      <c r="AW4375" s="227"/>
      <c r="AX4375" s="227"/>
      <c r="AY4375" s="227"/>
      <c r="AZ4375" s="227"/>
      <c r="BA4375" s="227"/>
      <c r="BB4375" s="227"/>
      <c r="BC4375" s="227"/>
      <c r="BD4375" s="227"/>
      <c r="BE4375" s="227"/>
      <c r="BF4375" s="227"/>
    </row>
    <row r="4376">
      <c r="A4376" s="235" t="s">
        <v>32515</v>
      </c>
      <c r="C4376" s="235" t="s">
        <v>32516</v>
      </c>
      <c r="D4376" s="235" t="s">
        <v>32517</v>
      </c>
      <c r="E4376" s="243">
        <v>6.49E13</v>
      </c>
      <c r="F4376" s="245"/>
      <c r="G4376" s="235" t="s">
        <v>32518</v>
      </c>
      <c r="H4376" s="235" t="s">
        <v>32519</v>
      </c>
      <c r="I4376" s="235" t="s">
        <v>32519</v>
      </c>
      <c r="J4376" s="235" t="s">
        <v>32520</v>
      </c>
      <c r="K4376" s="235" t="s">
        <v>32521</v>
      </c>
      <c r="N4376" s="235" t="s">
        <v>47</v>
      </c>
      <c r="O4376" s="235" t="s">
        <v>270</v>
      </c>
      <c r="P4376" s="238">
        <v>1.0</v>
      </c>
      <c r="Q4376" s="235" t="s">
        <v>627</v>
      </c>
      <c r="R4376" s="238">
        <v>236.2</v>
      </c>
      <c r="S4376" s="238">
        <v>11.8</v>
      </c>
      <c r="T4376" s="238">
        <v>38.1</v>
      </c>
      <c r="U4376" s="238">
        <v>1.9</v>
      </c>
      <c r="V4376" s="238">
        <v>0.0</v>
      </c>
      <c r="W4376" s="238">
        <v>0.0</v>
      </c>
      <c r="X4376" s="235" t="s">
        <v>628</v>
      </c>
      <c r="Z4376" s="245"/>
      <c r="AA4376" s="245"/>
      <c r="AB4376" s="245"/>
      <c r="AC4376" s="235" t="s">
        <v>32522</v>
      </c>
      <c r="AD4376" s="235" t="s">
        <v>666</v>
      </c>
      <c r="AE4376" s="238">
        <v>636455.0</v>
      </c>
      <c r="AF4376" s="235" t="s">
        <v>631</v>
      </c>
      <c r="AG4376" s="245"/>
      <c r="AH4376" s="245"/>
      <c r="AI4376" s="245"/>
      <c r="AJ4376" s="245"/>
      <c r="AK4376" s="245"/>
      <c r="AL4376" s="245"/>
      <c r="AM4376" s="245"/>
      <c r="AN4376" s="245"/>
      <c r="AO4376" s="238">
        <v>0.0</v>
      </c>
      <c r="AP4376" s="238">
        <v>-38.1</v>
      </c>
      <c r="AQ4376" s="235" t="s">
        <v>632</v>
      </c>
      <c r="AR4376" s="243">
        <v>3.71E11</v>
      </c>
      <c r="AS4376" s="235" t="s">
        <v>31232</v>
      </c>
      <c r="AT4376" s="235" t="s">
        <v>155</v>
      </c>
      <c r="AU4376" s="235" t="s">
        <v>634</v>
      </c>
      <c r="AV4376" s="246" t="s">
        <v>635</v>
      </c>
      <c r="AW4376" s="227"/>
      <c r="AX4376" s="227"/>
      <c r="AY4376" s="227"/>
      <c r="AZ4376" s="227"/>
      <c r="BA4376" s="227"/>
      <c r="BB4376" s="227"/>
      <c r="BC4376" s="227"/>
      <c r="BD4376" s="227"/>
      <c r="BE4376" s="227"/>
      <c r="BF4376" s="227"/>
    </row>
    <row r="4377">
      <c r="A4377" s="235" t="s">
        <v>32523</v>
      </c>
      <c r="C4377" s="235" t="s">
        <v>32524</v>
      </c>
      <c r="D4377" s="235" t="s">
        <v>32525</v>
      </c>
      <c r="E4377" s="243">
        <v>6.51E13</v>
      </c>
      <c r="F4377" s="245"/>
      <c r="G4377" s="235" t="s">
        <v>32526</v>
      </c>
      <c r="H4377" s="235" t="s">
        <v>32527</v>
      </c>
      <c r="I4377" s="235" t="s">
        <v>32527</v>
      </c>
      <c r="J4377" s="235" t="s">
        <v>32453</v>
      </c>
      <c r="K4377" s="235" t="s">
        <v>32528</v>
      </c>
      <c r="N4377" s="235" t="s">
        <v>127</v>
      </c>
      <c r="O4377" s="235" t="s">
        <v>794</v>
      </c>
      <c r="P4377" s="238">
        <v>1.0</v>
      </c>
      <c r="Q4377" s="235" t="s">
        <v>627</v>
      </c>
      <c r="R4377" s="238">
        <v>243.81</v>
      </c>
      <c r="S4377" s="238">
        <v>12.19</v>
      </c>
      <c r="T4377" s="238">
        <v>0.0</v>
      </c>
      <c r="U4377" s="238">
        <v>0.0</v>
      </c>
      <c r="V4377" s="238">
        <v>0.0</v>
      </c>
      <c r="W4377" s="238">
        <v>0.0</v>
      </c>
      <c r="X4377" s="235" t="s">
        <v>628</v>
      </c>
      <c r="Z4377" s="245"/>
      <c r="AA4377" s="245"/>
      <c r="AB4377" s="245"/>
      <c r="AC4377" s="235" t="s">
        <v>19680</v>
      </c>
      <c r="AD4377" s="235" t="s">
        <v>3113</v>
      </c>
      <c r="AE4377" s="238">
        <v>490025.0</v>
      </c>
      <c r="AF4377" s="235" t="s">
        <v>631</v>
      </c>
      <c r="AG4377" s="245"/>
      <c r="AH4377" s="245"/>
      <c r="AI4377" s="245"/>
      <c r="AJ4377" s="245"/>
      <c r="AK4377" s="245"/>
      <c r="AL4377" s="245"/>
      <c r="AM4377" s="245"/>
      <c r="AN4377" s="245"/>
      <c r="AO4377" s="238">
        <v>0.0</v>
      </c>
      <c r="AP4377" s="238">
        <v>0.0</v>
      </c>
      <c r="AQ4377" s="235" t="s">
        <v>632</v>
      </c>
      <c r="AR4377" s="243">
        <v>3.71E11</v>
      </c>
      <c r="AS4377" s="235" t="s">
        <v>28482</v>
      </c>
      <c r="AT4377" s="235" t="s">
        <v>9</v>
      </c>
      <c r="AU4377" s="235" t="s">
        <v>634</v>
      </c>
      <c r="AV4377" s="246" t="s">
        <v>635</v>
      </c>
      <c r="AW4377" s="227"/>
      <c r="AX4377" s="227"/>
      <c r="AY4377" s="227"/>
      <c r="AZ4377" s="227"/>
      <c r="BA4377" s="227"/>
      <c r="BB4377" s="227"/>
      <c r="BC4377" s="227"/>
      <c r="BD4377" s="227"/>
      <c r="BE4377" s="227"/>
      <c r="BF4377" s="227"/>
    </row>
    <row r="4378">
      <c r="A4378" s="235" t="s">
        <v>32529</v>
      </c>
      <c r="C4378" s="235" t="s">
        <v>32530</v>
      </c>
      <c r="D4378" s="235" t="s">
        <v>32531</v>
      </c>
      <c r="E4378" s="243">
        <v>6.51E13</v>
      </c>
      <c r="F4378" s="245"/>
      <c r="G4378" s="235" t="s">
        <v>32532</v>
      </c>
      <c r="H4378" s="235" t="s">
        <v>32533</v>
      </c>
      <c r="I4378" s="235" t="s">
        <v>32534</v>
      </c>
      <c r="J4378" s="235" t="s">
        <v>32535</v>
      </c>
      <c r="K4378" s="235" t="s">
        <v>32536</v>
      </c>
      <c r="N4378" s="235" t="s">
        <v>82</v>
      </c>
      <c r="O4378" s="235" t="s">
        <v>889</v>
      </c>
      <c r="P4378" s="238">
        <v>1.0</v>
      </c>
      <c r="Q4378" s="235" t="s">
        <v>627</v>
      </c>
      <c r="R4378" s="238">
        <v>243.81</v>
      </c>
      <c r="S4378" s="238">
        <v>11.95</v>
      </c>
      <c r="T4378" s="238">
        <v>0.0</v>
      </c>
      <c r="U4378" s="238">
        <v>0.0</v>
      </c>
      <c r="V4378" s="238">
        <v>0.0</v>
      </c>
      <c r="W4378" s="238">
        <v>0.0</v>
      </c>
      <c r="X4378" s="235" t="s">
        <v>628</v>
      </c>
      <c r="Z4378" s="245"/>
      <c r="AA4378" s="245"/>
      <c r="AB4378" s="245"/>
      <c r="AC4378" s="235" t="s">
        <v>1287</v>
      </c>
      <c r="AD4378" s="235" t="s">
        <v>630</v>
      </c>
      <c r="AE4378" s="238">
        <v>201014.0</v>
      </c>
      <c r="AF4378" s="235" t="s">
        <v>631</v>
      </c>
      <c r="AG4378" s="245"/>
      <c r="AH4378" s="245"/>
      <c r="AI4378" s="245"/>
      <c r="AJ4378" s="245"/>
      <c r="AK4378" s="245"/>
      <c r="AL4378" s="245"/>
      <c r="AM4378" s="245"/>
      <c r="AN4378" s="245"/>
      <c r="AO4378" s="238">
        <v>-4.88</v>
      </c>
      <c r="AP4378" s="238">
        <v>0.0</v>
      </c>
      <c r="AQ4378" s="235" t="s">
        <v>632</v>
      </c>
      <c r="AR4378" s="243">
        <v>1.68E11</v>
      </c>
      <c r="AS4378" s="235" t="s">
        <v>32455</v>
      </c>
      <c r="AT4378" s="235" t="s">
        <v>14</v>
      </c>
      <c r="AU4378" s="235" t="s">
        <v>634</v>
      </c>
      <c r="AV4378" s="246" t="s">
        <v>635</v>
      </c>
      <c r="AW4378" s="227"/>
      <c r="AX4378" s="227"/>
      <c r="AY4378" s="227"/>
      <c r="AZ4378" s="227"/>
      <c r="BA4378" s="227"/>
      <c r="BB4378" s="227"/>
      <c r="BC4378" s="227"/>
      <c r="BD4378" s="227"/>
      <c r="BE4378" s="227"/>
      <c r="BF4378" s="227"/>
    </row>
    <row r="4379">
      <c r="A4379" s="235" t="s">
        <v>32537</v>
      </c>
      <c r="C4379" s="235" t="s">
        <v>32538</v>
      </c>
      <c r="D4379" s="235" t="s">
        <v>32539</v>
      </c>
      <c r="E4379" s="243">
        <v>6.51E13</v>
      </c>
      <c r="F4379" s="245"/>
      <c r="G4379" s="235" t="s">
        <v>32540</v>
      </c>
      <c r="H4379" s="235" t="s">
        <v>32541</v>
      </c>
      <c r="I4379" s="235" t="s">
        <v>32541</v>
      </c>
      <c r="J4379" s="235" t="s">
        <v>32542</v>
      </c>
      <c r="K4379" s="235" t="s">
        <v>32543</v>
      </c>
      <c r="N4379" s="235" t="s">
        <v>726</v>
      </c>
      <c r="O4379" s="235" t="s">
        <v>727</v>
      </c>
      <c r="P4379" s="238">
        <v>1.0</v>
      </c>
      <c r="Q4379" s="235" t="s">
        <v>627</v>
      </c>
      <c r="R4379" s="238">
        <v>244.76</v>
      </c>
      <c r="S4379" s="238">
        <v>12.0</v>
      </c>
      <c r="T4379" s="238">
        <v>0.0</v>
      </c>
      <c r="U4379" s="238">
        <v>0.0</v>
      </c>
      <c r="V4379" s="238">
        <v>0.0</v>
      </c>
      <c r="W4379" s="238">
        <v>0.0</v>
      </c>
      <c r="X4379" s="235" t="s">
        <v>628</v>
      </c>
      <c r="Z4379" s="245"/>
      <c r="AA4379" s="245"/>
      <c r="AB4379" s="245"/>
      <c r="AC4379" s="235" t="s">
        <v>1514</v>
      </c>
      <c r="AD4379" s="235" t="s">
        <v>1077</v>
      </c>
      <c r="AE4379" s="238">
        <v>380013.0</v>
      </c>
      <c r="AF4379" s="235" t="s">
        <v>631</v>
      </c>
      <c r="AG4379" s="245"/>
      <c r="AH4379" s="245"/>
      <c r="AI4379" s="245"/>
      <c r="AJ4379" s="245"/>
      <c r="AK4379" s="245"/>
      <c r="AL4379" s="245"/>
      <c r="AM4379" s="245"/>
      <c r="AN4379" s="245"/>
      <c r="AO4379" s="238">
        <v>-4.9</v>
      </c>
      <c r="AP4379" s="238">
        <v>0.0</v>
      </c>
      <c r="AQ4379" s="235" t="s">
        <v>632</v>
      </c>
      <c r="AR4379" s="243">
        <v>2.02E11</v>
      </c>
      <c r="AS4379" s="235" t="s">
        <v>31232</v>
      </c>
      <c r="AT4379" s="235" t="s">
        <v>16</v>
      </c>
      <c r="AU4379" s="235" t="s">
        <v>634</v>
      </c>
      <c r="AV4379" s="246" t="s">
        <v>635</v>
      </c>
      <c r="AW4379" s="227"/>
      <c r="AX4379" s="227"/>
      <c r="AY4379" s="227"/>
      <c r="AZ4379" s="227"/>
      <c r="BA4379" s="227"/>
      <c r="BB4379" s="227"/>
      <c r="BC4379" s="227"/>
      <c r="BD4379" s="227"/>
      <c r="BE4379" s="227"/>
      <c r="BF4379" s="227"/>
    </row>
    <row r="4380">
      <c r="A4380" s="235" t="s">
        <v>32544</v>
      </c>
      <c r="C4380" s="235" t="s">
        <v>32545</v>
      </c>
      <c r="D4380" s="235" t="s">
        <v>32546</v>
      </c>
      <c r="E4380" s="243">
        <v>6.51E13</v>
      </c>
      <c r="F4380" s="245"/>
      <c r="G4380" s="235" t="s">
        <v>32547</v>
      </c>
      <c r="H4380" s="235" t="s">
        <v>32548</v>
      </c>
      <c r="I4380" s="235" t="s">
        <v>32549</v>
      </c>
      <c r="J4380" s="235" t="s">
        <v>32550</v>
      </c>
      <c r="K4380" s="235" t="s">
        <v>32551</v>
      </c>
      <c r="N4380" s="235" t="s">
        <v>78</v>
      </c>
      <c r="O4380" s="235" t="s">
        <v>360</v>
      </c>
      <c r="P4380" s="238">
        <v>1.0</v>
      </c>
      <c r="Q4380" s="235" t="s">
        <v>627</v>
      </c>
      <c r="R4380" s="238">
        <v>360.95</v>
      </c>
      <c r="S4380" s="238">
        <v>17.69</v>
      </c>
      <c r="T4380" s="238">
        <v>0.0</v>
      </c>
      <c r="U4380" s="238">
        <v>0.0</v>
      </c>
      <c r="V4380" s="238">
        <v>0.0</v>
      </c>
      <c r="W4380" s="238">
        <v>0.0</v>
      </c>
      <c r="X4380" s="235" t="s">
        <v>628</v>
      </c>
      <c r="Z4380" s="245"/>
      <c r="AA4380" s="245"/>
      <c r="AB4380" s="245"/>
      <c r="AC4380" s="235" t="s">
        <v>697</v>
      </c>
      <c r="AD4380" s="235" t="s">
        <v>698</v>
      </c>
      <c r="AE4380" s="238">
        <v>500028.0</v>
      </c>
      <c r="AF4380" s="235" t="s">
        <v>631</v>
      </c>
      <c r="AG4380" s="245"/>
      <c r="AH4380" s="245"/>
      <c r="AI4380" s="245"/>
      <c r="AJ4380" s="245"/>
      <c r="AK4380" s="245"/>
      <c r="AL4380" s="245"/>
      <c r="AM4380" s="245"/>
      <c r="AN4380" s="245"/>
      <c r="AO4380" s="238">
        <v>-7.22</v>
      </c>
      <c r="AP4380" s="238">
        <v>0.0</v>
      </c>
      <c r="AQ4380" s="235" t="s">
        <v>632</v>
      </c>
      <c r="AR4380" s="243">
        <v>1.68E11</v>
      </c>
      <c r="AS4380" s="235" t="s">
        <v>31232</v>
      </c>
      <c r="AT4380" s="235" t="s">
        <v>9</v>
      </c>
      <c r="AU4380" s="235" t="s">
        <v>634</v>
      </c>
      <c r="AV4380" s="246" t="s">
        <v>635</v>
      </c>
      <c r="AW4380" s="227"/>
      <c r="AX4380" s="227"/>
      <c r="AY4380" s="227"/>
      <c r="AZ4380" s="227"/>
      <c r="BA4380" s="227"/>
      <c r="BB4380" s="227"/>
      <c r="BC4380" s="227"/>
      <c r="BD4380" s="227"/>
      <c r="BE4380" s="227"/>
      <c r="BF4380" s="227"/>
    </row>
    <row r="4381">
      <c r="A4381" s="235" t="s">
        <v>32552</v>
      </c>
      <c r="C4381" s="235" t="s">
        <v>32553</v>
      </c>
      <c r="D4381" s="235" t="s">
        <v>32554</v>
      </c>
      <c r="E4381" s="243">
        <v>6.51E13</v>
      </c>
      <c r="F4381" s="245"/>
      <c r="G4381" s="235" t="s">
        <v>32555</v>
      </c>
      <c r="H4381" s="235" t="s">
        <v>32556</v>
      </c>
      <c r="I4381" s="235" t="s">
        <v>32556</v>
      </c>
      <c r="J4381" s="235" t="s">
        <v>32557</v>
      </c>
      <c r="K4381" s="235" t="s">
        <v>32558</v>
      </c>
      <c r="N4381" s="235" t="s">
        <v>1346</v>
      </c>
      <c r="O4381" s="235" t="s">
        <v>1347</v>
      </c>
      <c r="P4381" s="238">
        <v>1.0</v>
      </c>
      <c r="Q4381" s="235" t="s">
        <v>627</v>
      </c>
      <c r="R4381" s="238">
        <v>256.19</v>
      </c>
      <c r="S4381" s="238">
        <v>12.55</v>
      </c>
      <c r="T4381" s="238">
        <v>0.0</v>
      </c>
      <c r="U4381" s="238">
        <v>0.0</v>
      </c>
      <c r="V4381" s="238">
        <v>0.0</v>
      </c>
      <c r="W4381" s="238">
        <v>0.0</v>
      </c>
      <c r="X4381" s="235" t="s">
        <v>628</v>
      </c>
      <c r="Z4381" s="245"/>
      <c r="AA4381" s="245"/>
      <c r="AB4381" s="245"/>
      <c r="AC4381" s="235" t="s">
        <v>697</v>
      </c>
      <c r="AD4381" s="235" t="s">
        <v>698</v>
      </c>
      <c r="AE4381" s="238">
        <v>500032.0</v>
      </c>
      <c r="AF4381" s="235" t="s">
        <v>631</v>
      </c>
      <c r="AG4381" s="245"/>
      <c r="AH4381" s="245"/>
      <c r="AI4381" s="245"/>
      <c r="AJ4381" s="245"/>
      <c r="AK4381" s="245"/>
      <c r="AL4381" s="245"/>
      <c r="AM4381" s="245"/>
      <c r="AN4381" s="245"/>
      <c r="AO4381" s="238">
        <v>-5.12</v>
      </c>
      <c r="AP4381" s="238">
        <v>0.0</v>
      </c>
      <c r="AQ4381" s="235" t="s">
        <v>632</v>
      </c>
      <c r="AR4381" s="243">
        <v>1.68E11</v>
      </c>
      <c r="AS4381" s="235" t="s">
        <v>31232</v>
      </c>
      <c r="AT4381" s="235" t="s">
        <v>156</v>
      </c>
      <c r="AU4381" s="235" t="s">
        <v>634</v>
      </c>
      <c r="AV4381" s="246" t="s">
        <v>635</v>
      </c>
      <c r="AW4381" s="227"/>
      <c r="AX4381" s="227"/>
      <c r="AY4381" s="227"/>
      <c r="AZ4381" s="227"/>
      <c r="BA4381" s="227"/>
      <c r="BB4381" s="227"/>
      <c r="BC4381" s="227"/>
      <c r="BD4381" s="227"/>
      <c r="BE4381" s="227"/>
      <c r="BF4381" s="227"/>
    </row>
    <row r="4382">
      <c r="A4382" s="235" t="s">
        <v>32559</v>
      </c>
      <c r="C4382" s="235" t="s">
        <v>32560</v>
      </c>
      <c r="D4382" s="235" t="s">
        <v>32561</v>
      </c>
      <c r="E4382" s="243">
        <v>6.51E13</v>
      </c>
      <c r="F4382" s="245"/>
      <c r="G4382" s="235" t="s">
        <v>32562</v>
      </c>
      <c r="H4382" s="235" t="s">
        <v>32563</v>
      </c>
      <c r="I4382" s="235" t="s">
        <v>32563</v>
      </c>
      <c r="J4382" s="235" t="s">
        <v>32564</v>
      </c>
      <c r="K4382" s="235" t="s">
        <v>32565</v>
      </c>
      <c r="N4382" s="235" t="s">
        <v>127</v>
      </c>
      <c r="O4382" s="235" t="s">
        <v>794</v>
      </c>
      <c r="P4382" s="238">
        <v>1.0</v>
      </c>
      <c r="Q4382" s="235" t="s">
        <v>627</v>
      </c>
      <c r="R4382" s="238">
        <v>243.8</v>
      </c>
      <c r="S4382" s="238">
        <v>12.2</v>
      </c>
      <c r="T4382" s="238">
        <v>38.1</v>
      </c>
      <c r="U4382" s="238">
        <v>1.9</v>
      </c>
      <c r="V4382" s="238">
        <v>0.0</v>
      </c>
      <c r="W4382" s="238">
        <v>0.0</v>
      </c>
      <c r="X4382" s="235" t="s">
        <v>628</v>
      </c>
      <c r="Z4382" s="245"/>
      <c r="AA4382" s="245"/>
      <c r="AB4382" s="245"/>
      <c r="AC4382" s="235" t="s">
        <v>9521</v>
      </c>
      <c r="AD4382" s="235" t="s">
        <v>1077</v>
      </c>
      <c r="AE4382" s="238">
        <v>395003.0</v>
      </c>
      <c r="AF4382" s="235" t="s">
        <v>631</v>
      </c>
      <c r="AG4382" s="245"/>
      <c r="AH4382" s="245"/>
      <c r="AI4382" s="245"/>
      <c r="AJ4382" s="245"/>
      <c r="AK4382" s="245"/>
      <c r="AL4382" s="245"/>
      <c r="AM4382" s="245"/>
      <c r="AN4382" s="245"/>
      <c r="AO4382" s="238">
        <v>0.0</v>
      </c>
      <c r="AP4382" s="238">
        <v>-38.1</v>
      </c>
      <c r="AQ4382" s="235" t="s">
        <v>632</v>
      </c>
      <c r="AR4382" s="243">
        <v>3.71E11</v>
      </c>
      <c r="AS4382" s="235" t="s">
        <v>29883</v>
      </c>
      <c r="AT4382" s="235" t="s">
        <v>5</v>
      </c>
      <c r="AU4382" s="235" t="s">
        <v>634</v>
      </c>
      <c r="AV4382" s="246" t="s">
        <v>635</v>
      </c>
      <c r="AW4382" s="227"/>
      <c r="AX4382" s="227"/>
      <c r="AY4382" s="227"/>
      <c r="AZ4382" s="227"/>
      <c r="BA4382" s="227"/>
      <c r="BB4382" s="227"/>
      <c r="BC4382" s="227"/>
      <c r="BD4382" s="227"/>
      <c r="BE4382" s="227"/>
      <c r="BF4382" s="227"/>
    </row>
    <row r="4383">
      <c r="A4383" s="235" t="s">
        <v>32566</v>
      </c>
      <c r="C4383" s="235" t="s">
        <v>32567</v>
      </c>
      <c r="D4383" s="235" t="s">
        <v>32568</v>
      </c>
      <c r="E4383" s="243">
        <v>6.51E13</v>
      </c>
      <c r="F4383" s="245"/>
      <c r="G4383" s="235" t="s">
        <v>32569</v>
      </c>
      <c r="H4383" s="235" t="s">
        <v>32570</v>
      </c>
      <c r="I4383" s="235" t="s">
        <v>32571</v>
      </c>
      <c r="J4383" s="235" t="s">
        <v>32572</v>
      </c>
      <c r="K4383" s="235" t="s">
        <v>32573</v>
      </c>
      <c r="N4383" s="235" t="s">
        <v>117</v>
      </c>
      <c r="O4383" s="235" t="s">
        <v>334</v>
      </c>
      <c r="P4383" s="238">
        <v>1.0</v>
      </c>
      <c r="Q4383" s="235" t="s">
        <v>627</v>
      </c>
      <c r="R4383" s="238">
        <v>237.14</v>
      </c>
      <c r="S4383" s="238">
        <v>11.62</v>
      </c>
      <c r="T4383" s="238">
        <v>0.0</v>
      </c>
      <c r="U4383" s="238">
        <v>0.0</v>
      </c>
      <c r="V4383" s="238">
        <v>0.0</v>
      </c>
      <c r="W4383" s="238">
        <v>0.0</v>
      </c>
      <c r="X4383" s="235" t="s">
        <v>628</v>
      </c>
      <c r="Z4383" s="245"/>
      <c r="AA4383" s="245"/>
      <c r="AB4383" s="245"/>
      <c r="AC4383" s="235" t="s">
        <v>1514</v>
      </c>
      <c r="AD4383" s="235" t="s">
        <v>1077</v>
      </c>
      <c r="AE4383" s="238">
        <v>380005.0</v>
      </c>
      <c r="AF4383" s="235" t="s">
        <v>631</v>
      </c>
      <c r="AG4383" s="245"/>
      <c r="AH4383" s="245"/>
      <c r="AI4383" s="245"/>
      <c r="AJ4383" s="245"/>
      <c r="AK4383" s="245"/>
      <c r="AL4383" s="245"/>
      <c r="AM4383" s="245"/>
      <c r="AN4383" s="245"/>
      <c r="AO4383" s="238">
        <v>-4.74</v>
      </c>
      <c r="AP4383" s="238">
        <v>0.0</v>
      </c>
      <c r="AQ4383" s="235" t="s">
        <v>632</v>
      </c>
      <c r="AR4383" s="243">
        <v>2.02E11</v>
      </c>
      <c r="AS4383" s="235" t="s">
        <v>31232</v>
      </c>
      <c r="AT4383" s="235" t="s">
        <v>16</v>
      </c>
      <c r="AU4383" s="235" t="s">
        <v>634</v>
      </c>
      <c r="AV4383" s="246" t="s">
        <v>635</v>
      </c>
      <c r="AW4383" s="227"/>
      <c r="AX4383" s="227"/>
      <c r="AY4383" s="227"/>
      <c r="AZ4383" s="227"/>
      <c r="BA4383" s="227"/>
      <c r="BB4383" s="227"/>
      <c r="BC4383" s="227"/>
      <c r="BD4383" s="227"/>
      <c r="BE4383" s="227"/>
      <c r="BF4383" s="227"/>
    </row>
    <row r="4384">
      <c r="A4384" s="235" t="s">
        <v>32574</v>
      </c>
      <c r="C4384" s="235" t="s">
        <v>32575</v>
      </c>
      <c r="D4384" s="235" t="s">
        <v>32576</v>
      </c>
      <c r="E4384" s="243">
        <v>6.51E13</v>
      </c>
      <c r="F4384" s="245"/>
      <c r="G4384" s="235" t="s">
        <v>32577</v>
      </c>
      <c r="H4384" s="235" t="s">
        <v>32578</v>
      </c>
      <c r="I4384" s="235" t="s">
        <v>32579</v>
      </c>
      <c r="J4384" s="235" t="s">
        <v>32580</v>
      </c>
      <c r="K4384" s="235" t="s">
        <v>32581</v>
      </c>
      <c r="N4384" s="235" t="s">
        <v>85</v>
      </c>
      <c r="O4384" s="235" t="s">
        <v>872</v>
      </c>
      <c r="P4384" s="238">
        <v>1.0</v>
      </c>
      <c r="Q4384" s="235" t="s">
        <v>627</v>
      </c>
      <c r="R4384" s="238">
        <v>243.81</v>
      </c>
      <c r="S4384" s="238">
        <v>12.19</v>
      </c>
      <c r="T4384" s="238">
        <v>0.0</v>
      </c>
      <c r="U4384" s="238">
        <v>0.0</v>
      </c>
      <c r="V4384" s="238">
        <v>0.0</v>
      </c>
      <c r="W4384" s="238">
        <v>0.0</v>
      </c>
      <c r="X4384" s="235" t="s">
        <v>628</v>
      </c>
      <c r="Z4384" s="245"/>
      <c r="AA4384" s="245"/>
      <c r="AB4384" s="245"/>
      <c r="AC4384" s="235" t="s">
        <v>32582</v>
      </c>
      <c r="AD4384" s="235" t="s">
        <v>645</v>
      </c>
      <c r="AE4384" s="238">
        <v>695102.0</v>
      </c>
      <c r="AF4384" s="235" t="s">
        <v>631</v>
      </c>
      <c r="AG4384" s="245"/>
      <c r="AH4384" s="245"/>
      <c r="AI4384" s="245"/>
      <c r="AJ4384" s="245"/>
      <c r="AK4384" s="245"/>
      <c r="AL4384" s="245"/>
      <c r="AM4384" s="245"/>
      <c r="AN4384" s="245"/>
      <c r="AO4384" s="238">
        <v>0.0</v>
      </c>
      <c r="AP4384" s="238">
        <v>0.0</v>
      </c>
      <c r="AQ4384" s="235" t="s">
        <v>632</v>
      </c>
      <c r="AR4384" s="243">
        <v>3.71E11</v>
      </c>
      <c r="AS4384" s="235" t="s">
        <v>29883</v>
      </c>
      <c r="AT4384" s="235" t="s">
        <v>155</v>
      </c>
      <c r="AU4384" s="235" t="s">
        <v>634</v>
      </c>
      <c r="AV4384" s="246" t="s">
        <v>635</v>
      </c>
      <c r="AW4384" s="227"/>
      <c r="AX4384" s="227"/>
      <c r="AY4384" s="227"/>
      <c r="AZ4384" s="227"/>
      <c r="BA4384" s="227"/>
      <c r="BB4384" s="227"/>
      <c r="BC4384" s="227"/>
      <c r="BD4384" s="227"/>
      <c r="BE4384" s="227"/>
      <c r="BF4384" s="227"/>
    </row>
    <row r="4385">
      <c r="A4385" s="235" t="s">
        <v>32583</v>
      </c>
      <c r="C4385" s="235" t="s">
        <v>32584</v>
      </c>
      <c r="D4385" s="235" t="s">
        <v>32585</v>
      </c>
      <c r="E4385" s="243">
        <v>6.51E13</v>
      </c>
      <c r="F4385" s="245"/>
      <c r="G4385" s="235" t="s">
        <v>32586</v>
      </c>
      <c r="H4385" s="235" t="s">
        <v>32587</v>
      </c>
      <c r="I4385" s="235" t="s">
        <v>32587</v>
      </c>
      <c r="J4385" s="235" t="s">
        <v>32588</v>
      </c>
      <c r="K4385" s="235" t="s">
        <v>32589</v>
      </c>
      <c r="N4385" s="235" t="s">
        <v>47</v>
      </c>
      <c r="O4385" s="235" t="s">
        <v>270</v>
      </c>
      <c r="P4385" s="238">
        <v>1.0</v>
      </c>
      <c r="Q4385" s="235" t="s">
        <v>627</v>
      </c>
      <c r="R4385" s="238">
        <v>236.2</v>
      </c>
      <c r="S4385" s="238">
        <v>11.8</v>
      </c>
      <c r="T4385" s="238">
        <v>0.0</v>
      </c>
      <c r="U4385" s="238">
        <v>0.0</v>
      </c>
      <c r="V4385" s="238">
        <v>0.0</v>
      </c>
      <c r="W4385" s="238">
        <v>0.0</v>
      </c>
      <c r="X4385" s="235" t="s">
        <v>628</v>
      </c>
      <c r="Z4385" s="245"/>
      <c r="AA4385" s="245"/>
      <c r="AB4385" s="245"/>
      <c r="AC4385" s="235" t="s">
        <v>678</v>
      </c>
      <c r="AD4385" s="235" t="s">
        <v>679</v>
      </c>
      <c r="AE4385" s="238">
        <v>560024.0</v>
      </c>
      <c r="AF4385" s="235" t="s">
        <v>631</v>
      </c>
      <c r="AG4385" s="245"/>
      <c r="AH4385" s="245"/>
      <c r="AI4385" s="245"/>
      <c r="AJ4385" s="245"/>
      <c r="AK4385" s="245"/>
      <c r="AL4385" s="245"/>
      <c r="AM4385" s="245"/>
      <c r="AN4385" s="245"/>
      <c r="AO4385" s="238">
        <v>0.0</v>
      </c>
      <c r="AP4385" s="238">
        <v>0.0</v>
      </c>
      <c r="AQ4385" s="235" t="s">
        <v>632</v>
      </c>
      <c r="AR4385" s="243">
        <v>1.68E11</v>
      </c>
      <c r="AS4385" s="235" t="s">
        <v>32455</v>
      </c>
      <c r="AT4385" s="235" t="s">
        <v>9</v>
      </c>
      <c r="AU4385" s="235" t="s">
        <v>634</v>
      </c>
      <c r="AV4385" s="246" t="s">
        <v>635</v>
      </c>
      <c r="AW4385" s="227"/>
      <c r="AX4385" s="227"/>
      <c r="AY4385" s="227"/>
      <c r="AZ4385" s="227"/>
      <c r="BA4385" s="227"/>
      <c r="BB4385" s="227"/>
      <c r="BC4385" s="227"/>
      <c r="BD4385" s="227"/>
      <c r="BE4385" s="227"/>
      <c r="BF4385" s="227"/>
    </row>
    <row r="4386">
      <c r="A4386" s="235" t="s">
        <v>32590</v>
      </c>
      <c r="C4386" s="235" t="s">
        <v>32591</v>
      </c>
      <c r="D4386" s="235" t="s">
        <v>32592</v>
      </c>
      <c r="E4386" s="243">
        <v>6.51E13</v>
      </c>
      <c r="F4386" s="245"/>
      <c r="G4386" s="235" t="s">
        <v>32593</v>
      </c>
      <c r="H4386" s="235" t="s">
        <v>32594</v>
      </c>
      <c r="I4386" s="235" t="s">
        <v>32594</v>
      </c>
      <c r="J4386" s="235" t="s">
        <v>32595</v>
      </c>
      <c r="K4386" s="235" t="s">
        <v>32596</v>
      </c>
      <c r="N4386" s="235" t="s">
        <v>92</v>
      </c>
      <c r="O4386" s="235" t="s">
        <v>248</v>
      </c>
      <c r="P4386" s="238">
        <v>1.0</v>
      </c>
      <c r="Q4386" s="235" t="s">
        <v>627</v>
      </c>
      <c r="R4386" s="238">
        <v>244.76</v>
      </c>
      <c r="S4386" s="238">
        <v>12.0</v>
      </c>
      <c r="T4386" s="238">
        <v>38.1</v>
      </c>
      <c r="U4386" s="238">
        <v>1.9</v>
      </c>
      <c r="V4386" s="238">
        <v>0.0</v>
      </c>
      <c r="W4386" s="238">
        <v>0.0</v>
      </c>
      <c r="X4386" s="235" t="s">
        <v>628</v>
      </c>
      <c r="Z4386" s="245"/>
      <c r="AA4386" s="245"/>
      <c r="AB4386" s="245"/>
      <c r="AC4386" s="235" t="s">
        <v>1671</v>
      </c>
      <c r="AD4386" s="235" t="s">
        <v>666</v>
      </c>
      <c r="AE4386" s="238">
        <v>641046.0</v>
      </c>
      <c r="AF4386" s="235" t="s">
        <v>631</v>
      </c>
      <c r="AG4386" s="245"/>
      <c r="AH4386" s="245"/>
      <c r="AI4386" s="245"/>
      <c r="AJ4386" s="245"/>
      <c r="AK4386" s="245"/>
      <c r="AL4386" s="245"/>
      <c r="AM4386" s="245"/>
      <c r="AN4386" s="245"/>
      <c r="AO4386" s="238">
        <v>-4.9</v>
      </c>
      <c r="AP4386" s="238">
        <v>-38.1</v>
      </c>
      <c r="AQ4386" s="235" t="s">
        <v>632</v>
      </c>
      <c r="AR4386" s="243">
        <v>1.68E11</v>
      </c>
      <c r="AS4386" s="235" t="s">
        <v>31232</v>
      </c>
      <c r="AT4386" s="235" t="s">
        <v>9</v>
      </c>
      <c r="AU4386" s="235" t="s">
        <v>634</v>
      </c>
      <c r="AV4386" s="246" t="s">
        <v>635</v>
      </c>
      <c r="AW4386" s="227"/>
      <c r="AX4386" s="227"/>
      <c r="AY4386" s="227"/>
      <c r="AZ4386" s="227"/>
      <c r="BA4386" s="227"/>
      <c r="BB4386" s="227"/>
      <c r="BC4386" s="227"/>
      <c r="BD4386" s="227"/>
      <c r="BE4386" s="227"/>
      <c r="BF4386" s="227"/>
    </row>
    <row r="4387">
      <c r="A4387" s="235" t="s">
        <v>32597</v>
      </c>
      <c r="C4387" s="235" t="s">
        <v>32598</v>
      </c>
      <c r="D4387" s="235" t="s">
        <v>32599</v>
      </c>
      <c r="E4387" s="243">
        <v>6.51E13</v>
      </c>
      <c r="F4387" s="245"/>
      <c r="G4387" s="235" t="s">
        <v>32600</v>
      </c>
      <c r="H4387" s="235" t="s">
        <v>32601</v>
      </c>
      <c r="I4387" s="235" t="s">
        <v>32601</v>
      </c>
      <c r="J4387" s="235" t="s">
        <v>32602</v>
      </c>
      <c r="K4387" s="235" t="s">
        <v>32603</v>
      </c>
      <c r="N4387" s="235" t="s">
        <v>154</v>
      </c>
      <c r="O4387" s="235" t="s">
        <v>766</v>
      </c>
      <c r="P4387" s="238">
        <v>1.0</v>
      </c>
      <c r="Q4387" s="235" t="s">
        <v>627</v>
      </c>
      <c r="R4387" s="238">
        <v>465.72</v>
      </c>
      <c r="S4387" s="238">
        <v>22.82</v>
      </c>
      <c r="T4387" s="238">
        <v>0.0</v>
      </c>
      <c r="U4387" s="238">
        <v>0.0</v>
      </c>
      <c r="V4387" s="238">
        <v>0.0</v>
      </c>
      <c r="W4387" s="238">
        <v>0.0</v>
      </c>
      <c r="X4387" s="235" t="s">
        <v>628</v>
      </c>
      <c r="Z4387" s="245"/>
      <c r="AA4387" s="245"/>
      <c r="AB4387" s="245"/>
      <c r="AC4387" s="235" t="s">
        <v>1910</v>
      </c>
      <c r="AD4387" s="235" t="s">
        <v>928</v>
      </c>
      <c r="AE4387" s="238">
        <v>122011.0</v>
      </c>
      <c r="AF4387" s="235" t="s">
        <v>631</v>
      </c>
      <c r="AG4387" s="245"/>
      <c r="AH4387" s="245"/>
      <c r="AI4387" s="245"/>
      <c r="AJ4387" s="245"/>
      <c r="AK4387" s="245"/>
      <c r="AL4387" s="245"/>
      <c r="AM4387" s="245"/>
      <c r="AN4387" s="245"/>
      <c r="AO4387" s="238">
        <v>-9.32</v>
      </c>
      <c r="AP4387" s="238">
        <v>0.0</v>
      </c>
      <c r="AQ4387" s="235" t="s">
        <v>632</v>
      </c>
      <c r="AR4387" s="243">
        <v>1.68E11</v>
      </c>
      <c r="AS4387" s="235" t="s">
        <v>32455</v>
      </c>
      <c r="AT4387" s="235" t="s">
        <v>13</v>
      </c>
      <c r="AU4387" s="235" t="s">
        <v>634</v>
      </c>
      <c r="AV4387" s="246" t="s">
        <v>635</v>
      </c>
      <c r="AW4387" s="227"/>
      <c r="AX4387" s="227"/>
      <c r="AY4387" s="227"/>
      <c r="AZ4387" s="227"/>
      <c r="BA4387" s="227"/>
      <c r="BB4387" s="227"/>
      <c r="BC4387" s="227"/>
      <c r="BD4387" s="227"/>
      <c r="BE4387" s="227"/>
      <c r="BF4387" s="227"/>
    </row>
    <row r="4388">
      <c r="A4388" s="235" t="s">
        <v>32604</v>
      </c>
      <c r="C4388" s="235" t="s">
        <v>32605</v>
      </c>
      <c r="D4388" s="235" t="s">
        <v>32606</v>
      </c>
      <c r="E4388" s="243">
        <v>6.51E13</v>
      </c>
      <c r="F4388" s="245"/>
      <c r="G4388" s="235" t="s">
        <v>32607</v>
      </c>
      <c r="H4388" s="235" t="s">
        <v>32608</v>
      </c>
      <c r="I4388" s="235" t="s">
        <v>32608</v>
      </c>
      <c r="J4388" s="235" t="s">
        <v>32609</v>
      </c>
      <c r="K4388" s="235" t="s">
        <v>32610</v>
      </c>
      <c r="N4388" s="235" t="s">
        <v>130</v>
      </c>
      <c r="O4388" s="235" t="s">
        <v>707</v>
      </c>
      <c r="P4388" s="238">
        <v>1.0</v>
      </c>
      <c r="Q4388" s="235" t="s">
        <v>627</v>
      </c>
      <c r="R4388" s="238">
        <v>243.8</v>
      </c>
      <c r="S4388" s="238">
        <v>12.2</v>
      </c>
      <c r="T4388" s="238">
        <v>38.1</v>
      </c>
      <c r="U4388" s="238">
        <v>1.9</v>
      </c>
      <c r="V4388" s="238">
        <v>0.0</v>
      </c>
      <c r="W4388" s="238">
        <v>0.0</v>
      </c>
      <c r="X4388" s="235" t="s">
        <v>628</v>
      </c>
      <c r="Z4388" s="245"/>
      <c r="AA4388" s="245"/>
      <c r="AB4388" s="245"/>
      <c r="AC4388" s="235" t="s">
        <v>1998</v>
      </c>
      <c r="AD4388" s="235" t="s">
        <v>928</v>
      </c>
      <c r="AE4388" s="238">
        <v>121004.0</v>
      </c>
      <c r="AF4388" s="235" t="s">
        <v>631</v>
      </c>
      <c r="AG4388" s="245"/>
      <c r="AH4388" s="245"/>
      <c r="AI4388" s="245"/>
      <c r="AJ4388" s="245"/>
      <c r="AK4388" s="245"/>
      <c r="AL4388" s="245"/>
      <c r="AM4388" s="245"/>
      <c r="AN4388" s="245"/>
      <c r="AO4388" s="238">
        <v>0.0</v>
      </c>
      <c r="AP4388" s="238">
        <v>-38.1</v>
      </c>
      <c r="AQ4388" s="235" t="s">
        <v>632</v>
      </c>
      <c r="AR4388" s="243">
        <v>3.71E11</v>
      </c>
      <c r="AS4388" s="235" t="s">
        <v>31232</v>
      </c>
      <c r="AT4388" s="235" t="s">
        <v>14</v>
      </c>
      <c r="AU4388" s="235" t="s">
        <v>634</v>
      </c>
      <c r="AV4388" s="246" t="s">
        <v>635</v>
      </c>
      <c r="AW4388" s="227"/>
      <c r="AX4388" s="227"/>
      <c r="AY4388" s="227"/>
      <c r="AZ4388" s="227"/>
      <c r="BA4388" s="227"/>
      <c r="BB4388" s="227"/>
      <c r="BC4388" s="227"/>
      <c r="BD4388" s="227"/>
      <c r="BE4388" s="227"/>
      <c r="BF4388" s="227"/>
    </row>
    <row r="4389">
      <c r="A4389" s="235" t="s">
        <v>32611</v>
      </c>
      <c r="C4389" s="235" t="s">
        <v>32612</v>
      </c>
      <c r="D4389" s="235" t="s">
        <v>32613</v>
      </c>
      <c r="E4389" s="243">
        <v>6.51E13</v>
      </c>
      <c r="F4389" s="245"/>
      <c r="G4389" s="235" t="s">
        <v>32614</v>
      </c>
      <c r="H4389" s="235" t="s">
        <v>32615</v>
      </c>
      <c r="I4389" s="235" t="s">
        <v>32615</v>
      </c>
      <c r="J4389" s="235" t="s">
        <v>32616</v>
      </c>
      <c r="K4389" s="235" t="s">
        <v>32617</v>
      </c>
      <c r="N4389" s="235" t="s">
        <v>117</v>
      </c>
      <c r="O4389" s="235" t="s">
        <v>334</v>
      </c>
      <c r="P4389" s="238">
        <v>1.0</v>
      </c>
      <c r="Q4389" s="235" t="s">
        <v>627</v>
      </c>
      <c r="R4389" s="238">
        <v>237.14</v>
      </c>
      <c r="S4389" s="238">
        <v>11.62</v>
      </c>
      <c r="T4389" s="238">
        <v>0.0</v>
      </c>
      <c r="U4389" s="238">
        <v>0.0</v>
      </c>
      <c r="V4389" s="238">
        <v>0.0</v>
      </c>
      <c r="W4389" s="238">
        <v>0.0</v>
      </c>
      <c r="X4389" s="235" t="s">
        <v>628</v>
      </c>
      <c r="Z4389" s="245"/>
      <c r="AA4389" s="245"/>
      <c r="AB4389" s="245"/>
      <c r="AC4389" s="235" t="s">
        <v>2236</v>
      </c>
      <c r="AD4389" s="235" t="s">
        <v>666</v>
      </c>
      <c r="AE4389" s="238">
        <v>641045.0</v>
      </c>
      <c r="AF4389" s="235" t="s">
        <v>631</v>
      </c>
      <c r="AG4389" s="245"/>
      <c r="AH4389" s="245"/>
      <c r="AI4389" s="245"/>
      <c r="AJ4389" s="245"/>
      <c r="AK4389" s="245"/>
      <c r="AL4389" s="245"/>
      <c r="AM4389" s="245"/>
      <c r="AN4389" s="245"/>
      <c r="AO4389" s="238">
        <v>-4.74</v>
      </c>
      <c r="AP4389" s="238">
        <v>0.0</v>
      </c>
      <c r="AQ4389" s="235" t="s">
        <v>632</v>
      </c>
      <c r="AR4389" s="243">
        <v>1.68E11</v>
      </c>
      <c r="AS4389" s="235" t="s">
        <v>32455</v>
      </c>
      <c r="AT4389" s="235" t="s">
        <v>155</v>
      </c>
      <c r="AU4389" s="235" t="s">
        <v>634</v>
      </c>
      <c r="AV4389" s="246" t="s">
        <v>635</v>
      </c>
      <c r="AW4389" s="227"/>
      <c r="AX4389" s="227"/>
      <c r="AY4389" s="227"/>
      <c r="AZ4389" s="227"/>
      <c r="BA4389" s="227"/>
      <c r="BB4389" s="227"/>
      <c r="BC4389" s="227"/>
      <c r="BD4389" s="227"/>
      <c r="BE4389" s="227"/>
      <c r="BF4389" s="227"/>
    </row>
    <row r="4390">
      <c r="A4390" s="235" t="s">
        <v>32618</v>
      </c>
      <c r="C4390" s="235" t="s">
        <v>32619</v>
      </c>
      <c r="D4390" s="235" t="s">
        <v>32620</v>
      </c>
      <c r="E4390" s="243">
        <v>6.51E13</v>
      </c>
      <c r="F4390" s="245"/>
      <c r="G4390" s="235" t="s">
        <v>32621</v>
      </c>
      <c r="H4390" s="235" t="s">
        <v>32622</v>
      </c>
      <c r="I4390" s="235" t="s">
        <v>32622</v>
      </c>
      <c r="J4390" s="235" t="s">
        <v>32623</v>
      </c>
      <c r="K4390" s="235" t="s">
        <v>32624</v>
      </c>
      <c r="N4390" s="235" t="s">
        <v>104</v>
      </c>
      <c r="O4390" s="235" t="s">
        <v>401</v>
      </c>
      <c r="P4390" s="238">
        <v>1.0</v>
      </c>
      <c r="Q4390" s="235" t="s">
        <v>627</v>
      </c>
      <c r="R4390" s="238">
        <v>246.67</v>
      </c>
      <c r="S4390" s="238">
        <v>12.08</v>
      </c>
      <c r="T4390" s="238">
        <v>0.0</v>
      </c>
      <c r="U4390" s="238">
        <v>0.0</v>
      </c>
      <c r="V4390" s="238">
        <v>0.0</v>
      </c>
      <c r="W4390" s="238">
        <v>0.0</v>
      </c>
      <c r="X4390" s="235" t="s">
        <v>628</v>
      </c>
      <c r="Z4390" s="245"/>
      <c r="AA4390" s="245"/>
      <c r="AB4390" s="245"/>
      <c r="AC4390" s="235" t="s">
        <v>891</v>
      </c>
      <c r="AD4390" s="235" t="s">
        <v>891</v>
      </c>
      <c r="AE4390" s="238">
        <v>605004.0</v>
      </c>
      <c r="AF4390" s="235" t="s">
        <v>631</v>
      </c>
      <c r="AG4390" s="245"/>
      <c r="AH4390" s="245"/>
      <c r="AI4390" s="245"/>
      <c r="AJ4390" s="245"/>
      <c r="AK4390" s="245"/>
      <c r="AL4390" s="245"/>
      <c r="AM4390" s="245"/>
      <c r="AN4390" s="245"/>
      <c r="AO4390" s="238">
        <v>-4.93</v>
      </c>
      <c r="AP4390" s="238">
        <v>0.0</v>
      </c>
      <c r="AQ4390" s="235" t="s">
        <v>632</v>
      </c>
      <c r="AR4390" s="243">
        <v>1.68E11</v>
      </c>
      <c r="AS4390" s="235" t="s">
        <v>31798</v>
      </c>
      <c r="AT4390" s="235" t="s">
        <v>156</v>
      </c>
      <c r="AU4390" s="235" t="s">
        <v>634</v>
      </c>
      <c r="AV4390" s="246" t="s">
        <v>635</v>
      </c>
      <c r="AW4390" s="227"/>
      <c r="AX4390" s="227"/>
      <c r="AY4390" s="227"/>
      <c r="AZ4390" s="227"/>
      <c r="BA4390" s="227"/>
      <c r="BB4390" s="227"/>
      <c r="BC4390" s="227"/>
      <c r="BD4390" s="227"/>
      <c r="BE4390" s="227"/>
      <c r="BF4390" s="227"/>
    </row>
    <row r="4391">
      <c r="A4391" s="235" t="s">
        <v>32625</v>
      </c>
      <c r="C4391" s="235" t="s">
        <v>32626</v>
      </c>
      <c r="D4391" s="235" t="s">
        <v>32627</v>
      </c>
      <c r="E4391" s="243">
        <v>6.51E13</v>
      </c>
      <c r="F4391" s="245"/>
      <c r="G4391" s="235" t="s">
        <v>32628</v>
      </c>
      <c r="H4391" s="235" t="s">
        <v>32629</v>
      </c>
      <c r="I4391" s="235" t="s">
        <v>32629</v>
      </c>
      <c r="J4391" s="235" t="s">
        <v>32630</v>
      </c>
      <c r="K4391" s="235" t="s">
        <v>32631</v>
      </c>
      <c r="N4391" s="235" t="s">
        <v>53</v>
      </c>
      <c r="O4391" s="235" t="s">
        <v>512</v>
      </c>
      <c r="P4391" s="238">
        <v>1.0</v>
      </c>
      <c r="Q4391" s="235" t="s">
        <v>627</v>
      </c>
      <c r="R4391" s="238">
        <v>237.14</v>
      </c>
      <c r="S4391" s="238">
        <v>11.86</v>
      </c>
      <c r="T4391" s="238">
        <v>0.0</v>
      </c>
      <c r="U4391" s="238">
        <v>0.0</v>
      </c>
      <c r="V4391" s="238">
        <v>0.0</v>
      </c>
      <c r="W4391" s="238">
        <v>0.0</v>
      </c>
      <c r="X4391" s="235" t="s">
        <v>628</v>
      </c>
      <c r="Z4391" s="245"/>
      <c r="AA4391" s="245"/>
      <c r="AB4391" s="245"/>
      <c r="AC4391" s="235" t="s">
        <v>678</v>
      </c>
      <c r="AD4391" s="235" t="s">
        <v>679</v>
      </c>
      <c r="AE4391" s="238">
        <v>560066.0</v>
      </c>
      <c r="AF4391" s="235" t="s">
        <v>631</v>
      </c>
      <c r="AG4391" s="245"/>
      <c r="AH4391" s="245"/>
      <c r="AI4391" s="245"/>
      <c r="AJ4391" s="245"/>
      <c r="AK4391" s="245"/>
      <c r="AL4391" s="245"/>
      <c r="AM4391" s="245"/>
      <c r="AN4391" s="245"/>
      <c r="AO4391" s="238">
        <v>0.0</v>
      </c>
      <c r="AP4391" s="238">
        <v>0.0</v>
      </c>
      <c r="AQ4391" s="235" t="s">
        <v>632</v>
      </c>
      <c r="AR4391" s="243">
        <v>1.68E11</v>
      </c>
      <c r="AS4391" s="235" t="s">
        <v>32455</v>
      </c>
      <c r="AT4391" s="235" t="s">
        <v>9</v>
      </c>
      <c r="AU4391" s="235" t="s">
        <v>634</v>
      </c>
      <c r="AV4391" s="246" t="s">
        <v>635</v>
      </c>
      <c r="AW4391" s="227"/>
      <c r="AX4391" s="227"/>
      <c r="AY4391" s="227"/>
      <c r="AZ4391" s="227"/>
      <c r="BA4391" s="227"/>
      <c r="BB4391" s="227"/>
      <c r="BC4391" s="227"/>
      <c r="BD4391" s="227"/>
      <c r="BE4391" s="227"/>
      <c r="BF4391" s="227"/>
    </row>
    <row r="4392">
      <c r="A4392" s="235" t="s">
        <v>32632</v>
      </c>
      <c r="C4392" s="235" t="s">
        <v>32633</v>
      </c>
      <c r="D4392" s="235" t="s">
        <v>32634</v>
      </c>
      <c r="E4392" s="243">
        <v>6.51E13</v>
      </c>
      <c r="F4392" s="245"/>
      <c r="G4392" s="235" t="s">
        <v>32635</v>
      </c>
      <c r="H4392" s="235" t="s">
        <v>32636</v>
      </c>
      <c r="I4392" s="235" t="s">
        <v>32636</v>
      </c>
      <c r="J4392" s="235" t="s">
        <v>32637</v>
      </c>
      <c r="K4392" s="235" t="s">
        <v>32638</v>
      </c>
      <c r="N4392" s="235" t="s">
        <v>51</v>
      </c>
      <c r="O4392" s="235" t="s">
        <v>273</v>
      </c>
      <c r="P4392" s="238">
        <v>1.0</v>
      </c>
      <c r="Q4392" s="235" t="s">
        <v>627</v>
      </c>
      <c r="R4392" s="238">
        <v>235.24</v>
      </c>
      <c r="S4392" s="238">
        <v>11.76</v>
      </c>
      <c r="T4392" s="238">
        <v>38.1</v>
      </c>
      <c r="U4392" s="238">
        <v>1.9</v>
      </c>
      <c r="V4392" s="238">
        <v>0.0</v>
      </c>
      <c r="W4392" s="238">
        <v>0.0</v>
      </c>
      <c r="X4392" s="235" t="s">
        <v>628</v>
      </c>
      <c r="Z4392" s="245"/>
      <c r="AA4392" s="245"/>
      <c r="AB4392" s="245"/>
      <c r="AC4392" s="235" t="s">
        <v>2493</v>
      </c>
      <c r="AD4392" s="235" t="s">
        <v>833</v>
      </c>
      <c r="AE4392" s="238">
        <v>521134.0</v>
      </c>
      <c r="AF4392" s="235" t="s">
        <v>631</v>
      </c>
      <c r="AG4392" s="245"/>
      <c r="AH4392" s="245"/>
      <c r="AI4392" s="245"/>
      <c r="AJ4392" s="245"/>
      <c r="AK4392" s="245"/>
      <c r="AL4392" s="245"/>
      <c r="AM4392" s="245"/>
      <c r="AN4392" s="245"/>
      <c r="AO4392" s="238">
        <v>0.0</v>
      </c>
      <c r="AP4392" s="238">
        <v>-38.1</v>
      </c>
      <c r="AQ4392" s="235" t="s">
        <v>632</v>
      </c>
      <c r="AR4392" s="243">
        <v>3.71E11</v>
      </c>
      <c r="AS4392" s="235" t="s">
        <v>29883</v>
      </c>
      <c r="AT4392" s="235" t="s">
        <v>156</v>
      </c>
      <c r="AU4392" s="235" t="s">
        <v>634</v>
      </c>
      <c r="AV4392" s="246" t="s">
        <v>635</v>
      </c>
      <c r="AW4392" s="227"/>
      <c r="AX4392" s="227"/>
      <c r="AY4392" s="227"/>
      <c r="AZ4392" s="227"/>
      <c r="BA4392" s="227"/>
      <c r="BB4392" s="227"/>
      <c r="BC4392" s="227"/>
      <c r="BD4392" s="227"/>
      <c r="BE4392" s="227"/>
      <c r="BF4392" s="227"/>
    </row>
    <row r="4393">
      <c r="A4393" s="235" t="s">
        <v>32639</v>
      </c>
      <c r="C4393" s="235" t="s">
        <v>32640</v>
      </c>
      <c r="D4393" s="235" t="s">
        <v>32641</v>
      </c>
      <c r="E4393" s="243">
        <v>6.51E13</v>
      </c>
      <c r="F4393" s="245"/>
      <c r="G4393" s="235" t="s">
        <v>32642</v>
      </c>
      <c r="H4393" s="235" t="s">
        <v>32643</v>
      </c>
      <c r="I4393" s="235" t="s">
        <v>32643</v>
      </c>
      <c r="J4393" s="235" t="s">
        <v>32644</v>
      </c>
      <c r="K4393" s="235" t="s">
        <v>6268</v>
      </c>
      <c r="N4393" s="235" t="s">
        <v>541</v>
      </c>
      <c r="O4393" s="235" t="s">
        <v>664</v>
      </c>
      <c r="P4393" s="238">
        <v>1.0</v>
      </c>
      <c r="Q4393" s="235" t="s">
        <v>627</v>
      </c>
      <c r="R4393" s="238">
        <v>659.32</v>
      </c>
      <c r="S4393" s="238">
        <v>118.68</v>
      </c>
      <c r="T4393" s="238">
        <v>0.0</v>
      </c>
      <c r="U4393" s="238">
        <v>0.0</v>
      </c>
      <c r="V4393" s="238">
        <v>0.0</v>
      </c>
      <c r="W4393" s="238">
        <v>0.0</v>
      </c>
      <c r="X4393" s="235" t="s">
        <v>628</v>
      </c>
      <c r="Z4393" s="245"/>
      <c r="AA4393" s="245"/>
      <c r="AB4393" s="245"/>
      <c r="AC4393" s="235" t="s">
        <v>1851</v>
      </c>
      <c r="AD4393" s="235" t="s">
        <v>1077</v>
      </c>
      <c r="AE4393" s="238">
        <v>380015.0</v>
      </c>
      <c r="AF4393" s="235" t="s">
        <v>631</v>
      </c>
      <c r="AG4393" s="245"/>
      <c r="AH4393" s="245"/>
      <c r="AI4393" s="245"/>
      <c r="AJ4393" s="245"/>
      <c r="AK4393" s="245"/>
      <c r="AL4393" s="245"/>
      <c r="AM4393" s="245"/>
      <c r="AN4393" s="245"/>
      <c r="AO4393" s="238">
        <v>0.0</v>
      </c>
      <c r="AP4393" s="238">
        <v>0.0</v>
      </c>
      <c r="AQ4393" s="235" t="s">
        <v>632</v>
      </c>
      <c r="AR4393" s="243">
        <v>1.68E11</v>
      </c>
      <c r="AS4393" s="235" t="s">
        <v>32455</v>
      </c>
      <c r="AT4393" s="235" t="s">
        <v>5</v>
      </c>
      <c r="AU4393" s="235" t="s">
        <v>634</v>
      </c>
      <c r="AV4393" s="246" t="s">
        <v>635</v>
      </c>
      <c r="AW4393" s="227"/>
      <c r="AX4393" s="227"/>
      <c r="AY4393" s="227"/>
      <c r="AZ4393" s="227"/>
      <c r="BA4393" s="227"/>
      <c r="BB4393" s="227"/>
      <c r="BC4393" s="227"/>
      <c r="BD4393" s="227"/>
      <c r="BE4393" s="227"/>
      <c r="BF4393" s="227"/>
    </row>
    <row r="4394">
      <c r="A4394" s="235" t="s">
        <v>32645</v>
      </c>
      <c r="C4394" s="235" t="s">
        <v>32646</v>
      </c>
      <c r="D4394" s="235" t="s">
        <v>32647</v>
      </c>
      <c r="E4394" s="243">
        <v>6.51E13</v>
      </c>
      <c r="F4394" s="245"/>
      <c r="G4394" s="235" t="s">
        <v>32648</v>
      </c>
      <c r="H4394" s="235" t="s">
        <v>32649</v>
      </c>
      <c r="I4394" s="235" t="s">
        <v>32650</v>
      </c>
      <c r="J4394" s="235" t="s">
        <v>32651</v>
      </c>
      <c r="K4394" s="235" t="s">
        <v>32652</v>
      </c>
      <c r="N4394" s="235" t="s">
        <v>90</v>
      </c>
      <c r="O4394" s="235" t="s">
        <v>279</v>
      </c>
      <c r="P4394" s="238">
        <v>1.0</v>
      </c>
      <c r="Q4394" s="235" t="s">
        <v>627</v>
      </c>
      <c r="R4394" s="238">
        <v>243.8</v>
      </c>
      <c r="S4394" s="238">
        <v>12.2</v>
      </c>
      <c r="T4394" s="238">
        <v>38.1</v>
      </c>
      <c r="U4394" s="238">
        <v>1.9</v>
      </c>
      <c r="V4394" s="238">
        <v>0.0</v>
      </c>
      <c r="W4394" s="238">
        <v>0.0</v>
      </c>
      <c r="X4394" s="235" t="s">
        <v>628</v>
      </c>
      <c r="Z4394" s="245"/>
      <c r="AA4394" s="245"/>
      <c r="AB4394" s="245"/>
      <c r="AC4394" s="235" t="s">
        <v>32653</v>
      </c>
      <c r="AD4394" s="235" t="s">
        <v>1077</v>
      </c>
      <c r="AE4394" s="238">
        <v>362245.0</v>
      </c>
      <c r="AF4394" s="235" t="s">
        <v>631</v>
      </c>
      <c r="AG4394" s="245"/>
      <c r="AH4394" s="245"/>
      <c r="AI4394" s="245"/>
      <c r="AJ4394" s="245"/>
      <c r="AK4394" s="245"/>
      <c r="AL4394" s="245"/>
      <c r="AM4394" s="245"/>
      <c r="AN4394" s="245"/>
      <c r="AO4394" s="238">
        <v>0.0</v>
      </c>
      <c r="AP4394" s="238">
        <v>-38.1</v>
      </c>
      <c r="AQ4394" s="235" t="s">
        <v>1328</v>
      </c>
      <c r="AR4394" s="243">
        <v>1.34E13</v>
      </c>
      <c r="AS4394" s="235" t="s">
        <v>26892</v>
      </c>
      <c r="AT4394" s="235" t="s">
        <v>5</v>
      </c>
      <c r="AU4394" s="235" t="s">
        <v>634</v>
      </c>
      <c r="AV4394" s="246" t="s">
        <v>635</v>
      </c>
      <c r="AW4394" s="227"/>
      <c r="AX4394" s="227"/>
      <c r="AY4394" s="227"/>
      <c r="AZ4394" s="227"/>
      <c r="BA4394" s="227"/>
      <c r="BB4394" s="227"/>
      <c r="BC4394" s="227"/>
      <c r="BD4394" s="227"/>
      <c r="BE4394" s="227"/>
      <c r="BF4394" s="227"/>
    </row>
    <row r="4395">
      <c r="A4395" s="235" t="s">
        <v>32654</v>
      </c>
      <c r="C4395" s="235" t="s">
        <v>32655</v>
      </c>
      <c r="D4395" s="235" t="s">
        <v>32656</v>
      </c>
      <c r="E4395" s="243">
        <v>6.5E13</v>
      </c>
      <c r="F4395" s="245"/>
      <c r="G4395" s="235" t="s">
        <v>32657</v>
      </c>
      <c r="H4395" s="235" t="s">
        <v>32658</v>
      </c>
      <c r="I4395" s="235" t="s">
        <v>32658</v>
      </c>
      <c r="J4395" s="235" t="s">
        <v>32659</v>
      </c>
      <c r="K4395" s="235" t="s">
        <v>32660</v>
      </c>
      <c r="N4395" s="235" t="s">
        <v>144</v>
      </c>
      <c r="O4395" s="235" t="s">
        <v>232</v>
      </c>
      <c r="P4395" s="238">
        <v>1.0</v>
      </c>
      <c r="Q4395" s="235" t="s">
        <v>627</v>
      </c>
      <c r="R4395" s="238">
        <v>665.71</v>
      </c>
      <c r="S4395" s="238">
        <v>33.29</v>
      </c>
      <c r="T4395" s="238">
        <v>38.1</v>
      </c>
      <c r="U4395" s="238">
        <v>1.9</v>
      </c>
      <c r="V4395" s="238">
        <v>0.0</v>
      </c>
      <c r="W4395" s="238">
        <v>0.0</v>
      </c>
      <c r="X4395" s="235" t="s">
        <v>628</v>
      </c>
      <c r="Z4395" s="245"/>
      <c r="AA4395" s="245"/>
      <c r="AB4395" s="245"/>
      <c r="AC4395" s="235" t="s">
        <v>795</v>
      </c>
      <c r="AD4395" s="235" t="s">
        <v>796</v>
      </c>
      <c r="AE4395" s="238">
        <v>110041.0</v>
      </c>
      <c r="AF4395" s="235" t="s">
        <v>631</v>
      </c>
      <c r="AG4395" s="245"/>
      <c r="AH4395" s="245"/>
      <c r="AI4395" s="245"/>
      <c r="AJ4395" s="245"/>
      <c r="AK4395" s="245"/>
      <c r="AL4395" s="245"/>
      <c r="AM4395" s="245"/>
      <c r="AN4395" s="245"/>
      <c r="AO4395" s="238">
        <v>0.0</v>
      </c>
      <c r="AP4395" s="238">
        <v>-38.1</v>
      </c>
      <c r="AQ4395" s="235" t="s">
        <v>632</v>
      </c>
      <c r="AR4395" s="243">
        <v>3.71E11</v>
      </c>
      <c r="AS4395" s="235" t="s">
        <v>31232</v>
      </c>
      <c r="AT4395" s="235" t="s">
        <v>14</v>
      </c>
      <c r="AU4395" s="235" t="s">
        <v>634</v>
      </c>
      <c r="AV4395" s="246" t="s">
        <v>635</v>
      </c>
      <c r="AW4395" s="227"/>
      <c r="AX4395" s="227"/>
      <c r="AY4395" s="227"/>
      <c r="AZ4395" s="227"/>
      <c r="BA4395" s="227"/>
      <c r="BB4395" s="227"/>
      <c r="BC4395" s="227"/>
      <c r="BD4395" s="227"/>
      <c r="BE4395" s="227"/>
      <c r="BF4395" s="227"/>
    </row>
    <row r="4396">
      <c r="A4396" s="235" t="s">
        <v>32661</v>
      </c>
      <c r="C4396" s="235" t="s">
        <v>32662</v>
      </c>
      <c r="D4396" s="235" t="s">
        <v>32663</v>
      </c>
      <c r="E4396" s="243">
        <v>6.51E13</v>
      </c>
      <c r="F4396" s="245"/>
      <c r="G4396" s="235" t="s">
        <v>32664</v>
      </c>
      <c r="H4396" s="235" t="s">
        <v>32665</v>
      </c>
      <c r="I4396" s="235" t="s">
        <v>32665</v>
      </c>
      <c r="J4396" s="235" t="s">
        <v>32666</v>
      </c>
      <c r="K4396" s="235" t="s">
        <v>32667</v>
      </c>
      <c r="N4396" s="235" t="s">
        <v>42</v>
      </c>
      <c r="O4396" s="235" t="s">
        <v>204</v>
      </c>
      <c r="P4396" s="238">
        <v>1.0</v>
      </c>
      <c r="Q4396" s="235" t="s">
        <v>627</v>
      </c>
      <c r="R4396" s="238">
        <v>237.14</v>
      </c>
      <c r="S4396" s="238">
        <v>11.86</v>
      </c>
      <c r="T4396" s="238">
        <v>0.0</v>
      </c>
      <c r="U4396" s="238">
        <v>0.0</v>
      </c>
      <c r="V4396" s="238">
        <v>0.0</v>
      </c>
      <c r="W4396" s="238">
        <v>0.0</v>
      </c>
      <c r="X4396" s="235" t="s">
        <v>628</v>
      </c>
      <c r="Z4396" s="245"/>
      <c r="AA4396" s="245"/>
      <c r="AB4396" s="245"/>
      <c r="AC4396" s="235" t="s">
        <v>1887</v>
      </c>
      <c r="AD4396" s="235" t="s">
        <v>679</v>
      </c>
      <c r="AE4396" s="238">
        <v>560067.0</v>
      </c>
      <c r="AF4396" s="235" t="s">
        <v>631</v>
      </c>
      <c r="AG4396" s="245"/>
      <c r="AH4396" s="245"/>
      <c r="AI4396" s="245"/>
      <c r="AJ4396" s="245"/>
      <c r="AK4396" s="245"/>
      <c r="AL4396" s="245"/>
      <c r="AM4396" s="245"/>
      <c r="AN4396" s="245"/>
      <c r="AO4396" s="238">
        <v>0.0</v>
      </c>
      <c r="AP4396" s="238">
        <v>0.0</v>
      </c>
      <c r="AQ4396" s="235" t="s">
        <v>632</v>
      </c>
      <c r="AR4396" s="243">
        <v>1.68E11</v>
      </c>
      <c r="AS4396" s="235" t="s">
        <v>32455</v>
      </c>
      <c r="AT4396" s="235" t="s">
        <v>9</v>
      </c>
      <c r="AU4396" s="235" t="s">
        <v>634</v>
      </c>
      <c r="AV4396" s="246" t="s">
        <v>635</v>
      </c>
      <c r="AW4396" s="227"/>
      <c r="AX4396" s="227"/>
      <c r="AY4396" s="227"/>
      <c r="AZ4396" s="227"/>
      <c r="BA4396" s="227"/>
      <c r="BB4396" s="227"/>
      <c r="BC4396" s="227"/>
      <c r="BD4396" s="227"/>
      <c r="BE4396" s="227"/>
      <c r="BF4396" s="227"/>
    </row>
    <row r="4397">
      <c r="A4397" s="235" t="s">
        <v>32668</v>
      </c>
      <c r="C4397" s="235" t="s">
        <v>32669</v>
      </c>
      <c r="D4397" s="235" t="s">
        <v>32670</v>
      </c>
      <c r="E4397" s="243">
        <v>6.51E13</v>
      </c>
      <c r="F4397" s="245"/>
      <c r="G4397" s="235" t="s">
        <v>32671</v>
      </c>
      <c r="H4397" s="235" t="s">
        <v>32672</v>
      </c>
      <c r="I4397" s="235" t="s">
        <v>32672</v>
      </c>
      <c r="J4397" s="235" t="s">
        <v>32673</v>
      </c>
      <c r="K4397" s="235" t="s">
        <v>32674</v>
      </c>
      <c r="N4397" s="235" t="s">
        <v>51</v>
      </c>
      <c r="O4397" s="235" t="s">
        <v>273</v>
      </c>
      <c r="P4397" s="238">
        <v>1.0</v>
      </c>
      <c r="Q4397" s="235" t="s">
        <v>627</v>
      </c>
      <c r="R4397" s="238">
        <v>235.24</v>
      </c>
      <c r="S4397" s="238">
        <v>11.76</v>
      </c>
      <c r="T4397" s="238">
        <v>38.1</v>
      </c>
      <c r="U4397" s="238">
        <v>1.9</v>
      </c>
      <c r="V4397" s="238">
        <v>0.0</v>
      </c>
      <c r="W4397" s="238">
        <v>0.0</v>
      </c>
      <c r="X4397" s="235" t="s">
        <v>628</v>
      </c>
      <c r="Z4397" s="245"/>
      <c r="AA4397" s="245"/>
      <c r="AB4397" s="245"/>
      <c r="AC4397" s="235" t="s">
        <v>1809</v>
      </c>
      <c r="AD4397" s="235" t="s">
        <v>698</v>
      </c>
      <c r="AE4397" s="238">
        <v>507002.0</v>
      </c>
      <c r="AF4397" s="235" t="s">
        <v>631</v>
      </c>
      <c r="AG4397" s="245"/>
      <c r="AH4397" s="245"/>
      <c r="AI4397" s="245"/>
      <c r="AJ4397" s="245"/>
      <c r="AK4397" s="245"/>
      <c r="AL4397" s="245"/>
      <c r="AM4397" s="245"/>
      <c r="AN4397" s="245"/>
      <c r="AO4397" s="238">
        <v>0.0</v>
      </c>
      <c r="AP4397" s="238">
        <v>-38.1</v>
      </c>
      <c r="AQ4397" s="235" t="s">
        <v>632</v>
      </c>
      <c r="AR4397" s="243">
        <v>3.71E11</v>
      </c>
      <c r="AS4397" s="235" t="s">
        <v>28482</v>
      </c>
      <c r="AT4397" s="235" t="s">
        <v>11</v>
      </c>
      <c r="AU4397" s="235" t="s">
        <v>634</v>
      </c>
      <c r="AV4397" s="246" t="s">
        <v>635</v>
      </c>
      <c r="AW4397" s="227"/>
      <c r="AX4397" s="227"/>
      <c r="AY4397" s="227"/>
      <c r="AZ4397" s="227"/>
      <c r="BA4397" s="227"/>
      <c r="BB4397" s="227"/>
      <c r="BC4397" s="227"/>
      <c r="BD4397" s="227"/>
      <c r="BE4397" s="227"/>
      <c r="BF4397" s="227"/>
    </row>
    <row r="4398">
      <c r="A4398" s="235" t="s">
        <v>32675</v>
      </c>
      <c r="C4398" s="235" t="s">
        <v>32676</v>
      </c>
      <c r="D4398" s="235" t="s">
        <v>32677</v>
      </c>
      <c r="E4398" s="243">
        <v>6.5E13</v>
      </c>
      <c r="F4398" s="245"/>
      <c r="G4398" s="235" t="s">
        <v>32678</v>
      </c>
      <c r="H4398" s="235" t="s">
        <v>32679</v>
      </c>
      <c r="I4398" s="235" t="s">
        <v>32680</v>
      </c>
      <c r="J4398" s="235" t="s">
        <v>32681</v>
      </c>
      <c r="K4398" s="235" t="s">
        <v>32682</v>
      </c>
      <c r="N4398" s="235" t="s">
        <v>127</v>
      </c>
      <c r="O4398" s="235" t="s">
        <v>794</v>
      </c>
      <c r="P4398" s="238">
        <v>1.0</v>
      </c>
      <c r="Q4398" s="235" t="s">
        <v>627</v>
      </c>
      <c r="R4398" s="238">
        <v>243.8</v>
      </c>
      <c r="S4398" s="238">
        <v>11.96</v>
      </c>
      <c r="T4398" s="238">
        <v>38.1</v>
      </c>
      <c r="U4398" s="238">
        <v>1.9</v>
      </c>
      <c r="V4398" s="238">
        <v>0.0</v>
      </c>
      <c r="W4398" s="238">
        <v>0.0</v>
      </c>
      <c r="X4398" s="235" t="s">
        <v>628</v>
      </c>
      <c r="Z4398" s="245"/>
      <c r="AA4398" s="245"/>
      <c r="AB4398" s="245"/>
      <c r="AC4398" s="235" t="s">
        <v>16330</v>
      </c>
      <c r="AD4398" s="235" t="s">
        <v>845</v>
      </c>
      <c r="AE4398" s="238">
        <v>416410.0</v>
      </c>
      <c r="AF4398" s="235" t="s">
        <v>631</v>
      </c>
      <c r="AG4398" s="245"/>
      <c r="AH4398" s="245"/>
      <c r="AI4398" s="245"/>
      <c r="AJ4398" s="245"/>
      <c r="AK4398" s="245"/>
      <c r="AL4398" s="245"/>
      <c r="AM4398" s="245"/>
      <c r="AN4398" s="245"/>
      <c r="AO4398" s="238">
        <v>-4.88</v>
      </c>
      <c r="AP4398" s="238">
        <v>-38.1</v>
      </c>
      <c r="AQ4398" s="235" t="s">
        <v>632</v>
      </c>
      <c r="AR4398" s="243">
        <v>3.71E11</v>
      </c>
      <c r="AS4398" s="235" t="s">
        <v>29883</v>
      </c>
      <c r="AT4398" s="235" t="s">
        <v>546</v>
      </c>
      <c r="AU4398" s="235" t="s">
        <v>634</v>
      </c>
      <c r="AV4398" s="246" t="s">
        <v>635</v>
      </c>
      <c r="AW4398" s="227"/>
      <c r="AX4398" s="227"/>
      <c r="AY4398" s="227"/>
      <c r="AZ4398" s="227"/>
      <c r="BA4398" s="227"/>
      <c r="BB4398" s="227"/>
      <c r="BC4398" s="227"/>
      <c r="BD4398" s="227"/>
      <c r="BE4398" s="227"/>
      <c r="BF4398" s="227"/>
    </row>
    <row r="4399">
      <c r="A4399" s="235" t="s">
        <v>32683</v>
      </c>
      <c r="C4399" s="235" t="s">
        <v>32684</v>
      </c>
      <c r="D4399" s="235" t="s">
        <v>32685</v>
      </c>
      <c r="E4399" s="243">
        <v>6.51E13</v>
      </c>
      <c r="F4399" s="245"/>
      <c r="G4399" s="235" t="s">
        <v>32686</v>
      </c>
      <c r="H4399" s="235" t="s">
        <v>32687</v>
      </c>
      <c r="I4399" s="235" t="s">
        <v>32687</v>
      </c>
      <c r="J4399" s="235" t="s">
        <v>32688</v>
      </c>
      <c r="K4399" s="235" t="s">
        <v>32689</v>
      </c>
      <c r="N4399" s="235" t="s">
        <v>143</v>
      </c>
      <c r="O4399" s="235" t="s">
        <v>220</v>
      </c>
      <c r="P4399" s="238">
        <v>1.0</v>
      </c>
      <c r="Q4399" s="235" t="s">
        <v>627</v>
      </c>
      <c r="R4399" s="238">
        <v>244.76</v>
      </c>
      <c r="S4399" s="238">
        <v>12.24</v>
      </c>
      <c r="T4399" s="238">
        <v>38.1</v>
      </c>
      <c r="U4399" s="238">
        <v>1.9</v>
      </c>
      <c r="V4399" s="238">
        <v>0.0</v>
      </c>
      <c r="W4399" s="238">
        <v>0.0</v>
      </c>
      <c r="X4399" s="235" t="s">
        <v>628</v>
      </c>
      <c r="Z4399" s="245"/>
      <c r="AA4399" s="245"/>
      <c r="AB4399" s="245"/>
      <c r="AC4399" s="235" t="s">
        <v>32690</v>
      </c>
      <c r="AD4399" s="235" t="s">
        <v>630</v>
      </c>
      <c r="AE4399" s="238">
        <v>231001.0</v>
      </c>
      <c r="AF4399" s="235" t="s">
        <v>631</v>
      </c>
      <c r="AG4399" s="245"/>
      <c r="AH4399" s="245"/>
      <c r="AI4399" s="245"/>
      <c r="AJ4399" s="245"/>
      <c r="AK4399" s="245"/>
      <c r="AL4399" s="245"/>
      <c r="AM4399" s="245"/>
      <c r="AN4399" s="245"/>
      <c r="AO4399" s="238">
        <v>0.0</v>
      </c>
      <c r="AP4399" s="238">
        <v>-38.1</v>
      </c>
      <c r="AQ4399" s="235" t="s">
        <v>632</v>
      </c>
      <c r="AR4399" s="243">
        <v>3.71E11</v>
      </c>
      <c r="AS4399" s="235" t="s">
        <v>28482</v>
      </c>
      <c r="AT4399" s="235" t="s">
        <v>14</v>
      </c>
      <c r="AU4399" s="235" t="s">
        <v>634</v>
      </c>
      <c r="AV4399" s="246" t="s">
        <v>635</v>
      </c>
      <c r="AW4399" s="227"/>
      <c r="AX4399" s="227"/>
      <c r="AY4399" s="227"/>
      <c r="AZ4399" s="227"/>
      <c r="BA4399" s="227"/>
      <c r="BB4399" s="227"/>
      <c r="BC4399" s="227"/>
      <c r="BD4399" s="227"/>
      <c r="BE4399" s="227"/>
      <c r="BF4399" s="227"/>
    </row>
    <row r="4400">
      <c r="A4400" s="235" t="s">
        <v>32691</v>
      </c>
      <c r="C4400" s="235" t="s">
        <v>32692</v>
      </c>
      <c r="D4400" s="235" t="s">
        <v>32693</v>
      </c>
      <c r="E4400" s="243">
        <v>6.51E13</v>
      </c>
      <c r="F4400" s="245"/>
      <c r="G4400" s="235" t="s">
        <v>32694</v>
      </c>
      <c r="H4400" s="235" t="s">
        <v>32695</v>
      </c>
      <c r="I4400" s="235" t="s">
        <v>32695</v>
      </c>
      <c r="J4400" s="235" t="s">
        <v>32696</v>
      </c>
      <c r="K4400" s="235" t="s">
        <v>32697</v>
      </c>
      <c r="N4400" s="235" t="s">
        <v>842</v>
      </c>
      <c r="O4400" s="235" t="s">
        <v>843</v>
      </c>
      <c r="P4400" s="238">
        <v>1.0</v>
      </c>
      <c r="Q4400" s="235" t="s">
        <v>627</v>
      </c>
      <c r="R4400" s="238">
        <v>246.66</v>
      </c>
      <c r="S4400" s="238">
        <v>12.34</v>
      </c>
      <c r="T4400" s="238">
        <v>0.0</v>
      </c>
      <c r="U4400" s="238">
        <v>0.0</v>
      </c>
      <c r="V4400" s="238">
        <v>0.0</v>
      </c>
      <c r="W4400" s="238">
        <v>0.0</v>
      </c>
      <c r="X4400" s="235" t="s">
        <v>628</v>
      </c>
      <c r="Z4400" s="245"/>
      <c r="AA4400" s="245"/>
      <c r="AB4400" s="245"/>
      <c r="AC4400" s="235" t="s">
        <v>844</v>
      </c>
      <c r="AD4400" s="235" t="s">
        <v>845</v>
      </c>
      <c r="AE4400" s="238">
        <v>411036.0</v>
      </c>
      <c r="AF4400" s="235" t="s">
        <v>631</v>
      </c>
      <c r="AG4400" s="245"/>
      <c r="AH4400" s="245"/>
      <c r="AI4400" s="245"/>
      <c r="AJ4400" s="245"/>
      <c r="AK4400" s="245"/>
      <c r="AL4400" s="245"/>
      <c r="AM4400" s="245"/>
      <c r="AN4400" s="245"/>
      <c r="AO4400" s="238">
        <v>0.0</v>
      </c>
      <c r="AP4400" s="238">
        <v>0.0</v>
      </c>
      <c r="AQ4400" s="235" t="s">
        <v>632</v>
      </c>
      <c r="AR4400" s="243">
        <v>1.68E11</v>
      </c>
      <c r="AS4400" s="235" t="s">
        <v>32455</v>
      </c>
      <c r="AT4400" s="235" t="s">
        <v>546</v>
      </c>
      <c r="AU4400" s="235" t="s">
        <v>634</v>
      </c>
      <c r="AV4400" s="246" t="s">
        <v>635</v>
      </c>
      <c r="AW4400" s="227"/>
      <c r="AX4400" s="227"/>
      <c r="AY4400" s="227"/>
      <c r="AZ4400" s="227"/>
      <c r="BA4400" s="227"/>
      <c r="BB4400" s="227"/>
      <c r="BC4400" s="227"/>
      <c r="BD4400" s="227"/>
      <c r="BE4400" s="227"/>
      <c r="BF4400" s="227"/>
    </row>
    <row r="4401">
      <c r="A4401" s="235" t="s">
        <v>32698</v>
      </c>
      <c r="C4401" s="235" t="s">
        <v>32699</v>
      </c>
      <c r="D4401" s="235" t="s">
        <v>32700</v>
      </c>
      <c r="E4401" s="243">
        <v>6.51E13</v>
      </c>
      <c r="F4401" s="245"/>
      <c r="G4401" s="235" t="s">
        <v>32701</v>
      </c>
      <c r="H4401" s="235" t="s">
        <v>32702</v>
      </c>
      <c r="I4401" s="235" t="s">
        <v>32702</v>
      </c>
      <c r="J4401" s="235" t="s">
        <v>32703</v>
      </c>
      <c r="K4401" s="235" t="s">
        <v>32704</v>
      </c>
      <c r="N4401" s="235" t="s">
        <v>0</v>
      </c>
      <c r="O4401" s="235" t="s">
        <v>740</v>
      </c>
      <c r="P4401" s="238">
        <v>1.0</v>
      </c>
      <c r="Q4401" s="235" t="s">
        <v>627</v>
      </c>
      <c r="R4401" s="238">
        <v>265.72</v>
      </c>
      <c r="S4401" s="238">
        <v>13.02</v>
      </c>
      <c r="T4401" s="238">
        <v>0.0</v>
      </c>
      <c r="U4401" s="238">
        <v>0.0</v>
      </c>
      <c r="V4401" s="238">
        <v>0.0</v>
      </c>
      <c r="W4401" s="238">
        <v>0.0</v>
      </c>
      <c r="X4401" s="235" t="s">
        <v>628</v>
      </c>
      <c r="Z4401" s="245"/>
      <c r="AA4401" s="245"/>
      <c r="AB4401" s="245"/>
      <c r="AC4401" s="235" t="s">
        <v>6804</v>
      </c>
      <c r="AD4401" s="235" t="s">
        <v>666</v>
      </c>
      <c r="AE4401" s="238">
        <v>624001.0</v>
      </c>
      <c r="AF4401" s="235" t="s">
        <v>631</v>
      </c>
      <c r="AG4401" s="245"/>
      <c r="AH4401" s="245"/>
      <c r="AI4401" s="245"/>
      <c r="AJ4401" s="245"/>
      <c r="AK4401" s="245"/>
      <c r="AL4401" s="245"/>
      <c r="AM4401" s="245"/>
      <c r="AN4401" s="245"/>
      <c r="AO4401" s="238">
        <v>-5.32</v>
      </c>
      <c r="AP4401" s="238">
        <v>0.0</v>
      </c>
      <c r="AQ4401" s="235" t="s">
        <v>632</v>
      </c>
      <c r="AR4401" s="243">
        <v>3.71E11</v>
      </c>
      <c r="AS4401" s="235" t="s">
        <v>31232</v>
      </c>
      <c r="AT4401" s="235" t="s">
        <v>155</v>
      </c>
      <c r="AU4401" s="235" t="s">
        <v>634</v>
      </c>
      <c r="AV4401" s="246" t="s">
        <v>635</v>
      </c>
      <c r="AW4401" s="227"/>
      <c r="AX4401" s="227"/>
      <c r="AY4401" s="227"/>
      <c r="AZ4401" s="227"/>
      <c r="BA4401" s="227"/>
      <c r="BB4401" s="227"/>
      <c r="BC4401" s="227"/>
      <c r="BD4401" s="227"/>
      <c r="BE4401" s="227"/>
      <c r="BF4401" s="227"/>
    </row>
    <row r="4402">
      <c r="A4402" s="235" t="s">
        <v>32705</v>
      </c>
      <c r="C4402" s="235" t="s">
        <v>32706</v>
      </c>
      <c r="D4402" s="235" t="s">
        <v>32707</v>
      </c>
      <c r="E4402" s="243">
        <v>6.51E13</v>
      </c>
      <c r="F4402" s="245"/>
      <c r="G4402" s="235" t="s">
        <v>32708</v>
      </c>
      <c r="H4402" s="235" t="s">
        <v>32709</v>
      </c>
      <c r="I4402" s="235" t="s">
        <v>32710</v>
      </c>
      <c r="J4402" s="235" t="s">
        <v>32711</v>
      </c>
      <c r="K4402" s="235" t="s">
        <v>32712</v>
      </c>
      <c r="N4402" s="235" t="s">
        <v>90</v>
      </c>
      <c r="O4402" s="235" t="s">
        <v>279</v>
      </c>
      <c r="P4402" s="238">
        <v>1.0</v>
      </c>
      <c r="Q4402" s="235" t="s">
        <v>627</v>
      </c>
      <c r="R4402" s="238">
        <v>243.81</v>
      </c>
      <c r="S4402" s="238">
        <v>12.19</v>
      </c>
      <c r="T4402" s="238">
        <v>0.0</v>
      </c>
      <c r="U4402" s="238">
        <v>0.0</v>
      </c>
      <c r="V4402" s="238">
        <v>0.0</v>
      </c>
      <c r="W4402" s="238">
        <v>0.0</v>
      </c>
      <c r="X4402" s="235" t="s">
        <v>628</v>
      </c>
      <c r="Z4402" s="245"/>
      <c r="AA4402" s="245"/>
      <c r="AB4402" s="245"/>
      <c r="AC4402" s="235" t="s">
        <v>1032</v>
      </c>
      <c r="AD4402" s="235" t="s">
        <v>630</v>
      </c>
      <c r="AE4402" s="238">
        <v>243001.0</v>
      </c>
      <c r="AF4402" s="235" t="s">
        <v>631</v>
      </c>
      <c r="AG4402" s="245"/>
      <c r="AH4402" s="245"/>
      <c r="AI4402" s="245"/>
      <c r="AJ4402" s="245"/>
      <c r="AK4402" s="245"/>
      <c r="AL4402" s="245"/>
      <c r="AM4402" s="245"/>
      <c r="AN4402" s="245"/>
      <c r="AO4402" s="238">
        <v>0.0</v>
      </c>
      <c r="AP4402" s="238">
        <v>0.0</v>
      </c>
      <c r="AQ4402" s="235" t="s">
        <v>632</v>
      </c>
      <c r="AR4402" s="243">
        <v>3.71E11</v>
      </c>
      <c r="AS4402" s="235" t="s">
        <v>29883</v>
      </c>
      <c r="AT4402" s="235" t="s">
        <v>13</v>
      </c>
      <c r="AU4402" s="235" t="s">
        <v>634</v>
      </c>
      <c r="AV4402" s="246" t="s">
        <v>635</v>
      </c>
      <c r="AW4402" s="227"/>
      <c r="AX4402" s="227"/>
      <c r="AY4402" s="227"/>
      <c r="AZ4402" s="227"/>
      <c r="BA4402" s="227"/>
      <c r="BB4402" s="227"/>
      <c r="BC4402" s="227"/>
      <c r="BD4402" s="227"/>
      <c r="BE4402" s="227"/>
      <c r="BF4402" s="227"/>
    </row>
    <row r="4403">
      <c r="A4403" s="235" t="s">
        <v>32713</v>
      </c>
      <c r="C4403" s="235" t="s">
        <v>32714</v>
      </c>
      <c r="D4403" s="235" t="s">
        <v>32715</v>
      </c>
      <c r="E4403" s="243">
        <v>6.5E13</v>
      </c>
      <c r="F4403" s="245"/>
      <c r="G4403" s="235" t="s">
        <v>32716</v>
      </c>
      <c r="H4403" s="235" t="s">
        <v>32717</v>
      </c>
      <c r="I4403" s="235" t="s">
        <v>32717</v>
      </c>
      <c r="J4403" s="235" t="s">
        <v>32718</v>
      </c>
      <c r="K4403" s="235" t="s">
        <v>32719</v>
      </c>
      <c r="N4403" s="235" t="s">
        <v>143</v>
      </c>
      <c r="O4403" s="235" t="s">
        <v>220</v>
      </c>
      <c r="P4403" s="238">
        <v>1.0</v>
      </c>
      <c r="Q4403" s="235" t="s">
        <v>627</v>
      </c>
      <c r="R4403" s="238">
        <v>244.76</v>
      </c>
      <c r="S4403" s="238">
        <v>12.24</v>
      </c>
      <c r="T4403" s="238">
        <v>38.1</v>
      </c>
      <c r="U4403" s="238">
        <v>1.9</v>
      </c>
      <c r="V4403" s="238">
        <v>0.0</v>
      </c>
      <c r="W4403" s="238">
        <v>0.0</v>
      </c>
      <c r="X4403" s="235" t="s">
        <v>628</v>
      </c>
      <c r="Z4403" s="245"/>
      <c r="AA4403" s="245"/>
      <c r="AB4403" s="245"/>
      <c r="AC4403" s="235" t="s">
        <v>1456</v>
      </c>
      <c r="AD4403" s="235" t="s">
        <v>928</v>
      </c>
      <c r="AE4403" s="238">
        <v>122001.0</v>
      </c>
      <c r="AF4403" s="235" t="s">
        <v>631</v>
      </c>
      <c r="AG4403" s="245"/>
      <c r="AH4403" s="245"/>
      <c r="AI4403" s="245"/>
      <c r="AJ4403" s="245"/>
      <c r="AK4403" s="245"/>
      <c r="AL4403" s="245"/>
      <c r="AM4403" s="245"/>
      <c r="AN4403" s="245"/>
      <c r="AO4403" s="238">
        <v>0.0</v>
      </c>
      <c r="AP4403" s="238">
        <v>-38.1</v>
      </c>
      <c r="AQ4403" s="235" t="s">
        <v>632</v>
      </c>
      <c r="AR4403" s="243">
        <v>3.71E11</v>
      </c>
      <c r="AS4403" s="235" t="s">
        <v>31232</v>
      </c>
      <c r="AT4403" s="235" t="s">
        <v>533</v>
      </c>
      <c r="AU4403" s="235" t="s">
        <v>634</v>
      </c>
      <c r="AV4403" s="246" t="s">
        <v>635</v>
      </c>
      <c r="AW4403" s="227"/>
      <c r="AX4403" s="227"/>
      <c r="AY4403" s="227"/>
      <c r="AZ4403" s="227"/>
      <c r="BA4403" s="227"/>
      <c r="BB4403" s="227"/>
      <c r="BC4403" s="227"/>
      <c r="BD4403" s="227"/>
      <c r="BE4403" s="227"/>
      <c r="BF4403" s="227"/>
    </row>
    <row r="4404">
      <c r="A4404" s="235" t="s">
        <v>32720</v>
      </c>
      <c r="C4404" s="235" t="s">
        <v>32721</v>
      </c>
      <c r="D4404" s="235" t="s">
        <v>32722</v>
      </c>
      <c r="E4404" s="243">
        <v>6.5E13</v>
      </c>
      <c r="F4404" s="245"/>
      <c r="G4404" s="235" t="s">
        <v>32723</v>
      </c>
      <c r="H4404" s="235" t="s">
        <v>32724</v>
      </c>
      <c r="I4404" s="235" t="s">
        <v>32724</v>
      </c>
      <c r="J4404" s="235" t="s">
        <v>32725</v>
      </c>
      <c r="K4404" s="235" t="s">
        <v>32726</v>
      </c>
      <c r="N4404" s="235" t="s">
        <v>136</v>
      </c>
      <c r="O4404" s="235" t="s">
        <v>256</v>
      </c>
      <c r="P4404" s="238">
        <v>1.0</v>
      </c>
      <c r="Q4404" s="235" t="s">
        <v>627</v>
      </c>
      <c r="R4404" s="238">
        <v>244.76</v>
      </c>
      <c r="S4404" s="238">
        <v>12.0</v>
      </c>
      <c r="T4404" s="238">
        <v>0.0</v>
      </c>
      <c r="U4404" s="238">
        <v>0.0</v>
      </c>
      <c r="V4404" s="238">
        <v>0.0</v>
      </c>
      <c r="W4404" s="238">
        <v>0.0</v>
      </c>
      <c r="X4404" s="235" t="s">
        <v>628</v>
      </c>
      <c r="Z4404" s="245"/>
      <c r="AA4404" s="245"/>
      <c r="AB4404" s="245"/>
      <c r="AC4404" s="235" t="s">
        <v>1604</v>
      </c>
      <c r="AD4404" s="235" t="s">
        <v>845</v>
      </c>
      <c r="AE4404" s="238">
        <v>400072.0</v>
      </c>
      <c r="AF4404" s="235" t="s">
        <v>631</v>
      </c>
      <c r="AG4404" s="245"/>
      <c r="AH4404" s="245"/>
      <c r="AI4404" s="245"/>
      <c r="AJ4404" s="245"/>
      <c r="AK4404" s="245"/>
      <c r="AL4404" s="245"/>
      <c r="AM4404" s="245"/>
      <c r="AN4404" s="245"/>
      <c r="AO4404" s="238">
        <v>-4.9</v>
      </c>
      <c r="AP4404" s="238">
        <v>0.0</v>
      </c>
      <c r="AQ4404" s="235" t="s">
        <v>632</v>
      </c>
      <c r="AR4404" s="243">
        <v>3.71E11</v>
      </c>
      <c r="AS4404" s="235" t="s">
        <v>28482</v>
      </c>
      <c r="AT4404" s="235" t="s">
        <v>11</v>
      </c>
      <c r="AU4404" s="235" t="s">
        <v>634</v>
      </c>
      <c r="AV4404" s="246" t="s">
        <v>635</v>
      </c>
      <c r="AW4404" s="227"/>
      <c r="AX4404" s="227"/>
      <c r="AY4404" s="227"/>
      <c r="AZ4404" s="227"/>
      <c r="BA4404" s="227"/>
      <c r="BB4404" s="227"/>
      <c r="BC4404" s="227"/>
      <c r="BD4404" s="227"/>
      <c r="BE4404" s="227"/>
      <c r="BF4404" s="227"/>
    </row>
    <row r="4405">
      <c r="A4405" s="235" t="s">
        <v>32727</v>
      </c>
      <c r="C4405" s="235" t="s">
        <v>32728</v>
      </c>
      <c r="D4405" s="235" t="s">
        <v>32729</v>
      </c>
      <c r="E4405" s="243">
        <v>6.51E13</v>
      </c>
      <c r="F4405" s="245"/>
      <c r="G4405" s="235" t="s">
        <v>32730</v>
      </c>
      <c r="H4405" s="235" t="s">
        <v>32731</v>
      </c>
      <c r="I4405" s="235" t="s">
        <v>32732</v>
      </c>
      <c r="J4405" s="235" t="s">
        <v>32733</v>
      </c>
      <c r="K4405" s="235" t="s">
        <v>32734</v>
      </c>
      <c r="N4405" s="235" t="s">
        <v>127</v>
      </c>
      <c r="O4405" s="235" t="s">
        <v>794</v>
      </c>
      <c r="P4405" s="238">
        <v>1.0</v>
      </c>
      <c r="Q4405" s="235" t="s">
        <v>627</v>
      </c>
      <c r="R4405" s="238">
        <v>243.81</v>
      </c>
      <c r="S4405" s="238">
        <v>12.19</v>
      </c>
      <c r="T4405" s="238">
        <v>0.0</v>
      </c>
      <c r="U4405" s="238">
        <v>0.0</v>
      </c>
      <c r="V4405" s="238">
        <v>0.0</v>
      </c>
      <c r="W4405" s="238">
        <v>0.0</v>
      </c>
      <c r="X4405" s="235" t="s">
        <v>628</v>
      </c>
      <c r="Z4405" s="245"/>
      <c r="AA4405" s="245"/>
      <c r="AB4405" s="245"/>
      <c r="AC4405" s="235" t="s">
        <v>32735</v>
      </c>
      <c r="AD4405" s="235" t="s">
        <v>630</v>
      </c>
      <c r="AE4405" s="238">
        <v>244235.0</v>
      </c>
      <c r="AF4405" s="235" t="s">
        <v>631</v>
      </c>
      <c r="AG4405" s="245"/>
      <c r="AH4405" s="245"/>
      <c r="AI4405" s="245"/>
      <c r="AJ4405" s="245"/>
      <c r="AK4405" s="245"/>
      <c r="AL4405" s="245"/>
      <c r="AM4405" s="245"/>
      <c r="AN4405" s="245"/>
      <c r="AO4405" s="238">
        <v>0.0</v>
      </c>
      <c r="AP4405" s="238">
        <v>0.0</v>
      </c>
      <c r="AQ4405" s="235" t="s">
        <v>632</v>
      </c>
      <c r="AR4405" s="243">
        <v>3.71E11</v>
      </c>
      <c r="AS4405" s="235" t="s">
        <v>31232</v>
      </c>
      <c r="AT4405" s="235" t="s">
        <v>533</v>
      </c>
      <c r="AU4405" s="235" t="s">
        <v>634</v>
      </c>
      <c r="AV4405" s="246" t="s">
        <v>635</v>
      </c>
      <c r="AW4405" s="227"/>
      <c r="AX4405" s="227"/>
      <c r="AY4405" s="227"/>
      <c r="AZ4405" s="227"/>
      <c r="BA4405" s="227"/>
      <c r="BB4405" s="227"/>
      <c r="BC4405" s="227"/>
      <c r="BD4405" s="227"/>
      <c r="BE4405" s="227"/>
      <c r="BF4405" s="227"/>
    </row>
    <row r="4406">
      <c r="A4406" s="235" t="s">
        <v>32736</v>
      </c>
      <c r="C4406" s="235" t="s">
        <v>32737</v>
      </c>
      <c r="D4406" s="235" t="s">
        <v>32738</v>
      </c>
      <c r="E4406" s="243">
        <v>6.51E13</v>
      </c>
      <c r="F4406" s="245"/>
      <c r="G4406" s="235" t="s">
        <v>32739</v>
      </c>
      <c r="H4406" s="235" t="s">
        <v>32740</v>
      </c>
      <c r="I4406" s="235" t="s">
        <v>32740</v>
      </c>
      <c r="J4406" s="235" t="s">
        <v>32741</v>
      </c>
      <c r="K4406" s="235" t="s">
        <v>32742</v>
      </c>
      <c r="N4406" s="235" t="s">
        <v>47</v>
      </c>
      <c r="O4406" s="235" t="s">
        <v>270</v>
      </c>
      <c r="P4406" s="238">
        <v>1.0</v>
      </c>
      <c r="Q4406" s="235" t="s">
        <v>627</v>
      </c>
      <c r="R4406" s="238">
        <v>236.19</v>
      </c>
      <c r="S4406" s="238">
        <v>11.57</v>
      </c>
      <c r="T4406" s="238">
        <v>0.0</v>
      </c>
      <c r="U4406" s="238">
        <v>0.0</v>
      </c>
      <c r="V4406" s="238">
        <v>0.0</v>
      </c>
      <c r="W4406" s="238">
        <v>0.0</v>
      </c>
      <c r="X4406" s="235" t="s">
        <v>628</v>
      </c>
      <c r="Z4406" s="245"/>
      <c r="AA4406" s="245"/>
      <c r="AB4406" s="245"/>
      <c r="AC4406" s="235" t="s">
        <v>32743</v>
      </c>
      <c r="AD4406" s="235" t="s">
        <v>1151</v>
      </c>
      <c r="AE4406" s="238">
        <v>711110.0</v>
      </c>
      <c r="AF4406" s="235" t="s">
        <v>631</v>
      </c>
      <c r="AG4406" s="245"/>
      <c r="AH4406" s="245"/>
      <c r="AI4406" s="245"/>
      <c r="AJ4406" s="245"/>
      <c r="AK4406" s="245"/>
      <c r="AL4406" s="245"/>
      <c r="AM4406" s="245"/>
      <c r="AN4406" s="245"/>
      <c r="AO4406" s="238">
        <v>-4.72</v>
      </c>
      <c r="AP4406" s="238">
        <v>0.0</v>
      </c>
      <c r="AQ4406" s="235" t="s">
        <v>632</v>
      </c>
      <c r="AR4406" s="243">
        <v>3.71E11</v>
      </c>
      <c r="AS4406" s="235" t="s">
        <v>26892</v>
      </c>
      <c r="AT4406" s="235" t="s">
        <v>11</v>
      </c>
      <c r="AU4406" s="235" t="s">
        <v>634</v>
      </c>
      <c r="AV4406" s="246" t="s">
        <v>635</v>
      </c>
      <c r="AW4406" s="227"/>
      <c r="AX4406" s="227"/>
      <c r="AY4406" s="227"/>
      <c r="AZ4406" s="227"/>
      <c r="BA4406" s="227"/>
      <c r="BB4406" s="227"/>
      <c r="BC4406" s="227"/>
      <c r="BD4406" s="227"/>
      <c r="BE4406" s="227"/>
      <c r="BF4406" s="227"/>
    </row>
    <row r="4407">
      <c r="A4407" s="235" t="s">
        <v>32744</v>
      </c>
      <c r="C4407" s="235" t="s">
        <v>32745</v>
      </c>
      <c r="D4407" s="235" t="s">
        <v>32746</v>
      </c>
      <c r="E4407" s="243">
        <v>6.5E13</v>
      </c>
      <c r="F4407" s="245"/>
      <c r="G4407" s="235" t="s">
        <v>32747</v>
      </c>
      <c r="H4407" s="235" t="s">
        <v>32748</v>
      </c>
      <c r="I4407" s="235" t="s">
        <v>32748</v>
      </c>
      <c r="J4407" s="235" t="s">
        <v>32749</v>
      </c>
      <c r="K4407" s="235" t="s">
        <v>32750</v>
      </c>
      <c r="N4407" s="235" t="s">
        <v>2163</v>
      </c>
      <c r="O4407" s="235" t="s">
        <v>2164</v>
      </c>
      <c r="P4407" s="238">
        <v>1.0</v>
      </c>
      <c r="Q4407" s="235" t="s">
        <v>627</v>
      </c>
      <c r="R4407" s="238">
        <v>245.71</v>
      </c>
      <c r="S4407" s="238">
        <v>12.04</v>
      </c>
      <c r="T4407" s="238">
        <v>38.1</v>
      </c>
      <c r="U4407" s="238">
        <v>1.9</v>
      </c>
      <c r="V4407" s="238">
        <v>0.0</v>
      </c>
      <c r="W4407" s="238">
        <v>0.0</v>
      </c>
      <c r="X4407" s="235" t="s">
        <v>628</v>
      </c>
      <c r="Z4407" s="245"/>
      <c r="AA4407" s="245"/>
      <c r="AB4407" s="245"/>
      <c r="AC4407" s="235" t="s">
        <v>32751</v>
      </c>
      <c r="AD4407" s="235" t="s">
        <v>3113</v>
      </c>
      <c r="AE4407" s="238">
        <v>495001.0</v>
      </c>
      <c r="AF4407" s="235" t="s">
        <v>631</v>
      </c>
      <c r="AG4407" s="245"/>
      <c r="AH4407" s="245"/>
      <c r="AI4407" s="245"/>
      <c r="AJ4407" s="245"/>
      <c r="AK4407" s="245"/>
      <c r="AL4407" s="245"/>
      <c r="AM4407" s="245"/>
      <c r="AN4407" s="245"/>
      <c r="AO4407" s="238">
        <v>-4.91</v>
      </c>
      <c r="AP4407" s="238">
        <v>-38.1</v>
      </c>
      <c r="AQ4407" s="235" t="s">
        <v>632</v>
      </c>
      <c r="AR4407" s="243">
        <v>3.71E11</v>
      </c>
      <c r="AS4407" s="235" t="s">
        <v>25098</v>
      </c>
      <c r="AT4407" s="235" t="s">
        <v>156</v>
      </c>
      <c r="AU4407" s="235" t="s">
        <v>634</v>
      </c>
      <c r="AV4407" s="246" t="s">
        <v>635</v>
      </c>
      <c r="AW4407" s="227"/>
      <c r="AX4407" s="227"/>
      <c r="AY4407" s="227"/>
      <c r="AZ4407" s="227"/>
      <c r="BA4407" s="227"/>
      <c r="BB4407" s="227"/>
      <c r="BC4407" s="227"/>
      <c r="BD4407" s="227"/>
      <c r="BE4407" s="227"/>
      <c r="BF4407" s="227"/>
    </row>
    <row r="4408">
      <c r="A4408" s="235" t="s">
        <v>32752</v>
      </c>
      <c r="C4408" s="235" t="s">
        <v>32753</v>
      </c>
      <c r="D4408" s="235" t="s">
        <v>32754</v>
      </c>
      <c r="E4408" s="243">
        <v>6.5E13</v>
      </c>
      <c r="F4408" s="245"/>
      <c r="G4408" s="235" t="s">
        <v>32755</v>
      </c>
      <c r="H4408" s="235" t="s">
        <v>32756</v>
      </c>
      <c r="I4408" s="235" t="s">
        <v>32756</v>
      </c>
      <c r="J4408" s="235" t="s">
        <v>32757</v>
      </c>
      <c r="K4408" s="235" t="s">
        <v>32758</v>
      </c>
      <c r="N4408" s="235" t="s">
        <v>130</v>
      </c>
      <c r="O4408" s="235" t="s">
        <v>707</v>
      </c>
      <c r="P4408" s="238">
        <v>1.0</v>
      </c>
      <c r="Q4408" s="235" t="s">
        <v>627</v>
      </c>
      <c r="R4408" s="238">
        <v>243.8</v>
      </c>
      <c r="S4408" s="238">
        <v>12.2</v>
      </c>
      <c r="T4408" s="238">
        <v>38.1</v>
      </c>
      <c r="U4408" s="238">
        <v>1.9</v>
      </c>
      <c r="V4408" s="238">
        <v>0.0</v>
      </c>
      <c r="W4408" s="238">
        <v>0.0</v>
      </c>
      <c r="X4408" s="235" t="s">
        <v>628</v>
      </c>
      <c r="Z4408" s="245"/>
      <c r="AA4408" s="245"/>
      <c r="AB4408" s="245"/>
      <c r="AC4408" s="235" t="s">
        <v>32759</v>
      </c>
      <c r="AD4408" s="235" t="s">
        <v>679</v>
      </c>
      <c r="AE4408" s="238">
        <v>580024.0</v>
      </c>
      <c r="AF4408" s="235" t="s">
        <v>631</v>
      </c>
      <c r="AG4408" s="245"/>
      <c r="AH4408" s="245"/>
      <c r="AI4408" s="245"/>
      <c r="AJ4408" s="245"/>
      <c r="AK4408" s="245"/>
      <c r="AL4408" s="245"/>
      <c r="AM4408" s="245"/>
      <c r="AN4408" s="245"/>
      <c r="AO4408" s="238">
        <v>0.0</v>
      </c>
      <c r="AP4408" s="238">
        <v>-38.1</v>
      </c>
      <c r="AQ4408" s="235" t="s">
        <v>632</v>
      </c>
      <c r="AR4408" s="243">
        <v>1.68E11</v>
      </c>
      <c r="AS4408" s="235" t="s">
        <v>31232</v>
      </c>
      <c r="AT4408" s="235" t="s">
        <v>11</v>
      </c>
      <c r="AU4408" s="235" t="s">
        <v>634</v>
      </c>
      <c r="AV4408" s="246" t="s">
        <v>635</v>
      </c>
      <c r="AW4408" s="227"/>
      <c r="AX4408" s="227"/>
      <c r="AY4408" s="227"/>
      <c r="AZ4408" s="227"/>
      <c r="BA4408" s="227"/>
      <c r="BB4408" s="227"/>
      <c r="BC4408" s="227"/>
      <c r="BD4408" s="227"/>
      <c r="BE4408" s="227"/>
      <c r="BF4408" s="227"/>
    </row>
    <row r="4409">
      <c r="A4409" s="235" t="s">
        <v>32760</v>
      </c>
      <c r="C4409" s="235" t="s">
        <v>32761</v>
      </c>
      <c r="D4409" s="235" t="s">
        <v>32762</v>
      </c>
      <c r="E4409" s="243">
        <v>6.5E13</v>
      </c>
      <c r="F4409" s="245"/>
      <c r="G4409" s="235" t="s">
        <v>32763</v>
      </c>
      <c r="H4409" s="235" t="s">
        <v>32764</v>
      </c>
      <c r="I4409" s="235" t="s">
        <v>32764</v>
      </c>
      <c r="J4409" s="235" t="s">
        <v>32765</v>
      </c>
      <c r="K4409" s="235" t="s">
        <v>32766</v>
      </c>
      <c r="N4409" s="235" t="s">
        <v>82</v>
      </c>
      <c r="O4409" s="235" t="s">
        <v>889</v>
      </c>
      <c r="P4409" s="238">
        <v>1.0</v>
      </c>
      <c r="Q4409" s="235" t="s">
        <v>627</v>
      </c>
      <c r="R4409" s="238">
        <v>243.81</v>
      </c>
      <c r="S4409" s="238">
        <v>12.19</v>
      </c>
      <c r="T4409" s="238">
        <v>38.1</v>
      </c>
      <c r="U4409" s="238">
        <v>1.9</v>
      </c>
      <c r="V4409" s="238">
        <v>0.0</v>
      </c>
      <c r="W4409" s="238">
        <v>0.0</v>
      </c>
      <c r="X4409" s="235" t="s">
        <v>628</v>
      </c>
      <c r="Z4409" s="245"/>
      <c r="AA4409" s="245"/>
      <c r="AB4409" s="245"/>
      <c r="AC4409" s="235" t="s">
        <v>795</v>
      </c>
      <c r="AD4409" s="235" t="s">
        <v>796</v>
      </c>
      <c r="AE4409" s="238">
        <v>110034.0</v>
      </c>
      <c r="AF4409" s="235" t="s">
        <v>631</v>
      </c>
      <c r="AG4409" s="245"/>
      <c r="AH4409" s="245"/>
      <c r="AI4409" s="245"/>
      <c r="AJ4409" s="245"/>
      <c r="AK4409" s="245"/>
      <c r="AL4409" s="245"/>
      <c r="AM4409" s="245"/>
      <c r="AN4409" s="245"/>
      <c r="AO4409" s="238">
        <v>0.0</v>
      </c>
      <c r="AP4409" s="238">
        <v>-38.1</v>
      </c>
      <c r="AQ4409" s="235" t="s">
        <v>632</v>
      </c>
      <c r="AR4409" s="243">
        <v>3.71E11</v>
      </c>
      <c r="AS4409" s="235" t="s">
        <v>31232</v>
      </c>
      <c r="AT4409" s="235" t="s">
        <v>533</v>
      </c>
      <c r="AU4409" s="235" t="s">
        <v>634</v>
      </c>
      <c r="AV4409" s="246" t="s">
        <v>635</v>
      </c>
      <c r="AW4409" s="227"/>
      <c r="AX4409" s="227"/>
      <c r="AY4409" s="227"/>
      <c r="AZ4409" s="227"/>
      <c r="BA4409" s="227"/>
      <c r="BB4409" s="227"/>
      <c r="BC4409" s="227"/>
      <c r="BD4409" s="227"/>
      <c r="BE4409" s="227"/>
      <c r="BF4409" s="227"/>
    </row>
    <row r="4410">
      <c r="A4410" s="235" t="s">
        <v>32767</v>
      </c>
      <c r="C4410" s="235" t="s">
        <v>32768</v>
      </c>
      <c r="D4410" s="235" t="s">
        <v>32769</v>
      </c>
      <c r="E4410" s="243">
        <v>6.5E13</v>
      </c>
      <c r="F4410" s="245"/>
      <c r="G4410" s="235" t="s">
        <v>32770</v>
      </c>
      <c r="H4410" s="235" t="s">
        <v>32771</v>
      </c>
      <c r="I4410" s="235" t="s">
        <v>32771</v>
      </c>
      <c r="J4410" s="235" t="s">
        <v>32772</v>
      </c>
      <c r="K4410" s="235" t="s">
        <v>32773</v>
      </c>
      <c r="N4410" s="235" t="s">
        <v>138</v>
      </c>
      <c r="O4410" s="235" t="s">
        <v>675</v>
      </c>
      <c r="P4410" s="238">
        <v>1.0</v>
      </c>
      <c r="Q4410" s="235" t="s">
        <v>627</v>
      </c>
      <c r="R4410" s="238">
        <v>244.76</v>
      </c>
      <c r="S4410" s="238">
        <v>12.24</v>
      </c>
      <c r="T4410" s="238">
        <v>38.1</v>
      </c>
      <c r="U4410" s="238">
        <v>1.9</v>
      </c>
      <c r="V4410" s="238">
        <v>0.0</v>
      </c>
      <c r="W4410" s="238">
        <v>0.0</v>
      </c>
      <c r="X4410" s="235" t="s">
        <v>628</v>
      </c>
      <c r="Z4410" s="245"/>
      <c r="AA4410" s="245"/>
      <c r="AB4410" s="245"/>
      <c r="AC4410" s="235" t="s">
        <v>32774</v>
      </c>
      <c r="AD4410" s="235" t="s">
        <v>796</v>
      </c>
      <c r="AE4410" s="238">
        <v>110039.0</v>
      </c>
      <c r="AF4410" s="235" t="s">
        <v>631</v>
      </c>
      <c r="AG4410" s="245"/>
      <c r="AH4410" s="245"/>
      <c r="AI4410" s="245"/>
      <c r="AJ4410" s="245"/>
      <c r="AK4410" s="245"/>
      <c r="AL4410" s="245"/>
      <c r="AM4410" s="245"/>
      <c r="AN4410" s="245"/>
      <c r="AO4410" s="238">
        <v>0.0</v>
      </c>
      <c r="AP4410" s="238">
        <v>-38.1</v>
      </c>
      <c r="AQ4410" s="235" t="s">
        <v>632</v>
      </c>
      <c r="AR4410" s="243">
        <v>3.71E11</v>
      </c>
      <c r="AS4410" s="235" t="s">
        <v>31232</v>
      </c>
      <c r="AT4410" s="235" t="s">
        <v>533</v>
      </c>
      <c r="AU4410" s="235" t="s">
        <v>634</v>
      </c>
      <c r="AV4410" s="246" t="s">
        <v>635</v>
      </c>
      <c r="AW4410" s="227"/>
      <c r="AX4410" s="227"/>
      <c r="AY4410" s="227"/>
      <c r="AZ4410" s="227"/>
      <c r="BA4410" s="227"/>
      <c r="BB4410" s="227"/>
      <c r="BC4410" s="227"/>
      <c r="BD4410" s="227"/>
      <c r="BE4410" s="227"/>
      <c r="BF4410" s="227"/>
    </row>
    <row r="4411">
      <c r="A4411" s="235" t="s">
        <v>32775</v>
      </c>
      <c r="C4411" s="235" t="s">
        <v>32776</v>
      </c>
      <c r="D4411" s="235" t="s">
        <v>32777</v>
      </c>
      <c r="E4411" s="243">
        <v>6.5E13</v>
      </c>
      <c r="F4411" s="245"/>
      <c r="G4411" s="235" t="s">
        <v>32778</v>
      </c>
      <c r="H4411" s="235" t="s">
        <v>32779</v>
      </c>
      <c r="I4411" s="235" t="s">
        <v>32779</v>
      </c>
      <c r="J4411" s="235" t="s">
        <v>32780</v>
      </c>
      <c r="K4411" s="235" t="s">
        <v>32781</v>
      </c>
      <c r="N4411" s="235" t="s">
        <v>42</v>
      </c>
      <c r="O4411" s="235" t="s">
        <v>204</v>
      </c>
      <c r="P4411" s="238">
        <v>1.0</v>
      </c>
      <c r="Q4411" s="235" t="s">
        <v>627</v>
      </c>
      <c r="R4411" s="238">
        <v>237.14</v>
      </c>
      <c r="S4411" s="238">
        <v>11.86</v>
      </c>
      <c r="T4411" s="238">
        <v>38.1</v>
      </c>
      <c r="U4411" s="238">
        <v>1.9</v>
      </c>
      <c r="V4411" s="238">
        <v>0.0</v>
      </c>
      <c r="W4411" s="238">
        <v>0.0</v>
      </c>
      <c r="X4411" s="235" t="s">
        <v>628</v>
      </c>
      <c r="Z4411" s="245"/>
      <c r="AA4411" s="245"/>
      <c r="AB4411" s="245"/>
      <c r="AC4411" s="235" t="s">
        <v>20928</v>
      </c>
      <c r="AD4411" s="235" t="s">
        <v>666</v>
      </c>
      <c r="AE4411" s="238">
        <v>607002.0</v>
      </c>
      <c r="AF4411" s="235" t="s">
        <v>631</v>
      </c>
      <c r="AG4411" s="245"/>
      <c r="AH4411" s="245"/>
      <c r="AI4411" s="245"/>
      <c r="AJ4411" s="245"/>
      <c r="AK4411" s="245"/>
      <c r="AL4411" s="245"/>
      <c r="AM4411" s="245"/>
      <c r="AN4411" s="245"/>
      <c r="AO4411" s="238">
        <v>0.0</v>
      </c>
      <c r="AP4411" s="238">
        <v>-38.1</v>
      </c>
      <c r="AQ4411" s="235" t="s">
        <v>632</v>
      </c>
      <c r="AR4411" s="243">
        <v>3.71E11</v>
      </c>
      <c r="AS4411" s="235" t="s">
        <v>31232</v>
      </c>
      <c r="AT4411" s="235" t="s">
        <v>156</v>
      </c>
      <c r="AU4411" s="235" t="s">
        <v>634</v>
      </c>
      <c r="AV4411" s="246" t="s">
        <v>635</v>
      </c>
      <c r="AW4411" s="227"/>
      <c r="AX4411" s="227"/>
      <c r="AY4411" s="227"/>
      <c r="AZ4411" s="227"/>
      <c r="BA4411" s="227"/>
      <c r="BB4411" s="227"/>
      <c r="BC4411" s="227"/>
      <c r="BD4411" s="227"/>
      <c r="BE4411" s="227"/>
      <c r="BF4411" s="227"/>
    </row>
    <row r="4412">
      <c r="A4412" s="235" t="s">
        <v>32782</v>
      </c>
      <c r="C4412" s="235" t="s">
        <v>32783</v>
      </c>
      <c r="D4412" s="235" t="s">
        <v>32784</v>
      </c>
      <c r="E4412" s="243">
        <v>6.51E13</v>
      </c>
      <c r="F4412" s="245"/>
      <c r="G4412" s="235" t="s">
        <v>32785</v>
      </c>
      <c r="H4412" s="235" t="s">
        <v>32786</v>
      </c>
      <c r="I4412" s="235" t="s">
        <v>32787</v>
      </c>
      <c r="J4412" s="235" t="s">
        <v>32788</v>
      </c>
      <c r="K4412" s="235" t="s">
        <v>32789</v>
      </c>
      <c r="N4412" s="235" t="s">
        <v>82</v>
      </c>
      <c r="O4412" s="235" t="s">
        <v>889</v>
      </c>
      <c r="P4412" s="238">
        <v>1.0</v>
      </c>
      <c r="Q4412" s="235" t="s">
        <v>627</v>
      </c>
      <c r="R4412" s="238">
        <v>243.8</v>
      </c>
      <c r="S4412" s="238">
        <v>12.2</v>
      </c>
      <c r="T4412" s="238">
        <v>0.0</v>
      </c>
      <c r="U4412" s="238">
        <v>0.0</v>
      </c>
      <c r="V4412" s="238">
        <v>0.0</v>
      </c>
      <c r="W4412" s="238">
        <v>0.0</v>
      </c>
      <c r="X4412" s="235" t="s">
        <v>628</v>
      </c>
      <c r="Z4412" s="245"/>
      <c r="AA4412" s="245"/>
      <c r="AB4412" s="245"/>
      <c r="AC4412" s="235" t="s">
        <v>1095</v>
      </c>
      <c r="AD4412" s="235" t="s">
        <v>845</v>
      </c>
      <c r="AE4412" s="238">
        <v>410206.0</v>
      </c>
      <c r="AF4412" s="235" t="s">
        <v>631</v>
      </c>
      <c r="AG4412" s="245"/>
      <c r="AH4412" s="245"/>
      <c r="AI4412" s="245"/>
      <c r="AJ4412" s="245"/>
      <c r="AK4412" s="245"/>
      <c r="AL4412" s="245"/>
      <c r="AM4412" s="245"/>
      <c r="AN4412" s="245"/>
      <c r="AO4412" s="238">
        <v>0.0</v>
      </c>
      <c r="AP4412" s="238">
        <v>0.0</v>
      </c>
      <c r="AQ4412" s="235" t="s">
        <v>632</v>
      </c>
      <c r="AR4412" s="243">
        <v>3.71E11</v>
      </c>
      <c r="AS4412" s="235" t="s">
        <v>31232</v>
      </c>
      <c r="AT4412" s="235" t="s">
        <v>16</v>
      </c>
      <c r="AU4412" s="235" t="s">
        <v>634</v>
      </c>
      <c r="AV4412" s="246" t="s">
        <v>635</v>
      </c>
      <c r="AW4412" s="227"/>
      <c r="AX4412" s="227"/>
      <c r="AY4412" s="227"/>
      <c r="AZ4412" s="227"/>
      <c r="BA4412" s="227"/>
      <c r="BB4412" s="227"/>
      <c r="BC4412" s="227"/>
      <c r="BD4412" s="227"/>
      <c r="BE4412" s="227"/>
      <c r="BF4412" s="227"/>
    </row>
    <row r="4413">
      <c r="A4413" s="235" t="s">
        <v>32790</v>
      </c>
      <c r="C4413" s="235" t="s">
        <v>32791</v>
      </c>
      <c r="D4413" s="235" t="s">
        <v>32792</v>
      </c>
      <c r="E4413" s="243">
        <v>6.51E13</v>
      </c>
      <c r="F4413" s="245"/>
      <c r="G4413" s="235" t="s">
        <v>32793</v>
      </c>
      <c r="H4413" s="235" t="s">
        <v>32794</v>
      </c>
      <c r="I4413" s="235" t="s">
        <v>32794</v>
      </c>
      <c r="J4413" s="235" t="s">
        <v>32795</v>
      </c>
      <c r="K4413" s="235" t="s">
        <v>32796</v>
      </c>
      <c r="N4413" s="235" t="s">
        <v>78</v>
      </c>
      <c r="O4413" s="235" t="s">
        <v>360</v>
      </c>
      <c r="P4413" s="238">
        <v>1.0</v>
      </c>
      <c r="Q4413" s="235" t="s">
        <v>627</v>
      </c>
      <c r="R4413" s="238">
        <v>360.95</v>
      </c>
      <c r="S4413" s="238">
        <v>17.69</v>
      </c>
      <c r="T4413" s="238">
        <v>38.1</v>
      </c>
      <c r="U4413" s="238">
        <v>1.9</v>
      </c>
      <c r="V4413" s="238">
        <v>0.0</v>
      </c>
      <c r="W4413" s="238">
        <v>0.0</v>
      </c>
      <c r="X4413" s="235" t="s">
        <v>628</v>
      </c>
      <c r="Z4413" s="245"/>
      <c r="AA4413" s="245"/>
      <c r="AB4413" s="245"/>
      <c r="AC4413" s="235" t="s">
        <v>697</v>
      </c>
      <c r="AD4413" s="235" t="s">
        <v>698</v>
      </c>
      <c r="AE4413" s="238">
        <v>500005.0</v>
      </c>
      <c r="AF4413" s="235" t="s">
        <v>631</v>
      </c>
      <c r="AG4413" s="245"/>
      <c r="AH4413" s="245"/>
      <c r="AI4413" s="245"/>
      <c r="AJ4413" s="245"/>
      <c r="AK4413" s="245"/>
      <c r="AL4413" s="245"/>
      <c r="AM4413" s="245"/>
      <c r="AN4413" s="245"/>
      <c r="AO4413" s="238">
        <v>-7.22</v>
      </c>
      <c r="AP4413" s="238">
        <v>-38.1</v>
      </c>
      <c r="AQ4413" s="235" t="s">
        <v>632</v>
      </c>
      <c r="AR4413" s="243">
        <v>3.71E11</v>
      </c>
      <c r="AS4413" s="235" t="s">
        <v>29883</v>
      </c>
      <c r="AT4413" s="235" t="s">
        <v>16</v>
      </c>
      <c r="AU4413" s="235" t="s">
        <v>634</v>
      </c>
      <c r="AV4413" s="246" t="s">
        <v>635</v>
      </c>
      <c r="AW4413" s="227"/>
      <c r="AX4413" s="227"/>
      <c r="AY4413" s="227"/>
      <c r="AZ4413" s="227"/>
      <c r="BA4413" s="227"/>
      <c r="BB4413" s="227"/>
      <c r="BC4413" s="227"/>
      <c r="BD4413" s="227"/>
      <c r="BE4413" s="227"/>
      <c r="BF4413" s="227"/>
    </row>
    <row r="4414">
      <c r="A4414" s="235" t="s">
        <v>32797</v>
      </c>
      <c r="C4414" s="235" t="s">
        <v>32798</v>
      </c>
      <c r="D4414" s="235" t="s">
        <v>32799</v>
      </c>
      <c r="E4414" s="243">
        <v>6.51E13</v>
      </c>
      <c r="F4414" s="245"/>
      <c r="G4414" s="235" t="s">
        <v>32800</v>
      </c>
      <c r="H4414" s="235" t="s">
        <v>32801</v>
      </c>
      <c r="I4414" s="235" t="s">
        <v>32801</v>
      </c>
      <c r="J4414" s="235" t="s">
        <v>32802</v>
      </c>
      <c r="K4414" s="235" t="s">
        <v>32803</v>
      </c>
      <c r="N4414" s="235" t="s">
        <v>85</v>
      </c>
      <c r="O4414" s="235" t="s">
        <v>872</v>
      </c>
      <c r="P4414" s="238">
        <v>1.0</v>
      </c>
      <c r="Q4414" s="235" t="s">
        <v>627</v>
      </c>
      <c r="R4414" s="238">
        <v>243.81</v>
      </c>
      <c r="S4414" s="238">
        <v>12.19</v>
      </c>
      <c r="T4414" s="238">
        <v>0.0</v>
      </c>
      <c r="U4414" s="238">
        <v>0.0</v>
      </c>
      <c r="V4414" s="238">
        <v>0.0</v>
      </c>
      <c r="W4414" s="238">
        <v>0.0</v>
      </c>
      <c r="X4414" s="235" t="s">
        <v>628</v>
      </c>
      <c r="Z4414" s="245"/>
      <c r="AA4414" s="245"/>
      <c r="AB4414" s="245"/>
      <c r="AC4414" s="235" t="s">
        <v>32804</v>
      </c>
      <c r="AD4414" s="235" t="s">
        <v>908</v>
      </c>
      <c r="AE4414" s="238">
        <v>249408.0</v>
      </c>
      <c r="AF4414" s="235" t="s">
        <v>631</v>
      </c>
      <c r="AG4414" s="245"/>
      <c r="AH4414" s="245"/>
      <c r="AI4414" s="245"/>
      <c r="AJ4414" s="245"/>
      <c r="AK4414" s="245"/>
      <c r="AL4414" s="245"/>
      <c r="AM4414" s="245"/>
      <c r="AN4414" s="245"/>
      <c r="AO4414" s="238">
        <v>0.0</v>
      </c>
      <c r="AP4414" s="238">
        <v>0.0</v>
      </c>
      <c r="AQ4414" s="235" t="s">
        <v>632</v>
      </c>
      <c r="AR4414" s="243">
        <v>1.68E11</v>
      </c>
      <c r="AS4414" s="235" t="s">
        <v>31232</v>
      </c>
      <c r="AT4414" s="235" t="s">
        <v>533</v>
      </c>
      <c r="AU4414" s="235" t="s">
        <v>634</v>
      </c>
      <c r="AV4414" s="246" t="s">
        <v>635</v>
      </c>
      <c r="AW4414" s="227"/>
      <c r="AX4414" s="227"/>
      <c r="AY4414" s="227"/>
      <c r="AZ4414" s="227"/>
      <c r="BA4414" s="227"/>
      <c r="BB4414" s="227"/>
      <c r="BC4414" s="227"/>
      <c r="BD4414" s="227"/>
      <c r="BE4414" s="227"/>
      <c r="BF4414" s="227"/>
    </row>
    <row r="4415">
      <c r="A4415" s="235" t="s">
        <v>32805</v>
      </c>
      <c r="C4415" s="235" t="s">
        <v>32806</v>
      </c>
      <c r="D4415" s="235" t="s">
        <v>32807</v>
      </c>
      <c r="E4415" s="243">
        <v>6.5E13</v>
      </c>
      <c r="F4415" s="245"/>
      <c r="G4415" s="235" t="s">
        <v>32808</v>
      </c>
      <c r="H4415" s="235" t="s">
        <v>32809</v>
      </c>
      <c r="I4415" s="235" t="s">
        <v>32809</v>
      </c>
      <c r="J4415" s="235" t="s">
        <v>32810</v>
      </c>
      <c r="K4415" s="235" t="s">
        <v>32811</v>
      </c>
      <c r="N4415" s="235" t="s">
        <v>55</v>
      </c>
      <c r="O4415" s="235" t="s">
        <v>244</v>
      </c>
      <c r="P4415" s="238">
        <v>1.0</v>
      </c>
      <c r="Q4415" s="235" t="s">
        <v>627</v>
      </c>
      <c r="R4415" s="238">
        <v>242.86</v>
      </c>
      <c r="S4415" s="238">
        <v>12.14</v>
      </c>
      <c r="T4415" s="238">
        <v>38.1</v>
      </c>
      <c r="U4415" s="238">
        <v>1.9</v>
      </c>
      <c r="V4415" s="238">
        <v>0.0</v>
      </c>
      <c r="W4415" s="238">
        <v>0.0</v>
      </c>
      <c r="X4415" s="235" t="s">
        <v>628</v>
      </c>
      <c r="Z4415" s="245"/>
      <c r="AA4415" s="245"/>
      <c r="AB4415" s="245"/>
      <c r="AC4415" s="235" t="s">
        <v>1058</v>
      </c>
      <c r="AD4415" s="235" t="s">
        <v>845</v>
      </c>
      <c r="AE4415" s="238">
        <v>400031.0</v>
      </c>
      <c r="AF4415" s="235" t="s">
        <v>631</v>
      </c>
      <c r="AG4415" s="245"/>
      <c r="AH4415" s="245"/>
      <c r="AI4415" s="245"/>
      <c r="AJ4415" s="245"/>
      <c r="AK4415" s="245"/>
      <c r="AL4415" s="245"/>
      <c r="AM4415" s="245"/>
      <c r="AN4415" s="245"/>
      <c r="AO4415" s="238">
        <v>0.0</v>
      </c>
      <c r="AP4415" s="238">
        <v>-38.1</v>
      </c>
      <c r="AQ4415" s="235" t="s">
        <v>632</v>
      </c>
      <c r="AR4415" s="243">
        <v>3.71E11</v>
      </c>
      <c r="AS4415" s="235" t="s">
        <v>28482</v>
      </c>
      <c r="AT4415" s="235" t="s">
        <v>11</v>
      </c>
      <c r="AU4415" s="235" t="s">
        <v>634</v>
      </c>
      <c r="AV4415" s="246" t="s">
        <v>635</v>
      </c>
      <c r="AW4415" s="227"/>
      <c r="AX4415" s="227"/>
      <c r="AY4415" s="227"/>
      <c r="AZ4415" s="227"/>
      <c r="BA4415" s="227"/>
      <c r="BB4415" s="227"/>
      <c r="BC4415" s="227"/>
      <c r="BD4415" s="227"/>
      <c r="BE4415" s="227"/>
      <c r="BF4415" s="227"/>
    </row>
    <row r="4416">
      <c r="A4416" s="235" t="s">
        <v>32812</v>
      </c>
      <c r="C4416" s="235" t="s">
        <v>32813</v>
      </c>
      <c r="D4416" s="235" t="s">
        <v>32814</v>
      </c>
      <c r="E4416" s="243">
        <v>6.5E13</v>
      </c>
      <c r="F4416" s="245"/>
      <c r="G4416" s="235" t="s">
        <v>32815</v>
      </c>
      <c r="H4416" s="235" t="s">
        <v>32816</v>
      </c>
      <c r="I4416" s="235" t="s">
        <v>32816</v>
      </c>
      <c r="J4416" s="235" t="s">
        <v>32817</v>
      </c>
      <c r="K4416" s="235" t="s">
        <v>32818</v>
      </c>
      <c r="N4416" s="235" t="s">
        <v>43</v>
      </c>
      <c r="O4416" s="235" t="s">
        <v>276</v>
      </c>
      <c r="P4416" s="238">
        <v>1.0</v>
      </c>
      <c r="Q4416" s="235" t="s">
        <v>627</v>
      </c>
      <c r="R4416" s="238">
        <v>235.24</v>
      </c>
      <c r="S4416" s="238">
        <v>11.76</v>
      </c>
      <c r="T4416" s="238">
        <v>0.0</v>
      </c>
      <c r="U4416" s="238">
        <v>0.0</v>
      </c>
      <c r="V4416" s="238">
        <v>0.0</v>
      </c>
      <c r="W4416" s="238">
        <v>0.0</v>
      </c>
      <c r="X4416" s="235" t="s">
        <v>628</v>
      </c>
      <c r="Z4416" s="245"/>
      <c r="AA4416" s="245"/>
      <c r="AB4416" s="245"/>
      <c r="AC4416" s="235" t="s">
        <v>832</v>
      </c>
      <c r="AD4416" s="235" t="s">
        <v>833</v>
      </c>
      <c r="AE4416" s="238">
        <v>530046.0</v>
      </c>
      <c r="AF4416" s="235" t="s">
        <v>631</v>
      </c>
      <c r="AG4416" s="245"/>
      <c r="AH4416" s="245"/>
      <c r="AI4416" s="245"/>
      <c r="AJ4416" s="245"/>
      <c r="AK4416" s="245"/>
      <c r="AL4416" s="245"/>
      <c r="AM4416" s="245"/>
      <c r="AN4416" s="245"/>
      <c r="AO4416" s="238">
        <v>0.0</v>
      </c>
      <c r="AP4416" s="238">
        <v>0.0</v>
      </c>
      <c r="AQ4416" s="235" t="s">
        <v>632</v>
      </c>
      <c r="AR4416" s="243">
        <v>3.71E11</v>
      </c>
      <c r="AS4416" s="235" t="s">
        <v>28482</v>
      </c>
      <c r="AT4416" s="235" t="s">
        <v>546</v>
      </c>
      <c r="AU4416" s="235" t="s">
        <v>634</v>
      </c>
      <c r="AV4416" s="246" t="s">
        <v>635</v>
      </c>
      <c r="AW4416" s="227"/>
      <c r="AX4416" s="227"/>
      <c r="AY4416" s="227"/>
      <c r="AZ4416" s="227"/>
      <c r="BA4416" s="227"/>
      <c r="BB4416" s="227"/>
      <c r="BC4416" s="227"/>
      <c r="BD4416" s="227"/>
      <c r="BE4416" s="227"/>
      <c r="BF4416" s="227"/>
    </row>
    <row r="4417">
      <c r="A4417" s="235" t="s">
        <v>32819</v>
      </c>
      <c r="C4417" s="235" t="s">
        <v>32820</v>
      </c>
      <c r="D4417" s="235" t="s">
        <v>32821</v>
      </c>
      <c r="E4417" s="243">
        <v>6.51E13</v>
      </c>
      <c r="F4417" s="245"/>
      <c r="G4417" s="235" t="s">
        <v>32822</v>
      </c>
      <c r="H4417" s="235" t="s">
        <v>32823</v>
      </c>
      <c r="I4417" s="235" t="s">
        <v>32823</v>
      </c>
      <c r="J4417" s="235" t="s">
        <v>32824</v>
      </c>
      <c r="K4417" s="235" t="s">
        <v>32825</v>
      </c>
      <c r="N4417" s="235" t="s">
        <v>145</v>
      </c>
      <c r="O4417" s="235" t="s">
        <v>370</v>
      </c>
      <c r="P4417" s="238">
        <v>1.0</v>
      </c>
      <c r="Q4417" s="235" t="s">
        <v>627</v>
      </c>
      <c r="R4417" s="238">
        <v>1522.86</v>
      </c>
      <c r="S4417" s="238">
        <v>76.14</v>
      </c>
      <c r="T4417" s="238">
        <v>0.0</v>
      </c>
      <c r="U4417" s="238">
        <v>0.0</v>
      </c>
      <c r="V4417" s="238">
        <v>0.0</v>
      </c>
      <c r="W4417" s="238">
        <v>0.0</v>
      </c>
      <c r="X4417" s="235" t="s">
        <v>628</v>
      </c>
      <c r="Z4417" s="245"/>
      <c r="AA4417" s="245"/>
      <c r="AB4417" s="245"/>
      <c r="AC4417" s="235" t="s">
        <v>12183</v>
      </c>
      <c r="AD4417" s="235" t="s">
        <v>854</v>
      </c>
      <c r="AE4417" s="238">
        <v>403402.0</v>
      </c>
      <c r="AF4417" s="235" t="s">
        <v>631</v>
      </c>
      <c r="AG4417" s="245"/>
      <c r="AH4417" s="245"/>
      <c r="AI4417" s="245"/>
      <c r="AJ4417" s="245"/>
      <c r="AK4417" s="245"/>
      <c r="AL4417" s="245"/>
      <c r="AM4417" s="245"/>
      <c r="AN4417" s="245"/>
      <c r="AO4417" s="238">
        <v>0.0</v>
      </c>
      <c r="AP4417" s="238">
        <v>0.0</v>
      </c>
      <c r="AQ4417" s="235" t="s">
        <v>632</v>
      </c>
      <c r="AR4417" s="243">
        <v>3.71E11</v>
      </c>
      <c r="AS4417" s="235" t="s">
        <v>29883</v>
      </c>
      <c r="AT4417" s="235" t="s">
        <v>11</v>
      </c>
      <c r="AU4417" s="235" t="s">
        <v>634</v>
      </c>
      <c r="AV4417" s="246" t="s">
        <v>635</v>
      </c>
      <c r="AW4417" s="227"/>
      <c r="AX4417" s="227"/>
      <c r="AY4417" s="227"/>
      <c r="AZ4417" s="227"/>
      <c r="BA4417" s="227"/>
      <c r="BB4417" s="227"/>
      <c r="BC4417" s="227"/>
      <c r="BD4417" s="227"/>
      <c r="BE4417" s="227"/>
      <c r="BF4417" s="227"/>
    </row>
    <row r="4418">
      <c r="A4418" s="235" t="s">
        <v>32826</v>
      </c>
      <c r="C4418" s="235" t="s">
        <v>32827</v>
      </c>
      <c r="D4418" s="235" t="s">
        <v>32828</v>
      </c>
      <c r="E4418" s="243">
        <v>6.5E13</v>
      </c>
      <c r="F4418" s="245"/>
      <c r="G4418" s="235" t="s">
        <v>32829</v>
      </c>
      <c r="H4418" s="235" t="s">
        <v>32830</v>
      </c>
      <c r="I4418" s="235" t="s">
        <v>32830</v>
      </c>
      <c r="J4418" s="235" t="s">
        <v>32733</v>
      </c>
      <c r="K4418" s="235" t="s">
        <v>32831</v>
      </c>
      <c r="N4418" s="235" t="s">
        <v>127</v>
      </c>
      <c r="O4418" s="235" t="s">
        <v>794</v>
      </c>
      <c r="P4418" s="238">
        <v>1.0</v>
      </c>
      <c r="Q4418" s="235" t="s">
        <v>627</v>
      </c>
      <c r="R4418" s="238">
        <v>243.8</v>
      </c>
      <c r="S4418" s="238">
        <v>12.2</v>
      </c>
      <c r="T4418" s="238">
        <v>38.1</v>
      </c>
      <c r="U4418" s="238">
        <v>1.9</v>
      </c>
      <c r="V4418" s="238">
        <v>0.0</v>
      </c>
      <c r="W4418" s="238">
        <v>0.0</v>
      </c>
      <c r="X4418" s="235" t="s">
        <v>628</v>
      </c>
      <c r="Z4418" s="245"/>
      <c r="AA4418" s="245"/>
      <c r="AB4418" s="245"/>
      <c r="AC4418" s="235" t="s">
        <v>32832</v>
      </c>
      <c r="AD4418" s="235" t="s">
        <v>928</v>
      </c>
      <c r="AE4418" s="238">
        <v>125051.0</v>
      </c>
      <c r="AF4418" s="235" t="s">
        <v>631</v>
      </c>
      <c r="AG4418" s="245"/>
      <c r="AH4418" s="245"/>
      <c r="AI4418" s="245"/>
      <c r="AJ4418" s="245"/>
      <c r="AK4418" s="245"/>
      <c r="AL4418" s="245"/>
      <c r="AM4418" s="245"/>
      <c r="AN4418" s="245"/>
      <c r="AO4418" s="238">
        <v>0.0</v>
      </c>
      <c r="AP4418" s="238">
        <v>-38.1</v>
      </c>
      <c r="AQ4418" s="235" t="s">
        <v>632</v>
      </c>
      <c r="AR4418" s="243">
        <v>3.71E11</v>
      </c>
      <c r="AS4418" s="235" t="s">
        <v>31232</v>
      </c>
      <c r="AT4418" s="235" t="s">
        <v>13</v>
      </c>
      <c r="AU4418" s="235" t="s">
        <v>634</v>
      </c>
      <c r="AV4418" s="246" t="s">
        <v>635</v>
      </c>
      <c r="AW4418" s="227"/>
      <c r="AX4418" s="227"/>
      <c r="AY4418" s="227"/>
      <c r="AZ4418" s="227"/>
      <c r="BA4418" s="227"/>
      <c r="BB4418" s="227"/>
      <c r="BC4418" s="227"/>
      <c r="BD4418" s="227"/>
      <c r="BE4418" s="227"/>
      <c r="BF4418" s="227"/>
    </row>
    <row r="4419">
      <c r="A4419" s="235" t="s">
        <v>32833</v>
      </c>
      <c r="C4419" s="235" t="s">
        <v>32834</v>
      </c>
      <c r="D4419" s="235" t="s">
        <v>32835</v>
      </c>
      <c r="E4419" s="243">
        <v>6.51E13</v>
      </c>
      <c r="F4419" s="245"/>
      <c r="G4419" s="235" t="s">
        <v>32836</v>
      </c>
      <c r="H4419" s="235" t="s">
        <v>32837</v>
      </c>
      <c r="I4419" s="235" t="s">
        <v>32837</v>
      </c>
      <c r="J4419" s="235" t="s">
        <v>32838</v>
      </c>
      <c r="K4419" s="235" t="s">
        <v>32839</v>
      </c>
      <c r="N4419" s="235" t="s">
        <v>145</v>
      </c>
      <c r="O4419" s="235" t="s">
        <v>370</v>
      </c>
      <c r="P4419" s="238">
        <v>1.0</v>
      </c>
      <c r="Q4419" s="235" t="s">
        <v>627</v>
      </c>
      <c r="R4419" s="238">
        <v>1522.86</v>
      </c>
      <c r="S4419" s="238">
        <v>74.62</v>
      </c>
      <c r="T4419" s="238">
        <v>0.0</v>
      </c>
      <c r="U4419" s="238">
        <v>0.0</v>
      </c>
      <c r="V4419" s="238">
        <v>0.0</v>
      </c>
      <c r="W4419" s="238">
        <v>0.0</v>
      </c>
      <c r="X4419" s="235" t="s">
        <v>628</v>
      </c>
      <c r="Z4419" s="245"/>
      <c r="AA4419" s="245"/>
      <c r="AB4419" s="245"/>
      <c r="AC4419" s="235" t="s">
        <v>4071</v>
      </c>
      <c r="AD4419" s="235" t="s">
        <v>928</v>
      </c>
      <c r="AE4419" s="238">
        <v>122002.0</v>
      </c>
      <c r="AF4419" s="235" t="s">
        <v>631</v>
      </c>
      <c r="AG4419" s="245"/>
      <c r="AH4419" s="245"/>
      <c r="AI4419" s="245"/>
      <c r="AJ4419" s="245"/>
      <c r="AK4419" s="245"/>
      <c r="AL4419" s="245"/>
      <c r="AM4419" s="245"/>
      <c r="AN4419" s="245"/>
      <c r="AO4419" s="238">
        <v>-30.46</v>
      </c>
      <c r="AP4419" s="238">
        <v>0.0</v>
      </c>
      <c r="AQ4419" s="235" t="s">
        <v>632</v>
      </c>
      <c r="AR4419" s="243">
        <v>1.68E11</v>
      </c>
      <c r="AS4419" s="235" t="s">
        <v>32840</v>
      </c>
      <c r="AT4419" s="235" t="s">
        <v>14</v>
      </c>
      <c r="AU4419" s="235" t="s">
        <v>634</v>
      </c>
      <c r="AV4419" s="246" t="s">
        <v>635</v>
      </c>
      <c r="AW4419" s="227"/>
      <c r="AX4419" s="227"/>
      <c r="AY4419" s="227"/>
      <c r="AZ4419" s="227"/>
      <c r="BA4419" s="227"/>
      <c r="BB4419" s="227"/>
      <c r="BC4419" s="227"/>
      <c r="BD4419" s="227"/>
      <c r="BE4419" s="227"/>
      <c r="BF4419" s="227"/>
    </row>
    <row r="4420">
      <c r="A4420" s="235" t="s">
        <v>32841</v>
      </c>
      <c r="C4420" s="235" t="s">
        <v>32842</v>
      </c>
      <c r="D4420" s="235" t="s">
        <v>32843</v>
      </c>
      <c r="E4420" s="243">
        <v>6.51E13</v>
      </c>
      <c r="F4420" s="245"/>
      <c r="G4420" s="235" t="s">
        <v>32844</v>
      </c>
      <c r="H4420" s="235" t="s">
        <v>32845</v>
      </c>
      <c r="I4420" s="235" t="s">
        <v>32845</v>
      </c>
      <c r="J4420" s="235" t="s">
        <v>32846</v>
      </c>
      <c r="K4420" s="235" t="s">
        <v>32847</v>
      </c>
      <c r="N4420" s="235" t="s">
        <v>127</v>
      </c>
      <c r="O4420" s="235" t="s">
        <v>794</v>
      </c>
      <c r="P4420" s="238">
        <v>1.0</v>
      </c>
      <c r="Q4420" s="235" t="s">
        <v>627</v>
      </c>
      <c r="R4420" s="238">
        <v>243.8</v>
      </c>
      <c r="S4420" s="238">
        <v>12.2</v>
      </c>
      <c r="T4420" s="238">
        <v>0.0</v>
      </c>
      <c r="U4420" s="238">
        <v>0.0</v>
      </c>
      <c r="V4420" s="238">
        <v>0.0</v>
      </c>
      <c r="W4420" s="238">
        <v>0.0</v>
      </c>
      <c r="X4420" s="235" t="s">
        <v>628</v>
      </c>
      <c r="Z4420" s="245"/>
      <c r="AA4420" s="245"/>
      <c r="AB4420" s="245"/>
      <c r="AC4420" s="235" t="s">
        <v>678</v>
      </c>
      <c r="AD4420" s="235" t="s">
        <v>679</v>
      </c>
      <c r="AE4420" s="238">
        <v>560073.0</v>
      </c>
      <c r="AF4420" s="235" t="s">
        <v>631</v>
      </c>
      <c r="AG4420" s="245"/>
      <c r="AH4420" s="245"/>
      <c r="AI4420" s="245"/>
      <c r="AJ4420" s="245"/>
      <c r="AK4420" s="245"/>
      <c r="AL4420" s="245"/>
      <c r="AM4420" s="245"/>
      <c r="AN4420" s="245"/>
      <c r="AO4420" s="238">
        <v>0.0</v>
      </c>
      <c r="AP4420" s="238">
        <v>0.0</v>
      </c>
      <c r="AQ4420" s="235" t="s">
        <v>632</v>
      </c>
      <c r="AR4420" s="243">
        <v>3.71E11</v>
      </c>
      <c r="AS4420" s="235" t="s">
        <v>32455</v>
      </c>
      <c r="AT4420" s="235" t="s">
        <v>11</v>
      </c>
      <c r="AU4420" s="235" t="s">
        <v>634</v>
      </c>
      <c r="AV4420" s="246" t="s">
        <v>635</v>
      </c>
      <c r="AW4420" s="227"/>
      <c r="AX4420" s="227"/>
      <c r="AY4420" s="227"/>
      <c r="AZ4420" s="227"/>
      <c r="BA4420" s="227"/>
      <c r="BB4420" s="227"/>
      <c r="BC4420" s="227"/>
      <c r="BD4420" s="227"/>
      <c r="BE4420" s="227"/>
      <c r="BF4420" s="227"/>
    </row>
    <row r="4421">
      <c r="A4421" s="235" t="s">
        <v>32848</v>
      </c>
      <c r="C4421" s="235" t="s">
        <v>32849</v>
      </c>
      <c r="D4421" s="235" t="s">
        <v>32850</v>
      </c>
      <c r="E4421" s="243">
        <v>6.5E13</v>
      </c>
      <c r="F4421" s="245"/>
      <c r="G4421" s="235" t="s">
        <v>32851</v>
      </c>
      <c r="H4421" s="235" t="s">
        <v>32852</v>
      </c>
      <c r="I4421" s="235" t="s">
        <v>32852</v>
      </c>
      <c r="J4421" s="235" t="s">
        <v>32853</v>
      </c>
      <c r="K4421" s="235" t="s">
        <v>32854</v>
      </c>
      <c r="N4421" s="235" t="s">
        <v>127</v>
      </c>
      <c r="O4421" s="235" t="s">
        <v>794</v>
      </c>
      <c r="P4421" s="238">
        <v>1.0</v>
      </c>
      <c r="Q4421" s="235" t="s">
        <v>627</v>
      </c>
      <c r="R4421" s="238">
        <v>243.81</v>
      </c>
      <c r="S4421" s="238">
        <v>12.19</v>
      </c>
      <c r="T4421" s="238">
        <v>38.1</v>
      </c>
      <c r="U4421" s="238">
        <v>1.9</v>
      </c>
      <c r="V4421" s="238">
        <v>0.0</v>
      </c>
      <c r="W4421" s="238">
        <v>0.0</v>
      </c>
      <c r="X4421" s="235" t="s">
        <v>628</v>
      </c>
      <c r="Z4421" s="245"/>
      <c r="AA4421" s="245"/>
      <c r="AB4421" s="245"/>
      <c r="AC4421" s="235" t="s">
        <v>32855</v>
      </c>
      <c r="AD4421" s="235" t="s">
        <v>679</v>
      </c>
      <c r="AE4421" s="238">
        <v>582101.0</v>
      </c>
      <c r="AF4421" s="235" t="s">
        <v>631</v>
      </c>
      <c r="AG4421" s="245"/>
      <c r="AH4421" s="245"/>
      <c r="AI4421" s="245"/>
      <c r="AJ4421" s="245"/>
      <c r="AK4421" s="245"/>
      <c r="AL4421" s="245"/>
      <c r="AM4421" s="245"/>
      <c r="AN4421" s="245"/>
      <c r="AO4421" s="238">
        <v>0.0</v>
      </c>
      <c r="AP4421" s="238">
        <v>-38.1</v>
      </c>
      <c r="AQ4421" s="235" t="s">
        <v>632</v>
      </c>
      <c r="AR4421" s="243">
        <v>3.71E11</v>
      </c>
      <c r="AS4421" s="235" t="s">
        <v>28482</v>
      </c>
      <c r="AT4421" s="235" t="s">
        <v>546</v>
      </c>
      <c r="AU4421" s="235" t="s">
        <v>634</v>
      </c>
      <c r="AV4421" s="246" t="s">
        <v>635</v>
      </c>
      <c r="AW4421" s="227"/>
      <c r="AX4421" s="227"/>
      <c r="AY4421" s="227"/>
      <c r="AZ4421" s="227"/>
      <c r="BA4421" s="227"/>
      <c r="BB4421" s="227"/>
      <c r="BC4421" s="227"/>
      <c r="BD4421" s="227"/>
      <c r="BE4421" s="227"/>
      <c r="BF4421" s="227"/>
    </row>
    <row r="4422">
      <c r="A4422" s="235" t="s">
        <v>32856</v>
      </c>
      <c r="C4422" s="235" t="s">
        <v>32857</v>
      </c>
      <c r="D4422" s="235" t="s">
        <v>32858</v>
      </c>
      <c r="E4422" s="243">
        <v>6.5E13</v>
      </c>
      <c r="F4422" s="245"/>
      <c r="G4422" s="235" t="s">
        <v>32859</v>
      </c>
      <c r="H4422" s="235" t="s">
        <v>32860</v>
      </c>
      <c r="I4422" s="235" t="s">
        <v>32860</v>
      </c>
      <c r="J4422" s="235" t="s">
        <v>32861</v>
      </c>
      <c r="K4422" s="235" t="s">
        <v>32862</v>
      </c>
      <c r="N4422" s="235" t="s">
        <v>717</v>
      </c>
      <c r="O4422" s="235" t="s">
        <v>718</v>
      </c>
      <c r="P4422" s="238">
        <v>1.0</v>
      </c>
      <c r="Q4422" s="235" t="s">
        <v>627</v>
      </c>
      <c r="R4422" s="238">
        <v>456.19</v>
      </c>
      <c r="S4422" s="238">
        <v>22.81</v>
      </c>
      <c r="T4422" s="238">
        <v>38.1</v>
      </c>
      <c r="U4422" s="238">
        <v>1.9</v>
      </c>
      <c r="V4422" s="238">
        <v>0.0</v>
      </c>
      <c r="W4422" s="238">
        <v>0.0</v>
      </c>
      <c r="X4422" s="235" t="s">
        <v>628</v>
      </c>
      <c r="Z4422" s="245"/>
      <c r="AA4422" s="245"/>
      <c r="AB4422" s="245"/>
      <c r="AC4422" s="235" t="s">
        <v>32863</v>
      </c>
      <c r="AD4422" s="235" t="s">
        <v>908</v>
      </c>
      <c r="AE4422" s="238">
        <v>263139.0</v>
      </c>
      <c r="AF4422" s="235" t="s">
        <v>631</v>
      </c>
      <c r="AG4422" s="245"/>
      <c r="AH4422" s="245"/>
      <c r="AI4422" s="245"/>
      <c r="AJ4422" s="245"/>
      <c r="AK4422" s="245"/>
      <c r="AL4422" s="245"/>
      <c r="AM4422" s="245"/>
      <c r="AN4422" s="245"/>
      <c r="AO4422" s="238">
        <v>0.0</v>
      </c>
      <c r="AP4422" s="238">
        <v>-38.1</v>
      </c>
      <c r="AQ4422" s="235" t="s">
        <v>1328</v>
      </c>
      <c r="AR4422" s="243">
        <v>1.34E13</v>
      </c>
      <c r="AS4422" s="235" t="s">
        <v>22269</v>
      </c>
      <c r="AT4422" s="235" t="s">
        <v>14</v>
      </c>
      <c r="AU4422" s="235" t="s">
        <v>634</v>
      </c>
      <c r="AV4422" s="246" t="s">
        <v>635</v>
      </c>
      <c r="AW4422" s="227"/>
      <c r="AX4422" s="227"/>
      <c r="AY4422" s="227"/>
      <c r="AZ4422" s="227"/>
      <c r="BA4422" s="227"/>
      <c r="BB4422" s="227"/>
      <c r="BC4422" s="227"/>
      <c r="BD4422" s="227"/>
      <c r="BE4422" s="227"/>
      <c r="BF4422" s="227"/>
    </row>
    <row r="4423">
      <c r="A4423" s="235" t="s">
        <v>32864</v>
      </c>
      <c r="C4423" s="235" t="s">
        <v>32865</v>
      </c>
      <c r="D4423" s="235" t="s">
        <v>32866</v>
      </c>
      <c r="E4423" s="243">
        <v>6.51E13</v>
      </c>
      <c r="F4423" s="245"/>
      <c r="G4423" s="235" t="s">
        <v>32867</v>
      </c>
      <c r="H4423" s="235" t="s">
        <v>32868</v>
      </c>
      <c r="I4423" s="235" t="s">
        <v>32869</v>
      </c>
      <c r="J4423" s="235" t="s">
        <v>32870</v>
      </c>
      <c r="K4423" s="235" t="s">
        <v>32871</v>
      </c>
      <c r="N4423" s="235" t="s">
        <v>146</v>
      </c>
      <c r="O4423" s="235" t="s">
        <v>438</v>
      </c>
      <c r="P4423" s="238">
        <v>1.0</v>
      </c>
      <c r="Q4423" s="235" t="s">
        <v>627</v>
      </c>
      <c r="R4423" s="238">
        <v>256.2</v>
      </c>
      <c r="S4423" s="238">
        <v>12.8</v>
      </c>
      <c r="T4423" s="238">
        <v>0.0</v>
      </c>
      <c r="U4423" s="238">
        <v>0.0</v>
      </c>
      <c r="V4423" s="238">
        <v>0.0</v>
      </c>
      <c r="W4423" s="238">
        <v>0.0</v>
      </c>
      <c r="X4423" s="235" t="s">
        <v>628</v>
      </c>
      <c r="Z4423" s="245"/>
      <c r="AA4423" s="245"/>
      <c r="AB4423" s="245"/>
      <c r="AC4423" s="235" t="s">
        <v>2092</v>
      </c>
      <c r="AD4423" s="235" t="s">
        <v>845</v>
      </c>
      <c r="AE4423" s="238">
        <v>411038.0</v>
      </c>
      <c r="AF4423" s="235" t="s">
        <v>631</v>
      </c>
      <c r="AG4423" s="245"/>
      <c r="AH4423" s="245"/>
      <c r="AI4423" s="245"/>
      <c r="AJ4423" s="245"/>
      <c r="AK4423" s="245"/>
      <c r="AL4423" s="245"/>
      <c r="AM4423" s="245"/>
      <c r="AN4423" s="245"/>
      <c r="AO4423" s="238">
        <v>0.0</v>
      </c>
      <c r="AP4423" s="238">
        <v>0.0</v>
      </c>
      <c r="AQ4423" s="235" t="s">
        <v>632</v>
      </c>
      <c r="AR4423" s="243">
        <v>1.68E11</v>
      </c>
      <c r="AS4423" s="235" t="s">
        <v>32455</v>
      </c>
      <c r="AT4423" s="235" t="s">
        <v>16</v>
      </c>
      <c r="AU4423" s="235" t="s">
        <v>634</v>
      </c>
      <c r="AV4423" s="246" t="s">
        <v>635</v>
      </c>
      <c r="AW4423" s="227"/>
      <c r="AX4423" s="227"/>
      <c r="AY4423" s="227"/>
      <c r="AZ4423" s="227"/>
      <c r="BA4423" s="227"/>
      <c r="BB4423" s="227"/>
      <c r="BC4423" s="227"/>
      <c r="BD4423" s="227"/>
      <c r="BE4423" s="227"/>
      <c r="BF4423" s="227"/>
    </row>
    <row r="4424">
      <c r="A4424" s="235" t="s">
        <v>32872</v>
      </c>
      <c r="C4424" s="235" t="s">
        <v>32873</v>
      </c>
      <c r="D4424" s="235" t="s">
        <v>32874</v>
      </c>
      <c r="E4424" s="243">
        <v>6.51E13</v>
      </c>
      <c r="F4424" s="245"/>
      <c r="G4424" s="235" t="s">
        <v>32875</v>
      </c>
      <c r="H4424" s="235" t="s">
        <v>32876</v>
      </c>
      <c r="I4424" s="235" t="s">
        <v>32877</v>
      </c>
      <c r="J4424" s="235" t="s">
        <v>32878</v>
      </c>
      <c r="K4424" s="235" t="s">
        <v>32879</v>
      </c>
      <c r="N4424" s="235" t="s">
        <v>2163</v>
      </c>
      <c r="O4424" s="235" t="s">
        <v>2164</v>
      </c>
      <c r="P4424" s="238">
        <v>1.0</v>
      </c>
      <c r="Q4424" s="235" t="s">
        <v>627</v>
      </c>
      <c r="R4424" s="238">
        <v>245.72</v>
      </c>
      <c r="S4424" s="238">
        <v>12.28</v>
      </c>
      <c r="T4424" s="238">
        <v>0.0</v>
      </c>
      <c r="U4424" s="238">
        <v>0.0</v>
      </c>
      <c r="V4424" s="238">
        <v>0.0</v>
      </c>
      <c r="W4424" s="238">
        <v>0.0</v>
      </c>
      <c r="X4424" s="235" t="s">
        <v>628</v>
      </c>
      <c r="Z4424" s="245"/>
      <c r="AA4424" s="245"/>
      <c r="AB4424" s="245"/>
      <c r="AC4424" s="235" t="s">
        <v>1320</v>
      </c>
      <c r="AD4424" s="235" t="s">
        <v>666</v>
      </c>
      <c r="AE4424" s="238">
        <v>600050.0</v>
      </c>
      <c r="AF4424" s="235" t="s">
        <v>631</v>
      </c>
      <c r="AG4424" s="245"/>
      <c r="AH4424" s="245"/>
      <c r="AI4424" s="245"/>
      <c r="AJ4424" s="245"/>
      <c r="AK4424" s="245"/>
      <c r="AL4424" s="245"/>
      <c r="AM4424" s="245"/>
      <c r="AN4424" s="245"/>
      <c r="AO4424" s="238">
        <v>0.0</v>
      </c>
      <c r="AP4424" s="238">
        <v>0.0</v>
      </c>
      <c r="AQ4424" s="235" t="s">
        <v>632</v>
      </c>
      <c r="AR4424" s="243">
        <v>1.68E11</v>
      </c>
      <c r="AS4424" s="235" t="s">
        <v>32840</v>
      </c>
      <c r="AT4424" s="235" t="s">
        <v>156</v>
      </c>
      <c r="AU4424" s="235" t="s">
        <v>634</v>
      </c>
      <c r="AV4424" s="246" t="s">
        <v>635</v>
      </c>
      <c r="AW4424" s="227"/>
      <c r="AX4424" s="227"/>
      <c r="AY4424" s="227"/>
      <c r="AZ4424" s="227"/>
      <c r="BA4424" s="227"/>
      <c r="BB4424" s="227"/>
      <c r="BC4424" s="227"/>
      <c r="BD4424" s="227"/>
      <c r="BE4424" s="227"/>
      <c r="BF4424" s="227"/>
    </row>
    <row r="4425">
      <c r="A4425" s="235" t="s">
        <v>32880</v>
      </c>
      <c r="C4425" s="235" t="s">
        <v>32881</v>
      </c>
      <c r="D4425" s="235" t="s">
        <v>32882</v>
      </c>
      <c r="E4425" s="243">
        <v>6.51E13</v>
      </c>
      <c r="F4425" s="245"/>
      <c r="G4425" s="235" t="s">
        <v>32883</v>
      </c>
      <c r="H4425" s="235" t="s">
        <v>32884</v>
      </c>
      <c r="I4425" s="235" t="s">
        <v>32884</v>
      </c>
      <c r="J4425" s="235" t="s">
        <v>32885</v>
      </c>
      <c r="K4425" s="235" t="s">
        <v>32886</v>
      </c>
      <c r="N4425" s="235" t="s">
        <v>154</v>
      </c>
      <c r="O4425" s="235" t="s">
        <v>766</v>
      </c>
      <c r="P4425" s="238">
        <v>1.0</v>
      </c>
      <c r="Q4425" s="235" t="s">
        <v>627</v>
      </c>
      <c r="R4425" s="238">
        <v>465.71</v>
      </c>
      <c r="S4425" s="238">
        <v>23.29</v>
      </c>
      <c r="T4425" s="238">
        <v>38.1</v>
      </c>
      <c r="U4425" s="238">
        <v>1.9</v>
      </c>
      <c r="V4425" s="238">
        <v>0.0</v>
      </c>
      <c r="W4425" s="238">
        <v>0.0</v>
      </c>
      <c r="X4425" s="235" t="s">
        <v>628</v>
      </c>
      <c r="Z4425" s="245"/>
      <c r="AA4425" s="245"/>
      <c r="AB4425" s="245"/>
      <c r="AC4425" s="235" t="s">
        <v>6571</v>
      </c>
      <c r="AD4425" s="235" t="s">
        <v>731</v>
      </c>
      <c r="AE4425" s="238">
        <v>781009.0</v>
      </c>
      <c r="AF4425" s="235" t="s">
        <v>631</v>
      </c>
      <c r="AG4425" s="245"/>
      <c r="AH4425" s="245"/>
      <c r="AI4425" s="245"/>
      <c r="AJ4425" s="245"/>
      <c r="AK4425" s="245"/>
      <c r="AL4425" s="245"/>
      <c r="AM4425" s="245"/>
      <c r="AN4425" s="245"/>
      <c r="AO4425" s="238">
        <v>0.0</v>
      </c>
      <c r="AP4425" s="238">
        <v>-38.1</v>
      </c>
      <c r="AQ4425" s="235" t="s">
        <v>632</v>
      </c>
      <c r="AR4425" s="243">
        <v>3.71E11</v>
      </c>
      <c r="AS4425" s="235" t="s">
        <v>25098</v>
      </c>
      <c r="AT4425" s="235" t="s">
        <v>16</v>
      </c>
      <c r="AU4425" s="235" t="s">
        <v>634</v>
      </c>
      <c r="AV4425" s="246" t="s">
        <v>635</v>
      </c>
      <c r="AW4425" s="227"/>
      <c r="AX4425" s="227"/>
      <c r="AY4425" s="227"/>
      <c r="AZ4425" s="227"/>
      <c r="BA4425" s="227"/>
      <c r="BB4425" s="227"/>
      <c r="BC4425" s="227"/>
      <c r="BD4425" s="227"/>
      <c r="BE4425" s="227"/>
      <c r="BF4425" s="227"/>
    </row>
    <row r="4426">
      <c r="A4426" s="235" t="s">
        <v>32887</v>
      </c>
      <c r="C4426" s="235" t="s">
        <v>32888</v>
      </c>
      <c r="D4426" s="235" t="s">
        <v>32889</v>
      </c>
      <c r="E4426" s="243">
        <v>6.5E13</v>
      </c>
      <c r="F4426" s="245"/>
      <c r="G4426" s="235" t="s">
        <v>32890</v>
      </c>
      <c r="H4426" s="235" t="s">
        <v>32891</v>
      </c>
      <c r="I4426" s="235" t="s">
        <v>32892</v>
      </c>
      <c r="J4426" s="235" t="s">
        <v>32893</v>
      </c>
      <c r="K4426" s="235" t="s">
        <v>32894</v>
      </c>
      <c r="N4426" s="235" t="s">
        <v>117</v>
      </c>
      <c r="O4426" s="235" t="s">
        <v>334</v>
      </c>
      <c r="P4426" s="238">
        <v>1.0</v>
      </c>
      <c r="Q4426" s="235" t="s">
        <v>627</v>
      </c>
      <c r="R4426" s="238">
        <v>237.14</v>
      </c>
      <c r="S4426" s="238">
        <v>11.62</v>
      </c>
      <c r="T4426" s="238">
        <v>38.1</v>
      </c>
      <c r="U4426" s="238">
        <v>1.9</v>
      </c>
      <c r="V4426" s="238">
        <v>0.0</v>
      </c>
      <c r="W4426" s="238">
        <v>0.0</v>
      </c>
      <c r="X4426" s="235" t="s">
        <v>628</v>
      </c>
      <c r="Z4426" s="245"/>
      <c r="AA4426" s="245"/>
      <c r="AB4426" s="245"/>
      <c r="AC4426" s="235" t="s">
        <v>5499</v>
      </c>
      <c r="AD4426" s="235" t="s">
        <v>630</v>
      </c>
      <c r="AE4426" s="238">
        <v>211016.0</v>
      </c>
      <c r="AF4426" s="235" t="s">
        <v>631</v>
      </c>
      <c r="AG4426" s="245"/>
      <c r="AH4426" s="245"/>
      <c r="AI4426" s="245"/>
      <c r="AJ4426" s="245"/>
      <c r="AK4426" s="245"/>
      <c r="AL4426" s="245"/>
      <c r="AM4426" s="245"/>
      <c r="AN4426" s="245"/>
      <c r="AO4426" s="238">
        <v>-4.74</v>
      </c>
      <c r="AP4426" s="238">
        <v>-38.1</v>
      </c>
      <c r="AQ4426" s="235" t="s">
        <v>632</v>
      </c>
      <c r="AR4426" s="243">
        <v>3.71E11</v>
      </c>
      <c r="AS4426" s="235" t="s">
        <v>28482</v>
      </c>
      <c r="AT4426" s="235" t="s">
        <v>533</v>
      </c>
      <c r="AU4426" s="235" t="s">
        <v>634</v>
      </c>
      <c r="AV4426" s="246" t="s">
        <v>635</v>
      </c>
      <c r="AW4426" s="227"/>
      <c r="AX4426" s="227"/>
      <c r="AY4426" s="227"/>
      <c r="AZ4426" s="227"/>
      <c r="BA4426" s="227"/>
      <c r="BB4426" s="227"/>
      <c r="BC4426" s="227"/>
      <c r="BD4426" s="227"/>
      <c r="BE4426" s="227"/>
      <c r="BF4426" s="227"/>
    </row>
    <row r="4427">
      <c r="A4427" s="235" t="s">
        <v>32895</v>
      </c>
      <c r="C4427" s="235" t="s">
        <v>32896</v>
      </c>
      <c r="D4427" s="235" t="s">
        <v>32897</v>
      </c>
      <c r="E4427" s="243">
        <v>6.51E13</v>
      </c>
      <c r="F4427" s="245"/>
      <c r="G4427" s="235" t="s">
        <v>32898</v>
      </c>
      <c r="H4427" s="235" t="s">
        <v>32899</v>
      </c>
      <c r="I4427" s="235" t="s">
        <v>32900</v>
      </c>
      <c r="J4427" s="235" t="s">
        <v>32901</v>
      </c>
      <c r="K4427" s="235" t="s">
        <v>32902</v>
      </c>
      <c r="N4427" s="235" t="s">
        <v>136</v>
      </c>
      <c r="O4427" s="235" t="s">
        <v>256</v>
      </c>
      <c r="P4427" s="238">
        <v>1.0</v>
      </c>
      <c r="Q4427" s="235" t="s">
        <v>627</v>
      </c>
      <c r="R4427" s="238">
        <v>244.76</v>
      </c>
      <c r="S4427" s="238">
        <v>12.0</v>
      </c>
      <c r="T4427" s="238">
        <v>0.0</v>
      </c>
      <c r="U4427" s="238">
        <v>0.0</v>
      </c>
      <c r="V4427" s="238">
        <v>0.0</v>
      </c>
      <c r="W4427" s="238">
        <v>0.0</v>
      </c>
      <c r="X4427" s="235" t="s">
        <v>628</v>
      </c>
      <c r="Z4427" s="245"/>
      <c r="AA4427" s="245"/>
      <c r="AB4427" s="245"/>
      <c r="AC4427" s="235" t="s">
        <v>678</v>
      </c>
      <c r="AD4427" s="235" t="s">
        <v>679</v>
      </c>
      <c r="AE4427" s="238">
        <v>560076.0</v>
      </c>
      <c r="AF4427" s="235" t="s">
        <v>631</v>
      </c>
      <c r="AG4427" s="245"/>
      <c r="AH4427" s="245"/>
      <c r="AI4427" s="245"/>
      <c r="AJ4427" s="245"/>
      <c r="AK4427" s="245"/>
      <c r="AL4427" s="245"/>
      <c r="AM4427" s="245"/>
      <c r="AN4427" s="245"/>
      <c r="AO4427" s="238">
        <v>-4.9</v>
      </c>
      <c r="AP4427" s="238">
        <v>0.0</v>
      </c>
      <c r="AQ4427" s="235" t="s">
        <v>632</v>
      </c>
      <c r="AR4427" s="243">
        <v>1.68E11</v>
      </c>
      <c r="AS4427" s="235" t="s">
        <v>32840</v>
      </c>
      <c r="AT4427" s="235" t="s">
        <v>11</v>
      </c>
      <c r="AU4427" s="235" t="s">
        <v>634</v>
      </c>
      <c r="AV4427" s="246" t="s">
        <v>635</v>
      </c>
      <c r="AW4427" s="227"/>
      <c r="AX4427" s="227"/>
      <c r="AY4427" s="227"/>
      <c r="AZ4427" s="227"/>
      <c r="BA4427" s="227"/>
      <c r="BB4427" s="227"/>
      <c r="BC4427" s="227"/>
      <c r="BD4427" s="227"/>
      <c r="BE4427" s="227"/>
      <c r="BF4427" s="227"/>
    </row>
    <row r="4428">
      <c r="A4428" s="235" t="s">
        <v>32903</v>
      </c>
      <c r="C4428" s="235" t="s">
        <v>32904</v>
      </c>
      <c r="D4428" s="235" t="s">
        <v>32905</v>
      </c>
      <c r="E4428" s="243">
        <v>6.51E13</v>
      </c>
      <c r="F4428" s="245"/>
      <c r="G4428" s="235" t="s">
        <v>32906</v>
      </c>
      <c r="H4428" s="235" t="s">
        <v>32907</v>
      </c>
      <c r="I4428" s="235" t="s">
        <v>32907</v>
      </c>
      <c r="J4428" s="235" t="s">
        <v>32908</v>
      </c>
      <c r="K4428" s="235" t="s">
        <v>32909</v>
      </c>
      <c r="N4428" s="235" t="s">
        <v>127</v>
      </c>
      <c r="O4428" s="235" t="s">
        <v>794</v>
      </c>
      <c r="P4428" s="238">
        <v>1.0</v>
      </c>
      <c r="Q4428" s="235" t="s">
        <v>627</v>
      </c>
      <c r="R4428" s="238">
        <v>243.8</v>
      </c>
      <c r="S4428" s="238">
        <v>12.2</v>
      </c>
      <c r="T4428" s="238">
        <v>38.1</v>
      </c>
      <c r="U4428" s="238">
        <v>1.9</v>
      </c>
      <c r="V4428" s="238">
        <v>0.0</v>
      </c>
      <c r="W4428" s="238">
        <v>0.0</v>
      </c>
      <c r="X4428" s="235" t="s">
        <v>628</v>
      </c>
      <c r="Z4428" s="245"/>
      <c r="AA4428" s="245"/>
      <c r="AB4428" s="245"/>
      <c r="AC4428" s="235" t="s">
        <v>32910</v>
      </c>
      <c r="AD4428" s="235" t="s">
        <v>845</v>
      </c>
      <c r="AE4428" s="238">
        <v>410502.0</v>
      </c>
      <c r="AF4428" s="235" t="s">
        <v>631</v>
      </c>
      <c r="AG4428" s="245"/>
      <c r="AH4428" s="245"/>
      <c r="AI4428" s="245"/>
      <c r="AJ4428" s="245"/>
      <c r="AK4428" s="245"/>
      <c r="AL4428" s="245"/>
      <c r="AM4428" s="245"/>
      <c r="AN4428" s="245"/>
      <c r="AO4428" s="238">
        <v>0.0</v>
      </c>
      <c r="AP4428" s="238">
        <v>-38.1</v>
      </c>
      <c r="AQ4428" s="235" t="s">
        <v>632</v>
      </c>
      <c r="AR4428" s="243">
        <v>3.71E11</v>
      </c>
      <c r="AS4428" s="235" t="s">
        <v>29883</v>
      </c>
      <c r="AT4428" s="235" t="s">
        <v>546</v>
      </c>
      <c r="AU4428" s="235" t="s">
        <v>634</v>
      </c>
      <c r="AV4428" s="246" t="s">
        <v>635</v>
      </c>
      <c r="AW4428" s="227"/>
      <c r="AX4428" s="227"/>
      <c r="AY4428" s="227"/>
      <c r="AZ4428" s="227"/>
      <c r="BA4428" s="227"/>
      <c r="BB4428" s="227"/>
      <c r="BC4428" s="227"/>
      <c r="BD4428" s="227"/>
      <c r="BE4428" s="227"/>
      <c r="BF4428" s="227"/>
    </row>
    <row r="4429">
      <c r="A4429" s="235" t="s">
        <v>32911</v>
      </c>
      <c r="C4429" s="235" t="s">
        <v>32912</v>
      </c>
      <c r="D4429" s="235" t="s">
        <v>32913</v>
      </c>
      <c r="E4429" s="243">
        <v>6.51E13</v>
      </c>
      <c r="F4429" s="245"/>
      <c r="G4429" s="235" t="s">
        <v>32914</v>
      </c>
      <c r="H4429" s="235" t="s">
        <v>32915</v>
      </c>
      <c r="I4429" s="235" t="s">
        <v>32915</v>
      </c>
      <c r="J4429" s="235" t="s">
        <v>32916</v>
      </c>
      <c r="K4429" s="235" t="s">
        <v>32917</v>
      </c>
      <c r="N4429" s="235" t="s">
        <v>144</v>
      </c>
      <c r="O4429" s="235" t="s">
        <v>232</v>
      </c>
      <c r="P4429" s="238">
        <v>1.0</v>
      </c>
      <c r="Q4429" s="235" t="s">
        <v>627</v>
      </c>
      <c r="R4429" s="238">
        <v>665.72</v>
      </c>
      <c r="S4429" s="238">
        <v>33.28</v>
      </c>
      <c r="T4429" s="238">
        <v>0.0</v>
      </c>
      <c r="U4429" s="238">
        <v>0.0</v>
      </c>
      <c r="V4429" s="238">
        <v>0.0</v>
      </c>
      <c r="W4429" s="238">
        <v>0.0</v>
      </c>
      <c r="X4429" s="235" t="s">
        <v>628</v>
      </c>
      <c r="Z4429" s="245"/>
      <c r="AA4429" s="245"/>
      <c r="AB4429" s="245"/>
      <c r="AC4429" s="235" t="s">
        <v>678</v>
      </c>
      <c r="AD4429" s="235" t="s">
        <v>679</v>
      </c>
      <c r="AE4429" s="238">
        <v>560010.0</v>
      </c>
      <c r="AF4429" s="235" t="s">
        <v>631</v>
      </c>
      <c r="AG4429" s="245"/>
      <c r="AH4429" s="245"/>
      <c r="AI4429" s="245"/>
      <c r="AJ4429" s="245"/>
      <c r="AK4429" s="245"/>
      <c r="AL4429" s="245"/>
      <c r="AM4429" s="245"/>
      <c r="AN4429" s="245"/>
      <c r="AO4429" s="238">
        <v>0.0</v>
      </c>
      <c r="AP4429" s="238">
        <v>0.0</v>
      </c>
      <c r="AQ4429" s="235" t="s">
        <v>632</v>
      </c>
      <c r="AR4429" s="243">
        <v>1.68E11</v>
      </c>
      <c r="AS4429" s="235" t="s">
        <v>32840</v>
      </c>
      <c r="AT4429" s="235" t="s">
        <v>9</v>
      </c>
      <c r="AU4429" s="235" t="s">
        <v>634</v>
      </c>
      <c r="AV4429" s="246" t="s">
        <v>635</v>
      </c>
      <c r="AW4429" s="227"/>
      <c r="AX4429" s="227"/>
      <c r="AY4429" s="227"/>
      <c r="AZ4429" s="227"/>
      <c r="BA4429" s="227"/>
      <c r="BB4429" s="227"/>
      <c r="BC4429" s="227"/>
      <c r="BD4429" s="227"/>
      <c r="BE4429" s="227"/>
      <c r="BF4429" s="227"/>
    </row>
    <row r="4430">
      <c r="A4430" s="235" t="s">
        <v>32918</v>
      </c>
      <c r="C4430" s="235" t="s">
        <v>32919</v>
      </c>
      <c r="D4430" s="235" t="s">
        <v>32920</v>
      </c>
      <c r="E4430" s="243">
        <v>6.51E13</v>
      </c>
      <c r="F4430" s="245"/>
      <c r="G4430" s="235" t="s">
        <v>32921</v>
      </c>
      <c r="H4430" s="235" t="s">
        <v>32922</v>
      </c>
      <c r="I4430" s="235" t="s">
        <v>32922</v>
      </c>
      <c r="J4430" s="235" t="s">
        <v>32923</v>
      </c>
      <c r="K4430" s="235" t="s">
        <v>32924</v>
      </c>
      <c r="N4430" s="235" t="s">
        <v>126</v>
      </c>
      <c r="O4430" s="235" t="s">
        <v>407</v>
      </c>
      <c r="P4430" s="238">
        <v>1.0</v>
      </c>
      <c r="Q4430" s="235" t="s">
        <v>627</v>
      </c>
      <c r="R4430" s="238">
        <v>237.14</v>
      </c>
      <c r="S4430" s="238">
        <v>11.86</v>
      </c>
      <c r="T4430" s="238">
        <v>0.0</v>
      </c>
      <c r="U4430" s="238">
        <v>0.0</v>
      </c>
      <c r="V4430" s="238">
        <v>0.0</v>
      </c>
      <c r="W4430" s="238">
        <v>0.0</v>
      </c>
      <c r="X4430" s="235" t="s">
        <v>628</v>
      </c>
      <c r="Z4430" s="245"/>
      <c r="AA4430" s="245"/>
      <c r="AB4430" s="245"/>
      <c r="AC4430" s="235" t="s">
        <v>678</v>
      </c>
      <c r="AD4430" s="235" t="s">
        <v>679</v>
      </c>
      <c r="AE4430" s="238">
        <v>560021.0</v>
      </c>
      <c r="AF4430" s="235" t="s">
        <v>631</v>
      </c>
      <c r="AG4430" s="245"/>
      <c r="AH4430" s="245"/>
      <c r="AI4430" s="245"/>
      <c r="AJ4430" s="245"/>
      <c r="AK4430" s="245"/>
      <c r="AL4430" s="245"/>
      <c r="AM4430" s="245"/>
      <c r="AN4430" s="245"/>
      <c r="AO4430" s="238">
        <v>0.0</v>
      </c>
      <c r="AP4430" s="238">
        <v>0.0</v>
      </c>
      <c r="AQ4430" s="235" t="s">
        <v>632</v>
      </c>
      <c r="AR4430" s="243">
        <v>1.68E11</v>
      </c>
      <c r="AS4430" s="235" t="s">
        <v>32840</v>
      </c>
      <c r="AT4430" s="235" t="s">
        <v>11</v>
      </c>
      <c r="AU4430" s="235" t="s">
        <v>634</v>
      </c>
      <c r="AV4430" s="246" t="s">
        <v>635</v>
      </c>
      <c r="AW4430" s="227"/>
      <c r="AX4430" s="227"/>
      <c r="AY4430" s="227"/>
      <c r="AZ4430" s="227"/>
      <c r="BA4430" s="227"/>
      <c r="BB4430" s="227"/>
      <c r="BC4430" s="227"/>
      <c r="BD4430" s="227"/>
      <c r="BE4430" s="227"/>
      <c r="BF4430" s="227"/>
    </row>
    <row r="4431">
      <c r="A4431" s="235" t="s">
        <v>32925</v>
      </c>
      <c r="C4431" s="235" t="s">
        <v>32926</v>
      </c>
      <c r="D4431" s="235" t="s">
        <v>32927</v>
      </c>
      <c r="E4431" s="243">
        <v>6.51E13</v>
      </c>
      <c r="F4431" s="245"/>
      <c r="G4431" s="235" t="s">
        <v>32928</v>
      </c>
      <c r="H4431" s="235" t="s">
        <v>32929</v>
      </c>
      <c r="I4431" s="235" t="s">
        <v>32929</v>
      </c>
      <c r="J4431" s="235" t="s">
        <v>32930</v>
      </c>
      <c r="K4431" s="235" t="s">
        <v>32931</v>
      </c>
      <c r="N4431" s="235" t="s">
        <v>71</v>
      </c>
      <c r="O4431" s="235" t="s">
        <v>240</v>
      </c>
      <c r="P4431" s="238">
        <v>2.0</v>
      </c>
      <c r="Q4431" s="235" t="s">
        <v>627</v>
      </c>
      <c r="R4431" s="238">
        <v>493.32</v>
      </c>
      <c r="S4431" s="238">
        <v>23.94</v>
      </c>
      <c r="T4431" s="238">
        <v>0.0</v>
      </c>
      <c r="U4431" s="238">
        <v>0.0</v>
      </c>
      <c r="V4431" s="238">
        <v>0.0</v>
      </c>
      <c r="W4431" s="238">
        <v>0.0</v>
      </c>
      <c r="X4431" s="235" t="s">
        <v>628</v>
      </c>
      <c r="Z4431" s="245"/>
      <c r="AA4431" s="245"/>
      <c r="AB4431" s="245"/>
      <c r="AC4431" s="235" t="s">
        <v>1887</v>
      </c>
      <c r="AD4431" s="235" t="s">
        <v>679</v>
      </c>
      <c r="AE4431" s="238">
        <v>560043.0</v>
      </c>
      <c r="AF4431" s="235" t="s">
        <v>631</v>
      </c>
      <c r="AG4431" s="245"/>
      <c r="AH4431" s="245"/>
      <c r="AI4431" s="245"/>
      <c r="AJ4431" s="245"/>
      <c r="AK4431" s="245"/>
      <c r="AL4431" s="245"/>
      <c r="AM4431" s="245"/>
      <c r="AN4431" s="245"/>
      <c r="AO4431" s="238">
        <v>-14.8</v>
      </c>
      <c r="AP4431" s="238">
        <v>0.0</v>
      </c>
      <c r="AQ4431" s="235" t="s">
        <v>632</v>
      </c>
      <c r="AR4431" s="243">
        <v>1.68E11</v>
      </c>
      <c r="AS4431" s="235" t="s">
        <v>32840</v>
      </c>
      <c r="AT4431" s="235" t="s">
        <v>11</v>
      </c>
      <c r="AU4431" s="235" t="s">
        <v>634</v>
      </c>
      <c r="AV4431" s="246" t="s">
        <v>635</v>
      </c>
      <c r="AW4431" s="227"/>
      <c r="AX4431" s="227"/>
      <c r="AY4431" s="227"/>
      <c r="AZ4431" s="227"/>
      <c r="BA4431" s="227"/>
      <c r="BB4431" s="227"/>
      <c r="BC4431" s="227"/>
      <c r="BD4431" s="227"/>
      <c r="BE4431" s="227"/>
      <c r="BF4431" s="227"/>
    </row>
    <row r="4432">
      <c r="A4432" s="235" t="s">
        <v>32925</v>
      </c>
      <c r="C4432" s="235" t="s">
        <v>32926</v>
      </c>
      <c r="D4432" s="235" t="s">
        <v>32932</v>
      </c>
      <c r="E4432" s="243">
        <v>6.51E13</v>
      </c>
      <c r="F4432" s="245"/>
      <c r="G4432" s="235" t="s">
        <v>32928</v>
      </c>
      <c r="H4432" s="235" t="s">
        <v>32929</v>
      </c>
      <c r="I4432" s="235" t="s">
        <v>32929</v>
      </c>
      <c r="J4432" s="235" t="s">
        <v>32930</v>
      </c>
      <c r="K4432" s="235" t="s">
        <v>32931</v>
      </c>
      <c r="N4432" s="235" t="s">
        <v>71</v>
      </c>
      <c r="O4432" s="235" t="s">
        <v>240</v>
      </c>
      <c r="P4432" s="238">
        <v>1.0</v>
      </c>
      <c r="Q4432" s="235" t="s">
        <v>627</v>
      </c>
      <c r="R4432" s="238">
        <v>246.66</v>
      </c>
      <c r="S4432" s="238">
        <v>11.97</v>
      </c>
      <c r="T4432" s="238">
        <v>0.0</v>
      </c>
      <c r="U4432" s="238">
        <v>0.0</v>
      </c>
      <c r="V4432" s="238">
        <v>0.0</v>
      </c>
      <c r="W4432" s="238">
        <v>0.0</v>
      </c>
      <c r="X4432" s="235" t="s">
        <v>628</v>
      </c>
      <c r="Z4432" s="245"/>
      <c r="AA4432" s="245"/>
      <c r="AB4432" s="245"/>
      <c r="AC4432" s="235" t="s">
        <v>1887</v>
      </c>
      <c r="AD4432" s="235" t="s">
        <v>679</v>
      </c>
      <c r="AE4432" s="238">
        <v>560043.0</v>
      </c>
      <c r="AF4432" s="235" t="s">
        <v>631</v>
      </c>
      <c r="AG4432" s="245"/>
      <c r="AH4432" s="245"/>
      <c r="AI4432" s="245"/>
      <c r="AJ4432" s="245"/>
      <c r="AK4432" s="245"/>
      <c r="AL4432" s="245"/>
      <c r="AM4432" s="245"/>
      <c r="AN4432" s="245"/>
      <c r="AO4432" s="238">
        <v>-7.4</v>
      </c>
      <c r="AP4432" s="238">
        <v>0.0</v>
      </c>
      <c r="AQ4432" s="235" t="s">
        <v>632</v>
      </c>
      <c r="AR4432" s="243">
        <v>1.68E11</v>
      </c>
      <c r="AS4432" s="235" t="s">
        <v>32840</v>
      </c>
      <c r="AT4432" s="235" t="s">
        <v>11</v>
      </c>
      <c r="AU4432" s="235" t="s">
        <v>634</v>
      </c>
      <c r="AV4432" s="246" t="s">
        <v>635</v>
      </c>
      <c r="AW4432" s="227"/>
      <c r="AX4432" s="227"/>
      <c r="AY4432" s="227"/>
      <c r="AZ4432" s="227"/>
      <c r="BA4432" s="227"/>
      <c r="BB4432" s="227"/>
      <c r="BC4432" s="227"/>
      <c r="BD4432" s="227"/>
      <c r="BE4432" s="227"/>
      <c r="BF4432" s="227"/>
    </row>
    <row r="4433">
      <c r="A4433" s="235" t="s">
        <v>32933</v>
      </c>
      <c r="C4433" s="235" t="s">
        <v>32934</v>
      </c>
      <c r="D4433" s="235" t="s">
        <v>32935</v>
      </c>
      <c r="E4433" s="243">
        <v>6.5E13</v>
      </c>
      <c r="F4433" s="245"/>
      <c r="G4433" s="235" t="s">
        <v>32936</v>
      </c>
      <c r="H4433" s="235" t="s">
        <v>32937</v>
      </c>
      <c r="I4433" s="235" t="s">
        <v>32937</v>
      </c>
      <c r="J4433" s="235" t="s">
        <v>32938</v>
      </c>
      <c r="K4433" s="235" t="s">
        <v>32939</v>
      </c>
      <c r="N4433" s="235" t="s">
        <v>41</v>
      </c>
      <c r="O4433" s="235" t="s">
        <v>291</v>
      </c>
      <c r="P4433" s="238">
        <v>1.0</v>
      </c>
      <c r="Q4433" s="235" t="s">
        <v>627</v>
      </c>
      <c r="R4433" s="238">
        <v>237.14</v>
      </c>
      <c r="S4433" s="238">
        <v>11.86</v>
      </c>
      <c r="T4433" s="238">
        <v>38.1</v>
      </c>
      <c r="U4433" s="238">
        <v>1.9</v>
      </c>
      <c r="V4433" s="238">
        <v>0.0</v>
      </c>
      <c r="W4433" s="238">
        <v>0.0</v>
      </c>
      <c r="X4433" s="235" t="s">
        <v>628</v>
      </c>
      <c r="Z4433" s="245"/>
      <c r="AA4433" s="245"/>
      <c r="AB4433" s="245"/>
      <c r="AC4433" s="235" t="s">
        <v>1514</v>
      </c>
      <c r="AD4433" s="235" t="s">
        <v>1077</v>
      </c>
      <c r="AE4433" s="238">
        <v>380014.0</v>
      </c>
      <c r="AF4433" s="235" t="s">
        <v>631</v>
      </c>
      <c r="AG4433" s="245"/>
      <c r="AH4433" s="245"/>
      <c r="AI4433" s="245"/>
      <c r="AJ4433" s="245"/>
      <c r="AK4433" s="245"/>
      <c r="AL4433" s="245"/>
      <c r="AM4433" s="245"/>
      <c r="AN4433" s="245"/>
      <c r="AO4433" s="238">
        <v>0.0</v>
      </c>
      <c r="AP4433" s="238">
        <v>-38.1</v>
      </c>
      <c r="AQ4433" s="235" t="s">
        <v>632</v>
      </c>
      <c r="AR4433" s="243">
        <v>3.71E11</v>
      </c>
      <c r="AS4433" s="235" t="s">
        <v>28482</v>
      </c>
      <c r="AT4433" s="235" t="s">
        <v>16</v>
      </c>
      <c r="AU4433" s="235" t="s">
        <v>634</v>
      </c>
      <c r="AV4433" s="246" t="s">
        <v>635</v>
      </c>
      <c r="AW4433" s="227"/>
      <c r="AX4433" s="227"/>
      <c r="AY4433" s="227"/>
      <c r="AZ4433" s="227"/>
      <c r="BA4433" s="227"/>
      <c r="BB4433" s="227"/>
      <c r="BC4433" s="227"/>
      <c r="BD4433" s="227"/>
      <c r="BE4433" s="227"/>
      <c r="BF4433" s="227"/>
    </row>
    <row r="4434">
      <c r="A4434" s="235" t="s">
        <v>32940</v>
      </c>
      <c r="C4434" s="235" t="s">
        <v>32941</v>
      </c>
      <c r="D4434" s="235" t="s">
        <v>32942</v>
      </c>
      <c r="E4434" s="243">
        <v>6.51E13</v>
      </c>
      <c r="F4434" s="245"/>
      <c r="G4434" s="235" t="s">
        <v>32943</v>
      </c>
      <c r="H4434" s="235" t="s">
        <v>32944</v>
      </c>
      <c r="I4434" s="235" t="s">
        <v>32945</v>
      </c>
      <c r="J4434" s="235" t="s">
        <v>32946</v>
      </c>
      <c r="K4434" s="235" t="s">
        <v>32947</v>
      </c>
      <c r="N4434" s="235" t="s">
        <v>42</v>
      </c>
      <c r="O4434" s="235" t="s">
        <v>204</v>
      </c>
      <c r="P4434" s="238">
        <v>1.0</v>
      </c>
      <c r="Q4434" s="235" t="s">
        <v>627</v>
      </c>
      <c r="R4434" s="238">
        <v>237.14</v>
      </c>
      <c r="S4434" s="238">
        <v>11.86</v>
      </c>
      <c r="T4434" s="238">
        <v>0.0</v>
      </c>
      <c r="U4434" s="238">
        <v>0.0</v>
      </c>
      <c r="V4434" s="238">
        <v>0.0</v>
      </c>
      <c r="W4434" s="238">
        <v>0.0</v>
      </c>
      <c r="X4434" s="235" t="s">
        <v>628</v>
      </c>
      <c r="Z4434" s="245"/>
      <c r="AA4434" s="245"/>
      <c r="AB4434" s="245"/>
      <c r="AC4434" s="235" t="s">
        <v>678</v>
      </c>
      <c r="AD4434" s="235" t="s">
        <v>679</v>
      </c>
      <c r="AE4434" s="238">
        <v>560102.0</v>
      </c>
      <c r="AF4434" s="235" t="s">
        <v>631</v>
      </c>
      <c r="AG4434" s="245"/>
      <c r="AH4434" s="245"/>
      <c r="AI4434" s="245"/>
      <c r="AJ4434" s="245"/>
      <c r="AK4434" s="245"/>
      <c r="AL4434" s="245"/>
      <c r="AM4434" s="245"/>
      <c r="AN4434" s="245"/>
      <c r="AO4434" s="238">
        <v>0.0</v>
      </c>
      <c r="AP4434" s="238">
        <v>0.0</v>
      </c>
      <c r="AQ4434" s="235" t="s">
        <v>632</v>
      </c>
      <c r="AR4434" s="243">
        <v>1.68E11</v>
      </c>
      <c r="AS4434" s="235" t="s">
        <v>32840</v>
      </c>
      <c r="AT4434" s="235" t="s">
        <v>9</v>
      </c>
      <c r="AU4434" s="235" t="s">
        <v>634</v>
      </c>
      <c r="AV4434" s="246" t="s">
        <v>635</v>
      </c>
      <c r="AW4434" s="227"/>
      <c r="AX4434" s="227"/>
      <c r="AY4434" s="227"/>
      <c r="AZ4434" s="227"/>
      <c r="BA4434" s="227"/>
      <c r="BB4434" s="227"/>
      <c r="BC4434" s="227"/>
      <c r="BD4434" s="227"/>
      <c r="BE4434" s="227"/>
      <c r="BF4434" s="227"/>
    </row>
    <row r="4435">
      <c r="A4435" s="235" t="s">
        <v>32948</v>
      </c>
      <c r="C4435" s="235" t="s">
        <v>32949</v>
      </c>
      <c r="D4435" s="235" t="s">
        <v>32950</v>
      </c>
      <c r="E4435" s="243">
        <v>6.5E13</v>
      </c>
      <c r="F4435" s="245"/>
      <c r="G4435" s="235" t="s">
        <v>32951</v>
      </c>
      <c r="H4435" s="235" t="s">
        <v>32952</v>
      </c>
      <c r="I4435" s="235" t="s">
        <v>32952</v>
      </c>
      <c r="J4435" s="235" t="s">
        <v>32953</v>
      </c>
      <c r="K4435" s="235" t="s">
        <v>32954</v>
      </c>
      <c r="N4435" s="235" t="s">
        <v>42</v>
      </c>
      <c r="O4435" s="235" t="s">
        <v>204</v>
      </c>
      <c r="P4435" s="238">
        <v>1.0</v>
      </c>
      <c r="Q4435" s="235" t="s">
        <v>627</v>
      </c>
      <c r="R4435" s="238">
        <v>237.14</v>
      </c>
      <c r="S4435" s="238">
        <v>11.86</v>
      </c>
      <c r="T4435" s="238">
        <v>38.1</v>
      </c>
      <c r="U4435" s="238">
        <v>1.9</v>
      </c>
      <c r="V4435" s="238">
        <v>0.0</v>
      </c>
      <c r="W4435" s="238">
        <v>0.0</v>
      </c>
      <c r="X4435" s="235" t="s">
        <v>628</v>
      </c>
      <c r="Z4435" s="245"/>
      <c r="AA4435" s="245"/>
      <c r="AB4435" s="245"/>
      <c r="AC4435" s="235" t="s">
        <v>18954</v>
      </c>
      <c r="AD4435" s="235" t="s">
        <v>8917</v>
      </c>
      <c r="AE4435" s="238">
        <v>636201.0</v>
      </c>
      <c r="AF4435" s="235" t="s">
        <v>631</v>
      </c>
      <c r="AG4435" s="245"/>
      <c r="AH4435" s="245"/>
      <c r="AI4435" s="245"/>
      <c r="AJ4435" s="245"/>
      <c r="AK4435" s="245"/>
      <c r="AL4435" s="245"/>
      <c r="AM4435" s="245"/>
      <c r="AN4435" s="245"/>
      <c r="AO4435" s="238">
        <v>0.0</v>
      </c>
      <c r="AP4435" s="238">
        <v>-38.1</v>
      </c>
      <c r="AQ4435" s="235" t="s">
        <v>632</v>
      </c>
      <c r="AR4435" s="243">
        <v>3.71E11</v>
      </c>
      <c r="AS4435" s="235" t="s">
        <v>31232</v>
      </c>
      <c r="AT4435" s="235" t="s">
        <v>11</v>
      </c>
      <c r="AU4435" s="235" t="s">
        <v>634</v>
      </c>
      <c r="AV4435" s="246" t="s">
        <v>635</v>
      </c>
      <c r="AW4435" s="227"/>
      <c r="AX4435" s="227"/>
      <c r="AY4435" s="227"/>
      <c r="AZ4435" s="227"/>
      <c r="BA4435" s="227"/>
      <c r="BB4435" s="227"/>
      <c r="BC4435" s="227"/>
      <c r="BD4435" s="227"/>
      <c r="BE4435" s="227"/>
      <c r="BF4435" s="227"/>
    </row>
    <row r="4436">
      <c r="A4436" s="235" t="s">
        <v>32955</v>
      </c>
      <c r="C4436" s="235" t="s">
        <v>32956</v>
      </c>
      <c r="D4436" s="235" t="s">
        <v>32957</v>
      </c>
      <c r="E4436" s="243">
        <v>6.51E13</v>
      </c>
      <c r="F4436" s="245"/>
      <c r="G4436" s="235" t="s">
        <v>32958</v>
      </c>
      <c r="H4436" s="235" t="s">
        <v>32959</v>
      </c>
      <c r="I4436" s="235" t="s">
        <v>32959</v>
      </c>
      <c r="J4436" s="235" t="s">
        <v>32960</v>
      </c>
      <c r="K4436" s="235" t="s">
        <v>20247</v>
      </c>
      <c r="N4436" s="235" t="s">
        <v>154</v>
      </c>
      <c r="O4436" s="235" t="s">
        <v>766</v>
      </c>
      <c r="P4436" s="238">
        <v>1.0</v>
      </c>
      <c r="Q4436" s="235" t="s">
        <v>627</v>
      </c>
      <c r="R4436" s="238">
        <v>465.72</v>
      </c>
      <c r="S4436" s="238">
        <v>23.28</v>
      </c>
      <c r="T4436" s="238">
        <v>0.0</v>
      </c>
      <c r="U4436" s="238">
        <v>0.0</v>
      </c>
      <c r="V4436" s="238">
        <v>0.0</v>
      </c>
      <c r="W4436" s="238">
        <v>0.0</v>
      </c>
      <c r="X4436" s="235" t="s">
        <v>628</v>
      </c>
      <c r="Z4436" s="245"/>
      <c r="AA4436" s="245"/>
      <c r="AB4436" s="245"/>
      <c r="AC4436" s="235" t="s">
        <v>1514</v>
      </c>
      <c r="AD4436" s="235" t="s">
        <v>1077</v>
      </c>
      <c r="AE4436" s="238">
        <v>380013.0</v>
      </c>
      <c r="AF4436" s="235" t="s">
        <v>631</v>
      </c>
      <c r="AG4436" s="245"/>
      <c r="AH4436" s="245"/>
      <c r="AI4436" s="245"/>
      <c r="AJ4436" s="245"/>
      <c r="AK4436" s="245"/>
      <c r="AL4436" s="245"/>
      <c r="AM4436" s="245"/>
      <c r="AN4436" s="245"/>
      <c r="AO4436" s="238">
        <v>0.0</v>
      </c>
      <c r="AP4436" s="238">
        <v>0.0</v>
      </c>
      <c r="AQ4436" s="235" t="s">
        <v>632</v>
      </c>
      <c r="AR4436" s="243">
        <v>3.71E11</v>
      </c>
      <c r="AS4436" s="235" t="s">
        <v>32455</v>
      </c>
      <c r="AT4436" s="235" t="s">
        <v>5</v>
      </c>
      <c r="AU4436" s="235" t="s">
        <v>634</v>
      </c>
      <c r="AV4436" s="246" t="s">
        <v>635</v>
      </c>
      <c r="AW4436" s="227"/>
      <c r="AX4436" s="227"/>
      <c r="AY4436" s="227"/>
      <c r="AZ4436" s="227"/>
      <c r="BA4436" s="227"/>
      <c r="BB4436" s="227"/>
      <c r="BC4436" s="227"/>
      <c r="BD4436" s="227"/>
      <c r="BE4436" s="227"/>
      <c r="BF4436" s="227"/>
    </row>
    <row r="4437">
      <c r="A4437" s="235" t="s">
        <v>32961</v>
      </c>
      <c r="C4437" s="235" t="s">
        <v>32962</v>
      </c>
      <c r="D4437" s="235" t="s">
        <v>32963</v>
      </c>
      <c r="E4437" s="243">
        <v>6.5E13</v>
      </c>
      <c r="F4437" s="245"/>
      <c r="G4437" s="235" t="s">
        <v>32964</v>
      </c>
      <c r="H4437" s="235" t="s">
        <v>32965</v>
      </c>
      <c r="I4437" s="235" t="s">
        <v>32965</v>
      </c>
      <c r="J4437" s="235" t="s">
        <v>32966</v>
      </c>
      <c r="K4437" s="235" t="s">
        <v>32967</v>
      </c>
      <c r="N4437" s="235" t="s">
        <v>90</v>
      </c>
      <c r="O4437" s="235" t="s">
        <v>279</v>
      </c>
      <c r="P4437" s="238">
        <v>1.0</v>
      </c>
      <c r="Q4437" s="235" t="s">
        <v>627</v>
      </c>
      <c r="R4437" s="238">
        <v>243.8</v>
      </c>
      <c r="S4437" s="238">
        <v>11.96</v>
      </c>
      <c r="T4437" s="238">
        <v>38.1</v>
      </c>
      <c r="U4437" s="238">
        <v>1.9</v>
      </c>
      <c r="V4437" s="238">
        <v>0.0</v>
      </c>
      <c r="W4437" s="238">
        <v>0.0</v>
      </c>
      <c r="X4437" s="235" t="s">
        <v>628</v>
      </c>
      <c r="Z4437" s="245"/>
      <c r="AA4437" s="245"/>
      <c r="AB4437" s="245"/>
      <c r="AC4437" s="235" t="s">
        <v>32968</v>
      </c>
      <c r="AD4437" s="235" t="s">
        <v>845</v>
      </c>
      <c r="AE4437" s="238">
        <v>416213.0</v>
      </c>
      <c r="AF4437" s="235" t="s">
        <v>631</v>
      </c>
      <c r="AG4437" s="245"/>
      <c r="AH4437" s="245"/>
      <c r="AI4437" s="245"/>
      <c r="AJ4437" s="245"/>
      <c r="AK4437" s="245"/>
      <c r="AL4437" s="245"/>
      <c r="AM4437" s="245"/>
      <c r="AN4437" s="245"/>
      <c r="AO4437" s="238">
        <v>-4.88</v>
      </c>
      <c r="AP4437" s="238">
        <v>-38.1</v>
      </c>
      <c r="AQ4437" s="235" t="s">
        <v>632</v>
      </c>
      <c r="AR4437" s="243">
        <v>3.71E11</v>
      </c>
      <c r="AS4437" s="235" t="s">
        <v>28482</v>
      </c>
      <c r="AT4437" s="235" t="s">
        <v>546</v>
      </c>
      <c r="AU4437" s="235" t="s">
        <v>634</v>
      </c>
      <c r="AV4437" s="246" t="s">
        <v>635</v>
      </c>
      <c r="AW4437" s="227"/>
      <c r="AX4437" s="227"/>
      <c r="AY4437" s="227"/>
      <c r="AZ4437" s="227"/>
      <c r="BA4437" s="227"/>
      <c r="BB4437" s="227"/>
      <c r="BC4437" s="227"/>
      <c r="BD4437" s="227"/>
      <c r="BE4437" s="227"/>
      <c r="BF4437" s="227"/>
    </row>
    <row r="4438">
      <c r="A4438" s="235" t="s">
        <v>32969</v>
      </c>
      <c r="C4438" s="235" t="s">
        <v>32970</v>
      </c>
      <c r="D4438" s="235" t="s">
        <v>32971</v>
      </c>
      <c r="E4438" s="243">
        <v>6.51E13</v>
      </c>
      <c r="F4438" s="245"/>
      <c r="G4438" s="235" t="s">
        <v>32972</v>
      </c>
      <c r="H4438" s="235" t="s">
        <v>32973</v>
      </c>
      <c r="I4438" s="235" t="s">
        <v>32973</v>
      </c>
      <c r="J4438" s="235" t="s">
        <v>32974</v>
      </c>
      <c r="K4438" s="235" t="s">
        <v>32975</v>
      </c>
      <c r="N4438" s="235" t="s">
        <v>75</v>
      </c>
      <c r="O4438" s="235" t="s">
        <v>2108</v>
      </c>
      <c r="P4438" s="238">
        <v>1.0</v>
      </c>
      <c r="Q4438" s="235" t="s">
        <v>627</v>
      </c>
      <c r="R4438" s="238">
        <v>360.96</v>
      </c>
      <c r="S4438" s="238">
        <v>18.04</v>
      </c>
      <c r="T4438" s="238">
        <v>0.0</v>
      </c>
      <c r="U4438" s="238">
        <v>0.0</v>
      </c>
      <c r="V4438" s="238">
        <v>0.0</v>
      </c>
      <c r="W4438" s="238">
        <v>0.0</v>
      </c>
      <c r="X4438" s="235" t="s">
        <v>628</v>
      </c>
      <c r="Z4438" s="245"/>
      <c r="AA4438" s="245"/>
      <c r="AB4438" s="245"/>
      <c r="AC4438" s="235" t="s">
        <v>32976</v>
      </c>
      <c r="AD4438" s="235" t="s">
        <v>679</v>
      </c>
      <c r="AE4438" s="238">
        <v>587103.0</v>
      </c>
      <c r="AF4438" s="235" t="s">
        <v>631</v>
      </c>
      <c r="AG4438" s="245"/>
      <c r="AH4438" s="245"/>
      <c r="AI4438" s="245"/>
      <c r="AJ4438" s="245"/>
      <c r="AK4438" s="245"/>
      <c r="AL4438" s="245"/>
      <c r="AM4438" s="245"/>
      <c r="AN4438" s="245"/>
      <c r="AO4438" s="238">
        <v>0.0</v>
      </c>
      <c r="AP4438" s="238">
        <v>0.0</v>
      </c>
      <c r="AQ4438" s="235" t="s">
        <v>632</v>
      </c>
      <c r="AR4438" s="243">
        <v>3.71E11</v>
      </c>
      <c r="AS4438" s="235" t="s">
        <v>29883</v>
      </c>
      <c r="AT4438" s="235" t="s">
        <v>9</v>
      </c>
      <c r="AU4438" s="235" t="s">
        <v>634</v>
      </c>
      <c r="AV4438" s="246" t="s">
        <v>635</v>
      </c>
      <c r="AW4438" s="227"/>
      <c r="AX4438" s="227"/>
      <c r="AY4438" s="227"/>
      <c r="AZ4438" s="227"/>
      <c r="BA4438" s="227"/>
      <c r="BB4438" s="227"/>
      <c r="BC4438" s="227"/>
      <c r="BD4438" s="227"/>
      <c r="BE4438" s="227"/>
      <c r="BF4438" s="227"/>
    </row>
    <row r="4439">
      <c r="A4439" s="235" t="s">
        <v>32977</v>
      </c>
      <c r="C4439" s="235" t="s">
        <v>32978</v>
      </c>
      <c r="D4439" s="235" t="s">
        <v>32979</v>
      </c>
      <c r="E4439" s="243">
        <v>6.51E13</v>
      </c>
      <c r="F4439" s="245"/>
      <c r="G4439" s="235" t="s">
        <v>32980</v>
      </c>
      <c r="H4439" s="235" t="s">
        <v>32981</v>
      </c>
      <c r="I4439" s="235" t="s">
        <v>32981</v>
      </c>
      <c r="J4439" s="235" t="s">
        <v>32982</v>
      </c>
      <c r="K4439" s="235" t="s">
        <v>32983</v>
      </c>
      <c r="N4439" s="235" t="s">
        <v>92</v>
      </c>
      <c r="O4439" s="235" t="s">
        <v>248</v>
      </c>
      <c r="P4439" s="238">
        <v>1.0</v>
      </c>
      <c r="Q4439" s="235" t="s">
        <v>627</v>
      </c>
      <c r="R4439" s="238">
        <v>243.8</v>
      </c>
      <c r="S4439" s="238">
        <v>11.96</v>
      </c>
      <c r="T4439" s="238">
        <v>0.0</v>
      </c>
      <c r="U4439" s="238">
        <v>0.0</v>
      </c>
      <c r="V4439" s="238">
        <v>0.0</v>
      </c>
      <c r="W4439" s="238">
        <v>0.0</v>
      </c>
      <c r="X4439" s="235" t="s">
        <v>628</v>
      </c>
      <c r="Z4439" s="245"/>
      <c r="AA4439" s="245"/>
      <c r="AB4439" s="245"/>
      <c r="AC4439" s="235" t="s">
        <v>687</v>
      </c>
      <c r="AD4439" s="235" t="s">
        <v>666</v>
      </c>
      <c r="AE4439" s="238">
        <v>600098.0</v>
      </c>
      <c r="AF4439" s="235" t="s">
        <v>631</v>
      </c>
      <c r="AG4439" s="245"/>
      <c r="AH4439" s="245"/>
      <c r="AI4439" s="245"/>
      <c r="AJ4439" s="245"/>
      <c r="AK4439" s="245"/>
      <c r="AL4439" s="245"/>
      <c r="AM4439" s="245"/>
      <c r="AN4439" s="245"/>
      <c r="AO4439" s="238">
        <v>-4.88</v>
      </c>
      <c r="AP4439" s="238">
        <v>0.0</v>
      </c>
      <c r="AQ4439" s="235" t="s">
        <v>632</v>
      </c>
      <c r="AR4439" s="243">
        <v>3.71E11</v>
      </c>
      <c r="AS4439" s="235" t="s">
        <v>32455</v>
      </c>
      <c r="AT4439" s="235" t="s">
        <v>156</v>
      </c>
      <c r="AU4439" s="235" t="s">
        <v>634</v>
      </c>
      <c r="AV4439" s="246" t="s">
        <v>635</v>
      </c>
      <c r="AW4439" s="227"/>
      <c r="AX4439" s="227"/>
      <c r="AY4439" s="227"/>
      <c r="AZ4439" s="227"/>
      <c r="BA4439" s="227"/>
      <c r="BB4439" s="227"/>
      <c r="BC4439" s="227"/>
      <c r="BD4439" s="227"/>
      <c r="BE4439" s="227"/>
      <c r="BF4439" s="227"/>
    </row>
    <row r="4440">
      <c r="A4440" s="235" t="s">
        <v>32984</v>
      </c>
      <c r="C4440" s="235" t="s">
        <v>32985</v>
      </c>
      <c r="D4440" s="235" t="s">
        <v>32986</v>
      </c>
      <c r="E4440" s="243">
        <v>6.51E13</v>
      </c>
      <c r="F4440" s="245"/>
      <c r="G4440" s="235" t="s">
        <v>32987</v>
      </c>
      <c r="H4440" s="235" t="s">
        <v>32988</v>
      </c>
      <c r="I4440" s="235" t="s">
        <v>32988</v>
      </c>
      <c r="J4440" s="235" t="s">
        <v>32989</v>
      </c>
      <c r="K4440" s="235" t="s">
        <v>31028</v>
      </c>
      <c r="N4440" s="235" t="s">
        <v>145</v>
      </c>
      <c r="O4440" s="235" t="s">
        <v>370</v>
      </c>
      <c r="P4440" s="238">
        <v>1.0</v>
      </c>
      <c r="Q4440" s="235" t="s">
        <v>627</v>
      </c>
      <c r="R4440" s="238">
        <v>1522.86</v>
      </c>
      <c r="S4440" s="238">
        <v>76.14</v>
      </c>
      <c r="T4440" s="238">
        <v>0.0</v>
      </c>
      <c r="U4440" s="238">
        <v>0.0</v>
      </c>
      <c r="V4440" s="238">
        <v>0.0</v>
      </c>
      <c r="W4440" s="238">
        <v>0.0</v>
      </c>
      <c r="X4440" s="235" t="s">
        <v>628</v>
      </c>
      <c r="Z4440" s="245"/>
      <c r="AA4440" s="245"/>
      <c r="AB4440" s="245"/>
      <c r="AC4440" s="235" t="s">
        <v>678</v>
      </c>
      <c r="AD4440" s="235" t="s">
        <v>679</v>
      </c>
      <c r="AE4440" s="238">
        <v>560077.0</v>
      </c>
      <c r="AF4440" s="235" t="s">
        <v>631</v>
      </c>
      <c r="AG4440" s="245"/>
      <c r="AH4440" s="245"/>
      <c r="AI4440" s="245"/>
      <c r="AJ4440" s="245"/>
      <c r="AK4440" s="245"/>
      <c r="AL4440" s="245"/>
      <c r="AM4440" s="245"/>
      <c r="AN4440" s="245"/>
      <c r="AO4440" s="238">
        <v>0.0</v>
      </c>
      <c r="AP4440" s="238">
        <v>0.0</v>
      </c>
      <c r="AQ4440" s="235" t="s">
        <v>632</v>
      </c>
      <c r="AR4440" s="243">
        <v>3.71E11</v>
      </c>
      <c r="AS4440" s="235" t="s">
        <v>32455</v>
      </c>
      <c r="AT4440" s="235" t="s">
        <v>9</v>
      </c>
      <c r="AU4440" s="235" t="s">
        <v>634</v>
      </c>
      <c r="AV4440" s="246" t="s">
        <v>635</v>
      </c>
      <c r="AW4440" s="227"/>
      <c r="AX4440" s="227"/>
      <c r="AY4440" s="227"/>
      <c r="AZ4440" s="227"/>
      <c r="BA4440" s="227"/>
      <c r="BB4440" s="227"/>
      <c r="BC4440" s="227"/>
      <c r="BD4440" s="227"/>
      <c r="BE4440" s="227"/>
      <c r="BF4440" s="227"/>
    </row>
    <row r="4441">
      <c r="A4441" s="235" t="s">
        <v>32990</v>
      </c>
      <c r="C4441" s="235" t="s">
        <v>32991</v>
      </c>
      <c r="D4441" s="235" t="s">
        <v>32992</v>
      </c>
      <c r="E4441" s="243">
        <v>6.5E13</v>
      </c>
      <c r="F4441" s="245"/>
      <c r="G4441" s="235" t="s">
        <v>32993</v>
      </c>
      <c r="H4441" s="235" t="s">
        <v>32994</v>
      </c>
      <c r="I4441" s="235" t="s">
        <v>32995</v>
      </c>
      <c r="J4441" s="235" t="s">
        <v>32996</v>
      </c>
      <c r="K4441" s="235" t="s">
        <v>32997</v>
      </c>
      <c r="N4441" s="235" t="s">
        <v>4</v>
      </c>
      <c r="O4441" s="235" t="s">
        <v>1791</v>
      </c>
      <c r="P4441" s="238">
        <v>1.0</v>
      </c>
      <c r="Q4441" s="235" t="s">
        <v>627</v>
      </c>
      <c r="R4441" s="238">
        <v>265.72</v>
      </c>
      <c r="S4441" s="238">
        <v>13.28</v>
      </c>
      <c r="T4441" s="238">
        <v>38.1</v>
      </c>
      <c r="U4441" s="238">
        <v>1.9</v>
      </c>
      <c r="V4441" s="238">
        <v>0.0</v>
      </c>
      <c r="W4441" s="238">
        <v>0.0</v>
      </c>
      <c r="X4441" s="235" t="s">
        <v>628</v>
      </c>
      <c r="Z4441" s="245"/>
      <c r="AA4441" s="245"/>
      <c r="AB4441" s="245"/>
      <c r="AC4441" s="235" t="s">
        <v>1887</v>
      </c>
      <c r="AD4441" s="235" t="s">
        <v>679</v>
      </c>
      <c r="AE4441" s="238">
        <v>560048.0</v>
      </c>
      <c r="AF4441" s="235" t="s">
        <v>631</v>
      </c>
      <c r="AG4441" s="245"/>
      <c r="AH4441" s="245"/>
      <c r="AI4441" s="245"/>
      <c r="AJ4441" s="245"/>
      <c r="AK4441" s="245"/>
      <c r="AL4441" s="245"/>
      <c r="AM4441" s="245"/>
      <c r="AN4441" s="245"/>
      <c r="AO4441" s="238">
        <v>0.0</v>
      </c>
      <c r="AP4441" s="238">
        <v>-38.1</v>
      </c>
      <c r="AQ4441" s="235" t="s">
        <v>632</v>
      </c>
      <c r="AR4441" s="243">
        <v>3.71E11</v>
      </c>
      <c r="AS4441" s="235" t="s">
        <v>32455</v>
      </c>
      <c r="AT4441" s="235" t="s">
        <v>9</v>
      </c>
      <c r="AU4441" s="235" t="s">
        <v>634</v>
      </c>
      <c r="AV4441" s="246" t="s">
        <v>635</v>
      </c>
      <c r="AW4441" s="227"/>
      <c r="AX4441" s="227"/>
      <c r="AY4441" s="227"/>
      <c r="AZ4441" s="227"/>
      <c r="BA4441" s="227"/>
      <c r="BB4441" s="227"/>
      <c r="BC4441" s="227"/>
      <c r="BD4441" s="227"/>
      <c r="BE4441" s="227"/>
      <c r="BF4441" s="227"/>
    </row>
    <row r="4442">
      <c r="A4442" s="235" t="s">
        <v>32998</v>
      </c>
      <c r="C4442" s="235" t="s">
        <v>32999</v>
      </c>
      <c r="D4442" s="235" t="s">
        <v>33000</v>
      </c>
      <c r="E4442" s="243">
        <v>6.5E13</v>
      </c>
      <c r="F4442" s="245"/>
      <c r="G4442" s="235" t="s">
        <v>33001</v>
      </c>
      <c r="H4442" s="235" t="s">
        <v>33002</v>
      </c>
      <c r="I4442" s="235" t="s">
        <v>33002</v>
      </c>
      <c r="J4442" s="235" t="s">
        <v>33003</v>
      </c>
      <c r="K4442" s="235" t="s">
        <v>33004</v>
      </c>
      <c r="N4442" s="235" t="s">
        <v>82</v>
      </c>
      <c r="O4442" s="235" t="s">
        <v>889</v>
      </c>
      <c r="P4442" s="238">
        <v>1.0</v>
      </c>
      <c r="Q4442" s="235" t="s">
        <v>627</v>
      </c>
      <c r="R4442" s="238">
        <v>242.86</v>
      </c>
      <c r="S4442" s="238">
        <v>12.14</v>
      </c>
      <c r="T4442" s="238">
        <v>0.0</v>
      </c>
      <c r="U4442" s="238">
        <v>0.0</v>
      </c>
      <c r="V4442" s="238">
        <v>0.0</v>
      </c>
      <c r="W4442" s="238">
        <v>0.0</v>
      </c>
      <c r="X4442" s="235" t="s">
        <v>628</v>
      </c>
      <c r="Z4442" s="245"/>
      <c r="AA4442" s="245"/>
      <c r="AB4442" s="245"/>
      <c r="AC4442" s="235" t="s">
        <v>678</v>
      </c>
      <c r="AD4442" s="235" t="s">
        <v>679</v>
      </c>
      <c r="AE4442" s="238">
        <v>560016.0</v>
      </c>
      <c r="AF4442" s="235" t="s">
        <v>631</v>
      </c>
      <c r="AG4442" s="245"/>
      <c r="AH4442" s="245"/>
      <c r="AI4442" s="245"/>
      <c r="AJ4442" s="245"/>
      <c r="AK4442" s="245"/>
      <c r="AL4442" s="245"/>
      <c r="AM4442" s="245"/>
      <c r="AN4442" s="245"/>
      <c r="AO4442" s="238">
        <v>0.0</v>
      </c>
      <c r="AP4442" s="238">
        <v>0.0</v>
      </c>
      <c r="AQ4442" s="235" t="s">
        <v>632</v>
      </c>
      <c r="AR4442" s="243">
        <v>1.68E11</v>
      </c>
      <c r="AS4442" s="235" t="s">
        <v>32840</v>
      </c>
      <c r="AT4442" s="235" t="s">
        <v>9</v>
      </c>
      <c r="AU4442" s="235" t="s">
        <v>634</v>
      </c>
      <c r="AV4442" s="246" t="s">
        <v>635</v>
      </c>
      <c r="AW4442" s="227"/>
      <c r="AX4442" s="227"/>
      <c r="AY4442" s="227"/>
      <c r="AZ4442" s="227"/>
      <c r="BA4442" s="227"/>
      <c r="BB4442" s="227"/>
      <c r="BC4442" s="227"/>
      <c r="BD4442" s="227"/>
      <c r="BE4442" s="227"/>
      <c r="BF4442" s="227"/>
    </row>
    <row r="4443">
      <c r="A4443" s="235" t="s">
        <v>33005</v>
      </c>
      <c r="C4443" s="235" t="s">
        <v>33006</v>
      </c>
      <c r="D4443" s="235" t="s">
        <v>33007</v>
      </c>
      <c r="E4443" s="243">
        <v>6.5E13</v>
      </c>
      <c r="F4443" s="245"/>
      <c r="G4443" s="235" t="s">
        <v>33008</v>
      </c>
      <c r="H4443" s="235" t="s">
        <v>33009</v>
      </c>
      <c r="I4443" s="235" t="s">
        <v>33010</v>
      </c>
      <c r="J4443" s="235" t="s">
        <v>33011</v>
      </c>
      <c r="K4443" s="235" t="s">
        <v>33012</v>
      </c>
      <c r="N4443" s="235" t="s">
        <v>144</v>
      </c>
      <c r="O4443" s="235" t="s">
        <v>232</v>
      </c>
      <c r="P4443" s="238">
        <v>1.0</v>
      </c>
      <c r="Q4443" s="235" t="s">
        <v>627</v>
      </c>
      <c r="R4443" s="238">
        <v>665.71</v>
      </c>
      <c r="S4443" s="238">
        <v>33.29</v>
      </c>
      <c r="T4443" s="238">
        <v>0.0</v>
      </c>
      <c r="U4443" s="238">
        <v>0.0</v>
      </c>
      <c r="V4443" s="238">
        <v>0.0</v>
      </c>
      <c r="W4443" s="238">
        <v>0.0</v>
      </c>
      <c r="X4443" s="235" t="s">
        <v>628</v>
      </c>
      <c r="Z4443" s="245"/>
      <c r="AA4443" s="245"/>
      <c r="AB4443" s="245"/>
      <c r="AC4443" s="235" t="s">
        <v>795</v>
      </c>
      <c r="AD4443" s="235" t="s">
        <v>796</v>
      </c>
      <c r="AE4443" s="238">
        <v>110049.0</v>
      </c>
      <c r="AF4443" s="235" t="s">
        <v>631</v>
      </c>
      <c r="AG4443" s="245"/>
      <c r="AH4443" s="245"/>
      <c r="AI4443" s="245"/>
      <c r="AJ4443" s="245"/>
      <c r="AK4443" s="245"/>
      <c r="AL4443" s="245"/>
      <c r="AM4443" s="245"/>
      <c r="AN4443" s="245"/>
      <c r="AO4443" s="238">
        <v>0.0</v>
      </c>
      <c r="AP4443" s="238">
        <v>0.0</v>
      </c>
      <c r="AQ4443" s="235" t="s">
        <v>632</v>
      </c>
      <c r="AR4443" s="243">
        <v>1.68E11</v>
      </c>
      <c r="AS4443" s="235" t="s">
        <v>32840</v>
      </c>
      <c r="AT4443" s="235" t="s">
        <v>533</v>
      </c>
      <c r="AU4443" s="235" t="s">
        <v>634</v>
      </c>
      <c r="AV4443" s="246" t="s">
        <v>635</v>
      </c>
      <c r="AW4443" s="227"/>
      <c r="AX4443" s="227"/>
      <c r="AY4443" s="227"/>
      <c r="AZ4443" s="227"/>
      <c r="BA4443" s="227"/>
      <c r="BB4443" s="227"/>
      <c r="BC4443" s="227"/>
      <c r="BD4443" s="227"/>
      <c r="BE4443" s="227"/>
      <c r="BF4443" s="227"/>
    </row>
    <row r="4444">
      <c r="A4444" s="235" t="s">
        <v>33013</v>
      </c>
      <c r="C4444" s="235" t="s">
        <v>33014</v>
      </c>
      <c r="D4444" s="235" t="s">
        <v>33015</v>
      </c>
      <c r="E4444" s="243">
        <v>6.5E13</v>
      </c>
      <c r="F4444" s="245"/>
      <c r="G4444" s="235" t="s">
        <v>33016</v>
      </c>
      <c r="H4444" s="235" t="s">
        <v>33017</v>
      </c>
      <c r="I4444" s="235" t="s">
        <v>33018</v>
      </c>
      <c r="J4444" s="235" t="s">
        <v>33019</v>
      </c>
      <c r="K4444" s="235" t="s">
        <v>33020</v>
      </c>
      <c r="N4444" s="235" t="s">
        <v>92</v>
      </c>
      <c r="O4444" s="235" t="s">
        <v>248</v>
      </c>
      <c r="P4444" s="238">
        <v>1.0</v>
      </c>
      <c r="Q4444" s="235" t="s">
        <v>627</v>
      </c>
      <c r="R4444" s="238">
        <v>244.76</v>
      </c>
      <c r="S4444" s="238">
        <v>12.24</v>
      </c>
      <c r="T4444" s="238">
        <v>0.0</v>
      </c>
      <c r="U4444" s="238">
        <v>0.0</v>
      </c>
      <c r="V4444" s="238">
        <v>0.0</v>
      </c>
      <c r="W4444" s="238">
        <v>0.0</v>
      </c>
      <c r="X4444" s="235" t="s">
        <v>628</v>
      </c>
      <c r="Z4444" s="245"/>
      <c r="AA4444" s="245"/>
      <c r="AB4444" s="245"/>
      <c r="AC4444" s="235" t="s">
        <v>687</v>
      </c>
      <c r="AD4444" s="235" t="s">
        <v>666</v>
      </c>
      <c r="AE4444" s="238">
        <v>600130.0</v>
      </c>
      <c r="AF4444" s="235" t="s">
        <v>631</v>
      </c>
      <c r="AG4444" s="245"/>
      <c r="AH4444" s="245"/>
      <c r="AI4444" s="245"/>
      <c r="AJ4444" s="245"/>
      <c r="AK4444" s="245"/>
      <c r="AL4444" s="245"/>
      <c r="AM4444" s="245"/>
      <c r="AN4444" s="245"/>
      <c r="AO4444" s="238">
        <v>0.0</v>
      </c>
      <c r="AP4444" s="238">
        <v>0.0</v>
      </c>
      <c r="AQ4444" s="235" t="s">
        <v>632</v>
      </c>
      <c r="AR4444" s="243">
        <v>3.71E11</v>
      </c>
      <c r="AS4444" s="235" t="s">
        <v>32455</v>
      </c>
      <c r="AT4444" s="235" t="s">
        <v>156</v>
      </c>
      <c r="AU4444" s="235" t="s">
        <v>634</v>
      </c>
      <c r="AV4444" s="246" t="s">
        <v>635</v>
      </c>
      <c r="AW4444" s="227"/>
      <c r="AX4444" s="227"/>
      <c r="AY4444" s="227"/>
      <c r="AZ4444" s="227"/>
      <c r="BA4444" s="227"/>
      <c r="BB4444" s="227"/>
      <c r="BC4444" s="227"/>
      <c r="BD4444" s="227"/>
      <c r="BE4444" s="227"/>
      <c r="BF4444" s="227"/>
    </row>
    <row r="4445">
      <c r="A4445" s="235" t="s">
        <v>33021</v>
      </c>
      <c r="C4445" s="235" t="s">
        <v>33022</v>
      </c>
      <c r="D4445" s="235" t="s">
        <v>33023</v>
      </c>
      <c r="E4445" s="243">
        <v>6.51E13</v>
      </c>
      <c r="F4445" s="245"/>
      <c r="G4445" s="235" t="s">
        <v>33024</v>
      </c>
      <c r="H4445" s="235" t="s">
        <v>33025</v>
      </c>
      <c r="I4445" s="235" t="s">
        <v>33026</v>
      </c>
      <c r="J4445" s="235" t="s">
        <v>33027</v>
      </c>
      <c r="K4445" s="235" t="s">
        <v>33028</v>
      </c>
      <c r="N4445" s="235" t="s">
        <v>50</v>
      </c>
      <c r="O4445" s="235" t="s">
        <v>367</v>
      </c>
      <c r="P4445" s="238">
        <v>1.0</v>
      </c>
      <c r="Q4445" s="235" t="s">
        <v>627</v>
      </c>
      <c r="R4445" s="238">
        <v>234.28</v>
      </c>
      <c r="S4445" s="238">
        <v>11.49</v>
      </c>
      <c r="T4445" s="238">
        <v>0.0</v>
      </c>
      <c r="U4445" s="238">
        <v>0.0</v>
      </c>
      <c r="V4445" s="238">
        <v>0.0</v>
      </c>
      <c r="W4445" s="238">
        <v>0.0</v>
      </c>
      <c r="X4445" s="235" t="s">
        <v>628</v>
      </c>
      <c r="Z4445" s="245"/>
      <c r="AA4445" s="245"/>
      <c r="AB4445" s="245"/>
      <c r="AC4445" s="235" t="s">
        <v>687</v>
      </c>
      <c r="AD4445" s="235" t="s">
        <v>666</v>
      </c>
      <c r="AE4445" s="238">
        <v>600037.0</v>
      </c>
      <c r="AF4445" s="235" t="s">
        <v>631</v>
      </c>
      <c r="AG4445" s="245"/>
      <c r="AH4445" s="245"/>
      <c r="AI4445" s="245"/>
      <c r="AJ4445" s="245"/>
      <c r="AK4445" s="245"/>
      <c r="AL4445" s="245"/>
      <c r="AM4445" s="245"/>
      <c r="AN4445" s="245"/>
      <c r="AO4445" s="238">
        <v>-4.69</v>
      </c>
      <c r="AP4445" s="238">
        <v>0.0</v>
      </c>
      <c r="AQ4445" s="235" t="s">
        <v>632</v>
      </c>
      <c r="AR4445" s="243">
        <v>3.71E11</v>
      </c>
      <c r="AS4445" s="235" t="s">
        <v>31232</v>
      </c>
      <c r="AT4445" s="235" t="s">
        <v>155</v>
      </c>
      <c r="AU4445" s="235" t="s">
        <v>634</v>
      </c>
      <c r="AV4445" s="246" t="s">
        <v>635</v>
      </c>
      <c r="AW4445" s="227"/>
      <c r="AX4445" s="227"/>
      <c r="AY4445" s="227"/>
      <c r="AZ4445" s="227"/>
      <c r="BA4445" s="227"/>
      <c r="BB4445" s="227"/>
      <c r="BC4445" s="227"/>
      <c r="BD4445" s="227"/>
      <c r="BE4445" s="227"/>
      <c r="BF4445" s="227"/>
    </row>
    <row r="4446">
      <c r="A4446" s="235" t="s">
        <v>33029</v>
      </c>
      <c r="C4446" s="235" t="s">
        <v>33030</v>
      </c>
      <c r="D4446" s="235" t="s">
        <v>33031</v>
      </c>
      <c r="E4446" s="243">
        <v>6.51E13</v>
      </c>
      <c r="F4446" s="245"/>
      <c r="G4446" s="235" t="s">
        <v>33032</v>
      </c>
      <c r="H4446" s="235" t="s">
        <v>33033</v>
      </c>
      <c r="I4446" s="235" t="s">
        <v>33033</v>
      </c>
      <c r="J4446" s="235" t="s">
        <v>33034</v>
      </c>
      <c r="K4446" s="235" t="s">
        <v>33035</v>
      </c>
      <c r="N4446" s="235" t="s">
        <v>962</v>
      </c>
      <c r="O4446" s="235" t="s">
        <v>963</v>
      </c>
      <c r="P4446" s="238">
        <v>1.0</v>
      </c>
      <c r="Q4446" s="235" t="s">
        <v>627</v>
      </c>
      <c r="R4446" s="238">
        <v>245.72</v>
      </c>
      <c r="S4446" s="238">
        <v>12.28</v>
      </c>
      <c r="T4446" s="238">
        <v>0.0</v>
      </c>
      <c r="U4446" s="238">
        <v>0.0</v>
      </c>
      <c r="V4446" s="238">
        <v>0.0</v>
      </c>
      <c r="W4446" s="238">
        <v>0.0</v>
      </c>
      <c r="X4446" s="235" t="s">
        <v>628</v>
      </c>
      <c r="Z4446" s="245"/>
      <c r="AA4446" s="245"/>
      <c r="AB4446" s="245"/>
      <c r="AC4446" s="235" t="s">
        <v>33036</v>
      </c>
      <c r="AD4446" s="235" t="s">
        <v>666</v>
      </c>
      <c r="AE4446" s="238">
        <v>602001.0</v>
      </c>
      <c r="AF4446" s="235" t="s">
        <v>631</v>
      </c>
      <c r="AG4446" s="245"/>
      <c r="AH4446" s="245"/>
      <c r="AI4446" s="245"/>
      <c r="AJ4446" s="245"/>
      <c r="AK4446" s="245"/>
      <c r="AL4446" s="245"/>
      <c r="AM4446" s="245"/>
      <c r="AN4446" s="245"/>
      <c r="AO4446" s="238">
        <v>0.0</v>
      </c>
      <c r="AP4446" s="238">
        <v>0.0</v>
      </c>
      <c r="AQ4446" s="235" t="s">
        <v>632</v>
      </c>
      <c r="AR4446" s="243">
        <v>3.71E11</v>
      </c>
      <c r="AS4446" s="235" t="s">
        <v>32455</v>
      </c>
      <c r="AT4446" s="235" t="s">
        <v>156</v>
      </c>
      <c r="AU4446" s="235" t="s">
        <v>634</v>
      </c>
      <c r="AV4446" s="246" t="s">
        <v>635</v>
      </c>
      <c r="AW4446" s="227"/>
      <c r="AX4446" s="227"/>
      <c r="AY4446" s="227"/>
      <c r="AZ4446" s="227"/>
      <c r="BA4446" s="227"/>
      <c r="BB4446" s="227"/>
      <c r="BC4446" s="227"/>
      <c r="BD4446" s="227"/>
      <c r="BE4446" s="227"/>
      <c r="BF4446" s="227"/>
    </row>
    <row r="4447">
      <c r="A4447" s="235" t="s">
        <v>33037</v>
      </c>
      <c r="C4447" s="235" t="s">
        <v>33038</v>
      </c>
      <c r="D4447" s="235" t="s">
        <v>33039</v>
      </c>
      <c r="E4447" s="243">
        <v>6.5E13</v>
      </c>
      <c r="F4447" s="245"/>
      <c r="G4447" s="235" t="s">
        <v>33040</v>
      </c>
      <c r="H4447" s="235" t="s">
        <v>33041</v>
      </c>
      <c r="I4447" s="235" t="s">
        <v>33042</v>
      </c>
      <c r="J4447" s="235" t="s">
        <v>33043</v>
      </c>
      <c r="K4447" s="235" t="s">
        <v>33044</v>
      </c>
      <c r="N4447" s="235" t="s">
        <v>68</v>
      </c>
      <c r="O4447" s="235" t="s">
        <v>208</v>
      </c>
      <c r="P4447" s="238">
        <v>1.0</v>
      </c>
      <c r="Q4447" s="235" t="s">
        <v>627</v>
      </c>
      <c r="R4447" s="238">
        <v>246.67</v>
      </c>
      <c r="S4447" s="238">
        <v>12.33</v>
      </c>
      <c r="T4447" s="238">
        <v>0.0</v>
      </c>
      <c r="U4447" s="238">
        <v>0.0</v>
      </c>
      <c r="V4447" s="238">
        <v>0.0</v>
      </c>
      <c r="W4447" s="238">
        <v>0.0</v>
      </c>
      <c r="X4447" s="235" t="s">
        <v>628</v>
      </c>
      <c r="Z4447" s="245"/>
      <c r="AA4447" s="245"/>
      <c r="AB4447" s="245"/>
      <c r="AC4447" s="235" t="s">
        <v>1514</v>
      </c>
      <c r="AD4447" s="235" t="s">
        <v>1077</v>
      </c>
      <c r="AE4447" s="238">
        <v>382340.0</v>
      </c>
      <c r="AF4447" s="235" t="s">
        <v>631</v>
      </c>
      <c r="AG4447" s="245"/>
      <c r="AH4447" s="245"/>
      <c r="AI4447" s="245"/>
      <c r="AJ4447" s="245"/>
      <c r="AK4447" s="245"/>
      <c r="AL4447" s="245"/>
      <c r="AM4447" s="245"/>
      <c r="AN4447" s="245"/>
      <c r="AO4447" s="238">
        <v>0.0</v>
      </c>
      <c r="AP4447" s="238">
        <v>0.0</v>
      </c>
      <c r="AQ4447" s="235" t="s">
        <v>632</v>
      </c>
      <c r="AR4447" s="243">
        <v>2.02E11</v>
      </c>
      <c r="AS4447" s="235" t="s">
        <v>32455</v>
      </c>
      <c r="AT4447" s="235" t="s">
        <v>14</v>
      </c>
      <c r="AU4447" s="235" t="s">
        <v>634</v>
      </c>
      <c r="AV4447" s="246" t="s">
        <v>635</v>
      </c>
      <c r="AW4447" s="227"/>
      <c r="AX4447" s="227"/>
      <c r="AY4447" s="227"/>
      <c r="AZ4447" s="227"/>
      <c r="BA4447" s="227"/>
      <c r="BB4447" s="227"/>
      <c r="BC4447" s="227"/>
      <c r="BD4447" s="227"/>
      <c r="BE4447" s="227"/>
      <c r="BF4447" s="227"/>
    </row>
    <row r="4448">
      <c r="A4448" s="235" t="s">
        <v>33045</v>
      </c>
      <c r="C4448" s="235" t="s">
        <v>33046</v>
      </c>
      <c r="D4448" s="235" t="s">
        <v>33047</v>
      </c>
      <c r="E4448" s="243">
        <v>6.5E13</v>
      </c>
      <c r="F4448" s="245"/>
      <c r="G4448" s="235" t="s">
        <v>33048</v>
      </c>
      <c r="H4448" s="235" t="s">
        <v>33049</v>
      </c>
      <c r="I4448" s="235" t="s">
        <v>33049</v>
      </c>
      <c r="J4448" s="235" t="s">
        <v>33050</v>
      </c>
      <c r="K4448" s="235" t="s">
        <v>33051</v>
      </c>
      <c r="N4448" s="235" t="s">
        <v>962</v>
      </c>
      <c r="O4448" s="235" t="s">
        <v>963</v>
      </c>
      <c r="P4448" s="238">
        <v>1.0</v>
      </c>
      <c r="Q4448" s="235" t="s">
        <v>627</v>
      </c>
      <c r="R4448" s="238">
        <v>245.72</v>
      </c>
      <c r="S4448" s="238">
        <v>12.04</v>
      </c>
      <c r="T4448" s="238">
        <v>0.0</v>
      </c>
      <c r="U4448" s="238">
        <v>0.0</v>
      </c>
      <c r="V4448" s="238">
        <v>0.0</v>
      </c>
      <c r="W4448" s="238">
        <v>0.0</v>
      </c>
      <c r="X4448" s="235" t="s">
        <v>628</v>
      </c>
      <c r="Z4448" s="245"/>
      <c r="AA4448" s="245"/>
      <c r="AB4448" s="245"/>
      <c r="AC4448" s="235" t="s">
        <v>1910</v>
      </c>
      <c r="AD4448" s="235" t="s">
        <v>928</v>
      </c>
      <c r="AE4448" s="238">
        <v>122006.0</v>
      </c>
      <c r="AF4448" s="235" t="s">
        <v>631</v>
      </c>
      <c r="AG4448" s="245"/>
      <c r="AH4448" s="245"/>
      <c r="AI4448" s="245"/>
      <c r="AJ4448" s="245"/>
      <c r="AK4448" s="245"/>
      <c r="AL4448" s="245"/>
      <c r="AM4448" s="245"/>
      <c r="AN4448" s="245"/>
      <c r="AO4448" s="238">
        <v>-4.92</v>
      </c>
      <c r="AP4448" s="238">
        <v>0.0</v>
      </c>
      <c r="AQ4448" s="235" t="s">
        <v>632</v>
      </c>
      <c r="AR4448" s="243">
        <v>1.68E11</v>
      </c>
      <c r="AS4448" s="235" t="s">
        <v>32840</v>
      </c>
      <c r="AT4448" s="235" t="s">
        <v>14</v>
      </c>
      <c r="AU4448" s="235" t="s">
        <v>634</v>
      </c>
      <c r="AV4448" s="246" t="s">
        <v>635</v>
      </c>
      <c r="AW4448" s="227"/>
      <c r="AX4448" s="227"/>
      <c r="AY4448" s="227"/>
      <c r="AZ4448" s="227"/>
      <c r="BA4448" s="227"/>
      <c r="BB4448" s="227"/>
      <c r="BC4448" s="227"/>
      <c r="BD4448" s="227"/>
      <c r="BE4448" s="227"/>
      <c r="BF4448" s="227"/>
    </row>
    <row r="4449">
      <c r="A4449" s="235" t="s">
        <v>33052</v>
      </c>
      <c r="C4449" s="235" t="s">
        <v>33053</v>
      </c>
      <c r="D4449" s="235" t="s">
        <v>33054</v>
      </c>
      <c r="E4449" s="243">
        <v>6.5E13</v>
      </c>
      <c r="F4449" s="245"/>
      <c r="G4449" s="235" t="s">
        <v>33055</v>
      </c>
      <c r="H4449" s="235" t="s">
        <v>33056</v>
      </c>
      <c r="I4449" s="235" t="s">
        <v>33056</v>
      </c>
      <c r="J4449" s="235" t="s">
        <v>33057</v>
      </c>
      <c r="K4449" s="235" t="s">
        <v>33058</v>
      </c>
      <c r="N4449" s="235" t="s">
        <v>1346</v>
      </c>
      <c r="O4449" s="235" t="s">
        <v>1347</v>
      </c>
      <c r="P4449" s="238">
        <v>1.0</v>
      </c>
      <c r="Q4449" s="235" t="s">
        <v>627</v>
      </c>
      <c r="R4449" s="238">
        <v>256.2</v>
      </c>
      <c r="S4449" s="238">
        <v>12.8</v>
      </c>
      <c r="T4449" s="238">
        <v>38.1</v>
      </c>
      <c r="U4449" s="238">
        <v>1.9</v>
      </c>
      <c r="V4449" s="238">
        <v>0.0</v>
      </c>
      <c r="W4449" s="238">
        <v>0.0</v>
      </c>
      <c r="X4449" s="235" t="s">
        <v>628</v>
      </c>
      <c r="Z4449" s="245"/>
      <c r="AA4449" s="245"/>
      <c r="AB4449" s="245"/>
      <c r="AC4449" s="235" t="s">
        <v>8737</v>
      </c>
      <c r="AD4449" s="235" t="s">
        <v>666</v>
      </c>
      <c r="AE4449" s="238">
        <v>632009.0</v>
      </c>
      <c r="AF4449" s="235" t="s">
        <v>631</v>
      </c>
      <c r="AG4449" s="245"/>
      <c r="AH4449" s="245"/>
      <c r="AI4449" s="245"/>
      <c r="AJ4449" s="245"/>
      <c r="AK4449" s="245"/>
      <c r="AL4449" s="245"/>
      <c r="AM4449" s="245"/>
      <c r="AN4449" s="245"/>
      <c r="AO4449" s="238">
        <v>0.0</v>
      </c>
      <c r="AP4449" s="238">
        <v>-38.1</v>
      </c>
      <c r="AQ4449" s="235" t="s">
        <v>632</v>
      </c>
      <c r="AR4449" s="243">
        <v>3.71E11</v>
      </c>
      <c r="AS4449" s="235" t="s">
        <v>32455</v>
      </c>
      <c r="AT4449" s="235" t="s">
        <v>156</v>
      </c>
      <c r="AU4449" s="235" t="s">
        <v>634</v>
      </c>
      <c r="AV4449" s="246" t="s">
        <v>635</v>
      </c>
      <c r="AW4449" s="227"/>
      <c r="AX4449" s="227"/>
      <c r="AY4449" s="227"/>
      <c r="AZ4449" s="227"/>
      <c r="BA4449" s="227"/>
      <c r="BB4449" s="227"/>
      <c r="BC4449" s="227"/>
      <c r="BD4449" s="227"/>
      <c r="BE4449" s="227"/>
      <c r="BF4449" s="227"/>
    </row>
    <row r="4450">
      <c r="A4450" s="235" t="s">
        <v>33059</v>
      </c>
      <c r="C4450" s="235" t="s">
        <v>33060</v>
      </c>
      <c r="D4450" s="235" t="s">
        <v>33061</v>
      </c>
      <c r="E4450" s="243">
        <v>6.5E13</v>
      </c>
      <c r="F4450" s="245"/>
      <c r="G4450" s="235" t="s">
        <v>33062</v>
      </c>
      <c r="H4450" s="235" t="s">
        <v>33063</v>
      </c>
      <c r="I4450" s="235" t="s">
        <v>33063</v>
      </c>
      <c r="J4450" s="235" t="s">
        <v>33064</v>
      </c>
      <c r="K4450" s="235" t="s">
        <v>33065</v>
      </c>
      <c r="N4450" s="235" t="s">
        <v>541</v>
      </c>
      <c r="O4450" s="235" t="s">
        <v>664</v>
      </c>
      <c r="P4450" s="238">
        <v>1.0</v>
      </c>
      <c r="Q4450" s="235" t="s">
        <v>627</v>
      </c>
      <c r="R4450" s="238">
        <v>659.32</v>
      </c>
      <c r="S4450" s="238">
        <v>118.68</v>
      </c>
      <c r="T4450" s="238">
        <v>33.9</v>
      </c>
      <c r="U4450" s="238">
        <v>6.1</v>
      </c>
      <c r="V4450" s="238">
        <v>0.0</v>
      </c>
      <c r="W4450" s="238">
        <v>0.0</v>
      </c>
      <c r="X4450" s="235" t="s">
        <v>628</v>
      </c>
      <c r="Z4450" s="245"/>
      <c r="AA4450" s="245"/>
      <c r="AB4450" s="245"/>
      <c r="AC4450" s="235" t="s">
        <v>3806</v>
      </c>
      <c r="AD4450" s="235" t="s">
        <v>881</v>
      </c>
      <c r="AE4450" s="238">
        <v>753003.0</v>
      </c>
      <c r="AF4450" s="235" t="s">
        <v>631</v>
      </c>
      <c r="AG4450" s="245"/>
      <c r="AH4450" s="245"/>
      <c r="AI4450" s="245"/>
      <c r="AJ4450" s="245"/>
      <c r="AK4450" s="245"/>
      <c r="AL4450" s="245"/>
      <c r="AM4450" s="245"/>
      <c r="AN4450" s="245"/>
      <c r="AO4450" s="238">
        <v>0.0</v>
      </c>
      <c r="AP4450" s="238">
        <v>-33.9</v>
      </c>
      <c r="AQ4450" s="235" t="s">
        <v>632</v>
      </c>
      <c r="AR4450" s="243">
        <v>3.71E11</v>
      </c>
      <c r="AS4450" s="235" t="s">
        <v>26892</v>
      </c>
      <c r="AT4450" s="235" t="s">
        <v>14</v>
      </c>
      <c r="AU4450" s="235" t="s">
        <v>634</v>
      </c>
      <c r="AV4450" s="246" t="s">
        <v>635</v>
      </c>
      <c r="AW4450" s="227"/>
      <c r="AX4450" s="227"/>
      <c r="AY4450" s="227"/>
      <c r="AZ4450" s="227"/>
      <c r="BA4450" s="227"/>
      <c r="BB4450" s="227"/>
      <c r="BC4450" s="227"/>
      <c r="BD4450" s="227"/>
      <c r="BE4450" s="227"/>
      <c r="BF4450" s="227"/>
    </row>
    <row r="4451">
      <c r="A4451" s="235" t="s">
        <v>33066</v>
      </c>
      <c r="C4451" s="235" t="s">
        <v>33067</v>
      </c>
      <c r="D4451" s="235" t="s">
        <v>33068</v>
      </c>
      <c r="E4451" s="243">
        <v>6.5E13</v>
      </c>
      <c r="F4451" s="245"/>
      <c r="G4451" s="235" t="s">
        <v>33069</v>
      </c>
      <c r="H4451" s="235" t="s">
        <v>33070</v>
      </c>
      <c r="I4451" s="235" t="s">
        <v>33071</v>
      </c>
      <c r="J4451" s="235" t="s">
        <v>33072</v>
      </c>
      <c r="K4451" s="235" t="s">
        <v>33073</v>
      </c>
      <c r="N4451" s="235" t="s">
        <v>82</v>
      </c>
      <c r="O4451" s="235" t="s">
        <v>889</v>
      </c>
      <c r="P4451" s="238">
        <v>1.0</v>
      </c>
      <c r="Q4451" s="235" t="s">
        <v>627</v>
      </c>
      <c r="R4451" s="238">
        <v>243.81</v>
      </c>
      <c r="S4451" s="238">
        <v>11.95</v>
      </c>
      <c r="T4451" s="238">
        <v>0.0</v>
      </c>
      <c r="U4451" s="238">
        <v>0.0</v>
      </c>
      <c r="V4451" s="238">
        <v>0.0</v>
      </c>
      <c r="W4451" s="238">
        <v>0.0</v>
      </c>
      <c r="X4451" s="235" t="s">
        <v>628</v>
      </c>
      <c r="Z4451" s="245"/>
      <c r="AA4451" s="245"/>
      <c r="AB4451" s="245"/>
      <c r="AC4451" s="235" t="s">
        <v>33074</v>
      </c>
      <c r="AD4451" s="235" t="s">
        <v>908</v>
      </c>
      <c r="AE4451" s="238">
        <v>262308.0</v>
      </c>
      <c r="AF4451" s="235" t="s">
        <v>631</v>
      </c>
      <c r="AG4451" s="245"/>
      <c r="AH4451" s="245"/>
      <c r="AI4451" s="245"/>
      <c r="AJ4451" s="245"/>
      <c r="AK4451" s="245"/>
      <c r="AL4451" s="245"/>
      <c r="AM4451" s="245"/>
      <c r="AN4451" s="245"/>
      <c r="AO4451" s="238">
        <v>-4.88</v>
      </c>
      <c r="AP4451" s="238">
        <v>0.0</v>
      </c>
      <c r="AQ4451" s="235" t="s">
        <v>632</v>
      </c>
      <c r="AR4451" s="243">
        <v>3.71E11</v>
      </c>
      <c r="AS4451" s="235" t="s">
        <v>31232</v>
      </c>
      <c r="AT4451" s="235" t="s">
        <v>533</v>
      </c>
      <c r="AU4451" s="235" t="s">
        <v>634</v>
      </c>
      <c r="AV4451" s="246" t="s">
        <v>635</v>
      </c>
      <c r="AW4451" s="227"/>
      <c r="AX4451" s="227"/>
      <c r="AY4451" s="227"/>
      <c r="AZ4451" s="227"/>
      <c r="BA4451" s="227"/>
      <c r="BB4451" s="227"/>
      <c r="BC4451" s="227"/>
      <c r="BD4451" s="227"/>
      <c r="BE4451" s="227"/>
      <c r="BF4451" s="227"/>
    </row>
    <row r="4452">
      <c r="A4452" s="235" t="s">
        <v>33075</v>
      </c>
      <c r="C4452" s="235" t="s">
        <v>33076</v>
      </c>
      <c r="D4452" s="235" t="s">
        <v>33077</v>
      </c>
      <c r="E4452" s="243">
        <v>6.5E13</v>
      </c>
      <c r="F4452" s="245"/>
      <c r="G4452" s="235" t="s">
        <v>33078</v>
      </c>
      <c r="H4452" s="235" t="s">
        <v>33079</v>
      </c>
      <c r="I4452" s="235" t="s">
        <v>33079</v>
      </c>
      <c r="J4452" s="235" t="s">
        <v>33080</v>
      </c>
      <c r="K4452" s="235" t="s">
        <v>33081</v>
      </c>
      <c r="N4452" s="235" t="s">
        <v>51</v>
      </c>
      <c r="O4452" s="235" t="s">
        <v>273</v>
      </c>
      <c r="P4452" s="238">
        <v>1.0</v>
      </c>
      <c r="Q4452" s="235" t="s">
        <v>627</v>
      </c>
      <c r="R4452" s="238">
        <v>235.24</v>
      </c>
      <c r="S4452" s="238">
        <v>11.76</v>
      </c>
      <c r="T4452" s="238">
        <v>0.0</v>
      </c>
      <c r="U4452" s="238">
        <v>0.0</v>
      </c>
      <c r="V4452" s="238">
        <v>0.0</v>
      </c>
      <c r="W4452" s="238">
        <v>0.0</v>
      </c>
      <c r="X4452" s="235" t="s">
        <v>628</v>
      </c>
      <c r="Z4452" s="245"/>
      <c r="AA4452" s="245"/>
      <c r="AB4452" s="245"/>
      <c r="AC4452" s="235" t="s">
        <v>15801</v>
      </c>
      <c r="AD4452" s="235" t="s">
        <v>698</v>
      </c>
      <c r="AE4452" s="238">
        <v>508213.0</v>
      </c>
      <c r="AF4452" s="235" t="s">
        <v>631</v>
      </c>
      <c r="AG4452" s="245"/>
      <c r="AH4452" s="245"/>
      <c r="AI4452" s="245"/>
      <c r="AJ4452" s="245"/>
      <c r="AK4452" s="245"/>
      <c r="AL4452" s="245"/>
      <c r="AM4452" s="245"/>
      <c r="AN4452" s="245"/>
      <c r="AO4452" s="238">
        <v>0.0</v>
      </c>
      <c r="AP4452" s="238">
        <v>0.0</v>
      </c>
      <c r="AQ4452" s="235" t="s">
        <v>632</v>
      </c>
      <c r="AR4452" s="243">
        <v>3.71E11</v>
      </c>
      <c r="AS4452" s="235" t="s">
        <v>28482</v>
      </c>
      <c r="AT4452" s="235" t="s">
        <v>17</v>
      </c>
      <c r="AU4452" s="235" t="s">
        <v>634</v>
      </c>
      <c r="AV4452" s="246" t="s">
        <v>635</v>
      </c>
      <c r="AW4452" s="227"/>
      <c r="AX4452" s="227"/>
      <c r="AY4452" s="227"/>
      <c r="AZ4452" s="227"/>
      <c r="BA4452" s="227"/>
      <c r="BB4452" s="227"/>
      <c r="BC4452" s="227"/>
      <c r="BD4452" s="227"/>
      <c r="BE4452" s="227"/>
      <c r="BF4452" s="227"/>
    </row>
    <row r="4453">
      <c r="A4453" s="235" t="s">
        <v>33082</v>
      </c>
      <c r="C4453" s="235" t="s">
        <v>33083</v>
      </c>
      <c r="D4453" s="235" t="s">
        <v>33084</v>
      </c>
      <c r="E4453" s="243">
        <v>6.5E13</v>
      </c>
      <c r="F4453" s="245"/>
      <c r="G4453" s="235" t="s">
        <v>33085</v>
      </c>
      <c r="H4453" s="235" t="s">
        <v>33086</v>
      </c>
      <c r="I4453" s="235" t="s">
        <v>33086</v>
      </c>
      <c r="J4453" s="235" t="s">
        <v>33087</v>
      </c>
      <c r="K4453" s="235" t="s">
        <v>33088</v>
      </c>
      <c r="N4453" s="235" t="s">
        <v>127</v>
      </c>
      <c r="O4453" s="235" t="s">
        <v>794</v>
      </c>
      <c r="P4453" s="238">
        <v>1.0</v>
      </c>
      <c r="Q4453" s="235" t="s">
        <v>627</v>
      </c>
      <c r="R4453" s="238">
        <v>243.8</v>
      </c>
      <c r="S4453" s="238">
        <v>11.96</v>
      </c>
      <c r="T4453" s="238">
        <v>0.0</v>
      </c>
      <c r="U4453" s="238">
        <v>0.0</v>
      </c>
      <c r="V4453" s="238">
        <v>0.0</v>
      </c>
      <c r="W4453" s="238">
        <v>0.0</v>
      </c>
      <c r="X4453" s="235" t="s">
        <v>628</v>
      </c>
      <c r="Z4453" s="245"/>
      <c r="AA4453" s="245"/>
      <c r="AB4453" s="245"/>
      <c r="AC4453" s="235" t="s">
        <v>687</v>
      </c>
      <c r="AD4453" s="235" t="s">
        <v>666</v>
      </c>
      <c r="AE4453" s="238">
        <v>600127.0</v>
      </c>
      <c r="AF4453" s="235" t="s">
        <v>631</v>
      </c>
      <c r="AG4453" s="245"/>
      <c r="AH4453" s="245"/>
      <c r="AI4453" s="245"/>
      <c r="AJ4453" s="245"/>
      <c r="AK4453" s="245"/>
      <c r="AL4453" s="245"/>
      <c r="AM4453" s="245"/>
      <c r="AN4453" s="245"/>
      <c r="AO4453" s="238">
        <v>-4.88</v>
      </c>
      <c r="AP4453" s="238">
        <v>0.0</v>
      </c>
      <c r="AQ4453" s="235" t="s">
        <v>632</v>
      </c>
      <c r="AR4453" s="243">
        <v>3.71E11</v>
      </c>
      <c r="AS4453" s="235" t="s">
        <v>32455</v>
      </c>
      <c r="AT4453" s="235" t="s">
        <v>156</v>
      </c>
      <c r="AU4453" s="235" t="s">
        <v>634</v>
      </c>
      <c r="AV4453" s="246" t="s">
        <v>635</v>
      </c>
      <c r="AW4453" s="227"/>
      <c r="AX4453" s="227"/>
      <c r="AY4453" s="227"/>
      <c r="AZ4453" s="227"/>
      <c r="BA4453" s="227"/>
      <c r="BB4453" s="227"/>
      <c r="BC4453" s="227"/>
      <c r="BD4453" s="227"/>
      <c r="BE4453" s="227"/>
      <c r="BF4453" s="227"/>
    </row>
    <row r="4454">
      <c r="A4454" s="235" t="s">
        <v>33089</v>
      </c>
      <c r="C4454" s="235" t="s">
        <v>33090</v>
      </c>
      <c r="D4454" s="235" t="s">
        <v>33091</v>
      </c>
      <c r="E4454" s="243">
        <v>6.5E13</v>
      </c>
      <c r="F4454" s="245"/>
      <c r="G4454" s="235" t="s">
        <v>33092</v>
      </c>
      <c r="H4454" s="235" t="s">
        <v>33093</v>
      </c>
      <c r="I4454" s="235" t="s">
        <v>33093</v>
      </c>
      <c r="J4454" s="235" t="s">
        <v>33094</v>
      </c>
      <c r="K4454" s="235" t="s">
        <v>33095</v>
      </c>
      <c r="N4454" s="235" t="s">
        <v>41</v>
      </c>
      <c r="O4454" s="235" t="s">
        <v>291</v>
      </c>
      <c r="P4454" s="238">
        <v>1.0</v>
      </c>
      <c r="Q4454" s="235" t="s">
        <v>627</v>
      </c>
      <c r="R4454" s="238">
        <v>237.14</v>
      </c>
      <c r="S4454" s="238">
        <v>11.86</v>
      </c>
      <c r="T4454" s="238">
        <v>0.0</v>
      </c>
      <c r="U4454" s="238">
        <v>0.0</v>
      </c>
      <c r="V4454" s="238">
        <v>0.0</v>
      </c>
      <c r="W4454" s="238">
        <v>0.0</v>
      </c>
      <c r="X4454" s="235" t="s">
        <v>628</v>
      </c>
      <c r="Z4454" s="245"/>
      <c r="AA4454" s="245"/>
      <c r="AB4454" s="245"/>
      <c r="AC4454" s="235" t="s">
        <v>891</v>
      </c>
      <c r="AD4454" s="235" t="s">
        <v>891</v>
      </c>
      <c r="AE4454" s="238">
        <v>605003.0</v>
      </c>
      <c r="AF4454" s="235" t="s">
        <v>631</v>
      </c>
      <c r="AG4454" s="245"/>
      <c r="AH4454" s="245"/>
      <c r="AI4454" s="245"/>
      <c r="AJ4454" s="245"/>
      <c r="AK4454" s="245"/>
      <c r="AL4454" s="245"/>
      <c r="AM4454" s="245"/>
      <c r="AN4454" s="245"/>
      <c r="AO4454" s="238">
        <v>0.0</v>
      </c>
      <c r="AP4454" s="238">
        <v>0.0</v>
      </c>
      <c r="AQ4454" s="235" t="s">
        <v>632</v>
      </c>
      <c r="AR4454" s="243">
        <v>3.71E11</v>
      </c>
      <c r="AS4454" s="235" t="s">
        <v>31232</v>
      </c>
      <c r="AT4454" s="235" t="s">
        <v>155</v>
      </c>
      <c r="AU4454" s="235" t="s">
        <v>634</v>
      </c>
      <c r="AV4454" s="246" t="s">
        <v>635</v>
      </c>
      <c r="AW4454" s="227"/>
      <c r="AX4454" s="227"/>
      <c r="AY4454" s="227"/>
      <c r="AZ4454" s="227"/>
      <c r="BA4454" s="227"/>
      <c r="BB4454" s="227"/>
      <c r="BC4454" s="227"/>
      <c r="BD4454" s="227"/>
      <c r="BE4454" s="227"/>
      <c r="BF4454" s="227"/>
    </row>
    <row r="4455">
      <c r="A4455" s="235" t="s">
        <v>33096</v>
      </c>
      <c r="C4455" s="235" t="s">
        <v>33097</v>
      </c>
      <c r="D4455" s="235" t="s">
        <v>33098</v>
      </c>
      <c r="E4455" s="243">
        <v>6.5E13</v>
      </c>
      <c r="F4455" s="245"/>
      <c r="G4455" s="235" t="s">
        <v>33099</v>
      </c>
      <c r="H4455" s="235" t="s">
        <v>33100</v>
      </c>
      <c r="I4455" s="235" t="s">
        <v>33101</v>
      </c>
      <c r="J4455" s="235" t="s">
        <v>33102</v>
      </c>
      <c r="K4455" s="235" t="s">
        <v>33103</v>
      </c>
      <c r="N4455" s="235" t="s">
        <v>127</v>
      </c>
      <c r="O4455" s="235" t="s">
        <v>794</v>
      </c>
      <c r="P4455" s="238">
        <v>1.0</v>
      </c>
      <c r="Q4455" s="235" t="s">
        <v>627</v>
      </c>
      <c r="R4455" s="238">
        <v>243.8</v>
      </c>
      <c r="S4455" s="238">
        <v>12.2</v>
      </c>
      <c r="T4455" s="238">
        <v>0.0</v>
      </c>
      <c r="U4455" s="238">
        <v>0.0</v>
      </c>
      <c r="V4455" s="238">
        <v>0.0</v>
      </c>
      <c r="W4455" s="238">
        <v>0.0</v>
      </c>
      <c r="X4455" s="235" t="s">
        <v>628</v>
      </c>
      <c r="Z4455" s="245"/>
      <c r="AA4455" s="245"/>
      <c r="AB4455" s="245"/>
      <c r="AC4455" s="235" t="s">
        <v>33104</v>
      </c>
      <c r="AD4455" s="235" t="s">
        <v>845</v>
      </c>
      <c r="AE4455" s="238">
        <v>441904.0</v>
      </c>
      <c r="AF4455" s="235" t="s">
        <v>631</v>
      </c>
      <c r="AG4455" s="245"/>
      <c r="AH4455" s="245"/>
      <c r="AI4455" s="245"/>
      <c r="AJ4455" s="245"/>
      <c r="AK4455" s="245"/>
      <c r="AL4455" s="245"/>
      <c r="AM4455" s="245"/>
      <c r="AN4455" s="245"/>
      <c r="AO4455" s="238">
        <v>0.0</v>
      </c>
      <c r="AP4455" s="238">
        <v>0.0</v>
      </c>
      <c r="AQ4455" s="235" t="s">
        <v>632</v>
      </c>
      <c r="AR4455" s="243">
        <v>3.71E11</v>
      </c>
      <c r="AS4455" s="235" t="s">
        <v>29883</v>
      </c>
      <c r="AT4455" s="235" t="s">
        <v>16</v>
      </c>
      <c r="AU4455" s="235" t="s">
        <v>634</v>
      </c>
      <c r="AV4455" s="246" t="s">
        <v>635</v>
      </c>
      <c r="AW4455" s="227"/>
      <c r="AX4455" s="227"/>
      <c r="AY4455" s="227"/>
      <c r="AZ4455" s="227"/>
      <c r="BA4455" s="227"/>
      <c r="BB4455" s="227"/>
      <c r="BC4455" s="227"/>
      <c r="BD4455" s="227"/>
      <c r="BE4455" s="227"/>
      <c r="BF4455" s="227"/>
    </row>
    <row r="4456">
      <c r="A4456" s="235" t="s">
        <v>33105</v>
      </c>
      <c r="C4456" s="235" t="s">
        <v>33106</v>
      </c>
      <c r="D4456" s="235" t="s">
        <v>33107</v>
      </c>
      <c r="E4456" s="243">
        <v>6.5E13</v>
      </c>
      <c r="F4456" s="245"/>
      <c r="G4456" s="235" t="s">
        <v>33108</v>
      </c>
      <c r="H4456" s="235" t="s">
        <v>33109</v>
      </c>
      <c r="I4456" s="235" t="s">
        <v>33110</v>
      </c>
      <c r="J4456" s="235" t="s">
        <v>33111</v>
      </c>
      <c r="K4456" s="235" t="s">
        <v>33112</v>
      </c>
      <c r="N4456" s="235" t="s">
        <v>85</v>
      </c>
      <c r="O4456" s="235" t="s">
        <v>872</v>
      </c>
      <c r="P4456" s="238">
        <v>1.0</v>
      </c>
      <c r="Q4456" s="235" t="s">
        <v>627</v>
      </c>
      <c r="R4456" s="238">
        <v>243.81</v>
      </c>
      <c r="S4456" s="238">
        <v>11.95</v>
      </c>
      <c r="T4456" s="238">
        <v>0.0</v>
      </c>
      <c r="U4456" s="238">
        <v>0.0</v>
      </c>
      <c r="V4456" s="238">
        <v>0.0</v>
      </c>
      <c r="W4456" s="238">
        <v>0.0</v>
      </c>
      <c r="X4456" s="235" t="s">
        <v>628</v>
      </c>
      <c r="Z4456" s="245"/>
      <c r="AA4456" s="245"/>
      <c r="AB4456" s="245"/>
      <c r="AC4456" s="235" t="s">
        <v>795</v>
      </c>
      <c r="AD4456" s="235" t="s">
        <v>796</v>
      </c>
      <c r="AE4456" s="238">
        <v>110085.0</v>
      </c>
      <c r="AF4456" s="235" t="s">
        <v>631</v>
      </c>
      <c r="AG4456" s="245"/>
      <c r="AH4456" s="245"/>
      <c r="AI4456" s="245"/>
      <c r="AJ4456" s="245"/>
      <c r="AK4456" s="245"/>
      <c r="AL4456" s="245"/>
      <c r="AM4456" s="245"/>
      <c r="AN4456" s="245"/>
      <c r="AO4456" s="238">
        <v>-4.88</v>
      </c>
      <c r="AP4456" s="238">
        <v>0.0</v>
      </c>
      <c r="AQ4456" s="235" t="s">
        <v>632</v>
      </c>
      <c r="AR4456" s="243">
        <v>1.68E11</v>
      </c>
      <c r="AS4456" s="235" t="s">
        <v>32840</v>
      </c>
      <c r="AT4456" s="235" t="s">
        <v>533</v>
      </c>
      <c r="AU4456" s="235" t="s">
        <v>634</v>
      </c>
      <c r="AV4456" s="246" t="s">
        <v>635</v>
      </c>
      <c r="AW4456" s="227"/>
      <c r="AX4456" s="227"/>
      <c r="AY4456" s="227"/>
      <c r="AZ4456" s="227"/>
      <c r="BA4456" s="227"/>
      <c r="BB4456" s="227"/>
      <c r="BC4456" s="227"/>
      <c r="BD4456" s="227"/>
      <c r="BE4456" s="227"/>
      <c r="BF4456" s="227"/>
    </row>
    <row r="4457">
      <c r="A4457" s="235" t="s">
        <v>33113</v>
      </c>
      <c r="C4457" s="235" t="s">
        <v>33114</v>
      </c>
      <c r="D4457" s="235" t="s">
        <v>33115</v>
      </c>
      <c r="E4457" s="243">
        <v>6.5E13</v>
      </c>
      <c r="F4457" s="245"/>
      <c r="G4457" s="235" t="s">
        <v>33116</v>
      </c>
      <c r="H4457" s="235" t="s">
        <v>33117</v>
      </c>
      <c r="I4457" s="235" t="s">
        <v>33117</v>
      </c>
      <c r="J4457" s="235" t="s">
        <v>33118</v>
      </c>
      <c r="K4457" s="235" t="s">
        <v>33119</v>
      </c>
      <c r="N4457" s="235" t="s">
        <v>82</v>
      </c>
      <c r="O4457" s="235" t="s">
        <v>889</v>
      </c>
      <c r="P4457" s="238">
        <v>1.0</v>
      </c>
      <c r="Q4457" s="235" t="s">
        <v>627</v>
      </c>
      <c r="R4457" s="238">
        <v>243.8</v>
      </c>
      <c r="S4457" s="238">
        <v>12.2</v>
      </c>
      <c r="T4457" s="238">
        <v>0.0</v>
      </c>
      <c r="U4457" s="238">
        <v>0.0</v>
      </c>
      <c r="V4457" s="238">
        <v>0.0</v>
      </c>
      <c r="W4457" s="238">
        <v>0.0</v>
      </c>
      <c r="X4457" s="235" t="s">
        <v>628</v>
      </c>
      <c r="Z4457" s="245"/>
      <c r="AA4457" s="245"/>
      <c r="AB4457" s="245"/>
      <c r="AC4457" s="235" t="s">
        <v>3527</v>
      </c>
      <c r="AD4457" s="235" t="s">
        <v>845</v>
      </c>
      <c r="AE4457" s="238">
        <v>431001.0</v>
      </c>
      <c r="AF4457" s="235" t="s">
        <v>631</v>
      </c>
      <c r="AG4457" s="245"/>
      <c r="AH4457" s="245"/>
      <c r="AI4457" s="245"/>
      <c r="AJ4457" s="245"/>
      <c r="AK4457" s="245"/>
      <c r="AL4457" s="245"/>
      <c r="AM4457" s="245"/>
      <c r="AN4457" s="245"/>
      <c r="AO4457" s="238">
        <v>0.0</v>
      </c>
      <c r="AP4457" s="238">
        <v>0.0</v>
      </c>
      <c r="AQ4457" s="235" t="s">
        <v>632</v>
      </c>
      <c r="AR4457" s="243">
        <v>1.68E11</v>
      </c>
      <c r="AS4457" s="235" t="s">
        <v>32455</v>
      </c>
      <c r="AT4457" s="235" t="s">
        <v>546</v>
      </c>
      <c r="AU4457" s="235" t="s">
        <v>634</v>
      </c>
      <c r="AV4457" s="246" t="s">
        <v>635</v>
      </c>
      <c r="AW4457" s="227"/>
      <c r="AX4457" s="227"/>
      <c r="AY4457" s="227"/>
      <c r="AZ4457" s="227"/>
      <c r="BA4457" s="227"/>
      <c r="BB4457" s="227"/>
      <c r="BC4457" s="227"/>
      <c r="BD4457" s="227"/>
      <c r="BE4457" s="227"/>
      <c r="BF4457" s="227"/>
    </row>
    <row r="4458">
      <c r="A4458" s="235" t="s">
        <v>33120</v>
      </c>
      <c r="C4458" s="235" t="s">
        <v>33121</v>
      </c>
      <c r="D4458" s="235" t="s">
        <v>33122</v>
      </c>
      <c r="E4458" s="243">
        <v>6.5E13</v>
      </c>
      <c r="F4458" s="245"/>
      <c r="G4458" s="235" t="s">
        <v>33123</v>
      </c>
      <c r="H4458" s="235" t="s">
        <v>33124</v>
      </c>
      <c r="I4458" s="235" t="s">
        <v>33124</v>
      </c>
      <c r="J4458" s="235" t="s">
        <v>33125</v>
      </c>
      <c r="K4458" s="235" t="s">
        <v>33126</v>
      </c>
      <c r="N4458" s="235" t="s">
        <v>68</v>
      </c>
      <c r="O4458" s="235" t="s">
        <v>208</v>
      </c>
      <c r="P4458" s="238">
        <v>1.0</v>
      </c>
      <c r="Q4458" s="235" t="s">
        <v>627</v>
      </c>
      <c r="R4458" s="238">
        <v>246.67</v>
      </c>
      <c r="S4458" s="238">
        <v>12.33</v>
      </c>
      <c r="T4458" s="238">
        <v>0.0</v>
      </c>
      <c r="U4458" s="238">
        <v>0.0</v>
      </c>
      <c r="V4458" s="238">
        <v>0.0</v>
      </c>
      <c r="W4458" s="238">
        <v>0.0</v>
      </c>
      <c r="X4458" s="235" t="s">
        <v>628</v>
      </c>
      <c r="Z4458" s="245"/>
      <c r="AA4458" s="245"/>
      <c r="AB4458" s="245"/>
      <c r="AC4458" s="235" t="s">
        <v>814</v>
      </c>
      <c r="AD4458" s="235" t="s">
        <v>698</v>
      </c>
      <c r="AE4458" s="238">
        <v>500028.0</v>
      </c>
      <c r="AF4458" s="235" t="s">
        <v>631</v>
      </c>
      <c r="AG4458" s="245"/>
      <c r="AH4458" s="245"/>
      <c r="AI4458" s="245"/>
      <c r="AJ4458" s="245"/>
      <c r="AK4458" s="245"/>
      <c r="AL4458" s="245"/>
      <c r="AM4458" s="245"/>
      <c r="AN4458" s="245"/>
      <c r="AO4458" s="238">
        <v>0.0</v>
      </c>
      <c r="AP4458" s="238">
        <v>0.0</v>
      </c>
      <c r="AQ4458" s="235" t="s">
        <v>632</v>
      </c>
      <c r="AR4458" s="243">
        <v>2.02E11</v>
      </c>
      <c r="AS4458" s="235" t="s">
        <v>32455</v>
      </c>
      <c r="AT4458" s="235" t="s">
        <v>156</v>
      </c>
      <c r="AU4458" s="235" t="s">
        <v>634</v>
      </c>
      <c r="AV4458" s="246" t="s">
        <v>635</v>
      </c>
      <c r="AW4458" s="227"/>
      <c r="AX4458" s="227"/>
      <c r="AY4458" s="227"/>
      <c r="AZ4458" s="227"/>
      <c r="BA4458" s="227"/>
      <c r="BB4458" s="227"/>
      <c r="BC4458" s="227"/>
      <c r="BD4458" s="227"/>
      <c r="BE4458" s="227"/>
      <c r="BF4458" s="227"/>
    </row>
    <row r="4459">
      <c r="A4459" s="235" t="s">
        <v>33127</v>
      </c>
      <c r="C4459" s="235" t="s">
        <v>33128</v>
      </c>
      <c r="D4459" s="235" t="s">
        <v>33129</v>
      </c>
      <c r="E4459" s="243">
        <v>6.5E13</v>
      </c>
      <c r="F4459" s="245"/>
      <c r="G4459" s="235" t="s">
        <v>33130</v>
      </c>
      <c r="H4459" s="235" t="s">
        <v>33131</v>
      </c>
      <c r="I4459" s="235" t="s">
        <v>33131</v>
      </c>
      <c r="J4459" s="235" t="s">
        <v>33132</v>
      </c>
      <c r="K4459" s="235" t="s">
        <v>33133</v>
      </c>
      <c r="N4459" s="235" t="s">
        <v>141</v>
      </c>
      <c r="O4459" s="235" t="s">
        <v>342</v>
      </c>
      <c r="P4459" s="238">
        <v>1.0</v>
      </c>
      <c r="Q4459" s="235" t="s">
        <v>627</v>
      </c>
      <c r="R4459" s="238">
        <v>244.76</v>
      </c>
      <c r="S4459" s="238">
        <v>12.0</v>
      </c>
      <c r="T4459" s="238">
        <v>0.0</v>
      </c>
      <c r="U4459" s="238">
        <v>0.0</v>
      </c>
      <c r="V4459" s="238">
        <v>0.0</v>
      </c>
      <c r="W4459" s="238">
        <v>0.0</v>
      </c>
      <c r="X4459" s="235" t="s">
        <v>628</v>
      </c>
      <c r="Z4459" s="245"/>
      <c r="AA4459" s="245"/>
      <c r="AB4459" s="245"/>
      <c r="AC4459" s="235" t="s">
        <v>4294</v>
      </c>
      <c r="AD4459" s="235" t="s">
        <v>666</v>
      </c>
      <c r="AE4459" s="238">
        <v>641666.0</v>
      </c>
      <c r="AF4459" s="235" t="s">
        <v>631</v>
      </c>
      <c r="AG4459" s="245"/>
      <c r="AH4459" s="245"/>
      <c r="AI4459" s="245"/>
      <c r="AJ4459" s="245"/>
      <c r="AK4459" s="245"/>
      <c r="AL4459" s="245"/>
      <c r="AM4459" s="245"/>
      <c r="AN4459" s="245"/>
      <c r="AO4459" s="238">
        <v>-4.9</v>
      </c>
      <c r="AP4459" s="238">
        <v>0.0</v>
      </c>
      <c r="AQ4459" s="235" t="s">
        <v>632</v>
      </c>
      <c r="AR4459" s="243">
        <v>3.71E11</v>
      </c>
      <c r="AS4459" s="235" t="s">
        <v>32455</v>
      </c>
      <c r="AT4459" s="235" t="s">
        <v>155</v>
      </c>
      <c r="AU4459" s="235" t="s">
        <v>634</v>
      </c>
      <c r="AV4459" s="246" t="s">
        <v>635</v>
      </c>
      <c r="AW4459" s="227"/>
      <c r="AX4459" s="227"/>
      <c r="AY4459" s="227"/>
      <c r="AZ4459" s="227"/>
      <c r="BA4459" s="227"/>
      <c r="BB4459" s="227"/>
      <c r="BC4459" s="227"/>
      <c r="BD4459" s="227"/>
      <c r="BE4459" s="227"/>
      <c r="BF4459" s="227"/>
    </row>
    <row r="4460">
      <c r="A4460" s="235" t="s">
        <v>33134</v>
      </c>
      <c r="C4460" s="235" t="s">
        <v>33135</v>
      </c>
      <c r="D4460" s="235" t="s">
        <v>33136</v>
      </c>
      <c r="E4460" s="243">
        <v>6.5E13</v>
      </c>
      <c r="F4460" s="245"/>
      <c r="G4460" s="235" t="s">
        <v>33137</v>
      </c>
      <c r="H4460" s="235" t="s">
        <v>33138</v>
      </c>
      <c r="I4460" s="235" t="s">
        <v>33139</v>
      </c>
      <c r="J4460" s="235" t="s">
        <v>33140</v>
      </c>
      <c r="K4460" s="235" t="s">
        <v>33141</v>
      </c>
      <c r="N4460" s="235" t="s">
        <v>42</v>
      </c>
      <c r="O4460" s="235" t="s">
        <v>204</v>
      </c>
      <c r="P4460" s="238">
        <v>1.0</v>
      </c>
      <c r="Q4460" s="235" t="s">
        <v>627</v>
      </c>
      <c r="R4460" s="238">
        <v>237.14</v>
      </c>
      <c r="S4460" s="238">
        <v>11.86</v>
      </c>
      <c r="T4460" s="238">
        <v>0.0</v>
      </c>
      <c r="U4460" s="238">
        <v>0.0</v>
      </c>
      <c r="V4460" s="238">
        <v>0.0</v>
      </c>
      <c r="W4460" s="238">
        <v>0.0</v>
      </c>
      <c r="X4460" s="235" t="s">
        <v>628</v>
      </c>
      <c r="Z4460" s="245"/>
      <c r="AA4460" s="245"/>
      <c r="AB4460" s="245"/>
      <c r="AC4460" s="235" t="s">
        <v>28253</v>
      </c>
      <c r="AD4460" s="235" t="s">
        <v>833</v>
      </c>
      <c r="AE4460" s="238">
        <v>530045.0</v>
      </c>
      <c r="AF4460" s="235" t="s">
        <v>631</v>
      </c>
      <c r="AG4460" s="245"/>
      <c r="AH4460" s="245"/>
      <c r="AI4460" s="245"/>
      <c r="AJ4460" s="245"/>
      <c r="AK4460" s="245"/>
      <c r="AL4460" s="245"/>
      <c r="AM4460" s="245"/>
      <c r="AN4460" s="245"/>
      <c r="AO4460" s="238">
        <v>0.0</v>
      </c>
      <c r="AP4460" s="238">
        <v>0.0</v>
      </c>
      <c r="AQ4460" s="235" t="s">
        <v>632</v>
      </c>
      <c r="AR4460" s="243">
        <v>2.02E11</v>
      </c>
      <c r="AS4460" s="235" t="s">
        <v>32455</v>
      </c>
      <c r="AT4460" s="235" t="s">
        <v>9</v>
      </c>
      <c r="AU4460" s="235" t="s">
        <v>634</v>
      </c>
      <c r="AV4460" s="246" t="s">
        <v>635</v>
      </c>
      <c r="AW4460" s="227"/>
      <c r="AX4460" s="227"/>
      <c r="AY4460" s="227"/>
      <c r="AZ4460" s="227"/>
      <c r="BA4460" s="227"/>
      <c r="BB4460" s="227"/>
      <c r="BC4460" s="227"/>
      <c r="BD4460" s="227"/>
      <c r="BE4460" s="227"/>
      <c r="BF4460" s="227"/>
    </row>
    <row r="4461">
      <c r="A4461" s="235" t="s">
        <v>33142</v>
      </c>
      <c r="C4461" s="235" t="s">
        <v>33143</v>
      </c>
      <c r="D4461" s="235" t="s">
        <v>33144</v>
      </c>
      <c r="E4461" s="243">
        <v>6.5E13</v>
      </c>
      <c r="F4461" s="245"/>
      <c r="G4461" s="235" t="s">
        <v>33145</v>
      </c>
      <c r="H4461" s="235" t="s">
        <v>33146</v>
      </c>
      <c r="I4461" s="235" t="s">
        <v>33146</v>
      </c>
      <c r="J4461" s="235" t="s">
        <v>33147</v>
      </c>
      <c r="K4461" s="235" t="s">
        <v>33148</v>
      </c>
      <c r="N4461" s="235" t="s">
        <v>726</v>
      </c>
      <c r="O4461" s="235" t="s">
        <v>727</v>
      </c>
      <c r="P4461" s="238">
        <v>1.0</v>
      </c>
      <c r="Q4461" s="235" t="s">
        <v>627</v>
      </c>
      <c r="R4461" s="238">
        <v>244.76</v>
      </c>
      <c r="S4461" s="238">
        <v>12.24</v>
      </c>
      <c r="T4461" s="238">
        <v>0.0</v>
      </c>
      <c r="U4461" s="238">
        <v>0.0</v>
      </c>
      <c r="V4461" s="238">
        <v>0.0</v>
      </c>
      <c r="W4461" s="238">
        <v>0.0</v>
      </c>
      <c r="X4461" s="235" t="s">
        <v>628</v>
      </c>
      <c r="Z4461" s="245"/>
      <c r="AA4461" s="245"/>
      <c r="AB4461" s="245"/>
      <c r="AC4461" s="235" t="s">
        <v>697</v>
      </c>
      <c r="AD4461" s="235" t="s">
        <v>698</v>
      </c>
      <c r="AE4461" s="238">
        <v>500062.0</v>
      </c>
      <c r="AF4461" s="235" t="s">
        <v>631</v>
      </c>
      <c r="AG4461" s="245"/>
      <c r="AH4461" s="245"/>
      <c r="AI4461" s="245"/>
      <c r="AJ4461" s="245"/>
      <c r="AK4461" s="245"/>
      <c r="AL4461" s="245"/>
      <c r="AM4461" s="245"/>
      <c r="AN4461" s="245"/>
      <c r="AO4461" s="238">
        <v>0.0</v>
      </c>
      <c r="AP4461" s="238">
        <v>0.0</v>
      </c>
      <c r="AQ4461" s="235" t="s">
        <v>632</v>
      </c>
      <c r="AR4461" s="243">
        <v>2.02E11</v>
      </c>
      <c r="AS4461" s="235" t="s">
        <v>32455</v>
      </c>
      <c r="AT4461" s="235" t="s">
        <v>9</v>
      </c>
      <c r="AU4461" s="235" t="s">
        <v>634</v>
      </c>
      <c r="AV4461" s="246" t="s">
        <v>635</v>
      </c>
      <c r="AW4461" s="227"/>
      <c r="AX4461" s="227"/>
      <c r="AY4461" s="227"/>
      <c r="AZ4461" s="227"/>
      <c r="BA4461" s="227"/>
      <c r="BB4461" s="227"/>
      <c r="BC4461" s="227"/>
      <c r="BD4461" s="227"/>
      <c r="BE4461" s="227"/>
      <c r="BF4461" s="227"/>
    </row>
    <row r="4462">
      <c r="A4462" s="235" t="s">
        <v>33149</v>
      </c>
      <c r="C4462" s="235" t="s">
        <v>33150</v>
      </c>
      <c r="D4462" s="235" t="s">
        <v>33151</v>
      </c>
      <c r="E4462" s="243">
        <v>6.5E13</v>
      </c>
      <c r="F4462" s="245"/>
      <c r="G4462" s="235" t="s">
        <v>33152</v>
      </c>
      <c r="H4462" s="235" t="s">
        <v>33153</v>
      </c>
      <c r="I4462" s="235" t="s">
        <v>33153</v>
      </c>
      <c r="J4462" s="235" t="s">
        <v>33154</v>
      </c>
      <c r="K4462" s="235" t="s">
        <v>33155</v>
      </c>
      <c r="N4462" s="235" t="s">
        <v>130</v>
      </c>
      <c r="O4462" s="235" t="s">
        <v>707</v>
      </c>
      <c r="P4462" s="238">
        <v>1.0</v>
      </c>
      <c r="Q4462" s="235" t="s">
        <v>627</v>
      </c>
      <c r="R4462" s="238">
        <v>243.81</v>
      </c>
      <c r="S4462" s="238">
        <v>11.95</v>
      </c>
      <c r="T4462" s="238">
        <v>0.0</v>
      </c>
      <c r="U4462" s="238">
        <v>0.0</v>
      </c>
      <c r="V4462" s="238">
        <v>0.0</v>
      </c>
      <c r="W4462" s="238">
        <v>0.0</v>
      </c>
      <c r="X4462" s="235" t="s">
        <v>628</v>
      </c>
      <c r="Z4462" s="245"/>
      <c r="AA4462" s="245"/>
      <c r="AB4462" s="245"/>
      <c r="AC4462" s="235" t="s">
        <v>1475</v>
      </c>
      <c r="AD4462" s="235" t="s">
        <v>796</v>
      </c>
      <c r="AE4462" s="238">
        <v>110014.0</v>
      </c>
      <c r="AF4462" s="235" t="s">
        <v>631</v>
      </c>
      <c r="AG4462" s="245"/>
      <c r="AH4462" s="245"/>
      <c r="AI4462" s="245"/>
      <c r="AJ4462" s="245"/>
      <c r="AK4462" s="245"/>
      <c r="AL4462" s="245"/>
      <c r="AM4462" s="245"/>
      <c r="AN4462" s="245"/>
      <c r="AO4462" s="238">
        <v>-4.88</v>
      </c>
      <c r="AP4462" s="238">
        <v>0.0</v>
      </c>
      <c r="AQ4462" s="235" t="s">
        <v>632</v>
      </c>
      <c r="AR4462" s="243">
        <v>1.68E11</v>
      </c>
      <c r="AS4462" s="235" t="s">
        <v>32840</v>
      </c>
      <c r="AT4462" s="235" t="s">
        <v>533</v>
      </c>
      <c r="AU4462" s="235" t="s">
        <v>634</v>
      </c>
      <c r="AV4462" s="246" t="s">
        <v>635</v>
      </c>
      <c r="AW4462" s="227"/>
      <c r="AX4462" s="227"/>
      <c r="AY4462" s="227"/>
      <c r="AZ4462" s="227"/>
      <c r="BA4462" s="227"/>
      <c r="BB4462" s="227"/>
      <c r="BC4462" s="227"/>
      <c r="BD4462" s="227"/>
      <c r="BE4462" s="227"/>
      <c r="BF4462" s="227"/>
    </row>
    <row r="4463">
      <c r="A4463" s="235" t="s">
        <v>33156</v>
      </c>
      <c r="C4463" s="235" t="s">
        <v>33157</v>
      </c>
      <c r="D4463" s="235" t="s">
        <v>33158</v>
      </c>
      <c r="E4463" s="243">
        <v>6.5E13</v>
      </c>
      <c r="F4463" s="245"/>
      <c r="G4463" s="235" t="s">
        <v>33159</v>
      </c>
      <c r="H4463" s="235" t="s">
        <v>33160</v>
      </c>
      <c r="I4463" s="235" t="s">
        <v>33160</v>
      </c>
      <c r="J4463" s="235" t="s">
        <v>33161</v>
      </c>
      <c r="K4463" s="235" t="s">
        <v>33162</v>
      </c>
      <c r="N4463" s="235" t="s">
        <v>82</v>
      </c>
      <c r="O4463" s="235" t="s">
        <v>889</v>
      </c>
      <c r="P4463" s="238">
        <v>1.0</v>
      </c>
      <c r="Q4463" s="235" t="s">
        <v>627</v>
      </c>
      <c r="R4463" s="238">
        <v>243.81</v>
      </c>
      <c r="S4463" s="238">
        <v>12.19</v>
      </c>
      <c r="T4463" s="238">
        <v>38.1</v>
      </c>
      <c r="U4463" s="238">
        <v>1.9</v>
      </c>
      <c r="V4463" s="238">
        <v>0.0</v>
      </c>
      <c r="W4463" s="238">
        <v>0.0</v>
      </c>
      <c r="X4463" s="235" t="s">
        <v>628</v>
      </c>
      <c r="Z4463" s="245"/>
      <c r="AA4463" s="245"/>
      <c r="AB4463" s="245"/>
      <c r="AC4463" s="235" t="s">
        <v>33163</v>
      </c>
      <c r="AD4463" s="235" t="s">
        <v>1499</v>
      </c>
      <c r="AE4463" s="238">
        <v>484665.0</v>
      </c>
      <c r="AF4463" s="235" t="s">
        <v>631</v>
      </c>
      <c r="AG4463" s="245"/>
      <c r="AH4463" s="245"/>
      <c r="AI4463" s="245"/>
      <c r="AJ4463" s="245"/>
      <c r="AK4463" s="245"/>
      <c r="AL4463" s="245"/>
      <c r="AM4463" s="245"/>
      <c r="AN4463" s="245"/>
      <c r="AO4463" s="238">
        <v>0.0</v>
      </c>
      <c r="AP4463" s="238">
        <v>-38.1</v>
      </c>
      <c r="AQ4463" s="235" t="s">
        <v>1328</v>
      </c>
      <c r="AR4463" s="243">
        <v>1.34E13</v>
      </c>
      <c r="AS4463" s="235" t="s">
        <v>26892</v>
      </c>
      <c r="AT4463" s="235" t="s">
        <v>14</v>
      </c>
      <c r="AU4463" s="235" t="s">
        <v>634</v>
      </c>
      <c r="AV4463" s="246" t="s">
        <v>635</v>
      </c>
      <c r="AW4463" s="227"/>
      <c r="AX4463" s="227"/>
      <c r="AY4463" s="227"/>
      <c r="AZ4463" s="227"/>
      <c r="BA4463" s="227"/>
      <c r="BB4463" s="227"/>
      <c r="BC4463" s="227"/>
      <c r="BD4463" s="227"/>
      <c r="BE4463" s="227"/>
      <c r="BF4463" s="227"/>
    </row>
    <row r="4464">
      <c r="A4464" s="235" t="s">
        <v>33164</v>
      </c>
      <c r="C4464" s="235" t="s">
        <v>33165</v>
      </c>
      <c r="D4464" s="235" t="s">
        <v>33166</v>
      </c>
      <c r="E4464" s="243">
        <v>6.5E13</v>
      </c>
      <c r="F4464" s="245"/>
      <c r="G4464" s="235" t="s">
        <v>33167</v>
      </c>
      <c r="H4464" s="235" t="s">
        <v>33168</v>
      </c>
      <c r="I4464" s="235" t="s">
        <v>33168</v>
      </c>
      <c r="J4464" s="235" t="s">
        <v>33169</v>
      </c>
      <c r="K4464" s="235" t="s">
        <v>33170</v>
      </c>
      <c r="N4464" s="235" t="s">
        <v>127</v>
      </c>
      <c r="O4464" s="235" t="s">
        <v>794</v>
      </c>
      <c r="P4464" s="238">
        <v>1.0</v>
      </c>
      <c r="Q4464" s="235" t="s">
        <v>627</v>
      </c>
      <c r="R4464" s="238">
        <v>243.8</v>
      </c>
      <c r="S4464" s="238">
        <v>12.2</v>
      </c>
      <c r="T4464" s="238">
        <v>0.0</v>
      </c>
      <c r="U4464" s="238">
        <v>0.0</v>
      </c>
      <c r="V4464" s="238">
        <v>0.0</v>
      </c>
      <c r="W4464" s="238">
        <v>0.0</v>
      </c>
      <c r="X4464" s="235" t="s">
        <v>628</v>
      </c>
      <c r="Z4464" s="245"/>
      <c r="AA4464" s="245"/>
      <c r="AB4464" s="245"/>
      <c r="AC4464" s="235" t="s">
        <v>844</v>
      </c>
      <c r="AD4464" s="235" t="s">
        <v>845</v>
      </c>
      <c r="AE4464" s="238">
        <v>411037.0</v>
      </c>
      <c r="AF4464" s="235" t="s">
        <v>631</v>
      </c>
      <c r="AG4464" s="245"/>
      <c r="AH4464" s="245"/>
      <c r="AI4464" s="245"/>
      <c r="AJ4464" s="245"/>
      <c r="AK4464" s="245"/>
      <c r="AL4464" s="245"/>
      <c r="AM4464" s="245"/>
      <c r="AN4464" s="245"/>
      <c r="AO4464" s="238">
        <v>0.0</v>
      </c>
      <c r="AP4464" s="238">
        <v>0.0</v>
      </c>
      <c r="AQ4464" s="235" t="s">
        <v>632</v>
      </c>
      <c r="AR4464" s="243">
        <v>1.68E11</v>
      </c>
      <c r="AS4464" s="235" t="s">
        <v>32840</v>
      </c>
      <c r="AT4464" s="235" t="s">
        <v>546</v>
      </c>
      <c r="AU4464" s="235" t="s">
        <v>634</v>
      </c>
      <c r="AV4464" s="246" t="s">
        <v>635</v>
      </c>
      <c r="AW4464" s="227"/>
      <c r="AX4464" s="227"/>
      <c r="AY4464" s="227"/>
      <c r="AZ4464" s="227"/>
      <c r="BA4464" s="227"/>
      <c r="BB4464" s="227"/>
      <c r="BC4464" s="227"/>
      <c r="BD4464" s="227"/>
      <c r="BE4464" s="227"/>
      <c r="BF4464" s="227"/>
    </row>
    <row r="4465">
      <c r="A4465" s="235" t="s">
        <v>33171</v>
      </c>
      <c r="C4465" s="235" t="s">
        <v>33172</v>
      </c>
      <c r="D4465" s="235" t="s">
        <v>33173</v>
      </c>
      <c r="E4465" s="243">
        <v>6.49E13</v>
      </c>
      <c r="F4465" s="245"/>
      <c r="G4465" s="235" t="s">
        <v>33174</v>
      </c>
      <c r="H4465" s="235" t="s">
        <v>33175</v>
      </c>
      <c r="I4465" s="235" t="s">
        <v>33175</v>
      </c>
      <c r="J4465" s="235" t="s">
        <v>33176</v>
      </c>
      <c r="K4465" s="235" t="s">
        <v>33177</v>
      </c>
      <c r="N4465" s="235" t="s">
        <v>144</v>
      </c>
      <c r="O4465" s="235" t="s">
        <v>232</v>
      </c>
      <c r="P4465" s="238">
        <v>1.0</v>
      </c>
      <c r="Q4465" s="235" t="s">
        <v>627</v>
      </c>
      <c r="R4465" s="238">
        <v>665.72</v>
      </c>
      <c r="S4465" s="238">
        <v>33.28</v>
      </c>
      <c r="T4465" s="238">
        <v>38.1</v>
      </c>
      <c r="U4465" s="238">
        <v>1.9</v>
      </c>
      <c r="V4465" s="238">
        <v>0.0</v>
      </c>
      <c r="W4465" s="238">
        <v>0.0</v>
      </c>
      <c r="X4465" s="235" t="s">
        <v>628</v>
      </c>
      <c r="Z4465" s="245"/>
      <c r="AA4465" s="245"/>
      <c r="AB4465" s="245"/>
      <c r="AC4465" s="235" t="s">
        <v>1671</v>
      </c>
      <c r="AD4465" s="235" t="s">
        <v>666</v>
      </c>
      <c r="AE4465" s="238">
        <v>641041.0</v>
      </c>
      <c r="AF4465" s="235" t="s">
        <v>631</v>
      </c>
      <c r="AG4465" s="245"/>
      <c r="AH4465" s="245"/>
      <c r="AI4465" s="245"/>
      <c r="AJ4465" s="245"/>
      <c r="AK4465" s="245"/>
      <c r="AL4465" s="245"/>
      <c r="AM4465" s="245"/>
      <c r="AN4465" s="245"/>
      <c r="AO4465" s="238">
        <v>0.0</v>
      </c>
      <c r="AP4465" s="238">
        <v>-38.1</v>
      </c>
      <c r="AQ4465" s="235" t="s">
        <v>632</v>
      </c>
      <c r="AR4465" s="243">
        <v>3.71E11</v>
      </c>
      <c r="AS4465" s="235" t="s">
        <v>32455</v>
      </c>
      <c r="AT4465" s="235" t="s">
        <v>155</v>
      </c>
      <c r="AU4465" s="235" t="s">
        <v>634</v>
      </c>
      <c r="AV4465" s="246" t="s">
        <v>635</v>
      </c>
      <c r="AW4465" s="227"/>
      <c r="AX4465" s="227"/>
      <c r="AY4465" s="227"/>
      <c r="AZ4465" s="227"/>
      <c r="BA4465" s="227"/>
      <c r="BB4465" s="227"/>
      <c r="BC4465" s="227"/>
      <c r="BD4465" s="227"/>
      <c r="BE4465" s="227"/>
      <c r="BF4465" s="227"/>
    </row>
    <row r="4466">
      <c r="A4466" s="235" t="s">
        <v>33178</v>
      </c>
      <c r="C4466" s="235" t="s">
        <v>33179</v>
      </c>
      <c r="D4466" s="235" t="s">
        <v>33180</v>
      </c>
      <c r="E4466" s="243">
        <v>6.5E13</v>
      </c>
      <c r="F4466" s="245"/>
      <c r="G4466" s="235" t="s">
        <v>33181</v>
      </c>
      <c r="H4466" s="235" t="s">
        <v>33182</v>
      </c>
      <c r="I4466" s="235" t="s">
        <v>33182</v>
      </c>
      <c r="J4466" s="235" t="s">
        <v>33183</v>
      </c>
      <c r="K4466" s="235" t="s">
        <v>33184</v>
      </c>
      <c r="N4466" s="235" t="s">
        <v>134</v>
      </c>
      <c r="O4466" s="235" t="s">
        <v>314</v>
      </c>
      <c r="P4466" s="238">
        <v>1.0</v>
      </c>
      <c r="Q4466" s="235" t="s">
        <v>627</v>
      </c>
      <c r="R4466" s="238">
        <v>244.76</v>
      </c>
      <c r="S4466" s="238">
        <v>12.24</v>
      </c>
      <c r="T4466" s="238">
        <v>38.1</v>
      </c>
      <c r="U4466" s="238">
        <v>1.9</v>
      </c>
      <c r="V4466" s="238">
        <v>0.0</v>
      </c>
      <c r="W4466" s="238">
        <v>0.0</v>
      </c>
      <c r="X4466" s="235" t="s">
        <v>628</v>
      </c>
      <c r="Z4466" s="245"/>
      <c r="AA4466" s="245"/>
      <c r="AB4466" s="245"/>
      <c r="AC4466" s="235" t="s">
        <v>8273</v>
      </c>
      <c r="AD4466" s="235" t="s">
        <v>3113</v>
      </c>
      <c r="AE4466" s="238">
        <v>492001.0</v>
      </c>
      <c r="AF4466" s="235" t="s">
        <v>631</v>
      </c>
      <c r="AG4466" s="245"/>
      <c r="AH4466" s="245"/>
      <c r="AI4466" s="245"/>
      <c r="AJ4466" s="245"/>
      <c r="AK4466" s="245"/>
      <c r="AL4466" s="245"/>
      <c r="AM4466" s="245"/>
      <c r="AN4466" s="245"/>
      <c r="AO4466" s="238">
        <v>0.0</v>
      </c>
      <c r="AP4466" s="238">
        <v>-38.1</v>
      </c>
      <c r="AQ4466" s="235" t="s">
        <v>632</v>
      </c>
      <c r="AR4466" s="243">
        <v>3.71E11</v>
      </c>
      <c r="AS4466" s="235" t="s">
        <v>28482</v>
      </c>
      <c r="AT4466" s="235" t="s">
        <v>17</v>
      </c>
      <c r="AU4466" s="235" t="s">
        <v>634</v>
      </c>
      <c r="AV4466" s="246" t="s">
        <v>635</v>
      </c>
      <c r="AW4466" s="227"/>
      <c r="AX4466" s="227"/>
      <c r="AY4466" s="227"/>
      <c r="AZ4466" s="227"/>
      <c r="BA4466" s="227"/>
      <c r="BB4466" s="227"/>
      <c r="BC4466" s="227"/>
      <c r="BD4466" s="227"/>
      <c r="BE4466" s="227"/>
      <c r="BF4466" s="227"/>
    </row>
    <row r="4467">
      <c r="A4467" s="235" t="s">
        <v>33185</v>
      </c>
      <c r="C4467" s="235" t="s">
        <v>33186</v>
      </c>
      <c r="D4467" s="235" t="s">
        <v>33187</v>
      </c>
      <c r="E4467" s="243">
        <v>6.5E13</v>
      </c>
      <c r="F4467" s="245"/>
      <c r="G4467" s="235" t="s">
        <v>33188</v>
      </c>
      <c r="H4467" s="235" t="s">
        <v>33189</v>
      </c>
      <c r="I4467" s="235" t="s">
        <v>33189</v>
      </c>
      <c r="J4467" s="235" t="s">
        <v>33190</v>
      </c>
      <c r="K4467" s="235" t="s">
        <v>33191</v>
      </c>
      <c r="N4467" s="235" t="s">
        <v>145</v>
      </c>
      <c r="O4467" s="235" t="s">
        <v>370</v>
      </c>
      <c r="P4467" s="238">
        <v>1.0</v>
      </c>
      <c r="Q4467" s="235" t="s">
        <v>627</v>
      </c>
      <c r="R4467" s="238">
        <v>1522.86</v>
      </c>
      <c r="S4467" s="238">
        <v>76.14</v>
      </c>
      <c r="T4467" s="238">
        <v>38.1</v>
      </c>
      <c r="U4467" s="238">
        <v>1.9</v>
      </c>
      <c r="V4467" s="238">
        <v>0.0</v>
      </c>
      <c r="W4467" s="238">
        <v>0.0</v>
      </c>
      <c r="X4467" s="235" t="s">
        <v>628</v>
      </c>
      <c r="Z4467" s="245"/>
      <c r="AA4467" s="245"/>
      <c r="AB4467" s="245"/>
      <c r="AC4467" s="235" t="s">
        <v>33192</v>
      </c>
      <c r="AD4467" s="235" t="s">
        <v>845</v>
      </c>
      <c r="AE4467" s="238">
        <v>401209.0</v>
      </c>
      <c r="AF4467" s="235" t="s">
        <v>631</v>
      </c>
      <c r="AG4467" s="245"/>
      <c r="AH4467" s="245"/>
      <c r="AI4467" s="245"/>
      <c r="AJ4467" s="245"/>
      <c r="AK4467" s="245"/>
      <c r="AL4467" s="245"/>
      <c r="AM4467" s="245"/>
      <c r="AN4467" s="245"/>
      <c r="AO4467" s="238">
        <v>0.0</v>
      </c>
      <c r="AP4467" s="238">
        <v>-38.1</v>
      </c>
      <c r="AQ4467" s="235" t="s">
        <v>632</v>
      </c>
      <c r="AR4467" s="243">
        <v>3.71E11</v>
      </c>
      <c r="AS4467" s="235" t="s">
        <v>32455</v>
      </c>
      <c r="AT4467" s="235" t="s">
        <v>17</v>
      </c>
      <c r="AU4467" s="235" t="s">
        <v>634</v>
      </c>
      <c r="AV4467" s="246" t="s">
        <v>635</v>
      </c>
      <c r="AW4467" s="227"/>
      <c r="AX4467" s="227"/>
      <c r="AY4467" s="227"/>
      <c r="AZ4467" s="227"/>
      <c r="BA4467" s="227"/>
      <c r="BB4467" s="227"/>
      <c r="BC4467" s="227"/>
      <c r="BD4467" s="227"/>
      <c r="BE4467" s="227"/>
      <c r="BF4467" s="227"/>
    </row>
    <row r="4468">
      <c r="A4468" s="235" t="s">
        <v>33193</v>
      </c>
      <c r="C4468" s="235" t="s">
        <v>33194</v>
      </c>
      <c r="D4468" s="235" t="s">
        <v>33195</v>
      </c>
      <c r="E4468" s="243">
        <v>6.5E13</v>
      </c>
      <c r="F4468" s="245"/>
      <c r="G4468" s="235" t="s">
        <v>33196</v>
      </c>
      <c r="H4468" s="235" t="s">
        <v>33197</v>
      </c>
      <c r="I4468" s="235" t="s">
        <v>33197</v>
      </c>
      <c r="J4468" s="235" t="s">
        <v>33198</v>
      </c>
      <c r="K4468" s="235" t="s">
        <v>33199</v>
      </c>
      <c r="N4468" s="235" t="s">
        <v>153</v>
      </c>
      <c r="O4468" s="235" t="s">
        <v>390</v>
      </c>
      <c r="P4468" s="238">
        <v>1.0</v>
      </c>
      <c r="Q4468" s="235" t="s">
        <v>627</v>
      </c>
      <c r="R4468" s="238">
        <v>490.68</v>
      </c>
      <c r="S4468" s="238">
        <v>88.32</v>
      </c>
      <c r="T4468" s="238">
        <v>0.0</v>
      </c>
      <c r="U4468" s="238">
        <v>0.0</v>
      </c>
      <c r="V4468" s="238">
        <v>0.0</v>
      </c>
      <c r="W4468" s="238">
        <v>0.0</v>
      </c>
      <c r="X4468" s="235" t="s">
        <v>628</v>
      </c>
      <c r="Z4468" s="245"/>
      <c r="AA4468" s="245"/>
      <c r="AB4468" s="245"/>
      <c r="AC4468" s="235" t="s">
        <v>33200</v>
      </c>
      <c r="AD4468" s="235" t="s">
        <v>666</v>
      </c>
      <c r="AE4468" s="238">
        <v>613007.0</v>
      </c>
      <c r="AF4468" s="235" t="s">
        <v>631</v>
      </c>
      <c r="AG4468" s="245"/>
      <c r="AH4468" s="245"/>
      <c r="AI4468" s="245"/>
      <c r="AJ4468" s="245"/>
      <c r="AK4468" s="245"/>
      <c r="AL4468" s="245"/>
      <c r="AM4468" s="245"/>
      <c r="AN4468" s="245"/>
      <c r="AO4468" s="238">
        <v>0.0</v>
      </c>
      <c r="AP4468" s="238">
        <v>0.0</v>
      </c>
      <c r="AQ4468" s="235" t="s">
        <v>632</v>
      </c>
      <c r="AR4468" s="243">
        <v>3.71E11</v>
      </c>
      <c r="AS4468" s="235" t="s">
        <v>32455</v>
      </c>
      <c r="AT4468" s="235" t="s">
        <v>155</v>
      </c>
      <c r="AU4468" s="235" t="s">
        <v>634</v>
      </c>
      <c r="AV4468" s="246" t="s">
        <v>635</v>
      </c>
      <c r="AW4468" s="227"/>
      <c r="AX4468" s="227"/>
      <c r="AY4468" s="227"/>
      <c r="AZ4468" s="227"/>
      <c r="BA4468" s="227"/>
      <c r="BB4468" s="227"/>
      <c r="BC4468" s="227"/>
      <c r="BD4468" s="227"/>
      <c r="BE4468" s="227"/>
      <c r="BF4468" s="227"/>
    </row>
    <row r="4469">
      <c r="A4469" s="235" t="s">
        <v>33201</v>
      </c>
      <c r="C4469" s="235" t="s">
        <v>33202</v>
      </c>
      <c r="D4469" s="235" t="s">
        <v>33203</v>
      </c>
      <c r="E4469" s="243">
        <v>6.5E13</v>
      </c>
      <c r="F4469" s="245"/>
      <c r="G4469" s="235" t="s">
        <v>33204</v>
      </c>
      <c r="H4469" s="235" t="s">
        <v>33205</v>
      </c>
      <c r="I4469" s="235" t="s">
        <v>33205</v>
      </c>
      <c r="J4469" s="235" t="s">
        <v>33206</v>
      </c>
      <c r="K4469" s="235" t="s">
        <v>33207</v>
      </c>
      <c r="N4469" s="235" t="s">
        <v>144</v>
      </c>
      <c r="O4469" s="235" t="s">
        <v>232</v>
      </c>
      <c r="P4469" s="238">
        <v>1.0</v>
      </c>
      <c r="Q4469" s="235" t="s">
        <v>627</v>
      </c>
      <c r="R4469" s="238">
        <v>665.71</v>
      </c>
      <c r="S4469" s="238">
        <v>32.62</v>
      </c>
      <c r="T4469" s="238">
        <v>0.0</v>
      </c>
      <c r="U4469" s="238">
        <v>0.0</v>
      </c>
      <c r="V4469" s="238">
        <v>0.0</v>
      </c>
      <c r="W4469" s="238">
        <v>0.0</v>
      </c>
      <c r="X4469" s="235" t="s">
        <v>628</v>
      </c>
      <c r="Z4469" s="245"/>
      <c r="AA4469" s="245"/>
      <c r="AB4469" s="245"/>
      <c r="AC4469" s="235" t="s">
        <v>4420</v>
      </c>
      <c r="AD4469" s="235" t="s">
        <v>630</v>
      </c>
      <c r="AE4469" s="238">
        <v>208020.0</v>
      </c>
      <c r="AF4469" s="235" t="s">
        <v>631</v>
      </c>
      <c r="AG4469" s="245"/>
      <c r="AH4469" s="245"/>
      <c r="AI4469" s="245"/>
      <c r="AJ4469" s="245"/>
      <c r="AK4469" s="245"/>
      <c r="AL4469" s="245"/>
      <c r="AM4469" s="245"/>
      <c r="AN4469" s="245"/>
      <c r="AO4469" s="238">
        <v>-13.31</v>
      </c>
      <c r="AP4469" s="238">
        <v>0.0</v>
      </c>
      <c r="AQ4469" s="235" t="s">
        <v>632</v>
      </c>
      <c r="AR4469" s="243">
        <v>3.71E11</v>
      </c>
      <c r="AS4469" s="235" t="s">
        <v>31232</v>
      </c>
      <c r="AT4469" s="235" t="s">
        <v>13</v>
      </c>
      <c r="AU4469" s="235" t="s">
        <v>634</v>
      </c>
      <c r="AV4469" s="246" t="s">
        <v>635</v>
      </c>
      <c r="AW4469" s="227"/>
      <c r="AX4469" s="227"/>
      <c r="AY4469" s="227"/>
      <c r="AZ4469" s="227"/>
      <c r="BA4469" s="227"/>
      <c r="BB4469" s="227"/>
      <c r="BC4469" s="227"/>
      <c r="BD4469" s="227"/>
      <c r="BE4469" s="227"/>
      <c r="BF4469" s="227"/>
    </row>
    <row r="4470">
      <c r="A4470" s="235" t="s">
        <v>33208</v>
      </c>
      <c r="C4470" s="235" t="s">
        <v>33209</v>
      </c>
      <c r="D4470" s="235" t="s">
        <v>33210</v>
      </c>
      <c r="E4470" s="243">
        <v>6.5E13</v>
      </c>
      <c r="F4470" s="245"/>
      <c r="G4470" s="235" t="s">
        <v>33211</v>
      </c>
      <c r="H4470" s="235" t="s">
        <v>33212</v>
      </c>
      <c r="I4470" s="235" t="s">
        <v>33212</v>
      </c>
      <c r="J4470" s="235" t="s">
        <v>33213</v>
      </c>
      <c r="K4470" s="235" t="s">
        <v>33214</v>
      </c>
      <c r="N4470" s="235" t="s">
        <v>42</v>
      </c>
      <c r="O4470" s="235" t="s">
        <v>204</v>
      </c>
      <c r="P4470" s="238">
        <v>1.0</v>
      </c>
      <c r="Q4470" s="235" t="s">
        <v>627</v>
      </c>
      <c r="R4470" s="238">
        <v>237.14</v>
      </c>
      <c r="S4470" s="238">
        <v>11.62</v>
      </c>
      <c r="T4470" s="238">
        <v>0.0</v>
      </c>
      <c r="U4470" s="238">
        <v>0.0</v>
      </c>
      <c r="V4470" s="238">
        <v>0.0</v>
      </c>
      <c r="W4470" s="238">
        <v>0.0</v>
      </c>
      <c r="X4470" s="235" t="s">
        <v>628</v>
      </c>
      <c r="Z4470" s="245"/>
      <c r="AA4470" s="245"/>
      <c r="AB4470" s="245"/>
      <c r="AC4470" s="235" t="s">
        <v>697</v>
      </c>
      <c r="AD4470" s="235" t="s">
        <v>698</v>
      </c>
      <c r="AE4470" s="238">
        <v>500085.0</v>
      </c>
      <c r="AF4470" s="235" t="s">
        <v>631</v>
      </c>
      <c r="AG4470" s="245"/>
      <c r="AH4470" s="245"/>
      <c r="AI4470" s="245"/>
      <c r="AJ4470" s="245"/>
      <c r="AK4470" s="245"/>
      <c r="AL4470" s="245"/>
      <c r="AM4470" s="245"/>
      <c r="AN4470" s="245"/>
      <c r="AO4470" s="238">
        <v>-4.74</v>
      </c>
      <c r="AP4470" s="238">
        <v>0.0</v>
      </c>
      <c r="AQ4470" s="235" t="s">
        <v>632</v>
      </c>
      <c r="AR4470" s="243">
        <v>2.02E11</v>
      </c>
      <c r="AS4470" s="235" t="s">
        <v>32455</v>
      </c>
      <c r="AT4470" s="235" t="s">
        <v>5</v>
      </c>
      <c r="AU4470" s="235" t="s">
        <v>634</v>
      </c>
      <c r="AV4470" s="246" t="s">
        <v>635</v>
      </c>
      <c r="AW4470" s="227"/>
      <c r="AX4470" s="227"/>
      <c r="AY4470" s="227"/>
      <c r="AZ4470" s="227"/>
      <c r="BA4470" s="227"/>
      <c r="BB4470" s="227"/>
      <c r="BC4470" s="227"/>
      <c r="BD4470" s="227"/>
      <c r="BE4470" s="227"/>
      <c r="BF4470" s="227"/>
    </row>
    <row r="4471">
      <c r="A4471" s="235" t="s">
        <v>33215</v>
      </c>
      <c r="C4471" s="235" t="s">
        <v>33216</v>
      </c>
      <c r="D4471" s="235" t="s">
        <v>33217</v>
      </c>
      <c r="E4471" s="243">
        <v>6.5E13</v>
      </c>
      <c r="F4471" s="245"/>
      <c r="G4471" s="235" t="s">
        <v>33218</v>
      </c>
      <c r="H4471" s="235" t="s">
        <v>33219</v>
      </c>
      <c r="I4471" s="235" t="s">
        <v>33219</v>
      </c>
      <c r="J4471" s="235" t="s">
        <v>33220</v>
      </c>
      <c r="K4471" s="235" t="s">
        <v>33221</v>
      </c>
      <c r="N4471" s="235" t="s">
        <v>34</v>
      </c>
      <c r="O4471" s="235" t="s">
        <v>1050</v>
      </c>
      <c r="P4471" s="238">
        <v>1.0</v>
      </c>
      <c r="Q4471" s="235" t="s">
        <v>627</v>
      </c>
      <c r="R4471" s="238">
        <v>446.66</v>
      </c>
      <c r="S4471" s="238">
        <v>22.34</v>
      </c>
      <c r="T4471" s="238">
        <v>0.0</v>
      </c>
      <c r="U4471" s="238">
        <v>0.0</v>
      </c>
      <c r="V4471" s="238">
        <v>0.0</v>
      </c>
      <c r="W4471" s="238">
        <v>0.0</v>
      </c>
      <c r="X4471" s="235" t="s">
        <v>628</v>
      </c>
      <c r="Z4471" s="245"/>
      <c r="AA4471" s="245"/>
      <c r="AB4471" s="245"/>
      <c r="AC4471" s="235" t="s">
        <v>33222</v>
      </c>
      <c r="AD4471" s="235" t="s">
        <v>845</v>
      </c>
      <c r="AE4471" s="238">
        <v>445302.0</v>
      </c>
      <c r="AF4471" s="235" t="s">
        <v>631</v>
      </c>
      <c r="AG4471" s="245"/>
      <c r="AH4471" s="245"/>
      <c r="AI4471" s="245"/>
      <c r="AJ4471" s="245"/>
      <c r="AK4471" s="245"/>
      <c r="AL4471" s="245"/>
      <c r="AM4471" s="245"/>
      <c r="AN4471" s="245"/>
      <c r="AO4471" s="238">
        <v>0.0</v>
      </c>
      <c r="AP4471" s="238">
        <v>0.0</v>
      </c>
      <c r="AQ4471" s="235" t="s">
        <v>632</v>
      </c>
      <c r="AR4471" s="243">
        <v>3.71E11</v>
      </c>
      <c r="AS4471" s="235" t="s">
        <v>28482</v>
      </c>
      <c r="AT4471" s="235" t="s">
        <v>16</v>
      </c>
      <c r="AU4471" s="235" t="s">
        <v>634</v>
      </c>
      <c r="AV4471" s="246" t="s">
        <v>635</v>
      </c>
      <c r="AW4471" s="227"/>
      <c r="AX4471" s="227"/>
      <c r="AY4471" s="227"/>
      <c r="AZ4471" s="227"/>
      <c r="BA4471" s="227"/>
      <c r="BB4471" s="227"/>
      <c r="BC4471" s="227"/>
      <c r="BD4471" s="227"/>
      <c r="BE4471" s="227"/>
      <c r="BF4471" s="227"/>
    </row>
    <row r="4472">
      <c r="A4472" s="235" t="s">
        <v>33223</v>
      </c>
      <c r="C4472" s="235" t="s">
        <v>33224</v>
      </c>
      <c r="D4472" s="235" t="s">
        <v>33225</v>
      </c>
      <c r="E4472" s="243">
        <v>6.5E13</v>
      </c>
      <c r="F4472" s="245"/>
      <c r="G4472" s="235" t="s">
        <v>33226</v>
      </c>
      <c r="H4472" s="235" t="s">
        <v>33227</v>
      </c>
      <c r="I4472" s="235" t="s">
        <v>33227</v>
      </c>
      <c r="J4472" s="235" t="s">
        <v>33228</v>
      </c>
      <c r="K4472" s="235" t="s">
        <v>33229</v>
      </c>
      <c r="N4472" s="235" t="s">
        <v>136</v>
      </c>
      <c r="O4472" s="235" t="s">
        <v>256</v>
      </c>
      <c r="P4472" s="238">
        <v>1.0</v>
      </c>
      <c r="Q4472" s="235" t="s">
        <v>627</v>
      </c>
      <c r="R4472" s="238">
        <v>244.76</v>
      </c>
      <c r="S4472" s="238">
        <v>12.24</v>
      </c>
      <c r="T4472" s="238">
        <v>0.0</v>
      </c>
      <c r="U4472" s="238">
        <v>0.0</v>
      </c>
      <c r="V4472" s="238">
        <v>0.0</v>
      </c>
      <c r="W4472" s="238">
        <v>0.0</v>
      </c>
      <c r="X4472" s="235" t="s">
        <v>628</v>
      </c>
      <c r="Z4472" s="245"/>
      <c r="AA4472" s="245"/>
      <c r="AB4472" s="245"/>
      <c r="AC4472" s="235" t="s">
        <v>33230</v>
      </c>
      <c r="AD4472" s="235" t="s">
        <v>666</v>
      </c>
      <c r="AE4472" s="238">
        <v>603103.0</v>
      </c>
      <c r="AF4472" s="235" t="s">
        <v>631</v>
      </c>
      <c r="AG4472" s="245"/>
      <c r="AH4472" s="245"/>
      <c r="AI4472" s="245"/>
      <c r="AJ4472" s="245"/>
      <c r="AK4472" s="245"/>
      <c r="AL4472" s="245"/>
      <c r="AM4472" s="245"/>
      <c r="AN4472" s="245"/>
      <c r="AO4472" s="238">
        <v>0.0</v>
      </c>
      <c r="AP4472" s="238">
        <v>0.0</v>
      </c>
      <c r="AQ4472" s="235" t="s">
        <v>632</v>
      </c>
      <c r="AR4472" s="243">
        <v>3.71E11</v>
      </c>
      <c r="AS4472" s="235" t="s">
        <v>32455</v>
      </c>
      <c r="AT4472" s="235" t="s">
        <v>156</v>
      </c>
      <c r="AU4472" s="235" t="s">
        <v>634</v>
      </c>
      <c r="AV4472" s="246" t="s">
        <v>635</v>
      </c>
      <c r="AW4472" s="227"/>
      <c r="AX4472" s="227"/>
      <c r="AY4472" s="227"/>
      <c r="AZ4472" s="227"/>
      <c r="BA4472" s="227"/>
      <c r="BB4472" s="227"/>
      <c r="BC4472" s="227"/>
      <c r="BD4472" s="227"/>
      <c r="BE4472" s="227"/>
      <c r="BF4472" s="227"/>
    </row>
    <row r="4473">
      <c r="A4473" s="235" t="s">
        <v>33231</v>
      </c>
      <c r="C4473" s="235" t="s">
        <v>33232</v>
      </c>
      <c r="D4473" s="235" t="s">
        <v>33233</v>
      </c>
      <c r="E4473" s="243">
        <v>6.5E13</v>
      </c>
      <c r="F4473" s="245"/>
      <c r="G4473" s="235" t="s">
        <v>33234</v>
      </c>
      <c r="H4473" s="235" t="s">
        <v>33235</v>
      </c>
      <c r="I4473" s="235" t="s">
        <v>33236</v>
      </c>
      <c r="J4473" s="235" t="s">
        <v>33237</v>
      </c>
      <c r="K4473" s="235" t="s">
        <v>33238</v>
      </c>
      <c r="N4473" s="235" t="s">
        <v>61</v>
      </c>
      <c r="O4473" s="235" t="s">
        <v>382</v>
      </c>
      <c r="P4473" s="238">
        <v>1.0</v>
      </c>
      <c r="Q4473" s="235" t="s">
        <v>627</v>
      </c>
      <c r="R4473" s="238">
        <v>360.96</v>
      </c>
      <c r="S4473" s="238">
        <v>18.04</v>
      </c>
      <c r="T4473" s="238">
        <v>0.0</v>
      </c>
      <c r="U4473" s="238">
        <v>0.0</v>
      </c>
      <c r="V4473" s="238">
        <v>0.0</v>
      </c>
      <c r="W4473" s="238">
        <v>0.0</v>
      </c>
      <c r="X4473" s="235" t="s">
        <v>628</v>
      </c>
      <c r="Z4473" s="245"/>
      <c r="AA4473" s="245"/>
      <c r="AB4473" s="245"/>
      <c r="AC4473" s="235" t="s">
        <v>678</v>
      </c>
      <c r="AD4473" s="235" t="s">
        <v>679</v>
      </c>
      <c r="AE4473" s="238">
        <v>560075.0</v>
      </c>
      <c r="AF4473" s="235" t="s">
        <v>631</v>
      </c>
      <c r="AG4473" s="245"/>
      <c r="AH4473" s="245"/>
      <c r="AI4473" s="245"/>
      <c r="AJ4473" s="245"/>
      <c r="AK4473" s="245"/>
      <c r="AL4473" s="245"/>
      <c r="AM4473" s="245"/>
      <c r="AN4473" s="245"/>
      <c r="AO4473" s="238">
        <v>0.0</v>
      </c>
      <c r="AP4473" s="238">
        <v>0.0</v>
      </c>
      <c r="AQ4473" s="235" t="s">
        <v>632</v>
      </c>
      <c r="AR4473" s="243">
        <v>1.68E11</v>
      </c>
      <c r="AS4473" s="235" t="s">
        <v>32840</v>
      </c>
      <c r="AT4473" s="235" t="s">
        <v>9</v>
      </c>
      <c r="AU4473" s="235" t="s">
        <v>634</v>
      </c>
      <c r="AV4473" s="246" t="s">
        <v>635</v>
      </c>
      <c r="AW4473" s="227"/>
      <c r="AX4473" s="227"/>
      <c r="AY4473" s="227"/>
      <c r="AZ4473" s="227"/>
      <c r="BA4473" s="227"/>
      <c r="BB4473" s="227"/>
      <c r="BC4473" s="227"/>
      <c r="BD4473" s="227"/>
      <c r="BE4473" s="227"/>
      <c r="BF4473" s="227"/>
    </row>
    <row r="4474">
      <c r="A4474" s="235" t="s">
        <v>33239</v>
      </c>
      <c r="C4474" s="235" t="s">
        <v>33240</v>
      </c>
      <c r="D4474" s="235" t="s">
        <v>33241</v>
      </c>
      <c r="E4474" s="243">
        <v>6.5E13</v>
      </c>
      <c r="F4474" s="245"/>
      <c r="G4474" s="235" t="s">
        <v>33242</v>
      </c>
      <c r="H4474" s="235" t="s">
        <v>33243</v>
      </c>
      <c r="I4474" s="235" t="s">
        <v>33244</v>
      </c>
      <c r="J4474" s="235" t="s">
        <v>33245</v>
      </c>
      <c r="K4474" s="235" t="s">
        <v>33246</v>
      </c>
      <c r="N4474" s="235" t="s">
        <v>138</v>
      </c>
      <c r="O4474" s="235" t="s">
        <v>675</v>
      </c>
      <c r="P4474" s="238">
        <v>1.0</v>
      </c>
      <c r="Q4474" s="235" t="s">
        <v>627</v>
      </c>
      <c r="R4474" s="238">
        <v>244.76</v>
      </c>
      <c r="S4474" s="238">
        <v>12.24</v>
      </c>
      <c r="T4474" s="238">
        <v>0.0</v>
      </c>
      <c r="U4474" s="238">
        <v>0.0</v>
      </c>
      <c r="V4474" s="238">
        <v>0.0</v>
      </c>
      <c r="W4474" s="238">
        <v>0.0</v>
      </c>
      <c r="X4474" s="235" t="s">
        <v>628</v>
      </c>
      <c r="Z4474" s="245"/>
      <c r="AA4474" s="245"/>
      <c r="AB4474" s="245"/>
      <c r="AC4474" s="235" t="s">
        <v>814</v>
      </c>
      <c r="AD4474" s="235" t="s">
        <v>698</v>
      </c>
      <c r="AE4474" s="238">
        <v>500007.0</v>
      </c>
      <c r="AF4474" s="235" t="s">
        <v>631</v>
      </c>
      <c r="AG4474" s="245"/>
      <c r="AH4474" s="245"/>
      <c r="AI4474" s="245"/>
      <c r="AJ4474" s="245"/>
      <c r="AK4474" s="245"/>
      <c r="AL4474" s="245"/>
      <c r="AM4474" s="245"/>
      <c r="AN4474" s="245"/>
      <c r="AO4474" s="238">
        <v>0.0</v>
      </c>
      <c r="AP4474" s="238">
        <v>0.0</v>
      </c>
      <c r="AQ4474" s="235" t="s">
        <v>632</v>
      </c>
      <c r="AR4474" s="243">
        <v>2.02E11</v>
      </c>
      <c r="AS4474" s="235" t="s">
        <v>32455</v>
      </c>
      <c r="AT4474" s="235" t="s">
        <v>156</v>
      </c>
      <c r="AU4474" s="235" t="s">
        <v>634</v>
      </c>
      <c r="AV4474" s="246" t="s">
        <v>635</v>
      </c>
      <c r="AW4474" s="227"/>
      <c r="AX4474" s="227"/>
      <c r="AY4474" s="227"/>
      <c r="AZ4474" s="227"/>
      <c r="BA4474" s="227"/>
      <c r="BB4474" s="227"/>
      <c r="BC4474" s="227"/>
      <c r="BD4474" s="227"/>
      <c r="BE4474" s="227"/>
      <c r="BF4474" s="227"/>
    </row>
    <row r="4475">
      <c r="A4475" s="235" t="s">
        <v>33247</v>
      </c>
      <c r="C4475" s="235" t="s">
        <v>33248</v>
      </c>
      <c r="D4475" s="235" t="s">
        <v>33249</v>
      </c>
      <c r="E4475" s="243">
        <v>6.5E13</v>
      </c>
      <c r="F4475" s="245"/>
      <c r="G4475" s="235" t="s">
        <v>33250</v>
      </c>
      <c r="H4475" s="235" t="s">
        <v>33251</v>
      </c>
      <c r="I4475" s="235" t="s">
        <v>33251</v>
      </c>
      <c r="J4475" s="235" t="s">
        <v>33252</v>
      </c>
      <c r="K4475" s="235" t="s">
        <v>33253</v>
      </c>
      <c r="N4475" s="235" t="s">
        <v>154</v>
      </c>
      <c r="O4475" s="235" t="s">
        <v>766</v>
      </c>
      <c r="P4475" s="238">
        <v>1.0</v>
      </c>
      <c r="Q4475" s="235" t="s">
        <v>627</v>
      </c>
      <c r="R4475" s="238">
        <v>461.9</v>
      </c>
      <c r="S4475" s="238">
        <v>23.1</v>
      </c>
      <c r="T4475" s="238">
        <v>0.0</v>
      </c>
      <c r="U4475" s="238">
        <v>0.0</v>
      </c>
      <c r="V4475" s="238">
        <v>0.0</v>
      </c>
      <c r="W4475" s="238">
        <v>0.0</v>
      </c>
      <c r="X4475" s="235" t="s">
        <v>628</v>
      </c>
      <c r="Z4475" s="245"/>
      <c r="AA4475" s="245"/>
      <c r="AB4475" s="245"/>
      <c r="AC4475" s="235" t="s">
        <v>1058</v>
      </c>
      <c r="AD4475" s="235" t="s">
        <v>845</v>
      </c>
      <c r="AE4475" s="238">
        <v>400060.0</v>
      </c>
      <c r="AF4475" s="235" t="s">
        <v>631</v>
      </c>
      <c r="AG4475" s="245"/>
      <c r="AH4475" s="245"/>
      <c r="AI4475" s="245"/>
      <c r="AJ4475" s="245"/>
      <c r="AK4475" s="245"/>
      <c r="AL4475" s="245"/>
      <c r="AM4475" s="245"/>
      <c r="AN4475" s="245"/>
      <c r="AO4475" s="238">
        <v>0.0</v>
      </c>
      <c r="AP4475" s="238">
        <v>0.0</v>
      </c>
      <c r="AQ4475" s="235" t="s">
        <v>632</v>
      </c>
      <c r="AR4475" s="243">
        <v>1.68E11</v>
      </c>
      <c r="AS4475" s="235" t="s">
        <v>32840</v>
      </c>
      <c r="AT4475" s="235" t="s">
        <v>16</v>
      </c>
      <c r="AU4475" s="235" t="s">
        <v>634</v>
      </c>
      <c r="AV4475" s="246" t="s">
        <v>635</v>
      </c>
      <c r="AW4475" s="227"/>
      <c r="AX4475" s="227"/>
      <c r="AY4475" s="227"/>
      <c r="AZ4475" s="227"/>
      <c r="BA4475" s="227"/>
      <c r="BB4475" s="227"/>
      <c r="BC4475" s="227"/>
      <c r="BD4475" s="227"/>
      <c r="BE4475" s="227"/>
      <c r="BF4475" s="227"/>
    </row>
    <row r="4476">
      <c r="A4476" s="235" t="s">
        <v>33254</v>
      </c>
      <c r="C4476" s="235" t="s">
        <v>33255</v>
      </c>
      <c r="D4476" s="235" t="s">
        <v>33256</v>
      </c>
      <c r="E4476" s="243">
        <v>6.5E13</v>
      </c>
      <c r="F4476" s="245"/>
      <c r="G4476" s="235" t="s">
        <v>33257</v>
      </c>
      <c r="H4476" s="235" t="s">
        <v>33258</v>
      </c>
      <c r="I4476" s="235" t="s">
        <v>33258</v>
      </c>
      <c r="J4476" s="235" t="s">
        <v>33259</v>
      </c>
      <c r="K4476" s="235" t="s">
        <v>33260</v>
      </c>
      <c r="N4476" s="235" t="s">
        <v>68</v>
      </c>
      <c r="O4476" s="235" t="s">
        <v>208</v>
      </c>
      <c r="P4476" s="238">
        <v>1.0</v>
      </c>
      <c r="Q4476" s="235" t="s">
        <v>627</v>
      </c>
      <c r="R4476" s="238">
        <v>246.66</v>
      </c>
      <c r="S4476" s="238">
        <v>11.97</v>
      </c>
      <c r="T4476" s="238">
        <v>0.0</v>
      </c>
      <c r="U4476" s="238">
        <v>0.0</v>
      </c>
      <c r="V4476" s="238">
        <v>0.0</v>
      </c>
      <c r="W4476" s="238">
        <v>0.0</v>
      </c>
      <c r="X4476" s="235" t="s">
        <v>628</v>
      </c>
      <c r="Z4476" s="245"/>
      <c r="AA4476" s="245"/>
      <c r="AB4476" s="245"/>
      <c r="AC4476" s="235" t="s">
        <v>1058</v>
      </c>
      <c r="AD4476" s="235" t="s">
        <v>845</v>
      </c>
      <c r="AE4476" s="238">
        <v>400053.0</v>
      </c>
      <c r="AF4476" s="235" t="s">
        <v>631</v>
      </c>
      <c r="AG4476" s="245"/>
      <c r="AH4476" s="245"/>
      <c r="AI4476" s="245"/>
      <c r="AJ4476" s="245"/>
      <c r="AK4476" s="245"/>
      <c r="AL4476" s="245"/>
      <c r="AM4476" s="245"/>
      <c r="AN4476" s="245"/>
      <c r="AO4476" s="238">
        <v>-7.4</v>
      </c>
      <c r="AP4476" s="238">
        <v>0.0</v>
      </c>
      <c r="AQ4476" s="235" t="s">
        <v>632</v>
      </c>
      <c r="AR4476" s="243">
        <v>1.68E11</v>
      </c>
      <c r="AS4476" s="235" t="s">
        <v>32840</v>
      </c>
      <c r="AT4476" s="235" t="s">
        <v>16</v>
      </c>
      <c r="AU4476" s="235" t="s">
        <v>634</v>
      </c>
      <c r="AV4476" s="246" t="s">
        <v>635</v>
      </c>
      <c r="AW4476" s="227"/>
      <c r="AX4476" s="227"/>
      <c r="AY4476" s="227"/>
      <c r="AZ4476" s="227"/>
      <c r="BA4476" s="227"/>
      <c r="BB4476" s="227"/>
      <c r="BC4476" s="227"/>
      <c r="BD4476" s="227"/>
      <c r="BE4476" s="227"/>
      <c r="BF4476" s="227"/>
    </row>
    <row r="4477">
      <c r="A4477" s="235" t="s">
        <v>33254</v>
      </c>
      <c r="C4477" s="235" t="s">
        <v>33255</v>
      </c>
      <c r="D4477" s="235" t="s">
        <v>33261</v>
      </c>
      <c r="E4477" s="243">
        <v>6.5E13</v>
      </c>
      <c r="F4477" s="245"/>
      <c r="G4477" s="235" t="s">
        <v>33257</v>
      </c>
      <c r="H4477" s="235" t="s">
        <v>33258</v>
      </c>
      <c r="I4477" s="235" t="s">
        <v>33258</v>
      </c>
      <c r="J4477" s="235" t="s">
        <v>33259</v>
      </c>
      <c r="K4477" s="235" t="s">
        <v>33260</v>
      </c>
      <c r="N4477" s="235" t="s">
        <v>68</v>
      </c>
      <c r="O4477" s="235" t="s">
        <v>208</v>
      </c>
      <c r="P4477" s="238">
        <v>1.0</v>
      </c>
      <c r="Q4477" s="235" t="s">
        <v>627</v>
      </c>
      <c r="R4477" s="238">
        <v>246.66</v>
      </c>
      <c r="S4477" s="238">
        <v>11.97</v>
      </c>
      <c r="T4477" s="238">
        <v>0.0</v>
      </c>
      <c r="U4477" s="238">
        <v>0.0</v>
      </c>
      <c r="V4477" s="238">
        <v>0.0</v>
      </c>
      <c r="W4477" s="238">
        <v>0.0</v>
      </c>
      <c r="X4477" s="235" t="s">
        <v>628</v>
      </c>
      <c r="Z4477" s="245"/>
      <c r="AA4477" s="245"/>
      <c r="AB4477" s="245"/>
      <c r="AC4477" s="235" t="s">
        <v>1058</v>
      </c>
      <c r="AD4477" s="235" t="s">
        <v>845</v>
      </c>
      <c r="AE4477" s="238">
        <v>400053.0</v>
      </c>
      <c r="AF4477" s="235" t="s">
        <v>631</v>
      </c>
      <c r="AG4477" s="245"/>
      <c r="AH4477" s="245"/>
      <c r="AI4477" s="245"/>
      <c r="AJ4477" s="245"/>
      <c r="AK4477" s="245"/>
      <c r="AL4477" s="245"/>
      <c r="AM4477" s="245"/>
      <c r="AN4477" s="245"/>
      <c r="AO4477" s="238">
        <v>-7.4</v>
      </c>
      <c r="AP4477" s="238">
        <v>0.0</v>
      </c>
      <c r="AQ4477" s="235" t="s">
        <v>632</v>
      </c>
      <c r="AR4477" s="243">
        <v>1.68E11</v>
      </c>
      <c r="AS4477" s="235" t="s">
        <v>32840</v>
      </c>
      <c r="AT4477" s="235" t="s">
        <v>16</v>
      </c>
      <c r="AU4477" s="235" t="s">
        <v>634</v>
      </c>
      <c r="AV4477" s="246" t="s">
        <v>635</v>
      </c>
      <c r="AW4477" s="227"/>
      <c r="AX4477" s="227"/>
      <c r="AY4477" s="227"/>
      <c r="AZ4477" s="227"/>
      <c r="BA4477" s="227"/>
      <c r="BB4477" s="227"/>
      <c r="BC4477" s="227"/>
      <c r="BD4477" s="227"/>
      <c r="BE4477" s="227"/>
      <c r="BF4477" s="227"/>
    </row>
    <row r="4478">
      <c r="A4478" s="235" t="s">
        <v>33262</v>
      </c>
      <c r="C4478" s="235" t="s">
        <v>33263</v>
      </c>
      <c r="D4478" s="235" t="s">
        <v>33264</v>
      </c>
      <c r="E4478" s="243">
        <v>6.5E13</v>
      </c>
      <c r="F4478" s="245"/>
      <c r="G4478" s="235" t="s">
        <v>33265</v>
      </c>
      <c r="H4478" s="235" t="s">
        <v>33266</v>
      </c>
      <c r="I4478" s="235" t="s">
        <v>33266</v>
      </c>
      <c r="J4478" s="235" t="s">
        <v>33267</v>
      </c>
      <c r="K4478" s="235" t="s">
        <v>33268</v>
      </c>
      <c r="N4478" s="235" t="s">
        <v>92</v>
      </c>
      <c r="O4478" s="235" t="s">
        <v>248</v>
      </c>
      <c r="P4478" s="238">
        <v>1.0</v>
      </c>
      <c r="Q4478" s="235" t="s">
        <v>627</v>
      </c>
      <c r="R4478" s="238">
        <v>244.76</v>
      </c>
      <c r="S4478" s="238">
        <v>12.24</v>
      </c>
      <c r="T4478" s="238">
        <v>0.0</v>
      </c>
      <c r="U4478" s="238">
        <v>0.0</v>
      </c>
      <c r="V4478" s="238">
        <v>0.0</v>
      </c>
      <c r="W4478" s="238">
        <v>0.0</v>
      </c>
      <c r="X4478" s="235" t="s">
        <v>628</v>
      </c>
      <c r="Z4478" s="245"/>
      <c r="AA4478" s="245"/>
      <c r="AB4478" s="245"/>
      <c r="AC4478" s="235" t="s">
        <v>33269</v>
      </c>
      <c r="AD4478" s="235" t="s">
        <v>854</v>
      </c>
      <c r="AE4478" s="238">
        <v>403507.0</v>
      </c>
      <c r="AF4478" s="235" t="s">
        <v>631</v>
      </c>
      <c r="AG4478" s="245"/>
      <c r="AH4478" s="245"/>
      <c r="AI4478" s="245"/>
      <c r="AJ4478" s="245"/>
      <c r="AK4478" s="245"/>
      <c r="AL4478" s="245"/>
      <c r="AM4478" s="245"/>
      <c r="AN4478" s="245"/>
      <c r="AO4478" s="238">
        <v>0.0</v>
      </c>
      <c r="AP4478" s="238">
        <v>0.0</v>
      </c>
      <c r="AQ4478" s="235" t="s">
        <v>632</v>
      </c>
      <c r="AR4478" s="243">
        <v>2.02E11</v>
      </c>
      <c r="AS4478" s="235" t="s">
        <v>32455</v>
      </c>
      <c r="AT4478" s="235" t="s">
        <v>11</v>
      </c>
      <c r="AU4478" s="235" t="s">
        <v>634</v>
      </c>
      <c r="AV4478" s="246" t="s">
        <v>635</v>
      </c>
      <c r="AW4478" s="227"/>
      <c r="AX4478" s="227"/>
      <c r="AY4478" s="227"/>
      <c r="AZ4478" s="227"/>
      <c r="BA4478" s="227"/>
      <c r="BB4478" s="227"/>
      <c r="BC4478" s="227"/>
      <c r="BD4478" s="227"/>
      <c r="BE4478" s="227"/>
      <c r="BF4478" s="227"/>
    </row>
    <row r="4479">
      <c r="A4479" s="235" t="s">
        <v>33270</v>
      </c>
      <c r="C4479" s="235" t="s">
        <v>33271</v>
      </c>
      <c r="D4479" s="235" t="s">
        <v>33272</v>
      </c>
      <c r="E4479" s="243">
        <v>6.5E13</v>
      </c>
      <c r="F4479" s="245"/>
      <c r="G4479" s="235" t="s">
        <v>33273</v>
      </c>
      <c r="H4479" s="235" t="s">
        <v>33274</v>
      </c>
      <c r="I4479" s="235" t="s">
        <v>33274</v>
      </c>
      <c r="J4479" s="235" t="s">
        <v>33275</v>
      </c>
      <c r="K4479" s="235" t="s">
        <v>33276</v>
      </c>
      <c r="N4479" s="235" t="s">
        <v>0</v>
      </c>
      <c r="O4479" s="235" t="s">
        <v>740</v>
      </c>
      <c r="P4479" s="238">
        <v>1.0</v>
      </c>
      <c r="Q4479" s="235" t="s">
        <v>627</v>
      </c>
      <c r="R4479" s="238">
        <v>265.71</v>
      </c>
      <c r="S4479" s="238">
        <v>12.63</v>
      </c>
      <c r="T4479" s="238">
        <v>38.1</v>
      </c>
      <c r="U4479" s="238">
        <v>1.9</v>
      </c>
      <c r="V4479" s="238">
        <v>0.0</v>
      </c>
      <c r="W4479" s="238">
        <v>0.0</v>
      </c>
      <c r="X4479" s="235" t="s">
        <v>628</v>
      </c>
      <c r="Z4479" s="245"/>
      <c r="AA4479" s="245"/>
      <c r="AB4479" s="245"/>
      <c r="AC4479" s="235" t="s">
        <v>937</v>
      </c>
      <c r="AD4479" s="235" t="s">
        <v>709</v>
      </c>
      <c r="AE4479" s="238">
        <v>801105.0</v>
      </c>
      <c r="AF4479" s="235" t="s">
        <v>631</v>
      </c>
      <c r="AG4479" s="245"/>
      <c r="AH4479" s="245"/>
      <c r="AI4479" s="245"/>
      <c r="AJ4479" s="245"/>
      <c r="AK4479" s="245"/>
      <c r="AL4479" s="245"/>
      <c r="AM4479" s="245"/>
      <c r="AN4479" s="245"/>
      <c r="AO4479" s="238">
        <v>-13.29</v>
      </c>
      <c r="AP4479" s="238">
        <v>-38.1</v>
      </c>
      <c r="AQ4479" s="235" t="s">
        <v>632</v>
      </c>
      <c r="AR4479" s="243">
        <v>3.71E11</v>
      </c>
      <c r="AS4479" s="235" t="s">
        <v>26892</v>
      </c>
      <c r="AT4479" s="235" t="s">
        <v>16</v>
      </c>
      <c r="AU4479" s="235" t="s">
        <v>634</v>
      </c>
      <c r="AV4479" s="246" t="s">
        <v>635</v>
      </c>
      <c r="AW4479" s="227"/>
      <c r="AX4479" s="227"/>
      <c r="AY4479" s="227"/>
      <c r="AZ4479" s="227"/>
      <c r="BA4479" s="227"/>
      <c r="BB4479" s="227"/>
      <c r="BC4479" s="227"/>
      <c r="BD4479" s="227"/>
      <c r="BE4479" s="227"/>
      <c r="BF4479" s="227"/>
    </row>
    <row r="4480">
      <c r="A4480" s="235" t="s">
        <v>33270</v>
      </c>
      <c r="C4480" s="235" t="s">
        <v>33271</v>
      </c>
      <c r="D4480" s="235" t="s">
        <v>33277</v>
      </c>
      <c r="E4480" s="243">
        <v>6.5E13</v>
      </c>
      <c r="F4480" s="245"/>
      <c r="G4480" s="235" t="s">
        <v>33273</v>
      </c>
      <c r="H4480" s="235" t="s">
        <v>33274</v>
      </c>
      <c r="I4480" s="235" t="s">
        <v>33274</v>
      </c>
      <c r="J4480" s="235" t="s">
        <v>33275</v>
      </c>
      <c r="K4480" s="235" t="s">
        <v>33276</v>
      </c>
      <c r="N4480" s="235" t="s">
        <v>0</v>
      </c>
      <c r="O4480" s="235" t="s">
        <v>740</v>
      </c>
      <c r="P4480" s="238">
        <v>1.0</v>
      </c>
      <c r="Q4480" s="235" t="s">
        <v>627</v>
      </c>
      <c r="R4480" s="238">
        <v>265.71</v>
      </c>
      <c r="S4480" s="238">
        <v>12.63</v>
      </c>
      <c r="T4480" s="238">
        <v>38.1</v>
      </c>
      <c r="U4480" s="238">
        <v>1.9</v>
      </c>
      <c r="V4480" s="238">
        <v>0.0</v>
      </c>
      <c r="W4480" s="238">
        <v>0.0</v>
      </c>
      <c r="X4480" s="235" t="s">
        <v>628</v>
      </c>
      <c r="Z4480" s="245"/>
      <c r="AA4480" s="245"/>
      <c r="AB4480" s="245"/>
      <c r="AC4480" s="235" t="s">
        <v>937</v>
      </c>
      <c r="AD4480" s="235" t="s">
        <v>709</v>
      </c>
      <c r="AE4480" s="238">
        <v>801105.0</v>
      </c>
      <c r="AF4480" s="235" t="s">
        <v>631</v>
      </c>
      <c r="AG4480" s="245"/>
      <c r="AH4480" s="245"/>
      <c r="AI4480" s="245"/>
      <c r="AJ4480" s="245"/>
      <c r="AK4480" s="245"/>
      <c r="AL4480" s="245"/>
      <c r="AM4480" s="245"/>
      <c r="AN4480" s="245"/>
      <c r="AO4480" s="238">
        <v>-13.29</v>
      </c>
      <c r="AP4480" s="238">
        <v>-38.1</v>
      </c>
      <c r="AQ4480" s="235" t="s">
        <v>632</v>
      </c>
      <c r="AR4480" s="243">
        <v>3.71E11</v>
      </c>
      <c r="AS4480" s="235" t="s">
        <v>26892</v>
      </c>
      <c r="AT4480" s="235" t="s">
        <v>16</v>
      </c>
      <c r="AU4480" s="235" t="s">
        <v>634</v>
      </c>
      <c r="AV4480" s="246" t="s">
        <v>635</v>
      </c>
      <c r="AW4480" s="227"/>
      <c r="AX4480" s="227"/>
      <c r="AY4480" s="227"/>
      <c r="AZ4480" s="227"/>
      <c r="BA4480" s="227"/>
      <c r="BB4480" s="227"/>
      <c r="BC4480" s="227"/>
      <c r="BD4480" s="227"/>
      <c r="BE4480" s="227"/>
      <c r="BF4480" s="227"/>
    </row>
    <row r="4481">
      <c r="A4481" s="235" t="s">
        <v>33270</v>
      </c>
      <c r="C4481" s="235" t="s">
        <v>33271</v>
      </c>
      <c r="D4481" s="235" t="s">
        <v>33278</v>
      </c>
      <c r="E4481" s="243">
        <v>6.5E13</v>
      </c>
      <c r="F4481" s="245"/>
      <c r="G4481" s="235" t="s">
        <v>33273</v>
      </c>
      <c r="H4481" s="235" t="s">
        <v>33274</v>
      </c>
      <c r="I4481" s="235" t="s">
        <v>33274</v>
      </c>
      <c r="J4481" s="235" t="s">
        <v>33275</v>
      </c>
      <c r="K4481" s="235" t="s">
        <v>33276</v>
      </c>
      <c r="N4481" s="235" t="s">
        <v>0</v>
      </c>
      <c r="O4481" s="235" t="s">
        <v>740</v>
      </c>
      <c r="P4481" s="238">
        <v>1.0</v>
      </c>
      <c r="Q4481" s="235" t="s">
        <v>627</v>
      </c>
      <c r="R4481" s="238">
        <v>265.71</v>
      </c>
      <c r="S4481" s="238">
        <v>12.63</v>
      </c>
      <c r="T4481" s="238">
        <v>38.1</v>
      </c>
      <c r="U4481" s="238">
        <v>1.9</v>
      </c>
      <c r="V4481" s="238">
        <v>0.0</v>
      </c>
      <c r="W4481" s="238">
        <v>0.0</v>
      </c>
      <c r="X4481" s="235" t="s">
        <v>628</v>
      </c>
      <c r="Z4481" s="245"/>
      <c r="AA4481" s="245"/>
      <c r="AB4481" s="245"/>
      <c r="AC4481" s="235" t="s">
        <v>937</v>
      </c>
      <c r="AD4481" s="235" t="s">
        <v>709</v>
      </c>
      <c r="AE4481" s="238">
        <v>801105.0</v>
      </c>
      <c r="AF4481" s="235" t="s">
        <v>631</v>
      </c>
      <c r="AG4481" s="245"/>
      <c r="AH4481" s="245"/>
      <c r="AI4481" s="245"/>
      <c r="AJ4481" s="245"/>
      <c r="AK4481" s="245"/>
      <c r="AL4481" s="245"/>
      <c r="AM4481" s="245"/>
      <c r="AN4481" s="245"/>
      <c r="AO4481" s="238">
        <v>-13.29</v>
      </c>
      <c r="AP4481" s="238">
        <v>-38.1</v>
      </c>
      <c r="AQ4481" s="235" t="s">
        <v>632</v>
      </c>
      <c r="AR4481" s="243">
        <v>3.71E11</v>
      </c>
      <c r="AS4481" s="235" t="s">
        <v>26892</v>
      </c>
      <c r="AT4481" s="235" t="s">
        <v>16</v>
      </c>
      <c r="AU4481" s="235" t="s">
        <v>634</v>
      </c>
      <c r="AV4481" s="246" t="s">
        <v>635</v>
      </c>
      <c r="AW4481" s="227"/>
      <c r="AX4481" s="227"/>
      <c r="AY4481" s="227"/>
      <c r="AZ4481" s="227"/>
      <c r="BA4481" s="227"/>
      <c r="BB4481" s="227"/>
      <c r="BC4481" s="227"/>
      <c r="BD4481" s="227"/>
      <c r="BE4481" s="227"/>
      <c r="BF4481" s="227"/>
    </row>
    <row r="4482">
      <c r="A4482" s="235" t="s">
        <v>33270</v>
      </c>
      <c r="C4482" s="235" t="s">
        <v>33271</v>
      </c>
      <c r="D4482" s="235" t="s">
        <v>33279</v>
      </c>
      <c r="E4482" s="243">
        <v>6.5E13</v>
      </c>
      <c r="F4482" s="245"/>
      <c r="G4482" s="235" t="s">
        <v>33273</v>
      </c>
      <c r="H4482" s="235" t="s">
        <v>33274</v>
      </c>
      <c r="I4482" s="235" t="s">
        <v>33274</v>
      </c>
      <c r="J4482" s="235" t="s">
        <v>33275</v>
      </c>
      <c r="K4482" s="235" t="s">
        <v>33276</v>
      </c>
      <c r="N4482" s="235" t="s">
        <v>0</v>
      </c>
      <c r="O4482" s="235" t="s">
        <v>740</v>
      </c>
      <c r="P4482" s="238">
        <v>1.0</v>
      </c>
      <c r="Q4482" s="235" t="s">
        <v>627</v>
      </c>
      <c r="R4482" s="238">
        <v>265.71</v>
      </c>
      <c r="S4482" s="238">
        <v>12.63</v>
      </c>
      <c r="T4482" s="238">
        <v>38.1</v>
      </c>
      <c r="U4482" s="238">
        <v>1.9</v>
      </c>
      <c r="V4482" s="238">
        <v>0.0</v>
      </c>
      <c r="W4482" s="238">
        <v>0.0</v>
      </c>
      <c r="X4482" s="235" t="s">
        <v>628</v>
      </c>
      <c r="Z4482" s="245"/>
      <c r="AA4482" s="245"/>
      <c r="AB4482" s="245"/>
      <c r="AC4482" s="235" t="s">
        <v>937</v>
      </c>
      <c r="AD4482" s="235" t="s">
        <v>709</v>
      </c>
      <c r="AE4482" s="238">
        <v>801105.0</v>
      </c>
      <c r="AF4482" s="235" t="s">
        <v>631</v>
      </c>
      <c r="AG4482" s="245"/>
      <c r="AH4482" s="245"/>
      <c r="AI4482" s="245"/>
      <c r="AJ4482" s="245"/>
      <c r="AK4482" s="245"/>
      <c r="AL4482" s="245"/>
      <c r="AM4482" s="245"/>
      <c r="AN4482" s="245"/>
      <c r="AO4482" s="238">
        <v>-13.29</v>
      </c>
      <c r="AP4482" s="238">
        <v>-38.1</v>
      </c>
      <c r="AQ4482" s="235" t="s">
        <v>632</v>
      </c>
      <c r="AR4482" s="243">
        <v>3.71E11</v>
      </c>
      <c r="AS4482" s="235" t="s">
        <v>26892</v>
      </c>
      <c r="AT4482" s="235" t="s">
        <v>16</v>
      </c>
      <c r="AU4482" s="235" t="s">
        <v>634</v>
      </c>
      <c r="AV4482" s="246" t="s">
        <v>635</v>
      </c>
      <c r="AW4482" s="227"/>
      <c r="AX4482" s="227"/>
      <c r="AY4482" s="227"/>
      <c r="AZ4482" s="227"/>
      <c r="BA4482" s="227"/>
      <c r="BB4482" s="227"/>
      <c r="BC4482" s="227"/>
      <c r="BD4482" s="227"/>
      <c r="BE4482" s="227"/>
      <c r="BF4482" s="227"/>
    </row>
    <row r="4483">
      <c r="A4483" s="235" t="s">
        <v>33270</v>
      </c>
      <c r="C4483" s="235" t="s">
        <v>33271</v>
      </c>
      <c r="D4483" s="235" t="s">
        <v>33280</v>
      </c>
      <c r="E4483" s="243">
        <v>6.5E13</v>
      </c>
      <c r="F4483" s="245"/>
      <c r="G4483" s="235" t="s">
        <v>33273</v>
      </c>
      <c r="H4483" s="235" t="s">
        <v>33274</v>
      </c>
      <c r="I4483" s="235" t="s">
        <v>33274</v>
      </c>
      <c r="J4483" s="235" t="s">
        <v>33275</v>
      </c>
      <c r="K4483" s="235" t="s">
        <v>33276</v>
      </c>
      <c r="N4483" s="235" t="s">
        <v>0</v>
      </c>
      <c r="O4483" s="235" t="s">
        <v>740</v>
      </c>
      <c r="P4483" s="238">
        <v>1.0</v>
      </c>
      <c r="Q4483" s="235" t="s">
        <v>627</v>
      </c>
      <c r="R4483" s="238">
        <v>265.71</v>
      </c>
      <c r="S4483" s="238">
        <v>12.63</v>
      </c>
      <c r="T4483" s="238">
        <v>38.1</v>
      </c>
      <c r="U4483" s="238">
        <v>1.9</v>
      </c>
      <c r="V4483" s="238">
        <v>0.0</v>
      </c>
      <c r="W4483" s="238">
        <v>0.0</v>
      </c>
      <c r="X4483" s="235" t="s">
        <v>628</v>
      </c>
      <c r="Z4483" s="245"/>
      <c r="AA4483" s="245"/>
      <c r="AB4483" s="245"/>
      <c r="AC4483" s="235" t="s">
        <v>937</v>
      </c>
      <c r="AD4483" s="235" t="s">
        <v>709</v>
      </c>
      <c r="AE4483" s="238">
        <v>801105.0</v>
      </c>
      <c r="AF4483" s="235" t="s">
        <v>631</v>
      </c>
      <c r="AG4483" s="245"/>
      <c r="AH4483" s="245"/>
      <c r="AI4483" s="245"/>
      <c r="AJ4483" s="245"/>
      <c r="AK4483" s="245"/>
      <c r="AL4483" s="245"/>
      <c r="AM4483" s="245"/>
      <c r="AN4483" s="245"/>
      <c r="AO4483" s="238">
        <v>-13.29</v>
      </c>
      <c r="AP4483" s="238">
        <v>-38.1</v>
      </c>
      <c r="AQ4483" s="235" t="s">
        <v>632</v>
      </c>
      <c r="AR4483" s="243">
        <v>3.71E11</v>
      </c>
      <c r="AS4483" s="235" t="s">
        <v>26892</v>
      </c>
      <c r="AT4483" s="235" t="s">
        <v>16</v>
      </c>
      <c r="AU4483" s="235" t="s">
        <v>634</v>
      </c>
      <c r="AV4483" s="246" t="s">
        <v>635</v>
      </c>
      <c r="AW4483" s="227"/>
      <c r="AX4483" s="227"/>
      <c r="AY4483" s="227"/>
      <c r="AZ4483" s="227"/>
      <c r="BA4483" s="227"/>
      <c r="BB4483" s="227"/>
      <c r="BC4483" s="227"/>
      <c r="BD4483" s="227"/>
      <c r="BE4483" s="227"/>
      <c r="BF4483" s="227"/>
    </row>
    <row r="4484">
      <c r="A4484" s="235" t="s">
        <v>33281</v>
      </c>
      <c r="C4484" s="235" t="s">
        <v>33282</v>
      </c>
      <c r="D4484" s="235" t="s">
        <v>33283</v>
      </c>
      <c r="E4484" s="243">
        <v>6.5E13</v>
      </c>
      <c r="F4484" s="245"/>
      <c r="G4484" s="235" t="s">
        <v>33284</v>
      </c>
      <c r="H4484" s="235" t="s">
        <v>33285</v>
      </c>
      <c r="I4484" s="235" t="s">
        <v>33285</v>
      </c>
      <c r="J4484" s="235" t="s">
        <v>33286</v>
      </c>
      <c r="K4484" s="235" t="s">
        <v>33287</v>
      </c>
      <c r="N4484" s="235" t="s">
        <v>27</v>
      </c>
      <c r="O4484" s="235" t="s">
        <v>573</v>
      </c>
      <c r="P4484" s="238">
        <v>1.0</v>
      </c>
      <c r="Q4484" s="235" t="s">
        <v>627</v>
      </c>
      <c r="R4484" s="238">
        <v>360.96</v>
      </c>
      <c r="S4484" s="238">
        <v>18.04</v>
      </c>
      <c r="T4484" s="238">
        <v>0.0</v>
      </c>
      <c r="U4484" s="238">
        <v>0.0</v>
      </c>
      <c r="V4484" s="238">
        <v>0.0</v>
      </c>
      <c r="W4484" s="238">
        <v>0.0</v>
      </c>
      <c r="X4484" s="235" t="s">
        <v>628</v>
      </c>
      <c r="Z4484" s="245"/>
      <c r="AA4484" s="245"/>
      <c r="AB4484" s="245"/>
      <c r="AC4484" s="235" t="s">
        <v>1095</v>
      </c>
      <c r="AD4484" s="235" t="s">
        <v>845</v>
      </c>
      <c r="AE4484" s="238">
        <v>410206.0</v>
      </c>
      <c r="AF4484" s="235" t="s">
        <v>631</v>
      </c>
      <c r="AG4484" s="245"/>
      <c r="AH4484" s="245"/>
      <c r="AI4484" s="245"/>
      <c r="AJ4484" s="245"/>
      <c r="AK4484" s="245"/>
      <c r="AL4484" s="245"/>
      <c r="AM4484" s="245"/>
      <c r="AN4484" s="245"/>
      <c r="AO4484" s="238">
        <v>0.0</v>
      </c>
      <c r="AP4484" s="238">
        <v>0.0</v>
      </c>
      <c r="AQ4484" s="235" t="s">
        <v>632</v>
      </c>
      <c r="AR4484" s="243">
        <v>3.71E11</v>
      </c>
      <c r="AS4484" s="235" t="s">
        <v>32455</v>
      </c>
      <c r="AT4484" s="235" t="s">
        <v>16</v>
      </c>
      <c r="AU4484" s="235" t="s">
        <v>634</v>
      </c>
      <c r="AV4484" s="246" t="s">
        <v>635</v>
      </c>
      <c r="AW4484" s="227"/>
      <c r="AX4484" s="227"/>
      <c r="AY4484" s="227"/>
      <c r="AZ4484" s="227"/>
      <c r="BA4484" s="227"/>
      <c r="BB4484" s="227"/>
      <c r="BC4484" s="227"/>
      <c r="BD4484" s="227"/>
      <c r="BE4484" s="227"/>
      <c r="BF4484" s="227"/>
    </row>
    <row r="4485">
      <c r="A4485" s="235" t="s">
        <v>33288</v>
      </c>
      <c r="C4485" s="235" t="s">
        <v>33289</v>
      </c>
      <c r="D4485" s="235" t="s">
        <v>33290</v>
      </c>
      <c r="E4485" s="243">
        <v>6.5E13</v>
      </c>
      <c r="F4485" s="245"/>
      <c r="G4485" s="235" t="s">
        <v>33291</v>
      </c>
      <c r="H4485" s="235" t="s">
        <v>33292</v>
      </c>
      <c r="I4485" s="235" t="s">
        <v>33292</v>
      </c>
      <c r="J4485" s="235" t="s">
        <v>33293</v>
      </c>
      <c r="K4485" s="235" t="s">
        <v>33294</v>
      </c>
      <c r="N4485" s="235" t="s">
        <v>127</v>
      </c>
      <c r="O4485" s="235" t="s">
        <v>794</v>
      </c>
      <c r="P4485" s="238">
        <v>1.0</v>
      </c>
      <c r="Q4485" s="235" t="s">
        <v>627</v>
      </c>
      <c r="R4485" s="238">
        <v>243.8</v>
      </c>
      <c r="S4485" s="238">
        <v>11.96</v>
      </c>
      <c r="T4485" s="238">
        <v>0.0</v>
      </c>
      <c r="U4485" s="238">
        <v>0.0</v>
      </c>
      <c r="V4485" s="238">
        <v>0.0</v>
      </c>
      <c r="W4485" s="238">
        <v>0.0</v>
      </c>
      <c r="X4485" s="235" t="s">
        <v>628</v>
      </c>
      <c r="Z4485" s="245"/>
      <c r="AA4485" s="245"/>
      <c r="AB4485" s="245"/>
      <c r="AC4485" s="235" t="s">
        <v>5596</v>
      </c>
      <c r="AD4485" s="235" t="s">
        <v>845</v>
      </c>
      <c r="AE4485" s="238">
        <v>421501.0</v>
      </c>
      <c r="AF4485" s="235" t="s">
        <v>631</v>
      </c>
      <c r="AG4485" s="245"/>
      <c r="AH4485" s="245"/>
      <c r="AI4485" s="245"/>
      <c r="AJ4485" s="245"/>
      <c r="AK4485" s="245"/>
      <c r="AL4485" s="245"/>
      <c r="AM4485" s="245"/>
      <c r="AN4485" s="245"/>
      <c r="AO4485" s="238">
        <v>-4.88</v>
      </c>
      <c r="AP4485" s="238">
        <v>0.0</v>
      </c>
      <c r="AQ4485" s="235" t="s">
        <v>632</v>
      </c>
      <c r="AR4485" s="243">
        <v>3.71E11</v>
      </c>
      <c r="AS4485" s="235" t="s">
        <v>32455</v>
      </c>
      <c r="AT4485" s="235" t="s">
        <v>17</v>
      </c>
      <c r="AU4485" s="235" t="s">
        <v>634</v>
      </c>
      <c r="AV4485" s="246" t="s">
        <v>635</v>
      </c>
      <c r="AW4485" s="227"/>
      <c r="AX4485" s="227"/>
      <c r="AY4485" s="227"/>
      <c r="AZ4485" s="227"/>
      <c r="BA4485" s="227"/>
      <c r="BB4485" s="227"/>
      <c r="BC4485" s="227"/>
      <c r="BD4485" s="227"/>
      <c r="BE4485" s="227"/>
      <c r="BF4485" s="227"/>
    </row>
    <row r="4486">
      <c r="A4486" s="235" t="s">
        <v>33295</v>
      </c>
      <c r="C4486" s="235" t="s">
        <v>33296</v>
      </c>
      <c r="D4486" s="235" t="s">
        <v>33297</v>
      </c>
      <c r="E4486" s="243">
        <v>6.5E13</v>
      </c>
      <c r="F4486" s="245"/>
      <c r="G4486" s="235" t="s">
        <v>33298</v>
      </c>
      <c r="H4486" s="235" t="s">
        <v>33299</v>
      </c>
      <c r="I4486" s="235" t="s">
        <v>33299</v>
      </c>
      <c r="J4486" s="235" t="s">
        <v>33300</v>
      </c>
      <c r="K4486" s="235" t="s">
        <v>33301</v>
      </c>
      <c r="N4486" s="235" t="s">
        <v>127</v>
      </c>
      <c r="O4486" s="235" t="s">
        <v>794</v>
      </c>
      <c r="P4486" s="238">
        <v>1.0</v>
      </c>
      <c r="Q4486" s="235" t="s">
        <v>627</v>
      </c>
      <c r="R4486" s="238">
        <v>243.81</v>
      </c>
      <c r="S4486" s="238">
        <v>12.19</v>
      </c>
      <c r="T4486" s="238">
        <v>0.0</v>
      </c>
      <c r="U4486" s="238">
        <v>0.0</v>
      </c>
      <c r="V4486" s="238">
        <v>0.0</v>
      </c>
      <c r="W4486" s="238">
        <v>0.0</v>
      </c>
      <c r="X4486" s="235" t="s">
        <v>628</v>
      </c>
      <c r="Z4486" s="245"/>
      <c r="AA4486" s="245"/>
      <c r="AB4486" s="245"/>
      <c r="AC4486" s="235" t="s">
        <v>814</v>
      </c>
      <c r="AD4486" s="235" t="s">
        <v>698</v>
      </c>
      <c r="AE4486" s="238">
        <v>502032.0</v>
      </c>
      <c r="AF4486" s="235" t="s">
        <v>631</v>
      </c>
      <c r="AG4486" s="245"/>
      <c r="AH4486" s="245"/>
      <c r="AI4486" s="245"/>
      <c r="AJ4486" s="245"/>
      <c r="AK4486" s="245"/>
      <c r="AL4486" s="245"/>
      <c r="AM4486" s="245"/>
      <c r="AN4486" s="245"/>
      <c r="AO4486" s="238">
        <v>0.0</v>
      </c>
      <c r="AP4486" s="238">
        <v>0.0</v>
      </c>
      <c r="AQ4486" s="235" t="s">
        <v>632</v>
      </c>
      <c r="AR4486" s="243">
        <v>3.71E11</v>
      </c>
      <c r="AS4486" s="235" t="s">
        <v>31232</v>
      </c>
      <c r="AT4486" s="235" t="s">
        <v>11</v>
      </c>
      <c r="AU4486" s="235" t="s">
        <v>634</v>
      </c>
      <c r="AV4486" s="246" t="s">
        <v>635</v>
      </c>
      <c r="AW4486" s="227"/>
      <c r="AX4486" s="227"/>
      <c r="AY4486" s="227"/>
      <c r="AZ4486" s="227"/>
      <c r="BA4486" s="227"/>
      <c r="BB4486" s="227"/>
      <c r="BC4486" s="227"/>
      <c r="BD4486" s="227"/>
      <c r="BE4486" s="227"/>
      <c r="BF4486" s="227"/>
    </row>
    <row r="4487">
      <c r="A4487" s="235" t="s">
        <v>33302</v>
      </c>
      <c r="C4487" s="235" t="s">
        <v>33303</v>
      </c>
      <c r="D4487" s="235" t="s">
        <v>33304</v>
      </c>
      <c r="E4487" s="243">
        <v>6.5E13</v>
      </c>
      <c r="F4487" s="245"/>
      <c r="G4487" s="235" t="s">
        <v>33305</v>
      </c>
      <c r="H4487" s="235" t="s">
        <v>33306</v>
      </c>
      <c r="I4487" s="235" t="s">
        <v>33306</v>
      </c>
      <c r="J4487" s="235" t="s">
        <v>33307</v>
      </c>
      <c r="K4487" s="235" t="s">
        <v>33308</v>
      </c>
      <c r="N4487" s="235" t="s">
        <v>6</v>
      </c>
      <c r="O4487" s="235" t="s">
        <v>806</v>
      </c>
      <c r="P4487" s="238">
        <v>1.0</v>
      </c>
      <c r="Q4487" s="235" t="s">
        <v>627</v>
      </c>
      <c r="R4487" s="238">
        <v>265.72</v>
      </c>
      <c r="S4487" s="238">
        <v>13.02</v>
      </c>
      <c r="T4487" s="238">
        <v>38.1</v>
      </c>
      <c r="U4487" s="238">
        <v>1.9</v>
      </c>
      <c r="V4487" s="238">
        <v>0.0</v>
      </c>
      <c r="W4487" s="238">
        <v>0.0</v>
      </c>
      <c r="X4487" s="235" t="s">
        <v>628</v>
      </c>
      <c r="Z4487" s="245"/>
      <c r="AA4487" s="245"/>
      <c r="AB4487" s="245"/>
      <c r="AC4487" s="235" t="s">
        <v>13287</v>
      </c>
      <c r="AD4487" s="235" t="s">
        <v>1077</v>
      </c>
      <c r="AE4487" s="238">
        <v>384315.0</v>
      </c>
      <c r="AF4487" s="235" t="s">
        <v>631</v>
      </c>
      <c r="AG4487" s="245"/>
      <c r="AH4487" s="245"/>
      <c r="AI4487" s="245"/>
      <c r="AJ4487" s="245"/>
      <c r="AK4487" s="245"/>
      <c r="AL4487" s="245"/>
      <c r="AM4487" s="245"/>
      <c r="AN4487" s="245"/>
      <c r="AO4487" s="238">
        <v>-5.32</v>
      </c>
      <c r="AP4487" s="238">
        <v>-38.1</v>
      </c>
      <c r="AQ4487" s="235" t="s">
        <v>632</v>
      </c>
      <c r="AR4487" s="243">
        <v>3.71E11</v>
      </c>
      <c r="AS4487" s="235" t="s">
        <v>28482</v>
      </c>
      <c r="AT4487" s="235" t="s">
        <v>5</v>
      </c>
      <c r="AU4487" s="235" t="s">
        <v>634</v>
      </c>
      <c r="AV4487" s="246" t="s">
        <v>635</v>
      </c>
      <c r="AW4487" s="227"/>
      <c r="AX4487" s="227"/>
      <c r="AY4487" s="227"/>
      <c r="AZ4487" s="227"/>
      <c r="BA4487" s="227"/>
      <c r="BB4487" s="227"/>
      <c r="BC4487" s="227"/>
      <c r="BD4487" s="227"/>
      <c r="BE4487" s="227"/>
      <c r="BF4487" s="227"/>
    </row>
    <row r="4488">
      <c r="A4488" s="235" t="s">
        <v>33309</v>
      </c>
      <c r="C4488" s="235" t="s">
        <v>33310</v>
      </c>
      <c r="D4488" s="235" t="s">
        <v>33311</v>
      </c>
      <c r="E4488" s="243">
        <v>6.5E13</v>
      </c>
      <c r="F4488" s="245"/>
      <c r="G4488" s="235" t="s">
        <v>33312</v>
      </c>
      <c r="H4488" s="235" t="s">
        <v>33313</v>
      </c>
      <c r="I4488" s="235" t="s">
        <v>33313</v>
      </c>
      <c r="J4488" s="235" t="s">
        <v>33314</v>
      </c>
      <c r="K4488" s="235" t="s">
        <v>33315</v>
      </c>
      <c r="N4488" s="235" t="s">
        <v>85</v>
      </c>
      <c r="O4488" s="235" t="s">
        <v>872</v>
      </c>
      <c r="P4488" s="238">
        <v>1.0</v>
      </c>
      <c r="Q4488" s="235" t="s">
        <v>627</v>
      </c>
      <c r="R4488" s="238">
        <v>243.81</v>
      </c>
      <c r="S4488" s="238">
        <v>11.95</v>
      </c>
      <c r="T4488" s="238">
        <v>0.0</v>
      </c>
      <c r="U4488" s="238">
        <v>0.0</v>
      </c>
      <c r="V4488" s="238">
        <v>0.0</v>
      </c>
      <c r="W4488" s="238">
        <v>0.0</v>
      </c>
      <c r="X4488" s="235" t="s">
        <v>628</v>
      </c>
      <c r="Z4488" s="245"/>
      <c r="AA4488" s="245"/>
      <c r="AB4488" s="245"/>
      <c r="AC4488" s="235" t="s">
        <v>33316</v>
      </c>
      <c r="AD4488" s="235" t="s">
        <v>666</v>
      </c>
      <c r="AE4488" s="238">
        <v>636501.0</v>
      </c>
      <c r="AF4488" s="235" t="s">
        <v>631</v>
      </c>
      <c r="AG4488" s="245"/>
      <c r="AH4488" s="245"/>
      <c r="AI4488" s="245"/>
      <c r="AJ4488" s="245"/>
      <c r="AK4488" s="245"/>
      <c r="AL4488" s="245"/>
      <c r="AM4488" s="245"/>
      <c r="AN4488" s="245"/>
      <c r="AO4488" s="238">
        <v>-4.88</v>
      </c>
      <c r="AP4488" s="238">
        <v>0.0</v>
      </c>
      <c r="AQ4488" s="235" t="s">
        <v>632</v>
      </c>
      <c r="AR4488" s="243">
        <v>3.71E11</v>
      </c>
      <c r="AS4488" s="235" t="s">
        <v>32455</v>
      </c>
      <c r="AT4488" s="235" t="s">
        <v>9</v>
      </c>
      <c r="AU4488" s="235" t="s">
        <v>634</v>
      </c>
      <c r="AV4488" s="246" t="s">
        <v>635</v>
      </c>
      <c r="AW4488" s="227"/>
      <c r="AX4488" s="227"/>
      <c r="AY4488" s="227"/>
      <c r="AZ4488" s="227"/>
      <c r="BA4488" s="227"/>
      <c r="BB4488" s="227"/>
      <c r="BC4488" s="227"/>
      <c r="BD4488" s="227"/>
      <c r="BE4488" s="227"/>
      <c r="BF4488" s="227"/>
    </row>
    <row r="4489">
      <c r="A4489" s="235" t="s">
        <v>33317</v>
      </c>
      <c r="C4489" s="235" t="s">
        <v>33318</v>
      </c>
      <c r="D4489" s="235" t="s">
        <v>33319</v>
      </c>
      <c r="E4489" s="243">
        <v>6.5E13</v>
      </c>
      <c r="F4489" s="245"/>
      <c r="G4489" s="235" t="s">
        <v>33320</v>
      </c>
      <c r="H4489" s="235" t="s">
        <v>33321</v>
      </c>
      <c r="I4489" s="235" t="s">
        <v>33322</v>
      </c>
      <c r="J4489" s="235" t="s">
        <v>33323</v>
      </c>
      <c r="K4489" s="235" t="s">
        <v>33324</v>
      </c>
      <c r="N4489" s="235" t="s">
        <v>54</v>
      </c>
      <c r="O4489" s="235" t="s">
        <v>294</v>
      </c>
      <c r="P4489" s="238">
        <v>1.0</v>
      </c>
      <c r="Q4489" s="235" t="s">
        <v>627</v>
      </c>
      <c r="R4489" s="238">
        <v>246.66</v>
      </c>
      <c r="S4489" s="238">
        <v>12.1</v>
      </c>
      <c r="T4489" s="238">
        <v>0.0</v>
      </c>
      <c r="U4489" s="238">
        <v>0.0</v>
      </c>
      <c r="V4489" s="238">
        <v>0.0</v>
      </c>
      <c r="W4489" s="238">
        <v>0.0</v>
      </c>
      <c r="X4489" s="235" t="s">
        <v>628</v>
      </c>
      <c r="Z4489" s="245"/>
      <c r="AA4489" s="245"/>
      <c r="AB4489" s="245"/>
      <c r="AC4489" s="235" t="s">
        <v>927</v>
      </c>
      <c r="AD4489" s="235" t="s">
        <v>928</v>
      </c>
      <c r="AE4489" s="238">
        <v>124001.0</v>
      </c>
      <c r="AF4489" s="235" t="s">
        <v>631</v>
      </c>
      <c r="AG4489" s="245"/>
      <c r="AH4489" s="245"/>
      <c r="AI4489" s="245"/>
      <c r="AJ4489" s="245"/>
      <c r="AK4489" s="245"/>
      <c r="AL4489" s="245"/>
      <c r="AM4489" s="245"/>
      <c r="AN4489" s="245"/>
      <c r="AO4489" s="238">
        <v>-4.94</v>
      </c>
      <c r="AP4489" s="238">
        <v>0.0</v>
      </c>
      <c r="AQ4489" s="235" t="s">
        <v>632</v>
      </c>
      <c r="AR4489" s="243">
        <v>3.71E11</v>
      </c>
      <c r="AS4489" s="235" t="s">
        <v>32455</v>
      </c>
      <c r="AT4489" s="235" t="s">
        <v>14</v>
      </c>
      <c r="AU4489" s="235" t="s">
        <v>634</v>
      </c>
      <c r="AV4489" s="246" t="s">
        <v>635</v>
      </c>
      <c r="AW4489" s="227"/>
      <c r="AX4489" s="227"/>
      <c r="AY4489" s="227"/>
      <c r="AZ4489" s="227"/>
      <c r="BA4489" s="227"/>
      <c r="BB4489" s="227"/>
      <c r="BC4489" s="227"/>
      <c r="BD4489" s="227"/>
      <c r="BE4489" s="227"/>
      <c r="BF4489" s="227"/>
    </row>
    <row r="4490">
      <c r="A4490" s="235" t="s">
        <v>33325</v>
      </c>
      <c r="C4490" s="235" t="s">
        <v>33326</v>
      </c>
      <c r="D4490" s="235" t="s">
        <v>33327</v>
      </c>
      <c r="E4490" s="243">
        <v>6.5E13</v>
      </c>
      <c r="F4490" s="245"/>
      <c r="G4490" s="235" t="s">
        <v>33328</v>
      </c>
      <c r="H4490" s="235" t="s">
        <v>33329</v>
      </c>
      <c r="I4490" s="235" t="s">
        <v>33329</v>
      </c>
      <c r="J4490" s="235" t="s">
        <v>33330</v>
      </c>
      <c r="K4490" s="235" t="s">
        <v>33331</v>
      </c>
      <c r="N4490" s="235" t="s">
        <v>134</v>
      </c>
      <c r="O4490" s="235" t="s">
        <v>314</v>
      </c>
      <c r="P4490" s="238">
        <v>1.0</v>
      </c>
      <c r="Q4490" s="235" t="s">
        <v>627</v>
      </c>
      <c r="R4490" s="238">
        <v>244.76</v>
      </c>
      <c r="S4490" s="238">
        <v>12.24</v>
      </c>
      <c r="T4490" s="238">
        <v>0.0</v>
      </c>
      <c r="U4490" s="238">
        <v>0.0</v>
      </c>
      <c r="V4490" s="238">
        <v>0.0</v>
      </c>
      <c r="W4490" s="238">
        <v>0.0</v>
      </c>
      <c r="X4490" s="235" t="s">
        <v>628</v>
      </c>
      <c r="Z4490" s="245"/>
      <c r="AA4490" s="245"/>
      <c r="AB4490" s="245"/>
      <c r="AC4490" s="235" t="s">
        <v>678</v>
      </c>
      <c r="AD4490" s="235" t="s">
        <v>679</v>
      </c>
      <c r="AE4490" s="238">
        <v>560063.0</v>
      </c>
      <c r="AF4490" s="235" t="s">
        <v>631</v>
      </c>
      <c r="AG4490" s="245"/>
      <c r="AH4490" s="245"/>
      <c r="AI4490" s="245"/>
      <c r="AJ4490" s="245"/>
      <c r="AK4490" s="245"/>
      <c r="AL4490" s="245"/>
      <c r="AM4490" s="245"/>
      <c r="AN4490" s="245"/>
      <c r="AO4490" s="238">
        <v>0.0</v>
      </c>
      <c r="AP4490" s="238">
        <v>0.0</v>
      </c>
      <c r="AQ4490" s="235" t="s">
        <v>632</v>
      </c>
      <c r="AR4490" s="243">
        <v>1.68E11</v>
      </c>
      <c r="AS4490" s="235" t="s">
        <v>32840</v>
      </c>
      <c r="AT4490" s="235" t="s">
        <v>11</v>
      </c>
      <c r="AU4490" s="235" t="s">
        <v>634</v>
      </c>
      <c r="AV4490" s="246" t="s">
        <v>635</v>
      </c>
      <c r="AW4490" s="227"/>
      <c r="AX4490" s="227"/>
      <c r="AY4490" s="227"/>
      <c r="AZ4490" s="227"/>
      <c r="BA4490" s="227"/>
      <c r="BB4490" s="227"/>
      <c r="BC4490" s="227"/>
      <c r="BD4490" s="227"/>
      <c r="BE4490" s="227"/>
      <c r="BF4490" s="227"/>
    </row>
    <row r="4491">
      <c r="A4491" s="235" t="s">
        <v>33332</v>
      </c>
      <c r="C4491" s="235" t="s">
        <v>33333</v>
      </c>
      <c r="D4491" s="235" t="s">
        <v>33334</v>
      </c>
      <c r="E4491" s="243">
        <v>6.5E13</v>
      </c>
      <c r="F4491" s="245"/>
      <c r="G4491" s="235" t="s">
        <v>33335</v>
      </c>
      <c r="H4491" s="235" t="s">
        <v>33336</v>
      </c>
      <c r="I4491" s="235" t="s">
        <v>33336</v>
      </c>
      <c r="J4491" s="235" t="s">
        <v>33337</v>
      </c>
      <c r="K4491" s="235" t="s">
        <v>33338</v>
      </c>
      <c r="N4491" s="235" t="s">
        <v>85</v>
      </c>
      <c r="O4491" s="235" t="s">
        <v>872</v>
      </c>
      <c r="P4491" s="238">
        <v>1.0</v>
      </c>
      <c r="Q4491" s="235" t="s">
        <v>627</v>
      </c>
      <c r="R4491" s="238">
        <v>243.8</v>
      </c>
      <c r="S4491" s="238">
        <v>11.96</v>
      </c>
      <c r="T4491" s="238">
        <v>38.1</v>
      </c>
      <c r="U4491" s="238">
        <v>1.9</v>
      </c>
      <c r="V4491" s="238">
        <v>0.0</v>
      </c>
      <c r="W4491" s="238">
        <v>0.0</v>
      </c>
      <c r="X4491" s="235" t="s">
        <v>628</v>
      </c>
      <c r="Z4491" s="245"/>
      <c r="AA4491" s="245"/>
      <c r="AB4491" s="245"/>
      <c r="AC4491" s="235" t="s">
        <v>33339</v>
      </c>
      <c r="AD4491" s="235" t="s">
        <v>679</v>
      </c>
      <c r="AE4491" s="238">
        <v>574151.0</v>
      </c>
      <c r="AF4491" s="235" t="s">
        <v>631</v>
      </c>
      <c r="AG4491" s="245"/>
      <c r="AH4491" s="245"/>
      <c r="AI4491" s="245"/>
      <c r="AJ4491" s="245"/>
      <c r="AK4491" s="245"/>
      <c r="AL4491" s="245"/>
      <c r="AM4491" s="245"/>
      <c r="AN4491" s="245"/>
      <c r="AO4491" s="238">
        <v>-4.88</v>
      </c>
      <c r="AP4491" s="238">
        <v>-38.1</v>
      </c>
      <c r="AQ4491" s="235" t="s">
        <v>632</v>
      </c>
      <c r="AR4491" s="243">
        <v>3.71E11</v>
      </c>
      <c r="AS4491" s="235" t="s">
        <v>31232</v>
      </c>
      <c r="AT4491" s="235" t="s">
        <v>9</v>
      </c>
      <c r="AU4491" s="235" t="s">
        <v>634</v>
      </c>
      <c r="AV4491" s="246" t="s">
        <v>635</v>
      </c>
      <c r="AW4491" s="227"/>
      <c r="AX4491" s="227"/>
      <c r="AY4491" s="227"/>
      <c r="AZ4491" s="227"/>
      <c r="BA4491" s="227"/>
      <c r="BB4491" s="227"/>
      <c r="BC4491" s="227"/>
      <c r="BD4491" s="227"/>
      <c r="BE4491" s="227"/>
      <c r="BF4491" s="227"/>
    </row>
    <row r="4492">
      <c r="A4492" s="235" t="s">
        <v>33340</v>
      </c>
      <c r="C4492" s="235" t="s">
        <v>33341</v>
      </c>
      <c r="D4492" s="235" t="s">
        <v>33342</v>
      </c>
      <c r="E4492" s="243">
        <v>6.5E13</v>
      </c>
      <c r="F4492" s="245"/>
      <c r="G4492" s="235" t="s">
        <v>33343</v>
      </c>
      <c r="H4492" s="235" t="s">
        <v>33344</v>
      </c>
      <c r="I4492" s="235" t="s">
        <v>33345</v>
      </c>
      <c r="J4492" s="235" t="s">
        <v>33346</v>
      </c>
      <c r="K4492" s="235" t="s">
        <v>33347</v>
      </c>
      <c r="N4492" s="235" t="s">
        <v>51</v>
      </c>
      <c r="O4492" s="235" t="s">
        <v>273</v>
      </c>
      <c r="P4492" s="238">
        <v>1.0</v>
      </c>
      <c r="Q4492" s="235" t="s">
        <v>627</v>
      </c>
      <c r="R4492" s="238">
        <v>235.24</v>
      </c>
      <c r="S4492" s="238">
        <v>11.52</v>
      </c>
      <c r="T4492" s="238">
        <v>0.0</v>
      </c>
      <c r="U4492" s="238">
        <v>0.0</v>
      </c>
      <c r="V4492" s="238">
        <v>0.0</v>
      </c>
      <c r="W4492" s="238">
        <v>0.0</v>
      </c>
      <c r="X4492" s="235" t="s">
        <v>628</v>
      </c>
      <c r="Z4492" s="245"/>
      <c r="AA4492" s="245"/>
      <c r="AB4492" s="245"/>
      <c r="AC4492" s="235" t="s">
        <v>33348</v>
      </c>
      <c r="AD4492" s="235" t="s">
        <v>666</v>
      </c>
      <c r="AE4492" s="238">
        <v>627814.0</v>
      </c>
      <c r="AF4492" s="235" t="s">
        <v>631</v>
      </c>
      <c r="AG4492" s="245"/>
      <c r="AH4492" s="245"/>
      <c r="AI4492" s="245"/>
      <c r="AJ4492" s="245"/>
      <c r="AK4492" s="245"/>
      <c r="AL4492" s="245"/>
      <c r="AM4492" s="245"/>
      <c r="AN4492" s="245"/>
      <c r="AO4492" s="238">
        <v>-4.7</v>
      </c>
      <c r="AP4492" s="238">
        <v>0.0</v>
      </c>
      <c r="AQ4492" s="235" t="s">
        <v>632</v>
      </c>
      <c r="AR4492" s="243">
        <v>3.71E11</v>
      </c>
      <c r="AS4492" s="235" t="s">
        <v>32455</v>
      </c>
      <c r="AT4492" s="235" t="s">
        <v>155</v>
      </c>
      <c r="AU4492" s="235" t="s">
        <v>634</v>
      </c>
      <c r="AV4492" s="246" t="s">
        <v>635</v>
      </c>
      <c r="AW4492" s="227"/>
      <c r="AX4492" s="227"/>
      <c r="AY4492" s="227"/>
      <c r="AZ4492" s="227"/>
      <c r="BA4492" s="227"/>
      <c r="BB4492" s="227"/>
      <c r="BC4492" s="227"/>
      <c r="BD4492" s="227"/>
      <c r="BE4492" s="227"/>
      <c r="BF4492" s="227"/>
    </row>
    <row r="4493">
      <c r="A4493" s="235" t="s">
        <v>33349</v>
      </c>
      <c r="C4493" s="235" t="s">
        <v>33350</v>
      </c>
      <c r="D4493" s="235" t="s">
        <v>33351</v>
      </c>
      <c r="E4493" s="243">
        <v>6.5E13</v>
      </c>
      <c r="F4493" s="245"/>
      <c r="G4493" s="235" t="s">
        <v>33352</v>
      </c>
      <c r="H4493" s="235" t="s">
        <v>33353</v>
      </c>
      <c r="I4493" s="235" t="s">
        <v>33353</v>
      </c>
      <c r="J4493" s="235" t="s">
        <v>33354</v>
      </c>
      <c r="K4493" s="235" t="s">
        <v>33355</v>
      </c>
      <c r="N4493" s="235" t="s">
        <v>962</v>
      </c>
      <c r="O4493" s="235" t="s">
        <v>963</v>
      </c>
      <c r="P4493" s="238">
        <v>1.0</v>
      </c>
      <c r="Q4493" s="235" t="s">
        <v>627</v>
      </c>
      <c r="R4493" s="238">
        <v>245.72</v>
      </c>
      <c r="S4493" s="238">
        <v>12.28</v>
      </c>
      <c r="T4493" s="238">
        <v>0.0</v>
      </c>
      <c r="U4493" s="238">
        <v>0.0</v>
      </c>
      <c r="V4493" s="238">
        <v>0.0</v>
      </c>
      <c r="W4493" s="238">
        <v>0.0</v>
      </c>
      <c r="X4493" s="235" t="s">
        <v>628</v>
      </c>
      <c r="Z4493" s="245"/>
      <c r="AA4493" s="245"/>
      <c r="AB4493" s="245"/>
      <c r="AC4493" s="235" t="s">
        <v>1456</v>
      </c>
      <c r="AD4493" s="235" t="s">
        <v>928</v>
      </c>
      <c r="AE4493" s="238">
        <v>122101.0</v>
      </c>
      <c r="AF4493" s="235" t="s">
        <v>631</v>
      </c>
      <c r="AG4493" s="245"/>
      <c r="AH4493" s="245"/>
      <c r="AI4493" s="245"/>
      <c r="AJ4493" s="245"/>
      <c r="AK4493" s="245"/>
      <c r="AL4493" s="245"/>
      <c r="AM4493" s="245"/>
      <c r="AN4493" s="245"/>
      <c r="AO4493" s="238">
        <v>0.0</v>
      </c>
      <c r="AP4493" s="238">
        <v>0.0</v>
      </c>
      <c r="AQ4493" s="235" t="s">
        <v>632</v>
      </c>
      <c r="AR4493" s="243">
        <v>1.68E11</v>
      </c>
      <c r="AS4493" s="235" t="s">
        <v>32840</v>
      </c>
      <c r="AT4493" s="235" t="s">
        <v>14</v>
      </c>
      <c r="AU4493" s="235" t="s">
        <v>634</v>
      </c>
      <c r="AV4493" s="246" t="s">
        <v>635</v>
      </c>
      <c r="AW4493" s="227"/>
      <c r="AX4493" s="227"/>
      <c r="AY4493" s="227"/>
      <c r="AZ4493" s="227"/>
      <c r="BA4493" s="227"/>
      <c r="BB4493" s="227"/>
      <c r="BC4493" s="227"/>
      <c r="BD4493" s="227"/>
      <c r="BE4493" s="227"/>
      <c r="BF4493" s="227"/>
    </row>
    <row r="4494">
      <c r="A4494" s="235" t="s">
        <v>33356</v>
      </c>
      <c r="C4494" s="235" t="s">
        <v>33357</v>
      </c>
      <c r="D4494" s="235" t="s">
        <v>33358</v>
      </c>
      <c r="E4494" s="243">
        <v>6.5E13</v>
      </c>
      <c r="F4494" s="245"/>
      <c r="G4494" s="235" t="s">
        <v>33359</v>
      </c>
      <c r="H4494" s="235" t="s">
        <v>33360</v>
      </c>
      <c r="I4494" s="235" t="s">
        <v>33361</v>
      </c>
      <c r="J4494" s="235" t="s">
        <v>33362</v>
      </c>
      <c r="K4494" s="235" t="s">
        <v>33363</v>
      </c>
      <c r="N4494" s="235" t="s">
        <v>128</v>
      </c>
      <c r="O4494" s="235" t="s">
        <v>2710</v>
      </c>
      <c r="P4494" s="238">
        <v>1.0</v>
      </c>
      <c r="Q4494" s="235" t="s">
        <v>627</v>
      </c>
      <c r="R4494" s="238">
        <v>244.76</v>
      </c>
      <c r="S4494" s="238">
        <v>12.0</v>
      </c>
      <c r="T4494" s="238">
        <v>0.0</v>
      </c>
      <c r="U4494" s="238">
        <v>0.0</v>
      </c>
      <c r="V4494" s="238">
        <v>0.0</v>
      </c>
      <c r="W4494" s="238">
        <v>0.0</v>
      </c>
      <c r="X4494" s="235" t="s">
        <v>628</v>
      </c>
      <c r="Z4494" s="245"/>
      <c r="AA4494" s="245"/>
      <c r="AB4494" s="245"/>
      <c r="AC4494" s="235" t="s">
        <v>8997</v>
      </c>
      <c r="AD4494" s="235" t="s">
        <v>1086</v>
      </c>
      <c r="AE4494" s="238">
        <v>160062.0</v>
      </c>
      <c r="AF4494" s="235" t="s">
        <v>631</v>
      </c>
      <c r="AG4494" s="245"/>
      <c r="AH4494" s="245"/>
      <c r="AI4494" s="245"/>
      <c r="AJ4494" s="245"/>
      <c r="AK4494" s="245"/>
      <c r="AL4494" s="245"/>
      <c r="AM4494" s="245"/>
      <c r="AN4494" s="245"/>
      <c r="AO4494" s="238">
        <v>-4.9</v>
      </c>
      <c r="AP4494" s="238">
        <v>0.0</v>
      </c>
      <c r="AQ4494" s="235" t="s">
        <v>632</v>
      </c>
      <c r="AR4494" s="243">
        <v>3.71E11</v>
      </c>
      <c r="AS4494" s="235" t="s">
        <v>32455</v>
      </c>
      <c r="AT4494" s="235" t="s">
        <v>14</v>
      </c>
      <c r="AU4494" s="235" t="s">
        <v>634</v>
      </c>
      <c r="AV4494" s="246" t="s">
        <v>635</v>
      </c>
      <c r="AW4494" s="227"/>
      <c r="AX4494" s="227"/>
      <c r="AY4494" s="227"/>
      <c r="AZ4494" s="227"/>
      <c r="BA4494" s="227"/>
      <c r="BB4494" s="227"/>
      <c r="BC4494" s="227"/>
      <c r="BD4494" s="227"/>
      <c r="BE4494" s="227"/>
      <c r="BF4494" s="227"/>
    </row>
    <row r="4495">
      <c r="A4495" s="235" t="s">
        <v>33364</v>
      </c>
      <c r="C4495" s="235" t="s">
        <v>33365</v>
      </c>
      <c r="D4495" s="235" t="s">
        <v>33366</v>
      </c>
      <c r="E4495" s="243">
        <v>6.5E13</v>
      </c>
      <c r="F4495" s="245"/>
      <c r="G4495" s="235" t="s">
        <v>33367</v>
      </c>
      <c r="H4495" s="235" t="s">
        <v>33368</v>
      </c>
      <c r="I4495" s="235" t="s">
        <v>33368</v>
      </c>
      <c r="J4495" s="235" t="s">
        <v>33369</v>
      </c>
      <c r="K4495" s="235" t="s">
        <v>33370</v>
      </c>
      <c r="N4495" s="235" t="s">
        <v>566</v>
      </c>
      <c r="O4495" s="235" t="s">
        <v>13068</v>
      </c>
      <c r="P4495" s="238">
        <v>1.0</v>
      </c>
      <c r="Q4495" s="235" t="s">
        <v>627</v>
      </c>
      <c r="R4495" s="238">
        <v>422.88</v>
      </c>
      <c r="S4495" s="238">
        <v>76.12</v>
      </c>
      <c r="T4495" s="238">
        <v>33.9</v>
      </c>
      <c r="U4495" s="238">
        <v>6.1</v>
      </c>
      <c r="V4495" s="238">
        <v>0.0</v>
      </c>
      <c r="W4495" s="238">
        <v>0.0</v>
      </c>
      <c r="X4495" s="235" t="s">
        <v>628</v>
      </c>
      <c r="Z4495" s="245"/>
      <c r="AA4495" s="245"/>
      <c r="AB4495" s="245"/>
      <c r="AC4495" s="235" t="s">
        <v>1085</v>
      </c>
      <c r="AD4495" s="235" t="s">
        <v>1086</v>
      </c>
      <c r="AE4495" s="238">
        <v>141003.0</v>
      </c>
      <c r="AF4495" s="235" t="s">
        <v>631</v>
      </c>
      <c r="AG4495" s="245"/>
      <c r="AH4495" s="245"/>
      <c r="AI4495" s="245"/>
      <c r="AJ4495" s="245"/>
      <c r="AK4495" s="245"/>
      <c r="AL4495" s="245"/>
      <c r="AM4495" s="245"/>
      <c r="AN4495" s="245"/>
      <c r="AO4495" s="238">
        <v>0.0</v>
      </c>
      <c r="AP4495" s="238">
        <v>-33.9</v>
      </c>
      <c r="AQ4495" s="235" t="s">
        <v>632</v>
      </c>
      <c r="AR4495" s="243">
        <v>3.71E11</v>
      </c>
      <c r="AS4495" s="235" t="s">
        <v>31232</v>
      </c>
      <c r="AT4495" s="235" t="s">
        <v>533</v>
      </c>
      <c r="AU4495" s="235" t="s">
        <v>634</v>
      </c>
      <c r="AV4495" s="246" t="s">
        <v>635</v>
      </c>
      <c r="AW4495" s="227"/>
      <c r="AX4495" s="227"/>
      <c r="AY4495" s="227"/>
      <c r="AZ4495" s="227"/>
      <c r="BA4495" s="227"/>
      <c r="BB4495" s="227"/>
      <c r="BC4495" s="227"/>
      <c r="BD4495" s="227"/>
      <c r="BE4495" s="227"/>
      <c r="BF4495" s="227"/>
    </row>
    <row r="4496">
      <c r="A4496" s="235" t="s">
        <v>33371</v>
      </c>
      <c r="C4496" s="235" t="s">
        <v>33372</v>
      </c>
      <c r="D4496" s="235" t="s">
        <v>33373</v>
      </c>
      <c r="E4496" s="243">
        <v>6.5E13</v>
      </c>
      <c r="F4496" s="245"/>
      <c r="G4496" s="235" t="s">
        <v>33374</v>
      </c>
      <c r="H4496" s="235" t="s">
        <v>33375</v>
      </c>
      <c r="I4496" s="235" t="s">
        <v>33375</v>
      </c>
      <c r="J4496" s="235" t="s">
        <v>33376</v>
      </c>
      <c r="K4496" s="235" t="s">
        <v>33377</v>
      </c>
      <c r="N4496" s="235" t="s">
        <v>10</v>
      </c>
      <c r="O4496" s="235" t="s">
        <v>936</v>
      </c>
      <c r="P4496" s="238">
        <v>1.0</v>
      </c>
      <c r="Q4496" s="235" t="s">
        <v>627</v>
      </c>
      <c r="R4496" s="238">
        <v>265.72</v>
      </c>
      <c r="S4496" s="238">
        <v>13.28</v>
      </c>
      <c r="T4496" s="238">
        <v>0.0</v>
      </c>
      <c r="U4496" s="238">
        <v>0.0</v>
      </c>
      <c r="V4496" s="238">
        <v>0.0</v>
      </c>
      <c r="W4496" s="238">
        <v>0.0</v>
      </c>
      <c r="X4496" s="235" t="s">
        <v>628</v>
      </c>
      <c r="Z4496" s="245"/>
      <c r="AA4496" s="245"/>
      <c r="AB4496" s="245"/>
      <c r="AC4496" s="235" t="s">
        <v>844</v>
      </c>
      <c r="AD4496" s="235" t="s">
        <v>845</v>
      </c>
      <c r="AE4496" s="238">
        <v>411057.0</v>
      </c>
      <c r="AF4496" s="235" t="s">
        <v>631</v>
      </c>
      <c r="AG4496" s="245"/>
      <c r="AH4496" s="245"/>
      <c r="AI4496" s="245"/>
      <c r="AJ4496" s="245"/>
      <c r="AK4496" s="245"/>
      <c r="AL4496" s="245"/>
      <c r="AM4496" s="245"/>
      <c r="AN4496" s="245"/>
      <c r="AO4496" s="238">
        <v>0.0</v>
      </c>
      <c r="AP4496" s="238">
        <v>0.0</v>
      </c>
      <c r="AQ4496" s="235" t="s">
        <v>632</v>
      </c>
      <c r="AR4496" s="243">
        <v>1.68E11</v>
      </c>
      <c r="AS4496" s="235" t="s">
        <v>32840</v>
      </c>
      <c r="AT4496" s="235" t="s">
        <v>546</v>
      </c>
      <c r="AU4496" s="235" t="s">
        <v>634</v>
      </c>
      <c r="AV4496" s="246" t="s">
        <v>635</v>
      </c>
      <c r="AW4496" s="227"/>
      <c r="AX4496" s="227"/>
      <c r="AY4496" s="227"/>
      <c r="AZ4496" s="227"/>
      <c r="BA4496" s="227"/>
      <c r="BB4496" s="227"/>
      <c r="BC4496" s="227"/>
      <c r="BD4496" s="227"/>
      <c r="BE4496" s="227"/>
      <c r="BF4496" s="227"/>
    </row>
    <row r="4497">
      <c r="A4497" s="235" t="s">
        <v>33378</v>
      </c>
      <c r="C4497" s="235" t="s">
        <v>33379</v>
      </c>
      <c r="D4497" s="235" t="s">
        <v>33380</v>
      </c>
      <c r="E4497" s="243">
        <v>6.5E13</v>
      </c>
      <c r="F4497" s="245"/>
      <c r="G4497" s="235" t="s">
        <v>33381</v>
      </c>
      <c r="H4497" s="235" t="s">
        <v>33382</v>
      </c>
      <c r="I4497" s="235" t="s">
        <v>33383</v>
      </c>
      <c r="J4497" s="235" t="s">
        <v>33384</v>
      </c>
      <c r="K4497" s="235" t="s">
        <v>33385</v>
      </c>
      <c r="N4497" s="235" t="s">
        <v>148</v>
      </c>
      <c r="O4497" s="235" t="s">
        <v>1006</v>
      </c>
      <c r="P4497" s="238">
        <v>1.0</v>
      </c>
      <c r="Q4497" s="235" t="s">
        <v>627</v>
      </c>
      <c r="R4497" s="238">
        <v>281.9</v>
      </c>
      <c r="S4497" s="238">
        <v>14.1</v>
      </c>
      <c r="T4497" s="238">
        <v>0.0</v>
      </c>
      <c r="U4497" s="238">
        <v>0.0</v>
      </c>
      <c r="V4497" s="238">
        <v>0.0</v>
      </c>
      <c r="W4497" s="238">
        <v>0.0</v>
      </c>
      <c r="X4497" s="235" t="s">
        <v>628</v>
      </c>
      <c r="Z4497" s="245"/>
      <c r="AA4497" s="245"/>
      <c r="AB4497" s="245"/>
      <c r="AC4497" s="235" t="s">
        <v>697</v>
      </c>
      <c r="AD4497" s="235" t="s">
        <v>698</v>
      </c>
      <c r="AE4497" s="238">
        <v>500050.0</v>
      </c>
      <c r="AF4497" s="235" t="s">
        <v>631</v>
      </c>
      <c r="AG4497" s="245"/>
      <c r="AH4497" s="245"/>
      <c r="AI4497" s="245"/>
      <c r="AJ4497" s="245"/>
      <c r="AK4497" s="245"/>
      <c r="AL4497" s="245"/>
      <c r="AM4497" s="245"/>
      <c r="AN4497" s="245"/>
      <c r="AO4497" s="238">
        <v>0.0</v>
      </c>
      <c r="AP4497" s="238">
        <v>0.0</v>
      </c>
      <c r="AQ4497" s="235" t="s">
        <v>632</v>
      </c>
      <c r="AR4497" s="243">
        <v>2.02E11</v>
      </c>
      <c r="AS4497" s="235" t="s">
        <v>32455</v>
      </c>
      <c r="AT4497" s="235" t="s">
        <v>156</v>
      </c>
      <c r="AU4497" s="235" t="s">
        <v>634</v>
      </c>
      <c r="AV4497" s="246" t="s">
        <v>635</v>
      </c>
      <c r="AW4497" s="227"/>
      <c r="AX4497" s="227"/>
      <c r="AY4497" s="227"/>
      <c r="AZ4497" s="227"/>
      <c r="BA4497" s="227"/>
      <c r="BB4497" s="227"/>
      <c r="BC4497" s="227"/>
      <c r="BD4497" s="227"/>
      <c r="BE4497" s="227"/>
      <c r="BF4497" s="227"/>
    </row>
    <row r="4498">
      <c r="A4498" s="235" t="s">
        <v>33386</v>
      </c>
      <c r="C4498" s="235" t="s">
        <v>33387</v>
      </c>
      <c r="D4498" s="235" t="s">
        <v>33388</v>
      </c>
      <c r="E4498" s="243">
        <v>6.5E13</v>
      </c>
      <c r="F4498" s="245"/>
      <c r="G4498" s="235" t="s">
        <v>33389</v>
      </c>
      <c r="H4498" s="235" t="s">
        <v>33390</v>
      </c>
      <c r="I4498" s="235" t="s">
        <v>33390</v>
      </c>
      <c r="J4498" s="235" t="s">
        <v>33391</v>
      </c>
      <c r="K4498" s="235" t="s">
        <v>33392</v>
      </c>
      <c r="N4498" s="235" t="s">
        <v>127</v>
      </c>
      <c r="O4498" s="235" t="s">
        <v>794</v>
      </c>
      <c r="P4498" s="238">
        <v>1.0</v>
      </c>
      <c r="Q4498" s="235" t="s">
        <v>627</v>
      </c>
      <c r="R4498" s="238">
        <v>243.81</v>
      </c>
      <c r="S4498" s="238">
        <v>12.19</v>
      </c>
      <c r="T4498" s="238">
        <v>38.1</v>
      </c>
      <c r="U4498" s="238">
        <v>1.9</v>
      </c>
      <c r="V4498" s="238">
        <v>0.0</v>
      </c>
      <c r="W4498" s="238">
        <v>0.0</v>
      </c>
      <c r="X4498" s="235" t="s">
        <v>628</v>
      </c>
      <c r="Z4498" s="245"/>
      <c r="AA4498" s="245"/>
      <c r="AB4498" s="245"/>
      <c r="AC4498" s="235" t="s">
        <v>10173</v>
      </c>
      <c r="AD4498" s="235" t="s">
        <v>917</v>
      </c>
      <c r="AE4498" s="238">
        <v>313001.0</v>
      </c>
      <c r="AF4498" s="235" t="s">
        <v>631</v>
      </c>
      <c r="AG4498" s="245"/>
      <c r="AH4498" s="245"/>
      <c r="AI4498" s="245"/>
      <c r="AJ4498" s="245"/>
      <c r="AK4498" s="245"/>
      <c r="AL4498" s="245"/>
      <c r="AM4498" s="245"/>
      <c r="AN4498" s="245"/>
      <c r="AO4498" s="238">
        <v>0.0</v>
      </c>
      <c r="AP4498" s="238">
        <v>0.0</v>
      </c>
      <c r="AQ4498" s="235" t="s">
        <v>632</v>
      </c>
      <c r="AR4498" s="243">
        <v>3.71E11</v>
      </c>
      <c r="AS4498" s="235" t="s">
        <v>32455</v>
      </c>
      <c r="AT4498" s="235" t="s">
        <v>5</v>
      </c>
      <c r="AU4498" s="235" t="s">
        <v>634</v>
      </c>
      <c r="AV4498" s="246" t="s">
        <v>635</v>
      </c>
      <c r="AW4498" s="227"/>
      <c r="AX4498" s="227"/>
      <c r="AY4498" s="227"/>
      <c r="AZ4498" s="227"/>
      <c r="BA4498" s="227"/>
      <c r="BB4498" s="227"/>
      <c r="BC4498" s="227"/>
      <c r="BD4498" s="227"/>
      <c r="BE4498" s="227"/>
      <c r="BF4498" s="227"/>
    </row>
    <row r="4499">
      <c r="A4499" s="235" t="s">
        <v>33393</v>
      </c>
      <c r="C4499" s="235" t="s">
        <v>33394</v>
      </c>
      <c r="D4499" s="235" t="s">
        <v>33395</v>
      </c>
      <c r="E4499" s="243">
        <v>6.5E13</v>
      </c>
      <c r="F4499" s="245"/>
      <c r="G4499" s="235" t="s">
        <v>33396</v>
      </c>
      <c r="H4499" s="235" t="s">
        <v>33397</v>
      </c>
      <c r="I4499" s="235" t="s">
        <v>33397</v>
      </c>
      <c r="J4499" s="235" t="s">
        <v>33398</v>
      </c>
      <c r="K4499" s="235" t="s">
        <v>33399</v>
      </c>
      <c r="N4499" s="235" t="s">
        <v>43</v>
      </c>
      <c r="O4499" s="235" t="s">
        <v>276</v>
      </c>
      <c r="P4499" s="238">
        <v>1.0</v>
      </c>
      <c r="Q4499" s="235" t="s">
        <v>627</v>
      </c>
      <c r="R4499" s="238">
        <v>235.24</v>
      </c>
      <c r="S4499" s="238">
        <v>11.76</v>
      </c>
      <c r="T4499" s="238">
        <v>0.0</v>
      </c>
      <c r="U4499" s="238">
        <v>0.0</v>
      </c>
      <c r="V4499" s="238">
        <v>0.0</v>
      </c>
      <c r="W4499" s="238">
        <v>0.0</v>
      </c>
      <c r="X4499" s="235" t="s">
        <v>628</v>
      </c>
      <c r="Z4499" s="245"/>
      <c r="AA4499" s="245"/>
      <c r="AB4499" s="245"/>
      <c r="AC4499" s="235" t="s">
        <v>678</v>
      </c>
      <c r="AD4499" s="235" t="s">
        <v>679</v>
      </c>
      <c r="AE4499" s="238">
        <v>560099.0</v>
      </c>
      <c r="AF4499" s="235" t="s">
        <v>631</v>
      </c>
      <c r="AG4499" s="245"/>
      <c r="AH4499" s="245"/>
      <c r="AI4499" s="245"/>
      <c r="AJ4499" s="245"/>
      <c r="AK4499" s="245"/>
      <c r="AL4499" s="245"/>
      <c r="AM4499" s="245"/>
      <c r="AN4499" s="245"/>
      <c r="AO4499" s="238">
        <v>0.0</v>
      </c>
      <c r="AP4499" s="238">
        <v>0.0</v>
      </c>
      <c r="AQ4499" s="235" t="s">
        <v>632</v>
      </c>
      <c r="AR4499" s="243">
        <v>1.68E11</v>
      </c>
      <c r="AS4499" s="235" t="s">
        <v>32840</v>
      </c>
      <c r="AT4499" s="235" t="s">
        <v>9</v>
      </c>
      <c r="AU4499" s="235" t="s">
        <v>634</v>
      </c>
      <c r="AV4499" s="246" t="s">
        <v>635</v>
      </c>
      <c r="AW4499" s="227"/>
      <c r="AX4499" s="227"/>
      <c r="AY4499" s="227"/>
      <c r="AZ4499" s="227"/>
      <c r="BA4499" s="227"/>
      <c r="BB4499" s="227"/>
      <c r="BC4499" s="227"/>
      <c r="BD4499" s="227"/>
      <c r="BE4499" s="227"/>
      <c r="BF4499" s="227"/>
    </row>
    <row r="4500">
      <c r="A4500" s="235" t="s">
        <v>33400</v>
      </c>
      <c r="C4500" s="235" t="s">
        <v>33401</v>
      </c>
      <c r="D4500" s="235" t="s">
        <v>33402</v>
      </c>
      <c r="E4500" s="243">
        <v>6.5E13</v>
      </c>
      <c r="F4500" s="245"/>
      <c r="G4500" s="235" t="s">
        <v>33403</v>
      </c>
      <c r="H4500" s="235" t="s">
        <v>33404</v>
      </c>
      <c r="I4500" s="235" t="s">
        <v>33404</v>
      </c>
      <c r="J4500" s="235" t="s">
        <v>33405</v>
      </c>
      <c r="K4500" s="235" t="s">
        <v>33406</v>
      </c>
      <c r="N4500" s="235" t="s">
        <v>4</v>
      </c>
      <c r="O4500" s="235" t="s">
        <v>1791</v>
      </c>
      <c r="P4500" s="238">
        <v>1.0</v>
      </c>
      <c r="Q4500" s="235" t="s">
        <v>627</v>
      </c>
      <c r="R4500" s="238">
        <v>265.72</v>
      </c>
      <c r="S4500" s="238">
        <v>13.02</v>
      </c>
      <c r="T4500" s="238">
        <v>38.1</v>
      </c>
      <c r="U4500" s="238">
        <v>1.9</v>
      </c>
      <c r="V4500" s="238">
        <v>0.0</v>
      </c>
      <c r="W4500" s="238">
        <v>0.0</v>
      </c>
      <c r="X4500" s="235" t="s">
        <v>628</v>
      </c>
      <c r="Z4500" s="245"/>
      <c r="AA4500" s="245"/>
      <c r="AB4500" s="245"/>
      <c r="AC4500" s="235" t="s">
        <v>33407</v>
      </c>
      <c r="AD4500" s="235" t="s">
        <v>679</v>
      </c>
      <c r="AE4500" s="238">
        <v>574154.0</v>
      </c>
      <c r="AF4500" s="235" t="s">
        <v>631</v>
      </c>
      <c r="AG4500" s="245"/>
      <c r="AH4500" s="245"/>
      <c r="AI4500" s="245"/>
      <c r="AJ4500" s="245"/>
      <c r="AK4500" s="245"/>
      <c r="AL4500" s="245"/>
      <c r="AM4500" s="245"/>
      <c r="AN4500" s="245"/>
      <c r="AO4500" s="238">
        <v>-5.32</v>
      </c>
      <c r="AP4500" s="238">
        <v>-38.1</v>
      </c>
      <c r="AQ4500" s="235" t="s">
        <v>632</v>
      </c>
      <c r="AR4500" s="243">
        <v>3.71E11</v>
      </c>
      <c r="AS4500" s="235" t="s">
        <v>31232</v>
      </c>
      <c r="AT4500" s="235" t="s">
        <v>11</v>
      </c>
      <c r="AU4500" s="235" t="s">
        <v>634</v>
      </c>
      <c r="AV4500" s="246" t="s">
        <v>635</v>
      </c>
      <c r="AW4500" s="227"/>
      <c r="AX4500" s="227"/>
      <c r="AY4500" s="227"/>
      <c r="AZ4500" s="227"/>
      <c r="BA4500" s="227"/>
      <c r="BB4500" s="227"/>
      <c r="BC4500" s="227"/>
      <c r="BD4500" s="227"/>
      <c r="BE4500" s="227"/>
      <c r="BF4500" s="227"/>
    </row>
    <row r="4501">
      <c r="A4501" s="235" t="s">
        <v>33408</v>
      </c>
      <c r="C4501" s="235" t="s">
        <v>33409</v>
      </c>
      <c r="D4501" s="235" t="s">
        <v>33410</v>
      </c>
      <c r="E4501" s="243">
        <v>6.5E13</v>
      </c>
      <c r="F4501" s="245"/>
      <c r="G4501" s="235" t="s">
        <v>33411</v>
      </c>
      <c r="H4501" s="235" t="s">
        <v>33412</v>
      </c>
      <c r="I4501" s="235" t="s">
        <v>33412</v>
      </c>
      <c r="J4501" s="235" t="s">
        <v>33413</v>
      </c>
      <c r="K4501" s="235" t="s">
        <v>33414</v>
      </c>
      <c r="N4501" s="235" t="s">
        <v>130</v>
      </c>
      <c r="O4501" s="235" t="s">
        <v>707</v>
      </c>
      <c r="P4501" s="238">
        <v>1.0</v>
      </c>
      <c r="Q4501" s="235" t="s">
        <v>627</v>
      </c>
      <c r="R4501" s="238">
        <v>243.81</v>
      </c>
      <c r="S4501" s="238">
        <v>11.95</v>
      </c>
      <c r="T4501" s="238">
        <v>0.0</v>
      </c>
      <c r="U4501" s="238">
        <v>0.0</v>
      </c>
      <c r="V4501" s="238">
        <v>0.0</v>
      </c>
      <c r="W4501" s="238">
        <v>0.0</v>
      </c>
      <c r="X4501" s="235" t="s">
        <v>628</v>
      </c>
      <c r="Z4501" s="245"/>
      <c r="AA4501" s="245"/>
      <c r="AB4501" s="245"/>
      <c r="AC4501" s="235" t="s">
        <v>6436</v>
      </c>
      <c r="AD4501" s="235" t="s">
        <v>1499</v>
      </c>
      <c r="AE4501" s="238">
        <v>452006.0</v>
      </c>
      <c r="AF4501" s="235" t="s">
        <v>631</v>
      </c>
      <c r="AG4501" s="245"/>
      <c r="AH4501" s="245"/>
      <c r="AI4501" s="245"/>
      <c r="AJ4501" s="245"/>
      <c r="AK4501" s="245"/>
      <c r="AL4501" s="245"/>
      <c r="AM4501" s="245"/>
      <c r="AN4501" s="245"/>
      <c r="AO4501" s="238">
        <v>-4.88</v>
      </c>
      <c r="AP4501" s="238">
        <v>0.0</v>
      </c>
      <c r="AQ4501" s="235" t="s">
        <v>632</v>
      </c>
      <c r="AR4501" s="243">
        <v>3.71E11</v>
      </c>
      <c r="AS4501" s="235" t="s">
        <v>31232</v>
      </c>
      <c r="AT4501" s="235" t="s">
        <v>5</v>
      </c>
      <c r="AU4501" s="235" t="s">
        <v>634</v>
      </c>
      <c r="AV4501" s="246" t="s">
        <v>635</v>
      </c>
      <c r="AW4501" s="227"/>
      <c r="AX4501" s="227"/>
      <c r="AY4501" s="227"/>
      <c r="AZ4501" s="227"/>
      <c r="BA4501" s="227"/>
      <c r="BB4501" s="227"/>
      <c r="BC4501" s="227"/>
      <c r="BD4501" s="227"/>
      <c r="BE4501" s="227"/>
      <c r="BF4501" s="227"/>
    </row>
    <row r="4502">
      <c r="A4502" s="235" t="s">
        <v>33415</v>
      </c>
      <c r="C4502" s="235" t="s">
        <v>33416</v>
      </c>
      <c r="D4502" s="235" t="s">
        <v>33417</v>
      </c>
      <c r="E4502" s="243">
        <v>6.5E13</v>
      </c>
      <c r="F4502" s="245"/>
      <c r="G4502" s="235" t="s">
        <v>33418</v>
      </c>
      <c r="H4502" s="235" t="s">
        <v>33419</v>
      </c>
      <c r="I4502" s="235" t="s">
        <v>33419</v>
      </c>
      <c r="J4502" s="235" t="s">
        <v>33420</v>
      </c>
      <c r="K4502" s="235" t="s">
        <v>33421</v>
      </c>
      <c r="N4502" s="235" t="s">
        <v>90</v>
      </c>
      <c r="O4502" s="235" t="s">
        <v>279</v>
      </c>
      <c r="P4502" s="238">
        <v>1.0</v>
      </c>
      <c r="Q4502" s="235" t="s">
        <v>627</v>
      </c>
      <c r="R4502" s="238">
        <v>243.81</v>
      </c>
      <c r="S4502" s="238">
        <v>12.19</v>
      </c>
      <c r="T4502" s="238">
        <v>0.0</v>
      </c>
      <c r="U4502" s="238">
        <v>0.0</v>
      </c>
      <c r="V4502" s="238">
        <v>0.0</v>
      </c>
      <c r="W4502" s="238">
        <v>0.0</v>
      </c>
      <c r="X4502" s="235" t="s">
        <v>628</v>
      </c>
      <c r="Z4502" s="245"/>
      <c r="AA4502" s="245"/>
      <c r="AB4502" s="245"/>
      <c r="AC4502" s="235" t="s">
        <v>1085</v>
      </c>
      <c r="AD4502" s="235" t="s">
        <v>1086</v>
      </c>
      <c r="AE4502" s="238">
        <v>142022.0</v>
      </c>
      <c r="AF4502" s="235" t="s">
        <v>631</v>
      </c>
      <c r="AG4502" s="245"/>
      <c r="AH4502" s="245"/>
      <c r="AI4502" s="245"/>
      <c r="AJ4502" s="245"/>
      <c r="AK4502" s="245"/>
      <c r="AL4502" s="245"/>
      <c r="AM4502" s="245"/>
      <c r="AN4502" s="245"/>
      <c r="AO4502" s="238">
        <v>0.0</v>
      </c>
      <c r="AP4502" s="238">
        <v>0.0</v>
      </c>
      <c r="AQ4502" s="235" t="s">
        <v>632</v>
      </c>
      <c r="AR4502" s="243">
        <v>3.71E11</v>
      </c>
      <c r="AS4502" s="235" t="s">
        <v>31232</v>
      </c>
      <c r="AT4502" s="235" t="s">
        <v>14</v>
      </c>
      <c r="AU4502" s="235" t="s">
        <v>634</v>
      </c>
      <c r="AV4502" s="246" t="s">
        <v>635</v>
      </c>
      <c r="AW4502" s="227"/>
      <c r="AX4502" s="227"/>
      <c r="AY4502" s="227"/>
      <c r="AZ4502" s="227"/>
      <c r="BA4502" s="227"/>
      <c r="BB4502" s="227"/>
      <c r="BC4502" s="227"/>
      <c r="BD4502" s="227"/>
      <c r="BE4502" s="227"/>
      <c r="BF4502" s="227"/>
    </row>
    <row r="4503">
      <c r="A4503" s="235" t="s">
        <v>33422</v>
      </c>
      <c r="C4503" s="235" t="s">
        <v>33423</v>
      </c>
      <c r="D4503" s="235" t="s">
        <v>33424</v>
      </c>
      <c r="E4503" s="243">
        <v>6.5E13</v>
      </c>
      <c r="F4503" s="245"/>
      <c r="G4503" s="235" t="s">
        <v>33425</v>
      </c>
      <c r="H4503" s="235" t="s">
        <v>33426</v>
      </c>
      <c r="I4503" s="235" t="s">
        <v>33427</v>
      </c>
      <c r="J4503" s="235" t="s">
        <v>33428</v>
      </c>
      <c r="K4503" s="235" t="s">
        <v>33429</v>
      </c>
      <c r="N4503" s="235" t="s">
        <v>127</v>
      </c>
      <c r="O4503" s="235" t="s">
        <v>794</v>
      </c>
      <c r="P4503" s="238">
        <v>1.0</v>
      </c>
      <c r="Q4503" s="235" t="s">
        <v>627</v>
      </c>
      <c r="R4503" s="238">
        <v>243.81</v>
      </c>
      <c r="S4503" s="238">
        <v>11.95</v>
      </c>
      <c r="T4503" s="238">
        <v>0.0</v>
      </c>
      <c r="U4503" s="238">
        <v>0.0</v>
      </c>
      <c r="V4503" s="238">
        <v>0.0</v>
      </c>
      <c r="W4503" s="238">
        <v>0.0</v>
      </c>
      <c r="X4503" s="235" t="s">
        <v>628</v>
      </c>
      <c r="Z4503" s="245"/>
      <c r="AA4503" s="245"/>
      <c r="AB4503" s="245"/>
      <c r="AC4503" s="235" t="s">
        <v>6571</v>
      </c>
      <c r="AD4503" s="235" t="s">
        <v>731</v>
      </c>
      <c r="AE4503" s="238">
        <v>781001.0</v>
      </c>
      <c r="AF4503" s="235" t="s">
        <v>631</v>
      </c>
      <c r="AG4503" s="245"/>
      <c r="AH4503" s="245"/>
      <c r="AI4503" s="245"/>
      <c r="AJ4503" s="245"/>
      <c r="AK4503" s="245"/>
      <c r="AL4503" s="245"/>
      <c r="AM4503" s="245"/>
      <c r="AN4503" s="245"/>
      <c r="AO4503" s="238">
        <v>-4.88</v>
      </c>
      <c r="AP4503" s="238">
        <v>0.0</v>
      </c>
      <c r="AQ4503" s="235" t="s">
        <v>632</v>
      </c>
      <c r="AR4503" s="243">
        <v>2.02E11</v>
      </c>
      <c r="AS4503" s="235" t="s">
        <v>32455</v>
      </c>
      <c r="AT4503" s="235" t="s">
        <v>14</v>
      </c>
      <c r="AU4503" s="235" t="s">
        <v>634</v>
      </c>
      <c r="AV4503" s="246" t="s">
        <v>635</v>
      </c>
      <c r="AW4503" s="227"/>
      <c r="AX4503" s="227"/>
      <c r="AY4503" s="227"/>
      <c r="AZ4503" s="227"/>
      <c r="BA4503" s="227"/>
      <c r="BB4503" s="227"/>
      <c r="BC4503" s="227"/>
      <c r="BD4503" s="227"/>
      <c r="BE4503" s="227"/>
      <c r="BF4503" s="227"/>
    </row>
    <row r="4504">
      <c r="A4504" s="235" t="s">
        <v>33430</v>
      </c>
      <c r="C4504" s="235" t="s">
        <v>33431</v>
      </c>
      <c r="D4504" s="235" t="s">
        <v>33432</v>
      </c>
      <c r="E4504" s="243">
        <v>6.5E13</v>
      </c>
      <c r="F4504" s="245"/>
      <c r="G4504" s="235" t="s">
        <v>33433</v>
      </c>
      <c r="H4504" s="235" t="s">
        <v>33434</v>
      </c>
      <c r="I4504" s="235" t="s">
        <v>33434</v>
      </c>
      <c r="J4504" s="235" t="s">
        <v>33435</v>
      </c>
      <c r="K4504" s="235" t="s">
        <v>33436</v>
      </c>
      <c r="N4504" s="235" t="s">
        <v>47</v>
      </c>
      <c r="O4504" s="235" t="s">
        <v>270</v>
      </c>
      <c r="P4504" s="238">
        <v>1.0</v>
      </c>
      <c r="Q4504" s="235" t="s">
        <v>627</v>
      </c>
      <c r="R4504" s="238">
        <v>236.19</v>
      </c>
      <c r="S4504" s="238">
        <v>11.81</v>
      </c>
      <c r="T4504" s="238">
        <v>0.0</v>
      </c>
      <c r="U4504" s="238">
        <v>0.0</v>
      </c>
      <c r="V4504" s="238">
        <v>0.0</v>
      </c>
      <c r="W4504" s="238">
        <v>0.0</v>
      </c>
      <c r="X4504" s="235" t="s">
        <v>628</v>
      </c>
      <c r="Z4504" s="245"/>
      <c r="AA4504" s="245"/>
      <c r="AB4504" s="245"/>
      <c r="AC4504" s="235" t="s">
        <v>2493</v>
      </c>
      <c r="AD4504" s="235" t="s">
        <v>833</v>
      </c>
      <c r="AE4504" s="238">
        <v>520001.0</v>
      </c>
      <c r="AF4504" s="235" t="s">
        <v>631</v>
      </c>
      <c r="AG4504" s="245"/>
      <c r="AH4504" s="245"/>
      <c r="AI4504" s="245"/>
      <c r="AJ4504" s="245"/>
      <c r="AK4504" s="245"/>
      <c r="AL4504" s="245"/>
      <c r="AM4504" s="245"/>
      <c r="AN4504" s="245"/>
      <c r="AO4504" s="238">
        <v>0.0</v>
      </c>
      <c r="AP4504" s="238">
        <v>0.0</v>
      </c>
      <c r="AQ4504" s="235" t="s">
        <v>632</v>
      </c>
      <c r="AR4504" s="243">
        <v>1.68E11</v>
      </c>
      <c r="AS4504" s="235" t="s">
        <v>32455</v>
      </c>
      <c r="AT4504" s="235" t="s">
        <v>156</v>
      </c>
      <c r="AU4504" s="235" t="s">
        <v>634</v>
      </c>
      <c r="AV4504" s="246" t="s">
        <v>635</v>
      </c>
      <c r="AW4504" s="227"/>
      <c r="AX4504" s="227"/>
      <c r="AY4504" s="227"/>
      <c r="AZ4504" s="227"/>
      <c r="BA4504" s="227"/>
      <c r="BB4504" s="227"/>
      <c r="BC4504" s="227"/>
      <c r="BD4504" s="227"/>
      <c r="BE4504" s="227"/>
      <c r="BF4504" s="227"/>
    </row>
    <row r="4505">
      <c r="A4505" s="235" t="s">
        <v>33437</v>
      </c>
      <c r="C4505" s="235" t="s">
        <v>33438</v>
      </c>
      <c r="D4505" s="235" t="s">
        <v>33439</v>
      </c>
      <c r="E4505" s="243">
        <v>6.5E13</v>
      </c>
      <c r="F4505" s="245"/>
      <c r="G4505" s="235" t="s">
        <v>33440</v>
      </c>
      <c r="H4505" s="235" t="s">
        <v>33441</v>
      </c>
      <c r="I4505" s="235" t="s">
        <v>33441</v>
      </c>
      <c r="J4505" s="235" t="s">
        <v>33442</v>
      </c>
      <c r="K4505" s="235" t="s">
        <v>33443</v>
      </c>
      <c r="N4505" s="235" t="s">
        <v>68</v>
      </c>
      <c r="O4505" s="235" t="s">
        <v>208</v>
      </c>
      <c r="P4505" s="238">
        <v>1.0</v>
      </c>
      <c r="Q4505" s="235" t="s">
        <v>627</v>
      </c>
      <c r="R4505" s="238">
        <v>246.66</v>
      </c>
      <c r="S4505" s="238">
        <v>12.1</v>
      </c>
      <c r="T4505" s="238">
        <v>0.0</v>
      </c>
      <c r="U4505" s="238">
        <v>0.0</v>
      </c>
      <c r="V4505" s="238">
        <v>0.0</v>
      </c>
      <c r="W4505" s="238">
        <v>0.0</v>
      </c>
      <c r="X4505" s="235" t="s">
        <v>628</v>
      </c>
      <c r="Z4505" s="245"/>
      <c r="AA4505" s="245"/>
      <c r="AB4505" s="245"/>
      <c r="AC4505" s="235" t="s">
        <v>33444</v>
      </c>
      <c r="AD4505" s="235" t="s">
        <v>845</v>
      </c>
      <c r="AE4505" s="238">
        <v>431001.0</v>
      </c>
      <c r="AF4505" s="235" t="s">
        <v>631</v>
      </c>
      <c r="AG4505" s="245"/>
      <c r="AH4505" s="245"/>
      <c r="AI4505" s="245"/>
      <c r="AJ4505" s="245"/>
      <c r="AK4505" s="245"/>
      <c r="AL4505" s="245"/>
      <c r="AM4505" s="245"/>
      <c r="AN4505" s="245"/>
      <c r="AO4505" s="238">
        <v>-4.94</v>
      </c>
      <c r="AP4505" s="238">
        <v>0.0</v>
      </c>
      <c r="AQ4505" s="235" t="s">
        <v>632</v>
      </c>
      <c r="AR4505" s="243">
        <v>1.68E11</v>
      </c>
      <c r="AS4505" s="235" t="s">
        <v>32455</v>
      </c>
      <c r="AT4505" s="235" t="s">
        <v>546</v>
      </c>
      <c r="AU4505" s="235" t="s">
        <v>634</v>
      </c>
      <c r="AV4505" s="246" t="s">
        <v>635</v>
      </c>
      <c r="AW4505" s="227"/>
      <c r="AX4505" s="227"/>
      <c r="AY4505" s="227"/>
      <c r="AZ4505" s="227"/>
      <c r="BA4505" s="227"/>
      <c r="BB4505" s="227"/>
      <c r="BC4505" s="227"/>
      <c r="BD4505" s="227"/>
      <c r="BE4505" s="227"/>
      <c r="BF4505" s="227"/>
    </row>
    <row r="4506">
      <c r="A4506" s="235" t="s">
        <v>33445</v>
      </c>
      <c r="C4506" s="235" t="s">
        <v>33446</v>
      </c>
      <c r="D4506" s="235" t="s">
        <v>33447</v>
      </c>
      <c r="E4506" s="243">
        <v>6.5E13</v>
      </c>
      <c r="F4506" s="245"/>
      <c r="G4506" s="235" t="s">
        <v>33448</v>
      </c>
      <c r="H4506" s="235" t="s">
        <v>33449</v>
      </c>
      <c r="I4506" s="235" t="s">
        <v>33449</v>
      </c>
      <c r="J4506" s="235" t="s">
        <v>33450</v>
      </c>
      <c r="K4506" s="235" t="s">
        <v>33451</v>
      </c>
      <c r="N4506" s="235" t="s">
        <v>962</v>
      </c>
      <c r="O4506" s="235" t="s">
        <v>963</v>
      </c>
      <c r="P4506" s="238">
        <v>1.0</v>
      </c>
      <c r="Q4506" s="235" t="s">
        <v>627</v>
      </c>
      <c r="R4506" s="238">
        <v>245.71</v>
      </c>
      <c r="S4506" s="238">
        <v>12.04</v>
      </c>
      <c r="T4506" s="238">
        <v>0.0</v>
      </c>
      <c r="U4506" s="238">
        <v>0.0</v>
      </c>
      <c r="V4506" s="238">
        <v>0.0</v>
      </c>
      <c r="W4506" s="238">
        <v>0.0</v>
      </c>
      <c r="X4506" s="235" t="s">
        <v>628</v>
      </c>
      <c r="Z4506" s="245"/>
      <c r="AA4506" s="245"/>
      <c r="AB4506" s="245"/>
      <c r="AC4506" s="235" t="s">
        <v>3185</v>
      </c>
      <c r="AD4506" s="235" t="s">
        <v>1086</v>
      </c>
      <c r="AE4506" s="238">
        <v>140702.0</v>
      </c>
      <c r="AF4506" s="235" t="s">
        <v>631</v>
      </c>
      <c r="AG4506" s="245"/>
      <c r="AH4506" s="245"/>
      <c r="AI4506" s="245"/>
      <c r="AJ4506" s="245"/>
      <c r="AK4506" s="245"/>
      <c r="AL4506" s="245"/>
      <c r="AM4506" s="245"/>
      <c r="AN4506" s="245"/>
      <c r="AO4506" s="238">
        <v>-4.91</v>
      </c>
      <c r="AP4506" s="238">
        <v>0.0</v>
      </c>
      <c r="AQ4506" s="235" t="s">
        <v>632</v>
      </c>
      <c r="AR4506" s="243">
        <v>3.71E11</v>
      </c>
      <c r="AS4506" s="235" t="s">
        <v>31232</v>
      </c>
      <c r="AT4506" s="235" t="s">
        <v>13</v>
      </c>
      <c r="AU4506" s="235" t="s">
        <v>634</v>
      </c>
      <c r="AV4506" s="246" t="s">
        <v>635</v>
      </c>
      <c r="AW4506" s="227"/>
      <c r="AX4506" s="227"/>
      <c r="AY4506" s="227"/>
      <c r="AZ4506" s="227"/>
      <c r="BA4506" s="227"/>
      <c r="BB4506" s="227"/>
      <c r="BC4506" s="227"/>
      <c r="BD4506" s="227"/>
      <c r="BE4506" s="227"/>
      <c r="BF4506" s="227"/>
    </row>
    <row r="4507">
      <c r="A4507" s="235" t="s">
        <v>33452</v>
      </c>
      <c r="C4507" s="235" t="s">
        <v>33453</v>
      </c>
      <c r="D4507" s="235" t="s">
        <v>33454</v>
      </c>
      <c r="E4507" s="243">
        <v>6.5E13</v>
      </c>
      <c r="F4507" s="245"/>
      <c r="G4507" s="235" t="s">
        <v>33455</v>
      </c>
      <c r="H4507" s="235" t="s">
        <v>33456</v>
      </c>
      <c r="I4507" s="235" t="s">
        <v>33456</v>
      </c>
      <c r="J4507" s="235" t="s">
        <v>33457</v>
      </c>
      <c r="K4507" s="235" t="s">
        <v>33458</v>
      </c>
      <c r="N4507" s="235" t="s">
        <v>126</v>
      </c>
      <c r="O4507" s="235" t="s">
        <v>407</v>
      </c>
      <c r="P4507" s="238">
        <v>1.0</v>
      </c>
      <c r="Q4507" s="235" t="s">
        <v>627</v>
      </c>
      <c r="R4507" s="238">
        <v>237.14</v>
      </c>
      <c r="S4507" s="238">
        <v>11.86</v>
      </c>
      <c r="T4507" s="238">
        <v>38.1</v>
      </c>
      <c r="U4507" s="238">
        <v>1.9</v>
      </c>
      <c r="V4507" s="238">
        <v>0.0</v>
      </c>
      <c r="W4507" s="238">
        <v>0.0</v>
      </c>
      <c r="X4507" s="235" t="s">
        <v>628</v>
      </c>
      <c r="Z4507" s="245"/>
      <c r="AA4507" s="245"/>
      <c r="AB4507" s="245"/>
      <c r="AC4507" s="235" t="s">
        <v>14305</v>
      </c>
      <c r="AD4507" s="235" t="s">
        <v>2067</v>
      </c>
      <c r="AE4507" s="238">
        <v>831012.0</v>
      </c>
      <c r="AF4507" s="235" t="s">
        <v>631</v>
      </c>
      <c r="AG4507" s="245"/>
      <c r="AH4507" s="245"/>
      <c r="AI4507" s="245"/>
      <c r="AJ4507" s="245"/>
      <c r="AK4507" s="245"/>
      <c r="AL4507" s="245"/>
      <c r="AM4507" s="245"/>
      <c r="AN4507" s="245"/>
      <c r="AO4507" s="238">
        <v>0.0</v>
      </c>
      <c r="AP4507" s="238">
        <v>-38.1</v>
      </c>
      <c r="AQ4507" s="235" t="s">
        <v>632</v>
      </c>
      <c r="AR4507" s="243">
        <v>3.71E11</v>
      </c>
      <c r="AS4507" s="235" t="s">
        <v>28482</v>
      </c>
      <c r="AT4507" s="235" t="s">
        <v>14</v>
      </c>
      <c r="AU4507" s="235" t="s">
        <v>634</v>
      </c>
      <c r="AV4507" s="246" t="s">
        <v>635</v>
      </c>
      <c r="AW4507" s="227"/>
      <c r="AX4507" s="227"/>
      <c r="AY4507" s="227"/>
      <c r="AZ4507" s="227"/>
      <c r="BA4507" s="227"/>
      <c r="BB4507" s="227"/>
      <c r="BC4507" s="227"/>
      <c r="BD4507" s="227"/>
      <c r="BE4507" s="227"/>
      <c r="BF4507" s="227"/>
    </row>
    <row r="4508">
      <c r="A4508" s="235" t="s">
        <v>33459</v>
      </c>
      <c r="C4508" s="235" t="s">
        <v>33460</v>
      </c>
      <c r="D4508" s="235" t="s">
        <v>33461</v>
      </c>
      <c r="E4508" s="243">
        <v>6.5E13</v>
      </c>
      <c r="F4508" s="245"/>
      <c r="G4508" s="235" t="s">
        <v>33462</v>
      </c>
      <c r="H4508" s="235" t="s">
        <v>33463</v>
      </c>
      <c r="I4508" s="235" t="s">
        <v>33463</v>
      </c>
      <c r="J4508" s="235" t="s">
        <v>33464</v>
      </c>
      <c r="K4508" s="235" t="s">
        <v>33465</v>
      </c>
      <c r="N4508" s="235" t="s">
        <v>1346</v>
      </c>
      <c r="O4508" s="235" t="s">
        <v>1347</v>
      </c>
      <c r="P4508" s="238">
        <v>1.0</v>
      </c>
      <c r="Q4508" s="235" t="s">
        <v>627</v>
      </c>
      <c r="R4508" s="238">
        <v>256.2</v>
      </c>
      <c r="S4508" s="238">
        <v>12.8</v>
      </c>
      <c r="T4508" s="238">
        <v>0.0</v>
      </c>
      <c r="U4508" s="238">
        <v>0.0</v>
      </c>
      <c r="V4508" s="238">
        <v>0.0</v>
      </c>
      <c r="W4508" s="238">
        <v>0.0</v>
      </c>
      <c r="X4508" s="235" t="s">
        <v>628</v>
      </c>
      <c r="Z4508" s="245"/>
      <c r="AA4508" s="245"/>
      <c r="AB4508" s="245"/>
      <c r="AC4508" s="235" t="s">
        <v>678</v>
      </c>
      <c r="AD4508" s="235" t="s">
        <v>679</v>
      </c>
      <c r="AE4508" s="238">
        <v>560035.0</v>
      </c>
      <c r="AF4508" s="235" t="s">
        <v>631</v>
      </c>
      <c r="AG4508" s="245"/>
      <c r="AH4508" s="245"/>
      <c r="AI4508" s="245"/>
      <c r="AJ4508" s="245"/>
      <c r="AK4508" s="245"/>
      <c r="AL4508" s="245"/>
      <c r="AM4508" s="245"/>
      <c r="AN4508" s="245"/>
      <c r="AO4508" s="238">
        <v>0.0</v>
      </c>
      <c r="AP4508" s="238">
        <v>0.0</v>
      </c>
      <c r="AQ4508" s="235" t="s">
        <v>632</v>
      </c>
      <c r="AR4508" s="243">
        <v>1.68E11</v>
      </c>
      <c r="AS4508" s="235" t="s">
        <v>33466</v>
      </c>
      <c r="AT4508" s="235" t="s">
        <v>9</v>
      </c>
      <c r="AU4508" s="235" t="s">
        <v>634</v>
      </c>
      <c r="AV4508" s="246" t="s">
        <v>635</v>
      </c>
      <c r="AW4508" s="227"/>
      <c r="AX4508" s="227"/>
      <c r="AY4508" s="227"/>
      <c r="AZ4508" s="227"/>
      <c r="BA4508" s="227"/>
      <c r="BB4508" s="227"/>
      <c r="BC4508" s="227"/>
      <c r="BD4508" s="227"/>
      <c r="BE4508" s="227"/>
      <c r="BF4508" s="227"/>
    </row>
    <row r="4509">
      <c r="A4509" s="235" t="s">
        <v>33467</v>
      </c>
      <c r="C4509" s="235" t="s">
        <v>33468</v>
      </c>
      <c r="D4509" s="235" t="s">
        <v>33469</v>
      </c>
      <c r="E4509" s="243">
        <v>6.5E13</v>
      </c>
      <c r="F4509" s="245"/>
      <c r="G4509" s="235" t="s">
        <v>33470</v>
      </c>
      <c r="H4509" s="235" t="s">
        <v>33471</v>
      </c>
      <c r="I4509" s="235" t="s">
        <v>33471</v>
      </c>
      <c r="J4509" s="235" t="s">
        <v>33472</v>
      </c>
      <c r="K4509" s="235" t="s">
        <v>16328</v>
      </c>
      <c r="N4509" s="235" t="s">
        <v>10</v>
      </c>
      <c r="O4509" s="235" t="s">
        <v>936</v>
      </c>
      <c r="P4509" s="238">
        <v>1.0</v>
      </c>
      <c r="Q4509" s="235" t="s">
        <v>627</v>
      </c>
      <c r="R4509" s="238">
        <v>265.72</v>
      </c>
      <c r="S4509" s="238">
        <v>13.02</v>
      </c>
      <c r="T4509" s="238">
        <v>0.0</v>
      </c>
      <c r="U4509" s="238">
        <v>0.0</v>
      </c>
      <c r="V4509" s="238">
        <v>0.0</v>
      </c>
      <c r="W4509" s="238">
        <v>0.0</v>
      </c>
      <c r="X4509" s="235" t="s">
        <v>628</v>
      </c>
      <c r="Z4509" s="245"/>
      <c r="AA4509" s="245"/>
      <c r="AB4509" s="245"/>
      <c r="AC4509" s="235" t="s">
        <v>16330</v>
      </c>
      <c r="AD4509" s="235" t="s">
        <v>845</v>
      </c>
      <c r="AE4509" s="238">
        <v>416416.0</v>
      </c>
      <c r="AF4509" s="235" t="s">
        <v>631</v>
      </c>
      <c r="AG4509" s="245"/>
      <c r="AH4509" s="245"/>
      <c r="AI4509" s="245"/>
      <c r="AJ4509" s="245"/>
      <c r="AK4509" s="245"/>
      <c r="AL4509" s="245"/>
      <c r="AM4509" s="245"/>
      <c r="AN4509" s="245"/>
      <c r="AO4509" s="238">
        <v>-5.32</v>
      </c>
      <c r="AP4509" s="238">
        <v>0.0</v>
      </c>
      <c r="AQ4509" s="235" t="s">
        <v>632</v>
      </c>
      <c r="AR4509" s="243">
        <v>1.68E11</v>
      </c>
      <c r="AS4509" s="235" t="s">
        <v>32455</v>
      </c>
      <c r="AT4509" s="235" t="s">
        <v>546</v>
      </c>
      <c r="AU4509" s="235" t="s">
        <v>634</v>
      </c>
      <c r="AV4509" s="246" t="s">
        <v>635</v>
      </c>
      <c r="AW4509" s="227"/>
      <c r="AX4509" s="227"/>
      <c r="AY4509" s="227"/>
      <c r="AZ4509" s="227"/>
      <c r="BA4509" s="227"/>
      <c r="BB4509" s="227"/>
      <c r="BC4509" s="227"/>
      <c r="BD4509" s="227"/>
      <c r="BE4509" s="227"/>
      <c r="BF4509" s="227"/>
    </row>
    <row r="4510">
      <c r="A4510" s="235" t="s">
        <v>33473</v>
      </c>
      <c r="C4510" s="235" t="s">
        <v>33474</v>
      </c>
      <c r="D4510" s="235" t="s">
        <v>33475</v>
      </c>
      <c r="E4510" s="243">
        <v>6.5E13</v>
      </c>
      <c r="F4510" s="245"/>
      <c r="G4510" s="235" t="s">
        <v>33476</v>
      </c>
      <c r="H4510" s="235" t="s">
        <v>33477</v>
      </c>
      <c r="I4510" s="235" t="s">
        <v>33477</v>
      </c>
      <c r="J4510" s="235" t="s">
        <v>33478</v>
      </c>
      <c r="K4510" s="235" t="s">
        <v>33479</v>
      </c>
      <c r="N4510" s="235" t="s">
        <v>50</v>
      </c>
      <c r="O4510" s="235" t="s">
        <v>367</v>
      </c>
      <c r="P4510" s="238">
        <v>1.0</v>
      </c>
      <c r="Q4510" s="235" t="s">
        <v>627</v>
      </c>
      <c r="R4510" s="238">
        <v>234.29</v>
      </c>
      <c r="S4510" s="238">
        <v>11.71</v>
      </c>
      <c r="T4510" s="238">
        <v>0.0</v>
      </c>
      <c r="U4510" s="238">
        <v>0.0</v>
      </c>
      <c r="V4510" s="238">
        <v>0.0</v>
      </c>
      <c r="W4510" s="238">
        <v>0.0</v>
      </c>
      <c r="X4510" s="235" t="s">
        <v>628</v>
      </c>
      <c r="Z4510" s="245"/>
      <c r="AA4510" s="245"/>
      <c r="AB4510" s="245"/>
      <c r="AC4510" s="235" t="s">
        <v>697</v>
      </c>
      <c r="AD4510" s="235" t="s">
        <v>17499</v>
      </c>
      <c r="AE4510" s="238">
        <v>500049.0</v>
      </c>
      <c r="AF4510" s="235" t="s">
        <v>631</v>
      </c>
      <c r="AG4510" s="245"/>
      <c r="AH4510" s="245"/>
      <c r="AI4510" s="245"/>
      <c r="AJ4510" s="245"/>
      <c r="AK4510" s="245"/>
      <c r="AL4510" s="245"/>
      <c r="AM4510" s="245"/>
      <c r="AN4510" s="245"/>
      <c r="AO4510" s="238">
        <v>0.0</v>
      </c>
      <c r="AP4510" s="238">
        <v>0.0</v>
      </c>
      <c r="AQ4510" s="235" t="s">
        <v>632</v>
      </c>
      <c r="AR4510" s="243">
        <v>2.02E11</v>
      </c>
      <c r="AS4510" s="235" t="s">
        <v>32455</v>
      </c>
      <c r="AT4510" s="235" t="s">
        <v>16</v>
      </c>
      <c r="AU4510" s="235" t="s">
        <v>634</v>
      </c>
      <c r="AV4510" s="246" t="s">
        <v>635</v>
      </c>
      <c r="AW4510" s="227"/>
      <c r="AX4510" s="227"/>
      <c r="AY4510" s="227"/>
      <c r="AZ4510" s="227"/>
      <c r="BA4510" s="227"/>
      <c r="BB4510" s="227"/>
      <c r="BC4510" s="227"/>
      <c r="BD4510" s="227"/>
      <c r="BE4510" s="227"/>
      <c r="BF4510" s="227"/>
    </row>
    <row r="4511">
      <c r="A4511" s="235" t="s">
        <v>33480</v>
      </c>
      <c r="C4511" s="235" t="s">
        <v>33481</v>
      </c>
      <c r="D4511" s="235" t="s">
        <v>33482</v>
      </c>
      <c r="E4511" s="243">
        <v>6.5E13</v>
      </c>
      <c r="F4511" s="245"/>
      <c r="G4511" s="235" t="s">
        <v>33483</v>
      </c>
      <c r="H4511" s="235" t="s">
        <v>33484</v>
      </c>
      <c r="I4511" s="235" t="s">
        <v>33484</v>
      </c>
      <c r="J4511" s="235" t="s">
        <v>33485</v>
      </c>
      <c r="K4511" s="235" t="s">
        <v>33486</v>
      </c>
      <c r="N4511" s="235" t="s">
        <v>51</v>
      </c>
      <c r="O4511" s="235" t="s">
        <v>273</v>
      </c>
      <c r="P4511" s="238">
        <v>1.0</v>
      </c>
      <c r="Q4511" s="235" t="s">
        <v>627</v>
      </c>
      <c r="R4511" s="238">
        <v>235.24</v>
      </c>
      <c r="S4511" s="238">
        <v>11.76</v>
      </c>
      <c r="T4511" s="238">
        <v>0.0</v>
      </c>
      <c r="U4511" s="238">
        <v>0.0</v>
      </c>
      <c r="V4511" s="238">
        <v>0.0</v>
      </c>
      <c r="W4511" s="238">
        <v>0.0</v>
      </c>
      <c r="X4511" s="235" t="s">
        <v>628</v>
      </c>
      <c r="Z4511" s="245"/>
      <c r="AA4511" s="245"/>
      <c r="AB4511" s="245"/>
      <c r="AC4511" s="235" t="s">
        <v>697</v>
      </c>
      <c r="AD4511" s="235" t="s">
        <v>698</v>
      </c>
      <c r="AE4511" s="238">
        <v>500010.0</v>
      </c>
      <c r="AF4511" s="235" t="s">
        <v>631</v>
      </c>
      <c r="AG4511" s="245"/>
      <c r="AH4511" s="245"/>
      <c r="AI4511" s="245"/>
      <c r="AJ4511" s="245"/>
      <c r="AK4511" s="245"/>
      <c r="AL4511" s="245"/>
      <c r="AM4511" s="245"/>
      <c r="AN4511" s="245"/>
      <c r="AO4511" s="238">
        <v>0.0</v>
      </c>
      <c r="AP4511" s="238">
        <v>0.0</v>
      </c>
      <c r="AQ4511" s="235" t="s">
        <v>632</v>
      </c>
      <c r="AR4511" s="243">
        <v>1.68E11</v>
      </c>
      <c r="AS4511" s="235" t="s">
        <v>32455</v>
      </c>
      <c r="AT4511" s="235" t="s">
        <v>9</v>
      </c>
      <c r="AU4511" s="235" t="s">
        <v>634</v>
      </c>
      <c r="AV4511" s="246" t="s">
        <v>635</v>
      </c>
      <c r="AW4511" s="227"/>
      <c r="AX4511" s="227"/>
      <c r="AY4511" s="227"/>
      <c r="AZ4511" s="227"/>
      <c r="BA4511" s="227"/>
      <c r="BB4511" s="227"/>
      <c r="BC4511" s="227"/>
      <c r="BD4511" s="227"/>
      <c r="BE4511" s="227"/>
      <c r="BF4511" s="227"/>
    </row>
    <row r="4512">
      <c r="A4512" s="235" t="s">
        <v>33487</v>
      </c>
      <c r="C4512" s="235" t="s">
        <v>33488</v>
      </c>
      <c r="D4512" s="235" t="s">
        <v>33489</v>
      </c>
      <c r="E4512" s="243">
        <v>6.5E13</v>
      </c>
      <c r="F4512" s="245"/>
      <c r="G4512" s="235" t="s">
        <v>33490</v>
      </c>
      <c r="H4512" s="235" t="s">
        <v>33491</v>
      </c>
      <c r="I4512" s="235" t="s">
        <v>33492</v>
      </c>
      <c r="J4512" s="235" t="s">
        <v>33493</v>
      </c>
      <c r="K4512" s="235" t="s">
        <v>33494</v>
      </c>
      <c r="N4512" s="235" t="s">
        <v>144</v>
      </c>
      <c r="O4512" s="235" t="s">
        <v>232</v>
      </c>
      <c r="P4512" s="238">
        <v>1.0</v>
      </c>
      <c r="Q4512" s="235" t="s">
        <v>627</v>
      </c>
      <c r="R4512" s="238">
        <v>665.72</v>
      </c>
      <c r="S4512" s="238">
        <v>33.28</v>
      </c>
      <c r="T4512" s="238">
        <v>0.0</v>
      </c>
      <c r="U4512" s="238">
        <v>0.0</v>
      </c>
      <c r="V4512" s="238">
        <v>0.0</v>
      </c>
      <c r="W4512" s="238">
        <v>0.0</v>
      </c>
      <c r="X4512" s="235" t="s">
        <v>628</v>
      </c>
      <c r="Z4512" s="245"/>
      <c r="AA4512" s="245"/>
      <c r="AB4512" s="245"/>
      <c r="AC4512" s="235" t="s">
        <v>1456</v>
      </c>
      <c r="AD4512" s="235" t="s">
        <v>928</v>
      </c>
      <c r="AE4512" s="238">
        <v>122004.0</v>
      </c>
      <c r="AF4512" s="235" t="s">
        <v>631</v>
      </c>
      <c r="AG4512" s="245"/>
      <c r="AH4512" s="245"/>
      <c r="AI4512" s="245"/>
      <c r="AJ4512" s="245"/>
      <c r="AK4512" s="245"/>
      <c r="AL4512" s="245"/>
      <c r="AM4512" s="245"/>
      <c r="AN4512" s="245"/>
      <c r="AO4512" s="238">
        <v>0.0</v>
      </c>
      <c r="AP4512" s="238">
        <v>0.0</v>
      </c>
      <c r="AQ4512" s="235" t="s">
        <v>632</v>
      </c>
      <c r="AR4512" s="243">
        <v>1.68E11</v>
      </c>
      <c r="AS4512" s="235" t="s">
        <v>33466</v>
      </c>
      <c r="AT4512" s="235" t="s">
        <v>14</v>
      </c>
      <c r="AU4512" s="235" t="s">
        <v>634</v>
      </c>
      <c r="AV4512" s="246" t="s">
        <v>635</v>
      </c>
      <c r="AW4512" s="227"/>
      <c r="AX4512" s="227"/>
      <c r="AY4512" s="227"/>
      <c r="AZ4512" s="227"/>
      <c r="BA4512" s="227"/>
      <c r="BB4512" s="227"/>
      <c r="BC4512" s="227"/>
      <c r="BD4512" s="227"/>
      <c r="BE4512" s="227"/>
      <c r="BF4512" s="227"/>
    </row>
    <row r="4513">
      <c r="A4513" s="235" t="s">
        <v>33495</v>
      </c>
      <c r="C4513" s="235" t="s">
        <v>33496</v>
      </c>
      <c r="D4513" s="235" t="s">
        <v>33497</v>
      </c>
      <c r="E4513" s="243">
        <v>6.5E13</v>
      </c>
      <c r="F4513" s="245"/>
      <c r="G4513" s="235" t="s">
        <v>33498</v>
      </c>
      <c r="H4513" s="235" t="s">
        <v>33499</v>
      </c>
      <c r="I4513" s="235" t="s">
        <v>33499</v>
      </c>
      <c r="J4513" s="235" t="s">
        <v>33500</v>
      </c>
      <c r="K4513" s="235" t="s">
        <v>33501</v>
      </c>
      <c r="N4513" s="235" t="s">
        <v>842</v>
      </c>
      <c r="O4513" s="235" t="s">
        <v>843</v>
      </c>
      <c r="P4513" s="238">
        <v>1.0</v>
      </c>
      <c r="Q4513" s="235" t="s">
        <v>627</v>
      </c>
      <c r="R4513" s="238">
        <v>246.67</v>
      </c>
      <c r="S4513" s="238">
        <v>12.33</v>
      </c>
      <c r="T4513" s="238">
        <v>0.0</v>
      </c>
      <c r="U4513" s="238">
        <v>0.0</v>
      </c>
      <c r="V4513" s="238">
        <v>0.0</v>
      </c>
      <c r="W4513" s="238">
        <v>0.0</v>
      </c>
      <c r="X4513" s="235" t="s">
        <v>628</v>
      </c>
      <c r="Z4513" s="245"/>
      <c r="AA4513" s="245"/>
      <c r="AB4513" s="245"/>
      <c r="AC4513" s="235" t="s">
        <v>33502</v>
      </c>
      <c r="AD4513" s="235" t="s">
        <v>1077</v>
      </c>
      <c r="AE4513" s="238">
        <v>393145.0</v>
      </c>
      <c r="AF4513" s="235" t="s">
        <v>631</v>
      </c>
      <c r="AG4513" s="245"/>
      <c r="AH4513" s="245"/>
      <c r="AI4513" s="245"/>
      <c r="AJ4513" s="245"/>
      <c r="AK4513" s="245"/>
      <c r="AL4513" s="245"/>
      <c r="AM4513" s="245"/>
      <c r="AN4513" s="245"/>
      <c r="AO4513" s="238">
        <v>0.0</v>
      </c>
      <c r="AP4513" s="238">
        <v>0.0</v>
      </c>
      <c r="AQ4513" s="235" t="s">
        <v>2581</v>
      </c>
      <c r="AR4513" s="235" t="s">
        <v>33503</v>
      </c>
      <c r="AS4513" s="235" t="s">
        <v>26892</v>
      </c>
      <c r="AT4513" s="235" t="s">
        <v>17</v>
      </c>
      <c r="AU4513" s="235" t="s">
        <v>634</v>
      </c>
      <c r="AV4513" s="246" t="s">
        <v>635</v>
      </c>
      <c r="AW4513" s="227"/>
      <c r="AX4513" s="227"/>
      <c r="AY4513" s="227"/>
      <c r="AZ4513" s="227"/>
      <c r="BA4513" s="227"/>
      <c r="BB4513" s="227"/>
      <c r="BC4513" s="227"/>
      <c r="BD4513" s="227"/>
      <c r="BE4513" s="227"/>
      <c r="BF4513" s="227"/>
    </row>
    <row r="4514">
      <c r="A4514" s="235" t="s">
        <v>33504</v>
      </c>
      <c r="C4514" s="235" t="s">
        <v>33505</v>
      </c>
      <c r="D4514" s="235" t="s">
        <v>33506</v>
      </c>
      <c r="E4514" s="243">
        <v>6.5E13</v>
      </c>
      <c r="F4514" s="245"/>
      <c r="G4514" s="235" t="s">
        <v>33507</v>
      </c>
      <c r="H4514" s="235" t="s">
        <v>33508</v>
      </c>
      <c r="I4514" s="235" t="s">
        <v>33508</v>
      </c>
      <c r="J4514" s="235" t="s">
        <v>33509</v>
      </c>
      <c r="K4514" s="235" t="s">
        <v>6268</v>
      </c>
      <c r="N4514" s="235" t="s">
        <v>566</v>
      </c>
      <c r="O4514" s="235" t="s">
        <v>13068</v>
      </c>
      <c r="P4514" s="238">
        <v>1.0</v>
      </c>
      <c r="Q4514" s="235" t="s">
        <v>627</v>
      </c>
      <c r="R4514" s="238">
        <v>422.88</v>
      </c>
      <c r="S4514" s="238">
        <v>76.12</v>
      </c>
      <c r="T4514" s="238">
        <v>0.0</v>
      </c>
      <c r="U4514" s="238">
        <v>0.0</v>
      </c>
      <c r="V4514" s="238">
        <v>0.0</v>
      </c>
      <c r="W4514" s="238">
        <v>0.0</v>
      </c>
      <c r="X4514" s="235" t="s">
        <v>628</v>
      </c>
      <c r="Z4514" s="245"/>
      <c r="AA4514" s="245"/>
      <c r="AB4514" s="245"/>
      <c r="AC4514" s="235" t="s">
        <v>1851</v>
      </c>
      <c r="AD4514" s="235" t="s">
        <v>1077</v>
      </c>
      <c r="AE4514" s="238">
        <v>380015.0</v>
      </c>
      <c r="AF4514" s="235" t="s">
        <v>631</v>
      </c>
      <c r="AG4514" s="245"/>
      <c r="AH4514" s="245"/>
      <c r="AI4514" s="245"/>
      <c r="AJ4514" s="245"/>
      <c r="AK4514" s="245"/>
      <c r="AL4514" s="245"/>
      <c r="AM4514" s="245"/>
      <c r="AN4514" s="245"/>
      <c r="AO4514" s="238">
        <v>0.0</v>
      </c>
      <c r="AP4514" s="238">
        <v>0.0</v>
      </c>
      <c r="AQ4514" s="235" t="s">
        <v>632</v>
      </c>
      <c r="AR4514" s="243">
        <v>1.68E11</v>
      </c>
      <c r="AS4514" s="235" t="s">
        <v>33466</v>
      </c>
      <c r="AT4514" s="235" t="s">
        <v>5</v>
      </c>
      <c r="AU4514" s="235" t="s">
        <v>634</v>
      </c>
      <c r="AV4514" s="246" t="s">
        <v>635</v>
      </c>
      <c r="AW4514" s="227"/>
      <c r="AX4514" s="227"/>
      <c r="AY4514" s="227"/>
      <c r="AZ4514" s="227"/>
      <c r="BA4514" s="227"/>
      <c r="BB4514" s="227"/>
      <c r="BC4514" s="227"/>
      <c r="BD4514" s="227"/>
      <c r="BE4514" s="227"/>
      <c r="BF4514" s="227"/>
    </row>
    <row r="4515">
      <c r="A4515" s="235" t="s">
        <v>33510</v>
      </c>
      <c r="C4515" s="235" t="s">
        <v>33511</v>
      </c>
      <c r="D4515" s="235" t="s">
        <v>33512</v>
      </c>
      <c r="E4515" s="243">
        <v>6.5E13</v>
      </c>
      <c r="F4515" s="245"/>
      <c r="G4515" s="235" t="s">
        <v>33513</v>
      </c>
      <c r="H4515" s="235" t="s">
        <v>33514</v>
      </c>
      <c r="I4515" s="235" t="s">
        <v>33514</v>
      </c>
      <c r="J4515" s="235" t="s">
        <v>33515</v>
      </c>
      <c r="K4515" s="235" t="s">
        <v>30509</v>
      </c>
      <c r="N4515" s="235" t="s">
        <v>51</v>
      </c>
      <c r="O4515" s="235" t="s">
        <v>273</v>
      </c>
      <c r="P4515" s="238">
        <v>1.0</v>
      </c>
      <c r="Q4515" s="235" t="s">
        <v>627</v>
      </c>
      <c r="R4515" s="238">
        <v>235.24</v>
      </c>
      <c r="S4515" s="238">
        <v>11.52</v>
      </c>
      <c r="T4515" s="238">
        <v>0.0</v>
      </c>
      <c r="U4515" s="238">
        <v>0.0</v>
      </c>
      <c r="V4515" s="238">
        <v>0.0</v>
      </c>
      <c r="W4515" s="238">
        <v>0.0</v>
      </c>
      <c r="X4515" s="235" t="s">
        <v>628</v>
      </c>
      <c r="Z4515" s="245"/>
      <c r="AA4515" s="245"/>
      <c r="AB4515" s="245"/>
      <c r="AC4515" s="235" t="s">
        <v>30510</v>
      </c>
      <c r="AD4515" s="235" t="s">
        <v>698</v>
      </c>
      <c r="AE4515" s="238">
        <v>500090.0</v>
      </c>
      <c r="AF4515" s="235" t="s">
        <v>631</v>
      </c>
      <c r="AG4515" s="245"/>
      <c r="AH4515" s="245"/>
      <c r="AI4515" s="245"/>
      <c r="AJ4515" s="245"/>
      <c r="AK4515" s="245"/>
      <c r="AL4515" s="245"/>
      <c r="AM4515" s="245"/>
      <c r="AN4515" s="245"/>
      <c r="AO4515" s="238">
        <v>-4.7</v>
      </c>
      <c r="AP4515" s="238">
        <v>0.0</v>
      </c>
      <c r="AQ4515" s="235" t="s">
        <v>632</v>
      </c>
      <c r="AR4515" s="243">
        <v>1.68E11</v>
      </c>
      <c r="AS4515" s="235" t="s">
        <v>32455</v>
      </c>
      <c r="AT4515" s="235" t="s">
        <v>156</v>
      </c>
      <c r="AU4515" s="235" t="s">
        <v>634</v>
      </c>
      <c r="AV4515" s="246" t="s">
        <v>635</v>
      </c>
      <c r="AW4515" s="227"/>
      <c r="AX4515" s="227"/>
      <c r="AY4515" s="227"/>
      <c r="AZ4515" s="227"/>
      <c r="BA4515" s="227"/>
      <c r="BB4515" s="227"/>
      <c r="BC4515" s="227"/>
      <c r="BD4515" s="227"/>
      <c r="BE4515" s="227"/>
      <c r="BF4515" s="227"/>
    </row>
    <row r="4516">
      <c r="A4516" s="235" t="s">
        <v>33516</v>
      </c>
      <c r="C4516" s="235" t="s">
        <v>33517</v>
      </c>
      <c r="D4516" s="235" t="s">
        <v>33518</v>
      </c>
      <c r="E4516" s="243">
        <v>6.5E13</v>
      </c>
      <c r="F4516" s="245"/>
      <c r="G4516" s="235" t="s">
        <v>33519</v>
      </c>
      <c r="H4516" s="235" t="s">
        <v>33520</v>
      </c>
      <c r="I4516" s="235" t="s">
        <v>33520</v>
      </c>
      <c r="J4516" s="235" t="s">
        <v>33521</v>
      </c>
      <c r="K4516" s="235" t="s">
        <v>33522</v>
      </c>
      <c r="N4516" s="235" t="s">
        <v>41</v>
      </c>
      <c r="O4516" s="235" t="s">
        <v>291</v>
      </c>
      <c r="P4516" s="238">
        <v>1.0</v>
      </c>
      <c r="Q4516" s="235" t="s">
        <v>627</v>
      </c>
      <c r="R4516" s="238">
        <v>237.14</v>
      </c>
      <c r="S4516" s="238">
        <v>11.62</v>
      </c>
      <c r="T4516" s="238">
        <v>0.0</v>
      </c>
      <c r="U4516" s="238">
        <v>0.0</v>
      </c>
      <c r="V4516" s="238">
        <v>0.0</v>
      </c>
      <c r="W4516" s="238">
        <v>0.0</v>
      </c>
      <c r="X4516" s="235" t="s">
        <v>628</v>
      </c>
      <c r="Z4516" s="245"/>
      <c r="AA4516" s="245"/>
      <c r="AB4516" s="245"/>
      <c r="AC4516" s="235" t="s">
        <v>697</v>
      </c>
      <c r="AD4516" s="235" t="s">
        <v>698</v>
      </c>
      <c r="AE4516" s="238">
        <v>500050.0</v>
      </c>
      <c r="AF4516" s="235" t="s">
        <v>631</v>
      </c>
      <c r="AG4516" s="245"/>
      <c r="AH4516" s="245"/>
      <c r="AI4516" s="245"/>
      <c r="AJ4516" s="245"/>
      <c r="AK4516" s="245"/>
      <c r="AL4516" s="245"/>
      <c r="AM4516" s="245"/>
      <c r="AN4516" s="245"/>
      <c r="AO4516" s="238">
        <v>-4.74</v>
      </c>
      <c r="AP4516" s="238">
        <v>0.0</v>
      </c>
      <c r="AQ4516" s="235" t="s">
        <v>632</v>
      </c>
      <c r="AR4516" s="243">
        <v>1.68E11</v>
      </c>
      <c r="AS4516" s="235" t="s">
        <v>32455</v>
      </c>
      <c r="AT4516" s="235" t="s">
        <v>156</v>
      </c>
      <c r="AU4516" s="235" t="s">
        <v>634</v>
      </c>
      <c r="AV4516" s="246" t="s">
        <v>635</v>
      </c>
      <c r="AW4516" s="227"/>
      <c r="AX4516" s="227"/>
      <c r="AY4516" s="227"/>
      <c r="AZ4516" s="227"/>
      <c r="BA4516" s="227"/>
      <c r="BB4516" s="227"/>
      <c r="BC4516" s="227"/>
      <c r="BD4516" s="227"/>
      <c r="BE4516" s="227"/>
      <c r="BF4516" s="227"/>
    </row>
    <row r="4517">
      <c r="A4517" s="235" t="s">
        <v>33523</v>
      </c>
      <c r="C4517" s="235" t="s">
        <v>33524</v>
      </c>
      <c r="D4517" s="235" t="s">
        <v>33525</v>
      </c>
      <c r="E4517" s="243">
        <v>6.5E13</v>
      </c>
      <c r="F4517" s="245"/>
      <c r="G4517" s="235" t="s">
        <v>33526</v>
      </c>
      <c r="H4517" s="235" t="s">
        <v>33527</v>
      </c>
      <c r="I4517" s="235" t="s">
        <v>33527</v>
      </c>
      <c r="J4517" s="235" t="s">
        <v>33528</v>
      </c>
      <c r="K4517" s="235" t="s">
        <v>33529</v>
      </c>
      <c r="N4517" s="235" t="s">
        <v>41</v>
      </c>
      <c r="O4517" s="235" t="s">
        <v>291</v>
      </c>
      <c r="P4517" s="238">
        <v>1.0</v>
      </c>
      <c r="Q4517" s="235" t="s">
        <v>627</v>
      </c>
      <c r="R4517" s="238">
        <v>237.14</v>
      </c>
      <c r="S4517" s="238">
        <v>11.86</v>
      </c>
      <c r="T4517" s="238">
        <v>38.1</v>
      </c>
      <c r="U4517" s="238">
        <v>1.9</v>
      </c>
      <c r="V4517" s="238">
        <v>0.0</v>
      </c>
      <c r="W4517" s="238">
        <v>0.0</v>
      </c>
      <c r="X4517" s="235" t="s">
        <v>628</v>
      </c>
      <c r="Z4517" s="245"/>
      <c r="AA4517" s="245"/>
      <c r="AB4517" s="245"/>
      <c r="AC4517" s="235" t="s">
        <v>697</v>
      </c>
      <c r="AD4517" s="235" t="s">
        <v>698</v>
      </c>
      <c r="AE4517" s="238">
        <v>500039.0</v>
      </c>
      <c r="AF4517" s="235" t="s">
        <v>631</v>
      </c>
      <c r="AG4517" s="245"/>
      <c r="AH4517" s="245"/>
      <c r="AI4517" s="245"/>
      <c r="AJ4517" s="245"/>
      <c r="AK4517" s="245"/>
      <c r="AL4517" s="245"/>
      <c r="AM4517" s="245"/>
      <c r="AN4517" s="245"/>
      <c r="AO4517" s="238">
        <v>0.0</v>
      </c>
      <c r="AP4517" s="238">
        <v>-38.1</v>
      </c>
      <c r="AQ4517" s="235" t="s">
        <v>632</v>
      </c>
      <c r="AR4517" s="243">
        <v>3.71E11</v>
      </c>
      <c r="AS4517" s="235" t="s">
        <v>31232</v>
      </c>
      <c r="AT4517" s="235" t="s">
        <v>16</v>
      </c>
      <c r="AU4517" s="235" t="s">
        <v>634</v>
      </c>
      <c r="AV4517" s="246" t="s">
        <v>635</v>
      </c>
      <c r="AW4517" s="227"/>
      <c r="AX4517" s="227"/>
      <c r="AY4517" s="227"/>
      <c r="AZ4517" s="227"/>
      <c r="BA4517" s="227"/>
      <c r="BB4517" s="227"/>
      <c r="BC4517" s="227"/>
      <c r="BD4517" s="227"/>
      <c r="BE4517" s="227"/>
      <c r="BF4517" s="227"/>
    </row>
    <row r="4518">
      <c r="A4518" s="235" t="s">
        <v>33530</v>
      </c>
      <c r="C4518" s="235" t="s">
        <v>33531</v>
      </c>
      <c r="D4518" s="235" t="s">
        <v>33532</v>
      </c>
      <c r="E4518" s="243">
        <v>6.49E13</v>
      </c>
      <c r="F4518" s="245"/>
      <c r="G4518" s="235" t="s">
        <v>33533</v>
      </c>
      <c r="H4518" s="235" t="s">
        <v>33534</v>
      </c>
      <c r="I4518" s="235" t="s">
        <v>33534</v>
      </c>
      <c r="J4518" s="235" t="s">
        <v>33535</v>
      </c>
      <c r="K4518" s="235" t="s">
        <v>33536</v>
      </c>
      <c r="N4518" s="235" t="s">
        <v>134</v>
      </c>
      <c r="O4518" s="235" t="s">
        <v>314</v>
      </c>
      <c r="P4518" s="238">
        <v>1.0</v>
      </c>
      <c r="Q4518" s="235" t="s">
        <v>627</v>
      </c>
      <c r="R4518" s="238">
        <v>244.76</v>
      </c>
      <c r="S4518" s="238">
        <v>12.24</v>
      </c>
      <c r="T4518" s="238">
        <v>38.1</v>
      </c>
      <c r="U4518" s="238">
        <v>1.9</v>
      </c>
      <c r="V4518" s="238">
        <v>0.0</v>
      </c>
      <c r="W4518" s="238">
        <v>0.0</v>
      </c>
      <c r="X4518" s="235" t="s">
        <v>628</v>
      </c>
      <c r="Z4518" s="245"/>
      <c r="AA4518" s="245"/>
      <c r="AB4518" s="245"/>
      <c r="AC4518" s="235" t="s">
        <v>5923</v>
      </c>
      <c r="AD4518" s="235" t="s">
        <v>666</v>
      </c>
      <c r="AE4518" s="238">
        <v>620102.0</v>
      </c>
      <c r="AF4518" s="235" t="s">
        <v>631</v>
      </c>
      <c r="AG4518" s="245"/>
      <c r="AH4518" s="245"/>
      <c r="AI4518" s="245"/>
      <c r="AJ4518" s="245"/>
      <c r="AK4518" s="245"/>
      <c r="AL4518" s="245"/>
      <c r="AM4518" s="245"/>
      <c r="AN4518" s="245"/>
      <c r="AO4518" s="238">
        <v>0.0</v>
      </c>
      <c r="AP4518" s="238">
        <v>-38.1</v>
      </c>
      <c r="AQ4518" s="235" t="s">
        <v>632</v>
      </c>
      <c r="AR4518" s="243">
        <v>3.71E11</v>
      </c>
      <c r="AS4518" s="235" t="s">
        <v>31232</v>
      </c>
      <c r="AT4518" s="235" t="s">
        <v>156</v>
      </c>
      <c r="AU4518" s="235" t="s">
        <v>634</v>
      </c>
      <c r="AV4518" s="246" t="s">
        <v>635</v>
      </c>
      <c r="AW4518" s="227"/>
      <c r="AX4518" s="227"/>
      <c r="AY4518" s="227"/>
      <c r="AZ4518" s="227"/>
      <c r="BA4518" s="227"/>
      <c r="BB4518" s="227"/>
      <c r="BC4518" s="227"/>
      <c r="BD4518" s="227"/>
      <c r="BE4518" s="227"/>
      <c r="BF4518" s="227"/>
    </row>
    <row r="4519">
      <c r="A4519" s="235" t="s">
        <v>33537</v>
      </c>
      <c r="C4519" s="235" t="s">
        <v>33538</v>
      </c>
      <c r="D4519" s="235" t="s">
        <v>33539</v>
      </c>
      <c r="E4519" s="243">
        <v>6.5E13</v>
      </c>
      <c r="F4519" s="245"/>
      <c r="G4519" s="235" t="s">
        <v>33540</v>
      </c>
      <c r="H4519" s="235" t="s">
        <v>33541</v>
      </c>
      <c r="I4519" s="235" t="s">
        <v>33541</v>
      </c>
      <c r="J4519" s="235" t="s">
        <v>33542</v>
      </c>
      <c r="K4519" s="235" t="s">
        <v>33543</v>
      </c>
      <c r="N4519" s="235" t="s">
        <v>134</v>
      </c>
      <c r="O4519" s="235" t="s">
        <v>314</v>
      </c>
      <c r="P4519" s="238">
        <v>1.0</v>
      </c>
      <c r="Q4519" s="235" t="s">
        <v>627</v>
      </c>
      <c r="R4519" s="238">
        <v>244.76</v>
      </c>
      <c r="S4519" s="238">
        <v>12.24</v>
      </c>
      <c r="T4519" s="238">
        <v>0.0</v>
      </c>
      <c r="U4519" s="238">
        <v>0.0</v>
      </c>
      <c r="V4519" s="238">
        <v>0.0</v>
      </c>
      <c r="W4519" s="238">
        <v>0.0</v>
      </c>
      <c r="X4519" s="235" t="s">
        <v>628</v>
      </c>
      <c r="Z4519" s="245"/>
      <c r="AA4519" s="245"/>
      <c r="AB4519" s="245"/>
      <c r="AC4519" s="235" t="s">
        <v>678</v>
      </c>
      <c r="AD4519" s="235" t="s">
        <v>679</v>
      </c>
      <c r="AE4519" s="238">
        <v>560048.0</v>
      </c>
      <c r="AF4519" s="235" t="s">
        <v>631</v>
      </c>
      <c r="AG4519" s="245"/>
      <c r="AH4519" s="245"/>
      <c r="AI4519" s="245"/>
      <c r="AJ4519" s="245"/>
      <c r="AK4519" s="245"/>
      <c r="AL4519" s="245"/>
      <c r="AM4519" s="245"/>
      <c r="AN4519" s="245"/>
      <c r="AO4519" s="238">
        <v>0.0</v>
      </c>
      <c r="AP4519" s="238">
        <v>0.0</v>
      </c>
      <c r="AQ4519" s="235" t="s">
        <v>632</v>
      </c>
      <c r="AR4519" s="243">
        <v>1.68E11</v>
      </c>
      <c r="AS4519" s="235" t="s">
        <v>33466</v>
      </c>
      <c r="AT4519" s="235" t="s">
        <v>11</v>
      </c>
      <c r="AU4519" s="235" t="s">
        <v>634</v>
      </c>
      <c r="AV4519" s="246" t="s">
        <v>635</v>
      </c>
      <c r="AW4519" s="227"/>
      <c r="AX4519" s="227"/>
      <c r="AY4519" s="227"/>
      <c r="AZ4519" s="227"/>
      <c r="BA4519" s="227"/>
      <c r="BB4519" s="227"/>
      <c r="BC4519" s="227"/>
      <c r="BD4519" s="227"/>
      <c r="BE4519" s="227"/>
      <c r="BF4519" s="227"/>
    </row>
    <row r="4520">
      <c r="A4520" s="235" t="s">
        <v>33544</v>
      </c>
      <c r="C4520" s="235" t="s">
        <v>33545</v>
      </c>
      <c r="D4520" s="235" t="s">
        <v>33546</v>
      </c>
      <c r="E4520" s="243">
        <v>6.5E13</v>
      </c>
      <c r="F4520" s="245"/>
      <c r="G4520" s="235" t="s">
        <v>33547</v>
      </c>
      <c r="H4520" s="235" t="s">
        <v>33548</v>
      </c>
      <c r="I4520" s="235" t="s">
        <v>33548</v>
      </c>
      <c r="J4520" s="235" t="s">
        <v>33549</v>
      </c>
      <c r="K4520" s="235" t="s">
        <v>33550</v>
      </c>
      <c r="N4520" s="235" t="s">
        <v>154</v>
      </c>
      <c r="O4520" s="235" t="s">
        <v>766</v>
      </c>
      <c r="P4520" s="238">
        <v>1.0</v>
      </c>
      <c r="Q4520" s="235" t="s">
        <v>627</v>
      </c>
      <c r="R4520" s="238">
        <v>465.72</v>
      </c>
      <c r="S4520" s="238">
        <v>23.28</v>
      </c>
      <c r="T4520" s="238">
        <v>0.0</v>
      </c>
      <c r="U4520" s="238">
        <v>0.0</v>
      </c>
      <c r="V4520" s="238">
        <v>0.0</v>
      </c>
      <c r="W4520" s="238">
        <v>0.0</v>
      </c>
      <c r="X4520" s="235" t="s">
        <v>628</v>
      </c>
      <c r="Z4520" s="245"/>
      <c r="AA4520" s="245"/>
      <c r="AB4520" s="245"/>
      <c r="AC4520" s="235" t="s">
        <v>9521</v>
      </c>
      <c r="AD4520" s="235" t="s">
        <v>1077</v>
      </c>
      <c r="AE4520" s="238">
        <v>395007.0</v>
      </c>
      <c r="AF4520" s="235" t="s">
        <v>631</v>
      </c>
      <c r="AG4520" s="245"/>
      <c r="AH4520" s="245"/>
      <c r="AI4520" s="245"/>
      <c r="AJ4520" s="245"/>
      <c r="AK4520" s="245"/>
      <c r="AL4520" s="245"/>
      <c r="AM4520" s="245"/>
      <c r="AN4520" s="245"/>
      <c r="AO4520" s="238">
        <v>0.0</v>
      </c>
      <c r="AP4520" s="238">
        <v>0.0</v>
      </c>
      <c r="AQ4520" s="235" t="s">
        <v>632</v>
      </c>
      <c r="AR4520" s="243">
        <v>1.68E11</v>
      </c>
      <c r="AS4520" s="235" t="s">
        <v>32455</v>
      </c>
      <c r="AT4520" s="235" t="s">
        <v>5</v>
      </c>
      <c r="AU4520" s="235" t="s">
        <v>634</v>
      </c>
      <c r="AV4520" s="246" t="s">
        <v>635</v>
      </c>
      <c r="AW4520" s="227"/>
      <c r="AX4520" s="227"/>
      <c r="AY4520" s="227"/>
      <c r="AZ4520" s="227"/>
      <c r="BA4520" s="227"/>
      <c r="BB4520" s="227"/>
      <c r="BC4520" s="227"/>
      <c r="BD4520" s="227"/>
      <c r="BE4520" s="227"/>
      <c r="BF4520" s="227"/>
    </row>
    <row r="4521">
      <c r="A4521" s="235" t="s">
        <v>33551</v>
      </c>
      <c r="C4521" s="235" t="s">
        <v>33552</v>
      </c>
      <c r="D4521" s="235" t="s">
        <v>33553</v>
      </c>
      <c r="E4521" s="243">
        <v>6.5E13</v>
      </c>
      <c r="F4521" s="245"/>
      <c r="G4521" s="235" t="s">
        <v>33554</v>
      </c>
      <c r="H4521" s="235" t="s">
        <v>33555</v>
      </c>
      <c r="I4521" s="235" t="s">
        <v>33556</v>
      </c>
      <c r="J4521" s="235" t="s">
        <v>33557</v>
      </c>
      <c r="K4521" s="235" t="s">
        <v>33558</v>
      </c>
      <c r="N4521" s="235" t="s">
        <v>50</v>
      </c>
      <c r="O4521" s="235" t="s">
        <v>367</v>
      </c>
      <c r="P4521" s="238">
        <v>1.0</v>
      </c>
      <c r="Q4521" s="235" t="s">
        <v>627</v>
      </c>
      <c r="R4521" s="238">
        <v>234.29</v>
      </c>
      <c r="S4521" s="238">
        <v>11.48</v>
      </c>
      <c r="T4521" s="238">
        <v>0.0</v>
      </c>
      <c r="U4521" s="238">
        <v>0.0</v>
      </c>
      <c r="V4521" s="238">
        <v>0.0</v>
      </c>
      <c r="W4521" s="238">
        <v>0.0</v>
      </c>
      <c r="X4521" s="235" t="s">
        <v>628</v>
      </c>
      <c r="Z4521" s="245"/>
      <c r="AA4521" s="245"/>
      <c r="AB4521" s="245"/>
      <c r="AC4521" s="235" t="s">
        <v>678</v>
      </c>
      <c r="AD4521" s="235" t="s">
        <v>679</v>
      </c>
      <c r="AE4521" s="238">
        <v>560068.0</v>
      </c>
      <c r="AF4521" s="235" t="s">
        <v>631</v>
      </c>
      <c r="AG4521" s="245"/>
      <c r="AH4521" s="245"/>
      <c r="AI4521" s="245"/>
      <c r="AJ4521" s="245"/>
      <c r="AK4521" s="245"/>
      <c r="AL4521" s="245"/>
      <c r="AM4521" s="245"/>
      <c r="AN4521" s="245"/>
      <c r="AO4521" s="238">
        <v>-4.69</v>
      </c>
      <c r="AP4521" s="238">
        <v>0.0</v>
      </c>
      <c r="AQ4521" s="235" t="s">
        <v>632</v>
      </c>
      <c r="AR4521" s="243">
        <v>1.68E11</v>
      </c>
      <c r="AS4521" s="235" t="s">
        <v>32455</v>
      </c>
      <c r="AT4521" s="235" t="s">
        <v>155</v>
      </c>
      <c r="AU4521" s="235" t="s">
        <v>634</v>
      </c>
      <c r="AV4521" s="246" t="s">
        <v>635</v>
      </c>
      <c r="AW4521" s="227"/>
      <c r="AX4521" s="227"/>
      <c r="AY4521" s="227"/>
      <c r="AZ4521" s="227"/>
      <c r="BA4521" s="227"/>
      <c r="BB4521" s="227"/>
      <c r="BC4521" s="227"/>
      <c r="BD4521" s="227"/>
      <c r="BE4521" s="227"/>
      <c r="BF4521" s="227"/>
    </row>
    <row r="4522">
      <c r="A4522" s="235" t="s">
        <v>33559</v>
      </c>
      <c r="C4522" s="235" t="s">
        <v>33560</v>
      </c>
      <c r="D4522" s="235" t="s">
        <v>33561</v>
      </c>
      <c r="E4522" s="243">
        <v>6.5E13</v>
      </c>
      <c r="F4522" s="245"/>
      <c r="G4522" s="235" t="s">
        <v>33562</v>
      </c>
      <c r="H4522" s="235" t="s">
        <v>33563</v>
      </c>
      <c r="I4522" s="235" t="s">
        <v>33563</v>
      </c>
      <c r="J4522" s="235" t="s">
        <v>33564</v>
      </c>
      <c r="K4522" s="235" t="s">
        <v>33565</v>
      </c>
      <c r="N4522" s="235" t="s">
        <v>962</v>
      </c>
      <c r="O4522" s="235" t="s">
        <v>963</v>
      </c>
      <c r="P4522" s="238">
        <v>1.0</v>
      </c>
      <c r="Q4522" s="235" t="s">
        <v>627</v>
      </c>
      <c r="R4522" s="238">
        <v>245.71</v>
      </c>
      <c r="S4522" s="238">
        <v>12.04</v>
      </c>
      <c r="T4522" s="238">
        <v>0.0</v>
      </c>
      <c r="U4522" s="238">
        <v>0.0</v>
      </c>
      <c r="V4522" s="238">
        <v>0.0</v>
      </c>
      <c r="W4522" s="238">
        <v>0.0</v>
      </c>
      <c r="X4522" s="235" t="s">
        <v>628</v>
      </c>
      <c r="Z4522" s="245"/>
      <c r="AA4522" s="245"/>
      <c r="AB4522" s="245"/>
      <c r="AC4522" s="235" t="s">
        <v>33566</v>
      </c>
      <c r="AD4522" s="235" t="s">
        <v>645</v>
      </c>
      <c r="AE4522" s="238">
        <v>691571.0</v>
      </c>
      <c r="AF4522" s="235" t="s">
        <v>631</v>
      </c>
      <c r="AG4522" s="245"/>
      <c r="AH4522" s="245"/>
      <c r="AI4522" s="245"/>
      <c r="AJ4522" s="245"/>
      <c r="AK4522" s="245"/>
      <c r="AL4522" s="245"/>
      <c r="AM4522" s="245"/>
      <c r="AN4522" s="245"/>
      <c r="AO4522" s="238">
        <v>-4.91</v>
      </c>
      <c r="AP4522" s="238">
        <v>0.0</v>
      </c>
      <c r="AQ4522" s="235" t="s">
        <v>632</v>
      </c>
      <c r="AR4522" s="243">
        <v>3.71E11</v>
      </c>
      <c r="AS4522" s="235" t="s">
        <v>31232</v>
      </c>
      <c r="AT4522" s="235" t="s">
        <v>155</v>
      </c>
      <c r="AU4522" s="235" t="s">
        <v>634</v>
      </c>
      <c r="AV4522" s="246" t="s">
        <v>635</v>
      </c>
      <c r="AW4522" s="227"/>
      <c r="AX4522" s="227"/>
      <c r="AY4522" s="227"/>
      <c r="AZ4522" s="227"/>
      <c r="BA4522" s="227"/>
      <c r="BB4522" s="227"/>
      <c r="BC4522" s="227"/>
      <c r="BD4522" s="227"/>
      <c r="BE4522" s="227"/>
      <c r="BF4522" s="227"/>
    </row>
    <row r="4523">
      <c r="A4523" s="235" t="s">
        <v>33567</v>
      </c>
      <c r="C4523" s="235" t="s">
        <v>33568</v>
      </c>
      <c r="D4523" s="235" t="s">
        <v>33569</v>
      </c>
      <c r="E4523" s="243">
        <v>6.5E13</v>
      </c>
      <c r="F4523" s="245"/>
      <c r="G4523" s="235" t="s">
        <v>33570</v>
      </c>
      <c r="H4523" s="235" t="s">
        <v>33571</v>
      </c>
      <c r="I4523" s="235" t="s">
        <v>33571</v>
      </c>
      <c r="J4523" s="235" t="s">
        <v>33572</v>
      </c>
      <c r="K4523" s="235" t="s">
        <v>33573</v>
      </c>
      <c r="N4523" s="235" t="s">
        <v>92</v>
      </c>
      <c r="O4523" s="235" t="s">
        <v>248</v>
      </c>
      <c r="P4523" s="238">
        <v>1.0</v>
      </c>
      <c r="Q4523" s="235" t="s">
        <v>627</v>
      </c>
      <c r="R4523" s="238">
        <v>244.76</v>
      </c>
      <c r="S4523" s="238">
        <v>12.0</v>
      </c>
      <c r="T4523" s="238">
        <v>38.1</v>
      </c>
      <c r="U4523" s="238">
        <v>1.9</v>
      </c>
      <c r="V4523" s="238">
        <v>0.0</v>
      </c>
      <c r="W4523" s="238">
        <v>0.0</v>
      </c>
      <c r="X4523" s="235" t="s">
        <v>628</v>
      </c>
      <c r="Z4523" s="245"/>
      <c r="AA4523" s="245"/>
      <c r="AB4523" s="245"/>
      <c r="AC4523" s="235" t="s">
        <v>687</v>
      </c>
      <c r="AD4523" s="235" t="s">
        <v>666</v>
      </c>
      <c r="AE4523" s="238">
        <v>600004.0</v>
      </c>
      <c r="AF4523" s="235" t="s">
        <v>631</v>
      </c>
      <c r="AG4523" s="245"/>
      <c r="AH4523" s="245"/>
      <c r="AI4523" s="245"/>
      <c r="AJ4523" s="245"/>
      <c r="AK4523" s="245"/>
      <c r="AL4523" s="245"/>
      <c r="AM4523" s="245"/>
      <c r="AN4523" s="245"/>
      <c r="AO4523" s="238">
        <v>-4.9</v>
      </c>
      <c r="AP4523" s="238">
        <v>-38.1</v>
      </c>
      <c r="AQ4523" s="235" t="s">
        <v>632</v>
      </c>
      <c r="AR4523" s="243">
        <v>3.71E11</v>
      </c>
      <c r="AS4523" s="235" t="s">
        <v>32455</v>
      </c>
      <c r="AT4523" s="235" t="s">
        <v>156</v>
      </c>
      <c r="AU4523" s="235" t="s">
        <v>634</v>
      </c>
      <c r="AV4523" s="246" t="s">
        <v>635</v>
      </c>
      <c r="AW4523" s="227"/>
      <c r="AX4523" s="227"/>
      <c r="AY4523" s="227"/>
      <c r="AZ4523" s="227"/>
      <c r="BA4523" s="227"/>
      <c r="BB4523" s="227"/>
      <c r="BC4523" s="227"/>
      <c r="BD4523" s="227"/>
      <c r="BE4523" s="227"/>
      <c r="BF4523" s="227"/>
    </row>
    <row r="4524">
      <c r="A4524" s="235" t="s">
        <v>33574</v>
      </c>
      <c r="C4524" s="235" t="s">
        <v>33575</v>
      </c>
      <c r="D4524" s="235" t="s">
        <v>33576</v>
      </c>
      <c r="E4524" s="243">
        <v>6.5E13</v>
      </c>
      <c r="F4524" s="245"/>
      <c r="G4524" s="235" t="s">
        <v>33577</v>
      </c>
      <c r="H4524" s="235" t="s">
        <v>33578</v>
      </c>
      <c r="I4524" s="235" t="s">
        <v>33579</v>
      </c>
      <c r="J4524" s="235" t="s">
        <v>33580</v>
      </c>
      <c r="K4524" s="235" t="s">
        <v>33581</v>
      </c>
      <c r="N4524" s="235" t="s">
        <v>27</v>
      </c>
      <c r="O4524" s="235" t="s">
        <v>573</v>
      </c>
      <c r="P4524" s="238">
        <v>1.0</v>
      </c>
      <c r="Q4524" s="235" t="s">
        <v>627</v>
      </c>
      <c r="R4524" s="238">
        <v>360.95</v>
      </c>
      <c r="S4524" s="238">
        <v>17.51</v>
      </c>
      <c r="T4524" s="238">
        <v>0.0</v>
      </c>
      <c r="U4524" s="238">
        <v>0.0</v>
      </c>
      <c r="V4524" s="238">
        <v>0.0</v>
      </c>
      <c r="W4524" s="238">
        <v>0.0</v>
      </c>
      <c r="X4524" s="235" t="s">
        <v>628</v>
      </c>
      <c r="Z4524" s="245"/>
      <c r="AA4524" s="245"/>
      <c r="AB4524" s="245"/>
      <c r="AC4524" s="235" t="s">
        <v>4672</v>
      </c>
      <c r="AD4524" s="235" t="s">
        <v>630</v>
      </c>
      <c r="AE4524" s="238">
        <v>221011.0</v>
      </c>
      <c r="AF4524" s="235" t="s">
        <v>631</v>
      </c>
      <c r="AG4524" s="245"/>
      <c r="AH4524" s="245"/>
      <c r="AI4524" s="245"/>
      <c r="AJ4524" s="245"/>
      <c r="AK4524" s="245"/>
      <c r="AL4524" s="245"/>
      <c r="AM4524" s="245"/>
      <c r="AN4524" s="245"/>
      <c r="AO4524" s="238">
        <v>-10.83</v>
      </c>
      <c r="AP4524" s="238">
        <v>0.0</v>
      </c>
      <c r="AQ4524" s="235" t="s">
        <v>632</v>
      </c>
      <c r="AR4524" s="243">
        <v>2.02E11</v>
      </c>
      <c r="AS4524" s="235" t="s">
        <v>32455</v>
      </c>
      <c r="AT4524" s="235" t="s">
        <v>533</v>
      </c>
      <c r="AU4524" s="235" t="s">
        <v>634</v>
      </c>
      <c r="AV4524" s="246" t="s">
        <v>635</v>
      </c>
      <c r="AW4524" s="227"/>
      <c r="AX4524" s="227"/>
      <c r="AY4524" s="227"/>
      <c r="AZ4524" s="227"/>
      <c r="BA4524" s="227"/>
      <c r="BB4524" s="227"/>
      <c r="BC4524" s="227"/>
      <c r="BD4524" s="227"/>
      <c r="BE4524" s="227"/>
      <c r="BF4524" s="227"/>
    </row>
    <row r="4525">
      <c r="A4525" s="235" t="s">
        <v>33574</v>
      </c>
      <c r="C4525" s="235" t="s">
        <v>33575</v>
      </c>
      <c r="D4525" s="235" t="s">
        <v>33582</v>
      </c>
      <c r="E4525" s="243">
        <v>6.5E13</v>
      </c>
      <c r="F4525" s="245"/>
      <c r="G4525" s="235" t="s">
        <v>33577</v>
      </c>
      <c r="H4525" s="235" t="s">
        <v>33578</v>
      </c>
      <c r="I4525" s="235" t="s">
        <v>33579</v>
      </c>
      <c r="J4525" s="235" t="s">
        <v>33580</v>
      </c>
      <c r="K4525" s="235" t="s">
        <v>33581</v>
      </c>
      <c r="N4525" s="235" t="s">
        <v>27</v>
      </c>
      <c r="O4525" s="235" t="s">
        <v>573</v>
      </c>
      <c r="P4525" s="238">
        <v>1.0</v>
      </c>
      <c r="Q4525" s="235" t="s">
        <v>627</v>
      </c>
      <c r="R4525" s="238">
        <v>360.95</v>
      </c>
      <c r="S4525" s="238">
        <v>17.51</v>
      </c>
      <c r="T4525" s="238">
        <v>0.0</v>
      </c>
      <c r="U4525" s="238">
        <v>0.0</v>
      </c>
      <c r="V4525" s="238">
        <v>0.0</v>
      </c>
      <c r="W4525" s="238">
        <v>0.0</v>
      </c>
      <c r="X4525" s="235" t="s">
        <v>628</v>
      </c>
      <c r="Z4525" s="245"/>
      <c r="AA4525" s="245"/>
      <c r="AB4525" s="245"/>
      <c r="AC4525" s="235" t="s">
        <v>4672</v>
      </c>
      <c r="AD4525" s="235" t="s">
        <v>630</v>
      </c>
      <c r="AE4525" s="238">
        <v>221011.0</v>
      </c>
      <c r="AF4525" s="235" t="s">
        <v>631</v>
      </c>
      <c r="AG4525" s="245"/>
      <c r="AH4525" s="245"/>
      <c r="AI4525" s="245"/>
      <c r="AJ4525" s="245"/>
      <c r="AK4525" s="245"/>
      <c r="AL4525" s="245"/>
      <c r="AM4525" s="245"/>
      <c r="AN4525" s="245"/>
      <c r="AO4525" s="238">
        <v>-10.83</v>
      </c>
      <c r="AP4525" s="238">
        <v>0.0</v>
      </c>
      <c r="AQ4525" s="235" t="s">
        <v>632</v>
      </c>
      <c r="AR4525" s="243">
        <v>2.02E11</v>
      </c>
      <c r="AS4525" s="235" t="s">
        <v>32455</v>
      </c>
      <c r="AT4525" s="235" t="s">
        <v>533</v>
      </c>
      <c r="AU4525" s="235" t="s">
        <v>634</v>
      </c>
      <c r="AV4525" s="246" t="s">
        <v>635</v>
      </c>
      <c r="AW4525" s="227"/>
      <c r="AX4525" s="227"/>
      <c r="AY4525" s="227"/>
      <c r="AZ4525" s="227"/>
      <c r="BA4525" s="227"/>
      <c r="BB4525" s="227"/>
      <c r="BC4525" s="227"/>
      <c r="BD4525" s="227"/>
      <c r="BE4525" s="227"/>
      <c r="BF4525" s="227"/>
    </row>
    <row r="4526">
      <c r="A4526" s="235" t="s">
        <v>33583</v>
      </c>
      <c r="C4526" s="235" t="s">
        <v>33584</v>
      </c>
      <c r="D4526" s="235" t="s">
        <v>33585</v>
      </c>
      <c r="E4526" s="243">
        <v>6.5E13</v>
      </c>
      <c r="F4526" s="245"/>
      <c r="G4526" s="235" t="s">
        <v>33586</v>
      </c>
      <c r="H4526" s="235" t="s">
        <v>33587</v>
      </c>
      <c r="I4526" s="235" t="s">
        <v>33588</v>
      </c>
      <c r="J4526" s="235" t="s">
        <v>33589</v>
      </c>
      <c r="K4526" s="235" t="s">
        <v>33590</v>
      </c>
      <c r="N4526" s="235" t="s">
        <v>2163</v>
      </c>
      <c r="O4526" s="235" t="s">
        <v>2164</v>
      </c>
      <c r="P4526" s="238">
        <v>1.0</v>
      </c>
      <c r="Q4526" s="235" t="s">
        <v>627</v>
      </c>
      <c r="R4526" s="238">
        <v>245.72</v>
      </c>
      <c r="S4526" s="238">
        <v>12.04</v>
      </c>
      <c r="T4526" s="238">
        <v>0.0</v>
      </c>
      <c r="U4526" s="238">
        <v>0.0</v>
      </c>
      <c r="V4526" s="238">
        <v>0.0</v>
      </c>
      <c r="W4526" s="238">
        <v>0.0</v>
      </c>
      <c r="X4526" s="235" t="s">
        <v>628</v>
      </c>
      <c r="Z4526" s="245"/>
      <c r="AA4526" s="245"/>
      <c r="AB4526" s="245"/>
      <c r="AC4526" s="235" t="s">
        <v>678</v>
      </c>
      <c r="AD4526" s="235" t="s">
        <v>679</v>
      </c>
      <c r="AE4526" s="238">
        <v>560072.0</v>
      </c>
      <c r="AF4526" s="235" t="s">
        <v>631</v>
      </c>
      <c r="AG4526" s="245"/>
      <c r="AH4526" s="245"/>
      <c r="AI4526" s="245"/>
      <c r="AJ4526" s="245"/>
      <c r="AK4526" s="245"/>
      <c r="AL4526" s="245"/>
      <c r="AM4526" s="245"/>
      <c r="AN4526" s="245"/>
      <c r="AO4526" s="238">
        <v>-4.92</v>
      </c>
      <c r="AP4526" s="238">
        <v>0.0</v>
      </c>
      <c r="AQ4526" s="235" t="s">
        <v>632</v>
      </c>
      <c r="AR4526" s="243">
        <v>1.68E11</v>
      </c>
      <c r="AS4526" s="235" t="s">
        <v>33466</v>
      </c>
      <c r="AT4526" s="235" t="s">
        <v>9</v>
      </c>
      <c r="AU4526" s="235" t="s">
        <v>634</v>
      </c>
      <c r="AV4526" s="246" t="s">
        <v>635</v>
      </c>
      <c r="AW4526" s="227"/>
      <c r="AX4526" s="227"/>
      <c r="AY4526" s="227"/>
      <c r="AZ4526" s="227"/>
      <c r="BA4526" s="227"/>
      <c r="BB4526" s="227"/>
      <c r="BC4526" s="227"/>
      <c r="BD4526" s="227"/>
      <c r="BE4526" s="227"/>
      <c r="BF4526" s="227"/>
    </row>
    <row r="4527">
      <c r="A4527" s="235" t="s">
        <v>33591</v>
      </c>
      <c r="C4527" s="235" t="s">
        <v>33592</v>
      </c>
      <c r="D4527" s="235" t="s">
        <v>33593</v>
      </c>
      <c r="E4527" s="243">
        <v>6.5E13</v>
      </c>
      <c r="F4527" s="245"/>
      <c r="G4527" s="235" t="s">
        <v>33594</v>
      </c>
      <c r="H4527" s="235" t="s">
        <v>33595</v>
      </c>
      <c r="I4527" s="235" t="s">
        <v>33595</v>
      </c>
      <c r="J4527" s="235" t="s">
        <v>33596</v>
      </c>
      <c r="K4527" s="235" t="s">
        <v>33597</v>
      </c>
      <c r="N4527" s="235" t="s">
        <v>4</v>
      </c>
      <c r="O4527" s="235" t="s">
        <v>1791</v>
      </c>
      <c r="P4527" s="238">
        <v>1.0</v>
      </c>
      <c r="Q4527" s="235" t="s">
        <v>627</v>
      </c>
      <c r="R4527" s="238">
        <v>265.72</v>
      </c>
      <c r="S4527" s="238">
        <v>13.28</v>
      </c>
      <c r="T4527" s="238">
        <v>0.0</v>
      </c>
      <c r="U4527" s="238">
        <v>0.0</v>
      </c>
      <c r="V4527" s="238">
        <v>0.0</v>
      </c>
      <c r="W4527" s="238">
        <v>0.0</v>
      </c>
      <c r="X4527" s="235" t="s">
        <v>628</v>
      </c>
      <c r="Z4527" s="245"/>
      <c r="AA4527" s="245"/>
      <c r="AB4527" s="245"/>
      <c r="AC4527" s="235" t="s">
        <v>678</v>
      </c>
      <c r="AD4527" s="235" t="s">
        <v>679</v>
      </c>
      <c r="AE4527" s="238">
        <v>560036.0</v>
      </c>
      <c r="AF4527" s="235" t="s">
        <v>631</v>
      </c>
      <c r="AG4527" s="245"/>
      <c r="AH4527" s="245"/>
      <c r="AI4527" s="245"/>
      <c r="AJ4527" s="245"/>
      <c r="AK4527" s="245"/>
      <c r="AL4527" s="245"/>
      <c r="AM4527" s="245"/>
      <c r="AN4527" s="245"/>
      <c r="AO4527" s="238">
        <v>0.0</v>
      </c>
      <c r="AP4527" s="238">
        <v>0.0</v>
      </c>
      <c r="AQ4527" s="235" t="s">
        <v>632</v>
      </c>
      <c r="AR4527" s="243">
        <v>1.68E11</v>
      </c>
      <c r="AS4527" s="235" t="s">
        <v>33466</v>
      </c>
      <c r="AT4527" s="235" t="s">
        <v>11</v>
      </c>
      <c r="AU4527" s="235" t="s">
        <v>634</v>
      </c>
      <c r="AV4527" s="246" t="s">
        <v>635</v>
      </c>
      <c r="AW4527" s="227"/>
      <c r="AX4527" s="227"/>
      <c r="AY4527" s="227"/>
      <c r="AZ4527" s="227"/>
      <c r="BA4527" s="227"/>
      <c r="BB4527" s="227"/>
      <c r="BC4527" s="227"/>
      <c r="BD4527" s="227"/>
      <c r="BE4527" s="227"/>
      <c r="BF4527" s="227"/>
    </row>
    <row r="4528">
      <c r="A4528" s="235" t="s">
        <v>33598</v>
      </c>
      <c r="C4528" s="235" t="s">
        <v>33599</v>
      </c>
      <c r="D4528" s="235" t="s">
        <v>33600</v>
      </c>
      <c r="E4528" s="243">
        <v>6.5E13</v>
      </c>
      <c r="F4528" s="245"/>
      <c r="G4528" s="235" t="s">
        <v>33601</v>
      </c>
      <c r="H4528" s="235" t="s">
        <v>33602</v>
      </c>
      <c r="I4528" s="235" t="s">
        <v>33603</v>
      </c>
      <c r="J4528" s="235" t="s">
        <v>33604</v>
      </c>
      <c r="K4528" s="235" t="s">
        <v>33605</v>
      </c>
      <c r="N4528" s="235" t="s">
        <v>141</v>
      </c>
      <c r="O4528" s="235" t="s">
        <v>342</v>
      </c>
      <c r="P4528" s="238">
        <v>1.0</v>
      </c>
      <c r="Q4528" s="235" t="s">
        <v>627</v>
      </c>
      <c r="R4528" s="238">
        <v>244.76</v>
      </c>
      <c r="S4528" s="238">
        <v>12.0</v>
      </c>
      <c r="T4528" s="238">
        <v>38.1</v>
      </c>
      <c r="U4528" s="238">
        <v>1.9</v>
      </c>
      <c r="V4528" s="238">
        <v>0.0</v>
      </c>
      <c r="W4528" s="238">
        <v>0.0</v>
      </c>
      <c r="X4528" s="235" t="s">
        <v>628</v>
      </c>
      <c r="Z4528" s="245"/>
      <c r="AA4528" s="245"/>
      <c r="AB4528" s="245"/>
      <c r="AC4528" s="235" t="s">
        <v>1279</v>
      </c>
      <c r="AD4528" s="235" t="s">
        <v>917</v>
      </c>
      <c r="AE4528" s="238">
        <v>302020.0</v>
      </c>
      <c r="AF4528" s="235" t="s">
        <v>631</v>
      </c>
      <c r="AG4528" s="245"/>
      <c r="AH4528" s="245"/>
      <c r="AI4528" s="245"/>
      <c r="AJ4528" s="245"/>
      <c r="AK4528" s="245"/>
      <c r="AL4528" s="245"/>
      <c r="AM4528" s="245"/>
      <c r="AN4528" s="245"/>
      <c r="AO4528" s="238">
        <v>-4.9</v>
      </c>
      <c r="AP4528" s="238">
        <v>-38.1</v>
      </c>
      <c r="AQ4528" s="235" t="s">
        <v>632</v>
      </c>
      <c r="AR4528" s="243">
        <v>3.71E11</v>
      </c>
      <c r="AS4528" s="235" t="s">
        <v>29883</v>
      </c>
      <c r="AT4528" s="235" t="s">
        <v>14</v>
      </c>
      <c r="AU4528" s="235" t="s">
        <v>634</v>
      </c>
      <c r="AV4528" s="246" t="s">
        <v>635</v>
      </c>
      <c r="AW4528" s="227"/>
      <c r="AX4528" s="227"/>
      <c r="AY4528" s="227"/>
      <c r="AZ4528" s="227"/>
      <c r="BA4528" s="227"/>
      <c r="BB4528" s="227"/>
      <c r="BC4528" s="227"/>
      <c r="BD4528" s="227"/>
      <c r="BE4528" s="227"/>
      <c r="BF4528" s="227"/>
    </row>
    <row r="4529">
      <c r="A4529" s="235" t="s">
        <v>33606</v>
      </c>
      <c r="C4529" s="235" t="s">
        <v>33607</v>
      </c>
      <c r="D4529" s="235" t="s">
        <v>33608</v>
      </c>
      <c r="E4529" s="243">
        <v>6.5E13</v>
      </c>
      <c r="F4529" s="245"/>
      <c r="G4529" s="235" t="s">
        <v>33609</v>
      </c>
      <c r="H4529" s="235" t="s">
        <v>33610</v>
      </c>
      <c r="I4529" s="235" t="s">
        <v>33611</v>
      </c>
      <c r="J4529" s="235" t="s">
        <v>33612</v>
      </c>
      <c r="K4529" s="235" t="s">
        <v>33613</v>
      </c>
      <c r="N4529" s="235" t="s">
        <v>85</v>
      </c>
      <c r="O4529" s="235" t="s">
        <v>872</v>
      </c>
      <c r="P4529" s="238">
        <v>1.0</v>
      </c>
      <c r="Q4529" s="235" t="s">
        <v>627</v>
      </c>
      <c r="R4529" s="238">
        <v>243.81</v>
      </c>
      <c r="S4529" s="238">
        <v>12.19</v>
      </c>
      <c r="T4529" s="238">
        <v>38.1</v>
      </c>
      <c r="U4529" s="238">
        <v>1.9</v>
      </c>
      <c r="V4529" s="238">
        <v>0.0</v>
      </c>
      <c r="W4529" s="238">
        <v>0.0</v>
      </c>
      <c r="X4529" s="235" t="s">
        <v>628</v>
      </c>
      <c r="Z4529" s="245"/>
      <c r="AA4529" s="245"/>
      <c r="AB4529" s="245"/>
      <c r="AC4529" s="235" t="s">
        <v>6571</v>
      </c>
      <c r="AD4529" s="235" t="s">
        <v>731</v>
      </c>
      <c r="AE4529" s="238">
        <v>781028.0</v>
      </c>
      <c r="AF4529" s="235" t="s">
        <v>631</v>
      </c>
      <c r="AG4529" s="245"/>
      <c r="AH4529" s="245"/>
      <c r="AI4529" s="245"/>
      <c r="AJ4529" s="245"/>
      <c r="AK4529" s="245"/>
      <c r="AL4529" s="245"/>
      <c r="AM4529" s="245"/>
      <c r="AN4529" s="245"/>
      <c r="AO4529" s="238">
        <v>0.0</v>
      </c>
      <c r="AP4529" s="238">
        <v>-38.1</v>
      </c>
      <c r="AQ4529" s="235" t="s">
        <v>632</v>
      </c>
      <c r="AR4529" s="243">
        <v>3.71E11</v>
      </c>
      <c r="AS4529" s="235" t="s">
        <v>28482</v>
      </c>
      <c r="AT4529" s="235" t="s">
        <v>14</v>
      </c>
      <c r="AU4529" s="235" t="s">
        <v>634</v>
      </c>
      <c r="AV4529" s="246" t="s">
        <v>635</v>
      </c>
      <c r="AW4529" s="227"/>
      <c r="AX4529" s="227"/>
      <c r="AY4529" s="227"/>
      <c r="AZ4529" s="227"/>
      <c r="BA4529" s="227"/>
      <c r="BB4529" s="227"/>
      <c r="BC4529" s="227"/>
      <c r="BD4529" s="227"/>
      <c r="BE4529" s="227"/>
      <c r="BF4529" s="227"/>
    </row>
    <row r="4530">
      <c r="A4530" s="235" t="s">
        <v>33614</v>
      </c>
      <c r="C4530" s="235" t="s">
        <v>33615</v>
      </c>
      <c r="D4530" s="235" t="s">
        <v>33616</v>
      </c>
      <c r="E4530" s="243">
        <v>6.5E13</v>
      </c>
      <c r="F4530" s="245"/>
      <c r="G4530" s="235" t="s">
        <v>33617</v>
      </c>
      <c r="H4530" s="235" t="s">
        <v>33618</v>
      </c>
      <c r="I4530" s="235" t="s">
        <v>33618</v>
      </c>
      <c r="J4530" s="235" t="s">
        <v>33619</v>
      </c>
      <c r="K4530" s="235" t="s">
        <v>33620</v>
      </c>
      <c r="N4530" s="235" t="s">
        <v>138</v>
      </c>
      <c r="O4530" s="235" t="s">
        <v>675</v>
      </c>
      <c r="P4530" s="238">
        <v>1.0</v>
      </c>
      <c r="Q4530" s="235" t="s">
        <v>627</v>
      </c>
      <c r="R4530" s="238">
        <v>244.76</v>
      </c>
      <c r="S4530" s="238">
        <v>12.0</v>
      </c>
      <c r="T4530" s="238">
        <v>38.1</v>
      </c>
      <c r="U4530" s="238">
        <v>1.9</v>
      </c>
      <c r="V4530" s="238">
        <v>0.0</v>
      </c>
      <c r="W4530" s="238">
        <v>0.0</v>
      </c>
      <c r="X4530" s="235" t="s">
        <v>628</v>
      </c>
      <c r="Z4530" s="245"/>
      <c r="AA4530" s="245"/>
      <c r="AB4530" s="245"/>
      <c r="AC4530" s="235" t="s">
        <v>33621</v>
      </c>
      <c r="AD4530" s="235" t="s">
        <v>1086</v>
      </c>
      <c r="AE4530" s="238">
        <v>152107.0</v>
      </c>
      <c r="AF4530" s="235" t="s">
        <v>631</v>
      </c>
      <c r="AG4530" s="245"/>
      <c r="AH4530" s="245"/>
      <c r="AI4530" s="245"/>
      <c r="AJ4530" s="245"/>
      <c r="AK4530" s="245"/>
      <c r="AL4530" s="245"/>
      <c r="AM4530" s="245"/>
      <c r="AN4530" s="245"/>
      <c r="AO4530" s="238">
        <v>-4.9</v>
      </c>
      <c r="AP4530" s="238">
        <v>-38.1</v>
      </c>
      <c r="AQ4530" s="235" t="s">
        <v>632</v>
      </c>
      <c r="AR4530" s="243">
        <v>3.71E11</v>
      </c>
      <c r="AS4530" s="235" t="s">
        <v>31232</v>
      </c>
      <c r="AT4530" s="235" t="s">
        <v>13</v>
      </c>
      <c r="AU4530" s="235" t="s">
        <v>634</v>
      </c>
      <c r="AV4530" s="246" t="s">
        <v>635</v>
      </c>
      <c r="AW4530" s="227"/>
      <c r="AX4530" s="227"/>
      <c r="AY4530" s="227"/>
      <c r="AZ4530" s="227"/>
      <c r="BA4530" s="227"/>
      <c r="BB4530" s="227"/>
      <c r="BC4530" s="227"/>
      <c r="BD4530" s="227"/>
      <c r="BE4530" s="227"/>
      <c r="BF4530" s="227"/>
    </row>
    <row r="4531">
      <c r="A4531" s="235" t="s">
        <v>33622</v>
      </c>
      <c r="C4531" s="235" t="s">
        <v>33623</v>
      </c>
      <c r="D4531" s="235" t="s">
        <v>33624</v>
      </c>
      <c r="E4531" s="243">
        <v>6.5E13</v>
      </c>
      <c r="F4531" s="245"/>
      <c r="G4531" s="235" t="s">
        <v>33625</v>
      </c>
      <c r="H4531" s="235" t="s">
        <v>33626</v>
      </c>
      <c r="I4531" s="235" t="s">
        <v>33626</v>
      </c>
      <c r="J4531" s="235" t="s">
        <v>33627</v>
      </c>
      <c r="K4531" s="235" t="s">
        <v>33628</v>
      </c>
      <c r="N4531" s="235" t="s">
        <v>41</v>
      </c>
      <c r="O4531" s="235" t="s">
        <v>291</v>
      </c>
      <c r="P4531" s="238">
        <v>1.0</v>
      </c>
      <c r="Q4531" s="235" t="s">
        <v>627</v>
      </c>
      <c r="R4531" s="238">
        <v>237.14</v>
      </c>
      <c r="S4531" s="238">
        <v>11.62</v>
      </c>
      <c r="T4531" s="238">
        <v>0.0</v>
      </c>
      <c r="U4531" s="238">
        <v>0.0</v>
      </c>
      <c r="V4531" s="238">
        <v>0.0</v>
      </c>
      <c r="W4531" s="238">
        <v>0.0</v>
      </c>
      <c r="X4531" s="235" t="s">
        <v>628</v>
      </c>
      <c r="Z4531" s="245"/>
      <c r="AA4531" s="245"/>
      <c r="AB4531" s="245"/>
      <c r="AC4531" s="235" t="s">
        <v>697</v>
      </c>
      <c r="AD4531" s="235" t="s">
        <v>698</v>
      </c>
      <c r="AE4531" s="238">
        <v>500100.0</v>
      </c>
      <c r="AF4531" s="235" t="s">
        <v>631</v>
      </c>
      <c r="AG4531" s="245"/>
      <c r="AH4531" s="245"/>
      <c r="AI4531" s="245"/>
      <c r="AJ4531" s="245"/>
      <c r="AK4531" s="245"/>
      <c r="AL4531" s="245"/>
      <c r="AM4531" s="245"/>
      <c r="AN4531" s="245"/>
      <c r="AO4531" s="238">
        <v>-4.74</v>
      </c>
      <c r="AP4531" s="238">
        <v>0.0</v>
      </c>
      <c r="AQ4531" s="235" t="s">
        <v>632</v>
      </c>
      <c r="AR4531" s="243">
        <v>1.68E11</v>
      </c>
      <c r="AS4531" s="235" t="s">
        <v>32455</v>
      </c>
      <c r="AT4531" s="235" t="s">
        <v>156</v>
      </c>
      <c r="AU4531" s="235" t="s">
        <v>634</v>
      </c>
      <c r="AV4531" s="246" t="s">
        <v>635</v>
      </c>
      <c r="AW4531" s="227"/>
      <c r="AX4531" s="227"/>
      <c r="AY4531" s="227"/>
      <c r="AZ4531" s="227"/>
      <c r="BA4531" s="227"/>
      <c r="BB4531" s="227"/>
      <c r="BC4531" s="227"/>
      <c r="BD4531" s="227"/>
      <c r="BE4531" s="227"/>
      <c r="BF4531" s="227"/>
    </row>
    <row r="4532">
      <c r="A4532" s="235" t="s">
        <v>33629</v>
      </c>
      <c r="C4532" s="235" t="s">
        <v>33630</v>
      </c>
      <c r="D4532" s="235" t="s">
        <v>33631</v>
      </c>
      <c r="E4532" s="243">
        <v>6.5E13</v>
      </c>
      <c r="F4532" s="245"/>
      <c r="G4532" s="235" t="s">
        <v>33632</v>
      </c>
      <c r="H4532" s="235" t="s">
        <v>33633</v>
      </c>
      <c r="I4532" s="235" t="s">
        <v>33633</v>
      </c>
      <c r="J4532" s="235" t="s">
        <v>33634</v>
      </c>
      <c r="K4532" s="235" t="s">
        <v>33635</v>
      </c>
      <c r="N4532" s="235" t="s">
        <v>130</v>
      </c>
      <c r="O4532" s="235" t="s">
        <v>707</v>
      </c>
      <c r="P4532" s="238">
        <v>1.0</v>
      </c>
      <c r="Q4532" s="235" t="s">
        <v>627</v>
      </c>
      <c r="R4532" s="238">
        <v>243.81</v>
      </c>
      <c r="S4532" s="238">
        <v>12.19</v>
      </c>
      <c r="T4532" s="238">
        <v>38.1</v>
      </c>
      <c r="U4532" s="238">
        <v>1.9</v>
      </c>
      <c r="V4532" s="238">
        <v>0.0</v>
      </c>
      <c r="W4532" s="238">
        <v>0.0</v>
      </c>
      <c r="X4532" s="235" t="s">
        <v>628</v>
      </c>
      <c r="Z4532" s="245"/>
      <c r="AA4532" s="245"/>
      <c r="AB4532" s="245"/>
      <c r="AC4532" s="235" t="s">
        <v>795</v>
      </c>
      <c r="AD4532" s="235" t="s">
        <v>796</v>
      </c>
      <c r="AE4532" s="238">
        <v>110041.0</v>
      </c>
      <c r="AF4532" s="235" t="s">
        <v>631</v>
      </c>
      <c r="AG4532" s="245"/>
      <c r="AH4532" s="245"/>
      <c r="AI4532" s="245"/>
      <c r="AJ4532" s="245"/>
      <c r="AK4532" s="245"/>
      <c r="AL4532" s="245"/>
      <c r="AM4532" s="245"/>
      <c r="AN4532" s="245"/>
      <c r="AO4532" s="238">
        <v>0.0</v>
      </c>
      <c r="AP4532" s="238">
        <v>-38.1</v>
      </c>
      <c r="AQ4532" s="235" t="s">
        <v>632</v>
      </c>
      <c r="AR4532" s="243">
        <v>3.71E11</v>
      </c>
      <c r="AS4532" s="235" t="s">
        <v>32455</v>
      </c>
      <c r="AT4532" s="235" t="s">
        <v>533</v>
      </c>
      <c r="AU4532" s="235" t="s">
        <v>634</v>
      </c>
      <c r="AV4532" s="246" t="s">
        <v>635</v>
      </c>
      <c r="AW4532" s="227"/>
      <c r="AX4532" s="227"/>
      <c r="AY4532" s="227"/>
      <c r="AZ4532" s="227"/>
      <c r="BA4532" s="227"/>
      <c r="BB4532" s="227"/>
      <c r="BC4532" s="227"/>
      <c r="BD4532" s="227"/>
      <c r="BE4532" s="227"/>
      <c r="BF4532" s="227"/>
    </row>
    <row r="4533">
      <c r="A4533" s="235" t="s">
        <v>33636</v>
      </c>
      <c r="C4533" s="235" t="s">
        <v>33637</v>
      </c>
      <c r="D4533" s="235" t="s">
        <v>33638</v>
      </c>
      <c r="E4533" s="243">
        <v>6.5E13</v>
      </c>
      <c r="F4533" s="245"/>
      <c r="G4533" s="235" t="s">
        <v>33639</v>
      </c>
      <c r="H4533" s="235" t="s">
        <v>33640</v>
      </c>
      <c r="I4533" s="235" t="s">
        <v>33640</v>
      </c>
      <c r="J4533" s="235" t="s">
        <v>33641</v>
      </c>
      <c r="K4533" s="235" t="s">
        <v>33642</v>
      </c>
      <c r="N4533" s="235" t="s">
        <v>144</v>
      </c>
      <c r="O4533" s="235" t="s">
        <v>232</v>
      </c>
      <c r="P4533" s="238">
        <v>1.0</v>
      </c>
      <c r="Q4533" s="235" t="s">
        <v>627</v>
      </c>
      <c r="R4533" s="238">
        <v>665.71</v>
      </c>
      <c r="S4533" s="238">
        <v>33.29</v>
      </c>
      <c r="T4533" s="238">
        <v>0.0</v>
      </c>
      <c r="U4533" s="238">
        <v>0.0</v>
      </c>
      <c r="V4533" s="238">
        <v>0.0</v>
      </c>
      <c r="W4533" s="238">
        <v>0.0</v>
      </c>
      <c r="X4533" s="235" t="s">
        <v>628</v>
      </c>
      <c r="Z4533" s="245"/>
      <c r="AA4533" s="245"/>
      <c r="AB4533" s="245"/>
      <c r="AC4533" s="235" t="s">
        <v>9365</v>
      </c>
      <c r="AD4533" s="235" t="s">
        <v>2688</v>
      </c>
      <c r="AE4533" s="238">
        <v>180004.0</v>
      </c>
      <c r="AF4533" s="235" t="s">
        <v>631</v>
      </c>
      <c r="AG4533" s="245"/>
      <c r="AH4533" s="245"/>
      <c r="AI4533" s="245"/>
      <c r="AJ4533" s="245"/>
      <c r="AK4533" s="245"/>
      <c r="AL4533" s="245"/>
      <c r="AM4533" s="245"/>
      <c r="AN4533" s="245"/>
      <c r="AO4533" s="238">
        <v>0.0</v>
      </c>
      <c r="AP4533" s="238">
        <v>0.0</v>
      </c>
      <c r="AQ4533" s="235" t="s">
        <v>632</v>
      </c>
      <c r="AR4533" s="243">
        <v>3.71E11</v>
      </c>
      <c r="AS4533" s="235" t="s">
        <v>29883</v>
      </c>
      <c r="AT4533" s="235" t="s">
        <v>533</v>
      </c>
      <c r="AU4533" s="235" t="s">
        <v>634</v>
      </c>
      <c r="AV4533" s="246" t="s">
        <v>635</v>
      </c>
      <c r="AW4533" s="227"/>
      <c r="AX4533" s="227"/>
      <c r="AY4533" s="227"/>
      <c r="AZ4533" s="227"/>
      <c r="BA4533" s="227"/>
      <c r="BB4533" s="227"/>
      <c r="BC4533" s="227"/>
      <c r="BD4533" s="227"/>
      <c r="BE4533" s="227"/>
      <c r="BF4533" s="227"/>
    </row>
    <row r="4534">
      <c r="A4534" s="235" t="s">
        <v>33643</v>
      </c>
      <c r="C4534" s="235" t="s">
        <v>33644</v>
      </c>
      <c r="D4534" s="235" t="s">
        <v>33645</v>
      </c>
      <c r="E4534" s="243">
        <v>6.5E13</v>
      </c>
      <c r="F4534" s="245"/>
      <c r="G4534" s="235" t="s">
        <v>33646</v>
      </c>
      <c r="H4534" s="235" t="s">
        <v>33640</v>
      </c>
      <c r="I4534" s="235" t="s">
        <v>33640</v>
      </c>
      <c r="J4534" s="235" t="s">
        <v>33647</v>
      </c>
      <c r="K4534" s="235" t="s">
        <v>33648</v>
      </c>
      <c r="N4534" s="235" t="s">
        <v>15</v>
      </c>
      <c r="O4534" s="235" t="s">
        <v>856</v>
      </c>
      <c r="P4534" s="238">
        <v>1.0</v>
      </c>
      <c r="Q4534" s="235" t="s">
        <v>627</v>
      </c>
      <c r="R4534" s="238">
        <v>360.96</v>
      </c>
      <c r="S4534" s="238">
        <v>18.04</v>
      </c>
      <c r="T4534" s="238">
        <v>38.1</v>
      </c>
      <c r="U4534" s="238">
        <v>1.9</v>
      </c>
      <c r="V4534" s="238">
        <v>0.0</v>
      </c>
      <c r="W4534" s="238">
        <v>0.0</v>
      </c>
      <c r="X4534" s="235" t="s">
        <v>628</v>
      </c>
      <c r="Z4534" s="245"/>
      <c r="AA4534" s="245"/>
      <c r="AB4534" s="245"/>
      <c r="AC4534" s="235" t="s">
        <v>16432</v>
      </c>
      <c r="AD4534" s="235" t="s">
        <v>679</v>
      </c>
      <c r="AE4534" s="238">
        <v>562110.0</v>
      </c>
      <c r="AF4534" s="235" t="s">
        <v>631</v>
      </c>
      <c r="AG4534" s="245"/>
      <c r="AH4534" s="245"/>
      <c r="AI4534" s="245"/>
      <c r="AJ4534" s="245"/>
      <c r="AK4534" s="245"/>
      <c r="AL4534" s="245"/>
      <c r="AM4534" s="245"/>
      <c r="AN4534" s="245"/>
      <c r="AO4534" s="238">
        <v>0.0</v>
      </c>
      <c r="AP4534" s="238">
        <v>0.0</v>
      </c>
      <c r="AQ4534" s="235" t="s">
        <v>632</v>
      </c>
      <c r="AR4534" s="243">
        <v>3.71E11</v>
      </c>
      <c r="AS4534" s="235" t="s">
        <v>32455</v>
      </c>
      <c r="AT4534" s="235" t="s">
        <v>11</v>
      </c>
      <c r="AU4534" s="235" t="s">
        <v>634</v>
      </c>
      <c r="AV4534" s="246" t="s">
        <v>635</v>
      </c>
      <c r="AW4534" s="227"/>
      <c r="AX4534" s="227"/>
      <c r="AY4534" s="227"/>
      <c r="AZ4534" s="227"/>
      <c r="BA4534" s="227"/>
      <c r="BB4534" s="227"/>
      <c r="BC4534" s="227"/>
      <c r="BD4534" s="227"/>
      <c r="BE4534" s="227"/>
      <c r="BF4534" s="227"/>
    </row>
    <row r="4535">
      <c r="A4535" s="235" t="s">
        <v>33649</v>
      </c>
      <c r="C4535" s="235" t="s">
        <v>33650</v>
      </c>
      <c r="D4535" s="235" t="s">
        <v>33651</v>
      </c>
      <c r="E4535" s="243">
        <v>6.5E13</v>
      </c>
      <c r="F4535" s="245"/>
      <c r="G4535" s="235" t="s">
        <v>33652</v>
      </c>
      <c r="H4535" s="235" t="s">
        <v>33653</v>
      </c>
      <c r="I4535" s="235" t="s">
        <v>33653</v>
      </c>
      <c r="J4535" s="235" t="s">
        <v>33654</v>
      </c>
      <c r="K4535" s="235" t="s">
        <v>33655</v>
      </c>
      <c r="N4535" s="235" t="s">
        <v>111</v>
      </c>
      <c r="O4535" s="235" t="s">
        <v>464</v>
      </c>
      <c r="P4535" s="238">
        <v>1.0</v>
      </c>
      <c r="Q4535" s="235" t="s">
        <v>627</v>
      </c>
      <c r="R4535" s="238">
        <v>246.66</v>
      </c>
      <c r="S4535" s="238">
        <v>12.34</v>
      </c>
      <c r="T4535" s="238">
        <v>38.1</v>
      </c>
      <c r="U4535" s="238">
        <v>1.9</v>
      </c>
      <c r="V4535" s="238">
        <v>0.0</v>
      </c>
      <c r="W4535" s="238">
        <v>0.0</v>
      </c>
      <c r="X4535" s="235" t="s">
        <v>628</v>
      </c>
      <c r="Z4535" s="245"/>
      <c r="AA4535" s="245"/>
      <c r="AB4535" s="245"/>
      <c r="AC4535" s="235" t="s">
        <v>33656</v>
      </c>
      <c r="AD4535" s="235" t="s">
        <v>666</v>
      </c>
      <c r="AE4535" s="238">
        <v>638301.0</v>
      </c>
      <c r="AF4535" s="235" t="s">
        <v>631</v>
      </c>
      <c r="AG4535" s="245"/>
      <c r="AH4535" s="245"/>
      <c r="AI4535" s="245"/>
      <c r="AJ4535" s="245"/>
      <c r="AK4535" s="245"/>
      <c r="AL4535" s="245"/>
      <c r="AM4535" s="245"/>
      <c r="AN4535" s="245"/>
      <c r="AO4535" s="238">
        <v>0.0</v>
      </c>
      <c r="AP4535" s="238">
        <v>-38.1</v>
      </c>
      <c r="AQ4535" s="235" t="s">
        <v>632</v>
      </c>
      <c r="AR4535" s="243">
        <v>3.71E11</v>
      </c>
      <c r="AS4535" s="235" t="s">
        <v>31232</v>
      </c>
      <c r="AT4535" s="235" t="s">
        <v>156</v>
      </c>
      <c r="AU4535" s="235" t="s">
        <v>634</v>
      </c>
      <c r="AV4535" s="246" t="s">
        <v>635</v>
      </c>
      <c r="AW4535" s="227"/>
      <c r="AX4535" s="227"/>
      <c r="AY4535" s="227"/>
      <c r="AZ4535" s="227"/>
      <c r="BA4535" s="227"/>
      <c r="BB4535" s="227"/>
      <c r="BC4535" s="227"/>
      <c r="BD4535" s="227"/>
      <c r="BE4535" s="227"/>
      <c r="BF4535" s="227"/>
    </row>
    <row r="4536">
      <c r="A4536" s="235" t="s">
        <v>33657</v>
      </c>
      <c r="C4536" s="235" t="s">
        <v>33658</v>
      </c>
      <c r="D4536" s="235" t="s">
        <v>33659</v>
      </c>
      <c r="E4536" s="243">
        <v>6.5E13</v>
      </c>
      <c r="F4536" s="245"/>
      <c r="G4536" s="235" t="s">
        <v>33660</v>
      </c>
      <c r="H4536" s="235" t="s">
        <v>33661</v>
      </c>
      <c r="I4536" s="235" t="s">
        <v>33661</v>
      </c>
      <c r="J4536" s="235" t="s">
        <v>33662</v>
      </c>
      <c r="K4536" s="235" t="s">
        <v>33663</v>
      </c>
      <c r="N4536" s="235" t="s">
        <v>541</v>
      </c>
      <c r="O4536" s="235" t="s">
        <v>664</v>
      </c>
      <c r="P4536" s="238">
        <v>1.0</v>
      </c>
      <c r="Q4536" s="235" t="s">
        <v>627</v>
      </c>
      <c r="R4536" s="238">
        <v>659.32</v>
      </c>
      <c r="S4536" s="238">
        <v>118.68</v>
      </c>
      <c r="T4536" s="238">
        <v>0.0</v>
      </c>
      <c r="U4536" s="238">
        <v>0.0</v>
      </c>
      <c r="V4536" s="238">
        <v>0.0</v>
      </c>
      <c r="W4536" s="238">
        <v>0.0</v>
      </c>
      <c r="X4536" s="235" t="s">
        <v>628</v>
      </c>
      <c r="Z4536" s="245"/>
      <c r="AA4536" s="245"/>
      <c r="AB4536" s="245"/>
      <c r="AC4536" s="235" t="s">
        <v>33664</v>
      </c>
      <c r="AD4536" s="235" t="s">
        <v>1077</v>
      </c>
      <c r="AE4536" s="238">
        <v>360575.0</v>
      </c>
      <c r="AF4536" s="235" t="s">
        <v>631</v>
      </c>
      <c r="AG4536" s="245"/>
      <c r="AH4536" s="245"/>
      <c r="AI4536" s="245"/>
      <c r="AJ4536" s="245"/>
      <c r="AK4536" s="245"/>
      <c r="AL4536" s="245"/>
      <c r="AM4536" s="245"/>
      <c r="AN4536" s="245"/>
      <c r="AO4536" s="238">
        <v>0.0</v>
      </c>
      <c r="AP4536" s="238">
        <v>0.0</v>
      </c>
      <c r="AQ4536" s="235" t="s">
        <v>632</v>
      </c>
      <c r="AR4536" s="243">
        <v>3.71E11</v>
      </c>
      <c r="AS4536" s="235" t="s">
        <v>31232</v>
      </c>
      <c r="AT4536" s="235" t="s">
        <v>5</v>
      </c>
      <c r="AU4536" s="235" t="s">
        <v>634</v>
      </c>
      <c r="AV4536" s="246" t="s">
        <v>635</v>
      </c>
      <c r="AW4536" s="227"/>
      <c r="AX4536" s="227"/>
      <c r="AY4536" s="227"/>
      <c r="AZ4536" s="227"/>
      <c r="BA4536" s="227"/>
      <c r="BB4536" s="227"/>
      <c r="BC4536" s="227"/>
      <c r="BD4536" s="227"/>
      <c r="BE4536" s="227"/>
      <c r="BF4536" s="227"/>
    </row>
    <row r="4537">
      <c r="A4537" s="235" t="s">
        <v>33665</v>
      </c>
      <c r="C4537" s="235" t="s">
        <v>33666</v>
      </c>
      <c r="D4537" s="235" t="s">
        <v>33667</v>
      </c>
      <c r="E4537" s="243">
        <v>6.5E13</v>
      </c>
      <c r="F4537" s="245"/>
      <c r="G4537" s="235" t="s">
        <v>33668</v>
      </c>
      <c r="H4537" s="235" t="s">
        <v>33669</v>
      </c>
      <c r="I4537" s="235" t="s">
        <v>33669</v>
      </c>
      <c r="J4537" s="235" t="s">
        <v>33670</v>
      </c>
      <c r="K4537" s="235" t="s">
        <v>33671</v>
      </c>
      <c r="N4537" s="235" t="s">
        <v>1346</v>
      </c>
      <c r="O4537" s="235" t="s">
        <v>1347</v>
      </c>
      <c r="P4537" s="238">
        <v>1.0</v>
      </c>
      <c r="Q4537" s="235" t="s">
        <v>627</v>
      </c>
      <c r="R4537" s="238">
        <v>256.19</v>
      </c>
      <c r="S4537" s="238">
        <v>12.81</v>
      </c>
      <c r="T4537" s="238">
        <v>38.1</v>
      </c>
      <c r="U4537" s="238">
        <v>1.9</v>
      </c>
      <c r="V4537" s="238">
        <v>0.0</v>
      </c>
      <c r="W4537" s="238">
        <v>0.0</v>
      </c>
      <c r="X4537" s="235" t="s">
        <v>628</v>
      </c>
      <c r="Z4537" s="245"/>
      <c r="AA4537" s="245"/>
      <c r="AB4537" s="245"/>
      <c r="AC4537" s="235" t="s">
        <v>1843</v>
      </c>
      <c r="AD4537" s="235" t="s">
        <v>645</v>
      </c>
      <c r="AE4537" s="238">
        <v>691574.0</v>
      </c>
      <c r="AF4537" s="235" t="s">
        <v>631</v>
      </c>
      <c r="AG4537" s="245"/>
      <c r="AH4537" s="245"/>
      <c r="AI4537" s="245"/>
      <c r="AJ4537" s="245"/>
      <c r="AK4537" s="245"/>
      <c r="AL4537" s="245"/>
      <c r="AM4537" s="245"/>
      <c r="AN4537" s="245"/>
      <c r="AO4537" s="238">
        <v>0.0</v>
      </c>
      <c r="AP4537" s="238">
        <v>-38.1</v>
      </c>
      <c r="AQ4537" s="235" t="s">
        <v>632</v>
      </c>
      <c r="AR4537" s="243">
        <v>3.71E11</v>
      </c>
      <c r="AS4537" s="235" t="s">
        <v>31232</v>
      </c>
      <c r="AT4537" s="235" t="s">
        <v>155</v>
      </c>
      <c r="AU4537" s="235" t="s">
        <v>634</v>
      </c>
      <c r="AV4537" s="246" t="s">
        <v>635</v>
      </c>
      <c r="AW4537" s="227"/>
      <c r="AX4537" s="227"/>
      <c r="AY4537" s="227"/>
      <c r="AZ4537" s="227"/>
      <c r="BA4537" s="227"/>
      <c r="BB4537" s="227"/>
      <c r="BC4537" s="227"/>
      <c r="BD4537" s="227"/>
      <c r="BE4537" s="227"/>
      <c r="BF4537" s="227"/>
    </row>
    <row r="4538">
      <c r="A4538" s="235" t="s">
        <v>33672</v>
      </c>
      <c r="C4538" s="235" t="s">
        <v>33673</v>
      </c>
      <c r="D4538" s="235" t="s">
        <v>33674</v>
      </c>
      <c r="E4538" s="243">
        <v>6.5E13</v>
      </c>
      <c r="F4538" s="245"/>
      <c r="G4538" s="235" t="s">
        <v>33675</v>
      </c>
      <c r="H4538" s="235" t="s">
        <v>33676</v>
      </c>
      <c r="I4538" s="235" t="s">
        <v>33676</v>
      </c>
      <c r="J4538" s="235" t="s">
        <v>33677</v>
      </c>
      <c r="K4538" s="235" t="s">
        <v>33678</v>
      </c>
      <c r="N4538" s="235" t="s">
        <v>42</v>
      </c>
      <c r="O4538" s="235" t="s">
        <v>204</v>
      </c>
      <c r="P4538" s="238">
        <v>1.0</v>
      </c>
      <c r="Q4538" s="235" t="s">
        <v>627</v>
      </c>
      <c r="R4538" s="238">
        <v>237.14</v>
      </c>
      <c r="S4538" s="238">
        <v>11.86</v>
      </c>
      <c r="T4538" s="238">
        <v>38.1</v>
      </c>
      <c r="U4538" s="238">
        <v>1.9</v>
      </c>
      <c r="V4538" s="238">
        <v>0.0</v>
      </c>
      <c r="W4538" s="238">
        <v>0.0</v>
      </c>
      <c r="X4538" s="235" t="s">
        <v>628</v>
      </c>
      <c r="Z4538" s="245"/>
      <c r="AA4538" s="245"/>
      <c r="AB4538" s="245"/>
      <c r="AC4538" s="235" t="s">
        <v>4294</v>
      </c>
      <c r="AD4538" s="235" t="s">
        <v>666</v>
      </c>
      <c r="AE4538" s="238">
        <v>641652.0</v>
      </c>
      <c r="AF4538" s="235" t="s">
        <v>631</v>
      </c>
      <c r="AG4538" s="245"/>
      <c r="AH4538" s="245"/>
      <c r="AI4538" s="245"/>
      <c r="AJ4538" s="245"/>
      <c r="AK4538" s="245"/>
      <c r="AL4538" s="245"/>
      <c r="AM4538" s="245"/>
      <c r="AN4538" s="245"/>
      <c r="AO4538" s="238">
        <v>0.0</v>
      </c>
      <c r="AP4538" s="238">
        <v>0.0</v>
      </c>
      <c r="AQ4538" s="235" t="s">
        <v>632</v>
      </c>
      <c r="AR4538" s="243">
        <v>3.71E11</v>
      </c>
      <c r="AS4538" s="235" t="s">
        <v>32455</v>
      </c>
      <c r="AT4538" s="235" t="s">
        <v>155</v>
      </c>
      <c r="AU4538" s="235" t="s">
        <v>634</v>
      </c>
      <c r="AV4538" s="246" t="s">
        <v>635</v>
      </c>
      <c r="AW4538" s="227"/>
      <c r="AX4538" s="227"/>
      <c r="AY4538" s="227"/>
      <c r="AZ4538" s="227"/>
      <c r="BA4538" s="227"/>
      <c r="BB4538" s="227"/>
      <c r="BC4538" s="227"/>
      <c r="BD4538" s="227"/>
      <c r="BE4538" s="227"/>
      <c r="BF4538" s="227"/>
    </row>
    <row r="4539">
      <c r="A4539" s="235" t="s">
        <v>33679</v>
      </c>
      <c r="C4539" s="235" t="s">
        <v>33680</v>
      </c>
      <c r="D4539" s="235" t="s">
        <v>33681</v>
      </c>
      <c r="E4539" s="243">
        <v>6.5E13</v>
      </c>
      <c r="F4539" s="245"/>
      <c r="G4539" s="235" t="s">
        <v>33682</v>
      </c>
      <c r="H4539" s="235" t="s">
        <v>33683</v>
      </c>
      <c r="I4539" s="235" t="s">
        <v>33683</v>
      </c>
      <c r="J4539" s="235" t="s">
        <v>33684</v>
      </c>
      <c r="K4539" s="235" t="s">
        <v>33685</v>
      </c>
      <c r="N4539" s="235" t="s">
        <v>962</v>
      </c>
      <c r="O4539" s="235" t="s">
        <v>963</v>
      </c>
      <c r="P4539" s="238">
        <v>1.0</v>
      </c>
      <c r="Q4539" s="235" t="s">
        <v>627</v>
      </c>
      <c r="R4539" s="238">
        <v>245.72</v>
      </c>
      <c r="S4539" s="238">
        <v>12.28</v>
      </c>
      <c r="T4539" s="238">
        <v>0.0</v>
      </c>
      <c r="U4539" s="238">
        <v>0.0</v>
      </c>
      <c r="V4539" s="238">
        <v>0.0</v>
      </c>
      <c r="W4539" s="238">
        <v>0.0</v>
      </c>
      <c r="X4539" s="235" t="s">
        <v>628</v>
      </c>
      <c r="Z4539" s="245"/>
      <c r="AA4539" s="245"/>
      <c r="AB4539" s="245"/>
      <c r="AC4539" s="235" t="s">
        <v>17216</v>
      </c>
      <c r="AD4539" s="235" t="s">
        <v>1077</v>
      </c>
      <c r="AE4539" s="238">
        <v>370421.0</v>
      </c>
      <c r="AF4539" s="235" t="s">
        <v>631</v>
      </c>
      <c r="AG4539" s="245"/>
      <c r="AH4539" s="245"/>
      <c r="AI4539" s="245"/>
      <c r="AJ4539" s="245"/>
      <c r="AK4539" s="245"/>
      <c r="AL4539" s="245"/>
      <c r="AM4539" s="245"/>
      <c r="AN4539" s="245"/>
      <c r="AO4539" s="238">
        <v>0.0</v>
      </c>
      <c r="AP4539" s="238">
        <v>0.0</v>
      </c>
      <c r="AQ4539" s="235" t="s">
        <v>632</v>
      </c>
      <c r="AR4539" s="243">
        <v>3.71E11</v>
      </c>
      <c r="AS4539" s="235" t="s">
        <v>31232</v>
      </c>
      <c r="AT4539" s="235" t="s">
        <v>5</v>
      </c>
      <c r="AU4539" s="235" t="s">
        <v>634</v>
      </c>
      <c r="AV4539" s="246" t="s">
        <v>635</v>
      </c>
      <c r="AW4539" s="227"/>
      <c r="AX4539" s="227"/>
      <c r="AY4539" s="227"/>
      <c r="AZ4539" s="227"/>
      <c r="BA4539" s="227"/>
      <c r="BB4539" s="227"/>
      <c r="BC4539" s="227"/>
      <c r="BD4539" s="227"/>
      <c r="BE4539" s="227"/>
      <c r="BF4539" s="227"/>
    </row>
    <row r="4540">
      <c r="A4540" s="235" t="s">
        <v>33686</v>
      </c>
      <c r="C4540" s="235" t="s">
        <v>33687</v>
      </c>
      <c r="D4540" s="235" t="s">
        <v>33688</v>
      </c>
      <c r="E4540" s="243">
        <v>6.5E13</v>
      </c>
      <c r="F4540" s="245"/>
      <c r="G4540" s="235" t="s">
        <v>33689</v>
      </c>
      <c r="H4540" s="235" t="s">
        <v>33690</v>
      </c>
      <c r="I4540" s="235" t="s">
        <v>33690</v>
      </c>
      <c r="J4540" s="235" t="s">
        <v>33691</v>
      </c>
      <c r="K4540" s="235" t="s">
        <v>33692</v>
      </c>
      <c r="N4540" s="235" t="s">
        <v>42</v>
      </c>
      <c r="O4540" s="235" t="s">
        <v>204</v>
      </c>
      <c r="P4540" s="238">
        <v>1.0</v>
      </c>
      <c r="Q4540" s="235" t="s">
        <v>627</v>
      </c>
      <c r="R4540" s="238">
        <v>237.14</v>
      </c>
      <c r="S4540" s="238">
        <v>11.86</v>
      </c>
      <c r="T4540" s="238">
        <v>38.1</v>
      </c>
      <c r="U4540" s="238">
        <v>1.9</v>
      </c>
      <c r="V4540" s="238">
        <v>0.0</v>
      </c>
      <c r="W4540" s="238">
        <v>0.0</v>
      </c>
      <c r="X4540" s="235" t="s">
        <v>628</v>
      </c>
      <c r="Z4540" s="245"/>
      <c r="AA4540" s="245"/>
      <c r="AB4540" s="245"/>
      <c r="AC4540" s="235" t="s">
        <v>697</v>
      </c>
      <c r="AD4540" s="235" t="s">
        <v>698</v>
      </c>
      <c r="AE4540" s="238">
        <v>500056.0</v>
      </c>
      <c r="AF4540" s="235" t="s">
        <v>631</v>
      </c>
      <c r="AG4540" s="245"/>
      <c r="AH4540" s="245"/>
      <c r="AI4540" s="245"/>
      <c r="AJ4540" s="245"/>
      <c r="AK4540" s="245"/>
      <c r="AL4540" s="245"/>
      <c r="AM4540" s="245"/>
      <c r="AN4540" s="245"/>
      <c r="AO4540" s="238">
        <v>0.0</v>
      </c>
      <c r="AP4540" s="238">
        <v>-38.1</v>
      </c>
      <c r="AQ4540" s="235" t="s">
        <v>632</v>
      </c>
      <c r="AR4540" s="243">
        <v>3.71E11</v>
      </c>
      <c r="AS4540" s="235" t="s">
        <v>31232</v>
      </c>
      <c r="AT4540" s="235" t="s">
        <v>546</v>
      </c>
      <c r="AU4540" s="235" t="s">
        <v>634</v>
      </c>
      <c r="AV4540" s="246" t="s">
        <v>635</v>
      </c>
      <c r="AW4540" s="227"/>
      <c r="AX4540" s="227"/>
      <c r="AY4540" s="227"/>
      <c r="AZ4540" s="227"/>
      <c r="BA4540" s="227"/>
      <c r="BB4540" s="227"/>
      <c r="BC4540" s="227"/>
      <c r="BD4540" s="227"/>
      <c r="BE4540" s="227"/>
      <c r="BF4540" s="227"/>
    </row>
    <row r="4541">
      <c r="A4541" s="235" t="s">
        <v>33693</v>
      </c>
      <c r="C4541" s="235" t="s">
        <v>33694</v>
      </c>
      <c r="D4541" s="235" t="s">
        <v>33695</v>
      </c>
      <c r="E4541" s="243">
        <v>6.5E13</v>
      </c>
      <c r="F4541" s="245"/>
      <c r="G4541" s="235" t="s">
        <v>33696</v>
      </c>
      <c r="H4541" s="235" t="s">
        <v>33697</v>
      </c>
      <c r="I4541" s="235" t="s">
        <v>33697</v>
      </c>
      <c r="J4541" s="235" t="s">
        <v>33698</v>
      </c>
      <c r="K4541" s="235" t="s">
        <v>33699</v>
      </c>
      <c r="N4541" s="235" t="s">
        <v>42</v>
      </c>
      <c r="O4541" s="235" t="s">
        <v>204</v>
      </c>
      <c r="P4541" s="238">
        <v>1.0</v>
      </c>
      <c r="Q4541" s="235" t="s">
        <v>627</v>
      </c>
      <c r="R4541" s="238">
        <v>237.14</v>
      </c>
      <c r="S4541" s="238">
        <v>11.86</v>
      </c>
      <c r="T4541" s="238">
        <v>38.1</v>
      </c>
      <c r="U4541" s="238">
        <v>1.9</v>
      </c>
      <c r="V4541" s="238">
        <v>0.0</v>
      </c>
      <c r="W4541" s="238">
        <v>0.0</v>
      </c>
      <c r="X4541" s="235" t="s">
        <v>628</v>
      </c>
      <c r="Z4541" s="245"/>
      <c r="AA4541" s="245"/>
      <c r="AB4541" s="245"/>
      <c r="AC4541" s="235" t="s">
        <v>687</v>
      </c>
      <c r="AD4541" s="235" t="s">
        <v>666</v>
      </c>
      <c r="AE4541" s="238">
        <v>600023.0</v>
      </c>
      <c r="AF4541" s="235" t="s">
        <v>631</v>
      </c>
      <c r="AG4541" s="245"/>
      <c r="AH4541" s="245"/>
      <c r="AI4541" s="245"/>
      <c r="AJ4541" s="245"/>
      <c r="AK4541" s="245"/>
      <c r="AL4541" s="245"/>
      <c r="AM4541" s="245"/>
      <c r="AN4541" s="245"/>
      <c r="AO4541" s="238">
        <v>0.0</v>
      </c>
      <c r="AP4541" s="238">
        <v>-38.1</v>
      </c>
      <c r="AQ4541" s="235" t="s">
        <v>632</v>
      </c>
      <c r="AR4541" s="243">
        <v>3.71E11</v>
      </c>
      <c r="AS4541" s="235" t="s">
        <v>32455</v>
      </c>
      <c r="AT4541" s="235" t="s">
        <v>156</v>
      </c>
      <c r="AU4541" s="235" t="s">
        <v>634</v>
      </c>
      <c r="AV4541" s="246" t="s">
        <v>635</v>
      </c>
      <c r="AW4541" s="227"/>
      <c r="AX4541" s="227"/>
      <c r="AY4541" s="227"/>
      <c r="AZ4541" s="227"/>
      <c r="BA4541" s="227"/>
      <c r="BB4541" s="227"/>
      <c r="BC4541" s="227"/>
      <c r="BD4541" s="227"/>
      <c r="BE4541" s="227"/>
      <c r="BF4541" s="227"/>
    </row>
    <row r="4542">
      <c r="A4542" s="235" t="s">
        <v>33700</v>
      </c>
      <c r="C4542" s="235" t="s">
        <v>33701</v>
      </c>
      <c r="D4542" s="235" t="s">
        <v>33702</v>
      </c>
      <c r="E4542" s="243">
        <v>6.5E13</v>
      </c>
      <c r="F4542" s="245"/>
      <c r="G4542" s="235" t="s">
        <v>33703</v>
      </c>
      <c r="H4542" s="235" t="s">
        <v>33704</v>
      </c>
      <c r="I4542" s="235" t="s">
        <v>33704</v>
      </c>
      <c r="J4542" s="235" t="s">
        <v>33705</v>
      </c>
      <c r="K4542" s="235" t="s">
        <v>33706</v>
      </c>
      <c r="N4542" s="235" t="s">
        <v>47</v>
      </c>
      <c r="O4542" s="235" t="s">
        <v>270</v>
      </c>
      <c r="P4542" s="238">
        <v>1.0</v>
      </c>
      <c r="Q4542" s="235" t="s">
        <v>627</v>
      </c>
      <c r="R4542" s="238">
        <v>236.19</v>
      </c>
      <c r="S4542" s="238">
        <v>11.57</v>
      </c>
      <c r="T4542" s="238">
        <v>38.1</v>
      </c>
      <c r="U4542" s="238">
        <v>1.9</v>
      </c>
      <c r="V4542" s="238">
        <v>0.0</v>
      </c>
      <c r="W4542" s="238">
        <v>0.0</v>
      </c>
      <c r="X4542" s="235" t="s">
        <v>628</v>
      </c>
      <c r="Z4542" s="245"/>
      <c r="AA4542" s="245"/>
      <c r="AB4542" s="245"/>
      <c r="AC4542" s="235" t="s">
        <v>697</v>
      </c>
      <c r="AD4542" s="235" t="s">
        <v>698</v>
      </c>
      <c r="AE4542" s="238">
        <v>500024.0</v>
      </c>
      <c r="AF4542" s="235" t="s">
        <v>631</v>
      </c>
      <c r="AG4542" s="245"/>
      <c r="AH4542" s="245"/>
      <c r="AI4542" s="245"/>
      <c r="AJ4542" s="245"/>
      <c r="AK4542" s="245"/>
      <c r="AL4542" s="245"/>
      <c r="AM4542" s="245"/>
      <c r="AN4542" s="245"/>
      <c r="AO4542" s="238">
        <v>-4.72</v>
      </c>
      <c r="AP4542" s="238">
        <v>-38.1</v>
      </c>
      <c r="AQ4542" s="235" t="s">
        <v>632</v>
      </c>
      <c r="AR4542" s="243">
        <v>3.71E11</v>
      </c>
      <c r="AS4542" s="235" t="s">
        <v>31232</v>
      </c>
      <c r="AT4542" s="235" t="s">
        <v>156</v>
      </c>
      <c r="AU4542" s="235" t="s">
        <v>634</v>
      </c>
      <c r="AV4542" s="246" t="s">
        <v>635</v>
      </c>
      <c r="AW4542" s="227"/>
      <c r="AX4542" s="227"/>
      <c r="AY4542" s="227"/>
      <c r="AZ4542" s="227"/>
      <c r="BA4542" s="227"/>
      <c r="BB4542" s="227"/>
      <c r="BC4542" s="227"/>
      <c r="BD4542" s="227"/>
      <c r="BE4542" s="227"/>
      <c r="BF4542" s="227"/>
    </row>
    <row r="4543">
      <c r="A4543" s="235" t="s">
        <v>33707</v>
      </c>
      <c r="C4543" s="235" t="s">
        <v>33708</v>
      </c>
      <c r="D4543" s="235" t="s">
        <v>33709</v>
      </c>
      <c r="E4543" s="243">
        <v>6.5E13</v>
      </c>
      <c r="F4543" s="245"/>
      <c r="G4543" s="235" t="s">
        <v>33710</v>
      </c>
      <c r="H4543" s="235" t="s">
        <v>33711</v>
      </c>
      <c r="I4543" s="235" t="s">
        <v>33711</v>
      </c>
      <c r="J4543" s="235" t="s">
        <v>33712</v>
      </c>
      <c r="K4543" s="235" t="s">
        <v>33713</v>
      </c>
      <c r="N4543" s="235" t="s">
        <v>19</v>
      </c>
      <c r="O4543" s="235" t="s">
        <v>571</v>
      </c>
      <c r="P4543" s="238">
        <v>1.0</v>
      </c>
      <c r="Q4543" s="235" t="s">
        <v>627</v>
      </c>
      <c r="R4543" s="238">
        <v>360.95</v>
      </c>
      <c r="S4543" s="238">
        <v>18.05</v>
      </c>
      <c r="T4543" s="238">
        <v>0.0</v>
      </c>
      <c r="U4543" s="238">
        <v>0.0</v>
      </c>
      <c r="V4543" s="238">
        <v>0.0</v>
      </c>
      <c r="W4543" s="238">
        <v>0.0</v>
      </c>
      <c r="X4543" s="235" t="s">
        <v>628</v>
      </c>
      <c r="Z4543" s="245"/>
      <c r="AA4543" s="245"/>
      <c r="AB4543" s="245"/>
      <c r="AC4543" s="235" t="s">
        <v>1095</v>
      </c>
      <c r="AD4543" s="235" t="s">
        <v>845</v>
      </c>
      <c r="AE4543" s="238">
        <v>400706.0</v>
      </c>
      <c r="AF4543" s="235" t="s">
        <v>631</v>
      </c>
      <c r="AG4543" s="245"/>
      <c r="AH4543" s="245"/>
      <c r="AI4543" s="245"/>
      <c r="AJ4543" s="245"/>
      <c r="AK4543" s="245"/>
      <c r="AL4543" s="245"/>
      <c r="AM4543" s="245"/>
      <c r="AN4543" s="245"/>
      <c r="AO4543" s="238">
        <v>0.0</v>
      </c>
      <c r="AP4543" s="238">
        <v>0.0</v>
      </c>
      <c r="AQ4543" s="235" t="s">
        <v>632</v>
      </c>
      <c r="AR4543" s="243">
        <v>3.71E11</v>
      </c>
      <c r="AS4543" s="235" t="s">
        <v>29883</v>
      </c>
      <c r="AT4543" s="235" t="s">
        <v>5</v>
      </c>
      <c r="AU4543" s="235" t="s">
        <v>634</v>
      </c>
      <c r="AV4543" s="246" t="s">
        <v>635</v>
      </c>
      <c r="AW4543" s="227"/>
      <c r="AX4543" s="227"/>
      <c r="AY4543" s="227"/>
      <c r="AZ4543" s="227"/>
      <c r="BA4543" s="227"/>
      <c r="BB4543" s="227"/>
      <c r="BC4543" s="227"/>
      <c r="BD4543" s="227"/>
      <c r="BE4543" s="227"/>
      <c r="BF4543" s="227"/>
    </row>
    <row r="4544">
      <c r="A4544" s="235" t="s">
        <v>33714</v>
      </c>
      <c r="C4544" s="235" t="s">
        <v>33715</v>
      </c>
      <c r="D4544" s="235" t="s">
        <v>33716</v>
      </c>
      <c r="E4544" s="243">
        <v>6.5E13</v>
      </c>
      <c r="F4544" s="245"/>
      <c r="G4544" s="235" t="s">
        <v>33717</v>
      </c>
      <c r="H4544" s="235" t="s">
        <v>33718</v>
      </c>
      <c r="I4544" s="235" t="s">
        <v>33719</v>
      </c>
      <c r="J4544" s="235" t="s">
        <v>33720</v>
      </c>
      <c r="K4544" s="235" t="s">
        <v>33721</v>
      </c>
      <c r="N4544" s="235" t="s">
        <v>42</v>
      </c>
      <c r="O4544" s="235" t="s">
        <v>204</v>
      </c>
      <c r="P4544" s="238">
        <v>1.0</v>
      </c>
      <c r="Q4544" s="235" t="s">
        <v>627</v>
      </c>
      <c r="R4544" s="238">
        <v>237.14</v>
      </c>
      <c r="S4544" s="238">
        <v>11.86</v>
      </c>
      <c r="T4544" s="238">
        <v>38.1</v>
      </c>
      <c r="U4544" s="238">
        <v>1.9</v>
      </c>
      <c r="V4544" s="238">
        <v>0.0</v>
      </c>
      <c r="W4544" s="238">
        <v>0.0</v>
      </c>
      <c r="X4544" s="235" t="s">
        <v>628</v>
      </c>
      <c r="Z4544" s="245"/>
      <c r="AA4544" s="245"/>
      <c r="AB4544" s="245"/>
      <c r="AC4544" s="235" t="s">
        <v>33722</v>
      </c>
      <c r="AD4544" s="235" t="s">
        <v>666</v>
      </c>
      <c r="AE4544" s="238">
        <v>641668.0</v>
      </c>
      <c r="AF4544" s="235" t="s">
        <v>631</v>
      </c>
      <c r="AG4544" s="245"/>
      <c r="AH4544" s="245"/>
      <c r="AI4544" s="245"/>
      <c r="AJ4544" s="245"/>
      <c r="AK4544" s="245"/>
      <c r="AL4544" s="245"/>
      <c r="AM4544" s="245"/>
      <c r="AN4544" s="245"/>
      <c r="AO4544" s="238">
        <v>0.0</v>
      </c>
      <c r="AP4544" s="238">
        <v>-38.1</v>
      </c>
      <c r="AQ4544" s="235" t="s">
        <v>632</v>
      </c>
      <c r="AR4544" s="243">
        <v>3.71E11</v>
      </c>
      <c r="AS4544" s="235" t="s">
        <v>29883</v>
      </c>
      <c r="AT4544" s="235" t="s">
        <v>11</v>
      </c>
      <c r="AU4544" s="235" t="s">
        <v>634</v>
      </c>
      <c r="AV4544" s="246" t="s">
        <v>635</v>
      </c>
      <c r="AW4544" s="227"/>
      <c r="AX4544" s="227"/>
      <c r="AY4544" s="227"/>
      <c r="AZ4544" s="227"/>
      <c r="BA4544" s="227"/>
      <c r="BB4544" s="227"/>
      <c r="BC4544" s="227"/>
      <c r="BD4544" s="227"/>
      <c r="BE4544" s="227"/>
      <c r="BF4544" s="227"/>
    </row>
    <row r="4545">
      <c r="A4545" s="235" t="s">
        <v>33723</v>
      </c>
      <c r="C4545" s="235" t="s">
        <v>33724</v>
      </c>
      <c r="D4545" s="235" t="s">
        <v>33725</v>
      </c>
      <c r="E4545" s="243">
        <v>6.5E13</v>
      </c>
      <c r="F4545" s="245"/>
      <c r="G4545" s="235" t="s">
        <v>33726</v>
      </c>
      <c r="H4545" s="235" t="s">
        <v>33727</v>
      </c>
      <c r="I4545" s="235" t="s">
        <v>33727</v>
      </c>
      <c r="J4545" s="235" t="s">
        <v>33728</v>
      </c>
      <c r="K4545" s="235" t="s">
        <v>33729</v>
      </c>
      <c r="N4545" s="235" t="s">
        <v>82</v>
      </c>
      <c r="O4545" s="235" t="s">
        <v>889</v>
      </c>
      <c r="P4545" s="238">
        <v>1.0</v>
      </c>
      <c r="Q4545" s="235" t="s">
        <v>627</v>
      </c>
      <c r="R4545" s="238">
        <v>243.81</v>
      </c>
      <c r="S4545" s="238">
        <v>12.19</v>
      </c>
      <c r="T4545" s="238">
        <v>38.1</v>
      </c>
      <c r="U4545" s="238">
        <v>1.9</v>
      </c>
      <c r="V4545" s="238">
        <v>0.0</v>
      </c>
      <c r="W4545" s="238">
        <v>0.0</v>
      </c>
      <c r="X4545" s="235" t="s">
        <v>628</v>
      </c>
      <c r="Z4545" s="245"/>
      <c r="AA4545" s="245"/>
      <c r="AB4545" s="245"/>
      <c r="AC4545" s="235" t="s">
        <v>33730</v>
      </c>
      <c r="AD4545" s="235" t="s">
        <v>1499</v>
      </c>
      <c r="AE4545" s="238">
        <v>466331.0</v>
      </c>
      <c r="AF4545" s="235" t="s">
        <v>631</v>
      </c>
      <c r="AG4545" s="245"/>
      <c r="AH4545" s="245"/>
      <c r="AI4545" s="245"/>
      <c r="AJ4545" s="245"/>
      <c r="AK4545" s="245"/>
      <c r="AL4545" s="245"/>
      <c r="AM4545" s="245"/>
      <c r="AN4545" s="245"/>
      <c r="AO4545" s="238">
        <v>0.0</v>
      </c>
      <c r="AP4545" s="238">
        <v>-38.1</v>
      </c>
      <c r="AQ4545" s="235" t="s">
        <v>1328</v>
      </c>
      <c r="AR4545" s="243">
        <v>1.34E13</v>
      </c>
      <c r="AS4545" s="235" t="s">
        <v>28482</v>
      </c>
      <c r="AT4545" s="235" t="s">
        <v>17</v>
      </c>
      <c r="AU4545" s="235" t="s">
        <v>634</v>
      </c>
      <c r="AV4545" s="246" t="s">
        <v>635</v>
      </c>
      <c r="AW4545" s="227"/>
      <c r="AX4545" s="227"/>
      <c r="AY4545" s="227"/>
      <c r="AZ4545" s="227"/>
      <c r="BA4545" s="227"/>
      <c r="BB4545" s="227"/>
      <c r="BC4545" s="227"/>
      <c r="BD4545" s="227"/>
      <c r="BE4545" s="227"/>
      <c r="BF4545" s="227"/>
    </row>
    <row r="4546">
      <c r="A4546" s="235" t="s">
        <v>33731</v>
      </c>
      <c r="C4546" s="235" t="s">
        <v>33732</v>
      </c>
      <c r="D4546" s="235" t="s">
        <v>33733</v>
      </c>
      <c r="E4546" s="243">
        <v>6.5E13</v>
      </c>
      <c r="F4546" s="245"/>
      <c r="G4546" s="235" t="s">
        <v>33734</v>
      </c>
      <c r="H4546" s="235" t="s">
        <v>33735</v>
      </c>
      <c r="I4546" s="235" t="s">
        <v>33735</v>
      </c>
      <c r="J4546" s="235" t="s">
        <v>33736</v>
      </c>
      <c r="K4546" s="235" t="s">
        <v>33737</v>
      </c>
      <c r="N4546" s="235" t="s">
        <v>98</v>
      </c>
      <c r="O4546" s="235" t="s">
        <v>357</v>
      </c>
      <c r="P4546" s="238">
        <v>1.0</v>
      </c>
      <c r="Q4546" s="235" t="s">
        <v>627</v>
      </c>
      <c r="R4546" s="238">
        <v>0.0</v>
      </c>
      <c r="S4546" s="238">
        <v>0.0</v>
      </c>
      <c r="T4546" s="238">
        <v>0.0</v>
      </c>
      <c r="U4546" s="238">
        <v>0.0</v>
      </c>
      <c r="V4546" s="238">
        <v>0.0</v>
      </c>
      <c r="W4546" s="238">
        <v>0.0</v>
      </c>
      <c r="X4546" s="235" t="s">
        <v>2433</v>
      </c>
      <c r="Y4546" s="245"/>
      <c r="Z4546" s="245"/>
      <c r="AA4546" s="245"/>
      <c r="AB4546" s="245"/>
      <c r="AC4546" s="235" t="s">
        <v>796</v>
      </c>
      <c r="AD4546" s="235" t="s">
        <v>796</v>
      </c>
      <c r="AE4546" s="238">
        <v>110006.0</v>
      </c>
      <c r="AF4546" s="235" t="s">
        <v>631</v>
      </c>
      <c r="AG4546" s="245"/>
      <c r="AH4546" s="245"/>
      <c r="AI4546" s="245"/>
      <c r="AJ4546" s="245"/>
      <c r="AK4546" s="245"/>
      <c r="AL4546" s="245"/>
      <c r="AM4546" s="245"/>
      <c r="AN4546" s="245"/>
      <c r="AO4546" s="238">
        <v>0.0</v>
      </c>
      <c r="AP4546" s="238">
        <v>0.0</v>
      </c>
      <c r="AQ4546" s="235" t="s">
        <v>632</v>
      </c>
      <c r="AR4546" s="243">
        <v>3.71E11</v>
      </c>
      <c r="AS4546" s="235" t="s">
        <v>32455</v>
      </c>
      <c r="AT4546" s="235" t="s">
        <v>13</v>
      </c>
      <c r="AU4546" s="235" t="s">
        <v>634</v>
      </c>
      <c r="AV4546" s="246" t="s">
        <v>635</v>
      </c>
      <c r="AW4546" s="227"/>
      <c r="AX4546" s="227"/>
      <c r="AY4546" s="227"/>
      <c r="AZ4546" s="227"/>
      <c r="BA4546" s="227"/>
      <c r="BB4546" s="227"/>
      <c r="BC4546" s="227"/>
      <c r="BD4546" s="227"/>
      <c r="BE4546" s="227"/>
      <c r="BF4546" s="227"/>
    </row>
    <row r="4547">
      <c r="A4547" s="235" t="s">
        <v>33738</v>
      </c>
      <c r="C4547" s="235" t="s">
        <v>33739</v>
      </c>
      <c r="D4547" s="235" t="s">
        <v>33740</v>
      </c>
      <c r="E4547" s="243">
        <v>6.5E13</v>
      </c>
      <c r="F4547" s="245"/>
      <c r="G4547" s="235" t="s">
        <v>33741</v>
      </c>
      <c r="H4547" s="235" t="s">
        <v>33742</v>
      </c>
      <c r="I4547" s="235" t="s">
        <v>33742</v>
      </c>
      <c r="J4547" s="235" t="s">
        <v>33743</v>
      </c>
      <c r="K4547" s="235" t="s">
        <v>33744</v>
      </c>
      <c r="N4547" s="235" t="s">
        <v>842</v>
      </c>
      <c r="O4547" s="235" t="s">
        <v>843</v>
      </c>
      <c r="P4547" s="238">
        <v>1.0</v>
      </c>
      <c r="Q4547" s="235" t="s">
        <v>627</v>
      </c>
      <c r="R4547" s="238">
        <v>246.66</v>
      </c>
      <c r="S4547" s="238">
        <v>12.34</v>
      </c>
      <c r="T4547" s="238">
        <v>38.1</v>
      </c>
      <c r="U4547" s="238">
        <v>1.9</v>
      </c>
      <c r="V4547" s="238">
        <v>0.0</v>
      </c>
      <c r="W4547" s="238">
        <v>0.0</v>
      </c>
      <c r="X4547" s="235" t="s">
        <v>628</v>
      </c>
      <c r="Z4547" s="245"/>
      <c r="AA4547" s="245"/>
      <c r="AB4547" s="245"/>
      <c r="AC4547" s="235" t="s">
        <v>687</v>
      </c>
      <c r="AD4547" s="235" t="s">
        <v>666</v>
      </c>
      <c r="AE4547" s="238">
        <v>600063.0</v>
      </c>
      <c r="AF4547" s="235" t="s">
        <v>631</v>
      </c>
      <c r="AG4547" s="245"/>
      <c r="AH4547" s="245"/>
      <c r="AI4547" s="245"/>
      <c r="AJ4547" s="245"/>
      <c r="AK4547" s="245"/>
      <c r="AL4547" s="245"/>
      <c r="AM4547" s="245"/>
      <c r="AN4547" s="245"/>
      <c r="AO4547" s="238">
        <v>0.0</v>
      </c>
      <c r="AP4547" s="238">
        <v>-38.1</v>
      </c>
      <c r="AQ4547" s="235" t="s">
        <v>632</v>
      </c>
      <c r="AR4547" s="243">
        <v>3.71E11</v>
      </c>
      <c r="AS4547" s="235" t="s">
        <v>32455</v>
      </c>
      <c r="AT4547" s="235" t="s">
        <v>156</v>
      </c>
      <c r="AU4547" s="235" t="s">
        <v>634</v>
      </c>
      <c r="AV4547" s="246" t="s">
        <v>635</v>
      </c>
      <c r="AW4547" s="227"/>
      <c r="AX4547" s="227"/>
      <c r="AY4547" s="227"/>
      <c r="AZ4547" s="227"/>
      <c r="BA4547" s="227"/>
      <c r="BB4547" s="227"/>
      <c r="BC4547" s="227"/>
      <c r="BD4547" s="227"/>
      <c r="BE4547" s="227"/>
      <c r="BF4547" s="227"/>
    </row>
    <row r="4548">
      <c r="A4548" s="235" t="s">
        <v>33745</v>
      </c>
      <c r="C4548" s="235" t="s">
        <v>33746</v>
      </c>
      <c r="D4548" s="235" t="s">
        <v>33747</v>
      </c>
      <c r="E4548" s="243">
        <v>6.5E13</v>
      </c>
      <c r="F4548" s="245"/>
      <c r="G4548" s="235" t="s">
        <v>33748</v>
      </c>
      <c r="H4548" s="235" t="s">
        <v>33749</v>
      </c>
      <c r="I4548" s="235" t="s">
        <v>33749</v>
      </c>
      <c r="J4548" s="235" t="s">
        <v>33750</v>
      </c>
      <c r="K4548" s="235" t="s">
        <v>33751</v>
      </c>
      <c r="N4548" s="235" t="s">
        <v>962</v>
      </c>
      <c r="O4548" s="235" t="s">
        <v>963</v>
      </c>
      <c r="P4548" s="238">
        <v>1.0</v>
      </c>
      <c r="Q4548" s="235" t="s">
        <v>627</v>
      </c>
      <c r="R4548" s="238">
        <v>245.71</v>
      </c>
      <c r="S4548" s="238">
        <v>12.29</v>
      </c>
      <c r="T4548" s="238">
        <v>38.1</v>
      </c>
      <c r="U4548" s="238">
        <v>1.9</v>
      </c>
      <c r="V4548" s="238">
        <v>0.0</v>
      </c>
      <c r="W4548" s="238">
        <v>0.0</v>
      </c>
      <c r="X4548" s="235" t="s">
        <v>628</v>
      </c>
      <c r="Z4548" s="245"/>
      <c r="AA4548" s="245"/>
      <c r="AB4548" s="245"/>
      <c r="AC4548" s="235" t="s">
        <v>5499</v>
      </c>
      <c r="AD4548" s="235" t="s">
        <v>630</v>
      </c>
      <c r="AE4548" s="238">
        <v>211011.0</v>
      </c>
      <c r="AF4548" s="235" t="s">
        <v>631</v>
      </c>
      <c r="AG4548" s="245"/>
      <c r="AH4548" s="245"/>
      <c r="AI4548" s="245"/>
      <c r="AJ4548" s="245"/>
      <c r="AK4548" s="245"/>
      <c r="AL4548" s="245"/>
      <c r="AM4548" s="245"/>
      <c r="AN4548" s="245"/>
      <c r="AO4548" s="238">
        <v>0.0</v>
      </c>
      <c r="AP4548" s="238">
        <v>-38.1</v>
      </c>
      <c r="AQ4548" s="235" t="s">
        <v>632</v>
      </c>
      <c r="AR4548" s="243">
        <v>3.71E11</v>
      </c>
      <c r="AS4548" s="235" t="s">
        <v>28482</v>
      </c>
      <c r="AT4548" s="235" t="s">
        <v>16</v>
      </c>
      <c r="AU4548" s="235" t="s">
        <v>634</v>
      </c>
      <c r="AV4548" s="246" t="s">
        <v>635</v>
      </c>
      <c r="AW4548" s="227"/>
      <c r="AX4548" s="227"/>
      <c r="AY4548" s="227"/>
      <c r="AZ4548" s="227"/>
      <c r="BA4548" s="227"/>
      <c r="BB4548" s="227"/>
      <c r="BC4548" s="227"/>
      <c r="BD4548" s="227"/>
      <c r="BE4548" s="227"/>
      <c r="BF4548" s="227"/>
    </row>
    <row r="4549">
      <c r="A4549" s="235" t="s">
        <v>33752</v>
      </c>
      <c r="C4549" s="235" t="s">
        <v>33753</v>
      </c>
      <c r="D4549" s="235" t="s">
        <v>33754</v>
      </c>
      <c r="E4549" s="243">
        <v>6.5E13</v>
      </c>
      <c r="F4549" s="245"/>
      <c r="G4549" s="235" t="s">
        <v>33755</v>
      </c>
      <c r="H4549" s="235" t="s">
        <v>33756</v>
      </c>
      <c r="I4549" s="235" t="s">
        <v>33757</v>
      </c>
      <c r="J4549" s="235" t="s">
        <v>33758</v>
      </c>
      <c r="K4549" s="235" t="s">
        <v>33759</v>
      </c>
      <c r="N4549" s="235" t="s">
        <v>42</v>
      </c>
      <c r="O4549" s="235" t="s">
        <v>204</v>
      </c>
      <c r="P4549" s="238">
        <v>1.0</v>
      </c>
      <c r="Q4549" s="235" t="s">
        <v>627</v>
      </c>
      <c r="R4549" s="238">
        <v>237.14</v>
      </c>
      <c r="S4549" s="238">
        <v>11.86</v>
      </c>
      <c r="T4549" s="238">
        <v>0.0</v>
      </c>
      <c r="U4549" s="238">
        <v>0.0</v>
      </c>
      <c r="V4549" s="238">
        <v>0.0</v>
      </c>
      <c r="W4549" s="238">
        <v>0.0</v>
      </c>
      <c r="X4549" s="235" t="s">
        <v>628</v>
      </c>
      <c r="Z4549" s="245"/>
      <c r="AA4549" s="245"/>
      <c r="AB4549" s="245"/>
      <c r="AC4549" s="235" t="s">
        <v>814</v>
      </c>
      <c r="AD4549" s="235" t="s">
        <v>698</v>
      </c>
      <c r="AE4549" s="238">
        <v>500081.0</v>
      </c>
      <c r="AF4549" s="235" t="s">
        <v>631</v>
      </c>
      <c r="AG4549" s="245"/>
      <c r="AH4549" s="245"/>
      <c r="AI4549" s="245"/>
      <c r="AJ4549" s="245"/>
      <c r="AK4549" s="245"/>
      <c r="AL4549" s="245"/>
      <c r="AM4549" s="245"/>
      <c r="AN4549" s="245"/>
      <c r="AO4549" s="238">
        <v>0.0</v>
      </c>
      <c r="AP4549" s="238">
        <v>0.0</v>
      </c>
      <c r="AQ4549" s="235" t="s">
        <v>632</v>
      </c>
      <c r="AR4549" s="243">
        <v>2.02E11</v>
      </c>
      <c r="AS4549" s="235" t="s">
        <v>32455</v>
      </c>
      <c r="AT4549" s="235" t="s">
        <v>546</v>
      </c>
      <c r="AU4549" s="235" t="s">
        <v>634</v>
      </c>
      <c r="AV4549" s="246" t="s">
        <v>635</v>
      </c>
      <c r="AW4549" s="227"/>
      <c r="AX4549" s="227"/>
      <c r="AY4549" s="227"/>
      <c r="AZ4549" s="227"/>
      <c r="BA4549" s="227"/>
      <c r="BB4549" s="227"/>
      <c r="BC4549" s="227"/>
      <c r="BD4549" s="227"/>
      <c r="BE4549" s="227"/>
      <c r="BF4549" s="227"/>
    </row>
    <row r="4550">
      <c r="A4550" s="235" t="s">
        <v>33760</v>
      </c>
      <c r="C4550" s="235" t="s">
        <v>33761</v>
      </c>
      <c r="D4550" s="235" t="s">
        <v>33762</v>
      </c>
      <c r="E4550" s="243">
        <v>6.5E13</v>
      </c>
      <c r="F4550" s="245"/>
      <c r="G4550" s="235" t="s">
        <v>33763</v>
      </c>
      <c r="H4550" s="235" t="s">
        <v>33764</v>
      </c>
      <c r="I4550" s="235" t="s">
        <v>33764</v>
      </c>
      <c r="J4550" s="235" t="s">
        <v>33765</v>
      </c>
      <c r="K4550" s="235" t="s">
        <v>33766</v>
      </c>
      <c r="N4550" s="235" t="s">
        <v>68</v>
      </c>
      <c r="O4550" s="235" t="s">
        <v>208</v>
      </c>
      <c r="P4550" s="238">
        <v>1.0</v>
      </c>
      <c r="Q4550" s="235" t="s">
        <v>627</v>
      </c>
      <c r="R4550" s="238">
        <v>246.66</v>
      </c>
      <c r="S4550" s="238">
        <v>12.34</v>
      </c>
      <c r="T4550" s="238">
        <v>38.1</v>
      </c>
      <c r="U4550" s="238">
        <v>1.9</v>
      </c>
      <c r="V4550" s="238">
        <v>0.0</v>
      </c>
      <c r="W4550" s="238">
        <v>0.0</v>
      </c>
      <c r="X4550" s="235" t="s">
        <v>628</v>
      </c>
      <c r="Z4550" s="245"/>
      <c r="AA4550" s="245"/>
      <c r="AB4550" s="245"/>
      <c r="AC4550" s="235" t="s">
        <v>687</v>
      </c>
      <c r="AD4550" s="235" t="s">
        <v>666</v>
      </c>
      <c r="AE4550" s="238">
        <v>600114.0</v>
      </c>
      <c r="AF4550" s="235" t="s">
        <v>631</v>
      </c>
      <c r="AG4550" s="245"/>
      <c r="AH4550" s="245"/>
      <c r="AI4550" s="245"/>
      <c r="AJ4550" s="245"/>
      <c r="AK4550" s="245"/>
      <c r="AL4550" s="245"/>
      <c r="AM4550" s="245"/>
      <c r="AN4550" s="245"/>
      <c r="AO4550" s="238">
        <v>0.0</v>
      </c>
      <c r="AP4550" s="238">
        <v>-38.1</v>
      </c>
      <c r="AQ4550" s="235" t="s">
        <v>632</v>
      </c>
      <c r="AR4550" s="243">
        <v>3.71E11</v>
      </c>
      <c r="AS4550" s="235" t="s">
        <v>32455</v>
      </c>
      <c r="AT4550" s="235" t="s">
        <v>156</v>
      </c>
      <c r="AU4550" s="235" t="s">
        <v>634</v>
      </c>
      <c r="AV4550" s="246" t="s">
        <v>635</v>
      </c>
      <c r="AW4550" s="227"/>
      <c r="AX4550" s="227"/>
      <c r="AY4550" s="227"/>
      <c r="AZ4550" s="227"/>
      <c r="BA4550" s="227"/>
      <c r="BB4550" s="227"/>
      <c r="BC4550" s="227"/>
      <c r="BD4550" s="227"/>
      <c r="BE4550" s="227"/>
      <c r="BF4550" s="227"/>
    </row>
    <row r="4551">
      <c r="A4551" s="235" t="s">
        <v>33767</v>
      </c>
      <c r="C4551" s="235" t="s">
        <v>33768</v>
      </c>
      <c r="D4551" s="235" t="s">
        <v>33769</v>
      </c>
      <c r="E4551" s="243">
        <v>6.5E13</v>
      </c>
      <c r="F4551" s="245"/>
      <c r="G4551" s="235" t="s">
        <v>33770</v>
      </c>
      <c r="H4551" s="235" t="s">
        <v>33771</v>
      </c>
      <c r="I4551" s="235" t="s">
        <v>33771</v>
      </c>
      <c r="J4551" s="235" t="s">
        <v>33772</v>
      </c>
      <c r="K4551" s="235" t="s">
        <v>33773</v>
      </c>
      <c r="N4551" s="235" t="s">
        <v>1346</v>
      </c>
      <c r="O4551" s="235" t="s">
        <v>1347</v>
      </c>
      <c r="P4551" s="238">
        <v>1.0</v>
      </c>
      <c r="Q4551" s="235" t="s">
        <v>627</v>
      </c>
      <c r="R4551" s="238">
        <v>256.19</v>
      </c>
      <c r="S4551" s="238">
        <v>12.81</v>
      </c>
      <c r="T4551" s="238">
        <v>0.0</v>
      </c>
      <c r="U4551" s="238">
        <v>0.0</v>
      </c>
      <c r="V4551" s="238">
        <v>0.0</v>
      </c>
      <c r="W4551" s="238">
        <v>0.0</v>
      </c>
      <c r="X4551" s="235" t="s">
        <v>628</v>
      </c>
      <c r="Z4551" s="245"/>
      <c r="AA4551" s="245"/>
      <c r="AB4551" s="245"/>
      <c r="AC4551" s="235" t="s">
        <v>1287</v>
      </c>
      <c r="AD4551" s="235" t="s">
        <v>630</v>
      </c>
      <c r="AE4551" s="238">
        <v>201014.0</v>
      </c>
      <c r="AF4551" s="235" t="s">
        <v>631</v>
      </c>
      <c r="AG4551" s="245"/>
      <c r="AH4551" s="245"/>
      <c r="AI4551" s="245"/>
      <c r="AJ4551" s="245"/>
      <c r="AK4551" s="245"/>
      <c r="AL4551" s="245"/>
      <c r="AM4551" s="245"/>
      <c r="AN4551" s="245"/>
      <c r="AO4551" s="238">
        <v>0.0</v>
      </c>
      <c r="AP4551" s="238">
        <v>0.0</v>
      </c>
      <c r="AQ4551" s="235" t="s">
        <v>632</v>
      </c>
      <c r="AR4551" s="243">
        <v>2.02E11</v>
      </c>
      <c r="AS4551" s="235" t="s">
        <v>32455</v>
      </c>
      <c r="AT4551" s="235" t="s">
        <v>9</v>
      </c>
      <c r="AU4551" s="235" t="s">
        <v>634</v>
      </c>
      <c r="AV4551" s="246" t="s">
        <v>635</v>
      </c>
      <c r="AW4551" s="227"/>
      <c r="AX4551" s="227"/>
      <c r="AY4551" s="227"/>
      <c r="AZ4551" s="227"/>
      <c r="BA4551" s="227"/>
      <c r="BB4551" s="227"/>
      <c r="BC4551" s="227"/>
      <c r="BD4551" s="227"/>
      <c r="BE4551" s="227"/>
      <c r="BF4551" s="227"/>
    </row>
    <row r="4552">
      <c r="A4552" s="235" t="s">
        <v>33774</v>
      </c>
      <c r="C4552" s="235" t="s">
        <v>33775</v>
      </c>
      <c r="D4552" s="235" t="s">
        <v>33776</v>
      </c>
      <c r="E4552" s="243">
        <v>6.5E13</v>
      </c>
      <c r="F4552" s="245"/>
      <c r="G4552" s="235" t="s">
        <v>33777</v>
      </c>
      <c r="H4552" s="235" t="s">
        <v>33778</v>
      </c>
      <c r="I4552" s="235" t="s">
        <v>33778</v>
      </c>
      <c r="J4552" s="235" t="s">
        <v>33779</v>
      </c>
      <c r="K4552" s="235" t="s">
        <v>33780</v>
      </c>
      <c r="N4552" s="235" t="s">
        <v>146</v>
      </c>
      <c r="O4552" s="235" t="s">
        <v>438</v>
      </c>
      <c r="P4552" s="238">
        <v>1.0</v>
      </c>
      <c r="Q4552" s="235" t="s">
        <v>627</v>
      </c>
      <c r="R4552" s="238">
        <v>256.19</v>
      </c>
      <c r="S4552" s="238">
        <v>12.81</v>
      </c>
      <c r="T4552" s="238">
        <v>0.0</v>
      </c>
      <c r="U4552" s="238">
        <v>0.0</v>
      </c>
      <c r="V4552" s="238">
        <v>0.0</v>
      </c>
      <c r="W4552" s="238">
        <v>0.0</v>
      </c>
      <c r="X4552" s="235" t="s">
        <v>628</v>
      </c>
      <c r="Z4552" s="245"/>
      <c r="AA4552" s="245"/>
      <c r="AB4552" s="245"/>
      <c r="AC4552" s="235" t="s">
        <v>678</v>
      </c>
      <c r="AD4552" s="235" t="s">
        <v>679</v>
      </c>
      <c r="AE4552" s="238">
        <v>560067.0</v>
      </c>
      <c r="AF4552" s="235" t="s">
        <v>631</v>
      </c>
      <c r="AG4552" s="245"/>
      <c r="AH4552" s="245"/>
      <c r="AI4552" s="245"/>
      <c r="AJ4552" s="245"/>
      <c r="AK4552" s="245"/>
      <c r="AL4552" s="245"/>
      <c r="AM4552" s="245"/>
      <c r="AN4552" s="245"/>
      <c r="AO4552" s="238">
        <v>0.0</v>
      </c>
      <c r="AP4552" s="238">
        <v>0.0</v>
      </c>
      <c r="AQ4552" s="235" t="s">
        <v>632</v>
      </c>
      <c r="AR4552" s="243">
        <v>2.02E11</v>
      </c>
      <c r="AS4552" s="235" t="s">
        <v>32455</v>
      </c>
      <c r="AT4552" s="235" t="s">
        <v>16</v>
      </c>
      <c r="AU4552" s="235" t="s">
        <v>634</v>
      </c>
      <c r="AV4552" s="246" t="s">
        <v>635</v>
      </c>
      <c r="AW4552" s="227"/>
      <c r="AX4552" s="227"/>
      <c r="AY4552" s="227"/>
      <c r="AZ4552" s="227"/>
      <c r="BA4552" s="227"/>
      <c r="BB4552" s="227"/>
      <c r="BC4552" s="227"/>
      <c r="BD4552" s="227"/>
      <c r="BE4552" s="227"/>
      <c r="BF4552" s="227"/>
    </row>
    <row r="4553">
      <c r="A4553" s="235" t="s">
        <v>33781</v>
      </c>
      <c r="C4553" s="235" t="s">
        <v>33782</v>
      </c>
      <c r="D4553" s="235" t="s">
        <v>33783</v>
      </c>
      <c r="E4553" s="243">
        <v>6.5E13</v>
      </c>
      <c r="F4553" s="245"/>
      <c r="G4553" s="235" t="s">
        <v>33784</v>
      </c>
      <c r="H4553" s="235" t="s">
        <v>33785</v>
      </c>
      <c r="I4553" s="235" t="s">
        <v>33786</v>
      </c>
      <c r="J4553" s="235" t="s">
        <v>33787</v>
      </c>
      <c r="K4553" s="235" t="s">
        <v>33788</v>
      </c>
      <c r="N4553" s="235" t="s">
        <v>85</v>
      </c>
      <c r="O4553" s="235" t="s">
        <v>872</v>
      </c>
      <c r="P4553" s="238">
        <v>1.0</v>
      </c>
      <c r="Q4553" s="235" t="s">
        <v>627</v>
      </c>
      <c r="R4553" s="238">
        <v>243.8</v>
      </c>
      <c r="S4553" s="238">
        <v>12.2</v>
      </c>
      <c r="T4553" s="238">
        <v>38.1</v>
      </c>
      <c r="U4553" s="238">
        <v>1.9</v>
      </c>
      <c r="V4553" s="238">
        <v>0.0</v>
      </c>
      <c r="W4553" s="238">
        <v>0.0</v>
      </c>
      <c r="X4553" s="235" t="s">
        <v>628</v>
      </c>
      <c r="Z4553" s="245"/>
      <c r="AA4553" s="245"/>
      <c r="AB4553" s="245"/>
      <c r="AC4553" s="235" t="s">
        <v>33789</v>
      </c>
      <c r="AD4553" s="235" t="s">
        <v>666</v>
      </c>
      <c r="AE4553" s="238">
        <v>604408.0</v>
      </c>
      <c r="AF4553" s="235" t="s">
        <v>631</v>
      </c>
      <c r="AG4553" s="245"/>
      <c r="AH4553" s="245"/>
      <c r="AI4553" s="245"/>
      <c r="AJ4553" s="245"/>
      <c r="AK4553" s="245"/>
      <c r="AL4553" s="245"/>
      <c r="AM4553" s="245"/>
      <c r="AN4553" s="245"/>
      <c r="AO4553" s="238">
        <v>0.0</v>
      </c>
      <c r="AP4553" s="238">
        <v>-38.1</v>
      </c>
      <c r="AQ4553" s="235" t="s">
        <v>632</v>
      </c>
      <c r="AR4553" s="243">
        <v>3.71E11</v>
      </c>
      <c r="AS4553" s="235" t="s">
        <v>31232</v>
      </c>
      <c r="AT4553" s="235" t="s">
        <v>156</v>
      </c>
      <c r="AU4553" s="235" t="s">
        <v>634</v>
      </c>
      <c r="AV4553" s="246" t="s">
        <v>635</v>
      </c>
      <c r="AW4553" s="227"/>
      <c r="AX4553" s="227"/>
      <c r="AY4553" s="227"/>
      <c r="AZ4553" s="227"/>
      <c r="BA4553" s="227"/>
      <c r="BB4553" s="227"/>
      <c r="BC4553" s="227"/>
      <c r="BD4553" s="227"/>
      <c r="BE4553" s="227"/>
      <c r="BF4553" s="227"/>
    </row>
    <row r="4554">
      <c r="A4554" s="235" t="s">
        <v>33790</v>
      </c>
      <c r="C4554" s="235" t="s">
        <v>33791</v>
      </c>
      <c r="D4554" s="235" t="s">
        <v>33792</v>
      </c>
      <c r="E4554" s="243">
        <v>6.5E13</v>
      </c>
      <c r="F4554" s="245"/>
      <c r="G4554" s="235" t="s">
        <v>33793</v>
      </c>
      <c r="H4554" s="235" t="s">
        <v>33794</v>
      </c>
      <c r="I4554" s="235" t="s">
        <v>33794</v>
      </c>
      <c r="J4554" s="235" t="s">
        <v>33795</v>
      </c>
      <c r="K4554" s="235" t="s">
        <v>33796</v>
      </c>
      <c r="N4554" s="235" t="s">
        <v>126</v>
      </c>
      <c r="O4554" s="235" t="s">
        <v>407</v>
      </c>
      <c r="P4554" s="238">
        <v>1.0</v>
      </c>
      <c r="Q4554" s="235" t="s">
        <v>627</v>
      </c>
      <c r="R4554" s="238">
        <v>237.14</v>
      </c>
      <c r="S4554" s="238">
        <v>11.86</v>
      </c>
      <c r="T4554" s="238">
        <v>38.1</v>
      </c>
      <c r="U4554" s="238">
        <v>1.9</v>
      </c>
      <c r="V4554" s="238">
        <v>0.0</v>
      </c>
      <c r="W4554" s="238">
        <v>0.0</v>
      </c>
      <c r="X4554" s="235" t="s">
        <v>628</v>
      </c>
      <c r="Z4554" s="245"/>
      <c r="AA4554" s="245"/>
      <c r="AB4554" s="245"/>
      <c r="AC4554" s="235" t="s">
        <v>33797</v>
      </c>
      <c r="AD4554" s="235" t="s">
        <v>881</v>
      </c>
      <c r="AE4554" s="238">
        <v>768106.0</v>
      </c>
      <c r="AF4554" s="235" t="s">
        <v>631</v>
      </c>
      <c r="AG4554" s="245"/>
      <c r="AH4554" s="245"/>
      <c r="AI4554" s="245"/>
      <c r="AJ4554" s="245"/>
      <c r="AK4554" s="245"/>
      <c r="AL4554" s="245"/>
      <c r="AM4554" s="245"/>
      <c r="AN4554" s="245"/>
      <c r="AO4554" s="238">
        <v>0.0</v>
      </c>
      <c r="AP4554" s="238">
        <v>-38.1</v>
      </c>
      <c r="AQ4554" s="235" t="s">
        <v>1328</v>
      </c>
      <c r="AR4554" s="243">
        <v>1.34E13</v>
      </c>
      <c r="AS4554" s="235" t="s">
        <v>25098</v>
      </c>
      <c r="AT4554" s="235" t="s">
        <v>9</v>
      </c>
      <c r="AU4554" s="235" t="s">
        <v>634</v>
      </c>
      <c r="AV4554" s="246" t="s">
        <v>635</v>
      </c>
      <c r="AW4554" s="227"/>
      <c r="AX4554" s="227"/>
      <c r="AY4554" s="227"/>
      <c r="AZ4554" s="227"/>
      <c r="BA4554" s="227"/>
      <c r="BB4554" s="227"/>
      <c r="BC4554" s="227"/>
      <c r="BD4554" s="227"/>
      <c r="BE4554" s="227"/>
      <c r="BF4554" s="227"/>
    </row>
    <row r="4555">
      <c r="A4555" s="235" t="s">
        <v>33798</v>
      </c>
      <c r="C4555" s="235" t="s">
        <v>33799</v>
      </c>
      <c r="D4555" s="235" t="s">
        <v>33800</v>
      </c>
      <c r="E4555" s="243">
        <v>6.5E13</v>
      </c>
      <c r="F4555" s="245"/>
      <c r="G4555" s="235" t="s">
        <v>33801</v>
      </c>
      <c r="H4555" s="235" t="s">
        <v>33802</v>
      </c>
      <c r="I4555" s="235" t="s">
        <v>33802</v>
      </c>
      <c r="J4555" s="235" t="s">
        <v>33803</v>
      </c>
      <c r="K4555" s="235" t="s">
        <v>33804</v>
      </c>
      <c r="N4555" s="235" t="s">
        <v>842</v>
      </c>
      <c r="O4555" s="235" t="s">
        <v>843</v>
      </c>
      <c r="P4555" s="238">
        <v>1.0</v>
      </c>
      <c r="Q4555" s="235" t="s">
        <v>627</v>
      </c>
      <c r="R4555" s="238">
        <v>246.67</v>
      </c>
      <c r="S4555" s="238">
        <v>12.33</v>
      </c>
      <c r="T4555" s="238">
        <v>0.0</v>
      </c>
      <c r="U4555" s="238">
        <v>0.0</v>
      </c>
      <c r="V4555" s="238">
        <v>0.0</v>
      </c>
      <c r="W4555" s="238">
        <v>0.0</v>
      </c>
      <c r="X4555" s="235" t="s">
        <v>628</v>
      </c>
      <c r="Z4555" s="245"/>
      <c r="AA4555" s="245"/>
      <c r="AB4555" s="245"/>
      <c r="AC4555" s="235" t="s">
        <v>1406</v>
      </c>
      <c r="AD4555" s="235" t="s">
        <v>854</v>
      </c>
      <c r="AE4555" s="238">
        <v>403601.0</v>
      </c>
      <c r="AF4555" s="235" t="s">
        <v>631</v>
      </c>
      <c r="AG4555" s="245"/>
      <c r="AH4555" s="245"/>
      <c r="AI4555" s="245"/>
      <c r="AJ4555" s="245"/>
      <c r="AK4555" s="245"/>
      <c r="AL4555" s="245"/>
      <c r="AM4555" s="245"/>
      <c r="AN4555" s="245"/>
      <c r="AO4555" s="238">
        <v>0.0</v>
      </c>
      <c r="AP4555" s="238">
        <v>0.0</v>
      </c>
      <c r="AQ4555" s="235" t="s">
        <v>632</v>
      </c>
      <c r="AR4555" s="243">
        <v>2.02E11</v>
      </c>
      <c r="AS4555" s="235" t="s">
        <v>32455</v>
      </c>
      <c r="AT4555" s="235" t="s">
        <v>9</v>
      </c>
      <c r="AU4555" s="235" t="s">
        <v>634</v>
      </c>
      <c r="AV4555" s="246" t="s">
        <v>635</v>
      </c>
      <c r="AW4555" s="227"/>
      <c r="AX4555" s="227"/>
      <c r="AY4555" s="227"/>
      <c r="AZ4555" s="227"/>
      <c r="BA4555" s="227"/>
      <c r="BB4555" s="227"/>
      <c r="BC4555" s="227"/>
      <c r="BD4555" s="227"/>
      <c r="BE4555" s="227"/>
      <c r="BF4555" s="227"/>
    </row>
    <row r="4556">
      <c r="A4556" s="235" t="s">
        <v>33805</v>
      </c>
      <c r="C4556" s="235" t="s">
        <v>33806</v>
      </c>
      <c r="D4556" s="235" t="s">
        <v>33807</v>
      </c>
      <c r="E4556" s="243">
        <v>6.5E13</v>
      </c>
      <c r="F4556" s="245"/>
      <c r="G4556" s="235" t="s">
        <v>33808</v>
      </c>
      <c r="H4556" s="235" t="s">
        <v>33809</v>
      </c>
      <c r="I4556" s="235" t="s">
        <v>33809</v>
      </c>
      <c r="J4556" s="235" t="s">
        <v>33810</v>
      </c>
      <c r="K4556" s="235" t="s">
        <v>33811</v>
      </c>
      <c r="N4556" s="235" t="s">
        <v>51</v>
      </c>
      <c r="O4556" s="235" t="s">
        <v>273</v>
      </c>
      <c r="P4556" s="238">
        <v>1.0</v>
      </c>
      <c r="Q4556" s="235" t="s">
        <v>627</v>
      </c>
      <c r="R4556" s="238">
        <v>235.24</v>
      </c>
      <c r="S4556" s="238">
        <v>11.41</v>
      </c>
      <c r="T4556" s="238">
        <v>38.1</v>
      </c>
      <c r="U4556" s="238">
        <v>1.9</v>
      </c>
      <c r="V4556" s="238">
        <v>0.0</v>
      </c>
      <c r="W4556" s="238">
        <v>0.0</v>
      </c>
      <c r="X4556" s="235" t="s">
        <v>628</v>
      </c>
      <c r="Z4556" s="245"/>
      <c r="AA4556" s="245"/>
      <c r="AB4556" s="245"/>
      <c r="AC4556" s="235" t="s">
        <v>7836</v>
      </c>
      <c r="AD4556" s="235" t="s">
        <v>666</v>
      </c>
      <c r="AE4556" s="238">
        <v>630001.0</v>
      </c>
      <c r="AF4556" s="235" t="s">
        <v>631</v>
      </c>
      <c r="AG4556" s="245"/>
      <c r="AH4556" s="245"/>
      <c r="AI4556" s="245"/>
      <c r="AJ4556" s="245"/>
      <c r="AK4556" s="245"/>
      <c r="AL4556" s="245"/>
      <c r="AM4556" s="245"/>
      <c r="AN4556" s="245"/>
      <c r="AO4556" s="238">
        <v>-7.06</v>
      </c>
      <c r="AP4556" s="238">
        <v>-38.1</v>
      </c>
      <c r="AQ4556" s="235" t="s">
        <v>632</v>
      </c>
      <c r="AR4556" s="243">
        <v>3.71E11</v>
      </c>
      <c r="AS4556" s="235" t="s">
        <v>32455</v>
      </c>
      <c r="AT4556" s="235" t="s">
        <v>9</v>
      </c>
      <c r="AU4556" s="235" t="s">
        <v>634</v>
      </c>
      <c r="AV4556" s="246" t="s">
        <v>635</v>
      </c>
      <c r="AW4556" s="227"/>
      <c r="AX4556" s="227"/>
      <c r="AY4556" s="227"/>
      <c r="AZ4556" s="227"/>
      <c r="BA4556" s="227"/>
      <c r="BB4556" s="227"/>
      <c r="BC4556" s="227"/>
      <c r="BD4556" s="227"/>
      <c r="BE4556" s="227"/>
      <c r="BF4556" s="227"/>
    </row>
    <row r="4557">
      <c r="A4557" s="235" t="s">
        <v>33812</v>
      </c>
      <c r="C4557" s="235" t="s">
        <v>33813</v>
      </c>
      <c r="D4557" s="235" t="s">
        <v>33814</v>
      </c>
      <c r="E4557" s="243">
        <v>6.49E13</v>
      </c>
      <c r="F4557" s="245"/>
      <c r="G4557" s="235" t="s">
        <v>33815</v>
      </c>
      <c r="H4557" s="235" t="s">
        <v>33816</v>
      </c>
      <c r="I4557" s="235" t="s">
        <v>33816</v>
      </c>
      <c r="J4557" s="235" t="s">
        <v>33817</v>
      </c>
      <c r="K4557" s="235" t="s">
        <v>33818</v>
      </c>
      <c r="N4557" s="235" t="s">
        <v>154</v>
      </c>
      <c r="O4557" s="235" t="s">
        <v>766</v>
      </c>
      <c r="P4557" s="238">
        <v>1.0</v>
      </c>
      <c r="Q4557" s="235" t="s">
        <v>627</v>
      </c>
      <c r="R4557" s="238">
        <v>465.71</v>
      </c>
      <c r="S4557" s="238">
        <v>22.59</v>
      </c>
      <c r="T4557" s="238">
        <v>38.1</v>
      </c>
      <c r="U4557" s="238">
        <v>1.9</v>
      </c>
      <c r="V4557" s="238">
        <v>0.0</v>
      </c>
      <c r="W4557" s="238">
        <v>0.0</v>
      </c>
      <c r="X4557" s="235" t="s">
        <v>628</v>
      </c>
      <c r="Z4557" s="245"/>
      <c r="AA4557" s="245"/>
      <c r="AB4557" s="245"/>
      <c r="AC4557" s="235" t="s">
        <v>33819</v>
      </c>
      <c r="AD4557" s="235" t="s">
        <v>645</v>
      </c>
      <c r="AE4557" s="238">
        <v>689695.0</v>
      </c>
      <c r="AF4557" s="235" t="s">
        <v>631</v>
      </c>
      <c r="AG4557" s="245"/>
      <c r="AH4557" s="245"/>
      <c r="AI4557" s="245"/>
      <c r="AJ4557" s="245"/>
      <c r="AK4557" s="245"/>
      <c r="AL4557" s="245"/>
      <c r="AM4557" s="245"/>
      <c r="AN4557" s="245"/>
      <c r="AO4557" s="238">
        <v>-13.97</v>
      </c>
      <c r="AP4557" s="238">
        <v>-38.1</v>
      </c>
      <c r="AQ4557" s="235" t="s">
        <v>632</v>
      </c>
      <c r="AR4557" s="243">
        <v>3.71E11</v>
      </c>
      <c r="AS4557" s="235" t="s">
        <v>28482</v>
      </c>
      <c r="AT4557" s="235" t="s">
        <v>9</v>
      </c>
      <c r="AU4557" s="235" t="s">
        <v>634</v>
      </c>
      <c r="AV4557" s="246" t="s">
        <v>635</v>
      </c>
      <c r="AW4557" s="227"/>
      <c r="AX4557" s="227"/>
      <c r="AY4557" s="227"/>
      <c r="AZ4557" s="227"/>
      <c r="BA4557" s="227"/>
      <c r="BB4557" s="227"/>
      <c r="BC4557" s="227"/>
      <c r="BD4557" s="227"/>
      <c r="BE4557" s="227"/>
      <c r="BF4557" s="227"/>
    </row>
    <row r="4558">
      <c r="A4558" s="235" t="s">
        <v>33812</v>
      </c>
      <c r="C4558" s="235" t="s">
        <v>33813</v>
      </c>
      <c r="D4558" s="235" t="s">
        <v>33820</v>
      </c>
      <c r="E4558" s="243">
        <v>6.49E13</v>
      </c>
      <c r="F4558" s="245"/>
      <c r="G4558" s="235" t="s">
        <v>33815</v>
      </c>
      <c r="H4558" s="235" t="s">
        <v>33816</v>
      </c>
      <c r="I4558" s="235" t="s">
        <v>33816</v>
      </c>
      <c r="J4558" s="235" t="s">
        <v>33817</v>
      </c>
      <c r="K4558" s="235" t="s">
        <v>33818</v>
      </c>
      <c r="N4558" s="235" t="s">
        <v>154</v>
      </c>
      <c r="O4558" s="235" t="s">
        <v>766</v>
      </c>
      <c r="P4558" s="238">
        <v>1.0</v>
      </c>
      <c r="Q4558" s="235" t="s">
        <v>627</v>
      </c>
      <c r="R4558" s="238">
        <v>465.71</v>
      </c>
      <c r="S4558" s="238">
        <v>22.59</v>
      </c>
      <c r="T4558" s="238">
        <v>38.1</v>
      </c>
      <c r="U4558" s="238">
        <v>1.9</v>
      </c>
      <c r="V4558" s="238">
        <v>0.0</v>
      </c>
      <c r="W4558" s="238">
        <v>0.0</v>
      </c>
      <c r="X4558" s="235" t="s">
        <v>628</v>
      </c>
      <c r="Z4558" s="245"/>
      <c r="AA4558" s="245"/>
      <c r="AB4558" s="245"/>
      <c r="AC4558" s="235" t="s">
        <v>33819</v>
      </c>
      <c r="AD4558" s="235" t="s">
        <v>645</v>
      </c>
      <c r="AE4558" s="238">
        <v>689695.0</v>
      </c>
      <c r="AF4558" s="235" t="s">
        <v>631</v>
      </c>
      <c r="AG4558" s="245"/>
      <c r="AH4558" s="245"/>
      <c r="AI4558" s="245"/>
      <c r="AJ4558" s="245"/>
      <c r="AK4558" s="245"/>
      <c r="AL4558" s="245"/>
      <c r="AM4558" s="245"/>
      <c r="AN4558" s="245"/>
      <c r="AO4558" s="238">
        <v>-13.97</v>
      </c>
      <c r="AP4558" s="238">
        <v>-38.1</v>
      </c>
      <c r="AQ4558" s="235" t="s">
        <v>632</v>
      </c>
      <c r="AR4558" s="243">
        <v>3.71E11</v>
      </c>
      <c r="AS4558" s="235" t="s">
        <v>28482</v>
      </c>
      <c r="AT4558" s="235" t="s">
        <v>9</v>
      </c>
      <c r="AU4558" s="235" t="s">
        <v>634</v>
      </c>
      <c r="AV4558" s="246" t="s">
        <v>635</v>
      </c>
      <c r="AW4558" s="227"/>
      <c r="AX4558" s="227"/>
      <c r="AY4558" s="227"/>
      <c r="AZ4558" s="227"/>
      <c r="BA4558" s="227"/>
      <c r="BB4558" s="227"/>
      <c r="BC4558" s="227"/>
      <c r="BD4558" s="227"/>
      <c r="BE4558" s="227"/>
      <c r="BF4558" s="227"/>
    </row>
    <row r="4559">
      <c r="A4559" s="235" t="s">
        <v>33821</v>
      </c>
      <c r="C4559" s="235" t="s">
        <v>33822</v>
      </c>
      <c r="D4559" s="235" t="s">
        <v>33823</v>
      </c>
      <c r="E4559" s="243">
        <v>6.5E13</v>
      </c>
      <c r="F4559" s="245"/>
      <c r="G4559" s="235" t="s">
        <v>33824</v>
      </c>
      <c r="H4559" s="235" t="s">
        <v>33825</v>
      </c>
      <c r="I4559" s="235" t="s">
        <v>33825</v>
      </c>
      <c r="J4559" s="235" t="s">
        <v>33826</v>
      </c>
      <c r="K4559" s="235" t="s">
        <v>33827</v>
      </c>
      <c r="N4559" s="235" t="s">
        <v>27</v>
      </c>
      <c r="O4559" s="235" t="s">
        <v>573</v>
      </c>
      <c r="P4559" s="238">
        <v>1.0</v>
      </c>
      <c r="Q4559" s="235" t="s">
        <v>627</v>
      </c>
      <c r="R4559" s="238">
        <v>360.95</v>
      </c>
      <c r="S4559" s="238">
        <v>18.05</v>
      </c>
      <c r="T4559" s="238">
        <v>0.0</v>
      </c>
      <c r="U4559" s="238">
        <v>0.0</v>
      </c>
      <c r="V4559" s="238">
        <v>0.0</v>
      </c>
      <c r="W4559" s="238">
        <v>0.0</v>
      </c>
      <c r="X4559" s="235" t="s">
        <v>628</v>
      </c>
      <c r="Z4559" s="245"/>
      <c r="AA4559" s="245"/>
      <c r="AB4559" s="245"/>
      <c r="AC4559" s="235" t="s">
        <v>33828</v>
      </c>
      <c r="AD4559" s="235" t="s">
        <v>1077</v>
      </c>
      <c r="AE4559" s="238">
        <v>394120.0</v>
      </c>
      <c r="AF4559" s="235" t="s">
        <v>631</v>
      </c>
      <c r="AG4559" s="245"/>
      <c r="AH4559" s="245"/>
      <c r="AI4559" s="245"/>
      <c r="AJ4559" s="245"/>
      <c r="AK4559" s="245"/>
      <c r="AL4559" s="245"/>
      <c r="AM4559" s="245"/>
      <c r="AN4559" s="245"/>
      <c r="AO4559" s="238">
        <v>0.0</v>
      </c>
      <c r="AP4559" s="238">
        <v>0.0</v>
      </c>
      <c r="AQ4559" s="235" t="s">
        <v>632</v>
      </c>
      <c r="AR4559" s="243">
        <v>3.71E11</v>
      </c>
      <c r="AS4559" s="235" t="s">
        <v>31232</v>
      </c>
      <c r="AT4559" s="235" t="s">
        <v>16</v>
      </c>
      <c r="AU4559" s="235" t="s">
        <v>634</v>
      </c>
      <c r="AV4559" s="246" t="s">
        <v>635</v>
      </c>
      <c r="AW4559" s="227"/>
      <c r="AX4559" s="227"/>
      <c r="AY4559" s="227"/>
      <c r="AZ4559" s="227"/>
      <c r="BA4559" s="227"/>
      <c r="BB4559" s="227"/>
      <c r="BC4559" s="227"/>
      <c r="BD4559" s="227"/>
      <c r="BE4559" s="227"/>
      <c r="BF4559" s="227"/>
    </row>
    <row r="4560">
      <c r="A4560" s="235" t="s">
        <v>33805</v>
      </c>
      <c r="C4560" s="235" t="s">
        <v>33829</v>
      </c>
      <c r="D4560" s="235" t="s">
        <v>33830</v>
      </c>
      <c r="E4560" s="243">
        <v>6.5E13</v>
      </c>
      <c r="F4560" s="245"/>
      <c r="G4560" s="235" t="s">
        <v>33808</v>
      </c>
      <c r="H4560" s="235" t="s">
        <v>33831</v>
      </c>
      <c r="I4560" s="235" t="s">
        <v>33831</v>
      </c>
      <c r="J4560" s="235" t="s">
        <v>33832</v>
      </c>
      <c r="K4560" s="235" t="s">
        <v>33811</v>
      </c>
      <c r="N4560" s="235" t="s">
        <v>51</v>
      </c>
      <c r="O4560" s="235" t="s">
        <v>273</v>
      </c>
      <c r="P4560" s="238">
        <v>1.0</v>
      </c>
      <c r="Q4560" s="235" t="s">
        <v>627</v>
      </c>
      <c r="R4560" s="238">
        <v>235.24</v>
      </c>
      <c r="S4560" s="238">
        <v>11.41</v>
      </c>
      <c r="T4560" s="238">
        <v>38.1</v>
      </c>
      <c r="U4560" s="238">
        <v>1.9</v>
      </c>
      <c r="V4560" s="238">
        <v>0.0</v>
      </c>
      <c r="W4560" s="238">
        <v>0.0</v>
      </c>
      <c r="X4560" s="235" t="s">
        <v>628</v>
      </c>
      <c r="Z4560" s="245"/>
      <c r="AA4560" s="245"/>
      <c r="AB4560" s="245"/>
      <c r="AC4560" s="235" t="s">
        <v>7836</v>
      </c>
      <c r="AD4560" s="235" t="s">
        <v>666</v>
      </c>
      <c r="AE4560" s="238">
        <v>630001.0</v>
      </c>
      <c r="AF4560" s="235" t="s">
        <v>631</v>
      </c>
      <c r="AG4560" s="245"/>
      <c r="AH4560" s="245"/>
      <c r="AI4560" s="245"/>
      <c r="AJ4560" s="245"/>
      <c r="AK4560" s="245"/>
      <c r="AL4560" s="245"/>
      <c r="AM4560" s="245"/>
      <c r="AN4560" s="245"/>
      <c r="AO4560" s="238">
        <v>-7.06</v>
      </c>
      <c r="AP4560" s="238">
        <v>-38.1</v>
      </c>
      <c r="AQ4560" s="235" t="s">
        <v>632</v>
      </c>
      <c r="AR4560" s="243">
        <v>3.71E11</v>
      </c>
      <c r="AS4560" s="235" t="s">
        <v>32455</v>
      </c>
      <c r="AT4560" s="235" t="s">
        <v>9</v>
      </c>
      <c r="AU4560" s="235" t="s">
        <v>634</v>
      </c>
      <c r="AV4560" s="246" t="s">
        <v>635</v>
      </c>
      <c r="AW4560" s="227"/>
      <c r="AX4560" s="227"/>
      <c r="AY4560" s="227"/>
      <c r="AZ4560" s="227"/>
      <c r="BA4560" s="227"/>
      <c r="BB4560" s="227"/>
      <c r="BC4560" s="227"/>
      <c r="BD4560" s="227"/>
      <c r="BE4560" s="227"/>
      <c r="BF4560" s="227"/>
    </row>
    <row r="4561">
      <c r="A4561" s="235" t="s">
        <v>33833</v>
      </c>
      <c r="C4561" s="235" t="s">
        <v>33834</v>
      </c>
      <c r="D4561" s="235" t="s">
        <v>33835</v>
      </c>
      <c r="E4561" s="243">
        <v>6.5E13</v>
      </c>
      <c r="F4561" s="245"/>
      <c r="G4561" s="235" t="s">
        <v>33836</v>
      </c>
      <c r="H4561" s="235" t="s">
        <v>33837</v>
      </c>
      <c r="I4561" s="235" t="s">
        <v>33837</v>
      </c>
      <c r="J4561" s="235" t="s">
        <v>33838</v>
      </c>
      <c r="K4561" s="235" t="s">
        <v>33839</v>
      </c>
      <c r="N4561" s="235" t="s">
        <v>92</v>
      </c>
      <c r="O4561" s="235" t="s">
        <v>248</v>
      </c>
      <c r="P4561" s="238">
        <v>1.0</v>
      </c>
      <c r="Q4561" s="235" t="s">
        <v>627</v>
      </c>
      <c r="R4561" s="238">
        <v>244.76</v>
      </c>
      <c r="S4561" s="238">
        <v>12.24</v>
      </c>
      <c r="T4561" s="238">
        <v>38.1</v>
      </c>
      <c r="U4561" s="238">
        <v>1.9</v>
      </c>
      <c r="V4561" s="238">
        <v>0.0</v>
      </c>
      <c r="W4561" s="238">
        <v>0.0</v>
      </c>
      <c r="X4561" s="235" t="s">
        <v>628</v>
      </c>
      <c r="Z4561" s="245"/>
      <c r="AA4561" s="245"/>
      <c r="AB4561" s="245"/>
      <c r="AC4561" s="235" t="s">
        <v>33840</v>
      </c>
      <c r="AD4561" s="235" t="s">
        <v>845</v>
      </c>
      <c r="AE4561" s="238">
        <v>401601.0</v>
      </c>
      <c r="AF4561" s="235" t="s">
        <v>631</v>
      </c>
      <c r="AG4561" s="245"/>
      <c r="AH4561" s="245"/>
      <c r="AI4561" s="245"/>
      <c r="AJ4561" s="245"/>
      <c r="AK4561" s="245"/>
      <c r="AL4561" s="245"/>
      <c r="AM4561" s="245"/>
      <c r="AN4561" s="245"/>
      <c r="AO4561" s="238">
        <v>0.0</v>
      </c>
      <c r="AP4561" s="238">
        <v>-38.1</v>
      </c>
      <c r="AQ4561" s="235" t="s">
        <v>632</v>
      </c>
      <c r="AR4561" s="243">
        <v>3.71E11</v>
      </c>
      <c r="AS4561" s="235" t="s">
        <v>31232</v>
      </c>
      <c r="AT4561" s="235" t="s">
        <v>17</v>
      </c>
      <c r="AU4561" s="235" t="s">
        <v>634</v>
      </c>
      <c r="AV4561" s="246" t="s">
        <v>635</v>
      </c>
      <c r="AW4561" s="227"/>
      <c r="AX4561" s="227"/>
      <c r="AY4561" s="227"/>
      <c r="AZ4561" s="227"/>
      <c r="BA4561" s="227"/>
      <c r="BB4561" s="227"/>
      <c r="BC4561" s="227"/>
      <c r="BD4561" s="227"/>
      <c r="BE4561" s="227"/>
      <c r="BF4561" s="227"/>
    </row>
    <row r="4562">
      <c r="A4562" s="235" t="s">
        <v>33841</v>
      </c>
      <c r="C4562" s="235" t="s">
        <v>33842</v>
      </c>
      <c r="D4562" s="235" t="s">
        <v>33843</v>
      </c>
      <c r="E4562" s="243">
        <v>6.5E13</v>
      </c>
      <c r="F4562" s="245"/>
      <c r="G4562" s="235" t="s">
        <v>33844</v>
      </c>
      <c r="H4562" s="235" t="s">
        <v>33845</v>
      </c>
      <c r="I4562" s="235" t="s">
        <v>33845</v>
      </c>
      <c r="J4562" s="235" t="s">
        <v>33846</v>
      </c>
      <c r="K4562" s="235" t="s">
        <v>33847</v>
      </c>
      <c r="N4562" s="235" t="s">
        <v>53</v>
      </c>
      <c r="O4562" s="235" t="s">
        <v>512</v>
      </c>
      <c r="P4562" s="238">
        <v>1.0</v>
      </c>
      <c r="Q4562" s="235" t="s">
        <v>627</v>
      </c>
      <c r="R4562" s="238">
        <v>237.14</v>
      </c>
      <c r="S4562" s="238">
        <v>11.86</v>
      </c>
      <c r="T4562" s="238">
        <v>0.0</v>
      </c>
      <c r="U4562" s="238">
        <v>0.0</v>
      </c>
      <c r="V4562" s="238">
        <v>0.0</v>
      </c>
      <c r="W4562" s="238">
        <v>0.0</v>
      </c>
      <c r="X4562" s="235" t="s">
        <v>628</v>
      </c>
      <c r="Z4562" s="245"/>
      <c r="AA4562" s="245"/>
      <c r="AB4562" s="245"/>
      <c r="AC4562" s="235" t="s">
        <v>687</v>
      </c>
      <c r="AD4562" s="235" t="s">
        <v>666</v>
      </c>
      <c r="AE4562" s="238">
        <v>600004.0</v>
      </c>
      <c r="AF4562" s="235" t="s">
        <v>631</v>
      </c>
      <c r="AG4562" s="245"/>
      <c r="AH4562" s="245"/>
      <c r="AI4562" s="245"/>
      <c r="AJ4562" s="245"/>
      <c r="AK4562" s="245"/>
      <c r="AL4562" s="245"/>
      <c r="AM4562" s="245"/>
      <c r="AN4562" s="245"/>
      <c r="AO4562" s="238">
        <v>0.0</v>
      </c>
      <c r="AP4562" s="238">
        <v>0.0</v>
      </c>
      <c r="AQ4562" s="235" t="s">
        <v>632</v>
      </c>
      <c r="AR4562" s="243">
        <v>3.71E11</v>
      </c>
      <c r="AS4562" s="235" t="s">
        <v>33466</v>
      </c>
      <c r="AT4562" s="235" t="s">
        <v>156</v>
      </c>
      <c r="AU4562" s="235" t="s">
        <v>634</v>
      </c>
      <c r="AV4562" s="246" t="s">
        <v>635</v>
      </c>
      <c r="AW4562" s="227"/>
      <c r="AX4562" s="227"/>
      <c r="AY4562" s="227"/>
      <c r="AZ4562" s="227"/>
      <c r="BA4562" s="227"/>
      <c r="BB4562" s="227"/>
      <c r="BC4562" s="227"/>
      <c r="BD4562" s="227"/>
      <c r="BE4562" s="227"/>
      <c r="BF4562" s="227"/>
    </row>
    <row r="4563">
      <c r="A4563" s="235" t="s">
        <v>33848</v>
      </c>
      <c r="C4563" s="235" t="s">
        <v>33849</v>
      </c>
      <c r="D4563" s="235" t="s">
        <v>33850</v>
      </c>
      <c r="E4563" s="243">
        <v>6.5E13</v>
      </c>
      <c r="F4563" s="245"/>
      <c r="G4563" s="235" t="s">
        <v>33851</v>
      </c>
      <c r="H4563" s="235" t="s">
        <v>33852</v>
      </c>
      <c r="I4563" s="235" t="s">
        <v>33852</v>
      </c>
      <c r="J4563" s="235" t="s">
        <v>33853</v>
      </c>
      <c r="K4563" s="235" t="s">
        <v>33854</v>
      </c>
      <c r="N4563" s="235" t="s">
        <v>154</v>
      </c>
      <c r="O4563" s="235" t="s">
        <v>766</v>
      </c>
      <c r="P4563" s="238">
        <v>1.0</v>
      </c>
      <c r="Q4563" s="235" t="s">
        <v>627</v>
      </c>
      <c r="R4563" s="238">
        <v>465.72</v>
      </c>
      <c r="S4563" s="238">
        <v>22.82</v>
      </c>
      <c r="T4563" s="238">
        <v>0.0</v>
      </c>
      <c r="U4563" s="238">
        <v>0.0</v>
      </c>
      <c r="V4563" s="238">
        <v>0.0</v>
      </c>
      <c r="W4563" s="238">
        <v>0.0</v>
      </c>
      <c r="X4563" s="235" t="s">
        <v>628</v>
      </c>
      <c r="Z4563" s="245"/>
      <c r="AA4563" s="245"/>
      <c r="AB4563" s="245"/>
      <c r="AC4563" s="235" t="s">
        <v>1961</v>
      </c>
      <c r="AD4563" s="235" t="s">
        <v>845</v>
      </c>
      <c r="AE4563" s="238">
        <v>411033.0</v>
      </c>
      <c r="AF4563" s="235" t="s">
        <v>631</v>
      </c>
      <c r="AG4563" s="245"/>
      <c r="AH4563" s="245"/>
      <c r="AI4563" s="245"/>
      <c r="AJ4563" s="245"/>
      <c r="AK4563" s="245"/>
      <c r="AL4563" s="245"/>
      <c r="AM4563" s="245"/>
      <c r="AN4563" s="245"/>
      <c r="AO4563" s="238">
        <v>-9.32</v>
      </c>
      <c r="AP4563" s="238">
        <v>0.0</v>
      </c>
      <c r="AQ4563" s="235" t="s">
        <v>632</v>
      </c>
      <c r="AR4563" s="243">
        <v>3.71E11</v>
      </c>
      <c r="AS4563" s="235" t="s">
        <v>33466</v>
      </c>
      <c r="AT4563" s="235" t="s">
        <v>546</v>
      </c>
      <c r="AU4563" s="235" t="s">
        <v>634</v>
      </c>
      <c r="AV4563" s="246" t="s">
        <v>635</v>
      </c>
      <c r="AW4563" s="227"/>
      <c r="AX4563" s="227"/>
      <c r="AY4563" s="227"/>
      <c r="AZ4563" s="227"/>
      <c r="BA4563" s="227"/>
      <c r="BB4563" s="227"/>
      <c r="BC4563" s="227"/>
      <c r="BD4563" s="227"/>
      <c r="BE4563" s="227"/>
      <c r="BF4563" s="227"/>
    </row>
    <row r="4564">
      <c r="A4564" s="235" t="s">
        <v>33855</v>
      </c>
      <c r="C4564" s="235" t="s">
        <v>33856</v>
      </c>
      <c r="D4564" s="235" t="s">
        <v>33857</v>
      </c>
      <c r="E4564" s="243">
        <v>6.5E13</v>
      </c>
      <c r="F4564" s="245"/>
      <c r="G4564" s="235" t="s">
        <v>33858</v>
      </c>
      <c r="H4564" s="235" t="s">
        <v>33859</v>
      </c>
      <c r="I4564" s="235" t="s">
        <v>33859</v>
      </c>
      <c r="J4564" s="235" t="s">
        <v>33860</v>
      </c>
      <c r="K4564" s="235" t="s">
        <v>33861</v>
      </c>
      <c r="N4564" s="235" t="s">
        <v>42</v>
      </c>
      <c r="O4564" s="235" t="s">
        <v>204</v>
      </c>
      <c r="P4564" s="238">
        <v>1.0</v>
      </c>
      <c r="Q4564" s="235" t="s">
        <v>627</v>
      </c>
      <c r="R4564" s="238">
        <v>237.14</v>
      </c>
      <c r="S4564" s="238">
        <v>11.86</v>
      </c>
      <c r="T4564" s="238">
        <v>0.0</v>
      </c>
      <c r="U4564" s="238">
        <v>0.0</v>
      </c>
      <c r="V4564" s="238">
        <v>0.0</v>
      </c>
      <c r="W4564" s="238">
        <v>0.0</v>
      </c>
      <c r="X4564" s="235" t="s">
        <v>628</v>
      </c>
      <c r="Z4564" s="245"/>
      <c r="AA4564" s="245"/>
      <c r="AB4564" s="245"/>
      <c r="AC4564" s="235" t="s">
        <v>1671</v>
      </c>
      <c r="AD4564" s="235" t="s">
        <v>666</v>
      </c>
      <c r="AE4564" s="238">
        <v>641029.0</v>
      </c>
      <c r="AF4564" s="235" t="s">
        <v>631</v>
      </c>
      <c r="AG4564" s="245"/>
      <c r="AH4564" s="245"/>
      <c r="AI4564" s="245"/>
      <c r="AJ4564" s="245"/>
      <c r="AK4564" s="245"/>
      <c r="AL4564" s="245"/>
      <c r="AM4564" s="245"/>
      <c r="AN4564" s="245"/>
      <c r="AO4564" s="238">
        <v>0.0</v>
      </c>
      <c r="AP4564" s="238">
        <v>0.0</v>
      </c>
      <c r="AQ4564" s="235" t="s">
        <v>632</v>
      </c>
      <c r="AR4564" s="243">
        <v>3.71E11</v>
      </c>
      <c r="AS4564" s="235" t="s">
        <v>33466</v>
      </c>
      <c r="AT4564" s="235" t="s">
        <v>155</v>
      </c>
      <c r="AU4564" s="235" t="s">
        <v>634</v>
      </c>
      <c r="AV4564" s="246" t="s">
        <v>635</v>
      </c>
      <c r="AW4564" s="227"/>
      <c r="AX4564" s="227"/>
      <c r="AY4564" s="227"/>
      <c r="AZ4564" s="227"/>
      <c r="BA4564" s="227"/>
      <c r="BB4564" s="227"/>
      <c r="BC4564" s="227"/>
      <c r="BD4564" s="227"/>
      <c r="BE4564" s="227"/>
      <c r="BF4564" s="227"/>
    </row>
    <row r="4565">
      <c r="A4565" s="235" t="s">
        <v>33862</v>
      </c>
      <c r="C4565" s="235" t="s">
        <v>33863</v>
      </c>
      <c r="D4565" s="235" t="s">
        <v>33864</v>
      </c>
      <c r="E4565" s="243">
        <v>6.5E13</v>
      </c>
      <c r="F4565" s="245"/>
      <c r="G4565" s="235" t="s">
        <v>33865</v>
      </c>
      <c r="H4565" s="235" t="s">
        <v>33866</v>
      </c>
      <c r="I4565" s="235" t="s">
        <v>33866</v>
      </c>
      <c r="J4565" s="235" t="s">
        <v>33867</v>
      </c>
      <c r="K4565" s="235" t="s">
        <v>33868</v>
      </c>
      <c r="N4565" s="235" t="s">
        <v>127</v>
      </c>
      <c r="O4565" s="235" t="s">
        <v>794</v>
      </c>
      <c r="P4565" s="238">
        <v>1.0</v>
      </c>
      <c r="Q4565" s="235" t="s">
        <v>627</v>
      </c>
      <c r="R4565" s="238">
        <v>243.8</v>
      </c>
      <c r="S4565" s="238">
        <v>12.2</v>
      </c>
      <c r="T4565" s="238">
        <v>0.0</v>
      </c>
      <c r="U4565" s="238">
        <v>0.0</v>
      </c>
      <c r="V4565" s="238">
        <v>0.0</v>
      </c>
      <c r="W4565" s="238">
        <v>0.0</v>
      </c>
      <c r="X4565" s="235" t="s">
        <v>628</v>
      </c>
      <c r="Z4565" s="245"/>
      <c r="AA4565" s="245"/>
      <c r="AB4565" s="245"/>
      <c r="AC4565" s="235" t="s">
        <v>678</v>
      </c>
      <c r="AD4565" s="235" t="s">
        <v>679</v>
      </c>
      <c r="AE4565" s="238">
        <v>560103.0</v>
      </c>
      <c r="AF4565" s="235" t="s">
        <v>631</v>
      </c>
      <c r="AG4565" s="245"/>
      <c r="AH4565" s="245"/>
      <c r="AI4565" s="245"/>
      <c r="AJ4565" s="245"/>
      <c r="AK4565" s="245"/>
      <c r="AL4565" s="245"/>
      <c r="AM4565" s="245"/>
      <c r="AN4565" s="245"/>
      <c r="AO4565" s="238">
        <v>0.0</v>
      </c>
      <c r="AP4565" s="238">
        <v>0.0</v>
      </c>
      <c r="AQ4565" s="235" t="s">
        <v>632</v>
      </c>
      <c r="AR4565" s="243">
        <v>1.68E11</v>
      </c>
      <c r="AS4565" s="235" t="s">
        <v>33869</v>
      </c>
      <c r="AT4565" s="235" t="s">
        <v>11</v>
      </c>
      <c r="AU4565" s="235" t="s">
        <v>634</v>
      </c>
      <c r="AV4565" s="246" t="s">
        <v>635</v>
      </c>
      <c r="AW4565" s="227"/>
      <c r="AX4565" s="227"/>
      <c r="AY4565" s="227"/>
      <c r="AZ4565" s="227"/>
      <c r="BA4565" s="227"/>
      <c r="BB4565" s="227"/>
      <c r="BC4565" s="227"/>
      <c r="BD4565" s="227"/>
      <c r="BE4565" s="227"/>
      <c r="BF4565" s="227"/>
    </row>
    <row r="4566">
      <c r="A4566" s="235" t="s">
        <v>33870</v>
      </c>
      <c r="C4566" s="235" t="s">
        <v>33871</v>
      </c>
      <c r="D4566" s="235" t="s">
        <v>33872</v>
      </c>
      <c r="E4566" s="243">
        <v>6.5E13</v>
      </c>
      <c r="F4566" s="245"/>
      <c r="G4566" s="235" t="s">
        <v>33873</v>
      </c>
      <c r="H4566" s="235" t="s">
        <v>33874</v>
      </c>
      <c r="I4566" s="235" t="s">
        <v>33874</v>
      </c>
      <c r="J4566" s="235" t="s">
        <v>33875</v>
      </c>
      <c r="K4566" s="235" t="s">
        <v>33876</v>
      </c>
      <c r="N4566" s="235" t="s">
        <v>82</v>
      </c>
      <c r="O4566" s="235" t="s">
        <v>889</v>
      </c>
      <c r="P4566" s="238">
        <v>1.0</v>
      </c>
      <c r="Q4566" s="235" t="s">
        <v>627</v>
      </c>
      <c r="R4566" s="238">
        <v>243.81</v>
      </c>
      <c r="S4566" s="238">
        <v>12.19</v>
      </c>
      <c r="T4566" s="238">
        <v>38.1</v>
      </c>
      <c r="U4566" s="238">
        <v>1.9</v>
      </c>
      <c r="V4566" s="238">
        <v>0.0</v>
      </c>
      <c r="W4566" s="238">
        <v>0.0</v>
      </c>
      <c r="X4566" s="235" t="s">
        <v>628</v>
      </c>
      <c r="Z4566" s="245"/>
      <c r="AA4566" s="245"/>
      <c r="AB4566" s="245"/>
      <c r="AC4566" s="235" t="s">
        <v>33877</v>
      </c>
      <c r="AD4566" s="235" t="s">
        <v>1499</v>
      </c>
      <c r="AE4566" s="238">
        <v>484440.0</v>
      </c>
      <c r="AF4566" s="235" t="s">
        <v>631</v>
      </c>
      <c r="AG4566" s="245"/>
      <c r="AH4566" s="245"/>
      <c r="AI4566" s="245"/>
      <c r="AJ4566" s="245"/>
      <c r="AK4566" s="245"/>
      <c r="AL4566" s="245"/>
      <c r="AM4566" s="245"/>
      <c r="AN4566" s="245"/>
      <c r="AO4566" s="238">
        <v>0.0</v>
      </c>
      <c r="AP4566" s="238">
        <v>-38.1</v>
      </c>
      <c r="AQ4566" s="235" t="s">
        <v>632</v>
      </c>
      <c r="AR4566" s="243">
        <v>3.71E11</v>
      </c>
      <c r="AS4566" s="235" t="s">
        <v>28482</v>
      </c>
      <c r="AT4566" s="235" t="s">
        <v>17</v>
      </c>
      <c r="AU4566" s="235" t="s">
        <v>634</v>
      </c>
      <c r="AV4566" s="246" t="s">
        <v>635</v>
      </c>
      <c r="AW4566" s="227"/>
      <c r="AX4566" s="227"/>
      <c r="AY4566" s="227"/>
      <c r="AZ4566" s="227"/>
      <c r="BA4566" s="227"/>
      <c r="BB4566" s="227"/>
      <c r="BC4566" s="227"/>
      <c r="BD4566" s="227"/>
      <c r="BE4566" s="227"/>
      <c r="BF4566" s="227"/>
    </row>
    <row r="4567">
      <c r="A4567" s="235" t="s">
        <v>33878</v>
      </c>
      <c r="C4567" s="235" t="s">
        <v>33879</v>
      </c>
      <c r="D4567" s="235" t="s">
        <v>33880</v>
      </c>
      <c r="E4567" s="243">
        <v>6.5E13</v>
      </c>
      <c r="F4567" s="245"/>
      <c r="G4567" s="235" t="s">
        <v>33881</v>
      </c>
      <c r="H4567" s="235" t="s">
        <v>33882</v>
      </c>
      <c r="I4567" s="235" t="s">
        <v>33882</v>
      </c>
      <c r="J4567" s="235" t="s">
        <v>33883</v>
      </c>
      <c r="K4567" s="235" t="s">
        <v>33884</v>
      </c>
      <c r="N4567" s="235" t="s">
        <v>3</v>
      </c>
      <c r="O4567" s="235" t="s">
        <v>654</v>
      </c>
      <c r="P4567" s="238">
        <v>1.0</v>
      </c>
      <c r="Q4567" s="235" t="s">
        <v>627</v>
      </c>
      <c r="R4567" s="238">
        <v>265.72</v>
      </c>
      <c r="S4567" s="238">
        <v>12.88</v>
      </c>
      <c r="T4567" s="238">
        <v>0.0</v>
      </c>
      <c r="U4567" s="238">
        <v>0.0</v>
      </c>
      <c r="V4567" s="238">
        <v>0.0</v>
      </c>
      <c r="W4567" s="238">
        <v>0.0</v>
      </c>
      <c r="X4567" s="235" t="s">
        <v>628</v>
      </c>
      <c r="Z4567" s="245"/>
      <c r="AA4567" s="245"/>
      <c r="AB4567" s="245"/>
      <c r="AC4567" s="235" t="s">
        <v>678</v>
      </c>
      <c r="AD4567" s="235" t="s">
        <v>679</v>
      </c>
      <c r="AE4567" s="238">
        <v>560086.0</v>
      </c>
      <c r="AF4567" s="235" t="s">
        <v>631</v>
      </c>
      <c r="AG4567" s="245"/>
      <c r="AH4567" s="245"/>
      <c r="AI4567" s="245"/>
      <c r="AJ4567" s="245"/>
      <c r="AK4567" s="245"/>
      <c r="AL4567" s="245"/>
      <c r="AM4567" s="245"/>
      <c r="AN4567" s="245"/>
      <c r="AO4567" s="238">
        <v>-7.97</v>
      </c>
      <c r="AP4567" s="238">
        <v>0.0</v>
      </c>
      <c r="AQ4567" s="235" t="s">
        <v>632</v>
      </c>
      <c r="AR4567" s="243">
        <v>1.68E11</v>
      </c>
      <c r="AS4567" s="235" t="s">
        <v>33869</v>
      </c>
      <c r="AT4567" s="235" t="s">
        <v>11</v>
      </c>
      <c r="AU4567" s="235" t="s">
        <v>634</v>
      </c>
      <c r="AV4567" s="246" t="s">
        <v>635</v>
      </c>
      <c r="AW4567" s="227"/>
      <c r="AX4567" s="227"/>
      <c r="AY4567" s="227"/>
      <c r="AZ4567" s="227"/>
      <c r="BA4567" s="227"/>
      <c r="BB4567" s="227"/>
      <c r="BC4567" s="227"/>
      <c r="BD4567" s="227"/>
      <c r="BE4567" s="227"/>
      <c r="BF4567" s="227"/>
    </row>
    <row r="4568">
      <c r="A4568" s="235" t="s">
        <v>33878</v>
      </c>
      <c r="C4568" s="235" t="s">
        <v>33879</v>
      </c>
      <c r="D4568" s="235" t="s">
        <v>33885</v>
      </c>
      <c r="E4568" s="243">
        <v>6.5E13</v>
      </c>
      <c r="F4568" s="245"/>
      <c r="G4568" s="235" t="s">
        <v>33881</v>
      </c>
      <c r="H4568" s="235" t="s">
        <v>33882</v>
      </c>
      <c r="I4568" s="235" t="s">
        <v>33882</v>
      </c>
      <c r="J4568" s="235" t="s">
        <v>33883</v>
      </c>
      <c r="K4568" s="235" t="s">
        <v>33884</v>
      </c>
      <c r="N4568" s="235" t="s">
        <v>3</v>
      </c>
      <c r="O4568" s="235" t="s">
        <v>654</v>
      </c>
      <c r="P4568" s="238">
        <v>1.0</v>
      </c>
      <c r="Q4568" s="235" t="s">
        <v>627</v>
      </c>
      <c r="R4568" s="238">
        <v>265.72</v>
      </c>
      <c r="S4568" s="238">
        <v>12.88</v>
      </c>
      <c r="T4568" s="238">
        <v>0.0</v>
      </c>
      <c r="U4568" s="238">
        <v>0.0</v>
      </c>
      <c r="V4568" s="238">
        <v>0.0</v>
      </c>
      <c r="W4568" s="238">
        <v>0.0</v>
      </c>
      <c r="X4568" s="235" t="s">
        <v>628</v>
      </c>
      <c r="Z4568" s="245"/>
      <c r="AA4568" s="245"/>
      <c r="AB4568" s="245"/>
      <c r="AC4568" s="235" t="s">
        <v>678</v>
      </c>
      <c r="AD4568" s="235" t="s">
        <v>679</v>
      </c>
      <c r="AE4568" s="238">
        <v>560086.0</v>
      </c>
      <c r="AF4568" s="235" t="s">
        <v>631</v>
      </c>
      <c r="AG4568" s="245"/>
      <c r="AH4568" s="245"/>
      <c r="AI4568" s="245"/>
      <c r="AJ4568" s="245"/>
      <c r="AK4568" s="245"/>
      <c r="AL4568" s="245"/>
      <c r="AM4568" s="245"/>
      <c r="AN4568" s="245"/>
      <c r="AO4568" s="238">
        <v>-7.97</v>
      </c>
      <c r="AP4568" s="238">
        <v>0.0</v>
      </c>
      <c r="AQ4568" s="235" t="s">
        <v>632</v>
      </c>
      <c r="AR4568" s="243">
        <v>1.68E11</v>
      </c>
      <c r="AS4568" s="235" t="s">
        <v>33869</v>
      </c>
      <c r="AT4568" s="235" t="s">
        <v>11</v>
      </c>
      <c r="AU4568" s="235" t="s">
        <v>634</v>
      </c>
      <c r="AV4568" s="246" t="s">
        <v>635</v>
      </c>
      <c r="AW4568" s="227"/>
      <c r="AX4568" s="227"/>
      <c r="AY4568" s="227"/>
      <c r="AZ4568" s="227"/>
      <c r="BA4568" s="227"/>
      <c r="BB4568" s="227"/>
      <c r="BC4568" s="227"/>
      <c r="BD4568" s="227"/>
      <c r="BE4568" s="227"/>
      <c r="BF4568" s="227"/>
    </row>
    <row r="4569">
      <c r="A4569" s="235" t="s">
        <v>33878</v>
      </c>
      <c r="C4569" s="235" t="s">
        <v>33879</v>
      </c>
      <c r="D4569" s="235" t="s">
        <v>33886</v>
      </c>
      <c r="E4569" s="243">
        <v>6.5E13</v>
      </c>
      <c r="F4569" s="245"/>
      <c r="G4569" s="235" t="s">
        <v>33881</v>
      </c>
      <c r="H4569" s="235" t="s">
        <v>33882</v>
      </c>
      <c r="I4569" s="235" t="s">
        <v>33882</v>
      </c>
      <c r="J4569" s="235" t="s">
        <v>33883</v>
      </c>
      <c r="K4569" s="235" t="s">
        <v>33884</v>
      </c>
      <c r="N4569" s="235" t="s">
        <v>3</v>
      </c>
      <c r="O4569" s="235" t="s">
        <v>654</v>
      </c>
      <c r="P4569" s="238">
        <v>1.0</v>
      </c>
      <c r="Q4569" s="235" t="s">
        <v>627</v>
      </c>
      <c r="R4569" s="238">
        <v>265.72</v>
      </c>
      <c r="S4569" s="238">
        <v>12.88</v>
      </c>
      <c r="T4569" s="238">
        <v>0.0</v>
      </c>
      <c r="U4569" s="238">
        <v>0.0</v>
      </c>
      <c r="V4569" s="238">
        <v>0.0</v>
      </c>
      <c r="W4569" s="238">
        <v>0.0</v>
      </c>
      <c r="X4569" s="235" t="s">
        <v>628</v>
      </c>
      <c r="Z4569" s="245"/>
      <c r="AA4569" s="245"/>
      <c r="AB4569" s="245"/>
      <c r="AC4569" s="235" t="s">
        <v>678</v>
      </c>
      <c r="AD4569" s="235" t="s">
        <v>679</v>
      </c>
      <c r="AE4569" s="238">
        <v>560086.0</v>
      </c>
      <c r="AF4569" s="235" t="s">
        <v>631</v>
      </c>
      <c r="AG4569" s="245"/>
      <c r="AH4569" s="245"/>
      <c r="AI4569" s="245"/>
      <c r="AJ4569" s="245"/>
      <c r="AK4569" s="245"/>
      <c r="AL4569" s="245"/>
      <c r="AM4569" s="245"/>
      <c r="AN4569" s="245"/>
      <c r="AO4569" s="238">
        <v>-7.97</v>
      </c>
      <c r="AP4569" s="238">
        <v>0.0</v>
      </c>
      <c r="AQ4569" s="235" t="s">
        <v>632</v>
      </c>
      <c r="AR4569" s="243">
        <v>1.68E11</v>
      </c>
      <c r="AS4569" s="235" t="s">
        <v>33869</v>
      </c>
      <c r="AT4569" s="235" t="s">
        <v>11</v>
      </c>
      <c r="AU4569" s="235" t="s">
        <v>634</v>
      </c>
      <c r="AV4569" s="246" t="s">
        <v>635</v>
      </c>
      <c r="AW4569" s="227"/>
      <c r="AX4569" s="227"/>
      <c r="AY4569" s="227"/>
      <c r="AZ4569" s="227"/>
      <c r="BA4569" s="227"/>
      <c r="BB4569" s="227"/>
      <c r="BC4569" s="227"/>
      <c r="BD4569" s="227"/>
      <c r="BE4569" s="227"/>
      <c r="BF4569" s="227"/>
    </row>
    <row r="4570">
      <c r="A4570" s="235" t="s">
        <v>33878</v>
      </c>
      <c r="C4570" s="235" t="s">
        <v>33879</v>
      </c>
      <c r="D4570" s="235" t="s">
        <v>33887</v>
      </c>
      <c r="E4570" s="243">
        <v>6.5E13</v>
      </c>
      <c r="F4570" s="245"/>
      <c r="G4570" s="235" t="s">
        <v>33881</v>
      </c>
      <c r="H4570" s="235" t="s">
        <v>33882</v>
      </c>
      <c r="I4570" s="235" t="s">
        <v>33882</v>
      </c>
      <c r="J4570" s="235" t="s">
        <v>33883</v>
      </c>
      <c r="K4570" s="235" t="s">
        <v>33884</v>
      </c>
      <c r="N4570" s="235" t="s">
        <v>3</v>
      </c>
      <c r="O4570" s="235" t="s">
        <v>654</v>
      </c>
      <c r="P4570" s="238">
        <v>1.0</v>
      </c>
      <c r="Q4570" s="235" t="s">
        <v>627</v>
      </c>
      <c r="R4570" s="238">
        <v>265.72</v>
      </c>
      <c r="S4570" s="238">
        <v>12.88</v>
      </c>
      <c r="T4570" s="238">
        <v>0.0</v>
      </c>
      <c r="U4570" s="238">
        <v>0.0</v>
      </c>
      <c r="V4570" s="238">
        <v>0.0</v>
      </c>
      <c r="W4570" s="238">
        <v>0.0</v>
      </c>
      <c r="X4570" s="235" t="s">
        <v>628</v>
      </c>
      <c r="Z4570" s="245"/>
      <c r="AA4570" s="245"/>
      <c r="AB4570" s="245"/>
      <c r="AC4570" s="235" t="s">
        <v>678</v>
      </c>
      <c r="AD4570" s="235" t="s">
        <v>679</v>
      </c>
      <c r="AE4570" s="238">
        <v>560086.0</v>
      </c>
      <c r="AF4570" s="235" t="s">
        <v>631</v>
      </c>
      <c r="AG4570" s="245"/>
      <c r="AH4570" s="245"/>
      <c r="AI4570" s="245"/>
      <c r="AJ4570" s="245"/>
      <c r="AK4570" s="245"/>
      <c r="AL4570" s="245"/>
      <c r="AM4570" s="245"/>
      <c r="AN4570" s="245"/>
      <c r="AO4570" s="238">
        <v>-7.97</v>
      </c>
      <c r="AP4570" s="238">
        <v>0.0</v>
      </c>
      <c r="AQ4570" s="235" t="s">
        <v>632</v>
      </c>
      <c r="AR4570" s="243">
        <v>1.68E11</v>
      </c>
      <c r="AS4570" s="235" t="s">
        <v>33869</v>
      </c>
      <c r="AT4570" s="235" t="s">
        <v>11</v>
      </c>
      <c r="AU4570" s="235" t="s">
        <v>634</v>
      </c>
      <c r="AV4570" s="246" t="s">
        <v>635</v>
      </c>
      <c r="AW4570" s="227"/>
      <c r="AX4570" s="227"/>
      <c r="AY4570" s="227"/>
      <c r="AZ4570" s="227"/>
      <c r="BA4570" s="227"/>
      <c r="BB4570" s="227"/>
      <c r="BC4570" s="227"/>
      <c r="BD4570" s="227"/>
      <c r="BE4570" s="227"/>
      <c r="BF4570" s="227"/>
    </row>
    <row r="4571">
      <c r="A4571" s="235" t="s">
        <v>33888</v>
      </c>
      <c r="C4571" s="235" t="s">
        <v>33889</v>
      </c>
      <c r="D4571" s="235" t="s">
        <v>33890</v>
      </c>
      <c r="E4571" s="243">
        <v>6.5E13</v>
      </c>
      <c r="F4571" s="245"/>
      <c r="G4571" s="235" t="s">
        <v>33891</v>
      </c>
      <c r="H4571" s="235" t="s">
        <v>33892</v>
      </c>
      <c r="I4571" s="235" t="s">
        <v>33893</v>
      </c>
      <c r="J4571" s="235" t="s">
        <v>33894</v>
      </c>
      <c r="K4571" s="235" t="s">
        <v>33895</v>
      </c>
      <c r="N4571" s="235" t="s">
        <v>148</v>
      </c>
      <c r="O4571" s="235" t="s">
        <v>1006</v>
      </c>
      <c r="P4571" s="238">
        <v>1.0</v>
      </c>
      <c r="Q4571" s="235" t="s">
        <v>627</v>
      </c>
      <c r="R4571" s="238">
        <v>281.9</v>
      </c>
      <c r="S4571" s="238">
        <v>14.1</v>
      </c>
      <c r="T4571" s="238">
        <v>0.0</v>
      </c>
      <c r="U4571" s="238">
        <v>0.0</v>
      </c>
      <c r="V4571" s="238">
        <v>0.0</v>
      </c>
      <c r="W4571" s="238">
        <v>0.0</v>
      </c>
      <c r="X4571" s="235" t="s">
        <v>628</v>
      </c>
      <c r="Z4571" s="245"/>
      <c r="AA4571" s="245"/>
      <c r="AB4571" s="245"/>
      <c r="AC4571" s="235" t="s">
        <v>7065</v>
      </c>
      <c r="AD4571" s="235" t="s">
        <v>908</v>
      </c>
      <c r="AE4571" s="238">
        <v>249137.0</v>
      </c>
      <c r="AF4571" s="235" t="s">
        <v>631</v>
      </c>
      <c r="AG4571" s="245"/>
      <c r="AH4571" s="245"/>
      <c r="AI4571" s="245"/>
      <c r="AJ4571" s="245"/>
      <c r="AK4571" s="245"/>
      <c r="AL4571" s="245"/>
      <c r="AM4571" s="245"/>
      <c r="AN4571" s="245"/>
      <c r="AO4571" s="238">
        <v>0.0</v>
      </c>
      <c r="AP4571" s="238">
        <v>0.0</v>
      </c>
      <c r="AQ4571" s="235" t="s">
        <v>632</v>
      </c>
      <c r="AR4571" s="243">
        <v>3.71E11</v>
      </c>
      <c r="AS4571" s="235" t="s">
        <v>32455</v>
      </c>
      <c r="AT4571" s="235" t="s">
        <v>14</v>
      </c>
      <c r="AU4571" s="235" t="s">
        <v>634</v>
      </c>
      <c r="AV4571" s="246" t="s">
        <v>635</v>
      </c>
      <c r="AW4571" s="227"/>
      <c r="AX4571" s="227"/>
      <c r="AY4571" s="227"/>
      <c r="AZ4571" s="227"/>
      <c r="BA4571" s="227"/>
      <c r="BB4571" s="227"/>
      <c r="BC4571" s="227"/>
      <c r="BD4571" s="227"/>
      <c r="BE4571" s="227"/>
      <c r="BF4571" s="227"/>
    </row>
    <row r="4572">
      <c r="A4572" s="235" t="s">
        <v>33896</v>
      </c>
      <c r="C4572" s="235" t="s">
        <v>33897</v>
      </c>
      <c r="D4572" s="235" t="s">
        <v>33898</v>
      </c>
      <c r="E4572" s="243">
        <v>6.5E13</v>
      </c>
      <c r="F4572" s="245"/>
      <c r="G4572" s="235" t="s">
        <v>33899</v>
      </c>
      <c r="H4572" s="235" t="s">
        <v>33900</v>
      </c>
      <c r="I4572" s="235" t="s">
        <v>33901</v>
      </c>
      <c r="J4572" s="235" t="s">
        <v>33902</v>
      </c>
      <c r="K4572" s="235" t="s">
        <v>33903</v>
      </c>
      <c r="N4572" s="235" t="s">
        <v>1346</v>
      </c>
      <c r="O4572" s="235" t="s">
        <v>1347</v>
      </c>
      <c r="P4572" s="238">
        <v>1.0</v>
      </c>
      <c r="Q4572" s="235" t="s">
        <v>627</v>
      </c>
      <c r="R4572" s="238">
        <v>256.2</v>
      </c>
      <c r="S4572" s="238">
        <v>12.54</v>
      </c>
      <c r="T4572" s="238">
        <v>0.0</v>
      </c>
      <c r="U4572" s="238">
        <v>0.0</v>
      </c>
      <c r="V4572" s="238">
        <v>0.0</v>
      </c>
      <c r="W4572" s="238">
        <v>0.0</v>
      </c>
      <c r="X4572" s="235" t="s">
        <v>628</v>
      </c>
      <c r="Z4572" s="245"/>
      <c r="AA4572" s="245"/>
      <c r="AB4572" s="245"/>
      <c r="AC4572" s="235" t="s">
        <v>32759</v>
      </c>
      <c r="AD4572" s="235" t="s">
        <v>679</v>
      </c>
      <c r="AE4572" s="238">
        <v>580031.0</v>
      </c>
      <c r="AF4572" s="235" t="s">
        <v>631</v>
      </c>
      <c r="AG4572" s="245"/>
      <c r="AH4572" s="245"/>
      <c r="AI4572" s="245"/>
      <c r="AJ4572" s="245"/>
      <c r="AK4572" s="245"/>
      <c r="AL4572" s="245"/>
      <c r="AM4572" s="245"/>
      <c r="AN4572" s="245"/>
      <c r="AO4572" s="238">
        <v>-5.12</v>
      </c>
      <c r="AP4572" s="238">
        <v>0.0</v>
      </c>
      <c r="AQ4572" s="235" t="s">
        <v>632</v>
      </c>
      <c r="AR4572" s="243">
        <v>1.68E11</v>
      </c>
      <c r="AS4572" s="235" t="s">
        <v>32455</v>
      </c>
      <c r="AT4572" s="235" t="s">
        <v>11</v>
      </c>
      <c r="AU4572" s="235" t="s">
        <v>634</v>
      </c>
      <c r="AV4572" s="246" t="s">
        <v>635</v>
      </c>
      <c r="AW4572" s="227"/>
      <c r="AX4572" s="227"/>
      <c r="AY4572" s="227"/>
      <c r="AZ4572" s="227"/>
      <c r="BA4572" s="227"/>
      <c r="BB4572" s="227"/>
      <c r="BC4572" s="227"/>
      <c r="BD4572" s="227"/>
      <c r="BE4572" s="227"/>
      <c r="BF4572" s="227"/>
    </row>
    <row r="4573">
      <c r="A4573" s="235" t="s">
        <v>33904</v>
      </c>
      <c r="C4573" s="235" t="s">
        <v>33905</v>
      </c>
      <c r="D4573" s="235" t="s">
        <v>33906</v>
      </c>
      <c r="E4573" s="243">
        <v>6.5E13</v>
      </c>
      <c r="F4573" s="245"/>
      <c r="G4573" s="235" t="s">
        <v>33907</v>
      </c>
      <c r="H4573" s="235" t="s">
        <v>33908</v>
      </c>
      <c r="I4573" s="235" t="s">
        <v>33908</v>
      </c>
      <c r="J4573" s="235" t="s">
        <v>33909</v>
      </c>
      <c r="K4573" s="235" t="s">
        <v>33910</v>
      </c>
      <c r="N4573" s="235" t="s">
        <v>54</v>
      </c>
      <c r="O4573" s="235" t="s">
        <v>294</v>
      </c>
      <c r="P4573" s="238">
        <v>1.0</v>
      </c>
      <c r="Q4573" s="235" t="s">
        <v>627</v>
      </c>
      <c r="R4573" s="238">
        <v>242.86</v>
      </c>
      <c r="S4573" s="238">
        <v>11.9</v>
      </c>
      <c r="T4573" s="238">
        <v>0.0</v>
      </c>
      <c r="U4573" s="238">
        <v>0.0</v>
      </c>
      <c r="V4573" s="238">
        <v>0.0</v>
      </c>
      <c r="W4573" s="238">
        <v>0.0</v>
      </c>
      <c r="X4573" s="235" t="s">
        <v>628</v>
      </c>
      <c r="Z4573" s="245"/>
      <c r="AA4573" s="245"/>
      <c r="AB4573" s="245"/>
      <c r="AC4573" s="235" t="s">
        <v>844</v>
      </c>
      <c r="AD4573" s="235" t="s">
        <v>845</v>
      </c>
      <c r="AE4573" s="238">
        <v>411021.0</v>
      </c>
      <c r="AF4573" s="235" t="s">
        <v>631</v>
      </c>
      <c r="AG4573" s="245"/>
      <c r="AH4573" s="245"/>
      <c r="AI4573" s="245"/>
      <c r="AJ4573" s="245"/>
      <c r="AK4573" s="245"/>
      <c r="AL4573" s="245"/>
      <c r="AM4573" s="245"/>
      <c r="AN4573" s="245"/>
      <c r="AO4573" s="238">
        <v>-4.86</v>
      </c>
      <c r="AP4573" s="238">
        <v>0.0</v>
      </c>
      <c r="AQ4573" s="235" t="s">
        <v>632</v>
      </c>
      <c r="AR4573" s="243">
        <v>3.71E11</v>
      </c>
      <c r="AS4573" s="235" t="s">
        <v>33466</v>
      </c>
      <c r="AT4573" s="235" t="s">
        <v>546</v>
      </c>
      <c r="AU4573" s="235" t="s">
        <v>634</v>
      </c>
      <c r="AV4573" s="246" t="s">
        <v>635</v>
      </c>
      <c r="AW4573" s="227"/>
      <c r="AX4573" s="227"/>
      <c r="AY4573" s="227"/>
      <c r="AZ4573" s="227"/>
      <c r="BA4573" s="227"/>
      <c r="BB4573" s="227"/>
      <c r="BC4573" s="227"/>
      <c r="BD4573" s="227"/>
      <c r="BE4573" s="227"/>
      <c r="BF4573" s="227"/>
    </row>
    <row r="4574">
      <c r="A4574" s="235" t="s">
        <v>33911</v>
      </c>
      <c r="C4574" s="235" t="s">
        <v>33912</v>
      </c>
      <c r="D4574" s="235" t="s">
        <v>33913</v>
      </c>
      <c r="E4574" s="243">
        <v>6.5E13</v>
      </c>
      <c r="F4574" s="245"/>
      <c r="G4574" s="235" t="s">
        <v>33914</v>
      </c>
      <c r="H4574" s="235" t="s">
        <v>33915</v>
      </c>
      <c r="I4574" s="235" t="s">
        <v>33915</v>
      </c>
      <c r="J4574" s="235" t="s">
        <v>33916</v>
      </c>
      <c r="K4574" s="235" t="s">
        <v>33917</v>
      </c>
      <c r="N4574" s="235" t="s">
        <v>30</v>
      </c>
      <c r="O4574" s="235" t="s">
        <v>692</v>
      </c>
      <c r="P4574" s="238">
        <v>1.0</v>
      </c>
      <c r="Q4574" s="235" t="s">
        <v>627</v>
      </c>
      <c r="R4574" s="238">
        <v>446.67</v>
      </c>
      <c r="S4574" s="238">
        <v>21.66</v>
      </c>
      <c r="T4574" s="238">
        <v>0.0</v>
      </c>
      <c r="U4574" s="238">
        <v>0.0</v>
      </c>
      <c r="V4574" s="238">
        <v>0.0</v>
      </c>
      <c r="W4574" s="238">
        <v>0.0</v>
      </c>
      <c r="X4574" s="235" t="s">
        <v>628</v>
      </c>
      <c r="Z4574" s="245"/>
      <c r="AA4574" s="245"/>
      <c r="AB4574" s="245"/>
      <c r="AC4574" s="235" t="s">
        <v>629</v>
      </c>
      <c r="AD4574" s="235" t="s">
        <v>630</v>
      </c>
      <c r="AE4574" s="238">
        <v>201301.0</v>
      </c>
      <c r="AF4574" s="235" t="s">
        <v>631</v>
      </c>
      <c r="AG4574" s="245"/>
      <c r="AH4574" s="245"/>
      <c r="AI4574" s="245"/>
      <c r="AJ4574" s="245"/>
      <c r="AK4574" s="245"/>
      <c r="AL4574" s="245"/>
      <c r="AM4574" s="245"/>
      <c r="AN4574" s="245"/>
      <c r="AO4574" s="238">
        <v>-13.4</v>
      </c>
      <c r="AP4574" s="238">
        <v>0.0</v>
      </c>
      <c r="AQ4574" s="235" t="s">
        <v>632</v>
      </c>
      <c r="AR4574" s="243">
        <v>1.68E11</v>
      </c>
      <c r="AS4574" s="235" t="s">
        <v>33869</v>
      </c>
      <c r="AT4574" s="235" t="s">
        <v>13</v>
      </c>
      <c r="AU4574" s="235" t="s">
        <v>634</v>
      </c>
      <c r="AV4574" s="246" t="s">
        <v>635</v>
      </c>
      <c r="AW4574" s="227"/>
      <c r="AX4574" s="227"/>
      <c r="AY4574" s="227"/>
      <c r="AZ4574" s="227"/>
      <c r="BA4574" s="227"/>
      <c r="BB4574" s="227"/>
      <c r="BC4574" s="227"/>
      <c r="BD4574" s="227"/>
      <c r="BE4574" s="227"/>
      <c r="BF4574" s="227"/>
    </row>
    <row r="4575">
      <c r="A4575" s="235" t="s">
        <v>33911</v>
      </c>
      <c r="C4575" s="235" t="s">
        <v>33912</v>
      </c>
      <c r="D4575" s="235" t="s">
        <v>33918</v>
      </c>
      <c r="E4575" s="243">
        <v>6.5E13</v>
      </c>
      <c r="F4575" s="245"/>
      <c r="G4575" s="235" t="s">
        <v>33914</v>
      </c>
      <c r="H4575" s="235" t="s">
        <v>33915</v>
      </c>
      <c r="I4575" s="235" t="s">
        <v>33915</v>
      </c>
      <c r="J4575" s="235" t="s">
        <v>33916</v>
      </c>
      <c r="K4575" s="235" t="s">
        <v>33917</v>
      </c>
      <c r="N4575" s="235" t="s">
        <v>29</v>
      </c>
      <c r="O4575" s="235" t="s">
        <v>677</v>
      </c>
      <c r="P4575" s="238">
        <v>1.0</v>
      </c>
      <c r="Q4575" s="235" t="s">
        <v>627</v>
      </c>
      <c r="R4575" s="238">
        <v>446.67</v>
      </c>
      <c r="S4575" s="238">
        <v>21.66</v>
      </c>
      <c r="T4575" s="238">
        <v>0.0</v>
      </c>
      <c r="U4575" s="238">
        <v>0.0</v>
      </c>
      <c r="V4575" s="238">
        <v>0.0</v>
      </c>
      <c r="W4575" s="238">
        <v>0.0</v>
      </c>
      <c r="X4575" s="235" t="s">
        <v>628</v>
      </c>
      <c r="Z4575" s="245"/>
      <c r="AA4575" s="245"/>
      <c r="AB4575" s="245"/>
      <c r="AC4575" s="235" t="s">
        <v>629</v>
      </c>
      <c r="AD4575" s="235" t="s">
        <v>630</v>
      </c>
      <c r="AE4575" s="238">
        <v>201301.0</v>
      </c>
      <c r="AF4575" s="235" t="s">
        <v>631</v>
      </c>
      <c r="AG4575" s="245"/>
      <c r="AH4575" s="245"/>
      <c r="AI4575" s="245"/>
      <c r="AJ4575" s="245"/>
      <c r="AK4575" s="245"/>
      <c r="AL4575" s="245"/>
      <c r="AM4575" s="245"/>
      <c r="AN4575" s="245"/>
      <c r="AO4575" s="238">
        <v>-13.4</v>
      </c>
      <c r="AP4575" s="238">
        <v>0.0</v>
      </c>
      <c r="AQ4575" s="235" t="s">
        <v>632</v>
      </c>
      <c r="AR4575" s="243">
        <v>1.68E11</v>
      </c>
      <c r="AS4575" s="235" t="s">
        <v>33869</v>
      </c>
      <c r="AT4575" s="235" t="s">
        <v>13</v>
      </c>
      <c r="AU4575" s="235" t="s">
        <v>634</v>
      </c>
      <c r="AV4575" s="246" t="s">
        <v>635</v>
      </c>
      <c r="AW4575" s="227"/>
      <c r="AX4575" s="227"/>
      <c r="AY4575" s="227"/>
      <c r="AZ4575" s="227"/>
      <c r="BA4575" s="227"/>
      <c r="BB4575" s="227"/>
      <c r="BC4575" s="227"/>
      <c r="BD4575" s="227"/>
      <c r="BE4575" s="227"/>
      <c r="BF4575" s="227"/>
    </row>
    <row r="4576">
      <c r="A4576" s="235" t="s">
        <v>33919</v>
      </c>
      <c r="C4576" s="235" t="s">
        <v>33920</v>
      </c>
      <c r="D4576" s="235" t="s">
        <v>33921</v>
      </c>
      <c r="E4576" s="243">
        <v>6.5E13</v>
      </c>
      <c r="F4576" s="245"/>
      <c r="G4576" s="235" t="s">
        <v>33922</v>
      </c>
      <c r="H4576" s="235" t="s">
        <v>33923</v>
      </c>
      <c r="I4576" s="235" t="s">
        <v>33923</v>
      </c>
      <c r="J4576" s="235" t="s">
        <v>33924</v>
      </c>
      <c r="K4576" s="235" t="s">
        <v>13948</v>
      </c>
      <c r="N4576" s="235" t="s">
        <v>154</v>
      </c>
      <c r="O4576" s="235" t="s">
        <v>766</v>
      </c>
      <c r="P4576" s="238">
        <v>1.0</v>
      </c>
      <c r="Q4576" s="235" t="s">
        <v>627</v>
      </c>
      <c r="R4576" s="238">
        <v>465.71</v>
      </c>
      <c r="S4576" s="238">
        <v>23.29</v>
      </c>
      <c r="T4576" s="238">
        <v>38.1</v>
      </c>
      <c r="U4576" s="238">
        <v>1.9</v>
      </c>
      <c r="V4576" s="238">
        <v>0.0</v>
      </c>
      <c r="W4576" s="238">
        <v>0.0</v>
      </c>
      <c r="X4576" s="235" t="s">
        <v>628</v>
      </c>
      <c r="Z4576" s="245"/>
      <c r="AA4576" s="245"/>
      <c r="AB4576" s="245"/>
      <c r="AC4576" s="235" t="s">
        <v>13949</v>
      </c>
      <c r="AD4576" s="235" t="s">
        <v>13950</v>
      </c>
      <c r="AE4576" s="238">
        <v>517501.0</v>
      </c>
      <c r="AF4576" s="235" t="s">
        <v>631</v>
      </c>
      <c r="AG4576" s="245"/>
      <c r="AH4576" s="245"/>
      <c r="AI4576" s="245"/>
      <c r="AJ4576" s="245"/>
      <c r="AK4576" s="245"/>
      <c r="AL4576" s="245"/>
      <c r="AM4576" s="245"/>
      <c r="AN4576" s="245"/>
      <c r="AO4576" s="238">
        <v>0.0</v>
      </c>
      <c r="AP4576" s="238">
        <v>0.0</v>
      </c>
      <c r="AQ4576" s="235" t="s">
        <v>632</v>
      </c>
      <c r="AR4576" s="243">
        <v>3.71E11</v>
      </c>
      <c r="AS4576" s="235" t="s">
        <v>32455</v>
      </c>
      <c r="AT4576" s="235" t="s">
        <v>156</v>
      </c>
      <c r="AU4576" s="235" t="s">
        <v>634</v>
      </c>
      <c r="AV4576" s="246" t="s">
        <v>635</v>
      </c>
      <c r="AW4576" s="227"/>
      <c r="AX4576" s="227"/>
      <c r="AY4576" s="227"/>
      <c r="AZ4576" s="227"/>
      <c r="BA4576" s="227"/>
      <c r="BB4576" s="227"/>
      <c r="BC4576" s="227"/>
      <c r="BD4576" s="227"/>
      <c r="BE4576" s="227"/>
      <c r="BF4576" s="227"/>
    </row>
    <row r="4577">
      <c r="A4577" s="235" t="s">
        <v>33925</v>
      </c>
      <c r="C4577" s="235" t="s">
        <v>33926</v>
      </c>
      <c r="D4577" s="235" t="s">
        <v>33927</v>
      </c>
      <c r="E4577" s="243">
        <v>6.5E13</v>
      </c>
      <c r="F4577" s="245"/>
      <c r="G4577" s="235" t="s">
        <v>33928</v>
      </c>
      <c r="H4577" s="235" t="s">
        <v>33929</v>
      </c>
      <c r="I4577" s="235" t="s">
        <v>33929</v>
      </c>
      <c r="J4577" s="235" t="s">
        <v>33930</v>
      </c>
      <c r="K4577" s="235" t="s">
        <v>33931</v>
      </c>
      <c r="N4577" s="235" t="s">
        <v>82</v>
      </c>
      <c r="O4577" s="235" t="s">
        <v>889</v>
      </c>
      <c r="P4577" s="238">
        <v>1.0</v>
      </c>
      <c r="Q4577" s="235" t="s">
        <v>627</v>
      </c>
      <c r="R4577" s="238">
        <v>243.8</v>
      </c>
      <c r="S4577" s="238">
        <v>12.2</v>
      </c>
      <c r="T4577" s="238">
        <v>38.1</v>
      </c>
      <c r="U4577" s="238">
        <v>1.9</v>
      </c>
      <c r="V4577" s="238">
        <v>0.0</v>
      </c>
      <c r="W4577" s="238">
        <v>0.0</v>
      </c>
      <c r="X4577" s="235" t="s">
        <v>628</v>
      </c>
      <c r="Z4577" s="245"/>
      <c r="AA4577" s="245"/>
      <c r="AB4577" s="245"/>
      <c r="AC4577" s="235" t="s">
        <v>33932</v>
      </c>
      <c r="AD4577" s="235" t="s">
        <v>845</v>
      </c>
      <c r="AE4577" s="238">
        <v>413211.0</v>
      </c>
      <c r="AF4577" s="235" t="s">
        <v>631</v>
      </c>
      <c r="AG4577" s="245"/>
      <c r="AH4577" s="245"/>
      <c r="AI4577" s="245"/>
      <c r="AJ4577" s="245"/>
      <c r="AK4577" s="245"/>
      <c r="AL4577" s="245"/>
      <c r="AM4577" s="245"/>
      <c r="AN4577" s="245"/>
      <c r="AO4577" s="238">
        <v>0.0</v>
      </c>
      <c r="AP4577" s="238">
        <v>-38.1</v>
      </c>
      <c r="AQ4577" s="235" t="s">
        <v>632</v>
      </c>
      <c r="AR4577" s="243">
        <v>3.71E11</v>
      </c>
      <c r="AS4577" s="235" t="s">
        <v>31232</v>
      </c>
      <c r="AT4577" s="235" t="s">
        <v>546</v>
      </c>
      <c r="AU4577" s="235" t="s">
        <v>634</v>
      </c>
      <c r="AV4577" s="246" t="s">
        <v>635</v>
      </c>
      <c r="AW4577" s="227"/>
      <c r="AX4577" s="227"/>
      <c r="AY4577" s="227"/>
      <c r="AZ4577" s="227"/>
      <c r="BA4577" s="227"/>
      <c r="BB4577" s="227"/>
      <c r="BC4577" s="227"/>
      <c r="BD4577" s="227"/>
      <c r="BE4577" s="227"/>
      <c r="BF4577" s="227"/>
    </row>
    <row r="4578">
      <c r="A4578" s="235" t="s">
        <v>33933</v>
      </c>
      <c r="C4578" s="235" t="s">
        <v>33934</v>
      </c>
      <c r="D4578" s="235" t="s">
        <v>33935</v>
      </c>
      <c r="E4578" s="243">
        <v>6.5E13</v>
      </c>
      <c r="F4578" s="245"/>
      <c r="G4578" s="235" t="s">
        <v>33936</v>
      </c>
      <c r="H4578" s="235" t="s">
        <v>33937</v>
      </c>
      <c r="I4578" s="235" t="s">
        <v>33937</v>
      </c>
      <c r="J4578" s="235" t="s">
        <v>33938</v>
      </c>
      <c r="K4578" s="235" t="s">
        <v>33939</v>
      </c>
      <c r="N4578" s="235" t="s">
        <v>4</v>
      </c>
      <c r="O4578" s="235" t="s">
        <v>1791</v>
      </c>
      <c r="P4578" s="238">
        <v>1.0</v>
      </c>
      <c r="Q4578" s="235" t="s">
        <v>627</v>
      </c>
      <c r="R4578" s="238">
        <v>265.72</v>
      </c>
      <c r="S4578" s="238">
        <v>12.88</v>
      </c>
      <c r="T4578" s="238">
        <v>0.0</v>
      </c>
      <c r="U4578" s="238">
        <v>0.0</v>
      </c>
      <c r="V4578" s="238">
        <v>0.0</v>
      </c>
      <c r="W4578" s="238">
        <v>0.0</v>
      </c>
      <c r="X4578" s="235" t="s">
        <v>628</v>
      </c>
      <c r="Z4578" s="245"/>
      <c r="AA4578" s="245"/>
      <c r="AB4578" s="245"/>
      <c r="AC4578" s="235" t="s">
        <v>1887</v>
      </c>
      <c r="AD4578" s="235" t="s">
        <v>679</v>
      </c>
      <c r="AE4578" s="238">
        <v>560005.0</v>
      </c>
      <c r="AF4578" s="235" t="s">
        <v>631</v>
      </c>
      <c r="AG4578" s="245"/>
      <c r="AH4578" s="245"/>
      <c r="AI4578" s="245"/>
      <c r="AJ4578" s="245"/>
      <c r="AK4578" s="245"/>
      <c r="AL4578" s="245"/>
      <c r="AM4578" s="245"/>
      <c r="AN4578" s="245"/>
      <c r="AO4578" s="238">
        <v>-7.97</v>
      </c>
      <c r="AP4578" s="238">
        <v>0.0</v>
      </c>
      <c r="AQ4578" s="235" t="s">
        <v>632</v>
      </c>
      <c r="AR4578" s="243">
        <v>1.68E11</v>
      </c>
      <c r="AS4578" s="235" t="s">
        <v>33869</v>
      </c>
      <c r="AT4578" s="235" t="s">
        <v>9</v>
      </c>
      <c r="AU4578" s="235" t="s">
        <v>634</v>
      </c>
      <c r="AV4578" s="246" t="s">
        <v>635</v>
      </c>
      <c r="AW4578" s="227"/>
      <c r="AX4578" s="227"/>
      <c r="AY4578" s="227"/>
      <c r="AZ4578" s="227"/>
      <c r="BA4578" s="227"/>
      <c r="BB4578" s="227"/>
      <c r="BC4578" s="227"/>
      <c r="BD4578" s="227"/>
      <c r="BE4578" s="227"/>
      <c r="BF4578" s="227"/>
    </row>
    <row r="4579">
      <c r="A4579" s="235" t="s">
        <v>33933</v>
      </c>
      <c r="C4579" s="235" t="s">
        <v>33934</v>
      </c>
      <c r="D4579" s="235" t="s">
        <v>33940</v>
      </c>
      <c r="E4579" s="243">
        <v>6.5E13</v>
      </c>
      <c r="F4579" s="245"/>
      <c r="G4579" s="235" t="s">
        <v>33936</v>
      </c>
      <c r="H4579" s="235" t="s">
        <v>33937</v>
      </c>
      <c r="I4579" s="235" t="s">
        <v>33937</v>
      </c>
      <c r="J4579" s="235" t="s">
        <v>33938</v>
      </c>
      <c r="K4579" s="235" t="s">
        <v>33939</v>
      </c>
      <c r="N4579" s="235" t="s">
        <v>4</v>
      </c>
      <c r="O4579" s="235" t="s">
        <v>1791</v>
      </c>
      <c r="P4579" s="238">
        <v>1.0</v>
      </c>
      <c r="Q4579" s="235" t="s">
        <v>627</v>
      </c>
      <c r="R4579" s="238">
        <v>265.72</v>
      </c>
      <c r="S4579" s="238">
        <v>12.88</v>
      </c>
      <c r="T4579" s="238">
        <v>0.0</v>
      </c>
      <c r="U4579" s="238">
        <v>0.0</v>
      </c>
      <c r="V4579" s="238">
        <v>0.0</v>
      </c>
      <c r="W4579" s="238">
        <v>0.0</v>
      </c>
      <c r="X4579" s="235" t="s">
        <v>628</v>
      </c>
      <c r="Z4579" s="245"/>
      <c r="AA4579" s="245"/>
      <c r="AB4579" s="245"/>
      <c r="AC4579" s="235" t="s">
        <v>1887</v>
      </c>
      <c r="AD4579" s="235" t="s">
        <v>679</v>
      </c>
      <c r="AE4579" s="238">
        <v>560005.0</v>
      </c>
      <c r="AF4579" s="235" t="s">
        <v>631</v>
      </c>
      <c r="AG4579" s="245"/>
      <c r="AH4579" s="245"/>
      <c r="AI4579" s="245"/>
      <c r="AJ4579" s="245"/>
      <c r="AK4579" s="245"/>
      <c r="AL4579" s="245"/>
      <c r="AM4579" s="245"/>
      <c r="AN4579" s="245"/>
      <c r="AO4579" s="238">
        <v>-7.97</v>
      </c>
      <c r="AP4579" s="238">
        <v>0.0</v>
      </c>
      <c r="AQ4579" s="235" t="s">
        <v>632</v>
      </c>
      <c r="AR4579" s="243">
        <v>1.68E11</v>
      </c>
      <c r="AS4579" s="235" t="s">
        <v>33869</v>
      </c>
      <c r="AT4579" s="235" t="s">
        <v>9</v>
      </c>
      <c r="AU4579" s="235" t="s">
        <v>634</v>
      </c>
      <c r="AV4579" s="246" t="s">
        <v>635</v>
      </c>
      <c r="AW4579" s="227"/>
      <c r="AX4579" s="227"/>
      <c r="AY4579" s="227"/>
      <c r="AZ4579" s="227"/>
      <c r="BA4579" s="227"/>
      <c r="BB4579" s="227"/>
      <c r="BC4579" s="227"/>
      <c r="BD4579" s="227"/>
      <c r="BE4579" s="227"/>
      <c r="BF4579" s="227"/>
    </row>
    <row r="4580">
      <c r="A4580" s="235" t="s">
        <v>33933</v>
      </c>
      <c r="C4580" s="235" t="s">
        <v>33934</v>
      </c>
      <c r="D4580" s="235" t="s">
        <v>33941</v>
      </c>
      <c r="E4580" s="243">
        <v>6.5E13</v>
      </c>
      <c r="F4580" s="245"/>
      <c r="G4580" s="235" t="s">
        <v>33936</v>
      </c>
      <c r="H4580" s="235" t="s">
        <v>33937</v>
      </c>
      <c r="I4580" s="235" t="s">
        <v>33937</v>
      </c>
      <c r="J4580" s="235" t="s">
        <v>33938</v>
      </c>
      <c r="K4580" s="235" t="s">
        <v>33939</v>
      </c>
      <c r="N4580" s="235" t="s">
        <v>4</v>
      </c>
      <c r="O4580" s="235" t="s">
        <v>1791</v>
      </c>
      <c r="P4580" s="238">
        <v>2.0</v>
      </c>
      <c r="Q4580" s="235" t="s">
        <v>627</v>
      </c>
      <c r="R4580" s="238">
        <v>531.44</v>
      </c>
      <c r="S4580" s="238">
        <v>25.76</v>
      </c>
      <c r="T4580" s="238">
        <v>0.0</v>
      </c>
      <c r="U4580" s="238">
        <v>0.0</v>
      </c>
      <c r="V4580" s="238">
        <v>0.0</v>
      </c>
      <c r="W4580" s="238">
        <v>0.0</v>
      </c>
      <c r="X4580" s="235" t="s">
        <v>628</v>
      </c>
      <c r="Z4580" s="245"/>
      <c r="AA4580" s="245"/>
      <c r="AB4580" s="245"/>
      <c r="AC4580" s="235" t="s">
        <v>1887</v>
      </c>
      <c r="AD4580" s="235" t="s">
        <v>679</v>
      </c>
      <c r="AE4580" s="238">
        <v>560005.0</v>
      </c>
      <c r="AF4580" s="235" t="s">
        <v>631</v>
      </c>
      <c r="AG4580" s="245"/>
      <c r="AH4580" s="245"/>
      <c r="AI4580" s="245"/>
      <c r="AJ4580" s="245"/>
      <c r="AK4580" s="245"/>
      <c r="AL4580" s="245"/>
      <c r="AM4580" s="245"/>
      <c r="AN4580" s="245"/>
      <c r="AO4580" s="238">
        <v>-15.94</v>
      </c>
      <c r="AP4580" s="238">
        <v>0.0</v>
      </c>
      <c r="AQ4580" s="235" t="s">
        <v>632</v>
      </c>
      <c r="AR4580" s="243">
        <v>1.68E11</v>
      </c>
      <c r="AS4580" s="235" t="s">
        <v>33869</v>
      </c>
      <c r="AT4580" s="235" t="s">
        <v>9</v>
      </c>
      <c r="AU4580" s="235" t="s">
        <v>634</v>
      </c>
      <c r="AV4580" s="246" t="s">
        <v>635</v>
      </c>
      <c r="AW4580" s="227"/>
      <c r="AX4580" s="227"/>
      <c r="AY4580" s="227"/>
      <c r="AZ4580" s="227"/>
      <c r="BA4580" s="227"/>
      <c r="BB4580" s="227"/>
      <c r="BC4580" s="227"/>
      <c r="BD4580" s="227"/>
      <c r="BE4580" s="227"/>
      <c r="BF4580" s="227"/>
    </row>
    <row r="4581">
      <c r="A4581" s="235" t="s">
        <v>33942</v>
      </c>
      <c r="C4581" s="235" t="s">
        <v>33943</v>
      </c>
      <c r="D4581" s="235" t="s">
        <v>33944</v>
      </c>
      <c r="E4581" s="243">
        <v>6.5E13</v>
      </c>
      <c r="F4581" s="245"/>
      <c r="G4581" s="235" t="s">
        <v>33945</v>
      </c>
      <c r="H4581" s="235" t="s">
        <v>33946</v>
      </c>
      <c r="I4581" s="235" t="s">
        <v>33946</v>
      </c>
      <c r="J4581" s="235" t="s">
        <v>33947</v>
      </c>
      <c r="K4581" s="235" t="s">
        <v>33948</v>
      </c>
      <c r="N4581" s="235" t="s">
        <v>127</v>
      </c>
      <c r="O4581" s="235" t="s">
        <v>794</v>
      </c>
      <c r="P4581" s="238">
        <v>1.0</v>
      </c>
      <c r="Q4581" s="235" t="s">
        <v>627</v>
      </c>
      <c r="R4581" s="238">
        <v>243.81</v>
      </c>
      <c r="S4581" s="238">
        <v>12.19</v>
      </c>
      <c r="T4581" s="238">
        <v>0.0</v>
      </c>
      <c r="U4581" s="238">
        <v>0.0</v>
      </c>
      <c r="V4581" s="238">
        <v>0.0</v>
      </c>
      <c r="W4581" s="238">
        <v>0.0</v>
      </c>
      <c r="X4581" s="235" t="s">
        <v>628</v>
      </c>
      <c r="Z4581" s="245"/>
      <c r="AA4581" s="245"/>
      <c r="AB4581" s="245"/>
      <c r="AC4581" s="235" t="s">
        <v>795</v>
      </c>
      <c r="AD4581" s="235" t="s">
        <v>796</v>
      </c>
      <c r="AE4581" s="238">
        <v>110059.0</v>
      </c>
      <c r="AF4581" s="235" t="s">
        <v>631</v>
      </c>
      <c r="AG4581" s="245"/>
      <c r="AH4581" s="245"/>
      <c r="AI4581" s="245"/>
      <c r="AJ4581" s="245"/>
      <c r="AK4581" s="245"/>
      <c r="AL4581" s="245"/>
      <c r="AM4581" s="245"/>
      <c r="AN4581" s="245"/>
      <c r="AO4581" s="238">
        <v>0.0</v>
      </c>
      <c r="AP4581" s="238">
        <v>0.0</v>
      </c>
      <c r="AQ4581" s="235" t="s">
        <v>632</v>
      </c>
      <c r="AR4581" s="243">
        <v>1.68E11</v>
      </c>
      <c r="AS4581" s="235" t="s">
        <v>33869</v>
      </c>
      <c r="AT4581" s="235" t="s">
        <v>14</v>
      </c>
      <c r="AU4581" s="235" t="s">
        <v>634</v>
      </c>
      <c r="AV4581" s="246" t="s">
        <v>635</v>
      </c>
      <c r="AW4581" s="227"/>
      <c r="AX4581" s="227"/>
      <c r="AY4581" s="227"/>
      <c r="AZ4581" s="227"/>
      <c r="BA4581" s="227"/>
      <c r="BB4581" s="227"/>
      <c r="BC4581" s="227"/>
      <c r="BD4581" s="227"/>
      <c r="BE4581" s="227"/>
      <c r="BF4581" s="227"/>
    </row>
    <row r="4582">
      <c r="A4582" s="235" t="s">
        <v>33949</v>
      </c>
      <c r="C4582" s="235" t="s">
        <v>33950</v>
      </c>
      <c r="D4582" s="235" t="s">
        <v>33951</v>
      </c>
      <c r="E4582" s="243">
        <v>6.5E13</v>
      </c>
      <c r="F4582" s="245"/>
      <c r="G4582" s="235" t="s">
        <v>33952</v>
      </c>
      <c r="H4582" s="235" t="s">
        <v>33953</v>
      </c>
      <c r="I4582" s="235" t="s">
        <v>33954</v>
      </c>
      <c r="J4582" s="235" t="s">
        <v>33955</v>
      </c>
      <c r="K4582" s="235" t="s">
        <v>33956</v>
      </c>
      <c r="N4582" s="235" t="s">
        <v>127</v>
      </c>
      <c r="O4582" s="235" t="s">
        <v>794</v>
      </c>
      <c r="P4582" s="238">
        <v>1.0</v>
      </c>
      <c r="Q4582" s="235" t="s">
        <v>627</v>
      </c>
      <c r="R4582" s="238">
        <v>243.8</v>
      </c>
      <c r="S4582" s="238">
        <v>12.2</v>
      </c>
      <c r="T4582" s="238">
        <v>0.0</v>
      </c>
      <c r="U4582" s="238">
        <v>0.0</v>
      </c>
      <c r="V4582" s="238">
        <v>0.0</v>
      </c>
      <c r="W4582" s="238">
        <v>0.0</v>
      </c>
      <c r="X4582" s="235" t="s">
        <v>628</v>
      </c>
      <c r="Z4582" s="245"/>
      <c r="AA4582" s="245"/>
      <c r="AB4582" s="245"/>
      <c r="AC4582" s="235" t="s">
        <v>2092</v>
      </c>
      <c r="AD4582" s="235" t="s">
        <v>845</v>
      </c>
      <c r="AE4582" s="238">
        <v>411001.0</v>
      </c>
      <c r="AF4582" s="235" t="s">
        <v>631</v>
      </c>
      <c r="AG4582" s="245"/>
      <c r="AH4582" s="245"/>
      <c r="AI4582" s="245"/>
      <c r="AJ4582" s="245"/>
      <c r="AK4582" s="245"/>
      <c r="AL4582" s="245"/>
      <c r="AM4582" s="245"/>
      <c r="AN4582" s="245"/>
      <c r="AO4582" s="238">
        <v>0.0</v>
      </c>
      <c r="AP4582" s="238">
        <v>0.0</v>
      </c>
      <c r="AQ4582" s="235" t="s">
        <v>632</v>
      </c>
      <c r="AR4582" s="243">
        <v>1.68E11</v>
      </c>
      <c r="AS4582" s="235" t="s">
        <v>33869</v>
      </c>
      <c r="AT4582" s="235" t="s">
        <v>546</v>
      </c>
      <c r="AU4582" s="235" t="s">
        <v>634</v>
      </c>
      <c r="AV4582" s="246" t="s">
        <v>635</v>
      </c>
      <c r="AW4582" s="227"/>
      <c r="AX4582" s="227"/>
      <c r="AY4582" s="227"/>
      <c r="AZ4582" s="227"/>
      <c r="BA4582" s="227"/>
      <c r="BB4582" s="227"/>
      <c r="BC4582" s="227"/>
      <c r="BD4582" s="227"/>
      <c r="BE4582" s="227"/>
      <c r="BF4582" s="227"/>
    </row>
    <row r="4583">
      <c r="A4583" s="235" t="s">
        <v>33957</v>
      </c>
      <c r="C4583" s="235" t="s">
        <v>33958</v>
      </c>
      <c r="D4583" s="235" t="s">
        <v>33959</v>
      </c>
      <c r="E4583" s="243">
        <v>6.5E13</v>
      </c>
      <c r="F4583" s="245"/>
      <c r="G4583" s="235" t="s">
        <v>33960</v>
      </c>
      <c r="H4583" s="235" t="s">
        <v>33961</v>
      </c>
      <c r="I4583" s="235" t="s">
        <v>33961</v>
      </c>
      <c r="J4583" s="235" t="s">
        <v>33962</v>
      </c>
      <c r="K4583" s="235" t="s">
        <v>33963</v>
      </c>
      <c r="N4583" s="235" t="s">
        <v>3</v>
      </c>
      <c r="O4583" s="235" t="s">
        <v>654</v>
      </c>
      <c r="P4583" s="238">
        <v>1.0</v>
      </c>
      <c r="Q4583" s="235" t="s">
        <v>627</v>
      </c>
      <c r="R4583" s="238">
        <v>265.71</v>
      </c>
      <c r="S4583" s="238">
        <v>13.29</v>
      </c>
      <c r="T4583" s="238">
        <v>0.0</v>
      </c>
      <c r="U4583" s="238">
        <v>0.0</v>
      </c>
      <c r="V4583" s="238">
        <v>0.0</v>
      </c>
      <c r="W4583" s="238">
        <v>0.0</v>
      </c>
      <c r="X4583" s="235" t="s">
        <v>628</v>
      </c>
      <c r="Z4583" s="245"/>
      <c r="AA4583" s="245"/>
      <c r="AB4583" s="245"/>
      <c r="AC4583" s="235" t="s">
        <v>795</v>
      </c>
      <c r="AD4583" s="235" t="s">
        <v>796</v>
      </c>
      <c r="AE4583" s="238">
        <v>110076.0</v>
      </c>
      <c r="AF4583" s="235" t="s">
        <v>631</v>
      </c>
      <c r="AG4583" s="245"/>
      <c r="AH4583" s="245"/>
      <c r="AI4583" s="245"/>
      <c r="AJ4583" s="245"/>
      <c r="AK4583" s="245"/>
      <c r="AL4583" s="245"/>
      <c r="AM4583" s="245"/>
      <c r="AN4583" s="245"/>
      <c r="AO4583" s="238">
        <v>0.0</v>
      </c>
      <c r="AP4583" s="238">
        <v>0.0</v>
      </c>
      <c r="AQ4583" s="235" t="s">
        <v>632</v>
      </c>
      <c r="AR4583" s="243">
        <v>1.68E11</v>
      </c>
      <c r="AS4583" s="235" t="s">
        <v>33869</v>
      </c>
      <c r="AT4583" s="235" t="s">
        <v>533</v>
      </c>
      <c r="AU4583" s="235" t="s">
        <v>634</v>
      </c>
      <c r="AV4583" s="246" t="s">
        <v>635</v>
      </c>
      <c r="AW4583" s="227"/>
      <c r="AX4583" s="227"/>
      <c r="AY4583" s="227"/>
      <c r="AZ4583" s="227"/>
      <c r="BA4583" s="227"/>
      <c r="BB4583" s="227"/>
      <c r="BC4583" s="227"/>
      <c r="BD4583" s="227"/>
      <c r="BE4583" s="227"/>
      <c r="BF4583" s="227"/>
    </row>
    <row r="4584">
      <c r="A4584" s="235" t="s">
        <v>33964</v>
      </c>
      <c r="C4584" s="235" t="s">
        <v>33965</v>
      </c>
      <c r="D4584" s="235" t="s">
        <v>33966</v>
      </c>
      <c r="E4584" s="243">
        <v>6.5E13</v>
      </c>
      <c r="F4584" s="245"/>
      <c r="G4584" s="235" t="s">
        <v>33967</v>
      </c>
      <c r="H4584" s="235" t="s">
        <v>33968</v>
      </c>
      <c r="I4584" s="235" t="s">
        <v>33961</v>
      </c>
      <c r="J4584" s="235" t="s">
        <v>33969</v>
      </c>
      <c r="K4584" s="235" t="s">
        <v>33970</v>
      </c>
      <c r="N4584" s="235" t="s">
        <v>141</v>
      </c>
      <c r="O4584" s="235" t="s">
        <v>342</v>
      </c>
      <c r="P4584" s="238">
        <v>1.0</v>
      </c>
      <c r="Q4584" s="235" t="s">
        <v>627</v>
      </c>
      <c r="R4584" s="238">
        <v>244.76</v>
      </c>
      <c r="S4584" s="238">
        <v>12.24</v>
      </c>
      <c r="T4584" s="238">
        <v>38.1</v>
      </c>
      <c r="U4584" s="238">
        <v>1.9</v>
      </c>
      <c r="V4584" s="238">
        <v>0.0</v>
      </c>
      <c r="W4584" s="238">
        <v>0.0</v>
      </c>
      <c r="X4584" s="235" t="s">
        <v>628</v>
      </c>
      <c r="Z4584" s="245"/>
      <c r="AA4584" s="245"/>
      <c r="AB4584" s="245"/>
      <c r="AC4584" s="235" t="s">
        <v>33971</v>
      </c>
      <c r="AD4584" s="235" t="s">
        <v>845</v>
      </c>
      <c r="AE4584" s="238">
        <v>442908.0</v>
      </c>
      <c r="AF4584" s="235" t="s">
        <v>631</v>
      </c>
      <c r="AG4584" s="245"/>
      <c r="AH4584" s="245"/>
      <c r="AI4584" s="245"/>
      <c r="AJ4584" s="245"/>
      <c r="AK4584" s="245"/>
      <c r="AL4584" s="245"/>
      <c r="AM4584" s="245"/>
      <c r="AN4584" s="245"/>
      <c r="AO4584" s="238">
        <v>0.0</v>
      </c>
      <c r="AP4584" s="238">
        <v>-38.1</v>
      </c>
      <c r="AQ4584" s="235" t="s">
        <v>632</v>
      </c>
      <c r="AR4584" s="243">
        <v>3.71E11</v>
      </c>
      <c r="AS4584" s="235" t="s">
        <v>29883</v>
      </c>
      <c r="AT4584" s="235" t="s">
        <v>17</v>
      </c>
      <c r="AU4584" s="235" t="s">
        <v>634</v>
      </c>
      <c r="AV4584" s="246" t="s">
        <v>635</v>
      </c>
      <c r="AW4584" s="227"/>
      <c r="AX4584" s="227"/>
      <c r="AY4584" s="227"/>
      <c r="AZ4584" s="227"/>
      <c r="BA4584" s="227"/>
      <c r="BB4584" s="227"/>
      <c r="BC4584" s="227"/>
      <c r="BD4584" s="227"/>
      <c r="BE4584" s="227"/>
      <c r="BF4584" s="227"/>
    </row>
    <row r="4585">
      <c r="A4585" s="235" t="s">
        <v>33972</v>
      </c>
      <c r="C4585" s="235" t="s">
        <v>33973</v>
      </c>
      <c r="D4585" s="235" t="s">
        <v>33974</v>
      </c>
      <c r="E4585" s="243">
        <v>6.5E13</v>
      </c>
      <c r="F4585" s="245"/>
      <c r="G4585" s="235" t="s">
        <v>33975</v>
      </c>
      <c r="H4585" s="235" t="s">
        <v>33976</v>
      </c>
      <c r="I4585" s="235" t="s">
        <v>33976</v>
      </c>
      <c r="J4585" s="235" t="s">
        <v>33977</v>
      </c>
      <c r="K4585" s="235" t="s">
        <v>18490</v>
      </c>
      <c r="N4585" s="235" t="s">
        <v>130</v>
      </c>
      <c r="O4585" s="235" t="s">
        <v>707</v>
      </c>
      <c r="P4585" s="238">
        <v>1.0</v>
      </c>
      <c r="Q4585" s="235" t="s">
        <v>627</v>
      </c>
      <c r="R4585" s="238">
        <v>243.8</v>
      </c>
      <c r="S4585" s="238">
        <v>12.2</v>
      </c>
      <c r="T4585" s="238">
        <v>38.1</v>
      </c>
      <c r="U4585" s="238">
        <v>1.9</v>
      </c>
      <c r="V4585" s="238">
        <v>0.0</v>
      </c>
      <c r="W4585" s="238">
        <v>0.0</v>
      </c>
      <c r="X4585" s="235" t="s">
        <v>628</v>
      </c>
      <c r="Z4585" s="245"/>
      <c r="AA4585" s="245"/>
      <c r="AB4585" s="245"/>
      <c r="AC4585" s="235" t="s">
        <v>10976</v>
      </c>
      <c r="AD4585" s="235" t="s">
        <v>679</v>
      </c>
      <c r="AE4585" s="238">
        <v>576283.0</v>
      </c>
      <c r="AF4585" s="235" t="s">
        <v>631</v>
      </c>
      <c r="AG4585" s="245"/>
      <c r="AH4585" s="245"/>
      <c r="AI4585" s="245"/>
      <c r="AJ4585" s="245"/>
      <c r="AK4585" s="245"/>
      <c r="AL4585" s="245"/>
      <c r="AM4585" s="245"/>
      <c r="AN4585" s="245"/>
      <c r="AO4585" s="238">
        <v>0.0</v>
      </c>
      <c r="AP4585" s="238">
        <v>-38.1</v>
      </c>
      <c r="AQ4585" s="235" t="s">
        <v>1328</v>
      </c>
      <c r="AR4585" s="243">
        <v>1.34E13</v>
      </c>
      <c r="AS4585" s="235" t="s">
        <v>28482</v>
      </c>
      <c r="AT4585" s="235" t="s">
        <v>9</v>
      </c>
      <c r="AU4585" s="235" t="s">
        <v>634</v>
      </c>
      <c r="AV4585" s="246" t="s">
        <v>635</v>
      </c>
      <c r="AW4585" s="227"/>
      <c r="AX4585" s="227"/>
      <c r="AY4585" s="227"/>
      <c r="AZ4585" s="227"/>
      <c r="BA4585" s="227"/>
      <c r="BB4585" s="227"/>
      <c r="BC4585" s="227"/>
      <c r="BD4585" s="227"/>
      <c r="BE4585" s="227"/>
      <c r="BF4585" s="227"/>
    </row>
    <row r="4586">
      <c r="A4586" s="235" t="s">
        <v>33978</v>
      </c>
      <c r="C4586" s="235" t="s">
        <v>33979</v>
      </c>
      <c r="D4586" s="235" t="s">
        <v>33980</v>
      </c>
      <c r="E4586" s="243">
        <v>6.5E13</v>
      </c>
      <c r="F4586" s="245"/>
      <c r="G4586" s="235" t="s">
        <v>33981</v>
      </c>
      <c r="H4586" s="235" t="s">
        <v>33982</v>
      </c>
      <c r="I4586" s="235" t="s">
        <v>33982</v>
      </c>
      <c r="J4586" s="235" t="s">
        <v>33983</v>
      </c>
      <c r="K4586" s="235" t="s">
        <v>33984</v>
      </c>
      <c r="N4586" s="235" t="s">
        <v>136</v>
      </c>
      <c r="O4586" s="235" t="s">
        <v>256</v>
      </c>
      <c r="P4586" s="238">
        <v>1.0</v>
      </c>
      <c r="Q4586" s="235" t="s">
        <v>627</v>
      </c>
      <c r="R4586" s="238">
        <v>244.76</v>
      </c>
      <c r="S4586" s="238">
        <v>12.24</v>
      </c>
      <c r="T4586" s="238">
        <v>0.0</v>
      </c>
      <c r="U4586" s="238">
        <v>0.0</v>
      </c>
      <c r="V4586" s="238">
        <v>0.0</v>
      </c>
      <c r="W4586" s="238">
        <v>0.0</v>
      </c>
      <c r="X4586" s="235" t="s">
        <v>628</v>
      </c>
      <c r="Z4586" s="245"/>
      <c r="AA4586" s="245"/>
      <c r="AB4586" s="245"/>
      <c r="AC4586" s="235" t="s">
        <v>1604</v>
      </c>
      <c r="AD4586" s="235" t="s">
        <v>845</v>
      </c>
      <c r="AE4586" s="238">
        <v>400069.0</v>
      </c>
      <c r="AF4586" s="235" t="s">
        <v>631</v>
      </c>
      <c r="AG4586" s="245"/>
      <c r="AH4586" s="245"/>
      <c r="AI4586" s="245"/>
      <c r="AJ4586" s="245"/>
      <c r="AK4586" s="245"/>
      <c r="AL4586" s="245"/>
      <c r="AM4586" s="245"/>
      <c r="AN4586" s="245"/>
      <c r="AO4586" s="238">
        <v>0.0</v>
      </c>
      <c r="AP4586" s="238">
        <v>0.0</v>
      </c>
      <c r="AQ4586" s="235" t="s">
        <v>632</v>
      </c>
      <c r="AR4586" s="243">
        <v>1.68E11</v>
      </c>
      <c r="AS4586" s="235" t="s">
        <v>33869</v>
      </c>
      <c r="AT4586" s="235" t="s">
        <v>17</v>
      </c>
      <c r="AU4586" s="235" t="s">
        <v>634</v>
      </c>
      <c r="AV4586" s="246" t="s">
        <v>635</v>
      </c>
      <c r="AW4586" s="227"/>
      <c r="AX4586" s="227"/>
      <c r="AY4586" s="227"/>
      <c r="AZ4586" s="227"/>
      <c r="BA4586" s="227"/>
      <c r="BB4586" s="227"/>
      <c r="BC4586" s="227"/>
      <c r="BD4586" s="227"/>
      <c r="BE4586" s="227"/>
      <c r="BF4586" s="227"/>
    </row>
    <row r="4587">
      <c r="A4587" s="235" t="s">
        <v>33985</v>
      </c>
      <c r="C4587" s="235" t="s">
        <v>33986</v>
      </c>
      <c r="D4587" s="235" t="s">
        <v>33987</v>
      </c>
      <c r="E4587" s="243">
        <v>6.5E13</v>
      </c>
      <c r="F4587" s="245"/>
      <c r="G4587" s="235" t="s">
        <v>33988</v>
      </c>
      <c r="H4587" s="235" t="s">
        <v>33989</v>
      </c>
      <c r="I4587" s="235" t="s">
        <v>33989</v>
      </c>
      <c r="J4587" s="235" t="s">
        <v>33990</v>
      </c>
      <c r="K4587" s="235" t="s">
        <v>33991</v>
      </c>
      <c r="N4587" s="235" t="s">
        <v>15</v>
      </c>
      <c r="O4587" s="235" t="s">
        <v>856</v>
      </c>
      <c r="P4587" s="238">
        <v>1.0</v>
      </c>
      <c r="Q4587" s="235" t="s">
        <v>627</v>
      </c>
      <c r="R4587" s="238">
        <v>360.95</v>
      </c>
      <c r="S4587" s="238">
        <v>18.05</v>
      </c>
      <c r="T4587" s="238">
        <v>38.1</v>
      </c>
      <c r="U4587" s="238">
        <v>1.9</v>
      </c>
      <c r="V4587" s="238">
        <v>0.0</v>
      </c>
      <c r="W4587" s="238">
        <v>0.0</v>
      </c>
      <c r="X4587" s="235" t="s">
        <v>628</v>
      </c>
      <c r="Z4587" s="245"/>
      <c r="AA4587" s="245"/>
      <c r="AB4587" s="245"/>
      <c r="AC4587" s="235" t="s">
        <v>33992</v>
      </c>
      <c r="AD4587" s="235" t="s">
        <v>645</v>
      </c>
      <c r="AE4587" s="238">
        <v>680664.0</v>
      </c>
      <c r="AF4587" s="235" t="s">
        <v>631</v>
      </c>
      <c r="AG4587" s="245"/>
      <c r="AH4587" s="245"/>
      <c r="AI4587" s="245"/>
      <c r="AJ4587" s="245"/>
      <c r="AK4587" s="245"/>
      <c r="AL4587" s="245"/>
      <c r="AM4587" s="245"/>
      <c r="AN4587" s="245"/>
      <c r="AO4587" s="238">
        <v>0.0</v>
      </c>
      <c r="AP4587" s="238">
        <v>-38.1</v>
      </c>
      <c r="AQ4587" s="235" t="s">
        <v>632</v>
      </c>
      <c r="AR4587" s="243">
        <v>3.71E11</v>
      </c>
      <c r="AS4587" s="235" t="s">
        <v>31232</v>
      </c>
      <c r="AT4587" s="235" t="s">
        <v>155</v>
      </c>
      <c r="AU4587" s="235" t="s">
        <v>634</v>
      </c>
      <c r="AV4587" s="246" t="s">
        <v>635</v>
      </c>
      <c r="AW4587" s="227"/>
      <c r="AX4587" s="227"/>
      <c r="AY4587" s="227"/>
      <c r="AZ4587" s="227"/>
      <c r="BA4587" s="227"/>
      <c r="BB4587" s="227"/>
      <c r="BC4587" s="227"/>
      <c r="BD4587" s="227"/>
      <c r="BE4587" s="227"/>
      <c r="BF4587" s="227"/>
    </row>
    <row r="4588">
      <c r="A4588" s="235" t="s">
        <v>33993</v>
      </c>
      <c r="C4588" s="235" t="s">
        <v>33994</v>
      </c>
      <c r="D4588" s="235" t="s">
        <v>33995</v>
      </c>
      <c r="E4588" s="243">
        <v>6.5E13</v>
      </c>
      <c r="F4588" s="245"/>
      <c r="G4588" s="235" t="s">
        <v>33996</v>
      </c>
      <c r="H4588" s="235" t="s">
        <v>33997</v>
      </c>
      <c r="I4588" s="235" t="s">
        <v>33997</v>
      </c>
      <c r="J4588" s="235" t="s">
        <v>33998</v>
      </c>
      <c r="K4588" s="235" t="s">
        <v>33999</v>
      </c>
      <c r="N4588" s="235" t="s">
        <v>92</v>
      </c>
      <c r="O4588" s="235" t="s">
        <v>248</v>
      </c>
      <c r="P4588" s="238">
        <v>1.0</v>
      </c>
      <c r="Q4588" s="235" t="s">
        <v>627</v>
      </c>
      <c r="R4588" s="238">
        <v>244.76</v>
      </c>
      <c r="S4588" s="238">
        <v>12.0</v>
      </c>
      <c r="T4588" s="238">
        <v>0.0</v>
      </c>
      <c r="U4588" s="238">
        <v>0.0</v>
      </c>
      <c r="V4588" s="238">
        <v>0.0</v>
      </c>
      <c r="W4588" s="238">
        <v>0.0</v>
      </c>
      <c r="X4588" s="235" t="s">
        <v>628</v>
      </c>
      <c r="Z4588" s="245"/>
      <c r="AA4588" s="245"/>
      <c r="AB4588" s="245"/>
      <c r="AC4588" s="235" t="s">
        <v>678</v>
      </c>
      <c r="AD4588" s="235" t="s">
        <v>679</v>
      </c>
      <c r="AE4588" s="238">
        <v>560061.0</v>
      </c>
      <c r="AF4588" s="235" t="s">
        <v>631</v>
      </c>
      <c r="AG4588" s="245"/>
      <c r="AH4588" s="245"/>
      <c r="AI4588" s="245"/>
      <c r="AJ4588" s="245"/>
      <c r="AK4588" s="245"/>
      <c r="AL4588" s="245"/>
      <c r="AM4588" s="245"/>
      <c r="AN4588" s="245"/>
      <c r="AO4588" s="238">
        <v>-4.9</v>
      </c>
      <c r="AP4588" s="238">
        <v>0.0</v>
      </c>
      <c r="AQ4588" s="235" t="s">
        <v>632</v>
      </c>
      <c r="AR4588" s="243">
        <v>1.68E11</v>
      </c>
      <c r="AS4588" s="235" t="s">
        <v>33869</v>
      </c>
      <c r="AT4588" s="235" t="s">
        <v>11</v>
      </c>
      <c r="AU4588" s="235" t="s">
        <v>634</v>
      </c>
      <c r="AV4588" s="246" t="s">
        <v>635</v>
      </c>
      <c r="AW4588" s="227"/>
      <c r="AX4588" s="227"/>
      <c r="AY4588" s="227"/>
      <c r="AZ4588" s="227"/>
      <c r="BA4588" s="227"/>
      <c r="BB4588" s="227"/>
      <c r="BC4588" s="227"/>
      <c r="BD4588" s="227"/>
      <c r="BE4588" s="227"/>
      <c r="BF4588" s="227"/>
    </row>
    <row r="4589">
      <c r="A4589" s="235" t="s">
        <v>34000</v>
      </c>
      <c r="C4589" s="235" t="s">
        <v>34001</v>
      </c>
      <c r="D4589" s="235" t="s">
        <v>34002</v>
      </c>
      <c r="E4589" s="243">
        <v>6.5E13</v>
      </c>
      <c r="F4589" s="245"/>
      <c r="G4589" s="235" t="s">
        <v>34003</v>
      </c>
      <c r="H4589" s="235" t="s">
        <v>34004</v>
      </c>
      <c r="I4589" s="235" t="s">
        <v>34004</v>
      </c>
      <c r="J4589" s="235" t="s">
        <v>34005</v>
      </c>
      <c r="K4589" s="235" t="s">
        <v>33847</v>
      </c>
      <c r="N4589" s="235" t="s">
        <v>53</v>
      </c>
      <c r="O4589" s="235" t="s">
        <v>512</v>
      </c>
      <c r="P4589" s="238">
        <v>1.0</v>
      </c>
      <c r="Q4589" s="235" t="s">
        <v>627</v>
      </c>
      <c r="R4589" s="238">
        <v>237.14</v>
      </c>
      <c r="S4589" s="238">
        <v>11.86</v>
      </c>
      <c r="T4589" s="238">
        <v>0.0</v>
      </c>
      <c r="U4589" s="238">
        <v>0.0</v>
      </c>
      <c r="V4589" s="238">
        <v>0.0</v>
      </c>
      <c r="W4589" s="238">
        <v>0.0</v>
      </c>
      <c r="X4589" s="235" t="s">
        <v>628</v>
      </c>
      <c r="Z4589" s="245"/>
      <c r="AA4589" s="245"/>
      <c r="AB4589" s="245"/>
      <c r="AC4589" s="235" t="s">
        <v>687</v>
      </c>
      <c r="AD4589" s="235" t="s">
        <v>666</v>
      </c>
      <c r="AE4589" s="238">
        <v>600004.0</v>
      </c>
      <c r="AF4589" s="235" t="s">
        <v>631</v>
      </c>
      <c r="AG4589" s="245"/>
      <c r="AH4589" s="245"/>
      <c r="AI4589" s="245"/>
      <c r="AJ4589" s="245"/>
      <c r="AK4589" s="245"/>
      <c r="AL4589" s="245"/>
      <c r="AM4589" s="245"/>
      <c r="AN4589" s="245"/>
      <c r="AO4589" s="238">
        <v>0.0</v>
      </c>
      <c r="AP4589" s="238">
        <v>0.0</v>
      </c>
      <c r="AQ4589" s="235" t="s">
        <v>632</v>
      </c>
      <c r="AR4589" s="243">
        <v>1.68E11</v>
      </c>
      <c r="AS4589" s="235" t="s">
        <v>33869</v>
      </c>
      <c r="AT4589" s="235" t="s">
        <v>156</v>
      </c>
      <c r="AU4589" s="235" t="s">
        <v>634</v>
      </c>
      <c r="AV4589" s="246" t="s">
        <v>635</v>
      </c>
      <c r="AW4589" s="227"/>
      <c r="AX4589" s="227"/>
      <c r="AY4589" s="227"/>
      <c r="AZ4589" s="227"/>
      <c r="BA4589" s="227"/>
      <c r="BB4589" s="227"/>
      <c r="BC4589" s="227"/>
      <c r="BD4589" s="227"/>
      <c r="BE4589" s="227"/>
      <c r="BF4589" s="227"/>
    </row>
    <row r="4590">
      <c r="A4590" s="235" t="s">
        <v>34006</v>
      </c>
      <c r="C4590" s="235" t="s">
        <v>34007</v>
      </c>
      <c r="D4590" s="235" t="s">
        <v>34008</v>
      </c>
      <c r="E4590" s="243">
        <v>6.5E13</v>
      </c>
      <c r="F4590" s="245"/>
      <c r="G4590" s="235" t="s">
        <v>34009</v>
      </c>
      <c r="H4590" s="235" t="s">
        <v>34010</v>
      </c>
      <c r="I4590" s="235" t="s">
        <v>34010</v>
      </c>
      <c r="J4590" s="235" t="s">
        <v>34011</v>
      </c>
      <c r="K4590" s="235" t="s">
        <v>34012</v>
      </c>
      <c r="N4590" s="235" t="s">
        <v>1346</v>
      </c>
      <c r="O4590" s="235" t="s">
        <v>1347</v>
      </c>
      <c r="P4590" s="238">
        <v>1.0</v>
      </c>
      <c r="Q4590" s="235" t="s">
        <v>627</v>
      </c>
      <c r="R4590" s="238">
        <v>256.2</v>
      </c>
      <c r="S4590" s="238">
        <v>12.8</v>
      </c>
      <c r="T4590" s="238">
        <v>0.0</v>
      </c>
      <c r="U4590" s="238">
        <v>0.0</v>
      </c>
      <c r="V4590" s="238">
        <v>0.0</v>
      </c>
      <c r="W4590" s="238">
        <v>0.0</v>
      </c>
      <c r="X4590" s="235" t="s">
        <v>628</v>
      </c>
      <c r="Z4590" s="245"/>
      <c r="AA4590" s="245"/>
      <c r="AB4590" s="245"/>
      <c r="AC4590" s="235" t="s">
        <v>678</v>
      </c>
      <c r="AD4590" s="235" t="s">
        <v>679</v>
      </c>
      <c r="AE4590" s="238">
        <v>560017.0</v>
      </c>
      <c r="AF4590" s="235" t="s">
        <v>631</v>
      </c>
      <c r="AG4590" s="245"/>
      <c r="AH4590" s="245"/>
      <c r="AI4590" s="245"/>
      <c r="AJ4590" s="245"/>
      <c r="AK4590" s="245"/>
      <c r="AL4590" s="245"/>
      <c r="AM4590" s="245"/>
      <c r="AN4590" s="245"/>
      <c r="AO4590" s="238">
        <v>0.0</v>
      </c>
      <c r="AP4590" s="238">
        <v>0.0</v>
      </c>
      <c r="AQ4590" s="235" t="s">
        <v>632</v>
      </c>
      <c r="AR4590" s="243">
        <v>1.68E11</v>
      </c>
      <c r="AS4590" s="235" t="s">
        <v>33869</v>
      </c>
      <c r="AT4590" s="235" t="s">
        <v>11</v>
      </c>
      <c r="AU4590" s="235" t="s">
        <v>634</v>
      </c>
      <c r="AV4590" s="246" t="s">
        <v>635</v>
      </c>
      <c r="AW4590" s="227"/>
      <c r="AX4590" s="227"/>
      <c r="AY4590" s="227"/>
      <c r="AZ4590" s="227"/>
      <c r="BA4590" s="227"/>
      <c r="BB4590" s="227"/>
      <c r="BC4590" s="227"/>
      <c r="BD4590" s="227"/>
      <c r="BE4590" s="227"/>
      <c r="BF4590" s="227"/>
    </row>
    <row r="4591">
      <c r="A4591" s="235" t="s">
        <v>34013</v>
      </c>
      <c r="C4591" s="235" t="s">
        <v>34014</v>
      </c>
      <c r="D4591" s="235" t="s">
        <v>34015</v>
      </c>
      <c r="E4591" s="243">
        <v>6.5E13</v>
      </c>
      <c r="F4591" s="245"/>
      <c r="G4591" s="235" t="s">
        <v>34016</v>
      </c>
      <c r="H4591" s="235" t="s">
        <v>34017</v>
      </c>
      <c r="I4591" s="235" t="s">
        <v>34017</v>
      </c>
      <c r="J4591" s="235" t="s">
        <v>34018</v>
      </c>
      <c r="K4591" s="235" t="s">
        <v>34019</v>
      </c>
      <c r="N4591" s="235" t="s">
        <v>82</v>
      </c>
      <c r="O4591" s="235" t="s">
        <v>889</v>
      </c>
      <c r="P4591" s="238">
        <v>1.0</v>
      </c>
      <c r="Q4591" s="235" t="s">
        <v>627</v>
      </c>
      <c r="R4591" s="238">
        <v>243.81</v>
      </c>
      <c r="S4591" s="238">
        <v>12.19</v>
      </c>
      <c r="T4591" s="238">
        <v>0.0</v>
      </c>
      <c r="U4591" s="238">
        <v>0.0</v>
      </c>
      <c r="V4591" s="238">
        <v>0.0</v>
      </c>
      <c r="W4591" s="238">
        <v>0.0</v>
      </c>
      <c r="X4591" s="235" t="s">
        <v>628</v>
      </c>
      <c r="Z4591" s="245"/>
      <c r="AA4591" s="245"/>
      <c r="AB4591" s="245"/>
      <c r="AC4591" s="235" t="s">
        <v>28223</v>
      </c>
      <c r="AD4591" s="235" t="s">
        <v>833</v>
      </c>
      <c r="AE4591" s="238">
        <v>516002.0</v>
      </c>
      <c r="AF4591" s="235" t="s">
        <v>631</v>
      </c>
      <c r="AG4591" s="245"/>
      <c r="AH4591" s="245"/>
      <c r="AI4591" s="245"/>
      <c r="AJ4591" s="245"/>
      <c r="AK4591" s="245"/>
      <c r="AL4591" s="245"/>
      <c r="AM4591" s="245"/>
      <c r="AN4591" s="245"/>
      <c r="AO4591" s="238">
        <v>0.0</v>
      </c>
      <c r="AP4591" s="238">
        <v>0.0</v>
      </c>
      <c r="AQ4591" s="235" t="s">
        <v>632</v>
      </c>
      <c r="AR4591" s="243">
        <v>1.68E11</v>
      </c>
      <c r="AS4591" s="235" t="s">
        <v>33466</v>
      </c>
      <c r="AT4591" s="235" t="s">
        <v>156</v>
      </c>
      <c r="AU4591" s="235" t="s">
        <v>634</v>
      </c>
      <c r="AV4591" s="246" t="s">
        <v>635</v>
      </c>
      <c r="AW4591" s="227"/>
      <c r="AX4591" s="227"/>
      <c r="AY4591" s="227"/>
      <c r="AZ4591" s="227"/>
      <c r="BA4591" s="227"/>
      <c r="BB4591" s="227"/>
      <c r="BC4591" s="227"/>
      <c r="BD4591" s="227"/>
      <c r="BE4591" s="227"/>
      <c r="BF4591" s="227"/>
    </row>
    <row r="4592">
      <c r="A4592" s="235" t="s">
        <v>34020</v>
      </c>
      <c r="C4592" s="235" t="s">
        <v>34021</v>
      </c>
      <c r="D4592" s="235" t="s">
        <v>34022</v>
      </c>
      <c r="E4592" s="243">
        <v>6.5E13</v>
      </c>
      <c r="F4592" s="245"/>
      <c r="G4592" s="235" t="s">
        <v>34023</v>
      </c>
      <c r="H4592" s="235" t="s">
        <v>34024</v>
      </c>
      <c r="I4592" s="235" t="s">
        <v>34024</v>
      </c>
      <c r="J4592" s="235" t="s">
        <v>34025</v>
      </c>
      <c r="K4592" s="235" t="s">
        <v>34026</v>
      </c>
      <c r="N4592" s="235" t="s">
        <v>53</v>
      </c>
      <c r="O4592" s="235" t="s">
        <v>512</v>
      </c>
      <c r="P4592" s="238">
        <v>1.0</v>
      </c>
      <c r="Q4592" s="235" t="s">
        <v>627</v>
      </c>
      <c r="R4592" s="238">
        <v>237.14</v>
      </c>
      <c r="S4592" s="238">
        <v>11.86</v>
      </c>
      <c r="T4592" s="238">
        <v>0.0</v>
      </c>
      <c r="U4592" s="238">
        <v>0.0</v>
      </c>
      <c r="V4592" s="238">
        <v>0.0</v>
      </c>
      <c r="W4592" s="238">
        <v>0.0</v>
      </c>
      <c r="X4592" s="235" t="s">
        <v>628</v>
      </c>
      <c r="Z4592" s="245"/>
      <c r="AA4592" s="245"/>
      <c r="AB4592" s="245"/>
      <c r="AC4592" s="235" t="s">
        <v>687</v>
      </c>
      <c r="AD4592" s="235" t="s">
        <v>666</v>
      </c>
      <c r="AE4592" s="238">
        <v>600116.0</v>
      </c>
      <c r="AF4592" s="235" t="s">
        <v>631</v>
      </c>
      <c r="AG4592" s="245"/>
      <c r="AH4592" s="245"/>
      <c r="AI4592" s="245"/>
      <c r="AJ4592" s="245"/>
      <c r="AK4592" s="245"/>
      <c r="AL4592" s="245"/>
      <c r="AM4592" s="245"/>
      <c r="AN4592" s="245"/>
      <c r="AO4592" s="238">
        <v>0.0</v>
      </c>
      <c r="AP4592" s="238">
        <v>0.0</v>
      </c>
      <c r="AQ4592" s="235" t="s">
        <v>632</v>
      </c>
      <c r="AR4592" s="243">
        <v>1.68E11</v>
      </c>
      <c r="AS4592" s="235" t="s">
        <v>33466</v>
      </c>
      <c r="AT4592" s="235" t="s">
        <v>9</v>
      </c>
      <c r="AU4592" s="235" t="s">
        <v>634</v>
      </c>
      <c r="AV4592" s="246" t="s">
        <v>635</v>
      </c>
      <c r="AW4592" s="227"/>
      <c r="AX4592" s="227"/>
      <c r="AY4592" s="227"/>
      <c r="AZ4592" s="227"/>
      <c r="BA4592" s="227"/>
      <c r="BB4592" s="227"/>
      <c r="BC4592" s="227"/>
      <c r="BD4592" s="227"/>
      <c r="BE4592" s="227"/>
      <c r="BF4592" s="227"/>
    </row>
    <row r="4593">
      <c r="A4593" s="235" t="s">
        <v>34027</v>
      </c>
      <c r="C4593" s="235" t="s">
        <v>34028</v>
      </c>
      <c r="D4593" s="235" t="s">
        <v>34029</v>
      </c>
      <c r="E4593" s="243">
        <v>6.5E13</v>
      </c>
      <c r="F4593" s="245"/>
      <c r="G4593" s="235" t="s">
        <v>34030</v>
      </c>
      <c r="H4593" s="235" t="s">
        <v>34031</v>
      </c>
      <c r="I4593" s="235" t="s">
        <v>34032</v>
      </c>
      <c r="J4593" s="235" t="s">
        <v>34033</v>
      </c>
      <c r="K4593" s="235" t="s">
        <v>34034</v>
      </c>
      <c r="N4593" s="235" t="s">
        <v>47</v>
      </c>
      <c r="O4593" s="235" t="s">
        <v>270</v>
      </c>
      <c r="P4593" s="238">
        <v>1.0</v>
      </c>
      <c r="Q4593" s="235" t="s">
        <v>627</v>
      </c>
      <c r="R4593" s="238">
        <v>236.19</v>
      </c>
      <c r="S4593" s="238">
        <v>11.81</v>
      </c>
      <c r="T4593" s="238">
        <v>0.0</v>
      </c>
      <c r="U4593" s="238">
        <v>0.0</v>
      </c>
      <c r="V4593" s="238">
        <v>0.0</v>
      </c>
      <c r="W4593" s="238">
        <v>0.0</v>
      </c>
      <c r="X4593" s="235" t="s">
        <v>628</v>
      </c>
      <c r="Z4593" s="245"/>
      <c r="AA4593" s="245"/>
      <c r="AB4593" s="245"/>
      <c r="AC4593" s="235" t="s">
        <v>34035</v>
      </c>
      <c r="AD4593" s="235" t="s">
        <v>891</v>
      </c>
      <c r="AE4593" s="238">
        <v>605010.0</v>
      </c>
      <c r="AF4593" s="235" t="s">
        <v>631</v>
      </c>
      <c r="AG4593" s="245"/>
      <c r="AH4593" s="245"/>
      <c r="AI4593" s="245"/>
      <c r="AJ4593" s="245"/>
      <c r="AK4593" s="245"/>
      <c r="AL4593" s="245"/>
      <c r="AM4593" s="245"/>
      <c r="AN4593" s="245"/>
      <c r="AO4593" s="238">
        <v>0.0</v>
      </c>
      <c r="AP4593" s="238">
        <v>0.0</v>
      </c>
      <c r="AQ4593" s="235" t="s">
        <v>632</v>
      </c>
      <c r="AR4593" s="243">
        <v>1.68E11</v>
      </c>
      <c r="AS4593" s="235" t="s">
        <v>33869</v>
      </c>
      <c r="AT4593" s="235" t="s">
        <v>156</v>
      </c>
      <c r="AU4593" s="235" t="s">
        <v>634</v>
      </c>
      <c r="AV4593" s="246" t="s">
        <v>635</v>
      </c>
      <c r="AW4593" s="227"/>
      <c r="AX4593" s="227"/>
      <c r="AY4593" s="227"/>
      <c r="AZ4593" s="227"/>
      <c r="BA4593" s="227"/>
      <c r="BB4593" s="227"/>
      <c r="BC4593" s="227"/>
      <c r="BD4593" s="227"/>
      <c r="BE4593" s="227"/>
      <c r="BF4593" s="227"/>
    </row>
    <row r="4594">
      <c r="A4594" s="235" t="s">
        <v>34036</v>
      </c>
      <c r="C4594" s="235" t="s">
        <v>34037</v>
      </c>
      <c r="D4594" s="235" t="s">
        <v>34038</v>
      </c>
      <c r="E4594" s="243">
        <v>6.5E13</v>
      </c>
      <c r="F4594" s="245"/>
      <c r="G4594" s="235" t="s">
        <v>34039</v>
      </c>
      <c r="H4594" s="235" t="s">
        <v>34040</v>
      </c>
      <c r="I4594" s="235" t="s">
        <v>34040</v>
      </c>
      <c r="J4594" s="235" t="s">
        <v>34041</v>
      </c>
      <c r="K4594" s="235" t="s">
        <v>34042</v>
      </c>
      <c r="N4594" s="235" t="s">
        <v>138</v>
      </c>
      <c r="O4594" s="235" t="s">
        <v>675</v>
      </c>
      <c r="P4594" s="238">
        <v>1.0</v>
      </c>
      <c r="Q4594" s="235" t="s">
        <v>627</v>
      </c>
      <c r="R4594" s="238">
        <v>244.76</v>
      </c>
      <c r="S4594" s="238">
        <v>12.0</v>
      </c>
      <c r="T4594" s="238">
        <v>0.0</v>
      </c>
      <c r="U4594" s="238">
        <v>0.0</v>
      </c>
      <c r="V4594" s="238">
        <v>0.0</v>
      </c>
      <c r="W4594" s="238">
        <v>0.0</v>
      </c>
      <c r="X4594" s="235" t="s">
        <v>628</v>
      </c>
      <c r="Z4594" s="245"/>
      <c r="AA4594" s="245"/>
      <c r="AB4594" s="245"/>
      <c r="AC4594" s="235" t="s">
        <v>697</v>
      </c>
      <c r="AD4594" s="235" t="s">
        <v>698</v>
      </c>
      <c r="AE4594" s="238">
        <v>500048.0</v>
      </c>
      <c r="AF4594" s="235" t="s">
        <v>631</v>
      </c>
      <c r="AG4594" s="245"/>
      <c r="AH4594" s="245"/>
      <c r="AI4594" s="245"/>
      <c r="AJ4594" s="245"/>
      <c r="AK4594" s="245"/>
      <c r="AL4594" s="245"/>
      <c r="AM4594" s="245"/>
      <c r="AN4594" s="245"/>
      <c r="AO4594" s="238">
        <v>-4.9</v>
      </c>
      <c r="AP4594" s="238">
        <v>0.0</v>
      </c>
      <c r="AQ4594" s="235" t="s">
        <v>632</v>
      </c>
      <c r="AR4594" s="243">
        <v>3.71E11</v>
      </c>
      <c r="AS4594" s="235" t="s">
        <v>32455</v>
      </c>
      <c r="AT4594" s="235" t="s">
        <v>546</v>
      </c>
      <c r="AU4594" s="235" t="s">
        <v>634</v>
      </c>
      <c r="AV4594" s="246" t="s">
        <v>635</v>
      </c>
      <c r="AW4594" s="227"/>
      <c r="AX4594" s="227"/>
      <c r="AY4594" s="227"/>
      <c r="AZ4594" s="227"/>
      <c r="BA4594" s="227"/>
      <c r="BB4594" s="227"/>
      <c r="BC4594" s="227"/>
      <c r="BD4594" s="227"/>
      <c r="BE4594" s="227"/>
      <c r="BF4594" s="227"/>
    </row>
    <row r="4595">
      <c r="A4595" s="235" t="s">
        <v>34043</v>
      </c>
      <c r="C4595" s="235" t="s">
        <v>34044</v>
      </c>
      <c r="D4595" s="235" t="s">
        <v>34045</v>
      </c>
      <c r="E4595" s="243">
        <v>6.5E13</v>
      </c>
      <c r="F4595" s="245"/>
      <c r="G4595" s="235" t="s">
        <v>34046</v>
      </c>
      <c r="H4595" s="235" t="s">
        <v>34047</v>
      </c>
      <c r="I4595" s="235" t="s">
        <v>34047</v>
      </c>
      <c r="J4595" s="235" t="s">
        <v>34048</v>
      </c>
      <c r="K4595" s="235" t="s">
        <v>34049</v>
      </c>
      <c r="N4595" s="235" t="s">
        <v>138</v>
      </c>
      <c r="O4595" s="235" t="s">
        <v>675</v>
      </c>
      <c r="P4595" s="238">
        <v>1.0</v>
      </c>
      <c r="Q4595" s="235" t="s">
        <v>627</v>
      </c>
      <c r="R4595" s="238">
        <v>244.76</v>
      </c>
      <c r="S4595" s="238">
        <v>12.0</v>
      </c>
      <c r="T4595" s="238">
        <v>0.0</v>
      </c>
      <c r="U4595" s="238">
        <v>0.0</v>
      </c>
      <c r="V4595" s="238">
        <v>0.0</v>
      </c>
      <c r="W4595" s="238">
        <v>0.0</v>
      </c>
      <c r="X4595" s="235" t="s">
        <v>628</v>
      </c>
      <c r="Z4595" s="245"/>
      <c r="AA4595" s="245"/>
      <c r="AB4595" s="245"/>
      <c r="AC4595" s="235" t="s">
        <v>34050</v>
      </c>
      <c r="AD4595" s="235" t="s">
        <v>854</v>
      </c>
      <c r="AE4595" s="238">
        <v>403530.0</v>
      </c>
      <c r="AF4595" s="235" t="s">
        <v>631</v>
      </c>
      <c r="AG4595" s="245"/>
      <c r="AH4595" s="245"/>
      <c r="AI4595" s="245"/>
      <c r="AJ4595" s="245"/>
      <c r="AK4595" s="245"/>
      <c r="AL4595" s="245"/>
      <c r="AM4595" s="245"/>
      <c r="AN4595" s="245"/>
      <c r="AO4595" s="238">
        <v>-4.9</v>
      </c>
      <c r="AP4595" s="238">
        <v>0.0</v>
      </c>
      <c r="AQ4595" s="235" t="s">
        <v>632</v>
      </c>
      <c r="AR4595" s="243">
        <v>3.71E11</v>
      </c>
      <c r="AS4595" s="235" t="s">
        <v>31232</v>
      </c>
      <c r="AT4595" s="235" t="s">
        <v>9</v>
      </c>
      <c r="AU4595" s="235" t="s">
        <v>634</v>
      </c>
      <c r="AV4595" s="246" t="s">
        <v>635</v>
      </c>
      <c r="AW4595" s="227"/>
      <c r="AX4595" s="227"/>
      <c r="AY4595" s="227"/>
      <c r="AZ4595" s="227"/>
      <c r="BA4595" s="227"/>
      <c r="BB4595" s="227"/>
      <c r="BC4595" s="227"/>
      <c r="BD4595" s="227"/>
      <c r="BE4595" s="227"/>
      <c r="BF4595" s="227"/>
    </row>
    <row r="4596">
      <c r="A4596" s="235" t="s">
        <v>34051</v>
      </c>
      <c r="C4596" s="235" t="s">
        <v>34052</v>
      </c>
      <c r="D4596" s="235" t="s">
        <v>34053</v>
      </c>
      <c r="E4596" s="243">
        <v>6.5E13</v>
      </c>
      <c r="F4596" s="245"/>
      <c r="G4596" s="235" t="s">
        <v>34054</v>
      </c>
      <c r="H4596" s="235" t="s">
        <v>34055</v>
      </c>
      <c r="I4596" s="235" t="s">
        <v>34055</v>
      </c>
      <c r="J4596" s="235" t="s">
        <v>34056</v>
      </c>
      <c r="K4596" s="235" t="s">
        <v>34057</v>
      </c>
      <c r="N4596" s="235" t="s">
        <v>68</v>
      </c>
      <c r="O4596" s="235" t="s">
        <v>208</v>
      </c>
      <c r="P4596" s="238">
        <v>1.0</v>
      </c>
      <c r="Q4596" s="235" t="s">
        <v>627</v>
      </c>
      <c r="R4596" s="238">
        <v>246.67</v>
      </c>
      <c r="S4596" s="238">
        <v>12.33</v>
      </c>
      <c r="T4596" s="238">
        <v>0.0</v>
      </c>
      <c r="U4596" s="238">
        <v>0.0</v>
      </c>
      <c r="V4596" s="238">
        <v>0.0</v>
      </c>
      <c r="W4596" s="238">
        <v>0.0</v>
      </c>
      <c r="X4596" s="235" t="s">
        <v>628</v>
      </c>
      <c r="Z4596" s="245"/>
      <c r="AA4596" s="245"/>
      <c r="AB4596" s="245"/>
      <c r="AC4596" s="235" t="s">
        <v>6571</v>
      </c>
      <c r="AD4596" s="235" t="s">
        <v>731</v>
      </c>
      <c r="AE4596" s="238">
        <v>781029.0</v>
      </c>
      <c r="AF4596" s="235" t="s">
        <v>631</v>
      </c>
      <c r="AG4596" s="245"/>
      <c r="AH4596" s="245"/>
      <c r="AI4596" s="245"/>
      <c r="AJ4596" s="245"/>
      <c r="AK4596" s="245"/>
      <c r="AL4596" s="245"/>
      <c r="AM4596" s="245"/>
      <c r="AN4596" s="245"/>
      <c r="AO4596" s="238">
        <v>0.0</v>
      </c>
      <c r="AP4596" s="238">
        <v>0.0</v>
      </c>
      <c r="AQ4596" s="235" t="s">
        <v>632</v>
      </c>
      <c r="AR4596" s="243">
        <v>3.71E11</v>
      </c>
      <c r="AS4596" s="235" t="s">
        <v>28482</v>
      </c>
      <c r="AT4596" s="235" t="s">
        <v>14</v>
      </c>
      <c r="AU4596" s="235" t="s">
        <v>634</v>
      </c>
      <c r="AV4596" s="246" t="s">
        <v>635</v>
      </c>
      <c r="AW4596" s="227"/>
      <c r="AX4596" s="227"/>
      <c r="AY4596" s="227"/>
      <c r="AZ4596" s="227"/>
      <c r="BA4596" s="227"/>
      <c r="BB4596" s="227"/>
      <c r="BC4596" s="227"/>
      <c r="BD4596" s="227"/>
      <c r="BE4596" s="227"/>
      <c r="BF4596" s="227"/>
    </row>
    <row r="4597">
      <c r="A4597" s="235" t="s">
        <v>34058</v>
      </c>
      <c r="C4597" s="235" t="s">
        <v>34059</v>
      </c>
      <c r="D4597" s="235" t="s">
        <v>34060</v>
      </c>
      <c r="E4597" s="243">
        <v>6.5E13</v>
      </c>
      <c r="F4597" s="245"/>
      <c r="G4597" s="235" t="s">
        <v>34061</v>
      </c>
      <c r="H4597" s="235" t="s">
        <v>34062</v>
      </c>
      <c r="I4597" s="235" t="s">
        <v>34062</v>
      </c>
      <c r="J4597" s="235" t="s">
        <v>34063</v>
      </c>
      <c r="K4597" s="235" t="s">
        <v>34064</v>
      </c>
      <c r="N4597" s="235" t="s">
        <v>68</v>
      </c>
      <c r="O4597" s="235" t="s">
        <v>208</v>
      </c>
      <c r="P4597" s="238">
        <v>1.0</v>
      </c>
      <c r="Q4597" s="235" t="s">
        <v>627</v>
      </c>
      <c r="R4597" s="238">
        <v>246.66</v>
      </c>
      <c r="S4597" s="238">
        <v>12.1</v>
      </c>
      <c r="T4597" s="238">
        <v>0.0</v>
      </c>
      <c r="U4597" s="238">
        <v>0.0</v>
      </c>
      <c r="V4597" s="238">
        <v>0.0</v>
      </c>
      <c r="W4597" s="238">
        <v>0.0</v>
      </c>
      <c r="X4597" s="235" t="s">
        <v>628</v>
      </c>
      <c r="Z4597" s="245"/>
      <c r="AA4597" s="245"/>
      <c r="AB4597" s="245"/>
      <c r="AC4597" s="235" t="s">
        <v>1456</v>
      </c>
      <c r="AD4597" s="235" t="s">
        <v>928</v>
      </c>
      <c r="AE4597" s="238">
        <v>122002.0</v>
      </c>
      <c r="AF4597" s="235" t="s">
        <v>631</v>
      </c>
      <c r="AG4597" s="245"/>
      <c r="AH4597" s="245"/>
      <c r="AI4597" s="245"/>
      <c r="AJ4597" s="245"/>
      <c r="AK4597" s="245"/>
      <c r="AL4597" s="245"/>
      <c r="AM4597" s="245"/>
      <c r="AN4597" s="245"/>
      <c r="AO4597" s="238">
        <v>-4.94</v>
      </c>
      <c r="AP4597" s="238">
        <v>0.0</v>
      </c>
      <c r="AQ4597" s="235" t="s">
        <v>632</v>
      </c>
      <c r="AR4597" s="243">
        <v>1.68E11</v>
      </c>
      <c r="AS4597" s="235" t="s">
        <v>33869</v>
      </c>
      <c r="AT4597" s="235" t="s">
        <v>533</v>
      </c>
      <c r="AU4597" s="235" t="s">
        <v>634</v>
      </c>
      <c r="AV4597" s="246" t="s">
        <v>635</v>
      </c>
      <c r="AW4597" s="227"/>
      <c r="AX4597" s="227"/>
      <c r="AY4597" s="227"/>
      <c r="AZ4597" s="227"/>
      <c r="BA4597" s="227"/>
      <c r="BB4597" s="227"/>
      <c r="BC4597" s="227"/>
      <c r="BD4597" s="227"/>
      <c r="BE4597" s="227"/>
      <c r="BF4597" s="227"/>
    </row>
    <row r="4598">
      <c r="A4598" s="235" t="s">
        <v>34058</v>
      </c>
      <c r="C4598" s="235" t="s">
        <v>34059</v>
      </c>
      <c r="D4598" s="235" t="s">
        <v>34065</v>
      </c>
      <c r="E4598" s="243">
        <v>6.5E13</v>
      </c>
      <c r="F4598" s="245"/>
      <c r="G4598" s="235" t="s">
        <v>34061</v>
      </c>
      <c r="H4598" s="235" t="s">
        <v>34062</v>
      </c>
      <c r="I4598" s="235" t="s">
        <v>34062</v>
      </c>
      <c r="J4598" s="235" t="s">
        <v>34063</v>
      </c>
      <c r="K4598" s="235" t="s">
        <v>34064</v>
      </c>
      <c r="N4598" s="235" t="s">
        <v>68</v>
      </c>
      <c r="O4598" s="235" t="s">
        <v>208</v>
      </c>
      <c r="P4598" s="238">
        <v>1.0</v>
      </c>
      <c r="Q4598" s="235" t="s">
        <v>627</v>
      </c>
      <c r="R4598" s="238">
        <v>246.66</v>
      </c>
      <c r="S4598" s="238">
        <v>12.1</v>
      </c>
      <c r="T4598" s="238">
        <v>0.0</v>
      </c>
      <c r="U4598" s="238">
        <v>0.0</v>
      </c>
      <c r="V4598" s="238">
        <v>0.0</v>
      </c>
      <c r="W4598" s="238">
        <v>0.0</v>
      </c>
      <c r="X4598" s="235" t="s">
        <v>628</v>
      </c>
      <c r="Z4598" s="245"/>
      <c r="AA4598" s="245"/>
      <c r="AB4598" s="245"/>
      <c r="AC4598" s="235" t="s">
        <v>1456</v>
      </c>
      <c r="AD4598" s="235" t="s">
        <v>928</v>
      </c>
      <c r="AE4598" s="238">
        <v>122002.0</v>
      </c>
      <c r="AF4598" s="235" t="s">
        <v>631</v>
      </c>
      <c r="AG4598" s="245"/>
      <c r="AH4598" s="245"/>
      <c r="AI4598" s="245"/>
      <c r="AJ4598" s="245"/>
      <c r="AK4598" s="245"/>
      <c r="AL4598" s="245"/>
      <c r="AM4598" s="245"/>
      <c r="AN4598" s="245"/>
      <c r="AO4598" s="238">
        <v>-4.94</v>
      </c>
      <c r="AP4598" s="238">
        <v>0.0</v>
      </c>
      <c r="AQ4598" s="235" t="s">
        <v>632</v>
      </c>
      <c r="AR4598" s="243">
        <v>1.68E11</v>
      </c>
      <c r="AS4598" s="235" t="s">
        <v>33869</v>
      </c>
      <c r="AT4598" s="235" t="s">
        <v>533</v>
      </c>
      <c r="AU4598" s="235" t="s">
        <v>634</v>
      </c>
      <c r="AV4598" s="246" t="s">
        <v>635</v>
      </c>
      <c r="AW4598" s="227"/>
      <c r="AX4598" s="227"/>
      <c r="AY4598" s="227"/>
      <c r="AZ4598" s="227"/>
      <c r="BA4598" s="227"/>
      <c r="BB4598" s="227"/>
      <c r="BC4598" s="227"/>
      <c r="BD4598" s="227"/>
      <c r="BE4598" s="227"/>
      <c r="BF4598" s="227"/>
    </row>
    <row r="4599">
      <c r="A4599" s="235" t="s">
        <v>34058</v>
      </c>
      <c r="C4599" s="235" t="s">
        <v>34059</v>
      </c>
      <c r="D4599" s="235" t="s">
        <v>34066</v>
      </c>
      <c r="E4599" s="243">
        <v>6.5E13</v>
      </c>
      <c r="F4599" s="245"/>
      <c r="G4599" s="235" t="s">
        <v>34061</v>
      </c>
      <c r="H4599" s="235" t="s">
        <v>34062</v>
      </c>
      <c r="I4599" s="235" t="s">
        <v>34062</v>
      </c>
      <c r="J4599" s="235" t="s">
        <v>34063</v>
      </c>
      <c r="K4599" s="235" t="s">
        <v>34064</v>
      </c>
      <c r="N4599" s="235" t="s">
        <v>68</v>
      </c>
      <c r="O4599" s="235" t="s">
        <v>208</v>
      </c>
      <c r="P4599" s="238">
        <v>2.0</v>
      </c>
      <c r="Q4599" s="235" t="s">
        <v>627</v>
      </c>
      <c r="R4599" s="238">
        <v>493.32</v>
      </c>
      <c r="S4599" s="238">
        <v>24.2</v>
      </c>
      <c r="T4599" s="238">
        <v>0.0</v>
      </c>
      <c r="U4599" s="238">
        <v>0.0</v>
      </c>
      <c r="V4599" s="238">
        <v>0.0</v>
      </c>
      <c r="W4599" s="238">
        <v>0.0</v>
      </c>
      <c r="X4599" s="235" t="s">
        <v>628</v>
      </c>
      <c r="Z4599" s="245"/>
      <c r="AA4599" s="245"/>
      <c r="AB4599" s="245"/>
      <c r="AC4599" s="235" t="s">
        <v>1456</v>
      </c>
      <c r="AD4599" s="235" t="s">
        <v>928</v>
      </c>
      <c r="AE4599" s="238">
        <v>122002.0</v>
      </c>
      <c r="AF4599" s="235" t="s">
        <v>631</v>
      </c>
      <c r="AG4599" s="245"/>
      <c r="AH4599" s="245"/>
      <c r="AI4599" s="245"/>
      <c r="AJ4599" s="245"/>
      <c r="AK4599" s="245"/>
      <c r="AL4599" s="245"/>
      <c r="AM4599" s="245"/>
      <c r="AN4599" s="245"/>
      <c r="AO4599" s="238">
        <v>-9.88</v>
      </c>
      <c r="AP4599" s="238">
        <v>0.0</v>
      </c>
      <c r="AQ4599" s="235" t="s">
        <v>632</v>
      </c>
      <c r="AR4599" s="243">
        <v>1.68E11</v>
      </c>
      <c r="AS4599" s="235" t="s">
        <v>33869</v>
      </c>
      <c r="AT4599" s="235" t="s">
        <v>533</v>
      </c>
      <c r="AU4599" s="235" t="s">
        <v>634</v>
      </c>
      <c r="AV4599" s="246" t="s">
        <v>635</v>
      </c>
      <c r="AW4599" s="227"/>
      <c r="AX4599" s="227"/>
      <c r="AY4599" s="227"/>
      <c r="AZ4599" s="227"/>
      <c r="BA4599" s="227"/>
      <c r="BB4599" s="227"/>
      <c r="BC4599" s="227"/>
      <c r="BD4599" s="227"/>
      <c r="BE4599" s="227"/>
      <c r="BF4599" s="227"/>
    </row>
    <row r="4600">
      <c r="A4600" s="235" t="s">
        <v>34067</v>
      </c>
      <c r="C4600" s="235" t="s">
        <v>34068</v>
      </c>
      <c r="D4600" s="235" t="s">
        <v>34069</v>
      </c>
      <c r="E4600" s="243">
        <v>6.5E13</v>
      </c>
      <c r="F4600" s="245"/>
      <c r="G4600" s="235" t="s">
        <v>34070</v>
      </c>
      <c r="H4600" s="235" t="s">
        <v>34071</v>
      </c>
      <c r="I4600" s="235" t="s">
        <v>34071</v>
      </c>
      <c r="J4600" s="235" t="s">
        <v>34072</v>
      </c>
      <c r="K4600" s="235" t="s">
        <v>34073</v>
      </c>
      <c r="N4600" s="235" t="s">
        <v>144</v>
      </c>
      <c r="O4600" s="235" t="s">
        <v>232</v>
      </c>
      <c r="P4600" s="238">
        <v>1.0</v>
      </c>
      <c r="Q4600" s="235" t="s">
        <v>627</v>
      </c>
      <c r="R4600" s="238">
        <v>665.72</v>
      </c>
      <c r="S4600" s="238">
        <v>33.28</v>
      </c>
      <c r="T4600" s="238">
        <v>0.0</v>
      </c>
      <c r="U4600" s="238">
        <v>0.0</v>
      </c>
      <c r="V4600" s="238">
        <v>0.0</v>
      </c>
      <c r="W4600" s="238">
        <v>0.0</v>
      </c>
      <c r="X4600" s="235" t="s">
        <v>628</v>
      </c>
      <c r="Z4600" s="245"/>
      <c r="AA4600" s="245"/>
      <c r="AB4600" s="245"/>
      <c r="AC4600" s="235" t="s">
        <v>678</v>
      </c>
      <c r="AD4600" s="235" t="s">
        <v>679</v>
      </c>
      <c r="AE4600" s="238">
        <v>560068.0</v>
      </c>
      <c r="AF4600" s="235" t="s">
        <v>631</v>
      </c>
      <c r="AG4600" s="245"/>
      <c r="AH4600" s="245"/>
      <c r="AI4600" s="245"/>
      <c r="AJ4600" s="245"/>
      <c r="AK4600" s="245"/>
      <c r="AL4600" s="245"/>
      <c r="AM4600" s="245"/>
      <c r="AN4600" s="245"/>
      <c r="AO4600" s="238">
        <v>0.0</v>
      </c>
      <c r="AP4600" s="238">
        <v>0.0</v>
      </c>
      <c r="AQ4600" s="235" t="s">
        <v>632</v>
      </c>
      <c r="AR4600" s="243">
        <v>1.68E11</v>
      </c>
      <c r="AS4600" s="235" t="s">
        <v>33869</v>
      </c>
      <c r="AT4600" s="235" t="s">
        <v>9</v>
      </c>
      <c r="AU4600" s="235" t="s">
        <v>634</v>
      </c>
      <c r="AV4600" s="246" t="s">
        <v>635</v>
      </c>
      <c r="AW4600" s="227"/>
      <c r="AX4600" s="227"/>
      <c r="AY4600" s="227"/>
      <c r="AZ4600" s="227"/>
      <c r="BA4600" s="227"/>
      <c r="BB4600" s="227"/>
      <c r="BC4600" s="227"/>
      <c r="BD4600" s="227"/>
      <c r="BE4600" s="227"/>
      <c r="BF4600" s="227"/>
    </row>
    <row r="4601">
      <c r="A4601" s="235" t="s">
        <v>34074</v>
      </c>
      <c r="C4601" s="235" t="s">
        <v>34075</v>
      </c>
      <c r="D4601" s="235" t="s">
        <v>34076</v>
      </c>
      <c r="E4601" s="243">
        <v>6.5E13</v>
      </c>
      <c r="F4601" s="245"/>
      <c r="G4601" s="235" t="s">
        <v>34077</v>
      </c>
      <c r="H4601" s="235" t="s">
        <v>34078</v>
      </c>
      <c r="I4601" s="235" t="s">
        <v>34078</v>
      </c>
      <c r="J4601" s="235" t="s">
        <v>34079</v>
      </c>
      <c r="K4601" s="235" t="s">
        <v>34080</v>
      </c>
      <c r="N4601" s="235" t="s">
        <v>127</v>
      </c>
      <c r="O4601" s="235" t="s">
        <v>794</v>
      </c>
      <c r="P4601" s="238">
        <v>1.0</v>
      </c>
      <c r="Q4601" s="235" t="s">
        <v>627</v>
      </c>
      <c r="R4601" s="238">
        <v>243.8</v>
      </c>
      <c r="S4601" s="238">
        <v>11.96</v>
      </c>
      <c r="T4601" s="238">
        <v>0.0</v>
      </c>
      <c r="U4601" s="238">
        <v>0.0</v>
      </c>
      <c r="V4601" s="238">
        <v>0.0</v>
      </c>
      <c r="W4601" s="238">
        <v>0.0</v>
      </c>
      <c r="X4601" s="235" t="s">
        <v>628</v>
      </c>
      <c r="Z4601" s="245"/>
      <c r="AA4601" s="245"/>
      <c r="AB4601" s="245"/>
      <c r="AC4601" s="235" t="s">
        <v>678</v>
      </c>
      <c r="AD4601" s="235" t="s">
        <v>679</v>
      </c>
      <c r="AE4601" s="238">
        <v>560077.0</v>
      </c>
      <c r="AF4601" s="235" t="s">
        <v>631</v>
      </c>
      <c r="AG4601" s="245"/>
      <c r="AH4601" s="245"/>
      <c r="AI4601" s="245"/>
      <c r="AJ4601" s="245"/>
      <c r="AK4601" s="245"/>
      <c r="AL4601" s="245"/>
      <c r="AM4601" s="245"/>
      <c r="AN4601" s="245"/>
      <c r="AO4601" s="238">
        <v>-4.88</v>
      </c>
      <c r="AP4601" s="238">
        <v>0.0</v>
      </c>
      <c r="AQ4601" s="235" t="s">
        <v>632</v>
      </c>
      <c r="AR4601" s="243">
        <v>1.68E11</v>
      </c>
      <c r="AS4601" s="235" t="s">
        <v>33869</v>
      </c>
      <c r="AT4601" s="235" t="s">
        <v>11</v>
      </c>
      <c r="AU4601" s="235" t="s">
        <v>634</v>
      </c>
      <c r="AV4601" s="246" t="s">
        <v>635</v>
      </c>
      <c r="AW4601" s="227"/>
      <c r="AX4601" s="227"/>
      <c r="AY4601" s="227"/>
      <c r="AZ4601" s="227"/>
      <c r="BA4601" s="227"/>
      <c r="BB4601" s="227"/>
      <c r="BC4601" s="227"/>
      <c r="BD4601" s="227"/>
      <c r="BE4601" s="227"/>
      <c r="BF4601" s="227"/>
    </row>
    <row r="4602">
      <c r="A4602" s="235" t="s">
        <v>34081</v>
      </c>
      <c r="C4602" s="235" t="s">
        <v>34082</v>
      </c>
      <c r="D4602" s="235" t="s">
        <v>34083</v>
      </c>
      <c r="E4602" s="243">
        <v>6.5E13</v>
      </c>
      <c r="F4602" s="245"/>
      <c r="G4602" s="235" t="s">
        <v>34084</v>
      </c>
      <c r="H4602" s="235" t="s">
        <v>34085</v>
      </c>
      <c r="I4602" s="235" t="s">
        <v>34085</v>
      </c>
      <c r="J4602" s="235" t="s">
        <v>34086</v>
      </c>
      <c r="K4602" s="235" t="s">
        <v>34087</v>
      </c>
      <c r="N4602" s="235" t="s">
        <v>82</v>
      </c>
      <c r="O4602" s="235" t="s">
        <v>889</v>
      </c>
      <c r="P4602" s="238">
        <v>1.0</v>
      </c>
      <c r="Q4602" s="235" t="s">
        <v>627</v>
      </c>
      <c r="R4602" s="238">
        <v>243.81</v>
      </c>
      <c r="S4602" s="238">
        <v>12.19</v>
      </c>
      <c r="T4602" s="238">
        <v>38.1</v>
      </c>
      <c r="U4602" s="238">
        <v>1.9</v>
      </c>
      <c r="V4602" s="238">
        <v>0.0</v>
      </c>
      <c r="W4602" s="238">
        <v>0.0</v>
      </c>
      <c r="X4602" s="235" t="s">
        <v>628</v>
      </c>
      <c r="Z4602" s="245"/>
      <c r="AA4602" s="245"/>
      <c r="AB4602" s="245"/>
      <c r="AC4602" s="235" t="s">
        <v>34088</v>
      </c>
      <c r="AD4602" s="235" t="s">
        <v>881</v>
      </c>
      <c r="AE4602" s="238">
        <v>765026.0</v>
      </c>
      <c r="AF4602" s="235" t="s">
        <v>631</v>
      </c>
      <c r="AG4602" s="245"/>
      <c r="AH4602" s="245"/>
      <c r="AI4602" s="245"/>
      <c r="AJ4602" s="245"/>
      <c r="AK4602" s="245"/>
      <c r="AL4602" s="245"/>
      <c r="AM4602" s="245"/>
      <c r="AN4602" s="245"/>
      <c r="AO4602" s="238">
        <v>0.0</v>
      </c>
      <c r="AP4602" s="238">
        <v>-38.1</v>
      </c>
      <c r="AQ4602" s="235" t="s">
        <v>1328</v>
      </c>
      <c r="AR4602" s="243">
        <v>1.34E13</v>
      </c>
      <c r="AS4602" s="235" t="s">
        <v>26892</v>
      </c>
      <c r="AT4602" s="235" t="s">
        <v>14</v>
      </c>
      <c r="AU4602" s="235" t="s">
        <v>634</v>
      </c>
      <c r="AV4602" s="246" t="s">
        <v>635</v>
      </c>
      <c r="AW4602" s="227"/>
      <c r="AX4602" s="227"/>
      <c r="AY4602" s="227"/>
      <c r="AZ4602" s="227"/>
      <c r="BA4602" s="227"/>
      <c r="BB4602" s="227"/>
      <c r="BC4602" s="227"/>
      <c r="BD4602" s="227"/>
      <c r="BE4602" s="227"/>
      <c r="BF4602" s="227"/>
    </row>
    <row r="4603">
      <c r="A4603" s="235" t="s">
        <v>34089</v>
      </c>
      <c r="C4603" s="235" t="s">
        <v>34090</v>
      </c>
      <c r="D4603" s="235" t="s">
        <v>34091</v>
      </c>
      <c r="E4603" s="243">
        <v>6.5E13</v>
      </c>
      <c r="F4603" s="245"/>
      <c r="G4603" s="235" t="s">
        <v>34092</v>
      </c>
      <c r="H4603" s="235" t="s">
        <v>34093</v>
      </c>
      <c r="I4603" s="235" t="s">
        <v>34093</v>
      </c>
      <c r="J4603" s="235" t="s">
        <v>34094</v>
      </c>
      <c r="K4603" s="235" t="s">
        <v>34095</v>
      </c>
      <c r="N4603" s="235" t="s">
        <v>92</v>
      </c>
      <c r="O4603" s="235" t="s">
        <v>248</v>
      </c>
      <c r="P4603" s="238">
        <v>1.0</v>
      </c>
      <c r="Q4603" s="235" t="s">
        <v>627</v>
      </c>
      <c r="R4603" s="238">
        <v>244.76</v>
      </c>
      <c r="S4603" s="238">
        <v>12.0</v>
      </c>
      <c r="T4603" s="238">
        <v>0.0</v>
      </c>
      <c r="U4603" s="238">
        <v>0.0</v>
      </c>
      <c r="V4603" s="238">
        <v>0.0</v>
      </c>
      <c r="W4603" s="238">
        <v>0.0</v>
      </c>
      <c r="X4603" s="235" t="s">
        <v>628</v>
      </c>
      <c r="Z4603" s="245"/>
      <c r="AA4603" s="245"/>
      <c r="AB4603" s="245"/>
      <c r="AC4603" s="235" t="s">
        <v>34096</v>
      </c>
      <c r="AD4603" s="235" t="s">
        <v>845</v>
      </c>
      <c r="AE4603" s="238">
        <v>414502.0</v>
      </c>
      <c r="AF4603" s="235" t="s">
        <v>631</v>
      </c>
      <c r="AG4603" s="245"/>
      <c r="AH4603" s="245"/>
      <c r="AI4603" s="245"/>
      <c r="AJ4603" s="245"/>
      <c r="AK4603" s="245"/>
      <c r="AL4603" s="245"/>
      <c r="AM4603" s="245"/>
      <c r="AN4603" s="245"/>
      <c r="AO4603" s="238">
        <v>-4.9</v>
      </c>
      <c r="AP4603" s="238">
        <v>0.0</v>
      </c>
      <c r="AQ4603" s="235" t="s">
        <v>632</v>
      </c>
      <c r="AR4603" s="243">
        <v>1.68E11</v>
      </c>
      <c r="AS4603" s="235" t="s">
        <v>32455</v>
      </c>
      <c r="AT4603" s="235" t="s">
        <v>546</v>
      </c>
      <c r="AU4603" s="235" t="s">
        <v>634</v>
      </c>
      <c r="AV4603" s="246" t="s">
        <v>635</v>
      </c>
      <c r="AW4603" s="227"/>
      <c r="AX4603" s="227"/>
      <c r="AY4603" s="227"/>
      <c r="AZ4603" s="227"/>
      <c r="BA4603" s="227"/>
      <c r="BB4603" s="227"/>
      <c r="BC4603" s="227"/>
      <c r="BD4603" s="227"/>
      <c r="BE4603" s="227"/>
      <c r="BF4603" s="227"/>
    </row>
    <row r="4604">
      <c r="A4604" s="235" t="s">
        <v>34097</v>
      </c>
      <c r="C4604" s="235" t="s">
        <v>34098</v>
      </c>
      <c r="D4604" s="235" t="s">
        <v>34099</v>
      </c>
      <c r="E4604" s="243">
        <v>6.5E13</v>
      </c>
      <c r="F4604" s="245"/>
      <c r="G4604" s="235" t="s">
        <v>34100</v>
      </c>
      <c r="H4604" s="235" t="s">
        <v>34101</v>
      </c>
      <c r="I4604" s="235" t="s">
        <v>34101</v>
      </c>
      <c r="J4604" s="235" t="s">
        <v>34102</v>
      </c>
      <c r="K4604" s="235" t="s">
        <v>34103</v>
      </c>
      <c r="N4604" s="235" t="s">
        <v>111</v>
      </c>
      <c r="O4604" s="235" t="s">
        <v>464</v>
      </c>
      <c r="P4604" s="238">
        <v>1.0</v>
      </c>
      <c r="Q4604" s="235" t="s">
        <v>627</v>
      </c>
      <c r="R4604" s="238">
        <v>246.67</v>
      </c>
      <c r="S4604" s="238">
        <v>12.33</v>
      </c>
      <c r="T4604" s="238">
        <v>0.0</v>
      </c>
      <c r="U4604" s="238">
        <v>0.0</v>
      </c>
      <c r="V4604" s="238">
        <v>0.0</v>
      </c>
      <c r="W4604" s="238">
        <v>0.0</v>
      </c>
      <c r="X4604" s="235" t="s">
        <v>628</v>
      </c>
      <c r="Z4604" s="245"/>
      <c r="AA4604" s="245"/>
      <c r="AB4604" s="245"/>
      <c r="AC4604" s="235" t="s">
        <v>678</v>
      </c>
      <c r="AD4604" s="235" t="s">
        <v>679</v>
      </c>
      <c r="AE4604" s="238">
        <v>560070.0</v>
      </c>
      <c r="AF4604" s="235" t="s">
        <v>631</v>
      </c>
      <c r="AG4604" s="245"/>
      <c r="AH4604" s="245"/>
      <c r="AI4604" s="245"/>
      <c r="AJ4604" s="245"/>
      <c r="AK4604" s="245"/>
      <c r="AL4604" s="245"/>
      <c r="AM4604" s="245"/>
      <c r="AN4604" s="245"/>
      <c r="AO4604" s="238">
        <v>0.0</v>
      </c>
      <c r="AP4604" s="238">
        <v>0.0</v>
      </c>
      <c r="AQ4604" s="235" t="s">
        <v>632</v>
      </c>
      <c r="AR4604" s="243">
        <v>2.02E11</v>
      </c>
      <c r="AS4604" s="235" t="s">
        <v>33466</v>
      </c>
      <c r="AT4604" s="235" t="s">
        <v>16</v>
      </c>
      <c r="AU4604" s="235" t="s">
        <v>634</v>
      </c>
      <c r="AV4604" s="246" t="s">
        <v>635</v>
      </c>
      <c r="AW4604" s="227"/>
      <c r="AX4604" s="227"/>
      <c r="AY4604" s="227"/>
      <c r="AZ4604" s="227"/>
      <c r="BA4604" s="227"/>
      <c r="BB4604" s="227"/>
      <c r="BC4604" s="227"/>
      <c r="BD4604" s="227"/>
      <c r="BE4604" s="227"/>
      <c r="BF4604" s="227"/>
    </row>
    <row r="4605">
      <c r="A4605" s="235" t="s">
        <v>34104</v>
      </c>
      <c r="C4605" s="235" t="s">
        <v>34105</v>
      </c>
      <c r="D4605" s="235" t="s">
        <v>34106</v>
      </c>
      <c r="E4605" s="243">
        <v>6.49E13</v>
      </c>
      <c r="F4605" s="245"/>
      <c r="G4605" s="235" t="s">
        <v>34107</v>
      </c>
      <c r="H4605" s="235" t="s">
        <v>34108</v>
      </c>
      <c r="I4605" s="235" t="s">
        <v>34108</v>
      </c>
      <c r="J4605" s="235" t="s">
        <v>34109</v>
      </c>
      <c r="K4605" s="235" t="s">
        <v>34110</v>
      </c>
      <c r="N4605" s="235" t="s">
        <v>15</v>
      </c>
      <c r="O4605" s="235" t="s">
        <v>856</v>
      </c>
      <c r="P4605" s="238">
        <v>1.0</v>
      </c>
      <c r="Q4605" s="235" t="s">
        <v>627</v>
      </c>
      <c r="R4605" s="238">
        <v>360.95</v>
      </c>
      <c r="S4605" s="238">
        <v>18.05</v>
      </c>
      <c r="T4605" s="238">
        <v>38.1</v>
      </c>
      <c r="U4605" s="238">
        <v>1.9</v>
      </c>
      <c r="V4605" s="238">
        <v>0.0</v>
      </c>
      <c r="W4605" s="238">
        <v>0.0</v>
      </c>
      <c r="X4605" s="235" t="s">
        <v>628</v>
      </c>
      <c r="Z4605" s="245"/>
      <c r="AA4605" s="245"/>
      <c r="AB4605" s="245"/>
      <c r="AC4605" s="235" t="s">
        <v>1406</v>
      </c>
      <c r="AD4605" s="235" t="s">
        <v>854</v>
      </c>
      <c r="AE4605" s="238">
        <v>403601.0</v>
      </c>
      <c r="AF4605" s="235" t="s">
        <v>631</v>
      </c>
      <c r="AG4605" s="245"/>
      <c r="AH4605" s="245"/>
      <c r="AI4605" s="245"/>
      <c r="AJ4605" s="245"/>
      <c r="AK4605" s="245"/>
      <c r="AL4605" s="245"/>
      <c r="AM4605" s="245"/>
      <c r="AN4605" s="245"/>
      <c r="AO4605" s="238">
        <v>0.0</v>
      </c>
      <c r="AP4605" s="238">
        <v>-38.1</v>
      </c>
      <c r="AQ4605" s="235" t="s">
        <v>632</v>
      </c>
      <c r="AR4605" s="243">
        <v>1.68E11</v>
      </c>
      <c r="AS4605" s="235" t="s">
        <v>32455</v>
      </c>
      <c r="AT4605" s="235" t="s">
        <v>546</v>
      </c>
      <c r="AU4605" s="235" t="s">
        <v>634</v>
      </c>
      <c r="AV4605" s="246" t="s">
        <v>635</v>
      </c>
      <c r="AW4605" s="227"/>
      <c r="AX4605" s="227"/>
      <c r="AY4605" s="227"/>
      <c r="AZ4605" s="227"/>
      <c r="BA4605" s="227"/>
      <c r="BB4605" s="227"/>
      <c r="BC4605" s="227"/>
      <c r="BD4605" s="227"/>
      <c r="BE4605" s="227"/>
      <c r="BF4605" s="227"/>
    </row>
    <row r="4606">
      <c r="A4606" s="235" t="s">
        <v>34111</v>
      </c>
      <c r="C4606" s="235" t="s">
        <v>34112</v>
      </c>
      <c r="D4606" s="235" t="s">
        <v>34113</v>
      </c>
      <c r="E4606" s="243">
        <v>6.5E13</v>
      </c>
      <c r="F4606" s="245"/>
      <c r="G4606" s="235" t="s">
        <v>34114</v>
      </c>
      <c r="H4606" s="235" t="s">
        <v>34115</v>
      </c>
      <c r="I4606" s="235" t="s">
        <v>34115</v>
      </c>
      <c r="J4606" s="235" t="s">
        <v>34116</v>
      </c>
      <c r="K4606" s="235" t="s">
        <v>34117</v>
      </c>
      <c r="N4606" s="235" t="s">
        <v>10</v>
      </c>
      <c r="O4606" s="235" t="s">
        <v>936</v>
      </c>
      <c r="P4606" s="238">
        <v>1.0</v>
      </c>
      <c r="Q4606" s="235" t="s">
        <v>627</v>
      </c>
      <c r="R4606" s="238">
        <v>265.71</v>
      </c>
      <c r="S4606" s="238">
        <v>13.29</v>
      </c>
      <c r="T4606" s="238">
        <v>38.1</v>
      </c>
      <c r="U4606" s="238">
        <v>1.9</v>
      </c>
      <c r="V4606" s="238">
        <v>0.0</v>
      </c>
      <c r="W4606" s="238">
        <v>0.0</v>
      </c>
      <c r="X4606" s="235" t="s">
        <v>628</v>
      </c>
      <c r="Z4606" s="245"/>
      <c r="AA4606" s="245"/>
      <c r="AB4606" s="245"/>
      <c r="AC4606" s="235" t="s">
        <v>34118</v>
      </c>
      <c r="AD4606" s="235" t="s">
        <v>709</v>
      </c>
      <c r="AE4606" s="238">
        <v>812001.0</v>
      </c>
      <c r="AF4606" s="235" t="s">
        <v>631</v>
      </c>
      <c r="AG4606" s="245"/>
      <c r="AH4606" s="245"/>
      <c r="AI4606" s="245"/>
      <c r="AJ4606" s="245"/>
      <c r="AK4606" s="245"/>
      <c r="AL4606" s="245"/>
      <c r="AM4606" s="245"/>
      <c r="AN4606" s="245"/>
      <c r="AO4606" s="238">
        <v>0.0</v>
      </c>
      <c r="AP4606" s="238">
        <v>-38.1</v>
      </c>
      <c r="AQ4606" s="235" t="s">
        <v>632</v>
      </c>
      <c r="AR4606" s="243">
        <v>3.71E11</v>
      </c>
      <c r="AS4606" s="235" t="s">
        <v>28482</v>
      </c>
      <c r="AT4606" s="235" t="s">
        <v>11</v>
      </c>
      <c r="AU4606" s="235" t="s">
        <v>634</v>
      </c>
      <c r="AV4606" s="246" t="s">
        <v>635</v>
      </c>
      <c r="AW4606" s="227"/>
      <c r="AX4606" s="227"/>
      <c r="AY4606" s="227"/>
      <c r="AZ4606" s="227"/>
      <c r="BA4606" s="227"/>
      <c r="BB4606" s="227"/>
      <c r="BC4606" s="227"/>
      <c r="BD4606" s="227"/>
      <c r="BE4606" s="227"/>
      <c r="BF4606" s="227"/>
    </row>
    <row r="4607">
      <c r="A4607" s="235" t="s">
        <v>34119</v>
      </c>
      <c r="C4607" s="235" t="s">
        <v>34120</v>
      </c>
      <c r="D4607" s="235" t="s">
        <v>34121</v>
      </c>
      <c r="E4607" s="243">
        <v>6.5E13</v>
      </c>
      <c r="F4607" s="245"/>
      <c r="G4607" s="235" t="s">
        <v>34122</v>
      </c>
      <c r="H4607" s="235" t="s">
        <v>34123</v>
      </c>
      <c r="I4607" s="235" t="s">
        <v>34123</v>
      </c>
      <c r="J4607" s="235" t="s">
        <v>34124</v>
      </c>
      <c r="K4607" s="235" t="s">
        <v>34125</v>
      </c>
      <c r="N4607" s="235" t="s">
        <v>1346</v>
      </c>
      <c r="O4607" s="235" t="s">
        <v>1347</v>
      </c>
      <c r="P4607" s="238">
        <v>1.0</v>
      </c>
      <c r="Q4607" s="235" t="s">
        <v>627</v>
      </c>
      <c r="R4607" s="238">
        <v>256.19</v>
      </c>
      <c r="S4607" s="238">
        <v>12.81</v>
      </c>
      <c r="T4607" s="238">
        <v>38.1</v>
      </c>
      <c r="U4607" s="238">
        <v>1.9</v>
      </c>
      <c r="V4607" s="238">
        <v>0.0</v>
      </c>
      <c r="W4607" s="238">
        <v>0.0</v>
      </c>
      <c r="X4607" s="235" t="s">
        <v>628</v>
      </c>
      <c r="Z4607" s="245"/>
      <c r="AA4607" s="245"/>
      <c r="AB4607" s="245"/>
      <c r="AC4607" s="235" t="s">
        <v>2260</v>
      </c>
      <c r="AD4607" s="235" t="s">
        <v>630</v>
      </c>
      <c r="AE4607" s="238">
        <v>273015.0</v>
      </c>
      <c r="AF4607" s="235" t="s">
        <v>631</v>
      </c>
      <c r="AG4607" s="245"/>
      <c r="AH4607" s="245"/>
      <c r="AI4607" s="245"/>
      <c r="AJ4607" s="245"/>
      <c r="AK4607" s="245"/>
      <c r="AL4607" s="245"/>
      <c r="AM4607" s="245"/>
      <c r="AN4607" s="245"/>
      <c r="AO4607" s="238">
        <v>0.0</v>
      </c>
      <c r="AP4607" s="238">
        <v>-38.1</v>
      </c>
      <c r="AQ4607" s="235" t="s">
        <v>632</v>
      </c>
      <c r="AR4607" s="243">
        <v>3.71E11</v>
      </c>
      <c r="AS4607" s="235" t="s">
        <v>29883</v>
      </c>
      <c r="AT4607" s="235" t="s">
        <v>16</v>
      </c>
      <c r="AU4607" s="235" t="s">
        <v>634</v>
      </c>
      <c r="AV4607" s="246" t="s">
        <v>635</v>
      </c>
      <c r="AW4607" s="227"/>
      <c r="AX4607" s="227"/>
      <c r="AY4607" s="227"/>
      <c r="AZ4607" s="227"/>
      <c r="BA4607" s="227"/>
      <c r="BB4607" s="227"/>
      <c r="BC4607" s="227"/>
      <c r="BD4607" s="227"/>
      <c r="BE4607" s="227"/>
      <c r="BF4607" s="227"/>
    </row>
    <row r="4608">
      <c r="A4608" s="235" t="s">
        <v>34126</v>
      </c>
      <c r="C4608" s="235" t="s">
        <v>34127</v>
      </c>
      <c r="D4608" s="235" t="s">
        <v>34128</v>
      </c>
      <c r="E4608" s="243">
        <v>6.5E13</v>
      </c>
      <c r="F4608" s="245"/>
      <c r="G4608" s="235" t="s">
        <v>34129</v>
      </c>
      <c r="H4608" s="235" t="s">
        <v>34130</v>
      </c>
      <c r="I4608" s="235" t="s">
        <v>34131</v>
      </c>
      <c r="J4608" s="235" t="s">
        <v>34132</v>
      </c>
      <c r="K4608" s="235" t="s">
        <v>34133</v>
      </c>
      <c r="N4608" s="235" t="s">
        <v>0</v>
      </c>
      <c r="O4608" s="235" t="s">
        <v>740</v>
      </c>
      <c r="P4608" s="238">
        <v>1.0</v>
      </c>
      <c r="Q4608" s="235" t="s">
        <v>627</v>
      </c>
      <c r="R4608" s="238">
        <v>265.72</v>
      </c>
      <c r="S4608" s="238">
        <v>13.28</v>
      </c>
      <c r="T4608" s="238">
        <v>0.0</v>
      </c>
      <c r="U4608" s="238">
        <v>0.0</v>
      </c>
      <c r="V4608" s="238">
        <v>0.0</v>
      </c>
      <c r="W4608" s="238">
        <v>0.0</v>
      </c>
      <c r="X4608" s="235" t="s">
        <v>628</v>
      </c>
      <c r="Z4608" s="245"/>
      <c r="AA4608" s="245"/>
      <c r="AB4608" s="245"/>
      <c r="AC4608" s="235" t="s">
        <v>1887</v>
      </c>
      <c r="AD4608" s="235" t="s">
        <v>679</v>
      </c>
      <c r="AE4608" s="238">
        <v>560084.0</v>
      </c>
      <c r="AF4608" s="235" t="s">
        <v>631</v>
      </c>
      <c r="AG4608" s="245"/>
      <c r="AH4608" s="245"/>
      <c r="AI4608" s="245"/>
      <c r="AJ4608" s="245"/>
      <c r="AK4608" s="245"/>
      <c r="AL4608" s="245"/>
      <c r="AM4608" s="245"/>
      <c r="AN4608" s="245"/>
      <c r="AO4608" s="238">
        <v>0.0</v>
      </c>
      <c r="AP4608" s="238">
        <v>0.0</v>
      </c>
      <c r="AQ4608" s="235" t="s">
        <v>632</v>
      </c>
      <c r="AR4608" s="243">
        <v>1.68E11</v>
      </c>
      <c r="AS4608" s="235" t="s">
        <v>33869</v>
      </c>
      <c r="AT4608" s="235" t="s">
        <v>9</v>
      </c>
      <c r="AU4608" s="235" t="s">
        <v>634</v>
      </c>
      <c r="AV4608" s="246" t="s">
        <v>635</v>
      </c>
      <c r="AW4608" s="227"/>
      <c r="AX4608" s="227"/>
      <c r="AY4608" s="227"/>
      <c r="AZ4608" s="227"/>
      <c r="BA4608" s="227"/>
      <c r="BB4608" s="227"/>
      <c r="BC4608" s="227"/>
      <c r="BD4608" s="227"/>
      <c r="BE4608" s="227"/>
      <c r="BF4608" s="227"/>
    </row>
    <row r="4609">
      <c r="A4609" s="235" t="s">
        <v>34134</v>
      </c>
      <c r="C4609" s="235" t="s">
        <v>34135</v>
      </c>
      <c r="D4609" s="235" t="s">
        <v>34136</v>
      </c>
      <c r="E4609" s="243">
        <v>6.5E13</v>
      </c>
      <c r="F4609" s="245"/>
      <c r="G4609" s="235" t="s">
        <v>34137</v>
      </c>
      <c r="H4609" s="235" t="s">
        <v>34138</v>
      </c>
      <c r="I4609" s="235" t="s">
        <v>34138</v>
      </c>
      <c r="J4609" s="235" t="s">
        <v>34139</v>
      </c>
      <c r="K4609" s="235" t="s">
        <v>34140</v>
      </c>
      <c r="N4609" s="235" t="s">
        <v>154</v>
      </c>
      <c r="O4609" s="235" t="s">
        <v>766</v>
      </c>
      <c r="P4609" s="238">
        <v>1.0</v>
      </c>
      <c r="Q4609" s="235" t="s">
        <v>627</v>
      </c>
      <c r="R4609" s="238">
        <v>465.71</v>
      </c>
      <c r="S4609" s="238">
        <v>23.29</v>
      </c>
      <c r="T4609" s="238">
        <v>0.0</v>
      </c>
      <c r="U4609" s="238">
        <v>0.0</v>
      </c>
      <c r="V4609" s="238">
        <v>0.0</v>
      </c>
      <c r="W4609" s="238">
        <v>0.0</v>
      </c>
      <c r="X4609" s="235" t="s">
        <v>628</v>
      </c>
      <c r="Z4609" s="245"/>
      <c r="AA4609" s="245"/>
      <c r="AB4609" s="245"/>
      <c r="AC4609" s="235" t="s">
        <v>34141</v>
      </c>
      <c r="AD4609" s="235" t="s">
        <v>645</v>
      </c>
      <c r="AE4609" s="238">
        <v>676501.0</v>
      </c>
      <c r="AF4609" s="235" t="s">
        <v>631</v>
      </c>
      <c r="AG4609" s="245"/>
      <c r="AH4609" s="245"/>
      <c r="AI4609" s="245"/>
      <c r="AJ4609" s="245"/>
      <c r="AK4609" s="245"/>
      <c r="AL4609" s="245"/>
      <c r="AM4609" s="245"/>
      <c r="AN4609" s="245"/>
      <c r="AO4609" s="238">
        <v>0.0</v>
      </c>
      <c r="AP4609" s="238">
        <v>0.0</v>
      </c>
      <c r="AQ4609" s="235" t="s">
        <v>632</v>
      </c>
      <c r="AR4609" s="243">
        <v>3.71E11</v>
      </c>
      <c r="AS4609" s="235" t="s">
        <v>33466</v>
      </c>
      <c r="AT4609" s="235" t="s">
        <v>155</v>
      </c>
      <c r="AU4609" s="235" t="s">
        <v>634</v>
      </c>
      <c r="AV4609" s="246" t="s">
        <v>635</v>
      </c>
      <c r="AW4609" s="227"/>
      <c r="AX4609" s="227"/>
      <c r="AY4609" s="227"/>
      <c r="AZ4609" s="227"/>
      <c r="BA4609" s="227"/>
      <c r="BB4609" s="227"/>
      <c r="BC4609" s="227"/>
      <c r="BD4609" s="227"/>
      <c r="BE4609" s="227"/>
      <c r="BF4609" s="227"/>
    </row>
    <row r="4610">
      <c r="A4610" s="235" t="s">
        <v>34142</v>
      </c>
      <c r="C4610" s="235" t="s">
        <v>34143</v>
      </c>
      <c r="D4610" s="235" t="s">
        <v>34144</v>
      </c>
      <c r="E4610" s="243">
        <v>6.5E13</v>
      </c>
      <c r="F4610" s="245"/>
      <c r="G4610" s="235" t="s">
        <v>34145</v>
      </c>
      <c r="H4610" s="235" t="s">
        <v>34146</v>
      </c>
      <c r="I4610" s="235" t="s">
        <v>34146</v>
      </c>
      <c r="J4610" s="235" t="s">
        <v>34147</v>
      </c>
      <c r="K4610" s="235" t="s">
        <v>34148</v>
      </c>
      <c r="N4610" s="235" t="s">
        <v>127</v>
      </c>
      <c r="O4610" s="235" t="s">
        <v>794</v>
      </c>
      <c r="P4610" s="238">
        <v>1.0</v>
      </c>
      <c r="Q4610" s="235" t="s">
        <v>627</v>
      </c>
      <c r="R4610" s="238">
        <v>243.81</v>
      </c>
      <c r="S4610" s="238">
        <v>11.95</v>
      </c>
      <c r="T4610" s="238">
        <v>0.0</v>
      </c>
      <c r="U4610" s="238">
        <v>0.0</v>
      </c>
      <c r="V4610" s="238">
        <v>0.0</v>
      </c>
      <c r="W4610" s="238">
        <v>0.0</v>
      </c>
      <c r="X4610" s="235" t="s">
        <v>628</v>
      </c>
      <c r="Z4610" s="245"/>
      <c r="AA4610" s="245"/>
      <c r="AB4610" s="245"/>
      <c r="AC4610" s="235" t="s">
        <v>1032</v>
      </c>
      <c r="AD4610" s="235" t="s">
        <v>24630</v>
      </c>
      <c r="AE4610" s="238">
        <v>243001.0</v>
      </c>
      <c r="AF4610" s="235" t="s">
        <v>631</v>
      </c>
      <c r="AG4610" s="245"/>
      <c r="AH4610" s="245"/>
      <c r="AI4610" s="245"/>
      <c r="AJ4610" s="245"/>
      <c r="AK4610" s="245"/>
      <c r="AL4610" s="245"/>
      <c r="AM4610" s="245"/>
      <c r="AN4610" s="245"/>
      <c r="AO4610" s="238">
        <v>-4.88</v>
      </c>
      <c r="AP4610" s="238">
        <v>0.0</v>
      </c>
      <c r="AQ4610" s="235" t="s">
        <v>632</v>
      </c>
      <c r="AR4610" s="243">
        <v>3.71E11</v>
      </c>
      <c r="AS4610" s="235" t="s">
        <v>32455</v>
      </c>
      <c r="AT4610" s="235" t="s">
        <v>13</v>
      </c>
      <c r="AU4610" s="235" t="s">
        <v>634</v>
      </c>
      <c r="AV4610" s="246" t="s">
        <v>635</v>
      </c>
      <c r="AW4610" s="227"/>
      <c r="AX4610" s="227"/>
      <c r="AY4610" s="227"/>
      <c r="AZ4610" s="227"/>
      <c r="BA4610" s="227"/>
      <c r="BB4610" s="227"/>
      <c r="BC4610" s="227"/>
      <c r="BD4610" s="227"/>
      <c r="BE4610" s="227"/>
      <c r="BF4610" s="227"/>
    </row>
    <row r="4611">
      <c r="A4611" s="235" t="s">
        <v>34149</v>
      </c>
      <c r="C4611" s="235" t="s">
        <v>34150</v>
      </c>
      <c r="D4611" s="235" t="s">
        <v>34151</v>
      </c>
      <c r="E4611" s="243">
        <v>6.5E13</v>
      </c>
      <c r="F4611" s="245"/>
      <c r="G4611" s="235" t="s">
        <v>34152</v>
      </c>
      <c r="H4611" s="235" t="s">
        <v>34153</v>
      </c>
      <c r="I4611" s="235" t="s">
        <v>34153</v>
      </c>
      <c r="J4611" s="235" t="s">
        <v>34154</v>
      </c>
      <c r="K4611" s="235" t="s">
        <v>34155</v>
      </c>
      <c r="N4611" s="235" t="s">
        <v>154</v>
      </c>
      <c r="O4611" s="235" t="s">
        <v>766</v>
      </c>
      <c r="P4611" s="238">
        <v>1.0</v>
      </c>
      <c r="Q4611" s="235" t="s">
        <v>627</v>
      </c>
      <c r="R4611" s="238">
        <v>465.72</v>
      </c>
      <c r="S4611" s="238">
        <v>23.28</v>
      </c>
      <c r="T4611" s="238">
        <v>38.1</v>
      </c>
      <c r="U4611" s="238">
        <v>1.9</v>
      </c>
      <c r="V4611" s="238">
        <v>0.0</v>
      </c>
      <c r="W4611" s="238">
        <v>0.0</v>
      </c>
      <c r="X4611" s="235" t="s">
        <v>628</v>
      </c>
      <c r="Z4611" s="245"/>
      <c r="AA4611" s="245"/>
      <c r="AB4611" s="245"/>
      <c r="AC4611" s="235" t="s">
        <v>1456</v>
      </c>
      <c r="AD4611" s="235" t="s">
        <v>928</v>
      </c>
      <c r="AE4611" s="238">
        <v>122002.0</v>
      </c>
      <c r="AF4611" s="235" t="s">
        <v>631</v>
      </c>
      <c r="AG4611" s="245"/>
      <c r="AH4611" s="245"/>
      <c r="AI4611" s="245"/>
      <c r="AJ4611" s="245"/>
      <c r="AK4611" s="245"/>
      <c r="AL4611" s="245"/>
      <c r="AM4611" s="245"/>
      <c r="AN4611" s="245"/>
      <c r="AO4611" s="238">
        <v>0.0</v>
      </c>
      <c r="AP4611" s="238">
        <v>-38.1</v>
      </c>
      <c r="AQ4611" s="235" t="s">
        <v>632</v>
      </c>
      <c r="AR4611" s="243">
        <v>3.71E11</v>
      </c>
      <c r="AS4611" s="235" t="s">
        <v>33466</v>
      </c>
      <c r="AT4611" s="235" t="s">
        <v>13</v>
      </c>
      <c r="AU4611" s="235" t="s">
        <v>634</v>
      </c>
      <c r="AV4611" s="246" t="s">
        <v>635</v>
      </c>
      <c r="AW4611" s="227"/>
      <c r="AX4611" s="227"/>
      <c r="AY4611" s="227"/>
      <c r="AZ4611" s="227"/>
      <c r="BA4611" s="227"/>
      <c r="BB4611" s="227"/>
      <c r="BC4611" s="227"/>
      <c r="BD4611" s="227"/>
      <c r="BE4611" s="227"/>
      <c r="BF4611" s="227"/>
    </row>
    <row r="4612">
      <c r="A4612" s="235" t="s">
        <v>34156</v>
      </c>
      <c r="C4612" s="235" t="s">
        <v>34157</v>
      </c>
      <c r="D4612" s="235" t="s">
        <v>34158</v>
      </c>
      <c r="E4612" s="243">
        <v>6.5E13</v>
      </c>
      <c r="F4612" s="245"/>
      <c r="G4612" s="235" t="s">
        <v>34159</v>
      </c>
      <c r="H4612" s="235" t="s">
        <v>34160</v>
      </c>
      <c r="I4612" s="235" t="s">
        <v>34161</v>
      </c>
      <c r="J4612" s="235" t="s">
        <v>34162</v>
      </c>
      <c r="K4612" s="235" t="s">
        <v>34163</v>
      </c>
      <c r="N4612" s="235" t="s">
        <v>127</v>
      </c>
      <c r="O4612" s="235" t="s">
        <v>794</v>
      </c>
      <c r="P4612" s="238">
        <v>1.0</v>
      </c>
      <c r="Q4612" s="235" t="s">
        <v>627</v>
      </c>
      <c r="R4612" s="238">
        <v>243.8</v>
      </c>
      <c r="S4612" s="238">
        <v>12.2</v>
      </c>
      <c r="T4612" s="238">
        <v>0.0</v>
      </c>
      <c r="U4612" s="238">
        <v>0.0</v>
      </c>
      <c r="V4612" s="238">
        <v>0.0</v>
      </c>
      <c r="W4612" s="238">
        <v>0.0</v>
      </c>
      <c r="X4612" s="235" t="s">
        <v>628</v>
      </c>
      <c r="Z4612" s="245"/>
      <c r="AA4612" s="245"/>
      <c r="AB4612" s="245"/>
      <c r="AC4612" s="235" t="s">
        <v>1514</v>
      </c>
      <c r="AD4612" s="235" t="s">
        <v>1077</v>
      </c>
      <c r="AE4612" s="238">
        <v>382405.0</v>
      </c>
      <c r="AF4612" s="235" t="s">
        <v>631</v>
      </c>
      <c r="AG4612" s="245"/>
      <c r="AH4612" s="245"/>
      <c r="AI4612" s="245"/>
      <c r="AJ4612" s="245"/>
      <c r="AK4612" s="245"/>
      <c r="AL4612" s="245"/>
      <c r="AM4612" s="245"/>
      <c r="AN4612" s="245"/>
      <c r="AO4612" s="238">
        <v>0.0</v>
      </c>
      <c r="AP4612" s="238">
        <v>0.0</v>
      </c>
      <c r="AQ4612" s="235" t="s">
        <v>632</v>
      </c>
      <c r="AR4612" s="243">
        <v>1.68E11</v>
      </c>
      <c r="AS4612" s="235" t="s">
        <v>33869</v>
      </c>
      <c r="AT4612" s="235" t="s">
        <v>5</v>
      </c>
      <c r="AU4612" s="235" t="s">
        <v>634</v>
      </c>
      <c r="AV4612" s="246" t="s">
        <v>635</v>
      </c>
      <c r="AW4612" s="227"/>
      <c r="AX4612" s="227"/>
      <c r="AY4612" s="227"/>
      <c r="AZ4612" s="227"/>
      <c r="BA4612" s="227"/>
      <c r="BB4612" s="227"/>
      <c r="BC4612" s="227"/>
      <c r="BD4612" s="227"/>
      <c r="BE4612" s="227"/>
      <c r="BF4612" s="227"/>
    </row>
    <row r="4613">
      <c r="A4613" s="235" t="s">
        <v>34164</v>
      </c>
      <c r="C4613" s="235" t="s">
        <v>34165</v>
      </c>
      <c r="D4613" s="235" t="s">
        <v>34166</v>
      </c>
      <c r="E4613" s="243">
        <v>6.5E13</v>
      </c>
      <c r="F4613" s="245"/>
      <c r="G4613" s="235" t="s">
        <v>34167</v>
      </c>
      <c r="H4613" s="235" t="s">
        <v>34168</v>
      </c>
      <c r="I4613" s="235" t="s">
        <v>34169</v>
      </c>
      <c r="J4613" s="235" t="s">
        <v>34170</v>
      </c>
      <c r="K4613" s="235" t="s">
        <v>34171</v>
      </c>
      <c r="N4613" s="235" t="s">
        <v>130</v>
      </c>
      <c r="O4613" s="235" t="s">
        <v>707</v>
      </c>
      <c r="P4613" s="238">
        <v>1.0</v>
      </c>
      <c r="Q4613" s="235" t="s">
        <v>627</v>
      </c>
      <c r="R4613" s="238">
        <v>243.8</v>
      </c>
      <c r="S4613" s="238">
        <v>11.96</v>
      </c>
      <c r="T4613" s="238">
        <v>0.0</v>
      </c>
      <c r="U4613" s="238">
        <v>0.0</v>
      </c>
      <c r="V4613" s="238">
        <v>0.0</v>
      </c>
      <c r="W4613" s="238">
        <v>0.0</v>
      </c>
      <c r="X4613" s="235" t="s">
        <v>628</v>
      </c>
      <c r="Z4613" s="245"/>
      <c r="AA4613" s="245"/>
      <c r="AB4613" s="245"/>
      <c r="AC4613" s="235" t="s">
        <v>1456</v>
      </c>
      <c r="AD4613" s="235" t="s">
        <v>928</v>
      </c>
      <c r="AE4613" s="238">
        <v>122004.0</v>
      </c>
      <c r="AF4613" s="235" t="s">
        <v>631</v>
      </c>
      <c r="AG4613" s="245"/>
      <c r="AH4613" s="245"/>
      <c r="AI4613" s="245"/>
      <c r="AJ4613" s="245"/>
      <c r="AK4613" s="245"/>
      <c r="AL4613" s="245"/>
      <c r="AM4613" s="245"/>
      <c r="AN4613" s="245"/>
      <c r="AO4613" s="238">
        <v>-4.88</v>
      </c>
      <c r="AP4613" s="238">
        <v>0.0</v>
      </c>
      <c r="AQ4613" s="235" t="s">
        <v>632</v>
      </c>
      <c r="AR4613" s="243">
        <v>1.68E11</v>
      </c>
      <c r="AS4613" s="235" t="s">
        <v>33869</v>
      </c>
      <c r="AT4613" s="235" t="s">
        <v>533</v>
      </c>
      <c r="AU4613" s="235" t="s">
        <v>634</v>
      </c>
      <c r="AV4613" s="246" t="s">
        <v>635</v>
      </c>
      <c r="AW4613" s="227"/>
      <c r="AX4613" s="227"/>
      <c r="AY4613" s="227"/>
      <c r="AZ4613" s="227"/>
      <c r="BA4613" s="227"/>
      <c r="BB4613" s="227"/>
      <c r="BC4613" s="227"/>
      <c r="BD4613" s="227"/>
      <c r="BE4613" s="227"/>
      <c r="BF4613" s="227"/>
    </row>
    <row r="4614">
      <c r="A4614" s="235" t="s">
        <v>34172</v>
      </c>
      <c r="C4614" s="235" t="s">
        <v>34173</v>
      </c>
      <c r="D4614" s="235" t="s">
        <v>34174</v>
      </c>
      <c r="E4614" s="243">
        <v>6.5E13</v>
      </c>
      <c r="F4614" s="245"/>
      <c r="G4614" s="235" t="s">
        <v>34175</v>
      </c>
      <c r="H4614" s="235" t="s">
        <v>34176</v>
      </c>
      <c r="I4614" s="235" t="s">
        <v>34176</v>
      </c>
      <c r="J4614" s="235" t="s">
        <v>34177</v>
      </c>
      <c r="K4614" s="235" t="s">
        <v>34178</v>
      </c>
      <c r="N4614" s="235" t="s">
        <v>92</v>
      </c>
      <c r="O4614" s="235" t="s">
        <v>248</v>
      </c>
      <c r="P4614" s="238">
        <v>1.0</v>
      </c>
      <c r="Q4614" s="235" t="s">
        <v>627</v>
      </c>
      <c r="R4614" s="238">
        <v>244.76</v>
      </c>
      <c r="S4614" s="238">
        <v>12.24</v>
      </c>
      <c r="T4614" s="238">
        <v>38.1</v>
      </c>
      <c r="U4614" s="238">
        <v>1.9</v>
      </c>
      <c r="V4614" s="238">
        <v>0.0</v>
      </c>
      <c r="W4614" s="238">
        <v>0.0</v>
      </c>
      <c r="X4614" s="235" t="s">
        <v>628</v>
      </c>
      <c r="Z4614" s="245"/>
      <c r="AA4614" s="245"/>
      <c r="AB4614" s="245"/>
      <c r="AC4614" s="235" t="s">
        <v>34179</v>
      </c>
      <c r="AD4614" s="235" t="s">
        <v>666</v>
      </c>
      <c r="AE4614" s="238">
        <v>622201.0</v>
      </c>
      <c r="AF4614" s="235" t="s">
        <v>631</v>
      </c>
      <c r="AG4614" s="245"/>
      <c r="AH4614" s="245"/>
      <c r="AI4614" s="245"/>
      <c r="AJ4614" s="245"/>
      <c r="AK4614" s="245"/>
      <c r="AL4614" s="245"/>
      <c r="AM4614" s="245"/>
      <c r="AN4614" s="245"/>
      <c r="AO4614" s="238">
        <v>0.0</v>
      </c>
      <c r="AP4614" s="238">
        <v>-38.1</v>
      </c>
      <c r="AQ4614" s="235" t="s">
        <v>632</v>
      </c>
      <c r="AR4614" s="243">
        <v>3.71E11</v>
      </c>
      <c r="AS4614" s="235" t="s">
        <v>32455</v>
      </c>
      <c r="AT4614" s="235" t="s">
        <v>155</v>
      </c>
      <c r="AU4614" s="235" t="s">
        <v>634</v>
      </c>
      <c r="AV4614" s="246" t="s">
        <v>635</v>
      </c>
      <c r="AW4614" s="227"/>
      <c r="AX4614" s="227"/>
      <c r="AY4614" s="227"/>
      <c r="AZ4614" s="227"/>
      <c r="BA4614" s="227"/>
      <c r="BB4614" s="227"/>
      <c r="BC4614" s="227"/>
      <c r="BD4614" s="227"/>
      <c r="BE4614" s="227"/>
      <c r="BF4614" s="227"/>
    </row>
    <row r="4615">
      <c r="A4615" s="235" t="s">
        <v>34180</v>
      </c>
      <c r="C4615" s="235" t="s">
        <v>34181</v>
      </c>
      <c r="D4615" s="235" t="s">
        <v>34182</v>
      </c>
      <c r="E4615" s="243">
        <v>6.5E13</v>
      </c>
      <c r="F4615" s="245"/>
      <c r="G4615" s="235" t="s">
        <v>34183</v>
      </c>
      <c r="H4615" s="235" t="s">
        <v>34184</v>
      </c>
      <c r="I4615" s="235" t="s">
        <v>34184</v>
      </c>
      <c r="J4615" s="235" t="s">
        <v>34185</v>
      </c>
      <c r="K4615" s="235" t="s">
        <v>34186</v>
      </c>
      <c r="N4615" s="235" t="s">
        <v>1646</v>
      </c>
      <c r="O4615" s="235" t="s">
        <v>1647</v>
      </c>
      <c r="P4615" s="238">
        <v>1.0</v>
      </c>
      <c r="Q4615" s="235" t="s">
        <v>627</v>
      </c>
      <c r="R4615" s="238">
        <v>246.67</v>
      </c>
      <c r="S4615" s="238">
        <v>12.33</v>
      </c>
      <c r="T4615" s="238">
        <v>38.1</v>
      </c>
      <c r="U4615" s="238">
        <v>1.9</v>
      </c>
      <c r="V4615" s="238">
        <v>0.0</v>
      </c>
      <c r="W4615" s="238">
        <v>0.0</v>
      </c>
      <c r="X4615" s="235" t="s">
        <v>628</v>
      </c>
      <c r="Z4615" s="245"/>
      <c r="AA4615" s="245"/>
      <c r="AB4615" s="245"/>
      <c r="AC4615" s="235" t="s">
        <v>3503</v>
      </c>
      <c r="AD4615" s="235" t="s">
        <v>630</v>
      </c>
      <c r="AE4615" s="238">
        <v>244901.0</v>
      </c>
      <c r="AF4615" s="235" t="s">
        <v>631</v>
      </c>
      <c r="AG4615" s="245"/>
      <c r="AH4615" s="245"/>
      <c r="AI4615" s="245"/>
      <c r="AJ4615" s="245"/>
      <c r="AK4615" s="245"/>
      <c r="AL4615" s="245"/>
      <c r="AM4615" s="245"/>
      <c r="AN4615" s="245"/>
      <c r="AO4615" s="238">
        <v>0.0</v>
      </c>
      <c r="AP4615" s="238">
        <v>-38.1</v>
      </c>
      <c r="AQ4615" s="235" t="s">
        <v>632</v>
      </c>
      <c r="AR4615" s="243">
        <v>3.71E11</v>
      </c>
      <c r="AS4615" s="235" t="s">
        <v>32455</v>
      </c>
      <c r="AT4615" s="235" t="s">
        <v>14</v>
      </c>
      <c r="AU4615" s="235" t="s">
        <v>634</v>
      </c>
      <c r="AV4615" s="246" t="s">
        <v>635</v>
      </c>
      <c r="AW4615" s="227"/>
      <c r="AX4615" s="227"/>
      <c r="AY4615" s="227"/>
      <c r="AZ4615" s="227"/>
      <c r="BA4615" s="227"/>
      <c r="BB4615" s="227"/>
      <c r="BC4615" s="227"/>
      <c r="BD4615" s="227"/>
      <c r="BE4615" s="227"/>
      <c r="BF4615" s="227"/>
    </row>
    <row r="4616">
      <c r="A4616" s="235" t="s">
        <v>34187</v>
      </c>
      <c r="C4616" s="235" t="s">
        <v>34188</v>
      </c>
      <c r="D4616" s="235" t="s">
        <v>34189</v>
      </c>
      <c r="E4616" s="243">
        <v>6.5E13</v>
      </c>
      <c r="F4616" s="245"/>
      <c r="G4616" s="235" t="s">
        <v>34190</v>
      </c>
      <c r="H4616" s="235" t="s">
        <v>34191</v>
      </c>
      <c r="I4616" s="235" t="s">
        <v>34191</v>
      </c>
      <c r="J4616" s="235" t="s">
        <v>34192</v>
      </c>
      <c r="K4616" s="235" t="s">
        <v>34193</v>
      </c>
      <c r="N4616" s="235" t="s">
        <v>71</v>
      </c>
      <c r="O4616" s="235" t="s">
        <v>240</v>
      </c>
      <c r="P4616" s="238">
        <v>1.0</v>
      </c>
      <c r="Q4616" s="235" t="s">
        <v>627</v>
      </c>
      <c r="R4616" s="238">
        <v>246.67</v>
      </c>
      <c r="S4616" s="238">
        <v>12.33</v>
      </c>
      <c r="T4616" s="238">
        <v>0.0</v>
      </c>
      <c r="U4616" s="238">
        <v>0.0</v>
      </c>
      <c r="V4616" s="238">
        <v>0.0</v>
      </c>
      <c r="W4616" s="238">
        <v>0.0</v>
      </c>
      <c r="X4616" s="235" t="s">
        <v>628</v>
      </c>
      <c r="Z4616" s="245"/>
      <c r="AA4616" s="245"/>
      <c r="AB4616" s="245"/>
      <c r="AC4616" s="235" t="s">
        <v>34194</v>
      </c>
      <c r="AD4616" s="235" t="s">
        <v>645</v>
      </c>
      <c r="AE4616" s="238">
        <v>682030.0</v>
      </c>
      <c r="AF4616" s="235" t="s">
        <v>631</v>
      </c>
      <c r="AG4616" s="245"/>
      <c r="AH4616" s="245"/>
      <c r="AI4616" s="245"/>
      <c r="AJ4616" s="245"/>
      <c r="AK4616" s="245"/>
      <c r="AL4616" s="245"/>
      <c r="AM4616" s="245"/>
      <c r="AN4616" s="245"/>
      <c r="AO4616" s="238">
        <v>0.0</v>
      </c>
      <c r="AP4616" s="238">
        <v>0.0</v>
      </c>
      <c r="AQ4616" s="235" t="s">
        <v>632</v>
      </c>
      <c r="AR4616" s="243">
        <v>1.68E11</v>
      </c>
      <c r="AS4616" s="235" t="s">
        <v>33466</v>
      </c>
      <c r="AT4616" s="235" t="s">
        <v>155</v>
      </c>
      <c r="AU4616" s="235" t="s">
        <v>634</v>
      </c>
      <c r="AV4616" s="246" t="s">
        <v>635</v>
      </c>
      <c r="AW4616" s="227"/>
      <c r="AX4616" s="227"/>
      <c r="AY4616" s="227"/>
      <c r="AZ4616" s="227"/>
      <c r="BA4616" s="227"/>
      <c r="BB4616" s="227"/>
      <c r="BC4616" s="227"/>
      <c r="BD4616" s="227"/>
      <c r="BE4616" s="227"/>
      <c r="BF4616" s="227"/>
    </row>
    <row r="4617">
      <c r="A4617" s="235" t="s">
        <v>34195</v>
      </c>
      <c r="C4617" s="235" t="s">
        <v>34196</v>
      </c>
      <c r="D4617" s="235" t="s">
        <v>34197</v>
      </c>
      <c r="E4617" s="243">
        <v>6.5E13</v>
      </c>
      <c r="F4617" s="245"/>
      <c r="G4617" s="235" t="s">
        <v>34198</v>
      </c>
      <c r="H4617" s="235" t="s">
        <v>34199</v>
      </c>
      <c r="I4617" s="235" t="s">
        <v>34199</v>
      </c>
      <c r="J4617" s="235" t="s">
        <v>34200</v>
      </c>
      <c r="K4617" s="235" t="s">
        <v>34201</v>
      </c>
      <c r="N4617" s="235" t="s">
        <v>131</v>
      </c>
      <c r="O4617" s="235" t="s">
        <v>2148</v>
      </c>
      <c r="P4617" s="238">
        <v>1.0</v>
      </c>
      <c r="Q4617" s="235" t="s">
        <v>627</v>
      </c>
      <c r="R4617" s="238">
        <v>246.67</v>
      </c>
      <c r="S4617" s="238">
        <v>12.33</v>
      </c>
      <c r="T4617" s="238">
        <v>0.0</v>
      </c>
      <c r="U4617" s="238">
        <v>0.0</v>
      </c>
      <c r="V4617" s="238">
        <v>0.0</v>
      </c>
      <c r="W4617" s="238">
        <v>0.0</v>
      </c>
      <c r="X4617" s="235" t="s">
        <v>628</v>
      </c>
      <c r="Z4617" s="245"/>
      <c r="AA4617" s="245"/>
      <c r="AB4617" s="245"/>
      <c r="AC4617" s="235" t="s">
        <v>15727</v>
      </c>
      <c r="AD4617" s="235" t="s">
        <v>645</v>
      </c>
      <c r="AE4617" s="238">
        <v>682301.0</v>
      </c>
      <c r="AF4617" s="235" t="s">
        <v>631</v>
      </c>
      <c r="AG4617" s="245"/>
      <c r="AH4617" s="245"/>
      <c r="AI4617" s="245"/>
      <c r="AJ4617" s="245"/>
      <c r="AK4617" s="245"/>
      <c r="AL4617" s="245"/>
      <c r="AM4617" s="245"/>
      <c r="AN4617" s="245"/>
      <c r="AO4617" s="238">
        <v>0.0</v>
      </c>
      <c r="AP4617" s="238">
        <v>0.0</v>
      </c>
      <c r="AQ4617" s="235" t="s">
        <v>632</v>
      </c>
      <c r="AR4617" s="243">
        <v>1.68E11</v>
      </c>
      <c r="AS4617" s="235" t="s">
        <v>33466</v>
      </c>
      <c r="AT4617" s="235" t="s">
        <v>155</v>
      </c>
      <c r="AU4617" s="235" t="s">
        <v>634</v>
      </c>
      <c r="AV4617" s="246" t="s">
        <v>635</v>
      </c>
      <c r="AW4617" s="227"/>
      <c r="AX4617" s="227"/>
      <c r="AY4617" s="227"/>
      <c r="AZ4617" s="227"/>
      <c r="BA4617" s="227"/>
      <c r="BB4617" s="227"/>
      <c r="BC4617" s="227"/>
      <c r="BD4617" s="227"/>
      <c r="BE4617" s="227"/>
      <c r="BF4617" s="227"/>
    </row>
    <row r="4618">
      <c r="A4618" s="235" t="s">
        <v>34202</v>
      </c>
      <c r="C4618" s="235" t="s">
        <v>34203</v>
      </c>
      <c r="D4618" s="235" t="s">
        <v>34204</v>
      </c>
      <c r="E4618" s="243">
        <v>6.5E13</v>
      </c>
      <c r="F4618" s="245"/>
      <c r="G4618" s="235" t="s">
        <v>34205</v>
      </c>
      <c r="H4618" s="235" t="s">
        <v>34206</v>
      </c>
      <c r="I4618" s="235" t="s">
        <v>34206</v>
      </c>
      <c r="J4618" s="235" t="s">
        <v>34207</v>
      </c>
      <c r="K4618" s="235" t="s">
        <v>34208</v>
      </c>
      <c r="N4618" s="235" t="s">
        <v>143</v>
      </c>
      <c r="O4618" s="235" t="s">
        <v>220</v>
      </c>
      <c r="P4618" s="238">
        <v>1.0</v>
      </c>
      <c r="Q4618" s="235" t="s">
        <v>627</v>
      </c>
      <c r="R4618" s="238">
        <v>244.76</v>
      </c>
      <c r="S4618" s="238">
        <v>12.24</v>
      </c>
      <c r="T4618" s="238">
        <v>38.1</v>
      </c>
      <c r="U4618" s="238">
        <v>1.9</v>
      </c>
      <c r="V4618" s="238">
        <v>0.0</v>
      </c>
      <c r="W4618" s="238">
        <v>0.0</v>
      </c>
      <c r="X4618" s="235" t="s">
        <v>628</v>
      </c>
      <c r="Z4618" s="245"/>
      <c r="AA4618" s="245"/>
      <c r="AB4618" s="245"/>
      <c r="AC4618" s="235" t="s">
        <v>1920</v>
      </c>
      <c r="AD4618" s="235" t="s">
        <v>833</v>
      </c>
      <c r="AE4618" s="238">
        <v>522324.0</v>
      </c>
      <c r="AF4618" s="235" t="s">
        <v>631</v>
      </c>
      <c r="AG4618" s="245"/>
      <c r="AH4618" s="245"/>
      <c r="AI4618" s="245"/>
      <c r="AJ4618" s="245"/>
      <c r="AK4618" s="245"/>
      <c r="AL4618" s="245"/>
      <c r="AM4618" s="245"/>
      <c r="AN4618" s="245"/>
      <c r="AO4618" s="238">
        <v>0.0</v>
      </c>
      <c r="AP4618" s="238">
        <v>-38.1</v>
      </c>
      <c r="AQ4618" s="235" t="s">
        <v>632</v>
      </c>
      <c r="AR4618" s="243">
        <v>3.71E11</v>
      </c>
      <c r="AS4618" s="235" t="s">
        <v>31232</v>
      </c>
      <c r="AT4618" s="235" t="s">
        <v>156</v>
      </c>
      <c r="AU4618" s="235" t="s">
        <v>634</v>
      </c>
      <c r="AV4618" s="246" t="s">
        <v>635</v>
      </c>
      <c r="AW4618" s="227"/>
      <c r="AX4618" s="227"/>
      <c r="AY4618" s="227"/>
      <c r="AZ4618" s="227"/>
      <c r="BA4618" s="227"/>
      <c r="BB4618" s="227"/>
      <c r="BC4618" s="227"/>
      <c r="BD4618" s="227"/>
      <c r="BE4618" s="227"/>
      <c r="BF4618" s="227"/>
    </row>
    <row r="4619">
      <c r="A4619" s="235" t="s">
        <v>34209</v>
      </c>
      <c r="C4619" s="235" t="s">
        <v>34210</v>
      </c>
      <c r="D4619" s="235" t="s">
        <v>34211</v>
      </c>
      <c r="E4619" s="243">
        <v>6.5E13</v>
      </c>
      <c r="F4619" s="245"/>
      <c r="G4619" s="235" t="s">
        <v>34212</v>
      </c>
      <c r="H4619" s="235" t="s">
        <v>34213</v>
      </c>
      <c r="I4619" s="235" t="s">
        <v>34214</v>
      </c>
      <c r="J4619" s="235" t="s">
        <v>34215</v>
      </c>
      <c r="K4619" s="235" t="s">
        <v>34216</v>
      </c>
      <c r="N4619" s="235" t="s">
        <v>141</v>
      </c>
      <c r="O4619" s="235" t="s">
        <v>342</v>
      </c>
      <c r="P4619" s="238">
        <v>1.0</v>
      </c>
      <c r="Q4619" s="235" t="s">
        <v>627</v>
      </c>
      <c r="R4619" s="238">
        <v>244.76</v>
      </c>
      <c r="S4619" s="238">
        <v>12.24</v>
      </c>
      <c r="T4619" s="238">
        <v>0.0</v>
      </c>
      <c r="U4619" s="238">
        <v>0.0</v>
      </c>
      <c r="V4619" s="238">
        <v>0.0</v>
      </c>
      <c r="W4619" s="238">
        <v>0.0</v>
      </c>
      <c r="X4619" s="235" t="s">
        <v>628</v>
      </c>
      <c r="Z4619" s="245"/>
      <c r="AA4619" s="245"/>
      <c r="AB4619" s="245"/>
      <c r="AC4619" s="235" t="s">
        <v>678</v>
      </c>
      <c r="AD4619" s="235" t="s">
        <v>679</v>
      </c>
      <c r="AE4619" s="238">
        <v>560098.0</v>
      </c>
      <c r="AF4619" s="235" t="s">
        <v>631</v>
      </c>
      <c r="AG4619" s="245"/>
      <c r="AH4619" s="245"/>
      <c r="AI4619" s="245"/>
      <c r="AJ4619" s="245"/>
      <c r="AK4619" s="245"/>
      <c r="AL4619" s="245"/>
      <c r="AM4619" s="245"/>
      <c r="AN4619" s="245"/>
      <c r="AO4619" s="238">
        <v>0.0</v>
      </c>
      <c r="AP4619" s="238">
        <v>0.0</v>
      </c>
      <c r="AQ4619" s="235" t="s">
        <v>632</v>
      </c>
      <c r="AR4619" s="243">
        <v>1.68E11</v>
      </c>
      <c r="AS4619" s="235" t="s">
        <v>33869</v>
      </c>
      <c r="AT4619" s="235" t="s">
        <v>11</v>
      </c>
      <c r="AU4619" s="235" t="s">
        <v>634</v>
      </c>
      <c r="AV4619" s="246" t="s">
        <v>635</v>
      </c>
      <c r="AW4619" s="227"/>
      <c r="AX4619" s="227"/>
      <c r="AY4619" s="227"/>
      <c r="AZ4619" s="227"/>
      <c r="BA4619" s="227"/>
      <c r="BB4619" s="227"/>
      <c r="BC4619" s="227"/>
      <c r="BD4619" s="227"/>
      <c r="BE4619" s="227"/>
      <c r="BF4619" s="227"/>
    </row>
    <row r="4620">
      <c r="A4620" s="235" t="s">
        <v>34217</v>
      </c>
      <c r="C4620" s="235" t="s">
        <v>34218</v>
      </c>
      <c r="D4620" s="235" t="s">
        <v>34219</v>
      </c>
      <c r="E4620" s="243">
        <v>6.5E13</v>
      </c>
      <c r="F4620" s="245"/>
      <c r="G4620" s="235" t="s">
        <v>34220</v>
      </c>
      <c r="H4620" s="235" t="s">
        <v>34221</v>
      </c>
      <c r="I4620" s="235" t="s">
        <v>34221</v>
      </c>
      <c r="J4620" s="235" t="s">
        <v>34222</v>
      </c>
      <c r="K4620" s="235" t="s">
        <v>34223</v>
      </c>
      <c r="N4620" s="235" t="s">
        <v>85</v>
      </c>
      <c r="O4620" s="235" t="s">
        <v>872</v>
      </c>
      <c r="P4620" s="238">
        <v>1.0</v>
      </c>
      <c r="Q4620" s="235" t="s">
        <v>627</v>
      </c>
      <c r="R4620" s="238">
        <v>242.86</v>
      </c>
      <c r="S4620" s="238">
        <v>12.14</v>
      </c>
      <c r="T4620" s="238">
        <v>38.1</v>
      </c>
      <c r="U4620" s="238">
        <v>1.9</v>
      </c>
      <c r="V4620" s="238">
        <v>0.0</v>
      </c>
      <c r="W4620" s="238">
        <v>0.0</v>
      </c>
      <c r="X4620" s="235" t="s">
        <v>628</v>
      </c>
      <c r="Z4620" s="245"/>
      <c r="AA4620" s="245"/>
      <c r="AB4620" s="245"/>
      <c r="AC4620" s="235" t="s">
        <v>1287</v>
      </c>
      <c r="AD4620" s="235" t="s">
        <v>630</v>
      </c>
      <c r="AE4620" s="238">
        <v>201010.0</v>
      </c>
      <c r="AF4620" s="235" t="s">
        <v>631</v>
      </c>
      <c r="AG4620" s="245"/>
      <c r="AH4620" s="245"/>
      <c r="AI4620" s="245"/>
      <c r="AJ4620" s="245"/>
      <c r="AK4620" s="245"/>
      <c r="AL4620" s="245"/>
      <c r="AM4620" s="245"/>
      <c r="AN4620" s="245"/>
      <c r="AO4620" s="238">
        <v>0.0</v>
      </c>
      <c r="AP4620" s="238">
        <v>0.0</v>
      </c>
      <c r="AQ4620" s="235" t="s">
        <v>632</v>
      </c>
      <c r="AR4620" s="243">
        <v>3.71E11</v>
      </c>
      <c r="AS4620" s="235" t="s">
        <v>33466</v>
      </c>
      <c r="AT4620" s="235" t="s">
        <v>13</v>
      </c>
      <c r="AU4620" s="235" t="s">
        <v>634</v>
      </c>
      <c r="AV4620" s="246" t="s">
        <v>635</v>
      </c>
      <c r="AW4620" s="227"/>
      <c r="AX4620" s="227"/>
      <c r="AY4620" s="227"/>
      <c r="AZ4620" s="227"/>
      <c r="BA4620" s="227"/>
      <c r="BB4620" s="227"/>
      <c r="BC4620" s="227"/>
      <c r="BD4620" s="227"/>
      <c r="BE4620" s="227"/>
      <c r="BF4620" s="227"/>
    </row>
    <row r="4621">
      <c r="A4621" s="235" t="s">
        <v>34224</v>
      </c>
      <c r="C4621" s="235" t="s">
        <v>34225</v>
      </c>
      <c r="D4621" s="235" t="s">
        <v>34226</v>
      </c>
      <c r="E4621" s="243">
        <v>6.5E13</v>
      </c>
      <c r="F4621" s="245"/>
      <c r="G4621" s="235" t="s">
        <v>34227</v>
      </c>
      <c r="H4621" s="235" t="s">
        <v>34228</v>
      </c>
      <c r="I4621" s="235" t="s">
        <v>34229</v>
      </c>
      <c r="J4621" s="235" t="s">
        <v>34230</v>
      </c>
      <c r="K4621" s="235" t="s">
        <v>34231</v>
      </c>
      <c r="N4621" s="235" t="s">
        <v>92</v>
      </c>
      <c r="O4621" s="235" t="s">
        <v>248</v>
      </c>
      <c r="P4621" s="238">
        <v>1.0</v>
      </c>
      <c r="Q4621" s="235" t="s">
        <v>627</v>
      </c>
      <c r="R4621" s="238">
        <v>244.76</v>
      </c>
      <c r="S4621" s="238">
        <v>12.24</v>
      </c>
      <c r="T4621" s="238">
        <v>0.0</v>
      </c>
      <c r="U4621" s="238">
        <v>0.0</v>
      </c>
      <c r="V4621" s="238">
        <v>0.0</v>
      </c>
      <c r="W4621" s="238">
        <v>0.0</v>
      </c>
      <c r="X4621" s="235" t="s">
        <v>628</v>
      </c>
      <c r="Z4621" s="245"/>
      <c r="AA4621" s="245"/>
      <c r="AB4621" s="245"/>
      <c r="AC4621" s="235" t="s">
        <v>937</v>
      </c>
      <c r="AD4621" s="235" t="s">
        <v>709</v>
      </c>
      <c r="AE4621" s="238">
        <v>800023.0</v>
      </c>
      <c r="AF4621" s="235" t="s">
        <v>631</v>
      </c>
      <c r="AG4621" s="245"/>
      <c r="AH4621" s="245"/>
      <c r="AI4621" s="245"/>
      <c r="AJ4621" s="245"/>
      <c r="AK4621" s="245"/>
      <c r="AL4621" s="245"/>
      <c r="AM4621" s="245"/>
      <c r="AN4621" s="245"/>
      <c r="AO4621" s="238">
        <v>0.0</v>
      </c>
      <c r="AP4621" s="238">
        <v>0.0</v>
      </c>
      <c r="AQ4621" s="235" t="s">
        <v>632</v>
      </c>
      <c r="AR4621" s="243">
        <v>2.02E11</v>
      </c>
      <c r="AS4621" s="235" t="s">
        <v>33466</v>
      </c>
      <c r="AT4621" s="235" t="s">
        <v>13</v>
      </c>
      <c r="AU4621" s="235" t="s">
        <v>634</v>
      </c>
      <c r="AV4621" s="246" t="s">
        <v>635</v>
      </c>
      <c r="AW4621" s="227"/>
      <c r="AX4621" s="227"/>
      <c r="AY4621" s="227"/>
      <c r="AZ4621" s="227"/>
      <c r="BA4621" s="227"/>
      <c r="BB4621" s="227"/>
      <c r="BC4621" s="227"/>
      <c r="BD4621" s="227"/>
      <c r="BE4621" s="227"/>
      <c r="BF4621" s="227"/>
    </row>
    <row r="4622">
      <c r="A4622" s="235" t="s">
        <v>34232</v>
      </c>
      <c r="C4622" s="235" t="s">
        <v>34233</v>
      </c>
      <c r="D4622" s="235" t="s">
        <v>34234</v>
      </c>
      <c r="E4622" s="243">
        <v>6.5E13</v>
      </c>
      <c r="F4622" s="245"/>
      <c r="G4622" s="235" t="s">
        <v>34235</v>
      </c>
      <c r="H4622" s="235" t="s">
        <v>34236</v>
      </c>
      <c r="I4622" s="235" t="s">
        <v>34236</v>
      </c>
      <c r="J4622" s="235" t="s">
        <v>34237</v>
      </c>
      <c r="K4622" s="235" t="s">
        <v>34238</v>
      </c>
      <c r="N4622" s="235" t="s">
        <v>71</v>
      </c>
      <c r="O4622" s="235" t="s">
        <v>240</v>
      </c>
      <c r="P4622" s="238">
        <v>1.0</v>
      </c>
      <c r="Q4622" s="235" t="s">
        <v>627</v>
      </c>
      <c r="R4622" s="238">
        <v>246.67</v>
      </c>
      <c r="S4622" s="238">
        <v>12.08</v>
      </c>
      <c r="T4622" s="238">
        <v>0.0</v>
      </c>
      <c r="U4622" s="238">
        <v>0.0</v>
      </c>
      <c r="V4622" s="238">
        <v>0.0</v>
      </c>
      <c r="W4622" s="238">
        <v>0.0</v>
      </c>
      <c r="X4622" s="235" t="s">
        <v>628</v>
      </c>
      <c r="Z4622" s="245"/>
      <c r="AA4622" s="245"/>
      <c r="AB4622" s="245"/>
      <c r="AC4622" s="235" t="s">
        <v>34239</v>
      </c>
      <c r="AD4622" s="235" t="s">
        <v>2688</v>
      </c>
      <c r="AE4622" s="238">
        <v>182101.0</v>
      </c>
      <c r="AF4622" s="235" t="s">
        <v>631</v>
      </c>
      <c r="AG4622" s="245"/>
      <c r="AH4622" s="245"/>
      <c r="AI4622" s="245"/>
      <c r="AJ4622" s="245"/>
      <c r="AK4622" s="245"/>
      <c r="AL4622" s="245"/>
      <c r="AM4622" s="245"/>
      <c r="AN4622" s="245"/>
      <c r="AO4622" s="238">
        <v>-4.93</v>
      </c>
      <c r="AP4622" s="238">
        <v>0.0</v>
      </c>
      <c r="AQ4622" s="235" t="s">
        <v>632</v>
      </c>
      <c r="AR4622" s="243">
        <v>3.71E11</v>
      </c>
      <c r="AS4622" s="235" t="s">
        <v>28482</v>
      </c>
      <c r="AT4622" s="235" t="s">
        <v>533</v>
      </c>
      <c r="AU4622" s="235" t="s">
        <v>634</v>
      </c>
      <c r="AV4622" s="246" t="s">
        <v>635</v>
      </c>
      <c r="AW4622" s="227"/>
      <c r="AX4622" s="227"/>
      <c r="AY4622" s="227"/>
      <c r="AZ4622" s="227"/>
      <c r="BA4622" s="227"/>
      <c r="BB4622" s="227"/>
      <c r="BC4622" s="227"/>
      <c r="BD4622" s="227"/>
      <c r="BE4622" s="227"/>
      <c r="BF4622" s="227"/>
    </row>
    <row r="4623">
      <c r="A4623" s="235" t="s">
        <v>34240</v>
      </c>
      <c r="C4623" s="235" t="s">
        <v>34241</v>
      </c>
      <c r="D4623" s="235" t="s">
        <v>34242</v>
      </c>
      <c r="E4623" s="243">
        <v>6.5E13</v>
      </c>
      <c r="F4623" s="245"/>
      <c r="G4623" s="235" t="s">
        <v>34243</v>
      </c>
      <c r="H4623" s="235" t="s">
        <v>34244</v>
      </c>
      <c r="I4623" s="235" t="s">
        <v>34244</v>
      </c>
      <c r="J4623" s="235" t="s">
        <v>34245</v>
      </c>
      <c r="K4623" s="235" t="s">
        <v>34246</v>
      </c>
      <c r="N4623" s="235" t="s">
        <v>154</v>
      </c>
      <c r="O4623" s="235" t="s">
        <v>766</v>
      </c>
      <c r="P4623" s="238">
        <v>1.0</v>
      </c>
      <c r="Q4623" s="235" t="s">
        <v>627</v>
      </c>
      <c r="R4623" s="238">
        <v>465.72</v>
      </c>
      <c r="S4623" s="238">
        <v>23.28</v>
      </c>
      <c r="T4623" s="238">
        <v>0.0</v>
      </c>
      <c r="U4623" s="238">
        <v>0.0</v>
      </c>
      <c r="V4623" s="238">
        <v>0.0</v>
      </c>
      <c r="W4623" s="238">
        <v>0.0</v>
      </c>
      <c r="X4623" s="235" t="s">
        <v>628</v>
      </c>
      <c r="Z4623" s="245"/>
      <c r="AA4623" s="245"/>
      <c r="AB4623" s="245"/>
      <c r="AC4623" s="235" t="s">
        <v>1058</v>
      </c>
      <c r="AD4623" s="235" t="s">
        <v>845</v>
      </c>
      <c r="AE4623" s="238">
        <v>400028.0</v>
      </c>
      <c r="AF4623" s="235" t="s">
        <v>631</v>
      </c>
      <c r="AG4623" s="245"/>
      <c r="AH4623" s="245"/>
      <c r="AI4623" s="245"/>
      <c r="AJ4623" s="245"/>
      <c r="AK4623" s="245"/>
      <c r="AL4623" s="245"/>
      <c r="AM4623" s="245"/>
      <c r="AN4623" s="245"/>
      <c r="AO4623" s="238">
        <v>0.0</v>
      </c>
      <c r="AP4623" s="238">
        <v>0.0</v>
      </c>
      <c r="AQ4623" s="235" t="s">
        <v>632</v>
      </c>
      <c r="AR4623" s="243">
        <v>1.68E11</v>
      </c>
      <c r="AS4623" s="235" t="s">
        <v>33869</v>
      </c>
      <c r="AT4623" s="235" t="s">
        <v>17</v>
      </c>
      <c r="AU4623" s="235" t="s">
        <v>634</v>
      </c>
      <c r="AV4623" s="246" t="s">
        <v>635</v>
      </c>
      <c r="AW4623" s="227"/>
      <c r="AX4623" s="227"/>
      <c r="AY4623" s="227"/>
      <c r="AZ4623" s="227"/>
      <c r="BA4623" s="227"/>
      <c r="BB4623" s="227"/>
      <c r="BC4623" s="227"/>
      <c r="BD4623" s="227"/>
      <c r="BE4623" s="227"/>
      <c r="BF4623" s="227"/>
    </row>
    <row r="4624">
      <c r="A4624" s="235" t="s">
        <v>34247</v>
      </c>
      <c r="C4624" s="235" t="s">
        <v>34248</v>
      </c>
      <c r="D4624" s="235" t="s">
        <v>34249</v>
      </c>
      <c r="E4624" s="243">
        <v>6.5E13</v>
      </c>
      <c r="F4624" s="245"/>
      <c r="G4624" s="235" t="s">
        <v>34250</v>
      </c>
      <c r="H4624" s="235" t="s">
        <v>34251</v>
      </c>
      <c r="I4624" s="235" t="s">
        <v>34251</v>
      </c>
      <c r="J4624" s="235" t="s">
        <v>34252</v>
      </c>
      <c r="K4624" s="235" t="s">
        <v>34253</v>
      </c>
      <c r="N4624" s="235" t="s">
        <v>42</v>
      </c>
      <c r="O4624" s="235" t="s">
        <v>204</v>
      </c>
      <c r="P4624" s="238">
        <v>1.0</v>
      </c>
      <c r="Q4624" s="235" t="s">
        <v>627</v>
      </c>
      <c r="R4624" s="238">
        <v>237.14</v>
      </c>
      <c r="S4624" s="238">
        <v>11.86</v>
      </c>
      <c r="T4624" s="238">
        <v>0.0</v>
      </c>
      <c r="U4624" s="238">
        <v>0.0</v>
      </c>
      <c r="V4624" s="238">
        <v>0.0</v>
      </c>
      <c r="W4624" s="238">
        <v>0.0</v>
      </c>
      <c r="X4624" s="235" t="s">
        <v>628</v>
      </c>
      <c r="Z4624" s="245"/>
      <c r="AA4624" s="245"/>
      <c r="AB4624" s="245"/>
      <c r="AC4624" s="235" t="s">
        <v>34254</v>
      </c>
      <c r="AD4624" s="235" t="s">
        <v>666</v>
      </c>
      <c r="AE4624" s="238">
        <v>612104.0</v>
      </c>
      <c r="AF4624" s="235" t="s">
        <v>631</v>
      </c>
      <c r="AG4624" s="245"/>
      <c r="AH4624" s="245"/>
      <c r="AI4624" s="245"/>
      <c r="AJ4624" s="245"/>
      <c r="AK4624" s="245"/>
      <c r="AL4624" s="245"/>
      <c r="AM4624" s="245"/>
      <c r="AN4624" s="245"/>
      <c r="AO4624" s="238">
        <v>0.0</v>
      </c>
      <c r="AP4624" s="238">
        <v>0.0</v>
      </c>
      <c r="AQ4624" s="235" t="s">
        <v>632</v>
      </c>
      <c r="AR4624" s="243">
        <v>1.68E11</v>
      </c>
      <c r="AS4624" s="235" t="s">
        <v>33466</v>
      </c>
      <c r="AT4624" s="235" t="s">
        <v>9</v>
      </c>
      <c r="AU4624" s="235" t="s">
        <v>634</v>
      </c>
      <c r="AV4624" s="246" t="s">
        <v>635</v>
      </c>
      <c r="AW4624" s="227"/>
      <c r="AX4624" s="227"/>
      <c r="AY4624" s="227"/>
      <c r="AZ4624" s="227"/>
      <c r="BA4624" s="227"/>
      <c r="BB4624" s="227"/>
      <c r="BC4624" s="227"/>
      <c r="BD4624" s="227"/>
      <c r="BE4624" s="227"/>
      <c r="BF4624" s="227"/>
    </row>
    <row r="4625">
      <c r="A4625" s="235" t="s">
        <v>34255</v>
      </c>
      <c r="C4625" s="235" t="s">
        <v>34256</v>
      </c>
      <c r="D4625" s="235" t="s">
        <v>34257</v>
      </c>
      <c r="E4625" s="243">
        <v>6.5E13</v>
      </c>
      <c r="F4625" s="245"/>
      <c r="G4625" s="235" t="s">
        <v>34258</v>
      </c>
      <c r="H4625" s="235" t="s">
        <v>34259</v>
      </c>
      <c r="I4625" s="235" t="s">
        <v>34259</v>
      </c>
      <c r="J4625" s="235" t="s">
        <v>34260</v>
      </c>
      <c r="K4625" s="235" t="s">
        <v>34261</v>
      </c>
      <c r="N4625" s="235" t="s">
        <v>92</v>
      </c>
      <c r="O4625" s="235" t="s">
        <v>248</v>
      </c>
      <c r="P4625" s="238">
        <v>1.0</v>
      </c>
      <c r="Q4625" s="235" t="s">
        <v>627</v>
      </c>
      <c r="R4625" s="238">
        <v>244.76</v>
      </c>
      <c r="S4625" s="238">
        <v>12.24</v>
      </c>
      <c r="T4625" s="238">
        <v>0.0</v>
      </c>
      <c r="U4625" s="238">
        <v>0.0</v>
      </c>
      <c r="V4625" s="238">
        <v>0.0</v>
      </c>
      <c r="W4625" s="238">
        <v>0.0</v>
      </c>
      <c r="X4625" s="235" t="s">
        <v>628</v>
      </c>
      <c r="Z4625" s="245"/>
      <c r="AA4625" s="245"/>
      <c r="AB4625" s="245"/>
      <c r="AC4625" s="235" t="s">
        <v>34262</v>
      </c>
      <c r="AD4625" s="235" t="s">
        <v>666</v>
      </c>
      <c r="AE4625" s="238">
        <v>638701.0</v>
      </c>
      <c r="AF4625" s="235" t="s">
        <v>631</v>
      </c>
      <c r="AG4625" s="245"/>
      <c r="AH4625" s="245"/>
      <c r="AI4625" s="245"/>
      <c r="AJ4625" s="245"/>
      <c r="AK4625" s="245"/>
      <c r="AL4625" s="245"/>
      <c r="AM4625" s="245"/>
      <c r="AN4625" s="245"/>
      <c r="AO4625" s="238">
        <v>0.0</v>
      </c>
      <c r="AP4625" s="238">
        <v>0.0</v>
      </c>
      <c r="AQ4625" s="235" t="s">
        <v>632</v>
      </c>
      <c r="AR4625" s="243">
        <v>3.71E11</v>
      </c>
      <c r="AS4625" s="235" t="s">
        <v>33466</v>
      </c>
      <c r="AT4625" s="235" t="s">
        <v>9</v>
      </c>
      <c r="AU4625" s="235" t="s">
        <v>634</v>
      </c>
      <c r="AV4625" s="246" t="s">
        <v>635</v>
      </c>
      <c r="AW4625" s="227"/>
      <c r="AX4625" s="227"/>
      <c r="AY4625" s="227"/>
      <c r="AZ4625" s="227"/>
      <c r="BA4625" s="227"/>
      <c r="BB4625" s="227"/>
      <c r="BC4625" s="227"/>
      <c r="BD4625" s="227"/>
      <c r="BE4625" s="227"/>
      <c r="BF4625" s="227"/>
    </row>
    <row r="4626">
      <c r="A4626" s="235" t="s">
        <v>34263</v>
      </c>
      <c r="C4626" s="235" t="s">
        <v>34264</v>
      </c>
      <c r="D4626" s="235" t="s">
        <v>34265</v>
      </c>
      <c r="E4626" s="243">
        <v>6.5E13</v>
      </c>
      <c r="F4626" s="245"/>
      <c r="G4626" s="235" t="s">
        <v>34266</v>
      </c>
      <c r="H4626" s="235" t="s">
        <v>34267</v>
      </c>
      <c r="I4626" s="235" t="s">
        <v>34267</v>
      </c>
      <c r="J4626" s="235" t="s">
        <v>34268</v>
      </c>
      <c r="K4626" s="235" t="s">
        <v>34269</v>
      </c>
      <c r="N4626" s="235" t="s">
        <v>110</v>
      </c>
      <c r="O4626" s="235" t="s">
        <v>364</v>
      </c>
      <c r="P4626" s="238">
        <v>1.0</v>
      </c>
      <c r="Q4626" s="235" t="s">
        <v>627</v>
      </c>
      <c r="R4626" s="238">
        <v>246.67</v>
      </c>
      <c r="S4626" s="238">
        <v>12.33</v>
      </c>
      <c r="T4626" s="238">
        <v>38.1</v>
      </c>
      <c r="U4626" s="238">
        <v>1.9</v>
      </c>
      <c r="V4626" s="238">
        <v>0.0</v>
      </c>
      <c r="W4626" s="238">
        <v>0.0</v>
      </c>
      <c r="X4626" s="235" t="s">
        <v>628</v>
      </c>
      <c r="Z4626" s="245"/>
      <c r="AA4626" s="245"/>
      <c r="AB4626" s="245"/>
      <c r="AC4626" s="235" t="s">
        <v>1058</v>
      </c>
      <c r="AD4626" s="235" t="s">
        <v>845</v>
      </c>
      <c r="AE4626" s="238">
        <v>400088.0</v>
      </c>
      <c r="AF4626" s="235" t="s">
        <v>631</v>
      </c>
      <c r="AG4626" s="245"/>
      <c r="AH4626" s="245"/>
      <c r="AI4626" s="245"/>
      <c r="AJ4626" s="245"/>
      <c r="AK4626" s="245"/>
      <c r="AL4626" s="245"/>
      <c r="AM4626" s="245"/>
      <c r="AN4626" s="245"/>
      <c r="AO4626" s="238">
        <v>0.0</v>
      </c>
      <c r="AP4626" s="238">
        <v>0.0</v>
      </c>
      <c r="AQ4626" s="235" t="s">
        <v>632</v>
      </c>
      <c r="AR4626" s="243">
        <v>3.71E11</v>
      </c>
      <c r="AS4626" s="235" t="s">
        <v>31232</v>
      </c>
      <c r="AT4626" s="235" t="s">
        <v>9</v>
      </c>
      <c r="AU4626" s="235" t="s">
        <v>634</v>
      </c>
      <c r="AV4626" s="246" t="s">
        <v>635</v>
      </c>
      <c r="AW4626" s="227"/>
      <c r="AX4626" s="227"/>
      <c r="AY4626" s="227"/>
      <c r="AZ4626" s="227"/>
      <c r="BA4626" s="227"/>
      <c r="BB4626" s="227"/>
      <c r="BC4626" s="227"/>
      <c r="BD4626" s="227"/>
      <c r="BE4626" s="227"/>
      <c r="BF4626" s="227"/>
    </row>
    <row r="4627">
      <c r="A4627" s="235" t="s">
        <v>34270</v>
      </c>
      <c r="C4627" s="235" t="s">
        <v>34271</v>
      </c>
      <c r="D4627" s="235" t="s">
        <v>34272</v>
      </c>
      <c r="E4627" s="243">
        <v>6.5E13</v>
      </c>
      <c r="F4627" s="245"/>
      <c r="G4627" s="235" t="s">
        <v>34273</v>
      </c>
      <c r="H4627" s="235" t="s">
        <v>34274</v>
      </c>
      <c r="I4627" s="235" t="s">
        <v>34274</v>
      </c>
      <c r="J4627" s="235" t="s">
        <v>34275</v>
      </c>
      <c r="K4627" s="235" t="s">
        <v>34276</v>
      </c>
      <c r="N4627" s="235" t="s">
        <v>85</v>
      </c>
      <c r="O4627" s="235" t="s">
        <v>872</v>
      </c>
      <c r="P4627" s="238">
        <v>1.0</v>
      </c>
      <c r="Q4627" s="235" t="s">
        <v>627</v>
      </c>
      <c r="R4627" s="238">
        <v>243.81</v>
      </c>
      <c r="S4627" s="238">
        <v>11.95</v>
      </c>
      <c r="T4627" s="238">
        <v>0.0</v>
      </c>
      <c r="U4627" s="238">
        <v>0.0</v>
      </c>
      <c r="V4627" s="238">
        <v>0.0</v>
      </c>
      <c r="W4627" s="238">
        <v>0.0</v>
      </c>
      <c r="X4627" s="235" t="s">
        <v>628</v>
      </c>
      <c r="Z4627" s="245"/>
      <c r="AA4627" s="245"/>
      <c r="AB4627" s="245"/>
      <c r="AC4627" s="235" t="s">
        <v>6276</v>
      </c>
      <c r="AD4627" s="235" t="s">
        <v>1086</v>
      </c>
      <c r="AE4627" s="238">
        <v>140603.0</v>
      </c>
      <c r="AF4627" s="235" t="s">
        <v>631</v>
      </c>
      <c r="AG4627" s="245"/>
      <c r="AH4627" s="245"/>
      <c r="AI4627" s="245"/>
      <c r="AJ4627" s="245"/>
      <c r="AK4627" s="245"/>
      <c r="AL4627" s="245"/>
      <c r="AM4627" s="245"/>
      <c r="AN4627" s="245"/>
      <c r="AO4627" s="238">
        <v>-4.88</v>
      </c>
      <c r="AP4627" s="238">
        <v>0.0</v>
      </c>
      <c r="AQ4627" s="235" t="s">
        <v>632</v>
      </c>
      <c r="AR4627" s="243">
        <v>1.68E11</v>
      </c>
      <c r="AS4627" s="235" t="s">
        <v>33466</v>
      </c>
      <c r="AT4627" s="235" t="s">
        <v>14</v>
      </c>
      <c r="AU4627" s="235" t="s">
        <v>634</v>
      </c>
      <c r="AV4627" s="246" t="s">
        <v>635</v>
      </c>
      <c r="AW4627" s="227"/>
      <c r="AX4627" s="227"/>
      <c r="AY4627" s="227"/>
      <c r="AZ4627" s="227"/>
      <c r="BA4627" s="227"/>
      <c r="BB4627" s="227"/>
      <c r="BC4627" s="227"/>
      <c r="BD4627" s="227"/>
      <c r="BE4627" s="227"/>
      <c r="BF4627" s="227"/>
    </row>
    <row r="4628">
      <c r="A4628" s="235" t="s">
        <v>34277</v>
      </c>
      <c r="C4628" s="235" t="s">
        <v>34278</v>
      </c>
      <c r="D4628" s="235" t="s">
        <v>34279</v>
      </c>
      <c r="E4628" s="243">
        <v>6.5E13</v>
      </c>
      <c r="F4628" s="245"/>
      <c r="G4628" s="235" t="s">
        <v>34280</v>
      </c>
      <c r="H4628" s="235" t="s">
        <v>34281</v>
      </c>
      <c r="I4628" s="235" t="s">
        <v>34282</v>
      </c>
      <c r="J4628" s="235" t="s">
        <v>34283</v>
      </c>
      <c r="K4628" s="235" t="s">
        <v>34284</v>
      </c>
      <c r="N4628" s="235" t="s">
        <v>136</v>
      </c>
      <c r="O4628" s="235" t="s">
        <v>256</v>
      </c>
      <c r="P4628" s="238">
        <v>1.0</v>
      </c>
      <c r="Q4628" s="235" t="s">
        <v>627</v>
      </c>
      <c r="R4628" s="238">
        <v>244.76</v>
      </c>
      <c r="S4628" s="238">
        <v>12.24</v>
      </c>
      <c r="T4628" s="238">
        <v>38.1</v>
      </c>
      <c r="U4628" s="238">
        <v>1.9</v>
      </c>
      <c r="V4628" s="238">
        <v>0.0</v>
      </c>
      <c r="W4628" s="238">
        <v>0.0</v>
      </c>
      <c r="X4628" s="235" t="s">
        <v>628</v>
      </c>
      <c r="Z4628" s="245"/>
      <c r="AA4628" s="245"/>
      <c r="AB4628" s="245"/>
      <c r="AC4628" s="235" t="s">
        <v>34285</v>
      </c>
      <c r="AD4628" s="235" t="s">
        <v>917</v>
      </c>
      <c r="AE4628" s="238">
        <v>341505.0</v>
      </c>
      <c r="AF4628" s="235" t="s">
        <v>631</v>
      </c>
      <c r="AG4628" s="245"/>
      <c r="AH4628" s="245"/>
      <c r="AI4628" s="245"/>
      <c r="AJ4628" s="245"/>
      <c r="AK4628" s="245"/>
      <c r="AL4628" s="245"/>
      <c r="AM4628" s="245"/>
      <c r="AN4628" s="245"/>
      <c r="AO4628" s="238">
        <v>0.0</v>
      </c>
      <c r="AP4628" s="238">
        <v>-38.1</v>
      </c>
      <c r="AQ4628" s="235" t="s">
        <v>632</v>
      </c>
      <c r="AR4628" s="243">
        <v>3.71E11</v>
      </c>
      <c r="AS4628" s="235" t="s">
        <v>32455</v>
      </c>
      <c r="AT4628" s="235" t="s">
        <v>14</v>
      </c>
      <c r="AU4628" s="235" t="s">
        <v>634</v>
      </c>
      <c r="AV4628" s="246" t="s">
        <v>635</v>
      </c>
      <c r="AW4628" s="227"/>
      <c r="AX4628" s="227"/>
      <c r="AY4628" s="227"/>
      <c r="AZ4628" s="227"/>
      <c r="BA4628" s="227"/>
      <c r="BB4628" s="227"/>
      <c r="BC4628" s="227"/>
      <c r="BD4628" s="227"/>
      <c r="BE4628" s="227"/>
      <c r="BF4628" s="227"/>
    </row>
    <row r="4629">
      <c r="A4629" s="235" t="s">
        <v>34286</v>
      </c>
      <c r="C4629" s="235" t="s">
        <v>34287</v>
      </c>
      <c r="D4629" s="235" t="s">
        <v>34288</v>
      </c>
      <c r="E4629" s="243">
        <v>6.5E13</v>
      </c>
      <c r="F4629" s="245"/>
      <c r="G4629" s="235" t="s">
        <v>34289</v>
      </c>
      <c r="H4629" s="235" t="s">
        <v>34290</v>
      </c>
      <c r="I4629" s="235" t="s">
        <v>34290</v>
      </c>
      <c r="J4629" s="235" t="s">
        <v>34291</v>
      </c>
      <c r="K4629" s="235" t="s">
        <v>34292</v>
      </c>
      <c r="N4629" s="235" t="s">
        <v>41</v>
      </c>
      <c r="O4629" s="235" t="s">
        <v>291</v>
      </c>
      <c r="P4629" s="238">
        <v>1.0</v>
      </c>
      <c r="Q4629" s="235" t="s">
        <v>627</v>
      </c>
      <c r="R4629" s="238">
        <v>0.0</v>
      </c>
      <c r="S4629" s="238">
        <v>0.0</v>
      </c>
      <c r="T4629" s="238">
        <v>0.0</v>
      </c>
      <c r="U4629" s="238">
        <v>0.0</v>
      </c>
      <c r="V4629" s="238">
        <v>0.0</v>
      </c>
      <c r="W4629" s="238">
        <v>0.0</v>
      </c>
      <c r="X4629" s="235" t="s">
        <v>628</v>
      </c>
      <c r="Z4629" s="245"/>
      <c r="AA4629" s="245"/>
      <c r="AB4629" s="245"/>
      <c r="AC4629" s="235" t="s">
        <v>678</v>
      </c>
      <c r="AD4629" s="235" t="s">
        <v>679</v>
      </c>
      <c r="AE4629" s="238">
        <v>560048.0</v>
      </c>
      <c r="AF4629" s="235" t="s">
        <v>631</v>
      </c>
      <c r="AG4629" s="245"/>
      <c r="AH4629" s="245"/>
      <c r="AI4629" s="245"/>
      <c r="AJ4629" s="245"/>
      <c r="AK4629" s="245"/>
      <c r="AL4629" s="245"/>
      <c r="AM4629" s="245"/>
      <c r="AN4629" s="245"/>
      <c r="AO4629" s="238">
        <v>0.0</v>
      </c>
      <c r="AP4629" s="238">
        <v>0.0</v>
      </c>
      <c r="AQ4629" s="235" t="s">
        <v>632</v>
      </c>
      <c r="AR4629" s="243">
        <v>3.71E11</v>
      </c>
      <c r="AS4629" s="235" t="s">
        <v>33466</v>
      </c>
      <c r="AT4629" s="235" t="s">
        <v>11</v>
      </c>
      <c r="AU4629" s="235" t="s">
        <v>634</v>
      </c>
      <c r="AV4629" s="246" t="s">
        <v>635</v>
      </c>
      <c r="AW4629" s="227"/>
      <c r="AX4629" s="227"/>
      <c r="AY4629" s="227"/>
      <c r="AZ4629" s="227"/>
      <c r="BA4629" s="227"/>
      <c r="BB4629" s="227"/>
      <c r="BC4629" s="227"/>
      <c r="BD4629" s="227"/>
      <c r="BE4629" s="227"/>
      <c r="BF4629" s="227"/>
    </row>
    <row r="4630">
      <c r="A4630" s="235" t="s">
        <v>34293</v>
      </c>
      <c r="C4630" s="235" t="s">
        <v>34294</v>
      </c>
      <c r="D4630" s="235" t="s">
        <v>34295</v>
      </c>
      <c r="E4630" s="243">
        <v>6.5E13</v>
      </c>
      <c r="F4630" s="245"/>
      <c r="G4630" s="235" t="s">
        <v>34296</v>
      </c>
      <c r="H4630" s="235" t="s">
        <v>34297</v>
      </c>
      <c r="I4630" s="235" t="s">
        <v>34298</v>
      </c>
      <c r="J4630" s="235" t="s">
        <v>34299</v>
      </c>
      <c r="K4630" s="235" t="s">
        <v>34300</v>
      </c>
      <c r="N4630" s="235" t="s">
        <v>962</v>
      </c>
      <c r="O4630" s="235" t="s">
        <v>963</v>
      </c>
      <c r="P4630" s="238">
        <v>1.0</v>
      </c>
      <c r="Q4630" s="235" t="s">
        <v>627</v>
      </c>
      <c r="R4630" s="238">
        <v>245.71</v>
      </c>
      <c r="S4630" s="238">
        <v>12.04</v>
      </c>
      <c r="T4630" s="238">
        <v>0.0</v>
      </c>
      <c r="U4630" s="238">
        <v>0.0</v>
      </c>
      <c r="V4630" s="238">
        <v>0.0</v>
      </c>
      <c r="W4630" s="238">
        <v>0.0</v>
      </c>
      <c r="X4630" s="235" t="s">
        <v>628</v>
      </c>
      <c r="Z4630" s="245"/>
      <c r="AA4630" s="245"/>
      <c r="AB4630" s="245"/>
      <c r="AC4630" s="235" t="s">
        <v>34301</v>
      </c>
      <c r="AD4630" s="235" t="s">
        <v>1499</v>
      </c>
      <c r="AE4630" s="238">
        <v>462046.0</v>
      </c>
      <c r="AF4630" s="235" t="s">
        <v>631</v>
      </c>
      <c r="AG4630" s="245"/>
      <c r="AH4630" s="245"/>
      <c r="AI4630" s="245"/>
      <c r="AJ4630" s="245"/>
      <c r="AK4630" s="245"/>
      <c r="AL4630" s="245"/>
      <c r="AM4630" s="245"/>
      <c r="AN4630" s="245"/>
      <c r="AO4630" s="238">
        <v>-4.91</v>
      </c>
      <c r="AP4630" s="238">
        <v>0.0</v>
      </c>
      <c r="AQ4630" s="235" t="s">
        <v>632</v>
      </c>
      <c r="AR4630" s="243">
        <v>3.71E11</v>
      </c>
      <c r="AS4630" s="235" t="s">
        <v>32455</v>
      </c>
      <c r="AT4630" s="235" t="s">
        <v>17</v>
      </c>
      <c r="AU4630" s="235" t="s">
        <v>634</v>
      </c>
      <c r="AV4630" s="246" t="s">
        <v>635</v>
      </c>
      <c r="AW4630" s="227"/>
      <c r="AX4630" s="227"/>
      <c r="AY4630" s="227"/>
      <c r="AZ4630" s="227"/>
      <c r="BA4630" s="227"/>
      <c r="BB4630" s="227"/>
      <c r="BC4630" s="227"/>
      <c r="BD4630" s="227"/>
      <c r="BE4630" s="227"/>
      <c r="BF4630" s="227"/>
    </row>
    <row r="4631">
      <c r="A4631" s="235" t="s">
        <v>34302</v>
      </c>
      <c r="C4631" s="235" t="s">
        <v>34303</v>
      </c>
      <c r="D4631" s="235" t="s">
        <v>34304</v>
      </c>
      <c r="E4631" s="243">
        <v>6.5E13</v>
      </c>
      <c r="F4631" s="245"/>
      <c r="G4631" s="235" t="s">
        <v>34305</v>
      </c>
      <c r="H4631" s="235" t="s">
        <v>34306</v>
      </c>
      <c r="I4631" s="235" t="s">
        <v>34306</v>
      </c>
      <c r="J4631" s="235" t="s">
        <v>34307</v>
      </c>
      <c r="K4631" s="235" t="s">
        <v>34308</v>
      </c>
      <c r="N4631" s="235" t="s">
        <v>154</v>
      </c>
      <c r="O4631" s="235" t="s">
        <v>766</v>
      </c>
      <c r="P4631" s="238">
        <v>1.0</v>
      </c>
      <c r="Q4631" s="235" t="s">
        <v>627</v>
      </c>
      <c r="R4631" s="238">
        <v>465.71</v>
      </c>
      <c r="S4631" s="238">
        <v>23.29</v>
      </c>
      <c r="T4631" s="238">
        <v>0.0</v>
      </c>
      <c r="U4631" s="238">
        <v>0.0</v>
      </c>
      <c r="V4631" s="238">
        <v>0.0</v>
      </c>
      <c r="W4631" s="238">
        <v>0.0</v>
      </c>
      <c r="X4631" s="235" t="s">
        <v>628</v>
      </c>
      <c r="Z4631" s="245"/>
      <c r="AA4631" s="245"/>
      <c r="AB4631" s="245"/>
      <c r="AC4631" s="235" t="s">
        <v>34309</v>
      </c>
      <c r="AD4631" s="235" t="s">
        <v>965</v>
      </c>
      <c r="AE4631" s="238">
        <v>176001.0</v>
      </c>
      <c r="AF4631" s="235" t="s">
        <v>631</v>
      </c>
      <c r="AG4631" s="245"/>
      <c r="AH4631" s="245"/>
      <c r="AI4631" s="245"/>
      <c r="AJ4631" s="245"/>
      <c r="AK4631" s="245"/>
      <c r="AL4631" s="245"/>
      <c r="AM4631" s="245"/>
      <c r="AN4631" s="245"/>
      <c r="AO4631" s="238">
        <v>0.0</v>
      </c>
      <c r="AP4631" s="238">
        <v>0.0</v>
      </c>
      <c r="AQ4631" s="235" t="s">
        <v>632</v>
      </c>
      <c r="AR4631" s="243">
        <v>3.71E11</v>
      </c>
      <c r="AS4631" s="235" t="s">
        <v>32455</v>
      </c>
      <c r="AT4631" s="235" t="s">
        <v>14</v>
      </c>
      <c r="AU4631" s="235" t="s">
        <v>634</v>
      </c>
      <c r="AV4631" s="246" t="s">
        <v>635</v>
      </c>
      <c r="AW4631" s="227"/>
      <c r="AX4631" s="227"/>
      <c r="AY4631" s="227"/>
      <c r="AZ4631" s="227"/>
      <c r="BA4631" s="227"/>
      <c r="BB4631" s="227"/>
      <c r="BC4631" s="227"/>
      <c r="BD4631" s="227"/>
      <c r="BE4631" s="227"/>
      <c r="BF4631" s="227"/>
    </row>
    <row r="4632">
      <c r="A4632" s="235" t="s">
        <v>34310</v>
      </c>
      <c r="C4632" s="235" t="s">
        <v>34311</v>
      </c>
      <c r="D4632" s="235" t="s">
        <v>34312</v>
      </c>
      <c r="E4632" s="243">
        <v>6.5E13</v>
      </c>
      <c r="F4632" s="245"/>
      <c r="G4632" s="235" t="s">
        <v>34313</v>
      </c>
      <c r="H4632" s="235" t="s">
        <v>34314</v>
      </c>
      <c r="I4632" s="235" t="s">
        <v>34314</v>
      </c>
      <c r="J4632" s="235" t="s">
        <v>34315</v>
      </c>
      <c r="K4632" s="235" t="s">
        <v>34316</v>
      </c>
      <c r="N4632" s="235" t="s">
        <v>2706</v>
      </c>
      <c r="O4632" s="235" t="s">
        <v>2707</v>
      </c>
      <c r="P4632" s="238">
        <v>1.0</v>
      </c>
      <c r="Q4632" s="235" t="s">
        <v>627</v>
      </c>
      <c r="R4632" s="238">
        <v>829.66</v>
      </c>
      <c r="S4632" s="238">
        <v>146.35</v>
      </c>
      <c r="T4632" s="238">
        <v>0.0</v>
      </c>
      <c r="U4632" s="238">
        <v>0.0</v>
      </c>
      <c r="V4632" s="238">
        <v>0.0</v>
      </c>
      <c r="W4632" s="238">
        <v>0.0</v>
      </c>
      <c r="X4632" s="235" t="s">
        <v>628</v>
      </c>
      <c r="Z4632" s="245"/>
      <c r="AA4632" s="245"/>
      <c r="AB4632" s="245"/>
      <c r="AC4632" s="235" t="s">
        <v>795</v>
      </c>
      <c r="AD4632" s="235" t="s">
        <v>796</v>
      </c>
      <c r="AE4632" s="238">
        <v>110092.0</v>
      </c>
      <c r="AF4632" s="235" t="s">
        <v>631</v>
      </c>
      <c r="AG4632" s="245"/>
      <c r="AH4632" s="245"/>
      <c r="AI4632" s="245"/>
      <c r="AJ4632" s="245"/>
      <c r="AK4632" s="245"/>
      <c r="AL4632" s="245"/>
      <c r="AM4632" s="245"/>
      <c r="AN4632" s="245"/>
      <c r="AO4632" s="238">
        <v>-16.59</v>
      </c>
      <c r="AP4632" s="238">
        <v>0.0</v>
      </c>
      <c r="AQ4632" s="235" t="s">
        <v>632</v>
      </c>
      <c r="AR4632" s="243">
        <v>2.02E11</v>
      </c>
      <c r="AS4632" s="235" t="s">
        <v>33466</v>
      </c>
      <c r="AT4632" s="235" t="s">
        <v>9</v>
      </c>
      <c r="AU4632" s="235" t="s">
        <v>634</v>
      </c>
      <c r="AV4632" s="246" t="s">
        <v>635</v>
      </c>
      <c r="AW4632" s="227"/>
      <c r="AX4632" s="227"/>
      <c r="AY4632" s="227"/>
      <c r="AZ4632" s="227"/>
      <c r="BA4632" s="227"/>
      <c r="BB4632" s="227"/>
      <c r="BC4632" s="227"/>
      <c r="BD4632" s="227"/>
      <c r="BE4632" s="227"/>
      <c r="BF4632" s="227"/>
    </row>
    <row r="4633">
      <c r="A4633" s="235" t="s">
        <v>34317</v>
      </c>
      <c r="C4633" s="235" t="s">
        <v>34318</v>
      </c>
      <c r="D4633" s="235" t="s">
        <v>34319</v>
      </c>
      <c r="E4633" s="243">
        <v>6.5E13</v>
      </c>
      <c r="F4633" s="245"/>
      <c r="G4633" s="235" t="s">
        <v>34320</v>
      </c>
      <c r="H4633" s="235" t="s">
        <v>34321</v>
      </c>
      <c r="I4633" s="235" t="s">
        <v>34321</v>
      </c>
      <c r="J4633" s="235" t="s">
        <v>34322</v>
      </c>
      <c r="K4633" s="235" t="s">
        <v>34323</v>
      </c>
      <c r="N4633" s="235" t="s">
        <v>153</v>
      </c>
      <c r="O4633" s="235" t="s">
        <v>390</v>
      </c>
      <c r="P4633" s="238">
        <v>1.0</v>
      </c>
      <c r="Q4633" s="235" t="s">
        <v>627</v>
      </c>
      <c r="R4633" s="238">
        <v>490.68</v>
      </c>
      <c r="S4633" s="238">
        <v>85.67</v>
      </c>
      <c r="T4633" s="238">
        <v>0.0</v>
      </c>
      <c r="U4633" s="238">
        <v>0.0</v>
      </c>
      <c r="V4633" s="238">
        <v>0.0</v>
      </c>
      <c r="W4633" s="238">
        <v>0.0</v>
      </c>
      <c r="X4633" s="235" t="s">
        <v>628</v>
      </c>
      <c r="Z4633" s="245"/>
      <c r="AA4633" s="245"/>
      <c r="AB4633" s="245"/>
      <c r="AC4633" s="235" t="s">
        <v>2777</v>
      </c>
      <c r="AD4633" s="235" t="s">
        <v>3113</v>
      </c>
      <c r="AE4633" s="238">
        <v>495001.0</v>
      </c>
      <c r="AF4633" s="235" t="s">
        <v>631</v>
      </c>
      <c r="AG4633" s="245"/>
      <c r="AH4633" s="245"/>
      <c r="AI4633" s="245"/>
      <c r="AJ4633" s="245"/>
      <c r="AK4633" s="245"/>
      <c r="AL4633" s="245"/>
      <c r="AM4633" s="245"/>
      <c r="AN4633" s="245"/>
      <c r="AO4633" s="238">
        <v>-14.72</v>
      </c>
      <c r="AP4633" s="238">
        <v>0.0</v>
      </c>
      <c r="AQ4633" s="235" t="s">
        <v>632</v>
      </c>
      <c r="AR4633" s="243">
        <v>3.71E11</v>
      </c>
      <c r="AS4633" s="235" t="s">
        <v>29883</v>
      </c>
      <c r="AT4633" s="235" t="s">
        <v>5</v>
      </c>
      <c r="AU4633" s="235" t="s">
        <v>634</v>
      </c>
      <c r="AV4633" s="246" t="s">
        <v>635</v>
      </c>
      <c r="AW4633" s="227"/>
      <c r="AX4633" s="227"/>
      <c r="AY4633" s="227"/>
      <c r="AZ4633" s="227"/>
      <c r="BA4633" s="227"/>
      <c r="BB4633" s="227"/>
      <c r="BC4633" s="227"/>
      <c r="BD4633" s="227"/>
      <c r="BE4633" s="227"/>
      <c r="BF4633" s="227"/>
    </row>
    <row r="4634">
      <c r="A4634" s="235" t="s">
        <v>34317</v>
      </c>
      <c r="C4634" s="235" t="s">
        <v>34318</v>
      </c>
      <c r="D4634" s="235" t="s">
        <v>34324</v>
      </c>
      <c r="E4634" s="243">
        <v>6.5E13</v>
      </c>
      <c r="F4634" s="245"/>
      <c r="G4634" s="235" t="s">
        <v>34320</v>
      </c>
      <c r="H4634" s="235" t="s">
        <v>34321</v>
      </c>
      <c r="I4634" s="235" t="s">
        <v>34321</v>
      </c>
      <c r="J4634" s="235" t="s">
        <v>34322</v>
      </c>
      <c r="K4634" s="235" t="s">
        <v>34323</v>
      </c>
      <c r="N4634" s="235" t="s">
        <v>153</v>
      </c>
      <c r="O4634" s="235" t="s">
        <v>390</v>
      </c>
      <c r="P4634" s="238">
        <v>1.0</v>
      </c>
      <c r="Q4634" s="235" t="s">
        <v>627</v>
      </c>
      <c r="R4634" s="238">
        <v>490.68</v>
      </c>
      <c r="S4634" s="238">
        <v>85.67</v>
      </c>
      <c r="T4634" s="238">
        <v>0.0</v>
      </c>
      <c r="U4634" s="238">
        <v>0.0</v>
      </c>
      <c r="V4634" s="238">
        <v>0.0</v>
      </c>
      <c r="W4634" s="238">
        <v>0.0</v>
      </c>
      <c r="X4634" s="235" t="s">
        <v>628</v>
      </c>
      <c r="Z4634" s="245"/>
      <c r="AA4634" s="245"/>
      <c r="AB4634" s="245"/>
      <c r="AC4634" s="235" t="s">
        <v>2777</v>
      </c>
      <c r="AD4634" s="235" t="s">
        <v>3113</v>
      </c>
      <c r="AE4634" s="238">
        <v>495001.0</v>
      </c>
      <c r="AF4634" s="235" t="s">
        <v>631</v>
      </c>
      <c r="AG4634" s="245"/>
      <c r="AH4634" s="245"/>
      <c r="AI4634" s="245"/>
      <c r="AJ4634" s="245"/>
      <c r="AK4634" s="245"/>
      <c r="AL4634" s="245"/>
      <c r="AM4634" s="245"/>
      <c r="AN4634" s="245"/>
      <c r="AO4634" s="238">
        <v>-14.72</v>
      </c>
      <c r="AP4634" s="238">
        <v>0.0</v>
      </c>
      <c r="AQ4634" s="235" t="s">
        <v>632</v>
      </c>
      <c r="AR4634" s="243">
        <v>3.71E11</v>
      </c>
      <c r="AS4634" s="235" t="s">
        <v>29883</v>
      </c>
      <c r="AT4634" s="235" t="s">
        <v>5</v>
      </c>
      <c r="AU4634" s="235" t="s">
        <v>634</v>
      </c>
      <c r="AV4634" s="246" t="s">
        <v>635</v>
      </c>
      <c r="AW4634" s="227"/>
      <c r="AX4634" s="227"/>
      <c r="AY4634" s="227"/>
      <c r="AZ4634" s="227"/>
      <c r="BA4634" s="227"/>
      <c r="BB4634" s="227"/>
      <c r="BC4634" s="227"/>
      <c r="BD4634" s="227"/>
      <c r="BE4634" s="227"/>
      <c r="BF4634" s="227"/>
    </row>
    <row r="4635">
      <c r="A4635" s="235" t="s">
        <v>34325</v>
      </c>
      <c r="C4635" s="235" t="s">
        <v>34326</v>
      </c>
      <c r="D4635" s="235" t="s">
        <v>34327</v>
      </c>
      <c r="E4635" s="243">
        <v>6.5E13</v>
      </c>
      <c r="F4635" s="245"/>
      <c r="G4635" s="235" t="s">
        <v>34328</v>
      </c>
      <c r="H4635" s="235" t="s">
        <v>34329</v>
      </c>
      <c r="I4635" s="235" t="s">
        <v>34329</v>
      </c>
      <c r="J4635" s="235" t="s">
        <v>34330</v>
      </c>
      <c r="K4635" s="235" t="s">
        <v>34331</v>
      </c>
      <c r="N4635" s="235" t="s">
        <v>962</v>
      </c>
      <c r="O4635" s="235" t="s">
        <v>963</v>
      </c>
      <c r="P4635" s="238">
        <v>1.0</v>
      </c>
      <c r="Q4635" s="235" t="s">
        <v>627</v>
      </c>
      <c r="R4635" s="238">
        <v>245.72</v>
      </c>
      <c r="S4635" s="238">
        <v>12.28</v>
      </c>
      <c r="T4635" s="238">
        <v>0.0</v>
      </c>
      <c r="U4635" s="238">
        <v>0.0</v>
      </c>
      <c r="V4635" s="238">
        <v>0.0</v>
      </c>
      <c r="W4635" s="238">
        <v>0.0</v>
      </c>
      <c r="X4635" s="235" t="s">
        <v>628</v>
      </c>
      <c r="Z4635" s="245"/>
      <c r="AA4635" s="245"/>
      <c r="AB4635" s="245"/>
      <c r="AC4635" s="235" t="s">
        <v>1792</v>
      </c>
      <c r="AD4635" s="235" t="s">
        <v>1077</v>
      </c>
      <c r="AE4635" s="238">
        <v>391410.0</v>
      </c>
      <c r="AF4635" s="235" t="s">
        <v>631</v>
      </c>
      <c r="AG4635" s="245"/>
      <c r="AH4635" s="245"/>
      <c r="AI4635" s="245"/>
      <c r="AJ4635" s="245"/>
      <c r="AK4635" s="245"/>
      <c r="AL4635" s="245"/>
      <c r="AM4635" s="245"/>
      <c r="AN4635" s="245"/>
      <c r="AO4635" s="238">
        <v>0.0</v>
      </c>
      <c r="AP4635" s="238">
        <v>0.0</v>
      </c>
      <c r="AQ4635" s="235" t="s">
        <v>632</v>
      </c>
      <c r="AR4635" s="243">
        <v>1.68E11</v>
      </c>
      <c r="AS4635" s="235" t="s">
        <v>33466</v>
      </c>
      <c r="AT4635" s="235" t="s">
        <v>5</v>
      </c>
      <c r="AU4635" s="235" t="s">
        <v>634</v>
      </c>
      <c r="AV4635" s="246" t="s">
        <v>635</v>
      </c>
      <c r="AW4635" s="227"/>
      <c r="AX4635" s="227"/>
      <c r="AY4635" s="227"/>
      <c r="AZ4635" s="227"/>
      <c r="BA4635" s="227"/>
      <c r="BB4635" s="227"/>
      <c r="BC4635" s="227"/>
      <c r="BD4635" s="227"/>
      <c r="BE4635" s="227"/>
      <c r="BF4635" s="227"/>
    </row>
    <row r="4636">
      <c r="A4636" s="235" t="s">
        <v>34332</v>
      </c>
      <c r="C4636" s="235" t="s">
        <v>34333</v>
      </c>
      <c r="D4636" s="235" t="s">
        <v>34334</v>
      </c>
      <c r="E4636" s="243">
        <v>6.5E13</v>
      </c>
      <c r="F4636" s="245"/>
      <c r="G4636" s="235" t="s">
        <v>34335</v>
      </c>
      <c r="H4636" s="235" t="s">
        <v>34336</v>
      </c>
      <c r="I4636" s="235" t="s">
        <v>34336</v>
      </c>
      <c r="J4636" s="235" t="s">
        <v>34337</v>
      </c>
      <c r="K4636" s="235" t="s">
        <v>34338</v>
      </c>
      <c r="N4636" s="235" t="s">
        <v>85</v>
      </c>
      <c r="O4636" s="235" t="s">
        <v>872</v>
      </c>
      <c r="P4636" s="238">
        <v>1.0</v>
      </c>
      <c r="Q4636" s="235" t="s">
        <v>627</v>
      </c>
      <c r="R4636" s="238">
        <v>243.81</v>
      </c>
      <c r="S4636" s="238">
        <v>12.19</v>
      </c>
      <c r="T4636" s="238">
        <v>0.0</v>
      </c>
      <c r="U4636" s="238">
        <v>0.0</v>
      </c>
      <c r="V4636" s="238">
        <v>0.0</v>
      </c>
      <c r="W4636" s="238">
        <v>0.0</v>
      </c>
      <c r="X4636" s="235" t="s">
        <v>628</v>
      </c>
      <c r="Z4636" s="245"/>
      <c r="AA4636" s="245"/>
      <c r="AB4636" s="245"/>
      <c r="AC4636" s="235" t="s">
        <v>22691</v>
      </c>
      <c r="AD4636" s="235" t="s">
        <v>666</v>
      </c>
      <c r="AE4636" s="238">
        <v>637001.0</v>
      </c>
      <c r="AF4636" s="235" t="s">
        <v>631</v>
      </c>
      <c r="AG4636" s="245"/>
      <c r="AH4636" s="245"/>
      <c r="AI4636" s="245"/>
      <c r="AJ4636" s="245"/>
      <c r="AK4636" s="245"/>
      <c r="AL4636" s="245"/>
      <c r="AM4636" s="245"/>
      <c r="AN4636" s="245"/>
      <c r="AO4636" s="238">
        <v>0.0</v>
      </c>
      <c r="AP4636" s="238">
        <v>0.0</v>
      </c>
      <c r="AQ4636" s="235" t="s">
        <v>632</v>
      </c>
      <c r="AR4636" s="243">
        <v>3.71E11</v>
      </c>
      <c r="AS4636" s="235" t="s">
        <v>33466</v>
      </c>
      <c r="AT4636" s="235" t="s">
        <v>9</v>
      </c>
      <c r="AU4636" s="235" t="s">
        <v>634</v>
      </c>
      <c r="AV4636" s="246" t="s">
        <v>635</v>
      </c>
      <c r="AW4636" s="227"/>
      <c r="AX4636" s="227"/>
      <c r="AY4636" s="227"/>
      <c r="AZ4636" s="227"/>
      <c r="BA4636" s="227"/>
      <c r="BB4636" s="227"/>
      <c r="BC4636" s="227"/>
      <c r="BD4636" s="227"/>
      <c r="BE4636" s="227"/>
      <c r="BF4636" s="227"/>
    </row>
    <row r="4637">
      <c r="A4637" s="235" t="s">
        <v>34339</v>
      </c>
      <c r="C4637" s="235" t="s">
        <v>34340</v>
      </c>
      <c r="D4637" s="235" t="s">
        <v>34341</v>
      </c>
      <c r="E4637" s="243">
        <v>6.5E13</v>
      </c>
      <c r="F4637" s="245"/>
      <c r="G4637" s="235" t="s">
        <v>34342</v>
      </c>
      <c r="H4637" s="235" t="s">
        <v>34343</v>
      </c>
      <c r="I4637" s="235" t="s">
        <v>34343</v>
      </c>
      <c r="J4637" s="235" t="s">
        <v>34344</v>
      </c>
      <c r="K4637" s="235" t="s">
        <v>34345</v>
      </c>
      <c r="N4637" s="235" t="s">
        <v>51</v>
      </c>
      <c r="O4637" s="235" t="s">
        <v>273</v>
      </c>
      <c r="P4637" s="238">
        <v>1.0</v>
      </c>
      <c r="Q4637" s="235" t="s">
        <v>627</v>
      </c>
      <c r="R4637" s="238">
        <v>235.24</v>
      </c>
      <c r="S4637" s="238">
        <v>11.76</v>
      </c>
      <c r="T4637" s="238">
        <v>0.0</v>
      </c>
      <c r="U4637" s="238">
        <v>0.0</v>
      </c>
      <c r="V4637" s="238">
        <v>0.0</v>
      </c>
      <c r="W4637" s="238">
        <v>0.0</v>
      </c>
      <c r="X4637" s="235" t="s">
        <v>628</v>
      </c>
      <c r="Z4637" s="245"/>
      <c r="AA4637" s="245"/>
      <c r="AB4637" s="245"/>
      <c r="AC4637" s="235" t="s">
        <v>697</v>
      </c>
      <c r="AD4637" s="235" t="s">
        <v>698</v>
      </c>
      <c r="AE4637" s="238">
        <v>500084.0</v>
      </c>
      <c r="AF4637" s="235" t="s">
        <v>631</v>
      </c>
      <c r="AG4637" s="245"/>
      <c r="AH4637" s="245"/>
      <c r="AI4637" s="245"/>
      <c r="AJ4637" s="245"/>
      <c r="AK4637" s="245"/>
      <c r="AL4637" s="245"/>
      <c r="AM4637" s="245"/>
      <c r="AN4637" s="245"/>
      <c r="AO4637" s="238">
        <v>0.0</v>
      </c>
      <c r="AP4637" s="238">
        <v>0.0</v>
      </c>
      <c r="AQ4637" s="235" t="s">
        <v>632</v>
      </c>
      <c r="AR4637" s="243">
        <v>2.02E11</v>
      </c>
      <c r="AS4637" s="235" t="s">
        <v>33466</v>
      </c>
      <c r="AT4637" s="235" t="s">
        <v>11</v>
      </c>
      <c r="AU4637" s="235" t="s">
        <v>634</v>
      </c>
      <c r="AV4637" s="246" t="s">
        <v>635</v>
      </c>
      <c r="AW4637" s="227"/>
      <c r="AX4637" s="227"/>
      <c r="AY4637" s="227"/>
      <c r="AZ4637" s="227"/>
      <c r="BA4637" s="227"/>
      <c r="BB4637" s="227"/>
      <c r="BC4637" s="227"/>
      <c r="BD4637" s="227"/>
      <c r="BE4637" s="227"/>
      <c r="BF4637" s="227"/>
    </row>
    <row r="4638">
      <c r="A4638" s="235" t="s">
        <v>34346</v>
      </c>
      <c r="C4638" s="235" t="s">
        <v>34347</v>
      </c>
      <c r="D4638" s="235" t="s">
        <v>34348</v>
      </c>
      <c r="E4638" s="243">
        <v>6.5E13</v>
      </c>
      <c r="F4638" s="245"/>
      <c r="G4638" s="235" t="s">
        <v>34349</v>
      </c>
      <c r="H4638" s="235" t="s">
        <v>34350</v>
      </c>
      <c r="I4638" s="235" t="s">
        <v>34351</v>
      </c>
      <c r="J4638" s="235" t="s">
        <v>34352</v>
      </c>
      <c r="K4638" s="235" t="s">
        <v>34353</v>
      </c>
      <c r="N4638" s="235" t="s">
        <v>43</v>
      </c>
      <c r="O4638" s="235" t="s">
        <v>276</v>
      </c>
      <c r="P4638" s="238">
        <v>1.0</v>
      </c>
      <c r="Q4638" s="235" t="s">
        <v>627</v>
      </c>
      <c r="R4638" s="238">
        <v>235.24</v>
      </c>
      <c r="S4638" s="238">
        <v>11.76</v>
      </c>
      <c r="T4638" s="238">
        <v>0.0</v>
      </c>
      <c r="U4638" s="238">
        <v>0.0</v>
      </c>
      <c r="V4638" s="238">
        <v>0.0</v>
      </c>
      <c r="W4638" s="238">
        <v>0.0</v>
      </c>
      <c r="X4638" s="235" t="s">
        <v>628</v>
      </c>
      <c r="Z4638" s="245"/>
      <c r="AA4638" s="245"/>
      <c r="AB4638" s="245"/>
      <c r="AC4638" s="235" t="s">
        <v>19218</v>
      </c>
      <c r="AD4638" s="235" t="s">
        <v>666</v>
      </c>
      <c r="AE4638" s="238">
        <v>609808.0</v>
      </c>
      <c r="AF4638" s="235" t="s">
        <v>631</v>
      </c>
      <c r="AG4638" s="245"/>
      <c r="AH4638" s="245"/>
      <c r="AI4638" s="245"/>
      <c r="AJ4638" s="245"/>
      <c r="AK4638" s="245"/>
      <c r="AL4638" s="245"/>
      <c r="AM4638" s="245"/>
      <c r="AN4638" s="245"/>
      <c r="AO4638" s="238">
        <v>0.0</v>
      </c>
      <c r="AP4638" s="238">
        <v>0.0</v>
      </c>
      <c r="AQ4638" s="235" t="s">
        <v>632</v>
      </c>
      <c r="AR4638" s="243">
        <v>3.71E11</v>
      </c>
      <c r="AS4638" s="235" t="s">
        <v>32455</v>
      </c>
      <c r="AT4638" s="235" t="s">
        <v>156</v>
      </c>
      <c r="AU4638" s="235" t="s">
        <v>634</v>
      </c>
      <c r="AV4638" s="246" t="s">
        <v>635</v>
      </c>
      <c r="AW4638" s="227"/>
      <c r="AX4638" s="227"/>
      <c r="AY4638" s="227"/>
      <c r="AZ4638" s="227"/>
      <c r="BA4638" s="227"/>
      <c r="BB4638" s="227"/>
      <c r="BC4638" s="227"/>
      <c r="BD4638" s="227"/>
      <c r="BE4638" s="227"/>
      <c r="BF4638" s="227"/>
    </row>
    <row r="4639">
      <c r="A4639" s="235" t="s">
        <v>34354</v>
      </c>
      <c r="C4639" s="235" t="s">
        <v>34355</v>
      </c>
      <c r="D4639" s="235" t="s">
        <v>34356</v>
      </c>
      <c r="E4639" s="243">
        <v>6.5E13</v>
      </c>
      <c r="F4639" s="245"/>
      <c r="G4639" s="235" t="s">
        <v>34357</v>
      </c>
      <c r="H4639" s="235" t="s">
        <v>34358</v>
      </c>
      <c r="I4639" s="235" t="s">
        <v>34358</v>
      </c>
      <c r="J4639" s="235" t="s">
        <v>34359</v>
      </c>
      <c r="K4639" s="235" t="s">
        <v>34360</v>
      </c>
      <c r="N4639" s="235" t="s">
        <v>53</v>
      </c>
      <c r="O4639" s="235" t="s">
        <v>512</v>
      </c>
      <c r="P4639" s="238">
        <v>1.0</v>
      </c>
      <c r="Q4639" s="235" t="s">
        <v>627</v>
      </c>
      <c r="R4639" s="238">
        <v>237.14</v>
      </c>
      <c r="S4639" s="238">
        <v>11.62</v>
      </c>
      <c r="T4639" s="238">
        <v>0.0</v>
      </c>
      <c r="U4639" s="238">
        <v>0.0</v>
      </c>
      <c r="V4639" s="238">
        <v>0.0</v>
      </c>
      <c r="W4639" s="238">
        <v>0.0</v>
      </c>
      <c r="X4639" s="235" t="s">
        <v>628</v>
      </c>
      <c r="Z4639" s="245"/>
      <c r="AA4639" s="245"/>
      <c r="AB4639" s="245"/>
      <c r="AC4639" s="235" t="s">
        <v>697</v>
      </c>
      <c r="AD4639" s="235" t="s">
        <v>698</v>
      </c>
      <c r="AE4639" s="238">
        <v>500089.0</v>
      </c>
      <c r="AF4639" s="235" t="s">
        <v>631</v>
      </c>
      <c r="AG4639" s="245"/>
      <c r="AH4639" s="245"/>
      <c r="AI4639" s="245"/>
      <c r="AJ4639" s="245"/>
      <c r="AK4639" s="245"/>
      <c r="AL4639" s="245"/>
      <c r="AM4639" s="245"/>
      <c r="AN4639" s="245"/>
      <c r="AO4639" s="238">
        <v>-4.74</v>
      </c>
      <c r="AP4639" s="238">
        <v>0.0</v>
      </c>
      <c r="AQ4639" s="235" t="s">
        <v>632</v>
      </c>
      <c r="AR4639" s="243">
        <v>3.71E11</v>
      </c>
      <c r="AS4639" s="235" t="s">
        <v>32455</v>
      </c>
      <c r="AT4639" s="235" t="s">
        <v>11</v>
      </c>
      <c r="AU4639" s="235" t="s">
        <v>634</v>
      </c>
      <c r="AV4639" s="246" t="s">
        <v>635</v>
      </c>
      <c r="AW4639" s="227"/>
      <c r="AX4639" s="227"/>
      <c r="AY4639" s="227"/>
      <c r="AZ4639" s="227"/>
      <c r="BA4639" s="227"/>
      <c r="BB4639" s="227"/>
      <c r="BC4639" s="227"/>
      <c r="BD4639" s="227"/>
      <c r="BE4639" s="227"/>
      <c r="BF4639" s="227"/>
    </row>
    <row r="4640">
      <c r="A4640" s="235" t="s">
        <v>34361</v>
      </c>
      <c r="C4640" s="235" t="s">
        <v>34362</v>
      </c>
      <c r="D4640" s="235" t="s">
        <v>34363</v>
      </c>
      <c r="E4640" s="243">
        <v>6.5E13</v>
      </c>
      <c r="F4640" s="245"/>
      <c r="G4640" s="235" t="s">
        <v>34364</v>
      </c>
      <c r="H4640" s="235" t="s">
        <v>34365</v>
      </c>
      <c r="I4640" s="235" t="s">
        <v>34365</v>
      </c>
      <c r="J4640" s="235" t="s">
        <v>34366</v>
      </c>
      <c r="K4640" s="235" t="s">
        <v>34367</v>
      </c>
      <c r="N4640" s="235" t="s">
        <v>12</v>
      </c>
      <c r="O4640" s="235" t="s">
        <v>804</v>
      </c>
      <c r="P4640" s="238">
        <v>1.0</v>
      </c>
      <c r="Q4640" s="235" t="s">
        <v>627</v>
      </c>
      <c r="R4640" s="238">
        <v>265.72</v>
      </c>
      <c r="S4640" s="238">
        <v>13.28</v>
      </c>
      <c r="T4640" s="238">
        <v>38.1</v>
      </c>
      <c r="U4640" s="238">
        <v>1.9</v>
      </c>
      <c r="V4640" s="238">
        <v>0.0</v>
      </c>
      <c r="W4640" s="238">
        <v>0.0</v>
      </c>
      <c r="X4640" s="235" t="s">
        <v>628</v>
      </c>
      <c r="Z4640" s="245"/>
      <c r="AA4640" s="245"/>
      <c r="AB4640" s="245"/>
      <c r="AC4640" s="235" t="s">
        <v>1910</v>
      </c>
      <c r="AD4640" s="235" t="s">
        <v>928</v>
      </c>
      <c r="AE4640" s="238">
        <v>122002.0</v>
      </c>
      <c r="AF4640" s="235" t="s">
        <v>631</v>
      </c>
      <c r="AG4640" s="245"/>
      <c r="AH4640" s="245"/>
      <c r="AI4640" s="245"/>
      <c r="AJ4640" s="245"/>
      <c r="AK4640" s="245"/>
      <c r="AL4640" s="245"/>
      <c r="AM4640" s="245"/>
      <c r="AN4640" s="245"/>
      <c r="AO4640" s="238">
        <v>0.0</v>
      </c>
      <c r="AP4640" s="238">
        <v>-38.1</v>
      </c>
      <c r="AQ4640" s="235" t="s">
        <v>632</v>
      </c>
      <c r="AR4640" s="243">
        <v>3.71E11</v>
      </c>
      <c r="AS4640" s="235" t="s">
        <v>33466</v>
      </c>
      <c r="AT4640" s="235" t="s">
        <v>533</v>
      </c>
      <c r="AU4640" s="235" t="s">
        <v>634</v>
      </c>
      <c r="AV4640" s="246" t="s">
        <v>635</v>
      </c>
      <c r="AW4640" s="227"/>
      <c r="AX4640" s="227"/>
      <c r="AY4640" s="227"/>
      <c r="AZ4640" s="227"/>
      <c r="BA4640" s="227"/>
      <c r="BB4640" s="227"/>
      <c r="BC4640" s="227"/>
      <c r="BD4640" s="227"/>
      <c r="BE4640" s="227"/>
      <c r="BF4640" s="227"/>
    </row>
    <row r="4641">
      <c r="A4641" s="235" t="s">
        <v>34368</v>
      </c>
      <c r="C4641" s="235" t="s">
        <v>34369</v>
      </c>
      <c r="D4641" s="235" t="s">
        <v>34370</v>
      </c>
      <c r="E4641" s="243">
        <v>6.5E13</v>
      </c>
      <c r="F4641" s="245"/>
      <c r="G4641" s="235" t="s">
        <v>34371</v>
      </c>
      <c r="H4641" s="235" t="s">
        <v>34372</v>
      </c>
      <c r="I4641" s="235" t="s">
        <v>34372</v>
      </c>
      <c r="J4641" s="235" t="s">
        <v>34373</v>
      </c>
      <c r="K4641" s="235" t="s">
        <v>34374</v>
      </c>
      <c r="N4641" s="235" t="s">
        <v>144</v>
      </c>
      <c r="O4641" s="235" t="s">
        <v>232</v>
      </c>
      <c r="P4641" s="238">
        <v>1.0</v>
      </c>
      <c r="Q4641" s="235" t="s">
        <v>627</v>
      </c>
      <c r="R4641" s="238">
        <v>665.71</v>
      </c>
      <c r="S4641" s="238">
        <v>33.29</v>
      </c>
      <c r="T4641" s="238">
        <v>0.0</v>
      </c>
      <c r="U4641" s="238">
        <v>0.0</v>
      </c>
      <c r="V4641" s="238">
        <v>0.0</v>
      </c>
      <c r="W4641" s="238">
        <v>0.0</v>
      </c>
      <c r="X4641" s="235" t="s">
        <v>628</v>
      </c>
      <c r="Z4641" s="245"/>
      <c r="AA4641" s="245"/>
      <c r="AB4641" s="245"/>
      <c r="AC4641" s="235" t="s">
        <v>4845</v>
      </c>
      <c r="AD4641" s="235" t="s">
        <v>1086</v>
      </c>
      <c r="AE4641" s="238">
        <v>144003.0</v>
      </c>
      <c r="AF4641" s="235" t="s">
        <v>631</v>
      </c>
      <c r="AG4641" s="245"/>
      <c r="AH4641" s="245"/>
      <c r="AI4641" s="245"/>
      <c r="AJ4641" s="245"/>
      <c r="AK4641" s="245"/>
      <c r="AL4641" s="245"/>
      <c r="AM4641" s="245"/>
      <c r="AN4641" s="245"/>
      <c r="AO4641" s="238">
        <v>0.0</v>
      </c>
      <c r="AP4641" s="238">
        <v>0.0</v>
      </c>
      <c r="AQ4641" s="235" t="s">
        <v>632</v>
      </c>
      <c r="AR4641" s="243">
        <v>2.02E11</v>
      </c>
      <c r="AS4641" s="235" t="s">
        <v>33466</v>
      </c>
      <c r="AT4641" s="235" t="s">
        <v>14</v>
      </c>
      <c r="AU4641" s="235" t="s">
        <v>634</v>
      </c>
      <c r="AV4641" s="246" t="s">
        <v>635</v>
      </c>
      <c r="AW4641" s="227"/>
      <c r="AX4641" s="227"/>
      <c r="AY4641" s="227"/>
      <c r="AZ4641" s="227"/>
      <c r="BA4641" s="227"/>
      <c r="BB4641" s="227"/>
      <c r="BC4641" s="227"/>
      <c r="BD4641" s="227"/>
      <c r="BE4641" s="227"/>
      <c r="BF4641" s="227"/>
    </row>
    <row r="4642">
      <c r="A4642" s="235" t="s">
        <v>34375</v>
      </c>
      <c r="C4642" s="235" t="s">
        <v>34376</v>
      </c>
      <c r="D4642" s="235" t="s">
        <v>34377</v>
      </c>
      <c r="E4642" s="243">
        <v>6.5E13</v>
      </c>
      <c r="F4642" s="245"/>
      <c r="G4642" s="235" t="s">
        <v>34378</v>
      </c>
      <c r="H4642" s="235" t="s">
        <v>34379</v>
      </c>
      <c r="I4642" s="235" t="s">
        <v>34380</v>
      </c>
      <c r="J4642" s="235" t="s">
        <v>34381</v>
      </c>
      <c r="K4642" s="235" t="s">
        <v>34382</v>
      </c>
      <c r="N4642" s="235" t="s">
        <v>144</v>
      </c>
      <c r="O4642" s="235" t="s">
        <v>232</v>
      </c>
      <c r="P4642" s="238">
        <v>1.0</v>
      </c>
      <c r="Q4642" s="235" t="s">
        <v>627</v>
      </c>
      <c r="R4642" s="238">
        <v>665.71</v>
      </c>
      <c r="S4642" s="238">
        <v>33.29</v>
      </c>
      <c r="T4642" s="238">
        <v>0.0</v>
      </c>
      <c r="U4642" s="238">
        <v>0.0</v>
      </c>
      <c r="V4642" s="238">
        <v>0.0</v>
      </c>
      <c r="W4642" s="238">
        <v>0.0</v>
      </c>
      <c r="X4642" s="235" t="s">
        <v>628</v>
      </c>
      <c r="Z4642" s="245"/>
      <c r="AA4642" s="245"/>
      <c r="AB4642" s="245"/>
      <c r="AC4642" s="235" t="s">
        <v>32743</v>
      </c>
      <c r="AD4642" s="235" t="s">
        <v>1151</v>
      </c>
      <c r="AE4642" s="238">
        <v>711101.0</v>
      </c>
      <c r="AF4642" s="235" t="s">
        <v>631</v>
      </c>
      <c r="AG4642" s="245"/>
      <c r="AH4642" s="245"/>
      <c r="AI4642" s="245"/>
      <c r="AJ4642" s="245"/>
      <c r="AK4642" s="245"/>
      <c r="AL4642" s="245"/>
      <c r="AM4642" s="245"/>
      <c r="AN4642" s="245"/>
      <c r="AO4642" s="238">
        <v>0.0</v>
      </c>
      <c r="AP4642" s="238">
        <v>0.0</v>
      </c>
      <c r="AQ4642" s="235" t="s">
        <v>632</v>
      </c>
      <c r="AR4642" s="243">
        <v>3.71E11</v>
      </c>
      <c r="AS4642" s="235" t="s">
        <v>31232</v>
      </c>
      <c r="AT4642" s="235" t="s">
        <v>14</v>
      </c>
      <c r="AU4642" s="235" t="s">
        <v>634</v>
      </c>
      <c r="AV4642" s="246" t="s">
        <v>635</v>
      </c>
      <c r="AW4642" s="227"/>
      <c r="AX4642" s="227"/>
      <c r="AY4642" s="227"/>
      <c r="AZ4642" s="227"/>
      <c r="BA4642" s="227"/>
      <c r="BB4642" s="227"/>
      <c r="BC4642" s="227"/>
      <c r="BD4642" s="227"/>
      <c r="BE4642" s="227"/>
      <c r="BF4642" s="227"/>
    </row>
    <row r="4643">
      <c r="A4643" s="235" t="s">
        <v>34383</v>
      </c>
      <c r="C4643" s="235" t="s">
        <v>34384</v>
      </c>
      <c r="D4643" s="235" t="s">
        <v>34385</v>
      </c>
      <c r="E4643" s="243">
        <v>6.5E13</v>
      </c>
      <c r="F4643" s="245"/>
      <c r="G4643" s="235" t="s">
        <v>34386</v>
      </c>
      <c r="H4643" s="235" t="s">
        <v>34387</v>
      </c>
      <c r="I4643" s="235" t="s">
        <v>34387</v>
      </c>
      <c r="J4643" s="235" t="s">
        <v>34388</v>
      </c>
      <c r="K4643" s="235" t="s">
        <v>34389</v>
      </c>
      <c r="N4643" s="235" t="s">
        <v>85</v>
      </c>
      <c r="O4643" s="235" t="s">
        <v>872</v>
      </c>
      <c r="P4643" s="238">
        <v>1.0</v>
      </c>
      <c r="Q4643" s="235" t="s">
        <v>627</v>
      </c>
      <c r="R4643" s="238">
        <v>243.8</v>
      </c>
      <c r="S4643" s="238">
        <v>12.2</v>
      </c>
      <c r="T4643" s="238">
        <v>0.0</v>
      </c>
      <c r="U4643" s="238">
        <v>0.0</v>
      </c>
      <c r="V4643" s="238">
        <v>0.0</v>
      </c>
      <c r="W4643" s="238">
        <v>0.0</v>
      </c>
      <c r="X4643" s="235" t="s">
        <v>628</v>
      </c>
      <c r="Z4643" s="245"/>
      <c r="AA4643" s="245"/>
      <c r="AB4643" s="245"/>
      <c r="AC4643" s="235" t="s">
        <v>678</v>
      </c>
      <c r="AD4643" s="235" t="s">
        <v>679</v>
      </c>
      <c r="AE4643" s="238">
        <v>560067.0</v>
      </c>
      <c r="AF4643" s="235" t="s">
        <v>631</v>
      </c>
      <c r="AG4643" s="245"/>
      <c r="AH4643" s="245"/>
      <c r="AI4643" s="245"/>
      <c r="AJ4643" s="245"/>
      <c r="AK4643" s="245"/>
      <c r="AL4643" s="245"/>
      <c r="AM4643" s="245"/>
      <c r="AN4643" s="245"/>
      <c r="AO4643" s="238">
        <v>0.0</v>
      </c>
      <c r="AP4643" s="238">
        <v>0.0</v>
      </c>
      <c r="AQ4643" s="235" t="s">
        <v>632</v>
      </c>
      <c r="AR4643" s="243">
        <v>1.68E11</v>
      </c>
      <c r="AS4643" s="235" t="s">
        <v>33869</v>
      </c>
      <c r="AT4643" s="235" t="s">
        <v>11</v>
      </c>
      <c r="AU4643" s="235" t="s">
        <v>634</v>
      </c>
      <c r="AV4643" s="246" t="s">
        <v>635</v>
      </c>
      <c r="AW4643" s="227"/>
      <c r="AX4643" s="227"/>
      <c r="AY4643" s="227"/>
      <c r="AZ4643" s="227"/>
      <c r="BA4643" s="227"/>
      <c r="BB4643" s="227"/>
      <c r="BC4643" s="227"/>
      <c r="BD4643" s="227"/>
      <c r="BE4643" s="227"/>
      <c r="BF4643" s="227"/>
    </row>
    <row r="4644">
      <c r="A4644" s="235" t="s">
        <v>34390</v>
      </c>
      <c r="C4644" s="235" t="s">
        <v>34391</v>
      </c>
      <c r="D4644" s="235" t="s">
        <v>34392</v>
      </c>
      <c r="E4644" s="243">
        <v>6.5E13</v>
      </c>
      <c r="F4644" s="245"/>
      <c r="G4644" s="235" t="s">
        <v>34393</v>
      </c>
      <c r="H4644" s="235" t="s">
        <v>34394</v>
      </c>
      <c r="I4644" s="235" t="s">
        <v>34394</v>
      </c>
      <c r="J4644" s="235" t="s">
        <v>34395</v>
      </c>
      <c r="K4644" s="235" t="s">
        <v>34396</v>
      </c>
      <c r="N4644" s="235" t="s">
        <v>989</v>
      </c>
      <c r="O4644" s="235" t="s">
        <v>990</v>
      </c>
      <c r="P4644" s="238">
        <v>1.0</v>
      </c>
      <c r="Q4644" s="235" t="s">
        <v>627</v>
      </c>
      <c r="R4644" s="238">
        <v>256.19</v>
      </c>
      <c r="S4644" s="238">
        <v>12.81</v>
      </c>
      <c r="T4644" s="238">
        <v>0.0</v>
      </c>
      <c r="U4644" s="238">
        <v>0.0</v>
      </c>
      <c r="V4644" s="238">
        <v>0.0</v>
      </c>
      <c r="W4644" s="238">
        <v>0.0</v>
      </c>
      <c r="X4644" s="235" t="s">
        <v>628</v>
      </c>
      <c r="Z4644" s="245"/>
      <c r="AA4644" s="245"/>
      <c r="AB4644" s="245"/>
      <c r="AC4644" s="235" t="s">
        <v>832</v>
      </c>
      <c r="AD4644" s="235" t="s">
        <v>833</v>
      </c>
      <c r="AE4644" s="238">
        <v>530013.0</v>
      </c>
      <c r="AF4644" s="235" t="s">
        <v>631</v>
      </c>
      <c r="AG4644" s="245"/>
      <c r="AH4644" s="245"/>
      <c r="AI4644" s="245"/>
      <c r="AJ4644" s="245"/>
      <c r="AK4644" s="245"/>
      <c r="AL4644" s="245"/>
      <c r="AM4644" s="245"/>
      <c r="AN4644" s="245"/>
      <c r="AO4644" s="238">
        <v>0.0</v>
      </c>
      <c r="AP4644" s="238">
        <v>0.0</v>
      </c>
      <c r="AQ4644" s="235" t="s">
        <v>632</v>
      </c>
      <c r="AR4644" s="243">
        <v>3.71E11</v>
      </c>
      <c r="AS4644" s="235" t="s">
        <v>31232</v>
      </c>
      <c r="AT4644" s="235" t="s">
        <v>546</v>
      </c>
      <c r="AU4644" s="235" t="s">
        <v>634</v>
      </c>
      <c r="AV4644" s="246" t="s">
        <v>635</v>
      </c>
      <c r="AW4644" s="227"/>
      <c r="AX4644" s="227"/>
      <c r="AY4644" s="227"/>
      <c r="AZ4644" s="227"/>
      <c r="BA4644" s="227"/>
      <c r="BB4644" s="227"/>
      <c r="BC4644" s="227"/>
      <c r="BD4644" s="227"/>
      <c r="BE4644" s="227"/>
      <c r="BF4644" s="227"/>
    </row>
    <row r="4645">
      <c r="A4645" s="235" t="s">
        <v>34397</v>
      </c>
      <c r="C4645" s="235" t="s">
        <v>34398</v>
      </c>
      <c r="D4645" s="235" t="s">
        <v>34399</v>
      </c>
      <c r="E4645" s="243">
        <v>6.5E13</v>
      </c>
      <c r="F4645" s="245"/>
      <c r="G4645" s="235" t="s">
        <v>34400</v>
      </c>
      <c r="H4645" s="235" t="s">
        <v>34401</v>
      </c>
      <c r="I4645" s="235" t="s">
        <v>34402</v>
      </c>
      <c r="J4645" s="235" t="s">
        <v>34403</v>
      </c>
      <c r="K4645" s="235" t="s">
        <v>34404</v>
      </c>
      <c r="N4645" s="235" t="s">
        <v>136</v>
      </c>
      <c r="O4645" s="235" t="s">
        <v>256</v>
      </c>
      <c r="P4645" s="238">
        <v>1.0</v>
      </c>
      <c r="Q4645" s="235" t="s">
        <v>627</v>
      </c>
      <c r="R4645" s="238">
        <v>244.76</v>
      </c>
      <c r="S4645" s="238">
        <v>12.24</v>
      </c>
      <c r="T4645" s="238">
        <v>0.0</v>
      </c>
      <c r="U4645" s="238">
        <v>0.0</v>
      </c>
      <c r="V4645" s="238">
        <v>0.0</v>
      </c>
      <c r="W4645" s="238">
        <v>0.0</v>
      </c>
      <c r="X4645" s="235" t="s">
        <v>628</v>
      </c>
      <c r="Z4645" s="245"/>
      <c r="AA4645" s="245"/>
      <c r="AB4645" s="245"/>
      <c r="AC4645" s="235" t="s">
        <v>844</v>
      </c>
      <c r="AD4645" s="235" t="s">
        <v>845</v>
      </c>
      <c r="AE4645" s="238">
        <v>412207.0</v>
      </c>
      <c r="AF4645" s="235" t="s">
        <v>631</v>
      </c>
      <c r="AG4645" s="245"/>
      <c r="AH4645" s="245"/>
      <c r="AI4645" s="245"/>
      <c r="AJ4645" s="245"/>
      <c r="AK4645" s="245"/>
      <c r="AL4645" s="245"/>
      <c r="AM4645" s="245"/>
      <c r="AN4645" s="245"/>
      <c r="AO4645" s="238">
        <v>0.0</v>
      </c>
      <c r="AP4645" s="238">
        <v>0.0</v>
      </c>
      <c r="AQ4645" s="235" t="s">
        <v>632</v>
      </c>
      <c r="AR4645" s="243">
        <v>1.68E11</v>
      </c>
      <c r="AS4645" s="235" t="s">
        <v>33869</v>
      </c>
      <c r="AT4645" s="235" t="s">
        <v>546</v>
      </c>
      <c r="AU4645" s="235" t="s">
        <v>634</v>
      </c>
      <c r="AV4645" s="246" t="s">
        <v>635</v>
      </c>
      <c r="AW4645" s="227"/>
      <c r="AX4645" s="227"/>
      <c r="AY4645" s="227"/>
      <c r="AZ4645" s="227"/>
      <c r="BA4645" s="227"/>
      <c r="BB4645" s="227"/>
      <c r="BC4645" s="227"/>
      <c r="BD4645" s="227"/>
      <c r="BE4645" s="227"/>
      <c r="BF4645" s="227"/>
    </row>
    <row r="4646">
      <c r="A4646" s="235" t="s">
        <v>34405</v>
      </c>
      <c r="C4646" s="235" t="s">
        <v>34406</v>
      </c>
      <c r="D4646" s="235" t="s">
        <v>34407</v>
      </c>
      <c r="E4646" s="243">
        <v>6.5E13</v>
      </c>
      <c r="F4646" s="245"/>
      <c r="G4646" s="235" t="s">
        <v>34408</v>
      </c>
      <c r="H4646" s="235" t="s">
        <v>34409</v>
      </c>
      <c r="I4646" s="235" t="s">
        <v>34409</v>
      </c>
      <c r="J4646" s="235" t="s">
        <v>34410</v>
      </c>
      <c r="K4646" s="235" t="s">
        <v>31828</v>
      </c>
      <c r="N4646" s="235" t="s">
        <v>82</v>
      </c>
      <c r="O4646" s="235" t="s">
        <v>889</v>
      </c>
      <c r="P4646" s="238">
        <v>1.0</v>
      </c>
      <c r="Q4646" s="235" t="s">
        <v>627</v>
      </c>
      <c r="R4646" s="238">
        <v>243.8</v>
      </c>
      <c r="S4646" s="238">
        <v>12.2</v>
      </c>
      <c r="T4646" s="238">
        <v>38.1</v>
      </c>
      <c r="U4646" s="238">
        <v>1.9</v>
      </c>
      <c r="V4646" s="238">
        <v>0.0</v>
      </c>
      <c r="W4646" s="238">
        <v>0.0</v>
      </c>
      <c r="X4646" s="235" t="s">
        <v>628</v>
      </c>
      <c r="Z4646" s="245"/>
      <c r="AA4646" s="245"/>
      <c r="AB4646" s="245"/>
      <c r="AC4646" s="235" t="s">
        <v>1058</v>
      </c>
      <c r="AD4646" s="235" t="s">
        <v>845</v>
      </c>
      <c r="AE4646" s="238">
        <v>400068.0</v>
      </c>
      <c r="AF4646" s="235" t="s">
        <v>631</v>
      </c>
      <c r="AG4646" s="245"/>
      <c r="AH4646" s="245"/>
      <c r="AI4646" s="245"/>
      <c r="AJ4646" s="245"/>
      <c r="AK4646" s="245"/>
      <c r="AL4646" s="245"/>
      <c r="AM4646" s="245"/>
      <c r="AN4646" s="245"/>
      <c r="AO4646" s="238">
        <v>0.0</v>
      </c>
      <c r="AP4646" s="238">
        <v>-38.1</v>
      </c>
      <c r="AQ4646" s="235" t="s">
        <v>632</v>
      </c>
      <c r="AR4646" s="243">
        <v>3.71E11</v>
      </c>
      <c r="AS4646" s="235" t="s">
        <v>33466</v>
      </c>
      <c r="AT4646" s="235" t="s">
        <v>16</v>
      </c>
      <c r="AU4646" s="235" t="s">
        <v>634</v>
      </c>
      <c r="AV4646" s="246" t="s">
        <v>635</v>
      </c>
      <c r="AW4646" s="227"/>
      <c r="AX4646" s="227"/>
      <c r="AY4646" s="227"/>
      <c r="AZ4646" s="227"/>
      <c r="BA4646" s="227"/>
      <c r="BB4646" s="227"/>
      <c r="BC4646" s="227"/>
      <c r="BD4646" s="227"/>
      <c r="BE4646" s="227"/>
      <c r="BF4646" s="227"/>
    </row>
    <row r="4647">
      <c r="A4647" s="235" t="s">
        <v>34411</v>
      </c>
      <c r="C4647" s="235" t="s">
        <v>34412</v>
      </c>
      <c r="D4647" s="235" t="s">
        <v>34413</v>
      </c>
      <c r="E4647" s="243">
        <v>6.49E13</v>
      </c>
      <c r="F4647" s="245"/>
      <c r="G4647" s="235" t="s">
        <v>34414</v>
      </c>
      <c r="H4647" s="235" t="s">
        <v>34415</v>
      </c>
      <c r="I4647" s="235" t="s">
        <v>34415</v>
      </c>
      <c r="J4647" s="235" t="s">
        <v>34416</v>
      </c>
      <c r="K4647" s="235" t="s">
        <v>34417</v>
      </c>
      <c r="N4647" s="235" t="s">
        <v>726</v>
      </c>
      <c r="O4647" s="235" t="s">
        <v>727</v>
      </c>
      <c r="P4647" s="238">
        <v>1.0</v>
      </c>
      <c r="Q4647" s="235" t="s">
        <v>627</v>
      </c>
      <c r="R4647" s="238">
        <v>244.76</v>
      </c>
      <c r="S4647" s="238">
        <v>12.0</v>
      </c>
      <c r="T4647" s="238">
        <v>38.1</v>
      </c>
      <c r="U4647" s="238">
        <v>1.9</v>
      </c>
      <c r="V4647" s="238">
        <v>0.0</v>
      </c>
      <c r="W4647" s="238">
        <v>0.0</v>
      </c>
      <c r="X4647" s="235" t="s">
        <v>628</v>
      </c>
      <c r="Z4647" s="245"/>
      <c r="AA4647" s="245"/>
      <c r="AB4647" s="245"/>
      <c r="AC4647" s="235" t="s">
        <v>1058</v>
      </c>
      <c r="AD4647" s="235" t="s">
        <v>845</v>
      </c>
      <c r="AE4647" s="238">
        <v>400077.0</v>
      </c>
      <c r="AF4647" s="235" t="s">
        <v>631</v>
      </c>
      <c r="AG4647" s="245"/>
      <c r="AH4647" s="245"/>
      <c r="AI4647" s="245"/>
      <c r="AJ4647" s="245"/>
      <c r="AK4647" s="245"/>
      <c r="AL4647" s="245"/>
      <c r="AM4647" s="245"/>
      <c r="AN4647" s="245"/>
      <c r="AO4647" s="238">
        <v>-4.9</v>
      </c>
      <c r="AP4647" s="238">
        <v>-38.1</v>
      </c>
      <c r="AQ4647" s="235" t="s">
        <v>632</v>
      </c>
      <c r="AR4647" s="243">
        <v>1.68E11</v>
      </c>
      <c r="AS4647" s="235" t="s">
        <v>33466</v>
      </c>
      <c r="AT4647" s="235" t="s">
        <v>546</v>
      </c>
      <c r="AU4647" s="235" t="s">
        <v>634</v>
      </c>
      <c r="AV4647" s="246" t="s">
        <v>635</v>
      </c>
      <c r="AW4647" s="227"/>
      <c r="AX4647" s="227"/>
      <c r="AY4647" s="227"/>
      <c r="AZ4647" s="227"/>
      <c r="BA4647" s="227"/>
      <c r="BB4647" s="227"/>
      <c r="BC4647" s="227"/>
      <c r="BD4647" s="227"/>
      <c r="BE4647" s="227"/>
      <c r="BF4647" s="227"/>
    </row>
    <row r="4648">
      <c r="A4648" s="235" t="s">
        <v>34418</v>
      </c>
      <c r="C4648" s="235" t="s">
        <v>34419</v>
      </c>
      <c r="D4648" s="235" t="s">
        <v>34420</v>
      </c>
      <c r="E4648" s="243">
        <v>6.5E13</v>
      </c>
      <c r="F4648" s="245"/>
      <c r="G4648" s="235" t="s">
        <v>34421</v>
      </c>
      <c r="H4648" s="235" t="s">
        <v>34422</v>
      </c>
      <c r="I4648" s="235" t="s">
        <v>34422</v>
      </c>
      <c r="J4648" s="235" t="s">
        <v>34423</v>
      </c>
      <c r="K4648" s="235" t="s">
        <v>34424</v>
      </c>
      <c r="N4648" s="235" t="s">
        <v>10</v>
      </c>
      <c r="O4648" s="235" t="s">
        <v>936</v>
      </c>
      <c r="P4648" s="238">
        <v>1.0</v>
      </c>
      <c r="Q4648" s="235" t="s">
        <v>627</v>
      </c>
      <c r="R4648" s="238">
        <v>261.9</v>
      </c>
      <c r="S4648" s="238">
        <v>13.1</v>
      </c>
      <c r="T4648" s="238">
        <v>0.0</v>
      </c>
      <c r="U4648" s="238">
        <v>0.0</v>
      </c>
      <c r="V4648" s="238">
        <v>0.0</v>
      </c>
      <c r="W4648" s="238">
        <v>0.0</v>
      </c>
      <c r="X4648" s="235" t="s">
        <v>628</v>
      </c>
      <c r="Z4648" s="245"/>
      <c r="AA4648" s="245"/>
      <c r="AB4648" s="245"/>
      <c r="AC4648" s="235" t="s">
        <v>1531</v>
      </c>
      <c r="AD4648" s="235" t="s">
        <v>1151</v>
      </c>
      <c r="AE4648" s="238">
        <v>700071.0</v>
      </c>
      <c r="AF4648" s="235" t="s">
        <v>631</v>
      </c>
      <c r="AG4648" s="245"/>
      <c r="AH4648" s="245"/>
      <c r="AI4648" s="245"/>
      <c r="AJ4648" s="245"/>
      <c r="AK4648" s="245"/>
      <c r="AL4648" s="245"/>
      <c r="AM4648" s="245"/>
      <c r="AN4648" s="245"/>
      <c r="AO4648" s="238">
        <v>0.0</v>
      </c>
      <c r="AP4648" s="238">
        <v>0.0</v>
      </c>
      <c r="AQ4648" s="235" t="s">
        <v>632</v>
      </c>
      <c r="AR4648" s="243">
        <v>2.02E11</v>
      </c>
      <c r="AS4648" s="235" t="s">
        <v>33466</v>
      </c>
      <c r="AT4648" s="235" t="s">
        <v>156</v>
      </c>
      <c r="AU4648" s="235" t="s">
        <v>634</v>
      </c>
      <c r="AV4648" s="246" t="s">
        <v>635</v>
      </c>
      <c r="AW4648" s="227"/>
      <c r="AX4648" s="227"/>
      <c r="AY4648" s="227"/>
      <c r="AZ4648" s="227"/>
      <c r="BA4648" s="227"/>
      <c r="BB4648" s="227"/>
      <c r="BC4648" s="227"/>
      <c r="BD4648" s="227"/>
      <c r="BE4648" s="227"/>
      <c r="BF4648" s="227"/>
    </row>
    <row r="4649">
      <c r="A4649" s="235" t="s">
        <v>34425</v>
      </c>
      <c r="C4649" s="235" t="s">
        <v>34426</v>
      </c>
      <c r="D4649" s="235" t="s">
        <v>34427</v>
      </c>
      <c r="E4649" s="243">
        <v>6.5E13</v>
      </c>
      <c r="F4649" s="245"/>
      <c r="G4649" s="235" t="s">
        <v>34428</v>
      </c>
      <c r="H4649" s="235" t="s">
        <v>34429</v>
      </c>
      <c r="I4649" s="235" t="s">
        <v>34429</v>
      </c>
      <c r="J4649" s="235" t="s">
        <v>34430</v>
      </c>
      <c r="K4649" s="235" t="s">
        <v>34431</v>
      </c>
      <c r="N4649" s="235" t="s">
        <v>68</v>
      </c>
      <c r="O4649" s="235" t="s">
        <v>208</v>
      </c>
      <c r="P4649" s="238">
        <v>1.0</v>
      </c>
      <c r="Q4649" s="235" t="s">
        <v>627</v>
      </c>
      <c r="R4649" s="238">
        <v>246.67</v>
      </c>
      <c r="S4649" s="238">
        <v>12.33</v>
      </c>
      <c r="T4649" s="238">
        <v>0.0</v>
      </c>
      <c r="U4649" s="238">
        <v>0.0</v>
      </c>
      <c r="V4649" s="238">
        <v>0.0</v>
      </c>
      <c r="W4649" s="238">
        <v>0.0</v>
      </c>
      <c r="X4649" s="235" t="s">
        <v>628</v>
      </c>
      <c r="Z4649" s="245"/>
      <c r="AA4649" s="245"/>
      <c r="AB4649" s="245"/>
      <c r="AC4649" s="235" t="s">
        <v>34432</v>
      </c>
      <c r="AD4649" s="235" t="s">
        <v>1086</v>
      </c>
      <c r="AE4649" s="238">
        <v>140507.0</v>
      </c>
      <c r="AF4649" s="235" t="s">
        <v>631</v>
      </c>
      <c r="AG4649" s="245"/>
      <c r="AH4649" s="245"/>
      <c r="AI4649" s="245"/>
      <c r="AJ4649" s="245"/>
      <c r="AK4649" s="245"/>
      <c r="AL4649" s="245"/>
      <c r="AM4649" s="245"/>
      <c r="AN4649" s="245"/>
      <c r="AO4649" s="238">
        <v>0.0</v>
      </c>
      <c r="AP4649" s="238">
        <v>0.0</v>
      </c>
      <c r="AQ4649" s="235" t="s">
        <v>632</v>
      </c>
      <c r="AR4649" s="243">
        <v>1.68E11</v>
      </c>
      <c r="AS4649" s="235" t="s">
        <v>33466</v>
      </c>
      <c r="AT4649" s="235" t="s">
        <v>14</v>
      </c>
      <c r="AU4649" s="235" t="s">
        <v>634</v>
      </c>
      <c r="AV4649" s="246" t="s">
        <v>635</v>
      </c>
      <c r="AW4649" s="227"/>
      <c r="AX4649" s="227"/>
      <c r="AY4649" s="227"/>
      <c r="AZ4649" s="227"/>
      <c r="BA4649" s="227"/>
      <c r="BB4649" s="227"/>
      <c r="BC4649" s="227"/>
      <c r="BD4649" s="227"/>
      <c r="BE4649" s="227"/>
      <c r="BF4649" s="227"/>
    </row>
    <row r="4650">
      <c r="A4650" s="235" t="s">
        <v>34433</v>
      </c>
      <c r="C4650" s="235" t="s">
        <v>34434</v>
      </c>
      <c r="D4650" s="235" t="s">
        <v>34435</v>
      </c>
      <c r="E4650" s="243">
        <v>6.5E13</v>
      </c>
      <c r="F4650" s="245"/>
      <c r="G4650" s="235" t="s">
        <v>34436</v>
      </c>
      <c r="H4650" s="235" t="s">
        <v>34437</v>
      </c>
      <c r="I4650" s="235" t="s">
        <v>34437</v>
      </c>
      <c r="J4650" s="235" t="s">
        <v>34438</v>
      </c>
      <c r="K4650" s="235" t="s">
        <v>10393</v>
      </c>
      <c r="N4650" s="235" t="s">
        <v>85</v>
      </c>
      <c r="O4650" s="235" t="s">
        <v>872</v>
      </c>
      <c r="P4650" s="238">
        <v>1.0</v>
      </c>
      <c r="Q4650" s="235" t="s">
        <v>627</v>
      </c>
      <c r="R4650" s="238">
        <v>243.8</v>
      </c>
      <c r="S4650" s="238">
        <v>12.2</v>
      </c>
      <c r="T4650" s="238">
        <v>38.1</v>
      </c>
      <c r="U4650" s="238">
        <v>1.9</v>
      </c>
      <c r="V4650" s="238">
        <v>0.0</v>
      </c>
      <c r="W4650" s="238">
        <v>0.0</v>
      </c>
      <c r="X4650" s="235" t="s">
        <v>628</v>
      </c>
      <c r="Z4650" s="245"/>
      <c r="AA4650" s="245"/>
      <c r="AB4650" s="245"/>
      <c r="AC4650" s="235" t="s">
        <v>6912</v>
      </c>
      <c r="AD4650" s="235" t="s">
        <v>845</v>
      </c>
      <c r="AE4650" s="238">
        <v>400701.0</v>
      </c>
      <c r="AF4650" s="235" t="s">
        <v>631</v>
      </c>
      <c r="AG4650" s="245"/>
      <c r="AH4650" s="245"/>
      <c r="AI4650" s="245"/>
      <c r="AJ4650" s="245"/>
      <c r="AK4650" s="245"/>
      <c r="AL4650" s="245"/>
      <c r="AM4650" s="245"/>
      <c r="AN4650" s="245"/>
      <c r="AO4650" s="238">
        <v>0.0</v>
      </c>
      <c r="AP4650" s="238">
        <v>-38.1</v>
      </c>
      <c r="AQ4650" s="235" t="s">
        <v>1356</v>
      </c>
      <c r="AR4650" s="235" t="s">
        <v>34439</v>
      </c>
      <c r="AS4650" s="235" t="s">
        <v>28482</v>
      </c>
      <c r="AT4650" s="235" t="s">
        <v>16</v>
      </c>
      <c r="AU4650" s="235" t="s">
        <v>634</v>
      </c>
      <c r="AV4650" s="246" t="s">
        <v>635</v>
      </c>
      <c r="AW4650" s="227"/>
      <c r="AX4650" s="227"/>
      <c r="AY4650" s="227"/>
      <c r="AZ4650" s="227"/>
      <c r="BA4650" s="227"/>
      <c r="BB4650" s="227"/>
      <c r="BC4650" s="227"/>
      <c r="BD4650" s="227"/>
      <c r="BE4650" s="227"/>
      <c r="BF4650" s="227"/>
    </row>
    <row r="4651">
      <c r="A4651" s="235" t="s">
        <v>34440</v>
      </c>
      <c r="C4651" s="235" t="s">
        <v>34441</v>
      </c>
      <c r="D4651" s="235" t="s">
        <v>34442</v>
      </c>
      <c r="E4651" s="243">
        <v>6.5E13</v>
      </c>
      <c r="F4651" s="245"/>
      <c r="G4651" s="235" t="s">
        <v>34443</v>
      </c>
      <c r="H4651" s="235" t="s">
        <v>34444</v>
      </c>
      <c r="I4651" s="235" t="s">
        <v>34444</v>
      </c>
      <c r="J4651" s="235" t="s">
        <v>34445</v>
      </c>
      <c r="K4651" s="235" t="s">
        <v>34446</v>
      </c>
      <c r="N4651" s="235" t="s">
        <v>50</v>
      </c>
      <c r="O4651" s="235" t="s">
        <v>367</v>
      </c>
      <c r="P4651" s="238">
        <v>1.0</v>
      </c>
      <c r="Q4651" s="235" t="s">
        <v>627</v>
      </c>
      <c r="R4651" s="238">
        <v>234.29</v>
      </c>
      <c r="S4651" s="238">
        <v>11.71</v>
      </c>
      <c r="T4651" s="238">
        <v>38.1</v>
      </c>
      <c r="U4651" s="238">
        <v>1.9</v>
      </c>
      <c r="V4651" s="238">
        <v>0.0</v>
      </c>
      <c r="W4651" s="238">
        <v>0.0</v>
      </c>
      <c r="X4651" s="235" t="s">
        <v>628</v>
      </c>
      <c r="Z4651" s="245"/>
      <c r="AA4651" s="245"/>
      <c r="AB4651" s="245"/>
      <c r="AC4651" s="235" t="s">
        <v>10173</v>
      </c>
      <c r="AD4651" s="235" t="s">
        <v>917</v>
      </c>
      <c r="AE4651" s="238">
        <v>313001.0</v>
      </c>
      <c r="AF4651" s="235" t="s">
        <v>631</v>
      </c>
      <c r="AG4651" s="245"/>
      <c r="AH4651" s="245"/>
      <c r="AI4651" s="245"/>
      <c r="AJ4651" s="245"/>
      <c r="AK4651" s="245"/>
      <c r="AL4651" s="245"/>
      <c r="AM4651" s="245"/>
      <c r="AN4651" s="245"/>
      <c r="AO4651" s="238">
        <v>0.0</v>
      </c>
      <c r="AP4651" s="238">
        <v>-38.1</v>
      </c>
      <c r="AQ4651" s="235" t="s">
        <v>632</v>
      </c>
      <c r="AR4651" s="243">
        <v>3.71E11</v>
      </c>
      <c r="AS4651" s="235" t="s">
        <v>33466</v>
      </c>
      <c r="AT4651" s="235" t="s">
        <v>5</v>
      </c>
      <c r="AU4651" s="235" t="s">
        <v>634</v>
      </c>
      <c r="AV4651" s="246" t="s">
        <v>635</v>
      </c>
      <c r="AW4651" s="227"/>
      <c r="AX4651" s="227"/>
      <c r="AY4651" s="227"/>
      <c r="AZ4651" s="227"/>
      <c r="BA4651" s="227"/>
      <c r="BB4651" s="227"/>
      <c r="BC4651" s="227"/>
      <c r="BD4651" s="227"/>
      <c r="BE4651" s="227"/>
      <c r="BF4651" s="227"/>
    </row>
    <row r="4652">
      <c r="A4652" s="235" t="s">
        <v>34447</v>
      </c>
      <c r="C4652" s="235" t="s">
        <v>34448</v>
      </c>
      <c r="D4652" s="235" t="s">
        <v>34449</v>
      </c>
      <c r="E4652" s="243">
        <v>6.5E13</v>
      </c>
      <c r="F4652" s="245"/>
      <c r="G4652" s="235" t="s">
        <v>34450</v>
      </c>
      <c r="H4652" s="235" t="s">
        <v>34451</v>
      </c>
      <c r="I4652" s="235" t="s">
        <v>34451</v>
      </c>
      <c r="J4652" s="235" t="s">
        <v>34452</v>
      </c>
      <c r="K4652" s="235" t="s">
        <v>33458</v>
      </c>
      <c r="N4652" s="235" t="s">
        <v>126</v>
      </c>
      <c r="O4652" s="235" t="s">
        <v>407</v>
      </c>
      <c r="P4652" s="238">
        <v>1.0</v>
      </c>
      <c r="Q4652" s="235" t="s">
        <v>627</v>
      </c>
      <c r="R4652" s="238">
        <v>237.14</v>
      </c>
      <c r="S4652" s="238">
        <v>11.86</v>
      </c>
      <c r="T4652" s="238">
        <v>38.1</v>
      </c>
      <c r="U4652" s="238">
        <v>1.9</v>
      </c>
      <c r="V4652" s="238">
        <v>0.0</v>
      </c>
      <c r="W4652" s="238">
        <v>0.0</v>
      </c>
      <c r="X4652" s="235" t="s">
        <v>628</v>
      </c>
      <c r="Z4652" s="245"/>
      <c r="AA4652" s="245"/>
      <c r="AB4652" s="245"/>
      <c r="AC4652" s="235" t="s">
        <v>14305</v>
      </c>
      <c r="AD4652" s="235" t="s">
        <v>2067</v>
      </c>
      <c r="AE4652" s="238">
        <v>831012.0</v>
      </c>
      <c r="AF4652" s="235" t="s">
        <v>631</v>
      </c>
      <c r="AG4652" s="245"/>
      <c r="AH4652" s="245"/>
      <c r="AI4652" s="245"/>
      <c r="AJ4652" s="245"/>
      <c r="AK4652" s="245"/>
      <c r="AL4652" s="245"/>
      <c r="AM4652" s="245"/>
      <c r="AN4652" s="245"/>
      <c r="AO4652" s="238">
        <v>0.0</v>
      </c>
      <c r="AP4652" s="238">
        <v>-38.1</v>
      </c>
      <c r="AQ4652" s="235" t="s">
        <v>632</v>
      </c>
      <c r="AR4652" s="243">
        <v>3.71E11</v>
      </c>
      <c r="AS4652" s="235" t="s">
        <v>29883</v>
      </c>
      <c r="AT4652" s="235" t="s">
        <v>14</v>
      </c>
      <c r="AU4652" s="235" t="s">
        <v>634</v>
      </c>
      <c r="AV4652" s="246" t="s">
        <v>635</v>
      </c>
      <c r="AW4652" s="227"/>
      <c r="AX4652" s="227"/>
      <c r="AY4652" s="227"/>
      <c r="AZ4652" s="227"/>
      <c r="BA4652" s="227"/>
      <c r="BB4652" s="227"/>
      <c r="BC4652" s="227"/>
      <c r="BD4652" s="227"/>
      <c r="BE4652" s="227"/>
      <c r="BF4652" s="227"/>
    </row>
    <row r="4653">
      <c r="A4653" s="235" t="s">
        <v>34453</v>
      </c>
      <c r="C4653" s="235" t="s">
        <v>34454</v>
      </c>
      <c r="D4653" s="235" t="s">
        <v>34455</v>
      </c>
      <c r="E4653" s="243">
        <v>6.5E13</v>
      </c>
      <c r="F4653" s="245"/>
      <c r="G4653" s="235" t="s">
        <v>34456</v>
      </c>
      <c r="H4653" s="235" t="s">
        <v>34457</v>
      </c>
      <c r="I4653" s="235" t="s">
        <v>34457</v>
      </c>
      <c r="J4653" s="235" t="s">
        <v>34458</v>
      </c>
      <c r="K4653" s="235" t="s">
        <v>34459</v>
      </c>
      <c r="N4653" s="235" t="s">
        <v>71</v>
      </c>
      <c r="O4653" s="235" t="s">
        <v>240</v>
      </c>
      <c r="P4653" s="238">
        <v>1.0</v>
      </c>
      <c r="Q4653" s="235" t="s">
        <v>627</v>
      </c>
      <c r="R4653" s="238">
        <v>242.86</v>
      </c>
      <c r="S4653" s="238">
        <v>12.14</v>
      </c>
      <c r="T4653" s="238">
        <v>0.0</v>
      </c>
      <c r="U4653" s="238">
        <v>0.0</v>
      </c>
      <c r="V4653" s="238">
        <v>0.0</v>
      </c>
      <c r="W4653" s="238">
        <v>0.0</v>
      </c>
      <c r="X4653" s="235" t="s">
        <v>628</v>
      </c>
      <c r="Z4653" s="245"/>
      <c r="AA4653" s="245"/>
      <c r="AB4653" s="245"/>
      <c r="AC4653" s="235" t="s">
        <v>822</v>
      </c>
      <c r="AD4653" s="235" t="s">
        <v>630</v>
      </c>
      <c r="AE4653" s="238">
        <v>201301.0</v>
      </c>
      <c r="AF4653" s="235" t="s">
        <v>631</v>
      </c>
      <c r="AG4653" s="245"/>
      <c r="AH4653" s="245"/>
      <c r="AI4653" s="245"/>
      <c r="AJ4653" s="245"/>
      <c r="AK4653" s="245"/>
      <c r="AL4653" s="245"/>
      <c r="AM4653" s="245"/>
      <c r="AN4653" s="245"/>
      <c r="AO4653" s="238">
        <v>0.0</v>
      </c>
      <c r="AP4653" s="238">
        <v>0.0</v>
      </c>
      <c r="AQ4653" s="235" t="s">
        <v>632</v>
      </c>
      <c r="AR4653" s="243">
        <v>1.68E11</v>
      </c>
      <c r="AS4653" s="235" t="s">
        <v>33869</v>
      </c>
      <c r="AT4653" s="235" t="s">
        <v>533</v>
      </c>
      <c r="AU4653" s="235" t="s">
        <v>634</v>
      </c>
      <c r="AV4653" s="246" t="s">
        <v>635</v>
      </c>
      <c r="AW4653" s="227"/>
      <c r="AX4653" s="227"/>
      <c r="AY4653" s="227"/>
      <c r="AZ4653" s="227"/>
      <c r="BA4653" s="227"/>
      <c r="BB4653" s="227"/>
      <c r="BC4653" s="227"/>
      <c r="BD4653" s="227"/>
      <c r="BE4653" s="227"/>
      <c r="BF4653" s="227"/>
    </row>
    <row r="4654">
      <c r="A4654" s="235" t="s">
        <v>34460</v>
      </c>
      <c r="C4654" s="235" t="s">
        <v>34461</v>
      </c>
      <c r="D4654" s="235" t="s">
        <v>34462</v>
      </c>
      <c r="E4654" s="243">
        <v>6.5E13</v>
      </c>
      <c r="F4654" s="245"/>
      <c r="G4654" s="235" t="s">
        <v>34463</v>
      </c>
      <c r="H4654" s="235" t="s">
        <v>34464</v>
      </c>
      <c r="I4654" s="235" t="s">
        <v>34465</v>
      </c>
      <c r="J4654" s="235" t="s">
        <v>34466</v>
      </c>
      <c r="K4654" s="235" t="s">
        <v>34467</v>
      </c>
      <c r="N4654" s="235" t="s">
        <v>541</v>
      </c>
      <c r="O4654" s="235" t="s">
        <v>664</v>
      </c>
      <c r="P4654" s="238">
        <v>1.0</v>
      </c>
      <c r="Q4654" s="235" t="s">
        <v>627</v>
      </c>
      <c r="R4654" s="238">
        <v>659.32</v>
      </c>
      <c r="S4654" s="238">
        <v>116.31</v>
      </c>
      <c r="T4654" s="238">
        <v>0.0</v>
      </c>
      <c r="U4654" s="238">
        <v>0.0</v>
      </c>
      <c r="V4654" s="238">
        <v>0.0</v>
      </c>
      <c r="W4654" s="238">
        <v>0.0</v>
      </c>
      <c r="X4654" s="235" t="s">
        <v>628</v>
      </c>
      <c r="Z4654" s="245"/>
      <c r="AA4654" s="245"/>
      <c r="AB4654" s="245"/>
      <c r="AC4654" s="235" t="s">
        <v>3527</v>
      </c>
      <c r="AD4654" s="235" t="s">
        <v>845</v>
      </c>
      <c r="AE4654" s="238">
        <v>431005.0</v>
      </c>
      <c r="AF4654" s="235" t="s">
        <v>631</v>
      </c>
      <c r="AG4654" s="245"/>
      <c r="AH4654" s="245"/>
      <c r="AI4654" s="245"/>
      <c r="AJ4654" s="245"/>
      <c r="AK4654" s="245"/>
      <c r="AL4654" s="245"/>
      <c r="AM4654" s="245"/>
      <c r="AN4654" s="245"/>
      <c r="AO4654" s="238">
        <v>-13.19</v>
      </c>
      <c r="AP4654" s="238">
        <v>0.0</v>
      </c>
      <c r="AQ4654" s="235" t="s">
        <v>632</v>
      </c>
      <c r="AR4654" s="243">
        <v>1.68E11</v>
      </c>
      <c r="AS4654" s="235" t="s">
        <v>33466</v>
      </c>
      <c r="AT4654" s="235" t="s">
        <v>16</v>
      </c>
      <c r="AU4654" s="235" t="s">
        <v>634</v>
      </c>
      <c r="AV4654" s="246" t="s">
        <v>635</v>
      </c>
      <c r="AW4654" s="227"/>
      <c r="AX4654" s="227"/>
      <c r="AY4654" s="227"/>
      <c r="AZ4654" s="227"/>
      <c r="BA4654" s="227"/>
      <c r="BB4654" s="227"/>
      <c r="BC4654" s="227"/>
      <c r="BD4654" s="227"/>
      <c r="BE4654" s="227"/>
      <c r="BF4654" s="227"/>
    </row>
    <row r="4655">
      <c r="A4655" s="235" t="s">
        <v>34468</v>
      </c>
      <c r="C4655" s="235" t="s">
        <v>34469</v>
      </c>
      <c r="D4655" s="235" t="s">
        <v>34470</v>
      </c>
      <c r="E4655" s="243">
        <v>6.5E13</v>
      </c>
      <c r="F4655" s="245"/>
      <c r="G4655" s="235" t="s">
        <v>34471</v>
      </c>
      <c r="H4655" s="235" t="s">
        <v>34472</v>
      </c>
      <c r="I4655" s="235" t="s">
        <v>34472</v>
      </c>
      <c r="J4655" s="235" t="s">
        <v>34473</v>
      </c>
      <c r="K4655" s="235" t="s">
        <v>34474</v>
      </c>
      <c r="N4655" s="235" t="s">
        <v>3858</v>
      </c>
      <c r="O4655" s="235" t="s">
        <v>3859</v>
      </c>
      <c r="P4655" s="238">
        <v>1.0</v>
      </c>
      <c r="Q4655" s="235" t="s">
        <v>627</v>
      </c>
      <c r="R4655" s="238">
        <v>246.67</v>
      </c>
      <c r="S4655" s="238">
        <v>12.08</v>
      </c>
      <c r="T4655" s="238">
        <v>0.0</v>
      </c>
      <c r="U4655" s="238">
        <v>0.0</v>
      </c>
      <c r="V4655" s="238">
        <v>0.0</v>
      </c>
      <c r="W4655" s="238">
        <v>0.0</v>
      </c>
      <c r="X4655" s="235" t="s">
        <v>628</v>
      </c>
      <c r="Z4655" s="245"/>
      <c r="AA4655" s="245"/>
      <c r="AB4655" s="245"/>
      <c r="AC4655" s="235" t="s">
        <v>814</v>
      </c>
      <c r="AD4655" s="235" t="s">
        <v>698</v>
      </c>
      <c r="AE4655" s="238">
        <v>500094.0</v>
      </c>
      <c r="AF4655" s="235" t="s">
        <v>631</v>
      </c>
      <c r="AG4655" s="245"/>
      <c r="AH4655" s="245"/>
      <c r="AI4655" s="245"/>
      <c r="AJ4655" s="245"/>
      <c r="AK4655" s="245"/>
      <c r="AL4655" s="245"/>
      <c r="AM4655" s="245"/>
      <c r="AN4655" s="245"/>
      <c r="AO4655" s="238">
        <v>-4.93</v>
      </c>
      <c r="AP4655" s="238">
        <v>0.0</v>
      </c>
      <c r="AQ4655" s="235" t="s">
        <v>632</v>
      </c>
      <c r="AR4655" s="243">
        <v>3.71E11</v>
      </c>
      <c r="AS4655" s="235" t="s">
        <v>32455</v>
      </c>
      <c r="AT4655" s="235" t="s">
        <v>17</v>
      </c>
      <c r="AU4655" s="235" t="s">
        <v>634</v>
      </c>
      <c r="AV4655" s="246" t="s">
        <v>635</v>
      </c>
      <c r="AW4655" s="227"/>
      <c r="AX4655" s="227"/>
      <c r="AY4655" s="227"/>
      <c r="AZ4655" s="227"/>
      <c r="BA4655" s="227"/>
      <c r="BB4655" s="227"/>
      <c r="BC4655" s="227"/>
      <c r="BD4655" s="227"/>
      <c r="BE4655" s="227"/>
      <c r="BF4655" s="227"/>
    </row>
    <row r="4656">
      <c r="A4656" s="235" t="s">
        <v>34475</v>
      </c>
      <c r="C4656" s="235" t="s">
        <v>34476</v>
      </c>
      <c r="D4656" s="235" t="s">
        <v>34477</v>
      </c>
      <c r="E4656" s="243">
        <v>6.5E13</v>
      </c>
      <c r="F4656" s="245"/>
      <c r="G4656" s="235" t="s">
        <v>34478</v>
      </c>
      <c r="H4656" s="235" t="s">
        <v>34479</v>
      </c>
      <c r="I4656" s="235" t="s">
        <v>34479</v>
      </c>
      <c r="J4656" s="235" t="s">
        <v>34480</v>
      </c>
      <c r="K4656" s="235" t="s">
        <v>34481</v>
      </c>
      <c r="N4656" s="235" t="s">
        <v>154</v>
      </c>
      <c r="O4656" s="235" t="s">
        <v>766</v>
      </c>
      <c r="P4656" s="238">
        <v>1.0</v>
      </c>
      <c r="Q4656" s="235" t="s">
        <v>627</v>
      </c>
      <c r="R4656" s="238">
        <v>465.71</v>
      </c>
      <c r="S4656" s="238">
        <v>22.82</v>
      </c>
      <c r="T4656" s="238">
        <v>0.0</v>
      </c>
      <c r="U4656" s="238">
        <v>0.0</v>
      </c>
      <c r="V4656" s="238">
        <v>0.0</v>
      </c>
      <c r="W4656" s="238">
        <v>0.0</v>
      </c>
      <c r="X4656" s="235" t="s">
        <v>628</v>
      </c>
      <c r="Z4656" s="245"/>
      <c r="AA4656" s="245"/>
      <c r="AB4656" s="245"/>
      <c r="AC4656" s="235" t="s">
        <v>697</v>
      </c>
      <c r="AD4656" s="235" t="s">
        <v>698</v>
      </c>
      <c r="AE4656" s="238">
        <v>500062.0</v>
      </c>
      <c r="AF4656" s="235" t="s">
        <v>631</v>
      </c>
      <c r="AG4656" s="245"/>
      <c r="AH4656" s="245"/>
      <c r="AI4656" s="245"/>
      <c r="AJ4656" s="245"/>
      <c r="AK4656" s="245"/>
      <c r="AL4656" s="245"/>
      <c r="AM4656" s="245"/>
      <c r="AN4656" s="245"/>
      <c r="AO4656" s="238">
        <v>-9.31</v>
      </c>
      <c r="AP4656" s="238">
        <v>0.0</v>
      </c>
      <c r="AQ4656" s="235" t="s">
        <v>632</v>
      </c>
      <c r="AR4656" s="243">
        <v>1.68E11</v>
      </c>
      <c r="AS4656" s="235" t="s">
        <v>33466</v>
      </c>
      <c r="AT4656" s="235" t="s">
        <v>9</v>
      </c>
      <c r="AU4656" s="235" t="s">
        <v>634</v>
      </c>
      <c r="AV4656" s="246" t="s">
        <v>635</v>
      </c>
      <c r="AW4656" s="227"/>
      <c r="AX4656" s="227"/>
      <c r="AY4656" s="227"/>
      <c r="AZ4656" s="227"/>
      <c r="BA4656" s="227"/>
      <c r="BB4656" s="227"/>
      <c r="BC4656" s="227"/>
      <c r="BD4656" s="227"/>
      <c r="BE4656" s="227"/>
      <c r="BF4656" s="227"/>
    </row>
    <row r="4657">
      <c r="A4657" s="235" t="s">
        <v>34482</v>
      </c>
      <c r="C4657" s="235" t="s">
        <v>34483</v>
      </c>
      <c r="D4657" s="235" t="s">
        <v>34484</v>
      </c>
      <c r="E4657" s="243">
        <v>6.5E13</v>
      </c>
      <c r="F4657" s="245"/>
      <c r="G4657" s="235" t="s">
        <v>34485</v>
      </c>
      <c r="H4657" s="235" t="s">
        <v>34486</v>
      </c>
      <c r="I4657" s="235" t="s">
        <v>34486</v>
      </c>
      <c r="J4657" s="235" t="s">
        <v>34487</v>
      </c>
      <c r="K4657" s="235" t="s">
        <v>34488</v>
      </c>
      <c r="N4657" s="235" t="s">
        <v>1346</v>
      </c>
      <c r="O4657" s="235" t="s">
        <v>1347</v>
      </c>
      <c r="P4657" s="238">
        <v>1.0</v>
      </c>
      <c r="Q4657" s="235" t="s">
        <v>627</v>
      </c>
      <c r="R4657" s="238">
        <v>256.19</v>
      </c>
      <c r="S4657" s="238">
        <v>12.81</v>
      </c>
      <c r="T4657" s="238">
        <v>0.0</v>
      </c>
      <c r="U4657" s="238">
        <v>0.0</v>
      </c>
      <c r="V4657" s="238">
        <v>0.0</v>
      </c>
      <c r="W4657" s="238">
        <v>0.0</v>
      </c>
      <c r="X4657" s="235" t="s">
        <v>628</v>
      </c>
      <c r="Z4657" s="245"/>
      <c r="AA4657" s="245"/>
      <c r="AB4657" s="245"/>
      <c r="AC4657" s="235" t="s">
        <v>4420</v>
      </c>
      <c r="AD4657" s="235" t="s">
        <v>630</v>
      </c>
      <c r="AE4657" s="238">
        <v>208014.0</v>
      </c>
      <c r="AF4657" s="235" t="s">
        <v>631</v>
      </c>
      <c r="AG4657" s="245"/>
      <c r="AH4657" s="245"/>
      <c r="AI4657" s="245"/>
      <c r="AJ4657" s="245"/>
      <c r="AK4657" s="245"/>
      <c r="AL4657" s="245"/>
      <c r="AM4657" s="245"/>
      <c r="AN4657" s="245"/>
      <c r="AO4657" s="238">
        <v>0.0</v>
      </c>
      <c r="AP4657" s="238">
        <v>0.0</v>
      </c>
      <c r="AQ4657" s="235" t="s">
        <v>632</v>
      </c>
      <c r="AR4657" s="243">
        <v>3.71E11</v>
      </c>
      <c r="AS4657" s="235" t="s">
        <v>29883</v>
      </c>
      <c r="AT4657" s="235" t="s">
        <v>16</v>
      </c>
      <c r="AU4657" s="235" t="s">
        <v>634</v>
      </c>
      <c r="AV4657" s="246" t="s">
        <v>635</v>
      </c>
      <c r="AW4657" s="227"/>
      <c r="AX4657" s="227"/>
      <c r="AY4657" s="227"/>
      <c r="AZ4657" s="227"/>
      <c r="BA4657" s="227"/>
      <c r="BB4657" s="227"/>
      <c r="BC4657" s="227"/>
      <c r="BD4657" s="227"/>
      <c r="BE4657" s="227"/>
      <c r="BF4657" s="227"/>
    </row>
    <row r="4658">
      <c r="A4658" s="235" t="s">
        <v>34489</v>
      </c>
      <c r="C4658" s="235" t="s">
        <v>34490</v>
      </c>
      <c r="D4658" s="235" t="s">
        <v>34491</v>
      </c>
      <c r="E4658" s="243">
        <v>6.5E13</v>
      </c>
      <c r="F4658" s="245"/>
      <c r="G4658" s="235" t="s">
        <v>34492</v>
      </c>
      <c r="H4658" s="235" t="s">
        <v>34493</v>
      </c>
      <c r="I4658" s="235" t="s">
        <v>34493</v>
      </c>
      <c r="J4658" s="235" t="s">
        <v>34494</v>
      </c>
      <c r="K4658" s="235" t="s">
        <v>34495</v>
      </c>
      <c r="N4658" s="235" t="s">
        <v>51</v>
      </c>
      <c r="O4658" s="235" t="s">
        <v>273</v>
      </c>
      <c r="P4658" s="238">
        <v>1.0</v>
      </c>
      <c r="Q4658" s="235" t="s">
        <v>627</v>
      </c>
      <c r="R4658" s="238">
        <v>235.24</v>
      </c>
      <c r="S4658" s="238">
        <v>11.76</v>
      </c>
      <c r="T4658" s="238">
        <v>0.0</v>
      </c>
      <c r="U4658" s="238">
        <v>0.0</v>
      </c>
      <c r="V4658" s="238">
        <v>0.0</v>
      </c>
      <c r="W4658" s="238">
        <v>0.0</v>
      </c>
      <c r="X4658" s="235" t="s">
        <v>628</v>
      </c>
      <c r="Z4658" s="245"/>
      <c r="AA4658" s="245"/>
      <c r="AB4658" s="245"/>
      <c r="AC4658" s="235" t="s">
        <v>3374</v>
      </c>
      <c r="AD4658" s="235" t="s">
        <v>645</v>
      </c>
      <c r="AE4658" s="238">
        <v>695005.0</v>
      </c>
      <c r="AF4658" s="235" t="s">
        <v>631</v>
      </c>
      <c r="AG4658" s="245"/>
      <c r="AH4658" s="245"/>
      <c r="AI4658" s="245"/>
      <c r="AJ4658" s="245"/>
      <c r="AK4658" s="245"/>
      <c r="AL4658" s="245"/>
      <c r="AM4658" s="245"/>
      <c r="AN4658" s="245"/>
      <c r="AO4658" s="238">
        <v>0.0</v>
      </c>
      <c r="AP4658" s="238">
        <v>0.0</v>
      </c>
      <c r="AQ4658" s="235" t="s">
        <v>632</v>
      </c>
      <c r="AR4658" s="243">
        <v>2.02E11</v>
      </c>
      <c r="AS4658" s="235" t="s">
        <v>33466</v>
      </c>
      <c r="AT4658" s="235" t="s">
        <v>16</v>
      </c>
      <c r="AU4658" s="235" t="s">
        <v>634</v>
      </c>
      <c r="AV4658" s="246" t="s">
        <v>635</v>
      </c>
      <c r="AW4658" s="227"/>
      <c r="AX4658" s="227"/>
      <c r="AY4658" s="227"/>
      <c r="AZ4658" s="227"/>
      <c r="BA4658" s="227"/>
      <c r="BB4658" s="227"/>
      <c r="BC4658" s="227"/>
      <c r="BD4658" s="227"/>
      <c r="BE4658" s="227"/>
      <c r="BF4658" s="227"/>
    </row>
    <row r="4659">
      <c r="A4659" s="235" t="s">
        <v>34496</v>
      </c>
      <c r="C4659" s="235" t="s">
        <v>34497</v>
      </c>
      <c r="D4659" s="235" t="s">
        <v>34498</v>
      </c>
      <c r="E4659" s="243">
        <v>6.5E13</v>
      </c>
      <c r="F4659" s="245"/>
      <c r="G4659" s="235" t="s">
        <v>34499</v>
      </c>
      <c r="H4659" s="235" t="s">
        <v>34500</v>
      </c>
      <c r="I4659" s="235" t="s">
        <v>34500</v>
      </c>
      <c r="J4659" s="235" t="s">
        <v>34501</v>
      </c>
      <c r="K4659" s="235" t="s">
        <v>34502</v>
      </c>
      <c r="N4659" s="235" t="s">
        <v>40</v>
      </c>
      <c r="O4659" s="235" t="s">
        <v>327</v>
      </c>
      <c r="P4659" s="238">
        <v>1.0</v>
      </c>
      <c r="Q4659" s="235" t="s">
        <v>627</v>
      </c>
      <c r="R4659" s="238">
        <v>237.14</v>
      </c>
      <c r="S4659" s="238">
        <v>11.62</v>
      </c>
      <c r="T4659" s="238">
        <v>38.1</v>
      </c>
      <c r="U4659" s="238">
        <v>1.9</v>
      </c>
      <c r="V4659" s="238">
        <v>0.0</v>
      </c>
      <c r="W4659" s="238">
        <v>0.0</v>
      </c>
      <c r="X4659" s="235" t="s">
        <v>628</v>
      </c>
      <c r="Z4659" s="245"/>
      <c r="AA4659" s="245"/>
      <c r="AB4659" s="245"/>
      <c r="AC4659" s="235" t="s">
        <v>1671</v>
      </c>
      <c r="AD4659" s="235" t="s">
        <v>666</v>
      </c>
      <c r="AE4659" s="238">
        <v>641004.0</v>
      </c>
      <c r="AF4659" s="235" t="s">
        <v>631</v>
      </c>
      <c r="AG4659" s="245"/>
      <c r="AH4659" s="245"/>
      <c r="AI4659" s="245"/>
      <c r="AJ4659" s="245"/>
      <c r="AK4659" s="245"/>
      <c r="AL4659" s="245"/>
      <c r="AM4659" s="245"/>
      <c r="AN4659" s="245"/>
      <c r="AO4659" s="238">
        <v>-4.74</v>
      </c>
      <c r="AP4659" s="238">
        <v>-38.1</v>
      </c>
      <c r="AQ4659" s="235" t="s">
        <v>632</v>
      </c>
      <c r="AR4659" s="243">
        <v>3.71E11</v>
      </c>
      <c r="AS4659" s="235" t="s">
        <v>31232</v>
      </c>
      <c r="AT4659" s="235" t="s">
        <v>16</v>
      </c>
      <c r="AU4659" s="235" t="s">
        <v>634</v>
      </c>
      <c r="AV4659" s="246" t="s">
        <v>635</v>
      </c>
      <c r="AW4659" s="227"/>
      <c r="AX4659" s="227"/>
      <c r="AY4659" s="227"/>
      <c r="AZ4659" s="227"/>
      <c r="BA4659" s="227"/>
      <c r="BB4659" s="227"/>
      <c r="BC4659" s="227"/>
      <c r="BD4659" s="227"/>
      <c r="BE4659" s="227"/>
      <c r="BF4659" s="227"/>
    </row>
    <row r="4660">
      <c r="A4660" s="235" t="s">
        <v>34503</v>
      </c>
      <c r="C4660" s="235" t="s">
        <v>34504</v>
      </c>
      <c r="D4660" s="235" t="s">
        <v>34505</v>
      </c>
      <c r="E4660" s="243">
        <v>6.5E13</v>
      </c>
      <c r="F4660" s="245"/>
      <c r="G4660" s="235" t="s">
        <v>34506</v>
      </c>
      <c r="H4660" s="235" t="s">
        <v>34507</v>
      </c>
      <c r="I4660" s="235" t="s">
        <v>34507</v>
      </c>
      <c r="J4660" s="235" t="s">
        <v>34508</v>
      </c>
      <c r="K4660" s="235" t="s">
        <v>34509</v>
      </c>
      <c r="N4660" s="235" t="s">
        <v>41</v>
      </c>
      <c r="O4660" s="235" t="s">
        <v>291</v>
      </c>
      <c r="P4660" s="238">
        <v>1.0</v>
      </c>
      <c r="Q4660" s="235" t="s">
        <v>627</v>
      </c>
      <c r="R4660" s="238">
        <v>237.14</v>
      </c>
      <c r="S4660" s="238">
        <v>11.86</v>
      </c>
      <c r="T4660" s="238">
        <v>0.0</v>
      </c>
      <c r="U4660" s="238">
        <v>0.0</v>
      </c>
      <c r="V4660" s="238">
        <v>0.0</v>
      </c>
      <c r="W4660" s="238">
        <v>0.0</v>
      </c>
      <c r="X4660" s="235" t="s">
        <v>628</v>
      </c>
      <c r="Z4660" s="245"/>
      <c r="AA4660" s="245"/>
      <c r="AB4660" s="245"/>
      <c r="AC4660" s="235" t="s">
        <v>678</v>
      </c>
      <c r="AD4660" s="235" t="s">
        <v>679</v>
      </c>
      <c r="AE4660" s="238">
        <v>560066.0</v>
      </c>
      <c r="AF4660" s="235" t="s">
        <v>631</v>
      </c>
      <c r="AG4660" s="245"/>
      <c r="AH4660" s="245"/>
      <c r="AI4660" s="245"/>
      <c r="AJ4660" s="245"/>
      <c r="AK4660" s="245"/>
      <c r="AL4660" s="245"/>
      <c r="AM4660" s="245"/>
      <c r="AN4660" s="245"/>
      <c r="AO4660" s="238">
        <v>0.0</v>
      </c>
      <c r="AP4660" s="238">
        <v>0.0</v>
      </c>
      <c r="AQ4660" s="235" t="s">
        <v>632</v>
      </c>
      <c r="AR4660" s="243">
        <v>1.68E11</v>
      </c>
      <c r="AS4660" s="235" t="s">
        <v>34510</v>
      </c>
      <c r="AT4660" s="235" t="s">
        <v>11</v>
      </c>
      <c r="AU4660" s="235" t="s">
        <v>634</v>
      </c>
      <c r="AV4660" s="246" t="s">
        <v>635</v>
      </c>
      <c r="AW4660" s="227"/>
      <c r="AX4660" s="227"/>
      <c r="AY4660" s="227"/>
      <c r="AZ4660" s="227"/>
      <c r="BA4660" s="227"/>
      <c r="BB4660" s="227"/>
      <c r="BC4660" s="227"/>
      <c r="BD4660" s="227"/>
      <c r="BE4660" s="227"/>
      <c r="BF4660" s="227"/>
    </row>
    <row r="4661">
      <c r="A4661" s="235" t="s">
        <v>34511</v>
      </c>
      <c r="C4661" s="235" t="s">
        <v>34512</v>
      </c>
      <c r="D4661" s="235" t="s">
        <v>34513</v>
      </c>
      <c r="E4661" s="243">
        <v>6.5E13</v>
      </c>
      <c r="F4661" s="245"/>
      <c r="G4661" s="235" t="s">
        <v>34514</v>
      </c>
      <c r="H4661" s="235" t="s">
        <v>34515</v>
      </c>
      <c r="I4661" s="235" t="s">
        <v>34515</v>
      </c>
      <c r="J4661" s="235" t="s">
        <v>34516</v>
      </c>
      <c r="K4661" s="235" t="s">
        <v>34517</v>
      </c>
      <c r="N4661" s="235" t="s">
        <v>148</v>
      </c>
      <c r="O4661" s="235" t="s">
        <v>1006</v>
      </c>
      <c r="P4661" s="238">
        <v>1.0</v>
      </c>
      <c r="Q4661" s="235" t="s">
        <v>627</v>
      </c>
      <c r="R4661" s="238">
        <v>281.9</v>
      </c>
      <c r="S4661" s="238">
        <v>14.1</v>
      </c>
      <c r="T4661" s="238">
        <v>0.0</v>
      </c>
      <c r="U4661" s="238">
        <v>0.0</v>
      </c>
      <c r="V4661" s="238">
        <v>0.0</v>
      </c>
      <c r="W4661" s="238">
        <v>0.0</v>
      </c>
      <c r="X4661" s="235" t="s">
        <v>628</v>
      </c>
      <c r="Z4661" s="245"/>
      <c r="AA4661" s="245"/>
      <c r="AB4661" s="245"/>
      <c r="AC4661" s="235" t="s">
        <v>5923</v>
      </c>
      <c r="AD4661" s="235" t="s">
        <v>666</v>
      </c>
      <c r="AE4661" s="238">
        <v>620012.0</v>
      </c>
      <c r="AF4661" s="235" t="s">
        <v>631</v>
      </c>
      <c r="AG4661" s="245"/>
      <c r="AH4661" s="245"/>
      <c r="AI4661" s="245"/>
      <c r="AJ4661" s="245"/>
      <c r="AK4661" s="245"/>
      <c r="AL4661" s="245"/>
      <c r="AM4661" s="245"/>
      <c r="AN4661" s="245"/>
      <c r="AO4661" s="238">
        <v>0.0</v>
      </c>
      <c r="AP4661" s="238">
        <v>0.0</v>
      </c>
      <c r="AQ4661" s="235" t="s">
        <v>632</v>
      </c>
      <c r="AR4661" s="243">
        <v>1.68E11</v>
      </c>
      <c r="AS4661" s="235" t="s">
        <v>33466</v>
      </c>
      <c r="AT4661" s="235" t="s">
        <v>156</v>
      </c>
      <c r="AU4661" s="235" t="s">
        <v>634</v>
      </c>
      <c r="AV4661" s="246" t="s">
        <v>635</v>
      </c>
      <c r="AW4661" s="227"/>
      <c r="AX4661" s="227"/>
      <c r="AY4661" s="227"/>
      <c r="AZ4661" s="227"/>
      <c r="BA4661" s="227"/>
      <c r="BB4661" s="227"/>
      <c r="BC4661" s="227"/>
      <c r="BD4661" s="227"/>
      <c r="BE4661" s="227"/>
      <c r="BF4661" s="227"/>
    </row>
    <row r="4662">
      <c r="A4662" s="235" t="s">
        <v>34518</v>
      </c>
      <c r="C4662" s="235" t="s">
        <v>34519</v>
      </c>
      <c r="D4662" s="235" t="s">
        <v>34520</v>
      </c>
      <c r="E4662" s="243">
        <v>6.5E13</v>
      </c>
      <c r="F4662" s="245"/>
      <c r="G4662" s="235" t="s">
        <v>34521</v>
      </c>
      <c r="H4662" s="235" t="s">
        <v>34522</v>
      </c>
      <c r="I4662" s="235" t="s">
        <v>34522</v>
      </c>
      <c r="J4662" s="235" t="s">
        <v>34523</v>
      </c>
      <c r="K4662" s="235" t="s">
        <v>34524</v>
      </c>
      <c r="N4662" s="235" t="s">
        <v>127</v>
      </c>
      <c r="O4662" s="235" t="s">
        <v>794</v>
      </c>
      <c r="P4662" s="238">
        <v>1.0</v>
      </c>
      <c r="Q4662" s="235" t="s">
        <v>627</v>
      </c>
      <c r="R4662" s="238">
        <v>243.8</v>
      </c>
      <c r="S4662" s="238">
        <v>11.96</v>
      </c>
      <c r="T4662" s="238">
        <v>0.0</v>
      </c>
      <c r="U4662" s="238">
        <v>0.0</v>
      </c>
      <c r="V4662" s="238">
        <v>0.0</v>
      </c>
      <c r="W4662" s="238">
        <v>0.0</v>
      </c>
      <c r="X4662" s="235" t="s">
        <v>628</v>
      </c>
      <c r="Z4662" s="245"/>
      <c r="AA4662" s="245"/>
      <c r="AB4662" s="245"/>
      <c r="AC4662" s="235" t="s">
        <v>687</v>
      </c>
      <c r="AD4662" s="235" t="s">
        <v>666</v>
      </c>
      <c r="AE4662" s="238">
        <v>600044.0</v>
      </c>
      <c r="AF4662" s="235" t="s">
        <v>631</v>
      </c>
      <c r="AG4662" s="245"/>
      <c r="AH4662" s="245"/>
      <c r="AI4662" s="245"/>
      <c r="AJ4662" s="245"/>
      <c r="AK4662" s="245"/>
      <c r="AL4662" s="245"/>
      <c r="AM4662" s="245"/>
      <c r="AN4662" s="245"/>
      <c r="AO4662" s="238">
        <v>-4.88</v>
      </c>
      <c r="AP4662" s="238">
        <v>0.0</v>
      </c>
      <c r="AQ4662" s="235" t="s">
        <v>632</v>
      </c>
      <c r="AR4662" s="243">
        <v>1.68E11</v>
      </c>
      <c r="AS4662" s="235" t="s">
        <v>34510</v>
      </c>
      <c r="AT4662" s="235" t="s">
        <v>156</v>
      </c>
      <c r="AU4662" s="235" t="s">
        <v>634</v>
      </c>
      <c r="AV4662" s="246" t="s">
        <v>635</v>
      </c>
      <c r="AW4662" s="227"/>
      <c r="AX4662" s="227"/>
      <c r="AY4662" s="227"/>
      <c r="AZ4662" s="227"/>
      <c r="BA4662" s="227"/>
      <c r="BB4662" s="227"/>
      <c r="BC4662" s="227"/>
      <c r="BD4662" s="227"/>
      <c r="BE4662" s="227"/>
      <c r="BF4662" s="227"/>
    </row>
    <row r="4663">
      <c r="A4663" s="235" t="s">
        <v>34525</v>
      </c>
      <c r="C4663" s="235" t="s">
        <v>34526</v>
      </c>
      <c r="D4663" s="235" t="s">
        <v>34527</v>
      </c>
      <c r="E4663" s="243">
        <v>6.5E13</v>
      </c>
      <c r="F4663" s="245"/>
      <c r="G4663" s="235" t="s">
        <v>34528</v>
      </c>
      <c r="H4663" s="235" t="s">
        <v>34529</v>
      </c>
      <c r="I4663" s="235" t="s">
        <v>34529</v>
      </c>
      <c r="J4663" s="235" t="s">
        <v>34530</v>
      </c>
      <c r="K4663" s="235" t="s">
        <v>34531</v>
      </c>
      <c r="N4663" s="235" t="s">
        <v>53</v>
      </c>
      <c r="O4663" s="235" t="s">
        <v>512</v>
      </c>
      <c r="P4663" s="238">
        <v>1.0</v>
      </c>
      <c r="Q4663" s="235" t="s">
        <v>627</v>
      </c>
      <c r="R4663" s="238">
        <v>237.14</v>
      </c>
      <c r="S4663" s="238">
        <v>11.86</v>
      </c>
      <c r="T4663" s="238">
        <v>0.0</v>
      </c>
      <c r="U4663" s="238">
        <v>0.0</v>
      </c>
      <c r="V4663" s="238">
        <v>0.0</v>
      </c>
      <c r="W4663" s="238">
        <v>0.0</v>
      </c>
      <c r="X4663" s="235" t="s">
        <v>628</v>
      </c>
      <c r="Z4663" s="245"/>
      <c r="AA4663" s="245"/>
      <c r="AB4663" s="245"/>
      <c r="AC4663" s="235" t="s">
        <v>814</v>
      </c>
      <c r="AD4663" s="235" t="s">
        <v>698</v>
      </c>
      <c r="AE4663" s="238">
        <v>502319.0</v>
      </c>
      <c r="AF4663" s="235" t="s">
        <v>631</v>
      </c>
      <c r="AG4663" s="245"/>
      <c r="AH4663" s="245"/>
      <c r="AI4663" s="245"/>
      <c r="AJ4663" s="245"/>
      <c r="AK4663" s="245"/>
      <c r="AL4663" s="245"/>
      <c r="AM4663" s="245"/>
      <c r="AN4663" s="245"/>
      <c r="AO4663" s="238">
        <v>0.0</v>
      </c>
      <c r="AP4663" s="238">
        <v>0.0</v>
      </c>
      <c r="AQ4663" s="235" t="s">
        <v>632</v>
      </c>
      <c r="AR4663" s="243">
        <v>1.68E11</v>
      </c>
      <c r="AS4663" s="235" t="s">
        <v>33466</v>
      </c>
      <c r="AT4663" s="235" t="s">
        <v>156</v>
      </c>
      <c r="AU4663" s="235" t="s">
        <v>634</v>
      </c>
      <c r="AV4663" s="246" t="s">
        <v>635</v>
      </c>
      <c r="AW4663" s="227"/>
      <c r="AX4663" s="227"/>
      <c r="AY4663" s="227"/>
      <c r="AZ4663" s="227"/>
      <c r="BA4663" s="227"/>
      <c r="BB4663" s="227"/>
      <c r="BC4663" s="227"/>
      <c r="BD4663" s="227"/>
      <c r="BE4663" s="227"/>
      <c r="BF4663" s="227"/>
    </row>
    <row r="4664">
      <c r="A4664" s="235" t="s">
        <v>34532</v>
      </c>
      <c r="C4664" s="235" t="s">
        <v>34533</v>
      </c>
      <c r="D4664" s="235" t="s">
        <v>34534</v>
      </c>
      <c r="E4664" s="243">
        <v>6.5E13</v>
      </c>
      <c r="F4664" s="245"/>
      <c r="G4664" s="235" t="s">
        <v>34535</v>
      </c>
      <c r="H4664" s="235" t="s">
        <v>34536</v>
      </c>
      <c r="I4664" s="235" t="s">
        <v>34537</v>
      </c>
      <c r="J4664" s="235" t="s">
        <v>34538</v>
      </c>
      <c r="K4664" s="235" t="s">
        <v>34539</v>
      </c>
      <c r="N4664" s="235" t="s">
        <v>71</v>
      </c>
      <c r="O4664" s="235" t="s">
        <v>240</v>
      </c>
      <c r="P4664" s="238">
        <v>1.0</v>
      </c>
      <c r="Q4664" s="235" t="s">
        <v>627</v>
      </c>
      <c r="R4664" s="238">
        <v>246.66</v>
      </c>
      <c r="S4664" s="238">
        <v>12.34</v>
      </c>
      <c r="T4664" s="238">
        <v>38.1</v>
      </c>
      <c r="U4664" s="238">
        <v>1.9</v>
      </c>
      <c r="V4664" s="238">
        <v>0.0</v>
      </c>
      <c r="W4664" s="238">
        <v>0.0</v>
      </c>
      <c r="X4664" s="235" t="s">
        <v>628</v>
      </c>
      <c r="Z4664" s="245"/>
      <c r="AA4664" s="245"/>
      <c r="AB4664" s="245"/>
      <c r="AC4664" s="235" t="s">
        <v>21350</v>
      </c>
      <c r="AD4664" s="235" t="s">
        <v>928</v>
      </c>
      <c r="AE4664" s="238">
        <v>136118.0</v>
      </c>
      <c r="AF4664" s="235" t="s">
        <v>631</v>
      </c>
      <c r="AG4664" s="245"/>
      <c r="AH4664" s="245"/>
      <c r="AI4664" s="245"/>
      <c r="AJ4664" s="245"/>
      <c r="AK4664" s="245"/>
      <c r="AL4664" s="245"/>
      <c r="AM4664" s="245"/>
      <c r="AN4664" s="245"/>
      <c r="AO4664" s="238">
        <v>0.0</v>
      </c>
      <c r="AP4664" s="238">
        <v>-38.1</v>
      </c>
      <c r="AQ4664" s="235" t="s">
        <v>632</v>
      </c>
      <c r="AR4664" s="243">
        <v>3.71E11</v>
      </c>
      <c r="AS4664" s="235" t="s">
        <v>32455</v>
      </c>
      <c r="AT4664" s="235" t="s">
        <v>13</v>
      </c>
      <c r="AU4664" s="235" t="s">
        <v>634</v>
      </c>
      <c r="AV4664" s="246" t="s">
        <v>635</v>
      </c>
      <c r="AW4664" s="227"/>
      <c r="AX4664" s="227"/>
      <c r="AY4664" s="227"/>
      <c r="AZ4664" s="227"/>
      <c r="BA4664" s="227"/>
      <c r="BB4664" s="227"/>
      <c r="BC4664" s="227"/>
      <c r="BD4664" s="227"/>
      <c r="BE4664" s="227"/>
      <c r="BF4664" s="227"/>
    </row>
    <row r="4665">
      <c r="A4665" s="235" t="s">
        <v>34540</v>
      </c>
      <c r="C4665" s="235" t="s">
        <v>34541</v>
      </c>
      <c r="D4665" s="235" t="s">
        <v>34542</v>
      </c>
      <c r="E4665" s="243">
        <v>6.5E13</v>
      </c>
      <c r="F4665" s="245"/>
      <c r="G4665" s="235" t="s">
        <v>34543</v>
      </c>
      <c r="H4665" s="235" t="s">
        <v>34544</v>
      </c>
      <c r="I4665" s="235" t="s">
        <v>34544</v>
      </c>
      <c r="J4665" s="235" t="s">
        <v>34545</v>
      </c>
      <c r="K4665" s="235" t="s">
        <v>34546</v>
      </c>
      <c r="N4665" s="235" t="s">
        <v>42</v>
      </c>
      <c r="O4665" s="235" t="s">
        <v>204</v>
      </c>
      <c r="P4665" s="238">
        <v>1.0</v>
      </c>
      <c r="Q4665" s="235" t="s">
        <v>627</v>
      </c>
      <c r="R4665" s="238">
        <v>237.14</v>
      </c>
      <c r="S4665" s="238">
        <v>11.86</v>
      </c>
      <c r="T4665" s="238">
        <v>0.0</v>
      </c>
      <c r="U4665" s="238">
        <v>0.0</v>
      </c>
      <c r="V4665" s="238">
        <v>0.0</v>
      </c>
      <c r="W4665" s="238">
        <v>0.0</v>
      </c>
      <c r="X4665" s="235" t="s">
        <v>628</v>
      </c>
      <c r="Z4665" s="245"/>
      <c r="AA4665" s="245"/>
      <c r="AB4665" s="245"/>
      <c r="AC4665" s="235" t="s">
        <v>687</v>
      </c>
      <c r="AD4665" s="235" t="s">
        <v>666</v>
      </c>
      <c r="AE4665" s="238">
        <v>600056.0</v>
      </c>
      <c r="AF4665" s="235" t="s">
        <v>631</v>
      </c>
      <c r="AG4665" s="245"/>
      <c r="AH4665" s="245"/>
      <c r="AI4665" s="245"/>
      <c r="AJ4665" s="245"/>
      <c r="AK4665" s="245"/>
      <c r="AL4665" s="245"/>
      <c r="AM4665" s="245"/>
      <c r="AN4665" s="245"/>
      <c r="AO4665" s="238">
        <v>0.0</v>
      </c>
      <c r="AP4665" s="238">
        <v>0.0</v>
      </c>
      <c r="AQ4665" s="235" t="s">
        <v>632</v>
      </c>
      <c r="AR4665" s="243">
        <v>1.68E11</v>
      </c>
      <c r="AS4665" s="235" t="s">
        <v>34510</v>
      </c>
      <c r="AT4665" s="235" t="s">
        <v>156</v>
      </c>
      <c r="AU4665" s="235" t="s">
        <v>634</v>
      </c>
      <c r="AV4665" s="246" t="s">
        <v>635</v>
      </c>
      <c r="AW4665" s="227"/>
      <c r="AX4665" s="227"/>
      <c r="AY4665" s="227"/>
      <c r="AZ4665" s="227"/>
      <c r="BA4665" s="227"/>
      <c r="BB4665" s="227"/>
      <c r="BC4665" s="227"/>
      <c r="BD4665" s="227"/>
      <c r="BE4665" s="227"/>
      <c r="BF4665" s="227"/>
    </row>
    <row r="4666">
      <c r="A4666" s="235" t="s">
        <v>34547</v>
      </c>
      <c r="C4666" s="235" t="s">
        <v>34548</v>
      </c>
      <c r="D4666" s="235" t="s">
        <v>34549</v>
      </c>
      <c r="E4666" s="243">
        <v>6.5E13</v>
      </c>
      <c r="F4666" s="245"/>
      <c r="G4666" s="235" t="s">
        <v>34550</v>
      </c>
      <c r="H4666" s="235" t="s">
        <v>34551</v>
      </c>
      <c r="I4666" s="235" t="s">
        <v>34551</v>
      </c>
      <c r="J4666" s="235" t="s">
        <v>34552</v>
      </c>
      <c r="K4666" s="235" t="s">
        <v>34553</v>
      </c>
      <c r="N4666" s="235" t="s">
        <v>41</v>
      </c>
      <c r="O4666" s="235" t="s">
        <v>291</v>
      </c>
      <c r="P4666" s="238">
        <v>1.0</v>
      </c>
      <c r="Q4666" s="235" t="s">
        <v>627</v>
      </c>
      <c r="R4666" s="238">
        <v>237.14</v>
      </c>
      <c r="S4666" s="238">
        <v>11.86</v>
      </c>
      <c r="T4666" s="238">
        <v>0.0</v>
      </c>
      <c r="U4666" s="238">
        <v>0.0</v>
      </c>
      <c r="V4666" s="238">
        <v>0.0</v>
      </c>
      <c r="W4666" s="238">
        <v>0.0</v>
      </c>
      <c r="X4666" s="235" t="s">
        <v>628</v>
      </c>
      <c r="Z4666" s="245"/>
      <c r="AA4666" s="245"/>
      <c r="AB4666" s="245"/>
      <c r="AC4666" s="235" t="s">
        <v>697</v>
      </c>
      <c r="AD4666" s="235" t="s">
        <v>698</v>
      </c>
      <c r="AE4666" s="238">
        <v>500090.0</v>
      </c>
      <c r="AF4666" s="235" t="s">
        <v>631</v>
      </c>
      <c r="AG4666" s="245"/>
      <c r="AH4666" s="245"/>
      <c r="AI4666" s="245"/>
      <c r="AJ4666" s="245"/>
      <c r="AK4666" s="245"/>
      <c r="AL4666" s="245"/>
      <c r="AM4666" s="245"/>
      <c r="AN4666" s="245"/>
      <c r="AO4666" s="238">
        <v>0.0</v>
      </c>
      <c r="AP4666" s="238">
        <v>0.0</v>
      </c>
      <c r="AQ4666" s="235" t="s">
        <v>632</v>
      </c>
      <c r="AR4666" s="243">
        <v>3.71E11</v>
      </c>
      <c r="AS4666" s="235" t="s">
        <v>32455</v>
      </c>
      <c r="AT4666" s="235" t="s">
        <v>156</v>
      </c>
      <c r="AU4666" s="235" t="s">
        <v>634</v>
      </c>
      <c r="AV4666" s="246" t="s">
        <v>635</v>
      </c>
      <c r="AW4666" s="227"/>
      <c r="AX4666" s="227"/>
      <c r="AY4666" s="227"/>
      <c r="AZ4666" s="227"/>
      <c r="BA4666" s="227"/>
      <c r="BB4666" s="227"/>
      <c r="BC4666" s="227"/>
      <c r="BD4666" s="227"/>
      <c r="BE4666" s="227"/>
      <c r="BF4666" s="227"/>
    </row>
    <row r="4667">
      <c r="A4667" s="235" t="s">
        <v>34554</v>
      </c>
      <c r="C4667" s="235" t="s">
        <v>34555</v>
      </c>
      <c r="D4667" s="235" t="s">
        <v>34556</v>
      </c>
      <c r="E4667" s="243">
        <v>6.5E13</v>
      </c>
      <c r="F4667" s="245"/>
      <c r="G4667" s="235" t="s">
        <v>34557</v>
      </c>
      <c r="H4667" s="235" t="s">
        <v>34558</v>
      </c>
      <c r="I4667" s="235" t="s">
        <v>34559</v>
      </c>
      <c r="J4667" s="235" t="s">
        <v>34560</v>
      </c>
      <c r="K4667" s="235" t="s">
        <v>22835</v>
      </c>
      <c r="N4667" s="235" t="s">
        <v>51</v>
      </c>
      <c r="O4667" s="235" t="s">
        <v>273</v>
      </c>
      <c r="P4667" s="238">
        <v>1.0</v>
      </c>
      <c r="Q4667" s="235" t="s">
        <v>627</v>
      </c>
      <c r="R4667" s="238">
        <v>235.24</v>
      </c>
      <c r="S4667" s="238">
        <v>11.76</v>
      </c>
      <c r="T4667" s="238">
        <v>0.0</v>
      </c>
      <c r="U4667" s="238">
        <v>0.0</v>
      </c>
      <c r="V4667" s="238">
        <v>0.0</v>
      </c>
      <c r="W4667" s="238">
        <v>0.0</v>
      </c>
      <c r="X4667" s="235" t="s">
        <v>628</v>
      </c>
      <c r="Z4667" s="245"/>
      <c r="AA4667" s="245"/>
      <c r="AB4667" s="245"/>
      <c r="AC4667" s="235" t="s">
        <v>687</v>
      </c>
      <c r="AD4667" s="235" t="s">
        <v>666</v>
      </c>
      <c r="AE4667" s="238">
        <v>600018.0</v>
      </c>
      <c r="AF4667" s="235" t="s">
        <v>631</v>
      </c>
      <c r="AG4667" s="245"/>
      <c r="AH4667" s="245"/>
      <c r="AI4667" s="245"/>
      <c r="AJ4667" s="245"/>
      <c r="AK4667" s="245"/>
      <c r="AL4667" s="245"/>
      <c r="AM4667" s="245"/>
      <c r="AN4667" s="245"/>
      <c r="AO4667" s="238">
        <v>0.0</v>
      </c>
      <c r="AP4667" s="238">
        <v>0.0</v>
      </c>
      <c r="AQ4667" s="235" t="s">
        <v>632</v>
      </c>
      <c r="AR4667" s="243">
        <v>1.68E11</v>
      </c>
      <c r="AS4667" s="235" t="s">
        <v>34510</v>
      </c>
      <c r="AT4667" s="235" t="s">
        <v>156</v>
      </c>
      <c r="AU4667" s="235" t="s">
        <v>634</v>
      </c>
      <c r="AV4667" s="246" t="s">
        <v>635</v>
      </c>
      <c r="AW4667" s="227"/>
      <c r="AX4667" s="227"/>
      <c r="AY4667" s="227"/>
      <c r="AZ4667" s="227"/>
      <c r="BA4667" s="227"/>
      <c r="BB4667" s="227"/>
      <c r="BC4667" s="227"/>
      <c r="BD4667" s="227"/>
      <c r="BE4667" s="227"/>
      <c r="BF4667" s="227"/>
    </row>
    <row r="4668">
      <c r="A4668" s="235" t="s">
        <v>34561</v>
      </c>
      <c r="C4668" s="235" t="s">
        <v>34562</v>
      </c>
      <c r="D4668" s="235" t="s">
        <v>34563</v>
      </c>
      <c r="E4668" s="243">
        <v>6.5E13</v>
      </c>
      <c r="F4668" s="245"/>
      <c r="G4668" s="235" t="s">
        <v>34564</v>
      </c>
      <c r="H4668" s="235" t="s">
        <v>34565</v>
      </c>
      <c r="I4668" s="235" t="s">
        <v>34565</v>
      </c>
      <c r="J4668" s="235" t="s">
        <v>34566</v>
      </c>
      <c r="K4668" s="235" t="s">
        <v>34567</v>
      </c>
      <c r="N4668" s="235" t="s">
        <v>43</v>
      </c>
      <c r="O4668" s="235" t="s">
        <v>276</v>
      </c>
      <c r="P4668" s="238">
        <v>1.0</v>
      </c>
      <c r="Q4668" s="235" t="s">
        <v>627</v>
      </c>
      <c r="R4668" s="238">
        <v>235.24</v>
      </c>
      <c r="S4668" s="238">
        <v>11.76</v>
      </c>
      <c r="T4668" s="238">
        <v>0.0</v>
      </c>
      <c r="U4668" s="238">
        <v>0.0</v>
      </c>
      <c r="V4668" s="238">
        <v>0.0</v>
      </c>
      <c r="W4668" s="238">
        <v>0.0</v>
      </c>
      <c r="X4668" s="235" t="s">
        <v>628</v>
      </c>
      <c r="Z4668" s="245"/>
      <c r="AA4668" s="245"/>
      <c r="AB4668" s="245"/>
      <c r="AC4668" s="235" t="s">
        <v>1320</v>
      </c>
      <c r="AD4668" s="235" t="s">
        <v>666</v>
      </c>
      <c r="AE4668" s="238">
        <v>600083.0</v>
      </c>
      <c r="AF4668" s="235" t="s">
        <v>631</v>
      </c>
      <c r="AG4668" s="245"/>
      <c r="AH4668" s="245"/>
      <c r="AI4668" s="245"/>
      <c r="AJ4668" s="245"/>
      <c r="AK4668" s="245"/>
      <c r="AL4668" s="245"/>
      <c r="AM4668" s="245"/>
      <c r="AN4668" s="245"/>
      <c r="AO4668" s="238">
        <v>0.0</v>
      </c>
      <c r="AP4668" s="238">
        <v>0.0</v>
      </c>
      <c r="AQ4668" s="235" t="s">
        <v>632</v>
      </c>
      <c r="AR4668" s="243">
        <v>1.68E11</v>
      </c>
      <c r="AS4668" s="235" t="s">
        <v>34510</v>
      </c>
      <c r="AT4668" s="235" t="s">
        <v>156</v>
      </c>
      <c r="AU4668" s="235" t="s">
        <v>634</v>
      </c>
      <c r="AV4668" s="246" t="s">
        <v>635</v>
      </c>
      <c r="AW4668" s="227"/>
      <c r="AX4668" s="227"/>
      <c r="AY4668" s="227"/>
      <c r="AZ4668" s="227"/>
      <c r="BA4668" s="227"/>
      <c r="BB4668" s="227"/>
      <c r="BC4668" s="227"/>
      <c r="BD4668" s="227"/>
      <c r="BE4668" s="227"/>
      <c r="BF4668" s="227"/>
    </row>
    <row r="4669">
      <c r="A4669" s="235" t="s">
        <v>34568</v>
      </c>
      <c r="C4669" s="235" t="s">
        <v>34569</v>
      </c>
      <c r="D4669" s="235" t="s">
        <v>34570</v>
      </c>
      <c r="E4669" s="243">
        <v>6.5E13</v>
      </c>
      <c r="F4669" s="245"/>
      <c r="G4669" s="235" t="s">
        <v>34571</v>
      </c>
      <c r="H4669" s="235" t="s">
        <v>34572</v>
      </c>
      <c r="I4669" s="235" t="s">
        <v>34572</v>
      </c>
      <c r="J4669" s="235" t="s">
        <v>34573</v>
      </c>
      <c r="K4669" s="235" t="s">
        <v>34574</v>
      </c>
      <c r="N4669" s="235" t="s">
        <v>154</v>
      </c>
      <c r="O4669" s="235" t="s">
        <v>766</v>
      </c>
      <c r="P4669" s="238">
        <v>1.0</v>
      </c>
      <c r="Q4669" s="235" t="s">
        <v>627</v>
      </c>
      <c r="R4669" s="238">
        <v>465.72</v>
      </c>
      <c r="S4669" s="238">
        <v>23.28</v>
      </c>
      <c r="T4669" s="238">
        <v>38.1</v>
      </c>
      <c r="U4669" s="238">
        <v>1.9</v>
      </c>
      <c r="V4669" s="238">
        <v>0.0</v>
      </c>
      <c r="W4669" s="238">
        <v>0.0</v>
      </c>
      <c r="X4669" s="235" t="s">
        <v>628</v>
      </c>
      <c r="Z4669" s="245"/>
      <c r="AA4669" s="245"/>
      <c r="AB4669" s="245"/>
      <c r="AC4669" s="235" t="s">
        <v>1255</v>
      </c>
      <c r="AD4669" s="235" t="s">
        <v>845</v>
      </c>
      <c r="AE4669" s="238">
        <v>400607.0</v>
      </c>
      <c r="AF4669" s="235" t="s">
        <v>631</v>
      </c>
      <c r="AG4669" s="245"/>
      <c r="AH4669" s="245"/>
      <c r="AI4669" s="245"/>
      <c r="AJ4669" s="245"/>
      <c r="AK4669" s="245"/>
      <c r="AL4669" s="245"/>
      <c r="AM4669" s="245"/>
      <c r="AN4669" s="245"/>
      <c r="AO4669" s="238">
        <v>0.0</v>
      </c>
      <c r="AP4669" s="238">
        <v>-38.1</v>
      </c>
      <c r="AQ4669" s="235" t="s">
        <v>632</v>
      </c>
      <c r="AR4669" s="243">
        <v>3.71E11</v>
      </c>
      <c r="AS4669" s="235" t="s">
        <v>33466</v>
      </c>
      <c r="AT4669" s="235" t="s">
        <v>16</v>
      </c>
      <c r="AU4669" s="235" t="s">
        <v>634</v>
      </c>
      <c r="AV4669" s="246" t="s">
        <v>635</v>
      </c>
      <c r="AW4669" s="227"/>
      <c r="AX4669" s="227"/>
      <c r="AY4669" s="227"/>
      <c r="AZ4669" s="227"/>
      <c r="BA4669" s="227"/>
      <c r="BB4669" s="227"/>
      <c r="BC4669" s="227"/>
      <c r="BD4669" s="227"/>
      <c r="BE4669" s="227"/>
      <c r="BF4669" s="227"/>
    </row>
    <row r="4670">
      <c r="A4670" s="235" t="s">
        <v>34575</v>
      </c>
      <c r="C4670" s="235" t="s">
        <v>34576</v>
      </c>
      <c r="D4670" s="235" t="s">
        <v>34577</v>
      </c>
      <c r="E4670" s="243">
        <v>6.49E13</v>
      </c>
      <c r="F4670" s="245"/>
      <c r="G4670" s="235" t="s">
        <v>34578</v>
      </c>
      <c r="H4670" s="235" t="s">
        <v>34579</v>
      </c>
      <c r="I4670" s="235" t="s">
        <v>34579</v>
      </c>
      <c r="J4670" s="235" t="s">
        <v>34580</v>
      </c>
      <c r="K4670" s="235" t="s">
        <v>34581</v>
      </c>
      <c r="N4670" s="235" t="s">
        <v>138</v>
      </c>
      <c r="O4670" s="235" t="s">
        <v>675</v>
      </c>
      <c r="P4670" s="238">
        <v>1.0</v>
      </c>
      <c r="Q4670" s="235" t="s">
        <v>627</v>
      </c>
      <c r="R4670" s="238">
        <v>244.76</v>
      </c>
      <c r="S4670" s="238">
        <v>12.24</v>
      </c>
      <c r="T4670" s="238">
        <v>38.1</v>
      </c>
      <c r="U4670" s="238">
        <v>1.9</v>
      </c>
      <c r="V4670" s="238">
        <v>0.0</v>
      </c>
      <c r="W4670" s="238">
        <v>0.0</v>
      </c>
      <c r="X4670" s="235" t="s">
        <v>628</v>
      </c>
      <c r="Z4670" s="245"/>
      <c r="AA4670" s="245"/>
      <c r="AB4670" s="245"/>
      <c r="AC4670" s="235" t="s">
        <v>34582</v>
      </c>
      <c r="AD4670" s="235" t="s">
        <v>698</v>
      </c>
      <c r="AE4670" s="238">
        <v>508285.0</v>
      </c>
      <c r="AF4670" s="235" t="s">
        <v>631</v>
      </c>
      <c r="AG4670" s="245"/>
      <c r="AH4670" s="245"/>
      <c r="AI4670" s="245"/>
      <c r="AJ4670" s="245"/>
      <c r="AK4670" s="245"/>
      <c r="AL4670" s="245"/>
      <c r="AM4670" s="245"/>
      <c r="AN4670" s="245"/>
      <c r="AO4670" s="238">
        <v>0.0</v>
      </c>
      <c r="AP4670" s="238">
        <v>-38.1</v>
      </c>
      <c r="AQ4670" s="235" t="s">
        <v>1328</v>
      </c>
      <c r="AR4670" s="243">
        <v>1.34E13</v>
      </c>
      <c r="AS4670" s="235" t="s">
        <v>28482</v>
      </c>
      <c r="AT4670" s="235" t="s">
        <v>156</v>
      </c>
      <c r="AU4670" s="235" t="s">
        <v>634</v>
      </c>
      <c r="AV4670" s="246" t="s">
        <v>635</v>
      </c>
      <c r="AW4670" s="227"/>
      <c r="AX4670" s="227"/>
      <c r="AY4670" s="227"/>
      <c r="AZ4670" s="227"/>
      <c r="BA4670" s="227"/>
      <c r="BB4670" s="227"/>
      <c r="BC4670" s="227"/>
      <c r="BD4670" s="227"/>
      <c r="BE4670" s="227"/>
      <c r="BF4670" s="227"/>
    </row>
    <row r="4671">
      <c r="A4671" s="235" t="s">
        <v>34583</v>
      </c>
      <c r="C4671" s="235" t="s">
        <v>34584</v>
      </c>
      <c r="D4671" s="235" t="s">
        <v>34585</v>
      </c>
      <c r="E4671" s="243">
        <v>6.5E13</v>
      </c>
      <c r="F4671" s="245"/>
      <c r="G4671" s="235" t="s">
        <v>34586</v>
      </c>
      <c r="H4671" s="235" t="s">
        <v>34587</v>
      </c>
      <c r="I4671" s="235" t="s">
        <v>34587</v>
      </c>
      <c r="J4671" s="235" t="s">
        <v>34588</v>
      </c>
      <c r="K4671" s="235" t="s">
        <v>34589</v>
      </c>
      <c r="N4671" s="235" t="s">
        <v>1346</v>
      </c>
      <c r="O4671" s="235" t="s">
        <v>1347</v>
      </c>
      <c r="P4671" s="238">
        <v>1.0</v>
      </c>
      <c r="Q4671" s="235" t="s">
        <v>627</v>
      </c>
      <c r="R4671" s="238">
        <v>256.2</v>
      </c>
      <c r="S4671" s="238">
        <v>12.8</v>
      </c>
      <c r="T4671" s="238">
        <v>38.1</v>
      </c>
      <c r="U4671" s="238">
        <v>1.9</v>
      </c>
      <c r="V4671" s="238">
        <v>0.0</v>
      </c>
      <c r="W4671" s="238">
        <v>0.0</v>
      </c>
      <c r="X4671" s="235" t="s">
        <v>628</v>
      </c>
      <c r="Z4671" s="245"/>
      <c r="AA4671" s="245"/>
      <c r="AB4671" s="245"/>
      <c r="AC4671" s="235" t="s">
        <v>1671</v>
      </c>
      <c r="AD4671" s="235" t="s">
        <v>666</v>
      </c>
      <c r="AE4671" s="238">
        <v>641005.0</v>
      </c>
      <c r="AF4671" s="235" t="s">
        <v>631</v>
      </c>
      <c r="AG4671" s="245"/>
      <c r="AH4671" s="245"/>
      <c r="AI4671" s="245"/>
      <c r="AJ4671" s="245"/>
      <c r="AK4671" s="245"/>
      <c r="AL4671" s="245"/>
      <c r="AM4671" s="245"/>
      <c r="AN4671" s="245"/>
      <c r="AO4671" s="238">
        <v>0.0</v>
      </c>
      <c r="AP4671" s="238">
        <v>-38.1</v>
      </c>
      <c r="AQ4671" s="235" t="s">
        <v>632</v>
      </c>
      <c r="AR4671" s="243">
        <v>3.71E11</v>
      </c>
      <c r="AS4671" s="235" t="s">
        <v>33466</v>
      </c>
      <c r="AT4671" s="235" t="s">
        <v>155</v>
      </c>
      <c r="AU4671" s="235" t="s">
        <v>634</v>
      </c>
      <c r="AV4671" s="246" t="s">
        <v>635</v>
      </c>
      <c r="AW4671" s="227"/>
      <c r="AX4671" s="227"/>
      <c r="AY4671" s="227"/>
      <c r="AZ4671" s="227"/>
      <c r="BA4671" s="227"/>
      <c r="BB4671" s="227"/>
      <c r="BC4671" s="227"/>
      <c r="BD4671" s="227"/>
      <c r="BE4671" s="227"/>
      <c r="BF4671" s="227"/>
    </row>
    <row r="4672">
      <c r="A4672" s="235" t="s">
        <v>34590</v>
      </c>
      <c r="C4672" s="235" t="s">
        <v>34591</v>
      </c>
      <c r="D4672" s="235" t="s">
        <v>34592</v>
      </c>
      <c r="E4672" s="243">
        <v>6.5E13</v>
      </c>
      <c r="F4672" s="245"/>
      <c r="G4672" s="235" t="s">
        <v>34593</v>
      </c>
      <c r="H4672" s="235" t="s">
        <v>34594</v>
      </c>
      <c r="I4672" s="235" t="s">
        <v>34594</v>
      </c>
      <c r="J4672" s="235" t="s">
        <v>34595</v>
      </c>
      <c r="K4672" s="235" t="s">
        <v>34596</v>
      </c>
      <c r="N4672" s="235" t="s">
        <v>85</v>
      </c>
      <c r="O4672" s="235" t="s">
        <v>872</v>
      </c>
      <c r="P4672" s="238">
        <v>1.0</v>
      </c>
      <c r="Q4672" s="235" t="s">
        <v>627</v>
      </c>
      <c r="R4672" s="238">
        <v>243.81</v>
      </c>
      <c r="S4672" s="238">
        <v>12.19</v>
      </c>
      <c r="T4672" s="238">
        <v>56.19</v>
      </c>
      <c r="U4672" s="238">
        <v>2.81</v>
      </c>
      <c r="V4672" s="238">
        <v>0.0</v>
      </c>
      <c r="W4672" s="238">
        <v>0.0</v>
      </c>
      <c r="X4672" s="235" t="s">
        <v>628</v>
      </c>
      <c r="Z4672" s="245"/>
      <c r="AA4672" s="245"/>
      <c r="AB4672" s="245"/>
      <c r="AC4672" s="235" t="s">
        <v>5369</v>
      </c>
      <c r="AD4672" s="235" t="s">
        <v>854</v>
      </c>
      <c r="AE4672" s="238">
        <v>403511.0</v>
      </c>
      <c r="AF4672" s="235" t="s">
        <v>631</v>
      </c>
      <c r="AG4672" s="245"/>
      <c r="AH4672" s="245"/>
      <c r="AI4672" s="245"/>
      <c r="AJ4672" s="245"/>
      <c r="AK4672" s="245"/>
      <c r="AL4672" s="245"/>
      <c r="AM4672" s="245"/>
      <c r="AN4672" s="245"/>
      <c r="AO4672" s="238">
        <v>0.0</v>
      </c>
      <c r="AP4672" s="238">
        <v>-56.19</v>
      </c>
      <c r="AQ4672" s="235" t="s">
        <v>632</v>
      </c>
      <c r="AR4672" s="243">
        <v>1.68E11</v>
      </c>
      <c r="AS4672" s="235" t="s">
        <v>33466</v>
      </c>
      <c r="AT4672" s="235" t="s">
        <v>546</v>
      </c>
      <c r="AU4672" s="235" t="s">
        <v>634</v>
      </c>
      <c r="AV4672" s="246" t="s">
        <v>635</v>
      </c>
      <c r="AW4672" s="227"/>
      <c r="AX4672" s="227"/>
      <c r="AY4672" s="227"/>
      <c r="AZ4672" s="227"/>
      <c r="BA4672" s="227"/>
      <c r="BB4672" s="227"/>
      <c r="BC4672" s="227"/>
      <c r="BD4672" s="227"/>
      <c r="BE4672" s="227"/>
      <c r="BF4672" s="227"/>
    </row>
    <row r="4673">
      <c r="A4673" s="235" t="s">
        <v>34597</v>
      </c>
      <c r="C4673" s="235" t="s">
        <v>34598</v>
      </c>
      <c r="D4673" s="235" t="s">
        <v>34599</v>
      </c>
      <c r="E4673" s="243">
        <v>6.5E13</v>
      </c>
      <c r="F4673" s="245"/>
      <c r="G4673" s="235" t="s">
        <v>34600</v>
      </c>
      <c r="H4673" s="235" t="s">
        <v>34601</v>
      </c>
      <c r="I4673" s="235" t="s">
        <v>34601</v>
      </c>
      <c r="J4673" s="235" t="s">
        <v>34602</v>
      </c>
      <c r="K4673" s="235" t="s">
        <v>34603</v>
      </c>
      <c r="N4673" s="235" t="s">
        <v>127</v>
      </c>
      <c r="O4673" s="235" t="s">
        <v>794</v>
      </c>
      <c r="P4673" s="238">
        <v>1.0</v>
      </c>
      <c r="Q4673" s="235" t="s">
        <v>627</v>
      </c>
      <c r="R4673" s="238">
        <v>243.81</v>
      </c>
      <c r="S4673" s="238">
        <v>11.95</v>
      </c>
      <c r="T4673" s="238">
        <v>38.1</v>
      </c>
      <c r="U4673" s="238">
        <v>1.9</v>
      </c>
      <c r="V4673" s="238">
        <v>0.0</v>
      </c>
      <c r="W4673" s="238">
        <v>0.0</v>
      </c>
      <c r="X4673" s="235" t="s">
        <v>628</v>
      </c>
      <c r="Z4673" s="245"/>
      <c r="AA4673" s="245"/>
      <c r="AB4673" s="245"/>
      <c r="AC4673" s="235" t="s">
        <v>9521</v>
      </c>
      <c r="AD4673" s="235" t="s">
        <v>1077</v>
      </c>
      <c r="AE4673" s="238">
        <v>395002.0</v>
      </c>
      <c r="AF4673" s="235" t="s">
        <v>631</v>
      </c>
      <c r="AG4673" s="245"/>
      <c r="AH4673" s="245"/>
      <c r="AI4673" s="245"/>
      <c r="AJ4673" s="245"/>
      <c r="AK4673" s="245"/>
      <c r="AL4673" s="245"/>
      <c r="AM4673" s="245"/>
      <c r="AN4673" s="245"/>
      <c r="AO4673" s="238">
        <v>-4.88</v>
      </c>
      <c r="AP4673" s="238">
        <v>-38.1</v>
      </c>
      <c r="AQ4673" s="235" t="s">
        <v>632</v>
      </c>
      <c r="AR4673" s="243">
        <v>3.71E11</v>
      </c>
      <c r="AS4673" s="235" t="s">
        <v>32455</v>
      </c>
      <c r="AT4673" s="235" t="s">
        <v>17</v>
      </c>
      <c r="AU4673" s="235" t="s">
        <v>634</v>
      </c>
      <c r="AV4673" s="246" t="s">
        <v>635</v>
      </c>
      <c r="AW4673" s="227"/>
      <c r="AX4673" s="227"/>
      <c r="AY4673" s="227"/>
      <c r="AZ4673" s="227"/>
      <c r="BA4673" s="227"/>
      <c r="BB4673" s="227"/>
      <c r="BC4673" s="227"/>
      <c r="BD4673" s="227"/>
      <c r="BE4673" s="227"/>
      <c r="BF4673" s="227"/>
    </row>
    <row r="4674">
      <c r="A4674" s="235" t="s">
        <v>34604</v>
      </c>
      <c r="C4674" s="235" t="s">
        <v>34605</v>
      </c>
      <c r="D4674" s="235" t="s">
        <v>34606</v>
      </c>
      <c r="E4674" s="243">
        <v>6.5E13</v>
      </c>
      <c r="F4674" s="245"/>
      <c r="G4674" s="235" t="s">
        <v>34607</v>
      </c>
      <c r="H4674" s="235" t="s">
        <v>34608</v>
      </c>
      <c r="I4674" s="235" t="s">
        <v>34608</v>
      </c>
      <c r="J4674" s="235" t="s">
        <v>34609</v>
      </c>
      <c r="K4674" s="235" t="s">
        <v>34610</v>
      </c>
      <c r="N4674" s="235" t="s">
        <v>42</v>
      </c>
      <c r="O4674" s="235" t="s">
        <v>204</v>
      </c>
      <c r="P4674" s="238">
        <v>1.0</v>
      </c>
      <c r="Q4674" s="235" t="s">
        <v>627</v>
      </c>
      <c r="R4674" s="238">
        <v>237.14</v>
      </c>
      <c r="S4674" s="238">
        <v>11.86</v>
      </c>
      <c r="T4674" s="238">
        <v>38.1</v>
      </c>
      <c r="U4674" s="238">
        <v>1.9</v>
      </c>
      <c r="V4674" s="238">
        <v>0.0</v>
      </c>
      <c r="W4674" s="238">
        <v>0.0</v>
      </c>
      <c r="X4674" s="235" t="s">
        <v>628</v>
      </c>
      <c r="Z4674" s="245"/>
      <c r="AA4674" s="245"/>
      <c r="AB4674" s="245"/>
      <c r="AC4674" s="235" t="s">
        <v>687</v>
      </c>
      <c r="AD4674" s="235" t="s">
        <v>666</v>
      </c>
      <c r="AE4674" s="238">
        <v>600061.0</v>
      </c>
      <c r="AF4674" s="235" t="s">
        <v>631</v>
      </c>
      <c r="AG4674" s="245"/>
      <c r="AH4674" s="245"/>
      <c r="AI4674" s="245"/>
      <c r="AJ4674" s="245"/>
      <c r="AK4674" s="245"/>
      <c r="AL4674" s="245"/>
      <c r="AM4674" s="245"/>
      <c r="AN4674" s="245"/>
      <c r="AO4674" s="238">
        <v>0.0</v>
      </c>
      <c r="AP4674" s="238">
        <v>-38.1</v>
      </c>
      <c r="AQ4674" s="235" t="s">
        <v>632</v>
      </c>
      <c r="AR4674" s="243">
        <v>3.71E11</v>
      </c>
      <c r="AS4674" s="235" t="s">
        <v>33466</v>
      </c>
      <c r="AT4674" s="235" t="s">
        <v>156</v>
      </c>
      <c r="AU4674" s="235" t="s">
        <v>634</v>
      </c>
      <c r="AV4674" s="246" t="s">
        <v>635</v>
      </c>
      <c r="AW4674" s="227"/>
      <c r="AX4674" s="227"/>
      <c r="AY4674" s="227"/>
      <c r="AZ4674" s="227"/>
      <c r="BA4674" s="227"/>
      <c r="BB4674" s="227"/>
      <c r="BC4674" s="227"/>
      <c r="BD4674" s="227"/>
      <c r="BE4674" s="227"/>
      <c r="BF4674" s="227"/>
    </row>
    <row r="4675">
      <c r="A4675" s="235" t="s">
        <v>34611</v>
      </c>
      <c r="C4675" s="235" t="s">
        <v>34612</v>
      </c>
      <c r="D4675" s="235" t="s">
        <v>34613</v>
      </c>
      <c r="E4675" s="243">
        <v>6.5E13</v>
      </c>
      <c r="F4675" s="245"/>
      <c r="G4675" s="235" t="s">
        <v>34614</v>
      </c>
      <c r="H4675" s="235" t="s">
        <v>34615</v>
      </c>
      <c r="I4675" s="235" t="s">
        <v>34615</v>
      </c>
      <c r="J4675" s="235" t="s">
        <v>34616</v>
      </c>
      <c r="K4675" s="235" t="s">
        <v>34617</v>
      </c>
      <c r="N4675" s="235" t="s">
        <v>51</v>
      </c>
      <c r="O4675" s="235" t="s">
        <v>273</v>
      </c>
      <c r="P4675" s="238">
        <v>1.0</v>
      </c>
      <c r="Q4675" s="235" t="s">
        <v>627</v>
      </c>
      <c r="R4675" s="238">
        <v>235.24</v>
      </c>
      <c r="S4675" s="238">
        <v>11.76</v>
      </c>
      <c r="T4675" s="238">
        <v>0.0</v>
      </c>
      <c r="U4675" s="238">
        <v>0.0</v>
      </c>
      <c r="V4675" s="238">
        <v>0.0</v>
      </c>
      <c r="W4675" s="238">
        <v>0.0</v>
      </c>
      <c r="X4675" s="235" t="s">
        <v>628</v>
      </c>
      <c r="Z4675" s="245"/>
      <c r="AA4675" s="245"/>
      <c r="AB4675" s="245"/>
      <c r="AC4675" s="235" t="s">
        <v>697</v>
      </c>
      <c r="AD4675" s="235" t="s">
        <v>698</v>
      </c>
      <c r="AE4675" s="238">
        <v>502032.0</v>
      </c>
      <c r="AF4675" s="235" t="s">
        <v>631</v>
      </c>
      <c r="AG4675" s="245"/>
      <c r="AH4675" s="245"/>
      <c r="AI4675" s="245"/>
      <c r="AJ4675" s="245"/>
      <c r="AK4675" s="245"/>
      <c r="AL4675" s="245"/>
      <c r="AM4675" s="245"/>
      <c r="AN4675" s="245"/>
      <c r="AO4675" s="238">
        <v>0.0</v>
      </c>
      <c r="AP4675" s="238">
        <v>0.0</v>
      </c>
      <c r="AQ4675" s="235" t="s">
        <v>632</v>
      </c>
      <c r="AR4675" s="243">
        <v>1.68E11</v>
      </c>
      <c r="AS4675" s="235" t="s">
        <v>33466</v>
      </c>
      <c r="AT4675" s="235" t="s">
        <v>156</v>
      </c>
      <c r="AU4675" s="235" t="s">
        <v>634</v>
      </c>
      <c r="AV4675" s="246" t="s">
        <v>635</v>
      </c>
      <c r="AW4675" s="227"/>
      <c r="AX4675" s="227"/>
      <c r="AY4675" s="227"/>
      <c r="AZ4675" s="227"/>
      <c r="BA4675" s="227"/>
      <c r="BB4675" s="227"/>
      <c r="BC4675" s="227"/>
      <c r="BD4675" s="227"/>
      <c r="BE4675" s="227"/>
      <c r="BF4675" s="227"/>
    </row>
    <row r="4676">
      <c r="A4676" s="235" t="s">
        <v>34618</v>
      </c>
      <c r="C4676" s="235" t="s">
        <v>34619</v>
      </c>
      <c r="D4676" s="235" t="s">
        <v>34620</v>
      </c>
      <c r="E4676" s="243">
        <v>6.5E13</v>
      </c>
      <c r="F4676" s="245"/>
      <c r="G4676" s="235" t="s">
        <v>34621</v>
      </c>
      <c r="H4676" s="235" t="s">
        <v>34622</v>
      </c>
      <c r="I4676" s="235" t="s">
        <v>34623</v>
      </c>
      <c r="J4676" s="235" t="s">
        <v>34624</v>
      </c>
      <c r="K4676" s="235" t="s">
        <v>34625</v>
      </c>
      <c r="N4676" s="235" t="s">
        <v>42</v>
      </c>
      <c r="O4676" s="235" t="s">
        <v>204</v>
      </c>
      <c r="P4676" s="238">
        <v>1.0</v>
      </c>
      <c r="Q4676" s="235" t="s">
        <v>627</v>
      </c>
      <c r="R4676" s="238">
        <v>237.14</v>
      </c>
      <c r="S4676" s="238">
        <v>11.86</v>
      </c>
      <c r="T4676" s="238">
        <v>0.0</v>
      </c>
      <c r="U4676" s="238">
        <v>0.0</v>
      </c>
      <c r="V4676" s="238">
        <v>0.0</v>
      </c>
      <c r="W4676" s="238">
        <v>0.0</v>
      </c>
      <c r="X4676" s="235" t="s">
        <v>628</v>
      </c>
      <c r="Z4676" s="245"/>
      <c r="AA4676" s="245"/>
      <c r="AB4676" s="245"/>
      <c r="AC4676" s="235" t="s">
        <v>1671</v>
      </c>
      <c r="AD4676" s="235" t="s">
        <v>666</v>
      </c>
      <c r="AE4676" s="238">
        <v>641037.0</v>
      </c>
      <c r="AF4676" s="235" t="s">
        <v>631</v>
      </c>
      <c r="AG4676" s="245"/>
      <c r="AH4676" s="245"/>
      <c r="AI4676" s="245"/>
      <c r="AJ4676" s="245"/>
      <c r="AK4676" s="245"/>
      <c r="AL4676" s="245"/>
      <c r="AM4676" s="245"/>
      <c r="AN4676" s="245"/>
      <c r="AO4676" s="238">
        <v>0.0</v>
      </c>
      <c r="AP4676" s="238">
        <v>0.0</v>
      </c>
      <c r="AQ4676" s="235" t="s">
        <v>632</v>
      </c>
      <c r="AR4676" s="243">
        <v>1.68E11</v>
      </c>
      <c r="AS4676" s="235" t="s">
        <v>34510</v>
      </c>
      <c r="AT4676" s="235" t="s">
        <v>155</v>
      </c>
      <c r="AU4676" s="235" t="s">
        <v>634</v>
      </c>
      <c r="AV4676" s="246" t="s">
        <v>635</v>
      </c>
      <c r="AW4676" s="227"/>
      <c r="AX4676" s="227"/>
      <c r="AY4676" s="227"/>
      <c r="AZ4676" s="227"/>
      <c r="BA4676" s="227"/>
      <c r="BB4676" s="227"/>
      <c r="BC4676" s="227"/>
      <c r="BD4676" s="227"/>
      <c r="BE4676" s="227"/>
      <c r="BF4676" s="227"/>
    </row>
    <row r="4677">
      <c r="A4677" s="235" t="s">
        <v>34626</v>
      </c>
      <c r="C4677" s="235" t="s">
        <v>34627</v>
      </c>
      <c r="D4677" s="235" t="s">
        <v>34628</v>
      </c>
      <c r="E4677" s="243">
        <v>6.5E13</v>
      </c>
      <c r="F4677" s="245"/>
      <c r="G4677" s="235" t="s">
        <v>34629</v>
      </c>
      <c r="H4677" s="235" t="s">
        <v>34630</v>
      </c>
      <c r="I4677" s="235" t="s">
        <v>34630</v>
      </c>
      <c r="J4677" s="235" t="s">
        <v>34631</v>
      </c>
      <c r="K4677" s="235" t="s">
        <v>34632</v>
      </c>
      <c r="N4677" s="235" t="s">
        <v>71</v>
      </c>
      <c r="O4677" s="235" t="s">
        <v>240</v>
      </c>
      <c r="P4677" s="238">
        <v>1.0</v>
      </c>
      <c r="Q4677" s="235" t="s">
        <v>627</v>
      </c>
      <c r="R4677" s="238">
        <v>246.66</v>
      </c>
      <c r="S4677" s="238">
        <v>12.1</v>
      </c>
      <c r="T4677" s="238">
        <v>0.0</v>
      </c>
      <c r="U4677" s="238">
        <v>0.0</v>
      </c>
      <c r="V4677" s="238">
        <v>0.0</v>
      </c>
      <c r="W4677" s="238">
        <v>0.0</v>
      </c>
      <c r="X4677" s="235" t="s">
        <v>628</v>
      </c>
      <c r="Z4677" s="245"/>
      <c r="AA4677" s="245"/>
      <c r="AB4677" s="245"/>
      <c r="AC4677" s="235" t="s">
        <v>687</v>
      </c>
      <c r="AD4677" s="235" t="s">
        <v>666</v>
      </c>
      <c r="AE4677" s="238">
        <v>600042.0</v>
      </c>
      <c r="AF4677" s="235" t="s">
        <v>631</v>
      </c>
      <c r="AG4677" s="245"/>
      <c r="AH4677" s="245"/>
      <c r="AI4677" s="245"/>
      <c r="AJ4677" s="245"/>
      <c r="AK4677" s="245"/>
      <c r="AL4677" s="245"/>
      <c r="AM4677" s="245"/>
      <c r="AN4677" s="245"/>
      <c r="AO4677" s="238">
        <v>-4.94</v>
      </c>
      <c r="AP4677" s="238">
        <v>0.0</v>
      </c>
      <c r="AQ4677" s="235" t="s">
        <v>632</v>
      </c>
      <c r="AR4677" s="243">
        <v>1.68E11</v>
      </c>
      <c r="AS4677" s="235" t="s">
        <v>34510</v>
      </c>
      <c r="AT4677" s="235" t="s">
        <v>156</v>
      </c>
      <c r="AU4677" s="235" t="s">
        <v>634</v>
      </c>
      <c r="AV4677" s="246" t="s">
        <v>635</v>
      </c>
      <c r="AW4677" s="227"/>
      <c r="AX4677" s="227"/>
      <c r="AY4677" s="227"/>
      <c r="AZ4677" s="227"/>
      <c r="BA4677" s="227"/>
      <c r="BB4677" s="227"/>
      <c r="BC4677" s="227"/>
      <c r="BD4677" s="227"/>
      <c r="BE4677" s="227"/>
      <c r="BF4677" s="227"/>
    </row>
    <row r="4678">
      <c r="A4678" s="235" t="s">
        <v>34633</v>
      </c>
      <c r="C4678" s="235" t="s">
        <v>34634</v>
      </c>
      <c r="D4678" s="235" t="s">
        <v>34635</v>
      </c>
      <c r="E4678" s="243">
        <v>6.5E13</v>
      </c>
      <c r="F4678" s="245"/>
      <c r="G4678" s="235" t="s">
        <v>34636</v>
      </c>
      <c r="H4678" s="235" t="s">
        <v>34637</v>
      </c>
      <c r="I4678" s="235" t="s">
        <v>34637</v>
      </c>
      <c r="J4678" s="235" t="s">
        <v>34638</v>
      </c>
      <c r="K4678" s="235" t="s">
        <v>34639</v>
      </c>
      <c r="N4678" s="235" t="s">
        <v>127</v>
      </c>
      <c r="O4678" s="235" t="s">
        <v>794</v>
      </c>
      <c r="P4678" s="238">
        <v>1.0</v>
      </c>
      <c r="Q4678" s="235" t="s">
        <v>627</v>
      </c>
      <c r="R4678" s="238">
        <v>243.81</v>
      </c>
      <c r="S4678" s="238">
        <v>11.95</v>
      </c>
      <c r="T4678" s="238">
        <v>0.0</v>
      </c>
      <c r="U4678" s="238">
        <v>0.0</v>
      </c>
      <c r="V4678" s="238">
        <v>0.0</v>
      </c>
      <c r="W4678" s="238">
        <v>0.0</v>
      </c>
      <c r="X4678" s="235" t="s">
        <v>628</v>
      </c>
      <c r="Z4678" s="245"/>
      <c r="AA4678" s="245"/>
      <c r="AB4678" s="245"/>
      <c r="AC4678" s="235" t="s">
        <v>1058</v>
      </c>
      <c r="AD4678" s="235" t="s">
        <v>845</v>
      </c>
      <c r="AE4678" s="238">
        <v>400002.0</v>
      </c>
      <c r="AF4678" s="235" t="s">
        <v>631</v>
      </c>
      <c r="AG4678" s="245"/>
      <c r="AH4678" s="245"/>
      <c r="AI4678" s="245"/>
      <c r="AJ4678" s="245"/>
      <c r="AK4678" s="245"/>
      <c r="AL4678" s="245"/>
      <c r="AM4678" s="245"/>
      <c r="AN4678" s="245"/>
      <c r="AO4678" s="238">
        <v>-4.88</v>
      </c>
      <c r="AP4678" s="238">
        <v>0.0</v>
      </c>
      <c r="AQ4678" s="235" t="s">
        <v>632</v>
      </c>
      <c r="AR4678" s="243">
        <v>2.02E11</v>
      </c>
      <c r="AS4678" s="235" t="s">
        <v>33466</v>
      </c>
      <c r="AT4678" s="235" t="s">
        <v>5</v>
      </c>
      <c r="AU4678" s="235" t="s">
        <v>634</v>
      </c>
      <c r="AV4678" s="246" t="s">
        <v>635</v>
      </c>
      <c r="AW4678" s="227"/>
      <c r="AX4678" s="227"/>
      <c r="AY4678" s="227"/>
      <c r="AZ4678" s="227"/>
      <c r="BA4678" s="227"/>
      <c r="BB4678" s="227"/>
      <c r="BC4678" s="227"/>
      <c r="BD4678" s="227"/>
      <c r="BE4678" s="227"/>
      <c r="BF4678" s="227"/>
    </row>
    <row r="4679">
      <c r="A4679" s="235" t="s">
        <v>34640</v>
      </c>
      <c r="C4679" s="235" t="s">
        <v>34641</v>
      </c>
      <c r="D4679" s="235" t="s">
        <v>34642</v>
      </c>
      <c r="E4679" s="243">
        <v>6.5E13</v>
      </c>
      <c r="F4679" s="245"/>
      <c r="G4679" s="235" t="s">
        <v>34643</v>
      </c>
      <c r="H4679" s="235" t="s">
        <v>34644</v>
      </c>
      <c r="I4679" s="235" t="s">
        <v>34644</v>
      </c>
      <c r="J4679" s="235" t="s">
        <v>34645</v>
      </c>
      <c r="K4679" s="235" t="s">
        <v>34646</v>
      </c>
      <c r="N4679" s="235" t="s">
        <v>127</v>
      </c>
      <c r="O4679" s="235" t="s">
        <v>794</v>
      </c>
      <c r="P4679" s="238">
        <v>1.0</v>
      </c>
      <c r="Q4679" s="235" t="s">
        <v>627</v>
      </c>
      <c r="R4679" s="238">
        <v>243.81</v>
      </c>
      <c r="S4679" s="238">
        <v>12.19</v>
      </c>
      <c r="T4679" s="238">
        <v>0.0</v>
      </c>
      <c r="U4679" s="238">
        <v>0.0</v>
      </c>
      <c r="V4679" s="238">
        <v>0.0</v>
      </c>
      <c r="W4679" s="238">
        <v>0.0</v>
      </c>
      <c r="X4679" s="235" t="s">
        <v>628</v>
      </c>
      <c r="Z4679" s="245"/>
      <c r="AA4679" s="245"/>
      <c r="AB4679" s="245"/>
      <c r="AC4679" s="235" t="s">
        <v>2325</v>
      </c>
      <c r="AD4679" s="235" t="s">
        <v>645</v>
      </c>
      <c r="AE4679" s="238">
        <v>682028.0</v>
      </c>
      <c r="AF4679" s="235" t="s">
        <v>631</v>
      </c>
      <c r="AG4679" s="245"/>
      <c r="AH4679" s="245"/>
      <c r="AI4679" s="245"/>
      <c r="AJ4679" s="245"/>
      <c r="AK4679" s="245"/>
      <c r="AL4679" s="245"/>
      <c r="AM4679" s="245"/>
      <c r="AN4679" s="245"/>
      <c r="AO4679" s="238">
        <v>0.0</v>
      </c>
      <c r="AP4679" s="238">
        <v>0.0</v>
      </c>
      <c r="AQ4679" s="235" t="s">
        <v>632</v>
      </c>
      <c r="AR4679" s="243">
        <v>3.71E11</v>
      </c>
      <c r="AS4679" s="235" t="s">
        <v>32455</v>
      </c>
      <c r="AT4679" s="235" t="s">
        <v>11</v>
      </c>
      <c r="AU4679" s="235" t="s">
        <v>634</v>
      </c>
      <c r="AV4679" s="246" t="s">
        <v>635</v>
      </c>
      <c r="AW4679" s="227"/>
      <c r="AX4679" s="227"/>
      <c r="AY4679" s="227"/>
      <c r="AZ4679" s="227"/>
      <c r="BA4679" s="227"/>
      <c r="BB4679" s="227"/>
      <c r="BC4679" s="227"/>
      <c r="BD4679" s="227"/>
      <c r="BE4679" s="227"/>
      <c r="BF4679" s="227"/>
    </row>
    <row r="4680">
      <c r="A4680" s="235" t="s">
        <v>34647</v>
      </c>
      <c r="C4680" s="235" t="s">
        <v>34648</v>
      </c>
      <c r="D4680" s="235" t="s">
        <v>34649</v>
      </c>
      <c r="E4680" s="243">
        <v>6.5E13</v>
      </c>
      <c r="F4680" s="245"/>
      <c r="G4680" s="235" t="s">
        <v>34650</v>
      </c>
      <c r="H4680" s="235" t="s">
        <v>34651</v>
      </c>
      <c r="I4680" s="235" t="s">
        <v>34652</v>
      </c>
      <c r="J4680" s="235" t="s">
        <v>34653</v>
      </c>
      <c r="K4680" s="235" t="s">
        <v>34654</v>
      </c>
      <c r="N4680" s="235" t="s">
        <v>55</v>
      </c>
      <c r="O4680" s="235" t="s">
        <v>244</v>
      </c>
      <c r="P4680" s="238">
        <v>1.0</v>
      </c>
      <c r="Q4680" s="235" t="s">
        <v>627</v>
      </c>
      <c r="R4680" s="238">
        <v>246.67</v>
      </c>
      <c r="S4680" s="238">
        <v>12.08</v>
      </c>
      <c r="T4680" s="238">
        <v>38.1</v>
      </c>
      <c r="U4680" s="238">
        <v>1.9</v>
      </c>
      <c r="V4680" s="238">
        <v>0.0</v>
      </c>
      <c r="W4680" s="238">
        <v>0.0</v>
      </c>
      <c r="X4680" s="235" t="s">
        <v>628</v>
      </c>
      <c r="Z4680" s="245"/>
      <c r="AA4680" s="245"/>
      <c r="AB4680" s="245"/>
      <c r="AC4680" s="235" t="s">
        <v>795</v>
      </c>
      <c r="AD4680" s="235" t="s">
        <v>796</v>
      </c>
      <c r="AE4680" s="238">
        <v>110094.0</v>
      </c>
      <c r="AF4680" s="235" t="s">
        <v>631</v>
      </c>
      <c r="AG4680" s="245"/>
      <c r="AH4680" s="245"/>
      <c r="AI4680" s="245"/>
      <c r="AJ4680" s="245"/>
      <c r="AK4680" s="245"/>
      <c r="AL4680" s="245"/>
      <c r="AM4680" s="245"/>
      <c r="AN4680" s="245"/>
      <c r="AO4680" s="238">
        <v>-4.93</v>
      </c>
      <c r="AP4680" s="238">
        <v>-38.1</v>
      </c>
      <c r="AQ4680" s="235" t="s">
        <v>632</v>
      </c>
      <c r="AR4680" s="243">
        <v>2.02E11</v>
      </c>
      <c r="AS4680" s="235" t="s">
        <v>33466</v>
      </c>
      <c r="AT4680" s="235" t="s">
        <v>9</v>
      </c>
      <c r="AU4680" s="235" t="s">
        <v>634</v>
      </c>
      <c r="AV4680" s="246" t="s">
        <v>635</v>
      </c>
      <c r="AW4680" s="227"/>
      <c r="AX4680" s="227"/>
      <c r="AY4680" s="227"/>
      <c r="AZ4680" s="227"/>
      <c r="BA4680" s="227"/>
      <c r="BB4680" s="227"/>
      <c r="BC4680" s="227"/>
      <c r="BD4680" s="227"/>
      <c r="BE4680" s="227"/>
      <c r="BF4680" s="227"/>
    </row>
    <row r="4681">
      <c r="A4681" s="235" t="s">
        <v>34655</v>
      </c>
      <c r="C4681" s="235" t="s">
        <v>34656</v>
      </c>
      <c r="D4681" s="235" t="s">
        <v>34657</v>
      </c>
      <c r="E4681" s="243">
        <v>6.49E13</v>
      </c>
      <c r="F4681" s="245"/>
      <c r="G4681" s="235" t="s">
        <v>34658</v>
      </c>
      <c r="H4681" s="235" t="s">
        <v>34659</v>
      </c>
      <c r="I4681" s="235" t="s">
        <v>34659</v>
      </c>
      <c r="J4681" s="235" t="s">
        <v>34660</v>
      </c>
      <c r="K4681" s="235" t="s">
        <v>34661</v>
      </c>
      <c r="N4681" s="235" t="s">
        <v>50</v>
      </c>
      <c r="O4681" s="235" t="s">
        <v>367</v>
      </c>
      <c r="P4681" s="238">
        <v>1.0</v>
      </c>
      <c r="Q4681" s="235" t="s">
        <v>627</v>
      </c>
      <c r="R4681" s="238">
        <v>234.29</v>
      </c>
      <c r="S4681" s="238">
        <v>11.48</v>
      </c>
      <c r="T4681" s="238">
        <v>38.1</v>
      </c>
      <c r="U4681" s="238">
        <v>1.9</v>
      </c>
      <c r="V4681" s="238">
        <v>0.0</v>
      </c>
      <c r="W4681" s="238">
        <v>0.0</v>
      </c>
      <c r="X4681" s="235" t="s">
        <v>628</v>
      </c>
      <c r="Z4681" s="245"/>
      <c r="AA4681" s="245"/>
      <c r="AB4681" s="245"/>
      <c r="AC4681" s="235" t="s">
        <v>1887</v>
      </c>
      <c r="AD4681" s="235" t="s">
        <v>679</v>
      </c>
      <c r="AE4681" s="238">
        <v>560092.0</v>
      </c>
      <c r="AF4681" s="235" t="s">
        <v>631</v>
      </c>
      <c r="AG4681" s="245"/>
      <c r="AH4681" s="245"/>
      <c r="AI4681" s="245"/>
      <c r="AJ4681" s="245"/>
      <c r="AK4681" s="245"/>
      <c r="AL4681" s="245"/>
      <c r="AM4681" s="245"/>
      <c r="AN4681" s="245"/>
      <c r="AO4681" s="238">
        <v>-4.69</v>
      </c>
      <c r="AP4681" s="238">
        <v>-38.1</v>
      </c>
      <c r="AQ4681" s="235" t="s">
        <v>632</v>
      </c>
      <c r="AR4681" s="243">
        <v>3.71E11</v>
      </c>
      <c r="AS4681" s="235" t="s">
        <v>32455</v>
      </c>
      <c r="AT4681" s="235" t="s">
        <v>155</v>
      </c>
      <c r="AU4681" s="235" t="s">
        <v>634</v>
      </c>
      <c r="AV4681" s="246" t="s">
        <v>635</v>
      </c>
      <c r="AW4681" s="227"/>
      <c r="AX4681" s="227"/>
      <c r="AY4681" s="227"/>
      <c r="AZ4681" s="227"/>
      <c r="BA4681" s="227"/>
      <c r="BB4681" s="227"/>
      <c r="BC4681" s="227"/>
      <c r="BD4681" s="227"/>
      <c r="BE4681" s="227"/>
      <c r="BF4681" s="227"/>
    </row>
    <row r="4682">
      <c r="A4682" s="235" t="s">
        <v>34662</v>
      </c>
      <c r="C4682" s="235" t="s">
        <v>34663</v>
      </c>
      <c r="D4682" s="235" t="s">
        <v>34664</v>
      </c>
      <c r="E4682" s="243">
        <v>6.5E13</v>
      </c>
      <c r="F4682" s="245"/>
      <c r="G4682" s="235" t="s">
        <v>34665</v>
      </c>
      <c r="H4682" s="235" t="s">
        <v>34666</v>
      </c>
      <c r="I4682" s="235" t="s">
        <v>34666</v>
      </c>
      <c r="J4682" s="235" t="s">
        <v>34667</v>
      </c>
      <c r="K4682" s="235" t="s">
        <v>34668</v>
      </c>
      <c r="N4682" s="235" t="s">
        <v>136</v>
      </c>
      <c r="O4682" s="235" t="s">
        <v>256</v>
      </c>
      <c r="P4682" s="238">
        <v>1.0</v>
      </c>
      <c r="Q4682" s="235" t="s">
        <v>627</v>
      </c>
      <c r="R4682" s="238">
        <v>244.76</v>
      </c>
      <c r="S4682" s="238">
        <v>12.0</v>
      </c>
      <c r="T4682" s="238">
        <v>0.0</v>
      </c>
      <c r="U4682" s="238">
        <v>0.0</v>
      </c>
      <c r="V4682" s="238">
        <v>0.0</v>
      </c>
      <c r="W4682" s="238">
        <v>0.0</v>
      </c>
      <c r="X4682" s="235" t="s">
        <v>628</v>
      </c>
      <c r="Z4682" s="245"/>
      <c r="AA4682" s="245"/>
      <c r="AB4682" s="245"/>
      <c r="AC4682" s="235" t="s">
        <v>844</v>
      </c>
      <c r="AD4682" s="235" t="s">
        <v>845</v>
      </c>
      <c r="AE4682" s="238">
        <v>411028.0</v>
      </c>
      <c r="AF4682" s="235" t="s">
        <v>631</v>
      </c>
      <c r="AG4682" s="245"/>
      <c r="AH4682" s="245"/>
      <c r="AI4682" s="245"/>
      <c r="AJ4682" s="245"/>
      <c r="AK4682" s="245"/>
      <c r="AL4682" s="245"/>
      <c r="AM4682" s="245"/>
      <c r="AN4682" s="245"/>
      <c r="AO4682" s="238">
        <v>-4.9</v>
      </c>
      <c r="AP4682" s="238">
        <v>0.0</v>
      </c>
      <c r="AQ4682" s="235" t="s">
        <v>632</v>
      </c>
      <c r="AR4682" s="243">
        <v>1.68E11</v>
      </c>
      <c r="AS4682" s="235" t="s">
        <v>34510</v>
      </c>
      <c r="AT4682" s="235" t="s">
        <v>546</v>
      </c>
      <c r="AU4682" s="235" t="s">
        <v>634</v>
      </c>
      <c r="AV4682" s="246" t="s">
        <v>635</v>
      </c>
      <c r="AW4682" s="227"/>
      <c r="AX4682" s="227"/>
      <c r="AY4682" s="227"/>
      <c r="AZ4682" s="227"/>
      <c r="BA4682" s="227"/>
      <c r="BB4682" s="227"/>
      <c r="BC4682" s="227"/>
      <c r="BD4682" s="227"/>
      <c r="BE4682" s="227"/>
      <c r="BF4682" s="227"/>
    </row>
    <row r="4683">
      <c r="A4683" s="235" t="s">
        <v>34669</v>
      </c>
      <c r="C4683" s="235" t="s">
        <v>34670</v>
      </c>
      <c r="D4683" s="235" t="s">
        <v>34671</v>
      </c>
      <c r="E4683" s="243">
        <v>6.49E13</v>
      </c>
      <c r="F4683" s="245"/>
      <c r="G4683" s="235" t="s">
        <v>34672</v>
      </c>
      <c r="H4683" s="235" t="s">
        <v>34673</v>
      </c>
      <c r="I4683" s="235" t="s">
        <v>34673</v>
      </c>
      <c r="J4683" s="235" t="s">
        <v>34674</v>
      </c>
      <c r="K4683" s="235" t="s">
        <v>34675</v>
      </c>
      <c r="N4683" s="235" t="s">
        <v>55</v>
      </c>
      <c r="O4683" s="235" t="s">
        <v>244</v>
      </c>
      <c r="P4683" s="238">
        <v>1.0</v>
      </c>
      <c r="Q4683" s="235" t="s">
        <v>627</v>
      </c>
      <c r="R4683" s="238">
        <v>246.66</v>
      </c>
      <c r="S4683" s="238">
        <v>11.97</v>
      </c>
      <c r="T4683" s="238">
        <v>38.1</v>
      </c>
      <c r="U4683" s="238">
        <v>1.9</v>
      </c>
      <c r="V4683" s="238">
        <v>0.0</v>
      </c>
      <c r="W4683" s="238">
        <v>0.0</v>
      </c>
      <c r="X4683" s="235" t="s">
        <v>628</v>
      </c>
      <c r="Z4683" s="245"/>
      <c r="AA4683" s="245"/>
      <c r="AB4683" s="245"/>
      <c r="AC4683" s="235" t="s">
        <v>687</v>
      </c>
      <c r="AD4683" s="235" t="s">
        <v>666</v>
      </c>
      <c r="AE4683" s="238">
        <v>600002.0</v>
      </c>
      <c r="AF4683" s="235" t="s">
        <v>631</v>
      </c>
      <c r="AG4683" s="245"/>
      <c r="AH4683" s="245"/>
      <c r="AI4683" s="245"/>
      <c r="AJ4683" s="245"/>
      <c r="AK4683" s="245"/>
      <c r="AL4683" s="245"/>
      <c r="AM4683" s="245"/>
      <c r="AN4683" s="245"/>
      <c r="AO4683" s="238">
        <v>-7.4</v>
      </c>
      <c r="AP4683" s="238">
        <v>-38.1</v>
      </c>
      <c r="AQ4683" s="235" t="s">
        <v>632</v>
      </c>
      <c r="AR4683" s="243">
        <v>3.71E11</v>
      </c>
      <c r="AS4683" s="235" t="s">
        <v>33466</v>
      </c>
      <c r="AT4683" s="235" t="s">
        <v>156</v>
      </c>
      <c r="AU4683" s="235" t="s">
        <v>634</v>
      </c>
      <c r="AV4683" s="246" t="s">
        <v>635</v>
      </c>
      <c r="AW4683" s="227"/>
      <c r="AX4683" s="227"/>
      <c r="AY4683" s="227"/>
      <c r="AZ4683" s="227"/>
      <c r="BA4683" s="227"/>
      <c r="BB4683" s="227"/>
      <c r="BC4683" s="227"/>
      <c r="BD4683" s="227"/>
      <c r="BE4683" s="227"/>
      <c r="BF4683" s="227"/>
    </row>
    <row r="4684">
      <c r="A4684" s="235" t="s">
        <v>34669</v>
      </c>
      <c r="C4684" s="235" t="s">
        <v>34670</v>
      </c>
      <c r="D4684" s="235" t="s">
        <v>34676</v>
      </c>
      <c r="E4684" s="243">
        <v>6.49E13</v>
      </c>
      <c r="F4684" s="245"/>
      <c r="G4684" s="235" t="s">
        <v>34672</v>
      </c>
      <c r="H4684" s="235" t="s">
        <v>34673</v>
      </c>
      <c r="I4684" s="235" t="s">
        <v>34673</v>
      </c>
      <c r="J4684" s="235" t="s">
        <v>34674</v>
      </c>
      <c r="K4684" s="235" t="s">
        <v>34675</v>
      </c>
      <c r="N4684" s="235" t="s">
        <v>55</v>
      </c>
      <c r="O4684" s="235" t="s">
        <v>244</v>
      </c>
      <c r="P4684" s="238">
        <v>1.0</v>
      </c>
      <c r="Q4684" s="235" t="s">
        <v>627</v>
      </c>
      <c r="R4684" s="238">
        <v>246.66</v>
      </c>
      <c r="S4684" s="238">
        <v>11.97</v>
      </c>
      <c r="T4684" s="238">
        <v>38.1</v>
      </c>
      <c r="U4684" s="238">
        <v>1.9</v>
      </c>
      <c r="V4684" s="238">
        <v>0.0</v>
      </c>
      <c r="W4684" s="238">
        <v>0.0</v>
      </c>
      <c r="X4684" s="235" t="s">
        <v>628</v>
      </c>
      <c r="Z4684" s="245"/>
      <c r="AA4684" s="245"/>
      <c r="AB4684" s="245"/>
      <c r="AC4684" s="235" t="s">
        <v>687</v>
      </c>
      <c r="AD4684" s="235" t="s">
        <v>666</v>
      </c>
      <c r="AE4684" s="238">
        <v>600002.0</v>
      </c>
      <c r="AF4684" s="235" t="s">
        <v>631</v>
      </c>
      <c r="AG4684" s="245"/>
      <c r="AH4684" s="245"/>
      <c r="AI4684" s="245"/>
      <c r="AJ4684" s="245"/>
      <c r="AK4684" s="245"/>
      <c r="AL4684" s="245"/>
      <c r="AM4684" s="245"/>
      <c r="AN4684" s="245"/>
      <c r="AO4684" s="238">
        <v>-7.4</v>
      </c>
      <c r="AP4684" s="238">
        <v>-38.1</v>
      </c>
      <c r="AQ4684" s="235" t="s">
        <v>632</v>
      </c>
      <c r="AR4684" s="243">
        <v>3.71E11</v>
      </c>
      <c r="AS4684" s="235" t="s">
        <v>33466</v>
      </c>
      <c r="AT4684" s="235" t="s">
        <v>156</v>
      </c>
      <c r="AU4684" s="235" t="s">
        <v>634</v>
      </c>
      <c r="AV4684" s="246" t="s">
        <v>635</v>
      </c>
      <c r="AW4684" s="227"/>
      <c r="AX4684" s="227"/>
      <c r="AY4684" s="227"/>
      <c r="AZ4684" s="227"/>
      <c r="BA4684" s="227"/>
      <c r="BB4684" s="227"/>
      <c r="BC4684" s="227"/>
      <c r="BD4684" s="227"/>
      <c r="BE4684" s="227"/>
      <c r="BF4684" s="227"/>
    </row>
    <row r="4685">
      <c r="A4685" s="235" t="s">
        <v>34669</v>
      </c>
      <c r="C4685" s="235" t="s">
        <v>34670</v>
      </c>
      <c r="D4685" s="235" t="s">
        <v>34677</v>
      </c>
      <c r="E4685" s="243">
        <v>6.49E13</v>
      </c>
      <c r="F4685" s="245"/>
      <c r="G4685" s="235" t="s">
        <v>34672</v>
      </c>
      <c r="H4685" s="235" t="s">
        <v>34673</v>
      </c>
      <c r="I4685" s="235" t="s">
        <v>34673</v>
      </c>
      <c r="J4685" s="235" t="s">
        <v>34674</v>
      </c>
      <c r="K4685" s="235" t="s">
        <v>34675</v>
      </c>
      <c r="N4685" s="235" t="s">
        <v>55</v>
      </c>
      <c r="O4685" s="235" t="s">
        <v>244</v>
      </c>
      <c r="P4685" s="238">
        <v>1.0</v>
      </c>
      <c r="Q4685" s="235" t="s">
        <v>627</v>
      </c>
      <c r="R4685" s="238">
        <v>246.66</v>
      </c>
      <c r="S4685" s="238">
        <v>11.97</v>
      </c>
      <c r="T4685" s="238">
        <v>38.1</v>
      </c>
      <c r="U4685" s="238">
        <v>1.9</v>
      </c>
      <c r="V4685" s="238">
        <v>0.0</v>
      </c>
      <c r="W4685" s="238">
        <v>0.0</v>
      </c>
      <c r="X4685" s="235" t="s">
        <v>628</v>
      </c>
      <c r="Z4685" s="245"/>
      <c r="AA4685" s="245"/>
      <c r="AB4685" s="245"/>
      <c r="AC4685" s="235" t="s">
        <v>687</v>
      </c>
      <c r="AD4685" s="235" t="s">
        <v>666</v>
      </c>
      <c r="AE4685" s="238">
        <v>600002.0</v>
      </c>
      <c r="AF4685" s="235" t="s">
        <v>631</v>
      </c>
      <c r="AG4685" s="245"/>
      <c r="AH4685" s="245"/>
      <c r="AI4685" s="245"/>
      <c r="AJ4685" s="245"/>
      <c r="AK4685" s="245"/>
      <c r="AL4685" s="245"/>
      <c r="AM4685" s="245"/>
      <c r="AN4685" s="245"/>
      <c r="AO4685" s="238">
        <v>-7.4</v>
      </c>
      <c r="AP4685" s="238">
        <v>-38.1</v>
      </c>
      <c r="AQ4685" s="235" t="s">
        <v>632</v>
      </c>
      <c r="AR4685" s="243">
        <v>3.71E11</v>
      </c>
      <c r="AS4685" s="235" t="s">
        <v>33466</v>
      </c>
      <c r="AT4685" s="235" t="s">
        <v>156</v>
      </c>
      <c r="AU4685" s="235" t="s">
        <v>634</v>
      </c>
      <c r="AV4685" s="246" t="s">
        <v>635</v>
      </c>
      <c r="AW4685" s="227"/>
      <c r="AX4685" s="227"/>
      <c r="AY4685" s="227"/>
      <c r="AZ4685" s="227"/>
      <c r="BA4685" s="227"/>
      <c r="BB4685" s="227"/>
      <c r="BC4685" s="227"/>
      <c r="BD4685" s="227"/>
      <c r="BE4685" s="227"/>
      <c r="BF4685" s="227"/>
    </row>
    <row r="4686">
      <c r="A4686" s="235" t="s">
        <v>34678</v>
      </c>
      <c r="C4686" s="235" t="s">
        <v>34679</v>
      </c>
      <c r="D4686" s="235" t="s">
        <v>34680</v>
      </c>
      <c r="E4686" s="243">
        <v>6.5E13</v>
      </c>
      <c r="F4686" s="245"/>
      <c r="G4686" s="235" t="s">
        <v>34681</v>
      </c>
      <c r="H4686" s="235" t="s">
        <v>34682</v>
      </c>
      <c r="I4686" s="235" t="s">
        <v>34683</v>
      </c>
      <c r="J4686" s="235" t="s">
        <v>34684</v>
      </c>
      <c r="K4686" s="235" t="s">
        <v>34685</v>
      </c>
      <c r="N4686" s="235" t="s">
        <v>117</v>
      </c>
      <c r="O4686" s="235" t="s">
        <v>334</v>
      </c>
      <c r="P4686" s="238">
        <v>1.0</v>
      </c>
      <c r="Q4686" s="235" t="s">
        <v>627</v>
      </c>
      <c r="R4686" s="238">
        <v>237.14</v>
      </c>
      <c r="S4686" s="238">
        <v>11.62</v>
      </c>
      <c r="T4686" s="238">
        <v>0.0</v>
      </c>
      <c r="U4686" s="238">
        <v>0.0</v>
      </c>
      <c r="V4686" s="238">
        <v>0.0</v>
      </c>
      <c r="W4686" s="238">
        <v>0.0</v>
      </c>
      <c r="X4686" s="235" t="s">
        <v>628</v>
      </c>
      <c r="Z4686" s="245"/>
      <c r="AA4686" s="245"/>
      <c r="AB4686" s="245"/>
      <c r="AC4686" s="235" t="s">
        <v>678</v>
      </c>
      <c r="AD4686" s="235" t="s">
        <v>679</v>
      </c>
      <c r="AE4686" s="238">
        <v>560037.0</v>
      </c>
      <c r="AF4686" s="235" t="s">
        <v>631</v>
      </c>
      <c r="AG4686" s="245"/>
      <c r="AH4686" s="245"/>
      <c r="AI4686" s="245"/>
      <c r="AJ4686" s="245"/>
      <c r="AK4686" s="245"/>
      <c r="AL4686" s="245"/>
      <c r="AM4686" s="245"/>
      <c r="AN4686" s="245"/>
      <c r="AO4686" s="238">
        <v>-4.74</v>
      </c>
      <c r="AP4686" s="238">
        <v>0.0</v>
      </c>
      <c r="AQ4686" s="235" t="s">
        <v>632</v>
      </c>
      <c r="AR4686" s="243">
        <v>3.71E11</v>
      </c>
      <c r="AS4686" s="235" t="s">
        <v>33466</v>
      </c>
      <c r="AT4686" s="235" t="s">
        <v>11</v>
      </c>
      <c r="AU4686" s="235" t="s">
        <v>634</v>
      </c>
      <c r="AV4686" s="246" t="s">
        <v>635</v>
      </c>
      <c r="AW4686" s="227"/>
      <c r="AX4686" s="227"/>
      <c r="AY4686" s="227"/>
      <c r="AZ4686" s="227"/>
      <c r="BA4686" s="227"/>
      <c r="BB4686" s="227"/>
      <c r="BC4686" s="227"/>
      <c r="BD4686" s="227"/>
      <c r="BE4686" s="227"/>
      <c r="BF4686" s="227"/>
    </row>
    <row r="4687">
      <c r="A4687" s="235" t="s">
        <v>34686</v>
      </c>
      <c r="C4687" s="235" t="s">
        <v>34687</v>
      </c>
      <c r="D4687" s="235" t="s">
        <v>34688</v>
      </c>
      <c r="E4687" s="243">
        <v>6.5E13</v>
      </c>
      <c r="F4687" s="245"/>
      <c r="G4687" s="235" t="s">
        <v>34689</v>
      </c>
      <c r="H4687" s="235" t="s">
        <v>34682</v>
      </c>
      <c r="I4687" s="235" t="s">
        <v>34682</v>
      </c>
      <c r="J4687" s="235" t="s">
        <v>34690</v>
      </c>
      <c r="K4687" s="235" t="s">
        <v>34691</v>
      </c>
      <c r="N4687" s="235" t="s">
        <v>71</v>
      </c>
      <c r="O4687" s="235" t="s">
        <v>240</v>
      </c>
      <c r="P4687" s="238">
        <v>1.0</v>
      </c>
      <c r="Q4687" s="235" t="s">
        <v>627</v>
      </c>
      <c r="R4687" s="238">
        <v>246.66</v>
      </c>
      <c r="S4687" s="238">
        <v>12.34</v>
      </c>
      <c r="T4687" s="238">
        <v>0.0</v>
      </c>
      <c r="U4687" s="238">
        <v>0.0</v>
      </c>
      <c r="V4687" s="238">
        <v>0.0</v>
      </c>
      <c r="W4687" s="238">
        <v>0.0</v>
      </c>
      <c r="X4687" s="235" t="s">
        <v>628</v>
      </c>
      <c r="Z4687" s="245"/>
      <c r="AA4687" s="245"/>
      <c r="AB4687" s="245"/>
      <c r="AC4687" s="235" t="s">
        <v>844</v>
      </c>
      <c r="AD4687" s="235" t="s">
        <v>845</v>
      </c>
      <c r="AE4687" s="238">
        <v>411007.0</v>
      </c>
      <c r="AF4687" s="235" t="s">
        <v>631</v>
      </c>
      <c r="AG4687" s="245"/>
      <c r="AH4687" s="245"/>
      <c r="AI4687" s="245"/>
      <c r="AJ4687" s="245"/>
      <c r="AK4687" s="245"/>
      <c r="AL4687" s="245"/>
      <c r="AM4687" s="245"/>
      <c r="AN4687" s="245"/>
      <c r="AO4687" s="238">
        <v>0.0</v>
      </c>
      <c r="AP4687" s="238">
        <v>0.0</v>
      </c>
      <c r="AQ4687" s="235" t="s">
        <v>632</v>
      </c>
      <c r="AR4687" s="243">
        <v>1.68E11</v>
      </c>
      <c r="AS4687" s="235" t="s">
        <v>34510</v>
      </c>
      <c r="AT4687" s="235" t="s">
        <v>546</v>
      </c>
      <c r="AU4687" s="235" t="s">
        <v>634</v>
      </c>
      <c r="AV4687" s="246" t="s">
        <v>635</v>
      </c>
      <c r="AW4687" s="227"/>
      <c r="AX4687" s="227"/>
      <c r="AY4687" s="227"/>
      <c r="AZ4687" s="227"/>
      <c r="BA4687" s="227"/>
      <c r="BB4687" s="227"/>
      <c r="BC4687" s="227"/>
      <c r="BD4687" s="227"/>
      <c r="BE4687" s="227"/>
      <c r="BF4687" s="227"/>
    </row>
    <row r="4688">
      <c r="A4688" s="235" t="s">
        <v>34692</v>
      </c>
      <c r="C4688" s="235" t="s">
        <v>34693</v>
      </c>
      <c r="D4688" s="235" t="s">
        <v>34694</v>
      </c>
      <c r="E4688" s="243">
        <v>6.5E13</v>
      </c>
      <c r="F4688" s="245"/>
      <c r="G4688" s="235" t="s">
        <v>34695</v>
      </c>
      <c r="H4688" s="235" t="s">
        <v>34696</v>
      </c>
      <c r="I4688" s="235" t="s">
        <v>34696</v>
      </c>
      <c r="J4688" s="235" t="s">
        <v>34697</v>
      </c>
      <c r="K4688" s="235" t="s">
        <v>34698</v>
      </c>
      <c r="N4688" s="235" t="s">
        <v>75</v>
      </c>
      <c r="O4688" s="235" t="s">
        <v>2108</v>
      </c>
      <c r="P4688" s="238">
        <v>1.0</v>
      </c>
      <c r="Q4688" s="235" t="s">
        <v>627</v>
      </c>
      <c r="R4688" s="238">
        <v>360.96</v>
      </c>
      <c r="S4688" s="238">
        <v>18.04</v>
      </c>
      <c r="T4688" s="238">
        <v>38.1</v>
      </c>
      <c r="U4688" s="238">
        <v>1.9</v>
      </c>
      <c r="V4688" s="238">
        <v>0.0</v>
      </c>
      <c r="W4688" s="238">
        <v>0.0</v>
      </c>
      <c r="X4688" s="235" t="s">
        <v>628</v>
      </c>
      <c r="Z4688" s="245"/>
      <c r="AA4688" s="245"/>
      <c r="AB4688" s="245"/>
      <c r="AC4688" s="235" t="s">
        <v>34699</v>
      </c>
      <c r="AD4688" s="235" t="s">
        <v>34700</v>
      </c>
      <c r="AE4688" s="238">
        <v>383001.0</v>
      </c>
      <c r="AF4688" s="235" t="s">
        <v>631</v>
      </c>
      <c r="AG4688" s="245"/>
      <c r="AH4688" s="245"/>
      <c r="AI4688" s="245"/>
      <c r="AJ4688" s="245"/>
      <c r="AK4688" s="245"/>
      <c r="AL4688" s="245"/>
      <c r="AM4688" s="245"/>
      <c r="AN4688" s="245"/>
      <c r="AO4688" s="238">
        <v>0.0</v>
      </c>
      <c r="AP4688" s="238">
        <v>-38.1</v>
      </c>
      <c r="AQ4688" s="235" t="s">
        <v>632</v>
      </c>
      <c r="AR4688" s="243">
        <v>3.71E11</v>
      </c>
      <c r="AS4688" s="235" t="s">
        <v>33466</v>
      </c>
      <c r="AT4688" s="235" t="s">
        <v>5</v>
      </c>
      <c r="AU4688" s="235" t="s">
        <v>634</v>
      </c>
      <c r="AV4688" s="246" t="s">
        <v>635</v>
      </c>
      <c r="AW4688" s="227"/>
      <c r="AX4688" s="227"/>
      <c r="AY4688" s="227"/>
      <c r="AZ4688" s="227"/>
      <c r="BA4688" s="227"/>
      <c r="BB4688" s="227"/>
      <c r="BC4688" s="227"/>
      <c r="BD4688" s="227"/>
      <c r="BE4688" s="227"/>
      <c r="BF4688" s="227"/>
    </row>
    <row r="4689">
      <c r="A4689" s="235" t="s">
        <v>34701</v>
      </c>
      <c r="C4689" s="235" t="s">
        <v>34702</v>
      </c>
      <c r="D4689" s="235" t="s">
        <v>34703</v>
      </c>
      <c r="E4689" s="243">
        <v>6.49E13</v>
      </c>
      <c r="F4689" s="245"/>
      <c r="G4689" s="235" t="s">
        <v>34704</v>
      </c>
      <c r="H4689" s="235" t="s">
        <v>34705</v>
      </c>
      <c r="I4689" s="235" t="s">
        <v>34705</v>
      </c>
      <c r="J4689" s="235" t="s">
        <v>34706</v>
      </c>
      <c r="K4689" s="235" t="s">
        <v>34707</v>
      </c>
      <c r="N4689" s="235" t="s">
        <v>56</v>
      </c>
      <c r="O4689" s="235" t="s">
        <v>415</v>
      </c>
      <c r="P4689" s="238">
        <v>1.0</v>
      </c>
      <c r="Q4689" s="235" t="s">
        <v>627</v>
      </c>
      <c r="R4689" s="238">
        <v>627.62</v>
      </c>
      <c r="S4689" s="238">
        <v>31.38</v>
      </c>
      <c r="T4689" s="238">
        <v>38.1</v>
      </c>
      <c r="U4689" s="238">
        <v>1.9</v>
      </c>
      <c r="V4689" s="238">
        <v>0.0</v>
      </c>
      <c r="W4689" s="238">
        <v>0.0</v>
      </c>
      <c r="X4689" s="235" t="s">
        <v>628</v>
      </c>
      <c r="Z4689" s="245"/>
      <c r="AA4689" s="245"/>
      <c r="AB4689" s="245"/>
      <c r="AC4689" s="235" t="s">
        <v>1279</v>
      </c>
      <c r="AD4689" s="235" t="s">
        <v>917</v>
      </c>
      <c r="AE4689" s="238">
        <v>302033.0</v>
      </c>
      <c r="AF4689" s="235" t="s">
        <v>631</v>
      </c>
      <c r="AG4689" s="245"/>
      <c r="AH4689" s="245"/>
      <c r="AI4689" s="245"/>
      <c r="AJ4689" s="245"/>
      <c r="AK4689" s="245"/>
      <c r="AL4689" s="245"/>
      <c r="AM4689" s="245"/>
      <c r="AN4689" s="245"/>
      <c r="AO4689" s="238">
        <v>0.0</v>
      </c>
      <c r="AP4689" s="238">
        <v>-38.1</v>
      </c>
      <c r="AQ4689" s="235" t="s">
        <v>632</v>
      </c>
      <c r="AR4689" s="243">
        <v>1.68E11</v>
      </c>
      <c r="AS4689" s="235" t="s">
        <v>33466</v>
      </c>
      <c r="AT4689" s="235" t="s">
        <v>14</v>
      </c>
      <c r="AU4689" s="235" t="s">
        <v>634</v>
      </c>
      <c r="AV4689" s="246" t="s">
        <v>635</v>
      </c>
      <c r="AW4689" s="227"/>
      <c r="AX4689" s="227"/>
      <c r="AY4689" s="227"/>
      <c r="AZ4689" s="227"/>
      <c r="BA4689" s="227"/>
      <c r="BB4689" s="227"/>
      <c r="BC4689" s="227"/>
      <c r="BD4689" s="227"/>
      <c r="BE4689" s="227"/>
      <c r="BF4689" s="227"/>
    </row>
    <row r="4690">
      <c r="A4690" s="235" t="s">
        <v>34708</v>
      </c>
      <c r="C4690" s="235" t="s">
        <v>34709</v>
      </c>
      <c r="D4690" s="235" t="s">
        <v>34710</v>
      </c>
      <c r="E4690" s="243">
        <v>6.5E13</v>
      </c>
      <c r="F4690" s="245"/>
      <c r="G4690" s="235" t="s">
        <v>34711</v>
      </c>
      <c r="H4690" s="235" t="s">
        <v>34712</v>
      </c>
      <c r="I4690" s="235" t="s">
        <v>34712</v>
      </c>
      <c r="J4690" s="235" t="s">
        <v>34713</v>
      </c>
      <c r="K4690" s="235" t="s">
        <v>34714</v>
      </c>
      <c r="N4690" s="235" t="s">
        <v>726</v>
      </c>
      <c r="O4690" s="235" t="s">
        <v>727</v>
      </c>
      <c r="P4690" s="238">
        <v>1.0</v>
      </c>
      <c r="Q4690" s="235" t="s">
        <v>627</v>
      </c>
      <c r="R4690" s="238">
        <v>244.76</v>
      </c>
      <c r="S4690" s="238">
        <v>12.24</v>
      </c>
      <c r="T4690" s="238">
        <v>38.1</v>
      </c>
      <c r="U4690" s="238">
        <v>1.9</v>
      </c>
      <c r="V4690" s="238">
        <v>0.0</v>
      </c>
      <c r="W4690" s="238">
        <v>0.0</v>
      </c>
      <c r="X4690" s="235" t="s">
        <v>628</v>
      </c>
      <c r="Z4690" s="245"/>
      <c r="AA4690" s="245"/>
      <c r="AB4690" s="245"/>
      <c r="AC4690" s="235" t="s">
        <v>34715</v>
      </c>
      <c r="AD4690" s="235" t="s">
        <v>928</v>
      </c>
      <c r="AE4690" s="238">
        <v>131001.0</v>
      </c>
      <c r="AF4690" s="235" t="s">
        <v>631</v>
      </c>
      <c r="AG4690" s="245"/>
      <c r="AH4690" s="245"/>
      <c r="AI4690" s="245"/>
      <c r="AJ4690" s="245"/>
      <c r="AK4690" s="245"/>
      <c r="AL4690" s="245"/>
      <c r="AM4690" s="245"/>
      <c r="AN4690" s="245"/>
      <c r="AO4690" s="238">
        <v>0.0</v>
      </c>
      <c r="AP4690" s="238">
        <v>-38.1</v>
      </c>
      <c r="AQ4690" s="235" t="s">
        <v>632</v>
      </c>
      <c r="AR4690" s="243">
        <v>3.71E11</v>
      </c>
      <c r="AS4690" s="235" t="s">
        <v>29883</v>
      </c>
      <c r="AT4690" s="235" t="s">
        <v>156</v>
      </c>
      <c r="AU4690" s="235" t="s">
        <v>634</v>
      </c>
      <c r="AV4690" s="246" t="s">
        <v>635</v>
      </c>
      <c r="AW4690" s="227"/>
      <c r="AX4690" s="227"/>
      <c r="AY4690" s="227"/>
      <c r="AZ4690" s="227"/>
      <c r="BA4690" s="227"/>
      <c r="BB4690" s="227"/>
      <c r="BC4690" s="227"/>
      <c r="BD4690" s="227"/>
      <c r="BE4690" s="227"/>
      <c r="BF4690" s="227"/>
    </row>
    <row r="4691">
      <c r="A4691" s="235" t="s">
        <v>34716</v>
      </c>
      <c r="C4691" s="235" t="s">
        <v>34717</v>
      </c>
      <c r="D4691" s="235" t="s">
        <v>34718</v>
      </c>
      <c r="E4691" s="243">
        <v>6.5E13</v>
      </c>
      <c r="F4691" s="245"/>
      <c r="G4691" s="235" t="s">
        <v>34719</v>
      </c>
      <c r="H4691" s="235" t="s">
        <v>34720</v>
      </c>
      <c r="I4691" s="235" t="s">
        <v>34720</v>
      </c>
      <c r="J4691" s="235" t="s">
        <v>34721</v>
      </c>
      <c r="K4691" s="235" t="s">
        <v>34722</v>
      </c>
      <c r="N4691" s="235" t="s">
        <v>3875</v>
      </c>
      <c r="O4691" s="235" t="s">
        <v>3876</v>
      </c>
      <c r="P4691" s="238">
        <v>1.0</v>
      </c>
      <c r="Q4691" s="235" t="s">
        <v>627</v>
      </c>
      <c r="R4691" s="238">
        <v>207.62</v>
      </c>
      <c r="S4691" s="238">
        <v>10.38</v>
      </c>
      <c r="T4691" s="238">
        <v>0.0</v>
      </c>
      <c r="U4691" s="238">
        <v>0.0</v>
      </c>
      <c r="V4691" s="238">
        <v>0.0</v>
      </c>
      <c r="W4691" s="238">
        <v>0.0</v>
      </c>
      <c r="X4691" s="235" t="s">
        <v>628</v>
      </c>
      <c r="Z4691" s="245"/>
      <c r="AA4691" s="245"/>
      <c r="AB4691" s="245"/>
      <c r="AC4691" s="235" t="s">
        <v>697</v>
      </c>
      <c r="AD4691" s="235" t="s">
        <v>698</v>
      </c>
      <c r="AE4691" s="238">
        <v>500089.0</v>
      </c>
      <c r="AF4691" s="235" t="s">
        <v>631</v>
      </c>
      <c r="AG4691" s="245"/>
      <c r="AH4691" s="245"/>
      <c r="AI4691" s="245"/>
      <c r="AJ4691" s="245"/>
      <c r="AK4691" s="245"/>
      <c r="AL4691" s="245"/>
      <c r="AM4691" s="245"/>
      <c r="AN4691" s="245"/>
      <c r="AO4691" s="238">
        <v>0.0</v>
      </c>
      <c r="AP4691" s="238">
        <v>0.0</v>
      </c>
      <c r="AQ4691" s="235" t="s">
        <v>632</v>
      </c>
      <c r="AR4691" s="243">
        <v>1.68E11</v>
      </c>
      <c r="AS4691" s="235" t="s">
        <v>33466</v>
      </c>
      <c r="AT4691" s="235" t="s">
        <v>156</v>
      </c>
      <c r="AU4691" s="235" t="s">
        <v>634</v>
      </c>
      <c r="AV4691" s="246" t="s">
        <v>635</v>
      </c>
      <c r="AW4691" s="227"/>
      <c r="AX4691" s="227"/>
      <c r="AY4691" s="227"/>
      <c r="AZ4691" s="227"/>
      <c r="BA4691" s="227"/>
      <c r="BB4691" s="227"/>
      <c r="BC4691" s="227"/>
      <c r="BD4691" s="227"/>
      <c r="BE4691" s="227"/>
      <c r="BF4691" s="227"/>
    </row>
    <row r="4692">
      <c r="A4692" s="235" t="s">
        <v>34723</v>
      </c>
      <c r="C4692" s="235" t="s">
        <v>34724</v>
      </c>
      <c r="D4692" s="235" t="s">
        <v>34725</v>
      </c>
      <c r="E4692" s="243">
        <v>6.5E13</v>
      </c>
      <c r="F4692" s="245"/>
      <c r="G4692" s="235" t="s">
        <v>34726</v>
      </c>
      <c r="H4692" s="235" t="s">
        <v>34727</v>
      </c>
      <c r="I4692" s="235" t="s">
        <v>34727</v>
      </c>
      <c r="J4692" s="235" t="s">
        <v>34728</v>
      </c>
      <c r="K4692" s="235" t="s">
        <v>34729</v>
      </c>
      <c r="N4692" s="235" t="s">
        <v>56</v>
      </c>
      <c r="O4692" s="235" t="s">
        <v>415</v>
      </c>
      <c r="P4692" s="238">
        <v>1.0</v>
      </c>
      <c r="Q4692" s="235" t="s">
        <v>627</v>
      </c>
      <c r="R4692" s="238">
        <v>627.62</v>
      </c>
      <c r="S4692" s="238">
        <v>31.38</v>
      </c>
      <c r="T4692" s="238">
        <v>0.0</v>
      </c>
      <c r="U4692" s="238">
        <v>0.0</v>
      </c>
      <c r="V4692" s="238">
        <v>0.0</v>
      </c>
      <c r="W4692" s="238">
        <v>0.0</v>
      </c>
      <c r="X4692" s="235" t="s">
        <v>628</v>
      </c>
      <c r="Z4692" s="245"/>
      <c r="AA4692" s="245"/>
      <c r="AB4692" s="245"/>
      <c r="AC4692" s="235" t="s">
        <v>1456</v>
      </c>
      <c r="AD4692" s="235" t="s">
        <v>928</v>
      </c>
      <c r="AE4692" s="238">
        <v>122505.0</v>
      </c>
      <c r="AF4692" s="235" t="s">
        <v>631</v>
      </c>
      <c r="AG4692" s="245"/>
      <c r="AH4692" s="245"/>
      <c r="AI4692" s="245"/>
      <c r="AJ4692" s="245"/>
      <c r="AK4692" s="245"/>
      <c r="AL4692" s="245"/>
      <c r="AM4692" s="245"/>
      <c r="AN4692" s="245"/>
      <c r="AO4692" s="238">
        <v>0.0</v>
      </c>
      <c r="AP4692" s="238">
        <v>0.0</v>
      </c>
      <c r="AQ4692" s="235" t="s">
        <v>632</v>
      </c>
      <c r="AR4692" s="243">
        <v>3.71E11</v>
      </c>
      <c r="AS4692" s="235" t="s">
        <v>31232</v>
      </c>
      <c r="AT4692" s="235" t="s">
        <v>16</v>
      </c>
      <c r="AU4692" s="235" t="s">
        <v>634</v>
      </c>
      <c r="AV4692" s="246" t="s">
        <v>635</v>
      </c>
      <c r="AW4692" s="227"/>
      <c r="AX4692" s="227"/>
      <c r="AY4692" s="227"/>
      <c r="AZ4692" s="227"/>
      <c r="BA4692" s="227"/>
      <c r="BB4692" s="227"/>
      <c r="BC4692" s="227"/>
      <c r="BD4692" s="227"/>
      <c r="BE4692" s="227"/>
      <c r="BF4692" s="227"/>
    </row>
    <row r="4693">
      <c r="A4693" s="235" t="s">
        <v>34730</v>
      </c>
      <c r="C4693" s="235" t="s">
        <v>34731</v>
      </c>
      <c r="D4693" s="235" t="s">
        <v>34732</v>
      </c>
      <c r="E4693" s="243">
        <v>6.5E13</v>
      </c>
      <c r="F4693" s="245"/>
      <c r="G4693" s="235" t="s">
        <v>34733</v>
      </c>
      <c r="H4693" s="235" t="s">
        <v>34734</v>
      </c>
      <c r="I4693" s="235" t="s">
        <v>34734</v>
      </c>
      <c r="J4693" s="235" t="s">
        <v>34735</v>
      </c>
      <c r="K4693" s="235" t="s">
        <v>34736</v>
      </c>
      <c r="N4693" s="235" t="s">
        <v>42</v>
      </c>
      <c r="O4693" s="235" t="s">
        <v>204</v>
      </c>
      <c r="P4693" s="238">
        <v>1.0</v>
      </c>
      <c r="Q4693" s="235" t="s">
        <v>627</v>
      </c>
      <c r="R4693" s="238">
        <v>237.14</v>
      </c>
      <c r="S4693" s="238">
        <v>11.86</v>
      </c>
      <c r="T4693" s="238">
        <v>0.0</v>
      </c>
      <c r="U4693" s="238">
        <v>0.0</v>
      </c>
      <c r="V4693" s="238">
        <v>0.0</v>
      </c>
      <c r="W4693" s="238">
        <v>0.0</v>
      </c>
      <c r="X4693" s="235" t="s">
        <v>628</v>
      </c>
      <c r="Z4693" s="245"/>
      <c r="AA4693" s="245"/>
      <c r="AB4693" s="245"/>
      <c r="AC4693" s="235" t="s">
        <v>697</v>
      </c>
      <c r="AD4693" s="235" t="s">
        <v>698</v>
      </c>
      <c r="AE4693" s="238">
        <v>500049.0</v>
      </c>
      <c r="AF4693" s="235" t="s">
        <v>631</v>
      </c>
      <c r="AG4693" s="245"/>
      <c r="AH4693" s="245"/>
      <c r="AI4693" s="245"/>
      <c r="AJ4693" s="245"/>
      <c r="AK4693" s="245"/>
      <c r="AL4693" s="245"/>
      <c r="AM4693" s="245"/>
      <c r="AN4693" s="245"/>
      <c r="AO4693" s="238">
        <v>0.0</v>
      </c>
      <c r="AP4693" s="238">
        <v>0.0</v>
      </c>
      <c r="AQ4693" s="235" t="s">
        <v>632</v>
      </c>
      <c r="AR4693" s="243">
        <v>2.02E11</v>
      </c>
      <c r="AS4693" s="235" t="s">
        <v>33466</v>
      </c>
      <c r="AT4693" s="235" t="s">
        <v>546</v>
      </c>
      <c r="AU4693" s="235" t="s">
        <v>634</v>
      </c>
      <c r="AV4693" s="246" t="s">
        <v>635</v>
      </c>
      <c r="AW4693" s="227"/>
      <c r="AX4693" s="227"/>
      <c r="AY4693" s="227"/>
      <c r="AZ4693" s="227"/>
      <c r="BA4693" s="227"/>
      <c r="BB4693" s="227"/>
      <c r="BC4693" s="227"/>
      <c r="BD4693" s="227"/>
      <c r="BE4693" s="227"/>
      <c r="BF4693" s="227"/>
    </row>
    <row r="4694">
      <c r="A4694" s="235" t="s">
        <v>34737</v>
      </c>
      <c r="C4694" s="235" t="s">
        <v>34738</v>
      </c>
      <c r="D4694" s="235" t="s">
        <v>34739</v>
      </c>
      <c r="E4694" s="243">
        <v>6.49E13</v>
      </c>
      <c r="F4694" s="245"/>
      <c r="G4694" s="235" t="s">
        <v>34740</v>
      </c>
      <c r="H4694" s="235" t="s">
        <v>34741</v>
      </c>
      <c r="I4694" s="235" t="s">
        <v>34741</v>
      </c>
      <c r="J4694" s="235" t="s">
        <v>34742</v>
      </c>
      <c r="K4694" s="235" t="s">
        <v>34743</v>
      </c>
      <c r="N4694" s="235" t="s">
        <v>42</v>
      </c>
      <c r="O4694" s="235" t="s">
        <v>204</v>
      </c>
      <c r="P4694" s="238">
        <v>1.0</v>
      </c>
      <c r="Q4694" s="235" t="s">
        <v>627</v>
      </c>
      <c r="R4694" s="238">
        <v>237.14</v>
      </c>
      <c r="S4694" s="238">
        <v>11.86</v>
      </c>
      <c r="T4694" s="238">
        <v>38.1</v>
      </c>
      <c r="U4694" s="238">
        <v>1.9</v>
      </c>
      <c r="V4694" s="238">
        <v>0.0</v>
      </c>
      <c r="W4694" s="238">
        <v>0.0</v>
      </c>
      <c r="X4694" s="235" t="s">
        <v>628</v>
      </c>
      <c r="Z4694" s="245"/>
      <c r="AA4694" s="245"/>
      <c r="AB4694" s="245"/>
      <c r="AC4694" s="235" t="s">
        <v>34744</v>
      </c>
      <c r="AD4694" s="235" t="s">
        <v>666</v>
      </c>
      <c r="AE4694" s="238">
        <v>621010.0</v>
      </c>
      <c r="AF4694" s="235" t="s">
        <v>631</v>
      </c>
      <c r="AG4694" s="245"/>
      <c r="AH4694" s="245"/>
      <c r="AI4694" s="245"/>
      <c r="AJ4694" s="245"/>
      <c r="AK4694" s="245"/>
      <c r="AL4694" s="245"/>
      <c r="AM4694" s="245"/>
      <c r="AN4694" s="245"/>
      <c r="AO4694" s="238">
        <v>0.0</v>
      </c>
      <c r="AP4694" s="238">
        <v>-38.1</v>
      </c>
      <c r="AQ4694" s="235" t="s">
        <v>632</v>
      </c>
      <c r="AR4694" s="243">
        <v>1.68E11</v>
      </c>
      <c r="AS4694" s="235" t="s">
        <v>32455</v>
      </c>
      <c r="AT4694" s="235" t="s">
        <v>9</v>
      </c>
      <c r="AU4694" s="235" t="s">
        <v>634</v>
      </c>
      <c r="AV4694" s="246" t="s">
        <v>635</v>
      </c>
      <c r="AW4694" s="227"/>
      <c r="AX4694" s="227"/>
      <c r="AY4694" s="227"/>
      <c r="AZ4694" s="227"/>
      <c r="BA4694" s="227"/>
      <c r="BB4694" s="227"/>
      <c r="BC4694" s="227"/>
      <c r="BD4694" s="227"/>
      <c r="BE4694" s="227"/>
      <c r="BF4694" s="227"/>
    </row>
    <row r="4695">
      <c r="A4695" s="235" t="s">
        <v>34745</v>
      </c>
      <c r="C4695" s="235" t="s">
        <v>34746</v>
      </c>
      <c r="D4695" s="235" t="s">
        <v>34747</v>
      </c>
      <c r="E4695" s="243">
        <v>6.5E13</v>
      </c>
      <c r="F4695" s="245"/>
      <c r="G4695" s="235" t="s">
        <v>34748</v>
      </c>
      <c r="H4695" s="235" t="s">
        <v>34749</v>
      </c>
      <c r="I4695" s="235" t="s">
        <v>34749</v>
      </c>
      <c r="J4695" s="235" t="s">
        <v>34750</v>
      </c>
      <c r="K4695" s="235" t="s">
        <v>34751</v>
      </c>
      <c r="N4695" s="235" t="s">
        <v>42</v>
      </c>
      <c r="O4695" s="235" t="s">
        <v>204</v>
      </c>
      <c r="P4695" s="238">
        <v>1.0</v>
      </c>
      <c r="Q4695" s="235" t="s">
        <v>627</v>
      </c>
      <c r="R4695" s="238">
        <v>237.14</v>
      </c>
      <c r="S4695" s="238">
        <v>11.86</v>
      </c>
      <c r="T4695" s="238">
        <v>38.1</v>
      </c>
      <c r="U4695" s="238">
        <v>1.9</v>
      </c>
      <c r="V4695" s="238">
        <v>0.0</v>
      </c>
      <c r="W4695" s="238">
        <v>0.0</v>
      </c>
      <c r="X4695" s="235" t="s">
        <v>628</v>
      </c>
      <c r="Z4695" s="245"/>
      <c r="AA4695" s="245"/>
      <c r="AB4695" s="245"/>
      <c r="AC4695" s="235" t="s">
        <v>2394</v>
      </c>
      <c r="AD4695" s="235" t="s">
        <v>854</v>
      </c>
      <c r="AE4695" s="238">
        <v>403002.0</v>
      </c>
      <c r="AF4695" s="235" t="s">
        <v>631</v>
      </c>
      <c r="AG4695" s="245"/>
      <c r="AH4695" s="245"/>
      <c r="AI4695" s="245"/>
      <c r="AJ4695" s="245"/>
      <c r="AK4695" s="245"/>
      <c r="AL4695" s="245"/>
      <c r="AM4695" s="245"/>
      <c r="AN4695" s="245"/>
      <c r="AO4695" s="238">
        <v>0.0</v>
      </c>
      <c r="AP4695" s="238">
        <v>-38.1</v>
      </c>
      <c r="AQ4695" s="235" t="s">
        <v>632</v>
      </c>
      <c r="AR4695" s="243">
        <v>3.71E11</v>
      </c>
      <c r="AS4695" s="235" t="s">
        <v>32455</v>
      </c>
      <c r="AT4695" s="235" t="s">
        <v>11</v>
      </c>
      <c r="AU4695" s="235" t="s">
        <v>634</v>
      </c>
      <c r="AV4695" s="246" t="s">
        <v>635</v>
      </c>
      <c r="AW4695" s="227"/>
      <c r="AX4695" s="227"/>
      <c r="AY4695" s="227"/>
      <c r="AZ4695" s="227"/>
      <c r="BA4695" s="227"/>
      <c r="BB4695" s="227"/>
      <c r="BC4695" s="227"/>
      <c r="BD4695" s="227"/>
      <c r="BE4695" s="227"/>
      <c r="BF4695" s="227"/>
    </row>
    <row r="4696">
      <c r="A4696" s="235" t="s">
        <v>34752</v>
      </c>
      <c r="C4696" s="235" t="s">
        <v>34753</v>
      </c>
      <c r="D4696" s="235" t="s">
        <v>34754</v>
      </c>
      <c r="E4696" s="243">
        <v>6.5E13</v>
      </c>
      <c r="F4696" s="245"/>
      <c r="G4696" s="235" t="s">
        <v>34755</v>
      </c>
      <c r="H4696" s="235" t="s">
        <v>34756</v>
      </c>
      <c r="I4696" s="235" t="s">
        <v>34756</v>
      </c>
      <c r="J4696" s="235" t="s">
        <v>34757</v>
      </c>
      <c r="K4696" s="235" t="s">
        <v>34758</v>
      </c>
      <c r="N4696" s="235" t="s">
        <v>717</v>
      </c>
      <c r="O4696" s="235" t="s">
        <v>718</v>
      </c>
      <c r="P4696" s="238">
        <v>1.0</v>
      </c>
      <c r="Q4696" s="235" t="s">
        <v>627</v>
      </c>
      <c r="R4696" s="238">
        <v>456.19</v>
      </c>
      <c r="S4696" s="238">
        <v>22.81</v>
      </c>
      <c r="T4696" s="238">
        <v>0.0</v>
      </c>
      <c r="U4696" s="238">
        <v>0.0</v>
      </c>
      <c r="V4696" s="238">
        <v>0.0</v>
      </c>
      <c r="W4696" s="238">
        <v>0.0</v>
      </c>
      <c r="X4696" s="235" t="s">
        <v>628</v>
      </c>
      <c r="Z4696" s="245"/>
      <c r="AA4696" s="245"/>
      <c r="AB4696" s="245"/>
      <c r="AC4696" s="235" t="s">
        <v>1613</v>
      </c>
      <c r="AD4696" s="235" t="s">
        <v>630</v>
      </c>
      <c r="AE4696" s="238">
        <v>226018.0</v>
      </c>
      <c r="AF4696" s="235" t="s">
        <v>631</v>
      </c>
      <c r="AG4696" s="245"/>
      <c r="AH4696" s="245"/>
      <c r="AI4696" s="245"/>
      <c r="AJ4696" s="245"/>
      <c r="AK4696" s="245"/>
      <c r="AL4696" s="245"/>
      <c r="AM4696" s="245"/>
      <c r="AN4696" s="245"/>
      <c r="AO4696" s="238">
        <v>0.0</v>
      </c>
      <c r="AP4696" s="238">
        <v>0.0</v>
      </c>
      <c r="AQ4696" s="235" t="s">
        <v>632</v>
      </c>
      <c r="AR4696" s="243">
        <v>2.02E11</v>
      </c>
      <c r="AS4696" s="235" t="s">
        <v>33466</v>
      </c>
      <c r="AT4696" s="235" t="s">
        <v>13</v>
      </c>
      <c r="AU4696" s="235" t="s">
        <v>634</v>
      </c>
      <c r="AV4696" s="246" t="s">
        <v>635</v>
      </c>
      <c r="AW4696" s="227"/>
      <c r="AX4696" s="227"/>
      <c r="AY4696" s="227"/>
      <c r="AZ4696" s="227"/>
      <c r="BA4696" s="227"/>
      <c r="BB4696" s="227"/>
      <c r="BC4696" s="227"/>
      <c r="BD4696" s="227"/>
      <c r="BE4696" s="227"/>
      <c r="BF4696" s="227"/>
    </row>
    <row r="4697">
      <c r="A4697" s="235" t="s">
        <v>34759</v>
      </c>
      <c r="C4697" s="235" t="s">
        <v>34760</v>
      </c>
      <c r="D4697" s="235" t="s">
        <v>34761</v>
      </c>
      <c r="E4697" s="243">
        <v>6.5E13</v>
      </c>
      <c r="F4697" s="245"/>
      <c r="G4697" s="235" t="s">
        <v>34762</v>
      </c>
      <c r="H4697" s="235" t="s">
        <v>34763</v>
      </c>
      <c r="I4697" s="235" t="s">
        <v>34763</v>
      </c>
      <c r="J4697" s="235" t="s">
        <v>34764</v>
      </c>
      <c r="K4697" s="235" t="s">
        <v>34765</v>
      </c>
      <c r="N4697" s="235" t="s">
        <v>154</v>
      </c>
      <c r="O4697" s="235" t="s">
        <v>766</v>
      </c>
      <c r="P4697" s="238">
        <v>1.0</v>
      </c>
      <c r="Q4697" s="235" t="s">
        <v>627</v>
      </c>
      <c r="R4697" s="238">
        <v>465.71</v>
      </c>
      <c r="S4697" s="238">
        <v>23.29</v>
      </c>
      <c r="T4697" s="238">
        <v>0.0</v>
      </c>
      <c r="U4697" s="238">
        <v>0.0</v>
      </c>
      <c r="V4697" s="238">
        <v>0.0</v>
      </c>
      <c r="W4697" s="238">
        <v>0.0</v>
      </c>
      <c r="X4697" s="235" t="s">
        <v>628</v>
      </c>
      <c r="Z4697" s="245"/>
      <c r="AA4697" s="245"/>
      <c r="AB4697" s="245"/>
      <c r="AC4697" s="235" t="s">
        <v>10173</v>
      </c>
      <c r="AD4697" s="235" t="s">
        <v>917</v>
      </c>
      <c r="AE4697" s="238">
        <v>313001.0</v>
      </c>
      <c r="AF4697" s="235" t="s">
        <v>631</v>
      </c>
      <c r="AG4697" s="245"/>
      <c r="AH4697" s="245"/>
      <c r="AI4697" s="245"/>
      <c r="AJ4697" s="245"/>
      <c r="AK4697" s="245"/>
      <c r="AL4697" s="245"/>
      <c r="AM4697" s="245"/>
      <c r="AN4697" s="245"/>
      <c r="AO4697" s="238">
        <v>0.0</v>
      </c>
      <c r="AP4697" s="238">
        <v>0.0</v>
      </c>
      <c r="AQ4697" s="235" t="s">
        <v>632</v>
      </c>
      <c r="AR4697" s="243">
        <v>3.71E11</v>
      </c>
      <c r="AS4697" s="235" t="s">
        <v>33466</v>
      </c>
      <c r="AT4697" s="235" t="s">
        <v>5</v>
      </c>
      <c r="AU4697" s="235" t="s">
        <v>634</v>
      </c>
      <c r="AV4697" s="246" t="s">
        <v>635</v>
      </c>
      <c r="AW4697" s="227"/>
      <c r="AX4697" s="227"/>
      <c r="AY4697" s="227"/>
      <c r="AZ4697" s="227"/>
      <c r="BA4697" s="227"/>
      <c r="BB4697" s="227"/>
      <c r="BC4697" s="227"/>
      <c r="BD4697" s="227"/>
      <c r="BE4697" s="227"/>
      <c r="BF4697" s="227"/>
    </row>
    <row r="4698">
      <c r="A4698" s="235" t="s">
        <v>34766</v>
      </c>
      <c r="C4698" s="235" t="s">
        <v>34767</v>
      </c>
      <c r="D4698" s="235" t="s">
        <v>34768</v>
      </c>
      <c r="E4698" s="243">
        <v>6.5E13</v>
      </c>
      <c r="F4698" s="245"/>
      <c r="G4698" s="235" t="s">
        <v>34769</v>
      </c>
      <c r="H4698" s="235" t="s">
        <v>34770</v>
      </c>
      <c r="I4698" s="235" t="s">
        <v>34770</v>
      </c>
      <c r="J4698" s="235" t="s">
        <v>34771</v>
      </c>
      <c r="K4698" s="235" t="s">
        <v>34772</v>
      </c>
      <c r="N4698" s="235" t="s">
        <v>141</v>
      </c>
      <c r="O4698" s="235" t="s">
        <v>342</v>
      </c>
      <c r="P4698" s="238">
        <v>1.0</v>
      </c>
      <c r="Q4698" s="235" t="s">
        <v>627</v>
      </c>
      <c r="R4698" s="238">
        <v>244.76</v>
      </c>
      <c r="S4698" s="238">
        <v>12.24</v>
      </c>
      <c r="T4698" s="238">
        <v>38.1</v>
      </c>
      <c r="U4698" s="238">
        <v>1.9</v>
      </c>
      <c r="V4698" s="238">
        <v>0.0</v>
      </c>
      <c r="W4698" s="238">
        <v>0.0</v>
      </c>
      <c r="X4698" s="235" t="s">
        <v>628</v>
      </c>
      <c r="Z4698" s="245"/>
      <c r="AA4698" s="245"/>
      <c r="AB4698" s="245"/>
      <c r="AC4698" s="235" t="s">
        <v>1255</v>
      </c>
      <c r="AD4698" s="235" t="s">
        <v>845</v>
      </c>
      <c r="AE4698" s="238">
        <v>401107.0</v>
      </c>
      <c r="AF4698" s="235" t="s">
        <v>631</v>
      </c>
      <c r="AG4698" s="245"/>
      <c r="AH4698" s="245"/>
      <c r="AI4698" s="245"/>
      <c r="AJ4698" s="245"/>
      <c r="AK4698" s="245"/>
      <c r="AL4698" s="245"/>
      <c r="AM4698" s="245"/>
      <c r="AN4698" s="245"/>
      <c r="AO4698" s="238">
        <v>0.0</v>
      </c>
      <c r="AP4698" s="238">
        <v>-38.1</v>
      </c>
      <c r="AQ4698" s="235" t="s">
        <v>632</v>
      </c>
      <c r="AR4698" s="243">
        <v>3.71E11</v>
      </c>
      <c r="AS4698" s="235" t="s">
        <v>33466</v>
      </c>
      <c r="AT4698" s="235" t="s">
        <v>17</v>
      </c>
      <c r="AU4698" s="235" t="s">
        <v>634</v>
      </c>
      <c r="AV4698" s="246" t="s">
        <v>635</v>
      </c>
      <c r="AW4698" s="227"/>
      <c r="AX4698" s="227"/>
      <c r="AY4698" s="227"/>
      <c r="AZ4698" s="227"/>
      <c r="BA4698" s="227"/>
      <c r="BB4698" s="227"/>
      <c r="BC4698" s="227"/>
      <c r="BD4698" s="227"/>
      <c r="BE4698" s="227"/>
      <c r="BF4698" s="227"/>
    </row>
    <row r="4699">
      <c r="A4699" s="235" t="s">
        <v>34773</v>
      </c>
      <c r="C4699" s="235" t="s">
        <v>34774</v>
      </c>
      <c r="D4699" s="235" t="s">
        <v>34775</v>
      </c>
      <c r="E4699" s="243">
        <v>6.5E13</v>
      </c>
      <c r="F4699" s="245"/>
      <c r="G4699" s="235" t="s">
        <v>34776</v>
      </c>
      <c r="H4699" s="235" t="s">
        <v>34777</v>
      </c>
      <c r="I4699" s="235" t="s">
        <v>34777</v>
      </c>
      <c r="J4699" s="235" t="s">
        <v>34778</v>
      </c>
      <c r="K4699" s="235" t="s">
        <v>34779</v>
      </c>
      <c r="N4699" s="235" t="s">
        <v>27</v>
      </c>
      <c r="O4699" s="235" t="s">
        <v>573</v>
      </c>
      <c r="P4699" s="238">
        <v>1.0</v>
      </c>
      <c r="Q4699" s="235" t="s">
        <v>627</v>
      </c>
      <c r="R4699" s="238">
        <v>360.95</v>
      </c>
      <c r="S4699" s="238">
        <v>18.05</v>
      </c>
      <c r="T4699" s="238">
        <v>38.1</v>
      </c>
      <c r="U4699" s="238">
        <v>1.9</v>
      </c>
      <c r="V4699" s="238">
        <v>0.0</v>
      </c>
      <c r="W4699" s="238">
        <v>0.0</v>
      </c>
      <c r="X4699" s="235" t="s">
        <v>628</v>
      </c>
      <c r="Z4699" s="245"/>
      <c r="AA4699" s="245"/>
      <c r="AB4699" s="245"/>
      <c r="AC4699" s="235" t="s">
        <v>795</v>
      </c>
      <c r="AD4699" s="235" t="s">
        <v>796</v>
      </c>
      <c r="AE4699" s="238">
        <v>110029.0</v>
      </c>
      <c r="AF4699" s="235" t="s">
        <v>631</v>
      </c>
      <c r="AG4699" s="245"/>
      <c r="AH4699" s="245"/>
      <c r="AI4699" s="245"/>
      <c r="AJ4699" s="245"/>
      <c r="AK4699" s="245"/>
      <c r="AL4699" s="245"/>
      <c r="AM4699" s="245"/>
      <c r="AN4699" s="245"/>
      <c r="AO4699" s="238">
        <v>0.0</v>
      </c>
      <c r="AP4699" s="238">
        <v>-38.1</v>
      </c>
      <c r="AQ4699" s="235" t="s">
        <v>632</v>
      </c>
      <c r="AR4699" s="243">
        <v>3.71E11</v>
      </c>
      <c r="AS4699" s="235" t="s">
        <v>33466</v>
      </c>
      <c r="AT4699" s="235" t="s">
        <v>533</v>
      </c>
      <c r="AU4699" s="235" t="s">
        <v>634</v>
      </c>
      <c r="AV4699" s="246" t="s">
        <v>635</v>
      </c>
      <c r="AW4699" s="227"/>
      <c r="AX4699" s="227"/>
      <c r="AY4699" s="227"/>
      <c r="AZ4699" s="227"/>
      <c r="BA4699" s="227"/>
      <c r="BB4699" s="227"/>
      <c r="BC4699" s="227"/>
      <c r="BD4699" s="227"/>
      <c r="BE4699" s="227"/>
      <c r="BF4699" s="227"/>
    </row>
    <row r="4700">
      <c r="A4700" s="235" t="s">
        <v>34780</v>
      </c>
      <c r="C4700" s="235" t="s">
        <v>34781</v>
      </c>
      <c r="D4700" s="235" t="s">
        <v>34782</v>
      </c>
      <c r="E4700" s="243">
        <v>6.5E13</v>
      </c>
      <c r="F4700" s="245"/>
      <c r="G4700" s="235" t="s">
        <v>34783</v>
      </c>
      <c r="H4700" s="235" t="s">
        <v>34784</v>
      </c>
      <c r="I4700" s="235" t="s">
        <v>34785</v>
      </c>
      <c r="J4700" s="235" t="s">
        <v>34786</v>
      </c>
      <c r="K4700" s="235" t="s">
        <v>34787</v>
      </c>
      <c r="N4700" s="235" t="s">
        <v>82</v>
      </c>
      <c r="O4700" s="235" t="s">
        <v>889</v>
      </c>
      <c r="P4700" s="238">
        <v>1.0</v>
      </c>
      <c r="Q4700" s="235" t="s">
        <v>627</v>
      </c>
      <c r="R4700" s="238">
        <v>243.81</v>
      </c>
      <c r="S4700" s="238">
        <v>11.95</v>
      </c>
      <c r="T4700" s="238">
        <v>0.0</v>
      </c>
      <c r="U4700" s="238">
        <v>0.0</v>
      </c>
      <c r="V4700" s="238">
        <v>0.0</v>
      </c>
      <c r="W4700" s="238">
        <v>0.0</v>
      </c>
      <c r="X4700" s="235" t="s">
        <v>628</v>
      </c>
      <c r="Z4700" s="245"/>
      <c r="AA4700" s="245"/>
      <c r="AB4700" s="245"/>
      <c r="AC4700" s="235" t="s">
        <v>795</v>
      </c>
      <c r="AD4700" s="235" t="s">
        <v>796</v>
      </c>
      <c r="AE4700" s="238">
        <v>110005.0</v>
      </c>
      <c r="AF4700" s="235" t="s">
        <v>631</v>
      </c>
      <c r="AG4700" s="245"/>
      <c r="AH4700" s="245"/>
      <c r="AI4700" s="245"/>
      <c r="AJ4700" s="245"/>
      <c r="AK4700" s="245"/>
      <c r="AL4700" s="245"/>
      <c r="AM4700" s="245"/>
      <c r="AN4700" s="245"/>
      <c r="AO4700" s="238">
        <v>-4.88</v>
      </c>
      <c r="AP4700" s="238">
        <v>0.0</v>
      </c>
      <c r="AQ4700" s="235" t="s">
        <v>632</v>
      </c>
      <c r="AR4700" s="243">
        <v>2.02E11</v>
      </c>
      <c r="AS4700" s="235" t="s">
        <v>33466</v>
      </c>
      <c r="AT4700" s="235" t="s">
        <v>5</v>
      </c>
      <c r="AU4700" s="235" t="s">
        <v>634</v>
      </c>
      <c r="AV4700" s="246" t="s">
        <v>635</v>
      </c>
      <c r="AW4700" s="227"/>
      <c r="AX4700" s="227"/>
      <c r="AY4700" s="227"/>
      <c r="AZ4700" s="227"/>
      <c r="BA4700" s="227"/>
      <c r="BB4700" s="227"/>
      <c r="BC4700" s="227"/>
      <c r="BD4700" s="227"/>
      <c r="BE4700" s="227"/>
      <c r="BF4700" s="227"/>
    </row>
    <row r="4701">
      <c r="A4701" s="235" t="s">
        <v>34788</v>
      </c>
      <c r="C4701" s="235" t="s">
        <v>34789</v>
      </c>
      <c r="D4701" s="235" t="s">
        <v>34790</v>
      </c>
      <c r="E4701" s="243">
        <v>6.5E13</v>
      </c>
      <c r="F4701" s="245"/>
      <c r="G4701" s="235" t="s">
        <v>34791</v>
      </c>
      <c r="H4701" s="235" t="s">
        <v>34792</v>
      </c>
      <c r="I4701" s="235" t="s">
        <v>34793</v>
      </c>
      <c r="J4701" s="235" t="s">
        <v>34794</v>
      </c>
      <c r="K4701" s="235" t="s">
        <v>34795</v>
      </c>
      <c r="N4701" s="235" t="s">
        <v>141</v>
      </c>
      <c r="O4701" s="235" t="s">
        <v>342</v>
      </c>
      <c r="P4701" s="238">
        <v>1.0</v>
      </c>
      <c r="Q4701" s="235" t="s">
        <v>627</v>
      </c>
      <c r="R4701" s="238">
        <v>244.76</v>
      </c>
      <c r="S4701" s="238">
        <v>12.24</v>
      </c>
      <c r="T4701" s="238">
        <v>0.0</v>
      </c>
      <c r="U4701" s="238">
        <v>0.0</v>
      </c>
      <c r="V4701" s="238">
        <v>0.0</v>
      </c>
      <c r="W4701" s="238">
        <v>0.0</v>
      </c>
      <c r="X4701" s="235" t="s">
        <v>628</v>
      </c>
      <c r="Z4701" s="245"/>
      <c r="AA4701" s="245"/>
      <c r="AB4701" s="245"/>
      <c r="AC4701" s="235" t="s">
        <v>4712</v>
      </c>
      <c r="AD4701" s="235" t="s">
        <v>1499</v>
      </c>
      <c r="AE4701" s="238">
        <v>456010.0</v>
      </c>
      <c r="AF4701" s="235" t="s">
        <v>631</v>
      </c>
      <c r="AG4701" s="245"/>
      <c r="AH4701" s="245"/>
      <c r="AI4701" s="245"/>
      <c r="AJ4701" s="245"/>
      <c r="AK4701" s="245"/>
      <c r="AL4701" s="245"/>
      <c r="AM4701" s="245"/>
      <c r="AN4701" s="245"/>
      <c r="AO4701" s="238">
        <v>0.0</v>
      </c>
      <c r="AP4701" s="238">
        <v>0.0</v>
      </c>
      <c r="AQ4701" s="235" t="s">
        <v>632</v>
      </c>
      <c r="AR4701" s="243">
        <v>3.71E11</v>
      </c>
      <c r="AS4701" s="235" t="s">
        <v>32455</v>
      </c>
      <c r="AT4701" s="235" t="s">
        <v>17</v>
      </c>
      <c r="AU4701" s="235" t="s">
        <v>634</v>
      </c>
      <c r="AV4701" s="246" t="s">
        <v>635</v>
      </c>
      <c r="AW4701" s="227"/>
      <c r="AX4701" s="227"/>
      <c r="AY4701" s="227"/>
      <c r="AZ4701" s="227"/>
      <c r="BA4701" s="227"/>
      <c r="BB4701" s="227"/>
      <c r="BC4701" s="227"/>
      <c r="BD4701" s="227"/>
      <c r="BE4701" s="227"/>
      <c r="BF4701" s="227"/>
    </row>
    <row r="4702">
      <c r="A4702" s="235" t="s">
        <v>34796</v>
      </c>
      <c r="C4702" s="235" t="s">
        <v>34797</v>
      </c>
      <c r="D4702" s="235" t="s">
        <v>34798</v>
      </c>
      <c r="E4702" s="243">
        <v>6.5E13</v>
      </c>
      <c r="F4702" s="245"/>
      <c r="G4702" s="235" t="s">
        <v>34799</v>
      </c>
      <c r="H4702" s="235" t="s">
        <v>34800</v>
      </c>
      <c r="I4702" s="235" t="s">
        <v>34800</v>
      </c>
      <c r="J4702" s="235" t="s">
        <v>34801</v>
      </c>
      <c r="K4702" s="235" t="s">
        <v>34802</v>
      </c>
      <c r="N4702" s="235" t="s">
        <v>85</v>
      </c>
      <c r="O4702" s="235" t="s">
        <v>872</v>
      </c>
      <c r="P4702" s="238">
        <v>1.0</v>
      </c>
      <c r="Q4702" s="235" t="s">
        <v>627</v>
      </c>
      <c r="R4702" s="238">
        <v>243.81</v>
      </c>
      <c r="S4702" s="238">
        <v>12.19</v>
      </c>
      <c r="T4702" s="238">
        <v>38.1</v>
      </c>
      <c r="U4702" s="238">
        <v>1.9</v>
      </c>
      <c r="V4702" s="238">
        <v>0.0</v>
      </c>
      <c r="W4702" s="238">
        <v>0.0</v>
      </c>
      <c r="X4702" s="235" t="s">
        <v>628</v>
      </c>
      <c r="Z4702" s="245"/>
      <c r="AA4702" s="245"/>
      <c r="AB4702" s="245"/>
      <c r="AC4702" s="235" t="s">
        <v>34803</v>
      </c>
      <c r="AD4702" s="235" t="s">
        <v>2067</v>
      </c>
      <c r="AE4702" s="238">
        <v>815353.0</v>
      </c>
      <c r="AF4702" s="235" t="s">
        <v>631</v>
      </c>
      <c r="AG4702" s="245"/>
      <c r="AH4702" s="245"/>
      <c r="AI4702" s="245"/>
      <c r="AJ4702" s="245"/>
      <c r="AK4702" s="245"/>
      <c r="AL4702" s="245"/>
      <c r="AM4702" s="245"/>
      <c r="AN4702" s="245"/>
      <c r="AO4702" s="238">
        <v>0.0</v>
      </c>
      <c r="AP4702" s="238">
        <v>-38.1</v>
      </c>
      <c r="AQ4702" s="235" t="s">
        <v>632</v>
      </c>
      <c r="AR4702" s="243">
        <v>3.71E11</v>
      </c>
      <c r="AS4702" s="235" t="s">
        <v>29883</v>
      </c>
      <c r="AT4702" s="235" t="s">
        <v>14</v>
      </c>
      <c r="AU4702" s="235" t="s">
        <v>634</v>
      </c>
      <c r="AV4702" s="246" t="s">
        <v>635</v>
      </c>
      <c r="AW4702" s="227"/>
      <c r="AX4702" s="227"/>
      <c r="AY4702" s="227"/>
      <c r="AZ4702" s="227"/>
      <c r="BA4702" s="227"/>
      <c r="BB4702" s="227"/>
      <c r="BC4702" s="227"/>
      <c r="BD4702" s="227"/>
      <c r="BE4702" s="227"/>
      <c r="BF4702" s="227"/>
    </row>
    <row r="4703">
      <c r="A4703" s="235" t="s">
        <v>34804</v>
      </c>
      <c r="C4703" s="235" t="s">
        <v>34805</v>
      </c>
      <c r="D4703" s="235" t="s">
        <v>34806</v>
      </c>
      <c r="E4703" s="243">
        <v>6.5E13</v>
      </c>
      <c r="F4703" s="245"/>
      <c r="G4703" s="235" t="s">
        <v>34807</v>
      </c>
      <c r="H4703" s="235" t="s">
        <v>34808</v>
      </c>
      <c r="I4703" s="235" t="s">
        <v>34808</v>
      </c>
      <c r="J4703" s="235" t="s">
        <v>34809</v>
      </c>
      <c r="K4703" s="235" t="s">
        <v>34810</v>
      </c>
      <c r="N4703" s="235" t="s">
        <v>127</v>
      </c>
      <c r="O4703" s="235" t="s">
        <v>794</v>
      </c>
      <c r="P4703" s="238">
        <v>1.0</v>
      </c>
      <c r="Q4703" s="235" t="s">
        <v>627</v>
      </c>
      <c r="R4703" s="238">
        <v>243.8</v>
      </c>
      <c r="S4703" s="238">
        <v>12.2</v>
      </c>
      <c r="T4703" s="238">
        <v>0.0</v>
      </c>
      <c r="U4703" s="238">
        <v>0.0</v>
      </c>
      <c r="V4703" s="238">
        <v>0.0</v>
      </c>
      <c r="W4703" s="238">
        <v>0.0</v>
      </c>
      <c r="X4703" s="235" t="s">
        <v>628</v>
      </c>
      <c r="Z4703" s="245"/>
      <c r="AA4703" s="245"/>
      <c r="AB4703" s="245"/>
      <c r="AC4703" s="235" t="s">
        <v>1998</v>
      </c>
      <c r="AD4703" s="235" t="s">
        <v>928</v>
      </c>
      <c r="AE4703" s="238">
        <v>121001.0</v>
      </c>
      <c r="AF4703" s="235" t="s">
        <v>631</v>
      </c>
      <c r="AG4703" s="245"/>
      <c r="AH4703" s="245"/>
      <c r="AI4703" s="245"/>
      <c r="AJ4703" s="245"/>
      <c r="AK4703" s="245"/>
      <c r="AL4703" s="245"/>
      <c r="AM4703" s="245"/>
      <c r="AN4703" s="245"/>
      <c r="AO4703" s="238">
        <v>0.0</v>
      </c>
      <c r="AP4703" s="238">
        <v>0.0</v>
      </c>
      <c r="AQ4703" s="235" t="s">
        <v>632</v>
      </c>
      <c r="AR4703" s="243">
        <v>1.68E11</v>
      </c>
      <c r="AS4703" s="235" t="s">
        <v>34510</v>
      </c>
      <c r="AT4703" s="235" t="s">
        <v>533</v>
      </c>
      <c r="AU4703" s="235" t="s">
        <v>634</v>
      </c>
      <c r="AV4703" s="246" t="s">
        <v>635</v>
      </c>
      <c r="AW4703" s="227"/>
      <c r="AX4703" s="227"/>
      <c r="AY4703" s="227"/>
      <c r="AZ4703" s="227"/>
      <c r="BA4703" s="227"/>
      <c r="BB4703" s="227"/>
      <c r="BC4703" s="227"/>
      <c r="BD4703" s="227"/>
      <c r="BE4703" s="227"/>
      <c r="BF4703" s="227"/>
    </row>
    <row r="4704">
      <c r="A4704" s="235" t="s">
        <v>34811</v>
      </c>
      <c r="C4704" s="235" t="s">
        <v>34812</v>
      </c>
      <c r="D4704" s="235" t="s">
        <v>34813</v>
      </c>
      <c r="E4704" s="243">
        <v>6.5E13</v>
      </c>
      <c r="F4704" s="245"/>
      <c r="G4704" s="235" t="s">
        <v>34814</v>
      </c>
      <c r="H4704" s="235" t="s">
        <v>34815</v>
      </c>
      <c r="I4704" s="235" t="s">
        <v>34815</v>
      </c>
      <c r="J4704" s="235" t="s">
        <v>34816</v>
      </c>
      <c r="K4704" s="235" t="s">
        <v>34817</v>
      </c>
      <c r="N4704" s="235" t="s">
        <v>1346</v>
      </c>
      <c r="O4704" s="235" t="s">
        <v>1347</v>
      </c>
      <c r="P4704" s="238">
        <v>1.0</v>
      </c>
      <c r="Q4704" s="235" t="s">
        <v>627</v>
      </c>
      <c r="R4704" s="238">
        <v>256.2</v>
      </c>
      <c r="S4704" s="238">
        <v>12.54</v>
      </c>
      <c r="T4704" s="238">
        <v>0.0</v>
      </c>
      <c r="U4704" s="238">
        <v>0.0</v>
      </c>
      <c r="V4704" s="238">
        <v>0.0</v>
      </c>
      <c r="W4704" s="238">
        <v>0.0</v>
      </c>
      <c r="X4704" s="235" t="s">
        <v>628</v>
      </c>
      <c r="Z4704" s="245"/>
      <c r="AA4704" s="245"/>
      <c r="AB4704" s="245"/>
      <c r="AC4704" s="235" t="s">
        <v>34818</v>
      </c>
      <c r="AD4704" s="235" t="s">
        <v>666</v>
      </c>
      <c r="AE4704" s="238">
        <v>621306.0</v>
      </c>
      <c r="AF4704" s="235" t="s">
        <v>631</v>
      </c>
      <c r="AG4704" s="245"/>
      <c r="AH4704" s="245"/>
      <c r="AI4704" s="245"/>
      <c r="AJ4704" s="245"/>
      <c r="AK4704" s="245"/>
      <c r="AL4704" s="245"/>
      <c r="AM4704" s="245"/>
      <c r="AN4704" s="245"/>
      <c r="AO4704" s="238">
        <v>-5.12</v>
      </c>
      <c r="AP4704" s="238">
        <v>0.0</v>
      </c>
      <c r="AQ4704" s="235" t="s">
        <v>632</v>
      </c>
      <c r="AR4704" s="243">
        <v>3.71E11</v>
      </c>
      <c r="AS4704" s="235" t="s">
        <v>33466</v>
      </c>
      <c r="AT4704" s="235" t="s">
        <v>155</v>
      </c>
      <c r="AU4704" s="235" t="s">
        <v>634</v>
      </c>
      <c r="AV4704" s="246" t="s">
        <v>635</v>
      </c>
      <c r="AW4704" s="227"/>
      <c r="AX4704" s="227"/>
      <c r="AY4704" s="227"/>
      <c r="AZ4704" s="227"/>
      <c r="BA4704" s="227"/>
      <c r="BB4704" s="227"/>
      <c r="BC4704" s="227"/>
      <c r="BD4704" s="227"/>
      <c r="BE4704" s="227"/>
      <c r="BF4704" s="227"/>
    </row>
    <row r="4705">
      <c r="A4705" s="235" t="s">
        <v>34819</v>
      </c>
      <c r="C4705" s="235" t="s">
        <v>34820</v>
      </c>
      <c r="D4705" s="235" t="s">
        <v>34821</v>
      </c>
      <c r="E4705" s="243">
        <v>6.5E13</v>
      </c>
      <c r="F4705" s="245"/>
      <c r="G4705" s="235" t="s">
        <v>34822</v>
      </c>
      <c r="H4705" s="235" t="s">
        <v>34823</v>
      </c>
      <c r="I4705" s="235" t="s">
        <v>34823</v>
      </c>
      <c r="J4705" s="235" t="s">
        <v>34824</v>
      </c>
      <c r="K4705" s="235" t="s">
        <v>34825</v>
      </c>
      <c r="N4705" s="235" t="s">
        <v>92</v>
      </c>
      <c r="O4705" s="235" t="s">
        <v>248</v>
      </c>
      <c r="P4705" s="238">
        <v>1.0</v>
      </c>
      <c r="Q4705" s="235" t="s">
        <v>627</v>
      </c>
      <c r="R4705" s="238">
        <v>244.76</v>
      </c>
      <c r="S4705" s="238">
        <v>12.24</v>
      </c>
      <c r="T4705" s="238">
        <v>38.1</v>
      </c>
      <c r="U4705" s="238">
        <v>1.9</v>
      </c>
      <c r="V4705" s="238">
        <v>0.0</v>
      </c>
      <c r="W4705" s="238">
        <v>0.0</v>
      </c>
      <c r="X4705" s="235" t="s">
        <v>628</v>
      </c>
      <c r="Z4705" s="245"/>
      <c r="AA4705" s="245"/>
      <c r="AB4705" s="245"/>
      <c r="AC4705" s="235" t="s">
        <v>8110</v>
      </c>
      <c r="AD4705" s="235" t="s">
        <v>679</v>
      </c>
      <c r="AE4705" s="238">
        <v>580001.0</v>
      </c>
      <c r="AF4705" s="235" t="s">
        <v>631</v>
      </c>
      <c r="AG4705" s="245"/>
      <c r="AH4705" s="245"/>
      <c r="AI4705" s="245"/>
      <c r="AJ4705" s="245"/>
      <c r="AK4705" s="245"/>
      <c r="AL4705" s="245"/>
      <c r="AM4705" s="245"/>
      <c r="AN4705" s="245"/>
      <c r="AO4705" s="238">
        <v>0.0</v>
      </c>
      <c r="AP4705" s="238">
        <v>-38.1</v>
      </c>
      <c r="AQ4705" s="235" t="s">
        <v>632</v>
      </c>
      <c r="AR4705" s="243">
        <v>1.68E11</v>
      </c>
      <c r="AS4705" s="235" t="s">
        <v>33466</v>
      </c>
      <c r="AT4705" s="235" t="s">
        <v>9</v>
      </c>
      <c r="AU4705" s="235" t="s">
        <v>634</v>
      </c>
      <c r="AV4705" s="246" t="s">
        <v>635</v>
      </c>
      <c r="AW4705" s="227"/>
      <c r="AX4705" s="227"/>
      <c r="AY4705" s="227"/>
      <c r="AZ4705" s="227"/>
      <c r="BA4705" s="227"/>
      <c r="BB4705" s="227"/>
      <c r="BC4705" s="227"/>
      <c r="BD4705" s="227"/>
      <c r="BE4705" s="227"/>
      <c r="BF4705" s="227"/>
    </row>
    <row r="4706">
      <c r="A4706" s="235" t="s">
        <v>34826</v>
      </c>
      <c r="C4706" s="235" t="s">
        <v>34827</v>
      </c>
      <c r="D4706" s="235" t="s">
        <v>34828</v>
      </c>
      <c r="E4706" s="243">
        <v>6.5E13</v>
      </c>
      <c r="F4706" s="245"/>
      <c r="G4706" s="235" t="s">
        <v>34829</v>
      </c>
      <c r="H4706" s="235" t="s">
        <v>34830</v>
      </c>
      <c r="I4706" s="235" t="s">
        <v>34830</v>
      </c>
      <c r="J4706" s="235" t="s">
        <v>34831</v>
      </c>
      <c r="K4706" s="235" t="s">
        <v>16610</v>
      </c>
      <c r="N4706" s="235" t="s">
        <v>144</v>
      </c>
      <c r="O4706" s="235" t="s">
        <v>232</v>
      </c>
      <c r="P4706" s="238">
        <v>1.0</v>
      </c>
      <c r="Q4706" s="235" t="s">
        <v>627</v>
      </c>
      <c r="R4706" s="238">
        <v>665.71</v>
      </c>
      <c r="S4706" s="238">
        <v>33.29</v>
      </c>
      <c r="T4706" s="238">
        <v>0.0</v>
      </c>
      <c r="U4706" s="238">
        <v>0.0</v>
      </c>
      <c r="V4706" s="238">
        <v>0.0</v>
      </c>
      <c r="W4706" s="238">
        <v>0.0</v>
      </c>
      <c r="X4706" s="235" t="s">
        <v>628</v>
      </c>
      <c r="Z4706" s="245"/>
      <c r="AA4706" s="245"/>
      <c r="AB4706" s="245"/>
      <c r="AC4706" s="235" t="s">
        <v>832</v>
      </c>
      <c r="AD4706" s="235" t="s">
        <v>833</v>
      </c>
      <c r="AE4706" s="238">
        <v>530014.0</v>
      </c>
      <c r="AF4706" s="235" t="s">
        <v>631</v>
      </c>
      <c r="AG4706" s="245"/>
      <c r="AH4706" s="245"/>
      <c r="AI4706" s="245"/>
      <c r="AJ4706" s="245"/>
      <c r="AK4706" s="245"/>
      <c r="AL4706" s="245"/>
      <c r="AM4706" s="245"/>
      <c r="AN4706" s="245"/>
      <c r="AO4706" s="238">
        <v>0.0</v>
      </c>
      <c r="AP4706" s="238">
        <v>0.0</v>
      </c>
      <c r="AQ4706" s="235" t="s">
        <v>632</v>
      </c>
      <c r="AR4706" s="243">
        <v>2.02E11</v>
      </c>
      <c r="AS4706" s="235" t="s">
        <v>33466</v>
      </c>
      <c r="AT4706" s="235" t="s">
        <v>9</v>
      </c>
      <c r="AU4706" s="235" t="s">
        <v>634</v>
      </c>
      <c r="AV4706" s="246" t="s">
        <v>635</v>
      </c>
      <c r="AW4706" s="227"/>
      <c r="AX4706" s="227"/>
      <c r="AY4706" s="227"/>
      <c r="AZ4706" s="227"/>
      <c r="BA4706" s="227"/>
      <c r="BB4706" s="227"/>
      <c r="BC4706" s="227"/>
      <c r="BD4706" s="227"/>
      <c r="BE4706" s="227"/>
      <c r="BF4706" s="227"/>
    </row>
    <row r="4707">
      <c r="A4707" s="235" t="s">
        <v>34832</v>
      </c>
      <c r="C4707" s="235" t="s">
        <v>34833</v>
      </c>
      <c r="D4707" s="235" t="s">
        <v>34834</v>
      </c>
      <c r="E4707" s="243">
        <v>6.5E13</v>
      </c>
      <c r="F4707" s="245"/>
      <c r="G4707" s="235" t="s">
        <v>34835</v>
      </c>
      <c r="H4707" s="235" t="s">
        <v>34836</v>
      </c>
      <c r="I4707" s="235" t="s">
        <v>34836</v>
      </c>
      <c r="J4707" s="235" t="s">
        <v>34837</v>
      </c>
      <c r="K4707" s="235" t="s">
        <v>34838</v>
      </c>
      <c r="N4707" s="235" t="s">
        <v>90</v>
      </c>
      <c r="O4707" s="235" t="s">
        <v>279</v>
      </c>
      <c r="P4707" s="238">
        <v>1.0</v>
      </c>
      <c r="Q4707" s="235" t="s">
        <v>627</v>
      </c>
      <c r="R4707" s="238">
        <v>243.8</v>
      </c>
      <c r="S4707" s="238">
        <v>12.2</v>
      </c>
      <c r="T4707" s="238">
        <v>0.0</v>
      </c>
      <c r="U4707" s="238">
        <v>0.0</v>
      </c>
      <c r="V4707" s="238">
        <v>0.0</v>
      </c>
      <c r="W4707" s="238">
        <v>0.0</v>
      </c>
      <c r="X4707" s="235" t="s">
        <v>628</v>
      </c>
      <c r="Z4707" s="245"/>
      <c r="AA4707" s="245"/>
      <c r="AB4707" s="245"/>
      <c r="AC4707" s="235" t="s">
        <v>34839</v>
      </c>
      <c r="AD4707" s="235" t="s">
        <v>666</v>
      </c>
      <c r="AE4707" s="238">
        <v>627414.0</v>
      </c>
      <c r="AF4707" s="235" t="s">
        <v>631</v>
      </c>
      <c r="AG4707" s="245"/>
      <c r="AH4707" s="245"/>
      <c r="AI4707" s="245"/>
      <c r="AJ4707" s="245"/>
      <c r="AK4707" s="245"/>
      <c r="AL4707" s="245"/>
      <c r="AM4707" s="245"/>
      <c r="AN4707" s="245"/>
      <c r="AO4707" s="238">
        <v>0.0</v>
      </c>
      <c r="AP4707" s="238">
        <v>0.0</v>
      </c>
      <c r="AQ4707" s="235" t="s">
        <v>632</v>
      </c>
      <c r="AR4707" s="243">
        <v>3.71E11</v>
      </c>
      <c r="AS4707" s="235" t="s">
        <v>32455</v>
      </c>
      <c r="AT4707" s="235" t="s">
        <v>155</v>
      </c>
      <c r="AU4707" s="235" t="s">
        <v>634</v>
      </c>
      <c r="AV4707" s="246" t="s">
        <v>635</v>
      </c>
      <c r="AW4707" s="227"/>
      <c r="AX4707" s="227"/>
      <c r="AY4707" s="227"/>
      <c r="AZ4707" s="227"/>
      <c r="BA4707" s="227"/>
      <c r="BB4707" s="227"/>
      <c r="BC4707" s="227"/>
      <c r="BD4707" s="227"/>
      <c r="BE4707" s="227"/>
      <c r="BF4707" s="227"/>
    </row>
    <row r="4708">
      <c r="A4708" s="235" t="s">
        <v>34840</v>
      </c>
      <c r="C4708" s="235" t="s">
        <v>34841</v>
      </c>
      <c r="D4708" s="235" t="s">
        <v>34842</v>
      </c>
      <c r="E4708" s="243">
        <v>6.5E13</v>
      </c>
      <c r="F4708" s="245"/>
      <c r="G4708" s="235" t="s">
        <v>34843</v>
      </c>
      <c r="H4708" s="235" t="s">
        <v>34844</v>
      </c>
      <c r="I4708" s="235" t="s">
        <v>34844</v>
      </c>
      <c r="J4708" s="235" t="s">
        <v>34845</v>
      </c>
      <c r="K4708" s="235" t="s">
        <v>33458</v>
      </c>
      <c r="N4708" s="235" t="s">
        <v>126</v>
      </c>
      <c r="O4708" s="235" t="s">
        <v>407</v>
      </c>
      <c r="P4708" s="238">
        <v>1.0</v>
      </c>
      <c r="Q4708" s="235" t="s">
        <v>627</v>
      </c>
      <c r="R4708" s="238">
        <v>237.14</v>
      </c>
      <c r="S4708" s="238">
        <v>11.86</v>
      </c>
      <c r="T4708" s="238">
        <v>38.1</v>
      </c>
      <c r="U4708" s="238">
        <v>1.9</v>
      </c>
      <c r="V4708" s="238">
        <v>0.0</v>
      </c>
      <c r="W4708" s="238">
        <v>0.0</v>
      </c>
      <c r="X4708" s="235" t="s">
        <v>628</v>
      </c>
      <c r="Z4708" s="245"/>
      <c r="AA4708" s="245"/>
      <c r="AB4708" s="245"/>
      <c r="AC4708" s="235" t="s">
        <v>14305</v>
      </c>
      <c r="AD4708" s="235" t="s">
        <v>2067</v>
      </c>
      <c r="AE4708" s="238">
        <v>831012.0</v>
      </c>
      <c r="AF4708" s="235" t="s">
        <v>631</v>
      </c>
      <c r="AG4708" s="245"/>
      <c r="AH4708" s="245"/>
      <c r="AI4708" s="245"/>
      <c r="AJ4708" s="245"/>
      <c r="AK4708" s="245"/>
      <c r="AL4708" s="245"/>
      <c r="AM4708" s="245"/>
      <c r="AN4708" s="245"/>
      <c r="AO4708" s="238">
        <v>0.0</v>
      </c>
      <c r="AP4708" s="238">
        <v>-38.1</v>
      </c>
      <c r="AQ4708" s="235" t="s">
        <v>632</v>
      </c>
      <c r="AR4708" s="243">
        <v>3.71E11</v>
      </c>
      <c r="AS4708" s="235" t="s">
        <v>29883</v>
      </c>
      <c r="AT4708" s="235" t="s">
        <v>14</v>
      </c>
      <c r="AU4708" s="235" t="s">
        <v>634</v>
      </c>
      <c r="AV4708" s="246" t="s">
        <v>635</v>
      </c>
      <c r="AW4708" s="227"/>
      <c r="AX4708" s="227"/>
      <c r="AY4708" s="227"/>
      <c r="AZ4708" s="227"/>
      <c r="BA4708" s="227"/>
      <c r="BB4708" s="227"/>
      <c r="BC4708" s="227"/>
      <c r="BD4708" s="227"/>
      <c r="BE4708" s="227"/>
      <c r="BF4708" s="227"/>
    </row>
    <row r="4709">
      <c r="A4709" s="235" t="s">
        <v>34846</v>
      </c>
      <c r="C4709" s="235" t="s">
        <v>34847</v>
      </c>
      <c r="D4709" s="235" t="s">
        <v>34848</v>
      </c>
      <c r="E4709" s="243">
        <v>6.5E13</v>
      </c>
      <c r="F4709" s="245"/>
      <c r="G4709" s="235" t="s">
        <v>34849</v>
      </c>
      <c r="H4709" s="235" t="s">
        <v>34850</v>
      </c>
      <c r="I4709" s="235" t="s">
        <v>34850</v>
      </c>
      <c r="J4709" s="235" t="s">
        <v>34851</v>
      </c>
      <c r="K4709" s="235" t="s">
        <v>34852</v>
      </c>
      <c r="N4709" s="235" t="s">
        <v>82</v>
      </c>
      <c r="O4709" s="235" t="s">
        <v>889</v>
      </c>
      <c r="P4709" s="238">
        <v>1.0</v>
      </c>
      <c r="Q4709" s="235" t="s">
        <v>627</v>
      </c>
      <c r="R4709" s="238">
        <v>243.81</v>
      </c>
      <c r="S4709" s="238">
        <v>12.19</v>
      </c>
      <c r="T4709" s="238">
        <v>38.1</v>
      </c>
      <c r="U4709" s="238">
        <v>1.9</v>
      </c>
      <c r="V4709" s="238">
        <v>0.0</v>
      </c>
      <c r="W4709" s="238">
        <v>0.0</v>
      </c>
      <c r="X4709" s="235" t="s">
        <v>628</v>
      </c>
      <c r="Z4709" s="245"/>
      <c r="AA4709" s="245"/>
      <c r="AB4709" s="245"/>
      <c r="AC4709" s="235" t="s">
        <v>34853</v>
      </c>
      <c r="AD4709" s="235" t="s">
        <v>833</v>
      </c>
      <c r="AE4709" s="238">
        <v>516193.0</v>
      </c>
      <c r="AF4709" s="235" t="s">
        <v>631</v>
      </c>
      <c r="AG4709" s="245"/>
      <c r="AH4709" s="245"/>
      <c r="AI4709" s="245"/>
      <c r="AJ4709" s="245"/>
      <c r="AK4709" s="245"/>
      <c r="AL4709" s="245"/>
      <c r="AM4709" s="245"/>
      <c r="AN4709" s="245"/>
      <c r="AO4709" s="238">
        <v>0.0</v>
      </c>
      <c r="AP4709" s="238">
        <v>-38.1</v>
      </c>
      <c r="AQ4709" s="235" t="s">
        <v>632</v>
      </c>
      <c r="AR4709" s="243">
        <v>3.71E11</v>
      </c>
      <c r="AS4709" s="235" t="s">
        <v>32455</v>
      </c>
      <c r="AT4709" s="235" t="s">
        <v>9</v>
      </c>
      <c r="AU4709" s="235" t="s">
        <v>634</v>
      </c>
      <c r="AV4709" s="246" t="s">
        <v>635</v>
      </c>
      <c r="AW4709" s="227"/>
      <c r="AX4709" s="227"/>
      <c r="AY4709" s="227"/>
      <c r="AZ4709" s="227"/>
      <c r="BA4709" s="227"/>
      <c r="BB4709" s="227"/>
      <c r="BC4709" s="227"/>
      <c r="BD4709" s="227"/>
      <c r="BE4709" s="227"/>
      <c r="BF4709" s="227"/>
    </row>
    <row r="4710">
      <c r="A4710" s="235" t="s">
        <v>34854</v>
      </c>
      <c r="C4710" s="235" t="s">
        <v>34855</v>
      </c>
      <c r="D4710" s="235" t="s">
        <v>34856</v>
      </c>
      <c r="E4710" s="243">
        <v>6.5E13</v>
      </c>
      <c r="F4710" s="245"/>
      <c r="G4710" s="235" t="s">
        <v>34857</v>
      </c>
      <c r="H4710" s="235" t="s">
        <v>34858</v>
      </c>
      <c r="I4710" s="235" t="s">
        <v>34858</v>
      </c>
      <c r="J4710" s="235" t="s">
        <v>34859</v>
      </c>
      <c r="K4710" s="235" t="s">
        <v>34860</v>
      </c>
      <c r="N4710" s="235" t="s">
        <v>154</v>
      </c>
      <c r="O4710" s="235" t="s">
        <v>766</v>
      </c>
      <c r="P4710" s="238">
        <v>1.0</v>
      </c>
      <c r="Q4710" s="235" t="s">
        <v>627</v>
      </c>
      <c r="R4710" s="238">
        <v>465.71</v>
      </c>
      <c r="S4710" s="238">
        <v>22.82</v>
      </c>
      <c r="T4710" s="238">
        <v>38.1</v>
      </c>
      <c r="U4710" s="238">
        <v>1.9</v>
      </c>
      <c r="V4710" s="238">
        <v>0.0</v>
      </c>
      <c r="W4710" s="238">
        <v>0.0</v>
      </c>
      <c r="X4710" s="235" t="s">
        <v>628</v>
      </c>
      <c r="Z4710" s="245"/>
      <c r="AA4710" s="245"/>
      <c r="AB4710" s="245"/>
      <c r="AC4710" s="235" t="s">
        <v>795</v>
      </c>
      <c r="AD4710" s="235" t="s">
        <v>796</v>
      </c>
      <c r="AE4710" s="238">
        <v>110096.0</v>
      </c>
      <c r="AF4710" s="235" t="s">
        <v>631</v>
      </c>
      <c r="AG4710" s="245"/>
      <c r="AH4710" s="245"/>
      <c r="AI4710" s="245"/>
      <c r="AJ4710" s="245"/>
      <c r="AK4710" s="245"/>
      <c r="AL4710" s="245"/>
      <c r="AM4710" s="245"/>
      <c r="AN4710" s="245"/>
      <c r="AO4710" s="238">
        <v>-9.31</v>
      </c>
      <c r="AP4710" s="238">
        <v>-38.1</v>
      </c>
      <c r="AQ4710" s="235" t="s">
        <v>632</v>
      </c>
      <c r="AR4710" s="243">
        <v>3.71E11</v>
      </c>
      <c r="AS4710" s="235" t="s">
        <v>33466</v>
      </c>
      <c r="AT4710" s="235" t="s">
        <v>533</v>
      </c>
      <c r="AU4710" s="235" t="s">
        <v>634</v>
      </c>
      <c r="AV4710" s="246" t="s">
        <v>635</v>
      </c>
      <c r="AW4710" s="227"/>
      <c r="AX4710" s="227"/>
      <c r="AY4710" s="227"/>
      <c r="AZ4710" s="227"/>
      <c r="BA4710" s="227"/>
      <c r="BB4710" s="227"/>
      <c r="BC4710" s="227"/>
      <c r="BD4710" s="227"/>
      <c r="BE4710" s="227"/>
      <c r="BF4710" s="227"/>
    </row>
    <row r="4711">
      <c r="A4711" s="235" t="s">
        <v>34861</v>
      </c>
      <c r="C4711" s="235" t="s">
        <v>34862</v>
      </c>
      <c r="D4711" s="235" t="s">
        <v>34863</v>
      </c>
      <c r="E4711" s="243">
        <v>6.5E13</v>
      </c>
      <c r="F4711" s="245"/>
      <c r="G4711" s="235" t="s">
        <v>34864</v>
      </c>
      <c r="H4711" s="235" t="s">
        <v>34865</v>
      </c>
      <c r="I4711" s="235" t="s">
        <v>34865</v>
      </c>
      <c r="J4711" s="235" t="s">
        <v>34866</v>
      </c>
      <c r="K4711" s="235" t="s">
        <v>34867</v>
      </c>
      <c r="N4711" s="235" t="s">
        <v>56</v>
      </c>
      <c r="O4711" s="235" t="s">
        <v>415</v>
      </c>
      <c r="P4711" s="238">
        <v>1.0</v>
      </c>
      <c r="Q4711" s="235" t="s">
        <v>627</v>
      </c>
      <c r="R4711" s="238">
        <v>627.62</v>
      </c>
      <c r="S4711" s="238">
        <v>30.75</v>
      </c>
      <c r="T4711" s="238">
        <v>0.0</v>
      </c>
      <c r="U4711" s="238">
        <v>0.0</v>
      </c>
      <c r="V4711" s="238">
        <v>0.0</v>
      </c>
      <c r="W4711" s="238">
        <v>0.0</v>
      </c>
      <c r="X4711" s="235" t="s">
        <v>628</v>
      </c>
      <c r="Z4711" s="245"/>
      <c r="AA4711" s="245"/>
      <c r="AB4711" s="245"/>
      <c r="AC4711" s="235" t="s">
        <v>814</v>
      </c>
      <c r="AD4711" s="235" t="s">
        <v>698</v>
      </c>
      <c r="AE4711" s="238">
        <v>500108.0</v>
      </c>
      <c r="AF4711" s="235" t="s">
        <v>631</v>
      </c>
      <c r="AG4711" s="245"/>
      <c r="AH4711" s="245"/>
      <c r="AI4711" s="245"/>
      <c r="AJ4711" s="245"/>
      <c r="AK4711" s="245"/>
      <c r="AL4711" s="245"/>
      <c r="AM4711" s="245"/>
      <c r="AN4711" s="245"/>
      <c r="AO4711" s="238">
        <v>-12.55</v>
      </c>
      <c r="AP4711" s="238">
        <v>0.0</v>
      </c>
      <c r="AQ4711" s="235" t="s">
        <v>632</v>
      </c>
      <c r="AR4711" s="243">
        <v>3.71E11</v>
      </c>
      <c r="AS4711" s="235" t="s">
        <v>32455</v>
      </c>
      <c r="AT4711" s="235" t="s">
        <v>16</v>
      </c>
      <c r="AU4711" s="235" t="s">
        <v>634</v>
      </c>
      <c r="AV4711" s="246" t="s">
        <v>635</v>
      </c>
      <c r="AW4711" s="227"/>
      <c r="AX4711" s="227"/>
      <c r="AY4711" s="227"/>
      <c r="AZ4711" s="227"/>
      <c r="BA4711" s="227"/>
      <c r="BB4711" s="227"/>
      <c r="BC4711" s="227"/>
      <c r="BD4711" s="227"/>
      <c r="BE4711" s="227"/>
      <c r="BF4711" s="227"/>
    </row>
    <row r="4712">
      <c r="A4712" s="235" t="s">
        <v>34868</v>
      </c>
      <c r="C4712" s="235" t="s">
        <v>34869</v>
      </c>
      <c r="D4712" s="235" t="s">
        <v>34870</v>
      </c>
      <c r="E4712" s="243">
        <v>6.48E13</v>
      </c>
      <c r="F4712" s="245"/>
      <c r="G4712" s="235" t="s">
        <v>34871</v>
      </c>
      <c r="H4712" s="235" t="s">
        <v>34872</v>
      </c>
      <c r="I4712" s="235" t="s">
        <v>34873</v>
      </c>
      <c r="J4712" s="235" t="s">
        <v>34874</v>
      </c>
      <c r="K4712" s="235" t="s">
        <v>34875</v>
      </c>
      <c r="N4712" s="235" t="s">
        <v>134</v>
      </c>
      <c r="O4712" s="235" t="s">
        <v>314</v>
      </c>
      <c r="P4712" s="238">
        <v>1.0</v>
      </c>
      <c r="Q4712" s="235" t="s">
        <v>627</v>
      </c>
      <c r="R4712" s="238">
        <v>244.76</v>
      </c>
      <c r="S4712" s="238">
        <v>12.0</v>
      </c>
      <c r="T4712" s="238">
        <v>0.0</v>
      </c>
      <c r="U4712" s="238">
        <v>0.0</v>
      </c>
      <c r="V4712" s="238">
        <v>0.0</v>
      </c>
      <c r="W4712" s="238">
        <v>0.0</v>
      </c>
      <c r="X4712" s="235" t="s">
        <v>628</v>
      </c>
      <c r="Z4712" s="245"/>
      <c r="AA4712" s="245"/>
      <c r="AB4712" s="245"/>
      <c r="AC4712" s="235" t="s">
        <v>15649</v>
      </c>
      <c r="AD4712" s="235" t="s">
        <v>666</v>
      </c>
      <c r="AE4712" s="238">
        <v>635109.0</v>
      </c>
      <c r="AF4712" s="235" t="s">
        <v>631</v>
      </c>
      <c r="AG4712" s="245"/>
      <c r="AH4712" s="245"/>
      <c r="AI4712" s="245"/>
      <c r="AJ4712" s="245"/>
      <c r="AK4712" s="245"/>
      <c r="AL4712" s="245"/>
      <c r="AM4712" s="245"/>
      <c r="AN4712" s="245"/>
      <c r="AO4712" s="238">
        <v>-4.9</v>
      </c>
      <c r="AP4712" s="238">
        <v>0.0</v>
      </c>
      <c r="AQ4712" s="235" t="s">
        <v>632</v>
      </c>
      <c r="AR4712" s="243">
        <v>3.71E11</v>
      </c>
      <c r="AS4712" s="235" t="s">
        <v>33466</v>
      </c>
      <c r="AT4712" s="235" t="s">
        <v>11</v>
      </c>
      <c r="AU4712" s="235" t="s">
        <v>634</v>
      </c>
      <c r="AV4712" s="246" t="s">
        <v>635</v>
      </c>
      <c r="AW4712" s="227"/>
      <c r="AX4712" s="227"/>
      <c r="AY4712" s="227"/>
      <c r="AZ4712" s="227"/>
      <c r="BA4712" s="227"/>
      <c r="BB4712" s="227"/>
      <c r="BC4712" s="227"/>
      <c r="BD4712" s="227"/>
      <c r="BE4712" s="227"/>
      <c r="BF4712" s="227"/>
    </row>
    <row r="4713">
      <c r="A4713" s="235" t="s">
        <v>34876</v>
      </c>
      <c r="C4713" s="235" t="s">
        <v>34877</v>
      </c>
      <c r="D4713" s="235" t="s">
        <v>34878</v>
      </c>
      <c r="E4713" s="243">
        <v>6.5E13</v>
      </c>
      <c r="F4713" s="245"/>
      <c r="G4713" s="235" t="s">
        <v>34879</v>
      </c>
      <c r="H4713" s="235" t="s">
        <v>34880</v>
      </c>
      <c r="I4713" s="235" t="s">
        <v>34880</v>
      </c>
      <c r="J4713" s="235" t="s">
        <v>34881</v>
      </c>
      <c r="K4713" s="235" t="s">
        <v>34882</v>
      </c>
      <c r="N4713" s="235" t="s">
        <v>90</v>
      </c>
      <c r="O4713" s="235" t="s">
        <v>279</v>
      </c>
      <c r="P4713" s="238">
        <v>1.0</v>
      </c>
      <c r="Q4713" s="235" t="s">
        <v>627</v>
      </c>
      <c r="R4713" s="238">
        <v>243.81</v>
      </c>
      <c r="S4713" s="238">
        <v>12.19</v>
      </c>
      <c r="T4713" s="238">
        <v>38.1</v>
      </c>
      <c r="U4713" s="238">
        <v>1.9</v>
      </c>
      <c r="V4713" s="238">
        <v>0.0</v>
      </c>
      <c r="W4713" s="238">
        <v>0.0</v>
      </c>
      <c r="X4713" s="235" t="s">
        <v>628</v>
      </c>
      <c r="Z4713" s="245"/>
      <c r="AA4713" s="245"/>
      <c r="AB4713" s="245"/>
      <c r="AC4713" s="235" t="s">
        <v>795</v>
      </c>
      <c r="AD4713" s="235" t="s">
        <v>796</v>
      </c>
      <c r="AE4713" s="238">
        <v>110005.0</v>
      </c>
      <c r="AF4713" s="235" t="s">
        <v>631</v>
      </c>
      <c r="AG4713" s="245"/>
      <c r="AH4713" s="245"/>
      <c r="AI4713" s="245"/>
      <c r="AJ4713" s="245"/>
      <c r="AK4713" s="245"/>
      <c r="AL4713" s="245"/>
      <c r="AM4713" s="245"/>
      <c r="AN4713" s="245"/>
      <c r="AO4713" s="238">
        <v>0.0</v>
      </c>
      <c r="AP4713" s="238">
        <v>-38.1</v>
      </c>
      <c r="AQ4713" s="235" t="s">
        <v>632</v>
      </c>
      <c r="AR4713" s="243">
        <v>2.02E11</v>
      </c>
      <c r="AS4713" s="235" t="s">
        <v>33466</v>
      </c>
      <c r="AT4713" s="235" t="s">
        <v>9</v>
      </c>
      <c r="AU4713" s="235" t="s">
        <v>634</v>
      </c>
      <c r="AV4713" s="246" t="s">
        <v>635</v>
      </c>
      <c r="AW4713" s="227"/>
      <c r="AX4713" s="227"/>
      <c r="AY4713" s="227"/>
      <c r="AZ4713" s="227"/>
      <c r="BA4713" s="227"/>
      <c r="BB4713" s="227"/>
      <c r="BC4713" s="227"/>
      <c r="BD4713" s="227"/>
      <c r="BE4713" s="227"/>
      <c r="BF4713" s="227"/>
    </row>
    <row r="4714">
      <c r="A4714" s="235" t="s">
        <v>34883</v>
      </c>
      <c r="C4714" s="235" t="s">
        <v>34884</v>
      </c>
      <c r="D4714" s="235" t="s">
        <v>34885</v>
      </c>
      <c r="E4714" s="243">
        <v>6.5E13</v>
      </c>
      <c r="F4714" s="245"/>
      <c r="G4714" s="235" t="s">
        <v>34886</v>
      </c>
      <c r="H4714" s="235" t="s">
        <v>34887</v>
      </c>
      <c r="I4714" s="235" t="s">
        <v>34887</v>
      </c>
      <c r="J4714" s="235" t="s">
        <v>34888</v>
      </c>
      <c r="K4714" s="235" t="s">
        <v>34889</v>
      </c>
      <c r="N4714" s="235" t="s">
        <v>154</v>
      </c>
      <c r="O4714" s="235" t="s">
        <v>766</v>
      </c>
      <c r="P4714" s="238">
        <v>1.0</v>
      </c>
      <c r="Q4714" s="235" t="s">
        <v>627</v>
      </c>
      <c r="R4714" s="238">
        <v>465.71</v>
      </c>
      <c r="S4714" s="238">
        <v>23.29</v>
      </c>
      <c r="T4714" s="238">
        <v>38.1</v>
      </c>
      <c r="U4714" s="238">
        <v>1.9</v>
      </c>
      <c r="V4714" s="238">
        <v>0.0</v>
      </c>
      <c r="W4714" s="238">
        <v>0.0</v>
      </c>
      <c r="X4714" s="235" t="s">
        <v>628</v>
      </c>
      <c r="Z4714" s="245"/>
      <c r="AA4714" s="245"/>
      <c r="AB4714" s="245"/>
      <c r="AC4714" s="235" t="s">
        <v>3806</v>
      </c>
      <c r="AD4714" s="235" t="s">
        <v>881</v>
      </c>
      <c r="AE4714" s="238">
        <v>753001.0</v>
      </c>
      <c r="AF4714" s="235" t="s">
        <v>631</v>
      </c>
      <c r="AG4714" s="245"/>
      <c r="AH4714" s="245"/>
      <c r="AI4714" s="245"/>
      <c r="AJ4714" s="245"/>
      <c r="AK4714" s="245"/>
      <c r="AL4714" s="245"/>
      <c r="AM4714" s="245"/>
      <c r="AN4714" s="245"/>
      <c r="AO4714" s="238">
        <v>0.0</v>
      </c>
      <c r="AP4714" s="238">
        <v>-38.1</v>
      </c>
      <c r="AQ4714" s="235" t="s">
        <v>632</v>
      </c>
      <c r="AR4714" s="243">
        <v>3.71E11</v>
      </c>
      <c r="AS4714" s="235" t="s">
        <v>29883</v>
      </c>
      <c r="AT4714" s="235" t="s">
        <v>13</v>
      </c>
      <c r="AU4714" s="235" t="s">
        <v>634</v>
      </c>
      <c r="AV4714" s="246" t="s">
        <v>635</v>
      </c>
      <c r="AW4714" s="227"/>
      <c r="AX4714" s="227"/>
      <c r="AY4714" s="227"/>
      <c r="AZ4714" s="227"/>
      <c r="BA4714" s="227"/>
      <c r="BB4714" s="227"/>
      <c r="BC4714" s="227"/>
      <c r="BD4714" s="227"/>
      <c r="BE4714" s="227"/>
      <c r="BF4714" s="227"/>
    </row>
    <row r="4715">
      <c r="A4715" s="235" t="s">
        <v>34890</v>
      </c>
      <c r="C4715" s="235" t="s">
        <v>34891</v>
      </c>
      <c r="D4715" s="235" t="s">
        <v>34892</v>
      </c>
      <c r="E4715" s="243">
        <v>6.5E13</v>
      </c>
      <c r="F4715" s="245"/>
      <c r="G4715" s="235" t="s">
        <v>34893</v>
      </c>
      <c r="H4715" s="235" t="s">
        <v>34894</v>
      </c>
      <c r="I4715" s="235" t="s">
        <v>34895</v>
      </c>
      <c r="J4715" s="235" t="s">
        <v>34896</v>
      </c>
      <c r="K4715" s="235" t="s">
        <v>34897</v>
      </c>
      <c r="N4715" s="235" t="s">
        <v>117</v>
      </c>
      <c r="O4715" s="235" t="s">
        <v>334</v>
      </c>
      <c r="P4715" s="238">
        <v>1.0</v>
      </c>
      <c r="Q4715" s="235" t="s">
        <v>627</v>
      </c>
      <c r="R4715" s="238">
        <v>237.14</v>
      </c>
      <c r="S4715" s="238">
        <v>11.86</v>
      </c>
      <c r="T4715" s="238">
        <v>0.0</v>
      </c>
      <c r="U4715" s="238">
        <v>0.0</v>
      </c>
      <c r="V4715" s="238">
        <v>0.0</v>
      </c>
      <c r="W4715" s="238">
        <v>0.0</v>
      </c>
      <c r="X4715" s="235" t="s">
        <v>628</v>
      </c>
      <c r="Z4715" s="245"/>
      <c r="AA4715" s="245"/>
      <c r="AB4715" s="245"/>
      <c r="AC4715" s="235" t="s">
        <v>3351</v>
      </c>
      <c r="AD4715" s="235" t="s">
        <v>1499</v>
      </c>
      <c r="AE4715" s="238">
        <v>462021.0</v>
      </c>
      <c r="AF4715" s="235" t="s">
        <v>631</v>
      </c>
      <c r="AG4715" s="245"/>
      <c r="AH4715" s="245"/>
      <c r="AI4715" s="245"/>
      <c r="AJ4715" s="245"/>
      <c r="AK4715" s="245"/>
      <c r="AL4715" s="245"/>
      <c r="AM4715" s="245"/>
      <c r="AN4715" s="245"/>
      <c r="AO4715" s="238">
        <v>0.0</v>
      </c>
      <c r="AP4715" s="238">
        <v>0.0</v>
      </c>
      <c r="AQ4715" s="235" t="s">
        <v>632</v>
      </c>
      <c r="AR4715" s="243">
        <v>1.68E11</v>
      </c>
      <c r="AS4715" s="235" t="s">
        <v>33466</v>
      </c>
      <c r="AT4715" s="235" t="s">
        <v>5</v>
      </c>
      <c r="AU4715" s="235" t="s">
        <v>634</v>
      </c>
      <c r="AV4715" s="246" t="s">
        <v>635</v>
      </c>
      <c r="AW4715" s="227"/>
      <c r="AX4715" s="227"/>
      <c r="AY4715" s="227"/>
      <c r="AZ4715" s="227"/>
      <c r="BA4715" s="227"/>
      <c r="BB4715" s="227"/>
      <c r="BC4715" s="227"/>
      <c r="BD4715" s="227"/>
      <c r="BE4715" s="227"/>
      <c r="BF4715" s="227"/>
    </row>
    <row r="4716">
      <c r="A4716" s="235" t="s">
        <v>34898</v>
      </c>
      <c r="C4716" s="235" t="s">
        <v>34899</v>
      </c>
      <c r="D4716" s="235" t="s">
        <v>34900</v>
      </c>
      <c r="E4716" s="243">
        <v>6.5E13</v>
      </c>
      <c r="F4716" s="245"/>
      <c r="G4716" s="235" t="s">
        <v>34901</v>
      </c>
      <c r="H4716" s="235" t="s">
        <v>34902</v>
      </c>
      <c r="I4716" s="235" t="s">
        <v>34902</v>
      </c>
      <c r="J4716" s="235" t="s">
        <v>34903</v>
      </c>
      <c r="K4716" s="235" t="s">
        <v>34904</v>
      </c>
      <c r="N4716" s="235" t="s">
        <v>41</v>
      </c>
      <c r="O4716" s="235" t="s">
        <v>291</v>
      </c>
      <c r="P4716" s="238">
        <v>1.0</v>
      </c>
      <c r="Q4716" s="235" t="s">
        <v>627</v>
      </c>
      <c r="R4716" s="238">
        <v>237.14</v>
      </c>
      <c r="S4716" s="238">
        <v>11.86</v>
      </c>
      <c r="T4716" s="238">
        <v>0.0</v>
      </c>
      <c r="U4716" s="238">
        <v>0.0</v>
      </c>
      <c r="V4716" s="238">
        <v>0.0</v>
      </c>
      <c r="W4716" s="238">
        <v>0.0</v>
      </c>
      <c r="X4716" s="235" t="s">
        <v>628</v>
      </c>
      <c r="Z4716" s="245"/>
      <c r="AA4716" s="245"/>
      <c r="AB4716" s="245"/>
      <c r="AC4716" s="235" t="s">
        <v>34905</v>
      </c>
      <c r="AD4716" s="235" t="s">
        <v>666</v>
      </c>
      <c r="AE4716" s="238">
        <v>600037.0</v>
      </c>
      <c r="AF4716" s="235" t="s">
        <v>631</v>
      </c>
      <c r="AG4716" s="245"/>
      <c r="AH4716" s="245"/>
      <c r="AI4716" s="245"/>
      <c r="AJ4716" s="245"/>
      <c r="AK4716" s="245"/>
      <c r="AL4716" s="245"/>
      <c r="AM4716" s="245"/>
      <c r="AN4716" s="245"/>
      <c r="AO4716" s="238">
        <v>0.0</v>
      </c>
      <c r="AP4716" s="238">
        <v>0.0</v>
      </c>
      <c r="AQ4716" s="235" t="s">
        <v>632</v>
      </c>
      <c r="AR4716" s="243">
        <v>3.71E11</v>
      </c>
      <c r="AS4716" s="235" t="s">
        <v>34510</v>
      </c>
      <c r="AT4716" s="235" t="s">
        <v>156</v>
      </c>
      <c r="AU4716" s="235" t="s">
        <v>634</v>
      </c>
      <c r="AV4716" s="246" t="s">
        <v>635</v>
      </c>
      <c r="AW4716" s="227"/>
      <c r="AX4716" s="227"/>
      <c r="AY4716" s="227"/>
      <c r="AZ4716" s="227"/>
      <c r="BA4716" s="227"/>
      <c r="BB4716" s="227"/>
      <c r="BC4716" s="227"/>
      <c r="BD4716" s="227"/>
      <c r="BE4716" s="227"/>
      <c r="BF4716" s="227"/>
    </row>
    <row r="4717">
      <c r="A4717" s="235" t="s">
        <v>34906</v>
      </c>
      <c r="C4717" s="235" t="s">
        <v>34907</v>
      </c>
      <c r="D4717" s="235" t="s">
        <v>34908</v>
      </c>
      <c r="E4717" s="243">
        <v>6.5E13</v>
      </c>
      <c r="F4717" s="245"/>
      <c r="G4717" s="235" t="s">
        <v>34909</v>
      </c>
      <c r="H4717" s="235" t="s">
        <v>34910</v>
      </c>
      <c r="I4717" s="235" t="s">
        <v>34910</v>
      </c>
      <c r="J4717" s="235" t="s">
        <v>34911</v>
      </c>
      <c r="K4717" s="235" t="s">
        <v>34912</v>
      </c>
      <c r="N4717" s="235" t="s">
        <v>94</v>
      </c>
      <c r="O4717" s="235" t="s">
        <v>509</v>
      </c>
      <c r="P4717" s="238">
        <v>1.0</v>
      </c>
      <c r="Q4717" s="235" t="s">
        <v>627</v>
      </c>
      <c r="R4717" s="238">
        <v>244.76</v>
      </c>
      <c r="S4717" s="238">
        <v>12.0</v>
      </c>
      <c r="T4717" s="238">
        <v>0.0</v>
      </c>
      <c r="U4717" s="238">
        <v>0.0</v>
      </c>
      <c r="V4717" s="238">
        <v>0.0</v>
      </c>
      <c r="W4717" s="238">
        <v>0.0</v>
      </c>
      <c r="X4717" s="235" t="s">
        <v>628</v>
      </c>
      <c r="Z4717" s="245"/>
      <c r="AA4717" s="245"/>
      <c r="AB4717" s="245"/>
      <c r="AC4717" s="235" t="s">
        <v>795</v>
      </c>
      <c r="AD4717" s="235" t="s">
        <v>796</v>
      </c>
      <c r="AE4717" s="238">
        <v>110027.0</v>
      </c>
      <c r="AF4717" s="235" t="s">
        <v>631</v>
      </c>
      <c r="AG4717" s="245"/>
      <c r="AH4717" s="245"/>
      <c r="AI4717" s="245"/>
      <c r="AJ4717" s="245"/>
      <c r="AK4717" s="245"/>
      <c r="AL4717" s="245"/>
      <c r="AM4717" s="245"/>
      <c r="AN4717" s="245"/>
      <c r="AO4717" s="238">
        <v>-4.9</v>
      </c>
      <c r="AP4717" s="238">
        <v>0.0</v>
      </c>
      <c r="AQ4717" s="235" t="s">
        <v>632</v>
      </c>
      <c r="AR4717" s="243">
        <v>1.68E11</v>
      </c>
      <c r="AS4717" s="235" t="s">
        <v>34913</v>
      </c>
      <c r="AT4717" s="235" t="s">
        <v>14</v>
      </c>
      <c r="AU4717" s="235" t="s">
        <v>634</v>
      </c>
      <c r="AV4717" s="246" t="s">
        <v>635</v>
      </c>
      <c r="AW4717" s="227"/>
      <c r="AX4717" s="227"/>
      <c r="AY4717" s="227"/>
      <c r="AZ4717" s="227"/>
      <c r="BA4717" s="227"/>
      <c r="BB4717" s="227"/>
      <c r="BC4717" s="227"/>
      <c r="BD4717" s="227"/>
      <c r="BE4717" s="227"/>
      <c r="BF4717" s="227"/>
    </row>
    <row r="4718">
      <c r="A4718" s="235" t="s">
        <v>34914</v>
      </c>
      <c r="C4718" s="235" t="s">
        <v>34915</v>
      </c>
      <c r="D4718" s="235" t="s">
        <v>34916</v>
      </c>
      <c r="E4718" s="243">
        <v>6.5E13</v>
      </c>
      <c r="F4718" s="245"/>
      <c r="G4718" s="235" t="s">
        <v>34917</v>
      </c>
      <c r="H4718" s="235" t="s">
        <v>34918</v>
      </c>
      <c r="I4718" s="235" t="s">
        <v>34919</v>
      </c>
      <c r="J4718" s="235" t="s">
        <v>34920</v>
      </c>
      <c r="K4718" s="235" t="s">
        <v>34921</v>
      </c>
      <c r="N4718" s="235" t="s">
        <v>92</v>
      </c>
      <c r="O4718" s="235" t="s">
        <v>248</v>
      </c>
      <c r="P4718" s="238">
        <v>1.0</v>
      </c>
      <c r="Q4718" s="235" t="s">
        <v>627</v>
      </c>
      <c r="R4718" s="238">
        <v>244.76</v>
      </c>
      <c r="S4718" s="238">
        <v>12.24</v>
      </c>
      <c r="T4718" s="238">
        <v>0.0</v>
      </c>
      <c r="U4718" s="238">
        <v>0.0</v>
      </c>
      <c r="V4718" s="238">
        <v>0.0</v>
      </c>
      <c r="W4718" s="238">
        <v>0.0</v>
      </c>
      <c r="X4718" s="235" t="s">
        <v>628</v>
      </c>
      <c r="Z4718" s="245"/>
      <c r="AA4718" s="245"/>
      <c r="AB4718" s="245"/>
      <c r="AC4718" s="235" t="s">
        <v>844</v>
      </c>
      <c r="AD4718" s="235" t="s">
        <v>845</v>
      </c>
      <c r="AE4718" s="238">
        <v>411025.0</v>
      </c>
      <c r="AF4718" s="235" t="s">
        <v>631</v>
      </c>
      <c r="AG4718" s="245"/>
      <c r="AH4718" s="245"/>
      <c r="AI4718" s="245"/>
      <c r="AJ4718" s="245"/>
      <c r="AK4718" s="245"/>
      <c r="AL4718" s="245"/>
      <c r="AM4718" s="245"/>
      <c r="AN4718" s="245"/>
      <c r="AO4718" s="238">
        <v>0.0</v>
      </c>
      <c r="AP4718" s="238">
        <v>0.0</v>
      </c>
      <c r="AQ4718" s="235" t="s">
        <v>632</v>
      </c>
      <c r="AR4718" s="243">
        <v>1.68E11</v>
      </c>
      <c r="AS4718" s="235" t="s">
        <v>34913</v>
      </c>
      <c r="AT4718" s="235" t="s">
        <v>546</v>
      </c>
      <c r="AU4718" s="235" t="s">
        <v>634</v>
      </c>
      <c r="AV4718" s="246" t="s">
        <v>635</v>
      </c>
      <c r="AW4718" s="227"/>
      <c r="AX4718" s="227"/>
      <c r="AY4718" s="227"/>
      <c r="AZ4718" s="227"/>
      <c r="BA4718" s="227"/>
      <c r="BB4718" s="227"/>
      <c r="BC4718" s="227"/>
      <c r="BD4718" s="227"/>
      <c r="BE4718" s="227"/>
      <c r="BF4718" s="227"/>
    </row>
    <row r="4719">
      <c r="A4719" s="235" t="s">
        <v>34922</v>
      </c>
      <c r="C4719" s="235" t="s">
        <v>34923</v>
      </c>
      <c r="D4719" s="235" t="s">
        <v>34924</v>
      </c>
      <c r="E4719" s="243">
        <v>6.49E13</v>
      </c>
      <c r="F4719" s="245"/>
      <c r="G4719" s="235" t="s">
        <v>34925</v>
      </c>
      <c r="H4719" s="235" t="s">
        <v>34926</v>
      </c>
      <c r="I4719" s="235" t="s">
        <v>34926</v>
      </c>
      <c r="J4719" s="235" t="s">
        <v>34927</v>
      </c>
      <c r="K4719" s="235" t="s">
        <v>34928</v>
      </c>
      <c r="N4719" s="235" t="s">
        <v>98</v>
      </c>
      <c r="O4719" s="235" t="s">
        <v>357</v>
      </c>
      <c r="P4719" s="238">
        <v>1.0</v>
      </c>
      <c r="Q4719" s="235" t="s">
        <v>627</v>
      </c>
      <c r="R4719" s="238">
        <v>244.76</v>
      </c>
      <c r="S4719" s="238">
        <v>12.0</v>
      </c>
      <c r="T4719" s="238">
        <v>38.1</v>
      </c>
      <c r="U4719" s="238">
        <v>1.9</v>
      </c>
      <c r="V4719" s="238">
        <v>0.0</v>
      </c>
      <c r="W4719" s="238">
        <v>0.0</v>
      </c>
      <c r="X4719" s="235" t="s">
        <v>628</v>
      </c>
      <c r="Z4719" s="245"/>
      <c r="AA4719" s="245"/>
      <c r="AB4719" s="245"/>
      <c r="AC4719" s="235" t="s">
        <v>34929</v>
      </c>
      <c r="AD4719" s="235" t="s">
        <v>679</v>
      </c>
      <c r="AE4719" s="238">
        <v>563101.0</v>
      </c>
      <c r="AF4719" s="235" t="s">
        <v>631</v>
      </c>
      <c r="AG4719" s="245"/>
      <c r="AH4719" s="245"/>
      <c r="AI4719" s="245"/>
      <c r="AJ4719" s="245"/>
      <c r="AK4719" s="245"/>
      <c r="AL4719" s="245"/>
      <c r="AM4719" s="245"/>
      <c r="AN4719" s="245"/>
      <c r="AO4719" s="238">
        <v>-4.9</v>
      </c>
      <c r="AP4719" s="238">
        <v>-38.1</v>
      </c>
      <c r="AQ4719" s="235" t="s">
        <v>632</v>
      </c>
      <c r="AR4719" s="243">
        <v>3.71E11</v>
      </c>
      <c r="AS4719" s="235" t="s">
        <v>33466</v>
      </c>
      <c r="AT4719" s="235" t="s">
        <v>11</v>
      </c>
      <c r="AU4719" s="235" t="s">
        <v>634</v>
      </c>
      <c r="AV4719" s="246" t="s">
        <v>635</v>
      </c>
      <c r="AW4719" s="227"/>
      <c r="AX4719" s="227"/>
      <c r="AY4719" s="227"/>
      <c r="AZ4719" s="227"/>
      <c r="BA4719" s="227"/>
      <c r="BB4719" s="227"/>
      <c r="BC4719" s="227"/>
      <c r="BD4719" s="227"/>
      <c r="BE4719" s="227"/>
      <c r="BF4719" s="227"/>
    </row>
    <row r="4720">
      <c r="A4720" s="235" t="s">
        <v>34930</v>
      </c>
      <c r="C4720" s="235" t="s">
        <v>34931</v>
      </c>
      <c r="D4720" s="235" t="s">
        <v>34932</v>
      </c>
      <c r="E4720" s="243">
        <v>6.5E13</v>
      </c>
      <c r="F4720" s="245"/>
      <c r="G4720" s="235" t="s">
        <v>34933</v>
      </c>
      <c r="H4720" s="235" t="s">
        <v>34934</v>
      </c>
      <c r="I4720" s="235" t="s">
        <v>34935</v>
      </c>
      <c r="J4720" s="235" t="s">
        <v>34936</v>
      </c>
      <c r="K4720" s="235" t="s">
        <v>34937</v>
      </c>
      <c r="N4720" s="235" t="s">
        <v>989</v>
      </c>
      <c r="O4720" s="235" t="s">
        <v>990</v>
      </c>
      <c r="P4720" s="238">
        <v>1.0</v>
      </c>
      <c r="Q4720" s="235" t="s">
        <v>627</v>
      </c>
      <c r="R4720" s="238">
        <v>256.2</v>
      </c>
      <c r="S4720" s="238">
        <v>12.8</v>
      </c>
      <c r="T4720" s="238">
        <v>0.0</v>
      </c>
      <c r="U4720" s="238">
        <v>0.0</v>
      </c>
      <c r="V4720" s="238">
        <v>0.0</v>
      </c>
      <c r="W4720" s="238">
        <v>0.0</v>
      </c>
      <c r="X4720" s="235" t="s">
        <v>628</v>
      </c>
      <c r="Z4720" s="245"/>
      <c r="AA4720" s="245"/>
      <c r="AB4720" s="245"/>
      <c r="AC4720" s="235" t="s">
        <v>687</v>
      </c>
      <c r="AD4720" s="235" t="s">
        <v>666</v>
      </c>
      <c r="AE4720" s="238">
        <v>600080.0</v>
      </c>
      <c r="AF4720" s="235" t="s">
        <v>631</v>
      </c>
      <c r="AG4720" s="245"/>
      <c r="AH4720" s="245"/>
      <c r="AI4720" s="245"/>
      <c r="AJ4720" s="245"/>
      <c r="AK4720" s="245"/>
      <c r="AL4720" s="245"/>
      <c r="AM4720" s="245"/>
      <c r="AN4720" s="245"/>
      <c r="AO4720" s="238">
        <v>0.0</v>
      </c>
      <c r="AP4720" s="238">
        <v>0.0</v>
      </c>
      <c r="AQ4720" s="235" t="s">
        <v>632</v>
      </c>
      <c r="AR4720" s="243">
        <v>3.71E11</v>
      </c>
      <c r="AS4720" s="235" t="s">
        <v>34510</v>
      </c>
      <c r="AT4720" s="235" t="s">
        <v>156</v>
      </c>
      <c r="AU4720" s="235" t="s">
        <v>634</v>
      </c>
      <c r="AV4720" s="246" t="s">
        <v>635</v>
      </c>
      <c r="AW4720" s="227"/>
      <c r="AX4720" s="227"/>
      <c r="AY4720" s="227"/>
      <c r="AZ4720" s="227"/>
      <c r="BA4720" s="227"/>
      <c r="BB4720" s="227"/>
      <c r="BC4720" s="227"/>
      <c r="BD4720" s="227"/>
      <c r="BE4720" s="227"/>
      <c r="BF4720" s="227"/>
    </row>
    <row r="4721">
      <c r="A4721" s="235" t="s">
        <v>34938</v>
      </c>
      <c r="C4721" s="235" t="s">
        <v>34939</v>
      </c>
      <c r="D4721" s="235" t="s">
        <v>34940</v>
      </c>
      <c r="E4721" s="243">
        <v>6.5E13</v>
      </c>
      <c r="F4721" s="245"/>
      <c r="G4721" s="235" t="s">
        <v>34941</v>
      </c>
      <c r="H4721" s="235" t="s">
        <v>34942</v>
      </c>
      <c r="I4721" s="235" t="s">
        <v>34942</v>
      </c>
      <c r="J4721" s="235" t="s">
        <v>34943</v>
      </c>
      <c r="K4721" s="235" t="s">
        <v>34944</v>
      </c>
      <c r="N4721" s="235" t="s">
        <v>53</v>
      </c>
      <c r="O4721" s="235" t="s">
        <v>512</v>
      </c>
      <c r="P4721" s="238">
        <v>1.0</v>
      </c>
      <c r="Q4721" s="235" t="s">
        <v>627</v>
      </c>
      <c r="R4721" s="238">
        <v>237.14</v>
      </c>
      <c r="S4721" s="238">
        <v>11.86</v>
      </c>
      <c r="T4721" s="238">
        <v>0.0</v>
      </c>
      <c r="U4721" s="238">
        <v>0.0</v>
      </c>
      <c r="V4721" s="238">
        <v>0.0</v>
      </c>
      <c r="W4721" s="238">
        <v>0.0</v>
      </c>
      <c r="X4721" s="235" t="s">
        <v>628</v>
      </c>
      <c r="Z4721" s="245"/>
      <c r="AA4721" s="245"/>
      <c r="AB4721" s="245"/>
      <c r="AC4721" s="235" t="s">
        <v>687</v>
      </c>
      <c r="AD4721" s="235" t="s">
        <v>666</v>
      </c>
      <c r="AE4721" s="238">
        <v>600099.0</v>
      </c>
      <c r="AF4721" s="235" t="s">
        <v>631</v>
      </c>
      <c r="AG4721" s="245"/>
      <c r="AH4721" s="245"/>
      <c r="AI4721" s="245"/>
      <c r="AJ4721" s="245"/>
      <c r="AK4721" s="245"/>
      <c r="AL4721" s="245"/>
      <c r="AM4721" s="245"/>
      <c r="AN4721" s="245"/>
      <c r="AO4721" s="238">
        <v>0.0</v>
      </c>
      <c r="AP4721" s="238">
        <v>0.0</v>
      </c>
      <c r="AQ4721" s="235" t="s">
        <v>632</v>
      </c>
      <c r="AR4721" s="243">
        <v>3.71E11</v>
      </c>
      <c r="AS4721" s="235" t="s">
        <v>34510</v>
      </c>
      <c r="AT4721" s="235" t="s">
        <v>156</v>
      </c>
      <c r="AU4721" s="235" t="s">
        <v>634</v>
      </c>
      <c r="AV4721" s="246" t="s">
        <v>635</v>
      </c>
      <c r="AW4721" s="227"/>
      <c r="AX4721" s="227"/>
      <c r="AY4721" s="227"/>
      <c r="AZ4721" s="227"/>
      <c r="BA4721" s="227"/>
      <c r="BB4721" s="227"/>
      <c r="BC4721" s="227"/>
      <c r="BD4721" s="227"/>
      <c r="BE4721" s="227"/>
      <c r="BF4721" s="227"/>
    </row>
    <row r="4722">
      <c r="A4722" s="235" t="s">
        <v>34945</v>
      </c>
      <c r="C4722" s="235" t="s">
        <v>34946</v>
      </c>
      <c r="D4722" s="235" t="s">
        <v>34947</v>
      </c>
      <c r="E4722" s="243">
        <v>6.5E13</v>
      </c>
      <c r="F4722" s="245"/>
      <c r="G4722" s="235" t="s">
        <v>34948</v>
      </c>
      <c r="H4722" s="235" t="s">
        <v>34949</v>
      </c>
      <c r="I4722" s="235" t="s">
        <v>34949</v>
      </c>
      <c r="J4722" s="235" t="s">
        <v>34950</v>
      </c>
      <c r="K4722" s="235" t="s">
        <v>34951</v>
      </c>
      <c r="N4722" s="235" t="s">
        <v>962</v>
      </c>
      <c r="O4722" s="235" t="s">
        <v>963</v>
      </c>
      <c r="P4722" s="238">
        <v>1.0</v>
      </c>
      <c r="Q4722" s="235" t="s">
        <v>627</v>
      </c>
      <c r="R4722" s="238">
        <v>245.72</v>
      </c>
      <c r="S4722" s="238">
        <v>12.04</v>
      </c>
      <c r="T4722" s="238">
        <v>0.0</v>
      </c>
      <c r="U4722" s="238">
        <v>0.0</v>
      </c>
      <c r="V4722" s="238">
        <v>0.0</v>
      </c>
      <c r="W4722" s="238">
        <v>0.0</v>
      </c>
      <c r="X4722" s="235" t="s">
        <v>628</v>
      </c>
      <c r="Z4722" s="245"/>
      <c r="AA4722" s="245"/>
      <c r="AB4722" s="245"/>
      <c r="AC4722" s="235" t="s">
        <v>1058</v>
      </c>
      <c r="AD4722" s="235" t="s">
        <v>845</v>
      </c>
      <c r="AE4722" s="238">
        <v>400029.0</v>
      </c>
      <c r="AF4722" s="235" t="s">
        <v>631</v>
      </c>
      <c r="AG4722" s="245"/>
      <c r="AH4722" s="245"/>
      <c r="AI4722" s="245"/>
      <c r="AJ4722" s="245"/>
      <c r="AK4722" s="245"/>
      <c r="AL4722" s="245"/>
      <c r="AM4722" s="245"/>
      <c r="AN4722" s="245"/>
      <c r="AO4722" s="238">
        <v>-4.92</v>
      </c>
      <c r="AP4722" s="238">
        <v>0.0</v>
      </c>
      <c r="AQ4722" s="235" t="s">
        <v>632</v>
      </c>
      <c r="AR4722" s="243">
        <v>1.68E11</v>
      </c>
      <c r="AS4722" s="235" t="s">
        <v>34913</v>
      </c>
      <c r="AT4722" s="235" t="s">
        <v>17</v>
      </c>
      <c r="AU4722" s="235" t="s">
        <v>634</v>
      </c>
      <c r="AV4722" s="246" t="s">
        <v>635</v>
      </c>
      <c r="AW4722" s="227"/>
      <c r="AX4722" s="227"/>
      <c r="AY4722" s="227"/>
      <c r="AZ4722" s="227"/>
      <c r="BA4722" s="227"/>
      <c r="BB4722" s="227"/>
      <c r="BC4722" s="227"/>
      <c r="BD4722" s="227"/>
      <c r="BE4722" s="227"/>
      <c r="BF4722" s="227"/>
    </row>
    <row r="4723">
      <c r="A4723" s="235" t="s">
        <v>34952</v>
      </c>
      <c r="C4723" s="235" t="s">
        <v>34953</v>
      </c>
      <c r="D4723" s="235" t="s">
        <v>34954</v>
      </c>
      <c r="E4723" s="243">
        <v>6.5E13</v>
      </c>
      <c r="F4723" s="245"/>
      <c r="G4723" s="235" t="s">
        <v>34955</v>
      </c>
      <c r="H4723" s="235" t="s">
        <v>34956</v>
      </c>
      <c r="I4723" s="235" t="s">
        <v>34956</v>
      </c>
      <c r="J4723" s="235" t="s">
        <v>34957</v>
      </c>
      <c r="K4723" s="235" t="s">
        <v>34958</v>
      </c>
      <c r="N4723" s="235" t="s">
        <v>51</v>
      </c>
      <c r="O4723" s="235" t="s">
        <v>273</v>
      </c>
      <c r="P4723" s="238">
        <v>1.0</v>
      </c>
      <c r="Q4723" s="235" t="s">
        <v>627</v>
      </c>
      <c r="R4723" s="238">
        <v>235.24</v>
      </c>
      <c r="S4723" s="238">
        <v>11.76</v>
      </c>
      <c r="T4723" s="238">
        <v>0.0</v>
      </c>
      <c r="U4723" s="238">
        <v>0.0</v>
      </c>
      <c r="V4723" s="238">
        <v>0.0</v>
      </c>
      <c r="W4723" s="238">
        <v>0.0</v>
      </c>
      <c r="X4723" s="235" t="s">
        <v>628</v>
      </c>
      <c r="Z4723" s="245"/>
      <c r="AA4723" s="245"/>
      <c r="AB4723" s="245"/>
      <c r="AC4723" s="235" t="s">
        <v>678</v>
      </c>
      <c r="AD4723" s="235" t="s">
        <v>679</v>
      </c>
      <c r="AE4723" s="238">
        <v>560067.0</v>
      </c>
      <c r="AF4723" s="235" t="s">
        <v>631</v>
      </c>
      <c r="AG4723" s="245"/>
      <c r="AH4723" s="245"/>
      <c r="AI4723" s="245"/>
      <c r="AJ4723" s="245"/>
      <c r="AK4723" s="245"/>
      <c r="AL4723" s="245"/>
      <c r="AM4723" s="245"/>
      <c r="AN4723" s="245"/>
      <c r="AO4723" s="238">
        <v>0.0</v>
      </c>
      <c r="AP4723" s="238">
        <v>0.0</v>
      </c>
      <c r="AQ4723" s="235" t="s">
        <v>632</v>
      </c>
      <c r="AR4723" s="243">
        <v>1.68E11</v>
      </c>
      <c r="AS4723" s="235" t="s">
        <v>34913</v>
      </c>
      <c r="AT4723" s="235" t="s">
        <v>11</v>
      </c>
      <c r="AU4723" s="235" t="s">
        <v>634</v>
      </c>
      <c r="AV4723" s="246" t="s">
        <v>635</v>
      </c>
      <c r="AW4723" s="227"/>
      <c r="AX4723" s="227"/>
      <c r="AY4723" s="227"/>
      <c r="AZ4723" s="227"/>
      <c r="BA4723" s="227"/>
      <c r="BB4723" s="227"/>
      <c r="BC4723" s="227"/>
      <c r="BD4723" s="227"/>
      <c r="BE4723" s="227"/>
      <c r="BF4723" s="227"/>
    </row>
    <row r="4724">
      <c r="A4724" s="235" t="s">
        <v>34959</v>
      </c>
      <c r="C4724" s="235" t="s">
        <v>34960</v>
      </c>
      <c r="D4724" s="235" t="s">
        <v>34961</v>
      </c>
      <c r="E4724" s="243">
        <v>6.5E13</v>
      </c>
      <c r="F4724" s="245"/>
      <c r="G4724" s="235" t="s">
        <v>34962</v>
      </c>
      <c r="H4724" s="235" t="s">
        <v>34963</v>
      </c>
      <c r="I4724" s="235" t="s">
        <v>34963</v>
      </c>
      <c r="J4724" s="235" t="s">
        <v>34964</v>
      </c>
      <c r="K4724" s="235" t="s">
        <v>34965</v>
      </c>
      <c r="N4724" s="235" t="s">
        <v>141</v>
      </c>
      <c r="O4724" s="235" t="s">
        <v>342</v>
      </c>
      <c r="P4724" s="238">
        <v>1.0</v>
      </c>
      <c r="Q4724" s="235" t="s">
        <v>627</v>
      </c>
      <c r="R4724" s="238">
        <v>244.76</v>
      </c>
      <c r="S4724" s="238">
        <v>12.24</v>
      </c>
      <c r="T4724" s="238">
        <v>94.29</v>
      </c>
      <c r="U4724" s="238">
        <v>4.71</v>
      </c>
      <c r="V4724" s="238">
        <v>0.0</v>
      </c>
      <c r="W4724" s="238">
        <v>0.0</v>
      </c>
      <c r="X4724" s="235" t="s">
        <v>628</v>
      </c>
      <c r="Z4724" s="245"/>
      <c r="AA4724" s="245"/>
      <c r="AB4724" s="245"/>
      <c r="AC4724" s="235" t="s">
        <v>1287</v>
      </c>
      <c r="AD4724" s="235" t="s">
        <v>630</v>
      </c>
      <c r="AE4724" s="238">
        <v>201005.0</v>
      </c>
      <c r="AF4724" s="235" t="s">
        <v>631</v>
      </c>
      <c r="AG4724" s="245"/>
      <c r="AH4724" s="245"/>
      <c r="AI4724" s="245"/>
      <c r="AJ4724" s="245"/>
      <c r="AK4724" s="245"/>
      <c r="AL4724" s="245"/>
      <c r="AM4724" s="245"/>
      <c r="AN4724" s="245"/>
      <c r="AO4724" s="238">
        <v>0.0</v>
      </c>
      <c r="AP4724" s="238">
        <v>-94.29</v>
      </c>
      <c r="AQ4724" s="235" t="s">
        <v>632</v>
      </c>
      <c r="AR4724" s="243">
        <v>1.68E11</v>
      </c>
      <c r="AS4724" s="235" t="s">
        <v>34913</v>
      </c>
      <c r="AT4724" s="235" t="s">
        <v>13</v>
      </c>
      <c r="AU4724" s="235" t="s">
        <v>634</v>
      </c>
      <c r="AV4724" s="246" t="s">
        <v>635</v>
      </c>
      <c r="AW4724" s="227"/>
      <c r="AX4724" s="227"/>
      <c r="AY4724" s="227"/>
      <c r="AZ4724" s="227"/>
      <c r="BA4724" s="227"/>
      <c r="BB4724" s="227"/>
      <c r="BC4724" s="227"/>
      <c r="BD4724" s="227"/>
      <c r="BE4724" s="227"/>
      <c r="BF4724" s="227"/>
    </row>
    <row r="4725">
      <c r="A4725" s="235" t="s">
        <v>34966</v>
      </c>
      <c r="C4725" s="235" t="s">
        <v>34967</v>
      </c>
      <c r="D4725" s="235" t="s">
        <v>34968</v>
      </c>
      <c r="E4725" s="243">
        <v>6.49E13</v>
      </c>
      <c r="F4725" s="245"/>
      <c r="G4725" s="235" t="s">
        <v>34969</v>
      </c>
      <c r="H4725" s="235" t="s">
        <v>34970</v>
      </c>
      <c r="I4725" s="235" t="s">
        <v>34970</v>
      </c>
      <c r="J4725" s="235" t="s">
        <v>34971</v>
      </c>
      <c r="K4725" s="235" t="s">
        <v>34972</v>
      </c>
      <c r="N4725" s="235" t="s">
        <v>138</v>
      </c>
      <c r="O4725" s="235" t="s">
        <v>675</v>
      </c>
      <c r="P4725" s="238">
        <v>1.0</v>
      </c>
      <c r="Q4725" s="235" t="s">
        <v>627</v>
      </c>
      <c r="R4725" s="238">
        <v>244.76</v>
      </c>
      <c r="S4725" s="238">
        <v>12.0</v>
      </c>
      <c r="T4725" s="238">
        <v>38.1</v>
      </c>
      <c r="U4725" s="238">
        <v>1.9</v>
      </c>
      <c r="V4725" s="238">
        <v>0.0</v>
      </c>
      <c r="W4725" s="238">
        <v>0.0</v>
      </c>
      <c r="X4725" s="235" t="s">
        <v>628</v>
      </c>
      <c r="Z4725" s="245"/>
      <c r="AA4725" s="245"/>
      <c r="AB4725" s="245"/>
      <c r="AC4725" s="235" t="s">
        <v>1671</v>
      </c>
      <c r="AD4725" s="235" t="s">
        <v>666</v>
      </c>
      <c r="AE4725" s="238">
        <v>641006.0</v>
      </c>
      <c r="AF4725" s="235" t="s">
        <v>631</v>
      </c>
      <c r="AG4725" s="245"/>
      <c r="AH4725" s="245"/>
      <c r="AI4725" s="245"/>
      <c r="AJ4725" s="245"/>
      <c r="AK4725" s="245"/>
      <c r="AL4725" s="245"/>
      <c r="AM4725" s="245"/>
      <c r="AN4725" s="245"/>
      <c r="AO4725" s="238">
        <v>-4.9</v>
      </c>
      <c r="AP4725" s="238">
        <v>-38.1</v>
      </c>
      <c r="AQ4725" s="235" t="s">
        <v>632</v>
      </c>
      <c r="AR4725" s="243">
        <v>3.71E11</v>
      </c>
      <c r="AS4725" s="235" t="s">
        <v>34510</v>
      </c>
      <c r="AT4725" s="235" t="s">
        <v>155</v>
      </c>
      <c r="AU4725" s="235" t="s">
        <v>634</v>
      </c>
      <c r="AV4725" s="246" t="s">
        <v>635</v>
      </c>
      <c r="AW4725" s="227"/>
      <c r="AX4725" s="227"/>
      <c r="AY4725" s="227"/>
      <c r="AZ4725" s="227"/>
      <c r="BA4725" s="227"/>
      <c r="BB4725" s="227"/>
      <c r="BC4725" s="227"/>
      <c r="BD4725" s="227"/>
      <c r="BE4725" s="227"/>
      <c r="BF4725" s="227"/>
    </row>
    <row r="4726">
      <c r="A4726" s="235" t="s">
        <v>34973</v>
      </c>
      <c r="C4726" s="235" t="s">
        <v>34974</v>
      </c>
      <c r="D4726" s="235" t="s">
        <v>34975</v>
      </c>
      <c r="E4726" s="243">
        <v>6.5E13</v>
      </c>
      <c r="F4726" s="245"/>
      <c r="G4726" s="235" t="s">
        <v>34976</v>
      </c>
      <c r="H4726" s="235" t="s">
        <v>34977</v>
      </c>
      <c r="I4726" s="235" t="s">
        <v>34977</v>
      </c>
      <c r="J4726" s="235" t="s">
        <v>34978</v>
      </c>
      <c r="K4726" s="235" t="s">
        <v>34979</v>
      </c>
      <c r="N4726" s="235" t="s">
        <v>90</v>
      </c>
      <c r="O4726" s="235" t="s">
        <v>279</v>
      </c>
      <c r="P4726" s="238">
        <v>1.0</v>
      </c>
      <c r="Q4726" s="235" t="s">
        <v>627</v>
      </c>
      <c r="R4726" s="238">
        <v>243.8</v>
      </c>
      <c r="S4726" s="238">
        <v>12.2</v>
      </c>
      <c r="T4726" s="238">
        <v>0.0</v>
      </c>
      <c r="U4726" s="238">
        <v>0.0</v>
      </c>
      <c r="V4726" s="238">
        <v>0.0</v>
      </c>
      <c r="W4726" s="238">
        <v>0.0</v>
      </c>
      <c r="X4726" s="235" t="s">
        <v>628</v>
      </c>
      <c r="Z4726" s="245"/>
      <c r="AA4726" s="245"/>
      <c r="AB4726" s="245"/>
      <c r="AC4726" s="235" t="s">
        <v>34980</v>
      </c>
      <c r="AD4726" s="235" t="s">
        <v>679</v>
      </c>
      <c r="AE4726" s="238">
        <v>560100.0</v>
      </c>
      <c r="AF4726" s="235" t="s">
        <v>631</v>
      </c>
      <c r="AG4726" s="245"/>
      <c r="AH4726" s="245"/>
      <c r="AI4726" s="245"/>
      <c r="AJ4726" s="245"/>
      <c r="AK4726" s="245"/>
      <c r="AL4726" s="245"/>
      <c r="AM4726" s="245"/>
      <c r="AN4726" s="245"/>
      <c r="AO4726" s="238">
        <v>0.0</v>
      </c>
      <c r="AP4726" s="238">
        <v>0.0</v>
      </c>
      <c r="AQ4726" s="235" t="s">
        <v>632</v>
      </c>
      <c r="AR4726" s="243">
        <v>1.68E11</v>
      </c>
      <c r="AS4726" s="235" t="s">
        <v>34913</v>
      </c>
      <c r="AT4726" s="235" t="s">
        <v>9</v>
      </c>
      <c r="AU4726" s="235" t="s">
        <v>634</v>
      </c>
      <c r="AV4726" s="246" t="s">
        <v>635</v>
      </c>
      <c r="AW4726" s="227"/>
      <c r="AX4726" s="227"/>
      <c r="AY4726" s="227"/>
      <c r="AZ4726" s="227"/>
      <c r="BA4726" s="227"/>
      <c r="BB4726" s="227"/>
      <c r="BC4726" s="227"/>
      <c r="BD4726" s="227"/>
      <c r="BE4726" s="227"/>
      <c r="BF4726" s="227"/>
    </row>
    <row r="4727">
      <c r="A4727" s="235" t="s">
        <v>34981</v>
      </c>
      <c r="C4727" s="235" t="s">
        <v>34982</v>
      </c>
      <c r="D4727" s="235" t="s">
        <v>34983</v>
      </c>
      <c r="E4727" s="243">
        <v>6.5E13</v>
      </c>
      <c r="F4727" s="245"/>
      <c r="G4727" s="235" t="s">
        <v>34984</v>
      </c>
      <c r="H4727" s="235" t="s">
        <v>34977</v>
      </c>
      <c r="I4727" s="235" t="s">
        <v>34977</v>
      </c>
      <c r="J4727" s="235" t="s">
        <v>34985</v>
      </c>
      <c r="K4727" s="235" t="s">
        <v>34986</v>
      </c>
      <c r="N4727" s="235" t="s">
        <v>82</v>
      </c>
      <c r="O4727" s="235" t="s">
        <v>889</v>
      </c>
      <c r="P4727" s="238">
        <v>1.0</v>
      </c>
      <c r="Q4727" s="235" t="s">
        <v>627</v>
      </c>
      <c r="R4727" s="238">
        <v>243.8</v>
      </c>
      <c r="S4727" s="238">
        <v>12.2</v>
      </c>
      <c r="T4727" s="238">
        <v>0.0</v>
      </c>
      <c r="U4727" s="238">
        <v>0.0</v>
      </c>
      <c r="V4727" s="238">
        <v>0.0</v>
      </c>
      <c r="W4727" s="238">
        <v>0.0</v>
      </c>
      <c r="X4727" s="235" t="s">
        <v>628</v>
      </c>
      <c r="Z4727" s="245"/>
      <c r="AA4727" s="245"/>
      <c r="AB4727" s="245"/>
      <c r="AC4727" s="235" t="s">
        <v>678</v>
      </c>
      <c r="AD4727" s="235" t="s">
        <v>679</v>
      </c>
      <c r="AE4727" s="238">
        <v>560004.0</v>
      </c>
      <c r="AF4727" s="235" t="s">
        <v>631</v>
      </c>
      <c r="AG4727" s="245"/>
      <c r="AH4727" s="245"/>
      <c r="AI4727" s="245"/>
      <c r="AJ4727" s="245"/>
      <c r="AK4727" s="245"/>
      <c r="AL4727" s="245"/>
      <c r="AM4727" s="245"/>
      <c r="AN4727" s="245"/>
      <c r="AO4727" s="238">
        <v>0.0</v>
      </c>
      <c r="AP4727" s="238">
        <v>0.0</v>
      </c>
      <c r="AQ4727" s="235" t="s">
        <v>632</v>
      </c>
      <c r="AR4727" s="243">
        <v>1.68E11</v>
      </c>
      <c r="AS4727" s="235" t="s">
        <v>34913</v>
      </c>
      <c r="AT4727" s="235" t="s">
        <v>9</v>
      </c>
      <c r="AU4727" s="235" t="s">
        <v>634</v>
      </c>
      <c r="AV4727" s="246" t="s">
        <v>635</v>
      </c>
      <c r="AW4727" s="227"/>
      <c r="AX4727" s="227"/>
      <c r="AY4727" s="227"/>
      <c r="AZ4727" s="227"/>
      <c r="BA4727" s="227"/>
      <c r="BB4727" s="227"/>
      <c r="BC4727" s="227"/>
      <c r="BD4727" s="227"/>
      <c r="BE4727" s="227"/>
      <c r="BF4727" s="227"/>
    </row>
    <row r="4728">
      <c r="A4728" s="235" t="s">
        <v>34987</v>
      </c>
      <c r="C4728" s="235" t="s">
        <v>34988</v>
      </c>
      <c r="D4728" s="235" t="s">
        <v>34989</v>
      </c>
      <c r="E4728" s="243">
        <v>6.5E13</v>
      </c>
      <c r="F4728" s="245"/>
      <c r="G4728" s="235" t="s">
        <v>34990</v>
      </c>
      <c r="H4728" s="235" t="s">
        <v>34991</v>
      </c>
      <c r="I4728" s="235" t="s">
        <v>34991</v>
      </c>
      <c r="J4728" s="235" t="s">
        <v>34992</v>
      </c>
      <c r="K4728" s="235" t="s">
        <v>34993</v>
      </c>
      <c r="N4728" s="235" t="s">
        <v>541</v>
      </c>
      <c r="O4728" s="235" t="s">
        <v>664</v>
      </c>
      <c r="P4728" s="238">
        <v>3.0</v>
      </c>
      <c r="Q4728" s="235" t="s">
        <v>627</v>
      </c>
      <c r="R4728" s="238">
        <v>1977.96</v>
      </c>
      <c r="S4728" s="238">
        <v>345.36</v>
      </c>
      <c r="T4728" s="238">
        <v>0.0</v>
      </c>
      <c r="U4728" s="238">
        <v>0.0</v>
      </c>
      <c r="V4728" s="238">
        <v>0.0</v>
      </c>
      <c r="W4728" s="238">
        <v>0.0</v>
      </c>
      <c r="X4728" s="235" t="s">
        <v>628</v>
      </c>
      <c r="Z4728" s="245"/>
      <c r="AA4728" s="245"/>
      <c r="AB4728" s="245"/>
      <c r="AC4728" s="235" t="s">
        <v>687</v>
      </c>
      <c r="AD4728" s="235" t="s">
        <v>666</v>
      </c>
      <c r="AE4728" s="238">
        <v>600040.0</v>
      </c>
      <c r="AF4728" s="235" t="s">
        <v>631</v>
      </c>
      <c r="AG4728" s="245"/>
      <c r="AH4728" s="245"/>
      <c r="AI4728" s="245"/>
      <c r="AJ4728" s="245"/>
      <c r="AK4728" s="245"/>
      <c r="AL4728" s="245"/>
      <c r="AM4728" s="245"/>
      <c r="AN4728" s="245"/>
      <c r="AO4728" s="238">
        <v>-59.34</v>
      </c>
      <c r="AP4728" s="238">
        <v>0.0</v>
      </c>
      <c r="AQ4728" s="235" t="s">
        <v>632</v>
      </c>
      <c r="AR4728" s="243">
        <v>3.71E11</v>
      </c>
      <c r="AS4728" s="235" t="s">
        <v>34510</v>
      </c>
      <c r="AT4728" s="235" t="s">
        <v>156</v>
      </c>
      <c r="AU4728" s="235" t="s">
        <v>634</v>
      </c>
      <c r="AV4728" s="246" t="s">
        <v>635</v>
      </c>
      <c r="AW4728" s="227"/>
      <c r="AX4728" s="227"/>
      <c r="AY4728" s="227"/>
      <c r="AZ4728" s="227"/>
      <c r="BA4728" s="227"/>
      <c r="BB4728" s="227"/>
      <c r="BC4728" s="227"/>
      <c r="BD4728" s="227"/>
      <c r="BE4728" s="227"/>
      <c r="BF4728" s="227"/>
    </row>
    <row r="4729">
      <c r="A4729" s="235" t="s">
        <v>34994</v>
      </c>
      <c r="C4729" s="235" t="s">
        <v>34995</v>
      </c>
      <c r="D4729" s="235" t="s">
        <v>34996</v>
      </c>
      <c r="E4729" s="243">
        <v>6.5E13</v>
      </c>
      <c r="F4729" s="245"/>
      <c r="G4729" s="235" t="s">
        <v>34997</v>
      </c>
      <c r="H4729" s="235" t="s">
        <v>34998</v>
      </c>
      <c r="I4729" s="235" t="s">
        <v>34998</v>
      </c>
      <c r="J4729" s="235" t="s">
        <v>34999</v>
      </c>
      <c r="K4729" s="235" t="s">
        <v>35000</v>
      </c>
      <c r="N4729" s="235" t="s">
        <v>134</v>
      </c>
      <c r="O4729" s="235" t="s">
        <v>314</v>
      </c>
      <c r="P4729" s="238">
        <v>1.0</v>
      </c>
      <c r="Q4729" s="235" t="s">
        <v>627</v>
      </c>
      <c r="R4729" s="238">
        <v>244.76</v>
      </c>
      <c r="S4729" s="238">
        <v>12.24</v>
      </c>
      <c r="T4729" s="238">
        <v>0.0</v>
      </c>
      <c r="U4729" s="238">
        <v>0.0</v>
      </c>
      <c r="V4729" s="238">
        <v>0.0</v>
      </c>
      <c r="W4729" s="238">
        <v>0.0</v>
      </c>
      <c r="X4729" s="235" t="s">
        <v>628</v>
      </c>
      <c r="Z4729" s="245"/>
      <c r="AA4729" s="245"/>
      <c r="AB4729" s="245"/>
      <c r="AC4729" s="235" t="s">
        <v>1671</v>
      </c>
      <c r="AD4729" s="235" t="s">
        <v>666</v>
      </c>
      <c r="AE4729" s="238">
        <v>641018.0</v>
      </c>
      <c r="AF4729" s="235" t="s">
        <v>631</v>
      </c>
      <c r="AG4729" s="245"/>
      <c r="AH4729" s="245"/>
      <c r="AI4729" s="245"/>
      <c r="AJ4729" s="245"/>
      <c r="AK4729" s="245"/>
      <c r="AL4729" s="245"/>
      <c r="AM4729" s="245"/>
      <c r="AN4729" s="245"/>
      <c r="AO4729" s="238">
        <v>0.0</v>
      </c>
      <c r="AP4729" s="238">
        <v>0.0</v>
      </c>
      <c r="AQ4729" s="235" t="s">
        <v>632</v>
      </c>
      <c r="AR4729" s="243">
        <v>3.71E11</v>
      </c>
      <c r="AS4729" s="235" t="s">
        <v>34510</v>
      </c>
      <c r="AT4729" s="235" t="s">
        <v>155</v>
      </c>
      <c r="AU4729" s="235" t="s">
        <v>634</v>
      </c>
      <c r="AV4729" s="246" t="s">
        <v>635</v>
      </c>
      <c r="AW4729" s="227"/>
      <c r="AX4729" s="227"/>
      <c r="AY4729" s="227"/>
      <c r="AZ4729" s="227"/>
      <c r="BA4729" s="227"/>
      <c r="BB4729" s="227"/>
      <c r="BC4729" s="227"/>
      <c r="BD4729" s="227"/>
      <c r="BE4729" s="227"/>
      <c r="BF4729" s="227"/>
    </row>
    <row r="4730">
      <c r="A4730" s="235" t="s">
        <v>35001</v>
      </c>
      <c r="C4730" s="235" t="s">
        <v>35002</v>
      </c>
      <c r="D4730" s="235" t="s">
        <v>35003</v>
      </c>
      <c r="E4730" s="243">
        <v>6.5E13</v>
      </c>
      <c r="F4730" s="245"/>
      <c r="G4730" s="235" t="s">
        <v>35004</v>
      </c>
      <c r="H4730" s="235" t="s">
        <v>35005</v>
      </c>
      <c r="I4730" s="235" t="s">
        <v>35005</v>
      </c>
      <c r="J4730" s="235" t="s">
        <v>35006</v>
      </c>
      <c r="K4730" s="235" t="s">
        <v>35007</v>
      </c>
      <c r="N4730" s="235" t="s">
        <v>134</v>
      </c>
      <c r="O4730" s="235" t="s">
        <v>314</v>
      </c>
      <c r="P4730" s="238">
        <v>1.0</v>
      </c>
      <c r="Q4730" s="235" t="s">
        <v>627</v>
      </c>
      <c r="R4730" s="238">
        <v>244.76</v>
      </c>
      <c r="S4730" s="238">
        <v>12.24</v>
      </c>
      <c r="T4730" s="238">
        <v>0.0</v>
      </c>
      <c r="U4730" s="238">
        <v>0.0</v>
      </c>
      <c r="V4730" s="238">
        <v>0.0</v>
      </c>
      <c r="W4730" s="238">
        <v>0.0</v>
      </c>
      <c r="X4730" s="235" t="s">
        <v>628</v>
      </c>
      <c r="Z4730" s="245"/>
      <c r="AA4730" s="245"/>
      <c r="AB4730" s="245"/>
      <c r="AC4730" s="235" t="s">
        <v>678</v>
      </c>
      <c r="AD4730" s="235" t="s">
        <v>679</v>
      </c>
      <c r="AE4730" s="238">
        <v>560068.0</v>
      </c>
      <c r="AF4730" s="235" t="s">
        <v>631</v>
      </c>
      <c r="AG4730" s="245"/>
      <c r="AH4730" s="245"/>
      <c r="AI4730" s="245"/>
      <c r="AJ4730" s="245"/>
      <c r="AK4730" s="245"/>
      <c r="AL4730" s="245"/>
      <c r="AM4730" s="245"/>
      <c r="AN4730" s="245"/>
      <c r="AO4730" s="238">
        <v>0.0</v>
      </c>
      <c r="AP4730" s="238">
        <v>0.0</v>
      </c>
      <c r="AQ4730" s="235" t="s">
        <v>632</v>
      </c>
      <c r="AR4730" s="243">
        <v>1.68E11</v>
      </c>
      <c r="AS4730" s="235" t="s">
        <v>34913</v>
      </c>
      <c r="AT4730" s="235" t="s">
        <v>9</v>
      </c>
      <c r="AU4730" s="235" t="s">
        <v>634</v>
      </c>
      <c r="AV4730" s="246" t="s">
        <v>635</v>
      </c>
      <c r="AW4730" s="227"/>
      <c r="AX4730" s="227"/>
      <c r="AY4730" s="227"/>
      <c r="AZ4730" s="227"/>
      <c r="BA4730" s="227"/>
      <c r="BB4730" s="227"/>
      <c r="BC4730" s="227"/>
      <c r="BD4730" s="227"/>
      <c r="BE4730" s="227"/>
      <c r="BF4730" s="227"/>
    </row>
    <row r="4731">
      <c r="A4731" s="235" t="s">
        <v>35008</v>
      </c>
      <c r="C4731" s="235" t="s">
        <v>35009</v>
      </c>
      <c r="D4731" s="235" t="s">
        <v>35010</v>
      </c>
      <c r="E4731" s="243">
        <v>6.5E13</v>
      </c>
      <c r="F4731" s="245"/>
      <c r="G4731" s="235" t="s">
        <v>35011</v>
      </c>
      <c r="H4731" s="235" t="s">
        <v>35012</v>
      </c>
      <c r="I4731" s="235" t="s">
        <v>35012</v>
      </c>
      <c r="J4731" s="235" t="s">
        <v>35013</v>
      </c>
      <c r="K4731" s="235" t="s">
        <v>35014</v>
      </c>
      <c r="N4731" s="235" t="s">
        <v>68</v>
      </c>
      <c r="O4731" s="235" t="s">
        <v>208</v>
      </c>
      <c r="P4731" s="238">
        <v>1.0</v>
      </c>
      <c r="Q4731" s="235" t="s">
        <v>627</v>
      </c>
      <c r="R4731" s="238">
        <v>0.0</v>
      </c>
      <c r="S4731" s="238">
        <v>0.0</v>
      </c>
      <c r="T4731" s="238">
        <v>0.0</v>
      </c>
      <c r="U4731" s="238">
        <v>0.0</v>
      </c>
      <c r="V4731" s="238">
        <v>0.0</v>
      </c>
      <c r="W4731" s="238">
        <v>0.0</v>
      </c>
      <c r="X4731" s="235" t="s">
        <v>628</v>
      </c>
      <c r="Z4731" s="245"/>
      <c r="AA4731" s="245"/>
      <c r="AB4731" s="245"/>
      <c r="AC4731" s="235" t="s">
        <v>1671</v>
      </c>
      <c r="AD4731" s="235" t="s">
        <v>666</v>
      </c>
      <c r="AE4731" s="238">
        <v>641005.0</v>
      </c>
      <c r="AF4731" s="235" t="s">
        <v>631</v>
      </c>
      <c r="AG4731" s="245"/>
      <c r="AH4731" s="245"/>
      <c r="AI4731" s="245"/>
      <c r="AJ4731" s="245"/>
      <c r="AK4731" s="245"/>
      <c r="AL4731" s="245"/>
      <c r="AM4731" s="245"/>
      <c r="AN4731" s="245"/>
      <c r="AO4731" s="238">
        <v>0.0</v>
      </c>
      <c r="AP4731" s="238">
        <v>0.0</v>
      </c>
      <c r="AQ4731" s="235" t="s">
        <v>632</v>
      </c>
      <c r="AR4731" s="243">
        <v>3.71E11</v>
      </c>
      <c r="AS4731" s="235" t="s">
        <v>34510</v>
      </c>
      <c r="AT4731" s="235" t="s">
        <v>155</v>
      </c>
      <c r="AU4731" s="235" t="s">
        <v>634</v>
      </c>
      <c r="AV4731" s="246" t="s">
        <v>635</v>
      </c>
      <c r="AW4731" s="227"/>
      <c r="AX4731" s="227"/>
      <c r="AY4731" s="227"/>
      <c r="AZ4731" s="227"/>
      <c r="BA4731" s="227"/>
      <c r="BB4731" s="227"/>
      <c r="BC4731" s="227"/>
      <c r="BD4731" s="227"/>
      <c r="BE4731" s="227"/>
      <c r="BF4731" s="227"/>
    </row>
    <row r="4732">
      <c r="A4732" s="235" t="s">
        <v>35015</v>
      </c>
      <c r="C4732" s="235" t="s">
        <v>35016</v>
      </c>
      <c r="D4732" s="235" t="s">
        <v>35017</v>
      </c>
      <c r="E4732" s="243">
        <v>6.5E13</v>
      </c>
      <c r="F4732" s="245"/>
      <c r="G4732" s="235" t="s">
        <v>35018</v>
      </c>
      <c r="H4732" s="235" t="s">
        <v>35019</v>
      </c>
      <c r="I4732" s="235" t="s">
        <v>35019</v>
      </c>
      <c r="J4732" s="235" t="s">
        <v>35020</v>
      </c>
      <c r="K4732" s="235" t="s">
        <v>35021</v>
      </c>
      <c r="N4732" s="235" t="s">
        <v>53</v>
      </c>
      <c r="O4732" s="235" t="s">
        <v>512</v>
      </c>
      <c r="P4732" s="238">
        <v>1.0</v>
      </c>
      <c r="Q4732" s="235" t="s">
        <v>627</v>
      </c>
      <c r="R4732" s="238">
        <v>237.14</v>
      </c>
      <c r="S4732" s="238">
        <v>11.86</v>
      </c>
      <c r="T4732" s="238">
        <v>0.0</v>
      </c>
      <c r="U4732" s="238">
        <v>0.0</v>
      </c>
      <c r="V4732" s="238">
        <v>0.0</v>
      </c>
      <c r="W4732" s="238">
        <v>0.0</v>
      </c>
      <c r="X4732" s="235" t="s">
        <v>628</v>
      </c>
      <c r="Z4732" s="245"/>
      <c r="AA4732" s="245"/>
      <c r="AB4732" s="245"/>
      <c r="AC4732" s="235" t="s">
        <v>35022</v>
      </c>
      <c r="AD4732" s="235" t="s">
        <v>666</v>
      </c>
      <c r="AE4732" s="238">
        <v>607302.0</v>
      </c>
      <c r="AF4732" s="235" t="s">
        <v>631</v>
      </c>
      <c r="AG4732" s="245"/>
      <c r="AH4732" s="245"/>
      <c r="AI4732" s="245"/>
      <c r="AJ4732" s="245"/>
      <c r="AK4732" s="245"/>
      <c r="AL4732" s="245"/>
      <c r="AM4732" s="245"/>
      <c r="AN4732" s="245"/>
      <c r="AO4732" s="238">
        <v>0.0</v>
      </c>
      <c r="AP4732" s="238">
        <v>0.0</v>
      </c>
      <c r="AQ4732" s="235" t="s">
        <v>632</v>
      </c>
      <c r="AR4732" s="243">
        <v>1.68E11</v>
      </c>
      <c r="AS4732" s="235" t="s">
        <v>34510</v>
      </c>
      <c r="AT4732" s="235" t="s">
        <v>156</v>
      </c>
      <c r="AU4732" s="235" t="s">
        <v>634</v>
      </c>
      <c r="AV4732" s="246" t="s">
        <v>635</v>
      </c>
      <c r="AW4732" s="227"/>
      <c r="AX4732" s="227"/>
      <c r="AY4732" s="227"/>
      <c r="AZ4732" s="227"/>
      <c r="BA4732" s="227"/>
      <c r="BB4732" s="227"/>
      <c r="BC4732" s="227"/>
      <c r="BD4732" s="227"/>
      <c r="BE4732" s="227"/>
      <c r="BF4732" s="227"/>
    </row>
    <row r="4733">
      <c r="A4733" s="235" t="s">
        <v>35023</v>
      </c>
      <c r="C4733" s="235" t="s">
        <v>35024</v>
      </c>
      <c r="D4733" s="235" t="s">
        <v>35025</v>
      </c>
      <c r="E4733" s="243">
        <v>6.5E13</v>
      </c>
      <c r="F4733" s="245"/>
      <c r="G4733" s="235" t="s">
        <v>35026</v>
      </c>
      <c r="H4733" s="235" t="s">
        <v>35019</v>
      </c>
      <c r="I4733" s="235" t="s">
        <v>35019</v>
      </c>
      <c r="J4733" s="235" t="s">
        <v>35027</v>
      </c>
      <c r="K4733" s="235" t="s">
        <v>35028</v>
      </c>
      <c r="N4733" s="235" t="s">
        <v>92</v>
      </c>
      <c r="O4733" s="235" t="s">
        <v>248</v>
      </c>
      <c r="P4733" s="238">
        <v>1.0</v>
      </c>
      <c r="Q4733" s="235" t="s">
        <v>627</v>
      </c>
      <c r="R4733" s="238">
        <v>244.76</v>
      </c>
      <c r="S4733" s="238">
        <v>12.0</v>
      </c>
      <c r="T4733" s="238">
        <v>0.0</v>
      </c>
      <c r="U4733" s="238">
        <v>0.0</v>
      </c>
      <c r="V4733" s="238">
        <v>0.0</v>
      </c>
      <c r="W4733" s="238">
        <v>0.0</v>
      </c>
      <c r="X4733" s="235" t="s">
        <v>628</v>
      </c>
      <c r="Z4733" s="245"/>
      <c r="AA4733" s="245"/>
      <c r="AB4733" s="245"/>
      <c r="AC4733" s="235" t="s">
        <v>795</v>
      </c>
      <c r="AD4733" s="235" t="s">
        <v>796</v>
      </c>
      <c r="AE4733" s="238">
        <v>110045.0</v>
      </c>
      <c r="AF4733" s="235" t="s">
        <v>631</v>
      </c>
      <c r="AG4733" s="245"/>
      <c r="AH4733" s="245"/>
      <c r="AI4733" s="245"/>
      <c r="AJ4733" s="245"/>
      <c r="AK4733" s="245"/>
      <c r="AL4733" s="245"/>
      <c r="AM4733" s="245"/>
      <c r="AN4733" s="245"/>
      <c r="AO4733" s="238">
        <v>-4.9</v>
      </c>
      <c r="AP4733" s="238">
        <v>0.0</v>
      </c>
      <c r="AQ4733" s="235" t="s">
        <v>632</v>
      </c>
      <c r="AR4733" s="243">
        <v>1.68E11</v>
      </c>
      <c r="AS4733" s="235" t="s">
        <v>34913</v>
      </c>
      <c r="AT4733" s="235" t="s">
        <v>13</v>
      </c>
      <c r="AU4733" s="235" t="s">
        <v>634</v>
      </c>
      <c r="AV4733" s="246" t="s">
        <v>635</v>
      </c>
      <c r="AW4733" s="227"/>
      <c r="AX4733" s="227"/>
      <c r="AY4733" s="227"/>
      <c r="AZ4733" s="227"/>
      <c r="BA4733" s="227"/>
      <c r="BB4733" s="227"/>
      <c r="BC4733" s="227"/>
      <c r="BD4733" s="227"/>
      <c r="BE4733" s="227"/>
      <c r="BF4733" s="227"/>
    </row>
    <row r="4734">
      <c r="A4734" s="235" t="s">
        <v>35029</v>
      </c>
      <c r="C4734" s="235" t="s">
        <v>35030</v>
      </c>
      <c r="D4734" s="235" t="s">
        <v>35031</v>
      </c>
      <c r="E4734" s="243">
        <v>6.5E13</v>
      </c>
      <c r="F4734" s="245"/>
      <c r="G4734" s="235" t="s">
        <v>35032</v>
      </c>
      <c r="H4734" s="235" t="s">
        <v>35033</v>
      </c>
      <c r="I4734" s="235" t="s">
        <v>35034</v>
      </c>
      <c r="J4734" s="235" t="s">
        <v>35035</v>
      </c>
      <c r="K4734" s="235" t="s">
        <v>35036</v>
      </c>
      <c r="N4734" s="235" t="s">
        <v>134</v>
      </c>
      <c r="O4734" s="235" t="s">
        <v>314</v>
      </c>
      <c r="P4734" s="238">
        <v>1.0</v>
      </c>
      <c r="Q4734" s="235" t="s">
        <v>627</v>
      </c>
      <c r="R4734" s="238">
        <v>244.76</v>
      </c>
      <c r="S4734" s="238">
        <v>12.0</v>
      </c>
      <c r="T4734" s="238">
        <v>0.0</v>
      </c>
      <c r="U4734" s="238">
        <v>0.0</v>
      </c>
      <c r="V4734" s="238">
        <v>0.0</v>
      </c>
      <c r="W4734" s="238">
        <v>0.0</v>
      </c>
      <c r="X4734" s="235" t="s">
        <v>628</v>
      </c>
      <c r="Z4734" s="245"/>
      <c r="AA4734" s="245"/>
      <c r="AB4734" s="245"/>
      <c r="AC4734" s="235" t="s">
        <v>678</v>
      </c>
      <c r="AD4734" s="235" t="s">
        <v>679</v>
      </c>
      <c r="AE4734" s="238">
        <v>560068.0</v>
      </c>
      <c r="AF4734" s="235" t="s">
        <v>631</v>
      </c>
      <c r="AG4734" s="245"/>
      <c r="AH4734" s="245"/>
      <c r="AI4734" s="245"/>
      <c r="AJ4734" s="245"/>
      <c r="AK4734" s="245"/>
      <c r="AL4734" s="245"/>
      <c r="AM4734" s="245"/>
      <c r="AN4734" s="245"/>
      <c r="AO4734" s="238">
        <v>-4.9</v>
      </c>
      <c r="AP4734" s="238">
        <v>0.0</v>
      </c>
      <c r="AQ4734" s="235" t="s">
        <v>632</v>
      </c>
      <c r="AR4734" s="243">
        <v>1.68E11</v>
      </c>
      <c r="AS4734" s="235" t="s">
        <v>34913</v>
      </c>
      <c r="AT4734" s="235" t="s">
        <v>9</v>
      </c>
      <c r="AU4734" s="235" t="s">
        <v>634</v>
      </c>
      <c r="AV4734" s="246" t="s">
        <v>635</v>
      </c>
      <c r="AW4734" s="227"/>
      <c r="AX4734" s="227"/>
      <c r="AY4734" s="227"/>
      <c r="AZ4734" s="227"/>
      <c r="BA4734" s="227"/>
      <c r="BB4734" s="227"/>
      <c r="BC4734" s="227"/>
      <c r="BD4734" s="227"/>
      <c r="BE4734" s="227"/>
      <c r="BF4734" s="227"/>
    </row>
    <row r="4735">
      <c r="A4735" s="235" t="s">
        <v>35037</v>
      </c>
      <c r="C4735" s="235" t="s">
        <v>35038</v>
      </c>
      <c r="D4735" s="235" t="s">
        <v>35039</v>
      </c>
      <c r="E4735" s="243">
        <v>6.5E13</v>
      </c>
      <c r="F4735" s="245"/>
      <c r="G4735" s="235" t="s">
        <v>35040</v>
      </c>
      <c r="H4735" s="235" t="s">
        <v>35041</v>
      </c>
      <c r="I4735" s="235" t="s">
        <v>35041</v>
      </c>
      <c r="J4735" s="235" t="s">
        <v>35042</v>
      </c>
      <c r="K4735" s="235" t="s">
        <v>35043</v>
      </c>
      <c r="N4735" s="235" t="s">
        <v>3</v>
      </c>
      <c r="O4735" s="235" t="s">
        <v>654</v>
      </c>
      <c r="P4735" s="238">
        <v>1.0</v>
      </c>
      <c r="Q4735" s="235" t="s">
        <v>627</v>
      </c>
      <c r="R4735" s="238">
        <v>265.72</v>
      </c>
      <c r="S4735" s="238">
        <v>13.28</v>
      </c>
      <c r="T4735" s="238">
        <v>0.0</v>
      </c>
      <c r="U4735" s="238">
        <v>0.0</v>
      </c>
      <c r="V4735" s="238">
        <v>0.0</v>
      </c>
      <c r="W4735" s="238">
        <v>0.0</v>
      </c>
      <c r="X4735" s="235" t="s">
        <v>628</v>
      </c>
      <c r="Z4735" s="245"/>
      <c r="AA4735" s="245"/>
      <c r="AB4735" s="245"/>
      <c r="AC4735" s="235" t="s">
        <v>1514</v>
      </c>
      <c r="AD4735" s="235" t="s">
        <v>1077</v>
      </c>
      <c r="AE4735" s="238">
        <v>380050.0</v>
      </c>
      <c r="AF4735" s="235" t="s">
        <v>631</v>
      </c>
      <c r="AG4735" s="245"/>
      <c r="AH4735" s="245"/>
      <c r="AI4735" s="245"/>
      <c r="AJ4735" s="245"/>
      <c r="AK4735" s="245"/>
      <c r="AL4735" s="245"/>
      <c r="AM4735" s="245"/>
      <c r="AN4735" s="245"/>
      <c r="AO4735" s="238">
        <v>0.0</v>
      </c>
      <c r="AP4735" s="238">
        <v>0.0</v>
      </c>
      <c r="AQ4735" s="235" t="s">
        <v>632</v>
      </c>
      <c r="AR4735" s="243">
        <v>1.68E11</v>
      </c>
      <c r="AS4735" s="235" t="s">
        <v>34913</v>
      </c>
      <c r="AT4735" s="235" t="s">
        <v>5</v>
      </c>
      <c r="AU4735" s="235" t="s">
        <v>634</v>
      </c>
      <c r="AV4735" s="246" t="s">
        <v>635</v>
      </c>
      <c r="AW4735" s="227"/>
      <c r="AX4735" s="227"/>
      <c r="AY4735" s="227"/>
      <c r="AZ4735" s="227"/>
      <c r="BA4735" s="227"/>
      <c r="BB4735" s="227"/>
      <c r="BC4735" s="227"/>
      <c r="BD4735" s="227"/>
      <c r="BE4735" s="227"/>
      <c r="BF4735" s="227"/>
    </row>
    <row r="4736">
      <c r="A4736" s="235" t="s">
        <v>35044</v>
      </c>
      <c r="C4736" s="235" t="s">
        <v>35045</v>
      </c>
      <c r="D4736" s="235" t="s">
        <v>35046</v>
      </c>
      <c r="E4736" s="243">
        <v>6.5E13</v>
      </c>
      <c r="F4736" s="245"/>
      <c r="G4736" s="235" t="s">
        <v>35047</v>
      </c>
      <c r="H4736" s="235" t="s">
        <v>35048</v>
      </c>
      <c r="I4736" s="235" t="s">
        <v>35048</v>
      </c>
      <c r="J4736" s="235" t="s">
        <v>35049</v>
      </c>
      <c r="K4736" s="235" t="s">
        <v>35050</v>
      </c>
      <c r="N4736" s="235" t="s">
        <v>154</v>
      </c>
      <c r="O4736" s="235" t="s">
        <v>766</v>
      </c>
      <c r="P4736" s="238">
        <v>1.0</v>
      </c>
      <c r="Q4736" s="235" t="s">
        <v>627</v>
      </c>
      <c r="R4736" s="238">
        <v>465.72</v>
      </c>
      <c r="S4736" s="238">
        <v>23.28</v>
      </c>
      <c r="T4736" s="238">
        <v>0.0</v>
      </c>
      <c r="U4736" s="238">
        <v>0.0</v>
      </c>
      <c r="V4736" s="238">
        <v>0.0</v>
      </c>
      <c r="W4736" s="238">
        <v>0.0</v>
      </c>
      <c r="X4736" s="235" t="s">
        <v>628</v>
      </c>
      <c r="Z4736" s="245"/>
      <c r="AA4736" s="245"/>
      <c r="AB4736" s="245"/>
      <c r="AC4736" s="235" t="s">
        <v>1887</v>
      </c>
      <c r="AD4736" s="235" t="s">
        <v>679</v>
      </c>
      <c r="AE4736" s="238">
        <v>560077.0</v>
      </c>
      <c r="AF4736" s="235" t="s">
        <v>631</v>
      </c>
      <c r="AG4736" s="245"/>
      <c r="AH4736" s="245"/>
      <c r="AI4736" s="245"/>
      <c r="AJ4736" s="245"/>
      <c r="AK4736" s="245"/>
      <c r="AL4736" s="245"/>
      <c r="AM4736" s="245"/>
      <c r="AN4736" s="245"/>
      <c r="AO4736" s="238">
        <v>0.0</v>
      </c>
      <c r="AP4736" s="238">
        <v>0.0</v>
      </c>
      <c r="AQ4736" s="235" t="s">
        <v>632</v>
      </c>
      <c r="AR4736" s="243">
        <v>1.68E11</v>
      </c>
      <c r="AS4736" s="235" t="s">
        <v>34913</v>
      </c>
      <c r="AT4736" s="235" t="s">
        <v>9</v>
      </c>
      <c r="AU4736" s="235" t="s">
        <v>634</v>
      </c>
      <c r="AV4736" s="246" t="s">
        <v>635</v>
      </c>
      <c r="AW4736" s="227"/>
      <c r="AX4736" s="227"/>
      <c r="AY4736" s="227"/>
      <c r="AZ4736" s="227"/>
      <c r="BA4736" s="227"/>
      <c r="BB4736" s="227"/>
      <c r="BC4736" s="227"/>
      <c r="BD4736" s="227"/>
      <c r="BE4736" s="227"/>
      <c r="BF4736" s="227"/>
    </row>
    <row r="4737">
      <c r="A4737" s="235" t="s">
        <v>35051</v>
      </c>
      <c r="C4737" s="235" t="s">
        <v>35052</v>
      </c>
      <c r="D4737" s="235" t="s">
        <v>35053</v>
      </c>
      <c r="E4737" s="243">
        <v>6.5E13</v>
      </c>
      <c r="F4737" s="245"/>
      <c r="G4737" s="235" t="s">
        <v>35054</v>
      </c>
      <c r="H4737" s="235" t="s">
        <v>35055</v>
      </c>
      <c r="I4737" s="235" t="s">
        <v>35055</v>
      </c>
      <c r="J4737" s="235" t="s">
        <v>35056</v>
      </c>
      <c r="K4737" s="235" t="s">
        <v>5716</v>
      </c>
      <c r="N4737" s="235" t="s">
        <v>127</v>
      </c>
      <c r="O4737" s="235" t="s">
        <v>794</v>
      </c>
      <c r="P4737" s="238">
        <v>1.0</v>
      </c>
      <c r="Q4737" s="235" t="s">
        <v>627</v>
      </c>
      <c r="R4737" s="238">
        <v>243.8</v>
      </c>
      <c r="S4737" s="238">
        <v>12.2</v>
      </c>
      <c r="T4737" s="238">
        <v>0.0</v>
      </c>
      <c r="U4737" s="238">
        <v>0.0</v>
      </c>
      <c r="V4737" s="238">
        <v>0.0</v>
      </c>
      <c r="W4737" s="238">
        <v>0.0</v>
      </c>
      <c r="X4737" s="235" t="s">
        <v>628</v>
      </c>
      <c r="Z4737" s="245"/>
      <c r="AA4737" s="245"/>
      <c r="AB4737" s="245"/>
      <c r="AC4737" s="235" t="s">
        <v>1320</v>
      </c>
      <c r="AD4737" s="235" t="s">
        <v>666</v>
      </c>
      <c r="AE4737" s="238">
        <v>600077.0</v>
      </c>
      <c r="AF4737" s="235" t="s">
        <v>631</v>
      </c>
      <c r="AG4737" s="245"/>
      <c r="AH4737" s="245"/>
      <c r="AI4737" s="245"/>
      <c r="AJ4737" s="245"/>
      <c r="AK4737" s="245"/>
      <c r="AL4737" s="245"/>
      <c r="AM4737" s="245"/>
      <c r="AN4737" s="245"/>
      <c r="AO4737" s="238">
        <v>0.0</v>
      </c>
      <c r="AP4737" s="238">
        <v>0.0</v>
      </c>
      <c r="AQ4737" s="235" t="s">
        <v>632</v>
      </c>
      <c r="AR4737" s="243">
        <v>3.71E11</v>
      </c>
      <c r="AS4737" s="235" t="s">
        <v>34510</v>
      </c>
      <c r="AT4737" s="235" t="s">
        <v>156</v>
      </c>
      <c r="AU4737" s="235" t="s">
        <v>634</v>
      </c>
      <c r="AV4737" s="246" t="s">
        <v>635</v>
      </c>
      <c r="AW4737" s="227"/>
      <c r="AX4737" s="227"/>
      <c r="AY4737" s="227"/>
      <c r="AZ4737" s="227"/>
      <c r="BA4737" s="227"/>
      <c r="BB4737" s="227"/>
      <c r="BC4737" s="227"/>
      <c r="BD4737" s="227"/>
      <c r="BE4737" s="227"/>
      <c r="BF4737" s="227"/>
    </row>
    <row r="4738">
      <c r="A4738" s="235" t="s">
        <v>35057</v>
      </c>
      <c r="C4738" s="235" t="s">
        <v>35058</v>
      </c>
      <c r="D4738" s="235" t="s">
        <v>35059</v>
      </c>
      <c r="E4738" s="243">
        <v>6.5E13</v>
      </c>
      <c r="F4738" s="245"/>
      <c r="G4738" s="235" t="s">
        <v>35060</v>
      </c>
      <c r="H4738" s="235" t="s">
        <v>35061</v>
      </c>
      <c r="I4738" s="235" t="s">
        <v>35061</v>
      </c>
      <c r="J4738" s="235" t="s">
        <v>35062</v>
      </c>
      <c r="K4738" s="235" t="s">
        <v>35063</v>
      </c>
      <c r="N4738" s="235" t="s">
        <v>1646</v>
      </c>
      <c r="O4738" s="235" t="s">
        <v>1647</v>
      </c>
      <c r="P4738" s="238">
        <v>1.0</v>
      </c>
      <c r="Q4738" s="235" t="s">
        <v>627</v>
      </c>
      <c r="R4738" s="238">
        <v>246.67</v>
      </c>
      <c r="S4738" s="238">
        <v>12.33</v>
      </c>
      <c r="T4738" s="238">
        <v>38.1</v>
      </c>
      <c r="U4738" s="238">
        <v>1.9</v>
      </c>
      <c r="V4738" s="238">
        <v>0.0</v>
      </c>
      <c r="W4738" s="238">
        <v>0.0</v>
      </c>
      <c r="X4738" s="235" t="s">
        <v>628</v>
      </c>
      <c r="Z4738" s="245"/>
      <c r="AA4738" s="245"/>
      <c r="AB4738" s="245"/>
      <c r="AC4738" s="235" t="s">
        <v>35064</v>
      </c>
      <c r="AD4738" s="235" t="s">
        <v>20609</v>
      </c>
      <c r="AE4738" s="238">
        <v>303702.0</v>
      </c>
      <c r="AF4738" s="235" t="s">
        <v>631</v>
      </c>
      <c r="AG4738" s="245"/>
      <c r="AH4738" s="245"/>
      <c r="AI4738" s="245"/>
      <c r="AJ4738" s="245"/>
      <c r="AK4738" s="245"/>
      <c r="AL4738" s="245"/>
      <c r="AM4738" s="245"/>
      <c r="AN4738" s="245"/>
      <c r="AO4738" s="238">
        <v>0.0</v>
      </c>
      <c r="AP4738" s="238">
        <v>-38.1</v>
      </c>
      <c r="AQ4738" s="235" t="s">
        <v>632</v>
      </c>
      <c r="AR4738" s="243">
        <v>3.71E11</v>
      </c>
      <c r="AS4738" s="235" t="s">
        <v>33466</v>
      </c>
      <c r="AT4738" s="235" t="s">
        <v>14</v>
      </c>
      <c r="AU4738" s="235" t="s">
        <v>634</v>
      </c>
      <c r="AV4738" s="246" t="s">
        <v>635</v>
      </c>
      <c r="AW4738" s="227"/>
      <c r="AX4738" s="227"/>
      <c r="AY4738" s="227"/>
      <c r="AZ4738" s="227"/>
      <c r="BA4738" s="227"/>
      <c r="BB4738" s="227"/>
      <c r="BC4738" s="227"/>
      <c r="BD4738" s="227"/>
      <c r="BE4738" s="227"/>
      <c r="BF4738" s="227"/>
    </row>
    <row r="4739">
      <c r="A4739" s="235" t="s">
        <v>35065</v>
      </c>
      <c r="C4739" s="235" t="s">
        <v>35066</v>
      </c>
      <c r="D4739" s="235" t="s">
        <v>35067</v>
      </c>
      <c r="E4739" s="243">
        <v>6.5E13</v>
      </c>
      <c r="F4739" s="245"/>
      <c r="G4739" s="235" t="s">
        <v>35068</v>
      </c>
      <c r="H4739" s="235" t="s">
        <v>35069</v>
      </c>
      <c r="I4739" s="235" t="s">
        <v>35070</v>
      </c>
      <c r="J4739" s="235" t="s">
        <v>35071</v>
      </c>
      <c r="K4739" s="235" t="s">
        <v>35072</v>
      </c>
      <c r="N4739" s="235" t="s">
        <v>127</v>
      </c>
      <c r="O4739" s="235" t="s">
        <v>794</v>
      </c>
      <c r="P4739" s="238">
        <v>1.0</v>
      </c>
      <c r="Q4739" s="235" t="s">
        <v>627</v>
      </c>
      <c r="R4739" s="238">
        <v>243.8</v>
      </c>
      <c r="S4739" s="238">
        <v>12.2</v>
      </c>
      <c r="T4739" s="238">
        <v>0.0</v>
      </c>
      <c r="U4739" s="238">
        <v>0.0</v>
      </c>
      <c r="V4739" s="238">
        <v>0.0</v>
      </c>
      <c r="W4739" s="238">
        <v>0.0</v>
      </c>
      <c r="X4739" s="235" t="s">
        <v>628</v>
      </c>
      <c r="Z4739" s="245"/>
      <c r="AA4739" s="245"/>
      <c r="AB4739" s="245"/>
      <c r="AC4739" s="235" t="s">
        <v>1320</v>
      </c>
      <c r="AD4739" s="235" t="s">
        <v>666</v>
      </c>
      <c r="AE4739" s="238">
        <v>600073.0</v>
      </c>
      <c r="AF4739" s="235" t="s">
        <v>631</v>
      </c>
      <c r="AG4739" s="245"/>
      <c r="AH4739" s="245"/>
      <c r="AI4739" s="245"/>
      <c r="AJ4739" s="245"/>
      <c r="AK4739" s="245"/>
      <c r="AL4739" s="245"/>
      <c r="AM4739" s="245"/>
      <c r="AN4739" s="245"/>
      <c r="AO4739" s="238">
        <v>0.0</v>
      </c>
      <c r="AP4739" s="238">
        <v>0.0</v>
      </c>
      <c r="AQ4739" s="235" t="s">
        <v>632</v>
      </c>
      <c r="AR4739" s="243">
        <v>1.68E11</v>
      </c>
      <c r="AS4739" s="235" t="s">
        <v>34913</v>
      </c>
      <c r="AT4739" s="235" t="s">
        <v>156</v>
      </c>
      <c r="AU4739" s="235" t="s">
        <v>634</v>
      </c>
      <c r="AV4739" s="246" t="s">
        <v>635</v>
      </c>
      <c r="AW4739" s="227"/>
      <c r="AX4739" s="227"/>
      <c r="AY4739" s="227"/>
      <c r="AZ4739" s="227"/>
      <c r="BA4739" s="227"/>
      <c r="BB4739" s="227"/>
      <c r="BC4739" s="227"/>
      <c r="BD4739" s="227"/>
      <c r="BE4739" s="227"/>
      <c r="BF4739" s="227"/>
    </row>
    <row r="4740">
      <c r="A4740" s="235" t="s">
        <v>35073</v>
      </c>
      <c r="C4740" s="235" t="s">
        <v>35074</v>
      </c>
      <c r="D4740" s="235" t="s">
        <v>35075</v>
      </c>
      <c r="E4740" s="243">
        <v>6.5E13</v>
      </c>
      <c r="F4740" s="245"/>
      <c r="G4740" s="235" t="s">
        <v>35076</v>
      </c>
      <c r="H4740" s="235" t="s">
        <v>35077</v>
      </c>
      <c r="I4740" s="235" t="s">
        <v>35077</v>
      </c>
      <c r="J4740" s="235" t="s">
        <v>35078</v>
      </c>
      <c r="K4740" s="235" t="s">
        <v>35079</v>
      </c>
      <c r="N4740" s="235" t="s">
        <v>53</v>
      </c>
      <c r="O4740" s="235" t="s">
        <v>512</v>
      </c>
      <c r="P4740" s="238">
        <v>1.0</v>
      </c>
      <c r="Q4740" s="235" t="s">
        <v>627</v>
      </c>
      <c r="R4740" s="238">
        <v>0.0</v>
      </c>
      <c r="S4740" s="238">
        <v>0.0</v>
      </c>
      <c r="T4740" s="238">
        <v>0.0</v>
      </c>
      <c r="U4740" s="238">
        <v>0.0</v>
      </c>
      <c r="V4740" s="238">
        <v>0.0</v>
      </c>
      <c r="W4740" s="238">
        <v>0.0</v>
      </c>
      <c r="X4740" s="235" t="s">
        <v>628</v>
      </c>
      <c r="Z4740" s="245"/>
      <c r="AA4740" s="245"/>
      <c r="AB4740" s="245"/>
      <c r="AC4740" s="235" t="s">
        <v>35080</v>
      </c>
      <c r="AD4740" s="235" t="s">
        <v>679</v>
      </c>
      <c r="AE4740" s="238">
        <v>571401.0</v>
      </c>
      <c r="AF4740" s="235" t="s">
        <v>631</v>
      </c>
      <c r="AG4740" s="245"/>
      <c r="AH4740" s="245"/>
      <c r="AI4740" s="245"/>
      <c r="AJ4740" s="245"/>
      <c r="AK4740" s="245"/>
      <c r="AL4740" s="245"/>
      <c r="AM4740" s="245"/>
      <c r="AN4740" s="245"/>
      <c r="AO4740" s="238">
        <v>0.0</v>
      </c>
      <c r="AP4740" s="238">
        <v>0.0</v>
      </c>
      <c r="AQ4740" s="235" t="s">
        <v>632</v>
      </c>
      <c r="AR4740" s="243">
        <v>3.71E11</v>
      </c>
      <c r="AS4740" s="235" t="s">
        <v>33466</v>
      </c>
      <c r="AT4740" s="235" t="s">
        <v>9</v>
      </c>
      <c r="AU4740" s="235" t="s">
        <v>634</v>
      </c>
      <c r="AV4740" s="246" t="s">
        <v>635</v>
      </c>
      <c r="AW4740" s="227"/>
      <c r="AX4740" s="227"/>
      <c r="AY4740" s="227"/>
      <c r="AZ4740" s="227"/>
      <c r="BA4740" s="227"/>
      <c r="BB4740" s="227"/>
      <c r="BC4740" s="227"/>
      <c r="BD4740" s="227"/>
      <c r="BE4740" s="227"/>
      <c r="BF4740" s="227"/>
    </row>
    <row r="4741">
      <c r="A4741" s="235" t="s">
        <v>35081</v>
      </c>
      <c r="C4741" s="235" t="s">
        <v>35082</v>
      </c>
      <c r="D4741" s="235" t="s">
        <v>35083</v>
      </c>
      <c r="E4741" s="243">
        <v>6.5E13</v>
      </c>
      <c r="F4741" s="245"/>
      <c r="G4741" s="235" t="s">
        <v>35084</v>
      </c>
      <c r="H4741" s="235" t="s">
        <v>35085</v>
      </c>
      <c r="I4741" s="235" t="s">
        <v>35085</v>
      </c>
      <c r="J4741" s="235" t="s">
        <v>35086</v>
      </c>
      <c r="K4741" s="235" t="s">
        <v>35087</v>
      </c>
      <c r="N4741" s="235" t="s">
        <v>113</v>
      </c>
      <c r="O4741" s="235" t="s">
        <v>452</v>
      </c>
      <c r="P4741" s="238">
        <v>1.0</v>
      </c>
      <c r="Q4741" s="235" t="s">
        <v>627</v>
      </c>
      <c r="R4741" s="238">
        <v>246.66</v>
      </c>
      <c r="S4741" s="238">
        <v>12.34</v>
      </c>
      <c r="T4741" s="238">
        <v>0.0</v>
      </c>
      <c r="U4741" s="238">
        <v>0.0</v>
      </c>
      <c r="V4741" s="238">
        <v>0.0</v>
      </c>
      <c r="W4741" s="238">
        <v>0.0</v>
      </c>
      <c r="X4741" s="235" t="s">
        <v>628</v>
      </c>
      <c r="Z4741" s="245"/>
      <c r="AA4741" s="245"/>
      <c r="AB4741" s="245"/>
      <c r="AC4741" s="235" t="s">
        <v>1456</v>
      </c>
      <c r="AD4741" s="235" t="s">
        <v>928</v>
      </c>
      <c r="AE4741" s="238">
        <v>122017.0</v>
      </c>
      <c r="AF4741" s="235" t="s">
        <v>631</v>
      </c>
      <c r="AG4741" s="245"/>
      <c r="AH4741" s="245"/>
      <c r="AI4741" s="245"/>
      <c r="AJ4741" s="245"/>
      <c r="AK4741" s="245"/>
      <c r="AL4741" s="245"/>
      <c r="AM4741" s="245"/>
      <c r="AN4741" s="245"/>
      <c r="AO4741" s="238">
        <v>0.0</v>
      </c>
      <c r="AP4741" s="238">
        <v>0.0</v>
      </c>
      <c r="AQ4741" s="235" t="s">
        <v>632</v>
      </c>
      <c r="AR4741" s="243">
        <v>1.68E11</v>
      </c>
      <c r="AS4741" s="235" t="s">
        <v>34913</v>
      </c>
      <c r="AT4741" s="235" t="s">
        <v>13</v>
      </c>
      <c r="AU4741" s="235" t="s">
        <v>634</v>
      </c>
      <c r="AV4741" s="246" t="s">
        <v>635</v>
      </c>
      <c r="AW4741" s="227"/>
      <c r="AX4741" s="227"/>
      <c r="AY4741" s="227"/>
      <c r="AZ4741" s="227"/>
      <c r="BA4741" s="227"/>
      <c r="BB4741" s="227"/>
      <c r="BC4741" s="227"/>
      <c r="BD4741" s="227"/>
      <c r="BE4741" s="227"/>
      <c r="BF4741" s="227"/>
    </row>
    <row r="4742">
      <c r="A4742" s="235" t="s">
        <v>35088</v>
      </c>
      <c r="C4742" s="235" t="s">
        <v>35089</v>
      </c>
      <c r="D4742" s="235" t="s">
        <v>35090</v>
      </c>
      <c r="E4742" s="243">
        <v>6.5E13</v>
      </c>
      <c r="F4742" s="245"/>
      <c r="G4742" s="235" t="s">
        <v>35091</v>
      </c>
      <c r="H4742" s="235" t="s">
        <v>35092</v>
      </c>
      <c r="I4742" s="235" t="s">
        <v>35092</v>
      </c>
      <c r="J4742" s="235" t="s">
        <v>35093</v>
      </c>
      <c r="K4742" s="235" t="s">
        <v>35094</v>
      </c>
      <c r="N4742" s="235" t="s">
        <v>144</v>
      </c>
      <c r="O4742" s="235" t="s">
        <v>232</v>
      </c>
      <c r="P4742" s="238">
        <v>1.0</v>
      </c>
      <c r="Q4742" s="235" t="s">
        <v>627</v>
      </c>
      <c r="R4742" s="238">
        <v>665.72</v>
      </c>
      <c r="S4742" s="238">
        <v>33.28</v>
      </c>
      <c r="T4742" s="238">
        <v>0.0</v>
      </c>
      <c r="U4742" s="238">
        <v>0.0</v>
      </c>
      <c r="V4742" s="238">
        <v>0.0</v>
      </c>
      <c r="W4742" s="238">
        <v>0.0</v>
      </c>
      <c r="X4742" s="235" t="s">
        <v>628</v>
      </c>
      <c r="Z4742" s="245"/>
      <c r="AA4742" s="245"/>
      <c r="AB4742" s="245"/>
      <c r="AC4742" s="235" t="s">
        <v>1514</v>
      </c>
      <c r="AD4742" s="235" t="s">
        <v>1077</v>
      </c>
      <c r="AE4742" s="238">
        <v>380015.0</v>
      </c>
      <c r="AF4742" s="235" t="s">
        <v>631</v>
      </c>
      <c r="AG4742" s="245"/>
      <c r="AH4742" s="245"/>
      <c r="AI4742" s="245"/>
      <c r="AJ4742" s="245"/>
      <c r="AK4742" s="245"/>
      <c r="AL4742" s="245"/>
      <c r="AM4742" s="245"/>
      <c r="AN4742" s="245"/>
      <c r="AO4742" s="238">
        <v>0.0</v>
      </c>
      <c r="AP4742" s="238">
        <v>0.0</v>
      </c>
      <c r="AQ4742" s="235" t="s">
        <v>632</v>
      </c>
      <c r="AR4742" s="243">
        <v>1.68E11</v>
      </c>
      <c r="AS4742" s="235" t="s">
        <v>34913</v>
      </c>
      <c r="AT4742" s="235" t="s">
        <v>5</v>
      </c>
      <c r="AU4742" s="235" t="s">
        <v>634</v>
      </c>
      <c r="AV4742" s="246" t="s">
        <v>635</v>
      </c>
      <c r="AW4742" s="227"/>
      <c r="AX4742" s="227"/>
      <c r="AY4742" s="227"/>
      <c r="AZ4742" s="227"/>
      <c r="BA4742" s="227"/>
      <c r="BB4742" s="227"/>
      <c r="BC4742" s="227"/>
      <c r="BD4742" s="227"/>
      <c r="BE4742" s="227"/>
      <c r="BF4742" s="227"/>
    </row>
    <row r="4743">
      <c r="A4743" s="235" t="s">
        <v>35095</v>
      </c>
      <c r="C4743" s="235" t="s">
        <v>35096</v>
      </c>
      <c r="D4743" s="235" t="s">
        <v>35097</v>
      </c>
      <c r="E4743" s="243">
        <v>6.5E13</v>
      </c>
      <c r="F4743" s="245"/>
      <c r="G4743" s="235" t="s">
        <v>35098</v>
      </c>
      <c r="H4743" s="235" t="s">
        <v>35099</v>
      </c>
      <c r="I4743" s="235" t="s">
        <v>35099</v>
      </c>
      <c r="J4743" s="235" t="s">
        <v>35100</v>
      </c>
      <c r="K4743" s="235" t="s">
        <v>35101</v>
      </c>
      <c r="N4743" s="235" t="s">
        <v>1346</v>
      </c>
      <c r="O4743" s="235" t="s">
        <v>1347</v>
      </c>
      <c r="P4743" s="238">
        <v>1.0</v>
      </c>
      <c r="Q4743" s="235" t="s">
        <v>627</v>
      </c>
      <c r="R4743" s="238">
        <v>256.19</v>
      </c>
      <c r="S4743" s="238">
        <v>12.81</v>
      </c>
      <c r="T4743" s="238">
        <v>38.1</v>
      </c>
      <c r="U4743" s="238">
        <v>1.9</v>
      </c>
      <c r="V4743" s="238">
        <v>0.0</v>
      </c>
      <c r="W4743" s="238">
        <v>0.0</v>
      </c>
      <c r="X4743" s="235" t="s">
        <v>628</v>
      </c>
      <c r="Z4743" s="245"/>
      <c r="AA4743" s="245"/>
      <c r="AB4743" s="245"/>
      <c r="AC4743" s="235" t="s">
        <v>2350</v>
      </c>
      <c r="AD4743" s="235" t="s">
        <v>917</v>
      </c>
      <c r="AE4743" s="238">
        <v>342013.0</v>
      </c>
      <c r="AF4743" s="235" t="s">
        <v>631</v>
      </c>
      <c r="AG4743" s="245"/>
      <c r="AH4743" s="245"/>
      <c r="AI4743" s="245"/>
      <c r="AJ4743" s="245"/>
      <c r="AK4743" s="245"/>
      <c r="AL4743" s="245"/>
      <c r="AM4743" s="245"/>
      <c r="AN4743" s="245"/>
      <c r="AO4743" s="238">
        <v>0.0</v>
      </c>
      <c r="AP4743" s="238">
        <v>-38.1</v>
      </c>
      <c r="AQ4743" s="235" t="s">
        <v>632</v>
      </c>
      <c r="AR4743" s="243">
        <v>3.71E11</v>
      </c>
      <c r="AS4743" s="235" t="s">
        <v>33466</v>
      </c>
      <c r="AT4743" s="235" t="s">
        <v>533</v>
      </c>
      <c r="AU4743" s="235" t="s">
        <v>634</v>
      </c>
      <c r="AV4743" s="246" t="s">
        <v>635</v>
      </c>
      <c r="AW4743" s="227"/>
      <c r="AX4743" s="227"/>
      <c r="AY4743" s="227"/>
      <c r="AZ4743" s="227"/>
      <c r="BA4743" s="227"/>
      <c r="BB4743" s="227"/>
      <c r="BC4743" s="227"/>
      <c r="BD4743" s="227"/>
      <c r="BE4743" s="227"/>
      <c r="BF4743" s="227"/>
    </row>
    <row r="4744">
      <c r="A4744" s="235" t="s">
        <v>35102</v>
      </c>
      <c r="C4744" s="235" t="s">
        <v>35103</v>
      </c>
      <c r="D4744" s="235" t="s">
        <v>35104</v>
      </c>
      <c r="E4744" s="243">
        <v>6.5E13</v>
      </c>
      <c r="F4744" s="245"/>
      <c r="G4744" s="235" t="s">
        <v>35105</v>
      </c>
      <c r="H4744" s="235" t="s">
        <v>35106</v>
      </c>
      <c r="I4744" s="235" t="s">
        <v>35106</v>
      </c>
      <c r="J4744" s="235" t="s">
        <v>35107</v>
      </c>
      <c r="K4744" s="235" t="s">
        <v>35108</v>
      </c>
      <c r="N4744" s="235" t="s">
        <v>115</v>
      </c>
      <c r="O4744" s="235" t="s">
        <v>548</v>
      </c>
      <c r="P4744" s="238">
        <v>1.0</v>
      </c>
      <c r="Q4744" s="235" t="s">
        <v>627</v>
      </c>
      <c r="R4744" s="238">
        <v>246.67</v>
      </c>
      <c r="S4744" s="238">
        <v>12.33</v>
      </c>
      <c r="T4744" s="238">
        <v>0.0</v>
      </c>
      <c r="U4744" s="238">
        <v>0.0</v>
      </c>
      <c r="V4744" s="238">
        <v>0.0</v>
      </c>
      <c r="W4744" s="238">
        <v>0.0</v>
      </c>
      <c r="X4744" s="235" t="s">
        <v>628</v>
      </c>
      <c r="Z4744" s="245"/>
      <c r="AA4744" s="245"/>
      <c r="AB4744" s="245"/>
      <c r="AC4744" s="235" t="s">
        <v>2350</v>
      </c>
      <c r="AD4744" s="235" t="s">
        <v>917</v>
      </c>
      <c r="AE4744" s="238">
        <v>342001.0</v>
      </c>
      <c r="AF4744" s="235" t="s">
        <v>631</v>
      </c>
      <c r="AG4744" s="245"/>
      <c r="AH4744" s="245"/>
      <c r="AI4744" s="245"/>
      <c r="AJ4744" s="245"/>
      <c r="AK4744" s="245"/>
      <c r="AL4744" s="245"/>
      <c r="AM4744" s="245"/>
      <c r="AN4744" s="245"/>
      <c r="AO4744" s="238">
        <v>0.0</v>
      </c>
      <c r="AP4744" s="238">
        <v>0.0</v>
      </c>
      <c r="AQ4744" s="235" t="s">
        <v>632</v>
      </c>
      <c r="AR4744" s="243">
        <v>3.71E11</v>
      </c>
      <c r="AS4744" s="235" t="s">
        <v>33466</v>
      </c>
      <c r="AT4744" s="235" t="s">
        <v>14</v>
      </c>
      <c r="AU4744" s="235" t="s">
        <v>634</v>
      </c>
      <c r="AV4744" s="246" t="s">
        <v>635</v>
      </c>
      <c r="AW4744" s="227"/>
      <c r="AX4744" s="227"/>
      <c r="AY4744" s="227"/>
      <c r="AZ4744" s="227"/>
      <c r="BA4744" s="227"/>
      <c r="BB4744" s="227"/>
      <c r="BC4744" s="227"/>
      <c r="BD4744" s="227"/>
      <c r="BE4744" s="227"/>
      <c r="BF4744" s="227"/>
    </row>
    <row r="4745">
      <c r="A4745" s="235" t="s">
        <v>35109</v>
      </c>
      <c r="C4745" s="235" t="s">
        <v>35110</v>
      </c>
      <c r="D4745" s="235" t="s">
        <v>35111</v>
      </c>
      <c r="E4745" s="243">
        <v>6.5E13</v>
      </c>
      <c r="F4745" s="245"/>
      <c r="G4745" s="235" t="s">
        <v>35112</v>
      </c>
      <c r="H4745" s="235" t="s">
        <v>35113</v>
      </c>
      <c r="I4745" s="235" t="s">
        <v>35113</v>
      </c>
      <c r="J4745" s="235" t="s">
        <v>35114</v>
      </c>
      <c r="K4745" s="235" t="s">
        <v>35115</v>
      </c>
      <c r="N4745" s="235" t="s">
        <v>1346</v>
      </c>
      <c r="O4745" s="235" t="s">
        <v>1347</v>
      </c>
      <c r="P4745" s="238">
        <v>1.0</v>
      </c>
      <c r="Q4745" s="235" t="s">
        <v>627</v>
      </c>
      <c r="R4745" s="238">
        <v>256.19</v>
      </c>
      <c r="S4745" s="238">
        <v>12.55</v>
      </c>
      <c r="T4745" s="238">
        <v>0.0</v>
      </c>
      <c r="U4745" s="238">
        <v>0.0</v>
      </c>
      <c r="V4745" s="238">
        <v>0.0</v>
      </c>
      <c r="W4745" s="238">
        <v>0.0</v>
      </c>
      <c r="X4745" s="235" t="s">
        <v>628</v>
      </c>
      <c r="Z4745" s="245"/>
      <c r="AA4745" s="245"/>
      <c r="AB4745" s="245"/>
      <c r="AC4745" s="235" t="s">
        <v>1531</v>
      </c>
      <c r="AD4745" s="235" t="s">
        <v>1151</v>
      </c>
      <c r="AE4745" s="238">
        <v>700075.0</v>
      </c>
      <c r="AF4745" s="235" t="s">
        <v>631</v>
      </c>
      <c r="AG4745" s="245"/>
      <c r="AH4745" s="245"/>
      <c r="AI4745" s="245"/>
      <c r="AJ4745" s="245"/>
      <c r="AK4745" s="245"/>
      <c r="AL4745" s="245"/>
      <c r="AM4745" s="245"/>
      <c r="AN4745" s="245"/>
      <c r="AO4745" s="238">
        <v>-5.12</v>
      </c>
      <c r="AP4745" s="238">
        <v>0.0</v>
      </c>
      <c r="AQ4745" s="235" t="s">
        <v>632</v>
      </c>
      <c r="AR4745" s="243">
        <v>2.02E11</v>
      </c>
      <c r="AS4745" s="235" t="s">
        <v>33466</v>
      </c>
      <c r="AT4745" s="235" t="s">
        <v>14</v>
      </c>
      <c r="AU4745" s="235" t="s">
        <v>634</v>
      </c>
      <c r="AV4745" s="246" t="s">
        <v>635</v>
      </c>
      <c r="AW4745" s="227"/>
      <c r="AX4745" s="227"/>
      <c r="AY4745" s="227"/>
      <c r="AZ4745" s="227"/>
      <c r="BA4745" s="227"/>
      <c r="BB4745" s="227"/>
      <c r="BC4745" s="227"/>
      <c r="BD4745" s="227"/>
      <c r="BE4745" s="227"/>
      <c r="BF4745" s="227"/>
    </row>
    <row r="4746">
      <c r="A4746" s="235" t="s">
        <v>35116</v>
      </c>
      <c r="C4746" s="235" t="s">
        <v>35117</v>
      </c>
      <c r="D4746" s="235" t="s">
        <v>35118</v>
      </c>
      <c r="E4746" s="243">
        <v>6.5E13</v>
      </c>
      <c r="F4746" s="245"/>
      <c r="G4746" s="235" t="s">
        <v>35119</v>
      </c>
      <c r="H4746" s="235" t="s">
        <v>35120</v>
      </c>
      <c r="I4746" s="235" t="s">
        <v>35120</v>
      </c>
      <c r="J4746" s="235" t="s">
        <v>35121</v>
      </c>
      <c r="K4746" s="235" t="s">
        <v>35122</v>
      </c>
      <c r="N4746" s="235" t="s">
        <v>75</v>
      </c>
      <c r="O4746" s="235" t="s">
        <v>2108</v>
      </c>
      <c r="P4746" s="238">
        <v>1.0</v>
      </c>
      <c r="Q4746" s="235" t="s">
        <v>627</v>
      </c>
      <c r="R4746" s="238">
        <v>360.96</v>
      </c>
      <c r="S4746" s="238">
        <v>18.04</v>
      </c>
      <c r="T4746" s="238">
        <v>0.0</v>
      </c>
      <c r="U4746" s="238">
        <v>0.0</v>
      </c>
      <c r="V4746" s="238">
        <v>0.0</v>
      </c>
      <c r="W4746" s="238">
        <v>0.0</v>
      </c>
      <c r="X4746" s="235" t="s">
        <v>628</v>
      </c>
      <c r="Z4746" s="245"/>
      <c r="AA4746" s="245"/>
      <c r="AB4746" s="245"/>
      <c r="AC4746" s="235" t="s">
        <v>1320</v>
      </c>
      <c r="AD4746" s="235" t="s">
        <v>6677</v>
      </c>
      <c r="AE4746" s="238">
        <v>600029.0</v>
      </c>
      <c r="AF4746" s="235" t="s">
        <v>631</v>
      </c>
      <c r="AG4746" s="245"/>
      <c r="AH4746" s="245"/>
      <c r="AI4746" s="245"/>
      <c r="AJ4746" s="245"/>
      <c r="AK4746" s="245"/>
      <c r="AL4746" s="245"/>
      <c r="AM4746" s="245"/>
      <c r="AN4746" s="245"/>
      <c r="AO4746" s="238">
        <v>0.0</v>
      </c>
      <c r="AP4746" s="238">
        <v>0.0</v>
      </c>
      <c r="AQ4746" s="235" t="s">
        <v>632</v>
      </c>
      <c r="AR4746" s="243">
        <v>1.68E11</v>
      </c>
      <c r="AS4746" s="235" t="s">
        <v>34913</v>
      </c>
      <c r="AT4746" s="235" t="s">
        <v>156</v>
      </c>
      <c r="AU4746" s="235" t="s">
        <v>634</v>
      </c>
      <c r="AV4746" s="246" t="s">
        <v>635</v>
      </c>
      <c r="AW4746" s="227"/>
      <c r="AX4746" s="227"/>
      <c r="AY4746" s="227"/>
      <c r="AZ4746" s="227"/>
      <c r="BA4746" s="227"/>
      <c r="BB4746" s="227"/>
      <c r="BC4746" s="227"/>
      <c r="BD4746" s="227"/>
      <c r="BE4746" s="227"/>
      <c r="BF4746" s="227"/>
    </row>
    <row r="4747">
      <c r="A4747" s="235" t="s">
        <v>35123</v>
      </c>
      <c r="C4747" s="235" t="s">
        <v>35124</v>
      </c>
      <c r="D4747" s="235" t="s">
        <v>35125</v>
      </c>
      <c r="E4747" s="243">
        <v>6.5E13</v>
      </c>
      <c r="F4747" s="245"/>
      <c r="G4747" s="235" t="s">
        <v>35126</v>
      </c>
      <c r="H4747" s="235" t="s">
        <v>35127</v>
      </c>
      <c r="I4747" s="235" t="s">
        <v>35127</v>
      </c>
      <c r="J4747" s="235" t="s">
        <v>35128</v>
      </c>
      <c r="K4747" s="235" t="s">
        <v>35129</v>
      </c>
      <c r="N4747" s="235" t="s">
        <v>92</v>
      </c>
      <c r="O4747" s="235" t="s">
        <v>248</v>
      </c>
      <c r="P4747" s="238">
        <v>1.0</v>
      </c>
      <c r="Q4747" s="235" t="s">
        <v>627</v>
      </c>
      <c r="R4747" s="238">
        <v>244.76</v>
      </c>
      <c r="S4747" s="238">
        <v>12.24</v>
      </c>
      <c r="T4747" s="238">
        <v>0.0</v>
      </c>
      <c r="U4747" s="238">
        <v>0.0</v>
      </c>
      <c r="V4747" s="238">
        <v>0.0</v>
      </c>
      <c r="W4747" s="238">
        <v>0.0</v>
      </c>
      <c r="X4747" s="235" t="s">
        <v>628</v>
      </c>
      <c r="Z4747" s="245"/>
      <c r="AA4747" s="245"/>
      <c r="AB4747" s="245"/>
      <c r="AC4747" s="235" t="s">
        <v>907</v>
      </c>
      <c r="AD4747" s="235" t="s">
        <v>908</v>
      </c>
      <c r="AE4747" s="238">
        <v>248001.0</v>
      </c>
      <c r="AF4747" s="235" t="s">
        <v>631</v>
      </c>
      <c r="AG4747" s="245"/>
      <c r="AH4747" s="245"/>
      <c r="AI4747" s="245"/>
      <c r="AJ4747" s="245"/>
      <c r="AK4747" s="245"/>
      <c r="AL4747" s="245"/>
      <c r="AM4747" s="245"/>
      <c r="AN4747" s="245"/>
      <c r="AO4747" s="238">
        <v>0.0</v>
      </c>
      <c r="AP4747" s="238">
        <v>0.0</v>
      </c>
      <c r="AQ4747" s="235" t="s">
        <v>632</v>
      </c>
      <c r="AR4747" s="243">
        <v>1.68E11</v>
      </c>
      <c r="AS4747" s="235" t="s">
        <v>34510</v>
      </c>
      <c r="AT4747" s="235" t="s">
        <v>14</v>
      </c>
      <c r="AU4747" s="235" t="s">
        <v>634</v>
      </c>
      <c r="AV4747" s="246" t="s">
        <v>635</v>
      </c>
      <c r="AW4747" s="227"/>
      <c r="AX4747" s="227"/>
      <c r="AY4747" s="227"/>
      <c r="AZ4747" s="227"/>
      <c r="BA4747" s="227"/>
      <c r="BB4747" s="227"/>
      <c r="BC4747" s="227"/>
      <c r="BD4747" s="227"/>
      <c r="BE4747" s="227"/>
      <c r="BF4747" s="227"/>
    </row>
    <row r="4748">
      <c r="A4748" s="235" t="s">
        <v>35130</v>
      </c>
      <c r="C4748" s="235" t="s">
        <v>35131</v>
      </c>
      <c r="D4748" s="235" t="s">
        <v>35132</v>
      </c>
      <c r="E4748" s="243">
        <v>6.5E13</v>
      </c>
      <c r="F4748" s="245"/>
      <c r="G4748" s="235" t="s">
        <v>35133</v>
      </c>
      <c r="H4748" s="235" t="s">
        <v>35134</v>
      </c>
      <c r="I4748" s="235" t="s">
        <v>35134</v>
      </c>
      <c r="J4748" s="235" t="s">
        <v>35135</v>
      </c>
      <c r="K4748" s="235" t="s">
        <v>35136</v>
      </c>
      <c r="N4748" s="235" t="s">
        <v>154</v>
      </c>
      <c r="O4748" s="235" t="s">
        <v>766</v>
      </c>
      <c r="P4748" s="238">
        <v>1.0</v>
      </c>
      <c r="Q4748" s="235" t="s">
        <v>627</v>
      </c>
      <c r="R4748" s="238">
        <v>465.72</v>
      </c>
      <c r="S4748" s="238">
        <v>23.28</v>
      </c>
      <c r="T4748" s="238">
        <v>0.0</v>
      </c>
      <c r="U4748" s="238">
        <v>0.0</v>
      </c>
      <c r="V4748" s="238">
        <v>0.0</v>
      </c>
      <c r="W4748" s="238">
        <v>0.0</v>
      </c>
      <c r="X4748" s="235" t="s">
        <v>628</v>
      </c>
      <c r="Z4748" s="245"/>
      <c r="AA4748" s="245"/>
      <c r="AB4748" s="245"/>
      <c r="AC4748" s="235" t="s">
        <v>844</v>
      </c>
      <c r="AD4748" s="235" t="s">
        <v>845</v>
      </c>
      <c r="AE4748" s="238">
        <v>411045.0</v>
      </c>
      <c r="AF4748" s="235" t="s">
        <v>631</v>
      </c>
      <c r="AG4748" s="245"/>
      <c r="AH4748" s="245"/>
      <c r="AI4748" s="245"/>
      <c r="AJ4748" s="245"/>
      <c r="AK4748" s="245"/>
      <c r="AL4748" s="245"/>
      <c r="AM4748" s="245"/>
      <c r="AN4748" s="245"/>
      <c r="AO4748" s="238">
        <v>0.0</v>
      </c>
      <c r="AP4748" s="238">
        <v>0.0</v>
      </c>
      <c r="AQ4748" s="235" t="s">
        <v>632</v>
      </c>
      <c r="AR4748" s="243">
        <v>1.68E11</v>
      </c>
      <c r="AS4748" s="235" t="s">
        <v>34913</v>
      </c>
      <c r="AT4748" s="235" t="s">
        <v>546</v>
      </c>
      <c r="AU4748" s="235" t="s">
        <v>634</v>
      </c>
      <c r="AV4748" s="246" t="s">
        <v>635</v>
      </c>
      <c r="AW4748" s="227"/>
      <c r="AX4748" s="227"/>
      <c r="AY4748" s="227"/>
      <c r="AZ4748" s="227"/>
      <c r="BA4748" s="227"/>
      <c r="BB4748" s="227"/>
      <c r="BC4748" s="227"/>
      <c r="BD4748" s="227"/>
      <c r="BE4748" s="227"/>
      <c r="BF4748" s="227"/>
    </row>
    <row r="4749">
      <c r="A4749" s="235" t="s">
        <v>35137</v>
      </c>
      <c r="C4749" s="235" t="s">
        <v>35138</v>
      </c>
      <c r="D4749" s="235" t="s">
        <v>35139</v>
      </c>
      <c r="E4749" s="243">
        <v>6.5E13</v>
      </c>
      <c r="F4749" s="245"/>
      <c r="G4749" s="235" t="s">
        <v>35140</v>
      </c>
      <c r="H4749" s="235" t="s">
        <v>35141</v>
      </c>
      <c r="I4749" s="235" t="s">
        <v>35141</v>
      </c>
      <c r="J4749" s="235" t="s">
        <v>35142</v>
      </c>
      <c r="K4749" s="235" t="s">
        <v>35143</v>
      </c>
      <c r="N4749" s="235" t="s">
        <v>51</v>
      </c>
      <c r="O4749" s="235" t="s">
        <v>273</v>
      </c>
      <c r="P4749" s="238">
        <v>1.0</v>
      </c>
      <c r="Q4749" s="235" t="s">
        <v>627</v>
      </c>
      <c r="R4749" s="238">
        <v>0.0</v>
      </c>
      <c r="S4749" s="238">
        <v>0.0</v>
      </c>
      <c r="T4749" s="238">
        <v>0.0</v>
      </c>
      <c r="U4749" s="238">
        <v>0.0</v>
      </c>
      <c r="V4749" s="238">
        <v>0.0</v>
      </c>
      <c r="W4749" s="238">
        <v>0.0</v>
      </c>
      <c r="X4749" s="235" t="s">
        <v>628</v>
      </c>
      <c r="Z4749" s="245"/>
      <c r="AA4749" s="245"/>
      <c r="AB4749" s="245"/>
      <c r="AC4749" s="235" t="s">
        <v>687</v>
      </c>
      <c r="AD4749" s="235" t="s">
        <v>666</v>
      </c>
      <c r="AE4749" s="238">
        <v>600087.0</v>
      </c>
      <c r="AF4749" s="235" t="s">
        <v>631</v>
      </c>
      <c r="AG4749" s="245"/>
      <c r="AH4749" s="245"/>
      <c r="AI4749" s="245"/>
      <c r="AJ4749" s="245"/>
      <c r="AK4749" s="245"/>
      <c r="AL4749" s="245"/>
      <c r="AM4749" s="245"/>
      <c r="AN4749" s="245"/>
      <c r="AO4749" s="238">
        <v>0.0</v>
      </c>
      <c r="AP4749" s="238">
        <v>0.0</v>
      </c>
      <c r="AQ4749" s="235" t="s">
        <v>632</v>
      </c>
      <c r="AR4749" s="243">
        <v>1.68E11</v>
      </c>
      <c r="AS4749" s="235" t="s">
        <v>34913</v>
      </c>
      <c r="AT4749" s="235" t="s">
        <v>156</v>
      </c>
      <c r="AU4749" s="235" t="s">
        <v>634</v>
      </c>
      <c r="AV4749" s="246" t="s">
        <v>635</v>
      </c>
      <c r="AW4749" s="227"/>
      <c r="AX4749" s="227"/>
      <c r="AY4749" s="227"/>
      <c r="AZ4749" s="227"/>
      <c r="BA4749" s="227"/>
      <c r="BB4749" s="227"/>
      <c r="BC4749" s="227"/>
      <c r="BD4749" s="227"/>
      <c r="BE4749" s="227"/>
      <c r="BF4749" s="227"/>
    </row>
    <row r="4750">
      <c r="A4750" s="235" t="s">
        <v>35144</v>
      </c>
      <c r="C4750" s="235" t="s">
        <v>35145</v>
      </c>
      <c r="D4750" s="235" t="s">
        <v>35146</v>
      </c>
      <c r="E4750" s="243">
        <v>6.5E13</v>
      </c>
      <c r="F4750" s="245"/>
      <c r="G4750" s="235" t="s">
        <v>35147</v>
      </c>
      <c r="H4750" s="235" t="s">
        <v>34976</v>
      </c>
      <c r="I4750" s="235" t="s">
        <v>34976</v>
      </c>
      <c r="J4750" s="235" t="s">
        <v>35148</v>
      </c>
      <c r="K4750" s="235" t="s">
        <v>35149</v>
      </c>
      <c r="N4750" s="235" t="s">
        <v>130</v>
      </c>
      <c r="O4750" s="235" t="s">
        <v>707</v>
      </c>
      <c r="P4750" s="238">
        <v>1.0</v>
      </c>
      <c r="Q4750" s="235" t="s">
        <v>627</v>
      </c>
      <c r="R4750" s="238">
        <v>243.8</v>
      </c>
      <c r="S4750" s="238">
        <v>12.2</v>
      </c>
      <c r="T4750" s="238">
        <v>0.0</v>
      </c>
      <c r="U4750" s="238">
        <v>0.0</v>
      </c>
      <c r="V4750" s="238">
        <v>0.0</v>
      </c>
      <c r="W4750" s="238">
        <v>0.0</v>
      </c>
      <c r="X4750" s="235" t="s">
        <v>628</v>
      </c>
      <c r="Z4750" s="245"/>
      <c r="AA4750" s="245"/>
      <c r="AB4750" s="245"/>
      <c r="AC4750" s="235" t="s">
        <v>28177</v>
      </c>
      <c r="AD4750" s="235" t="s">
        <v>845</v>
      </c>
      <c r="AE4750" s="238">
        <v>400101.0</v>
      </c>
      <c r="AF4750" s="235" t="s">
        <v>631</v>
      </c>
      <c r="AG4750" s="245"/>
      <c r="AH4750" s="245"/>
      <c r="AI4750" s="245"/>
      <c r="AJ4750" s="245"/>
      <c r="AK4750" s="245"/>
      <c r="AL4750" s="245"/>
      <c r="AM4750" s="245"/>
      <c r="AN4750" s="245"/>
      <c r="AO4750" s="238">
        <v>0.0</v>
      </c>
      <c r="AP4750" s="238">
        <v>0.0</v>
      </c>
      <c r="AQ4750" s="235" t="s">
        <v>632</v>
      </c>
      <c r="AR4750" s="243">
        <v>1.68E11</v>
      </c>
      <c r="AS4750" s="235" t="s">
        <v>34913</v>
      </c>
      <c r="AT4750" s="235" t="s">
        <v>16</v>
      </c>
      <c r="AU4750" s="235" t="s">
        <v>634</v>
      </c>
      <c r="AV4750" s="246" t="s">
        <v>635</v>
      </c>
      <c r="AW4750" s="227"/>
      <c r="AX4750" s="227"/>
      <c r="AY4750" s="227"/>
      <c r="AZ4750" s="227"/>
      <c r="BA4750" s="227"/>
      <c r="BB4750" s="227"/>
      <c r="BC4750" s="227"/>
      <c r="BD4750" s="227"/>
      <c r="BE4750" s="227"/>
      <c r="BF4750" s="227"/>
    </row>
    <row r="4751">
      <c r="A4751" s="235" t="s">
        <v>35150</v>
      </c>
      <c r="C4751" s="235" t="s">
        <v>35151</v>
      </c>
      <c r="D4751" s="235" t="s">
        <v>35152</v>
      </c>
      <c r="E4751" s="243">
        <v>6.5E13</v>
      </c>
      <c r="F4751" s="245"/>
      <c r="G4751" s="235" t="s">
        <v>35153</v>
      </c>
      <c r="H4751" s="235" t="s">
        <v>34976</v>
      </c>
      <c r="I4751" s="235" t="s">
        <v>34976</v>
      </c>
      <c r="J4751" s="235" t="s">
        <v>35154</v>
      </c>
      <c r="K4751" s="235" t="s">
        <v>35155</v>
      </c>
      <c r="N4751" s="235" t="s">
        <v>15</v>
      </c>
      <c r="O4751" s="235" t="s">
        <v>856</v>
      </c>
      <c r="P4751" s="238">
        <v>1.0</v>
      </c>
      <c r="Q4751" s="235" t="s">
        <v>627</v>
      </c>
      <c r="R4751" s="238">
        <v>360.95</v>
      </c>
      <c r="S4751" s="238">
        <v>18.05</v>
      </c>
      <c r="T4751" s="238">
        <v>0.0</v>
      </c>
      <c r="U4751" s="238">
        <v>0.0</v>
      </c>
      <c r="V4751" s="238">
        <v>0.0</v>
      </c>
      <c r="W4751" s="238">
        <v>0.0</v>
      </c>
      <c r="X4751" s="235" t="s">
        <v>628</v>
      </c>
      <c r="Z4751" s="245"/>
      <c r="AA4751" s="245"/>
      <c r="AB4751" s="245"/>
      <c r="AC4751" s="235" t="s">
        <v>795</v>
      </c>
      <c r="AD4751" s="235" t="s">
        <v>796</v>
      </c>
      <c r="AE4751" s="238">
        <v>110019.0</v>
      </c>
      <c r="AF4751" s="235" t="s">
        <v>631</v>
      </c>
      <c r="AG4751" s="245"/>
      <c r="AH4751" s="245"/>
      <c r="AI4751" s="245"/>
      <c r="AJ4751" s="245"/>
      <c r="AK4751" s="245"/>
      <c r="AL4751" s="245"/>
      <c r="AM4751" s="245"/>
      <c r="AN4751" s="245"/>
      <c r="AO4751" s="238">
        <v>0.0</v>
      </c>
      <c r="AP4751" s="238">
        <v>0.0</v>
      </c>
      <c r="AQ4751" s="235" t="s">
        <v>632</v>
      </c>
      <c r="AR4751" s="243">
        <v>1.68E11</v>
      </c>
      <c r="AS4751" s="235" t="s">
        <v>34913</v>
      </c>
      <c r="AT4751" s="235" t="s">
        <v>533</v>
      </c>
      <c r="AU4751" s="235" t="s">
        <v>634</v>
      </c>
      <c r="AV4751" s="246" t="s">
        <v>635</v>
      </c>
      <c r="AW4751" s="227"/>
      <c r="AX4751" s="227"/>
      <c r="AY4751" s="227"/>
      <c r="AZ4751" s="227"/>
      <c r="BA4751" s="227"/>
      <c r="BB4751" s="227"/>
      <c r="BC4751" s="227"/>
      <c r="BD4751" s="227"/>
      <c r="BE4751" s="227"/>
      <c r="BF4751" s="227"/>
    </row>
    <row r="4752">
      <c r="A4752" s="235" t="s">
        <v>35156</v>
      </c>
      <c r="C4752" s="235" t="s">
        <v>35157</v>
      </c>
      <c r="D4752" s="235" t="s">
        <v>35158</v>
      </c>
      <c r="E4752" s="243">
        <v>6.5E13</v>
      </c>
      <c r="F4752" s="245"/>
      <c r="G4752" s="235" t="s">
        <v>35159</v>
      </c>
      <c r="H4752" s="235" t="s">
        <v>34711</v>
      </c>
      <c r="I4752" s="235" t="s">
        <v>34711</v>
      </c>
      <c r="J4752" s="235" t="s">
        <v>35160</v>
      </c>
      <c r="K4752" s="235" t="s">
        <v>35161</v>
      </c>
      <c r="N4752" s="235" t="s">
        <v>1346</v>
      </c>
      <c r="O4752" s="235" t="s">
        <v>1347</v>
      </c>
      <c r="P4752" s="238">
        <v>1.0</v>
      </c>
      <c r="Q4752" s="235" t="s">
        <v>627</v>
      </c>
      <c r="R4752" s="238">
        <v>256.19</v>
      </c>
      <c r="S4752" s="238">
        <v>12.81</v>
      </c>
      <c r="T4752" s="238">
        <v>0.0</v>
      </c>
      <c r="U4752" s="238">
        <v>0.0</v>
      </c>
      <c r="V4752" s="238">
        <v>0.0</v>
      </c>
      <c r="W4752" s="238">
        <v>0.0</v>
      </c>
      <c r="X4752" s="235" t="s">
        <v>628</v>
      </c>
      <c r="Z4752" s="245"/>
      <c r="AA4752" s="245"/>
      <c r="AB4752" s="245"/>
      <c r="AC4752" s="235" t="s">
        <v>1279</v>
      </c>
      <c r="AD4752" s="235" t="s">
        <v>917</v>
      </c>
      <c r="AE4752" s="238">
        <v>302006.0</v>
      </c>
      <c r="AF4752" s="235" t="s">
        <v>631</v>
      </c>
      <c r="AG4752" s="245"/>
      <c r="AH4752" s="245"/>
      <c r="AI4752" s="245"/>
      <c r="AJ4752" s="245"/>
      <c r="AK4752" s="245"/>
      <c r="AL4752" s="245"/>
      <c r="AM4752" s="245"/>
      <c r="AN4752" s="245"/>
      <c r="AO4752" s="238">
        <v>0.0</v>
      </c>
      <c r="AP4752" s="238">
        <v>0.0</v>
      </c>
      <c r="AQ4752" s="235" t="s">
        <v>632</v>
      </c>
      <c r="AR4752" s="243">
        <v>1.68E11</v>
      </c>
      <c r="AS4752" s="235" t="s">
        <v>34510</v>
      </c>
      <c r="AT4752" s="235" t="s">
        <v>533</v>
      </c>
      <c r="AU4752" s="235" t="s">
        <v>634</v>
      </c>
      <c r="AV4752" s="246" t="s">
        <v>635</v>
      </c>
      <c r="AW4752" s="227"/>
      <c r="AX4752" s="227"/>
      <c r="AY4752" s="227"/>
      <c r="AZ4752" s="227"/>
      <c r="BA4752" s="227"/>
      <c r="BB4752" s="227"/>
      <c r="BC4752" s="227"/>
      <c r="BD4752" s="227"/>
      <c r="BE4752" s="227"/>
      <c r="BF4752" s="227"/>
    </row>
    <row r="4753">
      <c r="A4753" s="235" t="s">
        <v>35162</v>
      </c>
      <c r="C4753" s="235" t="s">
        <v>35163</v>
      </c>
      <c r="D4753" s="235" t="s">
        <v>35164</v>
      </c>
      <c r="E4753" s="243">
        <v>6.49E13</v>
      </c>
      <c r="F4753" s="245"/>
      <c r="G4753" s="235" t="s">
        <v>35165</v>
      </c>
      <c r="H4753" s="235" t="s">
        <v>35166</v>
      </c>
      <c r="I4753" s="235" t="s">
        <v>35166</v>
      </c>
      <c r="J4753" s="235" t="s">
        <v>35167</v>
      </c>
      <c r="K4753" s="235" t="s">
        <v>35168</v>
      </c>
      <c r="N4753" s="235" t="s">
        <v>12</v>
      </c>
      <c r="O4753" s="235" t="s">
        <v>804</v>
      </c>
      <c r="P4753" s="238">
        <v>1.0</v>
      </c>
      <c r="Q4753" s="235" t="s">
        <v>627</v>
      </c>
      <c r="R4753" s="238">
        <v>265.72</v>
      </c>
      <c r="S4753" s="238">
        <v>12.88</v>
      </c>
      <c r="T4753" s="238">
        <v>0.0</v>
      </c>
      <c r="U4753" s="238">
        <v>0.0</v>
      </c>
      <c r="V4753" s="238">
        <v>0.0</v>
      </c>
      <c r="W4753" s="238">
        <v>0.0</v>
      </c>
      <c r="X4753" s="235" t="s">
        <v>628</v>
      </c>
      <c r="Z4753" s="245"/>
      <c r="AA4753" s="245"/>
      <c r="AB4753" s="245"/>
      <c r="AC4753" s="235" t="s">
        <v>844</v>
      </c>
      <c r="AD4753" s="235" t="s">
        <v>845</v>
      </c>
      <c r="AE4753" s="238">
        <v>411037.0</v>
      </c>
      <c r="AF4753" s="235" t="s">
        <v>631</v>
      </c>
      <c r="AG4753" s="245"/>
      <c r="AH4753" s="245"/>
      <c r="AI4753" s="245"/>
      <c r="AJ4753" s="245"/>
      <c r="AK4753" s="245"/>
      <c r="AL4753" s="245"/>
      <c r="AM4753" s="245"/>
      <c r="AN4753" s="245"/>
      <c r="AO4753" s="238">
        <v>-7.97</v>
      </c>
      <c r="AP4753" s="238">
        <v>0.0</v>
      </c>
      <c r="AQ4753" s="235" t="s">
        <v>632</v>
      </c>
      <c r="AR4753" s="243">
        <v>3.71E11</v>
      </c>
      <c r="AS4753" s="235" t="s">
        <v>34510</v>
      </c>
      <c r="AT4753" s="235" t="s">
        <v>546</v>
      </c>
      <c r="AU4753" s="235" t="s">
        <v>634</v>
      </c>
      <c r="AV4753" s="246" t="s">
        <v>635</v>
      </c>
      <c r="AW4753" s="227"/>
      <c r="AX4753" s="227"/>
      <c r="AY4753" s="227"/>
      <c r="AZ4753" s="227"/>
      <c r="BA4753" s="227"/>
      <c r="BB4753" s="227"/>
      <c r="BC4753" s="227"/>
      <c r="BD4753" s="227"/>
      <c r="BE4753" s="227"/>
      <c r="BF4753" s="227"/>
    </row>
    <row r="4754">
      <c r="A4754" s="235" t="s">
        <v>35162</v>
      </c>
      <c r="C4754" s="235" t="s">
        <v>35163</v>
      </c>
      <c r="D4754" s="235" t="s">
        <v>35169</v>
      </c>
      <c r="E4754" s="243">
        <v>6.49E13</v>
      </c>
      <c r="F4754" s="245"/>
      <c r="G4754" s="235" t="s">
        <v>35165</v>
      </c>
      <c r="H4754" s="235" t="s">
        <v>35166</v>
      </c>
      <c r="I4754" s="235" t="s">
        <v>35166</v>
      </c>
      <c r="J4754" s="235" t="s">
        <v>35167</v>
      </c>
      <c r="K4754" s="235" t="s">
        <v>35168</v>
      </c>
      <c r="N4754" s="235" t="s">
        <v>12</v>
      </c>
      <c r="O4754" s="235" t="s">
        <v>804</v>
      </c>
      <c r="P4754" s="238">
        <v>1.0</v>
      </c>
      <c r="Q4754" s="235" t="s">
        <v>627</v>
      </c>
      <c r="R4754" s="238">
        <v>265.72</v>
      </c>
      <c r="S4754" s="238">
        <v>12.88</v>
      </c>
      <c r="T4754" s="238">
        <v>0.0</v>
      </c>
      <c r="U4754" s="238">
        <v>0.0</v>
      </c>
      <c r="V4754" s="238">
        <v>0.0</v>
      </c>
      <c r="W4754" s="238">
        <v>0.0</v>
      </c>
      <c r="X4754" s="235" t="s">
        <v>628</v>
      </c>
      <c r="Z4754" s="245"/>
      <c r="AA4754" s="245"/>
      <c r="AB4754" s="245"/>
      <c r="AC4754" s="235" t="s">
        <v>844</v>
      </c>
      <c r="AD4754" s="235" t="s">
        <v>845</v>
      </c>
      <c r="AE4754" s="238">
        <v>411037.0</v>
      </c>
      <c r="AF4754" s="235" t="s">
        <v>631</v>
      </c>
      <c r="AG4754" s="245"/>
      <c r="AH4754" s="245"/>
      <c r="AI4754" s="245"/>
      <c r="AJ4754" s="245"/>
      <c r="AK4754" s="245"/>
      <c r="AL4754" s="245"/>
      <c r="AM4754" s="245"/>
      <c r="AN4754" s="245"/>
      <c r="AO4754" s="238">
        <v>-7.97</v>
      </c>
      <c r="AP4754" s="238">
        <v>0.0</v>
      </c>
      <c r="AQ4754" s="235" t="s">
        <v>632</v>
      </c>
      <c r="AR4754" s="243">
        <v>3.71E11</v>
      </c>
      <c r="AS4754" s="235" t="s">
        <v>34510</v>
      </c>
      <c r="AT4754" s="235" t="s">
        <v>546</v>
      </c>
      <c r="AU4754" s="235" t="s">
        <v>634</v>
      </c>
      <c r="AV4754" s="246" t="s">
        <v>635</v>
      </c>
      <c r="AW4754" s="227"/>
      <c r="AX4754" s="227"/>
      <c r="AY4754" s="227"/>
      <c r="AZ4754" s="227"/>
      <c r="BA4754" s="227"/>
      <c r="BB4754" s="227"/>
      <c r="BC4754" s="227"/>
      <c r="BD4754" s="227"/>
      <c r="BE4754" s="227"/>
      <c r="BF4754" s="227"/>
    </row>
    <row r="4755">
      <c r="A4755" s="235" t="s">
        <v>35162</v>
      </c>
      <c r="C4755" s="235" t="s">
        <v>35163</v>
      </c>
      <c r="D4755" s="235" t="s">
        <v>35170</v>
      </c>
      <c r="E4755" s="243">
        <v>6.49E13</v>
      </c>
      <c r="F4755" s="245"/>
      <c r="G4755" s="235" t="s">
        <v>35165</v>
      </c>
      <c r="H4755" s="235" t="s">
        <v>35166</v>
      </c>
      <c r="I4755" s="235" t="s">
        <v>35166</v>
      </c>
      <c r="J4755" s="235" t="s">
        <v>35167</v>
      </c>
      <c r="K4755" s="235" t="s">
        <v>35168</v>
      </c>
      <c r="N4755" s="235" t="s">
        <v>12</v>
      </c>
      <c r="O4755" s="235" t="s">
        <v>804</v>
      </c>
      <c r="P4755" s="238">
        <v>1.0</v>
      </c>
      <c r="Q4755" s="235" t="s">
        <v>627</v>
      </c>
      <c r="R4755" s="238">
        <v>265.72</v>
      </c>
      <c r="S4755" s="238">
        <v>12.88</v>
      </c>
      <c r="T4755" s="238">
        <v>0.0</v>
      </c>
      <c r="U4755" s="238">
        <v>0.0</v>
      </c>
      <c r="V4755" s="238">
        <v>0.0</v>
      </c>
      <c r="W4755" s="238">
        <v>0.0</v>
      </c>
      <c r="X4755" s="235" t="s">
        <v>628</v>
      </c>
      <c r="Z4755" s="245"/>
      <c r="AA4755" s="245"/>
      <c r="AB4755" s="245"/>
      <c r="AC4755" s="235" t="s">
        <v>844</v>
      </c>
      <c r="AD4755" s="235" t="s">
        <v>845</v>
      </c>
      <c r="AE4755" s="238">
        <v>411037.0</v>
      </c>
      <c r="AF4755" s="235" t="s">
        <v>631</v>
      </c>
      <c r="AG4755" s="245"/>
      <c r="AH4755" s="245"/>
      <c r="AI4755" s="245"/>
      <c r="AJ4755" s="245"/>
      <c r="AK4755" s="245"/>
      <c r="AL4755" s="245"/>
      <c r="AM4755" s="245"/>
      <c r="AN4755" s="245"/>
      <c r="AO4755" s="238">
        <v>-7.97</v>
      </c>
      <c r="AP4755" s="238">
        <v>0.0</v>
      </c>
      <c r="AQ4755" s="235" t="s">
        <v>632</v>
      </c>
      <c r="AR4755" s="243">
        <v>3.71E11</v>
      </c>
      <c r="AS4755" s="235" t="s">
        <v>34510</v>
      </c>
      <c r="AT4755" s="235" t="s">
        <v>546</v>
      </c>
      <c r="AU4755" s="235" t="s">
        <v>634</v>
      </c>
      <c r="AV4755" s="246" t="s">
        <v>635</v>
      </c>
      <c r="AW4755" s="227"/>
      <c r="AX4755" s="227"/>
      <c r="AY4755" s="227"/>
      <c r="AZ4755" s="227"/>
      <c r="BA4755" s="227"/>
      <c r="BB4755" s="227"/>
      <c r="BC4755" s="227"/>
      <c r="BD4755" s="227"/>
      <c r="BE4755" s="227"/>
      <c r="BF4755" s="227"/>
    </row>
    <row r="4756">
      <c r="A4756" s="235" t="s">
        <v>35171</v>
      </c>
      <c r="C4756" s="235" t="s">
        <v>35172</v>
      </c>
      <c r="D4756" s="235" t="s">
        <v>35173</v>
      </c>
      <c r="E4756" s="243">
        <v>6.5E13</v>
      </c>
      <c r="F4756" s="245"/>
      <c r="G4756" s="235" t="s">
        <v>35174</v>
      </c>
      <c r="H4756" s="235" t="s">
        <v>35175</v>
      </c>
      <c r="I4756" s="235" t="s">
        <v>35175</v>
      </c>
      <c r="J4756" s="235" t="s">
        <v>35176</v>
      </c>
      <c r="K4756" s="235" t="s">
        <v>35177</v>
      </c>
      <c r="N4756" s="235" t="s">
        <v>120</v>
      </c>
      <c r="O4756" s="235" t="s">
        <v>324</v>
      </c>
      <c r="P4756" s="238">
        <v>1.0</v>
      </c>
      <c r="Q4756" s="235" t="s">
        <v>627</v>
      </c>
      <c r="R4756" s="238">
        <v>244.76</v>
      </c>
      <c r="S4756" s="238">
        <v>12.24</v>
      </c>
      <c r="T4756" s="238">
        <v>0.0</v>
      </c>
      <c r="U4756" s="238">
        <v>0.0</v>
      </c>
      <c r="V4756" s="238">
        <v>0.0</v>
      </c>
      <c r="W4756" s="238">
        <v>0.0</v>
      </c>
      <c r="X4756" s="235" t="s">
        <v>628</v>
      </c>
      <c r="Z4756" s="245"/>
      <c r="AA4756" s="245"/>
      <c r="AB4756" s="245"/>
      <c r="AC4756" s="235" t="s">
        <v>6555</v>
      </c>
      <c r="AD4756" s="235" t="s">
        <v>679</v>
      </c>
      <c r="AE4756" s="238">
        <v>575025.0</v>
      </c>
      <c r="AF4756" s="235" t="s">
        <v>631</v>
      </c>
      <c r="AG4756" s="245"/>
      <c r="AH4756" s="245"/>
      <c r="AI4756" s="245"/>
      <c r="AJ4756" s="245"/>
      <c r="AK4756" s="245"/>
      <c r="AL4756" s="245"/>
      <c r="AM4756" s="245"/>
      <c r="AN4756" s="245"/>
      <c r="AO4756" s="238">
        <v>0.0</v>
      </c>
      <c r="AP4756" s="238">
        <v>0.0</v>
      </c>
      <c r="AQ4756" s="235" t="s">
        <v>632</v>
      </c>
      <c r="AR4756" s="243">
        <v>3.71E11</v>
      </c>
      <c r="AS4756" s="235" t="s">
        <v>28482</v>
      </c>
      <c r="AT4756" s="235" t="s">
        <v>5</v>
      </c>
      <c r="AU4756" s="235" t="s">
        <v>634</v>
      </c>
      <c r="AV4756" s="246" t="s">
        <v>635</v>
      </c>
      <c r="AW4756" s="227"/>
      <c r="AX4756" s="227"/>
      <c r="AY4756" s="227"/>
      <c r="AZ4756" s="227"/>
      <c r="BA4756" s="227"/>
      <c r="BB4756" s="227"/>
      <c r="BC4756" s="227"/>
      <c r="BD4756" s="227"/>
      <c r="BE4756" s="227"/>
      <c r="BF4756" s="227"/>
    </row>
    <row r="4757">
      <c r="A4757" s="235" t="s">
        <v>35178</v>
      </c>
      <c r="C4757" s="235" t="s">
        <v>35179</v>
      </c>
      <c r="D4757" s="235" t="s">
        <v>35180</v>
      </c>
      <c r="E4757" s="243">
        <v>6.5E13</v>
      </c>
      <c r="F4757" s="245"/>
      <c r="G4757" s="235" t="s">
        <v>35181</v>
      </c>
      <c r="H4757" s="235" t="s">
        <v>35182</v>
      </c>
      <c r="I4757" s="235" t="s">
        <v>35183</v>
      </c>
      <c r="J4757" s="235" t="s">
        <v>35184</v>
      </c>
      <c r="K4757" s="235" t="s">
        <v>35185</v>
      </c>
      <c r="N4757" s="235" t="s">
        <v>127</v>
      </c>
      <c r="O4757" s="235" t="s">
        <v>794</v>
      </c>
      <c r="P4757" s="238">
        <v>1.0</v>
      </c>
      <c r="Q4757" s="235" t="s">
        <v>627</v>
      </c>
      <c r="R4757" s="238">
        <v>243.8</v>
      </c>
      <c r="S4757" s="238">
        <v>12.2</v>
      </c>
      <c r="T4757" s="238">
        <v>0.0</v>
      </c>
      <c r="U4757" s="238">
        <v>0.0</v>
      </c>
      <c r="V4757" s="238">
        <v>0.0</v>
      </c>
      <c r="W4757" s="238">
        <v>0.0</v>
      </c>
      <c r="X4757" s="235" t="s">
        <v>628</v>
      </c>
      <c r="Z4757" s="245"/>
      <c r="AA4757" s="245"/>
      <c r="AB4757" s="245"/>
      <c r="AC4757" s="235" t="s">
        <v>1961</v>
      </c>
      <c r="AD4757" s="235" t="s">
        <v>845</v>
      </c>
      <c r="AE4757" s="238">
        <v>411033.0</v>
      </c>
      <c r="AF4757" s="235" t="s">
        <v>631</v>
      </c>
      <c r="AG4757" s="245"/>
      <c r="AH4757" s="245"/>
      <c r="AI4757" s="245"/>
      <c r="AJ4757" s="245"/>
      <c r="AK4757" s="245"/>
      <c r="AL4757" s="245"/>
      <c r="AM4757" s="245"/>
      <c r="AN4757" s="245"/>
      <c r="AO4757" s="238">
        <v>0.0</v>
      </c>
      <c r="AP4757" s="238">
        <v>0.0</v>
      </c>
      <c r="AQ4757" s="235" t="s">
        <v>632</v>
      </c>
      <c r="AR4757" s="243">
        <v>3.71E11</v>
      </c>
      <c r="AS4757" s="235" t="s">
        <v>34510</v>
      </c>
      <c r="AT4757" s="235" t="s">
        <v>546</v>
      </c>
      <c r="AU4757" s="235" t="s">
        <v>634</v>
      </c>
      <c r="AV4757" s="246" t="s">
        <v>635</v>
      </c>
      <c r="AW4757" s="227"/>
      <c r="AX4757" s="227"/>
      <c r="AY4757" s="227"/>
      <c r="AZ4757" s="227"/>
      <c r="BA4757" s="227"/>
      <c r="BB4757" s="227"/>
      <c r="BC4757" s="227"/>
      <c r="BD4757" s="227"/>
      <c r="BE4757" s="227"/>
      <c r="BF4757" s="227"/>
    </row>
    <row r="4758">
      <c r="A4758" s="235" t="s">
        <v>35186</v>
      </c>
      <c r="C4758" s="235" t="s">
        <v>35187</v>
      </c>
      <c r="D4758" s="235" t="s">
        <v>35188</v>
      </c>
      <c r="E4758" s="243">
        <v>6.5E13</v>
      </c>
      <c r="F4758" s="245"/>
      <c r="G4758" s="235" t="s">
        <v>35189</v>
      </c>
      <c r="H4758" s="235" t="s">
        <v>35190</v>
      </c>
      <c r="I4758" s="235" t="s">
        <v>35190</v>
      </c>
      <c r="J4758" s="235" t="s">
        <v>35191</v>
      </c>
      <c r="K4758" s="235" t="s">
        <v>35192</v>
      </c>
      <c r="N4758" s="235" t="s">
        <v>127</v>
      </c>
      <c r="O4758" s="235" t="s">
        <v>794</v>
      </c>
      <c r="P4758" s="238">
        <v>1.0</v>
      </c>
      <c r="Q4758" s="235" t="s">
        <v>627</v>
      </c>
      <c r="R4758" s="238">
        <v>243.81</v>
      </c>
      <c r="S4758" s="238">
        <v>11.95</v>
      </c>
      <c r="T4758" s="238">
        <v>0.0</v>
      </c>
      <c r="U4758" s="238">
        <v>0.0</v>
      </c>
      <c r="V4758" s="238">
        <v>0.0</v>
      </c>
      <c r="W4758" s="238">
        <v>0.0</v>
      </c>
      <c r="X4758" s="235" t="s">
        <v>628</v>
      </c>
      <c r="Z4758" s="245"/>
      <c r="AA4758" s="245"/>
      <c r="AB4758" s="245"/>
      <c r="AC4758" s="235" t="s">
        <v>25691</v>
      </c>
      <c r="AD4758" s="235" t="s">
        <v>698</v>
      </c>
      <c r="AE4758" s="238">
        <v>501101.0</v>
      </c>
      <c r="AF4758" s="235" t="s">
        <v>631</v>
      </c>
      <c r="AG4758" s="245"/>
      <c r="AH4758" s="245"/>
      <c r="AI4758" s="245"/>
      <c r="AJ4758" s="245"/>
      <c r="AK4758" s="245"/>
      <c r="AL4758" s="245"/>
      <c r="AM4758" s="245"/>
      <c r="AN4758" s="245"/>
      <c r="AO4758" s="238">
        <v>-4.88</v>
      </c>
      <c r="AP4758" s="238">
        <v>0.0</v>
      </c>
      <c r="AQ4758" s="235" t="s">
        <v>632</v>
      </c>
      <c r="AR4758" s="243">
        <v>3.71E11</v>
      </c>
      <c r="AS4758" s="235" t="s">
        <v>33466</v>
      </c>
      <c r="AT4758" s="235" t="s">
        <v>546</v>
      </c>
      <c r="AU4758" s="235" t="s">
        <v>634</v>
      </c>
      <c r="AV4758" s="246" t="s">
        <v>635</v>
      </c>
      <c r="AW4758" s="227"/>
      <c r="AX4758" s="227"/>
      <c r="AY4758" s="227"/>
      <c r="AZ4758" s="227"/>
      <c r="BA4758" s="227"/>
      <c r="BB4758" s="227"/>
      <c r="BC4758" s="227"/>
      <c r="BD4758" s="227"/>
      <c r="BE4758" s="227"/>
      <c r="BF4758" s="227"/>
    </row>
    <row r="4759">
      <c r="A4759" s="235" t="s">
        <v>35193</v>
      </c>
      <c r="C4759" s="235" t="s">
        <v>35194</v>
      </c>
      <c r="D4759" s="235" t="s">
        <v>35195</v>
      </c>
      <c r="E4759" s="243">
        <v>6.5E13</v>
      </c>
      <c r="F4759" s="245"/>
      <c r="G4759" s="235" t="s">
        <v>35196</v>
      </c>
      <c r="H4759" s="235" t="s">
        <v>35197</v>
      </c>
      <c r="I4759" s="235" t="s">
        <v>35197</v>
      </c>
      <c r="J4759" s="235" t="s">
        <v>35198</v>
      </c>
      <c r="K4759" s="235" t="s">
        <v>35199</v>
      </c>
      <c r="N4759" s="235" t="s">
        <v>71</v>
      </c>
      <c r="O4759" s="235" t="s">
        <v>240</v>
      </c>
      <c r="P4759" s="238">
        <v>1.0</v>
      </c>
      <c r="Q4759" s="235" t="s">
        <v>627</v>
      </c>
      <c r="R4759" s="238">
        <v>246.67</v>
      </c>
      <c r="S4759" s="238">
        <v>12.08</v>
      </c>
      <c r="T4759" s="238">
        <v>0.0</v>
      </c>
      <c r="U4759" s="238">
        <v>0.0</v>
      </c>
      <c r="V4759" s="238">
        <v>0.0</v>
      </c>
      <c r="W4759" s="238">
        <v>0.0</v>
      </c>
      <c r="X4759" s="235" t="s">
        <v>628</v>
      </c>
      <c r="Z4759" s="245"/>
      <c r="AA4759" s="245"/>
      <c r="AB4759" s="245"/>
      <c r="AC4759" s="235" t="s">
        <v>11319</v>
      </c>
      <c r="AD4759" s="235" t="s">
        <v>796</v>
      </c>
      <c r="AE4759" s="238">
        <v>110009.0</v>
      </c>
      <c r="AF4759" s="235" t="s">
        <v>631</v>
      </c>
      <c r="AG4759" s="245"/>
      <c r="AH4759" s="245"/>
      <c r="AI4759" s="245"/>
      <c r="AJ4759" s="245"/>
      <c r="AK4759" s="245"/>
      <c r="AL4759" s="245"/>
      <c r="AM4759" s="245"/>
      <c r="AN4759" s="245"/>
      <c r="AO4759" s="238">
        <v>-4.93</v>
      </c>
      <c r="AP4759" s="238">
        <v>0.0</v>
      </c>
      <c r="AQ4759" s="235" t="s">
        <v>632</v>
      </c>
      <c r="AR4759" s="243">
        <v>1.68E11</v>
      </c>
      <c r="AS4759" s="235" t="s">
        <v>34913</v>
      </c>
      <c r="AT4759" s="235" t="s">
        <v>533</v>
      </c>
      <c r="AU4759" s="235" t="s">
        <v>634</v>
      </c>
      <c r="AV4759" s="246" t="s">
        <v>635</v>
      </c>
      <c r="AW4759" s="227"/>
      <c r="AX4759" s="227"/>
      <c r="AY4759" s="227"/>
      <c r="AZ4759" s="227"/>
      <c r="BA4759" s="227"/>
      <c r="BB4759" s="227"/>
      <c r="BC4759" s="227"/>
      <c r="BD4759" s="227"/>
      <c r="BE4759" s="227"/>
      <c r="BF4759" s="227"/>
    </row>
    <row r="4760">
      <c r="A4760" s="235" t="s">
        <v>35200</v>
      </c>
      <c r="C4760" s="235" t="s">
        <v>35201</v>
      </c>
      <c r="D4760" s="235" t="s">
        <v>35202</v>
      </c>
      <c r="E4760" s="243">
        <v>6.5E13</v>
      </c>
      <c r="F4760" s="245"/>
      <c r="G4760" s="235" t="s">
        <v>35203</v>
      </c>
      <c r="H4760" s="235" t="s">
        <v>35204</v>
      </c>
      <c r="I4760" s="235" t="s">
        <v>35204</v>
      </c>
      <c r="J4760" s="235" t="s">
        <v>35205</v>
      </c>
      <c r="K4760" s="235" t="s">
        <v>35206</v>
      </c>
      <c r="N4760" s="235" t="s">
        <v>92</v>
      </c>
      <c r="O4760" s="235" t="s">
        <v>248</v>
      </c>
      <c r="P4760" s="238">
        <v>1.0</v>
      </c>
      <c r="Q4760" s="235" t="s">
        <v>627</v>
      </c>
      <c r="R4760" s="238">
        <v>244.76</v>
      </c>
      <c r="S4760" s="238">
        <v>12.0</v>
      </c>
      <c r="T4760" s="238">
        <v>0.0</v>
      </c>
      <c r="U4760" s="238">
        <v>0.0</v>
      </c>
      <c r="V4760" s="238">
        <v>0.0</v>
      </c>
      <c r="W4760" s="238">
        <v>0.0</v>
      </c>
      <c r="X4760" s="235" t="s">
        <v>628</v>
      </c>
      <c r="Z4760" s="245"/>
      <c r="AA4760" s="245"/>
      <c r="AB4760" s="245"/>
      <c r="AC4760" s="235" t="s">
        <v>1255</v>
      </c>
      <c r="AD4760" s="235" t="s">
        <v>845</v>
      </c>
      <c r="AE4760" s="238">
        <v>400607.0</v>
      </c>
      <c r="AF4760" s="235" t="s">
        <v>631</v>
      </c>
      <c r="AG4760" s="245"/>
      <c r="AH4760" s="245"/>
      <c r="AI4760" s="245"/>
      <c r="AJ4760" s="245"/>
      <c r="AK4760" s="245"/>
      <c r="AL4760" s="245"/>
      <c r="AM4760" s="245"/>
      <c r="AN4760" s="245"/>
      <c r="AO4760" s="238">
        <v>-4.9</v>
      </c>
      <c r="AP4760" s="238">
        <v>0.0</v>
      </c>
      <c r="AQ4760" s="235" t="s">
        <v>632</v>
      </c>
      <c r="AR4760" s="243">
        <v>3.71E11</v>
      </c>
      <c r="AS4760" s="235" t="s">
        <v>34510</v>
      </c>
      <c r="AT4760" s="235" t="s">
        <v>17</v>
      </c>
      <c r="AU4760" s="235" t="s">
        <v>634</v>
      </c>
      <c r="AV4760" s="246" t="s">
        <v>635</v>
      </c>
      <c r="AW4760" s="227"/>
      <c r="AX4760" s="227"/>
      <c r="AY4760" s="227"/>
      <c r="AZ4760" s="227"/>
      <c r="BA4760" s="227"/>
      <c r="BB4760" s="227"/>
      <c r="BC4760" s="227"/>
      <c r="BD4760" s="227"/>
      <c r="BE4760" s="227"/>
      <c r="BF4760" s="227"/>
    </row>
    <row r="4761">
      <c r="A4761" s="235" t="s">
        <v>35207</v>
      </c>
      <c r="C4761" s="235" t="s">
        <v>35208</v>
      </c>
      <c r="D4761" s="235" t="s">
        <v>35209</v>
      </c>
      <c r="E4761" s="243">
        <v>6.5E13</v>
      </c>
      <c r="F4761" s="245"/>
      <c r="G4761" s="235" t="s">
        <v>35210</v>
      </c>
      <c r="H4761" s="235" t="s">
        <v>35211</v>
      </c>
      <c r="I4761" s="235" t="s">
        <v>35211</v>
      </c>
      <c r="J4761" s="235" t="s">
        <v>35212</v>
      </c>
      <c r="K4761" s="235" t="s">
        <v>35213</v>
      </c>
      <c r="N4761" s="235" t="s">
        <v>145</v>
      </c>
      <c r="O4761" s="235" t="s">
        <v>370</v>
      </c>
      <c r="P4761" s="238">
        <v>1.0</v>
      </c>
      <c r="Q4761" s="235" t="s">
        <v>627</v>
      </c>
      <c r="R4761" s="238">
        <v>1522.86</v>
      </c>
      <c r="S4761" s="238">
        <v>76.14</v>
      </c>
      <c r="T4761" s="238">
        <v>38.1</v>
      </c>
      <c r="U4761" s="238">
        <v>1.9</v>
      </c>
      <c r="V4761" s="238">
        <v>0.0</v>
      </c>
      <c r="W4761" s="238">
        <v>0.0</v>
      </c>
      <c r="X4761" s="235" t="s">
        <v>628</v>
      </c>
      <c r="Z4761" s="245"/>
      <c r="AA4761" s="245"/>
      <c r="AB4761" s="245"/>
      <c r="AC4761" s="235" t="s">
        <v>35214</v>
      </c>
      <c r="AD4761" s="235" t="s">
        <v>965</v>
      </c>
      <c r="AE4761" s="238">
        <v>174303.0</v>
      </c>
      <c r="AF4761" s="235" t="s">
        <v>631</v>
      </c>
      <c r="AG4761" s="245"/>
      <c r="AH4761" s="245"/>
      <c r="AI4761" s="245"/>
      <c r="AJ4761" s="245"/>
      <c r="AK4761" s="245"/>
      <c r="AL4761" s="245"/>
      <c r="AM4761" s="245"/>
      <c r="AN4761" s="245"/>
      <c r="AO4761" s="238">
        <v>0.0</v>
      </c>
      <c r="AP4761" s="238">
        <v>-38.1</v>
      </c>
      <c r="AQ4761" s="235" t="s">
        <v>632</v>
      </c>
      <c r="AR4761" s="243">
        <v>3.71E11</v>
      </c>
      <c r="AS4761" s="235" t="s">
        <v>32455</v>
      </c>
      <c r="AT4761" s="235" t="s">
        <v>14</v>
      </c>
      <c r="AU4761" s="235" t="s">
        <v>634</v>
      </c>
      <c r="AV4761" s="246" t="s">
        <v>635</v>
      </c>
      <c r="AW4761" s="227"/>
      <c r="AX4761" s="227"/>
      <c r="AY4761" s="227"/>
      <c r="AZ4761" s="227"/>
      <c r="BA4761" s="227"/>
      <c r="BB4761" s="227"/>
      <c r="BC4761" s="227"/>
      <c r="BD4761" s="227"/>
      <c r="BE4761" s="227"/>
      <c r="BF4761" s="227"/>
    </row>
    <row r="4762">
      <c r="A4762" s="235" t="s">
        <v>35215</v>
      </c>
      <c r="C4762" s="235" t="s">
        <v>35216</v>
      </c>
      <c r="D4762" s="235" t="s">
        <v>35217</v>
      </c>
      <c r="E4762" s="243">
        <v>6.5E13</v>
      </c>
      <c r="F4762" s="245"/>
      <c r="G4762" s="235" t="s">
        <v>35218</v>
      </c>
      <c r="H4762" s="235" t="s">
        <v>35219</v>
      </c>
      <c r="I4762" s="235" t="s">
        <v>35219</v>
      </c>
      <c r="J4762" s="235" t="s">
        <v>35220</v>
      </c>
      <c r="K4762" s="235" t="s">
        <v>35221</v>
      </c>
      <c r="N4762" s="235" t="s">
        <v>54</v>
      </c>
      <c r="O4762" s="235" t="s">
        <v>294</v>
      </c>
      <c r="P4762" s="238">
        <v>1.0</v>
      </c>
      <c r="Q4762" s="235" t="s">
        <v>627</v>
      </c>
      <c r="R4762" s="238">
        <v>246.67</v>
      </c>
      <c r="S4762" s="238">
        <v>12.33</v>
      </c>
      <c r="T4762" s="238">
        <v>75.24</v>
      </c>
      <c r="U4762" s="238">
        <v>3.76</v>
      </c>
      <c r="V4762" s="238">
        <v>0.0</v>
      </c>
      <c r="W4762" s="238">
        <v>0.0</v>
      </c>
      <c r="X4762" s="235" t="s">
        <v>628</v>
      </c>
      <c r="Z4762" s="245"/>
      <c r="AA4762" s="245"/>
      <c r="AB4762" s="245"/>
      <c r="AC4762" s="235" t="s">
        <v>35222</v>
      </c>
      <c r="AD4762" s="235" t="s">
        <v>709</v>
      </c>
      <c r="AE4762" s="238">
        <v>800013.0</v>
      </c>
      <c r="AF4762" s="235" t="s">
        <v>631</v>
      </c>
      <c r="AG4762" s="245"/>
      <c r="AH4762" s="245"/>
      <c r="AI4762" s="245"/>
      <c r="AJ4762" s="245"/>
      <c r="AK4762" s="245"/>
      <c r="AL4762" s="245"/>
      <c r="AM4762" s="245"/>
      <c r="AN4762" s="245"/>
      <c r="AO4762" s="238">
        <v>0.0</v>
      </c>
      <c r="AP4762" s="238">
        <v>0.0</v>
      </c>
      <c r="AQ4762" s="235" t="s">
        <v>632</v>
      </c>
      <c r="AR4762" s="243">
        <v>2.02E11</v>
      </c>
      <c r="AS4762" s="235" t="s">
        <v>34510</v>
      </c>
      <c r="AT4762" s="235" t="s">
        <v>13</v>
      </c>
      <c r="AU4762" s="235" t="s">
        <v>634</v>
      </c>
      <c r="AV4762" s="246" t="s">
        <v>635</v>
      </c>
      <c r="AW4762" s="227"/>
      <c r="AX4762" s="227"/>
      <c r="AY4762" s="227"/>
      <c r="AZ4762" s="227"/>
      <c r="BA4762" s="227"/>
      <c r="BB4762" s="227"/>
      <c r="BC4762" s="227"/>
      <c r="BD4762" s="227"/>
      <c r="BE4762" s="227"/>
      <c r="BF4762" s="227"/>
    </row>
    <row r="4763">
      <c r="A4763" s="235" t="s">
        <v>35223</v>
      </c>
      <c r="C4763" s="235" t="s">
        <v>35224</v>
      </c>
      <c r="D4763" s="235" t="s">
        <v>35225</v>
      </c>
      <c r="E4763" s="243">
        <v>6.5E13</v>
      </c>
      <c r="F4763" s="245"/>
      <c r="G4763" s="235" t="s">
        <v>35226</v>
      </c>
      <c r="H4763" s="235" t="s">
        <v>35227</v>
      </c>
      <c r="I4763" s="235" t="s">
        <v>35227</v>
      </c>
      <c r="J4763" s="235" t="s">
        <v>35228</v>
      </c>
      <c r="K4763" s="235" t="s">
        <v>35229</v>
      </c>
      <c r="N4763" s="235" t="s">
        <v>139</v>
      </c>
      <c r="O4763" s="235" t="s">
        <v>2091</v>
      </c>
      <c r="P4763" s="238">
        <v>1.0</v>
      </c>
      <c r="Q4763" s="235" t="s">
        <v>627</v>
      </c>
      <c r="R4763" s="238">
        <v>244.76</v>
      </c>
      <c r="S4763" s="238">
        <v>12.0</v>
      </c>
      <c r="T4763" s="238">
        <v>0.0</v>
      </c>
      <c r="U4763" s="238">
        <v>0.0</v>
      </c>
      <c r="V4763" s="238">
        <v>0.0</v>
      </c>
      <c r="W4763" s="238">
        <v>0.0</v>
      </c>
      <c r="X4763" s="235" t="s">
        <v>628</v>
      </c>
      <c r="Z4763" s="245"/>
      <c r="AA4763" s="245"/>
      <c r="AB4763" s="245"/>
      <c r="AC4763" s="235" t="s">
        <v>678</v>
      </c>
      <c r="AD4763" s="235" t="s">
        <v>679</v>
      </c>
      <c r="AE4763" s="238">
        <v>560073.0</v>
      </c>
      <c r="AF4763" s="235" t="s">
        <v>631</v>
      </c>
      <c r="AG4763" s="245"/>
      <c r="AH4763" s="245"/>
      <c r="AI4763" s="245"/>
      <c r="AJ4763" s="245"/>
      <c r="AK4763" s="245"/>
      <c r="AL4763" s="245"/>
      <c r="AM4763" s="245"/>
      <c r="AN4763" s="245"/>
      <c r="AO4763" s="238">
        <v>-4.9</v>
      </c>
      <c r="AP4763" s="238">
        <v>0.0</v>
      </c>
      <c r="AQ4763" s="235" t="s">
        <v>632</v>
      </c>
      <c r="AR4763" s="243">
        <v>1.68E11</v>
      </c>
      <c r="AS4763" s="235" t="s">
        <v>34913</v>
      </c>
      <c r="AT4763" s="235" t="s">
        <v>9</v>
      </c>
      <c r="AU4763" s="235" t="s">
        <v>634</v>
      </c>
      <c r="AV4763" s="246" t="s">
        <v>635</v>
      </c>
      <c r="AW4763" s="227"/>
      <c r="AX4763" s="227"/>
      <c r="AY4763" s="227"/>
      <c r="AZ4763" s="227"/>
      <c r="BA4763" s="227"/>
      <c r="BB4763" s="227"/>
      <c r="BC4763" s="227"/>
      <c r="BD4763" s="227"/>
      <c r="BE4763" s="227"/>
      <c r="BF4763" s="227"/>
    </row>
    <row r="4764">
      <c r="A4764" s="235" t="s">
        <v>35230</v>
      </c>
      <c r="C4764" s="235" t="s">
        <v>35231</v>
      </c>
      <c r="D4764" s="235" t="s">
        <v>35232</v>
      </c>
      <c r="E4764" s="243">
        <v>6.5E13</v>
      </c>
      <c r="F4764" s="245"/>
      <c r="G4764" s="235" t="s">
        <v>35233</v>
      </c>
      <c r="H4764" s="235" t="s">
        <v>35234</v>
      </c>
      <c r="I4764" s="235" t="s">
        <v>35234</v>
      </c>
      <c r="J4764" s="235" t="s">
        <v>35235</v>
      </c>
      <c r="K4764" s="235" t="s">
        <v>35236</v>
      </c>
      <c r="N4764" s="235" t="s">
        <v>842</v>
      </c>
      <c r="O4764" s="235" t="s">
        <v>843</v>
      </c>
      <c r="P4764" s="238">
        <v>1.0</v>
      </c>
      <c r="Q4764" s="235" t="s">
        <v>627</v>
      </c>
      <c r="R4764" s="238">
        <v>246.66</v>
      </c>
      <c r="S4764" s="238">
        <v>12.1</v>
      </c>
      <c r="T4764" s="238">
        <v>0.0</v>
      </c>
      <c r="U4764" s="238">
        <v>0.0</v>
      </c>
      <c r="V4764" s="238">
        <v>0.0</v>
      </c>
      <c r="W4764" s="238">
        <v>0.0</v>
      </c>
      <c r="X4764" s="235" t="s">
        <v>628</v>
      </c>
      <c r="Z4764" s="245"/>
      <c r="AA4764" s="245"/>
      <c r="AB4764" s="245"/>
      <c r="AC4764" s="235" t="s">
        <v>1998</v>
      </c>
      <c r="AD4764" s="235" t="s">
        <v>928</v>
      </c>
      <c r="AE4764" s="238">
        <v>121001.0</v>
      </c>
      <c r="AF4764" s="235" t="s">
        <v>631</v>
      </c>
      <c r="AG4764" s="245"/>
      <c r="AH4764" s="245"/>
      <c r="AI4764" s="245"/>
      <c r="AJ4764" s="245"/>
      <c r="AK4764" s="245"/>
      <c r="AL4764" s="245"/>
      <c r="AM4764" s="245"/>
      <c r="AN4764" s="245"/>
      <c r="AO4764" s="238">
        <v>-4.94</v>
      </c>
      <c r="AP4764" s="238">
        <v>0.0</v>
      </c>
      <c r="AQ4764" s="235" t="s">
        <v>632</v>
      </c>
      <c r="AR4764" s="243">
        <v>1.68E11</v>
      </c>
      <c r="AS4764" s="235" t="s">
        <v>34913</v>
      </c>
      <c r="AT4764" s="235" t="s">
        <v>13</v>
      </c>
      <c r="AU4764" s="235" t="s">
        <v>634</v>
      </c>
      <c r="AV4764" s="246" t="s">
        <v>635</v>
      </c>
      <c r="AW4764" s="227"/>
      <c r="AX4764" s="227"/>
      <c r="AY4764" s="227"/>
      <c r="AZ4764" s="227"/>
      <c r="BA4764" s="227"/>
      <c r="BB4764" s="227"/>
      <c r="BC4764" s="227"/>
      <c r="BD4764" s="227"/>
      <c r="BE4764" s="227"/>
      <c r="BF4764" s="227"/>
    </row>
    <row r="4765">
      <c r="A4765" s="235" t="s">
        <v>35237</v>
      </c>
      <c r="C4765" s="235" t="s">
        <v>35238</v>
      </c>
      <c r="D4765" s="235" t="s">
        <v>35239</v>
      </c>
      <c r="E4765" s="243">
        <v>6.5E13</v>
      </c>
      <c r="F4765" s="245"/>
      <c r="G4765" s="235" t="s">
        <v>35240</v>
      </c>
      <c r="H4765" s="235" t="s">
        <v>35241</v>
      </c>
      <c r="I4765" s="235" t="s">
        <v>35241</v>
      </c>
      <c r="J4765" s="235" t="s">
        <v>35242</v>
      </c>
      <c r="K4765" s="235" t="s">
        <v>35243</v>
      </c>
      <c r="N4765" s="235" t="s">
        <v>717</v>
      </c>
      <c r="O4765" s="235" t="s">
        <v>718</v>
      </c>
      <c r="P4765" s="238">
        <v>1.0</v>
      </c>
      <c r="Q4765" s="235" t="s">
        <v>627</v>
      </c>
      <c r="R4765" s="238">
        <v>456.19</v>
      </c>
      <c r="S4765" s="238">
        <v>22.81</v>
      </c>
      <c r="T4765" s="238">
        <v>75.24</v>
      </c>
      <c r="U4765" s="238">
        <v>3.76</v>
      </c>
      <c r="V4765" s="238">
        <v>0.0</v>
      </c>
      <c r="W4765" s="238">
        <v>0.0</v>
      </c>
      <c r="X4765" s="235" t="s">
        <v>628</v>
      </c>
      <c r="Z4765" s="245"/>
      <c r="AA4765" s="245"/>
      <c r="AB4765" s="245"/>
      <c r="AC4765" s="235" t="s">
        <v>687</v>
      </c>
      <c r="AD4765" s="235" t="s">
        <v>666</v>
      </c>
      <c r="AE4765" s="238">
        <v>600074.0</v>
      </c>
      <c r="AF4765" s="235" t="s">
        <v>631</v>
      </c>
      <c r="AG4765" s="245"/>
      <c r="AH4765" s="245"/>
      <c r="AI4765" s="245"/>
      <c r="AJ4765" s="245"/>
      <c r="AK4765" s="245"/>
      <c r="AL4765" s="245"/>
      <c r="AM4765" s="245"/>
      <c r="AN4765" s="245"/>
      <c r="AO4765" s="238">
        <v>0.0</v>
      </c>
      <c r="AP4765" s="238">
        <v>0.0</v>
      </c>
      <c r="AQ4765" s="235" t="s">
        <v>632</v>
      </c>
      <c r="AR4765" s="243">
        <v>1.68E11</v>
      </c>
      <c r="AS4765" s="235" t="s">
        <v>34510</v>
      </c>
      <c r="AT4765" s="235" t="s">
        <v>9</v>
      </c>
      <c r="AU4765" s="235" t="s">
        <v>634</v>
      </c>
      <c r="AV4765" s="246" t="s">
        <v>635</v>
      </c>
      <c r="AW4765" s="227"/>
      <c r="AX4765" s="227"/>
      <c r="AY4765" s="227"/>
      <c r="AZ4765" s="227"/>
      <c r="BA4765" s="227"/>
      <c r="BB4765" s="227"/>
      <c r="BC4765" s="227"/>
      <c r="BD4765" s="227"/>
      <c r="BE4765" s="227"/>
      <c r="BF4765" s="227"/>
    </row>
    <row r="4766">
      <c r="A4766" s="235" t="s">
        <v>35244</v>
      </c>
      <c r="C4766" s="235" t="s">
        <v>35245</v>
      </c>
      <c r="D4766" s="235" t="s">
        <v>35246</v>
      </c>
      <c r="E4766" s="243">
        <v>6.5E13</v>
      </c>
      <c r="F4766" s="245"/>
      <c r="G4766" s="235" t="s">
        <v>35247</v>
      </c>
      <c r="H4766" s="235" t="s">
        <v>35248</v>
      </c>
      <c r="I4766" s="235" t="s">
        <v>35249</v>
      </c>
      <c r="J4766" s="235" t="s">
        <v>35250</v>
      </c>
      <c r="K4766" s="235" t="s">
        <v>35251</v>
      </c>
      <c r="N4766" s="235" t="s">
        <v>130</v>
      </c>
      <c r="O4766" s="235" t="s">
        <v>707</v>
      </c>
      <c r="P4766" s="238">
        <v>1.0</v>
      </c>
      <c r="Q4766" s="235" t="s">
        <v>627</v>
      </c>
      <c r="R4766" s="238">
        <v>243.81</v>
      </c>
      <c r="S4766" s="238">
        <v>12.19</v>
      </c>
      <c r="T4766" s="238">
        <v>0.0</v>
      </c>
      <c r="U4766" s="238">
        <v>0.0</v>
      </c>
      <c r="V4766" s="238">
        <v>0.0</v>
      </c>
      <c r="W4766" s="238">
        <v>0.0</v>
      </c>
      <c r="X4766" s="235" t="s">
        <v>628</v>
      </c>
      <c r="Z4766" s="245"/>
      <c r="AA4766" s="245"/>
      <c r="AB4766" s="245"/>
      <c r="AC4766" s="235" t="s">
        <v>1531</v>
      </c>
      <c r="AD4766" s="235" t="s">
        <v>1151</v>
      </c>
      <c r="AE4766" s="238">
        <v>700107.0</v>
      </c>
      <c r="AF4766" s="235" t="s">
        <v>631</v>
      </c>
      <c r="AG4766" s="245"/>
      <c r="AH4766" s="245"/>
      <c r="AI4766" s="245"/>
      <c r="AJ4766" s="245"/>
      <c r="AK4766" s="245"/>
      <c r="AL4766" s="245"/>
      <c r="AM4766" s="245"/>
      <c r="AN4766" s="245"/>
      <c r="AO4766" s="238">
        <v>0.0</v>
      </c>
      <c r="AP4766" s="238">
        <v>0.0</v>
      </c>
      <c r="AQ4766" s="235" t="s">
        <v>632</v>
      </c>
      <c r="AR4766" s="243">
        <v>2.02E11</v>
      </c>
      <c r="AS4766" s="235" t="s">
        <v>34510</v>
      </c>
      <c r="AT4766" s="235" t="s">
        <v>9</v>
      </c>
      <c r="AU4766" s="235" t="s">
        <v>634</v>
      </c>
      <c r="AV4766" s="246" t="s">
        <v>635</v>
      </c>
      <c r="AW4766" s="227"/>
      <c r="AX4766" s="227"/>
      <c r="AY4766" s="227"/>
      <c r="AZ4766" s="227"/>
      <c r="BA4766" s="227"/>
      <c r="BB4766" s="227"/>
      <c r="BC4766" s="227"/>
      <c r="BD4766" s="227"/>
      <c r="BE4766" s="227"/>
      <c r="BF4766" s="227"/>
    </row>
    <row r="4767">
      <c r="A4767" s="235" t="s">
        <v>35252</v>
      </c>
      <c r="C4767" s="235" t="s">
        <v>35253</v>
      </c>
      <c r="D4767" s="235" t="s">
        <v>35254</v>
      </c>
      <c r="E4767" s="243">
        <v>6.49E13</v>
      </c>
      <c r="F4767" s="245"/>
      <c r="G4767" s="235" t="s">
        <v>35255</v>
      </c>
      <c r="H4767" s="235" t="s">
        <v>35256</v>
      </c>
      <c r="I4767" s="235" t="s">
        <v>35256</v>
      </c>
      <c r="J4767" s="235" t="s">
        <v>35257</v>
      </c>
      <c r="K4767" s="235" t="s">
        <v>35258</v>
      </c>
      <c r="N4767" s="235" t="s">
        <v>144</v>
      </c>
      <c r="O4767" s="235" t="s">
        <v>232</v>
      </c>
      <c r="P4767" s="238">
        <v>1.0</v>
      </c>
      <c r="Q4767" s="235" t="s">
        <v>627</v>
      </c>
      <c r="R4767" s="238">
        <v>665.72</v>
      </c>
      <c r="S4767" s="238">
        <v>33.28</v>
      </c>
      <c r="T4767" s="238">
        <v>38.1</v>
      </c>
      <c r="U4767" s="238">
        <v>1.9</v>
      </c>
      <c r="V4767" s="238">
        <v>0.0</v>
      </c>
      <c r="W4767" s="238">
        <v>0.0</v>
      </c>
      <c r="X4767" s="235" t="s">
        <v>628</v>
      </c>
      <c r="Z4767" s="245"/>
      <c r="AA4767" s="245"/>
      <c r="AB4767" s="245"/>
      <c r="AC4767" s="235" t="s">
        <v>1514</v>
      </c>
      <c r="AD4767" s="235" t="s">
        <v>1077</v>
      </c>
      <c r="AE4767" s="238">
        <v>382480.0</v>
      </c>
      <c r="AF4767" s="235" t="s">
        <v>631</v>
      </c>
      <c r="AG4767" s="245"/>
      <c r="AH4767" s="245"/>
      <c r="AI4767" s="245"/>
      <c r="AJ4767" s="245"/>
      <c r="AK4767" s="245"/>
      <c r="AL4767" s="245"/>
      <c r="AM4767" s="245"/>
      <c r="AN4767" s="245"/>
      <c r="AO4767" s="238">
        <v>0.0</v>
      </c>
      <c r="AP4767" s="238">
        <v>-38.1</v>
      </c>
      <c r="AQ4767" s="235" t="s">
        <v>632</v>
      </c>
      <c r="AR4767" s="243">
        <v>3.71E11</v>
      </c>
      <c r="AS4767" s="235" t="s">
        <v>34510</v>
      </c>
      <c r="AT4767" s="235" t="s">
        <v>5</v>
      </c>
      <c r="AU4767" s="235" t="s">
        <v>634</v>
      </c>
      <c r="AV4767" s="246" t="s">
        <v>635</v>
      </c>
      <c r="AW4767" s="227"/>
      <c r="AX4767" s="227"/>
      <c r="AY4767" s="227"/>
      <c r="AZ4767" s="227"/>
      <c r="BA4767" s="227"/>
      <c r="BB4767" s="227"/>
      <c r="BC4767" s="227"/>
      <c r="BD4767" s="227"/>
      <c r="BE4767" s="227"/>
      <c r="BF4767" s="227"/>
    </row>
    <row r="4768">
      <c r="A4768" s="235" t="s">
        <v>35259</v>
      </c>
      <c r="C4768" s="235" t="s">
        <v>35260</v>
      </c>
      <c r="D4768" s="235" t="s">
        <v>35261</v>
      </c>
      <c r="E4768" s="243">
        <v>6.5E13</v>
      </c>
      <c r="F4768" s="245"/>
      <c r="G4768" s="235" t="s">
        <v>35262</v>
      </c>
      <c r="H4768" s="235" t="s">
        <v>35263</v>
      </c>
      <c r="I4768" s="235" t="s">
        <v>35263</v>
      </c>
      <c r="J4768" s="235" t="s">
        <v>35264</v>
      </c>
      <c r="K4768" s="235" t="s">
        <v>35265</v>
      </c>
      <c r="N4768" s="235" t="s">
        <v>47</v>
      </c>
      <c r="O4768" s="235" t="s">
        <v>270</v>
      </c>
      <c r="P4768" s="238">
        <v>1.0</v>
      </c>
      <c r="Q4768" s="235" t="s">
        <v>627</v>
      </c>
      <c r="R4768" s="238">
        <v>236.2</v>
      </c>
      <c r="S4768" s="238">
        <v>11.8</v>
      </c>
      <c r="T4768" s="238">
        <v>0.0</v>
      </c>
      <c r="U4768" s="238">
        <v>0.0</v>
      </c>
      <c r="V4768" s="238">
        <v>0.0</v>
      </c>
      <c r="W4768" s="238">
        <v>0.0</v>
      </c>
      <c r="X4768" s="235" t="s">
        <v>628</v>
      </c>
      <c r="Z4768" s="245"/>
      <c r="AA4768" s="245"/>
      <c r="AB4768" s="245"/>
      <c r="AC4768" s="235" t="s">
        <v>1887</v>
      </c>
      <c r="AD4768" s="235" t="s">
        <v>679</v>
      </c>
      <c r="AE4768" s="238">
        <v>560066.0</v>
      </c>
      <c r="AF4768" s="235" t="s">
        <v>631</v>
      </c>
      <c r="AG4768" s="245"/>
      <c r="AH4768" s="245"/>
      <c r="AI4768" s="245"/>
      <c r="AJ4768" s="245"/>
      <c r="AK4768" s="245"/>
      <c r="AL4768" s="245"/>
      <c r="AM4768" s="245"/>
      <c r="AN4768" s="245"/>
      <c r="AO4768" s="238">
        <v>0.0</v>
      </c>
      <c r="AP4768" s="238">
        <v>0.0</v>
      </c>
      <c r="AQ4768" s="235" t="s">
        <v>632</v>
      </c>
      <c r="AR4768" s="243">
        <v>1.68E11</v>
      </c>
      <c r="AS4768" s="235" t="s">
        <v>34913</v>
      </c>
      <c r="AT4768" s="235" t="s">
        <v>9</v>
      </c>
      <c r="AU4768" s="235" t="s">
        <v>634</v>
      </c>
      <c r="AV4768" s="246" t="s">
        <v>635</v>
      </c>
      <c r="AW4768" s="227"/>
      <c r="AX4768" s="227"/>
      <c r="AY4768" s="227"/>
      <c r="AZ4768" s="227"/>
      <c r="BA4768" s="227"/>
      <c r="BB4768" s="227"/>
      <c r="BC4768" s="227"/>
      <c r="BD4768" s="227"/>
      <c r="BE4768" s="227"/>
      <c r="BF4768" s="227"/>
    </row>
    <row r="4769">
      <c r="A4769" s="235" t="s">
        <v>35266</v>
      </c>
      <c r="C4769" s="235" t="s">
        <v>35267</v>
      </c>
      <c r="D4769" s="235" t="s">
        <v>35268</v>
      </c>
      <c r="E4769" s="243">
        <v>6.5E13</v>
      </c>
      <c r="F4769" s="245"/>
      <c r="G4769" s="235" t="s">
        <v>35269</v>
      </c>
      <c r="H4769" s="235" t="s">
        <v>35270</v>
      </c>
      <c r="I4769" s="235" t="s">
        <v>35270</v>
      </c>
      <c r="J4769" s="235" t="s">
        <v>35271</v>
      </c>
      <c r="K4769" s="235" t="s">
        <v>35272</v>
      </c>
      <c r="N4769" s="235" t="s">
        <v>136</v>
      </c>
      <c r="O4769" s="235" t="s">
        <v>256</v>
      </c>
      <c r="P4769" s="238">
        <v>1.0</v>
      </c>
      <c r="Q4769" s="235" t="s">
        <v>627</v>
      </c>
      <c r="R4769" s="238">
        <v>244.76</v>
      </c>
      <c r="S4769" s="238">
        <v>12.24</v>
      </c>
      <c r="T4769" s="238">
        <v>0.0</v>
      </c>
      <c r="U4769" s="238">
        <v>0.0</v>
      </c>
      <c r="V4769" s="238">
        <v>0.0</v>
      </c>
      <c r="W4769" s="238">
        <v>0.0</v>
      </c>
      <c r="X4769" s="235" t="s">
        <v>628</v>
      </c>
      <c r="Z4769" s="245"/>
      <c r="AA4769" s="245"/>
      <c r="AB4769" s="245"/>
      <c r="AC4769" s="235" t="s">
        <v>1887</v>
      </c>
      <c r="AD4769" s="235" t="s">
        <v>679</v>
      </c>
      <c r="AE4769" s="238">
        <v>560043.0</v>
      </c>
      <c r="AF4769" s="235" t="s">
        <v>631</v>
      </c>
      <c r="AG4769" s="245"/>
      <c r="AH4769" s="245"/>
      <c r="AI4769" s="245"/>
      <c r="AJ4769" s="245"/>
      <c r="AK4769" s="245"/>
      <c r="AL4769" s="245"/>
      <c r="AM4769" s="245"/>
      <c r="AN4769" s="245"/>
      <c r="AO4769" s="238">
        <v>0.0</v>
      </c>
      <c r="AP4769" s="238">
        <v>0.0</v>
      </c>
      <c r="AQ4769" s="235" t="s">
        <v>632</v>
      </c>
      <c r="AR4769" s="243">
        <v>1.68E11</v>
      </c>
      <c r="AS4769" s="235" t="s">
        <v>34913</v>
      </c>
      <c r="AT4769" s="235" t="s">
        <v>9</v>
      </c>
      <c r="AU4769" s="235" t="s">
        <v>634</v>
      </c>
      <c r="AV4769" s="246" t="s">
        <v>635</v>
      </c>
      <c r="AW4769" s="227"/>
      <c r="AX4769" s="227"/>
      <c r="AY4769" s="227"/>
      <c r="AZ4769" s="227"/>
      <c r="BA4769" s="227"/>
      <c r="BB4769" s="227"/>
      <c r="BC4769" s="227"/>
      <c r="BD4769" s="227"/>
      <c r="BE4769" s="227"/>
      <c r="BF4769" s="227"/>
    </row>
    <row r="4770">
      <c r="A4770" s="235" t="s">
        <v>35273</v>
      </c>
      <c r="C4770" s="235" t="s">
        <v>35274</v>
      </c>
      <c r="D4770" s="235" t="s">
        <v>35275</v>
      </c>
      <c r="E4770" s="243">
        <v>6.5E13</v>
      </c>
      <c r="F4770" s="245"/>
      <c r="G4770" s="235" t="s">
        <v>35276</v>
      </c>
      <c r="H4770" s="235" t="s">
        <v>35277</v>
      </c>
      <c r="I4770" s="235" t="s">
        <v>35278</v>
      </c>
      <c r="J4770" s="235" t="s">
        <v>35279</v>
      </c>
      <c r="K4770" s="235" t="s">
        <v>35280</v>
      </c>
      <c r="N4770" s="235" t="s">
        <v>136</v>
      </c>
      <c r="O4770" s="235" t="s">
        <v>256</v>
      </c>
      <c r="P4770" s="238">
        <v>1.0</v>
      </c>
      <c r="Q4770" s="235" t="s">
        <v>627</v>
      </c>
      <c r="R4770" s="238">
        <v>244.76</v>
      </c>
      <c r="S4770" s="238">
        <v>12.0</v>
      </c>
      <c r="T4770" s="238">
        <v>38.1</v>
      </c>
      <c r="U4770" s="238">
        <v>1.9</v>
      </c>
      <c r="V4770" s="238">
        <v>0.0</v>
      </c>
      <c r="W4770" s="238">
        <v>0.0</v>
      </c>
      <c r="X4770" s="235" t="s">
        <v>628</v>
      </c>
      <c r="Z4770" s="245"/>
      <c r="AA4770" s="245"/>
      <c r="AB4770" s="245"/>
      <c r="AC4770" s="235" t="s">
        <v>35281</v>
      </c>
      <c r="AD4770" s="235" t="s">
        <v>1086</v>
      </c>
      <c r="AE4770" s="238">
        <v>144401.0</v>
      </c>
      <c r="AF4770" s="235" t="s">
        <v>631</v>
      </c>
      <c r="AG4770" s="245"/>
      <c r="AH4770" s="245"/>
      <c r="AI4770" s="245"/>
      <c r="AJ4770" s="245"/>
      <c r="AK4770" s="245"/>
      <c r="AL4770" s="245"/>
      <c r="AM4770" s="245"/>
      <c r="AN4770" s="245"/>
      <c r="AO4770" s="238">
        <v>-4.9</v>
      </c>
      <c r="AP4770" s="238">
        <v>-38.1</v>
      </c>
      <c r="AQ4770" s="235" t="s">
        <v>632</v>
      </c>
      <c r="AR4770" s="243">
        <v>3.71E11</v>
      </c>
      <c r="AS4770" s="235" t="s">
        <v>33466</v>
      </c>
      <c r="AT4770" s="235" t="s">
        <v>14</v>
      </c>
      <c r="AU4770" s="235" t="s">
        <v>634</v>
      </c>
      <c r="AV4770" s="246" t="s">
        <v>635</v>
      </c>
      <c r="AW4770" s="227"/>
      <c r="AX4770" s="227"/>
      <c r="AY4770" s="227"/>
      <c r="AZ4770" s="227"/>
      <c r="BA4770" s="227"/>
      <c r="BB4770" s="227"/>
      <c r="BC4770" s="227"/>
      <c r="BD4770" s="227"/>
      <c r="BE4770" s="227"/>
      <c r="BF4770" s="227"/>
    </row>
    <row r="4771">
      <c r="A4771" s="235" t="s">
        <v>35282</v>
      </c>
      <c r="C4771" s="235" t="s">
        <v>35283</v>
      </c>
      <c r="D4771" s="235" t="s">
        <v>35284</v>
      </c>
      <c r="E4771" s="243">
        <v>6.5E13</v>
      </c>
      <c r="F4771" s="245"/>
      <c r="G4771" s="235" t="s">
        <v>35285</v>
      </c>
      <c r="H4771" s="235" t="s">
        <v>35286</v>
      </c>
      <c r="I4771" s="235" t="s">
        <v>35286</v>
      </c>
      <c r="J4771" s="235" t="s">
        <v>35287</v>
      </c>
      <c r="K4771" s="235" t="s">
        <v>35288</v>
      </c>
      <c r="N4771" s="235" t="s">
        <v>541</v>
      </c>
      <c r="O4771" s="235" t="s">
        <v>664</v>
      </c>
      <c r="P4771" s="238">
        <v>1.0</v>
      </c>
      <c r="Q4771" s="235" t="s">
        <v>627</v>
      </c>
      <c r="R4771" s="238">
        <v>659.32</v>
      </c>
      <c r="S4771" s="238">
        <v>115.12</v>
      </c>
      <c r="T4771" s="238">
        <v>0.0</v>
      </c>
      <c r="U4771" s="238">
        <v>0.0</v>
      </c>
      <c r="V4771" s="238">
        <v>0.0</v>
      </c>
      <c r="W4771" s="238">
        <v>0.0</v>
      </c>
      <c r="X4771" s="235" t="s">
        <v>628</v>
      </c>
      <c r="Z4771" s="245"/>
      <c r="AA4771" s="245"/>
      <c r="AB4771" s="245"/>
      <c r="AC4771" s="235" t="s">
        <v>17169</v>
      </c>
      <c r="AD4771" s="235" t="s">
        <v>2067</v>
      </c>
      <c r="AE4771" s="238">
        <v>834001.0</v>
      </c>
      <c r="AF4771" s="235" t="s">
        <v>631</v>
      </c>
      <c r="AG4771" s="245"/>
      <c r="AH4771" s="245"/>
      <c r="AI4771" s="245"/>
      <c r="AJ4771" s="245"/>
      <c r="AK4771" s="245"/>
      <c r="AL4771" s="245"/>
      <c r="AM4771" s="245"/>
      <c r="AN4771" s="245"/>
      <c r="AO4771" s="238">
        <v>-19.78</v>
      </c>
      <c r="AP4771" s="238">
        <v>0.0</v>
      </c>
      <c r="AQ4771" s="235" t="s">
        <v>632</v>
      </c>
      <c r="AR4771" s="243">
        <v>2.02E11</v>
      </c>
      <c r="AS4771" s="235" t="s">
        <v>34510</v>
      </c>
      <c r="AT4771" s="235" t="s">
        <v>11</v>
      </c>
      <c r="AU4771" s="235" t="s">
        <v>634</v>
      </c>
      <c r="AV4771" s="246" t="s">
        <v>635</v>
      </c>
      <c r="AW4771" s="227"/>
      <c r="AX4771" s="227"/>
      <c r="AY4771" s="227"/>
      <c r="AZ4771" s="227"/>
      <c r="BA4771" s="227"/>
      <c r="BB4771" s="227"/>
      <c r="BC4771" s="227"/>
      <c r="BD4771" s="227"/>
      <c r="BE4771" s="227"/>
      <c r="BF4771" s="227"/>
    </row>
    <row r="4772">
      <c r="A4772" s="235" t="s">
        <v>35282</v>
      </c>
      <c r="C4772" s="235" t="s">
        <v>35283</v>
      </c>
      <c r="D4772" s="235" t="s">
        <v>35289</v>
      </c>
      <c r="E4772" s="243">
        <v>6.5E13</v>
      </c>
      <c r="F4772" s="245"/>
      <c r="G4772" s="235" t="s">
        <v>35285</v>
      </c>
      <c r="H4772" s="235" t="s">
        <v>35286</v>
      </c>
      <c r="I4772" s="235" t="s">
        <v>35286</v>
      </c>
      <c r="J4772" s="235" t="s">
        <v>35287</v>
      </c>
      <c r="K4772" s="235" t="s">
        <v>35288</v>
      </c>
      <c r="N4772" s="235" t="s">
        <v>541</v>
      </c>
      <c r="O4772" s="235" t="s">
        <v>664</v>
      </c>
      <c r="P4772" s="238">
        <v>1.0</v>
      </c>
      <c r="Q4772" s="235" t="s">
        <v>627</v>
      </c>
      <c r="R4772" s="238">
        <v>659.32</v>
      </c>
      <c r="S4772" s="238">
        <v>115.12</v>
      </c>
      <c r="T4772" s="238">
        <v>0.0</v>
      </c>
      <c r="U4772" s="238">
        <v>0.0</v>
      </c>
      <c r="V4772" s="238">
        <v>0.0</v>
      </c>
      <c r="W4772" s="238">
        <v>0.0</v>
      </c>
      <c r="X4772" s="235" t="s">
        <v>628</v>
      </c>
      <c r="Z4772" s="245"/>
      <c r="AA4772" s="245"/>
      <c r="AB4772" s="245"/>
      <c r="AC4772" s="235" t="s">
        <v>17169</v>
      </c>
      <c r="AD4772" s="235" t="s">
        <v>2067</v>
      </c>
      <c r="AE4772" s="238">
        <v>834001.0</v>
      </c>
      <c r="AF4772" s="235" t="s">
        <v>631</v>
      </c>
      <c r="AG4772" s="245"/>
      <c r="AH4772" s="245"/>
      <c r="AI4772" s="245"/>
      <c r="AJ4772" s="245"/>
      <c r="AK4772" s="245"/>
      <c r="AL4772" s="245"/>
      <c r="AM4772" s="245"/>
      <c r="AN4772" s="245"/>
      <c r="AO4772" s="238">
        <v>-19.78</v>
      </c>
      <c r="AP4772" s="238">
        <v>0.0</v>
      </c>
      <c r="AQ4772" s="235" t="s">
        <v>632</v>
      </c>
      <c r="AR4772" s="243">
        <v>2.02E11</v>
      </c>
      <c r="AS4772" s="235" t="s">
        <v>34510</v>
      </c>
      <c r="AT4772" s="235" t="s">
        <v>11</v>
      </c>
      <c r="AU4772" s="235" t="s">
        <v>634</v>
      </c>
      <c r="AV4772" s="246" t="s">
        <v>635</v>
      </c>
      <c r="AW4772" s="227"/>
      <c r="AX4772" s="227"/>
      <c r="AY4772" s="227"/>
      <c r="AZ4772" s="227"/>
      <c r="BA4772" s="227"/>
      <c r="BB4772" s="227"/>
      <c r="BC4772" s="227"/>
      <c r="BD4772" s="227"/>
      <c r="BE4772" s="227"/>
      <c r="BF4772" s="227"/>
    </row>
    <row r="4773">
      <c r="A4773" s="235" t="s">
        <v>35290</v>
      </c>
      <c r="C4773" s="235" t="s">
        <v>35291</v>
      </c>
      <c r="D4773" s="235" t="s">
        <v>35292</v>
      </c>
      <c r="E4773" s="243">
        <v>6.5E13</v>
      </c>
      <c r="F4773" s="245"/>
      <c r="G4773" s="235" t="s">
        <v>35293</v>
      </c>
      <c r="H4773" s="235" t="s">
        <v>35294</v>
      </c>
      <c r="I4773" s="235" t="s">
        <v>35294</v>
      </c>
      <c r="J4773" s="235" t="s">
        <v>35295</v>
      </c>
      <c r="K4773" s="235" t="s">
        <v>35296</v>
      </c>
      <c r="N4773" s="235" t="s">
        <v>136</v>
      </c>
      <c r="O4773" s="235" t="s">
        <v>256</v>
      </c>
      <c r="P4773" s="238">
        <v>1.0</v>
      </c>
      <c r="Q4773" s="235" t="s">
        <v>627</v>
      </c>
      <c r="R4773" s="238">
        <v>244.76</v>
      </c>
      <c r="S4773" s="238">
        <v>12.0</v>
      </c>
      <c r="T4773" s="238">
        <v>0.0</v>
      </c>
      <c r="U4773" s="238">
        <v>0.0</v>
      </c>
      <c r="V4773" s="238">
        <v>0.0</v>
      </c>
      <c r="W4773" s="238">
        <v>0.0</v>
      </c>
      <c r="X4773" s="235" t="s">
        <v>628</v>
      </c>
      <c r="Z4773" s="245"/>
      <c r="AA4773" s="245"/>
      <c r="AB4773" s="245"/>
      <c r="AC4773" s="235" t="s">
        <v>697</v>
      </c>
      <c r="AD4773" s="235" t="s">
        <v>698</v>
      </c>
      <c r="AE4773" s="238">
        <v>500005.0</v>
      </c>
      <c r="AF4773" s="235" t="s">
        <v>631</v>
      </c>
      <c r="AG4773" s="245"/>
      <c r="AH4773" s="245"/>
      <c r="AI4773" s="245"/>
      <c r="AJ4773" s="245"/>
      <c r="AK4773" s="245"/>
      <c r="AL4773" s="245"/>
      <c r="AM4773" s="245"/>
      <c r="AN4773" s="245"/>
      <c r="AO4773" s="238">
        <v>-4.9</v>
      </c>
      <c r="AP4773" s="238">
        <v>0.0</v>
      </c>
      <c r="AQ4773" s="235" t="s">
        <v>632</v>
      </c>
      <c r="AR4773" s="243">
        <v>2.02E11</v>
      </c>
      <c r="AS4773" s="235" t="s">
        <v>34510</v>
      </c>
      <c r="AT4773" s="235" t="s">
        <v>546</v>
      </c>
      <c r="AU4773" s="235" t="s">
        <v>634</v>
      </c>
      <c r="AV4773" s="246" t="s">
        <v>635</v>
      </c>
      <c r="AW4773" s="227"/>
      <c r="AX4773" s="227"/>
      <c r="AY4773" s="227"/>
      <c r="AZ4773" s="227"/>
      <c r="BA4773" s="227"/>
      <c r="BB4773" s="227"/>
      <c r="BC4773" s="227"/>
      <c r="BD4773" s="227"/>
      <c r="BE4773" s="227"/>
      <c r="BF4773" s="227"/>
    </row>
    <row r="4774">
      <c r="A4774" s="235" t="s">
        <v>35297</v>
      </c>
      <c r="C4774" s="235" t="s">
        <v>35298</v>
      </c>
      <c r="D4774" s="235" t="s">
        <v>35299</v>
      </c>
      <c r="E4774" s="243">
        <v>6.5E13</v>
      </c>
      <c r="F4774" s="245"/>
      <c r="G4774" s="235" t="s">
        <v>35300</v>
      </c>
      <c r="H4774" s="235" t="s">
        <v>35301</v>
      </c>
      <c r="I4774" s="235" t="s">
        <v>35301</v>
      </c>
      <c r="J4774" s="235" t="s">
        <v>35302</v>
      </c>
      <c r="K4774" s="235" t="s">
        <v>35303</v>
      </c>
      <c r="N4774" s="235" t="s">
        <v>144</v>
      </c>
      <c r="O4774" s="235" t="s">
        <v>232</v>
      </c>
      <c r="P4774" s="238">
        <v>1.0</v>
      </c>
      <c r="Q4774" s="235" t="s">
        <v>627</v>
      </c>
      <c r="R4774" s="238">
        <v>665.72</v>
      </c>
      <c r="S4774" s="238">
        <v>33.28</v>
      </c>
      <c r="T4774" s="238">
        <v>0.0</v>
      </c>
      <c r="U4774" s="238">
        <v>0.0</v>
      </c>
      <c r="V4774" s="238">
        <v>0.0</v>
      </c>
      <c r="W4774" s="238">
        <v>0.0</v>
      </c>
      <c r="X4774" s="235" t="s">
        <v>628</v>
      </c>
      <c r="Z4774" s="245"/>
      <c r="AA4774" s="245"/>
      <c r="AB4774" s="245"/>
      <c r="AC4774" s="235" t="s">
        <v>687</v>
      </c>
      <c r="AD4774" s="235" t="s">
        <v>666</v>
      </c>
      <c r="AE4774" s="238">
        <v>600041.0</v>
      </c>
      <c r="AF4774" s="235" t="s">
        <v>631</v>
      </c>
      <c r="AG4774" s="245"/>
      <c r="AH4774" s="245"/>
      <c r="AI4774" s="245"/>
      <c r="AJ4774" s="245"/>
      <c r="AK4774" s="245"/>
      <c r="AL4774" s="245"/>
      <c r="AM4774" s="245"/>
      <c r="AN4774" s="245"/>
      <c r="AO4774" s="238">
        <v>0.0</v>
      </c>
      <c r="AP4774" s="238">
        <v>0.0</v>
      </c>
      <c r="AQ4774" s="235" t="s">
        <v>632</v>
      </c>
      <c r="AR4774" s="243">
        <v>1.68E11</v>
      </c>
      <c r="AS4774" s="235" t="s">
        <v>34913</v>
      </c>
      <c r="AT4774" s="235" t="s">
        <v>156</v>
      </c>
      <c r="AU4774" s="235" t="s">
        <v>634</v>
      </c>
      <c r="AV4774" s="246" t="s">
        <v>635</v>
      </c>
      <c r="AW4774" s="227"/>
      <c r="AX4774" s="227"/>
      <c r="AY4774" s="227"/>
      <c r="AZ4774" s="227"/>
      <c r="BA4774" s="227"/>
      <c r="BB4774" s="227"/>
      <c r="BC4774" s="227"/>
      <c r="BD4774" s="227"/>
      <c r="BE4774" s="227"/>
      <c r="BF4774" s="227"/>
    </row>
    <row r="4775">
      <c r="A4775" s="235" t="s">
        <v>35304</v>
      </c>
      <c r="C4775" s="235" t="s">
        <v>35305</v>
      </c>
      <c r="D4775" s="235" t="s">
        <v>35306</v>
      </c>
      <c r="E4775" s="243">
        <v>6.5E13</v>
      </c>
      <c r="F4775" s="245"/>
      <c r="G4775" s="235" t="s">
        <v>35307</v>
      </c>
      <c r="H4775" s="235" t="s">
        <v>35308</v>
      </c>
      <c r="I4775" s="235" t="s">
        <v>35309</v>
      </c>
      <c r="J4775" s="235" t="s">
        <v>35310</v>
      </c>
      <c r="K4775" s="235" t="s">
        <v>35311</v>
      </c>
      <c r="N4775" s="235" t="s">
        <v>42</v>
      </c>
      <c r="O4775" s="235" t="s">
        <v>204</v>
      </c>
      <c r="P4775" s="238">
        <v>1.0</v>
      </c>
      <c r="Q4775" s="235" t="s">
        <v>627</v>
      </c>
      <c r="R4775" s="238">
        <v>237.14</v>
      </c>
      <c r="S4775" s="238">
        <v>11.86</v>
      </c>
      <c r="T4775" s="238">
        <v>0.0</v>
      </c>
      <c r="U4775" s="238">
        <v>0.0</v>
      </c>
      <c r="V4775" s="238">
        <v>0.0</v>
      </c>
      <c r="W4775" s="238">
        <v>0.0</v>
      </c>
      <c r="X4775" s="235" t="s">
        <v>628</v>
      </c>
      <c r="Z4775" s="245"/>
      <c r="AA4775" s="245"/>
      <c r="AB4775" s="245"/>
      <c r="AC4775" s="235" t="s">
        <v>35312</v>
      </c>
      <c r="AD4775" s="235" t="s">
        <v>666</v>
      </c>
      <c r="AE4775" s="238">
        <v>603112.0</v>
      </c>
      <c r="AF4775" s="235" t="s">
        <v>631</v>
      </c>
      <c r="AG4775" s="245"/>
      <c r="AH4775" s="245"/>
      <c r="AI4775" s="245"/>
      <c r="AJ4775" s="245"/>
      <c r="AK4775" s="245"/>
      <c r="AL4775" s="245"/>
      <c r="AM4775" s="245"/>
      <c r="AN4775" s="245"/>
      <c r="AO4775" s="238">
        <v>0.0</v>
      </c>
      <c r="AP4775" s="238">
        <v>0.0</v>
      </c>
      <c r="AQ4775" s="235" t="s">
        <v>632</v>
      </c>
      <c r="AR4775" s="243">
        <v>3.71E11</v>
      </c>
      <c r="AS4775" s="235" t="s">
        <v>34510</v>
      </c>
      <c r="AT4775" s="235" t="s">
        <v>156</v>
      </c>
      <c r="AU4775" s="235" t="s">
        <v>634</v>
      </c>
      <c r="AV4775" s="246" t="s">
        <v>635</v>
      </c>
      <c r="AW4775" s="227"/>
      <c r="AX4775" s="227"/>
      <c r="AY4775" s="227"/>
      <c r="AZ4775" s="227"/>
      <c r="BA4775" s="227"/>
      <c r="BB4775" s="227"/>
      <c r="BC4775" s="227"/>
      <c r="BD4775" s="227"/>
      <c r="BE4775" s="227"/>
      <c r="BF4775" s="227"/>
    </row>
    <row r="4776">
      <c r="A4776" s="235" t="s">
        <v>35313</v>
      </c>
      <c r="C4776" s="235" t="s">
        <v>35314</v>
      </c>
      <c r="D4776" s="235" t="s">
        <v>35315</v>
      </c>
      <c r="E4776" s="243">
        <v>6.5E13</v>
      </c>
      <c r="F4776" s="245"/>
      <c r="G4776" s="235" t="s">
        <v>35316</v>
      </c>
      <c r="H4776" s="235" t="s">
        <v>35317</v>
      </c>
      <c r="I4776" s="235" t="s">
        <v>35317</v>
      </c>
      <c r="J4776" s="235" t="s">
        <v>35318</v>
      </c>
      <c r="K4776" s="235" t="s">
        <v>35319</v>
      </c>
      <c r="N4776" s="235" t="s">
        <v>42</v>
      </c>
      <c r="O4776" s="235" t="s">
        <v>204</v>
      </c>
      <c r="P4776" s="238">
        <v>1.0</v>
      </c>
      <c r="Q4776" s="235" t="s">
        <v>627</v>
      </c>
      <c r="R4776" s="238">
        <v>237.14</v>
      </c>
      <c r="S4776" s="238">
        <v>11.62</v>
      </c>
      <c r="T4776" s="238">
        <v>38.1</v>
      </c>
      <c r="U4776" s="238">
        <v>1.9</v>
      </c>
      <c r="V4776" s="238">
        <v>0.0</v>
      </c>
      <c r="W4776" s="238">
        <v>0.0</v>
      </c>
      <c r="X4776" s="235" t="s">
        <v>628</v>
      </c>
      <c r="Z4776" s="245"/>
      <c r="AA4776" s="245"/>
      <c r="AB4776" s="245"/>
      <c r="AC4776" s="235" t="s">
        <v>1320</v>
      </c>
      <c r="AD4776" s="235" t="s">
        <v>666</v>
      </c>
      <c r="AE4776" s="238">
        <v>600028.0</v>
      </c>
      <c r="AF4776" s="235" t="s">
        <v>631</v>
      </c>
      <c r="AG4776" s="245"/>
      <c r="AH4776" s="245"/>
      <c r="AI4776" s="245"/>
      <c r="AJ4776" s="245"/>
      <c r="AK4776" s="245"/>
      <c r="AL4776" s="245"/>
      <c r="AM4776" s="245"/>
      <c r="AN4776" s="245"/>
      <c r="AO4776" s="238">
        <v>-4.74</v>
      </c>
      <c r="AP4776" s="238">
        <v>-38.1</v>
      </c>
      <c r="AQ4776" s="235" t="s">
        <v>632</v>
      </c>
      <c r="AR4776" s="243">
        <v>3.71E11</v>
      </c>
      <c r="AS4776" s="235" t="s">
        <v>33466</v>
      </c>
      <c r="AT4776" s="235" t="s">
        <v>11</v>
      </c>
      <c r="AU4776" s="235" t="s">
        <v>634</v>
      </c>
      <c r="AV4776" s="246" t="s">
        <v>635</v>
      </c>
      <c r="AW4776" s="227"/>
      <c r="AX4776" s="227"/>
      <c r="AY4776" s="227"/>
      <c r="AZ4776" s="227"/>
      <c r="BA4776" s="227"/>
      <c r="BB4776" s="227"/>
      <c r="BC4776" s="227"/>
      <c r="BD4776" s="227"/>
      <c r="BE4776" s="227"/>
      <c r="BF4776" s="227"/>
    </row>
    <row r="4777">
      <c r="A4777" s="235" t="s">
        <v>35320</v>
      </c>
      <c r="C4777" s="235" t="s">
        <v>35321</v>
      </c>
      <c r="D4777" s="235" t="s">
        <v>35322</v>
      </c>
      <c r="E4777" s="243">
        <v>6.5E13</v>
      </c>
      <c r="F4777" s="245"/>
      <c r="G4777" s="235" t="s">
        <v>35323</v>
      </c>
      <c r="H4777" s="235" t="s">
        <v>35324</v>
      </c>
      <c r="I4777" s="235" t="s">
        <v>35324</v>
      </c>
      <c r="J4777" s="235" t="s">
        <v>35325</v>
      </c>
      <c r="K4777" s="235" t="s">
        <v>35326</v>
      </c>
      <c r="N4777" s="235" t="s">
        <v>130</v>
      </c>
      <c r="O4777" s="235" t="s">
        <v>707</v>
      </c>
      <c r="P4777" s="238">
        <v>1.0</v>
      </c>
      <c r="Q4777" s="235" t="s">
        <v>627</v>
      </c>
      <c r="R4777" s="238">
        <v>243.81</v>
      </c>
      <c r="S4777" s="238">
        <v>11.95</v>
      </c>
      <c r="T4777" s="238">
        <v>0.0</v>
      </c>
      <c r="U4777" s="238">
        <v>0.0</v>
      </c>
      <c r="V4777" s="238">
        <v>0.0</v>
      </c>
      <c r="W4777" s="238">
        <v>0.0</v>
      </c>
      <c r="X4777" s="235" t="s">
        <v>628</v>
      </c>
      <c r="Z4777" s="245"/>
      <c r="AA4777" s="245"/>
      <c r="AB4777" s="245"/>
      <c r="AC4777" s="235" t="s">
        <v>697</v>
      </c>
      <c r="AD4777" s="235" t="s">
        <v>698</v>
      </c>
      <c r="AE4777" s="238">
        <v>500075.0</v>
      </c>
      <c r="AF4777" s="235" t="s">
        <v>631</v>
      </c>
      <c r="AG4777" s="245"/>
      <c r="AH4777" s="245"/>
      <c r="AI4777" s="245"/>
      <c r="AJ4777" s="245"/>
      <c r="AK4777" s="245"/>
      <c r="AL4777" s="245"/>
      <c r="AM4777" s="245"/>
      <c r="AN4777" s="245"/>
      <c r="AO4777" s="238">
        <v>-4.88</v>
      </c>
      <c r="AP4777" s="238">
        <v>0.0</v>
      </c>
      <c r="AQ4777" s="235" t="s">
        <v>632</v>
      </c>
      <c r="AR4777" s="243">
        <v>3.71E11</v>
      </c>
      <c r="AS4777" s="235" t="s">
        <v>33466</v>
      </c>
      <c r="AT4777" s="235" t="s">
        <v>546</v>
      </c>
      <c r="AU4777" s="235" t="s">
        <v>634</v>
      </c>
      <c r="AV4777" s="246" t="s">
        <v>635</v>
      </c>
      <c r="AW4777" s="227"/>
      <c r="AX4777" s="227"/>
      <c r="AY4777" s="227"/>
      <c r="AZ4777" s="227"/>
      <c r="BA4777" s="227"/>
      <c r="BB4777" s="227"/>
      <c r="BC4777" s="227"/>
      <c r="BD4777" s="227"/>
      <c r="BE4777" s="227"/>
      <c r="BF4777" s="227"/>
    </row>
    <row r="4778">
      <c r="A4778" s="235" t="s">
        <v>35327</v>
      </c>
      <c r="C4778" s="235" t="s">
        <v>35328</v>
      </c>
      <c r="D4778" s="235" t="s">
        <v>35329</v>
      </c>
      <c r="E4778" s="243">
        <v>6.5E13</v>
      </c>
      <c r="F4778" s="245"/>
      <c r="G4778" s="235" t="s">
        <v>35330</v>
      </c>
      <c r="H4778" s="235" t="s">
        <v>35331</v>
      </c>
      <c r="I4778" s="235" t="s">
        <v>35331</v>
      </c>
      <c r="J4778" s="235" t="s">
        <v>35332</v>
      </c>
      <c r="K4778" s="235" t="s">
        <v>35333</v>
      </c>
      <c r="N4778" s="235" t="s">
        <v>144</v>
      </c>
      <c r="O4778" s="235" t="s">
        <v>232</v>
      </c>
      <c r="P4778" s="238">
        <v>1.0</v>
      </c>
      <c r="Q4778" s="235" t="s">
        <v>627</v>
      </c>
      <c r="R4778" s="238">
        <v>665.72</v>
      </c>
      <c r="S4778" s="238">
        <v>32.28</v>
      </c>
      <c r="T4778" s="238">
        <v>0.0</v>
      </c>
      <c r="U4778" s="238">
        <v>0.0</v>
      </c>
      <c r="V4778" s="238">
        <v>0.0</v>
      </c>
      <c r="W4778" s="238">
        <v>0.0</v>
      </c>
      <c r="X4778" s="235" t="s">
        <v>628</v>
      </c>
      <c r="Z4778" s="245"/>
      <c r="AA4778" s="245"/>
      <c r="AB4778" s="245"/>
      <c r="AC4778" s="235" t="s">
        <v>678</v>
      </c>
      <c r="AD4778" s="235" t="s">
        <v>679</v>
      </c>
      <c r="AE4778" s="238">
        <v>560035.0</v>
      </c>
      <c r="AF4778" s="235" t="s">
        <v>631</v>
      </c>
      <c r="AG4778" s="245"/>
      <c r="AH4778" s="245"/>
      <c r="AI4778" s="245"/>
      <c r="AJ4778" s="245"/>
      <c r="AK4778" s="245"/>
      <c r="AL4778" s="245"/>
      <c r="AM4778" s="245"/>
      <c r="AN4778" s="245"/>
      <c r="AO4778" s="238">
        <v>-19.97</v>
      </c>
      <c r="AP4778" s="238">
        <v>0.0</v>
      </c>
      <c r="AQ4778" s="235" t="s">
        <v>632</v>
      </c>
      <c r="AR4778" s="243">
        <v>1.68E11</v>
      </c>
      <c r="AS4778" s="235" t="s">
        <v>34913</v>
      </c>
      <c r="AT4778" s="235" t="s">
        <v>9</v>
      </c>
      <c r="AU4778" s="235" t="s">
        <v>634</v>
      </c>
      <c r="AV4778" s="246" t="s">
        <v>635</v>
      </c>
      <c r="AW4778" s="227"/>
      <c r="AX4778" s="227"/>
      <c r="AY4778" s="227"/>
      <c r="AZ4778" s="227"/>
      <c r="BA4778" s="227"/>
      <c r="BB4778" s="227"/>
      <c r="BC4778" s="227"/>
      <c r="BD4778" s="227"/>
      <c r="BE4778" s="227"/>
      <c r="BF4778" s="227"/>
    </row>
    <row r="4779">
      <c r="A4779" s="235" t="s">
        <v>35327</v>
      </c>
      <c r="C4779" s="235" t="s">
        <v>35328</v>
      </c>
      <c r="D4779" s="235" t="s">
        <v>35334</v>
      </c>
      <c r="E4779" s="243">
        <v>6.5E13</v>
      </c>
      <c r="F4779" s="245"/>
      <c r="G4779" s="235" t="s">
        <v>35330</v>
      </c>
      <c r="H4779" s="235" t="s">
        <v>35331</v>
      </c>
      <c r="I4779" s="235" t="s">
        <v>35331</v>
      </c>
      <c r="J4779" s="235" t="s">
        <v>35332</v>
      </c>
      <c r="K4779" s="235" t="s">
        <v>35333</v>
      </c>
      <c r="N4779" s="235" t="s">
        <v>144</v>
      </c>
      <c r="O4779" s="235" t="s">
        <v>232</v>
      </c>
      <c r="P4779" s="238">
        <v>1.0</v>
      </c>
      <c r="Q4779" s="235" t="s">
        <v>627</v>
      </c>
      <c r="R4779" s="238">
        <v>665.72</v>
      </c>
      <c r="S4779" s="238">
        <v>32.28</v>
      </c>
      <c r="T4779" s="238">
        <v>0.0</v>
      </c>
      <c r="U4779" s="238">
        <v>0.0</v>
      </c>
      <c r="V4779" s="238">
        <v>0.0</v>
      </c>
      <c r="W4779" s="238">
        <v>0.0</v>
      </c>
      <c r="X4779" s="235" t="s">
        <v>628</v>
      </c>
      <c r="Z4779" s="245"/>
      <c r="AA4779" s="245"/>
      <c r="AB4779" s="245"/>
      <c r="AC4779" s="235" t="s">
        <v>678</v>
      </c>
      <c r="AD4779" s="235" t="s">
        <v>679</v>
      </c>
      <c r="AE4779" s="238">
        <v>560035.0</v>
      </c>
      <c r="AF4779" s="235" t="s">
        <v>631</v>
      </c>
      <c r="AG4779" s="245"/>
      <c r="AH4779" s="245"/>
      <c r="AI4779" s="245"/>
      <c r="AJ4779" s="245"/>
      <c r="AK4779" s="245"/>
      <c r="AL4779" s="245"/>
      <c r="AM4779" s="245"/>
      <c r="AN4779" s="245"/>
      <c r="AO4779" s="238">
        <v>-19.97</v>
      </c>
      <c r="AP4779" s="238">
        <v>0.0</v>
      </c>
      <c r="AQ4779" s="235" t="s">
        <v>632</v>
      </c>
      <c r="AR4779" s="243">
        <v>1.68E11</v>
      </c>
      <c r="AS4779" s="235" t="s">
        <v>34913</v>
      </c>
      <c r="AT4779" s="235" t="s">
        <v>9</v>
      </c>
      <c r="AU4779" s="235" t="s">
        <v>634</v>
      </c>
      <c r="AV4779" s="246" t="s">
        <v>635</v>
      </c>
      <c r="AW4779" s="227"/>
      <c r="AX4779" s="227"/>
      <c r="AY4779" s="227"/>
      <c r="AZ4779" s="227"/>
      <c r="BA4779" s="227"/>
      <c r="BB4779" s="227"/>
      <c r="BC4779" s="227"/>
      <c r="BD4779" s="227"/>
      <c r="BE4779" s="227"/>
      <c r="BF4779" s="227"/>
    </row>
    <row r="4780">
      <c r="A4780" s="235" t="s">
        <v>35335</v>
      </c>
      <c r="C4780" s="235" t="s">
        <v>35336</v>
      </c>
      <c r="D4780" s="235" t="s">
        <v>35337</v>
      </c>
      <c r="E4780" s="243">
        <v>6.5E13</v>
      </c>
      <c r="F4780" s="245"/>
      <c r="G4780" s="235" t="s">
        <v>35338</v>
      </c>
      <c r="H4780" s="235" t="s">
        <v>35339</v>
      </c>
      <c r="I4780" s="235" t="s">
        <v>35339</v>
      </c>
      <c r="J4780" s="235" t="s">
        <v>35340</v>
      </c>
      <c r="K4780" s="235" t="s">
        <v>35341</v>
      </c>
      <c r="N4780" s="235" t="s">
        <v>145</v>
      </c>
      <c r="O4780" s="235" t="s">
        <v>370</v>
      </c>
      <c r="P4780" s="238">
        <v>1.0</v>
      </c>
      <c r="Q4780" s="235" t="s">
        <v>627</v>
      </c>
      <c r="R4780" s="238">
        <v>1522.86</v>
      </c>
      <c r="S4780" s="238">
        <v>76.14</v>
      </c>
      <c r="T4780" s="238">
        <v>0.0</v>
      </c>
      <c r="U4780" s="238">
        <v>0.0</v>
      </c>
      <c r="V4780" s="238">
        <v>0.0</v>
      </c>
      <c r="W4780" s="238">
        <v>0.0</v>
      </c>
      <c r="X4780" s="235" t="s">
        <v>628</v>
      </c>
      <c r="Z4780" s="245"/>
      <c r="AA4780" s="245"/>
      <c r="AB4780" s="245"/>
      <c r="AC4780" s="235" t="s">
        <v>35342</v>
      </c>
      <c r="AD4780" s="235" t="s">
        <v>845</v>
      </c>
      <c r="AE4780" s="238">
        <v>421201.0</v>
      </c>
      <c r="AF4780" s="235" t="s">
        <v>631</v>
      </c>
      <c r="AG4780" s="245"/>
      <c r="AH4780" s="245"/>
      <c r="AI4780" s="245"/>
      <c r="AJ4780" s="245"/>
      <c r="AK4780" s="245"/>
      <c r="AL4780" s="245"/>
      <c r="AM4780" s="245"/>
      <c r="AN4780" s="245"/>
      <c r="AO4780" s="238">
        <v>0.0</v>
      </c>
      <c r="AP4780" s="238">
        <v>0.0</v>
      </c>
      <c r="AQ4780" s="235" t="s">
        <v>632</v>
      </c>
      <c r="AR4780" s="243">
        <v>3.71E11</v>
      </c>
      <c r="AS4780" s="235" t="s">
        <v>34510</v>
      </c>
      <c r="AT4780" s="235" t="s">
        <v>16</v>
      </c>
      <c r="AU4780" s="235" t="s">
        <v>634</v>
      </c>
      <c r="AV4780" s="246" t="s">
        <v>635</v>
      </c>
      <c r="AW4780" s="227"/>
      <c r="AX4780" s="227"/>
      <c r="AY4780" s="227"/>
      <c r="AZ4780" s="227"/>
      <c r="BA4780" s="227"/>
      <c r="BB4780" s="227"/>
      <c r="BC4780" s="227"/>
      <c r="BD4780" s="227"/>
      <c r="BE4780" s="227"/>
      <c r="BF4780" s="227"/>
    </row>
    <row r="4781">
      <c r="A4781" s="235" t="s">
        <v>35343</v>
      </c>
      <c r="C4781" s="235" t="s">
        <v>35344</v>
      </c>
      <c r="D4781" s="235" t="s">
        <v>35345</v>
      </c>
      <c r="E4781" s="243">
        <v>6.5E13</v>
      </c>
      <c r="F4781" s="245"/>
      <c r="G4781" s="235" t="s">
        <v>35346</v>
      </c>
      <c r="H4781" s="235" t="s">
        <v>35347</v>
      </c>
      <c r="I4781" s="235" t="s">
        <v>35347</v>
      </c>
      <c r="J4781" s="235" t="s">
        <v>35348</v>
      </c>
      <c r="K4781" s="235" t="s">
        <v>35349</v>
      </c>
      <c r="N4781" s="235" t="s">
        <v>127</v>
      </c>
      <c r="O4781" s="235" t="s">
        <v>794</v>
      </c>
      <c r="P4781" s="238">
        <v>1.0</v>
      </c>
      <c r="Q4781" s="235" t="s">
        <v>627</v>
      </c>
      <c r="R4781" s="238">
        <v>243.8</v>
      </c>
      <c r="S4781" s="238">
        <v>12.2</v>
      </c>
      <c r="T4781" s="238">
        <v>0.0</v>
      </c>
      <c r="U4781" s="238">
        <v>0.0</v>
      </c>
      <c r="V4781" s="238">
        <v>0.0</v>
      </c>
      <c r="W4781" s="238">
        <v>0.0</v>
      </c>
      <c r="X4781" s="235" t="s">
        <v>628</v>
      </c>
      <c r="Z4781" s="245"/>
      <c r="AA4781" s="245"/>
      <c r="AB4781" s="245"/>
      <c r="AC4781" s="235" t="s">
        <v>3637</v>
      </c>
      <c r="AD4781" s="235" t="s">
        <v>679</v>
      </c>
      <c r="AE4781" s="238">
        <v>575020.0</v>
      </c>
      <c r="AF4781" s="235" t="s">
        <v>631</v>
      </c>
      <c r="AG4781" s="245"/>
      <c r="AH4781" s="245"/>
      <c r="AI4781" s="245"/>
      <c r="AJ4781" s="245"/>
      <c r="AK4781" s="245"/>
      <c r="AL4781" s="245"/>
      <c r="AM4781" s="245"/>
      <c r="AN4781" s="245"/>
      <c r="AO4781" s="238">
        <v>0.0</v>
      </c>
      <c r="AP4781" s="238">
        <v>0.0</v>
      </c>
      <c r="AQ4781" s="235" t="s">
        <v>632</v>
      </c>
      <c r="AR4781" s="243">
        <v>3.71E11</v>
      </c>
      <c r="AS4781" s="235" t="s">
        <v>34510</v>
      </c>
      <c r="AT4781" s="235" t="s">
        <v>9</v>
      </c>
      <c r="AU4781" s="235" t="s">
        <v>634</v>
      </c>
      <c r="AV4781" s="246" t="s">
        <v>635</v>
      </c>
      <c r="AW4781" s="227"/>
      <c r="AX4781" s="227"/>
      <c r="AY4781" s="227"/>
      <c r="AZ4781" s="227"/>
      <c r="BA4781" s="227"/>
      <c r="BB4781" s="227"/>
      <c r="BC4781" s="227"/>
      <c r="BD4781" s="227"/>
      <c r="BE4781" s="227"/>
      <c r="BF4781" s="227"/>
    </row>
    <row r="4782">
      <c r="A4782" s="235" t="s">
        <v>35350</v>
      </c>
      <c r="C4782" s="235" t="s">
        <v>35351</v>
      </c>
      <c r="D4782" s="235" t="s">
        <v>35352</v>
      </c>
      <c r="E4782" s="243">
        <v>6.5E13</v>
      </c>
      <c r="F4782" s="245"/>
      <c r="G4782" s="235" t="s">
        <v>35353</v>
      </c>
      <c r="H4782" s="235" t="s">
        <v>35354</v>
      </c>
      <c r="I4782" s="235" t="s">
        <v>35354</v>
      </c>
      <c r="J4782" s="235" t="s">
        <v>35355</v>
      </c>
      <c r="K4782" s="235" t="s">
        <v>35356</v>
      </c>
      <c r="N4782" s="235" t="s">
        <v>139</v>
      </c>
      <c r="O4782" s="235" t="s">
        <v>2091</v>
      </c>
      <c r="P4782" s="238">
        <v>1.0</v>
      </c>
      <c r="Q4782" s="235" t="s">
        <v>627</v>
      </c>
      <c r="R4782" s="238">
        <v>244.76</v>
      </c>
      <c r="S4782" s="238">
        <v>12.0</v>
      </c>
      <c r="T4782" s="238">
        <v>75.24</v>
      </c>
      <c r="U4782" s="238">
        <v>3.76</v>
      </c>
      <c r="V4782" s="238">
        <v>0.0</v>
      </c>
      <c r="W4782" s="238">
        <v>0.0</v>
      </c>
      <c r="X4782" s="235" t="s">
        <v>628</v>
      </c>
      <c r="Z4782" s="245"/>
      <c r="AA4782" s="245"/>
      <c r="AB4782" s="245"/>
      <c r="AC4782" s="235" t="s">
        <v>35357</v>
      </c>
      <c r="AD4782" s="235" t="s">
        <v>666</v>
      </c>
      <c r="AE4782" s="238">
        <v>638455.0</v>
      </c>
      <c r="AF4782" s="235" t="s">
        <v>631</v>
      </c>
      <c r="AG4782" s="245"/>
      <c r="AH4782" s="245"/>
      <c r="AI4782" s="245"/>
      <c r="AJ4782" s="245"/>
      <c r="AK4782" s="245"/>
      <c r="AL4782" s="245"/>
      <c r="AM4782" s="245"/>
      <c r="AN4782" s="245"/>
      <c r="AO4782" s="238">
        <v>-4.9</v>
      </c>
      <c r="AP4782" s="238">
        <v>-75.24</v>
      </c>
      <c r="AQ4782" s="235" t="s">
        <v>632</v>
      </c>
      <c r="AR4782" s="243">
        <v>3.71E11</v>
      </c>
      <c r="AS4782" s="235" t="s">
        <v>34510</v>
      </c>
      <c r="AT4782" s="235" t="s">
        <v>9</v>
      </c>
      <c r="AU4782" s="235" t="s">
        <v>634</v>
      </c>
      <c r="AV4782" s="246" t="s">
        <v>635</v>
      </c>
      <c r="AW4782" s="227"/>
      <c r="AX4782" s="227"/>
      <c r="AY4782" s="227"/>
      <c r="AZ4782" s="227"/>
      <c r="BA4782" s="227"/>
      <c r="BB4782" s="227"/>
      <c r="BC4782" s="227"/>
      <c r="BD4782" s="227"/>
      <c r="BE4782" s="227"/>
      <c r="BF4782" s="227"/>
    </row>
    <row r="4783">
      <c r="A4783" s="235" t="s">
        <v>35358</v>
      </c>
      <c r="C4783" s="235" t="s">
        <v>35359</v>
      </c>
      <c r="D4783" s="235" t="s">
        <v>35360</v>
      </c>
      <c r="E4783" s="243">
        <v>6.5E13</v>
      </c>
      <c r="F4783" s="245"/>
      <c r="G4783" s="235" t="s">
        <v>35361</v>
      </c>
      <c r="H4783" s="235" t="s">
        <v>35362</v>
      </c>
      <c r="I4783" s="235" t="s">
        <v>35362</v>
      </c>
      <c r="J4783" s="235" t="s">
        <v>35363</v>
      </c>
      <c r="K4783" s="235" t="s">
        <v>35364</v>
      </c>
      <c r="N4783" s="235" t="s">
        <v>40</v>
      </c>
      <c r="O4783" s="235" t="s">
        <v>327</v>
      </c>
      <c r="P4783" s="238">
        <v>1.0</v>
      </c>
      <c r="Q4783" s="235" t="s">
        <v>627</v>
      </c>
      <c r="R4783" s="238">
        <v>237.14</v>
      </c>
      <c r="S4783" s="238">
        <v>11.86</v>
      </c>
      <c r="T4783" s="238">
        <v>38.1</v>
      </c>
      <c r="U4783" s="238">
        <v>1.9</v>
      </c>
      <c r="V4783" s="238">
        <v>0.0</v>
      </c>
      <c r="W4783" s="238">
        <v>0.0</v>
      </c>
      <c r="X4783" s="235" t="s">
        <v>628</v>
      </c>
      <c r="Z4783" s="245"/>
      <c r="AA4783" s="245"/>
      <c r="AB4783" s="245"/>
      <c r="AC4783" s="235" t="s">
        <v>35365</v>
      </c>
      <c r="AD4783" s="235" t="s">
        <v>666</v>
      </c>
      <c r="AE4783" s="238">
        <v>627859.0</v>
      </c>
      <c r="AF4783" s="235" t="s">
        <v>631</v>
      </c>
      <c r="AG4783" s="245"/>
      <c r="AH4783" s="245"/>
      <c r="AI4783" s="245"/>
      <c r="AJ4783" s="245"/>
      <c r="AK4783" s="245"/>
      <c r="AL4783" s="245"/>
      <c r="AM4783" s="245"/>
      <c r="AN4783" s="245"/>
      <c r="AO4783" s="238">
        <v>0.0</v>
      </c>
      <c r="AP4783" s="238">
        <v>-38.1</v>
      </c>
      <c r="AQ4783" s="235" t="s">
        <v>632</v>
      </c>
      <c r="AR4783" s="243">
        <v>3.71E11</v>
      </c>
      <c r="AS4783" s="235" t="s">
        <v>29883</v>
      </c>
      <c r="AT4783" s="235" t="s">
        <v>14</v>
      </c>
      <c r="AU4783" s="235" t="s">
        <v>634</v>
      </c>
      <c r="AV4783" s="246" t="s">
        <v>635</v>
      </c>
      <c r="AW4783" s="227"/>
      <c r="AX4783" s="227"/>
      <c r="AY4783" s="227"/>
      <c r="AZ4783" s="227"/>
      <c r="BA4783" s="227"/>
      <c r="BB4783" s="227"/>
      <c r="BC4783" s="227"/>
      <c r="BD4783" s="227"/>
      <c r="BE4783" s="227"/>
      <c r="BF4783" s="227"/>
    </row>
    <row r="4784">
      <c r="A4784" s="235" t="s">
        <v>35366</v>
      </c>
      <c r="C4784" s="235" t="s">
        <v>35367</v>
      </c>
      <c r="D4784" s="235" t="s">
        <v>35368</v>
      </c>
      <c r="E4784" s="243">
        <v>6.5E13</v>
      </c>
      <c r="F4784" s="245"/>
      <c r="G4784" s="235" t="s">
        <v>35369</v>
      </c>
      <c r="H4784" s="235" t="s">
        <v>35370</v>
      </c>
      <c r="I4784" s="235" t="s">
        <v>35370</v>
      </c>
      <c r="J4784" s="235" t="s">
        <v>35371</v>
      </c>
      <c r="K4784" s="235" t="s">
        <v>22440</v>
      </c>
      <c r="N4784" s="235" t="s">
        <v>541</v>
      </c>
      <c r="O4784" s="235" t="s">
        <v>664</v>
      </c>
      <c r="P4784" s="238">
        <v>1.0</v>
      </c>
      <c r="Q4784" s="235" t="s">
        <v>627</v>
      </c>
      <c r="R4784" s="238">
        <v>659.32</v>
      </c>
      <c r="S4784" s="238">
        <v>118.68</v>
      </c>
      <c r="T4784" s="238">
        <v>0.0</v>
      </c>
      <c r="U4784" s="238">
        <v>0.0</v>
      </c>
      <c r="V4784" s="238">
        <v>0.0</v>
      </c>
      <c r="W4784" s="238">
        <v>0.0</v>
      </c>
      <c r="X4784" s="235" t="s">
        <v>628</v>
      </c>
      <c r="Z4784" s="245"/>
      <c r="AA4784" s="245"/>
      <c r="AB4784" s="245"/>
      <c r="AC4784" s="235" t="s">
        <v>2452</v>
      </c>
      <c r="AD4784" s="235" t="s">
        <v>1151</v>
      </c>
      <c r="AE4784" s="238">
        <v>700091.0</v>
      </c>
      <c r="AF4784" s="235" t="s">
        <v>631</v>
      </c>
      <c r="AG4784" s="245"/>
      <c r="AH4784" s="245"/>
      <c r="AI4784" s="245"/>
      <c r="AJ4784" s="245"/>
      <c r="AK4784" s="245"/>
      <c r="AL4784" s="245"/>
      <c r="AM4784" s="245"/>
      <c r="AN4784" s="245"/>
      <c r="AO4784" s="238">
        <v>0.0</v>
      </c>
      <c r="AP4784" s="238">
        <v>0.0</v>
      </c>
      <c r="AQ4784" s="235" t="s">
        <v>632</v>
      </c>
      <c r="AR4784" s="243">
        <v>2.02E11</v>
      </c>
      <c r="AS4784" s="235" t="s">
        <v>34510</v>
      </c>
      <c r="AT4784" s="235" t="s">
        <v>156</v>
      </c>
      <c r="AU4784" s="235" t="s">
        <v>634</v>
      </c>
      <c r="AV4784" s="246" t="s">
        <v>635</v>
      </c>
      <c r="AW4784" s="227"/>
      <c r="AX4784" s="227"/>
      <c r="AY4784" s="227"/>
      <c r="AZ4784" s="227"/>
      <c r="BA4784" s="227"/>
      <c r="BB4784" s="227"/>
      <c r="BC4784" s="227"/>
      <c r="BD4784" s="227"/>
      <c r="BE4784" s="227"/>
      <c r="BF4784" s="227"/>
    </row>
    <row r="4785">
      <c r="A4785" s="235" t="s">
        <v>35372</v>
      </c>
      <c r="C4785" s="235" t="s">
        <v>35373</v>
      </c>
      <c r="D4785" s="235" t="s">
        <v>35374</v>
      </c>
      <c r="E4785" s="243">
        <v>6.5E13</v>
      </c>
      <c r="F4785" s="245"/>
      <c r="G4785" s="235" t="s">
        <v>35375</v>
      </c>
      <c r="H4785" s="235" t="s">
        <v>35376</v>
      </c>
      <c r="I4785" s="235" t="s">
        <v>35376</v>
      </c>
      <c r="J4785" s="235" t="s">
        <v>35377</v>
      </c>
      <c r="K4785" s="235" t="s">
        <v>35378</v>
      </c>
      <c r="N4785" s="235" t="s">
        <v>145</v>
      </c>
      <c r="O4785" s="235" t="s">
        <v>370</v>
      </c>
      <c r="P4785" s="238">
        <v>1.0</v>
      </c>
      <c r="Q4785" s="235" t="s">
        <v>627</v>
      </c>
      <c r="R4785" s="238">
        <v>1522.86</v>
      </c>
      <c r="S4785" s="238">
        <v>74.62</v>
      </c>
      <c r="T4785" s="238">
        <v>0.0</v>
      </c>
      <c r="U4785" s="238">
        <v>0.0</v>
      </c>
      <c r="V4785" s="238">
        <v>0.0</v>
      </c>
      <c r="W4785" s="238">
        <v>0.0</v>
      </c>
      <c r="X4785" s="235" t="s">
        <v>628</v>
      </c>
      <c r="Z4785" s="245"/>
      <c r="AA4785" s="245"/>
      <c r="AB4785" s="245"/>
      <c r="AC4785" s="235" t="s">
        <v>844</v>
      </c>
      <c r="AD4785" s="235" t="s">
        <v>845</v>
      </c>
      <c r="AE4785" s="238">
        <v>411021.0</v>
      </c>
      <c r="AF4785" s="235" t="s">
        <v>631</v>
      </c>
      <c r="AG4785" s="245"/>
      <c r="AH4785" s="245"/>
      <c r="AI4785" s="245"/>
      <c r="AJ4785" s="245"/>
      <c r="AK4785" s="245"/>
      <c r="AL4785" s="245"/>
      <c r="AM4785" s="245"/>
      <c r="AN4785" s="245"/>
      <c r="AO4785" s="238">
        <v>-30.46</v>
      </c>
      <c r="AP4785" s="238">
        <v>0.0</v>
      </c>
      <c r="AQ4785" s="235" t="s">
        <v>632</v>
      </c>
      <c r="AR4785" s="243">
        <v>3.71E11</v>
      </c>
      <c r="AS4785" s="235" t="s">
        <v>34510</v>
      </c>
      <c r="AT4785" s="235" t="s">
        <v>546</v>
      </c>
      <c r="AU4785" s="235" t="s">
        <v>634</v>
      </c>
      <c r="AV4785" s="246" t="s">
        <v>635</v>
      </c>
      <c r="AW4785" s="227"/>
      <c r="AX4785" s="227"/>
      <c r="AY4785" s="227"/>
      <c r="AZ4785" s="227"/>
      <c r="BA4785" s="227"/>
      <c r="BB4785" s="227"/>
      <c r="BC4785" s="227"/>
      <c r="BD4785" s="227"/>
      <c r="BE4785" s="227"/>
      <c r="BF4785" s="227"/>
    </row>
    <row r="4786">
      <c r="A4786" s="235" t="s">
        <v>35379</v>
      </c>
      <c r="C4786" s="235" t="s">
        <v>35380</v>
      </c>
      <c r="D4786" s="235" t="s">
        <v>35381</v>
      </c>
      <c r="E4786" s="243">
        <v>6.5E13</v>
      </c>
      <c r="F4786" s="245"/>
      <c r="G4786" s="235" t="s">
        <v>35382</v>
      </c>
      <c r="H4786" s="235" t="s">
        <v>35383</v>
      </c>
      <c r="I4786" s="235" t="s">
        <v>35383</v>
      </c>
      <c r="J4786" s="235" t="s">
        <v>35384</v>
      </c>
      <c r="K4786" s="235" t="s">
        <v>35385</v>
      </c>
      <c r="N4786" s="235" t="s">
        <v>154</v>
      </c>
      <c r="O4786" s="235" t="s">
        <v>766</v>
      </c>
      <c r="P4786" s="238">
        <v>1.0</v>
      </c>
      <c r="Q4786" s="235" t="s">
        <v>627</v>
      </c>
      <c r="R4786" s="238">
        <v>465.71</v>
      </c>
      <c r="S4786" s="238">
        <v>23.29</v>
      </c>
      <c r="T4786" s="238">
        <v>75.24</v>
      </c>
      <c r="U4786" s="238">
        <v>3.76</v>
      </c>
      <c r="V4786" s="238">
        <v>0.0</v>
      </c>
      <c r="W4786" s="238">
        <v>0.0</v>
      </c>
      <c r="X4786" s="235" t="s">
        <v>628</v>
      </c>
      <c r="Z4786" s="245"/>
      <c r="AA4786" s="245"/>
      <c r="AB4786" s="245"/>
      <c r="AC4786" s="235" t="s">
        <v>5923</v>
      </c>
      <c r="AD4786" s="235" t="s">
        <v>666</v>
      </c>
      <c r="AE4786" s="238">
        <v>620017.0</v>
      </c>
      <c r="AF4786" s="235" t="s">
        <v>631</v>
      </c>
      <c r="AG4786" s="245"/>
      <c r="AH4786" s="245"/>
      <c r="AI4786" s="245"/>
      <c r="AJ4786" s="245"/>
      <c r="AK4786" s="245"/>
      <c r="AL4786" s="245"/>
      <c r="AM4786" s="245"/>
      <c r="AN4786" s="245"/>
      <c r="AO4786" s="238">
        <v>0.0</v>
      </c>
      <c r="AP4786" s="238">
        <v>-75.24</v>
      </c>
      <c r="AQ4786" s="235" t="s">
        <v>632</v>
      </c>
      <c r="AR4786" s="243">
        <v>1.68E11</v>
      </c>
      <c r="AS4786" s="235" t="s">
        <v>34510</v>
      </c>
      <c r="AT4786" s="235" t="s">
        <v>9</v>
      </c>
      <c r="AU4786" s="235" t="s">
        <v>634</v>
      </c>
      <c r="AV4786" s="246" t="s">
        <v>635</v>
      </c>
      <c r="AW4786" s="227"/>
      <c r="AX4786" s="227"/>
      <c r="AY4786" s="227"/>
      <c r="AZ4786" s="227"/>
      <c r="BA4786" s="227"/>
      <c r="BB4786" s="227"/>
      <c r="BC4786" s="227"/>
      <c r="BD4786" s="227"/>
      <c r="BE4786" s="227"/>
      <c r="BF4786" s="227"/>
    </row>
    <row r="4787">
      <c r="A4787" s="235" t="s">
        <v>35386</v>
      </c>
      <c r="C4787" s="235" t="s">
        <v>35387</v>
      </c>
      <c r="D4787" s="235" t="s">
        <v>35388</v>
      </c>
      <c r="E4787" s="243">
        <v>6.5E13</v>
      </c>
      <c r="F4787" s="245"/>
      <c r="G4787" s="235" t="s">
        <v>35389</v>
      </c>
      <c r="H4787" s="235" t="s">
        <v>35390</v>
      </c>
      <c r="I4787" s="235" t="s">
        <v>35390</v>
      </c>
      <c r="J4787" s="235" t="s">
        <v>35391</v>
      </c>
      <c r="K4787" s="235" t="s">
        <v>35392</v>
      </c>
      <c r="N4787" s="235" t="s">
        <v>1646</v>
      </c>
      <c r="O4787" s="235" t="s">
        <v>1647</v>
      </c>
      <c r="P4787" s="238">
        <v>1.0</v>
      </c>
      <c r="Q4787" s="235" t="s">
        <v>627</v>
      </c>
      <c r="R4787" s="238">
        <v>246.67</v>
      </c>
      <c r="S4787" s="238">
        <v>12.08</v>
      </c>
      <c r="T4787" s="238">
        <v>0.0</v>
      </c>
      <c r="U4787" s="238">
        <v>0.0</v>
      </c>
      <c r="V4787" s="238">
        <v>0.0</v>
      </c>
      <c r="W4787" s="238">
        <v>0.0</v>
      </c>
      <c r="X4787" s="235" t="s">
        <v>628</v>
      </c>
      <c r="Z4787" s="245"/>
      <c r="AA4787" s="245"/>
      <c r="AB4787" s="245"/>
      <c r="AC4787" s="235" t="s">
        <v>35393</v>
      </c>
      <c r="AD4787" s="235" t="s">
        <v>35394</v>
      </c>
      <c r="AE4787" s="238">
        <v>248002.0</v>
      </c>
      <c r="AF4787" s="235" t="s">
        <v>631</v>
      </c>
      <c r="AG4787" s="245"/>
      <c r="AH4787" s="245"/>
      <c r="AI4787" s="245"/>
      <c r="AJ4787" s="245"/>
      <c r="AK4787" s="245"/>
      <c r="AL4787" s="245"/>
      <c r="AM4787" s="245"/>
      <c r="AN4787" s="245"/>
      <c r="AO4787" s="238">
        <v>-4.93</v>
      </c>
      <c r="AP4787" s="238">
        <v>0.0</v>
      </c>
      <c r="AQ4787" s="235" t="s">
        <v>632</v>
      </c>
      <c r="AR4787" s="243">
        <v>1.68E11</v>
      </c>
      <c r="AS4787" s="235" t="s">
        <v>34510</v>
      </c>
      <c r="AT4787" s="235" t="s">
        <v>14</v>
      </c>
      <c r="AU4787" s="235" t="s">
        <v>634</v>
      </c>
      <c r="AV4787" s="246" t="s">
        <v>635</v>
      </c>
      <c r="AW4787" s="227"/>
      <c r="AX4787" s="227"/>
      <c r="AY4787" s="227"/>
      <c r="AZ4787" s="227"/>
      <c r="BA4787" s="227"/>
      <c r="BB4787" s="227"/>
      <c r="BC4787" s="227"/>
      <c r="BD4787" s="227"/>
      <c r="BE4787" s="227"/>
      <c r="BF4787" s="227"/>
    </row>
    <row r="4788">
      <c r="A4788" s="235" t="s">
        <v>35395</v>
      </c>
      <c r="C4788" s="235" t="s">
        <v>35396</v>
      </c>
      <c r="D4788" s="235" t="s">
        <v>35397</v>
      </c>
      <c r="E4788" s="243">
        <v>6.5E13</v>
      </c>
      <c r="F4788" s="245"/>
      <c r="G4788" s="235" t="s">
        <v>35398</v>
      </c>
      <c r="H4788" s="235" t="s">
        <v>35399</v>
      </c>
      <c r="I4788" s="235" t="s">
        <v>35400</v>
      </c>
      <c r="J4788" s="235" t="s">
        <v>35401</v>
      </c>
      <c r="K4788" s="235" t="s">
        <v>35402</v>
      </c>
      <c r="N4788" s="235" t="s">
        <v>0</v>
      </c>
      <c r="O4788" s="235" t="s">
        <v>740</v>
      </c>
      <c r="P4788" s="238">
        <v>1.0</v>
      </c>
      <c r="Q4788" s="235" t="s">
        <v>627</v>
      </c>
      <c r="R4788" s="238">
        <v>265.71</v>
      </c>
      <c r="S4788" s="238">
        <v>13.29</v>
      </c>
      <c r="T4788" s="238">
        <v>0.0</v>
      </c>
      <c r="U4788" s="238">
        <v>0.0</v>
      </c>
      <c r="V4788" s="238">
        <v>0.0</v>
      </c>
      <c r="W4788" s="238">
        <v>0.0</v>
      </c>
      <c r="X4788" s="235" t="s">
        <v>628</v>
      </c>
      <c r="Z4788" s="245"/>
      <c r="AA4788" s="245"/>
      <c r="AB4788" s="245"/>
      <c r="AC4788" s="235" t="s">
        <v>35403</v>
      </c>
      <c r="AD4788" s="235" t="s">
        <v>965</v>
      </c>
      <c r="AE4788" s="238">
        <v>174103.0</v>
      </c>
      <c r="AF4788" s="235" t="s">
        <v>631</v>
      </c>
      <c r="AG4788" s="245"/>
      <c r="AH4788" s="245"/>
      <c r="AI4788" s="245"/>
      <c r="AJ4788" s="245"/>
      <c r="AK4788" s="245"/>
      <c r="AL4788" s="245"/>
      <c r="AM4788" s="245"/>
      <c r="AN4788" s="245"/>
      <c r="AO4788" s="238">
        <v>0.0</v>
      </c>
      <c r="AP4788" s="238">
        <v>0.0</v>
      </c>
      <c r="AQ4788" s="235" t="s">
        <v>632</v>
      </c>
      <c r="AR4788" s="243">
        <v>3.71E11</v>
      </c>
      <c r="AS4788" s="235" t="s">
        <v>33466</v>
      </c>
      <c r="AT4788" s="235" t="s">
        <v>14</v>
      </c>
      <c r="AU4788" s="235" t="s">
        <v>634</v>
      </c>
      <c r="AV4788" s="246" t="s">
        <v>635</v>
      </c>
      <c r="AW4788" s="227"/>
      <c r="AX4788" s="227"/>
      <c r="AY4788" s="227"/>
      <c r="AZ4788" s="227"/>
      <c r="BA4788" s="227"/>
      <c r="BB4788" s="227"/>
      <c r="BC4788" s="227"/>
      <c r="BD4788" s="227"/>
      <c r="BE4788" s="227"/>
      <c r="BF4788" s="227"/>
    </row>
    <row r="4789">
      <c r="A4789" s="235" t="s">
        <v>35404</v>
      </c>
      <c r="C4789" s="235" t="s">
        <v>35405</v>
      </c>
      <c r="D4789" s="235" t="s">
        <v>35406</v>
      </c>
      <c r="E4789" s="243">
        <v>6.5E13</v>
      </c>
      <c r="F4789" s="245"/>
      <c r="G4789" s="235" t="s">
        <v>35407</v>
      </c>
      <c r="H4789" s="235" t="s">
        <v>35408</v>
      </c>
      <c r="I4789" s="235" t="s">
        <v>35409</v>
      </c>
      <c r="J4789" s="235" t="s">
        <v>35410</v>
      </c>
      <c r="K4789" s="235" t="s">
        <v>35411</v>
      </c>
      <c r="N4789" s="235" t="s">
        <v>2163</v>
      </c>
      <c r="O4789" s="235" t="s">
        <v>2164</v>
      </c>
      <c r="P4789" s="238">
        <v>1.0</v>
      </c>
      <c r="Q4789" s="235" t="s">
        <v>627</v>
      </c>
      <c r="R4789" s="238">
        <v>245.72</v>
      </c>
      <c r="S4789" s="238">
        <v>12.04</v>
      </c>
      <c r="T4789" s="238">
        <v>0.0</v>
      </c>
      <c r="U4789" s="238">
        <v>0.0</v>
      </c>
      <c r="V4789" s="238">
        <v>0.0</v>
      </c>
      <c r="W4789" s="238">
        <v>0.0</v>
      </c>
      <c r="X4789" s="235" t="s">
        <v>628</v>
      </c>
      <c r="Z4789" s="245"/>
      <c r="AA4789" s="245"/>
      <c r="AB4789" s="245"/>
      <c r="AC4789" s="235" t="s">
        <v>678</v>
      </c>
      <c r="AD4789" s="235" t="s">
        <v>679</v>
      </c>
      <c r="AE4789" s="238">
        <v>560062.0</v>
      </c>
      <c r="AF4789" s="235" t="s">
        <v>631</v>
      </c>
      <c r="AG4789" s="245"/>
      <c r="AH4789" s="245"/>
      <c r="AI4789" s="245"/>
      <c r="AJ4789" s="245"/>
      <c r="AK4789" s="245"/>
      <c r="AL4789" s="245"/>
      <c r="AM4789" s="245"/>
      <c r="AN4789" s="245"/>
      <c r="AO4789" s="238">
        <v>-4.92</v>
      </c>
      <c r="AP4789" s="238">
        <v>0.0</v>
      </c>
      <c r="AQ4789" s="235" t="s">
        <v>632</v>
      </c>
      <c r="AR4789" s="243">
        <v>1.68E11</v>
      </c>
      <c r="AS4789" s="235" t="s">
        <v>34913</v>
      </c>
      <c r="AT4789" s="235" t="s">
        <v>11</v>
      </c>
      <c r="AU4789" s="235" t="s">
        <v>634</v>
      </c>
      <c r="AV4789" s="246" t="s">
        <v>635</v>
      </c>
      <c r="AW4789" s="227"/>
      <c r="AX4789" s="227"/>
      <c r="AY4789" s="227"/>
      <c r="AZ4789" s="227"/>
      <c r="BA4789" s="227"/>
      <c r="BB4789" s="227"/>
      <c r="BC4789" s="227"/>
      <c r="BD4789" s="227"/>
      <c r="BE4789" s="227"/>
      <c r="BF4789" s="227"/>
    </row>
    <row r="4790">
      <c r="A4790" s="235" t="s">
        <v>35412</v>
      </c>
      <c r="C4790" s="235" t="s">
        <v>35413</v>
      </c>
      <c r="D4790" s="235" t="s">
        <v>35414</v>
      </c>
      <c r="E4790" s="243">
        <v>6.5E13</v>
      </c>
      <c r="F4790" s="245"/>
      <c r="G4790" s="235" t="s">
        <v>35415</v>
      </c>
      <c r="H4790" s="235" t="s">
        <v>35416</v>
      </c>
      <c r="I4790" s="235" t="s">
        <v>35417</v>
      </c>
      <c r="J4790" s="235" t="s">
        <v>35418</v>
      </c>
      <c r="K4790" s="235" t="s">
        <v>35419</v>
      </c>
      <c r="N4790" s="235" t="s">
        <v>0</v>
      </c>
      <c r="O4790" s="235" t="s">
        <v>740</v>
      </c>
      <c r="P4790" s="238">
        <v>1.0</v>
      </c>
      <c r="Q4790" s="235" t="s">
        <v>627</v>
      </c>
      <c r="R4790" s="238">
        <v>265.72</v>
      </c>
      <c r="S4790" s="238">
        <v>13.02</v>
      </c>
      <c r="T4790" s="238">
        <v>0.0</v>
      </c>
      <c r="U4790" s="238">
        <v>0.0</v>
      </c>
      <c r="V4790" s="238">
        <v>0.0</v>
      </c>
      <c r="W4790" s="238">
        <v>0.0</v>
      </c>
      <c r="X4790" s="235" t="s">
        <v>628</v>
      </c>
      <c r="Z4790" s="245"/>
      <c r="AA4790" s="245"/>
      <c r="AB4790" s="245"/>
      <c r="AC4790" s="235" t="s">
        <v>678</v>
      </c>
      <c r="AD4790" s="235" t="s">
        <v>679</v>
      </c>
      <c r="AE4790" s="238">
        <v>560099.0</v>
      </c>
      <c r="AF4790" s="235" t="s">
        <v>631</v>
      </c>
      <c r="AG4790" s="245"/>
      <c r="AH4790" s="245"/>
      <c r="AI4790" s="245"/>
      <c r="AJ4790" s="245"/>
      <c r="AK4790" s="245"/>
      <c r="AL4790" s="245"/>
      <c r="AM4790" s="245"/>
      <c r="AN4790" s="245"/>
      <c r="AO4790" s="238">
        <v>-5.32</v>
      </c>
      <c r="AP4790" s="238">
        <v>0.0</v>
      </c>
      <c r="AQ4790" s="235" t="s">
        <v>632</v>
      </c>
      <c r="AR4790" s="243">
        <v>1.68E11</v>
      </c>
      <c r="AS4790" s="235" t="s">
        <v>34913</v>
      </c>
      <c r="AT4790" s="235" t="s">
        <v>9</v>
      </c>
      <c r="AU4790" s="235" t="s">
        <v>634</v>
      </c>
      <c r="AV4790" s="246" t="s">
        <v>635</v>
      </c>
      <c r="AW4790" s="227"/>
      <c r="AX4790" s="227"/>
      <c r="AY4790" s="227"/>
      <c r="AZ4790" s="227"/>
      <c r="BA4790" s="227"/>
      <c r="BB4790" s="227"/>
      <c r="BC4790" s="227"/>
      <c r="BD4790" s="227"/>
      <c r="BE4790" s="227"/>
      <c r="BF4790" s="227"/>
    </row>
    <row r="4791">
      <c r="A4791" s="235" t="s">
        <v>35420</v>
      </c>
      <c r="C4791" s="235" t="s">
        <v>35421</v>
      </c>
      <c r="D4791" s="235" t="s">
        <v>35422</v>
      </c>
      <c r="E4791" s="243">
        <v>6.5E13</v>
      </c>
      <c r="F4791" s="245"/>
      <c r="G4791" s="235" t="s">
        <v>35423</v>
      </c>
      <c r="H4791" s="235" t="s">
        <v>35424</v>
      </c>
      <c r="I4791" s="235" t="s">
        <v>35425</v>
      </c>
      <c r="J4791" s="235" t="s">
        <v>35426</v>
      </c>
      <c r="K4791" s="235" t="s">
        <v>35427</v>
      </c>
      <c r="N4791" s="235" t="s">
        <v>53</v>
      </c>
      <c r="O4791" s="235" t="s">
        <v>512</v>
      </c>
      <c r="P4791" s="238">
        <v>1.0</v>
      </c>
      <c r="Q4791" s="235" t="s">
        <v>627</v>
      </c>
      <c r="R4791" s="238">
        <v>237.14</v>
      </c>
      <c r="S4791" s="238">
        <v>11.86</v>
      </c>
      <c r="T4791" s="238">
        <v>0.0</v>
      </c>
      <c r="U4791" s="238">
        <v>0.0</v>
      </c>
      <c r="V4791" s="238">
        <v>0.0</v>
      </c>
      <c r="W4791" s="238">
        <v>0.0</v>
      </c>
      <c r="X4791" s="235" t="s">
        <v>628</v>
      </c>
      <c r="Z4791" s="245"/>
      <c r="AA4791" s="245"/>
      <c r="AB4791" s="245"/>
      <c r="AC4791" s="235" t="s">
        <v>1961</v>
      </c>
      <c r="AD4791" s="235" t="s">
        <v>845</v>
      </c>
      <c r="AE4791" s="238">
        <v>411027.0</v>
      </c>
      <c r="AF4791" s="235" t="s">
        <v>631</v>
      </c>
      <c r="AG4791" s="245"/>
      <c r="AH4791" s="245"/>
      <c r="AI4791" s="245"/>
      <c r="AJ4791" s="245"/>
      <c r="AK4791" s="245"/>
      <c r="AL4791" s="245"/>
      <c r="AM4791" s="245"/>
      <c r="AN4791" s="245"/>
      <c r="AO4791" s="238">
        <v>0.0</v>
      </c>
      <c r="AP4791" s="238">
        <v>0.0</v>
      </c>
      <c r="AQ4791" s="235" t="s">
        <v>632</v>
      </c>
      <c r="AR4791" s="243">
        <v>1.68E11</v>
      </c>
      <c r="AS4791" s="235" t="s">
        <v>34913</v>
      </c>
      <c r="AT4791" s="235" t="s">
        <v>546</v>
      </c>
      <c r="AU4791" s="235" t="s">
        <v>634</v>
      </c>
      <c r="AV4791" s="246" t="s">
        <v>635</v>
      </c>
      <c r="AW4791" s="227"/>
      <c r="AX4791" s="227"/>
      <c r="AY4791" s="227"/>
      <c r="AZ4791" s="227"/>
      <c r="BA4791" s="227"/>
      <c r="BB4791" s="227"/>
      <c r="BC4791" s="227"/>
      <c r="BD4791" s="227"/>
      <c r="BE4791" s="227"/>
      <c r="BF4791" s="227"/>
    </row>
    <row r="4792">
      <c r="A4792" s="235" t="s">
        <v>35428</v>
      </c>
      <c r="C4792" s="235" t="s">
        <v>35429</v>
      </c>
      <c r="D4792" s="235" t="s">
        <v>35430</v>
      </c>
      <c r="E4792" s="243">
        <v>6.49E13</v>
      </c>
      <c r="F4792" s="245"/>
      <c r="G4792" s="235" t="s">
        <v>35431</v>
      </c>
      <c r="H4792" s="235" t="s">
        <v>35432</v>
      </c>
      <c r="I4792" s="235" t="s">
        <v>35432</v>
      </c>
      <c r="J4792" s="235" t="s">
        <v>35433</v>
      </c>
      <c r="K4792" s="235" t="s">
        <v>35434</v>
      </c>
      <c r="N4792" s="235" t="s">
        <v>42</v>
      </c>
      <c r="O4792" s="235" t="s">
        <v>204</v>
      </c>
      <c r="P4792" s="238">
        <v>1.0</v>
      </c>
      <c r="Q4792" s="235" t="s">
        <v>627</v>
      </c>
      <c r="R4792" s="238">
        <v>237.14</v>
      </c>
      <c r="S4792" s="238">
        <v>11.86</v>
      </c>
      <c r="T4792" s="238">
        <v>38.1</v>
      </c>
      <c r="U4792" s="238">
        <v>1.9</v>
      </c>
      <c r="V4792" s="238">
        <v>0.0</v>
      </c>
      <c r="W4792" s="238">
        <v>0.0</v>
      </c>
      <c r="X4792" s="235" t="s">
        <v>628</v>
      </c>
      <c r="Z4792" s="245"/>
      <c r="AA4792" s="245"/>
      <c r="AB4792" s="245"/>
      <c r="AC4792" s="235" t="s">
        <v>687</v>
      </c>
      <c r="AD4792" s="235" t="s">
        <v>666</v>
      </c>
      <c r="AE4792" s="238">
        <v>600063.0</v>
      </c>
      <c r="AF4792" s="235" t="s">
        <v>631</v>
      </c>
      <c r="AG4792" s="245"/>
      <c r="AH4792" s="245"/>
      <c r="AI4792" s="245"/>
      <c r="AJ4792" s="245"/>
      <c r="AK4792" s="245"/>
      <c r="AL4792" s="245"/>
      <c r="AM4792" s="245"/>
      <c r="AN4792" s="245"/>
      <c r="AO4792" s="238">
        <v>0.0</v>
      </c>
      <c r="AP4792" s="238">
        <v>-38.1</v>
      </c>
      <c r="AQ4792" s="235" t="s">
        <v>632</v>
      </c>
      <c r="AR4792" s="243">
        <v>3.71E11</v>
      </c>
      <c r="AS4792" s="235" t="s">
        <v>33466</v>
      </c>
      <c r="AT4792" s="235" t="s">
        <v>9</v>
      </c>
      <c r="AU4792" s="235" t="s">
        <v>634</v>
      </c>
      <c r="AV4792" s="246" t="s">
        <v>635</v>
      </c>
      <c r="AW4792" s="227"/>
      <c r="AX4792" s="227"/>
      <c r="AY4792" s="227"/>
      <c r="AZ4792" s="227"/>
      <c r="BA4792" s="227"/>
      <c r="BB4792" s="227"/>
      <c r="BC4792" s="227"/>
      <c r="BD4792" s="227"/>
      <c r="BE4792" s="227"/>
      <c r="BF4792" s="227"/>
    </row>
    <row r="4793">
      <c r="A4793" s="235" t="s">
        <v>35435</v>
      </c>
      <c r="C4793" s="235" t="s">
        <v>35436</v>
      </c>
      <c r="D4793" s="235" t="s">
        <v>35437</v>
      </c>
      <c r="E4793" s="243">
        <v>6.5E13</v>
      </c>
      <c r="F4793" s="245"/>
      <c r="G4793" s="235" t="s">
        <v>35438</v>
      </c>
      <c r="H4793" s="235" t="s">
        <v>35439</v>
      </c>
      <c r="I4793" s="235" t="s">
        <v>35439</v>
      </c>
      <c r="J4793" s="235" t="s">
        <v>35440</v>
      </c>
      <c r="K4793" s="235" t="s">
        <v>35441</v>
      </c>
      <c r="N4793" s="235" t="s">
        <v>94</v>
      </c>
      <c r="O4793" s="235" t="s">
        <v>509</v>
      </c>
      <c r="P4793" s="238">
        <v>1.0</v>
      </c>
      <c r="Q4793" s="235" t="s">
        <v>627</v>
      </c>
      <c r="R4793" s="238">
        <v>244.76</v>
      </c>
      <c r="S4793" s="238">
        <v>12.24</v>
      </c>
      <c r="T4793" s="238">
        <v>38.1</v>
      </c>
      <c r="U4793" s="238">
        <v>1.9</v>
      </c>
      <c r="V4793" s="238">
        <v>0.0</v>
      </c>
      <c r="W4793" s="238">
        <v>0.0</v>
      </c>
      <c r="X4793" s="235" t="s">
        <v>628</v>
      </c>
      <c r="Z4793" s="245"/>
      <c r="AA4793" s="245"/>
      <c r="AB4793" s="245"/>
      <c r="AC4793" s="235" t="s">
        <v>35442</v>
      </c>
      <c r="AD4793" s="235" t="s">
        <v>3113</v>
      </c>
      <c r="AE4793" s="238">
        <v>493445.0</v>
      </c>
      <c r="AF4793" s="235" t="s">
        <v>631</v>
      </c>
      <c r="AG4793" s="245"/>
      <c r="AH4793" s="245"/>
      <c r="AI4793" s="245"/>
      <c r="AJ4793" s="245"/>
      <c r="AK4793" s="245"/>
      <c r="AL4793" s="245"/>
      <c r="AM4793" s="245"/>
      <c r="AN4793" s="245"/>
      <c r="AO4793" s="238">
        <v>0.0</v>
      </c>
      <c r="AP4793" s="238">
        <v>-38.1</v>
      </c>
      <c r="AQ4793" s="235" t="s">
        <v>632</v>
      </c>
      <c r="AR4793" s="243">
        <v>3.71E11</v>
      </c>
      <c r="AS4793" s="235" t="s">
        <v>31232</v>
      </c>
      <c r="AT4793" s="235" t="s">
        <v>16</v>
      </c>
      <c r="AU4793" s="235" t="s">
        <v>634</v>
      </c>
      <c r="AV4793" s="246" t="s">
        <v>635</v>
      </c>
      <c r="AW4793" s="227"/>
      <c r="AX4793" s="227"/>
      <c r="AY4793" s="227"/>
      <c r="AZ4793" s="227"/>
      <c r="BA4793" s="227"/>
      <c r="BB4793" s="227"/>
      <c r="BC4793" s="227"/>
      <c r="BD4793" s="227"/>
      <c r="BE4793" s="227"/>
      <c r="BF4793" s="227"/>
    </row>
    <row r="4794">
      <c r="A4794" s="235" t="s">
        <v>35443</v>
      </c>
      <c r="C4794" s="235" t="s">
        <v>35444</v>
      </c>
      <c r="D4794" s="235" t="s">
        <v>35445</v>
      </c>
      <c r="E4794" s="243">
        <v>6.49E13</v>
      </c>
      <c r="F4794" s="245"/>
      <c r="G4794" s="235" t="s">
        <v>35446</v>
      </c>
      <c r="H4794" s="235" t="s">
        <v>35447</v>
      </c>
      <c r="I4794" s="235" t="s">
        <v>35447</v>
      </c>
      <c r="J4794" s="235" t="s">
        <v>35448</v>
      </c>
      <c r="K4794" s="235" t="s">
        <v>35449</v>
      </c>
      <c r="N4794" s="235" t="s">
        <v>134</v>
      </c>
      <c r="O4794" s="235" t="s">
        <v>314</v>
      </c>
      <c r="P4794" s="238">
        <v>1.0</v>
      </c>
      <c r="Q4794" s="235" t="s">
        <v>627</v>
      </c>
      <c r="R4794" s="238">
        <v>244.76</v>
      </c>
      <c r="S4794" s="238">
        <v>12.24</v>
      </c>
      <c r="T4794" s="238">
        <v>0.0</v>
      </c>
      <c r="U4794" s="238">
        <v>0.0</v>
      </c>
      <c r="V4794" s="238">
        <v>0.0</v>
      </c>
      <c r="W4794" s="238">
        <v>0.0</v>
      </c>
      <c r="X4794" s="235" t="s">
        <v>628</v>
      </c>
      <c r="Z4794" s="245"/>
      <c r="AA4794" s="245"/>
      <c r="AB4794" s="245"/>
      <c r="AC4794" s="235" t="s">
        <v>687</v>
      </c>
      <c r="AD4794" s="235" t="s">
        <v>666</v>
      </c>
      <c r="AE4794" s="238">
        <v>600071.0</v>
      </c>
      <c r="AF4794" s="235" t="s">
        <v>631</v>
      </c>
      <c r="AG4794" s="245"/>
      <c r="AH4794" s="245"/>
      <c r="AI4794" s="245"/>
      <c r="AJ4794" s="245"/>
      <c r="AK4794" s="245"/>
      <c r="AL4794" s="245"/>
      <c r="AM4794" s="245"/>
      <c r="AN4794" s="245"/>
      <c r="AO4794" s="238">
        <v>0.0</v>
      </c>
      <c r="AP4794" s="238">
        <v>0.0</v>
      </c>
      <c r="AQ4794" s="235" t="s">
        <v>632</v>
      </c>
      <c r="AR4794" s="243">
        <v>1.68E11</v>
      </c>
      <c r="AS4794" s="235" t="s">
        <v>34510</v>
      </c>
      <c r="AT4794" s="235" t="s">
        <v>9</v>
      </c>
      <c r="AU4794" s="235" t="s">
        <v>634</v>
      </c>
      <c r="AV4794" s="246" t="s">
        <v>635</v>
      </c>
      <c r="AW4794" s="227"/>
      <c r="AX4794" s="227"/>
      <c r="AY4794" s="227"/>
      <c r="AZ4794" s="227"/>
      <c r="BA4794" s="227"/>
      <c r="BB4794" s="227"/>
      <c r="BC4794" s="227"/>
      <c r="BD4794" s="227"/>
      <c r="BE4794" s="227"/>
      <c r="BF4794" s="227"/>
    </row>
    <row r="4795">
      <c r="A4795" s="235" t="s">
        <v>35450</v>
      </c>
      <c r="C4795" s="235" t="s">
        <v>35451</v>
      </c>
      <c r="D4795" s="235" t="s">
        <v>35452</v>
      </c>
      <c r="E4795" s="243">
        <v>6.5E13</v>
      </c>
      <c r="F4795" s="245"/>
      <c r="G4795" s="235" t="s">
        <v>35453</v>
      </c>
      <c r="H4795" s="235" t="s">
        <v>35454</v>
      </c>
      <c r="I4795" s="235" t="s">
        <v>35454</v>
      </c>
      <c r="J4795" s="235" t="s">
        <v>35455</v>
      </c>
      <c r="K4795" s="235" t="s">
        <v>35456</v>
      </c>
      <c r="N4795" s="235" t="s">
        <v>42</v>
      </c>
      <c r="O4795" s="235" t="s">
        <v>204</v>
      </c>
      <c r="P4795" s="238">
        <v>1.0</v>
      </c>
      <c r="Q4795" s="235" t="s">
        <v>627</v>
      </c>
      <c r="R4795" s="238">
        <v>237.14</v>
      </c>
      <c r="S4795" s="238">
        <v>11.86</v>
      </c>
      <c r="T4795" s="238">
        <v>38.1</v>
      </c>
      <c r="U4795" s="238">
        <v>1.9</v>
      </c>
      <c r="V4795" s="238">
        <v>0.0</v>
      </c>
      <c r="W4795" s="238">
        <v>0.0</v>
      </c>
      <c r="X4795" s="235" t="s">
        <v>628</v>
      </c>
      <c r="Z4795" s="245"/>
      <c r="AA4795" s="245"/>
      <c r="AB4795" s="245"/>
      <c r="AC4795" s="235" t="s">
        <v>3390</v>
      </c>
      <c r="AD4795" s="235" t="s">
        <v>833</v>
      </c>
      <c r="AE4795" s="238">
        <v>530046.0</v>
      </c>
      <c r="AF4795" s="235" t="s">
        <v>631</v>
      </c>
      <c r="AG4795" s="245"/>
      <c r="AH4795" s="245"/>
      <c r="AI4795" s="245"/>
      <c r="AJ4795" s="245"/>
      <c r="AK4795" s="245"/>
      <c r="AL4795" s="245"/>
      <c r="AM4795" s="245"/>
      <c r="AN4795" s="245"/>
      <c r="AO4795" s="238">
        <v>0.0</v>
      </c>
      <c r="AP4795" s="238">
        <v>-38.1</v>
      </c>
      <c r="AQ4795" s="235" t="s">
        <v>632</v>
      </c>
      <c r="AR4795" s="243">
        <v>3.7E11</v>
      </c>
      <c r="AS4795" s="235" t="s">
        <v>32455</v>
      </c>
      <c r="AT4795" s="235" t="s">
        <v>17</v>
      </c>
      <c r="AU4795" s="235" t="s">
        <v>634</v>
      </c>
      <c r="AV4795" s="246" t="s">
        <v>635</v>
      </c>
      <c r="AW4795" s="227"/>
      <c r="AX4795" s="227"/>
      <c r="AY4795" s="227"/>
      <c r="AZ4795" s="227"/>
      <c r="BA4795" s="227"/>
      <c r="BB4795" s="227"/>
      <c r="BC4795" s="227"/>
      <c r="BD4795" s="227"/>
      <c r="BE4795" s="227"/>
      <c r="BF4795" s="227"/>
    </row>
    <row r="4796">
      <c r="A4796" s="235" t="s">
        <v>35457</v>
      </c>
      <c r="C4796" s="235" t="s">
        <v>35458</v>
      </c>
      <c r="D4796" s="235" t="s">
        <v>35459</v>
      </c>
      <c r="E4796" s="243">
        <v>6.5E13</v>
      </c>
      <c r="F4796" s="245"/>
      <c r="G4796" s="235" t="s">
        <v>35460</v>
      </c>
      <c r="H4796" s="235" t="s">
        <v>35461</v>
      </c>
      <c r="I4796" s="235" t="s">
        <v>35462</v>
      </c>
      <c r="J4796" s="235" t="s">
        <v>35463</v>
      </c>
      <c r="K4796" s="235" t="s">
        <v>35464</v>
      </c>
      <c r="N4796" s="235" t="s">
        <v>136</v>
      </c>
      <c r="O4796" s="235" t="s">
        <v>256</v>
      </c>
      <c r="P4796" s="238">
        <v>1.0</v>
      </c>
      <c r="Q4796" s="235" t="s">
        <v>627</v>
      </c>
      <c r="R4796" s="238">
        <v>244.76</v>
      </c>
      <c r="S4796" s="238">
        <v>12.24</v>
      </c>
      <c r="T4796" s="238">
        <v>0.0</v>
      </c>
      <c r="U4796" s="238">
        <v>0.0</v>
      </c>
      <c r="V4796" s="238">
        <v>0.0</v>
      </c>
      <c r="W4796" s="238">
        <v>0.0</v>
      </c>
      <c r="X4796" s="235" t="s">
        <v>628</v>
      </c>
      <c r="Z4796" s="245"/>
      <c r="AA4796" s="245"/>
      <c r="AB4796" s="245"/>
      <c r="AC4796" s="235" t="s">
        <v>35465</v>
      </c>
      <c r="AD4796" s="235" t="s">
        <v>1086</v>
      </c>
      <c r="AE4796" s="238">
        <v>152101.0</v>
      </c>
      <c r="AF4796" s="235" t="s">
        <v>631</v>
      </c>
      <c r="AG4796" s="245"/>
      <c r="AH4796" s="245"/>
      <c r="AI4796" s="245"/>
      <c r="AJ4796" s="245"/>
      <c r="AK4796" s="245"/>
      <c r="AL4796" s="245"/>
      <c r="AM4796" s="245"/>
      <c r="AN4796" s="245"/>
      <c r="AO4796" s="238">
        <v>0.0</v>
      </c>
      <c r="AP4796" s="238">
        <v>0.0</v>
      </c>
      <c r="AQ4796" s="235" t="s">
        <v>632</v>
      </c>
      <c r="AR4796" s="243">
        <v>3.7E11</v>
      </c>
      <c r="AS4796" s="235" t="s">
        <v>33466</v>
      </c>
      <c r="AT4796" s="235" t="s">
        <v>533</v>
      </c>
      <c r="AU4796" s="235" t="s">
        <v>634</v>
      </c>
      <c r="AV4796" s="246" t="s">
        <v>635</v>
      </c>
      <c r="AW4796" s="227"/>
      <c r="AX4796" s="227"/>
      <c r="AY4796" s="227"/>
      <c r="AZ4796" s="227"/>
      <c r="BA4796" s="227"/>
      <c r="BB4796" s="227"/>
      <c r="BC4796" s="227"/>
      <c r="BD4796" s="227"/>
      <c r="BE4796" s="227"/>
      <c r="BF4796" s="227"/>
    </row>
    <row r="4797">
      <c r="A4797" s="235" t="s">
        <v>35466</v>
      </c>
      <c r="C4797" s="235" t="s">
        <v>35467</v>
      </c>
      <c r="D4797" s="235" t="s">
        <v>35468</v>
      </c>
      <c r="E4797" s="243">
        <v>6.5E13</v>
      </c>
      <c r="F4797" s="245"/>
      <c r="G4797" s="235" t="s">
        <v>35469</v>
      </c>
      <c r="H4797" s="235" t="s">
        <v>35470</v>
      </c>
      <c r="I4797" s="235" t="s">
        <v>35470</v>
      </c>
      <c r="J4797" s="235" t="s">
        <v>35471</v>
      </c>
      <c r="K4797" s="235" t="s">
        <v>35472</v>
      </c>
      <c r="N4797" s="235" t="s">
        <v>127</v>
      </c>
      <c r="O4797" s="235" t="s">
        <v>794</v>
      </c>
      <c r="P4797" s="238">
        <v>1.0</v>
      </c>
      <c r="Q4797" s="235" t="s">
        <v>627</v>
      </c>
      <c r="R4797" s="238">
        <v>243.81</v>
      </c>
      <c r="S4797" s="238">
        <v>11.95</v>
      </c>
      <c r="T4797" s="238">
        <v>0.0</v>
      </c>
      <c r="U4797" s="238">
        <v>0.0</v>
      </c>
      <c r="V4797" s="238">
        <v>0.0</v>
      </c>
      <c r="W4797" s="238">
        <v>0.0</v>
      </c>
      <c r="X4797" s="235" t="s">
        <v>628</v>
      </c>
      <c r="Z4797" s="245"/>
      <c r="AA4797" s="245"/>
      <c r="AB4797" s="245"/>
      <c r="AC4797" s="235" t="s">
        <v>697</v>
      </c>
      <c r="AD4797" s="235" t="s">
        <v>698</v>
      </c>
      <c r="AE4797" s="238">
        <v>500088.0</v>
      </c>
      <c r="AF4797" s="235" t="s">
        <v>631</v>
      </c>
      <c r="AG4797" s="245"/>
      <c r="AH4797" s="245"/>
      <c r="AI4797" s="245"/>
      <c r="AJ4797" s="245"/>
      <c r="AK4797" s="245"/>
      <c r="AL4797" s="245"/>
      <c r="AM4797" s="245"/>
      <c r="AN4797" s="245"/>
      <c r="AO4797" s="238">
        <v>-4.88</v>
      </c>
      <c r="AP4797" s="238">
        <v>0.0</v>
      </c>
      <c r="AQ4797" s="235" t="s">
        <v>632</v>
      </c>
      <c r="AR4797" s="243">
        <v>3.7E11</v>
      </c>
      <c r="AS4797" s="235" t="s">
        <v>33466</v>
      </c>
      <c r="AT4797" s="235" t="s">
        <v>17</v>
      </c>
      <c r="AU4797" s="235" t="s">
        <v>634</v>
      </c>
      <c r="AV4797" s="246" t="s">
        <v>635</v>
      </c>
      <c r="AW4797" s="227"/>
      <c r="AX4797" s="227"/>
      <c r="AY4797" s="227"/>
      <c r="AZ4797" s="227"/>
      <c r="BA4797" s="227"/>
      <c r="BB4797" s="227"/>
      <c r="BC4797" s="227"/>
      <c r="BD4797" s="227"/>
      <c r="BE4797" s="227"/>
      <c r="BF4797" s="227"/>
    </row>
    <row r="4798">
      <c r="A4798" s="235" t="s">
        <v>35473</v>
      </c>
      <c r="C4798" s="235" t="s">
        <v>35474</v>
      </c>
      <c r="D4798" s="235" t="s">
        <v>35475</v>
      </c>
      <c r="E4798" s="243">
        <v>6.49E13</v>
      </c>
      <c r="F4798" s="245"/>
      <c r="G4798" s="235" t="s">
        <v>35476</v>
      </c>
      <c r="H4798" s="235" t="s">
        <v>35477</v>
      </c>
      <c r="I4798" s="235" t="s">
        <v>35478</v>
      </c>
      <c r="J4798" s="235" t="s">
        <v>35479</v>
      </c>
      <c r="K4798" s="235" t="s">
        <v>35480</v>
      </c>
      <c r="N4798" s="235" t="s">
        <v>4</v>
      </c>
      <c r="O4798" s="235" t="s">
        <v>1791</v>
      </c>
      <c r="P4798" s="238">
        <v>1.0</v>
      </c>
      <c r="Q4798" s="235" t="s">
        <v>627</v>
      </c>
      <c r="R4798" s="238">
        <v>265.71</v>
      </c>
      <c r="S4798" s="238">
        <v>12.89</v>
      </c>
      <c r="T4798" s="238">
        <v>38.1</v>
      </c>
      <c r="U4798" s="238">
        <v>1.9</v>
      </c>
      <c r="V4798" s="238">
        <v>0.0</v>
      </c>
      <c r="W4798" s="238">
        <v>0.0</v>
      </c>
      <c r="X4798" s="235" t="s">
        <v>628</v>
      </c>
      <c r="Z4798" s="245"/>
      <c r="AA4798" s="245"/>
      <c r="AB4798" s="245"/>
      <c r="AC4798" s="235" t="s">
        <v>795</v>
      </c>
      <c r="AD4798" s="235" t="s">
        <v>796</v>
      </c>
      <c r="AE4798" s="238">
        <v>110027.0</v>
      </c>
      <c r="AF4798" s="235" t="s">
        <v>631</v>
      </c>
      <c r="AG4798" s="245"/>
      <c r="AH4798" s="245"/>
      <c r="AI4798" s="245"/>
      <c r="AJ4798" s="245"/>
      <c r="AK4798" s="245"/>
      <c r="AL4798" s="245"/>
      <c r="AM4798" s="245"/>
      <c r="AN4798" s="245"/>
      <c r="AO4798" s="238">
        <v>-7.97</v>
      </c>
      <c r="AP4798" s="238">
        <v>-38.1</v>
      </c>
      <c r="AQ4798" s="235" t="s">
        <v>632</v>
      </c>
      <c r="AR4798" s="243">
        <v>3.7E11</v>
      </c>
      <c r="AS4798" s="235" t="s">
        <v>34510</v>
      </c>
      <c r="AT4798" s="235" t="s">
        <v>14</v>
      </c>
      <c r="AU4798" s="235" t="s">
        <v>634</v>
      </c>
      <c r="AV4798" s="246" t="s">
        <v>635</v>
      </c>
      <c r="AW4798" s="227"/>
      <c r="AX4798" s="227"/>
      <c r="AY4798" s="227"/>
      <c r="AZ4798" s="227"/>
      <c r="BA4798" s="227"/>
      <c r="BB4798" s="227"/>
      <c r="BC4798" s="227"/>
      <c r="BD4798" s="227"/>
      <c r="BE4798" s="227"/>
      <c r="BF4798" s="227"/>
    </row>
    <row r="4799">
      <c r="A4799" s="235" t="s">
        <v>35473</v>
      </c>
      <c r="C4799" s="235" t="s">
        <v>35474</v>
      </c>
      <c r="D4799" s="235" t="s">
        <v>35481</v>
      </c>
      <c r="E4799" s="243">
        <v>6.49E13</v>
      </c>
      <c r="F4799" s="245"/>
      <c r="G4799" s="235" t="s">
        <v>35476</v>
      </c>
      <c r="H4799" s="235" t="s">
        <v>35477</v>
      </c>
      <c r="I4799" s="235" t="s">
        <v>35478</v>
      </c>
      <c r="J4799" s="235" t="s">
        <v>35479</v>
      </c>
      <c r="K4799" s="235" t="s">
        <v>35480</v>
      </c>
      <c r="N4799" s="235" t="s">
        <v>4</v>
      </c>
      <c r="O4799" s="235" t="s">
        <v>1791</v>
      </c>
      <c r="P4799" s="238">
        <v>1.0</v>
      </c>
      <c r="Q4799" s="235" t="s">
        <v>627</v>
      </c>
      <c r="R4799" s="238">
        <v>265.71</v>
      </c>
      <c r="S4799" s="238">
        <v>12.89</v>
      </c>
      <c r="T4799" s="238">
        <v>38.1</v>
      </c>
      <c r="U4799" s="238">
        <v>1.9</v>
      </c>
      <c r="V4799" s="238">
        <v>0.0</v>
      </c>
      <c r="W4799" s="238">
        <v>0.0</v>
      </c>
      <c r="X4799" s="235" t="s">
        <v>628</v>
      </c>
      <c r="Z4799" s="245"/>
      <c r="AA4799" s="245"/>
      <c r="AB4799" s="245"/>
      <c r="AC4799" s="235" t="s">
        <v>795</v>
      </c>
      <c r="AD4799" s="235" t="s">
        <v>796</v>
      </c>
      <c r="AE4799" s="238">
        <v>110027.0</v>
      </c>
      <c r="AF4799" s="235" t="s">
        <v>631</v>
      </c>
      <c r="AG4799" s="245"/>
      <c r="AH4799" s="245"/>
      <c r="AI4799" s="245"/>
      <c r="AJ4799" s="245"/>
      <c r="AK4799" s="245"/>
      <c r="AL4799" s="245"/>
      <c r="AM4799" s="245"/>
      <c r="AN4799" s="245"/>
      <c r="AO4799" s="238">
        <v>-7.97</v>
      </c>
      <c r="AP4799" s="238">
        <v>-38.1</v>
      </c>
      <c r="AQ4799" s="235" t="s">
        <v>632</v>
      </c>
      <c r="AR4799" s="243">
        <v>3.7E11</v>
      </c>
      <c r="AS4799" s="235" t="s">
        <v>34510</v>
      </c>
      <c r="AT4799" s="235" t="s">
        <v>14</v>
      </c>
      <c r="AU4799" s="235" t="s">
        <v>634</v>
      </c>
      <c r="AV4799" s="246" t="s">
        <v>635</v>
      </c>
      <c r="AW4799" s="227"/>
      <c r="AX4799" s="227"/>
      <c r="AY4799" s="227"/>
      <c r="AZ4799" s="227"/>
      <c r="BA4799" s="227"/>
      <c r="BB4799" s="227"/>
      <c r="BC4799" s="227"/>
      <c r="BD4799" s="227"/>
      <c r="BE4799" s="227"/>
      <c r="BF4799" s="227"/>
    </row>
    <row r="4800">
      <c r="A4800" s="235" t="s">
        <v>35473</v>
      </c>
      <c r="C4800" s="235" t="s">
        <v>35474</v>
      </c>
      <c r="D4800" s="235" t="s">
        <v>35482</v>
      </c>
      <c r="E4800" s="243">
        <v>6.49E13</v>
      </c>
      <c r="F4800" s="245"/>
      <c r="G4800" s="235" t="s">
        <v>35476</v>
      </c>
      <c r="H4800" s="235" t="s">
        <v>35477</v>
      </c>
      <c r="I4800" s="235" t="s">
        <v>35478</v>
      </c>
      <c r="J4800" s="235" t="s">
        <v>35479</v>
      </c>
      <c r="K4800" s="235" t="s">
        <v>35480</v>
      </c>
      <c r="N4800" s="235" t="s">
        <v>4</v>
      </c>
      <c r="O4800" s="235" t="s">
        <v>1791</v>
      </c>
      <c r="P4800" s="238">
        <v>1.0</v>
      </c>
      <c r="Q4800" s="235" t="s">
        <v>627</v>
      </c>
      <c r="R4800" s="238">
        <v>265.71</v>
      </c>
      <c r="S4800" s="238">
        <v>12.89</v>
      </c>
      <c r="T4800" s="238">
        <v>38.1</v>
      </c>
      <c r="U4800" s="238">
        <v>1.9</v>
      </c>
      <c r="V4800" s="238">
        <v>0.0</v>
      </c>
      <c r="W4800" s="238">
        <v>0.0</v>
      </c>
      <c r="X4800" s="235" t="s">
        <v>628</v>
      </c>
      <c r="Z4800" s="245"/>
      <c r="AA4800" s="245"/>
      <c r="AB4800" s="245"/>
      <c r="AC4800" s="235" t="s">
        <v>795</v>
      </c>
      <c r="AD4800" s="235" t="s">
        <v>796</v>
      </c>
      <c r="AE4800" s="238">
        <v>110027.0</v>
      </c>
      <c r="AF4800" s="235" t="s">
        <v>631</v>
      </c>
      <c r="AG4800" s="245"/>
      <c r="AH4800" s="245"/>
      <c r="AI4800" s="245"/>
      <c r="AJ4800" s="245"/>
      <c r="AK4800" s="245"/>
      <c r="AL4800" s="245"/>
      <c r="AM4800" s="245"/>
      <c r="AN4800" s="245"/>
      <c r="AO4800" s="238">
        <v>-7.97</v>
      </c>
      <c r="AP4800" s="238">
        <v>-38.1</v>
      </c>
      <c r="AQ4800" s="235" t="s">
        <v>632</v>
      </c>
      <c r="AR4800" s="243">
        <v>3.7E11</v>
      </c>
      <c r="AS4800" s="235" t="s">
        <v>34510</v>
      </c>
      <c r="AT4800" s="235" t="s">
        <v>14</v>
      </c>
      <c r="AU4800" s="235" t="s">
        <v>634</v>
      </c>
      <c r="AV4800" s="246" t="s">
        <v>635</v>
      </c>
      <c r="AW4800" s="227"/>
      <c r="AX4800" s="227"/>
      <c r="AY4800" s="227"/>
      <c r="AZ4800" s="227"/>
      <c r="BA4800" s="227"/>
      <c r="BB4800" s="227"/>
      <c r="BC4800" s="227"/>
      <c r="BD4800" s="227"/>
      <c r="BE4800" s="227"/>
      <c r="BF4800" s="227"/>
    </row>
    <row r="4801">
      <c r="A4801" s="235" t="s">
        <v>35483</v>
      </c>
      <c r="C4801" s="235" t="s">
        <v>35484</v>
      </c>
      <c r="D4801" s="235" t="s">
        <v>35485</v>
      </c>
      <c r="E4801" s="243">
        <v>6.5E13</v>
      </c>
      <c r="F4801" s="245"/>
      <c r="G4801" s="235" t="s">
        <v>35486</v>
      </c>
      <c r="H4801" s="235" t="s">
        <v>35487</v>
      </c>
      <c r="I4801" s="235" t="s">
        <v>35487</v>
      </c>
      <c r="J4801" s="235" t="s">
        <v>35488</v>
      </c>
      <c r="K4801" s="235" t="s">
        <v>35489</v>
      </c>
      <c r="N4801" s="235" t="s">
        <v>47</v>
      </c>
      <c r="O4801" s="235" t="s">
        <v>270</v>
      </c>
      <c r="P4801" s="238">
        <v>1.0</v>
      </c>
      <c r="Q4801" s="235" t="s">
        <v>627</v>
      </c>
      <c r="R4801" s="238">
        <v>236.19</v>
      </c>
      <c r="S4801" s="238">
        <v>11.81</v>
      </c>
      <c r="T4801" s="238">
        <v>38.1</v>
      </c>
      <c r="U4801" s="238">
        <v>1.9</v>
      </c>
      <c r="V4801" s="238">
        <v>0.0</v>
      </c>
      <c r="W4801" s="238">
        <v>0.0</v>
      </c>
      <c r="X4801" s="235" t="s">
        <v>628</v>
      </c>
      <c r="Z4801" s="245"/>
      <c r="AA4801" s="245"/>
      <c r="AB4801" s="245"/>
      <c r="AC4801" s="235" t="s">
        <v>6896</v>
      </c>
      <c r="AD4801" s="235" t="s">
        <v>833</v>
      </c>
      <c r="AE4801" s="238">
        <v>533005.0</v>
      </c>
      <c r="AF4801" s="235" t="s">
        <v>631</v>
      </c>
      <c r="AG4801" s="245"/>
      <c r="AH4801" s="245"/>
      <c r="AI4801" s="245"/>
      <c r="AJ4801" s="245"/>
      <c r="AK4801" s="245"/>
      <c r="AL4801" s="245"/>
      <c r="AM4801" s="245"/>
      <c r="AN4801" s="245"/>
      <c r="AO4801" s="238">
        <v>0.0</v>
      </c>
      <c r="AP4801" s="238">
        <v>-38.1</v>
      </c>
      <c r="AQ4801" s="235" t="s">
        <v>632</v>
      </c>
      <c r="AR4801" s="243">
        <v>3.7E11</v>
      </c>
      <c r="AS4801" s="235" t="s">
        <v>29883</v>
      </c>
      <c r="AT4801" s="235" t="s">
        <v>9</v>
      </c>
      <c r="AU4801" s="235" t="s">
        <v>634</v>
      </c>
      <c r="AV4801" s="246" t="s">
        <v>635</v>
      </c>
      <c r="AW4801" s="227"/>
      <c r="AX4801" s="227"/>
      <c r="AY4801" s="227"/>
      <c r="AZ4801" s="227"/>
      <c r="BA4801" s="227"/>
      <c r="BB4801" s="227"/>
      <c r="BC4801" s="227"/>
      <c r="BD4801" s="227"/>
      <c r="BE4801" s="227"/>
      <c r="BF4801" s="227"/>
    </row>
    <row r="4802">
      <c r="A4802" s="235" t="s">
        <v>35490</v>
      </c>
      <c r="C4802" s="235" t="s">
        <v>35491</v>
      </c>
      <c r="D4802" s="235" t="s">
        <v>35492</v>
      </c>
      <c r="E4802" s="243">
        <v>6.5E13</v>
      </c>
      <c r="F4802" s="245"/>
      <c r="G4802" s="235" t="s">
        <v>35493</v>
      </c>
      <c r="H4802" s="235" t="s">
        <v>35494</v>
      </c>
      <c r="I4802" s="235" t="s">
        <v>35494</v>
      </c>
      <c r="J4802" s="235" t="s">
        <v>35495</v>
      </c>
      <c r="K4802" s="235" t="s">
        <v>35496</v>
      </c>
      <c r="N4802" s="235" t="s">
        <v>717</v>
      </c>
      <c r="O4802" s="235" t="s">
        <v>718</v>
      </c>
      <c r="P4802" s="238">
        <v>1.0</v>
      </c>
      <c r="Q4802" s="235" t="s">
        <v>627</v>
      </c>
      <c r="R4802" s="238">
        <v>456.19</v>
      </c>
      <c r="S4802" s="238">
        <v>22.81</v>
      </c>
      <c r="T4802" s="238">
        <v>0.0</v>
      </c>
      <c r="U4802" s="238">
        <v>0.0</v>
      </c>
      <c r="V4802" s="238">
        <v>0.0</v>
      </c>
      <c r="W4802" s="238">
        <v>0.0</v>
      </c>
      <c r="X4802" s="235" t="s">
        <v>628</v>
      </c>
      <c r="Z4802" s="245"/>
      <c r="AA4802" s="245"/>
      <c r="AB4802" s="245"/>
      <c r="AC4802" s="235" t="s">
        <v>795</v>
      </c>
      <c r="AD4802" s="235" t="s">
        <v>796</v>
      </c>
      <c r="AE4802" s="238">
        <v>110029.0</v>
      </c>
      <c r="AF4802" s="235" t="s">
        <v>631</v>
      </c>
      <c r="AG4802" s="245"/>
      <c r="AH4802" s="245"/>
      <c r="AI4802" s="245"/>
      <c r="AJ4802" s="245"/>
      <c r="AK4802" s="245"/>
      <c r="AL4802" s="245"/>
      <c r="AM4802" s="245"/>
      <c r="AN4802" s="245"/>
      <c r="AO4802" s="238">
        <v>0.0</v>
      </c>
      <c r="AP4802" s="238">
        <v>0.0</v>
      </c>
      <c r="AQ4802" s="235" t="s">
        <v>632</v>
      </c>
      <c r="AR4802" s="243">
        <v>1.68E11</v>
      </c>
      <c r="AS4802" s="235" t="s">
        <v>34913</v>
      </c>
      <c r="AT4802" s="235" t="s">
        <v>14</v>
      </c>
      <c r="AU4802" s="235" t="s">
        <v>634</v>
      </c>
      <c r="AV4802" s="246" t="s">
        <v>635</v>
      </c>
      <c r="AW4802" s="227"/>
      <c r="AX4802" s="227"/>
      <c r="AY4802" s="227"/>
      <c r="AZ4802" s="227"/>
      <c r="BA4802" s="227"/>
      <c r="BB4802" s="227"/>
      <c r="BC4802" s="227"/>
      <c r="BD4802" s="227"/>
      <c r="BE4802" s="227"/>
      <c r="BF4802" s="227"/>
    </row>
    <row r="4803">
      <c r="A4803" s="235" t="s">
        <v>35497</v>
      </c>
      <c r="C4803" s="235" t="s">
        <v>35498</v>
      </c>
      <c r="D4803" s="235" t="s">
        <v>35499</v>
      </c>
      <c r="E4803" s="243">
        <v>6.5E13</v>
      </c>
      <c r="F4803" s="245"/>
      <c r="G4803" s="235" t="s">
        <v>35500</v>
      </c>
      <c r="H4803" s="235" t="s">
        <v>35501</v>
      </c>
      <c r="I4803" s="235" t="s">
        <v>35501</v>
      </c>
      <c r="J4803" s="235" t="s">
        <v>35502</v>
      </c>
      <c r="K4803" s="235" t="s">
        <v>35503</v>
      </c>
      <c r="N4803" s="235" t="s">
        <v>82</v>
      </c>
      <c r="O4803" s="235" t="s">
        <v>889</v>
      </c>
      <c r="P4803" s="238">
        <v>1.0</v>
      </c>
      <c r="Q4803" s="235" t="s">
        <v>627</v>
      </c>
      <c r="R4803" s="238">
        <v>243.8</v>
      </c>
      <c r="S4803" s="238">
        <v>12.2</v>
      </c>
      <c r="T4803" s="238">
        <v>0.0</v>
      </c>
      <c r="U4803" s="238">
        <v>0.0</v>
      </c>
      <c r="V4803" s="238">
        <v>0.0</v>
      </c>
      <c r="W4803" s="238">
        <v>0.0</v>
      </c>
      <c r="X4803" s="235" t="s">
        <v>628</v>
      </c>
      <c r="Z4803" s="245"/>
      <c r="AA4803" s="245"/>
      <c r="AB4803" s="245"/>
      <c r="AC4803" s="235" t="s">
        <v>35504</v>
      </c>
      <c r="AD4803" s="235" t="s">
        <v>928</v>
      </c>
      <c r="AE4803" s="238">
        <v>132024.0</v>
      </c>
      <c r="AF4803" s="235" t="s">
        <v>631</v>
      </c>
      <c r="AG4803" s="245"/>
      <c r="AH4803" s="245"/>
      <c r="AI4803" s="245"/>
      <c r="AJ4803" s="245"/>
      <c r="AK4803" s="245"/>
      <c r="AL4803" s="245"/>
      <c r="AM4803" s="245"/>
      <c r="AN4803" s="245"/>
      <c r="AO4803" s="238">
        <v>0.0</v>
      </c>
      <c r="AP4803" s="238">
        <v>0.0</v>
      </c>
      <c r="AQ4803" s="235" t="s">
        <v>1328</v>
      </c>
      <c r="AR4803" s="243">
        <v>1.34E13</v>
      </c>
      <c r="AS4803" s="235" t="s">
        <v>31232</v>
      </c>
      <c r="AT4803" s="235" t="s">
        <v>14</v>
      </c>
      <c r="AU4803" s="235" t="s">
        <v>634</v>
      </c>
      <c r="AV4803" s="246" t="s">
        <v>635</v>
      </c>
      <c r="AW4803" s="227"/>
      <c r="AX4803" s="227"/>
      <c r="AY4803" s="227"/>
      <c r="AZ4803" s="227"/>
      <c r="BA4803" s="227"/>
      <c r="BB4803" s="227"/>
      <c r="BC4803" s="227"/>
      <c r="BD4803" s="227"/>
      <c r="BE4803" s="227"/>
      <c r="BF4803" s="227"/>
    </row>
    <row r="4804">
      <c r="A4804" s="235" t="s">
        <v>35505</v>
      </c>
      <c r="C4804" s="235" t="s">
        <v>35506</v>
      </c>
      <c r="D4804" s="235" t="s">
        <v>35507</v>
      </c>
      <c r="E4804" s="243">
        <v>6.5E13</v>
      </c>
      <c r="F4804" s="245"/>
      <c r="G4804" s="235" t="s">
        <v>35508</v>
      </c>
      <c r="H4804" s="235" t="s">
        <v>35509</v>
      </c>
      <c r="I4804" s="235" t="s">
        <v>35510</v>
      </c>
      <c r="J4804" s="235" t="s">
        <v>35511</v>
      </c>
      <c r="K4804" s="235" t="s">
        <v>35512</v>
      </c>
      <c r="N4804" s="235" t="s">
        <v>68</v>
      </c>
      <c r="O4804" s="235" t="s">
        <v>208</v>
      </c>
      <c r="P4804" s="238">
        <v>1.0</v>
      </c>
      <c r="Q4804" s="235" t="s">
        <v>627</v>
      </c>
      <c r="R4804" s="238">
        <v>246.67</v>
      </c>
      <c r="S4804" s="238">
        <v>12.33</v>
      </c>
      <c r="T4804" s="238">
        <v>0.0</v>
      </c>
      <c r="U4804" s="238">
        <v>0.0</v>
      </c>
      <c r="V4804" s="238">
        <v>0.0</v>
      </c>
      <c r="W4804" s="238">
        <v>0.0</v>
      </c>
      <c r="X4804" s="235" t="s">
        <v>628</v>
      </c>
      <c r="Z4804" s="245"/>
      <c r="AA4804" s="245"/>
      <c r="AB4804" s="245"/>
      <c r="AC4804" s="235" t="s">
        <v>1058</v>
      </c>
      <c r="AD4804" s="235" t="s">
        <v>845</v>
      </c>
      <c r="AE4804" s="238">
        <v>400042.0</v>
      </c>
      <c r="AF4804" s="235" t="s">
        <v>631</v>
      </c>
      <c r="AG4804" s="245"/>
      <c r="AH4804" s="245"/>
      <c r="AI4804" s="245"/>
      <c r="AJ4804" s="245"/>
      <c r="AK4804" s="245"/>
      <c r="AL4804" s="245"/>
      <c r="AM4804" s="245"/>
      <c r="AN4804" s="245"/>
      <c r="AO4804" s="238">
        <v>0.0</v>
      </c>
      <c r="AP4804" s="238">
        <v>0.0</v>
      </c>
      <c r="AQ4804" s="235" t="s">
        <v>632</v>
      </c>
      <c r="AR4804" s="243">
        <v>2.02E11</v>
      </c>
      <c r="AS4804" s="235" t="s">
        <v>34510</v>
      </c>
      <c r="AT4804" s="235" t="s">
        <v>5</v>
      </c>
      <c r="AU4804" s="235" t="s">
        <v>634</v>
      </c>
      <c r="AV4804" s="246" t="s">
        <v>635</v>
      </c>
      <c r="AW4804" s="227"/>
      <c r="AX4804" s="227"/>
      <c r="AY4804" s="227"/>
      <c r="AZ4804" s="227"/>
      <c r="BA4804" s="227"/>
      <c r="BB4804" s="227"/>
      <c r="BC4804" s="227"/>
      <c r="BD4804" s="227"/>
      <c r="BE4804" s="227"/>
      <c r="BF4804" s="227"/>
    </row>
    <row r="4805">
      <c r="A4805" s="235" t="s">
        <v>35513</v>
      </c>
      <c r="C4805" s="235" t="s">
        <v>35514</v>
      </c>
      <c r="D4805" s="235" t="s">
        <v>35515</v>
      </c>
      <c r="E4805" s="243">
        <v>6.5E13</v>
      </c>
      <c r="F4805" s="245"/>
      <c r="G4805" s="235" t="s">
        <v>35516</v>
      </c>
      <c r="H4805" s="235" t="s">
        <v>35517</v>
      </c>
      <c r="I4805" s="235" t="s">
        <v>35517</v>
      </c>
      <c r="J4805" s="235" t="s">
        <v>35518</v>
      </c>
      <c r="K4805" s="235" t="s">
        <v>35519</v>
      </c>
      <c r="N4805" s="235" t="s">
        <v>127</v>
      </c>
      <c r="O4805" s="235" t="s">
        <v>794</v>
      </c>
      <c r="P4805" s="238">
        <v>1.0</v>
      </c>
      <c r="Q4805" s="235" t="s">
        <v>627</v>
      </c>
      <c r="R4805" s="238">
        <v>243.8</v>
      </c>
      <c r="S4805" s="238">
        <v>12.2</v>
      </c>
      <c r="T4805" s="238">
        <v>0.0</v>
      </c>
      <c r="U4805" s="238">
        <v>0.0</v>
      </c>
      <c r="V4805" s="238">
        <v>0.0</v>
      </c>
      <c r="W4805" s="238">
        <v>0.0</v>
      </c>
      <c r="X4805" s="235" t="s">
        <v>628</v>
      </c>
      <c r="Z4805" s="245"/>
      <c r="AA4805" s="245"/>
      <c r="AB4805" s="245"/>
      <c r="AC4805" s="235" t="s">
        <v>687</v>
      </c>
      <c r="AD4805" s="235" t="s">
        <v>666</v>
      </c>
      <c r="AE4805" s="238">
        <v>600110.0</v>
      </c>
      <c r="AF4805" s="235" t="s">
        <v>631</v>
      </c>
      <c r="AG4805" s="245"/>
      <c r="AH4805" s="245"/>
      <c r="AI4805" s="245"/>
      <c r="AJ4805" s="245"/>
      <c r="AK4805" s="245"/>
      <c r="AL4805" s="245"/>
      <c r="AM4805" s="245"/>
      <c r="AN4805" s="245"/>
      <c r="AO4805" s="238">
        <v>0.0</v>
      </c>
      <c r="AP4805" s="238">
        <v>0.0</v>
      </c>
      <c r="AQ4805" s="235" t="s">
        <v>632</v>
      </c>
      <c r="AR4805" s="243">
        <v>1.68E11</v>
      </c>
      <c r="AS4805" s="235" t="s">
        <v>35520</v>
      </c>
      <c r="AT4805" s="235" t="s">
        <v>156</v>
      </c>
      <c r="AU4805" s="235" t="s">
        <v>634</v>
      </c>
      <c r="AV4805" s="246" t="s">
        <v>635</v>
      </c>
      <c r="AW4805" s="227"/>
      <c r="AX4805" s="227"/>
      <c r="AY4805" s="227"/>
      <c r="AZ4805" s="227"/>
      <c r="BA4805" s="227"/>
      <c r="BB4805" s="227"/>
      <c r="BC4805" s="227"/>
      <c r="BD4805" s="227"/>
      <c r="BE4805" s="227"/>
      <c r="BF4805" s="227"/>
    </row>
    <row r="4806">
      <c r="A4806" s="235" t="s">
        <v>35521</v>
      </c>
      <c r="C4806" s="235" t="s">
        <v>35522</v>
      </c>
      <c r="D4806" s="235" t="s">
        <v>35523</v>
      </c>
      <c r="E4806" s="243">
        <v>6.5E13</v>
      </c>
      <c r="F4806" s="245"/>
      <c r="G4806" s="235" t="s">
        <v>35524</v>
      </c>
      <c r="H4806" s="235" t="s">
        <v>35525</v>
      </c>
      <c r="I4806" s="235" t="s">
        <v>35525</v>
      </c>
      <c r="J4806" s="235" t="s">
        <v>35526</v>
      </c>
      <c r="K4806" s="235" t="s">
        <v>35527</v>
      </c>
      <c r="N4806" s="235" t="s">
        <v>136</v>
      </c>
      <c r="O4806" s="235" t="s">
        <v>256</v>
      </c>
      <c r="P4806" s="238">
        <v>1.0</v>
      </c>
      <c r="Q4806" s="235" t="s">
        <v>627</v>
      </c>
      <c r="R4806" s="238">
        <v>244.76</v>
      </c>
      <c r="S4806" s="238">
        <v>12.24</v>
      </c>
      <c r="T4806" s="238">
        <v>0.0</v>
      </c>
      <c r="U4806" s="238">
        <v>0.0</v>
      </c>
      <c r="V4806" s="238">
        <v>0.0</v>
      </c>
      <c r="W4806" s="238">
        <v>0.0</v>
      </c>
      <c r="X4806" s="235" t="s">
        <v>628</v>
      </c>
      <c r="Z4806" s="245"/>
      <c r="AA4806" s="245"/>
      <c r="AB4806" s="245"/>
      <c r="AC4806" s="235" t="s">
        <v>5003</v>
      </c>
      <c r="AD4806" s="235" t="s">
        <v>645</v>
      </c>
      <c r="AE4806" s="238">
        <v>683578.0</v>
      </c>
      <c r="AF4806" s="235" t="s">
        <v>631</v>
      </c>
      <c r="AG4806" s="245"/>
      <c r="AH4806" s="245"/>
      <c r="AI4806" s="245"/>
      <c r="AJ4806" s="245"/>
      <c r="AK4806" s="245"/>
      <c r="AL4806" s="245"/>
      <c r="AM4806" s="245"/>
      <c r="AN4806" s="245"/>
      <c r="AO4806" s="238">
        <v>0.0</v>
      </c>
      <c r="AP4806" s="238">
        <v>0.0</v>
      </c>
      <c r="AQ4806" s="235" t="s">
        <v>632</v>
      </c>
      <c r="AR4806" s="243">
        <v>3.7E11</v>
      </c>
      <c r="AS4806" s="235" t="s">
        <v>34510</v>
      </c>
      <c r="AT4806" s="235" t="s">
        <v>155</v>
      </c>
      <c r="AU4806" s="235" t="s">
        <v>634</v>
      </c>
      <c r="AV4806" s="246" t="s">
        <v>635</v>
      </c>
      <c r="AW4806" s="227"/>
      <c r="AX4806" s="227"/>
      <c r="AY4806" s="227"/>
      <c r="AZ4806" s="227"/>
      <c r="BA4806" s="227"/>
      <c r="BB4806" s="227"/>
      <c r="BC4806" s="227"/>
      <c r="BD4806" s="227"/>
      <c r="BE4806" s="227"/>
      <c r="BF4806" s="227"/>
    </row>
    <row r="4807">
      <c r="A4807" s="235" t="s">
        <v>35528</v>
      </c>
      <c r="C4807" s="235" t="s">
        <v>35529</v>
      </c>
      <c r="D4807" s="235" t="s">
        <v>35530</v>
      </c>
      <c r="E4807" s="243">
        <v>6.49E13</v>
      </c>
      <c r="F4807" s="245"/>
      <c r="G4807" s="235" t="s">
        <v>35531</v>
      </c>
      <c r="H4807" s="235" t="s">
        <v>35532</v>
      </c>
      <c r="I4807" s="235" t="s">
        <v>35532</v>
      </c>
      <c r="J4807" s="235" t="s">
        <v>35533</v>
      </c>
      <c r="K4807" s="235" t="s">
        <v>35534</v>
      </c>
      <c r="N4807" s="235" t="s">
        <v>6</v>
      </c>
      <c r="O4807" s="235" t="s">
        <v>806</v>
      </c>
      <c r="P4807" s="238">
        <v>1.0</v>
      </c>
      <c r="Q4807" s="235" t="s">
        <v>627</v>
      </c>
      <c r="R4807" s="238">
        <v>265.71</v>
      </c>
      <c r="S4807" s="238">
        <v>12.89</v>
      </c>
      <c r="T4807" s="238">
        <v>0.0</v>
      </c>
      <c r="U4807" s="238">
        <v>0.0</v>
      </c>
      <c r="V4807" s="238">
        <v>0.0</v>
      </c>
      <c r="W4807" s="238">
        <v>0.0</v>
      </c>
      <c r="X4807" s="235" t="s">
        <v>628</v>
      </c>
      <c r="Z4807" s="245"/>
      <c r="AA4807" s="245"/>
      <c r="AB4807" s="245"/>
      <c r="AC4807" s="235" t="s">
        <v>678</v>
      </c>
      <c r="AD4807" s="235" t="s">
        <v>679</v>
      </c>
      <c r="AE4807" s="238">
        <v>560036.0</v>
      </c>
      <c r="AF4807" s="235" t="s">
        <v>631</v>
      </c>
      <c r="AG4807" s="245"/>
      <c r="AH4807" s="245"/>
      <c r="AI4807" s="245"/>
      <c r="AJ4807" s="245"/>
      <c r="AK4807" s="245"/>
      <c r="AL4807" s="245"/>
      <c r="AM4807" s="245"/>
      <c r="AN4807" s="245"/>
      <c r="AO4807" s="238">
        <v>-7.97</v>
      </c>
      <c r="AP4807" s="238">
        <v>0.0</v>
      </c>
      <c r="AQ4807" s="235" t="s">
        <v>632</v>
      </c>
      <c r="AR4807" s="243">
        <v>1.68E11</v>
      </c>
      <c r="AS4807" s="235" t="s">
        <v>34510</v>
      </c>
      <c r="AT4807" s="235" t="s">
        <v>156</v>
      </c>
      <c r="AU4807" s="235" t="s">
        <v>634</v>
      </c>
      <c r="AV4807" s="246" t="s">
        <v>635</v>
      </c>
      <c r="AW4807" s="227"/>
      <c r="AX4807" s="227"/>
      <c r="AY4807" s="227"/>
      <c r="AZ4807" s="227"/>
      <c r="BA4807" s="227"/>
      <c r="BB4807" s="227"/>
      <c r="BC4807" s="227"/>
      <c r="BD4807" s="227"/>
      <c r="BE4807" s="227"/>
      <c r="BF4807" s="227"/>
    </row>
    <row r="4808">
      <c r="A4808" s="235" t="s">
        <v>35528</v>
      </c>
      <c r="C4808" s="235" t="s">
        <v>35529</v>
      </c>
      <c r="D4808" s="235" t="s">
        <v>35535</v>
      </c>
      <c r="E4808" s="243">
        <v>6.49E13</v>
      </c>
      <c r="F4808" s="245"/>
      <c r="G4808" s="235" t="s">
        <v>35531</v>
      </c>
      <c r="H4808" s="235" t="s">
        <v>35532</v>
      </c>
      <c r="I4808" s="235" t="s">
        <v>35532</v>
      </c>
      <c r="J4808" s="235" t="s">
        <v>35533</v>
      </c>
      <c r="K4808" s="235" t="s">
        <v>35534</v>
      </c>
      <c r="N4808" s="235" t="s">
        <v>6</v>
      </c>
      <c r="O4808" s="235" t="s">
        <v>806</v>
      </c>
      <c r="P4808" s="238">
        <v>1.0</v>
      </c>
      <c r="Q4808" s="235" t="s">
        <v>627</v>
      </c>
      <c r="R4808" s="238">
        <v>265.71</v>
      </c>
      <c r="S4808" s="238">
        <v>12.89</v>
      </c>
      <c r="T4808" s="238">
        <v>0.0</v>
      </c>
      <c r="U4808" s="238">
        <v>0.0</v>
      </c>
      <c r="V4808" s="238">
        <v>0.0</v>
      </c>
      <c r="W4808" s="238">
        <v>0.0</v>
      </c>
      <c r="X4808" s="235" t="s">
        <v>628</v>
      </c>
      <c r="Z4808" s="245"/>
      <c r="AA4808" s="245"/>
      <c r="AB4808" s="245"/>
      <c r="AC4808" s="235" t="s">
        <v>678</v>
      </c>
      <c r="AD4808" s="235" t="s">
        <v>679</v>
      </c>
      <c r="AE4808" s="238">
        <v>560036.0</v>
      </c>
      <c r="AF4808" s="235" t="s">
        <v>631</v>
      </c>
      <c r="AG4808" s="245"/>
      <c r="AH4808" s="245"/>
      <c r="AI4808" s="245"/>
      <c r="AJ4808" s="245"/>
      <c r="AK4808" s="245"/>
      <c r="AL4808" s="245"/>
      <c r="AM4808" s="245"/>
      <c r="AN4808" s="245"/>
      <c r="AO4808" s="238">
        <v>-7.97</v>
      </c>
      <c r="AP4808" s="238">
        <v>0.0</v>
      </c>
      <c r="AQ4808" s="235" t="s">
        <v>632</v>
      </c>
      <c r="AR4808" s="243">
        <v>1.68E11</v>
      </c>
      <c r="AS4808" s="235" t="s">
        <v>34510</v>
      </c>
      <c r="AT4808" s="235" t="s">
        <v>156</v>
      </c>
      <c r="AU4808" s="235" t="s">
        <v>634</v>
      </c>
      <c r="AV4808" s="246" t="s">
        <v>635</v>
      </c>
      <c r="AW4808" s="227"/>
      <c r="AX4808" s="227"/>
      <c r="AY4808" s="227"/>
      <c r="AZ4808" s="227"/>
      <c r="BA4808" s="227"/>
      <c r="BB4808" s="227"/>
      <c r="BC4808" s="227"/>
      <c r="BD4808" s="227"/>
      <c r="BE4808" s="227"/>
      <c r="BF4808" s="227"/>
    </row>
    <row r="4809">
      <c r="A4809" s="235" t="s">
        <v>35528</v>
      </c>
      <c r="C4809" s="235" t="s">
        <v>35529</v>
      </c>
      <c r="D4809" s="235" t="s">
        <v>35536</v>
      </c>
      <c r="E4809" s="243">
        <v>6.49E13</v>
      </c>
      <c r="F4809" s="245"/>
      <c r="G4809" s="235" t="s">
        <v>35531</v>
      </c>
      <c r="H4809" s="235" t="s">
        <v>35532</v>
      </c>
      <c r="I4809" s="235" t="s">
        <v>35532</v>
      </c>
      <c r="J4809" s="235" t="s">
        <v>35533</v>
      </c>
      <c r="K4809" s="235" t="s">
        <v>35534</v>
      </c>
      <c r="N4809" s="235" t="s">
        <v>6</v>
      </c>
      <c r="O4809" s="235" t="s">
        <v>806</v>
      </c>
      <c r="P4809" s="238">
        <v>1.0</v>
      </c>
      <c r="Q4809" s="235" t="s">
        <v>627</v>
      </c>
      <c r="R4809" s="238">
        <v>265.71</v>
      </c>
      <c r="S4809" s="238">
        <v>12.89</v>
      </c>
      <c r="T4809" s="238">
        <v>0.0</v>
      </c>
      <c r="U4809" s="238">
        <v>0.0</v>
      </c>
      <c r="V4809" s="238">
        <v>0.0</v>
      </c>
      <c r="W4809" s="238">
        <v>0.0</v>
      </c>
      <c r="X4809" s="235" t="s">
        <v>628</v>
      </c>
      <c r="Z4809" s="245"/>
      <c r="AA4809" s="245"/>
      <c r="AB4809" s="245"/>
      <c r="AC4809" s="235" t="s">
        <v>678</v>
      </c>
      <c r="AD4809" s="235" t="s">
        <v>679</v>
      </c>
      <c r="AE4809" s="238">
        <v>560036.0</v>
      </c>
      <c r="AF4809" s="235" t="s">
        <v>631</v>
      </c>
      <c r="AG4809" s="245"/>
      <c r="AH4809" s="245"/>
      <c r="AI4809" s="245"/>
      <c r="AJ4809" s="245"/>
      <c r="AK4809" s="245"/>
      <c r="AL4809" s="245"/>
      <c r="AM4809" s="245"/>
      <c r="AN4809" s="245"/>
      <c r="AO4809" s="238">
        <v>-7.97</v>
      </c>
      <c r="AP4809" s="238">
        <v>0.0</v>
      </c>
      <c r="AQ4809" s="235" t="s">
        <v>632</v>
      </c>
      <c r="AR4809" s="243">
        <v>1.68E11</v>
      </c>
      <c r="AS4809" s="235" t="s">
        <v>34510</v>
      </c>
      <c r="AT4809" s="235" t="s">
        <v>156</v>
      </c>
      <c r="AU4809" s="235" t="s">
        <v>634</v>
      </c>
      <c r="AV4809" s="246" t="s">
        <v>635</v>
      </c>
      <c r="AW4809" s="227"/>
      <c r="AX4809" s="227"/>
      <c r="AY4809" s="227"/>
      <c r="AZ4809" s="227"/>
      <c r="BA4809" s="227"/>
      <c r="BB4809" s="227"/>
      <c r="BC4809" s="227"/>
      <c r="BD4809" s="227"/>
      <c r="BE4809" s="227"/>
      <c r="BF4809" s="227"/>
    </row>
    <row r="4810">
      <c r="A4810" s="235" t="s">
        <v>35528</v>
      </c>
      <c r="C4810" s="235" t="s">
        <v>35529</v>
      </c>
      <c r="D4810" s="235" t="s">
        <v>35537</v>
      </c>
      <c r="E4810" s="243">
        <v>6.49E13</v>
      </c>
      <c r="F4810" s="245"/>
      <c r="G4810" s="235" t="s">
        <v>35531</v>
      </c>
      <c r="H4810" s="235" t="s">
        <v>35532</v>
      </c>
      <c r="I4810" s="235" t="s">
        <v>35532</v>
      </c>
      <c r="J4810" s="235" t="s">
        <v>35533</v>
      </c>
      <c r="K4810" s="235" t="s">
        <v>35534</v>
      </c>
      <c r="N4810" s="235" t="s">
        <v>6</v>
      </c>
      <c r="O4810" s="235" t="s">
        <v>806</v>
      </c>
      <c r="P4810" s="238">
        <v>1.0</v>
      </c>
      <c r="Q4810" s="235" t="s">
        <v>627</v>
      </c>
      <c r="R4810" s="238">
        <v>265.71</v>
      </c>
      <c r="S4810" s="238">
        <v>12.89</v>
      </c>
      <c r="T4810" s="238">
        <v>0.0</v>
      </c>
      <c r="U4810" s="238">
        <v>0.0</v>
      </c>
      <c r="V4810" s="238">
        <v>0.0</v>
      </c>
      <c r="W4810" s="238">
        <v>0.0</v>
      </c>
      <c r="X4810" s="235" t="s">
        <v>628</v>
      </c>
      <c r="Z4810" s="245"/>
      <c r="AA4810" s="245"/>
      <c r="AB4810" s="245"/>
      <c r="AC4810" s="235" t="s">
        <v>678</v>
      </c>
      <c r="AD4810" s="235" t="s">
        <v>679</v>
      </c>
      <c r="AE4810" s="238">
        <v>560036.0</v>
      </c>
      <c r="AF4810" s="235" t="s">
        <v>631</v>
      </c>
      <c r="AG4810" s="245"/>
      <c r="AH4810" s="245"/>
      <c r="AI4810" s="245"/>
      <c r="AJ4810" s="245"/>
      <c r="AK4810" s="245"/>
      <c r="AL4810" s="245"/>
      <c r="AM4810" s="245"/>
      <c r="AN4810" s="245"/>
      <c r="AO4810" s="238">
        <v>-7.97</v>
      </c>
      <c r="AP4810" s="238">
        <v>0.0</v>
      </c>
      <c r="AQ4810" s="235" t="s">
        <v>632</v>
      </c>
      <c r="AR4810" s="243">
        <v>1.68E11</v>
      </c>
      <c r="AS4810" s="235" t="s">
        <v>34510</v>
      </c>
      <c r="AT4810" s="235" t="s">
        <v>156</v>
      </c>
      <c r="AU4810" s="235" t="s">
        <v>634</v>
      </c>
      <c r="AV4810" s="246" t="s">
        <v>635</v>
      </c>
      <c r="AW4810" s="227"/>
      <c r="AX4810" s="227"/>
      <c r="AY4810" s="227"/>
      <c r="AZ4810" s="227"/>
      <c r="BA4810" s="227"/>
      <c r="BB4810" s="227"/>
      <c r="BC4810" s="227"/>
      <c r="BD4810" s="227"/>
      <c r="BE4810" s="227"/>
      <c r="BF4810" s="227"/>
    </row>
    <row r="4811">
      <c r="A4811" s="235" t="s">
        <v>35538</v>
      </c>
      <c r="C4811" s="235" t="s">
        <v>35539</v>
      </c>
      <c r="D4811" s="235" t="s">
        <v>35540</v>
      </c>
      <c r="E4811" s="243">
        <v>6.5E13</v>
      </c>
      <c r="F4811" s="245"/>
      <c r="G4811" s="235" t="s">
        <v>35541</v>
      </c>
      <c r="H4811" s="235" t="s">
        <v>35542</v>
      </c>
      <c r="I4811" s="235" t="s">
        <v>35542</v>
      </c>
      <c r="J4811" s="235" t="s">
        <v>35543</v>
      </c>
      <c r="K4811" s="235" t="s">
        <v>35544</v>
      </c>
      <c r="N4811" s="235" t="s">
        <v>55</v>
      </c>
      <c r="O4811" s="235" t="s">
        <v>244</v>
      </c>
      <c r="P4811" s="238">
        <v>1.0</v>
      </c>
      <c r="Q4811" s="235" t="s">
        <v>627</v>
      </c>
      <c r="R4811" s="238">
        <v>246.67</v>
      </c>
      <c r="S4811" s="238">
        <v>12.33</v>
      </c>
      <c r="T4811" s="238">
        <v>0.0</v>
      </c>
      <c r="U4811" s="238">
        <v>0.0</v>
      </c>
      <c r="V4811" s="238">
        <v>0.0</v>
      </c>
      <c r="W4811" s="238">
        <v>0.0</v>
      </c>
      <c r="X4811" s="235" t="s">
        <v>628</v>
      </c>
      <c r="Z4811" s="245"/>
      <c r="AA4811" s="245"/>
      <c r="AB4811" s="245"/>
      <c r="AC4811" s="235" t="s">
        <v>795</v>
      </c>
      <c r="AD4811" s="235" t="s">
        <v>796</v>
      </c>
      <c r="AE4811" s="238">
        <v>110020.0</v>
      </c>
      <c r="AF4811" s="235" t="s">
        <v>631</v>
      </c>
      <c r="AG4811" s="245"/>
      <c r="AH4811" s="245"/>
      <c r="AI4811" s="245"/>
      <c r="AJ4811" s="245"/>
      <c r="AK4811" s="245"/>
      <c r="AL4811" s="245"/>
      <c r="AM4811" s="245"/>
      <c r="AN4811" s="245"/>
      <c r="AO4811" s="238">
        <v>0.0</v>
      </c>
      <c r="AP4811" s="238">
        <v>0.0</v>
      </c>
      <c r="AQ4811" s="235" t="s">
        <v>632</v>
      </c>
      <c r="AR4811" s="243">
        <v>2.02E11</v>
      </c>
      <c r="AS4811" s="235" t="s">
        <v>34510</v>
      </c>
      <c r="AT4811" s="235" t="s">
        <v>11</v>
      </c>
      <c r="AU4811" s="235" t="s">
        <v>634</v>
      </c>
      <c r="AV4811" s="246" t="s">
        <v>635</v>
      </c>
      <c r="AW4811" s="227"/>
      <c r="AX4811" s="227"/>
      <c r="AY4811" s="227"/>
      <c r="AZ4811" s="227"/>
      <c r="BA4811" s="227"/>
      <c r="BB4811" s="227"/>
      <c r="BC4811" s="227"/>
      <c r="BD4811" s="227"/>
      <c r="BE4811" s="227"/>
      <c r="BF4811" s="227"/>
    </row>
    <row r="4812">
      <c r="A4812" s="235" t="s">
        <v>35545</v>
      </c>
      <c r="C4812" s="235" t="s">
        <v>35546</v>
      </c>
      <c r="D4812" s="235" t="s">
        <v>35547</v>
      </c>
      <c r="E4812" s="243">
        <v>6.5E13</v>
      </c>
      <c r="F4812" s="245"/>
      <c r="G4812" s="235" t="s">
        <v>35548</v>
      </c>
      <c r="H4812" s="235" t="s">
        <v>35549</v>
      </c>
      <c r="I4812" s="235" t="s">
        <v>35550</v>
      </c>
      <c r="J4812" s="235" t="s">
        <v>35551</v>
      </c>
      <c r="K4812" s="235" t="s">
        <v>35552</v>
      </c>
      <c r="N4812" s="235" t="s">
        <v>110</v>
      </c>
      <c r="O4812" s="235" t="s">
        <v>364</v>
      </c>
      <c r="P4812" s="238">
        <v>1.0</v>
      </c>
      <c r="Q4812" s="235" t="s">
        <v>627</v>
      </c>
      <c r="R4812" s="238">
        <v>246.67</v>
      </c>
      <c r="S4812" s="238">
        <v>12.08</v>
      </c>
      <c r="T4812" s="238">
        <v>0.0</v>
      </c>
      <c r="U4812" s="238">
        <v>0.0</v>
      </c>
      <c r="V4812" s="238">
        <v>0.0</v>
      </c>
      <c r="W4812" s="238">
        <v>0.0</v>
      </c>
      <c r="X4812" s="235" t="s">
        <v>628</v>
      </c>
      <c r="Z4812" s="245"/>
      <c r="AA4812" s="245"/>
      <c r="AB4812" s="245"/>
      <c r="AC4812" s="235" t="s">
        <v>844</v>
      </c>
      <c r="AD4812" s="235" t="s">
        <v>845</v>
      </c>
      <c r="AE4812" s="238">
        <v>411016.0</v>
      </c>
      <c r="AF4812" s="235" t="s">
        <v>631</v>
      </c>
      <c r="AG4812" s="245"/>
      <c r="AH4812" s="245"/>
      <c r="AI4812" s="245"/>
      <c r="AJ4812" s="245"/>
      <c r="AK4812" s="245"/>
      <c r="AL4812" s="245"/>
      <c r="AM4812" s="245"/>
      <c r="AN4812" s="245"/>
      <c r="AO4812" s="238">
        <v>-4.93</v>
      </c>
      <c r="AP4812" s="238">
        <v>0.0</v>
      </c>
      <c r="AQ4812" s="235" t="s">
        <v>632</v>
      </c>
      <c r="AR4812" s="243">
        <v>3.7E11</v>
      </c>
      <c r="AS4812" s="235" t="s">
        <v>31232</v>
      </c>
      <c r="AT4812" s="235" t="s">
        <v>156</v>
      </c>
      <c r="AU4812" s="235" t="s">
        <v>634</v>
      </c>
      <c r="AV4812" s="246" t="s">
        <v>635</v>
      </c>
      <c r="AW4812" s="227"/>
      <c r="AX4812" s="227"/>
      <c r="AY4812" s="227"/>
      <c r="AZ4812" s="227"/>
      <c r="BA4812" s="227"/>
      <c r="BB4812" s="227"/>
      <c r="BC4812" s="227"/>
      <c r="BD4812" s="227"/>
      <c r="BE4812" s="227"/>
      <c r="BF4812" s="227"/>
    </row>
    <row r="4813">
      <c r="A4813" s="235" t="s">
        <v>35553</v>
      </c>
      <c r="C4813" s="235" t="s">
        <v>35554</v>
      </c>
      <c r="D4813" s="235" t="s">
        <v>35555</v>
      </c>
      <c r="E4813" s="243">
        <v>6.5E13</v>
      </c>
      <c r="F4813" s="245"/>
      <c r="G4813" s="235" t="s">
        <v>35556</v>
      </c>
      <c r="H4813" s="235" t="s">
        <v>35557</v>
      </c>
      <c r="I4813" s="235" t="s">
        <v>35557</v>
      </c>
      <c r="J4813" s="235" t="s">
        <v>35558</v>
      </c>
      <c r="K4813" s="235" t="s">
        <v>35559</v>
      </c>
      <c r="N4813" s="235" t="s">
        <v>726</v>
      </c>
      <c r="O4813" s="235" t="s">
        <v>727</v>
      </c>
      <c r="P4813" s="238">
        <v>1.0</v>
      </c>
      <c r="Q4813" s="235" t="s">
        <v>627</v>
      </c>
      <c r="R4813" s="238">
        <v>244.76</v>
      </c>
      <c r="S4813" s="238">
        <v>12.24</v>
      </c>
      <c r="T4813" s="238">
        <v>0.0</v>
      </c>
      <c r="U4813" s="238">
        <v>0.0</v>
      </c>
      <c r="V4813" s="238">
        <v>0.0</v>
      </c>
      <c r="W4813" s="238">
        <v>0.0</v>
      </c>
      <c r="X4813" s="235" t="s">
        <v>628</v>
      </c>
      <c r="Z4813" s="245"/>
      <c r="AA4813" s="245"/>
      <c r="AB4813" s="245"/>
      <c r="AC4813" s="235" t="s">
        <v>2092</v>
      </c>
      <c r="AD4813" s="235" t="s">
        <v>845</v>
      </c>
      <c r="AE4813" s="238">
        <v>411060.0</v>
      </c>
      <c r="AF4813" s="235" t="s">
        <v>631</v>
      </c>
      <c r="AG4813" s="245"/>
      <c r="AH4813" s="245"/>
      <c r="AI4813" s="245"/>
      <c r="AJ4813" s="245"/>
      <c r="AK4813" s="245"/>
      <c r="AL4813" s="245"/>
      <c r="AM4813" s="245"/>
      <c r="AN4813" s="245"/>
      <c r="AO4813" s="238">
        <v>0.0</v>
      </c>
      <c r="AP4813" s="238">
        <v>0.0</v>
      </c>
      <c r="AQ4813" s="235" t="s">
        <v>632</v>
      </c>
      <c r="AR4813" s="243">
        <v>2.02E11</v>
      </c>
      <c r="AS4813" s="235" t="s">
        <v>34510</v>
      </c>
      <c r="AT4813" s="235" t="s">
        <v>11</v>
      </c>
      <c r="AU4813" s="235" t="s">
        <v>634</v>
      </c>
      <c r="AV4813" s="246" t="s">
        <v>635</v>
      </c>
      <c r="AW4813" s="227"/>
      <c r="AX4813" s="227"/>
      <c r="AY4813" s="227"/>
      <c r="AZ4813" s="227"/>
      <c r="BA4813" s="227"/>
      <c r="BB4813" s="227"/>
      <c r="BC4813" s="227"/>
      <c r="BD4813" s="227"/>
      <c r="BE4813" s="227"/>
      <c r="BF4813" s="227"/>
    </row>
    <row r="4814">
      <c r="A4814" s="235" t="s">
        <v>35560</v>
      </c>
      <c r="C4814" s="235" t="s">
        <v>35561</v>
      </c>
      <c r="D4814" s="235" t="s">
        <v>35562</v>
      </c>
      <c r="E4814" s="243">
        <v>6.49E13</v>
      </c>
      <c r="F4814" s="245"/>
      <c r="G4814" s="235" t="s">
        <v>35563</v>
      </c>
      <c r="H4814" s="235" t="s">
        <v>35564</v>
      </c>
      <c r="I4814" s="235" t="s">
        <v>35564</v>
      </c>
      <c r="J4814" s="235" t="s">
        <v>35565</v>
      </c>
      <c r="K4814" s="235" t="s">
        <v>35566</v>
      </c>
      <c r="N4814" s="235" t="s">
        <v>127</v>
      </c>
      <c r="O4814" s="235" t="s">
        <v>794</v>
      </c>
      <c r="P4814" s="238">
        <v>1.0</v>
      </c>
      <c r="Q4814" s="235" t="s">
        <v>627</v>
      </c>
      <c r="R4814" s="238">
        <v>243.81</v>
      </c>
      <c r="S4814" s="238">
        <v>12.19</v>
      </c>
      <c r="T4814" s="238">
        <v>0.0</v>
      </c>
      <c r="U4814" s="238">
        <v>0.0</v>
      </c>
      <c r="V4814" s="238">
        <v>0.0</v>
      </c>
      <c r="W4814" s="238">
        <v>0.0</v>
      </c>
      <c r="X4814" s="235" t="s">
        <v>628</v>
      </c>
      <c r="Z4814" s="245"/>
      <c r="AA4814" s="245"/>
      <c r="AB4814" s="245"/>
      <c r="AC4814" s="235" t="s">
        <v>795</v>
      </c>
      <c r="AD4814" s="235" t="s">
        <v>796</v>
      </c>
      <c r="AE4814" s="238">
        <v>110091.0</v>
      </c>
      <c r="AF4814" s="235" t="s">
        <v>631</v>
      </c>
      <c r="AG4814" s="245"/>
      <c r="AH4814" s="245"/>
      <c r="AI4814" s="245"/>
      <c r="AJ4814" s="245"/>
      <c r="AK4814" s="245"/>
      <c r="AL4814" s="245"/>
      <c r="AM4814" s="245"/>
      <c r="AN4814" s="245"/>
      <c r="AO4814" s="238">
        <v>0.0</v>
      </c>
      <c r="AP4814" s="238">
        <v>0.0</v>
      </c>
      <c r="AQ4814" s="235" t="s">
        <v>632</v>
      </c>
      <c r="AR4814" s="243">
        <v>3.7E11</v>
      </c>
      <c r="AS4814" s="235" t="s">
        <v>34510</v>
      </c>
      <c r="AT4814" s="235" t="s">
        <v>13</v>
      </c>
      <c r="AU4814" s="235" t="s">
        <v>634</v>
      </c>
      <c r="AV4814" s="246" t="s">
        <v>635</v>
      </c>
      <c r="AW4814" s="227"/>
      <c r="AX4814" s="227"/>
      <c r="AY4814" s="227"/>
      <c r="AZ4814" s="227"/>
      <c r="BA4814" s="227"/>
      <c r="BB4814" s="227"/>
      <c r="BC4814" s="227"/>
      <c r="BD4814" s="227"/>
      <c r="BE4814" s="227"/>
      <c r="BF4814" s="227"/>
    </row>
    <row r="4815">
      <c r="A4815" s="235" t="s">
        <v>35567</v>
      </c>
      <c r="C4815" s="235" t="s">
        <v>35568</v>
      </c>
      <c r="D4815" s="235" t="s">
        <v>35569</v>
      </c>
      <c r="E4815" s="243">
        <v>6.5E13</v>
      </c>
      <c r="F4815" s="245"/>
      <c r="G4815" s="235" t="s">
        <v>35570</v>
      </c>
      <c r="H4815" s="235" t="s">
        <v>35571</v>
      </c>
      <c r="I4815" s="235" t="s">
        <v>35571</v>
      </c>
      <c r="J4815" s="235" t="s">
        <v>35572</v>
      </c>
      <c r="K4815" s="235" t="s">
        <v>35573</v>
      </c>
      <c r="N4815" s="235" t="s">
        <v>144</v>
      </c>
      <c r="O4815" s="235" t="s">
        <v>232</v>
      </c>
      <c r="P4815" s="238">
        <v>1.0</v>
      </c>
      <c r="Q4815" s="235" t="s">
        <v>627</v>
      </c>
      <c r="R4815" s="238">
        <v>665.71</v>
      </c>
      <c r="S4815" s="238">
        <v>33.29</v>
      </c>
      <c r="T4815" s="238">
        <v>0.0</v>
      </c>
      <c r="U4815" s="238">
        <v>0.0</v>
      </c>
      <c r="V4815" s="238">
        <v>0.0</v>
      </c>
      <c r="W4815" s="238">
        <v>0.0</v>
      </c>
      <c r="X4815" s="235" t="s">
        <v>628</v>
      </c>
      <c r="Z4815" s="245"/>
      <c r="AA4815" s="245"/>
      <c r="AB4815" s="245"/>
      <c r="AC4815" s="235" t="s">
        <v>3313</v>
      </c>
      <c r="AD4815" s="235" t="s">
        <v>645</v>
      </c>
      <c r="AE4815" s="238">
        <v>673001.0</v>
      </c>
      <c r="AF4815" s="235" t="s">
        <v>631</v>
      </c>
      <c r="AG4815" s="245"/>
      <c r="AH4815" s="245"/>
      <c r="AI4815" s="245"/>
      <c r="AJ4815" s="245"/>
      <c r="AK4815" s="245"/>
      <c r="AL4815" s="245"/>
      <c r="AM4815" s="245"/>
      <c r="AN4815" s="245"/>
      <c r="AO4815" s="238">
        <v>0.0</v>
      </c>
      <c r="AP4815" s="238">
        <v>0.0</v>
      </c>
      <c r="AQ4815" s="235" t="s">
        <v>632</v>
      </c>
      <c r="AR4815" s="243">
        <v>3.7E11</v>
      </c>
      <c r="AS4815" s="235" t="s">
        <v>34510</v>
      </c>
      <c r="AT4815" s="235" t="s">
        <v>155</v>
      </c>
      <c r="AU4815" s="235" t="s">
        <v>634</v>
      </c>
      <c r="AV4815" s="246" t="s">
        <v>635</v>
      </c>
      <c r="AW4815" s="227"/>
      <c r="AX4815" s="227"/>
      <c r="AY4815" s="227"/>
      <c r="AZ4815" s="227"/>
      <c r="BA4815" s="227"/>
      <c r="BB4815" s="227"/>
      <c r="BC4815" s="227"/>
      <c r="BD4815" s="227"/>
      <c r="BE4815" s="227"/>
      <c r="BF4815" s="227"/>
    </row>
    <row r="4816">
      <c r="A4816" s="235" t="s">
        <v>35574</v>
      </c>
      <c r="C4816" s="235" t="s">
        <v>35575</v>
      </c>
      <c r="D4816" s="235" t="s">
        <v>35576</v>
      </c>
      <c r="E4816" s="243">
        <v>6.5E13</v>
      </c>
      <c r="F4816" s="245"/>
      <c r="G4816" s="235" t="s">
        <v>35577</v>
      </c>
      <c r="H4816" s="235" t="s">
        <v>35578</v>
      </c>
      <c r="I4816" s="235" t="s">
        <v>35578</v>
      </c>
      <c r="J4816" s="235" t="s">
        <v>35579</v>
      </c>
      <c r="K4816" s="235" t="s">
        <v>35580</v>
      </c>
      <c r="N4816" s="235" t="s">
        <v>71</v>
      </c>
      <c r="O4816" s="235" t="s">
        <v>240</v>
      </c>
      <c r="P4816" s="238">
        <v>1.0</v>
      </c>
      <c r="Q4816" s="235" t="s">
        <v>627</v>
      </c>
      <c r="R4816" s="238">
        <v>246.67</v>
      </c>
      <c r="S4816" s="238">
        <v>12.33</v>
      </c>
      <c r="T4816" s="238">
        <v>0.0</v>
      </c>
      <c r="U4816" s="238">
        <v>0.0</v>
      </c>
      <c r="V4816" s="238">
        <v>0.0</v>
      </c>
      <c r="W4816" s="238">
        <v>0.0</v>
      </c>
      <c r="X4816" s="235" t="s">
        <v>628</v>
      </c>
      <c r="Z4816" s="245"/>
      <c r="AA4816" s="245"/>
      <c r="AB4816" s="245"/>
      <c r="AC4816" s="235" t="s">
        <v>697</v>
      </c>
      <c r="AD4816" s="235" t="s">
        <v>698</v>
      </c>
      <c r="AE4816" s="238">
        <v>500058.0</v>
      </c>
      <c r="AF4816" s="235" t="s">
        <v>631</v>
      </c>
      <c r="AG4816" s="245"/>
      <c r="AH4816" s="245"/>
      <c r="AI4816" s="245"/>
      <c r="AJ4816" s="245"/>
      <c r="AK4816" s="245"/>
      <c r="AL4816" s="245"/>
      <c r="AM4816" s="245"/>
      <c r="AN4816" s="245"/>
      <c r="AO4816" s="238">
        <v>0.0</v>
      </c>
      <c r="AP4816" s="238">
        <v>0.0</v>
      </c>
      <c r="AQ4816" s="235" t="s">
        <v>632</v>
      </c>
      <c r="AR4816" s="243">
        <v>1.68E11</v>
      </c>
      <c r="AS4816" s="235" t="s">
        <v>34510</v>
      </c>
      <c r="AT4816" s="235" t="s">
        <v>9</v>
      </c>
      <c r="AU4816" s="235" t="s">
        <v>634</v>
      </c>
      <c r="AV4816" s="246" t="s">
        <v>635</v>
      </c>
      <c r="AW4816" s="227"/>
      <c r="AX4816" s="227"/>
      <c r="AY4816" s="227"/>
      <c r="AZ4816" s="227"/>
      <c r="BA4816" s="227"/>
      <c r="BB4816" s="227"/>
      <c r="BC4816" s="227"/>
      <c r="BD4816" s="227"/>
      <c r="BE4816" s="227"/>
      <c r="BF4816" s="227"/>
    </row>
    <row r="4817">
      <c r="A4817" s="235" t="s">
        <v>35581</v>
      </c>
      <c r="C4817" s="235" t="s">
        <v>35582</v>
      </c>
      <c r="D4817" s="235" t="s">
        <v>35583</v>
      </c>
      <c r="E4817" s="243">
        <v>6.5E13</v>
      </c>
      <c r="F4817" s="245"/>
      <c r="G4817" s="235" t="s">
        <v>35584</v>
      </c>
      <c r="H4817" s="235" t="s">
        <v>35585</v>
      </c>
      <c r="I4817" s="235" t="s">
        <v>35585</v>
      </c>
      <c r="J4817" s="235" t="s">
        <v>35586</v>
      </c>
      <c r="K4817" s="235" t="s">
        <v>35587</v>
      </c>
      <c r="N4817" s="235" t="s">
        <v>127</v>
      </c>
      <c r="O4817" s="235" t="s">
        <v>794</v>
      </c>
      <c r="P4817" s="238">
        <v>1.0</v>
      </c>
      <c r="Q4817" s="235" t="s">
        <v>627</v>
      </c>
      <c r="R4817" s="238">
        <v>243.8</v>
      </c>
      <c r="S4817" s="238">
        <v>12.2</v>
      </c>
      <c r="T4817" s="238">
        <v>0.0</v>
      </c>
      <c r="U4817" s="238">
        <v>0.0</v>
      </c>
      <c r="V4817" s="238">
        <v>0.0</v>
      </c>
      <c r="W4817" s="238">
        <v>0.0</v>
      </c>
      <c r="X4817" s="235" t="s">
        <v>628</v>
      </c>
      <c r="Z4817" s="245"/>
      <c r="AA4817" s="245"/>
      <c r="AB4817" s="245"/>
      <c r="AC4817" s="235" t="s">
        <v>2092</v>
      </c>
      <c r="AD4817" s="235" t="s">
        <v>845</v>
      </c>
      <c r="AE4817" s="238">
        <v>411060.0</v>
      </c>
      <c r="AF4817" s="235" t="s">
        <v>631</v>
      </c>
      <c r="AG4817" s="245"/>
      <c r="AH4817" s="245"/>
      <c r="AI4817" s="245"/>
      <c r="AJ4817" s="245"/>
      <c r="AK4817" s="245"/>
      <c r="AL4817" s="245"/>
      <c r="AM4817" s="245"/>
      <c r="AN4817" s="245"/>
      <c r="AO4817" s="238">
        <v>0.0</v>
      </c>
      <c r="AP4817" s="238">
        <v>0.0</v>
      </c>
      <c r="AQ4817" s="235" t="s">
        <v>632</v>
      </c>
      <c r="AR4817" s="243">
        <v>1.68E11</v>
      </c>
      <c r="AS4817" s="235" t="s">
        <v>35520</v>
      </c>
      <c r="AT4817" s="235" t="s">
        <v>546</v>
      </c>
      <c r="AU4817" s="235" t="s">
        <v>634</v>
      </c>
      <c r="AV4817" s="246" t="s">
        <v>635</v>
      </c>
      <c r="AW4817" s="227"/>
      <c r="AX4817" s="227"/>
      <c r="AY4817" s="227"/>
      <c r="AZ4817" s="227"/>
      <c r="BA4817" s="227"/>
      <c r="BB4817" s="227"/>
      <c r="BC4817" s="227"/>
      <c r="BD4817" s="227"/>
      <c r="BE4817" s="227"/>
      <c r="BF4817" s="227"/>
    </row>
    <row r="4818">
      <c r="A4818" s="235" t="s">
        <v>35588</v>
      </c>
      <c r="C4818" s="235" t="s">
        <v>35589</v>
      </c>
      <c r="D4818" s="235" t="s">
        <v>35590</v>
      </c>
      <c r="E4818" s="243">
        <v>6.5E13</v>
      </c>
      <c r="F4818" s="245"/>
      <c r="G4818" s="235" t="s">
        <v>35591</v>
      </c>
      <c r="H4818" s="235" t="s">
        <v>35592</v>
      </c>
      <c r="I4818" s="235" t="s">
        <v>35593</v>
      </c>
      <c r="J4818" s="235" t="s">
        <v>35594</v>
      </c>
      <c r="K4818" s="235" t="s">
        <v>35595</v>
      </c>
      <c r="N4818" s="235" t="s">
        <v>92</v>
      </c>
      <c r="O4818" s="235" t="s">
        <v>248</v>
      </c>
      <c r="P4818" s="238">
        <v>1.0</v>
      </c>
      <c r="Q4818" s="235" t="s">
        <v>627</v>
      </c>
      <c r="R4818" s="238">
        <v>244.76</v>
      </c>
      <c r="S4818" s="238">
        <v>12.24</v>
      </c>
      <c r="T4818" s="238">
        <v>0.0</v>
      </c>
      <c r="U4818" s="238">
        <v>0.0</v>
      </c>
      <c r="V4818" s="238">
        <v>0.0</v>
      </c>
      <c r="W4818" s="238">
        <v>0.0</v>
      </c>
      <c r="X4818" s="235" t="s">
        <v>628</v>
      </c>
      <c r="Z4818" s="245"/>
      <c r="AA4818" s="245"/>
      <c r="AB4818" s="245"/>
      <c r="AC4818" s="235" t="s">
        <v>697</v>
      </c>
      <c r="AD4818" s="235" t="s">
        <v>698</v>
      </c>
      <c r="AE4818" s="238">
        <v>500032.0</v>
      </c>
      <c r="AF4818" s="235" t="s">
        <v>631</v>
      </c>
      <c r="AG4818" s="245"/>
      <c r="AH4818" s="245"/>
      <c r="AI4818" s="245"/>
      <c r="AJ4818" s="245"/>
      <c r="AK4818" s="245"/>
      <c r="AL4818" s="245"/>
      <c r="AM4818" s="245"/>
      <c r="AN4818" s="245"/>
      <c r="AO4818" s="238">
        <v>0.0</v>
      </c>
      <c r="AP4818" s="238">
        <v>0.0</v>
      </c>
      <c r="AQ4818" s="235" t="s">
        <v>632</v>
      </c>
      <c r="AR4818" s="243">
        <v>1.68E11</v>
      </c>
      <c r="AS4818" s="235" t="s">
        <v>34510</v>
      </c>
      <c r="AT4818" s="235" t="s">
        <v>9</v>
      </c>
      <c r="AU4818" s="235" t="s">
        <v>634</v>
      </c>
      <c r="AV4818" s="246" t="s">
        <v>635</v>
      </c>
      <c r="AW4818" s="227"/>
      <c r="AX4818" s="227"/>
      <c r="AY4818" s="227"/>
      <c r="AZ4818" s="227"/>
      <c r="BA4818" s="227"/>
      <c r="BB4818" s="227"/>
      <c r="BC4818" s="227"/>
      <c r="BD4818" s="227"/>
      <c r="BE4818" s="227"/>
      <c r="BF4818" s="227"/>
    </row>
    <row r="4819">
      <c r="A4819" s="235" t="s">
        <v>35596</v>
      </c>
      <c r="C4819" s="235" t="s">
        <v>35597</v>
      </c>
      <c r="D4819" s="235" t="s">
        <v>35598</v>
      </c>
      <c r="E4819" s="243">
        <v>6.5E13</v>
      </c>
      <c r="F4819" s="245"/>
      <c r="G4819" s="235" t="s">
        <v>35599</v>
      </c>
      <c r="H4819" s="235" t="s">
        <v>35600</v>
      </c>
      <c r="I4819" s="235" t="s">
        <v>35600</v>
      </c>
      <c r="J4819" s="235" t="s">
        <v>35601</v>
      </c>
      <c r="K4819" s="235" t="s">
        <v>35014</v>
      </c>
      <c r="N4819" s="235" t="s">
        <v>68</v>
      </c>
      <c r="O4819" s="235" t="s">
        <v>208</v>
      </c>
      <c r="P4819" s="238">
        <v>1.0</v>
      </c>
      <c r="Q4819" s="235" t="s">
        <v>627</v>
      </c>
      <c r="R4819" s="238">
        <v>246.66</v>
      </c>
      <c r="S4819" s="238">
        <v>12.34</v>
      </c>
      <c r="T4819" s="238">
        <v>0.0</v>
      </c>
      <c r="U4819" s="238">
        <v>0.0</v>
      </c>
      <c r="V4819" s="238">
        <v>0.0</v>
      </c>
      <c r="W4819" s="238">
        <v>0.0</v>
      </c>
      <c r="X4819" s="235" t="s">
        <v>628</v>
      </c>
      <c r="Z4819" s="245"/>
      <c r="AA4819" s="245"/>
      <c r="AB4819" s="245"/>
      <c r="AC4819" s="235" t="s">
        <v>1671</v>
      </c>
      <c r="AD4819" s="235" t="s">
        <v>666</v>
      </c>
      <c r="AE4819" s="238">
        <v>641005.0</v>
      </c>
      <c r="AF4819" s="235" t="s">
        <v>631</v>
      </c>
      <c r="AG4819" s="245"/>
      <c r="AH4819" s="245"/>
      <c r="AI4819" s="245"/>
      <c r="AJ4819" s="245"/>
      <c r="AK4819" s="245"/>
      <c r="AL4819" s="245"/>
      <c r="AM4819" s="245"/>
      <c r="AN4819" s="245"/>
      <c r="AO4819" s="238">
        <v>0.0</v>
      </c>
      <c r="AP4819" s="238">
        <v>0.0</v>
      </c>
      <c r="AQ4819" s="235" t="s">
        <v>632</v>
      </c>
      <c r="AR4819" s="243">
        <v>1.68E11</v>
      </c>
      <c r="AS4819" s="235" t="s">
        <v>35520</v>
      </c>
      <c r="AT4819" s="235" t="s">
        <v>155</v>
      </c>
      <c r="AU4819" s="235" t="s">
        <v>634</v>
      </c>
      <c r="AV4819" s="246" t="s">
        <v>635</v>
      </c>
      <c r="AW4819" s="227"/>
      <c r="AX4819" s="227"/>
      <c r="AY4819" s="227"/>
      <c r="AZ4819" s="227"/>
      <c r="BA4819" s="227"/>
      <c r="BB4819" s="227"/>
      <c r="BC4819" s="227"/>
      <c r="BD4819" s="227"/>
      <c r="BE4819" s="227"/>
      <c r="BF4819" s="227"/>
    </row>
    <row r="4820">
      <c r="A4820" s="235" t="s">
        <v>35602</v>
      </c>
      <c r="C4820" s="235" t="s">
        <v>35603</v>
      </c>
      <c r="D4820" s="235" t="s">
        <v>35604</v>
      </c>
      <c r="E4820" s="243">
        <v>6.48E13</v>
      </c>
      <c r="F4820" s="245"/>
      <c r="G4820" s="235" t="s">
        <v>35605</v>
      </c>
      <c r="H4820" s="235" t="s">
        <v>35606</v>
      </c>
      <c r="I4820" s="235" t="s">
        <v>35606</v>
      </c>
      <c r="J4820" s="235" t="s">
        <v>35607</v>
      </c>
      <c r="K4820" s="235" t="s">
        <v>35608</v>
      </c>
      <c r="N4820" s="235" t="s">
        <v>90</v>
      </c>
      <c r="O4820" s="235" t="s">
        <v>279</v>
      </c>
      <c r="P4820" s="238">
        <v>1.0</v>
      </c>
      <c r="Q4820" s="235" t="s">
        <v>627</v>
      </c>
      <c r="R4820" s="238">
        <v>243.81</v>
      </c>
      <c r="S4820" s="238">
        <v>12.19</v>
      </c>
      <c r="T4820" s="238">
        <v>38.1</v>
      </c>
      <c r="U4820" s="238">
        <v>1.9</v>
      </c>
      <c r="V4820" s="238">
        <v>0.0</v>
      </c>
      <c r="W4820" s="238">
        <v>0.0</v>
      </c>
      <c r="X4820" s="235" t="s">
        <v>628</v>
      </c>
      <c r="Z4820" s="245"/>
      <c r="AA4820" s="245"/>
      <c r="AB4820" s="245"/>
      <c r="AC4820" s="235" t="s">
        <v>6571</v>
      </c>
      <c r="AD4820" s="235" t="s">
        <v>731</v>
      </c>
      <c r="AE4820" s="238">
        <v>781029.0</v>
      </c>
      <c r="AF4820" s="235" t="s">
        <v>631</v>
      </c>
      <c r="AG4820" s="245"/>
      <c r="AH4820" s="245"/>
      <c r="AI4820" s="245"/>
      <c r="AJ4820" s="245"/>
      <c r="AK4820" s="245"/>
      <c r="AL4820" s="245"/>
      <c r="AM4820" s="245"/>
      <c r="AN4820" s="245"/>
      <c r="AO4820" s="238">
        <v>0.0</v>
      </c>
      <c r="AP4820" s="238">
        <v>-38.1</v>
      </c>
      <c r="AQ4820" s="235" t="s">
        <v>632</v>
      </c>
      <c r="AR4820" s="243">
        <v>3.7E11</v>
      </c>
      <c r="AS4820" s="235" t="s">
        <v>31232</v>
      </c>
      <c r="AT4820" s="235" t="s">
        <v>533</v>
      </c>
      <c r="AU4820" s="235" t="s">
        <v>634</v>
      </c>
      <c r="AV4820" s="246" t="s">
        <v>635</v>
      </c>
      <c r="AW4820" s="227"/>
      <c r="AX4820" s="227"/>
      <c r="AY4820" s="227"/>
      <c r="AZ4820" s="227"/>
      <c r="BA4820" s="227"/>
      <c r="BB4820" s="227"/>
      <c r="BC4820" s="227"/>
      <c r="BD4820" s="227"/>
      <c r="BE4820" s="227"/>
      <c r="BF4820" s="227"/>
    </row>
    <row r="4821">
      <c r="A4821" s="235" t="s">
        <v>35609</v>
      </c>
      <c r="C4821" s="235" t="s">
        <v>35610</v>
      </c>
      <c r="D4821" s="235" t="s">
        <v>35611</v>
      </c>
      <c r="E4821" s="243">
        <v>6.49E13</v>
      </c>
      <c r="F4821" s="245"/>
      <c r="G4821" s="235" t="s">
        <v>35612</v>
      </c>
      <c r="H4821" s="235" t="s">
        <v>35613</v>
      </c>
      <c r="I4821" s="235" t="s">
        <v>35613</v>
      </c>
      <c r="J4821" s="235" t="s">
        <v>35614</v>
      </c>
      <c r="K4821" s="235" t="s">
        <v>35615</v>
      </c>
      <c r="N4821" s="235" t="s">
        <v>130</v>
      </c>
      <c r="O4821" s="235" t="s">
        <v>707</v>
      </c>
      <c r="P4821" s="238">
        <v>1.0</v>
      </c>
      <c r="Q4821" s="235" t="s">
        <v>627</v>
      </c>
      <c r="R4821" s="238">
        <v>243.8</v>
      </c>
      <c r="S4821" s="238">
        <v>12.2</v>
      </c>
      <c r="T4821" s="238">
        <v>0.0</v>
      </c>
      <c r="U4821" s="238">
        <v>0.0</v>
      </c>
      <c r="V4821" s="238">
        <v>0.0</v>
      </c>
      <c r="W4821" s="238">
        <v>0.0</v>
      </c>
      <c r="X4821" s="235" t="s">
        <v>628</v>
      </c>
      <c r="Z4821" s="245"/>
      <c r="AA4821" s="245"/>
      <c r="AB4821" s="245"/>
      <c r="AC4821" s="235" t="s">
        <v>1456</v>
      </c>
      <c r="AD4821" s="235" t="s">
        <v>928</v>
      </c>
      <c r="AE4821" s="238">
        <v>122004.0</v>
      </c>
      <c r="AF4821" s="235" t="s">
        <v>631</v>
      </c>
      <c r="AG4821" s="245"/>
      <c r="AH4821" s="245"/>
      <c r="AI4821" s="245"/>
      <c r="AJ4821" s="245"/>
      <c r="AK4821" s="245"/>
      <c r="AL4821" s="245"/>
      <c r="AM4821" s="245"/>
      <c r="AN4821" s="245"/>
      <c r="AO4821" s="238">
        <v>0.0</v>
      </c>
      <c r="AP4821" s="238">
        <v>0.0</v>
      </c>
      <c r="AQ4821" s="235" t="s">
        <v>632</v>
      </c>
      <c r="AR4821" s="243">
        <v>3.7E11</v>
      </c>
      <c r="AS4821" s="235" t="s">
        <v>34510</v>
      </c>
      <c r="AT4821" s="235" t="s">
        <v>13</v>
      </c>
      <c r="AU4821" s="235" t="s">
        <v>634</v>
      </c>
      <c r="AV4821" s="246" t="s">
        <v>635</v>
      </c>
      <c r="AW4821" s="227"/>
      <c r="AX4821" s="227"/>
      <c r="AY4821" s="227"/>
      <c r="AZ4821" s="227"/>
      <c r="BA4821" s="227"/>
      <c r="BB4821" s="227"/>
      <c r="BC4821" s="227"/>
      <c r="BD4821" s="227"/>
      <c r="BE4821" s="227"/>
      <c r="BF4821" s="227"/>
    </row>
    <row r="4822">
      <c r="A4822" s="235" t="s">
        <v>35616</v>
      </c>
      <c r="C4822" s="235" t="s">
        <v>35617</v>
      </c>
      <c r="D4822" s="235" t="s">
        <v>35618</v>
      </c>
      <c r="E4822" s="243">
        <v>6.5E13</v>
      </c>
      <c r="F4822" s="245"/>
      <c r="G4822" s="235" t="s">
        <v>35619</v>
      </c>
      <c r="H4822" s="235" t="s">
        <v>35620</v>
      </c>
      <c r="I4822" s="235" t="s">
        <v>35621</v>
      </c>
      <c r="J4822" s="235" t="s">
        <v>35622</v>
      </c>
      <c r="K4822" s="235" t="s">
        <v>35623</v>
      </c>
      <c r="N4822" s="235" t="s">
        <v>82</v>
      </c>
      <c r="O4822" s="235" t="s">
        <v>889</v>
      </c>
      <c r="P4822" s="238">
        <v>1.0</v>
      </c>
      <c r="Q4822" s="235" t="s">
        <v>627</v>
      </c>
      <c r="R4822" s="238">
        <v>243.8</v>
      </c>
      <c r="S4822" s="238">
        <v>12.2</v>
      </c>
      <c r="T4822" s="238">
        <v>0.0</v>
      </c>
      <c r="U4822" s="238">
        <v>0.0</v>
      </c>
      <c r="V4822" s="238">
        <v>0.0</v>
      </c>
      <c r="W4822" s="238">
        <v>0.0</v>
      </c>
      <c r="X4822" s="235" t="s">
        <v>628</v>
      </c>
      <c r="Z4822" s="245"/>
      <c r="AA4822" s="245"/>
      <c r="AB4822" s="245"/>
      <c r="AC4822" s="235" t="s">
        <v>1456</v>
      </c>
      <c r="AD4822" s="235" t="s">
        <v>928</v>
      </c>
      <c r="AE4822" s="238">
        <v>122002.0</v>
      </c>
      <c r="AF4822" s="235" t="s">
        <v>631</v>
      </c>
      <c r="AG4822" s="245"/>
      <c r="AH4822" s="245"/>
      <c r="AI4822" s="245"/>
      <c r="AJ4822" s="245"/>
      <c r="AK4822" s="245"/>
      <c r="AL4822" s="245"/>
      <c r="AM4822" s="245"/>
      <c r="AN4822" s="245"/>
      <c r="AO4822" s="238">
        <v>0.0</v>
      </c>
      <c r="AP4822" s="238">
        <v>0.0</v>
      </c>
      <c r="AQ4822" s="235" t="s">
        <v>632</v>
      </c>
      <c r="AR4822" s="243">
        <v>1.68E11</v>
      </c>
      <c r="AS4822" s="235" t="s">
        <v>35520</v>
      </c>
      <c r="AT4822" s="235" t="s">
        <v>13</v>
      </c>
      <c r="AU4822" s="235" t="s">
        <v>634</v>
      </c>
      <c r="AV4822" s="246" t="s">
        <v>635</v>
      </c>
      <c r="AW4822" s="227"/>
      <c r="AX4822" s="227"/>
      <c r="AY4822" s="227"/>
      <c r="AZ4822" s="227"/>
      <c r="BA4822" s="227"/>
      <c r="BB4822" s="227"/>
      <c r="BC4822" s="227"/>
      <c r="BD4822" s="227"/>
      <c r="BE4822" s="227"/>
      <c r="BF4822" s="227"/>
    </row>
    <row r="4823">
      <c r="A4823" s="235" t="s">
        <v>35624</v>
      </c>
      <c r="C4823" s="235" t="s">
        <v>35625</v>
      </c>
      <c r="D4823" s="235" t="s">
        <v>35626</v>
      </c>
      <c r="E4823" s="243">
        <v>6.5E13</v>
      </c>
      <c r="F4823" s="245"/>
      <c r="G4823" s="235" t="s">
        <v>35627</v>
      </c>
      <c r="H4823" s="235" t="s">
        <v>35628</v>
      </c>
      <c r="I4823" s="235" t="s">
        <v>35628</v>
      </c>
      <c r="J4823" s="235" t="s">
        <v>35629</v>
      </c>
      <c r="K4823" s="235" t="s">
        <v>35630</v>
      </c>
      <c r="N4823" s="235" t="s">
        <v>51</v>
      </c>
      <c r="O4823" s="235" t="s">
        <v>273</v>
      </c>
      <c r="P4823" s="238">
        <v>1.0</v>
      </c>
      <c r="Q4823" s="235" t="s">
        <v>627</v>
      </c>
      <c r="R4823" s="238">
        <v>235.24</v>
      </c>
      <c r="S4823" s="238">
        <v>11.76</v>
      </c>
      <c r="T4823" s="238">
        <v>0.0</v>
      </c>
      <c r="U4823" s="238">
        <v>0.0</v>
      </c>
      <c r="V4823" s="238">
        <v>0.0</v>
      </c>
      <c r="W4823" s="238">
        <v>0.0</v>
      </c>
      <c r="X4823" s="235" t="s">
        <v>628</v>
      </c>
      <c r="Z4823" s="245"/>
      <c r="AA4823" s="245"/>
      <c r="AB4823" s="245"/>
      <c r="AC4823" s="235" t="s">
        <v>3351</v>
      </c>
      <c r="AD4823" s="235" t="s">
        <v>1499</v>
      </c>
      <c r="AE4823" s="238">
        <v>462039.0</v>
      </c>
      <c r="AF4823" s="235" t="s">
        <v>631</v>
      </c>
      <c r="AG4823" s="245"/>
      <c r="AH4823" s="245"/>
      <c r="AI4823" s="245"/>
      <c r="AJ4823" s="245"/>
      <c r="AK4823" s="245"/>
      <c r="AL4823" s="245"/>
      <c r="AM4823" s="245"/>
      <c r="AN4823" s="245"/>
      <c r="AO4823" s="238">
        <v>0.0</v>
      </c>
      <c r="AP4823" s="238">
        <v>0.0</v>
      </c>
      <c r="AQ4823" s="235" t="s">
        <v>632</v>
      </c>
      <c r="AR4823" s="243">
        <v>1.68E11</v>
      </c>
      <c r="AS4823" s="235" t="s">
        <v>34510</v>
      </c>
      <c r="AT4823" s="235" t="s">
        <v>546</v>
      </c>
      <c r="AU4823" s="235" t="s">
        <v>634</v>
      </c>
      <c r="AV4823" s="246" t="s">
        <v>635</v>
      </c>
      <c r="AW4823" s="227"/>
      <c r="AX4823" s="227"/>
      <c r="AY4823" s="227"/>
      <c r="AZ4823" s="227"/>
      <c r="BA4823" s="227"/>
      <c r="BB4823" s="227"/>
      <c r="BC4823" s="227"/>
      <c r="BD4823" s="227"/>
      <c r="BE4823" s="227"/>
      <c r="BF4823" s="227"/>
    </row>
    <row r="4824">
      <c r="A4824" s="235" t="s">
        <v>35631</v>
      </c>
      <c r="C4824" s="235" t="s">
        <v>35632</v>
      </c>
      <c r="D4824" s="235" t="s">
        <v>35633</v>
      </c>
      <c r="E4824" s="243">
        <v>6.5E13</v>
      </c>
      <c r="F4824" s="245"/>
      <c r="G4824" s="235" t="s">
        <v>35634</v>
      </c>
      <c r="H4824" s="235" t="s">
        <v>35635</v>
      </c>
      <c r="I4824" s="235" t="s">
        <v>35635</v>
      </c>
      <c r="J4824" s="235" t="s">
        <v>35636</v>
      </c>
      <c r="K4824" s="235" t="s">
        <v>35637</v>
      </c>
      <c r="N4824" s="235" t="s">
        <v>154</v>
      </c>
      <c r="O4824" s="235" t="s">
        <v>766</v>
      </c>
      <c r="P4824" s="238">
        <v>1.0</v>
      </c>
      <c r="Q4824" s="235" t="s">
        <v>627</v>
      </c>
      <c r="R4824" s="238">
        <v>465.71</v>
      </c>
      <c r="S4824" s="238">
        <v>23.29</v>
      </c>
      <c r="T4824" s="238">
        <v>0.0</v>
      </c>
      <c r="U4824" s="238">
        <v>0.0</v>
      </c>
      <c r="V4824" s="238">
        <v>0.0</v>
      </c>
      <c r="W4824" s="238">
        <v>0.0</v>
      </c>
      <c r="X4824" s="235" t="s">
        <v>628</v>
      </c>
      <c r="Z4824" s="245"/>
      <c r="AA4824" s="245"/>
      <c r="AB4824" s="245"/>
      <c r="AC4824" s="235" t="s">
        <v>35638</v>
      </c>
      <c r="AD4824" s="235" t="s">
        <v>1151</v>
      </c>
      <c r="AE4824" s="238">
        <v>712233.0</v>
      </c>
      <c r="AF4824" s="235" t="s">
        <v>631</v>
      </c>
      <c r="AG4824" s="245"/>
      <c r="AH4824" s="245"/>
      <c r="AI4824" s="245"/>
      <c r="AJ4824" s="245"/>
      <c r="AK4824" s="245"/>
      <c r="AL4824" s="245"/>
      <c r="AM4824" s="245"/>
      <c r="AN4824" s="245"/>
      <c r="AO4824" s="238">
        <v>0.0</v>
      </c>
      <c r="AP4824" s="238">
        <v>0.0</v>
      </c>
      <c r="AQ4824" s="235" t="s">
        <v>632</v>
      </c>
      <c r="AR4824" s="243">
        <v>3.7E11</v>
      </c>
      <c r="AS4824" s="235" t="s">
        <v>32455</v>
      </c>
      <c r="AT4824" s="235" t="s">
        <v>533</v>
      </c>
      <c r="AU4824" s="235" t="s">
        <v>634</v>
      </c>
      <c r="AV4824" s="246" t="s">
        <v>635</v>
      </c>
      <c r="AW4824" s="227"/>
      <c r="AX4824" s="227"/>
      <c r="AY4824" s="227"/>
      <c r="AZ4824" s="227"/>
      <c r="BA4824" s="227"/>
      <c r="BB4824" s="227"/>
      <c r="BC4824" s="227"/>
      <c r="BD4824" s="227"/>
      <c r="BE4824" s="227"/>
      <c r="BF4824" s="227"/>
    </row>
    <row r="4825">
      <c r="A4825" s="235" t="s">
        <v>35639</v>
      </c>
      <c r="C4825" s="235" t="s">
        <v>35640</v>
      </c>
      <c r="D4825" s="235" t="s">
        <v>35641</v>
      </c>
      <c r="E4825" s="243">
        <v>6.49E13</v>
      </c>
      <c r="F4825" s="245"/>
      <c r="G4825" s="235" t="s">
        <v>35642</v>
      </c>
      <c r="H4825" s="235" t="s">
        <v>35643</v>
      </c>
      <c r="I4825" s="235" t="s">
        <v>35643</v>
      </c>
      <c r="J4825" s="235" t="s">
        <v>35644</v>
      </c>
      <c r="K4825" s="235" t="s">
        <v>35645</v>
      </c>
      <c r="N4825" s="235" t="s">
        <v>71</v>
      </c>
      <c r="O4825" s="235" t="s">
        <v>240</v>
      </c>
      <c r="P4825" s="238">
        <v>1.0</v>
      </c>
      <c r="Q4825" s="235" t="s">
        <v>627</v>
      </c>
      <c r="R4825" s="238">
        <v>246.66</v>
      </c>
      <c r="S4825" s="238">
        <v>12.34</v>
      </c>
      <c r="T4825" s="238">
        <v>38.1</v>
      </c>
      <c r="U4825" s="238">
        <v>1.9</v>
      </c>
      <c r="V4825" s="238">
        <v>0.0</v>
      </c>
      <c r="W4825" s="238">
        <v>0.0</v>
      </c>
      <c r="X4825" s="235" t="s">
        <v>628</v>
      </c>
      <c r="Z4825" s="245"/>
      <c r="AA4825" s="245"/>
      <c r="AB4825" s="245"/>
      <c r="AC4825" s="235" t="s">
        <v>1058</v>
      </c>
      <c r="AD4825" s="235" t="s">
        <v>845</v>
      </c>
      <c r="AE4825" s="238">
        <v>400034.0</v>
      </c>
      <c r="AF4825" s="235" t="s">
        <v>631</v>
      </c>
      <c r="AG4825" s="245"/>
      <c r="AH4825" s="245"/>
      <c r="AI4825" s="245"/>
      <c r="AJ4825" s="245"/>
      <c r="AK4825" s="245"/>
      <c r="AL4825" s="245"/>
      <c r="AM4825" s="245"/>
      <c r="AN4825" s="245"/>
      <c r="AO4825" s="238">
        <v>0.0</v>
      </c>
      <c r="AP4825" s="238">
        <v>-38.1</v>
      </c>
      <c r="AQ4825" s="235" t="s">
        <v>632</v>
      </c>
      <c r="AR4825" s="243">
        <v>3.7E11</v>
      </c>
      <c r="AS4825" s="235" t="s">
        <v>34510</v>
      </c>
      <c r="AT4825" s="235" t="s">
        <v>16</v>
      </c>
      <c r="AU4825" s="235" t="s">
        <v>634</v>
      </c>
      <c r="AV4825" s="246" t="s">
        <v>635</v>
      </c>
      <c r="AW4825" s="227"/>
      <c r="AX4825" s="227"/>
      <c r="AY4825" s="227"/>
      <c r="AZ4825" s="227"/>
      <c r="BA4825" s="227"/>
      <c r="BB4825" s="227"/>
      <c r="BC4825" s="227"/>
      <c r="BD4825" s="227"/>
      <c r="BE4825" s="227"/>
      <c r="BF4825" s="227"/>
    </row>
    <row r="4826">
      <c r="A4826" s="235" t="s">
        <v>35646</v>
      </c>
      <c r="C4826" s="235" t="s">
        <v>35647</v>
      </c>
      <c r="D4826" s="235" t="s">
        <v>35648</v>
      </c>
      <c r="E4826" s="243">
        <v>6.49E13</v>
      </c>
      <c r="F4826" s="245"/>
      <c r="G4826" s="235" t="s">
        <v>35649</v>
      </c>
      <c r="H4826" s="235" t="s">
        <v>35650</v>
      </c>
      <c r="I4826" s="235" t="s">
        <v>35650</v>
      </c>
      <c r="J4826" s="235" t="s">
        <v>35651</v>
      </c>
      <c r="K4826" s="235" t="s">
        <v>35652</v>
      </c>
      <c r="N4826" s="235" t="s">
        <v>131</v>
      </c>
      <c r="O4826" s="235" t="s">
        <v>2148</v>
      </c>
      <c r="P4826" s="238">
        <v>1.0</v>
      </c>
      <c r="Q4826" s="235" t="s">
        <v>627</v>
      </c>
      <c r="R4826" s="238">
        <v>246.66</v>
      </c>
      <c r="S4826" s="238">
        <v>12.1</v>
      </c>
      <c r="T4826" s="238">
        <v>38.1</v>
      </c>
      <c r="U4826" s="238">
        <v>1.9</v>
      </c>
      <c r="V4826" s="238">
        <v>0.0</v>
      </c>
      <c r="W4826" s="238">
        <v>0.0</v>
      </c>
      <c r="X4826" s="235" t="s">
        <v>628</v>
      </c>
      <c r="Z4826" s="245"/>
      <c r="AA4826" s="245"/>
      <c r="AB4826" s="245"/>
      <c r="AC4826" s="235" t="s">
        <v>1255</v>
      </c>
      <c r="AD4826" s="235" t="s">
        <v>845</v>
      </c>
      <c r="AE4826" s="238">
        <v>400602.0</v>
      </c>
      <c r="AF4826" s="235" t="s">
        <v>631</v>
      </c>
      <c r="AG4826" s="245"/>
      <c r="AH4826" s="245"/>
      <c r="AI4826" s="245"/>
      <c r="AJ4826" s="245"/>
      <c r="AK4826" s="245"/>
      <c r="AL4826" s="245"/>
      <c r="AM4826" s="245"/>
      <c r="AN4826" s="245"/>
      <c r="AO4826" s="238">
        <v>-4.94</v>
      </c>
      <c r="AP4826" s="238">
        <v>-38.1</v>
      </c>
      <c r="AQ4826" s="235" t="s">
        <v>632</v>
      </c>
      <c r="AR4826" s="243">
        <v>3.7E11</v>
      </c>
      <c r="AS4826" s="235" t="s">
        <v>34510</v>
      </c>
      <c r="AT4826" s="235" t="s">
        <v>16</v>
      </c>
      <c r="AU4826" s="235" t="s">
        <v>634</v>
      </c>
      <c r="AV4826" s="246" t="s">
        <v>635</v>
      </c>
      <c r="AW4826" s="227"/>
      <c r="AX4826" s="227"/>
      <c r="AY4826" s="227"/>
      <c r="AZ4826" s="227"/>
      <c r="BA4826" s="227"/>
      <c r="BB4826" s="227"/>
      <c r="BC4826" s="227"/>
      <c r="BD4826" s="227"/>
      <c r="BE4826" s="227"/>
      <c r="BF4826" s="227"/>
    </row>
    <row r="4827">
      <c r="A4827" s="235" t="s">
        <v>35653</v>
      </c>
      <c r="C4827" s="235" t="s">
        <v>35654</v>
      </c>
      <c r="D4827" s="235" t="s">
        <v>35655</v>
      </c>
      <c r="E4827" s="243">
        <v>6.5E13</v>
      </c>
      <c r="F4827" s="245"/>
      <c r="G4827" s="235" t="s">
        <v>35656</v>
      </c>
      <c r="H4827" s="235" t="s">
        <v>35657</v>
      </c>
      <c r="I4827" s="235" t="s">
        <v>35657</v>
      </c>
      <c r="J4827" s="235" t="s">
        <v>35658</v>
      </c>
      <c r="K4827" s="235" t="s">
        <v>35659</v>
      </c>
      <c r="N4827" s="235" t="s">
        <v>29</v>
      </c>
      <c r="O4827" s="235" t="s">
        <v>677</v>
      </c>
      <c r="P4827" s="238">
        <v>1.0</v>
      </c>
      <c r="Q4827" s="235" t="s">
        <v>627</v>
      </c>
      <c r="R4827" s="238">
        <v>446.67</v>
      </c>
      <c r="S4827" s="238">
        <v>22.33</v>
      </c>
      <c r="T4827" s="238">
        <v>0.0</v>
      </c>
      <c r="U4827" s="238">
        <v>0.0</v>
      </c>
      <c r="V4827" s="238">
        <v>0.0</v>
      </c>
      <c r="W4827" s="238">
        <v>0.0</v>
      </c>
      <c r="X4827" s="235" t="s">
        <v>628</v>
      </c>
      <c r="Z4827" s="245"/>
      <c r="AA4827" s="245"/>
      <c r="AB4827" s="245"/>
      <c r="AC4827" s="235" t="s">
        <v>35660</v>
      </c>
      <c r="AD4827" s="235" t="s">
        <v>645</v>
      </c>
      <c r="AE4827" s="238">
        <v>682030.0</v>
      </c>
      <c r="AF4827" s="235" t="s">
        <v>631</v>
      </c>
      <c r="AG4827" s="245"/>
      <c r="AH4827" s="245"/>
      <c r="AI4827" s="245"/>
      <c r="AJ4827" s="245"/>
      <c r="AK4827" s="245"/>
      <c r="AL4827" s="245"/>
      <c r="AM4827" s="245"/>
      <c r="AN4827" s="245"/>
      <c r="AO4827" s="238">
        <v>0.0</v>
      </c>
      <c r="AP4827" s="238">
        <v>0.0</v>
      </c>
      <c r="AQ4827" s="235" t="s">
        <v>632</v>
      </c>
      <c r="AR4827" s="243">
        <v>1.68E11</v>
      </c>
      <c r="AS4827" s="235" t="s">
        <v>34510</v>
      </c>
      <c r="AT4827" s="235" t="s">
        <v>156</v>
      </c>
      <c r="AU4827" s="235" t="s">
        <v>634</v>
      </c>
      <c r="AV4827" s="246" t="s">
        <v>635</v>
      </c>
      <c r="AW4827" s="227"/>
      <c r="AX4827" s="227"/>
      <c r="AY4827" s="227"/>
      <c r="AZ4827" s="227"/>
      <c r="BA4827" s="227"/>
      <c r="BB4827" s="227"/>
      <c r="BC4827" s="227"/>
      <c r="BD4827" s="227"/>
      <c r="BE4827" s="227"/>
      <c r="BF4827" s="227"/>
    </row>
    <row r="4828">
      <c r="A4828" s="235" t="s">
        <v>35661</v>
      </c>
      <c r="C4828" s="235" t="s">
        <v>35662</v>
      </c>
      <c r="D4828" s="235" t="s">
        <v>35663</v>
      </c>
      <c r="E4828" s="243">
        <v>6.49E13</v>
      </c>
      <c r="F4828" s="245"/>
      <c r="G4828" s="235" t="s">
        <v>35664</v>
      </c>
      <c r="H4828" s="235" t="s">
        <v>35665</v>
      </c>
      <c r="I4828" s="235" t="s">
        <v>35665</v>
      </c>
      <c r="J4828" s="235" t="s">
        <v>35666</v>
      </c>
      <c r="K4828" s="235" t="s">
        <v>35667</v>
      </c>
      <c r="N4828" s="235" t="s">
        <v>42</v>
      </c>
      <c r="O4828" s="235" t="s">
        <v>204</v>
      </c>
      <c r="P4828" s="238">
        <v>1.0</v>
      </c>
      <c r="Q4828" s="235" t="s">
        <v>627</v>
      </c>
      <c r="R4828" s="238">
        <v>237.14</v>
      </c>
      <c r="S4828" s="238">
        <v>11.86</v>
      </c>
      <c r="T4828" s="238">
        <v>0.0</v>
      </c>
      <c r="U4828" s="238">
        <v>0.0</v>
      </c>
      <c r="V4828" s="238">
        <v>0.0</v>
      </c>
      <c r="W4828" s="238">
        <v>0.0</v>
      </c>
      <c r="X4828" s="235" t="s">
        <v>628</v>
      </c>
      <c r="Z4828" s="245"/>
      <c r="AA4828" s="245"/>
      <c r="AB4828" s="245"/>
      <c r="AC4828" s="235" t="s">
        <v>6654</v>
      </c>
      <c r="AD4828" s="235" t="s">
        <v>666</v>
      </c>
      <c r="AE4828" s="238">
        <v>627011.0</v>
      </c>
      <c r="AF4828" s="235" t="s">
        <v>631</v>
      </c>
      <c r="AG4828" s="245"/>
      <c r="AH4828" s="245"/>
      <c r="AI4828" s="245"/>
      <c r="AJ4828" s="245"/>
      <c r="AK4828" s="245"/>
      <c r="AL4828" s="245"/>
      <c r="AM4828" s="245"/>
      <c r="AN4828" s="245"/>
      <c r="AO4828" s="238">
        <v>0.0</v>
      </c>
      <c r="AP4828" s="238">
        <v>0.0</v>
      </c>
      <c r="AQ4828" s="235" t="s">
        <v>632</v>
      </c>
      <c r="AR4828" s="243">
        <v>3.7E11</v>
      </c>
      <c r="AS4828" s="235" t="s">
        <v>34510</v>
      </c>
      <c r="AT4828" s="235" t="s">
        <v>155</v>
      </c>
      <c r="AU4828" s="235" t="s">
        <v>634</v>
      </c>
      <c r="AV4828" s="246" t="s">
        <v>635</v>
      </c>
      <c r="AW4828" s="227"/>
      <c r="AX4828" s="227"/>
      <c r="AY4828" s="227"/>
      <c r="AZ4828" s="227"/>
      <c r="BA4828" s="227"/>
      <c r="BB4828" s="227"/>
      <c r="BC4828" s="227"/>
      <c r="BD4828" s="227"/>
      <c r="BE4828" s="227"/>
      <c r="BF4828" s="227"/>
    </row>
    <row r="4829">
      <c r="A4829" s="235" t="s">
        <v>35668</v>
      </c>
      <c r="C4829" s="235" t="s">
        <v>35669</v>
      </c>
      <c r="D4829" s="235" t="s">
        <v>35670</v>
      </c>
      <c r="E4829" s="243">
        <v>6.49E13</v>
      </c>
      <c r="F4829" s="245"/>
      <c r="G4829" s="235" t="s">
        <v>35671</v>
      </c>
      <c r="H4829" s="235" t="s">
        <v>35672</v>
      </c>
      <c r="I4829" s="235" t="s">
        <v>35672</v>
      </c>
      <c r="J4829" s="235" t="s">
        <v>35673</v>
      </c>
      <c r="K4829" s="235" t="s">
        <v>35674</v>
      </c>
      <c r="N4829" s="235" t="s">
        <v>53</v>
      </c>
      <c r="O4829" s="235" t="s">
        <v>512</v>
      </c>
      <c r="P4829" s="238">
        <v>1.0</v>
      </c>
      <c r="Q4829" s="235" t="s">
        <v>627</v>
      </c>
      <c r="R4829" s="238">
        <v>237.14</v>
      </c>
      <c r="S4829" s="238">
        <v>11.86</v>
      </c>
      <c r="T4829" s="238">
        <v>0.0</v>
      </c>
      <c r="U4829" s="238">
        <v>0.0</v>
      </c>
      <c r="V4829" s="238">
        <v>0.0</v>
      </c>
      <c r="W4829" s="238">
        <v>0.0</v>
      </c>
      <c r="X4829" s="235" t="s">
        <v>628</v>
      </c>
      <c r="Z4829" s="245"/>
      <c r="AA4829" s="245"/>
      <c r="AB4829" s="245"/>
      <c r="AC4829" s="235" t="s">
        <v>35675</v>
      </c>
      <c r="AD4829" s="235" t="s">
        <v>666</v>
      </c>
      <c r="AE4829" s="238">
        <v>622001.0</v>
      </c>
      <c r="AF4829" s="235" t="s">
        <v>631</v>
      </c>
      <c r="AG4829" s="245"/>
      <c r="AH4829" s="245"/>
      <c r="AI4829" s="245"/>
      <c r="AJ4829" s="245"/>
      <c r="AK4829" s="245"/>
      <c r="AL4829" s="245"/>
      <c r="AM4829" s="245"/>
      <c r="AN4829" s="245"/>
      <c r="AO4829" s="238">
        <v>0.0</v>
      </c>
      <c r="AP4829" s="238">
        <v>0.0</v>
      </c>
      <c r="AQ4829" s="235" t="s">
        <v>632</v>
      </c>
      <c r="AR4829" s="243">
        <v>3.7E11</v>
      </c>
      <c r="AS4829" s="235" t="s">
        <v>33466</v>
      </c>
      <c r="AT4829" s="235" t="s">
        <v>11</v>
      </c>
      <c r="AU4829" s="235" t="s">
        <v>634</v>
      </c>
      <c r="AV4829" s="246" t="s">
        <v>635</v>
      </c>
      <c r="AW4829" s="227"/>
      <c r="AX4829" s="227"/>
      <c r="AY4829" s="227"/>
      <c r="AZ4829" s="227"/>
      <c r="BA4829" s="227"/>
      <c r="BB4829" s="227"/>
      <c r="BC4829" s="227"/>
      <c r="BD4829" s="227"/>
      <c r="BE4829" s="227"/>
      <c r="BF4829" s="227"/>
    </row>
    <row r="4830">
      <c r="A4830" s="235" t="s">
        <v>35676</v>
      </c>
      <c r="C4830" s="235" t="s">
        <v>35677</v>
      </c>
      <c r="D4830" s="235" t="s">
        <v>35678</v>
      </c>
      <c r="E4830" s="243">
        <v>6.49E13</v>
      </c>
      <c r="F4830" s="245"/>
      <c r="G4830" s="235" t="s">
        <v>35679</v>
      </c>
      <c r="H4830" s="235" t="s">
        <v>35680</v>
      </c>
      <c r="I4830" s="235" t="s">
        <v>35680</v>
      </c>
      <c r="J4830" s="235" t="s">
        <v>35681</v>
      </c>
      <c r="K4830" s="235" t="s">
        <v>35682</v>
      </c>
      <c r="N4830" s="235" t="s">
        <v>127</v>
      </c>
      <c r="O4830" s="235" t="s">
        <v>794</v>
      </c>
      <c r="P4830" s="238">
        <v>1.0</v>
      </c>
      <c r="Q4830" s="235" t="s">
        <v>627</v>
      </c>
      <c r="R4830" s="238">
        <v>243.81</v>
      </c>
      <c r="S4830" s="238">
        <v>12.19</v>
      </c>
      <c r="T4830" s="238">
        <v>38.1</v>
      </c>
      <c r="U4830" s="238">
        <v>1.9</v>
      </c>
      <c r="V4830" s="238">
        <v>0.0</v>
      </c>
      <c r="W4830" s="238">
        <v>0.0</v>
      </c>
      <c r="X4830" s="235" t="s">
        <v>628</v>
      </c>
      <c r="Z4830" s="245"/>
      <c r="AA4830" s="245"/>
      <c r="AB4830" s="245"/>
      <c r="AC4830" s="235" t="s">
        <v>697</v>
      </c>
      <c r="AD4830" s="235" t="s">
        <v>698</v>
      </c>
      <c r="AE4830" s="238">
        <v>502319.0</v>
      </c>
      <c r="AF4830" s="235" t="s">
        <v>631</v>
      </c>
      <c r="AG4830" s="245"/>
      <c r="AH4830" s="245"/>
      <c r="AI4830" s="245"/>
      <c r="AJ4830" s="245"/>
      <c r="AK4830" s="245"/>
      <c r="AL4830" s="245"/>
      <c r="AM4830" s="245"/>
      <c r="AN4830" s="245"/>
      <c r="AO4830" s="238">
        <v>0.0</v>
      </c>
      <c r="AP4830" s="238">
        <v>-38.1</v>
      </c>
      <c r="AQ4830" s="235" t="s">
        <v>632</v>
      </c>
      <c r="AR4830" s="243">
        <v>3.7E11</v>
      </c>
      <c r="AS4830" s="235" t="s">
        <v>33466</v>
      </c>
      <c r="AT4830" s="235" t="s">
        <v>156</v>
      </c>
      <c r="AU4830" s="235" t="s">
        <v>634</v>
      </c>
      <c r="AV4830" s="246" t="s">
        <v>635</v>
      </c>
      <c r="AW4830" s="227"/>
      <c r="AX4830" s="227"/>
      <c r="AY4830" s="227"/>
      <c r="AZ4830" s="227"/>
      <c r="BA4830" s="227"/>
      <c r="BB4830" s="227"/>
      <c r="BC4830" s="227"/>
      <c r="BD4830" s="227"/>
      <c r="BE4830" s="227"/>
      <c r="BF4830" s="227"/>
    </row>
    <row r="4831">
      <c r="A4831" s="235" t="s">
        <v>35683</v>
      </c>
      <c r="C4831" s="235" t="s">
        <v>35684</v>
      </c>
      <c r="D4831" s="235" t="s">
        <v>35685</v>
      </c>
      <c r="E4831" s="243">
        <v>6.49E13</v>
      </c>
      <c r="F4831" s="245"/>
      <c r="G4831" s="235" t="s">
        <v>35686</v>
      </c>
      <c r="H4831" s="235" t="s">
        <v>35687</v>
      </c>
      <c r="I4831" s="235" t="s">
        <v>35687</v>
      </c>
      <c r="J4831" s="235" t="s">
        <v>35688</v>
      </c>
      <c r="K4831" s="235" t="s">
        <v>35689</v>
      </c>
      <c r="N4831" s="235" t="s">
        <v>130</v>
      </c>
      <c r="O4831" s="235" t="s">
        <v>707</v>
      </c>
      <c r="P4831" s="238">
        <v>1.0</v>
      </c>
      <c r="Q4831" s="235" t="s">
        <v>627</v>
      </c>
      <c r="R4831" s="238">
        <v>243.81</v>
      </c>
      <c r="S4831" s="238">
        <v>11.82</v>
      </c>
      <c r="T4831" s="238">
        <v>0.0</v>
      </c>
      <c r="U4831" s="238">
        <v>0.0</v>
      </c>
      <c r="V4831" s="238">
        <v>0.0</v>
      </c>
      <c r="W4831" s="238">
        <v>0.0</v>
      </c>
      <c r="X4831" s="235" t="s">
        <v>628</v>
      </c>
      <c r="Z4831" s="245"/>
      <c r="AA4831" s="245"/>
      <c r="AB4831" s="245"/>
      <c r="AC4831" s="235" t="s">
        <v>3374</v>
      </c>
      <c r="AD4831" s="235" t="s">
        <v>645</v>
      </c>
      <c r="AE4831" s="238">
        <v>695035.0</v>
      </c>
      <c r="AF4831" s="235" t="s">
        <v>631</v>
      </c>
      <c r="AG4831" s="245"/>
      <c r="AH4831" s="245"/>
      <c r="AI4831" s="245"/>
      <c r="AJ4831" s="245"/>
      <c r="AK4831" s="245"/>
      <c r="AL4831" s="245"/>
      <c r="AM4831" s="245"/>
      <c r="AN4831" s="245"/>
      <c r="AO4831" s="238">
        <v>-7.31</v>
      </c>
      <c r="AP4831" s="238">
        <v>0.0</v>
      </c>
      <c r="AQ4831" s="235" t="s">
        <v>632</v>
      </c>
      <c r="AR4831" s="243">
        <v>1.68E11</v>
      </c>
      <c r="AS4831" s="235" t="s">
        <v>34510</v>
      </c>
      <c r="AT4831" s="235" t="s">
        <v>9</v>
      </c>
      <c r="AU4831" s="235" t="s">
        <v>634</v>
      </c>
      <c r="AV4831" s="246" t="s">
        <v>635</v>
      </c>
      <c r="AW4831" s="227"/>
      <c r="AX4831" s="227"/>
      <c r="AY4831" s="227"/>
      <c r="AZ4831" s="227"/>
      <c r="BA4831" s="227"/>
      <c r="BB4831" s="227"/>
      <c r="BC4831" s="227"/>
      <c r="BD4831" s="227"/>
      <c r="BE4831" s="227"/>
      <c r="BF4831" s="227"/>
    </row>
    <row r="4832">
      <c r="A4832" s="235" t="s">
        <v>35683</v>
      </c>
      <c r="C4832" s="235" t="s">
        <v>35684</v>
      </c>
      <c r="D4832" s="235" t="s">
        <v>35690</v>
      </c>
      <c r="E4832" s="243">
        <v>6.49E13</v>
      </c>
      <c r="F4832" s="245"/>
      <c r="G4832" s="235" t="s">
        <v>35686</v>
      </c>
      <c r="H4832" s="235" t="s">
        <v>35687</v>
      </c>
      <c r="I4832" s="235" t="s">
        <v>35687</v>
      </c>
      <c r="J4832" s="235" t="s">
        <v>35688</v>
      </c>
      <c r="K4832" s="235" t="s">
        <v>35689</v>
      </c>
      <c r="N4832" s="235" t="s">
        <v>92</v>
      </c>
      <c r="O4832" s="235" t="s">
        <v>248</v>
      </c>
      <c r="P4832" s="238">
        <v>1.0</v>
      </c>
      <c r="Q4832" s="235" t="s">
        <v>627</v>
      </c>
      <c r="R4832" s="238">
        <v>244.76</v>
      </c>
      <c r="S4832" s="238">
        <v>11.87</v>
      </c>
      <c r="T4832" s="238">
        <v>0.0</v>
      </c>
      <c r="U4832" s="238">
        <v>0.0</v>
      </c>
      <c r="V4832" s="238">
        <v>0.0</v>
      </c>
      <c r="W4832" s="238">
        <v>0.0</v>
      </c>
      <c r="X4832" s="235" t="s">
        <v>628</v>
      </c>
      <c r="Z4832" s="245"/>
      <c r="AA4832" s="245"/>
      <c r="AB4832" s="245"/>
      <c r="AC4832" s="235" t="s">
        <v>3374</v>
      </c>
      <c r="AD4832" s="235" t="s">
        <v>645</v>
      </c>
      <c r="AE4832" s="238">
        <v>695035.0</v>
      </c>
      <c r="AF4832" s="235" t="s">
        <v>631</v>
      </c>
      <c r="AG4832" s="245"/>
      <c r="AH4832" s="245"/>
      <c r="AI4832" s="245"/>
      <c r="AJ4832" s="245"/>
      <c r="AK4832" s="245"/>
      <c r="AL4832" s="245"/>
      <c r="AM4832" s="245"/>
      <c r="AN4832" s="245"/>
      <c r="AO4832" s="238">
        <v>-7.34</v>
      </c>
      <c r="AP4832" s="238">
        <v>0.0</v>
      </c>
      <c r="AQ4832" s="235" t="s">
        <v>632</v>
      </c>
      <c r="AR4832" s="243">
        <v>1.68E11</v>
      </c>
      <c r="AS4832" s="235" t="s">
        <v>34510</v>
      </c>
      <c r="AT4832" s="235" t="s">
        <v>9</v>
      </c>
      <c r="AU4832" s="235" t="s">
        <v>634</v>
      </c>
      <c r="AV4832" s="246" t="s">
        <v>635</v>
      </c>
      <c r="AW4832" s="227"/>
      <c r="AX4832" s="227"/>
      <c r="AY4832" s="227"/>
      <c r="AZ4832" s="227"/>
      <c r="BA4832" s="227"/>
      <c r="BB4832" s="227"/>
      <c r="BC4832" s="227"/>
      <c r="BD4832" s="227"/>
      <c r="BE4832" s="227"/>
      <c r="BF4832" s="227"/>
    </row>
    <row r="4833">
      <c r="A4833" s="235" t="s">
        <v>35691</v>
      </c>
      <c r="C4833" s="235" t="s">
        <v>35692</v>
      </c>
      <c r="D4833" s="235" t="s">
        <v>35693</v>
      </c>
      <c r="E4833" s="243">
        <v>6.49E13</v>
      </c>
      <c r="F4833" s="245"/>
      <c r="G4833" s="235" t="s">
        <v>35694</v>
      </c>
      <c r="H4833" s="235" t="s">
        <v>35695</v>
      </c>
      <c r="I4833" s="235" t="s">
        <v>35695</v>
      </c>
      <c r="J4833" s="235" t="s">
        <v>35696</v>
      </c>
      <c r="K4833" s="235" t="s">
        <v>35697</v>
      </c>
      <c r="N4833" s="235" t="s">
        <v>15</v>
      </c>
      <c r="O4833" s="235" t="s">
        <v>856</v>
      </c>
      <c r="P4833" s="238">
        <v>1.0</v>
      </c>
      <c r="Q4833" s="235" t="s">
        <v>627</v>
      </c>
      <c r="R4833" s="238">
        <v>360.95</v>
      </c>
      <c r="S4833" s="238">
        <v>18.05</v>
      </c>
      <c r="T4833" s="238">
        <v>38.1</v>
      </c>
      <c r="U4833" s="238">
        <v>1.9</v>
      </c>
      <c r="V4833" s="238">
        <v>0.0</v>
      </c>
      <c r="W4833" s="238">
        <v>0.0</v>
      </c>
      <c r="X4833" s="235" t="s">
        <v>628</v>
      </c>
      <c r="Z4833" s="245"/>
      <c r="AA4833" s="245"/>
      <c r="AB4833" s="245"/>
      <c r="AC4833" s="235" t="s">
        <v>25674</v>
      </c>
      <c r="AD4833" s="235" t="s">
        <v>1499</v>
      </c>
      <c r="AE4833" s="238">
        <v>460001.0</v>
      </c>
      <c r="AF4833" s="235" t="s">
        <v>631</v>
      </c>
      <c r="AG4833" s="245"/>
      <c r="AH4833" s="245"/>
      <c r="AI4833" s="245"/>
      <c r="AJ4833" s="245"/>
      <c r="AK4833" s="245"/>
      <c r="AL4833" s="245"/>
      <c r="AM4833" s="245"/>
      <c r="AN4833" s="245"/>
      <c r="AO4833" s="238">
        <v>0.0</v>
      </c>
      <c r="AP4833" s="238">
        <v>-38.1</v>
      </c>
      <c r="AQ4833" s="235" t="s">
        <v>632</v>
      </c>
      <c r="AR4833" s="243">
        <v>3.7E11</v>
      </c>
      <c r="AS4833" s="235" t="s">
        <v>32455</v>
      </c>
      <c r="AT4833" s="235" t="s">
        <v>5</v>
      </c>
      <c r="AU4833" s="235" t="s">
        <v>634</v>
      </c>
      <c r="AV4833" s="246" t="s">
        <v>635</v>
      </c>
      <c r="AW4833" s="227"/>
      <c r="AX4833" s="227"/>
      <c r="AY4833" s="227"/>
      <c r="AZ4833" s="227"/>
      <c r="BA4833" s="227"/>
      <c r="BB4833" s="227"/>
      <c r="BC4833" s="227"/>
      <c r="BD4833" s="227"/>
      <c r="BE4833" s="227"/>
      <c r="BF4833" s="227"/>
    </row>
    <row r="4834">
      <c r="A4834" s="235" t="s">
        <v>35698</v>
      </c>
      <c r="C4834" s="235" t="s">
        <v>35699</v>
      </c>
      <c r="D4834" s="235" t="s">
        <v>35700</v>
      </c>
      <c r="E4834" s="243">
        <v>6.49E13</v>
      </c>
      <c r="F4834" s="245"/>
      <c r="G4834" s="235" t="s">
        <v>35701</v>
      </c>
      <c r="H4834" s="235" t="s">
        <v>35702</v>
      </c>
      <c r="I4834" s="235" t="s">
        <v>35702</v>
      </c>
      <c r="J4834" s="235" t="s">
        <v>35703</v>
      </c>
      <c r="K4834" s="235" t="s">
        <v>35704</v>
      </c>
      <c r="N4834" s="235" t="s">
        <v>127</v>
      </c>
      <c r="O4834" s="235" t="s">
        <v>794</v>
      </c>
      <c r="P4834" s="238">
        <v>1.0</v>
      </c>
      <c r="Q4834" s="235" t="s">
        <v>627</v>
      </c>
      <c r="R4834" s="238">
        <v>243.8</v>
      </c>
      <c r="S4834" s="238">
        <v>11.96</v>
      </c>
      <c r="T4834" s="238">
        <v>56.2</v>
      </c>
      <c r="U4834" s="238">
        <v>2.8</v>
      </c>
      <c r="V4834" s="238">
        <v>0.0</v>
      </c>
      <c r="W4834" s="238">
        <v>0.0</v>
      </c>
      <c r="X4834" s="235" t="s">
        <v>628</v>
      </c>
      <c r="Z4834" s="245"/>
      <c r="AA4834" s="245"/>
      <c r="AB4834" s="245"/>
      <c r="AC4834" s="235" t="s">
        <v>9521</v>
      </c>
      <c r="AD4834" s="235" t="s">
        <v>1077</v>
      </c>
      <c r="AE4834" s="238">
        <v>394101.0</v>
      </c>
      <c r="AF4834" s="235" t="s">
        <v>631</v>
      </c>
      <c r="AG4834" s="245"/>
      <c r="AH4834" s="245"/>
      <c r="AI4834" s="245"/>
      <c r="AJ4834" s="245"/>
      <c r="AK4834" s="245"/>
      <c r="AL4834" s="245"/>
      <c r="AM4834" s="245"/>
      <c r="AN4834" s="245"/>
      <c r="AO4834" s="238">
        <v>-4.88</v>
      </c>
      <c r="AP4834" s="238">
        <v>-56.2</v>
      </c>
      <c r="AQ4834" s="235" t="s">
        <v>632</v>
      </c>
      <c r="AR4834" s="243">
        <v>1.68E11</v>
      </c>
      <c r="AS4834" s="235" t="s">
        <v>34510</v>
      </c>
      <c r="AT4834" s="235" t="s">
        <v>5</v>
      </c>
      <c r="AU4834" s="235" t="s">
        <v>634</v>
      </c>
      <c r="AV4834" s="246" t="s">
        <v>635</v>
      </c>
      <c r="AW4834" s="227"/>
      <c r="AX4834" s="227"/>
      <c r="AY4834" s="227"/>
      <c r="AZ4834" s="227"/>
      <c r="BA4834" s="227"/>
      <c r="BB4834" s="227"/>
      <c r="BC4834" s="227"/>
      <c r="BD4834" s="227"/>
      <c r="BE4834" s="227"/>
      <c r="BF4834" s="227"/>
    </row>
    <row r="4835">
      <c r="A4835" s="235" t="s">
        <v>35705</v>
      </c>
      <c r="C4835" s="235" t="s">
        <v>35706</v>
      </c>
      <c r="D4835" s="235" t="s">
        <v>35707</v>
      </c>
      <c r="E4835" s="243">
        <v>6.49E13</v>
      </c>
      <c r="F4835" s="245"/>
      <c r="G4835" s="235" t="s">
        <v>35708</v>
      </c>
      <c r="H4835" s="235" t="s">
        <v>35709</v>
      </c>
      <c r="I4835" s="235" t="s">
        <v>35709</v>
      </c>
      <c r="J4835" s="235" t="s">
        <v>35710</v>
      </c>
      <c r="K4835" s="235" t="s">
        <v>35711</v>
      </c>
      <c r="N4835" s="235" t="s">
        <v>139</v>
      </c>
      <c r="O4835" s="235" t="s">
        <v>2091</v>
      </c>
      <c r="P4835" s="238">
        <v>1.0</v>
      </c>
      <c r="Q4835" s="235" t="s">
        <v>627</v>
      </c>
      <c r="R4835" s="238">
        <v>244.76</v>
      </c>
      <c r="S4835" s="238">
        <v>12.0</v>
      </c>
      <c r="T4835" s="238">
        <v>0.0</v>
      </c>
      <c r="U4835" s="238">
        <v>0.0</v>
      </c>
      <c r="V4835" s="238">
        <v>0.0</v>
      </c>
      <c r="W4835" s="238">
        <v>0.0</v>
      </c>
      <c r="X4835" s="235" t="s">
        <v>628</v>
      </c>
      <c r="Z4835" s="245"/>
      <c r="AA4835" s="245"/>
      <c r="AB4835" s="245"/>
      <c r="AC4835" s="235" t="s">
        <v>678</v>
      </c>
      <c r="AD4835" s="235" t="s">
        <v>679</v>
      </c>
      <c r="AE4835" s="238">
        <v>560078.0</v>
      </c>
      <c r="AF4835" s="235" t="s">
        <v>631</v>
      </c>
      <c r="AG4835" s="245"/>
      <c r="AH4835" s="245"/>
      <c r="AI4835" s="245"/>
      <c r="AJ4835" s="245"/>
      <c r="AK4835" s="245"/>
      <c r="AL4835" s="245"/>
      <c r="AM4835" s="245"/>
      <c r="AN4835" s="245"/>
      <c r="AO4835" s="238">
        <v>-4.9</v>
      </c>
      <c r="AP4835" s="238">
        <v>0.0</v>
      </c>
      <c r="AQ4835" s="235" t="s">
        <v>632</v>
      </c>
      <c r="AR4835" s="243">
        <v>2.02E11</v>
      </c>
      <c r="AS4835" s="235" t="s">
        <v>34510</v>
      </c>
      <c r="AT4835" s="235" t="s">
        <v>14</v>
      </c>
      <c r="AU4835" s="235" t="s">
        <v>634</v>
      </c>
      <c r="AV4835" s="246" t="s">
        <v>635</v>
      </c>
      <c r="AW4835" s="227"/>
      <c r="AX4835" s="227"/>
      <c r="AY4835" s="227"/>
      <c r="AZ4835" s="227"/>
      <c r="BA4835" s="227"/>
      <c r="BB4835" s="227"/>
      <c r="BC4835" s="227"/>
      <c r="BD4835" s="227"/>
      <c r="BE4835" s="227"/>
      <c r="BF4835" s="227"/>
    </row>
    <row r="4836">
      <c r="A4836" s="235" t="s">
        <v>35712</v>
      </c>
      <c r="C4836" s="235" t="s">
        <v>35713</v>
      </c>
      <c r="D4836" s="235" t="s">
        <v>35714</v>
      </c>
      <c r="E4836" s="243">
        <v>6.49E13</v>
      </c>
      <c r="F4836" s="245"/>
      <c r="G4836" s="235" t="s">
        <v>35715</v>
      </c>
      <c r="H4836" s="235" t="s">
        <v>35716</v>
      </c>
      <c r="I4836" s="235" t="s">
        <v>35716</v>
      </c>
      <c r="J4836" s="235" t="s">
        <v>35717</v>
      </c>
      <c r="K4836" s="235" t="s">
        <v>35718</v>
      </c>
      <c r="N4836" s="235" t="s">
        <v>842</v>
      </c>
      <c r="O4836" s="235" t="s">
        <v>843</v>
      </c>
      <c r="P4836" s="238">
        <v>1.0</v>
      </c>
      <c r="Q4836" s="235" t="s">
        <v>627</v>
      </c>
      <c r="R4836" s="238">
        <v>246.67</v>
      </c>
      <c r="S4836" s="238">
        <v>12.33</v>
      </c>
      <c r="T4836" s="238">
        <v>56.19</v>
      </c>
      <c r="U4836" s="238">
        <v>2.81</v>
      </c>
      <c r="V4836" s="238">
        <v>0.0</v>
      </c>
      <c r="W4836" s="238">
        <v>0.0</v>
      </c>
      <c r="X4836" s="235" t="s">
        <v>628</v>
      </c>
      <c r="Z4836" s="245"/>
      <c r="AA4836" s="245"/>
      <c r="AB4836" s="245"/>
      <c r="AC4836" s="235" t="s">
        <v>5688</v>
      </c>
      <c r="AD4836" s="235" t="s">
        <v>3825</v>
      </c>
      <c r="AE4836" s="238">
        <v>695571.0</v>
      </c>
      <c r="AF4836" s="235" t="s">
        <v>631</v>
      </c>
      <c r="AG4836" s="245"/>
      <c r="AH4836" s="245"/>
      <c r="AI4836" s="245"/>
      <c r="AJ4836" s="245"/>
      <c r="AK4836" s="245"/>
      <c r="AL4836" s="245"/>
      <c r="AM4836" s="245"/>
      <c r="AN4836" s="245"/>
      <c r="AO4836" s="238">
        <v>0.0</v>
      </c>
      <c r="AP4836" s="238">
        <v>0.0</v>
      </c>
      <c r="AQ4836" s="235" t="s">
        <v>632</v>
      </c>
      <c r="AR4836" s="243">
        <v>3.7E11</v>
      </c>
      <c r="AS4836" s="235" t="s">
        <v>33466</v>
      </c>
      <c r="AT4836" s="235" t="s">
        <v>155</v>
      </c>
      <c r="AU4836" s="235" t="s">
        <v>634</v>
      </c>
      <c r="AV4836" s="246" t="s">
        <v>635</v>
      </c>
      <c r="AW4836" s="227"/>
      <c r="AX4836" s="227"/>
      <c r="AY4836" s="227"/>
      <c r="AZ4836" s="227"/>
      <c r="BA4836" s="227"/>
      <c r="BB4836" s="227"/>
      <c r="BC4836" s="227"/>
      <c r="BD4836" s="227"/>
      <c r="BE4836" s="227"/>
      <c r="BF4836" s="227"/>
    </row>
    <row r="4837">
      <c r="A4837" s="235" t="s">
        <v>35719</v>
      </c>
      <c r="C4837" s="235" t="s">
        <v>35720</v>
      </c>
      <c r="D4837" s="235" t="s">
        <v>35721</v>
      </c>
      <c r="E4837" s="243">
        <v>6.49E13</v>
      </c>
      <c r="F4837" s="245"/>
      <c r="G4837" s="235" t="s">
        <v>35722</v>
      </c>
      <c r="H4837" s="235" t="s">
        <v>35723</v>
      </c>
      <c r="I4837" s="235" t="s">
        <v>35723</v>
      </c>
      <c r="J4837" s="235" t="s">
        <v>35724</v>
      </c>
      <c r="K4837" s="235" t="s">
        <v>35725</v>
      </c>
      <c r="N4837" s="235" t="s">
        <v>127</v>
      </c>
      <c r="O4837" s="235" t="s">
        <v>794</v>
      </c>
      <c r="P4837" s="238">
        <v>1.0</v>
      </c>
      <c r="Q4837" s="235" t="s">
        <v>627</v>
      </c>
      <c r="R4837" s="238">
        <v>243.8</v>
      </c>
      <c r="S4837" s="238">
        <v>11.96</v>
      </c>
      <c r="T4837" s="238">
        <v>38.1</v>
      </c>
      <c r="U4837" s="238">
        <v>1.9</v>
      </c>
      <c r="V4837" s="238">
        <v>0.0</v>
      </c>
      <c r="W4837" s="238">
        <v>0.0</v>
      </c>
      <c r="X4837" s="235" t="s">
        <v>628</v>
      </c>
      <c r="Z4837" s="245"/>
      <c r="AA4837" s="245"/>
      <c r="AB4837" s="245"/>
      <c r="AC4837" s="235" t="s">
        <v>22455</v>
      </c>
      <c r="AD4837" s="235" t="s">
        <v>666</v>
      </c>
      <c r="AE4837" s="238">
        <v>627103.0</v>
      </c>
      <c r="AF4837" s="235" t="s">
        <v>631</v>
      </c>
      <c r="AG4837" s="245"/>
      <c r="AH4837" s="245"/>
      <c r="AI4837" s="245"/>
      <c r="AJ4837" s="245"/>
      <c r="AK4837" s="245"/>
      <c r="AL4837" s="245"/>
      <c r="AM4837" s="245"/>
      <c r="AN4837" s="245"/>
      <c r="AO4837" s="238">
        <v>-4.88</v>
      </c>
      <c r="AP4837" s="238">
        <v>-38.1</v>
      </c>
      <c r="AQ4837" s="235" t="s">
        <v>632</v>
      </c>
      <c r="AR4837" s="243">
        <v>3.7E11</v>
      </c>
      <c r="AS4837" s="235" t="s">
        <v>34510</v>
      </c>
      <c r="AT4837" s="235" t="s">
        <v>155</v>
      </c>
      <c r="AU4837" s="235" t="s">
        <v>634</v>
      </c>
      <c r="AV4837" s="246" t="s">
        <v>635</v>
      </c>
      <c r="AW4837" s="227"/>
      <c r="AX4837" s="227"/>
      <c r="AY4837" s="227"/>
      <c r="AZ4837" s="227"/>
      <c r="BA4837" s="227"/>
      <c r="BB4837" s="227"/>
      <c r="BC4837" s="227"/>
      <c r="BD4837" s="227"/>
      <c r="BE4837" s="227"/>
      <c r="BF4837" s="227"/>
    </row>
    <row r="4838">
      <c r="A4838" s="235" t="s">
        <v>35726</v>
      </c>
      <c r="C4838" s="235" t="s">
        <v>35727</v>
      </c>
      <c r="D4838" s="235" t="s">
        <v>35728</v>
      </c>
      <c r="E4838" s="243">
        <v>6.49E13</v>
      </c>
      <c r="F4838" s="245"/>
      <c r="G4838" s="235" t="s">
        <v>35729</v>
      </c>
      <c r="H4838" s="235" t="s">
        <v>35730</v>
      </c>
      <c r="I4838" s="235" t="s">
        <v>35730</v>
      </c>
      <c r="J4838" s="235" t="s">
        <v>35731</v>
      </c>
      <c r="K4838" s="235" t="s">
        <v>35732</v>
      </c>
      <c r="N4838" s="235" t="s">
        <v>71</v>
      </c>
      <c r="O4838" s="235" t="s">
        <v>240</v>
      </c>
      <c r="P4838" s="238">
        <v>1.0</v>
      </c>
      <c r="Q4838" s="235" t="s">
        <v>627</v>
      </c>
      <c r="R4838" s="238">
        <v>246.66</v>
      </c>
      <c r="S4838" s="238">
        <v>12.34</v>
      </c>
      <c r="T4838" s="238">
        <v>38.1</v>
      </c>
      <c r="U4838" s="238">
        <v>1.9</v>
      </c>
      <c r="V4838" s="238">
        <v>0.0</v>
      </c>
      <c r="W4838" s="238">
        <v>0.0</v>
      </c>
      <c r="X4838" s="235" t="s">
        <v>628</v>
      </c>
      <c r="Z4838" s="245"/>
      <c r="AA4838" s="245"/>
      <c r="AB4838" s="245"/>
      <c r="AC4838" s="235" t="s">
        <v>844</v>
      </c>
      <c r="AD4838" s="235" t="s">
        <v>845</v>
      </c>
      <c r="AE4838" s="238">
        <v>411001.0</v>
      </c>
      <c r="AF4838" s="235" t="s">
        <v>631</v>
      </c>
      <c r="AG4838" s="245"/>
      <c r="AH4838" s="245"/>
      <c r="AI4838" s="245"/>
      <c r="AJ4838" s="245"/>
      <c r="AK4838" s="245"/>
      <c r="AL4838" s="245"/>
      <c r="AM4838" s="245"/>
      <c r="AN4838" s="245"/>
      <c r="AO4838" s="238">
        <v>0.0</v>
      </c>
      <c r="AP4838" s="238">
        <v>-38.1</v>
      </c>
      <c r="AQ4838" s="235" t="s">
        <v>632</v>
      </c>
      <c r="AR4838" s="243">
        <v>3.7E11</v>
      </c>
      <c r="AS4838" s="235" t="s">
        <v>34510</v>
      </c>
      <c r="AT4838" s="235" t="s">
        <v>546</v>
      </c>
      <c r="AU4838" s="235" t="s">
        <v>634</v>
      </c>
      <c r="AV4838" s="246" t="s">
        <v>635</v>
      </c>
      <c r="AW4838" s="227"/>
      <c r="AX4838" s="227"/>
      <c r="AY4838" s="227"/>
      <c r="AZ4838" s="227"/>
      <c r="BA4838" s="227"/>
      <c r="BB4838" s="227"/>
      <c r="BC4838" s="227"/>
      <c r="BD4838" s="227"/>
      <c r="BE4838" s="227"/>
      <c r="BF4838" s="227"/>
    </row>
    <row r="4839">
      <c r="A4839" s="235" t="s">
        <v>35733</v>
      </c>
      <c r="C4839" s="235" t="s">
        <v>35734</v>
      </c>
      <c r="D4839" s="235" t="s">
        <v>35735</v>
      </c>
      <c r="E4839" s="243">
        <v>6.49E13</v>
      </c>
      <c r="F4839" s="245"/>
      <c r="G4839" s="235" t="s">
        <v>35736</v>
      </c>
      <c r="H4839" s="235" t="s">
        <v>35737</v>
      </c>
      <c r="I4839" s="235" t="s">
        <v>35738</v>
      </c>
      <c r="J4839" s="235" t="s">
        <v>35739</v>
      </c>
      <c r="K4839" s="235" t="s">
        <v>35740</v>
      </c>
      <c r="N4839" s="235" t="s">
        <v>962</v>
      </c>
      <c r="O4839" s="235" t="s">
        <v>963</v>
      </c>
      <c r="P4839" s="238">
        <v>1.0</v>
      </c>
      <c r="Q4839" s="235" t="s">
        <v>627</v>
      </c>
      <c r="R4839" s="238">
        <v>245.71</v>
      </c>
      <c r="S4839" s="238">
        <v>12.04</v>
      </c>
      <c r="T4839" s="238">
        <v>38.1</v>
      </c>
      <c r="U4839" s="238">
        <v>1.9</v>
      </c>
      <c r="V4839" s="238">
        <v>0.0</v>
      </c>
      <c r="W4839" s="238">
        <v>0.0</v>
      </c>
      <c r="X4839" s="235" t="s">
        <v>628</v>
      </c>
      <c r="Z4839" s="245"/>
      <c r="AA4839" s="245"/>
      <c r="AB4839" s="245"/>
      <c r="AC4839" s="235" t="s">
        <v>6773</v>
      </c>
      <c r="AD4839" s="235" t="s">
        <v>833</v>
      </c>
      <c r="AE4839" s="238">
        <v>517124.0</v>
      </c>
      <c r="AF4839" s="235" t="s">
        <v>631</v>
      </c>
      <c r="AG4839" s="245"/>
      <c r="AH4839" s="245"/>
      <c r="AI4839" s="245"/>
      <c r="AJ4839" s="245"/>
      <c r="AK4839" s="245"/>
      <c r="AL4839" s="245"/>
      <c r="AM4839" s="245"/>
      <c r="AN4839" s="245"/>
      <c r="AO4839" s="238">
        <v>-4.91</v>
      </c>
      <c r="AP4839" s="238">
        <v>-38.1</v>
      </c>
      <c r="AQ4839" s="235" t="s">
        <v>632</v>
      </c>
      <c r="AR4839" s="243">
        <v>3.7E11</v>
      </c>
      <c r="AS4839" s="235" t="s">
        <v>33466</v>
      </c>
      <c r="AT4839" s="235" t="s">
        <v>156</v>
      </c>
      <c r="AU4839" s="235" t="s">
        <v>634</v>
      </c>
      <c r="AV4839" s="246" t="s">
        <v>635</v>
      </c>
      <c r="AW4839" s="227"/>
      <c r="AX4839" s="227"/>
      <c r="AY4839" s="227"/>
      <c r="AZ4839" s="227"/>
      <c r="BA4839" s="227"/>
      <c r="BB4839" s="227"/>
      <c r="BC4839" s="227"/>
      <c r="BD4839" s="227"/>
      <c r="BE4839" s="227"/>
      <c r="BF4839" s="227"/>
    </row>
    <row r="4840">
      <c r="A4840" s="235" t="s">
        <v>35741</v>
      </c>
      <c r="C4840" s="235" t="s">
        <v>35742</v>
      </c>
      <c r="D4840" s="235" t="s">
        <v>35743</v>
      </c>
      <c r="E4840" s="243">
        <v>6.49E13</v>
      </c>
      <c r="F4840" s="245"/>
      <c r="G4840" s="235" t="s">
        <v>35744</v>
      </c>
      <c r="H4840" s="235" t="s">
        <v>35745</v>
      </c>
      <c r="I4840" s="235" t="s">
        <v>35745</v>
      </c>
      <c r="J4840" s="235" t="s">
        <v>35746</v>
      </c>
      <c r="K4840" s="235" t="s">
        <v>35747</v>
      </c>
      <c r="N4840" s="235" t="s">
        <v>136</v>
      </c>
      <c r="O4840" s="235" t="s">
        <v>256</v>
      </c>
      <c r="P4840" s="238">
        <v>1.0</v>
      </c>
      <c r="Q4840" s="235" t="s">
        <v>627</v>
      </c>
      <c r="R4840" s="238">
        <v>244.76</v>
      </c>
      <c r="S4840" s="238">
        <v>12.24</v>
      </c>
      <c r="T4840" s="238">
        <v>38.1</v>
      </c>
      <c r="U4840" s="238">
        <v>1.9</v>
      </c>
      <c r="V4840" s="238">
        <v>0.0</v>
      </c>
      <c r="W4840" s="238">
        <v>0.0</v>
      </c>
      <c r="X4840" s="235" t="s">
        <v>628</v>
      </c>
      <c r="Z4840" s="245"/>
      <c r="AA4840" s="245"/>
      <c r="AB4840" s="245"/>
      <c r="AC4840" s="235" t="s">
        <v>2857</v>
      </c>
      <c r="AD4840" s="235" t="s">
        <v>666</v>
      </c>
      <c r="AE4840" s="238">
        <v>629004.0</v>
      </c>
      <c r="AF4840" s="235" t="s">
        <v>631</v>
      </c>
      <c r="AG4840" s="245"/>
      <c r="AH4840" s="245"/>
      <c r="AI4840" s="245"/>
      <c r="AJ4840" s="245"/>
      <c r="AK4840" s="245"/>
      <c r="AL4840" s="245"/>
      <c r="AM4840" s="245"/>
      <c r="AN4840" s="245"/>
      <c r="AO4840" s="238">
        <v>0.0</v>
      </c>
      <c r="AP4840" s="238">
        <v>-38.1</v>
      </c>
      <c r="AQ4840" s="235" t="s">
        <v>632</v>
      </c>
      <c r="AR4840" s="243">
        <v>3.7E11</v>
      </c>
      <c r="AS4840" s="235" t="s">
        <v>32455</v>
      </c>
      <c r="AT4840" s="235" t="s">
        <v>155</v>
      </c>
      <c r="AU4840" s="235" t="s">
        <v>634</v>
      </c>
      <c r="AV4840" s="246" t="s">
        <v>635</v>
      </c>
      <c r="AW4840" s="227"/>
      <c r="AX4840" s="227"/>
      <c r="AY4840" s="227"/>
      <c r="AZ4840" s="227"/>
      <c r="BA4840" s="227"/>
      <c r="BB4840" s="227"/>
      <c r="BC4840" s="227"/>
      <c r="BD4840" s="227"/>
      <c r="BE4840" s="227"/>
      <c r="BF4840" s="227"/>
    </row>
    <row r="4841">
      <c r="A4841" s="235" t="s">
        <v>35748</v>
      </c>
      <c r="C4841" s="235" t="s">
        <v>35749</v>
      </c>
      <c r="D4841" s="235" t="s">
        <v>35750</v>
      </c>
      <c r="E4841" s="243">
        <v>6.49E13</v>
      </c>
      <c r="F4841" s="245"/>
      <c r="G4841" s="235" t="s">
        <v>35751</v>
      </c>
      <c r="H4841" s="235" t="s">
        <v>35752</v>
      </c>
      <c r="I4841" s="235" t="s">
        <v>35753</v>
      </c>
      <c r="J4841" s="235" t="s">
        <v>35754</v>
      </c>
      <c r="K4841" s="235" t="s">
        <v>35755</v>
      </c>
      <c r="N4841" s="235" t="s">
        <v>51</v>
      </c>
      <c r="O4841" s="235" t="s">
        <v>273</v>
      </c>
      <c r="P4841" s="238">
        <v>1.0</v>
      </c>
      <c r="Q4841" s="235" t="s">
        <v>627</v>
      </c>
      <c r="R4841" s="238">
        <v>235.24</v>
      </c>
      <c r="S4841" s="238">
        <v>11.76</v>
      </c>
      <c r="T4841" s="238">
        <v>38.1</v>
      </c>
      <c r="U4841" s="238">
        <v>1.9</v>
      </c>
      <c r="V4841" s="238">
        <v>0.0</v>
      </c>
      <c r="W4841" s="238">
        <v>0.0</v>
      </c>
      <c r="X4841" s="235" t="s">
        <v>628</v>
      </c>
      <c r="Z4841" s="245"/>
      <c r="AA4841" s="245"/>
      <c r="AB4841" s="245"/>
      <c r="AC4841" s="235" t="s">
        <v>5923</v>
      </c>
      <c r="AD4841" s="235" t="s">
        <v>666</v>
      </c>
      <c r="AE4841" s="238">
        <v>620003.0</v>
      </c>
      <c r="AF4841" s="235" t="s">
        <v>631</v>
      </c>
      <c r="AG4841" s="245"/>
      <c r="AH4841" s="245"/>
      <c r="AI4841" s="245"/>
      <c r="AJ4841" s="245"/>
      <c r="AK4841" s="245"/>
      <c r="AL4841" s="245"/>
      <c r="AM4841" s="245"/>
      <c r="AN4841" s="245"/>
      <c r="AO4841" s="238">
        <v>0.0</v>
      </c>
      <c r="AP4841" s="238">
        <v>-38.1</v>
      </c>
      <c r="AQ4841" s="235" t="s">
        <v>632</v>
      </c>
      <c r="AR4841" s="243">
        <v>3.7E11</v>
      </c>
      <c r="AS4841" s="235" t="s">
        <v>34510</v>
      </c>
      <c r="AT4841" s="235" t="s">
        <v>155</v>
      </c>
      <c r="AU4841" s="235" t="s">
        <v>634</v>
      </c>
      <c r="AV4841" s="246" t="s">
        <v>635</v>
      </c>
      <c r="AW4841" s="227"/>
      <c r="AX4841" s="227"/>
      <c r="AY4841" s="227"/>
      <c r="AZ4841" s="227"/>
      <c r="BA4841" s="227"/>
      <c r="BB4841" s="227"/>
      <c r="BC4841" s="227"/>
      <c r="BD4841" s="227"/>
      <c r="BE4841" s="227"/>
      <c r="BF4841" s="227"/>
    </row>
    <row r="4842">
      <c r="A4842" s="235" t="s">
        <v>35756</v>
      </c>
      <c r="C4842" s="235" t="s">
        <v>35757</v>
      </c>
      <c r="D4842" s="235" t="s">
        <v>35758</v>
      </c>
      <c r="E4842" s="243">
        <v>6.49E13</v>
      </c>
      <c r="F4842" s="245"/>
      <c r="G4842" s="235" t="s">
        <v>35759</v>
      </c>
      <c r="H4842" s="235" t="s">
        <v>35760</v>
      </c>
      <c r="I4842" s="235" t="s">
        <v>35760</v>
      </c>
      <c r="J4842" s="235" t="s">
        <v>35761</v>
      </c>
      <c r="K4842" s="235" t="s">
        <v>35762</v>
      </c>
      <c r="N4842" s="235" t="s">
        <v>10</v>
      </c>
      <c r="O4842" s="235" t="s">
        <v>936</v>
      </c>
      <c r="P4842" s="238">
        <v>1.0</v>
      </c>
      <c r="Q4842" s="235" t="s">
        <v>627</v>
      </c>
      <c r="R4842" s="238">
        <v>265.71</v>
      </c>
      <c r="S4842" s="238">
        <v>13.29</v>
      </c>
      <c r="T4842" s="238">
        <v>38.1</v>
      </c>
      <c r="U4842" s="238">
        <v>1.9</v>
      </c>
      <c r="V4842" s="238">
        <v>0.0</v>
      </c>
      <c r="W4842" s="238">
        <v>0.0</v>
      </c>
      <c r="X4842" s="235" t="s">
        <v>628</v>
      </c>
      <c r="Z4842" s="245"/>
      <c r="AA4842" s="245"/>
      <c r="AB4842" s="245"/>
      <c r="AC4842" s="235" t="s">
        <v>10769</v>
      </c>
      <c r="AD4842" s="235" t="s">
        <v>845</v>
      </c>
      <c r="AE4842" s="238">
        <v>422010.0</v>
      </c>
      <c r="AF4842" s="235" t="s">
        <v>631</v>
      </c>
      <c r="AG4842" s="245"/>
      <c r="AH4842" s="245"/>
      <c r="AI4842" s="245"/>
      <c r="AJ4842" s="245"/>
      <c r="AK4842" s="245"/>
      <c r="AL4842" s="245"/>
      <c r="AM4842" s="245"/>
      <c r="AN4842" s="245"/>
      <c r="AO4842" s="238">
        <v>0.0</v>
      </c>
      <c r="AP4842" s="238">
        <v>-38.1</v>
      </c>
      <c r="AQ4842" s="235" t="s">
        <v>632</v>
      </c>
      <c r="AR4842" s="243">
        <v>3.7E11</v>
      </c>
      <c r="AS4842" s="235" t="s">
        <v>29883</v>
      </c>
      <c r="AT4842" s="235" t="s">
        <v>11</v>
      </c>
      <c r="AU4842" s="235" t="s">
        <v>634</v>
      </c>
      <c r="AV4842" s="246" t="s">
        <v>635</v>
      </c>
      <c r="AW4842" s="227"/>
      <c r="AX4842" s="227"/>
      <c r="AY4842" s="227"/>
      <c r="AZ4842" s="227"/>
      <c r="BA4842" s="227"/>
      <c r="BB4842" s="227"/>
      <c r="BC4842" s="227"/>
      <c r="BD4842" s="227"/>
      <c r="BE4842" s="227"/>
      <c r="BF4842" s="227"/>
    </row>
    <row r="4843">
      <c r="A4843" s="235" t="s">
        <v>35763</v>
      </c>
      <c r="C4843" s="235" t="s">
        <v>35764</v>
      </c>
      <c r="D4843" s="235" t="s">
        <v>35765</v>
      </c>
      <c r="E4843" s="243">
        <v>6.49E13</v>
      </c>
      <c r="F4843" s="245"/>
      <c r="G4843" s="235" t="s">
        <v>35766</v>
      </c>
      <c r="H4843" s="235" t="s">
        <v>35767</v>
      </c>
      <c r="I4843" s="235" t="s">
        <v>35768</v>
      </c>
      <c r="J4843" s="235" t="s">
        <v>35769</v>
      </c>
      <c r="K4843" s="235" t="s">
        <v>35770</v>
      </c>
      <c r="N4843" s="235" t="s">
        <v>134</v>
      </c>
      <c r="O4843" s="235" t="s">
        <v>314</v>
      </c>
      <c r="P4843" s="238">
        <v>1.0</v>
      </c>
      <c r="Q4843" s="235" t="s">
        <v>627</v>
      </c>
      <c r="R4843" s="238">
        <v>244.76</v>
      </c>
      <c r="S4843" s="238">
        <v>12.0</v>
      </c>
      <c r="T4843" s="238">
        <v>38.1</v>
      </c>
      <c r="U4843" s="238">
        <v>1.9</v>
      </c>
      <c r="V4843" s="238">
        <v>0.0</v>
      </c>
      <c r="W4843" s="238">
        <v>0.0</v>
      </c>
      <c r="X4843" s="235" t="s">
        <v>628</v>
      </c>
      <c r="Z4843" s="245"/>
      <c r="AA4843" s="245"/>
      <c r="AB4843" s="245"/>
      <c r="AC4843" s="235" t="s">
        <v>678</v>
      </c>
      <c r="AD4843" s="235" t="s">
        <v>679</v>
      </c>
      <c r="AE4843" s="238">
        <v>560068.0</v>
      </c>
      <c r="AF4843" s="235" t="s">
        <v>631</v>
      </c>
      <c r="AG4843" s="245"/>
      <c r="AH4843" s="245"/>
      <c r="AI4843" s="245"/>
      <c r="AJ4843" s="245"/>
      <c r="AK4843" s="245"/>
      <c r="AL4843" s="245"/>
      <c r="AM4843" s="245"/>
      <c r="AN4843" s="245"/>
      <c r="AO4843" s="238">
        <v>-4.9</v>
      </c>
      <c r="AP4843" s="238">
        <v>-38.1</v>
      </c>
      <c r="AQ4843" s="235" t="s">
        <v>632</v>
      </c>
      <c r="AR4843" s="243">
        <v>3.7E11</v>
      </c>
      <c r="AS4843" s="235" t="s">
        <v>34510</v>
      </c>
      <c r="AT4843" s="235" t="s">
        <v>9</v>
      </c>
      <c r="AU4843" s="235" t="s">
        <v>634</v>
      </c>
      <c r="AV4843" s="246" t="s">
        <v>635</v>
      </c>
      <c r="AW4843" s="227"/>
      <c r="AX4843" s="227"/>
      <c r="AY4843" s="227"/>
      <c r="AZ4843" s="227"/>
      <c r="BA4843" s="227"/>
      <c r="BB4843" s="227"/>
      <c r="BC4843" s="227"/>
      <c r="BD4843" s="227"/>
      <c r="BE4843" s="227"/>
      <c r="BF4843" s="227"/>
    </row>
    <row r="4844">
      <c r="A4844" s="235" t="s">
        <v>35771</v>
      </c>
      <c r="C4844" s="235" t="s">
        <v>35772</v>
      </c>
      <c r="D4844" s="235" t="s">
        <v>35773</v>
      </c>
      <c r="E4844" s="243">
        <v>6.49E13</v>
      </c>
      <c r="F4844" s="245"/>
      <c r="G4844" s="235" t="s">
        <v>35774</v>
      </c>
      <c r="H4844" s="235" t="s">
        <v>35775</v>
      </c>
      <c r="I4844" s="235" t="s">
        <v>35775</v>
      </c>
      <c r="J4844" s="235" t="s">
        <v>35776</v>
      </c>
      <c r="K4844" s="235" t="s">
        <v>35777</v>
      </c>
      <c r="N4844" s="235" t="s">
        <v>726</v>
      </c>
      <c r="O4844" s="235" t="s">
        <v>727</v>
      </c>
      <c r="P4844" s="238">
        <v>1.0</v>
      </c>
      <c r="Q4844" s="235" t="s">
        <v>627</v>
      </c>
      <c r="R4844" s="238">
        <v>244.76</v>
      </c>
      <c r="S4844" s="238">
        <v>12.24</v>
      </c>
      <c r="T4844" s="238">
        <v>38.1</v>
      </c>
      <c r="U4844" s="238">
        <v>1.9</v>
      </c>
      <c r="V4844" s="238">
        <v>0.0</v>
      </c>
      <c r="W4844" s="238">
        <v>0.0</v>
      </c>
      <c r="X4844" s="235" t="s">
        <v>628</v>
      </c>
      <c r="Z4844" s="245"/>
      <c r="AA4844" s="245"/>
      <c r="AB4844" s="245"/>
      <c r="AC4844" s="235" t="s">
        <v>1604</v>
      </c>
      <c r="AD4844" s="235" t="s">
        <v>845</v>
      </c>
      <c r="AE4844" s="238">
        <v>400086.0</v>
      </c>
      <c r="AF4844" s="235" t="s">
        <v>631</v>
      </c>
      <c r="AG4844" s="245"/>
      <c r="AH4844" s="245"/>
      <c r="AI4844" s="245"/>
      <c r="AJ4844" s="245"/>
      <c r="AK4844" s="245"/>
      <c r="AL4844" s="245"/>
      <c r="AM4844" s="245"/>
      <c r="AN4844" s="245"/>
      <c r="AO4844" s="238">
        <v>0.0</v>
      </c>
      <c r="AP4844" s="238">
        <v>-38.1</v>
      </c>
      <c r="AQ4844" s="235" t="s">
        <v>632</v>
      </c>
      <c r="AR4844" s="243">
        <v>3.7E11</v>
      </c>
      <c r="AS4844" s="235" t="s">
        <v>32455</v>
      </c>
      <c r="AT4844" s="235" t="s">
        <v>5</v>
      </c>
      <c r="AU4844" s="235" t="s">
        <v>634</v>
      </c>
      <c r="AV4844" s="246" t="s">
        <v>635</v>
      </c>
      <c r="AW4844" s="227"/>
      <c r="AX4844" s="227"/>
      <c r="AY4844" s="227"/>
      <c r="AZ4844" s="227"/>
      <c r="BA4844" s="227"/>
      <c r="BB4844" s="227"/>
      <c r="BC4844" s="227"/>
      <c r="BD4844" s="227"/>
      <c r="BE4844" s="227"/>
      <c r="BF4844" s="227"/>
    </row>
    <row r="4845">
      <c r="A4845" s="235" t="s">
        <v>35778</v>
      </c>
      <c r="C4845" s="235" t="s">
        <v>35779</v>
      </c>
      <c r="D4845" s="235" t="s">
        <v>35780</v>
      </c>
      <c r="E4845" s="243">
        <v>6.49E13</v>
      </c>
      <c r="F4845" s="245"/>
      <c r="G4845" s="235" t="s">
        <v>35781</v>
      </c>
      <c r="H4845" s="235" t="s">
        <v>35782</v>
      </c>
      <c r="I4845" s="235" t="s">
        <v>35783</v>
      </c>
      <c r="J4845" s="235" t="s">
        <v>35784</v>
      </c>
      <c r="K4845" s="235" t="s">
        <v>35785</v>
      </c>
      <c r="N4845" s="235" t="s">
        <v>726</v>
      </c>
      <c r="O4845" s="235" t="s">
        <v>727</v>
      </c>
      <c r="P4845" s="238">
        <v>1.0</v>
      </c>
      <c r="Q4845" s="235" t="s">
        <v>627</v>
      </c>
      <c r="R4845" s="238">
        <v>244.76</v>
      </c>
      <c r="S4845" s="238">
        <v>12.24</v>
      </c>
      <c r="T4845" s="238">
        <v>0.0</v>
      </c>
      <c r="U4845" s="238">
        <v>0.0</v>
      </c>
      <c r="V4845" s="238">
        <v>0.0</v>
      </c>
      <c r="W4845" s="238">
        <v>0.0</v>
      </c>
      <c r="X4845" s="235" t="s">
        <v>628</v>
      </c>
      <c r="Z4845" s="245"/>
      <c r="AA4845" s="245"/>
      <c r="AB4845" s="245"/>
      <c r="AC4845" s="235" t="s">
        <v>4071</v>
      </c>
      <c r="AD4845" s="235" t="s">
        <v>928</v>
      </c>
      <c r="AE4845" s="238">
        <v>122001.0</v>
      </c>
      <c r="AF4845" s="235" t="s">
        <v>631</v>
      </c>
      <c r="AG4845" s="245"/>
      <c r="AH4845" s="245"/>
      <c r="AI4845" s="245"/>
      <c r="AJ4845" s="245"/>
      <c r="AK4845" s="245"/>
      <c r="AL4845" s="245"/>
      <c r="AM4845" s="245"/>
      <c r="AN4845" s="245"/>
      <c r="AO4845" s="238">
        <v>0.0</v>
      </c>
      <c r="AP4845" s="238">
        <v>0.0</v>
      </c>
      <c r="AQ4845" s="235" t="s">
        <v>632</v>
      </c>
      <c r="AR4845" s="243">
        <v>2.02E11</v>
      </c>
      <c r="AS4845" s="235" t="s">
        <v>34510</v>
      </c>
      <c r="AT4845" s="235" t="s">
        <v>11</v>
      </c>
      <c r="AU4845" s="235" t="s">
        <v>634</v>
      </c>
      <c r="AV4845" s="246" t="s">
        <v>635</v>
      </c>
      <c r="AW4845" s="227"/>
      <c r="AX4845" s="227"/>
      <c r="AY4845" s="227"/>
      <c r="AZ4845" s="227"/>
      <c r="BA4845" s="227"/>
      <c r="BB4845" s="227"/>
      <c r="BC4845" s="227"/>
      <c r="BD4845" s="227"/>
      <c r="BE4845" s="227"/>
      <c r="BF4845" s="227"/>
    </row>
    <row r="4846">
      <c r="A4846" s="235" t="s">
        <v>35786</v>
      </c>
      <c r="C4846" s="235" t="s">
        <v>35787</v>
      </c>
      <c r="D4846" s="235" t="s">
        <v>35788</v>
      </c>
      <c r="E4846" s="243">
        <v>6.49E13</v>
      </c>
      <c r="F4846" s="245"/>
      <c r="G4846" s="235" t="s">
        <v>35789</v>
      </c>
      <c r="H4846" s="235" t="s">
        <v>35790</v>
      </c>
      <c r="I4846" s="235" t="s">
        <v>35790</v>
      </c>
      <c r="J4846" s="235" t="s">
        <v>35791</v>
      </c>
      <c r="K4846" s="235" t="s">
        <v>35792</v>
      </c>
      <c r="N4846" s="235" t="s">
        <v>90</v>
      </c>
      <c r="O4846" s="235" t="s">
        <v>279</v>
      </c>
      <c r="P4846" s="238">
        <v>1.0</v>
      </c>
      <c r="Q4846" s="235" t="s">
        <v>627</v>
      </c>
      <c r="R4846" s="238">
        <v>243.8</v>
      </c>
      <c r="S4846" s="238">
        <v>12.2</v>
      </c>
      <c r="T4846" s="238">
        <v>0.0</v>
      </c>
      <c r="U4846" s="238">
        <v>0.0</v>
      </c>
      <c r="V4846" s="238">
        <v>0.0</v>
      </c>
      <c r="W4846" s="238">
        <v>0.0</v>
      </c>
      <c r="X4846" s="235" t="s">
        <v>628</v>
      </c>
      <c r="Z4846" s="245"/>
      <c r="AA4846" s="245"/>
      <c r="AB4846" s="245"/>
      <c r="AC4846" s="235" t="s">
        <v>35793</v>
      </c>
      <c r="AD4846" s="235" t="s">
        <v>845</v>
      </c>
      <c r="AE4846" s="238">
        <v>410201.0</v>
      </c>
      <c r="AF4846" s="235" t="s">
        <v>631</v>
      </c>
      <c r="AG4846" s="245"/>
      <c r="AH4846" s="245"/>
      <c r="AI4846" s="245"/>
      <c r="AJ4846" s="245"/>
      <c r="AK4846" s="245"/>
      <c r="AL4846" s="245"/>
      <c r="AM4846" s="245"/>
      <c r="AN4846" s="245"/>
      <c r="AO4846" s="238">
        <v>0.0</v>
      </c>
      <c r="AP4846" s="238">
        <v>0.0</v>
      </c>
      <c r="AQ4846" s="235" t="s">
        <v>632</v>
      </c>
      <c r="AR4846" s="243">
        <v>3.7E11</v>
      </c>
      <c r="AS4846" s="235" t="s">
        <v>34510</v>
      </c>
      <c r="AT4846" s="235" t="s">
        <v>16</v>
      </c>
      <c r="AU4846" s="235" t="s">
        <v>634</v>
      </c>
      <c r="AV4846" s="246" t="s">
        <v>635</v>
      </c>
      <c r="AW4846" s="227"/>
      <c r="AX4846" s="227"/>
      <c r="AY4846" s="227"/>
      <c r="AZ4846" s="227"/>
      <c r="BA4846" s="227"/>
      <c r="BB4846" s="227"/>
      <c r="BC4846" s="227"/>
      <c r="BD4846" s="227"/>
      <c r="BE4846" s="227"/>
      <c r="BF4846" s="227"/>
    </row>
    <row r="4847">
      <c r="A4847" s="235" t="s">
        <v>35794</v>
      </c>
      <c r="C4847" s="235" t="s">
        <v>35795</v>
      </c>
      <c r="D4847" s="235" t="s">
        <v>35796</v>
      </c>
      <c r="E4847" s="243">
        <v>6.5E13</v>
      </c>
      <c r="F4847" s="245"/>
      <c r="G4847" s="235" t="s">
        <v>35797</v>
      </c>
      <c r="H4847" s="235" t="s">
        <v>35798</v>
      </c>
      <c r="I4847" s="235" t="s">
        <v>35799</v>
      </c>
      <c r="J4847" s="235" t="s">
        <v>35800</v>
      </c>
      <c r="K4847" s="235" t="s">
        <v>35801</v>
      </c>
      <c r="N4847" s="235" t="s">
        <v>117</v>
      </c>
      <c r="O4847" s="235" t="s">
        <v>334</v>
      </c>
      <c r="P4847" s="238">
        <v>1.0</v>
      </c>
      <c r="Q4847" s="235" t="s">
        <v>627</v>
      </c>
      <c r="R4847" s="238">
        <v>237.14</v>
      </c>
      <c r="S4847" s="238">
        <v>11.62</v>
      </c>
      <c r="T4847" s="238">
        <v>0.0</v>
      </c>
      <c r="U4847" s="238">
        <v>0.0</v>
      </c>
      <c r="V4847" s="238">
        <v>0.0</v>
      </c>
      <c r="W4847" s="238">
        <v>0.0</v>
      </c>
      <c r="X4847" s="235" t="s">
        <v>628</v>
      </c>
      <c r="Z4847" s="245"/>
      <c r="AA4847" s="245"/>
      <c r="AB4847" s="245"/>
      <c r="AC4847" s="235" t="s">
        <v>35802</v>
      </c>
      <c r="AD4847" s="235" t="s">
        <v>796</v>
      </c>
      <c r="AE4847" s="238">
        <v>110030.0</v>
      </c>
      <c r="AF4847" s="235" t="s">
        <v>631</v>
      </c>
      <c r="AG4847" s="245"/>
      <c r="AH4847" s="245"/>
      <c r="AI4847" s="245"/>
      <c r="AJ4847" s="245"/>
      <c r="AK4847" s="245"/>
      <c r="AL4847" s="245"/>
      <c r="AM4847" s="245"/>
      <c r="AN4847" s="245"/>
      <c r="AO4847" s="238">
        <v>-4.74</v>
      </c>
      <c r="AP4847" s="238">
        <v>0.0</v>
      </c>
      <c r="AQ4847" s="235" t="s">
        <v>632</v>
      </c>
      <c r="AR4847" s="243">
        <v>1.68E11</v>
      </c>
      <c r="AS4847" s="235" t="s">
        <v>35520</v>
      </c>
      <c r="AT4847" s="235" t="s">
        <v>14</v>
      </c>
      <c r="AU4847" s="235" t="s">
        <v>634</v>
      </c>
      <c r="AV4847" s="246" t="s">
        <v>635</v>
      </c>
      <c r="AW4847" s="227"/>
      <c r="AX4847" s="227"/>
      <c r="AY4847" s="227"/>
      <c r="AZ4847" s="227"/>
      <c r="BA4847" s="227"/>
      <c r="BB4847" s="227"/>
      <c r="BC4847" s="227"/>
      <c r="BD4847" s="227"/>
      <c r="BE4847" s="227"/>
      <c r="BF4847" s="227"/>
    </row>
    <row r="4848">
      <c r="A4848" s="235" t="s">
        <v>35803</v>
      </c>
      <c r="C4848" s="235" t="s">
        <v>35804</v>
      </c>
      <c r="D4848" s="235" t="s">
        <v>35805</v>
      </c>
      <c r="E4848" s="243">
        <v>6.49E13</v>
      </c>
      <c r="F4848" s="245"/>
      <c r="G4848" s="235" t="s">
        <v>35806</v>
      </c>
      <c r="H4848" s="235" t="s">
        <v>35807</v>
      </c>
      <c r="I4848" s="235" t="s">
        <v>35807</v>
      </c>
      <c r="J4848" s="235" t="s">
        <v>35808</v>
      </c>
      <c r="K4848" s="235" t="s">
        <v>35809</v>
      </c>
      <c r="N4848" s="235" t="s">
        <v>989</v>
      </c>
      <c r="O4848" s="235" t="s">
        <v>990</v>
      </c>
      <c r="P4848" s="238">
        <v>1.0</v>
      </c>
      <c r="Q4848" s="235" t="s">
        <v>627</v>
      </c>
      <c r="R4848" s="238">
        <v>256.2</v>
      </c>
      <c r="S4848" s="238">
        <v>12.8</v>
      </c>
      <c r="T4848" s="238">
        <v>0.0</v>
      </c>
      <c r="U4848" s="238">
        <v>0.0</v>
      </c>
      <c r="V4848" s="238">
        <v>0.0</v>
      </c>
      <c r="W4848" s="238">
        <v>0.0</v>
      </c>
      <c r="X4848" s="235" t="s">
        <v>628</v>
      </c>
      <c r="Z4848" s="245"/>
      <c r="AA4848" s="245"/>
      <c r="AB4848" s="245"/>
      <c r="AC4848" s="235" t="s">
        <v>35810</v>
      </c>
      <c r="AD4848" s="235" t="s">
        <v>666</v>
      </c>
      <c r="AE4848" s="238">
        <v>628203.0</v>
      </c>
      <c r="AF4848" s="235" t="s">
        <v>631</v>
      </c>
      <c r="AG4848" s="245"/>
      <c r="AH4848" s="245"/>
      <c r="AI4848" s="245"/>
      <c r="AJ4848" s="245"/>
      <c r="AK4848" s="245"/>
      <c r="AL4848" s="245"/>
      <c r="AM4848" s="245"/>
      <c r="AN4848" s="245"/>
      <c r="AO4848" s="238">
        <v>0.0</v>
      </c>
      <c r="AP4848" s="238">
        <v>0.0</v>
      </c>
      <c r="AQ4848" s="235" t="s">
        <v>632</v>
      </c>
      <c r="AR4848" s="243">
        <v>3.7E11</v>
      </c>
      <c r="AS4848" s="235" t="s">
        <v>34510</v>
      </c>
      <c r="AT4848" s="235" t="s">
        <v>155</v>
      </c>
      <c r="AU4848" s="235" t="s">
        <v>634</v>
      </c>
      <c r="AV4848" s="246" t="s">
        <v>635</v>
      </c>
      <c r="AW4848" s="227"/>
      <c r="AX4848" s="227"/>
      <c r="AY4848" s="227"/>
      <c r="AZ4848" s="227"/>
      <c r="BA4848" s="227"/>
      <c r="BB4848" s="227"/>
      <c r="BC4848" s="227"/>
      <c r="BD4848" s="227"/>
      <c r="BE4848" s="227"/>
      <c r="BF4848" s="227"/>
    </row>
    <row r="4849">
      <c r="A4849" s="235" t="s">
        <v>35811</v>
      </c>
      <c r="C4849" s="235" t="s">
        <v>35812</v>
      </c>
      <c r="D4849" s="235" t="s">
        <v>35813</v>
      </c>
      <c r="E4849" s="243">
        <v>6.49E13</v>
      </c>
      <c r="F4849" s="245"/>
      <c r="G4849" s="235" t="s">
        <v>35814</v>
      </c>
      <c r="H4849" s="235" t="s">
        <v>35815</v>
      </c>
      <c r="I4849" s="235" t="s">
        <v>35816</v>
      </c>
      <c r="J4849" s="235" t="s">
        <v>35817</v>
      </c>
      <c r="K4849" s="235" t="s">
        <v>35818</v>
      </c>
      <c r="N4849" s="235" t="s">
        <v>55</v>
      </c>
      <c r="O4849" s="235" t="s">
        <v>244</v>
      </c>
      <c r="P4849" s="238">
        <v>1.0</v>
      </c>
      <c r="Q4849" s="235" t="s">
        <v>627</v>
      </c>
      <c r="R4849" s="238">
        <v>246.67</v>
      </c>
      <c r="S4849" s="238">
        <v>12.33</v>
      </c>
      <c r="T4849" s="238">
        <v>0.0</v>
      </c>
      <c r="U4849" s="238">
        <v>0.0</v>
      </c>
      <c r="V4849" s="238">
        <v>0.0</v>
      </c>
      <c r="W4849" s="238">
        <v>0.0</v>
      </c>
      <c r="X4849" s="235" t="s">
        <v>628</v>
      </c>
      <c r="Z4849" s="245"/>
      <c r="AA4849" s="245"/>
      <c r="AB4849" s="245"/>
      <c r="AC4849" s="235" t="s">
        <v>1058</v>
      </c>
      <c r="AD4849" s="235" t="s">
        <v>845</v>
      </c>
      <c r="AE4849" s="238">
        <v>400059.0</v>
      </c>
      <c r="AF4849" s="235" t="s">
        <v>631</v>
      </c>
      <c r="AG4849" s="245"/>
      <c r="AH4849" s="245"/>
      <c r="AI4849" s="245"/>
      <c r="AJ4849" s="245"/>
      <c r="AK4849" s="245"/>
      <c r="AL4849" s="245"/>
      <c r="AM4849" s="245"/>
      <c r="AN4849" s="245"/>
      <c r="AO4849" s="238">
        <v>0.0</v>
      </c>
      <c r="AP4849" s="238">
        <v>0.0</v>
      </c>
      <c r="AQ4849" s="235" t="s">
        <v>632</v>
      </c>
      <c r="AR4849" s="243">
        <v>1.68E11</v>
      </c>
      <c r="AS4849" s="235" t="s">
        <v>33466</v>
      </c>
      <c r="AT4849" s="235" t="s">
        <v>9</v>
      </c>
      <c r="AU4849" s="235" t="s">
        <v>634</v>
      </c>
      <c r="AV4849" s="246" t="s">
        <v>635</v>
      </c>
      <c r="AW4849" s="227"/>
      <c r="AX4849" s="227"/>
      <c r="AY4849" s="227"/>
      <c r="AZ4849" s="227"/>
      <c r="BA4849" s="227"/>
      <c r="BB4849" s="227"/>
      <c r="BC4849" s="227"/>
      <c r="BD4849" s="227"/>
      <c r="BE4849" s="227"/>
      <c r="BF4849" s="227"/>
    </row>
    <row r="4850">
      <c r="A4850" s="235" t="s">
        <v>35819</v>
      </c>
      <c r="C4850" s="235" t="s">
        <v>35820</v>
      </c>
      <c r="D4850" s="235" t="s">
        <v>35821</v>
      </c>
      <c r="E4850" s="243">
        <v>6.49E13</v>
      </c>
      <c r="F4850" s="245"/>
      <c r="G4850" s="235" t="s">
        <v>35822</v>
      </c>
      <c r="H4850" s="235" t="s">
        <v>35823</v>
      </c>
      <c r="I4850" s="235" t="s">
        <v>35823</v>
      </c>
      <c r="J4850" s="235" t="s">
        <v>35824</v>
      </c>
      <c r="K4850" s="235" t="s">
        <v>35825</v>
      </c>
      <c r="N4850" s="235" t="s">
        <v>71</v>
      </c>
      <c r="O4850" s="235" t="s">
        <v>240</v>
      </c>
      <c r="P4850" s="238">
        <v>1.0</v>
      </c>
      <c r="Q4850" s="235" t="s">
        <v>627</v>
      </c>
      <c r="R4850" s="238">
        <v>246.67</v>
      </c>
      <c r="S4850" s="238">
        <v>12.33</v>
      </c>
      <c r="T4850" s="238">
        <v>38.1</v>
      </c>
      <c r="U4850" s="238">
        <v>1.9</v>
      </c>
      <c r="V4850" s="238">
        <v>0.0</v>
      </c>
      <c r="W4850" s="238">
        <v>0.0</v>
      </c>
      <c r="X4850" s="235" t="s">
        <v>628</v>
      </c>
      <c r="Z4850" s="245"/>
      <c r="AA4850" s="245"/>
      <c r="AB4850" s="245"/>
      <c r="AC4850" s="235" t="s">
        <v>35826</v>
      </c>
      <c r="AD4850" s="235" t="s">
        <v>881</v>
      </c>
      <c r="AE4850" s="238">
        <v>766107.0</v>
      </c>
      <c r="AF4850" s="235" t="s">
        <v>631</v>
      </c>
      <c r="AG4850" s="245"/>
      <c r="AH4850" s="245"/>
      <c r="AI4850" s="245"/>
      <c r="AJ4850" s="245"/>
      <c r="AK4850" s="245"/>
      <c r="AL4850" s="245"/>
      <c r="AM4850" s="245"/>
      <c r="AN4850" s="245"/>
      <c r="AO4850" s="238">
        <v>0.0</v>
      </c>
      <c r="AP4850" s="238">
        <v>-38.1</v>
      </c>
      <c r="AQ4850" s="235" t="s">
        <v>632</v>
      </c>
      <c r="AR4850" s="243">
        <v>3.7E11</v>
      </c>
      <c r="AS4850" s="235" t="s">
        <v>28482</v>
      </c>
      <c r="AT4850" s="235" t="s">
        <v>9</v>
      </c>
      <c r="AU4850" s="235" t="s">
        <v>634</v>
      </c>
      <c r="AV4850" s="246" t="s">
        <v>635</v>
      </c>
      <c r="AW4850" s="227"/>
      <c r="AX4850" s="227"/>
      <c r="AY4850" s="227"/>
      <c r="AZ4850" s="227"/>
      <c r="BA4850" s="227"/>
      <c r="BB4850" s="227"/>
      <c r="BC4850" s="227"/>
      <c r="BD4850" s="227"/>
      <c r="BE4850" s="227"/>
      <c r="BF4850" s="227"/>
    </row>
    <row r="4851">
      <c r="A4851" s="235" t="s">
        <v>35827</v>
      </c>
      <c r="C4851" s="235" t="s">
        <v>35828</v>
      </c>
      <c r="D4851" s="235" t="s">
        <v>35829</v>
      </c>
      <c r="E4851" s="243">
        <v>6.49E13</v>
      </c>
      <c r="F4851" s="245"/>
      <c r="G4851" s="235" t="s">
        <v>35830</v>
      </c>
      <c r="H4851" s="235" t="s">
        <v>35831</v>
      </c>
      <c r="I4851" s="235" t="s">
        <v>35831</v>
      </c>
      <c r="J4851" s="235" t="s">
        <v>35832</v>
      </c>
      <c r="K4851" s="235" t="s">
        <v>35833</v>
      </c>
      <c r="N4851" s="235" t="s">
        <v>717</v>
      </c>
      <c r="O4851" s="235" t="s">
        <v>718</v>
      </c>
      <c r="P4851" s="238">
        <v>1.0</v>
      </c>
      <c r="Q4851" s="235" t="s">
        <v>627</v>
      </c>
      <c r="R4851" s="238">
        <v>456.2</v>
      </c>
      <c r="S4851" s="238">
        <v>22.8</v>
      </c>
      <c r="T4851" s="238">
        <v>38.1</v>
      </c>
      <c r="U4851" s="238">
        <v>1.9</v>
      </c>
      <c r="V4851" s="238">
        <v>0.0</v>
      </c>
      <c r="W4851" s="238">
        <v>0.0</v>
      </c>
      <c r="X4851" s="235" t="s">
        <v>628</v>
      </c>
      <c r="Z4851" s="245"/>
      <c r="AA4851" s="245"/>
      <c r="AB4851" s="245"/>
      <c r="AC4851" s="235" t="s">
        <v>35834</v>
      </c>
      <c r="AD4851" s="235" t="s">
        <v>845</v>
      </c>
      <c r="AE4851" s="238">
        <v>400706.0</v>
      </c>
      <c r="AF4851" s="235" t="s">
        <v>631</v>
      </c>
      <c r="AG4851" s="245"/>
      <c r="AH4851" s="245"/>
      <c r="AI4851" s="245"/>
      <c r="AJ4851" s="245"/>
      <c r="AK4851" s="245"/>
      <c r="AL4851" s="245"/>
      <c r="AM4851" s="245"/>
      <c r="AN4851" s="245"/>
      <c r="AO4851" s="238">
        <v>0.0</v>
      </c>
      <c r="AP4851" s="238">
        <v>-38.1</v>
      </c>
      <c r="AQ4851" s="235" t="s">
        <v>632</v>
      </c>
      <c r="AR4851" s="243">
        <v>3.7E11</v>
      </c>
      <c r="AS4851" s="235" t="s">
        <v>34510</v>
      </c>
      <c r="AT4851" s="235" t="s">
        <v>16</v>
      </c>
      <c r="AU4851" s="235" t="s">
        <v>634</v>
      </c>
      <c r="AV4851" s="246" t="s">
        <v>635</v>
      </c>
      <c r="AW4851" s="227"/>
      <c r="AX4851" s="227"/>
      <c r="AY4851" s="227"/>
      <c r="AZ4851" s="227"/>
      <c r="BA4851" s="227"/>
      <c r="BB4851" s="227"/>
      <c r="BC4851" s="227"/>
      <c r="BD4851" s="227"/>
      <c r="BE4851" s="227"/>
      <c r="BF4851" s="227"/>
    </row>
    <row r="4852">
      <c r="A4852" s="235" t="s">
        <v>35835</v>
      </c>
      <c r="C4852" s="235" t="s">
        <v>35836</v>
      </c>
      <c r="D4852" s="235" t="s">
        <v>35837</v>
      </c>
      <c r="E4852" s="243">
        <v>6.49E13</v>
      </c>
      <c r="F4852" s="245"/>
      <c r="G4852" s="235" t="s">
        <v>35838</v>
      </c>
      <c r="H4852" s="235" t="s">
        <v>35839</v>
      </c>
      <c r="I4852" s="235" t="s">
        <v>35839</v>
      </c>
      <c r="J4852" s="235" t="s">
        <v>35840</v>
      </c>
      <c r="K4852" s="235" t="s">
        <v>35841</v>
      </c>
      <c r="N4852" s="235" t="s">
        <v>47</v>
      </c>
      <c r="O4852" s="235" t="s">
        <v>270</v>
      </c>
      <c r="P4852" s="238">
        <v>1.0</v>
      </c>
      <c r="Q4852" s="235" t="s">
        <v>627</v>
      </c>
      <c r="R4852" s="238">
        <v>236.19</v>
      </c>
      <c r="S4852" s="238">
        <v>11.81</v>
      </c>
      <c r="T4852" s="238">
        <v>38.1</v>
      </c>
      <c r="U4852" s="238">
        <v>1.9</v>
      </c>
      <c r="V4852" s="238">
        <v>0.0</v>
      </c>
      <c r="W4852" s="238">
        <v>0.0</v>
      </c>
      <c r="X4852" s="235" t="s">
        <v>628</v>
      </c>
      <c r="Z4852" s="245"/>
      <c r="AA4852" s="245"/>
      <c r="AB4852" s="245"/>
      <c r="AC4852" s="235" t="s">
        <v>1671</v>
      </c>
      <c r="AD4852" s="235" t="s">
        <v>666</v>
      </c>
      <c r="AE4852" s="238">
        <v>641021.0</v>
      </c>
      <c r="AF4852" s="235" t="s">
        <v>631</v>
      </c>
      <c r="AG4852" s="245"/>
      <c r="AH4852" s="245"/>
      <c r="AI4852" s="245"/>
      <c r="AJ4852" s="245"/>
      <c r="AK4852" s="245"/>
      <c r="AL4852" s="245"/>
      <c r="AM4852" s="245"/>
      <c r="AN4852" s="245"/>
      <c r="AO4852" s="238">
        <v>0.0</v>
      </c>
      <c r="AP4852" s="238">
        <v>-38.1</v>
      </c>
      <c r="AQ4852" s="235" t="s">
        <v>632</v>
      </c>
      <c r="AR4852" s="243">
        <v>3.7E11</v>
      </c>
      <c r="AS4852" s="235" t="s">
        <v>33466</v>
      </c>
      <c r="AT4852" s="235" t="s">
        <v>9</v>
      </c>
      <c r="AU4852" s="235" t="s">
        <v>634</v>
      </c>
      <c r="AV4852" s="246" t="s">
        <v>635</v>
      </c>
      <c r="AW4852" s="227"/>
      <c r="AX4852" s="227"/>
      <c r="AY4852" s="227"/>
      <c r="AZ4852" s="227"/>
      <c r="BA4852" s="227"/>
      <c r="BB4852" s="227"/>
      <c r="BC4852" s="227"/>
      <c r="BD4852" s="227"/>
      <c r="BE4852" s="227"/>
      <c r="BF4852" s="227"/>
    </row>
    <row r="4853">
      <c r="A4853" s="235" t="s">
        <v>35842</v>
      </c>
      <c r="C4853" s="235" t="s">
        <v>35843</v>
      </c>
      <c r="D4853" s="235" t="s">
        <v>35844</v>
      </c>
      <c r="E4853" s="243">
        <v>6.49E13</v>
      </c>
      <c r="F4853" s="245"/>
      <c r="G4853" s="235" t="s">
        <v>35845</v>
      </c>
      <c r="H4853" s="235" t="s">
        <v>35846</v>
      </c>
      <c r="I4853" s="235" t="s">
        <v>35846</v>
      </c>
      <c r="J4853" s="235" t="s">
        <v>35847</v>
      </c>
      <c r="K4853" s="235" t="s">
        <v>35848</v>
      </c>
      <c r="N4853" s="235" t="s">
        <v>110</v>
      </c>
      <c r="O4853" s="235" t="s">
        <v>364</v>
      </c>
      <c r="P4853" s="238">
        <v>1.0</v>
      </c>
      <c r="Q4853" s="235" t="s">
        <v>627</v>
      </c>
      <c r="R4853" s="238">
        <v>246.67</v>
      </c>
      <c r="S4853" s="238">
        <v>12.33</v>
      </c>
      <c r="T4853" s="238">
        <v>38.1</v>
      </c>
      <c r="U4853" s="238">
        <v>1.9</v>
      </c>
      <c r="V4853" s="238">
        <v>0.0</v>
      </c>
      <c r="W4853" s="238">
        <v>0.0</v>
      </c>
      <c r="X4853" s="235" t="s">
        <v>628</v>
      </c>
      <c r="Z4853" s="245"/>
      <c r="AA4853" s="245"/>
      <c r="AB4853" s="245"/>
      <c r="AC4853" s="235" t="s">
        <v>35849</v>
      </c>
      <c r="AD4853" s="235" t="s">
        <v>845</v>
      </c>
      <c r="AE4853" s="238">
        <v>412210.0</v>
      </c>
      <c r="AF4853" s="235" t="s">
        <v>631</v>
      </c>
      <c r="AG4853" s="245"/>
      <c r="AH4853" s="245"/>
      <c r="AI4853" s="245"/>
      <c r="AJ4853" s="245"/>
      <c r="AK4853" s="245"/>
      <c r="AL4853" s="245"/>
      <c r="AM4853" s="245"/>
      <c r="AN4853" s="245"/>
      <c r="AO4853" s="238">
        <v>0.0</v>
      </c>
      <c r="AP4853" s="238">
        <v>-38.1</v>
      </c>
      <c r="AQ4853" s="235" t="s">
        <v>632</v>
      </c>
      <c r="AR4853" s="243">
        <v>3.7E11</v>
      </c>
      <c r="AS4853" s="235" t="s">
        <v>31232</v>
      </c>
      <c r="AT4853" s="235" t="s">
        <v>156</v>
      </c>
      <c r="AU4853" s="235" t="s">
        <v>634</v>
      </c>
      <c r="AV4853" s="246" t="s">
        <v>635</v>
      </c>
      <c r="AW4853" s="227"/>
      <c r="AX4853" s="227"/>
      <c r="AY4853" s="227"/>
      <c r="AZ4853" s="227"/>
      <c r="BA4853" s="227"/>
      <c r="BB4853" s="227"/>
      <c r="BC4853" s="227"/>
      <c r="BD4853" s="227"/>
      <c r="BE4853" s="227"/>
      <c r="BF4853" s="227"/>
    </row>
    <row r="4854">
      <c r="A4854" s="235" t="s">
        <v>35850</v>
      </c>
      <c r="C4854" s="235" t="s">
        <v>35851</v>
      </c>
      <c r="D4854" s="235" t="s">
        <v>35852</v>
      </c>
      <c r="E4854" s="243">
        <v>6.49E13</v>
      </c>
      <c r="F4854" s="245"/>
      <c r="G4854" s="235" t="s">
        <v>35853</v>
      </c>
      <c r="H4854" s="235" t="s">
        <v>35854</v>
      </c>
      <c r="I4854" s="235" t="s">
        <v>35854</v>
      </c>
      <c r="J4854" s="235" t="s">
        <v>35855</v>
      </c>
      <c r="K4854" s="235" t="s">
        <v>35856</v>
      </c>
      <c r="N4854" s="235" t="s">
        <v>43</v>
      </c>
      <c r="O4854" s="235" t="s">
        <v>276</v>
      </c>
      <c r="P4854" s="238">
        <v>1.0</v>
      </c>
      <c r="Q4854" s="235" t="s">
        <v>627</v>
      </c>
      <c r="R4854" s="238">
        <v>235.24</v>
      </c>
      <c r="S4854" s="238">
        <v>11.52</v>
      </c>
      <c r="T4854" s="238">
        <v>0.0</v>
      </c>
      <c r="U4854" s="238">
        <v>0.0</v>
      </c>
      <c r="V4854" s="238">
        <v>0.0</v>
      </c>
      <c r="W4854" s="238">
        <v>0.0</v>
      </c>
      <c r="X4854" s="235" t="s">
        <v>628</v>
      </c>
      <c r="Z4854" s="245"/>
      <c r="AA4854" s="245"/>
      <c r="AB4854" s="245"/>
      <c r="AC4854" s="235" t="s">
        <v>35857</v>
      </c>
      <c r="AD4854" s="235" t="s">
        <v>833</v>
      </c>
      <c r="AE4854" s="238">
        <v>530046.0</v>
      </c>
      <c r="AF4854" s="235" t="s">
        <v>631</v>
      </c>
      <c r="AG4854" s="245"/>
      <c r="AH4854" s="245"/>
      <c r="AI4854" s="245"/>
      <c r="AJ4854" s="245"/>
      <c r="AK4854" s="245"/>
      <c r="AL4854" s="245"/>
      <c r="AM4854" s="245"/>
      <c r="AN4854" s="245"/>
      <c r="AO4854" s="238">
        <v>-4.7</v>
      </c>
      <c r="AP4854" s="238">
        <v>0.0</v>
      </c>
      <c r="AQ4854" s="235" t="s">
        <v>632</v>
      </c>
      <c r="AR4854" s="243">
        <v>2.02E11</v>
      </c>
      <c r="AS4854" s="235" t="s">
        <v>34510</v>
      </c>
      <c r="AT4854" s="235" t="s">
        <v>11</v>
      </c>
      <c r="AU4854" s="235" t="s">
        <v>634</v>
      </c>
      <c r="AV4854" s="246" t="s">
        <v>635</v>
      </c>
      <c r="AW4854" s="227"/>
      <c r="AX4854" s="227"/>
      <c r="AY4854" s="227"/>
      <c r="AZ4854" s="227"/>
      <c r="BA4854" s="227"/>
      <c r="BB4854" s="227"/>
      <c r="BC4854" s="227"/>
      <c r="BD4854" s="227"/>
      <c r="BE4854" s="227"/>
      <c r="BF4854" s="227"/>
    </row>
    <row r="4855">
      <c r="A4855" s="235" t="s">
        <v>35858</v>
      </c>
      <c r="C4855" s="235" t="s">
        <v>35859</v>
      </c>
      <c r="D4855" s="235" t="s">
        <v>35860</v>
      </c>
      <c r="E4855" s="243">
        <v>6.49E13</v>
      </c>
      <c r="F4855" s="245"/>
      <c r="G4855" s="235" t="s">
        <v>35861</v>
      </c>
      <c r="H4855" s="235" t="s">
        <v>35862</v>
      </c>
      <c r="I4855" s="235" t="s">
        <v>35862</v>
      </c>
      <c r="J4855" s="235" t="s">
        <v>35863</v>
      </c>
      <c r="K4855" s="235" t="s">
        <v>35864</v>
      </c>
      <c r="N4855" s="235" t="s">
        <v>1346</v>
      </c>
      <c r="O4855" s="235" t="s">
        <v>1347</v>
      </c>
      <c r="P4855" s="238">
        <v>1.0</v>
      </c>
      <c r="Q4855" s="235" t="s">
        <v>627</v>
      </c>
      <c r="R4855" s="238">
        <v>256.19</v>
      </c>
      <c r="S4855" s="238">
        <v>12.81</v>
      </c>
      <c r="T4855" s="238">
        <v>38.1</v>
      </c>
      <c r="U4855" s="238">
        <v>1.9</v>
      </c>
      <c r="V4855" s="238">
        <v>0.0</v>
      </c>
      <c r="W4855" s="238">
        <v>0.0</v>
      </c>
      <c r="X4855" s="235" t="s">
        <v>628</v>
      </c>
      <c r="Z4855" s="245"/>
      <c r="AA4855" s="245"/>
      <c r="AB4855" s="245"/>
      <c r="AC4855" s="235" t="s">
        <v>8997</v>
      </c>
      <c r="AD4855" s="235" t="s">
        <v>1086</v>
      </c>
      <c r="AE4855" s="238">
        <v>140308.0</v>
      </c>
      <c r="AF4855" s="235" t="s">
        <v>631</v>
      </c>
      <c r="AG4855" s="245"/>
      <c r="AH4855" s="245"/>
      <c r="AI4855" s="245"/>
      <c r="AJ4855" s="245"/>
      <c r="AK4855" s="245"/>
      <c r="AL4855" s="245"/>
      <c r="AM4855" s="245"/>
      <c r="AN4855" s="245"/>
      <c r="AO4855" s="238">
        <v>0.0</v>
      </c>
      <c r="AP4855" s="238">
        <v>-38.1</v>
      </c>
      <c r="AQ4855" s="235" t="s">
        <v>632</v>
      </c>
      <c r="AR4855" s="243">
        <v>1.68E11</v>
      </c>
      <c r="AS4855" s="235" t="s">
        <v>34510</v>
      </c>
      <c r="AT4855" s="235" t="s">
        <v>13</v>
      </c>
      <c r="AU4855" s="235" t="s">
        <v>634</v>
      </c>
      <c r="AV4855" s="246" t="s">
        <v>635</v>
      </c>
      <c r="AW4855" s="227"/>
      <c r="AX4855" s="227"/>
      <c r="AY4855" s="227"/>
      <c r="AZ4855" s="227"/>
      <c r="BA4855" s="227"/>
      <c r="BB4855" s="227"/>
      <c r="BC4855" s="227"/>
      <c r="BD4855" s="227"/>
      <c r="BE4855" s="227"/>
      <c r="BF4855" s="227"/>
    </row>
    <row r="4856">
      <c r="A4856" s="235" t="s">
        <v>35865</v>
      </c>
      <c r="C4856" s="235" t="s">
        <v>35866</v>
      </c>
      <c r="D4856" s="235" t="s">
        <v>35867</v>
      </c>
      <c r="E4856" s="243">
        <v>6.49E13</v>
      </c>
      <c r="F4856" s="245"/>
      <c r="G4856" s="235" t="s">
        <v>35868</v>
      </c>
      <c r="H4856" s="235" t="s">
        <v>35869</v>
      </c>
      <c r="I4856" s="235" t="s">
        <v>35869</v>
      </c>
      <c r="J4856" s="235" t="s">
        <v>35870</v>
      </c>
      <c r="K4856" s="235" t="s">
        <v>35871</v>
      </c>
      <c r="N4856" s="235" t="s">
        <v>42</v>
      </c>
      <c r="O4856" s="235" t="s">
        <v>204</v>
      </c>
      <c r="P4856" s="238">
        <v>1.0</v>
      </c>
      <c r="Q4856" s="235" t="s">
        <v>627</v>
      </c>
      <c r="R4856" s="238">
        <v>237.14</v>
      </c>
      <c r="S4856" s="238">
        <v>11.86</v>
      </c>
      <c r="T4856" s="238">
        <v>38.1</v>
      </c>
      <c r="U4856" s="238">
        <v>1.9</v>
      </c>
      <c r="V4856" s="238">
        <v>0.0</v>
      </c>
      <c r="W4856" s="238">
        <v>0.0</v>
      </c>
      <c r="X4856" s="235" t="s">
        <v>628</v>
      </c>
      <c r="Z4856" s="245"/>
      <c r="AA4856" s="245"/>
      <c r="AB4856" s="245"/>
      <c r="AC4856" s="235" t="s">
        <v>35872</v>
      </c>
      <c r="AD4856" s="235" t="s">
        <v>666</v>
      </c>
      <c r="AE4856" s="238">
        <v>629802.0</v>
      </c>
      <c r="AF4856" s="235" t="s">
        <v>631</v>
      </c>
      <c r="AG4856" s="245"/>
      <c r="AH4856" s="245"/>
      <c r="AI4856" s="245"/>
      <c r="AJ4856" s="245"/>
      <c r="AK4856" s="245"/>
      <c r="AL4856" s="245"/>
      <c r="AM4856" s="245"/>
      <c r="AN4856" s="245"/>
      <c r="AO4856" s="238">
        <v>0.0</v>
      </c>
      <c r="AP4856" s="238">
        <v>-38.1</v>
      </c>
      <c r="AQ4856" s="235" t="s">
        <v>632</v>
      </c>
      <c r="AR4856" s="243">
        <v>3.7E11</v>
      </c>
      <c r="AS4856" s="235" t="s">
        <v>28482</v>
      </c>
      <c r="AT4856" s="235" t="s">
        <v>546</v>
      </c>
      <c r="AU4856" s="235" t="s">
        <v>634</v>
      </c>
      <c r="AV4856" s="246" t="s">
        <v>635</v>
      </c>
      <c r="AW4856" s="227"/>
      <c r="AX4856" s="227"/>
      <c r="AY4856" s="227"/>
      <c r="AZ4856" s="227"/>
      <c r="BA4856" s="227"/>
      <c r="BB4856" s="227"/>
      <c r="BC4856" s="227"/>
      <c r="BD4856" s="227"/>
      <c r="BE4856" s="227"/>
      <c r="BF4856" s="227"/>
    </row>
    <row r="4857">
      <c r="A4857" s="235" t="s">
        <v>35873</v>
      </c>
      <c r="C4857" s="235" t="s">
        <v>35874</v>
      </c>
      <c r="D4857" s="235" t="s">
        <v>35875</v>
      </c>
      <c r="E4857" s="243">
        <v>6.49E13</v>
      </c>
      <c r="F4857" s="245"/>
      <c r="G4857" s="235" t="s">
        <v>35876</v>
      </c>
      <c r="H4857" s="235" t="s">
        <v>35877</v>
      </c>
      <c r="I4857" s="235" t="s">
        <v>35877</v>
      </c>
      <c r="J4857" s="235" t="s">
        <v>35878</v>
      </c>
      <c r="K4857" s="235" t="s">
        <v>35879</v>
      </c>
      <c r="N4857" s="235" t="s">
        <v>130</v>
      </c>
      <c r="O4857" s="235" t="s">
        <v>707</v>
      </c>
      <c r="P4857" s="238">
        <v>1.0</v>
      </c>
      <c r="Q4857" s="235" t="s">
        <v>627</v>
      </c>
      <c r="R4857" s="238">
        <v>243.8</v>
      </c>
      <c r="S4857" s="238">
        <v>11.96</v>
      </c>
      <c r="T4857" s="238">
        <v>38.1</v>
      </c>
      <c r="U4857" s="238">
        <v>1.9</v>
      </c>
      <c r="V4857" s="238">
        <v>0.0</v>
      </c>
      <c r="W4857" s="238">
        <v>0.0</v>
      </c>
      <c r="X4857" s="235" t="s">
        <v>628</v>
      </c>
      <c r="Z4857" s="245"/>
      <c r="AA4857" s="245"/>
      <c r="AB4857" s="245"/>
      <c r="AC4857" s="235" t="s">
        <v>687</v>
      </c>
      <c r="AD4857" s="235" t="s">
        <v>666</v>
      </c>
      <c r="AE4857" s="238">
        <v>600102.0</v>
      </c>
      <c r="AF4857" s="235" t="s">
        <v>631</v>
      </c>
      <c r="AG4857" s="245"/>
      <c r="AH4857" s="245"/>
      <c r="AI4857" s="245"/>
      <c r="AJ4857" s="245"/>
      <c r="AK4857" s="245"/>
      <c r="AL4857" s="245"/>
      <c r="AM4857" s="245"/>
      <c r="AN4857" s="245"/>
      <c r="AO4857" s="238">
        <v>-4.88</v>
      </c>
      <c r="AP4857" s="238">
        <v>-38.1</v>
      </c>
      <c r="AQ4857" s="235" t="s">
        <v>632</v>
      </c>
      <c r="AR4857" s="243">
        <v>3.7E11</v>
      </c>
      <c r="AS4857" s="235" t="s">
        <v>35520</v>
      </c>
      <c r="AT4857" s="235" t="s">
        <v>156</v>
      </c>
      <c r="AU4857" s="235" t="s">
        <v>634</v>
      </c>
      <c r="AV4857" s="246" t="s">
        <v>635</v>
      </c>
      <c r="AW4857" s="227"/>
      <c r="AX4857" s="227"/>
      <c r="AY4857" s="227"/>
      <c r="AZ4857" s="227"/>
      <c r="BA4857" s="227"/>
      <c r="BB4857" s="227"/>
      <c r="BC4857" s="227"/>
      <c r="BD4857" s="227"/>
      <c r="BE4857" s="227"/>
      <c r="BF4857" s="227"/>
    </row>
    <row r="4858">
      <c r="A4858" s="235" t="s">
        <v>35880</v>
      </c>
      <c r="C4858" s="235" t="s">
        <v>35881</v>
      </c>
      <c r="D4858" s="235" t="s">
        <v>35882</v>
      </c>
      <c r="E4858" s="243">
        <v>6.49E13</v>
      </c>
      <c r="F4858" s="245"/>
      <c r="G4858" s="235" t="s">
        <v>35883</v>
      </c>
      <c r="H4858" s="235" t="s">
        <v>35884</v>
      </c>
      <c r="I4858" s="235" t="s">
        <v>35884</v>
      </c>
      <c r="J4858" s="235" t="s">
        <v>35885</v>
      </c>
      <c r="K4858" s="235" t="s">
        <v>35886</v>
      </c>
      <c r="N4858" s="235" t="s">
        <v>139</v>
      </c>
      <c r="O4858" s="235" t="s">
        <v>2091</v>
      </c>
      <c r="P4858" s="238">
        <v>1.0</v>
      </c>
      <c r="Q4858" s="235" t="s">
        <v>627</v>
      </c>
      <c r="R4858" s="238">
        <v>244.76</v>
      </c>
      <c r="S4858" s="238">
        <v>11.87</v>
      </c>
      <c r="T4858" s="238">
        <v>0.0</v>
      </c>
      <c r="U4858" s="238">
        <v>0.0</v>
      </c>
      <c r="V4858" s="238">
        <v>0.0</v>
      </c>
      <c r="W4858" s="238">
        <v>0.0</v>
      </c>
      <c r="X4858" s="235" t="s">
        <v>628</v>
      </c>
      <c r="Z4858" s="245"/>
      <c r="AA4858" s="245"/>
      <c r="AB4858" s="245"/>
      <c r="AC4858" s="235" t="s">
        <v>10769</v>
      </c>
      <c r="AD4858" s="235" t="s">
        <v>845</v>
      </c>
      <c r="AE4858" s="238">
        <v>422006.0</v>
      </c>
      <c r="AF4858" s="235" t="s">
        <v>631</v>
      </c>
      <c r="AG4858" s="245"/>
      <c r="AH4858" s="245"/>
      <c r="AI4858" s="245"/>
      <c r="AJ4858" s="245"/>
      <c r="AK4858" s="245"/>
      <c r="AL4858" s="245"/>
      <c r="AM4858" s="245"/>
      <c r="AN4858" s="245"/>
      <c r="AO4858" s="238">
        <v>-7.34</v>
      </c>
      <c r="AP4858" s="238">
        <v>0.0</v>
      </c>
      <c r="AQ4858" s="235" t="s">
        <v>632</v>
      </c>
      <c r="AR4858" s="243">
        <v>3.7E11</v>
      </c>
      <c r="AS4858" s="235" t="s">
        <v>32455</v>
      </c>
      <c r="AT4858" s="235" t="s">
        <v>11</v>
      </c>
      <c r="AU4858" s="235" t="s">
        <v>634</v>
      </c>
      <c r="AV4858" s="246" t="s">
        <v>635</v>
      </c>
      <c r="AW4858" s="227"/>
      <c r="AX4858" s="227"/>
      <c r="AY4858" s="227"/>
      <c r="AZ4858" s="227"/>
      <c r="BA4858" s="227"/>
      <c r="BB4858" s="227"/>
      <c r="BC4858" s="227"/>
      <c r="BD4858" s="227"/>
      <c r="BE4858" s="227"/>
      <c r="BF4858" s="227"/>
    </row>
    <row r="4859">
      <c r="A4859" s="235" t="s">
        <v>35880</v>
      </c>
      <c r="C4859" s="235" t="s">
        <v>35881</v>
      </c>
      <c r="D4859" s="235" t="s">
        <v>35887</v>
      </c>
      <c r="E4859" s="243">
        <v>6.49E13</v>
      </c>
      <c r="F4859" s="245"/>
      <c r="G4859" s="235" t="s">
        <v>35883</v>
      </c>
      <c r="H4859" s="235" t="s">
        <v>35884</v>
      </c>
      <c r="I4859" s="235" t="s">
        <v>35884</v>
      </c>
      <c r="J4859" s="235" t="s">
        <v>35885</v>
      </c>
      <c r="K4859" s="235" t="s">
        <v>35886</v>
      </c>
      <c r="N4859" s="235" t="s">
        <v>139</v>
      </c>
      <c r="O4859" s="235" t="s">
        <v>2091</v>
      </c>
      <c r="P4859" s="238">
        <v>1.0</v>
      </c>
      <c r="Q4859" s="235" t="s">
        <v>627</v>
      </c>
      <c r="R4859" s="238">
        <v>244.76</v>
      </c>
      <c r="S4859" s="238">
        <v>11.87</v>
      </c>
      <c r="T4859" s="238">
        <v>0.0</v>
      </c>
      <c r="U4859" s="238">
        <v>0.0</v>
      </c>
      <c r="V4859" s="238">
        <v>0.0</v>
      </c>
      <c r="W4859" s="238">
        <v>0.0</v>
      </c>
      <c r="X4859" s="235" t="s">
        <v>628</v>
      </c>
      <c r="Z4859" s="245"/>
      <c r="AA4859" s="245"/>
      <c r="AB4859" s="245"/>
      <c r="AC4859" s="235" t="s">
        <v>10769</v>
      </c>
      <c r="AD4859" s="235" t="s">
        <v>845</v>
      </c>
      <c r="AE4859" s="238">
        <v>422006.0</v>
      </c>
      <c r="AF4859" s="235" t="s">
        <v>631</v>
      </c>
      <c r="AG4859" s="245"/>
      <c r="AH4859" s="245"/>
      <c r="AI4859" s="245"/>
      <c r="AJ4859" s="245"/>
      <c r="AK4859" s="245"/>
      <c r="AL4859" s="245"/>
      <c r="AM4859" s="245"/>
      <c r="AN4859" s="245"/>
      <c r="AO4859" s="238">
        <v>-7.34</v>
      </c>
      <c r="AP4859" s="238">
        <v>0.0</v>
      </c>
      <c r="AQ4859" s="235" t="s">
        <v>632</v>
      </c>
      <c r="AR4859" s="243">
        <v>3.7E11</v>
      </c>
      <c r="AS4859" s="235" t="s">
        <v>32455</v>
      </c>
      <c r="AT4859" s="235" t="s">
        <v>11</v>
      </c>
      <c r="AU4859" s="235" t="s">
        <v>634</v>
      </c>
      <c r="AV4859" s="246" t="s">
        <v>635</v>
      </c>
      <c r="AW4859" s="227"/>
      <c r="AX4859" s="227"/>
      <c r="AY4859" s="227"/>
      <c r="AZ4859" s="227"/>
      <c r="BA4859" s="227"/>
      <c r="BB4859" s="227"/>
      <c r="BC4859" s="227"/>
      <c r="BD4859" s="227"/>
      <c r="BE4859" s="227"/>
      <c r="BF4859" s="227"/>
    </row>
    <row r="4860">
      <c r="A4860" s="235" t="s">
        <v>35888</v>
      </c>
      <c r="C4860" s="235" t="s">
        <v>35889</v>
      </c>
      <c r="D4860" s="235" t="s">
        <v>35890</v>
      </c>
      <c r="E4860" s="243">
        <v>6.49E13</v>
      </c>
      <c r="F4860" s="245"/>
      <c r="G4860" s="235" t="s">
        <v>35891</v>
      </c>
      <c r="H4860" s="235" t="s">
        <v>35892</v>
      </c>
      <c r="I4860" s="235" t="s">
        <v>35892</v>
      </c>
      <c r="J4860" s="235" t="s">
        <v>35893</v>
      </c>
      <c r="K4860" s="235" t="s">
        <v>35894</v>
      </c>
      <c r="N4860" s="235" t="s">
        <v>1646</v>
      </c>
      <c r="O4860" s="235" t="s">
        <v>1647</v>
      </c>
      <c r="P4860" s="238">
        <v>1.0</v>
      </c>
      <c r="Q4860" s="235" t="s">
        <v>627</v>
      </c>
      <c r="R4860" s="238">
        <v>246.66</v>
      </c>
      <c r="S4860" s="238">
        <v>12.1</v>
      </c>
      <c r="T4860" s="238">
        <v>0.0</v>
      </c>
      <c r="U4860" s="238">
        <v>0.0</v>
      </c>
      <c r="V4860" s="238">
        <v>0.0</v>
      </c>
      <c r="W4860" s="238">
        <v>0.0</v>
      </c>
      <c r="X4860" s="235" t="s">
        <v>628</v>
      </c>
      <c r="Z4860" s="245"/>
      <c r="AA4860" s="245"/>
      <c r="AB4860" s="245"/>
      <c r="AC4860" s="235" t="s">
        <v>687</v>
      </c>
      <c r="AD4860" s="235" t="s">
        <v>666</v>
      </c>
      <c r="AE4860" s="238">
        <v>600028.0</v>
      </c>
      <c r="AF4860" s="235" t="s">
        <v>631</v>
      </c>
      <c r="AG4860" s="245"/>
      <c r="AH4860" s="245"/>
      <c r="AI4860" s="245"/>
      <c r="AJ4860" s="245"/>
      <c r="AK4860" s="245"/>
      <c r="AL4860" s="245"/>
      <c r="AM4860" s="245"/>
      <c r="AN4860" s="245"/>
      <c r="AO4860" s="238">
        <v>-4.94</v>
      </c>
      <c r="AP4860" s="238">
        <v>0.0</v>
      </c>
      <c r="AQ4860" s="235" t="s">
        <v>632</v>
      </c>
      <c r="AR4860" s="243">
        <v>1.68E11</v>
      </c>
      <c r="AS4860" s="235" t="s">
        <v>35895</v>
      </c>
      <c r="AT4860" s="235" t="s">
        <v>156</v>
      </c>
      <c r="AU4860" s="235" t="s">
        <v>634</v>
      </c>
      <c r="AV4860" s="246" t="s">
        <v>635</v>
      </c>
      <c r="AW4860" s="227"/>
      <c r="AX4860" s="227"/>
      <c r="AY4860" s="227"/>
      <c r="AZ4860" s="227"/>
      <c r="BA4860" s="227"/>
      <c r="BB4860" s="227"/>
      <c r="BC4860" s="227"/>
      <c r="BD4860" s="227"/>
      <c r="BE4860" s="227"/>
      <c r="BF4860" s="227"/>
    </row>
    <row r="4861">
      <c r="A4861" s="235" t="s">
        <v>35896</v>
      </c>
      <c r="C4861" s="235" t="s">
        <v>35897</v>
      </c>
      <c r="D4861" s="235" t="s">
        <v>35898</v>
      </c>
      <c r="E4861" s="243">
        <v>6.49E13</v>
      </c>
      <c r="F4861" s="245"/>
      <c r="G4861" s="235" t="s">
        <v>35899</v>
      </c>
      <c r="H4861" s="235" t="s">
        <v>35900</v>
      </c>
      <c r="I4861" s="235" t="s">
        <v>35901</v>
      </c>
      <c r="J4861" s="235" t="s">
        <v>35902</v>
      </c>
      <c r="K4861" s="235" t="s">
        <v>35903</v>
      </c>
      <c r="N4861" s="235" t="s">
        <v>92</v>
      </c>
      <c r="O4861" s="235" t="s">
        <v>248</v>
      </c>
      <c r="P4861" s="238">
        <v>1.0</v>
      </c>
      <c r="Q4861" s="235" t="s">
        <v>627</v>
      </c>
      <c r="R4861" s="238">
        <v>244.76</v>
      </c>
      <c r="S4861" s="238">
        <v>12.24</v>
      </c>
      <c r="T4861" s="238">
        <v>38.1</v>
      </c>
      <c r="U4861" s="238">
        <v>1.9</v>
      </c>
      <c r="V4861" s="238">
        <v>0.0</v>
      </c>
      <c r="W4861" s="238">
        <v>0.0</v>
      </c>
      <c r="X4861" s="235" t="s">
        <v>628</v>
      </c>
      <c r="Z4861" s="245"/>
      <c r="AA4861" s="245"/>
      <c r="AB4861" s="245"/>
      <c r="AC4861" s="235" t="s">
        <v>4343</v>
      </c>
      <c r="AD4861" s="235" t="s">
        <v>845</v>
      </c>
      <c r="AE4861" s="238">
        <v>413322.0</v>
      </c>
      <c r="AF4861" s="235" t="s">
        <v>631</v>
      </c>
      <c r="AG4861" s="245"/>
      <c r="AH4861" s="245"/>
      <c r="AI4861" s="245"/>
      <c r="AJ4861" s="245"/>
      <c r="AK4861" s="245"/>
      <c r="AL4861" s="245"/>
      <c r="AM4861" s="245"/>
      <c r="AN4861" s="245"/>
      <c r="AO4861" s="238">
        <v>0.0</v>
      </c>
      <c r="AP4861" s="238">
        <v>-38.1</v>
      </c>
      <c r="AQ4861" s="235" t="s">
        <v>1356</v>
      </c>
      <c r="AR4861" s="235" t="s">
        <v>35904</v>
      </c>
      <c r="AS4861" s="235" t="s">
        <v>28482</v>
      </c>
      <c r="AT4861" s="235" t="s">
        <v>16</v>
      </c>
      <c r="AU4861" s="235" t="s">
        <v>634</v>
      </c>
      <c r="AV4861" s="246" t="s">
        <v>635</v>
      </c>
      <c r="AW4861" s="227"/>
      <c r="AX4861" s="227"/>
      <c r="AY4861" s="227"/>
      <c r="AZ4861" s="227"/>
      <c r="BA4861" s="227"/>
      <c r="BB4861" s="227"/>
      <c r="BC4861" s="227"/>
      <c r="BD4861" s="227"/>
      <c r="BE4861" s="227"/>
      <c r="BF4861" s="227"/>
    </row>
    <row r="4862">
      <c r="A4862" s="235" t="s">
        <v>35905</v>
      </c>
      <c r="C4862" s="235" t="s">
        <v>35906</v>
      </c>
      <c r="D4862" s="235" t="s">
        <v>35907</v>
      </c>
      <c r="E4862" s="243">
        <v>6.49E13</v>
      </c>
      <c r="F4862" s="245"/>
      <c r="G4862" s="235" t="s">
        <v>35908</v>
      </c>
      <c r="H4862" s="235" t="s">
        <v>35909</v>
      </c>
      <c r="I4862" s="235" t="s">
        <v>35910</v>
      </c>
      <c r="J4862" s="235" t="s">
        <v>35911</v>
      </c>
      <c r="K4862" s="235" t="s">
        <v>35912</v>
      </c>
      <c r="N4862" s="235" t="s">
        <v>3564</v>
      </c>
      <c r="O4862" s="235" t="s">
        <v>3565</v>
      </c>
      <c r="P4862" s="238">
        <v>1.0</v>
      </c>
      <c r="Q4862" s="235" t="s">
        <v>627</v>
      </c>
      <c r="R4862" s="238">
        <v>338.14</v>
      </c>
      <c r="S4862" s="238">
        <v>60.86</v>
      </c>
      <c r="T4862" s="238">
        <v>0.0</v>
      </c>
      <c r="U4862" s="238">
        <v>0.0</v>
      </c>
      <c r="V4862" s="238">
        <v>0.0</v>
      </c>
      <c r="W4862" s="238">
        <v>0.0</v>
      </c>
      <c r="X4862" s="235" t="s">
        <v>628</v>
      </c>
      <c r="Z4862" s="245"/>
      <c r="AA4862" s="245"/>
      <c r="AB4862" s="245"/>
      <c r="AC4862" s="235" t="s">
        <v>5432</v>
      </c>
      <c r="AD4862" s="235" t="s">
        <v>1077</v>
      </c>
      <c r="AE4862" s="238">
        <v>382355.0</v>
      </c>
      <c r="AF4862" s="235" t="s">
        <v>631</v>
      </c>
      <c r="AG4862" s="245"/>
      <c r="AH4862" s="245"/>
      <c r="AI4862" s="245"/>
      <c r="AJ4862" s="245"/>
      <c r="AK4862" s="245"/>
      <c r="AL4862" s="245"/>
      <c r="AM4862" s="245"/>
      <c r="AN4862" s="245"/>
      <c r="AO4862" s="238">
        <v>0.0</v>
      </c>
      <c r="AP4862" s="238">
        <v>0.0</v>
      </c>
      <c r="AQ4862" s="235" t="s">
        <v>632</v>
      </c>
      <c r="AR4862" s="243">
        <v>3.7E11</v>
      </c>
      <c r="AS4862" s="235" t="s">
        <v>33466</v>
      </c>
      <c r="AT4862" s="235" t="s">
        <v>17</v>
      </c>
      <c r="AU4862" s="235" t="s">
        <v>634</v>
      </c>
      <c r="AV4862" s="246" t="s">
        <v>635</v>
      </c>
      <c r="AW4862" s="227"/>
      <c r="AX4862" s="227"/>
      <c r="AY4862" s="227"/>
      <c r="AZ4862" s="227"/>
      <c r="BA4862" s="227"/>
      <c r="BB4862" s="227"/>
      <c r="BC4862" s="227"/>
      <c r="BD4862" s="227"/>
      <c r="BE4862" s="227"/>
      <c r="BF4862" s="227"/>
    </row>
    <row r="4863">
      <c r="A4863" s="235" t="s">
        <v>35913</v>
      </c>
      <c r="C4863" s="235" t="s">
        <v>35914</v>
      </c>
      <c r="D4863" s="235" t="s">
        <v>35915</v>
      </c>
      <c r="E4863" s="243">
        <v>6.49E13</v>
      </c>
      <c r="F4863" s="245"/>
      <c r="G4863" s="235" t="s">
        <v>35916</v>
      </c>
      <c r="H4863" s="235" t="s">
        <v>35917</v>
      </c>
      <c r="I4863" s="235" t="s">
        <v>35917</v>
      </c>
      <c r="J4863" s="235" t="s">
        <v>35918</v>
      </c>
      <c r="K4863" s="235" t="s">
        <v>35919</v>
      </c>
      <c r="N4863" s="235" t="s">
        <v>154</v>
      </c>
      <c r="O4863" s="235" t="s">
        <v>766</v>
      </c>
      <c r="P4863" s="238">
        <v>1.0</v>
      </c>
      <c r="Q4863" s="235" t="s">
        <v>627</v>
      </c>
      <c r="R4863" s="238">
        <v>465.72</v>
      </c>
      <c r="S4863" s="238">
        <v>22.82</v>
      </c>
      <c r="T4863" s="238">
        <v>0.0</v>
      </c>
      <c r="U4863" s="238">
        <v>0.0</v>
      </c>
      <c r="V4863" s="238">
        <v>0.0</v>
      </c>
      <c r="W4863" s="238">
        <v>0.0</v>
      </c>
      <c r="X4863" s="235" t="s">
        <v>628</v>
      </c>
      <c r="Z4863" s="245"/>
      <c r="AA4863" s="245"/>
      <c r="AB4863" s="245"/>
      <c r="AC4863" s="235" t="s">
        <v>2092</v>
      </c>
      <c r="AD4863" s="235" t="s">
        <v>845</v>
      </c>
      <c r="AE4863" s="238">
        <v>411051.0</v>
      </c>
      <c r="AF4863" s="235" t="s">
        <v>631</v>
      </c>
      <c r="AG4863" s="245"/>
      <c r="AH4863" s="245"/>
      <c r="AI4863" s="245"/>
      <c r="AJ4863" s="245"/>
      <c r="AK4863" s="245"/>
      <c r="AL4863" s="245"/>
      <c r="AM4863" s="245"/>
      <c r="AN4863" s="245"/>
      <c r="AO4863" s="238">
        <v>-9.32</v>
      </c>
      <c r="AP4863" s="238">
        <v>0.0</v>
      </c>
      <c r="AQ4863" s="235" t="s">
        <v>632</v>
      </c>
      <c r="AR4863" s="243">
        <v>3.7E11</v>
      </c>
      <c r="AS4863" s="235" t="s">
        <v>35520</v>
      </c>
      <c r="AT4863" s="235" t="s">
        <v>546</v>
      </c>
      <c r="AU4863" s="235" t="s">
        <v>634</v>
      </c>
      <c r="AV4863" s="246" t="s">
        <v>635</v>
      </c>
      <c r="AW4863" s="227"/>
      <c r="AX4863" s="227"/>
      <c r="AY4863" s="227"/>
      <c r="AZ4863" s="227"/>
      <c r="BA4863" s="227"/>
      <c r="BB4863" s="227"/>
      <c r="BC4863" s="227"/>
      <c r="BD4863" s="227"/>
      <c r="BE4863" s="227"/>
      <c r="BF4863" s="227"/>
    </row>
    <row r="4864">
      <c r="A4864" s="235" t="s">
        <v>35920</v>
      </c>
      <c r="C4864" s="235" t="s">
        <v>35921</v>
      </c>
      <c r="D4864" s="235" t="s">
        <v>35922</v>
      </c>
      <c r="E4864" s="243">
        <v>6.49E13</v>
      </c>
      <c r="F4864" s="245"/>
      <c r="G4864" s="235" t="s">
        <v>35923</v>
      </c>
      <c r="H4864" s="235" t="s">
        <v>35924</v>
      </c>
      <c r="I4864" s="235" t="s">
        <v>35924</v>
      </c>
      <c r="J4864" s="235" t="s">
        <v>35925</v>
      </c>
      <c r="K4864" s="235" t="s">
        <v>35926</v>
      </c>
      <c r="N4864" s="235" t="s">
        <v>127</v>
      </c>
      <c r="O4864" s="235" t="s">
        <v>794</v>
      </c>
      <c r="P4864" s="238">
        <v>1.0</v>
      </c>
      <c r="Q4864" s="235" t="s">
        <v>627</v>
      </c>
      <c r="R4864" s="238">
        <v>243.8</v>
      </c>
      <c r="S4864" s="238">
        <v>12.2</v>
      </c>
      <c r="T4864" s="238">
        <v>0.0</v>
      </c>
      <c r="U4864" s="238">
        <v>0.0</v>
      </c>
      <c r="V4864" s="238">
        <v>0.0</v>
      </c>
      <c r="W4864" s="238">
        <v>0.0</v>
      </c>
      <c r="X4864" s="235" t="s">
        <v>628</v>
      </c>
      <c r="Z4864" s="245"/>
      <c r="AA4864" s="245"/>
      <c r="AB4864" s="245"/>
      <c r="AC4864" s="235" t="s">
        <v>1320</v>
      </c>
      <c r="AD4864" s="235" t="s">
        <v>666</v>
      </c>
      <c r="AE4864" s="238">
        <v>600048.0</v>
      </c>
      <c r="AF4864" s="235" t="s">
        <v>631</v>
      </c>
      <c r="AG4864" s="245"/>
      <c r="AH4864" s="245"/>
      <c r="AI4864" s="245"/>
      <c r="AJ4864" s="245"/>
      <c r="AK4864" s="245"/>
      <c r="AL4864" s="245"/>
      <c r="AM4864" s="245"/>
      <c r="AN4864" s="245"/>
      <c r="AO4864" s="238">
        <v>0.0</v>
      </c>
      <c r="AP4864" s="238">
        <v>0.0</v>
      </c>
      <c r="AQ4864" s="235" t="s">
        <v>632</v>
      </c>
      <c r="AR4864" s="243">
        <v>3.7E11</v>
      </c>
      <c r="AS4864" s="235" t="s">
        <v>35520</v>
      </c>
      <c r="AT4864" s="235" t="s">
        <v>156</v>
      </c>
      <c r="AU4864" s="235" t="s">
        <v>634</v>
      </c>
      <c r="AV4864" s="246" t="s">
        <v>635</v>
      </c>
      <c r="AW4864" s="227"/>
      <c r="AX4864" s="227"/>
      <c r="AY4864" s="227"/>
      <c r="AZ4864" s="227"/>
      <c r="BA4864" s="227"/>
      <c r="BB4864" s="227"/>
      <c r="BC4864" s="227"/>
      <c r="BD4864" s="227"/>
      <c r="BE4864" s="227"/>
      <c r="BF4864" s="227"/>
    </row>
    <row r="4865">
      <c r="A4865" s="235" t="s">
        <v>35927</v>
      </c>
      <c r="C4865" s="235" t="s">
        <v>35928</v>
      </c>
      <c r="D4865" s="235" t="s">
        <v>35929</v>
      </c>
      <c r="E4865" s="243">
        <v>6.49E13</v>
      </c>
      <c r="F4865" s="245"/>
      <c r="G4865" s="235" t="s">
        <v>35930</v>
      </c>
      <c r="H4865" s="235" t="s">
        <v>35931</v>
      </c>
      <c r="I4865" s="235" t="s">
        <v>35931</v>
      </c>
      <c r="J4865" s="235" t="s">
        <v>35932</v>
      </c>
      <c r="K4865" s="235" t="s">
        <v>35933</v>
      </c>
      <c r="N4865" s="235" t="s">
        <v>154</v>
      </c>
      <c r="O4865" s="235" t="s">
        <v>766</v>
      </c>
      <c r="P4865" s="238">
        <v>1.0</v>
      </c>
      <c r="Q4865" s="235" t="s">
        <v>627</v>
      </c>
      <c r="R4865" s="238">
        <v>465.72</v>
      </c>
      <c r="S4865" s="238">
        <v>23.28</v>
      </c>
      <c r="T4865" s="238">
        <v>0.0</v>
      </c>
      <c r="U4865" s="238">
        <v>0.0</v>
      </c>
      <c r="V4865" s="238">
        <v>0.0</v>
      </c>
      <c r="W4865" s="238">
        <v>0.0</v>
      </c>
      <c r="X4865" s="235" t="s">
        <v>628</v>
      </c>
      <c r="Z4865" s="245"/>
      <c r="AA4865" s="245"/>
      <c r="AB4865" s="245"/>
      <c r="AC4865" s="235" t="s">
        <v>687</v>
      </c>
      <c r="AD4865" s="235" t="s">
        <v>666</v>
      </c>
      <c r="AE4865" s="238">
        <v>600042.0</v>
      </c>
      <c r="AF4865" s="235" t="s">
        <v>631</v>
      </c>
      <c r="AG4865" s="245"/>
      <c r="AH4865" s="245"/>
      <c r="AI4865" s="245"/>
      <c r="AJ4865" s="245"/>
      <c r="AK4865" s="245"/>
      <c r="AL4865" s="245"/>
      <c r="AM4865" s="245"/>
      <c r="AN4865" s="245"/>
      <c r="AO4865" s="238">
        <v>0.0</v>
      </c>
      <c r="AP4865" s="238">
        <v>0.0</v>
      </c>
      <c r="AQ4865" s="235" t="s">
        <v>632</v>
      </c>
      <c r="AR4865" s="243">
        <v>3.7E11</v>
      </c>
      <c r="AS4865" s="235" t="s">
        <v>35520</v>
      </c>
      <c r="AT4865" s="235" t="s">
        <v>156</v>
      </c>
      <c r="AU4865" s="235" t="s">
        <v>634</v>
      </c>
      <c r="AV4865" s="246" t="s">
        <v>635</v>
      </c>
      <c r="AW4865" s="227"/>
      <c r="AX4865" s="227"/>
      <c r="AY4865" s="227"/>
      <c r="AZ4865" s="227"/>
      <c r="BA4865" s="227"/>
      <c r="BB4865" s="227"/>
      <c r="BC4865" s="227"/>
      <c r="BD4865" s="227"/>
      <c r="BE4865" s="227"/>
      <c r="BF4865" s="227"/>
    </row>
    <row r="4866">
      <c r="A4866" s="235" t="s">
        <v>35934</v>
      </c>
      <c r="C4866" s="235" t="s">
        <v>35935</v>
      </c>
      <c r="D4866" s="235" t="s">
        <v>35936</v>
      </c>
      <c r="E4866" s="243">
        <v>6.49E13</v>
      </c>
      <c r="F4866" s="245"/>
      <c r="G4866" s="235" t="s">
        <v>35937</v>
      </c>
      <c r="H4866" s="235" t="s">
        <v>35938</v>
      </c>
      <c r="I4866" s="235" t="s">
        <v>35938</v>
      </c>
      <c r="J4866" s="235" t="s">
        <v>35939</v>
      </c>
      <c r="K4866" s="235" t="s">
        <v>35940</v>
      </c>
      <c r="N4866" s="235" t="s">
        <v>141</v>
      </c>
      <c r="O4866" s="235" t="s">
        <v>342</v>
      </c>
      <c r="P4866" s="238">
        <v>1.0</v>
      </c>
      <c r="Q4866" s="235" t="s">
        <v>627</v>
      </c>
      <c r="R4866" s="238">
        <v>244.76</v>
      </c>
      <c r="S4866" s="238">
        <v>12.24</v>
      </c>
      <c r="T4866" s="238">
        <v>0.0</v>
      </c>
      <c r="U4866" s="238">
        <v>0.0</v>
      </c>
      <c r="V4866" s="238">
        <v>0.0</v>
      </c>
      <c r="W4866" s="238">
        <v>0.0</v>
      </c>
      <c r="X4866" s="235" t="s">
        <v>628</v>
      </c>
      <c r="Z4866" s="245"/>
      <c r="AA4866" s="245"/>
      <c r="AB4866" s="245"/>
      <c r="AC4866" s="235" t="s">
        <v>8147</v>
      </c>
      <c r="AD4866" s="235" t="s">
        <v>666</v>
      </c>
      <c r="AE4866" s="238">
        <v>600073.0</v>
      </c>
      <c r="AF4866" s="235" t="s">
        <v>631</v>
      </c>
      <c r="AG4866" s="245"/>
      <c r="AH4866" s="245"/>
      <c r="AI4866" s="245"/>
      <c r="AJ4866" s="245"/>
      <c r="AK4866" s="245"/>
      <c r="AL4866" s="245"/>
      <c r="AM4866" s="245"/>
      <c r="AN4866" s="245"/>
      <c r="AO4866" s="238">
        <v>0.0</v>
      </c>
      <c r="AP4866" s="238">
        <v>0.0</v>
      </c>
      <c r="AQ4866" s="235" t="s">
        <v>632</v>
      </c>
      <c r="AR4866" s="243">
        <v>1.68E11</v>
      </c>
      <c r="AS4866" s="235" t="s">
        <v>35895</v>
      </c>
      <c r="AT4866" s="235" t="s">
        <v>156</v>
      </c>
      <c r="AU4866" s="235" t="s">
        <v>634</v>
      </c>
      <c r="AV4866" s="246" t="s">
        <v>635</v>
      </c>
      <c r="AW4866" s="227"/>
      <c r="AX4866" s="227"/>
      <c r="AY4866" s="227"/>
      <c r="AZ4866" s="227"/>
      <c r="BA4866" s="227"/>
      <c r="BB4866" s="227"/>
      <c r="BC4866" s="227"/>
      <c r="BD4866" s="227"/>
      <c r="BE4866" s="227"/>
      <c r="BF4866" s="227"/>
    </row>
    <row r="4867">
      <c r="A4867" s="235" t="s">
        <v>35941</v>
      </c>
      <c r="C4867" s="235" t="s">
        <v>35942</v>
      </c>
      <c r="D4867" s="235" t="s">
        <v>35943</v>
      </c>
      <c r="E4867" s="243">
        <v>6.49E13</v>
      </c>
      <c r="F4867" s="245"/>
      <c r="G4867" s="235" t="s">
        <v>35944</v>
      </c>
      <c r="H4867" s="235" t="s">
        <v>35945</v>
      </c>
      <c r="I4867" s="235" t="s">
        <v>35945</v>
      </c>
      <c r="J4867" s="235" t="s">
        <v>35946</v>
      </c>
      <c r="K4867" s="235" t="s">
        <v>35947</v>
      </c>
      <c r="N4867" s="235" t="s">
        <v>15</v>
      </c>
      <c r="O4867" s="235" t="s">
        <v>856</v>
      </c>
      <c r="P4867" s="238">
        <v>1.0</v>
      </c>
      <c r="Q4867" s="235" t="s">
        <v>627</v>
      </c>
      <c r="R4867" s="238">
        <v>360.95</v>
      </c>
      <c r="S4867" s="238">
        <v>17.69</v>
      </c>
      <c r="T4867" s="238">
        <v>0.0</v>
      </c>
      <c r="U4867" s="238">
        <v>0.0</v>
      </c>
      <c r="V4867" s="238">
        <v>0.0</v>
      </c>
      <c r="W4867" s="238">
        <v>0.0</v>
      </c>
      <c r="X4867" s="235" t="s">
        <v>628</v>
      </c>
      <c r="Z4867" s="245"/>
      <c r="AA4867" s="245"/>
      <c r="AB4867" s="245"/>
      <c r="AC4867" s="235" t="s">
        <v>5444</v>
      </c>
      <c r="AD4867" s="235" t="s">
        <v>645</v>
      </c>
      <c r="AE4867" s="238">
        <v>680702.0</v>
      </c>
      <c r="AF4867" s="235" t="s">
        <v>631</v>
      </c>
      <c r="AG4867" s="245"/>
      <c r="AH4867" s="245"/>
      <c r="AI4867" s="245"/>
      <c r="AJ4867" s="245"/>
      <c r="AK4867" s="245"/>
      <c r="AL4867" s="245"/>
      <c r="AM4867" s="245"/>
      <c r="AN4867" s="245"/>
      <c r="AO4867" s="238">
        <v>-7.22</v>
      </c>
      <c r="AP4867" s="238">
        <v>0.0</v>
      </c>
      <c r="AQ4867" s="235" t="s">
        <v>632</v>
      </c>
      <c r="AR4867" s="243">
        <v>1.68E11</v>
      </c>
      <c r="AS4867" s="235" t="s">
        <v>35520</v>
      </c>
      <c r="AT4867" s="235" t="s">
        <v>155</v>
      </c>
      <c r="AU4867" s="235" t="s">
        <v>634</v>
      </c>
      <c r="AV4867" s="246" t="s">
        <v>635</v>
      </c>
      <c r="AW4867" s="227"/>
      <c r="AX4867" s="227"/>
      <c r="AY4867" s="227"/>
      <c r="AZ4867" s="227"/>
      <c r="BA4867" s="227"/>
      <c r="BB4867" s="227"/>
      <c r="BC4867" s="227"/>
      <c r="BD4867" s="227"/>
      <c r="BE4867" s="227"/>
      <c r="BF4867" s="227"/>
    </row>
    <row r="4868">
      <c r="A4868" s="235" t="s">
        <v>35948</v>
      </c>
      <c r="C4868" s="235" t="s">
        <v>35949</v>
      </c>
      <c r="D4868" s="235" t="s">
        <v>35950</v>
      </c>
      <c r="E4868" s="243">
        <v>6.49E13</v>
      </c>
      <c r="F4868" s="245"/>
      <c r="G4868" s="235" t="s">
        <v>35951</v>
      </c>
      <c r="H4868" s="235" t="s">
        <v>35952</v>
      </c>
      <c r="I4868" s="235" t="s">
        <v>35952</v>
      </c>
      <c r="J4868" s="235" t="s">
        <v>35953</v>
      </c>
      <c r="K4868" s="235" t="s">
        <v>35954</v>
      </c>
      <c r="N4868" s="235" t="s">
        <v>92</v>
      </c>
      <c r="O4868" s="235" t="s">
        <v>248</v>
      </c>
      <c r="P4868" s="238">
        <v>1.0</v>
      </c>
      <c r="Q4868" s="235" t="s">
        <v>627</v>
      </c>
      <c r="R4868" s="238">
        <v>244.76</v>
      </c>
      <c r="S4868" s="238">
        <v>12.0</v>
      </c>
      <c r="T4868" s="238">
        <v>0.0</v>
      </c>
      <c r="U4868" s="238">
        <v>0.0</v>
      </c>
      <c r="V4868" s="238">
        <v>0.0</v>
      </c>
      <c r="W4868" s="238">
        <v>0.0</v>
      </c>
      <c r="X4868" s="235" t="s">
        <v>628</v>
      </c>
      <c r="Z4868" s="245"/>
      <c r="AA4868" s="245"/>
      <c r="AB4868" s="245"/>
      <c r="AC4868" s="235" t="s">
        <v>1961</v>
      </c>
      <c r="AD4868" s="235" t="s">
        <v>845</v>
      </c>
      <c r="AE4868" s="238">
        <v>411044.0</v>
      </c>
      <c r="AF4868" s="235" t="s">
        <v>631</v>
      </c>
      <c r="AG4868" s="245"/>
      <c r="AH4868" s="245"/>
      <c r="AI4868" s="245"/>
      <c r="AJ4868" s="245"/>
      <c r="AK4868" s="245"/>
      <c r="AL4868" s="245"/>
      <c r="AM4868" s="245"/>
      <c r="AN4868" s="245"/>
      <c r="AO4868" s="238">
        <v>-4.9</v>
      </c>
      <c r="AP4868" s="238">
        <v>0.0</v>
      </c>
      <c r="AQ4868" s="235" t="s">
        <v>632</v>
      </c>
      <c r="AR4868" s="243">
        <v>1.68E11</v>
      </c>
      <c r="AS4868" s="235" t="s">
        <v>35895</v>
      </c>
      <c r="AT4868" s="235" t="s">
        <v>546</v>
      </c>
      <c r="AU4868" s="235" t="s">
        <v>634</v>
      </c>
      <c r="AV4868" s="246" t="s">
        <v>635</v>
      </c>
      <c r="AW4868" s="227"/>
      <c r="AX4868" s="227"/>
      <c r="AY4868" s="227"/>
      <c r="AZ4868" s="227"/>
      <c r="BA4868" s="227"/>
      <c r="BB4868" s="227"/>
      <c r="BC4868" s="227"/>
      <c r="BD4868" s="227"/>
      <c r="BE4868" s="227"/>
      <c r="BF4868" s="227"/>
    </row>
    <row r="4869">
      <c r="A4869" s="235" t="s">
        <v>35955</v>
      </c>
      <c r="C4869" s="235" t="s">
        <v>35956</v>
      </c>
      <c r="D4869" s="235" t="s">
        <v>35957</v>
      </c>
      <c r="E4869" s="243">
        <v>6.49E13</v>
      </c>
      <c r="F4869" s="245"/>
      <c r="G4869" s="235" t="s">
        <v>35958</v>
      </c>
      <c r="H4869" s="235" t="s">
        <v>35959</v>
      </c>
      <c r="I4869" s="235" t="s">
        <v>35959</v>
      </c>
      <c r="J4869" s="235" t="s">
        <v>35960</v>
      </c>
      <c r="K4869" s="235" t="s">
        <v>35961</v>
      </c>
      <c r="N4869" s="235" t="s">
        <v>127</v>
      </c>
      <c r="O4869" s="235" t="s">
        <v>794</v>
      </c>
      <c r="P4869" s="238">
        <v>1.0</v>
      </c>
      <c r="Q4869" s="235" t="s">
        <v>627</v>
      </c>
      <c r="R4869" s="238">
        <v>243.8</v>
      </c>
      <c r="S4869" s="238">
        <v>11.96</v>
      </c>
      <c r="T4869" s="238">
        <v>0.0</v>
      </c>
      <c r="U4869" s="238">
        <v>0.0</v>
      </c>
      <c r="V4869" s="238">
        <v>0.0</v>
      </c>
      <c r="W4869" s="238">
        <v>0.0</v>
      </c>
      <c r="X4869" s="235" t="s">
        <v>628</v>
      </c>
      <c r="Z4869" s="245"/>
      <c r="AA4869" s="245"/>
      <c r="AB4869" s="245"/>
      <c r="AC4869" s="235" t="s">
        <v>35962</v>
      </c>
      <c r="AD4869" s="235" t="s">
        <v>845</v>
      </c>
      <c r="AE4869" s="238">
        <v>431136.0</v>
      </c>
      <c r="AF4869" s="235" t="s">
        <v>631</v>
      </c>
      <c r="AG4869" s="245"/>
      <c r="AH4869" s="245"/>
      <c r="AI4869" s="245"/>
      <c r="AJ4869" s="245"/>
      <c r="AK4869" s="245"/>
      <c r="AL4869" s="245"/>
      <c r="AM4869" s="245"/>
      <c r="AN4869" s="245"/>
      <c r="AO4869" s="238">
        <v>-4.88</v>
      </c>
      <c r="AP4869" s="238">
        <v>0.0</v>
      </c>
      <c r="AQ4869" s="235" t="s">
        <v>632</v>
      </c>
      <c r="AR4869" s="243">
        <v>3.7E11</v>
      </c>
      <c r="AS4869" s="235" t="s">
        <v>33466</v>
      </c>
      <c r="AT4869" s="235" t="s">
        <v>546</v>
      </c>
      <c r="AU4869" s="235" t="s">
        <v>634</v>
      </c>
      <c r="AV4869" s="246" t="s">
        <v>635</v>
      </c>
      <c r="AW4869" s="227"/>
      <c r="AX4869" s="227"/>
      <c r="AY4869" s="227"/>
      <c r="AZ4869" s="227"/>
      <c r="BA4869" s="227"/>
      <c r="BB4869" s="227"/>
      <c r="BC4869" s="227"/>
      <c r="BD4869" s="227"/>
      <c r="BE4869" s="227"/>
      <c r="BF4869" s="227"/>
    </row>
    <row r="4870">
      <c r="A4870" s="235" t="s">
        <v>35963</v>
      </c>
      <c r="C4870" s="235" t="s">
        <v>35964</v>
      </c>
      <c r="D4870" s="235" t="s">
        <v>35965</v>
      </c>
      <c r="E4870" s="243">
        <v>6.49E13</v>
      </c>
      <c r="F4870" s="245"/>
      <c r="G4870" s="235" t="s">
        <v>35966</v>
      </c>
      <c r="H4870" s="235" t="s">
        <v>35967</v>
      </c>
      <c r="I4870" s="235" t="s">
        <v>35967</v>
      </c>
      <c r="J4870" s="235" t="s">
        <v>35968</v>
      </c>
      <c r="K4870" s="235" t="s">
        <v>35969</v>
      </c>
      <c r="N4870" s="235" t="s">
        <v>127</v>
      </c>
      <c r="O4870" s="235" t="s">
        <v>794</v>
      </c>
      <c r="P4870" s="238">
        <v>1.0</v>
      </c>
      <c r="Q4870" s="235" t="s">
        <v>627</v>
      </c>
      <c r="R4870" s="238">
        <v>243.8</v>
      </c>
      <c r="S4870" s="238">
        <v>12.2</v>
      </c>
      <c r="T4870" s="238">
        <v>0.0</v>
      </c>
      <c r="U4870" s="238">
        <v>0.0</v>
      </c>
      <c r="V4870" s="238">
        <v>0.0</v>
      </c>
      <c r="W4870" s="238">
        <v>0.0</v>
      </c>
      <c r="X4870" s="235" t="s">
        <v>628</v>
      </c>
      <c r="Z4870" s="245"/>
      <c r="AA4870" s="245"/>
      <c r="AB4870" s="245"/>
      <c r="AC4870" s="235" t="s">
        <v>1456</v>
      </c>
      <c r="AD4870" s="235" t="s">
        <v>928</v>
      </c>
      <c r="AE4870" s="238">
        <v>122017.0</v>
      </c>
      <c r="AF4870" s="235" t="s">
        <v>631</v>
      </c>
      <c r="AG4870" s="245"/>
      <c r="AH4870" s="245"/>
      <c r="AI4870" s="245"/>
      <c r="AJ4870" s="245"/>
      <c r="AK4870" s="245"/>
      <c r="AL4870" s="245"/>
      <c r="AM4870" s="245"/>
      <c r="AN4870" s="245"/>
      <c r="AO4870" s="238">
        <v>0.0</v>
      </c>
      <c r="AP4870" s="238">
        <v>0.0</v>
      </c>
      <c r="AQ4870" s="235" t="s">
        <v>632</v>
      </c>
      <c r="AR4870" s="243">
        <v>1.68E11</v>
      </c>
      <c r="AS4870" s="235" t="s">
        <v>35895</v>
      </c>
      <c r="AT4870" s="235" t="s">
        <v>533</v>
      </c>
      <c r="AU4870" s="235" t="s">
        <v>634</v>
      </c>
      <c r="AV4870" s="246" t="s">
        <v>635</v>
      </c>
      <c r="AW4870" s="227"/>
      <c r="AX4870" s="227"/>
      <c r="AY4870" s="227"/>
      <c r="AZ4870" s="227"/>
      <c r="BA4870" s="227"/>
      <c r="BB4870" s="227"/>
      <c r="BC4870" s="227"/>
      <c r="BD4870" s="227"/>
      <c r="BE4870" s="227"/>
      <c r="BF4870" s="227"/>
    </row>
    <row r="4871">
      <c r="A4871" s="235" t="s">
        <v>35970</v>
      </c>
      <c r="C4871" s="235" t="s">
        <v>35971</v>
      </c>
      <c r="D4871" s="235" t="s">
        <v>35972</v>
      </c>
      <c r="E4871" s="243">
        <v>6.49E13</v>
      </c>
      <c r="F4871" s="245"/>
      <c r="G4871" s="235" t="s">
        <v>35973</v>
      </c>
      <c r="H4871" s="235" t="s">
        <v>35974</v>
      </c>
      <c r="I4871" s="235" t="s">
        <v>35974</v>
      </c>
      <c r="J4871" s="235" t="s">
        <v>35975</v>
      </c>
      <c r="K4871" s="235" t="s">
        <v>35976</v>
      </c>
      <c r="N4871" s="235" t="s">
        <v>47</v>
      </c>
      <c r="O4871" s="235" t="s">
        <v>270</v>
      </c>
      <c r="P4871" s="238">
        <v>1.0</v>
      </c>
      <c r="Q4871" s="235" t="s">
        <v>627</v>
      </c>
      <c r="R4871" s="238">
        <v>236.19</v>
      </c>
      <c r="S4871" s="238">
        <v>11.57</v>
      </c>
      <c r="T4871" s="238">
        <v>0.0</v>
      </c>
      <c r="U4871" s="238">
        <v>0.0</v>
      </c>
      <c r="V4871" s="238">
        <v>0.0</v>
      </c>
      <c r="W4871" s="238">
        <v>0.0</v>
      </c>
      <c r="X4871" s="235" t="s">
        <v>628</v>
      </c>
      <c r="Z4871" s="245"/>
      <c r="AA4871" s="245"/>
      <c r="AB4871" s="245"/>
      <c r="AC4871" s="235" t="s">
        <v>697</v>
      </c>
      <c r="AD4871" s="235" t="s">
        <v>698</v>
      </c>
      <c r="AE4871" s="238">
        <v>502032.0</v>
      </c>
      <c r="AF4871" s="235" t="s">
        <v>631</v>
      </c>
      <c r="AG4871" s="245"/>
      <c r="AH4871" s="245"/>
      <c r="AI4871" s="245"/>
      <c r="AJ4871" s="245"/>
      <c r="AK4871" s="245"/>
      <c r="AL4871" s="245"/>
      <c r="AM4871" s="245"/>
      <c r="AN4871" s="245"/>
      <c r="AO4871" s="238">
        <v>-4.72</v>
      </c>
      <c r="AP4871" s="238">
        <v>0.0</v>
      </c>
      <c r="AQ4871" s="235" t="s">
        <v>632</v>
      </c>
      <c r="AR4871" s="243">
        <v>3.7E11</v>
      </c>
      <c r="AS4871" s="235" t="s">
        <v>31232</v>
      </c>
      <c r="AT4871" s="235" t="s">
        <v>533</v>
      </c>
      <c r="AU4871" s="235" t="s">
        <v>634</v>
      </c>
      <c r="AV4871" s="246" t="s">
        <v>635</v>
      </c>
      <c r="AW4871" s="227"/>
      <c r="AX4871" s="227"/>
      <c r="AY4871" s="227"/>
      <c r="AZ4871" s="227"/>
      <c r="BA4871" s="227"/>
      <c r="BB4871" s="227"/>
      <c r="BC4871" s="227"/>
      <c r="BD4871" s="227"/>
      <c r="BE4871" s="227"/>
      <c r="BF4871" s="227"/>
    </row>
    <row r="4872">
      <c r="A4872" s="235" t="s">
        <v>35977</v>
      </c>
      <c r="C4872" s="235" t="s">
        <v>35978</v>
      </c>
      <c r="D4872" s="235" t="s">
        <v>35979</v>
      </c>
      <c r="E4872" s="243">
        <v>6.49E13</v>
      </c>
      <c r="F4872" s="245"/>
      <c r="G4872" s="235" t="s">
        <v>35980</v>
      </c>
      <c r="H4872" s="235" t="s">
        <v>35981</v>
      </c>
      <c r="I4872" s="235" t="s">
        <v>35981</v>
      </c>
      <c r="J4872" s="235" t="s">
        <v>35982</v>
      </c>
      <c r="K4872" s="235" t="s">
        <v>35983</v>
      </c>
      <c r="N4872" s="235" t="s">
        <v>842</v>
      </c>
      <c r="O4872" s="235" t="s">
        <v>843</v>
      </c>
      <c r="P4872" s="238">
        <v>1.0</v>
      </c>
      <c r="Q4872" s="235" t="s">
        <v>627</v>
      </c>
      <c r="R4872" s="238">
        <v>246.66</v>
      </c>
      <c r="S4872" s="238">
        <v>12.34</v>
      </c>
      <c r="T4872" s="238">
        <v>0.0</v>
      </c>
      <c r="U4872" s="238">
        <v>0.0</v>
      </c>
      <c r="V4872" s="238">
        <v>0.0</v>
      </c>
      <c r="W4872" s="238">
        <v>0.0</v>
      </c>
      <c r="X4872" s="235" t="s">
        <v>628</v>
      </c>
      <c r="Z4872" s="245"/>
      <c r="AA4872" s="245"/>
      <c r="AB4872" s="245"/>
      <c r="AC4872" s="235" t="s">
        <v>1887</v>
      </c>
      <c r="AD4872" s="235" t="s">
        <v>679</v>
      </c>
      <c r="AE4872" s="238">
        <v>560049.0</v>
      </c>
      <c r="AF4872" s="235" t="s">
        <v>631</v>
      </c>
      <c r="AG4872" s="245"/>
      <c r="AH4872" s="245"/>
      <c r="AI4872" s="245"/>
      <c r="AJ4872" s="245"/>
      <c r="AK4872" s="245"/>
      <c r="AL4872" s="245"/>
      <c r="AM4872" s="245"/>
      <c r="AN4872" s="245"/>
      <c r="AO4872" s="238">
        <v>0.0</v>
      </c>
      <c r="AP4872" s="238">
        <v>0.0</v>
      </c>
      <c r="AQ4872" s="235" t="s">
        <v>632</v>
      </c>
      <c r="AR4872" s="243">
        <v>3.7E11</v>
      </c>
      <c r="AS4872" s="235" t="s">
        <v>35520</v>
      </c>
      <c r="AT4872" s="235" t="s">
        <v>11</v>
      </c>
      <c r="AU4872" s="235" t="s">
        <v>634</v>
      </c>
      <c r="AV4872" s="246" t="s">
        <v>635</v>
      </c>
      <c r="AW4872" s="227"/>
      <c r="AX4872" s="227"/>
      <c r="AY4872" s="227"/>
      <c r="AZ4872" s="227"/>
      <c r="BA4872" s="227"/>
      <c r="BB4872" s="227"/>
      <c r="BC4872" s="227"/>
      <c r="BD4872" s="227"/>
      <c r="BE4872" s="227"/>
      <c r="BF4872" s="227"/>
    </row>
    <row r="4873">
      <c r="A4873" s="235" t="s">
        <v>35984</v>
      </c>
      <c r="C4873" s="235" t="s">
        <v>35985</v>
      </c>
      <c r="D4873" s="235" t="s">
        <v>35986</v>
      </c>
      <c r="E4873" s="243">
        <v>6.49E13</v>
      </c>
      <c r="F4873" s="245"/>
      <c r="G4873" s="235" t="s">
        <v>35987</v>
      </c>
      <c r="H4873" s="235" t="s">
        <v>35988</v>
      </c>
      <c r="I4873" s="235" t="s">
        <v>35988</v>
      </c>
      <c r="J4873" s="235" t="s">
        <v>35989</v>
      </c>
      <c r="K4873" s="235" t="s">
        <v>35990</v>
      </c>
      <c r="N4873" s="235" t="s">
        <v>127</v>
      </c>
      <c r="O4873" s="235" t="s">
        <v>794</v>
      </c>
      <c r="P4873" s="238">
        <v>1.0</v>
      </c>
      <c r="Q4873" s="235" t="s">
        <v>627</v>
      </c>
      <c r="R4873" s="238">
        <v>243.8</v>
      </c>
      <c r="S4873" s="238">
        <v>12.2</v>
      </c>
      <c r="T4873" s="238">
        <v>0.0</v>
      </c>
      <c r="U4873" s="238">
        <v>0.0</v>
      </c>
      <c r="V4873" s="238">
        <v>0.0</v>
      </c>
      <c r="W4873" s="238">
        <v>0.0</v>
      </c>
      <c r="X4873" s="235" t="s">
        <v>628</v>
      </c>
      <c r="Z4873" s="245"/>
      <c r="AA4873" s="245"/>
      <c r="AB4873" s="245"/>
      <c r="AC4873" s="235" t="s">
        <v>678</v>
      </c>
      <c r="AD4873" s="235" t="s">
        <v>679</v>
      </c>
      <c r="AE4873" s="238">
        <v>560049.0</v>
      </c>
      <c r="AF4873" s="235" t="s">
        <v>631</v>
      </c>
      <c r="AG4873" s="245"/>
      <c r="AH4873" s="245"/>
      <c r="AI4873" s="245"/>
      <c r="AJ4873" s="245"/>
      <c r="AK4873" s="245"/>
      <c r="AL4873" s="245"/>
      <c r="AM4873" s="245"/>
      <c r="AN4873" s="245"/>
      <c r="AO4873" s="238">
        <v>0.0</v>
      </c>
      <c r="AP4873" s="238">
        <v>0.0</v>
      </c>
      <c r="AQ4873" s="235" t="s">
        <v>632</v>
      </c>
      <c r="AR4873" s="243">
        <v>1.68E11</v>
      </c>
      <c r="AS4873" s="235" t="s">
        <v>35895</v>
      </c>
      <c r="AT4873" s="235" t="s">
        <v>9</v>
      </c>
      <c r="AU4873" s="235" t="s">
        <v>634</v>
      </c>
      <c r="AV4873" s="246" t="s">
        <v>635</v>
      </c>
      <c r="AW4873" s="227"/>
      <c r="AX4873" s="227"/>
      <c r="AY4873" s="227"/>
      <c r="AZ4873" s="227"/>
      <c r="BA4873" s="227"/>
      <c r="BB4873" s="227"/>
      <c r="BC4873" s="227"/>
      <c r="BD4873" s="227"/>
      <c r="BE4873" s="227"/>
      <c r="BF4873" s="227"/>
    </row>
    <row r="4874">
      <c r="A4874" s="235" t="s">
        <v>35991</v>
      </c>
      <c r="C4874" s="235" t="s">
        <v>35992</v>
      </c>
      <c r="D4874" s="235" t="s">
        <v>35993</v>
      </c>
      <c r="E4874" s="243">
        <v>6.49E13</v>
      </c>
      <c r="F4874" s="245"/>
      <c r="G4874" s="235" t="s">
        <v>35994</v>
      </c>
      <c r="H4874" s="235" t="s">
        <v>35995</v>
      </c>
      <c r="I4874" s="235" t="s">
        <v>35995</v>
      </c>
      <c r="J4874" s="235" t="s">
        <v>35996</v>
      </c>
      <c r="K4874" s="235" t="s">
        <v>35997</v>
      </c>
      <c r="N4874" s="235" t="s">
        <v>141</v>
      </c>
      <c r="O4874" s="235" t="s">
        <v>342</v>
      </c>
      <c r="P4874" s="238">
        <v>1.0</v>
      </c>
      <c r="Q4874" s="235" t="s">
        <v>627</v>
      </c>
      <c r="R4874" s="238">
        <v>244.76</v>
      </c>
      <c r="S4874" s="238">
        <v>12.24</v>
      </c>
      <c r="T4874" s="238">
        <v>0.0</v>
      </c>
      <c r="U4874" s="238">
        <v>0.0</v>
      </c>
      <c r="V4874" s="238">
        <v>0.0</v>
      </c>
      <c r="W4874" s="238">
        <v>0.0</v>
      </c>
      <c r="X4874" s="235" t="s">
        <v>628</v>
      </c>
      <c r="Z4874" s="245"/>
      <c r="AA4874" s="245"/>
      <c r="AB4874" s="245"/>
      <c r="AC4874" s="235" t="s">
        <v>1604</v>
      </c>
      <c r="AD4874" s="235" t="s">
        <v>845</v>
      </c>
      <c r="AE4874" s="238">
        <v>400064.0</v>
      </c>
      <c r="AF4874" s="235" t="s">
        <v>631</v>
      </c>
      <c r="AG4874" s="245"/>
      <c r="AH4874" s="245"/>
      <c r="AI4874" s="245"/>
      <c r="AJ4874" s="245"/>
      <c r="AK4874" s="245"/>
      <c r="AL4874" s="245"/>
      <c r="AM4874" s="245"/>
      <c r="AN4874" s="245"/>
      <c r="AO4874" s="238">
        <v>0.0</v>
      </c>
      <c r="AP4874" s="238">
        <v>0.0</v>
      </c>
      <c r="AQ4874" s="235" t="s">
        <v>632</v>
      </c>
      <c r="AR4874" s="243">
        <v>3.7E11</v>
      </c>
      <c r="AS4874" s="235" t="s">
        <v>35520</v>
      </c>
      <c r="AT4874" s="235" t="s">
        <v>16</v>
      </c>
      <c r="AU4874" s="235" t="s">
        <v>634</v>
      </c>
      <c r="AV4874" s="246" t="s">
        <v>635</v>
      </c>
      <c r="AW4874" s="227"/>
      <c r="AX4874" s="227"/>
      <c r="AY4874" s="227"/>
      <c r="AZ4874" s="227"/>
      <c r="BA4874" s="227"/>
      <c r="BB4874" s="227"/>
      <c r="BC4874" s="227"/>
      <c r="BD4874" s="227"/>
      <c r="BE4874" s="227"/>
      <c r="BF4874" s="227"/>
    </row>
    <row r="4875">
      <c r="A4875" s="235" t="s">
        <v>35998</v>
      </c>
      <c r="C4875" s="235" t="s">
        <v>35999</v>
      </c>
      <c r="D4875" s="235" t="s">
        <v>36000</v>
      </c>
      <c r="E4875" s="243">
        <v>6.49E13</v>
      </c>
      <c r="F4875" s="245"/>
      <c r="G4875" s="235" t="s">
        <v>36001</v>
      </c>
      <c r="H4875" s="235" t="s">
        <v>36002</v>
      </c>
      <c r="I4875" s="235" t="s">
        <v>36002</v>
      </c>
      <c r="J4875" s="235" t="s">
        <v>36003</v>
      </c>
      <c r="K4875" s="235" t="s">
        <v>36004</v>
      </c>
      <c r="N4875" s="235" t="s">
        <v>3875</v>
      </c>
      <c r="O4875" s="235" t="s">
        <v>3876</v>
      </c>
      <c r="P4875" s="238">
        <v>1.0</v>
      </c>
      <c r="Q4875" s="235" t="s">
        <v>627</v>
      </c>
      <c r="R4875" s="238">
        <v>207.62</v>
      </c>
      <c r="S4875" s="238">
        <v>10.17</v>
      </c>
      <c r="T4875" s="238">
        <v>0.0</v>
      </c>
      <c r="U4875" s="238">
        <v>0.0</v>
      </c>
      <c r="V4875" s="238">
        <v>0.0</v>
      </c>
      <c r="W4875" s="238">
        <v>0.0</v>
      </c>
      <c r="X4875" s="235" t="s">
        <v>628</v>
      </c>
      <c r="Z4875" s="245"/>
      <c r="AA4875" s="245"/>
      <c r="AB4875" s="245"/>
      <c r="AC4875" s="235" t="s">
        <v>795</v>
      </c>
      <c r="AD4875" s="235" t="s">
        <v>796</v>
      </c>
      <c r="AE4875" s="238">
        <v>110035.0</v>
      </c>
      <c r="AF4875" s="235" t="s">
        <v>631</v>
      </c>
      <c r="AG4875" s="245"/>
      <c r="AH4875" s="245"/>
      <c r="AI4875" s="245"/>
      <c r="AJ4875" s="245"/>
      <c r="AK4875" s="245"/>
      <c r="AL4875" s="245"/>
      <c r="AM4875" s="245"/>
      <c r="AN4875" s="245"/>
      <c r="AO4875" s="238">
        <v>-4.15</v>
      </c>
      <c r="AP4875" s="238">
        <v>0.0</v>
      </c>
      <c r="AQ4875" s="235" t="s">
        <v>632</v>
      </c>
      <c r="AR4875" s="243">
        <v>3.7E11</v>
      </c>
      <c r="AS4875" s="235" t="s">
        <v>35520</v>
      </c>
      <c r="AT4875" s="235" t="s">
        <v>14</v>
      </c>
      <c r="AU4875" s="235" t="s">
        <v>634</v>
      </c>
      <c r="AV4875" s="246" t="s">
        <v>635</v>
      </c>
      <c r="AW4875" s="227"/>
      <c r="AX4875" s="227"/>
      <c r="AY4875" s="227"/>
      <c r="AZ4875" s="227"/>
      <c r="BA4875" s="227"/>
      <c r="BB4875" s="227"/>
      <c r="BC4875" s="227"/>
      <c r="BD4875" s="227"/>
      <c r="BE4875" s="227"/>
      <c r="BF4875" s="227"/>
    </row>
    <row r="4876">
      <c r="A4876" s="235" t="s">
        <v>36005</v>
      </c>
      <c r="C4876" s="235" t="s">
        <v>36006</v>
      </c>
      <c r="D4876" s="235" t="s">
        <v>36007</v>
      </c>
      <c r="E4876" s="243">
        <v>6.49E13</v>
      </c>
      <c r="F4876" s="245"/>
      <c r="G4876" s="235" t="s">
        <v>36008</v>
      </c>
      <c r="H4876" s="235" t="s">
        <v>36009</v>
      </c>
      <c r="I4876" s="235" t="s">
        <v>36010</v>
      </c>
      <c r="J4876" s="235" t="s">
        <v>36011</v>
      </c>
      <c r="K4876" s="235" t="s">
        <v>36012</v>
      </c>
      <c r="N4876" s="235" t="s">
        <v>127</v>
      </c>
      <c r="O4876" s="235" t="s">
        <v>794</v>
      </c>
      <c r="P4876" s="238">
        <v>1.0</v>
      </c>
      <c r="Q4876" s="235" t="s">
        <v>627</v>
      </c>
      <c r="R4876" s="238">
        <v>243.81</v>
      </c>
      <c r="S4876" s="238">
        <v>11.95</v>
      </c>
      <c r="T4876" s="238">
        <v>0.0</v>
      </c>
      <c r="U4876" s="238">
        <v>0.0</v>
      </c>
      <c r="V4876" s="238">
        <v>0.0</v>
      </c>
      <c r="W4876" s="238">
        <v>0.0</v>
      </c>
      <c r="X4876" s="235" t="s">
        <v>628</v>
      </c>
      <c r="Z4876" s="245"/>
      <c r="AA4876" s="245"/>
      <c r="AB4876" s="245"/>
      <c r="AC4876" s="235" t="s">
        <v>1475</v>
      </c>
      <c r="AD4876" s="235" t="s">
        <v>796</v>
      </c>
      <c r="AE4876" s="238">
        <v>110053.0</v>
      </c>
      <c r="AF4876" s="235" t="s">
        <v>631</v>
      </c>
      <c r="AG4876" s="245"/>
      <c r="AH4876" s="245"/>
      <c r="AI4876" s="245"/>
      <c r="AJ4876" s="245"/>
      <c r="AK4876" s="245"/>
      <c r="AL4876" s="245"/>
      <c r="AM4876" s="245"/>
      <c r="AN4876" s="245"/>
      <c r="AO4876" s="238">
        <v>-4.88</v>
      </c>
      <c r="AP4876" s="238">
        <v>0.0</v>
      </c>
      <c r="AQ4876" s="235" t="s">
        <v>632</v>
      </c>
      <c r="AR4876" s="243">
        <v>1.68E11</v>
      </c>
      <c r="AS4876" s="235" t="s">
        <v>35895</v>
      </c>
      <c r="AT4876" s="235" t="s">
        <v>14</v>
      </c>
      <c r="AU4876" s="235" t="s">
        <v>634</v>
      </c>
      <c r="AV4876" s="246" t="s">
        <v>635</v>
      </c>
      <c r="AW4876" s="227"/>
      <c r="AX4876" s="227"/>
      <c r="AY4876" s="227"/>
      <c r="AZ4876" s="227"/>
      <c r="BA4876" s="227"/>
      <c r="BB4876" s="227"/>
      <c r="BC4876" s="227"/>
      <c r="BD4876" s="227"/>
      <c r="BE4876" s="227"/>
      <c r="BF4876" s="227"/>
    </row>
    <row r="4877">
      <c r="A4877" s="235" t="s">
        <v>36013</v>
      </c>
      <c r="C4877" s="235" t="s">
        <v>36014</v>
      </c>
      <c r="D4877" s="235" t="s">
        <v>36015</v>
      </c>
      <c r="E4877" s="243">
        <v>6.49E13</v>
      </c>
      <c r="F4877" s="245"/>
      <c r="G4877" s="235" t="s">
        <v>36016</v>
      </c>
      <c r="H4877" s="235" t="s">
        <v>36017</v>
      </c>
      <c r="I4877" s="235" t="s">
        <v>36017</v>
      </c>
      <c r="J4877" s="235" t="s">
        <v>36018</v>
      </c>
      <c r="K4877" s="235" t="s">
        <v>36019</v>
      </c>
      <c r="N4877" s="235" t="s">
        <v>144</v>
      </c>
      <c r="O4877" s="235" t="s">
        <v>232</v>
      </c>
      <c r="P4877" s="238">
        <v>1.0</v>
      </c>
      <c r="Q4877" s="235" t="s">
        <v>627</v>
      </c>
      <c r="R4877" s="238">
        <v>665.71</v>
      </c>
      <c r="S4877" s="238">
        <v>33.29</v>
      </c>
      <c r="T4877" s="238">
        <v>0.0</v>
      </c>
      <c r="U4877" s="238">
        <v>0.0</v>
      </c>
      <c r="V4877" s="238">
        <v>0.0</v>
      </c>
      <c r="W4877" s="238">
        <v>0.0</v>
      </c>
      <c r="X4877" s="235" t="s">
        <v>628</v>
      </c>
      <c r="Z4877" s="245"/>
      <c r="AA4877" s="245"/>
      <c r="AB4877" s="245"/>
      <c r="AC4877" s="235" t="s">
        <v>795</v>
      </c>
      <c r="AD4877" s="235" t="s">
        <v>796</v>
      </c>
      <c r="AE4877" s="238">
        <v>110075.0</v>
      </c>
      <c r="AF4877" s="235" t="s">
        <v>631</v>
      </c>
      <c r="AG4877" s="245"/>
      <c r="AH4877" s="245"/>
      <c r="AI4877" s="245"/>
      <c r="AJ4877" s="245"/>
      <c r="AK4877" s="245"/>
      <c r="AL4877" s="245"/>
      <c r="AM4877" s="245"/>
      <c r="AN4877" s="245"/>
      <c r="AO4877" s="238">
        <v>0.0</v>
      </c>
      <c r="AP4877" s="238">
        <v>0.0</v>
      </c>
      <c r="AQ4877" s="235" t="s">
        <v>632</v>
      </c>
      <c r="AR4877" s="243">
        <v>1.68E11</v>
      </c>
      <c r="AS4877" s="235" t="s">
        <v>35895</v>
      </c>
      <c r="AT4877" s="235" t="s">
        <v>14</v>
      </c>
      <c r="AU4877" s="235" t="s">
        <v>634</v>
      </c>
      <c r="AV4877" s="246" t="s">
        <v>635</v>
      </c>
      <c r="AW4877" s="227"/>
      <c r="AX4877" s="227"/>
      <c r="AY4877" s="227"/>
      <c r="AZ4877" s="227"/>
      <c r="BA4877" s="227"/>
      <c r="BB4877" s="227"/>
      <c r="BC4877" s="227"/>
      <c r="BD4877" s="227"/>
      <c r="BE4877" s="227"/>
      <c r="BF4877" s="227"/>
    </row>
    <row r="4878">
      <c r="A4878" s="235" t="s">
        <v>36020</v>
      </c>
      <c r="C4878" s="235" t="s">
        <v>36021</v>
      </c>
      <c r="D4878" s="235" t="s">
        <v>36022</v>
      </c>
      <c r="E4878" s="243">
        <v>6.49E13</v>
      </c>
      <c r="F4878" s="245"/>
      <c r="G4878" s="235" t="s">
        <v>36023</v>
      </c>
      <c r="H4878" s="235" t="s">
        <v>36024</v>
      </c>
      <c r="I4878" s="235" t="s">
        <v>36024</v>
      </c>
      <c r="J4878" s="235" t="s">
        <v>36025</v>
      </c>
      <c r="K4878" s="235" t="s">
        <v>36026</v>
      </c>
      <c r="N4878" s="235" t="s">
        <v>138</v>
      </c>
      <c r="O4878" s="235" t="s">
        <v>675</v>
      </c>
      <c r="P4878" s="238">
        <v>1.0</v>
      </c>
      <c r="Q4878" s="235" t="s">
        <v>627</v>
      </c>
      <c r="R4878" s="238">
        <v>244.76</v>
      </c>
      <c r="S4878" s="238">
        <v>12.24</v>
      </c>
      <c r="T4878" s="238">
        <v>0.0</v>
      </c>
      <c r="U4878" s="238">
        <v>0.0</v>
      </c>
      <c r="V4878" s="238">
        <v>0.0</v>
      </c>
      <c r="W4878" s="238">
        <v>0.0</v>
      </c>
      <c r="X4878" s="235" t="s">
        <v>628</v>
      </c>
      <c r="Z4878" s="245"/>
      <c r="AA4878" s="245"/>
      <c r="AB4878" s="245"/>
      <c r="AC4878" s="235" t="s">
        <v>28177</v>
      </c>
      <c r="AD4878" s="235" t="s">
        <v>845</v>
      </c>
      <c r="AE4878" s="238">
        <v>400072.0</v>
      </c>
      <c r="AF4878" s="235" t="s">
        <v>631</v>
      </c>
      <c r="AG4878" s="245"/>
      <c r="AH4878" s="245"/>
      <c r="AI4878" s="245"/>
      <c r="AJ4878" s="245"/>
      <c r="AK4878" s="245"/>
      <c r="AL4878" s="245"/>
      <c r="AM4878" s="245"/>
      <c r="AN4878" s="245"/>
      <c r="AO4878" s="238">
        <v>0.0</v>
      </c>
      <c r="AP4878" s="238">
        <v>0.0</v>
      </c>
      <c r="AQ4878" s="235" t="s">
        <v>632</v>
      </c>
      <c r="AR4878" s="243">
        <v>3.7E11</v>
      </c>
      <c r="AS4878" s="235" t="s">
        <v>35520</v>
      </c>
      <c r="AT4878" s="235" t="s">
        <v>16</v>
      </c>
      <c r="AU4878" s="235" t="s">
        <v>634</v>
      </c>
      <c r="AV4878" s="246" t="s">
        <v>635</v>
      </c>
      <c r="AW4878" s="227"/>
      <c r="AX4878" s="227"/>
      <c r="AY4878" s="227"/>
      <c r="AZ4878" s="227"/>
      <c r="BA4878" s="227"/>
      <c r="BB4878" s="227"/>
      <c r="BC4878" s="227"/>
      <c r="BD4878" s="227"/>
      <c r="BE4878" s="227"/>
      <c r="BF4878" s="227"/>
    </row>
    <row r="4879">
      <c r="A4879" s="235" t="s">
        <v>36027</v>
      </c>
      <c r="C4879" s="235" t="s">
        <v>36028</v>
      </c>
      <c r="D4879" s="235" t="s">
        <v>36029</v>
      </c>
      <c r="E4879" s="243">
        <v>6.49E13</v>
      </c>
      <c r="F4879" s="245"/>
      <c r="G4879" s="235" t="s">
        <v>36030</v>
      </c>
      <c r="H4879" s="235" t="s">
        <v>36031</v>
      </c>
      <c r="I4879" s="235" t="s">
        <v>36031</v>
      </c>
      <c r="J4879" s="235" t="s">
        <v>36032</v>
      </c>
      <c r="K4879" s="235" t="s">
        <v>36033</v>
      </c>
      <c r="N4879" s="235" t="s">
        <v>71</v>
      </c>
      <c r="O4879" s="235" t="s">
        <v>240</v>
      </c>
      <c r="P4879" s="238">
        <v>1.0</v>
      </c>
      <c r="Q4879" s="235" t="s">
        <v>627</v>
      </c>
      <c r="R4879" s="238">
        <v>246.66</v>
      </c>
      <c r="S4879" s="238">
        <v>12.1</v>
      </c>
      <c r="T4879" s="238">
        <v>0.0</v>
      </c>
      <c r="U4879" s="238">
        <v>0.0</v>
      </c>
      <c r="V4879" s="238">
        <v>0.0</v>
      </c>
      <c r="W4879" s="238">
        <v>0.0</v>
      </c>
      <c r="X4879" s="235" t="s">
        <v>628</v>
      </c>
      <c r="Z4879" s="245"/>
      <c r="AA4879" s="245"/>
      <c r="AB4879" s="245"/>
      <c r="AC4879" s="235" t="s">
        <v>687</v>
      </c>
      <c r="AD4879" s="235" t="s">
        <v>666</v>
      </c>
      <c r="AE4879" s="238">
        <v>600014.0</v>
      </c>
      <c r="AF4879" s="235" t="s">
        <v>631</v>
      </c>
      <c r="AG4879" s="245"/>
      <c r="AH4879" s="245"/>
      <c r="AI4879" s="245"/>
      <c r="AJ4879" s="245"/>
      <c r="AK4879" s="245"/>
      <c r="AL4879" s="245"/>
      <c r="AM4879" s="245"/>
      <c r="AN4879" s="245"/>
      <c r="AO4879" s="238">
        <v>-4.94</v>
      </c>
      <c r="AP4879" s="238">
        <v>0.0</v>
      </c>
      <c r="AQ4879" s="235" t="s">
        <v>632</v>
      </c>
      <c r="AR4879" s="243">
        <v>1.68E11</v>
      </c>
      <c r="AS4879" s="235" t="s">
        <v>35895</v>
      </c>
      <c r="AT4879" s="235" t="s">
        <v>156</v>
      </c>
      <c r="AU4879" s="235" t="s">
        <v>634</v>
      </c>
      <c r="AV4879" s="246" t="s">
        <v>635</v>
      </c>
      <c r="AW4879" s="227"/>
      <c r="AX4879" s="227"/>
      <c r="AY4879" s="227"/>
      <c r="AZ4879" s="227"/>
      <c r="BA4879" s="227"/>
      <c r="BB4879" s="227"/>
      <c r="BC4879" s="227"/>
      <c r="BD4879" s="227"/>
      <c r="BE4879" s="227"/>
      <c r="BF4879" s="227"/>
    </row>
    <row r="4880">
      <c r="A4880" s="235" t="s">
        <v>36034</v>
      </c>
      <c r="C4880" s="235" t="s">
        <v>36035</v>
      </c>
      <c r="D4880" s="235" t="s">
        <v>36036</v>
      </c>
      <c r="E4880" s="243">
        <v>6.49E13</v>
      </c>
      <c r="F4880" s="245"/>
      <c r="G4880" s="235" t="s">
        <v>36037</v>
      </c>
      <c r="H4880" s="235" t="s">
        <v>36038</v>
      </c>
      <c r="I4880" s="235" t="s">
        <v>36038</v>
      </c>
      <c r="J4880" s="235" t="s">
        <v>36039</v>
      </c>
      <c r="K4880" s="235" t="s">
        <v>36040</v>
      </c>
      <c r="N4880" s="235" t="s">
        <v>130</v>
      </c>
      <c r="O4880" s="235" t="s">
        <v>707</v>
      </c>
      <c r="P4880" s="238">
        <v>1.0</v>
      </c>
      <c r="Q4880" s="235" t="s">
        <v>627</v>
      </c>
      <c r="R4880" s="238">
        <v>243.81</v>
      </c>
      <c r="S4880" s="238">
        <v>12.19</v>
      </c>
      <c r="T4880" s="238">
        <v>0.0</v>
      </c>
      <c r="U4880" s="238">
        <v>0.0</v>
      </c>
      <c r="V4880" s="238">
        <v>0.0</v>
      </c>
      <c r="W4880" s="238">
        <v>0.0</v>
      </c>
      <c r="X4880" s="235" t="s">
        <v>628</v>
      </c>
      <c r="Z4880" s="245"/>
      <c r="AA4880" s="245"/>
      <c r="AB4880" s="245"/>
      <c r="AC4880" s="235" t="s">
        <v>795</v>
      </c>
      <c r="AD4880" s="235" t="s">
        <v>796</v>
      </c>
      <c r="AE4880" s="238">
        <v>110056.0</v>
      </c>
      <c r="AF4880" s="235" t="s">
        <v>631</v>
      </c>
      <c r="AG4880" s="245"/>
      <c r="AH4880" s="245"/>
      <c r="AI4880" s="245"/>
      <c r="AJ4880" s="245"/>
      <c r="AK4880" s="245"/>
      <c r="AL4880" s="245"/>
      <c r="AM4880" s="245"/>
      <c r="AN4880" s="245"/>
      <c r="AO4880" s="238">
        <v>0.0</v>
      </c>
      <c r="AP4880" s="238">
        <v>0.0</v>
      </c>
      <c r="AQ4880" s="235" t="s">
        <v>632</v>
      </c>
      <c r="AR4880" s="243">
        <v>1.68E11</v>
      </c>
      <c r="AS4880" s="235" t="s">
        <v>35895</v>
      </c>
      <c r="AT4880" s="235" t="s">
        <v>533</v>
      </c>
      <c r="AU4880" s="235" t="s">
        <v>634</v>
      </c>
      <c r="AV4880" s="246" t="s">
        <v>635</v>
      </c>
      <c r="AW4880" s="227"/>
      <c r="AX4880" s="227"/>
      <c r="AY4880" s="227"/>
      <c r="AZ4880" s="227"/>
      <c r="BA4880" s="227"/>
      <c r="BB4880" s="227"/>
      <c r="BC4880" s="227"/>
      <c r="BD4880" s="227"/>
      <c r="BE4880" s="227"/>
      <c r="BF4880" s="227"/>
    </row>
    <row r="4881">
      <c r="A4881" s="235" t="s">
        <v>36041</v>
      </c>
      <c r="C4881" s="235" t="s">
        <v>36042</v>
      </c>
      <c r="D4881" s="235" t="s">
        <v>36043</v>
      </c>
      <c r="E4881" s="243">
        <v>6.49E13</v>
      </c>
      <c r="F4881" s="245"/>
      <c r="G4881" s="235" t="s">
        <v>36044</v>
      </c>
      <c r="H4881" s="235" t="s">
        <v>36045</v>
      </c>
      <c r="I4881" s="235" t="s">
        <v>36045</v>
      </c>
      <c r="J4881" s="235" t="s">
        <v>36046</v>
      </c>
      <c r="K4881" s="235" t="s">
        <v>36047</v>
      </c>
      <c r="N4881" s="235" t="s">
        <v>131</v>
      </c>
      <c r="O4881" s="235" t="s">
        <v>2148</v>
      </c>
      <c r="P4881" s="238">
        <v>1.0</v>
      </c>
      <c r="Q4881" s="235" t="s">
        <v>627</v>
      </c>
      <c r="R4881" s="238">
        <v>246.67</v>
      </c>
      <c r="S4881" s="238">
        <v>12.33</v>
      </c>
      <c r="T4881" s="238">
        <v>38.1</v>
      </c>
      <c r="U4881" s="238">
        <v>1.9</v>
      </c>
      <c r="V4881" s="238">
        <v>0.0</v>
      </c>
      <c r="W4881" s="238">
        <v>0.0</v>
      </c>
      <c r="X4881" s="235" t="s">
        <v>628</v>
      </c>
      <c r="Z4881" s="245"/>
      <c r="AA4881" s="245"/>
      <c r="AB4881" s="245"/>
      <c r="AC4881" s="235" t="s">
        <v>36048</v>
      </c>
      <c r="AD4881" s="235" t="s">
        <v>1086</v>
      </c>
      <c r="AE4881" s="238">
        <v>148028.0</v>
      </c>
      <c r="AF4881" s="235" t="s">
        <v>631</v>
      </c>
      <c r="AG4881" s="245"/>
      <c r="AH4881" s="245"/>
      <c r="AI4881" s="245"/>
      <c r="AJ4881" s="245"/>
      <c r="AK4881" s="245"/>
      <c r="AL4881" s="245"/>
      <c r="AM4881" s="245"/>
      <c r="AN4881" s="245"/>
      <c r="AO4881" s="238">
        <v>0.0</v>
      </c>
      <c r="AP4881" s="238">
        <v>-38.1</v>
      </c>
      <c r="AQ4881" s="235" t="s">
        <v>632</v>
      </c>
      <c r="AR4881" s="243">
        <v>3.7E11</v>
      </c>
      <c r="AS4881" s="235" t="s">
        <v>33466</v>
      </c>
      <c r="AT4881" s="235" t="s">
        <v>14</v>
      </c>
      <c r="AU4881" s="235" t="s">
        <v>634</v>
      </c>
      <c r="AV4881" s="246" t="s">
        <v>635</v>
      </c>
      <c r="AW4881" s="227"/>
      <c r="AX4881" s="227"/>
      <c r="AY4881" s="227"/>
      <c r="AZ4881" s="227"/>
      <c r="BA4881" s="227"/>
      <c r="BB4881" s="227"/>
      <c r="BC4881" s="227"/>
      <c r="BD4881" s="227"/>
      <c r="BE4881" s="227"/>
      <c r="BF4881" s="227"/>
    </row>
    <row r="4882">
      <c r="A4882" s="235" t="s">
        <v>36049</v>
      </c>
      <c r="C4882" s="235" t="s">
        <v>36050</v>
      </c>
      <c r="D4882" s="235" t="s">
        <v>36051</v>
      </c>
      <c r="E4882" s="243">
        <v>6.49E13</v>
      </c>
      <c r="F4882" s="245"/>
      <c r="G4882" s="235" t="s">
        <v>36052</v>
      </c>
      <c r="H4882" s="235" t="s">
        <v>36053</v>
      </c>
      <c r="I4882" s="235" t="s">
        <v>36053</v>
      </c>
      <c r="J4882" s="235" t="s">
        <v>36054</v>
      </c>
      <c r="K4882" s="235" t="s">
        <v>36055</v>
      </c>
      <c r="N4882" s="235" t="s">
        <v>127</v>
      </c>
      <c r="O4882" s="235" t="s">
        <v>794</v>
      </c>
      <c r="P4882" s="238">
        <v>1.0</v>
      </c>
      <c r="Q4882" s="235" t="s">
        <v>627</v>
      </c>
      <c r="R4882" s="238">
        <v>243.8</v>
      </c>
      <c r="S4882" s="238">
        <v>12.2</v>
      </c>
      <c r="T4882" s="238">
        <v>38.1</v>
      </c>
      <c r="U4882" s="238">
        <v>1.9</v>
      </c>
      <c r="V4882" s="238">
        <v>0.0</v>
      </c>
      <c r="W4882" s="238">
        <v>0.0</v>
      </c>
      <c r="X4882" s="235" t="s">
        <v>628</v>
      </c>
      <c r="Z4882" s="245"/>
      <c r="AA4882" s="245"/>
      <c r="AB4882" s="245"/>
      <c r="AC4882" s="235" t="s">
        <v>36056</v>
      </c>
      <c r="AD4882" s="235" t="s">
        <v>666</v>
      </c>
      <c r="AE4882" s="238">
        <v>603001.0</v>
      </c>
      <c r="AF4882" s="235" t="s">
        <v>631</v>
      </c>
      <c r="AG4882" s="245"/>
      <c r="AH4882" s="245"/>
      <c r="AI4882" s="245"/>
      <c r="AJ4882" s="245"/>
      <c r="AK4882" s="245"/>
      <c r="AL4882" s="245"/>
      <c r="AM4882" s="245"/>
      <c r="AN4882" s="245"/>
      <c r="AO4882" s="238">
        <v>0.0</v>
      </c>
      <c r="AP4882" s="238">
        <v>-38.1</v>
      </c>
      <c r="AQ4882" s="235" t="s">
        <v>632</v>
      </c>
      <c r="AR4882" s="243">
        <v>3.7E11</v>
      </c>
      <c r="AS4882" s="235" t="s">
        <v>35520</v>
      </c>
      <c r="AT4882" s="235" t="s">
        <v>156</v>
      </c>
      <c r="AU4882" s="235" t="s">
        <v>634</v>
      </c>
      <c r="AV4882" s="246" t="s">
        <v>635</v>
      </c>
      <c r="AW4882" s="227"/>
      <c r="AX4882" s="227"/>
      <c r="AY4882" s="227"/>
      <c r="AZ4882" s="227"/>
      <c r="BA4882" s="227"/>
      <c r="BB4882" s="227"/>
      <c r="BC4882" s="227"/>
      <c r="BD4882" s="227"/>
      <c r="BE4882" s="227"/>
      <c r="BF4882" s="227"/>
    </row>
    <row r="4883">
      <c r="A4883" s="235" t="s">
        <v>36057</v>
      </c>
      <c r="C4883" s="235" t="s">
        <v>36058</v>
      </c>
      <c r="D4883" s="235" t="s">
        <v>36059</v>
      </c>
      <c r="E4883" s="243">
        <v>6.49E13</v>
      </c>
      <c r="F4883" s="245"/>
      <c r="G4883" s="235" t="s">
        <v>36060</v>
      </c>
      <c r="H4883" s="235" t="s">
        <v>36061</v>
      </c>
      <c r="I4883" s="235" t="s">
        <v>36061</v>
      </c>
      <c r="J4883" s="235" t="s">
        <v>36062</v>
      </c>
      <c r="K4883" s="235" t="s">
        <v>36063</v>
      </c>
      <c r="N4883" s="235" t="s">
        <v>842</v>
      </c>
      <c r="O4883" s="235" t="s">
        <v>843</v>
      </c>
      <c r="P4883" s="238">
        <v>1.0</v>
      </c>
      <c r="Q4883" s="235" t="s">
        <v>627</v>
      </c>
      <c r="R4883" s="238">
        <v>246.66</v>
      </c>
      <c r="S4883" s="238">
        <v>12.1</v>
      </c>
      <c r="T4883" s="238">
        <v>0.0</v>
      </c>
      <c r="U4883" s="238">
        <v>0.0</v>
      </c>
      <c r="V4883" s="238">
        <v>0.0</v>
      </c>
      <c r="W4883" s="238">
        <v>0.0</v>
      </c>
      <c r="X4883" s="235" t="s">
        <v>628</v>
      </c>
      <c r="Z4883" s="245"/>
      <c r="AA4883" s="245"/>
      <c r="AB4883" s="245"/>
      <c r="AC4883" s="235" t="s">
        <v>1887</v>
      </c>
      <c r="AD4883" s="235" t="s">
        <v>679</v>
      </c>
      <c r="AE4883" s="238">
        <v>560076.0</v>
      </c>
      <c r="AF4883" s="235" t="s">
        <v>631</v>
      </c>
      <c r="AG4883" s="245"/>
      <c r="AH4883" s="245"/>
      <c r="AI4883" s="245"/>
      <c r="AJ4883" s="245"/>
      <c r="AK4883" s="245"/>
      <c r="AL4883" s="245"/>
      <c r="AM4883" s="245"/>
      <c r="AN4883" s="245"/>
      <c r="AO4883" s="238">
        <v>-4.94</v>
      </c>
      <c r="AP4883" s="238">
        <v>0.0</v>
      </c>
      <c r="AQ4883" s="235" t="s">
        <v>632</v>
      </c>
      <c r="AR4883" s="243">
        <v>1.68E11</v>
      </c>
      <c r="AS4883" s="235" t="s">
        <v>35895</v>
      </c>
      <c r="AT4883" s="235" t="s">
        <v>9</v>
      </c>
      <c r="AU4883" s="235" t="s">
        <v>634</v>
      </c>
      <c r="AV4883" s="246" t="s">
        <v>635</v>
      </c>
      <c r="AW4883" s="227"/>
      <c r="AX4883" s="227"/>
      <c r="AY4883" s="227"/>
      <c r="AZ4883" s="227"/>
      <c r="BA4883" s="227"/>
      <c r="BB4883" s="227"/>
      <c r="BC4883" s="227"/>
      <c r="BD4883" s="227"/>
      <c r="BE4883" s="227"/>
      <c r="BF4883" s="227"/>
    </row>
    <row r="4884">
      <c r="A4884" s="235" t="s">
        <v>36064</v>
      </c>
      <c r="C4884" s="235" t="s">
        <v>36065</v>
      </c>
      <c r="D4884" s="235" t="s">
        <v>36066</v>
      </c>
      <c r="E4884" s="243">
        <v>6.49E13</v>
      </c>
      <c r="F4884" s="245"/>
      <c r="G4884" s="235" t="s">
        <v>36067</v>
      </c>
      <c r="H4884" s="235" t="s">
        <v>36068</v>
      </c>
      <c r="I4884" s="235" t="s">
        <v>36069</v>
      </c>
      <c r="J4884" s="235" t="s">
        <v>36070</v>
      </c>
      <c r="K4884" s="235" t="s">
        <v>36071</v>
      </c>
      <c r="N4884" s="235" t="s">
        <v>130</v>
      </c>
      <c r="O4884" s="235" t="s">
        <v>707</v>
      </c>
      <c r="P4884" s="238">
        <v>1.0</v>
      </c>
      <c r="Q4884" s="235" t="s">
        <v>627</v>
      </c>
      <c r="R4884" s="238">
        <v>243.81</v>
      </c>
      <c r="S4884" s="238">
        <v>11.95</v>
      </c>
      <c r="T4884" s="238">
        <v>0.0</v>
      </c>
      <c r="U4884" s="238">
        <v>0.0</v>
      </c>
      <c r="V4884" s="238">
        <v>0.0</v>
      </c>
      <c r="W4884" s="238">
        <v>0.0</v>
      </c>
      <c r="X4884" s="235" t="s">
        <v>628</v>
      </c>
      <c r="Z4884" s="245"/>
      <c r="AA4884" s="245"/>
      <c r="AB4884" s="245"/>
      <c r="AC4884" s="235" t="s">
        <v>23078</v>
      </c>
      <c r="AD4884" s="235" t="s">
        <v>645</v>
      </c>
      <c r="AE4884" s="238">
        <v>683565.0</v>
      </c>
      <c r="AF4884" s="235" t="s">
        <v>631</v>
      </c>
      <c r="AG4884" s="245"/>
      <c r="AH4884" s="245"/>
      <c r="AI4884" s="245"/>
      <c r="AJ4884" s="245"/>
      <c r="AK4884" s="245"/>
      <c r="AL4884" s="245"/>
      <c r="AM4884" s="245"/>
      <c r="AN4884" s="245"/>
      <c r="AO4884" s="238">
        <v>-4.88</v>
      </c>
      <c r="AP4884" s="238">
        <v>0.0</v>
      </c>
      <c r="AQ4884" s="235" t="s">
        <v>632</v>
      </c>
      <c r="AR4884" s="243">
        <v>3.7E11</v>
      </c>
      <c r="AS4884" s="235" t="s">
        <v>34510</v>
      </c>
      <c r="AT4884" s="235" t="s">
        <v>155</v>
      </c>
      <c r="AU4884" s="235" t="s">
        <v>634</v>
      </c>
      <c r="AV4884" s="246" t="s">
        <v>635</v>
      </c>
      <c r="AW4884" s="227"/>
      <c r="AX4884" s="227"/>
      <c r="AY4884" s="227"/>
      <c r="AZ4884" s="227"/>
      <c r="BA4884" s="227"/>
      <c r="BB4884" s="227"/>
      <c r="BC4884" s="227"/>
      <c r="BD4884" s="227"/>
      <c r="BE4884" s="227"/>
      <c r="BF4884" s="227"/>
    </row>
    <row r="4885">
      <c r="A4885" s="235" t="s">
        <v>36072</v>
      </c>
      <c r="C4885" s="235" t="s">
        <v>36073</v>
      </c>
      <c r="D4885" s="235" t="s">
        <v>36074</v>
      </c>
      <c r="E4885" s="243">
        <v>6.49E13</v>
      </c>
      <c r="F4885" s="245"/>
      <c r="G4885" s="235" t="s">
        <v>36075</v>
      </c>
      <c r="H4885" s="235" t="s">
        <v>36076</v>
      </c>
      <c r="I4885" s="235" t="s">
        <v>36076</v>
      </c>
      <c r="J4885" s="235" t="s">
        <v>36077</v>
      </c>
      <c r="K4885" s="235" t="s">
        <v>36078</v>
      </c>
      <c r="N4885" s="235" t="s">
        <v>127</v>
      </c>
      <c r="O4885" s="235" t="s">
        <v>794</v>
      </c>
      <c r="P4885" s="238">
        <v>1.0</v>
      </c>
      <c r="Q4885" s="235" t="s">
        <v>627</v>
      </c>
      <c r="R4885" s="238">
        <v>243.8</v>
      </c>
      <c r="S4885" s="238">
        <v>12.2</v>
      </c>
      <c r="T4885" s="238">
        <v>0.0</v>
      </c>
      <c r="U4885" s="238">
        <v>0.0</v>
      </c>
      <c r="V4885" s="238">
        <v>0.0</v>
      </c>
      <c r="W4885" s="238">
        <v>0.0</v>
      </c>
      <c r="X4885" s="235" t="s">
        <v>628</v>
      </c>
      <c r="Z4885" s="245"/>
      <c r="AA4885" s="245"/>
      <c r="AB4885" s="245"/>
      <c r="AC4885" s="235" t="s">
        <v>1456</v>
      </c>
      <c r="AD4885" s="235" t="s">
        <v>928</v>
      </c>
      <c r="AE4885" s="238">
        <v>122002.0</v>
      </c>
      <c r="AF4885" s="235" t="s">
        <v>631</v>
      </c>
      <c r="AG4885" s="245"/>
      <c r="AH4885" s="245"/>
      <c r="AI4885" s="245"/>
      <c r="AJ4885" s="245"/>
      <c r="AK4885" s="245"/>
      <c r="AL4885" s="245"/>
      <c r="AM4885" s="245"/>
      <c r="AN4885" s="245"/>
      <c r="AO4885" s="238">
        <v>0.0</v>
      </c>
      <c r="AP4885" s="238">
        <v>0.0</v>
      </c>
      <c r="AQ4885" s="235" t="s">
        <v>632</v>
      </c>
      <c r="AR4885" s="243">
        <v>1.68E11</v>
      </c>
      <c r="AS4885" s="235" t="s">
        <v>35895</v>
      </c>
      <c r="AT4885" s="235" t="s">
        <v>533</v>
      </c>
      <c r="AU4885" s="235" t="s">
        <v>634</v>
      </c>
      <c r="AV4885" s="246" t="s">
        <v>635</v>
      </c>
      <c r="AW4885" s="227"/>
      <c r="AX4885" s="227"/>
      <c r="AY4885" s="227"/>
      <c r="AZ4885" s="227"/>
      <c r="BA4885" s="227"/>
      <c r="BB4885" s="227"/>
      <c r="BC4885" s="227"/>
      <c r="BD4885" s="227"/>
      <c r="BE4885" s="227"/>
      <c r="BF4885" s="227"/>
    </row>
    <row r="4886">
      <c r="A4886" s="235" t="s">
        <v>36079</v>
      </c>
      <c r="C4886" s="235" t="s">
        <v>36080</v>
      </c>
      <c r="D4886" s="235" t="s">
        <v>36081</v>
      </c>
      <c r="E4886" s="243">
        <v>6.49E13</v>
      </c>
      <c r="F4886" s="245"/>
      <c r="G4886" s="235" t="s">
        <v>36082</v>
      </c>
      <c r="H4886" s="235" t="s">
        <v>36083</v>
      </c>
      <c r="I4886" s="235" t="s">
        <v>36083</v>
      </c>
      <c r="J4886" s="235" t="s">
        <v>36084</v>
      </c>
      <c r="K4886" s="235" t="s">
        <v>36085</v>
      </c>
      <c r="N4886" s="235" t="s">
        <v>989</v>
      </c>
      <c r="O4886" s="235" t="s">
        <v>990</v>
      </c>
      <c r="P4886" s="238">
        <v>1.0</v>
      </c>
      <c r="Q4886" s="235" t="s">
        <v>627</v>
      </c>
      <c r="R4886" s="238">
        <v>256.19</v>
      </c>
      <c r="S4886" s="238">
        <v>12.81</v>
      </c>
      <c r="T4886" s="238">
        <v>38.1</v>
      </c>
      <c r="U4886" s="238">
        <v>1.9</v>
      </c>
      <c r="V4886" s="238">
        <v>0.0</v>
      </c>
      <c r="W4886" s="238">
        <v>0.0</v>
      </c>
      <c r="X4886" s="235" t="s">
        <v>628</v>
      </c>
      <c r="Z4886" s="245"/>
      <c r="AA4886" s="245"/>
      <c r="AB4886" s="245"/>
      <c r="AC4886" s="235" t="s">
        <v>795</v>
      </c>
      <c r="AD4886" s="235" t="s">
        <v>796</v>
      </c>
      <c r="AE4886" s="238">
        <v>110093.0</v>
      </c>
      <c r="AF4886" s="235" t="s">
        <v>631</v>
      </c>
      <c r="AG4886" s="245"/>
      <c r="AH4886" s="245"/>
      <c r="AI4886" s="245"/>
      <c r="AJ4886" s="245"/>
      <c r="AK4886" s="245"/>
      <c r="AL4886" s="245"/>
      <c r="AM4886" s="245"/>
      <c r="AN4886" s="245"/>
      <c r="AO4886" s="238">
        <v>0.0</v>
      </c>
      <c r="AP4886" s="238">
        <v>-38.1</v>
      </c>
      <c r="AQ4886" s="235" t="s">
        <v>632</v>
      </c>
      <c r="AR4886" s="243">
        <v>3.7E11</v>
      </c>
      <c r="AS4886" s="235" t="s">
        <v>35520</v>
      </c>
      <c r="AT4886" s="235" t="s">
        <v>13</v>
      </c>
      <c r="AU4886" s="235" t="s">
        <v>634</v>
      </c>
      <c r="AV4886" s="246" t="s">
        <v>635</v>
      </c>
      <c r="AW4886" s="227"/>
      <c r="AX4886" s="227"/>
      <c r="AY4886" s="227"/>
      <c r="AZ4886" s="227"/>
      <c r="BA4886" s="227"/>
      <c r="BB4886" s="227"/>
      <c r="BC4886" s="227"/>
      <c r="BD4886" s="227"/>
      <c r="BE4886" s="227"/>
      <c r="BF4886" s="227"/>
    </row>
    <row r="4887">
      <c r="A4887" s="235" t="s">
        <v>36086</v>
      </c>
      <c r="C4887" s="235" t="s">
        <v>36087</v>
      </c>
      <c r="D4887" s="235" t="s">
        <v>36088</v>
      </c>
      <c r="E4887" s="243">
        <v>6.49E13</v>
      </c>
      <c r="F4887" s="245"/>
      <c r="G4887" s="235" t="s">
        <v>36089</v>
      </c>
      <c r="H4887" s="235" t="s">
        <v>36090</v>
      </c>
      <c r="I4887" s="235" t="s">
        <v>36090</v>
      </c>
      <c r="J4887" s="235" t="s">
        <v>36091</v>
      </c>
      <c r="K4887" s="235" t="s">
        <v>36092</v>
      </c>
      <c r="N4887" s="235" t="s">
        <v>962</v>
      </c>
      <c r="O4887" s="235" t="s">
        <v>963</v>
      </c>
      <c r="P4887" s="238">
        <v>1.0</v>
      </c>
      <c r="Q4887" s="235" t="s">
        <v>627</v>
      </c>
      <c r="R4887" s="238">
        <v>245.72</v>
      </c>
      <c r="S4887" s="238">
        <v>12.28</v>
      </c>
      <c r="T4887" s="238">
        <v>0.0</v>
      </c>
      <c r="U4887" s="238">
        <v>0.0</v>
      </c>
      <c r="V4887" s="238">
        <v>0.0</v>
      </c>
      <c r="W4887" s="238">
        <v>0.0</v>
      </c>
      <c r="X4887" s="235" t="s">
        <v>628</v>
      </c>
      <c r="Z4887" s="245"/>
      <c r="AA4887" s="245"/>
      <c r="AB4887" s="245"/>
      <c r="AC4887" s="235" t="s">
        <v>1671</v>
      </c>
      <c r="AD4887" s="235" t="s">
        <v>666</v>
      </c>
      <c r="AE4887" s="238">
        <v>641035.0</v>
      </c>
      <c r="AF4887" s="235" t="s">
        <v>631</v>
      </c>
      <c r="AG4887" s="245"/>
      <c r="AH4887" s="245"/>
      <c r="AI4887" s="245"/>
      <c r="AJ4887" s="245"/>
      <c r="AK4887" s="245"/>
      <c r="AL4887" s="245"/>
      <c r="AM4887" s="245"/>
      <c r="AN4887" s="245"/>
      <c r="AO4887" s="238">
        <v>0.0</v>
      </c>
      <c r="AP4887" s="238">
        <v>0.0</v>
      </c>
      <c r="AQ4887" s="235" t="s">
        <v>632</v>
      </c>
      <c r="AR4887" s="243">
        <v>3.7E11</v>
      </c>
      <c r="AS4887" s="235" t="s">
        <v>35520</v>
      </c>
      <c r="AT4887" s="235" t="s">
        <v>155</v>
      </c>
      <c r="AU4887" s="235" t="s">
        <v>634</v>
      </c>
      <c r="AV4887" s="246" t="s">
        <v>635</v>
      </c>
      <c r="AW4887" s="227"/>
      <c r="AX4887" s="227"/>
      <c r="AY4887" s="227"/>
      <c r="AZ4887" s="227"/>
      <c r="BA4887" s="227"/>
      <c r="BB4887" s="227"/>
      <c r="BC4887" s="227"/>
      <c r="BD4887" s="227"/>
      <c r="BE4887" s="227"/>
      <c r="BF4887" s="227"/>
    </row>
    <row r="4888">
      <c r="A4888" s="235" t="s">
        <v>36093</v>
      </c>
      <c r="C4888" s="235" t="s">
        <v>36094</v>
      </c>
      <c r="D4888" s="235" t="s">
        <v>36095</v>
      </c>
      <c r="E4888" s="243">
        <v>6.49E13</v>
      </c>
      <c r="F4888" s="245"/>
      <c r="G4888" s="235" t="s">
        <v>36096</v>
      </c>
      <c r="H4888" s="235" t="s">
        <v>36097</v>
      </c>
      <c r="I4888" s="235" t="s">
        <v>36097</v>
      </c>
      <c r="J4888" s="235" t="s">
        <v>36098</v>
      </c>
      <c r="K4888" s="235" t="s">
        <v>36099</v>
      </c>
      <c r="N4888" s="235" t="s">
        <v>82</v>
      </c>
      <c r="O4888" s="235" t="s">
        <v>889</v>
      </c>
      <c r="P4888" s="238">
        <v>1.0</v>
      </c>
      <c r="Q4888" s="235" t="s">
        <v>627</v>
      </c>
      <c r="R4888" s="238">
        <v>243.81</v>
      </c>
      <c r="S4888" s="238">
        <v>12.19</v>
      </c>
      <c r="T4888" s="238">
        <v>0.0</v>
      </c>
      <c r="U4888" s="238">
        <v>0.0</v>
      </c>
      <c r="V4888" s="238">
        <v>0.0</v>
      </c>
      <c r="W4888" s="238">
        <v>0.0</v>
      </c>
      <c r="X4888" s="235" t="s">
        <v>628</v>
      </c>
      <c r="Z4888" s="245"/>
      <c r="AA4888" s="245"/>
      <c r="AB4888" s="245"/>
      <c r="AC4888" s="235" t="s">
        <v>629</v>
      </c>
      <c r="AD4888" s="235" t="s">
        <v>630</v>
      </c>
      <c r="AE4888" s="238">
        <v>201305.0</v>
      </c>
      <c r="AF4888" s="235" t="s">
        <v>631</v>
      </c>
      <c r="AG4888" s="245"/>
      <c r="AH4888" s="245"/>
      <c r="AI4888" s="245"/>
      <c r="AJ4888" s="245"/>
      <c r="AK4888" s="245"/>
      <c r="AL4888" s="245"/>
      <c r="AM4888" s="245"/>
      <c r="AN4888" s="245"/>
      <c r="AO4888" s="238">
        <v>0.0</v>
      </c>
      <c r="AP4888" s="238">
        <v>0.0</v>
      </c>
      <c r="AQ4888" s="235" t="s">
        <v>632</v>
      </c>
      <c r="AR4888" s="243">
        <v>1.68E11</v>
      </c>
      <c r="AS4888" s="235" t="s">
        <v>35895</v>
      </c>
      <c r="AT4888" s="235" t="s">
        <v>14</v>
      </c>
      <c r="AU4888" s="235" t="s">
        <v>634</v>
      </c>
      <c r="AV4888" s="246" t="s">
        <v>635</v>
      </c>
      <c r="AW4888" s="227"/>
      <c r="AX4888" s="227"/>
      <c r="AY4888" s="227"/>
      <c r="AZ4888" s="227"/>
      <c r="BA4888" s="227"/>
      <c r="BB4888" s="227"/>
      <c r="BC4888" s="227"/>
      <c r="BD4888" s="227"/>
      <c r="BE4888" s="227"/>
      <c r="BF4888" s="227"/>
    </row>
    <row r="4889">
      <c r="A4889" s="235" t="s">
        <v>36100</v>
      </c>
      <c r="C4889" s="235" t="s">
        <v>36101</v>
      </c>
      <c r="D4889" s="235" t="s">
        <v>36102</v>
      </c>
      <c r="E4889" s="243">
        <v>6.49E13</v>
      </c>
      <c r="F4889" s="245"/>
      <c r="G4889" s="235" t="s">
        <v>36103</v>
      </c>
      <c r="H4889" s="235" t="s">
        <v>36104</v>
      </c>
      <c r="I4889" s="235" t="s">
        <v>36104</v>
      </c>
      <c r="J4889" s="235" t="s">
        <v>36105</v>
      </c>
      <c r="K4889" s="235" t="s">
        <v>36106</v>
      </c>
      <c r="N4889" s="235" t="s">
        <v>42</v>
      </c>
      <c r="O4889" s="235" t="s">
        <v>204</v>
      </c>
      <c r="P4889" s="238">
        <v>1.0</v>
      </c>
      <c r="Q4889" s="235" t="s">
        <v>627</v>
      </c>
      <c r="R4889" s="238">
        <v>237.14</v>
      </c>
      <c r="S4889" s="238">
        <v>11.86</v>
      </c>
      <c r="T4889" s="238">
        <v>0.0</v>
      </c>
      <c r="U4889" s="238">
        <v>0.0</v>
      </c>
      <c r="V4889" s="238">
        <v>0.0</v>
      </c>
      <c r="W4889" s="238">
        <v>0.0</v>
      </c>
      <c r="X4889" s="235" t="s">
        <v>628</v>
      </c>
      <c r="Z4889" s="245"/>
      <c r="AA4889" s="245"/>
      <c r="AB4889" s="245"/>
      <c r="AC4889" s="235" t="s">
        <v>687</v>
      </c>
      <c r="AD4889" s="235" t="s">
        <v>666</v>
      </c>
      <c r="AE4889" s="238">
        <v>600095.0</v>
      </c>
      <c r="AF4889" s="235" t="s">
        <v>631</v>
      </c>
      <c r="AG4889" s="245"/>
      <c r="AH4889" s="245"/>
      <c r="AI4889" s="245"/>
      <c r="AJ4889" s="245"/>
      <c r="AK4889" s="245"/>
      <c r="AL4889" s="245"/>
      <c r="AM4889" s="245"/>
      <c r="AN4889" s="245"/>
      <c r="AO4889" s="238">
        <v>0.0</v>
      </c>
      <c r="AP4889" s="238">
        <v>0.0</v>
      </c>
      <c r="AQ4889" s="235" t="s">
        <v>632</v>
      </c>
      <c r="AR4889" s="243">
        <v>3.7E11</v>
      </c>
      <c r="AS4889" s="235" t="s">
        <v>35520</v>
      </c>
      <c r="AT4889" s="235" t="s">
        <v>156</v>
      </c>
      <c r="AU4889" s="235" t="s">
        <v>634</v>
      </c>
      <c r="AV4889" s="246" t="s">
        <v>635</v>
      </c>
      <c r="AW4889" s="227"/>
      <c r="AX4889" s="227"/>
      <c r="AY4889" s="227"/>
      <c r="AZ4889" s="227"/>
      <c r="BA4889" s="227"/>
      <c r="BB4889" s="227"/>
      <c r="BC4889" s="227"/>
      <c r="BD4889" s="227"/>
      <c r="BE4889" s="227"/>
      <c r="BF4889" s="227"/>
    </row>
    <row r="4890">
      <c r="A4890" s="235" t="s">
        <v>36107</v>
      </c>
      <c r="C4890" s="235" t="s">
        <v>36108</v>
      </c>
      <c r="D4890" s="235" t="s">
        <v>36109</v>
      </c>
      <c r="E4890" s="243">
        <v>6.49E13</v>
      </c>
      <c r="F4890" s="245"/>
      <c r="G4890" s="235" t="s">
        <v>36110</v>
      </c>
      <c r="H4890" s="235" t="s">
        <v>36111</v>
      </c>
      <c r="I4890" s="235" t="s">
        <v>36112</v>
      </c>
      <c r="J4890" s="235" t="s">
        <v>36113</v>
      </c>
      <c r="K4890" s="235" t="s">
        <v>36114</v>
      </c>
      <c r="N4890" s="235" t="s">
        <v>54</v>
      </c>
      <c r="O4890" s="235" t="s">
        <v>294</v>
      </c>
      <c r="P4890" s="238">
        <v>1.0</v>
      </c>
      <c r="Q4890" s="235" t="s">
        <v>627</v>
      </c>
      <c r="R4890" s="238">
        <v>246.67</v>
      </c>
      <c r="S4890" s="238">
        <v>12.08</v>
      </c>
      <c r="T4890" s="238">
        <v>0.0</v>
      </c>
      <c r="U4890" s="238">
        <v>0.0</v>
      </c>
      <c r="V4890" s="238">
        <v>0.0</v>
      </c>
      <c r="W4890" s="238">
        <v>0.0</v>
      </c>
      <c r="X4890" s="235" t="s">
        <v>628</v>
      </c>
      <c r="Z4890" s="245"/>
      <c r="AA4890" s="245"/>
      <c r="AB4890" s="245"/>
      <c r="AC4890" s="235" t="s">
        <v>795</v>
      </c>
      <c r="AD4890" s="235" t="s">
        <v>796</v>
      </c>
      <c r="AE4890" s="238">
        <v>110092.0</v>
      </c>
      <c r="AF4890" s="235" t="s">
        <v>631</v>
      </c>
      <c r="AG4890" s="245"/>
      <c r="AH4890" s="245"/>
      <c r="AI4890" s="245"/>
      <c r="AJ4890" s="245"/>
      <c r="AK4890" s="245"/>
      <c r="AL4890" s="245"/>
      <c r="AM4890" s="245"/>
      <c r="AN4890" s="245"/>
      <c r="AO4890" s="238">
        <v>-4.93</v>
      </c>
      <c r="AP4890" s="238">
        <v>0.0</v>
      </c>
      <c r="AQ4890" s="235" t="s">
        <v>632</v>
      </c>
      <c r="AR4890" s="243">
        <v>3.7E11</v>
      </c>
      <c r="AS4890" s="235" t="s">
        <v>35520</v>
      </c>
      <c r="AT4890" s="235" t="s">
        <v>13</v>
      </c>
      <c r="AU4890" s="235" t="s">
        <v>634</v>
      </c>
      <c r="AV4890" s="246" t="s">
        <v>635</v>
      </c>
      <c r="AW4890" s="227"/>
      <c r="AX4890" s="227"/>
      <c r="AY4890" s="227"/>
      <c r="AZ4890" s="227"/>
      <c r="BA4890" s="227"/>
      <c r="BB4890" s="227"/>
      <c r="BC4890" s="227"/>
      <c r="BD4890" s="227"/>
      <c r="BE4890" s="227"/>
      <c r="BF4890" s="227"/>
    </row>
    <row r="4891">
      <c r="A4891" s="235" t="s">
        <v>36115</v>
      </c>
      <c r="C4891" s="235" t="s">
        <v>36116</v>
      </c>
      <c r="D4891" s="235" t="s">
        <v>36117</v>
      </c>
      <c r="E4891" s="243">
        <v>6.49E13</v>
      </c>
      <c r="F4891" s="245"/>
      <c r="G4891" s="235" t="s">
        <v>36118</v>
      </c>
      <c r="H4891" s="235" t="s">
        <v>36119</v>
      </c>
      <c r="I4891" s="235" t="s">
        <v>36120</v>
      </c>
      <c r="J4891" s="235" t="s">
        <v>36121</v>
      </c>
      <c r="K4891" s="235" t="s">
        <v>36122</v>
      </c>
      <c r="N4891" s="235" t="s">
        <v>127</v>
      </c>
      <c r="O4891" s="235" t="s">
        <v>794</v>
      </c>
      <c r="P4891" s="238">
        <v>1.0</v>
      </c>
      <c r="Q4891" s="235" t="s">
        <v>627</v>
      </c>
      <c r="R4891" s="238">
        <v>243.8</v>
      </c>
      <c r="S4891" s="238">
        <v>12.2</v>
      </c>
      <c r="T4891" s="238">
        <v>0.0</v>
      </c>
      <c r="U4891" s="238">
        <v>0.0</v>
      </c>
      <c r="V4891" s="238">
        <v>0.0</v>
      </c>
      <c r="W4891" s="238">
        <v>0.0</v>
      </c>
      <c r="X4891" s="235" t="s">
        <v>628</v>
      </c>
      <c r="Z4891" s="245"/>
      <c r="AA4891" s="245"/>
      <c r="AB4891" s="245"/>
      <c r="AC4891" s="235" t="s">
        <v>687</v>
      </c>
      <c r="AD4891" s="235" t="s">
        <v>666</v>
      </c>
      <c r="AE4891" s="238">
        <v>600063.0</v>
      </c>
      <c r="AF4891" s="235" t="s">
        <v>631</v>
      </c>
      <c r="AG4891" s="245"/>
      <c r="AH4891" s="245"/>
      <c r="AI4891" s="245"/>
      <c r="AJ4891" s="245"/>
      <c r="AK4891" s="245"/>
      <c r="AL4891" s="245"/>
      <c r="AM4891" s="245"/>
      <c r="AN4891" s="245"/>
      <c r="AO4891" s="238">
        <v>0.0</v>
      </c>
      <c r="AP4891" s="238">
        <v>0.0</v>
      </c>
      <c r="AQ4891" s="235" t="s">
        <v>632</v>
      </c>
      <c r="AR4891" s="243">
        <v>3.7E11</v>
      </c>
      <c r="AS4891" s="235" t="s">
        <v>35520</v>
      </c>
      <c r="AT4891" s="235" t="s">
        <v>156</v>
      </c>
      <c r="AU4891" s="235" t="s">
        <v>634</v>
      </c>
      <c r="AV4891" s="246" t="s">
        <v>635</v>
      </c>
      <c r="AW4891" s="227"/>
      <c r="AX4891" s="227"/>
      <c r="AY4891" s="227"/>
      <c r="AZ4891" s="227"/>
      <c r="BA4891" s="227"/>
      <c r="BB4891" s="227"/>
      <c r="BC4891" s="227"/>
      <c r="BD4891" s="227"/>
      <c r="BE4891" s="227"/>
      <c r="BF4891" s="227"/>
    </row>
    <row r="4892">
      <c r="A4892" s="235" t="s">
        <v>36123</v>
      </c>
      <c r="C4892" s="235" t="s">
        <v>36124</v>
      </c>
      <c r="D4892" s="235" t="s">
        <v>36125</v>
      </c>
      <c r="E4892" s="243">
        <v>6.49E13</v>
      </c>
      <c r="F4892" s="245"/>
      <c r="G4892" s="235" t="s">
        <v>36126</v>
      </c>
      <c r="H4892" s="235" t="s">
        <v>36127</v>
      </c>
      <c r="I4892" s="235" t="s">
        <v>36127</v>
      </c>
      <c r="J4892" s="235" t="s">
        <v>36128</v>
      </c>
      <c r="K4892" s="235" t="s">
        <v>36129</v>
      </c>
      <c r="N4892" s="235" t="s">
        <v>127</v>
      </c>
      <c r="O4892" s="235" t="s">
        <v>794</v>
      </c>
      <c r="P4892" s="238">
        <v>1.0</v>
      </c>
      <c r="Q4892" s="235" t="s">
        <v>627</v>
      </c>
      <c r="R4892" s="238">
        <v>243.8</v>
      </c>
      <c r="S4892" s="238">
        <v>12.2</v>
      </c>
      <c r="T4892" s="238">
        <v>0.0</v>
      </c>
      <c r="U4892" s="238">
        <v>0.0</v>
      </c>
      <c r="V4892" s="238">
        <v>0.0</v>
      </c>
      <c r="W4892" s="238">
        <v>0.0</v>
      </c>
      <c r="X4892" s="235" t="s">
        <v>628</v>
      </c>
      <c r="Z4892" s="245"/>
      <c r="AA4892" s="245"/>
      <c r="AB4892" s="245"/>
      <c r="AC4892" s="235" t="s">
        <v>1910</v>
      </c>
      <c r="AD4892" s="235" t="s">
        <v>928</v>
      </c>
      <c r="AE4892" s="238">
        <v>122003.0</v>
      </c>
      <c r="AF4892" s="235" t="s">
        <v>631</v>
      </c>
      <c r="AG4892" s="245"/>
      <c r="AH4892" s="245"/>
      <c r="AI4892" s="245"/>
      <c r="AJ4892" s="245"/>
      <c r="AK4892" s="245"/>
      <c r="AL4892" s="245"/>
      <c r="AM4892" s="245"/>
      <c r="AN4892" s="245"/>
      <c r="AO4892" s="238">
        <v>0.0</v>
      </c>
      <c r="AP4892" s="238">
        <v>0.0</v>
      </c>
      <c r="AQ4892" s="235" t="s">
        <v>632</v>
      </c>
      <c r="AR4892" s="243">
        <v>1.68E11</v>
      </c>
      <c r="AS4892" s="235" t="s">
        <v>35895</v>
      </c>
      <c r="AT4892" s="235" t="s">
        <v>533</v>
      </c>
      <c r="AU4892" s="235" t="s">
        <v>634</v>
      </c>
      <c r="AV4892" s="246" t="s">
        <v>635</v>
      </c>
      <c r="AW4892" s="227"/>
      <c r="AX4892" s="227"/>
      <c r="AY4892" s="227"/>
      <c r="AZ4892" s="227"/>
      <c r="BA4892" s="227"/>
      <c r="BB4892" s="227"/>
      <c r="BC4892" s="227"/>
      <c r="BD4892" s="227"/>
      <c r="BE4892" s="227"/>
      <c r="BF4892" s="227"/>
    </row>
    <row r="4893">
      <c r="A4893" s="235" t="s">
        <v>36130</v>
      </c>
      <c r="C4893" s="235" t="s">
        <v>36131</v>
      </c>
      <c r="D4893" s="235" t="s">
        <v>36132</v>
      </c>
      <c r="E4893" s="243">
        <v>6.49E13</v>
      </c>
      <c r="F4893" s="245"/>
      <c r="G4893" s="235" t="s">
        <v>36133</v>
      </c>
      <c r="H4893" s="235" t="s">
        <v>36134</v>
      </c>
      <c r="I4893" s="235" t="s">
        <v>36135</v>
      </c>
      <c r="J4893" s="235" t="s">
        <v>36136</v>
      </c>
      <c r="K4893" s="235" t="s">
        <v>36137</v>
      </c>
      <c r="N4893" s="235" t="s">
        <v>726</v>
      </c>
      <c r="O4893" s="235" t="s">
        <v>727</v>
      </c>
      <c r="P4893" s="238">
        <v>1.0</v>
      </c>
      <c r="Q4893" s="235" t="s">
        <v>627</v>
      </c>
      <c r="R4893" s="238">
        <v>244.76</v>
      </c>
      <c r="S4893" s="238">
        <v>12.24</v>
      </c>
      <c r="T4893" s="238">
        <v>38.1</v>
      </c>
      <c r="U4893" s="238">
        <v>1.9</v>
      </c>
      <c r="V4893" s="238">
        <v>0.0</v>
      </c>
      <c r="W4893" s="238">
        <v>0.0</v>
      </c>
      <c r="X4893" s="235" t="s">
        <v>628</v>
      </c>
      <c r="Z4893" s="245"/>
      <c r="AA4893" s="245"/>
      <c r="AB4893" s="245"/>
      <c r="AC4893" s="235" t="s">
        <v>4420</v>
      </c>
      <c r="AD4893" s="235" t="s">
        <v>24630</v>
      </c>
      <c r="AE4893" s="238">
        <v>208011.0</v>
      </c>
      <c r="AF4893" s="235" t="s">
        <v>631</v>
      </c>
      <c r="AG4893" s="245"/>
      <c r="AH4893" s="245"/>
      <c r="AI4893" s="245"/>
      <c r="AJ4893" s="245"/>
      <c r="AK4893" s="245"/>
      <c r="AL4893" s="245"/>
      <c r="AM4893" s="245"/>
      <c r="AN4893" s="245"/>
      <c r="AO4893" s="238">
        <v>0.0</v>
      </c>
      <c r="AP4893" s="238">
        <v>0.0</v>
      </c>
      <c r="AQ4893" s="235" t="s">
        <v>632</v>
      </c>
      <c r="AR4893" s="243">
        <v>3.7E11</v>
      </c>
      <c r="AS4893" s="235" t="s">
        <v>32455</v>
      </c>
      <c r="AT4893" s="235" t="s">
        <v>14</v>
      </c>
      <c r="AU4893" s="235" t="s">
        <v>634</v>
      </c>
      <c r="AV4893" s="246" t="s">
        <v>635</v>
      </c>
      <c r="AW4893" s="227"/>
      <c r="AX4893" s="227"/>
      <c r="AY4893" s="227"/>
      <c r="AZ4893" s="227"/>
      <c r="BA4893" s="227"/>
      <c r="BB4893" s="227"/>
      <c r="BC4893" s="227"/>
      <c r="BD4893" s="227"/>
      <c r="BE4893" s="227"/>
      <c r="BF4893" s="227"/>
    </row>
    <row r="4894">
      <c r="A4894" s="235" t="s">
        <v>36138</v>
      </c>
      <c r="C4894" s="235" t="s">
        <v>36139</v>
      </c>
      <c r="D4894" s="235" t="s">
        <v>36140</v>
      </c>
      <c r="E4894" s="243">
        <v>6.49E13</v>
      </c>
      <c r="F4894" s="245"/>
      <c r="G4894" s="235" t="s">
        <v>36141</v>
      </c>
      <c r="H4894" s="235" t="s">
        <v>36142</v>
      </c>
      <c r="I4894" s="235" t="s">
        <v>36142</v>
      </c>
      <c r="J4894" s="235" t="s">
        <v>36143</v>
      </c>
      <c r="K4894" s="235" t="s">
        <v>36144</v>
      </c>
      <c r="N4894" s="235" t="s">
        <v>127</v>
      </c>
      <c r="O4894" s="235" t="s">
        <v>794</v>
      </c>
      <c r="P4894" s="238">
        <v>1.0</v>
      </c>
      <c r="Q4894" s="235" t="s">
        <v>627</v>
      </c>
      <c r="R4894" s="238">
        <v>243.81</v>
      </c>
      <c r="S4894" s="238">
        <v>12.19</v>
      </c>
      <c r="T4894" s="238">
        <v>0.0</v>
      </c>
      <c r="U4894" s="238">
        <v>0.0</v>
      </c>
      <c r="V4894" s="238">
        <v>0.0</v>
      </c>
      <c r="W4894" s="238">
        <v>0.0</v>
      </c>
      <c r="X4894" s="235" t="s">
        <v>628</v>
      </c>
      <c r="Z4894" s="245"/>
      <c r="AA4894" s="245"/>
      <c r="AB4894" s="245"/>
      <c r="AC4894" s="235" t="s">
        <v>36145</v>
      </c>
      <c r="AD4894" s="235" t="s">
        <v>1151</v>
      </c>
      <c r="AE4894" s="238">
        <v>700103.0</v>
      </c>
      <c r="AF4894" s="235" t="s">
        <v>631</v>
      </c>
      <c r="AG4894" s="245"/>
      <c r="AH4894" s="245"/>
      <c r="AI4894" s="245"/>
      <c r="AJ4894" s="245"/>
      <c r="AK4894" s="245"/>
      <c r="AL4894" s="245"/>
      <c r="AM4894" s="245"/>
      <c r="AN4894" s="245"/>
      <c r="AO4894" s="238">
        <v>0.0</v>
      </c>
      <c r="AP4894" s="238">
        <v>0.0</v>
      </c>
      <c r="AQ4894" s="235" t="s">
        <v>632</v>
      </c>
      <c r="AR4894" s="243">
        <v>2.02E11</v>
      </c>
      <c r="AS4894" s="235" t="s">
        <v>34510</v>
      </c>
      <c r="AT4894" s="235" t="s">
        <v>14</v>
      </c>
      <c r="AU4894" s="235" t="s">
        <v>634</v>
      </c>
      <c r="AV4894" s="246" t="s">
        <v>635</v>
      </c>
      <c r="AW4894" s="227"/>
      <c r="AX4894" s="227"/>
      <c r="AY4894" s="227"/>
      <c r="AZ4894" s="227"/>
      <c r="BA4894" s="227"/>
      <c r="BB4894" s="227"/>
      <c r="BC4894" s="227"/>
      <c r="BD4894" s="227"/>
      <c r="BE4894" s="227"/>
      <c r="BF4894" s="227"/>
    </row>
    <row r="4895">
      <c r="A4895" s="235" t="s">
        <v>36146</v>
      </c>
      <c r="C4895" s="235" t="s">
        <v>36147</v>
      </c>
      <c r="D4895" s="235" t="s">
        <v>36148</v>
      </c>
      <c r="E4895" s="243">
        <v>6.49E13</v>
      </c>
      <c r="F4895" s="245"/>
      <c r="G4895" s="235" t="s">
        <v>36149</v>
      </c>
      <c r="H4895" s="235" t="s">
        <v>36150</v>
      </c>
      <c r="I4895" s="235" t="s">
        <v>36150</v>
      </c>
      <c r="J4895" s="235" t="s">
        <v>36151</v>
      </c>
      <c r="K4895" s="235" t="s">
        <v>36152</v>
      </c>
      <c r="N4895" s="235" t="s">
        <v>141</v>
      </c>
      <c r="O4895" s="235" t="s">
        <v>342</v>
      </c>
      <c r="P4895" s="238">
        <v>1.0</v>
      </c>
      <c r="Q4895" s="235" t="s">
        <v>627</v>
      </c>
      <c r="R4895" s="238">
        <v>244.76</v>
      </c>
      <c r="S4895" s="238">
        <v>12.24</v>
      </c>
      <c r="T4895" s="238">
        <v>0.0</v>
      </c>
      <c r="U4895" s="238">
        <v>0.0</v>
      </c>
      <c r="V4895" s="238">
        <v>0.0</v>
      </c>
      <c r="W4895" s="238">
        <v>0.0</v>
      </c>
      <c r="X4895" s="235" t="s">
        <v>628</v>
      </c>
      <c r="Z4895" s="245"/>
      <c r="AA4895" s="245"/>
      <c r="AB4895" s="245"/>
      <c r="AC4895" s="235" t="s">
        <v>1792</v>
      </c>
      <c r="AD4895" s="235" t="s">
        <v>1077</v>
      </c>
      <c r="AE4895" s="238">
        <v>390004.0</v>
      </c>
      <c r="AF4895" s="235" t="s">
        <v>631</v>
      </c>
      <c r="AG4895" s="245"/>
      <c r="AH4895" s="245"/>
      <c r="AI4895" s="245"/>
      <c r="AJ4895" s="245"/>
      <c r="AK4895" s="245"/>
      <c r="AL4895" s="245"/>
      <c r="AM4895" s="245"/>
      <c r="AN4895" s="245"/>
      <c r="AO4895" s="238">
        <v>0.0</v>
      </c>
      <c r="AP4895" s="238">
        <v>0.0</v>
      </c>
      <c r="AQ4895" s="235" t="s">
        <v>632</v>
      </c>
      <c r="AR4895" s="243">
        <v>1.68E11</v>
      </c>
      <c r="AS4895" s="235" t="s">
        <v>35520</v>
      </c>
      <c r="AT4895" s="235" t="s">
        <v>5</v>
      </c>
      <c r="AU4895" s="235" t="s">
        <v>634</v>
      </c>
      <c r="AV4895" s="246" t="s">
        <v>635</v>
      </c>
      <c r="AW4895" s="227"/>
      <c r="AX4895" s="227"/>
      <c r="AY4895" s="227"/>
      <c r="AZ4895" s="227"/>
      <c r="BA4895" s="227"/>
      <c r="BB4895" s="227"/>
      <c r="BC4895" s="227"/>
      <c r="BD4895" s="227"/>
      <c r="BE4895" s="227"/>
      <c r="BF4895" s="227"/>
    </row>
    <row r="4896">
      <c r="A4896" s="235" t="s">
        <v>36153</v>
      </c>
      <c r="C4896" s="235" t="s">
        <v>36154</v>
      </c>
      <c r="D4896" s="235" t="s">
        <v>36155</v>
      </c>
      <c r="E4896" s="243">
        <v>6.49E13</v>
      </c>
      <c r="F4896" s="245"/>
      <c r="G4896" s="235" t="s">
        <v>36156</v>
      </c>
      <c r="H4896" s="235" t="s">
        <v>36157</v>
      </c>
      <c r="I4896" s="235" t="s">
        <v>36157</v>
      </c>
      <c r="J4896" s="235" t="s">
        <v>36158</v>
      </c>
      <c r="K4896" s="235" t="s">
        <v>36159</v>
      </c>
      <c r="N4896" s="235" t="s">
        <v>127</v>
      </c>
      <c r="O4896" s="235" t="s">
        <v>794</v>
      </c>
      <c r="P4896" s="238">
        <v>1.0</v>
      </c>
      <c r="Q4896" s="235" t="s">
        <v>627</v>
      </c>
      <c r="R4896" s="238">
        <v>243.8</v>
      </c>
      <c r="S4896" s="238">
        <v>12.2</v>
      </c>
      <c r="T4896" s="238">
        <v>38.1</v>
      </c>
      <c r="U4896" s="238">
        <v>1.9</v>
      </c>
      <c r="V4896" s="238">
        <v>0.0</v>
      </c>
      <c r="W4896" s="238">
        <v>0.0</v>
      </c>
      <c r="X4896" s="235" t="s">
        <v>628</v>
      </c>
      <c r="Z4896" s="245"/>
      <c r="AA4896" s="245"/>
      <c r="AB4896" s="245"/>
      <c r="AC4896" s="235" t="s">
        <v>1998</v>
      </c>
      <c r="AD4896" s="235" t="s">
        <v>928</v>
      </c>
      <c r="AE4896" s="238">
        <v>121010.0</v>
      </c>
      <c r="AF4896" s="235" t="s">
        <v>631</v>
      </c>
      <c r="AG4896" s="245"/>
      <c r="AH4896" s="245"/>
      <c r="AI4896" s="245"/>
      <c r="AJ4896" s="245"/>
      <c r="AK4896" s="245"/>
      <c r="AL4896" s="245"/>
      <c r="AM4896" s="245"/>
      <c r="AN4896" s="245"/>
      <c r="AO4896" s="238">
        <v>0.0</v>
      </c>
      <c r="AP4896" s="238">
        <v>-38.1</v>
      </c>
      <c r="AQ4896" s="235" t="s">
        <v>632</v>
      </c>
      <c r="AR4896" s="243">
        <v>3.7E11</v>
      </c>
      <c r="AS4896" s="235" t="s">
        <v>35520</v>
      </c>
      <c r="AT4896" s="235" t="s">
        <v>14</v>
      </c>
      <c r="AU4896" s="235" t="s">
        <v>634</v>
      </c>
      <c r="AV4896" s="246" t="s">
        <v>635</v>
      </c>
      <c r="AW4896" s="227"/>
      <c r="AX4896" s="227"/>
      <c r="AY4896" s="227"/>
      <c r="AZ4896" s="227"/>
      <c r="BA4896" s="227"/>
      <c r="BB4896" s="227"/>
      <c r="BC4896" s="227"/>
      <c r="BD4896" s="227"/>
      <c r="BE4896" s="227"/>
      <c r="BF4896" s="227"/>
    </row>
    <row r="4897">
      <c r="A4897" s="235" t="s">
        <v>36160</v>
      </c>
      <c r="C4897" s="235" t="s">
        <v>36161</v>
      </c>
      <c r="D4897" s="235" t="s">
        <v>36162</v>
      </c>
      <c r="E4897" s="243">
        <v>6.49E13</v>
      </c>
      <c r="F4897" s="245"/>
      <c r="G4897" s="235" t="s">
        <v>36163</v>
      </c>
      <c r="H4897" s="235" t="s">
        <v>36164</v>
      </c>
      <c r="I4897" s="235" t="s">
        <v>36164</v>
      </c>
      <c r="J4897" s="235" t="s">
        <v>36165</v>
      </c>
      <c r="K4897" s="235" t="s">
        <v>34360</v>
      </c>
      <c r="N4897" s="235" t="s">
        <v>53</v>
      </c>
      <c r="O4897" s="235" t="s">
        <v>512</v>
      </c>
      <c r="P4897" s="238">
        <v>1.0</v>
      </c>
      <c r="Q4897" s="235" t="s">
        <v>627</v>
      </c>
      <c r="R4897" s="238">
        <v>237.14</v>
      </c>
      <c r="S4897" s="238">
        <v>11.62</v>
      </c>
      <c r="T4897" s="238">
        <v>0.0</v>
      </c>
      <c r="U4897" s="238">
        <v>0.0</v>
      </c>
      <c r="V4897" s="238">
        <v>0.0</v>
      </c>
      <c r="W4897" s="238">
        <v>0.0</v>
      </c>
      <c r="X4897" s="235" t="s">
        <v>628</v>
      </c>
      <c r="Z4897" s="245"/>
      <c r="AA4897" s="245"/>
      <c r="AB4897" s="245"/>
      <c r="AC4897" s="235" t="s">
        <v>697</v>
      </c>
      <c r="AD4897" s="235" t="s">
        <v>698</v>
      </c>
      <c r="AE4897" s="238">
        <v>500089.0</v>
      </c>
      <c r="AF4897" s="235" t="s">
        <v>631</v>
      </c>
      <c r="AG4897" s="245"/>
      <c r="AH4897" s="245"/>
      <c r="AI4897" s="245"/>
      <c r="AJ4897" s="245"/>
      <c r="AK4897" s="245"/>
      <c r="AL4897" s="245"/>
      <c r="AM4897" s="245"/>
      <c r="AN4897" s="245"/>
      <c r="AO4897" s="238">
        <v>-4.74</v>
      </c>
      <c r="AP4897" s="238">
        <v>0.0</v>
      </c>
      <c r="AQ4897" s="235" t="s">
        <v>632</v>
      </c>
      <c r="AR4897" s="243">
        <v>3.7E11</v>
      </c>
      <c r="AS4897" s="235" t="s">
        <v>34510</v>
      </c>
      <c r="AT4897" s="235" t="s">
        <v>546</v>
      </c>
      <c r="AU4897" s="235" t="s">
        <v>634</v>
      </c>
      <c r="AV4897" s="246" t="s">
        <v>635</v>
      </c>
      <c r="AW4897" s="227"/>
      <c r="AX4897" s="227"/>
      <c r="AY4897" s="227"/>
      <c r="AZ4897" s="227"/>
      <c r="BA4897" s="227"/>
      <c r="BB4897" s="227"/>
      <c r="BC4897" s="227"/>
      <c r="BD4897" s="227"/>
      <c r="BE4897" s="227"/>
      <c r="BF4897" s="227"/>
    </row>
    <row r="4898">
      <c r="A4898" s="235" t="s">
        <v>36166</v>
      </c>
      <c r="C4898" s="235" t="s">
        <v>36167</v>
      </c>
      <c r="D4898" s="235" t="s">
        <v>36168</v>
      </c>
      <c r="E4898" s="243">
        <v>6.49E13</v>
      </c>
      <c r="F4898" s="245"/>
      <c r="G4898" s="235" t="s">
        <v>36169</v>
      </c>
      <c r="H4898" s="235" t="s">
        <v>36170</v>
      </c>
      <c r="I4898" s="235" t="s">
        <v>36170</v>
      </c>
      <c r="J4898" s="235" t="s">
        <v>36171</v>
      </c>
      <c r="K4898" s="235" t="s">
        <v>36172</v>
      </c>
      <c r="N4898" s="235" t="s">
        <v>154</v>
      </c>
      <c r="O4898" s="235" t="s">
        <v>766</v>
      </c>
      <c r="P4898" s="238">
        <v>1.0</v>
      </c>
      <c r="Q4898" s="235" t="s">
        <v>627</v>
      </c>
      <c r="R4898" s="238">
        <v>465.71</v>
      </c>
      <c r="S4898" s="238">
        <v>23.29</v>
      </c>
      <c r="T4898" s="238">
        <v>0.0</v>
      </c>
      <c r="U4898" s="238">
        <v>0.0</v>
      </c>
      <c r="V4898" s="238">
        <v>0.0</v>
      </c>
      <c r="W4898" s="238">
        <v>0.0</v>
      </c>
      <c r="X4898" s="235" t="s">
        <v>628</v>
      </c>
      <c r="Z4898" s="245"/>
      <c r="AA4898" s="245"/>
      <c r="AB4898" s="245"/>
      <c r="AC4898" s="235" t="s">
        <v>697</v>
      </c>
      <c r="AD4898" s="235" t="s">
        <v>698</v>
      </c>
      <c r="AE4898" s="238">
        <v>500034.0</v>
      </c>
      <c r="AF4898" s="235" t="s">
        <v>631</v>
      </c>
      <c r="AG4898" s="245"/>
      <c r="AH4898" s="245"/>
      <c r="AI4898" s="245"/>
      <c r="AJ4898" s="245"/>
      <c r="AK4898" s="245"/>
      <c r="AL4898" s="245"/>
      <c r="AM4898" s="245"/>
      <c r="AN4898" s="245"/>
      <c r="AO4898" s="238">
        <v>0.0</v>
      </c>
      <c r="AP4898" s="238">
        <v>0.0</v>
      </c>
      <c r="AQ4898" s="235" t="s">
        <v>632</v>
      </c>
      <c r="AR4898" s="243">
        <v>3.7E11</v>
      </c>
      <c r="AS4898" s="235" t="s">
        <v>34510</v>
      </c>
      <c r="AT4898" s="235" t="s">
        <v>11</v>
      </c>
      <c r="AU4898" s="235" t="s">
        <v>634</v>
      </c>
      <c r="AV4898" s="246" t="s">
        <v>635</v>
      </c>
      <c r="AW4898" s="227"/>
      <c r="AX4898" s="227"/>
      <c r="AY4898" s="227"/>
      <c r="AZ4898" s="227"/>
      <c r="BA4898" s="227"/>
      <c r="BB4898" s="227"/>
      <c r="BC4898" s="227"/>
      <c r="BD4898" s="227"/>
      <c r="BE4898" s="227"/>
      <c r="BF4898" s="227"/>
    </row>
    <row r="4899">
      <c r="A4899" s="235" t="s">
        <v>36173</v>
      </c>
      <c r="C4899" s="235" t="s">
        <v>36174</v>
      </c>
      <c r="D4899" s="235" t="s">
        <v>36175</v>
      </c>
      <c r="E4899" s="243">
        <v>6.49E13</v>
      </c>
      <c r="F4899" s="245"/>
      <c r="G4899" s="235" t="s">
        <v>36176</v>
      </c>
      <c r="H4899" s="235" t="s">
        <v>36177</v>
      </c>
      <c r="I4899" s="235" t="s">
        <v>36177</v>
      </c>
      <c r="J4899" s="235" t="s">
        <v>36178</v>
      </c>
      <c r="K4899" s="235" t="s">
        <v>36179</v>
      </c>
      <c r="N4899" s="235" t="s">
        <v>115</v>
      </c>
      <c r="O4899" s="235" t="s">
        <v>548</v>
      </c>
      <c r="P4899" s="238">
        <v>1.0</v>
      </c>
      <c r="Q4899" s="235" t="s">
        <v>627</v>
      </c>
      <c r="R4899" s="238">
        <v>246.67</v>
      </c>
      <c r="S4899" s="238">
        <v>12.33</v>
      </c>
      <c r="T4899" s="238">
        <v>0.0</v>
      </c>
      <c r="U4899" s="238">
        <v>0.0</v>
      </c>
      <c r="V4899" s="238">
        <v>0.0</v>
      </c>
      <c r="W4899" s="238">
        <v>0.0</v>
      </c>
      <c r="X4899" s="235" t="s">
        <v>628</v>
      </c>
      <c r="Z4899" s="245"/>
      <c r="AA4899" s="245"/>
      <c r="AB4899" s="245"/>
      <c r="AC4899" s="235" t="s">
        <v>36180</v>
      </c>
      <c r="AD4899" s="235" t="s">
        <v>3113</v>
      </c>
      <c r="AE4899" s="238">
        <v>495684.0</v>
      </c>
      <c r="AF4899" s="235" t="s">
        <v>631</v>
      </c>
      <c r="AG4899" s="245"/>
      <c r="AH4899" s="245"/>
      <c r="AI4899" s="245"/>
      <c r="AJ4899" s="245"/>
      <c r="AK4899" s="245"/>
      <c r="AL4899" s="245"/>
      <c r="AM4899" s="245"/>
      <c r="AN4899" s="245"/>
      <c r="AO4899" s="238">
        <v>0.0</v>
      </c>
      <c r="AP4899" s="238">
        <v>0.0</v>
      </c>
      <c r="AQ4899" s="235" t="s">
        <v>632</v>
      </c>
      <c r="AR4899" s="243">
        <v>3.7E11</v>
      </c>
      <c r="AS4899" s="235" t="s">
        <v>29883</v>
      </c>
      <c r="AT4899" s="235" t="s">
        <v>17</v>
      </c>
      <c r="AU4899" s="235" t="s">
        <v>634</v>
      </c>
      <c r="AV4899" s="246" t="s">
        <v>635</v>
      </c>
      <c r="AW4899" s="227"/>
      <c r="AX4899" s="227"/>
      <c r="AY4899" s="227"/>
      <c r="AZ4899" s="227"/>
      <c r="BA4899" s="227"/>
      <c r="BB4899" s="227"/>
      <c r="BC4899" s="227"/>
      <c r="BD4899" s="227"/>
      <c r="BE4899" s="227"/>
      <c r="BF4899" s="227"/>
    </row>
    <row r="4900">
      <c r="A4900" s="235" t="s">
        <v>36181</v>
      </c>
      <c r="C4900" s="235" t="s">
        <v>36182</v>
      </c>
      <c r="D4900" s="235" t="s">
        <v>36183</v>
      </c>
      <c r="E4900" s="243">
        <v>6.49E13</v>
      </c>
      <c r="F4900" s="245"/>
      <c r="G4900" s="235" t="s">
        <v>36184</v>
      </c>
      <c r="H4900" s="235" t="s">
        <v>36185</v>
      </c>
      <c r="I4900" s="235" t="s">
        <v>36186</v>
      </c>
      <c r="J4900" s="235" t="s">
        <v>36187</v>
      </c>
      <c r="K4900" s="235" t="s">
        <v>36188</v>
      </c>
      <c r="N4900" s="235" t="s">
        <v>154</v>
      </c>
      <c r="O4900" s="235" t="s">
        <v>766</v>
      </c>
      <c r="P4900" s="238">
        <v>1.0</v>
      </c>
      <c r="Q4900" s="235" t="s">
        <v>627</v>
      </c>
      <c r="R4900" s="238">
        <v>465.71</v>
      </c>
      <c r="S4900" s="238">
        <v>23.29</v>
      </c>
      <c r="T4900" s="238">
        <v>0.0</v>
      </c>
      <c r="U4900" s="238">
        <v>0.0</v>
      </c>
      <c r="V4900" s="238">
        <v>0.0</v>
      </c>
      <c r="W4900" s="238">
        <v>0.0</v>
      </c>
      <c r="X4900" s="235" t="s">
        <v>628</v>
      </c>
      <c r="Z4900" s="245"/>
      <c r="AA4900" s="245"/>
      <c r="AB4900" s="245"/>
      <c r="AC4900" s="235" t="s">
        <v>795</v>
      </c>
      <c r="AD4900" s="235" t="s">
        <v>796</v>
      </c>
      <c r="AE4900" s="238">
        <v>110016.0</v>
      </c>
      <c r="AF4900" s="235" t="s">
        <v>631</v>
      </c>
      <c r="AG4900" s="245"/>
      <c r="AH4900" s="245"/>
      <c r="AI4900" s="245"/>
      <c r="AJ4900" s="245"/>
      <c r="AK4900" s="245"/>
      <c r="AL4900" s="245"/>
      <c r="AM4900" s="245"/>
      <c r="AN4900" s="245"/>
      <c r="AO4900" s="238">
        <v>0.0</v>
      </c>
      <c r="AP4900" s="238">
        <v>0.0</v>
      </c>
      <c r="AQ4900" s="235" t="s">
        <v>632</v>
      </c>
      <c r="AR4900" s="243">
        <v>1.68E11</v>
      </c>
      <c r="AS4900" s="235" t="s">
        <v>35895</v>
      </c>
      <c r="AT4900" s="235" t="s">
        <v>533</v>
      </c>
      <c r="AU4900" s="235" t="s">
        <v>634</v>
      </c>
      <c r="AV4900" s="246" t="s">
        <v>635</v>
      </c>
      <c r="AW4900" s="227"/>
      <c r="AX4900" s="227"/>
      <c r="AY4900" s="227"/>
      <c r="AZ4900" s="227"/>
      <c r="BA4900" s="227"/>
      <c r="BB4900" s="227"/>
      <c r="BC4900" s="227"/>
      <c r="BD4900" s="227"/>
      <c r="BE4900" s="227"/>
      <c r="BF4900" s="227"/>
    </row>
    <row r="4901">
      <c r="A4901" s="235" t="s">
        <v>36189</v>
      </c>
      <c r="C4901" s="235" t="s">
        <v>36190</v>
      </c>
      <c r="D4901" s="235" t="s">
        <v>36191</v>
      </c>
      <c r="E4901" s="243">
        <v>6.49E13</v>
      </c>
      <c r="F4901" s="245"/>
      <c r="G4901" s="235" t="s">
        <v>36192</v>
      </c>
      <c r="H4901" s="235" t="s">
        <v>36193</v>
      </c>
      <c r="I4901" s="235" t="s">
        <v>36193</v>
      </c>
      <c r="J4901" s="235" t="s">
        <v>36194</v>
      </c>
      <c r="K4901" s="235" t="s">
        <v>36195</v>
      </c>
      <c r="N4901" s="235" t="s">
        <v>106</v>
      </c>
      <c r="O4901" s="235" t="s">
        <v>338</v>
      </c>
      <c r="P4901" s="238">
        <v>1.0</v>
      </c>
      <c r="Q4901" s="235" t="s">
        <v>627</v>
      </c>
      <c r="R4901" s="238">
        <v>246.67</v>
      </c>
      <c r="S4901" s="238">
        <v>12.08</v>
      </c>
      <c r="T4901" s="238">
        <v>0.0</v>
      </c>
      <c r="U4901" s="238">
        <v>0.0</v>
      </c>
      <c r="V4901" s="238">
        <v>0.0</v>
      </c>
      <c r="W4901" s="238">
        <v>0.0</v>
      </c>
      <c r="X4901" s="235" t="s">
        <v>628</v>
      </c>
      <c r="Z4901" s="245"/>
      <c r="AA4901" s="245"/>
      <c r="AB4901" s="245"/>
      <c r="AC4901" s="235" t="s">
        <v>785</v>
      </c>
      <c r="AD4901" s="235" t="s">
        <v>630</v>
      </c>
      <c r="AE4901" s="238">
        <v>201014.0</v>
      </c>
      <c r="AF4901" s="235" t="s">
        <v>631</v>
      </c>
      <c r="AG4901" s="245"/>
      <c r="AH4901" s="245"/>
      <c r="AI4901" s="245"/>
      <c r="AJ4901" s="245"/>
      <c r="AK4901" s="245"/>
      <c r="AL4901" s="245"/>
      <c r="AM4901" s="245"/>
      <c r="AN4901" s="245"/>
      <c r="AO4901" s="238">
        <v>-4.93</v>
      </c>
      <c r="AP4901" s="238">
        <v>0.0</v>
      </c>
      <c r="AQ4901" s="235" t="s">
        <v>632</v>
      </c>
      <c r="AR4901" s="243">
        <v>1.68E11</v>
      </c>
      <c r="AS4901" s="235" t="s">
        <v>35895</v>
      </c>
      <c r="AT4901" s="235" t="s">
        <v>14</v>
      </c>
      <c r="AU4901" s="235" t="s">
        <v>634</v>
      </c>
      <c r="AV4901" s="246" t="s">
        <v>635</v>
      </c>
      <c r="AW4901" s="227"/>
      <c r="AX4901" s="227"/>
      <c r="AY4901" s="227"/>
      <c r="AZ4901" s="227"/>
      <c r="BA4901" s="227"/>
      <c r="BB4901" s="227"/>
      <c r="BC4901" s="227"/>
      <c r="BD4901" s="227"/>
      <c r="BE4901" s="227"/>
      <c r="BF4901" s="227"/>
    </row>
    <row r="4902">
      <c r="A4902" s="235" t="s">
        <v>36196</v>
      </c>
      <c r="C4902" s="235" t="s">
        <v>36197</v>
      </c>
      <c r="D4902" s="235" t="s">
        <v>36198</v>
      </c>
      <c r="E4902" s="243">
        <v>6.49E13</v>
      </c>
      <c r="F4902" s="245"/>
      <c r="G4902" s="235" t="s">
        <v>36199</v>
      </c>
      <c r="H4902" s="235" t="s">
        <v>36200</v>
      </c>
      <c r="I4902" s="235" t="s">
        <v>36201</v>
      </c>
      <c r="J4902" s="235" t="s">
        <v>36202</v>
      </c>
      <c r="K4902" s="235" t="s">
        <v>36203</v>
      </c>
      <c r="N4902" s="235" t="s">
        <v>144</v>
      </c>
      <c r="O4902" s="235" t="s">
        <v>232</v>
      </c>
      <c r="P4902" s="238">
        <v>1.0</v>
      </c>
      <c r="Q4902" s="235" t="s">
        <v>627</v>
      </c>
      <c r="R4902" s="238">
        <v>665.71</v>
      </c>
      <c r="S4902" s="238">
        <v>33.29</v>
      </c>
      <c r="T4902" s="238">
        <v>0.0</v>
      </c>
      <c r="U4902" s="238">
        <v>0.0</v>
      </c>
      <c r="V4902" s="238">
        <v>0.0</v>
      </c>
      <c r="W4902" s="238">
        <v>0.0</v>
      </c>
      <c r="X4902" s="235" t="s">
        <v>628</v>
      </c>
      <c r="Z4902" s="245"/>
      <c r="AA4902" s="245"/>
      <c r="AB4902" s="245"/>
      <c r="AC4902" s="235" t="s">
        <v>10881</v>
      </c>
      <c r="AD4902" s="235" t="s">
        <v>645</v>
      </c>
      <c r="AE4902" s="238">
        <v>679122.0</v>
      </c>
      <c r="AF4902" s="235" t="s">
        <v>631</v>
      </c>
      <c r="AG4902" s="245"/>
      <c r="AH4902" s="245"/>
      <c r="AI4902" s="245"/>
      <c r="AJ4902" s="245"/>
      <c r="AK4902" s="245"/>
      <c r="AL4902" s="245"/>
      <c r="AM4902" s="245"/>
      <c r="AN4902" s="245"/>
      <c r="AO4902" s="238">
        <v>0.0</v>
      </c>
      <c r="AP4902" s="238">
        <v>0.0</v>
      </c>
      <c r="AQ4902" s="235" t="s">
        <v>632</v>
      </c>
      <c r="AR4902" s="243">
        <v>3.7E11</v>
      </c>
      <c r="AS4902" s="235" t="s">
        <v>35520</v>
      </c>
      <c r="AT4902" s="235" t="s">
        <v>155</v>
      </c>
      <c r="AU4902" s="235" t="s">
        <v>634</v>
      </c>
      <c r="AV4902" s="246" t="s">
        <v>635</v>
      </c>
      <c r="AW4902" s="227"/>
      <c r="AX4902" s="227"/>
      <c r="AY4902" s="227"/>
      <c r="AZ4902" s="227"/>
      <c r="BA4902" s="227"/>
      <c r="BB4902" s="227"/>
      <c r="BC4902" s="227"/>
      <c r="BD4902" s="227"/>
      <c r="BE4902" s="227"/>
      <c r="BF4902" s="227"/>
    </row>
    <row r="4903">
      <c r="A4903" s="235" t="s">
        <v>36204</v>
      </c>
      <c r="C4903" s="235" t="s">
        <v>36205</v>
      </c>
      <c r="D4903" s="235" t="s">
        <v>36206</v>
      </c>
      <c r="E4903" s="243">
        <v>6.49E13</v>
      </c>
      <c r="F4903" s="245"/>
      <c r="G4903" s="235" t="s">
        <v>36207</v>
      </c>
      <c r="H4903" s="235" t="s">
        <v>36208</v>
      </c>
      <c r="I4903" s="235" t="s">
        <v>36209</v>
      </c>
      <c r="J4903" s="235" t="s">
        <v>36210</v>
      </c>
      <c r="K4903" s="235" t="s">
        <v>36211</v>
      </c>
      <c r="N4903" s="235" t="s">
        <v>90</v>
      </c>
      <c r="O4903" s="235" t="s">
        <v>279</v>
      </c>
      <c r="P4903" s="238">
        <v>1.0</v>
      </c>
      <c r="Q4903" s="235" t="s">
        <v>627</v>
      </c>
      <c r="R4903" s="238">
        <v>243.8</v>
      </c>
      <c r="S4903" s="238">
        <v>12.2</v>
      </c>
      <c r="T4903" s="238">
        <v>0.0</v>
      </c>
      <c r="U4903" s="238">
        <v>0.0</v>
      </c>
      <c r="V4903" s="238">
        <v>0.0</v>
      </c>
      <c r="W4903" s="238">
        <v>0.0</v>
      </c>
      <c r="X4903" s="235" t="s">
        <v>628</v>
      </c>
      <c r="Z4903" s="245"/>
      <c r="AA4903" s="245"/>
      <c r="AB4903" s="245"/>
      <c r="AC4903" s="235" t="s">
        <v>1456</v>
      </c>
      <c r="AD4903" s="235" t="s">
        <v>928</v>
      </c>
      <c r="AE4903" s="238">
        <v>122505.0</v>
      </c>
      <c r="AF4903" s="235" t="s">
        <v>631</v>
      </c>
      <c r="AG4903" s="245"/>
      <c r="AH4903" s="245"/>
      <c r="AI4903" s="245"/>
      <c r="AJ4903" s="245"/>
      <c r="AK4903" s="245"/>
      <c r="AL4903" s="245"/>
      <c r="AM4903" s="245"/>
      <c r="AN4903" s="245"/>
      <c r="AO4903" s="238">
        <v>0.0</v>
      </c>
      <c r="AP4903" s="238">
        <v>0.0</v>
      </c>
      <c r="AQ4903" s="235" t="s">
        <v>632</v>
      </c>
      <c r="AR4903" s="243">
        <v>3.7E11</v>
      </c>
      <c r="AS4903" s="235" t="s">
        <v>35520</v>
      </c>
      <c r="AT4903" s="235" t="s">
        <v>14</v>
      </c>
      <c r="AU4903" s="235" t="s">
        <v>634</v>
      </c>
      <c r="AV4903" s="246" t="s">
        <v>635</v>
      </c>
      <c r="AW4903" s="227"/>
      <c r="AX4903" s="227"/>
      <c r="AY4903" s="227"/>
      <c r="AZ4903" s="227"/>
      <c r="BA4903" s="227"/>
      <c r="BB4903" s="227"/>
      <c r="BC4903" s="227"/>
      <c r="BD4903" s="227"/>
      <c r="BE4903" s="227"/>
      <c r="BF4903" s="227"/>
    </row>
    <row r="4904">
      <c r="A4904" s="235" t="s">
        <v>36212</v>
      </c>
      <c r="C4904" s="235" t="s">
        <v>36213</v>
      </c>
      <c r="D4904" s="235" t="s">
        <v>36214</v>
      </c>
      <c r="E4904" s="243">
        <v>6.49E13</v>
      </c>
      <c r="F4904" s="245"/>
      <c r="G4904" s="235" t="s">
        <v>36215</v>
      </c>
      <c r="H4904" s="235" t="s">
        <v>36216</v>
      </c>
      <c r="I4904" s="235" t="s">
        <v>36216</v>
      </c>
      <c r="J4904" s="235" t="s">
        <v>36217</v>
      </c>
      <c r="K4904" s="235" t="s">
        <v>36218</v>
      </c>
      <c r="N4904" s="235" t="s">
        <v>130</v>
      </c>
      <c r="O4904" s="235" t="s">
        <v>707</v>
      </c>
      <c r="P4904" s="238">
        <v>1.0</v>
      </c>
      <c r="Q4904" s="235" t="s">
        <v>627</v>
      </c>
      <c r="R4904" s="238">
        <v>243.8</v>
      </c>
      <c r="S4904" s="238">
        <v>12.2</v>
      </c>
      <c r="T4904" s="238">
        <v>38.1</v>
      </c>
      <c r="U4904" s="238">
        <v>1.9</v>
      </c>
      <c r="V4904" s="238">
        <v>0.0</v>
      </c>
      <c r="W4904" s="238">
        <v>0.0</v>
      </c>
      <c r="X4904" s="235" t="s">
        <v>628</v>
      </c>
      <c r="Z4904" s="245"/>
      <c r="AA4904" s="245"/>
      <c r="AB4904" s="245"/>
      <c r="AC4904" s="235" t="s">
        <v>36219</v>
      </c>
      <c r="AD4904" s="235" t="s">
        <v>845</v>
      </c>
      <c r="AE4904" s="238">
        <v>442001.0</v>
      </c>
      <c r="AF4904" s="235" t="s">
        <v>631</v>
      </c>
      <c r="AG4904" s="245"/>
      <c r="AH4904" s="245"/>
      <c r="AI4904" s="245"/>
      <c r="AJ4904" s="245"/>
      <c r="AK4904" s="245"/>
      <c r="AL4904" s="245"/>
      <c r="AM4904" s="245"/>
      <c r="AN4904" s="245"/>
      <c r="AO4904" s="238">
        <v>0.0</v>
      </c>
      <c r="AP4904" s="238">
        <v>-38.1</v>
      </c>
      <c r="AQ4904" s="235" t="s">
        <v>632</v>
      </c>
      <c r="AR4904" s="243">
        <v>3.7E11</v>
      </c>
      <c r="AS4904" s="235" t="s">
        <v>33466</v>
      </c>
      <c r="AT4904" s="235" t="s">
        <v>17</v>
      </c>
      <c r="AU4904" s="235" t="s">
        <v>634</v>
      </c>
      <c r="AV4904" s="246" t="s">
        <v>635</v>
      </c>
      <c r="AW4904" s="227"/>
      <c r="AX4904" s="227"/>
      <c r="AY4904" s="227"/>
      <c r="AZ4904" s="227"/>
      <c r="BA4904" s="227"/>
      <c r="BB4904" s="227"/>
      <c r="BC4904" s="227"/>
      <c r="BD4904" s="227"/>
      <c r="BE4904" s="227"/>
      <c r="BF4904" s="227"/>
    </row>
    <row r="4905">
      <c r="A4905" s="235" t="s">
        <v>36220</v>
      </c>
      <c r="C4905" s="235" t="s">
        <v>36221</v>
      </c>
      <c r="D4905" s="235" t="s">
        <v>36222</v>
      </c>
      <c r="E4905" s="243">
        <v>6.48E13</v>
      </c>
      <c r="F4905" s="245"/>
      <c r="G4905" s="235" t="s">
        <v>36223</v>
      </c>
      <c r="H4905" s="235" t="s">
        <v>36224</v>
      </c>
      <c r="I4905" s="235" t="s">
        <v>36224</v>
      </c>
      <c r="J4905" s="235" t="s">
        <v>36225</v>
      </c>
      <c r="K4905" s="235" t="s">
        <v>36226</v>
      </c>
      <c r="N4905" s="235" t="s">
        <v>726</v>
      </c>
      <c r="O4905" s="235" t="s">
        <v>727</v>
      </c>
      <c r="P4905" s="238">
        <v>1.0</v>
      </c>
      <c r="Q4905" s="235" t="s">
        <v>627</v>
      </c>
      <c r="R4905" s="238">
        <v>244.76</v>
      </c>
      <c r="S4905" s="238">
        <v>12.24</v>
      </c>
      <c r="T4905" s="238">
        <v>38.1</v>
      </c>
      <c r="U4905" s="238">
        <v>1.9</v>
      </c>
      <c r="V4905" s="238">
        <v>0.0</v>
      </c>
      <c r="W4905" s="238">
        <v>0.0</v>
      </c>
      <c r="X4905" s="235" t="s">
        <v>628</v>
      </c>
      <c r="Z4905" s="245"/>
      <c r="AA4905" s="245"/>
      <c r="AB4905" s="245"/>
      <c r="AC4905" s="235" t="s">
        <v>1720</v>
      </c>
      <c r="AD4905" s="235" t="s">
        <v>1086</v>
      </c>
      <c r="AE4905" s="238">
        <v>140401.0</v>
      </c>
      <c r="AF4905" s="235" t="s">
        <v>631</v>
      </c>
      <c r="AG4905" s="245"/>
      <c r="AH4905" s="245"/>
      <c r="AI4905" s="245"/>
      <c r="AJ4905" s="245"/>
      <c r="AK4905" s="245"/>
      <c r="AL4905" s="245"/>
      <c r="AM4905" s="245"/>
      <c r="AN4905" s="245"/>
      <c r="AO4905" s="238">
        <v>0.0</v>
      </c>
      <c r="AP4905" s="238">
        <v>-38.1</v>
      </c>
      <c r="AQ4905" s="235" t="s">
        <v>632</v>
      </c>
      <c r="AR4905" s="243">
        <v>3.7E11</v>
      </c>
      <c r="AS4905" s="235" t="s">
        <v>33466</v>
      </c>
      <c r="AT4905" s="235" t="s">
        <v>14</v>
      </c>
      <c r="AU4905" s="235" t="s">
        <v>634</v>
      </c>
      <c r="AV4905" s="246" t="s">
        <v>635</v>
      </c>
      <c r="AW4905" s="227"/>
      <c r="AX4905" s="227"/>
      <c r="AY4905" s="227"/>
      <c r="AZ4905" s="227"/>
      <c r="BA4905" s="227"/>
      <c r="BB4905" s="227"/>
      <c r="BC4905" s="227"/>
      <c r="BD4905" s="227"/>
      <c r="BE4905" s="227"/>
      <c r="BF4905" s="227"/>
    </row>
    <row r="4906">
      <c r="A4906" s="235" t="s">
        <v>36227</v>
      </c>
      <c r="C4906" s="235" t="s">
        <v>36228</v>
      </c>
      <c r="D4906" s="235" t="s">
        <v>36229</v>
      </c>
      <c r="E4906" s="243">
        <v>6.49E13</v>
      </c>
      <c r="F4906" s="245"/>
      <c r="G4906" s="235" t="s">
        <v>36230</v>
      </c>
      <c r="H4906" s="235" t="s">
        <v>36231</v>
      </c>
      <c r="I4906" s="235" t="s">
        <v>36231</v>
      </c>
      <c r="J4906" s="235" t="s">
        <v>36232</v>
      </c>
      <c r="K4906" s="235" t="s">
        <v>36233</v>
      </c>
      <c r="N4906" s="235" t="s">
        <v>82</v>
      </c>
      <c r="O4906" s="235" t="s">
        <v>889</v>
      </c>
      <c r="P4906" s="238">
        <v>1.0</v>
      </c>
      <c r="Q4906" s="235" t="s">
        <v>627</v>
      </c>
      <c r="R4906" s="238">
        <v>243.8</v>
      </c>
      <c r="S4906" s="238">
        <v>12.2</v>
      </c>
      <c r="T4906" s="238">
        <v>0.0</v>
      </c>
      <c r="U4906" s="238">
        <v>0.0</v>
      </c>
      <c r="V4906" s="238">
        <v>0.0</v>
      </c>
      <c r="W4906" s="238">
        <v>0.0</v>
      </c>
      <c r="X4906" s="235" t="s">
        <v>628</v>
      </c>
      <c r="Z4906" s="245"/>
      <c r="AA4906" s="245"/>
      <c r="AB4906" s="245"/>
      <c r="AC4906" s="235" t="s">
        <v>678</v>
      </c>
      <c r="AD4906" s="235" t="s">
        <v>679</v>
      </c>
      <c r="AE4906" s="238">
        <v>560067.0</v>
      </c>
      <c r="AF4906" s="235" t="s">
        <v>631</v>
      </c>
      <c r="AG4906" s="245"/>
      <c r="AH4906" s="245"/>
      <c r="AI4906" s="245"/>
      <c r="AJ4906" s="245"/>
      <c r="AK4906" s="245"/>
      <c r="AL4906" s="245"/>
      <c r="AM4906" s="245"/>
      <c r="AN4906" s="245"/>
      <c r="AO4906" s="238">
        <v>0.0</v>
      </c>
      <c r="AP4906" s="238">
        <v>0.0</v>
      </c>
      <c r="AQ4906" s="235" t="s">
        <v>632</v>
      </c>
      <c r="AR4906" s="243">
        <v>1.68E11</v>
      </c>
      <c r="AS4906" s="235" t="s">
        <v>35895</v>
      </c>
      <c r="AT4906" s="235" t="s">
        <v>11</v>
      </c>
      <c r="AU4906" s="235" t="s">
        <v>634</v>
      </c>
      <c r="AV4906" s="246" t="s">
        <v>635</v>
      </c>
      <c r="AW4906" s="227"/>
      <c r="AX4906" s="227"/>
      <c r="AY4906" s="227"/>
      <c r="AZ4906" s="227"/>
      <c r="BA4906" s="227"/>
      <c r="BB4906" s="227"/>
      <c r="BC4906" s="227"/>
      <c r="BD4906" s="227"/>
      <c r="BE4906" s="227"/>
      <c r="BF4906" s="227"/>
    </row>
    <row r="4907">
      <c r="A4907" s="235" t="s">
        <v>36234</v>
      </c>
      <c r="C4907" s="235" t="s">
        <v>36235</v>
      </c>
      <c r="D4907" s="235" t="s">
        <v>36236</v>
      </c>
      <c r="E4907" s="243">
        <v>6.49E13</v>
      </c>
      <c r="F4907" s="245"/>
      <c r="G4907" s="235" t="s">
        <v>36237</v>
      </c>
      <c r="H4907" s="235" t="s">
        <v>36238</v>
      </c>
      <c r="I4907" s="235" t="s">
        <v>36238</v>
      </c>
      <c r="J4907" s="235" t="s">
        <v>36239</v>
      </c>
      <c r="K4907" s="235" t="s">
        <v>36240</v>
      </c>
      <c r="N4907" s="235" t="s">
        <v>92</v>
      </c>
      <c r="O4907" s="235" t="s">
        <v>248</v>
      </c>
      <c r="P4907" s="238">
        <v>1.0</v>
      </c>
      <c r="Q4907" s="235" t="s">
        <v>627</v>
      </c>
      <c r="R4907" s="238">
        <v>244.76</v>
      </c>
      <c r="S4907" s="238">
        <v>12.24</v>
      </c>
      <c r="T4907" s="238">
        <v>38.1</v>
      </c>
      <c r="U4907" s="238">
        <v>1.9</v>
      </c>
      <c r="V4907" s="238">
        <v>0.0</v>
      </c>
      <c r="W4907" s="238">
        <v>0.0</v>
      </c>
      <c r="X4907" s="235" t="s">
        <v>628</v>
      </c>
      <c r="Z4907" s="245"/>
      <c r="AA4907" s="245"/>
      <c r="AB4907" s="245"/>
      <c r="AC4907" s="235" t="s">
        <v>749</v>
      </c>
      <c r="AD4907" s="235" t="s">
        <v>630</v>
      </c>
      <c r="AE4907" s="238">
        <v>201009.0</v>
      </c>
      <c r="AF4907" s="235" t="s">
        <v>631</v>
      </c>
      <c r="AG4907" s="245"/>
      <c r="AH4907" s="245"/>
      <c r="AI4907" s="245"/>
      <c r="AJ4907" s="245"/>
      <c r="AK4907" s="245"/>
      <c r="AL4907" s="245"/>
      <c r="AM4907" s="245"/>
      <c r="AN4907" s="245"/>
      <c r="AO4907" s="238">
        <v>0.0</v>
      </c>
      <c r="AP4907" s="238">
        <v>-38.1</v>
      </c>
      <c r="AQ4907" s="235" t="s">
        <v>632</v>
      </c>
      <c r="AR4907" s="243">
        <v>3.7E11</v>
      </c>
      <c r="AS4907" s="235" t="s">
        <v>35520</v>
      </c>
      <c r="AT4907" s="235" t="s">
        <v>13</v>
      </c>
      <c r="AU4907" s="235" t="s">
        <v>634</v>
      </c>
      <c r="AV4907" s="246" t="s">
        <v>635</v>
      </c>
      <c r="AW4907" s="227"/>
      <c r="AX4907" s="227"/>
      <c r="AY4907" s="227"/>
      <c r="AZ4907" s="227"/>
      <c r="BA4907" s="227"/>
      <c r="BB4907" s="227"/>
      <c r="BC4907" s="227"/>
      <c r="BD4907" s="227"/>
      <c r="BE4907" s="227"/>
      <c r="BF4907" s="227"/>
    </row>
    <row r="4908">
      <c r="A4908" s="235" t="s">
        <v>36241</v>
      </c>
      <c r="C4908" s="235" t="s">
        <v>36242</v>
      </c>
      <c r="D4908" s="235" t="s">
        <v>36243</v>
      </c>
      <c r="E4908" s="243">
        <v>6.49E13</v>
      </c>
      <c r="F4908" s="245"/>
      <c r="G4908" s="235" t="s">
        <v>36244</v>
      </c>
      <c r="H4908" s="235" t="s">
        <v>36245</v>
      </c>
      <c r="I4908" s="235" t="s">
        <v>36245</v>
      </c>
      <c r="J4908" s="235" t="s">
        <v>36246</v>
      </c>
      <c r="K4908" s="235" t="s">
        <v>36247</v>
      </c>
      <c r="N4908" s="235" t="s">
        <v>15</v>
      </c>
      <c r="O4908" s="235" t="s">
        <v>856</v>
      </c>
      <c r="P4908" s="238">
        <v>1.0</v>
      </c>
      <c r="Q4908" s="235" t="s">
        <v>627</v>
      </c>
      <c r="R4908" s="238">
        <v>360.95</v>
      </c>
      <c r="S4908" s="238">
        <v>18.05</v>
      </c>
      <c r="T4908" s="238">
        <v>38.1</v>
      </c>
      <c r="U4908" s="238">
        <v>1.9</v>
      </c>
      <c r="V4908" s="238">
        <v>0.0</v>
      </c>
      <c r="W4908" s="238">
        <v>0.0</v>
      </c>
      <c r="X4908" s="235" t="s">
        <v>628</v>
      </c>
      <c r="Z4908" s="245"/>
      <c r="AA4908" s="245"/>
      <c r="AB4908" s="245"/>
      <c r="AC4908" s="235" t="s">
        <v>36248</v>
      </c>
      <c r="AD4908" s="235" t="s">
        <v>645</v>
      </c>
      <c r="AE4908" s="238">
        <v>670645.0</v>
      </c>
      <c r="AF4908" s="235" t="s">
        <v>631</v>
      </c>
      <c r="AG4908" s="245"/>
      <c r="AH4908" s="245"/>
      <c r="AI4908" s="245"/>
      <c r="AJ4908" s="245"/>
      <c r="AK4908" s="245"/>
      <c r="AL4908" s="245"/>
      <c r="AM4908" s="245"/>
      <c r="AN4908" s="245"/>
      <c r="AO4908" s="238">
        <v>0.0</v>
      </c>
      <c r="AP4908" s="238">
        <v>-38.1</v>
      </c>
      <c r="AQ4908" s="235" t="s">
        <v>632</v>
      </c>
      <c r="AR4908" s="243">
        <v>3.7E11</v>
      </c>
      <c r="AS4908" s="235" t="s">
        <v>34510</v>
      </c>
      <c r="AT4908" s="235" t="s">
        <v>155</v>
      </c>
      <c r="AU4908" s="235" t="s">
        <v>634</v>
      </c>
      <c r="AV4908" s="246" t="s">
        <v>635</v>
      </c>
      <c r="AW4908" s="227"/>
      <c r="AX4908" s="227"/>
      <c r="AY4908" s="227"/>
      <c r="AZ4908" s="227"/>
      <c r="BA4908" s="227"/>
      <c r="BB4908" s="227"/>
      <c r="BC4908" s="227"/>
      <c r="BD4908" s="227"/>
      <c r="BE4908" s="227"/>
      <c r="BF4908" s="227"/>
    </row>
    <row r="4909">
      <c r="A4909" s="235" t="s">
        <v>36249</v>
      </c>
      <c r="C4909" s="235" t="s">
        <v>36250</v>
      </c>
      <c r="D4909" s="235" t="s">
        <v>36251</v>
      </c>
      <c r="E4909" s="243">
        <v>6.49E13</v>
      </c>
      <c r="F4909" s="245"/>
      <c r="G4909" s="235" t="s">
        <v>36252</v>
      </c>
      <c r="H4909" s="235" t="s">
        <v>36253</v>
      </c>
      <c r="I4909" s="235" t="s">
        <v>36253</v>
      </c>
      <c r="J4909" s="235" t="s">
        <v>36254</v>
      </c>
      <c r="K4909" s="235" t="s">
        <v>36255</v>
      </c>
      <c r="N4909" s="235" t="s">
        <v>143</v>
      </c>
      <c r="O4909" s="235" t="s">
        <v>220</v>
      </c>
      <c r="P4909" s="238">
        <v>1.0</v>
      </c>
      <c r="Q4909" s="235" t="s">
        <v>627</v>
      </c>
      <c r="R4909" s="238">
        <v>244.76</v>
      </c>
      <c r="S4909" s="238">
        <v>12.0</v>
      </c>
      <c r="T4909" s="238">
        <v>0.0</v>
      </c>
      <c r="U4909" s="238">
        <v>0.0</v>
      </c>
      <c r="V4909" s="238">
        <v>0.0</v>
      </c>
      <c r="W4909" s="238">
        <v>0.0</v>
      </c>
      <c r="X4909" s="235" t="s">
        <v>628</v>
      </c>
      <c r="Z4909" s="245"/>
      <c r="AA4909" s="245"/>
      <c r="AB4909" s="245"/>
      <c r="AC4909" s="235" t="s">
        <v>36256</v>
      </c>
      <c r="AD4909" s="235" t="s">
        <v>630</v>
      </c>
      <c r="AE4909" s="238">
        <v>210205.0</v>
      </c>
      <c r="AF4909" s="235" t="s">
        <v>631</v>
      </c>
      <c r="AG4909" s="245"/>
      <c r="AH4909" s="245"/>
      <c r="AI4909" s="245"/>
      <c r="AJ4909" s="245"/>
      <c r="AK4909" s="245"/>
      <c r="AL4909" s="245"/>
      <c r="AM4909" s="245"/>
      <c r="AN4909" s="245"/>
      <c r="AO4909" s="238">
        <v>-4.9</v>
      </c>
      <c r="AP4909" s="238">
        <v>0.0</v>
      </c>
      <c r="AQ4909" s="235" t="s">
        <v>632</v>
      </c>
      <c r="AR4909" s="243">
        <v>3.7E11</v>
      </c>
      <c r="AS4909" s="235" t="s">
        <v>31232</v>
      </c>
      <c r="AT4909" s="235" t="s">
        <v>533</v>
      </c>
      <c r="AU4909" s="235" t="s">
        <v>634</v>
      </c>
      <c r="AV4909" s="246" t="s">
        <v>635</v>
      </c>
      <c r="AW4909" s="227"/>
      <c r="AX4909" s="227"/>
      <c r="AY4909" s="227"/>
      <c r="AZ4909" s="227"/>
      <c r="BA4909" s="227"/>
      <c r="BB4909" s="227"/>
      <c r="BC4909" s="227"/>
      <c r="BD4909" s="227"/>
      <c r="BE4909" s="227"/>
      <c r="BF4909" s="227"/>
    </row>
    <row r="4910">
      <c r="A4910" s="235" t="s">
        <v>36257</v>
      </c>
      <c r="C4910" s="235" t="s">
        <v>36258</v>
      </c>
      <c r="D4910" s="235" t="s">
        <v>36259</v>
      </c>
      <c r="E4910" s="243">
        <v>6.49E13</v>
      </c>
      <c r="F4910" s="245"/>
      <c r="G4910" s="235" t="s">
        <v>36260</v>
      </c>
      <c r="H4910" s="235" t="s">
        <v>36261</v>
      </c>
      <c r="I4910" s="235" t="s">
        <v>36261</v>
      </c>
      <c r="J4910" s="235" t="s">
        <v>36262</v>
      </c>
      <c r="K4910" s="235" t="s">
        <v>36263</v>
      </c>
      <c r="N4910" s="235" t="s">
        <v>90</v>
      </c>
      <c r="O4910" s="235" t="s">
        <v>279</v>
      </c>
      <c r="P4910" s="238">
        <v>1.0</v>
      </c>
      <c r="Q4910" s="235" t="s">
        <v>627</v>
      </c>
      <c r="R4910" s="238">
        <v>243.81</v>
      </c>
      <c r="S4910" s="238">
        <v>12.19</v>
      </c>
      <c r="T4910" s="238">
        <v>38.1</v>
      </c>
      <c r="U4910" s="238">
        <v>1.9</v>
      </c>
      <c r="V4910" s="238">
        <v>0.0</v>
      </c>
      <c r="W4910" s="238">
        <v>0.0</v>
      </c>
      <c r="X4910" s="235" t="s">
        <v>628</v>
      </c>
      <c r="Z4910" s="245"/>
      <c r="AA4910" s="245"/>
      <c r="AB4910" s="245"/>
      <c r="AC4910" s="235" t="s">
        <v>795</v>
      </c>
      <c r="AD4910" s="235" t="s">
        <v>796</v>
      </c>
      <c r="AE4910" s="238">
        <v>110033.0</v>
      </c>
      <c r="AF4910" s="235" t="s">
        <v>631</v>
      </c>
      <c r="AG4910" s="245"/>
      <c r="AH4910" s="245"/>
      <c r="AI4910" s="245"/>
      <c r="AJ4910" s="245"/>
      <c r="AK4910" s="245"/>
      <c r="AL4910" s="245"/>
      <c r="AM4910" s="245"/>
      <c r="AN4910" s="245"/>
      <c r="AO4910" s="238">
        <v>0.0</v>
      </c>
      <c r="AP4910" s="238">
        <v>-38.1</v>
      </c>
      <c r="AQ4910" s="235" t="s">
        <v>632</v>
      </c>
      <c r="AR4910" s="243">
        <v>3.7E11</v>
      </c>
      <c r="AS4910" s="235" t="s">
        <v>35520</v>
      </c>
      <c r="AT4910" s="235" t="s">
        <v>13</v>
      </c>
      <c r="AU4910" s="235" t="s">
        <v>634</v>
      </c>
      <c r="AV4910" s="246" t="s">
        <v>635</v>
      </c>
      <c r="AW4910" s="227"/>
      <c r="AX4910" s="227"/>
      <c r="AY4910" s="227"/>
      <c r="AZ4910" s="227"/>
      <c r="BA4910" s="227"/>
      <c r="BB4910" s="227"/>
      <c r="BC4910" s="227"/>
      <c r="BD4910" s="227"/>
      <c r="BE4910" s="227"/>
      <c r="BF4910" s="227"/>
    </row>
    <row r="4911">
      <c r="A4911" s="235" t="s">
        <v>36264</v>
      </c>
      <c r="C4911" s="235" t="s">
        <v>36265</v>
      </c>
      <c r="D4911" s="235" t="s">
        <v>36266</v>
      </c>
      <c r="E4911" s="243">
        <v>6.49E13</v>
      </c>
      <c r="F4911" s="245"/>
      <c r="G4911" s="235" t="s">
        <v>36267</v>
      </c>
      <c r="H4911" s="235" t="s">
        <v>36268</v>
      </c>
      <c r="I4911" s="235" t="s">
        <v>36268</v>
      </c>
      <c r="J4911" s="235" t="s">
        <v>36269</v>
      </c>
      <c r="K4911" s="235" t="s">
        <v>36270</v>
      </c>
      <c r="N4911" s="235" t="s">
        <v>127</v>
      </c>
      <c r="O4911" s="235" t="s">
        <v>794</v>
      </c>
      <c r="P4911" s="238">
        <v>1.0</v>
      </c>
      <c r="Q4911" s="235" t="s">
        <v>627</v>
      </c>
      <c r="R4911" s="238">
        <v>243.81</v>
      </c>
      <c r="S4911" s="238">
        <v>12.19</v>
      </c>
      <c r="T4911" s="238">
        <v>0.0</v>
      </c>
      <c r="U4911" s="238">
        <v>0.0</v>
      </c>
      <c r="V4911" s="238">
        <v>0.0</v>
      </c>
      <c r="W4911" s="238">
        <v>0.0</v>
      </c>
      <c r="X4911" s="235" t="s">
        <v>628</v>
      </c>
      <c r="Z4911" s="245"/>
      <c r="AA4911" s="245"/>
      <c r="AB4911" s="245"/>
      <c r="AC4911" s="235" t="s">
        <v>795</v>
      </c>
      <c r="AD4911" s="235" t="s">
        <v>796</v>
      </c>
      <c r="AE4911" s="238">
        <v>110016.0</v>
      </c>
      <c r="AF4911" s="235" t="s">
        <v>631</v>
      </c>
      <c r="AG4911" s="245"/>
      <c r="AH4911" s="245"/>
      <c r="AI4911" s="245"/>
      <c r="AJ4911" s="245"/>
      <c r="AK4911" s="245"/>
      <c r="AL4911" s="245"/>
      <c r="AM4911" s="245"/>
      <c r="AN4911" s="245"/>
      <c r="AO4911" s="238">
        <v>0.0</v>
      </c>
      <c r="AP4911" s="238">
        <v>0.0</v>
      </c>
      <c r="AQ4911" s="235" t="s">
        <v>632</v>
      </c>
      <c r="AR4911" s="243">
        <v>1.68E11</v>
      </c>
      <c r="AS4911" s="235" t="s">
        <v>35895</v>
      </c>
      <c r="AT4911" s="235" t="s">
        <v>13</v>
      </c>
      <c r="AU4911" s="235" t="s">
        <v>634</v>
      </c>
      <c r="AV4911" s="246" t="s">
        <v>635</v>
      </c>
      <c r="AW4911" s="227"/>
      <c r="AX4911" s="227"/>
      <c r="AY4911" s="227"/>
      <c r="AZ4911" s="227"/>
      <c r="BA4911" s="227"/>
      <c r="BB4911" s="227"/>
      <c r="BC4911" s="227"/>
      <c r="BD4911" s="227"/>
      <c r="BE4911" s="227"/>
      <c r="BF4911" s="227"/>
    </row>
    <row r="4912">
      <c r="A4912" s="235" t="s">
        <v>36271</v>
      </c>
      <c r="C4912" s="235" t="s">
        <v>36272</v>
      </c>
      <c r="D4912" s="235" t="s">
        <v>36273</v>
      </c>
      <c r="E4912" s="243">
        <v>6.49E13</v>
      </c>
      <c r="F4912" s="245"/>
      <c r="G4912" s="235" t="s">
        <v>36274</v>
      </c>
      <c r="H4912" s="235" t="s">
        <v>36275</v>
      </c>
      <c r="I4912" s="235" t="s">
        <v>36275</v>
      </c>
      <c r="J4912" s="235" t="s">
        <v>36276</v>
      </c>
      <c r="K4912" s="235" t="s">
        <v>36277</v>
      </c>
      <c r="N4912" s="235" t="s">
        <v>110</v>
      </c>
      <c r="O4912" s="235" t="s">
        <v>364</v>
      </c>
      <c r="P4912" s="238">
        <v>1.0</v>
      </c>
      <c r="Q4912" s="235" t="s">
        <v>627</v>
      </c>
      <c r="R4912" s="238">
        <v>0.0</v>
      </c>
      <c r="S4912" s="238">
        <v>0.0</v>
      </c>
      <c r="T4912" s="238">
        <v>0.0</v>
      </c>
      <c r="U4912" s="238">
        <v>0.0</v>
      </c>
      <c r="V4912" s="238">
        <v>0.0</v>
      </c>
      <c r="W4912" s="238">
        <v>0.0</v>
      </c>
      <c r="X4912" s="235" t="s">
        <v>2433</v>
      </c>
      <c r="Y4912" s="245"/>
      <c r="Z4912" s="245"/>
      <c r="AA4912" s="245"/>
      <c r="AB4912" s="245"/>
      <c r="AC4912" s="235" t="s">
        <v>1095</v>
      </c>
      <c r="AD4912" s="235" t="s">
        <v>845</v>
      </c>
      <c r="AE4912" s="238">
        <v>410206.0</v>
      </c>
      <c r="AF4912" s="235" t="s">
        <v>631</v>
      </c>
      <c r="AG4912" s="245"/>
      <c r="AH4912" s="245"/>
      <c r="AI4912" s="245"/>
      <c r="AJ4912" s="245"/>
      <c r="AK4912" s="245"/>
      <c r="AL4912" s="245"/>
      <c r="AM4912" s="245"/>
      <c r="AN4912" s="245"/>
      <c r="AO4912" s="238">
        <v>0.0</v>
      </c>
      <c r="AP4912" s="238">
        <v>0.0</v>
      </c>
      <c r="AQ4912" s="235" t="s">
        <v>632</v>
      </c>
      <c r="AR4912" s="243">
        <v>3.7E11</v>
      </c>
      <c r="AS4912" s="235" t="s">
        <v>32455</v>
      </c>
      <c r="AT4912" s="235" t="s">
        <v>5</v>
      </c>
      <c r="AU4912" s="235" t="s">
        <v>634</v>
      </c>
      <c r="AV4912" s="246" t="s">
        <v>635</v>
      </c>
      <c r="AW4912" s="227"/>
      <c r="AX4912" s="227"/>
      <c r="AY4912" s="227"/>
      <c r="AZ4912" s="227"/>
      <c r="BA4912" s="227"/>
      <c r="BB4912" s="227"/>
      <c r="BC4912" s="227"/>
      <c r="BD4912" s="227"/>
      <c r="BE4912" s="227"/>
      <c r="BF4912" s="227"/>
    </row>
    <row r="4913">
      <c r="A4913" s="235" t="s">
        <v>36278</v>
      </c>
      <c r="C4913" s="235" t="s">
        <v>36279</v>
      </c>
      <c r="D4913" s="235" t="s">
        <v>36280</v>
      </c>
      <c r="E4913" s="243">
        <v>6.49E13</v>
      </c>
      <c r="F4913" s="245"/>
      <c r="G4913" s="235" t="s">
        <v>36281</v>
      </c>
      <c r="H4913" s="235" t="s">
        <v>36282</v>
      </c>
      <c r="I4913" s="235" t="s">
        <v>36282</v>
      </c>
      <c r="J4913" s="235" t="s">
        <v>36283</v>
      </c>
      <c r="K4913" s="235" t="s">
        <v>36284</v>
      </c>
      <c r="N4913" s="235" t="s">
        <v>962</v>
      </c>
      <c r="O4913" s="235" t="s">
        <v>963</v>
      </c>
      <c r="P4913" s="238">
        <v>1.0</v>
      </c>
      <c r="Q4913" s="235" t="s">
        <v>627</v>
      </c>
      <c r="R4913" s="238">
        <v>245.71</v>
      </c>
      <c r="S4913" s="238">
        <v>12.04</v>
      </c>
      <c r="T4913" s="238">
        <v>0.0</v>
      </c>
      <c r="U4913" s="238">
        <v>0.0</v>
      </c>
      <c r="V4913" s="238">
        <v>0.0</v>
      </c>
      <c r="W4913" s="238">
        <v>0.0</v>
      </c>
      <c r="X4913" s="235" t="s">
        <v>628</v>
      </c>
      <c r="Z4913" s="245"/>
      <c r="AA4913" s="245"/>
      <c r="AB4913" s="245"/>
      <c r="AC4913" s="235" t="s">
        <v>795</v>
      </c>
      <c r="AD4913" s="235" t="s">
        <v>796</v>
      </c>
      <c r="AE4913" s="238">
        <v>110025.0</v>
      </c>
      <c r="AF4913" s="235" t="s">
        <v>631</v>
      </c>
      <c r="AG4913" s="245"/>
      <c r="AH4913" s="245"/>
      <c r="AI4913" s="245"/>
      <c r="AJ4913" s="245"/>
      <c r="AK4913" s="245"/>
      <c r="AL4913" s="245"/>
      <c r="AM4913" s="245"/>
      <c r="AN4913" s="245"/>
      <c r="AO4913" s="238">
        <v>-4.91</v>
      </c>
      <c r="AP4913" s="238">
        <v>0.0</v>
      </c>
      <c r="AQ4913" s="235" t="s">
        <v>632</v>
      </c>
      <c r="AR4913" s="243">
        <v>1.68E11</v>
      </c>
      <c r="AS4913" s="235" t="s">
        <v>35895</v>
      </c>
      <c r="AT4913" s="235" t="s">
        <v>13</v>
      </c>
      <c r="AU4913" s="235" t="s">
        <v>634</v>
      </c>
      <c r="AV4913" s="246" t="s">
        <v>635</v>
      </c>
      <c r="AW4913" s="227"/>
      <c r="AX4913" s="227"/>
      <c r="AY4913" s="227"/>
      <c r="AZ4913" s="227"/>
      <c r="BA4913" s="227"/>
      <c r="BB4913" s="227"/>
      <c r="BC4913" s="227"/>
      <c r="BD4913" s="227"/>
      <c r="BE4913" s="227"/>
      <c r="BF4913" s="227"/>
    </row>
    <row r="4914">
      <c r="A4914" s="235" t="s">
        <v>36285</v>
      </c>
      <c r="C4914" s="235" t="s">
        <v>36286</v>
      </c>
      <c r="D4914" s="235" t="s">
        <v>36287</v>
      </c>
      <c r="E4914" s="243">
        <v>6.49E13</v>
      </c>
      <c r="F4914" s="245"/>
      <c r="G4914" s="235" t="s">
        <v>36288</v>
      </c>
      <c r="H4914" s="235" t="s">
        <v>36289</v>
      </c>
      <c r="I4914" s="235" t="s">
        <v>36290</v>
      </c>
      <c r="J4914" s="235" t="s">
        <v>36291</v>
      </c>
      <c r="K4914" s="235" t="s">
        <v>36292</v>
      </c>
      <c r="N4914" s="235" t="s">
        <v>130</v>
      </c>
      <c r="O4914" s="235" t="s">
        <v>707</v>
      </c>
      <c r="P4914" s="238">
        <v>1.0</v>
      </c>
      <c r="Q4914" s="235" t="s">
        <v>627</v>
      </c>
      <c r="R4914" s="238">
        <v>243.8</v>
      </c>
      <c r="S4914" s="238">
        <v>11.96</v>
      </c>
      <c r="T4914" s="238">
        <v>0.0</v>
      </c>
      <c r="U4914" s="238">
        <v>0.0</v>
      </c>
      <c r="V4914" s="238">
        <v>0.0</v>
      </c>
      <c r="W4914" s="238">
        <v>0.0</v>
      </c>
      <c r="X4914" s="235" t="s">
        <v>628</v>
      </c>
      <c r="Z4914" s="245"/>
      <c r="AA4914" s="245"/>
      <c r="AB4914" s="245"/>
      <c r="AC4914" s="235" t="s">
        <v>687</v>
      </c>
      <c r="AD4914" s="235" t="s">
        <v>666</v>
      </c>
      <c r="AE4914" s="238">
        <v>600095.0</v>
      </c>
      <c r="AF4914" s="235" t="s">
        <v>631</v>
      </c>
      <c r="AG4914" s="245"/>
      <c r="AH4914" s="245"/>
      <c r="AI4914" s="245"/>
      <c r="AJ4914" s="245"/>
      <c r="AK4914" s="245"/>
      <c r="AL4914" s="245"/>
      <c r="AM4914" s="245"/>
      <c r="AN4914" s="245"/>
      <c r="AO4914" s="238">
        <v>-4.88</v>
      </c>
      <c r="AP4914" s="238">
        <v>0.0</v>
      </c>
      <c r="AQ4914" s="235" t="s">
        <v>632</v>
      </c>
      <c r="AR4914" s="243">
        <v>3.7E11</v>
      </c>
      <c r="AS4914" s="235" t="s">
        <v>35520</v>
      </c>
      <c r="AT4914" s="235" t="s">
        <v>156</v>
      </c>
      <c r="AU4914" s="235" t="s">
        <v>634</v>
      </c>
      <c r="AV4914" s="246" t="s">
        <v>635</v>
      </c>
      <c r="AW4914" s="227"/>
      <c r="AX4914" s="227"/>
      <c r="AY4914" s="227"/>
      <c r="AZ4914" s="227"/>
      <c r="BA4914" s="227"/>
      <c r="BB4914" s="227"/>
      <c r="BC4914" s="227"/>
      <c r="BD4914" s="227"/>
      <c r="BE4914" s="227"/>
      <c r="BF4914" s="227"/>
    </row>
    <row r="4915">
      <c r="A4915" s="235" t="s">
        <v>36293</v>
      </c>
      <c r="C4915" s="235" t="s">
        <v>36294</v>
      </c>
      <c r="D4915" s="235" t="s">
        <v>36295</v>
      </c>
      <c r="E4915" s="243">
        <v>6.49E13</v>
      </c>
      <c r="F4915" s="245"/>
      <c r="G4915" s="235" t="s">
        <v>36296</v>
      </c>
      <c r="H4915" s="235" t="s">
        <v>36297</v>
      </c>
      <c r="I4915" s="235" t="s">
        <v>36289</v>
      </c>
      <c r="J4915" s="235" t="s">
        <v>36298</v>
      </c>
      <c r="K4915" s="235" t="s">
        <v>36299</v>
      </c>
      <c r="N4915" s="235" t="s">
        <v>71</v>
      </c>
      <c r="O4915" s="235" t="s">
        <v>240</v>
      </c>
      <c r="P4915" s="238">
        <v>1.0</v>
      </c>
      <c r="Q4915" s="235" t="s">
        <v>627</v>
      </c>
      <c r="R4915" s="238">
        <v>246.66</v>
      </c>
      <c r="S4915" s="238">
        <v>12.1</v>
      </c>
      <c r="T4915" s="238">
        <v>0.0</v>
      </c>
      <c r="U4915" s="238">
        <v>0.0</v>
      </c>
      <c r="V4915" s="238">
        <v>0.0</v>
      </c>
      <c r="W4915" s="238">
        <v>0.0</v>
      </c>
      <c r="X4915" s="235" t="s">
        <v>628</v>
      </c>
      <c r="Z4915" s="245"/>
      <c r="AA4915" s="245"/>
      <c r="AB4915" s="245"/>
      <c r="AC4915" s="235" t="s">
        <v>1058</v>
      </c>
      <c r="AD4915" s="235" t="s">
        <v>845</v>
      </c>
      <c r="AE4915" s="238">
        <v>400018.0</v>
      </c>
      <c r="AF4915" s="235" t="s">
        <v>631</v>
      </c>
      <c r="AG4915" s="245"/>
      <c r="AH4915" s="245"/>
      <c r="AI4915" s="245"/>
      <c r="AJ4915" s="245"/>
      <c r="AK4915" s="245"/>
      <c r="AL4915" s="245"/>
      <c r="AM4915" s="245"/>
      <c r="AN4915" s="245"/>
      <c r="AO4915" s="238">
        <v>-4.94</v>
      </c>
      <c r="AP4915" s="238">
        <v>0.0</v>
      </c>
      <c r="AQ4915" s="235" t="s">
        <v>632</v>
      </c>
      <c r="AR4915" s="243">
        <v>1.68E11</v>
      </c>
      <c r="AS4915" s="235" t="s">
        <v>35895</v>
      </c>
      <c r="AT4915" s="235" t="s">
        <v>16</v>
      </c>
      <c r="AU4915" s="235" t="s">
        <v>634</v>
      </c>
      <c r="AV4915" s="246" t="s">
        <v>635</v>
      </c>
      <c r="AW4915" s="227"/>
      <c r="AX4915" s="227"/>
      <c r="AY4915" s="227"/>
      <c r="AZ4915" s="227"/>
      <c r="BA4915" s="227"/>
      <c r="BB4915" s="227"/>
      <c r="BC4915" s="227"/>
      <c r="BD4915" s="227"/>
      <c r="BE4915" s="227"/>
      <c r="BF4915" s="227"/>
    </row>
    <row r="4916">
      <c r="A4916" s="235" t="s">
        <v>36300</v>
      </c>
      <c r="C4916" s="235" t="s">
        <v>36301</v>
      </c>
      <c r="D4916" s="235" t="s">
        <v>36302</v>
      </c>
      <c r="E4916" s="243">
        <v>6.49E13</v>
      </c>
      <c r="F4916" s="245"/>
      <c r="G4916" s="235" t="s">
        <v>36303</v>
      </c>
      <c r="H4916" s="235" t="s">
        <v>36304</v>
      </c>
      <c r="I4916" s="235" t="s">
        <v>36305</v>
      </c>
      <c r="J4916" s="235" t="s">
        <v>36306</v>
      </c>
      <c r="K4916" s="235" t="s">
        <v>28036</v>
      </c>
      <c r="N4916" s="235" t="s">
        <v>113</v>
      </c>
      <c r="O4916" s="235" t="s">
        <v>452</v>
      </c>
      <c r="P4916" s="238">
        <v>1.0</v>
      </c>
      <c r="Q4916" s="235" t="s">
        <v>627</v>
      </c>
      <c r="R4916" s="238">
        <v>246.66</v>
      </c>
      <c r="S4916" s="238">
        <v>12.1</v>
      </c>
      <c r="T4916" s="238">
        <v>0.0</v>
      </c>
      <c r="U4916" s="238">
        <v>0.0</v>
      </c>
      <c r="V4916" s="238">
        <v>0.0</v>
      </c>
      <c r="W4916" s="238">
        <v>0.0</v>
      </c>
      <c r="X4916" s="235" t="s">
        <v>628</v>
      </c>
      <c r="Z4916" s="245"/>
      <c r="AA4916" s="245"/>
      <c r="AB4916" s="245"/>
      <c r="AC4916" s="235" t="s">
        <v>1058</v>
      </c>
      <c r="AD4916" s="235" t="s">
        <v>845</v>
      </c>
      <c r="AE4916" s="238">
        <v>400014.0</v>
      </c>
      <c r="AF4916" s="235" t="s">
        <v>631</v>
      </c>
      <c r="AG4916" s="245"/>
      <c r="AH4916" s="245"/>
      <c r="AI4916" s="245"/>
      <c r="AJ4916" s="245"/>
      <c r="AK4916" s="245"/>
      <c r="AL4916" s="245"/>
      <c r="AM4916" s="245"/>
      <c r="AN4916" s="245"/>
      <c r="AO4916" s="238">
        <v>-4.94</v>
      </c>
      <c r="AP4916" s="238">
        <v>0.0</v>
      </c>
      <c r="AQ4916" s="235" t="s">
        <v>632</v>
      </c>
      <c r="AR4916" s="243">
        <v>1.68E11</v>
      </c>
      <c r="AS4916" s="235" t="s">
        <v>35895</v>
      </c>
      <c r="AT4916" s="235" t="s">
        <v>16</v>
      </c>
      <c r="AU4916" s="235" t="s">
        <v>634</v>
      </c>
      <c r="AV4916" s="246" t="s">
        <v>635</v>
      </c>
      <c r="AW4916" s="227"/>
      <c r="AX4916" s="227"/>
      <c r="AY4916" s="227"/>
      <c r="AZ4916" s="227"/>
      <c r="BA4916" s="227"/>
      <c r="BB4916" s="227"/>
      <c r="BC4916" s="227"/>
      <c r="BD4916" s="227"/>
      <c r="BE4916" s="227"/>
      <c r="BF4916" s="227"/>
    </row>
    <row r="4917">
      <c r="A4917" s="235" t="s">
        <v>36307</v>
      </c>
      <c r="C4917" s="235" t="s">
        <v>36308</v>
      </c>
      <c r="D4917" s="235" t="s">
        <v>36309</v>
      </c>
      <c r="E4917" s="243">
        <v>6.49E13</v>
      </c>
      <c r="F4917" s="245"/>
      <c r="G4917" s="235" t="s">
        <v>36310</v>
      </c>
      <c r="H4917" s="235" t="s">
        <v>36311</v>
      </c>
      <c r="I4917" s="235" t="s">
        <v>36311</v>
      </c>
      <c r="J4917" s="235" t="s">
        <v>36312</v>
      </c>
      <c r="K4917" s="235" t="s">
        <v>36313</v>
      </c>
      <c r="N4917" s="235" t="s">
        <v>41</v>
      </c>
      <c r="O4917" s="235" t="s">
        <v>291</v>
      </c>
      <c r="P4917" s="238">
        <v>1.0</v>
      </c>
      <c r="Q4917" s="235" t="s">
        <v>627</v>
      </c>
      <c r="R4917" s="238">
        <v>237.14</v>
      </c>
      <c r="S4917" s="238">
        <v>11.62</v>
      </c>
      <c r="T4917" s="238">
        <v>0.0</v>
      </c>
      <c r="U4917" s="238">
        <v>0.0</v>
      </c>
      <c r="V4917" s="238">
        <v>0.0</v>
      </c>
      <c r="W4917" s="238">
        <v>0.0</v>
      </c>
      <c r="X4917" s="235" t="s">
        <v>628</v>
      </c>
      <c r="Z4917" s="245"/>
      <c r="AA4917" s="245"/>
      <c r="AB4917" s="245"/>
      <c r="AC4917" s="235" t="s">
        <v>687</v>
      </c>
      <c r="AD4917" s="235" t="s">
        <v>666</v>
      </c>
      <c r="AE4917" s="238">
        <v>600092.0</v>
      </c>
      <c r="AF4917" s="235" t="s">
        <v>631</v>
      </c>
      <c r="AG4917" s="245"/>
      <c r="AH4917" s="245"/>
      <c r="AI4917" s="245"/>
      <c r="AJ4917" s="245"/>
      <c r="AK4917" s="245"/>
      <c r="AL4917" s="245"/>
      <c r="AM4917" s="245"/>
      <c r="AN4917" s="245"/>
      <c r="AO4917" s="238">
        <v>-4.74</v>
      </c>
      <c r="AP4917" s="238">
        <v>0.0</v>
      </c>
      <c r="AQ4917" s="235" t="s">
        <v>632</v>
      </c>
      <c r="AR4917" s="243">
        <v>1.68E11</v>
      </c>
      <c r="AS4917" s="235" t="s">
        <v>35895</v>
      </c>
      <c r="AT4917" s="235" t="s">
        <v>156</v>
      </c>
      <c r="AU4917" s="235" t="s">
        <v>634</v>
      </c>
      <c r="AV4917" s="246" t="s">
        <v>635</v>
      </c>
      <c r="AW4917" s="227"/>
      <c r="AX4917" s="227"/>
      <c r="AY4917" s="227"/>
      <c r="AZ4917" s="227"/>
      <c r="BA4917" s="227"/>
      <c r="BB4917" s="227"/>
      <c r="BC4917" s="227"/>
      <c r="BD4917" s="227"/>
      <c r="BE4917" s="227"/>
      <c r="BF4917" s="227"/>
    </row>
    <row r="4918">
      <c r="A4918" s="235" t="s">
        <v>36314</v>
      </c>
      <c r="C4918" s="235" t="s">
        <v>36315</v>
      </c>
      <c r="D4918" s="235" t="s">
        <v>36316</v>
      </c>
      <c r="E4918" s="243">
        <v>6.49E13</v>
      </c>
      <c r="F4918" s="245"/>
      <c r="G4918" s="235" t="s">
        <v>36317</v>
      </c>
      <c r="H4918" s="235" t="s">
        <v>36318</v>
      </c>
      <c r="I4918" s="235" t="s">
        <v>36318</v>
      </c>
      <c r="J4918" s="235" t="s">
        <v>36319</v>
      </c>
      <c r="K4918" s="235" t="s">
        <v>36320</v>
      </c>
      <c r="N4918" s="235" t="s">
        <v>78</v>
      </c>
      <c r="O4918" s="235" t="s">
        <v>360</v>
      </c>
      <c r="P4918" s="238">
        <v>1.0</v>
      </c>
      <c r="Q4918" s="235" t="s">
        <v>627</v>
      </c>
      <c r="R4918" s="238">
        <v>360.95</v>
      </c>
      <c r="S4918" s="238">
        <v>17.69</v>
      </c>
      <c r="T4918" s="238">
        <v>0.0</v>
      </c>
      <c r="U4918" s="238">
        <v>0.0</v>
      </c>
      <c r="V4918" s="238">
        <v>0.0</v>
      </c>
      <c r="W4918" s="238">
        <v>0.0</v>
      </c>
      <c r="X4918" s="235" t="s">
        <v>628</v>
      </c>
      <c r="Z4918" s="245"/>
      <c r="AA4918" s="245"/>
      <c r="AB4918" s="245"/>
      <c r="AC4918" s="235" t="s">
        <v>3449</v>
      </c>
      <c r="AD4918" s="235" t="s">
        <v>833</v>
      </c>
      <c r="AE4918" s="238">
        <v>533106.0</v>
      </c>
      <c r="AF4918" s="235" t="s">
        <v>631</v>
      </c>
      <c r="AG4918" s="245"/>
      <c r="AH4918" s="245"/>
      <c r="AI4918" s="245"/>
      <c r="AJ4918" s="245"/>
      <c r="AK4918" s="245"/>
      <c r="AL4918" s="245"/>
      <c r="AM4918" s="245"/>
      <c r="AN4918" s="245"/>
      <c r="AO4918" s="238">
        <v>-7.22</v>
      </c>
      <c r="AP4918" s="238">
        <v>0.0</v>
      </c>
      <c r="AQ4918" s="235" t="s">
        <v>632</v>
      </c>
      <c r="AR4918" s="243">
        <v>3.7E11</v>
      </c>
      <c r="AS4918" s="235" t="s">
        <v>33466</v>
      </c>
      <c r="AT4918" s="235" t="s">
        <v>156</v>
      </c>
      <c r="AU4918" s="235" t="s">
        <v>634</v>
      </c>
      <c r="AV4918" s="246" t="s">
        <v>635</v>
      </c>
      <c r="AW4918" s="227"/>
      <c r="AX4918" s="227"/>
      <c r="AY4918" s="227"/>
      <c r="AZ4918" s="227"/>
      <c r="BA4918" s="227"/>
      <c r="BB4918" s="227"/>
      <c r="BC4918" s="227"/>
      <c r="BD4918" s="227"/>
      <c r="BE4918" s="227"/>
      <c r="BF4918" s="227"/>
    </row>
    <row r="4919">
      <c r="A4919" s="235" t="s">
        <v>36321</v>
      </c>
      <c r="C4919" s="235" t="s">
        <v>36322</v>
      </c>
      <c r="D4919" s="235" t="s">
        <v>36323</v>
      </c>
      <c r="E4919" s="243">
        <v>6.49E13</v>
      </c>
      <c r="F4919" s="245"/>
      <c r="G4919" s="235" t="s">
        <v>36324</v>
      </c>
      <c r="H4919" s="235" t="s">
        <v>36325</v>
      </c>
      <c r="I4919" s="235" t="s">
        <v>36325</v>
      </c>
      <c r="J4919" s="235" t="s">
        <v>36326</v>
      </c>
      <c r="K4919" s="235" t="s">
        <v>36327</v>
      </c>
      <c r="N4919" s="235" t="s">
        <v>27</v>
      </c>
      <c r="O4919" s="235" t="s">
        <v>573</v>
      </c>
      <c r="P4919" s="238">
        <v>1.0</v>
      </c>
      <c r="Q4919" s="235" t="s">
        <v>627</v>
      </c>
      <c r="R4919" s="238">
        <v>360.96</v>
      </c>
      <c r="S4919" s="238">
        <v>18.04</v>
      </c>
      <c r="T4919" s="238">
        <v>0.0</v>
      </c>
      <c r="U4919" s="238">
        <v>0.0</v>
      </c>
      <c r="V4919" s="238">
        <v>0.0</v>
      </c>
      <c r="W4919" s="238">
        <v>0.0</v>
      </c>
      <c r="X4919" s="235" t="s">
        <v>628</v>
      </c>
      <c r="Z4919" s="245"/>
      <c r="AA4919" s="245"/>
      <c r="AB4919" s="245"/>
      <c r="AC4919" s="235" t="s">
        <v>36328</v>
      </c>
      <c r="AD4919" s="235" t="s">
        <v>845</v>
      </c>
      <c r="AE4919" s="238">
        <v>431509.0</v>
      </c>
      <c r="AF4919" s="235" t="s">
        <v>631</v>
      </c>
      <c r="AG4919" s="245"/>
      <c r="AH4919" s="245"/>
      <c r="AI4919" s="245"/>
      <c r="AJ4919" s="245"/>
      <c r="AK4919" s="245"/>
      <c r="AL4919" s="245"/>
      <c r="AM4919" s="245"/>
      <c r="AN4919" s="245"/>
      <c r="AO4919" s="238">
        <v>0.0</v>
      </c>
      <c r="AP4919" s="238">
        <v>0.0</v>
      </c>
      <c r="AQ4919" s="235" t="s">
        <v>1328</v>
      </c>
      <c r="AR4919" s="243">
        <v>1.34E13</v>
      </c>
      <c r="AS4919" s="235" t="s">
        <v>28482</v>
      </c>
      <c r="AT4919" s="235" t="s">
        <v>16</v>
      </c>
      <c r="AU4919" s="235" t="s">
        <v>634</v>
      </c>
      <c r="AV4919" s="246" t="s">
        <v>635</v>
      </c>
      <c r="AW4919" s="227"/>
      <c r="AX4919" s="227"/>
      <c r="AY4919" s="227"/>
      <c r="AZ4919" s="227"/>
      <c r="BA4919" s="227"/>
      <c r="BB4919" s="227"/>
      <c r="BC4919" s="227"/>
      <c r="BD4919" s="227"/>
      <c r="BE4919" s="227"/>
      <c r="BF4919" s="227"/>
    </row>
    <row r="4920">
      <c r="A4920" s="235" t="s">
        <v>36329</v>
      </c>
      <c r="C4920" s="235" t="s">
        <v>36330</v>
      </c>
      <c r="D4920" s="235" t="s">
        <v>36331</v>
      </c>
      <c r="E4920" s="243">
        <v>6.49E13</v>
      </c>
      <c r="F4920" s="245"/>
      <c r="G4920" s="235" t="s">
        <v>36332</v>
      </c>
      <c r="H4920" s="235" t="s">
        <v>36333</v>
      </c>
      <c r="I4920" s="235" t="s">
        <v>36333</v>
      </c>
      <c r="J4920" s="235" t="s">
        <v>36334</v>
      </c>
      <c r="K4920" s="235" t="s">
        <v>36335</v>
      </c>
      <c r="N4920" s="235" t="s">
        <v>117</v>
      </c>
      <c r="O4920" s="235" t="s">
        <v>334</v>
      </c>
      <c r="P4920" s="238">
        <v>1.0</v>
      </c>
      <c r="Q4920" s="235" t="s">
        <v>627</v>
      </c>
      <c r="R4920" s="238">
        <v>237.14</v>
      </c>
      <c r="S4920" s="238">
        <v>11.86</v>
      </c>
      <c r="T4920" s="238">
        <v>0.0</v>
      </c>
      <c r="U4920" s="238">
        <v>0.0</v>
      </c>
      <c r="V4920" s="238">
        <v>0.0</v>
      </c>
      <c r="W4920" s="238">
        <v>0.0</v>
      </c>
      <c r="X4920" s="235" t="s">
        <v>628</v>
      </c>
      <c r="Z4920" s="245"/>
      <c r="AA4920" s="245"/>
      <c r="AB4920" s="245"/>
      <c r="AC4920" s="235" t="s">
        <v>10173</v>
      </c>
      <c r="AD4920" s="235" t="s">
        <v>917</v>
      </c>
      <c r="AE4920" s="238">
        <v>313004.0</v>
      </c>
      <c r="AF4920" s="235" t="s">
        <v>631</v>
      </c>
      <c r="AG4920" s="245"/>
      <c r="AH4920" s="245"/>
      <c r="AI4920" s="245"/>
      <c r="AJ4920" s="245"/>
      <c r="AK4920" s="245"/>
      <c r="AL4920" s="245"/>
      <c r="AM4920" s="245"/>
      <c r="AN4920" s="245"/>
      <c r="AO4920" s="238">
        <v>0.0</v>
      </c>
      <c r="AP4920" s="238">
        <v>0.0</v>
      </c>
      <c r="AQ4920" s="235" t="s">
        <v>632</v>
      </c>
      <c r="AR4920" s="243">
        <v>3.7E11</v>
      </c>
      <c r="AS4920" s="235" t="s">
        <v>35520</v>
      </c>
      <c r="AT4920" s="235" t="s">
        <v>5</v>
      </c>
      <c r="AU4920" s="235" t="s">
        <v>634</v>
      </c>
      <c r="AV4920" s="246" t="s">
        <v>635</v>
      </c>
      <c r="AW4920" s="227"/>
      <c r="AX4920" s="227"/>
      <c r="AY4920" s="227"/>
      <c r="AZ4920" s="227"/>
      <c r="BA4920" s="227"/>
      <c r="BB4920" s="227"/>
      <c r="BC4920" s="227"/>
      <c r="BD4920" s="227"/>
      <c r="BE4920" s="227"/>
      <c r="BF4920" s="227"/>
    </row>
    <row r="4921">
      <c r="A4921" s="235" t="s">
        <v>36336</v>
      </c>
      <c r="C4921" s="235" t="s">
        <v>36337</v>
      </c>
      <c r="D4921" s="235" t="s">
        <v>36338</v>
      </c>
      <c r="E4921" s="243">
        <v>6.49E13</v>
      </c>
      <c r="F4921" s="245"/>
      <c r="G4921" s="235" t="s">
        <v>36339</v>
      </c>
      <c r="H4921" s="235" t="s">
        <v>36340</v>
      </c>
      <c r="I4921" s="235" t="s">
        <v>36341</v>
      </c>
      <c r="J4921" s="235" t="s">
        <v>36342</v>
      </c>
      <c r="K4921" s="235" t="s">
        <v>30370</v>
      </c>
      <c r="N4921" s="235" t="s">
        <v>144</v>
      </c>
      <c r="O4921" s="235" t="s">
        <v>232</v>
      </c>
      <c r="P4921" s="238">
        <v>1.0</v>
      </c>
      <c r="Q4921" s="235" t="s">
        <v>627</v>
      </c>
      <c r="R4921" s="238">
        <v>665.72</v>
      </c>
      <c r="S4921" s="238">
        <v>33.28</v>
      </c>
      <c r="T4921" s="238">
        <v>0.0</v>
      </c>
      <c r="U4921" s="238">
        <v>0.0</v>
      </c>
      <c r="V4921" s="238">
        <v>0.0</v>
      </c>
      <c r="W4921" s="238">
        <v>0.0</v>
      </c>
      <c r="X4921" s="235" t="s">
        <v>628</v>
      </c>
      <c r="Z4921" s="245"/>
      <c r="AA4921" s="245"/>
      <c r="AB4921" s="245"/>
      <c r="AC4921" s="235" t="s">
        <v>678</v>
      </c>
      <c r="AD4921" s="235" t="s">
        <v>679</v>
      </c>
      <c r="AE4921" s="238">
        <v>560066.0</v>
      </c>
      <c r="AF4921" s="235" t="s">
        <v>631</v>
      </c>
      <c r="AG4921" s="245"/>
      <c r="AH4921" s="245"/>
      <c r="AI4921" s="245"/>
      <c r="AJ4921" s="245"/>
      <c r="AK4921" s="245"/>
      <c r="AL4921" s="245"/>
      <c r="AM4921" s="245"/>
      <c r="AN4921" s="245"/>
      <c r="AO4921" s="238">
        <v>0.0</v>
      </c>
      <c r="AP4921" s="238">
        <v>0.0</v>
      </c>
      <c r="AQ4921" s="235" t="s">
        <v>632</v>
      </c>
      <c r="AR4921" s="243">
        <v>1.68E11</v>
      </c>
      <c r="AS4921" s="235" t="s">
        <v>35895</v>
      </c>
      <c r="AT4921" s="235" t="s">
        <v>9</v>
      </c>
      <c r="AU4921" s="235" t="s">
        <v>634</v>
      </c>
      <c r="AV4921" s="246" t="s">
        <v>635</v>
      </c>
      <c r="AW4921" s="227"/>
      <c r="AX4921" s="227"/>
      <c r="AY4921" s="227"/>
      <c r="AZ4921" s="227"/>
      <c r="BA4921" s="227"/>
      <c r="BB4921" s="227"/>
      <c r="BC4921" s="227"/>
      <c r="BD4921" s="227"/>
      <c r="BE4921" s="227"/>
      <c r="BF4921" s="227"/>
    </row>
    <row r="4922">
      <c r="A4922" s="235" t="s">
        <v>36343</v>
      </c>
      <c r="C4922" s="235" t="s">
        <v>36344</v>
      </c>
      <c r="D4922" s="235" t="s">
        <v>36345</v>
      </c>
      <c r="E4922" s="243">
        <v>6.49E13</v>
      </c>
      <c r="F4922" s="245"/>
      <c r="G4922" s="235" t="s">
        <v>36346</v>
      </c>
      <c r="H4922" s="235" t="s">
        <v>36340</v>
      </c>
      <c r="I4922" s="235" t="s">
        <v>36340</v>
      </c>
      <c r="J4922" s="235" t="s">
        <v>36347</v>
      </c>
      <c r="K4922" s="235" t="s">
        <v>36348</v>
      </c>
      <c r="N4922" s="235" t="s">
        <v>556</v>
      </c>
      <c r="O4922" s="235" t="s">
        <v>555</v>
      </c>
      <c r="P4922" s="238">
        <v>1.0</v>
      </c>
      <c r="Q4922" s="235" t="s">
        <v>627</v>
      </c>
      <c r="R4922" s="238">
        <v>246.66</v>
      </c>
      <c r="S4922" s="238">
        <v>12.1</v>
      </c>
      <c r="T4922" s="238">
        <v>0.0</v>
      </c>
      <c r="U4922" s="238">
        <v>0.0</v>
      </c>
      <c r="V4922" s="238">
        <v>0.0</v>
      </c>
      <c r="W4922" s="238">
        <v>0.0</v>
      </c>
      <c r="X4922" s="235" t="s">
        <v>628</v>
      </c>
      <c r="Z4922" s="245"/>
      <c r="AA4922" s="245"/>
      <c r="AB4922" s="245"/>
      <c r="AC4922" s="235" t="s">
        <v>2647</v>
      </c>
      <c r="AD4922" s="235" t="s">
        <v>845</v>
      </c>
      <c r="AE4922" s="238">
        <v>401107.0</v>
      </c>
      <c r="AF4922" s="235" t="s">
        <v>631</v>
      </c>
      <c r="AG4922" s="245"/>
      <c r="AH4922" s="245"/>
      <c r="AI4922" s="245"/>
      <c r="AJ4922" s="245"/>
      <c r="AK4922" s="245"/>
      <c r="AL4922" s="245"/>
      <c r="AM4922" s="245"/>
      <c r="AN4922" s="245"/>
      <c r="AO4922" s="238">
        <v>-4.94</v>
      </c>
      <c r="AP4922" s="238">
        <v>0.0</v>
      </c>
      <c r="AQ4922" s="235" t="s">
        <v>632</v>
      </c>
      <c r="AR4922" s="243">
        <v>3.7E11</v>
      </c>
      <c r="AS4922" s="235" t="s">
        <v>35520</v>
      </c>
      <c r="AT4922" s="235" t="s">
        <v>16</v>
      </c>
      <c r="AU4922" s="235" t="s">
        <v>634</v>
      </c>
      <c r="AV4922" s="246" t="s">
        <v>635</v>
      </c>
      <c r="AW4922" s="227"/>
      <c r="AX4922" s="227"/>
      <c r="AY4922" s="227"/>
      <c r="AZ4922" s="227"/>
      <c r="BA4922" s="227"/>
      <c r="BB4922" s="227"/>
      <c r="BC4922" s="227"/>
      <c r="BD4922" s="227"/>
      <c r="BE4922" s="227"/>
      <c r="BF4922" s="227"/>
    </row>
    <row r="4923">
      <c r="A4923" s="235" t="s">
        <v>36349</v>
      </c>
      <c r="C4923" s="235" t="s">
        <v>36350</v>
      </c>
      <c r="D4923" s="235" t="s">
        <v>36351</v>
      </c>
      <c r="E4923" s="243">
        <v>6.49E13</v>
      </c>
      <c r="F4923" s="245"/>
      <c r="G4923" s="235" t="s">
        <v>36352</v>
      </c>
      <c r="H4923" s="235" t="s">
        <v>36353</v>
      </c>
      <c r="I4923" s="235" t="s">
        <v>36353</v>
      </c>
      <c r="J4923" s="235" t="s">
        <v>36354</v>
      </c>
      <c r="K4923" s="235" t="s">
        <v>36355</v>
      </c>
      <c r="N4923" s="235" t="s">
        <v>85</v>
      </c>
      <c r="O4923" s="235" t="s">
        <v>872</v>
      </c>
      <c r="P4923" s="238">
        <v>1.0</v>
      </c>
      <c r="Q4923" s="235" t="s">
        <v>627</v>
      </c>
      <c r="R4923" s="238">
        <v>243.8</v>
      </c>
      <c r="S4923" s="238">
        <v>12.2</v>
      </c>
      <c r="T4923" s="238">
        <v>0.0</v>
      </c>
      <c r="U4923" s="238">
        <v>0.0</v>
      </c>
      <c r="V4923" s="238">
        <v>0.0</v>
      </c>
      <c r="W4923" s="238">
        <v>0.0</v>
      </c>
      <c r="X4923" s="235" t="s">
        <v>628</v>
      </c>
      <c r="Z4923" s="245"/>
      <c r="AA4923" s="245"/>
      <c r="AB4923" s="245"/>
      <c r="AC4923" s="235" t="s">
        <v>1255</v>
      </c>
      <c r="AD4923" s="235" t="s">
        <v>845</v>
      </c>
      <c r="AE4923" s="238">
        <v>400603.0</v>
      </c>
      <c r="AF4923" s="235" t="s">
        <v>631</v>
      </c>
      <c r="AG4923" s="245"/>
      <c r="AH4923" s="245"/>
      <c r="AI4923" s="245"/>
      <c r="AJ4923" s="245"/>
      <c r="AK4923" s="245"/>
      <c r="AL4923" s="245"/>
      <c r="AM4923" s="245"/>
      <c r="AN4923" s="245"/>
      <c r="AO4923" s="238">
        <v>0.0</v>
      </c>
      <c r="AP4923" s="238">
        <v>0.0</v>
      </c>
      <c r="AQ4923" s="235" t="s">
        <v>632</v>
      </c>
      <c r="AR4923" s="243">
        <v>3.7E11</v>
      </c>
      <c r="AS4923" s="235" t="s">
        <v>35520</v>
      </c>
      <c r="AT4923" s="235" t="s">
        <v>17</v>
      </c>
      <c r="AU4923" s="235" t="s">
        <v>634</v>
      </c>
      <c r="AV4923" s="246" t="s">
        <v>635</v>
      </c>
      <c r="AW4923" s="227"/>
      <c r="AX4923" s="227"/>
      <c r="AY4923" s="227"/>
      <c r="AZ4923" s="227"/>
      <c r="BA4923" s="227"/>
      <c r="BB4923" s="227"/>
      <c r="BC4923" s="227"/>
      <c r="BD4923" s="227"/>
      <c r="BE4923" s="227"/>
      <c r="BF4923" s="227"/>
    </row>
    <row r="4924">
      <c r="A4924" s="235" t="s">
        <v>36356</v>
      </c>
      <c r="C4924" s="235" t="s">
        <v>36357</v>
      </c>
      <c r="D4924" s="235" t="s">
        <v>36358</v>
      </c>
      <c r="E4924" s="243">
        <v>6.49E13</v>
      </c>
      <c r="F4924" s="245"/>
      <c r="G4924" s="235" t="s">
        <v>36359</v>
      </c>
      <c r="H4924" s="235" t="s">
        <v>36360</v>
      </c>
      <c r="I4924" s="235" t="s">
        <v>36360</v>
      </c>
      <c r="J4924" s="235" t="s">
        <v>36361</v>
      </c>
      <c r="K4924" s="235" t="s">
        <v>36362</v>
      </c>
      <c r="N4924" s="235" t="s">
        <v>144</v>
      </c>
      <c r="O4924" s="235" t="s">
        <v>232</v>
      </c>
      <c r="P4924" s="238">
        <v>1.0</v>
      </c>
      <c r="Q4924" s="235" t="s">
        <v>627</v>
      </c>
      <c r="R4924" s="238">
        <v>665.71</v>
      </c>
      <c r="S4924" s="238">
        <v>33.29</v>
      </c>
      <c r="T4924" s="238">
        <v>0.0</v>
      </c>
      <c r="U4924" s="238">
        <v>0.0</v>
      </c>
      <c r="V4924" s="238">
        <v>0.0</v>
      </c>
      <c r="W4924" s="238">
        <v>0.0</v>
      </c>
      <c r="X4924" s="235" t="s">
        <v>628</v>
      </c>
      <c r="Z4924" s="245"/>
      <c r="AA4924" s="245"/>
      <c r="AB4924" s="245"/>
      <c r="AC4924" s="235" t="s">
        <v>1058</v>
      </c>
      <c r="AD4924" s="235" t="s">
        <v>845</v>
      </c>
      <c r="AE4924" s="238">
        <v>400095.0</v>
      </c>
      <c r="AF4924" s="235" t="s">
        <v>631</v>
      </c>
      <c r="AG4924" s="245"/>
      <c r="AH4924" s="245"/>
      <c r="AI4924" s="245"/>
      <c r="AJ4924" s="245"/>
      <c r="AK4924" s="245"/>
      <c r="AL4924" s="245"/>
      <c r="AM4924" s="245"/>
      <c r="AN4924" s="245"/>
      <c r="AO4924" s="238">
        <v>0.0</v>
      </c>
      <c r="AP4924" s="238">
        <v>0.0</v>
      </c>
      <c r="AQ4924" s="235" t="s">
        <v>632</v>
      </c>
      <c r="AR4924" s="243">
        <v>2.02E11</v>
      </c>
      <c r="AS4924" s="235" t="s">
        <v>35520</v>
      </c>
      <c r="AT4924" s="235" t="s">
        <v>14</v>
      </c>
      <c r="AU4924" s="235" t="s">
        <v>634</v>
      </c>
      <c r="AV4924" s="246" t="s">
        <v>635</v>
      </c>
      <c r="AW4924" s="227"/>
      <c r="AX4924" s="227"/>
      <c r="AY4924" s="227"/>
      <c r="AZ4924" s="227"/>
      <c r="BA4924" s="227"/>
      <c r="BB4924" s="227"/>
      <c r="BC4924" s="227"/>
      <c r="BD4924" s="227"/>
      <c r="BE4924" s="227"/>
      <c r="BF4924" s="227"/>
    </row>
    <row r="4925">
      <c r="A4925" s="235" t="s">
        <v>36363</v>
      </c>
      <c r="C4925" s="235" t="s">
        <v>36364</v>
      </c>
      <c r="D4925" s="235" t="s">
        <v>36365</v>
      </c>
      <c r="E4925" s="243">
        <v>6.49E13</v>
      </c>
      <c r="F4925" s="245"/>
      <c r="G4925" s="235" t="s">
        <v>36366</v>
      </c>
      <c r="H4925" s="235" t="s">
        <v>36367</v>
      </c>
      <c r="I4925" s="235" t="s">
        <v>36367</v>
      </c>
      <c r="J4925" s="235" t="s">
        <v>36368</v>
      </c>
      <c r="K4925" s="235" t="s">
        <v>36369</v>
      </c>
      <c r="N4925" s="235" t="s">
        <v>68</v>
      </c>
      <c r="O4925" s="235" t="s">
        <v>208</v>
      </c>
      <c r="P4925" s="238">
        <v>1.0</v>
      </c>
      <c r="Q4925" s="235" t="s">
        <v>627</v>
      </c>
      <c r="R4925" s="238">
        <v>246.67</v>
      </c>
      <c r="S4925" s="238">
        <v>12.08</v>
      </c>
      <c r="T4925" s="238">
        <v>0.0</v>
      </c>
      <c r="U4925" s="238">
        <v>0.0</v>
      </c>
      <c r="V4925" s="238">
        <v>0.0</v>
      </c>
      <c r="W4925" s="238">
        <v>0.0</v>
      </c>
      <c r="X4925" s="235" t="s">
        <v>628</v>
      </c>
      <c r="Z4925" s="245"/>
      <c r="AA4925" s="245"/>
      <c r="AB4925" s="245"/>
      <c r="AC4925" s="235" t="s">
        <v>6414</v>
      </c>
      <c r="AD4925" s="235" t="s">
        <v>645</v>
      </c>
      <c r="AE4925" s="238">
        <v>678001.0</v>
      </c>
      <c r="AF4925" s="235" t="s">
        <v>631</v>
      </c>
      <c r="AG4925" s="245"/>
      <c r="AH4925" s="245"/>
      <c r="AI4925" s="245"/>
      <c r="AJ4925" s="245"/>
      <c r="AK4925" s="245"/>
      <c r="AL4925" s="245"/>
      <c r="AM4925" s="245"/>
      <c r="AN4925" s="245"/>
      <c r="AO4925" s="238">
        <v>-4.93</v>
      </c>
      <c r="AP4925" s="238">
        <v>0.0</v>
      </c>
      <c r="AQ4925" s="235" t="s">
        <v>632</v>
      </c>
      <c r="AR4925" s="243">
        <v>3.7E11</v>
      </c>
      <c r="AS4925" s="235" t="s">
        <v>34510</v>
      </c>
      <c r="AT4925" s="235" t="s">
        <v>155</v>
      </c>
      <c r="AU4925" s="235" t="s">
        <v>634</v>
      </c>
      <c r="AV4925" s="246" t="s">
        <v>635</v>
      </c>
      <c r="AW4925" s="227"/>
      <c r="AX4925" s="227"/>
      <c r="AY4925" s="227"/>
      <c r="AZ4925" s="227"/>
      <c r="BA4925" s="227"/>
      <c r="BB4925" s="227"/>
      <c r="BC4925" s="227"/>
      <c r="BD4925" s="227"/>
      <c r="BE4925" s="227"/>
      <c r="BF4925" s="227"/>
    </row>
    <row r="4926">
      <c r="A4926" s="235" t="s">
        <v>36370</v>
      </c>
      <c r="C4926" s="235" t="s">
        <v>36371</v>
      </c>
      <c r="D4926" s="235" t="s">
        <v>36372</v>
      </c>
      <c r="E4926" s="243">
        <v>6.49E13</v>
      </c>
      <c r="F4926" s="245"/>
      <c r="G4926" s="235" t="s">
        <v>36373</v>
      </c>
      <c r="H4926" s="235" t="s">
        <v>36374</v>
      </c>
      <c r="I4926" s="235" t="s">
        <v>36374</v>
      </c>
      <c r="J4926" s="235" t="s">
        <v>36375</v>
      </c>
      <c r="K4926" s="235" t="s">
        <v>36376</v>
      </c>
      <c r="N4926" s="235" t="s">
        <v>3875</v>
      </c>
      <c r="O4926" s="235" t="s">
        <v>3876</v>
      </c>
      <c r="P4926" s="238">
        <v>1.0</v>
      </c>
      <c r="Q4926" s="235" t="s">
        <v>627</v>
      </c>
      <c r="R4926" s="238">
        <v>207.62</v>
      </c>
      <c r="S4926" s="238">
        <v>10.38</v>
      </c>
      <c r="T4926" s="238">
        <v>0.0</v>
      </c>
      <c r="U4926" s="238">
        <v>0.0</v>
      </c>
      <c r="V4926" s="238">
        <v>0.0</v>
      </c>
      <c r="W4926" s="238">
        <v>0.0</v>
      </c>
      <c r="X4926" s="235" t="s">
        <v>628</v>
      </c>
      <c r="Z4926" s="245"/>
      <c r="AA4926" s="245"/>
      <c r="AB4926" s="245"/>
      <c r="AC4926" s="235" t="s">
        <v>1792</v>
      </c>
      <c r="AD4926" s="235" t="s">
        <v>1077</v>
      </c>
      <c r="AE4926" s="238">
        <v>390021.0</v>
      </c>
      <c r="AF4926" s="235" t="s">
        <v>631</v>
      </c>
      <c r="AG4926" s="245"/>
      <c r="AH4926" s="245"/>
      <c r="AI4926" s="245"/>
      <c r="AJ4926" s="245"/>
      <c r="AK4926" s="245"/>
      <c r="AL4926" s="245"/>
      <c r="AM4926" s="245"/>
      <c r="AN4926" s="245"/>
      <c r="AO4926" s="238">
        <v>0.0</v>
      </c>
      <c r="AP4926" s="238">
        <v>0.0</v>
      </c>
      <c r="AQ4926" s="235" t="s">
        <v>632</v>
      </c>
      <c r="AR4926" s="243">
        <v>1.68E11</v>
      </c>
      <c r="AS4926" s="235" t="s">
        <v>35520</v>
      </c>
      <c r="AT4926" s="235" t="s">
        <v>5</v>
      </c>
      <c r="AU4926" s="235" t="s">
        <v>634</v>
      </c>
      <c r="AV4926" s="246" t="s">
        <v>635</v>
      </c>
      <c r="AW4926" s="227"/>
      <c r="AX4926" s="227"/>
      <c r="AY4926" s="227"/>
      <c r="AZ4926" s="227"/>
      <c r="BA4926" s="227"/>
      <c r="BB4926" s="227"/>
      <c r="BC4926" s="227"/>
      <c r="BD4926" s="227"/>
      <c r="BE4926" s="227"/>
      <c r="BF4926" s="227"/>
    </row>
    <row r="4927">
      <c r="A4927" s="235" t="s">
        <v>36377</v>
      </c>
      <c r="C4927" s="235" t="s">
        <v>36378</v>
      </c>
      <c r="D4927" s="235" t="s">
        <v>36379</v>
      </c>
      <c r="E4927" s="243">
        <v>6.49E13</v>
      </c>
      <c r="F4927" s="245"/>
      <c r="G4927" s="235" t="s">
        <v>36380</v>
      </c>
      <c r="H4927" s="235" t="s">
        <v>36381</v>
      </c>
      <c r="I4927" s="235" t="s">
        <v>36382</v>
      </c>
      <c r="J4927" s="235" t="s">
        <v>36383</v>
      </c>
      <c r="K4927" s="235" t="s">
        <v>36384</v>
      </c>
      <c r="N4927" s="235" t="s">
        <v>42</v>
      </c>
      <c r="O4927" s="235" t="s">
        <v>204</v>
      </c>
      <c r="P4927" s="238">
        <v>1.0</v>
      </c>
      <c r="Q4927" s="235" t="s">
        <v>627</v>
      </c>
      <c r="R4927" s="238">
        <v>237.14</v>
      </c>
      <c r="S4927" s="238">
        <v>11.62</v>
      </c>
      <c r="T4927" s="238">
        <v>0.0</v>
      </c>
      <c r="U4927" s="238">
        <v>0.0</v>
      </c>
      <c r="V4927" s="238">
        <v>0.0</v>
      </c>
      <c r="W4927" s="238">
        <v>0.0</v>
      </c>
      <c r="X4927" s="235" t="s">
        <v>628</v>
      </c>
      <c r="Z4927" s="245"/>
      <c r="AA4927" s="245"/>
      <c r="AB4927" s="245"/>
      <c r="AC4927" s="235" t="s">
        <v>697</v>
      </c>
      <c r="AD4927" s="235" t="s">
        <v>698</v>
      </c>
      <c r="AE4927" s="238">
        <v>502319.0</v>
      </c>
      <c r="AF4927" s="235" t="s">
        <v>631</v>
      </c>
      <c r="AG4927" s="245"/>
      <c r="AH4927" s="245"/>
      <c r="AI4927" s="245"/>
      <c r="AJ4927" s="245"/>
      <c r="AK4927" s="245"/>
      <c r="AL4927" s="245"/>
      <c r="AM4927" s="245"/>
      <c r="AN4927" s="245"/>
      <c r="AO4927" s="238">
        <v>-4.74</v>
      </c>
      <c r="AP4927" s="238">
        <v>0.0</v>
      </c>
      <c r="AQ4927" s="235" t="s">
        <v>632</v>
      </c>
      <c r="AR4927" s="243">
        <v>2.02E11</v>
      </c>
      <c r="AS4927" s="235" t="s">
        <v>35520</v>
      </c>
      <c r="AT4927" s="235" t="s">
        <v>11</v>
      </c>
      <c r="AU4927" s="235" t="s">
        <v>634</v>
      </c>
      <c r="AV4927" s="246" t="s">
        <v>635</v>
      </c>
      <c r="AW4927" s="227"/>
      <c r="AX4927" s="227"/>
      <c r="AY4927" s="227"/>
      <c r="AZ4927" s="227"/>
      <c r="BA4927" s="227"/>
      <c r="BB4927" s="227"/>
      <c r="BC4927" s="227"/>
      <c r="BD4927" s="227"/>
      <c r="BE4927" s="227"/>
      <c r="BF4927" s="227"/>
    </row>
    <row r="4928">
      <c r="A4928" s="235" t="s">
        <v>36385</v>
      </c>
      <c r="C4928" s="235" t="s">
        <v>36386</v>
      </c>
      <c r="D4928" s="235" t="s">
        <v>36387</v>
      </c>
      <c r="E4928" s="243">
        <v>6.49E13</v>
      </c>
      <c r="F4928" s="245"/>
      <c r="G4928" s="235" t="s">
        <v>36388</v>
      </c>
      <c r="H4928" s="235" t="s">
        <v>36389</v>
      </c>
      <c r="I4928" s="235" t="s">
        <v>36390</v>
      </c>
      <c r="J4928" s="235" t="s">
        <v>36391</v>
      </c>
      <c r="K4928" s="235" t="s">
        <v>36392</v>
      </c>
      <c r="N4928" s="235" t="s">
        <v>51</v>
      </c>
      <c r="O4928" s="235" t="s">
        <v>273</v>
      </c>
      <c r="P4928" s="238">
        <v>1.0</v>
      </c>
      <c r="Q4928" s="235" t="s">
        <v>627</v>
      </c>
      <c r="R4928" s="238">
        <v>235.24</v>
      </c>
      <c r="S4928" s="238">
        <v>11.76</v>
      </c>
      <c r="T4928" s="238">
        <v>0.0</v>
      </c>
      <c r="U4928" s="238">
        <v>0.0</v>
      </c>
      <c r="V4928" s="238">
        <v>0.0</v>
      </c>
      <c r="W4928" s="238">
        <v>0.0</v>
      </c>
      <c r="X4928" s="235" t="s">
        <v>628</v>
      </c>
      <c r="Z4928" s="245"/>
      <c r="AA4928" s="245"/>
      <c r="AB4928" s="245"/>
      <c r="AC4928" s="235" t="s">
        <v>687</v>
      </c>
      <c r="AD4928" s="235" t="s">
        <v>666</v>
      </c>
      <c r="AE4928" s="238">
        <v>600106.0</v>
      </c>
      <c r="AF4928" s="235" t="s">
        <v>631</v>
      </c>
      <c r="AG4928" s="245"/>
      <c r="AH4928" s="245"/>
      <c r="AI4928" s="245"/>
      <c r="AJ4928" s="245"/>
      <c r="AK4928" s="245"/>
      <c r="AL4928" s="245"/>
      <c r="AM4928" s="245"/>
      <c r="AN4928" s="245"/>
      <c r="AO4928" s="238">
        <v>0.0</v>
      </c>
      <c r="AP4928" s="238">
        <v>0.0</v>
      </c>
      <c r="AQ4928" s="235" t="s">
        <v>632</v>
      </c>
      <c r="AR4928" s="243">
        <v>1.68E11</v>
      </c>
      <c r="AS4928" s="235" t="s">
        <v>35895</v>
      </c>
      <c r="AT4928" s="235" t="s">
        <v>156</v>
      </c>
      <c r="AU4928" s="235" t="s">
        <v>634</v>
      </c>
      <c r="AV4928" s="246" t="s">
        <v>635</v>
      </c>
      <c r="AW4928" s="227"/>
      <c r="AX4928" s="227"/>
      <c r="AY4928" s="227"/>
      <c r="AZ4928" s="227"/>
      <c r="BA4928" s="227"/>
      <c r="BB4928" s="227"/>
      <c r="BC4928" s="227"/>
      <c r="BD4928" s="227"/>
      <c r="BE4928" s="227"/>
      <c r="BF4928" s="227"/>
    </row>
    <row r="4929">
      <c r="A4929" s="235" t="s">
        <v>36393</v>
      </c>
      <c r="C4929" s="235" t="s">
        <v>36394</v>
      </c>
      <c r="D4929" s="235" t="s">
        <v>36395</v>
      </c>
      <c r="E4929" s="243">
        <v>6.49E13</v>
      </c>
      <c r="F4929" s="245"/>
      <c r="G4929" s="235" t="s">
        <v>36396</v>
      </c>
      <c r="H4929" s="235" t="s">
        <v>36397</v>
      </c>
      <c r="I4929" s="235" t="s">
        <v>36397</v>
      </c>
      <c r="J4929" s="235" t="s">
        <v>36398</v>
      </c>
      <c r="K4929" s="235" t="s">
        <v>36399</v>
      </c>
      <c r="N4929" s="235" t="s">
        <v>71</v>
      </c>
      <c r="O4929" s="235" t="s">
        <v>240</v>
      </c>
      <c r="P4929" s="238">
        <v>1.0</v>
      </c>
      <c r="Q4929" s="235" t="s">
        <v>627</v>
      </c>
      <c r="R4929" s="238">
        <v>246.66</v>
      </c>
      <c r="S4929" s="238">
        <v>12.34</v>
      </c>
      <c r="T4929" s="238">
        <v>0.0</v>
      </c>
      <c r="U4929" s="238">
        <v>0.0</v>
      </c>
      <c r="V4929" s="238">
        <v>0.0</v>
      </c>
      <c r="W4929" s="238">
        <v>0.0</v>
      </c>
      <c r="X4929" s="235" t="s">
        <v>628</v>
      </c>
      <c r="Z4929" s="245"/>
      <c r="AA4929" s="245"/>
      <c r="AB4929" s="245"/>
      <c r="AC4929" s="235" t="s">
        <v>687</v>
      </c>
      <c r="AD4929" s="235" t="s">
        <v>666</v>
      </c>
      <c r="AE4929" s="238">
        <v>600086.0</v>
      </c>
      <c r="AF4929" s="235" t="s">
        <v>631</v>
      </c>
      <c r="AG4929" s="245"/>
      <c r="AH4929" s="245"/>
      <c r="AI4929" s="245"/>
      <c r="AJ4929" s="245"/>
      <c r="AK4929" s="245"/>
      <c r="AL4929" s="245"/>
      <c r="AM4929" s="245"/>
      <c r="AN4929" s="245"/>
      <c r="AO4929" s="238">
        <v>0.0</v>
      </c>
      <c r="AP4929" s="238">
        <v>0.0</v>
      </c>
      <c r="AQ4929" s="235" t="s">
        <v>632</v>
      </c>
      <c r="AR4929" s="243">
        <v>1.68E11</v>
      </c>
      <c r="AS4929" s="235" t="s">
        <v>35895</v>
      </c>
      <c r="AT4929" s="235" t="s">
        <v>156</v>
      </c>
      <c r="AU4929" s="235" t="s">
        <v>634</v>
      </c>
      <c r="AV4929" s="246" t="s">
        <v>635</v>
      </c>
      <c r="AW4929" s="227"/>
      <c r="AX4929" s="227"/>
      <c r="AY4929" s="227"/>
      <c r="AZ4929" s="227"/>
      <c r="BA4929" s="227"/>
      <c r="BB4929" s="227"/>
      <c r="BC4929" s="227"/>
      <c r="BD4929" s="227"/>
      <c r="BE4929" s="227"/>
      <c r="BF4929" s="227"/>
    </row>
    <row r="4930">
      <c r="A4930" s="235" t="s">
        <v>36400</v>
      </c>
      <c r="C4930" s="235" t="s">
        <v>36401</v>
      </c>
      <c r="D4930" s="235" t="s">
        <v>36402</v>
      </c>
      <c r="E4930" s="243">
        <v>6.49E13</v>
      </c>
      <c r="F4930" s="245"/>
      <c r="G4930" s="235" t="s">
        <v>36403</v>
      </c>
      <c r="H4930" s="235" t="s">
        <v>36404</v>
      </c>
      <c r="I4930" s="235" t="s">
        <v>36404</v>
      </c>
      <c r="J4930" s="235" t="s">
        <v>36405</v>
      </c>
      <c r="K4930" s="235" t="s">
        <v>36406</v>
      </c>
      <c r="N4930" s="235" t="s">
        <v>90</v>
      </c>
      <c r="O4930" s="235" t="s">
        <v>279</v>
      </c>
      <c r="P4930" s="238">
        <v>1.0</v>
      </c>
      <c r="Q4930" s="235" t="s">
        <v>627</v>
      </c>
      <c r="R4930" s="238">
        <v>243.81</v>
      </c>
      <c r="S4930" s="238">
        <v>11.95</v>
      </c>
      <c r="T4930" s="238">
        <v>0.0</v>
      </c>
      <c r="U4930" s="238">
        <v>0.0</v>
      </c>
      <c r="V4930" s="238">
        <v>0.0</v>
      </c>
      <c r="W4930" s="238">
        <v>0.0</v>
      </c>
      <c r="X4930" s="235" t="s">
        <v>628</v>
      </c>
      <c r="Z4930" s="245"/>
      <c r="AA4930" s="245"/>
      <c r="AB4930" s="245"/>
      <c r="AC4930" s="235" t="s">
        <v>697</v>
      </c>
      <c r="AD4930" s="235" t="s">
        <v>698</v>
      </c>
      <c r="AE4930" s="238">
        <v>500029.0</v>
      </c>
      <c r="AF4930" s="235" t="s">
        <v>631</v>
      </c>
      <c r="AG4930" s="245"/>
      <c r="AH4930" s="245"/>
      <c r="AI4930" s="245"/>
      <c r="AJ4930" s="245"/>
      <c r="AK4930" s="245"/>
      <c r="AL4930" s="245"/>
      <c r="AM4930" s="245"/>
      <c r="AN4930" s="245"/>
      <c r="AO4930" s="238">
        <v>-4.88</v>
      </c>
      <c r="AP4930" s="238">
        <v>0.0</v>
      </c>
      <c r="AQ4930" s="235" t="s">
        <v>632</v>
      </c>
      <c r="AR4930" s="243">
        <v>2.02E11</v>
      </c>
      <c r="AS4930" s="235" t="s">
        <v>35520</v>
      </c>
      <c r="AT4930" s="235" t="s">
        <v>11</v>
      </c>
      <c r="AU4930" s="235" t="s">
        <v>634</v>
      </c>
      <c r="AV4930" s="246" t="s">
        <v>635</v>
      </c>
      <c r="AW4930" s="227"/>
      <c r="AX4930" s="227"/>
      <c r="AY4930" s="227"/>
      <c r="AZ4930" s="227"/>
      <c r="BA4930" s="227"/>
      <c r="BB4930" s="227"/>
      <c r="BC4930" s="227"/>
      <c r="BD4930" s="227"/>
      <c r="BE4930" s="227"/>
      <c r="BF4930" s="227"/>
    </row>
    <row r="4931">
      <c r="A4931" s="235" t="s">
        <v>36407</v>
      </c>
      <c r="C4931" s="235" t="s">
        <v>36408</v>
      </c>
      <c r="D4931" s="235" t="s">
        <v>36409</v>
      </c>
      <c r="E4931" s="243">
        <v>6.49E13</v>
      </c>
      <c r="F4931" s="245"/>
      <c r="G4931" s="235" t="s">
        <v>36410</v>
      </c>
      <c r="H4931" s="235" t="s">
        <v>36411</v>
      </c>
      <c r="I4931" s="235" t="s">
        <v>36411</v>
      </c>
      <c r="J4931" s="235" t="s">
        <v>36412</v>
      </c>
      <c r="K4931" s="235" t="s">
        <v>36413</v>
      </c>
      <c r="N4931" s="235" t="s">
        <v>3875</v>
      </c>
      <c r="O4931" s="235" t="s">
        <v>3876</v>
      </c>
      <c r="P4931" s="238">
        <v>1.0</v>
      </c>
      <c r="Q4931" s="235" t="s">
        <v>627</v>
      </c>
      <c r="R4931" s="238">
        <v>207.62</v>
      </c>
      <c r="S4931" s="238">
        <v>10.38</v>
      </c>
      <c r="T4931" s="238">
        <v>38.1</v>
      </c>
      <c r="U4931" s="238">
        <v>1.9</v>
      </c>
      <c r="V4931" s="238">
        <v>0.0</v>
      </c>
      <c r="W4931" s="238">
        <v>0.0</v>
      </c>
      <c r="X4931" s="235" t="s">
        <v>628</v>
      </c>
      <c r="Z4931" s="245"/>
      <c r="AA4931" s="245"/>
      <c r="AB4931" s="245"/>
      <c r="AC4931" s="235" t="s">
        <v>36414</v>
      </c>
      <c r="AD4931" s="235" t="s">
        <v>679</v>
      </c>
      <c r="AE4931" s="238">
        <v>562162.0</v>
      </c>
      <c r="AF4931" s="235" t="s">
        <v>631</v>
      </c>
      <c r="AG4931" s="245"/>
      <c r="AH4931" s="245"/>
      <c r="AI4931" s="245"/>
      <c r="AJ4931" s="245"/>
      <c r="AK4931" s="245"/>
      <c r="AL4931" s="245"/>
      <c r="AM4931" s="245"/>
      <c r="AN4931" s="245"/>
      <c r="AO4931" s="238">
        <v>0.0</v>
      </c>
      <c r="AP4931" s="238">
        <v>-38.1</v>
      </c>
      <c r="AQ4931" s="235" t="s">
        <v>632</v>
      </c>
      <c r="AR4931" s="243">
        <v>3.7E11</v>
      </c>
      <c r="AS4931" s="235" t="s">
        <v>35520</v>
      </c>
      <c r="AT4931" s="235" t="s">
        <v>11</v>
      </c>
      <c r="AU4931" s="235" t="s">
        <v>634</v>
      </c>
      <c r="AV4931" s="246" t="s">
        <v>635</v>
      </c>
      <c r="AW4931" s="227"/>
      <c r="AX4931" s="227"/>
      <c r="AY4931" s="227"/>
      <c r="AZ4931" s="227"/>
      <c r="BA4931" s="227"/>
      <c r="BB4931" s="227"/>
      <c r="BC4931" s="227"/>
      <c r="BD4931" s="227"/>
      <c r="BE4931" s="227"/>
      <c r="BF4931" s="227"/>
    </row>
    <row r="4932">
      <c r="A4932" s="235" t="s">
        <v>36415</v>
      </c>
      <c r="C4932" s="235" t="s">
        <v>36416</v>
      </c>
      <c r="D4932" s="235" t="s">
        <v>36417</v>
      </c>
      <c r="E4932" s="243">
        <v>6.49E13</v>
      </c>
      <c r="F4932" s="245"/>
      <c r="G4932" s="235" t="s">
        <v>36418</v>
      </c>
      <c r="H4932" s="235" t="s">
        <v>36419</v>
      </c>
      <c r="I4932" s="235" t="s">
        <v>36420</v>
      </c>
      <c r="J4932" s="235" t="s">
        <v>36421</v>
      </c>
      <c r="K4932" s="235" t="s">
        <v>36422</v>
      </c>
      <c r="N4932" s="235" t="s">
        <v>154</v>
      </c>
      <c r="O4932" s="235" t="s">
        <v>766</v>
      </c>
      <c r="P4932" s="238">
        <v>1.0</v>
      </c>
      <c r="Q4932" s="235" t="s">
        <v>627</v>
      </c>
      <c r="R4932" s="238">
        <v>465.71</v>
      </c>
      <c r="S4932" s="238">
        <v>23.29</v>
      </c>
      <c r="T4932" s="238">
        <v>38.1</v>
      </c>
      <c r="U4932" s="238">
        <v>1.9</v>
      </c>
      <c r="V4932" s="238">
        <v>0.0</v>
      </c>
      <c r="W4932" s="238">
        <v>0.0</v>
      </c>
      <c r="X4932" s="235" t="s">
        <v>628</v>
      </c>
      <c r="Z4932" s="245"/>
      <c r="AA4932" s="245"/>
      <c r="AB4932" s="245"/>
      <c r="AC4932" s="235" t="s">
        <v>36423</v>
      </c>
      <c r="AD4932" s="235" t="s">
        <v>645</v>
      </c>
      <c r="AE4932" s="238">
        <v>688538.0</v>
      </c>
      <c r="AF4932" s="235" t="s">
        <v>631</v>
      </c>
      <c r="AG4932" s="245"/>
      <c r="AH4932" s="245"/>
      <c r="AI4932" s="245"/>
      <c r="AJ4932" s="245"/>
      <c r="AK4932" s="245"/>
      <c r="AL4932" s="245"/>
      <c r="AM4932" s="245"/>
      <c r="AN4932" s="245"/>
      <c r="AO4932" s="238">
        <v>0.0</v>
      </c>
      <c r="AP4932" s="238">
        <v>-38.1</v>
      </c>
      <c r="AQ4932" s="235" t="s">
        <v>632</v>
      </c>
      <c r="AR4932" s="243">
        <v>3.7E11</v>
      </c>
      <c r="AS4932" s="235" t="s">
        <v>34510</v>
      </c>
      <c r="AT4932" s="235" t="s">
        <v>155</v>
      </c>
      <c r="AU4932" s="235" t="s">
        <v>634</v>
      </c>
      <c r="AV4932" s="246" t="s">
        <v>635</v>
      </c>
      <c r="AW4932" s="227"/>
      <c r="AX4932" s="227"/>
      <c r="AY4932" s="227"/>
      <c r="AZ4932" s="227"/>
      <c r="BA4932" s="227"/>
      <c r="BB4932" s="227"/>
      <c r="BC4932" s="227"/>
      <c r="BD4932" s="227"/>
      <c r="BE4932" s="227"/>
      <c r="BF4932" s="227"/>
    </row>
    <row r="4933">
      <c r="A4933" s="235" t="s">
        <v>36424</v>
      </c>
      <c r="C4933" s="235" t="s">
        <v>36425</v>
      </c>
      <c r="D4933" s="235" t="s">
        <v>36426</v>
      </c>
      <c r="E4933" s="243">
        <v>6.49E13</v>
      </c>
      <c r="F4933" s="245"/>
      <c r="G4933" s="235" t="s">
        <v>36427</v>
      </c>
      <c r="H4933" s="235" t="s">
        <v>36428</v>
      </c>
      <c r="I4933" s="235" t="s">
        <v>36428</v>
      </c>
      <c r="J4933" s="235" t="s">
        <v>36429</v>
      </c>
      <c r="K4933" s="235" t="s">
        <v>36430</v>
      </c>
      <c r="N4933" s="235" t="s">
        <v>3875</v>
      </c>
      <c r="O4933" s="235" t="s">
        <v>3876</v>
      </c>
      <c r="P4933" s="238">
        <v>1.0</v>
      </c>
      <c r="Q4933" s="235" t="s">
        <v>627</v>
      </c>
      <c r="R4933" s="238">
        <v>207.62</v>
      </c>
      <c r="S4933" s="238">
        <v>10.38</v>
      </c>
      <c r="T4933" s="238">
        <v>0.0</v>
      </c>
      <c r="U4933" s="238">
        <v>0.0</v>
      </c>
      <c r="V4933" s="238">
        <v>0.0</v>
      </c>
      <c r="W4933" s="238">
        <v>0.0</v>
      </c>
      <c r="X4933" s="235" t="s">
        <v>628</v>
      </c>
      <c r="Z4933" s="245"/>
      <c r="AA4933" s="245"/>
      <c r="AB4933" s="245"/>
      <c r="AC4933" s="235" t="s">
        <v>4294</v>
      </c>
      <c r="AD4933" s="235" t="s">
        <v>666</v>
      </c>
      <c r="AE4933" s="238">
        <v>641606.0</v>
      </c>
      <c r="AF4933" s="235" t="s">
        <v>631</v>
      </c>
      <c r="AG4933" s="245"/>
      <c r="AH4933" s="245"/>
      <c r="AI4933" s="245"/>
      <c r="AJ4933" s="245"/>
      <c r="AK4933" s="245"/>
      <c r="AL4933" s="245"/>
      <c r="AM4933" s="245"/>
      <c r="AN4933" s="245"/>
      <c r="AO4933" s="238">
        <v>0.0</v>
      </c>
      <c r="AP4933" s="238">
        <v>0.0</v>
      </c>
      <c r="AQ4933" s="235" t="s">
        <v>632</v>
      </c>
      <c r="AR4933" s="243">
        <v>3.7E11</v>
      </c>
      <c r="AS4933" s="235" t="s">
        <v>34510</v>
      </c>
      <c r="AT4933" s="235" t="s">
        <v>156</v>
      </c>
      <c r="AU4933" s="235" t="s">
        <v>634</v>
      </c>
      <c r="AV4933" s="246" t="s">
        <v>635</v>
      </c>
      <c r="AW4933" s="227"/>
      <c r="AX4933" s="227"/>
      <c r="AY4933" s="227"/>
      <c r="AZ4933" s="227"/>
      <c r="BA4933" s="227"/>
      <c r="BB4933" s="227"/>
      <c r="BC4933" s="227"/>
      <c r="BD4933" s="227"/>
      <c r="BE4933" s="227"/>
      <c r="BF4933" s="227"/>
    </row>
    <row r="4934">
      <c r="A4934" s="235" t="s">
        <v>36431</v>
      </c>
      <c r="C4934" s="235" t="s">
        <v>36432</v>
      </c>
      <c r="D4934" s="235" t="s">
        <v>36433</v>
      </c>
      <c r="E4934" s="243">
        <v>6.49E13</v>
      </c>
      <c r="F4934" s="245"/>
      <c r="G4934" s="235" t="s">
        <v>36434</v>
      </c>
      <c r="H4934" s="235" t="s">
        <v>36435</v>
      </c>
      <c r="I4934" s="235" t="s">
        <v>36435</v>
      </c>
      <c r="J4934" s="235" t="s">
        <v>36436</v>
      </c>
      <c r="K4934" s="235" t="s">
        <v>36437</v>
      </c>
      <c r="N4934" s="235" t="s">
        <v>51</v>
      </c>
      <c r="O4934" s="235" t="s">
        <v>273</v>
      </c>
      <c r="P4934" s="238">
        <v>1.0</v>
      </c>
      <c r="Q4934" s="235" t="s">
        <v>627</v>
      </c>
      <c r="R4934" s="238">
        <v>235.24</v>
      </c>
      <c r="S4934" s="238">
        <v>11.52</v>
      </c>
      <c r="T4934" s="238">
        <v>0.0</v>
      </c>
      <c r="U4934" s="238">
        <v>0.0</v>
      </c>
      <c r="V4934" s="238">
        <v>0.0</v>
      </c>
      <c r="W4934" s="238">
        <v>0.0</v>
      </c>
      <c r="X4934" s="235" t="s">
        <v>628</v>
      </c>
      <c r="Z4934" s="245"/>
      <c r="AA4934" s="245"/>
      <c r="AB4934" s="245"/>
      <c r="AC4934" s="235" t="s">
        <v>36438</v>
      </c>
      <c r="AD4934" s="235" t="s">
        <v>698</v>
      </c>
      <c r="AE4934" s="238">
        <v>505001.0</v>
      </c>
      <c r="AF4934" s="235" t="s">
        <v>631</v>
      </c>
      <c r="AG4934" s="245"/>
      <c r="AH4934" s="245"/>
      <c r="AI4934" s="245"/>
      <c r="AJ4934" s="245"/>
      <c r="AK4934" s="245"/>
      <c r="AL4934" s="245"/>
      <c r="AM4934" s="245"/>
      <c r="AN4934" s="245"/>
      <c r="AO4934" s="238">
        <v>-4.7</v>
      </c>
      <c r="AP4934" s="238">
        <v>0.0</v>
      </c>
      <c r="AQ4934" s="235" t="s">
        <v>632</v>
      </c>
      <c r="AR4934" s="243">
        <v>3.7E11</v>
      </c>
      <c r="AS4934" s="235" t="s">
        <v>34510</v>
      </c>
      <c r="AT4934" s="235" t="s">
        <v>546</v>
      </c>
      <c r="AU4934" s="235" t="s">
        <v>634</v>
      </c>
      <c r="AV4934" s="246" t="s">
        <v>635</v>
      </c>
      <c r="AW4934" s="227"/>
      <c r="AX4934" s="227"/>
      <c r="AY4934" s="227"/>
      <c r="AZ4934" s="227"/>
      <c r="BA4934" s="227"/>
      <c r="BB4934" s="227"/>
      <c r="BC4934" s="227"/>
      <c r="BD4934" s="227"/>
      <c r="BE4934" s="227"/>
      <c r="BF4934" s="227"/>
    </row>
    <row r="4935">
      <c r="A4935" s="235" t="s">
        <v>36439</v>
      </c>
      <c r="C4935" s="235" t="s">
        <v>36440</v>
      </c>
      <c r="D4935" s="235" t="s">
        <v>36441</v>
      </c>
      <c r="E4935" s="243">
        <v>6.49E13</v>
      </c>
      <c r="F4935" s="245"/>
      <c r="G4935" s="235" t="s">
        <v>36442</v>
      </c>
      <c r="H4935" s="235" t="s">
        <v>36443</v>
      </c>
      <c r="I4935" s="235" t="s">
        <v>36443</v>
      </c>
      <c r="J4935" s="235" t="s">
        <v>36444</v>
      </c>
      <c r="K4935" s="235" t="s">
        <v>36445</v>
      </c>
      <c r="N4935" s="235" t="s">
        <v>139</v>
      </c>
      <c r="O4935" s="235" t="s">
        <v>2091</v>
      </c>
      <c r="P4935" s="238">
        <v>1.0</v>
      </c>
      <c r="Q4935" s="235" t="s">
        <v>627</v>
      </c>
      <c r="R4935" s="238">
        <v>244.76</v>
      </c>
      <c r="S4935" s="238">
        <v>12.24</v>
      </c>
      <c r="T4935" s="238">
        <v>0.0</v>
      </c>
      <c r="U4935" s="238">
        <v>0.0</v>
      </c>
      <c r="V4935" s="238">
        <v>0.0</v>
      </c>
      <c r="W4935" s="238">
        <v>0.0</v>
      </c>
      <c r="X4935" s="235" t="s">
        <v>628</v>
      </c>
      <c r="Z4935" s="245"/>
      <c r="AA4935" s="245"/>
      <c r="AB4935" s="245"/>
      <c r="AC4935" s="235" t="s">
        <v>1095</v>
      </c>
      <c r="AD4935" s="235" t="s">
        <v>845</v>
      </c>
      <c r="AE4935" s="238">
        <v>410206.0</v>
      </c>
      <c r="AF4935" s="235" t="s">
        <v>631</v>
      </c>
      <c r="AG4935" s="245"/>
      <c r="AH4935" s="245"/>
      <c r="AI4935" s="245"/>
      <c r="AJ4935" s="245"/>
      <c r="AK4935" s="245"/>
      <c r="AL4935" s="245"/>
      <c r="AM4935" s="245"/>
      <c r="AN4935" s="245"/>
      <c r="AO4935" s="238">
        <v>0.0</v>
      </c>
      <c r="AP4935" s="238">
        <v>0.0</v>
      </c>
      <c r="AQ4935" s="235" t="s">
        <v>632</v>
      </c>
      <c r="AR4935" s="243">
        <v>3.7E11</v>
      </c>
      <c r="AS4935" s="235" t="s">
        <v>35520</v>
      </c>
      <c r="AT4935" s="235" t="s">
        <v>16</v>
      </c>
      <c r="AU4935" s="235" t="s">
        <v>634</v>
      </c>
      <c r="AV4935" s="246" t="s">
        <v>635</v>
      </c>
      <c r="AW4935" s="227"/>
      <c r="AX4935" s="227"/>
      <c r="AY4935" s="227"/>
      <c r="AZ4935" s="227"/>
      <c r="BA4935" s="227"/>
      <c r="BB4935" s="227"/>
      <c r="BC4935" s="227"/>
      <c r="BD4935" s="227"/>
      <c r="BE4935" s="227"/>
      <c r="BF4935" s="227"/>
    </row>
    <row r="4936">
      <c r="A4936" s="235" t="s">
        <v>36446</v>
      </c>
      <c r="C4936" s="235" t="s">
        <v>36447</v>
      </c>
      <c r="D4936" s="235" t="s">
        <v>36448</v>
      </c>
      <c r="E4936" s="243">
        <v>6.49E13</v>
      </c>
      <c r="F4936" s="245"/>
      <c r="G4936" s="235" t="s">
        <v>36449</v>
      </c>
      <c r="H4936" s="235" t="s">
        <v>36450</v>
      </c>
      <c r="I4936" s="235" t="s">
        <v>36450</v>
      </c>
      <c r="J4936" s="235" t="s">
        <v>36451</v>
      </c>
      <c r="K4936" s="235" t="s">
        <v>36452</v>
      </c>
      <c r="N4936" s="235" t="s">
        <v>127</v>
      </c>
      <c r="O4936" s="235" t="s">
        <v>794</v>
      </c>
      <c r="P4936" s="238">
        <v>1.0</v>
      </c>
      <c r="Q4936" s="235" t="s">
        <v>627</v>
      </c>
      <c r="R4936" s="238">
        <v>243.81</v>
      </c>
      <c r="S4936" s="238">
        <v>11.95</v>
      </c>
      <c r="T4936" s="238">
        <v>38.1</v>
      </c>
      <c r="U4936" s="238">
        <v>1.9</v>
      </c>
      <c r="V4936" s="238">
        <v>0.0</v>
      </c>
      <c r="W4936" s="238">
        <v>0.0</v>
      </c>
      <c r="X4936" s="235" t="s">
        <v>628</v>
      </c>
      <c r="Z4936" s="245"/>
      <c r="AA4936" s="245"/>
      <c r="AB4936" s="245"/>
      <c r="AC4936" s="235" t="s">
        <v>1287</v>
      </c>
      <c r="AD4936" s="235" t="s">
        <v>630</v>
      </c>
      <c r="AE4936" s="238">
        <v>201014.0</v>
      </c>
      <c r="AF4936" s="235" t="s">
        <v>631</v>
      </c>
      <c r="AG4936" s="245"/>
      <c r="AH4936" s="245"/>
      <c r="AI4936" s="245"/>
      <c r="AJ4936" s="245"/>
      <c r="AK4936" s="245"/>
      <c r="AL4936" s="245"/>
      <c r="AM4936" s="245"/>
      <c r="AN4936" s="245"/>
      <c r="AO4936" s="238">
        <v>-4.88</v>
      </c>
      <c r="AP4936" s="238">
        <v>-38.1</v>
      </c>
      <c r="AQ4936" s="235" t="s">
        <v>632</v>
      </c>
      <c r="AR4936" s="243">
        <v>3.7E11</v>
      </c>
      <c r="AS4936" s="235" t="s">
        <v>35520</v>
      </c>
      <c r="AT4936" s="235" t="s">
        <v>13</v>
      </c>
      <c r="AU4936" s="235" t="s">
        <v>634</v>
      </c>
      <c r="AV4936" s="246" t="s">
        <v>635</v>
      </c>
      <c r="AW4936" s="227"/>
      <c r="AX4936" s="227"/>
      <c r="AY4936" s="227"/>
      <c r="AZ4936" s="227"/>
      <c r="BA4936" s="227"/>
      <c r="BB4936" s="227"/>
      <c r="BC4936" s="227"/>
      <c r="BD4936" s="227"/>
      <c r="BE4936" s="227"/>
      <c r="BF4936" s="227"/>
    </row>
    <row r="4937">
      <c r="A4937" s="235" t="s">
        <v>36453</v>
      </c>
      <c r="C4937" s="235" t="s">
        <v>36454</v>
      </c>
      <c r="D4937" s="235" t="s">
        <v>36455</v>
      </c>
      <c r="E4937" s="243">
        <v>6.49E13</v>
      </c>
      <c r="F4937" s="245"/>
      <c r="G4937" s="235" t="s">
        <v>36456</v>
      </c>
      <c r="H4937" s="235" t="s">
        <v>36457</v>
      </c>
      <c r="I4937" s="235" t="s">
        <v>36457</v>
      </c>
      <c r="J4937" s="235" t="s">
        <v>36458</v>
      </c>
      <c r="K4937" s="235" t="s">
        <v>36459</v>
      </c>
      <c r="N4937" s="235" t="s">
        <v>127</v>
      </c>
      <c r="O4937" s="235" t="s">
        <v>794</v>
      </c>
      <c r="P4937" s="238">
        <v>1.0</v>
      </c>
      <c r="Q4937" s="235" t="s">
        <v>627</v>
      </c>
      <c r="R4937" s="238">
        <v>243.81</v>
      </c>
      <c r="S4937" s="238">
        <v>12.19</v>
      </c>
      <c r="T4937" s="238">
        <v>0.0</v>
      </c>
      <c r="U4937" s="238">
        <v>0.0</v>
      </c>
      <c r="V4937" s="238">
        <v>0.0</v>
      </c>
      <c r="W4937" s="238">
        <v>0.0</v>
      </c>
      <c r="X4937" s="235" t="s">
        <v>628</v>
      </c>
      <c r="Z4937" s="245"/>
      <c r="AA4937" s="245"/>
      <c r="AB4937" s="245"/>
      <c r="AC4937" s="235" t="s">
        <v>36460</v>
      </c>
      <c r="AD4937" s="235" t="s">
        <v>731</v>
      </c>
      <c r="AE4937" s="238">
        <v>783370.0</v>
      </c>
      <c r="AF4937" s="235" t="s">
        <v>631</v>
      </c>
      <c r="AG4937" s="245"/>
      <c r="AH4937" s="245"/>
      <c r="AI4937" s="245"/>
      <c r="AJ4937" s="245"/>
      <c r="AK4937" s="245"/>
      <c r="AL4937" s="245"/>
      <c r="AM4937" s="245"/>
      <c r="AN4937" s="245"/>
      <c r="AO4937" s="238">
        <v>0.0</v>
      </c>
      <c r="AP4937" s="238">
        <v>0.0</v>
      </c>
      <c r="AQ4937" s="235" t="s">
        <v>632</v>
      </c>
      <c r="AR4937" s="243">
        <v>2.02E11</v>
      </c>
      <c r="AS4937" s="235" t="s">
        <v>34510</v>
      </c>
      <c r="AT4937" s="235" t="s">
        <v>9</v>
      </c>
      <c r="AU4937" s="235" t="s">
        <v>634</v>
      </c>
      <c r="AV4937" s="246" t="s">
        <v>635</v>
      </c>
      <c r="AW4937" s="227"/>
      <c r="AX4937" s="227"/>
      <c r="AY4937" s="227"/>
      <c r="AZ4937" s="227"/>
      <c r="BA4937" s="227"/>
      <c r="BB4937" s="227"/>
      <c r="BC4937" s="227"/>
      <c r="BD4937" s="227"/>
      <c r="BE4937" s="227"/>
      <c r="BF4937" s="227"/>
    </row>
    <row r="4938">
      <c r="A4938" s="235" t="s">
        <v>36461</v>
      </c>
      <c r="C4938" s="235" t="s">
        <v>36462</v>
      </c>
      <c r="D4938" s="235" t="s">
        <v>36463</v>
      </c>
      <c r="E4938" s="243">
        <v>6.49E13</v>
      </c>
      <c r="F4938" s="245"/>
      <c r="G4938" s="235" t="s">
        <v>36464</v>
      </c>
      <c r="H4938" s="235" t="s">
        <v>36465</v>
      </c>
      <c r="I4938" s="235" t="s">
        <v>36466</v>
      </c>
      <c r="J4938" s="235" t="s">
        <v>36467</v>
      </c>
      <c r="K4938" s="235" t="s">
        <v>36468</v>
      </c>
      <c r="N4938" s="235" t="s">
        <v>127</v>
      </c>
      <c r="O4938" s="235" t="s">
        <v>794</v>
      </c>
      <c r="P4938" s="238">
        <v>1.0</v>
      </c>
      <c r="Q4938" s="235" t="s">
        <v>627</v>
      </c>
      <c r="R4938" s="238">
        <v>243.8</v>
      </c>
      <c r="S4938" s="238">
        <v>12.2</v>
      </c>
      <c r="T4938" s="238">
        <v>0.0</v>
      </c>
      <c r="U4938" s="238">
        <v>0.0</v>
      </c>
      <c r="V4938" s="238">
        <v>0.0</v>
      </c>
      <c r="W4938" s="238">
        <v>0.0</v>
      </c>
      <c r="X4938" s="235" t="s">
        <v>628</v>
      </c>
      <c r="Z4938" s="245"/>
      <c r="AA4938" s="245"/>
      <c r="AB4938" s="245"/>
      <c r="AC4938" s="235" t="s">
        <v>678</v>
      </c>
      <c r="AD4938" s="235" t="s">
        <v>679</v>
      </c>
      <c r="AE4938" s="238">
        <v>560034.0</v>
      </c>
      <c r="AF4938" s="235" t="s">
        <v>631</v>
      </c>
      <c r="AG4938" s="245"/>
      <c r="AH4938" s="245"/>
      <c r="AI4938" s="245"/>
      <c r="AJ4938" s="245"/>
      <c r="AK4938" s="245"/>
      <c r="AL4938" s="245"/>
      <c r="AM4938" s="245"/>
      <c r="AN4938" s="245"/>
      <c r="AO4938" s="238">
        <v>0.0</v>
      </c>
      <c r="AP4938" s="238">
        <v>0.0</v>
      </c>
      <c r="AQ4938" s="235" t="s">
        <v>632</v>
      </c>
      <c r="AR4938" s="243">
        <v>1.68E11</v>
      </c>
      <c r="AS4938" s="235" t="s">
        <v>35895</v>
      </c>
      <c r="AT4938" s="235" t="s">
        <v>9</v>
      </c>
      <c r="AU4938" s="235" t="s">
        <v>634</v>
      </c>
      <c r="AV4938" s="246" t="s">
        <v>635</v>
      </c>
      <c r="AW4938" s="227"/>
      <c r="AX4938" s="227"/>
      <c r="AY4938" s="227"/>
      <c r="AZ4938" s="227"/>
      <c r="BA4938" s="227"/>
      <c r="BB4938" s="227"/>
      <c r="BC4938" s="227"/>
      <c r="BD4938" s="227"/>
      <c r="BE4938" s="227"/>
      <c r="BF4938" s="227"/>
    </row>
    <row r="4939">
      <c r="A4939" s="235" t="s">
        <v>36469</v>
      </c>
      <c r="C4939" s="235" t="s">
        <v>36470</v>
      </c>
      <c r="D4939" s="235" t="s">
        <v>36471</v>
      </c>
      <c r="E4939" s="243">
        <v>6.49E13</v>
      </c>
      <c r="F4939" s="245"/>
      <c r="G4939" s="235" t="s">
        <v>36472</v>
      </c>
      <c r="H4939" s="235" t="s">
        <v>36473</v>
      </c>
      <c r="I4939" s="235" t="s">
        <v>36473</v>
      </c>
      <c r="J4939" s="235" t="s">
        <v>36474</v>
      </c>
      <c r="K4939" s="235" t="s">
        <v>36475</v>
      </c>
      <c r="N4939" s="235" t="s">
        <v>154</v>
      </c>
      <c r="O4939" s="235" t="s">
        <v>766</v>
      </c>
      <c r="P4939" s="238">
        <v>1.0</v>
      </c>
      <c r="Q4939" s="235" t="s">
        <v>627</v>
      </c>
      <c r="R4939" s="238">
        <v>465.71</v>
      </c>
      <c r="S4939" s="238">
        <v>23.29</v>
      </c>
      <c r="T4939" s="238">
        <v>0.0</v>
      </c>
      <c r="U4939" s="238">
        <v>0.0</v>
      </c>
      <c r="V4939" s="238">
        <v>0.0</v>
      </c>
      <c r="W4939" s="238">
        <v>0.0</v>
      </c>
      <c r="X4939" s="235" t="s">
        <v>628</v>
      </c>
      <c r="Z4939" s="245"/>
      <c r="AA4939" s="245"/>
      <c r="AB4939" s="245"/>
      <c r="AC4939" s="235" t="s">
        <v>822</v>
      </c>
      <c r="AD4939" s="235" t="s">
        <v>630</v>
      </c>
      <c r="AE4939" s="238">
        <v>201304.0</v>
      </c>
      <c r="AF4939" s="235" t="s">
        <v>631</v>
      </c>
      <c r="AG4939" s="245"/>
      <c r="AH4939" s="245"/>
      <c r="AI4939" s="245"/>
      <c r="AJ4939" s="245"/>
      <c r="AK4939" s="245"/>
      <c r="AL4939" s="245"/>
      <c r="AM4939" s="245"/>
      <c r="AN4939" s="245"/>
      <c r="AO4939" s="238">
        <v>0.0</v>
      </c>
      <c r="AP4939" s="238">
        <v>0.0</v>
      </c>
      <c r="AQ4939" s="235" t="s">
        <v>632</v>
      </c>
      <c r="AR4939" s="243">
        <v>1.68E11</v>
      </c>
      <c r="AS4939" s="235" t="s">
        <v>35895</v>
      </c>
      <c r="AT4939" s="235" t="s">
        <v>14</v>
      </c>
      <c r="AU4939" s="235" t="s">
        <v>634</v>
      </c>
      <c r="AV4939" s="246" t="s">
        <v>635</v>
      </c>
      <c r="AW4939" s="227"/>
      <c r="AX4939" s="227"/>
      <c r="AY4939" s="227"/>
      <c r="AZ4939" s="227"/>
      <c r="BA4939" s="227"/>
      <c r="BB4939" s="227"/>
      <c r="BC4939" s="227"/>
      <c r="BD4939" s="227"/>
      <c r="BE4939" s="227"/>
      <c r="BF4939" s="227"/>
    </row>
    <row r="4940">
      <c r="A4940" s="235" t="s">
        <v>36476</v>
      </c>
      <c r="C4940" s="235" t="s">
        <v>36477</v>
      </c>
      <c r="D4940" s="235" t="s">
        <v>36478</v>
      </c>
      <c r="E4940" s="243">
        <v>6.49E13</v>
      </c>
      <c r="F4940" s="245"/>
      <c r="G4940" s="235" t="s">
        <v>36479</v>
      </c>
      <c r="H4940" s="235" t="s">
        <v>36480</v>
      </c>
      <c r="I4940" s="235" t="s">
        <v>36480</v>
      </c>
      <c r="J4940" s="235" t="s">
        <v>36481</v>
      </c>
      <c r="K4940" s="235" t="s">
        <v>36482</v>
      </c>
      <c r="N4940" s="235" t="s">
        <v>989</v>
      </c>
      <c r="O4940" s="235" t="s">
        <v>990</v>
      </c>
      <c r="P4940" s="238">
        <v>1.0</v>
      </c>
      <c r="Q4940" s="235" t="s">
        <v>627</v>
      </c>
      <c r="R4940" s="238">
        <v>256.19</v>
      </c>
      <c r="S4940" s="238">
        <v>12.81</v>
      </c>
      <c r="T4940" s="238">
        <v>0.0</v>
      </c>
      <c r="U4940" s="238">
        <v>0.0</v>
      </c>
      <c r="V4940" s="238">
        <v>0.0</v>
      </c>
      <c r="W4940" s="238">
        <v>0.0</v>
      </c>
      <c r="X4940" s="235" t="s">
        <v>628</v>
      </c>
      <c r="Z4940" s="245"/>
      <c r="AA4940" s="245"/>
      <c r="AB4940" s="245"/>
      <c r="AC4940" s="235" t="s">
        <v>795</v>
      </c>
      <c r="AD4940" s="235" t="s">
        <v>796</v>
      </c>
      <c r="AE4940" s="238">
        <v>110049.0</v>
      </c>
      <c r="AF4940" s="235" t="s">
        <v>631</v>
      </c>
      <c r="AG4940" s="245"/>
      <c r="AH4940" s="245"/>
      <c r="AI4940" s="245"/>
      <c r="AJ4940" s="245"/>
      <c r="AK4940" s="245"/>
      <c r="AL4940" s="245"/>
      <c r="AM4940" s="245"/>
      <c r="AN4940" s="245"/>
      <c r="AO4940" s="238">
        <v>0.0</v>
      </c>
      <c r="AP4940" s="238">
        <v>0.0</v>
      </c>
      <c r="AQ4940" s="235" t="s">
        <v>632</v>
      </c>
      <c r="AR4940" s="243">
        <v>1.68E11</v>
      </c>
      <c r="AS4940" s="235" t="s">
        <v>35895</v>
      </c>
      <c r="AT4940" s="235" t="s">
        <v>14</v>
      </c>
      <c r="AU4940" s="235" t="s">
        <v>634</v>
      </c>
      <c r="AV4940" s="246" t="s">
        <v>635</v>
      </c>
      <c r="AW4940" s="227"/>
      <c r="AX4940" s="227"/>
      <c r="AY4940" s="227"/>
      <c r="AZ4940" s="227"/>
      <c r="BA4940" s="227"/>
      <c r="BB4940" s="227"/>
      <c r="BC4940" s="227"/>
      <c r="BD4940" s="227"/>
      <c r="BE4940" s="227"/>
      <c r="BF4940" s="227"/>
    </row>
    <row r="4941">
      <c r="A4941" s="235" t="s">
        <v>36483</v>
      </c>
      <c r="C4941" s="235" t="s">
        <v>36484</v>
      </c>
      <c r="D4941" s="235" t="s">
        <v>36485</v>
      </c>
      <c r="E4941" s="243">
        <v>6.49E13</v>
      </c>
      <c r="F4941" s="245"/>
      <c r="G4941" s="235" t="s">
        <v>36486</v>
      </c>
      <c r="H4941" s="235" t="s">
        <v>36487</v>
      </c>
      <c r="I4941" s="235" t="s">
        <v>36487</v>
      </c>
      <c r="J4941" s="235" t="s">
        <v>36488</v>
      </c>
      <c r="K4941" s="235" t="s">
        <v>36489</v>
      </c>
      <c r="N4941" s="235" t="s">
        <v>127</v>
      </c>
      <c r="O4941" s="235" t="s">
        <v>794</v>
      </c>
      <c r="P4941" s="238">
        <v>1.0</v>
      </c>
      <c r="Q4941" s="235" t="s">
        <v>627</v>
      </c>
      <c r="R4941" s="238">
        <v>243.8</v>
      </c>
      <c r="S4941" s="238">
        <v>12.2</v>
      </c>
      <c r="T4941" s="238">
        <v>0.0</v>
      </c>
      <c r="U4941" s="238">
        <v>0.0</v>
      </c>
      <c r="V4941" s="238">
        <v>0.0</v>
      </c>
      <c r="W4941" s="238">
        <v>0.0</v>
      </c>
      <c r="X4941" s="235" t="s">
        <v>628</v>
      </c>
      <c r="Z4941" s="245"/>
      <c r="AA4941" s="245"/>
      <c r="AB4941" s="245"/>
      <c r="AC4941" s="235" t="s">
        <v>687</v>
      </c>
      <c r="AD4941" s="235" t="s">
        <v>666</v>
      </c>
      <c r="AE4941" s="238">
        <v>600130.0</v>
      </c>
      <c r="AF4941" s="235" t="s">
        <v>631</v>
      </c>
      <c r="AG4941" s="245"/>
      <c r="AH4941" s="245"/>
      <c r="AI4941" s="245"/>
      <c r="AJ4941" s="245"/>
      <c r="AK4941" s="245"/>
      <c r="AL4941" s="245"/>
      <c r="AM4941" s="245"/>
      <c r="AN4941" s="245"/>
      <c r="AO4941" s="238">
        <v>0.0</v>
      </c>
      <c r="AP4941" s="238">
        <v>0.0</v>
      </c>
      <c r="AQ4941" s="235" t="s">
        <v>632</v>
      </c>
      <c r="AR4941" s="243">
        <v>3.7E11</v>
      </c>
      <c r="AS4941" s="235" t="s">
        <v>35520</v>
      </c>
      <c r="AT4941" s="235" t="s">
        <v>156</v>
      </c>
      <c r="AU4941" s="235" t="s">
        <v>634</v>
      </c>
      <c r="AV4941" s="246" t="s">
        <v>635</v>
      </c>
      <c r="AW4941" s="227"/>
      <c r="AX4941" s="227"/>
      <c r="AY4941" s="227"/>
      <c r="AZ4941" s="227"/>
      <c r="BA4941" s="227"/>
      <c r="BB4941" s="227"/>
      <c r="BC4941" s="227"/>
      <c r="BD4941" s="227"/>
      <c r="BE4941" s="227"/>
      <c r="BF4941" s="227"/>
    </row>
    <row r="4942">
      <c r="A4942" s="235" t="s">
        <v>36490</v>
      </c>
      <c r="C4942" s="235" t="s">
        <v>36491</v>
      </c>
      <c r="D4942" s="235" t="s">
        <v>36492</v>
      </c>
      <c r="E4942" s="243">
        <v>6.49E13</v>
      </c>
      <c r="F4942" s="245"/>
      <c r="G4942" s="235" t="s">
        <v>36493</v>
      </c>
      <c r="H4942" s="235" t="s">
        <v>36494</v>
      </c>
      <c r="I4942" s="235" t="s">
        <v>36494</v>
      </c>
      <c r="J4942" s="235" t="s">
        <v>36495</v>
      </c>
      <c r="K4942" s="235" t="s">
        <v>36496</v>
      </c>
      <c r="N4942" s="235" t="s">
        <v>126</v>
      </c>
      <c r="O4942" s="235" t="s">
        <v>407</v>
      </c>
      <c r="P4942" s="238">
        <v>1.0</v>
      </c>
      <c r="Q4942" s="235" t="s">
        <v>627</v>
      </c>
      <c r="R4942" s="238">
        <v>237.14</v>
      </c>
      <c r="S4942" s="238">
        <v>11.86</v>
      </c>
      <c r="T4942" s="238">
        <v>0.0</v>
      </c>
      <c r="U4942" s="238">
        <v>0.0</v>
      </c>
      <c r="V4942" s="238">
        <v>0.0</v>
      </c>
      <c r="W4942" s="238">
        <v>0.0</v>
      </c>
      <c r="X4942" s="235" t="s">
        <v>628</v>
      </c>
      <c r="Z4942" s="245"/>
      <c r="AA4942" s="245"/>
      <c r="AB4942" s="245"/>
      <c r="AC4942" s="235" t="s">
        <v>21738</v>
      </c>
      <c r="AD4942" s="235" t="s">
        <v>1077</v>
      </c>
      <c r="AE4942" s="238">
        <v>364002.0</v>
      </c>
      <c r="AF4942" s="235" t="s">
        <v>631</v>
      </c>
      <c r="AG4942" s="245"/>
      <c r="AH4942" s="245"/>
      <c r="AI4942" s="245"/>
      <c r="AJ4942" s="245"/>
      <c r="AK4942" s="245"/>
      <c r="AL4942" s="245"/>
      <c r="AM4942" s="245"/>
      <c r="AN4942" s="245"/>
      <c r="AO4942" s="238">
        <v>0.0</v>
      </c>
      <c r="AP4942" s="238">
        <v>0.0</v>
      </c>
      <c r="AQ4942" s="235" t="s">
        <v>632</v>
      </c>
      <c r="AR4942" s="243">
        <v>1.68E11</v>
      </c>
      <c r="AS4942" s="235" t="s">
        <v>35520</v>
      </c>
      <c r="AT4942" s="235" t="s">
        <v>5</v>
      </c>
      <c r="AU4942" s="235" t="s">
        <v>634</v>
      </c>
      <c r="AV4942" s="246" t="s">
        <v>635</v>
      </c>
      <c r="AW4942" s="227"/>
      <c r="AX4942" s="227"/>
      <c r="AY4942" s="227"/>
      <c r="AZ4942" s="227"/>
      <c r="BA4942" s="227"/>
      <c r="BB4942" s="227"/>
      <c r="BC4942" s="227"/>
      <c r="BD4942" s="227"/>
      <c r="BE4942" s="227"/>
      <c r="BF4942" s="227"/>
    </row>
    <row r="4943">
      <c r="A4943" s="235" t="s">
        <v>36497</v>
      </c>
      <c r="C4943" s="235" t="s">
        <v>36498</v>
      </c>
      <c r="D4943" s="235" t="s">
        <v>36499</v>
      </c>
      <c r="E4943" s="243">
        <v>6.49E13</v>
      </c>
      <c r="F4943" s="245"/>
      <c r="G4943" s="235" t="s">
        <v>36500</v>
      </c>
      <c r="H4943" s="235" t="s">
        <v>36501</v>
      </c>
      <c r="I4943" s="235" t="s">
        <v>36501</v>
      </c>
      <c r="J4943" s="235" t="s">
        <v>36502</v>
      </c>
      <c r="K4943" s="235" t="s">
        <v>36503</v>
      </c>
      <c r="N4943" s="235" t="s">
        <v>85</v>
      </c>
      <c r="O4943" s="235" t="s">
        <v>872</v>
      </c>
      <c r="P4943" s="238">
        <v>1.0</v>
      </c>
      <c r="Q4943" s="235" t="s">
        <v>627</v>
      </c>
      <c r="R4943" s="238">
        <v>243.81</v>
      </c>
      <c r="S4943" s="238">
        <v>12.19</v>
      </c>
      <c r="T4943" s="238">
        <v>56.19</v>
      </c>
      <c r="U4943" s="238">
        <v>2.81</v>
      </c>
      <c r="V4943" s="238">
        <v>0.0</v>
      </c>
      <c r="W4943" s="238">
        <v>0.0</v>
      </c>
      <c r="X4943" s="235" t="s">
        <v>628</v>
      </c>
      <c r="Z4943" s="245"/>
      <c r="AA4943" s="245"/>
      <c r="AB4943" s="245"/>
      <c r="AC4943" s="235" t="s">
        <v>36504</v>
      </c>
      <c r="AD4943" s="235" t="s">
        <v>854</v>
      </c>
      <c r="AE4943" s="238">
        <v>403515.0</v>
      </c>
      <c r="AF4943" s="235" t="s">
        <v>631</v>
      </c>
      <c r="AG4943" s="245"/>
      <c r="AH4943" s="245"/>
      <c r="AI4943" s="245"/>
      <c r="AJ4943" s="245"/>
      <c r="AK4943" s="245"/>
      <c r="AL4943" s="245"/>
      <c r="AM4943" s="245"/>
      <c r="AN4943" s="245"/>
      <c r="AO4943" s="238">
        <v>0.0</v>
      </c>
      <c r="AP4943" s="238">
        <v>0.0</v>
      </c>
      <c r="AQ4943" s="235" t="s">
        <v>632</v>
      </c>
      <c r="AR4943" s="243">
        <v>3.7E11</v>
      </c>
      <c r="AS4943" s="235" t="s">
        <v>34510</v>
      </c>
      <c r="AT4943" s="235" t="s">
        <v>11</v>
      </c>
      <c r="AU4943" s="235" t="s">
        <v>634</v>
      </c>
      <c r="AV4943" s="246" t="s">
        <v>635</v>
      </c>
      <c r="AW4943" s="227"/>
      <c r="AX4943" s="227"/>
      <c r="AY4943" s="227"/>
      <c r="AZ4943" s="227"/>
      <c r="BA4943" s="227"/>
      <c r="BB4943" s="227"/>
      <c r="BC4943" s="227"/>
      <c r="BD4943" s="227"/>
      <c r="BE4943" s="227"/>
      <c r="BF4943" s="227"/>
    </row>
    <row r="4944">
      <c r="A4944" s="235" t="s">
        <v>36505</v>
      </c>
      <c r="C4944" s="235" t="s">
        <v>36506</v>
      </c>
      <c r="D4944" s="235" t="s">
        <v>36507</v>
      </c>
      <c r="E4944" s="243">
        <v>6.49E13</v>
      </c>
      <c r="F4944" s="245"/>
      <c r="G4944" s="235" t="s">
        <v>36508</v>
      </c>
      <c r="H4944" s="235" t="s">
        <v>36509</v>
      </c>
      <c r="I4944" s="235" t="s">
        <v>36510</v>
      </c>
      <c r="J4944" s="235" t="s">
        <v>36511</v>
      </c>
      <c r="K4944" s="235" t="s">
        <v>36512</v>
      </c>
      <c r="N4944" s="235" t="s">
        <v>42</v>
      </c>
      <c r="O4944" s="235" t="s">
        <v>204</v>
      </c>
      <c r="P4944" s="238">
        <v>1.0</v>
      </c>
      <c r="Q4944" s="235" t="s">
        <v>627</v>
      </c>
      <c r="R4944" s="238">
        <v>237.14</v>
      </c>
      <c r="S4944" s="238">
        <v>11.86</v>
      </c>
      <c r="T4944" s="238">
        <v>0.0</v>
      </c>
      <c r="U4944" s="238">
        <v>0.0</v>
      </c>
      <c r="V4944" s="238">
        <v>0.0</v>
      </c>
      <c r="W4944" s="238">
        <v>0.0</v>
      </c>
      <c r="X4944" s="235" t="s">
        <v>628</v>
      </c>
      <c r="Z4944" s="245"/>
      <c r="AA4944" s="245"/>
      <c r="AB4944" s="245"/>
      <c r="AC4944" s="235" t="s">
        <v>678</v>
      </c>
      <c r="AD4944" s="235" t="s">
        <v>679</v>
      </c>
      <c r="AE4944" s="238">
        <v>560065.0</v>
      </c>
      <c r="AF4944" s="235" t="s">
        <v>631</v>
      </c>
      <c r="AG4944" s="245"/>
      <c r="AH4944" s="245"/>
      <c r="AI4944" s="245"/>
      <c r="AJ4944" s="245"/>
      <c r="AK4944" s="245"/>
      <c r="AL4944" s="245"/>
      <c r="AM4944" s="245"/>
      <c r="AN4944" s="245"/>
      <c r="AO4944" s="238">
        <v>0.0</v>
      </c>
      <c r="AP4944" s="238">
        <v>0.0</v>
      </c>
      <c r="AQ4944" s="235" t="s">
        <v>632</v>
      </c>
      <c r="AR4944" s="243">
        <v>1.68E11</v>
      </c>
      <c r="AS4944" s="235" t="s">
        <v>35895</v>
      </c>
      <c r="AT4944" s="235" t="s">
        <v>11</v>
      </c>
      <c r="AU4944" s="235" t="s">
        <v>634</v>
      </c>
      <c r="AV4944" s="246" t="s">
        <v>635</v>
      </c>
      <c r="AW4944" s="227"/>
      <c r="AX4944" s="227"/>
      <c r="AY4944" s="227"/>
      <c r="AZ4944" s="227"/>
      <c r="BA4944" s="227"/>
      <c r="BB4944" s="227"/>
      <c r="BC4944" s="227"/>
      <c r="BD4944" s="227"/>
      <c r="BE4944" s="227"/>
      <c r="BF4944" s="227"/>
    </row>
    <row r="4945">
      <c r="A4945" s="235" t="s">
        <v>36513</v>
      </c>
      <c r="C4945" s="235" t="s">
        <v>36514</v>
      </c>
      <c r="D4945" s="235" t="s">
        <v>36515</v>
      </c>
      <c r="E4945" s="243">
        <v>6.49E13</v>
      </c>
      <c r="F4945" s="245"/>
      <c r="G4945" s="235" t="s">
        <v>36516</v>
      </c>
      <c r="H4945" s="235" t="s">
        <v>36517</v>
      </c>
      <c r="I4945" s="235" t="s">
        <v>36517</v>
      </c>
      <c r="J4945" s="235" t="s">
        <v>36518</v>
      </c>
      <c r="K4945" s="235" t="s">
        <v>36519</v>
      </c>
      <c r="N4945" s="235" t="s">
        <v>27</v>
      </c>
      <c r="O4945" s="235" t="s">
        <v>573</v>
      </c>
      <c r="P4945" s="238">
        <v>1.0</v>
      </c>
      <c r="Q4945" s="235" t="s">
        <v>627</v>
      </c>
      <c r="R4945" s="238">
        <v>360.96</v>
      </c>
      <c r="S4945" s="238">
        <v>18.04</v>
      </c>
      <c r="T4945" s="238">
        <v>0.0</v>
      </c>
      <c r="U4945" s="238">
        <v>0.0</v>
      </c>
      <c r="V4945" s="238">
        <v>0.0</v>
      </c>
      <c r="W4945" s="238">
        <v>0.0</v>
      </c>
      <c r="X4945" s="235" t="s">
        <v>628</v>
      </c>
      <c r="Z4945" s="245"/>
      <c r="AA4945" s="245"/>
      <c r="AB4945" s="245"/>
      <c r="AC4945" s="235" t="s">
        <v>1604</v>
      </c>
      <c r="AD4945" s="235" t="s">
        <v>845</v>
      </c>
      <c r="AE4945" s="238">
        <v>400065.0</v>
      </c>
      <c r="AF4945" s="235" t="s">
        <v>631</v>
      </c>
      <c r="AG4945" s="245"/>
      <c r="AH4945" s="245"/>
      <c r="AI4945" s="245"/>
      <c r="AJ4945" s="245"/>
      <c r="AK4945" s="245"/>
      <c r="AL4945" s="245"/>
      <c r="AM4945" s="245"/>
      <c r="AN4945" s="245"/>
      <c r="AO4945" s="238">
        <v>0.0</v>
      </c>
      <c r="AP4945" s="238">
        <v>0.0</v>
      </c>
      <c r="AQ4945" s="235" t="s">
        <v>632</v>
      </c>
      <c r="AR4945" s="243">
        <v>1.68E11</v>
      </c>
      <c r="AS4945" s="235" t="s">
        <v>35895</v>
      </c>
      <c r="AT4945" s="235" t="s">
        <v>16</v>
      </c>
      <c r="AU4945" s="235" t="s">
        <v>634</v>
      </c>
      <c r="AV4945" s="246" t="s">
        <v>635</v>
      </c>
      <c r="AW4945" s="227"/>
      <c r="AX4945" s="227"/>
      <c r="AY4945" s="227"/>
      <c r="AZ4945" s="227"/>
      <c r="BA4945" s="227"/>
      <c r="BB4945" s="227"/>
      <c r="BC4945" s="227"/>
      <c r="BD4945" s="227"/>
      <c r="BE4945" s="227"/>
      <c r="BF4945" s="227"/>
    </row>
    <row r="4946">
      <c r="A4946" s="235" t="s">
        <v>36520</v>
      </c>
      <c r="C4946" s="235" t="s">
        <v>36521</v>
      </c>
      <c r="D4946" s="235" t="s">
        <v>36522</v>
      </c>
      <c r="E4946" s="243">
        <v>6.49E13</v>
      </c>
      <c r="F4946" s="245"/>
      <c r="G4946" s="235" t="s">
        <v>36523</v>
      </c>
      <c r="H4946" s="235" t="s">
        <v>36524</v>
      </c>
      <c r="I4946" s="235" t="s">
        <v>36524</v>
      </c>
      <c r="J4946" s="235" t="s">
        <v>36525</v>
      </c>
      <c r="K4946" s="235" t="s">
        <v>36526</v>
      </c>
      <c r="N4946" s="235" t="s">
        <v>42</v>
      </c>
      <c r="O4946" s="235" t="s">
        <v>204</v>
      </c>
      <c r="P4946" s="238">
        <v>1.0</v>
      </c>
      <c r="Q4946" s="235" t="s">
        <v>627</v>
      </c>
      <c r="R4946" s="238">
        <v>237.14</v>
      </c>
      <c r="S4946" s="238">
        <v>11.62</v>
      </c>
      <c r="T4946" s="238">
        <v>0.0</v>
      </c>
      <c r="U4946" s="238">
        <v>0.0</v>
      </c>
      <c r="V4946" s="238">
        <v>0.0</v>
      </c>
      <c r="W4946" s="238">
        <v>0.0</v>
      </c>
      <c r="X4946" s="235" t="s">
        <v>628</v>
      </c>
      <c r="Z4946" s="245"/>
      <c r="AA4946" s="245"/>
      <c r="AB4946" s="245"/>
      <c r="AC4946" s="235" t="s">
        <v>687</v>
      </c>
      <c r="AD4946" s="235" t="s">
        <v>666</v>
      </c>
      <c r="AE4946" s="238">
        <v>600061.0</v>
      </c>
      <c r="AF4946" s="235" t="s">
        <v>631</v>
      </c>
      <c r="AG4946" s="245"/>
      <c r="AH4946" s="245"/>
      <c r="AI4946" s="245"/>
      <c r="AJ4946" s="245"/>
      <c r="AK4946" s="245"/>
      <c r="AL4946" s="245"/>
      <c r="AM4946" s="245"/>
      <c r="AN4946" s="245"/>
      <c r="AO4946" s="238">
        <v>-4.74</v>
      </c>
      <c r="AP4946" s="238">
        <v>0.0</v>
      </c>
      <c r="AQ4946" s="235" t="s">
        <v>632</v>
      </c>
      <c r="AR4946" s="243">
        <v>1.68E11</v>
      </c>
      <c r="AS4946" s="235" t="s">
        <v>35895</v>
      </c>
      <c r="AT4946" s="235" t="s">
        <v>156</v>
      </c>
      <c r="AU4946" s="235" t="s">
        <v>634</v>
      </c>
      <c r="AV4946" s="246" t="s">
        <v>635</v>
      </c>
      <c r="AW4946" s="227"/>
      <c r="AX4946" s="227"/>
      <c r="AY4946" s="227"/>
      <c r="AZ4946" s="227"/>
      <c r="BA4946" s="227"/>
      <c r="BB4946" s="227"/>
      <c r="BC4946" s="227"/>
      <c r="BD4946" s="227"/>
      <c r="BE4946" s="227"/>
      <c r="BF4946" s="227"/>
    </row>
    <row r="4947">
      <c r="A4947" s="235" t="s">
        <v>36527</v>
      </c>
      <c r="C4947" s="235" t="s">
        <v>36528</v>
      </c>
      <c r="D4947" s="235" t="s">
        <v>36529</v>
      </c>
      <c r="E4947" s="243">
        <v>6.49E13</v>
      </c>
      <c r="F4947" s="245"/>
      <c r="G4947" s="235" t="s">
        <v>36530</v>
      </c>
      <c r="H4947" s="235" t="s">
        <v>36531</v>
      </c>
      <c r="I4947" s="235" t="s">
        <v>36532</v>
      </c>
      <c r="J4947" s="235" t="s">
        <v>36533</v>
      </c>
      <c r="K4947" s="235" t="s">
        <v>36534</v>
      </c>
      <c r="N4947" s="235" t="s">
        <v>962</v>
      </c>
      <c r="O4947" s="235" t="s">
        <v>963</v>
      </c>
      <c r="P4947" s="238">
        <v>1.0</v>
      </c>
      <c r="Q4947" s="235" t="s">
        <v>627</v>
      </c>
      <c r="R4947" s="238">
        <v>245.71</v>
      </c>
      <c r="S4947" s="238">
        <v>12.04</v>
      </c>
      <c r="T4947" s="238">
        <v>0.0</v>
      </c>
      <c r="U4947" s="238">
        <v>0.0</v>
      </c>
      <c r="V4947" s="238">
        <v>0.0</v>
      </c>
      <c r="W4947" s="238">
        <v>0.0</v>
      </c>
      <c r="X4947" s="235" t="s">
        <v>628</v>
      </c>
      <c r="Z4947" s="245"/>
      <c r="AA4947" s="245"/>
      <c r="AB4947" s="245"/>
      <c r="AC4947" s="235" t="s">
        <v>36535</v>
      </c>
      <c r="AD4947" s="235" t="s">
        <v>645</v>
      </c>
      <c r="AE4947" s="238">
        <v>676501.0</v>
      </c>
      <c r="AF4947" s="235" t="s">
        <v>631</v>
      </c>
      <c r="AG4947" s="245"/>
      <c r="AH4947" s="245"/>
      <c r="AI4947" s="245"/>
      <c r="AJ4947" s="245"/>
      <c r="AK4947" s="245"/>
      <c r="AL4947" s="245"/>
      <c r="AM4947" s="245"/>
      <c r="AN4947" s="245"/>
      <c r="AO4947" s="238">
        <v>-4.91</v>
      </c>
      <c r="AP4947" s="238">
        <v>0.0</v>
      </c>
      <c r="AQ4947" s="235" t="s">
        <v>632</v>
      </c>
      <c r="AR4947" s="243">
        <v>3.7E11</v>
      </c>
      <c r="AS4947" s="235" t="s">
        <v>35520</v>
      </c>
      <c r="AT4947" s="235" t="s">
        <v>155</v>
      </c>
      <c r="AU4947" s="235" t="s">
        <v>634</v>
      </c>
      <c r="AV4947" s="246" t="s">
        <v>635</v>
      </c>
      <c r="AW4947" s="227"/>
      <c r="AX4947" s="227"/>
      <c r="AY4947" s="227"/>
      <c r="AZ4947" s="227"/>
      <c r="BA4947" s="227"/>
      <c r="BB4947" s="227"/>
      <c r="BC4947" s="227"/>
      <c r="BD4947" s="227"/>
      <c r="BE4947" s="227"/>
      <c r="BF4947" s="227"/>
    </row>
    <row r="4948">
      <c r="A4948" s="235" t="s">
        <v>36536</v>
      </c>
      <c r="C4948" s="235" t="s">
        <v>36537</v>
      </c>
      <c r="D4948" s="235" t="s">
        <v>36538</v>
      </c>
      <c r="E4948" s="243">
        <v>6.49E13</v>
      </c>
      <c r="F4948" s="245"/>
      <c r="G4948" s="235" t="s">
        <v>36539</v>
      </c>
      <c r="H4948" s="235" t="s">
        <v>36540</v>
      </c>
      <c r="I4948" s="235" t="s">
        <v>36540</v>
      </c>
      <c r="J4948" s="235" t="s">
        <v>36541</v>
      </c>
      <c r="K4948" s="235" t="s">
        <v>21202</v>
      </c>
      <c r="N4948" s="235" t="s">
        <v>111</v>
      </c>
      <c r="O4948" s="235" t="s">
        <v>464</v>
      </c>
      <c r="P4948" s="238">
        <v>1.0</v>
      </c>
      <c r="Q4948" s="235" t="s">
        <v>627</v>
      </c>
      <c r="R4948" s="238">
        <v>246.66</v>
      </c>
      <c r="S4948" s="238">
        <v>12.34</v>
      </c>
      <c r="T4948" s="238">
        <v>0.0</v>
      </c>
      <c r="U4948" s="238">
        <v>0.0</v>
      </c>
      <c r="V4948" s="238">
        <v>0.0</v>
      </c>
      <c r="W4948" s="238">
        <v>0.0</v>
      </c>
      <c r="X4948" s="235" t="s">
        <v>628</v>
      </c>
      <c r="Z4948" s="245"/>
      <c r="AA4948" s="245"/>
      <c r="AB4948" s="245"/>
      <c r="AC4948" s="235" t="s">
        <v>12541</v>
      </c>
      <c r="AD4948" s="235" t="s">
        <v>666</v>
      </c>
      <c r="AE4948" s="238">
        <v>628002.0</v>
      </c>
      <c r="AF4948" s="235" t="s">
        <v>631</v>
      </c>
      <c r="AG4948" s="245"/>
      <c r="AH4948" s="245"/>
      <c r="AI4948" s="245"/>
      <c r="AJ4948" s="245"/>
      <c r="AK4948" s="245"/>
      <c r="AL4948" s="245"/>
      <c r="AM4948" s="245"/>
      <c r="AN4948" s="245"/>
      <c r="AO4948" s="238">
        <v>0.0</v>
      </c>
      <c r="AP4948" s="238">
        <v>0.0</v>
      </c>
      <c r="AQ4948" s="235" t="s">
        <v>632</v>
      </c>
      <c r="AR4948" s="243">
        <v>3.7E11</v>
      </c>
      <c r="AS4948" s="235" t="s">
        <v>34510</v>
      </c>
      <c r="AT4948" s="235" t="s">
        <v>156</v>
      </c>
      <c r="AU4948" s="235" t="s">
        <v>634</v>
      </c>
      <c r="AV4948" s="246" t="s">
        <v>635</v>
      </c>
      <c r="AW4948" s="227"/>
      <c r="AX4948" s="227"/>
      <c r="AY4948" s="227"/>
      <c r="AZ4948" s="227"/>
      <c r="BA4948" s="227"/>
      <c r="BB4948" s="227"/>
      <c r="BC4948" s="227"/>
      <c r="BD4948" s="227"/>
      <c r="BE4948" s="227"/>
      <c r="BF4948" s="227"/>
    </row>
    <row r="4949">
      <c r="A4949" s="235" t="s">
        <v>36542</v>
      </c>
      <c r="C4949" s="235" t="s">
        <v>36543</v>
      </c>
      <c r="D4949" s="235" t="s">
        <v>36544</v>
      </c>
      <c r="E4949" s="243">
        <v>6.49E13</v>
      </c>
      <c r="F4949" s="245"/>
      <c r="G4949" s="235" t="s">
        <v>36545</v>
      </c>
      <c r="H4949" s="235" t="s">
        <v>36546</v>
      </c>
      <c r="I4949" s="235" t="s">
        <v>36546</v>
      </c>
      <c r="J4949" s="235" t="s">
        <v>36547</v>
      </c>
      <c r="K4949" s="235" t="s">
        <v>36548</v>
      </c>
      <c r="N4949" s="235" t="s">
        <v>3875</v>
      </c>
      <c r="O4949" s="235" t="s">
        <v>3876</v>
      </c>
      <c r="P4949" s="238">
        <v>1.0</v>
      </c>
      <c r="Q4949" s="235" t="s">
        <v>627</v>
      </c>
      <c r="R4949" s="238">
        <v>207.62</v>
      </c>
      <c r="S4949" s="238">
        <v>10.18</v>
      </c>
      <c r="T4949" s="238">
        <v>0.0</v>
      </c>
      <c r="U4949" s="238">
        <v>0.0</v>
      </c>
      <c r="V4949" s="238">
        <v>0.0</v>
      </c>
      <c r="W4949" s="238">
        <v>0.0</v>
      </c>
      <c r="X4949" s="235" t="s">
        <v>628</v>
      </c>
      <c r="Z4949" s="245"/>
      <c r="AA4949" s="245"/>
      <c r="AB4949" s="245"/>
      <c r="AC4949" s="235" t="s">
        <v>1058</v>
      </c>
      <c r="AD4949" s="235" t="s">
        <v>845</v>
      </c>
      <c r="AE4949" s="238">
        <v>400095.0</v>
      </c>
      <c r="AF4949" s="235" t="s">
        <v>631</v>
      </c>
      <c r="AG4949" s="245"/>
      <c r="AH4949" s="245"/>
      <c r="AI4949" s="245"/>
      <c r="AJ4949" s="245"/>
      <c r="AK4949" s="245"/>
      <c r="AL4949" s="245"/>
      <c r="AM4949" s="245"/>
      <c r="AN4949" s="245"/>
      <c r="AO4949" s="238">
        <v>-4.16</v>
      </c>
      <c r="AP4949" s="238">
        <v>0.0</v>
      </c>
      <c r="AQ4949" s="235" t="s">
        <v>632</v>
      </c>
      <c r="AR4949" s="243">
        <v>3.7E11</v>
      </c>
      <c r="AS4949" s="235" t="s">
        <v>35520</v>
      </c>
      <c r="AT4949" s="235" t="s">
        <v>17</v>
      </c>
      <c r="AU4949" s="235" t="s">
        <v>634</v>
      </c>
      <c r="AV4949" s="246" t="s">
        <v>635</v>
      </c>
      <c r="AW4949" s="227"/>
      <c r="AX4949" s="227"/>
      <c r="AY4949" s="227"/>
      <c r="AZ4949" s="227"/>
      <c r="BA4949" s="227"/>
      <c r="BB4949" s="227"/>
      <c r="BC4949" s="227"/>
      <c r="BD4949" s="227"/>
      <c r="BE4949" s="227"/>
      <c r="BF4949" s="227"/>
    </row>
    <row r="4950">
      <c r="A4950" s="235" t="s">
        <v>36549</v>
      </c>
      <c r="C4950" s="235" t="s">
        <v>36550</v>
      </c>
      <c r="D4950" s="235" t="s">
        <v>36551</v>
      </c>
      <c r="E4950" s="243">
        <v>6.49E13</v>
      </c>
      <c r="F4950" s="245"/>
      <c r="G4950" s="235" t="s">
        <v>36552</v>
      </c>
      <c r="H4950" s="235" t="s">
        <v>36553</v>
      </c>
      <c r="I4950" s="235" t="s">
        <v>36553</v>
      </c>
      <c r="J4950" s="235" t="s">
        <v>36554</v>
      </c>
      <c r="K4950" s="235" t="s">
        <v>36555</v>
      </c>
      <c r="N4950" s="235" t="s">
        <v>92</v>
      </c>
      <c r="O4950" s="235" t="s">
        <v>248</v>
      </c>
      <c r="P4950" s="238">
        <v>1.0</v>
      </c>
      <c r="Q4950" s="235" t="s">
        <v>627</v>
      </c>
      <c r="R4950" s="238">
        <v>244.76</v>
      </c>
      <c r="S4950" s="238">
        <v>12.24</v>
      </c>
      <c r="T4950" s="238">
        <v>38.1</v>
      </c>
      <c r="U4950" s="238">
        <v>1.9</v>
      </c>
      <c r="V4950" s="238">
        <v>0.0</v>
      </c>
      <c r="W4950" s="238">
        <v>0.0</v>
      </c>
      <c r="X4950" s="235" t="s">
        <v>628</v>
      </c>
      <c r="Z4950" s="245"/>
      <c r="AA4950" s="245"/>
      <c r="AB4950" s="245"/>
      <c r="AC4950" s="235" t="s">
        <v>1680</v>
      </c>
      <c r="AD4950" s="235" t="s">
        <v>928</v>
      </c>
      <c r="AE4950" s="238">
        <v>132103.0</v>
      </c>
      <c r="AF4950" s="235" t="s">
        <v>631</v>
      </c>
      <c r="AG4950" s="245"/>
      <c r="AH4950" s="245"/>
      <c r="AI4950" s="245"/>
      <c r="AJ4950" s="245"/>
      <c r="AK4950" s="245"/>
      <c r="AL4950" s="245"/>
      <c r="AM4950" s="245"/>
      <c r="AN4950" s="245"/>
      <c r="AO4950" s="238">
        <v>0.0</v>
      </c>
      <c r="AP4950" s="238">
        <v>-38.1</v>
      </c>
      <c r="AQ4950" s="235" t="s">
        <v>632</v>
      </c>
      <c r="AR4950" s="243">
        <v>3.7E11</v>
      </c>
      <c r="AS4950" s="235" t="s">
        <v>35520</v>
      </c>
      <c r="AT4950" s="235" t="s">
        <v>14</v>
      </c>
      <c r="AU4950" s="235" t="s">
        <v>634</v>
      </c>
      <c r="AV4950" s="246" t="s">
        <v>635</v>
      </c>
      <c r="AW4950" s="227"/>
      <c r="AX4950" s="227"/>
      <c r="AY4950" s="227"/>
      <c r="AZ4950" s="227"/>
      <c r="BA4950" s="227"/>
      <c r="BB4950" s="227"/>
      <c r="BC4950" s="227"/>
      <c r="BD4950" s="227"/>
      <c r="BE4950" s="227"/>
      <c r="BF4950" s="227"/>
    </row>
    <row r="4951">
      <c r="A4951" s="235" t="s">
        <v>36556</v>
      </c>
      <c r="C4951" s="235" t="s">
        <v>36557</v>
      </c>
      <c r="D4951" s="235" t="s">
        <v>36558</v>
      </c>
      <c r="E4951" s="243">
        <v>6.49E13</v>
      </c>
      <c r="F4951" s="245"/>
      <c r="G4951" s="235" t="s">
        <v>36559</v>
      </c>
      <c r="H4951" s="235" t="s">
        <v>36560</v>
      </c>
      <c r="I4951" s="235" t="s">
        <v>36560</v>
      </c>
      <c r="J4951" s="235" t="s">
        <v>36561</v>
      </c>
      <c r="K4951" s="235" t="s">
        <v>36562</v>
      </c>
      <c r="N4951" s="235" t="s">
        <v>42</v>
      </c>
      <c r="O4951" s="235" t="s">
        <v>204</v>
      </c>
      <c r="P4951" s="238">
        <v>1.0</v>
      </c>
      <c r="Q4951" s="235" t="s">
        <v>627</v>
      </c>
      <c r="R4951" s="238">
        <v>237.14</v>
      </c>
      <c r="S4951" s="238">
        <v>11.86</v>
      </c>
      <c r="T4951" s="238">
        <v>0.0</v>
      </c>
      <c r="U4951" s="238">
        <v>0.0</v>
      </c>
      <c r="V4951" s="238">
        <v>0.0</v>
      </c>
      <c r="W4951" s="238">
        <v>0.0</v>
      </c>
      <c r="X4951" s="235" t="s">
        <v>628</v>
      </c>
      <c r="Z4951" s="245"/>
      <c r="AA4951" s="245"/>
      <c r="AB4951" s="245"/>
      <c r="AC4951" s="235" t="s">
        <v>36563</v>
      </c>
      <c r="AD4951" s="235" t="s">
        <v>666</v>
      </c>
      <c r="AE4951" s="238">
        <v>630305.0</v>
      </c>
      <c r="AF4951" s="235" t="s">
        <v>631</v>
      </c>
      <c r="AG4951" s="245"/>
      <c r="AH4951" s="245"/>
      <c r="AI4951" s="245"/>
      <c r="AJ4951" s="245"/>
      <c r="AK4951" s="245"/>
      <c r="AL4951" s="245"/>
      <c r="AM4951" s="245"/>
      <c r="AN4951" s="245"/>
      <c r="AO4951" s="238">
        <v>0.0</v>
      </c>
      <c r="AP4951" s="238">
        <v>0.0</v>
      </c>
      <c r="AQ4951" s="235" t="s">
        <v>632</v>
      </c>
      <c r="AR4951" s="243">
        <v>3.7E11</v>
      </c>
      <c r="AS4951" s="235" t="s">
        <v>33466</v>
      </c>
      <c r="AT4951" s="235" t="s">
        <v>156</v>
      </c>
      <c r="AU4951" s="235" t="s">
        <v>634</v>
      </c>
      <c r="AV4951" s="246" t="s">
        <v>635</v>
      </c>
      <c r="AW4951" s="227"/>
      <c r="AX4951" s="227"/>
      <c r="AY4951" s="227"/>
      <c r="AZ4951" s="227"/>
      <c r="BA4951" s="227"/>
      <c r="BB4951" s="227"/>
      <c r="BC4951" s="227"/>
      <c r="BD4951" s="227"/>
      <c r="BE4951" s="227"/>
      <c r="BF4951" s="227"/>
    </row>
    <row r="4952">
      <c r="A4952" s="235" t="s">
        <v>36564</v>
      </c>
      <c r="C4952" s="235" t="s">
        <v>36565</v>
      </c>
      <c r="D4952" s="235" t="s">
        <v>36566</v>
      </c>
      <c r="E4952" s="243">
        <v>6.49E13</v>
      </c>
      <c r="F4952" s="245"/>
      <c r="G4952" s="235" t="s">
        <v>36567</v>
      </c>
      <c r="H4952" s="235" t="s">
        <v>36568</v>
      </c>
      <c r="I4952" s="235" t="s">
        <v>36568</v>
      </c>
      <c r="J4952" s="235" t="s">
        <v>36569</v>
      </c>
      <c r="K4952" s="235" t="s">
        <v>36570</v>
      </c>
      <c r="N4952" s="235" t="s">
        <v>85</v>
      </c>
      <c r="O4952" s="235" t="s">
        <v>872</v>
      </c>
      <c r="P4952" s="238">
        <v>1.0</v>
      </c>
      <c r="Q4952" s="235" t="s">
        <v>627</v>
      </c>
      <c r="R4952" s="238">
        <v>243.81</v>
      </c>
      <c r="S4952" s="238">
        <v>12.19</v>
      </c>
      <c r="T4952" s="238">
        <v>0.0</v>
      </c>
      <c r="U4952" s="238">
        <v>0.0</v>
      </c>
      <c r="V4952" s="238">
        <v>0.0</v>
      </c>
      <c r="W4952" s="238">
        <v>0.0</v>
      </c>
      <c r="X4952" s="235" t="s">
        <v>628</v>
      </c>
      <c r="Z4952" s="245"/>
      <c r="AA4952" s="245"/>
      <c r="AB4952" s="245"/>
      <c r="AC4952" s="235" t="s">
        <v>1406</v>
      </c>
      <c r="AD4952" s="235" t="s">
        <v>854</v>
      </c>
      <c r="AE4952" s="238">
        <v>403601.0</v>
      </c>
      <c r="AF4952" s="235" t="s">
        <v>631</v>
      </c>
      <c r="AG4952" s="245"/>
      <c r="AH4952" s="245"/>
      <c r="AI4952" s="245"/>
      <c r="AJ4952" s="245"/>
      <c r="AK4952" s="245"/>
      <c r="AL4952" s="245"/>
      <c r="AM4952" s="245"/>
      <c r="AN4952" s="245"/>
      <c r="AO4952" s="238">
        <v>0.0</v>
      </c>
      <c r="AP4952" s="238">
        <v>0.0</v>
      </c>
      <c r="AQ4952" s="235" t="s">
        <v>632</v>
      </c>
      <c r="AR4952" s="243">
        <v>3.7E11</v>
      </c>
      <c r="AS4952" s="235" t="s">
        <v>34510</v>
      </c>
      <c r="AT4952" s="235" t="s">
        <v>11</v>
      </c>
      <c r="AU4952" s="235" t="s">
        <v>634</v>
      </c>
      <c r="AV4952" s="246" t="s">
        <v>635</v>
      </c>
      <c r="AW4952" s="227"/>
      <c r="AX4952" s="227"/>
      <c r="AY4952" s="227"/>
      <c r="AZ4952" s="227"/>
      <c r="BA4952" s="227"/>
      <c r="BB4952" s="227"/>
      <c r="BC4952" s="227"/>
      <c r="BD4952" s="227"/>
      <c r="BE4952" s="227"/>
      <c r="BF4952" s="227"/>
    </row>
    <row r="4953">
      <c r="A4953" s="235" t="s">
        <v>36571</v>
      </c>
      <c r="C4953" s="235" t="s">
        <v>36572</v>
      </c>
      <c r="D4953" s="235" t="s">
        <v>36573</v>
      </c>
      <c r="E4953" s="243">
        <v>6.49E13</v>
      </c>
      <c r="F4953" s="245"/>
      <c r="G4953" s="235" t="s">
        <v>36574</v>
      </c>
      <c r="H4953" s="235" t="s">
        <v>36575</v>
      </c>
      <c r="I4953" s="235" t="s">
        <v>36576</v>
      </c>
      <c r="J4953" s="235" t="s">
        <v>36577</v>
      </c>
      <c r="K4953" s="235" t="s">
        <v>36578</v>
      </c>
      <c r="N4953" s="235" t="s">
        <v>136</v>
      </c>
      <c r="O4953" s="235" t="s">
        <v>256</v>
      </c>
      <c r="P4953" s="238">
        <v>1.0</v>
      </c>
      <c r="Q4953" s="235" t="s">
        <v>627</v>
      </c>
      <c r="R4953" s="238">
        <v>244.76</v>
      </c>
      <c r="S4953" s="238">
        <v>12.24</v>
      </c>
      <c r="T4953" s="238">
        <v>0.0</v>
      </c>
      <c r="U4953" s="238">
        <v>0.0</v>
      </c>
      <c r="V4953" s="238">
        <v>0.0</v>
      </c>
      <c r="W4953" s="238">
        <v>0.0</v>
      </c>
      <c r="X4953" s="235" t="s">
        <v>628</v>
      </c>
      <c r="Z4953" s="245"/>
      <c r="AA4953" s="245"/>
      <c r="AB4953" s="245"/>
      <c r="AC4953" s="235" t="s">
        <v>1085</v>
      </c>
      <c r="AD4953" s="235" t="s">
        <v>1086</v>
      </c>
      <c r="AE4953" s="238">
        <v>141120.0</v>
      </c>
      <c r="AF4953" s="235" t="s">
        <v>631</v>
      </c>
      <c r="AG4953" s="245"/>
      <c r="AH4953" s="245"/>
      <c r="AI4953" s="245"/>
      <c r="AJ4953" s="245"/>
      <c r="AK4953" s="245"/>
      <c r="AL4953" s="245"/>
      <c r="AM4953" s="245"/>
      <c r="AN4953" s="245"/>
      <c r="AO4953" s="238">
        <v>0.0</v>
      </c>
      <c r="AP4953" s="238">
        <v>0.0</v>
      </c>
      <c r="AQ4953" s="235" t="s">
        <v>632</v>
      </c>
      <c r="AR4953" s="243">
        <v>3.7E11</v>
      </c>
      <c r="AS4953" s="235" t="s">
        <v>34510</v>
      </c>
      <c r="AT4953" s="235" t="s">
        <v>13</v>
      </c>
      <c r="AU4953" s="235" t="s">
        <v>634</v>
      </c>
      <c r="AV4953" s="246" t="s">
        <v>635</v>
      </c>
      <c r="AW4953" s="227"/>
      <c r="AX4953" s="227"/>
      <c r="AY4953" s="227"/>
      <c r="AZ4953" s="227"/>
      <c r="BA4953" s="227"/>
      <c r="BB4953" s="227"/>
      <c r="BC4953" s="227"/>
      <c r="BD4953" s="227"/>
      <c r="BE4953" s="227"/>
      <c r="BF4953" s="227"/>
    </row>
    <row r="4954">
      <c r="A4954" s="235" t="s">
        <v>36579</v>
      </c>
      <c r="C4954" s="235" t="s">
        <v>36580</v>
      </c>
      <c r="D4954" s="235" t="s">
        <v>36581</v>
      </c>
      <c r="E4954" s="243">
        <v>6.49E13</v>
      </c>
      <c r="F4954" s="245"/>
      <c r="G4954" s="235" t="s">
        <v>36582</v>
      </c>
      <c r="H4954" s="235" t="s">
        <v>36583</v>
      </c>
      <c r="I4954" s="235" t="s">
        <v>36584</v>
      </c>
      <c r="J4954" s="235" t="s">
        <v>36585</v>
      </c>
      <c r="K4954" s="235" t="s">
        <v>36586</v>
      </c>
      <c r="N4954" s="235" t="s">
        <v>127</v>
      </c>
      <c r="O4954" s="235" t="s">
        <v>794</v>
      </c>
      <c r="P4954" s="238">
        <v>1.0</v>
      </c>
      <c r="Q4954" s="235" t="s">
        <v>627</v>
      </c>
      <c r="R4954" s="238">
        <v>243.81</v>
      </c>
      <c r="S4954" s="238">
        <v>12.19</v>
      </c>
      <c r="T4954" s="238">
        <v>38.1</v>
      </c>
      <c r="U4954" s="238">
        <v>1.9</v>
      </c>
      <c r="V4954" s="238">
        <v>0.0</v>
      </c>
      <c r="W4954" s="238">
        <v>0.0</v>
      </c>
      <c r="X4954" s="235" t="s">
        <v>628</v>
      </c>
      <c r="Z4954" s="245"/>
      <c r="AA4954" s="245"/>
      <c r="AB4954" s="245"/>
      <c r="AC4954" s="235" t="s">
        <v>36587</v>
      </c>
      <c r="AD4954" s="235" t="s">
        <v>917</v>
      </c>
      <c r="AE4954" s="238">
        <v>305412.0</v>
      </c>
      <c r="AF4954" s="235" t="s">
        <v>631</v>
      </c>
      <c r="AG4954" s="245"/>
      <c r="AH4954" s="245"/>
      <c r="AI4954" s="245"/>
      <c r="AJ4954" s="245"/>
      <c r="AK4954" s="245"/>
      <c r="AL4954" s="245"/>
      <c r="AM4954" s="245"/>
      <c r="AN4954" s="245"/>
      <c r="AO4954" s="238">
        <v>0.0</v>
      </c>
      <c r="AP4954" s="238">
        <v>-38.1</v>
      </c>
      <c r="AQ4954" s="235" t="s">
        <v>1356</v>
      </c>
      <c r="AR4954" s="235" t="s">
        <v>36588</v>
      </c>
      <c r="AS4954" s="235" t="s">
        <v>31232</v>
      </c>
      <c r="AT4954" s="235" t="s">
        <v>13</v>
      </c>
      <c r="AU4954" s="235" t="s">
        <v>634</v>
      </c>
      <c r="AV4954" s="246" t="s">
        <v>635</v>
      </c>
      <c r="AW4954" s="227"/>
      <c r="AX4954" s="227"/>
      <c r="AY4954" s="227"/>
      <c r="AZ4954" s="227"/>
      <c r="BA4954" s="227"/>
      <c r="BB4954" s="227"/>
      <c r="BC4954" s="227"/>
      <c r="BD4954" s="227"/>
      <c r="BE4954" s="227"/>
      <c r="BF4954" s="227"/>
    </row>
    <row r="4955">
      <c r="A4955" s="235" t="s">
        <v>36589</v>
      </c>
      <c r="C4955" s="235" t="s">
        <v>36590</v>
      </c>
      <c r="D4955" s="235" t="s">
        <v>36591</v>
      </c>
      <c r="E4955" s="243">
        <v>6.49E13</v>
      </c>
      <c r="F4955" s="245"/>
      <c r="G4955" s="235" t="s">
        <v>36592</v>
      </c>
      <c r="H4955" s="235" t="s">
        <v>36593</v>
      </c>
      <c r="I4955" s="235" t="s">
        <v>36593</v>
      </c>
      <c r="J4955" s="235" t="s">
        <v>36594</v>
      </c>
      <c r="K4955" s="235" t="s">
        <v>36595</v>
      </c>
      <c r="N4955" s="235" t="s">
        <v>68</v>
      </c>
      <c r="O4955" s="235" t="s">
        <v>208</v>
      </c>
      <c r="P4955" s="238">
        <v>1.0</v>
      </c>
      <c r="Q4955" s="235" t="s">
        <v>627</v>
      </c>
      <c r="R4955" s="238">
        <v>246.66</v>
      </c>
      <c r="S4955" s="238">
        <v>12.34</v>
      </c>
      <c r="T4955" s="238">
        <v>0.0</v>
      </c>
      <c r="U4955" s="238">
        <v>0.0</v>
      </c>
      <c r="V4955" s="238">
        <v>0.0</v>
      </c>
      <c r="W4955" s="238">
        <v>0.0</v>
      </c>
      <c r="X4955" s="235" t="s">
        <v>628</v>
      </c>
      <c r="Z4955" s="245"/>
      <c r="AA4955" s="245"/>
      <c r="AB4955" s="245"/>
      <c r="AC4955" s="235" t="s">
        <v>1887</v>
      </c>
      <c r="AD4955" s="235" t="s">
        <v>679</v>
      </c>
      <c r="AE4955" s="238">
        <v>560070.0</v>
      </c>
      <c r="AF4955" s="235" t="s">
        <v>631</v>
      </c>
      <c r="AG4955" s="245"/>
      <c r="AH4955" s="245"/>
      <c r="AI4955" s="245"/>
      <c r="AJ4955" s="245"/>
      <c r="AK4955" s="245"/>
      <c r="AL4955" s="245"/>
      <c r="AM4955" s="245"/>
      <c r="AN4955" s="245"/>
      <c r="AO4955" s="238">
        <v>0.0</v>
      </c>
      <c r="AP4955" s="238">
        <v>0.0</v>
      </c>
      <c r="AQ4955" s="235" t="s">
        <v>632</v>
      </c>
      <c r="AR4955" s="243">
        <v>1.68E11</v>
      </c>
      <c r="AS4955" s="235" t="s">
        <v>35895</v>
      </c>
      <c r="AT4955" s="235" t="s">
        <v>11</v>
      </c>
      <c r="AU4955" s="235" t="s">
        <v>634</v>
      </c>
      <c r="AV4955" s="246" t="s">
        <v>635</v>
      </c>
      <c r="AW4955" s="227"/>
      <c r="AX4955" s="227"/>
      <c r="AY4955" s="227"/>
      <c r="AZ4955" s="227"/>
      <c r="BA4955" s="227"/>
      <c r="BB4955" s="227"/>
      <c r="BC4955" s="227"/>
      <c r="BD4955" s="227"/>
      <c r="BE4955" s="227"/>
      <c r="BF4955" s="227"/>
    </row>
    <row r="4956">
      <c r="A4956" s="235" t="s">
        <v>36596</v>
      </c>
      <c r="C4956" s="235" t="s">
        <v>36597</v>
      </c>
      <c r="D4956" s="235" t="s">
        <v>36598</v>
      </c>
      <c r="E4956" s="243">
        <v>6.49E13</v>
      </c>
      <c r="F4956" s="245"/>
      <c r="G4956" s="235" t="s">
        <v>36599</v>
      </c>
      <c r="H4956" s="235" t="s">
        <v>36600</v>
      </c>
      <c r="I4956" s="235" t="s">
        <v>36600</v>
      </c>
      <c r="J4956" s="235" t="s">
        <v>36601</v>
      </c>
      <c r="K4956" s="235" t="s">
        <v>36602</v>
      </c>
      <c r="N4956" s="235" t="s">
        <v>90</v>
      </c>
      <c r="O4956" s="235" t="s">
        <v>279</v>
      </c>
      <c r="P4956" s="238">
        <v>1.0</v>
      </c>
      <c r="Q4956" s="235" t="s">
        <v>627</v>
      </c>
      <c r="R4956" s="238">
        <v>243.8</v>
      </c>
      <c r="S4956" s="238">
        <v>12.2</v>
      </c>
      <c r="T4956" s="238">
        <v>0.0</v>
      </c>
      <c r="U4956" s="238">
        <v>0.0</v>
      </c>
      <c r="V4956" s="238">
        <v>0.0</v>
      </c>
      <c r="W4956" s="238">
        <v>0.0</v>
      </c>
      <c r="X4956" s="235" t="s">
        <v>628</v>
      </c>
      <c r="Z4956" s="245"/>
      <c r="AA4956" s="245"/>
      <c r="AB4956" s="245"/>
      <c r="AC4956" s="235" t="s">
        <v>36603</v>
      </c>
      <c r="AD4956" s="235" t="s">
        <v>666</v>
      </c>
      <c r="AE4956" s="238">
        <v>628151.0</v>
      </c>
      <c r="AF4956" s="235" t="s">
        <v>631</v>
      </c>
      <c r="AG4956" s="245"/>
      <c r="AH4956" s="245"/>
      <c r="AI4956" s="245"/>
      <c r="AJ4956" s="245"/>
      <c r="AK4956" s="245"/>
      <c r="AL4956" s="245"/>
      <c r="AM4956" s="245"/>
      <c r="AN4956" s="245"/>
      <c r="AO4956" s="238">
        <v>0.0</v>
      </c>
      <c r="AP4956" s="238">
        <v>0.0</v>
      </c>
      <c r="AQ4956" s="235" t="s">
        <v>632</v>
      </c>
      <c r="AR4956" s="243">
        <v>3.7E11</v>
      </c>
      <c r="AS4956" s="235" t="s">
        <v>35520</v>
      </c>
      <c r="AT4956" s="235" t="s">
        <v>155</v>
      </c>
      <c r="AU4956" s="235" t="s">
        <v>634</v>
      </c>
      <c r="AV4956" s="246" t="s">
        <v>635</v>
      </c>
      <c r="AW4956" s="227"/>
      <c r="AX4956" s="227"/>
      <c r="AY4956" s="227"/>
      <c r="AZ4956" s="227"/>
      <c r="BA4956" s="227"/>
      <c r="BB4956" s="227"/>
      <c r="BC4956" s="227"/>
      <c r="BD4956" s="227"/>
      <c r="BE4956" s="227"/>
      <c r="BF4956" s="227"/>
    </row>
    <row r="4957">
      <c r="A4957" s="235" t="s">
        <v>36604</v>
      </c>
      <c r="C4957" s="235" t="s">
        <v>36605</v>
      </c>
      <c r="D4957" s="235" t="s">
        <v>36606</v>
      </c>
      <c r="E4957" s="243">
        <v>6.49E13</v>
      </c>
      <c r="F4957" s="245"/>
      <c r="G4957" s="235" t="s">
        <v>36607</v>
      </c>
      <c r="H4957" s="235" t="s">
        <v>36608</v>
      </c>
      <c r="I4957" s="235" t="s">
        <v>36608</v>
      </c>
      <c r="J4957" s="235" t="s">
        <v>36511</v>
      </c>
      <c r="K4957" s="235" t="s">
        <v>36609</v>
      </c>
      <c r="N4957" s="235" t="s">
        <v>90</v>
      </c>
      <c r="O4957" s="235" t="s">
        <v>279</v>
      </c>
      <c r="P4957" s="238">
        <v>1.0</v>
      </c>
      <c r="Q4957" s="235" t="s">
        <v>627</v>
      </c>
      <c r="R4957" s="238">
        <v>243.81</v>
      </c>
      <c r="S4957" s="238">
        <v>11.95</v>
      </c>
      <c r="T4957" s="238">
        <v>38.1</v>
      </c>
      <c r="U4957" s="238">
        <v>1.9</v>
      </c>
      <c r="V4957" s="238">
        <v>0.0</v>
      </c>
      <c r="W4957" s="238">
        <v>0.0</v>
      </c>
      <c r="X4957" s="235" t="s">
        <v>628</v>
      </c>
      <c r="Z4957" s="245"/>
      <c r="AA4957" s="245"/>
      <c r="AB4957" s="245"/>
      <c r="AC4957" s="235" t="s">
        <v>1613</v>
      </c>
      <c r="AD4957" s="235" t="s">
        <v>630</v>
      </c>
      <c r="AE4957" s="238">
        <v>226020.0</v>
      </c>
      <c r="AF4957" s="235" t="s">
        <v>631</v>
      </c>
      <c r="AG4957" s="245"/>
      <c r="AH4957" s="245"/>
      <c r="AI4957" s="245"/>
      <c r="AJ4957" s="245"/>
      <c r="AK4957" s="245"/>
      <c r="AL4957" s="245"/>
      <c r="AM4957" s="245"/>
      <c r="AN4957" s="245"/>
      <c r="AO4957" s="238">
        <v>-4.88</v>
      </c>
      <c r="AP4957" s="238">
        <v>-38.1</v>
      </c>
      <c r="AQ4957" s="235" t="s">
        <v>632</v>
      </c>
      <c r="AR4957" s="243">
        <v>3.7E11</v>
      </c>
      <c r="AS4957" s="235" t="s">
        <v>34510</v>
      </c>
      <c r="AT4957" s="235" t="s">
        <v>14</v>
      </c>
      <c r="AU4957" s="235" t="s">
        <v>634</v>
      </c>
      <c r="AV4957" s="246" t="s">
        <v>635</v>
      </c>
      <c r="AW4957" s="227"/>
      <c r="AX4957" s="227"/>
      <c r="AY4957" s="227"/>
      <c r="AZ4957" s="227"/>
      <c r="BA4957" s="227"/>
      <c r="BB4957" s="227"/>
      <c r="BC4957" s="227"/>
      <c r="BD4957" s="227"/>
      <c r="BE4957" s="227"/>
      <c r="BF4957" s="227"/>
    </row>
    <row r="4958">
      <c r="A4958" s="235" t="s">
        <v>36610</v>
      </c>
      <c r="C4958" s="235" t="s">
        <v>36611</v>
      </c>
      <c r="D4958" s="235" t="s">
        <v>36612</v>
      </c>
      <c r="E4958" s="243">
        <v>6.49E13</v>
      </c>
      <c r="F4958" s="245"/>
      <c r="G4958" s="235" t="s">
        <v>36613</v>
      </c>
      <c r="H4958" s="235" t="s">
        <v>36614</v>
      </c>
      <c r="I4958" s="235" t="s">
        <v>36614</v>
      </c>
      <c r="J4958" s="235" t="s">
        <v>36615</v>
      </c>
      <c r="K4958" s="235" t="s">
        <v>36616</v>
      </c>
      <c r="N4958" s="235" t="s">
        <v>15</v>
      </c>
      <c r="O4958" s="235" t="s">
        <v>856</v>
      </c>
      <c r="P4958" s="238">
        <v>1.0</v>
      </c>
      <c r="Q4958" s="235" t="s">
        <v>627</v>
      </c>
      <c r="R4958" s="238">
        <v>360.95</v>
      </c>
      <c r="S4958" s="238">
        <v>18.05</v>
      </c>
      <c r="T4958" s="238">
        <v>38.1</v>
      </c>
      <c r="U4958" s="238">
        <v>1.9</v>
      </c>
      <c r="V4958" s="238">
        <v>0.0</v>
      </c>
      <c r="W4958" s="238">
        <v>0.0</v>
      </c>
      <c r="X4958" s="235" t="s">
        <v>628</v>
      </c>
      <c r="Z4958" s="245"/>
      <c r="AA4958" s="245"/>
      <c r="AB4958" s="245"/>
      <c r="AC4958" s="235" t="s">
        <v>6571</v>
      </c>
      <c r="AD4958" s="235" t="s">
        <v>731</v>
      </c>
      <c r="AE4958" s="238">
        <v>781034.0</v>
      </c>
      <c r="AF4958" s="235" t="s">
        <v>631</v>
      </c>
      <c r="AG4958" s="245"/>
      <c r="AH4958" s="245"/>
      <c r="AI4958" s="245"/>
      <c r="AJ4958" s="245"/>
      <c r="AK4958" s="245"/>
      <c r="AL4958" s="245"/>
      <c r="AM4958" s="245"/>
      <c r="AN4958" s="245"/>
      <c r="AO4958" s="238">
        <v>0.0</v>
      </c>
      <c r="AP4958" s="238">
        <v>-38.1</v>
      </c>
      <c r="AQ4958" s="235" t="s">
        <v>632</v>
      </c>
      <c r="AR4958" s="243">
        <v>3.7E11</v>
      </c>
      <c r="AS4958" s="235" t="s">
        <v>32455</v>
      </c>
      <c r="AT4958" s="235" t="s">
        <v>13</v>
      </c>
      <c r="AU4958" s="235" t="s">
        <v>634</v>
      </c>
      <c r="AV4958" s="246" t="s">
        <v>635</v>
      </c>
      <c r="AW4958" s="227"/>
      <c r="AX4958" s="227"/>
      <c r="AY4958" s="227"/>
      <c r="AZ4958" s="227"/>
      <c r="BA4958" s="227"/>
      <c r="BB4958" s="227"/>
      <c r="BC4958" s="227"/>
      <c r="BD4958" s="227"/>
      <c r="BE4958" s="227"/>
      <c r="BF4958" s="227"/>
    </row>
    <row r="4959">
      <c r="A4959" s="235" t="s">
        <v>36617</v>
      </c>
      <c r="C4959" s="235" t="s">
        <v>36618</v>
      </c>
      <c r="D4959" s="235" t="s">
        <v>36619</v>
      </c>
      <c r="E4959" s="243">
        <v>6.49E13</v>
      </c>
      <c r="F4959" s="245"/>
      <c r="G4959" s="235" t="s">
        <v>36620</v>
      </c>
      <c r="H4959" s="235" t="s">
        <v>36621</v>
      </c>
      <c r="I4959" s="235" t="s">
        <v>36621</v>
      </c>
      <c r="J4959" s="235" t="s">
        <v>36622</v>
      </c>
      <c r="K4959" s="235" t="s">
        <v>36623</v>
      </c>
      <c r="N4959" s="235" t="s">
        <v>50</v>
      </c>
      <c r="O4959" s="235" t="s">
        <v>367</v>
      </c>
      <c r="P4959" s="238">
        <v>1.0</v>
      </c>
      <c r="Q4959" s="235" t="s">
        <v>627</v>
      </c>
      <c r="R4959" s="238">
        <v>234.29</v>
      </c>
      <c r="S4959" s="238">
        <v>11.71</v>
      </c>
      <c r="T4959" s="238">
        <v>38.1</v>
      </c>
      <c r="U4959" s="238">
        <v>1.9</v>
      </c>
      <c r="V4959" s="238">
        <v>0.0</v>
      </c>
      <c r="W4959" s="238">
        <v>0.0</v>
      </c>
      <c r="X4959" s="235" t="s">
        <v>628</v>
      </c>
      <c r="Z4959" s="245"/>
      <c r="AA4959" s="245"/>
      <c r="AB4959" s="245"/>
      <c r="AC4959" s="235" t="s">
        <v>36624</v>
      </c>
      <c r="AD4959" s="235" t="s">
        <v>881</v>
      </c>
      <c r="AE4959" s="238">
        <v>761126.0</v>
      </c>
      <c r="AF4959" s="235" t="s">
        <v>631</v>
      </c>
      <c r="AG4959" s="245"/>
      <c r="AH4959" s="245"/>
      <c r="AI4959" s="245"/>
      <c r="AJ4959" s="245"/>
      <c r="AK4959" s="245"/>
      <c r="AL4959" s="245"/>
      <c r="AM4959" s="245"/>
      <c r="AN4959" s="245"/>
      <c r="AO4959" s="238">
        <v>0.0</v>
      </c>
      <c r="AP4959" s="238">
        <v>-38.1</v>
      </c>
      <c r="AQ4959" s="235" t="s">
        <v>632</v>
      </c>
      <c r="AR4959" s="243">
        <v>3.7E11</v>
      </c>
      <c r="AS4959" s="235" t="s">
        <v>32455</v>
      </c>
      <c r="AT4959" s="235" t="s">
        <v>13</v>
      </c>
      <c r="AU4959" s="235" t="s">
        <v>634</v>
      </c>
      <c r="AV4959" s="246" t="s">
        <v>635</v>
      </c>
      <c r="AW4959" s="227"/>
      <c r="AX4959" s="227"/>
      <c r="AY4959" s="227"/>
      <c r="AZ4959" s="227"/>
      <c r="BA4959" s="227"/>
      <c r="BB4959" s="227"/>
      <c r="BC4959" s="227"/>
      <c r="BD4959" s="227"/>
      <c r="BE4959" s="227"/>
      <c r="BF4959" s="227"/>
    </row>
    <row r="4960">
      <c r="A4960" s="235" t="s">
        <v>36625</v>
      </c>
      <c r="C4960" s="235" t="s">
        <v>36626</v>
      </c>
      <c r="D4960" s="235" t="s">
        <v>36627</v>
      </c>
      <c r="E4960" s="243">
        <v>6.49E13</v>
      </c>
      <c r="F4960" s="245"/>
      <c r="G4960" s="235" t="s">
        <v>36628</v>
      </c>
      <c r="H4960" s="235" t="s">
        <v>36629</v>
      </c>
      <c r="I4960" s="235" t="s">
        <v>36629</v>
      </c>
      <c r="J4960" s="235" t="s">
        <v>36630</v>
      </c>
      <c r="K4960" s="235" t="s">
        <v>36631</v>
      </c>
      <c r="N4960" s="235" t="s">
        <v>82</v>
      </c>
      <c r="O4960" s="235" t="s">
        <v>889</v>
      </c>
      <c r="P4960" s="238">
        <v>1.0</v>
      </c>
      <c r="Q4960" s="235" t="s">
        <v>627</v>
      </c>
      <c r="R4960" s="238">
        <v>243.8</v>
      </c>
      <c r="S4960" s="238">
        <v>11.96</v>
      </c>
      <c r="T4960" s="238">
        <v>75.24</v>
      </c>
      <c r="U4960" s="238">
        <v>3.76</v>
      </c>
      <c r="V4960" s="238">
        <v>0.0</v>
      </c>
      <c r="W4960" s="238">
        <v>0.0</v>
      </c>
      <c r="X4960" s="235" t="s">
        <v>628</v>
      </c>
      <c r="Z4960" s="245"/>
      <c r="AA4960" s="245"/>
      <c r="AB4960" s="245"/>
      <c r="AC4960" s="235" t="s">
        <v>25295</v>
      </c>
      <c r="AD4960" s="235" t="s">
        <v>845</v>
      </c>
      <c r="AE4960" s="238">
        <v>424001.0</v>
      </c>
      <c r="AF4960" s="235" t="s">
        <v>631</v>
      </c>
      <c r="AG4960" s="245"/>
      <c r="AH4960" s="245"/>
      <c r="AI4960" s="245"/>
      <c r="AJ4960" s="245"/>
      <c r="AK4960" s="245"/>
      <c r="AL4960" s="245"/>
      <c r="AM4960" s="245"/>
      <c r="AN4960" s="245"/>
      <c r="AO4960" s="238">
        <v>-4.88</v>
      </c>
      <c r="AP4960" s="238">
        <v>-75.24</v>
      </c>
      <c r="AQ4960" s="235" t="s">
        <v>632</v>
      </c>
      <c r="AR4960" s="243">
        <v>3.7E11</v>
      </c>
      <c r="AS4960" s="235" t="s">
        <v>35520</v>
      </c>
      <c r="AT4960" s="235" t="s">
        <v>16</v>
      </c>
      <c r="AU4960" s="235" t="s">
        <v>634</v>
      </c>
      <c r="AV4960" s="246" t="s">
        <v>635</v>
      </c>
      <c r="AW4960" s="227"/>
      <c r="AX4960" s="227"/>
      <c r="AY4960" s="227"/>
      <c r="AZ4960" s="227"/>
      <c r="BA4960" s="227"/>
      <c r="BB4960" s="227"/>
      <c r="BC4960" s="227"/>
      <c r="BD4960" s="227"/>
      <c r="BE4960" s="227"/>
      <c r="BF4960" s="227"/>
    </row>
    <row r="4961">
      <c r="A4961" s="235" t="s">
        <v>36632</v>
      </c>
      <c r="C4961" s="235" t="s">
        <v>36633</v>
      </c>
      <c r="D4961" s="235" t="s">
        <v>36634</v>
      </c>
      <c r="E4961" s="243">
        <v>6.49E13</v>
      </c>
      <c r="F4961" s="245"/>
      <c r="G4961" s="235" t="s">
        <v>36635</v>
      </c>
      <c r="H4961" s="235" t="s">
        <v>36636</v>
      </c>
      <c r="I4961" s="235" t="s">
        <v>36636</v>
      </c>
      <c r="J4961" s="235" t="s">
        <v>36637</v>
      </c>
      <c r="K4961" s="235" t="s">
        <v>36638</v>
      </c>
      <c r="N4961" s="235" t="s">
        <v>154</v>
      </c>
      <c r="O4961" s="235" t="s">
        <v>766</v>
      </c>
      <c r="P4961" s="238">
        <v>1.0</v>
      </c>
      <c r="Q4961" s="235" t="s">
        <v>627</v>
      </c>
      <c r="R4961" s="238">
        <v>465.72</v>
      </c>
      <c r="S4961" s="238">
        <v>23.28</v>
      </c>
      <c r="T4961" s="238">
        <v>38.1</v>
      </c>
      <c r="U4961" s="238">
        <v>1.9</v>
      </c>
      <c r="V4961" s="238">
        <v>0.0</v>
      </c>
      <c r="W4961" s="238">
        <v>0.0</v>
      </c>
      <c r="X4961" s="235" t="s">
        <v>628</v>
      </c>
      <c r="Z4961" s="245"/>
      <c r="AA4961" s="245"/>
      <c r="AB4961" s="245"/>
      <c r="AC4961" s="235" t="s">
        <v>687</v>
      </c>
      <c r="AD4961" s="235" t="s">
        <v>666</v>
      </c>
      <c r="AE4961" s="238">
        <v>600028.0</v>
      </c>
      <c r="AF4961" s="235" t="s">
        <v>631</v>
      </c>
      <c r="AG4961" s="245"/>
      <c r="AH4961" s="245"/>
      <c r="AI4961" s="245"/>
      <c r="AJ4961" s="245"/>
      <c r="AK4961" s="245"/>
      <c r="AL4961" s="245"/>
      <c r="AM4961" s="245"/>
      <c r="AN4961" s="245"/>
      <c r="AO4961" s="238">
        <v>0.0</v>
      </c>
      <c r="AP4961" s="238">
        <v>0.0</v>
      </c>
      <c r="AQ4961" s="235" t="s">
        <v>632</v>
      </c>
      <c r="AR4961" s="243">
        <v>3.7E11</v>
      </c>
      <c r="AS4961" s="235" t="s">
        <v>35520</v>
      </c>
      <c r="AT4961" s="235" t="s">
        <v>156</v>
      </c>
      <c r="AU4961" s="235" t="s">
        <v>634</v>
      </c>
      <c r="AV4961" s="246" t="s">
        <v>635</v>
      </c>
      <c r="AW4961" s="227"/>
      <c r="AX4961" s="227"/>
      <c r="AY4961" s="227"/>
      <c r="AZ4961" s="227"/>
      <c r="BA4961" s="227"/>
      <c r="BB4961" s="227"/>
      <c r="BC4961" s="227"/>
      <c r="BD4961" s="227"/>
      <c r="BE4961" s="227"/>
      <c r="BF4961" s="227"/>
    </row>
    <row r="4962">
      <c r="A4962" s="235" t="s">
        <v>36639</v>
      </c>
      <c r="C4962" s="235" t="s">
        <v>36640</v>
      </c>
      <c r="D4962" s="235" t="s">
        <v>36641</v>
      </c>
      <c r="E4962" s="243">
        <v>6.49E13</v>
      </c>
      <c r="F4962" s="245"/>
      <c r="G4962" s="235" t="s">
        <v>36642</v>
      </c>
      <c r="H4962" s="235" t="s">
        <v>36643</v>
      </c>
      <c r="I4962" s="235" t="s">
        <v>36643</v>
      </c>
      <c r="J4962" s="235" t="s">
        <v>36644</v>
      </c>
      <c r="K4962" s="235" t="s">
        <v>36645</v>
      </c>
      <c r="N4962" s="235" t="s">
        <v>68</v>
      </c>
      <c r="O4962" s="235" t="s">
        <v>208</v>
      </c>
      <c r="P4962" s="238">
        <v>1.0</v>
      </c>
      <c r="Q4962" s="235" t="s">
        <v>627</v>
      </c>
      <c r="R4962" s="238">
        <v>246.67</v>
      </c>
      <c r="S4962" s="238">
        <v>12.08</v>
      </c>
      <c r="T4962" s="238">
        <v>0.0</v>
      </c>
      <c r="U4962" s="238">
        <v>0.0</v>
      </c>
      <c r="V4962" s="238">
        <v>0.0</v>
      </c>
      <c r="W4962" s="238">
        <v>0.0</v>
      </c>
      <c r="X4962" s="235" t="s">
        <v>628</v>
      </c>
      <c r="Z4962" s="245"/>
      <c r="AA4962" s="245"/>
      <c r="AB4962" s="245"/>
      <c r="AC4962" s="235" t="s">
        <v>1287</v>
      </c>
      <c r="AD4962" s="235" t="s">
        <v>630</v>
      </c>
      <c r="AE4962" s="238">
        <v>201002.0</v>
      </c>
      <c r="AF4962" s="235" t="s">
        <v>631</v>
      </c>
      <c r="AG4962" s="245"/>
      <c r="AH4962" s="245"/>
      <c r="AI4962" s="245"/>
      <c r="AJ4962" s="245"/>
      <c r="AK4962" s="245"/>
      <c r="AL4962" s="245"/>
      <c r="AM4962" s="245"/>
      <c r="AN4962" s="245"/>
      <c r="AO4962" s="238">
        <v>-4.93</v>
      </c>
      <c r="AP4962" s="238">
        <v>0.0</v>
      </c>
      <c r="AQ4962" s="235" t="s">
        <v>632</v>
      </c>
      <c r="AR4962" s="243">
        <v>3.7E11</v>
      </c>
      <c r="AS4962" s="235" t="s">
        <v>35520</v>
      </c>
      <c r="AT4962" s="235" t="s">
        <v>14</v>
      </c>
      <c r="AU4962" s="235" t="s">
        <v>634</v>
      </c>
      <c r="AV4962" s="246" t="s">
        <v>635</v>
      </c>
      <c r="AW4962" s="227"/>
      <c r="AX4962" s="227"/>
      <c r="AY4962" s="227"/>
      <c r="AZ4962" s="227"/>
      <c r="BA4962" s="227"/>
      <c r="BB4962" s="227"/>
      <c r="BC4962" s="227"/>
      <c r="BD4962" s="227"/>
      <c r="BE4962" s="227"/>
      <c r="BF4962" s="227"/>
    </row>
    <row r="4963">
      <c r="A4963" s="235" t="s">
        <v>36646</v>
      </c>
      <c r="C4963" s="235" t="s">
        <v>36647</v>
      </c>
      <c r="D4963" s="235" t="s">
        <v>36648</v>
      </c>
      <c r="E4963" s="243">
        <v>6.49E13</v>
      </c>
      <c r="F4963" s="245"/>
      <c r="G4963" s="235" t="s">
        <v>36649</v>
      </c>
      <c r="H4963" s="235" t="s">
        <v>36650</v>
      </c>
      <c r="I4963" s="235" t="s">
        <v>36650</v>
      </c>
      <c r="J4963" s="235" t="s">
        <v>36651</v>
      </c>
      <c r="K4963" s="235" t="s">
        <v>36652</v>
      </c>
      <c r="N4963" s="235" t="s">
        <v>143</v>
      </c>
      <c r="O4963" s="235" t="s">
        <v>220</v>
      </c>
      <c r="P4963" s="238">
        <v>1.0</v>
      </c>
      <c r="Q4963" s="235" t="s">
        <v>627</v>
      </c>
      <c r="R4963" s="238">
        <v>244.76</v>
      </c>
      <c r="S4963" s="238">
        <v>12.24</v>
      </c>
      <c r="T4963" s="238">
        <v>0.0</v>
      </c>
      <c r="U4963" s="238">
        <v>0.0</v>
      </c>
      <c r="V4963" s="238">
        <v>0.0</v>
      </c>
      <c r="W4963" s="238">
        <v>0.0</v>
      </c>
      <c r="X4963" s="235" t="s">
        <v>628</v>
      </c>
      <c r="Z4963" s="245"/>
      <c r="AA4963" s="245"/>
      <c r="AB4963" s="245"/>
      <c r="AC4963" s="235" t="s">
        <v>1255</v>
      </c>
      <c r="AD4963" s="235" t="s">
        <v>845</v>
      </c>
      <c r="AE4963" s="238">
        <v>400703.0</v>
      </c>
      <c r="AF4963" s="235" t="s">
        <v>631</v>
      </c>
      <c r="AG4963" s="245"/>
      <c r="AH4963" s="245"/>
      <c r="AI4963" s="245"/>
      <c r="AJ4963" s="245"/>
      <c r="AK4963" s="245"/>
      <c r="AL4963" s="245"/>
      <c r="AM4963" s="245"/>
      <c r="AN4963" s="245"/>
      <c r="AO4963" s="238">
        <v>0.0</v>
      </c>
      <c r="AP4963" s="238">
        <v>0.0</v>
      </c>
      <c r="AQ4963" s="235" t="s">
        <v>632</v>
      </c>
      <c r="AR4963" s="243">
        <v>1.68E11</v>
      </c>
      <c r="AS4963" s="235" t="s">
        <v>35895</v>
      </c>
      <c r="AT4963" s="235" t="s">
        <v>16</v>
      </c>
      <c r="AU4963" s="235" t="s">
        <v>634</v>
      </c>
      <c r="AV4963" s="246" t="s">
        <v>635</v>
      </c>
      <c r="AW4963" s="227"/>
      <c r="AX4963" s="227"/>
      <c r="AY4963" s="227"/>
      <c r="AZ4963" s="227"/>
      <c r="BA4963" s="227"/>
      <c r="BB4963" s="227"/>
      <c r="BC4963" s="227"/>
      <c r="BD4963" s="227"/>
      <c r="BE4963" s="227"/>
      <c r="BF4963" s="227"/>
    </row>
    <row r="4964">
      <c r="A4964" s="235" t="s">
        <v>36653</v>
      </c>
      <c r="C4964" s="235" t="s">
        <v>36654</v>
      </c>
      <c r="D4964" s="235" t="s">
        <v>36655</v>
      </c>
      <c r="E4964" s="243">
        <v>6.49E13</v>
      </c>
      <c r="F4964" s="245"/>
      <c r="G4964" s="235" t="s">
        <v>36656</v>
      </c>
      <c r="H4964" s="235" t="s">
        <v>36657</v>
      </c>
      <c r="I4964" s="235" t="s">
        <v>36657</v>
      </c>
      <c r="J4964" s="235" t="s">
        <v>36658</v>
      </c>
      <c r="K4964" s="235" t="s">
        <v>36659</v>
      </c>
      <c r="N4964" s="235" t="s">
        <v>136</v>
      </c>
      <c r="O4964" s="235" t="s">
        <v>256</v>
      </c>
      <c r="P4964" s="238">
        <v>1.0</v>
      </c>
      <c r="Q4964" s="235" t="s">
        <v>627</v>
      </c>
      <c r="R4964" s="238">
        <v>244.76</v>
      </c>
      <c r="S4964" s="238">
        <v>12.0</v>
      </c>
      <c r="T4964" s="238">
        <v>0.0</v>
      </c>
      <c r="U4964" s="238">
        <v>0.0</v>
      </c>
      <c r="V4964" s="238">
        <v>0.0</v>
      </c>
      <c r="W4964" s="238">
        <v>0.0</v>
      </c>
      <c r="X4964" s="235" t="s">
        <v>628</v>
      </c>
      <c r="Z4964" s="245"/>
      <c r="AA4964" s="245"/>
      <c r="AB4964" s="245"/>
      <c r="AC4964" s="235" t="s">
        <v>13949</v>
      </c>
      <c r="AD4964" s="235" t="s">
        <v>833</v>
      </c>
      <c r="AE4964" s="238">
        <v>517501.0</v>
      </c>
      <c r="AF4964" s="235" t="s">
        <v>631</v>
      </c>
      <c r="AG4964" s="245"/>
      <c r="AH4964" s="245"/>
      <c r="AI4964" s="245"/>
      <c r="AJ4964" s="245"/>
      <c r="AK4964" s="245"/>
      <c r="AL4964" s="245"/>
      <c r="AM4964" s="245"/>
      <c r="AN4964" s="245"/>
      <c r="AO4964" s="238">
        <v>-4.9</v>
      </c>
      <c r="AP4964" s="238">
        <v>0.0</v>
      </c>
      <c r="AQ4964" s="235" t="s">
        <v>632</v>
      </c>
      <c r="AR4964" s="243">
        <v>3.7E11</v>
      </c>
      <c r="AS4964" s="235" t="s">
        <v>34510</v>
      </c>
      <c r="AT4964" s="235" t="s">
        <v>11</v>
      </c>
      <c r="AU4964" s="235" t="s">
        <v>634</v>
      </c>
      <c r="AV4964" s="246" t="s">
        <v>635</v>
      </c>
      <c r="AW4964" s="227"/>
      <c r="AX4964" s="227"/>
      <c r="AY4964" s="227"/>
      <c r="AZ4964" s="227"/>
      <c r="BA4964" s="227"/>
      <c r="BB4964" s="227"/>
      <c r="BC4964" s="227"/>
      <c r="BD4964" s="227"/>
      <c r="BE4964" s="227"/>
      <c r="BF4964" s="227"/>
    </row>
    <row r="4965">
      <c r="A4965" s="235" t="s">
        <v>36660</v>
      </c>
      <c r="C4965" s="235" t="s">
        <v>36661</v>
      </c>
      <c r="D4965" s="235" t="s">
        <v>36662</v>
      </c>
      <c r="E4965" s="243">
        <v>6.49E13</v>
      </c>
      <c r="F4965" s="245"/>
      <c r="G4965" s="235" t="s">
        <v>36663</v>
      </c>
      <c r="H4965" s="235" t="s">
        <v>36664</v>
      </c>
      <c r="I4965" s="235" t="s">
        <v>36664</v>
      </c>
      <c r="J4965" s="235" t="s">
        <v>36665</v>
      </c>
      <c r="K4965" s="235" t="s">
        <v>36666</v>
      </c>
      <c r="N4965" s="235" t="s">
        <v>68</v>
      </c>
      <c r="O4965" s="235" t="s">
        <v>208</v>
      </c>
      <c r="P4965" s="238">
        <v>1.0</v>
      </c>
      <c r="Q4965" s="235" t="s">
        <v>627</v>
      </c>
      <c r="R4965" s="238">
        <v>246.66</v>
      </c>
      <c r="S4965" s="238">
        <v>12.34</v>
      </c>
      <c r="T4965" s="238">
        <v>0.0</v>
      </c>
      <c r="U4965" s="238">
        <v>0.0</v>
      </c>
      <c r="V4965" s="238">
        <v>0.0</v>
      </c>
      <c r="W4965" s="238">
        <v>0.0</v>
      </c>
      <c r="X4965" s="235" t="s">
        <v>628</v>
      </c>
      <c r="Z4965" s="245"/>
      <c r="AA4965" s="245"/>
      <c r="AB4965" s="245"/>
      <c r="AC4965" s="235" t="s">
        <v>687</v>
      </c>
      <c r="AD4965" s="235" t="s">
        <v>666</v>
      </c>
      <c r="AE4965" s="238">
        <v>600012.0</v>
      </c>
      <c r="AF4965" s="235" t="s">
        <v>631</v>
      </c>
      <c r="AG4965" s="245"/>
      <c r="AH4965" s="245"/>
      <c r="AI4965" s="245"/>
      <c r="AJ4965" s="245"/>
      <c r="AK4965" s="245"/>
      <c r="AL4965" s="245"/>
      <c r="AM4965" s="245"/>
      <c r="AN4965" s="245"/>
      <c r="AO4965" s="238">
        <v>0.0</v>
      </c>
      <c r="AP4965" s="238">
        <v>0.0</v>
      </c>
      <c r="AQ4965" s="235" t="s">
        <v>632</v>
      </c>
      <c r="AR4965" s="243">
        <v>1.68E11</v>
      </c>
      <c r="AS4965" s="235" t="s">
        <v>36667</v>
      </c>
      <c r="AT4965" s="235" t="s">
        <v>156</v>
      </c>
      <c r="AU4965" s="235" t="s">
        <v>634</v>
      </c>
      <c r="AV4965" s="246" t="s">
        <v>635</v>
      </c>
      <c r="AW4965" s="227"/>
      <c r="AX4965" s="227"/>
      <c r="AY4965" s="227"/>
      <c r="AZ4965" s="227"/>
      <c r="BA4965" s="227"/>
      <c r="BB4965" s="227"/>
      <c r="BC4965" s="227"/>
      <c r="BD4965" s="227"/>
      <c r="BE4965" s="227"/>
      <c r="BF4965" s="227"/>
    </row>
    <row r="4966">
      <c r="A4966" s="235" t="s">
        <v>36668</v>
      </c>
      <c r="C4966" s="235" t="s">
        <v>36669</v>
      </c>
      <c r="D4966" s="235" t="s">
        <v>36670</v>
      </c>
      <c r="E4966" s="243">
        <v>6.49E13</v>
      </c>
      <c r="F4966" s="245"/>
      <c r="G4966" s="235" t="s">
        <v>36671</v>
      </c>
      <c r="H4966" s="235" t="s">
        <v>36672</v>
      </c>
      <c r="I4966" s="235" t="s">
        <v>36672</v>
      </c>
      <c r="J4966" s="235" t="s">
        <v>36673</v>
      </c>
      <c r="K4966" s="235" t="s">
        <v>36674</v>
      </c>
      <c r="N4966" s="235" t="s">
        <v>31</v>
      </c>
      <c r="O4966" s="235" t="s">
        <v>954</v>
      </c>
      <c r="P4966" s="238">
        <v>1.0</v>
      </c>
      <c r="Q4966" s="235" t="s">
        <v>627</v>
      </c>
      <c r="R4966" s="238">
        <v>446.67</v>
      </c>
      <c r="S4966" s="238">
        <v>22.33</v>
      </c>
      <c r="T4966" s="238">
        <v>0.0</v>
      </c>
      <c r="U4966" s="238">
        <v>0.0</v>
      </c>
      <c r="V4966" s="238">
        <v>0.0</v>
      </c>
      <c r="W4966" s="238">
        <v>0.0</v>
      </c>
      <c r="X4966" s="235" t="s">
        <v>628</v>
      </c>
      <c r="Z4966" s="245"/>
      <c r="AA4966" s="245"/>
      <c r="AB4966" s="245"/>
      <c r="AC4966" s="235" t="s">
        <v>36675</v>
      </c>
      <c r="AD4966" s="235" t="s">
        <v>645</v>
      </c>
      <c r="AE4966" s="238">
        <v>671121.0</v>
      </c>
      <c r="AF4966" s="235" t="s">
        <v>631</v>
      </c>
      <c r="AG4966" s="245"/>
      <c r="AH4966" s="245"/>
      <c r="AI4966" s="245"/>
      <c r="AJ4966" s="245"/>
      <c r="AK4966" s="245"/>
      <c r="AL4966" s="245"/>
      <c r="AM4966" s="245"/>
      <c r="AN4966" s="245"/>
      <c r="AO4966" s="238">
        <v>0.0</v>
      </c>
      <c r="AP4966" s="238">
        <v>0.0</v>
      </c>
      <c r="AQ4966" s="235" t="s">
        <v>632</v>
      </c>
      <c r="AR4966" s="243">
        <v>3.7E11</v>
      </c>
      <c r="AS4966" s="235" t="s">
        <v>35520</v>
      </c>
      <c r="AT4966" s="235" t="s">
        <v>155</v>
      </c>
      <c r="AU4966" s="235" t="s">
        <v>634</v>
      </c>
      <c r="AV4966" s="246" t="s">
        <v>635</v>
      </c>
      <c r="AW4966" s="227"/>
      <c r="AX4966" s="227"/>
      <c r="AY4966" s="227"/>
      <c r="AZ4966" s="227"/>
      <c r="BA4966" s="227"/>
      <c r="BB4966" s="227"/>
      <c r="BC4966" s="227"/>
      <c r="BD4966" s="227"/>
      <c r="BE4966" s="227"/>
      <c r="BF4966" s="227"/>
    </row>
    <row r="4967">
      <c r="A4967" s="235" t="s">
        <v>36676</v>
      </c>
      <c r="C4967" s="235" t="s">
        <v>36677</v>
      </c>
      <c r="D4967" s="235" t="s">
        <v>36678</v>
      </c>
      <c r="E4967" s="243">
        <v>6.49E13</v>
      </c>
      <c r="F4967" s="245"/>
      <c r="G4967" s="235" t="s">
        <v>36679</v>
      </c>
      <c r="H4967" s="235" t="s">
        <v>36680</v>
      </c>
      <c r="I4967" s="235" t="s">
        <v>36681</v>
      </c>
      <c r="J4967" s="235" t="s">
        <v>36682</v>
      </c>
      <c r="K4967" s="235" t="s">
        <v>36683</v>
      </c>
      <c r="N4967" s="235" t="s">
        <v>1346</v>
      </c>
      <c r="O4967" s="235" t="s">
        <v>1347</v>
      </c>
      <c r="P4967" s="238">
        <v>1.0</v>
      </c>
      <c r="Q4967" s="235" t="s">
        <v>627</v>
      </c>
      <c r="R4967" s="238">
        <v>256.2</v>
      </c>
      <c r="S4967" s="238">
        <v>12.54</v>
      </c>
      <c r="T4967" s="238">
        <v>0.0</v>
      </c>
      <c r="U4967" s="238">
        <v>0.0</v>
      </c>
      <c r="V4967" s="238">
        <v>0.0</v>
      </c>
      <c r="W4967" s="238">
        <v>0.0</v>
      </c>
      <c r="X4967" s="235" t="s">
        <v>628</v>
      </c>
      <c r="Z4967" s="245"/>
      <c r="AA4967" s="245"/>
      <c r="AB4967" s="245"/>
      <c r="AC4967" s="235" t="s">
        <v>678</v>
      </c>
      <c r="AD4967" s="235" t="s">
        <v>679</v>
      </c>
      <c r="AE4967" s="238">
        <v>560078.0</v>
      </c>
      <c r="AF4967" s="235" t="s">
        <v>631</v>
      </c>
      <c r="AG4967" s="245"/>
      <c r="AH4967" s="245"/>
      <c r="AI4967" s="245"/>
      <c r="AJ4967" s="245"/>
      <c r="AK4967" s="245"/>
      <c r="AL4967" s="245"/>
      <c r="AM4967" s="245"/>
      <c r="AN4967" s="245"/>
      <c r="AO4967" s="238">
        <v>-5.12</v>
      </c>
      <c r="AP4967" s="238">
        <v>0.0</v>
      </c>
      <c r="AQ4967" s="235" t="s">
        <v>632</v>
      </c>
      <c r="AR4967" s="243">
        <v>1.68E11</v>
      </c>
      <c r="AS4967" s="235" t="s">
        <v>35895</v>
      </c>
      <c r="AT4967" s="235" t="s">
        <v>11</v>
      </c>
      <c r="AU4967" s="235" t="s">
        <v>634</v>
      </c>
      <c r="AV4967" s="246" t="s">
        <v>635</v>
      </c>
      <c r="AW4967" s="227"/>
      <c r="AX4967" s="227"/>
      <c r="AY4967" s="227"/>
      <c r="AZ4967" s="227"/>
      <c r="BA4967" s="227"/>
      <c r="BB4967" s="227"/>
      <c r="BC4967" s="227"/>
      <c r="BD4967" s="227"/>
      <c r="BE4967" s="227"/>
      <c r="BF4967" s="227"/>
    </row>
    <row r="4968">
      <c r="A4968" s="235" t="s">
        <v>36684</v>
      </c>
      <c r="C4968" s="235" t="s">
        <v>36685</v>
      </c>
      <c r="D4968" s="235" t="s">
        <v>36686</v>
      </c>
      <c r="E4968" s="243">
        <v>6.49E13</v>
      </c>
      <c r="F4968" s="245"/>
      <c r="G4968" s="235" t="s">
        <v>36687</v>
      </c>
      <c r="H4968" s="235" t="s">
        <v>36688</v>
      </c>
      <c r="I4968" s="235" t="s">
        <v>36688</v>
      </c>
      <c r="J4968" s="235" t="s">
        <v>36689</v>
      </c>
      <c r="K4968" s="235" t="s">
        <v>36690</v>
      </c>
      <c r="N4968" s="235" t="s">
        <v>42</v>
      </c>
      <c r="O4968" s="235" t="s">
        <v>204</v>
      </c>
      <c r="P4968" s="238">
        <v>1.0</v>
      </c>
      <c r="Q4968" s="235" t="s">
        <v>627</v>
      </c>
      <c r="R4968" s="238">
        <v>237.14</v>
      </c>
      <c r="S4968" s="238">
        <v>11.86</v>
      </c>
      <c r="T4968" s="238">
        <v>0.0</v>
      </c>
      <c r="U4968" s="238">
        <v>0.0</v>
      </c>
      <c r="V4968" s="238">
        <v>0.0</v>
      </c>
      <c r="W4968" s="238">
        <v>0.0</v>
      </c>
      <c r="X4968" s="235" t="s">
        <v>628</v>
      </c>
      <c r="Z4968" s="245"/>
      <c r="AA4968" s="245"/>
      <c r="AB4968" s="245"/>
      <c r="AC4968" s="235" t="s">
        <v>2493</v>
      </c>
      <c r="AD4968" s="235" t="s">
        <v>833</v>
      </c>
      <c r="AE4968" s="238">
        <v>520007.0</v>
      </c>
      <c r="AF4968" s="235" t="s">
        <v>631</v>
      </c>
      <c r="AG4968" s="245"/>
      <c r="AH4968" s="245"/>
      <c r="AI4968" s="245"/>
      <c r="AJ4968" s="245"/>
      <c r="AK4968" s="245"/>
      <c r="AL4968" s="245"/>
      <c r="AM4968" s="245"/>
      <c r="AN4968" s="245"/>
      <c r="AO4968" s="238">
        <v>0.0</v>
      </c>
      <c r="AP4968" s="238">
        <v>0.0</v>
      </c>
      <c r="AQ4968" s="235" t="s">
        <v>632</v>
      </c>
      <c r="AR4968" s="243">
        <v>1.68E11</v>
      </c>
      <c r="AS4968" s="235" t="s">
        <v>35520</v>
      </c>
      <c r="AT4968" s="235" t="s">
        <v>156</v>
      </c>
      <c r="AU4968" s="235" t="s">
        <v>634</v>
      </c>
      <c r="AV4968" s="246" t="s">
        <v>635</v>
      </c>
      <c r="AW4968" s="227"/>
      <c r="AX4968" s="227"/>
      <c r="AY4968" s="227"/>
      <c r="AZ4968" s="227"/>
      <c r="BA4968" s="227"/>
      <c r="BB4968" s="227"/>
      <c r="BC4968" s="227"/>
      <c r="BD4968" s="227"/>
      <c r="BE4968" s="227"/>
      <c r="BF4968" s="227"/>
    </row>
    <row r="4969">
      <c r="A4969" s="235" t="s">
        <v>36691</v>
      </c>
      <c r="C4969" s="235" t="s">
        <v>36692</v>
      </c>
      <c r="D4969" s="235" t="s">
        <v>36693</v>
      </c>
      <c r="E4969" s="243">
        <v>6.49E13</v>
      </c>
      <c r="F4969" s="245"/>
      <c r="G4969" s="235" t="s">
        <v>36694</v>
      </c>
      <c r="H4969" s="235" t="s">
        <v>36695</v>
      </c>
      <c r="I4969" s="235" t="s">
        <v>36695</v>
      </c>
      <c r="J4969" s="235" t="s">
        <v>36696</v>
      </c>
      <c r="K4969" s="235" t="s">
        <v>36697</v>
      </c>
      <c r="N4969" s="235" t="s">
        <v>68</v>
      </c>
      <c r="O4969" s="235" t="s">
        <v>208</v>
      </c>
      <c r="P4969" s="238">
        <v>1.0</v>
      </c>
      <c r="Q4969" s="235" t="s">
        <v>627</v>
      </c>
      <c r="R4969" s="238">
        <v>246.67</v>
      </c>
      <c r="S4969" s="238">
        <v>11.96</v>
      </c>
      <c r="T4969" s="238">
        <v>0.0</v>
      </c>
      <c r="U4969" s="238">
        <v>0.0</v>
      </c>
      <c r="V4969" s="238">
        <v>0.0</v>
      </c>
      <c r="W4969" s="238">
        <v>0.0</v>
      </c>
      <c r="X4969" s="235" t="s">
        <v>628</v>
      </c>
      <c r="Z4969" s="245"/>
      <c r="AA4969" s="245"/>
      <c r="AB4969" s="245"/>
      <c r="AC4969" s="235" t="s">
        <v>36698</v>
      </c>
      <c r="AD4969" s="235" t="s">
        <v>666</v>
      </c>
      <c r="AE4969" s="238">
        <v>624101.0</v>
      </c>
      <c r="AF4969" s="235" t="s">
        <v>631</v>
      </c>
      <c r="AG4969" s="245"/>
      <c r="AH4969" s="245"/>
      <c r="AI4969" s="245"/>
      <c r="AJ4969" s="245"/>
      <c r="AK4969" s="245"/>
      <c r="AL4969" s="245"/>
      <c r="AM4969" s="245"/>
      <c r="AN4969" s="245"/>
      <c r="AO4969" s="238">
        <v>-7.4</v>
      </c>
      <c r="AP4969" s="238">
        <v>0.0</v>
      </c>
      <c r="AQ4969" s="235" t="s">
        <v>632</v>
      </c>
      <c r="AR4969" s="243">
        <v>1.68E11</v>
      </c>
      <c r="AS4969" s="235" t="s">
        <v>34510</v>
      </c>
      <c r="AT4969" s="235" t="s">
        <v>9</v>
      </c>
      <c r="AU4969" s="235" t="s">
        <v>634</v>
      </c>
      <c r="AV4969" s="246" t="s">
        <v>635</v>
      </c>
      <c r="AW4969" s="227"/>
      <c r="AX4969" s="227"/>
      <c r="AY4969" s="227"/>
      <c r="AZ4969" s="227"/>
      <c r="BA4969" s="227"/>
      <c r="BB4969" s="227"/>
      <c r="BC4969" s="227"/>
      <c r="BD4969" s="227"/>
      <c r="BE4969" s="227"/>
      <c r="BF4969" s="227"/>
    </row>
    <row r="4970">
      <c r="A4970" s="235" t="s">
        <v>36691</v>
      </c>
      <c r="C4970" s="235" t="s">
        <v>36692</v>
      </c>
      <c r="D4970" s="235" t="s">
        <v>36699</v>
      </c>
      <c r="E4970" s="243">
        <v>6.49E13</v>
      </c>
      <c r="F4970" s="245"/>
      <c r="G4970" s="235" t="s">
        <v>36694</v>
      </c>
      <c r="H4970" s="235" t="s">
        <v>36695</v>
      </c>
      <c r="I4970" s="235" t="s">
        <v>36695</v>
      </c>
      <c r="J4970" s="235" t="s">
        <v>36696</v>
      </c>
      <c r="K4970" s="235" t="s">
        <v>36697</v>
      </c>
      <c r="N4970" s="235" t="s">
        <v>68</v>
      </c>
      <c r="O4970" s="235" t="s">
        <v>208</v>
      </c>
      <c r="P4970" s="238">
        <v>1.0</v>
      </c>
      <c r="Q4970" s="235" t="s">
        <v>627</v>
      </c>
      <c r="R4970" s="238">
        <v>246.67</v>
      </c>
      <c r="S4970" s="238">
        <v>11.96</v>
      </c>
      <c r="T4970" s="238">
        <v>0.0</v>
      </c>
      <c r="U4970" s="238">
        <v>0.0</v>
      </c>
      <c r="V4970" s="238">
        <v>0.0</v>
      </c>
      <c r="W4970" s="238">
        <v>0.0</v>
      </c>
      <c r="X4970" s="235" t="s">
        <v>628</v>
      </c>
      <c r="Z4970" s="245"/>
      <c r="AA4970" s="245"/>
      <c r="AB4970" s="245"/>
      <c r="AC4970" s="235" t="s">
        <v>36698</v>
      </c>
      <c r="AD4970" s="235" t="s">
        <v>666</v>
      </c>
      <c r="AE4970" s="238">
        <v>624101.0</v>
      </c>
      <c r="AF4970" s="235" t="s">
        <v>631</v>
      </c>
      <c r="AG4970" s="245"/>
      <c r="AH4970" s="245"/>
      <c r="AI4970" s="245"/>
      <c r="AJ4970" s="245"/>
      <c r="AK4970" s="245"/>
      <c r="AL4970" s="245"/>
      <c r="AM4970" s="245"/>
      <c r="AN4970" s="245"/>
      <c r="AO4970" s="238">
        <v>-7.4</v>
      </c>
      <c r="AP4970" s="238">
        <v>0.0</v>
      </c>
      <c r="AQ4970" s="235" t="s">
        <v>632</v>
      </c>
      <c r="AR4970" s="243">
        <v>1.68E11</v>
      </c>
      <c r="AS4970" s="235" t="s">
        <v>34510</v>
      </c>
      <c r="AT4970" s="235" t="s">
        <v>9</v>
      </c>
      <c r="AU4970" s="235" t="s">
        <v>634</v>
      </c>
      <c r="AV4970" s="246" t="s">
        <v>635</v>
      </c>
      <c r="AW4970" s="227"/>
      <c r="AX4970" s="227"/>
      <c r="AY4970" s="227"/>
      <c r="AZ4970" s="227"/>
      <c r="BA4970" s="227"/>
      <c r="BB4970" s="227"/>
      <c r="BC4970" s="227"/>
      <c r="BD4970" s="227"/>
      <c r="BE4970" s="227"/>
      <c r="BF4970" s="227"/>
    </row>
    <row r="4971">
      <c r="A4971" s="235" t="s">
        <v>36691</v>
      </c>
      <c r="C4971" s="235" t="s">
        <v>36692</v>
      </c>
      <c r="D4971" s="235" t="s">
        <v>36700</v>
      </c>
      <c r="E4971" s="243">
        <v>6.49E13</v>
      </c>
      <c r="F4971" s="245"/>
      <c r="G4971" s="235" t="s">
        <v>36694</v>
      </c>
      <c r="H4971" s="235" t="s">
        <v>36695</v>
      </c>
      <c r="I4971" s="235" t="s">
        <v>36695</v>
      </c>
      <c r="J4971" s="235" t="s">
        <v>36696</v>
      </c>
      <c r="K4971" s="235" t="s">
        <v>36697</v>
      </c>
      <c r="N4971" s="235" t="s">
        <v>68</v>
      </c>
      <c r="O4971" s="235" t="s">
        <v>208</v>
      </c>
      <c r="P4971" s="238">
        <v>1.0</v>
      </c>
      <c r="Q4971" s="235" t="s">
        <v>627</v>
      </c>
      <c r="R4971" s="238">
        <v>246.67</v>
      </c>
      <c r="S4971" s="238">
        <v>11.96</v>
      </c>
      <c r="T4971" s="238">
        <v>0.0</v>
      </c>
      <c r="U4971" s="238">
        <v>0.0</v>
      </c>
      <c r="V4971" s="238">
        <v>0.0</v>
      </c>
      <c r="W4971" s="238">
        <v>0.0</v>
      </c>
      <c r="X4971" s="235" t="s">
        <v>628</v>
      </c>
      <c r="Z4971" s="245"/>
      <c r="AA4971" s="245"/>
      <c r="AB4971" s="245"/>
      <c r="AC4971" s="235" t="s">
        <v>36698</v>
      </c>
      <c r="AD4971" s="235" t="s">
        <v>666</v>
      </c>
      <c r="AE4971" s="238">
        <v>624101.0</v>
      </c>
      <c r="AF4971" s="235" t="s">
        <v>631</v>
      </c>
      <c r="AG4971" s="245"/>
      <c r="AH4971" s="245"/>
      <c r="AI4971" s="245"/>
      <c r="AJ4971" s="245"/>
      <c r="AK4971" s="245"/>
      <c r="AL4971" s="245"/>
      <c r="AM4971" s="245"/>
      <c r="AN4971" s="245"/>
      <c r="AO4971" s="238">
        <v>-7.4</v>
      </c>
      <c r="AP4971" s="238">
        <v>0.0</v>
      </c>
      <c r="AQ4971" s="235" t="s">
        <v>632</v>
      </c>
      <c r="AR4971" s="243">
        <v>1.68E11</v>
      </c>
      <c r="AS4971" s="235" t="s">
        <v>34510</v>
      </c>
      <c r="AT4971" s="235" t="s">
        <v>9</v>
      </c>
      <c r="AU4971" s="235" t="s">
        <v>634</v>
      </c>
      <c r="AV4971" s="246" t="s">
        <v>635</v>
      </c>
      <c r="AW4971" s="227"/>
      <c r="AX4971" s="227"/>
      <c r="AY4971" s="227"/>
      <c r="AZ4971" s="227"/>
      <c r="BA4971" s="227"/>
      <c r="BB4971" s="227"/>
      <c r="BC4971" s="227"/>
      <c r="BD4971" s="227"/>
      <c r="BE4971" s="227"/>
      <c r="BF4971" s="227"/>
    </row>
    <row r="4972">
      <c r="A4972" s="235" t="s">
        <v>36691</v>
      </c>
      <c r="C4972" s="235" t="s">
        <v>36692</v>
      </c>
      <c r="D4972" s="235" t="s">
        <v>36701</v>
      </c>
      <c r="E4972" s="243">
        <v>6.49E13</v>
      </c>
      <c r="F4972" s="245"/>
      <c r="G4972" s="235" t="s">
        <v>36694</v>
      </c>
      <c r="H4972" s="235" t="s">
        <v>36695</v>
      </c>
      <c r="I4972" s="235" t="s">
        <v>36695</v>
      </c>
      <c r="J4972" s="235" t="s">
        <v>36702</v>
      </c>
      <c r="K4972" s="235" t="s">
        <v>36697</v>
      </c>
      <c r="N4972" s="235" t="s">
        <v>68</v>
      </c>
      <c r="O4972" s="235" t="s">
        <v>208</v>
      </c>
      <c r="P4972" s="238">
        <v>1.0</v>
      </c>
      <c r="Q4972" s="235" t="s">
        <v>627</v>
      </c>
      <c r="R4972" s="238">
        <v>246.67</v>
      </c>
      <c r="S4972" s="238">
        <v>11.96</v>
      </c>
      <c r="T4972" s="238">
        <v>0.0</v>
      </c>
      <c r="U4972" s="238">
        <v>0.0</v>
      </c>
      <c r="V4972" s="238">
        <v>0.0</v>
      </c>
      <c r="W4972" s="238">
        <v>0.0</v>
      </c>
      <c r="X4972" s="235" t="s">
        <v>628</v>
      </c>
      <c r="Z4972" s="245"/>
      <c r="AA4972" s="245"/>
      <c r="AB4972" s="245"/>
      <c r="AC4972" s="235" t="s">
        <v>36698</v>
      </c>
      <c r="AD4972" s="235" t="s">
        <v>666</v>
      </c>
      <c r="AE4972" s="238">
        <v>624101.0</v>
      </c>
      <c r="AF4972" s="235" t="s">
        <v>631</v>
      </c>
      <c r="AG4972" s="245"/>
      <c r="AH4972" s="245"/>
      <c r="AI4972" s="245"/>
      <c r="AJ4972" s="245"/>
      <c r="AK4972" s="245"/>
      <c r="AL4972" s="245"/>
      <c r="AM4972" s="245"/>
      <c r="AN4972" s="245"/>
      <c r="AO4972" s="238">
        <v>-7.4</v>
      </c>
      <c r="AP4972" s="238">
        <v>0.0</v>
      </c>
      <c r="AQ4972" s="235" t="s">
        <v>632</v>
      </c>
      <c r="AR4972" s="243">
        <v>1.68E11</v>
      </c>
      <c r="AS4972" s="235" t="s">
        <v>34510</v>
      </c>
      <c r="AT4972" s="235" t="s">
        <v>9</v>
      </c>
      <c r="AU4972" s="235" t="s">
        <v>634</v>
      </c>
      <c r="AV4972" s="246" t="s">
        <v>635</v>
      </c>
      <c r="AW4972" s="227"/>
      <c r="AX4972" s="227"/>
      <c r="AY4972" s="227"/>
      <c r="AZ4972" s="227"/>
      <c r="BA4972" s="227"/>
      <c r="BB4972" s="227"/>
      <c r="BC4972" s="227"/>
      <c r="BD4972" s="227"/>
      <c r="BE4972" s="227"/>
      <c r="BF4972" s="227"/>
    </row>
    <row r="4973">
      <c r="A4973" s="235" t="s">
        <v>36691</v>
      </c>
      <c r="C4973" s="235" t="s">
        <v>36692</v>
      </c>
      <c r="D4973" s="235" t="s">
        <v>36703</v>
      </c>
      <c r="E4973" s="243">
        <v>6.49E13</v>
      </c>
      <c r="F4973" s="245"/>
      <c r="G4973" s="235" t="s">
        <v>36694</v>
      </c>
      <c r="H4973" s="235" t="s">
        <v>36695</v>
      </c>
      <c r="I4973" s="235" t="s">
        <v>36695</v>
      </c>
      <c r="J4973" s="235" t="s">
        <v>36696</v>
      </c>
      <c r="K4973" s="235" t="s">
        <v>36697</v>
      </c>
      <c r="N4973" s="235" t="s">
        <v>68</v>
      </c>
      <c r="O4973" s="235" t="s">
        <v>208</v>
      </c>
      <c r="P4973" s="238">
        <v>2.0</v>
      </c>
      <c r="Q4973" s="235" t="s">
        <v>627</v>
      </c>
      <c r="R4973" s="238">
        <v>493.34</v>
      </c>
      <c r="S4973" s="238">
        <v>23.92</v>
      </c>
      <c r="T4973" s="238">
        <v>0.0</v>
      </c>
      <c r="U4973" s="238">
        <v>0.0</v>
      </c>
      <c r="V4973" s="238">
        <v>0.0</v>
      </c>
      <c r="W4973" s="238">
        <v>0.0</v>
      </c>
      <c r="X4973" s="235" t="s">
        <v>628</v>
      </c>
      <c r="Z4973" s="245"/>
      <c r="AA4973" s="245"/>
      <c r="AB4973" s="245"/>
      <c r="AC4973" s="235" t="s">
        <v>36698</v>
      </c>
      <c r="AD4973" s="235" t="s">
        <v>666</v>
      </c>
      <c r="AE4973" s="238">
        <v>624101.0</v>
      </c>
      <c r="AF4973" s="235" t="s">
        <v>631</v>
      </c>
      <c r="AG4973" s="245"/>
      <c r="AH4973" s="245"/>
      <c r="AI4973" s="245"/>
      <c r="AJ4973" s="245"/>
      <c r="AK4973" s="245"/>
      <c r="AL4973" s="245"/>
      <c r="AM4973" s="245"/>
      <c r="AN4973" s="245"/>
      <c r="AO4973" s="238">
        <v>-14.8</v>
      </c>
      <c r="AP4973" s="238">
        <v>0.0</v>
      </c>
      <c r="AQ4973" s="235" t="s">
        <v>632</v>
      </c>
      <c r="AR4973" s="243">
        <v>1.68E11</v>
      </c>
      <c r="AS4973" s="235" t="s">
        <v>34510</v>
      </c>
      <c r="AT4973" s="235" t="s">
        <v>9</v>
      </c>
      <c r="AU4973" s="235" t="s">
        <v>634</v>
      </c>
      <c r="AV4973" s="246" t="s">
        <v>635</v>
      </c>
      <c r="AW4973" s="227"/>
      <c r="AX4973" s="227"/>
      <c r="AY4973" s="227"/>
      <c r="AZ4973" s="227"/>
      <c r="BA4973" s="227"/>
      <c r="BB4973" s="227"/>
      <c r="BC4973" s="227"/>
      <c r="BD4973" s="227"/>
      <c r="BE4973" s="227"/>
      <c r="BF4973" s="227"/>
    </row>
    <row r="4974">
      <c r="A4974" s="235" t="s">
        <v>36704</v>
      </c>
      <c r="C4974" s="235" t="s">
        <v>36705</v>
      </c>
      <c r="D4974" s="235" t="s">
        <v>36706</v>
      </c>
      <c r="E4974" s="243">
        <v>6.49E13</v>
      </c>
      <c r="F4974" s="245"/>
      <c r="G4974" s="235" t="s">
        <v>36707</v>
      </c>
      <c r="H4974" s="235" t="s">
        <v>36708</v>
      </c>
      <c r="I4974" s="235" t="s">
        <v>36708</v>
      </c>
      <c r="J4974" s="235" t="s">
        <v>36709</v>
      </c>
      <c r="K4974" s="235" t="s">
        <v>36710</v>
      </c>
      <c r="N4974" s="235" t="s">
        <v>127</v>
      </c>
      <c r="O4974" s="235" t="s">
        <v>794</v>
      </c>
      <c r="P4974" s="238">
        <v>1.0</v>
      </c>
      <c r="Q4974" s="235" t="s">
        <v>627</v>
      </c>
      <c r="R4974" s="238">
        <v>243.8</v>
      </c>
      <c r="S4974" s="238">
        <v>12.2</v>
      </c>
      <c r="T4974" s="238">
        <v>0.0</v>
      </c>
      <c r="U4974" s="238">
        <v>0.0</v>
      </c>
      <c r="V4974" s="238">
        <v>0.0</v>
      </c>
      <c r="W4974" s="238">
        <v>0.0</v>
      </c>
      <c r="X4974" s="235" t="s">
        <v>628</v>
      </c>
      <c r="Z4974" s="245"/>
      <c r="AA4974" s="245"/>
      <c r="AB4974" s="245"/>
      <c r="AC4974" s="235" t="s">
        <v>1058</v>
      </c>
      <c r="AD4974" s="235" t="s">
        <v>845</v>
      </c>
      <c r="AE4974" s="238">
        <v>400065.0</v>
      </c>
      <c r="AF4974" s="235" t="s">
        <v>631</v>
      </c>
      <c r="AG4974" s="245"/>
      <c r="AH4974" s="245"/>
      <c r="AI4974" s="245"/>
      <c r="AJ4974" s="245"/>
      <c r="AK4974" s="245"/>
      <c r="AL4974" s="245"/>
      <c r="AM4974" s="245"/>
      <c r="AN4974" s="245"/>
      <c r="AO4974" s="238">
        <v>0.0</v>
      </c>
      <c r="AP4974" s="238">
        <v>0.0</v>
      </c>
      <c r="AQ4974" s="235" t="s">
        <v>632</v>
      </c>
      <c r="AR4974" s="243">
        <v>1.68E11</v>
      </c>
      <c r="AS4974" s="235" t="s">
        <v>35895</v>
      </c>
      <c r="AT4974" s="235" t="s">
        <v>17</v>
      </c>
      <c r="AU4974" s="235" t="s">
        <v>634</v>
      </c>
      <c r="AV4974" s="246" t="s">
        <v>635</v>
      </c>
      <c r="AW4974" s="227"/>
      <c r="AX4974" s="227"/>
      <c r="AY4974" s="227"/>
      <c r="AZ4974" s="227"/>
      <c r="BA4974" s="227"/>
      <c r="BB4974" s="227"/>
      <c r="BC4974" s="227"/>
      <c r="BD4974" s="227"/>
      <c r="BE4974" s="227"/>
      <c r="BF4974" s="227"/>
    </row>
    <row r="4975">
      <c r="A4975" s="235" t="s">
        <v>36711</v>
      </c>
      <c r="C4975" s="235" t="s">
        <v>36712</v>
      </c>
      <c r="D4975" s="235" t="s">
        <v>36713</v>
      </c>
      <c r="E4975" s="243">
        <v>6.49E13</v>
      </c>
      <c r="F4975" s="245"/>
      <c r="G4975" s="235" t="s">
        <v>36714</v>
      </c>
      <c r="H4975" s="235" t="s">
        <v>36715</v>
      </c>
      <c r="I4975" s="235" t="s">
        <v>36715</v>
      </c>
      <c r="J4975" s="235" t="s">
        <v>36716</v>
      </c>
      <c r="K4975" s="235" t="s">
        <v>36717</v>
      </c>
      <c r="N4975" s="235" t="s">
        <v>43</v>
      </c>
      <c r="O4975" s="235" t="s">
        <v>276</v>
      </c>
      <c r="P4975" s="238">
        <v>1.0</v>
      </c>
      <c r="Q4975" s="235" t="s">
        <v>627</v>
      </c>
      <c r="R4975" s="238">
        <v>235.24</v>
      </c>
      <c r="S4975" s="238">
        <v>11.76</v>
      </c>
      <c r="T4975" s="238">
        <v>38.1</v>
      </c>
      <c r="U4975" s="238">
        <v>1.9</v>
      </c>
      <c r="V4975" s="238">
        <v>0.0</v>
      </c>
      <c r="W4975" s="238">
        <v>0.0</v>
      </c>
      <c r="X4975" s="235" t="s">
        <v>628</v>
      </c>
      <c r="Z4975" s="245"/>
      <c r="AA4975" s="245"/>
      <c r="AB4975" s="245"/>
      <c r="AC4975" s="235" t="s">
        <v>697</v>
      </c>
      <c r="AD4975" s="235" t="s">
        <v>698</v>
      </c>
      <c r="AE4975" s="238">
        <v>500049.0</v>
      </c>
      <c r="AF4975" s="235" t="s">
        <v>631</v>
      </c>
      <c r="AG4975" s="245"/>
      <c r="AH4975" s="245"/>
      <c r="AI4975" s="245"/>
      <c r="AJ4975" s="245"/>
      <c r="AK4975" s="245"/>
      <c r="AL4975" s="245"/>
      <c r="AM4975" s="245"/>
      <c r="AN4975" s="245"/>
      <c r="AO4975" s="238">
        <v>0.0</v>
      </c>
      <c r="AP4975" s="238">
        <v>-38.1</v>
      </c>
      <c r="AQ4975" s="235" t="s">
        <v>632</v>
      </c>
      <c r="AR4975" s="243">
        <v>3.7E11</v>
      </c>
      <c r="AS4975" s="235" t="s">
        <v>34510</v>
      </c>
      <c r="AT4975" s="235" t="s">
        <v>11</v>
      </c>
      <c r="AU4975" s="235" t="s">
        <v>634</v>
      </c>
      <c r="AV4975" s="246" t="s">
        <v>635</v>
      </c>
      <c r="AW4975" s="227"/>
      <c r="AX4975" s="227"/>
      <c r="AY4975" s="227"/>
      <c r="AZ4975" s="227"/>
      <c r="BA4975" s="227"/>
      <c r="BB4975" s="227"/>
      <c r="BC4975" s="227"/>
      <c r="BD4975" s="227"/>
      <c r="BE4975" s="227"/>
      <c r="BF4975" s="227"/>
    </row>
    <row r="4976">
      <c r="A4976" s="235" t="s">
        <v>36718</v>
      </c>
      <c r="C4976" s="235" t="s">
        <v>36719</v>
      </c>
      <c r="D4976" s="235" t="s">
        <v>36720</v>
      </c>
      <c r="E4976" s="243">
        <v>6.49E13</v>
      </c>
      <c r="F4976" s="245"/>
      <c r="G4976" s="235" t="s">
        <v>36721</v>
      </c>
      <c r="H4976" s="235" t="s">
        <v>36722</v>
      </c>
      <c r="I4976" s="235" t="s">
        <v>36722</v>
      </c>
      <c r="J4976" s="235" t="s">
        <v>36723</v>
      </c>
      <c r="K4976" s="235" t="s">
        <v>36724</v>
      </c>
      <c r="N4976" s="235" t="s">
        <v>42</v>
      </c>
      <c r="O4976" s="235" t="s">
        <v>204</v>
      </c>
      <c r="P4976" s="238">
        <v>1.0</v>
      </c>
      <c r="Q4976" s="235" t="s">
        <v>627</v>
      </c>
      <c r="R4976" s="238">
        <v>237.14</v>
      </c>
      <c r="S4976" s="238">
        <v>11.62</v>
      </c>
      <c r="T4976" s="238">
        <v>0.0</v>
      </c>
      <c r="U4976" s="238">
        <v>0.0</v>
      </c>
      <c r="V4976" s="238">
        <v>0.0</v>
      </c>
      <c r="W4976" s="238">
        <v>0.0</v>
      </c>
      <c r="X4976" s="235" t="s">
        <v>628</v>
      </c>
      <c r="Z4976" s="245"/>
      <c r="AA4976" s="245"/>
      <c r="AB4976" s="245"/>
      <c r="AC4976" s="235" t="s">
        <v>8552</v>
      </c>
      <c r="AD4976" s="235" t="s">
        <v>833</v>
      </c>
      <c r="AE4976" s="238">
        <v>522601.0</v>
      </c>
      <c r="AF4976" s="235" t="s">
        <v>631</v>
      </c>
      <c r="AG4976" s="245"/>
      <c r="AH4976" s="245"/>
      <c r="AI4976" s="245"/>
      <c r="AJ4976" s="245"/>
      <c r="AK4976" s="245"/>
      <c r="AL4976" s="245"/>
      <c r="AM4976" s="245"/>
      <c r="AN4976" s="245"/>
      <c r="AO4976" s="238">
        <v>-4.74</v>
      </c>
      <c r="AP4976" s="238">
        <v>0.0</v>
      </c>
      <c r="AQ4976" s="235" t="s">
        <v>632</v>
      </c>
      <c r="AR4976" s="243">
        <v>3.7E11</v>
      </c>
      <c r="AS4976" s="235" t="s">
        <v>34510</v>
      </c>
      <c r="AT4976" s="235" t="s">
        <v>156</v>
      </c>
      <c r="AU4976" s="235" t="s">
        <v>634</v>
      </c>
      <c r="AV4976" s="246" t="s">
        <v>635</v>
      </c>
      <c r="AW4976" s="227"/>
      <c r="AX4976" s="227"/>
      <c r="AY4976" s="227"/>
      <c r="AZ4976" s="227"/>
      <c r="BA4976" s="227"/>
      <c r="BB4976" s="227"/>
      <c r="BC4976" s="227"/>
      <c r="BD4976" s="227"/>
      <c r="BE4976" s="227"/>
      <c r="BF4976" s="227"/>
    </row>
    <row r="4977">
      <c r="A4977" s="235" t="s">
        <v>36725</v>
      </c>
      <c r="C4977" s="235" t="s">
        <v>36726</v>
      </c>
      <c r="D4977" s="235" t="s">
        <v>36727</v>
      </c>
      <c r="E4977" s="243">
        <v>6.49E13</v>
      </c>
      <c r="F4977" s="245"/>
      <c r="G4977" s="235" t="s">
        <v>36728</v>
      </c>
      <c r="H4977" s="235" t="s">
        <v>36729</v>
      </c>
      <c r="I4977" s="235" t="s">
        <v>36729</v>
      </c>
      <c r="J4977" s="235" t="s">
        <v>36730</v>
      </c>
      <c r="K4977" s="235" t="s">
        <v>36731</v>
      </c>
      <c r="N4977" s="235" t="s">
        <v>127</v>
      </c>
      <c r="O4977" s="235" t="s">
        <v>794</v>
      </c>
      <c r="P4977" s="238">
        <v>1.0</v>
      </c>
      <c r="Q4977" s="235" t="s">
        <v>627</v>
      </c>
      <c r="R4977" s="238">
        <v>243.8</v>
      </c>
      <c r="S4977" s="238">
        <v>12.2</v>
      </c>
      <c r="T4977" s="238">
        <v>0.0</v>
      </c>
      <c r="U4977" s="238">
        <v>0.0</v>
      </c>
      <c r="V4977" s="238">
        <v>0.0</v>
      </c>
      <c r="W4977" s="238">
        <v>0.0</v>
      </c>
      <c r="X4977" s="235" t="s">
        <v>628</v>
      </c>
      <c r="Z4977" s="245"/>
      <c r="AA4977" s="245"/>
      <c r="AB4977" s="245"/>
      <c r="AC4977" s="235" t="s">
        <v>687</v>
      </c>
      <c r="AD4977" s="235" t="s">
        <v>666</v>
      </c>
      <c r="AE4977" s="238">
        <v>600100.0</v>
      </c>
      <c r="AF4977" s="235" t="s">
        <v>631</v>
      </c>
      <c r="AG4977" s="245"/>
      <c r="AH4977" s="245"/>
      <c r="AI4977" s="245"/>
      <c r="AJ4977" s="245"/>
      <c r="AK4977" s="245"/>
      <c r="AL4977" s="245"/>
      <c r="AM4977" s="245"/>
      <c r="AN4977" s="245"/>
      <c r="AO4977" s="238">
        <v>0.0</v>
      </c>
      <c r="AP4977" s="238">
        <v>0.0</v>
      </c>
      <c r="AQ4977" s="235" t="s">
        <v>632</v>
      </c>
      <c r="AR4977" s="243">
        <v>3.7E11</v>
      </c>
      <c r="AS4977" s="235" t="s">
        <v>35520</v>
      </c>
      <c r="AT4977" s="235" t="s">
        <v>156</v>
      </c>
      <c r="AU4977" s="235" t="s">
        <v>634</v>
      </c>
      <c r="AV4977" s="246" t="s">
        <v>635</v>
      </c>
      <c r="AW4977" s="227"/>
      <c r="AX4977" s="227"/>
      <c r="AY4977" s="227"/>
      <c r="AZ4977" s="227"/>
      <c r="BA4977" s="227"/>
      <c r="BB4977" s="227"/>
      <c r="BC4977" s="227"/>
      <c r="BD4977" s="227"/>
      <c r="BE4977" s="227"/>
      <c r="BF4977" s="227"/>
    </row>
    <row r="4978">
      <c r="A4978" s="235" t="s">
        <v>36732</v>
      </c>
      <c r="C4978" s="235" t="s">
        <v>36733</v>
      </c>
      <c r="D4978" s="235" t="s">
        <v>36734</v>
      </c>
      <c r="E4978" s="243">
        <v>6.49E13</v>
      </c>
      <c r="F4978" s="245"/>
      <c r="G4978" s="235" t="s">
        <v>36735</v>
      </c>
      <c r="H4978" s="235" t="s">
        <v>36736</v>
      </c>
      <c r="I4978" s="235" t="s">
        <v>36736</v>
      </c>
      <c r="J4978" s="235" t="s">
        <v>36737</v>
      </c>
      <c r="K4978" s="235" t="s">
        <v>36738</v>
      </c>
      <c r="N4978" s="235" t="s">
        <v>98</v>
      </c>
      <c r="O4978" s="235" t="s">
        <v>357</v>
      </c>
      <c r="P4978" s="238">
        <v>1.0</v>
      </c>
      <c r="Q4978" s="235" t="s">
        <v>627</v>
      </c>
      <c r="R4978" s="238">
        <v>244.76</v>
      </c>
      <c r="S4978" s="238">
        <v>12.0</v>
      </c>
      <c r="T4978" s="238">
        <v>0.0</v>
      </c>
      <c r="U4978" s="238">
        <v>0.0</v>
      </c>
      <c r="V4978" s="238">
        <v>0.0</v>
      </c>
      <c r="W4978" s="238">
        <v>0.0</v>
      </c>
      <c r="X4978" s="235" t="s">
        <v>628</v>
      </c>
      <c r="Z4978" s="245"/>
      <c r="AA4978" s="245"/>
      <c r="AB4978" s="245"/>
      <c r="AC4978" s="235" t="s">
        <v>1671</v>
      </c>
      <c r="AD4978" s="235" t="s">
        <v>666</v>
      </c>
      <c r="AE4978" s="238">
        <v>641008.0</v>
      </c>
      <c r="AF4978" s="235" t="s">
        <v>631</v>
      </c>
      <c r="AG4978" s="245"/>
      <c r="AH4978" s="245"/>
      <c r="AI4978" s="245"/>
      <c r="AJ4978" s="245"/>
      <c r="AK4978" s="245"/>
      <c r="AL4978" s="245"/>
      <c r="AM4978" s="245"/>
      <c r="AN4978" s="245"/>
      <c r="AO4978" s="238">
        <v>-4.9</v>
      </c>
      <c r="AP4978" s="238">
        <v>0.0</v>
      </c>
      <c r="AQ4978" s="235" t="s">
        <v>632</v>
      </c>
      <c r="AR4978" s="243">
        <v>1.68E11</v>
      </c>
      <c r="AS4978" s="235" t="s">
        <v>35895</v>
      </c>
      <c r="AT4978" s="235" t="s">
        <v>155</v>
      </c>
      <c r="AU4978" s="235" t="s">
        <v>634</v>
      </c>
      <c r="AV4978" s="246" t="s">
        <v>635</v>
      </c>
      <c r="AW4978" s="227"/>
      <c r="AX4978" s="227"/>
      <c r="AY4978" s="227"/>
      <c r="AZ4978" s="227"/>
      <c r="BA4978" s="227"/>
      <c r="BB4978" s="227"/>
      <c r="BC4978" s="227"/>
      <c r="BD4978" s="227"/>
      <c r="BE4978" s="227"/>
      <c r="BF4978" s="227"/>
    </row>
    <row r="4979">
      <c r="A4979" s="235" t="s">
        <v>36739</v>
      </c>
      <c r="C4979" s="235" t="s">
        <v>36740</v>
      </c>
      <c r="D4979" s="235" t="s">
        <v>36741</v>
      </c>
      <c r="E4979" s="243">
        <v>6.49E13</v>
      </c>
      <c r="F4979" s="245"/>
      <c r="G4979" s="235" t="s">
        <v>36742</v>
      </c>
      <c r="H4979" s="235" t="s">
        <v>36743</v>
      </c>
      <c r="I4979" s="235" t="s">
        <v>36743</v>
      </c>
      <c r="J4979" s="235" t="s">
        <v>36744</v>
      </c>
      <c r="K4979" s="235" t="s">
        <v>36745</v>
      </c>
      <c r="N4979" s="235" t="s">
        <v>92</v>
      </c>
      <c r="O4979" s="235" t="s">
        <v>248</v>
      </c>
      <c r="P4979" s="238">
        <v>1.0</v>
      </c>
      <c r="Q4979" s="235" t="s">
        <v>627</v>
      </c>
      <c r="R4979" s="238">
        <v>244.76</v>
      </c>
      <c r="S4979" s="238">
        <v>11.87</v>
      </c>
      <c r="T4979" s="238">
        <v>0.0</v>
      </c>
      <c r="U4979" s="238">
        <v>0.0</v>
      </c>
      <c r="V4979" s="238">
        <v>0.0</v>
      </c>
      <c r="W4979" s="238">
        <v>0.0</v>
      </c>
      <c r="X4979" s="235" t="s">
        <v>628</v>
      </c>
      <c r="Z4979" s="245"/>
      <c r="AA4979" s="245"/>
      <c r="AB4979" s="245"/>
      <c r="AC4979" s="235" t="s">
        <v>36746</v>
      </c>
      <c r="AD4979" s="235" t="s">
        <v>1499</v>
      </c>
      <c r="AE4979" s="238">
        <v>457779.0</v>
      </c>
      <c r="AF4979" s="235" t="s">
        <v>631</v>
      </c>
      <c r="AG4979" s="245"/>
      <c r="AH4979" s="245"/>
      <c r="AI4979" s="245"/>
      <c r="AJ4979" s="245"/>
      <c r="AK4979" s="245"/>
      <c r="AL4979" s="245"/>
      <c r="AM4979" s="245"/>
      <c r="AN4979" s="245"/>
      <c r="AO4979" s="238">
        <v>-7.34</v>
      </c>
      <c r="AP4979" s="238">
        <v>0.0</v>
      </c>
      <c r="AQ4979" s="235" t="s">
        <v>1328</v>
      </c>
      <c r="AR4979" s="243">
        <v>1.34E13</v>
      </c>
      <c r="AS4979" s="235" t="s">
        <v>32455</v>
      </c>
      <c r="AT4979" s="235" t="s">
        <v>5</v>
      </c>
      <c r="AU4979" s="235" t="s">
        <v>634</v>
      </c>
      <c r="AV4979" s="246" t="s">
        <v>635</v>
      </c>
      <c r="AW4979" s="227"/>
      <c r="AX4979" s="227"/>
      <c r="AY4979" s="227"/>
      <c r="AZ4979" s="227"/>
      <c r="BA4979" s="227"/>
      <c r="BB4979" s="227"/>
      <c r="BC4979" s="227"/>
      <c r="BD4979" s="227"/>
      <c r="BE4979" s="227"/>
      <c r="BF4979" s="227"/>
    </row>
    <row r="4980">
      <c r="A4980" s="235" t="s">
        <v>36739</v>
      </c>
      <c r="C4980" s="235" t="s">
        <v>36740</v>
      </c>
      <c r="D4980" s="235" t="s">
        <v>36747</v>
      </c>
      <c r="E4980" s="243">
        <v>6.49E13</v>
      </c>
      <c r="F4980" s="245"/>
      <c r="G4980" s="235" t="s">
        <v>36742</v>
      </c>
      <c r="H4980" s="235" t="s">
        <v>36743</v>
      </c>
      <c r="I4980" s="235" t="s">
        <v>36743</v>
      </c>
      <c r="J4980" s="235" t="s">
        <v>36744</v>
      </c>
      <c r="K4980" s="235" t="s">
        <v>36745</v>
      </c>
      <c r="N4980" s="235" t="s">
        <v>92</v>
      </c>
      <c r="O4980" s="235" t="s">
        <v>248</v>
      </c>
      <c r="P4980" s="238">
        <v>1.0</v>
      </c>
      <c r="Q4980" s="235" t="s">
        <v>627</v>
      </c>
      <c r="R4980" s="238">
        <v>244.76</v>
      </c>
      <c r="S4980" s="238">
        <v>11.87</v>
      </c>
      <c r="T4980" s="238">
        <v>0.0</v>
      </c>
      <c r="U4980" s="238">
        <v>0.0</v>
      </c>
      <c r="V4980" s="238">
        <v>0.0</v>
      </c>
      <c r="W4980" s="238">
        <v>0.0</v>
      </c>
      <c r="X4980" s="235" t="s">
        <v>628</v>
      </c>
      <c r="Z4980" s="245"/>
      <c r="AA4980" s="245"/>
      <c r="AB4980" s="245"/>
      <c r="AC4980" s="235" t="s">
        <v>36746</v>
      </c>
      <c r="AD4980" s="235" t="s">
        <v>1499</v>
      </c>
      <c r="AE4980" s="238">
        <v>457779.0</v>
      </c>
      <c r="AF4980" s="235" t="s">
        <v>631</v>
      </c>
      <c r="AG4980" s="245"/>
      <c r="AH4980" s="245"/>
      <c r="AI4980" s="245"/>
      <c r="AJ4980" s="245"/>
      <c r="AK4980" s="245"/>
      <c r="AL4980" s="245"/>
      <c r="AM4980" s="245"/>
      <c r="AN4980" s="245"/>
      <c r="AO4980" s="238">
        <v>-7.34</v>
      </c>
      <c r="AP4980" s="238">
        <v>0.0</v>
      </c>
      <c r="AQ4980" s="235" t="s">
        <v>1328</v>
      </c>
      <c r="AR4980" s="243">
        <v>1.34E13</v>
      </c>
      <c r="AS4980" s="235" t="s">
        <v>32455</v>
      </c>
      <c r="AT4980" s="235" t="s">
        <v>5</v>
      </c>
      <c r="AU4980" s="235" t="s">
        <v>634</v>
      </c>
      <c r="AV4980" s="246" t="s">
        <v>635</v>
      </c>
      <c r="AW4980" s="227"/>
      <c r="AX4980" s="227"/>
      <c r="AY4980" s="227"/>
      <c r="AZ4980" s="227"/>
      <c r="BA4980" s="227"/>
      <c r="BB4980" s="227"/>
      <c r="BC4980" s="227"/>
      <c r="BD4980" s="227"/>
      <c r="BE4980" s="227"/>
      <c r="BF4980" s="227"/>
    </row>
    <row r="4981">
      <c r="A4981" s="235" t="s">
        <v>36748</v>
      </c>
      <c r="C4981" s="235" t="s">
        <v>36749</v>
      </c>
      <c r="D4981" s="235" t="s">
        <v>36750</v>
      </c>
      <c r="E4981" s="243">
        <v>6.49E13</v>
      </c>
      <c r="F4981" s="245"/>
      <c r="G4981" s="235" t="s">
        <v>36751</v>
      </c>
      <c r="H4981" s="235" t="s">
        <v>36752</v>
      </c>
      <c r="I4981" s="235" t="s">
        <v>36752</v>
      </c>
      <c r="J4981" s="235" t="s">
        <v>36753</v>
      </c>
      <c r="K4981" s="235" t="s">
        <v>36754</v>
      </c>
      <c r="N4981" s="235" t="s">
        <v>42</v>
      </c>
      <c r="O4981" s="235" t="s">
        <v>204</v>
      </c>
      <c r="P4981" s="238">
        <v>1.0</v>
      </c>
      <c r="Q4981" s="235" t="s">
        <v>627</v>
      </c>
      <c r="R4981" s="238">
        <v>237.14</v>
      </c>
      <c r="S4981" s="238">
        <v>11.62</v>
      </c>
      <c r="T4981" s="238">
        <v>0.0</v>
      </c>
      <c r="U4981" s="238">
        <v>0.0</v>
      </c>
      <c r="V4981" s="238">
        <v>0.0</v>
      </c>
      <c r="W4981" s="238">
        <v>0.0</v>
      </c>
      <c r="X4981" s="235" t="s">
        <v>628</v>
      </c>
      <c r="Z4981" s="245"/>
      <c r="AA4981" s="245"/>
      <c r="AB4981" s="245"/>
      <c r="AC4981" s="235" t="s">
        <v>697</v>
      </c>
      <c r="AD4981" s="235" t="s">
        <v>698</v>
      </c>
      <c r="AE4981" s="238">
        <v>500084.0</v>
      </c>
      <c r="AF4981" s="235" t="s">
        <v>631</v>
      </c>
      <c r="AG4981" s="245"/>
      <c r="AH4981" s="245"/>
      <c r="AI4981" s="245"/>
      <c r="AJ4981" s="245"/>
      <c r="AK4981" s="245"/>
      <c r="AL4981" s="245"/>
      <c r="AM4981" s="245"/>
      <c r="AN4981" s="245"/>
      <c r="AO4981" s="238">
        <v>-4.74</v>
      </c>
      <c r="AP4981" s="238">
        <v>0.0</v>
      </c>
      <c r="AQ4981" s="235" t="s">
        <v>632</v>
      </c>
      <c r="AR4981" s="243">
        <v>1.68E11</v>
      </c>
      <c r="AS4981" s="235" t="s">
        <v>35520</v>
      </c>
      <c r="AT4981" s="235" t="s">
        <v>9</v>
      </c>
      <c r="AU4981" s="235" t="s">
        <v>634</v>
      </c>
      <c r="AV4981" s="246" t="s">
        <v>635</v>
      </c>
      <c r="AW4981" s="227"/>
      <c r="AX4981" s="227"/>
      <c r="AY4981" s="227"/>
      <c r="AZ4981" s="227"/>
      <c r="BA4981" s="227"/>
      <c r="BB4981" s="227"/>
      <c r="BC4981" s="227"/>
      <c r="BD4981" s="227"/>
      <c r="BE4981" s="227"/>
      <c r="BF4981" s="227"/>
    </row>
    <row r="4982">
      <c r="A4982" s="235" t="s">
        <v>36755</v>
      </c>
      <c r="C4982" s="235" t="s">
        <v>36756</v>
      </c>
      <c r="D4982" s="235" t="s">
        <v>36757</v>
      </c>
      <c r="E4982" s="243">
        <v>6.49E13</v>
      </c>
      <c r="F4982" s="245"/>
      <c r="G4982" s="235" t="s">
        <v>36758</v>
      </c>
      <c r="H4982" s="235" t="s">
        <v>36759</v>
      </c>
      <c r="I4982" s="235" t="s">
        <v>36759</v>
      </c>
      <c r="J4982" s="235" t="s">
        <v>36760</v>
      </c>
      <c r="K4982" s="235" t="s">
        <v>36761</v>
      </c>
      <c r="N4982" s="235" t="s">
        <v>144</v>
      </c>
      <c r="O4982" s="235" t="s">
        <v>232</v>
      </c>
      <c r="P4982" s="238">
        <v>1.0</v>
      </c>
      <c r="Q4982" s="235" t="s">
        <v>627</v>
      </c>
      <c r="R4982" s="238">
        <v>665.71</v>
      </c>
      <c r="S4982" s="238">
        <v>33.29</v>
      </c>
      <c r="T4982" s="238">
        <v>38.1</v>
      </c>
      <c r="U4982" s="238">
        <v>1.9</v>
      </c>
      <c r="V4982" s="238">
        <v>0.0</v>
      </c>
      <c r="W4982" s="238">
        <v>0.0</v>
      </c>
      <c r="X4982" s="235" t="s">
        <v>628</v>
      </c>
      <c r="Z4982" s="245"/>
      <c r="AA4982" s="245"/>
      <c r="AB4982" s="245"/>
      <c r="AC4982" s="235" t="s">
        <v>1287</v>
      </c>
      <c r="AD4982" s="235" t="s">
        <v>630</v>
      </c>
      <c r="AE4982" s="238">
        <v>201014.0</v>
      </c>
      <c r="AF4982" s="235" t="s">
        <v>631</v>
      </c>
      <c r="AG4982" s="245"/>
      <c r="AH4982" s="245"/>
      <c r="AI4982" s="245"/>
      <c r="AJ4982" s="245"/>
      <c r="AK4982" s="245"/>
      <c r="AL4982" s="245"/>
      <c r="AM4982" s="245"/>
      <c r="AN4982" s="245"/>
      <c r="AO4982" s="238">
        <v>0.0</v>
      </c>
      <c r="AP4982" s="238">
        <v>-38.1</v>
      </c>
      <c r="AQ4982" s="235" t="s">
        <v>632</v>
      </c>
      <c r="AR4982" s="243">
        <v>3.7E11</v>
      </c>
      <c r="AS4982" s="235" t="s">
        <v>33466</v>
      </c>
      <c r="AT4982" s="235" t="s">
        <v>5</v>
      </c>
      <c r="AU4982" s="235" t="s">
        <v>634</v>
      </c>
      <c r="AV4982" s="246" t="s">
        <v>635</v>
      </c>
      <c r="AW4982" s="227"/>
      <c r="AX4982" s="227"/>
      <c r="AY4982" s="227"/>
      <c r="AZ4982" s="227"/>
      <c r="BA4982" s="227"/>
      <c r="BB4982" s="227"/>
      <c r="BC4982" s="227"/>
      <c r="BD4982" s="227"/>
      <c r="BE4982" s="227"/>
      <c r="BF4982" s="227"/>
    </row>
    <row r="4983">
      <c r="A4983" s="235" t="s">
        <v>36762</v>
      </c>
      <c r="C4983" s="235" t="s">
        <v>36763</v>
      </c>
      <c r="D4983" s="235" t="s">
        <v>36764</v>
      </c>
      <c r="E4983" s="243">
        <v>6.49E13</v>
      </c>
      <c r="F4983" s="245"/>
      <c r="G4983" s="235" t="s">
        <v>36765</v>
      </c>
      <c r="H4983" s="235" t="s">
        <v>36766</v>
      </c>
      <c r="I4983" s="235" t="s">
        <v>36767</v>
      </c>
      <c r="J4983" s="235" t="s">
        <v>36768</v>
      </c>
      <c r="K4983" s="235" t="s">
        <v>36769</v>
      </c>
      <c r="N4983" s="235" t="s">
        <v>71</v>
      </c>
      <c r="O4983" s="235" t="s">
        <v>240</v>
      </c>
      <c r="P4983" s="238">
        <v>1.0</v>
      </c>
      <c r="Q4983" s="235" t="s">
        <v>627</v>
      </c>
      <c r="R4983" s="238">
        <v>246.66</v>
      </c>
      <c r="S4983" s="238">
        <v>12.1</v>
      </c>
      <c r="T4983" s="238">
        <v>0.0</v>
      </c>
      <c r="U4983" s="238">
        <v>0.0</v>
      </c>
      <c r="V4983" s="238">
        <v>0.0</v>
      </c>
      <c r="W4983" s="238">
        <v>0.0</v>
      </c>
      <c r="X4983" s="235" t="s">
        <v>628</v>
      </c>
      <c r="Z4983" s="245"/>
      <c r="AA4983" s="245"/>
      <c r="AB4983" s="245"/>
      <c r="AC4983" s="235" t="s">
        <v>678</v>
      </c>
      <c r="AD4983" s="235" t="s">
        <v>679</v>
      </c>
      <c r="AE4983" s="238">
        <v>560009.0</v>
      </c>
      <c r="AF4983" s="235" t="s">
        <v>631</v>
      </c>
      <c r="AG4983" s="245"/>
      <c r="AH4983" s="245"/>
      <c r="AI4983" s="245"/>
      <c r="AJ4983" s="245"/>
      <c r="AK4983" s="245"/>
      <c r="AL4983" s="245"/>
      <c r="AM4983" s="245"/>
      <c r="AN4983" s="245"/>
      <c r="AO4983" s="238">
        <v>-4.94</v>
      </c>
      <c r="AP4983" s="238">
        <v>0.0</v>
      </c>
      <c r="AQ4983" s="235" t="s">
        <v>632</v>
      </c>
      <c r="AR4983" s="243">
        <v>1.68E11</v>
      </c>
      <c r="AS4983" s="235" t="s">
        <v>35895</v>
      </c>
      <c r="AT4983" s="235" t="s">
        <v>9</v>
      </c>
      <c r="AU4983" s="235" t="s">
        <v>634</v>
      </c>
      <c r="AV4983" s="246" t="s">
        <v>635</v>
      </c>
      <c r="AW4983" s="227"/>
      <c r="AX4983" s="227"/>
      <c r="AY4983" s="227"/>
      <c r="AZ4983" s="227"/>
      <c r="BA4983" s="227"/>
      <c r="BB4983" s="227"/>
      <c r="BC4983" s="227"/>
      <c r="BD4983" s="227"/>
      <c r="BE4983" s="227"/>
      <c r="BF4983" s="227"/>
    </row>
    <row r="4984">
      <c r="A4984" s="235" t="s">
        <v>36770</v>
      </c>
      <c r="C4984" s="235" t="s">
        <v>36771</v>
      </c>
      <c r="D4984" s="235" t="s">
        <v>36772</v>
      </c>
      <c r="E4984" s="243">
        <v>6.49E13</v>
      </c>
      <c r="F4984" s="245"/>
      <c r="G4984" s="235" t="s">
        <v>36773</v>
      </c>
      <c r="H4984" s="235" t="s">
        <v>36774</v>
      </c>
      <c r="I4984" s="235" t="s">
        <v>36774</v>
      </c>
      <c r="J4984" s="235" t="s">
        <v>36775</v>
      </c>
      <c r="K4984" s="235" t="s">
        <v>36776</v>
      </c>
      <c r="N4984" s="235" t="s">
        <v>25</v>
      </c>
      <c r="O4984" s="235" t="s">
        <v>919</v>
      </c>
      <c r="P4984" s="238">
        <v>1.0</v>
      </c>
      <c r="Q4984" s="235" t="s">
        <v>627</v>
      </c>
      <c r="R4984" s="238">
        <v>360.95</v>
      </c>
      <c r="S4984" s="238">
        <v>18.05</v>
      </c>
      <c r="T4984" s="238">
        <v>38.1</v>
      </c>
      <c r="U4984" s="238">
        <v>1.9</v>
      </c>
      <c r="V4984" s="238">
        <v>0.0</v>
      </c>
      <c r="W4984" s="238">
        <v>0.0</v>
      </c>
      <c r="X4984" s="235" t="s">
        <v>628</v>
      </c>
      <c r="Z4984" s="245"/>
      <c r="AA4984" s="245"/>
      <c r="AB4984" s="245"/>
      <c r="AC4984" s="235" t="s">
        <v>36777</v>
      </c>
      <c r="AD4984" s="235" t="s">
        <v>698</v>
      </c>
      <c r="AE4984" s="238">
        <v>507167.0</v>
      </c>
      <c r="AF4984" s="235" t="s">
        <v>631</v>
      </c>
      <c r="AG4984" s="245"/>
      <c r="AH4984" s="245"/>
      <c r="AI4984" s="245"/>
      <c r="AJ4984" s="245"/>
      <c r="AK4984" s="245"/>
      <c r="AL4984" s="245"/>
      <c r="AM4984" s="245"/>
      <c r="AN4984" s="245"/>
      <c r="AO4984" s="238">
        <v>0.0</v>
      </c>
      <c r="AP4984" s="238">
        <v>0.0</v>
      </c>
      <c r="AQ4984" s="235" t="s">
        <v>632</v>
      </c>
      <c r="AR4984" s="243">
        <v>3.7E11</v>
      </c>
      <c r="AS4984" s="235" t="s">
        <v>34510</v>
      </c>
      <c r="AT4984" s="235" t="s">
        <v>156</v>
      </c>
      <c r="AU4984" s="235" t="s">
        <v>634</v>
      </c>
      <c r="AV4984" s="246" t="s">
        <v>635</v>
      </c>
      <c r="AW4984" s="227"/>
      <c r="AX4984" s="227"/>
      <c r="AY4984" s="227"/>
      <c r="AZ4984" s="227"/>
      <c r="BA4984" s="227"/>
      <c r="BB4984" s="227"/>
      <c r="BC4984" s="227"/>
      <c r="BD4984" s="227"/>
      <c r="BE4984" s="227"/>
      <c r="BF4984" s="227"/>
    </row>
    <row r="4985">
      <c r="A4985" s="235" t="s">
        <v>36778</v>
      </c>
      <c r="C4985" s="235" t="s">
        <v>36779</v>
      </c>
      <c r="D4985" s="235" t="s">
        <v>36780</v>
      </c>
      <c r="E4985" s="243">
        <v>6.49E13</v>
      </c>
      <c r="F4985" s="245"/>
      <c r="G4985" s="235" t="s">
        <v>36781</v>
      </c>
      <c r="H4985" s="235" t="s">
        <v>36782</v>
      </c>
      <c r="I4985" s="235" t="s">
        <v>36783</v>
      </c>
      <c r="J4985" s="235" t="s">
        <v>36784</v>
      </c>
      <c r="K4985" s="235" t="s">
        <v>14808</v>
      </c>
      <c r="N4985" s="235" t="s">
        <v>47</v>
      </c>
      <c r="O4985" s="235" t="s">
        <v>270</v>
      </c>
      <c r="P4985" s="238">
        <v>1.0</v>
      </c>
      <c r="Q4985" s="235" t="s">
        <v>627</v>
      </c>
      <c r="R4985" s="238">
        <v>236.19</v>
      </c>
      <c r="S4985" s="238">
        <v>11.57</v>
      </c>
      <c r="T4985" s="238">
        <v>0.0</v>
      </c>
      <c r="U4985" s="238">
        <v>0.0</v>
      </c>
      <c r="V4985" s="238">
        <v>0.0</v>
      </c>
      <c r="W4985" s="238">
        <v>0.0</v>
      </c>
      <c r="X4985" s="235" t="s">
        <v>628</v>
      </c>
      <c r="Z4985" s="245"/>
      <c r="AA4985" s="245"/>
      <c r="AB4985" s="245"/>
      <c r="AC4985" s="235" t="s">
        <v>697</v>
      </c>
      <c r="AD4985" s="235" t="s">
        <v>698</v>
      </c>
      <c r="AE4985" s="238">
        <v>500035.0</v>
      </c>
      <c r="AF4985" s="235" t="s">
        <v>631</v>
      </c>
      <c r="AG4985" s="245"/>
      <c r="AH4985" s="245"/>
      <c r="AI4985" s="245"/>
      <c r="AJ4985" s="245"/>
      <c r="AK4985" s="245"/>
      <c r="AL4985" s="245"/>
      <c r="AM4985" s="245"/>
      <c r="AN4985" s="245"/>
      <c r="AO4985" s="238">
        <v>-4.72</v>
      </c>
      <c r="AP4985" s="238">
        <v>0.0</v>
      </c>
      <c r="AQ4985" s="235" t="s">
        <v>632</v>
      </c>
      <c r="AR4985" s="243">
        <v>2.02E11</v>
      </c>
      <c r="AS4985" s="235" t="s">
        <v>35520</v>
      </c>
      <c r="AT4985" s="235" t="s">
        <v>16</v>
      </c>
      <c r="AU4985" s="235" t="s">
        <v>634</v>
      </c>
      <c r="AV4985" s="246" t="s">
        <v>635</v>
      </c>
      <c r="AW4985" s="227"/>
      <c r="AX4985" s="227"/>
      <c r="AY4985" s="227"/>
      <c r="AZ4985" s="227"/>
      <c r="BA4985" s="227"/>
      <c r="BB4985" s="227"/>
      <c r="BC4985" s="227"/>
      <c r="BD4985" s="227"/>
      <c r="BE4985" s="227"/>
      <c r="BF4985" s="227"/>
    </row>
    <row r="4986">
      <c r="A4986" s="235" t="s">
        <v>36785</v>
      </c>
      <c r="C4986" s="235" t="s">
        <v>36786</v>
      </c>
      <c r="D4986" s="235" t="s">
        <v>36787</v>
      </c>
      <c r="E4986" s="243">
        <v>6.49E13</v>
      </c>
      <c r="F4986" s="245"/>
      <c r="G4986" s="235" t="s">
        <v>36788</v>
      </c>
      <c r="H4986" s="235" t="s">
        <v>36789</v>
      </c>
      <c r="I4986" s="235" t="s">
        <v>36789</v>
      </c>
      <c r="J4986" s="235" t="s">
        <v>36790</v>
      </c>
      <c r="K4986" s="235" t="s">
        <v>36791</v>
      </c>
      <c r="N4986" s="235" t="s">
        <v>144</v>
      </c>
      <c r="O4986" s="235" t="s">
        <v>232</v>
      </c>
      <c r="P4986" s="238">
        <v>1.0</v>
      </c>
      <c r="Q4986" s="235" t="s">
        <v>627</v>
      </c>
      <c r="R4986" s="238">
        <v>665.71</v>
      </c>
      <c r="S4986" s="238">
        <v>33.29</v>
      </c>
      <c r="T4986" s="238">
        <v>0.0</v>
      </c>
      <c r="U4986" s="238">
        <v>0.0</v>
      </c>
      <c r="V4986" s="238">
        <v>0.0</v>
      </c>
      <c r="W4986" s="238">
        <v>0.0</v>
      </c>
      <c r="X4986" s="235" t="s">
        <v>628</v>
      </c>
      <c r="Z4986" s="245"/>
      <c r="AA4986" s="245"/>
      <c r="AB4986" s="245"/>
      <c r="AC4986" s="235" t="s">
        <v>36792</v>
      </c>
      <c r="AD4986" s="235" t="s">
        <v>3113</v>
      </c>
      <c r="AE4986" s="238">
        <v>495668.0</v>
      </c>
      <c r="AF4986" s="235" t="s">
        <v>631</v>
      </c>
      <c r="AG4986" s="245"/>
      <c r="AH4986" s="245"/>
      <c r="AI4986" s="245"/>
      <c r="AJ4986" s="245"/>
      <c r="AK4986" s="245"/>
      <c r="AL4986" s="245"/>
      <c r="AM4986" s="245"/>
      <c r="AN4986" s="245"/>
      <c r="AO4986" s="238">
        <v>0.0</v>
      </c>
      <c r="AP4986" s="238">
        <v>0.0</v>
      </c>
      <c r="AQ4986" s="235" t="s">
        <v>632</v>
      </c>
      <c r="AR4986" s="243">
        <v>3.7E11</v>
      </c>
      <c r="AS4986" s="235" t="s">
        <v>32455</v>
      </c>
      <c r="AT4986" s="235" t="s">
        <v>5</v>
      </c>
      <c r="AU4986" s="235" t="s">
        <v>634</v>
      </c>
      <c r="AV4986" s="246" t="s">
        <v>635</v>
      </c>
      <c r="AW4986" s="227"/>
      <c r="AX4986" s="227"/>
      <c r="AY4986" s="227"/>
      <c r="AZ4986" s="227"/>
      <c r="BA4986" s="227"/>
      <c r="BB4986" s="227"/>
      <c r="BC4986" s="227"/>
      <c r="BD4986" s="227"/>
      <c r="BE4986" s="227"/>
      <c r="BF4986" s="227"/>
    </row>
    <row r="4987">
      <c r="A4987" s="235" t="s">
        <v>36793</v>
      </c>
      <c r="C4987" s="235" t="s">
        <v>36794</v>
      </c>
      <c r="D4987" s="235" t="s">
        <v>36795</v>
      </c>
      <c r="E4987" s="243">
        <v>6.49E13</v>
      </c>
      <c r="F4987" s="245"/>
      <c r="G4987" s="235" t="s">
        <v>36796</v>
      </c>
      <c r="H4987" s="235" t="s">
        <v>36797</v>
      </c>
      <c r="I4987" s="235" t="s">
        <v>36797</v>
      </c>
      <c r="J4987" s="235" t="s">
        <v>36798</v>
      </c>
      <c r="K4987" s="235" t="s">
        <v>36799</v>
      </c>
      <c r="N4987" s="235" t="s">
        <v>144</v>
      </c>
      <c r="O4987" s="235" t="s">
        <v>232</v>
      </c>
      <c r="P4987" s="238">
        <v>1.0</v>
      </c>
      <c r="Q4987" s="235" t="s">
        <v>627</v>
      </c>
      <c r="R4987" s="238">
        <v>665.71</v>
      </c>
      <c r="S4987" s="238">
        <v>33.29</v>
      </c>
      <c r="T4987" s="238">
        <v>0.0</v>
      </c>
      <c r="U4987" s="238">
        <v>0.0</v>
      </c>
      <c r="V4987" s="238">
        <v>0.0</v>
      </c>
      <c r="W4987" s="238">
        <v>0.0</v>
      </c>
      <c r="X4987" s="235" t="s">
        <v>628</v>
      </c>
      <c r="Z4987" s="245"/>
      <c r="AA4987" s="245"/>
      <c r="AB4987" s="245"/>
      <c r="AC4987" s="235" t="s">
        <v>697</v>
      </c>
      <c r="AD4987" s="235" t="s">
        <v>698</v>
      </c>
      <c r="AE4987" s="238">
        <v>500084.0</v>
      </c>
      <c r="AF4987" s="235" t="s">
        <v>631</v>
      </c>
      <c r="AG4987" s="245"/>
      <c r="AH4987" s="245"/>
      <c r="AI4987" s="245"/>
      <c r="AJ4987" s="245"/>
      <c r="AK4987" s="245"/>
      <c r="AL4987" s="245"/>
      <c r="AM4987" s="245"/>
      <c r="AN4987" s="245"/>
      <c r="AO4987" s="238">
        <v>0.0</v>
      </c>
      <c r="AP4987" s="238">
        <v>0.0</v>
      </c>
      <c r="AQ4987" s="235" t="s">
        <v>632</v>
      </c>
      <c r="AR4987" s="243">
        <v>2.02E11</v>
      </c>
      <c r="AS4987" s="235" t="s">
        <v>35520</v>
      </c>
      <c r="AT4987" s="235" t="s">
        <v>17</v>
      </c>
      <c r="AU4987" s="235" t="s">
        <v>634</v>
      </c>
      <c r="AV4987" s="246" t="s">
        <v>635</v>
      </c>
      <c r="AW4987" s="227"/>
      <c r="AX4987" s="227"/>
      <c r="AY4987" s="227"/>
      <c r="AZ4987" s="227"/>
      <c r="BA4987" s="227"/>
      <c r="BB4987" s="227"/>
      <c r="BC4987" s="227"/>
      <c r="BD4987" s="227"/>
      <c r="BE4987" s="227"/>
      <c r="BF4987" s="227"/>
    </row>
    <row r="4988">
      <c r="A4988" s="235" t="s">
        <v>36800</v>
      </c>
      <c r="C4988" s="235" t="s">
        <v>36801</v>
      </c>
      <c r="D4988" s="235" t="s">
        <v>36802</v>
      </c>
      <c r="E4988" s="243">
        <v>6.49E13</v>
      </c>
      <c r="F4988" s="245"/>
      <c r="G4988" s="235" t="s">
        <v>36803</v>
      </c>
      <c r="H4988" s="235" t="s">
        <v>36804</v>
      </c>
      <c r="I4988" s="235" t="s">
        <v>36804</v>
      </c>
      <c r="J4988" s="235" t="s">
        <v>36805</v>
      </c>
      <c r="K4988" s="235" t="s">
        <v>36806</v>
      </c>
      <c r="N4988" s="235" t="s">
        <v>138</v>
      </c>
      <c r="O4988" s="235" t="s">
        <v>675</v>
      </c>
      <c r="P4988" s="238">
        <v>1.0</v>
      </c>
      <c r="Q4988" s="235" t="s">
        <v>627</v>
      </c>
      <c r="R4988" s="238">
        <v>244.76</v>
      </c>
      <c r="S4988" s="238">
        <v>12.0</v>
      </c>
      <c r="T4988" s="238">
        <v>0.0</v>
      </c>
      <c r="U4988" s="238">
        <v>0.0</v>
      </c>
      <c r="V4988" s="238">
        <v>0.0</v>
      </c>
      <c r="W4988" s="238">
        <v>0.0</v>
      </c>
      <c r="X4988" s="235" t="s">
        <v>628</v>
      </c>
      <c r="Z4988" s="245"/>
      <c r="AA4988" s="245"/>
      <c r="AB4988" s="245"/>
      <c r="AC4988" s="235" t="s">
        <v>36807</v>
      </c>
      <c r="AD4988" s="235" t="s">
        <v>11362</v>
      </c>
      <c r="AE4988" s="238">
        <v>742101.0</v>
      </c>
      <c r="AF4988" s="235" t="s">
        <v>631</v>
      </c>
      <c r="AG4988" s="245"/>
      <c r="AH4988" s="245"/>
      <c r="AI4988" s="245"/>
      <c r="AJ4988" s="245"/>
      <c r="AK4988" s="245"/>
      <c r="AL4988" s="245"/>
      <c r="AM4988" s="245"/>
      <c r="AN4988" s="245"/>
      <c r="AO4988" s="238">
        <v>-4.9</v>
      </c>
      <c r="AP4988" s="238">
        <v>0.0</v>
      </c>
      <c r="AQ4988" s="235" t="s">
        <v>632</v>
      </c>
      <c r="AR4988" s="243">
        <v>3.7E11</v>
      </c>
      <c r="AS4988" s="235" t="s">
        <v>32455</v>
      </c>
      <c r="AT4988" s="235" t="s">
        <v>533</v>
      </c>
      <c r="AU4988" s="235" t="s">
        <v>634</v>
      </c>
      <c r="AV4988" s="246" t="s">
        <v>635</v>
      </c>
      <c r="AW4988" s="227"/>
      <c r="AX4988" s="227"/>
      <c r="AY4988" s="227"/>
      <c r="AZ4988" s="227"/>
      <c r="BA4988" s="227"/>
      <c r="BB4988" s="227"/>
      <c r="BC4988" s="227"/>
      <c r="BD4988" s="227"/>
      <c r="BE4988" s="227"/>
      <c r="BF4988" s="227"/>
    </row>
    <row r="4989">
      <c r="A4989" s="235" t="s">
        <v>36808</v>
      </c>
      <c r="C4989" s="235" t="s">
        <v>36809</v>
      </c>
      <c r="D4989" s="235" t="s">
        <v>36810</v>
      </c>
      <c r="E4989" s="243">
        <v>6.49E13</v>
      </c>
      <c r="F4989" s="245"/>
      <c r="G4989" s="235" t="s">
        <v>36811</v>
      </c>
      <c r="H4989" s="235" t="s">
        <v>36812</v>
      </c>
      <c r="I4989" s="235" t="s">
        <v>36813</v>
      </c>
      <c r="J4989" s="235" t="s">
        <v>36814</v>
      </c>
      <c r="K4989" s="235" t="s">
        <v>36815</v>
      </c>
      <c r="N4989" s="235" t="s">
        <v>40</v>
      </c>
      <c r="O4989" s="235" t="s">
        <v>327</v>
      </c>
      <c r="P4989" s="238">
        <v>1.0</v>
      </c>
      <c r="Q4989" s="235" t="s">
        <v>627</v>
      </c>
      <c r="R4989" s="238">
        <v>237.14</v>
      </c>
      <c r="S4989" s="238">
        <v>11.86</v>
      </c>
      <c r="T4989" s="238">
        <v>0.0</v>
      </c>
      <c r="U4989" s="238">
        <v>0.0</v>
      </c>
      <c r="V4989" s="238">
        <v>0.0</v>
      </c>
      <c r="W4989" s="238">
        <v>0.0</v>
      </c>
      <c r="X4989" s="235" t="s">
        <v>628</v>
      </c>
      <c r="Z4989" s="245"/>
      <c r="AA4989" s="245"/>
      <c r="AB4989" s="245"/>
      <c r="AC4989" s="235" t="s">
        <v>844</v>
      </c>
      <c r="AD4989" s="235" t="s">
        <v>845</v>
      </c>
      <c r="AE4989" s="238">
        <v>411036.0</v>
      </c>
      <c r="AF4989" s="235" t="s">
        <v>631</v>
      </c>
      <c r="AG4989" s="245"/>
      <c r="AH4989" s="245"/>
      <c r="AI4989" s="245"/>
      <c r="AJ4989" s="245"/>
      <c r="AK4989" s="245"/>
      <c r="AL4989" s="245"/>
      <c r="AM4989" s="245"/>
      <c r="AN4989" s="245"/>
      <c r="AO4989" s="238">
        <v>0.0</v>
      </c>
      <c r="AP4989" s="238">
        <v>0.0</v>
      </c>
      <c r="AQ4989" s="235" t="s">
        <v>632</v>
      </c>
      <c r="AR4989" s="243">
        <v>2.02E11</v>
      </c>
      <c r="AS4989" s="235" t="s">
        <v>35520</v>
      </c>
      <c r="AT4989" s="235" t="s">
        <v>14</v>
      </c>
      <c r="AU4989" s="235" t="s">
        <v>634</v>
      </c>
      <c r="AV4989" s="246" t="s">
        <v>635</v>
      </c>
      <c r="AW4989" s="227"/>
      <c r="AX4989" s="227"/>
      <c r="AY4989" s="227"/>
      <c r="AZ4989" s="227"/>
      <c r="BA4989" s="227"/>
      <c r="BB4989" s="227"/>
      <c r="BC4989" s="227"/>
      <c r="BD4989" s="227"/>
      <c r="BE4989" s="227"/>
      <c r="BF4989" s="227"/>
    </row>
    <row r="4990">
      <c r="A4990" s="235" t="s">
        <v>36816</v>
      </c>
      <c r="C4990" s="235" t="s">
        <v>36817</v>
      </c>
      <c r="D4990" s="235" t="s">
        <v>36818</v>
      </c>
      <c r="E4990" s="243">
        <v>6.49E13</v>
      </c>
      <c r="F4990" s="245"/>
      <c r="G4990" s="235" t="s">
        <v>36819</v>
      </c>
      <c r="H4990" s="235" t="s">
        <v>36820</v>
      </c>
      <c r="I4990" s="235" t="s">
        <v>36821</v>
      </c>
      <c r="J4990" s="235" t="s">
        <v>36822</v>
      </c>
      <c r="K4990" s="235" t="s">
        <v>30745</v>
      </c>
      <c r="N4990" s="235" t="s">
        <v>154</v>
      </c>
      <c r="O4990" s="235" t="s">
        <v>766</v>
      </c>
      <c r="P4990" s="238">
        <v>1.0</v>
      </c>
      <c r="Q4990" s="235" t="s">
        <v>627</v>
      </c>
      <c r="R4990" s="238">
        <v>465.71</v>
      </c>
      <c r="S4990" s="238">
        <v>23.29</v>
      </c>
      <c r="T4990" s="238">
        <v>0.0</v>
      </c>
      <c r="U4990" s="238">
        <v>0.0</v>
      </c>
      <c r="V4990" s="238">
        <v>0.0</v>
      </c>
      <c r="W4990" s="238">
        <v>0.0</v>
      </c>
      <c r="X4990" s="235" t="s">
        <v>628</v>
      </c>
      <c r="Z4990" s="245"/>
      <c r="AA4990" s="245"/>
      <c r="AB4990" s="245"/>
      <c r="AC4990" s="235" t="s">
        <v>795</v>
      </c>
      <c r="AD4990" s="235" t="s">
        <v>796</v>
      </c>
      <c r="AE4990" s="238">
        <v>110074.0</v>
      </c>
      <c r="AF4990" s="235" t="s">
        <v>631</v>
      </c>
      <c r="AG4990" s="245"/>
      <c r="AH4990" s="245"/>
      <c r="AI4990" s="245"/>
      <c r="AJ4990" s="245"/>
      <c r="AK4990" s="245"/>
      <c r="AL4990" s="245"/>
      <c r="AM4990" s="245"/>
      <c r="AN4990" s="245"/>
      <c r="AO4990" s="238">
        <v>0.0</v>
      </c>
      <c r="AP4990" s="238">
        <v>0.0</v>
      </c>
      <c r="AQ4990" s="235" t="s">
        <v>632</v>
      </c>
      <c r="AR4990" s="243">
        <v>3.7E11</v>
      </c>
      <c r="AS4990" s="235" t="s">
        <v>35520</v>
      </c>
      <c r="AT4990" s="235" t="s">
        <v>533</v>
      </c>
      <c r="AU4990" s="235" t="s">
        <v>634</v>
      </c>
      <c r="AV4990" s="246" t="s">
        <v>635</v>
      </c>
      <c r="AW4990" s="227"/>
      <c r="AX4990" s="227"/>
      <c r="AY4990" s="227"/>
      <c r="AZ4990" s="227"/>
      <c r="BA4990" s="227"/>
      <c r="BB4990" s="227"/>
      <c r="BC4990" s="227"/>
      <c r="BD4990" s="227"/>
      <c r="BE4990" s="227"/>
      <c r="BF4990" s="227"/>
    </row>
    <row r="4991">
      <c r="A4991" s="235" t="s">
        <v>36823</v>
      </c>
      <c r="C4991" s="235" t="s">
        <v>36824</v>
      </c>
      <c r="D4991" s="235" t="s">
        <v>36825</v>
      </c>
      <c r="E4991" s="243">
        <v>6.49E13</v>
      </c>
      <c r="F4991" s="245"/>
      <c r="G4991" s="235" t="s">
        <v>36826</v>
      </c>
      <c r="H4991" s="235" t="s">
        <v>36827</v>
      </c>
      <c r="I4991" s="235" t="s">
        <v>36827</v>
      </c>
      <c r="J4991" s="235" t="s">
        <v>36828</v>
      </c>
      <c r="K4991" s="235" t="s">
        <v>36829</v>
      </c>
      <c r="N4991" s="235" t="s">
        <v>141</v>
      </c>
      <c r="O4991" s="235" t="s">
        <v>342</v>
      </c>
      <c r="P4991" s="238">
        <v>1.0</v>
      </c>
      <c r="Q4991" s="235" t="s">
        <v>627</v>
      </c>
      <c r="R4991" s="238">
        <v>244.76</v>
      </c>
      <c r="S4991" s="238">
        <v>12.0</v>
      </c>
      <c r="T4991" s="238">
        <v>38.1</v>
      </c>
      <c r="U4991" s="238">
        <v>1.9</v>
      </c>
      <c r="V4991" s="238">
        <v>0.0</v>
      </c>
      <c r="W4991" s="238">
        <v>0.0</v>
      </c>
      <c r="X4991" s="235" t="s">
        <v>628</v>
      </c>
      <c r="Z4991" s="245"/>
      <c r="AA4991" s="245"/>
      <c r="AB4991" s="245"/>
      <c r="AC4991" s="235" t="s">
        <v>1032</v>
      </c>
      <c r="AD4991" s="235" t="s">
        <v>630</v>
      </c>
      <c r="AE4991" s="238">
        <v>243001.0</v>
      </c>
      <c r="AF4991" s="235" t="s">
        <v>631</v>
      </c>
      <c r="AG4991" s="245"/>
      <c r="AH4991" s="245"/>
      <c r="AI4991" s="245"/>
      <c r="AJ4991" s="245"/>
      <c r="AK4991" s="245"/>
      <c r="AL4991" s="245"/>
      <c r="AM4991" s="245"/>
      <c r="AN4991" s="245"/>
      <c r="AO4991" s="238">
        <v>-4.9</v>
      </c>
      <c r="AP4991" s="238">
        <v>-38.1</v>
      </c>
      <c r="AQ4991" s="235" t="s">
        <v>632</v>
      </c>
      <c r="AR4991" s="243">
        <v>3.7E11</v>
      </c>
      <c r="AS4991" s="235" t="s">
        <v>33466</v>
      </c>
      <c r="AT4991" s="235" t="s">
        <v>14</v>
      </c>
      <c r="AU4991" s="235" t="s">
        <v>634</v>
      </c>
      <c r="AV4991" s="246" t="s">
        <v>635</v>
      </c>
      <c r="AW4991" s="227"/>
      <c r="AX4991" s="227"/>
      <c r="AY4991" s="227"/>
      <c r="AZ4991" s="227"/>
      <c r="BA4991" s="227"/>
      <c r="BB4991" s="227"/>
      <c r="BC4991" s="227"/>
      <c r="BD4991" s="227"/>
      <c r="BE4991" s="227"/>
      <c r="BF4991" s="227"/>
    </row>
    <row r="4992">
      <c r="A4992" s="235" t="s">
        <v>36830</v>
      </c>
      <c r="C4992" s="235" t="s">
        <v>36831</v>
      </c>
      <c r="D4992" s="235" t="s">
        <v>36832</v>
      </c>
      <c r="E4992" s="243">
        <v>6.49E13</v>
      </c>
      <c r="F4992" s="245"/>
      <c r="G4992" s="235" t="s">
        <v>36833</v>
      </c>
      <c r="H4992" s="235" t="s">
        <v>36834</v>
      </c>
      <c r="I4992" s="235" t="s">
        <v>36834</v>
      </c>
      <c r="J4992" s="235" t="s">
        <v>36835</v>
      </c>
      <c r="K4992" s="235" t="s">
        <v>36836</v>
      </c>
      <c r="N4992" s="235" t="s">
        <v>154</v>
      </c>
      <c r="O4992" s="235" t="s">
        <v>766</v>
      </c>
      <c r="P4992" s="238">
        <v>1.0</v>
      </c>
      <c r="Q4992" s="235" t="s">
        <v>627</v>
      </c>
      <c r="R4992" s="238">
        <v>465.71</v>
      </c>
      <c r="S4992" s="238">
        <v>23.29</v>
      </c>
      <c r="T4992" s="238">
        <v>0.0</v>
      </c>
      <c r="U4992" s="238">
        <v>0.0</v>
      </c>
      <c r="V4992" s="238">
        <v>0.0</v>
      </c>
      <c r="W4992" s="238">
        <v>0.0</v>
      </c>
      <c r="X4992" s="235" t="s">
        <v>628</v>
      </c>
      <c r="Z4992" s="245"/>
      <c r="AA4992" s="245"/>
      <c r="AB4992" s="245"/>
      <c r="AC4992" s="235" t="s">
        <v>36837</v>
      </c>
      <c r="AD4992" s="235" t="s">
        <v>645</v>
      </c>
      <c r="AE4992" s="238">
        <v>686692.0</v>
      </c>
      <c r="AF4992" s="235" t="s">
        <v>631</v>
      </c>
      <c r="AG4992" s="245"/>
      <c r="AH4992" s="245"/>
      <c r="AI4992" s="245"/>
      <c r="AJ4992" s="245"/>
      <c r="AK4992" s="245"/>
      <c r="AL4992" s="245"/>
      <c r="AM4992" s="245"/>
      <c r="AN4992" s="245"/>
      <c r="AO4992" s="238">
        <v>0.0</v>
      </c>
      <c r="AP4992" s="238">
        <v>0.0</v>
      </c>
      <c r="AQ4992" s="235" t="s">
        <v>632</v>
      </c>
      <c r="AR4992" s="243">
        <v>3.7E11</v>
      </c>
      <c r="AS4992" s="235" t="s">
        <v>34510</v>
      </c>
      <c r="AT4992" s="235" t="s">
        <v>156</v>
      </c>
      <c r="AU4992" s="235" t="s">
        <v>634</v>
      </c>
      <c r="AV4992" s="246" t="s">
        <v>635</v>
      </c>
      <c r="AW4992" s="227"/>
      <c r="AX4992" s="227"/>
      <c r="AY4992" s="227"/>
      <c r="AZ4992" s="227"/>
      <c r="BA4992" s="227"/>
      <c r="BB4992" s="227"/>
      <c r="BC4992" s="227"/>
      <c r="BD4992" s="227"/>
      <c r="BE4992" s="227"/>
      <c r="BF4992" s="227"/>
    </row>
    <row r="4993">
      <c r="A4993" s="235" t="s">
        <v>36838</v>
      </c>
      <c r="C4993" s="235" t="s">
        <v>36839</v>
      </c>
      <c r="D4993" s="235" t="s">
        <v>36840</v>
      </c>
      <c r="E4993" s="243">
        <v>6.49E13</v>
      </c>
      <c r="F4993" s="245"/>
      <c r="G4993" s="235" t="s">
        <v>36841</v>
      </c>
      <c r="H4993" s="235" t="s">
        <v>36842</v>
      </c>
      <c r="I4993" s="235" t="s">
        <v>36842</v>
      </c>
      <c r="J4993" s="235" t="s">
        <v>36843</v>
      </c>
      <c r="K4993" s="235" t="s">
        <v>36844</v>
      </c>
      <c r="N4993" s="235" t="s">
        <v>127</v>
      </c>
      <c r="O4993" s="235" t="s">
        <v>794</v>
      </c>
      <c r="P4993" s="238">
        <v>1.0</v>
      </c>
      <c r="Q4993" s="235" t="s">
        <v>627</v>
      </c>
      <c r="R4993" s="238">
        <v>243.8</v>
      </c>
      <c r="S4993" s="238">
        <v>12.2</v>
      </c>
      <c r="T4993" s="238">
        <v>0.0</v>
      </c>
      <c r="U4993" s="238">
        <v>0.0</v>
      </c>
      <c r="V4993" s="238">
        <v>0.0</v>
      </c>
      <c r="W4993" s="238">
        <v>0.0</v>
      </c>
      <c r="X4993" s="235" t="s">
        <v>628</v>
      </c>
      <c r="Z4993" s="245"/>
      <c r="AA4993" s="245"/>
      <c r="AB4993" s="245"/>
      <c r="AC4993" s="235" t="s">
        <v>27340</v>
      </c>
      <c r="AD4993" s="235" t="s">
        <v>666</v>
      </c>
      <c r="AE4993" s="238">
        <v>613001.0</v>
      </c>
      <c r="AF4993" s="235" t="s">
        <v>631</v>
      </c>
      <c r="AG4993" s="245"/>
      <c r="AH4993" s="245"/>
      <c r="AI4993" s="245"/>
      <c r="AJ4993" s="245"/>
      <c r="AK4993" s="245"/>
      <c r="AL4993" s="245"/>
      <c r="AM4993" s="245"/>
      <c r="AN4993" s="245"/>
      <c r="AO4993" s="238">
        <v>0.0</v>
      </c>
      <c r="AP4993" s="238">
        <v>0.0</v>
      </c>
      <c r="AQ4993" s="235" t="s">
        <v>632</v>
      </c>
      <c r="AR4993" s="243">
        <v>3.7E11</v>
      </c>
      <c r="AS4993" s="235" t="s">
        <v>35520</v>
      </c>
      <c r="AT4993" s="235" t="s">
        <v>155</v>
      </c>
      <c r="AU4993" s="235" t="s">
        <v>634</v>
      </c>
      <c r="AV4993" s="246" t="s">
        <v>635</v>
      </c>
      <c r="AW4993" s="227"/>
      <c r="AX4993" s="227"/>
      <c r="AY4993" s="227"/>
      <c r="AZ4993" s="227"/>
      <c r="BA4993" s="227"/>
      <c r="BB4993" s="227"/>
      <c r="BC4993" s="227"/>
      <c r="BD4993" s="227"/>
      <c r="BE4993" s="227"/>
      <c r="BF4993" s="227"/>
    </row>
    <row r="4994">
      <c r="A4994" s="235" t="s">
        <v>36845</v>
      </c>
      <c r="C4994" s="235" t="s">
        <v>36846</v>
      </c>
      <c r="D4994" s="235" t="s">
        <v>36847</v>
      </c>
      <c r="E4994" s="243">
        <v>6.49E13</v>
      </c>
      <c r="F4994" s="245"/>
      <c r="G4994" s="235" t="s">
        <v>36848</v>
      </c>
      <c r="H4994" s="235" t="s">
        <v>36849</v>
      </c>
      <c r="I4994" s="235" t="s">
        <v>36849</v>
      </c>
      <c r="J4994" s="235" t="s">
        <v>36850</v>
      </c>
      <c r="K4994" s="235" t="s">
        <v>36851</v>
      </c>
      <c r="N4994" s="235" t="s">
        <v>962</v>
      </c>
      <c r="O4994" s="235" t="s">
        <v>963</v>
      </c>
      <c r="P4994" s="238">
        <v>1.0</v>
      </c>
      <c r="Q4994" s="235" t="s">
        <v>627</v>
      </c>
      <c r="R4994" s="238">
        <v>245.71</v>
      </c>
      <c r="S4994" s="238">
        <v>12.04</v>
      </c>
      <c r="T4994" s="238">
        <v>0.0</v>
      </c>
      <c r="U4994" s="238">
        <v>0.0</v>
      </c>
      <c r="V4994" s="238">
        <v>0.0</v>
      </c>
      <c r="W4994" s="238">
        <v>0.0</v>
      </c>
      <c r="X4994" s="235" t="s">
        <v>628</v>
      </c>
      <c r="Z4994" s="245"/>
      <c r="AA4994" s="245"/>
      <c r="AB4994" s="245"/>
      <c r="AC4994" s="235" t="s">
        <v>880</v>
      </c>
      <c r="AD4994" s="235" t="s">
        <v>881</v>
      </c>
      <c r="AE4994" s="238">
        <v>751030.0</v>
      </c>
      <c r="AF4994" s="235" t="s">
        <v>631</v>
      </c>
      <c r="AG4994" s="245"/>
      <c r="AH4994" s="245"/>
      <c r="AI4994" s="245"/>
      <c r="AJ4994" s="245"/>
      <c r="AK4994" s="245"/>
      <c r="AL4994" s="245"/>
      <c r="AM4994" s="245"/>
      <c r="AN4994" s="245"/>
      <c r="AO4994" s="238">
        <v>-4.91</v>
      </c>
      <c r="AP4994" s="238">
        <v>0.0</v>
      </c>
      <c r="AQ4994" s="235" t="s">
        <v>632</v>
      </c>
      <c r="AR4994" s="243">
        <v>2.02E11</v>
      </c>
      <c r="AS4994" s="235" t="s">
        <v>35520</v>
      </c>
      <c r="AT4994" s="235" t="s">
        <v>11</v>
      </c>
      <c r="AU4994" s="235" t="s">
        <v>634</v>
      </c>
      <c r="AV4994" s="246" t="s">
        <v>635</v>
      </c>
      <c r="AW4994" s="227"/>
      <c r="AX4994" s="227"/>
      <c r="AY4994" s="227"/>
      <c r="AZ4994" s="227"/>
      <c r="BA4994" s="227"/>
      <c r="BB4994" s="227"/>
      <c r="BC4994" s="227"/>
      <c r="BD4994" s="227"/>
      <c r="BE4994" s="227"/>
      <c r="BF4994" s="227"/>
    </row>
    <row r="4995">
      <c r="A4995" s="235" t="s">
        <v>36852</v>
      </c>
      <c r="C4995" s="235" t="s">
        <v>36853</v>
      </c>
      <c r="D4995" s="235" t="s">
        <v>36854</v>
      </c>
      <c r="E4995" s="243">
        <v>6.49E13</v>
      </c>
      <c r="F4995" s="245"/>
      <c r="G4995" s="235" t="s">
        <v>36855</v>
      </c>
      <c r="H4995" s="235" t="s">
        <v>36856</v>
      </c>
      <c r="I4995" s="235" t="s">
        <v>36856</v>
      </c>
      <c r="J4995" s="235" t="s">
        <v>36857</v>
      </c>
      <c r="K4995" s="235" t="s">
        <v>36858</v>
      </c>
      <c r="N4995" s="235" t="s">
        <v>42</v>
      </c>
      <c r="O4995" s="235" t="s">
        <v>204</v>
      </c>
      <c r="P4995" s="238">
        <v>1.0</v>
      </c>
      <c r="Q4995" s="235" t="s">
        <v>627</v>
      </c>
      <c r="R4995" s="238">
        <v>237.14</v>
      </c>
      <c r="S4995" s="238">
        <v>11.86</v>
      </c>
      <c r="T4995" s="238">
        <v>0.0</v>
      </c>
      <c r="U4995" s="238">
        <v>0.0</v>
      </c>
      <c r="V4995" s="238">
        <v>0.0</v>
      </c>
      <c r="W4995" s="238">
        <v>0.0</v>
      </c>
      <c r="X4995" s="235" t="s">
        <v>628</v>
      </c>
      <c r="Z4995" s="245"/>
      <c r="AA4995" s="245"/>
      <c r="AB4995" s="245"/>
      <c r="AC4995" s="235" t="s">
        <v>687</v>
      </c>
      <c r="AD4995" s="235" t="s">
        <v>666</v>
      </c>
      <c r="AE4995" s="238">
        <v>600130.0</v>
      </c>
      <c r="AF4995" s="235" t="s">
        <v>631</v>
      </c>
      <c r="AG4995" s="245"/>
      <c r="AH4995" s="245"/>
      <c r="AI4995" s="245"/>
      <c r="AJ4995" s="245"/>
      <c r="AK4995" s="245"/>
      <c r="AL4995" s="245"/>
      <c r="AM4995" s="245"/>
      <c r="AN4995" s="245"/>
      <c r="AO4995" s="238">
        <v>0.0</v>
      </c>
      <c r="AP4995" s="238">
        <v>0.0</v>
      </c>
      <c r="AQ4995" s="235" t="s">
        <v>632</v>
      </c>
      <c r="AR4995" s="243">
        <v>3.7E11</v>
      </c>
      <c r="AS4995" s="235" t="s">
        <v>35520</v>
      </c>
      <c r="AT4995" s="235" t="s">
        <v>156</v>
      </c>
      <c r="AU4995" s="235" t="s">
        <v>634</v>
      </c>
      <c r="AV4995" s="246" t="s">
        <v>635</v>
      </c>
      <c r="AW4995" s="227"/>
      <c r="AX4995" s="227"/>
      <c r="AY4995" s="227"/>
      <c r="AZ4995" s="227"/>
      <c r="BA4995" s="227"/>
      <c r="BB4995" s="227"/>
      <c r="BC4995" s="227"/>
      <c r="BD4995" s="227"/>
      <c r="BE4995" s="227"/>
      <c r="BF4995" s="227"/>
    </row>
    <row r="4996">
      <c r="A4996" s="235" t="s">
        <v>36859</v>
      </c>
      <c r="C4996" s="235" t="s">
        <v>36860</v>
      </c>
      <c r="D4996" s="235" t="s">
        <v>36861</v>
      </c>
      <c r="E4996" s="243">
        <v>6.49E13</v>
      </c>
      <c r="F4996" s="245"/>
      <c r="G4996" s="235" t="s">
        <v>36862</v>
      </c>
      <c r="H4996" s="235" t="s">
        <v>36863</v>
      </c>
      <c r="I4996" s="235" t="s">
        <v>36863</v>
      </c>
      <c r="J4996" s="235" t="s">
        <v>36864</v>
      </c>
      <c r="K4996" s="235" t="s">
        <v>36865</v>
      </c>
      <c r="N4996" s="235" t="s">
        <v>154</v>
      </c>
      <c r="O4996" s="235" t="s">
        <v>766</v>
      </c>
      <c r="P4996" s="238">
        <v>1.0</v>
      </c>
      <c r="Q4996" s="235" t="s">
        <v>627</v>
      </c>
      <c r="R4996" s="238">
        <v>465.71</v>
      </c>
      <c r="S4996" s="238">
        <v>23.29</v>
      </c>
      <c r="T4996" s="238">
        <v>38.1</v>
      </c>
      <c r="U4996" s="238">
        <v>1.9</v>
      </c>
      <c r="V4996" s="238">
        <v>0.0</v>
      </c>
      <c r="W4996" s="238">
        <v>0.0</v>
      </c>
      <c r="X4996" s="235" t="s">
        <v>628</v>
      </c>
      <c r="Z4996" s="245"/>
      <c r="AA4996" s="245"/>
      <c r="AB4996" s="245"/>
      <c r="AC4996" s="235" t="s">
        <v>36866</v>
      </c>
      <c r="AD4996" s="235" t="s">
        <v>645</v>
      </c>
      <c r="AE4996" s="238">
        <v>686533.0</v>
      </c>
      <c r="AF4996" s="235" t="s">
        <v>631</v>
      </c>
      <c r="AG4996" s="245"/>
      <c r="AH4996" s="245"/>
      <c r="AI4996" s="245"/>
      <c r="AJ4996" s="245"/>
      <c r="AK4996" s="245"/>
      <c r="AL4996" s="245"/>
      <c r="AM4996" s="245"/>
      <c r="AN4996" s="245"/>
      <c r="AO4996" s="238">
        <v>0.0</v>
      </c>
      <c r="AP4996" s="238">
        <v>-38.1</v>
      </c>
      <c r="AQ4996" s="235" t="s">
        <v>632</v>
      </c>
      <c r="AR4996" s="243">
        <v>3.7E11</v>
      </c>
      <c r="AS4996" s="235" t="s">
        <v>35520</v>
      </c>
      <c r="AT4996" s="235" t="s">
        <v>155</v>
      </c>
      <c r="AU4996" s="235" t="s">
        <v>634</v>
      </c>
      <c r="AV4996" s="246" t="s">
        <v>635</v>
      </c>
      <c r="AW4996" s="227"/>
      <c r="AX4996" s="227"/>
      <c r="AY4996" s="227"/>
      <c r="AZ4996" s="227"/>
      <c r="BA4996" s="227"/>
      <c r="BB4996" s="227"/>
      <c r="BC4996" s="227"/>
      <c r="BD4996" s="227"/>
      <c r="BE4996" s="227"/>
      <c r="BF4996" s="227"/>
    </row>
    <row r="4997">
      <c r="A4997" s="235" t="s">
        <v>36867</v>
      </c>
      <c r="C4997" s="235" t="s">
        <v>36868</v>
      </c>
      <c r="D4997" s="235" t="s">
        <v>36869</v>
      </c>
      <c r="E4997" s="243">
        <v>6.49E13</v>
      </c>
      <c r="F4997" s="245"/>
      <c r="G4997" s="235" t="s">
        <v>36870</v>
      </c>
      <c r="H4997" s="235" t="s">
        <v>36871</v>
      </c>
      <c r="I4997" s="235" t="s">
        <v>36871</v>
      </c>
      <c r="J4997" s="235" t="s">
        <v>36872</v>
      </c>
      <c r="K4997" s="235" t="s">
        <v>36873</v>
      </c>
      <c r="N4997" s="235" t="s">
        <v>541</v>
      </c>
      <c r="O4997" s="235" t="s">
        <v>30856</v>
      </c>
      <c r="P4997" s="238">
        <v>2.0</v>
      </c>
      <c r="Q4997" s="235" t="s">
        <v>627</v>
      </c>
      <c r="R4997" s="238">
        <v>1318.64</v>
      </c>
      <c r="S4997" s="238">
        <v>230.24</v>
      </c>
      <c r="T4997" s="238">
        <v>67.8</v>
      </c>
      <c r="U4997" s="238">
        <v>12.2</v>
      </c>
      <c r="V4997" s="238">
        <v>0.0</v>
      </c>
      <c r="W4997" s="238">
        <v>0.0</v>
      </c>
      <c r="X4997" s="235" t="s">
        <v>628</v>
      </c>
      <c r="Z4997" s="245"/>
      <c r="AA4997" s="245"/>
      <c r="AB4997" s="245"/>
      <c r="AC4997" s="235" t="s">
        <v>9074</v>
      </c>
      <c r="AD4997" s="235" t="s">
        <v>965</v>
      </c>
      <c r="AE4997" s="238">
        <v>175131.0</v>
      </c>
      <c r="AF4997" s="235" t="s">
        <v>631</v>
      </c>
      <c r="AG4997" s="245"/>
      <c r="AH4997" s="245"/>
      <c r="AI4997" s="245"/>
      <c r="AJ4997" s="245"/>
      <c r="AK4997" s="245"/>
      <c r="AL4997" s="245"/>
      <c r="AM4997" s="245"/>
      <c r="AN4997" s="245"/>
      <c r="AO4997" s="238">
        <v>-39.56</v>
      </c>
      <c r="AP4997" s="238">
        <v>-67.8</v>
      </c>
      <c r="AQ4997" s="235" t="s">
        <v>632</v>
      </c>
      <c r="AR4997" s="243">
        <v>3.7E11</v>
      </c>
      <c r="AS4997" s="235" t="s">
        <v>33466</v>
      </c>
      <c r="AT4997" s="235" t="s">
        <v>14</v>
      </c>
      <c r="AU4997" s="235" t="s">
        <v>634</v>
      </c>
      <c r="AV4997" s="246" t="s">
        <v>635</v>
      </c>
      <c r="AW4997" s="227"/>
      <c r="AX4997" s="227"/>
      <c r="AY4997" s="227"/>
      <c r="AZ4997" s="227"/>
      <c r="BA4997" s="227"/>
      <c r="BB4997" s="227"/>
      <c r="BC4997" s="227"/>
      <c r="BD4997" s="227"/>
      <c r="BE4997" s="227"/>
      <c r="BF4997" s="227"/>
    </row>
    <row r="4998">
      <c r="A4998" s="235" t="s">
        <v>36867</v>
      </c>
      <c r="C4998" s="235" t="s">
        <v>36868</v>
      </c>
      <c r="D4998" s="235" t="s">
        <v>36874</v>
      </c>
      <c r="E4998" s="243">
        <v>6.49E13</v>
      </c>
      <c r="F4998" s="245"/>
      <c r="G4998" s="235" t="s">
        <v>36870</v>
      </c>
      <c r="H4998" s="235" t="s">
        <v>36871</v>
      </c>
      <c r="I4998" s="235" t="s">
        <v>36871</v>
      </c>
      <c r="J4998" s="235" t="s">
        <v>36872</v>
      </c>
      <c r="K4998" s="235" t="s">
        <v>36873</v>
      </c>
      <c r="N4998" s="235" t="s">
        <v>541</v>
      </c>
      <c r="O4998" s="235" t="s">
        <v>30856</v>
      </c>
      <c r="P4998" s="238">
        <v>2.0</v>
      </c>
      <c r="Q4998" s="235" t="s">
        <v>627</v>
      </c>
      <c r="R4998" s="238">
        <v>1318.64</v>
      </c>
      <c r="S4998" s="238">
        <v>230.24</v>
      </c>
      <c r="T4998" s="238">
        <v>67.8</v>
      </c>
      <c r="U4998" s="238">
        <v>12.2</v>
      </c>
      <c r="V4998" s="238">
        <v>0.0</v>
      </c>
      <c r="W4998" s="238">
        <v>0.0</v>
      </c>
      <c r="X4998" s="235" t="s">
        <v>628</v>
      </c>
      <c r="Z4998" s="245"/>
      <c r="AA4998" s="245"/>
      <c r="AB4998" s="245"/>
      <c r="AC4998" s="235" t="s">
        <v>9074</v>
      </c>
      <c r="AD4998" s="235" t="s">
        <v>965</v>
      </c>
      <c r="AE4998" s="238">
        <v>175131.0</v>
      </c>
      <c r="AF4998" s="235" t="s">
        <v>631</v>
      </c>
      <c r="AG4998" s="245"/>
      <c r="AH4998" s="245"/>
      <c r="AI4998" s="245"/>
      <c r="AJ4998" s="245"/>
      <c r="AK4998" s="245"/>
      <c r="AL4998" s="245"/>
      <c r="AM4998" s="245"/>
      <c r="AN4998" s="245"/>
      <c r="AO4998" s="238">
        <v>-39.56</v>
      </c>
      <c r="AP4998" s="238">
        <v>-67.8</v>
      </c>
      <c r="AQ4998" s="235" t="s">
        <v>632</v>
      </c>
      <c r="AR4998" s="243">
        <v>3.7E11</v>
      </c>
      <c r="AS4998" s="235" t="s">
        <v>33466</v>
      </c>
      <c r="AT4998" s="235" t="s">
        <v>14</v>
      </c>
      <c r="AU4998" s="235" t="s">
        <v>634</v>
      </c>
      <c r="AV4998" s="246" t="s">
        <v>635</v>
      </c>
      <c r="AW4998" s="227"/>
      <c r="AX4998" s="227"/>
      <c r="AY4998" s="227"/>
      <c r="AZ4998" s="227"/>
      <c r="BA4998" s="227"/>
      <c r="BB4998" s="227"/>
      <c r="BC4998" s="227"/>
      <c r="BD4998" s="227"/>
      <c r="BE4998" s="227"/>
      <c r="BF4998" s="227"/>
    </row>
    <row r="4999">
      <c r="A4999" s="235" t="s">
        <v>36875</v>
      </c>
      <c r="C4999" s="235" t="s">
        <v>36876</v>
      </c>
      <c r="D4999" s="235" t="s">
        <v>36877</v>
      </c>
      <c r="E4999" s="243">
        <v>6.49E13</v>
      </c>
      <c r="F4999" s="245"/>
      <c r="G4999" s="235" t="s">
        <v>36878</v>
      </c>
      <c r="H4999" s="235" t="s">
        <v>36879</v>
      </c>
      <c r="I4999" s="235" t="s">
        <v>36879</v>
      </c>
      <c r="J4999" s="235" t="s">
        <v>36880</v>
      </c>
      <c r="K4999" s="235" t="s">
        <v>36881</v>
      </c>
      <c r="N4999" s="235" t="s">
        <v>136</v>
      </c>
      <c r="O4999" s="235" t="s">
        <v>256</v>
      </c>
      <c r="P4999" s="238">
        <v>1.0</v>
      </c>
      <c r="Q4999" s="235" t="s">
        <v>627</v>
      </c>
      <c r="R4999" s="238">
        <v>244.76</v>
      </c>
      <c r="S4999" s="238">
        <v>12.24</v>
      </c>
      <c r="T4999" s="238">
        <v>0.0</v>
      </c>
      <c r="U4999" s="238">
        <v>0.0</v>
      </c>
      <c r="V4999" s="238">
        <v>0.0</v>
      </c>
      <c r="W4999" s="238">
        <v>0.0</v>
      </c>
      <c r="X4999" s="235" t="s">
        <v>628</v>
      </c>
      <c r="Z4999" s="245"/>
      <c r="AA4999" s="245"/>
      <c r="AB4999" s="245"/>
      <c r="AC4999" s="235" t="s">
        <v>36882</v>
      </c>
      <c r="AD4999" s="235" t="s">
        <v>854</v>
      </c>
      <c r="AE4999" s="238">
        <v>403721.0</v>
      </c>
      <c r="AF4999" s="235" t="s">
        <v>631</v>
      </c>
      <c r="AG4999" s="245"/>
      <c r="AH4999" s="245"/>
      <c r="AI4999" s="245"/>
      <c r="AJ4999" s="245"/>
      <c r="AK4999" s="245"/>
      <c r="AL4999" s="245"/>
      <c r="AM4999" s="245"/>
      <c r="AN4999" s="245"/>
      <c r="AO4999" s="238">
        <v>0.0</v>
      </c>
      <c r="AP4999" s="238">
        <v>0.0</v>
      </c>
      <c r="AQ4999" s="235" t="s">
        <v>632</v>
      </c>
      <c r="AR4999" s="243">
        <v>2.02E11</v>
      </c>
      <c r="AS4999" s="235" t="s">
        <v>35520</v>
      </c>
      <c r="AT4999" s="235" t="s">
        <v>9</v>
      </c>
      <c r="AU4999" s="235" t="s">
        <v>634</v>
      </c>
      <c r="AV4999" s="246" t="s">
        <v>635</v>
      </c>
      <c r="AW4999" s="227"/>
      <c r="AX4999" s="227"/>
      <c r="AY4999" s="227"/>
      <c r="AZ4999" s="227"/>
      <c r="BA4999" s="227"/>
      <c r="BB4999" s="227"/>
      <c r="BC4999" s="227"/>
      <c r="BD4999" s="227"/>
      <c r="BE4999" s="227"/>
      <c r="BF4999" s="227"/>
    </row>
    <row r="5000">
      <c r="A5000" s="235" t="s">
        <v>36883</v>
      </c>
      <c r="C5000" s="235" t="s">
        <v>36884</v>
      </c>
      <c r="D5000" s="235" t="s">
        <v>36885</v>
      </c>
      <c r="E5000" s="243">
        <v>6.49E13</v>
      </c>
      <c r="F5000" s="245"/>
      <c r="G5000" s="235" t="s">
        <v>36886</v>
      </c>
      <c r="H5000" s="235" t="s">
        <v>36887</v>
      </c>
      <c r="I5000" s="235" t="s">
        <v>36888</v>
      </c>
      <c r="J5000" s="235" t="s">
        <v>36889</v>
      </c>
      <c r="K5000" s="235" t="s">
        <v>36890</v>
      </c>
      <c r="N5000" s="235" t="s">
        <v>120</v>
      </c>
      <c r="O5000" s="235" t="s">
        <v>324</v>
      </c>
      <c r="P5000" s="238">
        <v>1.0</v>
      </c>
      <c r="Q5000" s="235" t="s">
        <v>627</v>
      </c>
      <c r="R5000" s="238">
        <v>244.76</v>
      </c>
      <c r="S5000" s="238">
        <v>12.0</v>
      </c>
      <c r="T5000" s="238">
        <v>0.0</v>
      </c>
      <c r="U5000" s="238">
        <v>0.0</v>
      </c>
      <c r="V5000" s="238">
        <v>0.0</v>
      </c>
      <c r="W5000" s="238">
        <v>0.0</v>
      </c>
      <c r="X5000" s="235" t="s">
        <v>628</v>
      </c>
      <c r="Z5000" s="245"/>
      <c r="AA5000" s="245"/>
      <c r="AB5000" s="245"/>
      <c r="AC5000" s="235" t="s">
        <v>36891</v>
      </c>
      <c r="AD5000" s="235" t="s">
        <v>1151</v>
      </c>
      <c r="AE5000" s="238">
        <v>712203.0</v>
      </c>
      <c r="AF5000" s="235" t="s">
        <v>631</v>
      </c>
      <c r="AG5000" s="245"/>
      <c r="AH5000" s="245"/>
      <c r="AI5000" s="245"/>
      <c r="AJ5000" s="245"/>
      <c r="AK5000" s="245"/>
      <c r="AL5000" s="245"/>
      <c r="AM5000" s="245"/>
      <c r="AN5000" s="245"/>
      <c r="AO5000" s="238">
        <v>-4.9</v>
      </c>
      <c r="AP5000" s="238">
        <v>0.0</v>
      </c>
      <c r="AQ5000" s="235" t="s">
        <v>632</v>
      </c>
      <c r="AR5000" s="243">
        <v>3.7E11</v>
      </c>
      <c r="AS5000" s="235" t="s">
        <v>33466</v>
      </c>
      <c r="AT5000" s="235" t="s">
        <v>14</v>
      </c>
      <c r="AU5000" s="235" t="s">
        <v>634</v>
      </c>
      <c r="AV5000" s="246" t="s">
        <v>635</v>
      </c>
      <c r="AW5000" s="227"/>
      <c r="AX5000" s="227"/>
      <c r="AY5000" s="227"/>
      <c r="AZ5000" s="227"/>
      <c r="BA5000" s="227"/>
      <c r="BB5000" s="227"/>
      <c r="BC5000" s="227"/>
      <c r="BD5000" s="227"/>
      <c r="BE5000" s="227"/>
      <c r="BF5000" s="227"/>
    </row>
    <row r="5001">
      <c r="A5001" s="235" t="s">
        <v>36892</v>
      </c>
      <c r="C5001" s="235" t="s">
        <v>36893</v>
      </c>
      <c r="D5001" s="235" t="s">
        <v>36894</v>
      </c>
      <c r="E5001" s="243">
        <v>6.49E13</v>
      </c>
      <c r="F5001" s="245"/>
      <c r="G5001" s="235" t="s">
        <v>36895</v>
      </c>
      <c r="H5001" s="235" t="s">
        <v>36896</v>
      </c>
      <c r="I5001" s="235" t="s">
        <v>36896</v>
      </c>
      <c r="J5001" s="235" t="s">
        <v>36897</v>
      </c>
      <c r="K5001" s="235" t="s">
        <v>36898</v>
      </c>
      <c r="N5001" s="235" t="s">
        <v>40</v>
      </c>
      <c r="O5001" s="235" t="s">
        <v>327</v>
      </c>
      <c r="P5001" s="238">
        <v>1.0</v>
      </c>
      <c r="Q5001" s="235" t="s">
        <v>627</v>
      </c>
      <c r="R5001" s="238">
        <v>237.14</v>
      </c>
      <c r="S5001" s="238">
        <v>11.86</v>
      </c>
      <c r="T5001" s="238">
        <v>0.0</v>
      </c>
      <c r="U5001" s="238">
        <v>0.0</v>
      </c>
      <c r="V5001" s="238">
        <v>0.0</v>
      </c>
      <c r="W5001" s="238">
        <v>0.0</v>
      </c>
      <c r="X5001" s="235" t="s">
        <v>628</v>
      </c>
      <c r="Z5001" s="245"/>
      <c r="AA5001" s="245"/>
      <c r="AB5001" s="245"/>
      <c r="AC5001" s="235" t="s">
        <v>1058</v>
      </c>
      <c r="AD5001" s="235" t="s">
        <v>845</v>
      </c>
      <c r="AE5001" s="238">
        <v>400063.0</v>
      </c>
      <c r="AF5001" s="235" t="s">
        <v>631</v>
      </c>
      <c r="AG5001" s="245"/>
      <c r="AH5001" s="245"/>
      <c r="AI5001" s="245"/>
      <c r="AJ5001" s="245"/>
      <c r="AK5001" s="245"/>
      <c r="AL5001" s="245"/>
      <c r="AM5001" s="245"/>
      <c r="AN5001" s="245"/>
      <c r="AO5001" s="238">
        <v>0.0</v>
      </c>
      <c r="AP5001" s="238">
        <v>0.0</v>
      </c>
      <c r="AQ5001" s="235" t="s">
        <v>632</v>
      </c>
      <c r="AR5001" s="243">
        <v>2.02E11</v>
      </c>
      <c r="AS5001" s="235" t="s">
        <v>35520</v>
      </c>
      <c r="AT5001" s="235" t="s">
        <v>5</v>
      </c>
      <c r="AU5001" s="235" t="s">
        <v>634</v>
      </c>
      <c r="AV5001" s="246" t="s">
        <v>635</v>
      </c>
      <c r="AW5001" s="227"/>
      <c r="AX5001" s="227"/>
      <c r="AY5001" s="227"/>
      <c r="AZ5001" s="227"/>
      <c r="BA5001" s="227"/>
      <c r="BB5001" s="227"/>
      <c r="BC5001" s="227"/>
      <c r="BD5001" s="227"/>
      <c r="BE5001" s="227"/>
      <c r="BF5001" s="227"/>
    </row>
    <row r="5002">
      <c r="A5002" s="235" t="s">
        <v>36899</v>
      </c>
      <c r="C5002" s="235" t="s">
        <v>36900</v>
      </c>
      <c r="D5002" s="235" t="s">
        <v>36901</v>
      </c>
      <c r="E5002" s="243">
        <v>6.49E13</v>
      </c>
      <c r="F5002" s="245"/>
      <c r="G5002" s="235" t="s">
        <v>36902</v>
      </c>
      <c r="H5002" s="235" t="s">
        <v>36903</v>
      </c>
      <c r="I5002" s="235" t="s">
        <v>36903</v>
      </c>
      <c r="J5002" s="235" t="s">
        <v>36904</v>
      </c>
      <c r="K5002" s="235" t="s">
        <v>34292</v>
      </c>
      <c r="N5002" s="235" t="s">
        <v>41</v>
      </c>
      <c r="O5002" s="235" t="s">
        <v>291</v>
      </c>
      <c r="P5002" s="238">
        <v>1.0</v>
      </c>
      <c r="Q5002" s="235" t="s">
        <v>627</v>
      </c>
      <c r="R5002" s="238">
        <v>237.14</v>
      </c>
      <c r="S5002" s="238">
        <v>11.86</v>
      </c>
      <c r="T5002" s="238">
        <v>0.0</v>
      </c>
      <c r="U5002" s="238">
        <v>0.0</v>
      </c>
      <c r="V5002" s="238">
        <v>0.0</v>
      </c>
      <c r="W5002" s="238">
        <v>0.0</v>
      </c>
      <c r="X5002" s="235" t="s">
        <v>628</v>
      </c>
      <c r="Z5002" s="245"/>
      <c r="AA5002" s="245"/>
      <c r="AB5002" s="245"/>
      <c r="AC5002" s="235" t="s">
        <v>678</v>
      </c>
      <c r="AD5002" s="235" t="s">
        <v>679</v>
      </c>
      <c r="AE5002" s="238">
        <v>560048.0</v>
      </c>
      <c r="AF5002" s="235" t="s">
        <v>631</v>
      </c>
      <c r="AG5002" s="245"/>
      <c r="AH5002" s="245"/>
      <c r="AI5002" s="245"/>
      <c r="AJ5002" s="245"/>
      <c r="AK5002" s="245"/>
      <c r="AL5002" s="245"/>
      <c r="AM5002" s="245"/>
      <c r="AN5002" s="245"/>
      <c r="AO5002" s="238">
        <v>0.0</v>
      </c>
      <c r="AP5002" s="238">
        <v>0.0</v>
      </c>
      <c r="AQ5002" s="235" t="s">
        <v>632</v>
      </c>
      <c r="AR5002" s="243">
        <v>1.68E11</v>
      </c>
      <c r="AS5002" s="235" t="s">
        <v>36667</v>
      </c>
      <c r="AT5002" s="235" t="s">
        <v>11</v>
      </c>
      <c r="AU5002" s="235" t="s">
        <v>634</v>
      </c>
      <c r="AV5002" s="246" t="s">
        <v>635</v>
      </c>
      <c r="AW5002" s="227"/>
      <c r="AX5002" s="227"/>
      <c r="AY5002" s="227"/>
      <c r="AZ5002" s="227"/>
      <c r="BA5002" s="227"/>
      <c r="BB5002" s="227"/>
      <c r="BC5002" s="227"/>
      <c r="BD5002" s="227"/>
      <c r="BE5002" s="227"/>
      <c r="BF5002" s="227"/>
    </row>
    <row r="5003">
      <c r="A5003" s="235" t="s">
        <v>36905</v>
      </c>
      <c r="C5003" s="235" t="s">
        <v>36906</v>
      </c>
      <c r="D5003" s="235" t="s">
        <v>36907</v>
      </c>
      <c r="E5003" s="243">
        <v>6.49E13</v>
      </c>
      <c r="F5003" s="245"/>
      <c r="G5003" s="235" t="s">
        <v>36908</v>
      </c>
      <c r="H5003" s="235" t="s">
        <v>36909</v>
      </c>
      <c r="I5003" s="235" t="s">
        <v>36909</v>
      </c>
      <c r="J5003" s="235" t="s">
        <v>36910</v>
      </c>
      <c r="K5003" s="235" t="s">
        <v>36911</v>
      </c>
      <c r="N5003" s="235" t="s">
        <v>4</v>
      </c>
      <c r="O5003" s="235" t="s">
        <v>1791</v>
      </c>
      <c r="P5003" s="238">
        <v>1.0</v>
      </c>
      <c r="Q5003" s="235" t="s">
        <v>627</v>
      </c>
      <c r="R5003" s="238">
        <v>0.0</v>
      </c>
      <c r="S5003" s="238">
        <v>0.0</v>
      </c>
      <c r="T5003" s="238">
        <v>0.0</v>
      </c>
      <c r="U5003" s="238">
        <v>0.0</v>
      </c>
      <c r="V5003" s="238">
        <v>0.0</v>
      </c>
      <c r="W5003" s="238">
        <v>0.0</v>
      </c>
      <c r="X5003" s="235" t="s">
        <v>628</v>
      </c>
      <c r="Z5003" s="245"/>
      <c r="AA5003" s="245"/>
      <c r="AB5003" s="245"/>
      <c r="AC5003" s="235" t="s">
        <v>28177</v>
      </c>
      <c r="AD5003" s="235" t="s">
        <v>8663</v>
      </c>
      <c r="AE5003" s="238">
        <v>400083.0</v>
      </c>
      <c r="AF5003" s="235" t="s">
        <v>631</v>
      </c>
      <c r="AG5003" s="245"/>
      <c r="AH5003" s="245"/>
      <c r="AI5003" s="245"/>
      <c r="AJ5003" s="245"/>
      <c r="AK5003" s="245"/>
      <c r="AL5003" s="245"/>
      <c r="AM5003" s="245"/>
      <c r="AN5003" s="245"/>
      <c r="AO5003" s="238">
        <v>0.0</v>
      </c>
      <c r="AP5003" s="238">
        <v>0.0</v>
      </c>
      <c r="AQ5003" s="235" t="s">
        <v>632</v>
      </c>
      <c r="AR5003" s="243">
        <v>3.7E11</v>
      </c>
      <c r="AS5003" s="235" t="s">
        <v>35520</v>
      </c>
      <c r="AT5003" s="235" t="s">
        <v>16</v>
      </c>
      <c r="AU5003" s="235" t="s">
        <v>634</v>
      </c>
      <c r="AV5003" s="246" t="s">
        <v>635</v>
      </c>
      <c r="AW5003" s="227"/>
      <c r="AX5003" s="227"/>
      <c r="AY5003" s="227"/>
      <c r="AZ5003" s="227"/>
      <c r="BA5003" s="227"/>
      <c r="BB5003" s="227"/>
      <c r="BC5003" s="227"/>
      <c r="BD5003" s="227"/>
      <c r="BE5003" s="227"/>
      <c r="BF5003" s="227"/>
    </row>
    <row r="5004">
      <c r="A5004" s="235" t="s">
        <v>36912</v>
      </c>
      <c r="C5004" s="235" t="s">
        <v>36913</v>
      </c>
      <c r="D5004" s="235" t="s">
        <v>36914</v>
      </c>
      <c r="E5004" s="243">
        <v>6.49E13</v>
      </c>
      <c r="F5004" s="245"/>
      <c r="G5004" s="235" t="s">
        <v>36915</v>
      </c>
      <c r="H5004" s="235" t="s">
        <v>36916</v>
      </c>
      <c r="I5004" s="235" t="s">
        <v>36917</v>
      </c>
      <c r="J5004" s="235" t="s">
        <v>36918</v>
      </c>
      <c r="K5004" s="235" t="s">
        <v>36919</v>
      </c>
      <c r="N5004" s="235" t="s">
        <v>68</v>
      </c>
      <c r="O5004" s="235" t="s">
        <v>208</v>
      </c>
      <c r="P5004" s="238">
        <v>1.0</v>
      </c>
      <c r="Q5004" s="235" t="s">
        <v>627</v>
      </c>
      <c r="R5004" s="238">
        <v>246.67</v>
      </c>
      <c r="S5004" s="238">
        <v>12.33</v>
      </c>
      <c r="T5004" s="238">
        <v>0.0</v>
      </c>
      <c r="U5004" s="238">
        <v>0.0</v>
      </c>
      <c r="V5004" s="238">
        <v>0.0</v>
      </c>
      <c r="W5004" s="238">
        <v>0.0</v>
      </c>
      <c r="X5004" s="235" t="s">
        <v>628</v>
      </c>
      <c r="Z5004" s="245"/>
      <c r="AA5004" s="245"/>
      <c r="AB5004" s="245"/>
      <c r="AC5004" s="235" t="s">
        <v>814</v>
      </c>
      <c r="AD5004" s="235" t="s">
        <v>698</v>
      </c>
      <c r="AE5004" s="238">
        <v>500007.0</v>
      </c>
      <c r="AF5004" s="235" t="s">
        <v>631</v>
      </c>
      <c r="AG5004" s="245"/>
      <c r="AH5004" s="245"/>
      <c r="AI5004" s="245"/>
      <c r="AJ5004" s="245"/>
      <c r="AK5004" s="245"/>
      <c r="AL5004" s="245"/>
      <c r="AM5004" s="245"/>
      <c r="AN5004" s="245"/>
      <c r="AO5004" s="238">
        <v>0.0</v>
      </c>
      <c r="AP5004" s="238">
        <v>0.0</v>
      </c>
      <c r="AQ5004" s="235" t="s">
        <v>632</v>
      </c>
      <c r="AR5004" s="243">
        <v>2.02E11</v>
      </c>
      <c r="AS5004" s="235" t="s">
        <v>35520</v>
      </c>
      <c r="AT5004" s="235" t="s">
        <v>17</v>
      </c>
      <c r="AU5004" s="235" t="s">
        <v>634</v>
      </c>
      <c r="AV5004" s="246" t="s">
        <v>635</v>
      </c>
      <c r="AW5004" s="227"/>
      <c r="AX5004" s="227"/>
      <c r="AY5004" s="227"/>
      <c r="AZ5004" s="227"/>
      <c r="BA5004" s="227"/>
      <c r="BB5004" s="227"/>
      <c r="BC5004" s="227"/>
      <c r="BD5004" s="227"/>
      <c r="BE5004" s="227"/>
      <c r="BF5004" s="227"/>
    </row>
    <row r="5005">
      <c r="A5005" s="235" t="s">
        <v>36920</v>
      </c>
      <c r="C5005" s="235" t="s">
        <v>36921</v>
      </c>
      <c r="D5005" s="235" t="s">
        <v>36922</v>
      </c>
      <c r="E5005" s="243">
        <v>6.49E13</v>
      </c>
      <c r="F5005" s="245"/>
      <c r="G5005" s="235" t="s">
        <v>36923</v>
      </c>
      <c r="H5005" s="235" t="s">
        <v>36765</v>
      </c>
      <c r="I5005" s="235" t="s">
        <v>36765</v>
      </c>
      <c r="J5005" s="235" t="s">
        <v>36924</v>
      </c>
      <c r="K5005" s="235" t="s">
        <v>36925</v>
      </c>
      <c r="N5005" s="235" t="s">
        <v>42</v>
      </c>
      <c r="O5005" s="235" t="s">
        <v>204</v>
      </c>
      <c r="P5005" s="238">
        <v>1.0</v>
      </c>
      <c r="Q5005" s="235" t="s">
        <v>627</v>
      </c>
      <c r="R5005" s="238">
        <v>237.14</v>
      </c>
      <c r="S5005" s="238">
        <v>11.86</v>
      </c>
      <c r="T5005" s="238">
        <v>38.1</v>
      </c>
      <c r="U5005" s="238">
        <v>1.9</v>
      </c>
      <c r="V5005" s="238">
        <v>0.0</v>
      </c>
      <c r="W5005" s="238">
        <v>0.0</v>
      </c>
      <c r="X5005" s="235" t="s">
        <v>628</v>
      </c>
      <c r="Z5005" s="245"/>
      <c r="AA5005" s="245"/>
      <c r="AB5005" s="245"/>
      <c r="AC5005" s="235" t="s">
        <v>687</v>
      </c>
      <c r="AD5005" s="235" t="s">
        <v>666</v>
      </c>
      <c r="AE5005" s="238">
        <v>600092.0</v>
      </c>
      <c r="AF5005" s="235" t="s">
        <v>631</v>
      </c>
      <c r="AG5005" s="245"/>
      <c r="AH5005" s="245"/>
      <c r="AI5005" s="245"/>
      <c r="AJ5005" s="245"/>
      <c r="AK5005" s="245"/>
      <c r="AL5005" s="245"/>
      <c r="AM5005" s="245"/>
      <c r="AN5005" s="245"/>
      <c r="AO5005" s="238">
        <v>0.0</v>
      </c>
      <c r="AP5005" s="238">
        <v>-38.1</v>
      </c>
      <c r="AQ5005" s="235" t="s">
        <v>632</v>
      </c>
      <c r="AR5005" s="243">
        <v>3.7E11</v>
      </c>
      <c r="AS5005" s="235" t="s">
        <v>35520</v>
      </c>
      <c r="AT5005" s="235" t="s">
        <v>156</v>
      </c>
      <c r="AU5005" s="235" t="s">
        <v>634</v>
      </c>
      <c r="AV5005" s="246" t="s">
        <v>635</v>
      </c>
      <c r="AW5005" s="227"/>
      <c r="AX5005" s="227"/>
      <c r="AY5005" s="227"/>
      <c r="AZ5005" s="227"/>
      <c r="BA5005" s="227"/>
      <c r="BB5005" s="227"/>
      <c r="BC5005" s="227"/>
      <c r="BD5005" s="227"/>
      <c r="BE5005" s="227"/>
      <c r="BF5005" s="227"/>
    </row>
    <row r="5006">
      <c r="A5006" s="235" t="s">
        <v>36926</v>
      </c>
      <c r="C5006" s="235" t="s">
        <v>36927</v>
      </c>
      <c r="D5006" s="235" t="s">
        <v>36928</v>
      </c>
      <c r="E5006" s="243">
        <v>6.49E13</v>
      </c>
      <c r="F5006" s="245"/>
      <c r="G5006" s="235" t="s">
        <v>36929</v>
      </c>
      <c r="H5006" s="235" t="s">
        <v>36930</v>
      </c>
      <c r="I5006" s="235" t="s">
        <v>36930</v>
      </c>
      <c r="J5006" s="235" t="s">
        <v>36931</v>
      </c>
      <c r="K5006" s="235" t="s">
        <v>36932</v>
      </c>
      <c r="N5006" s="235" t="s">
        <v>566</v>
      </c>
      <c r="O5006" s="235" t="s">
        <v>36933</v>
      </c>
      <c r="P5006" s="238">
        <v>1.0</v>
      </c>
      <c r="Q5006" s="235" t="s">
        <v>627</v>
      </c>
      <c r="R5006" s="238">
        <v>422.88</v>
      </c>
      <c r="S5006" s="238">
        <v>76.12</v>
      </c>
      <c r="T5006" s="238">
        <v>0.0</v>
      </c>
      <c r="U5006" s="238">
        <v>0.0</v>
      </c>
      <c r="V5006" s="238">
        <v>0.0</v>
      </c>
      <c r="W5006" s="238">
        <v>0.0</v>
      </c>
      <c r="X5006" s="235" t="s">
        <v>628</v>
      </c>
      <c r="Z5006" s="245"/>
      <c r="AA5006" s="245"/>
      <c r="AB5006" s="245"/>
      <c r="AC5006" s="235" t="s">
        <v>678</v>
      </c>
      <c r="AD5006" s="235" t="s">
        <v>679</v>
      </c>
      <c r="AE5006" s="238">
        <v>560048.0</v>
      </c>
      <c r="AF5006" s="235" t="s">
        <v>631</v>
      </c>
      <c r="AG5006" s="245"/>
      <c r="AH5006" s="245"/>
      <c r="AI5006" s="245"/>
      <c r="AJ5006" s="245"/>
      <c r="AK5006" s="245"/>
      <c r="AL5006" s="245"/>
      <c r="AM5006" s="245"/>
      <c r="AN5006" s="245"/>
      <c r="AO5006" s="238">
        <v>0.0</v>
      </c>
      <c r="AP5006" s="238">
        <v>0.0</v>
      </c>
      <c r="AQ5006" s="235" t="s">
        <v>632</v>
      </c>
      <c r="AR5006" s="243">
        <v>1.68E11</v>
      </c>
      <c r="AS5006" s="235" t="s">
        <v>36667</v>
      </c>
      <c r="AT5006" s="235" t="s">
        <v>9</v>
      </c>
      <c r="AU5006" s="235" t="s">
        <v>634</v>
      </c>
      <c r="AV5006" s="246" t="s">
        <v>635</v>
      </c>
      <c r="AW5006" s="227"/>
      <c r="AX5006" s="227"/>
      <c r="AY5006" s="227"/>
      <c r="AZ5006" s="227"/>
      <c r="BA5006" s="227"/>
      <c r="BB5006" s="227"/>
      <c r="BC5006" s="227"/>
      <c r="BD5006" s="227"/>
      <c r="BE5006" s="227"/>
      <c r="BF5006" s="227"/>
    </row>
    <row r="5007">
      <c r="A5007" s="235" t="s">
        <v>36934</v>
      </c>
      <c r="C5007" s="235" t="s">
        <v>36935</v>
      </c>
      <c r="D5007" s="235" t="s">
        <v>36936</v>
      </c>
      <c r="E5007" s="243">
        <v>6.49E13</v>
      </c>
      <c r="F5007" s="245"/>
      <c r="G5007" s="235" t="s">
        <v>36937</v>
      </c>
      <c r="H5007" s="235" t="s">
        <v>36938</v>
      </c>
      <c r="I5007" s="235" t="s">
        <v>36939</v>
      </c>
      <c r="J5007" s="235" t="s">
        <v>36940</v>
      </c>
      <c r="K5007" s="235" t="s">
        <v>36941</v>
      </c>
      <c r="N5007" s="235" t="s">
        <v>144</v>
      </c>
      <c r="O5007" s="235" t="s">
        <v>232</v>
      </c>
      <c r="P5007" s="238">
        <v>1.0</v>
      </c>
      <c r="Q5007" s="235" t="s">
        <v>627</v>
      </c>
      <c r="R5007" s="238">
        <v>665.72</v>
      </c>
      <c r="S5007" s="238">
        <v>32.62</v>
      </c>
      <c r="T5007" s="238">
        <v>0.0</v>
      </c>
      <c r="U5007" s="238">
        <v>0.0</v>
      </c>
      <c r="V5007" s="238">
        <v>0.0</v>
      </c>
      <c r="W5007" s="238">
        <v>0.0</v>
      </c>
      <c r="X5007" s="235" t="s">
        <v>628</v>
      </c>
      <c r="Z5007" s="245"/>
      <c r="AA5007" s="245"/>
      <c r="AB5007" s="245"/>
      <c r="AC5007" s="235" t="s">
        <v>687</v>
      </c>
      <c r="AD5007" s="235" t="s">
        <v>666</v>
      </c>
      <c r="AE5007" s="238">
        <v>600040.0</v>
      </c>
      <c r="AF5007" s="235" t="s">
        <v>631</v>
      </c>
      <c r="AG5007" s="245"/>
      <c r="AH5007" s="245"/>
      <c r="AI5007" s="245"/>
      <c r="AJ5007" s="245"/>
      <c r="AK5007" s="245"/>
      <c r="AL5007" s="245"/>
      <c r="AM5007" s="245"/>
      <c r="AN5007" s="245"/>
      <c r="AO5007" s="238">
        <v>-13.32</v>
      </c>
      <c r="AP5007" s="238">
        <v>0.0</v>
      </c>
      <c r="AQ5007" s="235" t="s">
        <v>632</v>
      </c>
      <c r="AR5007" s="243">
        <v>1.68E11</v>
      </c>
      <c r="AS5007" s="235" t="s">
        <v>36667</v>
      </c>
      <c r="AT5007" s="235" t="s">
        <v>156</v>
      </c>
      <c r="AU5007" s="235" t="s">
        <v>634</v>
      </c>
      <c r="AV5007" s="246" t="s">
        <v>635</v>
      </c>
      <c r="AW5007" s="227"/>
      <c r="AX5007" s="227"/>
      <c r="AY5007" s="227"/>
      <c r="AZ5007" s="227"/>
      <c r="BA5007" s="227"/>
      <c r="BB5007" s="227"/>
      <c r="BC5007" s="227"/>
      <c r="BD5007" s="227"/>
      <c r="BE5007" s="227"/>
      <c r="BF5007" s="227"/>
    </row>
    <row r="5008">
      <c r="A5008" s="235" t="s">
        <v>36942</v>
      </c>
      <c r="C5008" s="235" t="s">
        <v>36943</v>
      </c>
      <c r="D5008" s="235" t="s">
        <v>36944</v>
      </c>
      <c r="E5008" s="243">
        <v>6.47E13</v>
      </c>
      <c r="F5008" s="245"/>
      <c r="G5008" s="235" t="s">
        <v>36945</v>
      </c>
      <c r="H5008" s="235" t="s">
        <v>36946</v>
      </c>
      <c r="I5008" s="235" t="s">
        <v>36946</v>
      </c>
      <c r="J5008" s="235" t="s">
        <v>36947</v>
      </c>
      <c r="K5008" s="235" t="s">
        <v>36948</v>
      </c>
      <c r="N5008" s="235" t="s">
        <v>53</v>
      </c>
      <c r="O5008" s="235" t="s">
        <v>512</v>
      </c>
      <c r="P5008" s="238">
        <v>1.0</v>
      </c>
      <c r="Q5008" s="235" t="s">
        <v>627</v>
      </c>
      <c r="R5008" s="238">
        <v>237.14</v>
      </c>
      <c r="S5008" s="238">
        <v>11.62</v>
      </c>
      <c r="T5008" s="238">
        <v>0.0</v>
      </c>
      <c r="U5008" s="238">
        <v>0.0</v>
      </c>
      <c r="V5008" s="238">
        <v>0.0</v>
      </c>
      <c r="W5008" s="238">
        <v>0.0</v>
      </c>
      <c r="X5008" s="235" t="s">
        <v>628</v>
      </c>
      <c r="Z5008" s="245"/>
      <c r="AA5008" s="245"/>
      <c r="AB5008" s="245"/>
      <c r="AC5008" s="235" t="s">
        <v>15649</v>
      </c>
      <c r="AD5008" s="235" t="s">
        <v>666</v>
      </c>
      <c r="AE5008" s="238">
        <v>635109.0</v>
      </c>
      <c r="AF5008" s="235" t="s">
        <v>631</v>
      </c>
      <c r="AG5008" s="245"/>
      <c r="AH5008" s="245"/>
      <c r="AI5008" s="245"/>
      <c r="AJ5008" s="245"/>
      <c r="AK5008" s="245"/>
      <c r="AL5008" s="245"/>
      <c r="AM5008" s="245"/>
      <c r="AN5008" s="245"/>
      <c r="AO5008" s="238">
        <v>-4.74</v>
      </c>
      <c r="AP5008" s="238">
        <v>0.0</v>
      </c>
      <c r="AQ5008" s="235" t="s">
        <v>632</v>
      </c>
      <c r="AR5008" s="243">
        <v>3.7E11</v>
      </c>
      <c r="AS5008" s="235" t="s">
        <v>34510</v>
      </c>
      <c r="AT5008" s="235" t="s">
        <v>156</v>
      </c>
      <c r="AU5008" s="235" t="s">
        <v>634</v>
      </c>
      <c r="AV5008" s="246" t="s">
        <v>635</v>
      </c>
      <c r="AW5008" s="227"/>
      <c r="AX5008" s="227"/>
      <c r="AY5008" s="227"/>
      <c r="AZ5008" s="227"/>
      <c r="BA5008" s="227"/>
      <c r="BB5008" s="227"/>
      <c r="BC5008" s="227"/>
      <c r="BD5008" s="227"/>
      <c r="BE5008" s="227"/>
      <c r="BF5008" s="227"/>
    </row>
    <row r="5009">
      <c r="A5009" s="235" t="s">
        <v>36949</v>
      </c>
      <c r="C5009" s="235" t="s">
        <v>36950</v>
      </c>
      <c r="D5009" s="235" t="s">
        <v>36951</v>
      </c>
      <c r="E5009" s="243">
        <v>6.49E13</v>
      </c>
      <c r="F5009" s="245"/>
      <c r="G5009" s="235" t="s">
        <v>36952</v>
      </c>
      <c r="H5009" s="235" t="s">
        <v>36953</v>
      </c>
      <c r="I5009" s="235" t="s">
        <v>36953</v>
      </c>
      <c r="J5009" s="235" t="s">
        <v>36954</v>
      </c>
      <c r="K5009" s="235" t="s">
        <v>36955</v>
      </c>
      <c r="N5009" s="235" t="s">
        <v>566</v>
      </c>
      <c r="O5009" s="235" t="s">
        <v>36933</v>
      </c>
      <c r="P5009" s="238">
        <v>1.0</v>
      </c>
      <c r="Q5009" s="235" t="s">
        <v>627</v>
      </c>
      <c r="R5009" s="238">
        <v>422.88</v>
      </c>
      <c r="S5009" s="238">
        <v>76.12</v>
      </c>
      <c r="T5009" s="238">
        <v>33.9</v>
      </c>
      <c r="U5009" s="238">
        <v>6.1</v>
      </c>
      <c r="V5009" s="238">
        <v>0.0</v>
      </c>
      <c r="W5009" s="238">
        <v>0.0</v>
      </c>
      <c r="X5009" s="235" t="s">
        <v>628</v>
      </c>
      <c r="Z5009" s="245"/>
      <c r="AA5009" s="245"/>
      <c r="AB5009" s="245"/>
      <c r="AC5009" s="235" t="s">
        <v>1255</v>
      </c>
      <c r="AD5009" s="235" t="s">
        <v>845</v>
      </c>
      <c r="AE5009" s="238">
        <v>401107.0</v>
      </c>
      <c r="AF5009" s="235" t="s">
        <v>631</v>
      </c>
      <c r="AG5009" s="245"/>
      <c r="AH5009" s="245"/>
      <c r="AI5009" s="245"/>
      <c r="AJ5009" s="245"/>
      <c r="AK5009" s="245"/>
      <c r="AL5009" s="245"/>
      <c r="AM5009" s="245"/>
      <c r="AN5009" s="245"/>
      <c r="AO5009" s="238">
        <v>0.0</v>
      </c>
      <c r="AP5009" s="238">
        <v>-33.9</v>
      </c>
      <c r="AQ5009" s="235" t="s">
        <v>632</v>
      </c>
      <c r="AR5009" s="243">
        <v>3.7E11</v>
      </c>
      <c r="AS5009" s="235" t="s">
        <v>33466</v>
      </c>
      <c r="AT5009" s="235" t="s">
        <v>5</v>
      </c>
      <c r="AU5009" s="235" t="s">
        <v>634</v>
      </c>
      <c r="AV5009" s="246" t="s">
        <v>635</v>
      </c>
      <c r="AW5009" s="227"/>
      <c r="AX5009" s="227"/>
      <c r="AY5009" s="227"/>
      <c r="AZ5009" s="227"/>
      <c r="BA5009" s="227"/>
      <c r="BB5009" s="227"/>
      <c r="BC5009" s="227"/>
      <c r="BD5009" s="227"/>
      <c r="BE5009" s="227"/>
      <c r="BF5009" s="227"/>
    </row>
    <row r="5010">
      <c r="A5010" s="235" t="s">
        <v>36956</v>
      </c>
      <c r="C5010" s="235" t="s">
        <v>36957</v>
      </c>
      <c r="D5010" s="235" t="s">
        <v>36958</v>
      </c>
      <c r="E5010" s="243">
        <v>6.49E13</v>
      </c>
      <c r="F5010" s="245"/>
      <c r="G5010" s="235" t="s">
        <v>36959</v>
      </c>
      <c r="H5010" s="235" t="s">
        <v>36960</v>
      </c>
      <c r="I5010" s="235" t="s">
        <v>36960</v>
      </c>
      <c r="J5010" s="235" t="s">
        <v>36961</v>
      </c>
      <c r="K5010" s="235" t="s">
        <v>36962</v>
      </c>
      <c r="N5010" s="235" t="s">
        <v>47</v>
      </c>
      <c r="O5010" s="235" t="s">
        <v>270</v>
      </c>
      <c r="P5010" s="238">
        <v>1.0</v>
      </c>
      <c r="Q5010" s="235" t="s">
        <v>627</v>
      </c>
      <c r="R5010" s="238">
        <v>236.19</v>
      </c>
      <c r="S5010" s="238">
        <v>11.81</v>
      </c>
      <c r="T5010" s="238">
        <v>0.0</v>
      </c>
      <c r="U5010" s="238">
        <v>0.0</v>
      </c>
      <c r="V5010" s="238">
        <v>0.0</v>
      </c>
      <c r="W5010" s="238">
        <v>0.0</v>
      </c>
      <c r="X5010" s="235" t="s">
        <v>628</v>
      </c>
      <c r="Z5010" s="245"/>
      <c r="AA5010" s="245"/>
      <c r="AB5010" s="245"/>
      <c r="AC5010" s="235" t="s">
        <v>697</v>
      </c>
      <c r="AD5010" s="235" t="s">
        <v>698</v>
      </c>
      <c r="AE5010" s="238">
        <v>500035.0</v>
      </c>
      <c r="AF5010" s="235" t="s">
        <v>631</v>
      </c>
      <c r="AG5010" s="245"/>
      <c r="AH5010" s="245"/>
      <c r="AI5010" s="245"/>
      <c r="AJ5010" s="245"/>
      <c r="AK5010" s="245"/>
      <c r="AL5010" s="245"/>
      <c r="AM5010" s="245"/>
      <c r="AN5010" s="245"/>
      <c r="AO5010" s="238">
        <v>0.0</v>
      </c>
      <c r="AP5010" s="238">
        <v>0.0</v>
      </c>
      <c r="AQ5010" s="235" t="s">
        <v>632</v>
      </c>
      <c r="AR5010" s="243">
        <v>2.02E11</v>
      </c>
      <c r="AS5010" s="235" t="s">
        <v>35520</v>
      </c>
      <c r="AT5010" s="235" t="s">
        <v>17</v>
      </c>
      <c r="AU5010" s="235" t="s">
        <v>634</v>
      </c>
      <c r="AV5010" s="246" t="s">
        <v>635</v>
      </c>
      <c r="AW5010" s="227"/>
      <c r="AX5010" s="227"/>
      <c r="AY5010" s="227"/>
      <c r="AZ5010" s="227"/>
      <c r="BA5010" s="227"/>
      <c r="BB5010" s="227"/>
      <c r="BC5010" s="227"/>
      <c r="BD5010" s="227"/>
      <c r="BE5010" s="227"/>
      <c r="BF5010" s="227"/>
    </row>
    <row r="5011">
      <c r="A5011" s="235" t="s">
        <v>36963</v>
      </c>
      <c r="C5011" s="235" t="s">
        <v>36964</v>
      </c>
      <c r="D5011" s="235" t="s">
        <v>36965</v>
      </c>
      <c r="E5011" s="243">
        <v>6.49E13</v>
      </c>
      <c r="F5011" s="245"/>
      <c r="G5011" s="235" t="s">
        <v>36966</v>
      </c>
      <c r="H5011" s="235" t="s">
        <v>36967</v>
      </c>
      <c r="I5011" s="235" t="s">
        <v>36968</v>
      </c>
      <c r="J5011" s="235" t="s">
        <v>36969</v>
      </c>
      <c r="K5011" s="235" t="s">
        <v>36970</v>
      </c>
      <c r="N5011" s="235" t="s">
        <v>127</v>
      </c>
      <c r="O5011" s="235" t="s">
        <v>794</v>
      </c>
      <c r="P5011" s="238">
        <v>1.0</v>
      </c>
      <c r="Q5011" s="235" t="s">
        <v>627</v>
      </c>
      <c r="R5011" s="238">
        <v>243.81</v>
      </c>
      <c r="S5011" s="238">
        <v>12.19</v>
      </c>
      <c r="T5011" s="238">
        <v>38.1</v>
      </c>
      <c r="U5011" s="238">
        <v>1.9</v>
      </c>
      <c r="V5011" s="238">
        <v>0.0</v>
      </c>
      <c r="W5011" s="238">
        <v>0.0</v>
      </c>
      <c r="X5011" s="235" t="s">
        <v>628</v>
      </c>
      <c r="Z5011" s="245"/>
      <c r="AA5011" s="245"/>
      <c r="AB5011" s="245"/>
      <c r="AC5011" s="235" t="s">
        <v>795</v>
      </c>
      <c r="AD5011" s="235" t="s">
        <v>796</v>
      </c>
      <c r="AE5011" s="238">
        <v>110068.0</v>
      </c>
      <c r="AF5011" s="235" t="s">
        <v>631</v>
      </c>
      <c r="AG5011" s="245"/>
      <c r="AH5011" s="245"/>
      <c r="AI5011" s="245"/>
      <c r="AJ5011" s="245"/>
      <c r="AK5011" s="245"/>
      <c r="AL5011" s="245"/>
      <c r="AM5011" s="245"/>
      <c r="AN5011" s="245"/>
      <c r="AO5011" s="238">
        <v>0.0</v>
      </c>
      <c r="AP5011" s="238">
        <v>-38.1</v>
      </c>
      <c r="AQ5011" s="235" t="s">
        <v>632</v>
      </c>
      <c r="AR5011" s="243">
        <v>3.7E11</v>
      </c>
      <c r="AS5011" s="235" t="s">
        <v>35520</v>
      </c>
      <c r="AT5011" s="235" t="s">
        <v>14</v>
      </c>
      <c r="AU5011" s="235" t="s">
        <v>634</v>
      </c>
      <c r="AV5011" s="246" t="s">
        <v>635</v>
      </c>
      <c r="AW5011" s="227"/>
      <c r="AX5011" s="227"/>
      <c r="AY5011" s="227"/>
      <c r="AZ5011" s="227"/>
      <c r="BA5011" s="227"/>
      <c r="BB5011" s="227"/>
      <c r="BC5011" s="227"/>
      <c r="BD5011" s="227"/>
      <c r="BE5011" s="227"/>
      <c r="BF5011" s="227"/>
    </row>
    <row r="5012">
      <c r="A5012" s="235" t="s">
        <v>36971</v>
      </c>
      <c r="C5012" s="235" t="s">
        <v>36972</v>
      </c>
      <c r="D5012" s="235" t="s">
        <v>36973</v>
      </c>
      <c r="E5012" s="243">
        <v>6.49E13</v>
      </c>
      <c r="F5012" s="245"/>
      <c r="G5012" s="235" t="s">
        <v>36974</v>
      </c>
      <c r="H5012" s="235" t="s">
        <v>36975</v>
      </c>
      <c r="I5012" s="235" t="s">
        <v>36975</v>
      </c>
      <c r="J5012" s="235" t="s">
        <v>36976</v>
      </c>
      <c r="K5012" s="235" t="s">
        <v>36977</v>
      </c>
      <c r="N5012" s="235" t="s">
        <v>154</v>
      </c>
      <c r="O5012" s="235" t="s">
        <v>766</v>
      </c>
      <c r="P5012" s="238">
        <v>1.0</v>
      </c>
      <c r="Q5012" s="235" t="s">
        <v>627</v>
      </c>
      <c r="R5012" s="238">
        <v>465.72</v>
      </c>
      <c r="S5012" s="238">
        <v>22.82</v>
      </c>
      <c r="T5012" s="238">
        <v>0.0</v>
      </c>
      <c r="U5012" s="238">
        <v>0.0</v>
      </c>
      <c r="V5012" s="238">
        <v>0.0</v>
      </c>
      <c r="W5012" s="238">
        <v>0.0</v>
      </c>
      <c r="X5012" s="235" t="s">
        <v>628</v>
      </c>
      <c r="Z5012" s="245"/>
      <c r="AA5012" s="245"/>
      <c r="AB5012" s="245"/>
      <c r="AC5012" s="235" t="s">
        <v>1320</v>
      </c>
      <c r="AD5012" s="235" t="s">
        <v>666</v>
      </c>
      <c r="AE5012" s="238">
        <v>600053.0</v>
      </c>
      <c r="AF5012" s="235" t="s">
        <v>631</v>
      </c>
      <c r="AG5012" s="245"/>
      <c r="AH5012" s="245"/>
      <c r="AI5012" s="245"/>
      <c r="AJ5012" s="245"/>
      <c r="AK5012" s="245"/>
      <c r="AL5012" s="245"/>
      <c r="AM5012" s="245"/>
      <c r="AN5012" s="245"/>
      <c r="AO5012" s="238">
        <v>-9.32</v>
      </c>
      <c r="AP5012" s="238">
        <v>0.0</v>
      </c>
      <c r="AQ5012" s="235" t="s">
        <v>632</v>
      </c>
      <c r="AR5012" s="243">
        <v>1.68E11</v>
      </c>
      <c r="AS5012" s="235" t="s">
        <v>36667</v>
      </c>
      <c r="AT5012" s="235" t="s">
        <v>156</v>
      </c>
      <c r="AU5012" s="235" t="s">
        <v>634</v>
      </c>
      <c r="AV5012" s="246" t="s">
        <v>635</v>
      </c>
      <c r="AW5012" s="227"/>
      <c r="AX5012" s="227"/>
      <c r="AY5012" s="227"/>
      <c r="AZ5012" s="227"/>
      <c r="BA5012" s="227"/>
      <c r="BB5012" s="227"/>
      <c r="BC5012" s="227"/>
      <c r="BD5012" s="227"/>
      <c r="BE5012" s="227"/>
      <c r="BF5012" s="227"/>
    </row>
    <row r="5013">
      <c r="A5013" s="235" t="s">
        <v>36978</v>
      </c>
      <c r="C5013" s="235" t="s">
        <v>36979</v>
      </c>
      <c r="D5013" s="235" t="s">
        <v>36980</v>
      </c>
      <c r="E5013" s="243">
        <v>6.49E13</v>
      </c>
      <c r="F5013" s="245"/>
      <c r="G5013" s="235" t="s">
        <v>36981</v>
      </c>
      <c r="H5013" s="235" t="s">
        <v>36982</v>
      </c>
      <c r="I5013" s="235" t="s">
        <v>36982</v>
      </c>
      <c r="J5013" s="235" t="s">
        <v>36983</v>
      </c>
      <c r="K5013" s="235" t="s">
        <v>36984</v>
      </c>
      <c r="N5013" s="235" t="s">
        <v>127</v>
      </c>
      <c r="O5013" s="235" t="s">
        <v>794</v>
      </c>
      <c r="P5013" s="238">
        <v>1.0</v>
      </c>
      <c r="Q5013" s="235" t="s">
        <v>627</v>
      </c>
      <c r="R5013" s="238">
        <v>243.81</v>
      </c>
      <c r="S5013" s="238">
        <v>12.19</v>
      </c>
      <c r="T5013" s="238">
        <v>0.0</v>
      </c>
      <c r="U5013" s="238">
        <v>0.0</v>
      </c>
      <c r="V5013" s="238">
        <v>0.0</v>
      </c>
      <c r="W5013" s="238">
        <v>0.0</v>
      </c>
      <c r="X5013" s="235" t="s">
        <v>628</v>
      </c>
      <c r="Z5013" s="245"/>
      <c r="AA5013" s="245"/>
      <c r="AB5013" s="245"/>
      <c r="AC5013" s="235" t="s">
        <v>795</v>
      </c>
      <c r="AD5013" s="235" t="s">
        <v>796</v>
      </c>
      <c r="AE5013" s="238">
        <v>110089.0</v>
      </c>
      <c r="AF5013" s="235" t="s">
        <v>631</v>
      </c>
      <c r="AG5013" s="245"/>
      <c r="AH5013" s="245"/>
      <c r="AI5013" s="245"/>
      <c r="AJ5013" s="245"/>
      <c r="AK5013" s="245"/>
      <c r="AL5013" s="245"/>
      <c r="AM5013" s="245"/>
      <c r="AN5013" s="245"/>
      <c r="AO5013" s="238">
        <v>0.0</v>
      </c>
      <c r="AP5013" s="238">
        <v>0.0</v>
      </c>
      <c r="AQ5013" s="235" t="s">
        <v>632</v>
      </c>
      <c r="AR5013" s="243">
        <v>1.68E11</v>
      </c>
      <c r="AS5013" s="235" t="s">
        <v>36667</v>
      </c>
      <c r="AT5013" s="235" t="s">
        <v>14</v>
      </c>
      <c r="AU5013" s="235" t="s">
        <v>634</v>
      </c>
      <c r="AV5013" s="246" t="s">
        <v>635</v>
      </c>
      <c r="AW5013" s="227"/>
      <c r="AX5013" s="227"/>
      <c r="AY5013" s="227"/>
      <c r="AZ5013" s="227"/>
      <c r="BA5013" s="227"/>
      <c r="BB5013" s="227"/>
      <c r="BC5013" s="227"/>
      <c r="BD5013" s="227"/>
      <c r="BE5013" s="227"/>
      <c r="BF5013" s="227"/>
    </row>
    <row r="5014">
      <c r="A5014" s="235" t="s">
        <v>36985</v>
      </c>
      <c r="C5014" s="235" t="s">
        <v>36986</v>
      </c>
      <c r="D5014" s="235" t="s">
        <v>36987</v>
      </c>
      <c r="E5014" s="243">
        <v>6.48E13</v>
      </c>
      <c r="F5014" s="245"/>
      <c r="G5014" s="235" t="s">
        <v>36988</v>
      </c>
      <c r="H5014" s="235" t="s">
        <v>36989</v>
      </c>
      <c r="I5014" s="235" t="s">
        <v>36989</v>
      </c>
      <c r="J5014" s="235" t="s">
        <v>36990</v>
      </c>
      <c r="K5014" s="235" t="s">
        <v>36991</v>
      </c>
      <c r="N5014" s="235" t="s">
        <v>145</v>
      </c>
      <c r="O5014" s="235" t="s">
        <v>370</v>
      </c>
      <c r="P5014" s="238">
        <v>1.0</v>
      </c>
      <c r="Q5014" s="235" t="s">
        <v>627</v>
      </c>
      <c r="R5014" s="238">
        <v>1522.86</v>
      </c>
      <c r="S5014" s="238">
        <v>76.14</v>
      </c>
      <c r="T5014" s="238">
        <v>38.1</v>
      </c>
      <c r="U5014" s="238">
        <v>1.9</v>
      </c>
      <c r="V5014" s="238">
        <v>0.0</v>
      </c>
      <c r="W5014" s="238">
        <v>0.0</v>
      </c>
      <c r="X5014" s="235" t="s">
        <v>628</v>
      </c>
      <c r="Z5014" s="245"/>
      <c r="AA5014" s="245"/>
      <c r="AB5014" s="245"/>
      <c r="AC5014" s="235" t="s">
        <v>9521</v>
      </c>
      <c r="AD5014" s="235" t="s">
        <v>1077</v>
      </c>
      <c r="AE5014" s="238">
        <v>394170.0</v>
      </c>
      <c r="AF5014" s="235" t="s">
        <v>631</v>
      </c>
      <c r="AG5014" s="245"/>
      <c r="AH5014" s="245"/>
      <c r="AI5014" s="245"/>
      <c r="AJ5014" s="245"/>
      <c r="AK5014" s="245"/>
      <c r="AL5014" s="245"/>
      <c r="AM5014" s="245"/>
      <c r="AN5014" s="245"/>
      <c r="AO5014" s="238">
        <v>0.0</v>
      </c>
      <c r="AP5014" s="238">
        <v>-38.1</v>
      </c>
      <c r="AQ5014" s="235" t="s">
        <v>632</v>
      </c>
      <c r="AR5014" s="243">
        <v>3.7E11</v>
      </c>
      <c r="AS5014" s="235" t="s">
        <v>34510</v>
      </c>
      <c r="AT5014" s="235" t="s">
        <v>5</v>
      </c>
      <c r="AU5014" s="235" t="s">
        <v>634</v>
      </c>
      <c r="AV5014" s="246" t="s">
        <v>635</v>
      </c>
      <c r="AW5014" s="227"/>
      <c r="AX5014" s="227"/>
      <c r="AY5014" s="227"/>
      <c r="AZ5014" s="227"/>
      <c r="BA5014" s="227"/>
      <c r="BB5014" s="227"/>
      <c r="BC5014" s="227"/>
      <c r="BD5014" s="227"/>
      <c r="BE5014" s="227"/>
      <c r="BF5014" s="227"/>
    </row>
    <row r="5015">
      <c r="A5015" s="235" t="s">
        <v>36992</v>
      </c>
      <c r="C5015" s="235" t="s">
        <v>36993</v>
      </c>
      <c r="D5015" s="235" t="s">
        <v>36994</v>
      </c>
      <c r="E5015" s="243">
        <v>6.49E13</v>
      </c>
      <c r="F5015" s="245"/>
      <c r="G5015" s="235" t="s">
        <v>36995</v>
      </c>
      <c r="H5015" s="235" t="s">
        <v>36996</v>
      </c>
      <c r="I5015" s="235" t="s">
        <v>36997</v>
      </c>
      <c r="J5015" s="235" t="s">
        <v>36998</v>
      </c>
      <c r="K5015" s="235" t="s">
        <v>36999</v>
      </c>
      <c r="N5015" s="235" t="s">
        <v>15</v>
      </c>
      <c r="O5015" s="235" t="s">
        <v>856</v>
      </c>
      <c r="P5015" s="238">
        <v>1.0</v>
      </c>
      <c r="Q5015" s="235" t="s">
        <v>627</v>
      </c>
      <c r="R5015" s="238">
        <v>360.95</v>
      </c>
      <c r="S5015" s="238">
        <v>17.69</v>
      </c>
      <c r="T5015" s="238">
        <v>0.0</v>
      </c>
      <c r="U5015" s="238">
        <v>0.0</v>
      </c>
      <c r="V5015" s="238">
        <v>0.0</v>
      </c>
      <c r="W5015" s="238">
        <v>0.0</v>
      </c>
      <c r="X5015" s="235" t="s">
        <v>628</v>
      </c>
      <c r="Z5015" s="245"/>
      <c r="AA5015" s="245"/>
      <c r="AB5015" s="245"/>
      <c r="AC5015" s="235" t="s">
        <v>678</v>
      </c>
      <c r="AD5015" s="235" t="s">
        <v>679</v>
      </c>
      <c r="AE5015" s="238">
        <v>560024.0</v>
      </c>
      <c r="AF5015" s="235" t="s">
        <v>631</v>
      </c>
      <c r="AG5015" s="245"/>
      <c r="AH5015" s="245"/>
      <c r="AI5015" s="245"/>
      <c r="AJ5015" s="245"/>
      <c r="AK5015" s="245"/>
      <c r="AL5015" s="245"/>
      <c r="AM5015" s="245"/>
      <c r="AN5015" s="245"/>
      <c r="AO5015" s="238">
        <v>-7.22</v>
      </c>
      <c r="AP5015" s="238">
        <v>0.0</v>
      </c>
      <c r="AQ5015" s="235" t="s">
        <v>632</v>
      </c>
      <c r="AR5015" s="243">
        <v>1.68E11</v>
      </c>
      <c r="AS5015" s="235" t="s">
        <v>35520</v>
      </c>
      <c r="AT5015" s="235" t="s">
        <v>156</v>
      </c>
      <c r="AU5015" s="235" t="s">
        <v>634</v>
      </c>
      <c r="AV5015" s="246" t="s">
        <v>635</v>
      </c>
      <c r="AW5015" s="227"/>
      <c r="AX5015" s="227"/>
      <c r="AY5015" s="227"/>
      <c r="AZ5015" s="227"/>
      <c r="BA5015" s="227"/>
      <c r="BB5015" s="227"/>
      <c r="BC5015" s="227"/>
      <c r="BD5015" s="227"/>
      <c r="BE5015" s="227"/>
      <c r="BF5015" s="227"/>
    </row>
    <row r="5016">
      <c r="A5016" s="235" t="s">
        <v>37000</v>
      </c>
      <c r="C5016" s="235" t="s">
        <v>37001</v>
      </c>
      <c r="D5016" s="235" t="s">
        <v>37002</v>
      </c>
      <c r="E5016" s="243">
        <v>6.49E13</v>
      </c>
      <c r="F5016" s="245"/>
      <c r="G5016" s="235" t="s">
        <v>37003</v>
      </c>
      <c r="H5016" s="235" t="s">
        <v>37004</v>
      </c>
      <c r="I5016" s="235" t="s">
        <v>37004</v>
      </c>
      <c r="J5016" s="235" t="s">
        <v>37005</v>
      </c>
      <c r="K5016" s="235" t="s">
        <v>35079</v>
      </c>
      <c r="N5016" s="235" t="s">
        <v>53</v>
      </c>
      <c r="O5016" s="235" t="s">
        <v>512</v>
      </c>
      <c r="P5016" s="238">
        <v>1.0</v>
      </c>
      <c r="Q5016" s="235" t="s">
        <v>627</v>
      </c>
      <c r="R5016" s="238">
        <v>237.14</v>
      </c>
      <c r="S5016" s="238">
        <v>11.62</v>
      </c>
      <c r="T5016" s="238">
        <v>38.1</v>
      </c>
      <c r="U5016" s="238">
        <v>1.9</v>
      </c>
      <c r="V5016" s="238">
        <v>0.0</v>
      </c>
      <c r="W5016" s="238">
        <v>0.0</v>
      </c>
      <c r="X5016" s="235" t="s">
        <v>628</v>
      </c>
      <c r="Z5016" s="245"/>
      <c r="AA5016" s="245"/>
      <c r="AB5016" s="245"/>
      <c r="AC5016" s="235" t="s">
        <v>35080</v>
      </c>
      <c r="AD5016" s="235" t="s">
        <v>679</v>
      </c>
      <c r="AE5016" s="238">
        <v>571401.0</v>
      </c>
      <c r="AF5016" s="235" t="s">
        <v>631</v>
      </c>
      <c r="AG5016" s="245"/>
      <c r="AH5016" s="245"/>
      <c r="AI5016" s="245"/>
      <c r="AJ5016" s="245"/>
      <c r="AK5016" s="245"/>
      <c r="AL5016" s="245"/>
      <c r="AM5016" s="245"/>
      <c r="AN5016" s="245"/>
      <c r="AO5016" s="238">
        <v>-4.74</v>
      </c>
      <c r="AP5016" s="238">
        <v>-38.1</v>
      </c>
      <c r="AQ5016" s="235" t="s">
        <v>632</v>
      </c>
      <c r="AR5016" s="243">
        <v>3.7E11</v>
      </c>
      <c r="AS5016" s="235" t="s">
        <v>34510</v>
      </c>
      <c r="AT5016" s="235" t="s">
        <v>9</v>
      </c>
      <c r="AU5016" s="235" t="s">
        <v>634</v>
      </c>
      <c r="AV5016" s="246" t="s">
        <v>635</v>
      </c>
      <c r="AW5016" s="227"/>
      <c r="AX5016" s="227"/>
      <c r="AY5016" s="227"/>
      <c r="AZ5016" s="227"/>
      <c r="BA5016" s="227"/>
      <c r="BB5016" s="227"/>
      <c r="BC5016" s="227"/>
      <c r="BD5016" s="227"/>
      <c r="BE5016" s="227"/>
      <c r="BF5016" s="227"/>
    </row>
    <row r="5017">
      <c r="A5017" s="235" t="s">
        <v>37006</v>
      </c>
      <c r="C5017" s="235" t="s">
        <v>37007</v>
      </c>
      <c r="D5017" s="235" t="s">
        <v>37008</v>
      </c>
      <c r="E5017" s="243">
        <v>6.49E13</v>
      </c>
      <c r="F5017" s="245"/>
      <c r="G5017" s="235" t="s">
        <v>37009</v>
      </c>
      <c r="H5017" s="235" t="s">
        <v>37010</v>
      </c>
      <c r="I5017" s="235" t="s">
        <v>37010</v>
      </c>
      <c r="J5017" s="235" t="s">
        <v>37011</v>
      </c>
      <c r="K5017" s="235" t="s">
        <v>37012</v>
      </c>
      <c r="N5017" s="235" t="s">
        <v>53</v>
      </c>
      <c r="O5017" s="235" t="s">
        <v>512</v>
      </c>
      <c r="P5017" s="238">
        <v>1.0</v>
      </c>
      <c r="Q5017" s="235" t="s">
        <v>627</v>
      </c>
      <c r="R5017" s="238">
        <v>237.14</v>
      </c>
      <c r="S5017" s="238">
        <v>11.62</v>
      </c>
      <c r="T5017" s="238">
        <v>0.0</v>
      </c>
      <c r="U5017" s="238">
        <v>0.0</v>
      </c>
      <c r="V5017" s="238">
        <v>0.0</v>
      </c>
      <c r="W5017" s="238">
        <v>0.0</v>
      </c>
      <c r="X5017" s="235" t="s">
        <v>628</v>
      </c>
      <c r="Z5017" s="245"/>
      <c r="AA5017" s="245"/>
      <c r="AB5017" s="245"/>
      <c r="AC5017" s="235" t="s">
        <v>37013</v>
      </c>
      <c r="AD5017" s="235" t="s">
        <v>37014</v>
      </c>
      <c r="AE5017" s="238">
        <v>502032.0</v>
      </c>
      <c r="AF5017" s="235" t="s">
        <v>631</v>
      </c>
      <c r="AG5017" s="245"/>
      <c r="AH5017" s="245"/>
      <c r="AI5017" s="245"/>
      <c r="AJ5017" s="245"/>
      <c r="AK5017" s="245"/>
      <c r="AL5017" s="245"/>
      <c r="AM5017" s="245"/>
      <c r="AN5017" s="245"/>
      <c r="AO5017" s="238">
        <v>-4.74</v>
      </c>
      <c r="AP5017" s="238">
        <v>0.0</v>
      </c>
      <c r="AQ5017" s="235" t="s">
        <v>632</v>
      </c>
      <c r="AR5017" s="243">
        <v>3.7E11</v>
      </c>
      <c r="AS5017" s="235" t="s">
        <v>34510</v>
      </c>
      <c r="AT5017" s="235" t="s">
        <v>16</v>
      </c>
      <c r="AU5017" s="235" t="s">
        <v>634</v>
      </c>
      <c r="AV5017" s="246" t="s">
        <v>635</v>
      </c>
      <c r="AW5017" s="227"/>
      <c r="AX5017" s="227"/>
      <c r="AY5017" s="227"/>
      <c r="AZ5017" s="227"/>
      <c r="BA5017" s="227"/>
      <c r="BB5017" s="227"/>
      <c r="BC5017" s="227"/>
      <c r="BD5017" s="227"/>
      <c r="BE5017" s="227"/>
      <c r="BF5017" s="227"/>
    </row>
    <row r="5018">
      <c r="A5018" s="235" t="s">
        <v>37015</v>
      </c>
      <c r="C5018" s="235" t="s">
        <v>37016</v>
      </c>
      <c r="D5018" s="235" t="s">
        <v>37017</v>
      </c>
      <c r="E5018" s="243">
        <v>6.49E13</v>
      </c>
      <c r="F5018" s="245"/>
      <c r="G5018" s="235" t="s">
        <v>37018</v>
      </c>
      <c r="H5018" s="235" t="s">
        <v>37019</v>
      </c>
      <c r="I5018" s="235" t="s">
        <v>37020</v>
      </c>
      <c r="J5018" s="235" t="s">
        <v>37021</v>
      </c>
      <c r="K5018" s="235" t="s">
        <v>37022</v>
      </c>
      <c r="N5018" s="235" t="s">
        <v>134</v>
      </c>
      <c r="O5018" s="235" t="s">
        <v>314</v>
      </c>
      <c r="P5018" s="238">
        <v>1.0</v>
      </c>
      <c r="Q5018" s="235" t="s">
        <v>627</v>
      </c>
      <c r="R5018" s="238">
        <v>244.76</v>
      </c>
      <c r="S5018" s="238">
        <v>12.0</v>
      </c>
      <c r="T5018" s="238">
        <v>0.0</v>
      </c>
      <c r="U5018" s="238">
        <v>0.0</v>
      </c>
      <c r="V5018" s="238">
        <v>0.0</v>
      </c>
      <c r="W5018" s="238">
        <v>0.0</v>
      </c>
      <c r="X5018" s="235" t="s">
        <v>628</v>
      </c>
      <c r="Z5018" s="245"/>
      <c r="AA5018" s="245"/>
      <c r="AB5018" s="245"/>
      <c r="AC5018" s="235" t="s">
        <v>678</v>
      </c>
      <c r="AD5018" s="235" t="s">
        <v>679</v>
      </c>
      <c r="AE5018" s="238">
        <v>560064.0</v>
      </c>
      <c r="AF5018" s="235" t="s">
        <v>631</v>
      </c>
      <c r="AG5018" s="245"/>
      <c r="AH5018" s="245"/>
      <c r="AI5018" s="245"/>
      <c r="AJ5018" s="245"/>
      <c r="AK5018" s="245"/>
      <c r="AL5018" s="245"/>
      <c r="AM5018" s="245"/>
      <c r="AN5018" s="245"/>
      <c r="AO5018" s="238">
        <v>-4.9</v>
      </c>
      <c r="AP5018" s="238">
        <v>0.0</v>
      </c>
      <c r="AQ5018" s="235" t="s">
        <v>632</v>
      </c>
      <c r="AR5018" s="243">
        <v>1.68E11</v>
      </c>
      <c r="AS5018" s="235" t="s">
        <v>36667</v>
      </c>
      <c r="AT5018" s="235" t="s">
        <v>9</v>
      </c>
      <c r="AU5018" s="235" t="s">
        <v>634</v>
      </c>
      <c r="AV5018" s="246" t="s">
        <v>635</v>
      </c>
      <c r="AW5018" s="227"/>
      <c r="AX5018" s="227"/>
      <c r="AY5018" s="227"/>
      <c r="AZ5018" s="227"/>
      <c r="BA5018" s="227"/>
      <c r="BB5018" s="227"/>
      <c r="BC5018" s="227"/>
      <c r="BD5018" s="227"/>
      <c r="BE5018" s="227"/>
      <c r="BF5018" s="227"/>
    </row>
    <row r="5019">
      <c r="A5019" s="235" t="s">
        <v>37023</v>
      </c>
      <c r="C5019" s="235" t="s">
        <v>37024</v>
      </c>
      <c r="D5019" s="235" t="s">
        <v>37025</v>
      </c>
      <c r="E5019" s="243">
        <v>6.49E13</v>
      </c>
      <c r="F5019" s="245"/>
      <c r="G5019" s="235" t="s">
        <v>37026</v>
      </c>
      <c r="H5019" s="235" t="s">
        <v>37027</v>
      </c>
      <c r="I5019" s="235" t="s">
        <v>37027</v>
      </c>
      <c r="J5019" s="235" t="s">
        <v>37028</v>
      </c>
      <c r="K5019" s="235" t="s">
        <v>37029</v>
      </c>
      <c r="N5019" s="235" t="s">
        <v>134</v>
      </c>
      <c r="O5019" s="235" t="s">
        <v>314</v>
      </c>
      <c r="P5019" s="238">
        <v>1.0</v>
      </c>
      <c r="Q5019" s="235" t="s">
        <v>627</v>
      </c>
      <c r="R5019" s="238">
        <v>244.76</v>
      </c>
      <c r="S5019" s="238">
        <v>12.24</v>
      </c>
      <c r="T5019" s="238">
        <v>38.1</v>
      </c>
      <c r="U5019" s="238">
        <v>1.9</v>
      </c>
      <c r="V5019" s="238">
        <v>0.0</v>
      </c>
      <c r="W5019" s="238">
        <v>0.0</v>
      </c>
      <c r="X5019" s="235" t="s">
        <v>628</v>
      </c>
      <c r="Z5019" s="245"/>
      <c r="AA5019" s="245"/>
      <c r="AB5019" s="245"/>
      <c r="AC5019" s="235" t="s">
        <v>1531</v>
      </c>
      <c r="AD5019" s="235" t="s">
        <v>1151</v>
      </c>
      <c r="AE5019" s="238">
        <v>700016.0</v>
      </c>
      <c r="AF5019" s="235" t="s">
        <v>631</v>
      </c>
      <c r="AG5019" s="245"/>
      <c r="AH5019" s="245"/>
      <c r="AI5019" s="245"/>
      <c r="AJ5019" s="245"/>
      <c r="AK5019" s="245"/>
      <c r="AL5019" s="245"/>
      <c r="AM5019" s="245"/>
      <c r="AN5019" s="245"/>
      <c r="AO5019" s="238">
        <v>0.0</v>
      </c>
      <c r="AP5019" s="238">
        <v>-38.1</v>
      </c>
      <c r="AQ5019" s="235" t="s">
        <v>632</v>
      </c>
      <c r="AR5019" s="243">
        <v>3.7E11</v>
      </c>
      <c r="AS5019" s="235" t="s">
        <v>32455</v>
      </c>
      <c r="AT5019" s="235" t="s">
        <v>11</v>
      </c>
      <c r="AU5019" s="235" t="s">
        <v>634</v>
      </c>
      <c r="AV5019" s="246" t="s">
        <v>635</v>
      </c>
      <c r="AW5019" s="227"/>
      <c r="AX5019" s="227"/>
      <c r="AY5019" s="227"/>
      <c r="AZ5019" s="227"/>
      <c r="BA5019" s="227"/>
      <c r="BB5019" s="227"/>
      <c r="BC5019" s="227"/>
      <c r="BD5019" s="227"/>
      <c r="BE5019" s="227"/>
      <c r="BF5019" s="227"/>
    </row>
    <row r="5020">
      <c r="A5020" s="235" t="s">
        <v>37030</v>
      </c>
      <c r="C5020" s="235" t="s">
        <v>37031</v>
      </c>
      <c r="D5020" s="235" t="s">
        <v>37032</v>
      </c>
      <c r="E5020" s="243">
        <v>6.49E13</v>
      </c>
      <c r="F5020" s="245"/>
      <c r="G5020" s="235" t="s">
        <v>37033</v>
      </c>
      <c r="H5020" s="235" t="s">
        <v>37034</v>
      </c>
      <c r="I5020" s="235" t="s">
        <v>37034</v>
      </c>
      <c r="J5020" s="235" t="s">
        <v>37035</v>
      </c>
      <c r="K5020" s="235" t="s">
        <v>37036</v>
      </c>
      <c r="N5020" s="235" t="s">
        <v>134</v>
      </c>
      <c r="O5020" s="235" t="s">
        <v>314</v>
      </c>
      <c r="P5020" s="238">
        <v>1.0</v>
      </c>
      <c r="Q5020" s="235" t="s">
        <v>627</v>
      </c>
      <c r="R5020" s="238">
        <v>244.76</v>
      </c>
      <c r="S5020" s="238">
        <v>12.24</v>
      </c>
      <c r="T5020" s="238">
        <v>0.0</v>
      </c>
      <c r="U5020" s="238">
        <v>0.0</v>
      </c>
      <c r="V5020" s="238">
        <v>0.0</v>
      </c>
      <c r="W5020" s="238">
        <v>0.0</v>
      </c>
      <c r="X5020" s="235" t="s">
        <v>628</v>
      </c>
      <c r="Z5020" s="245"/>
      <c r="AA5020" s="245"/>
      <c r="AB5020" s="245"/>
      <c r="AC5020" s="235" t="s">
        <v>37037</v>
      </c>
      <c r="AD5020" s="235" t="s">
        <v>666</v>
      </c>
      <c r="AE5020" s="238">
        <v>605108.0</v>
      </c>
      <c r="AF5020" s="235" t="s">
        <v>631</v>
      </c>
      <c r="AG5020" s="245"/>
      <c r="AH5020" s="245"/>
      <c r="AI5020" s="245"/>
      <c r="AJ5020" s="245"/>
      <c r="AK5020" s="245"/>
      <c r="AL5020" s="245"/>
      <c r="AM5020" s="245"/>
      <c r="AN5020" s="245"/>
      <c r="AO5020" s="238">
        <v>0.0</v>
      </c>
      <c r="AP5020" s="238">
        <v>0.0</v>
      </c>
      <c r="AQ5020" s="235" t="s">
        <v>632</v>
      </c>
      <c r="AR5020" s="243">
        <v>1.68E11</v>
      </c>
      <c r="AS5020" s="235" t="s">
        <v>35520</v>
      </c>
      <c r="AT5020" s="235" t="s">
        <v>9</v>
      </c>
      <c r="AU5020" s="235" t="s">
        <v>634</v>
      </c>
      <c r="AV5020" s="246" t="s">
        <v>635</v>
      </c>
      <c r="AW5020" s="227"/>
      <c r="AX5020" s="227"/>
      <c r="AY5020" s="227"/>
      <c r="AZ5020" s="227"/>
      <c r="BA5020" s="227"/>
      <c r="BB5020" s="227"/>
      <c r="BC5020" s="227"/>
      <c r="BD5020" s="227"/>
      <c r="BE5020" s="227"/>
      <c r="BF5020" s="227"/>
    </row>
    <row r="5021">
      <c r="A5021" s="235" t="s">
        <v>37038</v>
      </c>
      <c r="C5021" s="235" t="s">
        <v>37039</v>
      </c>
      <c r="D5021" s="235" t="s">
        <v>37040</v>
      </c>
      <c r="E5021" s="243">
        <v>6.49E13</v>
      </c>
      <c r="F5021" s="245"/>
      <c r="G5021" s="235" t="s">
        <v>37041</v>
      </c>
      <c r="H5021" s="235" t="s">
        <v>37042</v>
      </c>
      <c r="I5021" s="235" t="s">
        <v>37042</v>
      </c>
      <c r="J5021" s="235" t="s">
        <v>37043</v>
      </c>
      <c r="K5021" s="235" t="s">
        <v>37044</v>
      </c>
      <c r="N5021" s="235" t="s">
        <v>139</v>
      </c>
      <c r="O5021" s="235" t="s">
        <v>2091</v>
      </c>
      <c r="P5021" s="238">
        <v>1.0</v>
      </c>
      <c r="Q5021" s="235" t="s">
        <v>627</v>
      </c>
      <c r="R5021" s="238">
        <v>244.76</v>
      </c>
      <c r="S5021" s="238">
        <v>12.0</v>
      </c>
      <c r="T5021" s="238">
        <v>56.19</v>
      </c>
      <c r="U5021" s="238">
        <v>2.81</v>
      </c>
      <c r="V5021" s="238">
        <v>0.0</v>
      </c>
      <c r="W5021" s="238">
        <v>0.0</v>
      </c>
      <c r="X5021" s="235" t="s">
        <v>628</v>
      </c>
      <c r="Z5021" s="245"/>
      <c r="AA5021" s="245"/>
      <c r="AB5021" s="245"/>
      <c r="AC5021" s="235" t="s">
        <v>1671</v>
      </c>
      <c r="AD5021" s="235" t="s">
        <v>666</v>
      </c>
      <c r="AE5021" s="238">
        <v>641008.0</v>
      </c>
      <c r="AF5021" s="235" t="s">
        <v>631</v>
      </c>
      <c r="AG5021" s="245"/>
      <c r="AH5021" s="245"/>
      <c r="AI5021" s="245"/>
      <c r="AJ5021" s="245"/>
      <c r="AK5021" s="245"/>
      <c r="AL5021" s="245"/>
      <c r="AM5021" s="245"/>
      <c r="AN5021" s="245"/>
      <c r="AO5021" s="238">
        <v>-4.9</v>
      </c>
      <c r="AP5021" s="238">
        <v>-56.19</v>
      </c>
      <c r="AQ5021" s="235" t="s">
        <v>632</v>
      </c>
      <c r="AR5021" s="243">
        <v>1.68E11</v>
      </c>
      <c r="AS5021" s="235" t="s">
        <v>35520</v>
      </c>
      <c r="AT5021" s="235" t="s">
        <v>11</v>
      </c>
      <c r="AU5021" s="235" t="s">
        <v>634</v>
      </c>
      <c r="AV5021" s="246" t="s">
        <v>635</v>
      </c>
      <c r="AW5021" s="227"/>
      <c r="AX5021" s="227"/>
      <c r="AY5021" s="227"/>
      <c r="AZ5021" s="227"/>
      <c r="BA5021" s="227"/>
      <c r="BB5021" s="227"/>
      <c r="BC5021" s="227"/>
      <c r="BD5021" s="227"/>
      <c r="BE5021" s="227"/>
      <c r="BF5021" s="227"/>
    </row>
    <row r="5022">
      <c r="A5022" s="235" t="s">
        <v>37045</v>
      </c>
      <c r="C5022" s="235" t="s">
        <v>37046</v>
      </c>
      <c r="D5022" s="235" t="s">
        <v>37047</v>
      </c>
      <c r="E5022" s="243">
        <v>6.49E13</v>
      </c>
      <c r="F5022" s="245"/>
      <c r="G5022" s="235" t="s">
        <v>37048</v>
      </c>
      <c r="H5022" s="235" t="s">
        <v>37049</v>
      </c>
      <c r="I5022" s="235" t="s">
        <v>37049</v>
      </c>
      <c r="J5022" s="235" t="s">
        <v>37050</v>
      </c>
      <c r="K5022" s="235" t="s">
        <v>37051</v>
      </c>
      <c r="N5022" s="235" t="s">
        <v>4</v>
      </c>
      <c r="O5022" s="235" t="s">
        <v>1791</v>
      </c>
      <c r="P5022" s="238">
        <v>1.0</v>
      </c>
      <c r="Q5022" s="235" t="s">
        <v>627</v>
      </c>
      <c r="R5022" s="238">
        <v>265.72</v>
      </c>
      <c r="S5022" s="238">
        <v>13.28</v>
      </c>
      <c r="T5022" s="238">
        <v>38.1</v>
      </c>
      <c r="U5022" s="238">
        <v>1.9</v>
      </c>
      <c r="V5022" s="238">
        <v>0.0</v>
      </c>
      <c r="W5022" s="238">
        <v>0.0</v>
      </c>
      <c r="X5022" s="235" t="s">
        <v>628</v>
      </c>
      <c r="Z5022" s="245"/>
      <c r="AA5022" s="245"/>
      <c r="AB5022" s="245"/>
      <c r="AC5022" s="235" t="s">
        <v>37052</v>
      </c>
      <c r="AD5022" s="235" t="s">
        <v>845</v>
      </c>
      <c r="AE5022" s="238">
        <v>410203.0</v>
      </c>
      <c r="AF5022" s="235" t="s">
        <v>631</v>
      </c>
      <c r="AG5022" s="245"/>
      <c r="AH5022" s="245"/>
      <c r="AI5022" s="245"/>
      <c r="AJ5022" s="245"/>
      <c r="AK5022" s="245"/>
      <c r="AL5022" s="245"/>
      <c r="AM5022" s="245"/>
      <c r="AN5022" s="245"/>
      <c r="AO5022" s="238">
        <v>0.0</v>
      </c>
      <c r="AP5022" s="238">
        <v>-38.1</v>
      </c>
      <c r="AQ5022" s="235" t="s">
        <v>632</v>
      </c>
      <c r="AR5022" s="243">
        <v>3.7E11</v>
      </c>
      <c r="AS5022" s="235" t="s">
        <v>35520</v>
      </c>
      <c r="AT5022" s="235" t="s">
        <v>546</v>
      </c>
      <c r="AU5022" s="235" t="s">
        <v>634</v>
      </c>
      <c r="AV5022" s="246" t="s">
        <v>635</v>
      </c>
      <c r="AW5022" s="227"/>
      <c r="AX5022" s="227"/>
      <c r="AY5022" s="227"/>
      <c r="AZ5022" s="227"/>
      <c r="BA5022" s="227"/>
      <c r="BB5022" s="227"/>
      <c r="BC5022" s="227"/>
      <c r="BD5022" s="227"/>
      <c r="BE5022" s="227"/>
      <c r="BF5022" s="227"/>
    </row>
    <row r="5023">
      <c r="A5023" s="235" t="s">
        <v>37053</v>
      </c>
      <c r="C5023" s="235" t="s">
        <v>37054</v>
      </c>
      <c r="D5023" s="235" t="s">
        <v>37055</v>
      </c>
      <c r="E5023" s="243">
        <v>6.49E13</v>
      </c>
      <c r="F5023" s="245"/>
      <c r="G5023" s="235" t="s">
        <v>37056</v>
      </c>
      <c r="H5023" s="235" t="s">
        <v>37057</v>
      </c>
      <c r="I5023" s="235" t="s">
        <v>37057</v>
      </c>
      <c r="J5023" s="235" t="s">
        <v>37058</v>
      </c>
      <c r="K5023" s="235" t="s">
        <v>33737</v>
      </c>
      <c r="N5023" s="235" t="s">
        <v>98</v>
      </c>
      <c r="O5023" s="235" t="s">
        <v>357</v>
      </c>
      <c r="P5023" s="238">
        <v>1.0</v>
      </c>
      <c r="Q5023" s="235" t="s">
        <v>627</v>
      </c>
      <c r="R5023" s="238">
        <v>244.76</v>
      </c>
      <c r="S5023" s="238">
        <v>12.24</v>
      </c>
      <c r="T5023" s="238">
        <v>38.1</v>
      </c>
      <c r="U5023" s="238">
        <v>1.9</v>
      </c>
      <c r="V5023" s="238">
        <v>0.0</v>
      </c>
      <c r="W5023" s="238">
        <v>0.0</v>
      </c>
      <c r="X5023" s="235" t="s">
        <v>628</v>
      </c>
      <c r="Z5023" s="245"/>
      <c r="AA5023" s="245"/>
      <c r="AB5023" s="245"/>
      <c r="AC5023" s="235" t="s">
        <v>796</v>
      </c>
      <c r="AD5023" s="235" t="s">
        <v>796</v>
      </c>
      <c r="AE5023" s="238">
        <v>110006.0</v>
      </c>
      <c r="AF5023" s="235" t="s">
        <v>631</v>
      </c>
      <c r="AG5023" s="245"/>
      <c r="AH5023" s="245"/>
      <c r="AI5023" s="245"/>
      <c r="AJ5023" s="245"/>
      <c r="AK5023" s="245"/>
      <c r="AL5023" s="245"/>
      <c r="AM5023" s="245"/>
      <c r="AN5023" s="245"/>
      <c r="AO5023" s="238">
        <v>0.0</v>
      </c>
      <c r="AP5023" s="238">
        <v>-38.1</v>
      </c>
      <c r="AQ5023" s="235" t="s">
        <v>632</v>
      </c>
      <c r="AR5023" s="243">
        <v>3.7E11</v>
      </c>
      <c r="AS5023" s="235" t="s">
        <v>35520</v>
      </c>
      <c r="AT5023" s="235" t="s">
        <v>533</v>
      </c>
      <c r="AU5023" s="235" t="s">
        <v>634</v>
      </c>
      <c r="AV5023" s="246" t="s">
        <v>635</v>
      </c>
      <c r="AW5023" s="227"/>
      <c r="AX5023" s="227"/>
      <c r="AY5023" s="227"/>
      <c r="AZ5023" s="227"/>
      <c r="BA5023" s="227"/>
      <c r="BB5023" s="227"/>
      <c r="BC5023" s="227"/>
      <c r="BD5023" s="227"/>
      <c r="BE5023" s="227"/>
      <c r="BF5023" s="227"/>
    </row>
    <row r="5024">
      <c r="A5024" s="235" t="s">
        <v>37059</v>
      </c>
      <c r="C5024" s="235" t="s">
        <v>37060</v>
      </c>
      <c r="D5024" s="235" t="s">
        <v>37061</v>
      </c>
      <c r="E5024" s="243">
        <v>6.49E13</v>
      </c>
      <c r="F5024" s="245"/>
      <c r="G5024" s="235" t="s">
        <v>37062</v>
      </c>
      <c r="H5024" s="235" t="s">
        <v>37063</v>
      </c>
      <c r="I5024" s="235" t="s">
        <v>37064</v>
      </c>
      <c r="J5024" s="235" t="s">
        <v>37065</v>
      </c>
      <c r="K5024" s="235" t="s">
        <v>37066</v>
      </c>
      <c r="N5024" s="235" t="s">
        <v>962</v>
      </c>
      <c r="O5024" s="235" t="s">
        <v>963</v>
      </c>
      <c r="P5024" s="238">
        <v>1.0</v>
      </c>
      <c r="Q5024" s="235" t="s">
        <v>627</v>
      </c>
      <c r="R5024" s="238">
        <v>245.72</v>
      </c>
      <c r="S5024" s="238">
        <v>12.28</v>
      </c>
      <c r="T5024" s="238">
        <v>0.0</v>
      </c>
      <c r="U5024" s="238">
        <v>0.0</v>
      </c>
      <c r="V5024" s="238">
        <v>0.0</v>
      </c>
      <c r="W5024" s="238">
        <v>0.0</v>
      </c>
      <c r="X5024" s="235" t="s">
        <v>628</v>
      </c>
      <c r="Z5024" s="245"/>
      <c r="AA5024" s="245"/>
      <c r="AB5024" s="245"/>
      <c r="AC5024" s="235" t="s">
        <v>2647</v>
      </c>
      <c r="AD5024" s="235" t="s">
        <v>845</v>
      </c>
      <c r="AE5024" s="238">
        <v>400612.0</v>
      </c>
      <c r="AF5024" s="235" t="s">
        <v>631</v>
      </c>
      <c r="AG5024" s="245"/>
      <c r="AH5024" s="245"/>
      <c r="AI5024" s="245"/>
      <c r="AJ5024" s="245"/>
      <c r="AK5024" s="245"/>
      <c r="AL5024" s="245"/>
      <c r="AM5024" s="245"/>
      <c r="AN5024" s="245"/>
      <c r="AO5024" s="238">
        <v>0.0</v>
      </c>
      <c r="AP5024" s="238">
        <v>0.0</v>
      </c>
      <c r="AQ5024" s="235" t="s">
        <v>1356</v>
      </c>
      <c r="AR5024" s="235" t="s">
        <v>37067</v>
      </c>
      <c r="AS5024" s="235" t="s">
        <v>31232</v>
      </c>
      <c r="AT5024" s="235" t="s">
        <v>17</v>
      </c>
      <c r="AU5024" s="235" t="s">
        <v>634</v>
      </c>
      <c r="AV5024" s="246" t="s">
        <v>635</v>
      </c>
      <c r="AW5024" s="227"/>
      <c r="AX5024" s="227"/>
      <c r="AY5024" s="227"/>
      <c r="AZ5024" s="227"/>
      <c r="BA5024" s="227"/>
      <c r="BB5024" s="227"/>
      <c r="BC5024" s="227"/>
      <c r="BD5024" s="227"/>
      <c r="BE5024" s="227"/>
      <c r="BF5024" s="227"/>
    </row>
    <row r="5025">
      <c r="A5025" s="235" t="s">
        <v>37068</v>
      </c>
      <c r="C5025" s="235" t="s">
        <v>37069</v>
      </c>
      <c r="D5025" s="235" t="s">
        <v>37070</v>
      </c>
      <c r="E5025" s="243">
        <v>6.49E13</v>
      </c>
      <c r="F5025" s="245"/>
      <c r="G5025" s="235" t="s">
        <v>37071</v>
      </c>
      <c r="H5025" s="235" t="s">
        <v>37072</v>
      </c>
      <c r="I5025" s="235" t="s">
        <v>37072</v>
      </c>
      <c r="J5025" s="235" t="s">
        <v>37073</v>
      </c>
      <c r="K5025" s="235" t="s">
        <v>37074</v>
      </c>
      <c r="N5025" s="235" t="s">
        <v>85</v>
      </c>
      <c r="O5025" s="235" t="s">
        <v>872</v>
      </c>
      <c r="P5025" s="238">
        <v>1.0</v>
      </c>
      <c r="Q5025" s="235" t="s">
        <v>627</v>
      </c>
      <c r="R5025" s="238">
        <v>243.81</v>
      </c>
      <c r="S5025" s="238">
        <v>11.95</v>
      </c>
      <c r="T5025" s="238">
        <v>0.0</v>
      </c>
      <c r="U5025" s="238">
        <v>0.0</v>
      </c>
      <c r="V5025" s="238">
        <v>0.0</v>
      </c>
      <c r="W5025" s="238">
        <v>0.0</v>
      </c>
      <c r="X5025" s="235" t="s">
        <v>628</v>
      </c>
      <c r="Z5025" s="245"/>
      <c r="AA5025" s="245"/>
      <c r="AB5025" s="245"/>
      <c r="AC5025" s="235" t="s">
        <v>3351</v>
      </c>
      <c r="AD5025" s="235" t="s">
        <v>1499</v>
      </c>
      <c r="AE5025" s="238">
        <v>462030.0</v>
      </c>
      <c r="AF5025" s="235" t="s">
        <v>631</v>
      </c>
      <c r="AG5025" s="245"/>
      <c r="AH5025" s="245"/>
      <c r="AI5025" s="245"/>
      <c r="AJ5025" s="245"/>
      <c r="AK5025" s="245"/>
      <c r="AL5025" s="245"/>
      <c r="AM5025" s="245"/>
      <c r="AN5025" s="245"/>
      <c r="AO5025" s="238">
        <v>-4.88</v>
      </c>
      <c r="AP5025" s="238">
        <v>0.0</v>
      </c>
      <c r="AQ5025" s="235" t="s">
        <v>632</v>
      </c>
      <c r="AR5025" s="243">
        <v>2.02E11</v>
      </c>
      <c r="AS5025" s="235" t="s">
        <v>35520</v>
      </c>
      <c r="AT5025" s="235" t="s">
        <v>533</v>
      </c>
      <c r="AU5025" s="235" t="s">
        <v>634</v>
      </c>
      <c r="AV5025" s="246" t="s">
        <v>635</v>
      </c>
      <c r="AW5025" s="227"/>
      <c r="AX5025" s="227"/>
      <c r="AY5025" s="227"/>
      <c r="AZ5025" s="227"/>
      <c r="BA5025" s="227"/>
      <c r="BB5025" s="227"/>
      <c r="BC5025" s="227"/>
      <c r="BD5025" s="227"/>
      <c r="BE5025" s="227"/>
      <c r="BF5025" s="227"/>
    </row>
    <row r="5026">
      <c r="A5026" s="235" t="s">
        <v>37075</v>
      </c>
      <c r="C5026" s="235" t="s">
        <v>37076</v>
      </c>
      <c r="D5026" s="235" t="s">
        <v>37077</v>
      </c>
      <c r="E5026" s="243">
        <v>6.49E13</v>
      </c>
      <c r="F5026" s="245"/>
      <c r="G5026" s="235" t="s">
        <v>37078</v>
      </c>
      <c r="H5026" s="235" t="s">
        <v>37079</v>
      </c>
      <c r="I5026" s="235" t="s">
        <v>37079</v>
      </c>
      <c r="J5026" s="235" t="s">
        <v>37080</v>
      </c>
      <c r="K5026" s="235" t="s">
        <v>37081</v>
      </c>
      <c r="N5026" s="235" t="s">
        <v>154</v>
      </c>
      <c r="O5026" s="235" t="s">
        <v>766</v>
      </c>
      <c r="P5026" s="238">
        <v>1.0</v>
      </c>
      <c r="Q5026" s="235" t="s">
        <v>627</v>
      </c>
      <c r="R5026" s="238">
        <v>465.72</v>
      </c>
      <c r="S5026" s="238">
        <v>23.28</v>
      </c>
      <c r="T5026" s="238">
        <v>38.1</v>
      </c>
      <c r="U5026" s="238">
        <v>1.9</v>
      </c>
      <c r="V5026" s="238">
        <v>0.0</v>
      </c>
      <c r="W5026" s="238">
        <v>0.0</v>
      </c>
      <c r="X5026" s="235" t="s">
        <v>628</v>
      </c>
      <c r="Z5026" s="245"/>
      <c r="AA5026" s="245"/>
      <c r="AB5026" s="245"/>
      <c r="AC5026" s="235" t="s">
        <v>37082</v>
      </c>
      <c r="AD5026" s="235" t="s">
        <v>845</v>
      </c>
      <c r="AE5026" s="238">
        <v>441108.0</v>
      </c>
      <c r="AF5026" s="235" t="s">
        <v>631</v>
      </c>
      <c r="AG5026" s="245"/>
      <c r="AH5026" s="245"/>
      <c r="AI5026" s="245"/>
      <c r="AJ5026" s="245"/>
      <c r="AK5026" s="245"/>
      <c r="AL5026" s="245"/>
      <c r="AM5026" s="245"/>
      <c r="AN5026" s="245"/>
      <c r="AO5026" s="238">
        <v>0.0</v>
      </c>
      <c r="AP5026" s="238">
        <v>-38.1</v>
      </c>
      <c r="AQ5026" s="235" t="s">
        <v>632</v>
      </c>
      <c r="AR5026" s="243">
        <v>3.7E11</v>
      </c>
      <c r="AS5026" s="235" t="s">
        <v>34510</v>
      </c>
      <c r="AT5026" s="235" t="s">
        <v>17</v>
      </c>
      <c r="AU5026" s="235" t="s">
        <v>634</v>
      </c>
      <c r="AV5026" s="246" t="s">
        <v>635</v>
      </c>
      <c r="AW5026" s="227"/>
      <c r="AX5026" s="227"/>
      <c r="AY5026" s="227"/>
      <c r="AZ5026" s="227"/>
      <c r="BA5026" s="227"/>
      <c r="BB5026" s="227"/>
      <c r="BC5026" s="227"/>
      <c r="BD5026" s="227"/>
      <c r="BE5026" s="227"/>
      <c r="BF5026" s="227"/>
    </row>
    <row r="5027">
      <c r="A5027" s="235" t="s">
        <v>37083</v>
      </c>
      <c r="C5027" s="235" t="s">
        <v>37084</v>
      </c>
      <c r="D5027" s="235" t="s">
        <v>37085</v>
      </c>
      <c r="E5027" s="243">
        <v>6.49E13</v>
      </c>
      <c r="F5027" s="245"/>
      <c r="G5027" s="235" t="s">
        <v>37086</v>
      </c>
      <c r="H5027" s="235" t="s">
        <v>37087</v>
      </c>
      <c r="I5027" s="235" t="s">
        <v>37087</v>
      </c>
      <c r="J5027" s="235" t="s">
        <v>37088</v>
      </c>
      <c r="K5027" s="235" t="s">
        <v>37089</v>
      </c>
      <c r="N5027" s="235" t="s">
        <v>47</v>
      </c>
      <c r="O5027" s="235" t="s">
        <v>270</v>
      </c>
      <c r="P5027" s="238">
        <v>1.0</v>
      </c>
      <c r="Q5027" s="235" t="s">
        <v>627</v>
      </c>
      <c r="R5027" s="238">
        <v>236.19</v>
      </c>
      <c r="S5027" s="238">
        <v>11.81</v>
      </c>
      <c r="T5027" s="238">
        <v>38.1</v>
      </c>
      <c r="U5027" s="238">
        <v>1.9</v>
      </c>
      <c r="V5027" s="238">
        <v>0.0</v>
      </c>
      <c r="W5027" s="238">
        <v>0.0</v>
      </c>
      <c r="X5027" s="235" t="s">
        <v>628</v>
      </c>
      <c r="Z5027" s="245"/>
      <c r="AA5027" s="245"/>
      <c r="AB5027" s="245"/>
      <c r="AC5027" s="235" t="s">
        <v>2493</v>
      </c>
      <c r="AD5027" s="235" t="s">
        <v>833</v>
      </c>
      <c r="AE5027" s="238">
        <v>520007.0</v>
      </c>
      <c r="AF5027" s="235" t="s">
        <v>631</v>
      </c>
      <c r="AG5027" s="245"/>
      <c r="AH5027" s="245"/>
      <c r="AI5027" s="245"/>
      <c r="AJ5027" s="245"/>
      <c r="AK5027" s="245"/>
      <c r="AL5027" s="245"/>
      <c r="AM5027" s="245"/>
      <c r="AN5027" s="245"/>
      <c r="AO5027" s="238">
        <v>0.0</v>
      </c>
      <c r="AP5027" s="238">
        <v>-38.1</v>
      </c>
      <c r="AQ5027" s="235" t="s">
        <v>632</v>
      </c>
      <c r="AR5027" s="243">
        <v>3.7E11</v>
      </c>
      <c r="AS5027" s="235" t="s">
        <v>34510</v>
      </c>
      <c r="AT5027" s="235" t="s">
        <v>156</v>
      </c>
      <c r="AU5027" s="235" t="s">
        <v>634</v>
      </c>
      <c r="AV5027" s="246" t="s">
        <v>635</v>
      </c>
      <c r="AW5027" s="227"/>
      <c r="AX5027" s="227"/>
      <c r="AY5027" s="227"/>
      <c r="AZ5027" s="227"/>
      <c r="BA5027" s="227"/>
      <c r="BB5027" s="227"/>
      <c r="BC5027" s="227"/>
      <c r="BD5027" s="227"/>
      <c r="BE5027" s="227"/>
      <c r="BF5027" s="227"/>
    </row>
    <row r="5028">
      <c r="A5028" s="235" t="s">
        <v>37090</v>
      </c>
      <c r="C5028" s="235" t="s">
        <v>37091</v>
      </c>
      <c r="D5028" s="235" t="s">
        <v>37092</v>
      </c>
      <c r="E5028" s="243">
        <v>6.49E13</v>
      </c>
      <c r="F5028" s="245"/>
      <c r="G5028" s="235" t="s">
        <v>37093</v>
      </c>
      <c r="H5028" s="235" t="s">
        <v>37094</v>
      </c>
      <c r="I5028" s="235" t="s">
        <v>37095</v>
      </c>
      <c r="J5028" s="235" t="s">
        <v>37096</v>
      </c>
      <c r="K5028" s="235" t="s">
        <v>37097</v>
      </c>
      <c r="N5028" s="235" t="s">
        <v>15</v>
      </c>
      <c r="O5028" s="235" t="s">
        <v>856</v>
      </c>
      <c r="P5028" s="238">
        <v>1.0</v>
      </c>
      <c r="Q5028" s="235" t="s">
        <v>627</v>
      </c>
      <c r="R5028" s="238">
        <v>360.96</v>
      </c>
      <c r="S5028" s="238">
        <v>18.04</v>
      </c>
      <c r="T5028" s="238">
        <v>38.1</v>
      </c>
      <c r="U5028" s="238">
        <v>1.9</v>
      </c>
      <c r="V5028" s="238">
        <v>0.0</v>
      </c>
      <c r="W5028" s="238">
        <v>0.0</v>
      </c>
      <c r="X5028" s="235" t="s">
        <v>628</v>
      </c>
      <c r="Z5028" s="245"/>
      <c r="AA5028" s="245"/>
      <c r="AB5028" s="245"/>
      <c r="AC5028" s="235" t="s">
        <v>678</v>
      </c>
      <c r="AD5028" s="235" t="s">
        <v>679</v>
      </c>
      <c r="AE5028" s="238">
        <v>560087.0</v>
      </c>
      <c r="AF5028" s="235" t="s">
        <v>631</v>
      </c>
      <c r="AG5028" s="245"/>
      <c r="AH5028" s="245"/>
      <c r="AI5028" s="245"/>
      <c r="AJ5028" s="245"/>
      <c r="AK5028" s="245"/>
      <c r="AL5028" s="245"/>
      <c r="AM5028" s="245"/>
      <c r="AN5028" s="245"/>
      <c r="AO5028" s="238">
        <v>0.0</v>
      </c>
      <c r="AP5028" s="238">
        <v>-38.1</v>
      </c>
      <c r="AQ5028" s="235" t="s">
        <v>632</v>
      </c>
      <c r="AR5028" s="243">
        <v>3.7E11</v>
      </c>
      <c r="AS5028" s="235" t="s">
        <v>35520</v>
      </c>
      <c r="AT5028" s="235" t="s">
        <v>9</v>
      </c>
      <c r="AU5028" s="235" t="s">
        <v>634</v>
      </c>
      <c r="AV5028" s="246" t="s">
        <v>635</v>
      </c>
      <c r="AW5028" s="227"/>
      <c r="AX5028" s="227"/>
      <c r="AY5028" s="227"/>
      <c r="AZ5028" s="227"/>
      <c r="BA5028" s="227"/>
      <c r="BB5028" s="227"/>
      <c r="BC5028" s="227"/>
      <c r="BD5028" s="227"/>
      <c r="BE5028" s="227"/>
      <c r="BF5028" s="227"/>
    </row>
    <row r="5029">
      <c r="A5029" s="235" t="s">
        <v>37098</v>
      </c>
      <c r="C5029" s="235" t="s">
        <v>37099</v>
      </c>
      <c r="D5029" s="235" t="s">
        <v>37100</v>
      </c>
      <c r="E5029" s="243">
        <v>6.49E13</v>
      </c>
      <c r="F5029" s="245"/>
      <c r="G5029" s="235" t="s">
        <v>37101</v>
      </c>
      <c r="H5029" s="235" t="s">
        <v>37102</v>
      </c>
      <c r="I5029" s="235" t="s">
        <v>37102</v>
      </c>
      <c r="J5029" s="235" t="s">
        <v>37103</v>
      </c>
      <c r="K5029" s="235" t="s">
        <v>37104</v>
      </c>
      <c r="N5029" s="235" t="s">
        <v>126</v>
      </c>
      <c r="O5029" s="235" t="s">
        <v>407</v>
      </c>
      <c r="P5029" s="238">
        <v>1.0</v>
      </c>
      <c r="Q5029" s="235" t="s">
        <v>627</v>
      </c>
      <c r="R5029" s="238">
        <v>237.14</v>
      </c>
      <c r="S5029" s="238">
        <v>11.62</v>
      </c>
      <c r="T5029" s="238">
        <v>38.1</v>
      </c>
      <c r="U5029" s="238">
        <v>1.9</v>
      </c>
      <c r="V5029" s="238">
        <v>0.0</v>
      </c>
      <c r="W5029" s="238">
        <v>0.0</v>
      </c>
      <c r="X5029" s="235" t="s">
        <v>628</v>
      </c>
      <c r="Z5029" s="245"/>
      <c r="AA5029" s="245"/>
      <c r="AB5029" s="245"/>
      <c r="AC5029" s="235" t="s">
        <v>697</v>
      </c>
      <c r="AD5029" s="235" t="s">
        <v>698</v>
      </c>
      <c r="AE5029" s="238">
        <v>500065.0</v>
      </c>
      <c r="AF5029" s="235" t="s">
        <v>631</v>
      </c>
      <c r="AG5029" s="245"/>
      <c r="AH5029" s="245"/>
      <c r="AI5029" s="245"/>
      <c r="AJ5029" s="245"/>
      <c r="AK5029" s="245"/>
      <c r="AL5029" s="245"/>
      <c r="AM5029" s="245"/>
      <c r="AN5029" s="245"/>
      <c r="AO5029" s="238">
        <v>-4.74</v>
      </c>
      <c r="AP5029" s="238">
        <v>-38.1</v>
      </c>
      <c r="AQ5029" s="235" t="s">
        <v>632</v>
      </c>
      <c r="AR5029" s="243">
        <v>3.7E11</v>
      </c>
      <c r="AS5029" s="235" t="s">
        <v>34510</v>
      </c>
      <c r="AT5029" s="235" t="s">
        <v>17</v>
      </c>
      <c r="AU5029" s="235" t="s">
        <v>634</v>
      </c>
      <c r="AV5029" s="246" t="s">
        <v>635</v>
      </c>
      <c r="AW5029" s="227"/>
      <c r="AX5029" s="227"/>
      <c r="AY5029" s="227"/>
      <c r="AZ5029" s="227"/>
      <c r="BA5029" s="227"/>
      <c r="BB5029" s="227"/>
      <c r="BC5029" s="227"/>
      <c r="BD5029" s="227"/>
      <c r="BE5029" s="227"/>
      <c r="BF5029" s="227"/>
    </row>
    <row r="5030">
      <c r="A5030" s="235" t="s">
        <v>37105</v>
      </c>
      <c r="C5030" s="235" t="s">
        <v>37106</v>
      </c>
      <c r="D5030" s="235" t="s">
        <v>37107</v>
      </c>
      <c r="E5030" s="243">
        <v>6.48E13</v>
      </c>
      <c r="F5030" s="245"/>
      <c r="G5030" s="235" t="s">
        <v>37108</v>
      </c>
      <c r="H5030" s="235" t="s">
        <v>37109</v>
      </c>
      <c r="I5030" s="235" t="s">
        <v>37109</v>
      </c>
      <c r="J5030" s="235" t="s">
        <v>37110</v>
      </c>
      <c r="K5030" s="235" t="s">
        <v>37111</v>
      </c>
      <c r="N5030" s="235" t="s">
        <v>842</v>
      </c>
      <c r="O5030" s="235" t="s">
        <v>843</v>
      </c>
      <c r="P5030" s="238">
        <v>1.0</v>
      </c>
      <c r="Q5030" s="235" t="s">
        <v>627</v>
      </c>
      <c r="R5030" s="238">
        <v>246.67</v>
      </c>
      <c r="S5030" s="238">
        <v>12.08</v>
      </c>
      <c r="T5030" s="238">
        <v>0.0</v>
      </c>
      <c r="U5030" s="238">
        <v>0.0</v>
      </c>
      <c r="V5030" s="238">
        <v>0.0</v>
      </c>
      <c r="W5030" s="238">
        <v>0.0</v>
      </c>
      <c r="X5030" s="235" t="s">
        <v>628</v>
      </c>
      <c r="Z5030" s="245"/>
      <c r="AA5030" s="245"/>
      <c r="AB5030" s="245"/>
      <c r="AC5030" s="235" t="s">
        <v>37112</v>
      </c>
      <c r="AD5030" s="235" t="s">
        <v>1086</v>
      </c>
      <c r="AE5030" s="238">
        <v>152002.0</v>
      </c>
      <c r="AF5030" s="235" t="s">
        <v>631</v>
      </c>
      <c r="AG5030" s="245"/>
      <c r="AH5030" s="245"/>
      <c r="AI5030" s="245"/>
      <c r="AJ5030" s="245"/>
      <c r="AK5030" s="245"/>
      <c r="AL5030" s="245"/>
      <c r="AM5030" s="245"/>
      <c r="AN5030" s="245"/>
      <c r="AO5030" s="238">
        <v>-4.93</v>
      </c>
      <c r="AP5030" s="238">
        <v>0.0</v>
      </c>
      <c r="AQ5030" s="235" t="s">
        <v>632</v>
      </c>
      <c r="AR5030" s="243">
        <v>3.7E11</v>
      </c>
      <c r="AS5030" s="235" t="s">
        <v>34510</v>
      </c>
      <c r="AT5030" s="235" t="s">
        <v>14</v>
      </c>
      <c r="AU5030" s="235" t="s">
        <v>634</v>
      </c>
      <c r="AV5030" s="246" t="s">
        <v>635</v>
      </c>
      <c r="AW5030" s="227"/>
      <c r="AX5030" s="227"/>
      <c r="AY5030" s="227"/>
      <c r="AZ5030" s="227"/>
      <c r="BA5030" s="227"/>
      <c r="BB5030" s="227"/>
      <c r="BC5030" s="227"/>
      <c r="BD5030" s="227"/>
      <c r="BE5030" s="227"/>
      <c r="BF5030" s="227"/>
    </row>
    <row r="5031">
      <c r="A5031" s="235" t="s">
        <v>37113</v>
      </c>
      <c r="C5031" s="235" t="s">
        <v>37114</v>
      </c>
      <c r="D5031" s="235" t="s">
        <v>37115</v>
      </c>
      <c r="E5031" s="243">
        <v>6.49E13</v>
      </c>
      <c r="F5031" s="245"/>
      <c r="G5031" s="235" t="s">
        <v>37116</v>
      </c>
      <c r="H5031" s="235" t="s">
        <v>37117</v>
      </c>
      <c r="I5031" s="235" t="s">
        <v>37117</v>
      </c>
      <c r="J5031" s="235" t="s">
        <v>37118</v>
      </c>
      <c r="K5031" s="235" t="s">
        <v>37119</v>
      </c>
      <c r="N5031" s="235" t="s">
        <v>53</v>
      </c>
      <c r="O5031" s="235" t="s">
        <v>512</v>
      </c>
      <c r="P5031" s="238">
        <v>1.0</v>
      </c>
      <c r="Q5031" s="235" t="s">
        <v>627</v>
      </c>
      <c r="R5031" s="238">
        <v>237.14</v>
      </c>
      <c r="S5031" s="238">
        <v>11.86</v>
      </c>
      <c r="T5031" s="238">
        <v>38.1</v>
      </c>
      <c r="U5031" s="238">
        <v>1.9</v>
      </c>
      <c r="V5031" s="238">
        <v>0.0</v>
      </c>
      <c r="W5031" s="238">
        <v>0.0</v>
      </c>
      <c r="X5031" s="235" t="s">
        <v>628</v>
      </c>
      <c r="Z5031" s="245"/>
      <c r="AA5031" s="245"/>
      <c r="AB5031" s="245"/>
      <c r="AC5031" s="235" t="s">
        <v>1920</v>
      </c>
      <c r="AD5031" s="235" t="s">
        <v>833</v>
      </c>
      <c r="AE5031" s="238">
        <v>522004.0</v>
      </c>
      <c r="AF5031" s="235" t="s">
        <v>631</v>
      </c>
      <c r="AG5031" s="245"/>
      <c r="AH5031" s="245"/>
      <c r="AI5031" s="245"/>
      <c r="AJ5031" s="245"/>
      <c r="AK5031" s="245"/>
      <c r="AL5031" s="245"/>
      <c r="AM5031" s="245"/>
      <c r="AN5031" s="245"/>
      <c r="AO5031" s="238">
        <v>0.0</v>
      </c>
      <c r="AP5031" s="238">
        <v>-38.1</v>
      </c>
      <c r="AQ5031" s="235" t="s">
        <v>632</v>
      </c>
      <c r="AR5031" s="243">
        <v>3.7E11</v>
      </c>
      <c r="AS5031" s="235" t="s">
        <v>34510</v>
      </c>
      <c r="AT5031" s="235" t="s">
        <v>156</v>
      </c>
      <c r="AU5031" s="235" t="s">
        <v>634</v>
      </c>
      <c r="AV5031" s="246" t="s">
        <v>635</v>
      </c>
      <c r="AW5031" s="227"/>
      <c r="AX5031" s="227"/>
      <c r="AY5031" s="227"/>
      <c r="AZ5031" s="227"/>
      <c r="BA5031" s="227"/>
      <c r="BB5031" s="227"/>
      <c r="BC5031" s="227"/>
      <c r="BD5031" s="227"/>
      <c r="BE5031" s="227"/>
      <c r="BF5031" s="227"/>
    </row>
    <row r="5032">
      <c r="A5032" s="235" t="s">
        <v>37120</v>
      </c>
      <c r="C5032" s="235" t="s">
        <v>37121</v>
      </c>
      <c r="D5032" s="235" t="s">
        <v>37122</v>
      </c>
      <c r="E5032" s="243">
        <v>6.49E13</v>
      </c>
      <c r="F5032" s="245"/>
      <c r="G5032" s="235" t="s">
        <v>37123</v>
      </c>
      <c r="H5032" s="235" t="s">
        <v>37124</v>
      </c>
      <c r="I5032" s="235" t="s">
        <v>37124</v>
      </c>
      <c r="J5032" s="235" t="s">
        <v>37125</v>
      </c>
      <c r="K5032" s="235" t="s">
        <v>37126</v>
      </c>
      <c r="N5032" s="235" t="s">
        <v>2163</v>
      </c>
      <c r="O5032" s="235" t="s">
        <v>2164</v>
      </c>
      <c r="P5032" s="238">
        <v>1.0</v>
      </c>
      <c r="Q5032" s="235" t="s">
        <v>627</v>
      </c>
      <c r="R5032" s="238">
        <v>245.71</v>
      </c>
      <c r="S5032" s="238">
        <v>12.04</v>
      </c>
      <c r="T5032" s="238">
        <v>38.1</v>
      </c>
      <c r="U5032" s="238">
        <v>1.9</v>
      </c>
      <c r="V5032" s="238">
        <v>0.0</v>
      </c>
      <c r="W5032" s="238">
        <v>0.0</v>
      </c>
      <c r="X5032" s="235" t="s">
        <v>628</v>
      </c>
      <c r="Z5032" s="245"/>
      <c r="AA5032" s="245"/>
      <c r="AB5032" s="245"/>
      <c r="AC5032" s="235" t="s">
        <v>31279</v>
      </c>
      <c r="AD5032" s="235" t="s">
        <v>709</v>
      </c>
      <c r="AE5032" s="238">
        <v>813203.0</v>
      </c>
      <c r="AF5032" s="235" t="s">
        <v>631</v>
      </c>
      <c r="AG5032" s="245"/>
      <c r="AH5032" s="245"/>
      <c r="AI5032" s="245"/>
      <c r="AJ5032" s="245"/>
      <c r="AK5032" s="245"/>
      <c r="AL5032" s="245"/>
      <c r="AM5032" s="245"/>
      <c r="AN5032" s="245"/>
      <c r="AO5032" s="238">
        <v>-4.91</v>
      </c>
      <c r="AP5032" s="238">
        <v>-38.1</v>
      </c>
      <c r="AQ5032" s="235" t="s">
        <v>632</v>
      </c>
      <c r="AR5032" s="243">
        <v>3.7E11</v>
      </c>
      <c r="AS5032" s="235" t="s">
        <v>32455</v>
      </c>
      <c r="AT5032" s="235" t="s">
        <v>13</v>
      </c>
      <c r="AU5032" s="235" t="s">
        <v>634</v>
      </c>
      <c r="AV5032" s="246" t="s">
        <v>635</v>
      </c>
      <c r="AW5032" s="227"/>
      <c r="AX5032" s="227"/>
      <c r="AY5032" s="227"/>
      <c r="AZ5032" s="227"/>
      <c r="BA5032" s="227"/>
      <c r="BB5032" s="227"/>
      <c r="BC5032" s="227"/>
      <c r="BD5032" s="227"/>
      <c r="BE5032" s="227"/>
      <c r="BF5032" s="227"/>
    </row>
    <row r="5033">
      <c r="A5033" s="235" t="s">
        <v>37127</v>
      </c>
      <c r="C5033" s="235" t="s">
        <v>37128</v>
      </c>
      <c r="D5033" s="235" t="s">
        <v>37129</v>
      </c>
      <c r="E5033" s="243">
        <v>6.49E13</v>
      </c>
      <c r="F5033" s="245"/>
      <c r="G5033" s="235" t="s">
        <v>37130</v>
      </c>
      <c r="H5033" s="235" t="s">
        <v>37131</v>
      </c>
      <c r="I5033" s="235" t="s">
        <v>37131</v>
      </c>
      <c r="J5033" s="235" t="s">
        <v>37132</v>
      </c>
      <c r="K5033" s="235" t="s">
        <v>37133</v>
      </c>
      <c r="N5033" s="235" t="s">
        <v>141</v>
      </c>
      <c r="O5033" s="235" t="s">
        <v>342</v>
      </c>
      <c r="P5033" s="238">
        <v>1.0</v>
      </c>
      <c r="Q5033" s="235" t="s">
        <v>627</v>
      </c>
      <c r="R5033" s="238">
        <v>244.76</v>
      </c>
      <c r="S5033" s="238">
        <v>12.24</v>
      </c>
      <c r="T5033" s="238">
        <v>38.1</v>
      </c>
      <c r="U5033" s="238">
        <v>1.9</v>
      </c>
      <c r="V5033" s="238">
        <v>0.0</v>
      </c>
      <c r="W5033" s="238">
        <v>0.0</v>
      </c>
      <c r="X5033" s="235" t="s">
        <v>628</v>
      </c>
      <c r="Z5033" s="245"/>
      <c r="AA5033" s="245"/>
      <c r="AB5033" s="245"/>
      <c r="AC5033" s="235" t="s">
        <v>9302</v>
      </c>
      <c r="AD5033" s="235" t="s">
        <v>1086</v>
      </c>
      <c r="AE5033" s="238">
        <v>144522.0</v>
      </c>
      <c r="AF5033" s="235" t="s">
        <v>631</v>
      </c>
      <c r="AG5033" s="245"/>
      <c r="AH5033" s="245"/>
      <c r="AI5033" s="245"/>
      <c r="AJ5033" s="245"/>
      <c r="AK5033" s="245"/>
      <c r="AL5033" s="245"/>
      <c r="AM5033" s="245"/>
      <c r="AN5033" s="245"/>
      <c r="AO5033" s="238">
        <v>0.0</v>
      </c>
      <c r="AP5033" s="238">
        <v>-38.1</v>
      </c>
      <c r="AQ5033" s="235" t="s">
        <v>632</v>
      </c>
      <c r="AR5033" s="243">
        <v>3.7E11</v>
      </c>
      <c r="AS5033" s="235" t="s">
        <v>34510</v>
      </c>
      <c r="AT5033" s="235" t="s">
        <v>14</v>
      </c>
      <c r="AU5033" s="235" t="s">
        <v>634</v>
      </c>
      <c r="AV5033" s="246" t="s">
        <v>635</v>
      </c>
      <c r="AW5033" s="227"/>
      <c r="AX5033" s="227"/>
      <c r="AY5033" s="227"/>
      <c r="AZ5033" s="227"/>
      <c r="BA5033" s="227"/>
      <c r="BB5033" s="227"/>
      <c r="BC5033" s="227"/>
      <c r="BD5033" s="227"/>
      <c r="BE5033" s="227"/>
      <c r="BF5033" s="227"/>
    </row>
    <row r="5034">
      <c r="A5034" s="235" t="s">
        <v>37134</v>
      </c>
      <c r="C5034" s="235" t="s">
        <v>37135</v>
      </c>
      <c r="D5034" s="235" t="s">
        <v>37136</v>
      </c>
      <c r="E5034" s="243">
        <v>6.49E13</v>
      </c>
      <c r="F5034" s="245"/>
      <c r="G5034" s="235" t="s">
        <v>37137</v>
      </c>
      <c r="H5034" s="235" t="s">
        <v>37138</v>
      </c>
      <c r="I5034" s="235" t="s">
        <v>37139</v>
      </c>
      <c r="J5034" s="235" t="s">
        <v>37140</v>
      </c>
      <c r="K5034" s="235" t="s">
        <v>37141</v>
      </c>
      <c r="N5034" s="235" t="s">
        <v>962</v>
      </c>
      <c r="O5034" s="235" t="s">
        <v>963</v>
      </c>
      <c r="P5034" s="238">
        <v>1.0</v>
      </c>
      <c r="Q5034" s="235" t="s">
        <v>627</v>
      </c>
      <c r="R5034" s="238">
        <v>245.71</v>
      </c>
      <c r="S5034" s="238">
        <v>12.29</v>
      </c>
      <c r="T5034" s="238">
        <v>0.0</v>
      </c>
      <c r="U5034" s="238">
        <v>0.0</v>
      </c>
      <c r="V5034" s="238">
        <v>0.0</v>
      </c>
      <c r="W5034" s="238">
        <v>0.0</v>
      </c>
      <c r="X5034" s="235" t="s">
        <v>628</v>
      </c>
      <c r="Z5034" s="245"/>
      <c r="AA5034" s="245"/>
      <c r="AB5034" s="245"/>
      <c r="AC5034" s="235" t="s">
        <v>3374</v>
      </c>
      <c r="AD5034" s="235" t="s">
        <v>645</v>
      </c>
      <c r="AE5034" s="238">
        <v>695009.0</v>
      </c>
      <c r="AF5034" s="235" t="s">
        <v>631</v>
      </c>
      <c r="AG5034" s="245"/>
      <c r="AH5034" s="245"/>
      <c r="AI5034" s="245"/>
      <c r="AJ5034" s="245"/>
      <c r="AK5034" s="245"/>
      <c r="AL5034" s="245"/>
      <c r="AM5034" s="245"/>
      <c r="AN5034" s="245"/>
      <c r="AO5034" s="238">
        <v>0.0</v>
      </c>
      <c r="AP5034" s="238">
        <v>0.0</v>
      </c>
      <c r="AQ5034" s="235" t="s">
        <v>632</v>
      </c>
      <c r="AR5034" s="243">
        <v>1.68E11</v>
      </c>
      <c r="AS5034" s="235" t="s">
        <v>35520</v>
      </c>
      <c r="AT5034" s="235" t="s">
        <v>9</v>
      </c>
      <c r="AU5034" s="235" t="s">
        <v>634</v>
      </c>
      <c r="AV5034" s="246" t="s">
        <v>635</v>
      </c>
      <c r="AW5034" s="227"/>
      <c r="AX5034" s="227"/>
      <c r="AY5034" s="227"/>
      <c r="AZ5034" s="227"/>
      <c r="BA5034" s="227"/>
      <c r="BB5034" s="227"/>
      <c r="BC5034" s="227"/>
      <c r="BD5034" s="227"/>
      <c r="BE5034" s="227"/>
      <c r="BF5034" s="227"/>
    </row>
    <row r="5035">
      <c r="A5035" s="235" t="s">
        <v>37142</v>
      </c>
      <c r="C5035" s="235" t="s">
        <v>37143</v>
      </c>
      <c r="D5035" s="235" t="s">
        <v>37144</v>
      </c>
      <c r="E5035" s="243">
        <v>6.49E13</v>
      </c>
      <c r="F5035" s="245"/>
      <c r="G5035" s="235" t="s">
        <v>37145</v>
      </c>
      <c r="H5035" s="235" t="s">
        <v>37146</v>
      </c>
      <c r="I5035" s="235" t="s">
        <v>37147</v>
      </c>
      <c r="J5035" s="235" t="s">
        <v>37148</v>
      </c>
      <c r="K5035" s="235" t="s">
        <v>37149</v>
      </c>
      <c r="N5035" s="235" t="s">
        <v>117</v>
      </c>
      <c r="O5035" s="235" t="s">
        <v>334</v>
      </c>
      <c r="P5035" s="238">
        <v>1.0</v>
      </c>
      <c r="Q5035" s="235" t="s">
        <v>627</v>
      </c>
      <c r="R5035" s="238">
        <v>237.14</v>
      </c>
      <c r="S5035" s="238">
        <v>11.86</v>
      </c>
      <c r="T5035" s="238">
        <v>0.0</v>
      </c>
      <c r="U5035" s="238">
        <v>0.0</v>
      </c>
      <c r="V5035" s="238">
        <v>0.0</v>
      </c>
      <c r="W5035" s="238">
        <v>0.0</v>
      </c>
      <c r="X5035" s="235" t="s">
        <v>628</v>
      </c>
      <c r="Z5035" s="245"/>
      <c r="AA5035" s="245"/>
      <c r="AB5035" s="245"/>
      <c r="AC5035" s="235" t="s">
        <v>17641</v>
      </c>
      <c r="AD5035" s="235" t="s">
        <v>845</v>
      </c>
      <c r="AE5035" s="238">
        <v>413512.0</v>
      </c>
      <c r="AF5035" s="235" t="s">
        <v>631</v>
      </c>
      <c r="AG5035" s="245"/>
      <c r="AH5035" s="245"/>
      <c r="AI5035" s="245"/>
      <c r="AJ5035" s="245"/>
      <c r="AK5035" s="245"/>
      <c r="AL5035" s="245"/>
      <c r="AM5035" s="245"/>
      <c r="AN5035" s="245"/>
      <c r="AO5035" s="238">
        <v>0.0</v>
      </c>
      <c r="AP5035" s="238">
        <v>0.0</v>
      </c>
      <c r="AQ5035" s="235" t="s">
        <v>632</v>
      </c>
      <c r="AR5035" s="243">
        <v>1.68E11</v>
      </c>
      <c r="AS5035" s="235" t="s">
        <v>35520</v>
      </c>
      <c r="AT5035" s="235" t="s">
        <v>17</v>
      </c>
      <c r="AU5035" s="235" t="s">
        <v>634</v>
      </c>
      <c r="AV5035" s="246" t="s">
        <v>635</v>
      </c>
      <c r="AW5035" s="227"/>
      <c r="AX5035" s="227"/>
      <c r="AY5035" s="227"/>
      <c r="AZ5035" s="227"/>
      <c r="BA5035" s="227"/>
      <c r="BB5035" s="227"/>
      <c r="BC5035" s="227"/>
      <c r="BD5035" s="227"/>
      <c r="BE5035" s="227"/>
      <c r="BF5035" s="227"/>
    </row>
    <row r="5036">
      <c r="A5036" s="235" t="s">
        <v>37150</v>
      </c>
      <c r="C5036" s="235" t="s">
        <v>37151</v>
      </c>
      <c r="D5036" s="235" t="s">
        <v>37152</v>
      </c>
      <c r="E5036" s="243">
        <v>6.49E13</v>
      </c>
      <c r="F5036" s="245"/>
      <c r="G5036" s="235" t="s">
        <v>37153</v>
      </c>
      <c r="H5036" s="235" t="s">
        <v>37154</v>
      </c>
      <c r="I5036" s="235" t="s">
        <v>37154</v>
      </c>
      <c r="J5036" s="235" t="s">
        <v>37155</v>
      </c>
      <c r="K5036" s="235" t="s">
        <v>37156</v>
      </c>
      <c r="N5036" s="235" t="s">
        <v>144</v>
      </c>
      <c r="O5036" s="235" t="s">
        <v>232</v>
      </c>
      <c r="P5036" s="238">
        <v>1.0</v>
      </c>
      <c r="Q5036" s="235" t="s">
        <v>627</v>
      </c>
      <c r="R5036" s="238">
        <v>665.71</v>
      </c>
      <c r="S5036" s="238">
        <v>33.29</v>
      </c>
      <c r="T5036" s="238">
        <v>38.1</v>
      </c>
      <c r="U5036" s="238">
        <v>1.9</v>
      </c>
      <c r="V5036" s="238">
        <v>0.0</v>
      </c>
      <c r="W5036" s="238">
        <v>0.0</v>
      </c>
      <c r="X5036" s="235" t="s">
        <v>628</v>
      </c>
      <c r="Z5036" s="245"/>
      <c r="AA5036" s="245"/>
      <c r="AB5036" s="245"/>
      <c r="AC5036" s="235" t="s">
        <v>795</v>
      </c>
      <c r="AD5036" s="235" t="s">
        <v>796</v>
      </c>
      <c r="AE5036" s="238">
        <v>110019.0</v>
      </c>
      <c r="AF5036" s="235" t="s">
        <v>631</v>
      </c>
      <c r="AG5036" s="245"/>
      <c r="AH5036" s="245"/>
      <c r="AI5036" s="245"/>
      <c r="AJ5036" s="245"/>
      <c r="AK5036" s="245"/>
      <c r="AL5036" s="245"/>
      <c r="AM5036" s="245"/>
      <c r="AN5036" s="245"/>
      <c r="AO5036" s="238">
        <v>0.0</v>
      </c>
      <c r="AP5036" s="238">
        <v>-38.1</v>
      </c>
      <c r="AQ5036" s="235" t="s">
        <v>632</v>
      </c>
      <c r="AR5036" s="243">
        <v>3.7E11</v>
      </c>
      <c r="AS5036" s="235" t="s">
        <v>35520</v>
      </c>
      <c r="AT5036" s="235" t="s">
        <v>533</v>
      </c>
      <c r="AU5036" s="235" t="s">
        <v>634</v>
      </c>
      <c r="AV5036" s="246" t="s">
        <v>635</v>
      </c>
      <c r="AW5036" s="227"/>
      <c r="AX5036" s="227"/>
      <c r="AY5036" s="227"/>
      <c r="AZ5036" s="227"/>
      <c r="BA5036" s="227"/>
      <c r="BB5036" s="227"/>
      <c r="BC5036" s="227"/>
      <c r="BD5036" s="227"/>
      <c r="BE5036" s="227"/>
      <c r="BF5036" s="227"/>
    </row>
    <row r="5037">
      <c r="A5037" s="235" t="s">
        <v>37157</v>
      </c>
      <c r="C5037" s="235" t="s">
        <v>37158</v>
      </c>
      <c r="D5037" s="235" t="s">
        <v>37159</v>
      </c>
      <c r="E5037" s="243">
        <v>6.49E13</v>
      </c>
      <c r="F5037" s="245"/>
      <c r="G5037" s="235" t="s">
        <v>37160</v>
      </c>
      <c r="H5037" s="235" t="s">
        <v>37161</v>
      </c>
      <c r="I5037" s="235" t="s">
        <v>37161</v>
      </c>
      <c r="J5037" s="235" t="s">
        <v>37162</v>
      </c>
      <c r="K5037" s="235" t="s">
        <v>35243</v>
      </c>
      <c r="N5037" s="235" t="s">
        <v>717</v>
      </c>
      <c r="O5037" s="235" t="s">
        <v>718</v>
      </c>
      <c r="P5037" s="238">
        <v>1.0</v>
      </c>
      <c r="Q5037" s="235" t="s">
        <v>627</v>
      </c>
      <c r="R5037" s="238">
        <v>456.2</v>
      </c>
      <c r="S5037" s="238">
        <v>22.8</v>
      </c>
      <c r="T5037" s="238">
        <v>38.1</v>
      </c>
      <c r="U5037" s="238">
        <v>1.9</v>
      </c>
      <c r="V5037" s="238">
        <v>0.0</v>
      </c>
      <c r="W5037" s="238">
        <v>0.0</v>
      </c>
      <c r="X5037" s="235" t="s">
        <v>628</v>
      </c>
      <c r="Z5037" s="245"/>
      <c r="AA5037" s="245"/>
      <c r="AB5037" s="245"/>
      <c r="AC5037" s="235" t="s">
        <v>687</v>
      </c>
      <c r="AD5037" s="235" t="s">
        <v>666</v>
      </c>
      <c r="AE5037" s="238">
        <v>600074.0</v>
      </c>
      <c r="AF5037" s="235" t="s">
        <v>631</v>
      </c>
      <c r="AG5037" s="245"/>
      <c r="AH5037" s="245"/>
      <c r="AI5037" s="245"/>
      <c r="AJ5037" s="245"/>
      <c r="AK5037" s="245"/>
      <c r="AL5037" s="245"/>
      <c r="AM5037" s="245"/>
      <c r="AN5037" s="245"/>
      <c r="AO5037" s="238">
        <v>0.0</v>
      </c>
      <c r="AP5037" s="238">
        <v>0.0</v>
      </c>
      <c r="AQ5037" s="235" t="s">
        <v>632</v>
      </c>
      <c r="AR5037" s="243">
        <v>3.7E11</v>
      </c>
      <c r="AS5037" s="235" t="s">
        <v>35520</v>
      </c>
      <c r="AT5037" s="235" t="s">
        <v>156</v>
      </c>
      <c r="AU5037" s="235" t="s">
        <v>634</v>
      </c>
      <c r="AV5037" s="246" t="s">
        <v>635</v>
      </c>
      <c r="AW5037" s="227"/>
      <c r="AX5037" s="227"/>
      <c r="AY5037" s="227"/>
      <c r="AZ5037" s="227"/>
      <c r="BA5037" s="227"/>
      <c r="BB5037" s="227"/>
      <c r="BC5037" s="227"/>
      <c r="BD5037" s="227"/>
      <c r="BE5037" s="227"/>
      <c r="BF5037" s="227"/>
    </row>
    <row r="5038">
      <c r="A5038" s="235" t="s">
        <v>37163</v>
      </c>
      <c r="C5038" s="235" t="s">
        <v>37164</v>
      </c>
      <c r="D5038" s="235" t="s">
        <v>37165</v>
      </c>
      <c r="E5038" s="243">
        <v>6.49E13</v>
      </c>
      <c r="F5038" s="245"/>
      <c r="G5038" s="235" t="s">
        <v>37166</v>
      </c>
      <c r="H5038" s="235" t="s">
        <v>37167</v>
      </c>
      <c r="I5038" s="235" t="s">
        <v>37167</v>
      </c>
      <c r="J5038" s="235" t="s">
        <v>37168</v>
      </c>
      <c r="K5038" s="235" t="s">
        <v>37169</v>
      </c>
      <c r="N5038" s="235" t="s">
        <v>726</v>
      </c>
      <c r="O5038" s="235" t="s">
        <v>727</v>
      </c>
      <c r="P5038" s="238">
        <v>1.0</v>
      </c>
      <c r="Q5038" s="235" t="s">
        <v>627</v>
      </c>
      <c r="R5038" s="238">
        <v>244.76</v>
      </c>
      <c r="S5038" s="238">
        <v>12.24</v>
      </c>
      <c r="T5038" s="238">
        <v>0.0</v>
      </c>
      <c r="U5038" s="238">
        <v>0.0</v>
      </c>
      <c r="V5038" s="238">
        <v>0.0</v>
      </c>
      <c r="W5038" s="238">
        <v>0.0</v>
      </c>
      <c r="X5038" s="235" t="s">
        <v>628</v>
      </c>
      <c r="Z5038" s="245"/>
      <c r="AA5038" s="245"/>
      <c r="AB5038" s="245"/>
      <c r="AC5038" s="235" t="s">
        <v>697</v>
      </c>
      <c r="AD5038" s="235" t="s">
        <v>698</v>
      </c>
      <c r="AE5038" s="238">
        <v>500050.0</v>
      </c>
      <c r="AF5038" s="235" t="s">
        <v>631</v>
      </c>
      <c r="AG5038" s="245"/>
      <c r="AH5038" s="245"/>
      <c r="AI5038" s="245"/>
      <c r="AJ5038" s="245"/>
      <c r="AK5038" s="245"/>
      <c r="AL5038" s="245"/>
      <c r="AM5038" s="245"/>
      <c r="AN5038" s="245"/>
      <c r="AO5038" s="238">
        <v>0.0</v>
      </c>
      <c r="AP5038" s="238">
        <v>0.0</v>
      </c>
      <c r="AQ5038" s="235" t="s">
        <v>632</v>
      </c>
      <c r="AR5038" s="243">
        <v>1.68E11</v>
      </c>
      <c r="AS5038" s="235" t="s">
        <v>35520</v>
      </c>
      <c r="AT5038" s="235" t="s">
        <v>156</v>
      </c>
      <c r="AU5038" s="235" t="s">
        <v>634</v>
      </c>
      <c r="AV5038" s="246" t="s">
        <v>635</v>
      </c>
      <c r="AW5038" s="227"/>
      <c r="AX5038" s="227"/>
      <c r="AY5038" s="227"/>
      <c r="AZ5038" s="227"/>
      <c r="BA5038" s="227"/>
      <c r="BB5038" s="227"/>
      <c r="BC5038" s="227"/>
      <c r="BD5038" s="227"/>
      <c r="BE5038" s="227"/>
      <c r="BF5038" s="227"/>
    </row>
    <row r="5039">
      <c r="A5039" s="235" t="s">
        <v>37170</v>
      </c>
      <c r="C5039" s="235" t="s">
        <v>37171</v>
      </c>
      <c r="D5039" s="235" t="s">
        <v>37172</v>
      </c>
      <c r="E5039" s="243">
        <v>6.49E13</v>
      </c>
      <c r="F5039" s="245"/>
      <c r="G5039" s="235" t="s">
        <v>37173</v>
      </c>
      <c r="H5039" s="235" t="s">
        <v>37174</v>
      </c>
      <c r="I5039" s="235" t="s">
        <v>37174</v>
      </c>
      <c r="J5039" s="235" t="s">
        <v>37175</v>
      </c>
      <c r="K5039" s="235" t="s">
        <v>37176</v>
      </c>
      <c r="N5039" s="235" t="s">
        <v>92</v>
      </c>
      <c r="O5039" s="235" t="s">
        <v>248</v>
      </c>
      <c r="P5039" s="238">
        <v>1.0</v>
      </c>
      <c r="Q5039" s="235" t="s">
        <v>627</v>
      </c>
      <c r="R5039" s="238">
        <v>244.76</v>
      </c>
      <c r="S5039" s="238">
        <v>12.24</v>
      </c>
      <c r="T5039" s="238">
        <v>0.0</v>
      </c>
      <c r="U5039" s="238">
        <v>0.0</v>
      </c>
      <c r="V5039" s="238">
        <v>0.0</v>
      </c>
      <c r="W5039" s="238">
        <v>0.0</v>
      </c>
      <c r="X5039" s="235" t="s">
        <v>628</v>
      </c>
      <c r="Z5039" s="245"/>
      <c r="AA5039" s="245"/>
      <c r="AB5039" s="245"/>
      <c r="AC5039" s="235" t="s">
        <v>3374</v>
      </c>
      <c r="AD5039" s="235" t="s">
        <v>645</v>
      </c>
      <c r="AE5039" s="238">
        <v>695004.0</v>
      </c>
      <c r="AF5039" s="235" t="s">
        <v>631</v>
      </c>
      <c r="AG5039" s="245"/>
      <c r="AH5039" s="245"/>
      <c r="AI5039" s="245"/>
      <c r="AJ5039" s="245"/>
      <c r="AK5039" s="245"/>
      <c r="AL5039" s="245"/>
      <c r="AM5039" s="245"/>
      <c r="AN5039" s="245"/>
      <c r="AO5039" s="238">
        <v>0.0</v>
      </c>
      <c r="AP5039" s="238">
        <v>0.0</v>
      </c>
      <c r="AQ5039" s="235" t="s">
        <v>632</v>
      </c>
      <c r="AR5039" s="243">
        <v>1.68E11</v>
      </c>
      <c r="AS5039" s="235" t="s">
        <v>35520</v>
      </c>
      <c r="AT5039" s="235" t="s">
        <v>11</v>
      </c>
      <c r="AU5039" s="235" t="s">
        <v>634</v>
      </c>
      <c r="AV5039" s="246" t="s">
        <v>635</v>
      </c>
      <c r="AW5039" s="227"/>
      <c r="AX5039" s="227"/>
      <c r="AY5039" s="227"/>
      <c r="AZ5039" s="227"/>
      <c r="BA5039" s="227"/>
      <c r="BB5039" s="227"/>
      <c r="BC5039" s="227"/>
      <c r="BD5039" s="227"/>
      <c r="BE5039" s="227"/>
      <c r="BF5039" s="227"/>
    </row>
    <row r="5040">
      <c r="A5040" s="235" t="s">
        <v>37177</v>
      </c>
      <c r="C5040" s="235" t="s">
        <v>37178</v>
      </c>
      <c r="D5040" s="235" t="s">
        <v>37179</v>
      </c>
      <c r="E5040" s="243">
        <v>6.49E13</v>
      </c>
      <c r="F5040" s="245"/>
      <c r="G5040" s="235" t="s">
        <v>37180</v>
      </c>
      <c r="H5040" s="235" t="s">
        <v>37181</v>
      </c>
      <c r="I5040" s="235" t="s">
        <v>37181</v>
      </c>
      <c r="J5040" s="235" t="s">
        <v>37182</v>
      </c>
      <c r="K5040" s="235" t="s">
        <v>37183</v>
      </c>
      <c r="N5040" s="235" t="s">
        <v>138</v>
      </c>
      <c r="O5040" s="235" t="s">
        <v>675</v>
      </c>
      <c r="P5040" s="238">
        <v>1.0</v>
      </c>
      <c r="Q5040" s="235" t="s">
        <v>627</v>
      </c>
      <c r="R5040" s="238">
        <v>244.76</v>
      </c>
      <c r="S5040" s="238">
        <v>12.24</v>
      </c>
      <c r="T5040" s="238">
        <v>0.0</v>
      </c>
      <c r="U5040" s="238">
        <v>0.0</v>
      </c>
      <c r="V5040" s="238">
        <v>0.0</v>
      </c>
      <c r="W5040" s="238">
        <v>0.0</v>
      </c>
      <c r="X5040" s="235" t="s">
        <v>628</v>
      </c>
      <c r="Z5040" s="245"/>
      <c r="AA5040" s="245"/>
      <c r="AB5040" s="245"/>
      <c r="AC5040" s="235" t="s">
        <v>37184</v>
      </c>
      <c r="AD5040" s="235" t="s">
        <v>2688</v>
      </c>
      <c r="AE5040" s="238">
        <v>182204.0</v>
      </c>
      <c r="AF5040" s="235" t="s">
        <v>631</v>
      </c>
      <c r="AG5040" s="245"/>
      <c r="AH5040" s="245"/>
      <c r="AI5040" s="245"/>
      <c r="AJ5040" s="245"/>
      <c r="AK5040" s="245"/>
      <c r="AL5040" s="245"/>
      <c r="AM5040" s="245"/>
      <c r="AN5040" s="245"/>
      <c r="AO5040" s="238">
        <v>0.0</v>
      </c>
      <c r="AP5040" s="238">
        <v>0.0</v>
      </c>
      <c r="AQ5040" s="235" t="s">
        <v>1328</v>
      </c>
      <c r="AR5040" s="243">
        <v>1.34E13</v>
      </c>
      <c r="AS5040" s="235" t="s">
        <v>26892</v>
      </c>
      <c r="AT5040" s="235" t="s">
        <v>14</v>
      </c>
      <c r="AU5040" s="235" t="s">
        <v>634</v>
      </c>
      <c r="AV5040" s="246" t="s">
        <v>635</v>
      </c>
      <c r="AW5040" s="227"/>
      <c r="AX5040" s="227"/>
      <c r="AY5040" s="227"/>
      <c r="AZ5040" s="227"/>
      <c r="BA5040" s="227"/>
      <c r="BB5040" s="227"/>
      <c r="BC5040" s="227"/>
      <c r="BD5040" s="227"/>
      <c r="BE5040" s="227"/>
      <c r="BF5040" s="227"/>
    </row>
    <row r="5041">
      <c r="A5041" s="235" t="s">
        <v>37185</v>
      </c>
      <c r="C5041" s="235" t="s">
        <v>37186</v>
      </c>
      <c r="D5041" s="235" t="s">
        <v>37187</v>
      </c>
      <c r="E5041" s="243">
        <v>6.49E13</v>
      </c>
      <c r="F5041" s="245"/>
      <c r="G5041" s="235" t="s">
        <v>37188</v>
      </c>
      <c r="H5041" s="235" t="s">
        <v>37189</v>
      </c>
      <c r="I5041" s="235" t="s">
        <v>37189</v>
      </c>
      <c r="J5041" s="235" t="s">
        <v>37190</v>
      </c>
      <c r="K5041" s="235" t="s">
        <v>37191</v>
      </c>
      <c r="N5041" s="235" t="s">
        <v>132</v>
      </c>
      <c r="O5041" s="235" t="s">
        <v>8600</v>
      </c>
      <c r="P5041" s="238">
        <v>1.0</v>
      </c>
      <c r="Q5041" s="235" t="s">
        <v>627</v>
      </c>
      <c r="R5041" s="238">
        <v>246.66</v>
      </c>
      <c r="S5041" s="238">
        <v>12.1</v>
      </c>
      <c r="T5041" s="238">
        <v>38.1</v>
      </c>
      <c r="U5041" s="238">
        <v>1.9</v>
      </c>
      <c r="V5041" s="238">
        <v>0.0</v>
      </c>
      <c r="W5041" s="238">
        <v>0.0</v>
      </c>
      <c r="X5041" s="235" t="s">
        <v>628</v>
      </c>
      <c r="Z5041" s="245"/>
      <c r="AA5041" s="245"/>
      <c r="AB5041" s="245"/>
      <c r="AC5041" s="235" t="s">
        <v>1961</v>
      </c>
      <c r="AD5041" s="235" t="s">
        <v>845</v>
      </c>
      <c r="AE5041" s="238">
        <v>412105.0</v>
      </c>
      <c r="AF5041" s="235" t="s">
        <v>631</v>
      </c>
      <c r="AG5041" s="245"/>
      <c r="AH5041" s="245"/>
      <c r="AI5041" s="245"/>
      <c r="AJ5041" s="245"/>
      <c r="AK5041" s="245"/>
      <c r="AL5041" s="245"/>
      <c r="AM5041" s="245"/>
      <c r="AN5041" s="245"/>
      <c r="AO5041" s="238">
        <v>-4.94</v>
      </c>
      <c r="AP5041" s="238">
        <v>-38.1</v>
      </c>
      <c r="AQ5041" s="235" t="s">
        <v>632</v>
      </c>
      <c r="AR5041" s="243">
        <v>3.7E11</v>
      </c>
      <c r="AS5041" s="235" t="s">
        <v>35520</v>
      </c>
      <c r="AT5041" s="235" t="s">
        <v>16</v>
      </c>
      <c r="AU5041" s="235" t="s">
        <v>634</v>
      </c>
      <c r="AV5041" s="246" t="s">
        <v>635</v>
      </c>
      <c r="AW5041" s="227"/>
      <c r="AX5041" s="227"/>
      <c r="AY5041" s="227"/>
      <c r="AZ5041" s="227"/>
      <c r="BA5041" s="227"/>
      <c r="BB5041" s="227"/>
      <c r="BC5041" s="227"/>
      <c r="BD5041" s="227"/>
      <c r="BE5041" s="227"/>
      <c r="BF5041" s="227"/>
    </row>
    <row r="5042">
      <c r="A5042" s="235" t="s">
        <v>37192</v>
      </c>
      <c r="C5042" s="235" t="s">
        <v>37193</v>
      </c>
      <c r="D5042" s="235" t="s">
        <v>37194</v>
      </c>
      <c r="E5042" s="243">
        <v>6.49E13</v>
      </c>
      <c r="F5042" s="245"/>
      <c r="G5042" s="235" t="s">
        <v>37195</v>
      </c>
      <c r="H5042" s="235" t="s">
        <v>37196</v>
      </c>
      <c r="I5042" s="235" t="s">
        <v>37196</v>
      </c>
      <c r="J5042" s="235" t="s">
        <v>37197</v>
      </c>
      <c r="K5042" s="235" t="s">
        <v>37198</v>
      </c>
      <c r="N5042" s="235" t="s">
        <v>842</v>
      </c>
      <c r="O5042" s="235" t="s">
        <v>843</v>
      </c>
      <c r="P5042" s="238">
        <v>1.0</v>
      </c>
      <c r="Q5042" s="235" t="s">
        <v>627</v>
      </c>
      <c r="R5042" s="238">
        <v>246.66</v>
      </c>
      <c r="S5042" s="238">
        <v>12.34</v>
      </c>
      <c r="T5042" s="238">
        <v>38.1</v>
      </c>
      <c r="U5042" s="238">
        <v>1.9</v>
      </c>
      <c r="V5042" s="238">
        <v>0.0</v>
      </c>
      <c r="W5042" s="238">
        <v>0.0</v>
      </c>
      <c r="X5042" s="235" t="s">
        <v>628</v>
      </c>
      <c r="Z5042" s="245"/>
      <c r="AA5042" s="245"/>
      <c r="AB5042" s="245"/>
      <c r="AC5042" s="235" t="s">
        <v>37199</v>
      </c>
      <c r="AD5042" s="235" t="s">
        <v>8663</v>
      </c>
      <c r="AE5042" s="238">
        <v>412308.0</v>
      </c>
      <c r="AF5042" s="235" t="s">
        <v>631</v>
      </c>
      <c r="AG5042" s="245"/>
      <c r="AH5042" s="245"/>
      <c r="AI5042" s="245"/>
      <c r="AJ5042" s="245"/>
      <c r="AK5042" s="245"/>
      <c r="AL5042" s="245"/>
      <c r="AM5042" s="245"/>
      <c r="AN5042" s="245"/>
      <c r="AO5042" s="238">
        <v>0.0</v>
      </c>
      <c r="AP5042" s="238">
        <v>-38.1</v>
      </c>
      <c r="AQ5042" s="235" t="s">
        <v>632</v>
      </c>
      <c r="AR5042" s="243">
        <v>3.7E11</v>
      </c>
      <c r="AS5042" s="235" t="s">
        <v>35520</v>
      </c>
      <c r="AT5042" s="235" t="s">
        <v>17</v>
      </c>
      <c r="AU5042" s="235" t="s">
        <v>634</v>
      </c>
      <c r="AV5042" s="246" t="s">
        <v>635</v>
      </c>
      <c r="AW5042" s="227"/>
      <c r="AX5042" s="227"/>
      <c r="AY5042" s="227"/>
      <c r="AZ5042" s="227"/>
      <c r="BA5042" s="227"/>
      <c r="BB5042" s="227"/>
      <c r="BC5042" s="227"/>
      <c r="BD5042" s="227"/>
      <c r="BE5042" s="227"/>
      <c r="BF5042" s="227"/>
    </row>
    <row r="5043">
      <c r="A5043" s="235" t="s">
        <v>37200</v>
      </c>
      <c r="C5043" s="235" t="s">
        <v>37201</v>
      </c>
      <c r="D5043" s="235" t="s">
        <v>37202</v>
      </c>
      <c r="E5043" s="243">
        <v>6.49E13</v>
      </c>
      <c r="F5043" s="245"/>
      <c r="G5043" s="235" t="s">
        <v>37203</v>
      </c>
      <c r="H5043" s="235" t="s">
        <v>37204</v>
      </c>
      <c r="I5043" s="235" t="s">
        <v>37204</v>
      </c>
      <c r="J5043" s="235" t="s">
        <v>37205</v>
      </c>
      <c r="K5043" s="235" t="s">
        <v>37206</v>
      </c>
      <c r="N5043" s="235" t="s">
        <v>136</v>
      </c>
      <c r="O5043" s="235" t="s">
        <v>256</v>
      </c>
      <c r="P5043" s="238">
        <v>1.0</v>
      </c>
      <c r="Q5043" s="235" t="s">
        <v>627</v>
      </c>
      <c r="R5043" s="238">
        <v>244.76</v>
      </c>
      <c r="S5043" s="238">
        <v>12.24</v>
      </c>
      <c r="T5043" s="238">
        <v>38.1</v>
      </c>
      <c r="U5043" s="238">
        <v>1.9</v>
      </c>
      <c r="V5043" s="238">
        <v>0.0</v>
      </c>
      <c r="W5043" s="238">
        <v>0.0</v>
      </c>
      <c r="X5043" s="235" t="s">
        <v>628</v>
      </c>
      <c r="Z5043" s="245"/>
      <c r="AA5043" s="245"/>
      <c r="AB5043" s="245"/>
      <c r="AC5043" s="235" t="s">
        <v>37207</v>
      </c>
      <c r="AD5043" s="235" t="s">
        <v>845</v>
      </c>
      <c r="AE5043" s="238">
        <v>400103.0</v>
      </c>
      <c r="AF5043" s="235" t="s">
        <v>631</v>
      </c>
      <c r="AG5043" s="245"/>
      <c r="AH5043" s="245"/>
      <c r="AI5043" s="245"/>
      <c r="AJ5043" s="245"/>
      <c r="AK5043" s="245"/>
      <c r="AL5043" s="245"/>
      <c r="AM5043" s="245"/>
      <c r="AN5043" s="245"/>
      <c r="AO5043" s="238">
        <v>0.0</v>
      </c>
      <c r="AP5043" s="238">
        <v>-38.1</v>
      </c>
      <c r="AQ5043" s="235" t="s">
        <v>632</v>
      </c>
      <c r="AR5043" s="243">
        <v>3.7E11</v>
      </c>
      <c r="AS5043" s="235" t="s">
        <v>35520</v>
      </c>
      <c r="AT5043" s="235" t="s">
        <v>17</v>
      </c>
      <c r="AU5043" s="235" t="s">
        <v>634</v>
      </c>
      <c r="AV5043" s="246" t="s">
        <v>635</v>
      </c>
      <c r="AW5043" s="227"/>
      <c r="AX5043" s="227"/>
      <c r="AY5043" s="227"/>
      <c r="AZ5043" s="227"/>
      <c r="BA5043" s="227"/>
      <c r="BB5043" s="227"/>
      <c r="BC5043" s="227"/>
      <c r="BD5043" s="227"/>
      <c r="BE5043" s="227"/>
      <c r="BF5043" s="227"/>
    </row>
    <row r="5044">
      <c r="A5044" s="235" t="s">
        <v>37208</v>
      </c>
      <c r="C5044" s="235" t="s">
        <v>37209</v>
      </c>
      <c r="D5044" s="235" t="s">
        <v>37210</v>
      </c>
      <c r="E5044" s="243">
        <v>6.49E13</v>
      </c>
      <c r="F5044" s="245"/>
      <c r="G5044" s="235" t="s">
        <v>37211</v>
      </c>
      <c r="H5044" s="235" t="s">
        <v>37212</v>
      </c>
      <c r="I5044" s="235" t="s">
        <v>37213</v>
      </c>
      <c r="J5044" s="235" t="s">
        <v>37214</v>
      </c>
      <c r="K5044" s="235" t="s">
        <v>37215</v>
      </c>
      <c r="N5044" s="235" t="s">
        <v>82</v>
      </c>
      <c r="O5044" s="235" t="s">
        <v>889</v>
      </c>
      <c r="P5044" s="238">
        <v>1.0</v>
      </c>
      <c r="Q5044" s="235" t="s">
        <v>627</v>
      </c>
      <c r="R5044" s="238">
        <v>243.81</v>
      </c>
      <c r="S5044" s="238">
        <v>12.19</v>
      </c>
      <c r="T5044" s="238">
        <v>0.0</v>
      </c>
      <c r="U5044" s="238">
        <v>0.0</v>
      </c>
      <c r="V5044" s="238">
        <v>0.0</v>
      </c>
      <c r="W5044" s="238">
        <v>0.0</v>
      </c>
      <c r="X5044" s="235" t="s">
        <v>628</v>
      </c>
      <c r="Z5044" s="245"/>
      <c r="AA5044" s="245"/>
      <c r="AB5044" s="245"/>
      <c r="AC5044" s="235" t="s">
        <v>37216</v>
      </c>
      <c r="AD5044" s="235" t="s">
        <v>679</v>
      </c>
      <c r="AE5044" s="238">
        <v>591306.0</v>
      </c>
      <c r="AF5044" s="235" t="s">
        <v>631</v>
      </c>
      <c r="AG5044" s="245"/>
      <c r="AH5044" s="245"/>
      <c r="AI5044" s="245"/>
      <c r="AJ5044" s="245"/>
      <c r="AK5044" s="245"/>
      <c r="AL5044" s="245"/>
      <c r="AM5044" s="245"/>
      <c r="AN5044" s="245"/>
      <c r="AO5044" s="238">
        <v>0.0</v>
      </c>
      <c r="AP5044" s="238">
        <v>0.0</v>
      </c>
      <c r="AQ5044" s="235" t="s">
        <v>632</v>
      </c>
      <c r="AR5044" s="243">
        <v>3.7E11</v>
      </c>
      <c r="AS5044" s="235" t="s">
        <v>34510</v>
      </c>
      <c r="AT5044" s="235" t="s">
        <v>16</v>
      </c>
      <c r="AU5044" s="235" t="s">
        <v>634</v>
      </c>
      <c r="AV5044" s="246" t="s">
        <v>635</v>
      </c>
      <c r="AW5044" s="227"/>
      <c r="AX5044" s="227"/>
      <c r="AY5044" s="227"/>
      <c r="AZ5044" s="227"/>
      <c r="BA5044" s="227"/>
      <c r="BB5044" s="227"/>
      <c r="BC5044" s="227"/>
      <c r="BD5044" s="227"/>
      <c r="BE5044" s="227"/>
      <c r="BF5044" s="227"/>
    </row>
    <row r="5045">
      <c r="A5045" s="235" t="s">
        <v>37217</v>
      </c>
      <c r="C5045" s="235" t="s">
        <v>37218</v>
      </c>
      <c r="D5045" s="235" t="s">
        <v>37219</v>
      </c>
      <c r="E5045" s="243">
        <v>6.49E13</v>
      </c>
      <c r="F5045" s="245"/>
      <c r="G5045" s="235" t="s">
        <v>37220</v>
      </c>
      <c r="H5045" s="235" t="s">
        <v>37221</v>
      </c>
      <c r="I5045" s="235" t="s">
        <v>37221</v>
      </c>
      <c r="J5045" s="235" t="s">
        <v>37222</v>
      </c>
      <c r="K5045" s="235" t="s">
        <v>37223</v>
      </c>
      <c r="N5045" s="235" t="s">
        <v>42</v>
      </c>
      <c r="O5045" s="235" t="s">
        <v>204</v>
      </c>
      <c r="P5045" s="238">
        <v>1.0</v>
      </c>
      <c r="Q5045" s="235" t="s">
        <v>627</v>
      </c>
      <c r="R5045" s="238">
        <v>237.14</v>
      </c>
      <c r="S5045" s="238">
        <v>11.86</v>
      </c>
      <c r="T5045" s="238">
        <v>38.1</v>
      </c>
      <c r="U5045" s="238">
        <v>1.9</v>
      </c>
      <c r="V5045" s="238">
        <v>0.0</v>
      </c>
      <c r="W5045" s="238">
        <v>0.0</v>
      </c>
      <c r="X5045" s="235" t="s">
        <v>628</v>
      </c>
      <c r="Z5045" s="245"/>
      <c r="AA5045" s="245"/>
      <c r="AB5045" s="245"/>
      <c r="AC5045" s="235" t="s">
        <v>34744</v>
      </c>
      <c r="AD5045" s="235" t="s">
        <v>666</v>
      </c>
      <c r="AE5045" s="238">
        <v>621010.0</v>
      </c>
      <c r="AF5045" s="235" t="s">
        <v>631</v>
      </c>
      <c r="AG5045" s="245"/>
      <c r="AH5045" s="245"/>
      <c r="AI5045" s="245"/>
      <c r="AJ5045" s="245"/>
      <c r="AK5045" s="245"/>
      <c r="AL5045" s="245"/>
      <c r="AM5045" s="245"/>
      <c r="AN5045" s="245"/>
      <c r="AO5045" s="238">
        <v>0.0</v>
      </c>
      <c r="AP5045" s="238">
        <v>-38.1</v>
      </c>
      <c r="AQ5045" s="235" t="s">
        <v>632</v>
      </c>
      <c r="AR5045" s="243">
        <v>1.68E11</v>
      </c>
      <c r="AS5045" s="235" t="s">
        <v>34510</v>
      </c>
      <c r="AT5045" s="235" t="s">
        <v>9</v>
      </c>
      <c r="AU5045" s="235" t="s">
        <v>634</v>
      </c>
      <c r="AV5045" s="246" t="s">
        <v>635</v>
      </c>
      <c r="AW5045" s="227"/>
      <c r="AX5045" s="227"/>
      <c r="AY5045" s="227"/>
      <c r="AZ5045" s="227"/>
      <c r="BA5045" s="227"/>
      <c r="BB5045" s="227"/>
      <c r="BC5045" s="227"/>
      <c r="BD5045" s="227"/>
      <c r="BE5045" s="227"/>
      <c r="BF5045" s="227"/>
    </row>
    <row r="5046">
      <c r="A5046" s="235" t="s">
        <v>37224</v>
      </c>
      <c r="C5046" s="235" t="s">
        <v>37225</v>
      </c>
      <c r="D5046" s="235" t="s">
        <v>37226</v>
      </c>
      <c r="E5046" s="243">
        <v>6.49E13</v>
      </c>
      <c r="F5046" s="245"/>
      <c r="G5046" s="235" t="s">
        <v>37227</v>
      </c>
      <c r="H5046" s="235" t="s">
        <v>37228</v>
      </c>
      <c r="I5046" s="235" t="s">
        <v>37228</v>
      </c>
      <c r="J5046" s="235" t="s">
        <v>37229</v>
      </c>
      <c r="K5046" s="235" t="s">
        <v>37223</v>
      </c>
      <c r="N5046" s="235" t="s">
        <v>53</v>
      </c>
      <c r="O5046" s="235" t="s">
        <v>512</v>
      </c>
      <c r="P5046" s="238">
        <v>1.0</v>
      </c>
      <c r="Q5046" s="235" t="s">
        <v>627</v>
      </c>
      <c r="R5046" s="238">
        <v>237.14</v>
      </c>
      <c r="S5046" s="238">
        <v>11.86</v>
      </c>
      <c r="T5046" s="238">
        <v>38.1</v>
      </c>
      <c r="U5046" s="238">
        <v>1.9</v>
      </c>
      <c r="V5046" s="238">
        <v>0.0</v>
      </c>
      <c r="W5046" s="238">
        <v>0.0</v>
      </c>
      <c r="X5046" s="235" t="s">
        <v>628</v>
      </c>
      <c r="Z5046" s="245"/>
      <c r="AA5046" s="245"/>
      <c r="AB5046" s="245"/>
      <c r="AC5046" s="235" t="s">
        <v>34744</v>
      </c>
      <c r="AD5046" s="235" t="s">
        <v>666</v>
      </c>
      <c r="AE5046" s="238">
        <v>621010.0</v>
      </c>
      <c r="AF5046" s="235" t="s">
        <v>631</v>
      </c>
      <c r="AG5046" s="245"/>
      <c r="AH5046" s="245"/>
      <c r="AI5046" s="245"/>
      <c r="AJ5046" s="245"/>
      <c r="AK5046" s="245"/>
      <c r="AL5046" s="245"/>
      <c r="AM5046" s="245"/>
      <c r="AN5046" s="245"/>
      <c r="AO5046" s="238">
        <v>0.0</v>
      </c>
      <c r="AP5046" s="238">
        <v>-38.1</v>
      </c>
      <c r="AQ5046" s="235" t="s">
        <v>632</v>
      </c>
      <c r="AR5046" s="243">
        <v>1.68E11</v>
      </c>
      <c r="AS5046" s="235" t="s">
        <v>34510</v>
      </c>
      <c r="AT5046" s="235" t="s">
        <v>9</v>
      </c>
      <c r="AU5046" s="235" t="s">
        <v>634</v>
      </c>
      <c r="AV5046" s="246" t="s">
        <v>635</v>
      </c>
      <c r="AW5046" s="227"/>
      <c r="AX5046" s="227"/>
      <c r="AY5046" s="227"/>
      <c r="AZ5046" s="227"/>
      <c r="BA5046" s="227"/>
      <c r="BB5046" s="227"/>
      <c r="BC5046" s="227"/>
      <c r="BD5046" s="227"/>
      <c r="BE5046" s="227"/>
      <c r="BF5046" s="227"/>
    </row>
    <row r="5047">
      <c r="A5047" s="235" t="s">
        <v>37230</v>
      </c>
      <c r="C5047" s="235" t="s">
        <v>37231</v>
      </c>
      <c r="D5047" s="235" t="s">
        <v>37232</v>
      </c>
      <c r="E5047" s="243">
        <v>6.49E13</v>
      </c>
      <c r="F5047" s="245"/>
      <c r="G5047" s="235" t="s">
        <v>37233</v>
      </c>
      <c r="H5047" s="235" t="s">
        <v>37234</v>
      </c>
      <c r="I5047" s="235" t="s">
        <v>37234</v>
      </c>
      <c r="J5047" s="235" t="s">
        <v>37235</v>
      </c>
      <c r="K5047" s="235" t="s">
        <v>37236</v>
      </c>
      <c r="N5047" s="235" t="s">
        <v>27</v>
      </c>
      <c r="O5047" s="235" t="s">
        <v>573</v>
      </c>
      <c r="P5047" s="238">
        <v>1.0</v>
      </c>
      <c r="Q5047" s="235" t="s">
        <v>627</v>
      </c>
      <c r="R5047" s="238">
        <v>360.95</v>
      </c>
      <c r="S5047" s="238">
        <v>18.05</v>
      </c>
      <c r="T5047" s="238">
        <v>38.1</v>
      </c>
      <c r="U5047" s="238">
        <v>1.9</v>
      </c>
      <c r="V5047" s="238">
        <v>0.0</v>
      </c>
      <c r="W5047" s="238">
        <v>0.0</v>
      </c>
      <c r="X5047" s="235" t="s">
        <v>628</v>
      </c>
      <c r="Z5047" s="245"/>
      <c r="AA5047" s="245"/>
      <c r="AB5047" s="245"/>
      <c r="AC5047" s="235" t="s">
        <v>1703</v>
      </c>
      <c r="AD5047" s="235" t="s">
        <v>1151</v>
      </c>
      <c r="AE5047" s="238">
        <v>734001.0</v>
      </c>
      <c r="AF5047" s="235" t="s">
        <v>631</v>
      </c>
      <c r="AG5047" s="245"/>
      <c r="AH5047" s="245"/>
      <c r="AI5047" s="245"/>
      <c r="AJ5047" s="245"/>
      <c r="AK5047" s="245"/>
      <c r="AL5047" s="245"/>
      <c r="AM5047" s="245"/>
      <c r="AN5047" s="245"/>
      <c r="AO5047" s="238">
        <v>0.0</v>
      </c>
      <c r="AP5047" s="238">
        <v>-38.1</v>
      </c>
      <c r="AQ5047" s="235" t="s">
        <v>632</v>
      </c>
      <c r="AR5047" s="243">
        <v>3.7E11</v>
      </c>
      <c r="AS5047" s="235" t="s">
        <v>32455</v>
      </c>
      <c r="AT5047" s="235" t="s">
        <v>13</v>
      </c>
      <c r="AU5047" s="235" t="s">
        <v>634</v>
      </c>
      <c r="AV5047" s="246" t="s">
        <v>635</v>
      </c>
      <c r="AW5047" s="227"/>
      <c r="AX5047" s="227"/>
      <c r="AY5047" s="227"/>
      <c r="AZ5047" s="227"/>
      <c r="BA5047" s="227"/>
      <c r="BB5047" s="227"/>
      <c r="BC5047" s="227"/>
      <c r="BD5047" s="227"/>
      <c r="BE5047" s="227"/>
      <c r="BF5047" s="227"/>
    </row>
    <row r="5048">
      <c r="A5048" s="235" t="s">
        <v>37237</v>
      </c>
      <c r="C5048" s="235" t="s">
        <v>37238</v>
      </c>
      <c r="D5048" s="235" t="s">
        <v>37239</v>
      </c>
      <c r="E5048" s="243">
        <v>6.49E13</v>
      </c>
      <c r="F5048" s="245"/>
      <c r="G5048" s="235" t="s">
        <v>37240</v>
      </c>
      <c r="H5048" s="235" t="s">
        <v>37241</v>
      </c>
      <c r="I5048" s="235" t="s">
        <v>37241</v>
      </c>
      <c r="J5048" s="235" t="s">
        <v>37242</v>
      </c>
      <c r="K5048" s="235" t="s">
        <v>37243</v>
      </c>
      <c r="N5048" s="235" t="s">
        <v>141</v>
      </c>
      <c r="O5048" s="235" t="s">
        <v>342</v>
      </c>
      <c r="P5048" s="238">
        <v>1.0</v>
      </c>
      <c r="Q5048" s="235" t="s">
        <v>627</v>
      </c>
      <c r="R5048" s="238">
        <v>244.76</v>
      </c>
      <c r="S5048" s="238">
        <v>12.24</v>
      </c>
      <c r="T5048" s="238">
        <v>38.1</v>
      </c>
      <c r="U5048" s="238">
        <v>1.9</v>
      </c>
      <c r="V5048" s="238">
        <v>0.0</v>
      </c>
      <c r="W5048" s="238">
        <v>0.0</v>
      </c>
      <c r="X5048" s="235" t="s">
        <v>628</v>
      </c>
      <c r="Z5048" s="245"/>
      <c r="AA5048" s="245"/>
      <c r="AB5048" s="245"/>
      <c r="AC5048" s="235" t="s">
        <v>697</v>
      </c>
      <c r="AD5048" s="235" t="s">
        <v>698</v>
      </c>
      <c r="AE5048" s="238">
        <v>500065.0</v>
      </c>
      <c r="AF5048" s="235" t="s">
        <v>631</v>
      </c>
      <c r="AG5048" s="245"/>
      <c r="AH5048" s="245"/>
      <c r="AI5048" s="245"/>
      <c r="AJ5048" s="245"/>
      <c r="AK5048" s="245"/>
      <c r="AL5048" s="245"/>
      <c r="AM5048" s="245"/>
      <c r="AN5048" s="245"/>
      <c r="AO5048" s="238">
        <v>0.0</v>
      </c>
      <c r="AP5048" s="238">
        <v>0.0</v>
      </c>
      <c r="AQ5048" s="235" t="s">
        <v>632</v>
      </c>
      <c r="AR5048" s="243">
        <v>3.7E11</v>
      </c>
      <c r="AS5048" s="235" t="s">
        <v>34510</v>
      </c>
      <c r="AT5048" s="235" t="s">
        <v>16</v>
      </c>
      <c r="AU5048" s="235" t="s">
        <v>634</v>
      </c>
      <c r="AV5048" s="246" t="s">
        <v>635</v>
      </c>
      <c r="AW5048" s="227"/>
      <c r="AX5048" s="227"/>
      <c r="AY5048" s="227"/>
      <c r="AZ5048" s="227"/>
      <c r="BA5048" s="227"/>
      <c r="BB5048" s="227"/>
      <c r="BC5048" s="227"/>
      <c r="BD5048" s="227"/>
      <c r="BE5048" s="227"/>
      <c r="BF5048" s="227"/>
    </row>
    <row r="5049">
      <c r="A5049" s="235" t="s">
        <v>37244</v>
      </c>
      <c r="C5049" s="235" t="s">
        <v>37245</v>
      </c>
      <c r="D5049" s="235" t="s">
        <v>37246</v>
      </c>
      <c r="E5049" s="243">
        <v>6.49E13</v>
      </c>
      <c r="F5049" s="245"/>
      <c r="G5049" s="235" t="s">
        <v>37247</v>
      </c>
      <c r="H5049" s="235" t="s">
        <v>37248</v>
      </c>
      <c r="I5049" s="235" t="s">
        <v>37248</v>
      </c>
      <c r="J5049" s="235" t="s">
        <v>37249</v>
      </c>
      <c r="K5049" s="235" t="s">
        <v>37250</v>
      </c>
      <c r="N5049" s="235" t="s">
        <v>127</v>
      </c>
      <c r="O5049" s="235" t="s">
        <v>794</v>
      </c>
      <c r="P5049" s="238">
        <v>1.0</v>
      </c>
      <c r="Q5049" s="235" t="s">
        <v>627</v>
      </c>
      <c r="R5049" s="238">
        <v>243.8</v>
      </c>
      <c r="S5049" s="238">
        <v>11.96</v>
      </c>
      <c r="T5049" s="238">
        <v>0.0</v>
      </c>
      <c r="U5049" s="238">
        <v>0.0</v>
      </c>
      <c r="V5049" s="238">
        <v>0.0</v>
      </c>
      <c r="W5049" s="238">
        <v>0.0</v>
      </c>
      <c r="X5049" s="235" t="s">
        <v>628</v>
      </c>
      <c r="Z5049" s="245"/>
      <c r="AA5049" s="245"/>
      <c r="AB5049" s="245"/>
      <c r="AC5049" s="235" t="s">
        <v>687</v>
      </c>
      <c r="AD5049" s="235" t="s">
        <v>666</v>
      </c>
      <c r="AE5049" s="238">
        <v>600126.0</v>
      </c>
      <c r="AF5049" s="235" t="s">
        <v>631</v>
      </c>
      <c r="AG5049" s="245"/>
      <c r="AH5049" s="245"/>
      <c r="AI5049" s="245"/>
      <c r="AJ5049" s="245"/>
      <c r="AK5049" s="245"/>
      <c r="AL5049" s="245"/>
      <c r="AM5049" s="245"/>
      <c r="AN5049" s="245"/>
      <c r="AO5049" s="238">
        <v>-4.88</v>
      </c>
      <c r="AP5049" s="238">
        <v>0.0</v>
      </c>
      <c r="AQ5049" s="235" t="s">
        <v>632</v>
      </c>
      <c r="AR5049" s="243">
        <v>3.7E11</v>
      </c>
      <c r="AS5049" s="235" t="s">
        <v>36667</v>
      </c>
      <c r="AT5049" s="235" t="s">
        <v>156</v>
      </c>
      <c r="AU5049" s="235" t="s">
        <v>634</v>
      </c>
      <c r="AV5049" s="246" t="s">
        <v>635</v>
      </c>
      <c r="AW5049" s="227"/>
      <c r="AX5049" s="227"/>
      <c r="AY5049" s="227"/>
      <c r="AZ5049" s="227"/>
      <c r="BA5049" s="227"/>
      <c r="BB5049" s="227"/>
      <c r="BC5049" s="227"/>
      <c r="BD5049" s="227"/>
      <c r="BE5049" s="227"/>
      <c r="BF5049" s="227"/>
    </row>
    <row r="5050">
      <c r="A5050" s="235" t="s">
        <v>37251</v>
      </c>
      <c r="C5050" s="235" t="s">
        <v>37252</v>
      </c>
      <c r="D5050" s="235" t="s">
        <v>37253</v>
      </c>
      <c r="E5050" s="243">
        <v>6.49E13</v>
      </c>
      <c r="F5050" s="245"/>
      <c r="G5050" s="235" t="s">
        <v>37254</v>
      </c>
      <c r="H5050" s="235" t="s">
        <v>37255</v>
      </c>
      <c r="I5050" s="235" t="s">
        <v>37255</v>
      </c>
      <c r="J5050" s="235" t="s">
        <v>37256</v>
      </c>
      <c r="K5050" s="235" t="s">
        <v>37257</v>
      </c>
      <c r="N5050" s="235" t="s">
        <v>42</v>
      </c>
      <c r="O5050" s="235" t="s">
        <v>204</v>
      </c>
      <c r="P5050" s="238">
        <v>1.0</v>
      </c>
      <c r="Q5050" s="235" t="s">
        <v>627</v>
      </c>
      <c r="R5050" s="238">
        <v>237.14</v>
      </c>
      <c r="S5050" s="238">
        <v>11.62</v>
      </c>
      <c r="T5050" s="238">
        <v>0.0</v>
      </c>
      <c r="U5050" s="238">
        <v>0.0</v>
      </c>
      <c r="V5050" s="238">
        <v>0.0</v>
      </c>
      <c r="W5050" s="238">
        <v>0.0</v>
      </c>
      <c r="X5050" s="235" t="s">
        <v>628</v>
      </c>
      <c r="Z5050" s="245"/>
      <c r="AA5050" s="245"/>
      <c r="AB5050" s="245"/>
      <c r="AC5050" s="235" t="s">
        <v>1671</v>
      </c>
      <c r="AD5050" s="235" t="s">
        <v>666</v>
      </c>
      <c r="AE5050" s="238">
        <v>641028.0</v>
      </c>
      <c r="AF5050" s="235" t="s">
        <v>631</v>
      </c>
      <c r="AG5050" s="245"/>
      <c r="AH5050" s="245"/>
      <c r="AI5050" s="245"/>
      <c r="AJ5050" s="245"/>
      <c r="AK5050" s="245"/>
      <c r="AL5050" s="245"/>
      <c r="AM5050" s="245"/>
      <c r="AN5050" s="245"/>
      <c r="AO5050" s="238">
        <v>-4.74</v>
      </c>
      <c r="AP5050" s="238">
        <v>0.0</v>
      </c>
      <c r="AQ5050" s="235" t="s">
        <v>632</v>
      </c>
      <c r="AR5050" s="243">
        <v>3.7E11</v>
      </c>
      <c r="AS5050" s="235" t="s">
        <v>36667</v>
      </c>
      <c r="AT5050" s="235" t="s">
        <v>155</v>
      </c>
      <c r="AU5050" s="235" t="s">
        <v>634</v>
      </c>
      <c r="AV5050" s="246" t="s">
        <v>635</v>
      </c>
      <c r="AW5050" s="227"/>
      <c r="AX5050" s="227"/>
      <c r="AY5050" s="227"/>
      <c r="AZ5050" s="227"/>
      <c r="BA5050" s="227"/>
      <c r="BB5050" s="227"/>
      <c r="BC5050" s="227"/>
      <c r="BD5050" s="227"/>
      <c r="BE5050" s="227"/>
      <c r="BF5050" s="227"/>
    </row>
    <row r="5051">
      <c r="A5051" s="235" t="s">
        <v>37258</v>
      </c>
      <c r="C5051" s="235" t="s">
        <v>37259</v>
      </c>
      <c r="D5051" s="235" t="s">
        <v>37260</v>
      </c>
      <c r="E5051" s="243">
        <v>6.49E13</v>
      </c>
      <c r="F5051" s="245"/>
      <c r="G5051" s="235" t="s">
        <v>37261</v>
      </c>
      <c r="H5051" s="235" t="s">
        <v>37262</v>
      </c>
      <c r="I5051" s="235" t="s">
        <v>37263</v>
      </c>
      <c r="J5051" s="235" t="s">
        <v>37264</v>
      </c>
      <c r="K5051" s="235" t="s">
        <v>37265</v>
      </c>
      <c r="N5051" s="235" t="s">
        <v>141</v>
      </c>
      <c r="O5051" s="235" t="s">
        <v>342</v>
      </c>
      <c r="P5051" s="238">
        <v>1.0</v>
      </c>
      <c r="Q5051" s="235" t="s">
        <v>627</v>
      </c>
      <c r="R5051" s="238">
        <v>244.76</v>
      </c>
      <c r="S5051" s="238">
        <v>12.0</v>
      </c>
      <c r="T5051" s="238">
        <v>0.0</v>
      </c>
      <c r="U5051" s="238">
        <v>0.0</v>
      </c>
      <c r="V5051" s="238">
        <v>0.0</v>
      </c>
      <c r="W5051" s="238">
        <v>0.0</v>
      </c>
      <c r="X5051" s="235" t="s">
        <v>628</v>
      </c>
      <c r="Z5051" s="245"/>
      <c r="AA5051" s="245"/>
      <c r="AB5051" s="245"/>
      <c r="AC5051" s="235" t="s">
        <v>37266</v>
      </c>
      <c r="AD5051" s="235" t="s">
        <v>630</v>
      </c>
      <c r="AE5051" s="238">
        <v>245101.0</v>
      </c>
      <c r="AF5051" s="235" t="s">
        <v>631</v>
      </c>
      <c r="AG5051" s="245"/>
      <c r="AH5051" s="245"/>
      <c r="AI5051" s="245"/>
      <c r="AJ5051" s="245"/>
      <c r="AK5051" s="245"/>
      <c r="AL5051" s="245"/>
      <c r="AM5051" s="245"/>
      <c r="AN5051" s="245"/>
      <c r="AO5051" s="238">
        <v>-4.9</v>
      </c>
      <c r="AP5051" s="238">
        <v>0.0</v>
      </c>
      <c r="AQ5051" s="235" t="s">
        <v>632</v>
      </c>
      <c r="AR5051" s="243">
        <v>3.7E11</v>
      </c>
      <c r="AS5051" s="235" t="s">
        <v>35520</v>
      </c>
      <c r="AT5051" s="235" t="s">
        <v>533</v>
      </c>
      <c r="AU5051" s="235" t="s">
        <v>634</v>
      </c>
      <c r="AV5051" s="246" t="s">
        <v>635</v>
      </c>
      <c r="AW5051" s="227"/>
      <c r="AX5051" s="227"/>
      <c r="AY5051" s="227"/>
      <c r="AZ5051" s="227"/>
      <c r="BA5051" s="227"/>
      <c r="BB5051" s="227"/>
      <c r="BC5051" s="227"/>
      <c r="BD5051" s="227"/>
      <c r="BE5051" s="227"/>
      <c r="BF5051" s="227"/>
    </row>
    <row r="5052">
      <c r="A5052" s="235" t="s">
        <v>37267</v>
      </c>
      <c r="C5052" s="235" t="s">
        <v>37268</v>
      </c>
      <c r="D5052" s="235" t="s">
        <v>37269</v>
      </c>
      <c r="E5052" s="243">
        <v>6.49E13</v>
      </c>
      <c r="F5052" s="245"/>
      <c r="G5052" s="235" t="s">
        <v>37270</v>
      </c>
      <c r="H5052" s="235" t="s">
        <v>37271</v>
      </c>
      <c r="I5052" s="235" t="s">
        <v>37271</v>
      </c>
      <c r="J5052" s="235" t="s">
        <v>37272</v>
      </c>
      <c r="K5052" s="235" t="s">
        <v>37273</v>
      </c>
      <c r="N5052" s="235" t="s">
        <v>541</v>
      </c>
      <c r="O5052" s="235" t="s">
        <v>30856</v>
      </c>
      <c r="P5052" s="238">
        <v>1.0</v>
      </c>
      <c r="Q5052" s="235" t="s">
        <v>627</v>
      </c>
      <c r="R5052" s="238">
        <v>659.32</v>
      </c>
      <c r="S5052" s="238">
        <v>116.31</v>
      </c>
      <c r="T5052" s="238">
        <v>0.0</v>
      </c>
      <c r="U5052" s="238">
        <v>0.0</v>
      </c>
      <c r="V5052" s="238">
        <v>0.0</v>
      </c>
      <c r="W5052" s="238">
        <v>0.0</v>
      </c>
      <c r="X5052" s="235" t="s">
        <v>628</v>
      </c>
      <c r="Z5052" s="245"/>
      <c r="AA5052" s="245"/>
      <c r="AB5052" s="245"/>
      <c r="AC5052" s="235" t="s">
        <v>17944</v>
      </c>
      <c r="AD5052" s="235" t="s">
        <v>854</v>
      </c>
      <c r="AE5052" s="238">
        <v>403513.0</v>
      </c>
      <c r="AF5052" s="235" t="s">
        <v>631</v>
      </c>
      <c r="AG5052" s="245"/>
      <c r="AH5052" s="245"/>
      <c r="AI5052" s="245"/>
      <c r="AJ5052" s="245"/>
      <c r="AK5052" s="245"/>
      <c r="AL5052" s="245"/>
      <c r="AM5052" s="245"/>
      <c r="AN5052" s="245"/>
      <c r="AO5052" s="238">
        <v>-13.19</v>
      </c>
      <c r="AP5052" s="238">
        <v>0.0</v>
      </c>
      <c r="AQ5052" s="235" t="s">
        <v>632</v>
      </c>
      <c r="AR5052" s="243">
        <v>3.7E11</v>
      </c>
      <c r="AS5052" s="235" t="s">
        <v>34510</v>
      </c>
      <c r="AT5052" s="235" t="s">
        <v>9</v>
      </c>
      <c r="AU5052" s="235" t="s">
        <v>634</v>
      </c>
      <c r="AV5052" s="246" t="s">
        <v>635</v>
      </c>
      <c r="AW5052" s="227"/>
      <c r="AX5052" s="227"/>
      <c r="AY5052" s="227"/>
      <c r="AZ5052" s="227"/>
      <c r="BA5052" s="227"/>
      <c r="BB5052" s="227"/>
      <c r="BC5052" s="227"/>
      <c r="BD5052" s="227"/>
      <c r="BE5052" s="227"/>
      <c r="BF5052" s="227"/>
    </row>
    <row r="5053">
      <c r="A5053" s="235" t="s">
        <v>37274</v>
      </c>
      <c r="C5053" s="235" t="s">
        <v>37275</v>
      </c>
      <c r="D5053" s="235" t="s">
        <v>37276</v>
      </c>
      <c r="E5053" s="243">
        <v>6.49E13</v>
      </c>
      <c r="F5053" s="245"/>
      <c r="G5053" s="235" t="s">
        <v>37277</v>
      </c>
      <c r="H5053" s="235" t="s">
        <v>37278</v>
      </c>
      <c r="I5053" s="235" t="s">
        <v>37278</v>
      </c>
      <c r="J5053" s="235" t="s">
        <v>37279</v>
      </c>
      <c r="K5053" s="235" t="s">
        <v>37280</v>
      </c>
      <c r="N5053" s="235" t="s">
        <v>82</v>
      </c>
      <c r="O5053" s="235" t="s">
        <v>889</v>
      </c>
      <c r="P5053" s="238">
        <v>1.0</v>
      </c>
      <c r="Q5053" s="235" t="s">
        <v>627</v>
      </c>
      <c r="R5053" s="238">
        <v>243.8</v>
      </c>
      <c r="S5053" s="238">
        <v>11.96</v>
      </c>
      <c r="T5053" s="238">
        <v>0.0</v>
      </c>
      <c r="U5053" s="238">
        <v>0.0</v>
      </c>
      <c r="V5053" s="238">
        <v>0.0</v>
      </c>
      <c r="W5053" s="238">
        <v>0.0</v>
      </c>
      <c r="X5053" s="235" t="s">
        <v>628</v>
      </c>
      <c r="Z5053" s="245"/>
      <c r="AA5053" s="245"/>
      <c r="AB5053" s="245"/>
      <c r="AC5053" s="235" t="s">
        <v>1961</v>
      </c>
      <c r="AD5053" s="235" t="s">
        <v>845</v>
      </c>
      <c r="AE5053" s="238">
        <v>411033.0</v>
      </c>
      <c r="AF5053" s="235" t="s">
        <v>631</v>
      </c>
      <c r="AG5053" s="245"/>
      <c r="AH5053" s="245"/>
      <c r="AI5053" s="245"/>
      <c r="AJ5053" s="245"/>
      <c r="AK5053" s="245"/>
      <c r="AL5053" s="245"/>
      <c r="AM5053" s="245"/>
      <c r="AN5053" s="245"/>
      <c r="AO5053" s="238">
        <v>-4.88</v>
      </c>
      <c r="AP5053" s="238">
        <v>0.0</v>
      </c>
      <c r="AQ5053" s="235" t="s">
        <v>632</v>
      </c>
      <c r="AR5053" s="243">
        <v>1.68E11</v>
      </c>
      <c r="AS5053" s="235" t="s">
        <v>36667</v>
      </c>
      <c r="AT5053" s="235" t="s">
        <v>17</v>
      </c>
      <c r="AU5053" s="235" t="s">
        <v>634</v>
      </c>
      <c r="AV5053" s="246" t="s">
        <v>635</v>
      </c>
      <c r="AW5053" s="227"/>
      <c r="AX5053" s="227"/>
      <c r="AY5053" s="227"/>
      <c r="AZ5053" s="227"/>
      <c r="BA5053" s="227"/>
      <c r="BB5053" s="227"/>
      <c r="BC5053" s="227"/>
      <c r="BD5053" s="227"/>
      <c r="BE5053" s="227"/>
      <c r="BF5053" s="227"/>
    </row>
    <row r="5054">
      <c r="A5054" s="235" t="s">
        <v>37281</v>
      </c>
      <c r="C5054" s="235" t="s">
        <v>37282</v>
      </c>
      <c r="D5054" s="235" t="s">
        <v>37283</v>
      </c>
      <c r="E5054" s="243">
        <v>6.49E13</v>
      </c>
      <c r="F5054" s="245"/>
      <c r="G5054" s="235" t="s">
        <v>37284</v>
      </c>
      <c r="H5054" s="235" t="s">
        <v>37285</v>
      </c>
      <c r="I5054" s="235" t="s">
        <v>37285</v>
      </c>
      <c r="J5054" s="235" t="s">
        <v>37286</v>
      </c>
      <c r="K5054" s="235" t="s">
        <v>37287</v>
      </c>
      <c r="N5054" s="235" t="s">
        <v>144</v>
      </c>
      <c r="O5054" s="235" t="s">
        <v>232</v>
      </c>
      <c r="P5054" s="238">
        <v>1.0</v>
      </c>
      <c r="Q5054" s="235" t="s">
        <v>627</v>
      </c>
      <c r="R5054" s="238">
        <v>665.72</v>
      </c>
      <c r="S5054" s="238">
        <v>32.62</v>
      </c>
      <c r="T5054" s="238">
        <v>0.0</v>
      </c>
      <c r="U5054" s="238">
        <v>0.0</v>
      </c>
      <c r="V5054" s="238">
        <v>0.0</v>
      </c>
      <c r="W5054" s="238">
        <v>0.0</v>
      </c>
      <c r="X5054" s="235" t="s">
        <v>628</v>
      </c>
      <c r="Z5054" s="245"/>
      <c r="AA5054" s="245"/>
      <c r="AB5054" s="245"/>
      <c r="AC5054" s="235" t="s">
        <v>678</v>
      </c>
      <c r="AD5054" s="235" t="s">
        <v>679</v>
      </c>
      <c r="AE5054" s="238">
        <v>560001.0</v>
      </c>
      <c r="AF5054" s="235" t="s">
        <v>631</v>
      </c>
      <c r="AG5054" s="245"/>
      <c r="AH5054" s="245"/>
      <c r="AI5054" s="245"/>
      <c r="AJ5054" s="245"/>
      <c r="AK5054" s="245"/>
      <c r="AL5054" s="245"/>
      <c r="AM5054" s="245"/>
      <c r="AN5054" s="245"/>
      <c r="AO5054" s="238">
        <v>-13.32</v>
      </c>
      <c r="AP5054" s="238">
        <v>0.0</v>
      </c>
      <c r="AQ5054" s="235" t="s">
        <v>632</v>
      </c>
      <c r="AR5054" s="243">
        <v>1.68E11</v>
      </c>
      <c r="AS5054" s="235" t="s">
        <v>37288</v>
      </c>
      <c r="AT5054" s="235" t="s">
        <v>9</v>
      </c>
      <c r="AU5054" s="235" t="s">
        <v>634</v>
      </c>
      <c r="AV5054" s="246" t="s">
        <v>635</v>
      </c>
      <c r="AW5054" s="227"/>
      <c r="AX5054" s="227"/>
      <c r="AY5054" s="227"/>
      <c r="AZ5054" s="227"/>
      <c r="BA5054" s="227"/>
      <c r="BB5054" s="227"/>
      <c r="BC5054" s="227"/>
      <c r="BD5054" s="227"/>
      <c r="BE5054" s="227"/>
      <c r="BF5054" s="227"/>
    </row>
    <row r="5055">
      <c r="A5055" s="235" t="s">
        <v>37289</v>
      </c>
      <c r="C5055" s="235" t="s">
        <v>37290</v>
      </c>
      <c r="D5055" s="235" t="s">
        <v>37291</v>
      </c>
      <c r="E5055" s="243">
        <v>6.49E13</v>
      </c>
      <c r="F5055" s="245"/>
      <c r="G5055" s="235" t="s">
        <v>37292</v>
      </c>
      <c r="H5055" s="235" t="s">
        <v>37293</v>
      </c>
      <c r="I5055" s="235" t="s">
        <v>37294</v>
      </c>
      <c r="J5055" s="235" t="s">
        <v>37295</v>
      </c>
      <c r="K5055" s="235" t="s">
        <v>37296</v>
      </c>
      <c r="N5055" s="235" t="s">
        <v>138</v>
      </c>
      <c r="O5055" s="235" t="s">
        <v>675</v>
      </c>
      <c r="P5055" s="238">
        <v>1.0</v>
      </c>
      <c r="Q5055" s="235" t="s">
        <v>627</v>
      </c>
      <c r="R5055" s="238">
        <v>244.76</v>
      </c>
      <c r="S5055" s="238">
        <v>12.24</v>
      </c>
      <c r="T5055" s="238">
        <v>0.0</v>
      </c>
      <c r="U5055" s="238">
        <v>0.0</v>
      </c>
      <c r="V5055" s="238">
        <v>0.0</v>
      </c>
      <c r="W5055" s="238">
        <v>0.0</v>
      </c>
      <c r="X5055" s="235" t="s">
        <v>628</v>
      </c>
      <c r="Z5055" s="245"/>
      <c r="AA5055" s="245"/>
      <c r="AB5055" s="245"/>
      <c r="AC5055" s="235" t="s">
        <v>1910</v>
      </c>
      <c r="AD5055" s="235" t="s">
        <v>928</v>
      </c>
      <c r="AE5055" s="238">
        <v>122017.0</v>
      </c>
      <c r="AF5055" s="235" t="s">
        <v>631</v>
      </c>
      <c r="AG5055" s="245"/>
      <c r="AH5055" s="245"/>
      <c r="AI5055" s="245"/>
      <c r="AJ5055" s="245"/>
      <c r="AK5055" s="245"/>
      <c r="AL5055" s="245"/>
      <c r="AM5055" s="245"/>
      <c r="AN5055" s="245"/>
      <c r="AO5055" s="238">
        <v>0.0</v>
      </c>
      <c r="AP5055" s="238">
        <v>0.0</v>
      </c>
      <c r="AQ5055" s="235" t="s">
        <v>632</v>
      </c>
      <c r="AR5055" s="243">
        <v>1.68E11</v>
      </c>
      <c r="AS5055" s="235" t="s">
        <v>37288</v>
      </c>
      <c r="AT5055" s="235" t="s">
        <v>14</v>
      </c>
      <c r="AU5055" s="235" t="s">
        <v>634</v>
      </c>
      <c r="AV5055" s="246" t="s">
        <v>635</v>
      </c>
      <c r="AW5055" s="227"/>
      <c r="AX5055" s="227"/>
      <c r="AY5055" s="227"/>
      <c r="AZ5055" s="227"/>
      <c r="BA5055" s="227"/>
      <c r="BB5055" s="227"/>
      <c r="BC5055" s="227"/>
      <c r="BD5055" s="227"/>
      <c r="BE5055" s="227"/>
      <c r="BF5055" s="227"/>
    </row>
    <row r="5056">
      <c r="A5056" s="235" t="s">
        <v>37297</v>
      </c>
      <c r="C5056" s="235" t="s">
        <v>37298</v>
      </c>
      <c r="D5056" s="235" t="s">
        <v>37299</v>
      </c>
      <c r="E5056" s="243">
        <v>6.49E13</v>
      </c>
      <c r="F5056" s="245"/>
      <c r="G5056" s="235" t="s">
        <v>37300</v>
      </c>
      <c r="H5056" s="235" t="s">
        <v>37301</v>
      </c>
      <c r="I5056" s="235" t="s">
        <v>37301</v>
      </c>
      <c r="J5056" s="235" t="s">
        <v>37302</v>
      </c>
      <c r="K5056" s="235" t="s">
        <v>37303</v>
      </c>
      <c r="N5056" s="235" t="s">
        <v>71</v>
      </c>
      <c r="O5056" s="235" t="s">
        <v>240</v>
      </c>
      <c r="P5056" s="238">
        <v>1.0</v>
      </c>
      <c r="Q5056" s="235" t="s">
        <v>627</v>
      </c>
      <c r="R5056" s="238">
        <v>246.67</v>
      </c>
      <c r="S5056" s="238">
        <v>11.96</v>
      </c>
      <c r="T5056" s="238">
        <v>0.0</v>
      </c>
      <c r="U5056" s="238">
        <v>0.0</v>
      </c>
      <c r="V5056" s="238">
        <v>0.0</v>
      </c>
      <c r="W5056" s="238">
        <v>0.0</v>
      </c>
      <c r="X5056" s="235" t="s">
        <v>628</v>
      </c>
      <c r="Z5056" s="245"/>
      <c r="AA5056" s="245"/>
      <c r="AB5056" s="245"/>
      <c r="AC5056" s="235" t="s">
        <v>37304</v>
      </c>
      <c r="AD5056" s="235" t="s">
        <v>37305</v>
      </c>
      <c r="AE5056" s="238">
        <v>194101.0</v>
      </c>
      <c r="AF5056" s="235" t="s">
        <v>631</v>
      </c>
      <c r="AG5056" s="245"/>
      <c r="AH5056" s="245"/>
      <c r="AI5056" s="245"/>
      <c r="AJ5056" s="245"/>
      <c r="AK5056" s="245"/>
      <c r="AL5056" s="245"/>
      <c r="AM5056" s="245"/>
      <c r="AN5056" s="245"/>
      <c r="AO5056" s="238">
        <v>-7.4</v>
      </c>
      <c r="AP5056" s="238">
        <v>0.0</v>
      </c>
      <c r="AQ5056" s="235" t="s">
        <v>632</v>
      </c>
      <c r="AR5056" s="243">
        <v>3.7E11</v>
      </c>
      <c r="AS5056" s="235" t="s">
        <v>29883</v>
      </c>
      <c r="AT5056" s="235" t="s">
        <v>14</v>
      </c>
      <c r="AU5056" s="235" t="s">
        <v>634</v>
      </c>
      <c r="AV5056" s="246" t="s">
        <v>635</v>
      </c>
      <c r="AW5056" s="227"/>
      <c r="AX5056" s="227"/>
      <c r="AY5056" s="227"/>
      <c r="AZ5056" s="227"/>
      <c r="BA5056" s="227"/>
      <c r="BB5056" s="227"/>
      <c r="BC5056" s="227"/>
      <c r="BD5056" s="227"/>
      <c r="BE5056" s="227"/>
      <c r="BF5056" s="227"/>
    </row>
    <row r="5057">
      <c r="A5057" s="235" t="s">
        <v>37306</v>
      </c>
      <c r="C5057" s="235" t="s">
        <v>37307</v>
      </c>
      <c r="D5057" s="235" t="s">
        <v>37308</v>
      </c>
      <c r="E5057" s="243">
        <v>6.49E13</v>
      </c>
      <c r="F5057" s="245"/>
      <c r="G5057" s="235" t="s">
        <v>37309</v>
      </c>
      <c r="H5057" s="235" t="s">
        <v>37310</v>
      </c>
      <c r="I5057" s="235" t="s">
        <v>37311</v>
      </c>
      <c r="J5057" s="235" t="s">
        <v>37312</v>
      </c>
      <c r="K5057" s="235" t="s">
        <v>35143</v>
      </c>
      <c r="N5057" s="235" t="s">
        <v>51</v>
      </c>
      <c r="O5057" s="235" t="s">
        <v>273</v>
      </c>
      <c r="P5057" s="238">
        <v>1.0</v>
      </c>
      <c r="Q5057" s="235" t="s">
        <v>627</v>
      </c>
      <c r="R5057" s="238">
        <v>235.24</v>
      </c>
      <c r="S5057" s="238">
        <v>11.76</v>
      </c>
      <c r="T5057" s="238">
        <v>0.0</v>
      </c>
      <c r="U5057" s="238">
        <v>0.0</v>
      </c>
      <c r="V5057" s="238">
        <v>0.0</v>
      </c>
      <c r="W5057" s="238">
        <v>0.0</v>
      </c>
      <c r="X5057" s="235" t="s">
        <v>628</v>
      </c>
      <c r="Z5057" s="245"/>
      <c r="AA5057" s="245"/>
      <c r="AB5057" s="245"/>
      <c r="AC5057" s="235" t="s">
        <v>687</v>
      </c>
      <c r="AD5057" s="235" t="s">
        <v>666</v>
      </c>
      <c r="AE5057" s="238">
        <v>600087.0</v>
      </c>
      <c r="AF5057" s="235" t="s">
        <v>631</v>
      </c>
      <c r="AG5057" s="245"/>
      <c r="AH5057" s="245"/>
      <c r="AI5057" s="245"/>
      <c r="AJ5057" s="245"/>
      <c r="AK5057" s="245"/>
      <c r="AL5057" s="245"/>
      <c r="AM5057" s="245"/>
      <c r="AN5057" s="245"/>
      <c r="AO5057" s="238">
        <v>0.0</v>
      </c>
      <c r="AP5057" s="238">
        <v>0.0</v>
      </c>
      <c r="AQ5057" s="235" t="s">
        <v>632</v>
      </c>
      <c r="AR5057" s="243">
        <v>3.7E11</v>
      </c>
      <c r="AS5057" s="235" t="s">
        <v>36667</v>
      </c>
      <c r="AT5057" s="235" t="s">
        <v>156</v>
      </c>
      <c r="AU5057" s="235" t="s">
        <v>634</v>
      </c>
      <c r="AV5057" s="246" t="s">
        <v>635</v>
      </c>
      <c r="AW5057" s="227"/>
      <c r="AX5057" s="227"/>
      <c r="AY5057" s="227"/>
      <c r="AZ5057" s="227"/>
      <c r="BA5057" s="227"/>
      <c r="BB5057" s="227"/>
      <c r="BC5057" s="227"/>
      <c r="BD5057" s="227"/>
      <c r="BE5057" s="227"/>
      <c r="BF5057" s="227"/>
    </row>
    <row r="5058">
      <c r="A5058" s="235" t="s">
        <v>37313</v>
      </c>
      <c r="C5058" s="235" t="s">
        <v>37314</v>
      </c>
      <c r="D5058" s="235" t="s">
        <v>37315</v>
      </c>
      <c r="E5058" s="243">
        <v>6.49E13</v>
      </c>
      <c r="F5058" s="245"/>
      <c r="G5058" s="235" t="s">
        <v>37316</v>
      </c>
      <c r="H5058" s="235" t="s">
        <v>37317</v>
      </c>
      <c r="I5058" s="235" t="s">
        <v>37317</v>
      </c>
      <c r="J5058" s="235" t="s">
        <v>37318</v>
      </c>
      <c r="K5058" s="235" t="s">
        <v>37319</v>
      </c>
      <c r="N5058" s="235" t="s">
        <v>3875</v>
      </c>
      <c r="O5058" s="235" t="s">
        <v>3876</v>
      </c>
      <c r="P5058" s="238">
        <v>1.0</v>
      </c>
      <c r="Q5058" s="235" t="s">
        <v>627</v>
      </c>
      <c r="R5058" s="238">
        <v>207.62</v>
      </c>
      <c r="S5058" s="238">
        <v>10.18</v>
      </c>
      <c r="T5058" s="238">
        <v>9.04</v>
      </c>
      <c r="U5058" s="238">
        <v>0.46</v>
      </c>
      <c r="V5058" s="238">
        <v>0.0</v>
      </c>
      <c r="W5058" s="238">
        <v>0.0</v>
      </c>
      <c r="X5058" s="235" t="s">
        <v>628</v>
      </c>
      <c r="Z5058" s="245"/>
      <c r="AA5058" s="245"/>
      <c r="AB5058" s="245"/>
      <c r="AC5058" s="235" t="s">
        <v>1887</v>
      </c>
      <c r="AD5058" s="235" t="s">
        <v>679</v>
      </c>
      <c r="AE5058" s="238">
        <v>560061.0</v>
      </c>
      <c r="AF5058" s="235" t="s">
        <v>631</v>
      </c>
      <c r="AG5058" s="245"/>
      <c r="AH5058" s="245"/>
      <c r="AI5058" s="245"/>
      <c r="AJ5058" s="245"/>
      <c r="AK5058" s="245"/>
      <c r="AL5058" s="245"/>
      <c r="AM5058" s="245"/>
      <c r="AN5058" s="245"/>
      <c r="AO5058" s="238">
        <v>-4.16</v>
      </c>
      <c r="AP5058" s="238">
        <v>-9.04</v>
      </c>
      <c r="AQ5058" s="235" t="s">
        <v>632</v>
      </c>
      <c r="AR5058" s="243">
        <v>1.68E11</v>
      </c>
      <c r="AS5058" s="235" t="s">
        <v>37288</v>
      </c>
      <c r="AT5058" s="235" t="s">
        <v>11</v>
      </c>
      <c r="AU5058" s="235" t="s">
        <v>634</v>
      </c>
      <c r="AV5058" s="246" t="s">
        <v>635</v>
      </c>
      <c r="AW5058" s="227"/>
      <c r="AX5058" s="227"/>
      <c r="AY5058" s="227"/>
      <c r="AZ5058" s="227"/>
      <c r="BA5058" s="227"/>
      <c r="BB5058" s="227"/>
      <c r="BC5058" s="227"/>
      <c r="BD5058" s="227"/>
      <c r="BE5058" s="227"/>
      <c r="BF5058" s="227"/>
    </row>
    <row r="5059">
      <c r="A5059" s="235" t="s">
        <v>37320</v>
      </c>
      <c r="C5059" s="235" t="s">
        <v>37321</v>
      </c>
      <c r="D5059" s="235" t="s">
        <v>37322</v>
      </c>
      <c r="E5059" s="243">
        <v>6.49E13</v>
      </c>
      <c r="F5059" s="245"/>
      <c r="G5059" s="235" t="s">
        <v>37323</v>
      </c>
      <c r="H5059" s="235" t="s">
        <v>37324</v>
      </c>
      <c r="I5059" s="235" t="s">
        <v>37324</v>
      </c>
      <c r="J5059" s="235" t="s">
        <v>37325</v>
      </c>
      <c r="K5059" s="235" t="s">
        <v>37326</v>
      </c>
      <c r="N5059" s="235" t="s">
        <v>51</v>
      </c>
      <c r="O5059" s="235" t="s">
        <v>273</v>
      </c>
      <c r="P5059" s="238">
        <v>1.0</v>
      </c>
      <c r="Q5059" s="235" t="s">
        <v>627</v>
      </c>
      <c r="R5059" s="238">
        <v>235.24</v>
      </c>
      <c r="S5059" s="238">
        <v>11.52</v>
      </c>
      <c r="T5059" s="238">
        <v>0.0</v>
      </c>
      <c r="U5059" s="238">
        <v>0.0</v>
      </c>
      <c r="V5059" s="238">
        <v>0.0</v>
      </c>
      <c r="W5059" s="238">
        <v>0.0</v>
      </c>
      <c r="X5059" s="235" t="s">
        <v>628</v>
      </c>
      <c r="Z5059" s="245"/>
      <c r="AA5059" s="245"/>
      <c r="AB5059" s="245"/>
      <c r="AC5059" s="235" t="s">
        <v>1320</v>
      </c>
      <c r="AD5059" s="235" t="s">
        <v>666</v>
      </c>
      <c r="AE5059" s="238">
        <v>600100.0</v>
      </c>
      <c r="AF5059" s="235" t="s">
        <v>631</v>
      </c>
      <c r="AG5059" s="245"/>
      <c r="AH5059" s="245"/>
      <c r="AI5059" s="245"/>
      <c r="AJ5059" s="245"/>
      <c r="AK5059" s="245"/>
      <c r="AL5059" s="245"/>
      <c r="AM5059" s="245"/>
      <c r="AN5059" s="245"/>
      <c r="AO5059" s="238">
        <v>-4.7</v>
      </c>
      <c r="AP5059" s="238">
        <v>0.0</v>
      </c>
      <c r="AQ5059" s="235" t="s">
        <v>632</v>
      </c>
      <c r="AR5059" s="243">
        <v>3.7E11</v>
      </c>
      <c r="AS5059" s="235" t="s">
        <v>36667</v>
      </c>
      <c r="AT5059" s="235" t="s">
        <v>156</v>
      </c>
      <c r="AU5059" s="235" t="s">
        <v>634</v>
      </c>
      <c r="AV5059" s="246" t="s">
        <v>635</v>
      </c>
      <c r="AW5059" s="227"/>
      <c r="AX5059" s="227"/>
      <c r="AY5059" s="227"/>
      <c r="AZ5059" s="227"/>
      <c r="BA5059" s="227"/>
      <c r="BB5059" s="227"/>
      <c r="BC5059" s="227"/>
      <c r="BD5059" s="227"/>
      <c r="BE5059" s="227"/>
      <c r="BF5059" s="227"/>
    </row>
    <row r="5060">
      <c r="A5060" s="235" t="s">
        <v>37327</v>
      </c>
      <c r="C5060" s="235" t="s">
        <v>37328</v>
      </c>
      <c r="D5060" s="235" t="s">
        <v>37329</v>
      </c>
      <c r="E5060" s="243">
        <v>6.49E13</v>
      </c>
      <c r="F5060" s="245"/>
      <c r="G5060" s="235" t="s">
        <v>37330</v>
      </c>
      <c r="H5060" s="235" t="s">
        <v>37331</v>
      </c>
      <c r="I5060" s="235" t="s">
        <v>37331</v>
      </c>
      <c r="J5060" s="235" t="s">
        <v>37332</v>
      </c>
      <c r="K5060" s="235" t="s">
        <v>37333</v>
      </c>
      <c r="N5060" s="235" t="s">
        <v>42</v>
      </c>
      <c r="O5060" s="235" t="s">
        <v>204</v>
      </c>
      <c r="P5060" s="238">
        <v>1.0</v>
      </c>
      <c r="Q5060" s="235" t="s">
        <v>627</v>
      </c>
      <c r="R5060" s="238">
        <v>237.14</v>
      </c>
      <c r="S5060" s="238">
        <v>11.62</v>
      </c>
      <c r="T5060" s="238">
        <v>0.0</v>
      </c>
      <c r="U5060" s="238">
        <v>0.0</v>
      </c>
      <c r="V5060" s="238">
        <v>0.0</v>
      </c>
      <c r="W5060" s="238">
        <v>0.0</v>
      </c>
      <c r="X5060" s="235" t="s">
        <v>628</v>
      </c>
      <c r="Z5060" s="245"/>
      <c r="AA5060" s="245"/>
      <c r="AB5060" s="245"/>
      <c r="AC5060" s="235" t="s">
        <v>1456</v>
      </c>
      <c r="AD5060" s="235" t="s">
        <v>928</v>
      </c>
      <c r="AE5060" s="238">
        <v>122015.0</v>
      </c>
      <c r="AF5060" s="235" t="s">
        <v>631</v>
      </c>
      <c r="AG5060" s="245"/>
      <c r="AH5060" s="245"/>
      <c r="AI5060" s="245"/>
      <c r="AJ5060" s="245"/>
      <c r="AK5060" s="245"/>
      <c r="AL5060" s="245"/>
      <c r="AM5060" s="245"/>
      <c r="AN5060" s="245"/>
      <c r="AO5060" s="238">
        <v>-4.74</v>
      </c>
      <c r="AP5060" s="238">
        <v>0.0</v>
      </c>
      <c r="AQ5060" s="235" t="s">
        <v>632</v>
      </c>
      <c r="AR5060" s="243">
        <v>3.7E11</v>
      </c>
      <c r="AS5060" s="235" t="s">
        <v>36667</v>
      </c>
      <c r="AT5060" s="235" t="s">
        <v>14</v>
      </c>
      <c r="AU5060" s="235" t="s">
        <v>634</v>
      </c>
      <c r="AV5060" s="246" t="s">
        <v>635</v>
      </c>
      <c r="AW5060" s="227"/>
      <c r="AX5060" s="227"/>
      <c r="AY5060" s="227"/>
      <c r="AZ5060" s="227"/>
      <c r="BA5060" s="227"/>
      <c r="BB5060" s="227"/>
      <c r="BC5060" s="227"/>
      <c r="BD5060" s="227"/>
      <c r="BE5060" s="227"/>
      <c r="BF5060" s="227"/>
    </row>
    <row r="5061">
      <c r="A5061" s="235" t="s">
        <v>37334</v>
      </c>
      <c r="C5061" s="235" t="s">
        <v>37335</v>
      </c>
      <c r="D5061" s="235" t="s">
        <v>37336</v>
      </c>
      <c r="E5061" s="243">
        <v>6.47E13</v>
      </c>
      <c r="F5061" s="245"/>
      <c r="G5061" s="235" t="s">
        <v>37337</v>
      </c>
      <c r="H5061" s="235" t="s">
        <v>37338</v>
      </c>
      <c r="I5061" s="235" t="s">
        <v>37338</v>
      </c>
      <c r="J5061" s="235" t="s">
        <v>37339</v>
      </c>
      <c r="K5061" s="235" t="s">
        <v>31813</v>
      </c>
      <c r="N5061" s="235" t="s">
        <v>726</v>
      </c>
      <c r="O5061" s="235" t="s">
        <v>727</v>
      </c>
      <c r="P5061" s="238">
        <v>1.0</v>
      </c>
      <c r="Q5061" s="235" t="s">
        <v>627</v>
      </c>
      <c r="R5061" s="238">
        <v>244.76</v>
      </c>
      <c r="S5061" s="238">
        <v>12.24</v>
      </c>
      <c r="T5061" s="238">
        <v>38.1</v>
      </c>
      <c r="U5061" s="238">
        <v>1.9</v>
      </c>
      <c r="V5061" s="238">
        <v>0.0</v>
      </c>
      <c r="W5061" s="238">
        <v>0.0</v>
      </c>
      <c r="X5061" s="235" t="s">
        <v>628</v>
      </c>
      <c r="Z5061" s="245"/>
      <c r="AA5061" s="245"/>
      <c r="AB5061" s="245"/>
      <c r="AC5061" s="235" t="s">
        <v>31814</v>
      </c>
      <c r="AD5061" s="235" t="s">
        <v>1086</v>
      </c>
      <c r="AE5061" s="238">
        <v>148031.0</v>
      </c>
      <c r="AF5061" s="235" t="s">
        <v>631</v>
      </c>
      <c r="AG5061" s="245"/>
      <c r="AH5061" s="245"/>
      <c r="AI5061" s="245"/>
      <c r="AJ5061" s="245"/>
      <c r="AK5061" s="245"/>
      <c r="AL5061" s="245"/>
      <c r="AM5061" s="245"/>
      <c r="AN5061" s="245"/>
      <c r="AO5061" s="238">
        <v>0.0</v>
      </c>
      <c r="AP5061" s="238">
        <v>-38.1</v>
      </c>
      <c r="AQ5061" s="235" t="s">
        <v>632</v>
      </c>
      <c r="AR5061" s="243">
        <v>3.7E11</v>
      </c>
      <c r="AS5061" s="235" t="s">
        <v>34510</v>
      </c>
      <c r="AT5061" s="235" t="s">
        <v>533</v>
      </c>
      <c r="AU5061" s="235" t="s">
        <v>634</v>
      </c>
      <c r="AV5061" s="246" t="s">
        <v>635</v>
      </c>
      <c r="AW5061" s="227"/>
      <c r="AX5061" s="227"/>
      <c r="AY5061" s="227"/>
      <c r="AZ5061" s="227"/>
      <c r="BA5061" s="227"/>
      <c r="BB5061" s="227"/>
      <c r="BC5061" s="227"/>
      <c r="BD5061" s="227"/>
      <c r="BE5061" s="227"/>
      <c r="BF5061" s="227"/>
    </row>
    <row r="5062">
      <c r="A5062" s="235" t="s">
        <v>37340</v>
      </c>
      <c r="C5062" s="235" t="s">
        <v>37341</v>
      </c>
      <c r="D5062" s="235" t="s">
        <v>37342</v>
      </c>
      <c r="E5062" s="243">
        <v>6.49E13</v>
      </c>
      <c r="F5062" s="245"/>
      <c r="G5062" s="235" t="s">
        <v>37343</v>
      </c>
      <c r="H5062" s="235" t="s">
        <v>37344</v>
      </c>
      <c r="I5062" s="235" t="s">
        <v>37344</v>
      </c>
      <c r="J5062" s="235" t="s">
        <v>37345</v>
      </c>
      <c r="K5062" s="235" t="s">
        <v>37346</v>
      </c>
      <c r="N5062" s="235" t="s">
        <v>962</v>
      </c>
      <c r="O5062" s="235" t="s">
        <v>963</v>
      </c>
      <c r="P5062" s="238">
        <v>1.0</v>
      </c>
      <c r="Q5062" s="235" t="s">
        <v>627</v>
      </c>
      <c r="R5062" s="238">
        <v>245.72</v>
      </c>
      <c r="S5062" s="238">
        <v>12.28</v>
      </c>
      <c r="T5062" s="238">
        <v>0.0</v>
      </c>
      <c r="U5062" s="238">
        <v>0.0</v>
      </c>
      <c r="V5062" s="238">
        <v>0.0</v>
      </c>
      <c r="W5062" s="238">
        <v>0.0</v>
      </c>
      <c r="X5062" s="235" t="s">
        <v>628</v>
      </c>
      <c r="Z5062" s="245"/>
      <c r="AA5062" s="245"/>
      <c r="AB5062" s="245"/>
      <c r="AC5062" s="235" t="s">
        <v>687</v>
      </c>
      <c r="AD5062" s="235" t="s">
        <v>666</v>
      </c>
      <c r="AE5062" s="238">
        <v>600056.0</v>
      </c>
      <c r="AF5062" s="235" t="s">
        <v>631</v>
      </c>
      <c r="AG5062" s="245"/>
      <c r="AH5062" s="245"/>
      <c r="AI5062" s="245"/>
      <c r="AJ5062" s="245"/>
      <c r="AK5062" s="245"/>
      <c r="AL5062" s="245"/>
      <c r="AM5062" s="245"/>
      <c r="AN5062" s="245"/>
      <c r="AO5062" s="238">
        <v>0.0</v>
      </c>
      <c r="AP5062" s="238">
        <v>0.0</v>
      </c>
      <c r="AQ5062" s="235" t="s">
        <v>632</v>
      </c>
      <c r="AR5062" s="243">
        <v>3.7E11</v>
      </c>
      <c r="AS5062" s="235" t="s">
        <v>36667</v>
      </c>
      <c r="AT5062" s="235" t="s">
        <v>156</v>
      </c>
      <c r="AU5062" s="235" t="s">
        <v>634</v>
      </c>
      <c r="AV5062" s="246" t="s">
        <v>635</v>
      </c>
      <c r="AW5062" s="227"/>
      <c r="AX5062" s="227"/>
      <c r="AY5062" s="227"/>
      <c r="AZ5062" s="227"/>
      <c r="BA5062" s="227"/>
      <c r="BB5062" s="227"/>
      <c r="BC5062" s="227"/>
      <c r="BD5062" s="227"/>
      <c r="BE5062" s="227"/>
      <c r="BF5062" s="227"/>
    </row>
    <row r="5063">
      <c r="A5063" s="235" t="s">
        <v>37347</v>
      </c>
      <c r="C5063" s="235" t="s">
        <v>37348</v>
      </c>
      <c r="D5063" s="235" t="s">
        <v>37349</v>
      </c>
      <c r="E5063" s="243">
        <v>6.49E13</v>
      </c>
      <c r="F5063" s="245"/>
      <c r="G5063" s="235" t="s">
        <v>37350</v>
      </c>
      <c r="H5063" s="235" t="s">
        <v>37351</v>
      </c>
      <c r="I5063" s="235" t="s">
        <v>37352</v>
      </c>
      <c r="J5063" s="235" t="s">
        <v>37353</v>
      </c>
      <c r="K5063" s="235" t="s">
        <v>37354</v>
      </c>
      <c r="N5063" s="235" t="s">
        <v>90</v>
      </c>
      <c r="O5063" s="235" t="s">
        <v>279</v>
      </c>
      <c r="P5063" s="238">
        <v>1.0</v>
      </c>
      <c r="Q5063" s="235" t="s">
        <v>627</v>
      </c>
      <c r="R5063" s="238">
        <v>243.8</v>
      </c>
      <c r="S5063" s="238">
        <v>11.96</v>
      </c>
      <c r="T5063" s="238">
        <v>0.0</v>
      </c>
      <c r="U5063" s="238">
        <v>0.0</v>
      </c>
      <c r="V5063" s="238">
        <v>0.0</v>
      </c>
      <c r="W5063" s="238">
        <v>0.0</v>
      </c>
      <c r="X5063" s="235" t="s">
        <v>628</v>
      </c>
      <c r="Z5063" s="245"/>
      <c r="AA5063" s="245"/>
      <c r="AB5063" s="245"/>
      <c r="AC5063" s="235" t="s">
        <v>687</v>
      </c>
      <c r="AD5063" s="235" t="s">
        <v>666</v>
      </c>
      <c r="AE5063" s="238">
        <v>600031.0</v>
      </c>
      <c r="AF5063" s="235" t="s">
        <v>631</v>
      </c>
      <c r="AG5063" s="245"/>
      <c r="AH5063" s="245"/>
      <c r="AI5063" s="245"/>
      <c r="AJ5063" s="245"/>
      <c r="AK5063" s="245"/>
      <c r="AL5063" s="245"/>
      <c r="AM5063" s="245"/>
      <c r="AN5063" s="245"/>
      <c r="AO5063" s="238">
        <v>-4.88</v>
      </c>
      <c r="AP5063" s="238">
        <v>0.0</v>
      </c>
      <c r="AQ5063" s="235" t="s">
        <v>632</v>
      </c>
      <c r="AR5063" s="243">
        <v>1.68E11</v>
      </c>
      <c r="AS5063" s="235" t="s">
        <v>37288</v>
      </c>
      <c r="AT5063" s="235" t="s">
        <v>156</v>
      </c>
      <c r="AU5063" s="235" t="s">
        <v>634</v>
      </c>
      <c r="AV5063" s="246" t="s">
        <v>635</v>
      </c>
      <c r="AW5063" s="227"/>
      <c r="AX5063" s="227"/>
      <c r="AY5063" s="227"/>
      <c r="AZ5063" s="227"/>
      <c r="BA5063" s="227"/>
      <c r="BB5063" s="227"/>
      <c r="BC5063" s="227"/>
      <c r="BD5063" s="227"/>
      <c r="BE5063" s="227"/>
      <c r="BF5063" s="227"/>
    </row>
    <row r="5064">
      <c r="A5064" s="235" t="s">
        <v>37355</v>
      </c>
      <c r="C5064" s="235" t="s">
        <v>37356</v>
      </c>
      <c r="D5064" s="235" t="s">
        <v>37357</v>
      </c>
      <c r="E5064" s="243">
        <v>6.49E13</v>
      </c>
      <c r="F5064" s="245"/>
      <c r="G5064" s="235" t="s">
        <v>37358</v>
      </c>
      <c r="H5064" s="235" t="s">
        <v>37359</v>
      </c>
      <c r="I5064" s="235" t="s">
        <v>37359</v>
      </c>
      <c r="J5064" s="235" t="s">
        <v>37360</v>
      </c>
      <c r="K5064" s="235" t="s">
        <v>37361</v>
      </c>
      <c r="N5064" s="235" t="s">
        <v>42</v>
      </c>
      <c r="O5064" s="235" t="s">
        <v>204</v>
      </c>
      <c r="P5064" s="238">
        <v>1.0</v>
      </c>
      <c r="Q5064" s="235" t="s">
        <v>627</v>
      </c>
      <c r="R5064" s="238">
        <v>237.14</v>
      </c>
      <c r="S5064" s="238">
        <v>11.86</v>
      </c>
      <c r="T5064" s="238">
        <v>0.0</v>
      </c>
      <c r="U5064" s="238">
        <v>0.0</v>
      </c>
      <c r="V5064" s="238">
        <v>0.0</v>
      </c>
      <c r="W5064" s="238">
        <v>0.0</v>
      </c>
      <c r="X5064" s="235" t="s">
        <v>628</v>
      </c>
      <c r="Z5064" s="245"/>
      <c r="AA5064" s="245"/>
      <c r="AB5064" s="245"/>
      <c r="AC5064" s="235" t="s">
        <v>1320</v>
      </c>
      <c r="AD5064" s="235" t="s">
        <v>666</v>
      </c>
      <c r="AE5064" s="238">
        <v>600095.0</v>
      </c>
      <c r="AF5064" s="235" t="s">
        <v>631</v>
      </c>
      <c r="AG5064" s="245"/>
      <c r="AH5064" s="245"/>
      <c r="AI5064" s="245"/>
      <c r="AJ5064" s="245"/>
      <c r="AK5064" s="245"/>
      <c r="AL5064" s="245"/>
      <c r="AM5064" s="245"/>
      <c r="AN5064" s="245"/>
      <c r="AO5064" s="238">
        <v>0.0</v>
      </c>
      <c r="AP5064" s="238">
        <v>0.0</v>
      </c>
      <c r="AQ5064" s="235" t="s">
        <v>632</v>
      </c>
      <c r="AR5064" s="243">
        <v>3.7E11</v>
      </c>
      <c r="AS5064" s="235" t="s">
        <v>36667</v>
      </c>
      <c r="AT5064" s="235" t="s">
        <v>156</v>
      </c>
      <c r="AU5064" s="235" t="s">
        <v>634</v>
      </c>
      <c r="AV5064" s="246" t="s">
        <v>635</v>
      </c>
      <c r="AW5064" s="227"/>
      <c r="AX5064" s="227"/>
      <c r="AY5064" s="227"/>
      <c r="AZ5064" s="227"/>
      <c r="BA5064" s="227"/>
      <c r="BB5064" s="227"/>
      <c r="BC5064" s="227"/>
      <c r="BD5064" s="227"/>
      <c r="BE5064" s="227"/>
      <c r="BF5064" s="227"/>
    </row>
    <row r="5065">
      <c r="A5065" s="235" t="s">
        <v>37362</v>
      </c>
      <c r="C5065" s="235" t="s">
        <v>37363</v>
      </c>
      <c r="D5065" s="235" t="s">
        <v>37364</v>
      </c>
      <c r="E5065" s="243">
        <v>6.47E13</v>
      </c>
      <c r="F5065" s="245"/>
      <c r="G5065" s="235" t="s">
        <v>37365</v>
      </c>
      <c r="H5065" s="235" t="s">
        <v>37366</v>
      </c>
      <c r="I5065" s="235" t="s">
        <v>37366</v>
      </c>
      <c r="J5065" s="235" t="s">
        <v>37367</v>
      </c>
      <c r="K5065" s="235" t="s">
        <v>37368</v>
      </c>
      <c r="N5065" s="235" t="s">
        <v>842</v>
      </c>
      <c r="O5065" s="235" t="s">
        <v>843</v>
      </c>
      <c r="P5065" s="238">
        <v>1.0</v>
      </c>
      <c r="Q5065" s="235" t="s">
        <v>627</v>
      </c>
      <c r="R5065" s="238">
        <v>246.67</v>
      </c>
      <c r="S5065" s="238">
        <v>12.33</v>
      </c>
      <c r="T5065" s="238">
        <v>38.1</v>
      </c>
      <c r="U5065" s="238">
        <v>1.9</v>
      </c>
      <c r="V5065" s="238">
        <v>0.0</v>
      </c>
      <c r="W5065" s="238">
        <v>0.0</v>
      </c>
      <c r="X5065" s="235" t="s">
        <v>628</v>
      </c>
      <c r="Z5065" s="245"/>
      <c r="AA5065" s="245"/>
      <c r="AB5065" s="245"/>
      <c r="AC5065" s="235" t="s">
        <v>697</v>
      </c>
      <c r="AD5065" s="235" t="s">
        <v>698</v>
      </c>
      <c r="AE5065" s="238">
        <v>501510.0</v>
      </c>
      <c r="AF5065" s="235" t="s">
        <v>631</v>
      </c>
      <c r="AG5065" s="245"/>
      <c r="AH5065" s="245"/>
      <c r="AI5065" s="245"/>
      <c r="AJ5065" s="245"/>
      <c r="AK5065" s="245"/>
      <c r="AL5065" s="245"/>
      <c r="AM5065" s="245"/>
      <c r="AN5065" s="245"/>
      <c r="AO5065" s="238">
        <v>0.0</v>
      </c>
      <c r="AP5065" s="238">
        <v>-38.1</v>
      </c>
      <c r="AQ5065" s="235" t="s">
        <v>632</v>
      </c>
      <c r="AR5065" s="243">
        <v>3.7E11</v>
      </c>
      <c r="AS5065" s="235" t="s">
        <v>34510</v>
      </c>
      <c r="AT5065" s="235" t="s">
        <v>9</v>
      </c>
      <c r="AU5065" s="235" t="s">
        <v>634</v>
      </c>
      <c r="AV5065" s="246" t="s">
        <v>635</v>
      </c>
      <c r="AW5065" s="227"/>
      <c r="AX5065" s="227"/>
      <c r="AY5065" s="227"/>
      <c r="AZ5065" s="227"/>
      <c r="BA5065" s="227"/>
      <c r="BB5065" s="227"/>
      <c r="BC5065" s="227"/>
      <c r="BD5065" s="227"/>
      <c r="BE5065" s="227"/>
      <c r="BF5065" s="227"/>
    </row>
    <row r="5066">
      <c r="A5066" s="235" t="s">
        <v>37369</v>
      </c>
      <c r="C5066" s="235" t="s">
        <v>37370</v>
      </c>
      <c r="D5066" s="235" t="s">
        <v>37371</v>
      </c>
      <c r="E5066" s="243">
        <v>6.49E13</v>
      </c>
      <c r="F5066" s="245"/>
      <c r="G5066" s="235" t="s">
        <v>37372</v>
      </c>
      <c r="H5066" s="235" t="s">
        <v>37373</v>
      </c>
      <c r="I5066" s="235" t="s">
        <v>37373</v>
      </c>
      <c r="J5066" s="235" t="s">
        <v>37374</v>
      </c>
      <c r="K5066" s="235" t="s">
        <v>37375</v>
      </c>
      <c r="N5066" s="235" t="s">
        <v>2163</v>
      </c>
      <c r="O5066" s="235" t="s">
        <v>2164</v>
      </c>
      <c r="P5066" s="238">
        <v>1.0</v>
      </c>
      <c r="Q5066" s="235" t="s">
        <v>627</v>
      </c>
      <c r="R5066" s="238">
        <v>245.72</v>
      </c>
      <c r="S5066" s="238">
        <v>12.04</v>
      </c>
      <c r="T5066" s="238">
        <v>9.04</v>
      </c>
      <c r="U5066" s="238">
        <v>0.46</v>
      </c>
      <c r="V5066" s="238">
        <v>0.0</v>
      </c>
      <c r="W5066" s="238">
        <v>0.0</v>
      </c>
      <c r="X5066" s="235" t="s">
        <v>628</v>
      </c>
      <c r="Z5066" s="245"/>
      <c r="AA5066" s="245"/>
      <c r="AB5066" s="245"/>
      <c r="AC5066" s="235" t="s">
        <v>678</v>
      </c>
      <c r="AD5066" s="235" t="s">
        <v>679</v>
      </c>
      <c r="AE5066" s="238">
        <v>560087.0</v>
      </c>
      <c r="AF5066" s="235" t="s">
        <v>631</v>
      </c>
      <c r="AG5066" s="245"/>
      <c r="AH5066" s="245"/>
      <c r="AI5066" s="245"/>
      <c r="AJ5066" s="245"/>
      <c r="AK5066" s="245"/>
      <c r="AL5066" s="245"/>
      <c r="AM5066" s="245"/>
      <c r="AN5066" s="245"/>
      <c r="AO5066" s="238">
        <v>-4.92</v>
      </c>
      <c r="AP5066" s="238">
        <v>-9.04</v>
      </c>
      <c r="AQ5066" s="235" t="s">
        <v>632</v>
      </c>
      <c r="AR5066" s="243">
        <v>1.68E11</v>
      </c>
      <c r="AS5066" s="235" t="s">
        <v>37288</v>
      </c>
      <c r="AT5066" s="235" t="s">
        <v>11</v>
      </c>
      <c r="AU5066" s="235" t="s">
        <v>634</v>
      </c>
      <c r="AV5066" s="246" t="s">
        <v>635</v>
      </c>
      <c r="AW5066" s="227"/>
      <c r="AX5066" s="227"/>
      <c r="AY5066" s="227"/>
      <c r="AZ5066" s="227"/>
      <c r="BA5066" s="227"/>
      <c r="BB5066" s="227"/>
      <c r="BC5066" s="227"/>
      <c r="BD5066" s="227"/>
      <c r="BE5066" s="227"/>
      <c r="BF5066" s="227"/>
    </row>
    <row r="5067">
      <c r="A5067" s="235" t="s">
        <v>37376</v>
      </c>
      <c r="C5067" s="235" t="s">
        <v>37377</v>
      </c>
      <c r="D5067" s="235" t="s">
        <v>37378</v>
      </c>
      <c r="E5067" s="243">
        <v>6.49E13</v>
      </c>
      <c r="F5067" s="245"/>
      <c r="G5067" s="235" t="s">
        <v>37379</v>
      </c>
      <c r="H5067" s="235" t="s">
        <v>37380</v>
      </c>
      <c r="I5067" s="235" t="s">
        <v>37380</v>
      </c>
      <c r="J5067" s="235" t="s">
        <v>37381</v>
      </c>
      <c r="K5067" s="235" t="s">
        <v>37382</v>
      </c>
      <c r="N5067" s="235" t="s">
        <v>127</v>
      </c>
      <c r="O5067" s="235" t="s">
        <v>794</v>
      </c>
      <c r="P5067" s="238">
        <v>1.0</v>
      </c>
      <c r="Q5067" s="235" t="s">
        <v>627</v>
      </c>
      <c r="R5067" s="238">
        <v>243.8</v>
      </c>
      <c r="S5067" s="238">
        <v>12.2</v>
      </c>
      <c r="T5067" s="238">
        <v>0.0</v>
      </c>
      <c r="U5067" s="238">
        <v>0.0</v>
      </c>
      <c r="V5067" s="238">
        <v>0.0</v>
      </c>
      <c r="W5067" s="238">
        <v>0.0</v>
      </c>
      <c r="X5067" s="235" t="s">
        <v>628</v>
      </c>
      <c r="Z5067" s="245"/>
      <c r="AA5067" s="245"/>
      <c r="AB5067" s="245"/>
      <c r="AC5067" s="235" t="s">
        <v>1961</v>
      </c>
      <c r="AD5067" s="235" t="s">
        <v>845</v>
      </c>
      <c r="AE5067" s="238">
        <v>411017.0</v>
      </c>
      <c r="AF5067" s="235" t="s">
        <v>631</v>
      </c>
      <c r="AG5067" s="245"/>
      <c r="AH5067" s="245"/>
      <c r="AI5067" s="245"/>
      <c r="AJ5067" s="245"/>
      <c r="AK5067" s="245"/>
      <c r="AL5067" s="245"/>
      <c r="AM5067" s="245"/>
      <c r="AN5067" s="245"/>
      <c r="AO5067" s="238">
        <v>0.0</v>
      </c>
      <c r="AP5067" s="238">
        <v>0.0</v>
      </c>
      <c r="AQ5067" s="235" t="s">
        <v>632</v>
      </c>
      <c r="AR5067" s="243">
        <v>1.68E11</v>
      </c>
      <c r="AS5067" s="235" t="s">
        <v>37288</v>
      </c>
      <c r="AT5067" s="235" t="s">
        <v>546</v>
      </c>
      <c r="AU5067" s="235" t="s">
        <v>634</v>
      </c>
      <c r="AV5067" s="246" t="s">
        <v>635</v>
      </c>
      <c r="AW5067" s="227"/>
      <c r="AX5067" s="227"/>
      <c r="AY5067" s="227"/>
      <c r="AZ5067" s="227"/>
      <c r="BA5067" s="227"/>
      <c r="BB5067" s="227"/>
      <c r="BC5067" s="227"/>
      <c r="BD5067" s="227"/>
      <c r="BE5067" s="227"/>
      <c r="BF5067" s="227"/>
    </row>
    <row r="5068">
      <c r="A5068" s="235" t="s">
        <v>37383</v>
      </c>
      <c r="C5068" s="235" t="s">
        <v>37384</v>
      </c>
      <c r="D5068" s="235" t="s">
        <v>37385</v>
      </c>
      <c r="E5068" s="243">
        <v>6.48E13</v>
      </c>
      <c r="F5068" s="245"/>
      <c r="G5068" s="235" t="s">
        <v>37386</v>
      </c>
      <c r="H5068" s="235" t="s">
        <v>37387</v>
      </c>
      <c r="I5068" s="235" t="s">
        <v>37387</v>
      </c>
      <c r="J5068" s="235" t="s">
        <v>37388</v>
      </c>
      <c r="K5068" s="235" t="s">
        <v>37389</v>
      </c>
      <c r="N5068" s="235" t="s">
        <v>130</v>
      </c>
      <c r="O5068" s="235" t="s">
        <v>707</v>
      </c>
      <c r="P5068" s="238">
        <v>1.0</v>
      </c>
      <c r="Q5068" s="235" t="s">
        <v>627</v>
      </c>
      <c r="R5068" s="238">
        <v>243.8</v>
      </c>
      <c r="S5068" s="238">
        <v>12.2</v>
      </c>
      <c r="T5068" s="238">
        <v>38.1</v>
      </c>
      <c r="U5068" s="238">
        <v>1.9</v>
      </c>
      <c r="V5068" s="238">
        <v>0.0</v>
      </c>
      <c r="W5068" s="238">
        <v>0.0</v>
      </c>
      <c r="X5068" s="235" t="s">
        <v>628</v>
      </c>
      <c r="Z5068" s="245"/>
      <c r="AA5068" s="245"/>
      <c r="AB5068" s="245"/>
      <c r="AC5068" s="235" t="s">
        <v>1887</v>
      </c>
      <c r="AD5068" s="235" t="s">
        <v>679</v>
      </c>
      <c r="AE5068" s="238">
        <v>560036.0</v>
      </c>
      <c r="AF5068" s="235" t="s">
        <v>631</v>
      </c>
      <c r="AG5068" s="245"/>
      <c r="AH5068" s="245"/>
      <c r="AI5068" s="245"/>
      <c r="AJ5068" s="245"/>
      <c r="AK5068" s="245"/>
      <c r="AL5068" s="245"/>
      <c r="AM5068" s="245"/>
      <c r="AN5068" s="245"/>
      <c r="AO5068" s="238">
        <v>0.0</v>
      </c>
      <c r="AP5068" s="238">
        <v>-38.1</v>
      </c>
      <c r="AQ5068" s="235" t="s">
        <v>632</v>
      </c>
      <c r="AR5068" s="243">
        <v>3.7E11</v>
      </c>
      <c r="AS5068" s="235" t="s">
        <v>36667</v>
      </c>
      <c r="AT5068" s="235" t="s">
        <v>11</v>
      </c>
      <c r="AU5068" s="235" t="s">
        <v>634</v>
      </c>
      <c r="AV5068" s="246" t="s">
        <v>635</v>
      </c>
      <c r="AW5068" s="227"/>
      <c r="AX5068" s="227"/>
      <c r="AY5068" s="227"/>
      <c r="AZ5068" s="227"/>
      <c r="BA5068" s="227"/>
      <c r="BB5068" s="227"/>
      <c r="BC5068" s="227"/>
      <c r="BD5068" s="227"/>
      <c r="BE5068" s="227"/>
      <c r="BF5068" s="227"/>
    </row>
    <row r="5069">
      <c r="A5069" s="235" t="s">
        <v>37390</v>
      </c>
      <c r="C5069" s="235" t="s">
        <v>37391</v>
      </c>
      <c r="D5069" s="235" t="s">
        <v>37392</v>
      </c>
      <c r="E5069" s="243">
        <v>6.49E13</v>
      </c>
      <c r="F5069" s="245"/>
      <c r="G5069" s="235" t="s">
        <v>37393</v>
      </c>
      <c r="H5069" s="235" t="s">
        <v>37394</v>
      </c>
      <c r="I5069" s="235" t="s">
        <v>37394</v>
      </c>
      <c r="J5069" s="235" t="s">
        <v>37395</v>
      </c>
      <c r="K5069" s="235" t="s">
        <v>37396</v>
      </c>
      <c r="N5069" s="235" t="s">
        <v>68</v>
      </c>
      <c r="O5069" s="235" t="s">
        <v>208</v>
      </c>
      <c r="P5069" s="238">
        <v>1.0</v>
      </c>
      <c r="Q5069" s="235" t="s">
        <v>627</v>
      </c>
      <c r="R5069" s="238">
        <v>246.67</v>
      </c>
      <c r="S5069" s="238">
        <v>12.33</v>
      </c>
      <c r="T5069" s="238">
        <v>0.0</v>
      </c>
      <c r="U5069" s="238">
        <v>0.0</v>
      </c>
      <c r="V5069" s="238">
        <v>0.0</v>
      </c>
      <c r="W5069" s="238">
        <v>0.0</v>
      </c>
      <c r="X5069" s="235" t="s">
        <v>628</v>
      </c>
      <c r="Z5069" s="245"/>
      <c r="AA5069" s="245"/>
      <c r="AB5069" s="245"/>
      <c r="AC5069" s="235" t="s">
        <v>26250</v>
      </c>
      <c r="AD5069" s="235" t="s">
        <v>11319</v>
      </c>
      <c r="AE5069" s="238">
        <v>110028.0</v>
      </c>
      <c r="AF5069" s="235" t="s">
        <v>631</v>
      </c>
      <c r="AG5069" s="245"/>
      <c r="AH5069" s="245"/>
      <c r="AI5069" s="245"/>
      <c r="AJ5069" s="245"/>
      <c r="AK5069" s="245"/>
      <c r="AL5069" s="245"/>
      <c r="AM5069" s="245"/>
      <c r="AN5069" s="245"/>
      <c r="AO5069" s="238">
        <v>0.0</v>
      </c>
      <c r="AP5069" s="238">
        <v>0.0</v>
      </c>
      <c r="AQ5069" s="235" t="s">
        <v>632</v>
      </c>
      <c r="AR5069" s="243">
        <v>3.7E11</v>
      </c>
      <c r="AS5069" s="235" t="s">
        <v>36667</v>
      </c>
      <c r="AT5069" s="235" t="s">
        <v>14</v>
      </c>
      <c r="AU5069" s="235" t="s">
        <v>634</v>
      </c>
      <c r="AV5069" s="246" t="s">
        <v>635</v>
      </c>
      <c r="AW5069" s="227"/>
      <c r="AX5069" s="227"/>
      <c r="AY5069" s="227"/>
      <c r="AZ5069" s="227"/>
      <c r="BA5069" s="227"/>
      <c r="BB5069" s="227"/>
      <c r="BC5069" s="227"/>
      <c r="BD5069" s="227"/>
      <c r="BE5069" s="227"/>
      <c r="BF5069" s="227"/>
    </row>
    <row r="5070">
      <c r="A5070" s="235" t="s">
        <v>37397</v>
      </c>
      <c r="C5070" s="235" t="s">
        <v>37398</v>
      </c>
      <c r="D5070" s="235" t="s">
        <v>37399</v>
      </c>
      <c r="E5070" s="243">
        <v>6.49E13</v>
      </c>
      <c r="F5070" s="245"/>
      <c r="G5070" s="235" t="s">
        <v>37400</v>
      </c>
      <c r="H5070" s="235" t="s">
        <v>37401</v>
      </c>
      <c r="I5070" s="235" t="s">
        <v>37401</v>
      </c>
      <c r="J5070" s="235" t="s">
        <v>37402</v>
      </c>
      <c r="K5070" s="235" t="s">
        <v>37403</v>
      </c>
      <c r="N5070" s="235" t="s">
        <v>53</v>
      </c>
      <c r="O5070" s="235" t="s">
        <v>512</v>
      </c>
      <c r="P5070" s="238">
        <v>1.0</v>
      </c>
      <c r="Q5070" s="235" t="s">
        <v>627</v>
      </c>
      <c r="R5070" s="238">
        <v>237.14</v>
      </c>
      <c r="S5070" s="238">
        <v>11.86</v>
      </c>
      <c r="T5070" s="238">
        <v>94.28</v>
      </c>
      <c r="U5070" s="238">
        <v>4.72</v>
      </c>
      <c r="V5070" s="238">
        <v>0.0</v>
      </c>
      <c r="W5070" s="238">
        <v>0.0</v>
      </c>
      <c r="X5070" s="235" t="s">
        <v>628</v>
      </c>
      <c r="Z5070" s="245"/>
      <c r="AA5070" s="245"/>
      <c r="AB5070" s="245"/>
      <c r="AC5070" s="235" t="s">
        <v>687</v>
      </c>
      <c r="AD5070" s="235" t="s">
        <v>666</v>
      </c>
      <c r="AE5070" s="238">
        <v>600100.0</v>
      </c>
      <c r="AF5070" s="235" t="s">
        <v>631</v>
      </c>
      <c r="AG5070" s="245"/>
      <c r="AH5070" s="245"/>
      <c r="AI5070" s="245"/>
      <c r="AJ5070" s="245"/>
      <c r="AK5070" s="245"/>
      <c r="AL5070" s="245"/>
      <c r="AM5070" s="245"/>
      <c r="AN5070" s="245"/>
      <c r="AO5070" s="238">
        <v>0.0</v>
      </c>
      <c r="AP5070" s="238">
        <v>-94.28</v>
      </c>
      <c r="AQ5070" s="235" t="s">
        <v>632</v>
      </c>
      <c r="AR5070" s="243">
        <v>1.68E11</v>
      </c>
      <c r="AS5070" s="235" t="s">
        <v>37288</v>
      </c>
      <c r="AT5070" s="235" t="s">
        <v>156</v>
      </c>
      <c r="AU5070" s="235" t="s">
        <v>634</v>
      </c>
      <c r="AV5070" s="246" t="s">
        <v>635</v>
      </c>
      <c r="AW5070" s="227"/>
      <c r="AX5070" s="227"/>
      <c r="AY5070" s="227"/>
      <c r="AZ5070" s="227"/>
      <c r="BA5070" s="227"/>
      <c r="BB5070" s="227"/>
      <c r="BC5070" s="227"/>
      <c r="BD5070" s="227"/>
      <c r="BE5070" s="227"/>
      <c r="BF5070" s="227"/>
    </row>
    <row r="5071">
      <c r="A5071" s="235" t="s">
        <v>37404</v>
      </c>
      <c r="C5071" s="235" t="s">
        <v>37405</v>
      </c>
      <c r="D5071" s="235" t="s">
        <v>37406</v>
      </c>
      <c r="E5071" s="243">
        <v>6.49E13</v>
      </c>
      <c r="F5071" s="245"/>
      <c r="G5071" s="235" t="s">
        <v>37407</v>
      </c>
      <c r="H5071" s="235" t="s">
        <v>37408</v>
      </c>
      <c r="I5071" s="235" t="s">
        <v>37408</v>
      </c>
      <c r="J5071" s="235" t="s">
        <v>37409</v>
      </c>
      <c r="K5071" s="235" t="s">
        <v>37410</v>
      </c>
      <c r="N5071" s="235" t="s">
        <v>145</v>
      </c>
      <c r="O5071" s="235" t="s">
        <v>370</v>
      </c>
      <c r="P5071" s="238">
        <v>1.0</v>
      </c>
      <c r="Q5071" s="235" t="s">
        <v>627</v>
      </c>
      <c r="R5071" s="238">
        <v>1522.86</v>
      </c>
      <c r="S5071" s="238">
        <v>74.62</v>
      </c>
      <c r="T5071" s="238">
        <v>0.0</v>
      </c>
      <c r="U5071" s="238">
        <v>0.0</v>
      </c>
      <c r="V5071" s="238">
        <v>0.0</v>
      </c>
      <c r="W5071" s="238">
        <v>0.0</v>
      </c>
      <c r="X5071" s="235" t="s">
        <v>628</v>
      </c>
      <c r="Z5071" s="245"/>
      <c r="AA5071" s="245"/>
      <c r="AB5071" s="245"/>
      <c r="AC5071" s="235" t="s">
        <v>678</v>
      </c>
      <c r="AD5071" s="235" t="s">
        <v>679</v>
      </c>
      <c r="AE5071" s="238">
        <v>560076.0</v>
      </c>
      <c r="AF5071" s="235" t="s">
        <v>631</v>
      </c>
      <c r="AG5071" s="245"/>
      <c r="AH5071" s="245"/>
      <c r="AI5071" s="245"/>
      <c r="AJ5071" s="245"/>
      <c r="AK5071" s="245"/>
      <c r="AL5071" s="245"/>
      <c r="AM5071" s="245"/>
      <c r="AN5071" s="245"/>
      <c r="AO5071" s="238">
        <v>-30.46</v>
      </c>
      <c r="AP5071" s="238">
        <v>0.0</v>
      </c>
      <c r="AQ5071" s="235" t="s">
        <v>632</v>
      </c>
      <c r="AR5071" s="243">
        <v>1.68E11</v>
      </c>
      <c r="AS5071" s="235" t="s">
        <v>37288</v>
      </c>
      <c r="AT5071" s="235" t="s">
        <v>9</v>
      </c>
      <c r="AU5071" s="235" t="s">
        <v>634</v>
      </c>
      <c r="AV5071" s="246" t="s">
        <v>635</v>
      </c>
      <c r="AW5071" s="227"/>
      <c r="AX5071" s="227"/>
      <c r="AY5071" s="227"/>
      <c r="AZ5071" s="227"/>
      <c r="BA5071" s="227"/>
      <c r="BB5071" s="227"/>
      <c r="BC5071" s="227"/>
      <c r="BD5071" s="227"/>
      <c r="BE5071" s="227"/>
      <c r="BF5071" s="227"/>
    </row>
    <row r="5072">
      <c r="A5072" s="235" t="s">
        <v>37411</v>
      </c>
      <c r="C5072" s="235" t="s">
        <v>37412</v>
      </c>
      <c r="D5072" s="235" t="s">
        <v>37413</v>
      </c>
      <c r="E5072" s="243">
        <v>6.49E13</v>
      </c>
      <c r="F5072" s="245"/>
      <c r="G5072" s="235" t="s">
        <v>37414</v>
      </c>
      <c r="H5072" s="235" t="s">
        <v>37415</v>
      </c>
      <c r="I5072" s="235" t="s">
        <v>37415</v>
      </c>
      <c r="J5072" s="235" t="s">
        <v>37416</v>
      </c>
      <c r="K5072" s="235" t="s">
        <v>37417</v>
      </c>
      <c r="N5072" s="235" t="s">
        <v>989</v>
      </c>
      <c r="O5072" s="235" t="s">
        <v>990</v>
      </c>
      <c r="P5072" s="238">
        <v>1.0</v>
      </c>
      <c r="Q5072" s="235" t="s">
        <v>627</v>
      </c>
      <c r="R5072" s="238">
        <v>256.19</v>
      </c>
      <c r="S5072" s="238">
        <v>12.81</v>
      </c>
      <c r="T5072" s="238">
        <v>0.0</v>
      </c>
      <c r="U5072" s="238">
        <v>0.0</v>
      </c>
      <c r="V5072" s="238">
        <v>0.0</v>
      </c>
      <c r="W5072" s="238">
        <v>0.0</v>
      </c>
      <c r="X5072" s="235" t="s">
        <v>628</v>
      </c>
      <c r="Z5072" s="245"/>
      <c r="AA5072" s="245"/>
      <c r="AB5072" s="245"/>
      <c r="AC5072" s="235" t="s">
        <v>37418</v>
      </c>
      <c r="AD5072" s="235" t="s">
        <v>833</v>
      </c>
      <c r="AE5072" s="238">
        <v>521165.0</v>
      </c>
      <c r="AF5072" s="235" t="s">
        <v>631</v>
      </c>
      <c r="AG5072" s="245"/>
      <c r="AH5072" s="245"/>
      <c r="AI5072" s="245"/>
      <c r="AJ5072" s="245"/>
      <c r="AK5072" s="245"/>
      <c r="AL5072" s="245"/>
      <c r="AM5072" s="245"/>
      <c r="AN5072" s="245"/>
      <c r="AO5072" s="238">
        <v>0.0</v>
      </c>
      <c r="AP5072" s="238">
        <v>0.0</v>
      </c>
      <c r="AQ5072" s="235" t="s">
        <v>632</v>
      </c>
      <c r="AR5072" s="243">
        <v>3.7E11</v>
      </c>
      <c r="AS5072" s="235" t="s">
        <v>34510</v>
      </c>
      <c r="AT5072" s="235" t="s">
        <v>156</v>
      </c>
      <c r="AU5072" s="235" t="s">
        <v>634</v>
      </c>
      <c r="AV5072" s="246" t="s">
        <v>635</v>
      </c>
      <c r="AW5072" s="227"/>
      <c r="AX5072" s="227"/>
      <c r="AY5072" s="227"/>
      <c r="AZ5072" s="227"/>
      <c r="BA5072" s="227"/>
      <c r="BB5072" s="227"/>
      <c r="BC5072" s="227"/>
      <c r="BD5072" s="227"/>
      <c r="BE5072" s="227"/>
      <c r="BF5072" s="227"/>
    </row>
    <row r="5073">
      <c r="A5073" s="235" t="s">
        <v>37419</v>
      </c>
      <c r="C5073" s="235" t="s">
        <v>37420</v>
      </c>
      <c r="D5073" s="235" t="s">
        <v>37421</v>
      </c>
      <c r="E5073" s="243">
        <v>6.49E13</v>
      </c>
      <c r="F5073" s="245"/>
      <c r="G5073" s="235" t="s">
        <v>37422</v>
      </c>
      <c r="H5073" s="235" t="s">
        <v>37423</v>
      </c>
      <c r="I5073" s="235" t="s">
        <v>37423</v>
      </c>
      <c r="J5073" s="235" t="s">
        <v>37424</v>
      </c>
      <c r="K5073" s="235" t="s">
        <v>37425</v>
      </c>
      <c r="N5073" s="235" t="s">
        <v>127</v>
      </c>
      <c r="O5073" s="235" t="s">
        <v>794</v>
      </c>
      <c r="P5073" s="238">
        <v>1.0</v>
      </c>
      <c r="Q5073" s="235" t="s">
        <v>627</v>
      </c>
      <c r="R5073" s="238">
        <v>243.8</v>
      </c>
      <c r="S5073" s="238">
        <v>12.2</v>
      </c>
      <c r="T5073" s="238">
        <v>0.0</v>
      </c>
      <c r="U5073" s="238">
        <v>0.0</v>
      </c>
      <c r="V5073" s="238">
        <v>0.0</v>
      </c>
      <c r="W5073" s="238">
        <v>0.0</v>
      </c>
      <c r="X5073" s="235" t="s">
        <v>628</v>
      </c>
      <c r="Z5073" s="245"/>
      <c r="AA5073" s="245"/>
      <c r="AB5073" s="245"/>
      <c r="AC5073" s="235" t="s">
        <v>687</v>
      </c>
      <c r="AD5073" s="235" t="s">
        <v>666</v>
      </c>
      <c r="AE5073" s="238">
        <v>600126.0</v>
      </c>
      <c r="AF5073" s="235" t="s">
        <v>631</v>
      </c>
      <c r="AG5073" s="245"/>
      <c r="AH5073" s="245"/>
      <c r="AI5073" s="245"/>
      <c r="AJ5073" s="245"/>
      <c r="AK5073" s="245"/>
      <c r="AL5073" s="245"/>
      <c r="AM5073" s="245"/>
      <c r="AN5073" s="245"/>
      <c r="AO5073" s="238">
        <v>0.0</v>
      </c>
      <c r="AP5073" s="238">
        <v>0.0</v>
      </c>
      <c r="AQ5073" s="235" t="s">
        <v>632</v>
      </c>
      <c r="AR5073" s="243">
        <v>3.7E11</v>
      </c>
      <c r="AS5073" s="235" t="s">
        <v>36667</v>
      </c>
      <c r="AT5073" s="235" t="s">
        <v>156</v>
      </c>
      <c r="AU5073" s="235" t="s">
        <v>634</v>
      </c>
      <c r="AV5073" s="246" t="s">
        <v>635</v>
      </c>
      <c r="AW5073" s="227"/>
      <c r="AX5073" s="227"/>
      <c r="AY5073" s="227"/>
      <c r="AZ5073" s="227"/>
      <c r="BA5073" s="227"/>
      <c r="BB5073" s="227"/>
      <c r="BC5073" s="227"/>
      <c r="BD5073" s="227"/>
      <c r="BE5073" s="227"/>
      <c r="BF5073" s="227"/>
    </row>
    <row r="5074">
      <c r="A5074" s="235" t="s">
        <v>37426</v>
      </c>
      <c r="C5074" s="235" t="s">
        <v>37427</v>
      </c>
      <c r="D5074" s="235" t="s">
        <v>37428</v>
      </c>
      <c r="E5074" s="243">
        <v>6.49E13</v>
      </c>
      <c r="F5074" s="245"/>
      <c r="G5074" s="235" t="s">
        <v>37429</v>
      </c>
      <c r="H5074" s="235" t="s">
        <v>37430</v>
      </c>
      <c r="I5074" s="235" t="s">
        <v>37430</v>
      </c>
      <c r="J5074" s="235" t="s">
        <v>37431</v>
      </c>
      <c r="K5074" s="235" t="s">
        <v>37432</v>
      </c>
      <c r="N5074" s="235" t="s">
        <v>82</v>
      </c>
      <c r="O5074" s="235" t="s">
        <v>889</v>
      </c>
      <c r="P5074" s="238">
        <v>1.0</v>
      </c>
      <c r="Q5074" s="235" t="s">
        <v>627</v>
      </c>
      <c r="R5074" s="238">
        <v>243.81</v>
      </c>
      <c r="S5074" s="238">
        <v>12.19</v>
      </c>
      <c r="T5074" s="238">
        <v>38.1</v>
      </c>
      <c r="U5074" s="238">
        <v>1.9</v>
      </c>
      <c r="V5074" s="238">
        <v>0.0</v>
      </c>
      <c r="W5074" s="238">
        <v>0.0</v>
      </c>
      <c r="X5074" s="235" t="s">
        <v>628</v>
      </c>
      <c r="Z5074" s="245"/>
      <c r="AA5074" s="245"/>
      <c r="AB5074" s="245"/>
      <c r="AC5074" s="235" t="s">
        <v>37433</v>
      </c>
      <c r="AD5074" s="235" t="s">
        <v>917</v>
      </c>
      <c r="AE5074" s="238">
        <v>301413.0</v>
      </c>
      <c r="AF5074" s="235" t="s">
        <v>631</v>
      </c>
      <c r="AG5074" s="245"/>
      <c r="AH5074" s="245"/>
      <c r="AI5074" s="245"/>
      <c r="AJ5074" s="245"/>
      <c r="AK5074" s="245"/>
      <c r="AL5074" s="245"/>
      <c r="AM5074" s="245"/>
      <c r="AN5074" s="245"/>
      <c r="AO5074" s="238">
        <v>0.0</v>
      </c>
      <c r="AP5074" s="238">
        <v>-38.1</v>
      </c>
      <c r="AQ5074" s="235" t="s">
        <v>632</v>
      </c>
      <c r="AR5074" s="243">
        <v>3.7E11</v>
      </c>
      <c r="AS5074" s="235" t="s">
        <v>35520</v>
      </c>
      <c r="AT5074" s="235" t="s">
        <v>14</v>
      </c>
      <c r="AU5074" s="235" t="s">
        <v>634</v>
      </c>
      <c r="AV5074" s="246" t="s">
        <v>635</v>
      </c>
      <c r="AW5074" s="227"/>
      <c r="AX5074" s="227"/>
      <c r="AY5074" s="227"/>
      <c r="AZ5074" s="227"/>
      <c r="BA5074" s="227"/>
      <c r="BB5074" s="227"/>
      <c r="BC5074" s="227"/>
      <c r="BD5074" s="227"/>
      <c r="BE5074" s="227"/>
      <c r="BF5074" s="227"/>
    </row>
    <row r="5075">
      <c r="A5075" s="235" t="s">
        <v>37434</v>
      </c>
      <c r="C5075" s="235" t="s">
        <v>37435</v>
      </c>
      <c r="D5075" s="235" t="s">
        <v>37436</v>
      </c>
      <c r="E5075" s="243">
        <v>6.49E13</v>
      </c>
      <c r="F5075" s="245"/>
      <c r="G5075" s="235" t="s">
        <v>37437</v>
      </c>
      <c r="H5075" s="235" t="s">
        <v>37438</v>
      </c>
      <c r="I5075" s="235" t="s">
        <v>37438</v>
      </c>
      <c r="J5075" s="235" t="s">
        <v>37439</v>
      </c>
      <c r="K5075" s="235" t="s">
        <v>37440</v>
      </c>
      <c r="N5075" s="235" t="s">
        <v>962</v>
      </c>
      <c r="O5075" s="235" t="s">
        <v>963</v>
      </c>
      <c r="P5075" s="238">
        <v>1.0</v>
      </c>
      <c r="Q5075" s="235" t="s">
        <v>627</v>
      </c>
      <c r="R5075" s="238">
        <v>245.71</v>
      </c>
      <c r="S5075" s="238">
        <v>12.29</v>
      </c>
      <c r="T5075" s="238">
        <v>0.0</v>
      </c>
      <c r="U5075" s="238">
        <v>0.0</v>
      </c>
      <c r="V5075" s="238">
        <v>0.0</v>
      </c>
      <c r="W5075" s="238">
        <v>0.0</v>
      </c>
      <c r="X5075" s="235" t="s">
        <v>628</v>
      </c>
      <c r="Z5075" s="245"/>
      <c r="AA5075" s="245"/>
      <c r="AB5075" s="245"/>
      <c r="AC5075" s="235" t="s">
        <v>1287</v>
      </c>
      <c r="AD5075" s="235" t="s">
        <v>630</v>
      </c>
      <c r="AE5075" s="238">
        <v>201010.0</v>
      </c>
      <c r="AF5075" s="235" t="s">
        <v>631</v>
      </c>
      <c r="AG5075" s="245"/>
      <c r="AH5075" s="245"/>
      <c r="AI5075" s="245"/>
      <c r="AJ5075" s="245"/>
      <c r="AK5075" s="245"/>
      <c r="AL5075" s="245"/>
      <c r="AM5075" s="245"/>
      <c r="AN5075" s="245"/>
      <c r="AO5075" s="238">
        <v>0.0</v>
      </c>
      <c r="AP5075" s="238">
        <v>0.0</v>
      </c>
      <c r="AQ5075" s="235" t="s">
        <v>632</v>
      </c>
      <c r="AR5075" s="243">
        <v>1.68E11</v>
      </c>
      <c r="AS5075" s="235" t="s">
        <v>37288</v>
      </c>
      <c r="AT5075" s="235" t="s">
        <v>14</v>
      </c>
      <c r="AU5075" s="235" t="s">
        <v>634</v>
      </c>
      <c r="AV5075" s="246" t="s">
        <v>635</v>
      </c>
      <c r="AW5075" s="227"/>
      <c r="AX5075" s="227"/>
      <c r="AY5075" s="227"/>
      <c r="AZ5075" s="227"/>
      <c r="BA5075" s="227"/>
      <c r="BB5075" s="227"/>
      <c r="BC5075" s="227"/>
      <c r="BD5075" s="227"/>
      <c r="BE5075" s="227"/>
      <c r="BF5075" s="227"/>
    </row>
    <row r="5076">
      <c r="A5076" s="235" t="s">
        <v>37441</v>
      </c>
      <c r="C5076" s="235" t="s">
        <v>37442</v>
      </c>
      <c r="D5076" s="235" t="s">
        <v>37443</v>
      </c>
      <c r="E5076" s="243">
        <v>6.49E13</v>
      </c>
      <c r="F5076" s="245"/>
      <c r="G5076" s="235" t="s">
        <v>37444</v>
      </c>
      <c r="H5076" s="235" t="s">
        <v>37445</v>
      </c>
      <c r="I5076" s="235" t="s">
        <v>37445</v>
      </c>
      <c r="J5076" s="235" t="s">
        <v>37446</v>
      </c>
      <c r="K5076" s="235" t="s">
        <v>37447</v>
      </c>
      <c r="N5076" s="235" t="s">
        <v>154</v>
      </c>
      <c r="O5076" s="235" t="s">
        <v>766</v>
      </c>
      <c r="P5076" s="238">
        <v>1.0</v>
      </c>
      <c r="Q5076" s="235" t="s">
        <v>627</v>
      </c>
      <c r="R5076" s="238">
        <v>465.72</v>
      </c>
      <c r="S5076" s="238">
        <v>23.28</v>
      </c>
      <c r="T5076" s="238">
        <v>0.0</v>
      </c>
      <c r="U5076" s="238">
        <v>0.0</v>
      </c>
      <c r="V5076" s="238">
        <v>0.0</v>
      </c>
      <c r="W5076" s="238">
        <v>0.0</v>
      </c>
      <c r="X5076" s="235" t="s">
        <v>628</v>
      </c>
      <c r="Z5076" s="245"/>
      <c r="AA5076" s="245"/>
      <c r="AB5076" s="245"/>
      <c r="AC5076" s="235" t="s">
        <v>1514</v>
      </c>
      <c r="AD5076" s="235" t="s">
        <v>1077</v>
      </c>
      <c r="AE5076" s="238">
        <v>380052.0</v>
      </c>
      <c r="AF5076" s="235" t="s">
        <v>631</v>
      </c>
      <c r="AG5076" s="245"/>
      <c r="AH5076" s="245"/>
      <c r="AI5076" s="245"/>
      <c r="AJ5076" s="245"/>
      <c r="AK5076" s="245"/>
      <c r="AL5076" s="245"/>
      <c r="AM5076" s="245"/>
      <c r="AN5076" s="245"/>
      <c r="AO5076" s="238">
        <v>0.0</v>
      </c>
      <c r="AP5076" s="238">
        <v>0.0</v>
      </c>
      <c r="AQ5076" s="235" t="s">
        <v>632</v>
      </c>
      <c r="AR5076" s="243">
        <v>1.68E11</v>
      </c>
      <c r="AS5076" s="235" t="s">
        <v>37288</v>
      </c>
      <c r="AT5076" s="235" t="s">
        <v>5</v>
      </c>
      <c r="AU5076" s="235" t="s">
        <v>634</v>
      </c>
      <c r="AV5076" s="246" t="s">
        <v>635</v>
      </c>
      <c r="AW5076" s="227"/>
      <c r="AX5076" s="227"/>
      <c r="AY5076" s="227"/>
      <c r="AZ5076" s="227"/>
      <c r="BA5076" s="227"/>
      <c r="BB5076" s="227"/>
      <c r="BC5076" s="227"/>
      <c r="BD5076" s="227"/>
      <c r="BE5076" s="227"/>
      <c r="BF5076" s="227"/>
    </row>
    <row r="5077">
      <c r="A5077" s="235" t="s">
        <v>37448</v>
      </c>
      <c r="C5077" s="235" t="s">
        <v>37449</v>
      </c>
      <c r="D5077" s="235" t="s">
        <v>37450</v>
      </c>
      <c r="E5077" s="243">
        <v>6.49E13</v>
      </c>
      <c r="F5077" s="245"/>
      <c r="G5077" s="235" t="s">
        <v>37451</v>
      </c>
      <c r="H5077" s="235" t="s">
        <v>37452</v>
      </c>
      <c r="I5077" s="235" t="s">
        <v>37452</v>
      </c>
      <c r="J5077" s="235" t="s">
        <v>37453</v>
      </c>
      <c r="K5077" s="235" t="s">
        <v>37454</v>
      </c>
      <c r="N5077" s="235" t="s">
        <v>15</v>
      </c>
      <c r="O5077" s="235" t="s">
        <v>856</v>
      </c>
      <c r="P5077" s="238">
        <v>1.0</v>
      </c>
      <c r="Q5077" s="235" t="s">
        <v>627</v>
      </c>
      <c r="R5077" s="238">
        <v>360.96</v>
      </c>
      <c r="S5077" s="238">
        <v>18.04</v>
      </c>
      <c r="T5077" s="238">
        <v>0.0</v>
      </c>
      <c r="U5077" s="238">
        <v>0.0</v>
      </c>
      <c r="V5077" s="238">
        <v>0.0</v>
      </c>
      <c r="W5077" s="238">
        <v>0.0</v>
      </c>
      <c r="X5077" s="235" t="s">
        <v>628</v>
      </c>
      <c r="Z5077" s="245"/>
      <c r="AA5077" s="245"/>
      <c r="AB5077" s="245"/>
      <c r="AC5077" s="235" t="s">
        <v>4387</v>
      </c>
      <c r="AD5077" s="235" t="s">
        <v>845</v>
      </c>
      <c r="AE5077" s="238">
        <v>421301.0</v>
      </c>
      <c r="AF5077" s="235" t="s">
        <v>631</v>
      </c>
      <c r="AG5077" s="245"/>
      <c r="AH5077" s="245"/>
      <c r="AI5077" s="245"/>
      <c r="AJ5077" s="245"/>
      <c r="AK5077" s="245"/>
      <c r="AL5077" s="245"/>
      <c r="AM5077" s="245"/>
      <c r="AN5077" s="245"/>
      <c r="AO5077" s="238">
        <v>0.0</v>
      </c>
      <c r="AP5077" s="238">
        <v>0.0</v>
      </c>
      <c r="AQ5077" s="235" t="s">
        <v>632</v>
      </c>
      <c r="AR5077" s="243">
        <v>1.68E11</v>
      </c>
      <c r="AS5077" s="235" t="s">
        <v>37288</v>
      </c>
      <c r="AT5077" s="235" t="s">
        <v>16</v>
      </c>
      <c r="AU5077" s="235" t="s">
        <v>634</v>
      </c>
      <c r="AV5077" s="246" t="s">
        <v>635</v>
      </c>
      <c r="AW5077" s="227"/>
      <c r="AX5077" s="227"/>
      <c r="AY5077" s="227"/>
      <c r="AZ5077" s="227"/>
      <c r="BA5077" s="227"/>
      <c r="BB5077" s="227"/>
      <c r="BC5077" s="227"/>
      <c r="BD5077" s="227"/>
      <c r="BE5077" s="227"/>
      <c r="BF5077" s="227"/>
    </row>
    <row r="5078">
      <c r="A5078" s="235" t="s">
        <v>37455</v>
      </c>
      <c r="C5078" s="235" t="s">
        <v>37456</v>
      </c>
      <c r="D5078" s="235" t="s">
        <v>37457</v>
      </c>
      <c r="E5078" s="243">
        <v>6.49E13</v>
      </c>
      <c r="F5078" s="245"/>
      <c r="G5078" s="235" t="s">
        <v>36244</v>
      </c>
      <c r="H5078" s="235" t="s">
        <v>37458</v>
      </c>
      <c r="I5078" s="235" t="s">
        <v>37458</v>
      </c>
      <c r="J5078" s="235" t="s">
        <v>37459</v>
      </c>
      <c r="K5078" s="235" t="s">
        <v>37460</v>
      </c>
      <c r="N5078" s="235" t="s">
        <v>154</v>
      </c>
      <c r="O5078" s="235" t="s">
        <v>766</v>
      </c>
      <c r="P5078" s="238">
        <v>1.0</v>
      </c>
      <c r="Q5078" s="235" t="s">
        <v>627</v>
      </c>
      <c r="R5078" s="238">
        <v>465.72</v>
      </c>
      <c r="S5078" s="238">
        <v>23.28</v>
      </c>
      <c r="T5078" s="238">
        <v>9.04</v>
      </c>
      <c r="U5078" s="238">
        <v>0.46</v>
      </c>
      <c r="V5078" s="238">
        <v>0.0</v>
      </c>
      <c r="W5078" s="238">
        <v>0.0</v>
      </c>
      <c r="X5078" s="235" t="s">
        <v>628</v>
      </c>
      <c r="Z5078" s="245"/>
      <c r="AA5078" s="245"/>
      <c r="AB5078" s="245"/>
      <c r="AC5078" s="235" t="s">
        <v>678</v>
      </c>
      <c r="AD5078" s="235" t="s">
        <v>679</v>
      </c>
      <c r="AE5078" s="238">
        <v>560043.0</v>
      </c>
      <c r="AF5078" s="235" t="s">
        <v>631</v>
      </c>
      <c r="AG5078" s="245"/>
      <c r="AH5078" s="245"/>
      <c r="AI5078" s="245"/>
      <c r="AJ5078" s="245"/>
      <c r="AK5078" s="245"/>
      <c r="AL5078" s="245"/>
      <c r="AM5078" s="245"/>
      <c r="AN5078" s="245"/>
      <c r="AO5078" s="238">
        <v>0.0</v>
      </c>
      <c r="AP5078" s="238">
        <v>-9.04</v>
      </c>
      <c r="AQ5078" s="235" t="s">
        <v>632</v>
      </c>
      <c r="AR5078" s="243">
        <v>1.68E11</v>
      </c>
      <c r="AS5078" s="235" t="s">
        <v>37288</v>
      </c>
      <c r="AT5078" s="235" t="s">
        <v>11</v>
      </c>
      <c r="AU5078" s="235" t="s">
        <v>634</v>
      </c>
      <c r="AV5078" s="246" t="s">
        <v>635</v>
      </c>
      <c r="AW5078" s="227"/>
      <c r="AX5078" s="227"/>
      <c r="AY5078" s="227"/>
      <c r="AZ5078" s="227"/>
      <c r="BA5078" s="227"/>
      <c r="BB5078" s="227"/>
      <c r="BC5078" s="227"/>
      <c r="BD5078" s="227"/>
      <c r="BE5078" s="227"/>
      <c r="BF5078" s="227"/>
    </row>
    <row r="5079">
      <c r="A5079" s="235" t="s">
        <v>37461</v>
      </c>
      <c r="C5079" s="235" t="s">
        <v>37462</v>
      </c>
      <c r="D5079" s="235" t="s">
        <v>37463</v>
      </c>
      <c r="E5079" s="243">
        <v>6.49E13</v>
      </c>
      <c r="F5079" s="245"/>
      <c r="G5079" s="235" t="s">
        <v>37464</v>
      </c>
      <c r="H5079" s="235" t="s">
        <v>37465</v>
      </c>
      <c r="I5079" s="235" t="s">
        <v>37465</v>
      </c>
      <c r="J5079" s="235" t="s">
        <v>37466</v>
      </c>
      <c r="K5079" s="235" t="s">
        <v>37467</v>
      </c>
      <c r="N5079" s="235" t="s">
        <v>53</v>
      </c>
      <c r="O5079" s="235" t="s">
        <v>512</v>
      </c>
      <c r="P5079" s="238">
        <v>1.0</v>
      </c>
      <c r="Q5079" s="235" t="s">
        <v>627</v>
      </c>
      <c r="R5079" s="238">
        <v>237.14</v>
      </c>
      <c r="S5079" s="238">
        <v>11.86</v>
      </c>
      <c r="T5079" s="238">
        <v>0.0</v>
      </c>
      <c r="U5079" s="238">
        <v>0.0</v>
      </c>
      <c r="V5079" s="238">
        <v>0.0</v>
      </c>
      <c r="W5079" s="238">
        <v>0.0</v>
      </c>
      <c r="X5079" s="235" t="s">
        <v>628</v>
      </c>
      <c r="Z5079" s="245"/>
      <c r="AA5079" s="245"/>
      <c r="AB5079" s="245"/>
      <c r="AC5079" s="235" t="s">
        <v>6414</v>
      </c>
      <c r="AD5079" s="235" t="s">
        <v>645</v>
      </c>
      <c r="AE5079" s="238">
        <v>678685.0</v>
      </c>
      <c r="AF5079" s="235" t="s">
        <v>631</v>
      </c>
      <c r="AG5079" s="245"/>
      <c r="AH5079" s="245"/>
      <c r="AI5079" s="245"/>
      <c r="AJ5079" s="245"/>
      <c r="AK5079" s="245"/>
      <c r="AL5079" s="245"/>
      <c r="AM5079" s="245"/>
      <c r="AN5079" s="245"/>
      <c r="AO5079" s="238">
        <v>0.0</v>
      </c>
      <c r="AP5079" s="238">
        <v>0.0</v>
      </c>
      <c r="AQ5079" s="235" t="s">
        <v>632</v>
      </c>
      <c r="AR5079" s="243">
        <v>3.7E11</v>
      </c>
      <c r="AS5079" s="235" t="s">
        <v>36667</v>
      </c>
      <c r="AT5079" s="235" t="s">
        <v>155</v>
      </c>
      <c r="AU5079" s="235" t="s">
        <v>634</v>
      </c>
      <c r="AV5079" s="246" t="s">
        <v>635</v>
      </c>
      <c r="AW5079" s="227"/>
      <c r="AX5079" s="227"/>
      <c r="AY5079" s="227"/>
      <c r="AZ5079" s="227"/>
      <c r="BA5079" s="227"/>
      <c r="BB5079" s="227"/>
      <c r="BC5079" s="227"/>
      <c r="BD5079" s="227"/>
      <c r="BE5079" s="227"/>
      <c r="BF5079" s="227"/>
    </row>
    <row r="5080">
      <c r="A5080" s="235" t="s">
        <v>37468</v>
      </c>
      <c r="C5080" s="235" t="s">
        <v>37469</v>
      </c>
      <c r="D5080" s="235" t="s">
        <v>37470</v>
      </c>
      <c r="E5080" s="243">
        <v>6.49E13</v>
      </c>
      <c r="F5080" s="245"/>
      <c r="G5080" s="235" t="s">
        <v>37471</v>
      </c>
      <c r="H5080" s="235" t="s">
        <v>37472</v>
      </c>
      <c r="I5080" s="235" t="s">
        <v>37472</v>
      </c>
      <c r="J5080" s="235" t="s">
        <v>37473</v>
      </c>
      <c r="K5080" s="235" t="s">
        <v>37474</v>
      </c>
      <c r="N5080" s="235" t="s">
        <v>27</v>
      </c>
      <c r="O5080" s="235" t="s">
        <v>573</v>
      </c>
      <c r="P5080" s="238">
        <v>1.0</v>
      </c>
      <c r="Q5080" s="235" t="s">
        <v>627</v>
      </c>
      <c r="R5080" s="238">
        <v>360.96</v>
      </c>
      <c r="S5080" s="238">
        <v>18.04</v>
      </c>
      <c r="T5080" s="238">
        <v>18.1</v>
      </c>
      <c r="U5080" s="238">
        <v>0.9</v>
      </c>
      <c r="V5080" s="238">
        <v>0.0</v>
      </c>
      <c r="W5080" s="238">
        <v>0.0</v>
      </c>
      <c r="X5080" s="235" t="s">
        <v>628</v>
      </c>
      <c r="Z5080" s="245"/>
      <c r="AA5080" s="245"/>
      <c r="AB5080" s="245"/>
      <c r="AC5080" s="235" t="s">
        <v>1887</v>
      </c>
      <c r="AD5080" s="235" t="s">
        <v>679</v>
      </c>
      <c r="AE5080" s="238">
        <v>560043.0</v>
      </c>
      <c r="AF5080" s="235" t="s">
        <v>631</v>
      </c>
      <c r="AG5080" s="245"/>
      <c r="AH5080" s="245"/>
      <c r="AI5080" s="245"/>
      <c r="AJ5080" s="245"/>
      <c r="AK5080" s="245"/>
      <c r="AL5080" s="245"/>
      <c r="AM5080" s="245"/>
      <c r="AN5080" s="245"/>
      <c r="AO5080" s="238">
        <v>0.0</v>
      </c>
      <c r="AP5080" s="238">
        <v>-18.1</v>
      </c>
      <c r="AQ5080" s="235" t="s">
        <v>632</v>
      </c>
      <c r="AR5080" s="243">
        <v>1.68E11</v>
      </c>
      <c r="AS5080" s="235" t="s">
        <v>37288</v>
      </c>
      <c r="AT5080" s="235" t="s">
        <v>9</v>
      </c>
      <c r="AU5080" s="235" t="s">
        <v>634</v>
      </c>
      <c r="AV5080" s="246" t="s">
        <v>635</v>
      </c>
      <c r="AW5080" s="227"/>
      <c r="AX5080" s="227"/>
      <c r="AY5080" s="227"/>
      <c r="AZ5080" s="227"/>
      <c r="BA5080" s="227"/>
      <c r="BB5080" s="227"/>
      <c r="BC5080" s="227"/>
      <c r="BD5080" s="227"/>
      <c r="BE5080" s="227"/>
      <c r="BF5080" s="227"/>
    </row>
    <row r="5081">
      <c r="A5081" s="235" t="s">
        <v>37475</v>
      </c>
      <c r="C5081" s="235" t="s">
        <v>37476</v>
      </c>
      <c r="D5081" s="235" t="s">
        <v>37477</v>
      </c>
      <c r="E5081" s="243">
        <v>6.49E13</v>
      </c>
      <c r="F5081" s="245"/>
      <c r="G5081" s="235" t="s">
        <v>37478</v>
      </c>
      <c r="H5081" s="235" t="s">
        <v>37479</v>
      </c>
      <c r="I5081" s="235" t="s">
        <v>37479</v>
      </c>
      <c r="J5081" s="235" t="s">
        <v>37480</v>
      </c>
      <c r="K5081" s="235" t="s">
        <v>37481</v>
      </c>
      <c r="N5081" s="235" t="s">
        <v>127</v>
      </c>
      <c r="O5081" s="235" t="s">
        <v>794</v>
      </c>
      <c r="P5081" s="238">
        <v>1.0</v>
      </c>
      <c r="Q5081" s="235" t="s">
        <v>627</v>
      </c>
      <c r="R5081" s="238">
        <v>243.8</v>
      </c>
      <c r="S5081" s="238">
        <v>11.96</v>
      </c>
      <c r="T5081" s="238">
        <v>75.24</v>
      </c>
      <c r="U5081" s="238">
        <v>3.76</v>
      </c>
      <c r="V5081" s="238">
        <v>0.0</v>
      </c>
      <c r="W5081" s="238">
        <v>0.0</v>
      </c>
      <c r="X5081" s="235" t="s">
        <v>628</v>
      </c>
      <c r="Z5081" s="245"/>
      <c r="AA5081" s="245"/>
      <c r="AB5081" s="245"/>
      <c r="AC5081" s="235" t="s">
        <v>687</v>
      </c>
      <c r="AD5081" s="235" t="s">
        <v>666</v>
      </c>
      <c r="AE5081" s="238">
        <v>600119.0</v>
      </c>
      <c r="AF5081" s="235" t="s">
        <v>631</v>
      </c>
      <c r="AG5081" s="245"/>
      <c r="AH5081" s="245"/>
      <c r="AI5081" s="245"/>
      <c r="AJ5081" s="245"/>
      <c r="AK5081" s="245"/>
      <c r="AL5081" s="245"/>
      <c r="AM5081" s="245"/>
      <c r="AN5081" s="245"/>
      <c r="AO5081" s="238">
        <v>-4.88</v>
      </c>
      <c r="AP5081" s="238">
        <v>-75.24</v>
      </c>
      <c r="AQ5081" s="235" t="s">
        <v>632</v>
      </c>
      <c r="AR5081" s="243">
        <v>3.7E11</v>
      </c>
      <c r="AS5081" s="235" t="s">
        <v>36667</v>
      </c>
      <c r="AT5081" s="235" t="s">
        <v>156</v>
      </c>
      <c r="AU5081" s="235" t="s">
        <v>634</v>
      </c>
      <c r="AV5081" s="246" t="s">
        <v>635</v>
      </c>
      <c r="AW5081" s="227"/>
      <c r="AX5081" s="227"/>
      <c r="AY5081" s="227"/>
      <c r="AZ5081" s="227"/>
      <c r="BA5081" s="227"/>
      <c r="BB5081" s="227"/>
      <c r="BC5081" s="227"/>
      <c r="BD5081" s="227"/>
      <c r="BE5081" s="227"/>
      <c r="BF5081" s="227"/>
    </row>
    <row r="5082">
      <c r="A5082" s="235" t="s">
        <v>37482</v>
      </c>
      <c r="C5082" s="235" t="s">
        <v>37483</v>
      </c>
      <c r="D5082" s="235" t="s">
        <v>37484</v>
      </c>
      <c r="E5082" s="243">
        <v>6.49E13</v>
      </c>
      <c r="F5082" s="245"/>
      <c r="G5082" s="235" t="s">
        <v>37485</v>
      </c>
      <c r="H5082" s="235" t="s">
        <v>37486</v>
      </c>
      <c r="I5082" s="235" t="s">
        <v>37486</v>
      </c>
      <c r="J5082" s="235" t="s">
        <v>37487</v>
      </c>
      <c r="K5082" s="235" t="s">
        <v>37488</v>
      </c>
      <c r="N5082" s="235" t="s">
        <v>144</v>
      </c>
      <c r="O5082" s="235" t="s">
        <v>232</v>
      </c>
      <c r="P5082" s="238">
        <v>1.0</v>
      </c>
      <c r="Q5082" s="235" t="s">
        <v>627</v>
      </c>
      <c r="R5082" s="238">
        <v>665.72</v>
      </c>
      <c r="S5082" s="238">
        <v>33.28</v>
      </c>
      <c r="T5082" s="238">
        <v>0.0</v>
      </c>
      <c r="U5082" s="238">
        <v>0.0</v>
      </c>
      <c r="V5082" s="238">
        <v>0.0</v>
      </c>
      <c r="W5082" s="238">
        <v>0.0</v>
      </c>
      <c r="X5082" s="235" t="s">
        <v>628</v>
      </c>
      <c r="Z5082" s="245"/>
      <c r="AA5082" s="245"/>
      <c r="AB5082" s="245"/>
      <c r="AC5082" s="235" t="s">
        <v>687</v>
      </c>
      <c r="AD5082" s="235" t="s">
        <v>666</v>
      </c>
      <c r="AE5082" s="238">
        <v>600001.0</v>
      </c>
      <c r="AF5082" s="235" t="s">
        <v>631</v>
      </c>
      <c r="AG5082" s="245"/>
      <c r="AH5082" s="245"/>
      <c r="AI5082" s="245"/>
      <c r="AJ5082" s="245"/>
      <c r="AK5082" s="245"/>
      <c r="AL5082" s="245"/>
      <c r="AM5082" s="245"/>
      <c r="AN5082" s="245"/>
      <c r="AO5082" s="238">
        <v>0.0</v>
      </c>
      <c r="AP5082" s="238">
        <v>0.0</v>
      </c>
      <c r="AQ5082" s="235" t="s">
        <v>632</v>
      </c>
      <c r="AR5082" s="243">
        <v>3.7E11</v>
      </c>
      <c r="AS5082" s="235" t="s">
        <v>36667</v>
      </c>
      <c r="AT5082" s="235" t="s">
        <v>156</v>
      </c>
      <c r="AU5082" s="235" t="s">
        <v>634</v>
      </c>
      <c r="AV5082" s="246" t="s">
        <v>635</v>
      </c>
      <c r="AW5082" s="227"/>
      <c r="AX5082" s="227"/>
      <c r="AY5082" s="227"/>
      <c r="AZ5082" s="227"/>
      <c r="BA5082" s="227"/>
      <c r="BB5082" s="227"/>
      <c r="BC5082" s="227"/>
      <c r="BD5082" s="227"/>
      <c r="BE5082" s="227"/>
      <c r="BF5082" s="227"/>
    </row>
    <row r="5083">
      <c r="A5083" s="235" t="s">
        <v>37489</v>
      </c>
      <c r="C5083" s="235" t="s">
        <v>37490</v>
      </c>
      <c r="D5083" s="235" t="s">
        <v>37491</v>
      </c>
      <c r="E5083" s="243">
        <v>6.49E13</v>
      </c>
      <c r="F5083" s="245"/>
      <c r="G5083" s="235" t="s">
        <v>37492</v>
      </c>
      <c r="H5083" s="235" t="s">
        <v>37493</v>
      </c>
      <c r="I5083" s="235" t="s">
        <v>37493</v>
      </c>
      <c r="J5083" s="235" t="s">
        <v>37494</v>
      </c>
      <c r="K5083" s="235" t="s">
        <v>37495</v>
      </c>
      <c r="N5083" s="235" t="s">
        <v>127</v>
      </c>
      <c r="O5083" s="235" t="s">
        <v>794</v>
      </c>
      <c r="P5083" s="238">
        <v>1.0</v>
      </c>
      <c r="Q5083" s="235" t="s">
        <v>627</v>
      </c>
      <c r="R5083" s="238">
        <v>243.8</v>
      </c>
      <c r="S5083" s="238">
        <v>12.2</v>
      </c>
      <c r="T5083" s="238">
        <v>0.0</v>
      </c>
      <c r="U5083" s="238">
        <v>0.0</v>
      </c>
      <c r="V5083" s="238">
        <v>0.0</v>
      </c>
      <c r="W5083" s="238">
        <v>0.0</v>
      </c>
      <c r="X5083" s="235" t="s">
        <v>628</v>
      </c>
      <c r="Z5083" s="245"/>
      <c r="AA5083" s="245"/>
      <c r="AB5083" s="245"/>
      <c r="AC5083" s="235" t="s">
        <v>687</v>
      </c>
      <c r="AD5083" s="235" t="s">
        <v>666</v>
      </c>
      <c r="AE5083" s="238">
        <v>600127.0</v>
      </c>
      <c r="AF5083" s="235" t="s">
        <v>631</v>
      </c>
      <c r="AG5083" s="245"/>
      <c r="AH5083" s="245"/>
      <c r="AI5083" s="245"/>
      <c r="AJ5083" s="245"/>
      <c r="AK5083" s="245"/>
      <c r="AL5083" s="245"/>
      <c r="AM5083" s="245"/>
      <c r="AN5083" s="245"/>
      <c r="AO5083" s="238">
        <v>0.0</v>
      </c>
      <c r="AP5083" s="238">
        <v>0.0</v>
      </c>
      <c r="AQ5083" s="235" t="s">
        <v>632</v>
      </c>
      <c r="AR5083" s="243">
        <v>3.7E11</v>
      </c>
      <c r="AS5083" s="235" t="s">
        <v>36667</v>
      </c>
      <c r="AT5083" s="235" t="s">
        <v>156</v>
      </c>
      <c r="AU5083" s="235" t="s">
        <v>634</v>
      </c>
      <c r="AV5083" s="246" t="s">
        <v>635</v>
      </c>
      <c r="AW5083" s="227"/>
      <c r="AX5083" s="227"/>
      <c r="AY5083" s="227"/>
      <c r="AZ5083" s="227"/>
      <c r="BA5083" s="227"/>
      <c r="BB5083" s="227"/>
      <c r="BC5083" s="227"/>
      <c r="BD5083" s="227"/>
      <c r="BE5083" s="227"/>
      <c r="BF5083" s="227"/>
    </row>
    <row r="5084">
      <c r="A5084" s="235" t="s">
        <v>37496</v>
      </c>
      <c r="C5084" s="235" t="s">
        <v>37497</v>
      </c>
      <c r="D5084" s="235" t="s">
        <v>37498</v>
      </c>
      <c r="E5084" s="243">
        <v>6.49E13</v>
      </c>
      <c r="F5084" s="245"/>
      <c r="G5084" s="235" t="s">
        <v>37499</v>
      </c>
      <c r="H5084" s="235" t="s">
        <v>37500</v>
      </c>
      <c r="I5084" s="235" t="s">
        <v>37500</v>
      </c>
      <c r="J5084" s="235" t="s">
        <v>37501</v>
      </c>
      <c r="K5084" s="235" t="s">
        <v>37502</v>
      </c>
      <c r="N5084" s="235" t="s">
        <v>134</v>
      </c>
      <c r="O5084" s="235" t="s">
        <v>314</v>
      </c>
      <c r="P5084" s="238">
        <v>1.0</v>
      </c>
      <c r="Q5084" s="235" t="s">
        <v>627</v>
      </c>
      <c r="R5084" s="238">
        <v>244.76</v>
      </c>
      <c r="S5084" s="238">
        <v>12.24</v>
      </c>
      <c r="T5084" s="238">
        <v>3.02</v>
      </c>
      <c r="U5084" s="238">
        <v>0.15</v>
      </c>
      <c r="V5084" s="238">
        <v>0.0</v>
      </c>
      <c r="W5084" s="238">
        <v>0.0</v>
      </c>
      <c r="X5084" s="235" t="s">
        <v>628</v>
      </c>
      <c r="Z5084" s="245"/>
      <c r="AA5084" s="245"/>
      <c r="AB5084" s="245"/>
      <c r="AC5084" s="235" t="s">
        <v>795</v>
      </c>
      <c r="AD5084" s="235" t="s">
        <v>796</v>
      </c>
      <c r="AE5084" s="238">
        <v>110015.0</v>
      </c>
      <c r="AF5084" s="235" t="s">
        <v>631</v>
      </c>
      <c r="AG5084" s="245"/>
      <c r="AH5084" s="245"/>
      <c r="AI5084" s="245"/>
      <c r="AJ5084" s="245"/>
      <c r="AK5084" s="245"/>
      <c r="AL5084" s="245"/>
      <c r="AM5084" s="245"/>
      <c r="AN5084" s="245"/>
      <c r="AO5084" s="238">
        <v>0.0</v>
      </c>
      <c r="AP5084" s="238">
        <v>-3.02</v>
      </c>
      <c r="AQ5084" s="235" t="s">
        <v>632</v>
      </c>
      <c r="AR5084" s="243">
        <v>1.68E11</v>
      </c>
      <c r="AS5084" s="235" t="s">
        <v>37288</v>
      </c>
      <c r="AT5084" s="235" t="s">
        <v>533</v>
      </c>
      <c r="AU5084" s="235" t="s">
        <v>634</v>
      </c>
      <c r="AV5084" s="246" t="s">
        <v>635</v>
      </c>
      <c r="AW5084" s="227"/>
      <c r="AX5084" s="227"/>
      <c r="AY5084" s="227"/>
      <c r="AZ5084" s="227"/>
      <c r="BA5084" s="227"/>
      <c r="BB5084" s="227"/>
      <c r="BC5084" s="227"/>
      <c r="BD5084" s="227"/>
      <c r="BE5084" s="227"/>
      <c r="BF5084" s="227"/>
    </row>
    <row r="5085">
      <c r="A5085" s="235" t="s">
        <v>37503</v>
      </c>
      <c r="C5085" s="235" t="s">
        <v>37504</v>
      </c>
      <c r="D5085" s="235" t="s">
        <v>37505</v>
      </c>
      <c r="E5085" s="243">
        <v>6.49E13</v>
      </c>
      <c r="F5085" s="245"/>
      <c r="G5085" s="235" t="s">
        <v>37506</v>
      </c>
      <c r="H5085" s="235" t="s">
        <v>37507</v>
      </c>
      <c r="I5085" s="235" t="s">
        <v>37507</v>
      </c>
      <c r="J5085" s="235" t="s">
        <v>37508</v>
      </c>
      <c r="K5085" s="235" t="s">
        <v>37509</v>
      </c>
      <c r="N5085" s="235" t="s">
        <v>42</v>
      </c>
      <c r="O5085" s="235" t="s">
        <v>204</v>
      </c>
      <c r="P5085" s="238">
        <v>1.0</v>
      </c>
      <c r="Q5085" s="235" t="s">
        <v>627</v>
      </c>
      <c r="R5085" s="238">
        <v>237.14</v>
      </c>
      <c r="S5085" s="238">
        <v>11.86</v>
      </c>
      <c r="T5085" s="238">
        <v>38.1</v>
      </c>
      <c r="U5085" s="238">
        <v>1.9</v>
      </c>
      <c r="V5085" s="238">
        <v>0.0</v>
      </c>
      <c r="W5085" s="238">
        <v>0.0</v>
      </c>
      <c r="X5085" s="235" t="s">
        <v>628</v>
      </c>
      <c r="Z5085" s="245"/>
      <c r="AA5085" s="245"/>
      <c r="AB5085" s="245"/>
      <c r="AC5085" s="235" t="s">
        <v>37510</v>
      </c>
      <c r="AD5085" s="235" t="s">
        <v>666</v>
      </c>
      <c r="AE5085" s="238">
        <v>629702.0</v>
      </c>
      <c r="AF5085" s="235" t="s">
        <v>631</v>
      </c>
      <c r="AG5085" s="245"/>
      <c r="AH5085" s="245"/>
      <c r="AI5085" s="245"/>
      <c r="AJ5085" s="245"/>
      <c r="AK5085" s="245"/>
      <c r="AL5085" s="245"/>
      <c r="AM5085" s="245"/>
      <c r="AN5085" s="245"/>
      <c r="AO5085" s="238">
        <v>0.0</v>
      </c>
      <c r="AP5085" s="238">
        <v>-38.1</v>
      </c>
      <c r="AQ5085" s="235" t="s">
        <v>632</v>
      </c>
      <c r="AR5085" s="243">
        <v>3.7E11</v>
      </c>
      <c r="AS5085" s="235" t="s">
        <v>33466</v>
      </c>
      <c r="AT5085" s="235" t="s">
        <v>155</v>
      </c>
      <c r="AU5085" s="235" t="s">
        <v>634</v>
      </c>
      <c r="AV5085" s="246" t="s">
        <v>635</v>
      </c>
      <c r="AW5085" s="227"/>
      <c r="AX5085" s="227"/>
      <c r="AY5085" s="227"/>
      <c r="AZ5085" s="227"/>
      <c r="BA5085" s="227"/>
      <c r="BB5085" s="227"/>
      <c r="BC5085" s="227"/>
      <c r="BD5085" s="227"/>
      <c r="BE5085" s="227"/>
      <c r="BF5085" s="227"/>
    </row>
    <row r="5086">
      <c r="A5086" s="235" t="s">
        <v>37511</v>
      </c>
      <c r="C5086" s="235" t="s">
        <v>37512</v>
      </c>
      <c r="D5086" s="235" t="s">
        <v>37513</v>
      </c>
      <c r="E5086" s="243">
        <v>6.49E13</v>
      </c>
      <c r="F5086" s="245"/>
      <c r="G5086" s="235" t="s">
        <v>37514</v>
      </c>
      <c r="H5086" s="235" t="s">
        <v>37515</v>
      </c>
      <c r="I5086" s="235" t="s">
        <v>37515</v>
      </c>
      <c r="J5086" s="235" t="s">
        <v>37516</v>
      </c>
      <c r="K5086" s="235" t="s">
        <v>37517</v>
      </c>
      <c r="N5086" s="235" t="s">
        <v>144</v>
      </c>
      <c r="O5086" s="235" t="s">
        <v>232</v>
      </c>
      <c r="P5086" s="238">
        <v>1.0</v>
      </c>
      <c r="Q5086" s="235" t="s">
        <v>627</v>
      </c>
      <c r="R5086" s="238">
        <v>665.71</v>
      </c>
      <c r="S5086" s="238">
        <v>32.62</v>
      </c>
      <c r="T5086" s="238">
        <v>38.1</v>
      </c>
      <c r="U5086" s="238">
        <v>1.9</v>
      </c>
      <c r="V5086" s="238">
        <v>0.0</v>
      </c>
      <c r="W5086" s="238">
        <v>0.0</v>
      </c>
      <c r="X5086" s="235" t="s">
        <v>628</v>
      </c>
      <c r="Z5086" s="245"/>
      <c r="AA5086" s="245"/>
      <c r="AB5086" s="245"/>
      <c r="AC5086" s="235" t="s">
        <v>1531</v>
      </c>
      <c r="AD5086" s="235" t="s">
        <v>1151</v>
      </c>
      <c r="AE5086" s="238">
        <v>700029.0</v>
      </c>
      <c r="AF5086" s="235" t="s">
        <v>631</v>
      </c>
      <c r="AG5086" s="245"/>
      <c r="AH5086" s="245"/>
      <c r="AI5086" s="245"/>
      <c r="AJ5086" s="245"/>
      <c r="AK5086" s="245"/>
      <c r="AL5086" s="245"/>
      <c r="AM5086" s="245"/>
      <c r="AN5086" s="245"/>
      <c r="AO5086" s="238">
        <v>-13.31</v>
      </c>
      <c r="AP5086" s="238">
        <v>-38.1</v>
      </c>
      <c r="AQ5086" s="235" t="s">
        <v>632</v>
      </c>
      <c r="AR5086" s="243">
        <v>3.7E11</v>
      </c>
      <c r="AS5086" s="235" t="s">
        <v>33466</v>
      </c>
      <c r="AT5086" s="235" t="s">
        <v>13</v>
      </c>
      <c r="AU5086" s="235" t="s">
        <v>634</v>
      </c>
      <c r="AV5086" s="246" t="s">
        <v>635</v>
      </c>
      <c r="AW5086" s="227"/>
      <c r="AX5086" s="227"/>
      <c r="AY5086" s="227"/>
      <c r="AZ5086" s="227"/>
      <c r="BA5086" s="227"/>
      <c r="BB5086" s="227"/>
      <c r="BC5086" s="227"/>
      <c r="BD5086" s="227"/>
      <c r="BE5086" s="227"/>
      <c r="BF5086" s="227"/>
    </row>
    <row r="5087">
      <c r="A5087" s="235" t="s">
        <v>37518</v>
      </c>
      <c r="C5087" s="235" t="s">
        <v>37519</v>
      </c>
      <c r="D5087" s="235" t="s">
        <v>37520</v>
      </c>
      <c r="E5087" s="243">
        <v>6.47E13</v>
      </c>
      <c r="F5087" s="245"/>
      <c r="G5087" s="235" t="s">
        <v>37521</v>
      </c>
      <c r="H5087" s="235" t="s">
        <v>37522</v>
      </c>
      <c r="I5087" s="235" t="s">
        <v>37522</v>
      </c>
      <c r="J5087" s="235" t="s">
        <v>37523</v>
      </c>
      <c r="K5087" s="235" t="s">
        <v>37524</v>
      </c>
      <c r="N5087" s="235" t="s">
        <v>42</v>
      </c>
      <c r="O5087" s="235" t="s">
        <v>204</v>
      </c>
      <c r="P5087" s="238">
        <v>1.0</v>
      </c>
      <c r="Q5087" s="235" t="s">
        <v>627</v>
      </c>
      <c r="R5087" s="238">
        <v>237.14</v>
      </c>
      <c r="S5087" s="238">
        <v>11.86</v>
      </c>
      <c r="T5087" s="238">
        <v>0.0</v>
      </c>
      <c r="U5087" s="238">
        <v>0.0</v>
      </c>
      <c r="V5087" s="238">
        <v>0.0</v>
      </c>
      <c r="W5087" s="238">
        <v>0.0</v>
      </c>
      <c r="X5087" s="235" t="s">
        <v>628</v>
      </c>
      <c r="Z5087" s="245"/>
      <c r="AA5087" s="245"/>
      <c r="AB5087" s="245"/>
      <c r="AC5087" s="235" t="s">
        <v>12541</v>
      </c>
      <c r="AD5087" s="235" t="s">
        <v>666</v>
      </c>
      <c r="AE5087" s="238">
        <v>628205.0</v>
      </c>
      <c r="AF5087" s="235" t="s">
        <v>631</v>
      </c>
      <c r="AG5087" s="245"/>
      <c r="AH5087" s="245"/>
      <c r="AI5087" s="245"/>
      <c r="AJ5087" s="245"/>
      <c r="AK5087" s="245"/>
      <c r="AL5087" s="245"/>
      <c r="AM5087" s="245"/>
      <c r="AN5087" s="245"/>
      <c r="AO5087" s="238">
        <v>0.0</v>
      </c>
      <c r="AP5087" s="238">
        <v>0.0</v>
      </c>
      <c r="AQ5087" s="235" t="s">
        <v>632</v>
      </c>
      <c r="AR5087" s="243">
        <v>3.7E11</v>
      </c>
      <c r="AS5087" s="235" t="s">
        <v>35520</v>
      </c>
      <c r="AT5087" s="235" t="s">
        <v>155</v>
      </c>
      <c r="AU5087" s="235" t="s">
        <v>634</v>
      </c>
      <c r="AV5087" s="246" t="s">
        <v>635</v>
      </c>
      <c r="AW5087" s="227"/>
      <c r="AX5087" s="227"/>
      <c r="AY5087" s="227"/>
      <c r="AZ5087" s="227"/>
      <c r="BA5087" s="227"/>
      <c r="BB5087" s="227"/>
      <c r="BC5087" s="227"/>
      <c r="BD5087" s="227"/>
      <c r="BE5087" s="227"/>
      <c r="BF5087" s="227"/>
    </row>
    <row r="5088">
      <c r="A5088" s="235" t="s">
        <v>37525</v>
      </c>
      <c r="C5088" s="235" t="s">
        <v>37526</v>
      </c>
      <c r="D5088" s="235" t="s">
        <v>37527</v>
      </c>
      <c r="E5088" s="243">
        <v>6.49E13</v>
      </c>
      <c r="F5088" s="245"/>
      <c r="G5088" s="235" t="s">
        <v>37528</v>
      </c>
      <c r="H5088" s="235" t="s">
        <v>37529</v>
      </c>
      <c r="I5088" s="235" t="s">
        <v>37529</v>
      </c>
      <c r="J5088" s="235" t="s">
        <v>37530</v>
      </c>
      <c r="K5088" s="235" t="s">
        <v>37531</v>
      </c>
      <c r="N5088" s="235" t="s">
        <v>154</v>
      </c>
      <c r="O5088" s="235" t="s">
        <v>766</v>
      </c>
      <c r="P5088" s="238">
        <v>1.0</v>
      </c>
      <c r="Q5088" s="235" t="s">
        <v>627</v>
      </c>
      <c r="R5088" s="238">
        <v>465.72</v>
      </c>
      <c r="S5088" s="238">
        <v>23.28</v>
      </c>
      <c r="T5088" s="238">
        <v>0.0</v>
      </c>
      <c r="U5088" s="238">
        <v>0.0</v>
      </c>
      <c r="V5088" s="238">
        <v>0.0</v>
      </c>
      <c r="W5088" s="238">
        <v>0.0</v>
      </c>
      <c r="X5088" s="235" t="s">
        <v>628</v>
      </c>
      <c r="Z5088" s="245"/>
      <c r="AA5088" s="245"/>
      <c r="AB5088" s="245"/>
      <c r="AC5088" s="235" t="s">
        <v>1320</v>
      </c>
      <c r="AD5088" s="235" t="s">
        <v>8917</v>
      </c>
      <c r="AE5088" s="238">
        <v>600096.0</v>
      </c>
      <c r="AF5088" s="235" t="s">
        <v>631</v>
      </c>
      <c r="AG5088" s="245"/>
      <c r="AH5088" s="245"/>
      <c r="AI5088" s="245"/>
      <c r="AJ5088" s="245"/>
      <c r="AK5088" s="245"/>
      <c r="AL5088" s="245"/>
      <c r="AM5088" s="245"/>
      <c r="AN5088" s="245"/>
      <c r="AO5088" s="238">
        <v>0.0</v>
      </c>
      <c r="AP5088" s="238">
        <v>0.0</v>
      </c>
      <c r="AQ5088" s="235" t="s">
        <v>632</v>
      </c>
      <c r="AR5088" s="243">
        <v>3.7E11</v>
      </c>
      <c r="AS5088" s="235" t="s">
        <v>36667</v>
      </c>
      <c r="AT5088" s="235" t="s">
        <v>156</v>
      </c>
      <c r="AU5088" s="235" t="s">
        <v>634</v>
      </c>
      <c r="AV5088" s="246" t="s">
        <v>635</v>
      </c>
      <c r="AW5088" s="227"/>
      <c r="AX5088" s="227"/>
      <c r="AY5088" s="227"/>
      <c r="AZ5088" s="227"/>
      <c r="BA5088" s="227"/>
      <c r="BB5088" s="227"/>
      <c r="BC5088" s="227"/>
      <c r="BD5088" s="227"/>
      <c r="BE5088" s="227"/>
      <c r="BF5088" s="227"/>
    </row>
    <row r="5089">
      <c r="A5089" s="235" t="s">
        <v>37532</v>
      </c>
      <c r="C5089" s="235" t="s">
        <v>37533</v>
      </c>
      <c r="D5089" s="235" t="s">
        <v>37534</v>
      </c>
      <c r="E5089" s="243">
        <v>6.49E13</v>
      </c>
      <c r="F5089" s="245"/>
      <c r="G5089" s="235" t="s">
        <v>37535</v>
      </c>
      <c r="H5089" s="235" t="s">
        <v>37536</v>
      </c>
      <c r="I5089" s="235" t="s">
        <v>37536</v>
      </c>
      <c r="J5089" s="235" t="s">
        <v>37537</v>
      </c>
      <c r="K5089" s="235" t="s">
        <v>37538</v>
      </c>
      <c r="N5089" s="235" t="s">
        <v>85</v>
      </c>
      <c r="O5089" s="235" t="s">
        <v>872</v>
      </c>
      <c r="P5089" s="238">
        <v>1.0</v>
      </c>
      <c r="Q5089" s="235" t="s">
        <v>627</v>
      </c>
      <c r="R5089" s="238">
        <v>243.8</v>
      </c>
      <c r="S5089" s="238">
        <v>12.2</v>
      </c>
      <c r="T5089" s="238">
        <v>38.1</v>
      </c>
      <c r="U5089" s="238">
        <v>1.9</v>
      </c>
      <c r="V5089" s="238">
        <v>0.0</v>
      </c>
      <c r="W5089" s="238">
        <v>0.0</v>
      </c>
      <c r="X5089" s="235" t="s">
        <v>628</v>
      </c>
      <c r="Z5089" s="245"/>
      <c r="AA5089" s="245"/>
      <c r="AB5089" s="245"/>
      <c r="AC5089" s="235" t="s">
        <v>37539</v>
      </c>
      <c r="AD5089" s="235" t="s">
        <v>845</v>
      </c>
      <c r="AE5089" s="238">
        <v>445203.0</v>
      </c>
      <c r="AF5089" s="235" t="s">
        <v>631</v>
      </c>
      <c r="AG5089" s="245"/>
      <c r="AH5089" s="245"/>
      <c r="AI5089" s="245"/>
      <c r="AJ5089" s="245"/>
      <c r="AK5089" s="245"/>
      <c r="AL5089" s="245"/>
      <c r="AM5089" s="245"/>
      <c r="AN5089" s="245"/>
      <c r="AO5089" s="238">
        <v>0.0</v>
      </c>
      <c r="AP5089" s="238">
        <v>-38.1</v>
      </c>
      <c r="AQ5089" s="235" t="s">
        <v>632</v>
      </c>
      <c r="AR5089" s="243">
        <v>3.7E11</v>
      </c>
      <c r="AS5089" s="235" t="s">
        <v>33466</v>
      </c>
      <c r="AT5089" s="235" t="s">
        <v>17</v>
      </c>
      <c r="AU5089" s="235" t="s">
        <v>634</v>
      </c>
      <c r="AV5089" s="246" t="s">
        <v>635</v>
      </c>
      <c r="AW5089" s="227"/>
      <c r="AX5089" s="227"/>
      <c r="AY5089" s="227"/>
      <c r="AZ5089" s="227"/>
      <c r="BA5089" s="227"/>
      <c r="BB5089" s="227"/>
      <c r="BC5089" s="227"/>
      <c r="BD5089" s="227"/>
      <c r="BE5089" s="227"/>
      <c r="BF5089" s="227"/>
    </row>
    <row r="5090">
      <c r="A5090" s="235" t="s">
        <v>37540</v>
      </c>
      <c r="C5090" s="235" t="s">
        <v>37541</v>
      </c>
      <c r="D5090" s="235" t="s">
        <v>37542</v>
      </c>
      <c r="E5090" s="243">
        <v>6.49E13</v>
      </c>
      <c r="F5090" s="245"/>
      <c r="G5090" s="235" t="s">
        <v>37543</v>
      </c>
      <c r="H5090" s="235" t="s">
        <v>37544</v>
      </c>
      <c r="I5090" s="235" t="s">
        <v>37544</v>
      </c>
      <c r="J5090" s="235" t="s">
        <v>37545</v>
      </c>
      <c r="K5090" s="235" t="s">
        <v>37546</v>
      </c>
      <c r="N5090" s="235" t="s">
        <v>154</v>
      </c>
      <c r="O5090" s="235" t="s">
        <v>766</v>
      </c>
      <c r="P5090" s="238">
        <v>1.0</v>
      </c>
      <c r="Q5090" s="235" t="s">
        <v>627</v>
      </c>
      <c r="R5090" s="238">
        <v>465.72</v>
      </c>
      <c r="S5090" s="238">
        <v>23.28</v>
      </c>
      <c r="T5090" s="238">
        <v>0.0</v>
      </c>
      <c r="U5090" s="238">
        <v>0.0</v>
      </c>
      <c r="V5090" s="238">
        <v>0.0</v>
      </c>
      <c r="W5090" s="238">
        <v>0.0</v>
      </c>
      <c r="X5090" s="235" t="s">
        <v>628</v>
      </c>
      <c r="Z5090" s="245"/>
      <c r="AA5090" s="245"/>
      <c r="AB5090" s="245"/>
      <c r="AC5090" s="235" t="s">
        <v>687</v>
      </c>
      <c r="AD5090" s="235" t="s">
        <v>666</v>
      </c>
      <c r="AE5090" s="238">
        <v>600061.0</v>
      </c>
      <c r="AF5090" s="235" t="s">
        <v>631</v>
      </c>
      <c r="AG5090" s="245"/>
      <c r="AH5090" s="245"/>
      <c r="AI5090" s="245"/>
      <c r="AJ5090" s="245"/>
      <c r="AK5090" s="245"/>
      <c r="AL5090" s="245"/>
      <c r="AM5090" s="245"/>
      <c r="AN5090" s="245"/>
      <c r="AO5090" s="238">
        <v>0.0</v>
      </c>
      <c r="AP5090" s="238">
        <v>0.0</v>
      </c>
      <c r="AQ5090" s="235" t="s">
        <v>632</v>
      </c>
      <c r="AR5090" s="243">
        <v>1.68E11</v>
      </c>
      <c r="AS5090" s="235" t="s">
        <v>37288</v>
      </c>
      <c r="AT5090" s="235" t="s">
        <v>156</v>
      </c>
      <c r="AU5090" s="235" t="s">
        <v>634</v>
      </c>
      <c r="AV5090" s="246" t="s">
        <v>635</v>
      </c>
      <c r="AW5090" s="227"/>
      <c r="AX5090" s="227"/>
      <c r="AY5090" s="227"/>
      <c r="AZ5090" s="227"/>
      <c r="BA5090" s="227"/>
      <c r="BB5090" s="227"/>
      <c r="BC5090" s="227"/>
      <c r="BD5090" s="227"/>
      <c r="BE5090" s="227"/>
      <c r="BF5090" s="227"/>
    </row>
    <row r="5091">
      <c r="A5091" s="235" t="s">
        <v>37547</v>
      </c>
      <c r="C5091" s="235" t="s">
        <v>37548</v>
      </c>
      <c r="D5091" s="235" t="s">
        <v>37549</v>
      </c>
      <c r="E5091" s="243">
        <v>6.49E13</v>
      </c>
      <c r="F5091" s="245"/>
      <c r="G5091" s="235" t="s">
        <v>37550</v>
      </c>
      <c r="H5091" s="235" t="s">
        <v>37551</v>
      </c>
      <c r="I5091" s="235" t="s">
        <v>37551</v>
      </c>
      <c r="J5091" s="235" t="s">
        <v>37552</v>
      </c>
      <c r="K5091" s="235" t="s">
        <v>37553</v>
      </c>
      <c r="N5091" s="235" t="s">
        <v>148</v>
      </c>
      <c r="O5091" s="235" t="s">
        <v>1006</v>
      </c>
      <c r="P5091" s="238">
        <v>1.0</v>
      </c>
      <c r="Q5091" s="235" t="s">
        <v>627</v>
      </c>
      <c r="R5091" s="238">
        <v>281.9</v>
      </c>
      <c r="S5091" s="238">
        <v>14.1</v>
      </c>
      <c r="T5091" s="238">
        <v>0.0</v>
      </c>
      <c r="U5091" s="238">
        <v>0.0</v>
      </c>
      <c r="V5091" s="238">
        <v>0.0</v>
      </c>
      <c r="W5091" s="238">
        <v>0.0</v>
      </c>
      <c r="X5091" s="235" t="s">
        <v>628</v>
      </c>
      <c r="Z5091" s="245"/>
      <c r="AA5091" s="245"/>
      <c r="AB5091" s="245"/>
      <c r="AC5091" s="235" t="s">
        <v>844</v>
      </c>
      <c r="AD5091" s="235" t="s">
        <v>845</v>
      </c>
      <c r="AE5091" s="238">
        <v>411057.0</v>
      </c>
      <c r="AF5091" s="235" t="s">
        <v>631</v>
      </c>
      <c r="AG5091" s="245"/>
      <c r="AH5091" s="245"/>
      <c r="AI5091" s="245"/>
      <c r="AJ5091" s="245"/>
      <c r="AK5091" s="245"/>
      <c r="AL5091" s="245"/>
      <c r="AM5091" s="245"/>
      <c r="AN5091" s="245"/>
      <c r="AO5091" s="238">
        <v>0.0</v>
      </c>
      <c r="AP5091" s="238">
        <v>0.0</v>
      </c>
      <c r="AQ5091" s="235" t="s">
        <v>632</v>
      </c>
      <c r="AR5091" s="243">
        <v>3.7E11</v>
      </c>
      <c r="AS5091" s="235" t="s">
        <v>36667</v>
      </c>
      <c r="AT5091" s="235" t="s">
        <v>546</v>
      </c>
      <c r="AU5091" s="235" t="s">
        <v>634</v>
      </c>
      <c r="AV5091" s="246" t="s">
        <v>635</v>
      </c>
      <c r="AW5091" s="227"/>
      <c r="AX5091" s="227"/>
      <c r="AY5091" s="227"/>
      <c r="AZ5091" s="227"/>
      <c r="BA5091" s="227"/>
      <c r="BB5091" s="227"/>
      <c r="BC5091" s="227"/>
      <c r="BD5091" s="227"/>
      <c r="BE5091" s="227"/>
      <c r="BF5091" s="227"/>
    </row>
    <row r="5092">
      <c r="A5092" s="235" t="s">
        <v>37554</v>
      </c>
      <c r="C5092" s="235" t="s">
        <v>37555</v>
      </c>
      <c r="D5092" s="235" t="s">
        <v>37556</v>
      </c>
      <c r="E5092" s="243">
        <v>6.49E13</v>
      </c>
      <c r="F5092" s="245"/>
      <c r="G5092" s="235" t="s">
        <v>37557</v>
      </c>
      <c r="H5092" s="235" t="s">
        <v>37558</v>
      </c>
      <c r="I5092" s="235" t="s">
        <v>37558</v>
      </c>
      <c r="J5092" s="235" t="s">
        <v>37559</v>
      </c>
      <c r="K5092" s="235" t="s">
        <v>37560</v>
      </c>
      <c r="N5092" s="235" t="s">
        <v>962</v>
      </c>
      <c r="O5092" s="235" t="s">
        <v>963</v>
      </c>
      <c r="P5092" s="238">
        <v>1.0</v>
      </c>
      <c r="Q5092" s="235" t="s">
        <v>627</v>
      </c>
      <c r="R5092" s="238">
        <v>245.71</v>
      </c>
      <c r="S5092" s="238">
        <v>12.04</v>
      </c>
      <c r="T5092" s="238">
        <v>0.0</v>
      </c>
      <c r="U5092" s="238">
        <v>0.0</v>
      </c>
      <c r="V5092" s="238">
        <v>0.0</v>
      </c>
      <c r="W5092" s="238">
        <v>0.0</v>
      </c>
      <c r="X5092" s="235" t="s">
        <v>628</v>
      </c>
      <c r="Z5092" s="245"/>
      <c r="AA5092" s="245"/>
      <c r="AB5092" s="245"/>
      <c r="AC5092" s="235" t="s">
        <v>13760</v>
      </c>
      <c r="AD5092" s="235" t="s">
        <v>917</v>
      </c>
      <c r="AE5092" s="238">
        <v>313001.0</v>
      </c>
      <c r="AF5092" s="235" t="s">
        <v>631</v>
      </c>
      <c r="AG5092" s="245"/>
      <c r="AH5092" s="245"/>
      <c r="AI5092" s="245"/>
      <c r="AJ5092" s="245"/>
      <c r="AK5092" s="245"/>
      <c r="AL5092" s="245"/>
      <c r="AM5092" s="245"/>
      <c r="AN5092" s="245"/>
      <c r="AO5092" s="238">
        <v>-4.91</v>
      </c>
      <c r="AP5092" s="238">
        <v>0.0</v>
      </c>
      <c r="AQ5092" s="235" t="s">
        <v>632</v>
      </c>
      <c r="AR5092" s="243">
        <v>3.7E11</v>
      </c>
      <c r="AS5092" s="235" t="s">
        <v>36667</v>
      </c>
      <c r="AT5092" s="235" t="s">
        <v>5</v>
      </c>
      <c r="AU5092" s="235" t="s">
        <v>634</v>
      </c>
      <c r="AV5092" s="246" t="s">
        <v>635</v>
      </c>
      <c r="AW5092" s="227"/>
      <c r="AX5092" s="227"/>
      <c r="AY5092" s="227"/>
      <c r="AZ5092" s="227"/>
      <c r="BA5092" s="227"/>
      <c r="BB5092" s="227"/>
      <c r="BC5092" s="227"/>
      <c r="BD5092" s="227"/>
      <c r="BE5092" s="227"/>
      <c r="BF5092" s="227"/>
    </row>
    <row r="5093">
      <c r="A5093" s="235" t="s">
        <v>37561</v>
      </c>
      <c r="C5093" s="235" t="s">
        <v>37562</v>
      </c>
      <c r="D5093" s="235" t="s">
        <v>37563</v>
      </c>
      <c r="E5093" s="243">
        <v>6.49E13</v>
      </c>
      <c r="F5093" s="245"/>
      <c r="G5093" s="235" t="s">
        <v>37564</v>
      </c>
      <c r="H5093" s="235" t="s">
        <v>37565</v>
      </c>
      <c r="I5093" s="235" t="s">
        <v>37565</v>
      </c>
      <c r="J5093" s="235" t="s">
        <v>37566</v>
      </c>
      <c r="K5093" s="235" t="s">
        <v>37567</v>
      </c>
      <c r="N5093" s="235" t="s">
        <v>141</v>
      </c>
      <c r="O5093" s="235" t="s">
        <v>342</v>
      </c>
      <c r="P5093" s="238">
        <v>1.0</v>
      </c>
      <c r="Q5093" s="235" t="s">
        <v>627</v>
      </c>
      <c r="R5093" s="238">
        <v>244.76</v>
      </c>
      <c r="S5093" s="238">
        <v>12.24</v>
      </c>
      <c r="T5093" s="238">
        <v>18.1</v>
      </c>
      <c r="U5093" s="238">
        <v>0.9</v>
      </c>
      <c r="V5093" s="238">
        <v>0.0</v>
      </c>
      <c r="W5093" s="238">
        <v>0.0</v>
      </c>
      <c r="X5093" s="235" t="s">
        <v>628</v>
      </c>
      <c r="Z5093" s="245"/>
      <c r="AA5093" s="245"/>
      <c r="AB5093" s="245"/>
      <c r="AC5093" s="235" t="s">
        <v>795</v>
      </c>
      <c r="AD5093" s="235" t="s">
        <v>796</v>
      </c>
      <c r="AE5093" s="238">
        <v>110053.0</v>
      </c>
      <c r="AF5093" s="235" t="s">
        <v>631</v>
      </c>
      <c r="AG5093" s="245"/>
      <c r="AH5093" s="245"/>
      <c r="AI5093" s="245"/>
      <c r="AJ5093" s="245"/>
      <c r="AK5093" s="245"/>
      <c r="AL5093" s="245"/>
      <c r="AM5093" s="245"/>
      <c r="AN5093" s="245"/>
      <c r="AO5093" s="238">
        <v>0.0</v>
      </c>
      <c r="AP5093" s="238">
        <v>-18.1</v>
      </c>
      <c r="AQ5093" s="235" t="s">
        <v>632</v>
      </c>
      <c r="AR5093" s="243">
        <v>1.68E11</v>
      </c>
      <c r="AS5093" s="235" t="s">
        <v>37288</v>
      </c>
      <c r="AT5093" s="235" t="s">
        <v>14</v>
      </c>
      <c r="AU5093" s="235" t="s">
        <v>634</v>
      </c>
      <c r="AV5093" s="246" t="s">
        <v>635</v>
      </c>
      <c r="AW5093" s="227"/>
      <c r="AX5093" s="227"/>
      <c r="AY5093" s="227"/>
      <c r="AZ5093" s="227"/>
      <c r="BA5093" s="227"/>
      <c r="BB5093" s="227"/>
      <c r="BC5093" s="227"/>
      <c r="BD5093" s="227"/>
      <c r="BE5093" s="227"/>
      <c r="BF5093" s="227"/>
    </row>
    <row r="5094">
      <c r="A5094" s="235" t="s">
        <v>37297</v>
      </c>
      <c r="C5094" s="235" t="s">
        <v>37568</v>
      </c>
      <c r="D5094" s="235" t="s">
        <v>37569</v>
      </c>
      <c r="E5094" s="243">
        <v>6.49E13</v>
      </c>
      <c r="F5094" s="245"/>
      <c r="G5094" s="235" t="s">
        <v>37300</v>
      </c>
      <c r="H5094" s="235" t="s">
        <v>37570</v>
      </c>
      <c r="I5094" s="235" t="s">
        <v>37570</v>
      </c>
      <c r="J5094" s="235" t="s">
        <v>37571</v>
      </c>
      <c r="K5094" s="235" t="s">
        <v>37303</v>
      </c>
      <c r="N5094" s="235" t="s">
        <v>71</v>
      </c>
      <c r="O5094" s="235" t="s">
        <v>240</v>
      </c>
      <c r="P5094" s="238">
        <v>1.0</v>
      </c>
      <c r="Q5094" s="235" t="s">
        <v>627</v>
      </c>
      <c r="R5094" s="238">
        <v>246.67</v>
      </c>
      <c r="S5094" s="238">
        <v>11.96</v>
      </c>
      <c r="T5094" s="238">
        <v>0.0</v>
      </c>
      <c r="U5094" s="238">
        <v>0.0</v>
      </c>
      <c r="V5094" s="238">
        <v>0.0</v>
      </c>
      <c r="W5094" s="238">
        <v>0.0</v>
      </c>
      <c r="X5094" s="235" t="s">
        <v>628</v>
      </c>
      <c r="Z5094" s="245"/>
      <c r="AA5094" s="245"/>
      <c r="AB5094" s="245"/>
      <c r="AC5094" s="235" t="s">
        <v>37304</v>
      </c>
      <c r="AD5094" s="235" t="s">
        <v>37305</v>
      </c>
      <c r="AE5094" s="238">
        <v>194101.0</v>
      </c>
      <c r="AF5094" s="235" t="s">
        <v>631</v>
      </c>
      <c r="AG5094" s="245"/>
      <c r="AH5094" s="245"/>
      <c r="AI5094" s="245"/>
      <c r="AJ5094" s="245"/>
      <c r="AK5094" s="245"/>
      <c r="AL5094" s="245"/>
      <c r="AM5094" s="245"/>
      <c r="AN5094" s="245"/>
      <c r="AO5094" s="238">
        <v>-7.4</v>
      </c>
      <c r="AP5094" s="238">
        <v>0.0</v>
      </c>
      <c r="AQ5094" s="235" t="s">
        <v>632</v>
      </c>
      <c r="AR5094" s="243">
        <v>3.7E11</v>
      </c>
      <c r="AS5094" s="235" t="s">
        <v>29883</v>
      </c>
      <c r="AT5094" s="235" t="s">
        <v>14</v>
      </c>
      <c r="AU5094" s="235" t="s">
        <v>634</v>
      </c>
      <c r="AV5094" s="246" t="s">
        <v>635</v>
      </c>
      <c r="AW5094" s="227"/>
      <c r="AX5094" s="227"/>
      <c r="AY5094" s="227"/>
      <c r="AZ5094" s="227"/>
      <c r="BA5094" s="227"/>
      <c r="BB5094" s="227"/>
      <c r="BC5094" s="227"/>
      <c r="BD5094" s="227"/>
      <c r="BE5094" s="227"/>
      <c r="BF5094" s="227"/>
    </row>
    <row r="5095">
      <c r="A5095" s="235" t="s">
        <v>37572</v>
      </c>
      <c r="C5095" s="235" t="s">
        <v>37573</v>
      </c>
      <c r="D5095" s="235" t="s">
        <v>37574</v>
      </c>
      <c r="E5095" s="243">
        <v>6.49E13</v>
      </c>
      <c r="F5095" s="245"/>
      <c r="G5095" s="235" t="s">
        <v>37575</v>
      </c>
      <c r="H5095" s="235" t="s">
        <v>37576</v>
      </c>
      <c r="I5095" s="235" t="s">
        <v>37576</v>
      </c>
      <c r="J5095" s="235" t="s">
        <v>37577</v>
      </c>
      <c r="K5095" s="235" t="s">
        <v>37578</v>
      </c>
      <c r="N5095" s="235" t="s">
        <v>117</v>
      </c>
      <c r="O5095" s="235" t="s">
        <v>334</v>
      </c>
      <c r="P5095" s="238">
        <v>1.0</v>
      </c>
      <c r="Q5095" s="235" t="s">
        <v>627</v>
      </c>
      <c r="R5095" s="238">
        <v>237.14</v>
      </c>
      <c r="S5095" s="238">
        <v>11.86</v>
      </c>
      <c r="T5095" s="238">
        <v>0.0</v>
      </c>
      <c r="U5095" s="238">
        <v>0.0</v>
      </c>
      <c r="V5095" s="238">
        <v>0.0</v>
      </c>
      <c r="W5095" s="238">
        <v>0.0</v>
      </c>
      <c r="X5095" s="235" t="s">
        <v>628</v>
      </c>
      <c r="Z5095" s="245"/>
      <c r="AA5095" s="245"/>
      <c r="AB5095" s="245"/>
      <c r="AC5095" s="235" t="s">
        <v>697</v>
      </c>
      <c r="AD5095" s="235" t="s">
        <v>698</v>
      </c>
      <c r="AE5095" s="238">
        <v>500090.0</v>
      </c>
      <c r="AF5095" s="235" t="s">
        <v>631</v>
      </c>
      <c r="AG5095" s="245"/>
      <c r="AH5095" s="245"/>
      <c r="AI5095" s="245"/>
      <c r="AJ5095" s="245"/>
      <c r="AK5095" s="245"/>
      <c r="AL5095" s="245"/>
      <c r="AM5095" s="245"/>
      <c r="AN5095" s="245"/>
      <c r="AO5095" s="238">
        <v>0.0</v>
      </c>
      <c r="AP5095" s="238">
        <v>0.0</v>
      </c>
      <c r="AQ5095" s="235" t="s">
        <v>632</v>
      </c>
      <c r="AR5095" s="243">
        <v>3.7E11</v>
      </c>
      <c r="AS5095" s="235" t="s">
        <v>34510</v>
      </c>
      <c r="AT5095" s="235" t="s">
        <v>9</v>
      </c>
      <c r="AU5095" s="235" t="s">
        <v>634</v>
      </c>
      <c r="AV5095" s="246" t="s">
        <v>635</v>
      </c>
      <c r="AW5095" s="227"/>
      <c r="AX5095" s="227"/>
      <c r="AY5095" s="227"/>
      <c r="AZ5095" s="227"/>
      <c r="BA5095" s="227"/>
      <c r="BB5095" s="227"/>
      <c r="BC5095" s="227"/>
      <c r="BD5095" s="227"/>
      <c r="BE5095" s="227"/>
      <c r="BF5095" s="227"/>
    </row>
    <row r="5096">
      <c r="A5096" s="235" t="s">
        <v>37579</v>
      </c>
      <c r="C5096" s="235" t="s">
        <v>37580</v>
      </c>
      <c r="D5096" s="235" t="s">
        <v>37581</v>
      </c>
      <c r="E5096" s="243">
        <v>6.49E13</v>
      </c>
      <c r="F5096" s="245"/>
      <c r="G5096" s="235" t="s">
        <v>37582</v>
      </c>
      <c r="H5096" s="235" t="s">
        <v>37583</v>
      </c>
      <c r="I5096" s="235" t="s">
        <v>37584</v>
      </c>
      <c r="J5096" s="235" t="s">
        <v>37585</v>
      </c>
      <c r="K5096" s="235" t="s">
        <v>37586</v>
      </c>
      <c r="N5096" s="235" t="s">
        <v>130</v>
      </c>
      <c r="O5096" s="235" t="s">
        <v>707</v>
      </c>
      <c r="P5096" s="238">
        <v>1.0</v>
      </c>
      <c r="Q5096" s="235" t="s">
        <v>627</v>
      </c>
      <c r="R5096" s="238">
        <v>243.81</v>
      </c>
      <c r="S5096" s="238">
        <v>12.19</v>
      </c>
      <c r="T5096" s="238">
        <v>0.0</v>
      </c>
      <c r="U5096" s="238">
        <v>0.0</v>
      </c>
      <c r="V5096" s="238">
        <v>0.0</v>
      </c>
      <c r="W5096" s="238">
        <v>0.0</v>
      </c>
      <c r="X5096" s="235" t="s">
        <v>628</v>
      </c>
      <c r="Z5096" s="245"/>
      <c r="AA5096" s="245"/>
      <c r="AB5096" s="245"/>
      <c r="AC5096" s="235" t="s">
        <v>697</v>
      </c>
      <c r="AD5096" s="235" t="s">
        <v>698</v>
      </c>
      <c r="AE5096" s="238">
        <v>500089.0</v>
      </c>
      <c r="AF5096" s="235" t="s">
        <v>631</v>
      </c>
      <c r="AG5096" s="245"/>
      <c r="AH5096" s="245"/>
      <c r="AI5096" s="245"/>
      <c r="AJ5096" s="245"/>
      <c r="AK5096" s="245"/>
      <c r="AL5096" s="245"/>
      <c r="AM5096" s="245"/>
      <c r="AN5096" s="245"/>
      <c r="AO5096" s="238">
        <v>0.0</v>
      </c>
      <c r="AP5096" s="238">
        <v>0.0</v>
      </c>
      <c r="AQ5096" s="235" t="s">
        <v>632</v>
      </c>
      <c r="AR5096" s="243">
        <v>2.02E11</v>
      </c>
      <c r="AS5096" s="235" t="s">
        <v>36667</v>
      </c>
      <c r="AT5096" s="235" t="s">
        <v>9</v>
      </c>
      <c r="AU5096" s="235" t="s">
        <v>634</v>
      </c>
      <c r="AV5096" s="246" t="s">
        <v>635</v>
      </c>
      <c r="AW5096" s="227"/>
      <c r="AX5096" s="227"/>
      <c r="AY5096" s="227"/>
      <c r="AZ5096" s="227"/>
      <c r="BA5096" s="227"/>
      <c r="BB5096" s="227"/>
      <c r="BC5096" s="227"/>
      <c r="BD5096" s="227"/>
      <c r="BE5096" s="227"/>
      <c r="BF5096" s="227"/>
    </row>
    <row r="5097">
      <c r="A5097" s="235" t="s">
        <v>37587</v>
      </c>
      <c r="C5097" s="235" t="s">
        <v>37588</v>
      </c>
      <c r="D5097" s="235" t="s">
        <v>37589</v>
      </c>
      <c r="E5097" s="243">
        <v>6.49E13</v>
      </c>
      <c r="F5097" s="245"/>
      <c r="G5097" s="235" t="s">
        <v>37590</v>
      </c>
      <c r="H5097" s="235" t="s">
        <v>37591</v>
      </c>
      <c r="I5097" s="235" t="s">
        <v>37591</v>
      </c>
      <c r="J5097" s="235" t="s">
        <v>37592</v>
      </c>
      <c r="K5097" s="235" t="s">
        <v>37593</v>
      </c>
      <c r="N5097" s="235" t="s">
        <v>144</v>
      </c>
      <c r="O5097" s="235" t="s">
        <v>232</v>
      </c>
      <c r="P5097" s="238">
        <v>1.0</v>
      </c>
      <c r="Q5097" s="235" t="s">
        <v>627</v>
      </c>
      <c r="R5097" s="238">
        <v>665.72</v>
      </c>
      <c r="S5097" s="238">
        <v>33.28</v>
      </c>
      <c r="T5097" s="238">
        <v>0.0</v>
      </c>
      <c r="U5097" s="238">
        <v>0.0</v>
      </c>
      <c r="V5097" s="238">
        <v>0.0</v>
      </c>
      <c r="W5097" s="238">
        <v>0.0</v>
      </c>
      <c r="X5097" s="235" t="s">
        <v>628</v>
      </c>
      <c r="Z5097" s="245"/>
      <c r="AA5097" s="245"/>
      <c r="AB5097" s="245"/>
      <c r="AC5097" s="235" t="s">
        <v>687</v>
      </c>
      <c r="AD5097" s="235" t="s">
        <v>666</v>
      </c>
      <c r="AE5097" s="238">
        <v>600097.0</v>
      </c>
      <c r="AF5097" s="235" t="s">
        <v>631</v>
      </c>
      <c r="AG5097" s="245"/>
      <c r="AH5097" s="245"/>
      <c r="AI5097" s="245"/>
      <c r="AJ5097" s="245"/>
      <c r="AK5097" s="245"/>
      <c r="AL5097" s="245"/>
      <c r="AM5097" s="245"/>
      <c r="AN5097" s="245"/>
      <c r="AO5097" s="238">
        <v>0.0</v>
      </c>
      <c r="AP5097" s="238">
        <v>0.0</v>
      </c>
      <c r="AQ5097" s="235" t="s">
        <v>632</v>
      </c>
      <c r="AR5097" s="243">
        <v>1.68E11</v>
      </c>
      <c r="AS5097" s="235" t="s">
        <v>37288</v>
      </c>
      <c r="AT5097" s="235" t="s">
        <v>156</v>
      </c>
      <c r="AU5097" s="235" t="s">
        <v>634</v>
      </c>
      <c r="AV5097" s="246" t="s">
        <v>635</v>
      </c>
      <c r="AW5097" s="227"/>
      <c r="AX5097" s="227"/>
      <c r="AY5097" s="227"/>
      <c r="AZ5097" s="227"/>
      <c r="BA5097" s="227"/>
      <c r="BB5097" s="227"/>
      <c r="BC5097" s="227"/>
      <c r="BD5097" s="227"/>
      <c r="BE5097" s="227"/>
      <c r="BF5097" s="227"/>
    </row>
    <row r="5098">
      <c r="A5098" s="235" t="s">
        <v>37594</v>
      </c>
      <c r="C5098" s="235" t="s">
        <v>37595</v>
      </c>
      <c r="D5098" s="235" t="s">
        <v>37596</v>
      </c>
      <c r="E5098" s="243">
        <v>6.49E13</v>
      </c>
      <c r="F5098" s="245"/>
      <c r="G5098" s="235" t="s">
        <v>37597</v>
      </c>
      <c r="H5098" s="235" t="s">
        <v>37598</v>
      </c>
      <c r="I5098" s="235" t="s">
        <v>37598</v>
      </c>
      <c r="J5098" s="235" t="s">
        <v>37599</v>
      </c>
      <c r="K5098" s="235" t="s">
        <v>37600</v>
      </c>
      <c r="N5098" s="235" t="s">
        <v>47</v>
      </c>
      <c r="O5098" s="235" t="s">
        <v>270</v>
      </c>
      <c r="P5098" s="238">
        <v>1.0</v>
      </c>
      <c r="Q5098" s="235" t="s">
        <v>627</v>
      </c>
      <c r="R5098" s="238">
        <v>236.2</v>
      </c>
      <c r="S5098" s="238">
        <v>11.8</v>
      </c>
      <c r="T5098" s="238">
        <v>0.0</v>
      </c>
      <c r="U5098" s="238">
        <v>0.0</v>
      </c>
      <c r="V5098" s="238">
        <v>0.0</v>
      </c>
      <c r="W5098" s="238">
        <v>0.0</v>
      </c>
      <c r="X5098" s="235" t="s">
        <v>628</v>
      </c>
      <c r="Z5098" s="245"/>
      <c r="AA5098" s="245"/>
      <c r="AB5098" s="245"/>
      <c r="AC5098" s="235" t="s">
        <v>757</v>
      </c>
      <c r="AD5098" s="235" t="s">
        <v>666</v>
      </c>
      <c r="AE5098" s="238">
        <v>625003.0</v>
      </c>
      <c r="AF5098" s="235" t="s">
        <v>631</v>
      </c>
      <c r="AG5098" s="245"/>
      <c r="AH5098" s="245"/>
      <c r="AI5098" s="245"/>
      <c r="AJ5098" s="245"/>
      <c r="AK5098" s="245"/>
      <c r="AL5098" s="245"/>
      <c r="AM5098" s="245"/>
      <c r="AN5098" s="245"/>
      <c r="AO5098" s="238">
        <v>0.0</v>
      </c>
      <c r="AP5098" s="238">
        <v>0.0</v>
      </c>
      <c r="AQ5098" s="235" t="s">
        <v>632</v>
      </c>
      <c r="AR5098" s="243">
        <v>3.7E11</v>
      </c>
      <c r="AS5098" s="235" t="s">
        <v>36667</v>
      </c>
      <c r="AT5098" s="235" t="s">
        <v>155</v>
      </c>
      <c r="AU5098" s="235" t="s">
        <v>634</v>
      </c>
      <c r="AV5098" s="246" t="s">
        <v>635</v>
      </c>
      <c r="AW5098" s="227"/>
      <c r="AX5098" s="227"/>
      <c r="AY5098" s="227"/>
      <c r="AZ5098" s="227"/>
      <c r="BA5098" s="227"/>
      <c r="BB5098" s="227"/>
      <c r="BC5098" s="227"/>
      <c r="BD5098" s="227"/>
      <c r="BE5098" s="227"/>
      <c r="BF5098" s="227"/>
    </row>
    <row r="5099">
      <c r="A5099" s="235" t="s">
        <v>37601</v>
      </c>
      <c r="C5099" s="235" t="s">
        <v>37602</v>
      </c>
      <c r="D5099" s="235" t="s">
        <v>37603</v>
      </c>
      <c r="E5099" s="243">
        <v>6.49E13</v>
      </c>
      <c r="F5099" s="245"/>
      <c r="G5099" s="235" t="s">
        <v>37604</v>
      </c>
      <c r="H5099" s="235" t="s">
        <v>37605</v>
      </c>
      <c r="I5099" s="235" t="s">
        <v>37605</v>
      </c>
      <c r="J5099" s="235" t="s">
        <v>37606</v>
      </c>
      <c r="K5099" s="235" t="s">
        <v>37607</v>
      </c>
      <c r="N5099" s="235" t="s">
        <v>42</v>
      </c>
      <c r="O5099" s="235" t="s">
        <v>204</v>
      </c>
      <c r="P5099" s="238">
        <v>1.0</v>
      </c>
      <c r="Q5099" s="235" t="s">
        <v>627</v>
      </c>
      <c r="R5099" s="238">
        <v>237.14</v>
      </c>
      <c r="S5099" s="238">
        <v>11.86</v>
      </c>
      <c r="T5099" s="238">
        <v>0.0</v>
      </c>
      <c r="U5099" s="238">
        <v>0.0</v>
      </c>
      <c r="V5099" s="238">
        <v>0.0</v>
      </c>
      <c r="W5099" s="238">
        <v>0.0</v>
      </c>
      <c r="X5099" s="235" t="s">
        <v>628</v>
      </c>
      <c r="Z5099" s="245"/>
      <c r="AA5099" s="245"/>
      <c r="AB5099" s="245"/>
      <c r="AC5099" s="235" t="s">
        <v>6414</v>
      </c>
      <c r="AD5099" s="235" t="s">
        <v>645</v>
      </c>
      <c r="AE5099" s="238">
        <v>678002.0</v>
      </c>
      <c r="AF5099" s="235" t="s">
        <v>631</v>
      </c>
      <c r="AG5099" s="245"/>
      <c r="AH5099" s="245"/>
      <c r="AI5099" s="245"/>
      <c r="AJ5099" s="245"/>
      <c r="AK5099" s="245"/>
      <c r="AL5099" s="245"/>
      <c r="AM5099" s="245"/>
      <c r="AN5099" s="245"/>
      <c r="AO5099" s="238">
        <v>0.0</v>
      </c>
      <c r="AP5099" s="238">
        <v>0.0</v>
      </c>
      <c r="AQ5099" s="235" t="s">
        <v>632</v>
      </c>
      <c r="AR5099" s="243">
        <v>1.68E11</v>
      </c>
      <c r="AS5099" s="235" t="s">
        <v>37288</v>
      </c>
      <c r="AT5099" s="235" t="s">
        <v>155</v>
      </c>
      <c r="AU5099" s="235" t="s">
        <v>634</v>
      </c>
      <c r="AV5099" s="246" t="s">
        <v>635</v>
      </c>
      <c r="AW5099" s="227"/>
      <c r="AX5099" s="227"/>
      <c r="AY5099" s="227"/>
      <c r="AZ5099" s="227"/>
      <c r="BA5099" s="227"/>
      <c r="BB5099" s="227"/>
      <c r="BC5099" s="227"/>
      <c r="BD5099" s="227"/>
      <c r="BE5099" s="227"/>
      <c r="BF5099" s="227"/>
    </row>
    <row r="5100">
      <c r="A5100" s="235" t="s">
        <v>37608</v>
      </c>
      <c r="C5100" s="235" t="s">
        <v>37609</v>
      </c>
      <c r="D5100" s="235" t="s">
        <v>37610</v>
      </c>
      <c r="E5100" s="243">
        <v>6.49E13</v>
      </c>
      <c r="F5100" s="245"/>
      <c r="G5100" s="235" t="s">
        <v>37611</v>
      </c>
      <c r="H5100" s="235" t="s">
        <v>36848</v>
      </c>
      <c r="I5100" s="235" t="s">
        <v>36848</v>
      </c>
      <c r="J5100" s="235" t="s">
        <v>37612</v>
      </c>
      <c r="K5100" s="235" t="s">
        <v>37613</v>
      </c>
      <c r="N5100" s="235" t="s">
        <v>962</v>
      </c>
      <c r="O5100" s="235" t="s">
        <v>963</v>
      </c>
      <c r="P5100" s="238">
        <v>1.0</v>
      </c>
      <c r="Q5100" s="235" t="s">
        <v>627</v>
      </c>
      <c r="R5100" s="238">
        <v>245.71</v>
      </c>
      <c r="S5100" s="238">
        <v>12.04</v>
      </c>
      <c r="T5100" s="238">
        <v>38.1</v>
      </c>
      <c r="U5100" s="238">
        <v>1.9</v>
      </c>
      <c r="V5100" s="238">
        <v>0.0</v>
      </c>
      <c r="W5100" s="238">
        <v>0.0</v>
      </c>
      <c r="X5100" s="235" t="s">
        <v>628</v>
      </c>
      <c r="Z5100" s="245"/>
      <c r="AA5100" s="245"/>
      <c r="AB5100" s="245"/>
      <c r="AC5100" s="235" t="s">
        <v>37614</v>
      </c>
      <c r="AD5100" s="235" t="s">
        <v>908</v>
      </c>
      <c r="AE5100" s="238">
        <v>244715.0</v>
      </c>
      <c r="AF5100" s="235" t="s">
        <v>631</v>
      </c>
      <c r="AG5100" s="245"/>
      <c r="AH5100" s="245"/>
      <c r="AI5100" s="245"/>
      <c r="AJ5100" s="245"/>
      <c r="AK5100" s="245"/>
      <c r="AL5100" s="245"/>
      <c r="AM5100" s="245"/>
      <c r="AN5100" s="245"/>
      <c r="AO5100" s="238">
        <v>-4.91</v>
      </c>
      <c r="AP5100" s="238">
        <v>-38.1</v>
      </c>
      <c r="AQ5100" s="235" t="s">
        <v>632</v>
      </c>
      <c r="AR5100" s="243">
        <v>3.7E11</v>
      </c>
      <c r="AS5100" s="235" t="s">
        <v>35520</v>
      </c>
      <c r="AT5100" s="235" t="s">
        <v>533</v>
      </c>
      <c r="AU5100" s="235" t="s">
        <v>634</v>
      </c>
      <c r="AV5100" s="246" t="s">
        <v>635</v>
      </c>
      <c r="AW5100" s="227"/>
      <c r="AX5100" s="227"/>
      <c r="AY5100" s="227"/>
      <c r="AZ5100" s="227"/>
      <c r="BA5100" s="227"/>
      <c r="BB5100" s="227"/>
      <c r="BC5100" s="227"/>
      <c r="BD5100" s="227"/>
      <c r="BE5100" s="227"/>
      <c r="BF5100" s="227"/>
    </row>
    <row r="5101">
      <c r="A5101" s="235" t="s">
        <v>37615</v>
      </c>
      <c r="C5101" s="235" t="s">
        <v>37616</v>
      </c>
      <c r="D5101" s="235" t="s">
        <v>37617</v>
      </c>
      <c r="E5101" s="243">
        <v>6.49E13</v>
      </c>
      <c r="F5101" s="245"/>
      <c r="G5101" s="235" t="s">
        <v>37618</v>
      </c>
      <c r="H5101" s="235" t="s">
        <v>37619</v>
      </c>
      <c r="I5101" s="235" t="s">
        <v>37620</v>
      </c>
      <c r="J5101" s="235" t="s">
        <v>37621</v>
      </c>
      <c r="K5101" s="235" t="s">
        <v>37622</v>
      </c>
      <c r="N5101" s="235" t="s">
        <v>50</v>
      </c>
      <c r="O5101" s="235" t="s">
        <v>367</v>
      </c>
      <c r="P5101" s="238">
        <v>1.0</v>
      </c>
      <c r="Q5101" s="235" t="s">
        <v>627</v>
      </c>
      <c r="R5101" s="238">
        <v>234.28</v>
      </c>
      <c r="S5101" s="238">
        <v>11.72</v>
      </c>
      <c r="T5101" s="238">
        <v>0.0</v>
      </c>
      <c r="U5101" s="238">
        <v>0.0</v>
      </c>
      <c r="V5101" s="238">
        <v>0.0</v>
      </c>
      <c r="W5101" s="238">
        <v>0.0</v>
      </c>
      <c r="X5101" s="235" t="s">
        <v>628</v>
      </c>
      <c r="Z5101" s="245"/>
      <c r="AA5101" s="245"/>
      <c r="AB5101" s="245"/>
      <c r="AC5101" s="235" t="s">
        <v>8147</v>
      </c>
      <c r="AD5101" s="235" t="s">
        <v>666</v>
      </c>
      <c r="AE5101" s="238">
        <v>600016.0</v>
      </c>
      <c r="AF5101" s="235" t="s">
        <v>631</v>
      </c>
      <c r="AG5101" s="245"/>
      <c r="AH5101" s="245"/>
      <c r="AI5101" s="245"/>
      <c r="AJ5101" s="245"/>
      <c r="AK5101" s="245"/>
      <c r="AL5101" s="245"/>
      <c r="AM5101" s="245"/>
      <c r="AN5101" s="245"/>
      <c r="AO5101" s="238">
        <v>0.0</v>
      </c>
      <c r="AP5101" s="238">
        <v>0.0</v>
      </c>
      <c r="AQ5101" s="235" t="s">
        <v>632</v>
      </c>
      <c r="AR5101" s="243">
        <v>3.7E11</v>
      </c>
      <c r="AS5101" s="235" t="s">
        <v>35520</v>
      </c>
      <c r="AT5101" s="235" t="s">
        <v>155</v>
      </c>
      <c r="AU5101" s="235" t="s">
        <v>634</v>
      </c>
      <c r="AV5101" s="246" t="s">
        <v>635</v>
      </c>
      <c r="AW5101" s="227"/>
      <c r="AX5101" s="227"/>
      <c r="AY5101" s="227"/>
      <c r="AZ5101" s="227"/>
      <c r="BA5101" s="227"/>
      <c r="BB5101" s="227"/>
      <c r="BC5101" s="227"/>
      <c r="BD5101" s="227"/>
      <c r="BE5101" s="227"/>
      <c r="BF5101" s="227"/>
    </row>
    <row r="5102">
      <c r="A5102" s="235" t="s">
        <v>37623</v>
      </c>
      <c r="C5102" s="235" t="s">
        <v>37624</v>
      </c>
      <c r="D5102" s="235" t="s">
        <v>37625</v>
      </c>
      <c r="E5102" s="243">
        <v>6.49E13</v>
      </c>
      <c r="F5102" s="245"/>
      <c r="G5102" s="235" t="s">
        <v>37626</v>
      </c>
      <c r="H5102" s="235" t="s">
        <v>37627</v>
      </c>
      <c r="I5102" s="235" t="s">
        <v>37627</v>
      </c>
      <c r="J5102" s="235" t="s">
        <v>37628</v>
      </c>
      <c r="K5102" s="235" t="s">
        <v>37629</v>
      </c>
      <c r="N5102" s="235" t="s">
        <v>842</v>
      </c>
      <c r="O5102" s="235" t="s">
        <v>843</v>
      </c>
      <c r="P5102" s="238">
        <v>1.0</v>
      </c>
      <c r="Q5102" s="235" t="s">
        <v>627</v>
      </c>
      <c r="R5102" s="238">
        <v>246.67</v>
      </c>
      <c r="S5102" s="238">
        <v>12.33</v>
      </c>
      <c r="T5102" s="238">
        <v>38.1</v>
      </c>
      <c r="U5102" s="238">
        <v>1.9</v>
      </c>
      <c r="V5102" s="238">
        <v>0.0</v>
      </c>
      <c r="W5102" s="238">
        <v>0.0</v>
      </c>
      <c r="X5102" s="235" t="s">
        <v>628</v>
      </c>
      <c r="Z5102" s="245"/>
      <c r="AA5102" s="245"/>
      <c r="AB5102" s="245"/>
      <c r="AC5102" s="235" t="s">
        <v>19680</v>
      </c>
      <c r="AD5102" s="235" t="s">
        <v>3113</v>
      </c>
      <c r="AE5102" s="238">
        <v>490006.0</v>
      </c>
      <c r="AF5102" s="235" t="s">
        <v>631</v>
      </c>
      <c r="AG5102" s="245"/>
      <c r="AH5102" s="245"/>
      <c r="AI5102" s="245"/>
      <c r="AJ5102" s="245"/>
      <c r="AK5102" s="245"/>
      <c r="AL5102" s="245"/>
      <c r="AM5102" s="245"/>
      <c r="AN5102" s="245"/>
      <c r="AO5102" s="238">
        <v>0.0</v>
      </c>
      <c r="AP5102" s="238">
        <v>-38.1</v>
      </c>
      <c r="AQ5102" s="235" t="s">
        <v>632</v>
      </c>
      <c r="AR5102" s="243">
        <v>3.7E11</v>
      </c>
      <c r="AS5102" s="235" t="s">
        <v>33466</v>
      </c>
      <c r="AT5102" s="235" t="s">
        <v>16</v>
      </c>
      <c r="AU5102" s="235" t="s">
        <v>634</v>
      </c>
      <c r="AV5102" s="246" t="s">
        <v>635</v>
      </c>
      <c r="AW5102" s="227"/>
      <c r="AX5102" s="227"/>
      <c r="AY5102" s="227"/>
      <c r="AZ5102" s="227"/>
      <c r="BA5102" s="227"/>
      <c r="BB5102" s="227"/>
      <c r="BC5102" s="227"/>
      <c r="BD5102" s="227"/>
      <c r="BE5102" s="227"/>
      <c r="BF5102" s="227"/>
    </row>
    <row r="5103">
      <c r="A5103" s="235" t="s">
        <v>37630</v>
      </c>
      <c r="C5103" s="235" t="s">
        <v>37631</v>
      </c>
      <c r="D5103" s="235" t="s">
        <v>37632</v>
      </c>
      <c r="E5103" s="243">
        <v>6.49E13</v>
      </c>
      <c r="F5103" s="245"/>
      <c r="G5103" s="235" t="s">
        <v>37633</v>
      </c>
      <c r="H5103" s="235" t="s">
        <v>37634</v>
      </c>
      <c r="I5103" s="235" t="s">
        <v>37634</v>
      </c>
      <c r="J5103" s="235" t="s">
        <v>37635</v>
      </c>
      <c r="K5103" s="235" t="s">
        <v>37636</v>
      </c>
      <c r="N5103" s="235" t="s">
        <v>127</v>
      </c>
      <c r="O5103" s="235" t="s">
        <v>794</v>
      </c>
      <c r="P5103" s="238">
        <v>1.0</v>
      </c>
      <c r="Q5103" s="235" t="s">
        <v>627</v>
      </c>
      <c r="R5103" s="238">
        <v>243.8</v>
      </c>
      <c r="S5103" s="238">
        <v>12.2</v>
      </c>
      <c r="T5103" s="238">
        <v>0.0</v>
      </c>
      <c r="U5103" s="238">
        <v>0.0</v>
      </c>
      <c r="V5103" s="238">
        <v>0.0</v>
      </c>
      <c r="W5103" s="238">
        <v>0.0</v>
      </c>
      <c r="X5103" s="235" t="s">
        <v>628</v>
      </c>
      <c r="Z5103" s="245"/>
      <c r="AA5103" s="245"/>
      <c r="AB5103" s="245"/>
      <c r="AC5103" s="235" t="s">
        <v>4387</v>
      </c>
      <c r="AD5103" s="235" t="s">
        <v>845</v>
      </c>
      <c r="AE5103" s="238">
        <v>421204.0</v>
      </c>
      <c r="AF5103" s="235" t="s">
        <v>631</v>
      </c>
      <c r="AG5103" s="245"/>
      <c r="AH5103" s="245"/>
      <c r="AI5103" s="245"/>
      <c r="AJ5103" s="245"/>
      <c r="AK5103" s="245"/>
      <c r="AL5103" s="245"/>
      <c r="AM5103" s="245"/>
      <c r="AN5103" s="245"/>
      <c r="AO5103" s="238">
        <v>0.0</v>
      </c>
      <c r="AP5103" s="238">
        <v>0.0</v>
      </c>
      <c r="AQ5103" s="235" t="s">
        <v>632</v>
      </c>
      <c r="AR5103" s="243">
        <v>3.7E11</v>
      </c>
      <c r="AS5103" s="235" t="s">
        <v>36667</v>
      </c>
      <c r="AT5103" s="235" t="s">
        <v>16</v>
      </c>
      <c r="AU5103" s="235" t="s">
        <v>634</v>
      </c>
      <c r="AV5103" s="246" t="s">
        <v>635</v>
      </c>
      <c r="AW5103" s="227"/>
      <c r="AX5103" s="227"/>
      <c r="AY5103" s="227"/>
      <c r="AZ5103" s="227"/>
      <c r="BA5103" s="227"/>
      <c r="BB5103" s="227"/>
      <c r="BC5103" s="227"/>
      <c r="BD5103" s="227"/>
      <c r="BE5103" s="227"/>
      <c r="BF5103" s="227"/>
    </row>
    <row r="5104">
      <c r="A5104" s="235" t="s">
        <v>37637</v>
      </c>
      <c r="C5104" s="235" t="s">
        <v>37638</v>
      </c>
      <c r="D5104" s="235" t="s">
        <v>37639</v>
      </c>
      <c r="E5104" s="243">
        <v>6.49E13</v>
      </c>
      <c r="F5104" s="245"/>
      <c r="G5104" s="235" t="s">
        <v>37640</v>
      </c>
      <c r="H5104" s="235" t="s">
        <v>37641</v>
      </c>
      <c r="I5104" s="235" t="s">
        <v>37642</v>
      </c>
      <c r="J5104" s="235" t="s">
        <v>37643</v>
      </c>
      <c r="K5104" s="235" t="s">
        <v>37644</v>
      </c>
      <c r="N5104" s="235" t="s">
        <v>85</v>
      </c>
      <c r="O5104" s="235" t="s">
        <v>872</v>
      </c>
      <c r="P5104" s="238">
        <v>1.0</v>
      </c>
      <c r="Q5104" s="235" t="s">
        <v>627</v>
      </c>
      <c r="R5104" s="238">
        <v>243.8</v>
      </c>
      <c r="S5104" s="238">
        <v>11.96</v>
      </c>
      <c r="T5104" s="238">
        <v>0.0</v>
      </c>
      <c r="U5104" s="238">
        <v>0.0</v>
      </c>
      <c r="V5104" s="238">
        <v>0.0</v>
      </c>
      <c r="W5104" s="238">
        <v>0.0</v>
      </c>
      <c r="X5104" s="235" t="s">
        <v>628</v>
      </c>
      <c r="Z5104" s="245"/>
      <c r="AA5104" s="245"/>
      <c r="AB5104" s="245"/>
      <c r="AC5104" s="235" t="s">
        <v>687</v>
      </c>
      <c r="AD5104" s="235" t="s">
        <v>666</v>
      </c>
      <c r="AE5104" s="238">
        <v>600056.0</v>
      </c>
      <c r="AF5104" s="235" t="s">
        <v>631</v>
      </c>
      <c r="AG5104" s="245"/>
      <c r="AH5104" s="245"/>
      <c r="AI5104" s="245"/>
      <c r="AJ5104" s="245"/>
      <c r="AK5104" s="245"/>
      <c r="AL5104" s="245"/>
      <c r="AM5104" s="245"/>
      <c r="AN5104" s="245"/>
      <c r="AO5104" s="238">
        <v>-4.88</v>
      </c>
      <c r="AP5104" s="238">
        <v>0.0</v>
      </c>
      <c r="AQ5104" s="235" t="s">
        <v>632</v>
      </c>
      <c r="AR5104" s="243">
        <v>3.7E11</v>
      </c>
      <c r="AS5104" s="235" t="s">
        <v>36667</v>
      </c>
      <c r="AT5104" s="235" t="s">
        <v>156</v>
      </c>
      <c r="AU5104" s="235" t="s">
        <v>634</v>
      </c>
      <c r="AV5104" s="246" t="s">
        <v>635</v>
      </c>
      <c r="AW5104" s="227"/>
      <c r="AX5104" s="227"/>
      <c r="AY5104" s="227"/>
      <c r="AZ5104" s="227"/>
      <c r="BA5104" s="227"/>
      <c r="BB5104" s="227"/>
      <c r="BC5104" s="227"/>
      <c r="BD5104" s="227"/>
      <c r="BE5104" s="227"/>
      <c r="BF5104" s="227"/>
    </row>
    <row r="5105">
      <c r="A5105" s="235" t="s">
        <v>37645</v>
      </c>
      <c r="C5105" s="235" t="s">
        <v>37646</v>
      </c>
      <c r="D5105" s="235" t="s">
        <v>37647</v>
      </c>
      <c r="E5105" s="243">
        <v>6.49E13</v>
      </c>
      <c r="F5105" s="245"/>
      <c r="G5105" s="235" t="s">
        <v>37648</v>
      </c>
      <c r="H5105" s="235" t="s">
        <v>37649</v>
      </c>
      <c r="I5105" s="235" t="s">
        <v>37649</v>
      </c>
      <c r="J5105" s="235" t="s">
        <v>37650</v>
      </c>
      <c r="K5105" s="235" t="s">
        <v>37651</v>
      </c>
      <c r="N5105" s="235" t="s">
        <v>53</v>
      </c>
      <c r="O5105" s="235" t="s">
        <v>512</v>
      </c>
      <c r="P5105" s="238">
        <v>1.0</v>
      </c>
      <c r="Q5105" s="235" t="s">
        <v>627</v>
      </c>
      <c r="R5105" s="238">
        <v>237.14</v>
      </c>
      <c r="S5105" s="238">
        <v>11.86</v>
      </c>
      <c r="T5105" s="238">
        <v>38.1</v>
      </c>
      <c r="U5105" s="238">
        <v>1.9</v>
      </c>
      <c r="V5105" s="238">
        <v>0.0</v>
      </c>
      <c r="W5105" s="238">
        <v>0.0</v>
      </c>
      <c r="X5105" s="235" t="s">
        <v>628</v>
      </c>
      <c r="Z5105" s="245"/>
      <c r="AA5105" s="245"/>
      <c r="AB5105" s="245"/>
      <c r="AC5105" s="235" t="s">
        <v>687</v>
      </c>
      <c r="AD5105" s="235" t="s">
        <v>666</v>
      </c>
      <c r="AE5105" s="238">
        <v>600083.0</v>
      </c>
      <c r="AF5105" s="235" t="s">
        <v>631</v>
      </c>
      <c r="AG5105" s="245"/>
      <c r="AH5105" s="245"/>
      <c r="AI5105" s="245"/>
      <c r="AJ5105" s="245"/>
      <c r="AK5105" s="245"/>
      <c r="AL5105" s="245"/>
      <c r="AM5105" s="245"/>
      <c r="AN5105" s="245"/>
      <c r="AO5105" s="238">
        <v>0.0</v>
      </c>
      <c r="AP5105" s="238">
        <v>-38.1</v>
      </c>
      <c r="AQ5105" s="235" t="s">
        <v>632</v>
      </c>
      <c r="AR5105" s="243">
        <v>3.7E11</v>
      </c>
      <c r="AS5105" s="235" t="s">
        <v>36667</v>
      </c>
      <c r="AT5105" s="235" t="s">
        <v>156</v>
      </c>
      <c r="AU5105" s="235" t="s">
        <v>634</v>
      </c>
      <c r="AV5105" s="246" t="s">
        <v>635</v>
      </c>
      <c r="AW5105" s="227"/>
      <c r="AX5105" s="227"/>
      <c r="AY5105" s="227"/>
      <c r="AZ5105" s="227"/>
      <c r="BA5105" s="227"/>
      <c r="BB5105" s="227"/>
      <c r="BC5105" s="227"/>
      <c r="BD5105" s="227"/>
      <c r="BE5105" s="227"/>
      <c r="BF5105" s="227"/>
    </row>
    <row r="5106">
      <c r="A5106" s="235" t="s">
        <v>37652</v>
      </c>
      <c r="C5106" s="235" t="s">
        <v>37653</v>
      </c>
      <c r="D5106" s="235" t="s">
        <v>37654</v>
      </c>
      <c r="E5106" s="243">
        <v>6.49E13</v>
      </c>
      <c r="F5106" s="245"/>
      <c r="G5106" s="235" t="s">
        <v>37655</v>
      </c>
      <c r="H5106" s="235" t="s">
        <v>37656</v>
      </c>
      <c r="I5106" s="235" t="s">
        <v>37656</v>
      </c>
      <c r="J5106" s="235" t="s">
        <v>37657</v>
      </c>
      <c r="K5106" s="235" t="s">
        <v>37658</v>
      </c>
      <c r="N5106" s="235" t="s">
        <v>2163</v>
      </c>
      <c r="O5106" s="235" t="s">
        <v>2164</v>
      </c>
      <c r="P5106" s="238">
        <v>1.0</v>
      </c>
      <c r="Q5106" s="235" t="s">
        <v>627</v>
      </c>
      <c r="R5106" s="238">
        <v>245.71</v>
      </c>
      <c r="S5106" s="238">
        <v>12.04</v>
      </c>
      <c r="T5106" s="238">
        <v>0.0</v>
      </c>
      <c r="U5106" s="238">
        <v>0.0</v>
      </c>
      <c r="V5106" s="238">
        <v>0.0</v>
      </c>
      <c r="W5106" s="238">
        <v>0.0</v>
      </c>
      <c r="X5106" s="235" t="s">
        <v>628</v>
      </c>
      <c r="Z5106" s="245"/>
      <c r="AA5106" s="245"/>
      <c r="AB5106" s="245"/>
      <c r="AC5106" s="235" t="s">
        <v>844</v>
      </c>
      <c r="AD5106" s="235" t="s">
        <v>845</v>
      </c>
      <c r="AE5106" s="238">
        <v>411028.0</v>
      </c>
      <c r="AF5106" s="235" t="s">
        <v>631</v>
      </c>
      <c r="AG5106" s="245"/>
      <c r="AH5106" s="245"/>
      <c r="AI5106" s="245"/>
      <c r="AJ5106" s="245"/>
      <c r="AK5106" s="245"/>
      <c r="AL5106" s="245"/>
      <c r="AM5106" s="245"/>
      <c r="AN5106" s="245"/>
      <c r="AO5106" s="238">
        <v>-4.91</v>
      </c>
      <c r="AP5106" s="238">
        <v>0.0</v>
      </c>
      <c r="AQ5106" s="235" t="s">
        <v>632</v>
      </c>
      <c r="AR5106" s="243">
        <v>2.02E11</v>
      </c>
      <c r="AS5106" s="235" t="s">
        <v>36667</v>
      </c>
      <c r="AT5106" s="235" t="s">
        <v>13</v>
      </c>
      <c r="AU5106" s="235" t="s">
        <v>634</v>
      </c>
      <c r="AV5106" s="246" t="s">
        <v>635</v>
      </c>
      <c r="AW5106" s="227"/>
      <c r="AX5106" s="227"/>
      <c r="AY5106" s="227"/>
      <c r="AZ5106" s="227"/>
      <c r="BA5106" s="227"/>
      <c r="BB5106" s="227"/>
      <c r="BC5106" s="227"/>
      <c r="BD5106" s="227"/>
      <c r="BE5106" s="227"/>
      <c r="BF5106" s="227"/>
    </row>
    <row r="5107">
      <c r="A5107" s="235" t="s">
        <v>37659</v>
      </c>
      <c r="C5107" s="235" t="s">
        <v>37660</v>
      </c>
      <c r="D5107" s="235" t="s">
        <v>37661</v>
      </c>
      <c r="E5107" s="243">
        <v>6.49E13</v>
      </c>
      <c r="F5107" s="245"/>
      <c r="G5107" s="235" t="s">
        <v>37662</v>
      </c>
      <c r="H5107" s="235" t="s">
        <v>37663</v>
      </c>
      <c r="I5107" s="235" t="s">
        <v>37663</v>
      </c>
      <c r="J5107" s="235" t="s">
        <v>37664</v>
      </c>
      <c r="K5107" s="235" t="s">
        <v>37665</v>
      </c>
      <c r="N5107" s="235" t="s">
        <v>127</v>
      </c>
      <c r="O5107" s="235" t="s">
        <v>794</v>
      </c>
      <c r="P5107" s="238">
        <v>1.0</v>
      </c>
      <c r="Q5107" s="235" t="s">
        <v>627</v>
      </c>
      <c r="R5107" s="238">
        <v>243.8</v>
      </c>
      <c r="S5107" s="238">
        <v>12.2</v>
      </c>
      <c r="T5107" s="238">
        <v>0.0</v>
      </c>
      <c r="U5107" s="238">
        <v>0.0</v>
      </c>
      <c r="V5107" s="238">
        <v>0.0</v>
      </c>
      <c r="W5107" s="238">
        <v>0.0</v>
      </c>
      <c r="X5107" s="235" t="s">
        <v>628</v>
      </c>
      <c r="Z5107" s="245"/>
      <c r="AA5107" s="245"/>
      <c r="AB5107" s="245"/>
      <c r="AC5107" s="235" t="s">
        <v>1910</v>
      </c>
      <c r="AD5107" s="235" t="s">
        <v>928</v>
      </c>
      <c r="AE5107" s="238">
        <v>122003.0</v>
      </c>
      <c r="AF5107" s="235" t="s">
        <v>631</v>
      </c>
      <c r="AG5107" s="245"/>
      <c r="AH5107" s="245"/>
      <c r="AI5107" s="245"/>
      <c r="AJ5107" s="245"/>
      <c r="AK5107" s="245"/>
      <c r="AL5107" s="245"/>
      <c r="AM5107" s="245"/>
      <c r="AN5107" s="245"/>
      <c r="AO5107" s="238">
        <v>0.0</v>
      </c>
      <c r="AP5107" s="238">
        <v>0.0</v>
      </c>
      <c r="AQ5107" s="235" t="s">
        <v>632</v>
      </c>
      <c r="AR5107" s="243">
        <v>1.68E11</v>
      </c>
      <c r="AS5107" s="235" t="s">
        <v>37288</v>
      </c>
      <c r="AT5107" s="235" t="s">
        <v>14</v>
      </c>
      <c r="AU5107" s="235" t="s">
        <v>634</v>
      </c>
      <c r="AV5107" s="246" t="s">
        <v>635</v>
      </c>
      <c r="AW5107" s="227"/>
      <c r="AX5107" s="227"/>
      <c r="AY5107" s="227"/>
      <c r="AZ5107" s="227"/>
      <c r="BA5107" s="227"/>
      <c r="BB5107" s="227"/>
      <c r="BC5107" s="227"/>
      <c r="BD5107" s="227"/>
      <c r="BE5107" s="227"/>
      <c r="BF5107" s="227"/>
    </row>
    <row r="5108">
      <c r="A5108" s="235" t="s">
        <v>37666</v>
      </c>
      <c r="C5108" s="235" t="s">
        <v>37667</v>
      </c>
      <c r="D5108" s="235" t="s">
        <v>37668</v>
      </c>
      <c r="E5108" s="243">
        <v>6.49E13</v>
      </c>
      <c r="F5108" s="245"/>
      <c r="G5108" s="235" t="s">
        <v>37669</v>
      </c>
      <c r="H5108" s="235" t="s">
        <v>37670</v>
      </c>
      <c r="I5108" s="235" t="s">
        <v>37670</v>
      </c>
      <c r="J5108" s="235" t="s">
        <v>37671</v>
      </c>
      <c r="K5108" s="235" t="s">
        <v>37672</v>
      </c>
      <c r="N5108" s="235" t="s">
        <v>68</v>
      </c>
      <c r="O5108" s="235" t="s">
        <v>208</v>
      </c>
      <c r="P5108" s="238">
        <v>1.0</v>
      </c>
      <c r="Q5108" s="235" t="s">
        <v>627</v>
      </c>
      <c r="R5108" s="238">
        <v>246.67</v>
      </c>
      <c r="S5108" s="238">
        <v>12.33</v>
      </c>
      <c r="T5108" s="238">
        <v>0.0</v>
      </c>
      <c r="U5108" s="238">
        <v>0.0</v>
      </c>
      <c r="V5108" s="238">
        <v>0.0</v>
      </c>
      <c r="W5108" s="238">
        <v>0.0</v>
      </c>
      <c r="X5108" s="235" t="s">
        <v>628</v>
      </c>
      <c r="Z5108" s="245"/>
      <c r="AA5108" s="245"/>
      <c r="AB5108" s="245"/>
      <c r="AC5108" s="235" t="s">
        <v>795</v>
      </c>
      <c r="AD5108" s="235" t="s">
        <v>796</v>
      </c>
      <c r="AE5108" s="238">
        <v>110048.0</v>
      </c>
      <c r="AF5108" s="235" t="s">
        <v>631</v>
      </c>
      <c r="AG5108" s="245"/>
      <c r="AH5108" s="245"/>
      <c r="AI5108" s="245"/>
      <c r="AJ5108" s="245"/>
      <c r="AK5108" s="245"/>
      <c r="AL5108" s="245"/>
      <c r="AM5108" s="245"/>
      <c r="AN5108" s="245"/>
      <c r="AO5108" s="238">
        <v>0.0</v>
      </c>
      <c r="AP5108" s="238">
        <v>0.0</v>
      </c>
      <c r="AQ5108" s="235" t="s">
        <v>632</v>
      </c>
      <c r="AR5108" s="243">
        <v>1.68E11</v>
      </c>
      <c r="AS5108" s="235" t="s">
        <v>37288</v>
      </c>
      <c r="AT5108" s="235" t="s">
        <v>14</v>
      </c>
      <c r="AU5108" s="235" t="s">
        <v>634</v>
      </c>
      <c r="AV5108" s="246" t="s">
        <v>635</v>
      </c>
      <c r="AW5108" s="227"/>
      <c r="AX5108" s="227"/>
      <c r="AY5108" s="227"/>
      <c r="AZ5108" s="227"/>
      <c r="BA5108" s="227"/>
      <c r="BB5108" s="227"/>
      <c r="BC5108" s="227"/>
      <c r="BD5108" s="227"/>
      <c r="BE5108" s="227"/>
      <c r="BF5108" s="227"/>
    </row>
    <row r="5109">
      <c r="A5109" s="235" t="s">
        <v>37673</v>
      </c>
      <c r="C5109" s="235" t="s">
        <v>37674</v>
      </c>
      <c r="D5109" s="235" t="s">
        <v>37675</v>
      </c>
      <c r="E5109" s="243">
        <v>6.49E13</v>
      </c>
      <c r="F5109" s="245"/>
      <c r="G5109" s="235" t="s">
        <v>37676</v>
      </c>
      <c r="H5109" s="235" t="s">
        <v>37677</v>
      </c>
      <c r="I5109" s="235" t="s">
        <v>37677</v>
      </c>
      <c r="J5109" s="235" t="s">
        <v>37678</v>
      </c>
      <c r="K5109" s="235" t="s">
        <v>37679</v>
      </c>
      <c r="N5109" s="235" t="s">
        <v>42</v>
      </c>
      <c r="O5109" s="235" t="s">
        <v>204</v>
      </c>
      <c r="P5109" s="238">
        <v>1.0</v>
      </c>
      <c r="Q5109" s="235" t="s">
        <v>627</v>
      </c>
      <c r="R5109" s="238">
        <v>237.14</v>
      </c>
      <c r="S5109" s="238">
        <v>11.86</v>
      </c>
      <c r="T5109" s="238">
        <v>18.1</v>
      </c>
      <c r="U5109" s="238">
        <v>0.9</v>
      </c>
      <c r="V5109" s="238">
        <v>0.0</v>
      </c>
      <c r="W5109" s="238">
        <v>0.0</v>
      </c>
      <c r="X5109" s="235" t="s">
        <v>628</v>
      </c>
      <c r="Z5109" s="245"/>
      <c r="AA5109" s="245"/>
      <c r="AB5109" s="245"/>
      <c r="AC5109" s="235" t="s">
        <v>678</v>
      </c>
      <c r="AD5109" s="235" t="s">
        <v>679</v>
      </c>
      <c r="AE5109" s="238">
        <v>560049.0</v>
      </c>
      <c r="AF5109" s="235" t="s">
        <v>631</v>
      </c>
      <c r="AG5109" s="245"/>
      <c r="AH5109" s="245"/>
      <c r="AI5109" s="245"/>
      <c r="AJ5109" s="245"/>
      <c r="AK5109" s="245"/>
      <c r="AL5109" s="245"/>
      <c r="AM5109" s="245"/>
      <c r="AN5109" s="245"/>
      <c r="AO5109" s="238">
        <v>0.0</v>
      </c>
      <c r="AP5109" s="238">
        <v>-18.1</v>
      </c>
      <c r="AQ5109" s="235" t="s">
        <v>632</v>
      </c>
      <c r="AR5109" s="243">
        <v>1.68E11</v>
      </c>
      <c r="AS5109" s="235" t="s">
        <v>37288</v>
      </c>
      <c r="AT5109" s="235" t="s">
        <v>9</v>
      </c>
      <c r="AU5109" s="235" t="s">
        <v>634</v>
      </c>
      <c r="AV5109" s="246" t="s">
        <v>635</v>
      </c>
      <c r="AW5109" s="227"/>
      <c r="AX5109" s="227"/>
      <c r="AY5109" s="227"/>
      <c r="AZ5109" s="227"/>
      <c r="BA5109" s="227"/>
      <c r="BB5109" s="227"/>
      <c r="BC5109" s="227"/>
      <c r="BD5109" s="227"/>
      <c r="BE5109" s="227"/>
      <c r="BF5109" s="227"/>
    </row>
    <row r="5110">
      <c r="A5110" s="235" t="s">
        <v>37680</v>
      </c>
      <c r="C5110" s="235" t="s">
        <v>37681</v>
      </c>
      <c r="D5110" s="235" t="s">
        <v>37682</v>
      </c>
      <c r="E5110" s="243">
        <v>6.49E13</v>
      </c>
      <c r="F5110" s="245"/>
      <c r="G5110" s="235" t="s">
        <v>37683</v>
      </c>
      <c r="H5110" s="235" t="s">
        <v>37684</v>
      </c>
      <c r="I5110" s="235" t="s">
        <v>37684</v>
      </c>
      <c r="J5110" s="235" t="s">
        <v>37685</v>
      </c>
      <c r="K5110" s="235" t="s">
        <v>37686</v>
      </c>
      <c r="N5110" s="235" t="s">
        <v>143</v>
      </c>
      <c r="O5110" s="235" t="s">
        <v>220</v>
      </c>
      <c r="P5110" s="238">
        <v>1.0</v>
      </c>
      <c r="Q5110" s="235" t="s">
        <v>627</v>
      </c>
      <c r="R5110" s="238">
        <v>244.76</v>
      </c>
      <c r="S5110" s="238">
        <v>12.24</v>
      </c>
      <c r="T5110" s="238">
        <v>0.0</v>
      </c>
      <c r="U5110" s="238">
        <v>0.0</v>
      </c>
      <c r="V5110" s="238">
        <v>0.0</v>
      </c>
      <c r="W5110" s="238">
        <v>0.0</v>
      </c>
      <c r="X5110" s="235" t="s">
        <v>628</v>
      </c>
      <c r="Z5110" s="245"/>
      <c r="AA5110" s="245"/>
      <c r="AB5110" s="245"/>
      <c r="AC5110" s="235" t="s">
        <v>1998</v>
      </c>
      <c r="AD5110" s="235" t="s">
        <v>928</v>
      </c>
      <c r="AE5110" s="238">
        <v>121001.0</v>
      </c>
      <c r="AF5110" s="235" t="s">
        <v>631</v>
      </c>
      <c r="AG5110" s="245"/>
      <c r="AH5110" s="245"/>
      <c r="AI5110" s="245"/>
      <c r="AJ5110" s="245"/>
      <c r="AK5110" s="245"/>
      <c r="AL5110" s="245"/>
      <c r="AM5110" s="245"/>
      <c r="AN5110" s="245"/>
      <c r="AO5110" s="238">
        <v>0.0</v>
      </c>
      <c r="AP5110" s="238">
        <v>0.0</v>
      </c>
      <c r="AQ5110" s="235" t="s">
        <v>632</v>
      </c>
      <c r="AR5110" s="243">
        <v>1.68E11</v>
      </c>
      <c r="AS5110" s="235" t="s">
        <v>37288</v>
      </c>
      <c r="AT5110" s="235" t="s">
        <v>533</v>
      </c>
      <c r="AU5110" s="235" t="s">
        <v>634</v>
      </c>
      <c r="AV5110" s="246" t="s">
        <v>635</v>
      </c>
      <c r="AW5110" s="227"/>
      <c r="AX5110" s="227"/>
      <c r="AY5110" s="227"/>
      <c r="AZ5110" s="227"/>
      <c r="BA5110" s="227"/>
      <c r="BB5110" s="227"/>
      <c r="BC5110" s="227"/>
      <c r="BD5110" s="227"/>
      <c r="BE5110" s="227"/>
      <c r="BF5110" s="227"/>
    </row>
    <row r="5111">
      <c r="A5111" s="235" t="s">
        <v>37687</v>
      </c>
      <c r="C5111" s="235" t="s">
        <v>37688</v>
      </c>
      <c r="D5111" s="235" t="s">
        <v>37689</v>
      </c>
      <c r="E5111" s="243">
        <v>6.49E13</v>
      </c>
      <c r="F5111" s="245"/>
      <c r="G5111" s="235" t="s">
        <v>37690</v>
      </c>
      <c r="H5111" s="235" t="s">
        <v>37691</v>
      </c>
      <c r="I5111" s="235" t="s">
        <v>37691</v>
      </c>
      <c r="J5111" s="235" t="s">
        <v>37692</v>
      </c>
      <c r="K5111" s="235" t="s">
        <v>37693</v>
      </c>
      <c r="N5111" s="235" t="s">
        <v>144</v>
      </c>
      <c r="O5111" s="235" t="s">
        <v>232</v>
      </c>
      <c r="P5111" s="238">
        <v>2.0</v>
      </c>
      <c r="Q5111" s="235" t="s">
        <v>627</v>
      </c>
      <c r="R5111" s="238">
        <v>1331.44</v>
      </c>
      <c r="S5111" s="238">
        <v>64.56</v>
      </c>
      <c r="T5111" s="238">
        <v>6.01</v>
      </c>
      <c r="U5111" s="238">
        <v>0.32</v>
      </c>
      <c r="V5111" s="238">
        <v>0.0</v>
      </c>
      <c r="W5111" s="238">
        <v>0.0</v>
      </c>
      <c r="X5111" s="235" t="s">
        <v>628</v>
      </c>
      <c r="Z5111" s="245"/>
      <c r="AA5111" s="245"/>
      <c r="AB5111" s="245"/>
      <c r="AC5111" s="235" t="s">
        <v>844</v>
      </c>
      <c r="AD5111" s="235" t="s">
        <v>845</v>
      </c>
      <c r="AE5111" s="238">
        <v>411027.0</v>
      </c>
      <c r="AF5111" s="235" t="s">
        <v>631</v>
      </c>
      <c r="AG5111" s="245"/>
      <c r="AH5111" s="245"/>
      <c r="AI5111" s="245"/>
      <c r="AJ5111" s="245"/>
      <c r="AK5111" s="245"/>
      <c r="AL5111" s="245"/>
      <c r="AM5111" s="245"/>
      <c r="AN5111" s="245"/>
      <c r="AO5111" s="238">
        <v>-39.94</v>
      </c>
      <c r="AP5111" s="238">
        <v>-6.01</v>
      </c>
      <c r="AQ5111" s="235" t="s">
        <v>632</v>
      </c>
      <c r="AR5111" s="243">
        <v>1.68E11</v>
      </c>
      <c r="AS5111" s="235" t="s">
        <v>37288</v>
      </c>
      <c r="AT5111" s="235" t="s">
        <v>546</v>
      </c>
      <c r="AU5111" s="235" t="s">
        <v>634</v>
      </c>
      <c r="AV5111" s="246" t="s">
        <v>635</v>
      </c>
      <c r="AW5111" s="227"/>
      <c r="AX5111" s="227"/>
      <c r="AY5111" s="227"/>
      <c r="AZ5111" s="227"/>
      <c r="BA5111" s="227"/>
      <c r="BB5111" s="227"/>
      <c r="BC5111" s="227"/>
      <c r="BD5111" s="227"/>
      <c r="BE5111" s="227"/>
      <c r="BF5111" s="227"/>
    </row>
    <row r="5112">
      <c r="A5112" s="235" t="s">
        <v>37694</v>
      </c>
      <c r="C5112" s="235" t="s">
        <v>37695</v>
      </c>
      <c r="D5112" s="235" t="s">
        <v>37696</v>
      </c>
      <c r="E5112" s="243">
        <v>6.49E13</v>
      </c>
      <c r="F5112" s="245"/>
      <c r="G5112" s="235" t="s">
        <v>37697</v>
      </c>
      <c r="H5112" s="235" t="s">
        <v>37698</v>
      </c>
      <c r="I5112" s="235" t="s">
        <v>37698</v>
      </c>
      <c r="J5112" s="235" t="s">
        <v>37699</v>
      </c>
      <c r="K5112" s="235" t="s">
        <v>37700</v>
      </c>
      <c r="N5112" s="235" t="s">
        <v>51</v>
      </c>
      <c r="O5112" s="235" t="s">
        <v>273</v>
      </c>
      <c r="P5112" s="238">
        <v>1.0</v>
      </c>
      <c r="Q5112" s="235" t="s">
        <v>627</v>
      </c>
      <c r="R5112" s="238">
        <v>235.24</v>
      </c>
      <c r="S5112" s="238">
        <v>11.76</v>
      </c>
      <c r="T5112" s="238">
        <v>0.0</v>
      </c>
      <c r="U5112" s="238">
        <v>0.0</v>
      </c>
      <c r="V5112" s="238">
        <v>0.0</v>
      </c>
      <c r="W5112" s="238">
        <v>0.0</v>
      </c>
      <c r="X5112" s="235" t="s">
        <v>628</v>
      </c>
      <c r="Z5112" s="245"/>
      <c r="AA5112" s="245"/>
      <c r="AB5112" s="245"/>
      <c r="AC5112" s="235" t="s">
        <v>687</v>
      </c>
      <c r="AD5112" s="235" t="s">
        <v>666</v>
      </c>
      <c r="AE5112" s="238">
        <v>600117.0</v>
      </c>
      <c r="AF5112" s="235" t="s">
        <v>631</v>
      </c>
      <c r="AG5112" s="245"/>
      <c r="AH5112" s="245"/>
      <c r="AI5112" s="245"/>
      <c r="AJ5112" s="245"/>
      <c r="AK5112" s="245"/>
      <c r="AL5112" s="245"/>
      <c r="AM5112" s="245"/>
      <c r="AN5112" s="245"/>
      <c r="AO5112" s="238">
        <v>0.0</v>
      </c>
      <c r="AP5112" s="238">
        <v>0.0</v>
      </c>
      <c r="AQ5112" s="235" t="s">
        <v>632</v>
      </c>
      <c r="AR5112" s="243">
        <v>1.68E11</v>
      </c>
      <c r="AS5112" s="235" t="s">
        <v>36667</v>
      </c>
      <c r="AT5112" s="235" t="s">
        <v>11</v>
      </c>
      <c r="AU5112" s="235" t="s">
        <v>634</v>
      </c>
      <c r="AV5112" s="246" t="s">
        <v>635</v>
      </c>
      <c r="AW5112" s="227"/>
      <c r="AX5112" s="227"/>
      <c r="AY5112" s="227"/>
      <c r="AZ5112" s="227"/>
      <c r="BA5112" s="227"/>
      <c r="BB5112" s="227"/>
      <c r="BC5112" s="227"/>
      <c r="BD5112" s="227"/>
      <c r="BE5112" s="227"/>
      <c r="BF5112" s="227"/>
    </row>
    <row r="5113">
      <c r="A5113" s="235" t="s">
        <v>37701</v>
      </c>
      <c r="C5113" s="235" t="s">
        <v>37702</v>
      </c>
      <c r="D5113" s="235" t="s">
        <v>37703</v>
      </c>
      <c r="E5113" s="243">
        <v>6.48E13</v>
      </c>
      <c r="F5113" s="245"/>
      <c r="G5113" s="235" t="s">
        <v>37704</v>
      </c>
      <c r="H5113" s="235" t="s">
        <v>37705</v>
      </c>
      <c r="I5113" s="235" t="s">
        <v>37705</v>
      </c>
      <c r="J5113" s="235" t="s">
        <v>37706</v>
      </c>
      <c r="K5113" s="235" t="s">
        <v>37707</v>
      </c>
      <c r="N5113" s="235" t="s">
        <v>71</v>
      </c>
      <c r="O5113" s="235" t="s">
        <v>240</v>
      </c>
      <c r="P5113" s="238">
        <v>1.0</v>
      </c>
      <c r="Q5113" s="235" t="s">
        <v>627</v>
      </c>
      <c r="R5113" s="238">
        <v>246.67</v>
      </c>
      <c r="S5113" s="238">
        <v>11.96</v>
      </c>
      <c r="T5113" s="238">
        <v>38.1</v>
      </c>
      <c r="U5113" s="238">
        <v>1.9</v>
      </c>
      <c r="V5113" s="238">
        <v>0.0</v>
      </c>
      <c r="W5113" s="238">
        <v>0.0</v>
      </c>
      <c r="X5113" s="235" t="s">
        <v>628</v>
      </c>
      <c r="Z5113" s="245"/>
      <c r="AA5113" s="245"/>
      <c r="AB5113" s="245"/>
      <c r="AC5113" s="235" t="s">
        <v>822</v>
      </c>
      <c r="AD5113" s="235" t="s">
        <v>630</v>
      </c>
      <c r="AE5113" s="238">
        <v>201305.0</v>
      </c>
      <c r="AF5113" s="235" t="s">
        <v>631</v>
      </c>
      <c r="AG5113" s="245"/>
      <c r="AH5113" s="245"/>
      <c r="AI5113" s="245"/>
      <c r="AJ5113" s="245"/>
      <c r="AK5113" s="245"/>
      <c r="AL5113" s="245"/>
      <c r="AM5113" s="245"/>
      <c r="AN5113" s="245"/>
      <c r="AO5113" s="238">
        <v>-7.4</v>
      </c>
      <c r="AP5113" s="238">
        <v>-38.1</v>
      </c>
      <c r="AQ5113" s="235" t="s">
        <v>632</v>
      </c>
      <c r="AR5113" s="243">
        <v>3.7E11</v>
      </c>
      <c r="AS5113" s="235" t="s">
        <v>36667</v>
      </c>
      <c r="AT5113" s="235" t="s">
        <v>533</v>
      </c>
      <c r="AU5113" s="235" t="s">
        <v>634</v>
      </c>
      <c r="AV5113" s="246" t="s">
        <v>635</v>
      </c>
      <c r="AW5113" s="227"/>
      <c r="AX5113" s="227"/>
      <c r="AY5113" s="227"/>
      <c r="AZ5113" s="227"/>
      <c r="BA5113" s="227"/>
      <c r="BB5113" s="227"/>
      <c r="BC5113" s="227"/>
      <c r="BD5113" s="227"/>
      <c r="BE5113" s="227"/>
      <c r="BF5113" s="227"/>
    </row>
    <row r="5114">
      <c r="A5114" s="235" t="s">
        <v>37701</v>
      </c>
      <c r="C5114" s="235" t="s">
        <v>37702</v>
      </c>
      <c r="D5114" s="235" t="s">
        <v>37708</v>
      </c>
      <c r="E5114" s="243">
        <v>6.48E13</v>
      </c>
      <c r="F5114" s="245"/>
      <c r="G5114" s="235" t="s">
        <v>37704</v>
      </c>
      <c r="H5114" s="235" t="s">
        <v>37705</v>
      </c>
      <c r="I5114" s="235" t="s">
        <v>37705</v>
      </c>
      <c r="J5114" s="235" t="s">
        <v>37706</v>
      </c>
      <c r="K5114" s="235" t="s">
        <v>37707</v>
      </c>
      <c r="N5114" s="235" t="s">
        <v>71</v>
      </c>
      <c r="O5114" s="235" t="s">
        <v>240</v>
      </c>
      <c r="P5114" s="238">
        <v>1.0</v>
      </c>
      <c r="Q5114" s="235" t="s">
        <v>627</v>
      </c>
      <c r="R5114" s="238">
        <v>246.67</v>
      </c>
      <c r="S5114" s="238">
        <v>11.96</v>
      </c>
      <c r="T5114" s="238">
        <v>38.1</v>
      </c>
      <c r="U5114" s="238">
        <v>1.9</v>
      </c>
      <c r="V5114" s="238">
        <v>0.0</v>
      </c>
      <c r="W5114" s="238">
        <v>0.0</v>
      </c>
      <c r="X5114" s="235" t="s">
        <v>628</v>
      </c>
      <c r="Z5114" s="245"/>
      <c r="AA5114" s="245"/>
      <c r="AB5114" s="245"/>
      <c r="AC5114" s="235" t="s">
        <v>822</v>
      </c>
      <c r="AD5114" s="235" t="s">
        <v>630</v>
      </c>
      <c r="AE5114" s="238">
        <v>201305.0</v>
      </c>
      <c r="AF5114" s="235" t="s">
        <v>631</v>
      </c>
      <c r="AG5114" s="245"/>
      <c r="AH5114" s="245"/>
      <c r="AI5114" s="245"/>
      <c r="AJ5114" s="245"/>
      <c r="AK5114" s="245"/>
      <c r="AL5114" s="245"/>
      <c r="AM5114" s="245"/>
      <c r="AN5114" s="245"/>
      <c r="AO5114" s="238">
        <v>-7.4</v>
      </c>
      <c r="AP5114" s="238">
        <v>-38.1</v>
      </c>
      <c r="AQ5114" s="235" t="s">
        <v>632</v>
      </c>
      <c r="AR5114" s="243">
        <v>3.7E11</v>
      </c>
      <c r="AS5114" s="235" t="s">
        <v>36667</v>
      </c>
      <c r="AT5114" s="235" t="s">
        <v>533</v>
      </c>
      <c r="AU5114" s="235" t="s">
        <v>634</v>
      </c>
      <c r="AV5114" s="246" t="s">
        <v>635</v>
      </c>
      <c r="AW5114" s="227"/>
      <c r="AX5114" s="227"/>
      <c r="AY5114" s="227"/>
      <c r="AZ5114" s="227"/>
      <c r="BA5114" s="227"/>
      <c r="BB5114" s="227"/>
      <c r="BC5114" s="227"/>
      <c r="BD5114" s="227"/>
      <c r="BE5114" s="227"/>
      <c r="BF5114" s="227"/>
    </row>
    <row r="5115">
      <c r="A5115" s="235" t="s">
        <v>37701</v>
      </c>
      <c r="C5115" s="235" t="s">
        <v>37702</v>
      </c>
      <c r="D5115" s="235" t="s">
        <v>37709</v>
      </c>
      <c r="E5115" s="243">
        <v>6.48E13</v>
      </c>
      <c r="F5115" s="245"/>
      <c r="G5115" s="235" t="s">
        <v>37704</v>
      </c>
      <c r="H5115" s="235" t="s">
        <v>37705</v>
      </c>
      <c r="I5115" s="235" t="s">
        <v>37705</v>
      </c>
      <c r="J5115" s="235" t="s">
        <v>37706</v>
      </c>
      <c r="K5115" s="235" t="s">
        <v>37707</v>
      </c>
      <c r="N5115" s="235" t="s">
        <v>71</v>
      </c>
      <c r="O5115" s="235" t="s">
        <v>240</v>
      </c>
      <c r="P5115" s="238">
        <v>1.0</v>
      </c>
      <c r="Q5115" s="235" t="s">
        <v>627</v>
      </c>
      <c r="R5115" s="238">
        <v>246.67</v>
      </c>
      <c r="S5115" s="238">
        <v>11.96</v>
      </c>
      <c r="T5115" s="238">
        <v>38.1</v>
      </c>
      <c r="U5115" s="238">
        <v>1.9</v>
      </c>
      <c r="V5115" s="238">
        <v>0.0</v>
      </c>
      <c r="W5115" s="238">
        <v>0.0</v>
      </c>
      <c r="X5115" s="235" t="s">
        <v>628</v>
      </c>
      <c r="Z5115" s="245"/>
      <c r="AA5115" s="245"/>
      <c r="AB5115" s="245"/>
      <c r="AC5115" s="235" t="s">
        <v>822</v>
      </c>
      <c r="AD5115" s="235" t="s">
        <v>630</v>
      </c>
      <c r="AE5115" s="238">
        <v>201305.0</v>
      </c>
      <c r="AF5115" s="235" t="s">
        <v>631</v>
      </c>
      <c r="AG5115" s="245"/>
      <c r="AH5115" s="245"/>
      <c r="AI5115" s="245"/>
      <c r="AJ5115" s="245"/>
      <c r="AK5115" s="245"/>
      <c r="AL5115" s="245"/>
      <c r="AM5115" s="245"/>
      <c r="AN5115" s="245"/>
      <c r="AO5115" s="238">
        <v>-7.4</v>
      </c>
      <c r="AP5115" s="238">
        <v>-38.1</v>
      </c>
      <c r="AQ5115" s="235" t="s">
        <v>632</v>
      </c>
      <c r="AR5115" s="243">
        <v>3.7E11</v>
      </c>
      <c r="AS5115" s="235" t="s">
        <v>36667</v>
      </c>
      <c r="AT5115" s="235" t="s">
        <v>533</v>
      </c>
      <c r="AU5115" s="235" t="s">
        <v>634</v>
      </c>
      <c r="AV5115" s="246" t="s">
        <v>635</v>
      </c>
      <c r="AW5115" s="227"/>
      <c r="AX5115" s="227"/>
      <c r="AY5115" s="227"/>
      <c r="AZ5115" s="227"/>
      <c r="BA5115" s="227"/>
      <c r="BB5115" s="227"/>
      <c r="BC5115" s="227"/>
      <c r="BD5115" s="227"/>
      <c r="BE5115" s="227"/>
      <c r="BF5115" s="227"/>
    </row>
    <row r="5116">
      <c r="A5116" s="235" t="s">
        <v>37701</v>
      </c>
      <c r="C5116" s="235" t="s">
        <v>37702</v>
      </c>
      <c r="D5116" s="235" t="s">
        <v>37710</v>
      </c>
      <c r="E5116" s="243">
        <v>6.48E13</v>
      </c>
      <c r="F5116" s="245"/>
      <c r="G5116" s="235" t="s">
        <v>37704</v>
      </c>
      <c r="H5116" s="235" t="s">
        <v>37705</v>
      </c>
      <c r="I5116" s="235" t="s">
        <v>37705</v>
      </c>
      <c r="J5116" s="235" t="s">
        <v>37706</v>
      </c>
      <c r="K5116" s="235" t="s">
        <v>37707</v>
      </c>
      <c r="N5116" s="235" t="s">
        <v>71</v>
      </c>
      <c r="O5116" s="235" t="s">
        <v>240</v>
      </c>
      <c r="P5116" s="238">
        <v>1.0</v>
      </c>
      <c r="Q5116" s="235" t="s">
        <v>627</v>
      </c>
      <c r="R5116" s="238">
        <v>246.67</v>
      </c>
      <c r="S5116" s="238">
        <v>11.96</v>
      </c>
      <c r="T5116" s="238">
        <v>38.1</v>
      </c>
      <c r="U5116" s="238">
        <v>1.9</v>
      </c>
      <c r="V5116" s="238">
        <v>0.0</v>
      </c>
      <c r="W5116" s="238">
        <v>0.0</v>
      </c>
      <c r="X5116" s="235" t="s">
        <v>628</v>
      </c>
      <c r="Z5116" s="245"/>
      <c r="AA5116" s="245"/>
      <c r="AB5116" s="245"/>
      <c r="AC5116" s="235" t="s">
        <v>822</v>
      </c>
      <c r="AD5116" s="235" t="s">
        <v>630</v>
      </c>
      <c r="AE5116" s="238">
        <v>201305.0</v>
      </c>
      <c r="AF5116" s="235" t="s">
        <v>631</v>
      </c>
      <c r="AG5116" s="245"/>
      <c r="AH5116" s="245"/>
      <c r="AI5116" s="245"/>
      <c r="AJ5116" s="245"/>
      <c r="AK5116" s="245"/>
      <c r="AL5116" s="245"/>
      <c r="AM5116" s="245"/>
      <c r="AN5116" s="245"/>
      <c r="AO5116" s="238">
        <v>-7.4</v>
      </c>
      <c r="AP5116" s="238">
        <v>-38.1</v>
      </c>
      <c r="AQ5116" s="235" t="s">
        <v>632</v>
      </c>
      <c r="AR5116" s="243">
        <v>3.7E11</v>
      </c>
      <c r="AS5116" s="235" t="s">
        <v>36667</v>
      </c>
      <c r="AT5116" s="235" t="s">
        <v>533</v>
      </c>
      <c r="AU5116" s="235" t="s">
        <v>634</v>
      </c>
      <c r="AV5116" s="246" t="s">
        <v>635</v>
      </c>
      <c r="AW5116" s="227"/>
      <c r="AX5116" s="227"/>
      <c r="AY5116" s="227"/>
      <c r="AZ5116" s="227"/>
      <c r="BA5116" s="227"/>
      <c r="BB5116" s="227"/>
      <c r="BC5116" s="227"/>
      <c r="BD5116" s="227"/>
      <c r="BE5116" s="227"/>
      <c r="BF5116" s="227"/>
    </row>
    <row r="5117">
      <c r="A5117" s="235" t="s">
        <v>37701</v>
      </c>
      <c r="C5117" s="235" t="s">
        <v>37702</v>
      </c>
      <c r="D5117" s="235" t="s">
        <v>37711</v>
      </c>
      <c r="E5117" s="243">
        <v>6.48E13</v>
      </c>
      <c r="F5117" s="245"/>
      <c r="G5117" s="235" t="s">
        <v>37704</v>
      </c>
      <c r="H5117" s="235" t="s">
        <v>37705</v>
      </c>
      <c r="I5117" s="235" t="s">
        <v>37705</v>
      </c>
      <c r="J5117" s="235" t="s">
        <v>37706</v>
      </c>
      <c r="K5117" s="235" t="s">
        <v>37707</v>
      </c>
      <c r="N5117" s="235" t="s">
        <v>71</v>
      </c>
      <c r="O5117" s="235" t="s">
        <v>240</v>
      </c>
      <c r="P5117" s="238">
        <v>1.0</v>
      </c>
      <c r="Q5117" s="235" t="s">
        <v>627</v>
      </c>
      <c r="R5117" s="238">
        <v>246.67</v>
      </c>
      <c r="S5117" s="238">
        <v>11.96</v>
      </c>
      <c r="T5117" s="238">
        <v>38.1</v>
      </c>
      <c r="U5117" s="238">
        <v>1.9</v>
      </c>
      <c r="V5117" s="238">
        <v>0.0</v>
      </c>
      <c r="W5117" s="238">
        <v>0.0</v>
      </c>
      <c r="X5117" s="235" t="s">
        <v>628</v>
      </c>
      <c r="Z5117" s="245"/>
      <c r="AA5117" s="245"/>
      <c r="AB5117" s="245"/>
      <c r="AC5117" s="235" t="s">
        <v>822</v>
      </c>
      <c r="AD5117" s="235" t="s">
        <v>630</v>
      </c>
      <c r="AE5117" s="238">
        <v>201305.0</v>
      </c>
      <c r="AF5117" s="235" t="s">
        <v>631</v>
      </c>
      <c r="AG5117" s="245"/>
      <c r="AH5117" s="245"/>
      <c r="AI5117" s="245"/>
      <c r="AJ5117" s="245"/>
      <c r="AK5117" s="245"/>
      <c r="AL5117" s="245"/>
      <c r="AM5117" s="245"/>
      <c r="AN5117" s="245"/>
      <c r="AO5117" s="238">
        <v>-7.4</v>
      </c>
      <c r="AP5117" s="238">
        <v>-38.1</v>
      </c>
      <c r="AQ5117" s="235" t="s">
        <v>632</v>
      </c>
      <c r="AR5117" s="243">
        <v>3.7E11</v>
      </c>
      <c r="AS5117" s="235" t="s">
        <v>36667</v>
      </c>
      <c r="AT5117" s="235" t="s">
        <v>533</v>
      </c>
      <c r="AU5117" s="235" t="s">
        <v>634</v>
      </c>
      <c r="AV5117" s="246" t="s">
        <v>635</v>
      </c>
      <c r="AW5117" s="227"/>
      <c r="AX5117" s="227"/>
      <c r="AY5117" s="227"/>
      <c r="AZ5117" s="227"/>
      <c r="BA5117" s="227"/>
      <c r="BB5117" s="227"/>
      <c r="BC5117" s="227"/>
      <c r="BD5117" s="227"/>
      <c r="BE5117" s="227"/>
      <c r="BF5117" s="227"/>
    </row>
    <row r="5118">
      <c r="A5118" s="235" t="s">
        <v>37701</v>
      </c>
      <c r="C5118" s="235" t="s">
        <v>37702</v>
      </c>
      <c r="D5118" s="235" t="s">
        <v>37712</v>
      </c>
      <c r="E5118" s="243">
        <v>6.48E13</v>
      </c>
      <c r="F5118" s="245"/>
      <c r="G5118" s="235" t="s">
        <v>37704</v>
      </c>
      <c r="H5118" s="235" t="s">
        <v>37705</v>
      </c>
      <c r="I5118" s="235" t="s">
        <v>37705</v>
      </c>
      <c r="J5118" s="235" t="s">
        <v>37706</v>
      </c>
      <c r="K5118" s="235" t="s">
        <v>37707</v>
      </c>
      <c r="N5118" s="235" t="s">
        <v>71</v>
      </c>
      <c r="O5118" s="235" t="s">
        <v>240</v>
      </c>
      <c r="P5118" s="238">
        <v>1.0</v>
      </c>
      <c r="Q5118" s="235" t="s">
        <v>627</v>
      </c>
      <c r="R5118" s="238">
        <v>246.67</v>
      </c>
      <c r="S5118" s="238">
        <v>11.96</v>
      </c>
      <c r="T5118" s="238">
        <v>38.1</v>
      </c>
      <c r="U5118" s="238">
        <v>1.9</v>
      </c>
      <c r="V5118" s="238">
        <v>0.0</v>
      </c>
      <c r="W5118" s="238">
        <v>0.0</v>
      </c>
      <c r="X5118" s="235" t="s">
        <v>628</v>
      </c>
      <c r="Z5118" s="245"/>
      <c r="AA5118" s="245"/>
      <c r="AB5118" s="245"/>
      <c r="AC5118" s="235" t="s">
        <v>822</v>
      </c>
      <c r="AD5118" s="235" t="s">
        <v>630</v>
      </c>
      <c r="AE5118" s="238">
        <v>201305.0</v>
      </c>
      <c r="AF5118" s="235" t="s">
        <v>631</v>
      </c>
      <c r="AG5118" s="245"/>
      <c r="AH5118" s="245"/>
      <c r="AI5118" s="245"/>
      <c r="AJ5118" s="245"/>
      <c r="AK5118" s="245"/>
      <c r="AL5118" s="245"/>
      <c r="AM5118" s="245"/>
      <c r="AN5118" s="245"/>
      <c r="AO5118" s="238">
        <v>-7.4</v>
      </c>
      <c r="AP5118" s="238">
        <v>-38.1</v>
      </c>
      <c r="AQ5118" s="235" t="s">
        <v>632</v>
      </c>
      <c r="AR5118" s="243">
        <v>3.7E11</v>
      </c>
      <c r="AS5118" s="235" t="s">
        <v>36667</v>
      </c>
      <c r="AT5118" s="235" t="s">
        <v>533</v>
      </c>
      <c r="AU5118" s="235" t="s">
        <v>634</v>
      </c>
      <c r="AV5118" s="246" t="s">
        <v>635</v>
      </c>
      <c r="AW5118" s="227"/>
      <c r="AX5118" s="227"/>
      <c r="AY5118" s="227"/>
      <c r="AZ5118" s="227"/>
      <c r="BA5118" s="227"/>
      <c r="BB5118" s="227"/>
      <c r="BC5118" s="227"/>
      <c r="BD5118" s="227"/>
      <c r="BE5118" s="227"/>
      <c r="BF5118" s="227"/>
    </row>
    <row r="5119">
      <c r="A5119" s="235" t="s">
        <v>37713</v>
      </c>
      <c r="C5119" s="235" t="s">
        <v>37714</v>
      </c>
      <c r="D5119" s="235" t="s">
        <v>37715</v>
      </c>
      <c r="E5119" s="243">
        <v>6.49E13</v>
      </c>
      <c r="F5119" s="245"/>
      <c r="G5119" s="235" t="s">
        <v>37716</v>
      </c>
      <c r="H5119" s="235" t="s">
        <v>37717</v>
      </c>
      <c r="I5119" s="235" t="s">
        <v>37717</v>
      </c>
      <c r="J5119" s="235" t="s">
        <v>37718</v>
      </c>
      <c r="K5119" s="235" t="s">
        <v>37719</v>
      </c>
      <c r="N5119" s="235" t="s">
        <v>41</v>
      </c>
      <c r="O5119" s="235" t="s">
        <v>291</v>
      </c>
      <c r="P5119" s="238">
        <v>1.0</v>
      </c>
      <c r="Q5119" s="235" t="s">
        <v>627</v>
      </c>
      <c r="R5119" s="238">
        <v>237.14</v>
      </c>
      <c r="S5119" s="238">
        <v>11.86</v>
      </c>
      <c r="T5119" s="238">
        <v>0.0</v>
      </c>
      <c r="U5119" s="238">
        <v>0.0</v>
      </c>
      <c r="V5119" s="238">
        <v>0.0</v>
      </c>
      <c r="W5119" s="238">
        <v>0.0</v>
      </c>
      <c r="X5119" s="235" t="s">
        <v>628</v>
      </c>
      <c r="Z5119" s="245"/>
      <c r="AA5119" s="245"/>
      <c r="AB5119" s="245"/>
      <c r="AC5119" s="235" t="s">
        <v>678</v>
      </c>
      <c r="AD5119" s="235" t="s">
        <v>679</v>
      </c>
      <c r="AE5119" s="238">
        <v>560029.0</v>
      </c>
      <c r="AF5119" s="235" t="s">
        <v>631</v>
      </c>
      <c r="AG5119" s="245"/>
      <c r="AH5119" s="245"/>
      <c r="AI5119" s="245"/>
      <c r="AJ5119" s="245"/>
      <c r="AK5119" s="245"/>
      <c r="AL5119" s="245"/>
      <c r="AM5119" s="245"/>
      <c r="AN5119" s="245"/>
      <c r="AO5119" s="238">
        <v>0.0</v>
      </c>
      <c r="AP5119" s="238">
        <v>0.0</v>
      </c>
      <c r="AQ5119" s="235" t="s">
        <v>632</v>
      </c>
      <c r="AR5119" s="243">
        <v>1.68E11</v>
      </c>
      <c r="AS5119" s="235" t="s">
        <v>37288</v>
      </c>
      <c r="AT5119" s="235" t="s">
        <v>9</v>
      </c>
      <c r="AU5119" s="235" t="s">
        <v>634</v>
      </c>
      <c r="AV5119" s="246" t="s">
        <v>635</v>
      </c>
      <c r="AW5119" s="227"/>
      <c r="AX5119" s="227"/>
      <c r="AY5119" s="227"/>
      <c r="AZ5119" s="227"/>
      <c r="BA5119" s="227"/>
      <c r="BB5119" s="227"/>
      <c r="BC5119" s="227"/>
      <c r="BD5119" s="227"/>
      <c r="BE5119" s="227"/>
      <c r="BF5119" s="227"/>
    </row>
    <row r="5120">
      <c r="A5120" s="235" t="s">
        <v>37720</v>
      </c>
      <c r="C5120" s="235" t="s">
        <v>37721</v>
      </c>
      <c r="D5120" s="235" t="s">
        <v>37722</v>
      </c>
      <c r="E5120" s="243">
        <v>6.49E13</v>
      </c>
      <c r="F5120" s="245"/>
      <c r="G5120" s="235" t="s">
        <v>37723</v>
      </c>
      <c r="H5120" s="235" t="s">
        <v>37724</v>
      </c>
      <c r="I5120" s="235" t="s">
        <v>37724</v>
      </c>
      <c r="J5120" s="235" t="s">
        <v>37725</v>
      </c>
      <c r="K5120" s="235" t="s">
        <v>37726</v>
      </c>
      <c r="N5120" s="235" t="s">
        <v>88</v>
      </c>
      <c r="O5120" s="235" t="s">
        <v>1748</v>
      </c>
      <c r="P5120" s="238">
        <v>1.0</v>
      </c>
      <c r="Q5120" s="235" t="s">
        <v>627</v>
      </c>
      <c r="R5120" s="238">
        <v>246.67</v>
      </c>
      <c r="S5120" s="238">
        <v>12.33</v>
      </c>
      <c r="T5120" s="238">
        <v>38.1</v>
      </c>
      <c r="U5120" s="238">
        <v>1.9</v>
      </c>
      <c r="V5120" s="238">
        <v>0.0</v>
      </c>
      <c r="W5120" s="238">
        <v>0.0</v>
      </c>
      <c r="X5120" s="235" t="s">
        <v>628</v>
      </c>
      <c r="Z5120" s="245"/>
      <c r="AA5120" s="245"/>
      <c r="AB5120" s="245"/>
      <c r="AC5120" s="235" t="s">
        <v>37727</v>
      </c>
      <c r="AD5120" s="235" t="s">
        <v>666</v>
      </c>
      <c r="AE5120" s="238">
        <v>636810.0</v>
      </c>
      <c r="AF5120" s="235" t="s">
        <v>631</v>
      </c>
      <c r="AG5120" s="245"/>
      <c r="AH5120" s="245"/>
      <c r="AI5120" s="245"/>
      <c r="AJ5120" s="245"/>
      <c r="AK5120" s="245"/>
      <c r="AL5120" s="245"/>
      <c r="AM5120" s="245"/>
      <c r="AN5120" s="245"/>
      <c r="AO5120" s="238">
        <v>0.0</v>
      </c>
      <c r="AP5120" s="238">
        <v>-38.1</v>
      </c>
      <c r="AQ5120" s="235" t="s">
        <v>1356</v>
      </c>
      <c r="AR5120" s="235" t="s">
        <v>37728</v>
      </c>
      <c r="AS5120" s="235" t="s">
        <v>33466</v>
      </c>
      <c r="AT5120" s="235" t="s">
        <v>11</v>
      </c>
      <c r="AU5120" s="235" t="s">
        <v>634</v>
      </c>
      <c r="AV5120" s="246" t="s">
        <v>635</v>
      </c>
      <c r="AW5120" s="227"/>
      <c r="AX5120" s="227"/>
      <c r="AY5120" s="227"/>
      <c r="AZ5120" s="227"/>
      <c r="BA5120" s="227"/>
      <c r="BB5120" s="227"/>
      <c r="BC5120" s="227"/>
      <c r="BD5120" s="227"/>
      <c r="BE5120" s="227"/>
      <c r="BF5120" s="227"/>
    </row>
    <row r="5121">
      <c r="A5121" s="235" t="s">
        <v>37729</v>
      </c>
      <c r="C5121" s="235" t="s">
        <v>37730</v>
      </c>
      <c r="D5121" s="235" t="s">
        <v>37731</v>
      </c>
      <c r="E5121" s="243">
        <v>6.49E13</v>
      </c>
      <c r="F5121" s="245"/>
      <c r="G5121" s="235" t="s">
        <v>37732</v>
      </c>
      <c r="H5121" s="235" t="s">
        <v>37733</v>
      </c>
      <c r="I5121" s="235" t="s">
        <v>37733</v>
      </c>
      <c r="J5121" s="235" t="s">
        <v>37734</v>
      </c>
      <c r="K5121" s="235" t="s">
        <v>37735</v>
      </c>
      <c r="N5121" s="235" t="s">
        <v>148</v>
      </c>
      <c r="O5121" s="235" t="s">
        <v>1006</v>
      </c>
      <c r="P5121" s="238">
        <v>1.0</v>
      </c>
      <c r="Q5121" s="235" t="s">
        <v>627</v>
      </c>
      <c r="R5121" s="238">
        <v>281.9</v>
      </c>
      <c r="S5121" s="238">
        <v>14.1</v>
      </c>
      <c r="T5121" s="238">
        <v>0.0</v>
      </c>
      <c r="U5121" s="238">
        <v>0.0</v>
      </c>
      <c r="V5121" s="238">
        <v>0.0</v>
      </c>
      <c r="W5121" s="238">
        <v>0.0</v>
      </c>
      <c r="X5121" s="235" t="s">
        <v>628</v>
      </c>
      <c r="Z5121" s="245"/>
      <c r="AA5121" s="245"/>
      <c r="AB5121" s="245"/>
      <c r="AC5121" s="235" t="s">
        <v>1887</v>
      </c>
      <c r="AD5121" s="235" t="s">
        <v>679</v>
      </c>
      <c r="AE5121" s="238">
        <v>560083.0</v>
      </c>
      <c r="AF5121" s="235" t="s">
        <v>631</v>
      </c>
      <c r="AG5121" s="245"/>
      <c r="AH5121" s="245"/>
      <c r="AI5121" s="245"/>
      <c r="AJ5121" s="245"/>
      <c r="AK5121" s="245"/>
      <c r="AL5121" s="245"/>
      <c r="AM5121" s="245"/>
      <c r="AN5121" s="245"/>
      <c r="AO5121" s="238">
        <v>0.0</v>
      </c>
      <c r="AP5121" s="238">
        <v>0.0</v>
      </c>
      <c r="AQ5121" s="235" t="s">
        <v>632</v>
      </c>
      <c r="AR5121" s="243">
        <v>1.68E11</v>
      </c>
      <c r="AS5121" s="235" t="s">
        <v>37288</v>
      </c>
      <c r="AT5121" s="235" t="s">
        <v>9</v>
      </c>
      <c r="AU5121" s="235" t="s">
        <v>634</v>
      </c>
      <c r="AV5121" s="246" t="s">
        <v>635</v>
      </c>
      <c r="AW5121" s="227"/>
      <c r="AX5121" s="227"/>
      <c r="AY5121" s="227"/>
      <c r="AZ5121" s="227"/>
      <c r="BA5121" s="227"/>
      <c r="BB5121" s="227"/>
      <c r="BC5121" s="227"/>
      <c r="BD5121" s="227"/>
      <c r="BE5121" s="227"/>
      <c r="BF5121" s="227"/>
    </row>
    <row r="5122">
      <c r="A5122" s="235" t="s">
        <v>37736</v>
      </c>
      <c r="C5122" s="235" t="s">
        <v>37737</v>
      </c>
      <c r="D5122" s="235" t="s">
        <v>37738</v>
      </c>
      <c r="E5122" s="243">
        <v>6.49E13</v>
      </c>
      <c r="F5122" s="245"/>
      <c r="G5122" s="235" t="s">
        <v>37739</v>
      </c>
      <c r="H5122" s="235" t="s">
        <v>37740</v>
      </c>
      <c r="I5122" s="235" t="s">
        <v>37740</v>
      </c>
      <c r="J5122" s="235" t="s">
        <v>37741</v>
      </c>
      <c r="K5122" s="235" t="s">
        <v>37742</v>
      </c>
      <c r="N5122" s="235" t="s">
        <v>42</v>
      </c>
      <c r="O5122" s="235" t="s">
        <v>204</v>
      </c>
      <c r="P5122" s="238">
        <v>1.0</v>
      </c>
      <c r="Q5122" s="235" t="s">
        <v>627</v>
      </c>
      <c r="R5122" s="238">
        <v>237.14</v>
      </c>
      <c r="S5122" s="238">
        <v>11.86</v>
      </c>
      <c r="T5122" s="238">
        <v>0.0</v>
      </c>
      <c r="U5122" s="238">
        <v>0.0</v>
      </c>
      <c r="V5122" s="238">
        <v>0.0</v>
      </c>
      <c r="W5122" s="238">
        <v>0.0</v>
      </c>
      <c r="X5122" s="235" t="s">
        <v>628</v>
      </c>
      <c r="Z5122" s="245"/>
      <c r="AA5122" s="245"/>
      <c r="AB5122" s="245"/>
      <c r="AC5122" s="235" t="s">
        <v>16765</v>
      </c>
      <c r="AD5122" s="235" t="s">
        <v>698</v>
      </c>
      <c r="AE5122" s="238">
        <v>509125.0</v>
      </c>
      <c r="AF5122" s="235" t="s">
        <v>631</v>
      </c>
      <c r="AG5122" s="245"/>
      <c r="AH5122" s="245"/>
      <c r="AI5122" s="245"/>
      <c r="AJ5122" s="245"/>
      <c r="AK5122" s="245"/>
      <c r="AL5122" s="245"/>
      <c r="AM5122" s="245"/>
      <c r="AN5122" s="245"/>
      <c r="AO5122" s="238">
        <v>0.0</v>
      </c>
      <c r="AP5122" s="238">
        <v>0.0</v>
      </c>
      <c r="AQ5122" s="235" t="s">
        <v>632</v>
      </c>
      <c r="AR5122" s="243">
        <v>3.7E11</v>
      </c>
      <c r="AS5122" s="235" t="s">
        <v>34510</v>
      </c>
      <c r="AT5122" s="235" t="s">
        <v>546</v>
      </c>
      <c r="AU5122" s="235" t="s">
        <v>634</v>
      </c>
      <c r="AV5122" s="246" t="s">
        <v>635</v>
      </c>
      <c r="AW5122" s="227"/>
      <c r="AX5122" s="227"/>
      <c r="AY5122" s="227"/>
      <c r="AZ5122" s="227"/>
      <c r="BA5122" s="227"/>
      <c r="BB5122" s="227"/>
      <c r="BC5122" s="227"/>
      <c r="BD5122" s="227"/>
      <c r="BE5122" s="227"/>
      <c r="BF5122" s="227"/>
    </row>
    <row r="5123">
      <c r="A5123" s="235" t="s">
        <v>37743</v>
      </c>
      <c r="C5123" s="235" t="s">
        <v>37744</v>
      </c>
      <c r="D5123" s="235" t="s">
        <v>37745</v>
      </c>
      <c r="E5123" s="243">
        <v>6.49E13</v>
      </c>
      <c r="F5123" s="245"/>
      <c r="G5123" s="235" t="s">
        <v>37746</v>
      </c>
      <c r="H5123" s="235" t="s">
        <v>37747</v>
      </c>
      <c r="I5123" s="235" t="s">
        <v>37748</v>
      </c>
      <c r="J5123" s="235" t="s">
        <v>37749</v>
      </c>
      <c r="K5123" s="235" t="s">
        <v>37750</v>
      </c>
      <c r="N5123" s="235" t="s">
        <v>82</v>
      </c>
      <c r="O5123" s="235" t="s">
        <v>889</v>
      </c>
      <c r="P5123" s="238">
        <v>1.0</v>
      </c>
      <c r="Q5123" s="235" t="s">
        <v>627</v>
      </c>
      <c r="R5123" s="238">
        <v>243.8</v>
      </c>
      <c r="S5123" s="238">
        <v>12.2</v>
      </c>
      <c r="T5123" s="238">
        <v>0.0</v>
      </c>
      <c r="U5123" s="238">
        <v>0.0</v>
      </c>
      <c r="V5123" s="238">
        <v>0.0</v>
      </c>
      <c r="W5123" s="238">
        <v>0.0</v>
      </c>
      <c r="X5123" s="235" t="s">
        <v>628</v>
      </c>
      <c r="Z5123" s="245"/>
      <c r="AA5123" s="245"/>
      <c r="AB5123" s="245"/>
      <c r="AC5123" s="235" t="s">
        <v>1604</v>
      </c>
      <c r="AD5123" s="235" t="s">
        <v>845</v>
      </c>
      <c r="AE5123" s="238">
        <v>400060.0</v>
      </c>
      <c r="AF5123" s="235" t="s">
        <v>631</v>
      </c>
      <c r="AG5123" s="245"/>
      <c r="AH5123" s="245"/>
      <c r="AI5123" s="245"/>
      <c r="AJ5123" s="245"/>
      <c r="AK5123" s="245"/>
      <c r="AL5123" s="245"/>
      <c r="AM5123" s="245"/>
      <c r="AN5123" s="245"/>
      <c r="AO5123" s="238">
        <v>0.0</v>
      </c>
      <c r="AP5123" s="238">
        <v>0.0</v>
      </c>
      <c r="AQ5123" s="235" t="s">
        <v>632</v>
      </c>
      <c r="AR5123" s="243">
        <v>1.68E11</v>
      </c>
      <c r="AS5123" s="235" t="s">
        <v>37288</v>
      </c>
      <c r="AT5123" s="235" t="s">
        <v>17</v>
      </c>
      <c r="AU5123" s="235" t="s">
        <v>634</v>
      </c>
      <c r="AV5123" s="246" t="s">
        <v>635</v>
      </c>
      <c r="AW5123" s="227"/>
      <c r="AX5123" s="227"/>
      <c r="AY5123" s="227"/>
      <c r="AZ5123" s="227"/>
      <c r="BA5123" s="227"/>
      <c r="BB5123" s="227"/>
      <c r="BC5123" s="227"/>
      <c r="BD5123" s="227"/>
      <c r="BE5123" s="227"/>
      <c r="BF5123" s="227"/>
    </row>
    <row r="5124">
      <c r="A5124" s="235" t="s">
        <v>37751</v>
      </c>
      <c r="C5124" s="235" t="s">
        <v>37752</v>
      </c>
      <c r="D5124" s="235" t="s">
        <v>37753</v>
      </c>
      <c r="E5124" s="243">
        <v>6.49E13</v>
      </c>
      <c r="F5124" s="245"/>
      <c r="G5124" s="235" t="s">
        <v>37754</v>
      </c>
      <c r="H5124" s="235" t="s">
        <v>37755</v>
      </c>
      <c r="I5124" s="235" t="s">
        <v>37755</v>
      </c>
      <c r="J5124" s="235" t="s">
        <v>37756</v>
      </c>
      <c r="K5124" s="235" t="s">
        <v>37757</v>
      </c>
      <c r="N5124" s="235" t="s">
        <v>144</v>
      </c>
      <c r="O5124" s="235" t="s">
        <v>232</v>
      </c>
      <c r="P5124" s="238">
        <v>1.0</v>
      </c>
      <c r="Q5124" s="235" t="s">
        <v>627</v>
      </c>
      <c r="R5124" s="238">
        <v>665.72</v>
      </c>
      <c r="S5124" s="238">
        <v>33.28</v>
      </c>
      <c r="T5124" s="238">
        <v>18.1</v>
      </c>
      <c r="U5124" s="238">
        <v>0.9</v>
      </c>
      <c r="V5124" s="238">
        <v>0.0</v>
      </c>
      <c r="W5124" s="238">
        <v>0.0</v>
      </c>
      <c r="X5124" s="235" t="s">
        <v>628</v>
      </c>
      <c r="Z5124" s="245"/>
      <c r="AA5124" s="245"/>
      <c r="AB5124" s="245"/>
      <c r="AC5124" s="235" t="s">
        <v>844</v>
      </c>
      <c r="AD5124" s="235" t="s">
        <v>845</v>
      </c>
      <c r="AE5124" s="238">
        <v>411038.0</v>
      </c>
      <c r="AF5124" s="235" t="s">
        <v>631</v>
      </c>
      <c r="AG5124" s="245"/>
      <c r="AH5124" s="245"/>
      <c r="AI5124" s="245"/>
      <c r="AJ5124" s="245"/>
      <c r="AK5124" s="245"/>
      <c r="AL5124" s="245"/>
      <c r="AM5124" s="245"/>
      <c r="AN5124" s="245"/>
      <c r="AO5124" s="238">
        <v>0.0</v>
      </c>
      <c r="AP5124" s="238">
        <v>-18.1</v>
      </c>
      <c r="AQ5124" s="235" t="s">
        <v>632</v>
      </c>
      <c r="AR5124" s="243">
        <v>1.68E11</v>
      </c>
      <c r="AS5124" s="235" t="s">
        <v>37288</v>
      </c>
      <c r="AT5124" s="235" t="s">
        <v>546</v>
      </c>
      <c r="AU5124" s="235" t="s">
        <v>634</v>
      </c>
      <c r="AV5124" s="246" t="s">
        <v>635</v>
      </c>
      <c r="AW5124" s="227"/>
      <c r="AX5124" s="227"/>
      <c r="AY5124" s="227"/>
      <c r="AZ5124" s="227"/>
      <c r="BA5124" s="227"/>
      <c r="BB5124" s="227"/>
      <c r="BC5124" s="227"/>
      <c r="BD5124" s="227"/>
      <c r="BE5124" s="227"/>
      <c r="BF5124" s="227"/>
    </row>
    <row r="5125">
      <c r="A5125" s="235" t="s">
        <v>37758</v>
      </c>
      <c r="C5125" s="235" t="s">
        <v>37759</v>
      </c>
      <c r="D5125" s="235" t="s">
        <v>37760</v>
      </c>
      <c r="E5125" s="243">
        <v>6.49E13</v>
      </c>
      <c r="F5125" s="245"/>
      <c r="G5125" s="235" t="s">
        <v>37761</v>
      </c>
      <c r="H5125" s="235" t="s">
        <v>37762</v>
      </c>
      <c r="I5125" s="235" t="s">
        <v>37762</v>
      </c>
      <c r="J5125" s="235" t="s">
        <v>37763</v>
      </c>
      <c r="K5125" s="235" t="s">
        <v>37764</v>
      </c>
      <c r="N5125" s="235" t="s">
        <v>138</v>
      </c>
      <c r="O5125" s="235" t="s">
        <v>675</v>
      </c>
      <c r="P5125" s="238">
        <v>1.0</v>
      </c>
      <c r="Q5125" s="235" t="s">
        <v>627</v>
      </c>
      <c r="R5125" s="238">
        <v>244.76</v>
      </c>
      <c r="S5125" s="238">
        <v>12.24</v>
      </c>
      <c r="T5125" s="238">
        <v>18.1</v>
      </c>
      <c r="U5125" s="238">
        <v>0.9</v>
      </c>
      <c r="V5125" s="238">
        <v>0.0</v>
      </c>
      <c r="W5125" s="238">
        <v>0.0</v>
      </c>
      <c r="X5125" s="235" t="s">
        <v>628</v>
      </c>
      <c r="Z5125" s="245"/>
      <c r="AA5125" s="245"/>
      <c r="AB5125" s="245"/>
      <c r="AC5125" s="235" t="s">
        <v>844</v>
      </c>
      <c r="AD5125" s="235" t="s">
        <v>845</v>
      </c>
      <c r="AE5125" s="238">
        <v>411028.0</v>
      </c>
      <c r="AF5125" s="235" t="s">
        <v>631</v>
      </c>
      <c r="AG5125" s="245"/>
      <c r="AH5125" s="245"/>
      <c r="AI5125" s="245"/>
      <c r="AJ5125" s="245"/>
      <c r="AK5125" s="245"/>
      <c r="AL5125" s="245"/>
      <c r="AM5125" s="245"/>
      <c r="AN5125" s="245"/>
      <c r="AO5125" s="238">
        <v>0.0</v>
      </c>
      <c r="AP5125" s="238">
        <v>-18.1</v>
      </c>
      <c r="AQ5125" s="235" t="s">
        <v>632</v>
      </c>
      <c r="AR5125" s="243">
        <v>1.68E11</v>
      </c>
      <c r="AS5125" s="235" t="s">
        <v>37288</v>
      </c>
      <c r="AT5125" s="235" t="s">
        <v>546</v>
      </c>
      <c r="AU5125" s="235" t="s">
        <v>634</v>
      </c>
      <c r="AV5125" s="246" t="s">
        <v>635</v>
      </c>
      <c r="AW5125" s="227"/>
      <c r="AX5125" s="227"/>
      <c r="AY5125" s="227"/>
      <c r="AZ5125" s="227"/>
      <c r="BA5125" s="227"/>
      <c r="BB5125" s="227"/>
      <c r="BC5125" s="227"/>
      <c r="BD5125" s="227"/>
      <c r="BE5125" s="227"/>
      <c r="BF5125" s="227"/>
    </row>
    <row r="5126">
      <c r="A5126" s="235" t="s">
        <v>37765</v>
      </c>
      <c r="C5126" s="235" t="s">
        <v>37766</v>
      </c>
      <c r="D5126" s="235" t="s">
        <v>37767</v>
      </c>
      <c r="E5126" s="243">
        <v>6.49E13</v>
      </c>
      <c r="F5126" s="245"/>
      <c r="G5126" s="235" t="s">
        <v>37768</v>
      </c>
      <c r="H5126" s="235" t="s">
        <v>37769</v>
      </c>
      <c r="I5126" s="235" t="s">
        <v>37769</v>
      </c>
      <c r="J5126" s="235" t="s">
        <v>37770</v>
      </c>
      <c r="K5126" s="235" t="s">
        <v>37771</v>
      </c>
      <c r="N5126" s="235" t="s">
        <v>82</v>
      </c>
      <c r="O5126" s="235" t="s">
        <v>889</v>
      </c>
      <c r="P5126" s="238">
        <v>1.0</v>
      </c>
      <c r="Q5126" s="235" t="s">
        <v>627</v>
      </c>
      <c r="R5126" s="238">
        <v>243.8</v>
      </c>
      <c r="S5126" s="238">
        <v>12.2</v>
      </c>
      <c r="T5126" s="238">
        <v>9.04</v>
      </c>
      <c r="U5126" s="238">
        <v>0.46</v>
      </c>
      <c r="V5126" s="238">
        <v>0.0</v>
      </c>
      <c r="W5126" s="238">
        <v>0.0</v>
      </c>
      <c r="X5126" s="235" t="s">
        <v>628</v>
      </c>
      <c r="Z5126" s="245"/>
      <c r="AA5126" s="245"/>
      <c r="AB5126" s="245"/>
      <c r="AC5126" s="235" t="s">
        <v>1604</v>
      </c>
      <c r="AD5126" s="235" t="s">
        <v>845</v>
      </c>
      <c r="AE5126" s="238">
        <v>400072.0</v>
      </c>
      <c r="AF5126" s="235" t="s">
        <v>631</v>
      </c>
      <c r="AG5126" s="245"/>
      <c r="AH5126" s="245"/>
      <c r="AI5126" s="245"/>
      <c r="AJ5126" s="245"/>
      <c r="AK5126" s="245"/>
      <c r="AL5126" s="245"/>
      <c r="AM5126" s="245"/>
      <c r="AN5126" s="245"/>
      <c r="AO5126" s="238">
        <v>0.0</v>
      </c>
      <c r="AP5126" s="238">
        <v>-9.04</v>
      </c>
      <c r="AQ5126" s="235" t="s">
        <v>632</v>
      </c>
      <c r="AR5126" s="243">
        <v>1.68E11</v>
      </c>
      <c r="AS5126" s="235" t="s">
        <v>37288</v>
      </c>
      <c r="AT5126" s="235" t="s">
        <v>16</v>
      </c>
      <c r="AU5126" s="235" t="s">
        <v>634</v>
      </c>
      <c r="AV5126" s="246" t="s">
        <v>635</v>
      </c>
      <c r="AW5126" s="227"/>
      <c r="AX5126" s="227"/>
      <c r="AY5126" s="227"/>
      <c r="AZ5126" s="227"/>
      <c r="BA5126" s="227"/>
      <c r="BB5126" s="227"/>
      <c r="BC5126" s="227"/>
      <c r="BD5126" s="227"/>
      <c r="BE5126" s="227"/>
      <c r="BF5126" s="227"/>
    </row>
    <row r="5127">
      <c r="A5127" s="235" t="s">
        <v>37772</v>
      </c>
      <c r="C5127" s="235" t="s">
        <v>37773</v>
      </c>
      <c r="D5127" s="235" t="s">
        <v>37774</v>
      </c>
      <c r="E5127" s="243">
        <v>6.49E13</v>
      </c>
      <c r="F5127" s="245"/>
      <c r="G5127" s="235" t="s">
        <v>37775</v>
      </c>
      <c r="H5127" s="235" t="s">
        <v>37776</v>
      </c>
      <c r="I5127" s="235" t="s">
        <v>37776</v>
      </c>
      <c r="J5127" s="235" t="s">
        <v>37777</v>
      </c>
      <c r="K5127" s="235" t="s">
        <v>37778</v>
      </c>
      <c r="N5127" s="235" t="s">
        <v>85</v>
      </c>
      <c r="O5127" s="235" t="s">
        <v>872</v>
      </c>
      <c r="P5127" s="238">
        <v>1.0</v>
      </c>
      <c r="Q5127" s="235" t="s">
        <v>627</v>
      </c>
      <c r="R5127" s="238">
        <v>243.81</v>
      </c>
      <c r="S5127" s="238">
        <v>12.19</v>
      </c>
      <c r="T5127" s="238">
        <v>0.0</v>
      </c>
      <c r="U5127" s="238">
        <v>0.0</v>
      </c>
      <c r="V5127" s="238">
        <v>0.0</v>
      </c>
      <c r="W5127" s="238">
        <v>0.0</v>
      </c>
      <c r="X5127" s="235" t="s">
        <v>628</v>
      </c>
      <c r="Z5127" s="245"/>
      <c r="AA5127" s="245"/>
      <c r="AB5127" s="245"/>
      <c r="AC5127" s="235" t="s">
        <v>31013</v>
      </c>
      <c r="AD5127" s="235" t="s">
        <v>1151</v>
      </c>
      <c r="AE5127" s="238">
        <v>700120.0</v>
      </c>
      <c r="AF5127" s="235" t="s">
        <v>631</v>
      </c>
      <c r="AG5127" s="245"/>
      <c r="AH5127" s="245"/>
      <c r="AI5127" s="245"/>
      <c r="AJ5127" s="245"/>
      <c r="AK5127" s="245"/>
      <c r="AL5127" s="245"/>
      <c r="AM5127" s="245"/>
      <c r="AN5127" s="245"/>
      <c r="AO5127" s="238">
        <v>0.0</v>
      </c>
      <c r="AP5127" s="238">
        <v>0.0</v>
      </c>
      <c r="AQ5127" s="235" t="s">
        <v>632</v>
      </c>
      <c r="AR5127" s="243">
        <v>2.02E11</v>
      </c>
      <c r="AS5127" s="235" t="s">
        <v>36667</v>
      </c>
      <c r="AT5127" s="235" t="s">
        <v>156</v>
      </c>
      <c r="AU5127" s="235" t="s">
        <v>634</v>
      </c>
      <c r="AV5127" s="246" t="s">
        <v>635</v>
      </c>
      <c r="AW5127" s="227"/>
      <c r="AX5127" s="227"/>
      <c r="AY5127" s="227"/>
      <c r="AZ5127" s="227"/>
      <c r="BA5127" s="227"/>
      <c r="BB5127" s="227"/>
      <c r="BC5127" s="227"/>
      <c r="BD5127" s="227"/>
      <c r="BE5127" s="227"/>
      <c r="BF5127" s="227"/>
    </row>
    <row r="5128">
      <c r="A5128" s="235" t="s">
        <v>37779</v>
      </c>
      <c r="C5128" s="235" t="s">
        <v>37780</v>
      </c>
      <c r="D5128" s="235" t="s">
        <v>37781</v>
      </c>
      <c r="E5128" s="243">
        <v>6.49E13</v>
      </c>
      <c r="F5128" s="245"/>
      <c r="G5128" s="235" t="s">
        <v>37782</v>
      </c>
      <c r="H5128" s="235" t="s">
        <v>37783</v>
      </c>
      <c r="I5128" s="235" t="s">
        <v>37784</v>
      </c>
      <c r="J5128" s="235" t="s">
        <v>37785</v>
      </c>
      <c r="K5128" s="235" t="s">
        <v>37786</v>
      </c>
      <c r="N5128" s="235" t="s">
        <v>43</v>
      </c>
      <c r="O5128" s="235" t="s">
        <v>276</v>
      </c>
      <c r="P5128" s="238">
        <v>1.0</v>
      </c>
      <c r="Q5128" s="235" t="s">
        <v>627</v>
      </c>
      <c r="R5128" s="238">
        <v>235.24</v>
      </c>
      <c r="S5128" s="238">
        <v>11.52</v>
      </c>
      <c r="T5128" s="238">
        <v>0.0</v>
      </c>
      <c r="U5128" s="238">
        <v>0.0</v>
      </c>
      <c r="V5128" s="238">
        <v>0.0</v>
      </c>
      <c r="W5128" s="238">
        <v>0.0</v>
      </c>
      <c r="X5128" s="235" t="s">
        <v>628</v>
      </c>
      <c r="Z5128" s="245"/>
      <c r="AA5128" s="245"/>
      <c r="AB5128" s="245"/>
      <c r="AC5128" s="235" t="s">
        <v>844</v>
      </c>
      <c r="AD5128" s="235" t="s">
        <v>845</v>
      </c>
      <c r="AE5128" s="238">
        <v>411021.0</v>
      </c>
      <c r="AF5128" s="235" t="s">
        <v>631</v>
      </c>
      <c r="AG5128" s="245"/>
      <c r="AH5128" s="245"/>
      <c r="AI5128" s="245"/>
      <c r="AJ5128" s="245"/>
      <c r="AK5128" s="245"/>
      <c r="AL5128" s="245"/>
      <c r="AM5128" s="245"/>
      <c r="AN5128" s="245"/>
      <c r="AO5128" s="238">
        <v>-4.7</v>
      </c>
      <c r="AP5128" s="238">
        <v>0.0</v>
      </c>
      <c r="AQ5128" s="235" t="s">
        <v>632</v>
      </c>
      <c r="AR5128" s="243">
        <v>3.7E11</v>
      </c>
      <c r="AS5128" s="235" t="s">
        <v>36667</v>
      </c>
      <c r="AT5128" s="235" t="s">
        <v>546</v>
      </c>
      <c r="AU5128" s="235" t="s">
        <v>634</v>
      </c>
      <c r="AV5128" s="246" t="s">
        <v>635</v>
      </c>
      <c r="AW5128" s="227"/>
      <c r="AX5128" s="227"/>
      <c r="AY5128" s="227"/>
      <c r="AZ5128" s="227"/>
      <c r="BA5128" s="227"/>
      <c r="BB5128" s="227"/>
      <c r="BC5128" s="227"/>
      <c r="BD5128" s="227"/>
      <c r="BE5128" s="227"/>
      <c r="BF5128" s="227"/>
    </row>
    <row r="5129">
      <c r="A5129" s="235" t="s">
        <v>37787</v>
      </c>
      <c r="C5129" s="235" t="s">
        <v>37788</v>
      </c>
      <c r="D5129" s="235" t="s">
        <v>37789</v>
      </c>
      <c r="E5129" s="243">
        <v>6.49E13</v>
      </c>
      <c r="F5129" s="245"/>
      <c r="G5129" s="235" t="s">
        <v>37790</v>
      </c>
      <c r="H5129" s="235" t="s">
        <v>37791</v>
      </c>
      <c r="I5129" s="235" t="s">
        <v>37791</v>
      </c>
      <c r="J5129" s="235" t="s">
        <v>37792</v>
      </c>
      <c r="K5129" s="235" t="s">
        <v>37793</v>
      </c>
      <c r="N5129" s="235" t="s">
        <v>42</v>
      </c>
      <c r="O5129" s="235" t="s">
        <v>204</v>
      </c>
      <c r="P5129" s="238">
        <v>1.0</v>
      </c>
      <c r="Q5129" s="235" t="s">
        <v>627</v>
      </c>
      <c r="R5129" s="238">
        <v>237.14</v>
      </c>
      <c r="S5129" s="238">
        <v>11.86</v>
      </c>
      <c r="T5129" s="238">
        <v>38.1</v>
      </c>
      <c r="U5129" s="238">
        <v>1.9</v>
      </c>
      <c r="V5129" s="238">
        <v>0.0</v>
      </c>
      <c r="W5129" s="238">
        <v>0.0</v>
      </c>
      <c r="X5129" s="235" t="s">
        <v>628</v>
      </c>
      <c r="Z5129" s="245"/>
      <c r="AA5129" s="245"/>
      <c r="AB5129" s="245"/>
      <c r="AC5129" s="235" t="s">
        <v>6654</v>
      </c>
      <c r="AD5129" s="235" t="s">
        <v>666</v>
      </c>
      <c r="AE5129" s="238">
        <v>627011.0</v>
      </c>
      <c r="AF5129" s="235" t="s">
        <v>631</v>
      </c>
      <c r="AG5129" s="245"/>
      <c r="AH5129" s="245"/>
      <c r="AI5129" s="245"/>
      <c r="AJ5129" s="245"/>
      <c r="AK5129" s="245"/>
      <c r="AL5129" s="245"/>
      <c r="AM5129" s="245"/>
      <c r="AN5129" s="245"/>
      <c r="AO5129" s="238">
        <v>0.0</v>
      </c>
      <c r="AP5129" s="238">
        <v>-38.1</v>
      </c>
      <c r="AQ5129" s="235" t="s">
        <v>632</v>
      </c>
      <c r="AR5129" s="243">
        <v>3.7E11</v>
      </c>
      <c r="AS5129" s="235" t="s">
        <v>35520</v>
      </c>
      <c r="AT5129" s="235" t="s">
        <v>155</v>
      </c>
      <c r="AU5129" s="235" t="s">
        <v>634</v>
      </c>
      <c r="AV5129" s="246" t="s">
        <v>635</v>
      </c>
      <c r="AW5129" s="227"/>
      <c r="AX5129" s="227"/>
      <c r="AY5129" s="227"/>
      <c r="AZ5129" s="227"/>
      <c r="BA5129" s="227"/>
      <c r="BB5129" s="227"/>
      <c r="BC5129" s="227"/>
      <c r="BD5129" s="227"/>
      <c r="BE5129" s="227"/>
      <c r="BF5129" s="227"/>
    </row>
    <row r="5130">
      <c r="A5130" s="235" t="s">
        <v>37794</v>
      </c>
      <c r="C5130" s="235" t="s">
        <v>37795</v>
      </c>
      <c r="D5130" s="235" t="s">
        <v>37796</v>
      </c>
      <c r="E5130" s="243">
        <v>6.49E13</v>
      </c>
      <c r="F5130" s="245"/>
      <c r="G5130" s="235" t="s">
        <v>37797</v>
      </c>
      <c r="H5130" s="235" t="s">
        <v>37798</v>
      </c>
      <c r="I5130" s="235" t="s">
        <v>37799</v>
      </c>
      <c r="J5130" s="235" t="s">
        <v>37800</v>
      </c>
      <c r="K5130" s="235" t="s">
        <v>37801</v>
      </c>
      <c r="N5130" s="235" t="s">
        <v>144</v>
      </c>
      <c r="O5130" s="235" t="s">
        <v>232</v>
      </c>
      <c r="P5130" s="238">
        <v>1.0</v>
      </c>
      <c r="Q5130" s="235" t="s">
        <v>627</v>
      </c>
      <c r="R5130" s="238">
        <v>665.71</v>
      </c>
      <c r="S5130" s="238">
        <v>33.29</v>
      </c>
      <c r="T5130" s="238">
        <v>38.1</v>
      </c>
      <c r="U5130" s="238">
        <v>1.9</v>
      </c>
      <c r="V5130" s="238">
        <v>0.0</v>
      </c>
      <c r="W5130" s="238">
        <v>0.0</v>
      </c>
      <c r="X5130" s="235" t="s">
        <v>628</v>
      </c>
      <c r="Z5130" s="245"/>
      <c r="AA5130" s="245"/>
      <c r="AB5130" s="245"/>
      <c r="AC5130" s="235" t="s">
        <v>1058</v>
      </c>
      <c r="AD5130" s="235" t="s">
        <v>845</v>
      </c>
      <c r="AE5130" s="238">
        <v>400066.0</v>
      </c>
      <c r="AF5130" s="235" t="s">
        <v>631</v>
      </c>
      <c r="AG5130" s="245"/>
      <c r="AH5130" s="245"/>
      <c r="AI5130" s="245"/>
      <c r="AJ5130" s="245"/>
      <c r="AK5130" s="245"/>
      <c r="AL5130" s="245"/>
      <c r="AM5130" s="245"/>
      <c r="AN5130" s="245"/>
      <c r="AO5130" s="238">
        <v>0.0</v>
      </c>
      <c r="AP5130" s="238">
        <v>-38.1</v>
      </c>
      <c r="AQ5130" s="235" t="s">
        <v>632</v>
      </c>
      <c r="AR5130" s="243">
        <v>3.7E11</v>
      </c>
      <c r="AS5130" s="235" t="s">
        <v>34510</v>
      </c>
      <c r="AT5130" s="235" t="s">
        <v>5</v>
      </c>
      <c r="AU5130" s="235" t="s">
        <v>634</v>
      </c>
      <c r="AV5130" s="246" t="s">
        <v>635</v>
      </c>
      <c r="AW5130" s="227"/>
      <c r="AX5130" s="227"/>
      <c r="AY5130" s="227"/>
      <c r="AZ5130" s="227"/>
      <c r="BA5130" s="227"/>
      <c r="BB5130" s="227"/>
      <c r="BC5130" s="227"/>
      <c r="BD5130" s="227"/>
      <c r="BE5130" s="227"/>
      <c r="BF5130" s="227"/>
    </row>
    <row r="5131">
      <c r="A5131" s="235" t="s">
        <v>37802</v>
      </c>
      <c r="C5131" s="235" t="s">
        <v>37803</v>
      </c>
      <c r="D5131" s="235" t="s">
        <v>37804</v>
      </c>
      <c r="E5131" s="243">
        <v>6.49E13</v>
      </c>
      <c r="F5131" s="245"/>
      <c r="G5131" s="235" t="s">
        <v>37805</v>
      </c>
      <c r="H5131" s="235" t="s">
        <v>37806</v>
      </c>
      <c r="I5131" s="235" t="s">
        <v>37806</v>
      </c>
      <c r="J5131" s="235" t="s">
        <v>37807</v>
      </c>
      <c r="K5131" s="235" t="s">
        <v>37808</v>
      </c>
      <c r="N5131" s="235" t="s">
        <v>144</v>
      </c>
      <c r="O5131" s="235" t="s">
        <v>232</v>
      </c>
      <c r="P5131" s="238">
        <v>1.0</v>
      </c>
      <c r="Q5131" s="235" t="s">
        <v>627</v>
      </c>
      <c r="R5131" s="238">
        <v>665.71</v>
      </c>
      <c r="S5131" s="238">
        <v>32.62</v>
      </c>
      <c r="T5131" s="238">
        <v>38.1</v>
      </c>
      <c r="U5131" s="238">
        <v>1.9</v>
      </c>
      <c r="V5131" s="238">
        <v>0.0</v>
      </c>
      <c r="W5131" s="238">
        <v>0.0</v>
      </c>
      <c r="X5131" s="235" t="s">
        <v>628</v>
      </c>
      <c r="Z5131" s="245"/>
      <c r="AA5131" s="245"/>
      <c r="AB5131" s="245"/>
      <c r="AC5131" s="235" t="s">
        <v>36792</v>
      </c>
      <c r="AD5131" s="235" t="s">
        <v>3113</v>
      </c>
      <c r="AE5131" s="238">
        <v>495668.0</v>
      </c>
      <c r="AF5131" s="235" t="s">
        <v>631</v>
      </c>
      <c r="AG5131" s="245"/>
      <c r="AH5131" s="245"/>
      <c r="AI5131" s="245"/>
      <c r="AJ5131" s="245"/>
      <c r="AK5131" s="245"/>
      <c r="AL5131" s="245"/>
      <c r="AM5131" s="245"/>
      <c r="AN5131" s="245"/>
      <c r="AO5131" s="238">
        <v>-13.31</v>
      </c>
      <c r="AP5131" s="238">
        <v>-38.1</v>
      </c>
      <c r="AQ5131" s="235" t="s">
        <v>632</v>
      </c>
      <c r="AR5131" s="243">
        <v>3.7E11</v>
      </c>
      <c r="AS5131" s="235" t="s">
        <v>33466</v>
      </c>
      <c r="AT5131" s="235" t="s">
        <v>5</v>
      </c>
      <c r="AU5131" s="235" t="s">
        <v>634</v>
      </c>
      <c r="AV5131" s="246" t="s">
        <v>635</v>
      </c>
      <c r="AW5131" s="227"/>
      <c r="AX5131" s="227"/>
      <c r="AY5131" s="227"/>
      <c r="AZ5131" s="227"/>
      <c r="BA5131" s="227"/>
      <c r="BB5131" s="227"/>
      <c r="BC5131" s="227"/>
      <c r="BD5131" s="227"/>
      <c r="BE5131" s="227"/>
      <c r="BF5131" s="227"/>
    </row>
    <row r="5132">
      <c r="A5132" s="235" t="s">
        <v>37809</v>
      </c>
      <c r="C5132" s="235" t="s">
        <v>37810</v>
      </c>
      <c r="D5132" s="235" t="s">
        <v>37811</v>
      </c>
      <c r="E5132" s="243">
        <v>6.49E13</v>
      </c>
      <c r="F5132" s="245"/>
      <c r="G5132" s="235" t="s">
        <v>37812</v>
      </c>
      <c r="H5132" s="235" t="s">
        <v>37813</v>
      </c>
      <c r="I5132" s="235" t="s">
        <v>37813</v>
      </c>
      <c r="J5132" s="235" t="s">
        <v>37814</v>
      </c>
      <c r="K5132" s="235" t="s">
        <v>37815</v>
      </c>
      <c r="N5132" s="235" t="s">
        <v>92</v>
      </c>
      <c r="O5132" s="235" t="s">
        <v>248</v>
      </c>
      <c r="P5132" s="238">
        <v>1.0</v>
      </c>
      <c r="Q5132" s="235" t="s">
        <v>627</v>
      </c>
      <c r="R5132" s="238">
        <v>244.76</v>
      </c>
      <c r="S5132" s="238">
        <v>12.24</v>
      </c>
      <c r="T5132" s="238">
        <v>0.0</v>
      </c>
      <c r="U5132" s="238">
        <v>0.0</v>
      </c>
      <c r="V5132" s="238">
        <v>0.0</v>
      </c>
      <c r="W5132" s="238">
        <v>0.0</v>
      </c>
      <c r="X5132" s="235" t="s">
        <v>628</v>
      </c>
      <c r="Z5132" s="245"/>
      <c r="AA5132" s="245"/>
      <c r="AB5132" s="245"/>
      <c r="AC5132" s="235" t="s">
        <v>1887</v>
      </c>
      <c r="AD5132" s="235" t="s">
        <v>679</v>
      </c>
      <c r="AE5132" s="238">
        <v>560032.0</v>
      </c>
      <c r="AF5132" s="235" t="s">
        <v>631</v>
      </c>
      <c r="AG5132" s="245"/>
      <c r="AH5132" s="245"/>
      <c r="AI5132" s="245"/>
      <c r="AJ5132" s="245"/>
      <c r="AK5132" s="245"/>
      <c r="AL5132" s="245"/>
      <c r="AM5132" s="245"/>
      <c r="AN5132" s="245"/>
      <c r="AO5132" s="238">
        <v>0.0</v>
      </c>
      <c r="AP5132" s="238">
        <v>0.0</v>
      </c>
      <c r="AQ5132" s="235" t="s">
        <v>632</v>
      </c>
      <c r="AR5132" s="243">
        <v>1.68E11</v>
      </c>
      <c r="AS5132" s="235" t="s">
        <v>37288</v>
      </c>
      <c r="AT5132" s="235" t="s">
        <v>9</v>
      </c>
      <c r="AU5132" s="235" t="s">
        <v>634</v>
      </c>
      <c r="AV5132" s="246" t="s">
        <v>635</v>
      </c>
      <c r="AW5132" s="227"/>
      <c r="AX5132" s="227"/>
      <c r="AY5132" s="227"/>
      <c r="AZ5132" s="227"/>
      <c r="BA5132" s="227"/>
      <c r="BB5132" s="227"/>
      <c r="BC5132" s="227"/>
      <c r="BD5132" s="227"/>
      <c r="BE5132" s="227"/>
      <c r="BF5132" s="227"/>
    </row>
    <row r="5133">
      <c r="A5133" s="235" t="s">
        <v>37816</v>
      </c>
      <c r="C5133" s="235" t="s">
        <v>37817</v>
      </c>
      <c r="D5133" s="235" t="s">
        <v>37818</v>
      </c>
      <c r="E5133" s="243">
        <v>6.49E13</v>
      </c>
      <c r="F5133" s="245"/>
      <c r="G5133" s="235" t="s">
        <v>37819</v>
      </c>
      <c r="H5133" s="235" t="s">
        <v>37820</v>
      </c>
      <c r="I5133" s="235" t="s">
        <v>37820</v>
      </c>
      <c r="J5133" s="235" t="s">
        <v>37821</v>
      </c>
      <c r="K5133" s="235" t="s">
        <v>37822</v>
      </c>
      <c r="N5133" s="235" t="s">
        <v>42</v>
      </c>
      <c r="O5133" s="235" t="s">
        <v>204</v>
      </c>
      <c r="P5133" s="238">
        <v>1.0</v>
      </c>
      <c r="Q5133" s="235" t="s">
        <v>627</v>
      </c>
      <c r="R5133" s="238">
        <v>237.14</v>
      </c>
      <c r="S5133" s="238">
        <v>11.86</v>
      </c>
      <c r="T5133" s="238">
        <v>38.1</v>
      </c>
      <c r="U5133" s="238">
        <v>1.9</v>
      </c>
      <c r="V5133" s="238">
        <v>0.0</v>
      </c>
      <c r="W5133" s="238">
        <v>0.0</v>
      </c>
      <c r="X5133" s="235" t="s">
        <v>628</v>
      </c>
      <c r="Z5133" s="245"/>
      <c r="AA5133" s="245"/>
      <c r="AB5133" s="245"/>
      <c r="AC5133" s="235" t="s">
        <v>3449</v>
      </c>
      <c r="AD5133" s="235" t="s">
        <v>833</v>
      </c>
      <c r="AE5133" s="238">
        <v>533102.0</v>
      </c>
      <c r="AF5133" s="235" t="s">
        <v>631</v>
      </c>
      <c r="AG5133" s="245"/>
      <c r="AH5133" s="245"/>
      <c r="AI5133" s="245"/>
      <c r="AJ5133" s="245"/>
      <c r="AK5133" s="245"/>
      <c r="AL5133" s="245"/>
      <c r="AM5133" s="245"/>
      <c r="AN5133" s="245"/>
      <c r="AO5133" s="238">
        <v>0.0</v>
      </c>
      <c r="AP5133" s="238">
        <v>-38.1</v>
      </c>
      <c r="AQ5133" s="235" t="s">
        <v>632</v>
      </c>
      <c r="AR5133" s="243">
        <v>3.7E11</v>
      </c>
      <c r="AS5133" s="235" t="s">
        <v>34510</v>
      </c>
      <c r="AT5133" s="235" t="s">
        <v>156</v>
      </c>
      <c r="AU5133" s="235" t="s">
        <v>634</v>
      </c>
      <c r="AV5133" s="246" t="s">
        <v>635</v>
      </c>
      <c r="AW5133" s="227"/>
      <c r="AX5133" s="227"/>
      <c r="AY5133" s="227"/>
      <c r="AZ5133" s="227"/>
      <c r="BA5133" s="227"/>
      <c r="BB5133" s="227"/>
      <c r="BC5133" s="227"/>
      <c r="BD5133" s="227"/>
      <c r="BE5133" s="227"/>
      <c r="BF5133" s="227"/>
    </row>
    <row r="5134">
      <c r="A5134" s="235" t="s">
        <v>37823</v>
      </c>
      <c r="C5134" s="235" t="s">
        <v>37824</v>
      </c>
      <c r="D5134" s="235" t="s">
        <v>37825</v>
      </c>
      <c r="E5134" s="243">
        <v>6.49E13</v>
      </c>
      <c r="F5134" s="245"/>
      <c r="G5134" s="235" t="s">
        <v>37826</v>
      </c>
      <c r="H5134" s="235" t="s">
        <v>37827</v>
      </c>
      <c r="I5134" s="235" t="s">
        <v>37827</v>
      </c>
      <c r="J5134" s="235" t="s">
        <v>37828</v>
      </c>
      <c r="K5134" s="235" t="s">
        <v>37829</v>
      </c>
      <c r="N5134" s="235" t="s">
        <v>117</v>
      </c>
      <c r="O5134" s="235" t="s">
        <v>334</v>
      </c>
      <c r="P5134" s="238">
        <v>1.0</v>
      </c>
      <c r="Q5134" s="235" t="s">
        <v>627</v>
      </c>
      <c r="R5134" s="238">
        <v>237.14</v>
      </c>
      <c r="S5134" s="238">
        <v>11.86</v>
      </c>
      <c r="T5134" s="238">
        <v>18.1</v>
      </c>
      <c r="U5134" s="238">
        <v>0.9</v>
      </c>
      <c r="V5134" s="238">
        <v>0.0</v>
      </c>
      <c r="W5134" s="238">
        <v>0.0</v>
      </c>
      <c r="X5134" s="235" t="s">
        <v>628</v>
      </c>
      <c r="Z5134" s="245"/>
      <c r="AA5134" s="245"/>
      <c r="AB5134" s="245"/>
      <c r="AC5134" s="235" t="s">
        <v>1255</v>
      </c>
      <c r="AD5134" s="235" t="s">
        <v>845</v>
      </c>
      <c r="AE5134" s="238">
        <v>400608.0</v>
      </c>
      <c r="AF5134" s="235" t="s">
        <v>631</v>
      </c>
      <c r="AG5134" s="245"/>
      <c r="AH5134" s="245"/>
      <c r="AI5134" s="245"/>
      <c r="AJ5134" s="245"/>
      <c r="AK5134" s="245"/>
      <c r="AL5134" s="245"/>
      <c r="AM5134" s="245"/>
      <c r="AN5134" s="245"/>
      <c r="AO5134" s="238">
        <v>0.0</v>
      </c>
      <c r="AP5134" s="238">
        <v>-18.1</v>
      </c>
      <c r="AQ5134" s="235" t="s">
        <v>632</v>
      </c>
      <c r="AR5134" s="243">
        <v>1.68E11</v>
      </c>
      <c r="AS5134" s="235" t="s">
        <v>37288</v>
      </c>
      <c r="AT5134" s="235" t="s">
        <v>17</v>
      </c>
      <c r="AU5134" s="235" t="s">
        <v>634</v>
      </c>
      <c r="AV5134" s="246" t="s">
        <v>635</v>
      </c>
      <c r="AW5134" s="227"/>
      <c r="AX5134" s="227"/>
      <c r="AY5134" s="227"/>
      <c r="AZ5134" s="227"/>
      <c r="BA5134" s="227"/>
      <c r="BB5134" s="227"/>
      <c r="BC5134" s="227"/>
      <c r="BD5134" s="227"/>
      <c r="BE5134" s="227"/>
      <c r="BF5134" s="227"/>
    </row>
    <row r="5135">
      <c r="A5135" s="235" t="s">
        <v>37830</v>
      </c>
      <c r="C5135" s="235" t="s">
        <v>37831</v>
      </c>
      <c r="D5135" s="235" t="s">
        <v>37832</v>
      </c>
      <c r="E5135" s="243">
        <v>6.49E13</v>
      </c>
      <c r="F5135" s="245"/>
      <c r="G5135" s="235" t="s">
        <v>37833</v>
      </c>
      <c r="H5135" s="235" t="s">
        <v>37834</v>
      </c>
      <c r="I5135" s="235" t="s">
        <v>37835</v>
      </c>
      <c r="J5135" s="235" t="s">
        <v>37836</v>
      </c>
      <c r="K5135" s="235" t="s">
        <v>37837</v>
      </c>
      <c r="N5135" s="235" t="s">
        <v>58</v>
      </c>
      <c r="O5135" s="235" t="s">
        <v>349</v>
      </c>
      <c r="P5135" s="238">
        <v>1.0</v>
      </c>
      <c r="Q5135" s="235" t="s">
        <v>627</v>
      </c>
      <c r="R5135" s="238">
        <v>627.62</v>
      </c>
      <c r="S5135" s="238">
        <v>30.44</v>
      </c>
      <c r="T5135" s="238">
        <v>0.0</v>
      </c>
      <c r="U5135" s="238">
        <v>0.0</v>
      </c>
      <c r="V5135" s="238">
        <v>0.0</v>
      </c>
      <c r="W5135" s="238">
        <v>0.0</v>
      </c>
      <c r="X5135" s="235" t="s">
        <v>628</v>
      </c>
      <c r="Z5135" s="245"/>
      <c r="AA5135" s="245"/>
      <c r="AB5135" s="245"/>
      <c r="AC5135" s="235" t="s">
        <v>697</v>
      </c>
      <c r="AD5135" s="235" t="s">
        <v>698</v>
      </c>
      <c r="AE5135" s="238">
        <v>500049.0</v>
      </c>
      <c r="AF5135" s="235" t="s">
        <v>631</v>
      </c>
      <c r="AG5135" s="245"/>
      <c r="AH5135" s="245"/>
      <c r="AI5135" s="245"/>
      <c r="AJ5135" s="245"/>
      <c r="AK5135" s="245"/>
      <c r="AL5135" s="245"/>
      <c r="AM5135" s="245"/>
      <c r="AN5135" s="245"/>
      <c r="AO5135" s="238">
        <v>-18.83</v>
      </c>
      <c r="AP5135" s="238">
        <v>0.0</v>
      </c>
      <c r="AQ5135" s="235" t="s">
        <v>632</v>
      </c>
      <c r="AR5135" s="243">
        <v>2.02E11</v>
      </c>
      <c r="AS5135" s="235" t="s">
        <v>36667</v>
      </c>
      <c r="AT5135" s="235" t="s">
        <v>5</v>
      </c>
      <c r="AU5135" s="235" t="s">
        <v>634</v>
      </c>
      <c r="AV5135" s="246" t="s">
        <v>635</v>
      </c>
      <c r="AW5135" s="227"/>
      <c r="AX5135" s="227"/>
      <c r="AY5135" s="227"/>
      <c r="AZ5135" s="227"/>
      <c r="BA5135" s="227"/>
      <c r="BB5135" s="227"/>
      <c r="BC5135" s="227"/>
      <c r="BD5135" s="227"/>
      <c r="BE5135" s="227"/>
      <c r="BF5135" s="227"/>
    </row>
    <row r="5136">
      <c r="A5136" s="235" t="s">
        <v>37830</v>
      </c>
      <c r="C5136" s="235" t="s">
        <v>37831</v>
      </c>
      <c r="D5136" s="235" t="s">
        <v>37838</v>
      </c>
      <c r="E5136" s="243">
        <v>6.49E13</v>
      </c>
      <c r="F5136" s="245"/>
      <c r="G5136" s="235" t="s">
        <v>37833</v>
      </c>
      <c r="H5136" s="235" t="s">
        <v>37834</v>
      </c>
      <c r="I5136" s="235" t="s">
        <v>37835</v>
      </c>
      <c r="J5136" s="235" t="s">
        <v>37836</v>
      </c>
      <c r="K5136" s="235" t="s">
        <v>37837</v>
      </c>
      <c r="N5136" s="235" t="s">
        <v>58</v>
      </c>
      <c r="O5136" s="235" t="s">
        <v>349</v>
      </c>
      <c r="P5136" s="238">
        <v>1.0</v>
      </c>
      <c r="Q5136" s="235" t="s">
        <v>627</v>
      </c>
      <c r="R5136" s="238">
        <v>627.62</v>
      </c>
      <c r="S5136" s="238">
        <v>30.44</v>
      </c>
      <c r="T5136" s="238">
        <v>0.0</v>
      </c>
      <c r="U5136" s="238">
        <v>0.0</v>
      </c>
      <c r="V5136" s="238">
        <v>0.0</v>
      </c>
      <c r="W5136" s="238">
        <v>0.0</v>
      </c>
      <c r="X5136" s="235" t="s">
        <v>628</v>
      </c>
      <c r="Z5136" s="245"/>
      <c r="AA5136" s="245"/>
      <c r="AB5136" s="245"/>
      <c r="AC5136" s="235" t="s">
        <v>697</v>
      </c>
      <c r="AD5136" s="235" t="s">
        <v>698</v>
      </c>
      <c r="AE5136" s="238">
        <v>500049.0</v>
      </c>
      <c r="AF5136" s="235" t="s">
        <v>631</v>
      </c>
      <c r="AG5136" s="245"/>
      <c r="AH5136" s="245"/>
      <c r="AI5136" s="245"/>
      <c r="AJ5136" s="245"/>
      <c r="AK5136" s="245"/>
      <c r="AL5136" s="245"/>
      <c r="AM5136" s="245"/>
      <c r="AN5136" s="245"/>
      <c r="AO5136" s="238">
        <v>-18.83</v>
      </c>
      <c r="AP5136" s="238">
        <v>0.0</v>
      </c>
      <c r="AQ5136" s="235" t="s">
        <v>632</v>
      </c>
      <c r="AR5136" s="243">
        <v>2.02E11</v>
      </c>
      <c r="AS5136" s="235" t="s">
        <v>36667</v>
      </c>
      <c r="AT5136" s="235" t="s">
        <v>5</v>
      </c>
      <c r="AU5136" s="235" t="s">
        <v>634</v>
      </c>
      <c r="AV5136" s="246" t="s">
        <v>635</v>
      </c>
      <c r="AW5136" s="227"/>
      <c r="AX5136" s="227"/>
      <c r="AY5136" s="227"/>
      <c r="AZ5136" s="227"/>
      <c r="BA5136" s="227"/>
      <c r="BB5136" s="227"/>
      <c r="BC5136" s="227"/>
      <c r="BD5136" s="227"/>
      <c r="BE5136" s="227"/>
      <c r="BF5136" s="227"/>
    </row>
    <row r="5137">
      <c r="A5137" s="235" t="s">
        <v>37839</v>
      </c>
      <c r="C5137" s="235" t="s">
        <v>37840</v>
      </c>
      <c r="D5137" s="235" t="s">
        <v>37841</v>
      </c>
      <c r="E5137" s="243">
        <v>6.49E13</v>
      </c>
      <c r="F5137" s="245"/>
      <c r="G5137" s="235" t="s">
        <v>37842</v>
      </c>
      <c r="H5137" s="235" t="s">
        <v>37843</v>
      </c>
      <c r="I5137" s="235" t="s">
        <v>37843</v>
      </c>
      <c r="J5137" s="235" t="s">
        <v>37844</v>
      </c>
      <c r="K5137" s="235" t="s">
        <v>37845</v>
      </c>
      <c r="N5137" s="235" t="s">
        <v>130</v>
      </c>
      <c r="O5137" s="235" t="s">
        <v>707</v>
      </c>
      <c r="P5137" s="238">
        <v>1.0</v>
      </c>
      <c r="Q5137" s="235" t="s">
        <v>627</v>
      </c>
      <c r="R5137" s="238">
        <v>243.81</v>
      </c>
      <c r="S5137" s="238">
        <v>12.19</v>
      </c>
      <c r="T5137" s="238">
        <v>0.0</v>
      </c>
      <c r="U5137" s="238">
        <v>0.0</v>
      </c>
      <c r="V5137" s="238">
        <v>0.0</v>
      </c>
      <c r="W5137" s="238">
        <v>0.0</v>
      </c>
      <c r="X5137" s="235" t="s">
        <v>628</v>
      </c>
      <c r="Z5137" s="245"/>
      <c r="AA5137" s="245"/>
      <c r="AB5137" s="245"/>
      <c r="AC5137" s="235" t="s">
        <v>8988</v>
      </c>
      <c r="AD5137" s="235" t="s">
        <v>1086</v>
      </c>
      <c r="AE5137" s="238">
        <v>148001.0</v>
      </c>
      <c r="AF5137" s="235" t="s">
        <v>631</v>
      </c>
      <c r="AG5137" s="245"/>
      <c r="AH5137" s="245"/>
      <c r="AI5137" s="245"/>
      <c r="AJ5137" s="245"/>
      <c r="AK5137" s="245"/>
      <c r="AL5137" s="245"/>
      <c r="AM5137" s="245"/>
      <c r="AN5137" s="245"/>
      <c r="AO5137" s="238">
        <v>0.0</v>
      </c>
      <c r="AP5137" s="238">
        <v>0.0</v>
      </c>
      <c r="AQ5137" s="235" t="s">
        <v>632</v>
      </c>
      <c r="AR5137" s="243">
        <v>3.7E11</v>
      </c>
      <c r="AS5137" s="235" t="s">
        <v>35520</v>
      </c>
      <c r="AT5137" s="235" t="s">
        <v>13</v>
      </c>
      <c r="AU5137" s="235" t="s">
        <v>634</v>
      </c>
      <c r="AV5137" s="246" t="s">
        <v>635</v>
      </c>
      <c r="AW5137" s="227"/>
      <c r="AX5137" s="227"/>
      <c r="AY5137" s="227"/>
      <c r="AZ5137" s="227"/>
      <c r="BA5137" s="227"/>
      <c r="BB5137" s="227"/>
      <c r="BC5137" s="227"/>
      <c r="BD5137" s="227"/>
      <c r="BE5137" s="227"/>
      <c r="BF5137" s="227"/>
    </row>
    <row r="5138">
      <c r="A5138" s="235" t="s">
        <v>37846</v>
      </c>
      <c r="C5138" s="235" t="s">
        <v>37847</v>
      </c>
      <c r="D5138" s="235" t="s">
        <v>37848</v>
      </c>
      <c r="E5138" s="243">
        <v>6.49E13</v>
      </c>
      <c r="F5138" s="245"/>
      <c r="G5138" s="235" t="s">
        <v>37849</v>
      </c>
      <c r="H5138" s="235" t="s">
        <v>37850</v>
      </c>
      <c r="I5138" s="235" t="s">
        <v>37851</v>
      </c>
      <c r="J5138" s="235" t="s">
        <v>37852</v>
      </c>
      <c r="K5138" s="235" t="s">
        <v>37853</v>
      </c>
      <c r="N5138" s="235" t="s">
        <v>136</v>
      </c>
      <c r="O5138" s="235" t="s">
        <v>256</v>
      </c>
      <c r="P5138" s="238">
        <v>1.0</v>
      </c>
      <c r="Q5138" s="235" t="s">
        <v>627</v>
      </c>
      <c r="R5138" s="238">
        <v>244.76</v>
      </c>
      <c r="S5138" s="238">
        <v>12.24</v>
      </c>
      <c r="T5138" s="238">
        <v>0.0</v>
      </c>
      <c r="U5138" s="238">
        <v>0.0</v>
      </c>
      <c r="V5138" s="238">
        <v>0.0</v>
      </c>
      <c r="W5138" s="238">
        <v>0.0</v>
      </c>
      <c r="X5138" s="235" t="s">
        <v>628</v>
      </c>
      <c r="Z5138" s="245"/>
      <c r="AA5138" s="245"/>
      <c r="AB5138" s="245"/>
      <c r="AC5138" s="235" t="s">
        <v>1604</v>
      </c>
      <c r="AD5138" s="235" t="s">
        <v>845</v>
      </c>
      <c r="AE5138" s="238">
        <v>400059.0</v>
      </c>
      <c r="AF5138" s="235" t="s">
        <v>631</v>
      </c>
      <c r="AG5138" s="245"/>
      <c r="AH5138" s="245"/>
      <c r="AI5138" s="245"/>
      <c r="AJ5138" s="245"/>
      <c r="AK5138" s="245"/>
      <c r="AL5138" s="245"/>
      <c r="AM5138" s="245"/>
      <c r="AN5138" s="245"/>
      <c r="AO5138" s="238">
        <v>0.0</v>
      </c>
      <c r="AP5138" s="238">
        <v>0.0</v>
      </c>
      <c r="AQ5138" s="235" t="s">
        <v>632</v>
      </c>
      <c r="AR5138" s="243">
        <v>1.68E11</v>
      </c>
      <c r="AS5138" s="235" t="s">
        <v>37288</v>
      </c>
      <c r="AT5138" s="235" t="s">
        <v>17</v>
      </c>
      <c r="AU5138" s="235" t="s">
        <v>634</v>
      </c>
      <c r="AV5138" s="246" t="s">
        <v>635</v>
      </c>
      <c r="AW5138" s="227"/>
      <c r="AX5138" s="227"/>
      <c r="AY5138" s="227"/>
      <c r="AZ5138" s="227"/>
      <c r="BA5138" s="227"/>
      <c r="BB5138" s="227"/>
      <c r="BC5138" s="227"/>
      <c r="BD5138" s="227"/>
      <c r="BE5138" s="227"/>
      <c r="BF5138" s="227"/>
    </row>
    <row r="5139">
      <c r="A5139" s="235" t="s">
        <v>37854</v>
      </c>
      <c r="C5139" s="235" t="s">
        <v>37855</v>
      </c>
      <c r="D5139" s="235" t="s">
        <v>37856</v>
      </c>
      <c r="E5139" s="243">
        <v>6.49E13</v>
      </c>
      <c r="F5139" s="245"/>
      <c r="G5139" s="235" t="s">
        <v>37857</v>
      </c>
      <c r="H5139" s="235" t="s">
        <v>37858</v>
      </c>
      <c r="I5139" s="235" t="s">
        <v>37858</v>
      </c>
      <c r="J5139" s="235" t="s">
        <v>37859</v>
      </c>
      <c r="K5139" s="235" t="s">
        <v>37860</v>
      </c>
      <c r="N5139" s="235" t="s">
        <v>127</v>
      </c>
      <c r="O5139" s="235" t="s">
        <v>794</v>
      </c>
      <c r="P5139" s="238">
        <v>1.0</v>
      </c>
      <c r="Q5139" s="235" t="s">
        <v>627</v>
      </c>
      <c r="R5139" s="238">
        <v>243.8</v>
      </c>
      <c r="S5139" s="238">
        <v>12.2</v>
      </c>
      <c r="T5139" s="238">
        <v>9.04</v>
      </c>
      <c r="U5139" s="238">
        <v>0.46</v>
      </c>
      <c r="V5139" s="238">
        <v>0.0</v>
      </c>
      <c r="W5139" s="238">
        <v>0.0</v>
      </c>
      <c r="X5139" s="235" t="s">
        <v>628</v>
      </c>
      <c r="Z5139" s="245"/>
      <c r="AA5139" s="245"/>
      <c r="AB5139" s="245"/>
      <c r="AC5139" s="235" t="s">
        <v>1604</v>
      </c>
      <c r="AD5139" s="235" t="s">
        <v>845</v>
      </c>
      <c r="AE5139" s="238">
        <v>400072.0</v>
      </c>
      <c r="AF5139" s="235" t="s">
        <v>631</v>
      </c>
      <c r="AG5139" s="245"/>
      <c r="AH5139" s="245"/>
      <c r="AI5139" s="245"/>
      <c r="AJ5139" s="245"/>
      <c r="AK5139" s="245"/>
      <c r="AL5139" s="245"/>
      <c r="AM5139" s="245"/>
      <c r="AN5139" s="245"/>
      <c r="AO5139" s="238">
        <v>0.0</v>
      </c>
      <c r="AP5139" s="238">
        <v>-9.04</v>
      </c>
      <c r="AQ5139" s="235" t="s">
        <v>632</v>
      </c>
      <c r="AR5139" s="243">
        <v>1.68E11</v>
      </c>
      <c r="AS5139" s="235" t="s">
        <v>37288</v>
      </c>
      <c r="AT5139" s="235" t="s">
        <v>17</v>
      </c>
      <c r="AU5139" s="235" t="s">
        <v>634</v>
      </c>
      <c r="AV5139" s="246" t="s">
        <v>635</v>
      </c>
      <c r="AW5139" s="227"/>
      <c r="AX5139" s="227"/>
      <c r="AY5139" s="227"/>
      <c r="AZ5139" s="227"/>
      <c r="BA5139" s="227"/>
      <c r="BB5139" s="227"/>
      <c r="BC5139" s="227"/>
      <c r="BD5139" s="227"/>
      <c r="BE5139" s="227"/>
      <c r="BF5139" s="227"/>
    </row>
    <row r="5140">
      <c r="A5140" s="235" t="s">
        <v>37861</v>
      </c>
      <c r="C5140" s="235" t="s">
        <v>37862</v>
      </c>
      <c r="D5140" s="235" t="s">
        <v>37863</v>
      </c>
      <c r="E5140" s="243">
        <v>6.49E13</v>
      </c>
      <c r="F5140" s="245"/>
      <c r="G5140" s="235" t="s">
        <v>37864</v>
      </c>
      <c r="H5140" s="235" t="s">
        <v>37865</v>
      </c>
      <c r="I5140" s="235" t="s">
        <v>37865</v>
      </c>
      <c r="J5140" s="235" t="s">
        <v>37866</v>
      </c>
      <c r="K5140" s="235" t="s">
        <v>37867</v>
      </c>
      <c r="N5140" s="235" t="s">
        <v>541</v>
      </c>
      <c r="O5140" s="235" t="s">
        <v>30856</v>
      </c>
      <c r="P5140" s="238">
        <v>1.0</v>
      </c>
      <c r="Q5140" s="235" t="s">
        <v>627</v>
      </c>
      <c r="R5140" s="238">
        <v>659.32</v>
      </c>
      <c r="S5140" s="238">
        <v>118.68</v>
      </c>
      <c r="T5140" s="238">
        <v>33.9</v>
      </c>
      <c r="U5140" s="238">
        <v>6.1</v>
      </c>
      <c r="V5140" s="238">
        <v>0.0</v>
      </c>
      <c r="W5140" s="238">
        <v>0.0</v>
      </c>
      <c r="X5140" s="235" t="s">
        <v>628</v>
      </c>
      <c r="Z5140" s="245"/>
      <c r="AA5140" s="245"/>
      <c r="AB5140" s="245"/>
      <c r="AC5140" s="235" t="s">
        <v>37868</v>
      </c>
      <c r="AD5140" s="235" t="s">
        <v>679</v>
      </c>
      <c r="AE5140" s="238">
        <v>560037.0</v>
      </c>
      <c r="AF5140" s="235" t="s">
        <v>631</v>
      </c>
      <c r="AG5140" s="245"/>
      <c r="AH5140" s="245"/>
      <c r="AI5140" s="245"/>
      <c r="AJ5140" s="245"/>
      <c r="AK5140" s="245"/>
      <c r="AL5140" s="245"/>
      <c r="AM5140" s="245"/>
      <c r="AN5140" s="245"/>
      <c r="AO5140" s="238">
        <v>0.0</v>
      </c>
      <c r="AP5140" s="238">
        <v>-33.9</v>
      </c>
      <c r="AQ5140" s="235" t="s">
        <v>632</v>
      </c>
      <c r="AR5140" s="243">
        <v>3.7E11</v>
      </c>
      <c r="AS5140" s="235" t="s">
        <v>36667</v>
      </c>
      <c r="AT5140" s="235" t="s">
        <v>9</v>
      </c>
      <c r="AU5140" s="235" t="s">
        <v>634</v>
      </c>
      <c r="AV5140" s="246" t="s">
        <v>635</v>
      </c>
      <c r="AW5140" s="227"/>
      <c r="AX5140" s="227"/>
      <c r="AY5140" s="227"/>
      <c r="AZ5140" s="227"/>
      <c r="BA5140" s="227"/>
      <c r="BB5140" s="227"/>
      <c r="BC5140" s="227"/>
      <c r="BD5140" s="227"/>
      <c r="BE5140" s="227"/>
      <c r="BF5140" s="227"/>
    </row>
    <row r="5141">
      <c r="A5141" s="235" t="s">
        <v>37869</v>
      </c>
      <c r="C5141" s="235" t="s">
        <v>37870</v>
      </c>
      <c r="D5141" s="235" t="s">
        <v>37871</v>
      </c>
      <c r="E5141" s="243">
        <v>6.49E13</v>
      </c>
      <c r="F5141" s="245"/>
      <c r="G5141" s="235" t="s">
        <v>37872</v>
      </c>
      <c r="H5141" s="235" t="s">
        <v>37873</v>
      </c>
      <c r="I5141" s="235" t="s">
        <v>37873</v>
      </c>
      <c r="J5141" s="235" t="s">
        <v>37874</v>
      </c>
      <c r="K5141" s="235" t="s">
        <v>37875</v>
      </c>
      <c r="N5141" s="235" t="s">
        <v>154</v>
      </c>
      <c r="O5141" s="235" t="s">
        <v>766</v>
      </c>
      <c r="P5141" s="238">
        <v>1.0</v>
      </c>
      <c r="Q5141" s="235" t="s">
        <v>627</v>
      </c>
      <c r="R5141" s="238">
        <v>465.72</v>
      </c>
      <c r="S5141" s="238">
        <v>23.28</v>
      </c>
      <c r="T5141" s="238">
        <v>3.62</v>
      </c>
      <c r="U5141" s="238">
        <v>0.18</v>
      </c>
      <c r="V5141" s="238">
        <v>0.0</v>
      </c>
      <c r="W5141" s="238">
        <v>0.0</v>
      </c>
      <c r="X5141" s="235" t="s">
        <v>628</v>
      </c>
      <c r="Z5141" s="245"/>
      <c r="AA5141" s="245"/>
      <c r="AB5141" s="245"/>
      <c r="AC5141" s="235" t="s">
        <v>1887</v>
      </c>
      <c r="AD5141" s="235" t="s">
        <v>679</v>
      </c>
      <c r="AE5141" s="238">
        <v>560098.0</v>
      </c>
      <c r="AF5141" s="235" t="s">
        <v>631</v>
      </c>
      <c r="AG5141" s="245"/>
      <c r="AH5141" s="245"/>
      <c r="AI5141" s="245"/>
      <c r="AJ5141" s="245"/>
      <c r="AK5141" s="245"/>
      <c r="AL5141" s="245"/>
      <c r="AM5141" s="245"/>
      <c r="AN5141" s="245"/>
      <c r="AO5141" s="238">
        <v>0.0</v>
      </c>
      <c r="AP5141" s="238">
        <v>-3.62</v>
      </c>
      <c r="AQ5141" s="235" t="s">
        <v>632</v>
      </c>
      <c r="AR5141" s="243">
        <v>1.68E11</v>
      </c>
      <c r="AS5141" s="235" t="s">
        <v>37288</v>
      </c>
      <c r="AT5141" s="235" t="s">
        <v>11</v>
      </c>
      <c r="AU5141" s="235" t="s">
        <v>634</v>
      </c>
      <c r="AV5141" s="246" t="s">
        <v>635</v>
      </c>
      <c r="AW5141" s="227"/>
      <c r="AX5141" s="227"/>
      <c r="AY5141" s="227"/>
      <c r="AZ5141" s="227"/>
      <c r="BA5141" s="227"/>
      <c r="BB5141" s="227"/>
      <c r="BC5141" s="227"/>
      <c r="BD5141" s="227"/>
      <c r="BE5141" s="227"/>
      <c r="BF5141" s="227"/>
    </row>
    <row r="5142">
      <c r="A5142" s="235" t="s">
        <v>37876</v>
      </c>
      <c r="C5142" s="235" t="s">
        <v>37877</v>
      </c>
      <c r="D5142" s="235" t="s">
        <v>37878</v>
      </c>
      <c r="E5142" s="243">
        <v>6.49E13</v>
      </c>
      <c r="F5142" s="245"/>
      <c r="G5142" s="235" t="s">
        <v>37879</v>
      </c>
      <c r="H5142" s="235" t="s">
        <v>37880</v>
      </c>
      <c r="I5142" s="235" t="s">
        <v>37881</v>
      </c>
      <c r="J5142" s="235" t="s">
        <v>37882</v>
      </c>
      <c r="K5142" s="235" t="s">
        <v>37837</v>
      </c>
      <c r="N5142" s="235" t="s">
        <v>56</v>
      </c>
      <c r="O5142" s="235" t="s">
        <v>415</v>
      </c>
      <c r="P5142" s="238">
        <v>3.0</v>
      </c>
      <c r="Q5142" s="235" t="s">
        <v>627</v>
      </c>
      <c r="R5142" s="238">
        <v>1882.86</v>
      </c>
      <c r="S5142" s="238">
        <v>91.32</v>
      </c>
      <c r="T5142" s="238">
        <v>0.0</v>
      </c>
      <c r="U5142" s="238">
        <v>0.0</v>
      </c>
      <c r="V5142" s="238">
        <v>0.0</v>
      </c>
      <c r="W5142" s="238">
        <v>0.0</v>
      </c>
      <c r="X5142" s="235" t="s">
        <v>628</v>
      </c>
      <c r="Z5142" s="245"/>
      <c r="AA5142" s="245"/>
      <c r="AB5142" s="245"/>
      <c r="AC5142" s="235" t="s">
        <v>697</v>
      </c>
      <c r="AD5142" s="235" t="s">
        <v>698</v>
      </c>
      <c r="AE5142" s="238">
        <v>500049.0</v>
      </c>
      <c r="AF5142" s="235" t="s">
        <v>631</v>
      </c>
      <c r="AG5142" s="245"/>
      <c r="AH5142" s="245"/>
      <c r="AI5142" s="245"/>
      <c r="AJ5142" s="245"/>
      <c r="AK5142" s="245"/>
      <c r="AL5142" s="245"/>
      <c r="AM5142" s="245"/>
      <c r="AN5142" s="245"/>
      <c r="AO5142" s="238">
        <v>-56.49</v>
      </c>
      <c r="AP5142" s="238">
        <v>0.0</v>
      </c>
      <c r="AQ5142" s="235" t="s">
        <v>632</v>
      </c>
      <c r="AR5142" s="243">
        <v>2.02E11</v>
      </c>
      <c r="AS5142" s="235" t="s">
        <v>36667</v>
      </c>
      <c r="AT5142" s="235" t="s">
        <v>5</v>
      </c>
      <c r="AU5142" s="235" t="s">
        <v>634</v>
      </c>
      <c r="AV5142" s="246" t="s">
        <v>635</v>
      </c>
      <c r="AW5142" s="227"/>
      <c r="AX5142" s="227"/>
      <c r="AY5142" s="227"/>
      <c r="AZ5142" s="227"/>
      <c r="BA5142" s="227"/>
      <c r="BB5142" s="227"/>
      <c r="BC5142" s="227"/>
      <c r="BD5142" s="227"/>
      <c r="BE5142" s="227"/>
      <c r="BF5142" s="227"/>
    </row>
    <row r="5143">
      <c r="A5143" s="235" t="s">
        <v>37883</v>
      </c>
      <c r="C5143" s="235" t="s">
        <v>37884</v>
      </c>
      <c r="D5143" s="235" t="s">
        <v>37885</v>
      </c>
      <c r="E5143" s="243">
        <v>6.49E13</v>
      </c>
      <c r="F5143" s="245"/>
      <c r="G5143" s="235" t="s">
        <v>37886</v>
      </c>
      <c r="H5143" s="235" t="s">
        <v>37887</v>
      </c>
      <c r="I5143" s="235" t="s">
        <v>37887</v>
      </c>
      <c r="J5143" s="235" t="s">
        <v>37888</v>
      </c>
      <c r="K5143" s="235" t="s">
        <v>37889</v>
      </c>
      <c r="N5143" s="235" t="s">
        <v>82</v>
      </c>
      <c r="O5143" s="235" t="s">
        <v>889</v>
      </c>
      <c r="P5143" s="238">
        <v>1.0</v>
      </c>
      <c r="Q5143" s="235" t="s">
        <v>627</v>
      </c>
      <c r="R5143" s="238">
        <v>243.8</v>
      </c>
      <c r="S5143" s="238">
        <v>12.2</v>
      </c>
      <c r="T5143" s="238">
        <v>18.1</v>
      </c>
      <c r="U5143" s="238">
        <v>0.9</v>
      </c>
      <c r="V5143" s="238">
        <v>0.0</v>
      </c>
      <c r="W5143" s="238">
        <v>0.0</v>
      </c>
      <c r="X5143" s="235" t="s">
        <v>628</v>
      </c>
      <c r="Z5143" s="245"/>
      <c r="AA5143" s="245"/>
      <c r="AB5143" s="245"/>
      <c r="AC5143" s="235" t="s">
        <v>37890</v>
      </c>
      <c r="AD5143" s="235" t="s">
        <v>928</v>
      </c>
      <c r="AE5143" s="238">
        <v>122002.0</v>
      </c>
      <c r="AF5143" s="235" t="s">
        <v>631</v>
      </c>
      <c r="AG5143" s="245"/>
      <c r="AH5143" s="245"/>
      <c r="AI5143" s="245"/>
      <c r="AJ5143" s="245"/>
      <c r="AK5143" s="245"/>
      <c r="AL5143" s="245"/>
      <c r="AM5143" s="245"/>
      <c r="AN5143" s="245"/>
      <c r="AO5143" s="238">
        <v>0.0</v>
      </c>
      <c r="AP5143" s="238">
        <v>-18.1</v>
      </c>
      <c r="AQ5143" s="235" t="s">
        <v>632</v>
      </c>
      <c r="AR5143" s="243">
        <v>1.68E11</v>
      </c>
      <c r="AS5143" s="235" t="s">
        <v>37288</v>
      </c>
      <c r="AT5143" s="235" t="s">
        <v>533</v>
      </c>
      <c r="AU5143" s="235" t="s">
        <v>634</v>
      </c>
      <c r="AV5143" s="246" t="s">
        <v>635</v>
      </c>
      <c r="AW5143" s="227"/>
      <c r="AX5143" s="227"/>
      <c r="AY5143" s="227"/>
      <c r="AZ5143" s="227"/>
      <c r="BA5143" s="227"/>
      <c r="BB5143" s="227"/>
      <c r="BC5143" s="227"/>
      <c r="BD5143" s="227"/>
      <c r="BE5143" s="227"/>
      <c r="BF5143" s="227"/>
    </row>
    <row r="5144">
      <c r="A5144" s="235" t="s">
        <v>37891</v>
      </c>
      <c r="C5144" s="235" t="s">
        <v>37892</v>
      </c>
      <c r="D5144" s="235" t="s">
        <v>37893</v>
      </c>
      <c r="E5144" s="243">
        <v>6.48E13</v>
      </c>
      <c r="F5144" s="245"/>
      <c r="G5144" s="235" t="s">
        <v>37894</v>
      </c>
      <c r="H5144" s="235" t="s">
        <v>37895</v>
      </c>
      <c r="I5144" s="235" t="s">
        <v>37895</v>
      </c>
      <c r="J5144" s="235" t="s">
        <v>37896</v>
      </c>
      <c r="K5144" s="235" t="s">
        <v>37897</v>
      </c>
      <c r="N5144" s="235" t="s">
        <v>141</v>
      </c>
      <c r="O5144" s="235" t="s">
        <v>342</v>
      </c>
      <c r="P5144" s="238">
        <v>1.0</v>
      </c>
      <c r="Q5144" s="235" t="s">
        <v>627</v>
      </c>
      <c r="R5144" s="238">
        <v>244.76</v>
      </c>
      <c r="S5144" s="238">
        <v>12.0</v>
      </c>
      <c r="T5144" s="238">
        <v>0.0</v>
      </c>
      <c r="U5144" s="238">
        <v>0.0</v>
      </c>
      <c r="V5144" s="238">
        <v>0.0</v>
      </c>
      <c r="W5144" s="238">
        <v>0.0</v>
      </c>
      <c r="X5144" s="235" t="s">
        <v>628</v>
      </c>
      <c r="Z5144" s="245"/>
      <c r="AA5144" s="245"/>
      <c r="AB5144" s="245"/>
      <c r="AC5144" s="235" t="s">
        <v>1604</v>
      </c>
      <c r="AD5144" s="235" t="s">
        <v>845</v>
      </c>
      <c r="AE5144" s="238">
        <v>400043.0</v>
      </c>
      <c r="AF5144" s="235" t="s">
        <v>631</v>
      </c>
      <c r="AG5144" s="245"/>
      <c r="AH5144" s="245"/>
      <c r="AI5144" s="245"/>
      <c r="AJ5144" s="245"/>
      <c r="AK5144" s="245"/>
      <c r="AL5144" s="245"/>
      <c r="AM5144" s="245"/>
      <c r="AN5144" s="245"/>
      <c r="AO5144" s="238">
        <v>-4.9</v>
      </c>
      <c r="AP5144" s="238">
        <v>0.0</v>
      </c>
      <c r="AQ5144" s="235" t="s">
        <v>632</v>
      </c>
      <c r="AR5144" s="243">
        <v>3.7E11</v>
      </c>
      <c r="AS5144" s="235" t="s">
        <v>36667</v>
      </c>
      <c r="AT5144" s="235" t="s">
        <v>16</v>
      </c>
      <c r="AU5144" s="235" t="s">
        <v>634</v>
      </c>
      <c r="AV5144" s="246" t="s">
        <v>635</v>
      </c>
      <c r="AW5144" s="227"/>
      <c r="AX5144" s="227"/>
      <c r="AY5144" s="227"/>
      <c r="AZ5144" s="227"/>
      <c r="BA5144" s="227"/>
      <c r="BB5144" s="227"/>
      <c r="BC5144" s="227"/>
      <c r="BD5144" s="227"/>
      <c r="BE5144" s="227"/>
      <c r="BF5144" s="227"/>
    </row>
    <row r="5145">
      <c r="A5145" s="235" t="s">
        <v>37898</v>
      </c>
      <c r="C5145" s="235" t="s">
        <v>37899</v>
      </c>
      <c r="D5145" s="235" t="s">
        <v>37900</v>
      </c>
      <c r="E5145" s="243">
        <v>6.49E13</v>
      </c>
      <c r="F5145" s="245"/>
      <c r="G5145" s="235" t="s">
        <v>37901</v>
      </c>
      <c r="H5145" s="235" t="s">
        <v>37902</v>
      </c>
      <c r="I5145" s="235" t="s">
        <v>37903</v>
      </c>
      <c r="J5145" s="235" t="s">
        <v>37904</v>
      </c>
      <c r="K5145" s="235" t="s">
        <v>37905</v>
      </c>
      <c r="N5145" s="235" t="s">
        <v>127</v>
      </c>
      <c r="O5145" s="235" t="s">
        <v>794</v>
      </c>
      <c r="P5145" s="238">
        <v>1.0</v>
      </c>
      <c r="Q5145" s="235" t="s">
        <v>627</v>
      </c>
      <c r="R5145" s="238">
        <v>243.81</v>
      </c>
      <c r="S5145" s="238">
        <v>11.95</v>
      </c>
      <c r="T5145" s="238">
        <v>0.0</v>
      </c>
      <c r="U5145" s="238">
        <v>0.0</v>
      </c>
      <c r="V5145" s="238">
        <v>0.0</v>
      </c>
      <c r="W5145" s="238">
        <v>0.0</v>
      </c>
      <c r="X5145" s="235" t="s">
        <v>628</v>
      </c>
      <c r="Z5145" s="245"/>
      <c r="AA5145" s="245"/>
      <c r="AB5145" s="245"/>
      <c r="AC5145" s="235" t="s">
        <v>697</v>
      </c>
      <c r="AD5145" s="235" t="s">
        <v>698</v>
      </c>
      <c r="AE5145" s="238">
        <v>500032.0</v>
      </c>
      <c r="AF5145" s="235" t="s">
        <v>631</v>
      </c>
      <c r="AG5145" s="245"/>
      <c r="AH5145" s="245"/>
      <c r="AI5145" s="245"/>
      <c r="AJ5145" s="245"/>
      <c r="AK5145" s="245"/>
      <c r="AL5145" s="245"/>
      <c r="AM5145" s="245"/>
      <c r="AN5145" s="245"/>
      <c r="AO5145" s="238">
        <v>-4.88</v>
      </c>
      <c r="AP5145" s="238">
        <v>0.0</v>
      </c>
      <c r="AQ5145" s="235" t="s">
        <v>632</v>
      </c>
      <c r="AR5145" s="243">
        <v>2.02E11</v>
      </c>
      <c r="AS5145" s="235" t="s">
        <v>36667</v>
      </c>
      <c r="AT5145" s="235" t="s">
        <v>9</v>
      </c>
      <c r="AU5145" s="235" t="s">
        <v>634</v>
      </c>
      <c r="AV5145" s="246" t="s">
        <v>635</v>
      </c>
      <c r="AW5145" s="227"/>
      <c r="AX5145" s="227"/>
      <c r="AY5145" s="227"/>
      <c r="AZ5145" s="227"/>
      <c r="BA5145" s="227"/>
      <c r="BB5145" s="227"/>
      <c r="BC5145" s="227"/>
      <c r="BD5145" s="227"/>
      <c r="BE5145" s="227"/>
      <c r="BF5145" s="227"/>
    </row>
    <row r="5146">
      <c r="A5146" s="235" t="s">
        <v>37906</v>
      </c>
      <c r="C5146" s="235" t="s">
        <v>37907</v>
      </c>
      <c r="D5146" s="235" t="s">
        <v>37908</v>
      </c>
      <c r="E5146" s="243">
        <v>6.49E13</v>
      </c>
      <c r="F5146" s="245"/>
      <c r="G5146" s="235" t="s">
        <v>37909</v>
      </c>
      <c r="H5146" s="235" t="s">
        <v>37910</v>
      </c>
      <c r="I5146" s="235" t="s">
        <v>37911</v>
      </c>
      <c r="J5146" s="235" t="s">
        <v>37912</v>
      </c>
      <c r="K5146" s="235" t="s">
        <v>37913</v>
      </c>
      <c r="N5146" s="235" t="s">
        <v>962</v>
      </c>
      <c r="O5146" s="235" t="s">
        <v>963</v>
      </c>
      <c r="P5146" s="238">
        <v>1.0</v>
      </c>
      <c r="Q5146" s="235" t="s">
        <v>627</v>
      </c>
      <c r="R5146" s="238">
        <v>245.72</v>
      </c>
      <c r="S5146" s="238">
        <v>12.28</v>
      </c>
      <c r="T5146" s="238">
        <v>0.0</v>
      </c>
      <c r="U5146" s="238">
        <v>0.0</v>
      </c>
      <c r="V5146" s="238">
        <v>0.0</v>
      </c>
      <c r="W5146" s="238">
        <v>0.0</v>
      </c>
      <c r="X5146" s="235" t="s">
        <v>628</v>
      </c>
      <c r="Z5146" s="245"/>
      <c r="AA5146" s="245"/>
      <c r="AB5146" s="245"/>
      <c r="AC5146" s="235" t="s">
        <v>8737</v>
      </c>
      <c r="AD5146" s="235" t="s">
        <v>666</v>
      </c>
      <c r="AE5146" s="238">
        <v>632007.0</v>
      </c>
      <c r="AF5146" s="235" t="s">
        <v>631</v>
      </c>
      <c r="AG5146" s="245"/>
      <c r="AH5146" s="245"/>
      <c r="AI5146" s="245"/>
      <c r="AJ5146" s="245"/>
      <c r="AK5146" s="245"/>
      <c r="AL5146" s="245"/>
      <c r="AM5146" s="245"/>
      <c r="AN5146" s="245"/>
      <c r="AO5146" s="238">
        <v>0.0</v>
      </c>
      <c r="AP5146" s="238">
        <v>0.0</v>
      </c>
      <c r="AQ5146" s="235" t="s">
        <v>632</v>
      </c>
      <c r="AR5146" s="243">
        <v>3.7E11</v>
      </c>
      <c r="AS5146" s="235" t="s">
        <v>36667</v>
      </c>
      <c r="AT5146" s="235" t="s">
        <v>156</v>
      </c>
      <c r="AU5146" s="235" t="s">
        <v>634</v>
      </c>
      <c r="AV5146" s="246" t="s">
        <v>635</v>
      </c>
      <c r="AW5146" s="227"/>
      <c r="AX5146" s="227"/>
      <c r="AY5146" s="227"/>
      <c r="AZ5146" s="227"/>
      <c r="BA5146" s="227"/>
      <c r="BB5146" s="227"/>
      <c r="BC5146" s="227"/>
      <c r="BD5146" s="227"/>
      <c r="BE5146" s="227"/>
      <c r="BF5146" s="227"/>
    </row>
    <row r="5147">
      <c r="A5147" s="235" t="s">
        <v>37914</v>
      </c>
      <c r="C5147" s="235" t="s">
        <v>37915</v>
      </c>
      <c r="D5147" s="235" t="s">
        <v>37916</v>
      </c>
      <c r="E5147" s="243">
        <v>6.49E13</v>
      </c>
      <c r="F5147" s="245"/>
      <c r="G5147" s="235" t="s">
        <v>37917</v>
      </c>
      <c r="H5147" s="235" t="s">
        <v>37918</v>
      </c>
      <c r="I5147" s="235" t="s">
        <v>37918</v>
      </c>
      <c r="J5147" s="235" t="s">
        <v>37919</v>
      </c>
      <c r="K5147" s="235" t="s">
        <v>37920</v>
      </c>
      <c r="N5147" s="235" t="s">
        <v>138</v>
      </c>
      <c r="O5147" s="235" t="s">
        <v>675</v>
      </c>
      <c r="P5147" s="238">
        <v>1.0</v>
      </c>
      <c r="Q5147" s="235" t="s">
        <v>627</v>
      </c>
      <c r="R5147" s="238">
        <v>244.76</v>
      </c>
      <c r="S5147" s="238">
        <v>12.24</v>
      </c>
      <c r="T5147" s="238">
        <v>38.1</v>
      </c>
      <c r="U5147" s="238">
        <v>1.9</v>
      </c>
      <c r="V5147" s="238">
        <v>0.0</v>
      </c>
      <c r="W5147" s="238">
        <v>0.0</v>
      </c>
      <c r="X5147" s="235" t="s">
        <v>628</v>
      </c>
      <c r="Z5147" s="245"/>
      <c r="AA5147" s="245"/>
      <c r="AB5147" s="245"/>
      <c r="AC5147" s="235" t="s">
        <v>37921</v>
      </c>
      <c r="AD5147" s="235" t="s">
        <v>854</v>
      </c>
      <c r="AE5147" s="238">
        <v>403503.0</v>
      </c>
      <c r="AF5147" s="235" t="s">
        <v>631</v>
      </c>
      <c r="AG5147" s="245"/>
      <c r="AH5147" s="245"/>
      <c r="AI5147" s="245"/>
      <c r="AJ5147" s="245"/>
      <c r="AK5147" s="245"/>
      <c r="AL5147" s="245"/>
      <c r="AM5147" s="245"/>
      <c r="AN5147" s="245"/>
      <c r="AO5147" s="238">
        <v>0.0</v>
      </c>
      <c r="AP5147" s="238">
        <v>-38.1</v>
      </c>
      <c r="AQ5147" s="235" t="s">
        <v>632</v>
      </c>
      <c r="AR5147" s="243">
        <v>3.7E11</v>
      </c>
      <c r="AS5147" s="235" t="s">
        <v>35520</v>
      </c>
      <c r="AT5147" s="235" t="s">
        <v>11</v>
      </c>
      <c r="AU5147" s="235" t="s">
        <v>634</v>
      </c>
      <c r="AV5147" s="246" t="s">
        <v>635</v>
      </c>
      <c r="AW5147" s="227"/>
      <c r="AX5147" s="227"/>
      <c r="AY5147" s="227"/>
      <c r="AZ5147" s="227"/>
      <c r="BA5147" s="227"/>
      <c r="BB5147" s="227"/>
      <c r="BC5147" s="227"/>
      <c r="BD5147" s="227"/>
      <c r="BE5147" s="227"/>
      <c r="BF5147" s="227"/>
    </row>
    <row r="5148">
      <c r="A5148" s="235" t="s">
        <v>37922</v>
      </c>
      <c r="C5148" s="235" t="s">
        <v>37923</v>
      </c>
      <c r="D5148" s="235" t="s">
        <v>37924</v>
      </c>
      <c r="E5148" s="243">
        <v>6.49E13</v>
      </c>
      <c r="F5148" s="245"/>
      <c r="G5148" s="235" t="s">
        <v>37925</v>
      </c>
      <c r="H5148" s="235" t="s">
        <v>37926</v>
      </c>
      <c r="I5148" s="235" t="s">
        <v>37926</v>
      </c>
      <c r="J5148" s="235" t="s">
        <v>37927</v>
      </c>
      <c r="K5148" s="235" t="s">
        <v>37928</v>
      </c>
      <c r="N5148" s="235" t="s">
        <v>42</v>
      </c>
      <c r="O5148" s="235" t="s">
        <v>204</v>
      </c>
      <c r="P5148" s="238">
        <v>1.0</v>
      </c>
      <c r="Q5148" s="235" t="s">
        <v>627</v>
      </c>
      <c r="R5148" s="238">
        <v>237.14</v>
      </c>
      <c r="S5148" s="238">
        <v>11.86</v>
      </c>
      <c r="T5148" s="238">
        <v>0.0</v>
      </c>
      <c r="U5148" s="238">
        <v>0.0</v>
      </c>
      <c r="V5148" s="238">
        <v>0.0</v>
      </c>
      <c r="W5148" s="238">
        <v>0.0</v>
      </c>
      <c r="X5148" s="235" t="s">
        <v>628</v>
      </c>
      <c r="Z5148" s="245"/>
      <c r="AA5148" s="245"/>
      <c r="AB5148" s="245"/>
      <c r="AC5148" s="235" t="s">
        <v>814</v>
      </c>
      <c r="AD5148" s="235" t="s">
        <v>698</v>
      </c>
      <c r="AE5148" s="238">
        <v>500029.0</v>
      </c>
      <c r="AF5148" s="235" t="s">
        <v>631</v>
      </c>
      <c r="AG5148" s="245"/>
      <c r="AH5148" s="245"/>
      <c r="AI5148" s="245"/>
      <c r="AJ5148" s="245"/>
      <c r="AK5148" s="245"/>
      <c r="AL5148" s="245"/>
      <c r="AM5148" s="245"/>
      <c r="AN5148" s="245"/>
      <c r="AO5148" s="238">
        <v>0.0</v>
      </c>
      <c r="AP5148" s="238">
        <v>0.0</v>
      </c>
      <c r="AQ5148" s="235" t="s">
        <v>632</v>
      </c>
      <c r="AR5148" s="243">
        <v>2.02E11</v>
      </c>
      <c r="AS5148" s="235" t="s">
        <v>36667</v>
      </c>
      <c r="AT5148" s="235" t="s">
        <v>16</v>
      </c>
      <c r="AU5148" s="235" t="s">
        <v>634</v>
      </c>
      <c r="AV5148" s="246" t="s">
        <v>635</v>
      </c>
      <c r="AW5148" s="227"/>
      <c r="AX5148" s="227"/>
      <c r="AY5148" s="227"/>
      <c r="AZ5148" s="227"/>
      <c r="BA5148" s="227"/>
      <c r="BB5148" s="227"/>
      <c r="BC5148" s="227"/>
      <c r="BD5148" s="227"/>
      <c r="BE5148" s="227"/>
      <c r="BF5148" s="227"/>
    </row>
    <row r="5149">
      <c r="A5149" s="235" t="s">
        <v>37929</v>
      </c>
      <c r="C5149" s="235" t="s">
        <v>37930</v>
      </c>
      <c r="D5149" s="235" t="s">
        <v>37931</v>
      </c>
      <c r="E5149" s="243">
        <v>6.49E13</v>
      </c>
      <c r="F5149" s="245"/>
      <c r="G5149" s="235" t="s">
        <v>37932</v>
      </c>
      <c r="H5149" s="235" t="s">
        <v>37933</v>
      </c>
      <c r="I5149" s="235" t="s">
        <v>37933</v>
      </c>
      <c r="J5149" s="235" t="s">
        <v>37934</v>
      </c>
      <c r="K5149" s="235" t="s">
        <v>37935</v>
      </c>
      <c r="N5149" s="235" t="s">
        <v>147</v>
      </c>
      <c r="O5149" s="235" t="s">
        <v>1068</v>
      </c>
      <c r="P5149" s="238">
        <v>1.0</v>
      </c>
      <c r="Q5149" s="235" t="s">
        <v>627</v>
      </c>
      <c r="R5149" s="238">
        <v>332.38</v>
      </c>
      <c r="S5149" s="238">
        <v>16.62</v>
      </c>
      <c r="T5149" s="238">
        <v>0.0</v>
      </c>
      <c r="U5149" s="238">
        <v>0.0</v>
      </c>
      <c r="V5149" s="238">
        <v>0.0</v>
      </c>
      <c r="W5149" s="238">
        <v>0.0</v>
      </c>
      <c r="X5149" s="235" t="s">
        <v>628</v>
      </c>
      <c r="Z5149" s="245"/>
      <c r="AA5149" s="245"/>
      <c r="AB5149" s="245"/>
      <c r="AC5149" s="235" t="s">
        <v>37936</v>
      </c>
      <c r="AD5149" s="235" t="s">
        <v>698</v>
      </c>
      <c r="AE5149" s="238">
        <v>508243.0</v>
      </c>
      <c r="AF5149" s="235" t="s">
        <v>631</v>
      </c>
      <c r="AG5149" s="245"/>
      <c r="AH5149" s="245"/>
      <c r="AI5149" s="245"/>
      <c r="AJ5149" s="245"/>
      <c r="AK5149" s="245"/>
      <c r="AL5149" s="245"/>
      <c r="AM5149" s="245"/>
      <c r="AN5149" s="245"/>
      <c r="AO5149" s="238">
        <v>0.0</v>
      </c>
      <c r="AP5149" s="238">
        <v>0.0</v>
      </c>
      <c r="AQ5149" s="235" t="s">
        <v>632</v>
      </c>
      <c r="AR5149" s="243">
        <v>3.7E11</v>
      </c>
      <c r="AS5149" s="235" t="s">
        <v>34510</v>
      </c>
      <c r="AT5149" s="235" t="s">
        <v>156</v>
      </c>
      <c r="AU5149" s="235" t="s">
        <v>634</v>
      </c>
      <c r="AV5149" s="246" t="s">
        <v>635</v>
      </c>
      <c r="AW5149" s="227"/>
      <c r="AX5149" s="227"/>
      <c r="AY5149" s="227"/>
      <c r="AZ5149" s="227"/>
      <c r="BA5149" s="227"/>
      <c r="BB5149" s="227"/>
      <c r="BC5149" s="227"/>
      <c r="BD5149" s="227"/>
      <c r="BE5149" s="227"/>
      <c r="BF5149" s="227"/>
    </row>
    <row r="5150">
      <c r="A5150" s="235" t="s">
        <v>37937</v>
      </c>
      <c r="C5150" s="235" t="s">
        <v>37938</v>
      </c>
      <c r="D5150" s="235" t="s">
        <v>37939</v>
      </c>
      <c r="E5150" s="243">
        <v>6.48E13</v>
      </c>
      <c r="F5150" s="245"/>
      <c r="G5150" s="235" t="s">
        <v>37940</v>
      </c>
      <c r="H5150" s="235" t="s">
        <v>37941</v>
      </c>
      <c r="I5150" s="235" t="s">
        <v>37942</v>
      </c>
      <c r="J5150" s="235" t="s">
        <v>37943</v>
      </c>
      <c r="K5150" s="235" t="s">
        <v>37944</v>
      </c>
      <c r="N5150" s="235" t="s">
        <v>104</v>
      </c>
      <c r="O5150" s="235" t="s">
        <v>401</v>
      </c>
      <c r="P5150" s="238">
        <v>1.0</v>
      </c>
      <c r="Q5150" s="235" t="s">
        <v>627</v>
      </c>
      <c r="R5150" s="238">
        <v>246.67</v>
      </c>
      <c r="S5150" s="238">
        <v>12.08</v>
      </c>
      <c r="T5150" s="238">
        <v>38.1</v>
      </c>
      <c r="U5150" s="238">
        <v>1.9</v>
      </c>
      <c r="V5150" s="238">
        <v>0.0</v>
      </c>
      <c r="W5150" s="238">
        <v>0.0</v>
      </c>
      <c r="X5150" s="235" t="s">
        <v>628</v>
      </c>
      <c r="Z5150" s="245"/>
      <c r="AA5150" s="245"/>
      <c r="AB5150" s="245"/>
      <c r="AC5150" s="235" t="s">
        <v>37945</v>
      </c>
      <c r="AD5150" s="235" t="s">
        <v>1086</v>
      </c>
      <c r="AE5150" s="238">
        <v>147101.0</v>
      </c>
      <c r="AF5150" s="235" t="s">
        <v>631</v>
      </c>
      <c r="AG5150" s="245"/>
      <c r="AH5150" s="245"/>
      <c r="AI5150" s="245"/>
      <c r="AJ5150" s="245"/>
      <c r="AK5150" s="245"/>
      <c r="AL5150" s="245"/>
      <c r="AM5150" s="245"/>
      <c r="AN5150" s="245"/>
      <c r="AO5150" s="238">
        <v>-4.93</v>
      </c>
      <c r="AP5150" s="238">
        <v>-38.1</v>
      </c>
      <c r="AQ5150" s="235" t="s">
        <v>632</v>
      </c>
      <c r="AR5150" s="243">
        <v>3.7E11</v>
      </c>
      <c r="AS5150" s="235" t="s">
        <v>33466</v>
      </c>
      <c r="AT5150" s="235" t="s">
        <v>16</v>
      </c>
      <c r="AU5150" s="235" t="s">
        <v>634</v>
      </c>
      <c r="AV5150" s="246" t="s">
        <v>635</v>
      </c>
      <c r="AW5150" s="227"/>
      <c r="AX5150" s="227"/>
      <c r="AY5150" s="227"/>
      <c r="AZ5150" s="227"/>
      <c r="BA5150" s="227"/>
      <c r="BB5150" s="227"/>
      <c r="BC5150" s="227"/>
      <c r="BD5150" s="227"/>
      <c r="BE5150" s="227"/>
      <c r="BF5150" s="227"/>
    </row>
    <row r="5151">
      <c r="A5151" s="235" t="s">
        <v>37946</v>
      </c>
      <c r="C5151" s="235" t="s">
        <v>37947</v>
      </c>
      <c r="D5151" s="235" t="s">
        <v>37948</v>
      </c>
      <c r="E5151" s="243">
        <v>6.49E13</v>
      </c>
      <c r="F5151" s="245"/>
      <c r="G5151" s="235" t="s">
        <v>37949</v>
      </c>
      <c r="H5151" s="235" t="s">
        <v>37950</v>
      </c>
      <c r="I5151" s="235" t="s">
        <v>37950</v>
      </c>
      <c r="J5151" s="235" t="s">
        <v>37951</v>
      </c>
      <c r="K5151" s="235" t="s">
        <v>37952</v>
      </c>
      <c r="N5151" s="235" t="s">
        <v>1346</v>
      </c>
      <c r="O5151" s="235" t="s">
        <v>1347</v>
      </c>
      <c r="P5151" s="238">
        <v>1.0</v>
      </c>
      <c r="Q5151" s="235" t="s">
        <v>627</v>
      </c>
      <c r="R5151" s="238">
        <v>256.19</v>
      </c>
      <c r="S5151" s="238">
        <v>12.55</v>
      </c>
      <c r="T5151" s="238">
        <v>0.0</v>
      </c>
      <c r="U5151" s="238">
        <v>0.0</v>
      </c>
      <c r="V5151" s="238">
        <v>0.0</v>
      </c>
      <c r="W5151" s="238">
        <v>0.0</v>
      </c>
      <c r="X5151" s="235" t="s">
        <v>628</v>
      </c>
      <c r="Z5151" s="245"/>
      <c r="AA5151" s="245"/>
      <c r="AB5151" s="245"/>
      <c r="AC5151" s="235" t="s">
        <v>37953</v>
      </c>
      <c r="AD5151" s="235" t="s">
        <v>796</v>
      </c>
      <c r="AE5151" s="238">
        <v>110021.0</v>
      </c>
      <c r="AF5151" s="235" t="s">
        <v>631</v>
      </c>
      <c r="AG5151" s="245"/>
      <c r="AH5151" s="245"/>
      <c r="AI5151" s="245"/>
      <c r="AJ5151" s="245"/>
      <c r="AK5151" s="245"/>
      <c r="AL5151" s="245"/>
      <c r="AM5151" s="245"/>
      <c r="AN5151" s="245"/>
      <c r="AO5151" s="238">
        <v>-5.12</v>
      </c>
      <c r="AP5151" s="238">
        <v>0.0</v>
      </c>
      <c r="AQ5151" s="235" t="s">
        <v>632</v>
      </c>
      <c r="AR5151" s="243">
        <v>3.7E11</v>
      </c>
      <c r="AS5151" s="235" t="s">
        <v>36667</v>
      </c>
      <c r="AT5151" s="235" t="s">
        <v>14</v>
      </c>
      <c r="AU5151" s="235" t="s">
        <v>634</v>
      </c>
      <c r="AV5151" s="246" t="s">
        <v>635</v>
      </c>
      <c r="AW5151" s="227"/>
      <c r="AX5151" s="227"/>
      <c r="AY5151" s="227"/>
      <c r="AZ5151" s="227"/>
      <c r="BA5151" s="227"/>
      <c r="BB5151" s="227"/>
      <c r="BC5151" s="227"/>
      <c r="BD5151" s="227"/>
      <c r="BE5151" s="227"/>
      <c r="BF5151" s="227"/>
    </row>
    <row r="5152">
      <c r="A5152" s="235" t="s">
        <v>37954</v>
      </c>
      <c r="C5152" s="235" t="s">
        <v>37955</v>
      </c>
      <c r="D5152" s="235" t="s">
        <v>37956</v>
      </c>
      <c r="E5152" s="243">
        <v>6.49E13</v>
      </c>
      <c r="F5152" s="245"/>
      <c r="G5152" s="235" t="s">
        <v>37957</v>
      </c>
      <c r="H5152" s="235" t="s">
        <v>37958</v>
      </c>
      <c r="I5152" s="235" t="s">
        <v>37959</v>
      </c>
      <c r="J5152" s="235" t="s">
        <v>37960</v>
      </c>
      <c r="K5152" s="235" t="s">
        <v>37961</v>
      </c>
      <c r="N5152" s="235" t="s">
        <v>127</v>
      </c>
      <c r="O5152" s="235" t="s">
        <v>794</v>
      </c>
      <c r="P5152" s="238">
        <v>1.0</v>
      </c>
      <c r="Q5152" s="235" t="s">
        <v>627</v>
      </c>
      <c r="R5152" s="238">
        <v>243.8</v>
      </c>
      <c r="S5152" s="238">
        <v>12.2</v>
      </c>
      <c r="T5152" s="238">
        <v>0.0</v>
      </c>
      <c r="U5152" s="238">
        <v>0.0</v>
      </c>
      <c r="V5152" s="238">
        <v>0.0</v>
      </c>
      <c r="W5152" s="238">
        <v>0.0</v>
      </c>
      <c r="X5152" s="235" t="s">
        <v>628</v>
      </c>
      <c r="Z5152" s="245"/>
      <c r="AA5152" s="245"/>
      <c r="AB5152" s="245"/>
      <c r="AC5152" s="235" t="s">
        <v>5923</v>
      </c>
      <c r="AD5152" s="235" t="s">
        <v>666</v>
      </c>
      <c r="AE5152" s="238">
        <v>620019.0</v>
      </c>
      <c r="AF5152" s="235" t="s">
        <v>631</v>
      </c>
      <c r="AG5152" s="245"/>
      <c r="AH5152" s="245"/>
      <c r="AI5152" s="245"/>
      <c r="AJ5152" s="245"/>
      <c r="AK5152" s="245"/>
      <c r="AL5152" s="245"/>
      <c r="AM5152" s="245"/>
      <c r="AN5152" s="245"/>
      <c r="AO5152" s="238">
        <v>0.0</v>
      </c>
      <c r="AP5152" s="238">
        <v>0.0</v>
      </c>
      <c r="AQ5152" s="235" t="s">
        <v>632</v>
      </c>
      <c r="AR5152" s="243">
        <v>3.7E11</v>
      </c>
      <c r="AS5152" s="235" t="s">
        <v>36667</v>
      </c>
      <c r="AT5152" s="235" t="s">
        <v>155</v>
      </c>
      <c r="AU5152" s="235" t="s">
        <v>634</v>
      </c>
      <c r="AV5152" s="246" t="s">
        <v>635</v>
      </c>
      <c r="AW5152" s="227"/>
      <c r="AX5152" s="227"/>
      <c r="AY5152" s="227"/>
      <c r="AZ5152" s="227"/>
      <c r="BA5152" s="227"/>
      <c r="BB5152" s="227"/>
      <c r="BC5152" s="227"/>
      <c r="BD5152" s="227"/>
      <c r="BE5152" s="227"/>
      <c r="BF5152" s="227"/>
    </row>
    <row r="5153">
      <c r="A5153" s="235" t="s">
        <v>37962</v>
      </c>
      <c r="C5153" s="235" t="s">
        <v>37963</v>
      </c>
      <c r="D5153" s="235" t="s">
        <v>37964</v>
      </c>
      <c r="E5153" s="243">
        <v>6.49E13</v>
      </c>
      <c r="F5153" s="245"/>
      <c r="G5153" s="235" t="s">
        <v>37965</v>
      </c>
      <c r="H5153" s="235" t="s">
        <v>37966</v>
      </c>
      <c r="I5153" s="235" t="s">
        <v>37966</v>
      </c>
      <c r="J5153" s="235" t="s">
        <v>37967</v>
      </c>
      <c r="K5153" s="235" t="s">
        <v>37968</v>
      </c>
      <c r="N5153" s="235" t="s">
        <v>139</v>
      </c>
      <c r="O5153" s="235" t="s">
        <v>2091</v>
      </c>
      <c r="P5153" s="238">
        <v>1.0</v>
      </c>
      <c r="Q5153" s="235" t="s">
        <v>627</v>
      </c>
      <c r="R5153" s="238">
        <v>244.76</v>
      </c>
      <c r="S5153" s="238">
        <v>12.24</v>
      </c>
      <c r="T5153" s="238">
        <v>0.0</v>
      </c>
      <c r="U5153" s="238">
        <v>0.0</v>
      </c>
      <c r="V5153" s="238">
        <v>0.0</v>
      </c>
      <c r="W5153" s="238">
        <v>0.0</v>
      </c>
      <c r="X5153" s="235" t="s">
        <v>628</v>
      </c>
      <c r="Z5153" s="245"/>
      <c r="AA5153" s="245"/>
      <c r="AB5153" s="245"/>
      <c r="AC5153" s="235" t="s">
        <v>2057</v>
      </c>
      <c r="AD5153" s="235" t="s">
        <v>698</v>
      </c>
      <c r="AE5153" s="238">
        <v>500026.0</v>
      </c>
      <c r="AF5153" s="235" t="s">
        <v>631</v>
      </c>
      <c r="AG5153" s="245"/>
      <c r="AH5153" s="245"/>
      <c r="AI5153" s="245"/>
      <c r="AJ5153" s="245"/>
      <c r="AK5153" s="245"/>
      <c r="AL5153" s="245"/>
      <c r="AM5153" s="245"/>
      <c r="AN5153" s="245"/>
      <c r="AO5153" s="238">
        <v>0.0</v>
      </c>
      <c r="AP5153" s="238">
        <v>0.0</v>
      </c>
      <c r="AQ5153" s="235" t="s">
        <v>632</v>
      </c>
      <c r="AR5153" s="243">
        <v>3.7E11</v>
      </c>
      <c r="AS5153" s="235" t="s">
        <v>35520</v>
      </c>
      <c r="AT5153" s="235" t="s">
        <v>11</v>
      </c>
      <c r="AU5153" s="235" t="s">
        <v>634</v>
      </c>
      <c r="AV5153" s="246" t="s">
        <v>635</v>
      </c>
      <c r="AW5153" s="227"/>
      <c r="AX5153" s="227"/>
      <c r="AY5153" s="227"/>
      <c r="AZ5153" s="227"/>
      <c r="BA5153" s="227"/>
      <c r="BB5153" s="227"/>
      <c r="BC5153" s="227"/>
      <c r="BD5153" s="227"/>
      <c r="BE5153" s="227"/>
      <c r="BF5153" s="227"/>
    </row>
    <row r="5154">
      <c r="A5154" s="235" t="s">
        <v>37969</v>
      </c>
      <c r="C5154" s="235" t="s">
        <v>37970</v>
      </c>
      <c r="D5154" s="235" t="s">
        <v>37971</v>
      </c>
      <c r="E5154" s="243">
        <v>6.49E13</v>
      </c>
      <c r="F5154" s="245"/>
      <c r="G5154" s="235" t="s">
        <v>37972</v>
      </c>
      <c r="H5154" s="235" t="s">
        <v>37973</v>
      </c>
      <c r="I5154" s="235" t="s">
        <v>37973</v>
      </c>
      <c r="J5154" s="235" t="s">
        <v>37974</v>
      </c>
      <c r="K5154" s="235" t="s">
        <v>37975</v>
      </c>
      <c r="N5154" s="235" t="s">
        <v>962</v>
      </c>
      <c r="O5154" s="235" t="s">
        <v>963</v>
      </c>
      <c r="P5154" s="238">
        <v>1.0</v>
      </c>
      <c r="Q5154" s="235" t="s">
        <v>627</v>
      </c>
      <c r="R5154" s="238">
        <v>245.71</v>
      </c>
      <c r="S5154" s="238">
        <v>12.29</v>
      </c>
      <c r="T5154" s="238">
        <v>38.1</v>
      </c>
      <c r="U5154" s="238">
        <v>1.9</v>
      </c>
      <c r="V5154" s="238">
        <v>0.0</v>
      </c>
      <c r="W5154" s="238">
        <v>0.0</v>
      </c>
      <c r="X5154" s="235" t="s">
        <v>628</v>
      </c>
      <c r="Z5154" s="245"/>
      <c r="AA5154" s="245"/>
      <c r="AB5154" s="245"/>
      <c r="AC5154" s="235" t="s">
        <v>6436</v>
      </c>
      <c r="AD5154" s="235" t="s">
        <v>1499</v>
      </c>
      <c r="AE5154" s="238">
        <v>452012.0</v>
      </c>
      <c r="AF5154" s="235" t="s">
        <v>631</v>
      </c>
      <c r="AG5154" s="245"/>
      <c r="AH5154" s="245"/>
      <c r="AI5154" s="245"/>
      <c r="AJ5154" s="245"/>
      <c r="AK5154" s="245"/>
      <c r="AL5154" s="245"/>
      <c r="AM5154" s="245"/>
      <c r="AN5154" s="245"/>
      <c r="AO5154" s="238">
        <v>0.0</v>
      </c>
      <c r="AP5154" s="238">
        <v>-38.1</v>
      </c>
      <c r="AQ5154" s="235" t="s">
        <v>632</v>
      </c>
      <c r="AR5154" s="243">
        <v>3.7E11</v>
      </c>
      <c r="AS5154" s="235" t="s">
        <v>33466</v>
      </c>
      <c r="AT5154" s="235" t="s">
        <v>9</v>
      </c>
      <c r="AU5154" s="235" t="s">
        <v>634</v>
      </c>
      <c r="AV5154" s="246" t="s">
        <v>635</v>
      </c>
      <c r="AW5154" s="227"/>
      <c r="AX5154" s="227"/>
      <c r="AY5154" s="227"/>
      <c r="AZ5154" s="227"/>
      <c r="BA5154" s="227"/>
      <c r="BB5154" s="227"/>
      <c r="BC5154" s="227"/>
      <c r="BD5154" s="227"/>
      <c r="BE5154" s="227"/>
      <c r="BF5154" s="227"/>
    </row>
    <row r="5155">
      <c r="A5155" s="235" t="s">
        <v>37976</v>
      </c>
      <c r="C5155" s="235" t="s">
        <v>37977</v>
      </c>
      <c r="D5155" s="235" t="s">
        <v>37978</v>
      </c>
      <c r="E5155" s="243">
        <v>6.49E13</v>
      </c>
      <c r="F5155" s="245"/>
      <c r="G5155" s="235" t="s">
        <v>37979</v>
      </c>
      <c r="H5155" s="235" t="s">
        <v>37980</v>
      </c>
      <c r="I5155" s="235" t="s">
        <v>37980</v>
      </c>
      <c r="J5155" s="235" t="s">
        <v>37981</v>
      </c>
      <c r="K5155" s="235" t="s">
        <v>37982</v>
      </c>
      <c r="N5155" s="235" t="s">
        <v>144</v>
      </c>
      <c r="O5155" s="235" t="s">
        <v>232</v>
      </c>
      <c r="P5155" s="238">
        <v>1.0</v>
      </c>
      <c r="Q5155" s="235" t="s">
        <v>627</v>
      </c>
      <c r="R5155" s="238">
        <v>665.72</v>
      </c>
      <c r="S5155" s="238">
        <v>33.28</v>
      </c>
      <c r="T5155" s="238">
        <v>0.0</v>
      </c>
      <c r="U5155" s="238">
        <v>0.0</v>
      </c>
      <c r="V5155" s="238">
        <v>0.0</v>
      </c>
      <c r="W5155" s="238">
        <v>0.0</v>
      </c>
      <c r="X5155" s="235" t="s">
        <v>628</v>
      </c>
      <c r="Z5155" s="245"/>
      <c r="AA5155" s="245"/>
      <c r="AB5155" s="245"/>
      <c r="AC5155" s="235" t="s">
        <v>1514</v>
      </c>
      <c r="AD5155" s="235" t="s">
        <v>1077</v>
      </c>
      <c r="AE5155" s="238">
        <v>382470.0</v>
      </c>
      <c r="AF5155" s="235" t="s">
        <v>631</v>
      </c>
      <c r="AG5155" s="245"/>
      <c r="AH5155" s="245"/>
      <c r="AI5155" s="245"/>
      <c r="AJ5155" s="245"/>
      <c r="AK5155" s="245"/>
      <c r="AL5155" s="245"/>
      <c r="AM5155" s="245"/>
      <c r="AN5155" s="245"/>
      <c r="AO5155" s="238">
        <v>0.0</v>
      </c>
      <c r="AP5155" s="238">
        <v>0.0</v>
      </c>
      <c r="AQ5155" s="235" t="s">
        <v>632</v>
      </c>
      <c r="AR5155" s="243">
        <v>1.68E11</v>
      </c>
      <c r="AS5155" s="235" t="s">
        <v>37983</v>
      </c>
      <c r="AT5155" s="235" t="s">
        <v>5</v>
      </c>
      <c r="AU5155" s="235" t="s">
        <v>634</v>
      </c>
      <c r="AV5155" s="246" t="s">
        <v>635</v>
      </c>
      <c r="AW5155" s="227"/>
      <c r="AX5155" s="227"/>
      <c r="AY5155" s="227"/>
      <c r="AZ5155" s="227"/>
      <c r="BA5155" s="227"/>
      <c r="BB5155" s="227"/>
      <c r="BC5155" s="227"/>
      <c r="BD5155" s="227"/>
      <c r="BE5155" s="227"/>
      <c r="BF5155" s="227"/>
    </row>
    <row r="5156">
      <c r="A5156" s="235" t="s">
        <v>37984</v>
      </c>
      <c r="C5156" s="235" t="s">
        <v>37985</v>
      </c>
      <c r="D5156" s="235" t="s">
        <v>37986</v>
      </c>
      <c r="E5156" s="243">
        <v>6.49E13</v>
      </c>
      <c r="F5156" s="245"/>
      <c r="G5156" s="235" t="s">
        <v>37987</v>
      </c>
      <c r="H5156" s="235" t="s">
        <v>37988</v>
      </c>
      <c r="I5156" s="235" t="s">
        <v>37988</v>
      </c>
      <c r="J5156" s="235" t="s">
        <v>37989</v>
      </c>
      <c r="K5156" s="235" t="s">
        <v>37990</v>
      </c>
      <c r="N5156" s="235" t="s">
        <v>154</v>
      </c>
      <c r="O5156" s="235" t="s">
        <v>766</v>
      </c>
      <c r="P5156" s="238">
        <v>1.0</v>
      </c>
      <c r="Q5156" s="235" t="s">
        <v>627</v>
      </c>
      <c r="R5156" s="238">
        <v>465.71</v>
      </c>
      <c r="S5156" s="238">
        <v>23.29</v>
      </c>
      <c r="T5156" s="238">
        <v>0.0</v>
      </c>
      <c r="U5156" s="238">
        <v>0.0</v>
      </c>
      <c r="V5156" s="238">
        <v>0.0</v>
      </c>
      <c r="W5156" s="238">
        <v>0.0</v>
      </c>
      <c r="X5156" s="235" t="s">
        <v>628</v>
      </c>
      <c r="Z5156" s="245"/>
      <c r="AA5156" s="245"/>
      <c r="AB5156" s="245"/>
      <c r="AC5156" s="235" t="s">
        <v>6436</v>
      </c>
      <c r="AD5156" s="235" t="s">
        <v>1499</v>
      </c>
      <c r="AE5156" s="238">
        <v>452005.0</v>
      </c>
      <c r="AF5156" s="235" t="s">
        <v>631</v>
      </c>
      <c r="AG5156" s="245"/>
      <c r="AH5156" s="245"/>
      <c r="AI5156" s="245"/>
      <c r="AJ5156" s="245"/>
      <c r="AK5156" s="245"/>
      <c r="AL5156" s="245"/>
      <c r="AM5156" s="245"/>
      <c r="AN5156" s="245"/>
      <c r="AO5156" s="238">
        <v>0.0</v>
      </c>
      <c r="AP5156" s="238">
        <v>0.0</v>
      </c>
      <c r="AQ5156" s="235" t="s">
        <v>632</v>
      </c>
      <c r="AR5156" s="243">
        <v>3.7E11</v>
      </c>
      <c r="AS5156" s="235" t="s">
        <v>35520</v>
      </c>
      <c r="AT5156" s="235" t="s">
        <v>17</v>
      </c>
      <c r="AU5156" s="235" t="s">
        <v>634</v>
      </c>
      <c r="AV5156" s="246" t="s">
        <v>635</v>
      </c>
      <c r="AW5156" s="227"/>
      <c r="AX5156" s="227"/>
      <c r="AY5156" s="227"/>
      <c r="AZ5156" s="227"/>
      <c r="BA5156" s="227"/>
      <c r="BB5156" s="227"/>
      <c r="BC5156" s="227"/>
      <c r="BD5156" s="227"/>
      <c r="BE5156" s="227"/>
      <c r="BF5156" s="227"/>
    </row>
    <row r="5157">
      <c r="A5157" s="235" t="s">
        <v>37991</v>
      </c>
      <c r="C5157" s="235" t="s">
        <v>37992</v>
      </c>
      <c r="D5157" s="235" t="s">
        <v>37993</v>
      </c>
      <c r="E5157" s="243">
        <v>6.49E13</v>
      </c>
      <c r="F5157" s="245"/>
      <c r="G5157" s="235" t="s">
        <v>37994</v>
      </c>
      <c r="H5157" s="235" t="s">
        <v>37995</v>
      </c>
      <c r="I5157" s="235" t="s">
        <v>37995</v>
      </c>
      <c r="J5157" s="235" t="s">
        <v>37996</v>
      </c>
      <c r="K5157" s="235" t="s">
        <v>37997</v>
      </c>
      <c r="N5157" s="235" t="s">
        <v>1346</v>
      </c>
      <c r="O5157" s="235" t="s">
        <v>1347</v>
      </c>
      <c r="P5157" s="238">
        <v>1.0</v>
      </c>
      <c r="Q5157" s="235" t="s">
        <v>627</v>
      </c>
      <c r="R5157" s="238">
        <v>256.19</v>
      </c>
      <c r="S5157" s="238">
        <v>12.81</v>
      </c>
      <c r="T5157" s="238">
        <v>38.1</v>
      </c>
      <c r="U5157" s="238">
        <v>1.9</v>
      </c>
      <c r="V5157" s="238">
        <v>0.0</v>
      </c>
      <c r="W5157" s="238">
        <v>0.0</v>
      </c>
      <c r="X5157" s="235" t="s">
        <v>628</v>
      </c>
      <c r="Z5157" s="245"/>
      <c r="AA5157" s="245"/>
      <c r="AB5157" s="245"/>
      <c r="AC5157" s="235" t="s">
        <v>37998</v>
      </c>
      <c r="AD5157" s="235" t="s">
        <v>630</v>
      </c>
      <c r="AE5157" s="238">
        <v>224238.0</v>
      </c>
      <c r="AF5157" s="235" t="s">
        <v>631</v>
      </c>
      <c r="AG5157" s="245"/>
      <c r="AH5157" s="245"/>
      <c r="AI5157" s="245"/>
      <c r="AJ5157" s="245"/>
      <c r="AK5157" s="245"/>
      <c r="AL5157" s="245"/>
      <c r="AM5157" s="245"/>
      <c r="AN5157" s="245"/>
      <c r="AO5157" s="238">
        <v>0.0</v>
      </c>
      <c r="AP5157" s="238">
        <v>-38.1</v>
      </c>
      <c r="AQ5157" s="235" t="s">
        <v>632</v>
      </c>
      <c r="AR5157" s="243">
        <v>3.7E11</v>
      </c>
      <c r="AS5157" s="235" t="s">
        <v>34510</v>
      </c>
      <c r="AT5157" s="235" t="s">
        <v>14</v>
      </c>
      <c r="AU5157" s="235" t="s">
        <v>634</v>
      </c>
      <c r="AV5157" s="246" t="s">
        <v>635</v>
      </c>
      <c r="AW5157" s="227"/>
      <c r="AX5157" s="227"/>
      <c r="AY5157" s="227"/>
      <c r="AZ5157" s="227"/>
      <c r="BA5157" s="227"/>
      <c r="BB5157" s="227"/>
      <c r="BC5157" s="227"/>
      <c r="BD5157" s="227"/>
      <c r="BE5157" s="227"/>
      <c r="BF5157" s="227"/>
    </row>
    <row r="5158">
      <c r="A5158" s="235" t="s">
        <v>37999</v>
      </c>
      <c r="C5158" s="235" t="s">
        <v>38000</v>
      </c>
      <c r="D5158" s="235" t="s">
        <v>38001</v>
      </c>
      <c r="E5158" s="243">
        <v>6.49E13</v>
      </c>
      <c r="F5158" s="245"/>
      <c r="G5158" s="235" t="s">
        <v>38002</v>
      </c>
      <c r="H5158" s="235" t="s">
        <v>38003</v>
      </c>
      <c r="I5158" s="235" t="s">
        <v>38003</v>
      </c>
      <c r="J5158" s="235" t="s">
        <v>38004</v>
      </c>
      <c r="K5158" s="235" t="s">
        <v>38005</v>
      </c>
      <c r="N5158" s="235" t="s">
        <v>51</v>
      </c>
      <c r="O5158" s="235" t="s">
        <v>273</v>
      </c>
      <c r="P5158" s="238">
        <v>1.0</v>
      </c>
      <c r="Q5158" s="235" t="s">
        <v>627</v>
      </c>
      <c r="R5158" s="238">
        <v>235.24</v>
      </c>
      <c r="S5158" s="238">
        <v>11.76</v>
      </c>
      <c r="T5158" s="238">
        <v>38.1</v>
      </c>
      <c r="U5158" s="238">
        <v>1.9</v>
      </c>
      <c r="V5158" s="238">
        <v>0.0</v>
      </c>
      <c r="W5158" s="238">
        <v>0.0</v>
      </c>
      <c r="X5158" s="235" t="s">
        <v>628</v>
      </c>
      <c r="Z5158" s="245"/>
      <c r="AA5158" s="245"/>
      <c r="AB5158" s="245"/>
      <c r="AC5158" s="235" t="s">
        <v>697</v>
      </c>
      <c r="AD5158" s="235" t="s">
        <v>698</v>
      </c>
      <c r="AE5158" s="238">
        <v>500081.0</v>
      </c>
      <c r="AF5158" s="235" t="s">
        <v>631</v>
      </c>
      <c r="AG5158" s="245"/>
      <c r="AH5158" s="245"/>
      <c r="AI5158" s="245"/>
      <c r="AJ5158" s="245"/>
      <c r="AK5158" s="245"/>
      <c r="AL5158" s="245"/>
      <c r="AM5158" s="245"/>
      <c r="AN5158" s="245"/>
      <c r="AO5158" s="238">
        <v>0.0</v>
      </c>
      <c r="AP5158" s="238">
        <v>-38.1</v>
      </c>
      <c r="AQ5158" s="235" t="s">
        <v>632</v>
      </c>
      <c r="AR5158" s="243">
        <v>3.7E11</v>
      </c>
      <c r="AS5158" s="235" t="s">
        <v>35520</v>
      </c>
      <c r="AT5158" s="235" t="s">
        <v>156</v>
      </c>
      <c r="AU5158" s="235" t="s">
        <v>634</v>
      </c>
      <c r="AV5158" s="246" t="s">
        <v>635</v>
      </c>
      <c r="AW5158" s="227"/>
      <c r="AX5158" s="227"/>
      <c r="AY5158" s="227"/>
      <c r="AZ5158" s="227"/>
      <c r="BA5158" s="227"/>
      <c r="BB5158" s="227"/>
      <c r="BC5158" s="227"/>
      <c r="BD5158" s="227"/>
      <c r="BE5158" s="227"/>
      <c r="BF5158" s="227"/>
    </row>
    <row r="5159">
      <c r="A5159" s="235" t="s">
        <v>38006</v>
      </c>
      <c r="C5159" s="235" t="s">
        <v>38007</v>
      </c>
      <c r="D5159" s="235" t="s">
        <v>38008</v>
      </c>
      <c r="E5159" s="243">
        <v>6.49E13</v>
      </c>
      <c r="F5159" s="245"/>
      <c r="G5159" s="235" t="s">
        <v>38009</v>
      </c>
      <c r="H5159" s="235" t="s">
        <v>38010</v>
      </c>
      <c r="I5159" s="235" t="s">
        <v>38010</v>
      </c>
      <c r="J5159" s="235" t="s">
        <v>38011</v>
      </c>
      <c r="K5159" s="235" t="s">
        <v>38012</v>
      </c>
      <c r="N5159" s="235" t="s">
        <v>136</v>
      </c>
      <c r="O5159" s="235" t="s">
        <v>256</v>
      </c>
      <c r="P5159" s="238">
        <v>1.0</v>
      </c>
      <c r="Q5159" s="235" t="s">
        <v>627</v>
      </c>
      <c r="R5159" s="238">
        <v>244.76</v>
      </c>
      <c r="S5159" s="238">
        <v>12.24</v>
      </c>
      <c r="T5159" s="238">
        <v>38.1</v>
      </c>
      <c r="U5159" s="238">
        <v>1.9</v>
      </c>
      <c r="V5159" s="238">
        <v>0.0</v>
      </c>
      <c r="W5159" s="238">
        <v>0.0</v>
      </c>
      <c r="X5159" s="235" t="s">
        <v>628</v>
      </c>
      <c r="Z5159" s="245"/>
      <c r="AA5159" s="245"/>
      <c r="AB5159" s="245"/>
      <c r="AC5159" s="235" t="s">
        <v>38013</v>
      </c>
      <c r="AD5159" s="235" t="s">
        <v>1499</v>
      </c>
      <c r="AE5159" s="238">
        <v>451111.0</v>
      </c>
      <c r="AF5159" s="235" t="s">
        <v>631</v>
      </c>
      <c r="AG5159" s="245"/>
      <c r="AH5159" s="245"/>
      <c r="AI5159" s="245"/>
      <c r="AJ5159" s="245"/>
      <c r="AK5159" s="245"/>
      <c r="AL5159" s="245"/>
      <c r="AM5159" s="245"/>
      <c r="AN5159" s="245"/>
      <c r="AO5159" s="238">
        <v>0.0</v>
      </c>
      <c r="AP5159" s="238">
        <v>-38.1</v>
      </c>
      <c r="AQ5159" s="235" t="s">
        <v>632</v>
      </c>
      <c r="AR5159" s="243">
        <v>3.7E11</v>
      </c>
      <c r="AS5159" s="235" t="s">
        <v>34510</v>
      </c>
      <c r="AT5159" s="235" t="s">
        <v>5</v>
      </c>
      <c r="AU5159" s="235" t="s">
        <v>634</v>
      </c>
      <c r="AV5159" s="246" t="s">
        <v>635</v>
      </c>
      <c r="AW5159" s="227"/>
      <c r="AX5159" s="227"/>
      <c r="AY5159" s="227"/>
      <c r="AZ5159" s="227"/>
      <c r="BA5159" s="227"/>
      <c r="BB5159" s="227"/>
      <c r="BC5159" s="227"/>
      <c r="BD5159" s="227"/>
      <c r="BE5159" s="227"/>
      <c r="BF5159" s="227"/>
    </row>
    <row r="5160">
      <c r="A5160" s="235" t="s">
        <v>38014</v>
      </c>
      <c r="C5160" s="235" t="s">
        <v>38015</v>
      </c>
      <c r="D5160" s="235" t="s">
        <v>38016</v>
      </c>
      <c r="E5160" s="243">
        <v>6.48E13</v>
      </c>
      <c r="F5160" s="245"/>
      <c r="G5160" s="235" t="s">
        <v>38017</v>
      </c>
      <c r="H5160" s="235" t="s">
        <v>38018</v>
      </c>
      <c r="I5160" s="235" t="s">
        <v>38018</v>
      </c>
      <c r="J5160" s="235" t="s">
        <v>38019</v>
      </c>
      <c r="K5160" s="235" t="s">
        <v>38020</v>
      </c>
      <c r="N5160" s="235" t="s">
        <v>134</v>
      </c>
      <c r="O5160" s="235" t="s">
        <v>314</v>
      </c>
      <c r="P5160" s="238">
        <v>1.0</v>
      </c>
      <c r="Q5160" s="235" t="s">
        <v>627</v>
      </c>
      <c r="R5160" s="238">
        <v>244.76</v>
      </c>
      <c r="S5160" s="238">
        <v>12.24</v>
      </c>
      <c r="T5160" s="238">
        <v>0.0</v>
      </c>
      <c r="U5160" s="238">
        <v>0.0</v>
      </c>
      <c r="V5160" s="238">
        <v>0.0</v>
      </c>
      <c r="W5160" s="238">
        <v>0.0</v>
      </c>
      <c r="X5160" s="235" t="s">
        <v>628</v>
      </c>
      <c r="Z5160" s="245"/>
      <c r="AA5160" s="245"/>
      <c r="AB5160" s="245"/>
      <c r="AC5160" s="235" t="s">
        <v>38021</v>
      </c>
      <c r="AD5160" s="235" t="s">
        <v>1086</v>
      </c>
      <c r="AE5160" s="238">
        <v>144025.0</v>
      </c>
      <c r="AF5160" s="235" t="s">
        <v>631</v>
      </c>
      <c r="AG5160" s="245"/>
      <c r="AH5160" s="245"/>
      <c r="AI5160" s="245"/>
      <c r="AJ5160" s="245"/>
      <c r="AK5160" s="245"/>
      <c r="AL5160" s="245"/>
      <c r="AM5160" s="245"/>
      <c r="AN5160" s="245"/>
      <c r="AO5160" s="238">
        <v>0.0</v>
      </c>
      <c r="AP5160" s="238">
        <v>0.0</v>
      </c>
      <c r="AQ5160" s="235" t="s">
        <v>632</v>
      </c>
      <c r="AR5160" s="243">
        <v>3.7E11</v>
      </c>
      <c r="AS5160" s="235" t="s">
        <v>35520</v>
      </c>
      <c r="AT5160" s="235" t="s">
        <v>533</v>
      </c>
      <c r="AU5160" s="235" t="s">
        <v>634</v>
      </c>
      <c r="AV5160" s="246" t="s">
        <v>635</v>
      </c>
      <c r="AW5160" s="227"/>
      <c r="AX5160" s="227"/>
      <c r="AY5160" s="227"/>
      <c r="AZ5160" s="227"/>
      <c r="BA5160" s="227"/>
      <c r="BB5160" s="227"/>
      <c r="BC5160" s="227"/>
      <c r="BD5160" s="227"/>
      <c r="BE5160" s="227"/>
      <c r="BF5160" s="227"/>
    </row>
    <row r="5161">
      <c r="A5161" s="235" t="s">
        <v>38022</v>
      </c>
      <c r="C5161" s="235" t="s">
        <v>38023</v>
      </c>
      <c r="D5161" s="235" t="s">
        <v>38024</v>
      </c>
      <c r="E5161" s="243">
        <v>6.49E13</v>
      </c>
      <c r="F5161" s="245"/>
      <c r="G5161" s="235" t="s">
        <v>38025</v>
      </c>
      <c r="H5161" s="235" t="s">
        <v>38026</v>
      </c>
      <c r="I5161" s="235" t="s">
        <v>38026</v>
      </c>
      <c r="J5161" s="235" t="s">
        <v>38027</v>
      </c>
      <c r="K5161" s="235" t="s">
        <v>38028</v>
      </c>
      <c r="N5161" s="235" t="s">
        <v>50</v>
      </c>
      <c r="O5161" s="235" t="s">
        <v>367</v>
      </c>
      <c r="P5161" s="238">
        <v>1.0</v>
      </c>
      <c r="Q5161" s="235" t="s">
        <v>627</v>
      </c>
      <c r="R5161" s="238">
        <v>234.29</v>
      </c>
      <c r="S5161" s="238">
        <v>11.48</v>
      </c>
      <c r="T5161" s="238">
        <v>38.1</v>
      </c>
      <c r="U5161" s="238">
        <v>1.9</v>
      </c>
      <c r="V5161" s="238">
        <v>0.0</v>
      </c>
      <c r="W5161" s="238">
        <v>0.0</v>
      </c>
      <c r="X5161" s="235" t="s">
        <v>628</v>
      </c>
      <c r="Z5161" s="245"/>
      <c r="AA5161" s="245"/>
      <c r="AB5161" s="245"/>
      <c r="AC5161" s="235" t="s">
        <v>1920</v>
      </c>
      <c r="AD5161" s="235" t="s">
        <v>833</v>
      </c>
      <c r="AE5161" s="238">
        <v>522034.0</v>
      </c>
      <c r="AF5161" s="235" t="s">
        <v>631</v>
      </c>
      <c r="AG5161" s="245"/>
      <c r="AH5161" s="245"/>
      <c r="AI5161" s="245"/>
      <c r="AJ5161" s="245"/>
      <c r="AK5161" s="245"/>
      <c r="AL5161" s="245"/>
      <c r="AM5161" s="245"/>
      <c r="AN5161" s="245"/>
      <c r="AO5161" s="238">
        <v>-4.69</v>
      </c>
      <c r="AP5161" s="238">
        <v>0.0</v>
      </c>
      <c r="AQ5161" s="235" t="s">
        <v>632</v>
      </c>
      <c r="AR5161" s="243">
        <v>3.7E11</v>
      </c>
      <c r="AS5161" s="235" t="s">
        <v>33466</v>
      </c>
      <c r="AT5161" s="235" t="s">
        <v>155</v>
      </c>
      <c r="AU5161" s="235" t="s">
        <v>634</v>
      </c>
      <c r="AV5161" s="246" t="s">
        <v>635</v>
      </c>
      <c r="AW5161" s="227"/>
      <c r="AX5161" s="227"/>
      <c r="AY5161" s="227"/>
      <c r="AZ5161" s="227"/>
      <c r="BA5161" s="227"/>
      <c r="BB5161" s="227"/>
      <c r="BC5161" s="227"/>
      <c r="BD5161" s="227"/>
      <c r="BE5161" s="227"/>
      <c r="BF5161" s="227"/>
    </row>
    <row r="5162">
      <c r="A5162" s="235" t="s">
        <v>38029</v>
      </c>
      <c r="C5162" s="235" t="s">
        <v>38030</v>
      </c>
      <c r="D5162" s="235" t="s">
        <v>38031</v>
      </c>
      <c r="E5162" s="243">
        <v>6.49E13</v>
      </c>
      <c r="F5162" s="245"/>
      <c r="G5162" s="235" t="s">
        <v>38032</v>
      </c>
      <c r="H5162" s="235" t="s">
        <v>38033</v>
      </c>
      <c r="I5162" s="235" t="s">
        <v>38033</v>
      </c>
      <c r="J5162" s="235" t="s">
        <v>38034</v>
      </c>
      <c r="K5162" s="235" t="s">
        <v>38035</v>
      </c>
      <c r="N5162" s="235" t="s">
        <v>127</v>
      </c>
      <c r="O5162" s="235" t="s">
        <v>794</v>
      </c>
      <c r="P5162" s="238">
        <v>1.0</v>
      </c>
      <c r="Q5162" s="235" t="s">
        <v>627</v>
      </c>
      <c r="R5162" s="238">
        <v>243.81</v>
      </c>
      <c r="S5162" s="238">
        <v>12.19</v>
      </c>
      <c r="T5162" s="238">
        <v>38.1</v>
      </c>
      <c r="U5162" s="238">
        <v>1.9</v>
      </c>
      <c r="V5162" s="238">
        <v>0.0</v>
      </c>
      <c r="W5162" s="238">
        <v>0.0</v>
      </c>
      <c r="X5162" s="235" t="s">
        <v>628</v>
      </c>
      <c r="Z5162" s="245"/>
      <c r="AA5162" s="245"/>
      <c r="AB5162" s="245"/>
      <c r="AC5162" s="235" t="s">
        <v>1613</v>
      </c>
      <c r="AD5162" s="235" t="s">
        <v>630</v>
      </c>
      <c r="AE5162" s="238">
        <v>226016.0</v>
      </c>
      <c r="AF5162" s="235" t="s">
        <v>631</v>
      </c>
      <c r="AG5162" s="245"/>
      <c r="AH5162" s="245"/>
      <c r="AI5162" s="245"/>
      <c r="AJ5162" s="245"/>
      <c r="AK5162" s="245"/>
      <c r="AL5162" s="245"/>
      <c r="AM5162" s="245"/>
      <c r="AN5162" s="245"/>
      <c r="AO5162" s="238">
        <v>0.0</v>
      </c>
      <c r="AP5162" s="238">
        <v>-38.1</v>
      </c>
      <c r="AQ5162" s="235" t="s">
        <v>632</v>
      </c>
      <c r="AR5162" s="243">
        <v>3.7E11</v>
      </c>
      <c r="AS5162" s="235" t="s">
        <v>35520</v>
      </c>
      <c r="AT5162" s="235" t="s">
        <v>14</v>
      </c>
      <c r="AU5162" s="235" t="s">
        <v>634</v>
      </c>
      <c r="AV5162" s="246" t="s">
        <v>635</v>
      </c>
      <c r="AW5162" s="227"/>
      <c r="AX5162" s="227"/>
      <c r="AY5162" s="227"/>
      <c r="AZ5162" s="227"/>
      <c r="BA5162" s="227"/>
      <c r="BB5162" s="227"/>
      <c r="BC5162" s="227"/>
      <c r="BD5162" s="227"/>
      <c r="BE5162" s="227"/>
      <c r="BF5162" s="227"/>
    </row>
    <row r="5163">
      <c r="A5163" s="235" t="s">
        <v>38036</v>
      </c>
      <c r="C5163" s="235" t="s">
        <v>38037</v>
      </c>
      <c r="D5163" s="235" t="s">
        <v>38038</v>
      </c>
      <c r="E5163" s="243">
        <v>6.49E13</v>
      </c>
      <c r="F5163" s="245"/>
      <c r="G5163" s="235" t="s">
        <v>38039</v>
      </c>
      <c r="H5163" s="235" t="s">
        <v>38040</v>
      </c>
      <c r="I5163" s="235" t="s">
        <v>38040</v>
      </c>
      <c r="J5163" s="235" t="s">
        <v>38041</v>
      </c>
      <c r="K5163" s="235" t="s">
        <v>38042</v>
      </c>
      <c r="N5163" s="235" t="s">
        <v>51</v>
      </c>
      <c r="O5163" s="235" t="s">
        <v>273</v>
      </c>
      <c r="P5163" s="238">
        <v>1.0</v>
      </c>
      <c r="Q5163" s="235" t="s">
        <v>627</v>
      </c>
      <c r="R5163" s="238">
        <v>235.24</v>
      </c>
      <c r="S5163" s="238">
        <v>11.76</v>
      </c>
      <c r="T5163" s="238">
        <v>0.0</v>
      </c>
      <c r="U5163" s="238">
        <v>0.0</v>
      </c>
      <c r="V5163" s="238">
        <v>0.0</v>
      </c>
      <c r="W5163" s="238">
        <v>0.0</v>
      </c>
      <c r="X5163" s="235" t="s">
        <v>628</v>
      </c>
      <c r="Z5163" s="245"/>
      <c r="AA5163" s="245"/>
      <c r="AB5163" s="245"/>
      <c r="AC5163" s="235" t="s">
        <v>38043</v>
      </c>
      <c r="AD5163" s="235" t="s">
        <v>833</v>
      </c>
      <c r="AE5163" s="238">
        <v>533106.0</v>
      </c>
      <c r="AF5163" s="235" t="s">
        <v>631</v>
      </c>
      <c r="AG5163" s="245"/>
      <c r="AH5163" s="245"/>
      <c r="AI5163" s="245"/>
      <c r="AJ5163" s="245"/>
      <c r="AK5163" s="245"/>
      <c r="AL5163" s="245"/>
      <c r="AM5163" s="245"/>
      <c r="AN5163" s="245"/>
      <c r="AO5163" s="238">
        <v>0.0</v>
      </c>
      <c r="AP5163" s="238">
        <v>0.0</v>
      </c>
      <c r="AQ5163" s="235" t="s">
        <v>632</v>
      </c>
      <c r="AR5163" s="243">
        <v>3.7E11</v>
      </c>
      <c r="AS5163" s="235" t="s">
        <v>35520</v>
      </c>
      <c r="AT5163" s="235" t="s">
        <v>156</v>
      </c>
      <c r="AU5163" s="235" t="s">
        <v>634</v>
      </c>
      <c r="AV5163" s="246" t="s">
        <v>635</v>
      </c>
      <c r="AW5163" s="227"/>
      <c r="AX5163" s="227"/>
      <c r="AY5163" s="227"/>
      <c r="AZ5163" s="227"/>
      <c r="BA5163" s="227"/>
      <c r="BB5163" s="227"/>
      <c r="BC5163" s="227"/>
      <c r="BD5163" s="227"/>
      <c r="BE5163" s="227"/>
      <c r="BF5163" s="227"/>
    </row>
    <row r="5164">
      <c r="A5164" s="235" t="s">
        <v>38044</v>
      </c>
      <c r="C5164" s="235" t="s">
        <v>38045</v>
      </c>
      <c r="D5164" s="235" t="s">
        <v>38046</v>
      </c>
      <c r="E5164" s="243">
        <v>6.49E13</v>
      </c>
      <c r="F5164" s="245"/>
      <c r="G5164" s="235" t="s">
        <v>38047</v>
      </c>
      <c r="H5164" s="235" t="s">
        <v>38048</v>
      </c>
      <c r="I5164" s="235" t="s">
        <v>38048</v>
      </c>
      <c r="J5164" s="235" t="s">
        <v>38049</v>
      </c>
      <c r="K5164" s="235" t="s">
        <v>38050</v>
      </c>
      <c r="N5164" s="235" t="s">
        <v>127</v>
      </c>
      <c r="O5164" s="235" t="s">
        <v>794</v>
      </c>
      <c r="P5164" s="238">
        <v>1.0</v>
      </c>
      <c r="Q5164" s="235" t="s">
        <v>627</v>
      </c>
      <c r="R5164" s="238">
        <v>243.81</v>
      </c>
      <c r="S5164" s="238">
        <v>12.19</v>
      </c>
      <c r="T5164" s="238">
        <v>0.0</v>
      </c>
      <c r="U5164" s="238">
        <v>0.0</v>
      </c>
      <c r="V5164" s="238">
        <v>0.0</v>
      </c>
      <c r="W5164" s="238">
        <v>0.0</v>
      </c>
      <c r="X5164" s="235" t="s">
        <v>628</v>
      </c>
      <c r="Z5164" s="245"/>
      <c r="AA5164" s="245"/>
      <c r="AB5164" s="245"/>
      <c r="AC5164" s="235" t="s">
        <v>814</v>
      </c>
      <c r="AD5164" s="235" t="s">
        <v>698</v>
      </c>
      <c r="AE5164" s="238">
        <v>500050.0</v>
      </c>
      <c r="AF5164" s="235" t="s">
        <v>631</v>
      </c>
      <c r="AG5164" s="245"/>
      <c r="AH5164" s="245"/>
      <c r="AI5164" s="245"/>
      <c r="AJ5164" s="245"/>
      <c r="AK5164" s="245"/>
      <c r="AL5164" s="245"/>
      <c r="AM5164" s="245"/>
      <c r="AN5164" s="245"/>
      <c r="AO5164" s="238">
        <v>0.0</v>
      </c>
      <c r="AP5164" s="238">
        <v>0.0</v>
      </c>
      <c r="AQ5164" s="235" t="s">
        <v>632</v>
      </c>
      <c r="AR5164" s="243">
        <v>2.02E11</v>
      </c>
      <c r="AS5164" s="235" t="s">
        <v>36667</v>
      </c>
      <c r="AT5164" s="235" t="s">
        <v>546</v>
      </c>
      <c r="AU5164" s="235" t="s">
        <v>634</v>
      </c>
      <c r="AV5164" s="246" t="s">
        <v>635</v>
      </c>
      <c r="AW5164" s="227"/>
      <c r="AX5164" s="227"/>
      <c r="AY5164" s="227"/>
      <c r="AZ5164" s="227"/>
      <c r="BA5164" s="227"/>
      <c r="BB5164" s="227"/>
      <c r="BC5164" s="227"/>
      <c r="BD5164" s="227"/>
      <c r="BE5164" s="227"/>
      <c r="BF5164" s="227"/>
    </row>
    <row r="5165">
      <c r="A5165" s="235" t="s">
        <v>38051</v>
      </c>
      <c r="C5165" s="235" t="s">
        <v>38052</v>
      </c>
      <c r="D5165" s="235" t="s">
        <v>38053</v>
      </c>
      <c r="E5165" s="243">
        <v>6.49E13</v>
      </c>
      <c r="F5165" s="245"/>
      <c r="G5165" s="235" t="s">
        <v>38054</v>
      </c>
      <c r="H5165" s="235" t="s">
        <v>38055</v>
      </c>
      <c r="I5165" s="235" t="s">
        <v>38055</v>
      </c>
      <c r="J5165" s="235" t="s">
        <v>38056</v>
      </c>
      <c r="K5165" s="235" t="s">
        <v>38057</v>
      </c>
      <c r="N5165" s="235" t="s">
        <v>144</v>
      </c>
      <c r="O5165" s="235" t="s">
        <v>232</v>
      </c>
      <c r="P5165" s="238">
        <v>1.0</v>
      </c>
      <c r="Q5165" s="235" t="s">
        <v>627</v>
      </c>
      <c r="R5165" s="238">
        <v>665.71</v>
      </c>
      <c r="S5165" s="238">
        <v>33.29</v>
      </c>
      <c r="T5165" s="238">
        <v>0.0</v>
      </c>
      <c r="U5165" s="238">
        <v>0.0</v>
      </c>
      <c r="V5165" s="238">
        <v>0.0</v>
      </c>
      <c r="W5165" s="238">
        <v>0.0</v>
      </c>
      <c r="X5165" s="235" t="s">
        <v>628</v>
      </c>
      <c r="Z5165" s="245"/>
      <c r="AA5165" s="245"/>
      <c r="AB5165" s="245"/>
      <c r="AC5165" s="235" t="s">
        <v>697</v>
      </c>
      <c r="AD5165" s="235" t="s">
        <v>698</v>
      </c>
      <c r="AE5165" s="238">
        <v>500084.0</v>
      </c>
      <c r="AF5165" s="235" t="s">
        <v>631</v>
      </c>
      <c r="AG5165" s="245"/>
      <c r="AH5165" s="245"/>
      <c r="AI5165" s="245"/>
      <c r="AJ5165" s="245"/>
      <c r="AK5165" s="245"/>
      <c r="AL5165" s="245"/>
      <c r="AM5165" s="245"/>
      <c r="AN5165" s="245"/>
      <c r="AO5165" s="238">
        <v>0.0</v>
      </c>
      <c r="AP5165" s="238">
        <v>0.0</v>
      </c>
      <c r="AQ5165" s="235" t="s">
        <v>632</v>
      </c>
      <c r="AR5165" s="243">
        <v>2.02E11</v>
      </c>
      <c r="AS5165" s="235" t="s">
        <v>36667</v>
      </c>
      <c r="AT5165" s="235" t="s">
        <v>16</v>
      </c>
      <c r="AU5165" s="235" t="s">
        <v>634</v>
      </c>
      <c r="AV5165" s="246" t="s">
        <v>635</v>
      </c>
      <c r="AW5165" s="227"/>
      <c r="AX5165" s="227"/>
      <c r="AY5165" s="227"/>
      <c r="AZ5165" s="227"/>
      <c r="BA5165" s="227"/>
      <c r="BB5165" s="227"/>
      <c r="BC5165" s="227"/>
      <c r="BD5165" s="227"/>
      <c r="BE5165" s="227"/>
      <c r="BF5165" s="227"/>
    </row>
    <row r="5166">
      <c r="A5166" s="235" t="s">
        <v>38058</v>
      </c>
      <c r="C5166" s="235" t="s">
        <v>38059</v>
      </c>
      <c r="D5166" s="235" t="s">
        <v>38060</v>
      </c>
      <c r="E5166" s="243">
        <v>6.49E13</v>
      </c>
      <c r="F5166" s="245"/>
      <c r="G5166" s="235" t="s">
        <v>38061</v>
      </c>
      <c r="H5166" s="235" t="s">
        <v>38062</v>
      </c>
      <c r="I5166" s="235" t="s">
        <v>38062</v>
      </c>
      <c r="J5166" s="235" t="s">
        <v>38063</v>
      </c>
      <c r="K5166" s="235" t="s">
        <v>38064</v>
      </c>
      <c r="N5166" s="235" t="s">
        <v>78</v>
      </c>
      <c r="O5166" s="235" t="s">
        <v>360</v>
      </c>
      <c r="P5166" s="238">
        <v>1.0</v>
      </c>
      <c r="Q5166" s="235" t="s">
        <v>627</v>
      </c>
      <c r="R5166" s="238">
        <v>360.96</v>
      </c>
      <c r="S5166" s="238">
        <v>18.04</v>
      </c>
      <c r="T5166" s="238">
        <v>38.1</v>
      </c>
      <c r="U5166" s="238">
        <v>1.9</v>
      </c>
      <c r="V5166" s="238">
        <v>0.0</v>
      </c>
      <c r="W5166" s="238">
        <v>0.0</v>
      </c>
      <c r="X5166" s="235" t="s">
        <v>628</v>
      </c>
      <c r="Z5166" s="245"/>
      <c r="AA5166" s="245"/>
      <c r="AB5166" s="245"/>
      <c r="AC5166" s="235" t="s">
        <v>678</v>
      </c>
      <c r="AD5166" s="235" t="s">
        <v>679</v>
      </c>
      <c r="AE5166" s="238">
        <v>562149.0</v>
      </c>
      <c r="AF5166" s="235" t="s">
        <v>631</v>
      </c>
      <c r="AG5166" s="245"/>
      <c r="AH5166" s="245"/>
      <c r="AI5166" s="245"/>
      <c r="AJ5166" s="245"/>
      <c r="AK5166" s="245"/>
      <c r="AL5166" s="245"/>
      <c r="AM5166" s="245"/>
      <c r="AN5166" s="245"/>
      <c r="AO5166" s="238">
        <v>0.0</v>
      </c>
      <c r="AP5166" s="238">
        <v>-38.1</v>
      </c>
      <c r="AQ5166" s="235" t="s">
        <v>632</v>
      </c>
      <c r="AR5166" s="243">
        <v>3.7E11</v>
      </c>
      <c r="AS5166" s="235" t="s">
        <v>36667</v>
      </c>
      <c r="AT5166" s="235" t="s">
        <v>11</v>
      </c>
      <c r="AU5166" s="235" t="s">
        <v>634</v>
      </c>
      <c r="AV5166" s="246" t="s">
        <v>635</v>
      </c>
      <c r="AW5166" s="227"/>
      <c r="AX5166" s="227"/>
      <c r="AY5166" s="227"/>
      <c r="AZ5166" s="227"/>
      <c r="BA5166" s="227"/>
      <c r="BB5166" s="227"/>
      <c r="BC5166" s="227"/>
      <c r="BD5166" s="227"/>
      <c r="BE5166" s="227"/>
      <c r="BF5166" s="227"/>
    </row>
    <row r="5167">
      <c r="A5167" s="235" t="s">
        <v>38065</v>
      </c>
      <c r="C5167" s="235" t="s">
        <v>38066</v>
      </c>
      <c r="D5167" s="235" t="s">
        <v>38067</v>
      </c>
      <c r="E5167" s="243">
        <v>6.49E13</v>
      </c>
      <c r="F5167" s="245"/>
      <c r="G5167" s="235" t="s">
        <v>38068</v>
      </c>
      <c r="H5167" s="235" t="s">
        <v>38069</v>
      </c>
      <c r="I5167" s="235" t="s">
        <v>38070</v>
      </c>
      <c r="J5167" s="235" t="s">
        <v>38071</v>
      </c>
      <c r="K5167" s="235" t="s">
        <v>38072</v>
      </c>
      <c r="N5167" s="235" t="s">
        <v>42</v>
      </c>
      <c r="O5167" s="235" t="s">
        <v>204</v>
      </c>
      <c r="P5167" s="238">
        <v>1.0</v>
      </c>
      <c r="Q5167" s="235" t="s">
        <v>627</v>
      </c>
      <c r="R5167" s="238">
        <v>237.14</v>
      </c>
      <c r="S5167" s="238">
        <v>11.62</v>
      </c>
      <c r="T5167" s="238">
        <v>0.0</v>
      </c>
      <c r="U5167" s="238">
        <v>0.0</v>
      </c>
      <c r="V5167" s="238">
        <v>0.0</v>
      </c>
      <c r="W5167" s="238">
        <v>0.0</v>
      </c>
      <c r="X5167" s="235" t="s">
        <v>628</v>
      </c>
      <c r="Z5167" s="245"/>
      <c r="AA5167" s="245"/>
      <c r="AB5167" s="245"/>
      <c r="AC5167" s="235" t="s">
        <v>687</v>
      </c>
      <c r="AD5167" s="235" t="s">
        <v>666</v>
      </c>
      <c r="AE5167" s="238">
        <v>600091.0</v>
      </c>
      <c r="AF5167" s="235" t="s">
        <v>631</v>
      </c>
      <c r="AG5167" s="245"/>
      <c r="AH5167" s="245"/>
      <c r="AI5167" s="245"/>
      <c r="AJ5167" s="245"/>
      <c r="AK5167" s="245"/>
      <c r="AL5167" s="245"/>
      <c r="AM5167" s="245"/>
      <c r="AN5167" s="245"/>
      <c r="AO5167" s="238">
        <v>-4.74</v>
      </c>
      <c r="AP5167" s="238">
        <v>0.0</v>
      </c>
      <c r="AQ5167" s="235" t="s">
        <v>632</v>
      </c>
      <c r="AR5167" s="243">
        <v>1.68E11</v>
      </c>
      <c r="AS5167" s="235" t="s">
        <v>37983</v>
      </c>
      <c r="AT5167" s="235" t="s">
        <v>156</v>
      </c>
      <c r="AU5167" s="235" t="s">
        <v>634</v>
      </c>
      <c r="AV5167" s="246" t="s">
        <v>635</v>
      </c>
      <c r="AW5167" s="227"/>
      <c r="AX5167" s="227"/>
      <c r="AY5167" s="227"/>
      <c r="AZ5167" s="227"/>
      <c r="BA5167" s="227"/>
      <c r="BB5167" s="227"/>
      <c r="BC5167" s="227"/>
      <c r="BD5167" s="227"/>
      <c r="BE5167" s="227"/>
      <c r="BF5167" s="227"/>
    </row>
    <row r="5168">
      <c r="A5168" s="235" t="s">
        <v>38073</v>
      </c>
      <c r="C5168" s="235" t="s">
        <v>38074</v>
      </c>
      <c r="D5168" s="235" t="s">
        <v>38075</v>
      </c>
      <c r="E5168" s="243">
        <v>6.49E13</v>
      </c>
      <c r="F5168" s="245"/>
      <c r="G5168" s="235" t="s">
        <v>38076</v>
      </c>
      <c r="H5168" s="235" t="s">
        <v>38077</v>
      </c>
      <c r="I5168" s="235" t="s">
        <v>38077</v>
      </c>
      <c r="J5168" s="235" t="s">
        <v>38078</v>
      </c>
      <c r="K5168" s="235" t="s">
        <v>38079</v>
      </c>
      <c r="N5168" s="235" t="s">
        <v>55</v>
      </c>
      <c r="O5168" s="235" t="s">
        <v>244</v>
      </c>
      <c r="P5168" s="238">
        <v>1.0</v>
      </c>
      <c r="Q5168" s="235" t="s">
        <v>627</v>
      </c>
      <c r="R5168" s="238">
        <v>0.0</v>
      </c>
      <c r="S5168" s="238">
        <v>0.0</v>
      </c>
      <c r="T5168" s="238">
        <v>0.0</v>
      </c>
      <c r="U5168" s="238">
        <v>0.0</v>
      </c>
      <c r="V5168" s="238">
        <v>0.0</v>
      </c>
      <c r="W5168" s="238">
        <v>0.0</v>
      </c>
      <c r="X5168" s="235" t="s">
        <v>628</v>
      </c>
      <c r="Z5168" s="245"/>
      <c r="AA5168" s="245"/>
      <c r="AB5168" s="245"/>
      <c r="AC5168" s="235" t="s">
        <v>687</v>
      </c>
      <c r="AD5168" s="235" t="s">
        <v>666</v>
      </c>
      <c r="AE5168" s="238">
        <v>600056.0</v>
      </c>
      <c r="AF5168" s="235" t="s">
        <v>631</v>
      </c>
      <c r="AG5168" s="245"/>
      <c r="AH5168" s="245"/>
      <c r="AI5168" s="245"/>
      <c r="AJ5168" s="245"/>
      <c r="AK5168" s="245"/>
      <c r="AL5168" s="245"/>
      <c r="AM5168" s="245"/>
      <c r="AN5168" s="245"/>
      <c r="AO5168" s="238">
        <v>0.0</v>
      </c>
      <c r="AP5168" s="238">
        <v>0.0</v>
      </c>
      <c r="AQ5168" s="235" t="s">
        <v>632</v>
      </c>
      <c r="AR5168" s="243">
        <v>3.7E11</v>
      </c>
      <c r="AS5168" s="235" t="s">
        <v>36667</v>
      </c>
      <c r="AT5168" s="235" t="s">
        <v>156</v>
      </c>
      <c r="AU5168" s="235" t="s">
        <v>634</v>
      </c>
      <c r="AV5168" s="246" t="s">
        <v>635</v>
      </c>
      <c r="AW5168" s="227"/>
      <c r="AX5168" s="227"/>
      <c r="AY5168" s="227"/>
      <c r="AZ5168" s="227"/>
      <c r="BA5168" s="227"/>
      <c r="BB5168" s="227"/>
      <c r="BC5168" s="227"/>
      <c r="BD5168" s="227"/>
      <c r="BE5168" s="227"/>
      <c r="BF5168" s="227"/>
    </row>
    <row r="5169">
      <c r="A5169" s="235" t="s">
        <v>38080</v>
      </c>
      <c r="C5169" s="235" t="s">
        <v>38081</v>
      </c>
      <c r="D5169" s="235" t="s">
        <v>38082</v>
      </c>
      <c r="E5169" s="243">
        <v>6.49E13</v>
      </c>
      <c r="F5169" s="245"/>
      <c r="G5169" s="235" t="s">
        <v>38083</v>
      </c>
      <c r="H5169" s="235" t="s">
        <v>38084</v>
      </c>
      <c r="I5169" s="235" t="s">
        <v>38084</v>
      </c>
      <c r="J5169" s="235" t="s">
        <v>38085</v>
      </c>
      <c r="K5169" s="235" t="s">
        <v>38086</v>
      </c>
      <c r="N5169" s="235" t="s">
        <v>154</v>
      </c>
      <c r="O5169" s="235" t="s">
        <v>766</v>
      </c>
      <c r="P5169" s="238">
        <v>1.0</v>
      </c>
      <c r="Q5169" s="235" t="s">
        <v>627</v>
      </c>
      <c r="R5169" s="238">
        <v>465.71</v>
      </c>
      <c r="S5169" s="238">
        <v>23.29</v>
      </c>
      <c r="T5169" s="238">
        <v>0.0</v>
      </c>
      <c r="U5169" s="238">
        <v>0.0</v>
      </c>
      <c r="V5169" s="238">
        <v>0.0</v>
      </c>
      <c r="W5169" s="238">
        <v>0.0</v>
      </c>
      <c r="X5169" s="235" t="s">
        <v>628</v>
      </c>
      <c r="Z5169" s="245"/>
      <c r="AA5169" s="245"/>
      <c r="AB5169" s="245"/>
      <c r="AC5169" s="235" t="s">
        <v>38087</v>
      </c>
      <c r="AD5169" s="235" t="s">
        <v>881</v>
      </c>
      <c r="AE5169" s="238">
        <v>752057.0</v>
      </c>
      <c r="AF5169" s="235" t="s">
        <v>631</v>
      </c>
      <c r="AG5169" s="245"/>
      <c r="AH5169" s="245"/>
      <c r="AI5169" s="245"/>
      <c r="AJ5169" s="245"/>
      <c r="AK5169" s="245"/>
      <c r="AL5169" s="245"/>
      <c r="AM5169" s="245"/>
      <c r="AN5169" s="245"/>
      <c r="AO5169" s="238">
        <v>0.0</v>
      </c>
      <c r="AP5169" s="238">
        <v>0.0</v>
      </c>
      <c r="AQ5169" s="235" t="s">
        <v>632</v>
      </c>
      <c r="AR5169" s="243">
        <v>3.7E11</v>
      </c>
      <c r="AS5169" s="235" t="s">
        <v>33466</v>
      </c>
      <c r="AT5169" s="235" t="s">
        <v>533</v>
      </c>
      <c r="AU5169" s="235" t="s">
        <v>634</v>
      </c>
      <c r="AV5169" s="246" t="s">
        <v>635</v>
      </c>
      <c r="AW5169" s="227"/>
      <c r="AX5169" s="227"/>
      <c r="AY5169" s="227"/>
      <c r="AZ5169" s="227"/>
      <c r="BA5169" s="227"/>
      <c r="BB5169" s="227"/>
      <c r="BC5169" s="227"/>
      <c r="BD5169" s="227"/>
      <c r="BE5169" s="227"/>
      <c r="BF5169" s="227"/>
    </row>
    <row r="5170">
      <c r="A5170" s="235" t="s">
        <v>38088</v>
      </c>
      <c r="C5170" s="235" t="s">
        <v>38089</v>
      </c>
      <c r="D5170" s="235" t="s">
        <v>38090</v>
      </c>
      <c r="E5170" s="243">
        <v>6.49E13</v>
      </c>
      <c r="F5170" s="245"/>
      <c r="G5170" s="235" t="s">
        <v>38091</v>
      </c>
      <c r="H5170" s="235" t="s">
        <v>38092</v>
      </c>
      <c r="I5170" s="235" t="s">
        <v>38092</v>
      </c>
      <c r="J5170" s="235" t="s">
        <v>38093</v>
      </c>
      <c r="K5170" s="235" t="s">
        <v>38094</v>
      </c>
      <c r="N5170" s="235" t="s">
        <v>127</v>
      </c>
      <c r="O5170" s="235" t="s">
        <v>794</v>
      </c>
      <c r="P5170" s="238">
        <v>1.0</v>
      </c>
      <c r="Q5170" s="235" t="s">
        <v>627</v>
      </c>
      <c r="R5170" s="238">
        <v>243.8</v>
      </c>
      <c r="S5170" s="238">
        <v>11.96</v>
      </c>
      <c r="T5170" s="238">
        <v>0.0</v>
      </c>
      <c r="U5170" s="238">
        <v>0.0</v>
      </c>
      <c r="V5170" s="238">
        <v>0.0</v>
      </c>
      <c r="W5170" s="238">
        <v>0.0</v>
      </c>
      <c r="X5170" s="235" t="s">
        <v>628</v>
      </c>
      <c r="Z5170" s="245"/>
      <c r="AA5170" s="245"/>
      <c r="AB5170" s="245"/>
      <c r="AC5170" s="235" t="s">
        <v>678</v>
      </c>
      <c r="AD5170" s="235" t="s">
        <v>679</v>
      </c>
      <c r="AE5170" s="238">
        <v>560078.0</v>
      </c>
      <c r="AF5170" s="235" t="s">
        <v>631</v>
      </c>
      <c r="AG5170" s="245"/>
      <c r="AH5170" s="245"/>
      <c r="AI5170" s="245"/>
      <c r="AJ5170" s="245"/>
      <c r="AK5170" s="245"/>
      <c r="AL5170" s="245"/>
      <c r="AM5170" s="245"/>
      <c r="AN5170" s="245"/>
      <c r="AO5170" s="238">
        <v>-4.88</v>
      </c>
      <c r="AP5170" s="238">
        <v>0.0</v>
      </c>
      <c r="AQ5170" s="235" t="s">
        <v>632</v>
      </c>
      <c r="AR5170" s="243">
        <v>1.68E11</v>
      </c>
      <c r="AS5170" s="235" t="s">
        <v>37983</v>
      </c>
      <c r="AT5170" s="235" t="s">
        <v>9</v>
      </c>
      <c r="AU5170" s="235" t="s">
        <v>634</v>
      </c>
      <c r="AV5170" s="246" t="s">
        <v>635</v>
      </c>
      <c r="AW5170" s="227"/>
      <c r="AX5170" s="227"/>
      <c r="AY5170" s="227"/>
      <c r="AZ5170" s="227"/>
      <c r="BA5170" s="227"/>
      <c r="BB5170" s="227"/>
      <c r="BC5170" s="227"/>
      <c r="BD5170" s="227"/>
      <c r="BE5170" s="227"/>
      <c r="BF5170" s="227"/>
    </row>
    <row r="5171">
      <c r="A5171" s="235" t="s">
        <v>38095</v>
      </c>
      <c r="C5171" s="235" t="s">
        <v>38096</v>
      </c>
      <c r="D5171" s="235" t="s">
        <v>38097</v>
      </c>
      <c r="E5171" s="243">
        <v>6.49E13</v>
      </c>
      <c r="F5171" s="245"/>
      <c r="G5171" s="235" t="s">
        <v>38098</v>
      </c>
      <c r="H5171" s="235" t="s">
        <v>38099</v>
      </c>
      <c r="I5171" s="235" t="s">
        <v>38099</v>
      </c>
      <c r="J5171" s="235" t="s">
        <v>38100</v>
      </c>
      <c r="K5171" s="235" t="s">
        <v>38101</v>
      </c>
      <c r="N5171" s="235" t="s">
        <v>71</v>
      </c>
      <c r="O5171" s="235" t="s">
        <v>240</v>
      </c>
      <c r="P5171" s="238">
        <v>1.0</v>
      </c>
      <c r="Q5171" s="235" t="s">
        <v>627</v>
      </c>
      <c r="R5171" s="238">
        <v>246.66</v>
      </c>
      <c r="S5171" s="238">
        <v>12.34</v>
      </c>
      <c r="T5171" s="238">
        <v>0.0</v>
      </c>
      <c r="U5171" s="238">
        <v>0.0</v>
      </c>
      <c r="V5171" s="238">
        <v>0.0</v>
      </c>
      <c r="W5171" s="238">
        <v>0.0</v>
      </c>
      <c r="X5171" s="235" t="s">
        <v>628</v>
      </c>
      <c r="Z5171" s="245"/>
      <c r="AA5171" s="245"/>
      <c r="AB5171" s="245"/>
      <c r="AC5171" s="235" t="s">
        <v>1456</v>
      </c>
      <c r="AD5171" s="235" t="s">
        <v>928</v>
      </c>
      <c r="AE5171" s="238">
        <v>122011.0</v>
      </c>
      <c r="AF5171" s="235" t="s">
        <v>631</v>
      </c>
      <c r="AG5171" s="245"/>
      <c r="AH5171" s="245"/>
      <c r="AI5171" s="245"/>
      <c r="AJ5171" s="245"/>
      <c r="AK5171" s="245"/>
      <c r="AL5171" s="245"/>
      <c r="AM5171" s="245"/>
      <c r="AN5171" s="245"/>
      <c r="AO5171" s="238">
        <v>0.0</v>
      </c>
      <c r="AP5171" s="238">
        <v>0.0</v>
      </c>
      <c r="AQ5171" s="235" t="s">
        <v>632</v>
      </c>
      <c r="AR5171" s="243">
        <v>3.7E11</v>
      </c>
      <c r="AS5171" s="235" t="s">
        <v>36667</v>
      </c>
      <c r="AT5171" s="235" t="s">
        <v>14</v>
      </c>
      <c r="AU5171" s="235" t="s">
        <v>634</v>
      </c>
      <c r="AV5171" s="246" t="s">
        <v>635</v>
      </c>
      <c r="AW5171" s="227"/>
      <c r="AX5171" s="227"/>
      <c r="AY5171" s="227"/>
      <c r="AZ5171" s="227"/>
      <c r="BA5171" s="227"/>
      <c r="BB5171" s="227"/>
      <c r="BC5171" s="227"/>
      <c r="BD5171" s="227"/>
      <c r="BE5171" s="227"/>
      <c r="BF5171" s="227"/>
    </row>
    <row r="5172">
      <c r="A5172" s="235" t="s">
        <v>38102</v>
      </c>
      <c r="C5172" s="235" t="s">
        <v>38103</v>
      </c>
      <c r="D5172" s="235" t="s">
        <v>38104</v>
      </c>
      <c r="E5172" s="243">
        <v>6.49E13</v>
      </c>
      <c r="F5172" s="245"/>
      <c r="G5172" s="235" t="s">
        <v>38105</v>
      </c>
      <c r="H5172" s="235" t="s">
        <v>38106</v>
      </c>
      <c r="I5172" s="235" t="s">
        <v>38106</v>
      </c>
      <c r="J5172" s="235" t="s">
        <v>38107</v>
      </c>
      <c r="K5172" s="235" t="s">
        <v>38108</v>
      </c>
      <c r="N5172" s="235" t="s">
        <v>51</v>
      </c>
      <c r="O5172" s="235" t="s">
        <v>273</v>
      </c>
      <c r="P5172" s="238">
        <v>1.0</v>
      </c>
      <c r="Q5172" s="235" t="s">
        <v>627</v>
      </c>
      <c r="R5172" s="238">
        <v>235.24</v>
      </c>
      <c r="S5172" s="238">
        <v>11.76</v>
      </c>
      <c r="T5172" s="238">
        <v>0.0</v>
      </c>
      <c r="U5172" s="238">
        <v>0.0</v>
      </c>
      <c r="V5172" s="238">
        <v>0.0</v>
      </c>
      <c r="W5172" s="238">
        <v>0.0</v>
      </c>
      <c r="X5172" s="235" t="s">
        <v>628</v>
      </c>
      <c r="Z5172" s="245"/>
      <c r="AA5172" s="245"/>
      <c r="AB5172" s="245"/>
      <c r="AC5172" s="235" t="s">
        <v>697</v>
      </c>
      <c r="AD5172" s="235" t="s">
        <v>698</v>
      </c>
      <c r="AE5172" s="238">
        <v>500004.0</v>
      </c>
      <c r="AF5172" s="235" t="s">
        <v>631</v>
      </c>
      <c r="AG5172" s="245"/>
      <c r="AH5172" s="245"/>
      <c r="AI5172" s="245"/>
      <c r="AJ5172" s="245"/>
      <c r="AK5172" s="245"/>
      <c r="AL5172" s="245"/>
      <c r="AM5172" s="245"/>
      <c r="AN5172" s="245"/>
      <c r="AO5172" s="238">
        <v>0.0</v>
      </c>
      <c r="AP5172" s="238">
        <v>0.0</v>
      </c>
      <c r="AQ5172" s="235" t="s">
        <v>632</v>
      </c>
      <c r="AR5172" s="243">
        <v>2.02E11</v>
      </c>
      <c r="AS5172" s="235" t="s">
        <v>36667</v>
      </c>
      <c r="AT5172" s="235" t="s">
        <v>16</v>
      </c>
      <c r="AU5172" s="235" t="s">
        <v>634</v>
      </c>
      <c r="AV5172" s="246" t="s">
        <v>635</v>
      </c>
      <c r="AW5172" s="227"/>
      <c r="AX5172" s="227"/>
      <c r="AY5172" s="227"/>
      <c r="AZ5172" s="227"/>
      <c r="BA5172" s="227"/>
      <c r="BB5172" s="227"/>
      <c r="BC5172" s="227"/>
      <c r="BD5172" s="227"/>
      <c r="BE5172" s="227"/>
      <c r="BF5172" s="227"/>
    </row>
    <row r="5173">
      <c r="A5173" s="235" t="s">
        <v>38109</v>
      </c>
      <c r="C5173" s="235" t="s">
        <v>38110</v>
      </c>
      <c r="D5173" s="235" t="s">
        <v>38111</v>
      </c>
      <c r="E5173" s="243">
        <v>6.49E13</v>
      </c>
      <c r="F5173" s="245"/>
      <c r="G5173" s="235" t="s">
        <v>38112</v>
      </c>
      <c r="H5173" s="235" t="s">
        <v>38113</v>
      </c>
      <c r="I5173" s="235" t="s">
        <v>38113</v>
      </c>
      <c r="J5173" s="235" t="s">
        <v>38114</v>
      </c>
      <c r="K5173" s="235" t="s">
        <v>38115</v>
      </c>
      <c r="N5173" s="235" t="s">
        <v>2848</v>
      </c>
      <c r="O5173" s="235" t="s">
        <v>2849</v>
      </c>
      <c r="P5173" s="238">
        <v>1.0</v>
      </c>
      <c r="Q5173" s="235" t="s">
        <v>627</v>
      </c>
      <c r="R5173" s="238">
        <v>246.66</v>
      </c>
      <c r="S5173" s="238">
        <v>12.34</v>
      </c>
      <c r="T5173" s="238">
        <v>0.0</v>
      </c>
      <c r="U5173" s="238">
        <v>0.0</v>
      </c>
      <c r="V5173" s="238">
        <v>0.0</v>
      </c>
      <c r="W5173" s="238">
        <v>0.0</v>
      </c>
      <c r="X5173" s="235" t="s">
        <v>628</v>
      </c>
      <c r="Z5173" s="245"/>
      <c r="AA5173" s="245"/>
      <c r="AB5173" s="245"/>
      <c r="AC5173" s="235" t="s">
        <v>687</v>
      </c>
      <c r="AD5173" s="235" t="s">
        <v>666</v>
      </c>
      <c r="AE5173" s="238">
        <v>600122.0</v>
      </c>
      <c r="AF5173" s="235" t="s">
        <v>631</v>
      </c>
      <c r="AG5173" s="245"/>
      <c r="AH5173" s="245"/>
      <c r="AI5173" s="245"/>
      <c r="AJ5173" s="245"/>
      <c r="AK5173" s="245"/>
      <c r="AL5173" s="245"/>
      <c r="AM5173" s="245"/>
      <c r="AN5173" s="245"/>
      <c r="AO5173" s="238">
        <v>0.0</v>
      </c>
      <c r="AP5173" s="238">
        <v>0.0</v>
      </c>
      <c r="AQ5173" s="235" t="s">
        <v>632</v>
      </c>
      <c r="AR5173" s="243">
        <v>3.7E11</v>
      </c>
      <c r="AS5173" s="235" t="s">
        <v>36667</v>
      </c>
      <c r="AT5173" s="235" t="s">
        <v>156</v>
      </c>
      <c r="AU5173" s="235" t="s">
        <v>634</v>
      </c>
      <c r="AV5173" s="246" t="s">
        <v>635</v>
      </c>
      <c r="AW5173" s="227"/>
      <c r="AX5173" s="227"/>
      <c r="AY5173" s="227"/>
      <c r="AZ5173" s="227"/>
      <c r="BA5173" s="227"/>
      <c r="BB5173" s="227"/>
      <c r="BC5173" s="227"/>
      <c r="BD5173" s="227"/>
      <c r="BE5173" s="227"/>
      <c r="BF5173" s="227"/>
    </row>
    <row r="5174">
      <c r="A5174" s="235" t="s">
        <v>38116</v>
      </c>
      <c r="C5174" s="235" t="s">
        <v>38117</v>
      </c>
      <c r="D5174" s="235" t="s">
        <v>38118</v>
      </c>
      <c r="E5174" s="243">
        <v>6.48E13</v>
      </c>
      <c r="F5174" s="245"/>
      <c r="G5174" s="235" t="s">
        <v>38119</v>
      </c>
      <c r="H5174" s="235" t="s">
        <v>38120</v>
      </c>
      <c r="I5174" s="235" t="s">
        <v>38120</v>
      </c>
      <c r="J5174" s="235" t="s">
        <v>38121</v>
      </c>
      <c r="K5174" s="235" t="s">
        <v>21105</v>
      </c>
      <c r="N5174" s="235" t="s">
        <v>136</v>
      </c>
      <c r="O5174" s="235" t="s">
        <v>256</v>
      </c>
      <c r="P5174" s="238">
        <v>1.0</v>
      </c>
      <c r="Q5174" s="235" t="s">
        <v>627</v>
      </c>
      <c r="R5174" s="238">
        <v>244.76</v>
      </c>
      <c r="S5174" s="238">
        <v>12.0</v>
      </c>
      <c r="T5174" s="238">
        <v>38.1</v>
      </c>
      <c r="U5174" s="238">
        <v>1.9</v>
      </c>
      <c r="V5174" s="238">
        <v>0.0</v>
      </c>
      <c r="W5174" s="238">
        <v>0.0</v>
      </c>
      <c r="X5174" s="235" t="s">
        <v>628</v>
      </c>
      <c r="Z5174" s="245"/>
      <c r="AA5174" s="245"/>
      <c r="AB5174" s="245"/>
      <c r="AC5174" s="235" t="s">
        <v>6571</v>
      </c>
      <c r="AD5174" s="235" t="s">
        <v>731</v>
      </c>
      <c r="AE5174" s="238">
        <v>781019.0</v>
      </c>
      <c r="AF5174" s="235" t="s">
        <v>631</v>
      </c>
      <c r="AG5174" s="245"/>
      <c r="AH5174" s="245"/>
      <c r="AI5174" s="245"/>
      <c r="AJ5174" s="245"/>
      <c r="AK5174" s="245"/>
      <c r="AL5174" s="245"/>
      <c r="AM5174" s="245"/>
      <c r="AN5174" s="245"/>
      <c r="AO5174" s="238">
        <v>-4.9</v>
      </c>
      <c r="AP5174" s="238">
        <v>-38.1</v>
      </c>
      <c r="AQ5174" s="235" t="s">
        <v>632</v>
      </c>
      <c r="AR5174" s="243">
        <v>3.7E11</v>
      </c>
      <c r="AS5174" s="235" t="s">
        <v>33466</v>
      </c>
      <c r="AT5174" s="235" t="s">
        <v>533</v>
      </c>
      <c r="AU5174" s="235" t="s">
        <v>634</v>
      </c>
      <c r="AV5174" s="246" t="s">
        <v>635</v>
      </c>
      <c r="AW5174" s="227"/>
      <c r="AX5174" s="227"/>
      <c r="AY5174" s="227"/>
      <c r="AZ5174" s="227"/>
      <c r="BA5174" s="227"/>
      <c r="BB5174" s="227"/>
      <c r="BC5174" s="227"/>
      <c r="BD5174" s="227"/>
      <c r="BE5174" s="227"/>
      <c r="BF5174" s="227"/>
    </row>
    <row r="5175">
      <c r="A5175" s="235" t="s">
        <v>38122</v>
      </c>
      <c r="C5175" s="235" t="s">
        <v>38123</v>
      </c>
      <c r="D5175" s="235" t="s">
        <v>38124</v>
      </c>
      <c r="E5175" s="243">
        <v>6.49E13</v>
      </c>
      <c r="F5175" s="245"/>
      <c r="G5175" s="235" t="s">
        <v>38125</v>
      </c>
      <c r="H5175" s="235" t="s">
        <v>38126</v>
      </c>
      <c r="I5175" s="235" t="s">
        <v>38127</v>
      </c>
      <c r="J5175" s="235" t="s">
        <v>38128</v>
      </c>
      <c r="K5175" s="235" t="s">
        <v>38129</v>
      </c>
      <c r="N5175" s="235" t="s">
        <v>42</v>
      </c>
      <c r="O5175" s="235" t="s">
        <v>204</v>
      </c>
      <c r="P5175" s="238">
        <v>1.0</v>
      </c>
      <c r="Q5175" s="235" t="s">
        <v>627</v>
      </c>
      <c r="R5175" s="238">
        <v>237.14</v>
      </c>
      <c r="S5175" s="238">
        <v>11.86</v>
      </c>
      <c r="T5175" s="238">
        <v>38.1</v>
      </c>
      <c r="U5175" s="238">
        <v>1.9</v>
      </c>
      <c r="V5175" s="238">
        <v>0.0</v>
      </c>
      <c r="W5175" s="238">
        <v>0.0</v>
      </c>
      <c r="X5175" s="235" t="s">
        <v>628</v>
      </c>
      <c r="Z5175" s="245"/>
      <c r="AA5175" s="245"/>
      <c r="AB5175" s="245"/>
      <c r="AC5175" s="235" t="s">
        <v>27238</v>
      </c>
      <c r="AD5175" s="235" t="s">
        <v>833</v>
      </c>
      <c r="AE5175" s="238">
        <v>523002.0</v>
      </c>
      <c r="AF5175" s="235" t="s">
        <v>631</v>
      </c>
      <c r="AG5175" s="245"/>
      <c r="AH5175" s="245"/>
      <c r="AI5175" s="245"/>
      <c r="AJ5175" s="245"/>
      <c r="AK5175" s="245"/>
      <c r="AL5175" s="245"/>
      <c r="AM5175" s="245"/>
      <c r="AN5175" s="245"/>
      <c r="AO5175" s="238">
        <v>0.0</v>
      </c>
      <c r="AP5175" s="238">
        <v>-38.1</v>
      </c>
      <c r="AQ5175" s="235" t="s">
        <v>632</v>
      </c>
      <c r="AR5175" s="243">
        <v>3.7E11</v>
      </c>
      <c r="AS5175" s="235" t="s">
        <v>35520</v>
      </c>
      <c r="AT5175" s="235" t="s">
        <v>156</v>
      </c>
      <c r="AU5175" s="235" t="s">
        <v>634</v>
      </c>
      <c r="AV5175" s="246" t="s">
        <v>635</v>
      </c>
      <c r="AW5175" s="227"/>
      <c r="AX5175" s="227"/>
      <c r="AY5175" s="227"/>
      <c r="AZ5175" s="227"/>
      <c r="BA5175" s="227"/>
      <c r="BB5175" s="227"/>
      <c r="BC5175" s="227"/>
      <c r="BD5175" s="227"/>
      <c r="BE5175" s="227"/>
      <c r="BF5175" s="227"/>
    </row>
    <row r="5176">
      <c r="A5176" s="235" t="s">
        <v>38130</v>
      </c>
      <c r="C5176" s="235" t="s">
        <v>38131</v>
      </c>
      <c r="D5176" s="235" t="s">
        <v>38132</v>
      </c>
      <c r="E5176" s="243">
        <v>6.49E13</v>
      </c>
      <c r="F5176" s="245"/>
      <c r="G5176" s="235" t="s">
        <v>38133</v>
      </c>
      <c r="H5176" s="235" t="s">
        <v>38134</v>
      </c>
      <c r="I5176" s="235" t="s">
        <v>38135</v>
      </c>
      <c r="J5176" s="235" t="s">
        <v>38136</v>
      </c>
      <c r="K5176" s="235" t="s">
        <v>38137</v>
      </c>
      <c r="N5176" s="235" t="s">
        <v>127</v>
      </c>
      <c r="O5176" s="235" t="s">
        <v>794</v>
      </c>
      <c r="P5176" s="238">
        <v>1.0</v>
      </c>
      <c r="Q5176" s="235" t="s">
        <v>627</v>
      </c>
      <c r="R5176" s="238">
        <v>243.81</v>
      </c>
      <c r="S5176" s="238">
        <v>11.95</v>
      </c>
      <c r="T5176" s="238">
        <v>0.0</v>
      </c>
      <c r="U5176" s="238">
        <v>0.0</v>
      </c>
      <c r="V5176" s="238">
        <v>0.0</v>
      </c>
      <c r="W5176" s="238">
        <v>0.0</v>
      </c>
      <c r="X5176" s="235" t="s">
        <v>628</v>
      </c>
      <c r="Z5176" s="245"/>
      <c r="AA5176" s="245"/>
      <c r="AB5176" s="245"/>
      <c r="AC5176" s="235" t="s">
        <v>697</v>
      </c>
      <c r="AD5176" s="235" t="s">
        <v>698</v>
      </c>
      <c r="AE5176" s="238">
        <v>500094.0</v>
      </c>
      <c r="AF5176" s="235" t="s">
        <v>631</v>
      </c>
      <c r="AG5176" s="245"/>
      <c r="AH5176" s="245"/>
      <c r="AI5176" s="245"/>
      <c r="AJ5176" s="245"/>
      <c r="AK5176" s="245"/>
      <c r="AL5176" s="245"/>
      <c r="AM5176" s="245"/>
      <c r="AN5176" s="245"/>
      <c r="AO5176" s="238">
        <v>-4.88</v>
      </c>
      <c r="AP5176" s="238">
        <v>0.0</v>
      </c>
      <c r="AQ5176" s="235" t="s">
        <v>632</v>
      </c>
      <c r="AR5176" s="243">
        <v>1.68E11</v>
      </c>
      <c r="AS5176" s="235" t="s">
        <v>36667</v>
      </c>
      <c r="AT5176" s="235" t="s">
        <v>9</v>
      </c>
      <c r="AU5176" s="235" t="s">
        <v>634</v>
      </c>
      <c r="AV5176" s="246" t="s">
        <v>635</v>
      </c>
      <c r="AW5176" s="227"/>
      <c r="AX5176" s="227"/>
      <c r="AY5176" s="227"/>
      <c r="AZ5176" s="227"/>
      <c r="BA5176" s="227"/>
      <c r="BB5176" s="227"/>
      <c r="BC5176" s="227"/>
      <c r="BD5176" s="227"/>
      <c r="BE5176" s="227"/>
      <c r="BF5176" s="227"/>
    </row>
    <row r="5177">
      <c r="A5177" s="235" t="s">
        <v>38138</v>
      </c>
      <c r="C5177" s="235" t="s">
        <v>38139</v>
      </c>
      <c r="D5177" s="235" t="s">
        <v>38140</v>
      </c>
      <c r="E5177" s="243">
        <v>6.49E13</v>
      </c>
      <c r="F5177" s="245"/>
      <c r="G5177" s="235" t="s">
        <v>38141</v>
      </c>
      <c r="H5177" s="235" t="s">
        <v>38142</v>
      </c>
      <c r="I5177" s="235" t="s">
        <v>38142</v>
      </c>
      <c r="J5177" s="235" t="s">
        <v>38143</v>
      </c>
      <c r="K5177" s="235" t="s">
        <v>38144</v>
      </c>
      <c r="N5177" s="235" t="s">
        <v>144</v>
      </c>
      <c r="O5177" s="235" t="s">
        <v>232</v>
      </c>
      <c r="P5177" s="238">
        <v>1.0</v>
      </c>
      <c r="Q5177" s="235" t="s">
        <v>627</v>
      </c>
      <c r="R5177" s="238">
        <v>665.71</v>
      </c>
      <c r="S5177" s="238">
        <v>33.29</v>
      </c>
      <c r="T5177" s="238">
        <v>38.1</v>
      </c>
      <c r="U5177" s="238">
        <v>1.9</v>
      </c>
      <c r="V5177" s="238">
        <v>0.0</v>
      </c>
      <c r="W5177" s="238">
        <v>0.0</v>
      </c>
      <c r="X5177" s="235" t="s">
        <v>628</v>
      </c>
      <c r="Z5177" s="245"/>
      <c r="AA5177" s="245"/>
      <c r="AB5177" s="245"/>
      <c r="AC5177" s="235" t="s">
        <v>38145</v>
      </c>
      <c r="AD5177" s="235" t="s">
        <v>645</v>
      </c>
      <c r="AE5177" s="238">
        <v>690524.0</v>
      </c>
      <c r="AF5177" s="235" t="s">
        <v>631</v>
      </c>
      <c r="AG5177" s="245"/>
      <c r="AH5177" s="245"/>
      <c r="AI5177" s="245"/>
      <c r="AJ5177" s="245"/>
      <c r="AK5177" s="245"/>
      <c r="AL5177" s="245"/>
      <c r="AM5177" s="245"/>
      <c r="AN5177" s="245"/>
      <c r="AO5177" s="238">
        <v>0.0</v>
      </c>
      <c r="AP5177" s="238">
        <v>-38.1</v>
      </c>
      <c r="AQ5177" s="235" t="s">
        <v>632</v>
      </c>
      <c r="AR5177" s="243">
        <v>3.7E11</v>
      </c>
      <c r="AS5177" s="235" t="s">
        <v>35520</v>
      </c>
      <c r="AT5177" s="235" t="s">
        <v>155</v>
      </c>
      <c r="AU5177" s="235" t="s">
        <v>634</v>
      </c>
      <c r="AV5177" s="246" t="s">
        <v>635</v>
      </c>
      <c r="AW5177" s="227"/>
      <c r="AX5177" s="227"/>
      <c r="AY5177" s="227"/>
      <c r="AZ5177" s="227"/>
      <c r="BA5177" s="227"/>
      <c r="BB5177" s="227"/>
      <c r="BC5177" s="227"/>
      <c r="BD5177" s="227"/>
      <c r="BE5177" s="227"/>
      <c r="BF5177" s="227"/>
    </row>
    <row r="5178">
      <c r="A5178" s="235" t="s">
        <v>38146</v>
      </c>
      <c r="C5178" s="235" t="s">
        <v>38147</v>
      </c>
      <c r="D5178" s="235" t="s">
        <v>38148</v>
      </c>
      <c r="E5178" s="243">
        <v>6.49E13</v>
      </c>
      <c r="F5178" s="245"/>
      <c r="G5178" s="235" t="s">
        <v>38149</v>
      </c>
      <c r="H5178" s="235" t="s">
        <v>38150</v>
      </c>
      <c r="I5178" s="235" t="s">
        <v>38150</v>
      </c>
      <c r="J5178" s="235" t="s">
        <v>38151</v>
      </c>
      <c r="K5178" s="235" t="s">
        <v>38152</v>
      </c>
      <c r="N5178" s="235" t="s">
        <v>42</v>
      </c>
      <c r="O5178" s="235" t="s">
        <v>204</v>
      </c>
      <c r="P5178" s="238">
        <v>1.0</v>
      </c>
      <c r="Q5178" s="235" t="s">
        <v>627</v>
      </c>
      <c r="R5178" s="238">
        <v>237.14</v>
      </c>
      <c r="S5178" s="238">
        <v>11.86</v>
      </c>
      <c r="T5178" s="238">
        <v>38.1</v>
      </c>
      <c r="U5178" s="238">
        <v>1.9</v>
      </c>
      <c r="V5178" s="238">
        <v>0.0</v>
      </c>
      <c r="W5178" s="238">
        <v>0.0</v>
      </c>
      <c r="X5178" s="235" t="s">
        <v>628</v>
      </c>
      <c r="Z5178" s="245"/>
      <c r="AA5178" s="245"/>
      <c r="AB5178" s="245"/>
      <c r="AC5178" s="235" t="s">
        <v>38153</v>
      </c>
      <c r="AD5178" s="235" t="s">
        <v>833</v>
      </c>
      <c r="AE5178" s="238">
        <v>534425.0</v>
      </c>
      <c r="AF5178" s="235" t="s">
        <v>631</v>
      </c>
      <c r="AG5178" s="245"/>
      <c r="AH5178" s="245"/>
      <c r="AI5178" s="245"/>
      <c r="AJ5178" s="245"/>
      <c r="AK5178" s="245"/>
      <c r="AL5178" s="245"/>
      <c r="AM5178" s="245"/>
      <c r="AN5178" s="245"/>
      <c r="AO5178" s="238">
        <v>0.0</v>
      </c>
      <c r="AP5178" s="238">
        <v>-38.1</v>
      </c>
      <c r="AQ5178" s="235" t="s">
        <v>632</v>
      </c>
      <c r="AR5178" s="243">
        <v>3.7E11</v>
      </c>
      <c r="AS5178" s="235" t="s">
        <v>35520</v>
      </c>
      <c r="AT5178" s="235" t="s">
        <v>156</v>
      </c>
      <c r="AU5178" s="235" t="s">
        <v>634</v>
      </c>
      <c r="AV5178" s="246" t="s">
        <v>635</v>
      </c>
      <c r="AW5178" s="227"/>
      <c r="AX5178" s="227"/>
      <c r="AY5178" s="227"/>
      <c r="AZ5178" s="227"/>
      <c r="BA5178" s="227"/>
      <c r="BB5178" s="227"/>
      <c r="BC5178" s="227"/>
      <c r="BD5178" s="227"/>
      <c r="BE5178" s="227"/>
      <c r="BF5178" s="227"/>
    </row>
    <row r="5179">
      <c r="A5179" s="235" t="s">
        <v>38154</v>
      </c>
      <c r="C5179" s="235" t="s">
        <v>38155</v>
      </c>
      <c r="D5179" s="235" t="s">
        <v>38156</v>
      </c>
      <c r="E5179" s="243">
        <v>6.49E13</v>
      </c>
      <c r="F5179" s="245"/>
      <c r="G5179" s="235" t="s">
        <v>38157</v>
      </c>
      <c r="H5179" s="235" t="s">
        <v>38158</v>
      </c>
      <c r="I5179" s="235" t="s">
        <v>38159</v>
      </c>
      <c r="J5179" s="235" t="s">
        <v>38160</v>
      </c>
      <c r="K5179" s="235" t="s">
        <v>38161</v>
      </c>
      <c r="N5179" s="235" t="s">
        <v>42</v>
      </c>
      <c r="O5179" s="235" t="s">
        <v>204</v>
      </c>
      <c r="P5179" s="238">
        <v>1.0</v>
      </c>
      <c r="Q5179" s="235" t="s">
        <v>627</v>
      </c>
      <c r="R5179" s="238">
        <v>237.14</v>
      </c>
      <c r="S5179" s="238">
        <v>11.62</v>
      </c>
      <c r="T5179" s="238">
        <v>0.0</v>
      </c>
      <c r="U5179" s="238">
        <v>0.0</v>
      </c>
      <c r="V5179" s="238">
        <v>0.0</v>
      </c>
      <c r="W5179" s="238">
        <v>0.0</v>
      </c>
      <c r="X5179" s="235" t="s">
        <v>628</v>
      </c>
      <c r="Z5179" s="245"/>
      <c r="AA5179" s="245"/>
      <c r="AB5179" s="245"/>
      <c r="AC5179" s="235" t="s">
        <v>697</v>
      </c>
      <c r="AD5179" s="235" t="s">
        <v>698</v>
      </c>
      <c r="AE5179" s="238">
        <v>500049.0</v>
      </c>
      <c r="AF5179" s="235" t="s">
        <v>631</v>
      </c>
      <c r="AG5179" s="245"/>
      <c r="AH5179" s="245"/>
      <c r="AI5179" s="245"/>
      <c r="AJ5179" s="245"/>
      <c r="AK5179" s="245"/>
      <c r="AL5179" s="245"/>
      <c r="AM5179" s="245"/>
      <c r="AN5179" s="245"/>
      <c r="AO5179" s="238">
        <v>-4.74</v>
      </c>
      <c r="AP5179" s="238">
        <v>0.0</v>
      </c>
      <c r="AQ5179" s="235" t="s">
        <v>632</v>
      </c>
      <c r="AR5179" s="243">
        <v>3.7E11</v>
      </c>
      <c r="AS5179" s="235" t="s">
        <v>35520</v>
      </c>
      <c r="AT5179" s="235" t="s">
        <v>9</v>
      </c>
      <c r="AU5179" s="235" t="s">
        <v>634</v>
      </c>
      <c r="AV5179" s="246" t="s">
        <v>635</v>
      </c>
      <c r="AW5179" s="227"/>
      <c r="AX5179" s="227"/>
      <c r="AY5179" s="227"/>
      <c r="AZ5179" s="227"/>
      <c r="BA5179" s="227"/>
      <c r="BB5179" s="227"/>
      <c r="BC5179" s="227"/>
      <c r="BD5179" s="227"/>
      <c r="BE5179" s="227"/>
      <c r="BF5179" s="227"/>
    </row>
    <row r="5180">
      <c r="A5180" s="235" t="s">
        <v>38162</v>
      </c>
      <c r="C5180" s="235" t="s">
        <v>38163</v>
      </c>
      <c r="D5180" s="235" t="s">
        <v>38164</v>
      </c>
      <c r="E5180" s="243">
        <v>6.49E13</v>
      </c>
      <c r="F5180" s="245"/>
      <c r="G5180" s="235" t="s">
        <v>38165</v>
      </c>
      <c r="H5180" s="235" t="s">
        <v>38166</v>
      </c>
      <c r="I5180" s="235" t="s">
        <v>38166</v>
      </c>
      <c r="J5180" s="235" t="s">
        <v>38167</v>
      </c>
      <c r="K5180" s="235" t="s">
        <v>38168</v>
      </c>
      <c r="N5180" s="235" t="s">
        <v>145</v>
      </c>
      <c r="O5180" s="235" t="s">
        <v>370</v>
      </c>
      <c r="P5180" s="238">
        <v>1.0</v>
      </c>
      <c r="Q5180" s="235" t="s">
        <v>627</v>
      </c>
      <c r="R5180" s="238">
        <v>1522.86</v>
      </c>
      <c r="S5180" s="238">
        <v>76.14</v>
      </c>
      <c r="T5180" s="238">
        <v>38.1</v>
      </c>
      <c r="U5180" s="238">
        <v>1.9</v>
      </c>
      <c r="V5180" s="238">
        <v>0.0</v>
      </c>
      <c r="W5180" s="238">
        <v>0.0</v>
      </c>
      <c r="X5180" s="235" t="s">
        <v>628</v>
      </c>
      <c r="Z5180" s="245"/>
      <c r="AA5180" s="245"/>
      <c r="AB5180" s="245"/>
      <c r="AC5180" s="235" t="s">
        <v>2165</v>
      </c>
      <c r="AD5180" s="235" t="s">
        <v>928</v>
      </c>
      <c r="AE5180" s="238">
        <v>121007.0</v>
      </c>
      <c r="AF5180" s="235" t="s">
        <v>631</v>
      </c>
      <c r="AG5180" s="245"/>
      <c r="AH5180" s="245"/>
      <c r="AI5180" s="245"/>
      <c r="AJ5180" s="245"/>
      <c r="AK5180" s="245"/>
      <c r="AL5180" s="245"/>
      <c r="AM5180" s="245"/>
      <c r="AN5180" s="245"/>
      <c r="AO5180" s="238">
        <v>0.0</v>
      </c>
      <c r="AP5180" s="238">
        <v>-38.1</v>
      </c>
      <c r="AQ5180" s="235" t="s">
        <v>632</v>
      </c>
      <c r="AR5180" s="243">
        <v>3.7E11</v>
      </c>
      <c r="AS5180" s="235" t="s">
        <v>36667</v>
      </c>
      <c r="AT5180" s="235" t="s">
        <v>533</v>
      </c>
      <c r="AU5180" s="235" t="s">
        <v>634</v>
      </c>
      <c r="AV5180" s="246" t="s">
        <v>635</v>
      </c>
      <c r="AW5180" s="227"/>
      <c r="AX5180" s="227"/>
      <c r="AY5180" s="227"/>
      <c r="AZ5180" s="227"/>
      <c r="BA5180" s="227"/>
      <c r="BB5180" s="227"/>
      <c r="BC5180" s="227"/>
      <c r="BD5180" s="227"/>
      <c r="BE5180" s="227"/>
      <c r="BF5180" s="227"/>
    </row>
    <row r="5181">
      <c r="A5181" s="235" t="s">
        <v>38169</v>
      </c>
      <c r="C5181" s="235" t="s">
        <v>38170</v>
      </c>
      <c r="D5181" s="235" t="s">
        <v>38171</v>
      </c>
      <c r="E5181" s="243">
        <v>6.49E13</v>
      </c>
      <c r="F5181" s="245"/>
      <c r="G5181" s="235" t="s">
        <v>38172</v>
      </c>
      <c r="H5181" s="235" t="s">
        <v>38173</v>
      </c>
      <c r="I5181" s="235" t="s">
        <v>38173</v>
      </c>
      <c r="J5181" s="235" t="s">
        <v>38174</v>
      </c>
      <c r="K5181" s="235" t="s">
        <v>38175</v>
      </c>
      <c r="N5181" s="235" t="s">
        <v>90</v>
      </c>
      <c r="O5181" s="235" t="s">
        <v>279</v>
      </c>
      <c r="P5181" s="238">
        <v>1.0</v>
      </c>
      <c r="Q5181" s="235" t="s">
        <v>627</v>
      </c>
      <c r="R5181" s="238">
        <v>243.8</v>
      </c>
      <c r="S5181" s="238">
        <v>12.2</v>
      </c>
      <c r="T5181" s="238">
        <v>38.1</v>
      </c>
      <c r="U5181" s="238">
        <v>1.9</v>
      </c>
      <c r="V5181" s="238">
        <v>0.0</v>
      </c>
      <c r="W5181" s="238">
        <v>0.0</v>
      </c>
      <c r="X5181" s="235" t="s">
        <v>628</v>
      </c>
      <c r="Z5181" s="245"/>
      <c r="AA5181" s="245"/>
      <c r="AB5181" s="245"/>
      <c r="AC5181" s="235" t="s">
        <v>927</v>
      </c>
      <c r="AD5181" s="235" t="s">
        <v>928</v>
      </c>
      <c r="AE5181" s="238">
        <v>124001.0</v>
      </c>
      <c r="AF5181" s="235" t="s">
        <v>631</v>
      </c>
      <c r="AG5181" s="245"/>
      <c r="AH5181" s="245"/>
      <c r="AI5181" s="245"/>
      <c r="AJ5181" s="245"/>
      <c r="AK5181" s="245"/>
      <c r="AL5181" s="245"/>
      <c r="AM5181" s="245"/>
      <c r="AN5181" s="245"/>
      <c r="AO5181" s="238">
        <v>0.0</v>
      </c>
      <c r="AP5181" s="238">
        <v>-38.1</v>
      </c>
      <c r="AQ5181" s="235" t="s">
        <v>632</v>
      </c>
      <c r="AR5181" s="243">
        <v>3.7E11</v>
      </c>
      <c r="AS5181" s="235" t="s">
        <v>36667</v>
      </c>
      <c r="AT5181" s="235" t="s">
        <v>14</v>
      </c>
      <c r="AU5181" s="235" t="s">
        <v>634</v>
      </c>
      <c r="AV5181" s="246" t="s">
        <v>635</v>
      </c>
      <c r="AW5181" s="227"/>
      <c r="AX5181" s="227"/>
      <c r="AY5181" s="227"/>
      <c r="AZ5181" s="227"/>
      <c r="BA5181" s="227"/>
      <c r="BB5181" s="227"/>
      <c r="BC5181" s="227"/>
      <c r="BD5181" s="227"/>
      <c r="BE5181" s="227"/>
      <c r="BF5181" s="227"/>
    </row>
    <row r="5182">
      <c r="A5182" s="235" t="s">
        <v>38176</v>
      </c>
      <c r="C5182" s="235" t="s">
        <v>38177</v>
      </c>
      <c r="D5182" s="235" t="s">
        <v>38178</v>
      </c>
      <c r="E5182" s="243">
        <v>6.45E13</v>
      </c>
      <c r="F5182" s="245"/>
      <c r="G5182" s="235" t="s">
        <v>38179</v>
      </c>
      <c r="H5182" s="235" t="s">
        <v>38180</v>
      </c>
      <c r="I5182" s="235" t="s">
        <v>38181</v>
      </c>
      <c r="J5182" s="235" t="s">
        <v>38182</v>
      </c>
      <c r="K5182" s="235" t="s">
        <v>7891</v>
      </c>
      <c r="N5182" s="235" t="s">
        <v>12</v>
      </c>
      <c r="O5182" s="235" t="s">
        <v>804</v>
      </c>
      <c r="P5182" s="238">
        <v>1.0</v>
      </c>
      <c r="Q5182" s="235" t="s">
        <v>627</v>
      </c>
      <c r="R5182" s="238">
        <v>265.72</v>
      </c>
      <c r="S5182" s="238">
        <v>12.62</v>
      </c>
      <c r="T5182" s="238">
        <v>0.0</v>
      </c>
      <c r="U5182" s="238">
        <v>0.0</v>
      </c>
      <c r="V5182" s="238">
        <v>0.0</v>
      </c>
      <c r="W5182" s="238">
        <v>0.0</v>
      </c>
      <c r="X5182" s="235" t="s">
        <v>628</v>
      </c>
      <c r="Z5182" s="245"/>
      <c r="AA5182" s="245"/>
      <c r="AB5182" s="245"/>
      <c r="AC5182" s="235" t="s">
        <v>1456</v>
      </c>
      <c r="AD5182" s="235" t="s">
        <v>928</v>
      </c>
      <c r="AE5182" s="238">
        <v>122002.0</v>
      </c>
      <c r="AF5182" s="235" t="s">
        <v>631</v>
      </c>
      <c r="AG5182" s="245"/>
      <c r="AH5182" s="245"/>
      <c r="AI5182" s="245"/>
      <c r="AJ5182" s="245"/>
      <c r="AK5182" s="245"/>
      <c r="AL5182" s="245"/>
      <c r="AM5182" s="245"/>
      <c r="AN5182" s="245"/>
      <c r="AO5182" s="238">
        <v>-13.29</v>
      </c>
      <c r="AP5182" s="238">
        <v>0.0</v>
      </c>
      <c r="AQ5182" s="235" t="s">
        <v>632</v>
      </c>
      <c r="AR5182" s="243">
        <v>3.7E11</v>
      </c>
      <c r="AS5182" s="235" t="s">
        <v>36667</v>
      </c>
      <c r="AT5182" s="235" t="s">
        <v>14</v>
      </c>
      <c r="AU5182" s="235" t="s">
        <v>634</v>
      </c>
      <c r="AV5182" s="246" t="s">
        <v>635</v>
      </c>
      <c r="AW5182" s="227"/>
      <c r="AX5182" s="227"/>
      <c r="AY5182" s="227"/>
      <c r="AZ5182" s="227"/>
      <c r="BA5182" s="227"/>
      <c r="BB5182" s="227"/>
      <c r="BC5182" s="227"/>
      <c r="BD5182" s="227"/>
      <c r="BE5182" s="227"/>
      <c r="BF5182" s="227"/>
    </row>
    <row r="5183">
      <c r="A5183" s="235" t="s">
        <v>38176</v>
      </c>
      <c r="C5183" s="235" t="s">
        <v>38177</v>
      </c>
      <c r="D5183" s="235" t="s">
        <v>38183</v>
      </c>
      <c r="E5183" s="243">
        <v>6.45E13</v>
      </c>
      <c r="F5183" s="245"/>
      <c r="G5183" s="235" t="s">
        <v>38179</v>
      </c>
      <c r="H5183" s="235" t="s">
        <v>38180</v>
      </c>
      <c r="I5183" s="235" t="s">
        <v>38181</v>
      </c>
      <c r="J5183" s="235" t="s">
        <v>38182</v>
      </c>
      <c r="K5183" s="235" t="s">
        <v>7891</v>
      </c>
      <c r="N5183" s="235" t="s">
        <v>12</v>
      </c>
      <c r="O5183" s="235" t="s">
        <v>804</v>
      </c>
      <c r="P5183" s="238">
        <v>1.0</v>
      </c>
      <c r="Q5183" s="235" t="s">
        <v>627</v>
      </c>
      <c r="R5183" s="238">
        <v>265.72</v>
      </c>
      <c r="S5183" s="238">
        <v>12.62</v>
      </c>
      <c r="T5183" s="238">
        <v>0.0</v>
      </c>
      <c r="U5183" s="238">
        <v>0.0</v>
      </c>
      <c r="V5183" s="238">
        <v>0.0</v>
      </c>
      <c r="W5183" s="238">
        <v>0.0</v>
      </c>
      <c r="X5183" s="235" t="s">
        <v>628</v>
      </c>
      <c r="Z5183" s="245"/>
      <c r="AA5183" s="245"/>
      <c r="AB5183" s="245"/>
      <c r="AC5183" s="235" t="s">
        <v>1456</v>
      </c>
      <c r="AD5183" s="235" t="s">
        <v>928</v>
      </c>
      <c r="AE5183" s="238">
        <v>122002.0</v>
      </c>
      <c r="AF5183" s="235" t="s">
        <v>631</v>
      </c>
      <c r="AG5183" s="245"/>
      <c r="AH5183" s="245"/>
      <c r="AI5183" s="245"/>
      <c r="AJ5183" s="245"/>
      <c r="AK5183" s="245"/>
      <c r="AL5183" s="245"/>
      <c r="AM5183" s="245"/>
      <c r="AN5183" s="245"/>
      <c r="AO5183" s="238">
        <v>-13.28</v>
      </c>
      <c r="AP5183" s="238">
        <v>0.0</v>
      </c>
      <c r="AQ5183" s="235" t="s">
        <v>632</v>
      </c>
      <c r="AR5183" s="243">
        <v>3.7E11</v>
      </c>
      <c r="AS5183" s="235" t="s">
        <v>36667</v>
      </c>
      <c r="AT5183" s="235" t="s">
        <v>14</v>
      </c>
      <c r="AU5183" s="235" t="s">
        <v>634</v>
      </c>
      <c r="AV5183" s="246" t="s">
        <v>635</v>
      </c>
      <c r="AW5183" s="227"/>
      <c r="AX5183" s="227"/>
      <c r="AY5183" s="227"/>
      <c r="AZ5183" s="227"/>
      <c r="BA5183" s="227"/>
      <c r="BB5183" s="227"/>
      <c r="BC5183" s="227"/>
      <c r="BD5183" s="227"/>
      <c r="BE5183" s="227"/>
      <c r="BF5183" s="227"/>
    </row>
    <row r="5184">
      <c r="A5184" s="235" t="s">
        <v>38176</v>
      </c>
      <c r="C5184" s="235" t="s">
        <v>38177</v>
      </c>
      <c r="D5184" s="235" t="s">
        <v>38184</v>
      </c>
      <c r="E5184" s="243">
        <v>6.45E13</v>
      </c>
      <c r="F5184" s="245"/>
      <c r="G5184" s="235" t="s">
        <v>38179</v>
      </c>
      <c r="H5184" s="235" t="s">
        <v>38180</v>
      </c>
      <c r="I5184" s="235" t="s">
        <v>38181</v>
      </c>
      <c r="J5184" s="235" t="s">
        <v>38182</v>
      </c>
      <c r="K5184" s="235" t="s">
        <v>7891</v>
      </c>
      <c r="N5184" s="235" t="s">
        <v>12</v>
      </c>
      <c r="O5184" s="235" t="s">
        <v>804</v>
      </c>
      <c r="P5184" s="238">
        <v>1.0</v>
      </c>
      <c r="Q5184" s="235" t="s">
        <v>627</v>
      </c>
      <c r="R5184" s="238">
        <v>265.72</v>
      </c>
      <c r="S5184" s="238">
        <v>12.62</v>
      </c>
      <c r="T5184" s="238">
        <v>0.0</v>
      </c>
      <c r="U5184" s="238">
        <v>0.0</v>
      </c>
      <c r="V5184" s="238">
        <v>0.0</v>
      </c>
      <c r="W5184" s="238">
        <v>0.0</v>
      </c>
      <c r="X5184" s="235" t="s">
        <v>628</v>
      </c>
      <c r="Z5184" s="245"/>
      <c r="AA5184" s="245"/>
      <c r="AB5184" s="245"/>
      <c r="AC5184" s="235" t="s">
        <v>1456</v>
      </c>
      <c r="AD5184" s="235" t="s">
        <v>928</v>
      </c>
      <c r="AE5184" s="238">
        <v>122002.0</v>
      </c>
      <c r="AF5184" s="235" t="s">
        <v>631</v>
      </c>
      <c r="AG5184" s="245"/>
      <c r="AH5184" s="245"/>
      <c r="AI5184" s="245"/>
      <c r="AJ5184" s="245"/>
      <c r="AK5184" s="245"/>
      <c r="AL5184" s="245"/>
      <c r="AM5184" s="245"/>
      <c r="AN5184" s="245"/>
      <c r="AO5184" s="238">
        <v>-13.29</v>
      </c>
      <c r="AP5184" s="238">
        <v>0.0</v>
      </c>
      <c r="AQ5184" s="235" t="s">
        <v>632</v>
      </c>
      <c r="AR5184" s="243">
        <v>3.7E11</v>
      </c>
      <c r="AS5184" s="235" t="s">
        <v>36667</v>
      </c>
      <c r="AT5184" s="235" t="s">
        <v>14</v>
      </c>
      <c r="AU5184" s="235" t="s">
        <v>634</v>
      </c>
      <c r="AV5184" s="246" t="s">
        <v>635</v>
      </c>
      <c r="AW5184" s="227"/>
      <c r="AX5184" s="227"/>
      <c r="AY5184" s="227"/>
      <c r="AZ5184" s="227"/>
      <c r="BA5184" s="227"/>
      <c r="BB5184" s="227"/>
      <c r="BC5184" s="227"/>
      <c r="BD5184" s="227"/>
      <c r="BE5184" s="227"/>
      <c r="BF5184" s="227"/>
    </row>
    <row r="5185">
      <c r="A5185" s="235" t="s">
        <v>38176</v>
      </c>
      <c r="C5185" s="235" t="s">
        <v>38177</v>
      </c>
      <c r="D5185" s="235" t="s">
        <v>38185</v>
      </c>
      <c r="E5185" s="243">
        <v>6.45E13</v>
      </c>
      <c r="F5185" s="245"/>
      <c r="G5185" s="235" t="s">
        <v>38179</v>
      </c>
      <c r="H5185" s="235" t="s">
        <v>38180</v>
      </c>
      <c r="I5185" s="235" t="s">
        <v>38181</v>
      </c>
      <c r="J5185" s="235" t="s">
        <v>38182</v>
      </c>
      <c r="K5185" s="235" t="s">
        <v>7891</v>
      </c>
      <c r="N5185" s="235" t="s">
        <v>12</v>
      </c>
      <c r="O5185" s="235" t="s">
        <v>804</v>
      </c>
      <c r="P5185" s="238">
        <v>1.0</v>
      </c>
      <c r="Q5185" s="235" t="s">
        <v>627</v>
      </c>
      <c r="R5185" s="238">
        <v>265.72</v>
      </c>
      <c r="S5185" s="238">
        <v>12.62</v>
      </c>
      <c r="T5185" s="238">
        <v>0.0</v>
      </c>
      <c r="U5185" s="238">
        <v>0.0</v>
      </c>
      <c r="V5185" s="238">
        <v>0.0</v>
      </c>
      <c r="W5185" s="238">
        <v>0.0</v>
      </c>
      <c r="X5185" s="235" t="s">
        <v>628</v>
      </c>
      <c r="Z5185" s="245"/>
      <c r="AA5185" s="245"/>
      <c r="AB5185" s="245"/>
      <c r="AC5185" s="235" t="s">
        <v>1456</v>
      </c>
      <c r="AD5185" s="235" t="s">
        <v>928</v>
      </c>
      <c r="AE5185" s="238">
        <v>122002.0</v>
      </c>
      <c r="AF5185" s="235" t="s">
        <v>631</v>
      </c>
      <c r="AG5185" s="245"/>
      <c r="AH5185" s="245"/>
      <c r="AI5185" s="245"/>
      <c r="AJ5185" s="245"/>
      <c r="AK5185" s="245"/>
      <c r="AL5185" s="245"/>
      <c r="AM5185" s="245"/>
      <c r="AN5185" s="245"/>
      <c r="AO5185" s="238">
        <v>-13.29</v>
      </c>
      <c r="AP5185" s="238">
        <v>0.0</v>
      </c>
      <c r="AQ5185" s="235" t="s">
        <v>632</v>
      </c>
      <c r="AR5185" s="243">
        <v>3.7E11</v>
      </c>
      <c r="AS5185" s="235" t="s">
        <v>36667</v>
      </c>
      <c r="AT5185" s="235" t="s">
        <v>14</v>
      </c>
      <c r="AU5185" s="235" t="s">
        <v>634</v>
      </c>
      <c r="AV5185" s="246" t="s">
        <v>635</v>
      </c>
      <c r="AW5185" s="227"/>
      <c r="AX5185" s="227"/>
      <c r="AY5185" s="227"/>
      <c r="AZ5185" s="227"/>
      <c r="BA5185" s="227"/>
      <c r="BB5185" s="227"/>
      <c r="BC5185" s="227"/>
      <c r="BD5185" s="227"/>
      <c r="BE5185" s="227"/>
      <c r="BF5185" s="227"/>
    </row>
    <row r="5186">
      <c r="A5186" s="235" t="s">
        <v>38176</v>
      </c>
      <c r="C5186" s="235" t="s">
        <v>38177</v>
      </c>
      <c r="D5186" s="235" t="s">
        <v>38186</v>
      </c>
      <c r="E5186" s="243">
        <v>6.45E13</v>
      </c>
      <c r="F5186" s="245"/>
      <c r="G5186" s="235" t="s">
        <v>38179</v>
      </c>
      <c r="H5186" s="235" t="s">
        <v>38180</v>
      </c>
      <c r="I5186" s="235" t="s">
        <v>38181</v>
      </c>
      <c r="J5186" s="235" t="s">
        <v>38182</v>
      </c>
      <c r="K5186" s="235" t="s">
        <v>7891</v>
      </c>
      <c r="N5186" s="235" t="s">
        <v>12</v>
      </c>
      <c r="O5186" s="235" t="s">
        <v>804</v>
      </c>
      <c r="P5186" s="238">
        <v>1.0</v>
      </c>
      <c r="Q5186" s="235" t="s">
        <v>627</v>
      </c>
      <c r="R5186" s="238">
        <v>265.72</v>
      </c>
      <c r="S5186" s="238">
        <v>12.62</v>
      </c>
      <c r="T5186" s="238">
        <v>0.0</v>
      </c>
      <c r="U5186" s="238">
        <v>0.0</v>
      </c>
      <c r="V5186" s="238">
        <v>0.0</v>
      </c>
      <c r="W5186" s="238">
        <v>0.0</v>
      </c>
      <c r="X5186" s="235" t="s">
        <v>628</v>
      </c>
      <c r="Z5186" s="245"/>
      <c r="AA5186" s="245"/>
      <c r="AB5186" s="245"/>
      <c r="AC5186" s="235" t="s">
        <v>1456</v>
      </c>
      <c r="AD5186" s="235" t="s">
        <v>928</v>
      </c>
      <c r="AE5186" s="238">
        <v>122002.0</v>
      </c>
      <c r="AF5186" s="235" t="s">
        <v>631</v>
      </c>
      <c r="AG5186" s="245"/>
      <c r="AH5186" s="245"/>
      <c r="AI5186" s="245"/>
      <c r="AJ5186" s="245"/>
      <c r="AK5186" s="245"/>
      <c r="AL5186" s="245"/>
      <c r="AM5186" s="245"/>
      <c r="AN5186" s="245"/>
      <c r="AO5186" s="238">
        <v>-13.29</v>
      </c>
      <c r="AP5186" s="238">
        <v>0.0</v>
      </c>
      <c r="AQ5186" s="235" t="s">
        <v>632</v>
      </c>
      <c r="AR5186" s="243">
        <v>3.7E11</v>
      </c>
      <c r="AS5186" s="235" t="s">
        <v>36667</v>
      </c>
      <c r="AT5186" s="235" t="s">
        <v>14</v>
      </c>
      <c r="AU5186" s="235" t="s">
        <v>634</v>
      </c>
      <c r="AV5186" s="246" t="s">
        <v>635</v>
      </c>
      <c r="AW5186" s="227"/>
      <c r="AX5186" s="227"/>
      <c r="AY5186" s="227"/>
      <c r="AZ5186" s="227"/>
      <c r="BA5186" s="227"/>
      <c r="BB5186" s="227"/>
      <c r="BC5186" s="227"/>
      <c r="BD5186" s="227"/>
      <c r="BE5186" s="227"/>
      <c r="BF5186" s="227"/>
    </row>
    <row r="5187">
      <c r="A5187" s="235" t="s">
        <v>38187</v>
      </c>
      <c r="C5187" s="235" t="s">
        <v>38188</v>
      </c>
      <c r="D5187" s="235" t="s">
        <v>38189</v>
      </c>
      <c r="E5187" s="243">
        <v>6.49E13</v>
      </c>
      <c r="F5187" s="245"/>
      <c r="G5187" s="235" t="s">
        <v>38190</v>
      </c>
      <c r="H5187" s="235" t="s">
        <v>38191</v>
      </c>
      <c r="I5187" s="235" t="s">
        <v>38191</v>
      </c>
      <c r="J5187" s="235" t="s">
        <v>38192</v>
      </c>
      <c r="K5187" s="235" t="s">
        <v>38193</v>
      </c>
      <c r="N5187" s="235" t="s">
        <v>134</v>
      </c>
      <c r="O5187" s="235" t="s">
        <v>314</v>
      </c>
      <c r="P5187" s="238">
        <v>1.0</v>
      </c>
      <c r="Q5187" s="235" t="s">
        <v>627</v>
      </c>
      <c r="R5187" s="238">
        <v>244.76</v>
      </c>
      <c r="S5187" s="238">
        <v>12.24</v>
      </c>
      <c r="T5187" s="238">
        <v>0.0</v>
      </c>
      <c r="U5187" s="238">
        <v>0.0</v>
      </c>
      <c r="V5187" s="238">
        <v>0.0</v>
      </c>
      <c r="W5187" s="238">
        <v>0.0</v>
      </c>
      <c r="X5187" s="235" t="s">
        <v>628</v>
      </c>
      <c r="Z5187" s="245"/>
      <c r="AA5187" s="245"/>
      <c r="AB5187" s="245"/>
      <c r="AC5187" s="235" t="s">
        <v>3449</v>
      </c>
      <c r="AD5187" s="235" t="s">
        <v>833</v>
      </c>
      <c r="AE5187" s="238">
        <v>533103.0</v>
      </c>
      <c r="AF5187" s="235" t="s">
        <v>631</v>
      </c>
      <c r="AG5187" s="245"/>
      <c r="AH5187" s="245"/>
      <c r="AI5187" s="245"/>
      <c r="AJ5187" s="245"/>
      <c r="AK5187" s="245"/>
      <c r="AL5187" s="245"/>
      <c r="AM5187" s="245"/>
      <c r="AN5187" s="245"/>
      <c r="AO5187" s="238">
        <v>0.0</v>
      </c>
      <c r="AP5187" s="238">
        <v>0.0</v>
      </c>
      <c r="AQ5187" s="235" t="s">
        <v>632</v>
      </c>
      <c r="AR5187" s="243">
        <v>3.7E11</v>
      </c>
      <c r="AS5187" s="235" t="s">
        <v>34510</v>
      </c>
      <c r="AT5187" s="235" t="s">
        <v>9</v>
      </c>
      <c r="AU5187" s="235" t="s">
        <v>634</v>
      </c>
      <c r="AV5187" s="246" t="s">
        <v>635</v>
      </c>
      <c r="AW5187" s="227"/>
      <c r="AX5187" s="227"/>
      <c r="AY5187" s="227"/>
      <c r="AZ5187" s="227"/>
      <c r="BA5187" s="227"/>
      <c r="BB5187" s="227"/>
      <c r="BC5187" s="227"/>
      <c r="BD5187" s="227"/>
      <c r="BE5187" s="227"/>
      <c r="BF5187" s="227"/>
    </row>
    <row r="5188">
      <c r="A5188" s="235" t="s">
        <v>38194</v>
      </c>
      <c r="C5188" s="235" t="s">
        <v>38195</v>
      </c>
      <c r="D5188" s="235" t="s">
        <v>38196</v>
      </c>
      <c r="E5188" s="243">
        <v>6.49E13</v>
      </c>
      <c r="F5188" s="245"/>
      <c r="G5188" s="235" t="s">
        <v>38197</v>
      </c>
      <c r="H5188" s="235" t="s">
        <v>38198</v>
      </c>
      <c r="I5188" s="235" t="s">
        <v>38198</v>
      </c>
      <c r="J5188" s="235" t="s">
        <v>38199</v>
      </c>
      <c r="K5188" s="235" t="s">
        <v>38200</v>
      </c>
      <c r="N5188" s="235" t="s">
        <v>127</v>
      </c>
      <c r="O5188" s="235" t="s">
        <v>794</v>
      </c>
      <c r="P5188" s="238">
        <v>1.0</v>
      </c>
      <c r="Q5188" s="235" t="s">
        <v>627</v>
      </c>
      <c r="R5188" s="238">
        <v>243.8</v>
      </c>
      <c r="S5188" s="238">
        <v>12.2</v>
      </c>
      <c r="T5188" s="238">
        <v>0.0</v>
      </c>
      <c r="U5188" s="238">
        <v>0.0</v>
      </c>
      <c r="V5188" s="238">
        <v>0.0</v>
      </c>
      <c r="W5188" s="238">
        <v>0.0</v>
      </c>
      <c r="X5188" s="235" t="s">
        <v>628</v>
      </c>
      <c r="Z5188" s="245"/>
      <c r="AA5188" s="245"/>
      <c r="AB5188" s="245"/>
      <c r="AC5188" s="235" t="s">
        <v>757</v>
      </c>
      <c r="AD5188" s="235" t="s">
        <v>666</v>
      </c>
      <c r="AE5188" s="238">
        <v>625016.0</v>
      </c>
      <c r="AF5188" s="235" t="s">
        <v>631</v>
      </c>
      <c r="AG5188" s="245"/>
      <c r="AH5188" s="245"/>
      <c r="AI5188" s="245"/>
      <c r="AJ5188" s="245"/>
      <c r="AK5188" s="245"/>
      <c r="AL5188" s="245"/>
      <c r="AM5188" s="245"/>
      <c r="AN5188" s="245"/>
      <c r="AO5188" s="238">
        <v>0.0</v>
      </c>
      <c r="AP5188" s="238">
        <v>0.0</v>
      </c>
      <c r="AQ5188" s="235" t="s">
        <v>632</v>
      </c>
      <c r="AR5188" s="243">
        <v>3.7E11</v>
      </c>
      <c r="AS5188" s="235" t="s">
        <v>36667</v>
      </c>
      <c r="AT5188" s="235" t="s">
        <v>155</v>
      </c>
      <c r="AU5188" s="235" t="s">
        <v>634</v>
      </c>
      <c r="AV5188" s="246" t="s">
        <v>635</v>
      </c>
      <c r="AW5188" s="227"/>
      <c r="AX5188" s="227"/>
      <c r="AY5188" s="227"/>
      <c r="AZ5188" s="227"/>
      <c r="BA5188" s="227"/>
      <c r="BB5188" s="227"/>
      <c r="BC5188" s="227"/>
      <c r="BD5188" s="227"/>
      <c r="BE5188" s="227"/>
      <c r="BF5188" s="227"/>
    </row>
    <row r="5189">
      <c r="A5189" s="235" t="s">
        <v>38201</v>
      </c>
      <c r="C5189" s="235" t="s">
        <v>38202</v>
      </c>
      <c r="D5189" s="235" t="s">
        <v>38203</v>
      </c>
      <c r="E5189" s="243">
        <v>6.49E13</v>
      </c>
      <c r="F5189" s="245"/>
      <c r="G5189" s="235" t="s">
        <v>38204</v>
      </c>
      <c r="H5189" s="235" t="s">
        <v>38205</v>
      </c>
      <c r="I5189" s="235" t="s">
        <v>38205</v>
      </c>
      <c r="J5189" s="235" t="s">
        <v>38206</v>
      </c>
      <c r="K5189" s="235" t="s">
        <v>30509</v>
      </c>
      <c r="N5189" s="235" t="s">
        <v>51</v>
      </c>
      <c r="O5189" s="235" t="s">
        <v>273</v>
      </c>
      <c r="P5189" s="238">
        <v>1.0</v>
      </c>
      <c r="Q5189" s="235" t="s">
        <v>627</v>
      </c>
      <c r="R5189" s="238">
        <v>235.24</v>
      </c>
      <c r="S5189" s="238">
        <v>11.52</v>
      </c>
      <c r="T5189" s="238">
        <v>0.0</v>
      </c>
      <c r="U5189" s="238">
        <v>0.0</v>
      </c>
      <c r="V5189" s="238">
        <v>0.0</v>
      </c>
      <c r="W5189" s="238">
        <v>0.0</v>
      </c>
      <c r="X5189" s="235" t="s">
        <v>628</v>
      </c>
      <c r="Z5189" s="245"/>
      <c r="AA5189" s="245"/>
      <c r="AB5189" s="245"/>
      <c r="AC5189" s="235" t="s">
        <v>30510</v>
      </c>
      <c r="AD5189" s="235" t="s">
        <v>698</v>
      </c>
      <c r="AE5189" s="238">
        <v>500090.0</v>
      </c>
      <c r="AF5189" s="235" t="s">
        <v>631</v>
      </c>
      <c r="AG5189" s="245"/>
      <c r="AH5189" s="245"/>
      <c r="AI5189" s="245"/>
      <c r="AJ5189" s="245"/>
      <c r="AK5189" s="245"/>
      <c r="AL5189" s="245"/>
      <c r="AM5189" s="245"/>
      <c r="AN5189" s="245"/>
      <c r="AO5189" s="238">
        <v>-4.7</v>
      </c>
      <c r="AP5189" s="238">
        <v>0.0</v>
      </c>
      <c r="AQ5189" s="235" t="s">
        <v>632</v>
      </c>
      <c r="AR5189" s="243">
        <v>2.02E11</v>
      </c>
      <c r="AS5189" s="235" t="s">
        <v>36667</v>
      </c>
      <c r="AT5189" s="235" t="s">
        <v>546</v>
      </c>
      <c r="AU5189" s="235" t="s">
        <v>634</v>
      </c>
      <c r="AV5189" s="246" t="s">
        <v>635</v>
      </c>
      <c r="AW5189" s="227"/>
      <c r="AX5189" s="227"/>
      <c r="AY5189" s="227"/>
      <c r="AZ5189" s="227"/>
      <c r="BA5189" s="227"/>
      <c r="BB5189" s="227"/>
      <c r="BC5189" s="227"/>
      <c r="BD5189" s="227"/>
      <c r="BE5189" s="227"/>
      <c r="BF5189" s="227"/>
    </row>
    <row r="5190">
      <c r="A5190" s="235" t="s">
        <v>38207</v>
      </c>
      <c r="C5190" s="235" t="s">
        <v>38208</v>
      </c>
      <c r="D5190" s="235" t="s">
        <v>38209</v>
      </c>
      <c r="E5190" s="243">
        <v>6.49E13</v>
      </c>
      <c r="F5190" s="245"/>
      <c r="G5190" s="235" t="s">
        <v>38210</v>
      </c>
      <c r="H5190" s="235" t="s">
        <v>38211</v>
      </c>
      <c r="I5190" s="235" t="s">
        <v>38211</v>
      </c>
      <c r="J5190" s="235" t="s">
        <v>38212</v>
      </c>
      <c r="K5190" s="235" t="s">
        <v>38213</v>
      </c>
      <c r="N5190" s="235" t="s">
        <v>42</v>
      </c>
      <c r="O5190" s="235" t="s">
        <v>204</v>
      </c>
      <c r="P5190" s="238">
        <v>1.0</v>
      </c>
      <c r="Q5190" s="235" t="s">
        <v>627</v>
      </c>
      <c r="R5190" s="238">
        <v>0.0</v>
      </c>
      <c r="S5190" s="238">
        <v>0.0</v>
      </c>
      <c r="T5190" s="238">
        <v>0.0</v>
      </c>
      <c r="U5190" s="238">
        <v>0.0</v>
      </c>
      <c r="V5190" s="238">
        <v>0.0</v>
      </c>
      <c r="W5190" s="238">
        <v>0.0</v>
      </c>
      <c r="X5190" s="235" t="s">
        <v>628</v>
      </c>
      <c r="Z5190" s="245"/>
      <c r="AA5190" s="245"/>
      <c r="AB5190" s="245"/>
      <c r="AC5190" s="235" t="s">
        <v>5091</v>
      </c>
      <c r="AD5190" s="235" t="s">
        <v>845</v>
      </c>
      <c r="AE5190" s="238">
        <v>440026.0</v>
      </c>
      <c r="AF5190" s="235" t="s">
        <v>631</v>
      </c>
      <c r="AG5190" s="245"/>
      <c r="AH5190" s="245"/>
      <c r="AI5190" s="245"/>
      <c r="AJ5190" s="245"/>
      <c r="AK5190" s="245"/>
      <c r="AL5190" s="245"/>
      <c r="AM5190" s="245"/>
      <c r="AN5190" s="245"/>
      <c r="AO5190" s="238">
        <v>0.0</v>
      </c>
      <c r="AP5190" s="238">
        <v>0.0</v>
      </c>
      <c r="AQ5190" s="235" t="s">
        <v>632</v>
      </c>
      <c r="AR5190" s="243">
        <v>1.68E11</v>
      </c>
      <c r="AS5190" s="235" t="s">
        <v>36667</v>
      </c>
      <c r="AT5190" s="235" t="s">
        <v>17</v>
      </c>
      <c r="AU5190" s="235" t="s">
        <v>634</v>
      </c>
      <c r="AV5190" s="246" t="s">
        <v>635</v>
      </c>
      <c r="AW5190" s="227"/>
      <c r="AX5190" s="227"/>
      <c r="AY5190" s="227"/>
      <c r="AZ5190" s="227"/>
      <c r="BA5190" s="227"/>
      <c r="BB5190" s="227"/>
      <c r="BC5190" s="227"/>
      <c r="BD5190" s="227"/>
      <c r="BE5190" s="227"/>
      <c r="BF5190" s="227"/>
    </row>
    <row r="5191">
      <c r="A5191" s="235" t="s">
        <v>38214</v>
      </c>
      <c r="C5191" s="235" t="s">
        <v>38215</v>
      </c>
      <c r="D5191" s="235" t="s">
        <v>38216</v>
      </c>
      <c r="E5191" s="243">
        <v>6.49E13</v>
      </c>
      <c r="F5191" s="245"/>
      <c r="G5191" s="235" t="s">
        <v>38217</v>
      </c>
      <c r="H5191" s="235" t="s">
        <v>38218</v>
      </c>
      <c r="I5191" s="235" t="s">
        <v>38218</v>
      </c>
      <c r="J5191" s="235" t="s">
        <v>38219</v>
      </c>
      <c r="K5191" s="235" t="s">
        <v>38220</v>
      </c>
      <c r="N5191" s="235" t="s">
        <v>541</v>
      </c>
      <c r="O5191" s="235" t="s">
        <v>30856</v>
      </c>
      <c r="P5191" s="238">
        <v>1.0</v>
      </c>
      <c r="Q5191" s="235" t="s">
        <v>627</v>
      </c>
      <c r="R5191" s="238">
        <v>659.32</v>
      </c>
      <c r="S5191" s="238">
        <v>118.68</v>
      </c>
      <c r="T5191" s="238">
        <v>0.0</v>
      </c>
      <c r="U5191" s="238">
        <v>0.0</v>
      </c>
      <c r="V5191" s="238">
        <v>0.0</v>
      </c>
      <c r="W5191" s="238">
        <v>0.0</v>
      </c>
      <c r="X5191" s="235" t="s">
        <v>628</v>
      </c>
      <c r="Z5191" s="245"/>
      <c r="AA5191" s="245"/>
      <c r="AB5191" s="245"/>
      <c r="AC5191" s="235" t="s">
        <v>25353</v>
      </c>
      <c r="AD5191" s="235" t="s">
        <v>679</v>
      </c>
      <c r="AE5191" s="238">
        <v>571249.0</v>
      </c>
      <c r="AF5191" s="235" t="s">
        <v>631</v>
      </c>
      <c r="AG5191" s="245"/>
      <c r="AH5191" s="245"/>
      <c r="AI5191" s="245"/>
      <c r="AJ5191" s="245"/>
      <c r="AK5191" s="245"/>
      <c r="AL5191" s="245"/>
      <c r="AM5191" s="245"/>
      <c r="AN5191" s="245"/>
      <c r="AO5191" s="238">
        <v>0.0</v>
      </c>
      <c r="AP5191" s="238">
        <v>0.0</v>
      </c>
      <c r="AQ5191" s="235" t="s">
        <v>1356</v>
      </c>
      <c r="AR5191" s="235" t="s">
        <v>38221</v>
      </c>
      <c r="AS5191" s="235" t="s">
        <v>28482</v>
      </c>
      <c r="AT5191" s="235" t="s">
        <v>156</v>
      </c>
      <c r="AU5191" s="235" t="s">
        <v>634</v>
      </c>
      <c r="AV5191" s="246" t="s">
        <v>635</v>
      </c>
      <c r="AW5191" s="227"/>
      <c r="AX5191" s="227"/>
      <c r="AY5191" s="227"/>
      <c r="AZ5191" s="227"/>
      <c r="BA5191" s="227"/>
      <c r="BB5191" s="227"/>
      <c r="BC5191" s="227"/>
      <c r="BD5191" s="227"/>
      <c r="BE5191" s="227"/>
      <c r="BF5191" s="227"/>
    </row>
    <row r="5192">
      <c r="A5192" s="235" t="s">
        <v>38222</v>
      </c>
      <c r="C5192" s="235" t="s">
        <v>38223</v>
      </c>
      <c r="D5192" s="235" t="s">
        <v>38224</v>
      </c>
      <c r="E5192" s="243">
        <v>6.49E13</v>
      </c>
      <c r="F5192" s="245"/>
      <c r="G5192" s="235" t="s">
        <v>38225</v>
      </c>
      <c r="H5192" s="235" t="s">
        <v>38226</v>
      </c>
      <c r="I5192" s="235" t="s">
        <v>38226</v>
      </c>
      <c r="J5192" s="235" t="s">
        <v>38227</v>
      </c>
      <c r="K5192" s="235" t="s">
        <v>38228</v>
      </c>
      <c r="N5192" s="235" t="s">
        <v>3564</v>
      </c>
      <c r="O5192" s="235" t="s">
        <v>38229</v>
      </c>
      <c r="P5192" s="238">
        <v>1.0</v>
      </c>
      <c r="Q5192" s="235" t="s">
        <v>627</v>
      </c>
      <c r="R5192" s="238">
        <v>338.14</v>
      </c>
      <c r="S5192" s="238">
        <v>60.86</v>
      </c>
      <c r="T5192" s="238">
        <v>0.0</v>
      </c>
      <c r="U5192" s="238">
        <v>0.0</v>
      </c>
      <c r="V5192" s="238">
        <v>0.0</v>
      </c>
      <c r="W5192" s="238">
        <v>0.0</v>
      </c>
      <c r="X5192" s="235" t="s">
        <v>628</v>
      </c>
      <c r="Z5192" s="245"/>
      <c r="AA5192" s="245"/>
      <c r="AB5192" s="245"/>
      <c r="AC5192" s="235" t="s">
        <v>785</v>
      </c>
      <c r="AD5192" s="235" t="s">
        <v>630</v>
      </c>
      <c r="AE5192" s="238">
        <v>201002.0</v>
      </c>
      <c r="AF5192" s="235" t="s">
        <v>631</v>
      </c>
      <c r="AG5192" s="245"/>
      <c r="AH5192" s="245"/>
      <c r="AI5192" s="245"/>
      <c r="AJ5192" s="245"/>
      <c r="AK5192" s="245"/>
      <c r="AL5192" s="245"/>
      <c r="AM5192" s="245"/>
      <c r="AN5192" s="245"/>
      <c r="AO5192" s="238">
        <v>0.0</v>
      </c>
      <c r="AP5192" s="238">
        <v>0.0</v>
      </c>
      <c r="AQ5192" s="235" t="s">
        <v>632</v>
      </c>
      <c r="AR5192" s="243">
        <v>2.02E11</v>
      </c>
      <c r="AS5192" s="235" t="s">
        <v>36667</v>
      </c>
      <c r="AT5192" s="235" t="s">
        <v>9</v>
      </c>
      <c r="AU5192" s="235" t="s">
        <v>634</v>
      </c>
      <c r="AV5192" s="246" t="s">
        <v>635</v>
      </c>
      <c r="AW5192" s="227"/>
      <c r="AX5192" s="227"/>
      <c r="AY5192" s="227"/>
      <c r="AZ5192" s="227"/>
      <c r="BA5192" s="227"/>
      <c r="BB5192" s="227"/>
      <c r="BC5192" s="227"/>
      <c r="BD5192" s="227"/>
      <c r="BE5192" s="227"/>
      <c r="BF5192" s="227"/>
    </row>
    <row r="5193">
      <c r="A5193" s="235" t="s">
        <v>38230</v>
      </c>
      <c r="C5193" s="235" t="s">
        <v>38231</v>
      </c>
      <c r="D5193" s="235" t="s">
        <v>38232</v>
      </c>
      <c r="E5193" s="243">
        <v>6.48E13</v>
      </c>
      <c r="F5193" s="245"/>
      <c r="G5193" s="235" t="s">
        <v>38233</v>
      </c>
      <c r="H5193" s="235" t="s">
        <v>38234</v>
      </c>
      <c r="I5193" s="235" t="s">
        <v>38234</v>
      </c>
      <c r="J5193" s="235" t="s">
        <v>38235</v>
      </c>
      <c r="K5193" s="235" t="s">
        <v>38236</v>
      </c>
      <c r="N5193" s="235" t="s">
        <v>54</v>
      </c>
      <c r="O5193" s="235" t="s">
        <v>294</v>
      </c>
      <c r="P5193" s="238">
        <v>1.0</v>
      </c>
      <c r="Q5193" s="235" t="s">
        <v>627</v>
      </c>
      <c r="R5193" s="238">
        <v>246.66</v>
      </c>
      <c r="S5193" s="238">
        <v>12.34</v>
      </c>
      <c r="T5193" s="238">
        <v>0.0</v>
      </c>
      <c r="U5193" s="238">
        <v>0.0</v>
      </c>
      <c r="V5193" s="238">
        <v>0.0</v>
      </c>
      <c r="W5193" s="238">
        <v>0.0</v>
      </c>
      <c r="X5193" s="235" t="s">
        <v>628</v>
      </c>
      <c r="Z5193" s="245"/>
      <c r="AA5193" s="245"/>
      <c r="AB5193" s="245"/>
      <c r="AC5193" s="235" t="s">
        <v>1604</v>
      </c>
      <c r="AD5193" s="235" t="s">
        <v>845</v>
      </c>
      <c r="AE5193" s="238">
        <v>400072.0</v>
      </c>
      <c r="AF5193" s="235" t="s">
        <v>631</v>
      </c>
      <c r="AG5193" s="245"/>
      <c r="AH5193" s="245"/>
      <c r="AI5193" s="245"/>
      <c r="AJ5193" s="245"/>
      <c r="AK5193" s="245"/>
      <c r="AL5193" s="245"/>
      <c r="AM5193" s="245"/>
      <c r="AN5193" s="245"/>
      <c r="AO5193" s="238">
        <v>0.0</v>
      </c>
      <c r="AP5193" s="238">
        <v>0.0</v>
      </c>
      <c r="AQ5193" s="235" t="s">
        <v>632</v>
      </c>
      <c r="AR5193" s="243">
        <v>3.7E11</v>
      </c>
      <c r="AS5193" s="235" t="s">
        <v>36667</v>
      </c>
      <c r="AT5193" s="235" t="s">
        <v>16</v>
      </c>
      <c r="AU5193" s="235" t="s">
        <v>634</v>
      </c>
      <c r="AV5193" s="246" t="s">
        <v>635</v>
      </c>
      <c r="AW5193" s="227"/>
      <c r="AX5193" s="227"/>
      <c r="AY5193" s="227"/>
      <c r="AZ5193" s="227"/>
      <c r="BA5193" s="227"/>
      <c r="BB5193" s="227"/>
      <c r="BC5193" s="227"/>
      <c r="BD5193" s="227"/>
      <c r="BE5193" s="227"/>
      <c r="BF5193" s="227"/>
    </row>
    <row r="5194">
      <c r="A5194" s="235" t="s">
        <v>38237</v>
      </c>
      <c r="C5194" s="235" t="s">
        <v>38238</v>
      </c>
      <c r="D5194" s="235" t="s">
        <v>38239</v>
      </c>
      <c r="E5194" s="243">
        <v>6.49E13</v>
      </c>
      <c r="F5194" s="245"/>
      <c r="G5194" s="235" t="s">
        <v>38240</v>
      </c>
      <c r="H5194" s="235" t="s">
        <v>38241</v>
      </c>
      <c r="I5194" s="235" t="s">
        <v>38241</v>
      </c>
      <c r="J5194" s="235" t="s">
        <v>38242</v>
      </c>
      <c r="K5194" s="235" t="s">
        <v>38243</v>
      </c>
      <c r="N5194" s="235" t="s">
        <v>51</v>
      </c>
      <c r="O5194" s="235" t="s">
        <v>273</v>
      </c>
      <c r="P5194" s="238">
        <v>1.0</v>
      </c>
      <c r="Q5194" s="235" t="s">
        <v>627</v>
      </c>
      <c r="R5194" s="238">
        <v>235.24</v>
      </c>
      <c r="S5194" s="238">
        <v>11.76</v>
      </c>
      <c r="T5194" s="238">
        <v>38.1</v>
      </c>
      <c r="U5194" s="238">
        <v>1.9</v>
      </c>
      <c r="V5194" s="238">
        <v>0.0</v>
      </c>
      <c r="W5194" s="238">
        <v>0.0</v>
      </c>
      <c r="X5194" s="235" t="s">
        <v>628</v>
      </c>
      <c r="Z5194" s="245"/>
      <c r="AA5194" s="245"/>
      <c r="AB5194" s="245"/>
      <c r="AC5194" s="235" t="s">
        <v>697</v>
      </c>
      <c r="AD5194" s="235" t="s">
        <v>698</v>
      </c>
      <c r="AE5194" s="238">
        <v>500049.0</v>
      </c>
      <c r="AF5194" s="235" t="s">
        <v>631</v>
      </c>
      <c r="AG5194" s="245"/>
      <c r="AH5194" s="245"/>
      <c r="AI5194" s="245"/>
      <c r="AJ5194" s="245"/>
      <c r="AK5194" s="245"/>
      <c r="AL5194" s="245"/>
      <c r="AM5194" s="245"/>
      <c r="AN5194" s="245"/>
      <c r="AO5194" s="238">
        <v>0.0</v>
      </c>
      <c r="AP5194" s="238">
        <v>-38.1</v>
      </c>
      <c r="AQ5194" s="235" t="s">
        <v>632</v>
      </c>
      <c r="AR5194" s="243">
        <v>3.7E11</v>
      </c>
      <c r="AS5194" s="235" t="s">
        <v>35520</v>
      </c>
      <c r="AT5194" s="235" t="s">
        <v>156</v>
      </c>
      <c r="AU5194" s="235" t="s">
        <v>634</v>
      </c>
      <c r="AV5194" s="246" t="s">
        <v>635</v>
      </c>
      <c r="AW5194" s="227"/>
      <c r="AX5194" s="227"/>
      <c r="AY5194" s="227"/>
      <c r="AZ5194" s="227"/>
      <c r="BA5194" s="227"/>
      <c r="BB5194" s="227"/>
      <c r="BC5194" s="227"/>
      <c r="BD5194" s="227"/>
      <c r="BE5194" s="227"/>
      <c r="BF5194" s="227"/>
    </row>
    <row r="5195">
      <c r="A5195" s="235" t="s">
        <v>38244</v>
      </c>
      <c r="C5195" s="235" t="s">
        <v>38245</v>
      </c>
      <c r="D5195" s="235" t="s">
        <v>38246</v>
      </c>
      <c r="E5195" s="243">
        <v>6.49E13</v>
      </c>
      <c r="F5195" s="245"/>
      <c r="G5195" s="235" t="s">
        <v>38247</v>
      </c>
      <c r="H5195" s="235" t="s">
        <v>38248</v>
      </c>
      <c r="I5195" s="235" t="s">
        <v>38248</v>
      </c>
      <c r="J5195" s="235" t="s">
        <v>38249</v>
      </c>
      <c r="K5195" s="235" t="s">
        <v>38250</v>
      </c>
      <c r="N5195" s="235" t="s">
        <v>42</v>
      </c>
      <c r="O5195" s="235" t="s">
        <v>204</v>
      </c>
      <c r="P5195" s="238">
        <v>1.0</v>
      </c>
      <c r="Q5195" s="235" t="s">
        <v>627</v>
      </c>
      <c r="R5195" s="238">
        <v>237.14</v>
      </c>
      <c r="S5195" s="238">
        <v>11.86</v>
      </c>
      <c r="T5195" s="238">
        <v>38.1</v>
      </c>
      <c r="U5195" s="238">
        <v>1.9</v>
      </c>
      <c r="V5195" s="238">
        <v>0.0</v>
      </c>
      <c r="W5195" s="238">
        <v>0.0</v>
      </c>
      <c r="X5195" s="235" t="s">
        <v>628</v>
      </c>
      <c r="Z5195" s="245"/>
      <c r="AA5195" s="245"/>
      <c r="AB5195" s="245"/>
      <c r="AC5195" s="235" t="s">
        <v>28223</v>
      </c>
      <c r="AD5195" s="235" t="s">
        <v>833</v>
      </c>
      <c r="AE5195" s="238">
        <v>516002.0</v>
      </c>
      <c r="AF5195" s="235" t="s">
        <v>631</v>
      </c>
      <c r="AG5195" s="245"/>
      <c r="AH5195" s="245"/>
      <c r="AI5195" s="245"/>
      <c r="AJ5195" s="245"/>
      <c r="AK5195" s="245"/>
      <c r="AL5195" s="245"/>
      <c r="AM5195" s="245"/>
      <c r="AN5195" s="245"/>
      <c r="AO5195" s="238">
        <v>0.0</v>
      </c>
      <c r="AP5195" s="238">
        <v>-38.1</v>
      </c>
      <c r="AQ5195" s="235" t="s">
        <v>632</v>
      </c>
      <c r="AR5195" s="243">
        <v>3.7E11</v>
      </c>
      <c r="AS5195" s="235" t="s">
        <v>36667</v>
      </c>
      <c r="AT5195" s="235" t="s">
        <v>156</v>
      </c>
      <c r="AU5195" s="235" t="s">
        <v>634</v>
      </c>
      <c r="AV5195" s="246" t="s">
        <v>635</v>
      </c>
      <c r="AW5195" s="227"/>
      <c r="AX5195" s="227"/>
      <c r="AY5195" s="227"/>
      <c r="AZ5195" s="227"/>
      <c r="BA5195" s="227"/>
      <c r="BB5195" s="227"/>
      <c r="BC5195" s="227"/>
      <c r="BD5195" s="227"/>
      <c r="BE5195" s="227"/>
      <c r="BF5195" s="227"/>
    </row>
    <row r="5196">
      <c r="A5196" s="235" t="s">
        <v>38251</v>
      </c>
      <c r="C5196" s="235" t="s">
        <v>38252</v>
      </c>
      <c r="D5196" s="235" t="s">
        <v>38253</v>
      </c>
      <c r="E5196" s="243">
        <v>6.49E13</v>
      </c>
      <c r="F5196" s="245"/>
      <c r="G5196" s="235" t="s">
        <v>38254</v>
      </c>
      <c r="H5196" s="235" t="s">
        <v>38255</v>
      </c>
      <c r="I5196" s="235" t="s">
        <v>38255</v>
      </c>
      <c r="J5196" s="235" t="s">
        <v>38256</v>
      </c>
      <c r="K5196" s="235" t="s">
        <v>38257</v>
      </c>
      <c r="N5196" s="235" t="s">
        <v>138</v>
      </c>
      <c r="O5196" s="235" t="s">
        <v>675</v>
      </c>
      <c r="P5196" s="238">
        <v>1.0</v>
      </c>
      <c r="Q5196" s="235" t="s">
        <v>627</v>
      </c>
      <c r="R5196" s="238">
        <v>244.76</v>
      </c>
      <c r="S5196" s="238">
        <v>12.24</v>
      </c>
      <c r="T5196" s="238">
        <v>38.1</v>
      </c>
      <c r="U5196" s="238">
        <v>1.9</v>
      </c>
      <c r="V5196" s="238">
        <v>0.0</v>
      </c>
      <c r="W5196" s="238">
        <v>0.0</v>
      </c>
      <c r="X5196" s="235" t="s">
        <v>628</v>
      </c>
      <c r="Z5196" s="245"/>
      <c r="AA5196" s="245"/>
      <c r="AB5196" s="245"/>
      <c r="AC5196" s="235" t="s">
        <v>38258</v>
      </c>
      <c r="AD5196" s="235" t="s">
        <v>679</v>
      </c>
      <c r="AE5196" s="238">
        <v>574243.0</v>
      </c>
      <c r="AF5196" s="235" t="s">
        <v>631</v>
      </c>
      <c r="AG5196" s="245"/>
      <c r="AH5196" s="245"/>
      <c r="AI5196" s="245"/>
      <c r="AJ5196" s="245"/>
      <c r="AK5196" s="245"/>
      <c r="AL5196" s="245"/>
      <c r="AM5196" s="245"/>
      <c r="AN5196" s="245"/>
      <c r="AO5196" s="238">
        <v>0.0</v>
      </c>
      <c r="AP5196" s="238">
        <v>-38.1</v>
      </c>
      <c r="AQ5196" s="235" t="s">
        <v>632</v>
      </c>
      <c r="AR5196" s="243">
        <v>3.7E11</v>
      </c>
      <c r="AS5196" s="235" t="s">
        <v>35520</v>
      </c>
      <c r="AT5196" s="235" t="s">
        <v>11</v>
      </c>
      <c r="AU5196" s="235" t="s">
        <v>634</v>
      </c>
      <c r="AV5196" s="246" t="s">
        <v>635</v>
      </c>
      <c r="AW5196" s="227"/>
      <c r="AX5196" s="227"/>
      <c r="AY5196" s="227"/>
      <c r="AZ5196" s="227"/>
      <c r="BA5196" s="227"/>
      <c r="BB5196" s="227"/>
      <c r="BC5196" s="227"/>
      <c r="BD5196" s="227"/>
      <c r="BE5196" s="227"/>
      <c r="BF5196" s="227"/>
    </row>
    <row r="5197">
      <c r="A5197" s="235" t="s">
        <v>38259</v>
      </c>
      <c r="C5197" s="235" t="s">
        <v>38260</v>
      </c>
      <c r="D5197" s="235" t="s">
        <v>38261</v>
      </c>
      <c r="E5197" s="243">
        <v>6.48E13</v>
      </c>
      <c r="F5197" s="245"/>
      <c r="G5197" s="235" t="s">
        <v>38262</v>
      </c>
      <c r="H5197" s="235" t="s">
        <v>38263</v>
      </c>
      <c r="I5197" s="235" t="s">
        <v>38263</v>
      </c>
      <c r="J5197" s="235" t="s">
        <v>38264</v>
      </c>
      <c r="K5197" s="235" t="s">
        <v>38265</v>
      </c>
      <c r="N5197" s="235" t="s">
        <v>842</v>
      </c>
      <c r="O5197" s="235" t="s">
        <v>843</v>
      </c>
      <c r="P5197" s="238">
        <v>1.0</v>
      </c>
      <c r="Q5197" s="235" t="s">
        <v>627</v>
      </c>
      <c r="R5197" s="238">
        <v>246.67</v>
      </c>
      <c r="S5197" s="238">
        <v>12.33</v>
      </c>
      <c r="T5197" s="238">
        <v>0.0</v>
      </c>
      <c r="U5197" s="238">
        <v>0.0</v>
      </c>
      <c r="V5197" s="238">
        <v>0.0</v>
      </c>
      <c r="W5197" s="238">
        <v>0.0</v>
      </c>
      <c r="X5197" s="235" t="s">
        <v>628</v>
      </c>
      <c r="Z5197" s="245"/>
      <c r="AA5197" s="245"/>
      <c r="AB5197" s="245"/>
      <c r="AC5197" s="235" t="s">
        <v>795</v>
      </c>
      <c r="AD5197" s="235" t="s">
        <v>796</v>
      </c>
      <c r="AE5197" s="238">
        <v>110001.0</v>
      </c>
      <c r="AF5197" s="235" t="s">
        <v>631</v>
      </c>
      <c r="AG5197" s="245"/>
      <c r="AH5197" s="245"/>
      <c r="AI5197" s="245"/>
      <c r="AJ5197" s="245"/>
      <c r="AK5197" s="245"/>
      <c r="AL5197" s="245"/>
      <c r="AM5197" s="245"/>
      <c r="AN5197" s="245"/>
      <c r="AO5197" s="238">
        <v>0.0</v>
      </c>
      <c r="AP5197" s="238">
        <v>0.0</v>
      </c>
      <c r="AQ5197" s="235" t="s">
        <v>632</v>
      </c>
      <c r="AR5197" s="243">
        <v>3.7E11</v>
      </c>
      <c r="AS5197" s="235" t="s">
        <v>36667</v>
      </c>
      <c r="AT5197" s="235" t="s">
        <v>14</v>
      </c>
      <c r="AU5197" s="235" t="s">
        <v>634</v>
      </c>
      <c r="AV5197" s="246" t="s">
        <v>635</v>
      </c>
      <c r="AW5197" s="227"/>
      <c r="AX5197" s="227"/>
      <c r="AY5197" s="227"/>
      <c r="AZ5197" s="227"/>
      <c r="BA5197" s="227"/>
      <c r="BB5197" s="227"/>
      <c r="BC5197" s="227"/>
      <c r="BD5197" s="227"/>
      <c r="BE5197" s="227"/>
      <c r="BF5197" s="227"/>
    </row>
    <row r="5198">
      <c r="A5198" s="235" t="s">
        <v>38266</v>
      </c>
      <c r="C5198" s="235" t="s">
        <v>38267</v>
      </c>
      <c r="D5198" s="235" t="s">
        <v>38268</v>
      </c>
      <c r="E5198" s="243">
        <v>6.49E13</v>
      </c>
      <c r="F5198" s="245"/>
      <c r="G5198" s="235" t="s">
        <v>38269</v>
      </c>
      <c r="H5198" s="235" t="s">
        <v>38270</v>
      </c>
      <c r="I5198" s="235" t="s">
        <v>38270</v>
      </c>
      <c r="J5198" s="235" t="s">
        <v>38271</v>
      </c>
      <c r="K5198" s="235" t="s">
        <v>38272</v>
      </c>
      <c r="N5198" s="235" t="s">
        <v>82</v>
      </c>
      <c r="O5198" s="235" t="s">
        <v>889</v>
      </c>
      <c r="P5198" s="238">
        <v>1.0</v>
      </c>
      <c r="Q5198" s="235" t="s">
        <v>627</v>
      </c>
      <c r="R5198" s="238">
        <v>243.81</v>
      </c>
      <c r="S5198" s="238">
        <v>12.19</v>
      </c>
      <c r="T5198" s="238">
        <v>38.1</v>
      </c>
      <c r="U5198" s="238">
        <v>1.9</v>
      </c>
      <c r="V5198" s="238">
        <v>0.0</v>
      </c>
      <c r="W5198" s="238">
        <v>0.0</v>
      </c>
      <c r="X5198" s="235" t="s">
        <v>628</v>
      </c>
      <c r="Z5198" s="245"/>
      <c r="AA5198" s="245"/>
      <c r="AB5198" s="245"/>
      <c r="AC5198" s="235" t="s">
        <v>3806</v>
      </c>
      <c r="AD5198" s="235" t="s">
        <v>881</v>
      </c>
      <c r="AE5198" s="238">
        <v>753014.0</v>
      </c>
      <c r="AF5198" s="235" t="s">
        <v>631</v>
      </c>
      <c r="AG5198" s="245"/>
      <c r="AH5198" s="245"/>
      <c r="AI5198" s="245"/>
      <c r="AJ5198" s="245"/>
      <c r="AK5198" s="245"/>
      <c r="AL5198" s="245"/>
      <c r="AM5198" s="245"/>
      <c r="AN5198" s="245"/>
      <c r="AO5198" s="238">
        <v>0.0</v>
      </c>
      <c r="AP5198" s="238">
        <v>-38.1</v>
      </c>
      <c r="AQ5198" s="235" t="s">
        <v>632</v>
      </c>
      <c r="AR5198" s="243">
        <v>3.7E11</v>
      </c>
      <c r="AS5198" s="235" t="s">
        <v>33466</v>
      </c>
      <c r="AT5198" s="235" t="s">
        <v>11</v>
      </c>
      <c r="AU5198" s="235" t="s">
        <v>634</v>
      </c>
      <c r="AV5198" s="246" t="s">
        <v>635</v>
      </c>
      <c r="AW5198" s="227"/>
      <c r="AX5198" s="227"/>
      <c r="AY5198" s="227"/>
      <c r="AZ5198" s="227"/>
      <c r="BA5198" s="227"/>
      <c r="BB5198" s="227"/>
      <c r="BC5198" s="227"/>
      <c r="BD5198" s="227"/>
      <c r="BE5198" s="227"/>
      <c r="BF5198" s="227"/>
    </row>
    <row r="5199">
      <c r="A5199" s="235" t="s">
        <v>38273</v>
      </c>
      <c r="C5199" s="235" t="s">
        <v>38274</v>
      </c>
      <c r="D5199" s="235" t="s">
        <v>38275</v>
      </c>
      <c r="E5199" s="243">
        <v>6.49E13</v>
      </c>
      <c r="F5199" s="245"/>
      <c r="G5199" s="235" t="s">
        <v>38276</v>
      </c>
      <c r="H5199" s="235" t="s">
        <v>38277</v>
      </c>
      <c r="I5199" s="235" t="s">
        <v>38277</v>
      </c>
      <c r="J5199" s="235" t="s">
        <v>38278</v>
      </c>
      <c r="K5199" s="235" t="s">
        <v>38279</v>
      </c>
      <c r="N5199" s="235" t="s">
        <v>42</v>
      </c>
      <c r="O5199" s="235" t="s">
        <v>204</v>
      </c>
      <c r="P5199" s="238">
        <v>1.0</v>
      </c>
      <c r="Q5199" s="235" t="s">
        <v>627</v>
      </c>
      <c r="R5199" s="238">
        <v>237.14</v>
      </c>
      <c r="S5199" s="238">
        <v>11.86</v>
      </c>
      <c r="T5199" s="238">
        <v>38.1</v>
      </c>
      <c r="U5199" s="238">
        <v>1.9</v>
      </c>
      <c r="V5199" s="238">
        <v>0.0</v>
      </c>
      <c r="W5199" s="238">
        <v>0.0</v>
      </c>
      <c r="X5199" s="235" t="s">
        <v>628</v>
      </c>
      <c r="Z5199" s="245"/>
      <c r="AA5199" s="245"/>
      <c r="AB5199" s="245"/>
      <c r="AC5199" s="235" t="s">
        <v>2493</v>
      </c>
      <c r="AD5199" s="235" t="s">
        <v>833</v>
      </c>
      <c r="AE5199" s="238">
        <v>520007.0</v>
      </c>
      <c r="AF5199" s="235" t="s">
        <v>631</v>
      </c>
      <c r="AG5199" s="245"/>
      <c r="AH5199" s="245"/>
      <c r="AI5199" s="245"/>
      <c r="AJ5199" s="245"/>
      <c r="AK5199" s="245"/>
      <c r="AL5199" s="245"/>
      <c r="AM5199" s="245"/>
      <c r="AN5199" s="245"/>
      <c r="AO5199" s="238">
        <v>0.0</v>
      </c>
      <c r="AP5199" s="238">
        <v>-38.1</v>
      </c>
      <c r="AQ5199" s="235" t="s">
        <v>632</v>
      </c>
      <c r="AR5199" s="243">
        <v>3.7E11</v>
      </c>
      <c r="AS5199" s="235" t="s">
        <v>35520</v>
      </c>
      <c r="AT5199" s="235" t="s">
        <v>156</v>
      </c>
      <c r="AU5199" s="235" t="s">
        <v>634</v>
      </c>
      <c r="AV5199" s="246" t="s">
        <v>635</v>
      </c>
      <c r="AW5199" s="227"/>
      <c r="AX5199" s="227"/>
      <c r="AY5199" s="227"/>
      <c r="AZ5199" s="227"/>
      <c r="BA5199" s="227"/>
      <c r="BB5199" s="227"/>
      <c r="BC5199" s="227"/>
      <c r="BD5199" s="227"/>
      <c r="BE5199" s="227"/>
      <c r="BF5199" s="227"/>
    </row>
    <row r="5200">
      <c r="A5200" s="235" t="s">
        <v>38280</v>
      </c>
      <c r="C5200" s="235" t="s">
        <v>38281</v>
      </c>
      <c r="D5200" s="235" t="s">
        <v>38282</v>
      </c>
      <c r="E5200" s="243">
        <v>6.49E13</v>
      </c>
      <c r="F5200" s="245"/>
      <c r="G5200" s="235" t="s">
        <v>38283</v>
      </c>
      <c r="H5200" s="235" t="s">
        <v>38284</v>
      </c>
      <c r="I5200" s="235" t="s">
        <v>38284</v>
      </c>
      <c r="J5200" s="235" t="s">
        <v>38285</v>
      </c>
      <c r="K5200" s="235" t="s">
        <v>38286</v>
      </c>
      <c r="N5200" s="235" t="s">
        <v>130</v>
      </c>
      <c r="O5200" s="235" t="s">
        <v>707</v>
      </c>
      <c r="P5200" s="238">
        <v>1.0</v>
      </c>
      <c r="Q5200" s="235" t="s">
        <v>627</v>
      </c>
      <c r="R5200" s="238">
        <v>243.81</v>
      </c>
      <c r="S5200" s="238">
        <v>12.19</v>
      </c>
      <c r="T5200" s="238">
        <v>38.1</v>
      </c>
      <c r="U5200" s="238">
        <v>1.9</v>
      </c>
      <c r="V5200" s="238">
        <v>0.0</v>
      </c>
      <c r="W5200" s="238">
        <v>0.0</v>
      </c>
      <c r="X5200" s="235" t="s">
        <v>628</v>
      </c>
      <c r="Z5200" s="245"/>
      <c r="AA5200" s="245"/>
      <c r="AB5200" s="245"/>
      <c r="AC5200" s="235" t="s">
        <v>1287</v>
      </c>
      <c r="AD5200" s="235" t="s">
        <v>630</v>
      </c>
      <c r="AE5200" s="238">
        <v>201001.0</v>
      </c>
      <c r="AF5200" s="235" t="s">
        <v>631</v>
      </c>
      <c r="AG5200" s="245"/>
      <c r="AH5200" s="245"/>
      <c r="AI5200" s="245"/>
      <c r="AJ5200" s="245"/>
      <c r="AK5200" s="245"/>
      <c r="AL5200" s="245"/>
      <c r="AM5200" s="245"/>
      <c r="AN5200" s="245"/>
      <c r="AO5200" s="238">
        <v>0.0</v>
      </c>
      <c r="AP5200" s="238">
        <v>-38.1</v>
      </c>
      <c r="AQ5200" s="235" t="s">
        <v>632</v>
      </c>
      <c r="AR5200" s="243">
        <v>2.02E11</v>
      </c>
      <c r="AS5200" s="235" t="s">
        <v>36667</v>
      </c>
      <c r="AT5200" s="235" t="s">
        <v>11</v>
      </c>
      <c r="AU5200" s="235" t="s">
        <v>634</v>
      </c>
      <c r="AV5200" s="246" t="s">
        <v>635</v>
      </c>
      <c r="AW5200" s="227"/>
      <c r="AX5200" s="227"/>
      <c r="AY5200" s="227"/>
      <c r="AZ5200" s="227"/>
      <c r="BA5200" s="227"/>
      <c r="BB5200" s="227"/>
      <c r="BC5200" s="227"/>
      <c r="BD5200" s="227"/>
      <c r="BE5200" s="227"/>
      <c r="BF5200" s="227"/>
    </row>
    <row r="5201">
      <c r="A5201" s="235" t="s">
        <v>38287</v>
      </c>
      <c r="C5201" s="235" t="s">
        <v>38288</v>
      </c>
      <c r="D5201" s="235" t="s">
        <v>38289</v>
      </c>
      <c r="E5201" s="243">
        <v>6.49E13</v>
      </c>
      <c r="F5201" s="245"/>
      <c r="G5201" s="235" t="s">
        <v>38290</v>
      </c>
      <c r="H5201" s="235" t="s">
        <v>38291</v>
      </c>
      <c r="I5201" s="235" t="s">
        <v>38292</v>
      </c>
      <c r="J5201" s="235" t="s">
        <v>38293</v>
      </c>
      <c r="K5201" s="235" t="s">
        <v>38294</v>
      </c>
      <c r="N5201" s="235" t="s">
        <v>68</v>
      </c>
      <c r="O5201" s="235" t="s">
        <v>208</v>
      </c>
      <c r="P5201" s="238">
        <v>1.0</v>
      </c>
      <c r="Q5201" s="235" t="s">
        <v>627</v>
      </c>
      <c r="R5201" s="238">
        <v>246.67</v>
      </c>
      <c r="S5201" s="238">
        <v>12.33</v>
      </c>
      <c r="T5201" s="238">
        <v>0.0</v>
      </c>
      <c r="U5201" s="238">
        <v>0.0</v>
      </c>
      <c r="V5201" s="238">
        <v>0.0</v>
      </c>
      <c r="W5201" s="238">
        <v>0.0</v>
      </c>
      <c r="X5201" s="235" t="s">
        <v>628</v>
      </c>
      <c r="Z5201" s="245"/>
      <c r="AA5201" s="245"/>
      <c r="AB5201" s="245"/>
      <c r="AC5201" s="235" t="s">
        <v>2452</v>
      </c>
      <c r="AD5201" s="235" t="s">
        <v>1151</v>
      </c>
      <c r="AE5201" s="238">
        <v>700064.0</v>
      </c>
      <c r="AF5201" s="235" t="s">
        <v>631</v>
      </c>
      <c r="AG5201" s="245"/>
      <c r="AH5201" s="245"/>
      <c r="AI5201" s="245"/>
      <c r="AJ5201" s="245"/>
      <c r="AK5201" s="245"/>
      <c r="AL5201" s="245"/>
      <c r="AM5201" s="245"/>
      <c r="AN5201" s="245"/>
      <c r="AO5201" s="238">
        <v>0.0</v>
      </c>
      <c r="AP5201" s="238">
        <v>0.0</v>
      </c>
      <c r="AQ5201" s="235" t="s">
        <v>632</v>
      </c>
      <c r="AR5201" s="243">
        <v>2.02E11</v>
      </c>
      <c r="AS5201" s="235" t="s">
        <v>35520</v>
      </c>
      <c r="AT5201" s="235" t="s">
        <v>14</v>
      </c>
      <c r="AU5201" s="235" t="s">
        <v>634</v>
      </c>
      <c r="AV5201" s="246" t="s">
        <v>635</v>
      </c>
      <c r="AW5201" s="227"/>
      <c r="AX5201" s="227"/>
      <c r="AY5201" s="227"/>
      <c r="AZ5201" s="227"/>
      <c r="BA5201" s="227"/>
      <c r="BB5201" s="227"/>
      <c r="BC5201" s="227"/>
      <c r="BD5201" s="227"/>
      <c r="BE5201" s="227"/>
      <c r="BF5201" s="227"/>
    </row>
    <row r="5202">
      <c r="A5202" s="235" t="s">
        <v>38295</v>
      </c>
      <c r="C5202" s="235" t="s">
        <v>38296</v>
      </c>
      <c r="D5202" s="235" t="s">
        <v>38297</v>
      </c>
      <c r="E5202" s="243">
        <v>6.49E13</v>
      </c>
      <c r="F5202" s="245"/>
      <c r="G5202" s="235" t="s">
        <v>38298</v>
      </c>
      <c r="H5202" s="235" t="s">
        <v>38299</v>
      </c>
      <c r="I5202" s="235" t="s">
        <v>38299</v>
      </c>
      <c r="J5202" s="235" t="s">
        <v>38300</v>
      </c>
      <c r="K5202" s="235" t="s">
        <v>38301</v>
      </c>
      <c r="N5202" s="235" t="s">
        <v>127</v>
      </c>
      <c r="O5202" s="235" t="s">
        <v>794</v>
      </c>
      <c r="P5202" s="238">
        <v>1.0</v>
      </c>
      <c r="Q5202" s="235" t="s">
        <v>627</v>
      </c>
      <c r="R5202" s="238">
        <v>243.81</v>
      </c>
      <c r="S5202" s="238">
        <v>12.19</v>
      </c>
      <c r="T5202" s="238">
        <v>0.0</v>
      </c>
      <c r="U5202" s="238">
        <v>0.0</v>
      </c>
      <c r="V5202" s="238">
        <v>0.0</v>
      </c>
      <c r="W5202" s="238">
        <v>0.0</v>
      </c>
      <c r="X5202" s="235" t="s">
        <v>628</v>
      </c>
      <c r="Z5202" s="245"/>
      <c r="AA5202" s="245"/>
      <c r="AB5202" s="245"/>
      <c r="AC5202" s="235" t="s">
        <v>5412</v>
      </c>
      <c r="AD5202" s="235" t="s">
        <v>908</v>
      </c>
      <c r="AE5202" s="238">
        <v>263153.0</v>
      </c>
      <c r="AF5202" s="235" t="s">
        <v>631</v>
      </c>
      <c r="AG5202" s="245"/>
      <c r="AH5202" s="245"/>
      <c r="AI5202" s="245"/>
      <c r="AJ5202" s="245"/>
      <c r="AK5202" s="245"/>
      <c r="AL5202" s="245"/>
      <c r="AM5202" s="245"/>
      <c r="AN5202" s="245"/>
      <c r="AO5202" s="238">
        <v>0.0</v>
      </c>
      <c r="AP5202" s="238">
        <v>0.0</v>
      </c>
      <c r="AQ5202" s="235" t="s">
        <v>632</v>
      </c>
      <c r="AR5202" s="243">
        <v>3.7E11</v>
      </c>
      <c r="AS5202" s="235" t="s">
        <v>36667</v>
      </c>
      <c r="AT5202" s="235" t="s">
        <v>533</v>
      </c>
      <c r="AU5202" s="235" t="s">
        <v>634</v>
      </c>
      <c r="AV5202" s="246" t="s">
        <v>635</v>
      </c>
      <c r="AW5202" s="227"/>
      <c r="AX5202" s="227"/>
      <c r="AY5202" s="227"/>
      <c r="AZ5202" s="227"/>
      <c r="BA5202" s="227"/>
      <c r="BB5202" s="227"/>
      <c r="BC5202" s="227"/>
      <c r="BD5202" s="227"/>
      <c r="BE5202" s="227"/>
      <c r="BF5202" s="227"/>
    </row>
    <row r="5203">
      <c r="A5203" s="235" t="s">
        <v>38302</v>
      </c>
      <c r="C5203" s="235" t="s">
        <v>38303</v>
      </c>
      <c r="D5203" s="235" t="s">
        <v>38304</v>
      </c>
      <c r="E5203" s="243">
        <v>6.49E13</v>
      </c>
      <c r="F5203" s="245"/>
      <c r="G5203" s="235" t="s">
        <v>38305</v>
      </c>
      <c r="H5203" s="235" t="s">
        <v>38306</v>
      </c>
      <c r="I5203" s="235" t="s">
        <v>38306</v>
      </c>
      <c r="J5203" s="235" t="s">
        <v>38307</v>
      </c>
      <c r="K5203" s="235" t="s">
        <v>38308</v>
      </c>
      <c r="N5203" s="235" t="s">
        <v>1646</v>
      </c>
      <c r="O5203" s="235" t="s">
        <v>1647</v>
      </c>
      <c r="P5203" s="238">
        <v>1.0</v>
      </c>
      <c r="Q5203" s="235" t="s">
        <v>627</v>
      </c>
      <c r="R5203" s="238">
        <v>246.66</v>
      </c>
      <c r="S5203" s="238">
        <v>12.34</v>
      </c>
      <c r="T5203" s="238">
        <v>38.1</v>
      </c>
      <c r="U5203" s="238">
        <v>1.9</v>
      </c>
      <c r="V5203" s="238">
        <v>0.0</v>
      </c>
      <c r="W5203" s="238">
        <v>0.0</v>
      </c>
      <c r="X5203" s="235" t="s">
        <v>628</v>
      </c>
      <c r="Z5203" s="245"/>
      <c r="AA5203" s="245"/>
      <c r="AB5203" s="245"/>
      <c r="AC5203" s="235" t="s">
        <v>38309</v>
      </c>
      <c r="AD5203" s="235" t="s">
        <v>845</v>
      </c>
      <c r="AE5203" s="238">
        <v>416109.0</v>
      </c>
      <c r="AF5203" s="235" t="s">
        <v>631</v>
      </c>
      <c r="AG5203" s="245"/>
      <c r="AH5203" s="245"/>
      <c r="AI5203" s="245"/>
      <c r="AJ5203" s="245"/>
      <c r="AK5203" s="245"/>
      <c r="AL5203" s="245"/>
      <c r="AM5203" s="245"/>
      <c r="AN5203" s="245"/>
      <c r="AO5203" s="238">
        <v>0.0</v>
      </c>
      <c r="AP5203" s="238">
        <v>-38.1</v>
      </c>
      <c r="AQ5203" s="235" t="s">
        <v>632</v>
      </c>
      <c r="AR5203" s="243">
        <v>3.7E11</v>
      </c>
      <c r="AS5203" s="235" t="s">
        <v>36667</v>
      </c>
      <c r="AT5203" s="235" t="s">
        <v>546</v>
      </c>
      <c r="AU5203" s="235" t="s">
        <v>634</v>
      </c>
      <c r="AV5203" s="246" t="s">
        <v>635</v>
      </c>
      <c r="AW5203" s="227"/>
      <c r="AX5203" s="227"/>
      <c r="AY5203" s="227"/>
      <c r="AZ5203" s="227"/>
      <c r="BA5203" s="227"/>
      <c r="BB5203" s="227"/>
      <c r="BC5203" s="227"/>
      <c r="BD5203" s="227"/>
      <c r="BE5203" s="227"/>
      <c r="BF5203" s="227"/>
    </row>
    <row r="5204">
      <c r="A5204" s="235" t="s">
        <v>38310</v>
      </c>
      <c r="C5204" s="235" t="s">
        <v>38311</v>
      </c>
      <c r="D5204" s="235" t="s">
        <v>38312</v>
      </c>
      <c r="E5204" s="243">
        <v>6.49E13</v>
      </c>
      <c r="F5204" s="245"/>
      <c r="G5204" s="235" t="s">
        <v>38313</v>
      </c>
      <c r="H5204" s="235" t="s">
        <v>38314</v>
      </c>
      <c r="I5204" s="235" t="s">
        <v>38314</v>
      </c>
      <c r="J5204" s="235" t="s">
        <v>38315</v>
      </c>
      <c r="K5204" s="235" t="s">
        <v>38316</v>
      </c>
      <c r="N5204" s="235" t="s">
        <v>154</v>
      </c>
      <c r="O5204" s="235" t="s">
        <v>766</v>
      </c>
      <c r="P5204" s="238">
        <v>1.0</v>
      </c>
      <c r="Q5204" s="235" t="s">
        <v>627</v>
      </c>
      <c r="R5204" s="238">
        <v>465.72</v>
      </c>
      <c r="S5204" s="238">
        <v>22.82</v>
      </c>
      <c r="T5204" s="238">
        <v>0.0</v>
      </c>
      <c r="U5204" s="238">
        <v>0.0</v>
      </c>
      <c r="V5204" s="238">
        <v>0.0</v>
      </c>
      <c r="W5204" s="238">
        <v>0.0</v>
      </c>
      <c r="X5204" s="235" t="s">
        <v>628</v>
      </c>
      <c r="Z5204" s="245"/>
      <c r="AA5204" s="245"/>
      <c r="AB5204" s="245"/>
      <c r="AC5204" s="235" t="s">
        <v>8520</v>
      </c>
      <c r="AD5204" s="235" t="s">
        <v>928</v>
      </c>
      <c r="AE5204" s="238">
        <v>134109.0</v>
      </c>
      <c r="AF5204" s="235" t="s">
        <v>631</v>
      </c>
      <c r="AG5204" s="245"/>
      <c r="AH5204" s="245"/>
      <c r="AI5204" s="245"/>
      <c r="AJ5204" s="245"/>
      <c r="AK5204" s="245"/>
      <c r="AL5204" s="245"/>
      <c r="AM5204" s="245"/>
      <c r="AN5204" s="245"/>
      <c r="AO5204" s="238">
        <v>-9.32</v>
      </c>
      <c r="AP5204" s="238">
        <v>0.0</v>
      </c>
      <c r="AQ5204" s="235" t="s">
        <v>632</v>
      </c>
      <c r="AR5204" s="243">
        <v>3.7E11</v>
      </c>
      <c r="AS5204" s="235" t="s">
        <v>36667</v>
      </c>
      <c r="AT5204" s="235" t="s">
        <v>14</v>
      </c>
      <c r="AU5204" s="235" t="s">
        <v>634</v>
      </c>
      <c r="AV5204" s="246" t="s">
        <v>635</v>
      </c>
      <c r="AW5204" s="227"/>
      <c r="AX5204" s="227"/>
      <c r="AY5204" s="227"/>
      <c r="AZ5204" s="227"/>
      <c r="BA5204" s="227"/>
      <c r="BB5204" s="227"/>
      <c r="BC5204" s="227"/>
      <c r="BD5204" s="227"/>
      <c r="BE5204" s="227"/>
      <c r="BF5204" s="227"/>
    </row>
    <row r="5205">
      <c r="A5205" s="235" t="s">
        <v>38317</v>
      </c>
      <c r="C5205" s="235" t="s">
        <v>38318</v>
      </c>
      <c r="D5205" s="235" t="s">
        <v>38319</v>
      </c>
      <c r="E5205" s="243">
        <v>6.49E13</v>
      </c>
      <c r="F5205" s="245"/>
      <c r="G5205" s="235" t="s">
        <v>38320</v>
      </c>
      <c r="H5205" s="235" t="s">
        <v>38321</v>
      </c>
      <c r="I5205" s="235" t="s">
        <v>38321</v>
      </c>
      <c r="J5205" s="235" t="s">
        <v>38322</v>
      </c>
      <c r="K5205" s="235" t="s">
        <v>38323</v>
      </c>
      <c r="N5205" s="235" t="s">
        <v>42</v>
      </c>
      <c r="O5205" s="235" t="s">
        <v>204</v>
      </c>
      <c r="P5205" s="238">
        <v>1.0</v>
      </c>
      <c r="Q5205" s="235" t="s">
        <v>627</v>
      </c>
      <c r="R5205" s="238">
        <v>237.14</v>
      </c>
      <c r="S5205" s="238">
        <v>11.86</v>
      </c>
      <c r="T5205" s="238">
        <v>0.0</v>
      </c>
      <c r="U5205" s="238">
        <v>0.0</v>
      </c>
      <c r="V5205" s="238">
        <v>0.0</v>
      </c>
      <c r="W5205" s="238">
        <v>0.0</v>
      </c>
      <c r="X5205" s="235" t="s">
        <v>628</v>
      </c>
      <c r="Z5205" s="245"/>
      <c r="AA5205" s="245"/>
      <c r="AB5205" s="245"/>
      <c r="AC5205" s="235" t="s">
        <v>22667</v>
      </c>
      <c r="AD5205" s="235" t="s">
        <v>666</v>
      </c>
      <c r="AE5205" s="238">
        <v>626117.0</v>
      </c>
      <c r="AF5205" s="235" t="s">
        <v>631</v>
      </c>
      <c r="AG5205" s="245"/>
      <c r="AH5205" s="245"/>
      <c r="AI5205" s="245"/>
      <c r="AJ5205" s="245"/>
      <c r="AK5205" s="245"/>
      <c r="AL5205" s="245"/>
      <c r="AM5205" s="245"/>
      <c r="AN5205" s="245"/>
      <c r="AO5205" s="238">
        <v>0.0</v>
      </c>
      <c r="AP5205" s="238">
        <v>0.0</v>
      </c>
      <c r="AQ5205" s="235" t="s">
        <v>632</v>
      </c>
      <c r="AR5205" s="243">
        <v>3.7E11</v>
      </c>
      <c r="AS5205" s="235" t="s">
        <v>36667</v>
      </c>
      <c r="AT5205" s="235" t="s">
        <v>9</v>
      </c>
      <c r="AU5205" s="235" t="s">
        <v>634</v>
      </c>
      <c r="AV5205" s="246" t="s">
        <v>635</v>
      </c>
      <c r="AW5205" s="227"/>
      <c r="AX5205" s="227"/>
      <c r="AY5205" s="227"/>
      <c r="AZ5205" s="227"/>
      <c r="BA5205" s="227"/>
      <c r="BB5205" s="227"/>
      <c r="BC5205" s="227"/>
      <c r="BD5205" s="227"/>
      <c r="BE5205" s="227"/>
      <c r="BF5205" s="227"/>
    </row>
    <row r="5206">
      <c r="A5206" s="235" t="s">
        <v>38324</v>
      </c>
      <c r="C5206" s="235" t="s">
        <v>38325</v>
      </c>
      <c r="D5206" s="235" t="s">
        <v>38326</v>
      </c>
      <c r="E5206" s="243">
        <v>6.49E13</v>
      </c>
      <c r="F5206" s="245"/>
      <c r="G5206" s="235" t="s">
        <v>38327</v>
      </c>
      <c r="H5206" s="235" t="s">
        <v>38328</v>
      </c>
      <c r="I5206" s="235" t="s">
        <v>38328</v>
      </c>
      <c r="J5206" s="235" t="s">
        <v>38329</v>
      </c>
      <c r="K5206" s="235" t="s">
        <v>38330</v>
      </c>
      <c r="N5206" s="235" t="s">
        <v>82</v>
      </c>
      <c r="O5206" s="235" t="s">
        <v>889</v>
      </c>
      <c r="P5206" s="238">
        <v>1.0</v>
      </c>
      <c r="Q5206" s="235" t="s">
        <v>627</v>
      </c>
      <c r="R5206" s="238">
        <v>243.81</v>
      </c>
      <c r="S5206" s="238">
        <v>12.19</v>
      </c>
      <c r="T5206" s="238">
        <v>38.1</v>
      </c>
      <c r="U5206" s="238">
        <v>1.9</v>
      </c>
      <c r="V5206" s="238">
        <v>0.0</v>
      </c>
      <c r="W5206" s="238">
        <v>0.0</v>
      </c>
      <c r="X5206" s="235" t="s">
        <v>628</v>
      </c>
      <c r="Z5206" s="245"/>
      <c r="AA5206" s="245"/>
      <c r="AB5206" s="245"/>
      <c r="AC5206" s="235" t="s">
        <v>7611</v>
      </c>
      <c r="AD5206" s="235" t="s">
        <v>630</v>
      </c>
      <c r="AE5206" s="238">
        <v>250002.0</v>
      </c>
      <c r="AF5206" s="235" t="s">
        <v>631</v>
      </c>
      <c r="AG5206" s="245"/>
      <c r="AH5206" s="245"/>
      <c r="AI5206" s="245"/>
      <c r="AJ5206" s="245"/>
      <c r="AK5206" s="245"/>
      <c r="AL5206" s="245"/>
      <c r="AM5206" s="245"/>
      <c r="AN5206" s="245"/>
      <c r="AO5206" s="238">
        <v>0.0</v>
      </c>
      <c r="AP5206" s="238">
        <v>-38.1</v>
      </c>
      <c r="AQ5206" s="235" t="s">
        <v>632</v>
      </c>
      <c r="AR5206" s="243">
        <v>3.7E11</v>
      </c>
      <c r="AS5206" s="235" t="s">
        <v>36667</v>
      </c>
      <c r="AT5206" s="235" t="s">
        <v>14</v>
      </c>
      <c r="AU5206" s="235" t="s">
        <v>634</v>
      </c>
      <c r="AV5206" s="246" t="s">
        <v>635</v>
      </c>
      <c r="AW5206" s="227"/>
      <c r="AX5206" s="227"/>
      <c r="AY5206" s="227"/>
      <c r="AZ5206" s="227"/>
      <c r="BA5206" s="227"/>
      <c r="BB5206" s="227"/>
      <c r="BC5206" s="227"/>
      <c r="BD5206" s="227"/>
      <c r="BE5206" s="227"/>
      <c r="BF5206" s="227"/>
    </row>
    <row r="5207">
      <c r="A5207" s="235" t="s">
        <v>38331</v>
      </c>
      <c r="C5207" s="235" t="s">
        <v>38332</v>
      </c>
      <c r="D5207" s="235" t="s">
        <v>38333</v>
      </c>
      <c r="E5207" s="243">
        <v>6.47E13</v>
      </c>
      <c r="F5207" s="245"/>
      <c r="G5207" s="235" t="s">
        <v>38334</v>
      </c>
      <c r="H5207" s="235" t="s">
        <v>38335</v>
      </c>
      <c r="I5207" s="235" t="s">
        <v>38335</v>
      </c>
      <c r="J5207" s="235" t="s">
        <v>38336</v>
      </c>
      <c r="K5207" s="235" t="s">
        <v>38337</v>
      </c>
      <c r="N5207" s="235" t="s">
        <v>143</v>
      </c>
      <c r="O5207" s="235" t="s">
        <v>220</v>
      </c>
      <c r="P5207" s="238">
        <v>1.0</v>
      </c>
      <c r="Q5207" s="235" t="s">
        <v>627</v>
      </c>
      <c r="R5207" s="238">
        <v>244.76</v>
      </c>
      <c r="S5207" s="238">
        <v>12.24</v>
      </c>
      <c r="T5207" s="238">
        <v>0.0</v>
      </c>
      <c r="U5207" s="238">
        <v>0.0</v>
      </c>
      <c r="V5207" s="238">
        <v>0.0</v>
      </c>
      <c r="W5207" s="238">
        <v>0.0</v>
      </c>
      <c r="X5207" s="235" t="s">
        <v>628</v>
      </c>
      <c r="Z5207" s="245"/>
      <c r="AA5207" s="245"/>
      <c r="AB5207" s="245"/>
      <c r="AC5207" s="235" t="s">
        <v>38338</v>
      </c>
      <c r="AD5207" s="235" t="s">
        <v>845</v>
      </c>
      <c r="AE5207" s="238">
        <v>410501.0</v>
      </c>
      <c r="AF5207" s="235" t="s">
        <v>631</v>
      </c>
      <c r="AG5207" s="245"/>
      <c r="AH5207" s="245"/>
      <c r="AI5207" s="245"/>
      <c r="AJ5207" s="245"/>
      <c r="AK5207" s="245"/>
      <c r="AL5207" s="245"/>
      <c r="AM5207" s="245"/>
      <c r="AN5207" s="245"/>
      <c r="AO5207" s="238">
        <v>0.0</v>
      </c>
      <c r="AP5207" s="238">
        <v>0.0</v>
      </c>
      <c r="AQ5207" s="235" t="s">
        <v>632</v>
      </c>
      <c r="AR5207" s="243">
        <v>3.7E11</v>
      </c>
      <c r="AS5207" s="235" t="s">
        <v>36667</v>
      </c>
      <c r="AT5207" s="235" t="s">
        <v>17</v>
      </c>
      <c r="AU5207" s="235" t="s">
        <v>634</v>
      </c>
      <c r="AV5207" s="246" t="s">
        <v>635</v>
      </c>
      <c r="AW5207" s="227"/>
      <c r="AX5207" s="227"/>
      <c r="AY5207" s="227"/>
      <c r="AZ5207" s="227"/>
      <c r="BA5207" s="227"/>
      <c r="BB5207" s="227"/>
      <c r="BC5207" s="227"/>
      <c r="BD5207" s="227"/>
      <c r="BE5207" s="227"/>
      <c r="BF5207" s="227"/>
    </row>
    <row r="5208">
      <c r="A5208" s="235" t="s">
        <v>38339</v>
      </c>
      <c r="C5208" s="235" t="s">
        <v>38340</v>
      </c>
      <c r="D5208" s="235" t="s">
        <v>38341</v>
      </c>
      <c r="E5208" s="243">
        <v>6.48E13</v>
      </c>
      <c r="F5208" s="245"/>
      <c r="G5208" s="235" t="s">
        <v>38342</v>
      </c>
      <c r="H5208" s="235" t="s">
        <v>38343</v>
      </c>
      <c r="I5208" s="235" t="s">
        <v>38343</v>
      </c>
      <c r="J5208" s="235" t="s">
        <v>38344</v>
      </c>
      <c r="K5208" s="235" t="s">
        <v>3980</v>
      </c>
      <c r="N5208" s="235" t="s">
        <v>1148</v>
      </c>
      <c r="O5208" s="235" t="s">
        <v>1149</v>
      </c>
      <c r="P5208" s="238">
        <v>1.0</v>
      </c>
      <c r="Q5208" s="235" t="s">
        <v>627</v>
      </c>
      <c r="R5208" s="238">
        <v>846.62</v>
      </c>
      <c r="S5208" s="238">
        <v>152.38</v>
      </c>
      <c r="T5208" s="238">
        <v>33.9</v>
      </c>
      <c r="U5208" s="238">
        <v>6.1</v>
      </c>
      <c r="V5208" s="238">
        <v>0.0</v>
      </c>
      <c r="W5208" s="238">
        <v>0.0</v>
      </c>
      <c r="X5208" s="235" t="s">
        <v>628</v>
      </c>
      <c r="Z5208" s="245"/>
      <c r="AA5208" s="245"/>
      <c r="AB5208" s="245"/>
      <c r="AC5208" s="235" t="s">
        <v>1255</v>
      </c>
      <c r="AD5208" s="235" t="s">
        <v>845</v>
      </c>
      <c r="AE5208" s="238">
        <v>400615.0</v>
      </c>
      <c r="AF5208" s="235" t="s">
        <v>631</v>
      </c>
      <c r="AG5208" s="245"/>
      <c r="AH5208" s="245"/>
      <c r="AI5208" s="245"/>
      <c r="AJ5208" s="245"/>
      <c r="AK5208" s="245"/>
      <c r="AL5208" s="245"/>
      <c r="AM5208" s="245"/>
      <c r="AN5208" s="245"/>
      <c r="AO5208" s="238">
        <v>0.0</v>
      </c>
      <c r="AP5208" s="238">
        <v>-33.9</v>
      </c>
      <c r="AQ5208" s="235" t="s">
        <v>632</v>
      </c>
      <c r="AR5208" s="243">
        <v>3.7E11</v>
      </c>
      <c r="AS5208" s="235" t="s">
        <v>36667</v>
      </c>
      <c r="AT5208" s="235" t="s">
        <v>17</v>
      </c>
      <c r="AU5208" s="235" t="s">
        <v>634</v>
      </c>
      <c r="AV5208" s="246" t="s">
        <v>635</v>
      </c>
      <c r="AW5208" s="227"/>
      <c r="AX5208" s="227"/>
      <c r="AY5208" s="227"/>
      <c r="AZ5208" s="227"/>
      <c r="BA5208" s="227"/>
      <c r="BB5208" s="227"/>
      <c r="BC5208" s="227"/>
      <c r="BD5208" s="227"/>
      <c r="BE5208" s="227"/>
      <c r="BF5208" s="227"/>
    </row>
    <row r="5209">
      <c r="A5209" s="235" t="s">
        <v>38345</v>
      </c>
      <c r="C5209" s="235" t="s">
        <v>38346</v>
      </c>
      <c r="D5209" s="235" t="s">
        <v>38347</v>
      </c>
      <c r="E5209" s="243">
        <v>6.48E13</v>
      </c>
      <c r="F5209" s="245"/>
      <c r="G5209" s="235" t="s">
        <v>38348</v>
      </c>
      <c r="H5209" s="235" t="s">
        <v>38349</v>
      </c>
      <c r="I5209" s="235" t="s">
        <v>38349</v>
      </c>
      <c r="J5209" s="235" t="s">
        <v>38350</v>
      </c>
      <c r="K5209" s="235" t="s">
        <v>38351</v>
      </c>
      <c r="N5209" s="235" t="s">
        <v>127</v>
      </c>
      <c r="O5209" s="235" t="s">
        <v>794</v>
      </c>
      <c r="P5209" s="238">
        <v>1.0</v>
      </c>
      <c r="Q5209" s="235" t="s">
        <v>627</v>
      </c>
      <c r="R5209" s="238">
        <v>243.81</v>
      </c>
      <c r="S5209" s="238">
        <v>12.19</v>
      </c>
      <c r="T5209" s="238">
        <v>38.1</v>
      </c>
      <c r="U5209" s="238">
        <v>1.9</v>
      </c>
      <c r="V5209" s="238">
        <v>0.0</v>
      </c>
      <c r="W5209" s="238">
        <v>0.0</v>
      </c>
      <c r="X5209" s="235" t="s">
        <v>628</v>
      </c>
      <c r="Z5209" s="245"/>
      <c r="AA5209" s="245"/>
      <c r="AB5209" s="245"/>
      <c r="AC5209" s="235" t="s">
        <v>795</v>
      </c>
      <c r="AD5209" s="235" t="s">
        <v>796</v>
      </c>
      <c r="AE5209" s="238">
        <v>110045.0</v>
      </c>
      <c r="AF5209" s="235" t="s">
        <v>631</v>
      </c>
      <c r="AG5209" s="245"/>
      <c r="AH5209" s="245"/>
      <c r="AI5209" s="245"/>
      <c r="AJ5209" s="245"/>
      <c r="AK5209" s="245"/>
      <c r="AL5209" s="245"/>
      <c r="AM5209" s="245"/>
      <c r="AN5209" s="245"/>
      <c r="AO5209" s="238">
        <v>0.0</v>
      </c>
      <c r="AP5209" s="238">
        <v>-38.1</v>
      </c>
      <c r="AQ5209" s="235" t="s">
        <v>632</v>
      </c>
      <c r="AR5209" s="243">
        <v>2.02E11</v>
      </c>
      <c r="AS5209" s="235" t="s">
        <v>36667</v>
      </c>
      <c r="AT5209" s="235" t="s">
        <v>11</v>
      </c>
      <c r="AU5209" s="235" t="s">
        <v>634</v>
      </c>
      <c r="AV5209" s="246" t="s">
        <v>635</v>
      </c>
      <c r="AW5209" s="227"/>
      <c r="AX5209" s="227"/>
      <c r="AY5209" s="227"/>
      <c r="AZ5209" s="227"/>
      <c r="BA5209" s="227"/>
      <c r="BB5209" s="227"/>
      <c r="BC5209" s="227"/>
      <c r="BD5209" s="227"/>
      <c r="BE5209" s="227"/>
      <c r="BF5209" s="227"/>
    </row>
    <row r="5210">
      <c r="A5210" s="235" t="s">
        <v>38352</v>
      </c>
      <c r="C5210" s="235" t="s">
        <v>38353</v>
      </c>
      <c r="D5210" s="235" t="s">
        <v>38354</v>
      </c>
      <c r="E5210" s="243">
        <v>6.48E13</v>
      </c>
      <c r="F5210" s="245"/>
      <c r="G5210" s="235" t="s">
        <v>38355</v>
      </c>
      <c r="H5210" s="235" t="s">
        <v>38356</v>
      </c>
      <c r="I5210" s="235" t="s">
        <v>38356</v>
      </c>
      <c r="J5210" s="235" t="s">
        <v>38357</v>
      </c>
      <c r="K5210" s="235" t="s">
        <v>38358</v>
      </c>
      <c r="N5210" s="235" t="s">
        <v>134</v>
      </c>
      <c r="O5210" s="235" t="s">
        <v>314</v>
      </c>
      <c r="P5210" s="238">
        <v>1.0</v>
      </c>
      <c r="Q5210" s="235" t="s">
        <v>627</v>
      </c>
      <c r="R5210" s="238">
        <v>244.76</v>
      </c>
      <c r="S5210" s="238">
        <v>12.24</v>
      </c>
      <c r="T5210" s="238">
        <v>0.0</v>
      </c>
      <c r="U5210" s="238">
        <v>0.0</v>
      </c>
      <c r="V5210" s="238">
        <v>0.0</v>
      </c>
      <c r="W5210" s="238">
        <v>0.0</v>
      </c>
      <c r="X5210" s="235" t="s">
        <v>628</v>
      </c>
      <c r="Z5210" s="245"/>
      <c r="AA5210" s="245"/>
      <c r="AB5210" s="245"/>
      <c r="AC5210" s="235" t="s">
        <v>38359</v>
      </c>
      <c r="AD5210" s="235" t="s">
        <v>630</v>
      </c>
      <c r="AE5210" s="238">
        <v>209601.0</v>
      </c>
      <c r="AF5210" s="235" t="s">
        <v>631</v>
      </c>
      <c r="AG5210" s="245"/>
      <c r="AH5210" s="245"/>
      <c r="AI5210" s="245"/>
      <c r="AJ5210" s="245"/>
      <c r="AK5210" s="245"/>
      <c r="AL5210" s="245"/>
      <c r="AM5210" s="245"/>
      <c r="AN5210" s="245"/>
      <c r="AO5210" s="238">
        <v>0.0</v>
      </c>
      <c r="AP5210" s="238">
        <v>0.0</v>
      </c>
      <c r="AQ5210" s="235" t="s">
        <v>632</v>
      </c>
      <c r="AR5210" s="243">
        <v>3.7E11</v>
      </c>
      <c r="AS5210" s="235" t="s">
        <v>34510</v>
      </c>
      <c r="AT5210" s="235" t="s">
        <v>14</v>
      </c>
      <c r="AU5210" s="235" t="s">
        <v>634</v>
      </c>
      <c r="AV5210" s="246" t="s">
        <v>635</v>
      </c>
      <c r="AW5210" s="227"/>
      <c r="AX5210" s="227"/>
      <c r="AY5210" s="227"/>
      <c r="AZ5210" s="227"/>
      <c r="BA5210" s="227"/>
      <c r="BB5210" s="227"/>
      <c r="BC5210" s="227"/>
      <c r="BD5210" s="227"/>
      <c r="BE5210" s="227"/>
      <c r="BF5210" s="227"/>
    </row>
    <row r="5211">
      <c r="A5211" s="235" t="s">
        <v>38360</v>
      </c>
      <c r="C5211" s="235" t="s">
        <v>38361</v>
      </c>
      <c r="D5211" s="235" t="s">
        <v>38362</v>
      </c>
      <c r="E5211" s="243">
        <v>6.49E13</v>
      </c>
      <c r="F5211" s="245"/>
      <c r="G5211" s="235" t="s">
        <v>38363</v>
      </c>
      <c r="H5211" s="235" t="s">
        <v>38364</v>
      </c>
      <c r="I5211" s="235" t="s">
        <v>38364</v>
      </c>
      <c r="J5211" s="235" t="s">
        <v>38365</v>
      </c>
      <c r="K5211" s="235" t="s">
        <v>38366</v>
      </c>
      <c r="N5211" s="235" t="s">
        <v>842</v>
      </c>
      <c r="O5211" s="235" t="s">
        <v>843</v>
      </c>
      <c r="P5211" s="238">
        <v>1.0</v>
      </c>
      <c r="Q5211" s="235" t="s">
        <v>627</v>
      </c>
      <c r="R5211" s="238">
        <v>246.66</v>
      </c>
      <c r="S5211" s="238">
        <v>12.34</v>
      </c>
      <c r="T5211" s="238">
        <v>0.0</v>
      </c>
      <c r="U5211" s="238">
        <v>0.0</v>
      </c>
      <c r="V5211" s="238">
        <v>0.0</v>
      </c>
      <c r="W5211" s="238">
        <v>0.0</v>
      </c>
      <c r="X5211" s="235" t="s">
        <v>628</v>
      </c>
      <c r="Z5211" s="245"/>
      <c r="AA5211" s="245"/>
      <c r="AB5211" s="245"/>
      <c r="AC5211" s="235" t="s">
        <v>678</v>
      </c>
      <c r="AD5211" s="235" t="s">
        <v>679</v>
      </c>
      <c r="AE5211" s="238">
        <v>562125.0</v>
      </c>
      <c r="AF5211" s="235" t="s">
        <v>631</v>
      </c>
      <c r="AG5211" s="245"/>
      <c r="AH5211" s="245"/>
      <c r="AI5211" s="245"/>
      <c r="AJ5211" s="245"/>
      <c r="AK5211" s="245"/>
      <c r="AL5211" s="245"/>
      <c r="AM5211" s="245"/>
      <c r="AN5211" s="245"/>
      <c r="AO5211" s="238">
        <v>0.0</v>
      </c>
      <c r="AP5211" s="238">
        <v>0.0</v>
      </c>
      <c r="AQ5211" s="235" t="s">
        <v>632</v>
      </c>
      <c r="AR5211" s="243">
        <v>3.7E11</v>
      </c>
      <c r="AS5211" s="235" t="s">
        <v>37983</v>
      </c>
      <c r="AT5211" s="235" t="s">
        <v>11</v>
      </c>
      <c r="AU5211" s="235" t="s">
        <v>634</v>
      </c>
      <c r="AV5211" s="246" t="s">
        <v>635</v>
      </c>
      <c r="AW5211" s="227"/>
      <c r="AX5211" s="227"/>
      <c r="AY5211" s="227"/>
      <c r="AZ5211" s="227"/>
      <c r="BA5211" s="227"/>
      <c r="BB5211" s="227"/>
      <c r="BC5211" s="227"/>
      <c r="BD5211" s="227"/>
      <c r="BE5211" s="227"/>
      <c r="BF5211" s="227"/>
    </row>
    <row r="5212">
      <c r="A5212" s="235" t="s">
        <v>38367</v>
      </c>
      <c r="C5212" s="235" t="s">
        <v>38368</v>
      </c>
      <c r="D5212" s="235" t="s">
        <v>38369</v>
      </c>
      <c r="E5212" s="243">
        <v>6.49E13</v>
      </c>
      <c r="F5212" s="245"/>
      <c r="G5212" s="235" t="s">
        <v>38370</v>
      </c>
      <c r="H5212" s="235" t="s">
        <v>38371</v>
      </c>
      <c r="I5212" s="235" t="s">
        <v>38371</v>
      </c>
      <c r="J5212" s="235" t="s">
        <v>38372</v>
      </c>
      <c r="K5212" s="235" t="s">
        <v>38373</v>
      </c>
      <c r="N5212" s="235" t="s">
        <v>15</v>
      </c>
      <c r="O5212" s="235" t="s">
        <v>856</v>
      </c>
      <c r="P5212" s="238">
        <v>1.0</v>
      </c>
      <c r="Q5212" s="235" t="s">
        <v>627</v>
      </c>
      <c r="R5212" s="238">
        <v>360.96</v>
      </c>
      <c r="S5212" s="238">
        <v>18.04</v>
      </c>
      <c r="T5212" s="238">
        <v>0.0</v>
      </c>
      <c r="U5212" s="238">
        <v>0.0</v>
      </c>
      <c r="V5212" s="238">
        <v>0.0</v>
      </c>
      <c r="W5212" s="238">
        <v>0.0</v>
      </c>
      <c r="X5212" s="235" t="s">
        <v>628</v>
      </c>
      <c r="Z5212" s="245"/>
      <c r="AA5212" s="245"/>
      <c r="AB5212" s="245"/>
      <c r="AC5212" s="235" t="s">
        <v>1456</v>
      </c>
      <c r="AD5212" s="235" t="s">
        <v>928</v>
      </c>
      <c r="AE5212" s="238">
        <v>122011.0</v>
      </c>
      <c r="AF5212" s="235" t="s">
        <v>631</v>
      </c>
      <c r="AG5212" s="245"/>
      <c r="AH5212" s="245"/>
      <c r="AI5212" s="245"/>
      <c r="AJ5212" s="245"/>
      <c r="AK5212" s="245"/>
      <c r="AL5212" s="245"/>
      <c r="AM5212" s="245"/>
      <c r="AN5212" s="245"/>
      <c r="AO5212" s="238">
        <v>0.0</v>
      </c>
      <c r="AP5212" s="238">
        <v>0.0</v>
      </c>
      <c r="AQ5212" s="235" t="s">
        <v>632</v>
      </c>
      <c r="AR5212" s="243">
        <v>1.68E11</v>
      </c>
      <c r="AS5212" s="235" t="s">
        <v>38374</v>
      </c>
      <c r="AT5212" s="235" t="s">
        <v>14</v>
      </c>
      <c r="AU5212" s="235" t="s">
        <v>634</v>
      </c>
      <c r="AV5212" s="246" t="s">
        <v>635</v>
      </c>
      <c r="AW5212" s="227"/>
      <c r="AX5212" s="227"/>
      <c r="AY5212" s="227"/>
      <c r="AZ5212" s="227"/>
      <c r="BA5212" s="227"/>
      <c r="BB5212" s="227"/>
      <c r="BC5212" s="227"/>
      <c r="BD5212" s="227"/>
      <c r="BE5212" s="227"/>
      <c r="BF5212" s="227"/>
    </row>
    <row r="5213">
      <c r="A5213" s="235" t="s">
        <v>38375</v>
      </c>
      <c r="C5213" s="235" t="s">
        <v>38376</v>
      </c>
      <c r="D5213" s="235" t="s">
        <v>38377</v>
      </c>
      <c r="E5213" s="243">
        <v>6.49E13</v>
      </c>
      <c r="F5213" s="245"/>
      <c r="G5213" s="235" t="s">
        <v>38378</v>
      </c>
      <c r="H5213" s="235" t="s">
        <v>38379</v>
      </c>
      <c r="I5213" s="235" t="s">
        <v>38379</v>
      </c>
      <c r="J5213" s="235" t="s">
        <v>38380</v>
      </c>
      <c r="K5213" s="235" t="s">
        <v>38381</v>
      </c>
      <c r="N5213" s="235" t="s">
        <v>53</v>
      </c>
      <c r="O5213" s="235" t="s">
        <v>512</v>
      </c>
      <c r="P5213" s="238">
        <v>1.0</v>
      </c>
      <c r="Q5213" s="235" t="s">
        <v>627</v>
      </c>
      <c r="R5213" s="238">
        <v>237.14</v>
      </c>
      <c r="S5213" s="238">
        <v>11.62</v>
      </c>
      <c r="T5213" s="238">
        <v>0.0</v>
      </c>
      <c r="U5213" s="238">
        <v>0.0</v>
      </c>
      <c r="V5213" s="238">
        <v>0.0</v>
      </c>
      <c r="W5213" s="238">
        <v>0.0</v>
      </c>
      <c r="X5213" s="235" t="s">
        <v>628</v>
      </c>
      <c r="Z5213" s="245"/>
      <c r="AA5213" s="245"/>
      <c r="AB5213" s="245"/>
      <c r="AC5213" s="235" t="s">
        <v>678</v>
      </c>
      <c r="AD5213" s="235" t="s">
        <v>679</v>
      </c>
      <c r="AE5213" s="238">
        <v>560076.0</v>
      </c>
      <c r="AF5213" s="235" t="s">
        <v>631</v>
      </c>
      <c r="AG5213" s="245"/>
      <c r="AH5213" s="245"/>
      <c r="AI5213" s="245"/>
      <c r="AJ5213" s="245"/>
      <c r="AK5213" s="245"/>
      <c r="AL5213" s="245"/>
      <c r="AM5213" s="245"/>
      <c r="AN5213" s="245"/>
      <c r="AO5213" s="238">
        <v>-4.74</v>
      </c>
      <c r="AP5213" s="238">
        <v>0.0</v>
      </c>
      <c r="AQ5213" s="235" t="s">
        <v>632</v>
      </c>
      <c r="AR5213" s="243">
        <v>1.68E11</v>
      </c>
      <c r="AS5213" s="235" t="s">
        <v>38374</v>
      </c>
      <c r="AT5213" s="235" t="s">
        <v>11</v>
      </c>
      <c r="AU5213" s="235" t="s">
        <v>634</v>
      </c>
      <c r="AV5213" s="246" t="s">
        <v>635</v>
      </c>
      <c r="AW5213" s="227"/>
      <c r="AX5213" s="227"/>
      <c r="AY5213" s="227"/>
      <c r="AZ5213" s="227"/>
      <c r="BA5213" s="227"/>
      <c r="BB5213" s="227"/>
      <c r="BC5213" s="227"/>
      <c r="BD5213" s="227"/>
      <c r="BE5213" s="227"/>
      <c r="BF5213" s="227"/>
    </row>
    <row r="5214">
      <c r="A5214" s="235" t="s">
        <v>38382</v>
      </c>
      <c r="C5214" s="235" t="s">
        <v>38383</v>
      </c>
      <c r="D5214" s="235" t="s">
        <v>38384</v>
      </c>
      <c r="E5214" s="243">
        <v>6.49E13</v>
      </c>
      <c r="F5214" s="245"/>
      <c r="G5214" s="235" t="s">
        <v>38385</v>
      </c>
      <c r="H5214" s="235" t="s">
        <v>38386</v>
      </c>
      <c r="I5214" s="235" t="s">
        <v>38387</v>
      </c>
      <c r="J5214" s="235" t="s">
        <v>38388</v>
      </c>
      <c r="K5214" s="235" t="s">
        <v>38389</v>
      </c>
      <c r="N5214" s="235" t="s">
        <v>110</v>
      </c>
      <c r="O5214" s="235" t="s">
        <v>364</v>
      </c>
      <c r="P5214" s="238">
        <v>1.0</v>
      </c>
      <c r="Q5214" s="235" t="s">
        <v>627</v>
      </c>
      <c r="R5214" s="238">
        <v>246.67</v>
      </c>
      <c r="S5214" s="238">
        <v>12.33</v>
      </c>
      <c r="T5214" s="238">
        <v>38.1</v>
      </c>
      <c r="U5214" s="238">
        <v>1.9</v>
      </c>
      <c r="V5214" s="238">
        <v>0.0</v>
      </c>
      <c r="W5214" s="238">
        <v>0.0</v>
      </c>
      <c r="X5214" s="235" t="s">
        <v>628</v>
      </c>
      <c r="Z5214" s="245"/>
      <c r="AA5214" s="245"/>
      <c r="AB5214" s="245"/>
      <c r="AC5214" s="235" t="s">
        <v>1287</v>
      </c>
      <c r="AD5214" s="235" t="s">
        <v>630</v>
      </c>
      <c r="AE5214" s="238">
        <v>201017.0</v>
      </c>
      <c r="AF5214" s="235" t="s">
        <v>631</v>
      </c>
      <c r="AG5214" s="245"/>
      <c r="AH5214" s="245"/>
      <c r="AI5214" s="245"/>
      <c r="AJ5214" s="245"/>
      <c r="AK5214" s="245"/>
      <c r="AL5214" s="245"/>
      <c r="AM5214" s="245"/>
      <c r="AN5214" s="245"/>
      <c r="AO5214" s="238">
        <v>0.0</v>
      </c>
      <c r="AP5214" s="238">
        <v>-38.1</v>
      </c>
      <c r="AQ5214" s="235" t="s">
        <v>632</v>
      </c>
      <c r="AR5214" s="243">
        <v>3.7E11</v>
      </c>
      <c r="AS5214" s="235" t="s">
        <v>37983</v>
      </c>
      <c r="AT5214" s="235" t="s">
        <v>13</v>
      </c>
      <c r="AU5214" s="235" t="s">
        <v>634</v>
      </c>
      <c r="AV5214" s="246" t="s">
        <v>635</v>
      </c>
      <c r="AW5214" s="227"/>
      <c r="AX5214" s="227"/>
      <c r="AY5214" s="227"/>
      <c r="AZ5214" s="227"/>
      <c r="BA5214" s="227"/>
      <c r="BB5214" s="227"/>
      <c r="BC5214" s="227"/>
      <c r="BD5214" s="227"/>
      <c r="BE5214" s="227"/>
      <c r="BF5214" s="227"/>
    </row>
    <row r="5215">
      <c r="A5215" s="235" t="s">
        <v>38390</v>
      </c>
      <c r="C5215" s="235" t="s">
        <v>38391</v>
      </c>
      <c r="D5215" s="235" t="s">
        <v>38392</v>
      </c>
      <c r="E5215" s="243">
        <v>6.48E13</v>
      </c>
      <c r="F5215" s="245"/>
      <c r="G5215" s="235" t="s">
        <v>38393</v>
      </c>
      <c r="H5215" s="235" t="s">
        <v>38394</v>
      </c>
      <c r="I5215" s="235" t="s">
        <v>38394</v>
      </c>
      <c r="J5215" s="235" t="s">
        <v>38395</v>
      </c>
      <c r="K5215" s="235" t="s">
        <v>38396</v>
      </c>
      <c r="N5215" s="235" t="s">
        <v>92</v>
      </c>
      <c r="O5215" s="235" t="s">
        <v>248</v>
      </c>
      <c r="P5215" s="238">
        <v>1.0</v>
      </c>
      <c r="Q5215" s="235" t="s">
        <v>627</v>
      </c>
      <c r="R5215" s="238">
        <v>244.76</v>
      </c>
      <c r="S5215" s="238">
        <v>12.0</v>
      </c>
      <c r="T5215" s="238">
        <v>38.1</v>
      </c>
      <c r="U5215" s="238">
        <v>1.9</v>
      </c>
      <c r="V5215" s="238">
        <v>0.0</v>
      </c>
      <c r="W5215" s="238">
        <v>0.0</v>
      </c>
      <c r="X5215" s="235" t="s">
        <v>628</v>
      </c>
      <c r="Z5215" s="245"/>
      <c r="AA5215" s="245"/>
      <c r="AB5215" s="245"/>
      <c r="AC5215" s="235" t="s">
        <v>4790</v>
      </c>
      <c r="AD5215" s="235" t="s">
        <v>1086</v>
      </c>
      <c r="AE5215" s="238">
        <v>151001.0</v>
      </c>
      <c r="AF5215" s="235" t="s">
        <v>631</v>
      </c>
      <c r="AG5215" s="245"/>
      <c r="AH5215" s="245"/>
      <c r="AI5215" s="245"/>
      <c r="AJ5215" s="245"/>
      <c r="AK5215" s="245"/>
      <c r="AL5215" s="245"/>
      <c r="AM5215" s="245"/>
      <c r="AN5215" s="245"/>
      <c r="AO5215" s="238">
        <v>-4.9</v>
      </c>
      <c r="AP5215" s="238">
        <v>-38.1</v>
      </c>
      <c r="AQ5215" s="235" t="s">
        <v>632</v>
      </c>
      <c r="AR5215" s="243">
        <v>3.7E11</v>
      </c>
      <c r="AS5215" s="235" t="s">
        <v>35520</v>
      </c>
      <c r="AT5215" s="235" t="s">
        <v>533</v>
      </c>
      <c r="AU5215" s="235" t="s">
        <v>634</v>
      </c>
      <c r="AV5215" s="246" t="s">
        <v>635</v>
      </c>
      <c r="AW5215" s="227"/>
      <c r="AX5215" s="227"/>
      <c r="AY5215" s="227"/>
      <c r="AZ5215" s="227"/>
      <c r="BA5215" s="227"/>
      <c r="BB5215" s="227"/>
      <c r="BC5215" s="227"/>
      <c r="BD5215" s="227"/>
      <c r="BE5215" s="227"/>
      <c r="BF5215" s="227"/>
    </row>
    <row r="5216">
      <c r="A5216" s="235" t="s">
        <v>38397</v>
      </c>
      <c r="C5216" s="235" t="s">
        <v>38398</v>
      </c>
      <c r="D5216" s="235" t="s">
        <v>38399</v>
      </c>
      <c r="E5216" s="243">
        <v>6.48E13</v>
      </c>
      <c r="F5216" s="245"/>
      <c r="G5216" s="235" t="s">
        <v>38400</v>
      </c>
      <c r="H5216" s="235" t="s">
        <v>38401</v>
      </c>
      <c r="I5216" s="235" t="s">
        <v>38401</v>
      </c>
      <c r="J5216" s="235" t="s">
        <v>38402</v>
      </c>
      <c r="K5216" s="235" t="s">
        <v>38403</v>
      </c>
      <c r="N5216" s="235" t="s">
        <v>1346</v>
      </c>
      <c r="O5216" s="235" t="s">
        <v>1347</v>
      </c>
      <c r="P5216" s="238">
        <v>1.0</v>
      </c>
      <c r="Q5216" s="235" t="s">
        <v>627</v>
      </c>
      <c r="R5216" s="238">
        <v>256.19</v>
      </c>
      <c r="S5216" s="238">
        <v>12.81</v>
      </c>
      <c r="T5216" s="238">
        <v>0.0</v>
      </c>
      <c r="U5216" s="238">
        <v>0.0</v>
      </c>
      <c r="V5216" s="238">
        <v>0.0</v>
      </c>
      <c r="W5216" s="238">
        <v>0.0</v>
      </c>
      <c r="X5216" s="235" t="s">
        <v>628</v>
      </c>
      <c r="Z5216" s="245"/>
      <c r="AA5216" s="245"/>
      <c r="AB5216" s="245"/>
      <c r="AC5216" s="235" t="s">
        <v>1613</v>
      </c>
      <c r="AD5216" s="235" t="s">
        <v>630</v>
      </c>
      <c r="AE5216" s="238">
        <v>226017.0</v>
      </c>
      <c r="AF5216" s="235" t="s">
        <v>631</v>
      </c>
      <c r="AG5216" s="245"/>
      <c r="AH5216" s="245"/>
      <c r="AI5216" s="245"/>
      <c r="AJ5216" s="245"/>
      <c r="AK5216" s="245"/>
      <c r="AL5216" s="245"/>
      <c r="AM5216" s="245"/>
      <c r="AN5216" s="245"/>
      <c r="AO5216" s="238">
        <v>0.0</v>
      </c>
      <c r="AP5216" s="238">
        <v>0.0</v>
      </c>
      <c r="AQ5216" s="235" t="s">
        <v>632</v>
      </c>
      <c r="AR5216" s="243">
        <v>3.7E11</v>
      </c>
      <c r="AS5216" s="235" t="s">
        <v>35520</v>
      </c>
      <c r="AT5216" s="235" t="s">
        <v>14</v>
      </c>
      <c r="AU5216" s="235" t="s">
        <v>634</v>
      </c>
      <c r="AV5216" s="246" t="s">
        <v>635</v>
      </c>
      <c r="AW5216" s="227"/>
      <c r="AX5216" s="227"/>
      <c r="AY5216" s="227"/>
      <c r="AZ5216" s="227"/>
      <c r="BA5216" s="227"/>
      <c r="BB5216" s="227"/>
      <c r="BC5216" s="227"/>
      <c r="BD5216" s="227"/>
      <c r="BE5216" s="227"/>
      <c r="BF5216" s="227"/>
    </row>
    <row r="5217">
      <c r="A5217" s="235" t="s">
        <v>38404</v>
      </c>
      <c r="C5217" s="235" t="s">
        <v>38405</v>
      </c>
      <c r="D5217" s="235" t="s">
        <v>38406</v>
      </c>
      <c r="E5217" s="243">
        <v>6.49E13</v>
      </c>
      <c r="F5217" s="245"/>
      <c r="G5217" s="235" t="s">
        <v>38407</v>
      </c>
      <c r="H5217" s="235" t="s">
        <v>38408</v>
      </c>
      <c r="I5217" s="235" t="s">
        <v>38408</v>
      </c>
      <c r="J5217" s="235" t="s">
        <v>38409</v>
      </c>
      <c r="K5217" s="235" t="s">
        <v>38410</v>
      </c>
      <c r="N5217" s="235" t="s">
        <v>3875</v>
      </c>
      <c r="O5217" s="235" t="s">
        <v>3876</v>
      </c>
      <c r="P5217" s="238">
        <v>1.0</v>
      </c>
      <c r="Q5217" s="235" t="s">
        <v>627</v>
      </c>
      <c r="R5217" s="238">
        <v>207.62</v>
      </c>
      <c r="S5217" s="238">
        <v>10.38</v>
      </c>
      <c r="T5217" s="238">
        <v>0.0</v>
      </c>
      <c r="U5217" s="238">
        <v>0.0</v>
      </c>
      <c r="V5217" s="238">
        <v>0.0</v>
      </c>
      <c r="W5217" s="238">
        <v>0.0</v>
      </c>
      <c r="X5217" s="235" t="s">
        <v>628</v>
      </c>
      <c r="Z5217" s="245"/>
      <c r="AA5217" s="245"/>
      <c r="AB5217" s="245"/>
      <c r="AC5217" s="235" t="s">
        <v>678</v>
      </c>
      <c r="AD5217" s="235" t="s">
        <v>679</v>
      </c>
      <c r="AE5217" s="238">
        <v>560092.0</v>
      </c>
      <c r="AF5217" s="235" t="s">
        <v>631</v>
      </c>
      <c r="AG5217" s="245"/>
      <c r="AH5217" s="245"/>
      <c r="AI5217" s="245"/>
      <c r="AJ5217" s="245"/>
      <c r="AK5217" s="245"/>
      <c r="AL5217" s="245"/>
      <c r="AM5217" s="245"/>
      <c r="AN5217" s="245"/>
      <c r="AO5217" s="238">
        <v>0.0</v>
      </c>
      <c r="AP5217" s="238">
        <v>0.0</v>
      </c>
      <c r="AQ5217" s="235" t="s">
        <v>632</v>
      </c>
      <c r="AR5217" s="243">
        <v>1.68E11</v>
      </c>
      <c r="AS5217" s="235" t="s">
        <v>38374</v>
      </c>
      <c r="AT5217" s="235" t="s">
        <v>11</v>
      </c>
      <c r="AU5217" s="235" t="s">
        <v>634</v>
      </c>
      <c r="AV5217" s="246" t="s">
        <v>635</v>
      </c>
      <c r="AW5217" s="227"/>
      <c r="AX5217" s="227"/>
      <c r="AY5217" s="227"/>
      <c r="AZ5217" s="227"/>
      <c r="BA5217" s="227"/>
      <c r="BB5217" s="227"/>
      <c r="BC5217" s="227"/>
      <c r="BD5217" s="227"/>
      <c r="BE5217" s="227"/>
      <c r="BF5217" s="227"/>
    </row>
    <row r="5218">
      <c r="A5218" s="235" t="s">
        <v>38411</v>
      </c>
      <c r="C5218" s="235" t="s">
        <v>38412</v>
      </c>
      <c r="D5218" s="235" t="s">
        <v>38413</v>
      </c>
      <c r="E5218" s="243">
        <v>6.49E13</v>
      </c>
      <c r="F5218" s="245"/>
      <c r="G5218" s="235" t="s">
        <v>38414</v>
      </c>
      <c r="H5218" s="235" t="s">
        <v>38415</v>
      </c>
      <c r="I5218" s="235" t="s">
        <v>38416</v>
      </c>
      <c r="J5218" s="235" t="s">
        <v>38417</v>
      </c>
      <c r="K5218" s="235" t="s">
        <v>38418</v>
      </c>
      <c r="N5218" s="235" t="s">
        <v>127</v>
      </c>
      <c r="O5218" s="235" t="s">
        <v>794</v>
      </c>
      <c r="P5218" s="238">
        <v>1.0</v>
      </c>
      <c r="Q5218" s="235" t="s">
        <v>627</v>
      </c>
      <c r="R5218" s="238">
        <v>243.8</v>
      </c>
      <c r="S5218" s="238">
        <v>11.96</v>
      </c>
      <c r="T5218" s="238">
        <v>0.0</v>
      </c>
      <c r="U5218" s="238">
        <v>0.0</v>
      </c>
      <c r="V5218" s="238">
        <v>0.0</v>
      </c>
      <c r="W5218" s="238">
        <v>0.0</v>
      </c>
      <c r="X5218" s="235" t="s">
        <v>628</v>
      </c>
      <c r="Z5218" s="245"/>
      <c r="AA5218" s="245"/>
      <c r="AB5218" s="245"/>
      <c r="AC5218" s="235" t="s">
        <v>687</v>
      </c>
      <c r="AD5218" s="235" t="s">
        <v>666</v>
      </c>
      <c r="AE5218" s="238">
        <v>600071.0</v>
      </c>
      <c r="AF5218" s="235" t="s">
        <v>631</v>
      </c>
      <c r="AG5218" s="245"/>
      <c r="AH5218" s="245"/>
      <c r="AI5218" s="245"/>
      <c r="AJ5218" s="245"/>
      <c r="AK5218" s="245"/>
      <c r="AL5218" s="245"/>
      <c r="AM5218" s="245"/>
      <c r="AN5218" s="245"/>
      <c r="AO5218" s="238">
        <v>-4.88</v>
      </c>
      <c r="AP5218" s="238">
        <v>0.0</v>
      </c>
      <c r="AQ5218" s="235" t="s">
        <v>632</v>
      </c>
      <c r="AR5218" s="243">
        <v>1.68E11</v>
      </c>
      <c r="AS5218" s="235" t="s">
        <v>38374</v>
      </c>
      <c r="AT5218" s="235" t="s">
        <v>156</v>
      </c>
      <c r="AU5218" s="235" t="s">
        <v>634</v>
      </c>
      <c r="AV5218" s="246" t="s">
        <v>635</v>
      </c>
      <c r="AW5218" s="227"/>
      <c r="AX5218" s="227"/>
      <c r="AY5218" s="227"/>
      <c r="AZ5218" s="227"/>
      <c r="BA5218" s="227"/>
      <c r="BB5218" s="227"/>
      <c r="BC5218" s="227"/>
      <c r="BD5218" s="227"/>
      <c r="BE5218" s="227"/>
      <c r="BF5218" s="227"/>
    </row>
    <row r="5219">
      <c r="A5219" s="235" t="s">
        <v>38419</v>
      </c>
      <c r="C5219" s="235" t="s">
        <v>38420</v>
      </c>
      <c r="D5219" s="235" t="s">
        <v>38421</v>
      </c>
      <c r="E5219" s="243">
        <v>6.49E13</v>
      </c>
      <c r="F5219" s="245"/>
      <c r="G5219" s="235" t="s">
        <v>38422</v>
      </c>
      <c r="H5219" s="235" t="s">
        <v>38423</v>
      </c>
      <c r="I5219" s="235" t="s">
        <v>38423</v>
      </c>
      <c r="J5219" s="235" t="s">
        <v>38424</v>
      </c>
      <c r="K5219" s="235" t="s">
        <v>38425</v>
      </c>
      <c r="N5219" s="235" t="s">
        <v>138</v>
      </c>
      <c r="O5219" s="235" t="s">
        <v>675</v>
      </c>
      <c r="P5219" s="238">
        <v>1.0</v>
      </c>
      <c r="Q5219" s="235" t="s">
        <v>627</v>
      </c>
      <c r="R5219" s="238">
        <v>244.76</v>
      </c>
      <c r="S5219" s="238">
        <v>12.0</v>
      </c>
      <c r="T5219" s="238">
        <v>38.1</v>
      </c>
      <c r="U5219" s="238">
        <v>1.9</v>
      </c>
      <c r="V5219" s="238">
        <v>0.0</v>
      </c>
      <c r="W5219" s="238">
        <v>0.0</v>
      </c>
      <c r="X5219" s="235" t="s">
        <v>628</v>
      </c>
      <c r="Z5219" s="245"/>
      <c r="AA5219" s="245"/>
      <c r="AB5219" s="245"/>
      <c r="AC5219" s="235" t="s">
        <v>38426</v>
      </c>
      <c r="AD5219" s="235" t="s">
        <v>731</v>
      </c>
      <c r="AE5219" s="238">
        <v>785005.0</v>
      </c>
      <c r="AF5219" s="235" t="s">
        <v>631</v>
      </c>
      <c r="AG5219" s="245"/>
      <c r="AH5219" s="245"/>
      <c r="AI5219" s="245"/>
      <c r="AJ5219" s="245"/>
      <c r="AK5219" s="245"/>
      <c r="AL5219" s="245"/>
      <c r="AM5219" s="245"/>
      <c r="AN5219" s="245"/>
      <c r="AO5219" s="238">
        <v>-4.9</v>
      </c>
      <c r="AP5219" s="238">
        <v>-38.1</v>
      </c>
      <c r="AQ5219" s="235" t="s">
        <v>632</v>
      </c>
      <c r="AR5219" s="243">
        <v>3.7E11</v>
      </c>
      <c r="AS5219" s="235" t="s">
        <v>32455</v>
      </c>
      <c r="AT5219" s="235" t="s">
        <v>14</v>
      </c>
      <c r="AU5219" s="235" t="s">
        <v>634</v>
      </c>
      <c r="AV5219" s="246" t="s">
        <v>635</v>
      </c>
      <c r="AW5219" s="227"/>
      <c r="AX5219" s="227"/>
      <c r="AY5219" s="227"/>
      <c r="AZ5219" s="227"/>
      <c r="BA5219" s="227"/>
      <c r="BB5219" s="227"/>
      <c r="BC5219" s="227"/>
      <c r="BD5219" s="227"/>
      <c r="BE5219" s="227"/>
      <c r="BF5219" s="227"/>
    </row>
    <row r="5220">
      <c r="A5220" s="235" t="s">
        <v>38427</v>
      </c>
      <c r="C5220" s="235" t="s">
        <v>38428</v>
      </c>
      <c r="D5220" s="235" t="s">
        <v>38429</v>
      </c>
      <c r="E5220" s="243">
        <v>6.49E13</v>
      </c>
      <c r="F5220" s="245"/>
      <c r="G5220" s="235" t="s">
        <v>38430</v>
      </c>
      <c r="H5220" s="235" t="s">
        <v>38431</v>
      </c>
      <c r="I5220" s="235" t="s">
        <v>38432</v>
      </c>
      <c r="J5220" s="235" t="s">
        <v>38433</v>
      </c>
      <c r="K5220" s="235" t="s">
        <v>38434</v>
      </c>
      <c r="N5220" s="235" t="s">
        <v>104</v>
      </c>
      <c r="O5220" s="235" t="s">
        <v>401</v>
      </c>
      <c r="P5220" s="238">
        <v>1.0</v>
      </c>
      <c r="Q5220" s="235" t="s">
        <v>627</v>
      </c>
      <c r="R5220" s="238">
        <v>246.67</v>
      </c>
      <c r="S5220" s="238">
        <v>12.08</v>
      </c>
      <c r="T5220" s="238">
        <v>0.0</v>
      </c>
      <c r="U5220" s="238">
        <v>0.0</v>
      </c>
      <c r="V5220" s="238">
        <v>0.0</v>
      </c>
      <c r="W5220" s="238">
        <v>0.0</v>
      </c>
      <c r="X5220" s="235" t="s">
        <v>628</v>
      </c>
      <c r="Z5220" s="245"/>
      <c r="AA5220" s="245"/>
      <c r="AB5220" s="245"/>
      <c r="AC5220" s="235" t="s">
        <v>38435</v>
      </c>
      <c r="AD5220" s="235" t="s">
        <v>1499</v>
      </c>
      <c r="AE5220" s="238">
        <v>474020.0</v>
      </c>
      <c r="AF5220" s="235" t="s">
        <v>631</v>
      </c>
      <c r="AG5220" s="245"/>
      <c r="AH5220" s="245"/>
      <c r="AI5220" s="245"/>
      <c r="AJ5220" s="245"/>
      <c r="AK5220" s="245"/>
      <c r="AL5220" s="245"/>
      <c r="AM5220" s="245"/>
      <c r="AN5220" s="245"/>
      <c r="AO5220" s="238">
        <v>-4.93</v>
      </c>
      <c r="AP5220" s="238">
        <v>0.0</v>
      </c>
      <c r="AQ5220" s="235" t="s">
        <v>632</v>
      </c>
      <c r="AR5220" s="243">
        <v>3.7E11</v>
      </c>
      <c r="AS5220" s="235" t="s">
        <v>36667</v>
      </c>
      <c r="AT5220" s="235" t="s">
        <v>533</v>
      </c>
      <c r="AU5220" s="235" t="s">
        <v>634</v>
      </c>
      <c r="AV5220" s="246" t="s">
        <v>635</v>
      </c>
      <c r="AW5220" s="227"/>
      <c r="AX5220" s="227"/>
      <c r="AY5220" s="227"/>
      <c r="AZ5220" s="227"/>
      <c r="BA5220" s="227"/>
      <c r="BB5220" s="227"/>
      <c r="BC5220" s="227"/>
      <c r="BD5220" s="227"/>
      <c r="BE5220" s="227"/>
      <c r="BF5220" s="227"/>
    </row>
    <row r="5221">
      <c r="A5221" s="235" t="s">
        <v>38436</v>
      </c>
      <c r="C5221" s="235" t="s">
        <v>38437</v>
      </c>
      <c r="D5221" s="235" t="s">
        <v>38438</v>
      </c>
      <c r="E5221" s="243">
        <v>6.49E13</v>
      </c>
      <c r="F5221" s="245"/>
      <c r="G5221" s="235" t="s">
        <v>38439</v>
      </c>
      <c r="H5221" s="235" t="s">
        <v>38440</v>
      </c>
      <c r="I5221" s="235" t="s">
        <v>38440</v>
      </c>
      <c r="J5221" s="235" t="s">
        <v>38441</v>
      </c>
      <c r="K5221" s="235" t="s">
        <v>38442</v>
      </c>
      <c r="N5221" s="235" t="s">
        <v>15</v>
      </c>
      <c r="O5221" s="235" t="s">
        <v>856</v>
      </c>
      <c r="P5221" s="238">
        <v>1.0</v>
      </c>
      <c r="Q5221" s="235" t="s">
        <v>627</v>
      </c>
      <c r="R5221" s="238">
        <v>360.96</v>
      </c>
      <c r="S5221" s="238">
        <v>18.04</v>
      </c>
      <c r="T5221" s="238">
        <v>0.0</v>
      </c>
      <c r="U5221" s="238">
        <v>0.0</v>
      </c>
      <c r="V5221" s="238">
        <v>0.0</v>
      </c>
      <c r="W5221" s="238">
        <v>0.0</v>
      </c>
      <c r="X5221" s="235" t="s">
        <v>628</v>
      </c>
      <c r="Z5221" s="245"/>
      <c r="AA5221" s="245"/>
      <c r="AB5221" s="245"/>
      <c r="AC5221" s="235" t="s">
        <v>678</v>
      </c>
      <c r="AD5221" s="235" t="s">
        <v>679</v>
      </c>
      <c r="AE5221" s="238">
        <v>560085.0</v>
      </c>
      <c r="AF5221" s="235" t="s">
        <v>631</v>
      </c>
      <c r="AG5221" s="245"/>
      <c r="AH5221" s="245"/>
      <c r="AI5221" s="245"/>
      <c r="AJ5221" s="245"/>
      <c r="AK5221" s="245"/>
      <c r="AL5221" s="245"/>
      <c r="AM5221" s="245"/>
      <c r="AN5221" s="245"/>
      <c r="AO5221" s="238">
        <v>0.0</v>
      </c>
      <c r="AP5221" s="238">
        <v>0.0</v>
      </c>
      <c r="AQ5221" s="235" t="s">
        <v>632</v>
      </c>
      <c r="AR5221" s="243">
        <v>3.7E11</v>
      </c>
      <c r="AS5221" s="235" t="s">
        <v>37983</v>
      </c>
      <c r="AT5221" s="235" t="s">
        <v>11</v>
      </c>
      <c r="AU5221" s="235" t="s">
        <v>634</v>
      </c>
      <c r="AV5221" s="246" t="s">
        <v>635</v>
      </c>
      <c r="AW5221" s="227"/>
      <c r="AX5221" s="227"/>
      <c r="AY5221" s="227"/>
      <c r="AZ5221" s="227"/>
      <c r="BA5221" s="227"/>
      <c r="BB5221" s="227"/>
      <c r="BC5221" s="227"/>
      <c r="BD5221" s="227"/>
      <c r="BE5221" s="227"/>
      <c r="BF5221" s="227"/>
    </row>
    <row r="5222">
      <c r="A5222" s="235" t="s">
        <v>38443</v>
      </c>
      <c r="C5222" s="235" t="s">
        <v>38444</v>
      </c>
      <c r="D5222" s="235" t="s">
        <v>38445</v>
      </c>
      <c r="E5222" s="243">
        <v>6.49E13</v>
      </c>
      <c r="F5222" s="245"/>
      <c r="G5222" s="235" t="s">
        <v>38446</v>
      </c>
      <c r="H5222" s="235" t="s">
        <v>38447</v>
      </c>
      <c r="I5222" s="235" t="s">
        <v>38447</v>
      </c>
      <c r="J5222" s="235" t="s">
        <v>38448</v>
      </c>
      <c r="K5222" s="235" t="s">
        <v>38449</v>
      </c>
      <c r="N5222" s="235" t="s">
        <v>141</v>
      </c>
      <c r="O5222" s="235" t="s">
        <v>342</v>
      </c>
      <c r="P5222" s="238">
        <v>1.0</v>
      </c>
      <c r="Q5222" s="235" t="s">
        <v>627</v>
      </c>
      <c r="R5222" s="238">
        <v>244.76</v>
      </c>
      <c r="S5222" s="238">
        <v>12.24</v>
      </c>
      <c r="T5222" s="238">
        <v>0.0</v>
      </c>
      <c r="U5222" s="238">
        <v>0.0</v>
      </c>
      <c r="V5222" s="238">
        <v>0.0</v>
      </c>
      <c r="W5222" s="238">
        <v>0.0</v>
      </c>
      <c r="X5222" s="235" t="s">
        <v>628</v>
      </c>
      <c r="Z5222" s="245"/>
      <c r="AA5222" s="245"/>
      <c r="AB5222" s="245"/>
      <c r="AC5222" s="235" t="s">
        <v>38450</v>
      </c>
      <c r="AD5222" s="235" t="s">
        <v>1499</v>
      </c>
      <c r="AE5222" s="238">
        <v>480881.0</v>
      </c>
      <c r="AF5222" s="235" t="s">
        <v>631</v>
      </c>
      <c r="AG5222" s="245"/>
      <c r="AH5222" s="245"/>
      <c r="AI5222" s="245"/>
      <c r="AJ5222" s="245"/>
      <c r="AK5222" s="245"/>
      <c r="AL5222" s="245"/>
      <c r="AM5222" s="245"/>
      <c r="AN5222" s="245"/>
      <c r="AO5222" s="238">
        <v>0.0</v>
      </c>
      <c r="AP5222" s="238">
        <v>0.0</v>
      </c>
      <c r="AQ5222" s="235" t="s">
        <v>1328</v>
      </c>
      <c r="AR5222" s="243">
        <v>1.34E13</v>
      </c>
      <c r="AS5222" s="235" t="s">
        <v>32455</v>
      </c>
      <c r="AT5222" s="235" t="s">
        <v>5</v>
      </c>
      <c r="AU5222" s="235" t="s">
        <v>634</v>
      </c>
      <c r="AV5222" s="246" t="s">
        <v>635</v>
      </c>
      <c r="AW5222" s="227"/>
      <c r="AX5222" s="227"/>
      <c r="AY5222" s="227"/>
      <c r="AZ5222" s="227"/>
      <c r="BA5222" s="227"/>
      <c r="BB5222" s="227"/>
      <c r="BC5222" s="227"/>
      <c r="BD5222" s="227"/>
      <c r="BE5222" s="227"/>
      <c r="BF5222" s="227"/>
    </row>
    <row r="5223">
      <c r="A5223" s="235" t="s">
        <v>38451</v>
      </c>
      <c r="C5223" s="235" t="s">
        <v>38452</v>
      </c>
      <c r="D5223" s="235" t="s">
        <v>38453</v>
      </c>
      <c r="E5223" s="243">
        <v>6.49E13</v>
      </c>
      <c r="F5223" s="245"/>
      <c r="G5223" s="235" t="s">
        <v>38454</v>
      </c>
      <c r="H5223" s="235" t="s">
        <v>38455</v>
      </c>
      <c r="I5223" s="235" t="s">
        <v>38455</v>
      </c>
      <c r="J5223" s="235" t="s">
        <v>38456</v>
      </c>
      <c r="K5223" s="235" t="s">
        <v>38457</v>
      </c>
      <c r="N5223" s="235" t="s">
        <v>145</v>
      </c>
      <c r="O5223" s="235" t="s">
        <v>370</v>
      </c>
      <c r="P5223" s="238">
        <v>1.0</v>
      </c>
      <c r="Q5223" s="235" t="s">
        <v>627</v>
      </c>
      <c r="R5223" s="238">
        <v>1522.86</v>
      </c>
      <c r="S5223" s="238">
        <v>74.62</v>
      </c>
      <c r="T5223" s="238">
        <v>0.0</v>
      </c>
      <c r="U5223" s="238">
        <v>0.0</v>
      </c>
      <c r="V5223" s="238">
        <v>0.0</v>
      </c>
      <c r="W5223" s="238">
        <v>0.0</v>
      </c>
      <c r="X5223" s="235" t="s">
        <v>628</v>
      </c>
      <c r="Z5223" s="245"/>
      <c r="AA5223" s="245"/>
      <c r="AB5223" s="245"/>
      <c r="AC5223" s="235" t="s">
        <v>844</v>
      </c>
      <c r="AD5223" s="235" t="s">
        <v>845</v>
      </c>
      <c r="AE5223" s="238">
        <v>411041.0</v>
      </c>
      <c r="AF5223" s="235" t="s">
        <v>631</v>
      </c>
      <c r="AG5223" s="245"/>
      <c r="AH5223" s="245"/>
      <c r="AI5223" s="245"/>
      <c r="AJ5223" s="245"/>
      <c r="AK5223" s="245"/>
      <c r="AL5223" s="245"/>
      <c r="AM5223" s="245"/>
      <c r="AN5223" s="245"/>
      <c r="AO5223" s="238">
        <v>-30.46</v>
      </c>
      <c r="AP5223" s="238">
        <v>0.0</v>
      </c>
      <c r="AQ5223" s="235" t="s">
        <v>632</v>
      </c>
      <c r="AR5223" s="243">
        <v>1.68E11</v>
      </c>
      <c r="AS5223" s="235" t="s">
        <v>38374</v>
      </c>
      <c r="AT5223" s="235" t="s">
        <v>546</v>
      </c>
      <c r="AU5223" s="235" t="s">
        <v>634</v>
      </c>
      <c r="AV5223" s="246" t="s">
        <v>635</v>
      </c>
      <c r="AW5223" s="227"/>
      <c r="AX5223" s="227"/>
      <c r="AY5223" s="227"/>
      <c r="AZ5223" s="227"/>
      <c r="BA5223" s="227"/>
      <c r="BB5223" s="227"/>
      <c r="BC5223" s="227"/>
      <c r="BD5223" s="227"/>
      <c r="BE5223" s="227"/>
      <c r="BF5223" s="227"/>
    </row>
    <row r="5224">
      <c r="A5224" s="235" t="s">
        <v>38458</v>
      </c>
      <c r="C5224" s="235" t="s">
        <v>38459</v>
      </c>
      <c r="D5224" s="235" t="s">
        <v>38460</v>
      </c>
      <c r="E5224" s="243">
        <v>6.49E13</v>
      </c>
      <c r="F5224" s="245"/>
      <c r="G5224" s="235" t="s">
        <v>38461</v>
      </c>
      <c r="H5224" s="235" t="s">
        <v>38462</v>
      </c>
      <c r="I5224" s="235" t="s">
        <v>38462</v>
      </c>
      <c r="J5224" s="235" t="s">
        <v>38463</v>
      </c>
      <c r="K5224" s="235" t="s">
        <v>38464</v>
      </c>
      <c r="N5224" s="235" t="s">
        <v>154</v>
      </c>
      <c r="O5224" s="235" t="s">
        <v>766</v>
      </c>
      <c r="P5224" s="238">
        <v>1.0</v>
      </c>
      <c r="Q5224" s="235" t="s">
        <v>627</v>
      </c>
      <c r="R5224" s="238">
        <v>465.72</v>
      </c>
      <c r="S5224" s="238">
        <v>22.82</v>
      </c>
      <c r="T5224" s="238">
        <v>0.0</v>
      </c>
      <c r="U5224" s="238">
        <v>0.0</v>
      </c>
      <c r="V5224" s="238">
        <v>0.0</v>
      </c>
      <c r="W5224" s="238">
        <v>0.0</v>
      </c>
      <c r="X5224" s="235" t="s">
        <v>628</v>
      </c>
      <c r="Z5224" s="245"/>
      <c r="AA5224" s="245"/>
      <c r="AB5224" s="245"/>
      <c r="AC5224" s="235" t="s">
        <v>678</v>
      </c>
      <c r="AD5224" s="235" t="s">
        <v>679</v>
      </c>
      <c r="AE5224" s="238">
        <v>560085.0</v>
      </c>
      <c r="AF5224" s="235" t="s">
        <v>631</v>
      </c>
      <c r="AG5224" s="245"/>
      <c r="AH5224" s="245"/>
      <c r="AI5224" s="245"/>
      <c r="AJ5224" s="245"/>
      <c r="AK5224" s="245"/>
      <c r="AL5224" s="245"/>
      <c r="AM5224" s="245"/>
      <c r="AN5224" s="245"/>
      <c r="AO5224" s="238">
        <v>-9.32</v>
      </c>
      <c r="AP5224" s="238">
        <v>0.0</v>
      </c>
      <c r="AQ5224" s="235" t="s">
        <v>632</v>
      </c>
      <c r="AR5224" s="243">
        <v>1.68E11</v>
      </c>
      <c r="AS5224" s="235" t="s">
        <v>38374</v>
      </c>
      <c r="AT5224" s="235" t="s">
        <v>11</v>
      </c>
      <c r="AU5224" s="235" t="s">
        <v>634</v>
      </c>
      <c r="AV5224" s="246" t="s">
        <v>635</v>
      </c>
      <c r="AW5224" s="227"/>
      <c r="AX5224" s="227"/>
      <c r="AY5224" s="227"/>
      <c r="AZ5224" s="227"/>
      <c r="BA5224" s="227"/>
      <c r="BB5224" s="227"/>
      <c r="BC5224" s="227"/>
      <c r="BD5224" s="227"/>
      <c r="BE5224" s="227"/>
      <c r="BF5224" s="227"/>
    </row>
    <row r="5225">
      <c r="A5225" s="235" t="s">
        <v>38465</v>
      </c>
      <c r="C5225" s="235" t="s">
        <v>38466</v>
      </c>
      <c r="D5225" s="235" t="s">
        <v>38467</v>
      </c>
      <c r="E5225" s="243">
        <v>6.49E13</v>
      </c>
      <c r="F5225" s="245"/>
      <c r="G5225" s="235" t="s">
        <v>38468</v>
      </c>
      <c r="H5225" s="235" t="s">
        <v>38469</v>
      </c>
      <c r="I5225" s="235" t="s">
        <v>38469</v>
      </c>
      <c r="J5225" s="235" t="s">
        <v>38470</v>
      </c>
      <c r="K5225" s="235" t="s">
        <v>38471</v>
      </c>
      <c r="N5225" s="235" t="s">
        <v>51</v>
      </c>
      <c r="O5225" s="235" t="s">
        <v>273</v>
      </c>
      <c r="P5225" s="238">
        <v>1.0</v>
      </c>
      <c r="Q5225" s="235" t="s">
        <v>627</v>
      </c>
      <c r="R5225" s="238">
        <v>235.24</v>
      </c>
      <c r="S5225" s="238">
        <v>11.76</v>
      </c>
      <c r="T5225" s="238">
        <v>0.0</v>
      </c>
      <c r="U5225" s="238">
        <v>0.0</v>
      </c>
      <c r="V5225" s="238">
        <v>0.0</v>
      </c>
      <c r="W5225" s="238">
        <v>0.0</v>
      </c>
      <c r="X5225" s="235" t="s">
        <v>628</v>
      </c>
      <c r="Z5225" s="245"/>
      <c r="AA5225" s="245"/>
      <c r="AB5225" s="245"/>
      <c r="AC5225" s="235" t="s">
        <v>35675</v>
      </c>
      <c r="AD5225" s="235" t="s">
        <v>666</v>
      </c>
      <c r="AE5225" s="238">
        <v>614617.0</v>
      </c>
      <c r="AF5225" s="235" t="s">
        <v>631</v>
      </c>
      <c r="AG5225" s="245"/>
      <c r="AH5225" s="245"/>
      <c r="AI5225" s="245"/>
      <c r="AJ5225" s="245"/>
      <c r="AK5225" s="245"/>
      <c r="AL5225" s="245"/>
      <c r="AM5225" s="245"/>
      <c r="AN5225" s="245"/>
      <c r="AO5225" s="238">
        <v>0.0</v>
      </c>
      <c r="AP5225" s="238">
        <v>0.0</v>
      </c>
      <c r="AQ5225" s="235" t="s">
        <v>1328</v>
      </c>
      <c r="AR5225" s="243">
        <v>1.34E13</v>
      </c>
      <c r="AS5225" s="235" t="s">
        <v>33466</v>
      </c>
      <c r="AT5225" s="235" t="s">
        <v>155</v>
      </c>
      <c r="AU5225" s="235" t="s">
        <v>634</v>
      </c>
      <c r="AV5225" s="246" t="s">
        <v>635</v>
      </c>
      <c r="AW5225" s="227"/>
      <c r="AX5225" s="227"/>
      <c r="AY5225" s="227"/>
      <c r="AZ5225" s="227"/>
      <c r="BA5225" s="227"/>
      <c r="BB5225" s="227"/>
      <c r="BC5225" s="227"/>
      <c r="BD5225" s="227"/>
      <c r="BE5225" s="227"/>
      <c r="BF5225" s="227"/>
    </row>
    <row r="5226">
      <c r="A5226" s="235" t="s">
        <v>38472</v>
      </c>
      <c r="C5226" s="235" t="s">
        <v>38473</v>
      </c>
      <c r="D5226" s="235" t="s">
        <v>38474</v>
      </c>
      <c r="E5226" s="243">
        <v>6.49E13</v>
      </c>
      <c r="F5226" s="245"/>
      <c r="G5226" s="235" t="s">
        <v>38475</v>
      </c>
      <c r="H5226" s="235" t="s">
        <v>38476</v>
      </c>
      <c r="I5226" s="235" t="s">
        <v>38476</v>
      </c>
      <c r="J5226" s="235" t="s">
        <v>38477</v>
      </c>
      <c r="K5226" s="235" t="s">
        <v>38478</v>
      </c>
      <c r="N5226" s="235" t="s">
        <v>144</v>
      </c>
      <c r="O5226" s="235" t="s">
        <v>232</v>
      </c>
      <c r="P5226" s="238">
        <v>1.0</v>
      </c>
      <c r="Q5226" s="235" t="s">
        <v>627</v>
      </c>
      <c r="R5226" s="238">
        <v>665.72</v>
      </c>
      <c r="S5226" s="238">
        <v>33.28</v>
      </c>
      <c r="T5226" s="238">
        <v>6.03</v>
      </c>
      <c r="U5226" s="238">
        <v>0.3</v>
      </c>
      <c r="V5226" s="238">
        <v>0.0</v>
      </c>
      <c r="W5226" s="238">
        <v>0.0</v>
      </c>
      <c r="X5226" s="235" t="s">
        <v>628</v>
      </c>
      <c r="Z5226" s="245"/>
      <c r="AA5226" s="245"/>
      <c r="AB5226" s="245"/>
      <c r="AC5226" s="235" t="s">
        <v>678</v>
      </c>
      <c r="AD5226" s="235" t="s">
        <v>679</v>
      </c>
      <c r="AE5226" s="238">
        <v>560008.0</v>
      </c>
      <c r="AF5226" s="235" t="s">
        <v>631</v>
      </c>
      <c r="AG5226" s="245"/>
      <c r="AH5226" s="245"/>
      <c r="AI5226" s="245"/>
      <c r="AJ5226" s="245"/>
      <c r="AK5226" s="245"/>
      <c r="AL5226" s="245"/>
      <c r="AM5226" s="245"/>
      <c r="AN5226" s="245"/>
      <c r="AO5226" s="238">
        <v>0.0</v>
      </c>
      <c r="AP5226" s="238">
        <v>-6.03</v>
      </c>
      <c r="AQ5226" s="235" t="s">
        <v>632</v>
      </c>
      <c r="AR5226" s="243">
        <v>1.68E11</v>
      </c>
      <c r="AS5226" s="235" t="s">
        <v>38374</v>
      </c>
      <c r="AT5226" s="235" t="s">
        <v>11</v>
      </c>
      <c r="AU5226" s="235" t="s">
        <v>634</v>
      </c>
      <c r="AV5226" s="246" t="s">
        <v>635</v>
      </c>
      <c r="AW5226" s="227"/>
      <c r="AX5226" s="227"/>
      <c r="AY5226" s="227"/>
      <c r="AZ5226" s="227"/>
      <c r="BA5226" s="227"/>
      <c r="BB5226" s="227"/>
      <c r="BC5226" s="227"/>
      <c r="BD5226" s="227"/>
      <c r="BE5226" s="227"/>
      <c r="BF5226" s="227"/>
    </row>
    <row r="5227">
      <c r="A5227" s="235" t="s">
        <v>38479</v>
      </c>
      <c r="C5227" s="235" t="s">
        <v>38480</v>
      </c>
      <c r="D5227" s="235" t="s">
        <v>38481</v>
      </c>
      <c r="E5227" s="243">
        <v>6.49E13</v>
      </c>
      <c r="F5227" s="245"/>
      <c r="G5227" s="235" t="s">
        <v>38482</v>
      </c>
      <c r="H5227" s="235" t="s">
        <v>38483</v>
      </c>
      <c r="I5227" s="235" t="s">
        <v>38484</v>
      </c>
      <c r="J5227" s="235" t="s">
        <v>38485</v>
      </c>
      <c r="K5227" s="235" t="s">
        <v>38486</v>
      </c>
      <c r="N5227" s="235" t="s">
        <v>3875</v>
      </c>
      <c r="O5227" s="235" t="s">
        <v>3876</v>
      </c>
      <c r="P5227" s="238">
        <v>1.0</v>
      </c>
      <c r="Q5227" s="235" t="s">
        <v>627</v>
      </c>
      <c r="R5227" s="238">
        <v>207.62</v>
      </c>
      <c r="S5227" s="238">
        <v>10.38</v>
      </c>
      <c r="T5227" s="238">
        <v>0.0</v>
      </c>
      <c r="U5227" s="238">
        <v>0.0</v>
      </c>
      <c r="V5227" s="238">
        <v>0.0</v>
      </c>
      <c r="W5227" s="238">
        <v>0.0</v>
      </c>
      <c r="X5227" s="235" t="s">
        <v>628</v>
      </c>
      <c r="Z5227" s="245"/>
      <c r="AA5227" s="245"/>
      <c r="AB5227" s="245"/>
      <c r="AC5227" s="235" t="s">
        <v>687</v>
      </c>
      <c r="AD5227" s="235" t="s">
        <v>666</v>
      </c>
      <c r="AE5227" s="238">
        <v>600033.0</v>
      </c>
      <c r="AF5227" s="235" t="s">
        <v>631</v>
      </c>
      <c r="AG5227" s="245"/>
      <c r="AH5227" s="245"/>
      <c r="AI5227" s="245"/>
      <c r="AJ5227" s="245"/>
      <c r="AK5227" s="245"/>
      <c r="AL5227" s="245"/>
      <c r="AM5227" s="245"/>
      <c r="AN5227" s="245"/>
      <c r="AO5227" s="238">
        <v>0.0</v>
      </c>
      <c r="AP5227" s="238">
        <v>0.0</v>
      </c>
      <c r="AQ5227" s="235" t="s">
        <v>632</v>
      </c>
      <c r="AR5227" s="243">
        <v>1.68E11</v>
      </c>
      <c r="AS5227" s="235" t="s">
        <v>38374</v>
      </c>
      <c r="AT5227" s="235" t="s">
        <v>156</v>
      </c>
      <c r="AU5227" s="235" t="s">
        <v>634</v>
      </c>
      <c r="AV5227" s="246" t="s">
        <v>635</v>
      </c>
      <c r="AW5227" s="227"/>
      <c r="AX5227" s="227"/>
      <c r="AY5227" s="227"/>
      <c r="AZ5227" s="227"/>
      <c r="BA5227" s="227"/>
      <c r="BB5227" s="227"/>
      <c r="BC5227" s="227"/>
      <c r="BD5227" s="227"/>
      <c r="BE5227" s="227"/>
      <c r="BF5227" s="227"/>
    </row>
    <row r="5228">
      <c r="A5228" s="235" t="s">
        <v>38487</v>
      </c>
      <c r="C5228" s="235" t="s">
        <v>38488</v>
      </c>
      <c r="D5228" s="235" t="s">
        <v>38489</v>
      </c>
      <c r="E5228" s="243">
        <v>6.49E13</v>
      </c>
      <c r="F5228" s="245"/>
      <c r="G5228" s="235" t="s">
        <v>38490</v>
      </c>
      <c r="H5228" s="235" t="s">
        <v>38491</v>
      </c>
      <c r="I5228" s="235" t="s">
        <v>38491</v>
      </c>
      <c r="J5228" s="235" t="s">
        <v>38492</v>
      </c>
      <c r="K5228" s="235" t="s">
        <v>38493</v>
      </c>
      <c r="N5228" s="235" t="s">
        <v>962</v>
      </c>
      <c r="O5228" s="235" t="s">
        <v>963</v>
      </c>
      <c r="P5228" s="238">
        <v>1.0</v>
      </c>
      <c r="Q5228" s="235" t="s">
        <v>627</v>
      </c>
      <c r="R5228" s="238">
        <v>245.72</v>
      </c>
      <c r="S5228" s="238">
        <v>12.04</v>
      </c>
      <c r="T5228" s="238">
        <v>18.1</v>
      </c>
      <c r="U5228" s="238">
        <v>0.9</v>
      </c>
      <c r="V5228" s="238">
        <v>0.0</v>
      </c>
      <c r="W5228" s="238">
        <v>0.0</v>
      </c>
      <c r="X5228" s="235" t="s">
        <v>628</v>
      </c>
      <c r="Z5228" s="245"/>
      <c r="AA5228" s="245"/>
      <c r="AB5228" s="245"/>
      <c r="AC5228" s="235" t="s">
        <v>678</v>
      </c>
      <c r="AD5228" s="235" t="s">
        <v>679</v>
      </c>
      <c r="AE5228" s="238">
        <v>560087.0</v>
      </c>
      <c r="AF5228" s="235" t="s">
        <v>631</v>
      </c>
      <c r="AG5228" s="245"/>
      <c r="AH5228" s="245"/>
      <c r="AI5228" s="245"/>
      <c r="AJ5228" s="245"/>
      <c r="AK5228" s="245"/>
      <c r="AL5228" s="245"/>
      <c r="AM5228" s="245"/>
      <c r="AN5228" s="245"/>
      <c r="AO5228" s="238">
        <v>-4.92</v>
      </c>
      <c r="AP5228" s="238">
        <v>-18.1</v>
      </c>
      <c r="AQ5228" s="235" t="s">
        <v>632</v>
      </c>
      <c r="AR5228" s="243">
        <v>1.68E11</v>
      </c>
      <c r="AS5228" s="235" t="s">
        <v>38374</v>
      </c>
      <c r="AT5228" s="235" t="s">
        <v>9</v>
      </c>
      <c r="AU5228" s="235" t="s">
        <v>634</v>
      </c>
      <c r="AV5228" s="246" t="s">
        <v>635</v>
      </c>
      <c r="AW5228" s="227"/>
      <c r="AX5228" s="227"/>
      <c r="AY5228" s="227"/>
      <c r="AZ5228" s="227"/>
      <c r="BA5228" s="227"/>
      <c r="BB5228" s="227"/>
      <c r="BC5228" s="227"/>
      <c r="BD5228" s="227"/>
      <c r="BE5228" s="227"/>
      <c r="BF5228" s="227"/>
    </row>
    <row r="5229">
      <c r="A5229" s="235" t="s">
        <v>38494</v>
      </c>
      <c r="C5229" s="235" t="s">
        <v>38495</v>
      </c>
      <c r="D5229" s="235" t="s">
        <v>38496</v>
      </c>
      <c r="E5229" s="243">
        <v>6.49E13</v>
      </c>
      <c r="F5229" s="245"/>
      <c r="G5229" s="235" t="s">
        <v>38497</v>
      </c>
      <c r="H5229" s="235" t="s">
        <v>38498</v>
      </c>
      <c r="I5229" s="235" t="s">
        <v>38498</v>
      </c>
      <c r="J5229" s="235" t="s">
        <v>38499</v>
      </c>
      <c r="K5229" s="235" t="s">
        <v>38500</v>
      </c>
      <c r="N5229" s="235" t="s">
        <v>127</v>
      </c>
      <c r="O5229" s="235" t="s">
        <v>794</v>
      </c>
      <c r="P5229" s="238">
        <v>1.0</v>
      </c>
      <c r="Q5229" s="235" t="s">
        <v>627</v>
      </c>
      <c r="R5229" s="238">
        <v>243.81</v>
      </c>
      <c r="S5229" s="238">
        <v>12.19</v>
      </c>
      <c r="T5229" s="238">
        <v>0.0</v>
      </c>
      <c r="U5229" s="238">
        <v>0.0</v>
      </c>
      <c r="V5229" s="238">
        <v>0.0</v>
      </c>
      <c r="W5229" s="238">
        <v>0.0</v>
      </c>
      <c r="X5229" s="235" t="s">
        <v>628</v>
      </c>
      <c r="Z5229" s="245"/>
      <c r="AA5229" s="245"/>
      <c r="AB5229" s="245"/>
      <c r="AC5229" s="235" t="s">
        <v>1475</v>
      </c>
      <c r="AD5229" s="235" t="s">
        <v>796</v>
      </c>
      <c r="AE5229" s="238">
        <v>110018.0</v>
      </c>
      <c r="AF5229" s="235" t="s">
        <v>631</v>
      </c>
      <c r="AG5229" s="245"/>
      <c r="AH5229" s="245"/>
      <c r="AI5229" s="245"/>
      <c r="AJ5229" s="245"/>
      <c r="AK5229" s="245"/>
      <c r="AL5229" s="245"/>
      <c r="AM5229" s="245"/>
      <c r="AN5229" s="245"/>
      <c r="AO5229" s="238">
        <v>0.0</v>
      </c>
      <c r="AP5229" s="238">
        <v>0.0</v>
      </c>
      <c r="AQ5229" s="235" t="s">
        <v>632</v>
      </c>
      <c r="AR5229" s="243">
        <v>3.7E11</v>
      </c>
      <c r="AS5229" s="235" t="s">
        <v>37983</v>
      </c>
      <c r="AT5229" s="235" t="s">
        <v>533</v>
      </c>
      <c r="AU5229" s="235" t="s">
        <v>634</v>
      </c>
      <c r="AV5229" s="246" t="s">
        <v>635</v>
      </c>
      <c r="AW5229" s="227"/>
      <c r="AX5229" s="227"/>
      <c r="AY5229" s="227"/>
      <c r="AZ5229" s="227"/>
      <c r="BA5229" s="227"/>
      <c r="BB5229" s="227"/>
      <c r="BC5229" s="227"/>
      <c r="BD5229" s="227"/>
      <c r="BE5229" s="227"/>
      <c r="BF5229" s="227"/>
    </row>
    <row r="5230">
      <c r="A5230" s="235" t="s">
        <v>38501</v>
      </c>
      <c r="C5230" s="235" t="s">
        <v>38502</v>
      </c>
      <c r="D5230" s="235" t="s">
        <v>38503</v>
      </c>
      <c r="E5230" s="243">
        <v>6.49E13</v>
      </c>
      <c r="F5230" s="245"/>
      <c r="G5230" s="235" t="s">
        <v>38504</v>
      </c>
      <c r="H5230" s="235" t="s">
        <v>38505</v>
      </c>
      <c r="I5230" s="235" t="s">
        <v>38505</v>
      </c>
      <c r="J5230" s="235" t="s">
        <v>38506</v>
      </c>
      <c r="K5230" s="235" t="s">
        <v>38507</v>
      </c>
      <c r="N5230" s="235" t="s">
        <v>154</v>
      </c>
      <c r="O5230" s="235" t="s">
        <v>766</v>
      </c>
      <c r="P5230" s="238">
        <v>1.0</v>
      </c>
      <c r="Q5230" s="235" t="s">
        <v>627</v>
      </c>
      <c r="R5230" s="238">
        <v>465.71</v>
      </c>
      <c r="S5230" s="238">
        <v>23.29</v>
      </c>
      <c r="T5230" s="238">
        <v>18.1</v>
      </c>
      <c r="U5230" s="238">
        <v>0.9</v>
      </c>
      <c r="V5230" s="238">
        <v>0.0</v>
      </c>
      <c r="W5230" s="238">
        <v>0.0</v>
      </c>
      <c r="X5230" s="235" t="s">
        <v>628</v>
      </c>
      <c r="Z5230" s="245"/>
      <c r="AA5230" s="245"/>
      <c r="AB5230" s="245"/>
      <c r="AC5230" s="235" t="s">
        <v>1475</v>
      </c>
      <c r="AD5230" s="235" t="s">
        <v>796</v>
      </c>
      <c r="AE5230" s="238">
        <v>110009.0</v>
      </c>
      <c r="AF5230" s="235" t="s">
        <v>631</v>
      </c>
      <c r="AG5230" s="245"/>
      <c r="AH5230" s="245"/>
      <c r="AI5230" s="245"/>
      <c r="AJ5230" s="245"/>
      <c r="AK5230" s="245"/>
      <c r="AL5230" s="245"/>
      <c r="AM5230" s="245"/>
      <c r="AN5230" s="245"/>
      <c r="AO5230" s="238">
        <v>0.0</v>
      </c>
      <c r="AP5230" s="238">
        <v>-18.1</v>
      </c>
      <c r="AQ5230" s="235" t="s">
        <v>632</v>
      </c>
      <c r="AR5230" s="243">
        <v>1.68E11</v>
      </c>
      <c r="AS5230" s="235" t="s">
        <v>38374</v>
      </c>
      <c r="AT5230" s="235" t="s">
        <v>13</v>
      </c>
      <c r="AU5230" s="235" t="s">
        <v>634</v>
      </c>
      <c r="AV5230" s="246" t="s">
        <v>635</v>
      </c>
      <c r="AW5230" s="227"/>
      <c r="AX5230" s="227"/>
      <c r="AY5230" s="227"/>
      <c r="AZ5230" s="227"/>
      <c r="BA5230" s="227"/>
      <c r="BB5230" s="227"/>
      <c r="BC5230" s="227"/>
      <c r="BD5230" s="227"/>
      <c r="BE5230" s="227"/>
      <c r="BF5230" s="227"/>
    </row>
    <row r="5231">
      <c r="A5231" s="235" t="s">
        <v>38508</v>
      </c>
      <c r="C5231" s="235" t="s">
        <v>38509</v>
      </c>
      <c r="D5231" s="235" t="s">
        <v>38510</v>
      </c>
      <c r="E5231" s="243">
        <v>6.49E13</v>
      </c>
      <c r="F5231" s="245"/>
      <c r="G5231" s="235" t="s">
        <v>38511</v>
      </c>
      <c r="H5231" s="235" t="s">
        <v>38512</v>
      </c>
      <c r="I5231" s="235" t="s">
        <v>38512</v>
      </c>
      <c r="J5231" s="235" t="s">
        <v>38513</v>
      </c>
      <c r="K5231" s="235" t="s">
        <v>38514</v>
      </c>
      <c r="N5231" s="235" t="s">
        <v>148</v>
      </c>
      <c r="O5231" s="235" t="s">
        <v>1006</v>
      </c>
      <c r="P5231" s="238">
        <v>1.0</v>
      </c>
      <c r="Q5231" s="235" t="s">
        <v>627</v>
      </c>
      <c r="R5231" s="238">
        <v>281.9</v>
      </c>
      <c r="S5231" s="238">
        <v>14.1</v>
      </c>
      <c r="T5231" s="238">
        <v>38.1</v>
      </c>
      <c r="U5231" s="238">
        <v>1.9</v>
      </c>
      <c r="V5231" s="238">
        <v>0.0</v>
      </c>
      <c r="W5231" s="238">
        <v>0.0</v>
      </c>
      <c r="X5231" s="235" t="s">
        <v>628</v>
      </c>
      <c r="Z5231" s="245"/>
      <c r="AA5231" s="245"/>
      <c r="AB5231" s="245"/>
      <c r="AC5231" s="235" t="s">
        <v>3307</v>
      </c>
      <c r="AD5231" s="235" t="s">
        <v>1086</v>
      </c>
      <c r="AE5231" s="238">
        <v>141001.0</v>
      </c>
      <c r="AF5231" s="235" t="s">
        <v>631</v>
      </c>
      <c r="AG5231" s="245"/>
      <c r="AH5231" s="245"/>
      <c r="AI5231" s="245"/>
      <c r="AJ5231" s="245"/>
      <c r="AK5231" s="245"/>
      <c r="AL5231" s="245"/>
      <c r="AM5231" s="245"/>
      <c r="AN5231" s="245"/>
      <c r="AO5231" s="238">
        <v>0.0</v>
      </c>
      <c r="AP5231" s="238">
        <v>-38.1</v>
      </c>
      <c r="AQ5231" s="235" t="s">
        <v>632</v>
      </c>
      <c r="AR5231" s="243">
        <v>3.7E11</v>
      </c>
      <c r="AS5231" s="235" t="s">
        <v>35520</v>
      </c>
      <c r="AT5231" s="235" t="s">
        <v>13</v>
      </c>
      <c r="AU5231" s="235" t="s">
        <v>634</v>
      </c>
      <c r="AV5231" s="246" t="s">
        <v>635</v>
      </c>
      <c r="AW5231" s="227"/>
      <c r="AX5231" s="227"/>
      <c r="AY5231" s="227"/>
      <c r="AZ5231" s="227"/>
      <c r="BA5231" s="227"/>
      <c r="BB5231" s="227"/>
      <c r="BC5231" s="227"/>
      <c r="BD5231" s="227"/>
      <c r="BE5231" s="227"/>
      <c r="BF5231" s="227"/>
    </row>
    <row r="5232">
      <c r="A5232" s="235" t="s">
        <v>38515</v>
      </c>
      <c r="C5232" s="235" t="s">
        <v>38516</v>
      </c>
      <c r="D5232" s="235" t="s">
        <v>38517</v>
      </c>
      <c r="E5232" s="243">
        <v>6.48E13</v>
      </c>
      <c r="F5232" s="245"/>
      <c r="G5232" s="235" t="s">
        <v>38518</v>
      </c>
      <c r="H5232" s="235" t="s">
        <v>38519</v>
      </c>
      <c r="I5232" s="235" t="s">
        <v>38520</v>
      </c>
      <c r="J5232" s="235" t="s">
        <v>38521</v>
      </c>
      <c r="K5232" s="235" t="s">
        <v>38522</v>
      </c>
      <c r="N5232" s="235" t="s">
        <v>129</v>
      </c>
      <c r="O5232" s="235" t="s">
        <v>522</v>
      </c>
      <c r="P5232" s="238">
        <v>1.0</v>
      </c>
      <c r="Q5232" s="235" t="s">
        <v>627</v>
      </c>
      <c r="R5232" s="238">
        <v>246.67</v>
      </c>
      <c r="S5232" s="238">
        <v>12.08</v>
      </c>
      <c r="T5232" s="238">
        <v>0.0</v>
      </c>
      <c r="U5232" s="238">
        <v>0.0</v>
      </c>
      <c r="V5232" s="238">
        <v>0.0</v>
      </c>
      <c r="W5232" s="238">
        <v>0.0</v>
      </c>
      <c r="X5232" s="235" t="s">
        <v>628</v>
      </c>
      <c r="Z5232" s="245"/>
      <c r="AA5232" s="245"/>
      <c r="AB5232" s="245"/>
      <c r="AC5232" s="235" t="s">
        <v>38523</v>
      </c>
      <c r="AD5232" s="235" t="s">
        <v>666</v>
      </c>
      <c r="AE5232" s="238">
        <v>635109.0</v>
      </c>
      <c r="AF5232" s="235" t="s">
        <v>631</v>
      </c>
      <c r="AG5232" s="245"/>
      <c r="AH5232" s="245"/>
      <c r="AI5232" s="245"/>
      <c r="AJ5232" s="245"/>
      <c r="AK5232" s="245"/>
      <c r="AL5232" s="245"/>
      <c r="AM5232" s="245"/>
      <c r="AN5232" s="245"/>
      <c r="AO5232" s="238">
        <v>-4.93</v>
      </c>
      <c r="AP5232" s="238">
        <v>0.0</v>
      </c>
      <c r="AQ5232" s="235" t="s">
        <v>632</v>
      </c>
      <c r="AR5232" s="243">
        <v>3.7E11</v>
      </c>
      <c r="AS5232" s="235" t="s">
        <v>36667</v>
      </c>
      <c r="AT5232" s="235" t="s">
        <v>11</v>
      </c>
      <c r="AU5232" s="235" t="s">
        <v>634</v>
      </c>
      <c r="AV5232" s="246" t="s">
        <v>635</v>
      </c>
      <c r="AW5232" s="227"/>
      <c r="AX5232" s="227"/>
      <c r="AY5232" s="227"/>
      <c r="AZ5232" s="227"/>
      <c r="BA5232" s="227"/>
      <c r="BB5232" s="227"/>
      <c r="BC5232" s="227"/>
      <c r="BD5232" s="227"/>
      <c r="BE5232" s="227"/>
      <c r="BF5232" s="227"/>
    </row>
    <row r="5233">
      <c r="A5233" s="235" t="s">
        <v>38524</v>
      </c>
      <c r="C5233" s="235" t="s">
        <v>38525</v>
      </c>
      <c r="D5233" s="235" t="s">
        <v>38526</v>
      </c>
      <c r="E5233" s="243">
        <v>6.49E13</v>
      </c>
      <c r="F5233" s="245"/>
      <c r="G5233" s="235" t="s">
        <v>38527</v>
      </c>
      <c r="H5233" s="235" t="s">
        <v>38528</v>
      </c>
      <c r="I5233" s="235" t="s">
        <v>38528</v>
      </c>
      <c r="J5233" s="235" t="s">
        <v>38529</v>
      </c>
      <c r="K5233" s="235" t="s">
        <v>38530</v>
      </c>
      <c r="N5233" s="235" t="s">
        <v>47</v>
      </c>
      <c r="O5233" s="235" t="s">
        <v>270</v>
      </c>
      <c r="P5233" s="238">
        <v>1.0</v>
      </c>
      <c r="Q5233" s="235" t="s">
        <v>627</v>
      </c>
      <c r="R5233" s="238">
        <v>236.2</v>
      </c>
      <c r="S5233" s="238">
        <v>11.56</v>
      </c>
      <c r="T5233" s="238">
        <v>0.0</v>
      </c>
      <c r="U5233" s="238">
        <v>0.0</v>
      </c>
      <c r="V5233" s="238">
        <v>0.0</v>
      </c>
      <c r="W5233" s="238">
        <v>0.0</v>
      </c>
      <c r="X5233" s="235" t="s">
        <v>628</v>
      </c>
      <c r="Z5233" s="245"/>
      <c r="AA5233" s="245"/>
      <c r="AB5233" s="245"/>
      <c r="AC5233" s="235" t="s">
        <v>687</v>
      </c>
      <c r="AD5233" s="235" t="s">
        <v>666</v>
      </c>
      <c r="AE5233" s="238">
        <v>600097.0</v>
      </c>
      <c r="AF5233" s="235" t="s">
        <v>631</v>
      </c>
      <c r="AG5233" s="245"/>
      <c r="AH5233" s="245"/>
      <c r="AI5233" s="245"/>
      <c r="AJ5233" s="245"/>
      <c r="AK5233" s="245"/>
      <c r="AL5233" s="245"/>
      <c r="AM5233" s="245"/>
      <c r="AN5233" s="245"/>
      <c r="AO5233" s="238">
        <v>-4.72</v>
      </c>
      <c r="AP5233" s="238">
        <v>0.0</v>
      </c>
      <c r="AQ5233" s="235" t="s">
        <v>632</v>
      </c>
      <c r="AR5233" s="243">
        <v>1.68E11</v>
      </c>
      <c r="AS5233" s="235" t="s">
        <v>38374</v>
      </c>
      <c r="AT5233" s="235" t="s">
        <v>156</v>
      </c>
      <c r="AU5233" s="235" t="s">
        <v>634</v>
      </c>
      <c r="AV5233" s="246" t="s">
        <v>635</v>
      </c>
      <c r="AW5233" s="227"/>
      <c r="AX5233" s="227"/>
      <c r="AY5233" s="227"/>
      <c r="AZ5233" s="227"/>
      <c r="BA5233" s="227"/>
      <c r="BB5233" s="227"/>
      <c r="BC5233" s="227"/>
      <c r="BD5233" s="227"/>
      <c r="BE5233" s="227"/>
      <c r="BF5233" s="227"/>
    </row>
    <row r="5234">
      <c r="A5234" s="235" t="s">
        <v>38531</v>
      </c>
      <c r="C5234" s="235" t="s">
        <v>38532</v>
      </c>
      <c r="D5234" s="235" t="s">
        <v>38533</v>
      </c>
      <c r="E5234" s="243">
        <v>6.49E13</v>
      </c>
      <c r="F5234" s="245"/>
      <c r="G5234" s="235" t="s">
        <v>38534</v>
      </c>
      <c r="H5234" s="235" t="s">
        <v>38535</v>
      </c>
      <c r="I5234" s="235" t="s">
        <v>38535</v>
      </c>
      <c r="J5234" s="235" t="s">
        <v>38536</v>
      </c>
      <c r="K5234" s="235" t="s">
        <v>38537</v>
      </c>
      <c r="N5234" s="235" t="s">
        <v>90</v>
      </c>
      <c r="O5234" s="235" t="s">
        <v>279</v>
      </c>
      <c r="P5234" s="238">
        <v>1.0</v>
      </c>
      <c r="Q5234" s="235" t="s">
        <v>627</v>
      </c>
      <c r="R5234" s="238">
        <v>243.81</v>
      </c>
      <c r="S5234" s="238">
        <v>12.19</v>
      </c>
      <c r="T5234" s="238">
        <v>0.0</v>
      </c>
      <c r="U5234" s="238">
        <v>0.0</v>
      </c>
      <c r="V5234" s="238">
        <v>0.0</v>
      </c>
      <c r="W5234" s="238">
        <v>0.0</v>
      </c>
      <c r="X5234" s="235" t="s">
        <v>628</v>
      </c>
      <c r="Z5234" s="245"/>
      <c r="AA5234" s="245"/>
      <c r="AB5234" s="245"/>
      <c r="AC5234" s="235" t="s">
        <v>937</v>
      </c>
      <c r="AD5234" s="235" t="s">
        <v>709</v>
      </c>
      <c r="AE5234" s="238">
        <v>801503.0</v>
      </c>
      <c r="AF5234" s="235" t="s">
        <v>631</v>
      </c>
      <c r="AG5234" s="245"/>
      <c r="AH5234" s="245"/>
      <c r="AI5234" s="245"/>
      <c r="AJ5234" s="245"/>
      <c r="AK5234" s="245"/>
      <c r="AL5234" s="245"/>
      <c r="AM5234" s="245"/>
      <c r="AN5234" s="245"/>
      <c r="AO5234" s="238">
        <v>0.0</v>
      </c>
      <c r="AP5234" s="238">
        <v>0.0</v>
      </c>
      <c r="AQ5234" s="235" t="s">
        <v>632</v>
      </c>
      <c r="AR5234" s="243">
        <v>1.68E11</v>
      </c>
      <c r="AS5234" s="235" t="s">
        <v>36667</v>
      </c>
      <c r="AT5234" s="235" t="s">
        <v>14</v>
      </c>
      <c r="AU5234" s="235" t="s">
        <v>634</v>
      </c>
      <c r="AV5234" s="246" t="s">
        <v>635</v>
      </c>
      <c r="AW5234" s="227"/>
      <c r="AX5234" s="227"/>
      <c r="AY5234" s="227"/>
      <c r="AZ5234" s="227"/>
      <c r="BA5234" s="227"/>
      <c r="BB5234" s="227"/>
      <c r="BC5234" s="227"/>
      <c r="BD5234" s="227"/>
      <c r="BE5234" s="227"/>
      <c r="BF5234" s="227"/>
    </row>
    <row r="5235">
      <c r="A5235" s="235" t="s">
        <v>38538</v>
      </c>
      <c r="C5235" s="235" t="s">
        <v>38539</v>
      </c>
      <c r="D5235" s="235" t="s">
        <v>38540</v>
      </c>
      <c r="E5235" s="243">
        <v>6.49E13</v>
      </c>
      <c r="F5235" s="245"/>
      <c r="G5235" s="235" t="s">
        <v>38541</v>
      </c>
      <c r="H5235" s="235" t="s">
        <v>38542</v>
      </c>
      <c r="I5235" s="235" t="s">
        <v>38542</v>
      </c>
      <c r="J5235" s="235" t="s">
        <v>38543</v>
      </c>
      <c r="K5235" s="235" t="s">
        <v>38544</v>
      </c>
      <c r="N5235" s="235" t="s">
        <v>141</v>
      </c>
      <c r="O5235" s="235" t="s">
        <v>342</v>
      </c>
      <c r="P5235" s="238">
        <v>1.0</v>
      </c>
      <c r="Q5235" s="235" t="s">
        <v>627</v>
      </c>
      <c r="R5235" s="238">
        <v>244.76</v>
      </c>
      <c r="S5235" s="238">
        <v>12.0</v>
      </c>
      <c r="T5235" s="238">
        <v>18.1</v>
      </c>
      <c r="U5235" s="238">
        <v>0.9</v>
      </c>
      <c r="V5235" s="238">
        <v>0.0</v>
      </c>
      <c r="W5235" s="238">
        <v>0.0</v>
      </c>
      <c r="X5235" s="235" t="s">
        <v>628</v>
      </c>
      <c r="Z5235" s="245"/>
      <c r="AA5235" s="245"/>
      <c r="AB5235" s="245"/>
      <c r="AC5235" s="235" t="s">
        <v>11319</v>
      </c>
      <c r="AD5235" s="235" t="s">
        <v>11319</v>
      </c>
      <c r="AE5235" s="238">
        <v>110085.0</v>
      </c>
      <c r="AF5235" s="235" t="s">
        <v>631</v>
      </c>
      <c r="AG5235" s="245"/>
      <c r="AH5235" s="245"/>
      <c r="AI5235" s="245"/>
      <c r="AJ5235" s="245"/>
      <c r="AK5235" s="245"/>
      <c r="AL5235" s="245"/>
      <c r="AM5235" s="245"/>
      <c r="AN5235" s="245"/>
      <c r="AO5235" s="238">
        <v>-4.9</v>
      </c>
      <c r="AP5235" s="238">
        <v>-18.1</v>
      </c>
      <c r="AQ5235" s="235" t="s">
        <v>632</v>
      </c>
      <c r="AR5235" s="243">
        <v>1.68E11</v>
      </c>
      <c r="AS5235" s="235" t="s">
        <v>38374</v>
      </c>
      <c r="AT5235" s="235" t="s">
        <v>14</v>
      </c>
      <c r="AU5235" s="235" t="s">
        <v>634</v>
      </c>
      <c r="AV5235" s="246" t="s">
        <v>635</v>
      </c>
      <c r="AW5235" s="227"/>
      <c r="AX5235" s="227"/>
      <c r="AY5235" s="227"/>
      <c r="AZ5235" s="227"/>
      <c r="BA5235" s="227"/>
      <c r="BB5235" s="227"/>
      <c r="BC5235" s="227"/>
      <c r="BD5235" s="227"/>
      <c r="BE5235" s="227"/>
      <c r="BF5235" s="227"/>
    </row>
    <row r="5236">
      <c r="A5236" s="235" t="s">
        <v>38545</v>
      </c>
      <c r="C5236" s="235" t="s">
        <v>38546</v>
      </c>
      <c r="D5236" s="235" t="s">
        <v>38547</v>
      </c>
      <c r="E5236" s="243">
        <v>6.49E13</v>
      </c>
      <c r="F5236" s="245"/>
      <c r="G5236" s="235" t="s">
        <v>38548</v>
      </c>
      <c r="H5236" s="235" t="s">
        <v>38549</v>
      </c>
      <c r="I5236" s="235" t="s">
        <v>38549</v>
      </c>
      <c r="J5236" s="235" t="s">
        <v>38550</v>
      </c>
      <c r="K5236" s="235" t="s">
        <v>38551</v>
      </c>
      <c r="N5236" s="235" t="s">
        <v>136</v>
      </c>
      <c r="O5236" s="235" t="s">
        <v>256</v>
      </c>
      <c r="P5236" s="238">
        <v>1.0</v>
      </c>
      <c r="Q5236" s="235" t="s">
        <v>627</v>
      </c>
      <c r="R5236" s="238">
        <v>244.76</v>
      </c>
      <c r="S5236" s="238">
        <v>12.24</v>
      </c>
      <c r="T5236" s="238">
        <v>18.1</v>
      </c>
      <c r="U5236" s="238">
        <v>0.9</v>
      </c>
      <c r="V5236" s="238">
        <v>0.0</v>
      </c>
      <c r="W5236" s="238">
        <v>0.0</v>
      </c>
      <c r="X5236" s="235" t="s">
        <v>628</v>
      </c>
      <c r="Z5236" s="245"/>
      <c r="AA5236" s="245"/>
      <c r="AB5236" s="245"/>
      <c r="AC5236" s="235" t="s">
        <v>1206</v>
      </c>
      <c r="AD5236" s="235" t="s">
        <v>679</v>
      </c>
      <c r="AE5236" s="238">
        <v>560075.0</v>
      </c>
      <c r="AF5236" s="235" t="s">
        <v>631</v>
      </c>
      <c r="AG5236" s="245"/>
      <c r="AH5236" s="245"/>
      <c r="AI5236" s="245"/>
      <c r="AJ5236" s="245"/>
      <c r="AK5236" s="245"/>
      <c r="AL5236" s="245"/>
      <c r="AM5236" s="245"/>
      <c r="AN5236" s="245"/>
      <c r="AO5236" s="238">
        <v>0.0</v>
      </c>
      <c r="AP5236" s="238">
        <v>-18.1</v>
      </c>
      <c r="AQ5236" s="235" t="s">
        <v>632</v>
      </c>
      <c r="AR5236" s="243">
        <v>1.68E11</v>
      </c>
      <c r="AS5236" s="235" t="s">
        <v>38374</v>
      </c>
      <c r="AT5236" s="235" t="s">
        <v>11</v>
      </c>
      <c r="AU5236" s="235" t="s">
        <v>634</v>
      </c>
      <c r="AV5236" s="246" t="s">
        <v>635</v>
      </c>
      <c r="AW5236" s="227"/>
      <c r="AX5236" s="227"/>
      <c r="AY5236" s="227"/>
      <c r="AZ5236" s="227"/>
      <c r="BA5236" s="227"/>
      <c r="BB5236" s="227"/>
      <c r="BC5236" s="227"/>
      <c r="BD5236" s="227"/>
      <c r="BE5236" s="227"/>
      <c r="BF5236" s="227"/>
    </row>
    <row r="5237">
      <c r="A5237" s="235" t="s">
        <v>38552</v>
      </c>
      <c r="C5237" s="235" t="s">
        <v>38553</v>
      </c>
      <c r="D5237" s="235" t="s">
        <v>38554</v>
      </c>
      <c r="E5237" s="243">
        <v>6.49E13</v>
      </c>
      <c r="F5237" s="245"/>
      <c r="G5237" s="235" t="s">
        <v>38555</v>
      </c>
      <c r="H5237" s="235" t="s">
        <v>38556</v>
      </c>
      <c r="I5237" s="235" t="s">
        <v>38557</v>
      </c>
      <c r="J5237" s="235" t="s">
        <v>38558</v>
      </c>
      <c r="K5237" s="235" t="s">
        <v>38559</v>
      </c>
      <c r="N5237" s="235" t="s">
        <v>42</v>
      </c>
      <c r="O5237" s="235" t="s">
        <v>204</v>
      </c>
      <c r="P5237" s="238">
        <v>1.0</v>
      </c>
      <c r="Q5237" s="235" t="s">
        <v>627</v>
      </c>
      <c r="R5237" s="238">
        <v>237.14</v>
      </c>
      <c r="S5237" s="238">
        <v>11.86</v>
      </c>
      <c r="T5237" s="238">
        <v>0.0</v>
      </c>
      <c r="U5237" s="238">
        <v>0.0</v>
      </c>
      <c r="V5237" s="238">
        <v>0.0</v>
      </c>
      <c r="W5237" s="238">
        <v>0.0</v>
      </c>
      <c r="X5237" s="235" t="s">
        <v>628</v>
      </c>
      <c r="Z5237" s="245"/>
      <c r="AA5237" s="245"/>
      <c r="AB5237" s="245"/>
      <c r="AC5237" s="235" t="s">
        <v>697</v>
      </c>
      <c r="AD5237" s="235" t="s">
        <v>698</v>
      </c>
      <c r="AE5237" s="238">
        <v>500068.0</v>
      </c>
      <c r="AF5237" s="235" t="s">
        <v>631</v>
      </c>
      <c r="AG5237" s="245"/>
      <c r="AH5237" s="245"/>
      <c r="AI5237" s="245"/>
      <c r="AJ5237" s="245"/>
      <c r="AK5237" s="245"/>
      <c r="AL5237" s="245"/>
      <c r="AM5237" s="245"/>
      <c r="AN5237" s="245"/>
      <c r="AO5237" s="238">
        <v>0.0</v>
      </c>
      <c r="AP5237" s="238">
        <v>0.0</v>
      </c>
      <c r="AQ5237" s="235" t="s">
        <v>632</v>
      </c>
      <c r="AR5237" s="243">
        <v>3.7E11</v>
      </c>
      <c r="AS5237" s="235" t="s">
        <v>36667</v>
      </c>
      <c r="AT5237" s="235" t="s">
        <v>546</v>
      </c>
      <c r="AU5237" s="235" t="s">
        <v>634</v>
      </c>
      <c r="AV5237" s="246" t="s">
        <v>635</v>
      </c>
      <c r="AW5237" s="227"/>
      <c r="AX5237" s="227"/>
      <c r="AY5237" s="227"/>
      <c r="AZ5237" s="227"/>
      <c r="BA5237" s="227"/>
      <c r="BB5237" s="227"/>
      <c r="BC5237" s="227"/>
      <c r="BD5237" s="227"/>
      <c r="BE5237" s="227"/>
      <c r="BF5237" s="227"/>
    </row>
    <row r="5238">
      <c r="A5238" s="235" t="s">
        <v>38560</v>
      </c>
      <c r="C5238" s="235" t="s">
        <v>38561</v>
      </c>
      <c r="D5238" s="235" t="s">
        <v>38562</v>
      </c>
      <c r="E5238" s="243">
        <v>6.48E13</v>
      </c>
      <c r="F5238" s="245"/>
      <c r="G5238" s="235" t="s">
        <v>38563</v>
      </c>
      <c r="H5238" s="235" t="s">
        <v>38564</v>
      </c>
      <c r="I5238" s="235" t="s">
        <v>38565</v>
      </c>
      <c r="J5238" s="235" t="s">
        <v>38566</v>
      </c>
      <c r="K5238" s="235" t="s">
        <v>38567</v>
      </c>
      <c r="N5238" s="235" t="s">
        <v>139</v>
      </c>
      <c r="O5238" s="235" t="s">
        <v>2091</v>
      </c>
      <c r="P5238" s="238">
        <v>1.0</v>
      </c>
      <c r="Q5238" s="235" t="s">
        <v>627</v>
      </c>
      <c r="R5238" s="238">
        <v>244.76</v>
      </c>
      <c r="S5238" s="238">
        <v>12.24</v>
      </c>
      <c r="T5238" s="238">
        <v>0.0</v>
      </c>
      <c r="U5238" s="238">
        <v>0.0</v>
      </c>
      <c r="V5238" s="238">
        <v>0.0</v>
      </c>
      <c r="W5238" s="238">
        <v>0.0</v>
      </c>
      <c r="X5238" s="235" t="s">
        <v>628</v>
      </c>
      <c r="Z5238" s="245"/>
      <c r="AA5238" s="245"/>
      <c r="AB5238" s="245"/>
      <c r="AC5238" s="235" t="s">
        <v>8997</v>
      </c>
      <c r="AD5238" s="235" t="s">
        <v>1086</v>
      </c>
      <c r="AE5238" s="238">
        <v>160059.0</v>
      </c>
      <c r="AF5238" s="235" t="s">
        <v>631</v>
      </c>
      <c r="AG5238" s="245"/>
      <c r="AH5238" s="245"/>
      <c r="AI5238" s="245"/>
      <c r="AJ5238" s="245"/>
      <c r="AK5238" s="245"/>
      <c r="AL5238" s="245"/>
      <c r="AM5238" s="245"/>
      <c r="AN5238" s="245"/>
      <c r="AO5238" s="238">
        <v>0.0</v>
      </c>
      <c r="AP5238" s="238">
        <v>0.0</v>
      </c>
      <c r="AQ5238" s="235" t="s">
        <v>632</v>
      </c>
      <c r="AR5238" s="243">
        <v>3.7E11</v>
      </c>
      <c r="AS5238" s="235" t="s">
        <v>36667</v>
      </c>
      <c r="AT5238" s="235" t="s">
        <v>14</v>
      </c>
      <c r="AU5238" s="235" t="s">
        <v>634</v>
      </c>
      <c r="AV5238" s="246" t="s">
        <v>635</v>
      </c>
      <c r="AW5238" s="227"/>
      <c r="AX5238" s="227"/>
      <c r="AY5238" s="227"/>
      <c r="AZ5238" s="227"/>
      <c r="BA5238" s="227"/>
      <c r="BB5238" s="227"/>
      <c r="BC5238" s="227"/>
      <c r="BD5238" s="227"/>
      <c r="BE5238" s="227"/>
      <c r="BF5238" s="227"/>
    </row>
    <row r="5239">
      <c r="A5239" s="235" t="s">
        <v>38568</v>
      </c>
      <c r="C5239" s="235" t="s">
        <v>38569</v>
      </c>
      <c r="D5239" s="235" t="s">
        <v>38570</v>
      </c>
      <c r="E5239" s="243">
        <v>6.49E13</v>
      </c>
      <c r="F5239" s="245"/>
      <c r="G5239" s="235" t="s">
        <v>38571</v>
      </c>
      <c r="H5239" s="235" t="s">
        <v>38572</v>
      </c>
      <c r="I5239" s="235" t="s">
        <v>38572</v>
      </c>
      <c r="J5239" s="235" t="s">
        <v>38573</v>
      </c>
      <c r="K5239" s="235" t="s">
        <v>38574</v>
      </c>
      <c r="N5239" s="235" t="s">
        <v>144</v>
      </c>
      <c r="O5239" s="235" t="s">
        <v>232</v>
      </c>
      <c r="P5239" s="238">
        <v>1.0</v>
      </c>
      <c r="Q5239" s="235" t="s">
        <v>627</v>
      </c>
      <c r="R5239" s="238">
        <v>665.71</v>
      </c>
      <c r="S5239" s="238">
        <v>33.29</v>
      </c>
      <c r="T5239" s="238">
        <v>0.0</v>
      </c>
      <c r="U5239" s="238">
        <v>0.0</v>
      </c>
      <c r="V5239" s="238">
        <v>0.0</v>
      </c>
      <c r="W5239" s="238">
        <v>0.0</v>
      </c>
      <c r="X5239" s="235" t="s">
        <v>628</v>
      </c>
      <c r="Z5239" s="245"/>
      <c r="AA5239" s="245"/>
      <c r="AB5239" s="245"/>
      <c r="AC5239" s="235" t="s">
        <v>822</v>
      </c>
      <c r="AD5239" s="235" t="s">
        <v>630</v>
      </c>
      <c r="AE5239" s="238">
        <v>201304.0</v>
      </c>
      <c r="AF5239" s="235" t="s">
        <v>631</v>
      </c>
      <c r="AG5239" s="245"/>
      <c r="AH5239" s="245"/>
      <c r="AI5239" s="245"/>
      <c r="AJ5239" s="245"/>
      <c r="AK5239" s="245"/>
      <c r="AL5239" s="245"/>
      <c r="AM5239" s="245"/>
      <c r="AN5239" s="245"/>
      <c r="AO5239" s="238">
        <v>0.0</v>
      </c>
      <c r="AP5239" s="238">
        <v>0.0</v>
      </c>
      <c r="AQ5239" s="235" t="s">
        <v>632</v>
      </c>
      <c r="AR5239" s="243">
        <v>1.68E11</v>
      </c>
      <c r="AS5239" s="235" t="s">
        <v>38374</v>
      </c>
      <c r="AT5239" s="235" t="s">
        <v>13</v>
      </c>
      <c r="AU5239" s="235" t="s">
        <v>634</v>
      </c>
      <c r="AV5239" s="246" t="s">
        <v>635</v>
      </c>
      <c r="AW5239" s="227"/>
      <c r="AX5239" s="227"/>
      <c r="AY5239" s="227"/>
      <c r="AZ5239" s="227"/>
      <c r="BA5239" s="227"/>
      <c r="BB5239" s="227"/>
      <c r="BC5239" s="227"/>
      <c r="BD5239" s="227"/>
      <c r="BE5239" s="227"/>
      <c r="BF5239" s="227"/>
    </row>
    <row r="5240">
      <c r="A5240" s="235" t="s">
        <v>38575</v>
      </c>
      <c r="C5240" s="235" t="s">
        <v>38576</v>
      </c>
      <c r="D5240" s="235" t="s">
        <v>38577</v>
      </c>
      <c r="E5240" s="243">
        <v>6.48E13</v>
      </c>
      <c r="F5240" s="245"/>
      <c r="G5240" s="235" t="s">
        <v>38578</v>
      </c>
      <c r="H5240" s="235" t="s">
        <v>38579</v>
      </c>
      <c r="I5240" s="235" t="s">
        <v>38579</v>
      </c>
      <c r="J5240" s="235" t="s">
        <v>38580</v>
      </c>
      <c r="K5240" s="235" t="s">
        <v>38581</v>
      </c>
      <c r="N5240" s="235" t="s">
        <v>144</v>
      </c>
      <c r="O5240" s="235" t="s">
        <v>232</v>
      </c>
      <c r="P5240" s="238">
        <v>1.0</v>
      </c>
      <c r="Q5240" s="235" t="s">
        <v>627</v>
      </c>
      <c r="R5240" s="238">
        <v>665.71</v>
      </c>
      <c r="S5240" s="238">
        <v>32.62</v>
      </c>
      <c r="T5240" s="238">
        <v>0.0</v>
      </c>
      <c r="U5240" s="238">
        <v>0.0</v>
      </c>
      <c r="V5240" s="238">
        <v>0.0</v>
      </c>
      <c r="W5240" s="238">
        <v>0.0</v>
      </c>
      <c r="X5240" s="235" t="s">
        <v>628</v>
      </c>
      <c r="Z5240" s="245"/>
      <c r="AA5240" s="245"/>
      <c r="AB5240" s="245"/>
      <c r="AC5240" s="235" t="s">
        <v>1182</v>
      </c>
      <c r="AD5240" s="235" t="s">
        <v>833</v>
      </c>
      <c r="AE5240" s="238">
        <v>531163.0</v>
      </c>
      <c r="AF5240" s="235" t="s">
        <v>631</v>
      </c>
      <c r="AG5240" s="245"/>
      <c r="AH5240" s="245"/>
      <c r="AI5240" s="245"/>
      <c r="AJ5240" s="245"/>
      <c r="AK5240" s="245"/>
      <c r="AL5240" s="245"/>
      <c r="AM5240" s="245"/>
      <c r="AN5240" s="245"/>
      <c r="AO5240" s="238">
        <v>-13.31</v>
      </c>
      <c r="AP5240" s="238">
        <v>0.0</v>
      </c>
      <c r="AQ5240" s="235" t="s">
        <v>632</v>
      </c>
      <c r="AR5240" s="243">
        <v>3.7E11</v>
      </c>
      <c r="AS5240" s="235" t="s">
        <v>34510</v>
      </c>
      <c r="AT5240" s="235" t="s">
        <v>16</v>
      </c>
      <c r="AU5240" s="235" t="s">
        <v>634</v>
      </c>
      <c r="AV5240" s="246" t="s">
        <v>635</v>
      </c>
      <c r="AW5240" s="227"/>
      <c r="AX5240" s="227"/>
      <c r="AY5240" s="227"/>
      <c r="AZ5240" s="227"/>
      <c r="BA5240" s="227"/>
      <c r="BB5240" s="227"/>
      <c r="BC5240" s="227"/>
      <c r="BD5240" s="227"/>
      <c r="BE5240" s="227"/>
      <c r="BF5240" s="227"/>
    </row>
    <row r="5241">
      <c r="A5241" s="235" t="s">
        <v>38582</v>
      </c>
      <c r="C5241" s="235" t="s">
        <v>38583</v>
      </c>
      <c r="D5241" s="235" t="s">
        <v>38584</v>
      </c>
      <c r="E5241" s="243">
        <v>6.49E13</v>
      </c>
      <c r="F5241" s="245"/>
      <c r="G5241" s="235" t="s">
        <v>38585</v>
      </c>
      <c r="H5241" s="235" t="s">
        <v>38586</v>
      </c>
      <c r="I5241" s="235" t="s">
        <v>38586</v>
      </c>
      <c r="J5241" s="235" t="s">
        <v>38587</v>
      </c>
      <c r="K5241" s="235" t="s">
        <v>38588</v>
      </c>
      <c r="N5241" s="235" t="s">
        <v>3875</v>
      </c>
      <c r="O5241" s="235" t="s">
        <v>3876</v>
      </c>
      <c r="P5241" s="238">
        <v>1.0</v>
      </c>
      <c r="Q5241" s="235" t="s">
        <v>627</v>
      </c>
      <c r="R5241" s="238">
        <v>207.62</v>
      </c>
      <c r="S5241" s="238">
        <v>10.38</v>
      </c>
      <c r="T5241" s="238">
        <v>0.0</v>
      </c>
      <c r="U5241" s="238">
        <v>0.0</v>
      </c>
      <c r="V5241" s="238">
        <v>0.0</v>
      </c>
      <c r="W5241" s="238">
        <v>0.0</v>
      </c>
      <c r="X5241" s="235" t="s">
        <v>628</v>
      </c>
      <c r="Z5241" s="245"/>
      <c r="AA5241" s="245"/>
      <c r="AB5241" s="245"/>
      <c r="AC5241" s="235" t="s">
        <v>629</v>
      </c>
      <c r="AD5241" s="235" t="s">
        <v>630</v>
      </c>
      <c r="AE5241" s="238">
        <v>201301.0</v>
      </c>
      <c r="AF5241" s="235" t="s">
        <v>631</v>
      </c>
      <c r="AG5241" s="245"/>
      <c r="AH5241" s="245"/>
      <c r="AI5241" s="245"/>
      <c r="AJ5241" s="245"/>
      <c r="AK5241" s="245"/>
      <c r="AL5241" s="245"/>
      <c r="AM5241" s="245"/>
      <c r="AN5241" s="245"/>
      <c r="AO5241" s="238">
        <v>0.0</v>
      </c>
      <c r="AP5241" s="238">
        <v>0.0</v>
      </c>
      <c r="AQ5241" s="235" t="s">
        <v>632</v>
      </c>
      <c r="AR5241" s="243">
        <v>1.68E11</v>
      </c>
      <c r="AS5241" s="235" t="s">
        <v>38374</v>
      </c>
      <c r="AT5241" s="235" t="s">
        <v>533</v>
      </c>
      <c r="AU5241" s="235" t="s">
        <v>634</v>
      </c>
      <c r="AV5241" s="246" t="s">
        <v>635</v>
      </c>
      <c r="AW5241" s="227"/>
      <c r="AX5241" s="227"/>
      <c r="AY5241" s="227"/>
      <c r="AZ5241" s="227"/>
      <c r="BA5241" s="227"/>
      <c r="BB5241" s="227"/>
      <c r="BC5241" s="227"/>
      <c r="BD5241" s="227"/>
      <c r="BE5241" s="227"/>
      <c r="BF5241" s="227"/>
    </row>
    <row r="5242">
      <c r="A5242" s="235" t="s">
        <v>38589</v>
      </c>
      <c r="C5242" s="235" t="s">
        <v>38590</v>
      </c>
      <c r="D5242" s="235" t="s">
        <v>38591</v>
      </c>
      <c r="E5242" s="243">
        <v>6.48E13</v>
      </c>
      <c r="F5242" s="245"/>
      <c r="G5242" s="235" t="s">
        <v>38592</v>
      </c>
      <c r="H5242" s="235" t="s">
        <v>38593</v>
      </c>
      <c r="I5242" s="235" t="s">
        <v>38593</v>
      </c>
      <c r="J5242" s="235" t="s">
        <v>38594</v>
      </c>
      <c r="K5242" s="235" t="s">
        <v>38595</v>
      </c>
      <c r="N5242" s="235" t="s">
        <v>42</v>
      </c>
      <c r="O5242" s="235" t="s">
        <v>204</v>
      </c>
      <c r="P5242" s="238">
        <v>1.0</v>
      </c>
      <c r="Q5242" s="235" t="s">
        <v>627</v>
      </c>
      <c r="R5242" s="238">
        <v>237.14</v>
      </c>
      <c r="S5242" s="238">
        <v>11.86</v>
      </c>
      <c r="T5242" s="238">
        <v>38.1</v>
      </c>
      <c r="U5242" s="238">
        <v>1.9</v>
      </c>
      <c r="V5242" s="238">
        <v>0.0</v>
      </c>
      <c r="W5242" s="238">
        <v>0.0</v>
      </c>
      <c r="X5242" s="235" t="s">
        <v>628</v>
      </c>
      <c r="Z5242" s="245"/>
      <c r="AA5242" s="245"/>
      <c r="AB5242" s="245"/>
      <c r="AC5242" s="235" t="s">
        <v>19218</v>
      </c>
      <c r="AD5242" s="235" t="s">
        <v>666</v>
      </c>
      <c r="AE5242" s="238">
        <v>609105.0</v>
      </c>
      <c r="AF5242" s="235" t="s">
        <v>631</v>
      </c>
      <c r="AG5242" s="245"/>
      <c r="AH5242" s="245"/>
      <c r="AI5242" s="245"/>
      <c r="AJ5242" s="245"/>
      <c r="AK5242" s="245"/>
      <c r="AL5242" s="245"/>
      <c r="AM5242" s="245"/>
      <c r="AN5242" s="245"/>
      <c r="AO5242" s="238">
        <v>0.0</v>
      </c>
      <c r="AP5242" s="238">
        <v>-38.1</v>
      </c>
      <c r="AQ5242" s="235" t="s">
        <v>632</v>
      </c>
      <c r="AR5242" s="243">
        <v>3.7E11</v>
      </c>
      <c r="AS5242" s="235" t="s">
        <v>35520</v>
      </c>
      <c r="AT5242" s="235" t="s">
        <v>156</v>
      </c>
      <c r="AU5242" s="235" t="s">
        <v>634</v>
      </c>
      <c r="AV5242" s="246" t="s">
        <v>635</v>
      </c>
      <c r="AW5242" s="227"/>
      <c r="AX5242" s="227"/>
      <c r="AY5242" s="227"/>
      <c r="AZ5242" s="227"/>
      <c r="BA5242" s="227"/>
      <c r="BB5242" s="227"/>
      <c r="BC5242" s="227"/>
      <c r="BD5242" s="227"/>
      <c r="BE5242" s="227"/>
      <c r="BF5242" s="227"/>
    </row>
    <row r="5243">
      <c r="A5243" s="235" t="s">
        <v>38596</v>
      </c>
      <c r="C5243" s="235" t="s">
        <v>38597</v>
      </c>
      <c r="D5243" s="235" t="s">
        <v>38598</v>
      </c>
      <c r="E5243" s="243">
        <v>6.49E13</v>
      </c>
      <c r="F5243" s="245"/>
      <c r="G5243" s="235" t="s">
        <v>38599</v>
      </c>
      <c r="H5243" s="235" t="s">
        <v>38600</v>
      </c>
      <c r="I5243" s="235" t="s">
        <v>38600</v>
      </c>
      <c r="J5243" s="235" t="s">
        <v>38601</v>
      </c>
      <c r="K5243" s="235" t="s">
        <v>38602</v>
      </c>
      <c r="N5243" s="235" t="s">
        <v>82</v>
      </c>
      <c r="O5243" s="235" t="s">
        <v>889</v>
      </c>
      <c r="P5243" s="238">
        <v>1.0</v>
      </c>
      <c r="Q5243" s="235" t="s">
        <v>627</v>
      </c>
      <c r="R5243" s="238">
        <v>243.81</v>
      </c>
      <c r="S5243" s="238">
        <v>12.19</v>
      </c>
      <c r="T5243" s="238">
        <v>0.0</v>
      </c>
      <c r="U5243" s="238">
        <v>0.0</v>
      </c>
      <c r="V5243" s="238">
        <v>0.0</v>
      </c>
      <c r="W5243" s="238">
        <v>0.0</v>
      </c>
      <c r="X5243" s="235" t="s">
        <v>628</v>
      </c>
      <c r="Z5243" s="245"/>
      <c r="AA5243" s="245"/>
      <c r="AB5243" s="245"/>
      <c r="AC5243" s="235" t="s">
        <v>19680</v>
      </c>
      <c r="AD5243" s="235" t="s">
        <v>3113</v>
      </c>
      <c r="AE5243" s="238">
        <v>490006.0</v>
      </c>
      <c r="AF5243" s="235" t="s">
        <v>631</v>
      </c>
      <c r="AG5243" s="245"/>
      <c r="AH5243" s="245"/>
      <c r="AI5243" s="245"/>
      <c r="AJ5243" s="245"/>
      <c r="AK5243" s="245"/>
      <c r="AL5243" s="245"/>
      <c r="AM5243" s="245"/>
      <c r="AN5243" s="245"/>
      <c r="AO5243" s="238">
        <v>0.0</v>
      </c>
      <c r="AP5243" s="238">
        <v>0.0</v>
      </c>
      <c r="AQ5243" s="235" t="s">
        <v>632</v>
      </c>
      <c r="AR5243" s="243">
        <v>3.7E11</v>
      </c>
      <c r="AS5243" s="235" t="s">
        <v>34510</v>
      </c>
      <c r="AT5243" s="235" t="s">
        <v>17</v>
      </c>
      <c r="AU5243" s="235" t="s">
        <v>634</v>
      </c>
      <c r="AV5243" s="246" t="s">
        <v>635</v>
      </c>
      <c r="AW5243" s="227"/>
      <c r="AX5243" s="227"/>
      <c r="AY5243" s="227"/>
      <c r="AZ5243" s="227"/>
      <c r="BA5243" s="227"/>
      <c r="BB5243" s="227"/>
      <c r="BC5243" s="227"/>
      <c r="BD5243" s="227"/>
      <c r="BE5243" s="227"/>
      <c r="BF5243" s="227"/>
    </row>
    <row r="5244">
      <c r="A5244" s="235" t="s">
        <v>38603</v>
      </c>
      <c r="C5244" s="235" t="s">
        <v>38604</v>
      </c>
      <c r="D5244" s="235" t="s">
        <v>38605</v>
      </c>
      <c r="E5244" s="243">
        <v>6.48E13</v>
      </c>
      <c r="F5244" s="245"/>
      <c r="G5244" s="235" t="s">
        <v>38606</v>
      </c>
      <c r="H5244" s="235" t="s">
        <v>38607</v>
      </c>
      <c r="I5244" s="235" t="s">
        <v>38608</v>
      </c>
      <c r="J5244" s="235" t="s">
        <v>38609</v>
      </c>
      <c r="K5244" s="235" t="s">
        <v>38610</v>
      </c>
      <c r="N5244" s="235" t="s">
        <v>134</v>
      </c>
      <c r="O5244" s="235" t="s">
        <v>314</v>
      </c>
      <c r="P5244" s="238">
        <v>1.0</v>
      </c>
      <c r="Q5244" s="235" t="s">
        <v>627</v>
      </c>
      <c r="R5244" s="238">
        <v>244.76</v>
      </c>
      <c r="S5244" s="238">
        <v>12.0</v>
      </c>
      <c r="T5244" s="238">
        <v>0.0</v>
      </c>
      <c r="U5244" s="238">
        <v>0.0</v>
      </c>
      <c r="V5244" s="238">
        <v>0.0</v>
      </c>
      <c r="W5244" s="238">
        <v>0.0</v>
      </c>
      <c r="X5244" s="235" t="s">
        <v>628</v>
      </c>
      <c r="Z5244" s="245"/>
      <c r="AA5244" s="245"/>
      <c r="AB5244" s="245"/>
      <c r="AC5244" s="235" t="s">
        <v>20560</v>
      </c>
      <c r="AD5244" s="235" t="s">
        <v>1151</v>
      </c>
      <c r="AE5244" s="238">
        <v>721305.0</v>
      </c>
      <c r="AF5244" s="235" t="s">
        <v>631</v>
      </c>
      <c r="AG5244" s="245"/>
      <c r="AH5244" s="245"/>
      <c r="AI5244" s="245"/>
      <c r="AJ5244" s="245"/>
      <c r="AK5244" s="245"/>
      <c r="AL5244" s="245"/>
      <c r="AM5244" s="245"/>
      <c r="AN5244" s="245"/>
      <c r="AO5244" s="238">
        <v>-4.9</v>
      </c>
      <c r="AP5244" s="238">
        <v>0.0</v>
      </c>
      <c r="AQ5244" s="235" t="s">
        <v>632</v>
      </c>
      <c r="AR5244" s="243">
        <v>3.7E11</v>
      </c>
      <c r="AS5244" s="235" t="s">
        <v>34510</v>
      </c>
      <c r="AT5244" s="235" t="s">
        <v>14</v>
      </c>
      <c r="AU5244" s="235" t="s">
        <v>634</v>
      </c>
      <c r="AV5244" s="246" t="s">
        <v>635</v>
      </c>
      <c r="AW5244" s="227"/>
      <c r="AX5244" s="227"/>
      <c r="AY5244" s="227"/>
      <c r="AZ5244" s="227"/>
      <c r="BA5244" s="227"/>
      <c r="BB5244" s="227"/>
      <c r="BC5244" s="227"/>
      <c r="BD5244" s="227"/>
      <c r="BE5244" s="227"/>
      <c r="BF5244" s="227"/>
    </row>
    <row r="5245">
      <c r="A5245" s="235" t="s">
        <v>38611</v>
      </c>
      <c r="C5245" s="235" t="s">
        <v>38612</v>
      </c>
      <c r="D5245" s="235" t="s">
        <v>38613</v>
      </c>
      <c r="E5245" s="243">
        <v>6.49E13</v>
      </c>
      <c r="F5245" s="245"/>
      <c r="G5245" s="235" t="s">
        <v>38614</v>
      </c>
      <c r="H5245" s="235" t="s">
        <v>38615</v>
      </c>
      <c r="I5245" s="235" t="s">
        <v>38615</v>
      </c>
      <c r="J5245" s="235" t="s">
        <v>38616</v>
      </c>
      <c r="K5245" s="235" t="s">
        <v>38617</v>
      </c>
      <c r="N5245" s="235" t="s">
        <v>41</v>
      </c>
      <c r="O5245" s="235" t="s">
        <v>291</v>
      </c>
      <c r="P5245" s="238">
        <v>1.0</v>
      </c>
      <c r="Q5245" s="235" t="s">
        <v>627</v>
      </c>
      <c r="R5245" s="238">
        <v>237.14</v>
      </c>
      <c r="S5245" s="238">
        <v>11.86</v>
      </c>
      <c r="T5245" s="238">
        <v>0.0</v>
      </c>
      <c r="U5245" s="238">
        <v>0.0</v>
      </c>
      <c r="V5245" s="238">
        <v>0.0</v>
      </c>
      <c r="W5245" s="238">
        <v>0.0</v>
      </c>
      <c r="X5245" s="235" t="s">
        <v>628</v>
      </c>
      <c r="Z5245" s="245"/>
      <c r="AA5245" s="245"/>
      <c r="AB5245" s="245"/>
      <c r="AC5245" s="235" t="s">
        <v>687</v>
      </c>
      <c r="AD5245" s="235" t="s">
        <v>666</v>
      </c>
      <c r="AE5245" s="238">
        <v>600077.0</v>
      </c>
      <c r="AF5245" s="235" t="s">
        <v>631</v>
      </c>
      <c r="AG5245" s="245"/>
      <c r="AH5245" s="245"/>
      <c r="AI5245" s="245"/>
      <c r="AJ5245" s="245"/>
      <c r="AK5245" s="245"/>
      <c r="AL5245" s="245"/>
      <c r="AM5245" s="245"/>
      <c r="AN5245" s="245"/>
      <c r="AO5245" s="238">
        <v>0.0</v>
      </c>
      <c r="AP5245" s="238">
        <v>0.0</v>
      </c>
      <c r="AQ5245" s="235" t="s">
        <v>632</v>
      </c>
      <c r="AR5245" s="243">
        <v>3.7E11</v>
      </c>
      <c r="AS5245" s="235" t="s">
        <v>37983</v>
      </c>
      <c r="AT5245" s="235" t="s">
        <v>156</v>
      </c>
      <c r="AU5245" s="235" t="s">
        <v>634</v>
      </c>
      <c r="AV5245" s="246" t="s">
        <v>635</v>
      </c>
      <c r="AW5245" s="227"/>
      <c r="AX5245" s="227"/>
      <c r="AY5245" s="227"/>
      <c r="AZ5245" s="227"/>
      <c r="BA5245" s="227"/>
      <c r="BB5245" s="227"/>
      <c r="BC5245" s="227"/>
      <c r="BD5245" s="227"/>
      <c r="BE5245" s="227"/>
      <c r="BF5245" s="227"/>
    </row>
    <row r="5246">
      <c r="A5246" s="235" t="s">
        <v>38618</v>
      </c>
      <c r="C5246" s="235" t="s">
        <v>38619</v>
      </c>
      <c r="D5246" s="235" t="s">
        <v>38620</v>
      </c>
      <c r="E5246" s="243">
        <v>6.48E13</v>
      </c>
      <c r="F5246" s="245"/>
      <c r="G5246" s="235" t="s">
        <v>38621</v>
      </c>
      <c r="H5246" s="235" t="s">
        <v>38622</v>
      </c>
      <c r="I5246" s="235" t="s">
        <v>38622</v>
      </c>
      <c r="J5246" s="235" t="s">
        <v>38623</v>
      </c>
      <c r="K5246" s="235" t="s">
        <v>38624</v>
      </c>
      <c r="N5246" s="235" t="s">
        <v>0</v>
      </c>
      <c r="O5246" s="235" t="s">
        <v>740</v>
      </c>
      <c r="P5246" s="238">
        <v>1.0</v>
      </c>
      <c r="Q5246" s="235" t="s">
        <v>627</v>
      </c>
      <c r="R5246" s="238">
        <v>265.72</v>
      </c>
      <c r="S5246" s="238">
        <v>12.88</v>
      </c>
      <c r="T5246" s="238">
        <v>0.0</v>
      </c>
      <c r="U5246" s="238">
        <v>0.0</v>
      </c>
      <c r="V5246" s="238">
        <v>0.0</v>
      </c>
      <c r="W5246" s="238">
        <v>0.0</v>
      </c>
      <c r="X5246" s="235" t="s">
        <v>628</v>
      </c>
      <c r="Z5246" s="245"/>
      <c r="AA5246" s="245"/>
      <c r="AB5246" s="245"/>
      <c r="AC5246" s="235" t="s">
        <v>38625</v>
      </c>
      <c r="AD5246" s="235" t="s">
        <v>845</v>
      </c>
      <c r="AE5246" s="238">
        <v>431605.0</v>
      </c>
      <c r="AF5246" s="235" t="s">
        <v>631</v>
      </c>
      <c r="AG5246" s="245"/>
      <c r="AH5246" s="245"/>
      <c r="AI5246" s="245"/>
      <c r="AJ5246" s="245"/>
      <c r="AK5246" s="245"/>
      <c r="AL5246" s="245"/>
      <c r="AM5246" s="245"/>
      <c r="AN5246" s="245"/>
      <c r="AO5246" s="238">
        <v>-7.97</v>
      </c>
      <c r="AP5246" s="238">
        <v>0.0</v>
      </c>
      <c r="AQ5246" s="235" t="s">
        <v>632</v>
      </c>
      <c r="AR5246" s="243">
        <v>1.68E11</v>
      </c>
      <c r="AS5246" s="235" t="s">
        <v>36667</v>
      </c>
      <c r="AT5246" s="235" t="s">
        <v>16</v>
      </c>
      <c r="AU5246" s="235" t="s">
        <v>634</v>
      </c>
      <c r="AV5246" s="246" t="s">
        <v>635</v>
      </c>
      <c r="AW5246" s="227"/>
      <c r="AX5246" s="227"/>
      <c r="AY5246" s="227"/>
      <c r="AZ5246" s="227"/>
      <c r="BA5246" s="227"/>
      <c r="BB5246" s="227"/>
      <c r="BC5246" s="227"/>
      <c r="BD5246" s="227"/>
      <c r="BE5246" s="227"/>
      <c r="BF5246" s="227"/>
    </row>
    <row r="5247">
      <c r="A5247" s="235" t="s">
        <v>38618</v>
      </c>
      <c r="C5247" s="235" t="s">
        <v>38619</v>
      </c>
      <c r="D5247" s="235" t="s">
        <v>38626</v>
      </c>
      <c r="E5247" s="243">
        <v>6.48E13</v>
      </c>
      <c r="F5247" s="245"/>
      <c r="G5247" s="235" t="s">
        <v>38621</v>
      </c>
      <c r="H5247" s="235" t="s">
        <v>38622</v>
      </c>
      <c r="I5247" s="235" t="s">
        <v>38622</v>
      </c>
      <c r="J5247" s="235" t="s">
        <v>38623</v>
      </c>
      <c r="K5247" s="235" t="s">
        <v>38624</v>
      </c>
      <c r="N5247" s="235" t="s">
        <v>19</v>
      </c>
      <c r="O5247" s="235" t="s">
        <v>571</v>
      </c>
      <c r="P5247" s="238">
        <v>1.0</v>
      </c>
      <c r="Q5247" s="235" t="s">
        <v>627</v>
      </c>
      <c r="R5247" s="238">
        <v>360.96</v>
      </c>
      <c r="S5247" s="238">
        <v>17.5</v>
      </c>
      <c r="T5247" s="238">
        <v>0.0</v>
      </c>
      <c r="U5247" s="238">
        <v>0.0</v>
      </c>
      <c r="V5247" s="238">
        <v>0.0</v>
      </c>
      <c r="W5247" s="238">
        <v>0.0</v>
      </c>
      <c r="X5247" s="235" t="s">
        <v>628</v>
      </c>
      <c r="Z5247" s="245"/>
      <c r="AA5247" s="245"/>
      <c r="AB5247" s="245"/>
      <c r="AC5247" s="235" t="s">
        <v>38625</v>
      </c>
      <c r="AD5247" s="235" t="s">
        <v>845</v>
      </c>
      <c r="AE5247" s="238">
        <v>431605.0</v>
      </c>
      <c r="AF5247" s="235" t="s">
        <v>631</v>
      </c>
      <c r="AG5247" s="245"/>
      <c r="AH5247" s="245"/>
      <c r="AI5247" s="245"/>
      <c r="AJ5247" s="245"/>
      <c r="AK5247" s="245"/>
      <c r="AL5247" s="245"/>
      <c r="AM5247" s="245"/>
      <c r="AN5247" s="245"/>
      <c r="AO5247" s="238">
        <v>-10.83</v>
      </c>
      <c r="AP5247" s="238">
        <v>0.0</v>
      </c>
      <c r="AQ5247" s="235" t="s">
        <v>632</v>
      </c>
      <c r="AR5247" s="243">
        <v>1.68E11</v>
      </c>
      <c r="AS5247" s="235" t="s">
        <v>36667</v>
      </c>
      <c r="AT5247" s="235" t="s">
        <v>16</v>
      </c>
      <c r="AU5247" s="235" t="s">
        <v>634</v>
      </c>
      <c r="AV5247" s="246" t="s">
        <v>635</v>
      </c>
      <c r="AW5247" s="227"/>
      <c r="AX5247" s="227"/>
      <c r="AY5247" s="227"/>
      <c r="AZ5247" s="227"/>
      <c r="BA5247" s="227"/>
      <c r="BB5247" s="227"/>
      <c r="BC5247" s="227"/>
      <c r="BD5247" s="227"/>
      <c r="BE5247" s="227"/>
      <c r="BF5247" s="227"/>
    </row>
    <row r="5248">
      <c r="A5248" s="235" t="s">
        <v>38627</v>
      </c>
      <c r="C5248" s="235" t="s">
        <v>38628</v>
      </c>
      <c r="D5248" s="235" t="s">
        <v>38629</v>
      </c>
      <c r="E5248" s="243">
        <v>6.49E13</v>
      </c>
      <c r="F5248" s="245"/>
      <c r="G5248" s="235" t="s">
        <v>38630</v>
      </c>
      <c r="H5248" s="235" t="s">
        <v>38631</v>
      </c>
      <c r="I5248" s="235" t="s">
        <v>38632</v>
      </c>
      <c r="J5248" s="235" t="s">
        <v>38633</v>
      </c>
      <c r="K5248" s="235" t="s">
        <v>38634</v>
      </c>
      <c r="N5248" s="235" t="s">
        <v>82</v>
      </c>
      <c r="O5248" s="235" t="s">
        <v>889</v>
      </c>
      <c r="P5248" s="238">
        <v>1.0</v>
      </c>
      <c r="Q5248" s="235" t="s">
        <v>627</v>
      </c>
      <c r="R5248" s="238">
        <v>243.81</v>
      </c>
      <c r="S5248" s="238">
        <v>12.19</v>
      </c>
      <c r="T5248" s="238">
        <v>0.0</v>
      </c>
      <c r="U5248" s="238">
        <v>0.0</v>
      </c>
      <c r="V5248" s="238">
        <v>0.0</v>
      </c>
      <c r="W5248" s="238">
        <v>0.0</v>
      </c>
      <c r="X5248" s="235" t="s">
        <v>628</v>
      </c>
      <c r="Z5248" s="245"/>
      <c r="AA5248" s="245"/>
      <c r="AB5248" s="245"/>
      <c r="AC5248" s="235" t="s">
        <v>697</v>
      </c>
      <c r="AD5248" s="235" t="s">
        <v>698</v>
      </c>
      <c r="AE5248" s="238">
        <v>500084.0</v>
      </c>
      <c r="AF5248" s="235" t="s">
        <v>631</v>
      </c>
      <c r="AG5248" s="245"/>
      <c r="AH5248" s="245"/>
      <c r="AI5248" s="245"/>
      <c r="AJ5248" s="245"/>
      <c r="AK5248" s="245"/>
      <c r="AL5248" s="245"/>
      <c r="AM5248" s="245"/>
      <c r="AN5248" s="245"/>
      <c r="AO5248" s="238">
        <v>0.0</v>
      </c>
      <c r="AP5248" s="238">
        <v>0.0</v>
      </c>
      <c r="AQ5248" s="235" t="s">
        <v>632</v>
      </c>
      <c r="AR5248" s="243">
        <v>2.02E11</v>
      </c>
      <c r="AS5248" s="235" t="s">
        <v>37983</v>
      </c>
      <c r="AT5248" s="235" t="s">
        <v>9</v>
      </c>
      <c r="AU5248" s="235" t="s">
        <v>634</v>
      </c>
      <c r="AV5248" s="246" t="s">
        <v>635</v>
      </c>
      <c r="AW5248" s="227"/>
      <c r="AX5248" s="227"/>
      <c r="AY5248" s="227"/>
      <c r="AZ5248" s="227"/>
      <c r="BA5248" s="227"/>
      <c r="BB5248" s="227"/>
      <c r="BC5248" s="227"/>
      <c r="BD5248" s="227"/>
      <c r="BE5248" s="227"/>
      <c r="BF5248" s="227"/>
    </row>
    <row r="5249">
      <c r="A5249" s="235" t="s">
        <v>38635</v>
      </c>
      <c r="C5249" s="235" t="s">
        <v>38636</v>
      </c>
      <c r="D5249" s="235" t="s">
        <v>38637</v>
      </c>
      <c r="E5249" s="243">
        <v>6.49E13</v>
      </c>
      <c r="F5249" s="245"/>
      <c r="G5249" s="235" t="s">
        <v>38638</v>
      </c>
      <c r="H5249" s="235" t="s">
        <v>38639</v>
      </c>
      <c r="I5249" s="235" t="s">
        <v>38640</v>
      </c>
      <c r="J5249" s="235" t="s">
        <v>38641</v>
      </c>
      <c r="K5249" s="235" t="s">
        <v>38642</v>
      </c>
      <c r="N5249" s="235" t="s">
        <v>145</v>
      </c>
      <c r="O5249" s="235" t="s">
        <v>370</v>
      </c>
      <c r="P5249" s="238">
        <v>1.0</v>
      </c>
      <c r="Q5249" s="235" t="s">
        <v>627</v>
      </c>
      <c r="R5249" s="238">
        <v>1522.86</v>
      </c>
      <c r="S5249" s="238">
        <v>76.14</v>
      </c>
      <c r="T5249" s="238">
        <v>0.0</v>
      </c>
      <c r="U5249" s="238">
        <v>0.0</v>
      </c>
      <c r="V5249" s="238">
        <v>0.0</v>
      </c>
      <c r="W5249" s="238">
        <v>0.0</v>
      </c>
      <c r="X5249" s="235" t="s">
        <v>628</v>
      </c>
      <c r="Z5249" s="245"/>
      <c r="AA5249" s="245"/>
      <c r="AB5249" s="245"/>
      <c r="AC5249" s="235" t="s">
        <v>1058</v>
      </c>
      <c r="AD5249" s="235" t="s">
        <v>845</v>
      </c>
      <c r="AE5249" s="238">
        <v>400088.0</v>
      </c>
      <c r="AF5249" s="235" t="s">
        <v>631</v>
      </c>
      <c r="AG5249" s="245"/>
      <c r="AH5249" s="245"/>
      <c r="AI5249" s="245"/>
      <c r="AJ5249" s="245"/>
      <c r="AK5249" s="245"/>
      <c r="AL5249" s="245"/>
      <c r="AM5249" s="245"/>
      <c r="AN5249" s="245"/>
      <c r="AO5249" s="238">
        <v>0.0</v>
      </c>
      <c r="AP5249" s="238">
        <v>0.0</v>
      </c>
      <c r="AQ5249" s="235" t="s">
        <v>632</v>
      </c>
      <c r="AR5249" s="243">
        <v>1.68E11</v>
      </c>
      <c r="AS5249" s="235" t="s">
        <v>37983</v>
      </c>
      <c r="AT5249" s="235" t="s">
        <v>17</v>
      </c>
      <c r="AU5249" s="235" t="s">
        <v>634</v>
      </c>
      <c r="AV5249" s="246" t="s">
        <v>635</v>
      </c>
      <c r="AW5249" s="227"/>
      <c r="AX5249" s="227"/>
      <c r="AY5249" s="227"/>
      <c r="AZ5249" s="227"/>
      <c r="BA5249" s="227"/>
      <c r="BB5249" s="227"/>
      <c r="BC5249" s="227"/>
      <c r="BD5249" s="227"/>
      <c r="BE5249" s="227"/>
      <c r="BF5249" s="227"/>
    </row>
    <row r="5250">
      <c r="A5250" s="235" t="s">
        <v>38643</v>
      </c>
      <c r="C5250" s="235" t="s">
        <v>38644</v>
      </c>
      <c r="D5250" s="235" t="s">
        <v>38645</v>
      </c>
      <c r="E5250" s="243">
        <v>6.49E13</v>
      </c>
      <c r="F5250" s="245"/>
      <c r="G5250" s="235" t="s">
        <v>38646</v>
      </c>
      <c r="H5250" s="235" t="s">
        <v>38647</v>
      </c>
      <c r="I5250" s="235" t="s">
        <v>38648</v>
      </c>
      <c r="J5250" s="235" t="s">
        <v>38649</v>
      </c>
      <c r="K5250" s="235" t="s">
        <v>38650</v>
      </c>
      <c r="N5250" s="235" t="s">
        <v>19</v>
      </c>
      <c r="O5250" s="235" t="s">
        <v>571</v>
      </c>
      <c r="P5250" s="238">
        <v>1.0</v>
      </c>
      <c r="Q5250" s="235" t="s">
        <v>627</v>
      </c>
      <c r="R5250" s="238">
        <v>360.95</v>
      </c>
      <c r="S5250" s="238">
        <v>17.51</v>
      </c>
      <c r="T5250" s="238">
        <v>0.0</v>
      </c>
      <c r="U5250" s="238">
        <v>0.0</v>
      </c>
      <c r="V5250" s="238">
        <v>0.0</v>
      </c>
      <c r="W5250" s="238">
        <v>0.0</v>
      </c>
      <c r="X5250" s="235" t="s">
        <v>628</v>
      </c>
      <c r="Z5250" s="245"/>
      <c r="AA5250" s="245"/>
      <c r="AB5250" s="245"/>
      <c r="AC5250" s="235" t="s">
        <v>678</v>
      </c>
      <c r="AD5250" s="235" t="s">
        <v>679</v>
      </c>
      <c r="AE5250" s="238">
        <v>560038.0</v>
      </c>
      <c r="AF5250" s="235" t="s">
        <v>631</v>
      </c>
      <c r="AG5250" s="245"/>
      <c r="AH5250" s="245"/>
      <c r="AI5250" s="245"/>
      <c r="AJ5250" s="245"/>
      <c r="AK5250" s="245"/>
      <c r="AL5250" s="245"/>
      <c r="AM5250" s="245"/>
      <c r="AN5250" s="245"/>
      <c r="AO5250" s="238">
        <v>-10.83</v>
      </c>
      <c r="AP5250" s="238">
        <v>0.0</v>
      </c>
      <c r="AQ5250" s="235" t="s">
        <v>632</v>
      </c>
      <c r="AR5250" s="243">
        <v>1.68E11</v>
      </c>
      <c r="AS5250" s="235" t="s">
        <v>37983</v>
      </c>
      <c r="AT5250" s="235" t="s">
        <v>156</v>
      </c>
      <c r="AU5250" s="235" t="s">
        <v>634</v>
      </c>
      <c r="AV5250" s="246" t="s">
        <v>635</v>
      </c>
      <c r="AW5250" s="227"/>
      <c r="AX5250" s="227"/>
      <c r="AY5250" s="227"/>
      <c r="AZ5250" s="227"/>
      <c r="BA5250" s="227"/>
      <c r="BB5250" s="227"/>
      <c r="BC5250" s="227"/>
      <c r="BD5250" s="227"/>
      <c r="BE5250" s="227"/>
      <c r="BF5250" s="227"/>
    </row>
    <row r="5251">
      <c r="A5251" s="235" t="s">
        <v>38643</v>
      </c>
      <c r="C5251" s="235" t="s">
        <v>38644</v>
      </c>
      <c r="D5251" s="235" t="s">
        <v>38651</v>
      </c>
      <c r="E5251" s="243">
        <v>6.49E13</v>
      </c>
      <c r="F5251" s="245"/>
      <c r="G5251" s="235" t="s">
        <v>38646</v>
      </c>
      <c r="H5251" s="235" t="s">
        <v>38647</v>
      </c>
      <c r="I5251" s="235" t="s">
        <v>38648</v>
      </c>
      <c r="J5251" s="235" t="s">
        <v>38649</v>
      </c>
      <c r="K5251" s="235" t="s">
        <v>38650</v>
      </c>
      <c r="N5251" s="235" t="s">
        <v>19</v>
      </c>
      <c r="O5251" s="235" t="s">
        <v>571</v>
      </c>
      <c r="P5251" s="238">
        <v>1.0</v>
      </c>
      <c r="Q5251" s="235" t="s">
        <v>627</v>
      </c>
      <c r="R5251" s="238">
        <v>360.95</v>
      </c>
      <c r="S5251" s="238">
        <v>17.51</v>
      </c>
      <c r="T5251" s="238">
        <v>0.0</v>
      </c>
      <c r="U5251" s="238">
        <v>0.0</v>
      </c>
      <c r="V5251" s="238">
        <v>0.0</v>
      </c>
      <c r="W5251" s="238">
        <v>0.0</v>
      </c>
      <c r="X5251" s="235" t="s">
        <v>628</v>
      </c>
      <c r="Z5251" s="245"/>
      <c r="AA5251" s="245"/>
      <c r="AB5251" s="245"/>
      <c r="AC5251" s="235" t="s">
        <v>678</v>
      </c>
      <c r="AD5251" s="235" t="s">
        <v>679</v>
      </c>
      <c r="AE5251" s="238">
        <v>560038.0</v>
      </c>
      <c r="AF5251" s="235" t="s">
        <v>631</v>
      </c>
      <c r="AG5251" s="245"/>
      <c r="AH5251" s="245"/>
      <c r="AI5251" s="245"/>
      <c r="AJ5251" s="245"/>
      <c r="AK5251" s="245"/>
      <c r="AL5251" s="245"/>
      <c r="AM5251" s="245"/>
      <c r="AN5251" s="245"/>
      <c r="AO5251" s="238">
        <v>-10.83</v>
      </c>
      <c r="AP5251" s="238">
        <v>0.0</v>
      </c>
      <c r="AQ5251" s="235" t="s">
        <v>632</v>
      </c>
      <c r="AR5251" s="243">
        <v>1.68E11</v>
      </c>
      <c r="AS5251" s="235" t="s">
        <v>37983</v>
      </c>
      <c r="AT5251" s="235" t="s">
        <v>156</v>
      </c>
      <c r="AU5251" s="235" t="s">
        <v>634</v>
      </c>
      <c r="AV5251" s="246" t="s">
        <v>635</v>
      </c>
      <c r="AW5251" s="227"/>
      <c r="AX5251" s="227"/>
      <c r="AY5251" s="227"/>
      <c r="AZ5251" s="227"/>
      <c r="BA5251" s="227"/>
      <c r="BB5251" s="227"/>
      <c r="BC5251" s="227"/>
      <c r="BD5251" s="227"/>
      <c r="BE5251" s="227"/>
      <c r="BF5251" s="227"/>
    </row>
    <row r="5252">
      <c r="A5252" s="235" t="s">
        <v>38643</v>
      </c>
      <c r="C5252" s="235" t="s">
        <v>38644</v>
      </c>
      <c r="D5252" s="235" t="s">
        <v>38652</v>
      </c>
      <c r="E5252" s="243">
        <v>6.49E13</v>
      </c>
      <c r="F5252" s="245"/>
      <c r="G5252" s="235" t="s">
        <v>38646</v>
      </c>
      <c r="H5252" s="235" t="s">
        <v>38647</v>
      </c>
      <c r="I5252" s="235" t="s">
        <v>38648</v>
      </c>
      <c r="J5252" s="235" t="s">
        <v>38649</v>
      </c>
      <c r="K5252" s="235" t="s">
        <v>38650</v>
      </c>
      <c r="N5252" s="235" t="s">
        <v>19</v>
      </c>
      <c r="O5252" s="235" t="s">
        <v>571</v>
      </c>
      <c r="P5252" s="238">
        <v>1.0</v>
      </c>
      <c r="Q5252" s="235" t="s">
        <v>627</v>
      </c>
      <c r="R5252" s="238">
        <v>360.95</v>
      </c>
      <c r="S5252" s="238">
        <v>17.51</v>
      </c>
      <c r="T5252" s="238">
        <v>0.0</v>
      </c>
      <c r="U5252" s="238">
        <v>0.0</v>
      </c>
      <c r="V5252" s="238">
        <v>0.0</v>
      </c>
      <c r="W5252" s="238">
        <v>0.0</v>
      </c>
      <c r="X5252" s="235" t="s">
        <v>628</v>
      </c>
      <c r="Z5252" s="245"/>
      <c r="AA5252" s="245"/>
      <c r="AB5252" s="245"/>
      <c r="AC5252" s="235" t="s">
        <v>678</v>
      </c>
      <c r="AD5252" s="235" t="s">
        <v>679</v>
      </c>
      <c r="AE5252" s="238">
        <v>560038.0</v>
      </c>
      <c r="AF5252" s="235" t="s">
        <v>631</v>
      </c>
      <c r="AG5252" s="245"/>
      <c r="AH5252" s="245"/>
      <c r="AI5252" s="245"/>
      <c r="AJ5252" s="245"/>
      <c r="AK5252" s="245"/>
      <c r="AL5252" s="245"/>
      <c r="AM5252" s="245"/>
      <c r="AN5252" s="245"/>
      <c r="AO5252" s="238">
        <v>-10.83</v>
      </c>
      <c r="AP5252" s="238">
        <v>0.0</v>
      </c>
      <c r="AQ5252" s="235" t="s">
        <v>632</v>
      </c>
      <c r="AR5252" s="243">
        <v>1.68E11</v>
      </c>
      <c r="AS5252" s="235" t="s">
        <v>37983</v>
      </c>
      <c r="AT5252" s="235" t="s">
        <v>156</v>
      </c>
      <c r="AU5252" s="235" t="s">
        <v>634</v>
      </c>
      <c r="AV5252" s="246" t="s">
        <v>635</v>
      </c>
      <c r="AW5252" s="227"/>
      <c r="AX5252" s="227"/>
      <c r="AY5252" s="227"/>
      <c r="AZ5252" s="227"/>
      <c r="BA5252" s="227"/>
      <c r="BB5252" s="227"/>
      <c r="BC5252" s="227"/>
      <c r="BD5252" s="227"/>
      <c r="BE5252" s="227"/>
      <c r="BF5252" s="227"/>
    </row>
    <row r="5253">
      <c r="A5253" s="235" t="s">
        <v>38653</v>
      </c>
      <c r="C5253" s="235" t="s">
        <v>38654</v>
      </c>
      <c r="D5253" s="235" t="s">
        <v>38655</v>
      </c>
      <c r="E5253" s="243">
        <v>6.49E13</v>
      </c>
      <c r="F5253" s="245"/>
      <c r="G5253" s="235" t="s">
        <v>38656</v>
      </c>
      <c r="H5253" s="235" t="s">
        <v>38657</v>
      </c>
      <c r="I5253" s="235" t="s">
        <v>38658</v>
      </c>
      <c r="J5253" s="235" t="s">
        <v>38659</v>
      </c>
      <c r="K5253" s="235" t="s">
        <v>38660</v>
      </c>
      <c r="N5253" s="235" t="s">
        <v>127</v>
      </c>
      <c r="O5253" s="235" t="s">
        <v>794</v>
      </c>
      <c r="P5253" s="238">
        <v>1.0</v>
      </c>
      <c r="Q5253" s="235" t="s">
        <v>627</v>
      </c>
      <c r="R5253" s="238">
        <v>243.81</v>
      </c>
      <c r="S5253" s="238">
        <v>11.95</v>
      </c>
      <c r="T5253" s="238">
        <v>0.0</v>
      </c>
      <c r="U5253" s="238">
        <v>0.0</v>
      </c>
      <c r="V5253" s="238">
        <v>0.0</v>
      </c>
      <c r="W5253" s="238">
        <v>0.0</v>
      </c>
      <c r="X5253" s="235" t="s">
        <v>628</v>
      </c>
      <c r="Z5253" s="245"/>
      <c r="AA5253" s="245"/>
      <c r="AB5253" s="245"/>
      <c r="AC5253" s="235" t="s">
        <v>749</v>
      </c>
      <c r="AD5253" s="235" t="s">
        <v>630</v>
      </c>
      <c r="AE5253" s="238">
        <v>201318.0</v>
      </c>
      <c r="AF5253" s="235" t="s">
        <v>631</v>
      </c>
      <c r="AG5253" s="245"/>
      <c r="AH5253" s="245"/>
      <c r="AI5253" s="245"/>
      <c r="AJ5253" s="245"/>
      <c r="AK5253" s="245"/>
      <c r="AL5253" s="245"/>
      <c r="AM5253" s="245"/>
      <c r="AN5253" s="245"/>
      <c r="AO5253" s="238">
        <v>-4.88</v>
      </c>
      <c r="AP5253" s="238">
        <v>0.0</v>
      </c>
      <c r="AQ5253" s="235" t="s">
        <v>632</v>
      </c>
      <c r="AR5253" s="243">
        <v>1.68E11</v>
      </c>
      <c r="AS5253" s="235" t="s">
        <v>38374</v>
      </c>
      <c r="AT5253" s="235" t="s">
        <v>14</v>
      </c>
      <c r="AU5253" s="235" t="s">
        <v>634</v>
      </c>
      <c r="AV5253" s="246" t="s">
        <v>635</v>
      </c>
      <c r="AW5253" s="227"/>
      <c r="AX5253" s="227"/>
      <c r="AY5253" s="227"/>
      <c r="AZ5253" s="227"/>
      <c r="BA5253" s="227"/>
      <c r="BB5253" s="227"/>
      <c r="BC5253" s="227"/>
      <c r="BD5253" s="227"/>
      <c r="BE5253" s="227"/>
      <c r="BF5253" s="227"/>
    </row>
    <row r="5254">
      <c r="A5254" s="235" t="s">
        <v>38661</v>
      </c>
      <c r="C5254" s="235" t="s">
        <v>38662</v>
      </c>
      <c r="D5254" s="235" t="s">
        <v>38663</v>
      </c>
      <c r="E5254" s="243">
        <v>6.49E13</v>
      </c>
      <c r="F5254" s="245"/>
      <c r="G5254" s="235" t="s">
        <v>38664</v>
      </c>
      <c r="H5254" s="235" t="s">
        <v>38665</v>
      </c>
      <c r="I5254" s="235" t="s">
        <v>38665</v>
      </c>
      <c r="J5254" s="235" t="s">
        <v>38666</v>
      </c>
      <c r="K5254" s="235" t="s">
        <v>38667</v>
      </c>
      <c r="N5254" s="235" t="s">
        <v>127</v>
      </c>
      <c r="O5254" s="235" t="s">
        <v>794</v>
      </c>
      <c r="P5254" s="238">
        <v>1.0</v>
      </c>
      <c r="Q5254" s="235" t="s">
        <v>627</v>
      </c>
      <c r="R5254" s="238">
        <v>243.81</v>
      </c>
      <c r="S5254" s="238">
        <v>12.19</v>
      </c>
      <c r="T5254" s="238">
        <v>0.0</v>
      </c>
      <c r="U5254" s="238">
        <v>0.0</v>
      </c>
      <c r="V5254" s="238">
        <v>0.0</v>
      </c>
      <c r="W5254" s="238">
        <v>0.0</v>
      </c>
      <c r="X5254" s="235" t="s">
        <v>628</v>
      </c>
      <c r="Z5254" s="245"/>
      <c r="AA5254" s="245"/>
      <c r="AB5254" s="245"/>
      <c r="AC5254" s="235" t="s">
        <v>5260</v>
      </c>
      <c r="AD5254" s="235" t="s">
        <v>5260</v>
      </c>
      <c r="AE5254" s="238">
        <v>160030.0</v>
      </c>
      <c r="AF5254" s="235" t="s">
        <v>631</v>
      </c>
      <c r="AG5254" s="245"/>
      <c r="AH5254" s="245"/>
      <c r="AI5254" s="245"/>
      <c r="AJ5254" s="245"/>
      <c r="AK5254" s="245"/>
      <c r="AL5254" s="245"/>
      <c r="AM5254" s="245"/>
      <c r="AN5254" s="245"/>
      <c r="AO5254" s="238">
        <v>0.0</v>
      </c>
      <c r="AP5254" s="238">
        <v>0.0</v>
      </c>
      <c r="AQ5254" s="235" t="s">
        <v>632</v>
      </c>
      <c r="AR5254" s="243">
        <v>3.7E11</v>
      </c>
      <c r="AS5254" s="235" t="s">
        <v>36667</v>
      </c>
      <c r="AT5254" s="235" t="s">
        <v>14</v>
      </c>
      <c r="AU5254" s="235" t="s">
        <v>634</v>
      </c>
      <c r="AV5254" s="246" t="s">
        <v>635</v>
      </c>
      <c r="AW5254" s="227"/>
      <c r="AX5254" s="227"/>
      <c r="AY5254" s="227"/>
      <c r="AZ5254" s="227"/>
      <c r="BA5254" s="227"/>
      <c r="BB5254" s="227"/>
      <c r="BC5254" s="227"/>
      <c r="BD5254" s="227"/>
      <c r="BE5254" s="227"/>
      <c r="BF5254" s="227"/>
    </row>
    <row r="5255">
      <c r="A5255" s="235" t="s">
        <v>38668</v>
      </c>
      <c r="C5255" s="235" t="s">
        <v>38669</v>
      </c>
      <c r="D5255" s="235" t="s">
        <v>38670</v>
      </c>
      <c r="E5255" s="243">
        <v>6.49E13</v>
      </c>
      <c r="F5255" s="245"/>
      <c r="G5255" s="235" t="s">
        <v>38671</v>
      </c>
      <c r="H5255" s="235" t="s">
        <v>38672</v>
      </c>
      <c r="I5255" s="235" t="s">
        <v>38672</v>
      </c>
      <c r="J5255" s="235" t="s">
        <v>38673</v>
      </c>
      <c r="K5255" s="235" t="s">
        <v>38674</v>
      </c>
      <c r="N5255" s="235" t="s">
        <v>51</v>
      </c>
      <c r="O5255" s="235" t="s">
        <v>273</v>
      </c>
      <c r="P5255" s="238">
        <v>1.0</v>
      </c>
      <c r="Q5255" s="235" t="s">
        <v>627</v>
      </c>
      <c r="R5255" s="238">
        <v>235.24</v>
      </c>
      <c r="S5255" s="238">
        <v>11.76</v>
      </c>
      <c r="T5255" s="238">
        <v>94.28</v>
      </c>
      <c r="U5255" s="238">
        <v>4.72</v>
      </c>
      <c r="V5255" s="238">
        <v>0.0</v>
      </c>
      <c r="W5255" s="238">
        <v>0.0</v>
      </c>
      <c r="X5255" s="235" t="s">
        <v>628</v>
      </c>
      <c r="Z5255" s="245"/>
      <c r="AA5255" s="245"/>
      <c r="AB5255" s="245"/>
      <c r="AC5255" s="235" t="s">
        <v>687</v>
      </c>
      <c r="AD5255" s="235" t="s">
        <v>666</v>
      </c>
      <c r="AE5255" s="238">
        <v>600073.0</v>
      </c>
      <c r="AF5255" s="235" t="s">
        <v>631</v>
      </c>
      <c r="AG5255" s="245"/>
      <c r="AH5255" s="245"/>
      <c r="AI5255" s="245"/>
      <c r="AJ5255" s="245"/>
      <c r="AK5255" s="245"/>
      <c r="AL5255" s="245"/>
      <c r="AM5255" s="245"/>
      <c r="AN5255" s="245"/>
      <c r="AO5255" s="238">
        <v>0.0</v>
      </c>
      <c r="AP5255" s="238">
        <v>-94.28</v>
      </c>
      <c r="AQ5255" s="235" t="s">
        <v>632</v>
      </c>
      <c r="AR5255" s="243">
        <v>1.68E11</v>
      </c>
      <c r="AS5255" s="235" t="s">
        <v>38374</v>
      </c>
      <c r="AT5255" s="235" t="s">
        <v>156</v>
      </c>
      <c r="AU5255" s="235" t="s">
        <v>634</v>
      </c>
      <c r="AV5255" s="246" t="s">
        <v>635</v>
      </c>
      <c r="AW5255" s="227"/>
      <c r="AX5255" s="227"/>
      <c r="AY5255" s="227"/>
      <c r="AZ5255" s="227"/>
      <c r="BA5255" s="227"/>
      <c r="BB5255" s="227"/>
      <c r="BC5255" s="227"/>
      <c r="BD5255" s="227"/>
      <c r="BE5255" s="227"/>
      <c r="BF5255" s="227"/>
    </row>
    <row r="5256">
      <c r="A5256" s="235" t="s">
        <v>38675</v>
      </c>
      <c r="C5256" s="235" t="s">
        <v>38676</v>
      </c>
      <c r="D5256" s="235" t="s">
        <v>38677</v>
      </c>
      <c r="E5256" s="243">
        <v>6.49E13</v>
      </c>
      <c r="F5256" s="245"/>
      <c r="G5256" s="235" t="s">
        <v>38678</v>
      </c>
      <c r="H5256" s="235" t="s">
        <v>38679</v>
      </c>
      <c r="I5256" s="235" t="s">
        <v>38679</v>
      </c>
      <c r="J5256" s="235" t="s">
        <v>38520</v>
      </c>
      <c r="K5256" s="235" t="s">
        <v>38680</v>
      </c>
      <c r="N5256" s="235" t="s">
        <v>130</v>
      </c>
      <c r="O5256" s="235" t="s">
        <v>707</v>
      </c>
      <c r="P5256" s="238">
        <v>1.0</v>
      </c>
      <c r="Q5256" s="235" t="s">
        <v>627</v>
      </c>
      <c r="R5256" s="238">
        <v>0.0</v>
      </c>
      <c r="S5256" s="238">
        <v>0.0</v>
      </c>
      <c r="T5256" s="238">
        <v>0.0</v>
      </c>
      <c r="U5256" s="238">
        <v>0.0</v>
      </c>
      <c r="V5256" s="238">
        <v>0.0</v>
      </c>
      <c r="W5256" s="238">
        <v>0.0</v>
      </c>
      <c r="X5256" s="235" t="s">
        <v>628</v>
      </c>
      <c r="Z5256" s="245"/>
      <c r="AA5256" s="245"/>
      <c r="AB5256" s="245"/>
      <c r="AC5256" s="235" t="s">
        <v>5432</v>
      </c>
      <c r="AD5256" s="235" t="s">
        <v>1077</v>
      </c>
      <c r="AE5256" s="238">
        <v>382355.0</v>
      </c>
      <c r="AF5256" s="235" t="s">
        <v>631</v>
      </c>
      <c r="AG5256" s="245"/>
      <c r="AH5256" s="245"/>
      <c r="AI5256" s="245"/>
      <c r="AJ5256" s="245"/>
      <c r="AK5256" s="245"/>
      <c r="AL5256" s="245"/>
      <c r="AM5256" s="245"/>
      <c r="AN5256" s="245"/>
      <c r="AO5256" s="238">
        <v>0.0</v>
      </c>
      <c r="AP5256" s="238">
        <v>0.0</v>
      </c>
      <c r="AQ5256" s="235" t="s">
        <v>632</v>
      </c>
      <c r="AR5256" s="243">
        <v>3.7E11</v>
      </c>
      <c r="AS5256" s="235" t="s">
        <v>36667</v>
      </c>
      <c r="AT5256" s="235" t="s">
        <v>5</v>
      </c>
      <c r="AU5256" s="235" t="s">
        <v>634</v>
      </c>
      <c r="AV5256" s="246" t="s">
        <v>635</v>
      </c>
      <c r="AW5256" s="227"/>
      <c r="AX5256" s="227"/>
      <c r="AY5256" s="227"/>
      <c r="AZ5256" s="227"/>
      <c r="BA5256" s="227"/>
      <c r="BB5256" s="227"/>
      <c r="BC5256" s="227"/>
      <c r="BD5256" s="227"/>
      <c r="BE5256" s="227"/>
      <c r="BF5256" s="227"/>
    </row>
    <row r="5257">
      <c r="A5257" s="235" t="s">
        <v>38681</v>
      </c>
      <c r="C5257" s="235" t="s">
        <v>38682</v>
      </c>
      <c r="D5257" s="235" t="s">
        <v>38683</v>
      </c>
      <c r="E5257" s="243">
        <v>6.49E13</v>
      </c>
      <c r="F5257" s="245"/>
      <c r="G5257" s="235" t="s">
        <v>38684</v>
      </c>
      <c r="H5257" s="235" t="s">
        <v>38685</v>
      </c>
      <c r="I5257" s="235" t="s">
        <v>38685</v>
      </c>
      <c r="J5257" s="235" t="s">
        <v>38686</v>
      </c>
      <c r="K5257" s="235" t="s">
        <v>38687</v>
      </c>
      <c r="N5257" s="235" t="s">
        <v>51</v>
      </c>
      <c r="O5257" s="235" t="s">
        <v>273</v>
      </c>
      <c r="P5257" s="238">
        <v>1.0</v>
      </c>
      <c r="Q5257" s="235" t="s">
        <v>627</v>
      </c>
      <c r="R5257" s="238">
        <v>235.24</v>
      </c>
      <c r="S5257" s="238">
        <v>11.76</v>
      </c>
      <c r="T5257" s="238">
        <v>38.1</v>
      </c>
      <c r="U5257" s="238">
        <v>1.9</v>
      </c>
      <c r="V5257" s="238">
        <v>0.0</v>
      </c>
      <c r="W5257" s="238">
        <v>0.0</v>
      </c>
      <c r="X5257" s="235" t="s">
        <v>628</v>
      </c>
      <c r="Z5257" s="245"/>
      <c r="AA5257" s="245"/>
      <c r="AB5257" s="245"/>
      <c r="AC5257" s="235" t="s">
        <v>38688</v>
      </c>
      <c r="AD5257" s="235" t="s">
        <v>833</v>
      </c>
      <c r="AE5257" s="238">
        <v>532284.0</v>
      </c>
      <c r="AF5257" s="235" t="s">
        <v>631</v>
      </c>
      <c r="AG5257" s="245"/>
      <c r="AH5257" s="245"/>
      <c r="AI5257" s="245"/>
      <c r="AJ5257" s="245"/>
      <c r="AK5257" s="245"/>
      <c r="AL5257" s="245"/>
      <c r="AM5257" s="245"/>
      <c r="AN5257" s="245"/>
      <c r="AO5257" s="238">
        <v>0.0</v>
      </c>
      <c r="AP5257" s="238">
        <v>-38.1</v>
      </c>
      <c r="AQ5257" s="235" t="s">
        <v>632</v>
      </c>
      <c r="AR5257" s="243">
        <v>3.7E11</v>
      </c>
      <c r="AS5257" s="235" t="s">
        <v>33466</v>
      </c>
      <c r="AT5257" s="235" t="s">
        <v>546</v>
      </c>
      <c r="AU5257" s="235" t="s">
        <v>634</v>
      </c>
      <c r="AV5257" s="246" t="s">
        <v>635</v>
      </c>
      <c r="AW5257" s="227"/>
      <c r="AX5257" s="227"/>
      <c r="AY5257" s="227"/>
      <c r="AZ5257" s="227"/>
      <c r="BA5257" s="227"/>
      <c r="BB5257" s="227"/>
      <c r="BC5257" s="227"/>
      <c r="BD5257" s="227"/>
      <c r="BE5257" s="227"/>
      <c r="BF5257" s="227"/>
    </row>
    <row r="5258">
      <c r="A5258" s="235" t="s">
        <v>38689</v>
      </c>
      <c r="C5258" s="235" t="s">
        <v>38690</v>
      </c>
      <c r="D5258" s="235" t="s">
        <v>38691</v>
      </c>
      <c r="E5258" s="243">
        <v>6.49E13</v>
      </c>
      <c r="F5258" s="245"/>
      <c r="G5258" s="235" t="s">
        <v>38692</v>
      </c>
      <c r="H5258" s="235" t="s">
        <v>38693</v>
      </c>
      <c r="I5258" s="235" t="s">
        <v>38693</v>
      </c>
      <c r="J5258" s="235" t="s">
        <v>38694</v>
      </c>
      <c r="K5258" s="235" t="s">
        <v>38695</v>
      </c>
      <c r="N5258" s="235" t="s">
        <v>42</v>
      </c>
      <c r="O5258" s="235" t="s">
        <v>204</v>
      </c>
      <c r="P5258" s="238">
        <v>1.0</v>
      </c>
      <c r="Q5258" s="235" t="s">
        <v>627</v>
      </c>
      <c r="R5258" s="238">
        <v>237.14</v>
      </c>
      <c r="S5258" s="238">
        <v>11.86</v>
      </c>
      <c r="T5258" s="238">
        <v>18.1</v>
      </c>
      <c r="U5258" s="238">
        <v>0.9</v>
      </c>
      <c r="V5258" s="238">
        <v>0.0</v>
      </c>
      <c r="W5258" s="238">
        <v>0.0</v>
      </c>
      <c r="X5258" s="235" t="s">
        <v>628</v>
      </c>
      <c r="Z5258" s="245"/>
      <c r="AA5258" s="245"/>
      <c r="AB5258" s="245"/>
      <c r="AC5258" s="235" t="s">
        <v>678</v>
      </c>
      <c r="AD5258" s="235" t="s">
        <v>679</v>
      </c>
      <c r="AE5258" s="238">
        <v>560040.0</v>
      </c>
      <c r="AF5258" s="235" t="s">
        <v>631</v>
      </c>
      <c r="AG5258" s="245"/>
      <c r="AH5258" s="245"/>
      <c r="AI5258" s="245"/>
      <c r="AJ5258" s="245"/>
      <c r="AK5258" s="245"/>
      <c r="AL5258" s="245"/>
      <c r="AM5258" s="245"/>
      <c r="AN5258" s="245"/>
      <c r="AO5258" s="238">
        <v>0.0</v>
      </c>
      <c r="AP5258" s="238">
        <v>-18.1</v>
      </c>
      <c r="AQ5258" s="235" t="s">
        <v>632</v>
      </c>
      <c r="AR5258" s="243">
        <v>1.68E11</v>
      </c>
      <c r="AS5258" s="235" t="s">
        <v>38374</v>
      </c>
      <c r="AT5258" s="235" t="s">
        <v>9</v>
      </c>
      <c r="AU5258" s="235" t="s">
        <v>634</v>
      </c>
      <c r="AV5258" s="246" t="s">
        <v>635</v>
      </c>
      <c r="AW5258" s="227"/>
      <c r="AX5258" s="227"/>
      <c r="AY5258" s="227"/>
      <c r="AZ5258" s="227"/>
      <c r="BA5258" s="227"/>
      <c r="BB5258" s="227"/>
      <c r="BC5258" s="227"/>
      <c r="BD5258" s="227"/>
      <c r="BE5258" s="227"/>
      <c r="BF5258" s="227"/>
    </row>
    <row r="5259">
      <c r="A5259" s="235" t="s">
        <v>38696</v>
      </c>
      <c r="C5259" s="235" t="s">
        <v>38697</v>
      </c>
      <c r="D5259" s="235" t="s">
        <v>38698</v>
      </c>
      <c r="E5259" s="243">
        <v>6.48E13</v>
      </c>
      <c r="F5259" s="245"/>
      <c r="G5259" s="235" t="s">
        <v>38699</v>
      </c>
      <c r="H5259" s="235" t="s">
        <v>38700</v>
      </c>
      <c r="I5259" s="235" t="s">
        <v>38700</v>
      </c>
      <c r="J5259" s="235" t="s">
        <v>38701</v>
      </c>
      <c r="K5259" s="235" t="s">
        <v>38702</v>
      </c>
      <c r="N5259" s="235" t="s">
        <v>726</v>
      </c>
      <c r="O5259" s="235" t="s">
        <v>727</v>
      </c>
      <c r="P5259" s="238">
        <v>1.0</v>
      </c>
      <c r="Q5259" s="235" t="s">
        <v>627</v>
      </c>
      <c r="R5259" s="238">
        <v>244.76</v>
      </c>
      <c r="S5259" s="238">
        <v>12.24</v>
      </c>
      <c r="T5259" s="238">
        <v>38.1</v>
      </c>
      <c r="U5259" s="238">
        <v>1.9</v>
      </c>
      <c r="V5259" s="238">
        <v>0.0</v>
      </c>
      <c r="W5259" s="238">
        <v>0.0</v>
      </c>
      <c r="X5259" s="235" t="s">
        <v>628</v>
      </c>
      <c r="Z5259" s="245"/>
      <c r="AA5259" s="245"/>
      <c r="AB5259" s="245"/>
      <c r="AC5259" s="235" t="s">
        <v>844</v>
      </c>
      <c r="AD5259" s="235" t="s">
        <v>845</v>
      </c>
      <c r="AE5259" s="238">
        <v>411041.0</v>
      </c>
      <c r="AF5259" s="235" t="s">
        <v>631</v>
      </c>
      <c r="AG5259" s="245"/>
      <c r="AH5259" s="245"/>
      <c r="AI5259" s="245"/>
      <c r="AJ5259" s="245"/>
      <c r="AK5259" s="245"/>
      <c r="AL5259" s="245"/>
      <c r="AM5259" s="245"/>
      <c r="AN5259" s="245"/>
      <c r="AO5259" s="238">
        <v>0.0</v>
      </c>
      <c r="AP5259" s="238">
        <v>-38.1</v>
      </c>
      <c r="AQ5259" s="235" t="s">
        <v>632</v>
      </c>
      <c r="AR5259" s="243">
        <v>3.7E11</v>
      </c>
      <c r="AS5259" s="235" t="s">
        <v>36667</v>
      </c>
      <c r="AT5259" s="235" t="s">
        <v>16</v>
      </c>
      <c r="AU5259" s="235" t="s">
        <v>634</v>
      </c>
      <c r="AV5259" s="246" t="s">
        <v>635</v>
      </c>
      <c r="AW5259" s="227"/>
      <c r="AX5259" s="227"/>
      <c r="AY5259" s="227"/>
      <c r="AZ5259" s="227"/>
      <c r="BA5259" s="227"/>
      <c r="BB5259" s="227"/>
      <c r="BC5259" s="227"/>
      <c r="BD5259" s="227"/>
      <c r="BE5259" s="227"/>
      <c r="BF5259" s="227"/>
    </row>
    <row r="5260">
      <c r="A5260" s="235" t="s">
        <v>38703</v>
      </c>
      <c r="C5260" s="235" t="s">
        <v>38704</v>
      </c>
      <c r="D5260" s="235" t="s">
        <v>38705</v>
      </c>
      <c r="E5260" s="243">
        <v>6.49E13</v>
      </c>
      <c r="F5260" s="245"/>
      <c r="G5260" s="235" t="s">
        <v>38706</v>
      </c>
      <c r="H5260" s="235" t="s">
        <v>38707</v>
      </c>
      <c r="I5260" s="235" t="s">
        <v>38707</v>
      </c>
      <c r="J5260" s="235" t="s">
        <v>38708</v>
      </c>
      <c r="K5260" s="235" t="s">
        <v>38709</v>
      </c>
      <c r="N5260" s="235" t="s">
        <v>53</v>
      </c>
      <c r="O5260" s="235" t="s">
        <v>512</v>
      </c>
      <c r="P5260" s="238">
        <v>1.0</v>
      </c>
      <c r="Q5260" s="235" t="s">
        <v>627</v>
      </c>
      <c r="R5260" s="238">
        <v>237.14</v>
      </c>
      <c r="S5260" s="238">
        <v>11.86</v>
      </c>
      <c r="T5260" s="238">
        <v>0.0</v>
      </c>
      <c r="U5260" s="238">
        <v>0.0</v>
      </c>
      <c r="V5260" s="238">
        <v>0.0</v>
      </c>
      <c r="W5260" s="238">
        <v>0.0</v>
      </c>
      <c r="X5260" s="235" t="s">
        <v>628</v>
      </c>
      <c r="Z5260" s="245"/>
      <c r="AA5260" s="245"/>
      <c r="AB5260" s="245"/>
      <c r="AC5260" s="235" t="s">
        <v>697</v>
      </c>
      <c r="AD5260" s="235" t="s">
        <v>698</v>
      </c>
      <c r="AE5260" s="238">
        <v>500049.0</v>
      </c>
      <c r="AF5260" s="235" t="s">
        <v>631</v>
      </c>
      <c r="AG5260" s="245"/>
      <c r="AH5260" s="245"/>
      <c r="AI5260" s="245"/>
      <c r="AJ5260" s="245"/>
      <c r="AK5260" s="245"/>
      <c r="AL5260" s="245"/>
      <c r="AM5260" s="245"/>
      <c r="AN5260" s="245"/>
      <c r="AO5260" s="238">
        <v>0.0</v>
      </c>
      <c r="AP5260" s="238">
        <v>0.0</v>
      </c>
      <c r="AQ5260" s="235" t="s">
        <v>632</v>
      </c>
      <c r="AR5260" s="243">
        <v>2.02E11</v>
      </c>
      <c r="AS5260" s="235" t="s">
        <v>37983</v>
      </c>
      <c r="AT5260" s="235" t="s">
        <v>9</v>
      </c>
      <c r="AU5260" s="235" t="s">
        <v>634</v>
      </c>
      <c r="AV5260" s="246" t="s">
        <v>635</v>
      </c>
      <c r="AW5260" s="227"/>
      <c r="AX5260" s="227"/>
      <c r="AY5260" s="227"/>
      <c r="AZ5260" s="227"/>
      <c r="BA5260" s="227"/>
      <c r="BB5260" s="227"/>
      <c r="BC5260" s="227"/>
      <c r="BD5260" s="227"/>
      <c r="BE5260" s="227"/>
      <c r="BF5260" s="227"/>
    </row>
    <row r="5261">
      <c r="A5261" s="235" t="s">
        <v>38710</v>
      </c>
      <c r="C5261" s="235" t="s">
        <v>38711</v>
      </c>
      <c r="D5261" s="235" t="s">
        <v>38712</v>
      </c>
      <c r="E5261" s="243">
        <v>6.49E13</v>
      </c>
      <c r="F5261" s="245"/>
      <c r="G5261" s="235" t="s">
        <v>38713</v>
      </c>
      <c r="H5261" s="235" t="s">
        <v>38714</v>
      </c>
      <c r="I5261" s="235" t="s">
        <v>38715</v>
      </c>
      <c r="J5261" s="235" t="s">
        <v>38716</v>
      </c>
      <c r="K5261" s="235" t="s">
        <v>38717</v>
      </c>
      <c r="N5261" s="235" t="s">
        <v>126</v>
      </c>
      <c r="O5261" s="235" t="s">
        <v>407</v>
      </c>
      <c r="P5261" s="238">
        <v>1.0</v>
      </c>
      <c r="Q5261" s="235" t="s">
        <v>627</v>
      </c>
      <c r="R5261" s="238">
        <v>237.14</v>
      </c>
      <c r="S5261" s="238">
        <v>11.62</v>
      </c>
      <c r="T5261" s="238">
        <v>0.0</v>
      </c>
      <c r="U5261" s="238">
        <v>0.0</v>
      </c>
      <c r="V5261" s="238">
        <v>0.0</v>
      </c>
      <c r="W5261" s="238">
        <v>0.0</v>
      </c>
      <c r="X5261" s="235" t="s">
        <v>628</v>
      </c>
      <c r="Z5261" s="245"/>
      <c r="AA5261" s="245"/>
      <c r="AB5261" s="245"/>
      <c r="AC5261" s="235" t="s">
        <v>678</v>
      </c>
      <c r="AD5261" s="235" t="s">
        <v>679</v>
      </c>
      <c r="AE5261" s="238">
        <v>560084.0</v>
      </c>
      <c r="AF5261" s="235" t="s">
        <v>631</v>
      </c>
      <c r="AG5261" s="245"/>
      <c r="AH5261" s="245"/>
      <c r="AI5261" s="245"/>
      <c r="AJ5261" s="245"/>
      <c r="AK5261" s="245"/>
      <c r="AL5261" s="245"/>
      <c r="AM5261" s="245"/>
      <c r="AN5261" s="245"/>
      <c r="AO5261" s="238">
        <v>-4.74</v>
      </c>
      <c r="AP5261" s="238">
        <v>0.0</v>
      </c>
      <c r="AQ5261" s="235" t="s">
        <v>632</v>
      </c>
      <c r="AR5261" s="243">
        <v>1.68E11</v>
      </c>
      <c r="AS5261" s="235" t="s">
        <v>38374</v>
      </c>
      <c r="AT5261" s="235" t="s">
        <v>9</v>
      </c>
      <c r="AU5261" s="235" t="s">
        <v>634</v>
      </c>
      <c r="AV5261" s="246" t="s">
        <v>635</v>
      </c>
      <c r="AW5261" s="227"/>
      <c r="AX5261" s="227"/>
      <c r="AY5261" s="227"/>
      <c r="AZ5261" s="227"/>
      <c r="BA5261" s="227"/>
      <c r="BB5261" s="227"/>
      <c r="BC5261" s="227"/>
      <c r="BD5261" s="227"/>
      <c r="BE5261" s="227"/>
      <c r="BF5261" s="227"/>
    </row>
    <row r="5262">
      <c r="A5262" s="235" t="s">
        <v>38718</v>
      </c>
      <c r="C5262" s="235" t="s">
        <v>38719</v>
      </c>
      <c r="D5262" s="235" t="s">
        <v>38720</v>
      </c>
      <c r="E5262" s="243">
        <v>6.48E13</v>
      </c>
      <c r="F5262" s="245"/>
      <c r="G5262" s="235" t="s">
        <v>38721</v>
      </c>
      <c r="H5262" s="235" t="s">
        <v>38722</v>
      </c>
      <c r="I5262" s="235" t="s">
        <v>38722</v>
      </c>
      <c r="J5262" s="235" t="s">
        <v>38723</v>
      </c>
      <c r="K5262" s="235" t="s">
        <v>38724</v>
      </c>
      <c r="N5262" s="235" t="s">
        <v>42</v>
      </c>
      <c r="O5262" s="235" t="s">
        <v>204</v>
      </c>
      <c r="P5262" s="238">
        <v>1.0</v>
      </c>
      <c r="Q5262" s="235" t="s">
        <v>627</v>
      </c>
      <c r="R5262" s="238">
        <v>237.14</v>
      </c>
      <c r="S5262" s="238">
        <v>11.86</v>
      </c>
      <c r="T5262" s="238">
        <v>38.1</v>
      </c>
      <c r="U5262" s="238">
        <v>1.9</v>
      </c>
      <c r="V5262" s="238">
        <v>0.0</v>
      </c>
      <c r="W5262" s="238">
        <v>0.0</v>
      </c>
      <c r="X5262" s="235" t="s">
        <v>628</v>
      </c>
      <c r="Z5262" s="245"/>
      <c r="AA5262" s="245"/>
      <c r="AB5262" s="245"/>
      <c r="AC5262" s="235" t="s">
        <v>38725</v>
      </c>
      <c r="AD5262" s="235" t="s">
        <v>845</v>
      </c>
      <c r="AE5262" s="238">
        <v>421204.0</v>
      </c>
      <c r="AF5262" s="235" t="s">
        <v>631</v>
      </c>
      <c r="AG5262" s="245"/>
      <c r="AH5262" s="245"/>
      <c r="AI5262" s="245"/>
      <c r="AJ5262" s="245"/>
      <c r="AK5262" s="245"/>
      <c r="AL5262" s="245"/>
      <c r="AM5262" s="245"/>
      <c r="AN5262" s="245"/>
      <c r="AO5262" s="238">
        <v>0.0</v>
      </c>
      <c r="AP5262" s="238">
        <v>-38.1</v>
      </c>
      <c r="AQ5262" s="235" t="s">
        <v>632</v>
      </c>
      <c r="AR5262" s="243">
        <v>3.7E11</v>
      </c>
      <c r="AS5262" s="235" t="s">
        <v>37983</v>
      </c>
      <c r="AT5262" s="235" t="s">
        <v>16</v>
      </c>
      <c r="AU5262" s="235" t="s">
        <v>634</v>
      </c>
      <c r="AV5262" s="246" t="s">
        <v>635</v>
      </c>
      <c r="AW5262" s="227"/>
      <c r="AX5262" s="227"/>
      <c r="AY5262" s="227"/>
      <c r="AZ5262" s="227"/>
      <c r="BA5262" s="227"/>
      <c r="BB5262" s="227"/>
      <c r="BC5262" s="227"/>
      <c r="BD5262" s="227"/>
      <c r="BE5262" s="227"/>
      <c r="BF5262" s="227"/>
    </row>
    <row r="5263">
      <c r="A5263" s="235" t="s">
        <v>38726</v>
      </c>
      <c r="C5263" s="235" t="s">
        <v>38727</v>
      </c>
      <c r="D5263" s="235" t="s">
        <v>38728</v>
      </c>
      <c r="E5263" s="243">
        <v>6.49E13</v>
      </c>
      <c r="F5263" s="245"/>
      <c r="G5263" s="235" t="s">
        <v>38729</v>
      </c>
      <c r="H5263" s="235" t="s">
        <v>38730</v>
      </c>
      <c r="I5263" s="235" t="s">
        <v>38730</v>
      </c>
      <c r="J5263" s="235" t="s">
        <v>38731</v>
      </c>
      <c r="K5263" s="235" t="s">
        <v>38732</v>
      </c>
      <c r="N5263" s="235" t="s">
        <v>154</v>
      </c>
      <c r="O5263" s="235" t="s">
        <v>766</v>
      </c>
      <c r="P5263" s="238">
        <v>1.0</v>
      </c>
      <c r="Q5263" s="235" t="s">
        <v>627</v>
      </c>
      <c r="R5263" s="238">
        <v>465.71</v>
      </c>
      <c r="S5263" s="238">
        <v>22.82</v>
      </c>
      <c r="T5263" s="238">
        <v>0.0</v>
      </c>
      <c r="U5263" s="238">
        <v>0.0</v>
      </c>
      <c r="V5263" s="238">
        <v>0.0</v>
      </c>
      <c r="W5263" s="238">
        <v>0.0</v>
      </c>
      <c r="X5263" s="235" t="s">
        <v>628</v>
      </c>
      <c r="Z5263" s="245"/>
      <c r="AA5263" s="245"/>
      <c r="AB5263" s="245"/>
      <c r="AC5263" s="235" t="s">
        <v>2057</v>
      </c>
      <c r="AD5263" s="235" t="s">
        <v>698</v>
      </c>
      <c r="AE5263" s="238">
        <v>500003.0</v>
      </c>
      <c r="AF5263" s="235" t="s">
        <v>631</v>
      </c>
      <c r="AG5263" s="245"/>
      <c r="AH5263" s="245"/>
      <c r="AI5263" s="245"/>
      <c r="AJ5263" s="245"/>
      <c r="AK5263" s="245"/>
      <c r="AL5263" s="245"/>
      <c r="AM5263" s="245"/>
      <c r="AN5263" s="245"/>
      <c r="AO5263" s="238">
        <v>-9.31</v>
      </c>
      <c r="AP5263" s="238">
        <v>0.0</v>
      </c>
      <c r="AQ5263" s="235" t="s">
        <v>632</v>
      </c>
      <c r="AR5263" s="243">
        <v>2.02E11</v>
      </c>
      <c r="AS5263" s="235" t="s">
        <v>37983</v>
      </c>
      <c r="AT5263" s="235" t="s">
        <v>11</v>
      </c>
      <c r="AU5263" s="235" t="s">
        <v>634</v>
      </c>
      <c r="AV5263" s="246" t="s">
        <v>635</v>
      </c>
      <c r="AW5263" s="227"/>
      <c r="AX5263" s="227"/>
      <c r="AY5263" s="227"/>
      <c r="AZ5263" s="227"/>
      <c r="BA5263" s="227"/>
      <c r="BB5263" s="227"/>
      <c r="BC5263" s="227"/>
      <c r="BD5263" s="227"/>
      <c r="BE5263" s="227"/>
      <c r="BF5263" s="227"/>
    </row>
    <row r="5264">
      <c r="A5264" s="235" t="s">
        <v>38733</v>
      </c>
      <c r="C5264" s="235" t="s">
        <v>38734</v>
      </c>
      <c r="D5264" s="235" t="s">
        <v>38735</v>
      </c>
      <c r="E5264" s="243">
        <v>6.48E13</v>
      </c>
      <c r="F5264" s="245"/>
      <c r="G5264" s="235" t="s">
        <v>38736</v>
      </c>
      <c r="H5264" s="235" t="s">
        <v>38737</v>
      </c>
      <c r="I5264" s="235" t="s">
        <v>38737</v>
      </c>
      <c r="J5264" s="235" t="s">
        <v>38738</v>
      </c>
      <c r="K5264" s="235" t="s">
        <v>38739</v>
      </c>
      <c r="N5264" s="235" t="s">
        <v>145</v>
      </c>
      <c r="O5264" s="235" t="s">
        <v>370</v>
      </c>
      <c r="P5264" s="238">
        <v>1.0</v>
      </c>
      <c r="Q5264" s="235" t="s">
        <v>627</v>
      </c>
      <c r="R5264" s="238">
        <v>1522.86</v>
      </c>
      <c r="S5264" s="238">
        <v>76.14</v>
      </c>
      <c r="T5264" s="238">
        <v>38.1</v>
      </c>
      <c r="U5264" s="238">
        <v>1.9</v>
      </c>
      <c r="V5264" s="238">
        <v>0.0</v>
      </c>
      <c r="W5264" s="238">
        <v>0.0</v>
      </c>
      <c r="X5264" s="235" t="s">
        <v>628</v>
      </c>
      <c r="Z5264" s="245"/>
      <c r="AA5264" s="245"/>
      <c r="AB5264" s="245"/>
      <c r="AC5264" s="235" t="s">
        <v>1279</v>
      </c>
      <c r="AD5264" s="235" t="s">
        <v>917</v>
      </c>
      <c r="AE5264" s="238">
        <v>302017.0</v>
      </c>
      <c r="AF5264" s="235" t="s">
        <v>631</v>
      </c>
      <c r="AG5264" s="245"/>
      <c r="AH5264" s="245"/>
      <c r="AI5264" s="245"/>
      <c r="AJ5264" s="245"/>
      <c r="AK5264" s="245"/>
      <c r="AL5264" s="245"/>
      <c r="AM5264" s="245"/>
      <c r="AN5264" s="245"/>
      <c r="AO5264" s="238">
        <v>0.0</v>
      </c>
      <c r="AP5264" s="238">
        <v>-38.1</v>
      </c>
      <c r="AQ5264" s="235" t="s">
        <v>632</v>
      </c>
      <c r="AR5264" s="243">
        <v>3.7E11</v>
      </c>
      <c r="AS5264" s="235" t="s">
        <v>35520</v>
      </c>
      <c r="AT5264" s="235" t="s">
        <v>14</v>
      </c>
      <c r="AU5264" s="235" t="s">
        <v>634</v>
      </c>
      <c r="AV5264" s="246" t="s">
        <v>635</v>
      </c>
      <c r="AW5264" s="227"/>
      <c r="AX5264" s="227"/>
      <c r="AY5264" s="227"/>
      <c r="AZ5264" s="227"/>
      <c r="BA5264" s="227"/>
      <c r="BB5264" s="227"/>
      <c r="BC5264" s="227"/>
      <c r="BD5264" s="227"/>
      <c r="BE5264" s="227"/>
      <c r="BF5264" s="227"/>
    </row>
    <row r="5265">
      <c r="A5265" s="235" t="s">
        <v>38740</v>
      </c>
      <c r="C5265" s="235" t="s">
        <v>38741</v>
      </c>
      <c r="D5265" s="235" t="s">
        <v>38742</v>
      </c>
      <c r="E5265" s="243">
        <v>6.49E13</v>
      </c>
      <c r="F5265" s="245"/>
      <c r="G5265" s="235" t="s">
        <v>38743</v>
      </c>
      <c r="H5265" s="235" t="s">
        <v>38744</v>
      </c>
      <c r="I5265" s="235" t="s">
        <v>38744</v>
      </c>
      <c r="J5265" s="235" t="s">
        <v>38745</v>
      </c>
      <c r="K5265" s="235" t="s">
        <v>38746</v>
      </c>
      <c r="N5265" s="235" t="s">
        <v>0</v>
      </c>
      <c r="O5265" s="235" t="s">
        <v>740</v>
      </c>
      <c r="P5265" s="238">
        <v>1.0</v>
      </c>
      <c r="Q5265" s="235" t="s">
        <v>627</v>
      </c>
      <c r="R5265" s="238">
        <v>265.72</v>
      </c>
      <c r="S5265" s="238">
        <v>12.88</v>
      </c>
      <c r="T5265" s="238">
        <v>6.04</v>
      </c>
      <c r="U5265" s="238">
        <v>0.3</v>
      </c>
      <c r="V5265" s="238">
        <v>0.0</v>
      </c>
      <c r="W5265" s="238">
        <v>0.0</v>
      </c>
      <c r="X5265" s="235" t="s">
        <v>628</v>
      </c>
      <c r="Z5265" s="245"/>
      <c r="AA5265" s="245"/>
      <c r="AB5265" s="245"/>
      <c r="AC5265" s="235" t="s">
        <v>687</v>
      </c>
      <c r="AD5265" s="235" t="s">
        <v>666</v>
      </c>
      <c r="AE5265" s="238">
        <v>600050.0</v>
      </c>
      <c r="AF5265" s="235" t="s">
        <v>631</v>
      </c>
      <c r="AG5265" s="245"/>
      <c r="AH5265" s="245"/>
      <c r="AI5265" s="245"/>
      <c r="AJ5265" s="245"/>
      <c r="AK5265" s="245"/>
      <c r="AL5265" s="245"/>
      <c r="AM5265" s="245"/>
      <c r="AN5265" s="245"/>
      <c r="AO5265" s="238">
        <v>-7.97</v>
      </c>
      <c r="AP5265" s="238">
        <v>-6.04</v>
      </c>
      <c r="AQ5265" s="235" t="s">
        <v>632</v>
      </c>
      <c r="AR5265" s="243">
        <v>1.68E11</v>
      </c>
      <c r="AS5265" s="235" t="s">
        <v>38374</v>
      </c>
      <c r="AT5265" s="235" t="s">
        <v>156</v>
      </c>
      <c r="AU5265" s="235" t="s">
        <v>634</v>
      </c>
      <c r="AV5265" s="246" t="s">
        <v>635</v>
      </c>
      <c r="AW5265" s="227"/>
      <c r="AX5265" s="227"/>
      <c r="AY5265" s="227"/>
      <c r="AZ5265" s="227"/>
      <c r="BA5265" s="227"/>
      <c r="BB5265" s="227"/>
      <c r="BC5265" s="227"/>
      <c r="BD5265" s="227"/>
      <c r="BE5265" s="227"/>
      <c r="BF5265" s="227"/>
    </row>
    <row r="5266">
      <c r="A5266" s="235" t="s">
        <v>38740</v>
      </c>
      <c r="C5266" s="235" t="s">
        <v>38741</v>
      </c>
      <c r="D5266" s="235" t="s">
        <v>38747</v>
      </c>
      <c r="E5266" s="243">
        <v>6.49E13</v>
      </c>
      <c r="F5266" s="245"/>
      <c r="G5266" s="235" t="s">
        <v>38743</v>
      </c>
      <c r="H5266" s="235" t="s">
        <v>38744</v>
      </c>
      <c r="I5266" s="235" t="s">
        <v>38744</v>
      </c>
      <c r="J5266" s="235" t="s">
        <v>38745</v>
      </c>
      <c r="K5266" s="235" t="s">
        <v>38746</v>
      </c>
      <c r="N5266" s="235" t="s">
        <v>3</v>
      </c>
      <c r="O5266" s="235" t="s">
        <v>654</v>
      </c>
      <c r="P5266" s="238">
        <v>1.0</v>
      </c>
      <c r="Q5266" s="235" t="s">
        <v>627</v>
      </c>
      <c r="R5266" s="238">
        <v>265.72</v>
      </c>
      <c r="S5266" s="238">
        <v>12.88</v>
      </c>
      <c r="T5266" s="238">
        <v>6.03</v>
      </c>
      <c r="U5266" s="238">
        <v>0.3</v>
      </c>
      <c r="V5266" s="238">
        <v>0.0</v>
      </c>
      <c r="W5266" s="238">
        <v>0.0</v>
      </c>
      <c r="X5266" s="235" t="s">
        <v>628</v>
      </c>
      <c r="Z5266" s="245"/>
      <c r="AA5266" s="245"/>
      <c r="AB5266" s="245"/>
      <c r="AC5266" s="235" t="s">
        <v>687</v>
      </c>
      <c r="AD5266" s="235" t="s">
        <v>666</v>
      </c>
      <c r="AE5266" s="238">
        <v>600050.0</v>
      </c>
      <c r="AF5266" s="235" t="s">
        <v>631</v>
      </c>
      <c r="AG5266" s="245"/>
      <c r="AH5266" s="245"/>
      <c r="AI5266" s="245"/>
      <c r="AJ5266" s="245"/>
      <c r="AK5266" s="245"/>
      <c r="AL5266" s="245"/>
      <c r="AM5266" s="245"/>
      <c r="AN5266" s="245"/>
      <c r="AO5266" s="238">
        <v>-7.97</v>
      </c>
      <c r="AP5266" s="238">
        <v>-6.03</v>
      </c>
      <c r="AQ5266" s="235" t="s">
        <v>632</v>
      </c>
      <c r="AR5266" s="243">
        <v>1.68E11</v>
      </c>
      <c r="AS5266" s="235" t="s">
        <v>38374</v>
      </c>
      <c r="AT5266" s="235" t="s">
        <v>156</v>
      </c>
      <c r="AU5266" s="235" t="s">
        <v>634</v>
      </c>
      <c r="AV5266" s="246" t="s">
        <v>635</v>
      </c>
      <c r="AW5266" s="227"/>
      <c r="AX5266" s="227"/>
      <c r="AY5266" s="227"/>
      <c r="AZ5266" s="227"/>
      <c r="BA5266" s="227"/>
      <c r="BB5266" s="227"/>
      <c r="BC5266" s="227"/>
      <c r="BD5266" s="227"/>
      <c r="BE5266" s="227"/>
      <c r="BF5266" s="227"/>
    </row>
    <row r="5267">
      <c r="A5267" s="235" t="s">
        <v>38748</v>
      </c>
      <c r="C5267" s="235" t="s">
        <v>38749</v>
      </c>
      <c r="D5267" s="235" t="s">
        <v>38750</v>
      </c>
      <c r="E5267" s="243">
        <v>6.49E13</v>
      </c>
      <c r="F5267" s="245"/>
      <c r="G5267" s="235" t="s">
        <v>38751</v>
      </c>
      <c r="H5267" s="235" t="s">
        <v>38752</v>
      </c>
      <c r="I5267" s="235" t="s">
        <v>38752</v>
      </c>
      <c r="J5267" s="235" t="s">
        <v>38753</v>
      </c>
      <c r="K5267" s="235" t="s">
        <v>38754</v>
      </c>
      <c r="N5267" s="235" t="s">
        <v>144</v>
      </c>
      <c r="O5267" s="235" t="s">
        <v>232</v>
      </c>
      <c r="P5267" s="238">
        <v>1.0</v>
      </c>
      <c r="Q5267" s="235" t="s">
        <v>627</v>
      </c>
      <c r="R5267" s="238">
        <v>665.72</v>
      </c>
      <c r="S5267" s="238">
        <v>33.28</v>
      </c>
      <c r="T5267" s="238">
        <v>0.0</v>
      </c>
      <c r="U5267" s="238">
        <v>0.0</v>
      </c>
      <c r="V5267" s="238">
        <v>0.0</v>
      </c>
      <c r="W5267" s="238">
        <v>0.0</v>
      </c>
      <c r="X5267" s="235" t="s">
        <v>628</v>
      </c>
      <c r="Z5267" s="245"/>
      <c r="AA5267" s="245"/>
      <c r="AB5267" s="245"/>
      <c r="AC5267" s="235" t="s">
        <v>1961</v>
      </c>
      <c r="AD5267" s="235" t="s">
        <v>845</v>
      </c>
      <c r="AE5267" s="238">
        <v>412101.0</v>
      </c>
      <c r="AF5267" s="235" t="s">
        <v>631</v>
      </c>
      <c r="AG5267" s="245"/>
      <c r="AH5267" s="245"/>
      <c r="AI5267" s="245"/>
      <c r="AJ5267" s="245"/>
      <c r="AK5267" s="245"/>
      <c r="AL5267" s="245"/>
      <c r="AM5267" s="245"/>
      <c r="AN5267" s="245"/>
      <c r="AO5267" s="238">
        <v>0.0</v>
      </c>
      <c r="AP5267" s="238">
        <v>0.0</v>
      </c>
      <c r="AQ5267" s="235" t="s">
        <v>632</v>
      </c>
      <c r="AR5267" s="243">
        <v>1.68E11</v>
      </c>
      <c r="AS5267" s="235" t="s">
        <v>38374</v>
      </c>
      <c r="AT5267" s="235" t="s">
        <v>546</v>
      </c>
      <c r="AU5267" s="235" t="s">
        <v>634</v>
      </c>
      <c r="AV5267" s="246" t="s">
        <v>635</v>
      </c>
      <c r="AW5267" s="227"/>
      <c r="AX5267" s="227"/>
      <c r="AY5267" s="227"/>
      <c r="AZ5267" s="227"/>
      <c r="BA5267" s="227"/>
      <c r="BB5267" s="227"/>
      <c r="BC5267" s="227"/>
      <c r="BD5267" s="227"/>
      <c r="BE5267" s="227"/>
      <c r="BF5267" s="227"/>
    </row>
    <row r="5268">
      <c r="A5268" s="235" t="s">
        <v>38755</v>
      </c>
      <c r="C5268" s="235" t="s">
        <v>38756</v>
      </c>
      <c r="D5268" s="235" t="s">
        <v>38757</v>
      </c>
      <c r="E5268" s="243">
        <v>6.49E13</v>
      </c>
      <c r="F5268" s="245"/>
      <c r="G5268" s="235" t="s">
        <v>38758</v>
      </c>
      <c r="H5268" s="235" t="s">
        <v>38759</v>
      </c>
      <c r="I5268" s="235" t="s">
        <v>38759</v>
      </c>
      <c r="J5268" s="235" t="s">
        <v>38760</v>
      </c>
      <c r="K5268" s="235" t="s">
        <v>38761</v>
      </c>
      <c r="N5268" s="235" t="s">
        <v>92</v>
      </c>
      <c r="O5268" s="235" t="s">
        <v>248</v>
      </c>
      <c r="P5268" s="238">
        <v>1.0</v>
      </c>
      <c r="Q5268" s="235" t="s">
        <v>627</v>
      </c>
      <c r="R5268" s="238">
        <v>244.76</v>
      </c>
      <c r="S5268" s="238">
        <v>12.0</v>
      </c>
      <c r="T5268" s="238">
        <v>18.1</v>
      </c>
      <c r="U5268" s="238">
        <v>0.9</v>
      </c>
      <c r="V5268" s="238">
        <v>0.0</v>
      </c>
      <c r="W5268" s="238">
        <v>0.0</v>
      </c>
      <c r="X5268" s="235" t="s">
        <v>628</v>
      </c>
      <c r="Z5268" s="245"/>
      <c r="AA5268" s="245"/>
      <c r="AB5268" s="245"/>
      <c r="AC5268" s="235" t="s">
        <v>1255</v>
      </c>
      <c r="AD5268" s="235" t="s">
        <v>845</v>
      </c>
      <c r="AE5268" s="238">
        <v>400608.0</v>
      </c>
      <c r="AF5268" s="235" t="s">
        <v>631</v>
      </c>
      <c r="AG5268" s="245"/>
      <c r="AH5268" s="245"/>
      <c r="AI5268" s="245"/>
      <c r="AJ5268" s="245"/>
      <c r="AK5268" s="245"/>
      <c r="AL5268" s="245"/>
      <c r="AM5268" s="245"/>
      <c r="AN5268" s="245"/>
      <c r="AO5268" s="238">
        <v>-4.9</v>
      </c>
      <c r="AP5268" s="238">
        <v>-18.1</v>
      </c>
      <c r="AQ5268" s="235" t="s">
        <v>632</v>
      </c>
      <c r="AR5268" s="243">
        <v>1.68E11</v>
      </c>
      <c r="AS5268" s="235" t="s">
        <v>38374</v>
      </c>
      <c r="AT5268" s="235" t="s">
        <v>17</v>
      </c>
      <c r="AU5268" s="235" t="s">
        <v>634</v>
      </c>
      <c r="AV5268" s="246" t="s">
        <v>635</v>
      </c>
      <c r="AW5268" s="227"/>
      <c r="AX5268" s="227"/>
      <c r="AY5268" s="227"/>
      <c r="AZ5268" s="227"/>
      <c r="BA5268" s="227"/>
      <c r="BB5268" s="227"/>
      <c r="BC5268" s="227"/>
      <c r="BD5268" s="227"/>
      <c r="BE5268" s="227"/>
      <c r="BF5268" s="227"/>
    </row>
    <row r="5269">
      <c r="A5269" s="235" t="s">
        <v>38762</v>
      </c>
      <c r="C5269" s="235" t="s">
        <v>38763</v>
      </c>
      <c r="D5269" s="235" t="s">
        <v>38764</v>
      </c>
      <c r="E5269" s="243">
        <v>6.49E13</v>
      </c>
      <c r="F5269" s="245"/>
      <c r="G5269" s="235" t="s">
        <v>38765</v>
      </c>
      <c r="H5269" s="235" t="s">
        <v>38766</v>
      </c>
      <c r="I5269" s="235" t="s">
        <v>38766</v>
      </c>
      <c r="J5269" s="235" t="s">
        <v>38767</v>
      </c>
      <c r="K5269" s="235" t="s">
        <v>38768</v>
      </c>
      <c r="N5269" s="235" t="s">
        <v>47</v>
      </c>
      <c r="O5269" s="235" t="s">
        <v>270</v>
      </c>
      <c r="P5269" s="238">
        <v>1.0</v>
      </c>
      <c r="Q5269" s="235" t="s">
        <v>627</v>
      </c>
      <c r="R5269" s="238">
        <v>236.19</v>
      </c>
      <c r="S5269" s="238">
        <v>11.57</v>
      </c>
      <c r="T5269" s="238">
        <v>0.0</v>
      </c>
      <c r="U5269" s="238">
        <v>0.0</v>
      </c>
      <c r="V5269" s="238">
        <v>0.0</v>
      </c>
      <c r="W5269" s="238">
        <v>0.0</v>
      </c>
      <c r="X5269" s="235" t="s">
        <v>628</v>
      </c>
      <c r="Z5269" s="245"/>
      <c r="AA5269" s="245"/>
      <c r="AB5269" s="245"/>
      <c r="AC5269" s="235" t="s">
        <v>3195</v>
      </c>
      <c r="AD5269" s="235" t="s">
        <v>881</v>
      </c>
      <c r="AE5269" s="238">
        <v>751014.0</v>
      </c>
      <c r="AF5269" s="235" t="s">
        <v>631</v>
      </c>
      <c r="AG5269" s="245"/>
      <c r="AH5269" s="245"/>
      <c r="AI5269" s="245"/>
      <c r="AJ5269" s="245"/>
      <c r="AK5269" s="245"/>
      <c r="AL5269" s="245"/>
      <c r="AM5269" s="245"/>
      <c r="AN5269" s="245"/>
      <c r="AO5269" s="238">
        <v>-4.72</v>
      </c>
      <c r="AP5269" s="238">
        <v>0.0</v>
      </c>
      <c r="AQ5269" s="235" t="s">
        <v>632</v>
      </c>
      <c r="AR5269" s="243">
        <v>2.02E11</v>
      </c>
      <c r="AS5269" s="235" t="s">
        <v>37983</v>
      </c>
      <c r="AT5269" s="235" t="s">
        <v>11</v>
      </c>
      <c r="AU5269" s="235" t="s">
        <v>634</v>
      </c>
      <c r="AV5269" s="246" t="s">
        <v>635</v>
      </c>
      <c r="AW5269" s="227"/>
      <c r="AX5269" s="227"/>
      <c r="AY5269" s="227"/>
      <c r="AZ5269" s="227"/>
      <c r="BA5269" s="227"/>
      <c r="BB5269" s="227"/>
      <c r="BC5269" s="227"/>
      <c r="BD5269" s="227"/>
      <c r="BE5269" s="227"/>
      <c r="BF5269" s="227"/>
    </row>
    <row r="5270">
      <c r="A5270" s="235" t="s">
        <v>38769</v>
      </c>
      <c r="C5270" s="235" t="s">
        <v>38770</v>
      </c>
      <c r="D5270" s="235" t="s">
        <v>38771</v>
      </c>
      <c r="E5270" s="243">
        <v>6.49E13</v>
      </c>
      <c r="F5270" s="245"/>
      <c r="G5270" s="235" t="s">
        <v>38772</v>
      </c>
      <c r="H5270" s="235" t="s">
        <v>38773</v>
      </c>
      <c r="I5270" s="235" t="s">
        <v>38773</v>
      </c>
      <c r="J5270" s="235" t="s">
        <v>38774</v>
      </c>
      <c r="K5270" s="235" t="s">
        <v>38775</v>
      </c>
      <c r="N5270" s="235" t="s">
        <v>98</v>
      </c>
      <c r="O5270" s="235" t="s">
        <v>357</v>
      </c>
      <c r="P5270" s="238">
        <v>1.0</v>
      </c>
      <c r="Q5270" s="235" t="s">
        <v>627</v>
      </c>
      <c r="R5270" s="238">
        <v>244.76</v>
      </c>
      <c r="S5270" s="238">
        <v>12.24</v>
      </c>
      <c r="T5270" s="238">
        <v>38.1</v>
      </c>
      <c r="U5270" s="238">
        <v>1.9</v>
      </c>
      <c r="V5270" s="238">
        <v>0.0</v>
      </c>
      <c r="W5270" s="238">
        <v>0.0</v>
      </c>
      <c r="X5270" s="235" t="s">
        <v>628</v>
      </c>
      <c r="Z5270" s="245"/>
      <c r="AA5270" s="245"/>
      <c r="AB5270" s="245"/>
      <c r="AC5270" s="235" t="s">
        <v>38776</v>
      </c>
      <c r="AD5270" s="235" t="s">
        <v>845</v>
      </c>
      <c r="AE5270" s="238">
        <v>425109.0</v>
      </c>
      <c r="AF5270" s="235" t="s">
        <v>631</v>
      </c>
      <c r="AG5270" s="245"/>
      <c r="AH5270" s="245"/>
      <c r="AI5270" s="245"/>
      <c r="AJ5270" s="245"/>
      <c r="AK5270" s="245"/>
      <c r="AL5270" s="245"/>
      <c r="AM5270" s="245"/>
      <c r="AN5270" s="245"/>
      <c r="AO5270" s="238">
        <v>0.0</v>
      </c>
      <c r="AP5270" s="238">
        <v>-38.1</v>
      </c>
      <c r="AQ5270" s="235" t="s">
        <v>2778</v>
      </c>
      <c r="AR5270" s="243">
        <v>7.82E10</v>
      </c>
      <c r="AS5270" s="235" t="s">
        <v>28482</v>
      </c>
      <c r="AT5270" s="235" t="s">
        <v>11</v>
      </c>
      <c r="AU5270" s="235" t="s">
        <v>634</v>
      </c>
      <c r="AV5270" s="246" t="s">
        <v>635</v>
      </c>
      <c r="AW5270" s="227"/>
      <c r="AX5270" s="227"/>
      <c r="AY5270" s="227"/>
      <c r="AZ5270" s="227"/>
      <c r="BA5270" s="227"/>
      <c r="BB5270" s="227"/>
      <c r="BC5270" s="227"/>
      <c r="BD5270" s="227"/>
      <c r="BE5270" s="227"/>
      <c r="BF5270" s="227"/>
    </row>
    <row r="5271">
      <c r="A5271" s="235" t="s">
        <v>38777</v>
      </c>
      <c r="C5271" s="235" t="s">
        <v>38778</v>
      </c>
      <c r="D5271" s="235" t="s">
        <v>38779</v>
      </c>
      <c r="E5271" s="243">
        <v>6.49E13</v>
      </c>
      <c r="F5271" s="245"/>
      <c r="G5271" s="235" t="s">
        <v>38780</v>
      </c>
      <c r="H5271" s="235" t="s">
        <v>38781</v>
      </c>
      <c r="I5271" s="235" t="s">
        <v>38781</v>
      </c>
      <c r="J5271" s="235" t="s">
        <v>38782</v>
      </c>
      <c r="K5271" s="235" t="s">
        <v>38783</v>
      </c>
      <c r="N5271" s="235" t="s">
        <v>138</v>
      </c>
      <c r="O5271" s="235" t="s">
        <v>675</v>
      </c>
      <c r="P5271" s="238">
        <v>1.0</v>
      </c>
      <c r="Q5271" s="235" t="s">
        <v>627</v>
      </c>
      <c r="R5271" s="238">
        <v>244.76</v>
      </c>
      <c r="S5271" s="238">
        <v>12.0</v>
      </c>
      <c r="T5271" s="238">
        <v>0.0</v>
      </c>
      <c r="U5271" s="238">
        <v>0.0</v>
      </c>
      <c r="V5271" s="238">
        <v>0.0</v>
      </c>
      <c r="W5271" s="238">
        <v>0.0</v>
      </c>
      <c r="X5271" s="235" t="s">
        <v>628</v>
      </c>
      <c r="Z5271" s="245"/>
      <c r="AA5271" s="245"/>
      <c r="AB5271" s="245"/>
      <c r="AC5271" s="235" t="s">
        <v>10769</v>
      </c>
      <c r="AD5271" s="235" t="s">
        <v>845</v>
      </c>
      <c r="AE5271" s="238">
        <v>422003.0</v>
      </c>
      <c r="AF5271" s="235" t="s">
        <v>631</v>
      </c>
      <c r="AG5271" s="245"/>
      <c r="AH5271" s="245"/>
      <c r="AI5271" s="245"/>
      <c r="AJ5271" s="245"/>
      <c r="AK5271" s="245"/>
      <c r="AL5271" s="245"/>
      <c r="AM5271" s="245"/>
      <c r="AN5271" s="245"/>
      <c r="AO5271" s="238">
        <v>-4.9</v>
      </c>
      <c r="AP5271" s="238">
        <v>0.0</v>
      </c>
      <c r="AQ5271" s="235" t="s">
        <v>632</v>
      </c>
      <c r="AR5271" s="243">
        <v>1.68E11</v>
      </c>
      <c r="AS5271" s="235" t="s">
        <v>37983</v>
      </c>
      <c r="AT5271" s="235" t="s">
        <v>17</v>
      </c>
      <c r="AU5271" s="235" t="s">
        <v>634</v>
      </c>
      <c r="AV5271" s="246" t="s">
        <v>635</v>
      </c>
      <c r="AW5271" s="227"/>
      <c r="AX5271" s="227"/>
      <c r="AY5271" s="227"/>
      <c r="AZ5271" s="227"/>
      <c r="BA5271" s="227"/>
      <c r="BB5271" s="227"/>
      <c r="BC5271" s="227"/>
      <c r="BD5271" s="227"/>
      <c r="BE5271" s="227"/>
      <c r="BF5271" s="227"/>
    </row>
    <row r="5272">
      <c r="A5272" s="235" t="s">
        <v>38784</v>
      </c>
      <c r="C5272" s="235" t="s">
        <v>38785</v>
      </c>
      <c r="D5272" s="235" t="s">
        <v>38786</v>
      </c>
      <c r="E5272" s="243">
        <v>6.49E13</v>
      </c>
      <c r="F5272" s="245"/>
      <c r="G5272" s="235" t="s">
        <v>38787</v>
      </c>
      <c r="H5272" s="235" t="s">
        <v>38788</v>
      </c>
      <c r="I5272" s="235" t="s">
        <v>38788</v>
      </c>
      <c r="J5272" s="235" t="s">
        <v>38789</v>
      </c>
      <c r="K5272" s="235" t="s">
        <v>38790</v>
      </c>
      <c r="N5272" s="235" t="s">
        <v>68</v>
      </c>
      <c r="O5272" s="235" t="s">
        <v>208</v>
      </c>
      <c r="P5272" s="238">
        <v>1.0</v>
      </c>
      <c r="Q5272" s="235" t="s">
        <v>627</v>
      </c>
      <c r="R5272" s="238">
        <v>246.67</v>
      </c>
      <c r="S5272" s="238">
        <v>12.33</v>
      </c>
      <c r="T5272" s="238">
        <v>0.0</v>
      </c>
      <c r="U5272" s="238">
        <v>0.0</v>
      </c>
      <c r="V5272" s="238">
        <v>0.0</v>
      </c>
      <c r="W5272" s="238">
        <v>0.0</v>
      </c>
      <c r="X5272" s="235" t="s">
        <v>628</v>
      </c>
      <c r="Z5272" s="245"/>
      <c r="AA5272" s="245"/>
      <c r="AB5272" s="245"/>
      <c r="AC5272" s="235" t="s">
        <v>697</v>
      </c>
      <c r="AD5272" s="235" t="s">
        <v>698</v>
      </c>
      <c r="AE5272" s="238">
        <v>500085.0</v>
      </c>
      <c r="AF5272" s="235" t="s">
        <v>631</v>
      </c>
      <c r="AG5272" s="245"/>
      <c r="AH5272" s="245"/>
      <c r="AI5272" s="245"/>
      <c r="AJ5272" s="245"/>
      <c r="AK5272" s="245"/>
      <c r="AL5272" s="245"/>
      <c r="AM5272" s="245"/>
      <c r="AN5272" s="245"/>
      <c r="AO5272" s="238">
        <v>0.0</v>
      </c>
      <c r="AP5272" s="238">
        <v>0.0</v>
      </c>
      <c r="AQ5272" s="235" t="s">
        <v>632</v>
      </c>
      <c r="AR5272" s="243">
        <v>3.7E11</v>
      </c>
      <c r="AS5272" s="235" t="s">
        <v>36667</v>
      </c>
      <c r="AT5272" s="235" t="s">
        <v>11</v>
      </c>
      <c r="AU5272" s="235" t="s">
        <v>634</v>
      </c>
      <c r="AV5272" s="246" t="s">
        <v>635</v>
      </c>
      <c r="AW5272" s="227"/>
      <c r="AX5272" s="227"/>
      <c r="AY5272" s="227"/>
      <c r="AZ5272" s="227"/>
      <c r="BA5272" s="227"/>
      <c r="BB5272" s="227"/>
      <c r="BC5272" s="227"/>
      <c r="BD5272" s="227"/>
      <c r="BE5272" s="227"/>
      <c r="BF5272" s="227"/>
    </row>
    <row r="5273">
      <c r="A5273" s="235" t="s">
        <v>38791</v>
      </c>
      <c r="C5273" s="235" t="s">
        <v>38792</v>
      </c>
      <c r="D5273" s="235" t="s">
        <v>38793</v>
      </c>
      <c r="E5273" s="243">
        <v>6.49E13</v>
      </c>
      <c r="F5273" s="245"/>
      <c r="G5273" s="235" t="s">
        <v>38794</v>
      </c>
      <c r="H5273" s="235" t="s">
        <v>38795</v>
      </c>
      <c r="I5273" s="235" t="s">
        <v>38795</v>
      </c>
      <c r="J5273" s="235" t="s">
        <v>38796</v>
      </c>
      <c r="K5273" s="235" t="s">
        <v>38797</v>
      </c>
      <c r="N5273" s="235" t="s">
        <v>134</v>
      </c>
      <c r="O5273" s="235" t="s">
        <v>314</v>
      </c>
      <c r="P5273" s="238">
        <v>1.0</v>
      </c>
      <c r="Q5273" s="235" t="s">
        <v>627</v>
      </c>
      <c r="R5273" s="238">
        <v>244.76</v>
      </c>
      <c r="S5273" s="238">
        <v>12.0</v>
      </c>
      <c r="T5273" s="238">
        <v>0.0</v>
      </c>
      <c r="U5273" s="238">
        <v>0.0</v>
      </c>
      <c r="V5273" s="238">
        <v>0.0</v>
      </c>
      <c r="W5273" s="238">
        <v>0.0</v>
      </c>
      <c r="X5273" s="235" t="s">
        <v>628</v>
      </c>
      <c r="Z5273" s="245"/>
      <c r="AA5273" s="245"/>
      <c r="AB5273" s="245"/>
      <c r="AC5273" s="235" t="s">
        <v>687</v>
      </c>
      <c r="AD5273" s="235" t="s">
        <v>666</v>
      </c>
      <c r="AE5273" s="238">
        <v>600087.0</v>
      </c>
      <c r="AF5273" s="235" t="s">
        <v>631</v>
      </c>
      <c r="AG5273" s="245"/>
      <c r="AH5273" s="245"/>
      <c r="AI5273" s="245"/>
      <c r="AJ5273" s="245"/>
      <c r="AK5273" s="245"/>
      <c r="AL5273" s="245"/>
      <c r="AM5273" s="245"/>
      <c r="AN5273" s="245"/>
      <c r="AO5273" s="238">
        <v>-4.9</v>
      </c>
      <c r="AP5273" s="238">
        <v>0.0</v>
      </c>
      <c r="AQ5273" s="235" t="s">
        <v>632</v>
      </c>
      <c r="AR5273" s="243">
        <v>3.7E11</v>
      </c>
      <c r="AS5273" s="235" t="s">
        <v>36667</v>
      </c>
      <c r="AT5273" s="235" t="s">
        <v>11</v>
      </c>
      <c r="AU5273" s="235" t="s">
        <v>634</v>
      </c>
      <c r="AV5273" s="246" t="s">
        <v>635</v>
      </c>
      <c r="AW5273" s="227"/>
      <c r="AX5273" s="227"/>
      <c r="AY5273" s="227"/>
      <c r="AZ5273" s="227"/>
      <c r="BA5273" s="227"/>
      <c r="BB5273" s="227"/>
      <c r="BC5273" s="227"/>
      <c r="BD5273" s="227"/>
      <c r="BE5273" s="227"/>
      <c r="BF5273" s="227"/>
    </row>
    <row r="5274">
      <c r="A5274" s="235" t="s">
        <v>38798</v>
      </c>
      <c r="C5274" s="235" t="s">
        <v>38799</v>
      </c>
      <c r="D5274" s="235" t="s">
        <v>38800</v>
      </c>
      <c r="E5274" s="243">
        <v>6.49E13</v>
      </c>
      <c r="F5274" s="245"/>
      <c r="G5274" s="235" t="s">
        <v>38801</v>
      </c>
      <c r="H5274" s="235" t="s">
        <v>38802</v>
      </c>
      <c r="I5274" s="235" t="s">
        <v>38802</v>
      </c>
      <c r="J5274" s="235" t="s">
        <v>38803</v>
      </c>
      <c r="K5274" s="235" t="s">
        <v>38804</v>
      </c>
      <c r="N5274" s="235" t="s">
        <v>54</v>
      </c>
      <c r="O5274" s="235" t="s">
        <v>294</v>
      </c>
      <c r="P5274" s="238">
        <v>1.0</v>
      </c>
      <c r="Q5274" s="235" t="s">
        <v>627</v>
      </c>
      <c r="R5274" s="238">
        <v>246.67</v>
      </c>
      <c r="S5274" s="238">
        <v>11.96</v>
      </c>
      <c r="T5274" s="238">
        <v>75.24</v>
      </c>
      <c r="U5274" s="238">
        <v>3.76</v>
      </c>
      <c r="V5274" s="238">
        <v>0.0</v>
      </c>
      <c r="W5274" s="238">
        <v>0.0</v>
      </c>
      <c r="X5274" s="235" t="s">
        <v>628</v>
      </c>
      <c r="Z5274" s="245"/>
      <c r="AA5274" s="245"/>
      <c r="AB5274" s="245"/>
      <c r="AC5274" s="235" t="s">
        <v>697</v>
      </c>
      <c r="AD5274" s="235" t="s">
        <v>698</v>
      </c>
      <c r="AE5274" s="238">
        <v>500032.0</v>
      </c>
      <c r="AF5274" s="235" t="s">
        <v>631</v>
      </c>
      <c r="AG5274" s="245"/>
      <c r="AH5274" s="245"/>
      <c r="AI5274" s="245"/>
      <c r="AJ5274" s="245"/>
      <c r="AK5274" s="245"/>
      <c r="AL5274" s="245"/>
      <c r="AM5274" s="245"/>
      <c r="AN5274" s="245"/>
      <c r="AO5274" s="238">
        <v>-7.4</v>
      </c>
      <c r="AP5274" s="238">
        <v>-75.24</v>
      </c>
      <c r="AQ5274" s="235" t="s">
        <v>632</v>
      </c>
      <c r="AR5274" s="243">
        <v>2.02E11</v>
      </c>
      <c r="AS5274" s="235" t="s">
        <v>37983</v>
      </c>
      <c r="AT5274" s="235" t="s">
        <v>156</v>
      </c>
      <c r="AU5274" s="235" t="s">
        <v>634</v>
      </c>
      <c r="AV5274" s="246" t="s">
        <v>635</v>
      </c>
      <c r="AW5274" s="227"/>
      <c r="AX5274" s="227"/>
      <c r="AY5274" s="227"/>
      <c r="AZ5274" s="227"/>
      <c r="BA5274" s="227"/>
      <c r="BB5274" s="227"/>
      <c r="BC5274" s="227"/>
      <c r="BD5274" s="227"/>
      <c r="BE5274" s="227"/>
      <c r="BF5274" s="227"/>
    </row>
    <row r="5275">
      <c r="A5275" s="235" t="s">
        <v>38798</v>
      </c>
      <c r="C5275" s="235" t="s">
        <v>38799</v>
      </c>
      <c r="D5275" s="235" t="s">
        <v>38805</v>
      </c>
      <c r="E5275" s="243">
        <v>6.49E13</v>
      </c>
      <c r="F5275" s="245"/>
      <c r="G5275" s="235" t="s">
        <v>38801</v>
      </c>
      <c r="H5275" s="235" t="s">
        <v>38802</v>
      </c>
      <c r="I5275" s="235" t="s">
        <v>38802</v>
      </c>
      <c r="J5275" s="235" t="s">
        <v>38803</v>
      </c>
      <c r="K5275" s="235" t="s">
        <v>38804</v>
      </c>
      <c r="N5275" s="235" t="s">
        <v>54</v>
      </c>
      <c r="O5275" s="235" t="s">
        <v>294</v>
      </c>
      <c r="P5275" s="238">
        <v>2.0</v>
      </c>
      <c r="Q5275" s="235" t="s">
        <v>627</v>
      </c>
      <c r="R5275" s="238">
        <v>493.34</v>
      </c>
      <c r="S5275" s="238">
        <v>23.92</v>
      </c>
      <c r="T5275" s="238">
        <v>150.48</v>
      </c>
      <c r="U5275" s="238">
        <v>7.52</v>
      </c>
      <c r="V5275" s="238">
        <v>0.0</v>
      </c>
      <c r="W5275" s="238">
        <v>0.0</v>
      </c>
      <c r="X5275" s="235" t="s">
        <v>628</v>
      </c>
      <c r="Z5275" s="245"/>
      <c r="AA5275" s="245"/>
      <c r="AB5275" s="245"/>
      <c r="AC5275" s="235" t="s">
        <v>697</v>
      </c>
      <c r="AD5275" s="235" t="s">
        <v>698</v>
      </c>
      <c r="AE5275" s="238">
        <v>500032.0</v>
      </c>
      <c r="AF5275" s="235" t="s">
        <v>631</v>
      </c>
      <c r="AG5275" s="245"/>
      <c r="AH5275" s="245"/>
      <c r="AI5275" s="245"/>
      <c r="AJ5275" s="245"/>
      <c r="AK5275" s="245"/>
      <c r="AL5275" s="245"/>
      <c r="AM5275" s="245"/>
      <c r="AN5275" s="245"/>
      <c r="AO5275" s="238">
        <v>-14.8</v>
      </c>
      <c r="AP5275" s="238">
        <v>-150.48</v>
      </c>
      <c r="AQ5275" s="235" t="s">
        <v>632</v>
      </c>
      <c r="AR5275" s="243">
        <v>2.02E11</v>
      </c>
      <c r="AS5275" s="235" t="s">
        <v>37983</v>
      </c>
      <c r="AT5275" s="235" t="s">
        <v>156</v>
      </c>
      <c r="AU5275" s="235" t="s">
        <v>634</v>
      </c>
      <c r="AV5275" s="246" t="s">
        <v>635</v>
      </c>
      <c r="AW5275" s="227"/>
      <c r="AX5275" s="227"/>
      <c r="AY5275" s="227"/>
      <c r="AZ5275" s="227"/>
      <c r="BA5275" s="227"/>
      <c r="BB5275" s="227"/>
      <c r="BC5275" s="227"/>
      <c r="BD5275" s="227"/>
      <c r="BE5275" s="227"/>
      <c r="BF5275" s="227"/>
    </row>
    <row r="5276">
      <c r="A5276" s="235" t="s">
        <v>38806</v>
      </c>
      <c r="C5276" s="235" t="s">
        <v>38807</v>
      </c>
      <c r="D5276" s="235" t="s">
        <v>38808</v>
      </c>
      <c r="E5276" s="243">
        <v>6.49E13</v>
      </c>
      <c r="F5276" s="245"/>
      <c r="G5276" s="235" t="s">
        <v>38809</v>
      </c>
      <c r="H5276" s="235" t="s">
        <v>38810</v>
      </c>
      <c r="I5276" s="235" t="s">
        <v>38810</v>
      </c>
      <c r="J5276" s="235" t="s">
        <v>38811</v>
      </c>
      <c r="K5276" s="235" t="s">
        <v>38812</v>
      </c>
      <c r="N5276" s="235" t="s">
        <v>842</v>
      </c>
      <c r="O5276" s="235" t="s">
        <v>843</v>
      </c>
      <c r="P5276" s="238">
        <v>1.0</v>
      </c>
      <c r="Q5276" s="235" t="s">
        <v>627</v>
      </c>
      <c r="R5276" s="238">
        <v>246.67</v>
      </c>
      <c r="S5276" s="238">
        <v>12.33</v>
      </c>
      <c r="T5276" s="238">
        <v>0.0</v>
      </c>
      <c r="U5276" s="238">
        <v>0.0</v>
      </c>
      <c r="V5276" s="238">
        <v>0.0</v>
      </c>
      <c r="W5276" s="238">
        <v>0.0</v>
      </c>
      <c r="X5276" s="235" t="s">
        <v>628</v>
      </c>
      <c r="Z5276" s="245"/>
      <c r="AA5276" s="245"/>
      <c r="AB5276" s="245"/>
      <c r="AC5276" s="235" t="s">
        <v>11319</v>
      </c>
      <c r="AD5276" s="235" t="s">
        <v>796</v>
      </c>
      <c r="AE5276" s="238">
        <v>110017.0</v>
      </c>
      <c r="AF5276" s="235" t="s">
        <v>631</v>
      </c>
      <c r="AG5276" s="245"/>
      <c r="AH5276" s="245"/>
      <c r="AI5276" s="245"/>
      <c r="AJ5276" s="245"/>
      <c r="AK5276" s="245"/>
      <c r="AL5276" s="245"/>
      <c r="AM5276" s="245"/>
      <c r="AN5276" s="245"/>
      <c r="AO5276" s="238">
        <v>0.0</v>
      </c>
      <c r="AP5276" s="238">
        <v>0.0</v>
      </c>
      <c r="AQ5276" s="235" t="s">
        <v>632</v>
      </c>
      <c r="AR5276" s="243">
        <v>1.68E11</v>
      </c>
      <c r="AS5276" s="235" t="s">
        <v>38374</v>
      </c>
      <c r="AT5276" s="235" t="s">
        <v>533</v>
      </c>
      <c r="AU5276" s="235" t="s">
        <v>634</v>
      </c>
      <c r="AV5276" s="246" t="s">
        <v>635</v>
      </c>
      <c r="AW5276" s="227"/>
      <c r="AX5276" s="227"/>
      <c r="AY5276" s="227"/>
      <c r="AZ5276" s="227"/>
      <c r="BA5276" s="227"/>
      <c r="BB5276" s="227"/>
      <c r="BC5276" s="227"/>
      <c r="BD5276" s="227"/>
      <c r="BE5276" s="227"/>
      <c r="BF5276" s="227"/>
    </row>
    <row r="5277">
      <c r="A5277" s="235" t="s">
        <v>38813</v>
      </c>
      <c r="C5277" s="235" t="s">
        <v>38814</v>
      </c>
      <c r="D5277" s="235" t="s">
        <v>38815</v>
      </c>
      <c r="E5277" s="243">
        <v>6.48E13</v>
      </c>
      <c r="F5277" s="245"/>
      <c r="G5277" s="235" t="s">
        <v>38816</v>
      </c>
      <c r="H5277" s="235" t="s">
        <v>38817</v>
      </c>
      <c r="I5277" s="235" t="s">
        <v>38817</v>
      </c>
      <c r="J5277" s="235" t="s">
        <v>38818</v>
      </c>
      <c r="K5277" s="235" t="s">
        <v>38819</v>
      </c>
      <c r="N5277" s="235" t="s">
        <v>42</v>
      </c>
      <c r="O5277" s="235" t="s">
        <v>204</v>
      </c>
      <c r="P5277" s="238">
        <v>1.0</v>
      </c>
      <c r="Q5277" s="235" t="s">
        <v>627</v>
      </c>
      <c r="R5277" s="238">
        <v>237.14</v>
      </c>
      <c r="S5277" s="238">
        <v>11.86</v>
      </c>
      <c r="T5277" s="238">
        <v>0.0</v>
      </c>
      <c r="U5277" s="238">
        <v>0.0</v>
      </c>
      <c r="V5277" s="238">
        <v>0.0</v>
      </c>
      <c r="W5277" s="238">
        <v>0.0</v>
      </c>
      <c r="X5277" s="235" t="s">
        <v>628</v>
      </c>
      <c r="Z5277" s="245"/>
      <c r="AA5277" s="245"/>
      <c r="AB5277" s="245"/>
      <c r="AC5277" s="235" t="s">
        <v>30262</v>
      </c>
      <c r="AD5277" s="235" t="s">
        <v>666</v>
      </c>
      <c r="AE5277" s="238">
        <v>641103.0</v>
      </c>
      <c r="AF5277" s="235" t="s">
        <v>631</v>
      </c>
      <c r="AG5277" s="245"/>
      <c r="AH5277" s="245"/>
      <c r="AI5277" s="245"/>
      <c r="AJ5277" s="245"/>
      <c r="AK5277" s="245"/>
      <c r="AL5277" s="245"/>
      <c r="AM5277" s="245"/>
      <c r="AN5277" s="245"/>
      <c r="AO5277" s="238">
        <v>0.0</v>
      </c>
      <c r="AP5277" s="238">
        <v>0.0</v>
      </c>
      <c r="AQ5277" s="235" t="s">
        <v>632</v>
      </c>
      <c r="AR5277" s="243">
        <v>3.7E11</v>
      </c>
      <c r="AS5277" s="235" t="s">
        <v>37983</v>
      </c>
      <c r="AT5277" s="235" t="s">
        <v>155</v>
      </c>
      <c r="AU5277" s="235" t="s">
        <v>634</v>
      </c>
      <c r="AV5277" s="246" t="s">
        <v>635</v>
      </c>
      <c r="AW5277" s="227"/>
      <c r="AX5277" s="227"/>
      <c r="AY5277" s="227"/>
      <c r="AZ5277" s="227"/>
      <c r="BA5277" s="227"/>
      <c r="BB5277" s="227"/>
      <c r="BC5277" s="227"/>
      <c r="BD5277" s="227"/>
      <c r="BE5277" s="227"/>
      <c r="BF5277" s="227"/>
    </row>
    <row r="5278">
      <c r="A5278" s="235" t="s">
        <v>38820</v>
      </c>
      <c r="C5278" s="235" t="s">
        <v>38821</v>
      </c>
      <c r="D5278" s="235" t="s">
        <v>38822</v>
      </c>
      <c r="E5278" s="243">
        <v>6.49E13</v>
      </c>
      <c r="F5278" s="245"/>
      <c r="G5278" s="235" t="s">
        <v>38823</v>
      </c>
      <c r="H5278" s="235" t="s">
        <v>38824</v>
      </c>
      <c r="I5278" s="235" t="s">
        <v>38824</v>
      </c>
      <c r="J5278" s="235" t="s">
        <v>38825</v>
      </c>
      <c r="K5278" s="235" t="s">
        <v>38826</v>
      </c>
      <c r="N5278" s="235" t="s">
        <v>71</v>
      </c>
      <c r="O5278" s="235" t="s">
        <v>240</v>
      </c>
      <c r="P5278" s="238">
        <v>1.0</v>
      </c>
      <c r="Q5278" s="235" t="s">
        <v>627</v>
      </c>
      <c r="R5278" s="238">
        <v>246.67</v>
      </c>
      <c r="S5278" s="238">
        <v>12.33</v>
      </c>
      <c r="T5278" s="238">
        <v>38.1</v>
      </c>
      <c r="U5278" s="238">
        <v>1.9</v>
      </c>
      <c r="V5278" s="238">
        <v>0.0</v>
      </c>
      <c r="W5278" s="238">
        <v>0.0</v>
      </c>
      <c r="X5278" s="235" t="s">
        <v>628</v>
      </c>
      <c r="Z5278" s="245"/>
      <c r="AA5278" s="245"/>
      <c r="AB5278" s="245"/>
      <c r="AC5278" s="235" t="s">
        <v>38827</v>
      </c>
      <c r="AD5278" s="235" t="s">
        <v>2688</v>
      </c>
      <c r="AE5278" s="238">
        <v>190014.0</v>
      </c>
      <c r="AF5278" s="235" t="s">
        <v>631</v>
      </c>
      <c r="AG5278" s="245"/>
      <c r="AH5278" s="245"/>
      <c r="AI5278" s="245"/>
      <c r="AJ5278" s="245"/>
      <c r="AK5278" s="245"/>
      <c r="AL5278" s="245"/>
      <c r="AM5278" s="245"/>
      <c r="AN5278" s="245"/>
      <c r="AO5278" s="238">
        <v>0.0</v>
      </c>
      <c r="AP5278" s="238">
        <v>-38.1</v>
      </c>
      <c r="AQ5278" s="235" t="s">
        <v>632</v>
      </c>
      <c r="AR5278" s="243">
        <v>3.7E11</v>
      </c>
      <c r="AS5278" s="235" t="s">
        <v>32455</v>
      </c>
      <c r="AT5278" s="235" t="s">
        <v>14</v>
      </c>
      <c r="AU5278" s="235" t="s">
        <v>634</v>
      </c>
      <c r="AV5278" s="246" t="s">
        <v>635</v>
      </c>
      <c r="AW5278" s="227"/>
      <c r="AX5278" s="227"/>
      <c r="AY5278" s="227"/>
      <c r="AZ5278" s="227"/>
      <c r="BA5278" s="227"/>
      <c r="BB5278" s="227"/>
      <c r="BC5278" s="227"/>
      <c r="BD5278" s="227"/>
      <c r="BE5278" s="227"/>
      <c r="BF5278" s="227"/>
    </row>
    <row r="5279">
      <c r="A5279" s="235" t="s">
        <v>38828</v>
      </c>
      <c r="C5279" s="235" t="s">
        <v>38829</v>
      </c>
      <c r="D5279" s="235" t="s">
        <v>38830</v>
      </c>
      <c r="E5279" s="243">
        <v>6.49E13</v>
      </c>
      <c r="F5279" s="245"/>
      <c r="G5279" s="235" t="s">
        <v>38831</v>
      </c>
      <c r="H5279" s="235" t="s">
        <v>38832</v>
      </c>
      <c r="I5279" s="235" t="s">
        <v>38832</v>
      </c>
      <c r="J5279" s="235" t="s">
        <v>38833</v>
      </c>
      <c r="K5279" s="235" t="s">
        <v>38834</v>
      </c>
      <c r="N5279" s="235" t="s">
        <v>144</v>
      </c>
      <c r="O5279" s="235" t="s">
        <v>232</v>
      </c>
      <c r="P5279" s="238">
        <v>1.0</v>
      </c>
      <c r="Q5279" s="235" t="s">
        <v>627</v>
      </c>
      <c r="R5279" s="238">
        <v>665.71</v>
      </c>
      <c r="S5279" s="238">
        <v>33.29</v>
      </c>
      <c r="T5279" s="238">
        <v>0.0</v>
      </c>
      <c r="U5279" s="238">
        <v>0.0</v>
      </c>
      <c r="V5279" s="238">
        <v>0.0</v>
      </c>
      <c r="W5279" s="238">
        <v>0.0</v>
      </c>
      <c r="X5279" s="235" t="s">
        <v>628</v>
      </c>
      <c r="Z5279" s="245"/>
      <c r="AA5279" s="245"/>
      <c r="AB5279" s="245"/>
      <c r="AC5279" s="235" t="s">
        <v>7065</v>
      </c>
      <c r="AD5279" s="235" t="s">
        <v>908</v>
      </c>
      <c r="AE5279" s="238">
        <v>249203.0</v>
      </c>
      <c r="AF5279" s="235" t="s">
        <v>631</v>
      </c>
      <c r="AG5279" s="245"/>
      <c r="AH5279" s="245"/>
      <c r="AI5279" s="245"/>
      <c r="AJ5279" s="245"/>
      <c r="AK5279" s="245"/>
      <c r="AL5279" s="245"/>
      <c r="AM5279" s="245"/>
      <c r="AN5279" s="245"/>
      <c r="AO5279" s="238">
        <v>0.0</v>
      </c>
      <c r="AP5279" s="238">
        <v>0.0</v>
      </c>
      <c r="AQ5279" s="235" t="s">
        <v>632</v>
      </c>
      <c r="AR5279" s="243">
        <v>3.7E11</v>
      </c>
      <c r="AS5279" s="235" t="s">
        <v>36667</v>
      </c>
      <c r="AT5279" s="235" t="s">
        <v>533</v>
      </c>
      <c r="AU5279" s="235" t="s">
        <v>634</v>
      </c>
      <c r="AV5279" s="246" t="s">
        <v>635</v>
      </c>
      <c r="AW5279" s="227"/>
      <c r="AX5279" s="227"/>
      <c r="AY5279" s="227"/>
      <c r="AZ5279" s="227"/>
      <c r="BA5279" s="227"/>
      <c r="BB5279" s="227"/>
      <c r="BC5279" s="227"/>
      <c r="BD5279" s="227"/>
      <c r="BE5279" s="227"/>
      <c r="BF5279" s="227"/>
    </row>
    <row r="5280">
      <c r="A5280" s="235" t="s">
        <v>38835</v>
      </c>
      <c r="C5280" s="235" t="s">
        <v>38836</v>
      </c>
      <c r="D5280" s="235" t="s">
        <v>38837</v>
      </c>
      <c r="E5280" s="243">
        <v>6.47E13</v>
      </c>
      <c r="F5280" s="245"/>
      <c r="G5280" s="235" t="s">
        <v>38838</v>
      </c>
      <c r="H5280" s="235" t="s">
        <v>38839</v>
      </c>
      <c r="I5280" s="235" t="s">
        <v>38839</v>
      </c>
      <c r="J5280" s="235" t="s">
        <v>38840</v>
      </c>
      <c r="K5280" s="235" t="s">
        <v>38841</v>
      </c>
      <c r="N5280" s="235" t="s">
        <v>51</v>
      </c>
      <c r="O5280" s="235" t="s">
        <v>273</v>
      </c>
      <c r="P5280" s="238">
        <v>1.0</v>
      </c>
      <c r="Q5280" s="235" t="s">
        <v>627</v>
      </c>
      <c r="R5280" s="238">
        <v>235.24</v>
      </c>
      <c r="S5280" s="238">
        <v>11.76</v>
      </c>
      <c r="T5280" s="238">
        <v>38.1</v>
      </c>
      <c r="U5280" s="238">
        <v>1.9</v>
      </c>
      <c r="V5280" s="238">
        <v>0.0</v>
      </c>
      <c r="W5280" s="238">
        <v>0.0</v>
      </c>
      <c r="X5280" s="235" t="s">
        <v>628</v>
      </c>
      <c r="Z5280" s="245"/>
      <c r="AA5280" s="245"/>
      <c r="AB5280" s="245"/>
      <c r="AC5280" s="235" t="s">
        <v>757</v>
      </c>
      <c r="AD5280" s="235" t="s">
        <v>666</v>
      </c>
      <c r="AE5280" s="238">
        <v>625007.0</v>
      </c>
      <c r="AF5280" s="235" t="s">
        <v>631</v>
      </c>
      <c r="AG5280" s="245"/>
      <c r="AH5280" s="245"/>
      <c r="AI5280" s="245"/>
      <c r="AJ5280" s="245"/>
      <c r="AK5280" s="245"/>
      <c r="AL5280" s="245"/>
      <c r="AM5280" s="245"/>
      <c r="AN5280" s="245"/>
      <c r="AO5280" s="238">
        <v>0.0</v>
      </c>
      <c r="AP5280" s="238">
        <v>-38.1</v>
      </c>
      <c r="AQ5280" s="235" t="s">
        <v>632</v>
      </c>
      <c r="AR5280" s="243">
        <v>3.7E11</v>
      </c>
      <c r="AS5280" s="235" t="s">
        <v>37983</v>
      </c>
      <c r="AT5280" s="235" t="s">
        <v>155</v>
      </c>
      <c r="AU5280" s="235" t="s">
        <v>634</v>
      </c>
      <c r="AV5280" s="246" t="s">
        <v>635</v>
      </c>
      <c r="AW5280" s="227"/>
      <c r="AX5280" s="227"/>
      <c r="AY5280" s="227"/>
      <c r="AZ5280" s="227"/>
      <c r="BA5280" s="227"/>
      <c r="BB5280" s="227"/>
      <c r="BC5280" s="227"/>
      <c r="BD5280" s="227"/>
      <c r="BE5280" s="227"/>
      <c r="BF5280" s="227"/>
    </row>
    <row r="5281">
      <c r="A5281" s="235" t="s">
        <v>38842</v>
      </c>
      <c r="C5281" s="235" t="s">
        <v>38843</v>
      </c>
      <c r="D5281" s="235" t="s">
        <v>38844</v>
      </c>
      <c r="E5281" s="243">
        <v>6.49E13</v>
      </c>
      <c r="F5281" s="245"/>
      <c r="G5281" s="235" t="s">
        <v>38845</v>
      </c>
      <c r="H5281" s="235" t="s">
        <v>38846</v>
      </c>
      <c r="I5281" s="235" t="s">
        <v>38846</v>
      </c>
      <c r="J5281" s="235" t="s">
        <v>38847</v>
      </c>
      <c r="K5281" s="235" t="s">
        <v>38848</v>
      </c>
      <c r="N5281" s="235" t="s">
        <v>130</v>
      </c>
      <c r="O5281" s="235" t="s">
        <v>707</v>
      </c>
      <c r="P5281" s="238">
        <v>1.0</v>
      </c>
      <c r="Q5281" s="235" t="s">
        <v>627</v>
      </c>
      <c r="R5281" s="238">
        <v>243.81</v>
      </c>
      <c r="S5281" s="238">
        <v>12.19</v>
      </c>
      <c r="T5281" s="238">
        <v>0.0</v>
      </c>
      <c r="U5281" s="238">
        <v>0.0</v>
      </c>
      <c r="V5281" s="238">
        <v>0.0</v>
      </c>
      <c r="W5281" s="238">
        <v>0.0</v>
      </c>
      <c r="X5281" s="235" t="s">
        <v>628</v>
      </c>
      <c r="Z5281" s="245"/>
      <c r="AA5281" s="245"/>
      <c r="AB5281" s="245"/>
      <c r="AC5281" s="235" t="s">
        <v>6436</v>
      </c>
      <c r="AD5281" s="235" t="s">
        <v>1499</v>
      </c>
      <c r="AE5281" s="238">
        <v>452018.0</v>
      </c>
      <c r="AF5281" s="235" t="s">
        <v>631</v>
      </c>
      <c r="AG5281" s="245"/>
      <c r="AH5281" s="245"/>
      <c r="AI5281" s="245"/>
      <c r="AJ5281" s="245"/>
      <c r="AK5281" s="245"/>
      <c r="AL5281" s="245"/>
      <c r="AM5281" s="245"/>
      <c r="AN5281" s="245"/>
      <c r="AO5281" s="238">
        <v>0.0</v>
      </c>
      <c r="AP5281" s="238">
        <v>0.0</v>
      </c>
      <c r="AQ5281" s="235" t="s">
        <v>632</v>
      </c>
      <c r="AR5281" s="243">
        <v>3.7E11</v>
      </c>
      <c r="AS5281" s="235" t="s">
        <v>36667</v>
      </c>
      <c r="AT5281" s="235" t="s">
        <v>17</v>
      </c>
      <c r="AU5281" s="235" t="s">
        <v>634</v>
      </c>
      <c r="AV5281" s="246" t="s">
        <v>635</v>
      </c>
      <c r="AW5281" s="227"/>
      <c r="AX5281" s="227"/>
      <c r="AY5281" s="227"/>
      <c r="AZ5281" s="227"/>
      <c r="BA5281" s="227"/>
      <c r="BB5281" s="227"/>
      <c r="BC5281" s="227"/>
      <c r="BD5281" s="227"/>
      <c r="BE5281" s="227"/>
      <c r="BF5281" s="227"/>
    </row>
    <row r="5282">
      <c r="A5282" s="235" t="s">
        <v>38849</v>
      </c>
      <c r="C5282" s="235" t="s">
        <v>38850</v>
      </c>
      <c r="D5282" s="235" t="s">
        <v>38851</v>
      </c>
      <c r="E5282" s="243">
        <v>6.49E13</v>
      </c>
      <c r="F5282" s="245"/>
      <c r="G5282" s="235" t="s">
        <v>38852</v>
      </c>
      <c r="H5282" s="235" t="s">
        <v>38853</v>
      </c>
      <c r="I5282" s="235" t="s">
        <v>38854</v>
      </c>
      <c r="J5282" s="235" t="s">
        <v>38855</v>
      </c>
      <c r="K5282" s="235" t="s">
        <v>38856</v>
      </c>
      <c r="N5282" s="235" t="s">
        <v>127</v>
      </c>
      <c r="O5282" s="235" t="s">
        <v>794</v>
      </c>
      <c r="P5282" s="238">
        <v>1.0</v>
      </c>
      <c r="Q5282" s="235" t="s">
        <v>627</v>
      </c>
      <c r="R5282" s="238">
        <v>243.8</v>
      </c>
      <c r="S5282" s="238">
        <v>11.96</v>
      </c>
      <c r="T5282" s="238">
        <v>18.1</v>
      </c>
      <c r="U5282" s="238">
        <v>0.9</v>
      </c>
      <c r="V5282" s="238">
        <v>0.0</v>
      </c>
      <c r="W5282" s="238">
        <v>0.0</v>
      </c>
      <c r="X5282" s="235" t="s">
        <v>628</v>
      </c>
      <c r="Z5282" s="245"/>
      <c r="AA5282" s="245"/>
      <c r="AB5282" s="245"/>
      <c r="AC5282" s="235" t="s">
        <v>687</v>
      </c>
      <c r="AD5282" s="235" t="s">
        <v>666</v>
      </c>
      <c r="AE5282" s="238">
        <v>600070.0</v>
      </c>
      <c r="AF5282" s="235" t="s">
        <v>631</v>
      </c>
      <c r="AG5282" s="245"/>
      <c r="AH5282" s="245"/>
      <c r="AI5282" s="245"/>
      <c r="AJ5282" s="245"/>
      <c r="AK5282" s="245"/>
      <c r="AL5282" s="245"/>
      <c r="AM5282" s="245"/>
      <c r="AN5282" s="245"/>
      <c r="AO5282" s="238">
        <v>-4.88</v>
      </c>
      <c r="AP5282" s="238">
        <v>-18.1</v>
      </c>
      <c r="AQ5282" s="235" t="s">
        <v>632</v>
      </c>
      <c r="AR5282" s="243">
        <v>1.68E11</v>
      </c>
      <c r="AS5282" s="235" t="s">
        <v>38374</v>
      </c>
      <c r="AT5282" s="235" t="s">
        <v>156</v>
      </c>
      <c r="AU5282" s="235" t="s">
        <v>634</v>
      </c>
      <c r="AV5282" s="246" t="s">
        <v>635</v>
      </c>
      <c r="AW5282" s="227"/>
      <c r="AX5282" s="227"/>
      <c r="AY5282" s="227"/>
      <c r="AZ5282" s="227"/>
      <c r="BA5282" s="227"/>
      <c r="BB5282" s="227"/>
      <c r="BC5282" s="227"/>
      <c r="BD5282" s="227"/>
      <c r="BE5282" s="227"/>
      <c r="BF5282" s="227"/>
    </row>
    <row r="5283">
      <c r="A5283" s="235" t="s">
        <v>38857</v>
      </c>
      <c r="C5283" s="235" t="s">
        <v>38858</v>
      </c>
      <c r="D5283" s="235" t="s">
        <v>38859</v>
      </c>
      <c r="E5283" s="243">
        <v>6.48E13</v>
      </c>
      <c r="F5283" s="245"/>
      <c r="G5283" s="235" t="s">
        <v>38860</v>
      </c>
      <c r="H5283" s="235" t="s">
        <v>38861</v>
      </c>
      <c r="I5283" s="235" t="s">
        <v>38862</v>
      </c>
      <c r="J5283" s="235" t="s">
        <v>38863</v>
      </c>
      <c r="K5283" s="235" t="s">
        <v>35770</v>
      </c>
      <c r="N5283" s="235" t="s">
        <v>134</v>
      </c>
      <c r="O5283" s="235" t="s">
        <v>314</v>
      </c>
      <c r="P5283" s="238">
        <v>1.0</v>
      </c>
      <c r="Q5283" s="235" t="s">
        <v>627</v>
      </c>
      <c r="R5283" s="238">
        <v>244.76</v>
      </c>
      <c r="S5283" s="238">
        <v>12.0</v>
      </c>
      <c r="T5283" s="238">
        <v>38.1</v>
      </c>
      <c r="U5283" s="238">
        <v>1.9</v>
      </c>
      <c r="V5283" s="238">
        <v>0.0</v>
      </c>
      <c r="W5283" s="238">
        <v>0.0</v>
      </c>
      <c r="X5283" s="235" t="s">
        <v>628</v>
      </c>
      <c r="Z5283" s="245"/>
      <c r="AA5283" s="245"/>
      <c r="AB5283" s="245"/>
      <c r="AC5283" s="235" t="s">
        <v>678</v>
      </c>
      <c r="AD5283" s="235" t="s">
        <v>679</v>
      </c>
      <c r="AE5283" s="238">
        <v>560068.0</v>
      </c>
      <c r="AF5283" s="235" t="s">
        <v>631</v>
      </c>
      <c r="AG5283" s="245"/>
      <c r="AH5283" s="245"/>
      <c r="AI5283" s="245"/>
      <c r="AJ5283" s="245"/>
      <c r="AK5283" s="245"/>
      <c r="AL5283" s="245"/>
      <c r="AM5283" s="245"/>
      <c r="AN5283" s="245"/>
      <c r="AO5283" s="238">
        <v>-4.9</v>
      </c>
      <c r="AP5283" s="238">
        <v>-38.1</v>
      </c>
      <c r="AQ5283" s="235" t="s">
        <v>632</v>
      </c>
      <c r="AR5283" s="243">
        <v>3.7E11</v>
      </c>
      <c r="AS5283" s="235" t="s">
        <v>37983</v>
      </c>
      <c r="AT5283" s="235" t="s">
        <v>11</v>
      </c>
      <c r="AU5283" s="235" t="s">
        <v>634</v>
      </c>
      <c r="AV5283" s="246" t="s">
        <v>635</v>
      </c>
      <c r="AW5283" s="227"/>
      <c r="AX5283" s="227"/>
      <c r="AY5283" s="227"/>
      <c r="AZ5283" s="227"/>
      <c r="BA5283" s="227"/>
      <c r="BB5283" s="227"/>
      <c r="BC5283" s="227"/>
      <c r="BD5283" s="227"/>
      <c r="BE5283" s="227"/>
      <c r="BF5283" s="227"/>
    </row>
    <row r="5284">
      <c r="A5284" s="235" t="s">
        <v>38864</v>
      </c>
      <c r="C5284" s="235" t="s">
        <v>38865</v>
      </c>
      <c r="D5284" s="235" t="s">
        <v>38866</v>
      </c>
      <c r="E5284" s="243">
        <v>6.49E13</v>
      </c>
      <c r="F5284" s="245"/>
      <c r="G5284" s="235" t="s">
        <v>38867</v>
      </c>
      <c r="H5284" s="235" t="s">
        <v>38868</v>
      </c>
      <c r="I5284" s="235" t="s">
        <v>38868</v>
      </c>
      <c r="J5284" s="235" t="s">
        <v>38869</v>
      </c>
      <c r="K5284" s="235" t="s">
        <v>38870</v>
      </c>
      <c r="N5284" s="235" t="s">
        <v>717</v>
      </c>
      <c r="O5284" s="235" t="s">
        <v>718</v>
      </c>
      <c r="P5284" s="238">
        <v>1.0</v>
      </c>
      <c r="Q5284" s="235" t="s">
        <v>627</v>
      </c>
      <c r="R5284" s="238">
        <v>456.2</v>
      </c>
      <c r="S5284" s="238">
        <v>22.8</v>
      </c>
      <c r="T5284" s="238">
        <v>0.0</v>
      </c>
      <c r="U5284" s="238">
        <v>0.0</v>
      </c>
      <c r="V5284" s="238">
        <v>0.0</v>
      </c>
      <c r="W5284" s="238">
        <v>0.0</v>
      </c>
      <c r="X5284" s="235" t="s">
        <v>628</v>
      </c>
      <c r="Z5284" s="245"/>
      <c r="AA5284" s="245"/>
      <c r="AB5284" s="245"/>
      <c r="AC5284" s="235" t="s">
        <v>38871</v>
      </c>
      <c r="AD5284" s="235" t="s">
        <v>666</v>
      </c>
      <c r="AE5284" s="238">
        <v>602026.0</v>
      </c>
      <c r="AF5284" s="235" t="s">
        <v>631</v>
      </c>
      <c r="AG5284" s="245"/>
      <c r="AH5284" s="245"/>
      <c r="AI5284" s="245"/>
      <c r="AJ5284" s="245"/>
      <c r="AK5284" s="245"/>
      <c r="AL5284" s="245"/>
      <c r="AM5284" s="245"/>
      <c r="AN5284" s="245"/>
      <c r="AO5284" s="238">
        <v>0.0</v>
      </c>
      <c r="AP5284" s="238">
        <v>0.0</v>
      </c>
      <c r="AQ5284" s="235" t="s">
        <v>632</v>
      </c>
      <c r="AR5284" s="243">
        <v>3.7E11</v>
      </c>
      <c r="AS5284" s="235" t="s">
        <v>37983</v>
      </c>
      <c r="AT5284" s="235" t="s">
        <v>156</v>
      </c>
      <c r="AU5284" s="235" t="s">
        <v>634</v>
      </c>
      <c r="AV5284" s="246" t="s">
        <v>635</v>
      </c>
      <c r="AW5284" s="227"/>
      <c r="AX5284" s="227"/>
      <c r="AY5284" s="227"/>
      <c r="AZ5284" s="227"/>
      <c r="BA5284" s="227"/>
      <c r="BB5284" s="227"/>
      <c r="BC5284" s="227"/>
      <c r="BD5284" s="227"/>
      <c r="BE5284" s="227"/>
      <c r="BF5284" s="227"/>
    </row>
    <row r="5285">
      <c r="A5285" s="235" t="s">
        <v>38872</v>
      </c>
      <c r="C5285" s="235" t="s">
        <v>38873</v>
      </c>
      <c r="D5285" s="235" t="s">
        <v>38874</v>
      </c>
      <c r="E5285" s="243">
        <v>6.48E13</v>
      </c>
      <c r="F5285" s="245"/>
      <c r="G5285" s="235" t="s">
        <v>38875</v>
      </c>
      <c r="H5285" s="235" t="s">
        <v>38876</v>
      </c>
      <c r="I5285" s="235" t="s">
        <v>38877</v>
      </c>
      <c r="J5285" s="235" t="s">
        <v>38878</v>
      </c>
      <c r="K5285" s="235" t="s">
        <v>38879</v>
      </c>
      <c r="N5285" s="235" t="s">
        <v>127</v>
      </c>
      <c r="O5285" s="235" t="s">
        <v>794</v>
      </c>
      <c r="P5285" s="238">
        <v>1.0</v>
      </c>
      <c r="Q5285" s="235" t="s">
        <v>627</v>
      </c>
      <c r="R5285" s="238">
        <v>243.8</v>
      </c>
      <c r="S5285" s="238">
        <v>12.2</v>
      </c>
      <c r="T5285" s="238">
        <v>38.1</v>
      </c>
      <c r="U5285" s="238">
        <v>1.9</v>
      </c>
      <c r="V5285" s="238">
        <v>0.0</v>
      </c>
      <c r="W5285" s="238">
        <v>0.0</v>
      </c>
      <c r="X5285" s="235" t="s">
        <v>628</v>
      </c>
      <c r="Z5285" s="245"/>
      <c r="AA5285" s="245"/>
      <c r="AB5285" s="245"/>
      <c r="AC5285" s="235" t="s">
        <v>687</v>
      </c>
      <c r="AD5285" s="235" t="s">
        <v>666</v>
      </c>
      <c r="AE5285" s="238">
        <v>600088.0</v>
      </c>
      <c r="AF5285" s="235" t="s">
        <v>631</v>
      </c>
      <c r="AG5285" s="245"/>
      <c r="AH5285" s="245"/>
      <c r="AI5285" s="245"/>
      <c r="AJ5285" s="245"/>
      <c r="AK5285" s="245"/>
      <c r="AL5285" s="245"/>
      <c r="AM5285" s="245"/>
      <c r="AN5285" s="245"/>
      <c r="AO5285" s="238">
        <v>0.0</v>
      </c>
      <c r="AP5285" s="238">
        <v>-38.1</v>
      </c>
      <c r="AQ5285" s="235" t="s">
        <v>632</v>
      </c>
      <c r="AR5285" s="243">
        <v>3.7E11</v>
      </c>
      <c r="AS5285" s="235" t="s">
        <v>37983</v>
      </c>
      <c r="AT5285" s="235" t="s">
        <v>156</v>
      </c>
      <c r="AU5285" s="235" t="s">
        <v>634</v>
      </c>
      <c r="AV5285" s="246" t="s">
        <v>635</v>
      </c>
      <c r="AW5285" s="227"/>
      <c r="AX5285" s="227"/>
      <c r="AY5285" s="227"/>
      <c r="AZ5285" s="227"/>
      <c r="BA5285" s="227"/>
      <c r="BB5285" s="227"/>
      <c r="BC5285" s="227"/>
      <c r="BD5285" s="227"/>
      <c r="BE5285" s="227"/>
      <c r="BF5285" s="227"/>
    </row>
    <row r="5286">
      <c r="A5286" s="235" t="s">
        <v>38880</v>
      </c>
      <c r="C5286" s="235" t="s">
        <v>38881</v>
      </c>
      <c r="D5286" s="235" t="s">
        <v>38882</v>
      </c>
      <c r="E5286" s="243">
        <v>6.49E13</v>
      </c>
      <c r="F5286" s="245"/>
      <c r="G5286" s="235" t="s">
        <v>38883</v>
      </c>
      <c r="H5286" s="235" t="s">
        <v>38884</v>
      </c>
      <c r="I5286" s="235" t="s">
        <v>38884</v>
      </c>
      <c r="J5286" s="235" t="s">
        <v>38885</v>
      </c>
      <c r="K5286" s="235" t="s">
        <v>38886</v>
      </c>
      <c r="N5286" s="235" t="s">
        <v>19</v>
      </c>
      <c r="O5286" s="235" t="s">
        <v>571</v>
      </c>
      <c r="P5286" s="238">
        <v>1.0</v>
      </c>
      <c r="Q5286" s="235" t="s">
        <v>627</v>
      </c>
      <c r="R5286" s="238">
        <v>360.96</v>
      </c>
      <c r="S5286" s="238">
        <v>17.14</v>
      </c>
      <c r="T5286" s="238">
        <v>0.0</v>
      </c>
      <c r="U5286" s="238">
        <v>0.0</v>
      </c>
      <c r="V5286" s="238">
        <v>0.0</v>
      </c>
      <c r="W5286" s="238">
        <v>0.0</v>
      </c>
      <c r="X5286" s="235" t="s">
        <v>628</v>
      </c>
      <c r="Z5286" s="245"/>
      <c r="AA5286" s="245"/>
      <c r="AB5286" s="245"/>
      <c r="AC5286" s="235" t="s">
        <v>1058</v>
      </c>
      <c r="AD5286" s="235" t="s">
        <v>845</v>
      </c>
      <c r="AE5286" s="238">
        <v>400104.0</v>
      </c>
      <c r="AF5286" s="235" t="s">
        <v>631</v>
      </c>
      <c r="AG5286" s="245"/>
      <c r="AH5286" s="245"/>
      <c r="AI5286" s="245"/>
      <c r="AJ5286" s="245"/>
      <c r="AK5286" s="245"/>
      <c r="AL5286" s="245"/>
      <c r="AM5286" s="245"/>
      <c r="AN5286" s="245"/>
      <c r="AO5286" s="238">
        <v>-18.05</v>
      </c>
      <c r="AP5286" s="238">
        <v>0.0</v>
      </c>
      <c r="AQ5286" s="235" t="s">
        <v>632</v>
      </c>
      <c r="AR5286" s="243">
        <v>3.7E11</v>
      </c>
      <c r="AS5286" s="235" t="s">
        <v>37983</v>
      </c>
      <c r="AT5286" s="235" t="s">
        <v>16</v>
      </c>
      <c r="AU5286" s="235" t="s">
        <v>634</v>
      </c>
      <c r="AV5286" s="246" t="s">
        <v>635</v>
      </c>
      <c r="AW5286" s="227"/>
      <c r="AX5286" s="227"/>
      <c r="AY5286" s="227"/>
      <c r="AZ5286" s="227"/>
      <c r="BA5286" s="227"/>
      <c r="BB5286" s="227"/>
      <c r="BC5286" s="227"/>
      <c r="BD5286" s="227"/>
      <c r="BE5286" s="227"/>
      <c r="BF5286" s="227"/>
    </row>
    <row r="5287">
      <c r="A5287" s="235" t="s">
        <v>38880</v>
      </c>
      <c r="C5287" s="235" t="s">
        <v>38881</v>
      </c>
      <c r="D5287" s="235" t="s">
        <v>38887</v>
      </c>
      <c r="E5287" s="243">
        <v>6.49E13</v>
      </c>
      <c r="F5287" s="245"/>
      <c r="G5287" s="235" t="s">
        <v>38883</v>
      </c>
      <c r="H5287" s="235" t="s">
        <v>38884</v>
      </c>
      <c r="I5287" s="235" t="s">
        <v>38884</v>
      </c>
      <c r="J5287" s="235" t="s">
        <v>38885</v>
      </c>
      <c r="K5287" s="235" t="s">
        <v>38886</v>
      </c>
      <c r="N5287" s="235" t="s">
        <v>19</v>
      </c>
      <c r="O5287" s="235" t="s">
        <v>571</v>
      </c>
      <c r="P5287" s="238">
        <v>1.0</v>
      </c>
      <c r="Q5287" s="235" t="s">
        <v>627</v>
      </c>
      <c r="R5287" s="238">
        <v>360.96</v>
      </c>
      <c r="S5287" s="238">
        <v>17.14</v>
      </c>
      <c r="T5287" s="238">
        <v>0.0</v>
      </c>
      <c r="U5287" s="238">
        <v>0.0</v>
      </c>
      <c r="V5287" s="238">
        <v>0.0</v>
      </c>
      <c r="W5287" s="238">
        <v>0.0</v>
      </c>
      <c r="X5287" s="235" t="s">
        <v>628</v>
      </c>
      <c r="Z5287" s="245"/>
      <c r="AA5287" s="245"/>
      <c r="AB5287" s="245"/>
      <c r="AC5287" s="235" t="s">
        <v>1058</v>
      </c>
      <c r="AD5287" s="235" t="s">
        <v>845</v>
      </c>
      <c r="AE5287" s="238">
        <v>400104.0</v>
      </c>
      <c r="AF5287" s="235" t="s">
        <v>631</v>
      </c>
      <c r="AG5287" s="245"/>
      <c r="AH5287" s="245"/>
      <c r="AI5287" s="245"/>
      <c r="AJ5287" s="245"/>
      <c r="AK5287" s="245"/>
      <c r="AL5287" s="245"/>
      <c r="AM5287" s="245"/>
      <c r="AN5287" s="245"/>
      <c r="AO5287" s="238">
        <v>-18.04</v>
      </c>
      <c r="AP5287" s="238">
        <v>0.0</v>
      </c>
      <c r="AQ5287" s="235" t="s">
        <v>632</v>
      </c>
      <c r="AR5287" s="243">
        <v>3.7E11</v>
      </c>
      <c r="AS5287" s="235" t="s">
        <v>37983</v>
      </c>
      <c r="AT5287" s="235" t="s">
        <v>16</v>
      </c>
      <c r="AU5287" s="235" t="s">
        <v>634</v>
      </c>
      <c r="AV5287" s="246" t="s">
        <v>635</v>
      </c>
      <c r="AW5287" s="227"/>
      <c r="AX5287" s="227"/>
      <c r="AY5287" s="227"/>
      <c r="AZ5287" s="227"/>
      <c r="BA5287" s="227"/>
      <c r="BB5287" s="227"/>
      <c r="BC5287" s="227"/>
      <c r="BD5287" s="227"/>
      <c r="BE5287" s="227"/>
      <c r="BF5287" s="227"/>
    </row>
    <row r="5288">
      <c r="A5288" s="235" t="s">
        <v>38888</v>
      </c>
      <c r="C5288" s="235" t="s">
        <v>38889</v>
      </c>
      <c r="D5288" s="235" t="s">
        <v>38890</v>
      </c>
      <c r="E5288" s="243">
        <v>6.48E13</v>
      </c>
      <c r="F5288" s="245"/>
      <c r="G5288" s="235" t="s">
        <v>38891</v>
      </c>
      <c r="H5288" s="235" t="s">
        <v>38892</v>
      </c>
      <c r="I5288" s="235" t="s">
        <v>38892</v>
      </c>
      <c r="J5288" s="235" t="s">
        <v>38893</v>
      </c>
      <c r="K5288" s="235" t="s">
        <v>38894</v>
      </c>
      <c r="N5288" s="235" t="s">
        <v>42</v>
      </c>
      <c r="O5288" s="235" t="s">
        <v>204</v>
      </c>
      <c r="P5288" s="238">
        <v>1.0</v>
      </c>
      <c r="Q5288" s="235" t="s">
        <v>627</v>
      </c>
      <c r="R5288" s="238">
        <v>0.0</v>
      </c>
      <c r="S5288" s="238">
        <v>0.0</v>
      </c>
      <c r="T5288" s="238">
        <v>0.0</v>
      </c>
      <c r="U5288" s="238">
        <v>0.0</v>
      </c>
      <c r="V5288" s="238">
        <v>0.0</v>
      </c>
      <c r="W5288" s="238">
        <v>0.0</v>
      </c>
      <c r="X5288" s="235" t="s">
        <v>628</v>
      </c>
      <c r="Z5288" s="245"/>
      <c r="AA5288" s="245"/>
      <c r="AB5288" s="245"/>
      <c r="AC5288" s="235" t="s">
        <v>678</v>
      </c>
      <c r="AD5288" s="235" t="s">
        <v>679</v>
      </c>
      <c r="AE5288" s="238">
        <v>560077.0</v>
      </c>
      <c r="AF5288" s="235" t="s">
        <v>631</v>
      </c>
      <c r="AG5288" s="245"/>
      <c r="AH5288" s="245"/>
      <c r="AI5288" s="245"/>
      <c r="AJ5288" s="245"/>
      <c r="AK5288" s="245"/>
      <c r="AL5288" s="245"/>
      <c r="AM5288" s="245"/>
      <c r="AN5288" s="245"/>
      <c r="AO5288" s="238">
        <v>0.0</v>
      </c>
      <c r="AP5288" s="238">
        <v>0.0</v>
      </c>
      <c r="AQ5288" s="235" t="s">
        <v>632</v>
      </c>
      <c r="AR5288" s="243">
        <v>3.7E11</v>
      </c>
      <c r="AS5288" s="235" t="s">
        <v>37983</v>
      </c>
      <c r="AT5288" s="235" t="s">
        <v>11</v>
      </c>
      <c r="AU5288" s="235" t="s">
        <v>634</v>
      </c>
      <c r="AV5288" s="246" t="s">
        <v>635</v>
      </c>
      <c r="AW5288" s="227"/>
      <c r="AX5288" s="227"/>
      <c r="AY5288" s="227"/>
      <c r="AZ5288" s="227"/>
      <c r="BA5288" s="227"/>
      <c r="BB5288" s="227"/>
      <c r="BC5288" s="227"/>
      <c r="BD5288" s="227"/>
      <c r="BE5288" s="227"/>
      <c r="BF5288" s="227"/>
    </row>
    <row r="5289">
      <c r="A5289" s="235" t="s">
        <v>38895</v>
      </c>
      <c r="C5289" s="235" t="s">
        <v>38896</v>
      </c>
      <c r="D5289" s="235" t="s">
        <v>38897</v>
      </c>
      <c r="E5289" s="243">
        <v>6.49E13</v>
      </c>
      <c r="F5289" s="245"/>
      <c r="G5289" s="235" t="s">
        <v>38898</v>
      </c>
      <c r="H5289" s="235" t="s">
        <v>38899</v>
      </c>
      <c r="I5289" s="235" t="s">
        <v>38899</v>
      </c>
      <c r="J5289" s="235" t="s">
        <v>38900</v>
      </c>
      <c r="K5289" s="235" t="s">
        <v>38901</v>
      </c>
      <c r="N5289" s="235" t="s">
        <v>82</v>
      </c>
      <c r="O5289" s="235" t="s">
        <v>889</v>
      </c>
      <c r="P5289" s="238">
        <v>1.0</v>
      </c>
      <c r="Q5289" s="235" t="s">
        <v>627</v>
      </c>
      <c r="R5289" s="238">
        <v>243.8</v>
      </c>
      <c r="S5289" s="238">
        <v>12.2</v>
      </c>
      <c r="T5289" s="238">
        <v>38.1</v>
      </c>
      <c r="U5289" s="238">
        <v>1.9</v>
      </c>
      <c r="V5289" s="238">
        <v>0.0</v>
      </c>
      <c r="W5289" s="238">
        <v>0.0</v>
      </c>
      <c r="X5289" s="235" t="s">
        <v>628</v>
      </c>
      <c r="Z5289" s="245"/>
      <c r="AA5289" s="245"/>
      <c r="AB5289" s="245"/>
      <c r="AC5289" s="235" t="s">
        <v>38902</v>
      </c>
      <c r="AD5289" s="235" t="s">
        <v>845</v>
      </c>
      <c r="AE5289" s="238">
        <v>445304.0</v>
      </c>
      <c r="AF5289" s="235" t="s">
        <v>631</v>
      </c>
      <c r="AG5289" s="245"/>
      <c r="AH5289" s="245"/>
      <c r="AI5289" s="245"/>
      <c r="AJ5289" s="245"/>
      <c r="AK5289" s="245"/>
      <c r="AL5289" s="245"/>
      <c r="AM5289" s="245"/>
      <c r="AN5289" s="245"/>
      <c r="AO5289" s="238">
        <v>0.0</v>
      </c>
      <c r="AP5289" s="238">
        <v>-38.1</v>
      </c>
      <c r="AQ5289" s="235" t="s">
        <v>632</v>
      </c>
      <c r="AR5289" s="243">
        <v>3.7E11</v>
      </c>
      <c r="AS5289" s="235" t="s">
        <v>34510</v>
      </c>
      <c r="AT5289" s="235" t="s">
        <v>546</v>
      </c>
      <c r="AU5289" s="235" t="s">
        <v>634</v>
      </c>
      <c r="AV5289" s="246" t="s">
        <v>635</v>
      </c>
      <c r="AW5289" s="227"/>
      <c r="AX5289" s="227"/>
      <c r="AY5289" s="227"/>
      <c r="AZ5289" s="227"/>
      <c r="BA5289" s="227"/>
      <c r="BB5289" s="227"/>
      <c r="BC5289" s="227"/>
      <c r="BD5289" s="227"/>
      <c r="BE5289" s="227"/>
      <c r="BF5289" s="227"/>
    </row>
    <row r="5290">
      <c r="A5290" s="235" t="s">
        <v>38903</v>
      </c>
      <c r="C5290" s="235" t="s">
        <v>38904</v>
      </c>
      <c r="D5290" s="235" t="s">
        <v>38905</v>
      </c>
      <c r="E5290" s="243">
        <v>6.49E13</v>
      </c>
      <c r="F5290" s="245"/>
      <c r="G5290" s="235" t="s">
        <v>38906</v>
      </c>
      <c r="H5290" s="235" t="s">
        <v>38907</v>
      </c>
      <c r="I5290" s="235" t="s">
        <v>38908</v>
      </c>
      <c r="J5290" s="235" t="s">
        <v>38909</v>
      </c>
      <c r="K5290" s="235" t="s">
        <v>38910</v>
      </c>
      <c r="N5290" s="235" t="s">
        <v>120</v>
      </c>
      <c r="O5290" s="235" t="s">
        <v>324</v>
      </c>
      <c r="P5290" s="238">
        <v>1.0</v>
      </c>
      <c r="Q5290" s="235" t="s">
        <v>627</v>
      </c>
      <c r="R5290" s="238">
        <v>244.76</v>
      </c>
      <c r="S5290" s="238">
        <v>12.0</v>
      </c>
      <c r="T5290" s="238">
        <v>0.0</v>
      </c>
      <c r="U5290" s="238">
        <v>0.0</v>
      </c>
      <c r="V5290" s="238">
        <v>0.0</v>
      </c>
      <c r="W5290" s="238">
        <v>0.0</v>
      </c>
      <c r="X5290" s="235" t="s">
        <v>628</v>
      </c>
      <c r="Z5290" s="245"/>
      <c r="AA5290" s="245"/>
      <c r="AB5290" s="245"/>
      <c r="AC5290" s="235" t="s">
        <v>1287</v>
      </c>
      <c r="AD5290" s="235" t="s">
        <v>630</v>
      </c>
      <c r="AE5290" s="238">
        <v>201016.0</v>
      </c>
      <c r="AF5290" s="235" t="s">
        <v>631</v>
      </c>
      <c r="AG5290" s="245"/>
      <c r="AH5290" s="245"/>
      <c r="AI5290" s="245"/>
      <c r="AJ5290" s="245"/>
      <c r="AK5290" s="245"/>
      <c r="AL5290" s="245"/>
      <c r="AM5290" s="245"/>
      <c r="AN5290" s="245"/>
      <c r="AO5290" s="238">
        <v>-4.9</v>
      </c>
      <c r="AP5290" s="238">
        <v>0.0</v>
      </c>
      <c r="AQ5290" s="235" t="s">
        <v>632</v>
      </c>
      <c r="AR5290" s="243">
        <v>1.68E11</v>
      </c>
      <c r="AS5290" s="235" t="s">
        <v>38374</v>
      </c>
      <c r="AT5290" s="235" t="s">
        <v>533</v>
      </c>
      <c r="AU5290" s="235" t="s">
        <v>634</v>
      </c>
      <c r="AV5290" s="246" t="s">
        <v>635</v>
      </c>
      <c r="AW5290" s="227"/>
      <c r="AX5290" s="227"/>
      <c r="AY5290" s="227"/>
      <c r="AZ5290" s="227"/>
      <c r="BA5290" s="227"/>
      <c r="BB5290" s="227"/>
      <c r="BC5290" s="227"/>
      <c r="BD5290" s="227"/>
      <c r="BE5290" s="227"/>
      <c r="BF5290" s="227"/>
    </row>
    <row r="5291">
      <c r="A5291" s="235" t="s">
        <v>38911</v>
      </c>
      <c r="C5291" s="235" t="s">
        <v>38912</v>
      </c>
      <c r="D5291" s="235" t="s">
        <v>38913</v>
      </c>
      <c r="E5291" s="243">
        <v>6.48E13</v>
      </c>
      <c r="F5291" s="245"/>
      <c r="G5291" s="235" t="s">
        <v>38914</v>
      </c>
      <c r="H5291" s="235" t="s">
        <v>38915</v>
      </c>
      <c r="I5291" s="235" t="s">
        <v>38915</v>
      </c>
      <c r="J5291" s="235" t="s">
        <v>38916</v>
      </c>
      <c r="K5291" s="235" t="s">
        <v>38917</v>
      </c>
      <c r="N5291" s="235" t="s">
        <v>42</v>
      </c>
      <c r="O5291" s="235" t="s">
        <v>204</v>
      </c>
      <c r="P5291" s="238">
        <v>1.0</v>
      </c>
      <c r="Q5291" s="235" t="s">
        <v>627</v>
      </c>
      <c r="R5291" s="238">
        <v>237.14</v>
      </c>
      <c r="S5291" s="238">
        <v>11.86</v>
      </c>
      <c r="T5291" s="238">
        <v>38.1</v>
      </c>
      <c r="U5291" s="238">
        <v>1.9</v>
      </c>
      <c r="V5291" s="238">
        <v>0.0</v>
      </c>
      <c r="W5291" s="238">
        <v>0.0</v>
      </c>
      <c r="X5291" s="235" t="s">
        <v>628</v>
      </c>
      <c r="Z5291" s="245"/>
      <c r="AA5291" s="245"/>
      <c r="AB5291" s="245"/>
      <c r="AC5291" s="235" t="s">
        <v>38918</v>
      </c>
      <c r="AD5291" s="235" t="s">
        <v>679</v>
      </c>
      <c r="AE5291" s="238">
        <v>574227.0</v>
      </c>
      <c r="AF5291" s="235" t="s">
        <v>631</v>
      </c>
      <c r="AG5291" s="245"/>
      <c r="AH5291" s="245"/>
      <c r="AI5291" s="245"/>
      <c r="AJ5291" s="245"/>
      <c r="AK5291" s="245"/>
      <c r="AL5291" s="245"/>
      <c r="AM5291" s="245"/>
      <c r="AN5291" s="245"/>
      <c r="AO5291" s="238">
        <v>0.0</v>
      </c>
      <c r="AP5291" s="238">
        <v>-38.1</v>
      </c>
      <c r="AQ5291" s="235" t="s">
        <v>632</v>
      </c>
      <c r="AR5291" s="243">
        <v>3.7E11</v>
      </c>
      <c r="AS5291" s="235" t="s">
        <v>36667</v>
      </c>
      <c r="AT5291" s="235" t="s">
        <v>11</v>
      </c>
      <c r="AU5291" s="235" t="s">
        <v>634</v>
      </c>
      <c r="AV5291" s="246" t="s">
        <v>635</v>
      </c>
      <c r="AW5291" s="227"/>
      <c r="AX5291" s="227"/>
      <c r="AY5291" s="227"/>
      <c r="AZ5291" s="227"/>
      <c r="BA5291" s="227"/>
      <c r="BB5291" s="227"/>
      <c r="BC5291" s="227"/>
      <c r="BD5291" s="227"/>
      <c r="BE5291" s="227"/>
      <c r="BF5291" s="227"/>
    </row>
    <row r="5292">
      <c r="A5292" s="235" t="s">
        <v>38919</v>
      </c>
      <c r="C5292" s="235" t="s">
        <v>38920</v>
      </c>
      <c r="D5292" s="235" t="s">
        <v>38921</v>
      </c>
      <c r="E5292" s="243">
        <v>6.49E13</v>
      </c>
      <c r="F5292" s="245"/>
      <c r="G5292" s="235" t="s">
        <v>38922</v>
      </c>
      <c r="H5292" s="235" t="s">
        <v>38923</v>
      </c>
      <c r="I5292" s="235" t="s">
        <v>38923</v>
      </c>
      <c r="J5292" s="235" t="s">
        <v>38924</v>
      </c>
      <c r="K5292" s="235" t="s">
        <v>38925</v>
      </c>
      <c r="N5292" s="235" t="s">
        <v>90</v>
      </c>
      <c r="O5292" s="235" t="s">
        <v>279</v>
      </c>
      <c r="P5292" s="238">
        <v>1.0</v>
      </c>
      <c r="Q5292" s="235" t="s">
        <v>627</v>
      </c>
      <c r="R5292" s="238">
        <v>243.81</v>
      </c>
      <c r="S5292" s="238">
        <v>12.19</v>
      </c>
      <c r="T5292" s="238">
        <v>38.1</v>
      </c>
      <c r="U5292" s="238">
        <v>1.9</v>
      </c>
      <c r="V5292" s="238">
        <v>0.0</v>
      </c>
      <c r="W5292" s="238">
        <v>0.0</v>
      </c>
      <c r="X5292" s="235" t="s">
        <v>628</v>
      </c>
      <c r="Z5292" s="245"/>
      <c r="AA5292" s="245"/>
      <c r="AB5292" s="245"/>
      <c r="AC5292" s="235" t="s">
        <v>38926</v>
      </c>
      <c r="AD5292" s="235" t="s">
        <v>1086</v>
      </c>
      <c r="AE5292" s="238">
        <v>140108.0</v>
      </c>
      <c r="AF5292" s="235" t="s">
        <v>631</v>
      </c>
      <c r="AG5292" s="245"/>
      <c r="AH5292" s="245"/>
      <c r="AI5292" s="245"/>
      <c r="AJ5292" s="245"/>
      <c r="AK5292" s="245"/>
      <c r="AL5292" s="245"/>
      <c r="AM5292" s="245"/>
      <c r="AN5292" s="245"/>
      <c r="AO5292" s="238">
        <v>0.0</v>
      </c>
      <c r="AP5292" s="238">
        <v>-38.1</v>
      </c>
      <c r="AQ5292" s="235" t="s">
        <v>632</v>
      </c>
      <c r="AR5292" s="243">
        <v>3.7E11</v>
      </c>
      <c r="AS5292" s="235" t="s">
        <v>36667</v>
      </c>
      <c r="AT5292" s="235" t="s">
        <v>533</v>
      </c>
      <c r="AU5292" s="235" t="s">
        <v>634</v>
      </c>
      <c r="AV5292" s="246" t="s">
        <v>635</v>
      </c>
      <c r="AW5292" s="227"/>
      <c r="AX5292" s="227"/>
      <c r="AY5292" s="227"/>
      <c r="AZ5292" s="227"/>
      <c r="BA5292" s="227"/>
      <c r="BB5292" s="227"/>
      <c r="BC5292" s="227"/>
      <c r="BD5292" s="227"/>
      <c r="BE5292" s="227"/>
      <c r="BF5292" s="227"/>
    </row>
    <row r="5293">
      <c r="A5293" s="235" t="s">
        <v>38927</v>
      </c>
      <c r="C5293" s="235" t="s">
        <v>38928</v>
      </c>
      <c r="D5293" s="235" t="s">
        <v>38929</v>
      </c>
      <c r="E5293" s="243">
        <v>6.48E13</v>
      </c>
      <c r="F5293" s="245"/>
      <c r="G5293" s="235" t="s">
        <v>38930</v>
      </c>
      <c r="H5293" s="235" t="s">
        <v>38931</v>
      </c>
      <c r="I5293" s="235" t="s">
        <v>38931</v>
      </c>
      <c r="J5293" s="235" t="s">
        <v>38932</v>
      </c>
      <c r="K5293" s="235" t="s">
        <v>38933</v>
      </c>
      <c r="N5293" s="235" t="s">
        <v>85</v>
      </c>
      <c r="O5293" s="235" t="s">
        <v>872</v>
      </c>
      <c r="P5293" s="238">
        <v>1.0</v>
      </c>
      <c r="Q5293" s="235" t="s">
        <v>627</v>
      </c>
      <c r="R5293" s="238">
        <v>243.8</v>
      </c>
      <c r="S5293" s="238">
        <v>12.2</v>
      </c>
      <c r="T5293" s="238">
        <v>0.0</v>
      </c>
      <c r="U5293" s="238">
        <v>0.0</v>
      </c>
      <c r="V5293" s="238">
        <v>0.0</v>
      </c>
      <c r="W5293" s="238">
        <v>0.0</v>
      </c>
      <c r="X5293" s="235" t="s">
        <v>628</v>
      </c>
      <c r="Z5293" s="245"/>
      <c r="AA5293" s="245"/>
      <c r="AB5293" s="245"/>
      <c r="AC5293" s="235" t="s">
        <v>1456</v>
      </c>
      <c r="AD5293" s="235" t="s">
        <v>928</v>
      </c>
      <c r="AE5293" s="238">
        <v>122505.0</v>
      </c>
      <c r="AF5293" s="235" t="s">
        <v>631</v>
      </c>
      <c r="AG5293" s="245"/>
      <c r="AH5293" s="245"/>
      <c r="AI5293" s="245"/>
      <c r="AJ5293" s="245"/>
      <c r="AK5293" s="245"/>
      <c r="AL5293" s="245"/>
      <c r="AM5293" s="245"/>
      <c r="AN5293" s="245"/>
      <c r="AO5293" s="238">
        <v>0.0</v>
      </c>
      <c r="AP5293" s="238">
        <v>0.0</v>
      </c>
      <c r="AQ5293" s="235" t="s">
        <v>632</v>
      </c>
      <c r="AR5293" s="243">
        <v>3.7E11</v>
      </c>
      <c r="AS5293" s="235" t="s">
        <v>37983</v>
      </c>
      <c r="AT5293" s="235" t="s">
        <v>533</v>
      </c>
      <c r="AU5293" s="235" t="s">
        <v>634</v>
      </c>
      <c r="AV5293" s="246" t="s">
        <v>635</v>
      </c>
      <c r="AW5293" s="227"/>
      <c r="AX5293" s="227"/>
      <c r="AY5293" s="227"/>
      <c r="AZ5293" s="227"/>
      <c r="BA5293" s="227"/>
      <c r="BB5293" s="227"/>
      <c r="BC5293" s="227"/>
      <c r="BD5293" s="227"/>
      <c r="BE5293" s="227"/>
      <c r="BF5293" s="227"/>
    </row>
    <row r="5294">
      <c r="A5294" s="235" t="s">
        <v>38934</v>
      </c>
      <c r="C5294" s="235" t="s">
        <v>38935</v>
      </c>
      <c r="D5294" s="235" t="s">
        <v>38936</v>
      </c>
      <c r="E5294" s="243">
        <v>6.48E13</v>
      </c>
      <c r="F5294" s="245"/>
      <c r="G5294" s="235" t="s">
        <v>38937</v>
      </c>
      <c r="H5294" s="235" t="s">
        <v>38938</v>
      </c>
      <c r="I5294" s="235" t="s">
        <v>38938</v>
      </c>
      <c r="J5294" s="235" t="s">
        <v>38939</v>
      </c>
      <c r="K5294" s="235" t="s">
        <v>38940</v>
      </c>
      <c r="N5294" s="235" t="s">
        <v>145</v>
      </c>
      <c r="O5294" s="235" t="s">
        <v>370</v>
      </c>
      <c r="P5294" s="238">
        <v>1.0</v>
      </c>
      <c r="Q5294" s="235" t="s">
        <v>627</v>
      </c>
      <c r="R5294" s="238">
        <v>1522.86</v>
      </c>
      <c r="S5294" s="238">
        <v>76.14</v>
      </c>
      <c r="T5294" s="238">
        <v>38.1</v>
      </c>
      <c r="U5294" s="238">
        <v>1.9</v>
      </c>
      <c r="V5294" s="238">
        <v>0.0</v>
      </c>
      <c r="W5294" s="238">
        <v>0.0</v>
      </c>
      <c r="X5294" s="235" t="s">
        <v>628</v>
      </c>
      <c r="Z5294" s="245"/>
      <c r="AA5294" s="245"/>
      <c r="AB5294" s="245"/>
      <c r="AC5294" s="235" t="s">
        <v>1058</v>
      </c>
      <c r="AD5294" s="235" t="s">
        <v>845</v>
      </c>
      <c r="AE5294" s="238">
        <v>400007.0</v>
      </c>
      <c r="AF5294" s="235" t="s">
        <v>631</v>
      </c>
      <c r="AG5294" s="245"/>
      <c r="AH5294" s="245"/>
      <c r="AI5294" s="245"/>
      <c r="AJ5294" s="245"/>
      <c r="AK5294" s="245"/>
      <c r="AL5294" s="245"/>
      <c r="AM5294" s="245"/>
      <c r="AN5294" s="245"/>
      <c r="AO5294" s="238">
        <v>0.0</v>
      </c>
      <c r="AP5294" s="238">
        <v>-38.1</v>
      </c>
      <c r="AQ5294" s="235" t="s">
        <v>632</v>
      </c>
      <c r="AR5294" s="243">
        <v>3.7E11</v>
      </c>
      <c r="AS5294" s="235" t="s">
        <v>36667</v>
      </c>
      <c r="AT5294" s="235" t="s">
        <v>16</v>
      </c>
      <c r="AU5294" s="235" t="s">
        <v>634</v>
      </c>
      <c r="AV5294" s="246" t="s">
        <v>635</v>
      </c>
      <c r="AW5294" s="227"/>
      <c r="AX5294" s="227"/>
      <c r="AY5294" s="227"/>
      <c r="AZ5294" s="227"/>
      <c r="BA5294" s="227"/>
      <c r="BB5294" s="227"/>
      <c r="BC5294" s="227"/>
      <c r="BD5294" s="227"/>
      <c r="BE5294" s="227"/>
      <c r="BF5294" s="227"/>
    </row>
    <row r="5295">
      <c r="A5295" s="235" t="s">
        <v>38941</v>
      </c>
      <c r="C5295" s="235" t="s">
        <v>38942</v>
      </c>
      <c r="D5295" s="235" t="s">
        <v>38943</v>
      </c>
      <c r="E5295" s="243">
        <v>6.48E13</v>
      </c>
      <c r="F5295" s="245"/>
      <c r="G5295" s="235" t="s">
        <v>38944</v>
      </c>
      <c r="H5295" s="235" t="s">
        <v>38945</v>
      </c>
      <c r="I5295" s="235" t="s">
        <v>38945</v>
      </c>
      <c r="J5295" s="235" t="s">
        <v>38946</v>
      </c>
      <c r="K5295" s="235" t="s">
        <v>38947</v>
      </c>
      <c r="N5295" s="235" t="s">
        <v>962</v>
      </c>
      <c r="O5295" s="235" t="s">
        <v>963</v>
      </c>
      <c r="P5295" s="238">
        <v>1.0</v>
      </c>
      <c r="Q5295" s="235" t="s">
        <v>627</v>
      </c>
      <c r="R5295" s="238">
        <v>245.72</v>
      </c>
      <c r="S5295" s="238">
        <v>12.28</v>
      </c>
      <c r="T5295" s="238">
        <v>0.0</v>
      </c>
      <c r="U5295" s="238">
        <v>0.0</v>
      </c>
      <c r="V5295" s="238">
        <v>0.0</v>
      </c>
      <c r="W5295" s="238">
        <v>0.0</v>
      </c>
      <c r="X5295" s="235" t="s">
        <v>628</v>
      </c>
      <c r="Z5295" s="245"/>
      <c r="AA5295" s="245"/>
      <c r="AB5295" s="245"/>
      <c r="AC5295" s="235" t="s">
        <v>33840</v>
      </c>
      <c r="AD5295" s="235" t="s">
        <v>845</v>
      </c>
      <c r="AE5295" s="238">
        <v>401601.0</v>
      </c>
      <c r="AF5295" s="235" t="s">
        <v>631</v>
      </c>
      <c r="AG5295" s="245"/>
      <c r="AH5295" s="245"/>
      <c r="AI5295" s="245"/>
      <c r="AJ5295" s="245"/>
      <c r="AK5295" s="245"/>
      <c r="AL5295" s="245"/>
      <c r="AM5295" s="245"/>
      <c r="AN5295" s="245"/>
      <c r="AO5295" s="238">
        <v>0.0</v>
      </c>
      <c r="AP5295" s="238">
        <v>0.0</v>
      </c>
      <c r="AQ5295" s="235" t="s">
        <v>632</v>
      </c>
      <c r="AR5295" s="243">
        <v>3.7E11</v>
      </c>
      <c r="AS5295" s="235" t="s">
        <v>36667</v>
      </c>
      <c r="AT5295" s="235" t="s">
        <v>16</v>
      </c>
      <c r="AU5295" s="235" t="s">
        <v>634</v>
      </c>
      <c r="AV5295" s="246" t="s">
        <v>635</v>
      </c>
      <c r="AW5295" s="227"/>
      <c r="AX5295" s="227"/>
      <c r="AY5295" s="227"/>
      <c r="AZ5295" s="227"/>
      <c r="BA5295" s="227"/>
      <c r="BB5295" s="227"/>
      <c r="BC5295" s="227"/>
      <c r="BD5295" s="227"/>
      <c r="BE5295" s="227"/>
      <c r="BF5295" s="227"/>
    </row>
    <row r="5296">
      <c r="A5296" s="235" t="s">
        <v>38948</v>
      </c>
      <c r="C5296" s="235" t="s">
        <v>38949</v>
      </c>
      <c r="D5296" s="235" t="s">
        <v>38950</v>
      </c>
      <c r="E5296" s="243">
        <v>6.49E13</v>
      </c>
      <c r="F5296" s="245"/>
      <c r="G5296" s="235" t="s">
        <v>38951</v>
      </c>
      <c r="H5296" s="235" t="s">
        <v>38952</v>
      </c>
      <c r="I5296" s="235" t="s">
        <v>38952</v>
      </c>
      <c r="J5296" s="235" t="s">
        <v>38953</v>
      </c>
      <c r="K5296" s="235" t="s">
        <v>38954</v>
      </c>
      <c r="N5296" s="235" t="s">
        <v>3</v>
      </c>
      <c r="O5296" s="235" t="s">
        <v>654</v>
      </c>
      <c r="P5296" s="238">
        <v>1.0</v>
      </c>
      <c r="Q5296" s="235" t="s">
        <v>627</v>
      </c>
      <c r="R5296" s="238">
        <v>265.71</v>
      </c>
      <c r="S5296" s="238">
        <v>13.29</v>
      </c>
      <c r="T5296" s="238">
        <v>0.0</v>
      </c>
      <c r="U5296" s="238">
        <v>0.0</v>
      </c>
      <c r="V5296" s="238">
        <v>0.0</v>
      </c>
      <c r="W5296" s="238">
        <v>0.0</v>
      </c>
      <c r="X5296" s="235" t="s">
        <v>628</v>
      </c>
      <c r="Z5296" s="245"/>
      <c r="AA5296" s="245"/>
      <c r="AB5296" s="245"/>
      <c r="AC5296" s="235" t="s">
        <v>38955</v>
      </c>
      <c r="AD5296" s="235" t="s">
        <v>645</v>
      </c>
      <c r="AE5296" s="238">
        <v>679303.0</v>
      </c>
      <c r="AF5296" s="235" t="s">
        <v>631</v>
      </c>
      <c r="AG5296" s="245"/>
      <c r="AH5296" s="245"/>
      <c r="AI5296" s="245"/>
      <c r="AJ5296" s="245"/>
      <c r="AK5296" s="245"/>
      <c r="AL5296" s="245"/>
      <c r="AM5296" s="245"/>
      <c r="AN5296" s="245"/>
      <c r="AO5296" s="238">
        <v>0.0</v>
      </c>
      <c r="AP5296" s="238">
        <v>0.0</v>
      </c>
      <c r="AQ5296" s="235" t="s">
        <v>632</v>
      </c>
      <c r="AR5296" s="243">
        <v>3.7E11</v>
      </c>
      <c r="AS5296" s="235" t="s">
        <v>37983</v>
      </c>
      <c r="AT5296" s="235" t="s">
        <v>155</v>
      </c>
      <c r="AU5296" s="235" t="s">
        <v>634</v>
      </c>
      <c r="AV5296" s="246" t="s">
        <v>635</v>
      </c>
      <c r="AW5296" s="227"/>
      <c r="AX5296" s="227"/>
      <c r="AY5296" s="227"/>
      <c r="AZ5296" s="227"/>
      <c r="BA5296" s="227"/>
      <c r="BB5296" s="227"/>
      <c r="BC5296" s="227"/>
      <c r="BD5296" s="227"/>
      <c r="BE5296" s="227"/>
      <c r="BF5296" s="227"/>
    </row>
    <row r="5297">
      <c r="A5297" s="235" t="s">
        <v>38956</v>
      </c>
      <c r="C5297" s="235" t="s">
        <v>38957</v>
      </c>
      <c r="D5297" s="235" t="s">
        <v>38958</v>
      </c>
      <c r="E5297" s="243">
        <v>6.49E13</v>
      </c>
      <c r="F5297" s="245"/>
      <c r="G5297" s="235" t="s">
        <v>38959</v>
      </c>
      <c r="H5297" s="235" t="s">
        <v>38960</v>
      </c>
      <c r="I5297" s="235" t="s">
        <v>38961</v>
      </c>
      <c r="J5297" s="235" t="s">
        <v>38962</v>
      </c>
      <c r="K5297" s="235" t="s">
        <v>38963</v>
      </c>
      <c r="N5297" s="235" t="s">
        <v>82</v>
      </c>
      <c r="O5297" s="235" t="s">
        <v>889</v>
      </c>
      <c r="P5297" s="238">
        <v>1.0</v>
      </c>
      <c r="Q5297" s="235" t="s">
        <v>627</v>
      </c>
      <c r="R5297" s="238">
        <v>243.81</v>
      </c>
      <c r="S5297" s="238">
        <v>11.95</v>
      </c>
      <c r="T5297" s="238">
        <v>38.1</v>
      </c>
      <c r="U5297" s="238">
        <v>1.9</v>
      </c>
      <c r="V5297" s="238">
        <v>0.0</v>
      </c>
      <c r="W5297" s="238">
        <v>0.0</v>
      </c>
      <c r="X5297" s="235" t="s">
        <v>628</v>
      </c>
      <c r="Z5297" s="245"/>
      <c r="AA5297" s="245"/>
      <c r="AB5297" s="245"/>
      <c r="AC5297" s="235" t="s">
        <v>38964</v>
      </c>
      <c r="AD5297" s="235" t="s">
        <v>731</v>
      </c>
      <c r="AE5297" s="238">
        <v>784125.0</v>
      </c>
      <c r="AF5297" s="235" t="s">
        <v>631</v>
      </c>
      <c r="AG5297" s="245"/>
      <c r="AH5297" s="245"/>
      <c r="AI5297" s="245"/>
      <c r="AJ5297" s="245"/>
      <c r="AK5297" s="245"/>
      <c r="AL5297" s="245"/>
      <c r="AM5297" s="245"/>
      <c r="AN5297" s="245"/>
      <c r="AO5297" s="238">
        <v>-4.88</v>
      </c>
      <c r="AP5297" s="238">
        <v>0.0</v>
      </c>
      <c r="AQ5297" s="235" t="s">
        <v>632</v>
      </c>
      <c r="AR5297" s="243">
        <v>3.7E11</v>
      </c>
      <c r="AS5297" s="235" t="s">
        <v>34510</v>
      </c>
      <c r="AT5297" s="235" t="s">
        <v>14</v>
      </c>
      <c r="AU5297" s="235" t="s">
        <v>634</v>
      </c>
      <c r="AV5297" s="246" t="s">
        <v>635</v>
      </c>
      <c r="AW5297" s="227"/>
      <c r="AX5297" s="227"/>
      <c r="AY5297" s="227"/>
      <c r="AZ5297" s="227"/>
      <c r="BA5297" s="227"/>
      <c r="BB5297" s="227"/>
      <c r="BC5297" s="227"/>
      <c r="BD5297" s="227"/>
      <c r="BE5297" s="227"/>
      <c r="BF5297" s="227"/>
    </row>
    <row r="5298">
      <c r="A5298" s="235" t="s">
        <v>38880</v>
      </c>
      <c r="C5298" s="235" t="s">
        <v>38965</v>
      </c>
      <c r="D5298" s="235" t="s">
        <v>38966</v>
      </c>
      <c r="E5298" s="243">
        <v>6.49E13</v>
      </c>
      <c r="F5298" s="245"/>
      <c r="G5298" s="235" t="s">
        <v>38883</v>
      </c>
      <c r="H5298" s="235" t="s">
        <v>38967</v>
      </c>
      <c r="I5298" s="235" t="s">
        <v>38967</v>
      </c>
      <c r="J5298" s="235" t="s">
        <v>38968</v>
      </c>
      <c r="K5298" s="235" t="s">
        <v>38886</v>
      </c>
      <c r="N5298" s="235" t="s">
        <v>19</v>
      </c>
      <c r="O5298" s="235" t="s">
        <v>571</v>
      </c>
      <c r="P5298" s="238">
        <v>1.0</v>
      </c>
      <c r="Q5298" s="235" t="s">
        <v>627</v>
      </c>
      <c r="R5298" s="238">
        <v>360.95</v>
      </c>
      <c r="S5298" s="238">
        <v>17.15</v>
      </c>
      <c r="T5298" s="238">
        <v>0.0</v>
      </c>
      <c r="U5298" s="238">
        <v>0.0</v>
      </c>
      <c r="V5298" s="238">
        <v>0.0</v>
      </c>
      <c r="W5298" s="238">
        <v>0.0</v>
      </c>
      <c r="X5298" s="235" t="s">
        <v>628</v>
      </c>
      <c r="Z5298" s="245"/>
      <c r="AA5298" s="245"/>
      <c r="AB5298" s="245"/>
      <c r="AC5298" s="235" t="s">
        <v>1058</v>
      </c>
      <c r="AD5298" s="235" t="s">
        <v>845</v>
      </c>
      <c r="AE5298" s="238">
        <v>400104.0</v>
      </c>
      <c r="AF5298" s="235" t="s">
        <v>631</v>
      </c>
      <c r="AG5298" s="245"/>
      <c r="AH5298" s="245"/>
      <c r="AI5298" s="245"/>
      <c r="AJ5298" s="245"/>
      <c r="AK5298" s="245"/>
      <c r="AL5298" s="245"/>
      <c r="AM5298" s="245"/>
      <c r="AN5298" s="245"/>
      <c r="AO5298" s="238">
        <v>-18.06</v>
      </c>
      <c r="AP5298" s="238">
        <v>0.0</v>
      </c>
      <c r="AQ5298" s="235" t="s">
        <v>632</v>
      </c>
      <c r="AR5298" s="243">
        <v>3.7E11</v>
      </c>
      <c r="AS5298" s="235" t="s">
        <v>35520</v>
      </c>
      <c r="AT5298" s="235" t="s">
        <v>155</v>
      </c>
      <c r="AU5298" s="235" t="s">
        <v>634</v>
      </c>
      <c r="AV5298" s="246" t="s">
        <v>635</v>
      </c>
      <c r="AW5298" s="227"/>
      <c r="AX5298" s="227"/>
      <c r="AY5298" s="227"/>
      <c r="AZ5298" s="227"/>
      <c r="BA5298" s="227"/>
      <c r="BB5298" s="227"/>
      <c r="BC5298" s="227"/>
      <c r="BD5298" s="227"/>
      <c r="BE5298" s="227"/>
      <c r="BF5298" s="227"/>
    </row>
    <row r="5299">
      <c r="A5299" s="235" t="s">
        <v>38880</v>
      </c>
      <c r="C5299" s="235" t="s">
        <v>38965</v>
      </c>
      <c r="D5299" s="235" t="s">
        <v>38969</v>
      </c>
      <c r="E5299" s="243">
        <v>6.49E13</v>
      </c>
      <c r="F5299" s="245"/>
      <c r="G5299" s="235" t="s">
        <v>38883</v>
      </c>
      <c r="H5299" s="235" t="s">
        <v>38967</v>
      </c>
      <c r="I5299" s="235" t="s">
        <v>38967</v>
      </c>
      <c r="J5299" s="235" t="s">
        <v>38968</v>
      </c>
      <c r="K5299" s="235" t="s">
        <v>38886</v>
      </c>
      <c r="N5299" s="235" t="s">
        <v>19</v>
      </c>
      <c r="O5299" s="235" t="s">
        <v>571</v>
      </c>
      <c r="P5299" s="238">
        <v>1.0</v>
      </c>
      <c r="Q5299" s="235" t="s">
        <v>627</v>
      </c>
      <c r="R5299" s="238">
        <v>360.95</v>
      </c>
      <c r="S5299" s="238">
        <v>17.15</v>
      </c>
      <c r="T5299" s="238">
        <v>0.0</v>
      </c>
      <c r="U5299" s="238">
        <v>0.0</v>
      </c>
      <c r="V5299" s="238">
        <v>0.0</v>
      </c>
      <c r="W5299" s="238">
        <v>0.0</v>
      </c>
      <c r="X5299" s="235" t="s">
        <v>628</v>
      </c>
      <c r="Z5299" s="245"/>
      <c r="AA5299" s="245"/>
      <c r="AB5299" s="245"/>
      <c r="AC5299" s="235" t="s">
        <v>1058</v>
      </c>
      <c r="AD5299" s="235" t="s">
        <v>845</v>
      </c>
      <c r="AE5299" s="238">
        <v>400104.0</v>
      </c>
      <c r="AF5299" s="235" t="s">
        <v>631</v>
      </c>
      <c r="AG5299" s="245"/>
      <c r="AH5299" s="245"/>
      <c r="AI5299" s="245"/>
      <c r="AJ5299" s="245"/>
      <c r="AK5299" s="245"/>
      <c r="AL5299" s="245"/>
      <c r="AM5299" s="245"/>
      <c r="AN5299" s="245"/>
      <c r="AO5299" s="238">
        <v>-18.05</v>
      </c>
      <c r="AP5299" s="238">
        <v>0.0</v>
      </c>
      <c r="AQ5299" s="235" t="s">
        <v>632</v>
      </c>
      <c r="AR5299" s="243">
        <v>3.7E11</v>
      </c>
      <c r="AS5299" s="235" t="s">
        <v>35520</v>
      </c>
      <c r="AT5299" s="235" t="s">
        <v>155</v>
      </c>
      <c r="AU5299" s="235" t="s">
        <v>634</v>
      </c>
      <c r="AV5299" s="246" t="s">
        <v>635</v>
      </c>
      <c r="AW5299" s="227"/>
      <c r="AX5299" s="227"/>
      <c r="AY5299" s="227"/>
      <c r="AZ5299" s="227"/>
      <c r="BA5299" s="227"/>
      <c r="BB5299" s="227"/>
      <c r="BC5299" s="227"/>
      <c r="BD5299" s="227"/>
      <c r="BE5299" s="227"/>
      <c r="BF5299" s="227"/>
    </row>
    <row r="5300">
      <c r="A5300" s="235" t="s">
        <v>38880</v>
      </c>
      <c r="C5300" s="235" t="s">
        <v>38965</v>
      </c>
      <c r="D5300" s="235" t="s">
        <v>38970</v>
      </c>
      <c r="E5300" s="243">
        <v>6.49E13</v>
      </c>
      <c r="F5300" s="245"/>
      <c r="G5300" s="235" t="s">
        <v>38883</v>
      </c>
      <c r="H5300" s="235" t="s">
        <v>38967</v>
      </c>
      <c r="I5300" s="235" t="s">
        <v>38967</v>
      </c>
      <c r="J5300" s="235" t="s">
        <v>38968</v>
      </c>
      <c r="K5300" s="235" t="s">
        <v>38886</v>
      </c>
      <c r="N5300" s="235" t="s">
        <v>19</v>
      </c>
      <c r="O5300" s="235" t="s">
        <v>571</v>
      </c>
      <c r="P5300" s="238">
        <v>1.0</v>
      </c>
      <c r="Q5300" s="235" t="s">
        <v>627</v>
      </c>
      <c r="R5300" s="238">
        <v>360.95</v>
      </c>
      <c r="S5300" s="238">
        <v>17.15</v>
      </c>
      <c r="T5300" s="238">
        <v>0.0</v>
      </c>
      <c r="U5300" s="238">
        <v>0.0</v>
      </c>
      <c r="V5300" s="238">
        <v>0.0</v>
      </c>
      <c r="W5300" s="238">
        <v>0.0</v>
      </c>
      <c r="X5300" s="235" t="s">
        <v>628</v>
      </c>
      <c r="Z5300" s="245"/>
      <c r="AA5300" s="245"/>
      <c r="AB5300" s="245"/>
      <c r="AC5300" s="235" t="s">
        <v>1058</v>
      </c>
      <c r="AD5300" s="235" t="s">
        <v>845</v>
      </c>
      <c r="AE5300" s="238">
        <v>400104.0</v>
      </c>
      <c r="AF5300" s="235" t="s">
        <v>631</v>
      </c>
      <c r="AG5300" s="245"/>
      <c r="AH5300" s="245"/>
      <c r="AI5300" s="245"/>
      <c r="AJ5300" s="245"/>
      <c r="AK5300" s="245"/>
      <c r="AL5300" s="245"/>
      <c r="AM5300" s="245"/>
      <c r="AN5300" s="245"/>
      <c r="AO5300" s="238">
        <v>-18.05</v>
      </c>
      <c r="AP5300" s="238">
        <v>0.0</v>
      </c>
      <c r="AQ5300" s="235" t="s">
        <v>632</v>
      </c>
      <c r="AR5300" s="243">
        <v>3.7E11</v>
      </c>
      <c r="AS5300" s="235" t="s">
        <v>35520</v>
      </c>
      <c r="AT5300" s="235" t="s">
        <v>155</v>
      </c>
      <c r="AU5300" s="235" t="s">
        <v>634</v>
      </c>
      <c r="AV5300" s="246" t="s">
        <v>635</v>
      </c>
      <c r="AW5300" s="227"/>
      <c r="AX5300" s="227"/>
      <c r="AY5300" s="227"/>
      <c r="AZ5300" s="227"/>
      <c r="BA5300" s="227"/>
      <c r="BB5300" s="227"/>
      <c r="BC5300" s="227"/>
      <c r="BD5300" s="227"/>
      <c r="BE5300" s="227"/>
      <c r="BF5300" s="227"/>
    </row>
    <row r="5301">
      <c r="A5301" s="235" t="s">
        <v>38880</v>
      </c>
      <c r="C5301" s="235" t="s">
        <v>38965</v>
      </c>
      <c r="D5301" s="235" t="s">
        <v>38971</v>
      </c>
      <c r="E5301" s="243">
        <v>6.49E13</v>
      </c>
      <c r="F5301" s="245"/>
      <c r="G5301" s="235" t="s">
        <v>38883</v>
      </c>
      <c r="H5301" s="235" t="s">
        <v>38967</v>
      </c>
      <c r="I5301" s="235" t="s">
        <v>38967</v>
      </c>
      <c r="J5301" s="235" t="s">
        <v>38968</v>
      </c>
      <c r="K5301" s="235" t="s">
        <v>38886</v>
      </c>
      <c r="N5301" s="235" t="s">
        <v>19</v>
      </c>
      <c r="O5301" s="235" t="s">
        <v>571</v>
      </c>
      <c r="P5301" s="238">
        <v>1.0</v>
      </c>
      <c r="Q5301" s="235" t="s">
        <v>627</v>
      </c>
      <c r="R5301" s="238">
        <v>360.95</v>
      </c>
      <c r="S5301" s="238">
        <v>17.15</v>
      </c>
      <c r="T5301" s="238">
        <v>0.0</v>
      </c>
      <c r="U5301" s="238">
        <v>0.0</v>
      </c>
      <c r="V5301" s="238">
        <v>0.0</v>
      </c>
      <c r="W5301" s="238">
        <v>0.0</v>
      </c>
      <c r="X5301" s="235" t="s">
        <v>628</v>
      </c>
      <c r="Z5301" s="245"/>
      <c r="AA5301" s="245"/>
      <c r="AB5301" s="245"/>
      <c r="AC5301" s="235" t="s">
        <v>1058</v>
      </c>
      <c r="AD5301" s="235" t="s">
        <v>845</v>
      </c>
      <c r="AE5301" s="238">
        <v>400104.0</v>
      </c>
      <c r="AF5301" s="235" t="s">
        <v>631</v>
      </c>
      <c r="AG5301" s="245"/>
      <c r="AH5301" s="245"/>
      <c r="AI5301" s="245"/>
      <c r="AJ5301" s="245"/>
      <c r="AK5301" s="245"/>
      <c r="AL5301" s="245"/>
      <c r="AM5301" s="245"/>
      <c r="AN5301" s="245"/>
      <c r="AO5301" s="238">
        <v>-18.05</v>
      </c>
      <c r="AP5301" s="238">
        <v>0.0</v>
      </c>
      <c r="AQ5301" s="235" t="s">
        <v>632</v>
      </c>
      <c r="AR5301" s="243">
        <v>3.7E11</v>
      </c>
      <c r="AS5301" s="235" t="s">
        <v>35520</v>
      </c>
      <c r="AT5301" s="235" t="s">
        <v>155</v>
      </c>
      <c r="AU5301" s="235" t="s">
        <v>634</v>
      </c>
      <c r="AV5301" s="246" t="s">
        <v>635</v>
      </c>
      <c r="AW5301" s="227"/>
      <c r="AX5301" s="227"/>
      <c r="AY5301" s="227"/>
      <c r="AZ5301" s="227"/>
      <c r="BA5301" s="227"/>
      <c r="BB5301" s="227"/>
      <c r="BC5301" s="227"/>
      <c r="BD5301" s="227"/>
      <c r="BE5301" s="227"/>
      <c r="BF5301" s="227"/>
    </row>
    <row r="5302">
      <c r="A5302" s="235" t="s">
        <v>38972</v>
      </c>
      <c r="C5302" s="235" t="s">
        <v>38973</v>
      </c>
      <c r="D5302" s="235" t="s">
        <v>38974</v>
      </c>
      <c r="E5302" s="243">
        <v>6.48E13</v>
      </c>
      <c r="F5302" s="245"/>
      <c r="G5302" s="235" t="s">
        <v>38975</v>
      </c>
      <c r="H5302" s="235" t="s">
        <v>38976</v>
      </c>
      <c r="I5302" s="235" t="s">
        <v>38976</v>
      </c>
      <c r="J5302" s="235" t="s">
        <v>38977</v>
      </c>
      <c r="K5302" s="235" t="s">
        <v>38978</v>
      </c>
      <c r="N5302" s="235" t="s">
        <v>82</v>
      </c>
      <c r="O5302" s="235" t="s">
        <v>889</v>
      </c>
      <c r="P5302" s="238">
        <v>1.0</v>
      </c>
      <c r="Q5302" s="235" t="s">
        <v>627</v>
      </c>
      <c r="R5302" s="238">
        <v>243.81</v>
      </c>
      <c r="S5302" s="238">
        <v>12.19</v>
      </c>
      <c r="T5302" s="238">
        <v>0.0</v>
      </c>
      <c r="U5302" s="238">
        <v>0.0</v>
      </c>
      <c r="V5302" s="238">
        <v>0.0</v>
      </c>
      <c r="W5302" s="238">
        <v>0.0</v>
      </c>
      <c r="X5302" s="235" t="s">
        <v>628</v>
      </c>
      <c r="Z5302" s="245"/>
      <c r="AA5302" s="245"/>
      <c r="AB5302" s="245"/>
      <c r="AC5302" s="235" t="s">
        <v>38979</v>
      </c>
      <c r="AD5302" s="235" t="s">
        <v>833</v>
      </c>
      <c r="AE5302" s="238">
        <v>515591.0</v>
      </c>
      <c r="AF5302" s="235" t="s">
        <v>631</v>
      </c>
      <c r="AG5302" s="245"/>
      <c r="AH5302" s="245"/>
      <c r="AI5302" s="245"/>
      <c r="AJ5302" s="245"/>
      <c r="AK5302" s="245"/>
      <c r="AL5302" s="245"/>
      <c r="AM5302" s="245"/>
      <c r="AN5302" s="245"/>
      <c r="AO5302" s="238">
        <v>0.0</v>
      </c>
      <c r="AP5302" s="238">
        <v>0.0</v>
      </c>
      <c r="AQ5302" s="235" t="s">
        <v>632</v>
      </c>
      <c r="AR5302" s="243">
        <v>3.7E11</v>
      </c>
      <c r="AS5302" s="235" t="s">
        <v>36667</v>
      </c>
      <c r="AT5302" s="235" t="s">
        <v>11</v>
      </c>
      <c r="AU5302" s="235" t="s">
        <v>634</v>
      </c>
      <c r="AV5302" s="246" t="s">
        <v>635</v>
      </c>
      <c r="AW5302" s="227"/>
      <c r="AX5302" s="227"/>
      <c r="AY5302" s="227"/>
      <c r="AZ5302" s="227"/>
      <c r="BA5302" s="227"/>
      <c r="BB5302" s="227"/>
      <c r="BC5302" s="227"/>
      <c r="BD5302" s="227"/>
      <c r="BE5302" s="227"/>
      <c r="BF5302" s="227"/>
    </row>
    <row r="5303">
      <c r="A5303" s="235" t="s">
        <v>38980</v>
      </c>
      <c r="C5303" s="235" t="s">
        <v>38981</v>
      </c>
      <c r="D5303" s="235" t="s">
        <v>38982</v>
      </c>
      <c r="E5303" s="243">
        <v>6.49E13</v>
      </c>
      <c r="F5303" s="245"/>
      <c r="G5303" s="235" t="s">
        <v>38983</v>
      </c>
      <c r="H5303" s="235" t="s">
        <v>38984</v>
      </c>
      <c r="I5303" s="235" t="s">
        <v>38984</v>
      </c>
      <c r="J5303" s="235" t="s">
        <v>38985</v>
      </c>
      <c r="K5303" s="235" t="s">
        <v>38986</v>
      </c>
      <c r="N5303" s="235" t="s">
        <v>146</v>
      </c>
      <c r="O5303" s="235" t="s">
        <v>438</v>
      </c>
      <c r="P5303" s="238">
        <v>1.0</v>
      </c>
      <c r="Q5303" s="235" t="s">
        <v>627</v>
      </c>
      <c r="R5303" s="238">
        <v>256.19</v>
      </c>
      <c r="S5303" s="238">
        <v>12.81</v>
      </c>
      <c r="T5303" s="238">
        <v>38.1</v>
      </c>
      <c r="U5303" s="238">
        <v>1.9</v>
      </c>
      <c r="V5303" s="238">
        <v>0.0</v>
      </c>
      <c r="W5303" s="238">
        <v>0.0</v>
      </c>
      <c r="X5303" s="235" t="s">
        <v>628</v>
      </c>
      <c r="Z5303" s="245"/>
      <c r="AA5303" s="245"/>
      <c r="AB5303" s="245"/>
      <c r="AC5303" s="235" t="s">
        <v>38987</v>
      </c>
      <c r="AD5303" s="235" t="s">
        <v>698</v>
      </c>
      <c r="AE5303" s="238">
        <v>507124.0</v>
      </c>
      <c r="AF5303" s="235" t="s">
        <v>631</v>
      </c>
      <c r="AG5303" s="245"/>
      <c r="AH5303" s="245"/>
      <c r="AI5303" s="245"/>
      <c r="AJ5303" s="245"/>
      <c r="AK5303" s="245"/>
      <c r="AL5303" s="245"/>
      <c r="AM5303" s="245"/>
      <c r="AN5303" s="245"/>
      <c r="AO5303" s="238">
        <v>0.0</v>
      </c>
      <c r="AP5303" s="238">
        <v>-38.1</v>
      </c>
      <c r="AQ5303" s="235" t="s">
        <v>632</v>
      </c>
      <c r="AR5303" s="243">
        <v>3.7E11</v>
      </c>
      <c r="AS5303" s="235" t="s">
        <v>35520</v>
      </c>
      <c r="AT5303" s="235" t="s">
        <v>11</v>
      </c>
      <c r="AU5303" s="235" t="s">
        <v>634</v>
      </c>
      <c r="AV5303" s="246" t="s">
        <v>635</v>
      </c>
      <c r="AW5303" s="227"/>
      <c r="AX5303" s="227"/>
      <c r="AY5303" s="227"/>
      <c r="AZ5303" s="227"/>
      <c r="BA5303" s="227"/>
      <c r="BB5303" s="227"/>
      <c r="BC5303" s="227"/>
      <c r="BD5303" s="227"/>
      <c r="BE5303" s="227"/>
      <c r="BF5303" s="227"/>
    </row>
    <row r="5304">
      <c r="A5304" s="235" t="s">
        <v>38988</v>
      </c>
      <c r="C5304" s="235" t="s">
        <v>38989</v>
      </c>
      <c r="D5304" s="235" t="s">
        <v>38990</v>
      </c>
      <c r="E5304" s="243">
        <v>6.49E13</v>
      </c>
      <c r="F5304" s="245"/>
      <c r="G5304" s="235" t="s">
        <v>38991</v>
      </c>
      <c r="H5304" s="235" t="s">
        <v>38992</v>
      </c>
      <c r="I5304" s="235" t="s">
        <v>38992</v>
      </c>
      <c r="J5304" s="235" t="s">
        <v>38993</v>
      </c>
      <c r="K5304" s="235" t="s">
        <v>38994</v>
      </c>
      <c r="N5304" s="235" t="s">
        <v>154</v>
      </c>
      <c r="O5304" s="235" t="s">
        <v>766</v>
      </c>
      <c r="P5304" s="238">
        <v>1.0</v>
      </c>
      <c r="Q5304" s="235" t="s">
        <v>627</v>
      </c>
      <c r="R5304" s="238">
        <v>465.71</v>
      </c>
      <c r="S5304" s="238">
        <v>23.29</v>
      </c>
      <c r="T5304" s="238">
        <v>0.0</v>
      </c>
      <c r="U5304" s="238">
        <v>0.0</v>
      </c>
      <c r="V5304" s="238">
        <v>0.0</v>
      </c>
      <c r="W5304" s="238">
        <v>0.0</v>
      </c>
      <c r="X5304" s="235" t="s">
        <v>628</v>
      </c>
      <c r="Z5304" s="245"/>
      <c r="AA5304" s="245"/>
      <c r="AB5304" s="245"/>
      <c r="AC5304" s="235" t="s">
        <v>1920</v>
      </c>
      <c r="AD5304" s="235" t="s">
        <v>833</v>
      </c>
      <c r="AE5304" s="238">
        <v>522006.0</v>
      </c>
      <c r="AF5304" s="235" t="s">
        <v>631</v>
      </c>
      <c r="AG5304" s="245"/>
      <c r="AH5304" s="245"/>
      <c r="AI5304" s="245"/>
      <c r="AJ5304" s="245"/>
      <c r="AK5304" s="245"/>
      <c r="AL5304" s="245"/>
      <c r="AM5304" s="245"/>
      <c r="AN5304" s="245"/>
      <c r="AO5304" s="238">
        <v>0.0</v>
      </c>
      <c r="AP5304" s="238">
        <v>0.0</v>
      </c>
      <c r="AQ5304" s="235" t="s">
        <v>632</v>
      </c>
      <c r="AR5304" s="243">
        <v>1.68E11</v>
      </c>
      <c r="AS5304" s="235" t="s">
        <v>37983</v>
      </c>
      <c r="AT5304" s="235" t="s">
        <v>156</v>
      </c>
      <c r="AU5304" s="235" t="s">
        <v>634</v>
      </c>
      <c r="AV5304" s="246" t="s">
        <v>635</v>
      </c>
      <c r="AW5304" s="227"/>
      <c r="AX5304" s="227"/>
      <c r="AY5304" s="227"/>
      <c r="AZ5304" s="227"/>
      <c r="BA5304" s="227"/>
      <c r="BB5304" s="227"/>
      <c r="BC5304" s="227"/>
      <c r="BD5304" s="227"/>
      <c r="BE5304" s="227"/>
      <c r="BF5304" s="227"/>
    </row>
    <row r="5305">
      <c r="A5305" s="235" t="s">
        <v>38995</v>
      </c>
      <c r="C5305" s="235" t="s">
        <v>38996</v>
      </c>
      <c r="D5305" s="235" t="s">
        <v>38997</v>
      </c>
      <c r="E5305" s="243">
        <v>6.48E13</v>
      </c>
      <c r="F5305" s="245"/>
      <c r="G5305" s="235" t="s">
        <v>38998</v>
      </c>
      <c r="H5305" s="235" t="s">
        <v>38999</v>
      </c>
      <c r="I5305" s="235" t="s">
        <v>38999</v>
      </c>
      <c r="J5305" s="235" t="s">
        <v>39000</v>
      </c>
      <c r="K5305" s="235" t="s">
        <v>39001</v>
      </c>
      <c r="N5305" s="235" t="s">
        <v>127</v>
      </c>
      <c r="O5305" s="235" t="s">
        <v>794</v>
      </c>
      <c r="P5305" s="238">
        <v>1.0</v>
      </c>
      <c r="Q5305" s="235" t="s">
        <v>627</v>
      </c>
      <c r="R5305" s="238">
        <v>243.8</v>
      </c>
      <c r="S5305" s="238">
        <v>11.96</v>
      </c>
      <c r="T5305" s="238">
        <v>0.0</v>
      </c>
      <c r="U5305" s="238">
        <v>0.0</v>
      </c>
      <c r="V5305" s="238">
        <v>0.0</v>
      </c>
      <c r="W5305" s="238">
        <v>0.0</v>
      </c>
      <c r="X5305" s="235" t="s">
        <v>628</v>
      </c>
      <c r="Z5305" s="245"/>
      <c r="AA5305" s="245"/>
      <c r="AB5305" s="245"/>
      <c r="AC5305" s="235" t="s">
        <v>1058</v>
      </c>
      <c r="AD5305" s="235" t="s">
        <v>845</v>
      </c>
      <c r="AE5305" s="238">
        <v>400053.0</v>
      </c>
      <c r="AF5305" s="235" t="s">
        <v>631</v>
      </c>
      <c r="AG5305" s="245"/>
      <c r="AH5305" s="245"/>
      <c r="AI5305" s="245"/>
      <c r="AJ5305" s="245"/>
      <c r="AK5305" s="245"/>
      <c r="AL5305" s="245"/>
      <c r="AM5305" s="245"/>
      <c r="AN5305" s="245"/>
      <c r="AO5305" s="238">
        <v>-4.88</v>
      </c>
      <c r="AP5305" s="238">
        <v>0.0</v>
      </c>
      <c r="AQ5305" s="235" t="s">
        <v>632</v>
      </c>
      <c r="AR5305" s="243">
        <v>3.7E11</v>
      </c>
      <c r="AS5305" s="235" t="s">
        <v>37983</v>
      </c>
      <c r="AT5305" s="235" t="s">
        <v>16</v>
      </c>
      <c r="AU5305" s="235" t="s">
        <v>634</v>
      </c>
      <c r="AV5305" s="246" t="s">
        <v>635</v>
      </c>
      <c r="AW5305" s="227"/>
      <c r="AX5305" s="227"/>
      <c r="AY5305" s="227"/>
      <c r="AZ5305" s="227"/>
      <c r="BA5305" s="227"/>
      <c r="BB5305" s="227"/>
      <c r="BC5305" s="227"/>
      <c r="BD5305" s="227"/>
      <c r="BE5305" s="227"/>
      <c r="BF5305" s="227"/>
    </row>
    <row r="5306">
      <c r="A5306" s="235" t="s">
        <v>39002</v>
      </c>
      <c r="C5306" s="235" t="s">
        <v>39003</v>
      </c>
      <c r="D5306" s="235" t="s">
        <v>39004</v>
      </c>
      <c r="E5306" s="243">
        <v>6.47E13</v>
      </c>
      <c r="F5306" s="245"/>
      <c r="G5306" s="235" t="s">
        <v>39005</v>
      </c>
      <c r="H5306" s="235" t="s">
        <v>39006</v>
      </c>
      <c r="I5306" s="235" t="s">
        <v>39006</v>
      </c>
      <c r="J5306" s="235" t="s">
        <v>39007</v>
      </c>
      <c r="K5306" s="235" t="s">
        <v>39008</v>
      </c>
      <c r="N5306" s="235" t="s">
        <v>127</v>
      </c>
      <c r="O5306" s="235" t="s">
        <v>794</v>
      </c>
      <c r="P5306" s="238">
        <v>1.0</v>
      </c>
      <c r="Q5306" s="235" t="s">
        <v>627</v>
      </c>
      <c r="R5306" s="238">
        <v>243.81</v>
      </c>
      <c r="S5306" s="238">
        <v>11.95</v>
      </c>
      <c r="T5306" s="238">
        <v>0.0</v>
      </c>
      <c r="U5306" s="238">
        <v>0.0</v>
      </c>
      <c r="V5306" s="238">
        <v>0.0</v>
      </c>
      <c r="W5306" s="238">
        <v>0.0</v>
      </c>
      <c r="X5306" s="235" t="s">
        <v>628</v>
      </c>
      <c r="Z5306" s="245"/>
      <c r="AA5306" s="245"/>
      <c r="AB5306" s="245"/>
      <c r="AC5306" s="235" t="s">
        <v>795</v>
      </c>
      <c r="AD5306" s="235" t="s">
        <v>796</v>
      </c>
      <c r="AE5306" s="238">
        <v>110017.0</v>
      </c>
      <c r="AF5306" s="235" t="s">
        <v>631</v>
      </c>
      <c r="AG5306" s="245"/>
      <c r="AH5306" s="245"/>
      <c r="AI5306" s="245"/>
      <c r="AJ5306" s="245"/>
      <c r="AK5306" s="245"/>
      <c r="AL5306" s="245"/>
      <c r="AM5306" s="245"/>
      <c r="AN5306" s="245"/>
      <c r="AO5306" s="238">
        <v>-4.88</v>
      </c>
      <c r="AP5306" s="238">
        <v>0.0</v>
      </c>
      <c r="AQ5306" s="235" t="s">
        <v>632</v>
      </c>
      <c r="AR5306" s="243">
        <v>3.7E11</v>
      </c>
      <c r="AS5306" s="235" t="s">
        <v>37983</v>
      </c>
      <c r="AT5306" s="235" t="s">
        <v>14</v>
      </c>
      <c r="AU5306" s="235" t="s">
        <v>634</v>
      </c>
      <c r="AV5306" s="246" t="s">
        <v>635</v>
      </c>
      <c r="AW5306" s="227"/>
      <c r="AX5306" s="227"/>
      <c r="AY5306" s="227"/>
      <c r="AZ5306" s="227"/>
      <c r="BA5306" s="227"/>
      <c r="BB5306" s="227"/>
      <c r="BC5306" s="227"/>
      <c r="BD5306" s="227"/>
      <c r="BE5306" s="227"/>
      <c r="BF5306" s="227"/>
    </row>
    <row r="5307">
      <c r="A5307" s="235" t="s">
        <v>39009</v>
      </c>
      <c r="C5307" s="235" t="s">
        <v>39010</v>
      </c>
      <c r="D5307" s="235" t="s">
        <v>39011</v>
      </c>
      <c r="E5307" s="243">
        <v>6.48E13</v>
      </c>
      <c r="F5307" s="245"/>
      <c r="G5307" s="235" t="s">
        <v>39012</v>
      </c>
      <c r="H5307" s="235" t="s">
        <v>39013</v>
      </c>
      <c r="I5307" s="235" t="s">
        <v>39013</v>
      </c>
      <c r="J5307" s="235" t="s">
        <v>39014</v>
      </c>
      <c r="K5307" s="235" t="s">
        <v>39015</v>
      </c>
      <c r="N5307" s="235" t="s">
        <v>136</v>
      </c>
      <c r="O5307" s="235" t="s">
        <v>256</v>
      </c>
      <c r="P5307" s="238">
        <v>1.0</v>
      </c>
      <c r="Q5307" s="235" t="s">
        <v>627</v>
      </c>
      <c r="R5307" s="238">
        <v>244.76</v>
      </c>
      <c r="S5307" s="238">
        <v>12.24</v>
      </c>
      <c r="T5307" s="238">
        <v>0.0</v>
      </c>
      <c r="U5307" s="238">
        <v>0.0</v>
      </c>
      <c r="V5307" s="238">
        <v>0.0</v>
      </c>
      <c r="W5307" s="238">
        <v>0.0</v>
      </c>
      <c r="X5307" s="235" t="s">
        <v>628</v>
      </c>
      <c r="Z5307" s="245"/>
      <c r="AA5307" s="245"/>
      <c r="AB5307" s="245"/>
      <c r="AC5307" s="235" t="s">
        <v>1095</v>
      </c>
      <c r="AD5307" s="235" t="s">
        <v>845</v>
      </c>
      <c r="AE5307" s="238">
        <v>410206.0</v>
      </c>
      <c r="AF5307" s="235" t="s">
        <v>631</v>
      </c>
      <c r="AG5307" s="245"/>
      <c r="AH5307" s="245"/>
      <c r="AI5307" s="245"/>
      <c r="AJ5307" s="245"/>
      <c r="AK5307" s="245"/>
      <c r="AL5307" s="245"/>
      <c r="AM5307" s="245"/>
      <c r="AN5307" s="245"/>
      <c r="AO5307" s="238">
        <v>0.0</v>
      </c>
      <c r="AP5307" s="238">
        <v>0.0</v>
      </c>
      <c r="AQ5307" s="235" t="s">
        <v>632</v>
      </c>
      <c r="AR5307" s="243">
        <v>3.7E11</v>
      </c>
      <c r="AS5307" s="235" t="s">
        <v>37983</v>
      </c>
      <c r="AT5307" s="235" t="s">
        <v>16</v>
      </c>
      <c r="AU5307" s="235" t="s">
        <v>634</v>
      </c>
      <c r="AV5307" s="246" t="s">
        <v>635</v>
      </c>
      <c r="AW5307" s="227"/>
      <c r="AX5307" s="227"/>
      <c r="AY5307" s="227"/>
      <c r="AZ5307" s="227"/>
      <c r="BA5307" s="227"/>
      <c r="BB5307" s="227"/>
      <c r="BC5307" s="227"/>
      <c r="BD5307" s="227"/>
      <c r="BE5307" s="227"/>
      <c r="BF5307" s="227"/>
    </row>
    <row r="5308">
      <c r="A5308" s="235" t="s">
        <v>39016</v>
      </c>
      <c r="C5308" s="235" t="s">
        <v>39017</v>
      </c>
      <c r="D5308" s="235" t="s">
        <v>39018</v>
      </c>
      <c r="E5308" s="243">
        <v>6.48E13</v>
      </c>
      <c r="F5308" s="245"/>
      <c r="G5308" s="235" t="s">
        <v>39019</v>
      </c>
      <c r="H5308" s="235" t="s">
        <v>39020</v>
      </c>
      <c r="I5308" s="235" t="s">
        <v>39020</v>
      </c>
      <c r="J5308" s="235" t="s">
        <v>39021</v>
      </c>
      <c r="K5308" s="235" t="s">
        <v>39022</v>
      </c>
      <c r="N5308" s="235" t="s">
        <v>127</v>
      </c>
      <c r="O5308" s="235" t="s">
        <v>794</v>
      </c>
      <c r="P5308" s="238">
        <v>1.0</v>
      </c>
      <c r="Q5308" s="235" t="s">
        <v>627</v>
      </c>
      <c r="R5308" s="238">
        <v>243.81</v>
      </c>
      <c r="S5308" s="238">
        <v>12.19</v>
      </c>
      <c r="T5308" s="238">
        <v>56.19</v>
      </c>
      <c r="U5308" s="238">
        <v>2.81</v>
      </c>
      <c r="V5308" s="238">
        <v>0.0</v>
      </c>
      <c r="W5308" s="238">
        <v>0.0</v>
      </c>
      <c r="X5308" s="235" t="s">
        <v>628</v>
      </c>
      <c r="Z5308" s="245"/>
      <c r="AA5308" s="245"/>
      <c r="AB5308" s="245"/>
      <c r="AC5308" s="235" t="s">
        <v>907</v>
      </c>
      <c r="AD5308" s="235" t="s">
        <v>908</v>
      </c>
      <c r="AE5308" s="238">
        <v>248001.0</v>
      </c>
      <c r="AF5308" s="235" t="s">
        <v>631</v>
      </c>
      <c r="AG5308" s="245"/>
      <c r="AH5308" s="245"/>
      <c r="AI5308" s="245"/>
      <c r="AJ5308" s="245"/>
      <c r="AK5308" s="245"/>
      <c r="AL5308" s="245"/>
      <c r="AM5308" s="245"/>
      <c r="AN5308" s="245"/>
      <c r="AO5308" s="238">
        <v>0.0</v>
      </c>
      <c r="AP5308" s="238">
        <v>-56.19</v>
      </c>
      <c r="AQ5308" s="235" t="s">
        <v>632</v>
      </c>
      <c r="AR5308" s="243">
        <v>1.68E11</v>
      </c>
      <c r="AS5308" s="235" t="s">
        <v>37983</v>
      </c>
      <c r="AT5308" s="235" t="s">
        <v>14</v>
      </c>
      <c r="AU5308" s="235" t="s">
        <v>634</v>
      </c>
      <c r="AV5308" s="246" t="s">
        <v>635</v>
      </c>
      <c r="AW5308" s="227"/>
      <c r="AX5308" s="227"/>
      <c r="AY5308" s="227"/>
      <c r="AZ5308" s="227"/>
      <c r="BA5308" s="227"/>
      <c r="BB5308" s="227"/>
      <c r="BC5308" s="227"/>
      <c r="BD5308" s="227"/>
      <c r="BE5308" s="227"/>
      <c r="BF5308" s="227"/>
    </row>
    <row r="5309">
      <c r="A5309" s="235" t="s">
        <v>39023</v>
      </c>
      <c r="C5309" s="235" t="s">
        <v>39024</v>
      </c>
      <c r="D5309" s="235" t="s">
        <v>39025</v>
      </c>
      <c r="E5309" s="243">
        <v>6.49E13</v>
      </c>
      <c r="F5309" s="245"/>
      <c r="G5309" s="235" t="s">
        <v>39026</v>
      </c>
      <c r="H5309" s="235" t="s">
        <v>39027</v>
      </c>
      <c r="I5309" s="235" t="s">
        <v>39027</v>
      </c>
      <c r="J5309" s="235" t="s">
        <v>39028</v>
      </c>
      <c r="K5309" s="235" t="s">
        <v>39029</v>
      </c>
      <c r="N5309" s="235" t="s">
        <v>127</v>
      </c>
      <c r="O5309" s="235" t="s">
        <v>794</v>
      </c>
      <c r="P5309" s="238">
        <v>1.0</v>
      </c>
      <c r="Q5309" s="235" t="s">
        <v>627</v>
      </c>
      <c r="R5309" s="238">
        <v>243.81</v>
      </c>
      <c r="S5309" s="238">
        <v>12.19</v>
      </c>
      <c r="T5309" s="238">
        <v>0.0</v>
      </c>
      <c r="U5309" s="238">
        <v>0.0</v>
      </c>
      <c r="V5309" s="238">
        <v>0.0</v>
      </c>
      <c r="W5309" s="238">
        <v>0.0</v>
      </c>
      <c r="X5309" s="235" t="s">
        <v>628</v>
      </c>
      <c r="Z5309" s="245"/>
      <c r="AA5309" s="245"/>
      <c r="AB5309" s="245"/>
      <c r="AC5309" s="235" t="s">
        <v>39030</v>
      </c>
      <c r="AD5309" s="235" t="s">
        <v>1086</v>
      </c>
      <c r="AE5309" s="238">
        <v>144626.0</v>
      </c>
      <c r="AF5309" s="235" t="s">
        <v>631</v>
      </c>
      <c r="AG5309" s="245"/>
      <c r="AH5309" s="245"/>
      <c r="AI5309" s="245"/>
      <c r="AJ5309" s="245"/>
      <c r="AK5309" s="245"/>
      <c r="AL5309" s="245"/>
      <c r="AM5309" s="245"/>
      <c r="AN5309" s="245"/>
      <c r="AO5309" s="238">
        <v>0.0</v>
      </c>
      <c r="AP5309" s="238">
        <v>0.0</v>
      </c>
      <c r="AQ5309" s="235" t="s">
        <v>632</v>
      </c>
      <c r="AR5309" s="243">
        <v>3.7E11</v>
      </c>
      <c r="AS5309" s="235" t="s">
        <v>35520</v>
      </c>
      <c r="AT5309" s="235" t="s">
        <v>14</v>
      </c>
      <c r="AU5309" s="235" t="s">
        <v>634</v>
      </c>
      <c r="AV5309" s="246" t="s">
        <v>635</v>
      </c>
      <c r="AW5309" s="227"/>
      <c r="AX5309" s="227"/>
      <c r="AY5309" s="227"/>
      <c r="AZ5309" s="227"/>
      <c r="BA5309" s="227"/>
      <c r="BB5309" s="227"/>
      <c r="BC5309" s="227"/>
      <c r="BD5309" s="227"/>
      <c r="BE5309" s="227"/>
      <c r="BF5309" s="227"/>
    </row>
    <row r="5310">
      <c r="A5310" s="235" t="s">
        <v>39031</v>
      </c>
      <c r="C5310" s="235" t="s">
        <v>39032</v>
      </c>
      <c r="D5310" s="235" t="s">
        <v>39033</v>
      </c>
      <c r="E5310" s="243">
        <v>6.49E13</v>
      </c>
      <c r="F5310" s="245"/>
      <c r="G5310" s="235" t="s">
        <v>39034</v>
      </c>
      <c r="H5310" s="235" t="s">
        <v>39035</v>
      </c>
      <c r="I5310" s="235" t="s">
        <v>39035</v>
      </c>
      <c r="J5310" s="235" t="s">
        <v>39036</v>
      </c>
      <c r="K5310" s="235" t="s">
        <v>39037</v>
      </c>
      <c r="N5310" s="235" t="s">
        <v>138</v>
      </c>
      <c r="O5310" s="235" t="s">
        <v>675</v>
      </c>
      <c r="P5310" s="238">
        <v>1.0</v>
      </c>
      <c r="Q5310" s="235" t="s">
        <v>627</v>
      </c>
      <c r="R5310" s="238">
        <v>244.76</v>
      </c>
      <c r="S5310" s="238">
        <v>12.24</v>
      </c>
      <c r="T5310" s="238">
        <v>0.0</v>
      </c>
      <c r="U5310" s="238">
        <v>0.0</v>
      </c>
      <c r="V5310" s="238">
        <v>0.0</v>
      </c>
      <c r="W5310" s="238">
        <v>0.0</v>
      </c>
      <c r="X5310" s="235" t="s">
        <v>628</v>
      </c>
      <c r="Z5310" s="245"/>
      <c r="AA5310" s="245"/>
      <c r="AB5310" s="245"/>
      <c r="AC5310" s="235" t="s">
        <v>697</v>
      </c>
      <c r="AD5310" s="235" t="s">
        <v>698</v>
      </c>
      <c r="AE5310" s="238">
        <v>500089.0</v>
      </c>
      <c r="AF5310" s="235" t="s">
        <v>631</v>
      </c>
      <c r="AG5310" s="245"/>
      <c r="AH5310" s="245"/>
      <c r="AI5310" s="245"/>
      <c r="AJ5310" s="245"/>
      <c r="AK5310" s="245"/>
      <c r="AL5310" s="245"/>
      <c r="AM5310" s="245"/>
      <c r="AN5310" s="245"/>
      <c r="AO5310" s="238">
        <v>0.0</v>
      </c>
      <c r="AP5310" s="238">
        <v>0.0</v>
      </c>
      <c r="AQ5310" s="235" t="s">
        <v>632</v>
      </c>
      <c r="AR5310" s="243">
        <v>3.7E11</v>
      </c>
      <c r="AS5310" s="235" t="s">
        <v>36667</v>
      </c>
      <c r="AT5310" s="235" t="s">
        <v>156</v>
      </c>
      <c r="AU5310" s="235" t="s">
        <v>634</v>
      </c>
      <c r="AV5310" s="246" t="s">
        <v>635</v>
      </c>
      <c r="AW5310" s="227"/>
      <c r="AX5310" s="227"/>
      <c r="AY5310" s="227"/>
      <c r="AZ5310" s="227"/>
      <c r="BA5310" s="227"/>
      <c r="BB5310" s="227"/>
      <c r="BC5310" s="227"/>
      <c r="BD5310" s="227"/>
      <c r="BE5310" s="227"/>
      <c r="BF5310" s="227"/>
    </row>
    <row r="5311">
      <c r="A5311" s="235" t="s">
        <v>39038</v>
      </c>
      <c r="C5311" s="235" t="s">
        <v>39039</v>
      </c>
      <c r="D5311" s="235" t="s">
        <v>39040</v>
      </c>
      <c r="E5311" s="243">
        <v>6.48E13</v>
      </c>
      <c r="F5311" s="245"/>
      <c r="G5311" s="235" t="s">
        <v>39041</v>
      </c>
      <c r="H5311" s="235" t="s">
        <v>39042</v>
      </c>
      <c r="I5311" s="235" t="s">
        <v>39042</v>
      </c>
      <c r="J5311" s="235" t="s">
        <v>39043</v>
      </c>
      <c r="K5311" s="235" t="s">
        <v>39044</v>
      </c>
      <c r="N5311" s="235" t="s">
        <v>3858</v>
      </c>
      <c r="O5311" s="235" t="s">
        <v>39045</v>
      </c>
      <c r="P5311" s="238">
        <v>1.0</v>
      </c>
      <c r="Q5311" s="235" t="s">
        <v>627</v>
      </c>
      <c r="R5311" s="238">
        <v>246.67</v>
      </c>
      <c r="S5311" s="238">
        <v>12.33</v>
      </c>
      <c r="T5311" s="238">
        <v>0.0</v>
      </c>
      <c r="U5311" s="238">
        <v>0.0</v>
      </c>
      <c r="V5311" s="238">
        <v>0.0</v>
      </c>
      <c r="W5311" s="238">
        <v>0.0</v>
      </c>
      <c r="X5311" s="235" t="s">
        <v>628</v>
      </c>
      <c r="Z5311" s="245"/>
      <c r="AA5311" s="245"/>
      <c r="AB5311" s="245"/>
      <c r="AC5311" s="235" t="s">
        <v>39046</v>
      </c>
      <c r="AD5311" s="235" t="s">
        <v>881</v>
      </c>
      <c r="AE5311" s="238">
        <v>754029.0</v>
      </c>
      <c r="AF5311" s="235" t="s">
        <v>631</v>
      </c>
      <c r="AG5311" s="245"/>
      <c r="AH5311" s="245"/>
      <c r="AI5311" s="245"/>
      <c r="AJ5311" s="245"/>
      <c r="AK5311" s="245"/>
      <c r="AL5311" s="245"/>
      <c r="AM5311" s="245"/>
      <c r="AN5311" s="245"/>
      <c r="AO5311" s="238">
        <v>0.0</v>
      </c>
      <c r="AP5311" s="238">
        <v>0.0</v>
      </c>
      <c r="AQ5311" s="235" t="s">
        <v>632</v>
      </c>
      <c r="AR5311" s="243">
        <v>3.7E11</v>
      </c>
      <c r="AS5311" s="235" t="s">
        <v>34510</v>
      </c>
      <c r="AT5311" s="235" t="s">
        <v>9</v>
      </c>
      <c r="AU5311" s="235" t="s">
        <v>634</v>
      </c>
      <c r="AV5311" s="246" t="s">
        <v>635</v>
      </c>
      <c r="AW5311" s="227"/>
      <c r="AX5311" s="227"/>
      <c r="AY5311" s="227"/>
      <c r="AZ5311" s="227"/>
      <c r="BA5311" s="227"/>
      <c r="BB5311" s="227"/>
      <c r="BC5311" s="227"/>
      <c r="BD5311" s="227"/>
      <c r="BE5311" s="227"/>
      <c r="BF5311" s="227"/>
    </row>
    <row r="5312">
      <c r="A5312" s="235" t="s">
        <v>39047</v>
      </c>
      <c r="C5312" s="235" t="s">
        <v>39048</v>
      </c>
      <c r="D5312" s="235" t="s">
        <v>39049</v>
      </c>
      <c r="E5312" s="243">
        <v>6.48E13</v>
      </c>
      <c r="F5312" s="245"/>
      <c r="G5312" s="235" t="s">
        <v>39050</v>
      </c>
      <c r="H5312" s="235" t="s">
        <v>39051</v>
      </c>
      <c r="I5312" s="235" t="s">
        <v>39051</v>
      </c>
      <c r="J5312" s="235" t="s">
        <v>39052</v>
      </c>
      <c r="K5312" s="235" t="s">
        <v>39053</v>
      </c>
      <c r="N5312" s="235" t="s">
        <v>141</v>
      </c>
      <c r="O5312" s="235" t="s">
        <v>342</v>
      </c>
      <c r="P5312" s="238">
        <v>1.0</v>
      </c>
      <c r="Q5312" s="235" t="s">
        <v>627</v>
      </c>
      <c r="R5312" s="238">
        <v>244.76</v>
      </c>
      <c r="S5312" s="238">
        <v>12.24</v>
      </c>
      <c r="T5312" s="238">
        <v>0.0</v>
      </c>
      <c r="U5312" s="238">
        <v>0.0</v>
      </c>
      <c r="V5312" s="238">
        <v>0.0</v>
      </c>
      <c r="W5312" s="238">
        <v>0.0</v>
      </c>
      <c r="X5312" s="235" t="s">
        <v>628</v>
      </c>
      <c r="Z5312" s="245"/>
      <c r="AA5312" s="245"/>
      <c r="AB5312" s="245"/>
      <c r="AC5312" s="235" t="s">
        <v>6555</v>
      </c>
      <c r="AD5312" s="235" t="s">
        <v>679</v>
      </c>
      <c r="AE5312" s="238">
        <v>575002.0</v>
      </c>
      <c r="AF5312" s="235" t="s">
        <v>631</v>
      </c>
      <c r="AG5312" s="245"/>
      <c r="AH5312" s="245"/>
      <c r="AI5312" s="245"/>
      <c r="AJ5312" s="245"/>
      <c r="AK5312" s="245"/>
      <c r="AL5312" s="245"/>
      <c r="AM5312" s="245"/>
      <c r="AN5312" s="245"/>
      <c r="AO5312" s="238">
        <v>0.0</v>
      </c>
      <c r="AP5312" s="238">
        <v>0.0</v>
      </c>
      <c r="AQ5312" s="235" t="s">
        <v>632</v>
      </c>
      <c r="AR5312" s="243">
        <v>3.7E11</v>
      </c>
      <c r="AS5312" s="235" t="s">
        <v>37983</v>
      </c>
      <c r="AT5312" s="235" t="s">
        <v>11</v>
      </c>
      <c r="AU5312" s="235" t="s">
        <v>634</v>
      </c>
      <c r="AV5312" s="246" t="s">
        <v>635</v>
      </c>
      <c r="AW5312" s="227"/>
      <c r="AX5312" s="227"/>
      <c r="AY5312" s="227"/>
      <c r="AZ5312" s="227"/>
      <c r="BA5312" s="227"/>
      <c r="BB5312" s="227"/>
      <c r="BC5312" s="227"/>
      <c r="BD5312" s="227"/>
      <c r="BE5312" s="227"/>
      <c r="BF5312" s="227"/>
    </row>
    <row r="5313">
      <c r="A5313" s="235" t="s">
        <v>39054</v>
      </c>
      <c r="C5313" s="235" t="s">
        <v>39055</v>
      </c>
      <c r="D5313" s="235" t="s">
        <v>39056</v>
      </c>
      <c r="E5313" s="243">
        <v>6.48E13</v>
      </c>
      <c r="F5313" s="245"/>
      <c r="G5313" s="235" t="s">
        <v>39057</v>
      </c>
      <c r="H5313" s="235" t="s">
        <v>39058</v>
      </c>
      <c r="I5313" s="235" t="s">
        <v>39058</v>
      </c>
      <c r="J5313" s="235" t="s">
        <v>39059</v>
      </c>
      <c r="K5313" s="235" t="s">
        <v>39060</v>
      </c>
      <c r="N5313" s="235" t="s">
        <v>131</v>
      </c>
      <c r="O5313" s="235" t="s">
        <v>2148</v>
      </c>
      <c r="P5313" s="238">
        <v>1.0</v>
      </c>
      <c r="Q5313" s="235" t="s">
        <v>627</v>
      </c>
      <c r="R5313" s="238">
        <v>246.67</v>
      </c>
      <c r="S5313" s="238">
        <v>12.33</v>
      </c>
      <c r="T5313" s="238">
        <v>38.1</v>
      </c>
      <c r="U5313" s="238">
        <v>1.9</v>
      </c>
      <c r="V5313" s="238">
        <v>0.0</v>
      </c>
      <c r="W5313" s="238">
        <v>0.0</v>
      </c>
      <c r="X5313" s="235" t="s">
        <v>628</v>
      </c>
      <c r="Z5313" s="245"/>
      <c r="AA5313" s="245"/>
      <c r="AB5313" s="245"/>
      <c r="AC5313" s="235" t="s">
        <v>39061</v>
      </c>
      <c r="AD5313" s="235" t="s">
        <v>1499</v>
      </c>
      <c r="AE5313" s="238">
        <v>481222.0</v>
      </c>
      <c r="AF5313" s="235" t="s">
        <v>631</v>
      </c>
      <c r="AG5313" s="245"/>
      <c r="AH5313" s="245"/>
      <c r="AI5313" s="245"/>
      <c r="AJ5313" s="245"/>
      <c r="AK5313" s="245"/>
      <c r="AL5313" s="245"/>
      <c r="AM5313" s="245"/>
      <c r="AN5313" s="245"/>
      <c r="AO5313" s="238">
        <v>0.0</v>
      </c>
      <c r="AP5313" s="238">
        <v>-38.1</v>
      </c>
      <c r="AQ5313" s="235" t="s">
        <v>1328</v>
      </c>
      <c r="AR5313" s="243">
        <v>1.34E13</v>
      </c>
      <c r="AS5313" s="235" t="s">
        <v>32455</v>
      </c>
      <c r="AT5313" s="235" t="s">
        <v>5</v>
      </c>
      <c r="AU5313" s="235" t="s">
        <v>634</v>
      </c>
      <c r="AV5313" s="246" t="s">
        <v>635</v>
      </c>
      <c r="AW5313" s="227"/>
      <c r="AX5313" s="227"/>
      <c r="AY5313" s="227"/>
      <c r="AZ5313" s="227"/>
      <c r="BA5313" s="227"/>
      <c r="BB5313" s="227"/>
      <c r="BC5313" s="227"/>
      <c r="BD5313" s="227"/>
      <c r="BE5313" s="227"/>
      <c r="BF5313" s="227"/>
    </row>
    <row r="5314">
      <c r="A5314" s="235" t="s">
        <v>39062</v>
      </c>
      <c r="C5314" s="235" t="s">
        <v>39063</v>
      </c>
      <c r="D5314" s="235" t="s">
        <v>39064</v>
      </c>
      <c r="E5314" s="243">
        <v>6.48E13</v>
      </c>
      <c r="F5314" s="245"/>
      <c r="G5314" s="235" t="s">
        <v>39065</v>
      </c>
      <c r="H5314" s="235" t="s">
        <v>39066</v>
      </c>
      <c r="I5314" s="235" t="s">
        <v>39066</v>
      </c>
      <c r="J5314" s="235" t="s">
        <v>39067</v>
      </c>
      <c r="K5314" s="235" t="s">
        <v>39068</v>
      </c>
      <c r="N5314" s="235" t="s">
        <v>154</v>
      </c>
      <c r="O5314" s="235" t="s">
        <v>766</v>
      </c>
      <c r="P5314" s="238">
        <v>1.0</v>
      </c>
      <c r="Q5314" s="235" t="s">
        <v>627</v>
      </c>
      <c r="R5314" s="238">
        <v>465.72</v>
      </c>
      <c r="S5314" s="238">
        <v>23.28</v>
      </c>
      <c r="T5314" s="238">
        <v>94.28</v>
      </c>
      <c r="U5314" s="238">
        <v>4.72</v>
      </c>
      <c r="V5314" s="238">
        <v>0.0</v>
      </c>
      <c r="W5314" s="238">
        <v>0.0</v>
      </c>
      <c r="X5314" s="235" t="s">
        <v>628</v>
      </c>
      <c r="Z5314" s="245"/>
      <c r="AA5314" s="245"/>
      <c r="AB5314" s="245"/>
      <c r="AC5314" s="235" t="s">
        <v>4294</v>
      </c>
      <c r="AD5314" s="235" t="s">
        <v>666</v>
      </c>
      <c r="AE5314" s="238">
        <v>641601.0</v>
      </c>
      <c r="AF5314" s="235" t="s">
        <v>631</v>
      </c>
      <c r="AG5314" s="245"/>
      <c r="AH5314" s="245"/>
      <c r="AI5314" s="245"/>
      <c r="AJ5314" s="245"/>
      <c r="AK5314" s="245"/>
      <c r="AL5314" s="245"/>
      <c r="AM5314" s="245"/>
      <c r="AN5314" s="245"/>
      <c r="AO5314" s="238">
        <v>0.0</v>
      </c>
      <c r="AP5314" s="238">
        <v>0.0</v>
      </c>
      <c r="AQ5314" s="235" t="s">
        <v>632</v>
      </c>
      <c r="AR5314" s="243">
        <v>1.68E11</v>
      </c>
      <c r="AS5314" s="235" t="s">
        <v>38374</v>
      </c>
      <c r="AT5314" s="235" t="s">
        <v>155</v>
      </c>
      <c r="AU5314" s="235" t="s">
        <v>634</v>
      </c>
      <c r="AV5314" s="246" t="s">
        <v>635</v>
      </c>
      <c r="AW5314" s="227"/>
      <c r="AX5314" s="227"/>
      <c r="AY5314" s="227"/>
      <c r="AZ5314" s="227"/>
      <c r="BA5314" s="227"/>
      <c r="BB5314" s="227"/>
      <c r="BC5314" s="227"/>
      <c r="BD5314" s="227"/>
      <c r="BE5314" s="227"/>
      <c r="BF5314" s="227"/>
    </row>
    <row r="5315">
      <c r="A5315" s="235" t="s">
        <v>39069</v>
      </c>
      <c r="C5315" s="235" t="s">
        <v>39070</v>
      </c>
      <c r="D5315" s="235" t="s">
        <v>39071</v>
      </c>
      <c r="E5315" s="243">
        <v>6.48E13</v>
      </c>
      <c r="F5315" s="245"/>
      <c r="G5315" s="235" t="s">
        <v>39072</v>
      </c>
      <c r="H5315" s="235" t="s">
        <v>39073</v>
      </c>
      <c r="I5315" s="235" t="s">
        <v>39074</v>
      </c>
      <c r="J5315" s="235" t="s">
        <v>39075</v>
      </c>
      <c r="K5315" s="235" t="s">
        <v>28504</v>
      </c>
      <c r="N5315" s="235" t="s">
        <v>51</v>
      </c>
      <c r="O5315" s="235" t="s">
        <v>273</v>
      </c>
      <c r="P5315" s="238">
        <v>1.0</v>
      </c>
      <c r="Q5315" s="235" t="s">
        <v>627</v>
      </c>
      <c r="R5315" s="238">
        <v>235.24</v>
      </c>
      <c r="S5315" s="238">
        <v>11.76</v>
      </c>
      <c r="T5315" s="238">
        <v>38.1</v>
      </c>
      <c r="U5315" s="238">
        <v>1.9</v>
      </c>
      <c r="V5315" s="238">
        <v>0.0</v>
      </c>
      <c r="W5315" s="238">
        <v>0.0</v>
      </c>
      <c r="X5315" s="235" t="s">
        <v>628</v>
      </c>
      <c r="Z5315" s="245"/>
      <c r="AA5315" s="245"/>
      <c r="AB5315" s="245"/>
      <c r="AC5315" s="235" t="s">
        <v>18813</v>
      </c>
      <c r="AD5315" s="235" t="s">
        <v>666</v>
      </c>
      <c r="AE5315" s="238">
        <v>624703.0</v>
      </c>
      <c r="AF5315" s="235" t="s">
        <v>631</v>
      </c>
      <c r="AG5315" s="245"/>
      <c r="AH5315" s="245"/>
      <c r="AI5315" s="245"/>
      <c r="AJ5315" s="245"/>
      <c r="AK5315" s="245"/>
      <c r="AL5315" s="245"/>
      <c r="AM5315" s="245"/>
      <c r="AN5315" s="245"/>
      <c r="AO5315" s="238">
        <v>0.0</v>
      </c>
      <c r="AP5315" s="238">
        <v>-38.1</v>
      </c>
      <c r="AQ5315" s="235" t="s">
        <v>1328</v>
      </c>
      <c r="AR5315" s="243">
        <v>1.34E13</v>
      </c>
      <c r="AS5315" s="235" t="s">
        <v>34510</v>
      </c>
      <c r="AT5315" s="235" t="s">
        <v>155</v>
      </c>
      <c r="AU5315" s="235" t="s">
        <v>634</v>
      </c>
      <c r="AV5315" s="246" t="s">
        <v>635</v>
      </c>
      <c r="AW5315" s="227"/>
      <c r="AX5315" s="227"/>
      <c r="AY5315" s="227"/>
      <c r="AZ5315" s="227"/>
      <c r="BA5315" s="227"/>
      <c r="BB5315" s="227"/>
      <c r="BC5315" s="227"/>
      <c r="BD5315" s="227"/>
      <c r="BE5315" s="227"/>
      <c r="BF5315" s="227"/>
    </row>
    <row r="5316">
      <c r="A5316" s="235" t="s">
        <v>39076</v>
      </c>
      <c r="C5316" s="235" t="s">
        <v>39077</v>
      </c>
      <c r="D5316" s="235" t="s">
        <v>39078</v>
      </c>
      <c r="E5316" s="243">
        <v>6.48E13</v>
      </c>
      <c r="F5316" s="245"/>
      <c r="G5316" s="235" t="s">
        <v>39079</v>
      </c>
      <c r="H5316" s="235" t="s">
        <v>39080</v>
      </c>
      <c r="I5316" s="235" t="s">
        <v>39080</v>
      </c>
      <c r="J5316" s="235" t="s">
        <v>39081</v>
      </c>
      <c r="K5316" s="235" t="s">
        <v>39082</v>
      </c>
      <c r="N5316" s="235" t="s">
        <v>31</v>
      </c>
      <c r="O5316" s="235" t="s">
        <v>954</v>
      </c>
      <c r="P5316" s="238">
        <v>1.0</v>
      </c>
      <c r="Q5316" s="235" t="s">
        <v>627</v>
      </c>
      <c r="R5316" s="238">
        <v>446.67</v>
      </c>
      <c r="S5316" s="238">
        <v>22.33</v>
      </c>
      <c r="T5316" s="238">
        <v>0.0</v>
      </c>
      <c r="U5316" s="238">
        <v>0.0</v>
      </c>
      <c r="V5316" s="238">
        <v>0.0</v>
      </c>
      <c r="W5316" s="238">
        <v>0.0</v>
      </c>
      <c r="X5316" s="235" t="s">
        <v>628</v>
      </c>
      <c r="Z5316" s="245"/>
      <c r="AA5316" s="245"/>
      <c r="AB5316" s="245"/>
      <c r="AC5316" s="235" t="s">
        <v>39083</v>
      </c>
      <c r="AD5316" s="235" t="s">
        <v>645</v>
      </c>
      <c r="AE5316" s="238">
        <v>690511.0</v>
      </c>
      <c r="AF5316" s="235" t="s">
        <v>631</v>
      </c>
      <c r="AG5316" s="245"/>
      <c r="AH5316" s="245"/>
      <c r="AI5316" s="245"/>
      <c r="AJ5316" s="245"/>
      <c r="AK5316" s="245"/>
      <c r="AL5316" s="245"/>
      <c r="AM5316" s="245"/>
      <c r="AN5316" s="245"/>
      <c r="AO5316" s="238">
        <v>0.0</v>
      </c>
      <c r="AP5316" s="238">
        <v>0.0</v>
      </c>
      <c r="AQ5316" s="235" t="s">
        <v>632</v>
      </c>
      <c r="AR5316" s="243">
        <v>3.7E11</v>
      </c>
      <c r="AS5316" s="235" t="s">
        <v>37983</v>
      </c>
      <c r="AT5316" s="235" t="s">
        <v>155</v>
      </c>
      <c r="AU5316" s="235" t="s">
        <v>634</v>
      </c>
      <c r="AV5316" s="246" t="s">
        <v>635</v>
      </c>
      <c r="AW5316" s="227"/>
      <c r="AX5316" s="227"/>
      <c r="AY5316" s="227"/>
      <c r="AZ5316" s="227"/>
      <c r="BA5316" s="227"/>
      <c r="BB5316" s="227"/>
      <c r="BC5316" s="227"/>
      <c r="BD5316" s="227"/>
      <c r="BE5316" s="227"/>
      <c r="BF5316" s="227"/>
    </row>
    <row r="5317">
      <c r="A5317" s="235" t="s">
        <v>39084</v>
      </c>
      <c r="C5317" s="235" t="s">
        <v>39085</v>
      </c>
      <c r="D5317" s="235" t="s">
        <v>39086</v>
      </c>
      <c r="E5317" s="243">
        <v>6.48E13</v>
      </c>
      <c r="F5317" s="245"/>
      <c r="G5317" s="235" t="s">
        <v>39087</v>
      </c>
      <c r="H5317" s="235" t="s">
        <v>39088</v>
      </c>
      <c r="I5317" s="235" t="s">
        <v>39088</v>
      </c>
      <c r="J5317" s="235" t="s">
        <v>39089</v>
      </c>
      <c r="K5317" s="235" t="s">
        <v>37156</v>
      </c>
      <c r="N5317" s="235" t="s">
        <v>154</v>
      </c>
      <c r="O5317" s="235" t="s">
        <v>766</v>
      </c>
      <c r="P5317" s="238">
        <v>1.0</v>
      </c>
      <c r="Q5317" s="235" t="s">
        <v>627</v>
      </c>
      <c r="R5317" s="238">
        <v>465.71</v>
      </c>
      <c r="S5317" s="238">
        <v>23.29</v>
      </c>
      <c r="T5317" s="238">
        <v>38.1</v>
      </c>
      <c r="U5317" s="238">
        <v>1.9</v>
      </c>
      <c r="V5317" s="238">
        <v>0.0</v>
      </c>
      <c r="W5317" s="238">
        <v>0.0</v>
      </c>
      <c r="X5317" s="235" t="s">
        <v>628</v>
      </c>
      <c r="Z5317" s="245"/>
      <c r="AA5317" s="245"/>
      <c r="AB5317" s="245"/>
      <c r="AC5317" s="235" t="s">
        <v>795</v>
      </c>
      <c r="AD5317" s="235" t="s">
        <v>796</v>
      </c>
      <c r="AE5317" s="238">
        <v>110019.0</v>
      </c>
      <c r="AF5317" s="235" t="s">
        <v>631</v>
      </c>
      <c r="AG5317" s="245"/>
      <c r="AH5317" s="245"/>
      <c r="AI5317" s="245"/>
      <c r="AJ5317" s="245"/>
      <c r="AK5317" s="245"/>
      <c r="AL5317" s="245"/>
      <c r="AM5317" s="245"/>
      <c r="AN5317" s="245"/>
      <c r="AO5317" s="238">
        <v>0.0</v>
      </c>
      <c r="AP5317" s="238">
        <v>-38.1</v>
      </c>
      <c r="AQ5317" s="235" t="s">
        <v>632</v>
      </c>
      <c r="AR5317" s="243">
        <v>3.7E11</v>
      </c>
      <c r="AS5317" s="235" t="s">
        <v>37983</v>
      </c>
      <c r="AT5317" s="235" t="s">
        <v>533</v>
      </c>
      <c r="AU5317" s="235" t="s">
        <v>634</v>
      </c>
      <c r="AV5317" s="246" t="s">
        <v>635</v>
      </c>
      <c r="AW5317" s="227"/>
      <c r="AX5317" s="227"/>
      <c r="AY5317" s="227"/>
      <c r="AZ5317" s="227"/>
      <c r="BA5317" s="227"/>
      <c r="BB5317" s="227"/>
      <c r="BC5317" s="227"/>
      <c r="BD5317" s="227"/>
      <c r="BE5317" s="227"/>
      <c r="BF5317" s="227"/>
    </row>
    <row r="5318">
      <c r="A5318" s="235" t="s">
        <v>39090</v>
      </c>
      <c r="C5318" s="235" t="s">
        <v>39091</v>
      </c>
      <c r="D5318" s="235" t="s">
        <v>39092</v>
      </c>
      <c r="E5318" s="243">
        <v>6.45E13</v>
      </c>
      <c r="F5318" s="245"/>
      <c r="G5318" s="235" t="s">
        <v>39093</v>
      </c>
      <c r="H5318" s="235" t="s">
        <v>39094</v>
      </c>
      <c r="I5318" s="235" t="s">
        <v>39095</v>
      </c>
      <c r="J5318" s="235" t="s">
        <v>39096</v>
      </c>
      <c r="K5318" s="235" t="s">
        <v>39097</v>
      </c>
      <c r="N5318" s="235" t="s">
        <v>842</v>
      </c>
      <c r="O5318" s="235" t="s">
        <v>843</v>
      </c>
      <c r="P5318" s="238">
        <v>1.0</v>
      </c>
      <c r="Q5318" s="235" t="s">
        <v>627</v>
      </c>
      <c r="R5318" s="238">
        <v>246.67</v>
      </c>
      <c r="S5318" s="238">
        <v>12.33</v>
      </c>
      <c r="T5318" s="238">
        <v>38.1</v>
      </c>
      <c r="U5318" s="238">
        <v>1.9</v>
      </c>
      <c r="V5318" s="238">
        <v>0.0</v>
      </c>
      <c r="W5318" s="238">
        <v>0.0</v>
      </c>
      <c r="X5318" s="235" t="s">
        <v>628</v>
      </c>
      <c r="Z5318" s="245"/>
      <c r="AA5318" s="245"/>
      <c r="AB5318" s="245"/>
      <c r="AC5318" s="235" t="s">
        <v>678</v>
      </c>
      <c r="AD5318" s="235" t="s">
        <v>679</v>
      </c>
      <c r="AE5318" s="238">
        <v>560094.0</v>
      </c>
      <c r="AF5318" s="235" t="s">
        <v>631</v>
      </c>
      <c r="AG5318" s="245"/>
      <c r="AH5318" s="245"/>
      <c r="AI5318" s="245"/>
      <c r="AJ5318" s="245"/>
      <c r="AK5318" s="245"/>
      <c r="AL5318" s="245"/>
      <c r="AM5318" s="245"/>
      <c r="AN5318" s="245"/>
      <c r="AO5318" s="238">
        <v>0.0</v>
      </c>
      <c r="AP5318" s="238">
        <v>-38.1</v>
      </c>
      <c r="AQ5318" s="235" t="s">
        <v>632</v>
      </c>
      <c r="AR5318" s="243">
        <v>3.7E11</v>
      </c>
      <c r="AS5318" s="235" t="s">
        <v>35520</v>
      </c>
      <c r="AT5318" s="235" t="s">
        <v>17</v>
      </c>
      <c r="AU5318" s="235" t="s">
        <v>634</v>
      </c>
      <c r="AV5318" s="246" t="s">
        <v>635</v>
      </c>
      <c r="AW5318" s="227"/>
      <c r="AX5318" s="227"/>
      <c r="AY5318" s="227"/>
      <c r="AZ5318" s="227"/>
      <c r="BA5318" s="227"/>
      <c r="BB5318" s="227"/>
      <c r="BC5318" s="227"/>
      <c r="BD5318" s="227"/>
      <c r="BE5318" s="227"/>
      <c r="BF5318" s="227"/>
    </row>
    <row r="5319">
      <c r="A5319" s="235" t="s">
        <v>39098</v>
      </c>
      <c r="C5319" s="235" t="s">
        <v>39099</v>
      </c>
      <c r="D5319" s="235" t="s">
        <v>39100</v>
      </c>
      <c r="E5319" s="243">
        <v>6.49E13</v>
      </c>
      <c r="F5319" s="245"/>
      <c r="G5319" s="235" t="s">
        <v>39101</v>
      </c>
      <c r="H5319" s="235" t="s">
        <v>39102</v>
      </c>
      <c r="I5319" s="235" t="s">
        <v>39103</v>
      </c>
      <c r="J5319" s="235" t="s">
        <v>39104</v>
      </c>
      <c r="K5319" s="235" t="s">
        <v>39105</v>
      </c>
      <c r="N5319" s="235" t="s">
        <v>127</v>
      </c>
      <c r="O5319" s="235" t="s">
        <v>794</v>
      </c>
      <c r="P5319" s="238">
        <v>1.0</v>
      </c>
      <c r="Q5319" s="235" t="s">
        <v>627</v>
      </c>
      <c r="R5319" s="238">
        <v>243.81</v>
      </c>
      <c r="S5319" s="238">
        <v>12.19</v>
      </c>
      <c r="T5319" s="238">
        <v>0.0</v>
      </c>
      <c r="U5319" s="238">
        <v>0.0</v>
      </c>
      <c r="V5319" s="238">
        <v>0.0</v>
      </c>
      <c r="W5319" s="238">
        <v>0.0</v>
      </c>
      <c r="X5319" s="235" t="s">
        <v>628</v>
      </c>
      <c r="Z5319" s="245"/>
      <c r="AA5319" s="245"/>
      <c r="AB5319" s="245"/>
      <c r="AC5319" s="235" t="s">
        <v>3195</v>
      </c>
      <c r="AD5319" s="235" t="s">
        <v>881</v>
      </c>
      <c r="AE5319" s="238">
        <v>752101.0</v>
      </c>
      <c r="AF5319" s="235" t="s">
        <v>631</v>
      </c>
      <c r="AG5319" s="245"/>
      <c r="AH5319" s="245"/>
      <c r="AI5319" s="245"/>
      <c r="AJ5319" s="245"/>
      <c r="AK5319" s="245"/>
      <c r="AL5319" s="245"/>
      <c r="AM5319" s="245"/>
      <c r="AN5319" s="245"/>
      <c r="AO5319" s="238">
        <v>0.0</v>
      </c>
      <c r="AP5319" s="238">
        <v>0.0</v>
      </c>
      <c r="AQ5319" s="235" t="s">
        <v>632</v>
      </c>
      <c r="AR5319" s="243">
        <v>2.02E11</v>
      </c>
      <c r="AS5319" s="235" t="s">
        <v>37983</v>
      </c>
      <c r="AT5319" s="235" t="s">
        <v>11</v>
      </c>
      <c r="AU5319" s="235" t="s">
        <v>634</v>
      </c>
      <c r="AV5319" s="246" t="s">
        <v>635</v>
      </c>
      <c r="AW5319" s="227"/>
      <c r="AX5319" s="227"/>
      <c r="AY5319" s="227"/>
      <c r="AZ5319" s="227"/>
      <c r="BA5319" s="227"/>
      <c r="BB5319" s="227"/>
      <c r="BC5319" s="227"/>
      <c r="BD5319" s="227"/>
      <c r="BE5319" s="227"/>
      <c r="BF5319" s="227"/>
    </row>
    <row r="5320">
      <c r="A5320" s="235" t="s">
        <v>39106</v>
      </c>
      <c r="C5320" s="235" t="s">
        <v>39107</v>
      </c>
      <c r="D5320" s="235" t="s">
        <v>39108</v>
      </c>
      <c r="E5320" s="243">
        <v>6.49E13</v>
      </c>
      <c r="F5320" s="245"/>
      <c r="G5320" s="235" t="s">
        <v>39109</v>
      </c>
      <c r="H5320" s="235" t="s">
        <v>39110</v>
      </c>
      <c r="I5320" s="235" t="s">
        <v>39110</v>
      </c>
      <c r="J5320" s="235" t="s">
        <v>39111</v>
      </c>
      <c r="K5320" s="235" t="s">
        <v>39112</v>
      </c>
      <c r="N5320" s="235" t="s">
        <v>51</v>
      </c>
      <c r="O5320" s="235" t="s">
        <v>273</v>
      </c>
      <c r="P5320" s="238">
        <v>1.0</v>
      </c>
      <c r="Q5320" s="235" t="s">
        <v>627</v>
      </c>
      <c r="R5320" s="238">
        <v>235.24</v>
      </c>
      <c r="S5320" s="238">
        <v>11.76</v>
      </c>
      <c r="T5320" s="238">
        <v>0.0</v>
      </c>
      <c r="U5320" s="238">
        <v>0.0</v>
      </c>
      <c r="V5320" s="238">
        <v>0.0</v>
      </c>
      <c r="W5320" s="238">
        <v>0.0</v>
      </c>
      <c r="X5320" s="235" t="s">
        <v>628</v>
      </c>
      <c r="Z5320" s="245"/>
      <c r="AA5320" s="245"/>
      <c r="AB5320" s="245"/>
      <c r="AC5320" s="235" t="s">
        <v>891</v>
      </c>
      <c r="AD5320" s="235" t="s">
        <v>891</v>
      </c>
      <c r="AE5320" s="238">
        <v>605008.0</v>
      </c>
      <c r="AF5320" s="235" t="s">
        <v>631</v>
      </c>
      <c r="AG5320" s="245"/>
      <c r="AH5320" s="245"/>
      <c r="AI5320" s="245"/>
      <c r="AJ5320" s="245"/>
      <c r="AK5320" s="245"/>
      <c r="AL5320" s="245"/>
      <c r="AM5320" s="245"/>
      <c r="AN5320" s="245"/>
      <c r="AO5320" s="238">
        <v>0.0</v>
      </c>
      <c r="AP5320" s="238">
        <v>0.0</v>
      </c>
      <c r="AQ5320" s="235" t="s">
        <v>632</v>
      </c>
      <c r="AR5320" s="243">
        <v>1.68E11</v>
      </c>
      <c r="AS5320" s="235" t="s">
        <v>38374</v>
      </c>
      <c r="AT5320" s="235" t="s">
        <v>156</v>
      </c>
      <c r="AU5320" s="235" t="s">
        <v>634</v>
      </c>
      <c r="AV5320" s="246" t="s">
        <v>635</v>
      </c>
      <c r="AW5320" s="227"/>
      <c r="AX5320" s="227"/>
      <c r="AY5320" s="227"/>
      <c r="AZ5320" s="227"/>
      <c r="BA5320" s="227"/>
      <c r="BB5320" s="227"/>
      <c r="BC5320" s="227"/>
      <c r="BD5320" s="227"/>
      <c r="BE5320" s="227"/>
      <c r="BF5320" s="227"/>
    </row>
    <row r="5321">
      <c r="A5321" s="235" t="s">
        <v>39113</v>
      </c>
      <c r="C5321" s="235" t="s">
        <v>39114</v>
      </c>
      <c r="D5321" s="235" t="s">
        <v>39115</v>
      </c>
      <c r="E5321" s="243">
        <v>6.48E13</v>
      </c>
      <c r="F5321" s="245"/>
      <c r="G5321" s="235" t="s">
        <v>39116</v>
      </c>
      <c r="H5321" s="235" t="s">
        <v>39117</v>
      </c>
      <c r="I5321" s="235" t="s">
        <v>39117</v>
      </c>
      <c r="J5321" s="235" t="s">
        <v>39118</v>
      </c>
      <c r="K5321" s="235" t="s">
        <v>39119</v>
      </c>
      <c r="N5321" s="235" t="s">
        <v>23</v>
      </c>
      <c r="O5321" s="235" t="s">
        <v>974</v>
      </c>
      <c r="P5321" s="238">
        <v>2.0</v>
      </c>
      <c r="Q5321" s="235" t="s">
        <v>627</v>
      </c>
      <c r="R5321" s="238">
        <v>721.9</v>
      </c>
      <c r="S5321" s="238">
        <v>35.02</v>
      </c>
      <c r="T5321" s="238">
        <v>112.38</v>
      </c>
      <c r="U5321" s="238">
        <v>5.62</v>
      </c>
      <c r="V5321" s="238">
        <v>0.0</v>
      </c>
      <c r="W5321" s="238">
        <v>0.0</v>
      </c>
      <c r="X5321" s="235" t="s">
        <v>628</v>
      </c>
      <c r="Z5321" s="245"/>
      <c r="AA5321" s="245"/>
      <c r="AB5321" s="245"/>
      <c r="AC5321" s="235" t="s">
        <v>891</v>
      </c>
      <c r="AD5321" s="235" t="s">
        <v>891</v>
      </c>
      <c r="AE5321" s="238">
        <v>605011.0</v>
      </c>
      <c r="AF5321" s="235" t="s">
        <v>631</v>
      </c>
      <c r="AG5321" s="245"/>
      <c r="AH5321" s="245"/>
      <c r="AI5321" s="245"/>
      <c r="AJ5321" s="245"/>
      <c r="AK5321" s="245"/>
      <c r="AL5321" s="245"/>
      <c r="AM5321" s="245"/>
      <c r="AN5321" s="245"/>
      <c r="AO5321" s="238">
        <v>-21.66</v>
      </c>
      <c r="AP5321" s="238">
        <v>-112.38</v>
      </c>
      <c r="AQ5321" s="235" t="s">
        <v>632</v>
      </c>
      <c r="AR5321" s="243">
        <v>1.68E11</v>
      </c>
      <c r="AS5321" s="235" t="s">
        <v>37983</v>
      </c>
      <c r="AT5321" s="235" t="s">
        <v>11</v>
      </c>
      <c r="AU5321" s="235" t="s">
        <v>634</v>
      </c>
      <c r="AV5321" s="246" t="s">
        <v>635</v>
      </c>
      <c r="AW5321" s="227"/>
      <c r="AX5321" s="227"/>
      <c r="AY5321" s="227"/>
      <c r="AZ5321" s="227"/>
      <c r="BA5321" s="227"/>
      <c r="BB5321" s="227"/>
      <c r="BC5321" s="227"/>
      <c r="BD5321" s="227"/>
      <c r="BE5321" s="227"/>
      <c r="BF5321" s="227"/>
    </row>
    <row r="5322">
      <c r="A5322" s="235" t="s">
        <v>39113</v>
      </c>
      <c r="C5322" s="235" t="s">
        <v>39114</v>
      </c>
      <c r="D5322" s="235" t="s">
        <v>39120</v>
      </c>
      <c r="E5322" s="243">
        <v>6.48E13</v>
      </c>
      <c r="F5322" s="245"/>
      <c r="G5322" s="235" t="s">
        <v>39116</v>
      </c>
      <c r="H5322" s="235" t="s">
        <v>39117</v>
      </c>
      <c r="I5322" s="235" t="s">
        <v>39117</v>
      </c>
      <c r="J5322" s="235" t="s">
        <v>39118</v>
      </c>
      <c r="K5322" s="235" t="s">
        <v>39119</v>
      </c>
      <c r="N5322" s="235" t="s">
        <v>23</v>
      </c>
      <c r="O5322" s="235" t="s">
        <v>974</v>
      </c>
      <c r="P5322" s="238">
        <v>2.0</v>
      </c>
      <c r="Q5322" s="235" t="s">
        <v>627</v>
      </c>
      <c r="R5322" s="238">
        <v>721.9</v>
      </c>
      <c r="S5322" s="238">
        <v>35.02</v>
      </c>
      <c r="T5322" s="238">
        <v>112.38</v>
      </c>
      <c r="U5322" s="238">
        <v>5.62</v>
      </c>
      <c r="V5322" s="238">
        <v>0.0</v>
      </c>
      <c r="W5322" s="238">
        <v>0.0</v>
      </c>
      <c r="X5322" s="235" t="s">
        <v>628</v>
      </c>
      <c r="Z5322" s="245"/>
      <c r="AA5322" s="245"/>
      <c r="AB5322" s="245"/>
      <c r="AC5322" s="235" t="s">
        <v>891</v>
      </c>
      <c r="AD5322" s="235" t="s">
        <v>891</v>
      </c>
      <c r="AE5322" s="238">
        <v>605011.0</v>
      </c>
      <c r="AF5322" s="235" t="s">
        <v>631</v>
      </c>
      <c r="AG5322" s="245"/>
      <c r="AH5322" s="245"/>
      <c r="AI5322" s="245"/>
      <c r="AJ5322" s="245"/>
      <c r="AK5322" s="245"/>
      <c r="AL5322" s="245"/>
      <c r="AM5322" s="245"/>
      <c r="AN5322" s="245"/>
      <c r="AO5322" s="238">
        <v>-21.66</v>
      </c>
      <c r="AP5322" s="238">
        <v>-112.38</v>
      </c>
      <c r="AQ5322" s="235" t="s">
        <v>632</v>
      </c>
      <c r="AR5322" s="243">
        <v>1.68E11</v>
      </c>
      <c r="AS5322" s="235" t="s">
        <v>37983</v>
      </c>
      <c r="AT5322" s="235" t="s">
        <v>11</v>
      </c>
      <c r="AU5322" s="235" t="s">
        <v>634</v>
      </c>
      <c r="AV5322" s="246" t="s">
        <v>635</v>
      </c>
      <c r="AW5322" s="227"/>
      <c r="AX5322" s="227"/>
      <c r="AY5322" s="227"/>
      <c r="AZ5322" s="227"/>
      <c r="BA5322" s="227"/>
      <c r="BB5322" s="227"/>
      <c r="BC5322" s="227"/>
      <c r="BD5322" s="227"/>
      <c r="BE5322" s="227"/>
      <c r="BF5322" s="227"/>
    </row>
    <row r="5323">
      <c r="A5323" s="235" t="s">
        <v>39121</v>
      </c>
      <c r="C5323" s="235" t="s">
        <v>39122</v>
      </c>
      <c r="D5323" s="235" t="s">
        <v>39123</v>
      </c>
      <c r="E5323" s="243">
        <v>6.48E13</v>
      </c>
      <c r="F5323" s="245"/>
      <c r="G5323" s="235" t="s">
        <v>39124</v>
      </c>
      <c r="H5323" s="235" t="s">
        <v>39125</v>
      </c>
      <c r="I5323" s="235" t="s">
        <v>39125</v>
      </c>
      <c r="J5323" s="235" t="s">
        <v>39126</v>
      </c>
      <c r="K5323" s="235" t="s">
        <v>38886</v>
      </c>
      <c r="N5323" s="235" t="s">
        <v>15</v>
      </c>
      <c r="O5323" s="235" t="s">
        <v>856</v>
      </c>
      <c r="P5323" s="238">
        <v>1.0</v>
      </c>
      <c r="Q5323" s="235" t="s">
        <v>627</v>
      </c>
      <c r="R5323" s="238">
        <v>360.96</v>
      </c>
      <c r="S5323" s="238">
        <v>17.14</v>
      </c>
      <c r="T5323" s="238">
        <v>0.0</v>
      </c>
      <c r="U5323" s="238">
        <v>0.0</v>
      </c>
      <c r="V5323" s="238">
        <v>0.0</v>
      </c>
      <c r="W5323" s="238">
        <v>0.0</v>
      </c>
      <c r="X5323" s="235" t="s">
        <v>628</v>
      </c>
      <c r="Z5323" s="245"/>
      <c r="AA5323" s="245"/>
      <c r="AB5323" s="245"/>
      <c r="AC5323" s="235" t="s">
        <v>1058</v>
      </c>
      <c r="AD5323" s="235" t="s">
        <v>845</v>
      </c>
      <c r="AE5323" s="238">
        <v>400104.0</v>
      </c>
      <c r="AF5323" s="235" t="s">
        <v>631</v>
      </c>
      <c r="AG5323" s="245"/>
      <c r="AH5323" s="245"/>
      <c r="AI5323" s="245"/>
      <c r="AJ5323" s="245"/>
      <c r="AK5323" s="245"/>
      <c r="AL5323" s="245"/>
      <c r="AM5323" s="245"/>
      <c r="AN5323" s="245"/>
      <c r="AO5323" s="238">
        <v>-18.05</v>
      </c>
      <c r="AP5323" s="238">
        <v>0.0</v>
      </c>
      <c r="AQ5323" s="235" t="s">
        <v>632</v>
      </c>
      <c r="AR5323" s="243">
        <v>3.7E11</v>
      </c>
      <c r="AS5323" s="235" t="s">
        <v>37983</v>
      </c>
      <c r="AT5323" s="235" t="s">
        <v>546</v>
      </c>
      <c r="AU5323" s="235" t="s">
        <v>634</v>
      </c>
      <c r="AV5323" s="246" t="s">
        <v>635</v>
      </c>
      <c r="AW5323" s="227"/>
      <c r="AX5323" s="227"/>
      <c r="AY5323" s="227"/>
      <c r="AZ5323" s="227"/>
      <c r="BA5323" s="227"/>
      <c r="BB5323" s="227"/>
      <c r="BC5323" s="227"/>
      <c r="BD5323" s="227"/>
      <c r="BE5323" s="227"/>
      <c r="BF5323" s="227"/>
    </row>
    <row r="5324">
      <c r="A5324" s="235" t="s">
        <v>39121</v>
      </c>
      <c r="C5324" s="235" t="s">
        <v>39122</v>
      </c>
      <c r="D5324" s="235" t="s">
        <v>39127</v>
      </c>
      <c r="E5324" s="243">
        <v>6.48E13</v>
      </c>
      <c r="F5324" s="245"/>
      <c r="G5324" s="235" t="s">
        <v>39124</v>
      </c>
      <c r="H5324" s="235" t="s">
        <v>39125</v>
      </c>
      <c r="I5324" s="235" t="s">
        <v>39125</v>
      </c>
      <c r="J5324" s="235" t="s">
        <v>39126</v>
      </c>
      <c r="K5324" s="235" t="s">
        <v>38886</v>
      </c>
      <c r="N5324" s="235" t="s">
        <v>15</v>
      </c>
      <c r="O5324" s="235" t="s">
        <v>856</v>
      </c>
      <c r="P5324" s="238">
        <v>1.0</v>
      </c>
      <c r="Q5324" s="235" t="s">
        <v>627</v>
      </c>
      <c r="R5324" s="238">
        <v>360.96</v>
      </c>
      <c r="S5324" s="238">
        <v>17.14</v>
      </c>
      <c r="T5324" s="238">
        <v>0.0</v>
      </c>
      <c r="U5324" s="238">
        <v>0.0</v>
      </c>
      <c r="V5324" s="238">
        <v>0.0</v>
      </c>
      <c r="W5324" s="238">
        <v>0.0</v>
      </c>
      <c r="X5324" s="235" t="s">
        <v>628</v>
      </c>
      <c r="Z5324" s="245"/>
      <c r="AA5324" s="245"/>
      <c r="AB5324" s="245"/>
      <c r="AC5324" s="235" t="s">
        <v>1058</v>
      </c>
      <c r="AD5324" s="235" t="s">
        <v>845</v>
      </c>
      <c r="AE5324" s="238">
        <v>400104.0</v>
      </c>
      <c r="AF5324" s="235" t="s">
        <v>631</v>
      </c>
      <c r="AG5324" s="245"/>
      <c r="AH5324" s="245"/>
      <c r="AI5324" s="245"/>
      <c r="AJ5324" s="245"/>
      <c r="AK5324" s="245"/>
      <c r="AL5324" s="245"/>
      <c r="AM5324" s="245"/>
      <c r="AN5324" s="245"/>
      <c r="AO5324" s="238">
        <v>-18.05</v>
      </c>
      <c r="AP5324" s="238">
        <v>0.0</v>
      </c>
      <c r="AQ5324" s="235" t="s">
        <v>632</v>
      </c>
      <c r="AR5324" s="243">
        <v>3.7E11</v>
      </c>
      <c r="AS5324" s="235" t="s">
        <v>37983</v>
      </c>
      <c r="AT5324" s="235" t="s">
        <v>546</v>
      </c>
      <c r="AU5324" s="235" t="s">
        <v>634</v>
      </c>
      <c r="AV5324" s="246" t="s">
        <v>635</v>
      </c>
      <c r="AW5324" s="227"/>
      <c r="AX5324" s="227"/>
      <c r="AY5324" s="227"/>
      <c r="AZ5324" s="227"/>
      <c r="BA5324" s="227"/>
      <c r="BB5324" s="227"/>
      <c r="BC5324" s="227"/>
      <c r="BD5324" s="227"/>
      <c r="BE5324" s="227"/>
      <c r="BF5324" s="227"/>
    </row>
    <row r="5325">
      <c r="A5325" s="235" t="s">
        <v>39121</v>
      </c>
      <c r="C5325" s="235" t="s">
        <v>39122</v>
      </c>
      <c r="D5325" s="235" t="s">
        <v>39128</v>
      </c>
      <c r="E5325" s="243">
        <v>6.48E13</v>
      </c>
      <c r="F5325" s="245"/>
      <c r="G5325" s="235" t="s">
        <v>39124</v>
      </c>
      <c r="H5325" s="235" t="s">
        <v>39125</v>
      </c>
      <c r="I5325" s="235" t="s">
        <v>39125</v>
      </c>
      <c r="J5325" s="235" t="s">
        <v>39126</v>
      </c>
      <c r="K5325" s="235" t="s">
        <v>38886</v>
      </c>
      <c r="N5325" s="235" t="s">
        <v>15</v>
      </c>
      <c r="O5325" s="235" t="s">
        <v>856</v>
      </c>
      <c r="P5325" s="238">
        <v>1.0</v>
      </c>
      <c r="Q5325" s="235" t="s">
        <v>627</v>
      </c>
      <c r="R5325" s="238">
        <v>360.96</v>
      </c>
      <c r="S5325" s="238">
        <v>17.14</v>
      </c>
      <c r="T5325" s="238">
        <v>0.0</v>
      </c>
      <c r="U5325" s="238">
        <v>0.0</v>
      </c>
      <c r="V5325" s="238">
        <v>0.0</v>
      </c>
      <c r="W5325" s="238">
        <v>0.0</v>
      </c>
      <c r="X5325" s="235" t="s">
        <v>628</v>
      </c>
      <c r="Z5325" s="245"/>
      <c r="AA5325" s="245"/>
      <c r="AB5325" s="245"/>
      <c r="AC5325" s="235" t="s">
        <v>1058</v>
      </c>
      <c r="AD5325" s="235" t="s">
        <v>845</v>
      </c>
      <c r="AE5325" s="238">
        <v>400104.0</v>
      </c>
      <c r="AF5325" s="235" t="s">
        <v>631</v>
      </c>
      <c r="AG5325" s="245"/>
      <c r="AH5325" s="245"/>
      <c r="AI5325" s="245"/>
      <c r="AJ5325" s="245"/>
      <c r="AK5325" s="245"/>
      <c r="AL5325" s="245"/>
      <c r="AM5325" s="245"/>
      <c r="AN5325" s="245"/>
      <c r="AO5325" s="238">
        <v>-18.05</v>
      </c>
      <c r="AP5325" s="238">
        <v>0.0</v>
      </c>
      <c r="AQ5325" s="235" t="s">
        <v>632</v>
      </c>
      <c r="AR5325" s="243">
        <v>3.7E11</v>
      </c>
      <c r="AS5325" s="235" t="s">
        <v>37983</v>
      </c>
      <c r="AT5325" s="235" t="s">
        <v>546</v>
      </c>
      <c r="AU5325" s="235" t="s">
        <v>634</v>
      </c>
      <c r="AV5325" s="246" t="s">
        <v>635</v>
      </c>
      <c r="AW5325" s="227"/>
      <c r="AX5325" s="227"/>
      <c r="AY5325" s="227"/>
      <c r="AZ5325" s="227"/>
      <c r="BA5325" s="227"/>
      <c r="BB5325" s="227"/>
      <c r="BC5325" s="227"/>
      <c r="BD5325" s="227"/>
      <c r="BE5325" s="227"/>
      <c r="BF5325" s="227"/>
    </row>
    <row r="5326">
      <c r="A5326" s="235" t="s">
        <v>39121</v>
      </c>
      <c r="C5326" s="235" t="s">
        <v>39122</v>
      </c>
      <c r="D5326" s="235" t="s">
        <v>39129</v>
      </c>
      <c r="E5326" s="243">
        <v>6.48E13</v>
      </c>
      <c r="F5326" s="245"/>
      <c r="G5326" s="235" t="s">
        <v>39124</v>
      </c>
      <c r="H5326" s="235" t="s">
        <v>39125</v>
      </c>
      <c r="I5326" s="235" t="s">
        <v>39125</v>
      </c>
      <c r="J5326" s="235" t="s">
        <v>39126</v>
      </c>
      <c r="K5326" s="235" t="s">
        <v>38886</v>
      </c>
      <c r="N5326" s="235" t="s">
        <v>15</v>
      </c>
      <c r="O5326" s="235" t="s">
        <v>856</v>
      </c>
      <c r="P5326" s="238">
        <v>1.0</v>
      </c>
      <c r="Q5326" s="235" t="s">
        <v>627</v>
      </c>
      <c r="R5326" s="238">
        <v>360.96</v>
      </c>
      <c r="S5326" s="238">
        <v>17.14</v>
      </c>
      <c r="T5326" s="238">
        <v>0.0</v>
      </c>
      <c r="U5326" s="238">
        <v>0.0</v>
      </c>
      <c r="V5326" s="238">
        <v>0.0</v>
      </c>
      <c r="W5326" s="238">
        <v>0.0</v>
      </c>
      <c r="X5326" s="235" t="s">
        <v>628</v>
      </c>
      <c r="Z5326" s="245"/>
      <c r="AA5326" s="245"/>
      <c r="AB5326" s="245"/>
      <c r="AC5326" s="235" t="s">
        <v>1058</v>
      </c>
      <c r="AD5326" s="235" t="s">
        <v>845</v>
      </c>
      <c r="AE5326" s="238">
        <v>400104.0</v>
      </c>
      <c r="AF5326" s="235" t="s">
        <v>631</v>
      </c>
      <c r="AG5326" s="245"/>
      <c r="AH5326" s="245"/>
      <c r="AI5326" s="245"/>
      <c r="AJ5326" s="245"/>
      <c r="AK5326" s="245"/>
      <c r="AL5326" s="245"/>
      <c r="AM5326" s="245"/>
      <c r="AN5326" s="245"/>
      <c r="AO5326" s="238">
        <v>-18.05</v>
      </c>
      <c r="AP5326" s="238">
        <v>0.0</v>
      </c>
      <c r="AQ5326" s="235" t="s">
        <v>632</v>
      </c>
      <c r="AR5326" s="243">
        <v>3.7E11</v>
      </c>
      <c r="AS5326" s="235" t="s">
        <v>37983</v>
      </c>
      <c r="AT5326" s="235" t="s">
        <v>546</v>
      </c>
      <c r="AU5326" s="235" t="s">
        <v>634</v>
      </c>
      <c r="AV5326" s="246" t="s">
        <v>635</v>
      </c>
      <c r="AW5326" s="227"/>
      <c r="AX5326" s="227"/>
      <c r="AY5326" s="227"/>
      <c r="AZ5326" s="227"/>
      <c r="BA5326" s="227"/>
      <c r="BB5326" s="227"/>
      <c r="BC5326" s="227"/>
      <c r="BD5326" s="227"/>
      <c r="BE5326" s="227"/>
      <c r="BF5326" s="227"/>
    </row>
    <row r="5327">
      <c r="A5327" s="235" t="s">
        <v>39121</v>
      </c>
      <c r="C5327" s="235" t="s">
        <v>39122</v>
      </c>
      <c r="D5327" s="235" t="s">
        <v>39130</v>
      </c>
      <c r="E5327" s="243">
        <v>6.48E13</v>
      </c>
      <c r="F5327" s="245"/>
      <c r="G5327" s="235" t="s">
        <v>39124</v>
      </c>
      <c r="H5327" s="235" t="s">
        <v>39125</v>
      </c>
      <c r="I5327" s="235" t="s">
        <v>39125</v>
      </c>
      <c r="J5327" s="235" t="s">
        <v>39126</v>
      </c>
      <c r="K5327" s="235" t="s">
        <v>38886</v>
      </c>
      <c r="N5327" s="235" t="s">
        <v>15</v>
      </c>
      <c r="O5327" s="235" t="s">
        <v>856</v>
      </c>
      <c r="P5327" s="238">
        <v>1.0</v>
      </c>
      <c r="Q5327" s="235" t="s">
        <v>627</v>
      </c>
      <c r="R5327" s="238">
        <v>360.96</v>
      </c>
      <c r="S5327" s="238">
        <v>17.14</v>
      </c>
      <c r="T5327" s="238">
        <v>0.0</v>
      </c>
      <c r="U5327" s="238">
        <v>0.0</v>
      </c>
      <c r="V5327" s="238">
        <v>0.0</v>
      </c>
      <c r="W5327" s="238">
        <v>0.0</v>
      </c>
      <c r="X5327" s="235" t="s">
        <v>628</v>
      </c>
      <c r="Z5327" s="245"/>
      <c r="AA5327" s="245"/>
      <c r="AB5327" s="245"/>
      <c r="AC5327" s="235" t="s">
        <v>1058</v>
      </c>
      <c r="AD5327" s="235" t="s">
        <v>845</v>
      </c>
      <c r="AE5327" s="238">
        <v>400104.0</v>
      </c>
      <c r="AF5327" s="235" t="s">
        <v>631</v>
      </c>
      <c r="AG5327" s="245"/>
      <c r="AH5327" s="245"/>
      <c r="AI5327" s="245"/>
      <c r="AJ5327" s="245"/>
      <c r="AK5327" s="245"/>
      <c r="AL5327" s="245"/>
      <c r="AM5327" s="245"/>
      <c r="AN5327" s="245"/>
      <c r="AO5327" s="238">
        <v>-18.05</v>
      </c>
      <c r="AP5327" s="238">
        <v>0.0</v>
      </c>
      <c r="AQ5327" s="235" t="s">
        <v>632</v>
      </c>
      <c r="AR5327" s="243">
        <v>3.7E11</v>
      </c>
      <c r="AS5327" s="235" t="s">
        <v>37983</v>
      </c>
      <c r="AT5327" s="235" t="s">
        <v>546</v>
      </c>
      <c r="AU5327" s="235" t="s">
        <v>634</v>
      </c>
      <c r="AV5327" s="246" t="s">
        <v>635</v>
      </c>
      <c r="AW5327" s="227"/>
      <c r="AX5327" s="227"/>
      <c r="AY5327" s="227"/>
      <c r="AZ5327" s="227"/>
      <c r="BA5327" s="227"/>
      <c r="BB5327" s="227"/>
      <c r="BC5327" s="227"/>
      <c r="BD5327" s="227"/>
      <c r="BE5327" s="227"/>
      <c r="BF5327" s="227"/>
    </row>
    <row r="5328">
      <c r="A5328" s="235" t="s">
        <v>39121</v>
      </c>
      <c r="C5328" s="235" t="s">
        <v>39122</v>
      </c>
      <c r="D5328" s="235" t="s">
        <v>39131</v>
      </c>
      <c r="E5328" s="243">
        <v>6.48E13</v>
      </c>
      <c r="F5328" s="245"/>
      <c r="G5328" s="235" t="s">
        <v>39124</v>
      </c>
      <c r="H5328" s="235" t="s">
        <v>39125</v>
      </c>
      <c r="I5328" s="235" t="s">
        <v>39125</v>
      </c>
      <c r="J5328" s="235" t="s">
        <v>39126</v>
      </c>
      <c r="K5328" s="235" t="s">
        <v>38886</v>
      </c>
      <c r="N5328" s="235" t="s">
        <v>15</v>
      </c>
      <c r="O5328" s="235" t="s">
        <v>856</v>
      </c>
      <c r="P5328" s="238">
        <v>1.0</v>
      </c>
      <c r="Q5328" s="235" t="s">
        <v>627</v>
      </c>
      <c r="R5328" s="238">
        <v>360.96</v>
      </c>
      <c r="S5328" s="238">
        <v>17.14</v>
      </c>
      <c r="T5328" s="238">
        <v>0.0</v>
      </c>
      <c r="U5328" s="238">
        <v>0.0</v>
      </c>
      <c r="V5328" s="238">
        <v>0.0</v>
      </c>
      <c r="W5328" s="238">
        <v>0.0</v>
      </c>
      <c r="X5328" s="235" t="s">
        <v>628</v>
      </c>
      <c r="Z5328" s="245"/>
      <c r="AA5328" s="245"/>
      <c r="AB5328" s="245"/>
      <c r="AC5328" s="235" t="s">
        <v>1058</v>
      </c>
      <c r="AD5328" s="235" t="s">
        <v>845</v>
      </c>
      <c r="AE5328" s="238">
        <v>400104.0</v>
      </c>
      <c r="AF5328" s="235" t="s">
        <v>631</v>
      </c>
      <c r="AG5328" s="245"/>
      <c r="AH5328" s="245"/>
      <c r="AI5328" s="245"/>
      <c r="AJ5328" s="245"/>
      <c r="AK5328" s="245"/>
      <c r="AL5328" s="245"/>
      <c r="AM5328" s="245"/>
      <c r="AN5328" s="245"/>
      <c r="AO5328" s="238">
        <v>-18.05</v>
      </c>
      <c r="AP5328" s="238">
        <v>0.0</v>
      </c>
      <c r="AQ5328" s="235" t="s">
        <v>632</v>
      </c>
      <c r="AR5328" s="243">
        <v>3.7E11</v>
      </c>
      <c r="AS5328" s="235" t="s">
        <v>37983</v>
      </c>
      <c r="AT5328" s="235" t="s">
        <v>546</v>
      </c>
      <c r="AU5328" s="235" t="s">
        <v>634</v>
      </c>
      <c r="AV5328" s="246" t="s">
        <v>635</v>
      </c>
      <c r="AW5328" s="227"/>
      <c r="AX5328" s="227"/>
      <c r="AY5328" s="227"/>
      <c r="AZ5328" s="227"/>
      <c r="BA5328" s="227"/>
      <c r="BB5328" s="227"/>
      <c r="BC5328" s="227"/>
      <c r="BD5328" s="227"/>
      <c r="BE5328" s="227"/>
      <c r="BF5328" s="227"/>
    </row>
    <row r="5329">
      <c r="A5329" s="235" t="s">
        <v>39132</v>
      </c>
      <c r="C5329" s="235" t="s">
        <v>39133</v>
      </c>
      <c r="D5329" s="235" t="s">
        <v>39134</v>
      </c>
      <c r="E5329" s="243">
        <v>6.49E13</v>
      </c>
      <c r="F5329" s="245"/>
      <c r="G5329" s="235" t="s">
        <v>39135</v>
      </c>
      <c r="H5329" s="235" t="s">
        <v>39136</v>
      </c>
      <c r="I5329" s="235" t="s">
        <v>39137</v>
      </c>
      <c r="J5329" s="235" t="s">
        <v>39138</v>
      </c>
      <c r="K5329" s="235" t="s">
        <v>39139</v>
      </c>
      <c r="N5329" s="235" t="s">
        <v>42</v>
      </c>
      <c r="O5329" s="235" t="s">
        <v>204</v>
      </c>
      <c r="P5329" s="238">
        <v>1.0</v>
      </c>
      <c r="Q5329" s="235" t="s">
        <v>627</v>
      </c>
      <c r="R5329" s="238">
        <v>237.14</v>
      </c>
      <c r="S5329" s="238">
        <v>11.86</v>
      </c>
      <c r="T5329" s="238">
        <v>0.0</v>
      </c>
      <c r="U5329" s="238">
        <v>0.0</v>
      </c>
      <c r="V5329" s="238">
        <v>0.0</v>
      </c>
      <c r="W5329" s="238">
        <v>0.0</v>
      </c>
      <c r="X5329" s="235" t="s">
        <v>628</v>
      </c>
      <c r="Z5329" s="245"/>
      <c r="AA5329" s="245"/>
      <c r="AB5329" s="245"/>
      <c r="AC5329" s="235" t="s">
        <v>3449</v>
      </c>
      <c r="AD5329" s="235" t="s">
        <v>833</v>
      </c>
      <c r="AE5329" s="238">
        <v>533104.0</v>
      </c>
      <c r="AF5329" s="235" t="s">
        <v>631</v>
      </c>
      <c r="AG5329" s="245"/>
      <c r="AH5329" s="245"/>
      <c r="AI5329" s="245"/>
      <c r="AJ5329" s="245"/>
      <c r="AK5329" s="245"/>
      <c r="AL5329" s="245"/>
      <c r="AM5329" s="245"/>
      <c r="AN5329" s="245"/>
      <c r="AO5329" s="238">
        <v>0.0</v>
      </c>
      <c r="AP5329" s="238">
        <v>0.0</v>
      </c>
      <c r="AQ5329" s="235" t="s">
        <v>632</v>
      </c>
      <c r="AR5329" s="243">
        <v>3.7E11</v>
      </c>
      <c r="AS5329" s="235" t="s">
        <v>36667</v>
      </c>
      <c r="AT5329" s="235" t="s">
        <v>156</v>
      </c>
      <c r="AU5329" s="235" t="s">
        <v>634</v>
      </c>
      <c r="AV5329" s="246" t="s">
        <v>635</v>
      </c>
      <c r="AW5329" s="227"/>
      <c r="AX5329" s="227"/>
      <c r="AY5329" s="227"/>
      <c r="AZ5329" s="227"/>
      <c r="BA5329" s="227"/>
      <c r="BB5329" s="227"/>
      <c r="BC5329" s="227"/>
      <c r="BD5329" s="227"/>
      <c r="BE5329" s="227"/>
      <c r="BF5329" s="227"/>
    </row>
    <row r="5330">
      <c r="A5330" s="235" t="s">
        <v>39140</v>
      </c>
      <c r="C5330" s="235" t="s">
        <v>39141</v>
      </c>
      <c r="D5330" s="235" t="s">
        <v>39142</v>
      </c>
      <c r="E5330" s="243">
        <v>6.48E13</v>
      </c>
      <c r="F5330" s="245"/>
      <c r="G5330" s="235" t="s">
        <v>39143</v>
      </c>
      <c r="H5330" s="235" t="s">
        <v>39144</v>
      </c>
      <c r="I5330" s="235" t="s">
        <v>39144</v>
      </c>
      <c r="J5330" s="235" t="s">
        <v>39145</v>
      </c>
      <c r="K5330" s="235" t="s">
        <v>39146</v>
      </c>
      <c r="N5330" s="235" t="s">
        <v>842</v>
      </c>
      <c r="O5330" s="235" t="s">
        <v>843</v>
      </c>
      <c r="P5330" s="238">
        <v>1.0</v>
      </c>
      <c r="Q5330" s="235" t="s">
        <v>627</v>
      </c>
      <c r="R5330" s="238">
        <v>246.67</v>
      </c>
      <c r="S5330" s="238">
        <v>12.08</v>
      </c>
      <c r="T5330" s="238">
        <v>0.0</v>
      </c>
      <c r="U5330" s="238">
        <v>0.0</v>
      </c>
      <c r="V5330" s="238">
        <v>0.0</v>
      </c>
      <c r="W5330" s="238">
        <v>0.0</v>
      </c>
      <c r="X5330" s="235" t="s">
        <v>628</v>
      </c>
      <c r="Z5330" s="245"/>
      <c r="AA5330" s="245"/>
      <c r="AB5330" s="245"/>
      <c r="AC5330" s="235" t="s">
        <v>39147</v>
      </c>
      <c r="AD5330" s="235" t="s">
        <v>917</v>
      </c>
      <c r="AE5330" s="238">
        <v>335504.0</v>
      </c>
      <c r="AF5330" s="235" t="s">
        <v>631</v>
      </c>
      <c r="AG5330" s="245"/>
      <c r="AH5330" s="245"/>
      <c r="AI5330" s="245"/>
      <c r="AJ5330" s="245"/>
      <c r="AK5330" s="245"/>
      <c r="AL5330" s="245"/>
      <c r="AM5330" s="245"/>
      <c r="AN5330" s="245"/>
      <c r="AO5330" s="238">
        <v>-4.93</v>
      </c>
      <c r="AP5330" s="238">
        <v>0.0</v>
      </c>
      <c r="AQ5330" s="235" t="s">
        <v>632</v>
      </c>
      <c r="AR5330" s="243">
        <v>3.7E11</v>
      </c>
      <c r="AS5330" s="235" t="s">
        <v>36667</v>
      </c>
      <c r="AT5330" s="235" t="s">
        <v>14</v>
      </c>
      <c r="AU5330" s="235" t="s">
        <v>634</v>
      </c>
      <c r="AV5330" s="246" t="s">
        <v>635</v>
      </c>
      <c r="AW5330" s="227"/>
      <c r="AX5330" s="227"/>
      <c r="AY5330" s="227"/>
      <c r="AZ5330" s="227"/>
      <c r="BA5330" s="227"/>
      <c r="BB5330" s="227"/>
      <c r="BC5330" s="227"/>
      <c r="BD5330" s="227"/>
      <c r="BE5330" s="227"/>
      <c r="BF5330" s="227"/>
    </row>
    <row r="5331">
      <c r="A5331" s="235" t="s">
        <v>39148</v>
      </c>
      <c r="C5331" s="235" t="s">
        <v>39149</v>
      </c>
      <c r="D5331" s="235" t="s">
        <v>39150</v>
      </c>
      <c r="E5331" s="243">
        <v>6.49E13</v>
      </c>
      <c r="F5331" s="245"/>
      <c r="G5331" s="235" t="s">
        <v>39151</v>
      </c>
      <c r="H5331" s="235" t="s">
        <v>39152</v>
      </c>
      <c r="I5331" s="235" t="s">
        <v>39152</v>
      </c>
      <c r="J5331" s="235" t="s">
        <v>39153</v>
      </c>
      <c r="K5331" s="235" t="s">
        <v>39154</v>
      </c>
      <c r="N5331" s="235" t="s">
        <v>3858</v>
      </c>
      <c r="O5331" s="235" t="s">
        <v>39045</v>
      </c>
      <c r="P5331" s="238">
        <v>1.0</v>
      </c>
      <c r="Q5331" s="235" t="s">
        <v>627</v>
      </c>
      <c r="R5331" s="238">
        <v>246.67</v>
      </c>
      <c r="S5331" s="238">
        <v>12.08</v>
      </c>
      <c r="T5331" s="238">
        <v>0.0</v>
      </c>
      <c r="U5331" s="238">
        <v>0.0</v>
      </c>
      <c r="V5331" s="238">
        <v>0.0</v>
      </c>
      <c r="W5331" s="238">
        <v>0.0</v>
      </c>
      <c r="X5331" s="235" t="s">
        <v>628</v>
      </c>
      <c r="Z5331" s="245"/>
      <c r="AA5331" s="245"/>
      <c r="AB5331" s="245"/>
      <c r="AC5331" s="235" t="s">
        <v>832</v>
      </c>
      <c r="AD5331" s="235" t="s">
        <v>833</v>
      </c>
      <c r="AE5331" s="238">
        <v>530017.0</v>
      </c>
      <c r="AF5331" s="235" t="s">
        <v>631</v>
      </c>
      <c r="AG5331" s="245"/>
      <c r="AH5331" s="245"/>
      <c r="AI5331" s="245"/>
      <c r="AJ5331" s="245"/>
      <c r="AK5331" s="245"/>
      <c r="AL5331" s="245"/>
      <c r="AM5331" s="245"/>
      <c r="AN5331" s="245"/>
      <c r="AO5331" s="238">
        <v>-4.93</v>
      </c>
      <c r="AP5331" s="238">
        <v>0.0</v>
      </c>
      <c r="AQ5331" s="235" t="s">
        <v>632</v>
      </c>
      <c r="AR5331" s="243">
        <v>3.7E11</v>
      </c>
      <c r="AS5331" s="235" t="s">
        <v>35520</v>
      </c>
      <c r="AT5331" s="235" t="s">
        <v>156</v>
      </c>
      <c r="AU5331" s="235" t="s">
        <v>634</v>
      </c>
      <c r="AV5331" s="246" t="s">
        <v>635</v>
      </c>
      <c r="AW5331" s="227"/>
      <c r="AX5331" s="227"/>
      <c r="AY5331" s="227"/>
      <c r="AZ5331" s="227"/>
      <c r="BA5331" s="227"/>
      <c r="BB5331" s="227"/>
      <c r="BC5331" s="227"/>
      <c r="BD5331" s="227"/>
      <c r="BE5331" s="227"/>
      <c r="BF5331" s="227"/>
    </row>
    <row r="5332">
      <c r="A5332" s="235" t="s">
        <v>39155</v>
      </c>
      <c r="C5332" s="235" t="s">
        <v>39156</v>
      </c>
      <c r="D5332" s="235" t="s">
        <v>39157</v>
      </c>
      <c r="E5332" s="243">
        <v>6.49E13</v>
      </c>
      <c r="F5332" s="245"/>
      <c r="G5332" s="235" t="s">
        <v>39158</v>
      </c>
      <c r="H5332" s="235" t="s">
        <v>39159</v>
      </c>
      <c r="I5332" s="235" t="s">
        <v>39159</v>
      </c>
      <c r="J5332" s="235" t="s">
        <v>39160</v>
      </c>
      <c r="K5332" s="235" t="s">
        <v>39161</v>
      </c>
      <c r="N5332" s="235" t="s">
        <v>50</v>
      </c>
      <c r="O5332" s="235" t="s">
        <v>367</v>
      </c>
      <c r="P5332" s="238">
        <v>1.0</v>
      </c>
      <c r="Q5332" s="235" t="s">
        <v>627</v>
      </c>
      <c r="R5332" s="238">
        <v>234.29</v>
      </c>
      <c r="S5332" s="238">
        <v>11.48</v>
      </c>
      <c r="T5332" s="238">
        <v>0.0</v>
      </c>
      <c r="U5332" s="238">
        <v>0.0</v>
      </c>
      <c r="V5332" s="238">
        <v>0.0</v>
      </c>
      <c r="W5332" s="238">
        <v>0.0</v>
      </c>
      <c r="X5332" s="235" t="s">
        <v>628</v>
      </c>
      <c r="Z5332" s="245"/>
      <c r="AA5332" s="245"/>
      <c r="AB5332" s="245"/>
      <c r="AC5332" s="235" t="s">
        <v>697</v>
      </c>
      <c r="AD5332" s="235" t="s">
        <v>698</v>
      </c>
      <c r="AE5332" s="238">
        <v>500062.0</v>
      </c>
      <c r="AF5332" s="235" t="s">
        <v>631</v>
      </c>
      <c r="AG5332" s="245"/>
      <c r="AH5332" s="245"/>
      <c r="AI5332" s="245"/>
      <c r="AJ5332" s="245"/>
      <c r="AK5332" s="245"/>
      <c r="AL5332" s="245"/>
      <c r="AM5332" s="245"/>
      <c r="AN5332" s="245"/>
      <c r="AO5332" s="238">
        <v>-4.69</v>
      </c>
      <c r="AP5332" s="238">
        <v>0.0</v>
      </c>
      <c r="AQ5332" s="235" t="s">
        <v>632</v>
      </c>
      <c r="AR5332" s="243">
        <v>2.02E11</v>
      </c>
      <c r="AS5332" s="235" t="s">
        <v>37983</v>
      </c>
      <c r="AT5332" s="235" t="s">
        <v>5</v>
      </c>
      <c r="AU5332" s="235" t="s">
        <v>634</v>
      </c>
      <c r="AV5332" s="246" t="s">
        <v>635</v>
      </c>
      <c r="AW5332" s="227"/>
      <c r="AX5332" s="227"/>
      <c r="AY5332" s="227"/>
      <c r="AZ5332" s="227"/>
      <c r="BA5332" s="227"/>
      <c r="BB5332" s="227"/>
      <c r="BC5332" s="227"/>
      <c r="BD5332" s="227"/>
      <c r="BE5332" s="227"/>
      <c r="BF5332" s="227"/>
    </row>
    <row r="5333">
      <c r="A5333" s="235" t="s">
        <v>39162</v>
      </c>
      <c r="C5333" s="235" t="s">
        <v>39163</v>
      </c>
      <c r="D5333" s="235" t="s">
        <v>39164</v>
      </c>
      <c r="E5333" s="243">
        <v>6.48E13</v>
      </c>
      <c r="F5333" s="245"/>
      <c r="G5333" s="235" t="s">
        <v>39165</v>
      </c>
      <c r="H5333" s="235" t="s">
        <v>39166</v>
      </c>
      <c r="I5333" s="235" t="s">
        <v>39166</v>
      </c>
      <c r="J5333" s="235" t="s">
        <v>39167</v>
      </c>
      <c r="K5333" s="235" t="s">
        <v>39168</v>
      </c>
      <c r="N5333" s="235" t="s">
        <v>58</v>
      </c>
      <c r="O5333" s="235" t="s">
        <v>349</v>
      </c>
      <c r="P5333" s="238">
        <v>1.0</v>
      </c>
      <c r="Q5333" s="235" t="s">
        <v>627</v>
      </c>
      <c r="R5333" s="238">
        <v>627.62</v>
      </c>
      <c r="S5333" s="238">
        <v>31.38</v>
      </c>
      <c r="T5333" s="238">
        <v>38.1</v>
      </c>
      <c r="U5333" s="238">
        <v>1.9</v>
      </c>
      <c r="V5333" s="238">
        <v>0.0</v>
      </c>
      <c r="W5333" s="238">
        <v>0.0</v>
      </c>
      <c r="X5333" s="235" t="s">
        <v>628</v>
      </c>
      <c r="Z5333" s="245"/>
      <c r="AA5333" s="245"/>
      <c r="AB5333" s="245"/>
      <c r="AC5333" s="235" t="s">
        <v>3912</v>
      </c>
      <c r="AD5333" s="235" t="s">
        <v>3913</v>
      </c>
      <c r="AE5333" s="238">
        <v>797112.0</v>
      </c>
      <c r="AF5333" s="235" t="s">
        <v>631</v>
      </c>
      <c r="AG5333" s="245"/>
      <c r="AH5333" s="245"/>
      <c r="AI5333" s="245"/>
      <c r="AJ5333" s="245"/>
      <c r="AK5333" s="245"/>
      <c r="AL5333" s="245"/>
      <c r="AM5333" s="245"/>
      <c r="AN5333" s="245"/>
      <c r="AO5333" s="238">
        <v>0.0</v>
      </c>
      <c r="AP5333" s="238">
        <v>-38.1</v>
      </c>
      <c r="AQ5333" s="235" t="s">
        <v>632</v>
      </c>
      <c r="AR5333" s="243">
        <v>3.7E11</v>
      </c>
      <c r="AS5333" s="235" t="s">
        <v>31232</v>
      </c>
      <c r="AT5333" s="235" t="s">
        <v>17</v>
      </c>
      <c r="AU5333" s="235" t="s">
        <v>634</v>
      </c>
      <c r="AV5333" s="246" t="s">
        <v>635</v>
      </c>
      <c r="AW5333" s="227"/>
      <c r="AX5333" s="227"/>
      <c r="AY5333" s="227"/>
      <c r="AZ5333" s="227"/>
      <c r="BA5333" s="227"/>
      <c r="BB5333" s="227"/>
      <c r="BC5333" s="227"/>
      <c r="BD5333" s="227"/>
      <c r="BE5333" s="227"/>
      <c r="BF5333" s="227"/>
    </row>
    <row r="5334">
      <c r="A5334" s="235" t="s">
        <v>39169</v>
      </c>
      <c r="C5334" s="235" t="s">
        <v>39170</v>
      </c>
      <c r="D5334" s="235" t="s">
        <v>39171</v>
      </c>
      <c r="E5334" s="243">
        <v>6.48E13</v>
      </c>
      <c r="F5334" s="245"/>
      <c r="G5334" s="235" t="s">
        <v>39172</v>
      </c>
      <c r="H5334" s="235" t="s">
        <v>39173</v>
      </c>
      <c r="I5334" s="235" t="s">
        <v>39173</v>
      </c>
      <c r="J5334" s="235" t="s">
        <v>39174</v>
      </c>
      <c r="K5334" s="235" t="s">
        <v>39175</v>
      </c>
      <c r="N5334" s="235" t="s">
        <v>19</v>
      </c>
      <c r="O5334" s="235" t="s">
        <v>571</v>
      </c>
      <c r="P5334" s="238">
        <v>1.0</v>
      </c>
      <c r="Q5334" s="235" t="s">
        <v>627</v>
      </c>
      <c r="R5334" s="238">
        <v>360.95</v>
      </c>
      <c r="S5334" s="238">
        <v>17.69</v>
      </c>
      <c r="T5334" s="238">
        <v>0.0</v>
      </c>
      <c r="U5334" s="238">
        <v>0.0</v>
      </c>
      <c r="V5334" s="238">
        <v>0.0</v>
      </c>
      <c r="W5334" s="238">
        <v>0.0</v>
      </c>
      <c r="X5334" s="235" t="s">
        <v>628</v>
      </c>
      <c r="Z5334" s="245"/>
      <c r="AA5334" s="245"/>
      <c r="AB5334" s="245"/>
      <c r="AC5334" s="235" t="s">
        <v>697</v>
      </c>
      <c r="AD5334" s="235" t="s">
        <v>698</v>
      </c>
      <c r="AE5334" s="238">
        <v>501505.0</v>
      </c>
      <c r="AF5334" s="235" t="s">
        <v>631</v>
      </c>
      <c r="AG5334" s="245"/>
      <c r="AH5334" s="245"/>
      <c r="AI5334" s="245"/>
      <c r="AJ5334" s="245"/>
      <c r="AK5334" s="245"/>
      <c r="AL5334" s="245"/>
      <c r="AM5334" s="245"/>
      <c r="AN5334" s="245"/>
      <c r="AO5334" s="238">
        <v>-7.22</v>
      </c>
      <c r="AP5334" s="238">
        <v>0.0</v>
      </c>
      <c r="AQ5334" s="235" t="s">
        <v>632</v>
      </c>
      <c r="AR5334" s="243">
        <v>3.7E11</v>
      </c>
      <c r="AS5334" s="235" t="s">
        <v>36667</v>
      </c>
      <c r="AT5334" s="235" t="s">
        <v>9</v>
      </c>
      <c r="AU5334" s="235" t="s">
        <v>634</v>
      </c>
      <c r="AV5334" s="246" t="s">
        <v>635</v>
      </c>
      <c r="AW5334" s="227"/>
      <c r="AX5334" s="227"/>
      <c r="AY5334" s="227"/>
      <c r="AZ5334" s="227"/>
      <c r="BA5334" s="227"/>
      <c r="BB5334" s="227"/>
      <c r="BC5334" s="227"/>
      <c r="BD5334" s="227"/>
      <c r="BE5334" s="227"/>
      <c r="BF5334" s="227"/>
    </row>
    <row r="5335">
      <c r="A5335" s="235" t="s">
        <v>39176</v>
      </c>
      <c r="C5335" s="235" t="s">
        <v>39177</v>
      </c>
      <c r="D5335" s="235" t="s">
        <v>39178</v>
      </c>
      <c r="E5335" s="243">
        <v>6.48E13</v>
      </c>
      <c r="F5335" s="245"/>
      <c r="G5335" s="235" t="s">
        <v>39179</v>
      </c>
      <c r="H5335" s="235" t="s">
        <v>39180</v>
      </c>
      <c r="I5335" s="235" t="s">
        <v>39181</v>
      </c>
      <c r="J5335" s="235" t="s">
        <v>39182</v>
      </c>
      <c r="K5335" s="235" t="s">
        <v>39183</v>
      </c>
      <c r="N5335" s="235" t="s">
        <v>127</v>
      </c>
      <c r="O5335" s="235" t="s">
        <v>794</v>
      </c>
      <c r="P5335" s="238">
        <v>1.0</v>
      </c>
      <c r="Q5335" s="235" t="s">
        <v>627</v>
      </c>
      <c r="R5335" s="238">
        <v>243.81</v>
      </c>
      <c r="S5335" s="238">
        <v>12.19</v>
      </c>
      <c r="T5335" s="238">
        <v>0.0</v>
      </c>
      <c r="U5335" s="238">
        <v>0.0</v>
      </c>
      <c r="V5335" s="238">
        <v>0.0</v>
      </c>
      <c r="W5335" s="238">
        <v>0.0</v>
      </c>
      <c r="X5335" s="235" t="s">
        <v>628</v>
      </c>
      <c r="Z5335" s="245"/>
      <c r="AA5335" s="245"/>
      <c r="AB5335" s="245"/>
      <c r="AC5335" s="235" t="s">
        <v>1531</v>
      </c>
      <c r="AD5335" s="235" t="s">
        <v>1151</v>
      </c>
      <c r="AE5335" s="238">
        <v>700038.0</v>
      </c>
      <c r="AF5335" s="235" t="s">
        <v>631</v>
      </c>
      <c r="AG5335" s="245"/>
      <c r="AH5335" s="245"/>
      <c r="AI5335" s="245"/>
      <c r="AJ5335" s="245"/>
      <c r="AK5335" s="245"/>
      <c r="AL5335" s="245"/>
      <c r="AM5335" s="245"/>
      <c r="AN5335" s="245"/>
      <c r="AO5335" s="238">
        <v>0.0</v>
      </c>
      <c r="AP5335" s="238">
        <v>0.0</v>
      </c>
      <c r="AQ5335" s="235" t="s">
        <v>632</v>
      </c>
      <c r="AR5335" s="243">
        <v>2.02E11</v>
      </c>
      <c r="AS5335" s="235" t="s">
        <v>37983</v>
      </c>
      <c r="AT5335" s="235" t="s">
        <v>156</v>
      </c>
      <c r="AU5335" s="235" t="s">
        <v>634</v>
      </c>
      <c r="AV5335" s="246" t="s">
        <v>635</v>
      </c>
      <c r="AW5335" s="227"/>
      <c r="AX5335" s="227"/>
      <c r="AY5335" s="227"/>
      <c r="AZ5335" s="227"/>
      <c r="BA5335" s="227"/>
      <c r="BB5335" s="227"/>
      <c r="BC5335" s="227"/>
      <c r="BD5335" s="227"/>
      <c r="BE5335" s="227"/>
      <c r="BF5335" s="227"/>
    </row>
    <row r="5336">
      <c r="A5336" s="235" t="s">
        <v>39184</v>
      </c>
      <c r="C5336" s="235" t="s">
        <v>39185</v>
      </c>
      <c r="D5336" s="235" t="s">
        <v>39186</v>
      </c>
      <c r="E5336" s="243">
        <v>6.48E13</v>
      </c>
      <c r="F5336" s="245"/>
      <c r="G5336" s="235" t="s">
        <v>39187</v>
      </c>
      <c r="H5336" s="235" t="s">
        <v>39188</v>
      </c>
      <c r="I5336" s="235" t="s">
        <v>39188</v>
      </c>
      <c r="J5336" s="235" t="s">
        <v>39189</v>
      </c>
      <c r="K5336" s="235" t="s">
        <v>39190</v>
      </c>
      <c r="N5336" s="235" t="s">
        <v>82</v>
      </c>
      <c r="O5336" s="235" t="s">
        <v>889</v>
      </c>
      <c r="P5336" s="238">
        <v>1.0</v>
      </c>
      <c r="Q5336" s="235" t="s">
        <v>627</v>
      </c>
      <c r="R5336" s="238">
        <v>243.81</v>
      </c>
      <c r="S5336" s="238">
        <v>12.19</v>
      </c>
      <c r="T5336" s="238">
        <v>38.1</v>
      </c>
      <c r="U5336" s="238">
        <v>1.9</v>
      </c>
      <c r="V5336" s="238">
        <v>0.0</v>
      </c>
      <c r="W5336" s="238">
        <v>0.0</v>
      </c>
      <c r="X5336" s="235" t="s">
        <v>628</v>
      </c>
      <c r="Z5336" s="245"/>
      <c r="AA5336" s="245"/>
      <c r="AB5336" s="245"/>
      <c r="AC5336" s="235" t="s">
        <v>39191</v>
      </c>
      <c r="AD5336" s="235" t="s">
        <v>698</v>
      </c>
      <c r="AE5336" s="238">
        <v>508204.0</v>
      </c>
      <c r="AF5336" s="235" t="s">
        <v>631</v>
      </c>
      <c r="AG5336" s="245"/>
      <c r="AH5336" s="245"/>
      <c r="AI5336" s="245"/>
      <c r="AJ5336" s="245"/>
      <c r="AK5336" s="245"/>
      <c r="AL5336" s="245"/>
      <c r="AM5336" s="245"/>
      <c r="AN5336" s="245"/>
      <c r="AO5336" s="238">
        <v>0.0</v>
      </c>
      <c r="AP5336" s="238">
        <v>-38.1</v>
      </c>
      <c r="AQ5336" s="235" t="s">
        <v>632</v>
      </c>
      <c r="AR5336" s="243">
        <v>3.7E11</v>
      </c>
      <c r="AS5336" s="235" t="s">
        <v>36667</v>
      </c>
      <c r="AT5336" s="235" t="s">
        <v>156</v>
      </c>
      <c r="AU5336" s="235" t="s">
        <v>634</v>
      </c>
      <c r="AV5336" s="246" t="s">
        <v>635</v>
      </c>
      <c r="AW5336" s="227"/>
      <c r="AX5336" s="227"/>
      <c r="AY5336" s="227"/>
      <c r="AZ5336" s="227"/>
      <c r="BA5336" s="227"/>
      <c r="BB5336" s="227"/>
      <c r="BC5336" s="227"/>
      <c r="BD5336" s="227"/>
      <c r="BE5336" s="227"/>
      <c r="BF5336" s="227"/>
    </row>
    <row r="5337">
      <c r="A5337" s="235" t="s">
        <v>39192</v>
      </c>
      <c r="C5337" s="235" t="s">
        <v>39193</v>
      </c>
      <c r="D5337" s="235" t="s">
        <v>39194</v>
      </c>
      <c r="E5337" s="243">
        <v>6.47E13</v>
      </c>
      <c r="F5337" s="245"/>
      <c r="G5337" s="235" t="s">
        <v>39195</v>
      </c>
      <c r="H5337" s="235" t="s">
        <v>39196</v>
      </c>
      <c r="I5337" s="235" t="s">
        <v>39196</v>
      </c>
      <c r="J5337" s="235" t="s">
        <v>39197</v>
      </c>
      <c r="K5337" s="235" t="s">
        <v>39198</v>
      </c>
      <c r="N5337" s="235" t="s">
        <v>3875</v>
      </c>
      <c r="O5337" s="235" t="s">
        <v>3876</v>
      </c>
      <c r="P5337" s="238">
        <v>1.0</v>
      </c>
      <c r="Q5337" s="235" t="s">
        <v>627</v>
      </c>
      <c r="R5337" s="238">
        <v>207.62</v>
      </c>
      <c r="S5337" s="238">
        <v>10.38</v>
      </c>
      <c r="T5337" s="238">
        <v>0.0</v>
      </c>
      <c r="U5337" s="238">
        <v>0.0</v>
      </c>
      <c r="V5337" s="238">
        <v>0.0</v>
      </c>
      <c r="W5337" s="238">
        <v>0.0</v>
      </c>
      <c r="X5337" s="235" t="s">
        <v>628</v>
      </c>
      <c r="Z5337" s="245"/>
      <c r="AA5337" s="245"/>
      <c r="AB5337" s="245"/>
      <c r="AC5337" s="235" t="s">
        <v>31240</v>
      </c>
      <c r="AD5337" s="235" t="s">
        <v>845</v>
      </c>
      <c r="AE5337" s="238">
        <v>423203.0</v>
      </c>
      <c r="AF5337" s="235" t="s">
        <v>631</v>
      </c>
      <c r="AG5337" s="245"/>
      <c r="AH5337" s="245"/>
      <c r="AI5337" s="245"/>
      <c r="AJ5337" s="245"/>
      <c r="AK5337" s="245"/>
      <c r="AL5337" s="245"/>
      <c r="AM5337" s="245"/>
      <c r="AN5337" s="245"/>
      <c r="AO5337" s="238">
        <v>0.0</v>
      </c>
      <c r="AP5337" s="238">
        <v>0.0</v>
      </c>
      <c r="AQ5337" s="235" t="s">
        <v>632</v>
      </c>
      <c r="AR5337" s="243">
        <v>3.7E11</v>
      </c>
      <c r="AS5337" s="235" t="s">
        <v>37983</v>
      </c>
      <c r="AT5337" s="235" t="s">
        <v>16</v>
      </c>
      <c r="AU5337" s="235" t="s">
        <v>634</v>
      </c>
      <c r="AV5337" s="246" t="s">
        <v>635</v>
      </c>
      <c r="AW5337" s="227"/>
      <c r="AX5337" s="227"/>
      <c r="AY5337" s="227"/>
      <c r="AZ5337" s="227"/>
      <c r="BA5337" s="227"/>
      <c r="BB5337" s="227"/>
      <c r="BC5337" s="227"/>
      <c r="BD5337" s="227"/>
      <c r="BE5337" s="227"/>
      <c r="BF5337" s="227"/>
    </row>
    <row r="5338">
      <c r="A5338" s="235" t="s">
        <v>39199</v>
      </c>
      <c r="C5338" s="235" t="s">
        <v>39200</v>
      </c>
      <c r="D5338" s="235" t="s">
        <v>39201</v>
      </c>
      <c r="E5338" s="243">
        <v>6.48E13</v>
      </c>
      <c r="F5338" s="245"/>
      <c r="G5338" s="235" t="s">
        <v>39202</v>
      </c>
      <c r="H5338" s="235" t="s">
        <v>39203</v>
      </c>
      <c r="I5338" s="235" t="s">
        <v>39203</v>
      </c>
      <c r="J5338" s="235" t="s">
        <v>39204</v>
      </c>
      <c r="K5338" s="235" t="s">
        <v>39205</v>
      </c>
      <c r="N5338" s="235" t="s">
        <v>141</v>
      </c>
      <c r="O5338" s="235" t="s">
        <v>342</v>
      </c>
      <c r="P5338" s="238">
        <v>1.0</v>
      </c>
      <c r="Q5338" s="235" t="s">
        <v>627</v>
      </c>
      <c r="R5338" s="238">
        <v>244.76</v>
      </c>
      <c r="S5338" s="238">
        <v>12.24</v>
      </c>
      <c r="T5338" s="238">
        <v>0.0</v>
      </c>
      <c r="U5338" s="238">
        <v>0.0</v>
      </c>
      <c r="V5338" s="238">
        <v>0.0</v>
      </c>
      <c r="W5338" s="238">
        <v>0.0</v>
      </c>
      <c r="X5338" s="235" t="s">
        <v>628</v>
      </c>
      <c r="Z5338" s="245"/>
      <c r="AA5338" s="245"/>
      <c r="AB5338" s="245"/>
      <c r="AC5338" s="235" t="s">
        <v>2493</v>
      </c>
      <c r="AD5338" s="235" t="s">
        <v>833</v>
      </c>
      <c r="AE5338" s="238">
        <v>520002.0</v>
      </c>
      <c r="AF5338" s="235" t="s">
        <v>631</v>
      </c>
      <c r="AG5338" s="245"/>
      <c r="AH5338" s="245"/>
      <c r="AI5338" s="245"/>
      <c r="AJ5338" s="245"/>
      <c r="AK5338" s="245"/>
      <c r="AL5338" s="245"/>
      <c r="AM5338" s="245"/>
      <c r="AN5338" s="245"/>
      <c r="AO5338" s="238">
        <v>0.0</v>
      </c>
      <c r="AP5338" s="238">
        <v>0.0</v>
      </c>
      <c r="AQ5338" s="235" t="s">
        <v>632</v>
      </c>
      <c r="AR5338" s="243">
        <v>1.68E11</v>
      </c>
      <c r="AS5338" s="235" t="s">
        <v>37983</v>
      </c>
      <c r="AT5338" s="235" t="s">
        <v>156</v>
      </c>
      <c r="AU5338" s="235" t="s">
        <v>634</v>
      </c>
      <c r="AV5338" s="246" t="s">
        <v>635</v>
      </c>
      <c r="AW5338" s="227"/>
      <c r="AX5338" s="227"/>
      <c r="AY5338" s="227"/>
      <c r="AZ5338" s="227"/>
      <c r="BA5338" s="227"/>
      <c r="BB5338" s="227"/>
      <c r="BC5338" s="227"/>
      <c r="BD5338" s="227"/>
      <c r="BE5338" s="227"/>
      <c r="BF5338" s="227"/>
    </row>
    <row r="5339">
      <c r="A5339" s="235" t="s">
        <v>39206</v>
      </c>
      <c r="C5339" s="235" t="s">
        <v>39207</v>
      </c>
      <c r="D5339" s="235" t="s">
        <v>39208</v>
      </c>
      <c r="E5339" s="243">
        <v>6.48E13</v>
      </c>
      <c r="F5339" s="245"/>
      <c r="G5339" s="235" t="s">
        <v>39209</v>
      </c>
      <c r="H5339" s="235" t="s">
        <v>39210</v>
      </c>
      <c r="I5339" s="235" t="s">
        <v>39210</v>
      </c>
      <c r="J5339" s="235" t="s">
        <v>39211</v>
      </c>
      <c r="K5339" s="235" t="s">
        <v>39212</v>
      </c>
      <c r="N5339" s="235" t="s">
        <v>71</v>
      </c>
      <c r="O5339" s="235" t="s">
        <v>240</v>
      </c>
      <c r="P5339" s="238">
        <v>1.0</v>
      </c>
      <c r="Q5339" s="235" t="s">
        <v>627</v>
      </c>
      <c r="R5339" s="238">
        <v>246.66</v>
      </c>
      <c r="S5339" s="238">
        <v>12.34</v>
      </c>
      <c r="T5339" s="238">
        <v>38.1</v>
      </c>
      <c r="U5339" s="238">
        <v>1.9</v>
      </c>
      <c r="V5339" s="238">
        <v>0.0</v>
      </c>
      <c r="W5339" s="238">
        <v>0.0</v>
      </c>
      <c r="X5339" s="235" t="s">
        <v>628</v>
      </c>
      <c r="Z5339" s="245"/>
      <c r="AA5339" s="245"/>
      <c r="AB5339" s="245"/>
      <c r="AC5339" s="235" t="s">
        <v>687</v>
      </c>
      <c r="AD5339" s="235" t="s">
        <v>666</v>
      </c>
      <c r="AE5339" s="238">
        <v>600002.0</v>
      </c>
      <c r="AF5339" s="235" t="s">
        <v>631</v>
      </c>
      <c r="AG5339" s="245"/>
      <c r="AH5339" s="245"/>
      <c r="AI5339" s="245"/>
      <c r="AJ5339" s="245"/>
      <c r="AK5339" s="245"/>
      <c r="AL5339" s="245"/>
      <c r="AM5339" s="245"/>
      <c r="AN5339" s="245"/>
      <c r="AO5339" s="238">
        <v>0.0</v>
      </c>
      <c r="AP5339" s="238">
        <v>-38.1</v>
      </c>
      <c r="AQ5339" s="235" t="s">
        <v>632</v>
      </c>
      <c r="AR5339" s="243">
        <v>3.7E11</v>
      </c>
      <c r="AS5339" s="235" t="s">
        <v>37983</v>
      </c>
      <c r="AT5339" s="235" t="s">
        <v>156</v>
      </c>
      <c r="AU5339" s="235" t="s">
        <v>634</v>
      </c>
      <c r="AV5339" s="246" t="s">
        <v>635</v>
      </c>
      <c r="AW5339" s="227"/>
      <c r="AX5339" s="227"/>
      <c r="AY5339" s="227"/>
      <c r="AZ5339" s="227"/>
      <c r="BA5339" s="227"/>
      <c r="BB5339" s="227"/>
      <c r="BC5339" s="227"/>
      <c r="BD5339" s="227"/>
      <c r="BE5339" s="227"/>
      <c r="BF5339" s="227"/>
    </row>
    <row r="5340">
      <c r="A5340" s="235" t="s">
        <v>39213</v>
      </c>
      <c r="C5340" s="235" t="s">
        <v>39214</v>
      </c>
      <c r="D5340" s="235" t="s">
        <v>39215</v>
      </c>
      <c r="E5340" s="243">
        <v>6.48E13</v>
      </c>
      <c r="F5340" s="245"/>
      <c r="G5340" s="235" t="s">
        <v>39216</v>
      </c>
      <c r="H5340" s="235" t="s">
        <v>39217</v>
      </c>
      <c r="I5340" s="235" t="s">
        <v>39218</v>
      </c>
      <c r="J5340" s="235" t="s">
        <v>39219</v>
      </c>
      <c r="K5340" s="235" t="s">
        <v>39220</v>
      </c>
      <c r="N5340" s="235" t="s">
        <v>3875</v>
      </c>
      <c r="O5340" s="235" t="s">
        <v>3876</v>
      </c>
      <c r="P5340" s="238">
        <v>1.0</v>
      </c>
      <c r="Q5340" s="235" t="s">
        <v>627</v>
      </c>
      <c r="R5340" s="238">
        <v>207.62</v>
      </c>
      <c r="S5340" s="238">
        <v>10.17</v>
      </c>
      <c r="T5340" s="238">
        <v>0.0</v>
      </c>
      <c r="U5340" s="238">
        <v>0.0</v>
      </c>
      <c r="V5340" s="238">
        <v>0.0</v>
      </c>
      <c r="W5340" s="238">
        <v>0.0</v>
      </c>
      <c r="X5340" s="235" t="s">
        <v>628</v>
      </c>
      <c r="Z5340" s="245"/>
      <c r="AA5340" s="245"/>
      <c r="AB5340" s="245"/>
      <c r="AC5340" s="235" t="s">
        <v>3351</v>
      </c>
      <c r="AD5340" s="235" t="s">
        <v>1499</v>
      </c>
      <c r="AE5340" s="238">
        <v>462047.0</v>
      </c>
      <c r="AF5340" s="235" t="s">
        <v>631</v>
      </c>
      <c r="AG5340" s="245"/>
      <c r="AH5340" s="245"/>
      <c r="AI5340" s="245"/>
      <c r="AJ5340" s="245"/>
      <c r="AK5340" s="245"/>
      <c r="AL5340" s="245"/>
      <c r="AM5340" s="245"/>
      <c r="AN5340" s="245"/>
      <c r="AO5340" s="238">
        <v>-4.15</v>
      </c>
      <c r="AP5340" s="238">
        <v>0.0</v>
      </c>
      <c r="AQ5340" s="235" t="s">
        <v>632</v>
      </c>
      <c r="AR5340" s="243">
        <v>3.7E11</v>
      </c>
      <c r="AS5340" s="235" t="s">
        <v>36667</v>
      </c>
      <c r="AT5340" s="235" t="s">
        <v>16</v>
      </c>
      <c r="AU5340" s="235" t="s">
        <v>634</v>
      </c>
      <c r="AV5340" s="246" t="s">
        <v>635</v>
      </c>
      <c r="AW5340" s="227"/>
      <c r="AX5340" s="227"/>
      <c r="AY5340" s="227"/>
      <c r="AZ5340" s="227"/>
      <c r="BA5340" s="227"/>
      <c r="BB5340" s="227"/>
      <c r="BC5340" s="227"/>
      <c r="BD5340" s="227"/>
      <c r="BE5340" s="227"/>
      <c r="BF5340" s="227"/>
    </row>
    <row r="5341">
      <c r="A5341" s="235" t="s">
        <v>39221</v>
      </c>
      <c r="C5341" s="235" t="s">
        <v>39222</v>
      </c>
      <c r="D5341" s="235" t="s">
        <v>39223</v>
      </c>
      <c r="E5341" s="243">
        <v>6.48E13</v>
      </c>
      <c r="F5341" s="245"/>
      <c r="G5341" s="235" t="s">
        <v>39224</v>
      </c>
      <c r="H5341" s="235" t="s">
        <v>39225</v>
      </c>
      <c r="I5341" s="235" t="s">
        <v>39225</v>
      </c>
      <c r="J5341" s="235" t="s">
        <v>39226</v>
      </c>
      <c r="K5341" s="235" t="s">
        <v>39227</v>
      </c>
      <c r="N5341" s="235" t="s">
        <v>92</v>
      </c>
      <c r="O5341" s="235" t="s">
        <v>248</v>
      </c>
      <c r="P5341" s="238">
        <v>1.0</v>
      </c>
      <c r="Q5341" s="235" t="s">
        <v>627</v>
      </c>
      <c r="R5341" s="238">
        <v>244.76</v>
      </c>
      <c r="S5341" s="238">
        <v>12.24</v>
      </c>
      <c r="T5341" s="238">
        <v>0.0</v>
      </c>
      <c r="U5341" s="238">
        <v>0.0</v>
      </c>
      <c r="V5341" s="238">
        <v>0.0</v>
      </c>
      <c r="W5341" s="238">
        <v>0.0</v>
      </c>
      <c r="X5341" s="235" t="s">
        <v>628</v>
      </c>
      <c r="Z5341" s="245"/>
      <c r="AA5341" s="245"/>
      <c r="AB5341" s="245"/>
      <c r="AC5341" s="235" t="s">
        <v>4397</v>
      </c>
      <c r="AD5341" s="235" t="s">
        <v>1151</v>
      </c>
      <c r="AE5341" s="238">
        <v>700004.0</v>
      </c>
      <c r="AF5341" s="235" t="s">
        <v>631</v>
      </c>
      <c r="AG5341" s="245"/>
      <c r="AH5341" s="245"/>
      <c r="AI5341" s="245"/>
      <c r="AJ5341" s="245"/>
      <c r="AK5341" s="245"/>
      <c r="AL5341" s="245"/>
      <c r="AM5341" s="245"/>
      <c r="AN5341" s="245"/>
      <c r="AO5341" s="238">
        <v>0.0</v>
      </c>
      <c r="AP5341" s="238">
        <v>0.0</v>
      </c>
      <c r="AQ5341" s="235" t="s">
        <v>632</v>
      </c>
      <c r="AR5341" s="243">
        <v>2.02E11</v>
      </c>
      <c r="AS5341" s="235" t="s">
        <v>37983</v>
      </c>
      <c r="AT5341" s="235" t="s">
        <v>14</v>
      </c>
      <c r="AU5341" s="235" t="s">
        <v>634</v>
      </c>
      <c r="AV5341" s="246" t="s">
        <v>635</v>
      </c>
      <c r="AW5341" s="227"/>
      <c r="AX5341" s="227"/>
      <c r="AY5341" s="227"/>
      <c r="AZ5341" s="227"/>
      <c r="BA5341" s="227"/>
      <c r="BB5341" s="227"/>
      <c r="BC5341" s="227"/>
      <c r="BD5341" s="227"/>
      <c r="BE5341" s="227"/>
      <c r="BF5341" s="227"/>
    </row>
    <row r="5342">
      <c r="A5342" s="235" t="s">
        <v>39228</v>
      </c>
      <c r="C5342" s="235" t="s">
        <v>39229</v>
      </c>
      <c r="D5342" s="235" t="s">
        <v>39230</v>
      </c>
      <c r="E5342" s="243">
        <v>6.48E13</v>
      </c>
      <c r="F5342" s="245"/>
      <c r="G5342" s="235" t="s">
        <v>39231</v>
      </c>
      <c r="H5342" s="235" t="s">
        <v>39232</v>
      </c>
      <c r="I5342" s="235" t="s">
        <v>39232</v>
      </c>
      <c r="J5342" s="235" t="s">
        <v>39233</v>
      </c>
      <c r="K5342" s="235" t="s">
        <v>39234</v>
      </c>
      <c r="N5342" s="235" t="s">
        <v>56</v>
      </c>
      <c r="O5342" s="235" t="s">
        <v>415</v>
      </c>
      <c r="P5342" s="238">
        <v>1.0</v>
      </c>
      <c r="Q5342" s="235" t="s">
        <v>627</v>
      </c>
      <c r="R5342" s="238">
        <v>627.62</v>
      </c>
      <c r="S5342" s="238">
        <v>31.38</v>
      </c>
      <c r="T5342" s="238">
        <v>0.0</v>
      </c>
      <c r="U5342" s="238">
        <v>0.0</v>
      </c>
      <c r="V5342" s="238">
        <v>0.0</v>
      </c>
      <c r="W5342" s="238">
        <v>0.0</v>
      </c>
      <c r="X5342" s="235" t="s">
        <v>628</v>
      </c>
      <c r="Z5342" s="245"/>
      <c r="AA5342" s="245"/>
      <c r="AB5342" s="245"/>
      <c r="AC5342" s="235" t="s">
        <v>22367</v>
      </c>
      <c r="AD5342" s="235" t="s">
        <v>679</v>
      </c>
      <c r="AE5342" s="238">
        <v>580020.0</v>
      </c>
      <c r="AF5342" s="235" t="s">
        <v>631</v>
      </c>
      <c r="AG5342" s="245"/>
      <c r="AH5342" s="245"/>
      <c r="AI5342" s="245"/>
      <c r="AJ5342" s="245"/>
      <c r="AK5342" s="245"/>
      <c r="AL5342" s="245"/>
      <c r="AM5342" s="245"/>
      <c r="AN5342" s="245"/>
      <c r="AO5342" s="238">
        <v>0.0</v>
      </c>
      <c r="AP5342" s="238">
        <v>0.0</v>
      </c>
      <c r="AQ5342" s="235" t="s">
        <v>632</v>
      </c>
      <c r="AR5342" s="243">
        <v>3.7E11</v>
      </c>
      <c r="AS5342" s="235" t="s">
        <v>36667</v>
      </c>
      <c r="AT5342" s="235" t="s">
        <v>16</v>
      </c>
      <c r="AU5342" s="235" t="s">
        <v>634</v>
      </c>
      <c r="AV5342" s="246" t="s">
        <v>635</v>
      </c>
      <c r="AW5342" s="227"/>
      <c r="AX5342" s="227"/>
      <c r="AY5342" s="227"/>
      <c r="AZ5342" s="227"/>
      <c r="BA5342" s="227"/>
      <c r="BB5342" s="227"/>
      <c r="BC5342" s="227"/>
      <c r="BD5342" s="227"/>
      <c r="BE5342" s="227"/>
      <c r="BF5342" s="227"/>
    </row>
    <row r="5343">
      <c r="A5343" s="235" t="s">
        <v>39235</v>
      </c>
      <c r="C5343" s="235" t="s">
        <v>39236</v>
      </c>
      <c r="D5343" s="235" t="s">
        <v>39237</v>
      </c>
      <c r="E5343" s="243">
        <v>6.48E13</v>
      </c>
      <c r="F5343" s="245"/>
      <c r="G5343" s="235" t="s">
        <v>39238</v>
      </c>
      <c r="H5343" s="235" t="s">
        <v>39239</v>
      </c>
      <c r="I5343" s="235" t="s">
        <v>39239</v>
      </c>
      <c r="J5343" s="235" t="s">
        <v>39240</v>
      </c>
      <c r="K5343" s="235" t="s">
        <v>39241</v>
      </c>
      <c r="N5343" s="235" t="s">
        <v>47</v>
      </c>
      <c r="O5343" s="235" t="s">
        <v>270</v>
      </c>
      <c r="P5343" s="238">
        <v>1.0</v>
      </c>
      <c r="Q5343" s="235" t="s">
        <v>627</v>
      </c>
      <c r="R5343" s="238">
        <v>236.19</v>
      </c>
      <c r="S5343" s="238">
        <v>11.81</v>
      </c>
      <c r="T5343" s="238">
        <v>0.0</v>
      </c>
      <c r="U5343" s="238">
        <v>0.0</v>
      </c>
      <c r="V5343" s="238">
        <v>0.0</v>
      </c>
      <c r="W5343" s="238">
        <v>0.0</v>
      </c>
      <c r="X5343" s="235" t="s">
        <v>628</v>
      </c>
      <c r="Z5343" s="245"/>
      <c r="AA5343" s="245"/>
      <c r="AB5343" s="245"/>
      <c r="AC5343" s="235" t="s">
        <v>814</v>
      </c>
      <c r="AD5343" s="235" t="s">
        <v>698</v>
      </c>
      <c r="AE5343" s="238">
        <v>500038.0</v>
      </c>
      <c r="AF5343" s="235" t="s">
        <v>631</v>
      </c>
      <c r="AG5343" s="245"/>
      <c r="AH5343" s="245"/>
      <c r="AI5343" s="245"/>
      <c r="AJ5343" s="245"/>
      <c r="AK5343" s="245"/>
      <c r="AL5343" s="245"/>
      <c r="AM5343" s="245"/>
      <c r="AN5343" s="245"/>
      <c r="AO5343" s="238">
        <v>0.0</v>
      </c>
      <c r="AP5343" s="238">
        <v>0.0</v>
      </c>
      <c r="AQ5343" s="235" t="s">
        <v>632</v>
      </c>
      <c r="AR5343" s="243">
        <v>1.68E11</v>
      </c>
      <c r="AS5343" s="235" t="s">
        <v>37983</v>
      </c>
      <c r="AT5343" s="235" t="s">
        <v>156</v>
      </c>
      <c r="AU5343" s="235" t="s">
        <v>634</v>
      </c>
      <c r="AV5343" s="246" t="s">
        <v>635</v>
      </c>
      <c r="AW5343" s="227"/>
      <c r="AX5343" s="227"/>
      <c r="AY5343" s="227"/>
      <c r="AZ5343" s="227"/>
      <c r="BA5343" s="227"/>
      <c r="BB5343" s="227"/>
      <c r="BC5343" s="227"/>
      <c r="BD5343" s="227"/>
      <c r="BE5343" s="227"/>
      <c r="BF5343" s="227"/>
    </row>
    <row r="5344">
      <c r="A5344" s="235" t="s">
        <v>39242</v>
      </c>
      <c r="C5344" s="235" t="s">
        <v>39243</v>
      </c>
      <c r="D5344" s="235" t="s">
        <v>39244</v>
      </c>
      <c r="E5344" s="243">
        <v>6.48E13</v>
      </c>
      <c r="F5344" s="245"/>
      <c r="G5344" s="235" t="s">
        <v>39245</v>
      </c>
      <c r="H5344" s="235" t="s">
        <v>39246</v>
      </c>
      <c r="I5344" s="235" t="s">
        <v>39247</v>
      </c>
      <c r="J5344" s="235" t="s">
        <v>39248</v>
      </c>
      <c r="K5344" s="235" t="s">
        <v>39249</v>
      </c>
      <c r="N5344" s="235" t="s">
        <v>115</v>
      </c>
      <c r="O5344" s="235" t="s">
        <v>548</v>
      </c>
      <c r="P5344" s="238">
        <v>1.0</v>
      </c>
      <c r="Q5344" s="235" t="s">
        <v>627</v>
      </c>
      <c r="R5344" s="238">
        <v>246.66</v>
      </c>
      <c r="S5344" s="238">
        <v>12.1</v>
      </c>
      <c r="T5344" s="238">
        <v>0.0</v>
      </c>
      <c r="U5344" s="238">
        <v>0.0</v>
      </c>
      <c r="V5344" s="238">
        <v>0.0</v>
      </c>
      <c r="W5344" s="238">
        <v>0.0</v>
      </c>
      <c r="X5344" s="235" t="s">
        <v>628</v>
      </c>
      <c r="Z5344" s="245"/>
      <c r="AA5344" s="245"/>
      <c r="AB5344" s="245"/>
      <c r="AC5344" s="235" t="s">
        <v>678</v>
      </c>
      <c r="AD5344" s="235" t="s">
        <v>679</v>
      </c>
      <c r="AE5344" s="238">
        <v>560026.0</v>
      </c>
      <c r="AF5344" s="235" t="s">
        <v>631</v>
      </c>
      <c r="AG5344" s="245"/>
      <c r="AH5344" s="245"/>
      <c r="AI5344" s="245"/>
      <c r="AJ5344" s="245"/>
      <c r="AK5344" s="245"/>
      <c r="AL5344" s="245"/>
      <c r="AM5344" s="245"/>
      <c r="AN5344" s="245"/>
      <c r="AO5344" s="238">
        <v>-4.94</v>
      </c>
      <c r="AP5344" s="238">
        <v>0.0</v>
      </c>
      <c r="AQ5344" s="235" t="s">
        <v>632</v>
      </c>
      <c r="AR5344" s="243">
        <v>1.68E11</v>
      </c>
      <c r="AS5344" s="235" t="s">
        <v>39250</v>
      </c>
      <c r="AT5344" s="235" t="s">
        <v>9</v>
      </c>
      <c r="AU5344" s="235" t="s">
        <v>634</v>
      </c>
      <c r="AV5344" s="246" t="s">
        <v>635</v>
      </c>
      <c r="AW5344" s="227"/>
      <c r="AX5344" s="227"/>
      <c r="AY5344" s="227"/>
      <c r="AZ5344" s="227"/>
      <c r="BA5344" s="227"/>
      <c r="BB5344" s="227"/>
      <c r="BC5344" s="227"/>
      <c r="BD5344" s="227"/>
      <c r="BE5344" s="227"/>
      <c r="BF5344" s="227"/>
    </row>
    <row r="5345">
      <c r="A5345" s="235" t="s">
        <v>39251</v>
      </c>
      <c r="C5345" s="235" t="s">
        <v>39252</v>
      </c>
      <c r="D5345" s="235" t="s">
        <v>39253</v>
      </c>
      <c r="E5345" s="243">
        <v>6.48E13</v>
      </c>
      <c r="F5345" s="245"/>
      <c r="G5345" s="235" t="s">
        <v>39254</v>
      </c>
      <c r="H5345" s="235" t="s">
        <v>39255</v>
      </c>
      <c r="I5345" s="235" t="s">
        <v>39255</v>
      </c>
      <c r="J5345" s="235" t="s">
        <v>39256</v>
      </c>
      <c r="K5345" s="235" t="s">
        <v>36399</v>
      </c>
      <c r="N5345" s="235" t="s">
        <v>71</v>
      </c>
      <c r="O5345" s="235" t="s">
        <v>240</v>
      </c>
      <c r="P5345" s="238">
        <v>1.0</v>
      </c>
      <c r="Q5345" s="235" t="s">
        <v>627</v>
      </c>
      <c r="R5345" s="238">
        <v>246.66</v>
      </c>
      <c r="S5345" s="238">
        <v>12.34</v>
      </c>
      <c r="T5345" s="238">
        <v>0.0</v>
      </c>
      <c r="U5345" s="238">
        <v>0.0</v>
      </c>
      <c r="V5345" s="238">
        <v>0.0</v>
      </c>
      <c r="W5345" s="238">
        <v>0.0</v>
      </c>
      <c r="X5345" s="235" t="s">
        <v>628</v>
      </c>
      <c r="Z5345" s="245"/>
      <c r="AA5345" s="245"/>
      <c r="AB5345" s="245"/>
      <c r="AC5345" s="235" t="s">
        <v>687</v>
      </c>
      <c r="AD5345" s="235" t="s">
        <v>666</v>
      </c>
      <c r="AE5345" s="238">
        <v>600086.0</v>
      </c>
      <c r="AF5345" s="235" t="s">
        <v>631</v>
      </c>
      <c r="AG5345" s="245"/>
      <c r="AH5345" s="245"/>
      <c r="AI5345" s="245"/>
      <c r="AJ5345" s="245"/>
      <c r="AK5345" s="245"/>
      <c r="AL5345" s="245"/>
      <c r="AM5345" s="245"/>
      <c r="AN5345" s="245"/>
      <c r="AO5345" s="238">
        <v>0.0</v>
      </c>
      <c r="AP5345" s="238">
        <v>0.0</v>
      </c>
      <c r="AQ5345" s="235" t="s">
        <v>632</v>
      </c>
      <c r="AR5345" s="243">
        <v>3.7E11</v>
      </c>
      <c r="AS5345" s="235" t="s">
        <v>36667</v>
      </c>
      <c r="AT5345" s="235" t="s">
        <v>156</v>
      </c>
      <c r="AU5345" s="235" t="s">
        <v>634</v>
      </c>
      <c r="AV5345" s="246" t="s">
        <v>635</v>
      </c>
      <c r="AW5345" s="227"/>
      <c r="AX5345" s="227"/>
      <c r="AY5345" s="227"/>
      <c r="AZ5345" s="227"/>
      <c r="BA5345" s="227"/>
      <c r="BB5345" s="227"/>
      <c r="BC5345" s="227"/>
      <c r="BD5345" s="227"/>
      <c r="BE5345" s="227"/>
      <c r="BF5345" s="227"/>
    </row>
    <row r="5346">
      <c r="A5346" s="235" t="s">
        <v>39257</v>
      </c>
      <c r="C5346" s="235" t="s">
        <v>39258</v>
      </c>
      <c r="D5346" s="235" t="s">
        <v>39259</v>
      </c>
      <c r="E5346" s="243">
        <v>6.48E13</v>
      </c>
      <c r="F5346" s="245"/>
      <c r="G5346" s="235" t="s">
        <v>39260</v>
      </c>
      <c r="H5346" s="235" t="s">
        <v>39261</v>
      </c>
      <c r="I5346" s="235" t="s">
        <v>39261</v>
      </c>
      <c r="J5346" s="235" t="s">
        <v>39262</v>
      </c>
      <c r="K5346" s="235" t="s">
        <v>39263</v>
      </c>
      <c r="N5346" s="235" t="s">
        <v>85</v>
      </c>
      <c r="O5346" s="235" t="s">
        <v>872</v>
      </c>
      <c r="P5346" s="238">
        <v>1.0</v>
      </c>
      <c r="Q5346" s="235" t="s">
        <v>627</v>
      </c>
      <c r="R5346" s="238">
        <v>243.81</v>
      </c>
      <c r="S5346" s="238">
        <v>12.19</v>
      </c>
      <c r="T5346" s="238">
        <v>0.0</v>
      </c>
      <c r="U5346" s="238">
        <v>0.0</v>
      </c>
      <c r="V5346" s="238">
        <v>0.0</v>
      </c>
      <c r="W5346" s="238">
        <v>0.0</v>
      </c>
      <c r="X5346" s="235" t="s">
        <v>628</v>
      </c>
      <c r="Z5346" s="245"/>
      <c r="AA5346" s="245"/>
      <c r="AB5346" s="245"/>
      <c r="AC5346" s="235" t="s">
        <v>6896</v>
      </c>
      <c r="AD5346" s="235" t="s">
        <v>833</v>
      </c>
      <c r="AE5346" s="238">
        <v>533001.0</v>
      </c>
      <c r="AF5346" s="235" t="s">
        <v>631</v>
      </c>
      <c r="AG5346" s="245"/>
      <c r="AH5346" s="245"/>
      <c r="AI5346" s="245"/>
      <c r="AJ5346" s="245"/>
      <c r="AK5346" s="245"/>
      <c r="AL5346" s="245"/>
      <c r="AM5346" s="245"/>
      <c r="AN5346" s="245"/>
      <c r="AO5346" s="238">
        <v>0.0</v>
      </c>
      <c r="AP5346" s="238">
        <v>0.0</v>
      </c>
      <c r="AQ5346" s="235" t="s">
        <v>632</v>
      </c>
      <c r="AR5346" s="243">
        <v>3.7E11</v>
      </c>
      <c r="AS5346" s="235" t="s">
        <v>34510</v>
      </c>
      <c r="AT5346" s="235" t="s">
        <v>156</v>
      </c>
      <c r="AU5346" s="235" t="s">
        <v>634</v>
      </c>
      <c r="AV5346" s="246" t="s">
        <v>635</v>
      </c>
      <c r="AW5346" s="227"/>
      <c r="AX5346" s="227"/>
      <c r="AY5346" s="227"/>
      <c r="AZ5346" s="227"/>
      <c r="BA5346" s="227"/>
      <c r="BB5346" s="227"/>
      <c r="BC5346" s="227"/>
      <c r="BD5346" s="227"/>
      <c r="BE5346" s="227"/>
      <c r="BF5346" s="227"/>
    </row>
    <row r="5347">
      <c r="A5347" s="235" t="s">
        <v>39264</v>
      </c>
      <c r="C5347" s="235" t="s">
        <v>39265</v>
      </c>
      <c r="D5347" s="235" t="s">
        <v>39266</v>
      </c>
      <c r="E5347" s="243">
        <v>6.48E13</v>
      </c>
      <c r="F5347" s="245"/>
      <c r="G5347" s="235" t="s">
        <v>39267</v>
      </c>
      <c r="H5347" s="235" t="s">
        <v>39268</v>
      </c>
      <c r="I5347" s="235" t="s">
        <v>39268</v>
      </c>
      <c r="J5347" s="235" t="s">
        <v>39269</v>
      </c>
      <c r="K5347" s="235" t="s">
        <v>39270</v>
      </c>
      <c r="N5347" s="235" t="s">
        <v>6</v>
      </c>
      <c r="O5347" s="235" t="s">
        <v>806</v>
      </c>
      <c r="P5347" s="238">
        <v>1.0</v>
      </c>
      <c r="Q5347" s="235" t="s">
        <v>627</v>
      </c>
      <c r="R5347" s="238">
        <v>265.71</v>
      </c>
      <c r="S5347" s="238">
        <v>13.29</v>
      </c>
      <c r="T5347" s="238">
        <v>0.0</v>
      </c>
      <c r="U5347" s="238">
        <v>0.0</v>
      </c>
      <c r="V5347" s="238">
        <v>0.0</v>
      </c>
      <c r="W5347" s="238">
        <v>0.0</v>
      </c>
      <c r="X5347" s="235" t="s">
        <v>628</v>
      </c>
      <c r="Z5347" s="245"/>
      <c r="AA5347" s="245"/>
      <c r="AB5347" s="245"/>
      <c r="AC5347" s="235" t="s">
        <v>39271</v>
      </c>
      <c r="AD5347" s="235" t="s">
        <v>645</v>
      </c>
      <c r="AE5347" s="238">
        <v>673122.0</v>
      </c>
      <c r="AF5347" s="235" t="s">
        <v>631</v>
      </c>
      <c r="AG5347" s="245"/>
      <c r="AH5347" s="245"/>
      <c r="AI5347" s="245"/>
      <c r="AJ5347" s="245"/>
      <c r="AK5347" s="245"/>
      <c r="AL5347" s="245"/>
      <c r="AM5347" s="245"/>
      <c r="AN5347" s="245"/>
      <c r="AO5347" s="238">
        <v>0.0</v>
      </c>
      <c r="AP5347" s="238">
        <v>0.0</v>
      </c>
      <c r="AQ5347" s="235" t="s">
        <v>632</v>
      </c>
      <c r="AR5347" s="243">
        <v>3.7E11</v>
      </c>
      <c r="AS5347" s="235" t="s">
        <v>36667</v>
      </c>
      <c r="AT5347" s="235" t="s">
        <v>9</v>
      </c>
      <c r="AU5347" s="235" t="s">
        <v>634</v>
      </c>
      <c r="AV5347" s="246" t="s">
        <v>635</v>
      </c>
      <c r="AW5347" s="227"/>
      <c r="AX5347" s="227"/>
      <c r="AY5347" s="227"/>
      <c r="AZ5347" s="227"/>
      <c r="BA5347" s="227"/>
      <c r="BB5347" s="227"/>
      <c r="BC5347" s="227"/>
      <c r="BD5347" s="227"/>
      <c r="BE5347" s="227"/>
      <c r="BF5347" s="227"/>
    </row>
    <row r="5348">
      <c r="A5348" s="235" t="s">
        <v>39272</v>
      </c>
      <c r="C5348" s="235" t="s">
        <v>39273</v>
      </c>
      <c r="D5348" s="235" t="s">
        <v>39274</v>
      </c>
      <c r="E5348" s="243">
        <v>6.48E13</v>
      </c>
      <c r="F5348" s="245"/>
      <c r="G5348" s="235" t="s">
        <v>39275</v>
      </c>
      <c r="H5348" s="235" t="s">
        <v>39276</v>
      </c>
      <c r="I5348" s="235" t="s">
        <v>39276</v>
      </c>
      <c r="J5348" s="235" t="s">
        <v>39277</v>
      </c>
      <c r="K5348" s="235" t="s">
        <v>39278</v>
      </c>
      <c r="N5348" s="235" t="s">
        <v>842</v>
      </c>
      <c r="O5348" s="235" t="s">
        <v>843</v>
      </c>
      <c r="P5348" s="238">
        <v>1.0</v>
      </c>
      <c r="Q5348" s="235" t="s">
        <v>627</v>
      </c>
      <c r="R5348" s="238">
        <v>246.66</v>
      </c>
      <c r="S5348" s="238">
        <v>12.34</v>
      </c>
      <c r="T5348" s="238">
        <v>18.1</v>
      </c>
      <c r="U5348" s="238">
        <v>0.9</v>
      </c>
      <c r="V5348" s="238">
        <v>0.0</v>
      </c>
      <c r="W5348" s="238">
        <v>0.0</v>
      </c>
      <c r="X5348" s="235" t="s">
        <v>628</v>
      </c>
      <c r="Z5348" s="245"/>
      <c r="AA5348" s="245"/>
      <c r="AB5348" s="245"/>
      <c r="AC5348" s="235" t="s">
        <v>1058</v>
      </c>
      <c r="AD5348" s="235" t="s">
        <v>845</v>
      </c>
      <c r="AE5348" s="238">
        <v>400094.0</v>
      </c>
      <c r="AF5348" s="235" t="s">
        <v>631</v>
      </c>
      <c r="AG5348" s="245"/>
      <c r="AH5348" s="245"/>
      <c r="AI5348" s="245"/>
      <c r="AJ5348" s="245"/>
      <c r="AK5348" s="245"/>
      <c r="AL5348" s="245"/>
      <c r="AM5348" s="245"/>
      <c r="AN5348" s="245"/>
      <c r="AO5348" s="238">
        <v>0.0</v>
      </c>
      <c r="AP5348" s="238">
        <v>-18.1</v>
      </c>
      <c r="AQ5348" s="235" t="s">
        <v>632</v>
      </c>
      <c r="AR5348" s="243">
        <v>1.68E11</v>
      </c>
      <c r="AS5348" s="235" t="s">
        <v>38374</v>
      </c>
      <c r="AT5348" s="235" t="s">
        <v>16</v>
      </c>
      <c r="AU5348" s="235" t="s">
        <v>634</v>
      </c>
      <c r="AV5348" s="246" t="s">
        <v>635</v>
      </c>
      <c r="AW5348" s="227"/>
      <c r="AX5348" s="227"/>
      <c r="AY5348" s="227"/>
      <c r="AZ5348" s="227"/>
      <c r="BA5348" s="227"/>
      <c r="BB5348" s="227"/>
      <c r="BC5348" s="227"/>
      <c r="BD5348" s="227"/>
      <c r="BE5348" s="227"/>
      <c r="BF5348" s="227"/>
    </row>
    <row r="5349">
      <c r="A5349" s="235" t="s">
        <v>39279</v>
      </c>
      <c r="C5349" s="235" t="s">
        <v>39280</v>
      </c>
      <c r="D5349" s="235" t="s">
        <v>39281</v>
      </c>
      <c r="E5349" s="243">
        <v>6.48E13</v>
      </c>
      <c r="F5349" s="245"/>
      <c r="G5349" s="235" t="s">
        <v>39282</v>
      </c>
      <c r="H5349" s="235" t="s">
        <v>39283</v>
      </c>
      <c r="I5349" s="235" t="s">
        <v>39283</v>
      </c>
      <c r="J5349" s="235" t="s">
        <v>39284</v>
      </c>
      <c r="K5349" s="235" t="s">
        <v>39285</v>
      </c>
      <c r="N5349" s="235" t="s">
        <v>144</v>
      </c>
      <c r="O5349" s="235" t="s">
        <v>232</v>
      </c>
      <c r="P5349" s="238">
        <v>1.0</v>
      </c>
      <c r="Q5349" s="235" t="s">
        <v>627</v>
      </c>
      <c r="R5349" s="238">
        <v>665.71</v>
      </c>
      <c r="S5349" s="238">
        <v>33.29</v>
      </c>
      <c r="T5349" s="238">
        <v>38.1</v>
      </c>
      <c r="U5349" s="238">
        <v>1.9</v>
      </c>
      <c r="V5349" s="238">
        <v>0.0</v>
      </c>
      <c r="W5349" s="238">
        <v>0.0</v>
      </c>
      <c r="X5349" s="235" t="s">
        <v>628</v>
      </c>
      <c r="Z5349" s="245"/>
      <c r="AA5349" s="245"/>
      <c r="AB5349" s="245"/>
      <c r="AC5349" s="235" t="s">
        <v>7073</v>
      </c>
      <c r="AD5349" s="235" t="s">
        <v>965</v>
      </c>
      <c r="AE5349" s="238">
        <v>176219.0</v>
      </c>
      <c r="AF5349" s="235" t="s">
        <v>631</v>
      </c>
      <c r="AG5349" s="245"/>
      <c r="AH5349" s="245"/>
      <c r="AI5349" s="245"/>
      <c r="AJ5349" s="245"/>
      <c r="AK5349" s="245"/>
      <c r="AL5349" s="245"/>
      <c r="AM5349" s="245"/>
      <c r="AN5349" s="245"/>
      <c r="AO5349" s="238">
        <v>0.0</v>
      </c>
      <c r="AP5349" s="238">
        <v>-38.1</v>
      </c>
      <c r="AQ5349" s="235" t="s">
        <v>632</v>
      </c>
      <c r="AR5349" s="243">
        <v>3.7E11</v>
      </c>
      <c r="AS5349" s="235" t="s">
        <v>36667</v>
      </c>
      <c r="AT5349" s="235" t="s">
        <v>14</v>
      </c>
      <c r="AU5349" s="235" t="s">
        <v>634</v>
      </c>
      <c r="AV5349" s="246" t="s">
        <v>635</v>
      </c>
      <c r="AW5349" s="227"/>
      <c r="AX5349" s="227"/>
      <c r="AY5349" s="227"/>
      <c r="AZ5349" s="227"/>
      <c r="BA5349" s="227"/>
      <c r="BB5349" s="227"/>
      <c r="BC5349" s="227"/>
      <c r="BD5349" s="227"/>
      <c r="BE5349" s="227"/>
      <c r="BF5349" s="227"/>
    </row>
    <row r="5350">
      <c r="A5350" s="235" t="s">
        <v>39286</v>
      </c>
      <c r="C5350" s="235" t="s">
        <v>39287</v>
      </c>
      <c r="D5350" s="235" t="s">
        <v>39288</v>
      </c>
      <c r="E5350" s="243">
        <v>6.48E13</v>
      </c>
      <c r="F5350" s="245"/>
      <c r="G5350" s="235" t="s">
        <v>39289</v>
      </c>
      <c r="H5350" s="235" t="s">
        <v>39290</v>
      </c>
      <c r="I5350" s="235" t="s">
        <v>39290</v>
      </c>
      <c r="J5350" s="235" t="s">
        <v>39291</v>
      </c>
      <c r="K5350" s="235" t="s">
        <v>39292</v>
      </c>
      <c r="N5350" s="235" t="s">
        <v>15</v>
      </c>
      <c r="O5350" s="235" t="s">
        <v>856</v>
      </c>
      <c r="P5350" s="238">
        <v>1.0</v>
      </c>
      <c r="Q5350" s="235" t="s">
        <v>627</v>
      </c>
      <c r="R5350" s="238">
        <v>360.95</v>
      </c>
      <c r="S5350" s="238">
        <v>18.05</v>
      </c>
      <c r="T5350" s="238">
        <v>38.1</v>
      </c>
      <c r="U5350" s="238">
        <v>1.9</v>
      </c>
      <c r="V5350" s="238">
        <v>0.0</v>
      </c>
      <c r="W5350" s="238">
        <v>0.0</v>
      </c>
      <c r="X5350" s="235" t="s">
        <v>628</v>
      </c>
      <c r="Z5350" s="245"/>
      <c r="AA5350" s="245"/>
      <c r="AB5350" s="245"/>
      <c r="AC5350" s="235" t="s">
        <v>10173</v>
      </c>
      <c r="AD5350" s="235" t="s">
        <v>917</v>
      </c>
      <c r="AE5350" s="238">
        <v>313702.0</v>
      </c>
      <c r="AF5350" s="235" t="s">
        <v>631</v>
      </c>
      <c r="AG5350" s="245"/>
      <c r="AH5350" s="245"/>
      <c r="AI5350" s="245"/>
      <c r="AJ5350" s="245"/>
      <c r="AK5350" s="245"/>
      <c r="AL5350" s="245"/>
      <c r="AM5350" s="245"/>
      <c r="AN5350" s="245"/>
      <c r="AO5350" s="238">
        <v>0.0</v>
      </c>
      <c r="AP5350" s="238">
        <v>-38.1</v>
      </c>
      <c r="AQ5350" s="235" t="s">
        <v>1328</v>
      </c>
      <c r="AR5350" s="243">
        <v>1.34E13</v>
      </c>
      <c r="AS5350" s="235" t="s">
        <v>33466</v>
      </c>
      <c r="AT5350" s="235" t="s">
        <v>14</v>
      </c>
      <c r="AU5350" s="235" t="s">
        <v>634</v>
      </c>
      <c r="AV5350" s="246" t="s">
        <v>635</v>
      </c>
      <c r="AW5350" s="227"/>
      <c r="AX5350" s="227"/>
      <c r="AY5350" s="227"/>
      <c r="AZ5350" s="227"/>
      <c r="BA5350" s="227"/>
      <c r="BB5350" s="227"/>
      <c r="BC5350" s="227"/>
      <c r="BD5350" s="227"/>
      <c r="BE5350" s="227"/>
      <c r="BF5350" s="227"/>
    </row>
    <row r="5351">
      <c r="A5351" s="235" t="s">
        <v>39293</v>
      </c>
      <c r="C5351" s="235" t="s">
        <v>39294</v>
      </c>
      <c r="D5351" s="235" t="s">
        <v>39295</v>
      </c>
      <c r="E5351" s="243">
        <v>6.48E13</v>
      </c>
      <c r="F5351" s="245"/>
      <c r="G5351" s="235" t="s">
        <v>39296</v>
      </c>
      <c r="H5351" s="235" t="s">
        <v>39297</v>
      </c>
      <c r="I5351" s="235" t="s">
        <v>39297</v>
      </c>
      <c r="J5351" s="235" t="s">
        <v>39298</v>
      </c>
      <c r="K5351" s="235" t="s">
        <v>39299</v>
      </c>
      <c r="N5351" s="235" t="s">
        <v>154</v>
      </c>
      <c r="O5351" s="235" t="s">
        <v>766</v>
      </c>
      <c r="P5351" s="238">
        <v>1.0</v>
      </c>
      <c r="Q5351" s="235" t="s">
        <v>627</v>
      </c>
      <c r="R5351" s="238">
        <v>465.72</v>
      </c>
      <c r="S5351" s="238">
        <v>23.28</v>
      </c>
      <c r="T5351" s="238">
        <v>38.1</v>
      </c>
      <c r="U5351" s="238">
        <v>1.9</v>
      </c>
      <c r="V5351" s="238">
        <v>0.0</v>
      </c>
      <c r="W5351" s="238">
        <v>0.0</v>
      </c>
      <c r="X5351" s="235" t="s">
        <v>628</v>
      </c>
      <c r="Z5351" s="245"/>
      <c r="AA5351" s="245"/>
      <c r="AB5351" s="245"/>
      <c r="AC5351" s="235" t="s">
        <v>10769</v>
      </c>
      <c r="AD5351" s="235" t="s">
        <v>845</v>
      </c>
      <c r="AE5351" s="238">
        <v>422009.0</v>
      </c>
      <c r="AF5351" s="235" t="s">
        <v>631</v>
      </c>
      <c r="AG5351" s="245"/>
      <c r="AH5351" s="245"/>
      <c r="AI5351" s="245"/>
      <c r="AJ5351" s="245"/>
      <c r="AK5351" s="245"/>
      <c r="AL5351" s="245"/>
      <c r="AM5351" s="245"/>
      <c r="AN5351" s="245"/>
      <c r="AO5351" s="238">
        <v>0.0</v>
      </c>
      <c r="AP5351" s="238">
        <v>-38.1</v>
      </c>
      <c r="AQ5351" s="235" t="s">
        <v>632</v>
      </c>
      <c r="AR5351" s="243">
        <v>3.7E11</v>
      </c>
      <c r="AS5351" s="235" t="s">
        <v>37983</v>
      </c>
      <c r="AT5351" s="235" t="s">
        <v>17</v>
      </c>
      <c r="AU5351" s="235" t="s">
        <v>634</v>
      </c>
      <c r="AV5351" s="246" t="s">
        <v>635</v>
      </c>
      <c r="AW5351" s="227"/>
      <c r="AX5351" s="227"/>
      <c r="AY5351" s="227"/>
      <c r="AZ5351" s="227"/>
      <c r="BA5351" s="227"/>
      <c r="BB5351" s="227"/>
      <c r="BC5351" s="227"/>
      <c r="BD5351" s="227"/>
      <c r="BE5351" s="227"/>
      <c r="BF5351" s="227"/>
    </row>
    <row r="5352">
      <c r="A5352" s="235" t="s">
        <v>39300</v>
      </c>
      <c r="C5352" s="235" t="s">
        <v>39301</v>
      </c>
      <c r="D5352" s="235" t="s">
        <v>39302</v>
      </c>
      <c r="E5352" s="243">
        <v>6.48E13</v>
      </c>
      <c r="F5352" s="245"/>
      <c r="G5352" s="235" t="s">
        <v>39303</v>
      </c>
      <c r="H5352" s="235" t="s">
        <v>39304</v>
      </c>
      <c r="I5352" s="235" t="s">
        <v>39305</v>
      </c>
      <c r="J5352" s="235" t="s">
        <v>39306</v>
      </c>
      <c r="K5352" s="235" t="s">
        <v>39307</v>
      </c>
      <c r="N5352" s="235" t="s">
        <v>54</v>
      </c>
      <c r="O5352" s="235" t="s">
        <v>294</v>
      </c>
      <c r="P5352" s="238">
        <v>1.0</v>
      </c>
      <c r="Q5352" s="235" t="s">
        <v>627</v>
      </c>
      <c r="R5352" s="238">
        <v>246.67</v>
      </c>
      <c r="S5352" s="238">
        <v>12.33</v>
      </c>
      <c r="T5352" s="238">
        <v>38.1</v>
      </c>
      <c r="U5352" s="238">
        <v>1.9</v>
      </c>
      <c r="V5352" s="238">
        <v>0.0</v>
      </c>
      <c r="W5352" s="238">
        <v>0.0</v>
      </c>
      <c r="X5352" s="235" t="s">
        <v>628</v>
      </c>
      <c r="Z5352" s="245"/>
      <c r="AA5352" s="245"/>
      <c r="AB5352" s="245"/>
      <c r="AC5352" s="235" t="s">
        <v>687</v>
      </c>
      <c r="AD5352" s="235" t="s">
        <v>666</v>
      </c>
      <c r="AE5352" s="238">
        <v>600099.0</v>
      </c>
      <c r="AF5352" s="235" t="s">
        <v>631</v>
      </c>
      <c r="AG5352" s="245"/>
      <c r="AH5352" s="245"/>
      <c r="AI5352" s="245"/>
      <c r="AJ5352" s="245"/>
      <c r="AK5352" s="245"/>
      <c r="AL5352" s="245"/>
      <c r="AM5352" s="245"/>
      <c r="AN5352" s="245"/>
      <c r="AO5352" s="238">
        <v>0.0</v>
      </c>
      <c r="AP5352" s="238">
        <v>-38.1</v>
      </c>
      <c r="AQ5352" s="235" t="s">
        <v>632</v>
      </c>
      <c r="AR5352" s="243">
        <v>1.68E11</v>
      </c>
      <c r="AS5352" s="235" t="s">
        <v>37983</v>
      </c>
      <c r="AT5352" s="235" t="s">
        <v>9</v>
      </c>
      <c r="AU5352" s="235" t="s">
        <v>634</v>
      </c>
      <c r="AV5352" s="246" t="s">
        <v>635</v>
      </c>
      <c r="AW5352" s="227"/>
      <c r="AX5352" s="227"/>
      <c r="AY5352" s="227"/>
      <c r="AZ5352" s="227"/>
      <c r="BA5352" s="227"/>
      <c r="BB5352" s="227"/>
      <c r="BC5352" s="227"/>
      <c r="BD5352" s="227"/>
      <c r="BE5352" s="227"/>
      <c r="BF5352" s="227"/>
    </row>
    <row r="5353">
      <c r="A5353" s="235" t="s">
        <v>39308</v>
      </c>
      <c r="C5353" s="235" t="s">
        <v>39309</v>
      </c>
      <c r="D5353" s="235" t="s">
        <v>39310</v>
      </c>
      <c r="E5353" s="243">
        <v>6.48E13</v>
      </c>
      <c r="F5353" s="245"/>
      <c r="G5353" s="235" t="s">
        <v>39311</v>
      </c>
      <c r="H5353" s="235" t="s">
        <v>39312</v>
      </c>
      <c r="I5353" s="235" t="s">
        <v>39313</v>
      </c>
      <c r="J5353" s="235" t="s">
        <v>39314</v>
      </c>
      <c r="K5353" s="235" t="s">
        <v>39315</v>
      </c>
      <c r="N5353" s="235" t="s">
        <v>726</v>
      </c>
      <c r="O5353" s="235" t="s">
        <v>727</v>
      </c>
      <c r="P5353" s="238">
        <v>1.0</v>
      </c>
      <c r="Q5353" s="235" t="s">
        <v>627</v>
      </c>
      <c r="R5353" s="238">
        <v>244.76</v>
      </c>
      <c r="S5353" s="238">
        <v>12.24</v>
      </c>
      <c r="T5353" s="238">
        <v>38.1</v>
      </c>
      <c r="U5353" s="238">
        <v>1.9</v>
      </c>
      <c r="V5353" s="238">
        <v>0.0</v>
      </c>
      <c r="W5353" s="238">
        <v>0.0</v>
      </c>
      <c r="X5353" s="235" t="s">
        <v>628</v>
      </c>
      <c r="Z5353" s="245"/>
      <c r="AA5353" s="245"/>
      <c r="AB5353" s="245"/>
      <c r="AC5353" s="235" t="s">
        <v>795</v>
      </c>
      <c r="AD5353" s="235" t="s">
        <v>796</v>
      </c>
      <c r="AE5353" s="238">
        <v>110059.0</v>
      </c>
      <c r="AF5353" s="235" t="s">
        <v>631</v>
      </c>
      <c r="AG5353" s="245"/>
      <c r="AH5353" s="245"/>
      <c r="AI5353" s="245"/>
      <c r="AJ5353" s="245"/>
      <c r="AK5353" s="245"/>
      <c r="AL5353" s="245"/>
      <c r="AM5353" s="245"/>
      <c r="AN5353" s="245"/>
      <c r="AO5353" s="238">
        <v>0.0</v>
      </c>
      <c r="AP5353" s="238">
        <v>-38.1</v>
      </c>
      <c r="AQ5353" s="235" t="s">
        <v>632</v>
      </c>
      <c r="AR5353" s="243">
        <v>3.7E11</v>
      </c>
      <c r="AS5353" s="235" t="s">
        <v>37983</v>
      </c>
      <c r="AT5353" s="235" t="s">
        <v>14</v>
      </c>
      <c r="AU5353" s="235" t="s">
        <v>634</v>
      </c>
      <c r="AV5353" s="246" t="s">
        <v>635</v>
      </c>
      <c r="AW5353" s="227"/>
      <c r="AX5353" s="227"/>
      <c r="AY5353" s="227"/>
      <c r="AZ5353" s="227"/>
      <c r="BA5353" s="227"/>
      <c r="BB5353" s="227"/>
      <c r="BC5353" s="227"/>
      <c r="BD5353" s="227"/>
      <c r="BE5353" s="227"/>
      <c r="BF5353" s="227"/>
    </row>
    <row r="5354">
      <c r="A5354" s="235" t="s">
        <v>39316</v>
      </c>
      <c r="C5354" s="235" t="s">
        <v>39317</v>
      </c>
      <c r="D5354" s="235" t="s">
        <v>39318</v>
      </c>
      <c r="E5354" s="243">
        <v>6.48E13</v>
      </c>
      <c r="F5354" s="245"/>
      <c r="G5354" s="235" t="s">
        <v>39319</v>
      </c>
      <c r="H5354" s="235" t="s">
        <v>39320</v>
      </c>
      <c r="I5354" s="235" t="s">
        <v>39320</v>
      </c>
      <c r="J5354" s="235" t="s">
        <v>39321</v>
      </c>
      <c r="K5354" s="235" t="s">
        <v>39322</v>
      </c>
      <c r="N5354" s="235" t="s">
        <v>127</v>
      </c>
      <c r="O5354" s="235" t="s">
        <v>794</v>
      </c>
      <c r="P5354" s="238">
        <v>1.0</v>
      </c>
      <c r="Q5354" s="235" t="s">
        <v>627</v>
      </c>
      <c r="R5354" s="238">
        <v>243.81</v>
      </c>
      <c r="S5354" s="238">
        <v>12.19</v>
      </c>
      <c r="T5354" s="238">
        <v>38.1</v>
      </c>
      <c r="U5354" s="238">
        <v>1.9</v>
      </c>
      <c r="V5354" s="238">
        <v>0.0</v>
      </c>
      <c r="W5354" s="238">
        <v>0.0</v>
      </c>
      <c r="X5354" s="235" t="s">
        <v>628</v>
      </c>
      <c r="Z5354" s="245"/>
      <c r="AA5354" s="245"/>
      <c r="AB5354" s="245"/>
      <c r="AC5354" s="235" t="s">
        <v>795</v>
      </c>
      <c r="AD5354" s="235" t="s">
        <v>796</v>
      </c>
      <c r="AE5354" s="238">
        <v>110093.0</v>
      </c>
      <c r="AF5354" s="235" t="s">
        <v>631</v>
      </c>
      <c r="AG5354" s="245"/>
      <c r="AH5354" s="245"/>
      <c r="AI5354" s="245"/>
      <c r="AJ5354" s="245"/>
      <c r="AK5354" s="245"/>
      <c r="AL5354" s="245"/>
      <c r="AM5354" s="245"/>
      <c r="AN5354" s="245"/>
      <c r="AO5354" s="238">
        <v>0.0</v>
      </c>
      <c r="AP5354" s="238">
        <v>-38.1</v>
      </c>
      <c r="AQ5354" s="235" t="s">
        <v>632</v>
      </c>
      <c r="AR5354" s="243">
        <v>3.7E11</v>
      </c>
      <c r="AS5354" s="235" t="s">
        <v>37983</v>
      </c>
      <c r="AT5354" s="235" t="s">
        <v>14</v>
      </c>
      <c r="AU5354" s="235" t="s">
        <v>634</v>
      </c>
      <c r="AV5354" s="246" t="s">
        <v>635</v>
      </c>
      <c r="AW5354" s="227"/>
      <c r="AX5354" s="227"/>
      <c r="AY5354" s="227"/>
      <c r="AZ5354" s="227"/>
      <c r="BA5354" s="227"/>
      <c r="BB5354" s="227"/>
      <c r="BC5354" s="227"/>
      <c r="BD5354" s="227"/>
      <c r="BE5354" s="227"/>
      <c r="BF5354" s="227"/>
    </row>
    <row r="5355">
      <c r="A5355" s="235" t="s">
        <v>39323</v>
      </c>
      <c r="C5355" s="235" t="s">
        <v>39324</v>
      </c>
      <c r="D5355" s="235" t="s">
        <v>39325</v>
      </c>
      <c r="E5355" s="243">
        <v>6.48E13</v>
      </c>
      <c r="F5355" s="245"/>
      <c r="G5355" s="235" t="s">
        <v>39326</v>
      </c>
      <c r="H5355" s="235" t="s">
        <v>39327</v>
      </c>
      <c r="I5355" s="235" t="s">
        <v>39327</v>
      </c>
      <c r="J5355" s="235" t="s">
        <v>39328</v>
      </c>
      <c r="K5355" s="235" t="s">
        <v>39329</v>
      </c>
      <c r="N5355" s="235" t="s">
        <v>134</v>
      </c>
      <c r="O5355" s="235" t="s">
        <v>314</v>
      </c>
      <c r="P5355" s="238">
        <v>1.0</v>
      </c>
      <c r="Q5355" s="235" t="s">
        <v>627</v>
      </c>
      <c r="R5355" s="238">
        <v>244.76</v>
      </c>
      <c r="S5355" s="238">
        <v>12.24</v>
      </c>
      <c r="T5355" s="238">
        <v>0.0</v>
      </c>
      <c r="U5355" s="238">
        <v>0.0</v>
      </c>
      <c r="V5355" s="238">
        <v>0.0</v>
      </c>
      <c r="W5355" s="238">
        <v>0.0</v>
      </c>
      <c r="X5355" s="235" t="s">
        <v>628</v>
      </c>
      <c r="Z5355" s="245"/>
      <c r="AA5355" s="245"/>
      <c r="AB5355" s="245"/>
      <c r="AC5355" s="235" t="s">
        <v>39330</v>
      </c>
      <c r="AD5355" s="235" t="s">
        <v>928</v>
      </c>
      <c r="AE5355" s="238">
        <v>122503.0</v>
      </c>
      <c r="AF5355" s="235" t="s">
        <v>631</v>
      </c>
      <c r="AG5355" s="245"/>
      <c r="AH5355" s="245"/>
      <c r="AI5355" s="245"/>
      <c r="AJ5355" s="245"/>
      <c r="AK5355" s="245"/>
      <c r="AL5355" s="245"/>
      <c r="AM5355" s="245"/>
      <c r="AN5355" s="245"/>
      <c r="AO5355" s="238">
        <v>0.0</v>
      </c>
      <c r="AP5355" s="238">
        <v>0.0</v>
      </c>
      <c r="AQ5355" s="235" t="s">
        <v>632</v>
      </c>
      <c r="AR5355" s="243">
        <v>3.7E11</v>
      </c>
      <c r="AS5355" s="235" t="s">
        <v>37983</v>
      </c>
      <c r="AT5355" s="235" t="s">
        <v>14</v>
      </c>
      <c r="AU5355" s="235" t="s">
        <v>634</v>
      </c>
      <c r="AV5355" s="246" t="s">
        <v>635</v>
      </c>
      <c r="AW5355" s="227"/>
      <c r="AX5355" s="227"/>
      <c r="AY5355" s="227"/>
      <c r="AZ5355" s="227"/>
      <c r="BA5355" s="227"/>
      <c r="BB5355" s="227"/>
      <c r="BC5355" s="227"/>
      <c r="BD5355" s="227"/>
      <c r="BE5355" s="227"/>
      <c r="BF5355" s="227"/>
    </row>
    <row r="5356">
      <c r="A5356" s="235" t="s">
        <v>39331</v>
      </c>
      <c r="C5356" s="235" t="s">
        <v>39332</v>
      </c>
      <c r="D5356" s="235" t="s">
        <v>39333</v>
      </c>
      <c r="E5356" s="243">
        <v>6.48E13</v>
      </c>
      <c r="F5356" s="245"/>
      <c r="G5356" s="235" t="s">
        <v>39334</v>
      </c>
      <c r="H5356" s="235" t="s">
        <v>39335</v>
      </c>
      <c r="I5356" s="235" t="s">
        <v>39336</v>
      </c>
      <c r="J5356" s="235" t="s">
        <v>39337</v>
      </c>
      <c r="K5356" s="235" t="s">
        <v>39338</v>
      </c>
      <c r="N5356" s="235" t="s">
        <v>2696</v>
      </c>
      <c r="O5356" s="235" t="s">
        <v>2697</v>
      </c>
      <c r="P5356" s="238">
        <v>1.0</v>
      </c>
      <c r="Q5356" s="235" t="s">
        <v>627</v>
      </c>
      <c r="R5356" s="238">
        <v>246.67</v>
      </c>
      <c r="S5356" s="238">
        <v>12.33</v>
      </c>
      <c r="T5356" s="238">
        <v>0.0</v>
      </c>
      <c r="U5356" s="238">
        <v>0.0</v>
      </c>
      <c r="V5356" s="238">
        <v>0.0</v>
      </c>
      <c r="W5356" s="238">
        <v>0.0</v>
      </c>
      <c r="X5356" s="235" t="s">
        <v>628</v>
      </c>
      <c r="Z5356" s="245"/>
      <c r="AA5356" s="245"/>
      <c r="AB5356" s="245"/>
      <c r="AC5356" s="235" t="s">
        <v>39339</v>
      </c>
      <c r="AD5356" s="235" t="s">
        <v>630</v>
      </c>
      <c r="AE5356" s="238">
        <v>231216.0</v>
      </c>
      <c r="AF5356" s="235" t="s">
        <v>631</v>
      </c>
      <c r="AG5356" s="245"/>
      <c r="AH5356" s="245"/>
      <c r="AI5356" s="245"/>
      <c r="AJ5356" s="245"/>
      <c r="AK5356" s="245"/>
      <c r="AL5356" s="245"/>
      <c r="AM5356" s="245"/>
      <c r="AN5356" s="245"/>
      <c r="AO5356" s="238">
        <v>0.0</v>
      </c>
      <c r="AP5356" s="238">
        <v>0.0</v>
      </c>
      <c r="AQ5356" s="235" t="s">
        <v>632</v>
      </c>
      <c r="AR5356" s="243">
        <v>3.7E11</v>
      </c>
      <c r="AS5356" s="235" t="s">
        <v>35520</v>
      </c>
      <c r="AT5356" s="235" t="s">
        <v>14</v>
      </c>
      <c r="AU5356" s="235" t="s">
        <v>634</v>
      </c>
      <c r="AV5356" s="246" t="s">
        <v>635</v>
      </c>
      <c r="AW5356" s="227"/>
      <c r="AX5356" s="227"/>
      <c r="AY5356" s="227"/>
      <c r="AZ5356" s="227"/>
      <c r="BA5356" s="227"/>
      <c r="BB5356" s="227"/>
      <c r="BC5356" s="227"/>
      <c r="BD5356" s="227"/>
      <c r="BE5356" s="227"/>
      <c r="BF5356" s="227"/>
    </row>
    <row r="5357">
      <c r="A5357" s="235" t="s">
        <v>39340</v>
      </c>
      <c r="C5357" s="235" t="s">
        <v>39341</v>
      </c>
      <c r="D5357" s="235" t="s">
        <v>39342</v>
      </c>
      <c r="E5357" s="243">
        <v>6.48E13</v>
      </c>
      <c r="F5357" s="245"/>
      <c r="G5357" s="235" t="s">
        <v>39343</v>
      </c>
      <c r="H5357" s="235" t="s">
        <v>39344</v>
      </c>
      <c r="I5357" s="235" t="s">
        <v>39344</v>
      </c>
      <c r="J5357" s="235" t="s">
        <v>39345</v>
      </c>
      <c r="K5357" s="235" t="s">
        <v>39346</v>
      </c>
      <c r="N5357" s="235" t="s">
        <v>92</v>
      </c>
      <c r="O5357" s="235" t="s">
        <v>248</v>
      </c>
      <c r="P5357" s="238">
        <v>1.0</v>
      </c>
      <c r="Q5357" s="235" t="s">
        <v>627</v>
      </c>
      <c r="R5357" s="238">
        <v>244.76</v>
      </c>
      <c r="S5357" s="238">
        <v>12.0</v>
      </c>
      <c r="T5357" s="238">
        <v>38.1</v>
      </c>
      <c r="U5357" s="238">
        <v>1.9</v>
      </c>
      <c r="V5357" s="238">
        <v>0.0</v>
      </c>
      <c r="W5357" s="238">
        <v>0.0</v>
      </c>
      <c r="X5357" s="235" t="s">
        <v>628</v>
      </c>
      <c r="Z5357" s="245"/>
      <c r="AA5357" s="245"/>
      <c r="AB5357" s="245"/>
      <c r="AC5357" s="235" t="s">
        <v>39347</v>
      </c>
      <c r="AD5357" s="235" t="s">
        <v>1077</v>
      </c>
      <c r="AE5357" s="238">
        <v>360370.0</v>
      </c>
      <c r="AF5357" s="235" t="s">
        <v>631</v>
      </c>
      <c r="AG5357" s="245"/>
      <c r="AH5357" s="245"/>
      <c r="AI5357" s="245"/>
      <c r="AJ5357" s="245"/>
      <c r="AK5357" s="245"/>
      <c r="AL5357" s="245"/>
      <c r="AM5357" s="245"/>
      <c r="AN5357" s="245"/>
      <c r="AO5357" s="238">
        <v>-4.9</v>
      </c>
      <c r="AP5357" s="238">
        <v>-38.1</v>
      </c>
      <c r="AQ5357" s="235" t="s">
        <v>632</v>
      </c>
      <c r="AR5357" s="243">
        <v>3.7E11</v>
      </c>
      <c r="AS5357" s="235" t="s">
        <v>36667</v>
      </c>
      <c r="AT5357" s="235" t="s">
        <v>5</v>
      </c>
      <c r="AU5357" s="235" t="s">
        <v>634</v>
      </c>
      <c r="AV5357" s="246" t="s">
        <v>635</v>
      </c>
      <c r="AW5357" s="227"/>
      <c r="AX5357" s="227"/>
      <c r="AY5357" s="227"/>
      <c r="AZ5357" s="227"/>
      <c r="BA5357" s="227"/>
      <c r="BB5357" s="227"/>
      <c r="BC5357" s="227"/>
      <c r="BD5357" s="227"/>
      <c r="BE5357" s="227"/>
      <c r="BF5357" s="227"/>
    </row>
    <row r="5358">
      <c r="A5358" s="235" t="s">
        <v>39348</v>
      </c>
      <c r="C5358" s="235" t="s">
        <v>39349</v>
      </c>
      <c r="D5358" s="235" t="s">
        <v>39350</v>
      </c>
      <c r="E5358" s="243">
        <v>6.48E13</v>
      </c>
      <c r="F5358" s="245"/>
      <c r="G5358" s="235" t="s">
        <v>39351</v>
      </c>
      <c r="H5358" s="235" t="s">
        <v>39352</v>
      </c>
      <c r="I5358" s="235" t="s">
        <v>39352</v>
      </c>
      <c r="J5358" s="235" t="s">
        <v>39353</v>
      </c>
      <c r="K5358" s="235" t="s">
        <v>39354</v>
      </c>
      <c r="N5358" s="235" t="s">
        <v>138</v>
      </c>
      <c r="O5358" s="235" t="s">
        <v>675</v>
      </c>
      <c r="P5358" s="238">
        <v>1.0</v>
      </c>
      <c r="Q5358" s="235" t="s">
        <v>627</v>
      </c>
      <c r="R5358" s="238">
        <v>244.76</v>
      </c>
      <c r="S5358" s="238">
        <v>12.24</v>
      </c>
      <c r="T5358" s="238">
        <v>0.0</v>
      </c>
      <c r="U5358" s="238">
        <v>0.0</v>
      </c>
      <c r="V5358" s="238">
        <v>0.0</v>
      </c>
      <c r="W5358" s="238">
        <v>0.0</v>
      </c>
      <c r="X5358" s="235" t="s">
        <v>628</v>
      </c>
      <c r="Z5358" s="245"/>
      <c r="AA5358" s="245"/>
      <c r="AB5358" s="245"/>
      <c r="AC5358" s="235" t="s">
        <v>39355</v>
      </c>
      <c r="AD5358" s="235" t="s">
        <v>679</v>
      </c>
      <c r="AE5358" s="238">
        <v>574222.0</v>
      </c>
      <c r="AF5358" s="235" t="s">
        <v>631</v>
      </c>
      <c r="AG5358" s="245"/>
      <c r="AH5358" s="245"/>
      <c r="AI5358" s="245"/>
      <c r="AJ5358" s="245"/>
      <c r="AK5358" s="245"/>
      <c r="AL5358" s="245"/>
      <c r="AM5358" s="245"/>
      <c r="AN5358" s="245"/>
      <c r="AO5358" s="238">
        <v>0.0</v>
      </c>
      <c r="AP5358" s="238">
        <v>0.0</v>
      </c>
      <c r="AQ5358" s="235" t="s">
        <v>632</v>
      </c>
      <c r="AR5358" s="243">
        <v>3.7E11</v>
      </c>
      <c r="AS5358" s="235" t="s">
        <v>36667</v>
      </c>
      <c r="AT5358" s="235" t="s">
        <v>11</v>
      </c>
      <c r="AU5358" s="235" t="s">
        <v>634</v>
      </c>
      <c r="AV5358" s="246" t="s">
        <v>635</v>
      </c>
      <c r="AW5358" s="227"/>
      <c r="AX5358" s="227"/>
      <c r="AY5358" s="227"/>
      <c r="AZ5358" s="227"/>
      <c r="BA5358" s="227"/>
      <c r="BB5358" s="227"/>
      <c r="BC5358" s="227"/>
      <c r="BD5358" s="227"/>
      <c r="BE5358" s="227"/>
      <c r="BF5358" s="227"/>
    </row>
    <row r="5359">
      <c r="A5359" s="235" t="s">
        <v>39356</v>
      </c>
      <c r="C5359" s="235" t="s">
        <v>39357</v>
      </c>
      <c r="D5359" s="235" t="s">
        <v>39358</v>
      </c>
      <c r="E5359" s="243">
        <v>6.48E13</v>
      </c>
      <c r="F5359" s="245"/>
      <c r="G5359" s="235" t="s">
        <v>39359</v>
      </c>
      <c r="H5359" s="235" t="s">
        <v>39360</v>
      </c>
      <c r="I5359" s="235" t="s">
        <v>39360</v>
      </c>
      <c r="J5359" s="235" t="s">
        <v>39361</v>
      </c>
      <c r="K5359" s="235" t="s">
        <v>39362</v>
      </c>
      <c r="N5359" s="235" t="s">
        <v>51</v>
      </c>
      <c r="O5359" s="235" t="s">
        <v>273</v>
      </c>
      <c r="P5359" s="238">
        <v>1.0</v>
      </c>
      <c r="Q5359" s="235" t="s">
        <v>627</v>
      </c>
      <c r="R5359" s="238">
        <v>235.24</v>
      </c>
      <c r="S5359" s="238">
        <v>11.76</v>
      </c>
      <c r="T5359" s="238">
        <v>38.1</v>
      </c>
      <c r="U5359" s="238">
        <v>1.9</v>
      </c>
      <c r="V5359" s="238">
        <v>0.0</v>
      </c>
      <c r="W5359" s="238">
        <v>0.0</v>
      </c>
      <c r="X5359" s="235" t="s">
        <v>628</v>
      </c>
      <c r="Z5359" s="245"/>
      <c r="AA5359" s="245"/>
      <c r="AB5359" s="245"/>
      <c r="AC5359" s="235" t="s">
        <v>6773</v>
      </c>
      <c r="AD5359" s="235" t="s">
        <v>833</v>
      </c>
      <c r="AE5359" s="238">
        <v>517280.0</v>
      </c>
      <c r="AF5359" s="235" t="s">
        <v>631</v>
      </c>
      <c r="AG5359" s="245"/>
      <c r="AH5359" s="245"/>
      <c r="AI5359" s="245"/>
      <c r="AJ5359" s="245"/>
      <c r="AK5359" s="245"/>
      <c r="AL5359" s="245"/>
      <c r="AM5359" s="245"/>
      <c r="AN5359" s="245"/>
      <c r="AO5359" s="238">
        <v>0.0</v>
      </c>
      <c r="AP5359" s="238">
        <v>-38.1</v>
      </c>
      <c r="AQ5359" s="235" t="s">
        <v>1328</v>
      </c>
      <c r="AR5359" s="243">
        <v>1.34E13</v>
      </c>
      <c r="AS5359" s="235" t="s">
        <v>33466</v>
      </c>
      <c r="AT5359" s="235" t="s">
        <v>11</v>
      </c>
      <c r="AU5359" s="235" t="s">
        <v>634</v>
      </c>
      <c r="AV5359" s="246" t="s">
        <v>635</v>
      </c>
      <c r="AW5359" s="227"/>
      <c r="AX5359" s="227"/>
      <c r="AY5359" s="227"/>
      <c r="AZ5359" s="227"/>
      <c r="BA5359" s="227"/>
      <c r="BB5359" s="227"/>
      <c r="BC5359" s="227"/>
      <c r="BD5359" s="227"/>
      <c r="BE5359" s="227"/>
      <c r="BF5359" s="227"/>
    </row>
    <row r="5360">
      <c r="A5360" s="235" t="s">
        <v>39363</v>
      </c>
      <c r="C5360" s="235" t="s">
        <v>39364</v>
      </c>
      <c r="D5360" s="235" t="s">
        <v>39365</v>
      </c>
      <c r="E5360" s="243">
        <v>6.48E13</v>
      </c>
      <c r="F5360" s="245"/>
      <c r="G5360" s="235" t="s">
        <v>39366</v>
      </c>
      <c r="H5360" s="235" t="s">
        <v>39367</v>
      </c>
      <c r="I5360" s="235" t="s">
        <v>39368</v>
      </c>
      <c r="J5360" s="235" t="s">
        <v>39369</v>
      </c>
      <c r="K5360" s="235" t="s">
        <v>39370</v>
      </c>
      <c r="N5360" s="235" t="s">
        <v>127</v>
      </c>
      <c r="O5360" s="235" t="s">
        <v>794</v>
      </c>
      <c r="P5360" s="238">
        <v>1.0</v>
      </c>
      <c r="Q5360" s="235" t="s">
        <v>627</v>
      </c>
      <c r="R5360" s="238">
        <v>243.81</v>
      </c>
      <c r="S5360" s="238">
        <v>12.19</v>
      </c>
      <c r="T5360" s="238">
        <v>38.1</v>
      </c>
      <c r="U5360" s="238">
        <v>1.9</v>
      </c>
      <c r="V5360" s="238">
        <v>0.0</v>
      </c>
      <c r="W5360" s="238">
        <v>0.0</v>
      </c>
      <c r="X5360" s="235" t="s">
        <v>628</v>
      </c>
      <c r="Z5360" s="245"/>
      <c r="AA5360" s="245"/>
      <c r="AB5360" s="245"/>
      <c r="AC5360" s="235" t="s">
        <v>795</v>
      </c>
      <c r="AD5360" s="235" t="s">
        <v>796</v>
      </c>
      <c r="AE5360" s="238">
        <v>110094.0</v>
      </c>
      <c r="AF5360" s="235" t="s">
        <v>631</v>
      </c>
      <c r="AG5360" s="245"/>
      <c r="AH5360" s="245"/>
      <c r="AI5360" s="245"/>
      <c r="AJ5360" s="245"/>
      <c r="AK5360" s="245"/>
      <c r="AL5360" s="245"/>
      <c r="AM5360" s="245"/>
      <c r="AN5360" s="245"/>
      <c r="AO5360" s="238">
        <v>0.0</v>
      </c>
      <c r="AP5360" s="238">
        <v>-38.1</v>
      </c>
      <c r="AQ5360" s="235" t="s">
        <v>632</v>
      </c>
      <c r="AR5360" s="243">
        <v>3.7E11</v>
      </c>
      <c r="AS5360" s="235" t="s">
        <v>37983</v>
      </c>
      <c r="AT5360" s="235" t="s">
        <v>14</v>
      </c>
      <c r="AU5360" s="235" t="s">
        <v>634</v>
      </c>
      <c r="AV5360" s="246" t="s">
        <v>635</v>
      </c>
      <c r="AW5360" s="227"/>
      <c r="AX5360" s="227"/>
      <c r="AY5360" s="227"/>
      <c r="AZ5360" s="227"/>
      <c r="BA5360" s="227"/>
      <c r="BB5360" s="227"/>
      <c r="BC5360" s="227"/>
      <c r="BD5360" s="227"/>
      <c r="BE5360" s="227"/>
      <c r="BF5360" s="227"/>
    </row>
    <row r="5361">
      <c r="A5361" s="235" t="s">
        <v>39371</v>
      </c>
      <c r="C5361" s="235" t="s">
        <v>39372</v>
      </c>
      <c r="D5361" s="235" t="s">
        <v>39373</v>
      </c>
      <c r="E5361" s="243">
        <v>6.48E13</v>
      </c>
      <c r="F5361" s="245"/>
      <c r="G5361" s="235" t="s">
        <v>39374</v>
      </c>
      <c r="H5361" s="235" t="s">
        <v>39375</v>
      </c>
      <c r="I5361" s="235" t="s">
        <v>39375</v>
      </c>
      <c r="J5361" s="235" t="s">
        <v>39376</v>
      </c>
      <c r="K5361" s="235" t="s">
        <v>39377</v>
      </c>
      <c r="N5361" s="235" t="s">
        <v>127</v>
      </c>
      <c r="O5361" s="235" t="s">
        <v>794</v>
      </c>
      <c r="P5361" s="238">
        <v>1.0</v>
      </c>
      <c r="Q5361" s="235" t="s">
        <v>627</v>
      </c>
      <c r="R5361" s="238">
        <v>243.81</v>
      </c>
      <c r="S5361" s="238">
        <v>12.19</v>
      </c>
      <c r="T5361" s="238">
        <v>38.1</v>
      </c>
      <c r="U5361" s="238">
        <v>1.9</v>
      </c>
      <c r="V5361" s="238">
        <v>0.0</v>
      </c>
      <c r="W5361" s="238">
        <v>0.0</v>
      </c>
      <c r="X5361" s="235" t="s">
        <v>628</v>
      </c>
      <c r="Z5361" s="245"/>
      <c r="AA5361" s="245"/>
      <c r="AB5361" s="245"/>
      <c r="AC5361" s="235" t="s">
        <v>39378</v>
      </c>
      <c r="AD5361" s="235" t="s">
        <v>645</v>
      </c>
      <c r="AE5361" s="238">
        <v>688523.0</v>
      </c>
      <c r="AF5361" s="235" t="s">
        <v>631</v>
      </c>
      <c r="AG5361" s="245"/>
      <c r="AH5361" s="245"/>
      <c r="AI5361" s="245"/>
      <c r="AJ5361" s="245"/>
      <c r="AK5361" s="245"/>
      <c r="AL5361" s="245"/>
      <c r="AM5361" s="245"/>
      <c r="AN5361" s="245"/>
      <c r="AO5361" s="238">
        <v>0.0</v>
      </c>
      <c r="AP5361" s="238">
        <v>-38.1</v>
      </c>
      <c r="AQ5361" s="235" t="s">
        <v>632</v>
      </c>
      <c r="AR5361" s="243">
        <v>3.7E11</v>
      </c>
      <c r="AS5361" s="235" t="s">
        <v>36667</v>
      </c>
      <c r="AT5361" s="235" t="s">
        <v>156</v>
      </c>
      <c r="AU5361" s="235" t="s">
        <v>634</v>
      </c>
      <c r="AV5361" s="246" t="s">
        <v>635</v>
      </c>
      <c r="AW5361" s="227"/>
      <c r="AX5361" s="227"/>
      <c r="AY5361" s="227"/>
      <c r="AZ5361" s="227"/>
      <c r="BA5361" s="227"/>
      <c r="BB5361" s="227"/>
      <c r="BC5361" s="227"/>
      <c r="BD5361" s="227"/>
      <c r="BE5361" s="227"/>
      <c r="BF5361" s="227"/>
    </row>
    <row r="5362">
      <c r="A5362" s="235" t="s">
        <v>39379</v>
      </c>
      <c r="C5362" s="235" t="s">
        <v>39380</v>
      </c>
      <c r="D5362" s="235" t="s">
        <v>39381</v>
      </c>
      <c r="E5362" s="243">
        <v>6.48E13</v>
      </c>
      <c r="F5362" s="245"/>
      <c r="G5362" s="235" t="s">
        <v>39382</v>
      </c>
      <c r="H5362" s="235" t="s">
        <v>39383</v>
      </c>
      <c r="I5362" s="235" t="s">
        <v>39383</v>
      </c>
      <c r="J5362" s="235" t="s">
        <v>39384</v>
      </c>
      <c r="K5362" s="235" t="s">
        <v>39385</v>
      </c>
      <c r="N5362" s="235" t="s">
        <v>4</v>
      </c>
      <c r="O5362" s="235" t="s">
        <v>1791</v>
      </c>
      <c r="P5362" s="238">
        <v>1.0</v>
      </c>
      <c r="Q5362" s="235" t="s">
        <v>627</v>
      </c>
      <c r="R5362" s="238">
        <v>265.71</v>
      </c>
      <c r="S5362" s="238">
        <v>13.29</v>
      </c>
      <c r="T5362" s="238">
        <v>38.1</v>
      </c>
      <c r="U5362" s="238">
        <v>1.9</v>
      </c>
      <c r="V5362" s="238">
        <v>0.0</v>
      </c>
      <c r="W5362" s="238">
        <v>0.0</v>
      </c>
      <c r="X5362" s="235" t="s">
        <v>628</v>
      </c>
      <c r="Z5362" s="245"/>
      <c r="AA5362" s="245"/>
      <c r="AB5362" s="245"/>
      <c r="AC5362" s="235" t="s">
        <v>39386</v>
      </c>
      <c r="AD5362" s="235" t="s">
        <v>881</v>
      </c>
      <c r="AE5362" s="238">
        <v>756001.0</v>
      </c>
      <c r="AF5362" s="235" t="s">
        <v>631</v>
      </c>
      <c r="AG5362" s="245"/>
      <c r="AH5362" s="245"/>
      <c r="AI5362" s="245"/>
      <c r="AJ5362" s="245"/>
      <c r="AK5362" s="245"/>
      <c r="AL5362" s="245"/>
      <c r="AM5362" s="245"/>
      <c r="AN5362" s="245"/>
      <c r="AO5362" s="238">
        <v>0.0</v>
      </c>
      <c r="AP5362" s="238">
        <v>-38.1</v>
      </c>
      <c r="AQ5362" s="235" t="s">
        <v>632</v>
      </c>
      <c r="AR5362" s="243">
        <v>3.7E11</v>
      </c>
      <c r="AS5362" s="235" t="s">
        <v>34510</v>
      </c>
      <c r="AT5362" s="235" t="s">
        <v>9</v>
      </c>
      <c r="AU5362" s="235" t="s">
        <v>634</v>
      </c>
      <c r="AV5362" s="246" t="s">
        <v>635</v>
      </c>
      <c r="AW5362" s="227"/>
      <c r="AX5362" s="227"/>
      <c r="AY5362" s="227"/>
      <c r="AZ5362" s="227"/>
      <c r="BA5362" s="227"/>
      <c r="BB5362" s="227"/>
      <c r="BC5362" s="227"/>
      <c r="BD5362" s="227"/>
      <c r="BE5362" s="227"/>
      <c r="BF5362" s="227"/>
    </row>
    <row r="5363">
      <c r="A5363" s="235" t="s">
        <v>39387</v>
      </c>
      <c r="C5363" s="235" t="s">
        <v>39388</v>
      </c>
      <c r="D5363" s="235" t="s">
        <v>39389</v>
      </c>
      <c r="E5363" s="243">
        <v>6.48E13</v>
      </c>
      <c r="F5363" s="245"/>
      <c r="G5363" s="235" t="s">
        <v>39390</v>
      </c>
      <c r="H5363" s="235" t="s">
        <v>39391</v>
      </c>
      <c r="I5363" s="235" t="s">
        <v>39391</v>
      </c>
      <c r="J5363" s="235" t="s">
        <v>39392</v>
      </c>
      <c r="K5363" s="235" t="s">
        <v>39393</v>
      </c>
      <c r="N5363" s="235" t="s">
        <v>842</v>
      </c>
      <c r="O5363" s="235" t="s">
        <v>843</v>
      </c>
      <c r="P5363" s="238">
        <v>1.0</v>
      </c>
      <c r="Q5363" s="235" t="s">
        <v>627</v>
      </c>
      <c r="R5363" s="238">
        <v>246.67</v>
      </c>
      <c r="S5363" s="238">
        <v>12.33</v>
      </c>
      <c r="T5363" s="238">
        <v>38.1</v>
      </c>
      <c r="U5363" s="238">
        <v>1.9</v>
      </c>
      <c r="V5363" s="238">
        <v>0.0</v>
      </c>
      <c r="W5363" s="238">
        <v>0.0</v>
      </c>
      <c r="X5363" s="235" t="s">
        <v>628</v>
      </c>
      <c r="Z5363" s="245"/>
      <c r="AA5363" s="245"/>
      <c r="AB5363" s="245"/>
      <c r="AC5363" s="235" t="s">
        <v>795</v>
      </c>
      <c r="AD5363" s="235" t="s">
        <v>796</v>
      </c>
      <c r="AE5363" s="238">
        <v>110045.0</v>
      </c>
      <c r="AF5363" s="235" t="s">
        <v>631</v>
      </c>
      <c r="AG5363" s="245"/>
      <c r="AH5363" s="245"/>
      <c r="AI5363" s="245"/>
      <c r="AJ5363" s="245"/>
      <c r="AK5363" s="245"/>
      <c r="AL5363" s="245"/>
      <c r="AM5363" s="245"/>
      <c r="AN5363" s="245"/>
      <c r="AO5363" s="238">
        <v>0.0</v>
      </c>
      <c r="AP5363" s="238">
        <v>-38.1</v>
      </c>
      <c r="AQ5363" s="235" t="s">
        <v>632</v>
      </c>
      <c r="AR5363" s="243">
        <v>3.7E11</v>
      </c>
      <c r="AS5363" s="235" t="s">
        <v>37983</v>
      </c>
      <c r="AT5363" s="235" t="s">
        <v>14</v>
      </c>
      <c r="AU5363" s="235" t="s">
        <v>634</v>
      </c>
      <c r="AV5363" s="246" t="s">
        <v>635</v>
      </c>
      <c r="AW5363" s="227"/>
      <c r="AX5363" s="227"/>
      <c r="AY5363" s="227"/>
      <c r="AZ5363" s="227"/>
      <c r="BA5363" s="227"/>
      <c r="BB5363" s="227"/>
      <c r="BC5363" s="227"/>
      <c r="BD5363" s="227"/>
      <c r="BE5363" s="227"/>
      <c r="BF5363" s="227"/>
    </row>
    <row r="5364">
      <c r="A5364" s="235" t="s">
        <v>39394</v>
      </c>
      <c r="C5364" s="235" t="s">
        <v>39395</v>
      </c>
      <c r="D5364" s="235" t="s">
        <v>39396</v>
      </c>
      <c r="E5364" s="243">
        <v>6.48E13</v>
      </c>
      <c r="F5364" s="245"/>
      <c r="G5364" s="235" t="s">
        <v>39397</v>
      </c>
      <c r="H5364" s="235" t="s">
        <v>39398</v>
      </c>
      <c r="I5364" s="235" t="s">
        <v>39399</v>
      </c>
      <c r="J5364" s="235" t="s">
        <v>39400</v>
      </c>
      <c r="K5364" s="235" t="s">
        <v>39401</v>
      </c>
      <c r="N5364" s="235" t="s">
        <v>68</v>
      </c>
      <c r="O5364" s="235" t="s">
        <v>208</v>
      </c>
      <c r="P5364" s="238">
        <v>1.0</v>
      </c>
      <c r="Q5364" s="235" t="s">
        <v>627</v>
      </c>
      <c r="R5364" s="238">
        <v>246.66</v>
      </c>
      <c r="S5364" s="238">
        <v>12.34</v>
      </c>
      <c r="T5364" s="238">
        <v>38.1</v>
      </c>
      <c r="U5364" s="238">
        <v>1.9</v>
      </c>
      <c r="V5364" s="238">
        <v>0.0</v>
      </c>
      <c r="W5364" s="238">
        <v>0.0</v>
      </c>
      <c r="X5364" s="235" t="s">
        <v>628</v>
      </c>
      <c r="Z5364" s="245"/>
      <c r="AA5364" s="245"/>
      <c r="AB5364" s="245"/>
      <c r="AC5364" s="235" t="s">
        <v>16282</v>
      </c>
      <c r="AD5364" s="235" t="s">
        <v>928</v>
      </c>
      <c r="AE5364" s="238">
        <v>124507.0</v>
      </c>
      <c r="AF5364" s="235" t="s">
        <v>631</v>
      </c>
      <c r="AG5364" s="245"/>
      <c r="AH5364" s="245"/>
      <c r="AI5364" s="245"/>
      <c r="AJ5364" s="245"/>
      <c r="AK5364" s="245"/>
      <c r="AL5364" s="245"/>
      <c r="AM5364" s="245"/>
      <c r="AN5364" s="245"/>
      <c r="AO5364" s="238">
        <v>0.0</v>
      </c>
      <c r="AP5364" s="238">
        <v>-38.1</v>
      </c>
      <c r="AQ5364" s="235" t="s">
        <v>632</v>
      </c>
      <c r="AR5364" s="243">
        <v>3.7E11</v>
      </c>
      <c r="AS5364" s="235" t="s">
        <v>37983</v>
      </c>
      <c r="AT5364" s="235" t="s">
        <v>14</v>
      </c>
      <c r="AU5364" s="235" t="s">
        <v>634</v>
      </c>
      <c r="AV5364" s="246" t="s">
        <v>635</v>
      </c>
      <c r="AW5364" s="227"/>
      <c r="AX5364" s="227"/>
      <c r="AY5364" s="227"/>
      <c r="AZ5364" s="227"/>
      <c r="BA5364" s="227"/>
      <c r="BB5364" s="227"/>
      <c r="BC5364" s="227"/>
      <c r="BD5364" s="227"/>
      <c r="BE5364" s="227"/>
      <c r="BF5364" s="227"/>
    </row>
    <row r="5365">
      <c r="A5365" s="235" t="s">
        <v>39402</v>
      </c>
      <c r="C5365" s="235" t="s">
        <v>39403</v>
      </c>
      <c r="D5365" s="235" t="s">
        <v>39404</v>
      </c>
      <c r="E5365" s="243">
        <v>6.48E13</v>
      </c>
      <c r="F5365" s="245"/>
      <c r="G5365" s="235" t="s">
        <v>39405</v>
      </c>
      <c r="H5365" s="235" t="s">
        <v>39406</v>
      </c>
      <c r="I5365" s="235" t="s">
        <v>39407</v>
      </c>
      <c r="J5365" s="235" t="s">
        <v>39408</v>
      </c>
      <c r="K5365" s="235" t="s">
        <v>39409</v>
      </c>
      <c r="N5365" s="235" t="s">
        <v>42</v>
      </c>
      <c r="O5365" s="235" t="s">
        <v>204</v>
      </c>
      <c r="P5365" s="238">
        <v>1.0</v>
      </c>
      <c r="Q5365" s="235" t="s">
        <v>627</v>
      </c>
      <c r="R5365" s="238">
        <v>237.14</v>
      </c>
      <c r="S5365" s="238">
        <v>11.62</v>
      </c>
      <c r="T5365" s="238">
        <v>56.19</v>
      </c>
      <c r="U5365" s="238">
        <v>2.81</v>
      </c>
      <c r="V5365" s="238">
        <v>0.0</v>
      </c>
      <c r="W5365" s="238">
        <v>0.0</v>
      </c>
      <c r="X5365" s="235" t="s">
        <v>628</v>
      </c>
      <c r="Z5365" s="245"/>
      <c r="AA5365" s="245"/>
      <c r="AB5365" s="245"/>
      <c r="AC5365" s="235" t="s">
        <v>39410</v>
      </c>
      <c r="AD5365" s="235" t="s">
        <v>854</v>
      </c>
      <c r="AE5365" s="238">
        <v>403110.0</v>
      </c>
      <c r="AF5365" s="235" t="s">
        <v>631</v>
      </c>
      <c r="AG5365" s="245"/>
      <c r="AH5365" s="245"/>
      <c r="AI5365" s="245"/>
      <c r="AJ5365" s="245"/>
      <c r="AK5365" s="245"/>
      <c r="AL5365" s="245"/>
      <c r="AM5365" s="245"/>
      <c r="AN5365" s="245"/>
      <c r="AO5365" s="238">
        <v>-4.74</v>
      </c>
      <c r="AP5365" s="238">
        <v>-56.19</v>
      </c>
      <c r="AQ5365" s="235" t="s">
        <v>632</v>
      </c>
      <c r="AR5365" s="243">
        <v>1.68E11</v>
      </c>
      <c r="AS5365" s="235" t="s">
        <v>37983</v>
      </c>
      <c r="AT5365" s="235" t="s">
        <v>9</v>
      </c>
      <c r="AU5365" s="235" t="s">
        <v>634</v>
      </c>
      <c r="AV5365" s="246" t="s">
        <v>635</v>
      </c>
      <c r="AW5365" s="227"/>
      <c r="AX5365" s="227"/>
      <c r="AY5365" s="227"/>
      <c r="AZ5365" s="227"/>
      <c r="BA5365" s="227"/>
      <c r="BB5365" s="227"/>
      <c r="BC5365" s="227"/>
      <c r="BD5365" s="227"/>
      <c r="BE5365" s="227"/>
      <c r="BF5365" s="227"/>
    </row>
    <row r="5366">
      <c r="A5366" s="235" t="s">
        <v>39411</v>
      </c>
      <c r="C5366" s="235" t="s">
        <v>39412</v>
      </c>
      <c r="D5366" s="235" t="s">
        <v>39413</v>
      </c>
      <c r="E5366" s="243">
        <v>6.48E13</v>
      </c>
      <c r="F5366" s="245"/>
      <c r="G5366" s="235" t="s">
        <v>39414</v>
      </c>
      <c r="H5366" s="235" t="s">
        <v>39415</v>
      </c>
      <c r="I5366" s="235" t="s">
        <v>39416</v>
      </c>
      <c r="J5366" s="235" t="s">
        <v>39417</v>
      </c>
      <c r="K5366" s="235" t="s">
        <v>39418</v>
      </c>
      <c r="N5366" s="235" t="s">
        <v>98</v>
      </c>
      <c r="O5366" s="235" t="s">
        <v>357</v>
      </c>
      <c r="P5366" s="238">
        <v>1.0</v>
      </c>
      <c r="Q5366" s="235" t="s">
        <v>627</v>
      </c>
      <c r="R5366" s="238">
        <v>244.76</v>
      </c>
      <c r="S5366" s="238">
        <v>12.24</v>
      </c>
      <c r="T5366" s="238">
        <v>38.1</v>
      </c>
      <c r="U5366" s="238">
        <v>1.9</v>
      </c>
      <c r="V5366" s="238">
        <v>0.0</v>
      </c>
      <c r="W5366" s="238">
        <v>0.0</v>
      </c>
      <c r="X5366" s="235" t="s">
        <v>628</v>
      </c>
      <c r="Z5366" s="245"/>
      <c r="AA5366" s="245"/>
      <c r="AB5366" s="245"/>
      <c r="AC5366" s="235" t="s">
        <v>4139</v>
      </c>
      <c r="AD5366" s="235" t="s">
        <v>4139</v>
      </c>
      <c r="AE5366" s="238">
        <v>110006.0</v>
      </c>
      <c r="AF5366" s="235" t="s">
        <v>631</v>
      </c>
      <c r="AG5366" s="245"/>
      <c r="AH5366" s="245"/>
      <c r="AI5366" s="245"/>
      <c r="AJ5366" s="245"/>
      <c r="AK5366" s="245"/>
      <c r="AL5366" s="245"/>
      <c r="AM5366" s="245"/>
      <c r="AN5366" s="245"/>
      <c r="AO5366" s="238">
        <v>0.0</v>
      </c>
      <c r="AP5366" s="238">
        <v>-38.1</v>
      </c>
      <c r="AQ5366" s="235" t="s">
        <v>632</v>
      </c>
      <c r="AR5366" s="243">
        <v>3.7E11</v>
      </c>
      <c r="AS5366" s="235" t="s">
        <v>34510</v>
      </c>
      <c r="AT5366" s="235" t="s">
        <v>156</v>
      </c>
      <c r="AU5366" s="235" t="s">
        <v>634</v>
      </c>
      <c r="AV5366" s="246" t="s">
        <v>635</v>
      </c>
      <c r="AW5366" s="227"/>
      <c r="AX5366" s="227"/>
      <c r="AY5366" s="227"/>
      <c r="AZ5366" s="227"/>
      <c r="BA5366" s="227"/>
      <c r="BB5366" s="227"/>
      <c r="BC5366" s="227"/>
      <c r="BD5366" s="227"/>
      <c r="BE5366" s="227"/>
      <c r="BF5366" s="227"/>
    </row>
    <row r="5367">
      <c r="A5367" s="235" t="s">
        <v>39419</v>
      </c>
      <c r="C5367" s="235" t="s">
        <v>39420</v>
      </c>
      <c r="D5367" s="235" t="s">
        <v>39421</v>
      </c>
      <c r="E5367" s="243">
        <v>6.48E13</v>
      </c>
      <c r="F5367" s="245"/>
      <c r="G5367" s="235" t="s">
        <v>39422</v>
      </c>
      <c r="H5367" s="235" t="s">
        <v>39423</v>
      </c>
      <c r="I5367" s="235" t="s">
        <v>39423</v>
      </c>
      <c r="J5367" s="235" t="s">
        <v>39424</v>
      </c>
      <c r="K5367" s="235" t="s">
        <v>39425</v>
      </c>
      <c r="N5367" s="235" t="s">
        <v>82</v>
      </c>
      <c r="O5367" s="235" t="s">
        <v>889</v>
      </c>
      <c r="P5367" s="238">
        <v>1.0</v>
      </c>
      <c r="Q5367" s="235" t="s">
        <v>627</v>
      </c>
      <c r="R5367" s="238">
        <v>243.81</v>
      </c>
      <c r="S5367" s="238">
        <v>12.19</v>
      </c>
      <c r="T5367" s="238">
        <v>38.1</v>
      </c>
      <c r="U5367" s="238">
        <v>1.9</v>
      </c>
      <c r="V5367" s="238">
        <v>0.0</v>
      </c>
      <c r="W5367" s="238">
        <v>0.0</v>
      </c>
      <c r="X5367" s="235" t="s">
        <v>628</v>
      </c>
      <c r="Z5367" s="245"/>
      <c r="AA5367" s="245"/>
      <c r="AB5367" s="245"/>
      <c r="AC5367" s="235" t="s">
        <v>39426</v>
      </c>
      <c r="AD5367" s="235" t="s">
        <v>833</v>
      </c>
      <c r="AE5367" s="238">
        <v>518301.0</v>
      </c>
      <c r="AF5367" s="235" t="s">
        <v>631</v>
      </c>
      <c r="AG5367" s="245"/>
      <c r="AH5367" s="245"/>
      <c r="AI5367" s="245"/>
      <c r="AJ5367" s="245"/>
      <c r="AK5367" s="245"/>
      <c r="AL5367" s="245"/>
      <c r="AM5367" s="245"/>
      <c r="AN5367" s="245"/>
      <c r="AO5367" s="238">
        <v>0.0</v>
      </c>
      <c r="AP5367" s="238">
        <v>-38.1</v>
      </c>
      <c r="AQ5367" s="235" t="s">
        <v>632</v>
      </c>
      <c r="AR5367" s="243">
        <v>3.7E11</v>
      </c>
      <c r="AS5367" s="235" t="s">
        <v>35520</v>
      </c>
      <c r="AT5367" s="235" t="s">
        <v>9</v>
      </c>
      <c r="AU5367" s="235" t="s">
        <v>634</v>
      </c>
      <c r="AV5367" s="246" t="s">
        <v>635</v>
      </c>
      <c r="AW5367" s="227"/>
      <c r="AX5367" s="227"/>
      <c r="AY5367" s="227"/>
      <c r="AZ5367" s="227"/>
      <c r="BA5367" s="227"/>
      <c r="BB5367" s="227"/>
      <c r="BC5367" s="227"/>
      <c r="BD5367" s="227"/>
      <c r="BE5367" s="227"/>
      <c r="BF5367" s="227"/>
    </row>
    <row r="5368">
      <c r="A5368" s="235" t="s">
        <v>39427</v>
      </c>
      <c r="C5368" s="235" t="s">
        <v>39428</v>
      </c>
      <c r="D5368" s="235" t="s">
        <v>39429</v>
      </c>
      <c r="E5368" s="243">
        <v>6.48E13</v>
      </c>
      <c r="F5368" s="245"/>
      <c r="G5368" s="235" t="s">
        <v>39430</v>
      </c>
      <c r="H5368" s="235" t="s">
        <v>39431</v>
      </c>
      <c r="I5368" s="235" t="s">
        <v>39431</v>
      </c>
      <c r="J5368" s="235" t="s">
        <v>39432</v>
      </c>
      <c r="K5368" s="235" t="s">
        <v>39433</v>
      </c>
      <c r="N5368" s="235" t="s">
        <v>145</v>
      </c>
      <c r="O5368" s="235" t="s">
        <v>370</v>
      </c>
      <c r="P5368" s="238">
        <v>1.0</v>
      </c>
      <c r="Q5368" s="235" t="s">
        <v>627</v>
      </c>
      <c r="R5368" s="238">
        <v>1522.86</v>
      </c>
      <c r="S5368" s="238">
        <v>76.14</v>
      </c>
      <c r="T5368" s="238">
        <v>38.1</v>
      </c>
      <c r="U5368" s="238">
        <v>1.9</v>
      </c>
      <c r="V5368" s="238">
        <v>0.0</v>
      </c>
      <c r="W5368" s="238">
        <v>0.0</v>
      </c>
      <c r="X5368" s="235" t="s">
        <v>628</v>
      </c>
      <c r="Z5368" s="245"/>
      <c r="AA5368" s="245"/>
      <c r="AB5368" s="245"/>
      <c r="AC5368" s="235" t="s">
        <v>39434</v>
      </c>
      <c r="AD5368" s="235" t="s">
        <v>1086</v>
      </c>
      <c r="AE5368" s="238">
        <v>148101.0</v>
      </c>
      <c r="AF5368" s="235" t="s">
        <v>631</v>
      </c>
      <c r="AG5368" s="245"/>
      <c r="AH5368" s="245"/>
      <c r="AI5368" s="245"/>
      <c r="AJ5368" s="245"/>
      <c r="AK5368" s="245"/>
      <c r="AL5368" s="245"/>
      <c r="AM5368" s="245"/>
      <c r="AN5368" s="245"/>
      <c r="AO5368" s="238">
        <v>0.0</v>
      </c>
      <c r="AP5368" s="238">
        <v>-38.1</v>
      </c>
      <c r="AQ5368" s="235" t="s">
        <v>632</v>
      </c>
      <c r="AR5368" s="243">
        <v>3.7E11</v>
      </c>
      <c r="AS5368" s="235" t="s">
        <v>36667</v>
      </c>
      <c r="AT5368" s="235" t="s">
        <v>14</v>
      </c>
      <c r="AU5368" s="235" t="s">
        <v>634</v>
      </c>
      <c r="AV5368" s="246" t="s">
        <v>635</v>
      </c>
      <c r="AW5368" s="227"/>
      <c r="AX5368" s="227"/>
      <c r="AY5368" s="227"/>
      <c r="AZ5368" s="227"/>
      <c r="BA5368" s="227"/>
      <c r="BB5368" s="227"/>
      <c r="BC5368" s="227"/>
      <c r="BD5368" s="227"/>
      <c r="BE5368" s="227"/>
      <c r="BF5368" s="227"/>
    </row>
    <row r="5369">
      <c r="A5369" s="235" t="s">
        <v>39435</v>
      </c>
      <c r="C5369" s="235" t="s">
        <v>39436</v>
      </c>
      <c r="D5369" s="235" t="s">
        <v>39437</v>
      </c>
      <c r="E5369" s="243">
        <v>6.48E13</v>
      </c>
      <c r="F5369" s="245"/>
      <c r="G5369" s="235" t="s">
        <v>39438</v>
      </c>
      <c r="H5369" s="235" t="s">
        <v>39439</v>
      </c>
      <c r="I5369" s="235" t="s">
        <v>39439</v>
      </c>
      <c r="J5369" s="235" t="s">
        <v>39440</v>
      </c>
      <c r="K5369" s="235" t="s">
        <v>39441</v>
      </c>
      <c r="N5369" s="235" t="s">
        <v>68</v>
      </c>
      <c r="O5369" s="235" t="s">
        <v>208</v>
      </c>
      <c r="P5369" s="238">
        <v>1.0</v>
      </c>
      <c r="Q5369" s="235" t="s">
        <v>627</v>
      </c>
      <c r="R5369" s="238">
        <v>246.66</v>
      </c>
      <c r="S5369" s="238">
        <v>12.34</v>
      </c>
      <c r="T5369" s="238">
        <v>0.0</v>
      </c>
      <c r="U5369" s="238">
        <v>0.0</v>
      </c>
      <c r="V5369" s="238">
        <v>0.0</v>
      </c>
      <c r="W5369" s="238">
        <v>0.0</v>
      </c>
      <c r="X5369" s="235" t="s">
        <v>628</v>
      </c>
      <c r="Z5369" s="245"/>
      <c r="AA5369" s="245"/>
      <c r="AB5369" s="245"/>
      <c r="AC5369" s="235" t="s">
        <v>1058</v>
      </c>
      <c r="AD5369" s="235" t="s">
        <v>845</v>
      </c>
      <c r="AE5369" s="238">
        <v>400080.0</v>
      </c>
      <c r="AF5369" s="235" t="s">
        <v>631</v>
      </c>
      <c r="AG5369" s="245"/>
      <c r="AH5369" s="245"/>
      <c r="AI5369" s="245"/>
      <c r="AJ5369" s="245"/>
      <c r="AK5369" s="245"/>
      <c r="AL5369" s="245"/>
      <c r="AM5369" s="245"/>
      <c r="AN5369" s="245"/>
      <c r="AO5369" s="238">
        <v>0.0</v>
      </c>
      <c r="AP5369" s="238">
        <v>0.0</v>
      </c>
      <c r="AQ5369" s="235" t="s">
        <v>632</v>
      </c>
      <c r="AR5369" s="243">
        <v>1.68E11</v>
      </c>
      <c r="AS5369" s="235" t="s">
        <v>37983</v>
      </c>
      <c r="AT5369" s="235" t="s">
        <v>546</v>
      </c>
      <c r="AU5369" s="235" t="s">
        <v>634</v>
      </c>
      <c r="AV5369" s="246" t="s">
        <v>635</v>
      </c>
      <c r="AW5369" s="227"/>
      <c r="AX5369" s="227"/>
      <c r="AY5369" s="227"/>
      <c r="AZ5369" s="227"/>
      <c r="BA5369" s="227"/>
      <c r="BB5369" s="227"/>
      <c r="BC5369" s="227"/>
      <c r="BD5369" s="227"/>
      <c r="BE5369" s="227"/>
      <c r="BF5369" s="227"/>
    </row>
    <row r="5370">
      <c r="A5370" s="235" t="s">
        <v>39442</v>
      </c>
      <c r="C5370" s="235" t="s">
        <v>39443</v>
      </c>
      <c r="D5370" s="235" t="s">
        <v>39444</v>
      </c>
      <c r="E5370" s="243">
        <v>6.48E13</v>
      </c>
      <c r="F5370" s="245"/>
      <c r="G5370" s="235" t="s">
        <v>39445</v>
      </c>
      <c r="H5370" s="235" t="s">
        <v>39446</v>
      </c>
      <c r="I5370" s="235" t="s">
        <v>39446</v>
      </c>
      <c r="J5370" s="235" t="s">
        <v>39447</v>
      </c>
      <c r="K5370" s="235" t="s">
        <v>39448</v>
      </c>
      <c r="N5370" s="235" t="s">
        <v>50</v>
      </c>
      <c r="O5370" s="235" t="s">
        <v>367</v>
      </c>
      <c r="P5370" s="238">
        <v>1.0</v>
      </c>
      <c r="Q5370" s="235" t="s">
        <v>627</v>
      </c>
      <c r="R5370" s="238">
        <v>234.28</v>
      </c>
      <c r="S5370" s="238">
        <v>11.72</v>
      </c>
      <c r="T5370" s="238">
        <v>38.1</v>
      </c>
      <c r="U5370" s="238">
        <v>1.9</v>
      </c>
      <c r="V5370" s="238">
        <v>0.0</v>
      </c>
      <c r="W5370" s="238">
        <v>0.0</v>
      </c>
      <c r="X5370" s="235" t="s">
        <v>628</v>
      </c>
      <c r="Z5370" s="245"/>
      <c r="AA5370" s="245"/>
      <c r="AB5370" s="245"/>
      <c r="AC5370" s="235" t="s">
        <v>23923</v>
      </c>
      <c r="AD5370" s="235" t="s">
        <v>666</v>
      </c>
      <c r="AE5370" s="238">
        <v>625513.0</v>
      </c>
      <c r="AF5370" s="235" t="s">
        <v>631</v>
      </c>
      <c r="AG5370" s="245"/>
      <c r="AH5370" s="245"/>
      <c r="AI5370" s="245"/>
      <c r="AJ5370" s="245"/>
      <c r="AK5370" s="245"/>
      <c r="AL5370" s="245"/>
      <c r="AM5370" s="245"/>
      <c r="AN5370" s="245"/>
      <c r="AO5370" s="238">
        <v>0.0</v>
      </c>
      <c r="AP5370" s="238">
        <v>-38.1</v>
      </c>
      <c r="AQ5370" s="235" t="s">
        <v>632</v>
      </c>
      <c r="AR5370" s="243">
        <v>3.7E11</v>
      </c>
      <c r="AS5370" s="235" t="s">
        <v>36667</v>
      </c>
      <c r="AT5370" s="235" t="s">
        <v>155</v>
      </c>
      <c r="AU5370" s="235" t="s">
        <v>634</v>
      </c>
      <c r="AV5370" s="246" t="s">
        <v>635</v>
      </c>
      <c r="AW5370" s="227"/>
      <c r="AX5370" s="227"/>
      <c r="AY5370" s="227"/>
      <c r="AZ5370" s="227"/>
      <c r="BA5370" s="227"/>
      <c r="BB5370" s="227"/>
      <c r="BC5370" s="227"/>
      <c r="BD5370" s="227"/>
      <c r="BE5370" s="227"/>
      <c r="BF5370" s="227"/>
    </row>
    <row r="5371">
      <c r="A5371" s="235" t="s">
        <v>39449</v>
      </c>
      <c r="C5371" s="235" t="s">
        <v>39450</v>
      </c>
      <c r="D5371" s="235" t="s">
        <v>39451</v>
      </c>
      <c r="E5371" s="243">
        <v>6.48E13</v>
      </c>
      <c r="F5371" s="245"/>
      <c r="G5371" s="235" t="s">
        <v>39452</v>
      </c>
      <c r="H5371" s="235" t="s">
        <v>39453</v>
      </c>
      <c r="I5371" s="235" t="s">
        <v>39454</v>
      </c>
      <c r="J5371" s="235" t="s">
        <v>39455</v>
      </c>
      <c r="K5371" s="235" t="s">
        <v>39456</v>
      </c>
      <c r="N5371" s="235" t="s">
        <v>127</v>
      </c>
      <c r="O5371" s="235" t="s">
        <v>794</v>
      </c>
      <c r="P5371" s="238">
        <v>1.0</v>
      </c>
      <c r="Q5371" s="235" t="s">
        <v>627</v>
      </c>
      <c r="R5371" s="238">
        <v>243.81</v>
      </c>
      <c r="S5371" s="238">
        <v>12.19</v>
      </c>
      <c r="T5371" s="238">
        <v>0.0</v>
      </c>
      <c r="U5371" s="238">
        <v>0.0</v>
      </c>
      <c r="V5371" s="238">
        <v>0.0</v>
      </c>
      <c r="W5371" s="238">
        <v>0.0</v>
      </c>
      <c r="X5371" s="235" t="s">
        <v>628</v>
      </c>
      <c r="Z5371" s="245"/>
      <c r="AA5371" s="245"/>
      <c r="AB5371" s="245"/>
      <c r="AC5371" s="235" t="s">
        <v>8273</v>
      </c>
      <c r="AD5371" s="235" t="s">
        <v>3113</v>
      </c>
      <c r="AE5371" s="238">
        <v>493111.0</v>
      </c>
      <c r="AF5371" s="235" t="s">
        <v>631</v>
      </c>
      <c r="AG5371" s="245"/>
      <c r="AH5371" s="245"/>
      <c r="AI5371" s="245"/>
      <c r="AJ5371" s="245"/>
      <c r="AK5371" s="245"/>
      <c r="AL5371" s="245"/>
      <c r="AM5371" s="245"/>
      <c r="AN5371" s="245"/>
      <c r="AO5371" s="238">
        <v>0.0</v>
      </c>
      <c r="AP5371" s="238">
        <v>0.0</v>
      </c>
      <c r="AQ5371" s="235" t="s">
        <v>632</v>
      </c>
      <c r="AR5371" s="243">
        <v>3.7E11</v>
      </c>
      <c r="AS5371" s="235" t="s">
        <v>35520</v>
      </c>
      <c r="AT5371" s="235" t="s">
        <v>9</v>
      </c>
      <c r="AU5371" s="235" t="s">
        <v>634</v>
      </c>
      <c r="AV5371" s="246" t="s">
        <v>635</v>
      </c>
      <c r="AW5371" s="227"/>
      <c r="AX5371" s="227"/>
      <c r="AY5371" s="227"/>
      <c r="AZ5371" s="227"/>
      <c r="BA5371" s="227"/>
      <c r="BB5371" s="227"/>
      <c r="BC5371" s="227"/>
      <c r="BD5371" s="227"/>
      <c r="BE5371" s="227"/>
      <c r="BF5371" s="227"/>
    </row>
    <row r="5372">
      <c r="A5372" s="235" t="s">
        <v>39457</v>
      </c>
      <c r="C5372" s="235" t="s">
        <v>39458</v>
      </c>
      <c r="D5372" s="235" t="s">
        <v>39459</v>
      </c>
      <c r="E5372" s="243">
        <v>6.48E13</v>
      </c>
      <c r="F5372" s="245"/>
      <c r="G5372" s="235" t="s">
        <v>39460</v>
      </c>
      <c r="H5372" s="235" t="s">
        <v>39461</v>
      </c>
      <c r="I5372" s="235" t="s">
        <v>39461</v>
      </c>
      <c r="J5372" s="235" t="s">
        <v>39462</v>
      </c>
      <c r="K5372" s="235" t="s">
        <v>39463</v>
      </c>
      <c r="N5372" s="235" t="s">
        <v>15</v>
      </c>
      <c r="O5372" s="235" t="s">
        <v>856</v>
      </c>
      <c r="P5372" s="238">
        <v>1.0</v>
      </c>
      <c r="Q5372" s="235" t="s">
        <v>627</v>
      </c>
      <c r="R5372" s="238">
        <v>360.95</v>
      </c>
      <c r="S5372" s="238">
        <v>17.51</v>
      </c>
      <c r="T5372" s="238">
        <v>0.0</v>
      </c>
      <c r="U5372" s="238">
        <v>0.0</v>
      </c>
      <c r="V5372" s="238">
        <v>0.0</v>
      </c>
      <c r="W5372" s="238">
        <v>0.0</v>
      </c>
      <c r="X5372" s="235" t="s">
        <v>628</v>
      </c>
      <c r="Z5372" s="245"/>
      <c r="AA5372" s="245"/>
      <c r="AB5372" s="245"/>
      <c r="AC5372" s="235" t="s">
        <v>697</v>
      </c>
      <c r="AD5372" s="235" t="s">
        <v>698</v>
      </c>
      <c r="AE5372" s="238">
        <v>500037.0</v>
      </c>
      <c r="AF5372" s="235" t="s">
        <v>631</v>
      </c>
      <c r="AG5372" s="245"/>
      <c r="AH5372" s="245"/>
      <c r="AI5372" s="245"/>
      <c r="AJ5372" s="245"/>
      <c r="AK5372" s="245"/>
      <c r="AL5372" s="245"/>
      <c r="AM5372" s="245"/>
      <c r="AN5372" s="245"/>
      <c r="AO5372" s="238">
        <v>-10.83</v>
      </c>
      <c r="AP5372" s="238">
        <v>0.0</v>
      </c>
      <c r="AQ5372" s="235" t="s">
        <v>632</v>
      </c>
      <c r="AR5372" s="243">
        <v>3.7E11</v>
      </c>
      <c r="AS5372" s="235" t="s">
        <v>36667</v>
      </c>
      <c r="AT5372" s="235" t="s">
        <v>9</v>
      </c>
      <c r="AU5372" s="235" t="s">
        <v>634</v>
      </c>
      <c r="AV5372" s="246" t="s">
        <v>635</v>
      </c>
      <c r="AW5372" s="227"/>
      <c r="AX5372" s="227"/>
      <c r="AY5372" s="227"/>
      <c r="AZ5372" s="227"/>
      <c r="BA5372" s="227"/>
      <c r="BB5372" s="227"/>
      <c r="BC5372" s="227"/>
      <c r="BD5372" s="227"/>
      <c r="BE5372" s="227"/>
      <c r="BF5372" s="227"/>
    </row>
    <row r="5373">
      <c r="A5373" s="235" t="s">
        <v>39457</v>
      </c>
      <c r="C5373" s="235" t="s">
        <v>39458</v>
      </c>
      <c r="D5373" s="235" t="s">
        <v>39464</v>
      </c>
      <c r="E5373" s="243">
        <v>6.48E13</v>
      </c>
      <c r="F5373" s="245"/>
      <c r="G5373" s="235" t="s">
        <v>39460</v>
      </c>
      <c r="H5373" s="235" t="s">
        <v>39461</v>
      </c>
      <c r="I5373" s="235" t="s">
        <v>39461</v>
      </c>
      <c r="J5373" s="235" t="s">
        <v>39462</v>
      </c>
      <c r="K5373" s="235" t="s">
        <v>39463</v>
      </c>
      <c r="N5373" s="235" t="s">
        <v>15</v>
      </c>
      <c r="O5373" s="235" t="s">
        <v>856</v>
      </c>
      <c r="P5373" s="238">
        <v>1.0</v>
      </c>
      <c r="Q5373" s="235" t="s">
        <v>627</v>
      </c>
      <c r="R5373" s="238">
        <v>360.95</v>
      </c>
      <c r="S5373" s="238">
        <v>17.51</v>
      </c>
      <c r="T5373" s="238">
        <v>0.0</v>
      </c>
      <c r="U5373" s="238">
        <v>0.0</v>
      </c>
      <c r="V5373" s="238">
        <v>0.0</v>
      </c>
      <c r="W5373" s="238">
        <v>0.0</v>
      </c>
      <c r="X5373" s="235" t="s">
        <v>628</v>
      </c>
      <c r="Z5373" s="245"/>
      <c r="AA5373" s="245"/>
      <c r="AB5373" s="245"/>
      <c r="AC5373" s="235" t="s">
        <v>697</v>
      </c>
      <c r="AD5373" s="235" t="s">
        <v>698</v>
      </c>
      <c r="AE5373" s="238">
        <v>500037.0</v>
      </c>
      <c r="AF5373" s="235" t="s">
        <v>631</v>
      </c>
      <c r="AG5373" s="245"/>
      <c r="AH5373" s="245"/>
      <c r="AI5373" s="245"/>
      <c r="AJ5373" s="245"/>
      <c r="AK5373" s="245"/>
      <c r="AL5373" s="245"/>
      <c r="AM5373" s="245"/>
      <c r="AN5373" s="245"/>
      <c r="AO5373" s="238">
        <v>-10.83</v>
      </c>
      <c r="AP5373" s="238">
        <v>0.0</v>
      </c>
      <c r="AQ5373" s="235" t="s">
        <v>632</v>
      </c>
      <c r="AR5373" s="243">
        <v>3.7E11</v>
      </c>
      <c r="AS5373" s="235" t="s">
        <v>36667</v>
      </c>
      <c r="AT5373" s="235" t="s">
        <v>9</v>
      </c>
      <c r="AU5373" s="235" t="s">
        <v>634</v>
      </c>
      <c r="AV5373" s="246" t="s">
        <v>635</v>
      </c>
      <c r="AW5373" s="227"/>
      <c r="AX5373" s="227"/>
      <c r="AY5373" s="227"/>
      <c r="AZ5373" s="227"/>
      <c r="BA5373" s="227"/>
      <c r="BB5373" s="227"/>
      <c r="BC5373" s="227"/>
      <c r="BD5373" s="227"/>
      <c r="BE5373" s="227"/>
      <c r="BF5373" s="227"/>
    </row>
    <row r="5374">
      <c r="A5374" s="235" t="s">
        <v>39465</v>
      </c>
      <c r="C5374" s="235" t="s">
        <v>39466</v>
      </c>
      <c r="D5374" s="235" t="s">
        <v>39467</v>
      </c>
      <c r="E5374" s="243">
        <v>6.47E13</v>
      </c>
      <c r="F5374" s="245"/>
      <c r="G5374" s="235" t="s">
        <v>39468</v>
      </c>
      <c r="H5374" s="235" t="s">
        <v>39469</v>
      </c>
      <c r="I5374" s="235" t="s">
        <v>39469</v>
      </c>
      <c r="J5374" s="235" t="s">
        <v>39470</v>
      </c>
      <c r="K5374" s="235" t="s">
        <v>39471</v>
      </c>
      <c r="N5374" s="235" t="s">
        <v>53</v>
      </c>
      <c r="O5374" s="235" t="s">
        <v>512</v>
      </c>
      <c r="P5374" s="238">
        <v>1.0</v>
      </c>
      <c r="Q5374" s="235" t="s">
        <v>627</v>
      </c>
      <c r="R5374" s="238">
        <v>237.14</v>
      </c>
      <c r="S5374" s="238">
        <v>11.86</v>
      </c>
      <c r="T5374" s="238">
        <v>0.0</v>
      </c>
      <c r="U5374" s="238">
        <v>0.0</v>
      </c>
      <c r="V5374" s="238">
        <v>0.0</v>
      </c>
      <c r="W5374" s="238">
        <v>0.0</v>
      </c>
      <c r="X5374" s="235" t="s">
        <v>628</v>
      </c>
      <c r="Z5374" s="245"/>
      <c r="AA5374" s="245"/>
      <c r="AB5374" s="245"/>
      <c r="AC5374" s="235" t="s">
        <v>39472</v>
      </c>
      <c r="AD5374" s="235" t="s">
        <v>666</v>
      </c>
      <c r="AE5374" s="238">
        <v>638111.0</v>
      </c>
      <c r="AF5374" s="235" t="s">
        <v>631</v>
      </c>
      <c r="AG5374" s="245"/>
      <c r="AH5374" s="245"/>
      <c r="AI5374" s="245"/>
      <c r="AJ5374" s="245"/>
      <c r="AK5374" s="245"/>
      <c r="AL5374" s="245"/>
      <c r="AM5374" s="245"/>
      <c r="AN5374" s="245"/>
      <c r="AO5374" s="238">
        <v>0.0</v>
      </c>
      <c r="AP5374" s="238">
        <v>0.0</v>
      </c>
      <c r="AQ5374" s="235" t="s">
        <v>632</v>
      </c>
      <c r="AR5374" s="243">
        <v>3.7E11</v>
      </c>
      <c r="AS5374" s="235" t="s">
        <v>36667</v>
      </c>
      <c r="AT5374" s="235" t="s">
        <v>9</v>
      </c>
      <c r="AU5374" s="235" t="s">
        <v>634</v>
      </c>
      <c r="AV5374" s="246" t="s">
        <v>635</v>
      </c>
      <c r="AW5374" s="227"/>
      <c r="AX5374" s="227"/>
      <c r="AY5374" s="227"/>
      <c r="AZ5374" s="227"/>
      <c r="BA5374" s="227"/>
      <c r="BB5374" s="227"/>
      <c r="BC5374" s="227"/>
      <c r="BD5374" s="227"/>
      <c r="BE5374" s="227"/>
      <c r="BF5374" s="227"/>
    </row>
    <row r="5375">
      <c r="A5375" s="235" t="s">
        <v>39473</v>
      </c>
      <c r="C5375" s="235" t="s">
        <v>39474</v>
      </c>
      <c r="D5375" s="235" t="s">
        <v>39475</v>
      </c>
      <c r="E5375" s="243">
        <v>6.47E13</v>
      </c>
      <c r="F5375" s="245"/>
      <c r="G5375" s="235" t="s">
        <v>39476</v>
      </c>
      <c r="H5375" s="235" t="s">
        <v>39477</v>
      </c>
      <c r="I5375" s="235" t="s">
        <v>39477</v>
      </c>
      <c r="J5375" s="235" t="s">
        <v>39478</v>
      </c>
      <c r="K5375" s="235" t="s">
        <v>39479</v>
      </c>
      <c r="N5375" s="235" t="s">
        <v>42</v>
      </c>
      <c r="O5375" s="235" t="s">
        <v>204</v>
      </c>
      <c r="P5375" s="238">
        <v>1.0</v>
      </c>
      <c r="Q5375" s="235" t="s">
        <v>627</v>
      </c>
      <c r="R5375" s="238">
        <v>237.14</v>
      </c>
      <c r="S5375" s="238">
        <v>11.86</v>
      </c>
      <c r="T5375" s="238">
        <v>0.0</v>
      </c>
      <c r="U5375" s="238">
        <v>0.0</v>
      </c>
      <c r="V5375" s="238">
        <v>0.0</v>
      </c>
      <c r="W5375" s="238">
        <v>0.0</v>
      </c>
      <c r="X5375" s="235" t="s">
        <v>628</v>
      </c>
      <c r="Z5375" s="245"/>
      <c r="AA5375" s="245"/>
      <c r="AB5375" s="245"/>
      <c r="AC5375" s="235" t="s">
        <v>39480</v>
      </c>
      <c r="AD5375" s="235" t="s">
        <v>833</v>
      </c>
      <c r="AE5375" s="238">
        <v>530026.0</v>
      </c>
      <c r="AF5375" s="235" t="s">
        <v>631</v>
      </c>
      <c r="AG5375" s="245"/>
      <c r="AH5375" s="245"/>
      <c r="AI5375" s="245"/>
      <c r="AJ5375" s="245"/>
      <c r="AK5375" s="245"/>
      <c r="AL5375" s="245"/>
      <c r="AM5375" s="245"/>
      <c r="AN5375" s="245"/>
      <c r="AO5375" s="238">
        <v>0.0</v>
      </c>
      <c r="AP5375" s="238">
        <v>0.0</v>
      </c>
      <c r="AQ5375" s="235" t="s">
        <v>632</v>
      </c>
      <c r="AR5375" s="243">
        <v>3.7E11</v>
      </c>
      <c r="AS5375" s="235" t="s">
        <v>35520</v>
      </c>
      <c r="AT5375" s="235" t="s">
        <v>17</v>
      </c>
      <c r="AU5375" s="235" t="s">
        <v>634</v>
      </c>
      <c r="AV5375" s="246" t="s">
        <v>635</v>
      </c>
      <c r="AW5375" s="227"/>
      <c r="AX5375" s="227"/>
      <c r="AY5375" s="227"/>
      <c r="AZ5375" s="227"/>
      <c r="BA5375" s="227"/>
      <c r="BB5375" s="227"/>
      <c r="BC5375" s="227"/>
      <c r="BD5375" s="227"/>
      <c r="BE5375" s="227"/>
      <c r="BF5375" s="227"/>
    </row>
    <row r="5376">
      <c r="A5376" s="235" t="s">
        <v>39481</v>
      </c>
      <c r="C5376" s="235" t="s">
        <v>39482</v>
      </c>
      <c r="D5376" s="235" t="s">
        <v>39483</v>
      </c>
      <c r="E5376" s="243">
        <v>6.48E13</v>
      </c>
      <c r="F5376" s="245"/>
      <c r="G5376" s="235" t="s">
        <v>39484</v>
      </c>
      <c r="H5376" s="235" t="s">
        <v>39485</v>
      </c>
      <c r="I5376" s="235" t="s">
        <v>39485</v>
      </c>
      <c r="J5376" s="235" t="s">
        <v>39486</v>
      </c>
      <c r="K5376" s="235" t="s">
        <v>39487</v>
      </c>
      <c r="N5376" s="235" t="s">
        <v>90</v>
      </c>
      <c r="O5376" s="235" t="s">
        <v>279</v>
      </c>
      <c r="P5376" s="238">
        <v>1.0</v>
      </c>
      <c r="Q5376" s="235" t="s">
        <v>627</v>
      </c>
      <c r="R5376" s="238">
        <v>243.8</v>
      </c>
      <c r="S5376" s="238">
        <v>11.84</v>
      </c>
      <c r="T5376" s="238">
        <v>38.1</v>
      </c>
      <c r="U5376" s="238">
        <v>1.9</v>
      </c>
      <c r="V5376" s="238">
        <v>0.0</v>
      </c>
      <c r="W5376" s="238">
        <v>0.0</v>
      </c>
      <c r="X5376" s="235" t="s">
        <v>628</v>
      </c>
      <c r="Z5376" s="245"/>
      <c r="AA5376" s="245"/>
      <c r="AB5376" s="245"/>
      <c r="AC5376" s="235" t="s">
        <v>5091</v>
      </c>
      <c r="AD5376" s="235" t="s">
        <v>845</v>
      </c>
      <c r="AE5376" s="238">
        <v>440010.0</v>
      </c>
      <c r="AF5376" s="235" t="s">
        <v>631</v>
      </c>
      <c r="AG5376" s="245"/>
      <c r="AH5376" s="245"/>
      <c r="AI5376" s="245"/>
      <c r="AJ5376" s="245"/>
      <c r="AK5376" s="245"/>
      <c r="AL5376" s="245"/>
      <c r="AM5376" s="245"/>
      <c r="AN5376" s="245"/>
      <c r="AO5376" s="238">
        <v>-7.32</v>
      </c>
      <c r="AP5376" s="238">
        <v>-38.1</v>
      </c>
      <c r="AQ5376" s="235" t="s">
        <v>632</v>
      </c>
      <c r="AR5376" s="243">
        <v>3.7E11</v>
      </c>
      <c r="AS5376" s="235" t="s">
        <v>36667</v>
      </c>
      <c r="AT5376" s="235" t="s">
        <v>17</v>
      </c>
      <c r="AU5376" s="235" t="s">
        <v>634</v>
      </c>
      <c r="AV5376" s="246" t="s">
        <v>635</v>
      </c>
      <c r="AW5376" s="227"/>
      <c r="AX5376" s="227"/>
      <c r="AY5376" s="227"/>
      <c r="AZ5376" s="227"/>
      <c r="BA5376" s="227"/>
      <c r="BB5376" s="227"/>
      <c r="BC5376" s="227"/>
      <c r="BD5376" s="227"/>
      <c r="BE5376" s="227"/>
      <c r="BF5376" s="227"/>
    </row>
    <row r="5377">
      <c r="A5377" s="235" t="s">
        <v>39481</v>
      </c>
      <c r="C5377" s="235" t="s">
        <v>39482</v>
      </c>
      <c r="D5377" s="235" t="s">
        <v>39488</v>
      </c>
      <c r="E5377" s="243">
        <v>6.48E13</v>
      </c>
      <c r="F5377" s="245"/>
      <c r="G5377" s="235" t="s">
        <v>39484</v>
      </c>
      <c r="H5377" s="235" t="s">
        <v>39485</v>
      </c>
      <c r="I5377" s="235" t="s">
        <v>39485</v>
      </c>
      <c r="J5377" s="235" t="s">
        <v>39486</v>
      </c>
      <c r="K5377" s="235" t="s">
        <v>39487</v>
      </c>
      <c r="N5377" s="235" t="s">
        <v>90</v>
      </c>
      <c r="O5377" s="235" t="s">
        <v>279</v>
      </c>
      <c r="P5377" s="238">
        <v>1.0</v>
      </c>
      <c r="Q5377" s="235" t="s">
        <v>627</v>
      </c>
      <c r="R5377" s="238">
        <v>243.8</v>
      </c>
      <c r="S5377" s="238">
        <v>11.84</v>
      </c>
      <c r="T5377" s="238">
        <v>38.1</v>
      </c>
      <c r="U5377" s="238">
        <v>1.9</v>
      </c>
      <c r="V5377" s="238">
        <v>0.0</v>
      </c>
      <c r="W5377" s="238">
        <v>0.0</v>
      </c>
      <c r="X5377" s="235" t="s">
        <v>628</v>
      </c>
      <c r="Z5377" s="245"/>
      <c r="AA5377" s="245"/>
      <c r="AB5377" s="245"/>
      <c r="AC5377" s="235" t="s">
        <v>5091</v>
      </c>
      <c r="AD5377" s="235" t="s">
        <v>845</v>
      </c>
      <c r="AE5377" s="238">
        <v>440010.0</v>
      </c>
      <c r="AF5377" s="235" t="s">
        <v>631</v>
      </c>
      <c r="AG5377" s="245"/>
      <c r="AH5377" s="245"/>
      <c r="AI5377" s="245"/>
      <c r="AJ5377" s="245"/>
      <c r="AK5377" s="245"/>
      <c r="AL5377" s="245"/>
      <c r="AM5377" s="245"/>
      <c r="AN5377" s="245"/>
      <c r="AO5377" s="238">
        <v>-7.32</v>
      </c>
      <c r="AP5377" s="238">
        <v>-38.1</v>
      </c>
      <c r="AQ5377" s="235" t="s">
        <v>632</v>
      </c>
      <c r="AR5377" s="243">
        <v>3.7E11</v>
      </c>
      <c r="AS5377" s="235" t="s">
        <v>36667</v>
      </c>
      <c r="AT5377" s="235" t="s">
        <v>17</v>
      </c>
      <c r="AU5377" s="235" t="s">
        <v>634</v>
      </c>
      <c r="AV5377" s="246" t="s">
        <v>635</v>
      </c>
      <c r="AW5377" s="227"/>
      <c r="AX5377" s="227"/>
      <c r="AY5377" s="227"/>
      <c r="AZ5377" s="227"/>
      <c r="BA5377" s="227"/>
      <c r="BB5377" s="227"/>
      <c r="BC5377" s="227"/>
      <c r="BD5377" s="227"/>
      <c r="BE5377" s="227"/>
      <c r="BF5377" s="227"/>
    </row>
    <row r="5378">
      <c r="A5378" s="235" t="s">
        <v>39489</v>
      </c>
      <c r="C5378" s="235" t="s">
        <v>39490</v>
      </c>
      <c r="D5378" s="235" t="s">
        <v>39491</v>
      </c>
      <c r="E5378" s="243">
        <v>6.48E13</v>
      </c>
      <c r="F5378" s="245"/>
      <c r="G5378" s="235" t="s">
        <v>39492</v>
      </c>
      <c r="H5378" s="235" t="s">
        <v>39493</v>
      </c>
      <c r="I5378" s="235" t="s">
        <v>39493</v>
      </c>
      <c r="J5378" s="235" t="s">
        <v>39494</v>
      </c>
      <c r="K5378" s="235" t="s">
        <v>39495</v>
      </c>
      <c r="N5378" s="235" t="s">
        <v>92</v>
      </c>
      <c r="O5378" s="235" t="s">
        <v>248</v>
      </c>
      <c r="P5378" s="238">
        <v>1.0</v>
      </c>
      <c r="Q5378" s="235" t="s">
        <v>627</v>
      </c>
      <c r="R5378" s="238">
        <v>244.76</v>
      </c>
      <c r="S5378" s="238">
        <v>12.24</v>
      </c>
      <c r="T5378" s="238">
        <v>38.1</v>
      </c>
      <c r="U5378" s="238">
        <v>1.9</v>
      </c>
      <c r="V5378" s="238">
        <v>0.0</v>
      </c>
      <c r="W5378" s="238">
        <v>0.0</v>
      </c>
      <c r="X5378" s="235" t="s">
        <v>628</v>
      </c>
      <c r="Z5378" s="245"/>
      <c r="AA5378" s="245"/>
      <c r="AB5378" s="245"/>
      <c r="AC5378" s="235" t="s">
        <v>1935</v>
      </c>
      <c r="AD5378" s="235" t="s">
        <v>630</v>
      </c>
      <c r="AE5378" s="238">
        <v>282005.0</v>
      </c>
      <c r="AF5378" s="235" t="s">
        <v>631</v>
      </c>
      <c r="AG5378" s="245"/>
      <c r="AH5378" s="245"/>
      <c r="AI5378" s="245"/>
      <c r="AJ5378" s="245"/>
      <c r="AK5378" s="245"/>
      <c r="AL5378" s="245"/>
      <c r="AM5378" s="245"/>
      <c r="AN5378" s="245"/>
      <c r="AO5378" s="238">
        <v>0.0</v>
      </c>
      <c r="AP5378" s="238">
        <v>-38.1</v>
      </c>
      <c r="AQ5378" s="235" t="s">
        <v>632</v>
      </c>
      <c r="AR5378" s="243">
        <v>3.7E11</v>
      </c>
      <c r="AS5378" s="235" t="s">
        <v>37983</v>
      </c>
      <c r="AT5378" s="235" t="s">
        <v>14</v>
      </c>
      <c r="AU5378" s="235" t="s">
        <v>634</v>
      </c>
      <c r="AV5378" s="246" t="s">
        <v>635</v>
      </c>
      <c r="AW5378" s="227"/>
      <c r="AX5378" s="227"/>
      <c r="AY5378" s="227"/>
      <c r="AZ5378" s="227"/>
      <c r="BA5378" s="227"/>
      <c r="BB5378" s="227"/>
      <c r="BC5378" s="227"/>
      <c r="BD5378" s="227"/>
      <c r="BE5378" s="227"/>
      <c r="BF5378" s="227"/>
    </row>
    <row r="5379">
      <c r="A5379" s="235" t="s">
        <v>39496</v>
      </c>
      <c r="C5379" s="235" t="s">
        <v>39497</v>
      </c>
      <c r="D5379" s="235" t="s">
        <v>39498</v>
      </c>
      <c r="E5379" s="243">
        <v>6.48E13</v>
      </c>
      <c r="F5379" s="245"/>
      <c r="G5379" s="235" t="s">
        <v>39499</v>
      </c>
      <c r="H5379" s="235" t="s">
        <v>39500</v>
      </c>
      <c r="I5379" s="235" t="s">
        <v>39500</v>
      </c>
      <c r="J5379" s="235" t="s">
        <v>39501</v>
      </c>
      <c r="K5379" s="235" t="s">
        <v>39502</v>
      </c>
      <c r="N5379" s="235" t="s">
        <v>145</v>
      </c>
      <c r="O5379" s="235" t="s">
        <v>370</v>
      </c>
      <c r="P5379" s="238">
        <v>1.0</v>
      </c>
      <c r="Q5379" s="235" t="s">
        <v>627</v>
      </c>
      <c r="R5379" s="238">
        <v>1522.86</v>
      </c>
      <c r="S5379" s="238">
        <v>76.14</v>
      </c>
      <c r="T5379" s="238">
        <v>0.0</v>
      </c>
      <c r="U5379" s="238">
        <v>0.0</v>
      </c>
      <c r="V5379" s="238">
        <v>0.0</v>
      </c>
      <c r="W5379" s="238">
        <v>0.0</v>
      </c>
      <c r="X5379" s="235" t="s">
        <v>628</v>
      </c>
      <c r="Z5379" s="245"/>
      <c r="AA5379" s="245"/>
      <c r="AB5379" s="245"/>
      <c r="AC5379" s="235" t="s">
        <v>1076</v>
      </c>
      <c r="AD5379" s="235" t="s">
        <v>1077</v>
      </c>
      <c r="AE5379" s="238">
        <v>360004.0</v>
      </c>
      <c r="AF5379" s="235" t="s">
        <v>631</v>
      </c>
      <c r="AG5379" s="245"/>
      <c r="AH5379" s="245"/>
      <c r="AI5379" s="245"/>
      <c r="AJ5379" s="245"/>
      <c r="AK5379" s="245"/>
      <c r="AL5379" s="245"/>
      <c r="AM5379" s="245"/>
      <c r="AN5379" s="245"/>
      <c r="AO5379" s="238">
        <v>0.0</v>
      </c>
      <c r="AP5379" s="238">
        <v>0.0</v>
      </c>
      <c r="AQ5379" s="235" t="s">
        <v>632</v>
      </c>
      <c r="AR5379" s="243">
        <v>1.68E11</v>
      </c>
      <c r="AS5379" s="235" t="s">
        <v>39250</v>
      </c>
      <c r="AT5379" s="235" t="s">
        <v>5</v>
      </c>
      <c r="AU5379" s="235" t="s">
        <v>634</v>
      </c>
      <c r="AV5379" s="246" t="s">
        <v>635</v>
      </c>
      <c r="AW5379" s="227"/>
      <c r="AX5379" s="227"/>
      <c r="AY5379" s="227"/>
      <c r="AZ5379" s="227"/>
      <c r="BA5379" s="227"/>
      <c r="BB5379" s="227"/>
      <c r="BC5379" s="227"/>
      <c r="BD5379" s="227"/>
      <c r="BE5379" s="227"/>
      <c r="BF5379" s="227"/>
    </row>
    <row r="5380">
      <c r="A5380" s="235" t="s">
        <v>39503</v>
      </c>
      <c r="C5380" s="235" t="s">
        <v>39504</v>
      </c>
      <c r="D5380" s="235" t="s">
        <v>39505</v>
      </c>
      <c r="E5380" s="243">
        <v>6.48E13</v>
      </c>
      <c r="F5380" s="245"/>
      <c r="G5380" s="235" t="s">
        <v>39506</v>
      </c>
      <c r="H5380" s="235" t="s">
        <v>39507</v>
      </c>
      <c r="I5380" s="235" t="s">
        <v>39507</v>
      </c>
      <c r="J5380" s="235" t="s">
        <v>39508</v>
      </c>
      <c r="K5380" s="235" t="s">
        <v>39509</v>
      </c>
      <c r="N5380" s="235" t="s">
        <v>75</v>
      </c>
      <c r="O5380" s="235" t="s">
        <v>2108</v>
      </c>
      <c r="P5380" s="238">
        <v>1.0</v>
      </c>
      <c r="Q5380" s="235" t="s">
        <v>627</v>
      </c>
      <c r="R5380" s="238">
        <v>360.96</v>
      </c>
      <c r="S5380" s="238">
        <v>17.68</v>
      </c>
      <c r="T5380" s="238">
        <v>0.0</v>
      </c>
      <c r="U5380" s="238">
        <v>0.0</v>
      </c>
      <c r="V5380" s="238">
        <v>0.0</v>
      </c>
      <c r="W5380" s="238">
        <v>0.0</v>
      </c>
      <c r="X5380" s="235" t="s">
        <v>628</v>
      </c>
      <c r="Z5380" s="245"/>
      <c r="AA5380" s="245"/>
      <c r="AB5380" s="245"/>
      <c r="AC5380" s="235" t="s">
        <v>687</v>
      </c>
      <c r="AD5380" s="235" t="s">
        <v>666</v>
      </c>
      <c r="AE5380" s="238">
        <v>600020.0</v>
      </c>
      <c r="AF5380" s="235" t="s">
        <v>631</v>
      </c>
      <c r="AG5380" s="245"/>
      <c r="AH5380" s="245"/>
      <c r="AI5380" s="245"/>
      <c r="AJ5380" s="245"/>
      <c r="AK5380" s="245"/>
      <c r="AL5380" s="245"/>
      <c r="AM5380" s="245"/>
      <c r="AN5380" s="245"/>
      <c r="AO5380" s="238">
        <v>-7.22</v>
      </c>
      <c r="AP5380" s="238">
        <v>0.0</v>
      </c>
      <c r="AQ5380" s="235" t="s">
        <v>632</v>
      </c>
      <c r="AR5380" s="243">
        <v>3.7E11</v>
      </c>
      <c r="AS5380" s="235" t="s">
        <v>39250</v>
      </c>
      <c r="AT5380" s="235" t="s">
        <v>156</v>
      </c>
      <c r="AU5380" s="235" t="s">
        <v>634</v>
      </c>
      <c r="AV5380" s="246" t="s">
        <v>635</v>
      </c>
      <c r="AW5380" s="227"/>
      <c r="AX5380" s="227"/>
      <c r="AY5380" s="227"/>
      <c r="AZ5380" s="227"/>
      <c r="BA5380" s="227"/>
      <c r="BB5380" s="227"/>
      <c r="BC5380" s="227"/>
      <c r="BD5380" s="227"/>
      <c r="BE5380" s="227"/>
      <c r="BF5380" s="227"/>
    </row>
    <row r="5381">
      <c r="A5381" s="235" t="s">
        <v>39510</v>
      </c>
      <c r="C5381" s="235" t="s">
        <v>39511</v>
      </c>
      <c r="D5381" s="235" t="s">
        <v>39512</v>
      </c>
      <c r="E5381" s="243">
        <v>6.48E13</v>
      </c>
      <c r="F5381" s="245"/>
      <c r="G5381" s="235" t="s">
        <v>39513</v>
      </c>
      <c r="H5381" s="235" t="s">
        <v>39514</v>
      </c>
      <c r="I5381" s="235" t="s">
        <v>39514</v>
      </c>
      <c r="J5381" s="235" t="s">
        <v>39515</v>
      </c>
      <c r="K5381" s="235" t="s">
        <v>39516</v>
      </c>
      <c r="N5381" s="235" t="s">
        <v>82</v>
      </c>
      <c r="O5381" s="235" t="s">
        <v>889</v>
      </c>
      <c r="P5381" s="238">
        <v>1.0</v>
      </c>
      <c r="Q5381" s="235" t="s">
        <v>627</v>
      </c>
      <c r="R5381" s="238">
        <v>243.81</v>
      </c>
      <c r="S5381" s="238">
        <v>11.95</v>
      </c>
      <c r="T5381" s="238">
        <v>0.0</v>
      </c>
      <c r="U5381" s="238">
        <v>0.0</v>
      </c>
      <c r="V5381" s="238">
        <v>0.0</v>
      </c>
      <c r="W5381" s="238">
        <v>0.0</v>
      </c>
      <c r="X5381" s="235" t="s">
        <v>628</v>
      </c>
      <c r="Z5381" s="245"/>
      <c r="AA5381" s="245"/>
      <c r="AB5381" s="245"/>
      <c r="AC5381" s="235" t="s">
        <v>2350</v>
      </c>
      <c r="AD5381" s="235" t="s">
        <v>917</v>
      </c>
      <c r="AE5381" s="238">
        <v>342001.0</v>
      </c>
      <c r="AF5381" s="235" t="s">
        <v>631</v>
      </c>
      <c r="AG5381" s="245"/>
      <c r="AH5381" s="245"/>
      <c r="AI5381" s="245"/>
      <c r="AJ5381" s="245"/>
      <c r="AK5381" s="245"/>
      <c r="AL5381" s="245"/>
      <c r="AM5381" s="245"/>
      <c r="AN5381" s="245"/>
      <c r="AO5381" s="238">
        <v>-4.88</v>
      </c>
      <c r="AP5381" s="238">
        <v>0.0</v>
      </c>
      <c r="AQ5381" s="235" t="s">
        <v>632</v>
      </c>
      <c r="AR5381" s="243">
        <v>3.7E11</v>
      </c>
      <c r="AS5381" s="235" t="s">
        <v>37983</v>
      </c>
      <c r="AT5381" s="235" t="s">
        <v>14</v>
      </c>
      <c r="AU5381" s="235" t="s">
        <v>634</v>
      </c>
      <c r="AV5381" s="246" t="s">
        <v>635</v>
      </c>
      <c r="AW5381" s="227"/>
      <c r="AX5381" s="227"/>
      <c r="AY5381" s="227"/>
      <c r="AZ5381" s="227"/>
      <c r="BA5381" s="227"/>
      <c r="BB5381" s="227"/>
      <c r="BC5381" s="227"/>
      <c r="BD5381" s="227"/>
      <c r="BE5381" s="227"/>
      <c r="BF5381" s="227"/>
    </row>
    <row r="5382">
      <c r="A5382" s="235" t="s">
        <v>39517</v>
      </c>
      <c r="C5382" s="235" t="s">
        <v>39518</v>
      </c>
      <c r="D5382" s="235" t="s">
        <v>39519</v>
      </c>
      <c r="E5382" s="243">
        <v>6.48E13</v>
      </c>
      <c r="F5382" s="245"/>
      <c r="G5382" s="235" t="s">
        <v>39520</v>
      </c>
      <c r="H5382" s="235" t="s">
        <v>39521</v>
      </c>
      <c r="I5382" s="235" t="s">
        <v>39521</v>
      </c>
      <c r="J5382" s="235" t="s">
        <v>39522</v>
      </c>
      <c r="K5382" s="235" t="s">
        <v>39523</v>
      </c>
      <c r="N5382" s="235" t="s">
        <v>962</v>
      </c>
      <c r="O5382" s="235" t="s">
        <v>963</v>
      </c>
      <c r="P5382" s="238">
        <v>1.0</v>
      </c>
      <c r="Q5382" s="235" t="s">
        <v>627</v>
      </c>
      <c r="R5382" s="238">
        <v>245.72</v>
      </c>
      <c r="S5382" s="238">
        <v>12.28</v>
      </c>
      <c r="T5382" s="238">
        <v>0.0</v>
      </c>
      <c r="U5382" s="238">
        <v>0.0</v>
      </c>
      <c r="V5382" s="238">
        <v>0.0</v>
      </c>
      <c r="W5382" s="238">
        <v>0.0</v>
      </c>
      <c r="X5382" s="235" t="s">
        <v>628</v>
      </c>
      <c r="Z5382" s="245"/>
      <c r="AA5382" s="245"/>
      <c r="AB5382" s="245"/>
      <c r="AC5382" s="235" t="s">
        <v>687</v>
      </c>
      <c r="AD5382" s="235" t="s">
        <v>666</v>
      </c>
      <c r="AE5382" s="238">
        <v>600126.0</v>
      </c>
      <c r="AF5382" s="235" t="s">
        <v>631</v>
      </c>
      <c r="AG5382" s="245"/>
      <c r="AH5382" s="245"/>
      <c r="AI5382" s="245"/>
      <c r="AJ5382" s="245"/>
      <c r="AK5382" s="245"/>
      <c r="AL5382" s="245"/>
      <c r="AM5382" s="245"/>
      <c r="AN5382" s="245"/>
      <c r="AO5382" s="238">
        <v>0.0</v>
      </c>
      <c r="AP5382" s="238">
        <v>0.0</v>
      </c>
      <c r="AQ5382" s="235" t="s">
        <v>632</v>
      </c>
      <c r="AR5382" s="243">
        <v>3.7E11</v>
      </c>
      <c r="AS5382" s="235" t="s">
        <v>39250</v>
      </c>
      <c r="AT5382" s="235" t="s">
        <v>156</v>
      </c>
      <c r="AU5382" s="235" t="s">
        <v>634</v>
      </c>
      <c r="AV5382" s="246" t="s">
        <v>635</v>
      </c>
      <c r="AW5382" s="227"/>
      <c r="AX5382" s="227"/>
      <c r="AY5382" s="227"/>
      <c r="AZ5382" s="227"/>
      <c r="BA5382" s="227"/>
      <c r="BB5382" s="227"/>
      <c r="BC5382" s="227"/>
      <c r="BD5382" s="227"/>
      <c r="BE5382" s="227"/>
      <c r="BF5382" s="227"/>
    </row>
    <row r="5383">
      <c r="A5383" s="235" t="s">
        <v>39524</v>
      </c>
      <c r="C5383" s="235" t="s">
        <v>39525</v>
      </c>
      <c r="D5383" s="235" t="s">
        <v>39526</v>
      </c>
      <c r="E5383" s="243">
        <v>6.48E13</v>
      </c>
      <c r="F5383" s="245"/>
      <c r="G5383" s="235" t="s">
        <v>39527</v>
      </c>
      <c r="H5383" s="235" t="s">
        <v>39528</v>
      </c>
      <c r="I5383" s="235" t="s">
        <v>39529</v>
      </c>
      <c r="J5383" s="235" t="s">
        <v>39530</v>
      </c>
      <c r="K5383" s="235" t="s">
        <v>39531</v>
      </c>
      <c r="N5383" s="235" t="s">
        <v>138</v>
      </c>
      <c r="O5383" s="235" t="s">
        <v>675</v>
      </c>
      <c r="P5383" s="238">
        <v>1.0</v>
      </c>
      <c r="Q5383" s="235" t="s">
        <v>627</v>
      </c>
      <c r="R5383" s="238">
        <v>244.76</v>
      </c>
      <c r="S5383" s="238">
        <v>12.0</v>
      </c>
      <c r="T5383" s="238">
        <v>0.0</v>
      </c>
      <c r="U5383" s="238">
        <v>0.0</v>
      </c>
      <c r="V5383" s="238">
        <v>0.0</v>
      </c>
      <c r="W5383" s="238">
        <v>0.0</v>
      </c>
      <c r="X5383" s="235" t="s">
        <v>628</v>
      </c>
      <c r="Z5383" s="245"/>
      <c r="AA5383" s="245"/>
      <c r="AB5383" s="245"/>
      <c r="AC5383" s="235" t="s">
        <v>678</v>
      </c>
      <c r="AD5383" s="235" t="s">
        <v>679</v>
      </c>
      <c r="AE5383" s="238">
        <v>560032.0</v>
      </c>
      <c r="AF5383" s="235" t="s">
        <v>631</v>
      </c>
      <c r="AG5383" s="245"/>
      <c r="AH5383" s="245"/>
      <c r="AI5383" s="245"/>
      <c r="AJ5383" s="245"/>
      <c r="AK5383" s="245"/>
      <c r="AL5383" s="245"/>
      <c r="AM5383" s="245"/>
      <c r="AN5383" s="245"/>
      <c r="AO5383" s="238">
        <v>-4.9</v>
      </c>
      <c r="AP5383" s="238">
        <v>0.0</v>
      </c>
      <c r="AQ5383" s="235" t="s">
        <v>632</v>
      </c>
      <c r="AR5383" s="243">
        <v>1.68E11</v>
      </c>
      <c r="AS5383" s="235" t="s">
        <v>39532</v>
      </c>
      <c r="AT5383" s="235" t="s">
        <v>11</v>
      </c>
      <c r="AU5383" s="235" t="s">
        <v>634</v>
      </c>
      <c r="AV5383" s="246" t="s">
        <v>635</v>
      </c>
      <c r="AW5383" s="227"/>
      <c r="AX5383" s="227"/>
      <c r="AY5383" s="227"/>
      <c r="AZ5383" s="227"/>
      <c r="BA5383" s="227"/>
      <c r="BB5383" s="227"/>
      <c r="BC5383" s="227"/>
      <c r="BD5383" s="227"/>
      <c r="BE5383" s="227"/>
      <c r="BF5383" s="227"/>
    </row>
    <row r="5384">
      <c r="A5384" s="235" t="s">
        <v>39533</v>
      </c>
      <c r="C5384" s="235" t="s">
        <v>39534</v>
      </c>
      <c r="D5384" s="235" t="s">
        <v>39535</v>
      </c>
      <c r="E5384" s="243">
        <v>6.48E13</v>
      </c>
      <c r="F5384" s="245"/>
      <c r="G5384" s="235" t="s">
        <v>39536</v>
      </c>
      <c r="H5384" s="235" t="s">
        <v>39537</v>
      </c>
      <c r="I5384" s="235" t="s">
        <v>39538</v>
      </c>
      <c r="J5384" s="235" t="s">
        <v>39539</v>
      </c>
      <c r="K5384" s="235" t="s">
        <v>39540</v>
      </c>
      <c r="N5384" s="235" t="s">
        <v>962</v>
      </c>
      <c r="O5384" s="235" t="s">
        <v>963</v>
      </c>
      <c r="P5384" s="238">
        <v>1.0</v>
      </c>
      <c r="Q5384" s="235" t="s">
        <v>627</v>
      </c>
      <c r="R5384" s="238">
        <v>245.72</v>
      </c>
      <c r="S5384" s="238">
        <v>12.28</v>
      </c>
      <c r="T5384" s="238">
        <v>18.1</v>
      </c>
      <c r="U5384" s="238">
        <v>0.9</v>
      </c>
      <c r="V5384" s="238">
        <v>0.0</v>
      </c>
      <c r="W5384" s="238">
        <v>0.0</v>
      </c>
      <c r="X5384" s="235" t="s">
        <v>628</v>
      </c>
      <c r="Z5384" s="245"/>
      <c r="AA5384" s="245"/>
      <c r="AB5384" s="245"/>
      <c r="AC5384" s="235" t="s">
        <v>678</v>
      </c>
      <c r="AD5384" s="235" t="s">
        <v>679</v>
      </c>
      <c r="AE5384" s="238">
        <v>560037.0</v>
      </c>
      <c r="AF5384" s="235" t="s">
        <v>631</v>
      </c>
      <c r="AG5384" s="245"/>
      <c r="AH5384" s="245"/>
      <c r="AI5384" s="245"/>
      <c r="AJ5384" s="245"/>
      <c r="AK5384" s="245"/>
      <c r="AL5384" s="245"/>
      <c r="AM5384" s="245"/>
      <c r="AN5384" s="245"/>
      <c r="AO5384" s="238">
        <v>0.0</v>
      </c>
      <c r="AP5384" s="238">
        <v>-18.1</v>
      </c>
      <c r="AQ5384" s="235" t="s">
        <v>632</v>
      </c>
      <c r="AR5384" s="243">
        <v>1.68E11</v>
      </c>
      <c r="AS5384" s="235" t="s">
        <v>39532</v>
      </c>
      <c r="AT5384" s="235" t="s">
        <v>9</v>
      </c>
      <c r="AU5384" s="235" t="s">
        <v>634</v>
      </c>
      <c r="AV5384" s="246" t="s">
        <v>635</v>
      </c>
      <c r="AW5384" s="227"/>
      <c r="AX5384" s="227"/>
      <c r="AY5384" s="227"/>
      <c r="AZ5384" s="227"/>
      <c r="BA5384" s="227"/>
      <c r="BB5384" s="227"/>
      <c r="BC5384" s="227"/>
      <c r="BD5384" s="227"/>
      <c r="BE5384" s="227"/>
      <c r="BF5384" s="227"/>
    </row>
    <row r="5385">
      <c r="A5385" s="235" t="s">
        <v>39541</v>
      </c>
      <c r="C5385" s="235" t="s">
        <v>39542</v>
      </c>
      <c r="D5385" s="235" t="s">
        <v>39543</v>
      </c>
      <c r="E5385" s="243">
        <v>6.48E13</v>
      </c>
      <c r="F5385" s="245"/>
      <c r="G5385" s="235" t="s">
        <v>39544</v>
      </c>
      <c r="H5385" s="235" t="s">
        <v>39545</v>
      </c>
      <c r="I5385" s="235" t="s">
        <v>39545</v>
      </c>
      <c r="J5385" s="235" t="s">
        <v>39546</v>
      </c>
      <c r="K5385" s="235" t="s">
        <v>39547</v>
      </c>
      <c r="N5385" s="235" t="s">
        <v>726</v>
      </c>
      <c r="O5385" s="235" t="s">
        <v>727</v>
      </c>
      <c r="P5385" s="238">
        <v>1.0</v>
      </c>
      <c r="Q5385" s="235" t="s">
        <v>627</v>
      </c>
      <c r="R5385" s="238">
        <v>244.76</v>
      </c>
      <c r="S5385" s="238">
        <v>12.0</v>
      </c>
      <c r="T5385" s="238">
        <v>18.1</v>
      </c>
      <c r="U5385" s="238">
        <v>0.9</v>
      </c>
      <c r="V5385" s="238">
        <v>0.0</v>
      </c>
      <c r="W5385" s="238">
        <v>0.0</v>
      </c>
      <c r="X5385" s="235" t="s">
        <v>628</v>
      </c>
      <c r="Z5385" s="245"/>
      <c r="AA5385" s="245"/>
      <c r="AB5385" s="245"/>
      <c r="AC5385" s="235" t="s">
        <v>1058</v>
      </c>
      <c r="AD5385" s="235" t="s">
        <v>845</v>
      </c>
      <c r="AE5385" s="238">
        <v>400080.0</v>
      </c>
      <c r="AF5385" s="235" t="s">
        <v>631</v>
      </c>
      <c r="AG5385" s="245"/>
      <c r="AH5385" s="245"/>
      <c r="AI5385" s="245"/>
      <c r="AJ5385" s="245"/>
      <c r="AK5385" s="245"/>
      <c r="AL5385" s="245"/>
      <c r="AM5385" s="245"/>
      <c r="AN5385" s="245"/>
      <c r="AO5385" s="238">
        <v>-4.9</v>
      </c>
      <c r="AP5385" s="238">
        <v>-18.1</v>
      </c>
      <c r="AQ5385" s="235" t="s">
        <v>632</v>
      </c>
      <c r="AR5385" s="243">
        <v>1.68E11</v>
      </c>
      <c r="AS5385" s="235" t="s">
        <v>39532</v>
      </c>
      <c r="AT5385" s="235" t="s">
        <v>16</v>
      </c>
      <c r="AU5385" s="235" t="s">
        <v>634</v>
      </c>
      <c r="AV5385" s="246" t="s">
        <v>635</v>
      </c>
      <c r="AW5385" s="227"/>
      <c r="AX5385" s="227"/>
      <c r="AY5385" s="227"/>
      <c r="AZ5385" s="227"/>
      <c r="BA5385" s="227"/>
      <c r="BB5385" s="227"/>
      <c r="BC5385" s="227"/>
      <c r="BD5385" s="227"/>
      <c r="BE5385" s="227"/>
      <c r="BF5385" s="227"/>
    </row>
    <row r="5386">
      <c r="A5386" s="235" t="s">
        <v>39548</v>
      </c>
      <c r="C5386" s="235" t="s">
        <v>39549</v>
      </c>
      <c r="D5386" s="235" t="s">
        <v>39550</v>
      </c>
      <c r="E5386" s="243">
        <v>6.48E13</v>
      </c>
      <c r="F5386" s="245"/>
      <c r="G5386" s="235" t="s">
        <v>39551</v>
      </c>
      <c r="H5386" s="235" t="s">
        <v>39552</v>
      </c>
      <c r="I5386" s="235" t="s">
        <v>39552</v>
      </c>
      <c r="J5386" s="235" t="s">
        <v>39553</v>
      </c>
      <c r="K5386" s="235" t="s">
        <v>39554</v>
      </c>
      <c r="N5386" s="235" t="s">
        <v>127</v>
      </c>
      <c r="O5386" s="235" t="s">
        <v>794</v>
      </c>
      <c r="P5386" s="238">
        <v>1.0</v>
      </c>
      <c r="Q5386" s="235" t="s">
        <v>627</v>
      </c>
      <c r="R5386" s="238">
        <v>243.8</v>
      </c>
      <c r="S5386" s="238">
        <v>12.2</v>
      </c>
      <c r="T5386" s="238">
        <v>0.0</v>
      </c>
      <c r="U5386" s="238">
        <v>0.0</v>
      </c>
      <c r="V5386" s="238">
        <v>0.0</v>
      </c>
      <c r="W5386" s="238">
        <v>0.0</v>
      </c>
      <c r="X5386" s="235" t="s">
        <v>628</v>
      </c>
      <c r="Z5386" s="245"/>
      <c r="AA5386" s="245"/>
      <c r="AB5386" s="245"/>
      <c r="AC5386" s="235" t="s">
        <v>678</v>
      </c>
      <c r="AD5386" s="235" t="s">
        <v>679</v>
      </c>
      <c r="AE5386" s="238">
        <v>560076.0</v>
      </c>
      <c r="AF5386" s="235" t="s">
        <v>631</v>
      </c>
      <c r="AG5386" s="245"/>
      <c r="AH5386" s="245"/>
      <c r="AI5386" s="245"/>
      <c r="AJ5386" s="245"/>
      <c r="AK5386" s="245"/>
      <c r="AL5386" s="245"/>
      <c r="AM5386" s="245"/>
      <c r="AN5386" s="245"/>
      <c r="AO5386" s="238">
        <v>0.0</v>
      </c>
      <c r="AP5386" s="238">
        <v>0.0</v>
      </c>
      <c r="AQ5386" s="235" t="s">
        <v>632</v>
      </c>
      <c r="AR5386" s="243">
        <v>1.68E11</v>
      </c>
      <c r="AS5386" s="235" t="s">
        <v>39532</v>
      </c>
      <c r="AT5386" s="235" t="s">
        <v>11</v>
      </c>
      <c r="AU5386" s="235" t="s">
        <v>634</v>
      </c>
      <c r="AV5386" s="246" t="s">
        <v>635</v>
      </c>
      <c r="AW5386" s="227"/>
      <c r="AX5386" s="227"/>
      <c r="AY5386" s="227"/>
      <c r="AZ5386" s="227"/>
      <c r="BA5386" s="227"/>
      <c r="BB5386" s="227"/>
      <c r="BC5386" s="227"/>
      <c r="BD5386" s="227"/>
      <c r="BE5386" s="227"/>
      <c r="BF5386" s="227"/>
    </row>
    <row r="5387">
      <c r="A5387" s="227"/>
      <c r="B5387" s="348"/>
      <c r="C5387" s="227"/>
      <c r="D5387" s="227"/>
      <c r="E5387" s="231"/>
      <c r="F5387" s="348"/>
      <c r="G5387" s="227"/>
      <c r="H5387" s="227"/>
      <c r="I5387" s="227"/>
      <c r="J5387" s="227"/>
      <c r="K5387" s="227"/>
      <c r="L5387" s="348"/>
      <c r="M5387" s="348"/>
      <c r="N5387" s="227"/>
      <c r="O5387" s="227"/>
      <c r="P5387" s="231"/>
      <c r="Q5387" s="231"/>
      <c r="R5387" s="227"/>
      <c r="S5387" s="231"/>
      <c r="T5387" s="231"/>
      <c r="U5387" s="231"/>
      <c r="V5387" s="231"/>
      <c r="W5387" s="231"/>
      <c r="X5387" s="227"/>
      <c r="Y5387" s="348"/>
      <c r="Z5387" s="348"/>
      <c r="AA5387" s="348"/>
      <c r="AB5387" s="348"/>
      <c r="AC5387" s="227"/>
      <c r="AD5387" s="227"/>
      <c r="AE5387" s="231"/>
      <c r="AF5387" s="227"/>
      <c r="AG5387" s="348"/>
      <c r="AH5387" s="348"/>
      <c r="AI5387" s="348"/>
      <c r="AJ5387" s="348"/>
      <c r="AK5387" s="348"/>
      <c r="AL5387" s="348"/>
      <c r="AM5387" s="348"/>
      <c r="AN5387" s="348"/>
      <c r="AO5387" s="231"/>
      <c r="AP5387" s="231"/>
      <c r="AQ5387" s="227"/>
      <c r="AR5387" s="231"/>
      <c r="AS5387" s="227"/>
      <c r="AT5387" s="227"/>
      <c r="AU5387" s="227"/>
      <c r="AV5387" s="227"/>
      <c r="AW5387" s="227"/>
      <c r="AX5387" s="227"/>
      <c r="AY5387" s="227"/>
      <c r="AZ5387" s="227"/>
      <c r="BA5387" s="227"/>
      <c r="BB5387" s="227"/>
      <c r="BC5387" s="227"/>
      <c r="BD5387" s="227"/>
      <c r="BE5387" s="227"/>
      <c r="BF5387" s="227"/>
    </row>
    <row r="5388">
      <c r="A5388" s="227"/>
      <c r="B5388" s="348"/>
      <c r="C5388" s="227"/>
      <c r="D5388" s="227"/>
      <c r="E5388" s="231"/>
      <c r="F5388" s="348"/>
      <c r="G5388" s="227"/>
      <c r="H5388" s="227"/>
      <c r="I5388" s="227"/>
      <c r="J5388" s="227"/>
      <c r="K5388" s="227"/>
      <c r="L5388" s="348"/>
      <c r="M5388" s="348"/>
      <c r="N5388" s="227"/>
      <c r="O5388" s="227"/>
      <c r="P5388" s="231"/>
      <c r="Q5388" s="231"/>
      <c r="R5388" s="227"/>
      <c r="S5388" s="231"/>
      <c r="T5388" s="231"/>
      <c r="U5388" s="231"/>
      <c r="V5388" s="231"/>
      <c r="W5388" s="231"/>
      <c r="X5388" s="227"/>
      <c r="Y5388" s="348"/>
      <c r="Z5388" s="348"/>
      <c r="AA5388" s="348"/>
      <c r="AB5388" s="348"/>
      <c r="AC5388" s="227"/>
      <c r="AD5388" s="227"/>
      <c r="AE5388" s="231"/>
      <c r="AF5388" s="227"/>
      <c r="AG5388" s="348"/>
      <c r="AH5388" s="348"/>
      <c r="AI5388" s="348"/>
      <c r="AJ5388" s="348"/>
      <c r="AK5388" s="348"/>
      <c r="AL5388" s="348"/>
      <c r="AM5388" s="348"/>
      <c r="AN5388" s="348"/>
      <c r="AO5388" s="231"/>
      <c r="AP5388" s="231"/>
      <c r="AQ5388" s="227"/>
      <c r="AR5388" s="231"/>
      <c r="AS5388" s="227"/>
      <c r="AT5388" s="227"/>
      <c r="AU5388" s="227"/>
      <c r="AV5388" s="227"/>
      <c r="AW5388" s="227"/>
      <c r="AX5388" s="227"/>
      <c r="AY5388" s="227"/>
      <c r="AZ5388" s="227"/>
      <c r="BA5388" s="227"/>
      <c r="BB5388" s="227"/>
      <c r="BC5388" s="227"/>
      <c r="BD5388" s="227"/>
      <c r="BE5388" s="227"/>
      <c r="BF5388" s="227"/>
    </row>
    <row r="5389">
      <c r="A5389" s="227"/>
      <c r="B5389" s="348"/>
      <c r="C5389" s="227"/>
      <c r="D5389" s="227"/>
      <c r="E5389" s="231"/>
      <c r="F5389" s="348"/>
      <c r="G5389" s="227"/>
      <c r="H5389" s="227"/>
      <c r="I5389" s="227"/>
      <c r="J5389" s="227"/>
      <c r="K5389" s="227"/>
      <c r="L5389" s="348"/>
      <c r="M5389" s="348"/>
      <c r="N5389" s="227"/>
      <c r="O5389" s="227"/>
      <c r="P5389" s="231"/>
      <c r="Q5389" s="231"/>
      <c r="R5389" s="227"/>
      <c r="S5389" s="231"/>
      <c r="T5389" s="231"/>
      <c r="U5389" s="231"/>
      <c r="V5389" s="231"/>
      <c r="W5389" s="231"/>
      <c r="X5389" s="227"/>
      <c r="Y5389" s="348"/>
      <c r="Z5389" s="348"/>
      <c r="AA5389" s="348"/>
      <c r="AB5389" s="348"/>
      <c r="AC5389" s="227"/>
      <c r="AD5389" s="227"/>
      <c r="AE5389" s="231"/>
      <c r="AF5389" s="227"/>
      <c r="AG5389" s="348"/>
      <c r="AH5389" s="348"/>
      <c r="AI5389" s="348"/>
      <c r="AJ5389" s="348"/>
      <c r="AK5389" s="348"/>
      <c r="AL5389" s="348"/>
      <c r="AM5389" s="348"/>
      <c r="AN5389" s="348"/>
      <c r="AO5389" s="231"/>
      <c r="AP5389" s="231"/>
      <c r="AQ5389" s="227"/>
      <c r="AR5389" s="231"/>
      <c r="AS5389" s="227"/>
      <c r="AT5389" s="227"/>
      <c r="AU5389" s="227"/>
      <c r="AV5389" s="227"/>
      <c r="AW5389" s="227"/>
      <c r="AX5389" s="227"/>
      <c r="AY5389" s="227"/>
      <c r="AZ5389" s="227"/>
      <c r="BA5389" s="227"/>
      <c r="BB5389" s="227"/>
      <c r="BC5389" s="227"/>
      <c r="BD5389" s="227"/>
      <c r="BE5389" s="227"/>
      <c r="BF5389" s="227"/>
    </row>
    <row r="5390">
      <c r="A5390" s="227"/>
      <c r="B5390" s="348"/>
      <c r="C5390" s="227"/>
      <c r="D5390" s="227"/>
      <c r="E5390" s="231"/>
      <c r="F5390" s="348"/>
      <c r="G5390" s="227"/>
      <c r="H5390" s="227"/>
      <c r="I5390" s="227"/>
      <c r="J5390" s="227"/>
      <c r="K5390" s="227"/>
      <c r="L5390" s="348"/>
      <c r="M5390" s="348"/>
      <c r="N5390" s="227"/>
      <c r="O5390" s="227"/>
      <c r="P5390" s="231"/>
      <c r="Q5390" s="231"/>
      <c r="R5390" s="227"/>
      <c r="S5390" s="231"/>
      <c r="T5390" s="231"/>
      <c r="U5390" s="231"/>
      <c r="V5390" s="231"/>
      <c r="W5390" s="231"/>
      <c r="X5390" s="227"/>
      <c r="Y5390" s="348"/>
      <c r="Z5390" s="348"/>
      <c r="AA5390" s="348"/>
      <c r="AB5390" s="348"/>
      <c r="AC5390" s="227"/>
      <c r="AD5390" s="227"/>
      <c r="AE5390" s="231"/>
      <c r="AF5390" s="227"/>
      <c r="AG5390" s="348"/>
      <c r="AH5390" s="348"/>
      <c r="AI5390" s="348"/>
      <c r="AJ5390" s="348"/>
      <c r="AK5390" s="348"/>
      <c r="AL5390" s="348"/>
      <c r="AM5390" s="348"/>
      <c r="AN5390" s="348"/>
      <c r="AO5390" s="231"/>
      <c r="AP5390" s="231"/>
      <c r="AQ5390" s="227"/>
      <c r="AR5390" s="231"/>
      <c r="AS5390" s="227"/>
      <c r="AT5390" s="227"/>
      <c r="AU5390" s="227"/>
      <c r="AV5390" s="227"/>
      <c r="AW5390" s="227"/>
      <c r="AX5390" s="227"/>
      <c r="AY5390" s="227"/>
      <c r="AZ5390" s="227"/>
      <c r="BA5390" s="227"/>
      <c r="BB5390" s="227"/>
      <c r="BC5390" s="227"/>
      <c r="BD5390" s="227"/>
      <c r="BE5390" s="227"/>
      <c r="BF5390" s="227"/>
    </row>
    <row r="5391">
      <c r="A5391" s="227"/>
      <c r="B5391" s="348"/>
      <c r="C5391" s="227"/>
      <c r="D5391" s="227"/>
      <c r="E5391" s="231"/>
      <c r="F5391" s="348"/>
      <c r="G5391" s="227"/>
      <c r="H5391" s="227"/>
      <c r="I5391" s="227"/>
      <c r="J5391" s="227"/>
      <c r="K5391" s="227"/>
      <c r="L5391" s="348"/>
      <c r="M5391" s="348"/>
      <c r="N5391" s="227"/>
      <c r="O5391" s="227"/>
      <c r="P5391" s="231"/>
      <c r="Q5391" s="231"/>
      <c r="R5391" s="227"/>
      <c r="S5391" s="231"/>
      <c r="T5391" s="231"/>
      <c r="U5391" s="231"/>
      <c r="V5391" s="231"/>
      <c r="W5391" s="231"/>
      <c r="X5391" s="227"/>
      <c r="Y5391" s="348"/>
      <c r="Z5391" s="348"/>
      <c r="AA5391" s="348"/>
      <c r="AB5391" s="348"/>
      <c r="AC5391" s="227"/>
      <c r="AD5391" s="227"/>
      <c r="AE5391" s="231"/>
      <c r="AF5391" s="227"/>
      <c r="AG5391" s="348"/>
      <c r="AH5391" s="348"/>
      <c r="AI5391" s="348"/>
      <c r="AJ5391" s="348"/>
      <c r="AK5391" s="348"/>
      <c r="AL5391" s="348"/>
      <c r="AM5391" s="348"/>
      <c r="AN5391" s="348"/>
      <c r="AO5391" s="231"/>
      <c r="AP5391" s="231"/>
      <c r="AQ5391" s="227"/>
      <c r="AR5391" s="231"/>
      <c r="AS5391" s="227"/>
      <c r="AT5391" s="227"/>
      <c r="AU5391" s="227"/>
      <c r="AV5391" s="227"/>
      <c r="AW5391" s="227"/>
      <c r="AX5391" s="227"/>
      <c r="AY5391" s="227"/>
      <c r="AZ5391" s="227"/>
      <c r="BA5391" s="227"/>
      <c r="BB5391" s="227"/>
      <c r="BC5391" s="227"/>
      <c r="BD5391" s="227"/>
      <c r="BE5391" s="227"/>
      <c r="BF5391" s="227"/>
    </row>
    <row r="5392">
      <c r="A5392" s="227"/>
      <c r="B5392" s="348"/>
      <c r="C5392" s="227"/>
      <c r="D5392" s="227"/>
      <c r="E5392" s="231"/>
      <c r="F5392" s="348"/>
      <c r="G5392" s="227"/>
      <c r="H5392" s="227"/>
      <c r="I5392" s="227"/>
      <c r="J5392" s="227"/>
      <c r="K5392" s="227"/>
      <c r="L5392" s="348"/>
      <c r="M5392" s="348"/>
      <c r="N5392" s="227"/>
      <c r="O5392" s="227"/>
      <c r="P5392" s="231"/>
      <c r="Q5392" s="231"/>
      <c r="R5392" s="227"/>
      <c r="S5392" s="231"/>
      <c r="T5392" s="231"/>
      <c r="U5392" s="231"/>
      <c r="V5392" s="231"/>
      <c r="W5392" s="231"/>
      <c r="X5392" s="227"/>
      <c r="Y5392" s="348"/>
      <c r="Z5392" s="348"/>
      <c r="AA5392" s="348"/>
      <c r="AB5392" s="348"/>
      <c r="AC5392" s="227"/>
      <c r="AD5392" s="227"/>
      <c r="AE5392" s="231"/>
      <c r="AF5392" s="227"/>
      <c r="AG5392" s="348"/>
      <c r="AH5392" s="348"/>
      <c r="AI5392" s="348"/>
      <c r="AJ5392" s="348"/>
      <c r="AK5392" s="348"/>
      <c r="AL5392" s="348"/>
      <c r="AM5392" s="348"/>
      <c r="AN5392" s="348"/>
      <c r="AO5392" s="231"/>
      <c r="AP5392" s="231"/>
      <c r="AQ5392" s="227"/>
      <c r="AR5392" s="231"/>
      <c r="AS5392" s="227"/>
      <c r="AT5392" s="227"/>
      <c r="AU5392" s="227"/>
      <c r="AV5392" s="227"/>
      <c r="AW5392" s="227"/>
      <c r="AX5392" s="227"/>
      <c r="AY5392" s="227"/>
      <c r="AZ5392" s="227"/>
      <c r="BA5392" s="227"/>
      <c r="BB5392" s="227"/>
      <c r="BC5392" s="227"/>
      <c r="BD5392" s="227"/>
      <c r="BE5392" s="227"/>
      <c r="BF5392" s="227"/>
    </row>
    <row r="5393">
      <c r="A5393" s="227"/>
      <c r="B5393" s="348"/>
      <c r="C5393" s="227"/>
      <c r="D5393" s="227"/>
      <c r="E5393" s="231"/>
      <c r="F5393" s="348"/>
      <c r="G5393" s="227"/>
      <c r="H5393" s="227"/>
      <c r="I5393" s="227"/>
      <c r="J5393" s="227"/>
      <c r="K5393" s="227"/>
      <c r="L5393" s="348"/>
      <c r="M5393" s="348"/>
      <c r="N5393" s="227"/>
      <c r="O5393" s="227"/>
      <c r="P5393" s="231"/>
      <c r="Q5393" s="231"/>
      <c r="R5393" s="227"/>
      <c r="S5393" s="231"/>
      <c r="T5393" s="231"/>
      <c r="U5393" s="231"/>
      <c r="V5393" s="231"/>
      <c r="W5393" s="231"/>
      <c r="X5393" s="227"/>
      <c r="Y5393" s="348"/>
      <c r="Z5393" s="348"/>
      <c r="AA5393" s="348"/>
      <c r="AB5393" s="348"/>
      <c r="AC5393" s="227"/>
      <c r="AD5393" s="227"/>
      <c r="AE5393" s="231"/>
      <c r="AF5393" s="227"/>
      <c r="AG5393" s="348"/>
      <c r="AH5393" s="348"/>
      <c r="AI5393" s="348"/>
      <c r="AJ5393" s="348"/>
      <c r="AK5393" s="348"/>
      <c r="AL5393" s="348"/>
      <c r="AM5393" s="348"/>
      <c r="AN5393" s="348"/>
      <c r="AO5393" s="231"/>
      <c r="AP5393" s="231"/>
      <c r="AQ5393" s="227"/>
      <c r="AR5393" s="231"/>
      <c r="AS5393" s="227"/>
      <c r="AT5393" s="227"/>
      <c r="AU5393" s="227"/>
      <c r="AV5393" s="227"/>
      <c r="AW5393" s="227"/>
      <c r="AX5393" s="227"/>
      <c r="AY5393" s="227"/>
      <c r="AZ5393" s="227"/>
      <c r="BA5393" s="227"/>
      <c r="BB5393" s="227"/>
      <c r="BC5393" s="227"/>
      <c r="BD5393" s="227"/>
      <c r="BE5393" s="227"/>
      <c r="BF5393" s="227"/>
    </row>
    <row r="5394">
      <c r="A5394" s="227"/>
      <c r="B5394" s="348"/>
      <c r="C5394" s="227"/>
      <c r="D5394" s="227"/>
      <c r="E5394" s="231"/>
      <c r="F5394" s="348"/>
      <c r="G5394" s="227"/>
      <c r="H5394" s="227"/>
      <c r="I5394" s="227"/>
      <c r="J5394" s="227"/>
      <c r="K5394" s="227"/>
      <c r="L5394" s="348"/>
      <c r="M5394" s="348"/>
      <c r="N5394" s="227"/>
      <c r="O5394" s="227"/>
      <c r="P5394" s="231"/>
      <c r="Q5394" s="231"/>
      <c r="R5394" s="227"/>
      <c r="S5394" s="231"/>
      <c r="T5394" s="231"/>
      <c r="U5394" s="231"/>
      <c r="V5394" s="231"/>
      <c r="W5394" s="231"/>
      <c r="X5394" s="227"/>
      <c r="Y5394" s="348"/>
      <c r="Z5394" s="348"/>
      <c r="AA5394" s="348"/>
      <c r="AB5394" s="348"/>
      <c r="AC5394" s="227"/>
      <c r="AD5394" s="227"/>
      <c r="AE5394" s="231"/>
      <c r="AF5394" s="227"/>
      <c r="AG5394" s="348"/>
      <c r="AH5394" s="348"/>
      <c r="AI5394" s="348"/>
      <c r="AJ5394" s="348"/>
      <c r="AK5394" s="348"/>
      <c r="AL5394" s="348"/>
      <c r="AM5394" s="348"/>
      <c r="AN5394" s="348"/>
      <c r="AO5394" s="231"/>
      <c r="AP5394" s="231"/>
      <c r="AQ5394" s="227"/>
      <c r="AR5394" s="231"/>
      <c r="AS5394" s="227"/>
      <c r="AT5394" s="227"/>
      <c r="AU5394" s="227"/>
      <c r="AV5394" s="227"/>
      <c r="AW5394" s="227"/>
      <c r="AX5394" s="227"/>
      <c r="AY5394" s="227"/>
      <c r="AZ5394" s="227"/>
      <c r="BA5394" s="227"/>
      <c r="BB5394" s="227"/>
      <c r="BC5394" s="227"/>
      <c r="BD5394" s="227"/>
      <c r="BE5394" s="227"/>
      <c r="BF5394" s="227"/>
    </row>
    <row r="5395">
      <c r="A5395" s="227"/>
      <c r="B5395" s="348"/>
      <c r="C5395" s="227"/>
      <c r="D5395" s="227"/>
      <c r="E5395" s="231"/>
      <c r="F5395" s="348"/>
      <c r="G5395" s="227"/>
      <c r="H5395" s="227"/>
      <c r="I5395" s="227"/>
      <c r="J5395" s="227"/>
      <c r="K5395" s="227"/>
      <c r="L5395" s="348"/>
      <c r="M5395" s="348"/>
      <c r="N5395" s="227"/>
      <c r="O5395" s="227"/>
      <c r="P5395" s="231"/>
      <c r="Q5395" s="231"/>
      <c r="R5395" s="227"/>
      <c r="S5395" s="231"/>
      <c r="T5395" s="231"/>
      <c r="U5395" s="231"/>
      <c r="V5395" s="231"/>
      <c r="W5395" s="231"/>
      <c r="X5395" s="227"/>
      <c r="Y5395" s="348"/>
      <c r="Z5395" s="348"/>
      <c r="AA5395" s="348"/>
      <c r="AB5395" s="348"/>
      <c r="AC5395" s="227"/>
      <c r="AD5395" s="227"/>
      <c r="AE5395" s="231"/>
      <c r="AF5395" s="227"/>
      <c r="AG5395" s="348"/>
      <c r="AH5395" s="348"/>
      <c r="AI5395" s="348"/>
      <c r="AJ5395" s="348"/>
      <c r="AK5395" s="348"/>
      <c r="AL5395" s="348"/>
      <c r="AM5395" s="348"/>
      <c r="AN5395" s="348"/>
      <c r="AO5395" s="231"/>
      <c r="AP5395" s="231"/>
      <c r="AQ5395" s="227"/>
      <c r="AR5395" s="231"/>
      <c r="AS5395" s="227"/>
      <c r="AT5395" s="227"/>
      <c r="AU5395" s="227"/>
      <c r="AV5395" s="227"/>
      <c r="AW5395" s="227"/>
      <c r="AX5395" s="227"/>
      <c r="AY5395" s="227"/>
      <c r="AZ5395" s="227"/>
      <c r="BA5395" s="227"/>
      <c r="BB5395" s="227"/>
      <c r="BC5395" s="227"/>
      <c r="BD5395" s="227"/>
      <c r="BE5395" s="227"/>
      <c r="BF5395" s="227"/>
    </row>
    <row r="5396">
      <c r="A5396" s="227"/>
      <c r="B5396" s="348"/>
      <c r="C5396" s="227"/>
      <c r="D5396" s="227"/>
      <c r="E5396" s="231"/>
      <c r="F5396" s="348"/>
      <c r="G5396" s="227"/>
      <c r="H5396" s="227"/>
      <c r="I5396" s="227"/>
      <c r="J5396" s="227"/>
      <c r="K5396" s="227"/>
      <c r="L5396" s="348"/>
      <c r="M5396" s="348"/>
      <c r="N5396" s="227"/>
      <c r="O5396" s="227"/>
      <c r="P5396" s="231"/>
      <c r="Q5396" s="231"/>
      <c r="R5396" s="227"/>
      <c r="S5396" s="231"/>
      <c r="T5396" s="231"/>
      <c r="U5396" s="231"/>
      <c r="V5396" s="231"/>
      <c r="W5396" s="231"/>
      <c r="X5396" s="227"/>
      <c r="Y5396" s="348"/>
      <c r="Z5396" s="348"/>
      <c r="AA5396" s="348"/>
      <c r="AB5396" s="348"/>
      <c r="AC5396" s="227"/>
      <c r="AD5396" s="227"/>
      <c r="AE5396" s="231"/>
      <c r="AF5396" s="227"/>
      <c r="AG5396" s="348"/>
      <c r="AH5396" s="348"/>
      <c r="AI5396" s="348"/>
      <c r="AJ5396" s="348"/>
      <c r="AK5396" s="348"/>
      <c r="AL5396" s="348"/>
      <c r="AM5396" s="348"/>
      <c r="AN5396" s="348"/>
      <c r="AO5396" s="231"/>
      <c r="AP5396" s="231"/>
      <c r="AQ5396" s="227"/>
      <c r="AR5396" s="231"/>
      <c r="AS5396" s="227"/>
      <c r="AT5396" s="227"/>
      <c r="AU5396" s="227"/>
      <c r="AV5396" s="227"/>
      <c r="AW5396" s="227"/>
      <c r="AX5396" s="227"/>
      <c r="AY5396" s="227"/>
      <c r="AZ5396" s="227"/>
      <c r="BA5396" s="227"/>
      <c r="BB5396" s="227"/>
      <c r="BC5396" s="227"/>
      <c r="BD5396" s="227"/>
      <c r="BE5396" s="227"/>
      <c r="BF5396" s="227"/>
    </row>
    <row r="5397">
      <c r="A5397" s="227"/>
      <c r="B5397" s="348"/>
      <c r="C5397" s="227"/>
      <c r="D5397" s="227"/>
      <c r="E5397" s="231"/>
      <c r="F5397" s="348"/>
      <c r="G5397" s="227"/>
      <c r="H5397" s="227"/>
      <c r="I5397" s="227"/>
      <c r="J5397" s="227"/>
      <c r="K5397" s="227"/>
      <c r="L5397" s="348"/>
      <c r="M5397" s="348"/>
      <c r="N5397" s="227"/>
      <c r="O5397" s="227"/>
      <c r="P5397" s="231"/>
      <c r="Q5397" s="231"/>
      <c r="R5397" s="227"/>
      <c r="S5397" s="231"/>
      <c r="T5397" s="231"/>
      <c r="U5397" s="231"/>
      <c r="V5397" s="231"/>
      <c r="W5397" s="231"/>
      <c r="X5397" s="227"/>
      <c r="Y5397" s="348"/>
      <c r="Z5397" s="348"/>
      <c r="AA5397" s="348"/>
      <c r="AB5397" s="348"/>
      <c r="AC5397" s="227"/>
      <c r="AD5397" s="227"/>
      <c r="AE5397" s="231"/>
      <c r="AF5397" s="227"/>
      <c r="AG5397" s="348"/>
      <c r="AH5397" s="348"/>
      <c r="AI5397" s="348"/>
      <c r="AJ5397" s="348"/>
      <c r="AK5397" s="348"/>
      <c r="AL5397" s="348"/>
      <c r="AM5397" s="348"/>
      <c r="AN5397" s="348"/>
      <c r="AO5397" s="231"/>
      <c r="AP5397" s="231"/>
      <c r="AQ5397" s="227"/>
      <c r="AR5397" s="231"/>
      <c r="AS5397" s="227"/>
      <c r="AT5397" s="227"/>
      <c r="AU5397" s="227"/>
      <c r="AV5397" s="227"/>
      <c r="AW5397" s="227"/>
      <c r="AX5397" s="227"/>
      <c r="AY5397" s="227"/>
      <c r="AZ5397" s="227"/>
      <c r="BA5397" s="227"/>
      <c r="BB5397" s="227"/>
      <c r="BC5397" s="227"/>
      <c r="BD5397" s="227"/>
      <c r="BE5397" s="227"/>
      <c r="BF5397" s="227"/>
    </row>
    <row r="5398">
      <c r="A5398" s="227"/>
      <c r="B5398" s="348"/>
      <c r="C5398" s="227"/>
      <c r="D5398" s="227"/>
      <c r="E5398" s="231"/>
      <c r="F5398" s="348"/>
      <c r="G5398" s="227"/>
      <c r="H5398" s="227"/>
      <c r="I5398" s="227"/>
      <c r="J5398" s="227"/>
      <c r="K5398" s="227"/>
      <c r="L5398" s="348"/>
      <c r="M5398" s="348"/>
      <c r="N5398" s="227"/>
      <c r="O5398" s="227"/>
      <c r="P5398" s="231"/>
      <c r="Q5398" s="231"/>
      <c r="R5398" s="227"/>
      <c r="S5398" s="231"/>
      <c r="T5398" s="231"/>
      <c r="U5398" s="231"/>
      <c r="V5398" s="231"/>
      <c r="W5398" s="231"/>
      <c r="X5398" s="227"/>
      <c r="Y5398" s="348"/>
      <c r="Z5398" s="348"/>
      <c r="AA5398" s="348"/>
      <c r="AB5398" s="348"/>
      <c r="AC5398" s="227"/>
      <c r="AD5398" s="227"/>
      <c r="AE5398" s="231"/>
      <c r="AF5398" s="227"/>
      <c r="AG5398" s="348"/>
      <c r="AH5398" s="348"/>
      <c r="AI5398" s="348"/>
      <c r="AJ5398" s="348"/>
      <c r="AK5398" s="348"/>
      <c r="AL5398" s="348"/>
      <c r="AM5398" s="348"/>
      <c r="AN5398" s="348"/>
      <c r="AO5398" s="231"/>
      <c r="AP5398" s="231"/>
      <c r="AQ5398" s="227"/>
      <c r="AR5398" s="231"/>
      <c r="AS5398" s="227"/>
      <c r="AT5398" s="227"/>
      <c r="AU5398" s="227"/>
      <c r="AV5398" s="227"/>
      <c r="AW5398" s="227"/>
      <c r="AX5398" s="227"/>
      <c r="AY5398" s="227"/>
      <c r="AZ5398" s="227"/>
      <c r="BA5398" s="227"/>
      <c r="BB5398" s="227"/>
      <c r="BC5398" s="227"/>
      <c r="BD5398" s="227"/>
      <c r="BE5398" s="227"/>
      <c r="BF5398" s="227"/>
    </row>
    <row r="5399">
      <c r="A5399" s="227"/>
      <c r="B5399" s="348"/>
      <c r="C5399" s="227"/>
      <c r="D5399" s="227"/>
      <c r="E5399" s="231"/>
      <c r="F5399" s="348"/>
      <c r="G5399" s="227"/>
      <c r="H5399" s="227"/>
      <c r="I5399" s="227"/>
      <c r="J5399" s="227"/>
      <c r="K5399" s="227"/>
      <c r="L5399" s="348"/>
      <c r="M5399" s="348"/>
      <c r="N5399" s="227"/>
      <c r="O5399" s="227"/>
      <c r="P5399" s="231"/>
      <c r="Q5399" s="231"/>
      <c r="R5399" s="227"/>
      <c r="S5399" s="231"/>
      <c r="T5399" s="231"/>
      <c r="U5399" s="231"/>
      <c r="V5399" s="231"/>
      <c r="W5399" s="231"/>
      <c r="X5399" s="227"/>
      <c r="Y5399" s="348"/>
      <c r="Z5399" s="348"/>
      <c r="AA5399" s="348"/>
      <c r="AB5399" s="348"/>
      <c r="AC5399" s="227"/>
      <c r="AD5399" s="227"/>
      <c r="AE5399" s="231"/>
      <c r="AF5399" s="227"/>
      <c r="AG5399" s="348"/>
      <c r="AH5399" s="348"/>
      <c r="AI5399" s="348"/>
      <c r="AJ5399" s="348"/>
      <c r="AK5399" s="348"/>
      <c r="AL5399" s="348"/>
      <c r="AM5399" s="348"/>
      <c r="AN5399" s="348"/>
      <c r="AO5399" s="231"/>
      <c r="AP5399" s="231"/>
      <c r="AQ5399" s="227"/>
      <c r="AR5399" s="231"/>
      <c r="AS5399" s="227"/>
      <c r="AT5399" s="227"/>
      <c r="AU5399" s="227"/>
      <c r="AV5399" s="227"/>
      <c r="AW5399" s="227"/>
      <c r="AX5399" s="227"/>
      <c r="AY5399" s="227"/>
      <c r="AZ5399" s="227"/>
      <c r="BA5399" s="227"/>
      <c r="BB5399" s="227"/>
      <c r="BC5399" s="227"/>
      <c r="BD5399" s="227"/>
      <c r="BE5399" s="227"/>
      <c r="BF5399" s="227"/>
    </row>
    <row r="5400">
      <c r="A5400" s="227"/>
      <c r="B5400" s="348"/>
      <c r="C5400" s="227"/>
      <c r="D5400" s="227"/>
      <c r="E5400" s="231"/>
      <c r="F5400" s="348"/>
      <c r="G5400" s="227"/>
      <c r="H5400" s="227"/>
      <c r="I5400" s="227"/>
      <c r="J5400" s="227"/>
      <c r="K5400" s="227"/>
      <c r="L5400" s="348"/>
      <c r="M5400" s="348"/>
      <c r="N5400" s="227"/>
      <c r="O5400" s="227"/>
      <c r="P5400" s="231"/>
      <c r="Q5400" s="231"/>
      <c r="R5400" s="227"/>
      <c r="S5400" s="231"/>
      <c r="T5400" s="231"/>
      <c r="U5400" s="231"/>
      <c r="V5400" s="231"/>
      <c r="W5400" s="231"/>
      <c r="X5400" s="227"/>
      <c r="Y5400" s="348"/>
      <c r="Z5400" s="348"/>
      <c r="AA5400" s="348"/>
      <c r="AB5400" s="348"/>
      <c r="AC5400" s="227"/>
      <c r="AD5400" s="227"/>
      <c r="AE5400" s="231"/>
      <c r="AF5400" s="227"/>
      <c r="AG5400" s="348"/>
      <c r="AH5400" s="348"/>
      <c r="AI5400" s="348"/>
      <c r="AJ5400" s="348"/>
      <c r="AK5400" s="348"/>
      <c r="AL5400" s="348"/>
      <c r="AM5400" s="348"/>
      <c r="AN5400" s="348"/>
      <c r="AO5400" s="231"/>
      <c r="AP5400" s="231"/>
      <c r="AQ5400" s="227"/>
      <c r="AR5400" s="231"/>
      <c r="AS5400" s="227"/>
      <c r="AT5400" s="227"/>
      <c r="AU5400" s="227"/>
      <c r="AV5400" s="227"/>
      <c r="AW5400" s="227"/>
      <c r="AX5400" s="227"/>
      <c r="AY5400" s="227"/>
      <c r="AZ5400" s="227"/>
      <c r="BA5400" s="227"/>
      <c r="BB5400" s="227"/>
      <c r="BC5400" s="227"/>
      <c r="BD5400" s="227"/>
      <c r="BE5400" s="227"/>
      <c r="BF5400" s="227"/>
    </row>
    <row r="5401">
      <c r="A5401" s="227"/>
      <c r="B5401" s="348"/>
      <c r="C5401" s="227"/>
      <c r="D5401" s="227"/>
      <c r="E5401" s="231"/>
      <c r="F5401" s="348"/>
      <c r="G5401" s="227"/>
      <c r="H5401" s="227"/>
      <c r="I5401" s="227"/>
      <c r="J5401" s="227"/>
      <c r="K5401" s="227"/>
      <c r="L5401" s="348"/>
      <c r="M5401" s="348"/>
      <c r="N5401" s="227"/>
      <c r="O5401" s="227"/>
      <c r="P5401" s="231"/>
      <c r="Q5401" s="231"/>
      <c r="R5401" s="227"/>
      <c r="S5401" s="231"/>
      <c r="T5401" s="231"/>
      <c r="U5401" s="231"/>
      <c r="V5401" s="231"/>
      <c r="W5401" s="231"/>
      <c r="X5401" s="227"/>
      <c r="Y5401" s="348"/>
      <c r="Z5401" s="348"/>
      <c r="AA5401" s="348"/>
      <c r="AB5401" s="348"/>
      <c r="AC5401" s="227"/>
      <c r="AD5401" s="227"/>
      <c r="AE5401" s="231"/>
      <c r="AF5401" s="227"/>
      <c r="AG5401" s="348"/>
      <c r="AH5401" s="348"/>
      <c r="AI5401" s="348"/>
      <c r="AJ5401" s="348"/>
      <c r="AK5401" s="348"/>
      <c r="AL5401" s="348"/>
      <c r="AM5401" s="348"/>
      <c r="AN5401" s="348"/>
      <c r="AO5401" s="231"/>
      <c r="AP5401" s="231"/>
      <c r="AQ5401" s="227"/>
      <c r="AR5401" s="231"/>
      <c r="AS5401" s="227"/>
      <c r="AT5401" s="227"/>
      <c r="AU5401" s="227"/>
      <c r="AV5401" s="227"/>
      <c r="AW5401" s="227"/>
      <c r="AX5401" s="227"/>
      <c r="AY5401" s="227"/>
      <c r="AZ5401" s="227"/>
      <c r="BA5401" s="227"/>
      <c r="BB5401" s="227"/>
      <c r="BC5401" s="227"/>
      <c r="BD5401" s="227"/>
      <c r="BE5401" s="227"/>
      <c r="BF5401" s="227"/>
    </row>
    <row r="5402">
      <c r="A5402" s="227"/>
      <c r="B5402" s="348"/>
      <c r="C5402" s="227"/>
      <c r="D5402" s="227"/>
      <c r="E5402" s="231"/>
      <c r="F5402" s="348"/>
      <c r="G5402" s="227"/>
      <c r="H5402" s="227"/>
      <c r="I5402" s="227"/>
      <c r="J5402" s="227"/>
      <c r="K5402" s="227"/>
      <c r="L5402" s="348"/>
      <c r="M5402" s="348"/>
      <c r="N5402" s="227"/>
      <c r="O5402" s="227"/>
      <c r="P5402" s="231"/>
      <c r="Q5402" s="231"/>
      <c r="R5402" s="227"/>
      <c r="S5402" s="231"/>
      <c r="T5402" s="231"/>
      <c r="U5402" s="231"/>
      <c r="V5402" s="231"/>
      <c r="W5402" s="231"/>
      <c r="X5402" s="227"/>
      <c r="Y5402" s="348"/>
      <c r="Z5402" s="348"/>
      <c r="AA5402" s="348"/>
      <c r="AB5402" s="348"/>
      <c r="AC5402" s="227"/>
      <c r="AD5402" s="227"/>
      <c r="AE5402" s="231"/>
      <c r="AF5402" s="227"/>
      <c r="AG5402" s="348"/>
      <c r="AH5402" s="348"/>
      <c r="AI5402" s="348"/>
      <c r="AJ5402" s="348"/>
      <c r="AK5402" s="348"/>
      <c r="AL5402" s="348"/>
      <c r="AM5402" s="348"/>
      <c r="AN5402" s="348"/>
      <c r="AO5402" s="231"/>
      <c r="AP5402" s="231"/>
      <c r="AQ5402" s="227"/>
      <c r="AR5402" s="231"/>
      <c r="AS5402" s="227"/>
      <c r="AT5402" s="227"/>
      <c r="AU5402" s="227"/>
      <c r="AV5402" s="227"/>
      <c r="AW5402" s="227"/>
      <c r="AX5402" s="227"/>
      <c r="AY5402" s="227"/>
      <c r="AZ5402" s="227"/>
      <c r="BA5402" s="227"/>
      <c r="BB5402" s="227"/>
      <c r="BC5402" s="227"/>
      <c r="BD5402" s="227"/>
      <c r="BE5402" s="227"/>
      <c r="BF5402" s="227"/>
    </row>
    <row r="5403">
      <c r="A5403" s="227"/>
      <c r="B5403" s="348"/>
      <c r="C5403" s="227"/>
      <c r="D5403" s="227"/>
      <c r="E5403" s="231"/>
      <c r="F5403" s="348"/>
      <c r="G5403" s="227"/>
      <c r="H5403" s="227"/>
      <c r="I5403" s="227"/>
      <c r="J5403" s="227"/>
      <c r="K5403" s="227"/>
      <c r="L5403" s="348"/>
      <c r="M5403" s="348"/>
      <c r="N5403" s="227"/>
      <c r="O5403" s="227"/>
      <c r="P5403" s="231"/>
      <c r="Q5403" s="231"/>
      <c r="R5403" s="227"/>
      <c r="S5403" s="231"/>
      <c r="T5403" s="231"/>
      <c r="U5403" s="231"/>
      <c r="V5403" s="231"/>
      <c r="W5403" s="231"/>
      <c r="X5403" s="227"/>
      <c r="Y5403" s="348"/>
      <c r="Z5403" s="348"/>
      <c r="AA5403" s="348"/>
      <c r="AB5403" s="348"/>
      <c r="AC5403" s="227"/>
      <c r="AD5403" s="227"/>
      <c r="AE5403" s="231"/>
      <c r="AF5403" s="227"/>
      <c r="AG5403" s="348"/>
      <c r="AH5403" s="348"/>
      <c r="AI5403" s="348"/>
      <c r="AJ5403" s="348"/>
      <c r="AK5403" s="348"/>
      <c r="AL5403" s="348"/>
      <c r="AM5403" s="348"/>
      <c r="AN5403" s="348"/>
      <c r="AO5403" s="231"/>
      <c r="AP5403" s="231"/>
      <c r="AQ5403" s="227"/>
      <c r="AR5403" s="231"/>
      <c r="AS5403" s="227"/>
      <c r="AT5403" s="227"/>
      <c r="AU5403" s="227"/>
      <c r="AV5403" s="227"/>
      <c r="AW5403" s="227"/>
      <c r="AX5403" s="227"/>
      <c r="AY5403" s="227"/>
      <c r="AZ5403" s="227"/>
      <c r="BA5403" s="227"/>
      <c r="BB5403" s="227"/>
      <c r="BC5403" s="227"/>
      <c r="BD5403" s="227"/>
      <c r="BE5403" s="227"/>
      <c r="BF5403" s="227"/>
    </row>
    <row r="5404">
      <c r="A5404" s="227"/>
      <c r="B5404" s="348"/>
      <c r="C5404" s="227"/>
      <c r="D5404" s="227"/>
      <c r="E5404" s="231"/>
      <c r="F5404" s="348"/>
      <c r="G5404" s="227"/>
      <c r="H5404" s="227"/>
      <c r="I5404" s="227"/>
      <c r="J5404" s="227"/>
      <c r="K5404" s="227"/>
      <c r="L5404" s="348"/>
      <c r="M5404" s="348"/>
      <c r="N5404" s="227"/>
      <c r="O5404" s="227"/>
      <c r="P5404" s="231"/>
      <c r="Q5404" s="231"/>
      <c r="R5404" s="227"/>
      <c r="S5404" s="231"/>
      <c r="T5404" s="231"/>
      <c r="U5404" s="231"/>
      <c r="V5404" s="231"/>
      <c r="W5404" s="231"/>
      <c r="X5404" s="227"/>
      <c r="Y5404" s="348"/>
      <c r="Z5404" s="348"/>
      <c r="AA5404" s="348"/>
      <c r="AB5404" s="348"/>
      <c r="AC5404" s="227"/>
      <c r="AD5404" s="227"/>
      <c r="AE5404" s="231"/>
      <c r="AF5404" s="227"/>
      <c r="AG5404" s="348"/>
      <c r="AH5404" s="348"/>
      <c r="AI5404" s="348"/>
      <c r="AJ5404" s="348"/>
      <c r="AK5404" s="348"/>
      <c r="AL5404" s="348"/>
      <c r="AM5404" s="348"/>
      <c r="AN5404" s="348"/>
      <c r="AO5404" s="231"/>
      <c r="AP5404" s="231"/>
      <c r="AQ5404" s="227"/>
      <c r="AR5404" s="231"/>
      <c r="AS5404" s="227"/>
      <c r="AT5404" s="227"/>
      <c r="AU5404" s="227"/>
      <c r="AV5404" s="227"/>
      <c r="AW5404" s="227"/>
      <c r="AX5404" s="227"/>
      <c r="AY5404" s="227"/>
      <c r="AZ5404" s="227"/>
      <c r="BA5404" s="227"/>
      <c r="BB5404" s="227"/>
      <c r="BC5404" s="227"/>
      <c r="BD5404" s="227"/>
      <c r="BE5404" s="227"/>
      <c r="BF5404" s="227"/>
    </row>
    <row r="5405">
      <c r="A5405" s="227"/>
      <c r="B5405" s="348"/>
      <c r="C5405" s="227"/>
      <c r="D5405" s="227"/>
      <c r="E5405" s="231"/>
      <c r="F5405" s="348"/>
      <c r="G5405" s="227"/>
      <c r="H5405" s="227"/>
      <c r="I5405" s="227"/>
      <c r="J5405" s="227"/>
      <c r="K5405" s="227"/>
      <c r="L5405" s="348"/>
      <c r="M5405" s="348"/>
      <c r="N5405" s="227"/>
      <c r="O5405" s="227"/>
      <c r="P5405" s="231"/>
      <c r="Q5405" s="231"/>
      <c r="R5405" s="227"/>
      <c r="S5405" s="231"/>
      <c r="T5405" s="231"/>
      <c r="U5405" s="231"/>
      <c r="V5405" s="231"/>
      <c r="W5405" s="231"/>
      <c r="X5405" s="227"/>
      <c r="Y5405" s="348"/>
      <c r="Z5405" s="348"/>
      <c r="AA5405" s="348"/>
      <c r="AB5405" s="348"/>
      <c r="AC5405" s="227"/>
      <c r="AD5405" s="227"/>
      <c r="AE5405" s="231"/>
      <c r="AF5405" s="227"/>
      <c r="AG5405" s="348"/>
      <c r="AH5405" s="348"/>
      <c r="AI5405" s="348"/>
      <c r="AJ5405" s="348"/>
      <c r="AK5405" s="348"/>
      <c r="AL5405" s="348"/>
      <c r="AM5405" s="348"/>
      <c r="AN5405" s="348"/>
      <c r="AO5405" s="231"/>
      <c r="AP5405" s="231"/>
      <c r="AQ5405" s="227"/>
      <c r="AR5405" s="231"/>
      <c r="AS5405" s="227"/>
      <c r="AT5405" s="227"/>
      <c r="AU5405" s="227"/>
      <c r="AV5405" s="227"/>
      <c r="AW5405" s="227"/>
      <c r="AX5405" s="227"/>
      <c r="AY5405" s="227"/>
      <c r="AZ5405" s="227"/>
      <c r="BA5405" s="227"/>
      <c r="BB5405" s="227"/>
      <c r="BC5405" s="227"/>
      <c r="BD5405" s="227"/>
      <c r="BE5405" s="227"/>
      <c r="BF5405" s="227"/>
    </row>
    <row r="5406">
      <c r="A5406" s="227"/>
      <c r="B5406" s="348"/>
      <c r="C5406" s="227"/>
      <c r="D5406" s="227"/>
      <c r="E5406" s="231"/>
      <c r="F5406" s="348"/>
      <c r="G5406" s="227"/>
      <c r="H5406" s="227"/>
      <c r="I5406" s="227"/>
      <c r="J5406" s="227"/>
      <c r="K5406" s="227"/>
      <c r="L5406" s="348"/>
      <c r="M5406" s="348"/>
      <c r="N5406" s="227"/>
      <c r="O5406" s="227"/>
      <c r="P5406" s="231"/>
      <c r="Q5406" s="231"/>
      <c r="R5406" s="227"/>
      <c r="S5406" s="231"/>
      <c r="T5406" s="231"/>
      <c r="U5406" s="231"/>
      <c r="V5406" s="231"/>
      <c r="W5406" s="231"/>
      <c r="X5406" s="227"/>
      <c r="Y5406" s="348"/>
      <c r="Z5406" s="348"/>
      <c r="AA5406" s="348"/>
      <c r="AB5406" s="348"/>
      <c r="AC5406" s="227"/>
      <c r="AD5406" s="227"/>
      <c r="AE5406" s="231"/>
      <c r="AF5406" s="227"/>
      <c r="AG5406" s="348"/>
      <c r="AH5406" s="348"/>
      <c r="AI5406" s="348"/>
      <c r="AJ5406" s="348"/>
      <c r="AK5406" s="348"/>
      <c r="AL5406" s="348"/>
      <c r="AM5406" s="348"/>
      <c r="AN5406" s="348"/>
      <c r="AO5406" s="231"/>
      <c r="AP5406" s="231"/>
      <c r="AQ5406" s="227"/>
      <c r="AR5406" s="231"/>
      <c r="AS5406" s="227"/>
      <c r="AT5406" s="227"/>
      <c r="AU5406" s="227"/>
      <c r="AV5406" s="227"/>
      <c r="AW5406" s="227"/>
      <c r="AX5406" s="227"/>
      <c r="AY5406" s="227"/>
      <c r="AZ5406" s="227"/>
      <c r="BA5406" s="227"/>
      <c r="BB5406" s="227"/>
      <c r="BC5406" s="227"/>
      <c r="BD5406" s="227"/>
      <c r="BE5406" s="227"/>
      <c r="BF5406" s="227"/>
    </row>
    <row r="5407">
      <c r="A5407" s="227"/>
      <c r="B5407" s="348"/>
      <c r="C5407" s="227"/>
      <c r="D5407" s="227"/>
      <c r="E5407" s="231"/>
      <c r="F5407" s="348"/>
      <c r="G5407" s="227"/>
      <c r="H5407" s="227"/>
      <c r="I5407" s="227"/>
      <c r="J5407" s="227"/>
      <c r="K5407" s="227"/>
      <c r="L5407" s="348"/>
      <c r="M5407" s="348"/>
      <c r="N5407" s="227"/>
      <c r="O5407" s="227"/>
      <c r="P5407" s="231"/>
      <c r="Q5407" s="231"/>
      <c r="R5407" s="227"/>
      <c r="S5407" s="231"/>
      <c r="T5407" s="231"/>
      <c r="U5407" s="231"/>
      <c r="V5407" s="231"/>
      <c r="W5407" s="231"/>
      <c r="X5407" s="227"/>
      <c r="Y5407" s="348"/>
      <c r="Z5407" s="348"/>
      <c r="AA5407" s="348"/>
      <c r="AB5407" s="348"/>
      <c r="AC5407" s="227"/>
      <c r="AD5407" s="227"/>
      <c r="AE5407" s="231"/>
      <c r="AF5407" s="227"/>
      <c r="AG5407" s="348"/>
      <c r="AH5407" s="348"/>
      <c r="AI5407" s="348"/>
      <c r="AJ5407" s="348"/>
      <c r="AK5407" s="348"/>
      <c r="AL5407" s="348"/>
      <c r="AM5407" s="348"/>
      <c r="AN5407" s="348"/>
      <c r="AO5407" s="231"/>
      <c r="AP5407" s="231"/>
      <c r="AQ5407" s="227"/>
      <c r="AR5407" s="231"/>
      <c r="AS5407" s="227"/>
      <c r="AT5407" s="227"/>
      <c r="AU5407" s="227"/>
      <c r="AV5407" s="227"/>
      <c r="AW5407" s="227"/>
      <c r="AX5407" s="227"/>
      <c r="AY5407" s="227"/>
      <c r="AZ5407" s="227"/>
      <c r="BA5407" s="227"/>
      <c r="BB5407" s="227"/>
      <c r="BC5407" s="227"/>
      <c r="BD5407" s="227"/>
      <c r="BE5407" s="227"/>
      <c r="BF5407" s="227"/>
    </row>
    <row r="5408">
      <c r="A5408" s="227"/>
      <c r="B5408" s="348"/>
      <c r="C5408" s="227"/>
      <c r="D5408" s="227"/>
      <c r="E5408" s="231"/>
      <c r="F5408" s="348"/>
      <c r="G5408" s="227"/>
      <c r="H5408" s="227"/>
      <c r="I5408" s="227"/>
      <c r="J5408" s="227"/>
      <c r="K5408" s="227"/>
      <c r="L5408" s="348"/>
      <c r="M5408" s="348"/>
      <c r="N5408" s="227"/>
      <c r="O5408" s="227"/>
      <c r="P5408" s="231"/>
      <c r="Q5408" s="231"/>
      <c r="R5408" s="227"/>
      <c r="S5408" s="231"/>
      <c r="T5408" s="231"/>
      <c r="U5408" s="231"/>
      <c r="V5408" s="231"/>
      <c r="W5408" s="231"/>
      <c r="X5408" s="227"/>
      <c r="Y5408" s="348"/>
      <c r="Z5408" s="348"/>
      <c r="AA5408" s="348"/>
      <c r="AB5408" s="348"/>
      <c r="AC5408" s="227"/>
      <c r="AD5408" s="227"/>
      <c r="AE5408" s="231"/>
      <c r="AF5408" s="227"/>
      <c r="AG5408" s="348"/>
      <c r="AH5408" s="348"/>
      <c r="AI5408" s="348"/>
      <c r="AJ5408" s="348"/>
      <c r="AK5408" s="348"/>
      <c r="AL5408" s="348"/>
      <c r="AM5408" s="348"/>
      <c r="AN5408" s="348"/>
      <c r="AO5408" s="231"/>
      <c r="AP5408" s="231"/>
      <c r="AQ5408" s="227"/>
      <c r="AR5408" s="231"/>
      <c r="AS5408" s="227"/>
      <c r="AT5408" s="227"/>
      <c r="AU5408" s="227"/>
      <c r="AV5408" s="227"/>
      <c r="AW5408" s="227"/>
      <c r="AX5408" s="227"/>
      <c r="AY5408" s="227"/>
      <c r="AZ5408" s="227"/>
      <c r="BA5408" s="227"/>
      <c r="BB5408" s="227"/>
      <c r="BC5408" s="227"/>
      <c r="BD5408" s="227"/>
      <c r="BE5408" s="227"/>
      <c r="BF5408" s="227"/>
    </row>
    <row r="5409">
      <c r="A5409" s="227"/>
      <c r="B5409" s="348"/>
      <c r="C5409" s="227"/>
      <c r="D5409" s="227"/>
      <c r="E5409" s="231"/>
      <c r="F5409" s="348"/>
      <c r="G5409" s="227"/>
      <c r="H5409" s="227"/>
      <c r="I5409" s="227"/>
      <c r="J5409" s="227"/>
      <c r="K5409" s="227"/>
      <c r="L5409" s="348"/>
      <c r="M5409" s="348"/>
      <c r="N5409" s="227"/>
      <c r="O5409" s="227"/>
      <c r="P5409" s="231"/>
      <c r="Q5409" s="231"/>
      <c r="R5409" s="227"/>
      <c r="S5409" s="231"/>
      <c r="T5409" s="231"/>
      <c r="U5409" s="231"/>
      <c r="V5409" s="231"/>
      <c r="W5409" s="231"/>
      <c r="X5409" s="227"/>
      <c r="Y5409" s="348"/>
      <c r="Z5409" s="348"/>
      <c r="AA5409" s="348"/>
      <c r="AB5409" s="348"/>
      <c r="AC5409" s="227"/>
      <c r="AD5409" s="227"/>
      <c r="AE5409" s="231"/>
      <c r="AF5409" s="227"/>
      <c r="AG5409" s="348"/>
      <c r="AH5409" s="348"/>
      <c r="AI5409" s="348"/>
      <c r="AJ5409" s="348"/>
      <c r="AK5409" s="348"/>
      <c r="AL5409" s="348"/>
      <c r="AM5409" s="348"/>
      <c r="AN5409" s="348"/>
      <c r="AO5409" s="231"/>
      <c r="AP5409" s="231"/>
      <c r="AQ5409" s="227"/>
      <c r="AR5409" s="231"/>
      <c r="AS5409" s="227"/>
      <c r="AT5409" s="227"/>
      <c r="AU5409" s="227"/>
      <c r="AV5409" s="227"/>
      <c r="AW5409" s="227"/>
      <c r="AX5409" s="227"/>
      <c r="AY5409" s="227"/>
      <c r="AZ5409" s="227"/>
      <c r="BA5409" s="227"/>
      <c r="BB5409" s="227"/>
      <c r="BC5409" s="227"/>
      <c r="BD5409" s="227"/>
      <c r="BE5409" s="227"/>
      <c r="BF5409" s="227"/>
    </row>
    <row r="5410">
      <c r="A5410" s="227"/>
      <c r="B5410" s="348"/>
      <c r="C5410" s="227"/>
      <c r="D5410" s="227"/>
      <c r="E5410" s="231"/>
      <c r="F5410" s="348"/>
      <c r="G5410" s="227"/>
      <c r="H5410" s="227"/>
      <c r="I5410" s="227"/>
      <c r="J5410" s="227"/>
      <c r="K5410" s="227"/>
      <c r="L5410" s="348"/>
      <c r="M5410" s="348"/>
      <c r="N5410" s="227"/>
      <c r="O5410" s="227"/>
      <c r="P5410" s="231"/>
      <c r="Q5410" s="231"/>
      <c r="R5410" s="227"/>
      <c r="S5410" s="231"/>
      <c r="T5410" s="231"/>
      <c r="U5410" s="231"/>
      <c r="V5410" s="231"/>
      <c r="W5410" s="231"/>
      <c r="X5410" s="227"/>
      <c r="Y5410" s="348"/>
      <c r="Z5410" s="348"/>
      <c r="AA5410" s="348"/>
      <c r="AB5410" s="348"/>
      <c r="AC5410" s="227"/>
      <c r="AD5410" s="227"/>
      <c r="AE5410" s="231"/>
      <c r="AF5410" s="227"/>
      <c r="AG5410" s="348"/>
      <c r="AH5410" s="348"/>
      <c r="AI5410" s="348"/>
      <c r="AJ5410" s="348"/>
      <c r="AK5410" s="348"/>
      <c r="AL5410" s="348"/>
      <c r="AM5410" s="348"/>
      <c r="AN5410" s="348"/>
      <c r="AO5410" s="231"/>
      <c r="AP5410" s="231"/>
      <c r="AQ5410" s="227"/>
      <c r="AR5410" s="231"/>
      <c r="AS5410" s="227"/>
      <c r="AT5410" s="227"/>
      <c r="AU5410" s="227"/>
      <c r="AV5410" s="227"/>
      <c r="AW5410" s="227"/>
      <c r="AX5410" s="227"/>
      <c r="AY5410" s="227"/>
      <c r="AZ5410" s="227"/>
      <c r="BA5410" s="227"/>
      <c r="BB5410" s="227"/>
      <c r="BC5410" s="227"/>
      <c r="BD5410" s="227"/>
      <c r="BE5410" s="227"/>
      <c r="BF5410" s="227"/>
    </row>
    <row r="5411">
      <c r="A5411" s="227"/>
      <c r="B5411" s="348"/>
      <c r="C5411" s="227"/>
      <c r="D5411" s="227"/>
      <c r="E5411" s="231"/>
      <c r="F5411" s="348"/>
      <c r="G5411" s="227"/>
      <c r="H5411" s="227"/>
      <c r="I5411" s="227"/>
      <c r="J5411" s="227"/>
      <c r="K5411" s="227"/>
      <c r="L5411" s="348"/>
      <c r="M5411" s="348"/>
      <c r="N5411" s="227"/>
      <c r="O5411" s="227"/>
      <c r="P5411" s="231"/>
      <c r="Q5411" s="231"/>
      <c r="R5411" s="227"/>
      <c r="S5411" s="231"/>
      <c r="T5411" s="231"/>
      <c r="U5411" s="231"/>
      <c r="V5411" s="231"/>
      <c r="W5411" s="231"/>
      <c r="X5411" s="227"/>
      <c r="Y5411" s="348"/>
      <c r="Z5411" s="348"/>
      <c r="AA5411" s="348"/>
      <c r="AB5411" s="348"/>
      <c r="AC5411" s="227"/>
      <c r="AD5411" s="227"/>
      <c r="AE5411" s="231"/>
      <c r="AF5411" s="227"/>
      <c r="AG5411" s="348"/>
      <c r="AH5411" s="348"/>
      <c r="AI5411" s="348"/>
      <c r="AJ5411" s="348"/>
      <c r="AK5411" s="348"/>
      <c r="AL5411" s="348"/>
      <c r="AM5411" s="348"/>
      <c r="AN5411" s="348"/>
      <c r="AO5411" s="231"/>
      <c r="AP5411" s="231"/>
      <c r="AQ5411" s="227"/>
      <c r="AR5411" s="231"/>
      <c r="AS5411" s="227"/>
      <c r="AT5411" s="227"/>
      <c r="AU5411" s="227"/>
      <c r="AV5411" s="227"/>
      <c r="AW5411" s="227"/>
      <c r="AX5411" s="227"/>
      <c r="AY5411" s="227"/>
      <c r="AZ5411" s="227"/>
      <c r="BA5411" s="227"/>
      <c r="BB5411" s="227"/>
      <c r="BC5411" s="227"/>
      <c r="BD5411" s="227"/>
      <c r="BE5411" s="227"/>
      <c r="BF5411" s="227"/>
    </row>
    <row r="5412">
      <c r="A5412" s="227"/>
      <c r="B5412" s="348"/>
      <c r="C5412" s="227"/>
      <c r="D5412" s="227"/>
      <c r="E5412" s="231"/>
      <c r="F5412" s="348"/>
      <c r="G5412" s="227"/>
      <c r="H5412" s="227"/>
      <c r="I5412" s="227"/>
      <c r="J5412" s="227"/>
      <c r="K5412" s="227"/>
      <c r="L5412" s="348"/>
      <c r="M5412" s="348"/>
      <c r="N5412" s="227"/>
      <c r="O5412" s="227"/>
      <c r="P5412" s="231"/>
      <c r="Q5412" s="231"/>
      <c r="R5412" s="227"/>
      <c r="S5412" s="231"/>
      <c r="T5412" s="231"/>
      <c r="U5412" s="231"/>
      <c r="V5412" s="231"/>
      <c r="W5412" s="231"/>
      <c r="X5412" s="227"/>
      <c r="Y5412" s="348"/>
      <c r="Z5412" s="348"/>
      <c r="AA5412" s="348"/>
      <c r="AB5412" s="348"/>
      <c r="AC5412" s="227"/>
      <c r="AD5412" s="227"/>
      <c r="AE5412" s="231"/>
      <c r="AF5412" s="227"/>
      <c r="AG5412" s="348"/>
      <c r="AH5412" s="348"/>
      <c r="AI5412" s="348"/>
      <c r="AJ5412" s="348"/>
      <c r="AK5412" s="348"/>
      <c r="AL5412" s="348"/>
      <c r="AM5412" s="348"/>
      <c r="AN5412" s="348"/>
      <c r="AO5412" s="231"/>
      <c r="AP5412" s="231"/>
      <c r="AQ5412" s="227"/>
      <c r="AR5412" s="231"/>
      <c r="AS5412" s="227"/>
      <c r="AT5412" s="227"/>
      <c r="AU5412" s="227"/>
      <c r="AV5412" s="227"/>
      <c r="AW5412" s="227"/>
      <c r="AX5412" s="227"/>
      <c r="AY5412" s="227"/>
      <c r="AZ5412" s="227"/>
      <c r="BA5412" s="227"/>
      <c r="BB5412" s="227"/>
      <c r="BC5412" s="227"/>
      <c r="BD5412" s="227"/>
      <c r="BE5412" s="227"/>
      <c r="BF5412" s="227"/>
    </row>
    <row r="5413">
      <c r="A5413" s="227"/>
      <c r="B5413" s="348"/>
      <c r="C5413" s="227"/>
      <c r="D5413" s="227"/>
      <c r="E5413" s="231"/>
      <c r="F5413" s="348"/>
      <c r="G5413" s="227"/>
      <c r="H5413" s="227"/>
      <c r="I5413" s="227"/>
      <c r="J5413" s="227"/>
      <c r="K5413" s="227"/>
      <c r="L5413" s="348"/>
      <c r="M5413" s="348"/>
      <c r="N5413" s="227"/>
      <c r="O5413" s="227"/>
      <c r="P5413" s="231"/>
      <c r="Q5413" s="231"/>
      <c r="R5413" s="227"/>
      <c r="S5413" s="231"/>
      <c r="T5413" s="231"/>
      <c r="U5413" s="231"/>
      <c r="V5413" s="231"/>
      <c r="W5413" s="231"/>
      <c r="X5413" s="227"/>
      <c r="Y5413" s="348"/>
      <c r="Z5413" s="348"/>
      <c r="AA5413" s="348"/>
      <c r="AB5413" s="348"/>
      <c r="AC5413" s="227"/>
      <c r="AD5413" s="227"/>
      <c r="AE5413" s="231"/>
      <c r="AF5413" s="227"/>
      <c r="AG5413" s="348"/>
      <c r="AH5413" s="348"/>
      <c r="AI5413" s="348"/>
      <c r="AJ5413" s="348"/>
      <c r="AK5413" s="348"/>
      <c r="AL5413" s="348"/>
      <c r="AM5413" s="348"/>
      <c r="AN5413" s="348"/>
      <c r="AO5413" s="231"/>
      <c r="AP5413" s="231"/>
      <c r="AQ5413" s="227"/>
      <c r="AR5413" s="231"/>
      <c r="AS5413" s="227"/>
      <c r="AT5413" s="227"/>
      <c r="AU5413" s="227"/>
      <c r="AV5413" s="227"/>
      <c r="AW5413" s="227"/>
      <c r="AX5413" s="227"/>
      <c r="AY5413" s="227"/>
      <c r="AZ5413" s="227"/>
      <c r="BA5413" s="227"/>
      <c r="BB5413" s="227"/>
      <c r="BC5413" s="227"/>
      <c r="BD5413" s="227"/>
      <c r="BE5413" s="227"/>
      <c r="BF5413" s="227"/>
    </row>
    <row r="5414">
      <c r="A5414" s="227"/>
      <c r="B5414" s="348"/>
      <c r="C5414" s="227"/>
      <c r="D5414" s="227"/>
      <c r="E5414" s="231"/>
      <c r="F5414" s="348"/>
      <c r="G5414" s="227"/>
      <c r="H5414" s="227"/>
      <c r="I5414" s="227"/>
      <c r="J5414" s="227"/>
      <c r="K5414" s="227"/>
      <c r="L5414" s="348"/>
      <c r="M5414" s="348"/>
      <c r="N5414" s="227"/>
      <c r="O5414" s="227"/>
      <c r="P5414" s="231"/>
      <c r="Q5414" s="231"/>
      <c r="R5414" s="227"/>
      <c r="S5414" s="231"/>
      <c r="T5414" s="231"/>
      <c r="U5414" s="231"/>
      <c r="V5414" s="231"/>
      <c r="W5414" s="231"/>
      <c r="X5414" s="227"/>
      <c r="Y5414" s="348"/>
      <c r="Z5414" s="348"/>
      <c r="AA5414" s="348"/>
      <c r="AB5414" s="348"/>
      <c r="AC5414" s="227"/>
      <c r="AD5414" s="227"/>
      <c r="AE5414" s="231"/>
      <c r="AF5414" s="227"/>
      <c r="AG5414" s="348"/>
      <c r="AH5414" s="348"/>
      <c r="AI5414" s="348"/>
      <c r="AJ5414" s="348"/>
      <c r="AK5414" s="348"/>
      <c r="AL5414" s="348"/>
      <c r="AM5414" s="348"/>
      <c r="AN5414" s="348"/>
      <c r="AO5414" s="231"/>
      <c r="AP5414" s="231"/>
      <c r="AQ5414" s="227"/>
      <c r="AR5414" s="231"/>
      <c r="AS5414" s="227"/>
      <c r="AT5414" s="227"/>
      <c r="AU5414" s="227"/>
      <c r="AV5414" s="227"/>
      <c r="AW5414" s="227"/>
      <c r="AX5414" s="227"/>
      <c r="AY5414" s="227"/>
      <c r="AZ5414" s="227"/>
      <c r="BA5414" s="227"/>
      <c r="BB5414" s="227"/>
      <c r="BC5414" s="227"/>
      <c r="BD5414" s="227"/>
      <c r="BE5414" s="227"/>
      <c r="BF5414" s="227"/>
    </row>
    <row r="5415">
      <c r="A5415" s="227"/>
      <c r="B5415" s="348"/>
      <c r="C5415" s="227"/>
      <c r="D5415" s="227"/>
      <c r="E5415" s="231"/>
      <c r="F5415" s="348"/>
      <c r="G5415" s="227"/>
      <c r="H5415" s="227"/>
      <c r="I5415" s="227"/>
      <c r="J5415" s="227"/>
      <c r="K5415" s="227"/>
      <c r="L5415" s="348"/>
      <c r="M5415" s="348"/>
      <c r="N5415" s="227"/>
      <c r="O5415" s="227"/>
      <c r="P5415" s="231"/>
      <c r="Q5415" s="231"/>
      <c r="R5415" s="227"/>
      <c r="S5415" s="231"/>
      <c r="T5415" s="231"/>
      <c r="U5415" s="231"/>
      <c r="V5415" s="231"/>
      <c r="W5415" s="231"/>
      <c r="X5415" s="227"/>
      <c r="Y5415" s="348"/>
      <c r="Z5415" s="348"/>
      <c r="AA5415" s="348"/>
      <c r="AB5415" s="348"/>
      <c r="AC5415" s="227"/>
      <c r="AD5415" s="227"/>
      <c r="AE5415" s="231"/>
      <c r="AF5415" s="227"/>
      <c r="AG5415" s="348"/>
      <c r="AH5415" s="348"/>
      <c r="AI5415" s="348"/>
      <c r="AJ5415" s="348"/>
      <c r="AK5415" s="348"/>
      <c r="AL5415" s="348"/>
      <c r="AM5415" s="348"/>
      <c r="AN5415" s="348"/>
      <c r="AO5415" s="231"/>
      <c r="AP5415" s="231"/>
      <c r="AQ5415" s="227"/>
      <c r="AR5415" s="231"/>
      <c r="AS5415" s="227"/>
      <c r="AT5415" s="227"/>
      <c r="AU5415" s="227"/>
      <c r="AV5415" s="227"/>
      <c r="AW5415" s="227"/>
      <c r="AX5415" s="227"/>
      <c r="AY5415" s="227"/>
      <c r="AZ5415" s="227"/>
      <c r="BA5415" s="227"/>
      <c r="BB5415" s="227"/>
      <c r="BC5415" s="227"/>
      <c r="BD5415" s="227"/>
      <c r="BE5415" s="227"/>
      <c r="BF5415" s="227"/>
    </row>
    <row r="5416">
      <c r="A5416" s="227"/>
      <c r="B5416" s="348"/>
      <c r="C5416" s="227"/>
      <c r="D5416" s="227"/>
      <c r="E5416" s="231"/>
      <c r="F5416" s="348"/>
      <c r="G5416" s="227"/>
      <c r="H5416" s="227"/>
      <c r="I5416" s="227"/>
      <c r="J5416" s="227"/>
      <c r="K5416" s="227"/>
      <c r="L5416" s="348"/>
      <c r="M5416" s="348"/>
      <c r="N5416" s="227"/>
      <c r="O5416" s="227"/>
      <c r="P5416" s="231"/>
      <c r="Q5416" s="231"/>
      <c r="R5416" s="227"/>
      <c r="S5416" s="231"/>
      <c r="T5416" s="231"/>
      <c r="U5416" s="231"/>
      <c r="V5416" s="231"/>
      <c r="W5416" s="231"/>
      <c r="X5416" s="227"/>
      <c r="Y5416" s="348"/>
      <c r="Z5416" s="348"/>
      <c r="AA5416" s="348"/>
      <c r="AB5416" s="348"/>
      <c r="AC5416" s="227"/>
      <c r="AD5416" s="227"/>
      <c r="AE5416" s="231"/>
      <c r="AF5416" s="227"/>
      <c r="AG5416" s="348"/>
      <c r="AH5416" s="348"/>
      <c r="AI5416" s="348"/>
      <c r="AJ5416" s="348"/>
      <c r="AK5416" s="348"/>
      <c r="AL5416" s="348"/>
      <c r="AM5416" s="348"/>
      <c r="AN5416" s="348"/>
      <c r="AO5416" s="231"/>
      <c r="AP5416" s="231"/>
      <c r="AQ5416" s="227"/>
      <c r="AR5416" s="231"/>
      <c r="AS5416" s="227"/>
      <c r="AT5416" s="227"/>
      <c r="AU5416" s="227"/>
      <c r="AV5416" s="227"/>
      <c r="AW5416" s="227"/>
      <c r="AX5416" s="227"/>
      <c r="AY5416" s="227"/>
      <c r="AZ5416" s="227"/>
      <c r="BA5416" s="227"/>
      <c r="BB5416" s="227"/>
      <c r="BC5416" s="227"/>
      <c r="BD5416" s="227"/>
      <c r="BE5416" s="227"/>
      <c r="BF5416" s="227"/>
    </row>
    <row r="5417">
      <c r="A5417" s="227"/>
      <c r="B5417" s="348"/>
      <c r="C5417" s="227"/>
      <c r="D5417" s="227"/>
      <c r="E5417" s="231"/>
      <c r="F5417" s="348"/>
      <c r="G5417" s="227"/>
      <c r="H5417" s="227"/>
      <c r="I5417" s="227"/>
      <c r="J5417" s="227"/>
      <c r="K5417" s="227"/>
      <c r="L5417" s="348"/>
      <c r="M5417" s="348"/>
      <c r="N5417" s="227"/>
      <c r="O5417" s="227"/>
      <c r="P5417" s="231"/>
      <c r="Q5417" s="231"/>
      <c r="R5417" s="227"/>
      <c r="S5417" s="231"/>
      <c r="T5417" s="231"/>
      <c r="U5417" s="231"/>
      <c r="V5417" s="231"/>
      <c r="W5417" s="231"/>
      <c r="X5417" s="227"/>
      <c r="Y5417" s="348"/>
      <c r="Z5417" s="348"/>
      <c r="AA5417" s="348"/>
      <c r="AB5417" s="348"/>
      <c r="AC5417" s="227"/>
      <c r="AD5417" s="227"/>
      <c r="AE5417" s="231"/>
      <c r="AF5417" s="227"/>
      <c r="AG5417" s="348"/>
      <c r="AH5417" s="348"/>
      <c r="AI5417" s="348"/>
      <c r="AJ5417" s="348"/>
      <c r="AK5417" s="348"/>
      <c r="AL5417" s="348"/>
      <c r="AM5417" s="348"/>
      <c r="AN5417" s="348"/>
      <c r="AO5417" s="231"/>
      <c r="AP5417" s="231"/>
      <c r="AQ5417" s="227"/>
      <c r="AR5417" s="231"/>
      <c r="AS5417" s="227"/>
      <c r="AT5417" s="227"/>
      <c r="AU5417" s="227"/>
      <c r="AV5417" s="227"/>
      <c r="AW5417" s="227"/>
      <c r="AX5417" s="227"/>
      <c r="AY5417" s="227"/>
      <c r="AZ5417" s="227"/>
      <c r="BA5417" s="227"/>
      <c r="BB5417" s="227"/>
      <c r="BC5417" s="227"/>
      <c r="BD5417" s="227"/>
      <c r="BE5417" s="227"/>
      <c r="BF5417" s="227"/>
    </row>
    <row r="5418">
      <c r="A5418" s="227"/>
      <c r="B5418" s="348"/>
      <c r="C5418" s="227"/>
      <c r="D5418" s="227"/>
      <c r="E5418" s="231"/>
      <c r="F5418" s="348"/>
      <c r="G5418" s="227"/>
      <c r="H5418" s="227"/>
      <c r="I5418" s="227"/>
      <c r="J5418" s="227"/>
      <c r="K5418" s="227"/>
      <c r="L5418" s="348"/>
      <c r="M5418" s="348"/>
      <c r="N5418" s="227"/>
      <c r="O5418" s="227"/>
      <c r="P5418" s="231"/>
      <c r="Q5418" s="231"/>
      <c r="R5418" s="227"/>
      <c r="S5418" s="231"/>
      <c r="T5418" s="231"/>
      <c r="U5418" s="231"/>
      <c r="V5418" s="231"/>
      <c r="W5418" s="231"/>
      <c r="X5418" s="227"/>
      <c r="Y5418" s="348"/>
      <c r="Z5418" s="348"/>
      <c r="AA5418" s="348"/>
      <c r="AB5418" s="348"/>
      <c r="AC5418" s="227"/>
      <c r="AD5418" s="227"/>
      <c r="AE5418" s="231"/>
      <c r="AF5418" s="227"/>
      <c r="AG5418" s="348"/>
      <c r="AH5418" s="348"/>
      <c r="AI5418" s="348"/>
      <c r="AJ5418" s="348"/>
      <c r="AK5418" s="348"/>
      <c r="AL5418" s="348"/>
      <c r="AM5418" s="348"/>
      <c r="AN5418" s="348"/>
      <c r="AO5418" s="231"/>
      <c r="AP5418" s="231"/>
      <c r="AQ5418" s="227"/>
      <c r="AR5418" s="231"/>
      <c r="AS5418" s="227"/>
      <c r="AT5418" s="227"/>
      <c r="AU5418" s="227"/>
      <c r="AV5418" s="227"/>
      <c r="AW5418" s="227"/>
      <c r="AX5418" s="227"/>
      <c r="AY5418" s="227"/>
      <c r="AZ5418" s="227"/>
      <c r="BA5418" s="227"/>
      <c r="BB5418" s="227"/>
      <c r="BC5418" s="227"/>
      <c r="BD5418" s="227"/>
      <c r="BE5418" s="227"/>
      <c r="BF5418" s="227"/>
    </row>
    <row r="5419">
      <c r="A5419" s="227"/>
      <c r="B5419" s="348"/>
      <c r="C5419" s="227"/>
      <c r="D5419" s="227"/>
      <c r="E5419" s="231"/>
      <c r="F5419" s="348"/>
      <c r="G5419" s="227"/>
      <c r="H5419" s="227"/>
      <c r="I5419" s="227"/>
      <c r="J5419" s="227"/>
      <c r="K5419" s="227"/>
      <c r="L5419" s="348"/>
      <c r="M5419" s="348"/>
      <c r="N5419" s="227"/>
      <c r="O5419" s="227"/>
      <c r="P5419" s="231"/>
      <c r="Q5419" s="231"/>
      <c r="R5419" s="227"/>
      <c r="S5419" s="231"/>
      <c r="T5419" s="231"/>
      <c r="U5419" s="231"/>
      <c r="V5419" s="231"/>
      <c r="W5419" s="231"/>
      <c r="X5419" s="227"/>
      <c r="Y5419" s="348"/>
      <c r="Z5419" s="348"/>
      <c r="AA5419" s="348"/>
      <c r="AB5419" s="348"/>
      <c r="AC5419" s="227"/>
      <c r="AD5419" s="227"/>
      <c r="AE5419" s="231"/>
      <c r="AF5419" s="227"/>
      <c r="AG5419" s="348"/>
      <c r="AH5419" s="348"/>
      <c r="AI5419" s="348"/>
      <c r="AJ5419" s="348"/>
      <c r="AK5419" s="348"/>
      <c r="AL5419" s="348"/>
      <c r="AM5419" s="348"/>
      <c r="AN5419" s="348"/>
      <c r="AO5419" s="231"/>
      <c r="AP5419" s="231"/>
      <c r="AQ5419" s="227"/>
      <c r="AR5419" s="231"/>
      <c r="AS5419" s="227"/>
      <c r="AT5419" s="227"/>
      <c r="AU5419" s="227"/>
      <c r="AV5419" s="227"/>
      <c r="AW5419" s="227"/>
      <c r="AX5419" s="227"/>
      <c r="AY5419" s="227"/>
      <c r="AZ5419" s="227"/>
      <c r="BA5419" s="227"/>
      <c r="BB5419" s="227"/>
      <c r="BC5419" s="227"/>
      <c r="BD5419" s="227"/>
      <c r="BE5419" s="227"/>
      <c r="BF5419" s="227"/>
    </row>
    <row r="5420">
      <c r="A5420" s="227"/>
      <c r="B5420" s="348"/>
      <c r="C5420" s="227"/>
      <c r="D5420" s="227"/>
      <c r="E5420" s="231"/>
      <c r="F5420" s="348"/>
      <c r="G5420" s="227"/>
      <c r="H5420" s="227"/>
      <c r="I5420" s="227"/>
      <c r="J5420" s="227"/>
      <c r="K5420" s="227"/>
      <c r="L5420" s="348"/>
      <c r="M5420" s="348"/>
      <c r="N5420" s="227"/>
      <c r="O5420" s="227"/>
      <c r="P5420" s="231"/>
      <c r="Q5420" s="231"/>
      <c r="R5420" s="227"/>
      <c r="S5420" s="231"/>
      <c r="T5420" s="231"/>
      <c r="U5420" s="231"/>
      <c r="V5420" s="231"/>
      <c r="W5420" s="231"/>
      <c r="X5420" s="227"/>
      <c r="Y5420" s="348"/>
      <c r="Z5420" s="348"/>
      <c r="AA5420" s="348"/>
      <c r="AB5420" s="348"/>
      <c r="AC5420" s="227"/>
      <c r="AD5420" s="227"/>
      <c r="AE5420" s="231"/>
      <c r="AF5420" s="227"/>
      <c r="AG5420" s="348"/>
      <c r="AH5420" s="348"/>
      <c r="AI5420" s="348"/>
      <c r="AJ5420" s="348"/>
      <c r="AK5420" s="348"/>
      <c r="AL5420" s="348"/>
      <c r="AM5420" s="348"/>
      <c r="AN5420" s="348"/>
      <c r="AO5420" s="231"/>
      <c r="AP5420" s="231"/>
      <c r="AQ5420" s="227"/>
      <c r="AR5420" s="231"/>
      <c r="AS5420" s="227"/>
      <c r="AT5420" s="227"/>
      <c r="AU5420" s="227"/>
      <c r="AV5420" s="227"/>
      <c r="AW5420" s="227"/>
      <c r="AX5420" s="227"/>
      <c r="AY5420" s="227"/>
      <c r="AZ5420" s="227"/>
      <c r="BA5420" s="227"/>
      <c r="BB5420" s="227"/>
      <c r="BC5420" s="227"/>
      <c r="BD5420" s="227"/>
      <c r="BE5420" s="227"/>
      <c r="BF5420" s="227"/>
    </row>
    <row r="5421">
      <c r="A5421" s="227"/>
      <c r="B5421" s="348"/>
      <c r="C5421" s="227"/>
      <c r="D5421" s="227"/>
      <c r="E5421" s="231"/>
      <c r="F5421" s="348"/>
      <c r="G5421" s="227"/>
      <c r="H5421" s="227"/>
      <c r="I5421" s="227"/>
      <c r="J5421" s="227"/>
      <c r="K5421" s="227"/>
      <c r="L5421" s="348"/>
      <c r="M5421" s="348"/>
      <c r="N5421" s="227"/>
      <c r="O5421" s="227"/>
      <c r="P5421" s="231"/>
      <c r="Q5421" s="231"/>
      <c r="R5421" s="227"/>
      <c r="S5421" s="231"/>
      <c r="T5421" s="231"/>
      <c r="U5421" s="231"/>
      <c r="V5421" s="231"/>
      <c r="W5421" s="231"/>
      <c r="X5421" s="227"/>
      <c r="Y5421" s="348"/>
      <c r="Z5421" s="348"/>
      <c r="AA5421" s="348"/>
      <c r="AB5421" s="348"/>
      <c r="AC5421" s="227"/>
      <c r="AD5421" s="227"/>
      <c r="AE5421" s="231"/>
      <c r="AF5421" s="227"/>
      <c r="AG5421" s="348"/>
      <c r="AH5421" s="348"/>
      <c r="AI5421" s="348"/>
      <c r="AJ5421" s="348"/>
      <c r="AK5421" s="348"/>
      <c r="AL5421" s="348"/>
      <c r="AM5421" s="348"/>
      <c r="AN5421" s="348"/>
      <c r="AO5421" s="231"/>
      <c r="AP5421" s="231"/>
      <c r="AQ5421" s="227"/>
      <c r="AR5421" s="231"/>
      <c r="AS5421" s="227"/>
      <c r="AT5421" s="227"/>
      <c r="AU5421" s="227"/>
      <c r="AV5421" s="227"/>
      <c r="AW5421" s="227"/>
      <c r="AX5421" s="227"/>
      <c r="AY5421" s="227"/>
      <c r="AZ5421" s="227"/>
      <c r="BA5421" s="227"/>
      <c r="BB5421" s="227"/>
      <c r="BC5421" s="227"/>
      <c r="BD5421" s="227"/>
      <c r="BE5421" s="227"/>
      <c r="BF5421" s="227"/>
    </row>
    <row r="5422">
      <c r="A5422" s="227"/>
      <c r="B5422" s="348"/>
      <c r="C5422" s="227"/>
      <c r="D5422" s="227"/>
      <c r="E5422" s="231"/>
      <c r="F5422" s="348"/>
      <c r="G5422" s="227"/>
      <c r="H5422" s="227"/>
      <c r="I5422" s="227"/>
      <c r="J5422" s="227"/>
      <c r="K5422" s="227"/>
      <c r="L5422" s="348"/>
      <c r="M5422" s="348"/>
      <c r="N5422" s="227"/>
      <c r="O5422" s="227"/>
      <c r="P5422" s="231"/>
      <c r="Q5422" s="231"/>
      <c r="R5422" s="227"/>
      <c r="S5422" s="231"/>
      <c r="T5422" s="231"/>
      <c r="U5422" s="231"/>
      <c r="V5422" s="231"/>
      <c r="W5422" s="231"/>
      <c r="X5422" s="227"/>
      <c r="Y5422" s="348"/>
      <c r="Z5422" s="348"/>
      <c r="AA5422" s="348"/>
      <c r="AB5422" s="348"/>
      <c r="AC5422" s="227"/>
      <c r="AD5422" s="227"/>
      <c r="AE5422" s="231"/>
      <c r="AF5422" s="227"/>
      <c r="AG5422" s="348"/>
      <c r="AH5422" s="348"/>
      <c r="AI5422" s="348"/>
      <c r="AJ5422" s="348"/>
      <c r="AK5422" s="348"/>
      <c r="AL5422" s="348"/>
      <c r="AM5422" s="348"/>
      <c r="AN5422" s="348"/>
      <c r="AO5422" s="231"/>
      <c r="AP5422" s="231"/>
      <c r="AQ5422" s="227"/>
      <c r="AR5422" s="231"/>
      <c r="AS5422" s="227"/>
      <c r="AT5422" s="227"/>
      <c r="AU5422" s="227"/>
      <c r="AV5422" s="227"/>
      <c r="AW5422" s="227"/>
      <c r="AX5422" s="227"/>
      <c r="AY5422" s="227"/>
      <c r="AZ5422" s="227"/>
      <c r="BA5422" s="227"/>
      <c r="BB5422" s="227"/>
      <c r="BC5422" s="227"/>
      <c r="BD5422" s="227"/>
      <c r="BE5422" s="227"/>
      <c r="BF5422" s="227"/>
    </row>
    <row r="5423">
      <c r="A5423" s="227"/>
      <c r="B5423" s="348"/>
      <c r="C5423" s="227"/>
      <c r="D5423" s="227"/>
      <c r="E5423" s="231"/>
      <c r="F5423" s="348"/>
      <c r="G5423" s="227"/>
      <c r="H5423" s="227"/>
      <c r="I5423" s="227"/>
      <c r="J5423" s="227"/>
      <c r="K5423" s="227"/>
      <c r="L5423" s="348"/>
      <c r="M5423" s="348"/>
      <c r="N5423" s="227"/>
      <c r="O5423" s="227"/>
      <c r="P5423" s="231"/>
      <c r="Q5423" s="231"/>
      <c r="R5423" s="227"/>
      <c r="S5423" s="231"/>
      <c r="T5423" s="231"/>
      <c r="U5423" s="231"/>
      <c r="V5423" s="231"/>
      <c r="W5423" s="231"/>
      <c r="X5423" s="227"/>
      <c r="Y5423" s="348"/>
      <c r="Z5423" s="348"/>
      <c r="AA5423" s="348"/>
      <c r="AB5423" s="348"/>
      <c r="AC5423" s="227"/>
      <c r="AD5423" s="227"/>
      <c r="AE5423" s="231"/>
      <c r="AF5423" s="227"/>
      <c r="AG5423" s="348"/>
      <c r="AH5423" s="348"/>
      <c r="AI5423" s="348"/>
      <c r="AJ5423" s="348"/>
      <c r="AK5423" s="348"/>
      <c r="AL5423" s="348"/>
      <c r="AM5423" s="348"/>
      <c r="AN5423" s="348"/>
      <c r="AO5423" s="231"/>
      <c r="AP5423" s="231"/>
      <c r="AQ5423" s="227"/>
      <c r="AR5423" s="231"/>
      <c r="AS5423" s="227"/>
      <c r="AT5423" s="227"/>
      <c r="AU5423" s="227"/>
      <c r="AV5423" s="227"/>
      <c r="AW5423" s="227"/>
      <c r="AX5423" s="227"/>
      <c r="AY5423" s="227"/>
      <c r="AZ5423" s="227"/>
      <c r="BA5423" s="227"/>
      <c r="BB5423" s="227"/>
      <c r="BC5423" s="227"/>
      <c r="BD5423" s="227"/>
      <c r="BE5423" s="227"/>
      <c r="BF5423" s="227"/>
    </row>
    <row r="5424">
      <c r="A5424" s="227"/>
      <c r="B5424" s="348"/>
      <c r="C5424" s="227"/>
      <c r="D5424" s="227"/>
      <c r="E5424" s="231"/>
      <c r="F5424" s="348"/>
      <c r="G5424" s="227"/>
      <c r="H5424" s="227"/>
      <c r="I5424" s="227"/>
      <c r="J5424" s="227"/>
      <c r="K5424" s="227"/>
      <c r="L5424" s="348"/>
      <c r="M5424" s="348"/>
      <c r="N5424" s="227"/>
      <c r="O5424" s="227"/>
      <c r="P5424" s="231"/>
      <c r="Q5424" s="231"/>
      <c r="R5424" s="227"/>
      <c r="S5424" s="231"/>
      <c r="T5424" s="231"/>
      <c r="U5424" s="231"/>
      <c r="V5424" s="231"/>
      <c r="W5424" s="231"/>
      <c r="X5424" s="227"/>
      <c r="Y5424" s="348"/>
      <c r="Z5424" s="348"/>
      <c r="AA5424" s="348"/>
      <c r="AB5424" s="348"/>
      <c r="AC5424" s="227"/>
      <c r="AD5424" s="227"/>
      <c r="AE5424" s="231"/>
      <c r="AF5424" s="227"/>
      <c r="AG5424" s="348"/>
      <c r="AH5424" s="348"/>
      <c r="AI5424" s="348"/>
      <c r="AJ5424" s="348"/>
      <c r="AK5424" s="348"/>
      <c r="AL5424" s="348"/>
      <c r="AM5424" s="348"/>
      <c r="AN5424" s="348"/>
      <c r="AO5424" s="231"/>
      <c r="AP5424" s="231"/>
      <c r="AQ5424" s="227"/>
      <c r="AR5424" s="231"/>
      <c r="AS5424" s="227"/>
      <c r="AT5424" s="227"/>
      <c r="AU5424" s="227"/>
      <c r="AV5424" s="227"/>
      <c r="AW5424" s="227"/>
      <c r="AX5424" s="227"/>
      <c r="AY5424" s="227"/>
      <c r="AZ5424" s="227"/>
      <c r="BA5424" s="227"/>
      <c r="BB5424" s="227"/>
      <c r="BC5424" s="227"/>
      <c r="BD5424" s="227"/>
      <c r="BE5424" s="227"/>
      <c r="BF5424" s="227"/>
    </row>
    <row r="5425">
      <c r="A5425" s="227"/>
      <c r="B5425" s="348"/>
      <c r="C5425" s="227"/>
      <c r="D5425" s="227"/>
      <c r="E5425" s="231"/>
      <c r="F5425" s="348"/>
      <c r="G5425" s="227"/>
      <c r="H5425" s="227"/>
      <c r="I5425" s="227"/>
      <c r="J5425" s="227"/>
      <c r="K5425" s="227"/>
      <c r="L5425" s="348"/>
      <c r="M5425" s="348"/>
      <c r="N5425" s="227"/>
      <c r="O5425" s="227"/>
      <c r="P5425" s="231"/>
      <c r="Q5425" s="231"/>
      <c r="R5425" s="227"/>
      <c r="S5425" s="231"/>
      <c r="T5425" s="231"/>
      <c r="U5425" s="231"/>
      <c r="V5425" s="231"/>
      <c r="W5425" s="231"/>
      <c r="X5425" s="227"/>
      <c r="Y5425" s="348"/>
      <c r="Z5425" s="348"/>
      <c r="AA5425" s="348"/>
      <c r="AB5425" s="348"/>
      <c r="AC5425" s="227"/>
      <c r="AD5425" s="227"/>
      <c r="AE5425" s="231"/>
      <c r="AF5425" s="227"/>
      <c r="AG5425" s="348"/>
      <c r="AH5425" s="348"/>
      <c r="AI5425" s="348"/>
      <c r="AJ5425" s="348"/>
      <c r="AK5425" s="348"/>
      <c r="AL5425" s="348"/>
      <c r="AM5425" s="348"/>
      <c r="AN5425" s="348"/>
      <c r="AO5425" s="231"/>
      <c r="AP5425" s="231"/>
      <c r="AQ5425" s="227"/>
      <c r="AR5425" s="231"/>
      <c r="AS5425" s="227"/>
      <c r="AT5425" s="227"/>
      <c r="AU5425" s="227"/>
      <c r="AV5425" s="227"/>
      <c r="AW5425" s="227"/>
      <c r="AX5425" s="227"/>
      <c r="AY5425" s="227"/>
      <c r="AZ5425" s="227"/>
      <c r="BA5425" s="227"/>
      <c r="BB5425" s="227"/>
      <c r="BC5425" s="227"/>
      <c r="BD5425" s="227"/>
      <c r="BE5425" s="227"/>
      <c r="BF5425" s="227"/>
    </row>
    <row r="5426">
      <c r="A5426" s="227"/>
      <c r="B5426" s="348"/>
      <c r="C5426" s="227"/>
      <c r="D5426" s="227"/>
      <c r="E5426" s="231"/>
      <c r="F5426" s="348"/>
      <c r="G5426" s="227"/>
      <c r="H5426" s="227"/>
      <c r="I5426" s="227"/>
      <c r="J5426" s="227"/>
      <c r="K5426" s="227"/>
      <c r="L5426" s="348"/>
      <c r="M5426" s="348"/>
      <c r="N5426" s="227"/>
      <c r="O5426" s="227"/>
      <c r="P5426" s="231"/>
      <c r="Q5426" s="231"/>
      <c r="R5426" s="227"/>
      <c r="S5426" s="231"/>
      <c r="T5426" s="231"/>
      <c r="U5426" s="231"/>
      <c r="V5426" s="231"/>
      <c r="W5426" s="231"/>
      <c r="X5426" s="227"/>
      <c r="Y5426" s="348"/>
      <c r="Z5426" s="348"/>
      <c r="AA5426" s="348"/>
      <c r="AB5426" s="348"/>
      <c r="AC5426" s="227"/>
      <c r="AD5426" s="227"/>
      <c r="AE5426" s="231"/>
      <c r="AF5426" s="227"/>
      <c r="AG5426" s="348"/>
      <c r="AH5426" s="348"/>
      <c r="AI5426" s="348"/>
      <c r="AJ5426" s="348"/>
      <c r="AK5426" s="348"/>
      <c r="AL5426" s="348"/>
      <c r="AM5426" s="348"/>
      <c r="AN5426" s="348"/>
      <c r="AO5426" s="231"/>
      <c r="AP5426" s="231"/>
      <c r="AQ5426" s="227"/>
      <c r="AR5426" s="231"/>
      <c r="AS5426" s="227"/>
      <c r="AT5426" s="227"/>
      <c r="AU5426" s="227"/>
      <c r="AV5426" s="227"/>
      <c r="AW5426" s="227"/>
      <c r="AX5426" s="227"/>
      <c r="AY5426" s="227"/>
      <c r="AZ5426" s="227"/>
      <c r="BA5426" s="227"/>
      <c r="BB5426" s="227"/>
      <c r="BC5426" s="227"/>
      <c r="BD5426" s="227"/>
      <c r="BE5426" s="227"/>
      <c r="BF5426" s="227"/>
    </row>
    <row r="5427">
      <c r="A5427" s="227"/>
      <c r="B5427" s="348"/>
      <c r="C5427" s="227"/>
      <c r="D5427" s="227"/>
      <c r="E5427" s="231"/>
      <c r="F5427" s="348"/>
      <c r="G5427" s="227"/>
      <c r="H5427" s="227"/>
      <c r="I5427" s="227"/>
      <c r="J5427" s="227"/>
      <c r="K5427" s="227"/>
      <c r="L5427" s="348"/>
      <c r="M5427" s="348"/>
      <c r="N5427" s="227"/>
      <c r="O5427" s="227"/>
      <c r="P5427" s="231"/>
      <c r="Q5427" s="231"/>
      <c r="R5427" s="227"/>
      <c r="S5427" s="231"/>
      <c r="T5427" s="231"/>
      <c r="U5427" s="231"/>
      <c r="V5427" s="231"/>
      <c r="W5427" s="231"/>
      <c r="X5427" s="227"/>
      <c r="Y5427" s="348"/>
      <c r="Z5427" s="348"/>
      <c r="AA5427" s="348"/>
      <c r="AB5427" s="348"/>
      <c r="AC5427" s="227"/>
      <c r="AD5427" s="227"/>
      <c r="AE5427" s="231"/>
      <c r="AF5427" s="227"/>
      <c r="AG5427" s="348"/>
      <c r="AH5427" s="348"/>
      <c r="AI5427" s="348"/>
      <c r="AJ5427" s="348"/>
      <c r="AK5427" s="348"/>
      <c r="AL5427" s="348"/>
      <c r="AM5427" s="348"/>
      <c r="AN5427" s="348"/>
      <c r="AO5427" s="231"/>
      <c r="AP5427" s="231"/>
      <c r="AQ5427" s="227"/>
      <c r="AR5427" s="231"/>
      <c r="AS5427" s="227"/>
      <c r="AT5427" s="227"/>
      <c r="AU5427" s="227"/>
      <c r="AV5427" s="227"/>
      <c r="AW5427" s="227"/>
      <c r="AX5427" s="227"/>
      <c r="AY5427" s="227"/>
      <c r="AZ5427" s="227"/>
      <c r="BA5427" s="227"/>
      <c r="BB5427" s="227"/>
      <c r="BC5427" s="227"/>
      <c r="BD5427" s="227"/>
      <c r="BE5427" s="227"/>
      <c r="BF5427" s="227"/>
    </row>
    <row r="5428">
      <c r="A5428" s="227"/>
      <c r="B5428" s="348"/>
      <c r="C5428" s="227"/>
      <c r="D5428" s="227"/>
      <c r="E5428" s="231"/>
      <c r="F5428" s="348"/>
      <c r="G5428" s="227"/>
      <c r="H5428" s="227"/>
      <c r="I5428" s="227"/>
      <c r="J5428" s="227"/>
      <c r="K5428" s="227"/>
      <c r="L5428" s="348"/>
      <c r="M5428" s="348"/>
      <c r="N5428" s="227"/>
      <c r="O5428" s="227"/>
      <c r="P5428" s="231"/>
      <c r="Q5428" s="231"/>
      <c r="R5428" s="227"/>
      <c r="S5428" s="231"/>
      <c r="T5428" s="231"/>
      <c r="U5428" s="231"/>
      <c r="V5428" s="231"/>
      <c r="W5428" s="231"/>
      <c r="X5428" s="227"/>
      <c r="Y5428" s="348"/>
      <c r="Z5428" s="348"/>
      <c r="AA5428" s="348"/>
      <c r="AB5428" s="348"/>
      <c r="AC5428" s="227"/>
      <c r="AD5428" s="227"/>
      <c r="AE5428" s="231"/>
      <c r="AF5428" s="227"/>
      <c r="AG5428" s="348"/>
      <c r="AH5428" s="348"/>
      <c r="AI5428" s="348"/>
      <c r="AJ5428" s="348"/>
      <c r="AK5428" s="348"/>
      <c r="AL5428" s="348"/>
      <c r="AM5428" s="348"/>
      <c r="AN5428" s="348"/>
      <c r="AO5428" s="231"/>
      <c r="AP5428" s="231"/>
      <c r="AQ5428" s="227"/>
      <c r="AR5428" s="231"/>
      <c r="AS5428" s="227"/>
      <c r="AT5428" s="227"/>
      <c r="AU5428" s="227"/>
      <c r="AV5428" s="227"/>
      <c r="AW5428" s="227"/>
      <c r="AX5428" s="227"/>
      <c r="AY5428" s="227"/>
      <c r="AZ5428" s="227"/>
      <c r="BA5428" s="227"/>
      <c r="BB5428" s="227"/>
      <c r="BC5428" s="227"/>
      <c r="BD5428" s="227"/>
      <c r="BE5428" s="227"/>
      <c r="BF5428" s="227"/>
    </row>
    <row r="5429">
      <c r="A5429" s="227"/>
      <c r="B5429" s="348"/>
      <c r="C5429" s="227"/>
      <c r="D5429" s="227"/>
      <c r="E5429" s="231"/>
      <c r="F5429" s="348"/>
      <c r="G5429" s="227"/>
      <c r="H5429" s="227"/>
      <c r="I5429" s="227"/>
      <c r="J5429" s="227"/>
      <c r="K5429" s="227"/>
      <c r="L5429" s="348"/>
      <c r="M5429" s="348"/>
      <c r="N5429" s="227"/>
      <c r="O5429" s="227"/>
      <c r="P5429" s="231"/>
      <c r="Q5429" s="231"/>
      <c r="R5429" s="227"/>
      <c r="S5429" s="231"/>
      <c r="T5429" s="231"/>
      <c r="U5429" s="231"/>
      <c r="V5429" s="231"/>
      <c r="W5429" s="231"/>
      <c r="X5429" s="227"/>
      <c r="Y5429" s="348"/>
      <c r="Z5429" s="348"/>
      <c r="AA5429" s="348"/>
      <c r="AB5429" s="348"/>
      <c r="AC5429" s="227"/>
      <c r="AD5429" s="227"/>
      <c r="AE5429" s="231"/>
      <c r="AF5429" s="227"/>
      <c r="AG5429" s="348"/>
      <c r="AH5429" s="348"/>
      <c r="AI5429" s="348"/>
      <c r="AJ5429" s="348"/>
      <c r="AK5429" s="348"/>
      <c r="AL5429" s="348"/>
      <c r="AM5429" s="348"/>
      <c r="AN5429" s="348"/>
      <c r="AO5429" s="231"/>
      <c r="AP5429" s="231"/>
      <c r="AQ5429" s="227"/>
      <c r="AR5429" s="231"/>
      <c r="AS5429" s="227"/>
      <c r="AT5429" s="227"/>
      <c r="AU5429" s="227"/>
      <c r="AV5429" s="227"/>
      <c r="AW5429" s="227"/>
      <c r="AX5429" s="227"/>
      <c r="AY5429" s="227"/>
      <c r="AZ5429" s="227"/>
      <c r="BA5429" s="227"/>
      <c r="BB5429" s="227"/>
      <c r="BC5429" s="227"/>
      <c r="BD5429" s="227"/>
      <c r="BE5429" s="227"/>
      <c r="BF5429" s="227"/>
    </row>
    <row r="5430">
      <c r="A5430" s="227"/>
      <c r="B5430" s="348"/>
      <c r="C5430" s="227"/>
      <c r="D5430" s="227"/>
      <c r="E5430" s="231"/>
      <c r="F5430" s="348"/>
      <c r="G5430" s="227"/>
      <c r="H5430" s="227"/>
      <c r="I5430" s="227"/>
      <c r="J5430" s="227"/>
      <c r="K5430" s="227"/>
      <c r="L5430" s="348"/>
      <c r="M5430" s="348"/>
      <c r="N5430" s="227"/>
      <c r="O5430" s="227"/>
      <c r="P5430" s="231"/>
      <c r="Q5430" s="231"/>
      <c r="R5430" s="227"/>
      <c r="S5430" s="231"/>
      <c r="T5430" s="231"/>
      <c r="U5430" s="231"/>
      <c r="V5430" s="231"/>
      <c r="W5430" s="231"/>
      <c r="X5430" s="227"/>
      <c r="Y5430" s="348"/>
      <c r="Z5430" s="348"/>
      <c r="AA5430" s="348"/>
      <c r="AB5430" s="348"/>
      <c r="AC5430" s="227"/>
      <c r="AD5430" s="227"/>
      <c r="AE5430" s="231"/>
      <c r="AF5430" s="227"/>
      <c r="AG5430" s="348"/>
      <c r="AH5430" s="348"/>
      <c r="AI5430" s="348"/>
      <c r="AJ5430" s="348"/>
      <c r="AK5430" s="348"/>
      <c r="AL5430" s="348"/>
      <c r="AM5430" s="348"/>
      <c r="AN5430" s="348"/>
      <c r="AO5430" s="231"/>
      <c r="AP5430" s="231"/>
      <c r="AQ5430" s="227"/>
      <c r="AR5430" s="231"/>
      <c r="AS5430" s="227"/>
      <c r="AT5430" s="227"/>
      <c r="AU5430" s="227"/>
      <c r="AV5430" s="227"/>
      <c r="AW5430" s="227"/>
      <c r="AX5430" s="227"/>
      <c r="AY5430" s="227"/>
      <c r="AZ5430" s="227"/>
      <c r="BA5430" s="227"/>
      <c r="BB5430" s="227"/>
      <c r="BC5430" s="227"/>
      <c r="BD5430" s="227"/>
      <c r="BE5430" s="227"/>
      <c r="BF5430" s="227"/>
    </row>
    <row r="5431">
      <c r="A5431" s="227"/>
      <c r="B5431" s="348"/>
      <c r="C5431" s="227"/>
      <c r="D5431" s="227"/>
      <c r="E5431" s="231"/>
      <c r="F5431" s="348"/>
      <c r="G5431" s="227"/>
      <c r="H5431" s="227"/>
      <c r="I5431" s="227"/>
      <c r="J5431" s="227"/>
      <c r="K5431" s="227"/>
      <c r="L5431" s="348"/>
      <c r="M5431" s="348"/>
      <c r="N5431" s="227"/>
      <c r="O5431" s="227"/>
      <c r="P5431" s="231"/>
      <c r="Q5431" s="231"/>
      <c r="R5431" s="227"/>
      <c r="S5431" s="231"/>
      <c r="T5431" s="231"/>
      <c r="U5431" s="231"/>
      <c r="V5431" s="231"/>
      <c r="W5431" s="231"/>
      <c r="X5431" s="227"/>
      <c r="Y5431" s="348"/>
      <c r="Z5431" s="348"/>
      <c r="AA5431" s="348"/>
      <c r="AB5431" s="348"/>
      <c r="AC5431" s="227"/>
      <c r="AD5431" s="227"/>
      <c r="AE5431" s="231"/>
      <c r="AF5431" s="227"/>
      <c r="AG5431" s="348"/>
      <c r="AH5431" s="348"/>
      <c r="AI5431" s="348"/>
      <c r="AJ5431" s="348"/>
      <c r="AK5431" s="348"/>
      <c r="AL5431" s="348"/>
      <c r="AM5431" s="348"/>
      <c r="AN5431" s="348"/>
      <c r="AO5431" s="231"/>
      <c r="AP5431" s="231"/>
      <c r="AQ5431" s="227"/>
      <c r="AR5431" s="231"/>
      <c r="AS5431" s="227"/>
      <c r="AT5431" s="227"/>
      <c r="AU5431" s="227"/>
      <c r="AV5431" s="227"/>
      <c r="AW5431" s="227"/>
      <c r="AX5431" s="227"/>
      <c r="AY5431" s="227"/>
      <c r="AZ5431" s="227"/>
      <c r="BA5431" s="227"/>
      <c r="BB5431" s="227"/>
      <c r="BC5431" s="227"/>
      <c r="BD5431" s="227"/>
      <c r="BE5431" s="227"/>
      <c r="BF5431" s="227"/>
    </row>
    <row r="5432">
      <c r="A5432" s="227"/>
      <c r="B5432" s="348"/>
      <c r="C5432" s="227"/>
      <c r="D5432" s="227"/>
      <c r="E5432" s="231"/>
      <c r="F5432" s="348"/>
      <c r="G5432" s="227"/>
      <c r="H5432" s="227"/>
      <c r="I5432" s="227"/>
      <c r="J5432" s="227"/>
      <c r="K5432" s="227"/>
      <c r="L5432" s="348"/>
      <c r="M5432" s="348"/>
      <c r="N5432" s="227"/>
      <c r="O5432" s="227"/>
      <c r="P5432" s="231"/>
      <c r="Q5432" s="231"/>
      <c r="R5432" s="227"/>
      <c r="S5432" s="231"/>
      <c r="T5432" s="231"/>
      <c r="U5432" s="231"/>
      <c r="V5432" s="231"/>
      <c r="W5432" s="231"/>
      <c r="X5432" s="227"/>
      <c r="Y5432" s="348"/>
      <c r="Z5432" s="348"/>
      <c r="AA5432" s="348"/>
      <c r="AB5432" s="348"/>
      <c r="AC5432" s="227"/>
      <c r="AD5432" s="227"/>
      <c r="AE5432" s="231"/>
      <c r="AF5432" s="227"/>
      <c r="AG5432" s="348"/>
      <c r="AH5432" s="348"/>
      <c r="AI5432" s="348"/>
      <c r="AJ5432" s="348"/>
      <c r="AK5432" s="348"/>
      <c r="AL5432" s="348"/>
      <c r="AM5432" s="348"/>
      <c r="AN5432" s="348"/>
      <c r="AO5432" s="231"/>
      <c r="AP5432" s="231"/>
      <c r="AQ5432" s="227"/>
      <c r="AR5432" s="231"/>
      <c r="AS5432" s="227"/>
      <c r="AT5432" s="227"/>
      <c r="AU5432" s="227"/>
      <c r="AV5432" s="227"/>
      <c r="AW5432" s="227"/>
      <c r="AX5432" s="227"/>
      <c r="AY5432" s="227"/>
      <c r="AZ5432" s="227"/>
      <c r="BA5432" s="227"/>
      <c r="BB5432" s="227"/>
      <c r="BC5432" s="227"/>
      <c r="BD5432" s="227"/>
      <c r="BE5432" s="227"/>
      <c r="BF5432" s="227"/>
    </row>
    <row r="5433">
      <c r="A5433" s="227"/>
      <c r="B5433" s="348"/>
      <c r="C5433" s="227"/>
      <c r="D5433" s="227"/>
      <c r="E5433" s="231"/>
      <c r="F5433" s="348"/>
      <c r="G5433" s="227"/>
      <c r="H5433" s="227"/>
      <c r="I5433" s="227"/>
      <c r="J5433" s="227"/>
      <c r="K5433" s="227"/>
      <c r="L5433" s="348"/>
      <c r="M5433" s="348"/>
      <c r="N5433" s="227"/>
      <c r="O5433" s="227"/>
      <c r="P5433" s="231"/>
      <c r="Q5433" s="231"/>
      <c r="R5433" s="227"/>
      <c r="S5433" s="231"/>
      <c r="T5433" s="231"/>
      <c r="U5433" s="231"/>
      <c r="V5433" s="231"/>
      <c r="W5433" s="231"/>
      <c r="X5433" s="227"/>
      <c r="Y5433" s="348"/>
      <c r="Z5433" s="348"/>
      <c r="AA5433" s="348"/>
      <c r="AB5433" s="348"/>
      <c r="AC5433" s="227"/>
      <c r="AD5433" s="227"/>
      <c r="AE5433" s="231"/>
      <c r="AF5433" s="227"/>
      <c r="AG5433" s="348"/>
      <c r="AH5433" s="348"/>
      <c r="AI5433" s="348"/>
      <c r="AJ5433" s="348"/>
      <c r="AK5433" s="348"/>
      <c r="AL5433" s="348"/>
      <c r="AM5433" s="348"/>
      <c r="AN5433" s="348"/>
      <c r="AO5433" s="231"/>
      <c r="AP5433" s="231"/>
      <c r="AQ5433" s="227"/>
      <c r="AR5433" s="231"/>
      <c r="AS5433" s="227"/>
      <c r="AT5433" s="227"/>
      <c r="AU5433" s="227"/>
      <c r="AV5433" s="227"/>
      <c r="AW5433" s="227"/>
      <c r="AX5433" s="227"/>
      <c r="AY5433" s="227"/>
      <c r="AZ5433" s="227"/>
      <c r="BA5433" s="227"/>
      <c r="BB5433" s="227"/>
      <c r="BC5433" s="227"/>
      <c r="BD5433" s="227"/>
      <c r="BE5433" s="227"/>
      <c r="BF5433" s="227"/>
    </row>
    <row r="5434">
      <c r="A5434" s="227"/>
      <c r="B5434" s="348"/>
      <c r="C5434" s="227"/>
      <c r="D5434" s="227"/>
      <c r="E5434" s="231"/>
      <c r="F5434" s="348"/>
      <c r="G5434" s="227"/>
      <c r="H5434" s="227"/>
      <c r="I5434" s="227"/>
      <c r="J5434" s="227"/>
      <c r="K5434" s="227"/>
      <c r="L5434" s="348"/>
      <c r="M5434" s="348"/>
      <c r="N5434" s="227"/>
      <c r="O5434" s="227"/>
      <c r="P5434" s="231"/>
      <c r="Q5434" s="231"/>
      <c r="R5434" s="227"/>
      <c r="S5434" s="231"/>
      <c r="T5434" s="231"/>
      <c r="U5434" s="231"/>
      <c r="V5434" s="231"/>
      <c r="W5434" s="231"/>
      <c r="X5434" s="227"/>
      <c r="Y5434" s="348"/>
      <c r="Z5434" s="348"/>
      <c r="AA5434" s="348"/>
      <c r="AB5434" s="348"/>
      <c r="AC5434" s="227"/>
      <c r="AD5434" s="227"/>
      <c r="AE5434" s="231"/>
      <c r="AF5434" s="227"/>
      <c r="AG5434" s="348"/>
      <c r="AH5434" s="348"/>
      <c r="AI5434" s="348"/>
      <c r="AJ5434" s="348"/>
      <c r="AK5434" s="348"/>
      <c r="AL5434" s="348"/>
      <c r="AM5434" s="348"/>
      <c r="AN5434" s="348"/>
      <c r="AO5434" s="231"/>
      <c r="AP5434" s="231"/>
      <c r="AQ5434" s="227"/>
      <c r="AR5434" s="231"/>
      <c r="AS5434" s="227"/>
      <c r="AT5434" s="227"/>
      <c r="AU5434" s="227"/>
      <c r="AV5434" s="227"/>
      <c r="AW5434" s="227"/>
      <c r="AX5434" s="227"/>
      <c r="AY5434" s="227"/>
      <c r="AZ5434" s="227"/>
      <c r="BA5434" s="227"/>
      <c r="BB5434" s="227"/>
      <c r="BC5434" s="227"/>
      <c r="BD5434" s="227"/>
      <c r="BE5434" s="227"/>
      <c r="BF5434" s="227"/>
    </row>
    <row r="5435">
      <c r="A5435" s="227"/>
      <c r="B5435" s="348"/>
      <c r="C5435" s="227"/>
      <c r="D5435" s="227"/>
      <c r="E5435" s="231"/>
      <c r="F5435" s="348"/>
      <c r="G5435" s="227"/>
      <c r="H5435" s="227"/>
      <c r="I5435" s="227"/>
      <c r="J5435" s="227"/>
      <c r="K5435" s="227"/>
      <c r="L5435" s="348"/>
      <c r="M5435" s="348"/>
      <c r="N5435" s="227"/>
      <c r="O5435" s="227"/>
      <c r="P5435" s="231"/>
      <c r="Q5435" s="231"/>
      <c r="R5435" s="227"/>
      <c r="S5435" s="231"/>
      <c r="T5435" s="231"/>
      <c r="U5435" s="231"/>
      <c r="V5435" s="231"/>
      <c r="W5435" s="231"/>
      <c r="X5435" s="227"/>
      <c r="Y5435" s="348"/>
      <c r="Z5435" s="348"/>
      <c r="AA5435" s="348"/>
      <c r="AB5435" s="348"/>
      <c r="AC5435" s="227"/>
      <c r="AD5435" s="227"/>
      <c r="AE5435" s="231"/>
      <c r="AF5435" s="227"/>
      <c r="AG5435" s="348"/>
      <c r="AH5435" s="348"/>
      <c r="AI5435" s="348"/>
      <c r="AJ5435" s="348"/>
      <c r="AK5435" s="348"/>
      <c r="AL5435" s="348"/>
      <c r="AM5435" s="348"/>
      <c r="AN5435" s="348"/>
      <c r="AO5435" s="231"/>
      <c r="AP5435" s="231"/>
      <c r="AQ5435" s="227"/>
      <c r="AR5435" s="231"/>
      <c r="AS5435" s="227"/>
      <c r="AT5435" s="227"/>
      <c r="AU5435" s="227"/>
      <c r="AV5435" s="227"/>
      <c r="AW5435" s="227"/>
      <c r="AX5435" s="227"/>
      <c r="AY5435" s="227"/>
      <c r="AZ5435" s="227"/>
      <c r="BA5435" s="227"/>
      <c r="BB5435" s="227"/>
      <c r="BC5435" s="227"/>
      <c r="BD5435" s="227"/>
      <c r="BE5435" s="227"/>
      <c r="BF5435" s="227"/>
    </row>
    <row r="5436">
      <c r="A5436" s="227"/>
      <c r="B5436" s="348"/>
      <c r="C5436" s="227"/>
      <c r="D5436" s="227"/>
      <c r="E5436" s="231"/>
      <c r="F5436" s="348"/>
      <c r="G5436" s="227"/>
      <c r="H5436" s="227"/>
      <c r="I5436" s="227"/>
      <c r="J5436" s="227"/>
      <c r="K5436" s="227"/>
      <c r="L5436" s="348"/>
      <c r="M5436" s="348"/>
      <c r="N5436" s="227"/>
      <c r="O5436" s="227"/>
      <c r="P5436" s="231"/>
      <c r="Q5436" s="231"/>
      <c r="R5436" s="227"/>
      <c r="S5436" s="231"/>
      <c r="T5436" s="231"/>
      <c r="U5436" s="231"/>
      <c r="V5436" s="231"/>
      <c r="W5436" s="231"/>
      <c r="X5436" s="227"/>
      <c r="Y5436" s="348"/>
      <c r="Z5436" s="348"/>
      <c r="AA5436" s="348"/>
      <c r="AB5436" s="348"/>
      <c r="AC5436" s="227"/>
      <c r="AD5436" s="227"/>
      <c r="AE5436" s="231"/>
      <c r="AF5436" s="227"/>
      <c r="AG5436" s="348"/>
      <c r="AH5436" s="348"/>
      <c r="AI5436" s="348"/>
      <c r="AJ5436" s="348"/>
      <c r="AK5436" s="348"/>
      <c r="AL5436" s="348"/>
      <c r="AM5436" s="348"/>
      <c r="AN5436" s="348"/>
      <c r="AO5436" s="231"/>
      <c r="AP5436" s="231"/>
      <c r="AQ5436" s="227"/>
      <c r="AR5436" s="231"/>
      <c r="AS5436" s="227"/>
      <c r="AT5436" s="227"/>
      <c r="AU5436" s="227"/>
      <c r="AV5436" s="227"/>
      <c r="AW5436" s="227"/>
      <c r="AX5436" s="227"/>
      <c r="AY5436" s="227"/>
      <c r="AZ5436" s="227"/>
      <c r="BA5436" s="227"/>
      <c r="BB5436" s="227"/>
      <c r="BC5436" s="227"/>
      <c r="BD5436" s="227"/>
      <c r="BE5436" s="227"/>
      <c r="BF5436" s="227"/>
    </row>
    <row r="5437">
      <c r="A5437" s="227"/>
      <c r="B5437" s="348"/>
      <c r="C5437" s="227"/>
      <c r="D5437" s="227"/>
      <c r="E5437" s="231"/>
      <c r="F5437" s="348"/>
      <c r="G5437" s="227"/>
      <c r="H5437" s="227"/>
      <c r="I5437" s="227"/>
      <c r="J5437" s="227"/>
      <c r="K5437" s="227"/>
      <c r="L5437" s="348"/>
      <c r="M5437" s="348"/>
      <c r="N5437" s="227"/>
      <c r="O5437" s="227"/>
      <c r="P5437" s="231"/>
      <c r="Q5437" s="231"/>
      <c r="R5437" s="227"/>
      <c r="S5437" s="231"/>
      <c r="T5437" s="231"/>
      <c r="U5437" s="231"/>
      <c r="V5437" s="231"/>
      <c r="W5437" s="231"/>
      <c r="X5437" s="227"/>
      <c r="Y5437" s="348"/>
      <c r="Z5437" s="348"/>
      <c r="AA5437" s="348"/>
      <c r="AB5437" s="348"/>
      <c r="AC5437" s="227"/>
      <c r="AD5437" s="227"/>
      <c r="AE5437" s="231"/>
      <c r="AF5437" s="227"/>
      <c r="AG5437" s="348"/>
      <c r="AH5437" s="348"/>
      <c r="AI5437" s="348"/>
      <c r="AJ5437" s="348"/>
      <c r="AK5437" s="348"/>
      <c r="AL5437" s="348"/>
      <c r="AM5437" s="348"/>
      <c r="AN5437" s="348"/>
      <c r="AO5437" s="231"/>
      <c r="AP5437" s="231"/>
      <c r="AQ5437" s="227"/>
      <c r="AR5437" s="231"/>
      <c r="AS5437" s="227"/>
      <c r="AT5437" s="227"/>
      <c r="AU5437" s="227"/>
      <c r="AV5437" s="227"/>
      <c r="AW5437" s="227"/>
      <c r="AX5437" s="227"/>
      <c r="AY5437" s="227"/>
      <c r="AZ5437" s="227"/>
      <c r="BA5437" s="227"/>
      <c r="BB5437" s="227"/>
      <c r="BC5437" s="227"/>
      <c r="BD5437" s="227"/>
      <c r="BE5437" s="227"/>
      <c r="BF5437" s="227"/>
    </row>
    <row r="5438">
      <c r="A5438" s="227"/>
      <c r="B5438" s="348"/>
      <c r="C5438" s="227"/>
      <c r="D5438" s="227"/>
      <c r="E5438" s="231"/>
      <c r="F5438" s="348"/>
      <c r="G5438" s="227"/>
      <c r="H5438" s="227"/>
      <c r="I5438" s="227"/>
      <c r="J5438" s="227"/>
      <c r="K5438" s="227"/>
      <c r="L5438" s="348"/>
      <c r="M5438" s="348"/>
      <c r="N5438" s="227"/>
      <c r="O5438" s="227"/>
      <c r="P5438" s="231"/>
      <c r="Q5438" s="231"/>
      <c r="R5438" s="227"/>
      <c r="S5438" s="231"/>
      <c r="T5438" s="231"/>
      <c r="U5438" s="231"/>
      <c r="V5438" s="231"/>
      <c r="W5438" s="231"/>
      <c r="X5438" s="227"/>
      <c r="Y5438" s="348"/>
      <c r="Z5438" s="348"/>
      <c r="AA5438" s="348"/>
      <c r="AB5438" s="348"/>
      <c r="AC5438" s="227"/>
      <c r="AD5438" s="227"/>
      <c r="AE5438" s="231"/>
      <c r="AF5438" s="227"/>
      <c r="AG5438" s="348"/>
      <c r="AH5438" s="348"/>
      <c r="AI5438" s="348"/>
      <c r="AJ5438" s="348"/>
      <c r="AK5438" s="348"/>
      <c r="AL5438" s="348"/>
      <c r="AM5438" s="348"/>
      <c r="AN5438" s="348"/>
      <c r="AO5438" s="231"/>
      <c r="AP5438" s="231"/>
      <c r="AQ5438" s="227"/>
      <c r="AR5438" s="231"/>
      <c r="AS5438" s="227"/>
      <c r="AT5438" s="227"/>
      <c r="AU5438" s="227"/>
      <c r="AV5438" s="227"/>
      <c r="AW5438" s="227"/>
      <c r="AX5438" s="227"/>
      <c r="AY5438" s="227"/>
      <c r="AZ5438" s="227"/>
      <c r="BA5438" s="227"/>
      <c r="BB5438" s="227"/>
      <c r="BC5438" s="227"/>
      <c r="BD5438" s="227"/>
      <c r="BE5438" s="227"/>
      <c r="BF5438" s="227"/>
    </row>
    <row r="5439">
      <c r="A5439" s="227"/>
      <c r="B5439" s="348"/>
      <c r="C5439" s="227"/>
      <c r="D5439" s="227"/>
      <c r="E5439" s="231"/>
      <c r="F5439" s="348"/>
      <c r="G5439" s="227"/>
      <c r="H5439" s="227"/>
      <c r="I5439" s="227"/>
      <c r="J5439" s="227"/>
      <c r="K5439" s="227"/>
      <c r="L5439" s="348"/>
      <c r="M5439" s="348"/>
      <c r="N5439" s="227"/>
      <c r="O5439" s="227"/>
      <c r="P5439" s="231"/>
      <c r="Q5439" s="231"/>
      <c r="R5439" s="227"/>
      <c r="S5439" s="231"/>
      <c r="T5439" s="231"/>
      <c r="U5439" s="231"/>
      <c r="V5439" s="231"/>
      <c r="W5439" s="231"/>
      <c r="X5439" s="227"/>
      <c r="Y5439" s="348"/>
      <c r="Z5439" s="348"/>
      <c r="AA5439" s="348"/>
      <c r="AB5439" s="348"/>
      <c r="AC5439" s="227"/>
      <c r="AD5439" s="227"/>
      <c r="AE5439" s="231"/>
      <c r="AF5439" s="227"/>
      <c r="AG5439" s="348"/>
      <c r="AH5439" s="348"/>
      <c r="AI5439" s="348"/>
      <c r="AJ5439" s="348"/>
      <c r="AK5439" s="348"/>
      <c r="AL5439" s="348"/>
      <c r="AM5439" s="348"/>
      <c r="AN5439" s="348"/>
      <c r="AO5439" s="231"/>
      <c r="AP5439" s="231"/>
      <c r="AQ5439" s="227"/>
      <c r="AR5439" s="231"/>
      <c r="AS5439" s="227"/>
      <c r="AT5439" s="227"/>
      <c r="AU5439" s="227"/>
      <c r="AV5439" s="227"/>
      <c r="AW5439" s="227"/>
      <c r="AX5439" s="227"/>
      <c r="AY5439" s="227"/>
      <c r="AZ5439" s="227"/>
      <c r="BA5439" s="227"/>
      <c r="BB5439" s="227"/>
      <c r="BC5439" s="227"/>
      <c r="BD5439" s="227"/>
      <c r="BE5439" s="227"/>
      <c r="BF5439" s="227"/>
    </row>
    <row r="5440">
      <c r="A5440" s="227"/>
      <c r="B5440" s="348"/>
      <c r="C5440" s="227"/>
      <c r="D5440" s="227"/>
      <c r="E5440" s="231"/>
      <c r="F5440" s="348"/>
      <c r="G5440" s="227"/>
      <c r="H5440" s="227"/>
      <c r="I5440" s="227"/>
      <c r="J5440" s="227"/>
      <c r="K5440" s="227"/>
      <c r="L5440" s="348"/>
      <c r="M5440" s="348"/>
      <c r="N5440" s="227"/>
      <c r="O5440" s="227"/>
      <c r="P5440" s="231"/>
      <c r="Q5440" s="231"/>
      <c r="R5440" s="227"/>
      <c r="S5440" s="231"/>
      <c r="T5440" s="231"/>
      <c r="U5440" s="231"/>
      <c r="V5440" s="231"/>
      <c r="W5440" s="231"/>
      <c r="X5440" s="227"/>
      <c r="Y5440" s="348"/>
      <c r="Z5440" s="348"/>
      <c r="AA5440" s="348"/>
      <c r="AB5440" s="348"/>
      <c r="AC5440" s="227"/>
      <c r="AD5440" s="227"/>
      <c r="AE5440" s="231"/>
      <c r="AF5440" s="227"/>
      <c r="AG5440" s="348"/>
      <c r="AH5440" s="348"/>
      <c r="AI5440" s="348"/>
      <c r="AJ5440" s="348"/>
      <c r="AK5440" s="348"/>
      <c r="AL5440" s="348"/>
      <c r="AM5440" s="348"/>
      <c r="AN5440" s="348"/>
      <c r="AO5440" s="231"/>
      <c r="AP5440" s="231"/>
      <c r="AQ5440" s="227"/>
      <c r="AR5440" s="231"/>
      <c r="AS5440" s="227"/>
      <c r="AT5440" s="227"/>
      <c r="AU5440" s="227"/>
      <c r="AV5440" s="227"/>
      <c r="AW5440" s="227"/>
      <c r="AX5440" s="227"/>
      <c r="AY5440" s="227"/>
      <c r="AZ5440" s="227"/>
      <c r="BA5440" s="227"/>
      <c r="BB5440" s="227"/>
      <c r="BC5440" s="227"/>
      <c r="BD5440" s="227"/>
      <c r="BE5440" s="227"/>
      <c r="BF5440" s="227"/>
    </row>
    <row r="5441">
      <c r="A5441" s="227"/>
      <c r="B5441" s="348"/>
      <c r="C5441" s="227"/>
      <c r="D5441" s="227"/>
      <c r="E5441" s="231"/>
      <c r="F5441" s="348"/>
      <c r="G5441" s="227"/>
      <c r="H5441" s="227"/>
      <c r="I5441" s="227"/>
      <c r="J5441" s="227"/>
      <c r="K5441" s="227"/>
      <c r="L5441" s="348"/>
      <c r="M5441" s="348"/>
      <c r="N5441" s="227"/>
      <c r="O5441" s="227"/>
      <c r="P5441" s="231"/>
      <c r="Q5441" s="231"/>
      <c r="R5441" s="227"/>
      <c r="S5441" s="231"/>
      <c r="T5441" s="231"/>
      <c r="U5441" s="231"/>
      <c r="V5441" s="231"/>
      <c r="W5441" s="231"/>
      <c r="X5441" s="227"/>
      <c r="Y5441" s="348"/>
      <c r="Z5441" s="348"/>
      <c r="AA5441" s="348"/>
      <c r="AB5441" s="348"/>
      <c r="AC5441" s="227"/>
      <c r="AD5441" s="227"/>
      <c r="AE5441" s="231"/>
      <c r="AF5441" s="227"/>
      <c r="AG5441" s="348"/>
      <c r="AH5441" s="348"/>
      <c r="AI5441" s="348"/>
      <c r="AJ5441" s="348"/>
      <c r="AK5441" s="348"/>
      <c r="AL5441" s="348"/>
      <c r="AM5441" s="348"/>
      <c r="AN5441" s="348"/>
      <c r="AO5441" s="231"/>
      <c r="AP5441" s="231"/>
      <c r="AQ5441" s="227"/>
      <c r="AR5441" s="231"/>
      <c r="AS5441" s="227"/>
      <c r="AT5441" s="227"/>
      <c r="AU5441" s="227"/>
      <c r="AV5441" s="227"/>
      <c r="AW5441" s="227"/>
      <c r="AX5441" s="227"/>
      <c r="AY5441" s="227"/>
      <c r="AZ5441" s="227"/>
      <c r="BA5441" s="227"/>
      <c r="BB5441" s="227"/>
      <c r="BC5441" s="227"/>
      <c r="BD5441" s="227"/>
      <c r="BE5441" s="227"/>
      <c r="BF5441" s="227"/>
    </row>
    <row r="5442">
      <c r="A5442" s="227"/>
      <c r="B5442" s="348"/>
      <c r="C5442" s="227"/>
      <c r="D5442" s="227"/>
      <c r="E5442" s="231"/>
      <c r="F5442" s="348"/>
      <c r="G5442" s="227"/>
      <c r="H5442" s="227"/>
      <c r="I5442" s="227"/>
      <c r="J5442" s="227"/>
      <c r="K5442" s="227"/>
      <c r="L5442" s="348"/>
      <c r="M5442" s="348"/>
      <c r="N5442" s="227"/>
      <c r="O5442" s="227"/>
      <c r="P5442" s="231"/>
      <c r="Q5442" s="231"/>
      <c r="R5442" s="227"/>
      <c r="S5442" s="231"/>
      <c r="T5442" s="231"/>
      <c r="U5442" s="231"/>
      <c r="V5442" s="231"/>
      <c r="W5442" s="231"/>
      <c r="X5442" s="227"/>
      <c r="Y5442" s="348"/>
      <c r="Z5442" s="348"/>
      <c r="AA5442" s="348"/>
      <c r="AB5442" s="348"/>
      <c r="AC5442" s="227"/>
      <c r="AD5442" s="227"/>
      <c r="AE5442" s="231"/>
      <c r="AF5442" s="227"/>
      <c r="AG5442" s="348"/>
      <c r="AH5442" s="348"/>
      <c r="AI5442" s="348"/>
      <c r="AJ5442" s="348"/>
      <c r="AK5442" s="348"/>
      <c r="AL5442" s="348"/>
      <c r="AM5442" s="348"/>
      <c r="AN5442" s="348"/>
      <c r="AO5442" s="231"/>
      <c r="AP5442" s="231"/>
      <c r="AQ5442" s="227"/>
      <c r="AR5442" s="231"/>
      <c r="AS5442" s="227"/>
      <c r="AT5442" s="227"/>
      <c r="AU5442" s="227"/>
      <c r="AV5442" s="227"/>
      <c r="AW5442" s="227"/>
      <c r="AX5442" s="227"/>
      <c r="AY5442" s="227"/>
      <c r="AZ5442" s="227"/>
      <c r="BA5442" s="227"/>
      <c r="BB5442" s="227"/>
      <c r="BC5442" s="227"/>
      <c r="BD5442" s="227"/>
      <c r="BE5442" s="227"/>
      <c r="BF5442" s="227"/>
    </row>
    <row r="5443">
      <c r="A5443" s="227"/>
      <c r="B5443" s="348"/>
      <c r="C5443" s="227"/>
      <c r="D5443" s="227"/>
      <c r="E5443" s="231"/>
      <c r="F5443" s="348"/>
      <c r="G5443" s="227"/>
      <c r="H5443" s="227"/>
      <c r="I5443" s="227"/>
      <c r="J5443" s="227"/>
      <c r="K5443" s="227"/>
      <c r="L5443" s="348"/>
      <c r="M5443" s="348"/>
      <c r="N5443" s="227"/>
      <c r="O5443" s="227"/>
      <c r="P5443" s="231"/>
      <c r="Q5443" s="231"/>
      <c r="R5443" s="227"/>
      <c r="S5443" s="231"/>
      <c r="T5443" s="231"/>
      <c r="U5443" s="231"/>
      <c r="V5443" s="231"/>
      <c r="W5443" s="231"/>
      <c r="X5443" s="227"/>
      <c r="Y5443" s="348"/>
      <c r="Z5443" s="348"/>
      <c r="AA5443" s="348"/>
      <c r="AB5443" s="348"/>
      <c r="AC5443" s="227"/>
      <c r="AD5443" s="227"/>
      <c r="AE5443" s="231"/>
      <c r="AF5443" s="227"/>
      <c r="AG5443" s="348"/>
      <c r="AH5443" s="348"/>
      <c r="AI5443" s="348"/>
      <c r="AJ5443" s="348"/>
      <c r="AK5443" s="348"/>
      <c r="AL5443" s="348"/>
      <c r="AM5443" s="348"/>
      <c r="AN5443" s="348"/>
      <c r="AO5443" s="231"/>
      <c r="AP5443" s="231"/>
      <c r="AQ5443" s="227"/>
      <c r="AR5443" s="231"/>
      <c r="AS5443" s="227"/>
      <c r="AT5443" s="227"/>
      <c r="AU5443" s="227"/>
      <c r="AV5443" s="227"/>
      <c r="AW5443" s="227"/>
      <c r="AX5443" s="227"/>
      <c r="AY5443" s="227"/>
      <c r="AZ5443" s="227"/>
      <c r="BA5443" s="227"/>
      <c r="BB5443" s="227"/>
      <c r="BC5443" s="227"/>
      <c r="BD5443" s="227"/>
      <c r="BE5443" s="227"/>
      <c r="BF5443" s="227"/>
    </row>
    <row r="5444">
      <c r="A5444" s="227"/>
      <c r="B5444" s="348"/>
      <c r="C5444" s="227"/>
      <c r="D5444" s="227"/>
      <c r="E5444" s="231"/>
      <c r="F5444" s="348"/>
      <c r="G5444" s="227"/>
      <c r="H5444" s="227"/>
      <c r="I5444" s="227"/>
      <c r="J5444" s="227"/>
      <c r="K5444" s="227"/>
      <c r="L5444" s="348"/>
      <c r="M5444" s="348"/>
      <c r="N5444" s="227"/>
      <c r="O5444" s="227"/>
      <c r="P5444" s="231"/>
      <c r="Q5444" s="231"/>
      <c r="R5444" s="227"/>
      <c r="S5444" s="231"/>
      <c r="T5444" s="231"/>
      <c r="U5444" s="231"/>
      <c r="V5444" s="231"/>
      <c r="W5444" s="231"/>
      <c r="X5444" s="227"/>
      <c r="Y5444" s="348"/>
      <c r="Z5444" s="348"/>
      <c r="AA5444" s="348"/>
      <c r="AB5444" s="348"/>
      <c r="AC5444" s="227"/>
      <c r="AD5444" s="227"/>
      <c r="AE5444" s="231"/>
      <c r="AF5444" s="227"/>
      <c r="AG5444" s="348"/>
      <c r="AH5444" s="348"/>
      <c r="AI5444" s="348"/>
      <c r="AJ5444" s="348"/>
      <c r="AK5444" s="348"/>
      <c r="AL5444" s="348"/>
      <c r="AM5444" s="348"/>
      <c r="AN5444" s="348"/>
      <c r="AO5444" s="231"/>
      <c r="AP5444" s="231"/>
      <c r="AQ5444" s="227"/>
      <c r="AR5444" s="231"/>
      <c r="AS5444" s="227"/>
      <c r="AT5444" s="227"/>
      <c r="AU5444" s="227"/>
      <c r="AV5444" s="227"/>
      <c r="AW5444" s="227"/>
      <c r="AX5444" s="227"/>
      <c r="AY5444" s="227"/>
      <c r="AZ5444" s="227"/>
      <c r="BA5444" s="227"/>
      <c r="BB5444" s="227"/>
      <c r="BC5444" s="227"/>
      <c r="BD5444" s="227"/>
      <c r="BE5444" s="227"/>
      <c r="BF5444" s="227"/>
    </row>
    <row r="5445">
      <c r="A5445" s="227"/>
      <c r="B5445" s="348"/>
      <c r="C5445" s="227"/>
      <c r="D5445" s="227"/>
      <c r="E5445" s="231"/>
      <c r="F5445" s="348"/>
      <c r="G5445" s="227"/>
      <c r="H5445" s="227"/>
      <c r="I5445" s="227"/>
      <c r="J5445" s="227"/>
      <c r="K5445" s="227"/>
      <c r="L5445" s="348"/>
      <c r="M5445" s="348"/>
      <c r="N5445" s="227"/>
      <c r="O5445" s="227"/>
      <c r="P5445" s="231"/>
      <c r="Q5445" s="231"/>
      <c r="R5445" s="227"/>
      <c r="S5445" s="231"/>
      <c r="T5445" s="231"/>
      <c r="U5445" s="231"/>
      <c r="V5445" s="231"/>
      <c r="W5445" s="231"/>
      <c r="X5445" s="227"/>
      <c r="Y5445" s="348"/>
      <c r="Z5445" s="348"/>
      <c r="AA5445" s="348"/>
      <c r="AB5445" s="348"/>
      <c r="AC5445" s="227"/>
      <c r="AD5445" s="227"/>
      <c r="AE5445" s="231"/>
      <c r="AF5445" s="227"/>
      <c r="AG5445" s="348"/>
      <c r="AH5445" s="348"/>
      <c r="AI5445" s="348"/>
      <c r="AJ5445" s="348"/>
      <c r="AK5445" s="348"/>
      <c r="AL5445" s="348"/>
      <c r="AM5445" s="348"/>
      <c r="AN5445" s="348"/>
      <c r="AO5445" s="231"/>
      <c r="AP5445" s="231"/>
      <c r="AQ5445" s="227"/>
      <c r="AR5445" s="231"/>
      <c r="AS5445" s="227"/>
      <c r="AT5445" s="227"/>
      <c r="AU5445" s="227"/>
      <c r="AV5445" s="227"/>
      <c r="AW5445" s="227"/>
      <c r="AX5445" s="227"/>
      <c r="AY5445" s="227"/>
      <c r="AZ5445" s="227"/>
      <c r="BA5445" s="227"/>
      <c r="BB5445" s="227"/>
      <c r="BC5445" s="227"/>
      <c r="BD5445" s="227"/>
      <c r="BE5445" s="227"/>
      <c r="BF5445" s="227"/>
    </row>
    <row r="5446">
      <c r="A5446" s="227"/>
      <c r="B5446" s="348"/>
      <c r="C5446" s="227"/>
      <c r="D5446" s="227"/>
      <c r="E5446" s="231"/>
      <c r="F5446" s="348"/>
      <c r="G5446" s="227"/>
      <c r="H5446" s="227"/>
      <c r="I5446" s="227"/>
      <c r="J5446" s="227"/>
      <c r="K5446" s="227"/>
      <c r="L5446" s="348"/>
      <c r="M5446" s="348"/>
      <c r="N5446" s="227"/>
      <c r="O5446" s="227"/>
      <c r="P5446" s="231"/>
      <c r="Q5446" s="231"/>
      <c r="R5446" s="227"/>
      <c r="S5446" s="231"/>
      <c r="T5446" s="231"/>
      <c r="U5446" s="231"/>
      <c r="V5446" s="231"/>
      <c r="W5446" s="231"/>
      <c r="X5446" s="227"/>
      <c r="Y5446" s="348"/>
      <c r="Z5446" s="348"/>
      <c r="AA5446" s="348"/>
      <c r="AB5446" s="348"/>
      <c r="AC5446" s="227"/>
      <c r="AD5446" s="227"/>
      <c r="AE5446" s="231"/>
      <c r="AF5446" s="227"/>
      <c r="AG5446" s="348"/>
      <c r="AH5446" s="348"/>
      <c r="AI5446" s="348"/>
      <c r="AJ5446" s="348"/>
      <c r="AK5446" s="348"/>
      <c r="AL5446" s="348"/>
      <c r="AM5446" s="348"/>
      <c r="AN5446" s="348"/>
      <c r="AO5446" s="231"/>
      <c r="AP5446" s="231"/>
      <c r="AQ5446" s="227"/>
      <c r="AR5446" s="231"/>
      <c r="AS5446" s="227"/>
      <c r="AT5446" s="227"/>
      <c r="AU5446" s="227"/>
      <c r="AV5446" s="227"/>
      <c r="AW5446" s="227"/>
      <c r="AX5446" s="227"/>
      <c r="AY5446" s="227"/>
      <c r="AZ5446" s="227"/>
      <c r="BA5446" s="227"/>
      <c r="BB5446" s="227"/>
      <c r="BC5446" s="227"/>
      <c r="BD5446" s="227"/>
      <c r="BE5446" s="227"/>
      <c r="BF5446" s="227"/>
    </row>
    <row r="5447">
      <c r="A5447" s="227"/>
      <c r="B5447" s="348"/>
      <c r="C5447" s="227"/>
      <c r="D5447" s="227"/>
      <c r="E5447" s="231"/>
      <c r="F5447" s="348"/>
      <c r="G5447" s="227"/>
      <c r="H5447" s="227"/>
      <c r="I5447" s="227"/>
      <c r="J5447" s="227"/>
      <c r="K5447" s="227"/>
      <c r="L5447" s="348"/>
      <c r="M5447" s="348"/>
      <c r="N5447" s="227"/>
      <c r="O5447" s="227"/>
      <c r="P5447" s="231"/>
      <c r="Q5447" s="231"/>
      <c r="R5447" s="227"/>
      <c r="S5447" s="231"/>
      <c r="T5447" s="231"/>
      <c r="U5447" s="231"/>
      <c r="V5447" s="231"/>
      <c r="W5447" s="231"/>
      <c r="X5447" s="227"/>
      <c r="Y5447" s="348"/>
      <c r="Z5447" s="348"/>
      <c r="AA5447" s="348"/>
      <c r="AB5447" s="348"/>
      <c r="AC5447" s="227"/>
      <c r="AD5447" s="227"/>
      <c r="AE5447" s="231"/>
      <c r="AF5447" s="227"/>
      <c r="AG5447" s="348"/>
      <c r="AH5447" s="348"/>
      <c r="AI5447" s="348"/>
      <c r="AJ5447" s="348"/>
      <c r="AK5447" s="348"/>
      <c r="AL5447" s="348"/>
      <c r="AM5447" s="348"/>
      <c r="AN5447" s="348"/>
      <c r="AO5447" s="231"/>
      <c r="AP5447" s="231"/>
      <c r="AQ5447" s="227"/>
      <c r="AR5447" s="231"/>
      <c r="AS5447" s="227"/>
      <c r="AT5447" s="227"/>
      <c r="AU5447" s="227"/>
      <c r="AV5447" s="227"/>
      <c r="AW5447" s="227"/>
      <c r="AX5447" s="227"/>
      <c r="AY5447" s="227"/>
      <c r="AZ5447" s="227"/>
      <c r="BA5447" s="227"/>
      <c r="BB5447" s="227"/>
      <c r="BC5447" s="227"/>
      <c r="BD5447" s="227"/>
      <c r="BE5447" s="227"/>
      <c r="BF5447" s="227"/>
    </row>
    <row r="5448">
      <c r="A5448" s="227"/>
      <c r="B5448" s="348"/>
      <c r="C5448" s="227"/>
      <c r="D5448" s="227"/>
      <c r="E5448" s="231"/>
      <c r="F5448" s="348"/>
      <c r="G5448" s="227"/>
      <c r="H5448" s="227"/>
      <c r="I5448" s="227"/>
      <c r="J5448" s="227"/>
      <c r="K5448" s="227"/>
      <c r="L5448" s="348"/>
      <c r="M5448" s="348"/>
      <c r="N5448" s="227"/>
      <c r="O5448" s="227"/>
      <c r="P5448" s="231"/>
      <c r="Q5448" s="231"/>
      <c r="R5448" s="227"/>
      <c r="S5448" s="231"/>
      <c r="T5448" s="231"/>
      <c r="U5448" s="231"/>
      <c r="V5448" s="231"/>
      <c r="W5448" s="231"/>
      <c r="X5448" s="227"/>
      <c r="Y5448" s="348"/>
      <c r="Z5448" s="348"/>
      <c r="AA5448" s="348"/>
      <c r="AB5448" s="348"/>
      <c r="AC5448" s="227"/>
      <c r="AD5448" s="227"/>
      <c r="AE5448" s="231"/>
      <c r="AF5448" s="227"/>
      <c r="AG5448" s="348"/>
      <c r="AH5448" s="348"/>
      <c r="AI5448" s="348"/>
      <c r="AJ5448" s="348"/>
      <c r="AK5448" s="348"/>
      <c r="AL5448" s="348"/>
      <c r="AM5448" s="348"/>
      <c r="AN5448" s="348"/>
      <c r="AO5448" s="231"/>
      <c r="AP5448" s="231"/>
      <c r="AQ5448" s="227"/>
      <c r="AR5448" s="231"/>
      <c r="AS5448" s="227"/>
      <c r="AT5448" s="227"/>
      <c r="AU5448" s="227"/>
      <c r="AV5448" s="227"/>
      <c r="AW5448" s="227"/>
      <c r="AX5448" s="227"/>
      <c r="AY5448" s="227"/>
      <c r="AZ5448" s="227"/>
      <c r="BA5448" s="227"/>
      <c r="BB5448" s="227"/>
      <c r="BC5448" s="227"/>
      <c r="BD5448" s="227"/>
      <c r="BE5448" s="227"/>
      <c r="BF5448" s="227"/>
    </row>
    <row r="5449">
      <c r="A5449" s="227"/>
      <c r="B5449" s="348"/>
      <c r="C5449" s="227"/>
      <c r="D5449" s="227"/>
      <c r="E5449" s="231"/>
      <c r="F5449" s="348"/>
      <c r="G5449" s="227"/>
      <c r="H5449" s="227"/>
      <c r="I5449" s="227"/>
      <c r="J5449" s="227"/>
      <c r="K5449" s="227"/>
      <c r="L5449" s="348"/>
      <c r="M5449" s="348"/>
      <c r="N5449" s="227"/>
      <c r="O5449" s="227"/>
      <c r="P5449" s="231"/>
      <c r="Q5449" s="231"/>
      <c r="R5449" s="227"/>
      <c r="S5449" s="231"/>
      <c r="T5449" s="231"/>
      <c r="U5449" s="231"/>
      <c r="V5449" s="231"/>
      <c r="W5449" s="231"/>
      <c r="X5449" s="227"/>
      <c r="Y5449" s="348"/>
      <c r="Z5449" s="348"/>
      <c r="AA5449" s="348"/>
      <c r="AB5449" s="348"/>
      <c r="AC5449" s="227"/>
      <c r="AD5449" s="227"/>
      <c r="AE5449" s="231"/>
      <c r="AF5449" s="227"/>
      <c r="AG5449" s="348"/>
      <c r="AH5449" s="348"/>
      <c r="AI5449" s="348"/>
      <c r="AJ5449" s="348"/>
      <c r="AK5449" s="348"/>
      <c r="AL5449" s="348"/>
      <c r="AM5449" s="348"/>
      <c r="AN5449" s="348"/>
      <c r="AO5449" s="231"/>
      <c r="AP5449" s="231"/>
      <c r="AQ5449" s="227"/>
      <c r="AR5449" s="231"/>
      <c r="AS5449" s="227"/>
      <c r="AT5449" s="227"/>
      <c r="AU5449" s="227"/>
      <c r="AV5449" s="227"/>
      <c r="AW5449" s="227"/>
      <c r="AX5449" s="227"/>
      <c r="AY5449" s="227"/>
      <c r="AZ5449" s="227"/>
      <c r="BA5449" s="227"/>
      <c r="BB5449" s="227"/>
      <c r="BC5449" s="227"/>
      <c r="BD5449" s="227"/>
      <c r="BE5449" s="227"/>
      <c r="BF5449" s="227"/>
    </row>
    <row r="5450">
      <c r="A5450" s="227"/>
      <c r="B5450" s="348"/>
      <c r="C5450" s="227"/>
      <c r="D5450" s="227"/>
      <c r="E5450" s="231"/>
      <c r="F5450" s="348"/>
      <c r="G5450" s="227"/>
      <c r="H5450" s="227"/>
      <c r="I5450" s="227"/>
      <c r="J5450" s="227"/>
      <c r="K5450" s="227"/>
      <c r="L5450" s="348"/>
      <c r="M5450" s="348"/>
      <c r="N5450" s="227"/>
      <c r="O5450" s="227"/>
      <c r="P5450" s="231"/>
      <c r="Q5450" s="231"/>
      <c r="R5450" s="227"/>
      <c r="S5450" s="231"/>
      <c r="T5450" s="231"/>
      <c r="U5450" s="231"/>
      <c r="V5450" s="231"/>
      <c r="W5450" s="231"/>
      <c r="X5450" s="227"/>
      <c r="Y5450" s="348"/>
      <c r="Z5450" s="348"/>
      <c r="AA5450" s="348"/>
      <c r="AB5450" s="348"/>
      <c r="AC5450" s="227"/>
      <c r="AD5450" s="227"/>
      <c r="AE5450" s="231"/>
      <c r="AF5450" s="227"/>
      <c r="AG5450" s="348"/>
      <c r="AH5450" s="348"/>
      <c r="AI5450" s="348"/>
      <c r="AJ5450" s="348"/>
      <c r="AK5450" s="348"/>
      <c r="AL5450" s="348"/>
      <c r="AM5450" s="348"/>
      <c r="AN5450" s="348"/>
      <c r="AO5450" s="231"/>
      <c r="AP5450" s="231"/>
      <c r="AQ5450" s="227"/>
      <c r="AR5450" s="231"/>
      <c r="AS5450" s="227"/>
      <c r="AT5450" s="227"/>
      <c r="AU5450" s="227"/>
      <c r="AV5450" s="227"/>
      <c r="AW5450" s="227"/>
      <c r="AX5450" s="227"/>
      <c r="AY5450" s="227"/>
      <c r="AZ5450" s="227"/>
      <c r="BA5450" s="227"/>
      <c r="BB5450" s="227"/>
      <c r="BC5450" s="227"/>
      <c r="BD5450" s="227"/>
      <c r="BE5450" s="227"/>
      <c r="BF5450" s="227"/>
    </row>
    <row r="5451">
      <c r="A5451" s="227"/>
      <c r="B5451" s="348"/>
      <c r="C5451" s="227"/>
      <c r="D5451" s="227"/>
      <c r="E5451" s="231"/>
      <c r="F5451" s="348"/>
      <c r="G5451" s="227"/>
      <c r="H5451" s="227"/>
      <c r="I5451" s="227"/>
      <c r="J5451" s="227"/>
      <c r="K5451" s="227"/>
      <c r="L5451" s="348"/>
      <c r="M5451" s="348"/>
      <c r="N5451" s="227"/>
      <c r="O5451" s="227"/>
      <c r="P5451" s="231"/>
      <c r="Q5451" s="231"/>
      <c r="R5451" s="227"/>
      <c r="S5451" s="231"/>
      <c r="T5451" s="231"/>
      <c r="U5451" s="231"/>
      <c r="V5451" s="231"/>
      <c r="W5451" s="231"/>
      <c r="X5451" s="227"/>
      <c r="Y5451" s="348"/>
      <c r="Z5451" s="348"/>
      <c r="AA5451" s="348"/>
      <c r="AB5451" s="348"/>
      <c r="AC5451" s="227"/>
      <c r="AD5451" s="227"/>
      <c r="AE5451" s="231"/>
      <c r="AF5451" s="227"/>
      <c r="AG5451" s="348"/>
      <c r="AH5451" s="348"/>
      <c r="AI5451" s="348"/>
      <c r="AJ5451" s="348"/>
      <c r="AK5451" s="348"/>
      <c r="AL5451" s="348"/>
      <c r="AM5451" s="348"/>
      <c r="AN5451" s="348"/>
      <c r="AO5451" s="231"/>
      <c r="AP5451" s="231"/>
      <c r="AQ5451" s="227"/>
      <c r="AR5451" s="231"/>
      <c r="AS5451" s="227"/>
      <c r="AT5451" s="227"/>
      <c r="AU5451" s="227"/>
      <c r="AV5451" s="227"/>
      <c r="AW5451" s="227"/>
      <c r="AX5451" s="227"/>
      <c r="AY5451" s="227"/>
      <c r="AZ5451" s="227"/>
      <c r="BA5451" s="227"/>
      <c r="BB5451" s="227"/>
      <c r="BC5451" s="227"/>
      <c r="BD5451" s="227"/>
      <c r="BE5451" s="227"/>
      <c r="BF5451" s="227"/>
    </row>
    <row r="5452">
      <c r="A5452" s="227"/>
      <c r="B5452" s="348"/>
      <c r="C5452" s="227"/>
      <c r="D5452" s="227"/>
      <c r="E5452" s="231"/>
      <c r="F5452" s="348"/>
      <c r="G5452" s="227"/>
      <c r="H5452" s="227"/>
      <c r="I5452" s="227"/>
      <c r="J5452" s="227"/>
      <c r="K5452" s="227"/>
      <c r="L5452" s="348"/>
      <c r="M5452" s="348"/>
      <c r="N5452" s="227"/>
      <c r="O5452" s="227"/>
      <c r="P5452" s="231"/>
      <c r="Q5452" s="231"/>
      <c r="R5452" s="227"/>
      <c r="S5452" s="231"/>
      <c r="T5452" s="231"/>
      <c r="U5452" s="231"/>
      <c r="V5452" s="231"/>
      <c r="W5452" s="231"/>
      <c r="X5452" s="227"/>
      <c r="Y5452" s="348"/>
      <c r="Z5452" s="348"/>
      <c r="AA5452" s="348"/>
      <c r="AB5452" s="348"/>
      <c r="AC5452" s="227"/>
      <c r="AD5452" s="227"/>
      <c r="AE5452" s="231"/>
      <c r="AF5452" s="227"/>
      <c r="AG5452" s="348"/>
      <c r="AH5452" s="348"/>
      <c r="AI5452" s="348"/>
      <c r="AJ5452" s="348"/>
      <c r="AK5452" s="348"/>
      <c r="AL5452" s="348"/>
      <c r="AM5452" s="348"/>
      <c r="AN5452" s="348"/>
      <c r="AO5452" s="231"/>
      <c r="AP5452" s="231"/>
      <c r="AQ5452" s="227"/>
      <c r="AR5452" s="231"/>
      <c r="AS5452" s="227"/>
      <c r="AT5452" s="227"/>
      <c r="AU5452" s="227"/>
      <c r="AV5452" s="227"/>
      <c r="AW5452" s="227"/>
      <c r="AX5452" s="227"/>
      <c r="AY5452" s="227"/>
      <c r="AZ5452" s="227"/>
      <c r="BA5452" s="227"/>
      <c r="BB5452" s="227"/>
      <c r="BC5452" s="227"/>
      <c r="BD5452" s="227"/>
      <c r="BE5452" s="227"/>
      <c r="BF5452" s="227"/>
    </row>
    <row r="5453">
      <c r="A5453" s="227"/>
      <c r="B5453" s="348"/>
      <c r="C5453" s="227"/>
      <c r="D5453" s="227"/>
      <c r="E5453" s="231"/>
      <c r="F5453" s="348"/>
      <c r="G5453" s="227"/>
      <c r="H5453" s="227"/>
      <c r="I5453" s="227"/>
      <c r="J5453" s="227"/>
      <c r="K5453" s="227"/>
      <c r="L5453" s="348"/>
      <c r="M5453" s="348"/>
      <c r="N5453" s="227"/>
      <c r="O5453" s="227"/>
      <c r="P5453" s="231"/>
      <c r="Q5453" s="231"/>
      <c r="R5453" s="227"/>
      <c r="S5453" s="231"/>
      <c r="T5453" s="231"/>
      <c r="U5453" s="231"/>
      <c r="V5453" s="231"/>
      <c r="W5453" s="231"/>
      <c r="X5453" s="227"/>
      <c r="Y5453" s="348"/>
      <c r="Z5453" s="348"/>
      <c r="AA5453" s="348"/>
      <c r="AB5453" s="348"/>
      <c r="AC5453" s="227"/>
      <c r="AD5453" s="227"/>
      <c r="AE5453" s="231"/>
      <c r="AF5453" s="227"/>
      <c r="AG5453" s="348"/>
      <c r="AH5453" s="348"/>
      <c r="AI5453" s="348"/>
      <c r="AJ5453" s="348"/>
      <c r="AK5453" s="348"/>
      <c r="AL5453" s="348"/>
      <c r="AM5453" s="348"/>
      <c r="AN5453" s="348"/>
      <c r="AO5453" s="231"/>
      <c r="AP5453" s="231"/>
      <c r="AQ5453" s="227"/>
      <c r="AR5453" s="231"/>
      <c r="AS5453" s="227"/>
      <c r="AT5453" s="227"/>
      <c r="AU5453" s="227"/>
      <c r="AV5453" s="227"/>
      <c r="AW5453" s="227"/>
      <c r="AX5453" s="227"/>
      <c r="AY5453" s="227"/>
      <c r="AZ5453" s="227"/>
      <c r="BA5453" s="227"/>
      <c r="BB5453" s="227"/>
      <c r="BC5453" s="227"/>
      <c r="BD5453" s="227"/>
      <c r="BE5453" s="227"/>
      <c r="BF5453" s="227"/>
    </row>
    <row r="5454">
      <c r="A5454" s="227"/>
      <c r="B5454" s="348"/>
      <c r="C5454" s="227"/>
      <c r="D5454" s="227"/>
      <c r="E5454" s="231"/>
      <c r="F5454" s="348"/>
      <c r="G5454" s="227"/>
      <c r="H5454" s="227"/>
      <c r="I5454" s="227"/>
      <c r="J5454" s="227"/>
      <c r="K5454" s="227"/>
      <c r="L5454" s="348"/>
      <c r="M5454" s="348"/>
      <c r="N5454" s="227"/>
      <c r="O5454" s="227"/>
      <c r="P5454" s="231"/>
      <c r="Q5454" s="231"/>
      <c r="R5454" s="227"/>
      <c r="S5454" s="231"/>
      <c r="T5454" s="231"/>
      <c r="U5454" s="231"/>
      <c r="V5454" s="231"/>
      <c r="W5454" s="231"/>
      <c r="X5454" s="227"/>
      <c r="Y5454" s="348"/>
      <c r="Z5454" s="348"/>
      <c r="AA5454" s="348"/>
      <c r="AB5454" s="348"/>
      <c r="AC5454" s="227"/>
      <c r="AD5454" s="227"/>
      <c r="AE5454" s="231"/>
      <c r="AF5454" s="227"/>
      <c r="AG5454" s="348"/>
      <c r="AH5454" s="348"/>
      <c r="AI5454" s="348"/>
      <c r="AJ5454" s="348"/>
      <c r="AK5454" s="348"/>
      <c r="AL5454" s="348"/>
      <c r="AM5454" s="348"/>
      <c r="AN5454" s="348"/>
      <c r="AO5454" s="231"/>
      <c r="AP5454" s="231"/>
      <c r="AQ5454" s="227"/>
      <c r="AR5454" s="231"/>
      <c r="AS5454" s="227"/>
      <c r="AT5454" s="227"/>
      <c r="AU5454" s="227"/>
      <c r="AV5454" s="227"/>
      <c r="AW5454" s="227"/>
      <c r="AX5454" s="227"/>
      <c r="AY5454" s="227"/>
      <c r="AZ5454" s="227"/>
      <c r="BA5454" s="227"/>
      <c r="BB5454" s="227"/>
      <c r="BC5454" s="227"/>
      <c r="BD5454" s="227"/>
      <c r="BE5454" s="227"/>
      <c r="BF5454" s="227"/>
    </row>
    <row r="5455">
      <c r="A5455" s="227"/>
      <c r="B5455" s="348"/>
      <c r="C5455" s="227"/>
      <c r="D5455" s="227"/>
      <c r="E5455" s="231"/>
      <c r="F5455" s="348"/>
      <c r="G5455" s="227"/>
      <c r="H5455" s="227"/>
      <c r="I5455" s="227"/>
      <c r="J5455" s="227"/>
      <c r="K5455" s="227"/>
      <c r="L5455" s="348"/>
      <c r="M5455" s="348"/>
      <c r="N5455" s="227"/>
      <c r="O5455" s="227"/>
      <c r="P5455" s="231"/>
      <c r="Q5455" s="231"/>
      <c r="R5455" s="227"/>
      <c r="S5455" s="231"/>
      <c r="T5455" s="231"/>
      <c r="U5455" s="231"/>
      <c r="V5455" s="231"/>
      <c r="W5455" s="231"/>
      <c r="X5455" s="227"/>
      <c r="Y5455" s="348"/>
      <c r="Z5455" s="348"/>
      <c r="AA5455" s="348"/>
      <c r="AB5455" s="348"/>
      <c r="AC5455" s="227"/>
      <c r="AD5455" s="227"/>
      <c r="AE5455" s="231"/>
      <c r="AF5455" s="227"/>
      <c r="AG5455" s="348"/>
      <c r="AH5455" s="348"/>
      <c r="AI5455" s="348"/>
      <c r="AJ5455" s="348"/>
      <c r="AK5455" s="348"/>
      <c r="AL5455" s="348"/>
      <c r="AM5455" s="348"/>
      <c r="AN5455" s="348"/>
      <c r="AO5455" s="231"/>
      <c r="AP5455" s="231"/>
      <c r="AQ5455" s="227"/>
      <c r="AR5455" s="231"/>
      <c r="AS5455" s="227"/>
      <c r="AT5455" s="227"/>
      <c r="AU5455" s="227"/>
      <c r="AV5455" s="227"/>
      <c r="AW5455" s="227"/>
      <c r="AX5455" s="227"/>
      <c r="AY5455" s="227"/>
      <c r="AZ5455" s="227"/>
      <c r="BA5455" s="227"/>
      <c r="BB5455" s="227"/>
      <c r="BC5455" s="227"/>
      <c r="BD5455" s="227"/>
      <c r="BE5455" s="227"/>
      <c r="BF5455" s="227"/>
    </row>
    <row r="5456">
      <c r="A5456" s="227"/>
      <c r="B5456" s="348"/>
      <c r="C5456" s="227"/>
      <c r="D5456" s="227"/>
      <c r="E5456" s="231"/>
      <c r="F5456" s="348"/>
      <c r="G5456" s="227"/>
      <c r="H5456" s="227"/>
      <c r="I5456" s="227"/>
      <c r="J5456" s="227"/>
      <c r="K5456" s="227"/>
      <c r="L5456" s="348"/>
      <c r="M5456" s="348"/>
      <c r="N5456" s="227"/>
      <c r="O5456" s="227"/>
      <c r="P5456" s="231"/>
      <c r="Q5456" s="231"/>
      <c r="R5456" s="227"/>
      <c r="S5456" s="231"/>
      <c r="T5456" s="231"/>
      <c r="U5456" s="231"/>
      <c r="V5456" s="231"/>
      <c r="W5456" s="231"/>
      <c r="X5456" s="227"/>
      <c r="Y5456" s="348"/>
      <c r="Z5456" s="348"/>
      <c r="AA5456" s="348"/>
      <c r="AB5456" s="348"/>
      <c r="AC5456" s="227"/>
      <c r="AD5456" s="227"/>
      <c r="AE5456" s="231"/>
      <c r="AF5456" s="227"/>
      <c r="AG5456" s="348"/>
      <c r="AH5456" s="348"/>
      <c r="AI5456" s="348"/>
      <c r="AJ5456" s="348"/>
      <c r="AK5456" s="348"/>
      <c r="AL5456" s="348"/>
      <c r="AM5456" s="348"/>
      <c r="AN5456" s="348"/>
      <c r="AO5456" s="231"/>
      <c r="AP5456" s="231"/>
      <c r="AQ5456" s="227"/>
      <c r="AR5456" s="231"/>
      <c r="AS5456" s="227"/>
      <c r="AT5456" s="227"/>
      <c r="AU5456" s="227"/>
      <c r="AV5456" s="227"/>
      <c r="AW5456" s="227"/>
      <c r="AX5456" s="227"/>
      <c r="AY5456" s="227"/>
      <c r="AZ5456" s="227"/>
      <c r="BA5456" s="227"/>
      <c r="BB5456" s="227"/>
      <c r="BC5456" s="227"/>
      <c r="BD5456" s="227"/>
      <c r="BE5456" s="227"/>
      <c r="BF5456" s="227"/>
    </row>
    <row r="5457">
      <c r="A5457" s="227"/>
      <c r="B5457" s="348"/>
      <c r="C5457" s="227"/>
      <c r="D5457" s="227"/>
      <c r="E5457" s="231"/>
      <c r="F5457" s="348"/>
      <c r="G5457" s="227"/>
      <c r="H5457" s="227"/>
      <c r="I5457" s="227"/>
      <c r="J5457" s="227"/>
      <c r="K5457" s="227"/>
      <c r="L5457" s="348"/>
      <c r="M5457" s="348"/>
      <c r="N5457" s="227"/>
      <c r="O5457" s="227"/>
      <c r="P5457" s="231"/>
      <c r="Q5457" s="231"/>
      <c r="R5457" s="227"/>
      <c r="S5457" s="231"/>
      <c r="T5457" s="231"/>
      <c r="U5457" s="231"/>
      <c r="V5457" s="231"/>
      <c r="W5457" s="231"/>
      <c r="X5457" s="227"/>
      <c r="Y5457" s="348"/>
      <c r="Z5457" s="348"/>
      <c r="AA5457" s="348"/>
      <c r="AB5457" s="348"/>
      <c r="AC5457" s="227"/>
      <c r="AD5457" s="227"/>
      <c r="AE5457" s="231"/>
      <c r="AF5457" s="227"/>
      <c r="AG5457" s="348"/>
      <c r="AH5457" s="348"/>
      <c r="AI5457" s="348"/>
      <c r="AJ5457" s="348"/>
      <c r="AK5457" s="348"/>
      <c r="AL5457" s="348"/>
      <c r="AM5457" s="348"/>
      <c r="AN5457" s="348"/>
      <c r="AO5457" s="231"/>
      <c r="AP5457" s="231"/>
      <c r="AQ5457" s="227"/>
      <c r="AR5457" s="231"/>
      <c r="AS5457" s="227"/>
      <c r="AT5457" s="227"/>
      <c r="AU5457" s="227"/>
      <c r="AV5457" s="227"/>
      <c r="AW5457" s="227"/>
      <c r="AX5457" s="227"/>
      <c r="AY5457" s="227"/>
      <c r="AZ5457" s="227"/>
      <c r="BA5457" s="227"/>
      <c r="BB5457" s="227"/>
      <c r="BC5457" s="227"/>
      <c r="BD5457" s="227"/>
      <c r="BE5457" s="227"/>
      <c r="BF5457" s="227"/>
    </row>
    <row r="5458">
      <c r="A5458" s="227"/>
      <c r="B5458" s="348"/>
      <c r="C5458" s="227"/>
      <c r="D5458" s="227"/>
      <c r="E5458" s="231"/>
      <c r="F5458" s="348"/>
      <c r="G5458" s="227"/>
      <c r="H5458" s="227"/>
      <c r="I5458" s="227"/>
      <c r="J5458" s="227"/>
      <c r="K5458" s="227"/>
      <c r="L5458" s="348"/>
      <c r="M5458" s="348"/>
      <c r="N5458" s="227"/>
      <c r="O5458" s="227"/>
      <c r="P5458" s="231"/>
      <c r="Q5458" s="231"/>
      <c r="R5458" s="227"/>
      <c r="S5458" s="231"/>
      <c r="T5458" s="231"/>
      <c r="U5458" s="231"/>
      <c r="V5458" s="231"/>
      <c r="W5458" s="231"/>
      <c r="X5458" s="227"/>
      <c r="Y5458" s="348"/>
      <c r="Z5458" s="348"/>
      <c r="AA5458" s="348"/>
      <c r="AB5458" s="348"/>
      <c r="AC5458" s="227"/>
      <c r="AD5458" s="227"/>
      <c r="AE5458" s="231"/>
      <c r="AF5458" s="227"/>
      <c r="AG5458" s="348"/>
      <c r="AH5458" s="348"/>
      <c r="AI5458" s="348"/>
      <c r="AJ5458" s="348"/>
      <c r="AK5458" s="348"/>
      <c r="AL5458" s="348"/>
      <c r="AM5458" s="348"/>
      <c r="AN5458" s="348"/>
      <c r="AO5458" s="231"/>
      <c r="AP5458" s="231"/>
      <c r="AQ5458" s="227"/>
      <c r="AR5458" s="227"/>
      <c r="AS5458" s="227"/>
      <c r="AT5458" s="227"/>
      <c r="AU5458" s="227"/>
      <c r="AV5458" s="227"/>
      <c r="AW5458" s="227"/>
      <c r="AX5458" s="227"/>
      <c r="AY5458" s="227"/>
      <c r="AZ5458" s="227"/>
      <c r="BA5458" s="227"/>
      <c r="BB5458" s="227"/>
      <c r="BC5458" s="227"/>
      <c r="BD5458" s="227"/>
      <c r="BE5458" s="227"/>
      <c r="BF5458" s="227"/>
    </row>
    <row r="5459">
      <c r="A5459" s="227"/>
      <c r="B5459" s="348"/>
      <c r="C5459" s="227"/>
      <c r="D5459" s="227"/>
      <c r="E5459" s="231"/>
      <c r="F5459" s="348"/>
      <c r="G5459" s="227"/>
      <c r="H5459" s="227"/>
      <c r="I5459" s="227"/>
      <c r="J5459" s="227"/>
      <c r="K5459" s="227"/>
      <c r="L5459" s="348"/>
      <c r="M5459" s="348"/>
      <c r="N5459" s="227"/>
      <c r="O5459" s="227"/>
      <c r="P5459" s="231"/>
      <c r="Q5459" s="231"/>
      <c r="R5459" s="227"/>
      <c r="S5459" s="231"/>
      <c r="T5459" s="231"/>
      <c r="U5459" s="231"/>
      <c r="V5459" s="231"/>
      <c r="W5459" s="231"/>
      <c r="X5459" s="227"/>
      <c r="Y5459" s="348"/>
      <c r="Z5459" s="348"/>
      <c r="AA5459" s="348"/>
      <c r="AB5459" s="348"/>
      <c r="AC5459" s="227"/>
      <c r="AD5459" s="227"/>
      <c r="AE5459" s="231"/>
      <c r="AF5459" s="227"/>
      <c r="AG5459" s="348"/>
      <c r="AH5459" s="348"/>
      <c r="AI5459" s="348"/>
      <c r="AJ5459" s="348"/>
      <c r="AK5459" s="348"/>
      <c r="AL5459" s="348"/>
      <c r="AM5459" s="348"/>
      <c r="AN5459" s="348"/>
      <c r="AO5459" s="231"/>
      <c r="AP5459" s="231"/>
      <c r="AQ5459" s="227"/>
      <c r="AR5459" s="231"/>
      <c r="AS5459" s="227"/>
      <c r="AT5459" s="227"/>
      <c r="AU5459" s="227"/>
      <c r="AV5459" s="227"/>
      <c r="AW5459" s="227"/>
      <c r="AX5459" s="227"/>
      <c r="AY5459" s="227"/>
      <c r="AZ5459" s="227"/>
      <c r="BA5459" s="227"/>
      <c r="BB5459" s="227"/>
      <c r="BC5459" s="227"/>
      <c r="BD5459" s="227"/>
      <c r="BE5459" s="227"/>
      <c r="BF5459" s="227"/>
    </row>
    <row r="5460">
      <c r="A5460" s="227"/>
      <c r="B5460" s="348"/>
      <c r="C5460" s="227"/>
      <c r="D5460" s="227"/>
      <c r="E5460" s="231"/>
      <c r="F5460" s="348"/>
      <c r="G5460" s="227"/>
      <c r="H5460" s="227"/>
      <c r="I5460" s="227"/>
      <c r="J5460" s="227"/>
      <c r="K5460" s="227"/>
      <c r="L5460" s="348"/>
      <c r="M5460" s="348"/>
      <c r="N5460" s="227"/>
      <c r="O5460" s="227"/>
      <c r="P5460" s="231"/>
      <c r="Q5460" s="231"/>
      <c r="R5460" s="227"/>
      <c r="S5460" s="231"/>
      <c r="T5460" s="231"/>
      <c r="U5460" s="231"/>
      <c r="V5460" s="231"/>
      <c r="W5460" s="231"/>
      <c r="X5460" s="227"/>
      <c r="Y5460" s="348"/>
      <c r="Z5460" s="348"/>
      <c r="AA5460" s="348"/>
      <c r="AB5460" s="348"/>
      <c r="AC5460" s="227"/>
      <c r="AD5460" s="227"/>
      <c r="AE5460" s="231"/>
      <c r="AF5460" s="227"/>
      <c r="AG5460" s="348"/>
      <c r="AH5460" s="348"/>
      <c r="AI5460" s="348"/>
      <c r="AJ5460" s="348"/>
      <c r="AK5460" s="348"/>
      <c r="AL5460" s="348"/>
      <c r="AM5460" s="348"/>
      <c r="AN5460" s="348"/>
      <c r="AO5460" s="231"/>
      <c r="AP5460" s="231"/>
      <c r="AQ5460" s="227"/>
      <c r="AR5460" s="231"/>
      <c r="AS5460" s="227"/>
      <c r="AT5460" s="227"/>
      <c r="AU5460" s="227"/>
      <c r="AV5460" s="227"/>
      <c r="AW5460" s="227"/>
      <c r="AX5460" s="227"/>
      <c r="AY5460" s="227"/>
      <c r="AZ5460" s="227"/>
      <c r="BA5460" s="227"/>
      <c r="BB5460" s="227"/>
      <c r="BC5460" s="227"/>
      <c r="BD5460" s="227"/>
      <c r="BE5460" s="227"/>
      <c r="BF5460" s="227"/>
    </row>
    <row r="5461">
      <c r="A5461" s="227"/>
      <c r="B5461" s="348"/>
      <c r="C5461" s="227"/>
      <c r="D5461" s="227"/>
      <c r="E5461" s="231"/>
      <c r="F5461" s="348"/>
      <c r="G5461" s="227"/>
      <c r="H5461" s="227"/>
      <c r="I5461" s="227"/>
      <c r="J5461" s="227"/>
      <c r="K5461" s="227"/>
      <c r="L5461" s="348"/>
      <c r="M5461" s="348"/>
      <c r="N5461" s="227"/>
      <c r="O5461" s="227"/>
      <c r="P5461" s="231"/>
      <c r="Q5461" s="231"/>
      <c r="R5461" s="227"/>
      <c r="S5461" s="231"/>
      <c r="T5461" s="231"/>
      <c r="U5461" s="231"/>
      <c r="V5461" s="231"/>
      <c r="W5461" s="231"/>
      <c r="X5461" s="227"/>
      <c r="Y5461" s="348"/>
      <c r="Z5461" s="348"/>
      <c r="AA5461" s="348"/>
      <c r="AB5461" s="348"/>
      <c r="AC5461" s="227"/>
      <c r="AD5461" s="227"/>
      <c r="AE5461" s="231"/>
      <c r="AF5461" s="227"/>
      <c r="AG5461" s="348"/>
      <c r="AH5461" s="348"/>
      <c r="AI5461" s="348"/>
      <c r="AJ5461" s="348"/>
      <c r="AK5461" s="348"/>
      <c r="AL5461" s="348"/>
      <c r="AM5461" s="348"/>
      <c r="AN5461" s="348"/>
      <c r="AO5461" s="231"/>
      <c r="AP5461" s="231"/>
      <c r="AQ5461" s="227"/>
      <c r="AR5461" s="231"/>
      <c r="AS5461" s="227"/>
      <c r="AT5461" s="227"/>
      <c r="AU5461" s="227"/>
      <c r="AV5461" s="227"/>
      <c r="AW5461" s="227"/>
      <c r="AX5461" s="227"/>
      <c r="AY5461" s="227"/>
      <c r="AZ5461" s="227"/>
      <c r="BA5461" s="227"/>
      <c r="BB5461" s="227"/>
      <c r="BC5461" s="227"/>
      <c r="BD5461" s="227"/>
      <c r="BE5461" s="227"/>
      <c r="BF5461" s="227"/>
    </row>
    <row r="5462">
      <c r="A5462" s="227"/>
      <c r="B5462" s="348"/>
      <c r="C5462" s="227"/>
      <c r="D5462" s="227"/>
      <c r="E5462" s="231"/>
      <c r="F5462" s="348"/>
      <c r="G5462" s="227"/>
      <c r="H5462" s="227"/>
      <c r="I5462" s="227"/>
      <c r="J5462" s="227"/>
      <c r="K5462" s="227"/>
      <c r="L5462" s="348"/>
      <c r="M5462" s="348"/>
      <c r="N5462" s="227"/>
      <c r="O5462" s="227"/>
      <c r="P5462" s="231"/>
      <c r="Q5462" s="231"/>
      <c r="R5462" s="227"/>
      <c r="S5462" s="231"/>
      <c r="T5462" s="231"/>
      <c r="U5462" s="231"/>
      <c r="V5462" s="231"/>
      <c r="W5462" s="231"/>
      <c r="X5462" s="227"/>
      <c r="Y5462" s="348"/>
      <c r="Z5462" s="348"/>
      <c r="AA5462" s="348"/>
      <c r="AB5462" s="348"/>
      <c r="AC5462" s="227"/>
      <c r="AD5462" s="227"/>
      <c r="AE5462" s="231"/>
      <c r="AF5462" s="227"/>
      <c r="AG5462" s="348"/>
      <c r="AH5462" s="348"/>
      <c r="AI5462" s="348"/>
      <c r="AJ5462" s="348"/>
      <c r="AK5462" s="348"/>
      <c r="AL5462" s="348"/>
      <c r="AM5462" s="348"/>
      <c r="AN5462" s="348"/>
      <c r="AO5462" s="231"/>
      <c r="AP5462" s="231"/>
      <c r="AQ5462" s="227"/>
      <c r="AR5462" s="231"/>
      <c r="AS5462" s="227"/>
      <c r="AT5462" s="227"/>
      <c r="AU5462" s="227"/>
      <c r="AV5462" s="227"/>
      <c r="AW5462" s="227"/>
      <c r="AX5462" s="227"/>
      <c r="AY5462" s="227"/>
      <c r="AZ5462" s="227"/>
      <c r="BA5462" s="227"/>
      <c r="BB5462" s="227"/>
      <c r="BC5462" s="227"/>
      <c r="BD5462" s="227"/>
      <c r="BE5462" s="227"/>
      <c r="BF5462" s="227"/>
    </row>
    <row r="5463">
      <c r="A5463" s="227"/>
      <c r="B5463" s="348"/>
      <c r="C5463" s="227"/>
      <c r="D5463" s="227"/>
      <c r="E5463" s="231"/>
      <c r="F5463" s="348"/>
      <c r="G5463" s="227"/>
      <c r="H5463" s="227"/>
      <c r="I5463" s="227"/>
      <c r="J5463" s="227"/>
      <c r="K5463" s="227"/>
      <c r="L5463" s="348"/>
      <c r="M5463" s="348"/>
      <c r="N5463" s="227"/>
      <c r="O5463" s="227"/>
      <c r="P5463" s="231"/>
      <c r="Q5463" s="231"/>
      <c r="R5463" s="227"/>
      <c r="S5463" s="231"/>
      <c r="T5463" s="231"/>
      <c r="U5463" s="231"/>
      <c r="V5463" s="231"/>
      <c r="W5463" s="231"/>
      <c r="X5463" s="227"/>
      <c r="Y5463" s="348"/>
      <c r="Z5463" s="348"/>
      <c r="AA5463" s="348"/>
      <c r="AB5463" s="348"/>
      <c r="AC5463" s="227"/>
      <c r="AD5463" s="227"/>
      <c r="AE5463" s="231"/>
      <c r="AF5463" s="227"/>
      <c r="AG5463" s="348"/>
      <c r="AH5463" s="348"/>
      <c r="AI5463" s="348"/>
      <c r="AJ5463" s="348"/>
      <c r="AK5463" s="348"/>
      <c r="AL5463" s="348"/>
      <c r="AM5463" s="348"/>
      <c r="AN5463" s="348"/>
      <c r="AO5463" s="231"/>
      <c r="AP5463" s="231"/>
      <c r="AQ5463" s="227"/>
      <c r="AR5463" s="231"/>
      <c r="AS5463" s="227"/>
      <c r="AT5463" s="227"/>
      <c r="AU5463" s="227"/>
      <c r="AV5463" s="227"/>
      <c r="AW5463" s="227"/>
      <c r="AX5463" s="227"/>
      <c r="AY5463" s="227"/>
      <c r="AZ5463" s="227"/>
      <c r="BA5463" s="227"/>
      <c r="BB5463" s="227"/>
      <c r="BC5463" s="227"/>
      <c r="BD5463" s="227"/>
      <c r="BE5463" s="227"/>
      <c r="BF5463" s="227"/>
    </row>
    <row r="5464">
      <c r="A5464" s="227"/>
      <c r="B5464" s="348"/>
      <c r="C5464" s="227"/>
      <c r="D5464" s="227"/>
      <c r="E5464" s="231"/>
      <c r="F5464" s="348"/>
      <c r="G5464" s="227"/>
      <c r="H5464" s="227"/>
      <c r="I5464" s="227"/>
      <c r="J5464" s="227"/>
      <c r="K5464" s="227"/>
      <c r="L5464" s="348"/>
      <c r="M5464" s="348"/>
      <c r="N5464" s="227"/>
      <c r="O5464" s="227"/>
      <c r="P5464" s="231"/>
      <c r="Q5464" s="231"/>
      <c r="R5464" s="227"/>
      <c r="S5464" s="231"/>
      <c r="T5464" s="231"/>
      <c r="U5464" s="231"/>
      <c r="V5464" s="231"/>
      <c r="W5464" s="231"/>
      <c r="X5464" s="227"/>
      <c r="Y5464" s="348"/>
      <c r="Z5464" s="348"/>
      <c r="AA5464" s="348"/>
      <c r="AB5464" s="348"/>
      <c r="AC5464" s="227"/>
      <c r="AD5464" s="227"/>
      <c r="AE5464" s="231"/>
      <c r="AF5464" s="227"/>
      <c r="AG5464" s="348"/>
      <c r="AH5464" s="348"/>
      <c r="AI5464" s="348"/>
      <c r="AJ5464" s="348"/>
      <c r="AK5464" s="348"/>
      <c r="AL5464" s="348"/>
      <c r="AM5464" s="348"/>
      <c r="AN5464" s="348"/>
      <c r="AO5464" s="231"/>
      <c r="AP5464" s="231"/>
      <c r="AQ5464" s="227"/>
      <c r="AR5464" s="231"/>
      <c r="AS5464" s="227"/>
      <c r="AT5464" s="227"/>
      <c r="AU5464" s="227"/>
      <c r="AV5464" s="227"/>
      <c r="AW5464" s="227"/>
      <c r="AX5464" s="227"/>
      <c r="AY5464" s="227"/>
      <c r="AZ5464" s="227"/>
      <c r="BA5464" s="227"/>
      <c r="BB5464" s="227"/>
      <c r="BC5464" s="227"/>
      <c r="BD5464" s="227"/>
      <c r="BE5464" s="227"/>
      <c r="BF5464" s="227"/>
    </row>
    <row r="5465">
      <c r="A5465" s="227"/>
      <c r="B5465" s="348"/>
      <c r="C5465" s="227"/>
      <c r="D5465" s="227"/>
      <c r="E5465" s="231"/>
      <c r="F5465" s="348"/>
      <c r="G5465" s="227"/>
      <c r="H5465" s="227"/>
      <c r="I5465" s="227"/>
      <c r="J5465" s="227"/>
      <c r="K5465" s="227"/>
      <c r="L5465" s="348"/>
      <c r="M5465" s="348"/>
      <c r="N5465" s="227"/>
      <c r="O5465" s="227"/>
      <c r="P5465" s="231"/>
      <c r="Q5465" s="231"/>
      <c r="R5465" s="227"/>
      <c r="S5465" s="231"/>
      <c r="T5465" s="231"/>
      <c r="U5465" s="231"/>
      <c r="V5465" s="231"/>
      <c r="W5465" s="231"/>
      <c r="X5465" s="227"/>
      <c r="Y5465" s="348"/>
      <c r="Z5465" s="348"/>
      <c r="AA5465" s="348"/>
      <c r="AB5465" s="348"/>
      <c r="AC5465" s="227"/>
      <c r="AD5465" s="227"/>
      <c r="AE5465" s="231"/>
      <c r="AF5465" s="227"/>
      <c r="AG5465" s="348"/>
      <c r="AH5465" s="348"/>
      <c r="AI5465" s="348"/>
      <c r="AJ5465" s="348"/>
      <c r="AK5465" s="348"/>
      <c r="AL5465" s="348"/>
      <c r="AM5465" s="348"/>
      <c r="AN5465" s="348"/>
      <c r="AO5465" s="231"/>
      <c r="AP5465" s="231"/>
      <c r="AQ5465" s="227"/>
      <c r="AR5465" s="231"/>
      <c r="AS5465" s="227"/>
      <c r="AT5465" s="227"/>
      <c r="AU5465" s="227"/>
      <c r="AV5465" s="227"/>
      <c r="AW5465" s="227"/>
      <c r="AX5465" s="227"/>
      <c r="AY5465" s="227"/>
      <c r="AZ5465" s="227"/>
      <c r="BA5465" s="227"/>
      <c r="BB5465" s="227"/>
      <c r="BC5465" s="227"/>
      <c r="BD5465" s="227"/>
      <c r="BE5465" s="227"/>
      <c r="BF5465" s="227"/>
    </row>
    <row r="5466">
      <c r="A5466" s="227"/>
      <c r="B5466" s="348"/>
      <c r="C5466" s="227"/>
      <c r="D5466" s="227"/>
      <c r="E5466" s="231"/>
      <c r="F5466" s="348"/>
      <c r="G5466" s="227"/>
      <c r="H5466" s="227"/>
      <c r="I5466" s="227"/>
      <c r="J5466" s="227"/>
      <c r="K5466" s="227"/>
      <c r="L5466" s="348"/>
      <c r="M5466" s="348"/>
      <c r="N5466" s="227"/>
      <c r="O5466" s="227"/>
      <c r="P5466" s="231"/>
      <c r="Q5466" s="231"/>
      <c r="R5466" s="227"/>
      <c r="S5466" s="231"/>
      <c r="T5466" s="231"/>
      <c r="U5466" s="231"/>
      <c r="V5466" s="231"/>
      <c r="W5466" s="231"/>
      <c r="X5466" s="227"/>
      <c r="Y5466" s="348"/>
      <c r="Z5466" s="348"/>
      <c r="AA5466" s="348"/>
      <c r="AB5466" s="348"/>
      <c r="AC5466" s="227"/>
      <c r="AD5466" s="227"/>
      <c r="AE5466" s="231"/>
      <c r="AF5466" s="227"/>
      <c r="AG5466" s="348"/>
      <c r="AH5466" s="348"/>
      <c r="AI5466" s="348"/>
      <c r="AJ5466" s="348"/>
      <c r="AK5466" s="348"/>
      <c r="AL5466" s="348"/>
      <c r="AM5466" s="348"/>
      <c r="AN5466" s="348"/>
      <c r="AO5466" s="231"/>
      <c r="AP5466" s="231"/>
      <c r="AQ5466" s="227"/>
      <c r="AR5466" s="231"/>
      <c r="AS5466" s="227"/>
      <c r="AT5466" s="227"/>
      <c r="AU5466" s="227"/>
      <c r="AV5466" s="227"/>
      <c r="AW5466" s="227"/>
      <c r="AX5466" s="227"/>
      <c r="AY5466" s="227"/>
      <c r="AZ5466" s="227"/>
      <c r="BA5466" s="227"/>
      <c r="BB5466" s="227"/>
      <c r="BC5466" s="227"/>
      <c r="BD5466" s="227"/>
      <c r="BE5466" s="227"/>
      <c r="BF5466" s="227"/>
    </row>
    <row r="5467">
      <c r="A5467" s="227"/>
      <c r="B5467" s="348"/>
      <c r="C5467" s="227"/>
      <c r="D5467" s="227"/>
      <c r="E5467" s="231"/>
      <c r="F5467" s="348"/>
      <c r="G5467" s="227"/>
      <c r="H5467" s="227"/>
      <c r="I5467" s="227"/>
      <c r="J5467" s="227"/>
      <c r="K5467" s="227"/>
      <c r="L5467" s="348"/>
      <c r="M5467" s="348"/>
      <c r="N5467" s="227"/>
      <c r="O5467" s="227"/>
      <c r="P5467" s="231"/>
      <c r="Q5467" s="231"/>
      <c r="R5467" s="227"/>
      <c r="S5467" s="231"/>
      <c r="T5467" s="231"/>
      <c r="U5467" s="231"/>
      <c r="V5467" s="231"/>
      <c r="W5467" s="231"/>
      <c r="X5467" s="227"/>
      <c r="Y5467" s="348"/>
      <c r="Z5467" s="348"/>
      <c r="AA5467" s="348"/>
      <c r="AB5467" s="348"/>
      <c r="AC5467" s="227"/>
      <c r="AD5467" s="227"/>
      <c r="AE5467" s="231"/>
      <c r="AF5467" s="227"/>
      <c r="AG5467" s="348"/>
      <c r="AH5467" s="348"/>
      <c r="AI5467" s="348"/>
      <c r="AJ5467" s="348"/>
      <c r="AK5467" s="348"/>
      <c r="AL5467" s="348"/>
      <c r="AM5467" s="348"/>
      <c r="AN5467" s="348"/>
      <c r="AO5467" s="231"/>
      <c r="AP5467" s="231"/>
      <c r="AQ5467" s="227"/>
      <c r="AR5467" s="231"/>
      <c r="AS5467" s="227"/>
      <c r="AT5467" s="227"/>
      <c r="AU5467" s="227"/>
      <c r="AV5467" s="227"/>
      <c r="AW5467" s="227"/>
      <c r="AX5467" s="227"/>
      <c r="AY5467" s="227"/>
      <c r="AZ5467" s="227"/>
      <c r="BA5467" s="227"/>
      <c r="BB5467" s="227"/>
      <c r="BC5467" s="227"/>
      <c r="BD5467" s="227"/>
      <c r="BE5467" s="227"/>
      <c r="BF5467" s="227"/>
    </row>
    <row r="5468">
      <c r="A5468" s="227"/>
      <c r="B5468" s="348"/>
      <c r="C5468" s="227"/>
      <c r="D5468" s="227"/>
      <c r="E5468" s="231"/>
      <c r="F5468" s="348"/>
      <c r="G5468" s="227"/>
      <c r="H5468" s="227"/>
      <c r="I5468" s="227"/>
      <c r="J5468" s="227"/>
      <c r="K5468" s="227"/>
      <c r="L5468" s="348"/>
      <c r="M5468" s="348"/>
      <c r="N5468" s="227"/>
      <c r="O5468" s="227"/>
      <c r="P5468" s="231"/>
      <c r="Q5468" s="231"/>
      <c r="R5468" s="227"/>
      <c r="S5468" s="231"/>
      <c r="T5468" s="231"/>
      <c r="U5468" s="231"/>
      <c r="V5468" s="231"/>
      <c r="W5468" s="231"/>
      <c r="X5468" s="227"/>
      <c r="Y5468" s="348"/>
      <c r="Z5468" s="348"/>
      <c r="AA5468" s="348"/>
      <c r="AB5468" s="348"/>
      <c r="AC5468" s="227"/>
      <c r="AD5468" s="227"/>
      <c r="AE5468" s="231"/>
      <c r="AF5468" s="227"/>
      <c r="AG5468" s="348"/>
      <c r="AH5468" s="348"/>
      <c r="AI5468" s="348"/>
      <c r="AJ5468" s="348"/>
      <c r="AK5468" s="348"/>
      <c r="AL5468" s="348"/>
      <c r="AM5468" s="348"/>
      <c r="AN5468" s="348"/>
      <c r="AO5468" s="231"/>
      <c r="AP5468" s="231"/>
      <c r="AQ5468" s="227"/>
      <c r="AR5468" s="231"/>
      <c r="AS5468" s="227"/>
      <c r="AT5468" s="227"/>
      <c r="AU5468" s="227"/>
      <c r="AV5468" s="227"/>
      <c r="AW5468" s="227"/>
      <c r="AX5468" s="227"/>
      <c r="AY5468" s="227"/>
      <c r="AZ5468" s="227"/>
      <c r="BA5468" s="227"/>
      <c r="BB5468" s="227"/>
      <c r="BC5468" s="227"/>
      <c r="BD5468" s="227"/>
      <c r="BE5468" s="227"/>
      <c r="BF5468" s="227"/>
    </row>
    <row r="5469">
      <c r="A5469" s="227"/>
      <c r="B5469" s="348"/>
      <c r="C5469" s="227"/>
      <c r="D5469" s="227"/>
      <c r="E5469" s="231"/>
      <c r="F5469" s="348"/>
      <c r="G5469" s="227"/>
      <c r="H5469" s="227"/>
      <c r="I5469" s="227"/>
      <c r="J5469" s="227"/>
      <c r="K5469" s="227"/>
      <c r="L5469" s="348"/>
      <c r="M5469" s="348"/>
      <c r="N5469" s="227"/>
      <c r="O5469" s="227"/>
      <c r="P5469" s="231"/>
      <c r="Q5469" s="231"/>
      <c r="R5469" s="227"/>
      <c r="S5469" s="231"/>
      <c r="T5469" s="231"/>
      <c r="U5469" s="231"/>
      <c r="V5469" s="231"/>
      <c r="W5469" s="231"/>
      <c r="X5469" s="227"/>
      <c r="Y5469" s="348"/>
      <c r="Z5469" s="348"/>
      <c r="AA5469" s="348"/>
      <c r="AB5469" s="348"/>
      <c r="AC5469" s="227"/>
      <c r="AD5469" s="227"/>
      <c r="AE5469" s="231"/>
      <c r="AF5469" s="227"/>
      <c r="AG5469" s="348"/>
      <c r="AH5469" s="348"/>
      <c r="AI5469" s="348"/>
      <c r="AJ5469" s="348"/>
      <c r="AK5469" s="348"/>
      <c r="AL5469" s="348"/>
      <c r="AM5469" s="348"/>
      <c r="AN5469" s="348"/>
      <c r="AO5469" s="231"/>
      <c r="AP5469" s="231"/>
      <c r="AQ5469" s="227"/>
      <c r="AR5469" s="231"/>
      <c r="AS5469" s="227"/>
      <c r="AT5469" s="227"/>
      <c r="AU5469" s="227"/>
      <c r="AV5469" s="227"/>
      <c r="AW5469" s="227"/>
      <c r="AX5469" s="227"/>
      <c r="AY5469" s="227"/>
      <c r="AZ5469" s="227"/>
      <c r="BA5469" s="227"/>
      <c r="BB5469" s="227"/>
      <c r="BC5469" s="227"/>
      <c r="BD5469" s="227"/>
      <c r="BE5469" s="227"/>
      <c r="BF5469" s="227"/>
    </row>
    <row r="5470">
      <c r="A5470" s="227"/>
      <c r="B5470" s="348"/>
      <c r="C5470" s="227"/>
      <c r="D5470" s="227"/>
      <c r="E5470" s="231"/>
      <c r="F5470" s="348"/>
      <c r="G5470" s="227"/>
      <c r="H5470" s="227"/>
      <c r="I5470" s="227"/>
      <c r="J5470" s="227"/>
      <c r="K5470" s="227"/>
      <c r="L5470" s="348"/>
      <c r="M5470" s="348"/>
      <c r="N5470" s="227"/>
      <c r="O5470" s="227"/>
      <c r="P5470" s="231"/>
      <c r="Q5470" s="231"/>
      <c r="R5470" s="227"/>
      <c r="S5470" s="231"/>
      <c r="T5470" s="231"/>
      <c r="U5470" s="231"/>
      <c r="V5470" s="231"/>
      <c r="W5470" s="231"/>
      <c r="X5470" s="227"/>
      <c r="Y5470" s="348"/>
      <c r="Z5470" s="348"/>
      <c r="AA5470" s="348"/>
      <c r="AB5470" s="348"/>
      <c r="AC5470" s="227"/>
      <c r="AD5470" s="227"/>
      <c r="AE5470" s="231"/>
      <c r="AF5470" s="227"/>
      <c r="AG5470" s="348"/>
      <c r="AH5470" s="348"/>
      <c r="AI5470" s="348"/>
      <c r="AJ5470" s="348"/>
      <c r="AK5470" s="348"/>
      <c r="AL5470" s="348"/>
      <c r="AM5470" s="348"/>
      <c r="AN5470" s="348"/>
      <c r="AO5470" s="231"/>
      <c r="AP5470" s="231"/>
      <c r="AQ5470" s="227"/>
      <c r="AR5470" s="231"/>
      <c r="AS5470" s="227"/>
      <c r="AT5470" s="227"/>
      <c r="AU5470" s="227"/>
      <c r="AV5470" s="227"/>
      <c r="AW5470" s="227"/>
      <c r="AX5470" s="227"/>
      <c r="AY5470" s="227"/>
      <c r="AZ5470" s="227"/>
      <c r="BA5470" s="227"/>
      <c r="BB5470" s="227"/>
      <c r="BC5470" s="227"/>
      <c r="BD5470" s="227"/>
      <c r="BE5470" s="227"/>
      <c r="BF5470" s="227"/>
    </row>
    <row r="5471">
      <c r="A5471" s="227"/>
      <c r="B5471" s="348"/>
      <c r="C5471" s="227"/>
      <c r="D5471" s="227"/>
      <c r="E5471" s="231"/>
      <c r="F5471" s="348"/>
      <c r="G5471" s="227"/>
      <c r="H5471" s="227"/>
      <c r="I5471" s="227"/>
      <c r="J5471" s="227"/>
      <c r="K5471" s="227"/>
      <c r="L5471" s="348"/>
      <c r="M5471" s="348"/>
      <c r="N5471" s="227"/>
      <c r="O5471" s="227"/>
      <c r="P5471" s="231"/>
      <c r="Q5471" s="231"/>
      <c r="R5471" s="227"/>
      <c r="S5471" s="231"/>
      <c r="T5471" s="231"/>
      <c r="U5471" s="231"/>
      <c r="V5471" s="231"/>
      <c r="W5471" s="231"/>
      <c r="X5471" s="227"/>
      <c r="Y5471" s="348"/>
      <c r="Z5471" s="348"/>
      <c r="AA5471" s="348"/>
      <c r="AB5471" s="348"/>
      <c r="AC5471" s="227"/>
      <c r="AD5471" s="227"/>
      <c r="AE5471" s="231"/>
      <c r="AF5471" s="227"/>
      <c r="AG5471" s="348"/>
      <c r="AH5471" s="348"/>
      <c r="AI5471" s="348"/>
      <c r="AJ5471" s="348"/>
      <c r="AK5471" s="348"/>
      <c r="AL5471" s="348"/>
      <c r="AM5471" s="348"/>
      <c r="AN5471" s="348"/>
      <c r="AO5471" s="231"/>
      <c r="AP5471" s="231"/>
      <c r="AQ5471" s="227"/>
      <c r="AR5471" s="231"/>
      <c r="AS5471" s="227"/>
      <c r="AT5471" s="227"/>
      <c r="AU5471" s="227"/>
      <c r="AV5471" s="227"/>
      <c r="AW5471" s="227"/>
      <c r="AX5471" s="227"/>
      <c r="AY5471" s="227"/>
      <c r="AZ5471" s="227"/>
      <c r="BA5471" s="227"/>
      <c r="BB5471" s="227"/>
      <c r="BC5471" s="227"/>
      <c r="BD5471" s="227"/>
      <c r="BE5471" s="227"/>
      <c r="BF5471" s="227"/>
    </row>
    <row r="5472">
      <c r="A5472" s="227"/>
      <c r="B5472" s="348"/>
      <c r="C5472" s="227"/>
      <c r="D5472" s="227"/>
      <c r="E5472" s="231"/>
      <c r="F5472" s="348"/>
      <c r="G5472" s="227"/>
      <c r="H5472" s="227"/>
      <c r="I5472" s="227"/>
      <c r="J5472" s="227"/>
      <c r="K5472" s="227"/>
      <c r="L5472" s="348"/>
      <c r="M5472" s="348"/>
      <c r="N5472" s="227"/>
      <c r="O5472" s="227"/>
      <c r="P5472" s="231"/>
      <c r="Q5472" s="231"/>
      <c r="R5472" s="227"/>
      <c r="S5472" s="231"/>
      <c r="T5472" s="231"/>
      <c r="U5472" s="231"/>
      <c r="V5472" s="231"/>
      <c r="W5472" s="231"/>
      <c r="X5472" s="227"/>
      <c r="Y5472" s="348"/>
      <c r="Z5472" s="348"/>
      <c r="AA5472" s="348"/>
      <c r="AB5472" s="348"/>
      <c r="AC5472" s="227"/>
      <c r="AD5472" s="227"/>
      <c r="AE5472" s="231"/>
      <c r="AF5472" s="227"/>
      <c r="AG5472" s="348"/>
      <c r="AH5472" s="348"/>
      <c r="AI5472" s="348"/>
      <c r="AJ5472" s="348"/>
      <c r="AK5472" s="348"/>
      <c r="AL5472" s="348"/>
      <c r="AM5472" s="348"/>
      <c r="AN5472" s="348"/>
      <c r="AO5472" s="231"/>
      <c r="AP5472" s="231"/>
      <c r="AQ5472" s="227"/>
      <c r="AR5472" s="231"/>
      <c r="AS5472" s="227"/>
      <c r="AT5472" s="227"/>
      <c r="AU5472" s="227"/>
      <c r="AV5472" s="227"/>
      <c r="AW5472" s="227"/>
      <c r="AX5472" s="227"/>
      <c r="AY5472" s="227"/>
      <c r="AZ5472" s="227"/>
      <c r="BA5472" s="227"/>
      <c r="BB5472" s="227"/>
      <c r="BC5472" s="227"/>
      <c r="BD5472" s="227"/>
      <c r="BE5472" s="227"/>
      <c r="BF5472" s="227"/>
    </row>
    <row r="5473">
      <c r="A5473" s="227"/>
      <c r="B5473" s="348"/>
      <c r="C5473" s="227"/>
      <c r="D5473" s="227"/>
      <c r="E5473" s="231"/>
      <c r="F5473" s="348"/>
      <c r="G5473" s="227"/>
      <c r="H5473" s="227"/>
      <c r="I5473" s="227"/>
      <c r="J5473" s="227"/>
      <c r="K5473" s="227"/>
      <c r="L5473" s="348"/>
      <c r="M5473" s="348"/>
      <c r="N5473" s="227"/>
      <c r="O5473" s="227"/>
      <c r="P5473" s="231"/>
      <c r="Q5473" s="231"/>
      <c r="R5473" s="227"/>
      <c r="S5473" s="231"/>
      <c r="T5473" s="231"/>
      <c r="U5473" s="231"/>
      <c r="V5473" s="231"/>
      <c r="W5473" s="231"/>
      <c r="X5473" s="227"/>
      <c r="Y5473" s="348"/>
      <c r="Z5473" s="348"/>
      <c r="AA5473" s="348"/>
      <c r="AB5473" s="348"/>
      <c r="AC5473" s="227"/>
      <c r="AD5473" s="227"/>
      <c r="AE5473" s="231"/>
      <c r="AF5473" s="227"/>
      <c r="AG5473" s="348"/>
      <c r="AH5473" s="348"/>
      <c r="AI5473" s="348"/>
      <c r="AJ5473" s="348"/>
      <c r="AK5473" s="348"/>
      <c r="AL5473" s="348"/>
      <c r="AM5473" s="348"/>
      <c r="AN5473" s="348"/>
      <c r="AO5473" s="231"/>
      <c r="AP5473" s="231"/>
      <c r="AQ5473" s="227"/>
      <c r="AR5473" s="231"/>
      <c r="AS5473" s="227"/>
      <c r="AT5473" s="227"/>
      <c r="AU5473" s="227"/>
      <c r="AV5473" s="227"/>
      <c r="AW5473" s="227"/>
      <c r="AX5473" s="227"/>
      <c r="AY5473" s="227"/>
      <c r="AZ5473" s="227"/>
      <c r="BA5473" s="227"/>
      <c r="BB5473" s="227"/>
      <c r="BC5473" s="227"/>
      <c r="BD5473" s="227"/>
      <c r="BE5473" s="227"/>
      <c r="BF5473" s="227"/>
    </row>
    <row r="5474">
      <c r="A5474" s="227"/>
      <c r="B5474" s="348"/>
      <c r="C5474" s="227"/>
      <c r="D5474" s="227"/>
      <c r="E5474" s="231"/>
      <c r="F5474" s="348"/>
      <c r="G5474" s="227"/>
      <c r="H5474" s="227"/>
      <c r="I5474" s="227"/>
      <c r="J5474" s="227"/>
      <c r="K5474" s="227"/>
      <c r="L5474" s="348"/>
      <c r="M5474" s="348"/>
      <c r="N5474" s="227"/>
      <c r="O5474" s="227"/>
      <c r="P5474" s="231"/>
      <c r="Q5474" s="231"/>
      <c r="R5474" s="227"/>
      <c r="S5474" s="231"/>
      <c r="T5474" s="231"/>
      <c r="U5474" s="231"/>
      <c r="V5474" s="231"/>
      <c r="W5474" s="231"/>
      <c r="X5474" s="227"/>
      <c r="Y5474" s="348"/>
      <c r="Z5474" s="348"/>
      <c r="AA5474" s="348"/>
      <c r="AB5474" s="348"/>
      <c r="AC5474" s="227"/>
      <c r="AD5474" s="227"/>
      <c r="AE5474" s="231"/>
      <c r="AF5474" s="227"/>
      <c r="AG5474" s="348"/>
      <c r="AH5474" s="348"/>
      <c r="AI5474" s="348"/>
      <c r="AJ5474" s="348"/>
      <c r="AK5474" s="348"/>
      <c r="AL5474" s="348"/>
      <c r="AM5474" s="348"/>
      <c r="AN5474" s="348"/>
      <c r="AO5474" s="231"/>
      <c r="AP5474" s="231"/>
      <c r="AQ5474" s="227"/>
      <c r="AR5474" s="231"/>
      <c r="AS5474" s="227"/>
      <c r="AT5474" s="227"/>
      <c r="AU5474" s="227"/>
      <c r="AV5474" s="227"/>
      <c r="AW5474" s="227"/>
      <c r="AX5474" s="227"/>
      <c r="AY5474" s="227"/>
      <c r="AZ5474" s="227"/>
      <c r="BA5474" s="227"/>
      <c r="BB5474" s="227"/>
      <c r="BC5474" s="227"/>
      <c r="BD5474" s="227"/>
      <c r="BE5474" s="227"/>
      <c r="BF5474" s="227"/>
    </row>
    <row r="5475">
      <c r="A5475" s="227"/>
      <c r="B5475" s="348"/>
      <c r="C5475" s="227"/>
      <c r="D5475" s="227"/>
      <c r="E5475" s="231"/>
      <c r="F5475" s="348"/>
      <c r="G5475" s="227"/>
      <c r="H5475" s="227"/>
      <c r="I5475" s="227"/>
      <c r="J5475" s="227"/>
      <c r="K5475" s="227"/>
      <c r="L5475" s="348"/>
      <c r="M5475" s="348"/>
      <c r="N5475" s="227"/>
      <c r="O5475" s="227"/>
      <c r="P5475" s="231"/>
      <c r="Q5475" s="231"/>
      <c r="R5475" s="227"/>
      <c r="S5475" s="231"/>
      <c r="T5475" s="231"/>
      <c r="U5475" s="231"/>
      <c r="V5475" s="231"/>
      <c r="W5475" s="231"/>
      <c r="X5475" s="227"/>
      <c r="Y5475" s="348"/>
      <c r="Z5475" s="348"/>
      <c r="AA5475" s="348"/>
      <c r="AB5475" s="348"/>
      <c r="AC5475" s="227"/>
      <c r="AD5475" s="227"/>
      <c r="AE5475" s="231"/>
      <c r="AF5475" s="227"/>
      <c r="AG5475" s="348"/>
      <c r="AH5475" s="348"/>
      <c r="AI5475" s="348"/>
      <c r="AJ5475" s="348"/>
      <c r="AK5475" s="348"/>
      <c r="AL5475" s="348"/>
      <c r="AM5475" s="348"/>
      <c r="AN5475" s="348"/>
      <c r="AO5475" s="231"/>
      <c r="AP5475" s="231"/>
      <c r="AQ5475" s="227"/>
      <c r="AR5475" s="231"/>
      <c r="AS5475" s="227"/>
      <c r="AT5475" s="227"/>
      <c r="AU5475" s="227"/>
      <c r="AV5475" s="227"/>
      <c r="AW5475" s="227"/>
      <c r="AX5475" s="227"/>
      <c r="AY5475" s="227"/>
      <c r="AZ5475" s="227"/>
      <c r="BA5475" s="227"/>
      <c r="BB5475" s="227"/>
      <c r="BC5475" s="227"/>
      <c r="BD5475" s="227"/>
      <c r="BE5475" s="227"/>
      <c r="BF5475" s="227"/>
    </row>
    <row r="5476">
      <c r="A5476" s="227"/>
      <c r="B5476" s="348"/>
      <c r="C5476" s="227"/>
      <c r="D5476" s="227"/>
      <c r="E5476" s="231"/>
      <c r="F5476" s="348"/>
      <c r="G5476" s="227"/>
      <c r="H5476" s="227"/>
      <c r="I5476" s="227"/>
      <c r="J5476" s="227"/>
      <c r="K5476" s="227"/>
      <c r="L5476" s="348"/>
      <c r="M5476" s="348"/>
      <c r="N5476" s="227"/>
      <c r="O5476" s="227"/>
      <c r="P5476" s="231"/>
      <c r="Q5476" s="231"/>
      <c r="R5476" s="227"/>
      <c r="S5476" s="231"/>
      <c r="T5476" s="231"/>
      <c r="U5476" s="231"/>
      <c r="V5476" s="231"/>
      <c r="W5476" s="231"/>
      <c r="X5476" s="227"/>
      <c r="Y5476" s="348"/>
      <c r="Z5476" s="348"/>
      <c r="AA5476" s="348"/>
      <c r="AB5476" s="348"/>
      <c r="AC5476" s="227"/>
      <c r="AD5476" s="227"/>
      <c r="AE5476" s="231"/>
      <c r="AF5476" s="227"/>
      <c r="AG5476" s="348"/>
      <c r="AH5476" s="348"/>
      <c r="AI5476" s="348"/>
      <c r="AJ5476" s="348"/>
      <c r="AK5476" s="348"/>
      <c r="AL5476" s="348"/>
      <c r="AM5476" s="348"/>
      <c r="AN5476" s="348"/>
      <c r="AO5476" s="231"/>
      <c r="AP5476" s="231"/>
      <c r="AQ5476" s="227"/>
      <c r="AR5476" s="231"/>
      <c r="AS5476" s="227"/>
      <c r="AT5476" s="227"/>
      <c r="AU5476" s="227"/>
      <c r="AV5476" s="227"/>
      <c r="AW5476" s="227"/>
      <c r="AX5476" s="227"/>
      <c r="AY5476" s="227"/>
      <c r="AZ5476" s="227"/>
      <c r="BA5476" s="227"/>
      <c r="BB5476" s="227"/>
      <c r="BC5476" s="227"/>
      <c r="BD5476" s="227"/>
      <c r="BE5476" s="227"/>
      <c r="BF5476" s="227"/>
    </row>
    <row r="5477">
      <c r="A5477" s="227"/>
      <c r="B5477" s="348"/>
      <c r="C5477" s="227"/>
      <c r="D5477" s="227"/>
      <c r="E5477" s="231"/>
      <c r="F5477" s="348"/>
      <c r="G5477" s="227"/>
      <c r="H5477" s="227"/>
      <c r="I5477" s="227"/>
      <c r="J5477" s="227"/>
      <c r="K5477" s="227"/>
      <c r="L5477" s="348"/>
      <c r="M5477" s="348"/>
      <c r="N5477" s="227"/>
      <c r="O5477" s="227"/>
      <c r="P5477" s="231"/>
      <c r="Q5477" s="231"/>
      <c r="R5477" s="227"/>
      <c r="S5477" s="231"/>
      <c r="T5477" s="231"/>
      <c r="U5477" s="231"/>
      <c r="V5477" s="231"/>
      <c r="W5477" s="231"/>
      <c r="X5477" s="227"/>
      <c r="Y5477" s="348"/>
      <c r="Z5477" s="348"/>
      <c r="AA5477" s="348"/>
      <c r="AB5477" s="348"/>
      <c r="AC5477" s="227"/>
      <c r="AD5477" s="227"/>
      <c r="AE5477" s="231"/>
      <c r="AF5477" s="227"/>
      <c r="AG5477" s="348"/>
      <c r="AH5477" s="348"/>
      <c r="AI5477" s="348"/>
      <c r="AJ5477" s="348"/>
      <c r="AK5477" s="348"/>
      <c r="AL5477" s="348"/>
      <c r="AM5477" s="348"/>
      <c r="AN5477" s="348"/>
      <c r="AO5477" s="231"/>
      <c r="AP5477" s="231"/>
      <c r="AQ5477" s="227"/>
      <c r="AR5477" s="231"/>
      <c r="AS5477" s="227"/>
      <c r="AT5477" s="227"/>
      <c r="AU5477" s="227"/>
      <c r="AV5477" s="227"/>
      <c r="AW5477" s="227"/>
      <c r="AX5477" s="227"/>
      <c r="AY5477" s="227"/>
      <c r="AZ5477" s="227"/>
      <c r="BA5477" s="227"/>
      <c r="BB5477" s="227"/>
      <c r="BC5477" s="227"/>
      <c r="BD5477" s="227"/>
      <c r="BE5477" s="227"/>
      <c r="BF5477" s="227"/>
    </row>
    <row r="5478">
      <c r="A5478" s="227"/>
      <c r="B5478" s="348"/>
      <c r="C5478" s="227"/>
      <c r="D5478" s="227"/>
      <c r="E5478" s="231"/>
      <c r="F5478" s="348"/>
      <c r="G5478" s="227"/>
      <c r="H5478" s="227"/>
      <c r="I5478" s="227"/>
      <c r="J5478" s="227"/>
      <c r="K5478" s="227"/>
      <c r="L5478" s="348"/>
      <c r="M5478" s="348"/>
      <c r="N5478" s="227"/>
      <c r="O5478" s="227"/>
      <c r="P5478" s="231"/>
      <c r="Q5478" s="231"/>
      <c r="R5478" s="227"/>
      <c r="S5478" s="231"/>
      <c r="T5478" s="231"/>
      <c r="U5478" s="231"/>
      <c r="V5478" s="231"/>
      <c r="W5478" s="231"/>
      <c r="X5478" s="227"/>
      <c r="Y5478" s="348"/>
      <c r="Z5478" s="348"/>
      <c r="AA5478" s="348"/>
      <c r="AB5478" s="348"/>
      <c r="AC5478" s="227"/>
      <c r="AD5478" s="227"/>
      <c r="AE5478" s="231"/>
      <c r="AF5478" s="227"/>
      <c r="AG5478" s="348"/>
      <c r="AH5478" s="348"/>
      <c r="AI5478" s="348"/>
      <c r="AJ5478" s="348"/>
      <c r="AK5478" s="348"/>
      <c r="AL5478" s="348"/>
      <c r="AM5478" s="348"/>
      <c r="AN5478" s="348"/>
      <c r="AO5478" s="231"/>
      <c r="AP5478" s="231"/>
      <c r="AQ5478" s="227"/>
      <c r="AR5478" s="231"/>
      <c r="AS5478" s="227"/>
      <c r="AT5478" s="227"/>
      <c r="AU5478" s="227"/>
      <c r="AV5478" s="227"/>
      <c r="AW5478" s="227"/>
      <c r="AX5478" s="227"/>
      <c r="AY5478" s="227"/>
      <c r="AZ5478" s="227"/>
      <c r="BA5478" s="227"/>
      <c r="BB5478" s="227"/>
      <c r="BC5478" s="227"/>
      <c r="BD5478" s="227"/>
      <c r="BE5478" s="227"/>
      <c r="BF5478" s="227"/>
    </row>
    <row r="5479">
      <c r="A5479" s="227"/>
      <c r="B5479" s="348"/>
      <c r="C5479" s="227"/>
      <c r="D5479" s="227"/>
      <c r="E5479" s="231"/>
      <c r="F5479" s="348"/>
      <c r="G5479" s="227"/>
      <c r="H5479" s="227"/>
      <c r="I5479" s="227"/>
      <c r="J5479" s="227"/>
      <c r="K5479" s="227"/>
      <c r="L5479" s="348"/>
      <c r="M5479" s="348"/>
      <c r="N5479" s="227"/>
      <c r="O5479" s="227"/>
      <c r="P5479" s="231"/>
      <c r="Q5479" s="231"/>
      <c r="R5479" s="227"/>
      <c r="S5479" s="231"/>
      <c r="T5479" s="231"/>
      <c r="U5479" s="231"/>
      <c r="V5479" s="231"/>
      <c r="W5479" s="231"/>
      <c r="X5479" s="227"/>
      <c r="Y5479" s="348"/>
      <c r="Z5479" s="348"/>
      <c r="AA5479" s="348"/>
      <c r="AB5479" s="348"/>
      <c r="AC5479" s="227"/>
      <c r="AD5479" s="227"/>
      <c r="AE5479" s="231"/>
      <c r="AF5479" s="227"/>
      <c r="AG5479" s="348"/>
      <c r="AH5479" s="348"/>
      <c r="AI5479" s="348"/>
      <c r="AJ5479" s="348"/>
      <c r="AK5479" s="348"/>
      <c r="AL5479" s="348"/>
      <c r="AM5479" s="348"/>
      <c r="AN5479" s="348"/>
      <c r="AO5479" s="231"/>
      <c r="AP5479" s="231"/>
      <c r="AQ5479" s="227"/>
      <c r="AR5479" s="231"/>
      <c r="AS5479" s="227"/>
      <c r="AT5479" s="227"/>
      <c r="AU5479" s="227"/>
      <c r="AV5479" s="227"/>
      <c r="AW5479" s="227"/>
      <c r="AX5479" s="227"/>
      <c r="AY5479" s="227"/>
      <c r="AZ5479" s="227"/>
      <c r="BA5479" s="227"/>
      <c r="BB5479" s="227"/>
      <c r="BC5479" s="227"/>
      <c r="BD5479" s="227"/>
      <c r="BE5479" s="227"/>
      <c r="BF5479" s="227"/>
    </row>
    <row r="5480">
      <c r="A5480" s="227"/>
      <c r="B5480" s="348"/>
      <c r="C5480" s="227"/>
      <c r="D5480" s="227"/>
      <c r="E5480" s="231"/>
      <c r="F5480" s="348"/>
      <c r="G5480" s="227"/>
      <c r="H5480" s="227"/>
      <c r="I5480" s="227"/>
      <c r="J5480" s="227"/>
      <c r="K5480" s="227"/>
      <c r="L5480" s="348"/>
      <c r="M5480" s="348"/>
      <c r="N5480" s="227"/>
      <c r="O5480" s="227"/>
      <c r="P5480" s="231"/>
      <c r="Q5480" s="231"/>
      <c r="R5480" s="227"/>
      <c r="S5480" s="231"/>
      <c r="T5480" s="231"/>
      <c r="U5480" s="231"/>
      <c r="V5480" s="231"/>
      <c r="W5480" s="231"/>
      <c r="X5480" s="227"/>
      <c r="Y5480" s="348"/>
      <c r="Z5480" s="348"/>
      <c r="AA5480" s="348"/>
      <c r="AB5480" s="348"/>
      <c r="AC5480" s="227"/>
      <c r="AD5480" s="227"/>
      <c r="AE5480" s="231"/>
      <c r="AF5480" s="227"/>
      <c r="AG5480" s="348"/>
      <c r="AH5480" s="348"/>
      <c r="AI5480" s="348"/>
      <c r="AJ5480" s="348"/>
      <c r="AK5480" s="348"/>
      <c r="AL5480" s="348"/>
      <c r="AM5480" s="348"/>
      <c r="AN5480" s="348"/>
      <c r="AO5480" s="231"/>
      <c r="AP5480" s="231"/>
      <c r="AQ5480" s="227"/>
      <c r="AR5480" s="231"/>
      <c r="AS5480" s="227"/>
      <c r="AT5480" s="227"/>
      <c r="AU5480" s="227"/>
      <c r="AV5480" s="227"/>
      <c r="AW5480" s="227"/>
      <c r="AX5480" s="227"/>
      <c r="AY5480" s="227"/>
      <c r="AZ5480" s="227"/>
      <c r="BA5480" s="227"/>
      <c r="BB5480" s="227"/>
      <c r="BC5480" s="227"/>
      <c r="BD5480" s="227"/>
      <c r="BE5480" s="227"/>
      <c r="BF5480" s="227"/>
    </row>
    <row r="5481">
      <c r="A5481" s="227"/>
      <c r="B5481" s="348"/>
      <c r="C5481" s="227"/>
      <c r="D5481" s="227"/>
      <c r="E5481" s="231"/>
      <c r="F5481" s="348"/>
      <c r="G5481" s="227"/>
      <c r="H5481" s="227"/>
      <c r="I5481" s="227"/>
      <c r="J5481" s="227"/>
      <c r="K5481" s="227"/>
      <c r="L5481" s="348"/>
      <c r="M5481" s="348"/>
      <c r="N5481" s="227"/>
      <c r="O5481" s="227"/>
      <c r="P5481" s="231"/>
      <c r="Q5481" s="231"/>
      <c r="R5481" s="227"/>
      <c r="S5481" s="231"/>
      <c r="T5481" s="231"/>
      <c r="U5481" s="231"/>
      <c r="V5481" s="231"/>
      <c r="W5481" s="231"/>
      <c r="X5481" s="227"/>
      <c r="Y5481" s="348"/>
      <c r="Z5481" s="348"/>
      <c r="AA5481" s="348"/>
      <c r="AB5481" s="348"/>
      <c r="AC5481" s="227"/>
      <c r="AD5481" s="227"/>
      <c r="AE5481" s="231"/>
      <c r="AF5481" s="227"/>
      <c r="AG5481" s="348"/>
      <c r="AH5481" s="348"/>
      <c r="AI5481" s="348"/>
      <c r="AJ5481" s="348"/>
      <c r="AK5481" s="348"/>
      <c r="AL5481" s="348"/>
      <c r="AM5481" s="348"/>
      <c r="AN5481" s="348"/>
      <c r="AO5481" s="231"/>
      <c r="AP5481" s="231"/>
      <c r="AQ5481" s="227"/>
      <c r="AR5481" s="231"/>
      <c r="AS5481" s="227"/>
      <c r="AT5481" s="227"/>
      <c r="AU5481" s="227"/>
      <c r="AV5481" s="227"/>
      <c r="AW5481" s="227"/>
      <c r="AX5481" s="227"/>
      <c r="AY5481" s="227"/>
      <c r="AZ5481" s="227"/>
      <c r="BA5481" s="227"/>
      <c r="BB5481" s="227"/>
      <c r="BC5481" s="227"/>
      <c r="BD5481" s="227"/>
      <c r="BE5481" s="227"/>
      <c r="BF5481" s="227"/>
    </row>
    <row r="5482">
      <c r="A5482" s="227"/>
      <c r="B5482" s="348"/>
      <c r="C5482" s="227"/>
      <c r="D5482" s="227"/>
      <c r="E5482" s="231"/>
      <c r="F5482" s="348"/>
      <c r="G5482" s="227"/>
      <c r="H5482" s="227"/>
      <c r="I5482" s="227"/>
      <c r="J5482" s="227"/>
      <c r="K5482" s="227"/>
      <c r="L5482" s="348"/>
      <c r="M5482" s="348"/>
      <c r="N5482" s="227"/>
      <c r="O5482" s="227"/>
      <c r="P5482" s="231"/>
      <c r="Q5482" s="231"/>
      <c r="R5482" s="227"/>
      <c r="S5482" s="231"/>
      <c r="T5482" s="231"/>
      <c r="U5482" s="231"/>
      <c r="V5482" s="231"/>
      <c r="W5482" s="231"/>
      <c r="X5482" s="227"/>
      <c r="Y5482" s="348"/>
      <c r="Z5482" s="348"/>
      <c r="AA5482" s="348"/>
      <c r="AB5482" s="348"/>
      <c r="AC5482" s="227"/>
      <c r="AD5482" s="227"/>
      <c r="AE5482" s="231"/>
      <c r="AF5482" s="227"/>
      <c r="AG5482" s="348"/>
      <c r="AH5482" s="348"/>
      <c r="AI5482" s="348"/>
      <c r="AJ5482" s="348"/>
      <c r="AK5482" s="348"/>
      <c r="AL5482" s="348"/>
      <c r="AM5482" s="348"/>
      <c r="AN5482" s="348"/>
      <c r="AO5482" s="231"/>
      <c r="AP5482" s="231"/>
      <c r="AQ5482" s="227"/>
      <c r="AR5482" s="231"/>
      <c r="AS5482" s="227"/>
      <c r="AT5482" s="227"/>
      <c r="AU5482" s="227"/>
      <c r="AV5482" s="227"/>
      <c r="AW5482" s="227"/>
      <c r="AX5482" s="227"/>
      <c r="AY5482" s="227"/>
      <c r="AZ5482" s="227"/>
      <c r="BA5482" s="227"/>
      <c r="BB5482" s="227"/>
      <c r="BC5482" s="227"/>
      <c r="BD5482" s="227"/>
      <c r="BE5482" s="227"/>
      <c r="BF5482" s="227"/>
    </row>
    <row r="5483">
      <c r="A5483" s="227"/>
      <c r="B5483" s="348"/>
      <c r="C5483" s="227"/>
      <c r="D5483" s="227"/>
      <c r="E5483" s="231"/>
      <c r="F5483" s="348"/>
      <c r="G5483" s="227"/>
      <c r="H5483" s="227"/>
      <c r="I5483" s="227"/>
      <c r="J5483" s="227"/>
      <c r="K5483" s="227"/>
      <c r="L5483" s="348"/>
      <c r="M5483" s="348"/>
      <c r="N5483" s="227"/>
      <c r="O5483" s="227"/>
      <c r="P5483" s="231"/>
      <c r="Q5483" s="231"/>
      <c r="R5483" s="227"/>
      <c r="S5483" s="231"/>
      <c r="T5483" s="231"/>
      <c r="U5483" s="231"/>
      <c r="V5483" s="231"/>
      <c r="W5483" s="231"/>
      <c r="X5483" s="227"/>
      <c r="Y5483" s="348"/>
      <c r="Z5483" s="348"/>
      <c r="AA5483" s="348"/>
      <c r="AB5483" s="348"/>
      <c r="AC5483" s="227"/>
      <c r="AD5483" s="227"/>
      <c r="AE5483" s="231"/>
      <c r="AF5483" s="227"/>
      <c r="AG5483" s="348"/>
      <c r="AH5483" s="348"/>
      <c r="AI5483" s="348"/>
      <c r="AJ5483" s="348"/>
      <c r="AK5483" s="348"/>
      <c r="AL5483" s="348"/>
      <c r="AM5483" s="348"/>
      <c r="AN5483" s="348"/>
      <c r="AO5483" s="231"/>
      <c r="AP5483" s="231"/>
      <c r="AQ5483" s="227"/>
      <c r="AR5483" s="231"/>
      <c r="AS5483" s="227"/>
      <c r="AT5483" s="227"/>
      <c r="AU5483" s="227"/>
      <c r="AV5483" s="227"/>
      <c r="AW5483" s="227"/>
      <c r="AX5483" s="227"/>
      <c r="AY5483" s="227"/>
      <c r="AZ5483" s="227"/>
      <c r="BA5483" s="227"/>
      <c r="BB5483" s="227"/>
      <c r="BC5483" s="227"/>
      <c r="BD5483" s="227"/>
      <c r="BE5483" s="227"/>
      <c r="BF5483" s="227"/>
    </row>
    <row r="5484">
      <c r="A5484" s="227"/>
      <c r="B5484" s="348"/>
      <c r="C5484" s="227"/>
      <c r="D5484" s="227"/>
      <c r="E5484" s="231"/>
      <c r="F5484" s="348"/>
      <c r="G5484" s="227"/>
      <c r="H5484" s="227"/>
      <c r="I5484" s="227"/>
      <c r="J5484" s="227"/>
      <c r="K5484" s="227"/>
      <c r="L5484" s="348"/>
      <c r="M5484" s="348"/>
      <c r="N5484" s="227"/>
      <c r="O5484" s="227"/>
      <c r="P5484" s="231"/>
      <c r="Q5484" s="231"/>
      <c r="R5484" s="227"/>
      <c r="S5484" s="231"/>
      <c r="T5484" s="231"/>
      <c r="U5484" s="231"/>
      <c r="V5484" s="231"/>
      <c r="W5484" s="231"/>
      <c r="X5484" s="227"/>
      <c r="Y5484" s="348"/>
      <c r="Z5484" s="348"/>
      <c r="AA5484" s="348"/>
      <c r="AB5484" s="348"/>
      <c r="AC5484" s="227"/>
      <c r="AD5484" s="227"/>
      <c r="AE5484" s="231"/>
      <c r="AF5484" s="227"/>
      <c r="AG5484" s="348"/>
      <c r="AH5484" s="348"/>
      <c r="AI5484" s="348"/>
      <c r="AJ5484" s="348"/>
      <c r="AK5484" s="348"/>
      <c r="AL5484" s="348"/>
      <c r="AM5484" s="348"/>
      <c r="AN5484" s="348"/>
      <c r="AO5484" s="231"/>
      <c r="AP5484" s="231"/>
      <c r="AQ5484" s="227"/>
      <c r="AR5484" s="231"/>
      <c r="AS5484" s="227"/>
      <c r="AT5484" s="227"/>
      <c r="AU5484" s="227"/>
      <c r="AV5484" s="227"/>
      <c r="AW5484" s="227"/>
      <c r="AX5484" s="227"/>
      <c r="AY5484" s="227"/>
      <c r="AZ5484" s="227"/>
      <c r="BA5484" s="227"/>
      <c r="BB5484" s="227"/>
      <c r="BC5484" s="227"/>
      <c r="BD5484" s="227"/>
      <c r="BE5484" s="227"/>
      <c r="BF5484" s="227"/>
    </row>
    <row r="5485">
      <c r="A5485" s="227"/>
      <c r="B5485" s="348"/>
      <c r="C5485" s="227"/>
      <c r="D5485" s="227"/>
      <c r="E5485" s="231"/>
      <c r="F5485" s="348"/>
      <c r="G5485" s="227"/>
      <c r="H5485" s="227"/>
      <c r="I5485" s="227"/>
      <c r="J5485" s="227"/>
      <c r="K5485" s="227"/>
      <c r="L5485" s="348"/>
      <c r="M5485" s="348"/>
      <c r="N5485" s="227"/>
      <c r="O5485" s="227"/>
      <c r="P5485" s="231"/>
      <c r="Q5485" s="231"/>
      <c r="R5485" s="227"/>
      <c r="S5485" s="231"/>
      <c r="T5485" s="231"/>
      <c r="U5485" s="231"/>
      <c r="V5485" s="231"/>
      <c r="W5485" s="231"/>
      <c r="X5485" s="227"/>
      <c r="Y5485" s="348"/>
      <c r="Z5485" s="348"/>
      <c r="AA5485" s="348"/>
      <c r="AB5485" s="348"/>
      <c r="AC5485" s="227"/>
      <c r="AD5485" s="227"/>
      <c r="AE5485" s="231"/>
      <c r="AF5485" s="227"/>
      <c r="AG5485" s="348"/>
      <c r="AH5485" s="348"/>
      <c r="AI5485" s="348"/>
      <c r="AJ5485" s="348"/>
      <c r="AK5485" s="348"/>
      <c r="AL5485" s="348"/>
      <c r="AM5485" s="348"/>
      <c r="AN5485" s="348"/>
      <c r="AO5485" s="231"/>
      <c r="AP5485" s="231"/>
      <c r="AQ5485" s="227"/>
      <c r="AR5485" s="231"/>
      <c r="AS5485" s="227"/>
      <c r="AT5485" s="227"/>
      <c r="AU5485" s="227"/>
      <c r="AV5485" s="227"/>
      <c r="AW5485" s="227"/>
      <c r="AX5485" s="227"/>
      <c r="AY5485" s="227"/>
      <c r="AZ5485" s="227"/>
      <c r="BA5485" s="227"/>
      <c r="BB5485" s="227"/>
      <c r="BC5485" s="227"/>
      <c r="BD5485" s="227"/>
      <c r="BE5485" s="227"/>
      <c r="BF5485" s="227"/>
    </row>
    <row r="5486">
      <c r="A5486" s="227"/>
      <c r="B5486" s="348"/>
      <c r="C5486" s="227"/>
      <c r="D5486" s="227"/>
      <c r="E5486" s="231"/>
      <c r="F5486" s="348"/>
      <c r="G5486" s="227"/>
      <c r="H5486" s="227"/>
      <c r="I5486" s="227"/>
      <c r="J5486" s="227"/>
      <c r="K5486" s="227"/>
      <c r="L5486" s="348"/>
      <c r="M5486" s="348"/>
      <c r="N5486" s="227"/>
      <c r="O5486" s="227"/>
      <c r="P5486" s="231"/>
      <c r="Q5486" s="231"/>
      <c r="R5486" s="227"/>
      <c r="S5486" s="231"/>
      <c r="T5486" s="231"/>
      <c r="U5486" s="231"/>
      <c r="V5486" s="231"/>
      <c r="W5486" s="231"/>
      <c r="X5486" s="227"/>
      <c r="Y5486" s="348"/>
      <c r="Z5486" s="348"/>
      <c r="AA5486" s="348"/>
      <c r="AB5486" s="348"/>
      <c r="AC5486" s="227"/>
      <c r="AD5486" s="227"/>
      <c r="AE5486" s="231"/>
      <c r="AF5486" s="227"/>
      <c r="AG5486" s="348"/>
      <c r="AH5486" s="348"/>
      <c r="AI5486" s="348"/>
      <c r="AJ5486" s="348"/>
      <c r="AK5486" s="348"/>
      <c r="AL5486" s="348"/>
      <c r="AM5486" s="348"/>
      <c r="AN5486" s="348"/>
      <c r="AO5486" s="231"/>
      <c r="AP5486" s="231"/>
      <c r="AQ5486" s="227"/>
      <c r="AR5486" s="231"/>
      <c r="AS5486" s="227"/>
      <c r="AT5486" s="227"/>
      <c r="AU5486" s="227"/>
      <c r="AV5486" s="227"/>
      <c r="AW5486" s="227"/>
      <c r="AX5486" s="227"/>
      <c r="AY5486" s="227"/>
      <c r="AZ5486" s="227"/>
      <c r="BA5486" s="227"/>
      <c r="BB5486" s="227"/>
      <c r="BC5486" s="227"/>
      <c r="BD5486" s="227"/>
      <c r="BE5486" s="227"/>
      <c r="BF5486" s="227"/>
    </row>
    <row r="5487">
      <c r="A5487" s="227"/>
      <c r="B5487" s="348"/>
      <c r="C5487" s="227"/>
      <c r="D5487" s="227"/>
      <c r="E5487" s="231"/>
      <c r="F5487" s="348"/>
      <c r="G5487" s="227"/>
      <c r="H5487" s="227"/>
      <c r="I5487" s="227"/>
      <c r="J5487" s="227"/>
      <c r="K5487" s="227"/>
      <c r="L5487" s="348"/>
      <c r="M5487" s="348"/>
      <c r="N5487" s="227"/>
      <c r="O5487" s="227"/>
      <c r="P5487" s="231"/>
      <c r="Q5487" s="231"/>
      <c r="R5487" s="227"/>
      <c r="S5487" s="231"/>
      <c r="T5487" s="231"/>
      <c r="U5487" s="231"/>
      <c r="V5487" s="231"/>
      <c r="W5487" s="231"/>
      <c r="X5487" s="227"/>
      <c r="Y5487" s="348"/>
      <c r="Z5487" s="348"/>
      <c r="AA5487" s="348"/>
      <c r="AB5487" s="348"/>
      <c r="AC5487" s="227"/>
      <c r="AD5487" s="227"/>
      <c r="AE5487" s="231"/>
      <c r="AF5487" s="227"/>
      <c r="AG5487" s="348"/>
      <c r="AH5487" s="348"/>
      <c r="AI5487" s="348"/>
      <c r="AJ5487" s="348"/>
      <c r="AK5487" s="348"/>
      <c r="AL5487" s="348"/>
      <c r="AM5487" s="348"/>
      <c r="AN5487" s="348"/>
      <c r="AO5487" s="231"/>
      <c r="AP5487" s="231"/>
      <c r="AQ5487" s="227"/>
      <c r="AR5487" s="231"/>
      <c r="AS5487" s="227"/>
      <c r="AT5487" s="227"/>
      <c r="AU5487" s="227"/>
      <c r="AV5487" s="227"/>
      <c r="AW5487" s="227"/>
      <c r="AX5487" s="227"/>
      <c r="AY5487" s="227"/>
      <c r="AZ5487" s="227"/>
      <c r="BA5487" s="227"/>
      <c r="BB5487" s="227"/>
      <c r="BC5487" s="227"/>
      <c r="BD5487" s="227"/>
      <c r="BE5487" s="227"/>
      <c r="BF5487" s="227"/>
    </row>
    <row r="5488">
      <c r="A5488" s="227"/>
      <c r="B5488" s="348"/>
      <c r="C5488" s="227"/>
      <c r="D5488" s="227"/>
      <c r="E5488" s="231"/>
      <c r="F5488" s="348"/>
      <c r="G5488" s="227"/>
      <c r="H5488" s="227"/>
      <c r="I5488" s="227"/>
      <c r="J5488" s="227"/>
      <c r="K5488" s="227"/>
      <c r="L5488" s="348"/>
      <c r="M5488" s="348"/>
      <c r="N5488" s="227"/>
      <c r="O5488" s="227"/>
      <c r="P5488" s="231"/>
      <c r="Q5488" s="231"/>
      <c r="R5488" s="227"/>
      <c r="S5488" s="231"/>
      <c r="T5488" s="231"/>
      <c r="U5488" s="231"/>
      <c r="V5488" s="231"/>
      <c r="W5488" s="231"/>
      <c r="X5488" s="227"/>
      <c r="Y5488" s="348"/>
      <c r="Z5488" s="348"/>
      <c r="AA5488" s="348"/>
      <c r="AB5488" s="348"/>
      <c r="AC5488" s="227"/>
      <c r="AD5488" s="227"/>
      <c r="AE5488" s="231"/>
      <c r="AF5488" s="227"/>
      <c r="AG5488" s="348"/>
      <c r="AH5488" s="348"/>
      <c r="AI5488" s="348"/>
      <c r="AJ5488" s="348"/>
      <c r="AK5488" s="348"/>
      <c r="AL5488" s="348"/>
      <c r="AM5488" s="348"/>
      <c r="AN5488" s="348"/>
      <c r="AO5488" s="231"/>
      <c r="AP5488" s="231"/>
      <c r="AQ5488" s="227"/>
      <c r="AR5488" s="231"/>
      <c r="AS5488" s="227"/>
      <c r="AT5488" s="227"/>
      <c r="AU5488" s="227"/>
      <c r="AV5488" s="227"/>
      <c r="AW5488" s="227"/>
      <c r="AX5488" s="227"/>
      <c r="AY5488" s="227"/>
      <c r="AZ5488" s="227"/>
      <c r="BA5488" s="227"/>
      <c r="BB5488" s="227"/>
      <c r="BC5488" s="227"/>
      <c r="BD5488" s="227"/>
      <c r="BE5488" s="227"/>
      <c r="BF5488" s="227"/>
    </row>
    <row r="5489">
      <c r="A5489" s="227"/>
      <c r="B5489" s="348"/>
      <c r="C5489" s="227"/>
      <c r="D5489" s="227"/>
      <c r="E5489" s="231"/>
      <c r="F5489" s="348"/>
      <c r="G5489" s="227"/>
      <c r="H5489" s="227"/>
      <c r="I5489" s="227"/>
      <c r="J5489" s="227"/>
      <c r="K5489" s="227"/>
      <c r="L5489" s="348"/>
      <c r="M5489" s="348"/>
      <c r="N5489" s="227"/>
      <c r="O5489" s="227"/>
      <c r="P5489" s="231"/>
      <c r="Q5489" s="231"/>
      <c r="R5489" s="227"/>
      <c r="S5489" s="231"/>
      <c r="T5489" s="231"/>
      <c r="U5489" s="231"/>
      <c r="V5489" s="231"/>
      <c r="W5489" s="231"/>
      <c r="X5489" s="227"/>
      <c r="Y5489" s="348"/>
      <c r="Z5489" s="348"/>
      <c r="AA5489" s="348"/>
      <c r="AB5489" s="348"/>
      <c r="AC5489" s="227"/>
      <c r="AD5489" s="227"/>
      <c r="AE5489" s="231"/>
      <c r="AF5489" s="227"/>
      <c r="AG5489" s="348"/>
      <c r="AH5489" s="348"/>
      <c r="AI5489" s="348"/>
      <c r="AJ5489" s="348"/>
      <c r="AK5489" s="348"/>
      <c r="AL5489" s="348"/>
      <c r="AM5489" s="348"/>
      <c r="AN5489" s="348"/>
      <c r="AO5489" s="231"/>
      <c r="AP5489" s="231"/>
      <c r="AQ5489" s="227"/>
      <c r="AR5489" s="231"/>
      <c r="AS5489" s="227"/>
      <c r="AT5489" s="227"/>
      <c r="AU5489" s="227"/>
      <c r="AV5489" s="227"/>
      <c r="AW5489" s="227"/>
      <c r="AX5489" s="227"/>
      <c r="AY5489" s="227"/>
      <c r="AZ5489" s="227"/>
      <c r="BA5489" s="227"/>
      <c r="BB5489" s="227"/>
      <c r="BC5489" s="227"/>
      <c r="BD5489" s="227"/>
      <c r="BE5489" s="227"/>
      <c r="BF5489" s="227"/>
    </row>
    <row r="5490">
      <c r="A5490" s="227"/>
      <c r="B5490" s="348"/>
      <c r="C5490" s="227"/>
      <c r="D5490" s="227"/>
      <c r="E5490" s="231"/>
      <c r="F5490" s="348"/>
      <c r="G5490" s="227"/>
      <c r="H5490" s="227"/>
      <c r="I5490" s="227"/>
      <c r="J5490" s="227"/>
      <c r="K5490" s="227"/>
      <c r="L5490" s="348"/>
      <c r="M5490" s="348"/>
      <c r="N5490" s="227"/>
      <c r="O5490" s="227"/>
      <c r="P5490" s="231"/>
      <c r="Q5490" s="231"/>
      <c r="R5490" s="227"/>
      <c r="S5490" s="231"/>
      <c r="T5490" s="231"/>
      <c r="U5490" s="231"/>
      <c r="V5490" s="231"/>
      <c r="W5490" s="231"/>
      <c r="X5490" s="227"/>
      <c r="Y5490" s="348"/>
      <c r="Z5490" s="348"/>
      <c r="AA5490" s="348"/>
      <c r="AB5490" s="348"/>
      <c r="AC5490" s="227"/>
      <c r="AD5490" s="227"/>
      <c r="AE5490" s="231"/>
      <c r="AF5490" s="227"/>
      <c r="AG5490" s="348"/>
      <c r="AH5490" s="348"/>
      <c r="AI5490" s="348"/>
      <c r="AJ5490" s="348"/>
      <c r="AK5490" s="348"/>
      <c r="AL5490" s="348"/>
      <c r="AM5490" s="348"/>
      <c r="AN5490" s="348"/>
      <c r="AO5490" s="231"/>
      <c r="AP5490" s="231"/>
      <c r="AQ5490" s="227"/>
      <c r="AR5490" s="231"/>
      <c r="AS5490" s="227"/>
      <c r="AT5490" s="227"/>
      <c r="AU5490" s="227"/>
      <c r="AV5490" s="227"/>
      <c r="AW5490" s="227"/>
      <c r="AX5490" s="227"/>
      <c r="AY5490" s="227"/>
      <c r="AZ5490" s="227"/>
      <c r="BA5490" s="227"/>
      <c r="BB5490" s="227"/>
      <c r="BC5490" s="227"/>
      <c r="BD5490" s="227"/>
      <c r="BE5490" s="227"/>
      <c r="BF5490" s="227"/>
    </row>
    <row r="5491">
      <c r="A5491" s="227"/>
      <c r="B5491" s="348"/>
      <c r="C5491" s="227"/>
      <c r="D5491" s="227"/>
      <c r="E5491" s="231"/>
      <c r="F5491" s="348"/>
      <c r="G5491" s="227"/>
      <c r="H5491" s="227"/>
      <c r="I5491" s="227"/>
      <c r="J5491" s="227"/>
      <c r="K5491" s="227"/>
      <c r="L5491" s="348"/>
      <c r="M5491" s="348"/>
      <c r="N5491" s="227"/>
      <c r="O5491" s="227"/>
      <c r="P5491" s="231"/>
      <c r="Q5491" s="231"/>
      <c r="R5491" s="227"/>
      <c r="S5491" s="231"/>
      <c r="T5491" s="231"/>
      <c r="U5491" s="231"/>
      <c r="V5491" s="231"/>
      <c r="W5491" s="231"/>
      <c r="X5491" s="227"/>
      <c r="Y5491" s="348"/>
      <c r="Z5491" s="348"/>
      <c r="AA5491" s="348"/>
      <c r="AB5491" s="348"/>
      <c r="AC5491" s="227"/>
      <c r="AD5491" s="227"/>
      <c r="AE5491" s="231"/>
      <c r="AF5491" s="227"/>
      <c r="AG5491" s="348"/>
      <c r="AH5491" s="348"/>
      <c r="AI5491" s="348"/>
      <c r="AJ5491" s="348"/>
      <c r="AK5491" s="348"/>
      <c r="AL5491" s="348"/>
      <c r="AM5491" s="348"/>
      <c r="AN5491" s="348"/>
      <c r="AO5491" s="231"/>
      <c r="AP5491" s="231"/>
      <c r="AQ5491" s="227"/>
      <c r="AR5491" s="231"/>
      <c r="AS5491" s="227"/>
      <c r="AT5491" s="227"/>
      <c r="AU5491" s="227"/>
      <c r="AV5491" s="227"/>
      <c r="AW5491" s="227"/>
      <c r="AX5491" s="227"/>
      <c r="AY5491" s="227"/>
      <c r="AZ5491" s="227"/>
      <c r="BA5491" s="227"/>
      <c r="BB5491" s="227"/>
      <c r="BC5491" s="227"/>
      <c r="BD5491" s="227"/>
      <c r="BE5491" s="227"/>
      <c r="BF5491" s="227"/>
    </row>
    <row r="5492">
      <c r="A5492" s="227"/>
      <c r="B5492" s="348"/>
      <c r="C5492" s="227"/>
      <c r="D5492" s="227"/>
      <c r="E5492" s="231"/>
      <c r="F5492" s="348"/>
      <c r="G5492" s="227"/>
      <c r="H5492" s="227"/>
      <c r="I5492" s="227"/>
      <c r="J5492" s="227"/>
      <c r="K5492" s="227"/>
      <c r="L5492" s="348"/>
      <c r="M5492" s="348"/>
      <c r="N5492" s="227"/>
      <c r="O5492" s="227"/>
      <c r="P5492" s="231"/>
      <c r="Q5492" s="231"/>
      <c r="R5492" s="227"/>
      <c r="S5492" s="231"/>
      <c r="T5492" s="231"/>
      <c r="U5492" s="231"/>
      <c r="V5492" s="231"/>
      <c r="W5492" s="231"/>
      <c r="X5492" s="227"/>
      <c r="Y5492" s="348"/>
      <c r="Z5492" s="348"/>
      <c r="AA5492" s="348"/>
      <c r="AB5492" s="348"/>
      <c r="AC5492" s="227"/>
      <c r="AD5492" s="227"/>
      <c r="AE5492" s="231"/>
      <c r="AF5492" s="227"/>
      <c r="AG5492" s="348"/>
      <c r="AH5492" s="348"/>
      <c r="AI5492" s="348"/>
      <c r="AJ5492" s="348"/>
      <c r="AK5492" s="348"/>
      <c r="AL5492" s="348"/>
      <c r="AM5492" s="348"/>
      <c r="AN5492" s="348"/>
      <c r="AO5492" s="231"/>
      <c r="AP5492" s="231"/>
      <c r="AQ5492" s="227"/>
      <c r="AR5492" s="231"/>
      <c r="AS5492" s="227"/>
      <c r="AT5492" s="227"/>
      <c r="AU5492" s="227"/>
      <c r="AV5492" s="227"/>
      <c r="AW5492" s="227"/>
      <c r="AX5492" s="227"/>
      <c r="AY5492" s="227"/>
      <c r="AZ5492" s="227"/>
      <c r="BA5492" s="227"/>
      <c r="BB5492" s="227"/>
      <c r="BC5492" s="227"/>
      <c r="BD5492" s="227"/>
      <c r="BE5492" s="227"/>
      <c r="BF5492" s="227"/>
    </row>
    <row r="5493">
      <c r="A5493" s="227"/>
      <c r="B5493" s="348"/>
      <c r="C5493" s="227"/>
      <c r="D5493" s="227"/>
      <c r="E5493" s="231"/>
      <c r="F5493" s="348"/>
      <c r="G5493" s="227"/>
      <c r="H5493" s="227"/>
      <c r="I5493" s="227"/>
      <c r="J5493" s="227"/>
      <c r="K5493" s="227"/>
      <c r="L5493" s="348"/>
      <c r="M5493" s="348"/>
      <c r="N5493" s="227"/>
      <c r="O5493" s="227"/>
      <c r="P5493" s="231"/>
      <c r="Q5493" s="231"/>
      <c r="R5493" s="227"/>
      <c r="S5493" s="231"/>
      <c r="T5493" s="231"/>
      <c r="U5493" s="231"/>
      <c r="V5493" s="231"/>
      <c r="W5493" s="231"/>
      <c r="X5493" s="227"/>
      <c r="Y5493" s="348"/>
      <c r="Z5493" s="348"/>
      <c r="AA5493" s="348"/>
      <c r="AB5493" s="348"/>
      <c r="AC5493" s="227"/>
      <c r="AD5493" s="227"/>
      <c r="AE5493" s="231"/>
      <c r="AF5493" s="227"/>
      <c r="AG5493" s="348"/>
      <c r="AH5493" s="348"/>
      <c r="AI5493" s="348"/>
      <c r="AJ5493" s="348"/>
      <c r="AK5493" s="348"/>
      <c r="AL5493" s="348"/>
      <c r="AM5493" s="348"/>
      <c r="AN5493" s="348"/>
      <c r="AO5493" s="231"/>
      <c r="AP5493" s="231"/>
      <c r="AQ5493" s="227"/>
      <c r="AR5493" s="231"/>
      <c r="AS5493" s="227"/>
      <c r="AT5493" s="227"/>
      <c r="AU5493" s="227"/>
      <c r="AV5493" s="227"/>
      <c r="AW5493" s="227"/>
      <c r="AX5493" s="227"/>
      <c r="AY5493" s="227"/>
      <c r="AZ5493" s="227"/>
      <c r="BA5493" s="227"/>
      <c r="BB5493" s="227"/>
      <c r="BC5493" s="227"/>
      <c r="BD5493" s="227"/>
      <c r="BE5493" s="227"/>
      <c r="BF5493" s="227"/>
    </row>
    <row r="5494">
      <c r="A5494" s="227"/>
      <c r="B5494" s="348"/>
      <c r="C5494" s="227"/>
      <c r="D5494" s="227"/>
      <c r="E5494" s="231"/>
      <c r="F5494" s="348"/>
      <c r="G5494" s="227"/>
      <c r="H5494" s="227"/>
      <c r="I5494" s="227"/>
      <c r="J5494" s="227"/>
      <c r="K5494" s="227"/>
      <c r="L5494" s="348"/>
      <c r="M5494" s="348"/>
      <c r="N5494" s="227"/>
      <c r="O5494" s="227"/>
      <c r="P5494" s="231"/>
      <c r="Q5494" s="231"/>
      <c r="R5494" s="227"/>
      <c r="S5494" s="231"/>
      <c r="T5494" s="231"/>
      <c r="U5494" s="231"/>
      <c r="V5494" s="231"/>
      <c r="W5494" s="231"/>
      <c r="X5494" s="227"/>
      <c r="Y5494" s="348"/>
      <c r="Z5494" s="348"/>
      <c r="AA5494" s="348"/>
      <c r="AB5494" s="348"/>
      <c r="AC5494" s="227"/>
      <c r="AD5494" s="227"/>
      <c r="AE5494" s="231"/>
      <c r="AF5494" s="227"/>
      <c r="AG5494" s="348"/>
      <c r="AH5494" s="348"/>
      <c r="AI5494" s="348"/>
      <c r="AJ5494" s="348"/>
      <c r="AK5494" s="348"/>
      <c r="AL5494" s="348"/>
      <c r="AM5494" s="348"/>
      <c r="AN5494" s="348"/>
      <c r="AO5494" s="231"/>
      <c r="AP5494" s="231"/>
      <c r="AQ5494" s="227"/>
      <c r="AR5494" s="231"/>
      <c r="AS5494" s="227"/>
      <c r="AT5494" s="227"/>
      <c r="AU5494" s="227"/>
      <c r="AV5494" s="227"/>
      <c r="AW5494" s="227"/>
      <c r="AX5494" s="227"/>
      <c r="AY5494" s="227"/>
      <c r="AZ5494" s="227"/>
      <c r="BA5494" s="227"/>
      <c r="BB5494" s="227"/>
      <c r="BC5494" s="227"/>
      <c r="BD5494" s="227"/>
      <c r="BE5494" s="227"/>
      <c r="BF5494" s="227"/>
    </row>
    <row r="5495">
      <c r="A5495" s="227"/>
      <c r="B5495" s="348"/>
      <c r="C5495" s="227"/>
      <c r="D5495" s="227"/>
      <c r="E5495" s="231"/>
      <c r="F5495" s="348"/>
      <c r="G5495" s="227"/>
      <c r="H5495" s="227"/>
      <c r="I5495" s="227"/>
      <c r="J5495" s="227"/>
      <c r="K5495" s="227"/>
      <c r="L5495" s="348"/>
      <c r="M5495" s="348"/>
      <c r="N5495" s="227"/>
      <c r="O5495" s="227"/>
      <c r="P5495" s="231"/>
      <c r="Q5495" s="231"/>
      <c r="R5495" s="227"/>
      <c r="S5495" s="231"/>
      <c r="T5495" s="231"/>
      <c r="U5495" s="231"/>
      <c r="V5495" s="231"/>
      <c r="W5495" s="231"/>
      <c r="X5495" s="227"/>
      <c r="Y5495" s="348"/>
      <c r="Z5495" s="348"/>
      <c r="AA5495" s="348"/>
      <c r="AB5495" s="348"/>
      <c r="AC5495" s="227"/>
      <c r="AD5495" s="227"/>
      <c r="AE5495" s="231"/>
      <c r="AF5495" s="227"/>
      <c r="AG5495" s="348"/>
      <c r="AH5495" s="348"/>
      <c r="AI5495" s="348"/>
      <c r="AJ5495" s="348"/>
      <c r="AK5495" s="348"/>
      <c r="AL5495" s="348"/>
      <c r="AM5495" s="348"/>
      <c r="AN5495" s="348"/>
      <c r="AO5495" s="231"/>
      <c r="AP5495" s="231"/>
      <c r="AQ5495" s="227"/>
      <c r="AR5495" s="231"/>
      <c r="AS5495" s="227"/>
      <c r="AT5495" s="227"/>
      <c r="AU5495" s="227"/>
      <c r="AV5495" s="227"/>
      <c r="AW5495" s="227"/>
      <c r="AX5495" s="227"/>
      <c r="AY5495" s="227"/>
      <c r="AZ5495" s="227"/>
      <c r="BA5495" s="227"/>
      <c r="BB5495" s="227"/>
      <c r="BC5495" s="227"/>
      <c r="BD5495" s="227"/>
      <c r="BE5495" s="227"/>
      <c r="BF5495" s="227"/>
    </row>
    <row r="5496">
      <c r="A5496" s="227"/>
      <c r="B5496" s="348"/>
      <c r="C5496" s="227"/>
      <c r="D5496" s="227"/>
      <c r="E5496" s="231"/>
      <c r="F5496" s="348"/>
      <c r="G5496" s="227"/>
      <c r="H5496" s="227"/>
      <c r="I5496" s="227"/>
      <c r="J5496" s="227"/>
      <c r="K5496" s="227"/>
      <c r="L5496" s="348"/>
      <c r="M5496" s="348"/>
      <c r="N5496" s="227"/>
      <c r="O5496" s="227"/>
      <c r="P5496" s="231"/>
      <c r="Q5496" s="231"/>
      <c r="R5496" s="227"/>
      <c r="S5496" s="231"/>
      <c r="T5496" s="231"/>
      <c r="U5496" s="231"/>
      <c r="V5496" s="231"/>
      <c r="W5496" s="231"/>
      <c r="X5496" s="227"/>
      <c r="Y5496" s="348"/>
      <c r="Z5496" s="348"/>
      <c r="AA5496" s="348"/>
      <c r="AB5496" s="348"/>
      <c r="AC5496" s="227"/>
      <c r="AD5496" s="227"/>
      <c r="AE5496" s="231"/>
      <c r="AF5496" s="227"/>
      <c r="AG5496" s="348"/>
      <c r="AH5496" s="348"/>
      <c r="AI5496" s="348"/>
      <c r="AJ5496" s="348"/>
      <c r="AK5496" s="348"/>
      <c r="AL5496" s="348"/>
      <c r="AM5496" s="348"/>
      <c r="AN5496" s="348"/>
      <c r="AO5496" s="231"/>
      <c r="AP5496" s="231"/>
      <c r="AQ5496" s="227"/>
      <c r="AR5496" s="231"/>
      <c r="AS5496" s="227"/>
      <c r="AT5496" s="227"/>
      <c r="AU5496" s="227"/>
      <c r="AV5496" s="227"/>
      <c r="AW5496" s="227"/>
      <c r="AX5496" s="227"/>
      <c r="AY5496" s="227"/>
      <c r="AZ5496" s="227"/>
      <c r="BA5496" s="227"/>
      <c r="BB5496" s="227"/>
      <c r="BC5496" s="227"/>
      <c r="BD5496" s="227"/>
      <c r="BE5496" s="227"/>
      <c r="BF5496" s="227"/>
    </row>
    <row r="5497">
      <c r="A5497" s="227"/>
      <c r="B5497" s="348"/>
      <c r="C5497" s="227"/>
      <c r="D5497" s="227"/>
      <c r="E5497" s="231"/>
      <c r="F5497" s="348"/>
      <c r="G5497" s="227"/>
      <c r="H5497" s="227"/>
      <c r="I5497" s="227"/>
      <c r="J5497" s="227"/>
      <c r="K5497" s="227"/>
      <c r="L5497" s="348"/>
      <c r="M5497" s="348"/>
      <c r="N5497" s="227"/>
      <c r="O5497" s="227"/>
      <c r="P5497" s="231"/>
      <c r="Q5497" s="231"/>
      <c r="R5497" s="227"/>
      <c r="S5497" s="231"/>
      <c r="T5497" s="231"/>
      <c r="U5497" s="231"/>
      <c r="V5497" s="231"/>
      <c r="W5497" s="231"/>
      <c r="X5497" s="227"/>
      <c r="Y5497" s="348"/>
      <c r="Z5497" s="348"/>
      <c r="AA5497" s="348"/>
      <c r="AB5497" s="348"/>
      <c r="AC5497" s="227"/>
      <c r="AD5497" s="227"/>
      <c r="AE5497" s="231"/>
      <c r="AF5497" s="227"/>
      <c r="AG5497" s="348"/>
      <c r="AH5497" s="348"/>
      <c r="AI5497" s="348"/>
      <c r="AJ5497" s="348"/>
      <c r="AK5497" s="348"/>
      <c r="AL5497" s="348"/>
      <c r="AM5497" s="348"/>
      <c r="AN5497" s="348"/>
      <c r="AO5497" s="231"/>
      <c r="AP5497" s="231"/>
      <c r="AQ5497" s="227"/>
      <c r="AR5497" s="231"/>
      <c r="AS5497" s="227"/>
      <c r="AT5497" s="227"/>
      <c r="AU5497" s="227"/>
      <c r="AV5497" s="227"/>
      <c r="AW5497" s="227"/>
      <c r="AX5497" s="227"/>
      <c r="AY5497" s="227"/>
      <c r="AZ5497" s="227"/>
      <c r="BA5497" s="227"/>
      <c r="BB5497" s="227"/>
      <c r="BC5497" s="227"/>
      <c r="BD5497" s="227"/>
      <c r="BE5497" s="227"/>
      <c r="BF5497" s="227"/>
    </row>
    <row r="5498">
      <c r="A5498" s="227"/>
      <c r="B5498" s="348"/>
      <c r="C5498" s="227"/>
      <c r="D5498" s="227"/>
      <c r="E5498" s="231"/>
      <c r="F5498" s="348"/>
      <c r="G5498" s="227"/>
      <c r="H5498" s="227"/>
      <c r="I5498" s="227"/>
      <c r="J5498" s="227"/>
      <c r="K5498" s="227"/>
      <c r="L5498" s="348"/>
      <c r="M5498" s="348"/>
      <c r="N5498" s="227"/>
      <c r="O5498" s="227"/>
      <c r="P5498" s="231"/>
      <c r="Q5498" s="231"/>
      <c r="R5498" s="227"/>
      <c r="S5498" s="231"/>
      <c r="T5498" s="231"/>
      <c r="U5498" s="231"/>
      <c r="V5498" s="231"/>
      <c r="W5498" s="231"/>
      <c r="X5498" s="227"/>
      <c r="Y5498" s="348"/>
      <c r="Z5498" s="348"/>
      <c r="AA5498" s="348"/>
      <c r="AB5498" s="348"/>
      <c r="AC5498" s="227"/>
      <c r="AD5498" s="227"/>
      <c r="AE5498" s="231"/>
      <c r="AF5498" s="227"/>
      <c r="AG5498" s="348"/>
      <c r="AH5498" s="348"/>
      <c r="AI5498" s="348"/>
      <c r="AJ5498" s="348"/>
      <c r="AK5498" s="348"/>
      <c r="AL5498" s="348"/>
      <c r="AM5498" s="348"/>
      <c r="AN5498" s="348"/>
      <c r="AO5498" s="231"/>
      <c r="AP5498" s="231"/>
      <c r="AQ5498" s="227"/>
      <c r="AR5498" s="231"/>
      <c r="AS5498" s="227"/>
      <c r="AT5498" s="227"/>
      <c r="AU5498" s="227"/>
      <c r="AV5498" s="227"/>
      <c r="AW5498" s="227"/>
      <c r="AX5498" s="227"/>
      <c r="AY5498" s="227"/>
      <c r="AZ5498" s="227"/>
      <c r="BA5498" s="227"/>
      <c r="BB5498" s="227"/>
      <c r="BC5498" s="227"/>
      <c r="BD5498" s="227"/>
      <c r="BE5498" s="227"/>
      <c r="BF5498" s="227"/>
    </row>
    <row r="5499">
      <c r="A5499" s="227"/>
      <c r="B5499" s="348"/>
      <c r="C5499" s="227"/>
      <c r="D5499" s="227"/>
      <c r="E5499" s="231"/>
      <c r="F5499" s="348"/>
      <c r="G5499" s="227"/>
      <c r="H5499" s="227"/>
      <c r="I5499" s="227"/>
      <c r="J5499" s="227"/>
      <c r="K5499" s="227"/>
      <c r="L5499" s="348"/>
      <c r="M5499" s="348"/>
      <c r="N5499" s="227"/>
      <c r="O5499" s="227"/>
      <c r="P5499" s="231"/>
      <c r="Q5499" s="231"/>
      <c r="R5499" s="227"/>
      <c r="S5499" s="231"/>
      <c r="T5499" s="231"/>
      <c r="U5499" s="231"/>
      <c r="V5499" s="231"/>
      <c r="W5499" s="231"/>
      <c r="X5499" s="227"/>
      <c r="Y5499" s="348"/>
      <c r="Z5499" s="348"/>
      <c r="AA5499" s="348"/>
      <c r="AB5499" s="348"/>
      <c r="AC5499" s="227"/>
      <c r="AD5499" s="227"/>
      <c r="AE5499" s="231"/>
      <c r="AF5499" s="227"/>
      <c r="AG5499" s="348"/>
      <c r="AH5499" s="348"/>
      <c r="AI5499" s="348"/>
      <c r="AJ5499" s="348"/>
      <c r="AK5499" s="348"/>
      <c r="AL5499" s="348"/>
      <c r="AM5499" s="348"/>
      <c r="AN5499" s="348"/>
      <c r="AO5499" s="231"/>
      <c r="AP5499" s="231"/>
      <c r="AQ5499" s="227"/>
      <c r="AR5499" s="231"/>
      <c r="AS5499" s="227"/>
      <c r="AT5499" s="227"/>
      <c r="AU5499" s="227"/>
      <c r="AV5499" s="227"/>
      <c r="AW5499" s="227"/>
      <c r="AX5499" s="227"/>
      <c r="AY5499" s="227"/>
      <c r="AZ5499" s="227"/>
      <c r="BA5499" s="227"/>
      <c r="BB5499" s="227"/>
      <c r="BC5499" s="227"/>
      <c r="BD5499" s="227"/>
      <c r="BE5499" s="227"/>
      <c r="BF5499" s="227"/>
    </row>
    <row r="5500">
      <c r="A5500" s="227"/>
      <c r="B5500" s="348"/>
      <c r="C5500" s="227"/>
      <c r="D5500" s="227"/>
      <c r="E5500" s="231"/>
      <c r="F5500" s="348"/>
      <c r="G5500" s="227"/>
      <c r="H5500" s="227"/>
      <c r="I5500" s="227"/>
      <c r="J5500" s="227"/>
      <c r="K5500" s="227"/>
      <c r="L5500" s="348"/>
      <c r="M5500" s="348"/>
      <c r="N5500" s="227"/>
      <c r="O5500" s="227"/>
      <c r="P5500" s="231"/>
      <c r="Q5500" s="231"/>
      <c r="R5500" s="227"/>
      <c r="S5500" s="231"/>
      <c r="T5500" s="231"/>
      <c r="U5500" s="231"/>
      <c r="V5500" s="231"/>
      <c r="W5500" s="231"/>
      <c r="X5500" s="227"/>
      <c r="Y5500" s="348"/>
      <c r="Z5500" s="348"/>
      <c r="AA5500" s="348"/>
      <c r="AB5500" s="348"/>
      <c r="AC5500" s="227"/>
      <c r="AD5500" s="227"/>
      <c r="AE5500" s="231"/>
      <c r="AF5500" s="227"/>
      <c r="AG5500" s="348"/>
      <c r="AH5500" s="348"/>
      <c r="AI5500" s="348"/>
      <c r="AJ5500" s="348"/>
      <c r="AK5500" s="348"/>
      <c r="AL5500" s="348"/>
      <c r="AM5500" s="348"/>
      <c r="AN5500" s="348"/>
      <c r="AO5500" s="231"/>
      <c r="AP5500" s="231"/>
      <c r="AQ5500" s="227"/>
      <c r="AR5500" s="231"/>
      <c r="AS5500" s="227"/>
      <c r="AT5500" s="227"/>
      <c r="AU5500" s="227"/>
      <c r="AV5500" s="227"/>
      <c r="AW5500" s="227"/>
      <c r="AX5500" s="227"/>
      <c r="AY5500" s="227"/>
      <c r="AZ5500" s="227"/>
      <c r="BA5500" s="227"/>
      <c r="BB5500" s="227"/>
      <c r="BC5500" s="227"/>
      <c r="BD5500" s="227"/>
      <c r="BE5500" s="227"/>
      <c r="BF5500" s="227"/>
    </row>
    <row r="5501">
      <c r="A5501" s="227"/>
      <c r="B5501" s="348"/>
      <c r="C5501" s="227"/>
      <c r="D5501" s="227"/>
      <c r="E5501" s="231"/>
      <c r="F5501" s="348"/>
      <c r="G5501" s="227"/>
      <c r="H5501" s="227"/>
      <c r="I5501" s="227"/>
      <c r="J5501" s="227"/>
      <c r="K5501" s="227"/>
      <c r="L5501" s="348"/>
      <c r="M5501" s="348"/>
      <c r="N5501" s="227"/>
      <c r="O5501" s="227"/>
      <c r="P5501" s="231"/>
      <c r="Q5501" s="231"/>
      <c r="R5501" s="227"/>
      <c r="S5501" s="231"/>
      <c r="T5501" s="231"/>
      <c r="U5501" s="231"/>
      <c r="V5501" s="231"/>
      <c r="W5501" s="231"/>
      <c r="X5501" s="227"/>
      <c r="Y5501" s="348"/>
      <c r="Z5501" s="348"/>
      <c r="AA5501" s="348"/>
      <c r="AB5501" s="348"/>
      <c r="AC5501" s="227"/>
      <c r="AD5501" s="227"/>
      <c r="AE5501" s="231"/>
      <c r="AF5501" s="227"/>
      <c r="AG5501" s="348"/>
      <c r="AH5501" s="348"/>
      <c r="AI5501" s="348"/>
      <c r="AJ5501" s="348"/>
      <c r="AK5501" s="348"/>
      <c r="AL5501" s="348"/>
      <c r="AM5501" s="348"/>
      <c r="AN5501" s="348"/>
      <c r="AO5501" s="231"/>
      <c r="AP5501" s="231"/>
      <c r="AQ5501" s="227"/>
      <c r="AR5501" s="231"/>
      <c r="AS5501" s="227"/>
      <c r="AT5501" s="227"/>
      <c r="AU5501" s="227"/>
      <c r="AV5501" s="227"/>
      <c r="AW5501" s="227"/>
      <c r="AX5501" s="227"/>
      <c r="AY5501" s="227"/>
      <c r="AZ5501" s="227"/>
      <c r="BA5501" s="227"/>
      <c r="BB5501" s="227"/>
      <c r="BC5501" s="227"/>
      <c r="BD5501" s="227"/>
      <c r="BE5501" s="227"/>
      <c r="BF5501" s="227"/>
    </row>
    <row r="5502">
      <c r="A5502" s="227"/>
      <c r="B5502" s="348"/>
      <c r="C5502" s="227"/>
      <c r="D5502" s="227"/>
      <c r="E5502" s="231"/>
      <c r="F5502" s="348"/>
      <c r="G5502" s="227"/>
      <c r="H5502" s="227"/>
      <c r="I5502" s="227"/>
      <c r="J5502" s="227"/>
      <c r="K5502" s="227"/>
      <c r="L5502" s="348"/>
      <c r="M5502" s="348"/>
      <c r="N5502" s="227"/>
      <c r="O5502" s="227"/>
      <c r="P5502" s="231"/>
      <c r="Q5502" s="231"/>
      <c r="R5502" s="227"/>
      <c r="S5502" s="231"/>
      <c r="T5502" s="231"/>
      <c r="U5502" s="231"/>
      <c r="V5502" s="231"/>
      <c r="W5502" s="231"/>
      <c r="X5502" s="227"/>
      <c r="Y5502" s="348"/>
      <c r="Z5502" s="348"/>
      <c r="AA5502" s="348"/>
      <c r="AB5502" s="348"/>
      <c r="AC5502" s="227"/>
      <c r="AD5502" s="227"/>
      <c r="AE5502" s="231"/>
      <c r="AF5502" s="227"/>
      <c r="AG5502" s="348"/>
      <c r="AH5502" s="348"/>
      <c r="AI5502" s="348"/>
      <c r="AJ5502" s="348"/>
      <c r="AK5502" s="348"/>
      <c r="AL5502" s="348"/>
      <c r="AM5502" s="348"/>
      <c r="AN5502" s="348"/>
      <c r="AO5502" s="231"/>
      <c r="AP5502" s="231"/>
      <c r="AQ5502" s="227"/>
      <c r="AR5502" s="231"/>
      <c r="AS5502" s="227"/>
      <c r="AT5502" s="227"/>
      <c r="AU5502" s="227"/>
      <c r="AV5502" s="227"/>
      <c r="AW5502" s="227"/>
      <c r="AX5502" s="227"/>
      <c r="AY5502" s="227"/>
      <c r="AZ5502" s="227"/>
      <c r="BA5502" s="227"/>
      <c r="BB5502" s="227"/>
      <c r="BC5502" s="227"/>
      <c r="BD5502" s="227"/>
      <c r="BE5502" s="227"/>
      <c r="BF5502" s="227"/>
    </row>
    <row r="5503">
      <c r="A5503" s="227"/>
      <c r="B5503" s="348"/>
      <c r="C5503" s="227"/>
      <c r="D5503" s="227"/>
      <c r="E5503" s="231"/>
      <c r="F5503" s="348"/>
      <c r="G5503" s="227"/>
      <c r="H5503" s="227"/>
      <c r="I5503" s="227"/>
      <c r="J5503" s="227"/>
      <c r="K5503" s="227"/>
      <c r="L5503" s="348"/>
      <c r="M5503" s="348"/>
      <c r="N5503" s="227"/>
      <c r="O5503" s="227"/>
      <c r="P5503" s="231"/>
      <c r="Q5503" s="231"/>
      <c r="R5503" s="227"/>
      <c r="S5503" s="231"/>
      <c r="T5503" s="231"/>
      <c r="U5503" s="231"/>
      <c r="V5503" s="231"/>
      <c r="W5503" s="231"/>
      <c r="X5503" s="227"/>
      <c r="Y5503" s="348"/>
      <c r="Z5503" s="348"/>
      <c r="AA5503" s="348"/>
      <c r="AB5503" s="348"/>
      <c r="AC5503" s="227"/>
      <c r="AD5503" s="227"/>
      <c r="AE5503" s="231"/>
      <c r="AF5503" s="227"/>
      <c r="AG5503" s="348"/>
      <c r="AH5503" s="348"/>
      <c r="AI5503" s="348"/>
      <c r="AJ5503" s="348"/>
      <c r="AK5503" s="348"/>
      <c r="AL5503" s="348"/>
      <c r="AM5503" s="348"/>
      <c r="AN5503" s="348"/>
      <c r="AO5503" s="231"/>
      <c r="AP5503" s="231"/>
      <c r="AQ5503" s="227"/>
      <c r="AR5503" s="231"/>
      <c r="AS5503" s="227"/>
      <c r="AT5503" s="227"/>
      <c r="AU5503" s="227"/>
      <c r="AV5503" s="227"/>
      <c r="AW5503" s="227"/>
      <c r="AX5503" s="227"/>
      <c r="AY5503" s="227"/>
      <c r="AZ5503" s="227"/>
      <c r="BA5503" s="227"/>
      <c r="BB5503" s="227"/>
      <c r="BC5503" s="227"/>
      <c r="BD5503" s="227"/>
      <c r="BE5503" s="227"/>
      <c r="BF5503" s="227"/>
    </row>
    <row r="5504">
      <c r="A5504" s="227"/>
      <c r="B5504" s="348"/>
      <c r="C5504" s="227"/>
      <c r="D5504" s="227"/>
      <c r="E5504" s="231"/>
      <c r="F5504" s="348"/>
      <c r="G5504" s="227"/>
      <c r="H5504" s="227"/>
      <c r="I5504" s="227"/>
      <c r="J5504" s="227"/>
      <c r="K5504" s="227"/>
      <c r="L5504" s="348"/>
      <c r="M5504" s="348"/>
      <c r="N5504" s="227"/>
      <c r="O5504" s="227"/>
      <c r="P5504" s="231"/>
      <c r="Q5504" s="231"/>
      <c r="R5504" s="227"/>
      <c r="S5504" s="231"/>
      <c r="T5504" s="231"/>
      <c r="U5504" s="231"/>
      <c r="V5504" s="231"/>
      <c r="W5504" s="231"/>
      <c r="X5504" s="227"/>
      <c r="Y5504" s="348"/>
      <c r="Z5504" s="348"/>
      <c r="AA5504" s="348"/>
      <c r="AB5504" s="348"/>
      <c r="AC5504" s="227"/>
      <c r="AD5504" s="227"/>
      <c r="AE5504" s="231"/>
      <c r="AF5504" s="227"/>
      <c r="AG5504" s="348"/>
      <c r="AH5504" s="348"/>
      <c r="AI5504" s="348"/>
      <c r="AJ5504" s="348"/>
      <c r="AK5504" s="348"/>
      <c r="AL5504" s="348"/>
      <c r="AM5504" s="348"/>
      <c r="AN5504" s="348"/>
      <c r="AO5504" s="231"/>
      <c r="AP5504" s="231"/>
      <c r="AQ5504" s="227"/>
      <c r="AR5504" s="231"/>
      <c r="AS5504" s="227"/>
      <c r="AT5504" s="227"/>
      <c r="AU5504" s="227"/>
      <c r="AV5504" s="227"/>
      <c r="AW5504" s="227"/>
      <c r="AX5504" s="227"/>
      <c r="AY5504" s="227"/>
      <c r="AZ5504" s="227"/>
      <c r="BA5504" s="227"/>
      <c r="BB5504" s="227"/>
      <c r="BC5504" s="227"/>
      <c r="BD5504" s="227"/>
      <c r="BE5504" s="227"/>
      <c r="BF5504" s="227"/>
    </row>
    <row r="5505">
      <c r="A5505" s="227"/>
      <c r="B5505" s="348"/>
      <c r="C5505" s="227"/>
      <c r="D5505" s="227"/>
      <c r="E5505" s="231"/>
      <c r="F5505" s="348"/>
      <c r="G5505" s="227"/>
      <c r="H5505" s="227"/>
      <c r="I5505" s="227"/>
      <c r="J5505" s="227"/>
      <c r="K5505" s="227"/>
      <c r="L5505" s="348"/>
      <c r="M5505" s="348"/>
      <c r="N5505" s="227"/>
      <c r="O5505" s="227"/>
      <c r="P5505" s="231"/>
      <c r="Q5505" s="231"/>
      <c r="R5505" s="227"/>
      <c r="S5505" s="231"/>
      <c r="T5505" s="231"/>
      <c r="U5505" s="231"/>
      <c r="V5505" s="231"/>
      <c r="W5505" s="231"/>
      <c r="X5505" s="227"/>
      <c r="Y5505" s="348"/>
      <c r="Z5505" s="348"/>
      <c r="AA5505" s="348"/>
      <c r="AB5505" s="348"/>
      <c r="AC5505" s="227"/>
      <c r="AD5505" s="227"/>
      <c r="AE5505" s="231"/>
      <c r="AF5505" s="227"/>
      <c r="AG5505" s="348"/>
      <c r="AH5505" s="348"/>
      <c r="AI5505" s="348"/>
      <c r="AJ5505" s="348"/>
      <c r="AK5505" s="348"/>
      <c r="AL5505" s="348"/>
      <c r="AM5505" s="348"/>
      <c r="AN5505" s="348"/>
      <c r="AO5505" s="231"/>
      <c r="AP5505" s="231"/>
      <c r="AQ5505" s="227"/>
      <c r="AR5505" s="231"/>
      <c r="AS5505" s="227"/>
      <c r="AT5505" s="227"/>
      <c r="AU5505" s="227"/>
      <c r="AV5505" s="227"/>
      <c r="AW5505" s="227"/>
      <c r="AX5505" s="227"/>
      <c r="AY5505" s="227"/>
      <c r="AZ5505" s="227"/>
      <c r="BA5505" s="227"/>
      <c r="BB5505" s="227"/>
      <c r="BC5505" s="227"/>
      <c r="BD5505" s="227"/>
      <c r="BE5505" s="227"/>
      <c r="BF5505" s="227"/>
    </row>
    <row r="5506">
      <c r="A5506" s="227"/>
      <c r="B5506" s="348"/>
      <c r="C5506" s="227"/>
      <c r="D5506" s="227"/>
      <c r="E5506" s="231"/>
      <c r="F5506" s="348"/>
      <c r="G5506" s="227"/>
      <c r="H5506" s="227"/>
      <c r="I5506" s="227"/>
      <c r="J5506" s="227"/>
      <c r="K5506" s="227"/>
      <c r="L5506" s="348"/>
      <c r="M5506" s="348"/>
      <c r="N5506" s="227"/>
      <c r="O5506" s="227"/>
      <c r="P5506" s="231"/>
      <c r="Q5506" s="231"/>
      <c r="R5506" s="227"/>
      <c r="S5506" s="231"/>
      <c r="T5506" s="231"/>
      <c r="U5506" s="231"/>
      <c r="V5506" s="231"/>
      <c r="W5506" s="231"/>
      <c r="X5506" s="227"/>
      <c r="Y5506" s="348"/>
      <c r="Z5506" s="348"/>
      <c r="AA5506" s="348"/>
      <c r="AB5506" s="348"/>
      <c r="AC5506" s="227"/>
      <c r="AD5506" s="227"/>
      <c r="AE5506" s="231"/>
      <c r="AF5506" s="227"/>
      <c r="AG5506" s="348"/>
      <c r="AH5506" s="348"/>
      <c r="AI5506" s="348"/>
      <c r="AJ5506" s="348"/>
      <c r="AK5506" s="348"/>
      <c r="AL5506" s="348"/>
      <c r="AM5506" s="348"/>
      <c r="AN5506" s="348"/>
      <c r="AO5506" s="231"/>
      <c r="AP5506" s="231"/>
      <c r="AQ5506" s="227"/>
      <c r="AR5506" s="231"/>
      <c r="AS5506" s="227"/>
      <c r="AT5506" s="227"/>
      <c r="AU5506" s="227"/>
      <c r="AV5506" s="227"/>
      <c r="AW5506" s="227"/>
      <c r="AX5506" s="227"/>
      <c r="AY5506" s="227"/>
      <c r="AZ5506" s="227"/>
      <c r="BA5506" s="227"/>
      <c r="BB5506" s="227"/>
      <c r="BC5506" s="227"/>
      <c r="BD5506" s="227"/>
      <c r="BE5506" s="227"/>
      <c r="BF5506" s="227"/>
    </row>
    <row r="5507">
      <c r="A5507" s="227"/>
      <c r="B5507" s="348"/>
      <c r="C5507" s="227"/>
      <c r="D5507" s="227"/>
      <c r="E5507" s="231"/>
      <c r="F5507" s="348"/>
      <c r="G5507" s="227"/>
      <c r="H5507" s="227"/>
      <c r="I5507" s="227"/>
      <c r="J5507" s="227"/>
      <c r="K5507" s="227"/>
      <c r="L5507" s="348"/>
      <c r="M5507" s="348"/>
      <c r="N5507" s="227"/>
      <c r="O5507" s="227"/>
      <c r="P5507" s="231"/>
      <c r="Q5507" s="231"/>
      <c r="R5507" s="227"/>
      <c r="S5507" s="231"/>
      <c r="T5507" s="231"/>
      <c r="U5507" s="231"/>
      <c r="V5507" s="231"/>
      <c r="W5507" s="231"/>
      <c r="X5507" s="227"/>
      <c r="Y5507" s="348"/>
      <c r="Z5507" s="348"/>
      <c r="AA5507" s="348"/>
      <c r="AB5507" s="348"/>
      <c r="AC5507" s="227"/>
      <c r="AD5507" s="227"/>
      <c r="AE5507" s="231"/>
      <c r="AF5507" s="227"/>
      <c r="AG5507" s="348"/>
      <c r="AH5507" s="348"/>
      <c r="AI5507" s="348"/>
      <c r="AJ5507" s="348"/>
      <c r="AK5507" s="348"/>
      <c r="AL5507" s="348"/>
      <c r="AM5507" s="348"/>
      <c r="AN5507" s="348"/>
      <c r="AO5507" s="231"/>
      <c r="AP5507" s="231"/>
      <c r="AQ5507" s="227"/>
      <c r="AR5507" s="231"/>
      <c r="AS5507" s="227"/>
      <c r="AT5507" s="227"/>
      <c r="AU5507" s="227"/>
      <c r="AV5507" s="227"/>
      <c r="AW5507" s="227"/>
      <c r="AX5507" s="227"/>
      <c r="AY5507" s="227"/>
      <c r="AZ5507" s="227"/>
      <c r="BA5507" s="227"/>
      <c r="BB5507" s="227"/>
      <c r="BC5507" s="227"/>
      <c r="BD5507" s="227"/>
      <c r="BE5507" s="227"/>
      <c r="BF5507" s="227"/>
    </row>
    <row r="5508">
      <c r="A5508" s="227"/>
      <c r="B5508" s="348"/>
      <c r="C5508" s="227"/>
      <c r="D5508" s="227"/>
      <c r="E5508" s="231"/>
      <c r="F5508" s="348"/>
      <c r="G5508" s="227"/>
      <c r="H5508" s="227"/>
      <c r="I5508" s="227"/>
      <c r="J5508" s="227"/>
      <c r="K5508" s="227"/>
      <c r="L5508" s="348"/>
      <c r="M5508" s="348"/>
      <c r="N5508" s="227"/>
      <c r="O5508" s="227"/>
      <c r="P5508" s="231"/>
      <c r="Q5508" s="231"/>
      <c r="R5508" s="227"/>
      <c r="S5508" s="231"/>
      <c r="T5508" s="231"/>
      <c r="U5508" s="231"/>
      <c r="V5508" s="231"/>
      <c r="W5508" s="231"/>
      <c r="X5508" s="227"/>
      <c r="Y5508" s="348"/>
      <c r="Z5508" s="348"/>
      <c r="AA5508" s="348"/>
      <c r="AB5508" s="348"/>
      <c r="AC5508" s="227"/>
      <c r="AD5508" s="227"/>
      <c r="AE5508" s="231"/>
      <c r="AF5508" s="227"/>
      <c r="AG5508" s="348"/>
      <c r="AH5508" s="348"/>
      <c r="AI5508" s="348"/>
      <c r="AJ5508" s="348"/>
      <c r="AK5508" s="348"/>
      <c r="AL5508" s="348"/>
      <c r="AM5508" s="348"/>
      <c r="AN5508" s="348"/>
      <c r="AO5508" s="231"/>
      <c r="AP5508" s="231"/>
      <c r="AQ5508" s="227"/>
      <c r="AR5508" s="231"/>
      <c r="AS5508" s="227"/>
      <c r="AT5508" s="227"/>
      <c r="AU5508" s="227"/>
      <c r="AV5508" s="227"/>
      <c r="AW5508" s="227"/>
      <c r="AX5508" s="227"/>
      <c r="AY5508" s="227"/>
      <c r="AZ5508" s="227"/>
      <c r="BA5508" s="227"/>
      <c r="BB5508" s="227"/>
      <c r="BC5508" s="227"/>
      <c r="BD5508" s="227"/>
      <c r="BE5508" s="227"/>
      <c r="BF5508" s="227"/>
    </row>
    <row r="5509">
      <c r="A5509" s="227"/>
      <c r="B5509" s="348"/>
      <c r="C5509" s="227"/>
      <c r="D5509" s="227"/>
      <c r="E5509" s="231"/>
      <c r="F5509" s="348"/>
      <c r="G5509" s="227"/>
      <c r="H5509" s="227"/>
      <c r="I5509" s="227"/>
      <c r="J5509" s="227"/>
      <c r="K5509" s="227"/>
      <c r="L5509" s="348"/>
      <c r="M5509" s="348"/>
      <c r="N5509" s="227"/>
      <c r="O5509" s="227"/>
      <c r="P5509" s="231"/>
      <c r="Q5509" s="231"/>
      <c r="R5509" s="227"/>
      <c r="S5509" s="231"/>
      <c r="T5509" s="231"/>
      <c r="U5509" s="231"/>
      <c r="V5509" s="231"/>
      <c r="W5509" s="231"/>
      <c r="X5509" s="227"/>
      <c r="Y5509" s="348"/>
      <c r="Z5509" s="348"/>
      <c r="AA5509" s="348"/>
      <c r="AB5509" s="348"/>
      <c r="AC5509" s="227"/>
      <c r="AD5509" s="227"/>
      <c r="AE5509" s="231"/>
      <c r="AF5509" s="227"/>
      <c r="AG5509" s="348"/>
      <c r="AH5509" s="348"/>
      <c r="AI5509" s="348"/>
      <c r="AJ5509" s="348"/>
      <c r="AK5509" s="348"/>
      <c r="AL5509" s="348"/>
      <c r="AM5509" s="348"/>
      <c r="AN5509" s="348"/>
      <c r="AO5509" s="231"/>
      <c r="AP5509" s="231"/>
      <c r="AQ5509" s="227"/>
      <c r="AR5509" s="231"/>
      <c r="AS5509" s="227"/>
      <c r="AT5509" s="227"/>
      <c r="AU5509" s="227"/>
      <c r="AV5509" s="227"/>
      <c r="AW5509" s="227"/>
      <c r="AX5509" s="227"/>
      <c r="AY5509" s="227"/>
      <c r="AZ5509" s="227"/>
      <c r="BA5509" s="227"/>
      <c r="BB5509" s="227"/>
      <c r="BC5509" s="227"/>
      <c r="BD5509" s="227"/>
      <c r="BE5509" s="227"/>
      <c r="BF5509" s="227"/>
    </row>
    <row r="5510">
      <c r="A5510" s="227"/>
      <c r="B5510" s="348"/>
      <c r="C5510" s="227"/>
      <c r="D5510" s="227"/>
      <c r="E5510" s="231"/>
      <c r="F5510" s="348"/>
      <c r="G5510" s="227"/>
      <c r="H5510" s="227"/>
      <c r="I5510" s="227"/>
      <c r="J5510" s="227"/>
      <c r="K5510" s="227"/>
      <c r="L5510" s="348"/>
      <c r="M5510" s="348"/>
      <c r="N5510" s="227"/>
      <c r="O5510" s="227"/>
      <c r="P5510" s="231"/>
      <c r="Q5510" s="231"/>
      <c r="R5510" s="227"/>
      <c r="S5510" s="231"/>
      <c r="T5510" s="231"/>
      <c r="U5510" s="231"/>
      <c r="V5510" s="231"/>
      <c r="W5510" s="231"/>
      <c r="X5510" s="227"/>
      <c r="Y5510" s="348"/>
      <c r="Z5510" s="348"/>
      <c r="AA5510" s="348"/>
      <c r="AB5510" s="348"/>
      <c r="AC5510" s="227"/>
      <c r="AD5510" s="227"/>
      <c r="AE5510" s="231"/>
      <c r="AF5510" s="227"/>
      <c r="AG5510" s="348"/>
      <c r="AH5510" s="348"/>
      <c r="AI5510" s="348"/>
      <c r="AJ5510" s="348"/>
      <c r="AK5510" s="348"/>
      <c r="AL5510" s="348"/>
      <c r="AM5510" s="348"/>
      <c r="AN5510" s="348"/>
      <c r="AO5510" s="231"/>
      <c r="AP5510" s="231"/>
      <c r="AQ5510" s="227"/>
      <c r="AR5510" s="231"/>
      <c r="AS5510" s="227"/>
      <c r="AT5510" s="227"/>
      <c r="AU5510" s="227"/>
      <c r="AV5510" s="227"/>
      <c r="AW5510" s="227"/>
      <c r="AX5510" s="227"/>
      <c r="AY5510" s="227"/>
      <c r="AZ5510" s="227"/>
      <c r="BA5510" s="227"/>
      <c r="BB5510" s="227"/>
      <c r="BC5510" s="227"/>
      <c r="BD5510" s="227"/>
      <c r="BE5510" s="227"/>
      <c r="BF5510" s="227"/>
    </row>
    <row r="5511">
      <c r="A5511" s="227"/>
      <c r="B5511" s="348"/>
      <c r="C5511" s="227"/>
      <c r="D5511" s="227"/>
      <c r="E5511" s="231"/>
      <c r="F5511" s="348"/>
      <c r="G5511" s="227"/>
      <c r="H5511" s="227"/>
      <c r="I5511" s="227"/>
      <c r="J5511" s="227"/>
      <c r="K5511" s="227"/>
      <c r="L5511" s="348"/>
      <c r="M5511" s="348"/>
      <c r="N5511" s="227"/>
      <c r="O5511" s="227"/>
      <c r="P5511" s="231"/>
      <c r="Q5511" s="231"/>
      <c r="R5511" s="227"/>
      <c r="S5511" s="231"/>
      <c r="T5511" s="231"/>
      <c r="U5511" s="231"/>
      <c r="V5511" s="231"/>
      <c r="W5511" s="231"/>
      <c r="X5511" s="227"/>
      <c r="Y5511" s="348"/>
      <c r="Z5511" s="348"/>
      <c r="AA5511" s="348"/>
      <c r="AB5511" s="348"/>
      <c r="AC5511" s="227"/>
      <c r="AD5511" s="227"/>
      <c r="AE5511" s="231"/>
      <c r="AF5511" s="227"/>
      <c r="AG5511" s="348"/>
      <c r="AH5511" s="348"/>
      <c r="AI5511" s="348"/>
      <c r="AJ5511" s="348"/>
      <c r="AK5511" s="348"/>
      <c r="AL5511" s="348"/>
      <c r="AM5511" s="348"/>
      <c r="AN5511" s="348"/>
      <c r="AO5511" s="231"/>
      <c r="AP5511" s="231"/>
      <c r="AQ5511" s="227"/>
      <c r="AR5511" s="231"/>
      <c r="AS5511" s="227"/>
      <c r="AT5511" s="227"/>
      <c r="AU5511" s="227"/>
      <c r="AV5511" s="227"/>
      <c r="AW5511" s="227"/>
      <c r="AX5511" s="227"/>
      <c r="AY5511" s="227"/>
      <c r="AZ5511" s="227"/>
      <c r="BA5511" s="227"/>
      <c r="BB5511" s="227"/>
      <c r="BC5511" s="227"/>
      <c r="BD5511" s="227"/>
      <c r="BE5511" s="227"/>
      <c r="BF5511" s="227"/>
    </row>
    <row r="5512">
      <c r="A5512" s="227"/>
      <c r="B5512" s="348"/>
      <c r="C5512" s="227"/>
      <c r="D5512" s="227"/>
      <c r="E5512" s="231"/>
      <c r="F5512" s="348"/>
      <c r="G5512" s="227"/>
      <c r="H5512" s="227"/>
      <c r="I5512" s="227"/>
      <c r="J5512" s="227"/>
      <c r="K5512" s="227"/>
      <c r="L5512" s="348"/>
      <c r="M5512" s="348"/>
      <c r="N5512" s="227"/>
      <c r="O5512" s="227"/>
      <c r="P5512" s="231"/>
      <c r="Q5512" s="231"/>
      <c r="R5512" s="227"/>
      <c r="S5512" s="231"/>
      <c r="T5512" s="231"/>
      <c r="U5512" s="231"/>
      <c r="V5512" s="231"/>
      <c r="W5512" s="231"/>
      <c r="X5512" s="227"/>
      <c r="Y5512" s="348"/>
      <c r="Z5512" s="348"/>
      <c r="AA5512" s="348"/>
      <c r="AB5512" s="348"/>
      <c r="AC5512" s="227"/>
      <c r="AD5512" s="227"/>
      <c r="AE5512" s="231"/>
      <c r="AF5512" s="227"/>
      <c r="AG5512" s="348"/>
      <c r="AH5512" s="348"/>
      <c r="AI5512" s="348"/>
      <c r="AJ5512" s="348"/>
      <c r="AK5512" s="348"/>
      <c r="AL5512" s="348"/>
      <c r="AM5512" s="348"/>
      <c r="AN5512" s="348"/>
      <c r="AO5512" s="231"/>
      <c r="AP5512" s="231"/>
      <c r="AQ5512" s="227"/>
      <c r="AR5512" s="231"/>
      <c r="AS5512" s="227"/>
      <c r="AT5512" s="227"/>
      <c r="AU5512" s="227"/>
      <c r="AV5512" s="227"/>
      <c r="AW5512" s="227"/>
      <c r="AX5512" s="227"/>
      <c r="AY5512" s="227"/>
      <c r="AZ5512" s="227"/>
      <c r="BA5512" s="227"/>
      <c r="BB5512" s="227"/>
      <c r="BC5512" s="227"/>
      <c r="BD5512" s="227"/>
      <c r="BE5512" s="227"/>
      <c r="BF5512" s="227"/>
    </row>
    <row r="5513">
      <c r="A5513" s="227"/>
      <c r="B5513" s="348"/>
      <c r="C5513" s="227"/>
      <c r="D5513" s="227"/>
      <c r="E5513" s="231"/>
      <c r="F5513" s="348"/>
      <c r="G5513" s="227"/>
      <c r="H5513" s="227"/>
      <c r="I5513" s="227"/>
      <c r="J5513" s="227"/>
      <c r="K5513" s="227"/>
      <c r="L5513" s="348"/>
      <c r="M5513" s="348"/>
      <c r="N5513" s="227"/>
      <c r="O5513" s="227"/>
      <c r="P5513" s="231"/>
      <c r="Q5513" s="231"/>
      <c r="R5513" s="227"/>
      <c r="S5513" s="231"/>
      <c r="T5513" s="231"/>
      <c r="U5513" s="231"/>
      <c r="V5513" s="231"/>
      <c r="W5513" s="231"/>
      <c r="X5513" s="227"/>
      <c r="Y5513" s="348"/>
      <c r="Z5513" s="348"/>
      <c r="AA5513" s="348"/>
      <c r="AB5513" s="348"/>
      <c r="AC5513" s="227"/>
      <c r="AD5513" s="227"/>
      <c r="AE5513" s="231"/>
      <c r="AF5513" s="227"/>
      <c r="AG5513" s="348"/>
      <c r="AH5513" s="348"/>
      <c r="AI5513" s="348"/>
      <c r="AJ5513" s="348"/>
      <c r="AK5513" s="348"/>
      <c r="AL5513" s="348"/>
      <c r="AM5513" s="348"/>
      <c r="AN5513" s="348"/>
      <c r="AO5513" s="231"/>
      <c r="AP5513" s="231"/>
      <c r="AQ5513" s="227"/>
      <c r="AR5513" s="231"/>
      <c r="AS5513" s="227"/>
      <c r="AT5513" s="227"/>
      <c r="AU5513" s="227"/>
      <c r="AV5513" s="227"/>
      <c r="AW5513" s="227"/>
      <c r="AX5513" s="227"/>
      <c r="AY5513" s="227"/>
      <c r="AZ5513" s="227"/>
      <c r="BA5513" s="227"/>
      <c r="BB5513" s="227"/>
      <c r="BC5513" s="227"/>
      <c r="BD5513" s="227"/>
      <c r="BE5513" s="227"/>
      <c r="BF5513" s="227"/>
    </row>
    <row r="5514">
      <c r="A5514" s="227"/>
      <c r="B5514" s="348"/>
      <c r="C5514" s="227"/>
      <c r="D5514" s="227"/>
      <c r="E5514" s="231"/>
      <c r="F5514" s="348"/>
      <c r="G5514" s="227"/>
      <c r="H5514" s="227"/>
      <c r="I5514" s="227"/>
      <c r="J5514" s="227"/>
      <c r="K5514" s="227"/>
      <c r="L5514" s="348"/>
      <c r="M5514" s="348"/>
      <c r="N5514" s="227"/>
      <c r="O5514" s="227"/>
      <c r="P5514" s="231"/>
      <c r="Q5514" s="231"/>
      <c r="R5514" s="227"/>
      <c r="S5514" s="231"/>
      <c r="T5514" s="231"/>
      <c r="U5514" s="231"/>
      <c r="V5514" s="231"/>
      <c r="W5514" s="231"/>
      <c r="X5514" s="227"/>
      <c r="Y5514" s="348"/>
      <c r="Z5514" s="348"/>
      <c r="AA5514" s="348"/>
      <c r="AB5514" s="348"/>
      <c r="AC5514" s="227"/>
      <c r="AD5514" s="227"/>
      <c r="AE5514" s="231"/>
      <c r="AF5514" s="227"/>
      <c r="AG5514" s="348"/>
      <c r="AH5514" s="348"/>
      <c r="AI5514" s="348"/>
      <c r="AJ5514" s="348"/>
      <c r="AK5514" s="348"/>
      <c r="AL5514" s="348"/>
      <c r="AM5514" s="348"/>
      <c r="AN5514" s="348"/>
      <c r="AO5514" s="231"/>
      <c r="AP5514" s="231"/>
      <c r="AQ5514" s="227"/>
      <c r="AR5514" s="231"/>
      <c r="AS5514" s="227"/>
      <c r="AT5514" s="227"/>
      <c r="AU5514" s="227"/>
      <c r="AV5514" s="227"/>
      <c r="AW5514" s="227"/>
      <c r="AX5514" s="227"/>
      <c r="AY5514" s="227"/>
      <c r="AZ5514" s="227"/>
      <c r="BA5514" s="227"/>
      <c r="BB5514" s="227"/>
      <c r="BC5514" s="227"/>
      <c r="BD5514" s="227"/>
      <c r="BE5514" s="227"/>
      <c r="BF5514" s="227"/>
    </row>
    <row r="5515">
      <c r="A5515" s="227"/>
      <c r="B5515" s="348"/>
      <c r="C5515" s="227"/>
      <c r="D5515" s="227"/>
      <c r="E5515" s="231"/>
      <c r="F5515" s="348"/>
      <c r="G5515" s="227"/>
      <c r="H5515" s="227"/>
      <c r="I5515" s="227"/>
      <c r="J5515" s="227"/>
      <c r="K5515" s="227"/>
      <c r="L5515" s="348"/>
      <c r="M5515" s="348"/>
      <c r="N5515" s="227"/>
      <c r="O5515" s="227"/>
      <c r="P5515" s="231"/>
      <c r="Q5515" s="231"/>
      <c r="R5515" s="227"/>
      <c r="S5515" s="231"/>
      <c r="T5515" s="231"/>
      <c r="U5515" s="231"/>
      <c r="V5515" s="231"/>
      <c r="W5515" s="231"/>
      <c r="X5515" s="227"/>
      <c r="Y5515" s="348"/>
      <c r="Z5515" s="348"/>
      <c r="AA5515" s="348"/>
      <c r="AB5515" s="348"/>
      <c r="AC5515" s="227"/>
      <c r="AD5515" s="227"/>
      <c r="AE5515" s="231"/>
      <c r="AF5515" s="227"/>
      <c r="AG5515" s="348"/>
      <c r="AH5515" s="348"/>
      <c r="AI5515" s="348"/>
      <c r="AJ5515" s="348"/>
      <c r="AK5515" s="348"/>
      <c r="AL5515" s="348"/>
      <c r="AM5515" s="348"/>
      <c r="AN5515" s="348"/>
      <c r="AO5515" s="231"/>
      <c r="AP5515" s="231"/>
      <c r="AQ5515" s="227"/>
      <c r="AR5515" s="231"/>
      <c r="AS5515" s="227"/>
      <c r="AT5515" s="227"/>
      <c r="AU5515" s="227"/>
      <c r="AV5515" s="227"/>
      <c r="AW5515" s="227"/>
      <c r="AX5515" s="227"/>
      <c r="AY5515" s="227"/>
      <c r="AZ5515" s="227"/>
      <c r="BA5515" s="227"/>
      <c r="BB5515" s="227"/>
      <c r="BC5515" s="227"/>
      <c r="BD5515" s="227"/>
      <c r="BE5515" s="227"/>
      <c r="BF5515" s="227"/>
    </row>
    <row r="5516">
      <c r="A5516" s="227"/>
      <c r="B5516" s="348"/>
      <c r="C5516" s="227"/>
      <c r="D5516" s="227"/>
      <c r="E5516" s="231"/>
      <c r="F5516" s="348"/>
      <c r="G5516" s="227"/>
      <c r="H5516" s="227"/>
      <c r="I5516" s="227"/>
      <c r="J5516" s="227"/>
      <c r="K5516" s="227"/>
      <c r="L5516" s="348"/>
      <c r="M5516" s="348"/>
      <c r="N5516" s="227"/>
      <c r="O5516" s="227"/>
      <c r="P5516" s="231"/>
      <c r="Q5516" s="231"/>
      <c r="R5516" s="227"/>
      <c r="S5516" s="231"/>
      <c r="T5516" s="231"/>
      <c r="U5516" s="231"/>
      <c r="V5516" s="231"/>
      <c r="W5516" s="231"/>
      <c r="X5516" s="227"/>
      <c r="Y5516" s="348"/>
      <c r="Z5516" s="348"/>
      <c r="AA5516" s="348"/>
      <c r="AB5516" s="348"/>
      <c r="AC5516" s="227"/>
      <c r="AD5516" s="227"/>
      <c r="AE5516" s="231"/>
      <c r="AF5516" s="227"/>
      <c r="AG5516" s="348"/>
      <c r="AH5516" s="348"/>
      <c r="AI5516" s="348"/>
      <c r="AJ5516" s="348"/>
      <c r="AK5516" s="348"/>
      <c r="AL5516" s="348"/>
      <c r="AM5516" s="348"/>
      <c r="AN5516" s="348"/>
      <c r="AO5516" s="231"/>
      <c r="AP5516" s="231"/>
      <c r="AQ5516" s="227"/>
      <c r="AR5516" s="231"/>
      <c r="AS5516" s="227"/>
      <c r="AT5516" s="227"/>
      <c r="AU5516" s="227"/>
      <c r="AV5516" s="227"/>
      <c r="AW5516" s="227"/>
      <c r="AX5516" s="227"/>
      <c r="AY5516" s="227"/>
      <c r="AZ5516" s="227"/>
      <c r="BA5516" s="227"/>
      <c r="BB5516" s="227"/>
      <c r="BC5516" s="227"/>
      <c r="BD5516" s="227"/>
      <c r="BE5516" s="227"/>
      <c r="BF5516" s="227"/>
    </row>
    <row r="5517">
      <c r="A5517" s="227"/>
      <c r="B5517" s="348"/>
      <c r="C5517" s="227"/>
      <c r="D5517" s="227"/>
      <c r="E5517" s="231"/>
      <c r="F5517" s="348"/>
      <c r="G5517" s="227"/>
      <c r="H5517" s="227"/>
      <c r="I5517" s="227"/>
      <c r="J5517" s="227"/>
      <c r="K5517" s="227"/>
      <c r="L5517" s="348"/>
      <c r="M5517" s="348"/>
      <c r="N5517" s="227"/>
      <c r="O5517" s="227"/>
      <c r="P5517" s="231"/>
      <c r="Q5517" s="231"/>
      <c r="R5517" s="227"/>
      <c r="S5517" s="231"/>
      <c r="T5517" s="231"/>
      <c r="U5517" s="231"/>
      <c r="V5517" s="231"/>
      <c r="W5517" s="231"/>
      <c r="X5517" s="227"/>
      <c r="Y5517" s="348"/>
      <c r="Z5517" s="348"/>
      <c r="AA5517" s="348"/>
      <c r="AB5517" s="348"/>
      <c r="AC5517" s="227"/>
      <c r="AD5517" s="227"/>
      <c r="AE5517" s="231"/>
      <c r="AF5517" s="227"/>
      <c r="AG5517" s="348"/>
      <c r="AH5517" s="348"/>
      <c r="AI5517" s="348"/>
      <c r="AJ5517" s="348"/>
      <c r="AK5517" s="348"/>
      <c r="AL5517" s="348"/>
      <c r="AM5517" s="348"/>
      <c r="AN5517" s="348"/>
      <c r="AO5517" s="231"/>
      <c r="AP5517" s="231"/>
      <c r="AQ5517" s="227"/>
      <c r="AR5517" s="231"/>
      <c r="AS5517" s="227"/>
      <c r="AT5517" s="227"/>
      <c r="AU5517" s="227"/>
      <c r="AV5517" s="227"/>
      <c r="AW5517" s="227"/>
      <c r="AX5517" s="227"/>
      <c r="AY5517" s="227"/>
      <c r="AZ5517" s="227"/>
      <c r="BA5517" s="227"/>
      <c r="BB5517" s="227"/>
      <c r="BC5517" s="227"/>
      <c r="BD5517" s="227"/>
      <c r="BE5517" s="227"/>
      <c r="BF5517" s="227"/>
    </row>
    <row r="5518">
      <c r="A5518" s="227"/>
      <c r="B5518" s="348"/>
      <c r="C5518" s="227"/>
      <c r="D5518" s="227"/>
      <c r="E5518" s="231"/>
      <c r="F5518" s="348"/>
      <c r="G5518" s="227"/>
      <c r="H5518" s="227"/>
      <c r="I5518" s="227"/>
      <c r="J5518" s="227"/>
      <c r="K5518" s="227"/>
      <c r="L5518" s="348"/>
      <c r="M5518" s="348"/>
      <c r="N5518" s="227"/>
      <c r="O5518" s="227"/>
      <c r="P5518" s="231"/>
      <c r="Q5518" s="231"/>
      <c r="R5518" s="227"/>
      <c r="S5518" s="231"/>
      <c r="T5518" s="231"/>
      <c r="U5518" s="231"/>
      <c r="V5518" s="231"/>
      <c r="W5518" s="231"/>
      <c r="X5518" s="227"/>
      <c r="Y5518" s="348"/>
      <c r="Z5518" s="348"/>
      <c r="AA5518" s="348"/>
      <c r="AB5518" s="348"/>
      <c r="AC5518" s="227"/>
      <c r="AD5518" s="227"/>
      <c r="AE5518" s="231"/>
      <c r="AF5518" s="227"/>
      <c r="AG5518" s="348"/>
      <c r="AH5518" s="348"/>
      <c r="AI5518" s="348"/>
      <c r="AJ5518" s="348"/>
      <c r="AK5518" s="348"/>
      <c r="AL5518" s="348"/>
      <c r="AM5518" s="348"/>
      <c r="AN5518" s="348"/>
      <c r="AO5518" s="231"/>
      <c r="AP5518" s="231"/>
      <c r="AQ5518" s="227"/>
      <c r="AR5518" s="231"/>
      <c r="AS5518" s="227"/>
      <c r="AT5518" s="227"/>
      <c r="AU5518" s="227"/>
      <c r="AV5518" s="227"/>
      <c r="AW5518" s="227"/>
      <c r="AX5518" s="227"/>
      <c r="AY5518" s="227"/>
      <c r="AZ5518" s="227"/>
      <c r="BA5518" s="227"/>
      <c r="BB5518" s="227"/>
      <c r="BC5518" s="227"/>
      <c r="BD5518" s="227"/>
      <c r="BE5518" s="227"/>
      <c r="BF5518" s="227"/>
    </row>
    <row r="5519">
      <c r="A5519" s="227"/>
      <c r="B5519" s="348"/>
      <c r="C5519" s="227"/>
      <c r="D5519" s="227"/>
      <c r="E5519" s="231"/>
      <c r="F5519" s="348"/>
      <c r="G5519" s="227"/>
      <c r="H5519" s="227"/>
      <c r="I5519" s="227"/>
      <c r="J5519" s="227"/>
      <c r="K5519" s="227"/>
      <c r="L5519" s="348"/>
      <c r="M5519" s="348"/>
      <c r="N5519" s="227"/>
      <c r="O5519" s="227"/>
      <c r="P5519" s="231"/>
      <c r="Q5519" s="231"/>
      <c r="R5519" s="227"/>
      <c r="S5519" s="231"/>
      <c r="T5519" s="231"/>
      <c r="U5519" s="231"/>
      <c r="V5519" s="231"/>
      <c r="W5519" s="231"/>
      <c r="X5519" s="227"/>
      <c r="Y5519" s="348"/>
      <c r="Z5519" s="348"/>
      <c r="AA5519" s="348"/>
      <c r="AB5519" s="348"/>
      <c r="AC5519" s="227"/>
      <c r="AD5519" s="227"/>
      <c r="AE5519" s="231"/>
      <c r="AF5519" s="227"/>
      <c r="AG5519" s="348"/>
      <c r="AH5519" s="348"/>
      <c r="AI5519" s="348"/>
      <c r="AJ5519" s="348"/>
      <c r="AK5519" s="348"/>
      <c r="AL5519" s="348"/>
      <c r="AM5519" s="348"/>
      <c r="AN5519" s="348"/>
      <c r="AO5519" s="231"/>
      <c r="AP5519" s="231"/>
      <c r="AQ5519" s="227"/>
      <c r="AR5519" s="231"/>
      <c r="AS5519" s="227"/>
      <c r="AT5519" s="227"/>
      <c r="AU5519" s="227"/>
      <c r="AV5519" s="227"/>
      <c r="AW5519" s="227"/>
      <c r="AX5519" s="227"/>
      <c r="AY5519" s="227"/>
      <c r="AZ5519" s="227"/>
      <c r="BA5519" s="227"/>
      <c r="BB5519" s="227"/>
      <c r="BC5519" s="227"/>
      <c r="BD5519" s="227"/>
      <c r="BE5519" s="227"/>
      <c r="BF5519" s="227"/>
    </row>
    <row r="5520">
      <c r="A5520" s="227"/>
      <c r="B5520" s="348"/>
      <c r="C5520" s="227"/>
      <c r="D5520" s="227"/>
      <c r="E5520" s="231"/>
      <c r="F5520" s="348"/>
      <c r="G5520" s="227"/>
      <c r="H5520" s="227"/>
      <c r="I5520" s="227"/>
      <c r="J5520" s="227"/>
      <c r="K5520" s="227"/>
      <c r="L5520" s="348"/>
      <c r="M5520" s="348"/>
      <c r="N5520" s="227"/>
      <c r="O5520" s="227"/>
      <c r="P5520" s="231"/>
      <c r="Q5520" s="231"/>
      <c r="R5520" s="227"/>
      <c r="S5520" s="231"/>
      <c r="T5520" s="231"/>
      <c r="U5520" s="231"/>
      <c r="V5520" s="231"/>
      <c r="W5520" s="231"/>
      <c r="X5520" s="227"/>
      <c r="Y5520" s="348"/>
      <c r="Z5520" s="348"/>
      <c r="AA5520" s="348"/>
      <c r="AB5520" s="348"/>
      <c r="AC5520" s="227"/>
      <c r="AD5520" s="227"/>
      <c r="AE5520" s="231"/>
      <c r="AF5520" s="227"/>
      <c r="AG5520" s="348"/>
      <c r="AH5520" s="348"/>
      <c r="AI5520" s="348"/>
      <c r="AJ5520" s="348"/>
      <c r="AK5520" s="348"/>
      <c r="AL5520" s="348"/>
      <c r="AM5520" s="348"/>
      <c r="AN5520" s="348"/>
      <c r="AO5520" s="231"/>
      <c r="AP5520" s="231"/>
      <c r="AQ5520" s="227"/>
      <c r="AR5520" s="231"/>
      <c r="AS5520" s="227"/>
      <c r="AT5520" s="227"/>
      <c r="AU5520" s="227"/>
      <c r="AV5520" s="227"/>
      <c r="AW5520" s="227"/>
      <c r="AX5520" s="227"/>
      <c r="AY5520" s="227"/>
      <c r="AZ5520" s="227"/>
      <c r="BA5520" s="227"/>
      <c r="BB5520" s="227"/>
      <c r="BC5520" s="227"/>
      <c r="BD5520" s="227"/>
      <c r="BE5520" s="227"/>
      <c r="BF5520" s="227"/>
    </row>
    <row r="5521">
      <c r="A5521" s="227"/>
      <c r="B5521" s="348"/>
      <c r="C5521" s="227"/>
      <c r="D5521" s="227"/>
      <c r="E5521" s="231"/>
      <c r="F5521" s="348"/>
      <c r="G5521" s="227"/>
      <c r="H5521" s="227"/>
      <c r="I5521" s="227"/>
      <c r="J5521" s="227"/>
      <c r="K5521" s="227"/>
      <c r="L5521" s="348"/>
      <c r="M5521" s="348"/>
      <c r="N5521" s="227"/>
      <c r="O5521" s="227"/>
      <c r="P5521" s="231"/>
      <c r="Q5521" s="231"/>
      <c r="R5521" s="227"/>
      <c r="S5521" s="231"/>
      <c r="T5521" s="231"/>
      <c r="U5521" s="231"/>
      <c r="V5521" s="231"/>
      <c r="W5521" s="231"/>
      <c r="X5521" s="227"/>
      <c r="Y5521" s="348"/>
      <c r="Z5521" s="348"/>
      <c r="AA5521" s="348"/>
      <c r="AB5521" s="348"/>
      <c r="AC5521" s="227"/>
      <c r="AD5521" s="227"/>
      <c r="AE5521" s="231"/>
      <c r="AF5521" s="227"/>
      <c r="AG5521" s="348"/>
      <c r="AH5521" s="348"/>
      <c r="AI5521" s="348"/>
      <c r="AJ5521" s="348"/>
      <c r="AK5521" s="348"/>
      <c r="AL5521" s="348"/>
      <c r="AM5521" s="348"/>
      <c r="AN5521" s="348"/>
      <c r="AO5521" s="231"/>
      <c r="AP5521" s="231"/>
      <c r="AQ5521" s="227"/>
      <c r="AR5521" s="231"/>
      <c r="AS5521" s="227"/>
      <c r="AT5521" s="227"/>
      <c r="AU5521" s="227"/>
      <c r="AV5521" s="227"/>
      <c r="AW5521" s="227"/>
      <c r="AX5521" s="227"/>
      <c r="AY5521" s="227"/>
      <c r="AZ5521" s="227"/>
      <c r="BA5521" s="227"/>
      <c r="BB5521" s="227"/>
      <c r="BC5521" s="227"/>
      <c r="BD5521" s="227"/>
      <c r="BE5521" s="227"/>
      <c r="BF5521" s="227"/>
    </row>
    <row r="5522">
      <c r="A5522" s="227"/>
      <c r="B5522" s="348"/>
      <c r="C5522" s="227"/>
      <c r="D5522" s="227"/>
      <c r="E5522" s="231"/>
      <c r="F5522" s="348"/>
      <c r="G5522" s="227"/>
      <c r="H5522" s="227"/>
      <c r="I5522" s="227"/>
      <c r="J5522" s="227"/>
      <c r="K5522" s="227"/>
      <c r="L5522" s="348"/>
      <c r="M5522" s="348"/>
      <c r="N5522" s="227"/>
      <c r="O5522" s="227"/>
      <c r="P5522" s="231"/>
      <c r="Q5522" s="231"/>
      <c r="R5522" s="227"/>
      <c r="S5522" s="231"/>
      <c r="T5522" s="231"/>
      <c r="U5522" s="231"/>
      <c r="V5522" s="231"/>
      <c r="W5522" s="231"/>
      <c r="X5522" s="227"/>
      <c r="Y5522" s="348"/>
      <c r="Z5522" s="348"/>
      <c r="AA5522" s="348"/>
      <c r="AB5522" s="348"/>
      <c r="AC5522" s="227"/>
      <c r="AD5522" s="227"/>
      <c r="AE5522" s="231"/>
      <c r="AF5522" s="227"/>
      <c r="AG5522" s="348"/>
      <c r="AH5522" s="348"/>
      <c r="AI5522" s="348"/>
      <c r="AJ5522" s="348"/>
      <c r="AK5522" s="348"/>
      <c r="AL5522" s="348"/>
      <c r="AM5522" s="348"/>
      <c r="AN5522" s="348"/>
      <c r="AO5522" s="231"/>
      <c r="AP5522" s="231"/>
      <c r="AQ5522" s="227"/>
      <c r="AR5522" s="231"/>
      <c r="AS5522" s="227"/>
      <c r="AT5522" s="227"/>
      <c r="AU5522" s="227"/>
      <c r="AV5522" s="227"/>
      <c r="AW5522" s="227"/>
      <c r="AX5522" s="227"/>
      <c r="AY5522" s="227"/>
      <c r="AZ5522" s="227"/>
      <c r="BA5522" s="227"/>
      <c r="BB5522" s="227"/>
      <c r="BC5522" s="227"/>
      <c r="BD5522" s="227"/>
      <c r="BE5522" s="227"/>
      <c r="BF5522" s="227"/>
    </row>
    <row r="5523">
      <c r="A5523" s="227"/>
      <c r="B5523" s="348"/>
      <c r="C5523" s="227"/>
      <c r="D5523" s="227"/>
      <c r="E5523" s="231"/>
      <c r="F5523" s="348"/>
      <c r="G5523" s="227"/>
      <c r="H5523" s="227"/>
      <c r="I5523" s="227"/>
      <c r="J5523" s="227"/>
      <c r="K5523" s="227"/>
      <c r="L5523" s="348"/>
      <c r="M5523" s="348"/>
      <c r="N5523" s="227"/>
      <c r="O5523" s="227"/>
      <c r="P5523" s="231"/>
      <c r="Q5523" s="231"/>
      <c r="R5523" s="227"/>
      <c r="S5523" s="231"/>
      <c r="T5523" s="231"/>
      <c r="U5523" s="231"/>
      <c r="V5523" s="231"/>
      <c r="W5523" s="231"/>
      <c r="X5523" s="227"/>
      <c r="Y5523" s="348"/>
      <c r="Z5523" s="348"/>
      <c r="AA5523" s="348"/>
      <c r="AB5523" s="348"/>
      <c r="AC5523" s="227"/>
      <c r="AD5523" s="227"/>
      <c r="AE5523" s="231"/>
      <c r="AF5523" s="227"/>
      <c r="AG5523" s="348"/>
      <c r="AH5523" s="348"/>
      <c r="AI5523" s="348"/>
      <c r="AJ5523" s="348"/>
      <c r="AK5523" s="348"/>
      <c r="AL5523" s="348"/>
      <c r="AM5523" s="348"/>
      <c r="AN5523" s="348"/>
      <c r="AO5523" s="231"/>
      <c r="AP5523" s="231"/>
      <c r="AQ5523" s="227"/>
      <c r="AR5523" s="231"/>
      <c r="AS5523" s="227"/>
      <c r="AT5523" s="227"/>
      <c r="AU5523" s="227"/>
      <c r="AV5523" s="227"/>
      <c r="AW5523" s="227"/>
      <c r="AX5523" s="227"/>
      <c r="AY5523" s="227"/>
      <c r="AZ5523" s="227"/>
      <c r="BA5523" s="227"/>
      <c r="BB5523" s="227"/>
      <c r="BC5523" s="227"/>
      <c r="BD5523" s="227"/>
      <c r="BE5523" s="227"/>
      <c r="BF5523" s="227"/>
    </row>
    <row r="5524">
      <c r="A5524" s="227"/>
      <c r="B5524" s="348"/>
      <c r="C5524" s="227"/>
      <c r="D5524" s="227"/>
      <c r="E5524" s="231"/>
      <c r="F5524" s="348"/>
      <c r="G5524" s="227"/>
      <c r="H5524" s="227"/>
      <c r="I5524" s="227"/>
      <c r="J5524" s="227"/>
      <c r="K5524" s="227"/>
      <c r="L5524" s="348"/>
      <c r="M5524" s="348"/>
      <c r="N5524" s="227"/>
      <c r="O5524" s="227"/>
      <c r="P5524" s="231"/>
      <c r="Q5524" s="231"/>
      <c r="R5524" s="227"/>
      <c r="S5524" s="231"/>
      <c r="T5524" s="231"/>
      <c r="U5524" s="231"/>
      <c r="V5524" s="231"/>
      <c r="W5524" s="231"/>
      <c r="X5524" s="227"/>
      <c r="Y5524" s="348"/>
      <c r="Z5524" s="348"/>
      <c r="AA5524" s="348"/>
      <c r="AB5524" s="348"/>
      <c r="AC5524" s="227"/>
      <c r="AD5524" s="227"/>
      <c r="AE5524" s="231"/>
      <c r="AF5524" s="227"/>
      <c r="AG5524" s="348"/>
      <c r="AH5524" s="348"/>
      <c r="AI5524" s="348"/>
      <c r="AJ5524" s="348"/>
      <c r="AK5524" s="348"/>
      <c r="AL5524" s="348"/>
      <c r="AM5524" s="348"/>
      <c r="AN5524" s="348"/>
      <c r="AO5524" s="231"/>
      <c r="AP5524" s="231"/>
      <c r="AQ5524" s="227"/>
      <c r="AR5524" s="231"/>
      <c r="AS5524" s="227"/>
      <c r="AT5524" s="227"/>
      <c r="AU5524" s="227"/>
      <c r="AV5524" s="227"/>
      <c r="AW5524" s="227"/>
      <c r="AX5524" s="227"/>
      <c r="AY5524" s="227"/>
      <c r="AZ5524" s="227"/>
      <c r="BA5524" s="227"/>
      <c r="BB5524" s="227"/>
      <c r="BC5524" s="227"/>
      <c r="BD5524" s="227"/>
      <c r="BE5524" s="227"/>
      <c r="BF5524" s="227"/>
    </row>
    <row r="5525">
      <c r="A5525" s="227"/>
      <c r="B5525" s="348"/>
      <c r="C5525" s="227"/>
      <c r="D5525" s="227"/>
      <c r="E5525" s="231"/>
      <c r="F5525" s="348"/>
      <c r="G5525" s="227"/>
      <c r="H5525" s="227"/>
      <c r="I5525" s="227"/>
      <c r="J5525" s="227"/>
      <c r="K5525" s="227"/>
      <c r="L5525" s="348"/>
      <c r="M5525" s="348"/>
      <c r="N5525" s="227"/>
      <c r="O5525" s="227"/>
      <c r="P5525" s="231"/>
      <c r="Q5525" s="231"/>
      <c r="R5525" s="227"/>
      <c r="S5525" s="231"/>
      <c r="T5525" s="231"/>
      <c r="U5525" s="231"/>
      <c r="V5525" s="231"/>
      <c r="W5525" s="231"/>
      <c r="X5525" s="227"/>
      <c r="Y5525" s="348"/>
      <c r="Z5525" s="348"/>
      <c r="AA5525" s="348"/>
      <c r="AB5525" s="348"/>
      <c r="AC5525" s="227"/>
      <c r="AD5525" s="227"/>
      <c r="AE5525" s="231"/>
      <c r="AF5525" s="227"/>
      <c r="AG5525" s="348"/>
      <c r="AH5525" s="348"/>
      <c r="AI5525" s="348"/>
      <c r="AJ5525" s="348"/>
      <c r="AK5525" s="348"/>
      <c r="AL5525" s="348"/>
      <c r="AM5525" s="348"/>
      <c r="AN5525" s="348"/>
      <c r="AO5525" s="231"/>
      <c r="AP5525" s="231"/>
      <c r="AQ5525" s="227"/>
      <c r="AR5525" s="231"/>
      <c r="AS5525" s="227"/>
      <c r="AT5525" s="227"/>
      <c r="AU5525" s="227"/>
      <c r="AV5525" s="227"/>
      <c r="AW5525" s="227"/>
      <c r="AX5525" s="227"/>
      <c r="AY5525" s="227"/>
      <c r="AZ5525" s="227"/>
      <c r="BA5525" s="227"/>
      <c r="BB5525" s="227"/>
      <c r="BC5525" s="227"/>
      <c r="BD5525" s="227"/>
      <c r="BE5525" s="227"/>
      <c r="BF5525" s="227"/>
    </row>
    <row r="5526">
      <c r="A5526" s="227"/>
      <c r="B5526" s="348"/>
      <c r="C5526" s="227"/>
      <c r="D5526" s="227"/>
      <c r="E5526" s="231"/>
      <c r="F5526" s="348"/>
      <c r="G5526" s="227"/>
      <c r="H5526" s="227"/>
      <c r="I5526" s="227"/>
      <c r="J5526" s="227"/>
      <c r="K5526" s="227"/>
      <c r="L5526" s="348"/>
      <c r="M5526" s="348"/>
      <c r="N5526" s="227"/>
      <c r="O5526" s="227"/>
      <c r="P5526" s="231"/>
      <c r="Q5526" s="231"/>
      <c r="R5526" s="227"/>
      <c r="S5526" s="231"/>
      <c r="T5526" s="231"/>
      <c r="U5526" s="231"/>
      <c r="V5526" s="231"/>
      <c r="W5526" s="231"/>
      <c r="X5526" s="227"/>
      <c r="Y5526" s="348"/>
      <c r="Z5526" s="348"/>
      <c r="AA5526" s="348"/>
      <c r="AB5526" s="348"/>
      <c r="AC5526" s="227"/>
      <c r="AD5526" s="227"/>
      <c r="AE5526" s="231"/>
      <c r="AF5526" s="227"/>
      <c r="AG5526" s="348"/>
      <c r="AH5526" s="348"/>
      <c r="AI5526" s="348"/>
      <c r="AJ5526" s="348"/>
      <c r="AK5526" s="348"/>
      <c r="AL5526" s="348"/>
      <c r="AM5526" s="348"/>
      <c r="AN5526" s="348"/>
      <c r="AO5526" s="231"/>
      <c r="AP5526" s="231"/>
      <c r="AQ5526" s="227"/>
      <c r="AR5526" s="231"/>
      <c r="AS5526" s="227"/>
      <c r="AT5526" s="227"/>
      <c r="AU5526" s="227"/>
      <c r="AV5526" s="227"/>
      <c r="AW5526" s="227"/>
      <c r="AX5526" s="227"/>
      <c r="AY5526" s="227"/>
      <c r="AZ5526" s="227"/>
      <c r="BA5526" s="227"/>
      <c r="BB5526" s="227"/>
      <c r="BC5526" s="227"/>
      <c r="BD5526" s="227"/>
      <c r="BE5526" s="227"/>
      <c r="BF5526" s="227"/>
    </row>
    <row r="5527">
      <c r="A5527" s="227"/>
      <c r="B5527" s="348"/>
      <c r="C5527" s="227"/>
      <c r="D5527" s="227"/>
      <c r="E5527" s="231"/>
      <c r="F5527" s="348"/>
      <c r="G5527" s="227"/>
      <c r="H5527" s="227"/>
      <c r="I5527" s="227"/>
      <c r="J5527" s="227"/>
      <c r="K5527" s="227"/>
      <c r="L5527" s="348"/>
      <c r="M5527" s="348"/>
      <c r="N5527" s="227"/>
      <c r="O5527" s="227"/>
      <c r="P5527" s="231"/>
      <c r="Q5527" s="231"/>
      <c r="R5527" s="227"/>
      <c r="S5527" s="231"/>
      <c r="T5527" s="231"/>
      <c r="U5527" s="231"/>
      <c r="V5527" s="231"/>
      <c r="W5527" s="231"/>
      <c r="X5527" s="227"/>
      <c r="Y5527" s="348"/>
      <c r="Z5527" s="348"/>
      <c r="AA5527" s="348"/>
      <c r="AB5527" s="348"/>
      <c r="AC5527" s="227"/>
      <c r="AD5527" s="227"/>
      <c r="AE5527" s="231"/>
      <c r="AF5527" s="227"/>
      <c r="AG5527" s="348"/>
      <c r="AH5527" s="348"/>
      <c r="AI5527" s="348"/>
      <c r="AJ5527" s="348"/>
      <c r="AK5527" s="348"/>
      <c r="AL5527" s="348"/>
      <c r="AM5527" s="348"/>
      <c r="AN5527" s="348"/>
      <c r="AO5527" s="231"/>
      <c r="AP5527" s="231"/>
      <c r="AQ5527" s="227"/>
      <c r="AR5527" s="227"/>
      <c r="AS5527" s="227"/>
      <c r="AT5527" s="227"/>
      <c r="AU5527" s="227"/>
      <c r="AV5527" s="227"/>
      <c r="AW5527" s="227"/>
      <c r="AX5527" s="227"/>
      <c r="AY5527" s="227"/>
      <c r="AZ5527" s="227"/>
      <c r="BA5527" s="227"/>
      <c r="BB5527" s="227"/>
      <c r="BC5527" s="227"/>
      <c r="BD5527" s="227"/>
      <c r="BE5527" s="227"/>
      <c r="BF5527" s="227"/>
    </row>
    <row r="5528">
      <c r="A5528" s="227"/>
      <c r="B5528" s="348"/>
      <c r="C5528" s="227"/>
      <c r="D5528" s="227"/>
      <c r="E5528" s="231"/>
      <c r="F5528" s="348"/>
      <c r="G5528" s="227"/>
      <c r="H5528" s="227"/>
      <c r="I5528" s="227"/>
      <c r="J5528" s="227"/>
      <c r="K5528" s="227"/>
      <c r="L5528" s="348"/>
      <c r="M5528" s="348"/>
      <c r="N5528" s="227"/>
      <c r="O5528" s="227"/>
      <c r="P5528" s="231"/>
      <c r="Q5528" s="231"/>
      <c r="R5528" s="227"/>
      <c r="S5528" s="231"/>
      <c r="T5528" s="231"/>
      <c r="U5528" s="231"/>
      <c r="V5528" s="231"/>
      <c r="W5528" s="231"/>
      <c r="X5528" s="227"/>
      <c r="Y5528" s="348"/>
      <c r="Z5528" s="348"/>
      <c r="AA5528" s="348"/>
      <c r="AB5528" s="348"/>
      <c r="AC5528" s="227"/>
      <c r="AD5528" s="227"/>
      <c r="AE5528" s="231"/>
      <c r="AF5528" s="227"/>
      <c r="AG5528" s="348"/>
      <c r="AH5528" s="348"/>
      <c r="AI5528" s="348"/>
      <c r="AJ5528" s="348"/>
      <c r="AK5528" s="348"/>
      <c r="AL5528" s="348"/>
      <c r="AM5528" s="348"/>
      <c r="AN5528" s="348"/>
      <c r="AO5528" s="231"/>
      <c r="AP5528" s="231"/>
      <c r="AQ5528" s="227"/>
      <c r="AR5528" s="231"/>
      <c r="AS5528" s="227"/>
      <c r="AT5528" s="227"/>
      <c r="AU5528" s="227"/>
      <c r="AV5528" s="227"/>
      <c r="AW5528" s="227"/>
      <c r="AX5528" s="227"/>
      <c r="AY5528" s="227"/>
      <c r="AZ5528" s="227"/>
      <c r="BA5528" s="227"/>
      <c r="BB5528" s="227"/>
      <c r="BC5528" s="227"/>
      <c r="BD5528" s="227"/>
      <c r="BE5528" s="227"/>
      <c r="BF5528" s="227"/>
    </row>
    <row r="5529">
      <c r="A5529" s="227"/>
      <c r="B5529" s="348"/>
      <c r="C5529" s="227"/>
      <c r="D5529" s="227"/>
      <c r="E5529" s="231"/>
      <c r="F5529" s="348"/>
      <c r="G5529" s="227"/>
      <c r="H5529" s="227"/>
      <c r="I5529" s="227"/>
      <c r="J5529" s="227"/>
      <c r="K5529" s="227"/>
      <c r="L5529" s="348"/>
      <c r="M5529" s="348"/>
      <c r="N5529" s="227"/>
      <c r="O5529" s="227"/>
      <c r="P5529" s="231"/>
      <c r="Q5529" s="231"/>
      <c r="R5529" s="227"/>
      <c r="S5529" s="231"/>
      <c r="T5529" s="231"/>
      <c r="U5529" s="231"/>
      <c r="V5529" s="231"/>
      <c r="W5529" s="231"/>
      <c r="X5529" s="227"/>
      <c r="Y5529" s="348"/>
      <c r="Z5529" s="348"/>
      <c r="AA5529" s="348"/>
      <c r="AB5529" s="348"/>
      <c r="AC5529" s="227"/>
      <c r="AD5529" s="227"/>
      <c r="AE5529" s="231"/>
      <c r="AF5529" s="227"/>
      <c r="AG5529" s="348"/>
      <c r="AH5529" s="348"/>
      <c r="AI5529" s="348"/>
      <c r="AJ5529" s="348"/>
      <c r="AK5529" s="348"/>
      <c r="AL5529" s="348"/>
      <c r="AM5529" s="348"/>
      <c r="AN5529" s="348"/>
      <c r="AO5529" s="231"/>
      <c r="AP5529" s="231"/>
      <c r="AQ5529" s="227"/>
      <c r="AR5529" s="231"/>
      <c r="AS5529" s="227"/>
      <c r="AT5529" s="227"/>
      <c r="AU5529" s="227"/>
      <c r="AV5529" s="227"/>
      <c r="AW5529" s="227"/>
      <c r="AX5529" s="227"/>
      <c r="AY5529" s="227"/>
      <c r="AZ5529" s="227"/>
      <c r="BA5529" s="227"/>
      <c r="BB5529" s="227"/>
      <c r="BC5529" s="227"/>
      <c r="BD5529" s="227"/>
      <c r="BE5529" s="227"/>
      <c r="BF5529" s="227"/>
    </row>
    <row r="5530">
      <c r="A5530" s="227"/>
      <c r="B5530" s="348"/>
      <c r="C5530" s="227"/>
      <c r="D5530" s="227"/>
      <c r="E5530" s="231"/>
      <c r="F5530" s="348"/>
      <c r="G5530" s="227"/>
      <c r="H5530" s="227"/>
      <c r="I5530" s="227"/>
      <c r="J5530" s="227"/>
      <c r="K5530" s="227"/>
      <c r="L5530" s="348"/>
      <c r="M5530" s="348"/>
      <c r="N5530" s="227"/>
      <c r="O5530" s="227"/>
      <c r="P5530" s="231"/>
      <c r="Q5530" s="231"/>
      <c r="R5530" s="227"/>
      <c r="S5530" s="231"/>
      <c r="T5530" s="231"/>
      <c r="U5530" s="231"/>
      <c r="V5530" s="231"/>
      <c r="W5530" s="231"/>
      <c r="X5530" s="227"/>
      <c r="Y5530" s="348"/>
      <c r="Z5530" s="348"/>
      <c r="AA5530" s="348"/>
      <c r="AB5530" s="348"/>
      <c r="AC5530" s="227"/>
      <c r="AD5530" s="227"/>
      <c r="AE5530" s="231"/>
      <c r="AF5530" s="227"/>
      <c r="AG5530" s="348"/>
      <c r="AH5530" s="348"/>
      <c r="AI5530" s="348"/>
      <c r="AJ5530" s="348"/>
      <c r="AK5530" s="348"/>
      <c r="AL5530" s="348"/>
      <c r="AM5530" s="348"/>
      <c r="AN5530" s="348"/>
      <c r="AO5530" s="231"/>
      <c r="AP5530" s="231"/>
      <c r="AQ5530" s="227"/>
      <c r="AR5530" s="231"/>
      <c r="AS5530" s="227"/>
      <c r="AT5530" s="227"/>
      <c r="AU5530" s="227"/>
      <c r="AV5530" s="227"/>
      <c r="AW5530" s="227"/>
      <c r="AX5530" s="227"/>
      <c r="AY5530" s="227"/>
      <c r="AZ5530" s="227"/>
      <c r="BA5530" s="227"/>
      <c r="BB5530" s="227"/>
      <c r="BC5530" s="227"/>
      <c r="BD5530" s="227"/>
      <c r="BE5530" s="227"/>
      <c r="BF5530" s="227"/>
    </row>
    <row r="5531">
      <c r="A5531" s="227"/>
      <c r="B5531" s="348"/>
      <c r="C5531" s="227"/>
      <c r="D5531" s="227"/>
      <c r="E5531" s="231"/>
      <c r="F5531" s="348"/>
      <c r="G5531" s="227"/>
      <c r="H5531" s="227"/>
      <c r="I5531" s="227"/>
      <c r="J5531" s="227"/>
      <c r="K5531" s="227"/>
      <c r="L5531" s="348"/>
      <c r="M5531" s="348"/>
      <c r="N5531" s="227"/>
      <c r="O5531" s="227"/>
      <c r="P5531" s="231"/>
      <c r="Q5531" s="231"/>
      <c r="R5531" s="227"/>
      <c r="S5531" s="231"/>
      <c r="T5531" s="231"/>
      <c r="U5531" s="231"/>
      <c r="V5531" s="231"/>
      <c r="W5531" s="231"/>
      <c r="X5531" s="227"/>
      <c r="Y5531" s="348"/>
      <c r="Z5531" s="348"/>
      <c r="AA5531" s="348"/>
      <c r="AB5531" s="348"/>
      <c r="AC5531" s="227"/>
      <c r="AD5531" s="227"/>
      <c r="AE5531" s="231"/>
      <c r="AF5531" s="227"/>
      <c r="AG5531" s="348"/>
      <c r="AH5531" s="348"/>
      <c r="AI5531" s="348"/>
      <c r="AJ5531" s="348"/>
      <c r="AK5531" s="348"/>
      <c r="AL5531" s="348"/>
      <c r="AM5531" s="348"/>
      <c r="AN5531" s="348"/>
      <c r="AO5531" s="231"/>
      <c r="AP5531" s="231"/>
      <c r="AQ5531" s="227"/>
      <c r="AR5531" s="231"/>
      <c r="AS5531" s="227"/>
      <c r="AT5531" s="227"/>
      <c r="AU5531" s="227"/>
      <c r="AV5531" s="227"/>
      <c r="AW5531" s="227"/>
      <c r="AX5531" s="227"/>
      <c r="AY5531" s="227"/>
      <c r="AZ5531" s="227"/>
      <c r="BA5531" s="227"/>
      <c r="BB5531" s="227"/>
      <c r="BC5531" s="227"/>
      <c r="BD5531" s="227"/>
      <c r="BE5531" s="227"/>
      <c r="BF5531" s="227"/>
    </row>
    <row r="5532">
      <c r="A5532" s="227"/>
      <c r="B5532" s="348"/>
      <c r="C5532" s="227"/>
      <c r="D5532" s="227"/>
      <c r="E5532" s="231"/>
      <c r="F5532" s="348"/>
      <c r="G5532" s="227"/>
      <c r="H5532" s="227"/>
      <c r="I5532" s="227"/>
      <c r="J5532" s="227"/>
      <c r="K5532" s="227"/>
      <c r="L5532" s="348"/>
      <c r="M5532" s="348"/>
      <c r="N5532" s="227"/>
      <c r="O5532" s="227"/>
      <c r="P5532" s="231"/>
      <c r="Q5532" s="231"/>
      <c r="R5532" s="227"/>
      <c r="S5532" s="231"/>
      <c r="T5532" s="231"/>
      <c r="U5532" s="231"/>
      <c r="V5532" s="231"/>
      <c r="W5532" s="231"/>
      <c r="X5532" s="227"/>
      <c r="Y5532" s="348"/>
      <c r="Z5532" s="348"/>
      <c r="AA5532" s="348"/>
      <c r="AB5532" s="348"/>
      <c r="AC5532" s="227"/>
      <c r="AD5532" s="227"/>
      <c r="AE5532" s="231"/>
      <c r="AF5532" s="227"/>
      <c r="AG5532" s="348"/>
      <c r="AH5532" s="348"/>
      <c r="AI5532" s="348"/>
      <c r="AJ5532" s="348"/>
      <c r="AK5532" s="348"/>
      <c r="AL5532" s="348"/>
      <c r="AM5532" s="348"/>
      <c r="AN5532" s="348"/>
      <c r="AO5532" s="231"/>
      <c r="AP5532" s="231"/>
      <c r="AQ5532" s="227"/>
      <c r="AR5532" s="231"/>
      <c r="AS5532" s="227"/>
      <c r="AT5532" s="227"/>
      <c r="AU5532" s="227"/>
      <c r="AV5532" s="227"/>
      <c r="AW5532" s="227"/>
      <c r="AX5532" s="227"/>
      <c r="AY5532" s="227"/>
      <c r="AZ5532" s="227"/>
      <c r="BA5532" s="227"/>
      <c r="BB5532" s="227"/>
      <c r="BC5532" s="227"/>
      <c r="BD5532" s="227"/>
      <c r="BE5532" s="227"/>
      <c r="BF5532" s="227"/>
    </row>
    <row r="5533">
      <c r="A5533" s="227"/>
      <c r="B5533" s="348"/>
      <c r="C5533" s="227"/>
      <c r="D5533" s="227"/>
      <c r="E5533" s="231"/>
      <c r="F5533" s="348"/>
      <c r="G5533" s="227"/>
      <c r="H5533" s="227"/>
      <c r="I5533" s="227"/>
      <c r="J5533" s="227"/>
      <c r="K5533" s="227"/>
      <c r="L5533" s="348"/>
      <c r="M5533" s="348"/>
      <c r="N5533" s="227"/>
      <c r="O5533" s="227"/>
      <c r="P5533" s="231"/>
      <c r="Q5533" s="231"/>
      <c r="R5533" s="227"/>
      <c r="S5533" s="231"/>
      <c r="T5533" s="231"/>
      <c r="U5533" s="231"/>
      <c r="V5533" s="231"/>
      <c r="W5533" s="231"/>
      <c r="X5533" s="227"/>
      <c r="Y5533" s="348"/>
      <c r="Z5533" s="348"/>
      <c r="AA5533" s="348"/>
      <c r="AB5533" s="348"/>
      <c r="AC5533" s="227"/>
      <c r="AD5533" s="227"/>
      <c r="AE5533" s="231"/>
      <c r="AF5533" s="227"/>
      <c r="AG5533" s="348"/>
      <c r="AH5533" s="348"/>
      <c r="AI5533" s="348"/>
      <c r="AJ5533" s="348"/>
      <c r="AK5533" s="348"/>
      <c r="AL5533" s="348"/>
      <c r="AM5533" s="348"/>
      <c r="AN5533" s="348"/>
      <c r="AO5533" s="231"/>
      <c r="AP5533" s="231"/>
      <c r="AQ5533" s="227"/>
      <c r="AR5533" s="231"/>
      <c r="AS5533" s="227"/>
      <c r="AT5533" s="227"/>
      <c r="AU5533" s="227"/>
      <c r="AV5533" s="227"/>
      <c r="AW5533" s="227"/>
      <c r="AX5533" s="227"/>
      <c r="AY5533" s="227"/>
      <c r="AZ5533" s="227"/>
      <c r="BA5533" s="227"/>
      <c r="BB5533" s="227"/>
      <c r="BC5533" s="227"/>
      <c r="BD5533" s="227"/>
      <c r="BE5533" s="227"/>
      <c r="BF5533" s="227"/>
    </row>
    <row r="5534">
      <c r="A5534" s="227"/>
      <c r="B5534" s="348"/>
      <c r="C5534" s="227"/>
      <c r="D5534" s="227"/>
      <c r="E5534" s="231"/>
      <c r="F5534" s="348"/>
      <c r="G5534" s="227"/>
      <c r="H5534" s="227"/>
      <c r="I5534" s="227"/>
      <c r="J5534" s="227"/>
      <c r="K5534" s="227"/>
      <c r="L5534" s="348"/>
      <c r="M5534" s="348"/>
      <c r="N5534" s="227"/>
      <c r="O5534" s="227"/>
      <c r="P5534" s="231"/>
      <c r="Q5534" s="231"/>
      <c r="R5534" s="227"/>
      <c r="S5534" s="231"/>
      <c r="T5534" s="231"/>
      <c r="U5534" s="231"/>
      <c r="V5534" s="231"/>
      <c r="W5534" s="231"/>
      <c r="X5534" s="227"/>
      <c r="Y5534" s="348"/>
      <c r="Z5534" s="348"/>
      <c r="AA5534" s="348"/>
      <c r="AB5534" s="348"/>
      <c r="AC5534" s="227"/>
      <c r="AD5534" s="227"/>
      <c r="AE5534" s="231"/>
      <c r="AF5534" s="227"/>
      <c r="AG5534" s="348"/>
      <c r="AH5534" s="348"/>
      <c r="AI5534" s="348"/>
      <c r="AJ5534" s="348"/>
      <c r="AK5534" s="348"/>
      <c r="AL5534" s="348"/>
      <c r="AM5534" s="348"/>
      <c r="AN5534" s="348"/>
      <c r="AO5534" s="231"/>
      <c r="AP5534" s="231"/>
      <c r="AQ5534" s="227"/>
      <c r="AR5534" s="231"/>
      <c r="AS5534" s="227"/>
      <c r="AT5534" s="227"/>
      <c r="AU5534" s="227"/>
      <c r="AV5534" s="227"/>
      <c r="AW5534" s="227"/>
      <c r="AX5534" s="227"/>
      <c r="AY5534" s="227"/>
      <c r="AZ5534" s="227"/>
      <c r="BA5534" s="227"/>
      <c r="BB5534" s="227"/>
      <c r="BC5534" s="227"/>
      <c r="BD5534" s="227"/>
      <c r="BE5534" s="227"/>
      <c r="BF5534" s="227"/>
    </row>
    <row r="5535">
      <c r="A5535" s="227"/>
      <c r="B5535" s="348"/>
      <c r="C5535" s="227"/>
      <c r="D5535" s="227"/>
      <c r="E5535" s="231"/>
      <c r="F5535" s="348"/>
      <c r="G5535" s="227"/>
      <c r="H5535" s="227"/>
      <c r="I5535" s="227"/>
      <c r="J5535" s="227"/>
      <c r="K5535" s="227"/>
      <c r="L5535" s="348"/>
      <c r="M5535" s="348"/>
      <c r="N5535" s="227"/>
      <c r="O5535" s="227"/>
      <c r="P5535" s="231"/>
      <c r="Q5535" s="231"/>
      <c r="R5535" s="227"/>
      <c r="S5535" s="231"/>
      <c r="T5535" s="231"/>
      <c r="U5535" s="231"/>
      <c r="V5535" s="231"/>
      <c r="W5535" s="231"/>
      <c r="X5535" s="227"/>
      <c r="Y5535" s="348"/>
      <c r="Z5535" s="348"/>
      <c r="AA5535" s="348"/>
      <c r="AB5535" s="348"/>
      <c r="AC5535" s="227"/>
      <c r="AD5535" s="227"/>
      <c r="AE5535" s="231"/>
      <c r="AF5535" s="227"/>
      <c r="AG5535" s="348"/>
      <c r="AH5535" s="348"/>
      <c r="AI5535" s="348"/>
      <c r="AJ5535" s="348"/>
      <c r="AK5535" s="348"/>
      <c r="AL5535" s="348"/>
      <c r="AM5535" s="348"/>
      <c r="AN5535" s="348"/>
      <c r="AO5535" s="231"/>
      <c r="AP5535" s="231"/>
      <c r="AQ5535" s="227"/>
      <c r="AR5535" s="231"/>
      <c r="AS5535" s="227"/>
      <c r="AT5535" s="227"/>
      <c r="AU5535" s="227"/>
      <c r="AV5535" s="227"/>
      <c r="AW5535" s="227"/>
      <c r="AX5535" s="227"/>
      <c r="AY5535" s="227"/>
      <c r="AZ5535" s="227"/>
      <c r="BA5535" s="227"/>
      <c r="BB5535" s="227"/>
      <c r="BC5535" s="227"/>
      <c r="BD5535" s="227"/>
      <c r="BE5535" s="227"/>
      <c r="BF5535" s="227"/>
    </row>
    <row r="5536">
      <c r="A5536" s="227"/>
      <c r="B5536" s="348"/>
      <c r="C5536" s="227"/>
      <c r="D5536" s="227"/>
      <c r="E5536" s="231"/>
      <c r="F5536" s="348"/>
      <c r="G5536" s="227"/>
      <c r="H5536" s="227"/>
      <c r="I5536" s="227"/>
      <c r="J5536" s="227"/>
      <c r="K5536" s="227"/>
      <c r="L5536" s="348"/>
      <c r="M5536" s="348"/>
      <c r="N5536" s="227"/>
      <c r="O5536" s="227"/>
      <c r="P5536" s="231"/>
      <c r="Q5536" s="231"/>
      <c r="R5536" s="227"/>
      <c r="S5536" s="231"/>
      <c r="T5536" s="231"/>
      <c r="U5536" s="231"/>
      <c r="V5536" s="231"/>
      <c r="W5536" s="231"/>
      <c r="X5536" s="227"/>
      <c r="Y5536" s="348"/>
      <c r="Z5536" s="348"/>
      <c r="AA5536" s="348"/>
      <c r="AB5536" s="348"/>
      <c r="AC5536" s="227"/>
      <c r="AD5536" s="227"/>
      <c r="AE5536" s="231"/>
      <c r="AF5536" s="227"/>
      <c r="AG5536" s="348"/>
      <c r="AH5536" s="348"/>
      <c r="AI5536" s="348"/>
      <c r="AJ5536" s="348"/>
      <c r="AK5536" s="348"/>
      <c r="AL5536" s="348"/>
      <c r="AM5536" s="348"/>
      <c r="AN5536" s="348"/>
      <c r="AO5536" s="231"/>
      <c r="AP5536" s="231"/>
      <c r="AQ5536" s="227"/>
      <c r="AR5536" s="231"/>
      <c r="AS5536" s="227"/>
      <c r="AT5536" s="227"/>
      <c r="AU5536" s="227"/>
      <c r="AV5536" s="227"/>
      <c r="AW5536" s="227"/>
      <c r="AX5536" s="227"/>
      <c r="AY5536" s="227"/>
      <c r="AZ5536" s="227"/>
      <c r="BA5536" s="227"/>
      <c r="BB5536" s="227"/>
      <c r="BC5536" s="227"/>
      <c r="BD5536" s="227"/>
      <c r="BE5536" s="227"/>
      <c r="BF5536" s="227"/>
    </row>
    <row r="5537">
      <c r="A5537" s="227"/>
      <c r="B5537" s="348"/>
      <c r="C5537" s="227"/>
      <c r="D5537" s="227"/>
      <c r="E5537" s="231"/>
      <c r="F5537" s="348"/>
      <c r="G5537" s="227"/>
      <c r="H5537" s="227"/>
      <c r="I5537" s="227"/>
      <c r="J5537" s="227"/>
      <c r="K5537" s="227"/>
      <c r="L5537" s="348"/>
      <c r="M5537" s="348"/>
      <c r="N5537" s="227"/>
      <c r="O5537" s="227"/>
      <c r="P5537" s="231"/>
      <c r="Q5537" s="231"/>
      <c r="R5537" s="227"/>
      <c r="S5537" s="231"/>
      <c r="T5537" s="231"/>
      <c r="U5537" s="231"/>
      <c r="V5537" s="231"/>
      <c r="W5537" s="231"/>
      <c r="X5537" s="227"/>
      <c r="Y5537" s="348"/>
      <c r="Z5537" s="348"/>
      <c r="AA5537" s="348"/>
      <c r="AB5537" s="348"/>
      <c r="AC5537" s="227"/>
      <c r="AD5537" s="227"/>
      <c r="AE5537" s="231"/>
      <c r="AF5537" s="227"/>
      <c r="AG5537" s="348"/>
      <c r="AH5537" s="348"/>
      <c r="AI5537" s="348"/>
      <c r="AJ5537" s="348"/>
      <c r="AK5537" s="348"/>
      <c r="AL5537" s="348"/>
      <c r="AM5537" s="348"/>
      <c r="AN5537" s="348"/>
      <c r="AO5537" s="231"/>
      <c r="AP5537" s="231"/>
      <c r="AQ5537" s="227"/>
      <c r="AR5537" s="231"/>
      <c r="AS5537" s="227"/>
      <c r="AT5537" s="227"/>
      <c r="AU5537" s="227"/>
      <c r="AV5537" s="227"/>
      <c r="AW5537" s="227"/>
      <c r="AX5537" s="227"/>
      <c r="AY5537" s="227"/>
      <c r="AZ5537" s="227"/>
      <c r="BA5537" s="227"/>
      <c r="BB5537" s="227"/>
      <c r="BC5537" s="227"/>
      <c r="BD5537" s="227"/>
      <c r="BE5537" s="227"/>
      <c r="BF5537" s="227"/>
    </row>
    <row r="5538">
      <c r="A5538" s="227"/>
      <c r="B5538" s="348"/>
      <c r="C5538" s="227"/>
      <c r="D5538" s="227"/>
      <c r="E5538" s="231"/>
      <c r="F5538" s="348"/>
      <c r="G5538" s="227"/>
      <c r="H5538" s="227"/>
      <c r="I5538" s="227"/>
      <c r="J5538" s="227"/>
      <c r="K5538" s="227"/>
      <c r="L5538" s="348"/>
      <c r="M5538" s="348"/>
      <c r="N5538" s="227"/>
      <c r="O5538" s="227"/>
      <c r="P5538" s="231"/>
      <c r="Q5538" s="231"/>
      <c r="R5538" s="227"/>
      <c r="S5538" s="231"/>
      <c r="T5538" s="231"/>
      <c r="U5538" s="231"/>
      <c r="V5538" s="231"/>
      <c r="W5538" s="231"/>
      <c r="X5538" s="227"/>
      <c r="Y5538" s="348"/>
      <c r="Z5538" s="348"/>
      <c r="AA5538" s="348"/>
      <c r="AB5538" s="348"/>
      <c r="AC5538" s="227"/>
      <c r="AD5538" s="227"/>
      <c r="AE5538" s="231"/>
      <c r="AF5538" s="227"/>
      <c r="AG5538" s="348"/>
      <c r="AH5538" s="348"/>
      <c r="AI5538" s="348"/>
      <c r="AJ5538" s="348"/>
      <c r="AK5538" s="348"/>
      <c r="AL5538" s="348"/>
      <c r="AM5538" s="348"/>
      <c r="AN5538" s="348"/>
      <c r="AO5538" s="231"/>
      <c r="AP5538" s="231"/>
      <c r="AQ5538" s="227"/>
      <c r="AR5538" s="231"/>
      <c r="AS5538" s="227"/>
      <c r="AT5538" s="227"/>
      <c r="AU5538" s="227"/>
      <c r="AV5538" s="227"/>
      <c r="AW5538" s="227"/>
      <c r="AX5538" s="227"/>
      <c r="AY5538" s="227"/>
      <c r="AZ5538" s="227"/>
      <c r="BA5538" s="227"/>
      <c r="BB5538" s="227"/>
      <c r="BC5538" s="227"/>
      <c r="BD5538" s="227"/>
      <c r="BE5538" s="227"/>
      <c r="BF5538" s="227"/>
    </row>
    <row r="5539">
      <c r="A5539" s="227"/>
      <c r="B5539" s="348"/>
      <c r="C5539" s="227"/>
      <c r="D5539" s="227"/>
      <c r="E5539" s="231"/>
      <c r="F5539" s="348"/>
      <c r="G5539" s="227"/>
      <c r="H5539" s="227"/>
      <c r="I5539" s="227"/>
      <c r="J5539" s="227"/>
      <c r="K5539" s="227"/>
      <c r="L5539" s="348"/>
      <c r="M5539" s="348"/>
      <c r="N5539" s="227"/>
      <c r="O5539" s="227"/>
      <c r="P5539" s="231"/>
      <c r="Q5539" s="231"/>
      <c r="R5539" s="227"/>
      <c r="S5539" s="231"/>
      <c r="T5539" s="231"/>
      <c r="U5539" s="231"/>
      <c r="V5539" s="231"/>
      <c r="W5539" s="231"/>
      <c r="X5539" s="227"/>
      <c r="Y5539" s="348"/>
      <c r="Z5539" s="348"/>
      <c r="AA5539" s="348"/>
      <c r="AB5539" s="348"/>
      <c r="AC5539" s="227"/>
      <c r="AD5539" s="227"/>
      <c r="AE5539" s="231"/>
      <c r="AF5539" s="227"/>
      <c r="AG5539" s="348"/>
      <c r="AH5539" s="348"/>
      <c r="AI5539" s="348"/>
      <c r="AJ5539" s="348"/>
      <c r="AK5539" s="348"/>
      <c r="AL5539" s="348"/>
      <c r="AM5539" s="348"/>
      <c r="AN5539" s="348"/>
      <c r="AO5539" s="231"/>
      <c r="AP5539" s="231"/>
      <c r="AQ5539" s="227"/>
      <c r="AR5539" s="231"/>
      <c r="AS5539" s="227"/>
      <c r="AT5539" s="227"/>
      <c r="AU5539" s="227"/>
      <c r="AV5539" s="227"/>
      <c r="AW5539" s="227"/>
      <c r="AX5539" s="227"/>
      <c r="AY5539" s="227"/>
      <c r="AZ5539" s="227"/>
      <c r="BA5539" s="227"/>
      <c r="BB5539" s="227"/>
      <c r="BC5539" s="227"/>
      <c r="BD5539" s="227"/>
      <c r="BE5539" s="227"/>
      <c r="BF5539" s="227"/>
    </row>
    <row r="5540">
      <c r="A5540" s="227"/>
      <c r="B5540" s="348"/>
      <c r="C5540" s="227"/>
      <c r="D5540" s="227"/>
      <c r="E5540" s="231"/>
      <c r="F5540" s="348"/>
      <c r="G5540" s="227"/>
      <c r="H5540" s="227"/>
      <c r="I5540" s="227"/>
      <c r="J5540" s="227"/>
      <c r="K5540" s="227"/>
      <c r="L5540" s="348"/>
      <c r="M5540" s="348"/>
      <c r="N5540" s="227"/>
      <c r="O5540" s="227"/>
      <c r="P5540" s="231"/>
      <c r="Q5540" s="231"/>
      <c r="R5540" s="227"/>
      <c r="S5540" s="231"/>
      <c r="T5540" s="231"/>
      <c r="U5540" s="231"/>
      <c r="V5540" s="231"/>
      <c r="W5540" s="231"/>
      <c r="X5540" s="227"/>
      <c r="Y5540" s="348"/>
      <c r="Z5540" s="348"/>
      <c r="AA5540" s="348"/>
      <c r="AB5540" s="348"/>
      <c r="AC5540" s="227"/>
      <c r="AD5540" s="227"/>
      <c r="AE5540" s="231"/>
      <c r="AF5540" s="227"/>
      <c r="AG5540" s="348"/>
      <c r="AH5540" s="348"/>
      <c r="AI5540" s="348"/>
      <c r="AJ5540" s="348"/>
      <c r="AK5540" s="348"/>
      <c r="AL5540" s="348"/>
      <c r="AM5540" s="348"/>
      <c r="AN5540" s="348"/>
      <c r="AO5540" s="231"/>
      <c r="AP5540" s="231"/>
      <c r="AQ5540" s="227"/>
      <c r="AR5540" s="231"/>
      <c r="AS5540" s="227"/>
      <c r="AT5540" s="227"/>
      <c r="AU5540" s="227"/>
      <c r="AV5540" s="227"/>
      <c r="AW5540" s="227"/>
      <c r="AX5540" s="227"/>
      <c r="AY5540" s="227"/>
      <c r="AZ5540" s="227"/>
      <c r="BA5540" s="227"/>
      <c r="BB5540" s="227"/>
      <c r="BC5540" s="227"/>
      <c r="BD5540" s="227"/>
      <c r="BE5540" s="227"/>
      <c r="BF5540" s="227"/>
    </row>
    <row r="5541">
      <c r="A5541" s="227"/>
      <c r="B5541" s="348"/>
      <c r="C5541" s="227"/>
      <c r="D5541" s="227"/>
      <c r="E5541" s="231"/>
      <c r="F5541" s="348"/>
      <c r="G5541" s="227"/>
      <c r="H5541" s="227"/>
      <c r="I5541" s="227"/>
      <c r="J5541" s="227"/>
      <c r="K5541" s="227"/>
      <c r="L5541" s="348"/>
      <c r="M5541" s="348"/>
      <c r="N5541" s="227"/>
      <c r="O5541" s="227"/>
      <c r="P5541" s="231"/>
      <c r="Q5541" s="231"/>
      <c r="R5541" s="227"/>
      <c r="S5541" s="231"/>
      <c r="T5541" s="231"/>
      <c r="U5541" s="231"/>
      <c r="V5541" s="231"/>
      <c r="W5541" s="231"/>
      <c r="X5541" s="227"/>
      <c r="Y5541" s="348"/>
      <c r="Z5541" s="348"/>
      <c r="AA5541" s="348"/>
      <c r="AB5541" s="348"/>
      <c r="AC5541" s="227"/>
      <c r="AD5541" s="227"/>
      <c r="AE5541" s="231"/>
      <c r="AF5541" s="227"/>
      <c r="AG5541" s="348"/>
      <c r="AH5541" s="348"/>
      <c r="AI5541" s="348"/>
      <c r="AJ5541" s="348"/>
      <c r="AK5541" s="348"/>
      <c r="AL5541" s="348"/>
      <c r="AM5541" s="348"/>
      <c r="AN5541" s="348"/>
      <c r="AO5541" s="231"/>
      <c r="AP5541" s="231"/>
      <c r="AQ5541" s="227"/>
      <c r="AR5541" s="231"/>
      <c r="AS5541" s="227"/>
      <c r="AT5541" s="227"/>
      <c r="AU5541" s="227"/>
      <c r="AV5541" s="227"/>
      <c r="AW5541" s="227"/>
      <c r="AX5541" s="227"/>
      <c r="AY5541" s="227"/>
      <c r="AZ5541" s="227"/>
      <c r="BA5541" s="227"/>
      <c r="BB5541" s="227"/>
      <c r="BC5541" s="227"/>
      <c r="BD5541" s="227"/>
      <c r="BE5541" s="227"/>
      <c r="BF5541" s="227"/>
    </row>
    <row r="5542">
      <c r="A5542" s="227"/>
      <c r="B5542" s="348"/>
      <c r="C5542" s="227"/>
      <c r="D5542" s="227"/>
      <c r="E5542" s="231"/>
      <c r="F5542" s="348"/>
      <c r="G5542" s="227"/>
      <c r="H5542" s="227"/>
      <c r="I5542" s="227"/>
      <c r="J5542" s="227"/>
      <c r="K5542" s="227"/>
      <c r="L5542" s="348"/>
      <c r="M5542" s="348"/>
      <c r="N5542" s="227"/>
      <c r="O5542" s="227"/>
      <c r="P5542" s="231"/>
      <c r="Q5542" s="231"/>
      <c r="R5542" s="227"/>
      <c r="S5542" s="231"/>
      <c r="T5542" s="231"/>
      <c r="U5542" s="231"/>
      <c r="V5542" s="231"/>
      <c r="W5542" s="231"/>
      <c r="X5542" s="227"/>
      <c r="Y5542" s="348"/>
      <c r="Z5542" s="348"/>
      <c r="AA5542" s="348"/>
      <c r="AB5542" s="348"/>
      <c r="AC5542" s="227"/>
      <c r="AD5542" s="227"/>
      <c r="AE5542" s="231"/>
      <c r="AF5542" s="227"/>
      <c r="AG5542" s="348"/>
      <c r="AH5542" s="348"/>
      <c r="AI5542" s="348"/>
      <c r="AJ5542" s="348"/>
      <c r="AK5542" s="348"/>
      <c r="AL5542" s="348"/>
      <c r="AM5542" s="348"/>
      <c r="AN5542" s="348"/>
      <c r="AO5542" s="231"/>
      <c r="AP5542" s="231"/>
      <c r="AQ5542" s="227"/>
      <c r="AR5542" s="231"/>
      <c r="AS5542" s="227"/>
      <c r="AT5542" s="227"/>
      <c r="AU5542" s="227"/>
      <c r="AV5542" s="227"/>
      <c r="AW5542" s="227"/>
      <c r="AX5542" s="227"/>
      <c r="AY5542" s="227"/>
      <c r="AZ5542" s="227"/>
      <c r="BA5542" s="227"/>
      <c r="BB5542" s="227"/>
      <c r="BC5542" s="227"/>
      <c r="BD5542" s="227"/>
      <c r="BE5542" s="227"/>
      <c r="BF5542" s="227"/>
    </row>
    <row r="5543">
      <c r="A5543" s="227"/>
      <c r="B5543" s="348"/>
      <c r="C5543" s="227"/>
      <c r="D5543" s="227"/>
      <c r="E5543" s="231"/>
      <c r="F5543" s="348"/>
      <c r="G5543" s="227"/>
      <c r="H5543" s="227"/>
      <c r="I5543" s="227"/>
      <c r="J5543" s="227"/>
      <c r="K5543" s="227"/>
      <c r="L5543" s="348"/>
      <c r="M5543" s="348"/>
      <c r="N5543" s="227"/>
      <c r="O5543" s="227"/>
      <c r="P5543" s="231"/>
      <c r="Q5543" s="231"/>
      <c r="R5543" s="227"/>
      <c r="S5543" s="231"/>
      <c r="T5543" s="231"/>
      <c r="U5543" s="231"/>
      <c r="V5543" s="231"/>
      <c r="W5543" s="231"/>
      <c r="X5543" s="227"/>
      <c r="Y5543" s="348"/>
      <c r="Z5543" s="348"/>
      <c r="AA5543" s="348"/>
      <c r="AB5543" s="348"/>
      <c r="AC5543" s="227"/>
      <c r="AD5543" s="227"/>
      <c r="AE5543" s="231"/>
      <c r="AF5543" s="227"/>
      <c r="AG5543" s="348"/>
      <c r="AH5543" s="348"/>
      <c r="AI5543" s="348"/>
      <c r="AJ5543" s="348"/>
      <c r="AK5543" s="348"/>
      <c r="AL5543" s="348"/>
      <c r="AM5543" s="348"/>
      <c r="AN5543" s="348"/>
      <c r="AO5543" s="231"/>
      <c r="AP5543" s="231"/>
      <c r="AQ5543" s="227"/>
      <c r="AR5543" s="231"/>
      <c r="AS5543" s="227"/>
      <c r="AT5543" s="227"/>
      <c r="AU5543" s="227"/>
      <c r="AV5543" s="227"/>
      <c r="AW5543" s="227"/>
      <c r="AX5543" s="227"/>
      <c r="AY5543" s="227"/>
      <c r="AZ5543" s="227"/>
      <c r="BA5543" s="227"/>
      <c r="BB5543" s="227"/>
      <c r="BC5543" s="227"/>
      <c r="BD5543" s="227"/>
      <c r="BE5543" s="227"/>
      <c r="BF5543" s="227"/>
    </row>
    <row r="5544">
      <c r="A5544" s="227"/>
      <c r="B5544" s="348"/>
      <c r="C5544" s="227"/>
      <c r="D5544" s="227"/>
      <c r="E5544" s="231"/>
      <c r="F5544" s="348"/>
      <c r="G5544" s="227"/>
      <c r="H5544" s="227"/>
      <c r="I5544" s="227"/>
      <c r="J5544" s="227"/>
      <c r="K5544" s="227"/>
      <c r="L5544" s="348"/>
      <c r="M5544" s="348"/>
      <c r="N5544" s="227"/>
      <c r="O5544" s="227"/>
      <c r="P5544" s="231"/>
      <c r="Q5544" s="231"/>
      <c r="R5544" s="227"/>
      <c r="S5544" s="231"/>
      <c r="T5544" s="231"/>
      <c r="U5544" s="231"/>
      <c r="V5544" s="231"/>
      <c r="W5544" s="231"/>
      <c r="X5544" s="227"/>
      <c r="Y5544" s="348"/>
      <c r="Z5544" s="348"/>
      <c r="AA5544" s="348"/>
      <c r="AB5544" s="348"/>
      <c r="AC5544" s="227"/>
      <c r="AD5544" s="227"/>
      <c r="AE5544" s="231"/>
      <c r="AF5544" s="227"/>
      <c r="AG5544" s="348"/>
      <c r="AH5544" s="348"/>
      <c r="AI5544" s="348"/>
      <c r="AJ5544" s="348"/>
      <c r="AK5544" s="348"/>
      <c r="AL5544" s="348"/>
      <c r="AM5544" s="348"/>
      <c r="AN5544" s="348"/>
      <c r="AO5544" s="231"/>
      <c r="AP5544" s="231"/>
      <c r="AQ5544" s="227"/>
      <c r="AR5544" s="231"/>
      <c r="AS5544" s="227"/>
      <c r="AT5544" s="227"/>
      <c r="AU5544" s="227"/>
      <c r="AV5544" s="227"/>
      <c r="AW5544" s="227"/>
      <c r="AX5544" s="227"/>
      <c r="AY5544" s="227"/>
      <c r="AZ5544" s="227"/>
      <c r="BA5544" s="227"/>
      <c r="BB5544" s="227"/>
      <c r="BC5544" s="227"/>
      <c r="BD5544" s="227"/>
      <c r="BE5544" s="227"/>
      <c r="BF5544" s="227"/>
    </row>
    <row r="5545">
      <c r="A5545" s="227"/>
      <c r="B5545" s="348"/>
      <c r="C5545" s="227"/>
      <c r="D5545" s="227"/>
      <c r="E5545" s="231"/>
      <c r="F5545" s="348"/>
      <c r="G5545" s="227"/>
      <c r="H5545" s="227"/>
      <c r="I5545" s="227"/>
      <c r="J5545" s="227"/>
      <c r="K5545" s="227"/>
      <c r="L5545" s="348"/>
      <c r="M5545" s="348"/>
      <c r="N5545" s="227"/>
      <c r="O5545" s="227"/>
      <c r="P5545" s="231"/>
      <c r="Q5545" s="231"/>
      <c r="R5545" s="227"/>
      <c r="S5545" s="231"/>
      <c r="T5545" s="231"/>
      <c r="U5545" s="231"/>
      <c r="V5545" s="231"/>
      <c r="W5545" s="231"/>
      <c r="X5545" s="227"/>
      <c r="Y5545" s="348"/>
      <c r="Z5545" s="348"/>
      <c r="AA5545" s="348"/>
      <c r="AB5545" s="348"/>
      <c r="AC5545" s="227"/>
      <c r="AD5545" s="227"/>
      <c r="AE5545" s="231"/>
      <c r="AF5545" s="227"/>
      <c r="AG5545" s="348"/>
      <c r="AH5545" s="348"/>
      <c r="AI5545" s="348"/>
      <c r="AJ5545" s="348"/>
      <c r="AK5545" s="348"/>
      <c r="AL5545" s="348"/>
      <c r="AM5545" s="348"/>
      <c r="AN5545" s="348"/>
      <c r="AO5545" s="231"/>
      <c r="AP5545" s="231"/>
      <c r="AQ5545" s="227"/>
      <c r="AR5545" s="231"/>
      <c r="AS5545" s="227"/>
      <c r="AT5545" s="227"/>
      <c r="AU5545" s="227"/>
      <c r="AV5545" s="227"/>
      <c r="AW5545" s="227"/>
      <c r="AX5545" s="227"/>
      <c r="AY5545" s="227"/>
      <c r="AZ5545" s="227"/>
      <c r="BA5545" s="227"/>
      <c r="BB5545" s="227"/>
      <c r="BC5545" s="227"/>
      <c r="BD5545" s="227"/>
      <c r="BE5545" s="227"/>
      <c r="BF5545" s="227"/>
    </row>
    <row r="5546">
      <c r="A5546" s="227"/>
      <c r="B5546" s="348"/>
      <c r="C5546" s="227"/>
      <c r="D5546" s="227"/>
      <c r="E5546" s="231"/>
      <c r="F5546" s="348"/>
      <c r="G5546" s="227"/>
      <c r="H5546" s="227"/>
      <c r="I5546" s="227"/>
      <c r="J5546" s="227"/>
      <c r="K5546" s="227"/>
      <c r="L5546" s="348"/>
      <c r="M5546" s="348"/>
      <c r="N5546" s="227"/>
      <c r="O5546" s="227"/>
      <c r="P5546" s="231"/>
      <c r="Q5546" s="231"/>
      <c r="R5546" s="227"/>
      <c r="S5546" s="231"/>
      <c r="T5546" s="231"/>
      <c r="U5546" s="231"/>
      <c r="V5546" s="231"/>
      <c r="W5546" s="231"/>
      <c r="X5546" s="227"/>
      <c r="Y5546" s="348"/>
      <c r="Z5546" s="348"/>
      <c r="AA5546" s="348"/>
      <c r="AB5546" s="348"/>
      <c r="AC5546" s="227"/>
      <c r="AD5546" s="227"/>
      <c r="AE5546" s="231"/>
      <c r="AF5546" s="227"/>
      <c r="AG5546" s="348"/>
      <c r="AH5546" s="348"/>
      <c r="AI5546" s="348"/>
      <c r="AJ5546" s="348"/>
      <c r="AK5546" s="348"/>
      <c r="AL5546" s="348"/>
      <c r="AM5546" s="348"/>
      <c r="AN5546" s="348"/>
      <c r="AO5546" s="231"/>
      <c r="AP5546" s="231"/>
      <c r="AQ5546" s="227"/>
      <c r="AR5546" s="231"/>
      <c r="AS5546" s="227"/>
      <c r="AT5546" s="227"/>
      <c r="AU5546" s="227"/>
      <c r="AV5546" s="227"/>
      <c r="AW5546" s="227"/>
      <c r="AX5546" s="227"/>
      <c r="AY5546" s="227"/>
      <c r="AZ5546" s="227"/>
      <c r="BA5546" s="227"/>
      <c r="BB5546" s="227"/>
      <c r="BC5546" s="227"/>
      <c r="BD5546" s="227"/>
      <c r="BE5546" s="227"/>
      <c r="BF5546" s="227"/>
    </row>
    <row r="5547">
      <c r="A5547" s="227"/>
      <c r="B5547" s="348"/>
      <c r="C5547" s="227"/>
      <c r="D5547" s="227"/>
      <c r="E5547" s="231"/>
      <c r="F5547" s="348"/>
      <c r="G5547" s="227"/>
      <c r="H5547" s="227"/>
      <c r="I5547" s="227"/>
      <c r="J5547" s="227"/>
      <c r="K5547" s="227"/>
      <c r="L5547" s="348"/>
      <c r="M5547" s="348"/>
      <c r="N5547" s="227"/>
      <c r="O5547" s="227"/>
      <c r="P5547" s="231"/>
      <c r="Q5547" s="231"/>
      <c r="R5547" s="227"/>
      <c r="S5547" s="231"/>
      <c r="T5547" s="231"/>
      <c r="U5547" s="231"/>
      <c r="V5547" s="231"/>
      <c r="W5547" s="231"/>
      <c r="X5547" s="227"/>
      <c r="Y5547" s="348"/>
      <c r="Z5547" s="348"/>
      <c r="AA5547" s="348"/>
      <c r="AB5547" s="348"/>
      <c r="AC5547" s="227"/>
      <c r="AD5547" s="227"/>
      <c r="AE5547" s="231"/>
      <c r="AF5547" s="227"/>
      <c r="AG5547" s="348"/>
      <c r="AH5547" s="348"/>
      <c r="AI5547" s="348"/>
      <c r="AJ5547" s="348"/>
      <c r="AK5547" s="348"/>
      <c r="AL5547" s="348"/>
      <c r="AM5547" s="348"/>
      <c r="AN5547" s="348"/>
      <c r="AO5547" s="231"/>
      <c r="AP5547" s="231"/>
      <c r="AQ5547" s="227"/>
      <c r="AR5547" s="231"/>
      <c r="AS5547" s="227"/>
      <c r="AT5547" s="227"/>
      <c r="AU5547" s="227"/>
      <c r="AV5547" s="227"/>
      <c r="AW5547" s="227"/>
      <c r="AX5547" s="227"/>
      <c r="AY5547" s="227"/>
      <c r="AZ5547" s="227"/>
      <c r="BA5547" s="227"/>
      <c r="BB5547" s="227"/>
      <c r="BC5547" s="227"/>
      <c r="BD5547" s="227"/>
      <c r="BE5547" s="227"/>
      <c r="BF5547" s="227"/>
    </row>
    <row r="5548">
      <c r="A5548" s="227"/>
      <c r="B5548" s="348"/>
      <c r="C5548" s="227"/>
      <c r="D5548" s="227"/>
      <c r="E5548" s="231"/>
      <c r="F5548" s="348"/>
      <c r="G5548" s="227"/>
      <c r="H5548" s="227"/>
      <c r="I5548" s="227"/>
      <c r="J5548" s="227"/>
      <c r="K5548" s="227"/>
      <c r="L5548" s="348"/>
      <c r="M5548" s="348"/>
      <c r="N5548" s="227"/>
      <c r="O5548" s="227"/>
      <c r="P5548" s="231"/>
      <c r="Q5548" s="231"/>
      <c r="R5548" s="227"/>
      <c r="S5548" s="231"/>
      <c r="T5548" s="231"/>
      <c r="U5548" s="231"/>
      <c r="V5548" s="231"/>
      <c r="W5548" s="231"/>
      <c r="X5548" s="227"/>
      <c r="Y5548" s="348"/>
      <c r="Z5548" s="348"/>
      <c r="AA5548" s="348"/>
      <c r="AB5548" s="348"/>
      <c r="AC5548" s="227"/>
      <c r="AD5548" s="227"/>
      <c r="AE5548" s="231"/>
      <c r="AF5548" s="227"/>
      <c r="AG5548" s="348"/>
      <c r="AH5548" s="348"/>
      <c r="AI5548" s="348"/>
      <c r="AJ5548" s="348"/>
      <c r="AK5548" s="348"/>
      <c r="AL5548" s="348"/>
      <c r="AM5548" s="348"/>
      <c r="AN5548" s="348"/>
      <c r="AO5548" s="231"/>
      <c r="AP5548" s="231"/>
      <c r="AQ5548" s="227"/>
      <c r="AR5548" s="231"/>
      <c r="AS5548" s="227"/>
      <c r="AT5548" s="227"/>
      <c r="AU5548" s="227"/>
      <c r="AV5548" s="227"/>
      <c r="AW5548" s="227"/>
      <c r="AX5548" s="227"/>
      <c r="AY5548" s="227"/>
      <c r="AZ5548" s="227"/>
      <c r="BA5548" s="227"/>
      <c r="BB5548" s="227"/>
      <c r="BC5548" s="227"/>
      <c r="BD5548" s="227"/>
      <c r="BE5548" s="227"/>
      <c r="BF5548" s="227"/>
    </row>
    <row r="5549">
      <c r="A5549" s="227"/>
      <c r="B5549" s="348"/>
      <c r="C5549" s="227"/>
      <c r="D5549" s="227"/>
      <c r="E5549" s="231"/>
      <c r="F5549" s="348"/>
      <c r="G5549" s="227"/>
      <c r="H5549" s="227"/>
      <c r="I5549" s="227"/>
      <c r="J5549" s="227"/>
      <c r="K5549" s="227"/>
      <c r="L5549" s="348"/>
      <c r="M5549" s="348"/>
      <c r="N5549" s="227"/>
      <c r="O5549" s="227"/>
      <c r="P5549" s="231"/>
      <c r="Q5549" s="231"/>
      <c r="R5549" s="227"/>
      <c r="S5549" s="231"/>
      <c r="T5549" s="231"/>
      <c r="U5549" s="231"/>
      <c r="V5549" s="231"/>
      <c r="W5549" s="231"/>
      <c r="X5549" s="227"/>
      <c r="Y5549" s="348"/>
      <c r="Z5549" s="348"/>
      <c r="AA5549" s="348"/>
      <c r="AB5549" s="348"/>
      <c r="AC5549" s="227"/>
      <c r="AD5549" s="227"/>
      <c r="AE5549" s="231"/>
      <c r="AF5549" s="227"/>
      <c r="AG5549" s="348"/>
      <c r="AH5549" s="348"/>
      <c r="AI5549" s="348"/>
      <c r="AJ5549" s="348"/>
      <c r="AK5549" s="348"/>
      <c r="AL5549" s="348"/>
      <c r="AM5549" s="348"/>
      <c r="AN5549" s="348"/>
      <c r="AO5549" s="231"/>
      <c r="AP5549" s="231"/>
      <c r="AQ5549" s="227"/>
      <c r="AR5549" s="231"/>
      <c r="AS5549" s="227"/>
      <c r="AT5549" s="227"/>
      <c r="AU5549" s="227"/>
      <c r="AV5549" s="227"/>
      <c r="AW5549" s="227"/>
      <c r="AX5549" s="227"/>
      <c r="AY5549" s="227"/>
      <c r="AZ5549" s="227"/>
      <c r="BA5549" s="227"/>
      <c r="BB5549" s="227"/>
      <c r="BC5549" s="227"/>
      <c r="BD5549" s="227"/>
      <c r="BE5549" s="227"/>
      <c r="BF5549" s="227"/>
    </row>
    <row r="5550">
      <c r="A5550" s="227"/>
      <c r="B5550" s="348"/>
      <c r="C5550" s="227"/>
      <c r="D5550" s="227"/>
      <c r="E5550" s="231"/>
      <c r="F5550" s="348"/>
      <c r="G5550" s="227"/>
      <c r="H5550" s="227"/>
      <c r="I5550" s="227"/>
      <c r="J5550" s="227"/>
      <c r="K5550" s="227"/>
      <c r="L5550" s="348"/>
      <c r="M5550" s="348"/>
      <c r="N5550" s="227"/>
      <c r="O5550" s="227"/>
      <c r="P5550" s="231"/>
      <c r="Q5550" s="231"/>
      <c r="R5550" s="227"/>
      <c r="S5550" s="231"/>
      <c r="T5550" s="231"/>
      <c r="U5550" s="231"/>
      <c r="V5550" s="231"/>
      <c r="W5550" s="231"/>
      <c r="X5550" s="227"/>
      <c r="Y5550" s="348"/>
      <c r="Z5550" s="348"/>
      <c r="AA5550" s="348"/>
      <c r="AB5550" s="348"/>
      <c r="AC5550" s="227"/>
      <c r="AD5550" s="227"/>
      <c r="AE5550" s="231"/>
      <c r="AF5550" s="227"/>
      <c r="AG5550" s="348"/>
      <c r="AH5550" s="348"/>
      <c r="AI5550" s="348"/>
      <c r="AJ5550" s="348"/>
      <c r="AK5550" s="348"/>
      <c r="AL5550" s="348"/>
      <c r="AM5550" s="348"/>
      <c r="AN5550" s="348"/>
      <c r="AO5550" s="231"/>
      <c r="AP5550" s="231"/>
      <c r="AQ5550" s="227"/>
      <c r="AR5550" s="231"/>
      <c r="AS5550" s="227"/>
      <c r="AT5550" s="227"/>
      <c r="AU5550" s="227"/>
      <c r="AV5550" s="227"/>
      <c r="AW5550" s="227"/>
      <c r="AX5550" s="227"/>
      <c r="AY5550" s="227"/>
      <c r="AZ5550" s="227"/>
      <c r="BA5550" s="227"/>
      <c r="BB5550" s="227"/>
      <c r="BC5550" s="227"/>
      <c r="BD5550" s="227"/>
      <c r="BE5550" s="227"/>
      <c r="BF5550" s="227"/>
    </row>
    <row r="5551">
      <c r="A5551" s="227"/>
      <c r="B5551" s="348"/>
      <c r="C5551" s="227"/>
      <c r="D5551" s="227"/>
      <c r="E5551" s="231"/>
      <c r="F5551" s="348"/>
      <c r="G5551" s="227"/>
      <c r="H5551" s="227"/>
      <c r="I5551" s="227"/>
      <c r="J5551" s="227"/>
      <c r="K5551" s="227"/>
      <c r="L5551" s="348"/>
      <c r="M5551" s="348"/>
      <c r="N5551" s="227"/>
      <c r="O5551" s="227"/>
      <c r="P5551" s="231"/>
      <c r="Q5551" s="231"/>
      <c r="R5551" s="227"/>
      <c r="S5551" s="231"/>
      <c r="T5551" s="231"/>
      <c r="U5551" s="231"/>
      <c r="V5551" s="231"/>
      <c r="W5551" s="231"/>
      <c r="X5551" s="227"/>
      <c r="Y5551" s="348"/>
      <c r="Z5551" s="348"/>
      <c r="AA5551" s="348"/>
      <c r="AB5551" s="348"/>
      <c r="AC5551" s="227"/>
      <c r="AD5551" s="227"/>
      <c r="AE5551" s="231"/>
      <c r="AF5551" s="227"/>
      <c r="AG5551" s="348"/>
      <c r="AH5551" s="348"/>
      <c r="AI5551" s="348"/>
      <c r="AJ5551" s="348"/>
      <c r="AK5551" s="348"/>
      <c r="AL5551" s="348"/>
      <c r="AM5551" s="348"/>
      <c r="AN5551" s="348"/>
      <c r="AO5551" s="231"/>
      <c r="AP5551" s="231"/>
      <c r="AQ5551" s="227"/>
      <c r="AR5551" s="231"/>
      <c r="AS5551" s="227"/>
      <c r="AT5551" s="227"/>
      <c r="AU5551" s="227"/>
      <c r="AV5551" s="227"/>
      <c r="AW5551" s="227"/>
      <c r="AX5551" s="227"/>
      <c r="AY5551" s="227"/>
      <c r="AZ5551" s="227"/>
      <c r="BA5551" s="227"/>
      <c r="BB5551" s="227"/>
      <c r="BC5551" s="227"/>
      <c r="BD5551" s="227"/>
      <c r="BE5551" s="227"/>
      <c r="BF5551" s="227"/>
    </row>
    <row r="5552">
      <c r="A5552" s="227"/>
      <c r="B5552" s="348"/>
      <c r="C5552" s="227"/>
      <c r="D5552" s="227"/>
      <c r="E5552" s="231"/>
      <c r="F5552" s="348"/>
      <c r="G5552" s="227"/>
      <c r="H5552" s="227"/>
      <c r="I5552" s="227"/>
      <c r="J5552" s="227"/>
      <c r="K5552" s="227"/>
      <c r="L5552" s="348"/>
      <c r="M5552" s="348"/>
      <c r="N5552" s="227"/>
      <c r="O5552" s="227"/>
      <c r="P5552" s="231"/>
      <c r="Q5552" s="231"/>
      <c r="R5552" s="227"/>
      <c r="S5552" s="231"/>
      <c r="T5552" s="231"/>
      <c r="U5552" s="231"/>
      <c r="V5552" s="231"/>
      <c r="W5552" s="231"/>
      <c r="X5552" s="227"/>
      <c r="Y5552" s="348"/>
      <c r="Z5552" s="348"/>
      <c r="AA5552" s="348"/>
      <c r="AB5552" s="348"/>
      <c r="AC5552" s="227"/>
      <c r="AD5552" s="227"/>
      <c r="AE5552" s="231"/>
      <c r="AF5552" s="227"/>
      <c r="AG5552" s="348"/>
      <c r="AH5552" s="348"/>
      <c r="AI5552" s="348"/>
      <c r="AJ5552" s="348"/>
      <c r="AK5552" s="348"/>
      <c r="AL5552" s="348"/>
      <c r="AM5552" s="348"/>
      <c r="AN5552" s="348"/>
      <c r="AO5552" s="231"/>
      <c r="AP5552" s="231"/>
      <c r="AQ5552" s="227"/>
      <c r="AR5552" s="231"/>
      <c r="AS5552" s="227"/>
      <c r="AT5552" s="227"/>
      <c r="AU5552" s="227"/>
      <c r="AV5552" s="227"/>
      <c r="AW5552" s="227"/>
      <c r="AX5552" s="227"/>
      <c r="AY5552" s="227"/>
      <c r="AZ5552" s="227"/>
      <c r="BA5552" s="227"/>
      <c r="BB5552" s="227"/>
      <c r="BC5552" s="227"/>
      <c r="BD5552" s="227"/>
      <c r="BE5552" s="227"/>
      <c r="BF5552" s="227"/>
    </row>
    <row r="5553">
      <c r="A5553" s="227"/>
      <c r="B5553" s="348"/>
      <c r="C5553" s="227"/>
      <c r="D5553" s="227"/>
      <c r="E5553" s="231"/>
      <c r="F5553" s="348"/>
      <c r="G5553" s="227"/>
      <c r="H5553" s="227"/>
      <c r="I5553" s="227"/>
      <c r="J5553" s="227"/>
      <c r="K5553" s="227"/>
      <c r="L5553" s="348"/>
      <c r="M5553" s="348"/>
      <c r="N5553" s="227"/>
      <c r="O5553" s="227"/>
      <c r="P5553" s="231"/>
      <c r="Q5553" s="231"/>
      <c r="R5553" s="227"/>
      <c r="S5553" s="231"/>
      <c r="T5553" s="231"/>
      <c r="U5553" s="231"/>
      <c r="V5553" s="231"/>
      <c r="W5553" s="231"/>
      <c r="X5553" s="227"/>
      <c r="Y5553" s="348"/>
      <c r="Z5553" s="348"/>
      <c r="AA5553" s="348"/>
      <c r="AB5553" s="348"/>
      <c r="AC5553" s="227"/>
      <c r="AD5553" s="227"/>
      <c r="AE5553" s="231"/>
      <c r="AF5553" s="227"/>
      <c r="AG5553" s="348"/>
      <c r="AH5553" s="348"/>
      <c r="AI5553" s="348"/>
      <c r="AJ5553" s="348"/>
      <c r="AK5553" s="348"/>
      <c r="AL5553" s="348"/>
      <c r="AM5553" s="348"/>
      <c r="AN5553" s="348"/>
      <c r="AO5553" s="231"/>
      <c r="AP5553" s="231"/>
      <c r="AQ5553" s="227"/>
      <c r="AR5553" s="231"/>
      <c r="AS5553" s="227"/>
      <c r="AT5553" s="227"/>
      <c r="AU5553" s="227"/>
      <c r="AV5553" s="227"/>
      <c r="AW5553" s="227"/>
      <c r="AX5553" s="227"/>
      <c r="AY5553" s="227"/>
      <c r="AZ5553" s="227"/>
      <c r="BA5553" s="227"/>
      <c r="BB5553" s="227"/>
      <c r="BC5553" s="227"/>
      <c r="BD5553" s="227"/>
      <c r="BE5553" s="227"/>
      <c r="BF5553" s="227"/>
    </row>
    <row r="5554">
      <c r="A5554" s="227"/>
      <c r="B5554" s="348"/>
      <c r="C5554" s="227"/>
      <c r="D5554" s="227"/>
      <c r="E5554" s="231"/>
      <c r="F5554" s="348"/>
      <c r="G5554" s="227"/>
      <c r="H5554" s="227"/>
      <c r="I5554" s="227"/>
      <c r="J5554" s="227"/>
      <c r="K5554" s="227"/>
      <c r="L5554" s="348"/>
      <c r="M5554" s="348"/>
      <c r="N5554" s="227"/>
      <c r="O5554" s="227"/>
      <c r="P5554" s="231"/>
      <c r="Q5554" s="231"/>
      <c r="R5554" s="227"/>
      <c r="S5554" s="231"/>
      <c r="T5554" s="231"/>
      <c r="U5554" s="231"/>
      <c r="V5554" s="231"/>
      <c r="W5554" s="231"/>
      <c r="X5554" s="227"/>
      <c r="Y5554" s="348"/>
      <c r="Z5554" s="348"/>
      <c r="AA5554" s="348"/>
      <c r="AB5554" s="348"/>
      <c r="AC5554" s="227"/>
      <c r="AD5554" s="227"/>
      <c r="AE5554" s="231"/>
      <c r="AF5554" s="227"/>
      <c r="AG5554" s="348"/>
      <c r="AH5554" s="348"/>
      <c r="AI5554" s="348"/>
      <c r="AJ5554" s="348"/>
      <c r="AK5554" s="348"/>
      <c r="AL5554" s="348"/>
      <c r="AM5554" s="348"/>
      <c r="AN5554" s="348"/>
      <c r="AO5554" s="231"/>
      <c r="AP5554" s="231"/>
      <c r="AQ5554" s="227"/>
      <c r="AR5554" s="231"/>
      <c r="AS5554" s="227"/>
      <c r="AT5554" s="227"/>
      <c r="AU5554" s="227"/>
      <c r="AV5554" s="227"/>
      <c r="AW5554" s="227"/>
      <c r="AX5554" s="227"/>
      <c r="AY5554" s="227"/>
      <c r="AZ5554" s="227"/>
      <c r="BA5554" s="227"/>
      <c r="BB5554" s="227"/>
      <c r="BC5554" s="227"/>
      <c r="BD5554" s="227"/>
      <c r="BE5554" s="227"/>
      <c r="BF5554" s="227"/>
    </row>
    <row r="5555">
      <c r="A5555" s="227"/>
      <c r="B5555" s="348"/>
      <c r="C5555" s="227"/>
      <c r="D5555" s="227"/>
      <c r="E5555" s="231"/>
      <c r="F5555" s="348"/>
      <c r="G5555" s="227"/>
      <c r="H5555" s="227"/>
      <c r="I5555" s="227"/>
      <c r="J5555" s="227"/>
      <c r="K5555" s="227"/>
      <c r="L5555" s="348"/>
      <c r="M5555" s="348"/>
      <c r="N5555" s="227"/>
      <c r="O5555" s="227"/>
      <c r="P5555" s="231"/>
      <c r="Q5555" s="231"/>
      <c r="R5555" s="227"/>
      <c r="S5555" s="231"/>
      <c r="T5555" s="231"/>
      <c r="U5555" s="231"/>
      <c r="V5555" s="231"/>
      <c r="W5555" s="231"/>
      <c r="X5555" s="227"/>
      <c r="Y5555" s="348"/>
      <c r="Z5555" s="348"/>
      <c r="AA5555" s="348"/>
      <c r="AB5555" s="348"/>
      <c r="AC5555" s="227"/>
      <c r="AD5555" s="227"/>
      <c r="AE5555" s="231"/>
      <c r="AF5555" s="227"/>
      <c r="AG5555" s="348"/>
      <c r="AH5555" s="348"/>
      <c r="AI5555" s="348"/>
      <c r="AJ5555" s="348"/>
      <c r="AK5555" s="348"/>
      <c r="AL5555" s="348"/>
      <c r="AM5555" s="348"/>
      <c r="AN5555" s="348"/>
      <c r="AO5555" s="231"/>
      <c r="AP5555" s="231"/>
      <c r="AQ5555" s="227"/>
      <c r="AR5555" s="231"/>
      <c r="AS5555" s="227"/>
      <c r="AT5555" s="227"/>
      <c r="AU5555" s="227"/>
      <c r="AV5555" s="227"/>
      <c r="AW5555" s="227"/>
      <c r="AX5555" s="227"/>
      <c r="AY5555" s="227"/>
      <c r="AZ5555" s="227"/>
      <c r="BA5555" s="227"/>
      <c r="BB5555" s="227"/>
      <c r="BC5555" s="227"/>
      <c r="BD5555" s="227"/>
      <c r="BE5555" s="227"/>
      <c r="BF5555" s="227"/>
    </row>
    <row r="5556">
      <c r="A5556" s="227"/>
      <c r="B5556" s="348"/>
      <c r="C5556" s="227"/>
      <c r="D5556" s="227"/>
      <c r="E5556" s="231"/>
      <c r="F5556" s="348"/>
      <c r="G5556" s="227"/>
      <c r="H5556" s="227"/>
      <c r="I5556" s="227"/>
      <c r="J5556" s="227"/>
      <c r="K5556" s="227"/>
      <c r="L5556" s="348"/>
      <c r="M5556" s="348"/>
      <c r="N5556" s="227"/>
      <c r="O5556" s="227"/>
      <c r="P5556" s="231"/>
      <c r="Q5556" s="231"/>
      <c r="R5556" s="227"/>
      <c r="S5556" s="231"/>
      <c r="T5556" s="231"/>
      <c r="U5556" s="231"/>
      <c r="V5556" s="231"/>
      <c r="W5556" s="231"/>
      <c r="X5556" s="227"/>
      <c r="Y5556" s="348"/>
      <c r="Z5556" s="348"/>
      <c r="AA5556" s="348"/>
      <c r="AB5556" s="348"/>
      <c r="AC5556" s="227"/>
      <c r="AD5556" s="227"/>
      <c r="AE5556" s="231"/>
      <c r="AF5556" s="227"/>
      <c r="AG5556" s="348"/>
      <c r="AH5556" s="348"/>
      <c r="AI5556" s="348"/>
      <c r="AJ5556" s="348"/>
      <c r="AK5556" s="348"/>
      <c r="AL5556" s="348"/>
      <c r="AM5556" s="348"/>
      <c r="AN5556" s="348"/>
      <c r="AO5556" s="231"/>
      <c r="AP5556" s="231"/>
      <c r="AQ5556" s="227"/>
      <c r="AR5556" s="231"/>
      <c r="AS5556" s="227"/>
      <c r="AT5556" s="227"/>
      <c r="AU5556" s="227"/>
      <c r="AV5556" s="227"/>
      <c r="AW5556" s="227"/>
      <c r="AX5556" s="227"/>
      <c r="AY5556" s="227"/>
      <c r="AZ5556" s="227"/>
      <c r="BA5556" s="227"/>
      <c r="BB5556" s="227"/>
      <c r="BC5556" s="227"/>
      <c r="BD5556" s="227"/>
      <c r="BE5556" s="227"/>
      <c r="BF5556" s="227"/>
    </row>
    <row r="5557">
      <c r="A5557" s="227"/>
      <c r="B5557" s="348"/>
      <c r="C5557" s="227"/>
      <c r="D5557" s="227"/>
      <c r="E5557" s="231"/>
      <c r="F5557" s="348"/>
      <c r="G5557" s="227"/>
      <c r="H5557" s="227"/>
      <c r="I5557" s="227"/>
      <c r="J5557" s="227"/>
      <c r="K5557" s="227"/>
      <c r="L5557" s="348"/>
      <c r="M5557" s="348"/>
      <c r="N5557" s="227"/>
      <c r="O5557" s="227"/>
      <c r="P5557" s="231"/>
      <c r="Q5557" s="231"/>
      <c r="R5557" s="227"/>
      <c r="S5557" s="231"/>
      <c r="T5557" s="231"/>
      <c r="U5557" s="231"/>
      <c r="V5557" s="231"/>
      <c r="W5557" s="231"/>
      <c r="X5557" s="227"/>
      <c r="Y5557" s="348"/>
      <c r="Z5557" s="348"/>
      <c r="AA5557" s="348"/>
      <c r="AB5557" s="348"/>
      <c r="AC5557" s="227"/>
      <c r="AD5557" s="227"/>
      <c r="AE5557" s="231"/>
      <c r="AF5557" s="227"/>
      <c r="AG5557" s="348"/>
      <c r="AH5557" s="348"/>
      <c r="AI5557" s="348"/>
      <c r="AJ5557" s="348"/>
      <c r="AK5557" s="348"/>
      <c r="AL5557" s="348"/>
      <c r="AM5557" s="348"/>
      <c r="AN5557" s="348"/>
      <c r="AO5557" s="231"/>
      <c r="AP5557" s="231"/>
      <c r="AQ5557" s="227"/>
      <c r="AR5557" s="231"/>
      <c r="AS5557" s="227"/>
      <c r="AT5557" s="227"/>
      <c r="AU5557" s="227"/>
      <c r="AV5557" s="227"/>
      <c r="AW5557" s="227"/>
      <c r="AX5557" s="227"/>
      <c r="AY5557" s="227"/>
      <c r="AZ5557" s="227"/>
      <c r="BA5557" s="227"/>
      <c r="BB5557" s="227"/>
      <c r="BC5557" s="227"/>
      <c r="BD5557" s="227"/>
      <c r="BE5557" s="227"/>
      <c r="BF5557" s="227"/>
    </row>
    <row r="5558">
      <c r="A5558" s="227"/>
      <c r="B5558" s="348"/>
      <c r="C5558" s="227"/>
      <c r="D5558" s="227"/>
      <c r="E5558" s="231"/>
      <c r="F5558" s="348"/>
      <c r="G5558" s="227"/>
      <c r="H5558" s="227"/>
      <c r="I5558" s="227"/>
      <c r="J5558" s="227"/>
      <c r="K5558" s="227"/>
      <c r="L5558" s="348"/>
      <c r="M5558" s="348"/>
      <c r="N5558" s="227"/>
      <c r="O5558" s="227"/>
      <c r="P5558" s="231"/>
      <c r="Q5558" s="231"/>
      <c r="R5558" s="227"/>
      <c r="S5558" s="231"/>
      <c r="T5558" s="231"/>
      <c r="U5558" s="231"/>
      <c r="V5558" s="231"/>
      <c r="W5558" s="231"/>
      <c r="X5558" s="227"/>
      <c r="Y5558" s="348"/>
      <c r="Z5558" s="348"/>
      <c r="AA5558" s="348"/>
      <c r="AB5558" s="348"/>
      <c r="AC5558" s="227"/>
      <c r="AD5558" s="227"/>
      <c r="AE5558" s="231"/>
      <c r="AF5558" s="227"/>
      <c r="AG5558" s="348"/>
      <c r="AH5558" s="348"/>
      <c r="AI5558" s="348"/>
      <c r="AJ5558" s="348"/>
      <c r="AK5558" s="348"/>
      <c r="AL5558" s="348"/>
      <c r="AM5558" s="348"/>
      <c r="AN5558" s="348"/>
      <c r="AO5558" s="231"/>
      <c r="AP5558" s="231"/>
      <c r="AQ5558" s="227"/>
      <c r="AR5558" s="231"/>
      <c r="AS5558" s="227"/>
      <c r="AT5558" s="227"/>
      <c r="AU5558" s="227"/>
      <c r="AV5558" s="227"/>
      <c r="AW5558" s="227"/>
      <c r="AX5558" s="227"/>
      <c r="AY5558" s="227"/>
      <c r="AZ5558" s="227"/>
      <c r="BA5558" s="227"/>
      <c r="BB5558" s="227"/>
      <c r="BC5558" s="227"/>
      <c r="BD5558" s="227"/>
      <c r="BE5558" s="227"/>
      <c r="BF5558" s="227"/>
    </row>
    <row r="5559">
      <c r="A5559" s="227"/>
      <c r="B5559" s="348"/>
      <c r="C5559" s="227"/>
      <c r="D5559" s="227"/>
      <c r="E5559" s="231"/>
      <c r="F5559" s="348"/>
      <c r="G5559" s="227"/>
      <c r="H5559" s="227"/>
      <c r="I5559" s="227"/>
      <c r="J5559" s="227"/>
      <c r="K5559" s="227"/>
      <c r="L5559" s="348"/>
      <c r="M5559" s="348"/>
      <c r="N5559" s="227"/>
      <c r="O5559" s="227"/>
      <c r="P5559" s="231"/>
      <c r="Q5559" s="231"/>
      <c r="R5559" s="227"/>
      <c r="S5559" s="231"/>
      <c r="T5559" s="231"/>
      <c r="U5559" s="231"/>
      <c r="V5559" s="231"/>
      <c r="W5559" s="231"/>
      <c r="X5559" s="227"/>
      <c r="Y5559" s="348"/>
      <c r="Z5559" s="348"/>
      <c r="AA5559" s="348"/>
      <c r="AB5559" s="348"/>
      <c r="AC5559" s="227"/>
      <c r="AD5559" s="227"/>
      <c r="AE5559" s="231"/>
      <c r="AF5559" s="227"/>
      <c r="AG5559" s="348"/>
      <c r="AH5559" s="348"/>
      <c r="AI5559" s="348"/>
      <c r="AJ5559" s="348"/>
      <c r="AK5559" s="348"/>
      <c r="AL5559" s="348"/>
      <c r="AM5559" s="348"/>
      <c r="AN5559" s="348"/>
      <c r="AO5559" s="231"/>
      <c r="AP5559" s="231"/>
      <c r="AQ5559" s="227"/>
      <c r="AR5559" s="231"/>
      <c r="AS5559" s="227"/>
      <c r="AT5559" s="227"/>
      <c r="AU5559" s="227"/>
      <c r="AV5559" s="227"/>
      <c r="AW5559" s="227"/>
      <c r="AX5559" s="227"/>
      <c r="AY5559" s="227"/>
      <c r="AZ5559" s="227"/>
      <c r="BA5559" s="227"/>
      <c r="BB5559" s="227"/>
      <c r="BC5559" s="227"/>
      <c r="BD5559" s="227"/>
      <c r="BE5559" s="227"/>
      <c r="BF5559" s="227"/>
    </row>
    <row r="5560">
      <c r="A5560" s="227"/>
      <c r="B5560" s="348"/>
      <c r="C5560" s="227"/>
      <c r="D5560" s="227"/>
      <c r="E5560" s="231"/>
      <c r="F5560" s="348"/>
      <c r="G5560" s="227"/>
      <c r="H5560" s="227"/>
      <c r="I5560" s="227"/>
      <c r="J5560" s="227"/>
      <c r="K5560" s="227"/>
      <c r="L5560" s="348"/>
      <c r="M5560" s="348"/>
      <c r="N5560" s="227"/>
      <c r="O5560" s="227"/>
      <c r="P5560" s="231"/>
      <c r="Q5560" s="231"/>
      <c r="R5560" s="227"/>
      <c r="S5560" s="231"/>
      <c r="T5560" s="231"/>
      <c r="U5560" s="231"/>
      <c r="V5560" s="231"/>
      <c r="W5560" s="231"/>
      <c r="X5560" s="227"/>
      <c r="Y5560" s="348"/>
      <c r="Z5560" s="348"/>
      <c r="AA5560" s="348"/>
      <c r="AB5560" s="348"/>
      <c r="AC5560" s="227"/>
      <c r="AD5560" s="227"/>
      <c r="AE5560" s="231"/>
      <c r="AF5560" s="227"/>
      <c r="AG5560" s="348"/>
      <c r="AH5560" s="348"/>
      <c r="AI5560" s="348"/>
      <c r="AJ5560" s="348"/>
      <c r="AK5560" s="348"/>
      <c r="AL5560" s="348"/>
      <c r="AM5560" s="348"/>
      <c r="AN5560" s="348"/>
      <c r="AO5560" s="231"/>
      <c r="AP5560" s="231"/>
      <c r="AQ5560" s="227"/>
      <c r="AR5560" s="231"/>
      <c r="AS5560" s="227"/>
      <c r="AT5560" s="227"/>
      <c r="AU5560" s="227"/>
      <c r="AV5560" s="227"/>
      <c r="AW5560" s="227"/>
      <c r="AX5560" s="227"/>
      <c r="AY5560" s="227"/>
      <c r="AZ5560" s="227"/>
      <c r="BA5560" s="227"/>
      <c r="BB5560" s="227"/>
      <c r="BC5560" s="227"/>
      <c r="BD5560" s="227"/>
      <c r="BE5560" s="227"/>
      <c r="BF5560" s="227"/>
    </row>
    <row r="5561">
      <c r="A5561" s="227"/>
      <c r="B5561" s="348"/>
      <c r="C5561" s="227"/>
      <c r="D5561" s="227"/>
      <c r="E5561" s="231"/>
      <c r="F5561" s="348"/>
      <c r="G5561" s="227"/>
      <c r="H5561" s="227"/>
      <c r="I5561" s="227"/>
      <c r="J5561" s="227"/>
      <c r="K5561" s="227"/>
      <c r="L5561" s="348"/>
      <c r="M5561" s="348"/>
      <c r="N5561" s="227"/>
      <c r="O5561" s="227"/>
      <c r="P5561" s="231"/>
      <c r="Q5561" s="231"/>
      <c r="R5561" s="227"/>
      <c r="S5561" s="231"/>
      <c r="T5561" s="231"/>
      <c r="U5561" s="231"/>
      <c r="V5561" s="231"/>
      <c r="W5561" s="231"/>
      <c r="X5561" s="227"/>
      <c r="Y5561" s="348"/>
      <c r="Z5561" s="348"/>
      <c r="AA5561" s="348"/>
      <c r="AB5561" s="348"/>
      <c r="AC5561" s="227"/>
      <c r="AD5561" s="227"/>
      <c r="AE5561" s="231"/>
      <c r="AF5561" s="227"/>
      <c r="AG5561" s="348"/>
      <c r="AH5561" s="348"/>
      <c r="AI5561" s="348"/>
      <c r="AJ5561" s="348"/>
      <c r="AK5561" s="348"/>
      <c r="AL5561" s="348"/>
      <c r="AM5561" s="348"/>
      <c r="AN5561" s="348"/>
      <c r="AO5561" s="231"/>
      <c r="AP5561" s="231"/>
      <c r="AQ5561" s="227"/>
      <c r="AR5561" s="231"/>
      <c r="AS5561" s="227"/>
      <c r="AT5561" s="227"/>
      <c r="AU5561" s="227"/>
      <c r="AV5561" s="227"/>
      <c r="AW5561" s="227"/>
      <c r="AX5561" s="227"/>
      <c r="AY5561" s="227"/>
      <c r="AZ5561" s="227"/>
      <c r="BA5561" s="227"/>
      <c r="BB5561" s="227"/>
      <c r="BC5561" s="227"/>
      <c r="BD5561" s="227"/>
      <c r="BE5561" s="227"/>
      <c r="BF5561" s="227"/>
    </row>
    <row r="5562">
      <c r="A5562" s="227"/>
      <c r="B5562" s="348"/>
      <c r="C5562" s="227"/>
      <c r="D5562" s="227"/>
      <c r="E5562" s="231"/>
      <c r="F5562" s="348"/>
      <c r="G5562" s="227"/>
      <c r="H5562" s="227"/>
      <c r="I5562" s="227"/>
      <c r="J5562" s="227"/>
      <c r="K5562" s="227"/>
      <c r="L5562" s="348"/>
      <c r="M5562" s="348"/>
      <c r="N5562" s="227"/>
      <c r="O5562" s="227"/>
      <c r="P5562" s="231"/>
      <c r="Q5562" s="231"/>
      <c r="R5562" s="227"/>
      <c r="S5562" s="231"/>
      <c r="T5562" s="231"/>
      <c r="U5562" s="231"/>
      <c r="V5562" s="231"/>
      <c r="W5562" s="231"/>
      <c r="X5562" s="227"/>
      <c r="Y5562" s="348"/>
      <c r="Z5562" s="348"/>
      <c r="AA5562" s="348"/>
      <c r="AB5562" s="348"/>
      <c r="AC5562" s="227"/>
      <c r="AD5562" s="227"/>
      <c r="AE5562" s="231"/>
      <c r="AF5562" s="227"/>
      <c r="AG5562" s="348"/>
      <c r="AH5562" s="348"/>
      <c r="AI5562" s="348"/>
      <c r="AJ5562" s="348"/>
      <c r="AK5562" s="348"/>
      <c r="AL5562" s="348"/>
      <c r="AM5562" s="348"/>
      <c r="AN5562" s="348"/>
      <c r="AO5562" s="231"/>
      <c r="AP5562" s="231"/>
      <c r="AQ5562" s="227"/>
      <c r="AR5562" s="231"/>
      <c r="AS5562" s="227"/>
      <c r="AT5562" s="227"/>
      <c r="AU5562" s="227"/>
      <c r="AV5562" s="227"/>
      <c r="AW5562" s="227"/>
      <c r="AX5562" s="227"/>
      <c r="AY5562" s="227"/>
      <c r="AZ5562" s="227"/>
      <c r="BA5562" s="227"/>
      <c r="BB5562" s="227"/>
      <c r="BC5562" s="227"/>
      <c r="BD5562" s="227"/>
      <c r="BE5562" s="227"/>
      <c r="BF5562" s="227"/>
    </row>
    <row r="5563">
      <c r="A5563" s="227"/>
      <c r="B5563" s="348"/>
      <c r="C5563" s="227"/>
      <c r="D5563" s="227"/>
      <c r="E5563" s="231"/>
      <c r="F5563" s="348"/>
      <c r="G5563" s="227"/>
      <c r="H5563" s="227"/>
      <c r="I5563" s="227"/>
      <c r="J5563" s="227"/>
      <c r="K5563" s="227"/>
      <c r="L5563" s="348"/>
      <c r="M5563" s="348"/>
      <c r="N5563" s="227"/>
      <c r="O5563" s="227"/>
      <c r="P5563" s="231"/>
      <c r="Q5563" s="231"/>
      <c r="R5563" s="227"/>
      <c r="S5563" s="231"/>
      <c r="T5563" s="231"/>
      <c r="U5563" s="231"/>
      <c r="V5563" s="231"/>
      <c r="W5563" s="231"/>
      <c r="X5563" s="227"/>
      <c r="Y5563" s="348"/>
      <c r="Z5563" s="348"/>
      <c r="AA5563" s="348"/>
      <c r="AB5563" s="348"/>
      <c r="AC5563" s="227"/>
      <c r="AD5563" s="227"/>
      <c r="AE5563" s="231"/>
      <c r="AF5563" s="227"/>
      <c r="AG5563" s="348"/>
      <c r="AH5563" s="348"/>
      <c r="AI5563" s="348"/>
      <c r="AJ5563" s="348"/>
      <c r="AK5563" s="348"/>
      <c r="AL5563" s="348"/>
      <c r="AM5563" s="348"/>
      <c r="AN5563" s="348"/>
      <c r="AO5563" s="231"/>
      <c r="AP5563" s="231"/>
      <c r="AQ5563" s="227"/>
      <c r="AR5563" s="231"/>
      <c r="AS5563" s="227"/>
      <c r="AT5563" s="227"/>
      <c r="AU5563" s="227"/>
      <c r="AV5563" s="227"/>
      <c r="AW5563" s="227"/>
      <c r="AX5563" s="227"/>
      <c r="AY5563" s="227"/>
      <c r="AZ5563" s="227"/>
      <c r="BA5563" s="227"/>
      <c r="BB5563" s="227"/>
      <c r="BC5563" s="227"/>
      <c r="BD5563" s="227"/>
      <c r="BE5563" s="227"/>
      <c r="BF5563" s="227"/>
    </row>
    <row r="5564">
      <c r="A5564" s="227"/>
      <c r="B5564" s="348"/>
      <c r="C5564" s="227"/>
      <c r="D5564" s="227"/>
      <c r="E5564" s="231"/>
      <c r="F5564" s="348"/>
      <c r="G5564" s="227"/>
      <c r="H5564" s="227"/>
      <c r="I5564" s="227"/>
      <c r="J5564" s="227"/>
      <c r="K5564" s="227"/>
      <c r="L5564" s="348"/>
      <c r="M5564" s="348"/>
      <c r="N5564" s="227"/>
      <c r="O5564" s="227"/>
      <c r="P5564" s="231"/>
      <c r="Q5564" s="231"/>
      <c r="R5564" s="227"/>
      <c r="S5564" s="231"/>
      <c r="T5564" s="231"/>
      <c r="U5564" s="231"/>
      <c r="V5564" s="231"/>
      <c r="W5564" s="231"/>
      <c r="X5564" s="227"/>
      <c r="Y5564" s="348"/>
      <c r="Z5564" s="348"/>
      <c r="AA5564" s="348"/>
      <c r="AB5564" s="348"/>
      <c r="AC5564" s="227"/>
      <c r="AD5564" s="227"/>
      <c r="AE5564" s="231"/>
      <c r="AF5564" s="227"/>
      <c r="AG5564" s="348"/>
      <c r="AH5564" s="348"/>
      <c r="AI5564" s="348"/>
      <c r="AJ5564" s="348"/>
      <c r="AK5564" s="348"/>
      <c r="AL5564" s="348"/>
      <c r="AM5564" s="348"/>
      <c r="AN5564" s="348"/>
      <c r="AO5564" s="231"/>
      <c r="AP5564" s="231"/>
      <c r="AQ5564" s="227"/>
      <c r="AR5564" s="231"/>
      <c r="AS5564" s="227"/>
      <c r="AT5564" s="227"/>
      <c r="AU5564" s="227"/>
      <c r="AV5564" s="227"/>
      <c r="AW5564" s="227"/>
      <c r="AX5564" s="227"/>
      <c r="AY5564" s="227"/>
      <c r="AZ5564" s="227"/>
      <c r="BA5564" s="227"/>
      <c r="BB5564" s="227"/>
      <c r="BC5564" s="227"/>
      <c r="BD5564" s="227"/>
      <c r="BE5564" s="227"/>
      <c r="BF5564" s="227"/>
    </row>
    <row r="5565">
      <c r="A5565" s="227"/>
      <c r="B5565" s="348"/>
      <c r="C5565" s="227"/>
      <c r="D5565" s="227"/>
      <c r="E5565" s="231"/>
      <c r="F5565" s="348"/>
      <c r="G5565" s="227"/>
      <c r="H5565" s="227"/>
      <c r="I5565" s="227"/>
      <c r="J5565" s="227"/>
      <c r="K5565" s="227"/>
      <c r="L5565" s="348"/>
      <c r="M5565" s="348"/>
      <c r="N5565" s="227"/>
      <c r="O5565" s="227"/>
      <c r="P5565" s="231"/>
      <c r="Q5565" s="231"/>
      <c r="R5565" s="227"/>
      <c r="S5565" s="231"/>
      <c r="T5565" s="231"/>
      <c r="U5565" s="231"/>
      <c r="V5565" s="231"/>
      <c r="W5565" s="231"/>
      <c r="X5565" s="227"/>
      <c r="Y5565" s="348"/>
      <c r="Z5565" s="348"/>
      <c r="AA5565" s="348"/>
      <c r="AB5565" s="348"/>
      <c r="AC5565" s="227"/>
      <c r="AD5565" s="227"/>
      <c r="AE5565" s="231"/>
      <c r="AF5565" s="227"/>
      <c r="AG5565" s="348"/>
      <c r="AH5565" s="348"/>
      <c r="AI5565" s="348"/>
      <c r="AJ5565" s="348"/>
      <c r="AK5565" s="348"/>
      <c r="AL5565" s="348"/>
      <c r="AM5565" s="348"/>
      <c r="AN5565" s="348"/>
      <c r="AO5565" s="231"/>
      <c r="AP5565" s="231"/>
      <c r="AQ5565" s="227"/>
      <c r="AR5565" s="231"/>
      <c r="AS5565" s="227"/>
      <c r="AT5565" s="227"/>
      <c r="AU5565" s="227"/>
      <c r="AV5565" s="227"/>
      <c r="AW5565" s="227"/>
      <c r="AX5565" s="227"/>
      <c r="AY5565" s="227"/>
      <c r="AZ5565" s="227"/>
      <c r="BA5565" s="227"/>
      <c r="BB5565" s="227"/>
      <c r="BC5565" s="227"/>
      <c r="BD5565" s="227"/>
      <c r="BE5565" s="227"/>
      <c r="BF5565" s="227"/>
    </row>
    <row r="5566">
      <c r="A5566" s="227"/>
      <c r="B5566" s="348"/>
      <c r="C5566" s="227"/>
      <c r="D5566" s="227"/>
      <c r="E5566" s="231"/>
      <c r="F5566" s="348"/>
      <c r="G5566" s="227"/>
      <c r="H5566" s="227"/>
      <c r="I5566" s="227"/>
      <c r="J5566" s="227"/>
      <c r="K5566" s="227"/>
      <c r="L5566" s="348"/>
      <c r="M5566" s="348"/>
      <c r="N5566" s="227"/>
      <c r="O5566" s="227"/>
      <c r="P5566" s="231"/>
      <c r="Q5566" s="231"/>
      <c r="R5566" s="227"/>
      <c r="S5566" s="231"/>
      <c r="T5566" s="231"/>
      <c r="U5566" s="231"/>
      <c r="V5566" s="231"/>
      <c r="W5566" s="231"/>
      <c r="X5566" s="227"/>
      <c r="Y5566" s="348"/>
      <c r="Z5566" s="348"/>
      <c r="AA5566" s="348"/>
      <c r="AB5566" s="348"/>
      <c r="AC5566" s="227"/>
      <c r="AD5566" s="227"/>
      <c r="AE5566" s="231"/>
      <c r="AF5566" s="227"/>
      <c r="AG5566" s="348"/>
      <c r="AH5566" s="348"/>
      <c r="AI5566" s="348"/>
      <c r="AJ5566" s="348"/>
      <c r="AK5566" s="348"/>
      <c r="AL5566" s="348"/>
      <c r="AM5566" s="348"/>
      <c r="AN5566" s="348"/>
      <c r="AO5566" s="231"/>
      <c r="AP5566" s="231"/>
      <c r="AQ5566" s="227"/>
      <c r="AR5566" s="231"/>
      <c r="AS5566" s="227"/>
      <c r="AT5566" s="227"/>
      <c r="AU5566" s="227"/>
      <c r="AV5566" s="227"/>
      <c r="AW5566" s="227"/>
      <c r="AX5566" s="227"/>
      <c r="AY5566" s="227"/>
      <c r="AZ5566" s="227"/>
      <c r="BA5566" s="227"/>
      <c r="BB5566" s="227"/>
      <c r="BC5566" s="227"/>
      <c r="BD5566" s="227"/>
      <c r="BE5566" s="227"/>
      <c r="BF5566" s="227"/>
    </row>
    <row r="5567">
      <c r="A5567" s="227"/>
      <c r="B5567" s="348"/>
      <c r="C5567" s="227"/>
      <c r="D5567" s="227"/>
      <c r="E5567" s="231"/>
      <c r="F5567" s="348"/>
      <c r="G5567" s="227"/>
      <c r="H5567" s="227"/>
      <c r="I5567" s="227"/>
      <c r="J5567" s="227"/>
      <c r="K5567" s="227"/>
      <c r="L5567" s="348"/>
      <c r="M5567" s="348"/>
      <c r="N5567" s="227"/>
      <c r="O5567" s="227"/>
      <c r="P5567" s="231"/>
      <c r="Q5567" s="231"/>
      <c r="R5567" s="227"/>
      <c r="S5567" s="231"/>
      <c r="T5567" s="231"/>
      <c r="U5567" s="231"/>
      <c r="V5567" s="231"/>
      <c r="W5567" s="231"/>
      <c r="X5567" s="227"/>
      <c r="Y5567" s="348"/>
      <c r="Z5567" s="348"/>
      <c r="AA5567" s="348"/>
      <c r="AB5567" s="348"/>
      <c r="AC5567" s="227"/>
      <c r="AD5567" s="227"/>
      <c r="AE5567" s="231"/>
      <c r="AF5567" s="227"/>
      <c r="AG5567" s="348"/>
      <c r="AH5567" s="348"/>
      <c r="AI5567" s="348"/>
      <c r="AJ5567" s="348"/>
      <c r="AK5567" s="348"/>
      <c r="AL5567" s="348"/>
      <c r="AM5567" s="348"/>
      <c r="AN5567" s="348"/>
      <c r="AO5567" s="231"/>
      <c r="AP5567" s="231"/>
      <c r="AQ5567" s="227"/>
      <c r="AR5567" s="231"/>
      <c r="AS5567" s="227"/>
      <c r="AT5567" s="227"/>
      <c r="AU5567" s="227"/>
      <c r="AV5567" s="227"/>
      <c r="AW5567" s="227"/>
      <c r="AX5567" s="227"/>
      <c r="AY5567" s="227"/>
      <c r="AZ5567" s="227"/>
      <c r="BA5567" s="227"/>
      <c r="BB5567" s="227"/>
      <c r="BC5567" s="227"/>
      <c r="BD5567" s="227"/>
      <c r="BE5567" s="227"/>
      <c r="BF5567" s="227"/>
    </row>
    <row r="5568">
      <c r="A5568" s="227"/>
      <c r="B5568" s="348"/>
      <c r="C5568" s="227"/>
      <c r="D5568" s="227"/>
      <c r="E5568" s="231"/>
      <c r="F5568" s="348"/>
      <c r="G5568" s="227"/>
      <c r="H5568" s="227"/>
      <c r="I5568" s="227"/>
      <c r="J5568" s="227"/>
      <c r="K5568" s="227"/>
      <c r="L5568" s="348"/>
      <c r="M5568" s="348"/>
      <c r="N5568" s="227"/>
      <c r="O5568" s="227"/>
      <c r="P5568" s="231"/>
      <c r="Q5568" s="231"/>
      <c r="R5568" s="227"/>
      <c r="S5568" s="231"/>
      <c r="T5568" s="231"/>
      <c r="U5568" s="231"/>
      <c r="V5568" s="231"/>
      <c r="W5568" s="231"/>
      <c r="X5568" s="227"/>
      <c r="Y5568" s="348"/>
      <c r="Z5568" s="348"/>
      <c r="AA5568" s="348"/>
      <c r="AB5568" s="348"/>
      <c r="AC5568" s="227"/>
      <c r="AD5568" s="227"/>
      <c r="AE5568" s="231"/>
      <c r="AF5568" s="227"/>
      <c r="AG5568" s="348"/>
      <c r="AH5568" s="348"/>
      <c r="AI5568" s="348"/>
      <c r="AJ5568" s="348"/>
      <c r="AK5568" s="348"/>
      <c r="AL5568" s="348"/>
      <c r="AM5568" s="348"/>
      <c r="AN5568" s="348"/>
      <c r="AO5568" s="231"/>
      <c r="AP5568" s="231"/>
      <c r="AQ5568" s="227"/>
      <c r="AR5568" s="231"/>
      <c r="AS5568" s="227"/>
      <c r="AT5568" s="227"/>
      <c r="AU5568" s="227"/>
      <c r="AV5568" s="227"/>
      <c r="AW5568" s="227"/>
      <c r="AX5568" s="227"/>
      <c r="AY5568" s="227"/>
      <c r="AZ5568" s="227"/>
      <c r="BA5568" s="227"/>
      <c r="BB5568" s="227"/>
      <c r="BC5568" s="227"/>
      <c r="BD5568" s="227"/>
      <c r="BE5568" s="227"/>
      <c r="BF5568" s="227"/>
    </row>
    <row r="5569">
      <c r="A5569" s="227"/>
      <c r="B5569" s="348"/>
      <c r="C5569" s="227"/>
      <c r="D5569" s="227"/>
      <c r="E5569" s="231"/>
      <c r="F5569" s="348"/>
      <c r="G5569" s="227"/>
      <c r="H5569" s="227"/>
      <c r="I5569" s="227"/>
      <c r="J5569" s="227"/>
      <c r="K5569" s="227"/>
      <c r="L5569" s="348"/>
      <c r="M5569" s="348"/>
      <c r="N5569" s="227"/>
      <c r="O5569" s="227"/>
      <c r="P5569" s="231"/>
      <c r="Q5569" s="231"/>
      <c r="R5569" s="227"/>
      <c r="S5569" s="231"/>
      <c r="T5569" s="231"/>
      <c r="U5569" s="231"/>
      <c r="V5569" s="231"/>
      <c r="W5569" s="231"/>
      <c r="X5569" s="227"/>
      <c r="Y5569" s="348"/>
      <c r="Z5569" s="348"/>
      <c r="AA5569" s="348"/>
      <c r="AB5569" s="348"/>
      <c r="AC5569" s="227"/>
      <c r="AD5569" s="227"/>
      <c r="AE5569" s="231"/>
      <c r="AF5569" s="227"/>
      <c r="AG5569" s="348"/>
      <c r="AH5569" s="348"/>
      <c r="AI5569" s="348"/>
      <c r="AJ5569" s="348"/>
      <c r="AK5569" s="348"/>
      <c r="AL5569" s="348"/>
      <c r="AM5569" s="348"/>
      <c r="AN5569" s="348"/>
      <c r="AO5569" s="231"/>
      <c r="AP5569" s="231"/>
      <c r="AQ5569" s="227"/>
      <c r="AR5569" s="231"/>
      <c r="AS5569" s="227"/>
      <c r="AT5569" s="227"/>
      <c r="AU5569" s="227"/>
      <c r="AV5569" s="227"/>
      <c r="AW5569" s="227"/>
      <c r="AX5569" s="227"/>
      <c r="AY5569" s="227"/>
      <c r="AZ5569" s="227"/>
      <c r="BA5569" s="227"/>
      <c r="BB5569" s="227"/>
      <c r="BC5569" s="227"/>
      <c r="BD5569" s="227"/>
      <c r="BE5569" s="227"/>
      <c r="BF5569" s="227"/>
    </row>
    <row r="5570">
      <c r="A5570" s="227"/>
      <c r="B5570" s="348"/>
      <c r="C5570" s="227"/>
      <c r="D5570" s="227"/>
      <c r="E5570" s="231"/>
      <c r="F5570" s="348"/>
      <c r="G5570" s="227"/>
      <c r="H5570" s="227"/>
      <c r="I5570" s="227"/>
      <c r="J5570" s="227"/>
      <c r="K5570" s="227"/>
      <c r="L5570" s="348"/>
      <c r="M5570" s="348"/>
      <c r="N5570" s="227"/>
      <c r="O5570" s="227"/>
      <c r="P5570" s="231"/>
      <c r="Q5570" s="231"/>
      <c r="R5570" s="227"/>
      <c r="S5570" s="231"/>
      <c r="T5570" s="231"/>
      <c r="U5570" s="231"/>
      <c r="V5570" s="231"/>
      <c r="W5570" s="231"/>
      <c r="X5570" s="227"/>
      <c r="Y5570" s="348"/>
      <c r="Z5570" s="348"/>
      <c r="AA5570" s="348"/>
      <c r="AB5570" s="348"/>
      <c r="AC5570" s="227"/>
      <c r="AD5570" s="227"/>
      <c r="AE5570" s="231"/>
      <c r="AF5570" s="227"/>
      <c r="AG5570" s="348"/>
      <c r="AH5570" s="348"/>
      <c r="AI5570" s="348"/>
      <c r="AJ5570" s="348"/>
      <c r="AK5570" s="348"/>
      <c r="AL5570" s="348"/>
      <c r="AM5570" s="348"/>
      <c r="AN5570" s="348"/>
      <c r="AO5570" s="231"/>
      <c r="AP5570" s="231"/>
      <c r="AQ5570" s="227"/>
      <c r="AR5570" s="231"/>
      <c r="AS5570" s="227"/>
      <c r="AT5570" s="227"/>
      <c r="AU5570" s="227"/>
      <c r="AV5570" s="227"/>
      <c r="AW5570" s="227"/>
      <c r="AX5570" s="227"/>
      <c r="AY5570" s="227"/>
      <c r="AZ5570" s="227"/>
      <c r="BA5570" s="227"/>
      <c r="BB5570" s="227"/>
      <c r="BC5570" s="227"/>
      <c r="BD5570" s="227"/>
      <c r="BE5570" s="227"/>
      <c r="BF5570" s="227"/>
    </row>
    <row r="5571">
      <c r="A5571" s="227"/>
      <c r="B5571" s="348"/>
      <c r="C5571" s="227"/>
      <c r="D5571" s="227"/>
      <c r="E5571" s="231"/>
      <c r="F5571" s="348"/>
      <c r="G5571" s="227"/>
      <c r="H5571" s="227"/>
      <c r="I5571" s="227"/>
      <c r="J5571" s="227"/>
      <c r="K5571" s="227"/>
      <c r="L5571" s="348"/>
      <c r="M5571" s="348"/>
      <c r="N5571" s="227"/>
      <c r="O5571" s="227"/>
      <c r="P5571" s="231"/>
      <c r="Q5571" s="231"/>
      <c r="R5571" s="227"/>
      <c r="S5571" s="231"/>
      <c r="T5571" s="231"/>
      <c r="U5571" s="231"/>
      <c r="V5571" s="231"/>
      <c r="W5571" s="231"/>
      <c r="X5571" s="227"/>
      <c r="Y5571" s="348"/>
      <c r="Z5571" s="348"/>
      <c r="AA5571" s="348"/>
      <c r="AB5571" s="348"/>
      <c r="AC5571" s="227"/>
      <c r="AD5571" s="227"/>
      <c r="AE5571" s="231"/>
      <c r="AF5571" s="227"/>
      <c r="AG5571" s="348"/>
      <c r="AH5571" s="348"/>
      <c r="AI5571" s="348"/>
      <c r="AJ5571" s="348"/>
      <c r="AK5571" s="348"/>
      <c r="AL5571" s="348"/>
      <c r="AM5571" s="348"/>
      <c r="AN5571" s="348"/>
      <c r="AO5571" s="231"/>
      <c r="AP5571" s="231"/>
      <c r="AQ5571" s="227"/>
      <c r="AR5571" s="231"/>
      <c r="AS5571" s="227"/>
      <c r="AT5571" s="227"/>
      <c r="AU5571" s="227"/>
      <c r="AV5571" s="227"/>
      <c r="AW5571" s="227"/>
      <c r="AX5571" s="227"/>
      <c r="AY5571" s="227"/>
      <c r="AZ5571" s="227"/>
      <c r="BA5571" s="227"/>
      <c r="BB5571" s="227"/>
      <c r="BC5571" s="227"/>
      <c r="BD5571" s="227"/>
      <c r="BE5571" s="227"/>
      <c r="BF5571" s="227"/>
    </row>
    <row r="5572">
      <c r="A5572" s="227"/>
      <c r="B5572" s="348"/>
      <c r="C5572" s="227"/>
      <c r="D5572" s="227"/>
      <c r="E5572" s="231"/>
      <c r="F5572" s="348"/>
      <c r="G5572" s="227"/>
      <c r="H5572" s="227"/>
      <c r="I5572" s="227"/>
      <c r="J5572" s="227"/>
      <c r="K5572" s="227"/>
      <c r="L5572" s="348"/>
      <c r="M5572" s="348"/>
      <c r="N5572" s="227"/>
      <c r="O5572" s="227"/>
      <c r="P5572" s="231"/>
      <c r="Q5572" s="231"/>
      <c r="R5572" s="227"/>
      <c r="S5572" s="231"/>
      <c r="T5572" s="231"/>
      <c r="U5572" s="231"/>
      <c r="V5572" s="231"/>
      <c r="W5572" s="231"/>
      <c r="X5572" s="227"/>
      <c r="Y5572" s="348"/>
      <c r="Z5572" s="348"/>
      <c r="AA5572" s="348"/>
      <c r="AB5572" s="348"/>
      <c r="AC5572" s="227"/>
      <c r="AD5572" s="227"/>
      <c r="AE5572" s="231"/>
      <c r="AF5572" s="227"/>
      <c r="AG5572" s="348"/>
      <c r="AH5572" s="348"/>
      <c r="AI5572" s="348"/>
      <c r="AJ5572" s="348"/>
      <c r="AK5572" s="348"/>
      <c r="AL5572" s="348"/>
      <c r="AM5572" s="348"/>
      <c r="AN5572" s="348"/>
      <c r="AO5572" s="231"/>
      <c r="AP5572" s="231"/>
      <c r="AQ5572" s="227"/>
      <c r="AR5572" s="231"/>
      <c r="AS5572" s="227"/>
      <c r="AT5572" s="227"/>
      <c r="AU5572" s="227"/>
      <c r="AV5572" s="227"/>
      <c r="AW5572" s="227"/>
      <c r="AX5572" s="227"/>
      <c r="AY5572" s="227"/>
      <c r="AZ5572" s="227"/>
      <c r="BA5572" s="227"/>
      <c r="BB5572" s="227"/>
      <c r="BC5572" s="227"/>
      <c r="BD5572" s="227"/>
      <c r="BE5572" s="227"/>
      <c r="BF5572" s="227"/>
    </row>
    <row r="5573">
      <c r="A5573" s="227"/>
      <c r="B5573" s="348"/>
      <c r="C5573" s="227"/>
      <c r="D5573" s="227"/>
      <c r="E5573" s="231"/>
      <c r="F5573" s="348"/>
      <c r="G5573" s="227"/>
      <c r="H5573" s="227"/>
      <c r="I5573" s="227"/>
      <c r="J5573" s="227"/>
      <c r="K5573" s="227"/>
      <c r="L5573" s="348"/>
      <c r="M5573" s="348"/>
      <c r="N5573" s="227"/>
      <c r="O5573" s="227"/>
      <c r="P5573" s="231"/>
      <c r="Q5573" s="231"/>
      <c r="R5573" s="227"/>
      <c r="S5573" s="231"/>
      <c r="T5573" s="231"/>
      <c r="U5573" s="231"/>
      <c r="V5573" s="231"/>
      <c r="W5573" s="231"/>
      <c r="X5573" s="227"/>
      <c r="Y5573" s="348"/>
      <c r="Z5573" s="348"/>
      <c r="AA5573" s="348"/>
      <c r="AB5573" s="348"/>
      <c r="AC5573" s="227"/>
      <c r="AD5573" s="227"/>
      <c r="AE5573" s="231"/>
      <c r="AF5573" s="227"/>
      <c r="AG5573" s="348"/>
      <c r="AH5573" s="348"/>
      <c r="AI5573" s="348"/>
      <c r="AJ5573" s="348"/>
      <c r="AK5573" s="348"/>
      <c r="AL5573" s="348"/>
      <c r="AM5573" s="348"/>
      <c r="AN5573" s="348"/>
      <c r="AO5573" s="231"/>
      <c r="AP5573" s="231"/>
      <c r="AQ5573" s="227"/>
      <c r="AR5573" s="231"/>
      <c r="AS5573" s="227"/>
      <c r="AT5573" s="227"/>
      <c r="AU5573" s="227"/>
      <c r="AV5573" s="227"/>
      <c r="AW5573" s="227"/>
      <c r="AX5573" s="227"/>
      <c r="AY5573" s="227"/>
      <c r="AZ5573" s="227"/>
      <c r="BA5573" s="227"/>
      <c r="BB5573" s="227"/>
      <c r="BC5573" s="227"/>
      <c r="BD5573" s="227"/>
      <c r="BE5573" s="227"/>
      <c r="BF5573" s="227"/>
    </row>
    <row r="5574">
      <c r="A5574" s="227"/>
      <c r="B5574" s="348"/>
      <c r="C5574" s="227"/>
      <c r="D5574" s="227"/>
      <c r="E5574" s="231"/>
      <c r="F5574" s="348"/>
      <c r="G5574" s="227"/>
      <c r="H5574" s="227"/>
      <c r="I5574" s="227"/>
      <c r="J5574" s="227"/>
      <c r="K5574" s="227"/>
      <c r="L5574" s="348"/>
      <c r="M5574" s="348"/>
      <c r="N5574" s="227"/>
      <c r="O5574" s="227"/>
      <c r="P5574" s="231"/>
      <c r="Q5574" s="231"/>
      <c r="R5574" s="227"/>
      <c r="S5574" s="231"/>
      <c r="T5574" s="231"/>
      <c r="U5574" s="231"/>
      <c r="V5574" s="231"/>
      <c r="W5574" s="231"/>
      <c r="X5574" s="227"/>
      <c r="Y5574" s="348"/>
      <c r="Z5574" s="348"/>
      <c r="AA5574" s="348"/>
      <c r="AB5574" s="348"/>
      <c r="AC5574" s="227"/>
      <c r="AD5574" s="227"/>
      <c r="AE5574" s="231"/>
      <c r="AF5574" s="227"/>
      <c r="AG5574" s="348"/>
      <c r="AH5574" s="348"/>
      <c r="AI5574" s="348"/>
      <c r="AJ5574" s="348"/>
      <c r="AK5574" s="348"/>
      <c r="AL5574" s="348"/>
      <c r="AM5574" s="348"/>
      <c r="AN5574" s="348"/>
      <c r="AO5574" s="231"/>
      <c r="AP5574" s="231"/>
      <c r="AQ5574" s="227"/>
      <c r="AR5574" s="231"/>
      <c r="AS5574" s="227"/>
      <c r="AT5574" s="227"/>
      <c r="AU5574" s="227"/>
      <c r="AV5574" s="227"/>
      <c r="AW5574" s="227"/>
      <c r="AX5574" s="227"/>
      <c r="AY5574" s="227"/>
      <c r="AZ5574" s="227"/>
      <c r="BA5574" s="227"/>
      <c r="BB5574" s="227"/>
      <c r="BC5574" s="227"/>
      <c r="BD5574" s="227"/>
      <c r="BE5574" s="227"/>
      <c r="BF5574" s="227"/>
    </row>
    <row r="5575">
      <c r="A5575" s="227"/>
      <c r="B5575" s="348"/>
      <c r="C5575" s="227"/>
      <c r="D5575" s="227"/>
      <c r="E5575" s="231"/>
      <c r="F5575" s="348"/>
      <c r="G5575" s="227"/>
      <c r="H5575" s="227"/>
      <c r="I5575" s="227"/>
      <c r="J5575" s="227"/>
      <c r="K5575" s="227"/>
      <c r="L5575" s="348"/>
      <c r="M5575" s="348"/>
      <c r="N5575" s="227"/>
      <c r="O5575" s="227"/>
      <c r="P5575" s="231"/>
      <c r="Q5575" s="231"/>
      <c r="R5575" s="227"/>
      <c r="S5575" s="231"/>
      <c r="T5575" s="231"/>
      <c r="U5575" s="231"/>
      <c r="V5575" s="231"/>
      <c r="W5575" s="231"/>
      <c r="X5575" s="227"/>
      <c r="Y5575" s="348"/>
      <c r="Z5575" s="348"/>
      <c r="AA5575" s="348"/>
      <c r="AB5575" s="348"/>
      <c r="AC5575" s="227"/>
      <c r="AD5575" s="227"/>
      <c r="AE5575" s="231"/>
      <c r="AF5575" s="227"/>
      <c r="AG5575" s="348"/>
      <c r="AH5575" s="348"/>
      <c r="AI5575" s="348"/>
      <c r="AJ5575" s="348"/>
      <c r="AK5575" s="348"/>
      <c r="AL5575" s="348"/>
      <c r="AM5575" s="348"/>
      <c r="AN5575" s="348"/>
      <c r="AO5575" s="231"/>
      <c r="AP5575" s="231"/>
      <c r="AQ5575" s="227"/>
      <c r="AR5575" s="231"/>
      <c r="AS5575" s="227"/>
      <c r="AT5575" s="227"/>
      <c r="AU5575" s="227"/>
      <c r="AV5575" s="227"/>
      <c r="AW5575" s="227"/>
      <c r="AX5575" s="227"/>
      <c r="AY5575" s="227"/>
      <c r="AZ5575" s="227"/>
      <c r="BA5575" s="227"/>
      <c r="BB5575" s="227"/>
      <c r="BC5575" s="227"/>
      <c r="BD5575" s="227"/>
      <c r="BE5575" s="227"/>
      <c r="BF5575" s="227"/>
    </row>
    <row r="5576">
      <c r="A5576" s="227"/>
      <c r="B5576" s="348"/>
      <c r="C5576" s="227"/>
      <c r="D5576" s="227"/>
      <c r="E5576" s="231"/>
      <c r="F5576" s="348"/>
      <c r="G5576" s="227"/>
      <c r="H5576" s="227"/>
      <c r="I5576" s="227"/>
      <c r="J5576" s="227"/>
      <c r="K5576" s="227"/>
      <c r="L5576" s="348"/>
      <c r="M5576" s="348"/>
      <c r="N5576" s="227"/>
      <c r="O5576" s="227"/>
      <c r="P5576" s="231"/>
      <c r="Q5576" s="231"/>
      <c r="R5576" s="227"/>
      <c r="S5576" s="231"/>
      <c r="T5576" s="231"/>
      <c r="U5576" s="231"/>
      <c r="V5576" s="231"/>
      <c r="W5576" s="231"/>
      <c r="X5576" s="227"/>
      <c r="Y5576" s="348"/>
      <c r="Z5576" s="348"/>
      <c r="AA5576" s="348"/>
      <c r="AB5576" s="348"/>
      <c r="AC5576" s="227"/>
      <c r="AD5576" s="227"/>
      <c r="AE5576" s="231"/>
      <c r="AF5576" s="227"/>
      <c r="AG5576" s="348"/>
      <c r="AH5576" s="348"/>
      <c r="AI5576" s="348"/>
      <c r="AJ5576" s="348"/>
      <c r="AK5576" s="348"/>
      <c r="AL5576" s="348"/>
      <c r="AM5576" s="348"/>
      <c r="AN5576" s="348"/>
      <c r="AO5576" s="231"/>
      <c r="AP5576" s="231"/>
      <c r="AQ5576" s="227"/>
      <c r="AR5576" s="231"/>
      <c r="AS5576" s="227"/>
      <c r="AT5576" s="227"/>
      <c r="AU5576" s="227"/>
      <c r="AV5576" s="227"/>
      <c r="AW5576" s="227"/>
      <c r="AX5576" s="227"/>
      <c r="AY5576" s="227"/>
      <c r="AZ5576" s="227"/>
      <c r="BA5576" s="227"/>
      <c r="BB5576" s="227"/>
      <c r="BC5576" s="227"/>
      <c r="BD5576" s="227"/>
      <c r="BE5576" s="227"/>
      <c r="BF5576" s="227"/>
    </row>
    <row r="5577">
      <c r="A5577" s="227"/>
      <c r="B5577" s="348"/>
      <c r="C5577" s="227"/>
      <c r="D5577" s="227"/>
      <c r="E5577" s="231"/>
      <c r="F5577" s="348"/>
      <c r="G5577" s="227"/>
      <c r="H5577" s="227"/>
      <c r="I5577" s="227"/>
      <c r="J5577" s="227"/>
      <c r="K5577" s="227"/>
      <c r="L5577" s="348"/>
      <c r="M5577" s="348"/>
      <c r="N5577" s="227"/>
      <c r="O5577" s="227"/>
      <c r="P5577" s="231"/>
      <c r="Q5577" s="231"/>
      <c r="R5577" s="227"/>
      <c r="S5577" s="231"/>
      <c r="T5577" s="231"/>
      <c r="U5577" s="231"/>
      <c r="V5577" s="231"/>
      <c r="W5577" s="231"/>
      <c r="X5577" s="227"/>
      <c r="Y5577" s="348"/>
      <c r="Z5577" s="348"/>
      <c r="AA5577" s="348"/>
      <c r="AB5577" s="348"/>
      <c r="AC5577" s="227"/>
      <c r="AD5577" s="227"/>
      <c r="AE5577" s="231"/>
      <c r="AF5577" s="227"/>
      <c r="AG5577" s="348"/>
      <c r="AH5577" s="348"/>
      <c r="AI5577" s="348"/>
      <c r="AJ5577" s="348"/>
      <c r="AK5577" s="348"/>
      <c r="AL5577" s="348"/>
      <c r="AM5577" s="348"/>
      <c r="AN5577" s="348"/>
      <c r="AO5577" s="231"/>
      <c r="AP5577" s="231"/>
      <c r="AQ5577" s="227"/>
      <c r="AR5577" s="231"/>
      <c r="AS5577" s="227"/>
      <c r="AT5577" s="227"/>
      <c r="AU5577" s="227"/>
      <c r="AV5577" s="227"/>
      <c r="AW5577" s="227"/>
      <c r="AX5577" s="227"/>
      <c r="AY5577" s="227"/>
      <c r="AZ5577" s="227"/>
      <c r="BA5577" s="227"/>
      <c r="BB5577" s="227"/>
      <c r="BC5577" s="227"/>
      <c r="BD5577" s="227"/>
      <c r="BE5577" s="227"/>
      <c r="BF5577" s="227"/>
    </row>
    <row r="5578">
      <c r="A5578" s="227"/>
      <c r="B5578" s="348"/>
      <c r="C5578" s="227"/>
      <c r="D5578" s="227"/>
      <c r="E5578" s="231"/>
      <c r="F5578" s="348"/>
      <c r="G5578" s="227"/>
      <c r="H5578" s="227"/>
      <c r="I5578" s="227"/>
      <c r="J5578" s="227"/>
      <c r="K5578" s="227"/>
      <c r="L5578" s="348"/>
      <c r="M5578" s="348"/>
      <c r="N5578" s="227"/>
      <c r="O5578" s="227"/>
      <c r="P5578" s="231"/>
      <c r="Q5578" s="231"/>
      <c r="R5578" s="227"/>
      <c r="S5578" s="231"/>
      <c r="T5578" s="231"/>
      <c r="U5578" s="231"/>
      <c r="V5578" s="231"/>
      <c r="W5578" s="231"/>
      <c r="X5578" s="227"/>
      <c r="Y5578" s="348"/>
      <c r="Z5578" s="348"/>
      <c r="AA5578" s="348"/>
      <c r="AB5578" s="348"/>
      <c r="AC5578" s="227"/>
      <c r="AD5578" s="227"/>
      <c r="AE5578" s="231"/>
      <c r="AF5578" s="227"/>
      <c r="AG5578" s="348"/>
      <c r="AH5578" s="348"/>
      <c r="AI5578" s="348"/>
      <c r="AJ5578" s="348"/>
      <c r="AK5578" s="348"/>
      <c r="AL5578" s="348"/>
      <c r="AM5578" s="348"/>
      <c r="AN5578" s="348"/>
      <c r="AO5578" s="231"/>
      <c r="AP5578" s="231"/>
      <c r="AQ5578" s="227"/>
      <c r="AR5578" s="231"/>
      <c r="AS5578" s="227"/>
      <c r="AT5578" s="227"/>
      <c r="AU5578" s="227"/>
      <c r="AV5578" s="227"/>
      <c r="AW5578" s="227"/>
      <c r="AX5578" s="227"/>
      <c r="AY5578" s="227"/>
      <c r="AZ5578" s="227"/>
      <c r="BA5578" s="227"/>
      <c r="BB5578" s="227"/>
      <c r="BC5578" s="227"/>
      <c r="BD5578" s="227"/>
      <c r="BE5578" s="227"/>
      <c r="BF5578" s="227"/>
    </row>
    <row r="5579">
      <c r="A5579" s="227"/>
      <c r="B5579" s="348"/>
      <c r="C5579" s="227"/>
      <c r="D5579" s="227"/>
      <c r="E5579" s="231"/>
      <c r="F5579" s="348"/>
      <c r="G5579" s="227"/>
      <c r="H5579" s="227"/>
      <c r="I5579" s="227"/>
      <c r="J5579" s="227"/>
      <c r="K5579" s="227"/>
      <c r="L5579" s="348"/>
      <c r="M5579" s="348"/>
      <c r="N5579" s="227"/>
      <c r="O5579" s="227"/>
      <c r="P5579" s="231"/>
      <c r="Q5579" s="231"/>
      <c r="R5579" s="227"/>
      <c r="S5579" s="231"/>
      <c r="T5579" s="231"/>
      <c r="U5579" s="231"/>
      <c r="V5579" s="231"/>
      <c r="W5579" s="231"/>
      <c r="X5579" s="227"/>
      <c r="Y5579" s="348"/>
      <c r="Z5579" s="348"/>
      <c r="AA5579" s="348"/>
      <c r="AB5579" s="348"/>
      <c r="AC5579" s="227"/>
      <c r="AD5579" s="227"/>
      <c r="AE5579" s="231"/>
      <c r="AF5579" s="227"/>
      <c r="AG5579" s="348"/>
      <c r="AH5579" s="348"/>
      <c r="AI5579" s="348"/>
      <c r="AJ5579" s="348"/>
      <c r="AK5579" s="348"/>
      <c r="AL5579" s="348"/>
      <c r="AM5579" s="348"/>
      <c r="AN5579" s="348"/>
      <c r="AO5579" s="231"/>
      <c r="AP5579" s="231"/>
      <c r="AQ5579" s="227"/>
      <c r="AR5579" s="231"/>
      <c r="AS5579" s="227"/>
      <c r="AT5579" s="227"/>
      <c r="AU5579" s="227"/>
      <c r="AV5579" s="227"/>
      <c r="AW5579" s="227"/>
      <c r="AX5579" s="227"/>
      <c r="AY5579" s="227"/>
      <c r="AZ5579" s="227"/>
      <c r="BA5579" s="227"/>
      <c r="BB5579" s="227"/>
      <c r="BC5579" s="227"/>
      <c r="BD5579" s="227"/>
      <c r="BE5579" s="227"/>
      <c r="BF5579" s="227"/>
    </row>
    <row r="5580">
      <c r="A5580" s="227"/>
      <c r="B5580" s="348"/>
      <c r="C5580" s="227"/>
      <c r="D5580" s="227"/>
      <c r="E5580" s="231"/>
      <c r="F5580" s="348"/>
      <c r="G5580" s="227"/>
      <c r="H5580" s="227"/>
      <c r="I5580" s="227"/>
      <c r="J5580" s="227"/>
      <c r="K5580" s="227"/>
      <c r="L5580" s="348"/>
      <c r="M5580" s="348"/>
      <c r="N5580" s="227"/>
      <c r="O5580" s="227"/>
      <c r="P5580" s="231"/>
      <c r="Q5580" s="231"/>
      <c r="R5580" s="227"/>
      <c r="S5580" s="231"/>
      <c r="T5580" s="231"/>
      <c r="U5580" s="231"/>
      <c r="V5580" s="231"/>
      <c r="W5580" s="231"/>
      <c r="X5580" s="227"/>
      <c r="Y5580" s="348"/>
      <c r="Z5580" s="348"/>
      <c r="AA5580" s="348"/>
      <c r="AB5580" s="348"/>
      <c r="AC5580" s="227"/>
      <c r="AD5580" s="227"/>
      <c r="AE5580" s="231"/>
      <c r="AF5580" s="227"/>
      <c r="AG5580" s="348"/>
      <c r="AH5580" s="348"/>
      <c r="AI5580" s="348"/>
      <c r="AJ5580" s="348"/>
      <c r="AK5580" s="348"/>
      <c r="AL5580" s="348"/>
      <c r="AM5580" s="348"/>
      <c r="AN5580" s="348"/>
      <c r="AO5580" s="231"/>
      <c r="AP5580" s="231"/>
      <c r="AQ5580" s="227"/>
      <c r="AR5580" s="231"/>
      <c r="AS5580" s="227"/>
      <c r="AT5580" s="227"/>
      <c r="AU5580" s="227"/>
      <c r="AV5580" s="227"/>
      <c r="AW5580" s="227"/>
      <c r="AX5580" s="227"/>
      <c r="AY5580" s="227"/>
      <c r="AZ5580" s="227"/>
      <c r="BA5580" s="227"/>
      <c r="BB5580" s="227"/>
      <c r="BC5580" s="227"/>
      <c r="BD5580" s="227"/>
      <c r="BE5580" s="227"/>
      <c r="BF5580" s="227"/>
    </row>
    <row r="5581">
      <c r="A5581" s="227"/>
      <c r="B5581" s="348"/>
      <c r="C5581" s="227"/>
      <c r="D5581" s="227"/>
      <c r="E5581" s="231"/>
      <c r="F5581" s="348"/>
      <c r="G5581" s="227"/>
      <c r="H5581" s="227"/>
      <c r="I5581" s="227"/>
      <c r="J5581" s="227"/>
      <c r="K5581" s="227"/>
      <c r="L5581" s="348"/>
      <c r="M5581" s="348"/>
      <c r="N5581" s="227"/>
      <c r="O5581" s="227"/>
      <c r="P5581" s="231"/>
      <c r="Q5581" s="231"/>
      <c r="R5581" s="227"/>
      <c r="S5581" s="231"/>
      <c r="T5581" s="231"/>
      <c r="U5581" s="231"/>
      <c r="V5581" s="231"/>
      <c r="W5581" s="231"/>
      <c r="X5581" s="227"/>
      <c r="Y5581" s="348"/>
      <c r="Z5581" s="348"/>
      <c r="AA5581" s="348"/>
      <c r="AB5581" s="348"/>
      <c r="AC5581" s="227"/>
      <c r="AD5581" s="227"/>
      <c r="AE5581" s="231"/>
      <c r="AF5581" s="227"/>
      <c r="AG5581" s="348"/>
      <c r="AH5581" s="348"/>
      <c r="AI5581" s="348"/>
      <c r="AJ5581" s="348"/>
      <c r="AK5581" s="348"/>
      <c r="AL5581" s="348"/>
      <c r="AM5581" s="348"/>
      <c r="AN5581" s="348"/>
      <c r="AO5581" s="231"/>
      <c r="AP5581" s="231"/>
      <c r="AQ5581" s="227"/>
      <c r="AR5581" s="231"/>
      <c r="AS5581" s="227"/>
      <c r="AT5581" s="227"/>
      <c r="AU5581" s="227"/>
      <c r="AV5581" s="227"/>
      <c r="AW5581" s="227"/>
      <c r="AX5581" s="227"/>
      <c r="AY5581" s="227"/>
      <c r="AZ5581" s="227"/>
      <c r="BA5581" s="227"/>
      <c r="BB5581" s="227"/>
      <c r="BC5581" s="227"/>
      <c r="BD5581" s="227"/>
      <c r="BE5581" s="227"/>
      <c r="BF5581" s="227"/>
    </row>
    <row r="5582">
      <c r="A5582" s="227"/>
      <c r="B5582" s="348"/>
      <c r="C5582" s="227"/>
      <c r="D5582" s="227"/>
      <c r="E5582" s="231"/>
      <c r="F5582" s="348"/>
      <c r="G5582" s="227"/>
      <c r="H5582" s="227"/>
      <c r="I5582" s="227"/>
      <c r="J5582" s="227"/>
      <c r="K5582" s="227"/>
      <c r="L5582" s="348"/>
      <c r="M5582" s="348"/>
      <c r="N5582" s="227"/>
      <c r="O5582" s="227"/>
      <c r="P5582" s="231"/>
      <c r="Q5582" s="231"/>
      <c r="R5582" s="227"/>
      <c r="S5582" s="231"/>
      <c r="T5582" s="231"/>
      <c r="U5582" s="231"/>
      <c r="V5582" s="231"/>
      <c r="W5582" s="231"/>
      <c r="X5582" s="227"/>
      <c r="Y5582" s="348"/>
      <c r="Z5582" s="348"/>
      <c r="AA5582" s="348"/>
      <c r="AB5582" s="348"/>
      <c r="AC5582" s="227"/>
      <c r="AD5582" s="227"/>
      <c r="AE5582" s="231"/>
      <c r="AF5582" s="227"/>
      <c r="AG5582" s="348"/>
      <c r="AH5582" s="348"/>
      <c r="AI5582" s="348"/>
      <c r="AJ5582" s="348"/>
      <c r="AK5582" s="348"/>
      <c r="AL5582" s="348"/>
      <c r="AM5582" s="348"/>
      <c r="AN5582" s="348"/>
      <c r="AO5582" s="231"/>
      <c r="AP5582" s="231"/>
      <c r="AQ5582" s="227"/>
      <c r="AR5582" s="231"/>
      <c r="AS5582" s="227"/>
      <c r="AT5582" s="227"/>
      <c r="AU5582" s="227"/>
      <c r="AV5582" s="227"/>
      <c r="AW5582" s="227"/>
      <c r="AX5582" s="227"/>
      <c r="AY5582" s="227"/>
      <c r="AZ5582" s="227"/>
      <c r="BA5582" s="227"/>
      <c r="BB5582" s="227"/>
      <c r="BC5582" s="227"/>
      <c r="BD5582" s="227"/>
      <c r="BE5582" s="227"/>
      <c r="BF5582" s="227"/>
    </row>
    <row r="5583">
      <c r="A5583" s="227"/>
      <c r="B5583" s="348"/>
      <c r="C5583" s="227"/>
      <c r="D5583" s="227"/>
      <c r="E5583" s="231"/>
      <c r="F5583" s="348"/>
      <c r="G5583" s="227"/>
      <c r="H5583" s="227"/>
      <c r="I5583" s="227"/>
      <c r="J5583" s="227"/>
      <c r="K5583" s="227"/>
      <c r="L5583" s="348"/>
      <c r="M5583" s="348"/>
      <c r="N5583" s="227"/>
      <c r="O5583" s="227"/>
      <c r="P5583" s="231"/>
      <c r="Q5583" s="231"/>
      <c r="R5583" s="227"/>
      <c r="S5583" s="231"/>
      <c r="T5583" s="231"/>
      <c r="U5583" s="231"/>
      <c r="V5583" s="231"/>
      <c r="W5583" s="231"/>
      <c r="X5583" s="227"/>
      <c r="Y5583" s="348"/>
      <c r="Z5583" s="348"/>
      <c r="AA5583" s="348"/>
      <c r="AB5583" s="348"/>
      <c r="AC5583" s="227"/>
      <c r="AD5583" s="227"/>
      <c r="AE5583" s="231"/>
      <c r="AF5583" s="227"/>
      <c r="AG5583" s="348"/>
      <c r="AH5583" s="348"/>
      <c r="AI5583" s="348"/>
      <c r="AJ5583" s="348"/>
      <c r="AK5583" s="348"/>
      <c r="AL5583" s="348"/>
      <c r="AM5583" s="348"/>
      <c r="AN5583" s="348"/>
      <c r="AO5583" s="231"/>
      <c r="AP5583" s="231"/>
      <c r="AQ5583" s="227"/>
      <c r="AR5583" s="231"/>
      <c r="AS5583" s="227"/>
      <c r="AT5583" s="227"/>
      <c r="AU5583" s="227"/>
      <c r="AV5583" s="227"/>
      <c r="AW5583" s="227"/>
      <c r="AX5583" s="227"/>
      <c r="AY5583" s="227"/>
      <c r="AZ5583" s="227"/>
      <c r="BA5583" s="227"/>
      <c r="BB5583" s="227"/>
      <c r="BC5583" s="227"/>
      <c r="BD5583" s="227"/>
      <c r="BE5583" s="227"/>
      <c r="BF5583" s="227"/>
    </row>
    <row r="5584">
      <c r="A5584" s="227"/>
      <c r="B5584" s="348"/>
      <c r="C5584" s="227"/>
      <c r="D5584" s="227"/>
      <c r="E5584" s="231"/>
      <c r="F5584" s="348"/>
      <c r="G5584" s="227"/>
      <c r="H5584" s="227"/>
      <c r="I5584" s="227"/>
      <c r="J5584" s="227"/>
      <c r="K5584" s="227"/>
      <c r="L5584" s="348"/>
      <c r="M5584" s="348"/>
      <c r="N5584" s="227"/>
      <c r="O5584" s="227"/>
      <c r="P5584" s="231"/>
      <c r="Q5584" s="231"/>
      <c r="R5584" s="227"/>
      <c r="S5584" s="231"/>
      <c r="T5584" s="231"/>
      <c r="U5584" s="231"/>
      <c r="V5584" s="231"/>
      <c r="W5584" s="231"/>
      <c r="X5584" s="227"/>
      <c r="Y5584" s="348"/>
      <c r="Z5584" s="348"/>
      <c r="AA5584" s="348"/>
      <c r="AB5584" s="348"/>
      <c r="AC5584" s="227"/>
      <c r="AD5584" s="227"/>
      <c r="AE5584" s="231"/>
      <c r="AF5584" s="227"/>
      <c r="AG5584" s="348"/>
      <c r="AH5584" s="348"/>
      <c r="AI5584" s="348"/>
      <c r="AJ5584" s="348"/>
      <c r="AK5584" s="348"/>
      <c r="AL5584" s="348"/>
      <c r="AM5584" s="348"/>
      <c r="AN5584" s="348"/>
      <c r="AO5584" s="231"/>
      <c r="AP5584" s="231"/>
      <c r="AQ5584" s="227"/>
      <c r="AR5584" s="231"/>
      <c r="AS5584" s="227"/>
      <c r="AT5584" s="227"/>
      <c r="AU5584" s="227"/>
      <c r="AV5584" s="227"/>
      <c r="AW5584" s="227"/>
      <c r="AX5584" s="227"/>
      <c r="AY5584" s="227"/>
      <c r="AZ5584" s="227"/>
      <c r="BA5584" s="227"/>
      <c r="BB5584" s="227"/>
      <c r="BC5584" s="227"/>
      <c r="BD5584" s="227"/>
      <c r="BE5584" s="227"/>
      <c r="BF5584" s="227"/>
    </row>
    <row r="5585">
      <c r="A5585" s="227"/>
      <c r="B5585" s="348"/>
      <c r="C5585" s="227"/>
      <c r="D5585" s="227"/>
      <c r="E5585" s="231"/>
      <c r="F5585" s="348"/>
      <c r="G5585" s="227"/>
      <c r="H5585" s="227"/>
      <c r="I5585" s="227"/>
      <c r="J5585" s="227"/>
      <c r="K5585" s="227"/>
      <c r="L5585" s="348"/>
      <c r="M5585" s="348"/>
      <c r="N5585" s="227"/>
      <c r="O5585" s="227"/>
      <c r="P5585" s="231"/>
      <c r="Q5585" s="231"/>
      <c r="R5585" s="227"/>
      <c r="S5585" s="231"/>
      <c r="T5585" s="231"/>
      <c r="U5585" s="231"/>
      <c r="V5585" s="231"/>
      <c r="W5585" s="231"/>
      <c r="X5585" s="227"/>
      <c r="Y5585" s="348"/>
      <c r="Z5585" s="348"/>
      <c r="AA5585" s="348"/>
      <c r="AB5585" s="348"/>
      <c r="AC5585" s="227"/>
      <c r="AD5585" s="227"/>
      <c r="AE5585" s="231"/>
      <c r="AF5585" s="227"/>
      <c r="AG5585" s="348"/>
      <c r="AH5585" s="348"/>
      <c r="AI5585" s="348"/>
      <c r="AJ5585" s="348"/>
      <c r="AK5585" s="348"/>
      <c r="AL5585" s="348"/>
      <c r="AM5585" s="348"/>
      <c r="AN5585" s="348"/>
      <c r="AO5585" s="231"/>
      <c r="AP5585" s="231"/>
      <c r="AQ5585" s="227"/>
      <c r="AR5585" s="231"/>
      <c r="AS5585" s="227"/>
      <c r="AT5585" s="227"/>
      <c r="AU5585" s="227"/>
      <c r="AV5585" s="227"/>
      <c r="AW5585" s="227"/>
      <c r="AX5585" s="227"/>
      <c r="AY5585" s="227"/>
      <c r="AZ5585" s="227"/>
      <c r="BA5585" s="227"/>
      <c r="BB5585" s="227"/>
      <c r="BC5585" s="227"/>
      <c r="BD5585" s="227"/>
      <c r="BE5585" s="227"/>
      <c r="BF5585" s="227"/>
    </row>
    <row r="5586">
      <c r="A5586" s="227"/>
      <c r="B5586" s="348"/>
      <c r="C5586" s="227"/>
      <c r="D5586" s="227"/>
      <c r="E5586" s="231"/>
      <c r="F5586" s="348"/>
      <c r="G5586" s="227"/>
      <c r="H5586" s="227"/>
      <c r="I5586" s="227"/>
      <c r="J5586" s="227"/>
      <c r="K5586" s="227"/>
      <c r="L5586" s="348"/>
      <c r="M5586" s="348"/>
      <c r="N5586" s="227"/>
      <c r="O5586" s="227"/>
      <c r="P5586" s="231"/>
      <c r="Q5586" s="231"/>
      <c r="R5586" s="227"/>
      <c r="S5586" s="231"/>
      <c r="T5586" s="231"/>
      <c r="U5586" s="231"/>
      <c r="V5586" s="231"/>
      <c r="W5586" s="231"/>
      <c r="X5586" s="227"/>
      <c r="Y5586" s="348"/>
      <c r="Z5586" s="348"/>
      <c r="AA5586" s="348"/>
      <c r="AB5586" s="348"/>
      <c r="AC5586" s="227"/>
      <c r="AD5586" s="227"/>
      <c r="AE5586" s="231"/>
      <c r="AF5586" s="227"/>
      <c r="AG5586" s="348"/>
      <c r="AH5586" s="348"/>
      <c r="AI5586" s="348"/>
      <c r="AJ5586" s="348"/>
      <c r="AK5586" s="348"/>
      <c r="AL5586" s="348"/>
      <c r="AM5586" s="348"/>
      <c r="AN5586" s="348"/>
      <c r="AO5586" s="231"/>
      <c r="AP5586" s="231"/>
      <c r="AQ5586" s="227"/>
      <c r="AR5586" s="231"/>
      <c r="AS5586" s="227"/>
      <c r="AT5586" s="227"/>
      <c r="AU5586" s="227"/>
      <c r="AV5586" s="227"/>
      <c r="AW5586" s="227"/>
      <c r="AX5586" s="227"/>
      <c r="AY5586" s="227"/>
      <c r="AZ5586" s="227"/>
      <c r="BA5586" s="227"/>
      <c r="BB5586" s="227"/>
      <c r="BC5586" s="227"/>
      <c r="BD5586" s="227"/>
      <c r="BE5586" s="227"/>
      <c r="BF5586" s="227"/>
    </row>
    <row r="5587">
      <c r="A5587" s="227"/>
      <c r="B5587" s="348"/>
      <c r="C5587" s="227"/>
      <c r="D5587" s="227"/>
      <c r="E5587" s="231"/>
      <c r="F5587" s="348"/>
      <c r="G5587" s="227"/>
      <c r="H5587" s="227"/>
      <c r="I5587" s="227"/>
      <c r="J5587" s="227"/>
      <c r="K5587" s="227"/>
      <c r="L5587" s="348"/>
      <c r="M5587" s="348"/>
      <c r="N5587" s="227"/>
      <c r="O5587" s="227"/>
      <c r="P5587" s="231"/>
      <c r="Q5587" s="231"/>
      <c r="R5587" s="227"/>
      <c r="S5587" s="231"/>
      <c r="T5587" s="231"/>
      <c r="U5587" s="231"/>
      <c r="V5587" s="231"/>
      <c r="W5587" s="231"/>
      <c r="X5587" s="227"/>
      <c r="Y5587" s="348"/>
      <c r="Z5587" s="348"/>
      <c r="AA5587" s="348"/>
      <c r="AB5587" s="348"/>
      <c r="AC5587" s="227"/>
      <c r="AD5587" s="227"/>
      <c r="AE5587" s="231"/>
      <c r="AF5587" s="227"/>
      <c r="AG5587" s="348"/>
      <c r="AH5587" s="348"/>
      <c r="AI5587" s="348"/>
      <c r="AJ5587" s="348"/>
      <c r="AK5587" s="348"/>
      <c r="AL5587" s="348"/>
      <c r="AM5587" s="348"/>
      <c r="AN5587" s="348"/>
      <c r="AO5587" s="231"/>
      <c r="AP5587" s="231"/>
      <c r="AQ5587" s="227"/>
      <c r="AR5587" s="231"/>
      <c r="AS5587" s="227"/>
      <c r="AT5587" s="227"/>
      <c r="AU5587" s="227"/>
      <c r="AV5587" s="227"/>
      <c r="AW5587" s="227"/>
      <c r="AX5587" s="227"/>
      <c r="AY5587" s="227"/>
      <c r="AZ5587" s="227"/>
      <c r="BA5587" s="227"/>
      <c r="BB5587" s="227"/>
      <c r="BC5587" s="227"/>
      <c r="BD5587" s="227"/>
      <c r="BE5587" s="227"/>
      <c r="BF5587" s="227"/>
    </row>
    <row r="5588">
      <c r="A5588" s="227"/>
      <c r="B5588" s="348"/>
      <c r="C5588" s="227"/>
      <c r="D5588" s="227"/>
      <c r="E5588" s="231"/>
      <c r="F5588" s="348"/>
      <c r="G5588" s="227"/>
      <c r="H5588" s="227"/>
      <c r="I5588" s="227"/>
      <c r="J5588" s="227"/>
      <c r="K5588" s="227"/>
      <c r="L5588" s="348"/>
      <c r="M5588" s="348"/>
      <c r="N5588" s="227"/>
      <c r="O5588" s="227"/>
      <c r="P5588" s="231"/>
      <c r="Q5588" s="231"/>
      <c r="R5588" s="227"/>
      <c r="S5588" s="231"/>
      <c r="T5588" s="231"/>
      <c r="U5588" s="231"/>
      <c r="V5588" s="231"/>
      <c r="W5588" s="231"/>
      <c r="X5588" s="227"/>
      <c r="Y5588" s="348"/>
      <c r="Z5588" s="348"/>
      <c r="AA5588" s="348"/>
      <c r="AB5588" s="348"/>
      <c r="AC5588" s="227"/>
      <c r="AD5588" s="227"/>
      <c r="AE5588" s="231"/>
      <c r="AF5588" s="227"/>
      <c r="AG5588" s="348"/>
      <c r="AH5588" s="348"/>
      <c r="AI5588" s="348"/>
      <c r="AJ5588" s="348"/>
      <c r="AK5588" s="348"/>
      <c r="AL5588" s="348"/>
      <c r="AM5588" s="348"/>
      <c r="AN5588" s="348"/>
      <c r="AO5588" s="231"/>
      <c r="AP5588" s="231"/>
      <c r="AQ5588" s="227"/>
      <c r="AR5588" s="231"/>
      <c r="AS5588" s="227"/>
      <c r="AT5588" s="227"/>
      <c r="AU5588" s="227"/>
      <c r="AV5588" s="227"/>
      <c r="AW5588" s="227"/>
      <c r="AX5588" s="227"/>
      <c r="AY5588" s="227"/>
      <c r="AZ5588" s="227"/>
      <c r="BA5588" s="227"/>
      <c r="BB5588" s="227"/>
      <c r="BC5588" s="227"/>
      <c r="BD5588" s="227"/>
      <c r="BE5588" s="227"/>
      <c r="BF5588" s="227"/>
    </row>
    <row r="5589">
      <c r="A5589" s="227"/>
      <c r="B5589" s="348"/>
      <c r="C5589" s="227"/>
      <c r="D5589" s="227"/>
      <c r="E5589" s="231"/>
      <c r="F5589" s="348"/>
      <c r="G5589" s="227"/>
      <c r="H5589" s="227"/>
      <c r="I5589" s="227"/>
      <c r="J5589" s="227"/>
      <c r="K5589" s="227"/>
      <c r="L5589" s="348"/>
      <c r="M5589" s="348"/>
      <c r="N5589" s="227"/>
      <c r="O5589" s="227"/>
      <c r="P5589" s="231"/>
      <c r="Q5589" s="231"/>
      <c r="R5589" s="227"/>
      <c r="S5589" s="231"/>
      <c r="T5589" s="231"/>
      <c r="U5589" s="231"/>
      <c r="V5589" s="231"/>
      <c r="W5589" s="231"/>
      <c r="X5589" s="227"/>
      <c r="Y5589" s="348"/>
      <c r="Z5589" s="348"/>
      <c r="AA5589" s="348"/>
      <c r="AB5589" s="348"/>
      <c r="AC5589" s="227"/>
      <c r="AD5589" s="227"/>
      <c r="AE5589" s="231"/>
      <c r="AF5589" s="227"/>
      <c r="AG5589" s="348"/>
      <c r="AH5589" s="348"/>
      <c r="AI5589" s="348"/>
      <c r="AJ5589" s="348"/>
      <c r="AK5589" s="348"/>
      <c r="AL5589" s="348"/>
      <c r="AM5589" s="348"/>
      <c r="AN5589" s="348"/>
      <c r="AO5589" s="231"/>
      <c r="AP5589" s="231"/>
      <c r="AQ5589" s="227"/>
      <c r="AR5589" s="231"/>
      <c r="AS5589" s="227"/>
      <c r="AT5589" s="227"/>
      <c r="AU5589" s="227"/>
      <c r="AV5589" s="227"/>
      <c r="AW5589" s="227"/>
      <c r="AX5589" s="227"/>
      <c r="AY5589" s="227"/>
      <c r="AZ5589" s="227"/>
      <c r="BA5589" s="227"/>
      <c r="BB5589" s="227"/>
      <c r="BC5589" s="227"/>
      <c r="BD5589" s="227"/>
      <c r="BE5589" s="227"/>
      <c r="BF5589" s="227"/>
    </row>
    <row r="5590">
      <c r="A5590" s="227"/>
      <c r="B5590" s="348"/>
      <c r="C5590" s="227"/>
      <c r="D5590" s="227"/>
      <c r="E5590" s="231"/>
      <c r="F5590" s="348"/>
      <c r="G5590" s="227"/>
      <c r="H5590" s="227"/>
      <c r="I5590" s="227"/>
      <c r="J5590" s="227"/>
      <c r="K5590" s="227"/>
      <c r="L5590" s="348"/>
      <c r="M5590" s="348"/>
      <c r="N5590" s="227"/>
      <c r="O5590" s="227"/>
      <c r="P5590" s="231"/>
      <c r="Q5590" s="231"/>
      <c r="R5590" s="227"/>
      <c r="S5590" s="231"/>
      <c r="T5590" s="231"/>
      <c r="U5590" s="231"/>
      <c r="V5590" s="231"/>
      <c r="W5590" s="231"/>
      <c r="X5590" s="227"/>
      <c r="Y5590" s="348"/>
      <c r="Z5590" s="348"/>
      <c r="AA5590" s="348"/>
      <c r="AB5590" s="348"/>
      <c r="AC5590" s="227"/>
      <c r="AD5590" s="227"/>
      <c r="AE5590" s="231"/>
      <c r="AF5590" s="227"/>
      <c r="AG5590" s="348"/>
      <c r="AH5590" s="348"/>
      <c r="AI5590" s="348"/>
      <c r="AJ5590" s="348"/>
      <c r="AK5590" s="348"/>
      <c r="AL5590" s="348"/>
      <c r="AM5590" s="348"/>
      <c r="AN5590" s="348"/>
      <c r="AO5590" s="231"/>
      <c r="AP5590" s="231"/>
      <c r="AQ5590" s="227"/>
      <c r="AR5590" s="231"/>
      <c r="AS5590" s="227"/>
      <c r="AT5590" s="227"/>
      <c r="AU5590" s="227"/>
      <c r="AV5590" s="227"/>
      <c r="AW5590" s="227"/>
      <c r="AX5590" s="227"/>
      <c r="AY5590" s="227"/>
      <c r="AZ5590" s="227"/>
      <c r="BA5590" s="227"/>
      <c r="BB5590" s="227"/>
      <c r="BC5590" s="227"/>
      <c r="BD5590" s="227"/>
      <c r="BE5590" s="227"/>
      <c r="BF5590" s="227"/>
    </row>
    <row r="5591">
      <c r="A5591" s="227"/>
      <c r="B5591" s="348"/>
      <c r="C5591" s="227"/>
      <c r="D5591" s="227"/>
      <c r="E5591" s="231"/>
      <c r="F5591" s="348"/>
      <c r="G5591" s="227"/>
      <c r="H5591" s="227"/>
      <c r="I5591" s="227"/>
      <c r="J5591" s="227"/>
      <c r="K5591" s="227"/>
      <c r="L5591" s="348"/>
      <c r="M5591" s="348"/>
      <c r="N5591" s="227"/>
      <c r="O5591" s="227"/>
      <c r="P5591" s="231"/>
      <c r="Q5591" s="231"/>
      <c r="R5591" s="227"/>
      <c r="S5591" s="231"/>
      <c r="T5591" s="231"/>
      <c r="U5591" s="231"/>
      <c r="V5591" s="231"/>
      <c r="W5591" s="231"/>
      <c r="X5591" s="227"/>
      <c r="Y5591" s="348"/>
      <c r="Z5591" s="348"/>
      <c r="AA5591" s="348"/>
      <c r="AB5591" s="348"/>
      <c r="AC5591" s="227"/>
      <c r="AD5591" s="227"/>
      <c r="AE5591" s="231"/>
      <c r="AF5591" s="227"/>
      <c r="AG5591" s="348"/>
      <c r="AH5591" s="348"/>
      <c r="AI5591" s="348"/>
      <c r="AJ5591" s="348"/>
      <c r="AK5591" s="348"/>
      <c r="AL5591" s="348"/>
      <c r="AM5591" s="348"/>
      <c r="AN5591" s="348"/>
      <c r="AO5591" s="231"/>
      <c r="AP5591" s="231"/>
      <c r="AQ5591" s="227"/>
      <c r="AR5591" s="231"/>
      <c r="AS5591" s="227"/>
      <c r="AT5591" s="227"/>
      <c r="AU5591" s="227"/>
      <c r="AV5591" s="227"/>
      <c r="AW5591" s="227"/>
      <c r="AX5591" s="227"/>
      <c r="AY5591" s="227"/>
      <c r="AZ5591" s="227"/>
      <c r="BA5591" s="227"/>
      <c r="BB5591" s="227"/>
      <c r="BC5591" s="227"/>
      <c r="BD5591" s="227"/>
      <c r="BE5591" s="227"/>
      <c r="BF5591" s="227"/>
    </row>
    <row r="5592">
      <c r="A5592" s="227"/>
      <c r="B5592" s="348"/>
      <c r="C5592" s="227"/>
      <c r="D5592" s="227"/>
      <c r="E5592" s="231"/>
      <c r="F5592" s="348"/>
      <c r="G5592" s="227"/>
      <c r="H5592" s="227"/>
      <c r="I5592" s="227"/>
      <c r="J5592" s="227"/>
      <c r="K5592" s="227"/>
      <c r="L5592" s="348"/>
      <c r="M5592" s="348"/>
      <c r="N5592" s="227"/>
      <c r="O5592" s="227"/>
      <c r="P5592" s="231"/>
      <c r="Q5592" s="231"/>
      <c r="R5592" s="227"/>
      <c r="S5592" s="231"/>
      <c r="T5592" s="231"/>
      <c r="U5592" s="231"/>
      <c r="V5592" s="231"/>
      <c r="W5592" s="231"/>
      <c r="X5592" s="227"/>
      <c r="Y5592" s="348"/>
      <c r="Z5592" s="348"/>
      <c r="AA5592" s="348"/>
      <c r="AB5592" s="348"/>
      <c r="AC5592" s="227"/>
      <c r="AD5592" s="227"/>
      <c r="AE5592" s="231"/>
      <c r="AF5592" s="227"/>
      <c r="AG5592" s="348"/>
      <c r="AH5592" s="348"/>
      <c r="AI5592" s="348"/>
      <c r="AJ5592" s="348"/>
      <c r="AK5592" s="348"/>
      <c r="AL5592" s="348"/>
      <c r="AM5592" s="348"/>
      <c r="AN5592" s="348"/>
      <c r="AO5592" s="231"/>
      <c r="AP5592" s="231"/>
      <c r="AQ5592" s="227"/>
      <c r="AR5592" s="231"/>
      <c r="AS5592" s="227"/>
      <c r="AT5592" s="227"/>
      <c r="AU5592" s="227"/>
      <c r="AV5592" s="227"/>
      <c r="AW5592" s="227"/>
      <c r="AX5592" s="227"/>
      <c r="AY5592" s="227"/>
      <c r="AZ5592" s="227"/>
      <c r="BA5592" s="227"/>
      <c r="BB5592" s="227"/>
      <c r="BC5592" s="227"/>
      <c r="BD5592" s="227"/>
      <c r="BE5592" s="227"/>
      <c r="BF5592" s="227"/>
    </row>
    <row r="5593">
      <c r="A5593" s="227"/>
      <c r="B5593" s="348"/>
      <c r="C5593" s="227"/>
      <c r="D5593" s="227"/>
      <c r="E5593" s="231"/>
      <c r="F5593" s="348"/>
      <c r="G5593" s="227"/>
      <c r="H5593" s="227"/>
      <c r="I5593" s="227"/>
      <c r="J5593" s="227"/>
      <c r="K5593" s="227"/>
      <c r="L5593" s="348"/>
      <c r="M5593" s="348"/>
      <c r="N5593" s="227"/>
      <c r="O5593" s="227"/>
      <c r="P5593" s="231"/>
      <c r="Q5593" s="231"/>
      <c r="R5593" s="227"/>
      <c r="S5593" s="231"/>
      <c r="T5593" s="231"/>
      <c r="U5593" s="231"/>
      <c r="V5593" s="231"/>
      <c r="W5593" s="231"/>
      <c r="X5593" s="227"/>
      <c r="Y5593" s="348"/>
      <c r="Z5593" s="348"/>
      <c r="AA5593" s="348"/>
      <c r="AB5593" s="348"/>
      <c r="AC5593" s="227"/>
      <c r="AD5593" s="227"/>
      <c r="AE5593" s="231"/>
      <c r="AF5593" s="227"/>
      <c r="AG5593" s="348"/>
      <c r="AH5593" s="348"/>
      <c r="AI5593" s="348"/>
      <c r="AJ5593" s="348"/>
      <c r="AK5593" s="348"/>
      <c r="AL5593" s="348"/>
      <c r="AM5593" s="348"/>
      <c r="AN5593" s="348"/>
      <c r="AO5593" s="231"/>
      <c r="AP5593" s="231"/>
      <c r="AQ5593" s="227"/>
      <c r="AR5593" s="231"/>
      <c r="AS5593" s="227"/>
      <c r="AT5593" s="227"/>
      <c r="AU5593" s="227"/>
      <c r="AV5593" s="227"/>
      <c r="AW5593" s="227"/>
      <c r="AX5593" s="227"/>
      <c r="AY5593" s="227"/>
      <c r="AZ5593" s="227"/>
      <c r="BA5593" s="227"/>
      <c r="BB5593" s="227"/>
      <c r="BC5593" s="227"/>
      <c r="BD5593" s="227"/>
      <c r="BE5593" s="227"/>
      <c r="BF5593" s="227"/>
    </row>
    <row r="5594">
      <c r="A5594" s="227"/>
      <c r="B5594" s="348"/>
      <c r="C5594" s="227"/>
      <c r="D5594" s="227"/>
      <c r="E5594" s="231"/>
      <c r="F5594" s="348"/>
      <c r="G5594" s="227"/>
      <c r="H5594" s="227"/>
      <c r="I5594" s="227"/>
      <c r="J5594" s="227"/>
      <c r="K5594" s="227"/>
      <c r="L5594" s="348"/>
      <c r="M5594" s="348"/>
      <c r="N5594" s="227"/>
      <c r="O5594" s="227"/>
      <c r="P5594" s="231"/>
      <c r="Q5594" s="231"/>
      <c r="R5594" s="227"/>
      <c r="S5594" s="231"/>
      <c r="T5594" s="231"/>
      <c r="U5594" s="231"/>
      <c r="V5594" s="231"/>
      <c r="W5594" s="231"/>
      <c r="X5594" s="227"/>
      <c r="Y5594" s="348"/>
      <c r="Z5594" s="348"/>
      <c r="AA5594" s="348"/>
      <c r="AB5594" s="348"/>
      <c r="AC5594" s="227"/>
      <c r="AD5594" s="227"/>
      <c r="AE5594" s="231"/>
      <c r="AF5594" s="227"/>
      <c r="AG5594" s="348"/>
      <c r="AH5594" s="348"/>
      <c r="AI5594" s="348"/>
      <c r="AJ5594" s="348"/>
      <c r="AK5594" s="348"/>
      <c r="AL5594" s="348"/>
      <c r="AM5594" s="348"/>
      <c r="AN5594" s="348"/>
      <c r="AO5594" s="231"/>
      <c r="AP5594" s="231"/>
      <c r="AQ5594" s="227"/>
      <c r="AR5594" s="231"/>
      <c r="AS5594" s="227"/>
      <c r="AT5594" s="227"/>
      <c r="AU5594" s="227"/>
      <c r="AV5594" s="227"/>
      <c r="AW5594" s="227"/>
      <c r="AX5594" s="227"/>
      <c r="AY5594" s="227"/>
      <c r="AZ5594" s="227"/>
      <c r="BA5594" s="227"/>
      <c r="BB5594" s="227"/>
      <c r="BC5594" s="227"/>
      <c r="BD5594" s="227"/>
      <c r="BE5594" s="227"/>
      <c r="BF5594" s="227"/>
    </row>
    <row r="5595">
      <c r="A5595" s="227"/>
      <c r="B5595" s="348"/>
      <c r="C5595" s="227"/>
      <c r="D5595" s="227"/>
      <c r="E5595" s="231"/>
      <c r="F5595" s="348"/>
      <c r="G5595" s="227"/>
      <c r="H5595" s="227"/>
      <c r="I5595" s="227"/>
      <c r="J5595" s="227"/>
      <c r="K5595" s="227"/>
      <c r="L5595" s="348"/>
      <c r="M5595" s="348"/>
      <c r="N5595" s="227"/>
      <c r="O5595" s="227"/>
      <c r="P5595" s="231"/>
      <c r="Q5595" s="231"/>
      <c r="R5595" s="227"/>
      <c r="S5595" s="231"/>
      <c r="T5595" s="231"/>
      <c r="U5595" s="231"/>
      <c r="V5595" s="231"/>
      <c r="W5595" s="231"/>
      <c r="X5595" s="227"/>
      <c r="Y5595" s="348"/>
      <c r="Z5595" s="348"/>
      <c r="AA5595" s="348"/>
      <c r="AB5595" s="348"/>
      <c r="AC5595" s="227"/>
      <c r="AD5595" s="227"/>
      <c r="AE5595" s="231"/>
      <c r="AF5595" s="227"/>
      <c r="AG5595" s="348"/>
      <c r="AH5595" s="348"/>
      <c r="AI5595" s="348"/>
      <c r="AJ5595" s="348"/>
      <c r="AK5595" s="348"/>
      <c r="AL5595" s="348"/>
      <c r="AM5595" s="348"/>
      <c r="AN5595" s="348"/>
      <c r="AO5595" s="231"/>
      <c r="AP5595" s="231"/>
      <c r="AQ5595" s="227"/>
      <c r="AR5595" s="231"/>
      <c r="AS5595" s="227"/>
      <c r="AT5595" s="227"/>
      <c r="AU5595" s="227"/>
      <c r="AV5595" s="227"/>
      <c r="AW5595" s="227"/>
      <c r="AX5595" s="227"/>
      <c r="AY5595" s="227"/>
      <c r="AZ5595" s="227"/>
      <c r="BA5595" s="227"/>
      <c r="BB5595" s="227"/>
      <c r="BC5595" s="227"/>
      <c r="BD5595" s="227"/>
      <c r="BE5595" s="227"/>
      <c r="BF5595" s="227"/>
    </row>
    <row r="5596">
      <c r="A5596" s="227"/>
      <c r="B5596" s="348"/>
      <c r="C5596" s="227"/>
      <c r="D5596" s="227"/>
      <c r="E5596" s="231"/>
      <c r="F5596" s="348"/>
      <c r="G5596" s="227"/>
      <c r="H5596" s="227"/>
      <c r="I5596" s="227"/>
      <c r="J5596" s="227"/>
      <c r="K5596" s="227"/>
      <c r="L5596" s="348"/>
      <c r="M5596" s="348"/>
      <c r="N5596" s="227"/>
      <c r="O5596" s="227"/>
      <c r="P5596" s="231"/>
      <c r="Q5596" s="231"/>
      <c r="R5596" s="227"/>
      <c r="S5596" s="231"/>
      <c r="T5596" s="231"/>
      <c r="U5596" s="231"/>
      <c r="V5596" s="231"/>
      <c r="W5596" s="231"/>
      <c r="X5596" s="227"/>
      <c r="Y5596" s="348"/>
      <c r="Z5596" s="348"/>
      <c r="AA5596" s="348"/>
      <c r="AB5596" s="348"/>
      <c r="AC5596" s="227"/>
      <c r="AD5596" s="227"/>
      <c r="AE5596" s="231"/>
      <c r="AF5596" s="227"/>
      <c r="AG5596" s="348"/>
      <c r="AH5596" s="348"/>
      <c r="AI5596" s="348"/>
      <c r="AJ5596" s="348"/>
      <c r="AK5596" s="348"/>
      <c r="AL5596" s="348"/>
      <c r="AM5596" s="348"/>
      <c r="AN5596" s="348"/>
      <c r="AO5596" s="231"/>
      <c r="AP5596" s="231"/>
      <c r="AQ5596" s="227"/>
      <c r="AR5596" s="231"/>
      <c r="AS5596" s="227"/>
      <c r="AT5596" s="227"/>
      <c r="AU5596" s="227"/>
      <c r="AV5596" s="227"/>
      <c r="AW5596" s="227"/>
      <c r="AX5596" s="227"/>
      <c r="AY5596" s="227"/>
      <c r="AZ5596" s="227"/>
      <c r="BA5596" s="227"/>
      <c r="BB5596" s="227"/>
      <c r="BC5596" s="227"/>
      <c r="BD5596" s="227"/>
      <c r="BE5596" s="227"/>
      <c r="BF5596" s="227"/>
    </row>
    <row r="5597">
      <c r="A5597" s="227"/>
      <c r="B5597" s="348"/>
      <c r="C5597" s="227"/>
      <c r="D5597" s="227"/>
      <c r="E5597" s="231"/>
      <c r="F5597" s="348"/>
      <c r="G5597" s="227"/>
      <c r="H5597" s="227"/>
      <c r="I5597" s="227"/>
      <c r="J5597" s="227"/>
      <c r="K5597" s="227"/>
      <c r="L5597" s="348"/>
      <c r="M5597" s="348"/>
      <c r="N5597" s="227"/>
      <c r="O5597" s="227"/>
      <c r="P5597" s="231"/>
      <c r="Q5597" s="231"/>
      <c r="R5597" s="227"/>
      <c r="S5597" s="231"/>
      <c r="T5597" s="231"/>
      <c r="U5597" s="231"/>
      <c r="V5597" s="231"/>
      <c r="W5597" s="231"/>
      <c r="X5597" s="227"/>
      <c r="Y5597" s="348"/>
      <c r="Z5597" s="348"/>
      <c r="AA5597" s="348"/>
      <c r="AB5597" s="348"/>
      <c r="AC5597" s="227"/>
      <c r="AD5597" s="227"/>
      <c r="AE5597" s="231"/>
      <c r="AF5597" s="227"/>
      <c r="AG5597" s="348"/>
      <c r="AH5597" s="348"/>
      <c r="AI5597" s="348"/>
      <c r="AJ5597" s="348"/>
      <c r="AK5597" s="348"/>
      <c r="AL5597" s="348"/>
      <c r="AM5597" s="348"/>
      <c r="AN5597" s="348"/>
      <c r="AO5597" s="231"/>
      <c r="AP5597" s="231"/>
      <c r="AQ5597" s="227"/>
      <c r="AR5597" s="231"/>
      <c r="AS5597" s="227"/>
      <c r="AT5597" s="227"/>
      <c r="AU5597" s="227"/>
      <c r="AV5597" s="227"/>
      <c r="AW5597" s="227"/>
      <c r="AX5597" s="227"/>
      <c r="AY5597" s="227"/>
      <c r="AZ5597" s="227"/>
      <c r="BA5597" s="227"/>
      <c r="BB5597" s="227"/>
      <c r="BC5597" s="227"/>
      <c r="BD5597" s="227"/>
      <c r="BE5597" s="227"/>
      <c r="BF5597" s="227"/>
    </row>
    <row r="5598">
      <c r="A5598" s="227"/>
      <c r="B5598" s="348"/>
      <c r="C5598" s="227"/>
      <c r="D5598" s="227"/>
      <c r="E5598" s="231"/>
      <c r="F5598" s="348"/>
      <c r="G5598" s="227"/>
      <c r="H5598" s="227"/>
      <c r="I5598" s="227"/>
      <c r="J5598" s="227"/>
      <c r="K5598" s="227"/>
      <c r="L5598" s="348"/>
      <c r="M5598" s="348"/>
      <c r="N5598" s="227"/>
      <c r="O5598" s="227"/>
      <c r="P5598" s="231"/>
      <c r="Q5598" s="231"/>
      <c r="R5598" s="227"/>
      <c r="S5598" s="231"/>
      <c r="T5598" s="231"/>
      <c r="U5598" s="231"/>
      <c r="V5598" s="231"/>
      <c r="W5598" s="231"/>
      <c r="X5598" s="227"/>
      <c r="Y5598" s="348"/>
      <c r="Z5598" s="348"/>
      <c r="AA5598" s="348"/>
      <c r="AB5598" s="348"/>
      <c r="AC5598" s="227"/>
      <c r="AD5598" s="227"/>
      <c r="AE5598" s="231"/>
      <c r="AF5598" s="227"/>
      <c r="AG5598" s="348"/>
      <c r="AH5598" s="348"/>
      <c r="AI5598" s="348"/>
      <c r="AJ5598" s="348"/>
      <c r="AK5598" s="348"/>
      <c r="AL5598" s="348"/>
      <c r="AM5598" s="348"/>
      <c r="AN5598" s="348"/>
      <c r="AO5598" s="231"/>
      <c r="AP5598" s="231"/>
      <c r="AQ5598" s="227"/>
      <c r="AR5598" s="231"/>
      <c r="AS5598" s="227"/>
      <c r="AT5598" s="227"/>
      <c r="AU5598" s="227"/>
      <c r="AV5598" s="227"/>
      <c r="AW5598" s="227"/>
      <c r="AX5598" s="227"/>
      <c r="AY5598" s="227"/>
      <c r="AZ5598" s="227"/>
      <c r="BA5598" s="227"/>
      <c r="BB5598" s="227"/>
      <c r="BC5598" s="227"/>
      <c r="BD5598" s="227"/>
      <c r="BE5598" s="227"/>
      <c r="BF5598" s="227"/>
    </row>
    <row r="5599">
      <c r="A5599" s="227"/>
      <c r="B5599" s="348"/>
      <c r="C5599" s="227"/>
      <c r="D5599" s="227"/>
      <c r="E5599" s="231"/>
      <c r="F5599" s="348"/>
      <c r="G5599" s="227"/>
      <c r="H5599" s="227"/>
      <c r="I5599" s="227"/>
      <c r="J5599" s="227"/>
      <c r="K5599" s="227"/>
      <c r="L5599" s="348"/>
      <c r="M5599" s="348"/>
      <c r="N5599" s="227"/>
      <c r="O5599" s="227"/>
      <c r="P5599" s="231"/>
      <c r="Q5599" s="231"/>
      <c r="R5599" s="227"/>
      <c r="S5599" s="231"/>
      <c r="T5599" s="231"/>
      <c r="U5599" s="231"/>
      <c r="V5599" s="231"/>
      <c r="W5599" s="231"/>
      <c r="X5599" s="227"/>
      <c r="Y5599" s="348"/>
      <c r="Z5599" s="348"/>
      <c r="AA5599" s="348"/>
      <c r="AB5599" s="348"/>
      <c r="AC5599" s="227"/>
      <c r="AD5599" s="227"/>
      <c r="AE5599" s="231"/>
      <c r="AF5599" s="227"/>
      <c r="AG5599" s="348"/>
      <c r="AH5599" s="348"/>
      <c r="AI5599" s="348"/>
      <c r="AJ5599" s="348"/>
      <c r="AK5599" s="348"/>
      <c r="AL5599" s="348"/>
      <c r="AM5599" s="348"/>
      <c r="AN5599" s="348"/>
      <c r="AO5599" s="231"/>
      <c r="AP5599" s="231"/>
      <c r="AQ5599" s="227"/>
      <c r="AR5599" s="231"/>
      <c r="AS5599" s="227"/>
      <c r="AT5599" s="227"/>
      <c r="AU5599" s="227"/>
      <c r="AV5599" s="227"/>
      <c r="AW5599" s="227"/>
      <c r="AX5599" s="227"/>
      <c r="AY5599" s="227"/>
      <c r="AZ5599" s="227"/>
      <c r="BA5599" s="227"/>
      <c r="BB5599" s="227"/>
      <c r="BC5599" s="227"/>
      <c r="BD5599" s="227"/>
      <c r="BE5599" s="227"/>
      <c r="BF5599" s="227"/>
    </row>
    <row r="5600">
      <c r="A5600" s="227"/>
      <c r="B5600" s="348"/>
      <c r="C5600" s="227"/>
      <c r="D5600" s="227"/>
      <c r="E5600" s="231"/>
      <c r="F5600" s="348"/>
      <c r="G5600" s="227"/>
      <c r="H5600" s="227"/>
      <c r="I5600" s="227"/>
      <c r="J5600" s="227"/>
      <c r="K5600" s="227"/>
      <c r="L5600" s="348"/>
      <c r="M5600" s="348"/>
      <c r="N5600" s="227"/>
      <c r="O5600" s="227"/>
      <c r="P5600" s="231"/>
      <c r="Q5600" s="231"/>
      <c r="R5600" s="227"/>
      <c r="S5600" s="231"/>
      <c r="T5600" s="231"/>
      <c r="U5600" s="231"/>
      <c r="V5600" s="231"/>
      <c r="W5600" s="231"/>
      <c r="X5600" s="227"/>
      <c r="Y5600" s="348"/>
      <c r="Z5600" s="348"/>
      <c r="AA5600" s="348"/>
      <c r="AB5600" s="348"/>
      <c r="AC5600" s="227"/>
      <c r="AD5600" s="227"/>
      <c r="AE5600" s="231"/>
      <c r="AF5600" s="227"/>
      <c r="AG5600" s="348"/>
      <c r="AH5600" s="348"/>
      <c r="AI5600" s="348"/>
      <c r="AJ5600" s="348"/>
      <c r="AK5600" s="348"/>
      <c r="AL5600" s="348"/>
      <c r="AM5600" s="348"/>
      <c r="AN5600" s="348"/>
      <c r="AO5600" s="231"/>
      <c r="AP5600" s="231"/>
      <c r="AQ5600" s="227"/>
      <c r="AR5600" s="231"/>
      <c r="AS5600" s="227"/>
      <c r="AT5600" s="227"/>
      <c r="AU5600" s="227"/>
      <c r="AV5600" s="227"/>
      <c r="AW5600" s="227"/>
      <c r="AX5600" s="227"/>
      <c r="AY5600" s="227"/>
      <c r="AZ5600" s="227"/>
      <c r="BA5600" s="227"/>
      <c r="BB5600" s="227"/>
      <c r="BC5600" s="227"/>
      <c r="BD5600" s="227"/>
      <c r="BE5600" s="227"/>
      <c r="BF5600" s="227"/>
    </row>
    <row r="5601">
      <c r="A5601" s="227"/>
      <c r="B5601" s="348"/>
      <c r="C5601" s="227"/>
      <c r="D5601" s="227"/>
      <c r="E5601" s="231"/>
      <c r="F5601" s="348"/>
      <c r="G5601" s="227"/>
      <c r="H5601" s="227"/>
      <c r="I5601" s="227"/>
      <c r="J5601" s="227"/>
      <c r="K5601" s="227"/>
      <c r="L5601" s="348"/>
      <c r="M5601" s="348"/>
      <c r="N5601" s="227"/>
      <c r="O5601" s="227"/>
      <c r="P5601" s="231"/>
      <c r="Q5601" s="231"/>
      <c r="R5601" s="227"/>
      <c r="S5601" s="231"/>
      <c r="T5601" s="231"/>
      <c r="U5601" s="231"/>
      <c r="V5601" s="231"/>
      <c r="W5601" s="231"/>
      <c r="X5601" s="227"/>
      <c r="Y5601" s="348"/>
      <c r="Z5601" s="348"/>
      <c r="AA5601" s="348"/>
      <c r="AB5601" s="348"/>
      <c r="AC5601" s="227"/>
      <c r="AD5601" s="227"/>
      <c r="AE5601" s="231"/>
      <c r="AF5601" s="227"/>
      <c r="AG5601" s="348"/>
      <c r="AH5601" s="348"/>
      <c r="AI5601" s="348"/>
      <c r="AJ5601" s="348"/>
      <c r="AK5601" s="348"/>
      <c r="AL5601" s="348"/>
      <c r="AM5601" s="348"/>
      <c r="AN5601" s="348"/>
      <c r="AO5601" s="231"/>
      <c r="AP5601" s="231"/>
      <c r="AQ5601" s="227"/>
      <c r="AR5601" s="231"/>
      <c r="AS5601" s="227"/>
      <c r="AT5601" s="227"/>
      <c r="AU5601" s="227"/>
      <c r="AV5601" s="227"/>
      <c r="AW5601" s="227"/>
      <c r="AX5601" s="227"/>
      <c r="AY5601" s="227"/>
      <c r="AZ5601" s="227"/>
      <c r="BA5601" s="227"/>
      <c r="BB5601" s="227"/>
      <c r="BC5601" s="227"/>
      <c r="BD5601" s="227"/>
      <c r="BE5601" s="227"/>
      <c r="BF5601" s="227"/>
    </row>
    <row r="5602">
      <c r="A5602" s="227"/>
      <c r="B5602" s="348"/>
      <c r="C5602" s="227"/>
      <c r="D5602" s="227"/>
      <c r="E5602" s="231"/>
      <c r="F5602" s="348"/>
      <c r="G5602" s="227"/>
      <c r="H5602" s="227"/>
      <c r="I5602" s="227"/>
      <c r="J5602" s="227"/>
      <c r="K5602" s="227"/>
      <c r="L5602" s="348"/>
      <c r="M5602" s="348"/>
      <c r="N5602" s="227"/>
      <c r="O5602" s="227"/>
      <c r="P5602" s="231"/>
      <c r="Q5602" s="231"/>
      <c r="R5602" s="227"/>
      <c r="S5602" s="231"/>
      <c r="T5602" s="231"/>
      <c r="U5602" s="231"/>
      <c r="V5602" s="231"/>
      <c r="W5602" s="231"/>
      <c r="X5602" s="227"/>
      <c r="Y5602" s="348"/>
      <c r="Z5602" s="348"/>
      <c r="AA5602" s="348"/>
      <c r="AB5602" s="348"/>
      <c r="AC5602" s="227"/>
      <c r="AD5602" s="227"/>
      <c r="AE5602" s="231"/>
      <c r="AF5602" s="227"/>
      <c r="AG5602" s="348"/>
      <c r="AH5602" s="348"/>
      <c r="AI5602" s="348"/>
      <c r="AJ5602" s="348"/>
      <c r="AK5602" s="348"/>
      <c r="AL5602" s="348"/>
      <c r="AM5602" s="348"/>
      <c r="AN5602" s="348"/>
      <c r="AO5602" s="231"/>
      <c r="AP5602" s="231"/>
      <c r="AQ5602" s="227"/>
      <c r="AR5602" s="231"/>
      <c r="AS5602" s="227"/>
      <c r="AT5602" s="227"/>
      <c r="AU5602" s="227"/>
      <c r="AV5602" s="227"/>
      <c r="AW5602" s="227"/>
      <c r="AX5602" s="227"/>
      <c r="AY5602" s="227"/>
      <c r="AZ5602" s="227"/>
      <c r="BA5602" s="227"/>
      <c r="BB5602" s="227"/>
      <c r="BC5602" s="227"/>
      <c r="BD5602" s="227"/>
      <c r="BE5602" s="227"/>
      <c r="BF5602" s="227"/>
    </row>
    <row r="5603">
      <c r="A5603" s="227"/>
      <c r="B5603" s="348"/>
      <c r="C5603" s="227"/>
      <c r="D5603" s="227"/>
      <c r="E5603" s="231"/>
      <c r="F5603" s="348"/>
      <c r="G5603" s="227"/>
      <c r="H5603" s="227"/>
      <c r="I5603" s="227"/>
      <c r="J5603" s="227"/>
      <c r="K5603" s="227"/>
      <c r="L5603" s="348"/>
      <c r="M5603" s="348"/>
      <c r="N5603" s="227"/>
      <c r="O5603" s="227"/>
      <c r="P5603" s="231"/>
      <c r="Q5603" s="231"/>
      <c r="R5603" s="227"/>
      <c r="S5603" s="231"/>
      <c r="T5603" s="231"/>
      <c r="U5603" s="231"/>
      <c r="V5603" s="231"/>
      <c r="W5603" s="231"/>
      <c r="X5603" s="227"/>
      <c r="Y5603" s="348"/>
      <c r="Z5603" s="348"/>
      <c r="AA5603" s="348"/>
      <c r="AB5603" s="348"/>
      <c r="AC5603" s="227"/>
      <c r="AD5603" s="227"/>
      <c r="AE5603" s="231"/>
      <c r="AF5603" s="227"/>
      <c r="AG5603" s="348"/>
      <c r="AH5603" s="348"/>
      <c r="AI5603" s="348"/>
      <c r="AJ5603" s="348"/>
      <c r="AK5603" s="348"/>
      <c r="AL5603" s="348"/>
      <c r="AM5603" s="348"/>
      <c r="AN5603" s="348"/>
      <c r="AO5603" s="231"/>
      <c r="AP5603" s="231"/>
      <c r="AQ5603" s="227"/>
      <c r="AR5603" s="231"/>
      <c r="AS5603" s="227"/>
      <c r="AT5603" s="227"/>
      <c r="AU5603" s="227"/>
      <c r="AV5603" s="227"/>
      <c r="AW5603" s="227"/>
      <c r="AX5603" s="227"/>
      <c r="AY5603" s="227"/>
      <c r="AZ5603" s="227"/>
      <c r="BA5603" s="227"/>
      <c r="BB5603" s="227"/>
      <c r="BC5603" s="227"/>
      <c r="BD5603" s="227"/>
      <c r="BE5603" s="227"/>
      <c r="BF5603" s="227"/>
    </row>
    <row r="5604">
      <c r="A5604" s="227"/>
      <c r="B5604" s="348"/>
      <c r="C5604" s="227"/>
      <c r="D5604" s="227"/>
      <c r="E5604" s="231"/>
      <c r="F5604" s="348"/>
      <c r="G5604" s="227"/>
      <c r="H5604" s="227"/>
      <c r="I5604" s="227"/>
      <c r="J5604" s="227"/>
      <c r="K5604" s="227"/>
      <c r="L5604" s="348"/>
      <c r="M5604" s="348"/>
      <c r="N5604" s="227"/>
      <c r="O5604" s="227"/>
      <c r="P5604" s="231"/>
      <c r="Q5604" s="231"/>
      <c r="R5604" s="227"/>
      <c r="S5604" s="231"/>
      <c r="T5604" s="231"/>
      <c r="U5604" s="231"/>
      <c r="V5604" s="231"/>
      <c r="W5604" s="231"/>
      <c r="X5604" s="227"/>
      <c r="Y5604" s="348"/>
      <c r="Z5604" s="348"/>
      <c r="AA5604" s="348"/>
      <c r="AB5604" s="348"/>
      <c r="AC5604" s="227"/>
      <c r="AD5604" s="227"/>
      <c r="AE5604" s="231"/>
      <c r="AF5604" s="227"/>
      <c r="AG5604" s="348"/>
      <c r="AH5604" s="348"/>
      <c r="AI5604" s="348"/>
      <c r="AJ5604" s="348"/>
      <c r="AK5604" s="348"/>
      <c r="AL5604" s="348"/>
      <c r="AM5604" s="348"/>
      <c r="AN5604" s="348"/>
      <c r="AO5604" s="231"/>
      <c r="AP5604" s="231"/>
      <c r="AQ5604" s="227"/>
      <c r="AR5604" s="231"/>
      <c r="AS5604" s="227"/>
      <c r="AT5604" s="227"/>
      <c r="AU5604" s="227"/>
      <c r="AV5604" s="227"/>
      <c r="AW5604" s="227"/>
      <c r="AX5604" s="227"/>
      <c r="AY5604" s="227"/>
      <c r="AZ5604" s="227"/>
      <c r="BA5604" s="227"/>
      <c r="BB5604" s="227"/>
      <c r="BC5604" s="227"/>
      <c r="BD5604" s="227"/>
      <c r="BE5604" s="227"/>
      <c r="BF5604" s="227"/>
    </row>
    <row r="5605">
      <c r="A5605" s="227"/>
      <c r="B5605" s="348"/>
      <c r="C5605" s="227"/>
      <c r="D5605" s="227"/>
      <c r="E5605" s="231"/>
      <c r="F5605" s="348"/>
      <c r="G5605" s="227"/>
      <c r="H5605" s="227"/>
      <c r="I5605" s="227"/>
      <c r="J5605" s="227"/>
      <c r="K5605" s="227"/>
      <c r="L5605" s="348"/>
      <c r="M5605" s="348"/>
      <c r="N5605" s="227"/>
      <c r="O5605" s="227"/>
      <c r="P5605" s="231"/>
      <c r="Q5605" s="231"/>
      <c r="R5605" s="227"/>
      <c r="S5605" s="231"/>
      <c r="T5605" s="231"/>
      <c r="U5605" s="231"/>
      <c r="V5605" s="231"/>
      <c r="W5605" s="231"/>
      <c r="X5605" s="227"/>
      <c r="Y5605" s="348"/>
      <c r="Z5605" s="348"/>
      <c r="AA5605" s="348"/>
      <c r="AB5605" s="348"/>
      <c r="AC5605" s="227"/>
      <c r="AD5605" s="227"/>
      <c r="AE5605" s="231"/>
      <c r="AF5605" s="227"/>
      <c r="AG5605" s="348"/>
      <c r="AH5605" s="348"/>
      <c r="AI5605" s="348"/>
      <c r="AJ5605" s="348"/>
      <c r="AK5605" s="348"/>
      <c r="AL5605" s="348"/>
      <c r="AM5605" s="348"/>
      <c r="AN5605" s="348"/>
      <c r="AO5605" s="231"/>
      <c r="AP5605" s="231"/>
      <c r="AQ5605" s="227"/>
      <c r="AR5605" s="231"/>
      <c r="AS5605" s="227"/>
      <c r="AT5605" s="227"/>
      <c r="AU5605" s="227"/>
      <c r="AV5605" s="227"/>
      <c r="AW5605" s="227"/>
      <c r="AX5605" s="227"/>
      <c r="AY5605" s="227"/>
      <c r="AZ5605" s="227"/>
      <c r="BA5605" s="227"/>
      <c r="BB5605" s="227"/>
      <c r="BC5605" s="227"/>
      <c r="BD5605" s="227"/>
      <c r="BE5605" s="227"/>
      <c r="BF5605" s="227"/>
    </row>
    <row r="5606">
      <c r="A5606" s="227"/>
      <c r="B5606" s="348"/>
      <c r="C5606" s="227"/>
      <c r="D5606" s="227"/>
      <c r="E5606" s="231"/>
      <c r="F5606" s="348"/>
      <c r="G5606" s="227"/>
      <c r="H5606" s="227"/>
      <c r="I5606" s="227"/>
      <c r="J5606" s="227"/>
      <c r="K5606" s="227"/>
      <c r="L5606" s="348"/>
      <c r="M5606" s="348"/>
      <c r="N5606" s="227"/>
      <c r="O5606" s="227"/>
      <c r="P5606" s="231"/>
      <c r="Q5606" s="231"/>
      <c r="R5606" s="227"/>
      <c r="S5606" s="231"/>
      <c r="T5606" s="231"/>
      <c r="U5606" s="231"/>
      <c r="V5606" s="231"/>
      <c r="W5606" s="231"/>
      <c r="X5606" s="227"/>
      <c r="Y5606" s="348"/>
      <c r="Z5606" s="348"/>
      <c r="AA5606" s="348"/>
      <c r="AB5606" s="348"/>
      <c r="AC5606" s="227"/>
      <c r="AD5606" s="227"/>
      <c r="AE5606" s="231"/>
      <c r="AF5606" s="227"/>
      <c r="AG5606" s="348"/>
      <c r="AH5606" s="348"/>
      <c r="AI5606" s="348"/>
      <c r="AJ5606" s="348"/>
      <c r="AK5606" s="348"/>
      <c r="AL5606" s="348"/>
      <c r="AM5606" s="348"/>
      <c r="AN5606" s="348"/>
      <c r="AO5606" s="231"/>
      <c r="AP5606" s="231"/>
      <c r="AQ5606" s="227"/>
      <c r="AR5606" s="231"/>
      <c r="AS5606" s="227"/>
      <c r="AT5606" s="227"/>
      <c r="AU5606" s="227"/>
      <c r="AV5606" s="227"/>
      <c r="AW5606" s="227"/>
      <c r="AX5606" s="227"/>
      <c r="AY5606" s="227"/>
      <c r="AZ5606" s="227"/>
      <c r="BA5606" s="227"/>
      <c r="BB5606" s="227"/>
      <c r="BC5606" s="227"/>
      <c r="BD5606" s="227"/>
      <c r="BE5606" s="227"/>
      <c r="BF5606" s="227"/>
    </row>
    <row r="5607">
      <c r="A5607" s="227"/>
      <c r="B5607" s="348"/>
      <c r="C5607" s="227"/>
      <c r="D5607" s="227"/>
      <c r="E5607" s="231"/>
      <c r="F5607" s="348"/>
      <c r="G5607" s="227"/>
      <c r="H5607" s="227"/>
      <c r="I5607" s="227"/>
      <c r="J5607" s="227"/>
      <c r="K5607" s="227"/>
      <c r="L5607" s="348"/>
      <c r="M5607" s="348"/>
      <c r="N5607" s="227"/>
      <c r="O5607" s="227"/>
      <c r="P5607" s="231"/>
      <c r="Q5607" s="231"/>
      <c r="R5607" s="227"/>
      <c r="S5607" s="231"/>
      <c r="T5607" s="231"/>
      <c r="U5607" s="231"/>
      <c r="V5607" s="231"/>
      <c r="W5607" s="231"/>
      <c r="X5607" s="227"/>
      <c r="Y5607" s="348"/>
      <c r="Z5607" s="348"/>
      <c r="AA5607" s="348"/>
      <c r="AB5607" s="348"/>
      <c r="AC5607" s="227"/>
      <c r="AD5607" s="227"/>
      <c r="AE5607" s="231"/>
      <c r="AF5607" s="227"/>
      <c r="AG5607" s="348"/>
      <c r="AH5607" s="348"/>
      <c r="AI5607" s="348"/>
      <c r="AJ5607" s="348"/>
      <c r="AK5607" s="348"/>
      <c r="AL5607" s="348"/>
      <c r="AM5607" s="348"/>
      <c r="AN5607" s="348"/>
      <c r="AO5607" s="231"/>
      <c r="AP5607" s="231"/>
      <c r="AQ5607" s="227"/>
      <c r="AR5607" s="231"/>
      <c r="AS5607" s="227"/>
      <c r="AT5607" s="227"/>
      <c r="AU5607" s="227"/>
      <c r="AV5607" s="227"/>
      <c r="AW5607" s="227"/>
      <c r="AX5607" s="227"/>
      <c r="AY5607" s="227"/>
      <c r="AZ5607" s="227"/>
      <c r="BA5607" s="227"/>
      <c r="BB5607" s="227"/>
      <c r="BC5607" s="227"/>
      <c r="BD5607" s="227"/>
      <c r="BE5607" s="227"/>
      <c r="BF5607" s="227"/>
    </row>
    <row r="5608">
      <c r="A5608" s="227"/>
      <c r="B5608" s="348"/>
      <c r="C5608" s="227"/>
      <c r="D5608" s="227"/>
      <c r="E5608" s="231"/>
      <c r="F5608" s="348"/>
      <c r="G5608" s="227"/>
      <c r="H5608" s="227"/>
      <c r="I5608" s="227"/>
      <c r="J5608" s="227"/>
      <c r="K5608" s="227"/>
      <c r="L5608" s="348"/>
      <c r="M5608" s="348"/>
      <c r="N5608" s="227"/>
      <c r="O5608" s="227"/>
      <c r="P5608" s="231"/>
      <c r="Q5608" s="231"/>
      <c r="R5608" s="227"/>
      <c r="S5608" s="231"/>
      <c r="T5608" s="231"/>
      <c r="U5608" s="231"/>
      <c r="V5608" s="231"/>
      <c r="W5608" s="231"/>
      <c r="X5608" s="227"/>
      <c r="Y5608" s="348"/>
      <c r="Z5608" s="348"/>
      <c r="AA5608" s="348"/>
      <c r="AB5608" s="348"/>
      <c r="AC5608" s="227"/>
      <c r="AD5608" s="227"/>
      <c r="AE5608" s="231"/>
      <c r="AF5608" s="227"/>
      <c r="AG5608" s="348"/>
      <c r="AH5608" s="348"/>
      <c r="AI5608" s="348"/>
      <c r="AJ5608" s="348"/>
      <c r="AK5608" s="348"/>
      <c r="AL5608" s="348"/>
      <c r="AM5608" s="348"/>
      <c r="AN5608" s="348"/>
      <c r="AO5608" s="231"/>
      <c r="AP5608" s="231"/>
      <c r="AQ5608" s="227"/>
      <c r="AR5608" s="231"/>
      <c r="AS5608" s="227"/>
      <c r="AT5608" s="227"/>
      <c r="AU5608" s="227"/>
      <c r="AV5608" s="227"/>
      <c r="AW5608" s="227"/>
      <c r="AX5608" s="227"/>
      <c r="AY5608" s="227"/>
      <c r="AZ5608" s="227"/>
      <c r="BA5608" s="227"/>
      <c r="BB5608" s="227"/>
      <c r="BC5608" s="227"/>
      <c r="BD5608" s="227"/>
      <c r="BE5608" s="227"/>
      <c r="BF5608" s="227"/>
    </row>
    <row r="5609">
      <c r="A5609" s="227"/>
      <c r="B5609" s="348"/>
      <c r="C5609" s="227"/>
      <c r="D5609" s="227"/>
      <c r="E5609" s="231"/>
      <c r="F5609" s="348"/>
      <c r="G5609" s="227"/>
      <c r="H5609" s="227"/>
      <c r="I5609" s="227"/>
      <c r="J5609" s="227"/>
      <c r="K5609" s="227"/>
      <c r="L5609" s="348"/>
      <c r="M5609" s="348"/>
      <c r="N5609" s="227"/>
      <c r="O5609" s="227"/>
      <c r="P5609" s="231"/>
      <c r="Q5609" s="231"/>
      <c r="R5609" s="227"/>
      <c r="S5609" s="231"/>
      <c r="T5609" s="231"/>
      <c r="U5609" s="231"/>
      <c r="V5609" s="231"/>
      <c r="W5609" s="231"/>
      <c r="X5609" s="227"/>
      <c r="Y5609" s="348"/>
      <c r="Z5609" s="348"/>
      <c r="AA5609" s="348"/>
      <c r="AB5609" s="348"/>
      <c r="AC5609" s="227"/>
      <c r="AD5609" s="227"/>
      <c r="AE5609" s="231"/>
      <c r="AF5609" s="227"/>
      <c r="AG5609" s="348"/>
      <c r="AH5609" s="348"/>
      <c r="AI5609" s="348"/>
      <c r="AJ5609" s="348"/>
      <c r="AK5609" s="348"/>
      <c r="AL5609" s="348"/>
      <c r="AM5609" s="348"/>
      <c r="AN5609" s="348"/>
      <c r="AO5609" s="231"/>
      <c r="AP5609" s="231"/>
      <c r="AQ5609" s="227"/>
      <c r="AR5609" s="231"/>
      <c r="AS5609" s="227"/>
      <c r="AT5609" s="227"/>
      <c r="AU5609" s="227"/>
      <c r="AV5609" s="227"/>
      <c r="AW5609" s="227"/>
      <c r="AX5609" s="227"/>
      <c r="AY5609" s="227"/>
      <c r="AZ5609" s="227"/>
      <c r="BA5609" s="227"/>
      <c r="BB5609" s="227"/>
      <c r="BC5609" s="227"/>
      <c r="BD5609" s="227"/>
      <c r="BE5609" s="227"/>
      <c r="BF5609" s="227"/>
    </row>
    <row r="5610">
      <c r="A5610" s="227"/>
      <c r="B5610" s="348"/>
      <c r="C5610" s="227"/>
      <c r="D5610" s="227"/>
      <c r="E5610" s="231"/>
      <c r="F5610" s="348"/>
      <c r="G5610" s="227"/>
      <c r="H5610" s="227"/>
      <c r="I5610" s="227"/>
      <c r="J5610" s="227"/>
      <c r="K5610" s="227"/>
      <c r="L5610" s="348"/>
      <c r="M5610" s="348"/>
      <c r="N5610" s="227"/>
      <c r="O5610" s="227"/>
      <c r="P5610" s="231"/>
      <c r="Q5610" s="231"/>
      <c r="R5610" s="227"/>
      <c r="S5610" s="231"/>
      <c r="T5610" s="231"/>
      <c r="U5610" s="231"/>
      <c r="V5610" s="231"/>
      <c r="W5610" s="231"/>
      <c r="X5610" s="227"/>
      <c r="Y5610" s="348"/>
      <c r="Z5610" s="348"/>
      <c r="AA5610" s="348"/>
      <c r="AB5610" s="348"/>
      <c r="AC5610" s="227"/>
      <c r="AD5610" s="227"/>
      <c r="AE5610" s="231"/>
      <c r="AF5610" s="227"/>
      <c r="AG5610" s="348"/>
      <c r="AH5610" s="348"/>
      <c r="AI5610" s="348"/>
      <c r="AJ5610" s="348"/>
      <c r="AK5610" s="348"/>
      <c r="AL5610" s="348"/>
      <c r="AM5610" s="348"/>
      <c r="AN5610" s="348"/>
      <c r="AO5610" s="231"/>
      <c r="AP5610" s="231"/>
      <c r="AQ5610" s="227"/>
      <c r="AR5610" s="231"/>
      <c r="AS5610" s="227"/>
      <c r="AT5610" s="227"/>
      <c r="AU5610" s="227"/>
      <c r="AV5610" s="227"/>
      <c r="AW5610" s="227"/>
      <c r="AX5610" s="227"/>
      <c r="AY5610" s="227"/>
      <c r="AZ5610" s="227"/>
      <c r="BA5610" s="227"/>
      <c r="BB5610" s="227"/>
      <c r="BC5610" s="227"/>
      <c r="BD5610" s="227"/>
      <c r="BE5610" s="227"/>
      <c r="BF5610" s="227"/>
    </row>
    <row r="5611">
      <c r="A5611" s="227"/>
      <c r="B5611" s="348"/>
      <c r="C5611" s="227"/>
      <c r="D5611" s="227"/>
      <c r="E5611" s="231"/>
      <c r="F5611" s="348"/>
      <c r="G5611" s="227"/>
      <c r="H5611" s="227"/>
      <c r="I5611" s="227"/>
      <c r="J5611" s="227"/>
      <c r="K5611" s="227"/>
      <c r="L5611" s="348"/>
      <c r="M5611" s="348"/>
      <c r="N5611" s="227"/>
      <c r="O5611" s="227"/>
      <c r="P5611" s="231"/>
      <c r="Q5611" s="231"/>
      <c r="R5611" s="227"/>
      <c r="S5611" s="231"/>
      <c r="T5611" s="231"/>
      <c r="U5611" s="231"/>
      <c r="V5611" s="231"/>
      <c r="W5611" s="231"/>
      <c r="X5611" s="227"/>
      <c r="Y5611" s="348"/>
      <c r="Z5611" s="348"/>
      <c r="AA5611" s="348"/>
      <c r="AB5611" s="348"/>
      <c r="AC5611" s="227"/>
      <c r="AD5611" s="227"/>
      <c r="AE5611" s="231"/>
      <c r="AF5611" s="227"/>
      <c r="AG5611" s="348"/>
      <c r="AH5611" s="348"/>
      <c r="AI5611" s="348"/>
      <c r="AJ5611" s="348"/>
      <c r="AK5611" s="348"/>
      <c r="AL5611" s="348"/>
      <c r="AM5611" s="348"/>
      <c r="AN5611" s="348"/>
      <c r="AO5611" s="231"/>
      <c r="AP5611" s="231"/>
      <c r="AQ5611" s="227"/>
      <c r="AR5611" s="231"/>
      <c r="AS5611" s="227"/>
      <c r="AT5611" s="227"/>
      <c r="AU5611" s="227"/>
      <c r="AV5611" s="227"/>
      <c r="AW5611" s="227"/>
      <c r="AX5611" s="227"/>
      <c r="AY5611" s="227"/>
      <c r="AZ5611" s="227"/>
      <c r="BA5611" s="227"/>
      <c r="BB5611" s="227"/>
      <c r="BC5611" s="227"/>
      <c r="BD5611" s="227"/>
      <c r="BE5611" s="227"/>
      <c r="BF5611" s="227"/>
    </row>
    <row r="5612">
      <c r="A5612" s="227"/>
      <c r="B5612" s="348"/>
      <c r="C5612" s="227"/>
      <c r="D5612" s="227"/>
      <c r="E5612" s="231"/>
      <c r="F5612" s="348"/>
      <c r="G5612" s="227"/>
      <c r="H5612" s="227"/>
      <c r="I5612" s="227"/>
      <c r="J5612" s="227"/>
      <c r="K5612" s="227"/>
      <c r="L5612" s="348"/>
      <c r="M5612" s="348"/>
      <c r="N5612" s="227"/>
      <c r="O5612" s="227"/>
      <c r="P5612" s="231"/>
      <c r="Q5612" s="231"/>
      <c r="R5612" s="227"/>
      <c r="S5612" s="231"/>
      <c r="T5612" s="231"/>
      <c r="U5612" s="231"/>
      <c r="V5612" s="231"/>
      <c r="W5612" s="231"/>
      <c r="X5612" s="227"/>
      <c r="Y5612" s="348"/>
      <c r="Z5612" s="348"/>
      <c r="AA5612" s="348"/>
      <c r="AB5612" s="348"/>
      <c r="AC5612" s="227"/>
      <c r="AD5612" s="227"/>
      <c r="AE5612" s="231"/>
      <c r="AF5612" s="227"/>
      <c r="AG5612" s="348"/>
      <c r="AH5612" s="348"/>
      <c r="AI5612" s="348"/>
      <c r="AJ5612" s="348"/>
      <c r="AK5612" s="348"/>
      <c r="AL5612" s="348"/>
      <c r="AM5612" s="348"/>
      <c r="AN5612" s="348"/>
      <c r="AO5612" s="231"/>
      <c r="AP5612" s="231"/>
      <c r="AQ5612" s="227"/>
      <c r="AR5612" s="231"/>
      <c r="AS5612" s="227"/>
      <c r="AT5612" s="227"/>
      <c r="AU5612" s="227"/>
      <c r="AV5612" s="227"/>
      <c r="AW5612" s="227"/>
      <c r="AX5612" s="227"/>
      <c r="AY5612" s="227"/>
      <c r="AZ5612" s="227"/>
      <c r="BA5612" s="227"/>
      <c r="BB5612" s="227"/>
      <c r="BC5612" s="227"/>
      <c r="BD5612" s="227"/>
      <c r="BE5612" s="227"/>
      <c r="BF5612" s="227"/>
    </row>
    <row r="5613">
      <c r="A5613" s="227"/>
      <c r="B5613" s="348"/>
      <c r="C5613" s="227"/>
      <c r="D5613" s="227"/>
      <c r="E5613" s="231"/>
      <c r="F5613" s="348"/>
      <c r="G5613" s="227"/>
      <c r="H5613" s="227"/>
      <c r="I5613" s="227"/>
      <c r="J5613" s="227"/>
      <c r="K5613" s="227"/>
      <c r="L5613" s="348"/>
      <c r="M5613" s="348"/>
      <c r="N5613" s="227"/>
      <c r="O5613" s="227"/>
      <c r="P5613" s="231"/>
      <c r="Q5613" s="231"/>
      <c r="R5613" s="227"/>
      <c r="S5613" s="231"/>
      <c r="T5613" s="231"/>
      <c r="U5613" s="231"/>
      <c r="V5613" s="231"/>
      <c r="W5613" s="231"/>
      <c r="X5613" s="227"/>
      <c r="Y5613" s="348"/>
      <c r="Z5613" s="348"/>
      <c r="AA5613" s="348"/>
      <c r="AB5613" s="348"/>
      <c r="AC5613" s="227"/>
      <c r="AD5613" s="227"/>
      <c r="AE5613" s="231"/>
      <c r="AF5613" s="227"/>
      <c r="AG5613" s="348"/>
      <c r="AH5613" s="348"/>
      <c r="AI5613" s="348"/>
      <c r="AJ5613" s="348"/>
      <c r="AK5613" s="348"/>
      <c r="AL5613" s="348"/>
      <c r="AM5613" s="348"/>
      <c r="AN5613" s="348"/>
      <c r="AO5613" s="231"/>
      <c r="AP5613" s="231"/>
      <c r="AQ5613" s="227"/>
      <c r="AR5613" s="231"/>
      <c r="AS5613" s="227"/>
      <c r="AT5613" s="227"/>
      <c r="AU5613" s="227"/>
      <c r="AV5613" s="227"/>
      <c r="AW5613" s="227"/>
      <c r="AX5613" s="227"/>
      <c r="AY5613" s="227"/>
      <c r="AZ5613" s="227"/>
      <c r="BA5613" s="227"/>
      <c r="BB5613" s="227"/>
      <c r="BC5613" s="227"/>
      <c r="BD5613" s="227"/>
      <c r="BE5613" s="227"/>
      <c r="BF5613" s="227"/>
    </row>
    <row r="5614">
      <c r="A5614" s="227"/>
      <c r="B5614" s="348"/>
      <c r="C5614" s="227"/>
      <c r="D5614" s="227"/>
      <c r="E5614" s="231"/>
      <c r="F5614" s="348"/>
      <c r="G5614" s="227"/>
      <c r="H5614" s="227"/>
      <c r="I5614" s="227"/>
      <c r="J5614" s="227"/>
      <c r="K5614" s="227"/>
      <c r="L5614" s="348"/>
      <c r="M5614" s="348"/>
      <c r="N5614" s="227"/>
      <c r="O5614" s="227"/>
      <c r="P5614" s="231"/>
      <c r="Q5614" s="231"/>
      <c r="R5614" s="227"/>
      <c r="S5614" s="231"/>
      <c r="T5614" s="231"/>
      <c r="U5614" s="231"/>
      <c r="V5614" s="231"/>
      <c r="W5614" s="231"/>
      <c r="X5614" s="227"/>
      <c r="Y5614" s="348"/>
      <c r="Z5614" s="348"/>
      <c r="AA5614" s="348"/>
      <c r="AB5614" s="348"/>
      <c r="AC5614" s="227"/>
      <c r="AD5614" s="227"/>
      <c r="AE5614" s="231"/>
      <c r="AF5614" s="227"/>
      <c r="AG5614" s="348"/>
      <c r="AH5614" s="348"/>
      <c r="AI5614" s="348"/>
      <c r="AJ5614" s="348"/>
      <c r="AK5614" s="348"/>
      <c r="AL5614" s="348"/>
      <c r="AM5614" s="348"/>
      <c r="AN5614" s="348"/>
      <c r="AO5614" s="231"/>
      <c r="AP5614" s="231"/>
      <c r="AQ5614" s="227"/>
      <c r="AR5614" s="231"/>
      <c r="AS5614" s="227"/>
      <c r="AT5614" s="227"/>
      <c r="AU5614" s="227"/>
      <c r="AV5614" s="227"/>
      <c r="AW5614" s="227"/>
      <c r="AX5614" s="227"/>
      <c r="AY5614" s="227"/>
      <c r="AZ5614" s="227"/>
      <c r="BA5614" s="227"/>
      <c r="BB5614" s="227"/>
      <c r="BC5614" s="227"/>
      <c r="BD5614" s="227"/>
      <c r="BE5614" s="227"/>
      <c r="BF5614" s="227"/>
    </row>
    <row r="5615">
      <c r="A5615" s="227"/>
      <c r="B5615" s="348"/>
      <c r="C5615" s="227"/>
      <c r="D5615" s="227"/>
      <c r="E5615" s="231"/>
      <c r="F5615" s="348"/>
      <c r="G5615" s="227"/>
      <c r="H5615" s="227"/>
      <c r="I5615" s="227"/>
      <c r="J5615" s="227"/>
      <c r="K5615" s="227"/>
      <c r="L5615" s="348"/>
      <c r="M5615" s="348"/>
      <c r="N5615" s="227"/>
      <c r="O5615" s="227"/>
      <c r="P5615" s="231"/>
      <c r="Q5615" s="231"/>
      <c r="R5615" s="227"/>
      <c r="S5615" s="231"/>
      <c r="T5615" s="231"/>
      <c r="U5615" s="231"/>
      <c r="V5615" s="231"/>
      <c r="W5615" s="231"/>
      <c r="X5615" s="227"/>
      <c r="Y5615" s="348"/>
      <c r="Z5615" s="348"/>
      <c r="AA5615" s="348"/>
      <c r="AB5615" s="348"/>
      <c r="AC5615" s="227"/>
      <c r="AD5615" s="227"/>
      <c r="AE5615" s="231"/>
      <c r="AF5615" s="227"/>
      <c r="AG5615" s="348"/>
      <c r="AH5615" s="348"/>
      <c r="AI5615" s="348"/>
      <c r="AJ5615" s="348"/>
      <c r="AK5615" s="348"/>
      <c r="AL5615" s="348"/>
      <c r="AM5615" s="348"/>
      <c r="AN5615" s="348"/>
      <c r="AO5615" s="231"/>
      <c r="AP5615" s="231"/>
      <c r="AQ5615" s="227"/>
      <c r="AR5615" s="231"/>
      <c r="AS5615" s="227"/>
      <c r="AT5615" s="227"/>
      <c r="AU5615" s="227"/>
      <c r="AV5615" s="227"/>
      <c r="AW5615" s="227"/>
      <c r="AX5615" s="227"/>
      <c r="AY5615" s="227"/>
      <c r="AZ5615" s="227"/>
      <c r="BA5615" s="227"/>
      <c r="BB5615" s="227"/>
      <c r="BC5615" s="227"/>
      <c r="BD5615" s="227"/>
      <c r="BE5615" s="227"/>
      <c r="BF5615" s="227"/>
    </row>
    <row r="5616">
      <c r="A5616" s="227"/>
      <c r="B5616" s="348"/>
      <c r="C5616" s="227"/>
      <c r="D5616" s="227"/>
      <c r="E5616" s="231"/>
      <c r="F5616" s="348"/>
      <c r="G5616" s="227"/>
      <c r="H5616" s="227"/>
      <c r="I5616" s="227"/>
      <c r="J5616" s="227"/>
      <c r="K5616" s="227"/>
      <c r="L5616" s="348"/>
      <c r="M5616" s="348"/>
      <c r="N5616" s="227"/>
      <c r="O5616" s="227"/>
      <c r="P5616" s="231"/>
      <c r="Q5616" s="231"/>
      <c r="R5616" s="227"/>
      <c r="S5616" s="231"/>
      <c r="T5616" s="231"/>
      <c r="U5616" s="231"/>
      <c r="V5616" s="231"/>
      <c r="W5616" s="231"/>
      <c r="X5616" s="227"/>
      <c r="Y5616" s="348"/>
      <c r="Z5616" s="348"/>
      <c r="AA5616" s="348"/>
      <c r="AB5616" s="348"/>
      <c r="AC5616" s="227"/>
      <c r="AD5616" s="227"/>
      <c r="AE5616" s="231"/>
      <c r="AF5616" s="227"/>
      <c r="AG5616" s="348"/>
      <c r="AH5616" s="348"/>
      <c r="AI5616" s="348"/>
      <c r="AJ5616" s="348"/>
      <c r="AK5616" s="348"/>
      <c r="AL5616" s="348"/>
      <c r="AM5616" s="348"/>
      <c r="AN5616" s="348"/>
      <c r="AO5616" s="231"/>
      <c r="AP5616" s="231"/>
      <c r="AQ5616" s="227"/>
      <c r="AR5616" s="231"/>
      <c r="AS5616" s="227"/>
      <c r="AT5616" s="227"/>
      <c r="AU5616" s="227"/>
      <c r="AV5616" s="227"/>
      <c r="AW5616" s="227"/>
      <c r="AX5616" s="227"/>
      <c r="AY5616" s="227"/>
      <c r="AZ5616" s="227"/>
      <c r="BA5616" s="227"/>
      <c r="BB5616" s="227"/>
      <c r="BC5616" s="227"/>
      <c r="BD5616" s="227"/>
      <c r="BE5616" s="227"/>
      <c r="BF5616" s="227"/>
    </row>
    <row r="5617">
      <c r="A5617" s="227"/>
      <c r="B5617" s="348"/>
      <c r="C5617" s="227"/>
      <c r="D5617" s="227"/>
      <c r="E5617" s="231"/>
      <c r="F5617" s="348"/>
      <c r="G5617" s="227"/>
      <c r="H5617" s="227"/>
      <c r="I5617" s="227"/>
      <c r="J5617" s="227"/>
      <c r="K5617" s="227"/>
      <c r="L5617" s="348"/>
      <c r="M5617" s="348"/>
      <c r="N5617" s="227"/>
      <c r="O5617" s="227"/>
      <c r="P5617" s="231"/>
      <c r="Q5617" s="231"/>
      <c r="R5617" s="227"/>
      <c r="S5617" s="231"/>
      <c r="T5617" s="231"/>
      <c r="U5617" s="231"/>
      <c r="V5617" s="231"/>
      <c r="W5617" s="231"/>
      <c r="X5617" s="227"/>
      <c r="Y5617" s="348"/>
      <c r="Z5617" s="348"/>
      <c r="AA5617" s="348"/>
      <c r="AB5617" s="348"/>
      <c r="AC5617" s="227"/>
      <c r="AD5617" s="227"/>
      <c r="AE5617" s="231"/>
      <c r="AF5617" s="227"/>
      <c r="AG5617" s="348"/>
      <c r="AH5617" s="348"/>
      <c r="AI5617" s="348"/>
      <c r="AJ5617" s="348"/>
      <c r="AK5617" s="348"/>
      <c r="AL5617" s="348"/>
      <c r="AM5617" s="348"/>
      <c r="AN5617" s="348"/>
      <c r="AO5617" s="231"/>
      <c r="AP5617" s="231"/>
      <c r="AQ5617" s="227"/>
      <c r="AR5617" s="231"/>
      <c r="AS5617" s="227"/>
      <c r="AT5617" s="227"/>
      <c r="AU5617" s="227"/>
      <c r="AV5617" s="227"/>
      <c r="AW5617" s="227"/>
      <c r="AX5617" s="227"/>
      <c r="AY5617" s="227"/>
      <c r="AZ5617" s="227"/>
      <c r="BA5617" s="227"/>
      <c r="BB5617" s="227"/>
      <c r="BC5617" s="227"/>
      <c r="BD5617" s="227"/>
      <c r="BE5617" s="227"/>
      <c r="BF5617" s="227"/>
    </row>
    <row r="5618">
      <c r="A5618" s="227"/>
      <c r="B5618" s="348"/>
      <c r="C5618" s="227"/>
      <c r="D5618" s="227"/>
      <c r="E5618" s="231"/>
      <c r="F5618" s="348"/>
      <c r="G5618" s="227"/>
      <c r="H5618" s="227"/>
      <c r="I5618" s="227"/>
      <c r="J5618" s="227"/>
      <c r="K5618" s="227"/>
      <c r="L5618" s="348"/>
      <c r="M5618" s="348"/>
      <c r="N5618" s="227"/>
      <c r="O5618" s="227"/>
      <c r="P5618" s="231"/>
      <c r="Q5618" s="231"/>
      <c r="R5618" s="227"/>
      <c r="S5618" s="231"/>
      <c r="T5618" s="231"/>
      <c r="U5618" s="231"/>
      <c r="V5618" s="231"/>
      <c r="W5618" s="231"/>
      <c r="X5618" s="227"/>
      <c r="Y5618" s="348"/>
      <c r="Z5618" s="348"/>
      <c r="AA5618" s="348"/>
      <c r="AB5618" s="348"/>
      <c r="AC5618" s="227"/>
      <c r="AD5618" s="227"/>
      <c r="AE5618" s="231"/>
      <c r="AF5618" s="227"/>
      <c r="AG5618" s="348"/>
      <c r="AH5618" s="348"/>
      <c r="AI5618" s="348"/>
      <c r="AJ5618" s="348"/>
      <c r="AK5618" s="348"/>
      <c r="AL5618" s="348"/>
      <c r="AM5618" s="348"/>
      <c r="AN5618" s="348"/>
      <c r="AO5618" s="231"/>
      <c r="AP5618" s="231"/>
      <c r="AQ5618" s="227"/>
      <c r="AR5618" s="231"/>
      <c r="AS5618" s="227"/>
      <c r="AT5618" s="227"/>
      <c r="AU5618" s="227"/>
      <c r="AV5618" s="227"/>
      <c r="AW5618" s="227"/>
      <c r="AX5618" s="227"/>
      <c r="AY5618" s="227"/>
      <c r="AZ5618" s="227"/>
      <c r="BA5618" s="227"/>
      <c r="BB5618" s="227"/>
      <c r="BC5618" s="227"/>
      <c r="BD5618" s="227"/>
      <c r="BE5618" s="227"/>
      <c r="BF5618" s="227"/>
    </row>
    <row r="5619">
      <c r="A5619" s="227"/>
      <c r="B5619" s="348"/>
      <c r="C5619" s="227"/>
      <c r="D5619" s="227"/>
      <c r="E5619" s="231"/>
      <c r="F5619" s="348"/>
      <c r="G5619" s="227"/>
      <c r="H5619" s="227"/>
      <c r="I5619" s="227"/>
      <c r="J5619" s="227"/>
      <c r="K5619" s="227"/>
      <c r="L5619" s="348"/>
      <c r="M5619" s="348"/>
      <c r="N5619" s="227"/>
      <c r="O5619" s="227"/>
      <c r="P5619" s="231"/>
      <c r="Q5619" s="231"/>
      <c r="R5619" s="227"/>
      <c r="S5619" s="231"/>
      <c r="T5619" s="231"/>
      <c r="U5619" s="231"/>
      <c r="V5619" s="231"/>
      <c r="W5619" s="231"/>
      <c r="X5619" s="227"/>
      <c r="Y5619" s="348"/>
      <c r="Z5619" s="348"/>
      <c r="AA5619" s="348"/>
      <c r="AB5619" s="348"/>
      <c r="AC5619" s="227"/>
      <c r="AD5619" s="227"/>
      <c r="AE5619" s="231"/>
      <c r="AF5619" s="227"/>
      <c r="AG5619" s="348"/>
      <c r="AH5619" s="348"/>
      <c r="AI5619" s="348"/>
      <c r="AJ5619" s="348"/>
      <c r="AK5619" s="348"/>
      <c r="AL5619" s="348"/>
      <c r="AM5619" s="348"/>
      <c r="AN5619" s="348"/>
      <c r="AO5619" s="231"/>
      <c r="AP5619" s="231"/>
      <c r="AQ5619" s="227"/>
      <c r="AR5619" s="231"/>
      <c r="AS5619" s="227"/>
      <c r="AT5619" s="227"/>
      <c r="AU5619" s="227"/>
      <c r="AV5619" s="227"/>
      <c r="AW5619" s="227"/>
      <c r="AX5619" s="227"/>
      <c r="AY5619" s="227"/>
      <c r="AZ5619" s="227"/>
      <c r="BA5619" s="227"/>
      <c r="BB5619" s="227"/>
      <c r="BC5619" s="227"/>
      <c r="BD5619" s="227"/>
      <c r="BE5619" s="227"/>
      <c r="BF5619" s="227"/>
    </row>
    <row r="5620">
      <c r="A5620" s="227"/>
      <c r="B5620" s="348"/>
      <c r="C5620" s="227"/>
      <c r="D5620" s="227"/>
      <c r="E5620" s="231"/>
      <c r="F5620" s="348"/>
      <c r="G5620" s="227"/>
      <c r="H5620" s="227"/>
      <c r="I5620" s="227"/>
      <c r="J5620" s="227"/>
      <c r="K5620" s="227"/>
      <c r="L5620" s="348"/>
      <c r="M5620" s="348"/>
      <c r="N5620" s="227"/>
      <c r="O5620" s="227"/>
      <c r="P5620" s="231"/>
      <c r="Q5620" s="231"/>
      <c r="R5620" s="227"/>
      <c r="S5620" s="231"/>
      <c r="T5620" s="231"/>
      <c r="U5620" s="231"/>
      <c r="V5620" s="231"/>
      <c r="W5620" s="231"/>
      <c r="X5620" s="227"/>
      <c r="Y5620" s="348"/>
      <c r="Z5620" s="348"/>
      <c r="AA5620" s="348"/>
      <c r="AB5620" s="348"/>
      <c r="AC5620" s="227"/>
      <c r="AD5620" s="227"/>
      <c r="AE5620" s="231"/>
      <c r="AF5620" s="227"/>
      <c r="AG5620" s="348"/>
      <c r="AH5620" s="348"/>
      <c r="AI5620" s="348"/>
      <c r="AJ5620" s="348"/>
      <c r="AK5620" s="348"/>
      <c r="AL5620" s="348"/>
      <c r="AM5620" s="348"/>
      <c r="AN5620" s="348"/>
      <c r="AO5620" s="231"/>
      <c r="AP5620" s="231"/>
      <c r="AQ5620" s="227"/>
      <c r="AR5620" s="231"/>
      <c r="AS5620" s="227"/>
      <c r="AT5620" s="227"/>
      <c r="AU5620" s="227"/>
      <c r="AV5620" s="227"/>
      <c r="AW5620" s="227"/>
      <c r="AX5620" s="227"/>
      <c r="AY5620" s="227"/>
      <c r="AZ5620" s="227"/>
      <c r="BA5620" s="227"/>
      <c r="BB5620" s="227"/>
      <c r="BC5620" s="227"/>
      <c r="BD5620" s="227"/>
      <c r="BE5620" s="227"/>
      <c r="BF5620" s="227"/>
    </row>
    <row r="5621">
      <c r="A5621" s="227"/>
      <c r="B5621" s="348"/>
      <c r="C5621" s="227"/>
      <c r="D5621" s="227"/>
      <c r="E5621" s="231"/>
      <c r="F5621" s="348"/>
      <c r="G5621" s="227"/>
      <c r="H5621" s="227"/>
      <c r="I5621" s="227"/>
      <c r="J5621" s="227"/>
      <c r="K5621" s="227"/>
      <c r="L5621" s="348"/>
      <c r="M5621" s="348"/>
      <c r="N5621" s="227"/>
      <c r="O5621" s="227"/>
      <c r="P5621" s="231"/>
      <c r="Q5621" s="231"/>
      <c r="R5621" s="227"/>
      <c r="S5621" s="231"/>
      <c r="T5621" s="231"/>
      <c r="U5621" s="231"/>
      <c r="V5621" s="231"/>
      <c r="W5621" s="231"/>
      <c r="X5621" s="227"/>
      <c r="Y5621" s="348"/>
      <c r="Z5621" s="348"/>
      <c r="AA5621" s="348"/>
      <c r="AB5621" s="348"/>
      <c r="AC5621" s="227"/>
      <c r="AD5621" s="227"/>
      <c r="AE5621" s="231"/>
      <c r="AF5621" s="227"/>
      <c r="AG5621" s="348"/>
      <c r="AH5621" s="348"/>
      <c r="AI5621" s="348"/>
      <c r="AJ5621" s="348"/>
      <c r="AK5621" s="348"/>
      <c r="AL5621" s="348"/>
      <c r="AM5621" s="348"/>
      <c r="AN5621" s="348"/>
      <c r="AO5621" s="231"/>
      <c r="AP5621" s="231"/>
      <c r="AQ5621" s="227"/>
      <c r="AR5621" s="231"/>
      <c r="AS5621" s="227"/>
      <c r="AT5621" s="227"/>
      <c r="AU5621" s="227"/>
      <c r="AV5621" s="227"/>
      <c r="AW5621" s="227"/>
      <c r="AX5621" s="227"/>
      <c r="AY5621" s="227"/>
      <c r="AZ5621" s="227"/>
      <c r="BA5621" s="227"/>
      <c r="BB5621" s="227"/>
      <c r="BC5621" s="227"/>
      <c r="BD5621" s="227"/>
      <c r="BE5621" s="227"/>
      <c r="BF5621" s="227"/>
    </row>
    <row r="5622">
      <c r="A5622" s="227"/>
      <c r="B5622" s="348"/>
      <c r="C5622" s="227"/>
      <c r="D5622" s="227"/>
      <c r="E5622" s="231"/>
      <c r="F5622" s="348"/>
      <c r="G5622" s="227"/>
      <c r="H5622" s="227"/>
      <c r="I5622" s="227"/>
      <c r="J5622" s="227"/>
      <c r="K5622" s="227"/>
      <c r="L5622" s="348"/>
      <c r="M5622" s="348"/>
      <c r="N5622" s="227"/>
      <c r="O5622" s="227"/>
      <c r="P5622" s="231"/>
      <c r="Q5622" s="231"/>
      <c r="R5622" s="227"/>
      <c r="S5622" s="231"/>
      <c r="T5622" s="231"/>
      <c r="U5622" s="231"/>
      <c r="V5622" s="231"/>
      <c r="W5622" s="231"/>
      <c r="X5622" s="227"/>
      <c r="Y5622" s="348"/>
      <c r="Z5622" s="348"/>
      <c r="AA5622" s="348"/>
      <c r="AB5622" s="348"/>
      <c r="AC5622" s="227"/>
      <c r="AD5622" s="227"/>
      <c r="AE5622" s="231"/>
      <c r="AF5622" s="227"/>
      <c r="AG5622" s="348"/>
      <c r="AH5622" s="348"/>
      <c r="AI5622" s="348"/>
      <c r="AJ5622" s="348"/>
      <c r="AK5622" s="348"/>
      <c r="AL5622" s="348"/>
      <c r="AM5622" s="348"/>
      <c r="AN5622" s="348"/>
      <c r="AO5622" s="231"/>
      <c r="AP5622" s="231"/>
      <c r="AQ5622" s="227"/>
      <c r="AR5622" s="231"/>
      <c r="AS5622" s="227"/>
      <c r="AT5622" s="227"/>
      <c r="AU5622" s="227"/>
      <c r="AV5622" s="227"/>
      <c r="AW5622" s="227"/>
      <c r="AX5622" s="227"/>
      <c r="AY5622" s="227"/>
      <c r="AZ5622" s="227"/>
      <c r="BA5622" s="227"/>
      <c r="BB5622" s="227"/>
      <c r="BC5622" s="227"/>
      <c r="BD5622" s="227"/>
      <c r="BE5622" s="227"/>
      <c r="BF5622" s="227"/>
    </row>
    <row r="5623">
      <c r="A5623" s="227"/>
      <c r="B5623" s="348"/>
      <c r="C5623" s="227"/>
      <c r="D5623" s="227"/>
      <c r="E5623" s="231"/>
      <c r="F5623" s="348"/>
      <c r="G5623" s="227"/>
      <c r="H5623" s="227"/>
      <c r="I5623" s="227"/>
      <c r="J5623" s="227"/>
      <c r="K5623" s="227"/>
      <c r="L5623" s="348"/>
      <c r="M5623" s="348"/>
      <c r="N5623" s="227"/>
      <c r="O5623" s="227"/>
      <c r="P5623" s="231"/>
      <c r="Q5623" s="231"/>
      <c r="R5623" s="227"/>
      <c r="S5623" s="231"/>
      <c r="T5623" s="231"/>
      <c r="U5623" s="231"/>
      <c r="V5623" s="231"/>
      <c r="W5623" s="231"/>
      <c r="X5623" s="227"/>
      <c r="Y5623" s="348"/>
      <c r="Z5623" s="348"/>
      <c r="AA5623" s="348"/>
      <c r="AB5623" s="348"/>
      <c r="AC5623" s="227"/>
      <c r="AD5623" s="227"/>
      <c r="AE5623" s="231"/>
      <c r="AF5623" s="227"/>
      <c r="AG5623" s="348"/>
      <c r="AH5623" s="348"/>
      <c r="AI5623" s="348"/>
      <c r="AJ5623" s="348"/>
      <c r="AK5623" s="348"/>
      <c r="AL5623" s="348"/>
      <c r="AM5623" s="348"/>
      <c r="AN5623" s="348"/>
      <c r="AO5623" s="231"/>
      <c r="AP5623" s="231"/>
      <c r="AQ5623" s="227"/>
      <c r="AR5623" s="231"/>
      <c r="AS5623" s="227"/>
      <c r="AT5623" s="227"/>
      <c r="AU5623" s="227"/>
      <c r="AV5623" s="227"/>
      <c r="AW5623" s="227"/>
      <c r="AX5623" s="227"/>
      <c r="AY5623" s="227"/>
      <c r="AZ5623" s="227"/>
      <c r="BA5623" s="227"/>
      <c r="BB5623" s="227"/>
      <c r="BC5623" s="227"/>
      <c r="BD5623" s="227"/>
      <c r="BE5623" s="227"/>
      <c r="BF5623" s="227"/>
    </row>
    <row r="5624">
      <c r="A5624" s="227"/>
      <c r="B5624" s="348"/>
      <c r="C5624" s="227"/>
      <c r="D5624" s="227"/>
      <c r="E5624" s="231"/>
      <c r="F5624" s="348"/>
      <c r="G5624" s="227"/>
      <c r="H5624" s="227"/>
      <c r="I5624" s="227"/>
      <c r="J5624" s="227"/>
      <c r="K5624" s="227"/>
      <c r="L5624" s="348"/>
      <c r="M5624" s="348"/>
      <c r="N5624" s="227"/>
      <c r="O5624" s="227"/>
      <c r="P5624" s="231"/>
      <c r="Q5624" s="231"/>
      <c r="R5624" s="227"/>
      <c r="S5624" s="231"/>
      <c r="T5624" s="231"/>
      <c r="U5624" s="231"/>
      <c r="V5624" s="231"/>
      <c r="W5624" s="231"/>
      <c r="X5624" s="227"/>
      <c r="Y5624" s="348"/>
      <c r="Z5624" s="348"/>
      <c r="AA5624" s="348"/>
      <c r="AB5624" s="348"/>
      <c r="AC5624" s="227"/>
      <c r="AD5624" s="227"/>
      <c r="AE5624" s="231"/>
      <c r="AF5624" s="227"/>
      <c r="AG5624" s="348"/>
      <c r="AH5624" s="348"/>
      <c r="AI5624" s="348"/>
      <c r="AJ5624" s="348"/>
      <c r="AK5624" s="348"/>
      <c r="AL5624" s="348"/>
      <c r="AM5624" s="348"/>
      <c r="AN5624" s="348"/>
      <c r="AO5624" s="231"/>
      <c r="AP5624" s="231"/>
      <c r="AQ5624" s="227"/>
      <c r="AR5624" s="231"/>
      <c r="AS5624" s="227"/>
      <c r="AT5624" s="227"/>
      <c r="AU5624" s="227"/>
      <c r="AV5624" s="227"/>
      <c r="AW5624" s="227"/>
      <c r="AX5624" s="227"/>
      <c r="AY5624" s="227"/>
      <c r="AZ5624" s="227"/>
      <c r="BA5624" s="227"/>
      <c r="BB5624" s="227"/>
      <c r="BC5624" s="227"/>
      <c r="BD5624" s="227"/>
      <c r="BE5624" s="227"/>
      <c r="BF5624" s="227"/>
    </row>
    <row r="5625">
      <c r="A5625" s="227"/>
      <c r="B5625" s="348"/>
      <c r="C5625" s="227"/>
      <c r="D5625" s="227"/>
      <c r="E5625" s="231"/>
      <c r="F5625" s="348"/>
      <c r="G5625" s="227"/>
      <c r="H5625" s="227"/>
      <c r="I5625" s="227"/>
      <c r="J5625" s="227"/>
      <c r="K5625" s="227"/>
      <c r="L5625" s="348"/>
      <c r="M5625" s="348"/>
      <c r="N5625" s="227"/>
      <c r="O5625" s="227"/>
      <c r="P5625" s="231"/>
      <c r="Q5625" s="231"/>
      <c r="R5625" s="227"/>
      <c r="S5625" s="231"/>
      <c r="T5625" s="231"/>
      <c r="U5625" s="231"/>
      <c r="V5625" s="231"/>
      <c r="W5625" s="231"/>
      <c r="X5625" s="227"/>
      <c r="Y5625" s="348"/>
      <c r="Z5625" s="348"/>
      <c r="AA5625" s="348"/>
      <c r="AB5625" s="348"/>
      <c r="AC5625" s="227"/>
      <c r="AD5625" s="227"/>
      <c r="AE5625" s="231"/>
      <c r="AF5625" s="227"/>
      <c r="AG5625" s="348"/>
      <c r="AH5625" s="348"/>
      <c r="AI5625" s="348"/>
      <c r="AJ5625" s="348"/>
      <c r="AK5625" s="348"/>
      <c r="AL5625" s="348"/>
      <c r="AM5625" s="348"/>
      <c r="AN5625" s="348"/>
      <c r="AO5625" s="231"/>
      <c r="AP5625" s="231"/>
      <c r="AQ5625" s="227"/>
      <c r="AR5625" s="231"/>
      <c r="AS5625" s="227"/>
      <c r="AT5625" s="227"/>
      <c r="AU5625" s="227"/>
      <c r="AV5625" s="227"/>
      <c r="AW5625" s="227"/>
      <c r="AX5625" s="227"/>
      <c r="AY5625" s="227"/>
      <c r="AZ5625" s="227"/>
      <c r="BA5625" s="227"/>
      <c r="BB5625" s="227"/>
      <c r="BC5625" s="227"/>
      <c r="BD5625" s="227"/>
      <c r="BE5625" s="227"/>
      <c r="BF5625" s="227"/>
    </row>
    <row r="5626">
      <c r="A5626" s="227"/>
      <c r="B5626" s="348"/>
      <c r="C5626" s="227"/>
      <c r="D5626" s="227"/>
      <c r="E5626" s="231"/>
      <c r="F5626" s="348"/>
      <c r="G5626" s="227"/>
      <c r="H5626" s="227"/>
      <c r="I5626" s="227"/>
      <c r="J5626" s="227"/>
      <c r="K5626" s="227"/>
      <c r="L5626" s="348"/>
      <c r="M5626" s="348"/>
      <c r="N5626" s="227"/>
      <c r="O5626" s="227"/>
      <c r="P5626" s="231"/>
      <c r="Q5626" s="231"/>
      <c r="R5626" s="227"/>
      <c r="S5626" s="231"/>
      <c r="T5626" s="231"/>
      <c r="U5626" s="231"/>
      <c r="V5626" s="231"/>
      <c r="W5626" s="231"/>
      <c r="X5626" s="227"/>
      <c r="Y5626" s="348"/>
      <c r="Z5626" s="348"/>
      <c r="AA5626" s="348"/>
      <c r="AB5626" s="348"/>
      <c r="AC5626" s="227"/>
      <c r="AD5626" s="227"/>
      <c r="AE5626" s="231"/>
      <c r="AF5626" s="227"/>
      <c r="AG5626" s="348"/>
      <c r="AH5626" s="348"/>
      <c r="AI5626" s="348"/>
      <c r="AJ5626" s="348"/>
      <c r="AK5626" s="348"/>
      <c r="AL5626" s="348"/>
      <c r="AM5626" s="348"/>
      <c r="AN5626" s="348"/>
      <c r="AO5626" s="231"/>
      <c r="AP5626" s="231"/>
      <c r="AQ5626" s="227"/>
      <c r="AR5626" s="231"/>
      <c r="AS5626" s="227"/>
      <c r="AT5626" s="227"/>
      <c r="AU5626" s="227"/>
      <c r="AV5626" s="227"/>
      <c r="AW5626" s="227"/>
      <c r="AX5626" s="227"/>
      <c r="AY5626" s="227"/>
      <c r="AZ5626" s="227"/>
      <c r="BA5626" s="227"/>
      <c r="BB5626" s="227"/>
      <c r="BC5626" s="227"/>
      <c r="BD5626" s="227"/>
      <c r="BE5626" s="227"/>
      <c r="BF5626" s="227"/>
    </row>
    <row r="5627">
      <c r="A5627" s="227"/>
      <c r="B5627" s="348"/>
      <c r="C5627" s="227"/>
      <c r="D5627" s="227"/>
      <c r="E5627" s="231"/>
      <c r="F5627" s="348"/>
      <c r="G5627" s="227"/>
      <c r="H5627" s="227"/>
      <c r="I5627" s="227"/>
      <c r="J5627" s="227"/>
      <c r="K5627" s="227"/>
      <c r="L5627" s="348"/>
      <c r="M5627" s="348"/>
      <c r="N5627" s="227"/>
      <c r="O5627" s="227"/>
      <c r="P5627" s="231"/>
      <c r="Q5627" s="231"/>
      <c r="R5627" s="227"/>
      <c r="S5627" s="231"/>
      <c r="T5627" s="231"/>
      <c r="U5627" s="231"/>
      <c r="V5627" s="231"/>
      <c r="W5627" s="231"/>
      <c r="X5627" s="227"/>
      <c r="Y5627" s="348"/>
      <c r="Z5627" s="348"/>
      <c r="AA5627" s="348"/>
      <c r="AB5627" s="348"/>
      <c r="AC5627" s="227"/>
      <c r="AD5627" s="227"/>
      <c r="AE5627" s="231"/>
      <c r="AF5627" s="227"/>
      <c r="AG5627" s="348"/>
      <c r="AH5627" s="348"/>
      <c r="AI5627" s="348"/>
      <c r="AJ5627" s="348"/>
      <c r="AK5627" s="348"/>
      <c r="AL5627" s="348"/>
      <c r="AM5627" s="348"/>
      <c r="AN5627" s="348"/>
      <c r="AO5627" s="231"/>
      <c r="AP5627" s="231"/>
      <c r="AQ5627" s="227"/>
      <c r="AR5627" s="231"/>
      <c r="AS5627" s="227"/>
      <c r="AT5627" s="227"/>
      <c r="AU5627" s="227"/>
      <c r="AV5627" s="227"/>
      <c r="AW5627" s="227"/>
      <c r="AX5627" s="227"/>
      <c r="AY5627" s="227"/>
      <c r="AZ5627" s="227"/>
      <c r="BA5627" s="227"/>
      <c r="BB5627" s="227"/>
      <c r="BC5627" s="227"/>
      <c r="BD5627" s="227"/>
      <c r="BE5627" s="227"/>
      <c r="BF5627" s="227"/>
    </row>
    <row r="5628">
      <c r="A5628" s="227"/>
      <c r="B5628" s="348"/>
      <c r="C5628" s="227"/>
      <c r="D5628" s="227"/>
      <c r="E5628" s="231"/>
      <c r="F5628" s="348"/>
      <c r="G5628" s="227"/>
      <c r="H5628" s="227"/>
      <c r="I5628" s="227"/>
      <c r="J5628" s="227"/>
      <c r="K5628" s="227"/>
      <c r="L5628" s="348"/>
      <c r="M5628" s="348"/>
      <c r="N5628" s="227"/>
      <c r="O5628" s="227"/>
      <c r="P5628" s="231"/>
      <c r="Q5628" s="231"/>
      <c r="R5628" s="227"/>
      <c r="S5628" s="231"/>
      <c r="T5628" s="231"/>
      <c r="U5628" s="231"/>
      <c r="V5628" s="231"/>
      <c r="W5628" s="231"/>
      <c r="X5628" s="227"/>
      <c r="Y5628" s="348"/>
      <c r="Z5628" s="348"/>
      <c r="AA5628" s="348"/>
      <c r="AB5628" s="348"/>
      <c r="AC5628" s="227"/>
      <c r="AD5628" s="227"/>
      <c r="AE5628" s="231"/>
      <c r="AF5628" s="227"/>
      <c r="AG5628" s="348"/>
      <c r="AH5628" s="348"/>
      <c r="AI5628" s="348"/>
      <c r="AJ5628" s="348"/>
      <c r="AK5628" s="348"/>
      <c r="AL5628" s="348"/>
      <c r="AM5628" s="348"/>
      <c r="AN5628" s="348"/>
      <c r="AO5628" s="231"/>
      <c r="AP5628" s="231"/>
      <c r="AQ5628" s="227"/>
      <c r="AR5628" s="231"/>
      <c r="AS5628" s="227"/>
      <c r="AT5628" s="227"/>
      <c r="AU5628" s="227"/>
      <c r="AV5628" s="227"/>
      <c r="AW5628" s="227"/>
      <c r="AX5628" s="227"/>
      <c r="AY5628" s="227"/>
      <c r="AZ5628" s="227"/>
      <c r="BA5628" s="227"/>
      <c r="BB5628" s="227"/>
      <c r="BC5628" s="227"/>
      <c r="BD5628" s="227"/>
      <c r="BE5628" s="227"/>
      <c r="BF5628" s="227"/>
    </row>
    <row r="5629">
      <c r="A5629" s="227"/>
      <c r="B5629" s="348"/>
      <c r="C5629" s="227"/>
      <c r="D5629" s="227"/>
      <c r="E5629" s="231"/>
      <c r="F5629" s="348"/>
      <c r="G5629" s="227"/>
      <c r="H5629" s="227"/>
      <c r="I5629" s="227"/>
      <c r="J5629" s="227"/>
      <c r="K5629" s="227"/>
      <c r="L5629" s="348"/>
      <c r="M5629" s="348"/>
      <c r="N5629" s="227"/>
      <c r="O5629" s="227"/>
      <c r="P5629" s="231"/>
      <c r="Q5629" s="231"/>
      <c r="R5629" s="227"/>
      <c r="S5629" s="231"/>
      <c r="T5629" s="231"/>
      <c r="U5629" s="231"/>
      <c r="V5629" s="231"/>
      <c r="W5629" s="231"/>
      <c r="X5629" s="227"/>
      <c r="Y5629" s="348"/>
      <c r="Z5629" s="348"/>
      <c r="AA5629" s="348"/>
      <c r="AB5629" s="348"/>
      <c r="AC5629" s="227"/>
      <c r="AD5629" s="227"/>
      <c r="AE5629" s="231"/>
      <c r="AF5629" s="227"/>
      <c r="AG5629" s="348"/>
      <c r="AH5629" s="348"/>
      <c r="AI5629" s="348"/>
      <c r="AJ5629" s="348"/>
      <c r="AK5629" s="348"/>
      <c r="AL5629" s="348"/>
      <c r="AM5629" s="348"/>
      <c r="AN5629" s="348"/>
      <c r="AO5629" s="231"/>
      <c r="AP5629" s="231"/>
      <c r="AQ5629" s="227"/>
      <c r="AR5629" s="231"/>
      <c r="AS5629" s="227"/>
      <c r="AT5629" s="227"/>
      <c r="AU5629" s="227"/>
      <c r="AV5629" s="227"/>
      <c r="AW5629" s="227"/>
      <c r="AX5629" s="227"/>
      <c r="AY5629" s="227"/>
      <c r="AZ5629" s="227"/>
      <c r="BA5629" s="227"/>
      <c r="BB5629" s="227"/>
      <c r="BC5629" s="227"/>
      <c r="BD5629" s="227"/>
      <c r="BE5629" s="227"/>
      <c r="BF5629" s="227"/>
    </row>
    <row r="5630">
      <c r="A5630" s="227"/>
      <c r="B5630" s="348"/>
      <c r="C5630" s="227"/>
      <c r="D5630" s="227"/>
      <c r="E5630" s="231"/>
      <c r="F5630" s="348"/>
      <c r="G5630" s="227"/>
      <c r="H5630" s="227"/>
      <c r="I5630" s="227"/>
      <c r="J5630" s="227"/>
      <c r="K5630" s="227"/>
      <c r="L5630" s="348"/>
      <c r="M5630" s="348"/>
      <c r="N5630" s="227"/>
      <c r="O5630" s="227"/>
      <c r="P5630" s="231"/>
      <c r="Q5630" s="231"/>
      <c r="R5630" s="227"/>
      <c r="S5630" s="231"/>
      <c r="T5630" s="231"/>
      <c r="U5630" s="231"/>
      <c r="V5630" s="231"/>
      <c r="W5630" s="231"/>
      <c r="X5630" s="227"/>
      <c r="Y5630" s="348"/>
      <c r="Z5630" s="348"/>
      <c r="AA5630" s="348"/>
      <c r="AB5630" s="348"/>
      <c r="AC5630" s="227"/>
      <c r="AD5630" s="227"/>
      <c r="AE5630" s="231"/>
      <c r="AF5630" s="227"/>
      <c r="AG5630" s="348"/>
      <c r="AH5630" s="348"/>
      <c r="AI5630" s="348"/>
      <c r="AJ5630" s="348"/>
      <c r="AK5630" s="348"/>
      <c r="AL5630" s="348"/>
      <c r="AM5630" s="348"/>
      <c r="AN5630" s="348"/>
      <c r="AO5630" s="231"/>
      <c r="AP5630" s="231"/>
      <c r="AQ5630" s="227"/>
      <c r="AR5630" s="231"/>
      <c r="AS5630" s="227"/>
      <c r="AT5630" s="227"/>
      <c r="AU5630" s="227"/>
      <c r="AV5630" s="227"/>
      <c r="AW5630" s="227"/>
      <c r="AX5630" s="227"/>
      <c r="AY5630" s="227"/>
      <c r="AZ5630" s="227"/>
      <c r="BA5630" s="227"/>
      <c r="BB5630" s="227"/>
      <c r="BC5630" s="227"/>
      <c r="BD5630" s="227"/>
      <c r="BE5630" s="227"/>
      <c r="BF5630" s="227"/>
    </row>
    <row r="5631">
      <c r="A5631" s="227"/>
      <c r="B5631" s="348"/>
      <c r="C5631" s="227"/>
      <c r="D5631" s="227"/>
      <c r="E5631" s="231"/>
      <c r="F5631" s="348"/>
      <c r="G5631" s="227"/>
      <c r="H5631" s="227"/>
      <c r="I5631" s="227"/>
      <c r="J5631" s="227"/>
      <c r="K5631" s="227"/>
      <c r="L5631" s="348"/>
      <c r="M5631" s="348"/>
      <c r="N5631" s="227"/>
      <c r="O5631" s="227"/>
      <c r="P5631" s="231"/>
      <c r="Q5631" s="231"/>
      <c r="R5631" s="227"/>
      <c r="S5631" s="231"/>
      <c r="T5631" s="231"/>
      <c r="U5631" s="231"/>
      <c r="V5631" s="231"/>
      <c r="W5631" s="231"/>
      <c r="X5631" s="227"/>
      <c r="Y5631" s="348"/>
      <c r="Z5631" s="348"/>
      <c r="AA5631" s="348"/>
      <c r="AB5631" s="348"/>
      <c r="AC5631" s="227"/>
      <c r="AD5631" s="227"/>
      <c r="AE5631" s="231"/>
      <c r="AF5631" s="227"/>
      <c r="AG5631" s="348"/>
      <c r="AH5631" s="348"/>
      <c r="AI5631" s="348"/>
      <c r="AJ5631" s="348"/>
      <c r="AK5631" s="348"/>
      <c r="AL5631" s="348"/>
      <c r="AM5631" s="348"/>
      <c r="AN5631" s="348"/>
      <c r="AO5631" s="231"/>
      <c r="AP5631" s="231"/>
      <c r="AQ5631" s="227"/>
      <c r="AR5631" s="231"/>
      <c r="AS5631" s="227"/>
      <c r="AT5631" s="227"/>
      <c r="AU5631" s="227"/>
      <c r="AV5631" s="227"/>
      <c r="AW5631" s="227"/>
      <c r="AX5631" s="227"/>
      <c r="AY5631" s="227"/>
      <c r="AZ5631" s="227"/>
      <c r="BA5631" s="227"/>
      <c r="BB5631" s="227"/>
      <c r="BC5631" s="227"/>
      <c r="BD5631" s="227"/>
      <c r="BE5631" s="227"/>
      <c r="BF5631" s="227"/>
    </row>
    <row r="5632">
      <c r="A5632" s="227"/>
      <c r="B5632" s="348"/>
      <c r="C5632" s="227"/>
      <c r="D5632" s="227"/>
      <c r="E5632" s="231"/>
      <c r="F5632" s="348"/>
      <c r="G5632" s="227"/>
      <c r="H5632" s="227"/>
      <c r="I5632" s="227"/>
      <c r="J5632" s="227"/>
      <c r="K5632" s="227"/>
      <c r="L5632" s="348"/>
      <c r="M5632" s="348"/>
      <c r="N5632" s="227"/>
      <c r="O5632" s="227"/>
      <c r="P5632" s="231"/>
      <c r="Q5632" s="231"/>
      <c r="R5632" s="227"/>
      <c r="S5632" s="231"/>
      <c r="T5632" s="231"/>
      <c r="U5632" s="231"/>
      <c r="V5632" s="231"/>
      <c r="W5632" s="231"/>
      <c r="X5632" s="227"/>
      <c r="Y5632" s="348"/>
      <c r="Z5632" s="348"/>
      <c r="AA5632" s="348"/>
      <c r="AB5632" s="348"/>
      <c r="AC5632" s="227"/>
      <c r="AD5632" s="227"/>
      <c r="AE5632" s="231"/>
      <c r="AF5632" s="227"/>
      <c r="AG5632" s="348"/>
      <c r="AH5632" s="348"/>
      <c r="AI5632" s="348"/>
      <c r="AJ5632" s="348"/>
      <c r="AK5632" s="348"/>
      <c r="AL5632" s="348"/>
      <c r="AM5632" s="348"/>
      <c r="AN5632" s="348"/>
      <c r="AO5632" s="231"/>
      <c r="AP5632" s="231"/>
      <c r="AQ5632" s="227"/>
      <c r="AR5632" s="231"/>
      <c r="AS5632" s="227"/>
      <c r="AT5632" s="227"/>
      <c r="AU5632" s="227"/>
      <c r="AV5632" s="227"/>
      <c r="AW5632" s="227"/>
      <c r="AX5632" s="227"/>
      <c r="AY5632" s="227"/>
      <c r="AZ5632" s="227"/>
      <c r="BA5632" s="227"/>
      <c r="BB5632" s="227"/>
      <c r="BC5632" s="227"/>
      <c r="BD5632" s="227"/>
      <c r="BE5632" s="227"/>
      <c r="BF5632" s="227"/>
    </row>
    <row r="5633">
      <c r="A5633" s="227"/>
      <c r="B5633" s="348"/>
      <c r="C5633" s="227"/>
      <c r="D5633" s="227"/>
      <c r="E5633" s="231"/>
      <c r="F5633" s="348"/>
      <c r="G5633" s="227"/>
      <c r="H5633" s="227"/>
      <c r="I5633" s="227"/>
      <c r="J5633" s="227"/>
      <c r="K5633" s="227"/>
      <c r="L5633" s="348"/>
      <c r="M5633" s="348"/>
      <c r="N5633" s="227"/>
      <c r="O5633" s="227"/>
      <c r="P5633" s="231"/>
      <c r="Q5633" s="231"/>
      <c r="R5633" s="227"/>
      <c r="S5633" s="231"/>
      <c r="T5633" s="231"/>
      <c r="U5633" s="231"/>
      <c r="V5633" s="231"/>
      <c r="W5633" s="231"/>
      <c r="X5633" s="227"/>
      <c r="Y5633" s="348"/>
      <c r="Z5633" s="348"/>
      <c r="AA5633" s="348"/>
      <c r="AB5633" s="348"/>
      <c r="AC5633" s="227"/>
      <c r="AD5633" s="227"/>
      <c r="AE5633" s="231"/>
      <c r="AF5633" s="227"/>
      <c r="AG5633" s="348"/>
      <c r="AH5633" s="348"/>
      <c r="AI5633" s="348"/>
      <c r="AJ5633" s="348"/>
      <c r="AK5633" s="348"/>
      <c r="AL5633" s="348"/>
      <c r="AM5633" s="348"/>
      <c r="AN5633" s="348"/>
      <c r="AO5633" s="231"/>
      <c r="AP5633" s="231"/>
      <c r="AQ5633" s="227"/>
      <c r="AR5633" s="231"/>
      <c r="AS5633" s="227"/>
      <c r="AT5633" s="227"/>
      <c r="AU5633" s="227"/>
      <c r="AV5633" s="227"/>
      <c r="AW5633" s="227"/>
      <c r="AX5633" s="227"/>
      <c r="AY5633" s="227"/>
      <c r="AZ5633" s="227"/>
      <c r="BA5633" s="227"/>
      <c r="BB5633" s="227"/>
      <c r="BC5633" s="227"/>
      <c r="BD5633" s="227"/>
      <c r="BE5633" s="227"/>
      <c r="BF5633" s="227"/>
    </row>
    <row r="5634">
      <c r="A5634" s="227"/>
      <c r="B5634" s="348"/>
      <c r="C5634" s="227"/>
      <c r="D5634" s="227"/>
      <c r="E5634" s="231"/>
      <c r="F5634" s="348"/>
      <c r="G5634" s="227"/>
      <c r="H5634" s="227"/>
      <c r="I5634" s="227"/>
      <c r="J5634" s="227"/>
      <c r="K5634" s="227"/>
      <c r="L5634" s="348"/>
      <c r="M5634" s="348"/>
      <c r="N5634" s="227"/>
      <c r="O5634" s="227"/>
      <c r="P5634" s="231"/>
      <c r="Q5634" s="231"/>
      <c r="R5634" s="227"/>
      <c r="S5634" s="231"/>
      <c r="T5634" s="231"/>
      <c r="U5634" s="231"/>
      <c r="V5634" s="231"/>
      <c r="W5634" s="231"/>
      <c r="X5634" s="227"/>
      <c r="Y5634" s="348"/>
      <c r="Z5634" s="348"/>
      <c r="AA5634" s="348"/>
      <c r="AB5634" s="348"/>
      <c r="AC5634" s="227"/>
      <c r="AD5634" s="227"/>
      <c r="AE5634" s="231"/>
      <c r="AF5634" s="227"/>
      <c r="AG5634" s="348"/>
      <c r="AH5634" s="348"/>
      <c r="AI5634" s="348"/>
      <c r="AJ5634" s="348"/>
      <c r="AK5634" s="348"/>
      <c r="AL5634" s="348"/>
      <c r="AM5634" s="348"/>
      <c r="AN5634" s="348"/>
      <c r="AO5634" s="231"/>
      <c r="AP5634" s="231"/>
      <c r="AQ5634" s="227"/>
      <c r="AR5634" s="231"/>
      <c r="AS5634" s="227"/>
      <c r="AT5634" s="227"/>
      <c r="AU5634" s="227"/>
      <c r="AV5634" s="227"/>
      <c r="AW5634" s="227"/>
      <c r="AX5634" s="227"/>
      <c r="AY5634" s="227"/>
      <c r="AZ5634" s="227"/>
      <c r="BA5634" s="227"/>
      <c r="BB5634" s="227"/>
      <c r="BC5634" s="227"/>
      <c r="BD5634" s="227"/>
      <c r="BE5634" s="227"/>
      <c r="BF5634" s="227"/>
    </row>
    <row r="5635">
      <c r="A5635" s="227"/>
      <c r="B5635" s="348"/>
      <c r="C5635" s="227"/>
      <c r="D5635" s="227"/>
      <c r="E5635" s="231"/>
      <c r="F5635" s="348"/>
      <c r="G5635" s="227"/>
      <c r="H5635" s="227"/>
      <c r="I5635" s="227"/>
      <c r="J5635" s="227"/>
      <c r="K5635" s="227"/>
      <c r="L5635" s="348"/>
      <c r="M5635" s="348"/>
      <c r="N5635" s="227"/>
      <c r="O5635" s="227"/>
      <c r="P5635" s="231"/>
      <c r="Q5635" s="231"/>
      <c r="R5635" s="227"/>
      <c r="S5635" s="231"/>
      <c r="T5635" s="231"/>
      <c r="U5635" s="231"/>
      <c r="V5635" s="231"/>
      <c r="W5635" s="231"/>
      <c r="X5635" s="227"/>
      <c r="Y5635" s="348"/>
      <c r="Z5635" s="348"/>
      <c r="AA5635" s="348"/>
      <c r="AB5635" s="348"/>
      <c r="AC5635" s="227"/>
      <c r="AD5635" s="227"/>
      <c r="AE5635" s="231"/>
      <c r="AF5635" s="227"/>
      <c r="AG5635" s="348"/>
      <c r="AH5635" s="348"/>
      <c r="AI5635" s="348"/>
      <c r="AJ5635" s="348"/>
      <c r="AK5635" s="348"/>
      <c r="AL5635" s="348"/>
      <c r="AM5635" s="348"/>
      <c r="AN5635" s="348"/>
      <c r="AO5635" s="231"/>
      <c r="AP5635" s="231"/>
      <c r="AQ5635" s="227"/>
      <c r="AR5635" s="231"/>
      <c r="AS5635" s="227"/>
      <c r="AT5635" s="227"/>
      <c r="AU5635" s="227"/>
      <c r="AV5635" s="227"/>
      <c r="AW5635" s="227"/>
      <c r="AX5635" s="227"/>
      <c r="AY5635" s="227"/>
      <c r="AZ5635" s="227"/>
      <c r="BA5635" s="227"/>
      <c r="BB5635" s="227"/>
      <c r="BC5635" s="227"/>
      <c r="BD5635" s="227"/>
      <c r="BE5635" s="227"/>
      <c r="BF5635" s="227"/>
    </row>
    <row r="5636">
      <c r="A5636" s="227"/>
      <c r="B5636" s="348"/>
      <c r="C5636" s="227"/>
      <c r="D5636" s="227"/>
      <c r="E5636" s="231"/>
      <c r="F5636" s="348"/>
      <c r="G5636" s="227"/>
      <c r="H5636" s="227"/>
      <c r="I5636" s="227"/>
      <c r="J5636" s="227"/>
      <c r="K5636" s="227"/>
      <c r="L5636" s="348"/>
      <c r="M5636" s="348"/>
      <c r="N5636" s="227"/>
      <c r="O5636" s="227"/>
      <c r="P5636" s="231"/>
      <c r="Q5636" s="231"/>
      <c r="R5636" s="227"/>
      <c r="S5636" s="231"/>
      <c r="T5636" s="231"/>
      <c r="U5636" s="231"/>
      <c r="V5636" s="231"/>
      <c r="W5636" s="231"/>
      <c r="X5636" s="227"/>
      <c r="Y5636" s="348"/>
      <c r="Z5636" s="348"/>
      <c r="AA5636" s="348"/>
      <c r="AB5636" s="348"/>
      <c r="AC5636" s="227"/>
      <c r="AD5636" s="227"/>
      <c r="AE5636" s="231"/>
      <c r="AF5636" s="227"/>
      <c r="AG5636" s="348"/>
      <c r="AH5636" s="348"/>
      <c r="AI5636" s="348"/>
      <c r="AJ5636" s="348"/>
      <c r="AK5636" s="348"/>
      <c r="AL5636" s="348"/>
      <c r="AM5636" s="348"/>
      <c r="AN5636" s="348"/>
      <c r="AO5636" s="231"/>
      <c r="AP5636" s="231"/>
      <c r="AQ5636" s="227"/>
      <c r="AR5636" s="231"/>
      <c r="AS5636" s="227"/>
      <c r="AT5636" s="227"/>
      <c r="AU5636" s="227"/>
      <c r="AV5636" s="227"/>
      <c r="AW5636" s="227"/>
      <c r="AX5636" s="227"/>
      <c r="AY5636" s="227"/>
      <c r="AZ5636" s="227"/>
      <c r="BA5636" s="227"/>
      <c r="BB5636" s="227"/>
      <c r="BC5636" s="227"/>
      <c r="BD5636" s="227"/>
      <c r="BE5636" s="227"/>
      <c r="BF5636" s="227"/>
    </row>
    <row r="5637">
      <c r="A5637" s="227"/>
      <c r="B5637" s="348"/>
      <c r="C5637" s="227"/>
      <c r="D5637" s="227"/>
      <c r="E5637" s="231"/>
      <c r="F5637" s="348"/>
      <c r="G5637" s="227"/>
      <c r="H5637" s="227"/>
      <c r="I5637" s="227"/>
      <c r="J5637" s="227"/>
      <c r="K5637" s="227"/>
      <c r="L5637" s="348"/>
      <c r="M5637" s="348"/>
      <c r="N5637" s="227"/>
      <c r="O5637" s="227"/>
      <c r="P5637" s="231"/>
      <c r="Q5637" s="231"/>
      <c r="R5637" s="227"/>
      <c r="S5637" s="231"/>
      <c r="T5637" s="231"/>
      <c r="U5637" s="231"/>
      <c r="V5637" s="231"/>
      <c r="W5637" s="231"/>
      <c r="X5637" s="227"/>
      <c r="Y5637" s="348"/>
      <c r="Z5637" s="348"/>
      <c r="AA5637" s="348"/>
      <c r="AB5637" s="348"/>
      <c r="AC5637" s="227"/>
      <c r="AD5637" s="227"/>
      <c r="AE5637" s="231"/>
      <c r="AF5637" s="227"/>
      <c r="AG5637" s="348"/>
      <c r="AH5637" s="348"/>
      <c r="AI5637" s="348"/>
      <c r="AJ5637" s="348"/>
      <c r="AK5637" s="348"/>
      <c r="AL5637" s="348"/>
      <c r="AM5637" s="348"/>
      <c r="AN5637" s="348"/>
      <c r="AO5637" s="231"/>
      <c r="AP5637" s="231"/>
      <c r="AQ5637" s="227"/>
      <c r="AR5637" s="231"/>
      <c r="AS5637" s="227"/>
      <c r="AT5637" s="227"/>
      <c r="AU5637" s="227"/>
      <c r="AV5637" s="227"/>
      <c r="AW5637" s="227"/>
      <c r="AX5637" s="227"/>
      <c r="AY5637" s="227"/>
      <c r="AZ5637" s="227"/>
      <c r="BA5637" s="227"/>
      <c r="BB5637" s="227"/>
      <c r="BC5637" s="227"/>
      <c r="BD5637" s="227"/>
      <c r="BE5637" s="227"/>
      <c r="BF5637" s="227"/>
    </row>
    <row r="5638">
      <c r="A5638" s="227"/>
      <c r="B5638" s="348"/>
      <c r="C5638" s="227"/>
      <c r="D5638" s="227"/>
      <c r="E5638" s="231"/>
      <c r="F5638" s="348"/>
      <c r="G5638" s="227"/>
      <c r="H5638" s="227"/>
      <c r="I5638" s="227"/>
      <c r="J5638" s="227"/>
      <c r="K5638" s="227"/>
      <c r="L5638" s="348"/>
      <c r="M5638" s="348"/>
      <c r="N5638" s="227"/>
      <c r="O5638" s="227"/>
      <c r="P5638" s="231"/>
      <c r="Q5638" s="231"/>
      <c r="R5638" s="227"/>
      <c r="S5638" s="231"/>
      <c r="T5638" s="231"/>
      <c r="U5638" s="231"/>
      <c r="V5638" s="231"/>
      <c r="W5638" s="231"/>
      <c r="X5638" s="227"/>
      <c r="Y5638" s="348"/>
      <c r="Z5638" s="348"/>
      <c r="AA5638" s="348"/>
      <c r="AB5638" s="348"/>
      <c r="AC5638" s="227"/>
      <c r="AD5638" s="227"/>
      <c r="AE5638" s="231"/>
      <c r="AF5638" s="227"/>
      <c r="AG5638" s="348"/>
      <c r="AH5638" s="348"/>
      <c r="AI5638" s="348"/>
      <c r="AJ5638" s="348"/>
      <c r="AK5638" s="348"/>
      <c r="AL5638" s="348"/>
      <c r="AM5638" s="348"/>
      <c r="AN5638" s="348"/>
      <c r="AO5638" s="231"/>
      <c r="AP5638" s="231"/>
      <c r="AQ5638" s="227"/>
      <c r="AR5638" s="231"/>
      <c r="AS5638" s="227"/>
      <c r="AT5638" s="227"/>
      <c r="AU5638" s="227"/>
      <c r="AV5638" s="227"/>
      <c r="AW5638" s="227"/>
      <c r="AX5638" s="227"/>
      <c r="AY5638" s="227"/>
      <c r="AZ5638" s="227"/>
      <c r="BA5638" s="227"/>
      <c r="BB5638" s="227"/>
      <c r="BC5638" s="227"/>
      <c r="BD5638" s="227"/>
      <c r="BE5638" s="227"/>
      <c r="BF5638" s="227"/>
    </row>
    <row r="5639">
      <c r="A5639" s="227"/>
      <c r="B5639" s="348"/>
      <c r="C5639" s="227"/>
      <c r="D5639" s="227"/>
      <c r="E5639" s="231"/>
      <c r="F5639" s="348"/>
      <c r="G5639" s="227"/>
      <c r="H5639" s="227"/>
      <c r="I5639" s="227"/>
      <c r="J5639" s="227"/>
      <c r="K5639" s="227"/>
      <c r="L5639" s="348"/>
      <c r="M5639" s="348"/>
      <c r="N5639" s="227"/>
      <c r="O5639" s="227"/>
      <c r="P5639" s="231"/>
      <c r="Q5639" s="231"/>
      <c r="R5639" s="227"/>
      <c r="S5639" s="231"/>
      <c r="T5639" s="231"/>
      <c r="U5639" s="231"/>
      <c r="V5639" s="231"/>
      <c r="W5639" s="231"/>
      <c r="X5639" s="227"/>
      <c r="Y5639" s="348"/>
      <c r="Z5639" s="348"/>
      <c r="AA5639" s="348"/>
      <c r="AB5639" s="348"/>
      <c r="AC5639" s="227"/>
      <c r="AD5639" s="227"/>
      <c r="AE5639" s="231"/>
      <c r="AF5639" s="227"/>
      <c r="AG5639" s="348"/>
      <c r="AH5639" s="348"/>
      <c r="AI5639" s="348"/>
      <c r="AJ5639" s="348"/>
      <c r="AK5639" s="348"/>
      <c r="AL5639" s="348"/>
      <c r="AM5639" s="348"/>
      <c r="AN5639" s="348"/>
      <c r="AO5639" s="231"/>
      <c r="AP5639" s="231"/>
      <c r="AQ5639" s="227"/>
      <c r="AR5639" s="231"/>
      <c r="AS5639" s="227"/>
      <c r="AT5639" s="227"/>
      <c r="AU5639" s="227"/>
      <c r="AV5639" s="227"/>
      <c r="AW5639" s="227"/>
      <c r="AX5639" s="227"/>
      <c r="AY5639" s="227"/>
      <c r="AZ5639" s="227"/>
      <c r="BA5639" s="227"/>
      <c r="BB5639" s="227"/>
      <c r="BC5639" s="227"/>
      <c r="BD5639" s="227"/>
      <c r="BE5639" s="227"/>
      <c r="BF5639" s="227"/>
    </row>
    <row r="5640">
      <c r="A5640" s="227"/>
      <c r="B5640" s="348"/>
      <c r="C5640" s="227"/>
      <c r="D5640" s="227"/>
      <c r="E5640" s="231"/>
      <c r="F5640" s="348"/>
      <c r="G5640" s="227"/>
      <c r="H5640" s="227"/>
      <c r="I5640" s="227"/>
      <c r="J5640" s="227"/>
      <c r="K5640" s="227"/>
      <c r="L5640" s="348"/>
      <c r="M5640" s="348"/>
      <c r="N5640" s="227"/>
      <c r="O5640" s="227"/>
      <c r="P5640" s="231"/>
      <c r="Q5640" s="231"/>
      <c r="R5640" s="227"/>
      <c r="S5640" s="231"/>
      <c r="T5640" s="231"/>
      <c r="U5640" s="231"/>
      <c r="V5640" s="231"/>
      <c r="W5640" s="231"/>
      <c r="X5640" s="227"/>
      <c r="Y5640" s="348"/>
      <c r="Z5640" s="348"/>
      <c r="AA5640" s="348"/>
      <c r="AB5640" s="348"/>
      <c r="AC5640" s="227"/>
      <c r="AD5640" s="227"/>
      <c r="AE5640" s="231"/>
      <c r="AF5640" s="227"/>
      <c r="AG5640" s="348"/>
      <c r="AH5640" s="348"/>
      <c r="AI5640" s="348"/>
      <c r="AJ5640" s="348"/>
      <c r="AK5640" s="348"/>
      <c r="AL5640" s="348"/>
      <c r="AM5640" s="348"/>
      <c r="AN5640" s="348"/>
      <c r="AO5640" s="231"/>
      <c r="AP5640" s="231"/>
      <c r="AQ5640" s="227"/>
      <c r="AR5640" s="231"/>
      <c r="AS5640" s="227"/>
      <c r="AT5640" s="227"/>
      <c r="AU5640" s="227"/>
      <c r="AV5640" s="227"/>
      <c r="AW5640" s="227"/>
      <c r="AX5640" s="227"/>
      <c r="AY5640" s="227"/>
      <c r="AZ5640" s="227"/>
      <c r="BA5640" s="227"/>
      <c r="BB5640" s="227"/>
      <c r="BC5640" s="227"/>
      <c r="BD5640" s="227"/>
      <c r="BE5640" s="227"/>
      <c r="BF5640" s="227"/>
    </row>
    <row r="5641">
      <c r="A5641" s="227"/>
      <c r="B5641" s="348"/>
      <c r="C5641" s="227"/>
      <c r="D5641" s="227"/>
      <c r="E5641" s="231"/>
      <c r="F5641" s="348"/>
      <c r="G5641" s="227"/>
      <c r="H5641" s="227"/>
      <c r="I5641" s="227"/>
      <c r="J5641" s="227"/>
      <c r="K5641" s="227"/>
      <c r="L5641" s="348"/>
      <c r="M5641" s="348"/>
      <c r="N5641" s="227"/>
      <c r="O5641" s="227"/>
      <c r="P5641" s="231"/>
      <c r="Q5641" s="231"/>
      <c r="R5641" s="227"/>
      <c r="S5641" s="231"/>
      <c r="T5641" s="231"/>
      <c r="U5641" s="231"/>
      <c r="V5641" s="231"/>
      <c r="W5641" s="231"/>
      <c r="X5641" s="227"/>
      <c r="Y5641" s="348"/>
      <c r="Z5641" s="348"/>
      <c r="AA5641" s="348"/>
      <c r="AB5641" s="348"/>
      <c r="AC5641" s="227"/>
      <c r="AD5641" s="227"/>
      <c r="AE5641" s="231"/>
      <c r="AF5641" s="227"/>
      <c r="AG5641" s="348"/>
      <c r="AH5641" s="348"/>
      <c r="AI5641" s="348"/>
      <c r="AJ5641" s="348"/>
      <c r="AK5641" s="348"/>
      <c r="AL5641" s="348"/>
      <c r="AM5641" s="348"/>
      <c r="AN5641" s="348"/>
      <c r="AO5641" s="231"/>
      <c r="AP5641" s="231"/>
      <c r="AQ5641" s="227"/>
      <c r="AR5641" s="231"/>
      <c r="AS5641" s="227"/>
      <c r="AT5641" s="227"/>
      <c r="AU5641" s="227"/>
      <c r="AV5641" s="227"/>
      <c r="AW5641" s="227"/>
      <c r="AX5641" s="227"/>
      <c r="AY5641" s="227"/>
      <c r="AZ5641" s="227"/>
      <c r="BA5641" s="227"/>
      <c r="BB5641" s="227"/>
      <c r="BC5641" s="227"/>
      <c r="BD5641" s="227"/>
      <c r="BE5641" s="227"/>
      <c r="BF5641" s="227"/>
    </row>
    <row r="5642">
      <c r="A5642" s="227"/>
      <c r="B5642" s="348"/>
      <c r="C5642" s="227"/>
      <c r="D5642" s="227"/>
      <c r="E5642" s="231"/>
      <c r="F5642" s="348"/>
      <c r="G5642" s="227"/>
      <c r="H5642" s="227"/>
      <c r="I5642" s="227"/>
      <c r="J5642" s="227"/>
      <c r="K5642" s="227"/>
      <c r="L5642" s="348"/>
      <c r="M5642" s="348"/>
      <c r="N5642" s="227"/>
      <c r="O5642" s="227"/>
      <c r="P5642" s="231"/>
      <c r="Q5642" s="231"/>
      <c r="R5642" s="227"/>
      <c r="S5642" s="231"/>
      <c r="T5642" s="231"/>
      <c r="U5642" s="231"/>
      <c r="V5642" s="231"/>
      <c r="W5642" s="231"/>
      <c r="X5642" s="227"/>
      <c r="Y5642" s="348"/>
      <c r="Z5642" s="348"/>
      <c r="AA5642" s="348"/>
      <c r="AB5642" s="348"/>
      <c r="AC5642" s="227"/>
      <c r="AD5642" s="227"/>
      <c r="AE5642" s="231"/>
      <c r="AF5642" s="227"/>
      <c r="AG5642" s="348"/>
      <c r="AH5642" s="348"/>
      <c r="AI5642" s="348"/>
      <c r="AJ5642" s="348"/>
      <c r="AK5642" s="348"/>
      <c r="AL5642" s="348"/>
      <c r="AM5642" s="348"/>
      <c r="AN5642" s="348"/>
      <c r="AO5642" s="231"/>
      <c r="AP5642" s="231"/>
      <c r="AQ5642" s="227"/>
      <c r="AR5642" s="231"/>
      <c r="AS5642" s="227"/>
      <c r="AT5642" s="227"/>
      <c r="AU5642" s="227"/>
      <c r="AV5642" s="227"/>
      <c r="AW5642" s="227"/>
      <c r="AX5642" s="227"/>
      <c r="AY5642" s="227"/>
      <c r="AZ5642" s="227"/>
      <c r="BA5642" s="227"/>
      <c r="BB5642" s="227"/>
      <c r="BC5642" s="227"/>
      <c r="BD5642" s="227"/>
      <c r="BE5642" s="227"/>
      <c r="BF5642" s="227"/>
    </row>
    <row r="5643">
      <c r="A5643" s="227"/>
      <c r="B5643" s="348"/>
      <c r="C5643" s="227"/>
      <c r="D5643" s="227"/>
      <c r="E5643" s="231"/>
      <c r="F5643" s="348"/>
      <c r="G5643" s="227"/>
      <c r="H5643" s="227"/>
      <c r="I5643" s="227"/>
      <c r="J5643" s="227"/>
      <c r="K5643" s="227"/>
      <c r="L5643" s="348"/>
      <c r="M5643" s="348"/>
      <c r="N5643" s="227"/>
      <c r="O5643" s="227"/>
      <c r="P5643" s="231"/>
      <c r="Q5643" s="231"/>
      <c r="R5643" s="227"/>
      <c r="S5643" s="231"/>
      <c r="T5643" s="231"/>
      <c r="U5643" s="231"/>
      <c r="V5643" s="231"/>
      <c r="W5643" s="231"/>
      <c r="X5643" s="227"/>
      <c r="Y5643" s="348"/>
      <c r="Z5643" s="348"/>
      <c r="AA5643" s="348"/>
      <c r="AB5643" s="348"/>
      <c r="AC5643" s="227"/>
      <c r="AD5643" s="227"/>
      <c r="AE5643" s="231"/>
      <c r="AF5643" s="227"/>
      <c r="AG5643" s="348"/>
      <c r="AH5643" s="348"/>
      <c r="AI5643" s="348"/>
      <c r="AJ5643" s="348"/>
      <c r="AK5643" s="348"/>
      <c r="AL5643" s="348"/>
      <c r="AM5643" s="348"/>
      <c r="AN5643" s="348"/>
      <c r="AO5643" s="231"/>
      <c r="AP5643" s="231"/>
      <c r="AQ5643" s="227"/>
      <c r="AR5643" s="231"/>
      <c r="AS5643" s="227"/>
      <c r="AT5643" s="227"/>
      <c r="AU5643" s="227"/>
      <c r="AV5643" s="227"/>
      <c r="AW5643" s="227"/>
      <c r="AX5643" s="227"/>
      <c r="AY5643" s="227"/>
      <c r="AZ5643" s="227"/>
      <c r="BA5643" s="227"/>
      <c r="BB5643" s="227"/>
      <c r="BC5643" s="227"/>
      <c r="BD5643" s="227"/>
      <c r="BE5643" s="227"/>
      <c r="BF5643" s="227"/>
    </row>
    <row r="5644">
      <c r="A5644" s="227"/>
      <c r="B5644" s="348"/>
      <c r="C5644" s="227"/>
      <c r="D5644" s="227"/>
      <c r="E5644" s="231"/>
      <c r="F5644" s="348"/>
      <c r="G5644" s="227"/>
      <c r="H5644" s="227"/>
      <c r="I5644" s="227"/>
      <c r="J5644" s="227"/>
      <c r="K5644" s="227"/>
      <c r="L5644" s="348"/>
      <c r="M5644" s="348"/>
      <c r="N5644" s="227"/>
      <c r="O5644" s="227"/>
      <c r="P5644" s="231"/>
      <c r="Q5644" s="231"/>
      <c r="R5644" s="227"/>
      <c r="S5644" s="231"/>
      <c r="T5644" s="231"/>
      <c r="U5644" s="231"/>
      <c r="V5644" s="231"/>
      <c r="W5644" s="231"/>
      <c r="X5644" s="227"/>
      <c r="Y5644" s="348"/>
      <c r="Z5644" s="348"/>
      <c r="AA5644" s="348"/>
      <c r="AB5644" s="348"/>
      <c r="AC5644" s="227"/>
      <c r="AD5644" s="227"/>
      <c r="AE5644" s="231"/>
      <c r="AF5644" s="227"/>
      <c r="AG5644" s="348"/>
      <c r="AH5644" s="348"/>
      <c r="AI5644" s="348"/>
      <c r="AJ5644" s="348"/>
      <c r="AK5644" s="348"/>
      <c r="AL5644" s="348"/>
      <c r="AM5644" s="348"/>
      <c r="AN5644" s="348"/>
      <c r="AO5644" s="231"/>
      <c r="AP5644" s="231"/>
      <c r="AQ5644" s="227"/>
      <c r="AR5644" s="231"/>
      <c r="AS5644" s="227"/>
      <c r="AT5644" s="227"/>
      <c r="AU5644" s="227"/>
      <c r="AV5644" s="227"/>
      <c r="AW5644" s="227"/>
      <c r="AX5644" s="227"/>
      <c r="AY5644" s="227"/>
      <c r="AZ5644" s="227"/>
      <c r="BA5644" s="227"/>
      <c r="BB5644" s="227"/>
      <c r="BC5644" s="227"/>
      <c r="BD5644" s="227"/>
      <c r="BE5644" s="227"/>
      <c r="BF5644" s="227"/>
    </row>
    <row r="5645">
      <c r="A5645" s="227"/>
      <c r="B5645" s="348"/>
      <c r="C5645" s="227"/>
      <c r="D5645" s="227"/>
      <c r="E5645" s="231"/>
      <c r="F5645" s="348"/>
      <c r="G5645" s="227"/>
      <c r="H5645" s="227"/>
      <c r="I5645" s="227"/>
      <c r="J5645" s="227"/>
      <c r="K5645" s="227"/>
      <c r="L5645" s="348"/>
      <c r="M5645" s="348"/>
      <c r="N5645" s="227"/>
      <c r="O5645" s="227"/>
      <c r="P5645" s="231"/>
      <c r="Q5645" s="231"/>
      <c r="R5645" s="227"/>
      <c r="S5645" s="231"/>
      <c r="T5645" s="231"/>
      <c r="U5645" s="231"/>
      <c r="V5645" s="231"/>
      <c r="W5645" s="231"/>
      <c r="X5645" s="227"/>
      <c r="Y5645" s="348"/>
      <c r="Z5645" s="348"/>
      <c r="AA5645" s="348"/>
      <c r="AB5645" s="348"/>
      <c r="AC5645" s="227"/>
      <c r="AD5645" s="227"/>
      <c r="AE5645" s="231"/>
      <c r="AF5645" s="227"/>
      <c r="AG5645" s="348"/>
      <c r="AH5645" s="348"/>
      <c r="AI5645" s="348"/>
      <c r="AJ5645" s="348"/>
      <c r="AK5645" s="348"/>
      <c r="AL5645" s="348"/>
      <c r="AM5645" s="348"/>
      <c r="AN5645" s="348"/>
      <c r="AO5645" s="231"/>
      <c r="AP5645" s="231"/>
      <c r="AQ5645" s="227"/>
      <c r="AR5645" s="231"/>
      <c r="AS5645" s="227"/>
      <c r="AT5645" s="227"/>
      <c r="AU5645" s="227"/>
      <c r="AV5645" s="227"/>
      <c r="AW5645" s="227"/>
      <c r="AX5645" s="227"/>
      <c r="AY5645" s="227"/>
      <c r="AZ5645" s="227"/>
      <c r="BA5645" s="227"/>
      <c r="BB5645" s="227"/>
      <c r="BC5645" s="227"/>
      <c r="BD5645" s="227"/>
      <c r="BE5645" s="227"/>
      <c r="BF5645" s="227"/>
    </row>
    <row r="5646">
      <c r="A5646" s="227"/>
      <c r="B5646" s="348"/>
      <c r="C5646" s="227"/>
      <c r="D5646" s="227"/>
      <c r="E5646" s="231"/>
      <c r="F5646" s="348"/>
      <c r="G5646" s="227"/>
      <c r="H5646" s="227"/>
      <c r="I5646" s="227"/>
      <c r="J5646" s="227"/>
      <c r="K5646" s="227"/>
      <c r="L5646" s="348"/>
      <c r="M5646" s="348"/>
      <c r="N5646" s="227"/>
      <c r="O5646" s="227"/>
      <c r="P5646" s="231"/>
      <c r="Q5646" s="231"/>
      <c r="R5646" s="227"/>
      <c r="S5646" s="231"/>
      <c r="T5646" s="231"/>
      <c r="U5646" s="231"/>
      <c r="V5646" s="231"/>
      <c r="W5646" s="231"/>
      <c r="X5646" s="227"/>
      <c r="Y5646" s="348"/>
      <c r="Z5646" s="348"/>
      <c r="AA5646" s="348"/>
      <c r="AB5646" s="348"/>
      <c r="AC5646" s="227"/>
      <c r="AD5646" s="227"/>
      <c r="AE5646" s="231"/>
      <c r="AF5646" s="227"/>
      <c r="AG5646" s="348"/>
      <c r="AH5646" s="348"/>
      <c r="AI5646" s="348"/>
      <c r="AJ5646" s="348"/>
      <c r="AK5646" s="348"/>
      <c r="AL5646" s="348"/>
      <c r="AM5646" s="348"/>
      <c r="AN5646" s="348"/>
      <c r="AO5646" s="231"/>
      <c r="AP5646" s="231"/>
      <c r="AQ5646" s="227"/>
      <c r="AR5646" s="231"/>
      <c r="AS5646" s="227"/>
      <c r="AT5646" s="227"/>
      <c r="AU5646" s="227"/>
      <c r="AV5646" s="227"/>
      <c r="AW5646" s="227"/>
      <c r="AX5646" s="227"/>
      <c r="AY5646" s="227"/>
      <c r="AZ5646" s="227"/>
      <c r="BA5646" s="227"/>
      <c r="BB5646" s="227"/>
      <c r="BC5646" s="227"/>
      <c r="BD5646" s="227"/>
      <c r="BE5646" s="227"/>
      <c r="BF5646" s="227"/>
    </row>
    <row r="5647">
      <c r="A5647" s="227"/>
      <c r="B5647" s="348"/>
      <c r="C5647" s="227"/>
      <c r="D5647" s="227"/>
      <c r="E5647" s="231"/>
      <c r="F5647" s="348"/>
      <c r="G5647" s="227"/>
      <c r="H5647" s="227"/>
      <c r="I5647" s="227"/>
      <c r="J5647" s="227"/>
      <c r="K5647" s="227"/>
      <c r="L5647" s="348"/>
      <c r="M5647" s="348"/>
      <c r="N5647" s="227"/>
      <c r="O5647" s="227"/>
      <c r="P5647" s="231"/>
      <c r="Q5647" s="231"/>
      <c r="R5647" s="227"/>
      <c r="S5647" s="231"/>
      <c r="T5647" s="231"/>
      <c r="U5647" s="231"/>
      <c r="V5647" s="231"/>
      <c r="W5647" s="231"/>
      <c r="X5647" s="227"/>
      <c r="Y5647" s="348"/>
      <c r="Z5647" s="348"/>
      <c r="AA5647" s="348"/>
      <c r="AB5647" s="348"/>
      <c r="AC5647" s="227"/>
      <c r="AD5647" s="227"/>
      <c r="AE5647" s="231"/>
      <c r="AF5647" s="227"/>
      <c r="AG5647" s="348"/>
      <c r="AH5647" s="348"/>
      <c r="AI5647" s="348"/>
      <c r="AJ5647" s="348"/>
      <c r="AK5647" s="348"/>
      <c r="AL5647" s="348"/>
      <c r="AM5647" s="348"/>
      <c r="AN5647" s="348"/>
      <c r="AO5647" s="231"/>
      <c r="AP5647" s="231"/>
      <c r="AQ5647" s="227"/>
      <c r="AR5647" s="231"/>
      <c r="AS5647" s="227"/>
      <c r="AT5647" s="227"/>
      <c r="AU5647" s="227"/>
      <c r="AV5647" s="227"/>
      <c r="AW5647" s="227"/>
      <c r="AX5647" s="227"/>
      <c r="AY5647" s="227"/>
      <c r="AZ5647" s="227"/>
      <c r="BA5647" s="227"/>
      <c r="BB5647" s="227"/>
      <c r="BC5647" s="227"/>
      <c r="BD5647" s="227"/>
      <c r="BE5647" s="227"/>
      <c r="BF5647" s="227"/>
    </row>
    <row r="5648">
      <c r="A5648" s="227"/>
      <c r="B5648" s="348"/>
      <c r="C5648" s="227"/>
      <c r="D5648" s="227"/>
      <c r="E5648" s="231"/>
      <c r="F5648" s="348"/>
      <c r="G5648" s="227"/>
      <c r="H5648" s="227"/>
      <c r="I5648" s="227"/>
      <c r="J5648" s="227"/>
      <c r="K5648" s="227"/>
      <c r="L5648" s="348"/>
      <c r="M5648" s="348"/>
      <c r="N5648" s="227"/>
      <c r="O5648" s="227"/>
      <c r="P5648" s="231"/>
      <c r="Q5648" s="231"/>
      <c r="R5648" s="227"/>
      <c r="S5648" s="231"/>
      <c r="T5648" s="231"/>
      <c r="U5648" s="231"/>
      <c r="V5648" s="231"/>
      <c r="W5648" s="231"/>
      <c r="X5648" s="227"/>
      <c r="Y5648" s="348"/>
      <c r="Z5648" s="348"/>
      <c r="AA5648" s="348"/>
      <c r="AB5648" s="348"/>
      <c r="AC5648" s="227"/>
      <c r="AD5648" s="227"/>
      <c r="AE5648" s="231"/>
      <c r="AF5648" s="227"/>
      <c r="AG5648" s="348"/>
      <c r="AH5648" s="348"/>
      <c r="AI5648" s="348"/>
      <c r="AJ5648" s="348"/>
      <c r="AK5648" s="348"/>
      <c r="AL5648" s="348"/>
      <c r="AM5648" s="348"/>
      <c r="AN5648" s="348"/>
      <c r="AO5648" s="231"/>
      <c r="AP5648" s="231"/>
      <c r="AQ5648" s="227"/>
      <c r="AR5648" s="231"/>
      <c r="AS5648" s="227"/>
      <c r="AT5648" s="227"/>
      <c r="AU5648" s="227"/>
      <c r="AV5648" s="227"/>
      <c r="AW5648" s="227"/>
      <c r="AX5648" s="227"/>
      <c r="AY5648" s="227"/>
      <c r="AZ5648" s="227"/>
      <c r="BA5648" s="227"/>
      <c r="BB5648" s="227"/>
      <c r="BC5648" s="227"/>
      <c r="BD5648" s="227"/>
      <c r="BE5648" s="227"/>
      <c r="BF5648" s="227"/>
    </row>
    <row r="5649">
      <c r="A5649" s="227"/>
      <c r="B5649" s="348"/>
      <c r="C5649" s="227"/>
      <c r="D5649" s="227"/>
      <c r="E5649" s="231"/>
      <c r="F5649" s="348"/>
      <c r="G5649" s="227"/>
      <c r="H5649" s="227"/>
      <c r="I5649" s="227"/>
      <c r="J5649" s="227"/>
      <c r="K5649" s="227"/>
      <c r="L5649" s="348"/>
      <c r="M5649" s="348"/>
      <c r="N5649" s="227"/>
      <c r="O5649" s="227"/>
      <c r="P5649" s="231"/>
      <c r="Q5649" s="231"/>
      <c r="R5649" s="227"/>
      <c r="S5649" s="231"/>
      <c r="T5649" s="231"/>
      <c r="U5649" s="231"/>
      <c r="V5649" s="231"/>
      <c r="W5649" s="231"/>
      <c r="X5649" s="227"/>
      <c r="Y5649" s="348"/>
      <c r="Z5649" s="348"/>
      <c r="AA5649" s="348"/>
      <c r="AB5649" s="348"/>
      <c r="AC5649" s="227"/>
      <c r="AD5649" s="227"/>
      <c r="AE5649" s="231"/>
      <c r="AF5649" s="227"/>
      <c r="AG5649" s="348"/>
      <c r="AH5649" s="348"/>
      <c r="AI5649" s="348"/>
      <c r="AJ5649" s="348"/>
      <c r="AK5649" s="348"/>
      <c r="AL5649" s="348"/>
      <c r="AM5649" s="348"/>
      <c r="AN5649" s="348"/>
      <c r="AO5649" s="231"/>
      <c r="AP5649" s="231"/>
      <c r="AQ5649" s="227"/>
      <c r="AR5649" s="231"/>
      <c r="AS5649" s="227"/>
      <c r="AT5649" s="227"/>
      <c r="AU5649" s="227"/>
      <c r="AV5649" s="227"/>
      <c r="AW5649" s="227"/>
      <c r="AX5649" s="227"/>
      <c r="AY5649" s="227"/>
      <c r="AZ5649" s="227"/>
      <c r="BA5649" s="227"/>
      <c r="BB5649" s="227"/>
      <c r="BC5649" s="227"/>
      <c r="BD5649" s="227"/>
      <c r="BE5649" s="227"/>
      <c r="BF5649" s="227"/>
    </row>
    <row r="5650">
      <c r="A5650" s="227"/>
      <c r="B5650" s="348"/>
      <c r="C5650" s="227"/>
      <c r="D5650" s="227"/>
      <c r="E5650" s="231"/>
      <c r="F5650" s="348"/>
      <c r="G5650" s="227"/>
      <c r="H5650" s="227"/>
      <c r="I5650" s="227"/>
      <c r="J5650" s="227"/>
      <c r="K5650" s="227"/>
      <c r="L5650" s="348"/>
      <c r="M5650" s="348"/>
      <c r="N5650" s="227"/>
      <c r="O5650" s="227"/>
      <c r="P5650" s="231"/>
      <c r="Q5650" s="231"/>
      <c r="R5650" s="227"/>
      <c r="S5650" s="231"/>
      <c r="T5650" s="231"/>
      <c r="U5650" s="231"/>
      <c r="V5650" s="231"/>
      <c r="W5650" s="231"/>
      <c r="X5650" s="227"/>
      <c r="Y5650" s="348"/>
      <c r="Z5650" s="348"/>
      <c r="AA5650" s="348"/>
      <c r="AB5650" s="348"/>
      <c r="AC5650" s="227"/>
      <c r="AD5650" s="227"/>
      <c r="AE5650" s="231"/>
      <c r="AF5650" s="227"/>
      <c r="AG5650" s="348"/>
      <c r="AH5650" s="348"/>
      <c r="AI5650" s="348"/>
      <c r="AJ5650" s="348"/>
      <c r="AK5650" s="348"/>
      <c r="AL5650" s="348"/>
      <c r="AM5650" s="348"/>
      <c r="AN5650" s="348"/>
      <c r="AO5650" s="231"/>
      <c r="AP5650" s="231"/>
      <c r="AQ5650" s="227"/>
      <c r="AR5650" s="231"/>
      <c r="AS5650" s="227"/>
      <c r="AT5650" s="227"/>
      <c r="AU5650" s="227"/>
      <c r="AV5650" s="227"/>
      <c r="AW5650" s="227"/>
      <c r="AX5650" s="227"/>
      <c r="AY5650" s="227"/>
      <c r="AZ5650" s="227"/>
      <c r="BA5650" s="227"/>
      <c r="BB5650" s="227"/>
      <c r="BC5650" s="227"/>
      <c r="BD5650" s="227"/>
      <c r="BE5650" s="227"/>
      <c r="BF5650" s="227"/>
    </row>
    <row r="5651">
      <c r="A5651" s="227"/>
      <c r="B5651" s="348"/>
      <c r="C5651" s="227"/>
      <c r="D5651" s="227"/>
      <c r="E5651" s="231"/>
      <c r="F5651" s="348"/>
      <c r="G5651" s="227"/>
      <c r="H5651" s="227"/>
      <c r="I5651" s="227"/>
      <c r="J5651" s="227"/>
      <c r="K5651" s="227"/>
      <c r="L5651" s="348"/>
      <c r="M5651" s="348"/>
      <c r="N5651" s="227"/>
      <c r="O5651" s="227"/>
      <c r="P5651" s="231"/>
      <c r="Q5651" s="231"/>
      <c r="R5651" s="227"/>
      <c r="S5651" s="231"/>
      <c r="T5651" s="231"/>
      <c r="U5651" s="231"/>
      <c r="V5651" s="231"/>
      <c r="W5651" s="231"/>
      <c r="X5651" s="227"/>
      <c r="Y5651" s="348"/>
      <c r="Z5651" s="348"/>
      <c r="AA5651" s="348"/>
      <c r="AB5651" s="348"/>
      <c r="AC5651" s="227"/>
      <c r="AD5651" s="227"/>
      <c r="AE5651" s="231"/>
      <c r="AF5651" s="227"/>
      <c r="AG5651" s="348"/>
      <c r="AH5651" s="348"/>
      <c r="AI5651" s="348"/>
      <c r="AJ5651" s="348"/>
      <c r="AK5651" s="348"/>
      <c r="AL5651" s="348"/>
      <c r="AM5651" s="348"/>
      <c r="AN5651" s="348"/>
      <c r="AO5651" s="231"/>
      <c r="AP5651" s="231"/>
      <c r="AQ5651" s="227"/>
      <c r="AR5651" s="231"/>
      <c r="AS5651" s="227"/>
      <c r="AT5651" s="227"/>
      <c r="AU5651" s="227"/>
      <c r="AV5651" s="227"/>
      <c r="AW5651" s="227"/>
      <c r="AX5651" s="227"/>
      <c r="AY5651" s="227"/>
      <c r="AZ5651" s="227"/>
      <c r="BA5651" s="227"/>
      <c r="BB5651" s="227"/>
      <c r="BC5651" s="227"/>
      <c r="BD5651" s="227"/>
      <c r="BE5651" s="227"/>
      <c r="BF5651" s="227"/>
    </row>
    <row r="5652">
      <c r="A5652" s="227"/>
      <c r="B5652" s="348"/>
      <c r="C5652" s="227"/>
      <c r="D5652" s="227"/>
      <c r="E5652" s="231"/>
      <c r="F5652" s="348"/>
      <c r="G5652" s="227"/>
      <c r="H5652" s="227"/>
      <c r="I5652" s="227"/>
      <c r="J5652" s="227"/>
      <c r="K5652" s="227"/>
      <c r="L5652" s="348"/>
      <c r="M5652" s="348"/>
      <c r="N5652" s="227"/>
      <c r="O5652" s="227"/>
      <c r="P5652" s="231"/>
      <c r="Q5652" s="231"/>
      <c r="R5652" s="227"/>
      <c r="S5652" s="231"/>
      <c r="T5652" s="231"/>
      <c r="U5652" s="231"/>
      <c r="V5652" s="231"/>
      <c r="W5652" s="231"/>
      <c r="X5652" s="227"/>
      <c r="Y5652" s="348"/>
      <c r="Z5652" s="348"/>
      <c r="AA5652" s="348"/>
      <c r="AB5652" s="348"/>
      <c r="AC5652" s="227"/>
      <c r="AD5652" s="227"/>
      <c r="AE5652" s="231"/>
      <c r="AF5652" s="227"/>
      <c r="AG5652" s="348"/>
      <c r="AH5652" s="348"/>
      <c r="AI5652" s="348"/>
      <c r="AJ5652" s="348"/>
      <c r="AK5652" s="348"/>
      <c r="AL5652" s="348"/>
      <c r="AM5652" s="348"/>
      <c r="AN5652" s="348"/>
      <c r="AO5652" s="231"/>
      <c r="AP5652" s="231"/>
      <c r="AQ5652" s="227"/>
      <c r="AR5652" s="231"/>
      <c r="AS5652" s="227"/>
      <c r="AT5652" s="227"/>
      <c r="AU5652" s="227"/>
      <c r="AV5652" s="227"/>
      <c r="AW5652" s="227"/>
      <c r="AX5652" s="227"/>
      <c r="AY5652" s="227"/>
      <c r="AZ5652" s="227"/>
      <c r="BA5652" s="227"/>
      <c r="BB5652" s="227"/>
      <c r="BC5652" s="227"/>
      <c r="BD5652" s="227"/>
      <c r="BE5652" s="227"/>
      <c r="BF5652" s="227"/>
    </row>
    <row r="5653">
      <c r="A5653" s="227"/>
      <c r="B5653" s="348"/>
      <c r="C5653" s="227"/>
      <c r="D5653" s="227"/>
      <c r="E5653" s="231"/>
      <c r="F5653" s="348"/>
      <c r="G5653" s="227"/>
      <c r="H5653" s="227"/>
      <c r="I5653" s="227"/>
      <c r="J5653" s="227"/>
      <c r="K5653" s="227"/>
      <c r="L5653" s="348"/>
      <c r="M5653" s="348"/>
      <c r="N5653" s="227"/>
      <c r="O5653" s="227"/>
      <c r="P5653" s="231"/>
      <c r="Q5653" s="231"/>
      <c r="R5653" s="227"/>
      <c r="S5653" s="231"/>
      <c r="T5653" s="231"/>
      <c r="U5653" s="231"/>
      <c r="V5653" s="231"/>
      <c r="W5653" s="231"/>
      <c r="X5653" s="227"/>
      <c r="Y5653" s="348"/>
      <c r="Z5653" s="348"/>
      <c r="AA5653" s="348"/>
      <c r="AB5653" s="348"/>
      <c r="AC5653" s="227"/>
      <c r="AD5653" s="227"/>
      <c r="AE5653" s="231"/>
      <c r="AF5653" s="227"/>
      <c r="AG5653" s="348"/>
      <c r="AH5653" s="348"/>
      <c r="AI5653" s="348"/>
      <c r="AJ5653" s="348"/>
      <c r="AK5653" s="348"/>
      <c r="AL5653" s="348"/>
      <c r="AM5653" s="348"/>
      <c r="AN5653" s="348"/>
      <c r="AO5653" s="231"/>
      <c r="AP5653" s="231"/>
      <c r="AQ5653" s="227"/>
      <c r="AR5653" s="231"/>
      <c r="AS5653" s="227"/>
      <c r="AT5653" s="227"/>
      <c r="AU5653" s="227"/>
      <c r="AV5653" s="227"/>
      <c r="AW5653" s="227"/>
      <c r="AX5653" s="227"/>
      <c r="AY5653" s="227"/>
      <c r="AZ5653" s="227"/>
      <c r="BA5653" s="227"/>
      <c r="BB5653" s="227"/>
      <c r="BC5653" s="227"/>
      <c r="BD5653" s="227"/>
      <c r="BE5653" s="227"/>
      <c r="BF5653" s="227"/>
    </row>
    <row r="5654">
      <c r="A5654" s="227"/>
      <c r="B5654" s="348"/>
      <c r="C5654" s="227"/>
      <c r="D5654" s="227"/>
      <c r="E5654" s="231"/>
      <c r="F5654" s="348"/>
      <c r="G5654" s="227"/>
      <c r="H5654" s="227"/>
      <c r="I5654" s="227"/>
      <c r="J5654" s="227"/>
      <c r="K5654" s="227"/>
      <c r="L5654" s="348"/>
      <c r="M5654" s="348"/>
      <c r="N5654" s="227"/>
      <c r="O5654" s="227"/>
      <c r="P5654" s="231"/>
      <c r="Q5654" s="231"/>
      <c r="R5654" s="227"/>
      <c r="S5654" s="231"/>
      <c r="T5654" s="231"/>
      <c r="U5654" s="231"/>
      <c r="V5654" s="231"/>
      <c r="W5654" s="231"/>
      <c r="X5654" s="227"/>
      <c r="Y5654" s="348"/>
      <c r="Z5654" s="348"/>
      <c r="AA5654" s="348"/>
      <c r="AB5654" s="348"/>
      <c r="AC5654" s="227"/>
      <c r="AD5654" s="227"/>
      <c r="AE5654" s="231"/>
      <c r="AF5654" s="227"/>
      <c r="AG5654" s="348"/>
      <c r="AH5654" s="348"/>
      <c r="AI5654" s="348"/>
      <c r="AJ5654" s="348"/>
      <c r="AK5654" s="348"/>
      <c r="AL5654" s="348"/>
      <c r="AM5654" s="348"/>
      <c r="AN5654" s="348"/>
      <c r="AO5654" s="231"/>
      <c r="AP5654" s="231"/>
      <c r="AQ5654" s="227"/>
      <c r="AR5654" s="231"/>
      <c r="AS5654" s="227"/>
      <c r="AT5654" s="227"/>
      <c r="AU5654" s="227"/>
      <c r="AV5654" s="227"/>
      <c r="AW5654" s="227"/>
      <c r="AX5654" s="227"/>
      <c r="AY5654" s="227"/>
      <c r="AZ5654" s="227"/>
      <c r="BA5654" s="227"/>
      <c r="BB5654" s="227"/>
      <c r="BC5654" s="227"/>
      <c r="BD5654" s="227"/>
      <c r="BE5654" s="227"/>
      <c r="BF5654" s="227"/>
    </row>
    <row r="5655">
      <c r="A5655" s="227"/>
      <c r="B5655" s="348"/>
      <c r="C5655" s="227"/>
      <c r="D5655" s="227"/>
      <c r="E5655" s="231"/>
      <c r="F5655" s="348"/>
      <c r="G5655" s="227"/>
      <c r="H5655" s="227"/>
      <c r="I5655" s="227"/>
      <c r="J5655" s="227"/>
      <c r="K5655" s="227"/>
      <c r="L5655" s="348"/>
      <c r="M5655" s="348"/>
      <c r="N5655" s="227"/>
      <c r="O5655" s="227"/>
      <c r="P5655" s="231"/>
      <c r="Q5655" s="231"/>
      <c r="R5655" s="227"/>
      <c r="S5655" s="231"/>
      <c r="T5655" s="231"/>
      <c r="U5655" s="231"/>
      <c r="V5655" s="231"/>
      <c r="W5655" s="231"/>
      <c r="X5655" s="227"/>
      <c r="Y5655" s="348"/>
      <c r="Z5655" s="348"/>
      <c r="AA5655" s="348"/>
      <c r="AB5655" s="348"/>
      <c r="AC5655" s="227"/>
      <c r="AD5655" s="227"/>
      <c r="AE5655" s="231"/>
      <c r="AF5655" s="227"/>
      <c r="AG5655" s="348"/>
      <c r="AH5655" s="348"/>
      <c r="AI5655" s="348"/>
      <c r="AJ5655" s="348"/>
      <c r="AK5655" s="348"/>
      <c r="AL5655" s="348"/>
      <c r="AM5655" s="348"/>
      <c r="AN5655" s="348"/>
      <c r="AO5655" s="231"/>
      <c r="AP5655" s="231"/>
      <c r="AQ5655" s="227"/>
      <c r="AR5655" s="231"/>
      <c r="AS5655" s="227"/>
      <c r="AT5655" s="227"/>
      <c r="AU5655" s="227"/>
      <c r="AV5655" s="227"/>
      <c r="AW5655" s="227"/>
      <c r="AX5655" s="227"/>
      <c r="AY5655" s="227"/>
      <c r="AZ5655" s="227"/>
      <c r="BA5655" s="227"/>
      <c r="BB5655" s="227"/>
      <c r="BC5655" s="227"/>
      <c r="BD5655" s="227"/>
      <c r="BE5655" s="227"/>
      <c r="BF5655" s="227"/>
    </row>
    <row r="5656">
      <c r="A5656" s="227"/>
      <c r="B5656" s="348"/>
      <c r="C5656" s="227"/>
      <c r="D5656" s="227"/>
      <c r="E5656" s="231"/>
      <c r="F5656" s="348"/>
      <c r="G5656" s="227"/>
      <c r="H5656" s="227"/>
      <c r="I5656" s="227"/>
      <c r="J5656" s="227"/>
      <c r="K5656" s="227"/>
      <c r="L5656" s="348"/>
      <c r="M5656" s="348"/>
      <c r="N5656" s="227"/>
      <c r="O5656" s="227"/>
      <c r="P5656" s="231"/>
      <c r="Q5656" s="231"/>
      <c r="R5656" s="227"/>
      <c r="S5656" s="231"/>
      <c r="T5656" s="231"/>
      <c r="U5656" s="231"/>
      <c r="V5656" s="231"/>
      <c r="W5656" s="231"/>
      <c r="X5656" s="227"/>
      <c r="Y5656" s="348"/>
      <c r="Z5656" s="348"/>
      <c r="AA5656" s="348"/>
      <c r="AB5656" s="348"/>
      <c r="AC5656" s="227"/>
      <c r="AD5656" s="227"/>
      <c r="AE5656" s="231"/>
      <c r="AF5656" s="227"/>
      <c r="AG5656" s="348"/>
      <c r="AH5656" s="348"/>
      <c r="AI5656" s="348"/>
      <c r="AJ5656" s="348"/>
      <c r="AK5656" s="348"/>
      <c r="AL5656" s="348"/>
      <c r="AM5656" s="348"/>
      <c r="AN5656" s="348"/>
      <c r="AO5656" s="231"/>
      <c r="AP5656" s="231"/>
      <c r="AQ5656" s="227"/>
      <c r="AR5656" s="231"/>
      <c r="AS5656" s="227"/>
      <c r="AT5656" s="227"/>
      <c r="AU5656" s="227"/>
      <c r="AV5656" s="227"/>
      <c r="AW5656" s="227"/>
      <c r="AX5656" s="227"/>
      <c r="AY5656" s="227"/>
      <c r="AZ5656" s="227"/>
      <c r="BA5656" s="227"/>
      <c r="BB5656" s="227"/>
      <c r="BC5656" s="227"/>
      <c r="BD5656" s="227"/>
      <c r="BE5656" s="227"/>
      <c r="BF5656" s="227"/>
    </row>
    <row r="5657">
      <c r="A5657" s="227"/>
      <c r="B5657" s="348"/>
      <c r="C5657" s="227"/>
      <c r="D5657" s="227"/>
      <c r="E5657" s="231"/>
      <c r="F5657" s="348"/>
      <c r="G5657" s="227"/>
      <c r="H5657" s="227"/>
      <c r="I5657" s="227"/>
      <c r="J5657" s="227"/>
      <c r="K5657" s="227"/>
      <c r="L5657" s="348"/>
      <c r="M5657" s="348"/>
      <c r="N5657" s="227"/>
      <c r="O5657" s="227"/>
      <c r="P5657" s="231"/>
      <c r="Q5657" s="231"/>
      <c r="R5657" s="227"/>
      <c r="S5657" s="231"/>
      <c r="T5657" s="231"/>
      <c r="U5657" s="231"/>
      <c r="V5657" s="231"/>
      <c r="W5657" s="231"/>
      <c r="X5657" s="227"/>
      <c r="Y5657" s="348"/>
      <c r="Z5657" s="348"/>
      <c r="AA5657" s="348"/>
      <c r="AB5657" s="348"/>
      <c r="AC5657" s="227"/>
      <c r="AD5657" s="227"/>
      <c r="AE5657" s="231"/>
      <c r="AF5657" s="227"/>
      <c r="AG5657" s="348"/>
      <c r="AH5657" s="348"/>
      <c r="AI5657" s="348"/>
      <c r="AJ5657" s="348"/>
      <c r="AK5657" s="348"/>
      <c r="AL5657" s="348"/>
      <c r="AM5657" s="348"/>
      <c r="AN5657" s="348"/>
      <c r="AO5657" s="231"/>
      <c r="AP5657" s="231"/>
      <c r="AQ5657" s="227"/>
      <c r="AR5657" s="231"/>
      <c r="AS5657" s="227"/>
      <c r="AT5657" s="227"/>
      <c r="AU5657" s="227"/>
      <c r="AV5657" s="227"/>
      <c r="AW5657" s="227"/>
      <c r="AX5657" s="227"/>
      <c r="AY5657" s="227"/>
      <c r="AZ5657" s="227"/>
      <c r="BA5657" s="227"/>
      <c r="BB5657" s="227"/>
      <c r="BC5657" s="227"/>
      <c r="BD5657" s="227"/>
      <c r="BE5657" s="227"/>
      <c r="BF5657" s="227"/>
    </row>
    <row r="5658">
      <c r="A5658" s="227"/>
      <c r="B5658" s="348"/>
      <c r="C5658" s="227"/>
      <c r="D5658" s="227"/>
      <c r="E5658" s="231"/>
      <c r="F5658" s="348"/>
      <c r="G5658" s="227"/>
      <c r="H5658" s="227"/>
      <c r="I5658" s="227"/>
      <c r="J5658" s="227"/>
      <c r="K5658" s="227"/>
      <c r="L5658" s="348"/>
      <c r="M5658" s="348"/>
      <c r="N5658" s="227"/>
      <c r="O5658" s="227"/>
      <c r="P5658" s="231"/>
      <c r="Q5658" s="231"/>
      <c r="R5658" s="227"/>
      <c r="S5658" s="231"/>
      <c r="T5658" s="231"/>
      <c r="U5658" s="231"/>
      <c r="V5658" s="231"/>
      <c r="W5658" s="231"/>
      <c r="X5658" s="227"/>
      <c r="Y5658" s="348"/>
      <c r="Z5658" s="348"/>
      <c r="AA5658" s="348"/>
      <c r="AB5658" s="348"/>
      <c r="AC5658" s="227"/>
      <c r="AD5658" s="227"/>
      <c r="AE5658" s="231"/>
      <c r="AF5658" s="227"/>
      <c r="AG5658" s="348"/>
      <c r="AH5658" s="348"/>
      <c r="AI5658" s="348"/>
      <c r="AJ5658" s="348"/>
      <c r="AK5658" s="348"/>
      <c r="AL5658" s="348"/>
      <c r="AM5658" s="348"/>
      <c r="AN5658" s="348"/>
      <c r="AO5658" s="231"/>
      <c r="AP5658" s="231"/>
      <c r="AQ5658" s="227"/>
      <c r="AR5658" s="231"/>
      <c r="AS5658" s="227"/>
      <c r="AT5658" s="227"/>
      <c r="AU5658" s="227"/>
      <c r="AV5658" s="227"/>
      <c r="AW5658" s="227"/>
      <c r="AX5658" s="227"/>
      <c r="AY5658" s="227"/>
      <c r="AZ5658" s="227"/>
      <c r="BA5658" s="227"/>
      <c r="BB5658" s="227"/>
      <c r="BC5658" s="227"/>
      <c r="BD5658" s="227"/>
      <c r="BE5658" s="227"/>
      <c r="BF5658" s="227"/>
    </row>
    <row r="5659">
      <c r="A5659" s="227"/>
      <c r="B5659" s="348"/>
      <c r="C5659" s="227"/>
      <c r="D5659" s="227"/>
      <c r="E5659" s="231"/>
      <c r="F5659" s="348"/>
      <c r="G5659" s="227"/>
      <c r="H5659" s="227"/>
      <c r="I5659" s="227"/>
      <c r="J5659" s="227"/>
      <c r="K5659" s="227"/>
      <c r="L5659" s="348"/>
      <c r="M5659" s="348"/>
      <c r="N5659" s="227"/>
      <c r="O5659" s="227"/>
      <c r="P5659" s="231"/>
      <c r="Q5659" s="231"/>
      <c r="R5659" s="227"/>
      <c r="S5659" s="231"/>
      <c r="T5659" s="231"/>
      <c r="U5659" s="231"/>
      <c r="V5659" s="231"/>
      <c r="W5659" s="231"/>
      <c r="X5659" s="227"/>
      <c r="Y5659" s="348"/>
      <c r="Z5659" s="348"/>
      <c r="AA5659" s="348"/>
      <c r="AB5659" s="348"/>
      <c r="AC5659" s="227"/>
      <c r="AD5659" s="227"/>
      <c r="AE5659" s="231"/>
      <c r="AF5659" s="227"/>
      <c r="AG5659" s="348"/>
      <c r="AH5659" s="348"/>
      <c r="AI5659" s="348"/>
      <c r="AJ5659" s="348"/>
      <c r="AK5659" s="348"/>
      <c r="AL5659" s="348"/>
      <c r="AM5659" s="348"/>
      <c r="AN5659" s="348"/>
      <c r="AO5659" s="231"/>
      <c r="AP5659" s="231"/>
      <c r="AQ5659" s="227"/>
      <c r="AR5659" s="231"/>
      <c r="AS5659" s="227"/>
      <c r="AT5659" s="227"/>
      <c r="AU5659" s="227"/>
      <c r="AV5659" s="227"/>
      <c r="AW5659" s="227"/>
      <c r="AX5659" s="227"/>
      <c r="AY5659" s="227"/>
      <c r="AZ5659" s="227"/>
      <c r="BA5659" s="227"/>
      <c r="BB5659" s="227"/>
      <c r="BC5659" s="227"/>
      <c r="BD5659" s="227"/>
      <c r="BE5659" s="227"/>
      <c r="BF5659" s="227"/>
    </row>
    <row r="5660">
      <c r="A5660" s="227"/>
      <c r="B5660" s="348"/>
      <c r="C5660" s="227"/>
      <c r="D5660" s="227"/>
      <c r="E5660" s="231"/>
      <c r="F5660" s="348"/>
      <c r="G5660" s="227"/>
      <c r="H5660" s="227"/>
      <c r="I5660" s="227"/>
      <c r="J5660" s="227"/>
      <c r="K5660" s="227"/>
      <c r="L5660" s="348"/>
      <c r="M5660" s="348"/>
      <c r="N5660" s="227"/>
      <c r="O5660" s="227"/>
      <c r="P5660" s="231"/>
      <c r="Q5660" s="231"/>
      <c r="R5660" s="227"/>
      <c r="S5660" s="231"/>
      <c r="T5660" s="231"/>
      <c r="U5660" s="231"/>
      <c r="V5660" s="231"/>
      <c r="W5660" s="231"/>
      <c r="X5660" s="227"/>
      <c r="Y5660" s="348"/>
      <c r="Z5660" s="348"/>
      <c r="AA5660" s="348"/>
      <c r="AB5660" s="348"/>
      <c r="AC5660" s="227"/>
      <c r="AD5660" s="227"/>
      <c r="AE5660" s="231"/>
      <c r="AF5660" s="227"/>
      <c r="AG5660" s="348"/>
      <c r="AH5660" s="348"/>
      <c r="AI5660" s="348"/>
      <c r="AJ5660" s="348"/>
      <c r="AK5660" s="348"/>
      <c r="AL5660" s="348"/>
      <c r="AM5660" s="348"/>
      <c r="AN5660" s="348"/>
      <c r="AO5660" s="231"/>
      <c r="AP5660" s="231"/>
      <c r="AQ5660" s="227"/>
      <c r="AR5660" s="231"/>
      <c r="AS5660" s="227"/>
      <c r="AT5660" s="227"/>
      <c r="AU5660" s="227"/>
      <c r="AV5660" s="227"/>
      <c r="AW5660" s="227"/>
      <c r="AX5660" s="227"/>
      <c r="AY5660" s="227"/>
      <c r="AZ5660" s="227"/>
      <c r="BA5660" s="227"/>
      <c r="BB5660" s="227"/>
      <c r="BC5660" s="227"/>
      <c r="BD5660" s="227"/>
      <c r="BE5660" s="227"/>
      <c r="BF5660" s="227"/>
    </row>
    <row r="5661">
      <c r="A5661" s="227"/>
      <c r="B5661" s="348"/>
      <c r="C5661" s="227"/>
      <c r="D5661" s="227"/>
      <c r="E5661" s="231"/>
      <c r="F5661" s="348"/>
      <c r="G5661" s="227"/>
      <c r="H5661" s="227"/>
      <c r="I5661" s="227"/>
      <c r="J5661" s="227"/>
      <c r="K5661" s="227"/>
      <c r="L5661" s="348"/>
      <c r="M5661" s="348"/>
      <c r="N5661" s="227"/>
      <c r="O5661" s="227"/>
      <c r="P5661" s="231"/>
      <c r="Q5661" s="231"/>
      <c r="R5661" s="227"/>
      <c r="S5661" s="231"/>
      <c r="T5661" s="231"/>
      <c r="U5661" s="231"/>
      <c r="V5661" s="231"/>
      <c r="W5661" s="231"/>
      <c r="X5661" s="227"/>
      <c r="Y5661" s="348"/>
      <c r="Z5661" s="348"/>
      <c r="AA5661" s="348"/>
      <c r="AB5661" s="348"/>
      <c r="AC5661" s="227"/>
      <c r="AD5661" s="227"/>
      <c r="AE5661" s="231"/>
      <c r="AF5661" s="227"/>
      <c r="AG5661" s="348"/>
      <c r="AH5661" s="348"/>
      <c r="AI5661" s="348"/>
      <c r="AJ5661" s="348"/>
      <c r="AK5661" s="348"/>
      <c r="AL5661" s="348"/>
      <c r="AM5661" s="348"/>
      <c r="AN5661" s="348"/>
      <c r="AO5661" s="231"/>
      <c r="AP5661" s="231"/>
      <c r="AQ5661" s="227"/>
      <c r="AR5661" s="231"/>
      <c r="AS5661" s="227"/>
      <c r="AT5661" s="227"/>
      <c r="AU5661" s="227"/>
      <c r="AV5661" s="227"/>
      <c r="AW5661" s="227"/>
      <c r="AX5661" s="227"/>
      <c r="AY5661" s="227"/>
      <c r="AZ5661" s="227"/>
      <c r="BA5661" s="227"/>
      <c r="BB5661" s="227"/>
      <c r="BC5661" s="227"/>
      <c r="BD5661" s="227"/>
      <c r="BE5661" s="227"/>
      <c r="BF5661" s="227"/>
    </row>
    <row r="5662">
      <c r="A5662" s="227"/>
      <c r="B5662" s="348"/>
      <c r="C5662" s="227"/>
      <c r="D5662" s="227"/>
      <c r="E5662" s="231"/>
      <c r="F5662" s="348"/>
      <c r="G5662" s="227"/>
      <c r="H5662" s="227"/>
      <c r="I5662" s="227"/>
      <c r="J5662" s="227"/>
      <c r="K5662" s="227"/>
      <c r="L5662" s="348"/>
      <c r="M5662" s="348"/>
      <c r="N5662" s="227"/>
      <c r="O5662" s="227"/>
      <c r="P5662" s="231"/>
      <c r="Q5662" s="231"/>
      <c r="R5662" s="227"/>
      <c r="S5662" s="231"/>
      <c r="T5662" s="231"/>
      <c r="U5662" s="231"/>
      <c r="V5662" s="231"/>
      <c r="W5662" s="231"/>
      <c r="X5662" s="227"/>
      <c r="Y5662" s="348"/>
      <c r="Z5662" s="348"/>
      <c r="AA5662" s="348"/>
      <c r="AB5662" s="348"/>
      <c r="AC5662" s="227"/>
      <c r="AD5662" s="227"/>
      <c r="AE5662" s="231"/>
      <c r="AF5662" s="227"/>
      <c r="AG5662" s="348"/>
      <c r="AH5662" s="348"/>
      <c r="AI5662" s="348"/>
      <c r="AJ5662" s="348"/>
      <c r="AK5662" s="348"/>
      <c r="AL5662" s="348"/>
      <c r="AM5662" s="348"/>
      <c r="AN5662" s="348"/>
      <c r="AO5662" s="231"/>
      <c r="AP5662" s="231"/>
      <c r="AQ5662" s="227"/>
      <c r="AR5662" s="231"/>
      <c r="AS5662" s="227"/>
      <c r="AT5662" s="227"/>
      <c r="AU5662" s="227"/>
      <c r="AV5662" s="227"/>
      <c r="AW5662" s="227"/>
      <c r="AX5662" s="227"/>
      <c r="AY5662" s="227"/>
      <c r="AZ5662" s="227"/>
      <c r="BA5662" s="227"/>
      <c r="BB5662" s="227"/>
      <c r="BC5662" s="227"/>
      <c r="BD5662" s="227"/>
      <c r="BE5662" s="227"/>
      <c r="BF5662" s="227"/>
    </row>
    <row r="5663">
      <c r="A5663" s="227"/>
      <c r="B5663" s="348"/>
      <c r="C5663" s="227"/>
      <c r="D5663" s="227"/>
      <c r="E5663" s="231"/>
      <c r="F5663" s="348"/>
      <c r="G5663" s="227"/>
      <c r="H5663" s="227"/>
      <c r="I5663" s="227"/>
      <c r="J5663" s="227"/>
      <c r="K5663" s="227"/>
      <c r="L5663" s="348"/>
      <c r="M5663" s="348"/>
      <c r="N5663" s="227"/>
      <c r="O5663" s="227"/>
      <c r="P5663" s="231"/>
      <c r="Q5663" s="231"/>
      <c r="R5663" s="227"/>
      <c r="S5663" s="231"/>
      <c r="T5663" s="231"/>
      <c r="U5663" s="231"/>
      <c r="V5663" s="231"/>
      <c r="W5663" s="231"/>
      <c r="X5663" s="227"/>
      <c r="Y5663" s="348"/>
      <c r="Z5663" s="348"/>
      <c r="AA5663" s="348"/>
      <c r="AB5663" s="348"/>
      <c r="AC5663" s="227"/>
      <c r="AD5663" s="227"/>
      <c r="AE5663" s="231"/>
      <c r="AF5663" s="227"/>
      <c r="AG5663" s="348"/>
      <c r="AH5663" s="348"/>
      <c r="AI5663" s="348"/>
      <c r="AJ5663" s="348"/>
      <c r="AK5663" s="348"/>
      <c r="AL5663" s="348"/>
      <c r="AM5663" s="348"/>
      <c r="AN5663" s="348"/>
      <c r="AO5663" s="231"/>
      <c r="AP5663" s="231"/>
      <c r="AQ5663" s="227"/>
      <c r="AR5663" s="231"/>
      <c r="AS5663" s="227"/>
      <c r="AT5663" s="227"/>
      <c r="AU5663" s="227"/>
      <c r="AV5663" s="227"/>
      <c r="AW5663" s="227"/>
      <c r="AX5663" s="227"/>
      <c r="AY5663" s="227"/>
      <c r="AZ5663" s="227"/>
      <c r="BA5663" s="227"/>
      <c r="BB5663" s="227"/>
      <c r="BC5663" s="227"/>
      <c r="BD5663" s="227"/>
      <c r="BE5663" s="227"/>
      <c r="BF5663" s="227"/>
    </row>
    <row r="5664">
      <c r="A5664" s="227"/>
      <c r="B5664" s="348"/>
      <c r="C5664" s="227"/>
      <c r="D5664" s="227"/>
      <c r="E5664" s="231"/>
      <c r="F5664" s="348"/>
      <c r="G5664" s="227"/>
      <c r="H5664" s="227"/>
      <c r="I5664" s="227"/>
      <c r="J5664" s="227"/>
      <c r="K5664" s="227"/>
      <c r="L5664" s="348"/>
      <c r="M5664" s="348"/>
      <c r="N5664" s="227"/>
      <c r="O5664" s="227"/>
      <c r="P5664" s="231"/>
      <c r="Q5664" s="231"/>
      <c r="R5664" s="227"/>
      <c r="S5664" s="231"/>
      <c r="T5664" s="231"/>
      <c r="U5664" s="231"/>
      <c r="V5664" s="231"/>
      <c r="W5664" s="231"/>
      <c r="X5664" s="227"/>
      <c r="Y5664" s="348"/>
      <c r="Z5664" s="348"/>
      <c r="AA5664" s="348"/>
      <c r="AB5664" s="348"/>
      <c r="AC5664" s="227"/>
      <c r="AD5664" s="227"/>
      <c r="AE5664" s="231"/>
      <c r="AF5664" s="227"/>
      <c r="AG5664" s="348"/>
      <c r="AH5664" s="348"/>
      <c r="AI5664" s="348"/>
      <c r="AJ5664" s="348"/>
      <c r="AK5664" s="348"/>
      <c r="AL5664" s="348"/>
      <c r="AM5664" s="348"/>
      <c r="AN5664" s="348"/>
      <c r="AO5664" s="231"/>
      <c r="AP5664" s="231"/>
      <c r="AQ5664" s="227"/>
      <c r="AR5664" s="231"/>
      <c r="AS5664" s="227"/>
      <c r="AT5664" s="227"/>
      <c r="AU5664" s="227"/>
      <c r="AV5664" s="227"/>
      <c r="AW5664" s="227"/>
      <c r="AX5664" s="227"/>
      <c r="AY5664" s="227"/>
      <c r="AZ5664" s="227"/>
      <c r="BA5664" s="227"/>
      <c r="BB5664" s="227"/>
      <c r="BC5664" s="227"/>
      <c r="BD5664" s="227"/>
      <c r="BE5664" s="227"/>
      <c r="BF5664" s="227"/>
    </row>
    <row r="5665">
      <c r="A5665" s="227"/>
      <c r="B5665" s="348"/>
      <c r="C5665" s="227"/>
      <c r="D5665" s="227"/>
      <c r="E5665" s="231"/>
      <c r="F5665" s="348"/>
      <c r="G5665" s="227"/>
      <c r="H5665" s="227"/>
      <c r="I5665" s="227"/>
      <c r="J5665" s="227"/>
      <c r="K5665" s="227"/>
      <c r="L5665" s="348"/>
      <c r="M5665" s="348"/>
      <c r="N5665" s="227"/>
      <c r="O5665" s="227"/>
      <c r="P5665" s="231"/>
      <c r="Q5665" s="231"/>
      <c r="R5665" s="227"/>
      <c r="S5665" s="231"/>
      <c r="T5665" s="231"/>
      <c r="U5665" s="231"/>
      <c r="V5665" s="231"/>
      <c r="W5665" s="231"/>
      <c r="X5665" s="227"/>
      <c r="Y5665" s="348"/>
      <c r="Z5665" s="348"/>
      <c r="AA5665" s="348"/>
      <c r="AB5665" s="348"/>
      <c r="AC5665" s="227"/>
      <c r="AD5665" s="227"/>
      <c r="AE5665" s="231"/>
      <c r="AF5665" s="227"/>
      <c r="AG5665" s="348"/>
      <c r="AH5665" s="348"/>
      <c r="AI5665" s="348"/>
      <c r="AJ5665" s="348"/>
      <c r="AK5665" s="348"/>
      <c r="AL5665" s="348"/>
      <c r="AM5665" s="348"/>
      <c r="AN5665" s="348"/>
      <c r="AO5665" s="231"/>
      <c r="AP5665" s="231"/>
      <c r="AQ5665" s="227"/>
      <c r="AR5665" s="231"/>
      <c r="AS5665" s="227"/>
      <c r="AT5665" s="227"/>
      <c r="AU5665" s="227"/>
      <c r="AV5665" s="227"/>
      <c r="AW5665" s="227"/>
      <c r="AX5665" s="227"/>
      <c r="AY5665" s="227"/>
      <c r="AZ5665" s="227"/>
      <c r="BA5665" s="227"/>
      <c r="BB5665" s="227"/>
      <c r="BC5665" s="227"/>
      <c r="BD5665" s="227"/>
      <c r="BE5665" s="227"/>
      <c r="BF5665" s="227"/>
    </row>
    <row r="5666">
      <c r="A5666" s="227"/>
      <c r="B5666" s="348"/>
      <c r="C5666" s="227"/>
      <c r="D5666" s="227"/>
      <c r="E5666" s="231"/>
      <c r="F5666" s="348"/>
      <c r="G5666" s="227"/>
      <c r="H5666" s="227"/>
      <c r="I5666" s="227"/>
      <c r="J5666" s="227"/>
      <c r="K5666" s="227"/>
      <c r="L5666" s="348"/>
      <c r="M5666" s="348"/>
      <c r="N5666" s="227"/>
      <c r="O5666" s="227"/>
      <c r="P5666" s="231"/>
      <c r="Q5666" s="231"/>
      <c r="R5666" s="227"/>
      <c r="S5666" s="231"/>
      <c r="T5666" s="231"/>
      <c r="U5666" s="231"/>
      <c r="V5666" s="231"/>
      <c r="W5666" s="231"/>
      <c r="X5666" s="227"/>
      <c r="Y5666" s="348"/>
      <c r="Z5666" s="348"/>
      <c r="AA5666" s="348"/>
      <c r="AB5666" s="348"/>
      <c r="AC5666" s="227"/>
      <c r="AD5666" s="227"/>
      <c r="AE5666" s="231"/>
      <c r="AF5666" s="227"/>
      <c r="AG5666" s="348"/>
      <c r="AH5666" s="348"/>
      <c r="AI5666" s="348"/>
      <c r="AJ5666" s="348"/>
      <c r="AK5666" s="348"/>
      <c r="AL5666" s="348"/>
      <c r="AM5666" s="348"/>
      <c r="AN5666" s="348"/>
      <c r="AO5666" s="231"/>
      <c r="AP5666" s="231"/>
      <c r="AQ5666" s="227"/>
      <c r="AR5666" s="231"/>
      <c r="AS5666" s="227"/>
      <c r="AT5666" s="227"/>
      <c r="AU5666" s="227"/>
      <c r="AV5666" s="227"/>
      <c r="AW5666" s="227"/>
      <c r="AX5666" s="227"/>
      <c r="AY5666" s="227"/>
      <c r="AZ5666" s="227"/>
      <c r="BA5666" s="227"/>
      <c r="BB5666" s="227"/>
      <c r="BC5666" s="227"/>
      <c r="BD5666" s="227"/>
      <c r="BE5666" s="227"/>
      <c r="BF5666" s="227"/>
    </row>
    <row r="5667">
      <c r="A5667" s="227"/>
      <c r="B5667" s="348"/>
      <c r="C5667" s="227"/>
      <c r="D5667" s="227"/>
      <c r="E5667" s="231"/>
      <c r="F5667" s="348"/>
      <c r="G5667" s="227"/>
      <c r="H5667" s="227"/>
      <c r="I5667" s="227"/>
      <c r="J5667" s="227"/>
      <c r="K5667" s="227"/>
      <c r="L5667" s="348"/>
      <c r="M5667" s="348"/>
      <c r="N5667" s="227"/>
      <c r="O5667" s="227"/>
      <c r="P5667" s="231"/>
      <c r="Q5667" s="231"/>
      <c r="R5667" s="227"/>
      <c r="S5667" s="231"/>
      <c r="T5667" s="231"/>
      <c r="U5667" s="231"/>
      <c r="V5667" s="231"/>
      <c r="W5667" s="231"/>
      <c r="X5667" s="227"/>
      <c r="Y5667" s="348"/>
      <c r="Z5667" s="348"/>
      <c r="AA5667" s="348"/>
      <c r="AB5667" s="348"/>
      <c r="AC5667" s="227"/>
      <c r="AD5667" s="227"/>
      <c r="AE5667" s="231"/>
      <c r="AF5667" s="227"/>
      <c r="AG5667" s="348"/>
      <c r="AH5667" s="348"/>
      <c r="AI5667" s="348"/>
      <c r="AJ5667" s="348"/>
      <c r="AK5667" s="348"/>
      <c r="AL5667" s="348"/>
      <c r="AM5667" s="348"/>
      <c r="AN5667" s="348"/>
      <c r="AO5667" s="231"/>
      <c r="AP5667" s="231"/>
      <c r="AQ5667" s="227"/>
      <c r="AR5667" s="231"/>
      <c r="AS5667" s="227"/>
      <c r="AT5667" s="227"/>
      <c r="AU5667" s="227"/>
      <c r="AV5667" s="227"/>
      <c r="AW5667" s="227"/>
      <c r="AX5667" s="227"/>
      <c r="AY5667" s="227"/>
      <c r="AZ5667" s="227"/>
      <c r="BA5667" s="227"/>
      <c r="BB5667" s="227"/>
      <c r="BC5667" s="227"/>
      <c r="BD5667" s="227"/>
      <c r="BE5667" s="227"/>
      <c r="BF5667" s="227"/>
    </row>
    <row r="5668">
      <c r="A5668" s="227"/>
      <c r="B5668" s="348"/>
      <c r="C5668" s="227"/>
      <c r="D5668" s="227"/>
      <c r="E5668" s="231"/>
      <c r="F5668" s="348"/>
      <c r="G5668" s="227"/>
      <c r="H5668" s="227"/>
      <c r="I5668" s="227"/>
      <c r="J5668" s="227"/>
      <c r="K5668" s="227"/>
      <c r="L5668" s="348"/>
      <c r="M5668" s="348"/>
      <c r="N5668" s="227"/>
      <c r="O5668" s="227"/>
      <c r="P5668" s="231"/>
      <c r="Q5668" s="231"/>
      <c r="R5668" s="227"/>
      <c r="S5668" s="231"/>
      <c r="T5668" s="231"/>
      <c r="U5668" s="231"/>
      <c r="V5668" s="231"/>
      <c r="W5668" s="231"/>
      <c r="X5668" s="227"/>
      <c r="Y5668" s="348"/>
      <c r="Z5668" s="348"/>
      <c r="AA5668" s="348"/>
      <c r="AB5668" s="348"/>
      <c r="AC5668" s="227"/>
      <c r="AD5668" s="227"/>
      <c r="AE5668" s="231"/>
      <c r="AF5668" s="227"/>
      <c r="AG5668" s="348"/>
      <c r="AH5668" s="348"/>
      <c r="AI5668" s="348"/>
      <c r="AJ5668" s="348"/>
      <c r="AK5668" s="348"/>
      <c r="AL5668" s="348"/>
      <c r="AM5668" s="348"/>
      <c r="AN5668" s="348"/>
      <c r="AO5668" s="231"/>
      <c r="AP5668" s="231"/>
      <c r="AQ5668" s="227"/>
      <c r="AR5668" s="231"/>
      <c r="AS5668" s="227"/>
      <c r="AT5668" s="227"/>
      <c r="AU5668" s="227"/>
      <c r="AV5668" s="227"/>
      <c r="AW5668" s="227"/>
      <c r="AX5668" s="227"/>
      <c r="AY5668" s="227"/>
      <c r="AZ5668" s="227"/>
      <c r="BA5668" s="227"/>
      <c r="BB5668" s="227"/>
      <c r="BC5668" s="227"/>
      <c r="BD5668" s="227"/>
      <c r="BE5668" s="227"/>
      <c r="BF5668" s="227"/>
    </row>
    <row r="5669">
      <c r="A5669" s="227"/>
      <c r="B5669" s="348"/>
      <c r="C5669" s="227"/>
      <c r="D5669" s="227"/>
      <c r="E5669" s="231"/>
      <c r="F5669" s="348"/>
      <c r="G5669" s="227"/>
      <c r="H5669" s="227"/>
      <c r="I5669" s="227"/>
      <c r="J5669" s="227"/>
      <c r="K5669" s="227"/>
      <c r="L5669" s="348"/>
      <c r="M5669" s="348"/>
      <c r="N5669" s="227"/>
      <c r="O5669" s="227"/>
      <c r="P5669" s="231"/>
      <c r="Q5669" s="231"/>
      <c r="R5669" s="227"/>
      <c r="S5669" s="231"/>
      <c r="T5669" s="231"/>
      <c r="U5669" s="231"/>
      <c r="V5669" s="231"/>
      <c r="W5669" s="231"/>
      <c r="X5669" s="227"/>
      <c r="Y5669" s="348"/>
      <c r="Z5669" s="348"/>
      <c r="AA5669" s="348"/>
      <c r="AB5669" s="348"/>
      <c r="AC5669" s="227"/>
      <c r="AD5669" s="227"/>
      <c r="AE5669" s="231"/>
      <c r="AF5669" s="227"/>
      <c r="AG5669" s="348"/>
      <c r="AH5669" s="348"/>
      <c r="AI5669" s="348"/>
      <c r="AJ5669" s="348"/>
      <c r="AK5669" s="348"/>
      <c r="AL5669" s="348"/>
      <c r="AM5669" s="348"/>
      <c r="AN5669" s="348"/>
      <c r="AO5669" s="231"/>
      <c r="AP5669" s="231"/>
      <c r="AQ5669" s="227"/>
      <c r="AR5669" s="231"/>
      <c r="AS5669" s="227"/>
      <c r="AT5669" s="227"/>
      <c r="AU5669" s="227"/>
      <c r="AV5669" s="227"/>
      <c r="AW5669" s="227"/>
      <c r="AX5669" s="227"/>
      <c r="AY5669" s="227"/>
      <c r="AZ5669" s="227"/>
      <c r="BA5669" s="227"/>
      <c r="BB5669" s="227"/>
      <c r="BC5669" s="227"/>
      <c r="BD5669" s="227"/>
      <c r="BE5669" s="227"/>
      <c r="BF5669" s="227"/>
    </row>
    <row r="5670">
      <c r="A5670" s="227"/>
      <c r="B5670" s="348"/>
      <c r="C5670" s="227"/>
      <c r="D5670" s="227"/>
      <c r="E5670" s="231"/>
      <c r="F5670" s="348"/>
      <c r="G5670" s="227"/>
      <c r="H5670" s="227"/>
      <c r="I5670" s="227"/>
      <c r="J5670" s="227"/>
      <c r="K5670" s="227"/>
      <c r="L5670" s="348"/>
      <c r="M5670" s="348"/>
      <c r="N5670" s="227"/>
      <c r="O5670" s="227"/>
      <c r="P5670" s="231"/>
      <c r="Q5670" s="231"/>
      <c r="R5670" s="227"/>
      <c r="S5670" s="231"/>
      <c r="T5670" s="231"/>
      <c r="U5670" s="231"/>
      <c r="V5670" s="231"/>
      <c r="W5670" s="231"/>
      <c r="X5670" s="227"/>
      <c r="Y5670" s="348"/>
      <c r="Z5670" s="348"/>
      <c r="AA5670" s="348"/>
      <c r="AB5670" s="348"/>
      <c r="AC5670" s="227"/>
      <c r="AD5670" s="227"/>
      <c r="AE5670" s="231"/>
      <c r="AF5670" s="227"/>
      <c r="AG5670" s="348"/>
      <c r="AH5670" s="348"/>
      <c r="AI5670" s="348"/>
      <c r="AJ5670" s="348"/>
      <c r="AK5670" s="348"/>
      <c r="AL5670" s="348"/>
      <c r="AM5670" s="348"/>
      <c r="AN5670" s="348"/>
      <c r="AO5670" s="231"/>
      <c r="AP5670" s="231"/>
      <c r="AQ5670" s="227"/>
      <c r="AR5670" s="231"/>
      <c r="AS5670" s="227"/>
      <c r="AT5670" s="227"/>
      <c r="AU5670" s="227"/>
      <c r="AV5670" s="227"/>
      <c r="AW5670" s="227"/>
      <c r="AX5670" s="227"/>
      <c r="AY5670" s="227"/>
      <c r="AZ5670" s="227"/>
      <c r="BA5670" s="227"/>
      <c r="BB5670" s="227"/>
      <c r="BC5670" s="227"/>
      <c r="BD5670" s="227"/>
      <c r="BE5670" s="227"/>
      <c r="BF5670" s="227"/>
    </row>
    <row r="5671">
      <c r="A5671" s="227"/>
      <c r="B5671" s="348"/>
      <c r="C5671" s="227"/>
      <c r="D5671" s="227"/>
      <c r="E5671" s="231"/>
      <c r="F5671" s="348"/>
      <c r="G5671" s="227"/>
      <c r="H5671" s="227"/>
      <c r="I5671" s="227"/>
      <c r="J5671" s="227"/>
      <c r="K5671" s="227"/>
      <c r="L5671" s="348"/>
      <c r="M5671" s="348"/>
      <c r="N5671" s="227"/>
      <c r="O5671" s="227"/>
      <c r="P5671" s="231"/>
      <c r="Q5671" s="231"/>
      <c r="R5671" s="227"/>
      <c r="S5671" s="231"/>
      <c r="T5671" s="231"/>
      <c r="U5671" s="231"/>
      <c r="V5671" s="231"/>
      <c r="W5671" s="231"/>
      <c r="X5671" s="227"/>
      <c r="Y5671" s="348"/>
      <c r="Z5671" s="348"/>
      <c r="AA5671" s="348"/>
      <c r="AB5671" s="348"/>
      <c r="AC5671" s="227"/>
      <c r="AD5671" s="227"/>
      <c r="AE5671" s="231"/>
      <c r="AF5671" s="227"/>
      <c r="AG5671" s="348"/>
      <c r="AH5671" s="348"/>
      <c r="AI5671" s="348"/>
      <c r="AJ5671" s="348"/>
      <c r="AK5671" s="348"/>
      <c r="AL5671" s="348"/>
      <c r="AM5671" s="348"/>
      <c r="AN5671" s="348"/>
      <c r="AO5671" s="231"/>
      <c r="AP5671" s="231"/>
      <c r="AQ5671" s="227"/>
      <c r="AR5671" s="231"/>
      <c r="AS5671" s="227"/>
      <c r="AT5671" s="227"/>
      <c r="AU5671" s="227"/>
      <c r="AV5671" s="227"/>
      <c r="AW5671" s="227"/>
      <c r="AX5671" s="227"/>
      <c r="AY5671" s="227"/>
      <c r="AZ5671" s="227"/>
      <c r="BA5671" s="227"/>
      <c r="BB5671" s="227"/>
      <c r="BC5671" s="227"/>
      <c r="BD5671" s="227"/>
      <c r="BE5671" s="227"/>
      <c r="BF5671" s="227"/>
    </row>
    <row r="5672">
      <c r="A5672" s="227"/>
      <c r="B5672" s="348"/>
      <c r="C5672" s="227"/>
      <c r="D5672" s="227"/>
      <c r="E5672" s="231"/>
      <c r="F5672" s="348"/>
      <c r="G5672" s="227"/>
      <c r="H5672" s="227"/>
      <c r="I5672" s="227"/>
      <c r="J5672" s="227"/>
      <c r="K5672" s="227"/>
      <c r="L5672" s="348"/>
      <c r="M5672" s="348"/>
      <c r="N5672" s="227"/>
      <c r="O5672" s="227"/>
      <c r="P5672" s="231"/>
      <c r="Q5672" s="231"/>
      <c r="R5672" s="227"/>
      <c r="S5672" s="231"/>
      <c r="T5672" s="231"/>
      <c r="U5672" s="231"/>
      <c r="V5672" s="231"/>
      <c r="W5672" s="231"/>
      <c r="X5672" s="227"/>
      <c r="Y5672" s="348"/>
      <c r="Z5672" s="348"/>
      <c r="AA5672" s="348"/>
      <c r="AB5672" s="348"/>
      <c r="AC5672" s="227"/>
      <c r="AD5672" s="227"/>
      <c r="AE5672" s="231"/>
      <c r="AF5672" s="227"/>
      <c r="AG5672" s="348"/>
      <c r="AH5672" s="348"/>
      <c r="AI5672" s="348"/>
      <c r="AJ5672" s="348"/>
      <c r="AK5672" s="348"/>
      <c r="AL5672" s="348"/>
      <c r="AM5672" s="348"/>
      <c r="AN5672" s="348"/>
      <c r="AO5672" s="231"/>
      <c r="AP5672" s="231"/>
      <c r="AQ5672" s="227"/>
      <c r="AR5672" s="231"/>
      <c r="AS5672" s="227"/>
      <c r="AT5672" s="227"/>
      <c r="AU5672" s="227"/>
      <c r="AV5672" s="227"/>
      <c r="AW5672" s="227"/>
      <c r="AX5672" s="227"/>
      <c r="AY5672" s="227"/>
      <c r="AZ5672" s="227"/>
      <c r="BA5672" s="227"/>
      <c r="BB5672" s="227"/>
      <c r="BC5672" s="227"/>
      <c r="BD5672" s="227"/>
      <c r="BE5672" s="227"/>
      <c r="BF5672" s="227"/>
    </row>
    <row r="5673">
      <c r="A5673" s="227"/>
      <c r="B5673" s="348"/>
      <c r="C5673" s="227"/>
      <c r="D5673" s="227"/>
      <c r="E5673" s="231"/>
      <c r="F5673" s="348"/>
      <c r="G5673" s="227"/>
      <c r="H5673" s="227"/>
      <c r="I5673" s="227"/>
      <c r="J5673" s="227"/>
      <c r="K5673" s="227"/>
      <c r="L5673" s="348"/>
      <c r="M5673" s="348"/>
      <c r="N5673" s="227"/>
      <c r="O5673" s="227"/>
      <c r="P5673" s="231"/>
      <c r="Q5673" s="231"/>
      <c r="R5673" s="227"/>
      <c r="S5673" s="231"/>
      <c r="T5673" s="231"/>
      <c r="U5673" s="231"/>
      <c r="V5673" s="231"/>
      <c r="W5673" s="231"/>
      <c r="X5673" s="227"/>
      <c r="Y5673" s="348"/>
      <c r="Z5673" s="348"/>
      <c r="AA5673" s="348"/>
      <c r="AB5673" s="348"/>
      <c r="AC5673" s="227"/>
      <c r="AD5673" s="227"/>
      <c r="AE5673" s="231"/>
      <c r="AF5673" s="227"/>
      <c r="AG5673" s="348"/>
      <c r="AH5673" s="348"/>
      <c r="AI5673" s="348"/>
      <c r="AJ5673" s="348"/>
      <c r="AK5673" s="348"/>
      <c r="AL5673" s="348"/>
      <c r="AM5673" s="348"/>
      <c r="AN5673" s="348"/>
      <c r="AO5673" s="231"/>
      <c r="AP5673" s="231"/>
      <c r="AQ5673" s="227"/>
      <c r="AR5673" s="231"/>
      <c r="AS5673" s="227"/>
      <c r="AT5673" s="227"/>
      <c r="AU5673" s="227"/>
      <c r="AV5673" s="227"/>
      <c r="AW5673" s="227"/>
      <c r="AX5673" s="227"/>
      <c r="AY5673" s="227"/>
      <c r="AZ5673" s="227"/>
      <c r="BA5673" s="227"/>
      <c r="BB5673" s="227"/>
      <c r="BC5673" s="227"/>
      <c r="BD5673" s="227"/>
      <c r="BE5673" s="227"/>
      <c r="BF5673" s="227"/>
    </row>
    <row r="5674">
      <c r="A5674" s="227"/>
      <c r="B5674" s="348"/>
      <c r="C5674" s="227"/>
      <c r="D5674" s="227"/>
      <c r="E5674" s="231"/>
      <c r="F5674" s="348"/>
      <c r="G5674" s="227"/>
      <c r="H5674" s="227"/>
      <c r="I5674" s="227"/>
      <c r="J5674" s="227"/>
      <c r="K5674" s="227"/>
      <c r="L5674" s="348"/>
      <c r="M5674" s="348"/>
      <c r="N5674" s="227"/>
      <c r="O5674" s="227"/>
      <c r="P5674" s="231"/>
      <c r="Q5674" s="231"/>
      <c r="R5674" s="227"/>
      <c r="S5674" s="231"/>
      <c r="T5674" s="231"/>
      <c r="U5674" s="231"/>
      <c r="V5674" s="231"/>
      <c r="W5674" s="231"/>
      <c r="X5674" s="227"/>
      <c r="Y5674" s="348"/>
      <c r="Z5674" s="348"/>
      <c r="AA5674" s="348"/>
      <c r="AB5674" s="348"/>
      <c r="AC5674" s="227"/>
      <c r="AD5674" s="227"/>
      <c r="AE5674" s="231"/>
      <c r="AF5674" s="227"/>
      <c r="AG5674" s="348"/>
      <c r="AH5674" s="348"/>
      <c r="AI5674" s="348"/>
      <c r="AJ5674" s="348"/>
      <c r="AK5674" s="348"/>
      <c r="AL5674" s="348"/>
      <c r="AM5674" s="348"/>
      <c r="AN5674" s="348"/>
      <c r="AO5674" s="231"/>
      <c r="AP5674" s="231"/>
      <c r="AQ5674" s="227"/>
      <c r="AR5674" s="231"/>
      <c r="AS5674" s="227"/>
      <c r="AT5674" s="227"/>
      <c r="AU5674" s="227"/>
      <c r="AV5674" s="227"/>
      <c r="AW5674" s="227"/>
      <c r="AX5674" s="227"/>
      <c r="AY5674" s="227"/>
      <c r="AZ5674" s="227"/>
      <c r="BA5674" s="227"/>
      <c r="BB5674" s="227"/>
      <c r="BC5674" s="227"/>
      <c r="BD5674" s="227"/>
      <c r="BE5674" s="227"/>
      <c r="BF5674" s="227"/>
    </row>
    <row r="5675">
      <c r="A5675" s="227"/>
      <c r="B5675" s="348"/>
      <c r="C5675" s="227"/>
      <c r="D5675" s="227"/>
      <c r="E5675" s="231"/>
      <c r="F5675" s="348"/>
      <c r="G5675" s="227"/>
      <c r="H5675" s="227"/>
      <c r="I5675" s="227"/>
      <c r="J5675" s="227"/>
      <c r="K5675" s="227"/>
      <c r="L5675" s="348"/>
      <c r="M5675" s="348"/>
      <c r="N5675" s="227"/>
      <c r="O5675" s="227"/>
      <c r="P5675" s="231"/>
      <c r="Q5675" s="231"/>
      <c r="R5675" s="227"/>
      <c r="S5675" s="231"/>
      <c r="T5675" s="231"/>
      <c r="U5675" s="231"/>
      <c r="V5675" s="231"/>
      <c r="W5675" s="231"/>
      <c r="X5675" s="227"/>
      <c r="Y5675" s="348"/>
      <c r="Z5675" s="348"/>
      <c r="AA5675" s="348"/>
      <c r="AB5675" s="348"/>
      <c r="AC5675" s="227"/>
      <c r="AD5675" s="227"/>
      <c r="AE5675" s="231"/>
      <c r="AF5675" s="227"/>
      <c r="AG5675" s="348"/>
      <c r="AH5675" s="348"/>
      <c r="AI5675" s="348"/>
      <c r="AJ5675" s="348"/>
      <c r="AK5675" s="348"/>
      <c r="AL5675" s="348"/>
      <c r="AM5675" s="348"/>
      <c r="AN5675" s="348"/>
      <c r="AO5675" s="231"/>
      <c r="AP5675" s="231"/>
      <c r="AQ5675" s="227"/>
      <c r="AR5675" s="231"/>
      <c r="AS5675" s="227"/>
      <c r="AT5675" s="227"/>
      <c r="AU5675" s="227"/>
      <c r="AV5675" s="227"/>
      <c r="AW5675" s="227"/>
      <c r="AX5675" s="227"/>
      <c r="AY5675" s="227"/>
      <c r="AZ5675" s="227"/>
      <c r="BA5675" s="227"/>
      <c r="BB5675" s="227"/>
      <c r="BC5675" s="227"/>
      <c r="BD5675" s="227"/>
      <c r="BE5675" s="227"/>
      <c r="BF5675" s="227"/>
    </row>
    <row r="5676">
      <c r="A5676" s="227"/>
      <c r="B5676" s="348"/>
      <c r="C5676" s="227"/>
      <c r="D5676" s="227"/>
      <c r="E5676" s="231"/>
      <c r="F5676" s="348"/>
      <c r="G5676" s="227"/>
      <c r="H5676" s="227"/>
      <c r="I5676" s="227"/>
      <c r="J5676" s="227"/>
      <c r="K5676" s="227"/>
      <c r="L5676" s="348"/>
      <c r="M5676" s="348"/>
      <c r="N5676" s="227"/>
      <c r="O5676" s="227"/>
      <c r="P5676" s="231"/>
      <c r="Q5676" s="231"/>
      <c r="R5676" s="227"/>
      <c r="S5676" s="231"/>
      <c r="T5676" s="231"/>
      <c r="U5676" s="231"/>
      <c r="V5676" s="231"/>
      <c r="W5676" s="231"/>
      <c r="X5676" s="227"/>
      <c r="Y5676" s="348"/>
      <c r="Z5676" s="348"/>
      <c r="AA5676" s="348"/>
      <c r="AB5676" s="348"/>
      <c r="AC5676" s="227"/>
      <c r="AD5676" s="227"/>
      <c r="AE5676" s="231"/>
      <c r="AF5676" s="227"/>
      <c r="AG5676" s="348"/>
      <c r="AH5676" s="348"/>
      <c r="AI5676" s="348"/>
      <c r="AJ5676" s="348"/>
      <c r="AK5676" s="348"/>
      <c r="AL5676" s="348"/>
      <c r="AM5676" s="348"/>
      <c r="AN5676" s="348"/>
      <c r="AO5676" s="231"/>
      <c r="AP5676" s="231"/>
      <c r="AQ5676" s="227"/>
      <c r="AR5676" s="231"/>
      <c r="AS5676" s="227"/>
      <c r="AT5676" s="227"/>
      <c r="AU5676" s="227"/>
      <c r="AV5676" s="227"/>
      <c r="AW5676" s="227"/>
      <c r="AX5676" s="227"/>
      <c r="AY5676" s="227"/>
      <c r="AZ5676" s="227"/>
      <c r="BA5676" s="227"/>
      <c r="BB5676" s="227"/>
      <c r="BC5676" s="227"/>
      <c r="BD5676" s="227"/>
      <c r="BE5676" s="227"/>
      <c r="BF5676" s="227"/>
    </row>
    <row r="5677">
      <c r="A5677" s="227"/>
      <c r="B5677" s="348"/>
      <c r="C5677" s="227"/>
      <c r="D5677" s="227"/>
      <c r="E5677" s="231"/>
      <c r="F5677" s="348"/>
      <c r="G5677" s="227"/>
      <c r="H5677" s="227"/>
      <c r="I5677" s="227"/>
      <c r="J5677" s="227"/>
      <c r="K5677" s="227"/>
      <c r="L5677" s="348"/>
      <c r="M5677" s="348"/>
      <c r="N5677" s="227"/>
      <c r="O5677" s="227"/>
      <c r="P5677" s="231"/>
      <c r="Q5677" s="231"/>
      <c r="R5677" s="227"/>
      <c r="S5677" s="231"/>
      <c r="T5677" s="231"/>
      <c r="U5677" s="231"/>
      <c r="V5677" s="231"/>
      <c r="W5677" s="231"/>
      <c r="X5677" s="227"/>
      <c r="Y5677" s="348"/>
      <c r="Z5677" s="348"/>
      <c r="AA5677" s="348"/>
      <c r="AB5677" s="348"/>
      <c r="AC5677" s="227"/>
      <c r="AD5677" s="227"/>
      <c r="AE5677" s="231"/>
      <c r="AF5677" s="227"/>
      <c r="AG5677" s="348"/>
      <c r="AH5677" s="348"/>
      <c r="AI5677" s="348"/>
      <c r="AJ5677" s="348"/>
      <c r="AK5677" s="348"/>
      <c r="AL5677" s="348"/>
      <c r="AM5677" s="348"/>
      <c r="AN5677" s="348"/>
      <c r="AO5677" s="231"/>
      <c r="AP5677" s="231"/>
      <c r="AQ5677" s="227"/>
      <c r="AR5677" s="231"/>
      <c r="AS5677" s="227"/>
      <c r="AT5677" s="227"/>
      <c r="AU5677" s="227"/>
      <c r="AV5677" s="227"/>
      <c r="AW5677" s="227"/>
      <c r="AX5677" s="227"/>
      <c r="AY5677" s="227"/>
      <c r="AZ5677" s="227"/>
      <c r="BA5677" s="227"/>
      <c r="BB5677" s="227"/>
      <c r="BC5677" s="227"/>
      <c r="BD5677" s="227"/>
      <c r="BE5677" s="227"/>
      <c r="BF5677" s="227"/>
    </row>
    <row r="5678">
      <c r="A5678" s="227"/>
      <c r="B5678" s="348"/>
      <c r="C5678" s="227"/>
      <c r="D5678" s="227"/>
      <c r="E5678" s="231"/>
      <c r="F5678" s="348"/>
      <c r="G5678" s="227"/>
      <c r="H5678" s="227"/>
      <c r="I5678" s="227"/>
      <c r="J5678" s="227"/>
      <c r="K5678" s="227"/>
      <c r="L5678" s="348"/>
      <c r="M5678" s="348"/>
      <c r="N5678" s="227"/>
      <c r="O5678" s="227"/>
      <c r="P5678" s="231"/>
      <c r="Q5678" s="231"/>
      <c r="R5678" s="227"/>
      <c r="S5678" s="231"/>
      <c r="T5678" s="231"/>
      <c r="U5678" s="231"/>
      <c r="V5678" s="231"/>
      <c r="W5678" s="231"/>
      <c r="X5678" s="227"/>
      <c r="Y5678" s="348"/>
      <c r="Z5678" s="348"/>
      <c r="AA5678" s="348"/>
      <c r="AB5678" s="348"/>
      <c r="AC5678" s="227"/>
      <c r="AD5678" s="227"/>
      <c r="AE5678" s="231"/>
      <c r="AF5678" s="227"/>
      <c r="AG5678" s="348"/>
      <c r="AH5678" s="348"/>
      <c r="AI5678" s="348"/>
      <c r="AJ5678" s="348"/>
      <c r="AK5678" s="348"/>
      <c r="AL5678" s="348"/>
      <c r="AM5678" s="348"/>
      <c r="AN5678" s="348"/>
      <c r="AO5678" s="231"/>
      <c r="AP5678" s="231"/>
      <c r="AQ5678" s="227"/>
      <c r="AR5678" s="231"/>
      <c r="AS5678" s="227"/>
      <c r="AT5678" s="227"/>
      <c r="AU5678" s="227"/>
      <c r="AV5678" s="227"/>
      <c r="AW5678" s="227"/>
      <c r="AX5678" s="227"/>
      <c r="AY5678" s="227"/>
      <c r="AZ5678" s="227"/>
      <c r="BA5678" s="227"/>
      <c r="BB5678" s="227"/>
      <c r="BC5678" s="227"/>
      <c r="BD5678" s="227"/>
      <c r="BE5678" s="227"/>
      <c r="BF5678" s="227"/>
    </row>
    <row r="5679">
      <c r="A5679" s="227"/>
      <c r="B5679" s="348"/>
      <c r="C5679" s="227"/>
      <c r="D5679" s="227"/>
      <c r="E5679" s="231"/>
      <c r="F5679" s="348"/>
      <c r="G5679" s="227"/>
      <c r="H5679" s="227"/>
      <c r="I5679" s="227"/>
      <c r="J5679" s="227"/>
      <c r="K5679" s="227"/>
      <c r="L5679" s="348"/>
      <c r="M5679" s="348"/>
      <c r="N5679" s="227"/>
      <c r="O5679" s="227"/>
      <c r="P5679" s="231"/>
      <c r="Q5679" s="231"/>
      <c r="R5679" s="227"/>
      <c r="S5679" s="231"/>
      <c r="T5679" s="231"/>
      <c r="U5679" s="231"/>
      <c r="V5679" s="231"/>
      <c r="W5679" s="231"/>
      <c r="X5679" s="227"/>
      <c r="Y5679" s="348"/>
      <c r="Z5679" s="348"/>
      <c r="AA5679" s="348"/>
      <c r="AB5679" s="348"/>
      <c r="AC5679" s="227"/>
      <c r="AD5679" s="227"/>
      <c r="AE5679" s="231"/>
      <c r="AF5679" s="227"/>
      <c r="AG5679" s="348"/>
      <c r="AH5679" s="348"/>
      <c r="AI5679" s="348"/>
      <c r="AJ5679" s="348"/>
      <c r="AK5679" s="348"/>
      <c r="AL5679" s="348"/>
      <c r="AM5679" s="348"/>
      <c r="AN5679" s="348"/>
      <c r="AO5679" s="231"/>
      <c r="AP5679" s="231"/>
      <c r="AQ5679" s="227"/>
      <c r="AR5679" s="231"/>
      <c r="AS5679" s="227"/>
      <c r="AT5679" s="227"/>
      <c r="AU5679" s="227"/>
      <c r="AV5679" s="227"/>
      <c r="AW5679" s="227"/>
      <c r="AX5679" s="227"/>
      <c r="AY5679" s="227"/>
      <c r="AZ5679" s="227"/>
      <c r="BA5679" s="227"/>
      <c r="BB5679" s="227"/>
      <c r="BC5679" s="227"/>
      <c r="BD5679" s="227"/>
      <c r="BE5679" s="227"/>
      <c r="BF5679" s="227"/>
    </row>
    <row r="5680">
      <c r="A5680" s="227"/>
      <c r="B5680" s="348"/>
      <c r="C5680" s="227"/>
      <c r="D5680" s="227"/>
      <c r="E5680" s="231"/>
      <c r="F5680" s="348"/>
      <c r="G5680" s="227"/>
      <c r="H5680" s="227"/>
      <c r="I5680" s="227"/>
      <c r="J5680" s="227"/>
      <c r="K5680" s="227"/>
      <c r="L5680" s="348"/>
      <c r="M5680" s="348"/>
      <c r="N5680" s="227"/>
      <c r="O5680" s="227"/>
      <c r="P5680" s="231"/>
      <c r="Q5680" s="231"/>
      <c r="R5680" s="227"/>
      <c r="S5680" s="231"/>
      <c r="T5680" s="231"/>
      <c r="U5680" s="231"/>
      <c r="V5680" s="231"/>
      <c r="W5680" s="231"/>
      <c r="X5680" s="227"/>
      <c r="Y5680" s="348"/>
      <c r="Z5680" s="348"/>
      <c r="AA5680" s="348"/>
      <c r="AB5680" s="348"/>
      <c r="AC5680" s="227"/>
      <c r="AD5680" s="227"/>
      <c r="AE5680" s="231"/>
      <c r="AF5680" s="227"/>
      <c r="AG5680" s="348"/>
      <c r="AH5680" s="348"/>
      <c r="AI5680" s="348"/>
      <c r="AJ5680" s="348"/>
      <c r="AK5680" s="348"/>
      <c r="AL5680" s="348"/>
      <c r="AM5680" s="348"/>
      <c r="AN5680" s="348"/>
      <c r="AO5680" s="231"/>
      <c r="AP5680" s="231"/>
      <c r="AQ5680" s="227"/>
      <c r="AR5680" s="231"/>
      <c r="AS5680" s="227"/>
      <c r="AT5680" s="227"/>
      <c r="AU5680" s="227"/>
      <c r="AV5680" s="227"/>
      <c r="AW5680" s="227"/>
      <c r="AX5680" s="227"/>
      <c r="AY5680" s="227"/>
      <c r="AZ5680" s="227"/>
      <c r="BA5680" s="227"/>
      <c r="BB5680" s="227"/>
      <c r="BC5680" s="227"/>
      <c r="BD5680" s="227"/>
      <c r="BE5680" s="227"/>
      <c r="BF5680" s="227"/>
    </row>
    <row r="5681">
      <c r="A5681" s="227"/>
      <c r="B5681" s="348"/>
      <c r="C5681" s="227"/>
      <c r="D5681" s="227"/>
      <c r="E5681" s="231"/>
      <c r="F5681" s="348"/>
      <c r="G5681" s="227"/>
      <c r="H5681" s="227"/>
      <c r="I5681" s="227"/>
      <c r="J5681" s="227"/>
      <c r="K5681" s="227"/>
      <c r="L5681" s="348"/>
      <c r="M5681" s="348"/>
      <c r="N5681" s="227"/>
      <c r="O5681" s="227"/>
      <c r="P5681" s="231"/>
      <c r="Q5681" s="231"/>
      <c r="R5681" s="227"/>
      <c r="S5681" s="231"/>
      <c r="T5681" s="231"/>
      <c r="U5681" s="231"/>
      <c r="V5681" s="231"/>
      <c r="W5681" s="231"/>
      <c r="X5681" s="227"/>
      <c r="Y5681" s="348"/>
      <c r="Z5681" s="348"/>
      <c r="AA5681" s="348"/>
      <c r="AB5681" s="348"/>
      <c r="AC5681" s="227"/>
      <c r="AD5681" s="227"/>
      <c r="AE5681" s="231"/>
      <c r="AF5681" s="227"/>
      <c r="AG5681" s="348"/>
      <c r="AH5681" s="348"/>
      <c r="AI5681" s="348"/>
      <c r="AJ5681" s="348"/>
      <c r="AK5681" s="348"/>
      <c r="AL5681" s="348"/>
      <c r="AM5681" s="348"/>
      <c r="AN5681" s="348"/>
      <c r="AO5681" s="231"/>
      <c r="AP5681" s="231"/>
      <c r="AQ5681" s="227"/>
      <c r="AR5681" s="231"/>
      <c r="AS5681" s="227"/>
      <c r="AT5681" s="227"/>
      <c r="AU5681" s="227"/>
      <c r="AV5681" s="227"/>
      <c r="AW5681" s="227"/>
      <c r="AX5681" s="227"/>
      <c r="AY5681" s="227"/>
      <c r="AZ5681" s="227"/>
      <c r="BA5681" s="227"/>
      <c r="BB5681" s="227"/>
      <c r="BC5681" s="227"/>
      <c r="BD5681" s="227"/>
      <c r="BE5681" s="227"/>
      <c r="BF5681" s="227"/>
    </row>
    <row r="5682">
      <c r="A5682" s="227"/>
      <c r="B5682" s="348"/>
      <c r="C5682" s="227"/>
      <c r="D5682" s="227"/>
      <c r="E5682" s="231"/>
      <c r="F5682" s="348"/>
      <c r="G5682" s="227"/>
      <c r="H5682" s="227"/>
      <c r="I5682" s="227"/>
      <c r="J5682" s="227"/>
      <c r="K5682" s="227"/>
      <c r="L5682" s="348"/>
      <c r="M5682" s="348"/>
      <c r="N5682" s="227"/>
      <c r="O5682" s="227"/>
      <c r="P5682" s="231"/>
      <c r="Q5682" s="231"/>
      <c r="R5682" s="227"/>
      <c r="S5682" s="231"/>
      <c r="T5682" s="231"/>
      <c r="U5682" s="231"/>
      <c r="V5682" s="231"/>
      <c r="W5682" s="231"/>
      <c r="X5682" s="227"/>
      <c r="Y5682" s="348"/>
      <c r="Z5682" s="348"/>
      <c r="AA5682" s="348"/>
      <c r="AB5682" s="348"/>
      <c r="AC5682" s="227"/>
      <c r="AD5682" s="227"/>
      <c r="AE5682" s="231"/>
      <c r="AF5682" s="227"/>
      <c r="AG5682" s="348"/>
      <c r="AH5682" s="348"/>
      <c r="AI5682" s="348"/>
      <c r="AJ5682" s="348"/>
      <c r="AK5682" s="348"/>
      <c r="AL5682" s="348"/>
      <c r="AM5682" s="348"/>
      <c r="AN5682" s="348"/>
      <c r="AO5682" s="231"/>
      <c r="AP5682" s="231"/>
      <c r="AQ5682" s="227"/>
      <c r="AR5682" s="231"/>
      <c r="AS5682" s="227"/>
      <c r="AT5682" s="227"/>
      <c r="AU5682" s="227"/>
      <c r="AV5682" s="227"/>
      <c r="AW5682" s="227"/>
      <c r="AX5682" s="227"/>
      <c r="AY5682" s="227"/>
      <c r="AZ5682" s="227"/>
      <c r="BA5682" s="227"/>
      <c r="BB5682" s="227"/>
      <c r="BC5682" s="227"/>
      <c r="BD5682" s="227"/>
      <c r="BE5682" s="227"/>
      <c r="BF5682" s="227"/>
    </row>
    <row r="5683">
      <c r="A5683" s="227"/>
      <c r="B5683" s="348"/>
      <c r="C5683" s="227"/>
      <c r="D5683" s="227"/>
      <c r="E5683" s="231"/>
      <c r="F5683" s="348"/>
      <c r="G5683" s="227"/>
      <c r="H5683" s="227"/>
      <c r="I5683" s="227"/>
      <c r="J5683" s="227"/>
      <c r="K5683" s="227"/>
      <c r="L5683" s="348"/>
      <c r="M5683" s="348"/>
      <c r="N5683" s="227"/>
      <c r="O5683" s="227"/>
      <c r="P5683" s="231"/>
      <c r="Q5683" s="231"/>
      <c r="R5683" s="227"/>
      <c r="S5683" s="231"/>
      <c r="T5683" s="231"/>
      <c r="U5683" s="231"/>
      <c r="V5683" s="231"/>
      <c r="W5683" s="231"/>
      <c r="X5683" s="227"/>
      <c r="Y5683" s="348"/>
      <c r="Z5683" s="348"/>
      <c r="AA5683" s="348"/>
      <c r="AB5683" s="348"/>
      <c r="AC5683" s="227"/>
      <c r="AD5683" s="227"/>
      <c r="AE5683" s="231"/>
      <c r="AF5683" s="227"/>
      <c r="AG5683" s="348"/>
      <c r="AH5683" s="348"/>
      <c r="AI5683" s="348"/>
      <c r="AJ5683" s="348"/>
      <c r="AK5683" s="348"/>
      <c r="AL5683" s="348"/>
      <c r="AM5683" s="348"/>
      <c r="AN5683" s="348"/>
      <c r="AO5683" s="231"/>
      <c r="AP5683" s="231"/>
      <c r="AQ5683" s="227"/>
      <c r="AR5683" s="231"/>
      <c r="AS5683" s="227"/>
      <c r="AT5683" s="227"/>
      <c r="AU5683" s="227"/>
      <c r="AV5683" s="227"/>
      <c r="AW5683" s="227"/>
      <c r="AX5683" s="227"/>
      <c r="AY5683" s="227"/>
      <c r="AZ5683" s="227"/>
      <c r="BA5683" s="227"/>
      <c r="BB5683" s="227"/>
      <c r="BC5683" s="227"/>
      <c r="BD5683" s="227"/>
      <c r="BE5683" s="227"/>
      <c r="BF5683" s="227"/>
    </row>
    <row r="5684">
      <c r="A5684" s="227"/>
      <c r="B5684" s="348"/>
      <c r="C5684" s="227"/>
      <c r="D5684" s="227"/>
      <c r="E5684" s="231"/>
      <c r="F5684" s="348"/>
      <c r="G5684" s="227"/>
      <c r="H5684" s="227"/>
      <c r="I5684" s="227"/>
      <c r="J5684" s="227"/>
      <c r="K5684" s="227"/>
      <c r="L5684" s="348"/>
      <c r="M5684" s="348"/>
      <c r="N5684" s="227"/>
      <c r="O5684" s="227"/>
      <c r="P5684" s="231"/>
      <c r="Q5684" s="231"/>
      <c r="R5684" s="227"/>
      <c r="S5684" s="231"/>
      <c r="T5684" s="231"/>
      <c r="U5684" s="231"/>
      <c r="V5684" s="231"/>
      <c r="W5684" s="231"/>
      <c r="X5684" s="227"/>
      <c r="Y5684" s="348"/>
      <c r="Z5684" s="348"/>
      <c r="AA5684" s="348"/>
      <c r="AB5684" s="348"/>
      <c r="AC5684" s="227"/>
      <c r="AD5684" s="227"/>
      <c r="AE5684" s="231"/>
      <c r="AF5684" s="227"/>
      <c r="AG5684" s="348"/>
      <c r="AH5684" s="348"/>
      <c r="AI5684" s="348"/>
      <c r="AJ5684" s="348"/>
      <c r="AK5684" s="348"/>
      <c r="AL5684" s="348"/>
      <c r="AM5684" s="348"/>
      <c r="AN5684" s="348"/>
      <c r="AO5684" s="231"/>
      <c r="AP5684" s="231"/>
      <c r="AQ5684" s="227"/>
      <c r="AR5684" s="231"/>
      <c r="AS5684" s="227"/>
      <c r="AT5684" s="227"/>
      <c r="AU5684" s="227"/>
      <c r="AV5684" s="227"/>
      <c r="AW5684" s="227"/>
      <c r="AX5684" s="227"/>
      <c r="AY5684" s="227"/>
      <c r="AZ5684" s="227"/>
      <c r="BA5684" s="227"/>
      <c r="BB5684" s="227"/>
      <c r="BC5684" s="227"/>
      <c r="BD5684" s="227"/>
      <c r="BE5684" s="227"/>
      <c r="BF5684" s="227"/>
    </row>
    <row r="5685">
      <c r="A5685" s="227"/>
      <c r="B5685" s="348"/>
      <c r="C5685" s="227"/>
      <c r="D5685" s="227"/>
      <c r="E5685" s="231"/>
      <c r="F5685" s="348"/>
      <c r="G5685" s="227"/>
      <c r="H5685" s="227"/>
      <c r="I5685" s="227"/>
      <c r="J5685" s="227"/>
      <c r="K5685" s="227"/>
      <c r="L5685" s="348"/>
      <c r="M5685" s="348"/>
      <c r="N5685" s="227"/>
      <c r="O5685" s="227"/>
      <c r="P5685" s="231"/>
      <c r="Q5685" s="231"/>
      <c r="R5685" s="227"/>
      <c r="S5685" s="231"/>
      <c r="T5685" s="231"/>
      <c r="U5685" s="231"/>
      <c r="V5685" s="231"/>
      <c r="W5685" s="231"/>
      <c r="X5685" s="227"/>
      <c r="Y5685" s="348"/>
      <c r="Z5685" s="348"/>
      <c r="AA5685" s="348"/>
      <c r="AB5685" s="348"/>
      <c r="AC5685" s="227"/>
      <c r="AD5685" s="227"/>
      <c r="AE5685" s="231"/>
      <c r="AF5685" s="227"/>
      <c r="AG5685" s="348"/>
      <c r="AH5685" s="348"/>
      <c r="AI5685" s="348"/>
      <c r="AJ5685" s="348"/>
      <c r="AK5685" s="348"/>
      <c r="AL5685" s="348"/>
      <c r="AM5685" s="348"/>
      <c r="AN5685" s="348"/>
      <c r="AO5685" s="231"/>
      <c r="AP5685" s="231"/>
      <c r="AQ5685" s="227"/>
      <c r="AR5685" s="231"/>
      <c r="AS5685" s="227"/>
      <c r="AT5685" s="227"/>
      <c r="AU5685" s="227"/>
      <c r="AV5685" s="227"/>
      <c r="AW5685" s="227"/>
      <c r="AX5685" s="227"/>
      <c r="AY5685" s="227"/>
      <c r="AZ5685" s="227"/>
      <c r="BA5685" s="227"/>
      <c r="BB5685" s="227"/>
      <c r="BC5685" s="227"/>
      <c r="BD5685" s="227"/>
      <c r="BE5685" s="227"/>
      <c r="BF5685" s="227"/>
    </row>
    <row r="5686">
      <c r="A5686" s="227"/>
      <c r="B5686" s="348"/>
      <c r="C5686" s="227"/>
      <c r="D5686" s="227"/>
      <c r="E5686" s="231"/>
      <c r="F5686" s="348"/>
      <c r="G5686" s="227"/>
      <c r="H5686" s="227"/>
      <c r="I5686" s="227"/>
      <c r="J5686" s="227"/>
      <c r="K5686" s="227"/>
      <c r="L5686" s="348"/>
      <c r="M5686" s="348"/>
      <c r="N5686" s="227"/>
      <c r="O5686" s="227"/>
      <c r="P5686" s="231"/>
      <c r="Q5686" s="231"/>
      <c r="R5686" s="227"/>
      <c r="S5686" s="231"/>
      <c r="T5686" s="231"/>
      <c r="U5686" s="231"/>
      <c r="V5686" s="231"/>
      <c r="W5686" s="231"/>
      <c r="X5686" s="227"/>
      <c r="Y5686" s="348"/>
      <c r="Z5686" s="348"/>
      <c r="AA5686" s="348"/>
      <c r="AB5686" s="348"/>
      <c r="AC5686" s="227"/>
      <c r="AD5686" s="227"/>
      <c r="AE5686" s="231"/>
      <c r="AF5686" s="227"/>
      <c r="AG5686" s="348"/>
      <c r="AH5686" s="348"/>
      <c r="AI5686" s="348"/>
      <c r="AJ5686" s="348"/>
      <c r="AK5686" s="348"/>
      <c r="AL5686" s="348"/>
      <c r="AM5686" s="348"/>
      <c r="AN5686" s="348"/>
      <c r="AO5686" s="231"/>
      <c r="AP5686" s="231"/>
      <c r="AQ5686" s="227"/>
      <c r="AR5686" s="231"/>
      <c r="AS5686" s="227"/>
      <c r="AT5686" s="227"/>
      <c r="AU5686" s="227"/>
      <c r="AV5686" s="227"/>
      <c r="AW5686" s="227"/>
      <c r="AX5686" s="227"/>
      <c r="AY5686" s="227"/>
      <c r="AZ5686" s="227"/>
      <c r="BA5686" s="227"/>
      <c r="BB5686" s="227"/>
      <c r="BC5686" s="227"/>
      <c r="BD5686" s="227"/>
      <c r="BE5686" s="227"/>
      <c r="BF5686" s="227"/>
    </row>
    <row r="5687">
      <c r="A5687" s="227"/>
      <c r="B5687" s="348"/>
      <c r="C5687" s="227"/>
      <c r="D5687" s="227"/>
      <c r="E5687" s="231"/>
      <c r="F5687" s="348"/>
      <c r="G5687" s="227"/>
      <c r="H5687" s="227"/>
      <c r="I5687" s="227"/>
      <c r="J5687" s="227"/>
      <c r="K5687" s="227"/>
      <c r="L5687" s="348"/>
      <c r="M5687" s="348"/>
      <c r="N5687" s="227"/>
      <c r="O5687" s="227"/>
      <c r="P5687" s="231"/>
      <c r="Q5687" s="231"/>
      <c r="R5687" s="227"/>
      <c r="S5687" s="231"/>
      <c r="T5687" s="231"/>
      <c r="U5687" s="231"/>
      <c r="V5687" s="231"/>
      <c r="W5687" s="231"/>
      <c r="X5687" s="227"/>
      <c r="Y5687" s="348"/>
      <c r="Z5687" s="348"/>
      <c r="AA5687" s="348"/>
      <c r="AB5687" s="348"/>
      <c r="AC5687" s="227"/>
      <c r="AD5687" s="227"/>
      <c r="AE5687" s="231"/>
      <c r="AF5687" s="227"/>
      <c r="AG5687" s="348"/>
      <c r="AH5687" s="348"/>
      <c r="AI5687" s="348"/>
      <c r="AJ5687" s="348"/>
      <c r="AK5687" s="348"/>
      <c r="AL5687" s="348"/>
      <c r="AM5687" s="348"/>
      <c r="AN5687" s="348"/>
      <c r="AO5687" s="231"/>
      <c r="AP5687" s="231"/>
      <c r="AQ5687" s="227"/>
      <c r="AR5687" s="231"/>
      <c r="AS5687" s="227"/>
      <c r="AT5687" s="227"/>
      <c r="AU5687" s="227"/>
      <c r="AV5687" s="227"/>
      <c r="AW5687" s="227"/>
      <c r="AX5687" s="227"/>
      <c r="AY5687" s="227"/>
      <c r="AZ5687" s="227"/>
      <c r="BA5687" s="227"/>
      <c r="BB5687" s="227"/>
      <c r="BC5687" s="227"/>
      <c r="BD5687" s="227"/>
      <c r="BE5687" s="227"/>
      <c r="BF5687" s="227"/>
    </row>
    <row r="5688">
      <c r="A5688" s="227"/>
      <c r="B5688" s="348"/>
      <c r="C5688" s="227"/>
      <c r="D5688" s="227"/>
      <c r="E5688" s="231"/>
      <c r="F5688" s="348"/>
      <c r="G5688" s="227"/>
      <c r="H5688" s="227"/>
      <c r="I5688" s="227"/>
      <c r="J5688" s="227"/>
      <c r="K5688" s="227"/>
      <c r="L5688" s="348"/>
      <c r="M5688" s="348"/>
      <c r="N5688" s="227"/>
      <c r="O5688" s="227"/>
      <c r="P5688" s="231"/>
      <c r="Q5688" s="231"/>
      <c r="R5688" s="227"/>
      <c r="S5688" s="231"/>
      <c r="T5688" s="231"/>
      <c r="U5688" s="231"/>
      <c r="V5688" s="231"/>
      <c r="W5688" s="231"/>
      <c r="X5688" s="227"/>
      <c r="Y5688" s="348"/>
      <c r="Z5688" s="348"/>
      <c r="AA5688" s="348"/>
      <c r="AB5688" s="348"/>
      <c r="AC5688" s="227"/>
      <c r="AD5688" s="227"/>
      <c r="AE5688" s="231"/>
      <c r="AF5688" s="227"/>
      <c r="AG5688" s="348"/>
      <c r="AH5688" s="348"/>
      <c r="AI5688" s="348"/>
      <c r="AJ5688" s="348"/>
      <c r="AK5688" s="348"/>
      <c r="AL5688" s="348"/>
      <c r="AM5688" s="348"/>
      <c r="AN5688" s="348"/>
      <c r="AO5688" s="231"/>
      <c r="AP5688" s="231"/>
      <c r="AQ5688" s="227"/>
      <c r="AR5688" s="231"/>
      <c r="AS5688" s="227"/>
      <c r="AT5688" s="227"/>
      <c r="AU5688" s="227"/>
      <c r="AV5688" s="227"/>
      <c r="AW5688" s="227"/>
      <c r="AX5688" s="227"/>
      <c r="AY5688" s="227"/>
      <c r="AZ5688" s="227"/>
      <c r="BA5688" s="227"/>
      <c r="BB5688" s="227"/>
      <c r="BC5688" s="227"/>
      <c r="BD5688" s="227"/>
      <c r="BE5688" s="227"/>
      <c r="BF5688" s="227"/>
    </row>
    <row r="5689">
      <c r="A5689" s="227"/>
      <c r="B5689" s="348"/>
      <c r="C5689" s="227"/>
      <c r="D5689" s="227"/>
      <c r="E5689" s="231"/>
      <c r="F5689" s="348"/>
      <c r="G5689" s="227"/>
      <c r="H5689" s="227"/>
      <c r="I5689" s="227"/>
      <c r="J5689" s="227"/>
      <c r="K5689" s="227"/>
      <c r="L5689" s="348"/>
      <c r="M5689" s="348"/>
      <c r="N5689" s="227"/>
      <c r="O5689" s="227"/>
      <c r="P5689" s="231"/>
      <c r="Q5689" s="231"/>
      <c r="R5689" s="227"/>
      <c r="S5689" s="231"/>
      <c r="T5689" s="231"/>
      <c r="U5689" s="231"/>
      <c r="V5689" s="231"/>
      <c r="W5689" s="231"/>
      <c r="X5689" s="227"/>
      <c r="Y5689" s="348"/>
      <c r="Z5689" s="348"/>
      <c r="AA5689" s="348"/>
      <c r="AB5689" s="348"/>
      <c r="AC5689" s="227"/>
      <c r="AD5689" s="227"/>
      <c r="AE5689" s="231"/>
      <c r="AF5689" s="227"/>
      <c r="AG5689" s="348"/>
      <c r="AH5689" s="348"/>
      <c r="AI5689" s="348"/>
      <c r="AJ5689" s="348"/>
      <c r="AK5689" s="348"/>
      <c r="AL5689" s="348"/>
      <c r="AM5689" s="348"/>
      <c r="AN5689" s="348"/>
      <c r="AO5689" s="231"/>
      <c r="AP5689" s="231"/>
      <c r="AQ5689" s="227"/>
      <c r="AR5689" s="231"/>
      <c r="AS5689" s="227"/>
      <c r="AT5689" s="227"/>
      <c r="AU5689" s="227"/>
      <c r="AV5689" s="227"/>
      <c r="AW5689" s="227"/>
      <c r="AX5689" s="227"/>
      <c r="AY5689" s="227"/>
      <c r="AZ5689" s="227"/>
      <c r="BA5689" s="227"/>
      <c r="BB5689" s="227"/>
      <c r="BC5689" s="227"/>
      <c r="BD5689" s="227"/>
      <c r="BE5689" s="227"/>
      <c r="BF5689" s="227"/>
    </row>
    <row r="5690">
      <c r="A5690" s="227"/>
      <c r="B5690" s="348"/>
      <c r="C5690" s="227"/>
      <c r="D5690" s="227"/>
      <c r="E5690" s="231"/>
      <c r="F5690" s="348"/>
      <c r="G5690" s="227"/>
      <c r="H5690" s="227"/>
      <c r="I5690" s="227"/>
      <c r="J5690" s="227"/>
      <c r="K5690" s="227"/>
      <c r="L5690" s="348"/>
      <c r="M5690" s="348"/>
      <c r="N5690" s="227"/>
      <c r="O5690" s="227"/>
      <c r="P5690" s="231"/>
      <c r="Q5690" s="231"/>
      <c r="R5690" s="227"/>
      <c r="S5690" s="231"/>
      <c r="T5690" s="231"/>
      <c r="U5690" s="231"/>
      <c r="V5690" s="231"/>
      <c r="W5690" s="231"/>
      <c r="X5690" s="227"/>
      <c r="Y5690" s="348"/>
      <c r="Z5690" s="348"/>
      <c r="AA5690" s="348"/>
      <c r="AB5690" s="348"/>
      <c r="AC5690" s="227"/>
      <c r="AD5690" s="227"/>
      <c r="AE5690" s="231"/>
      <c r="AF5690" s="227"/>
      <c r="AG5690" s="348"/>
      <c r="AH5690" s="348"/>
      <c r="AI5690" s="348"/>
      <c r="AJ5690" s="348"/>
      <c r="AK5690" s="348"/>
      <c r="AL5690" s="348"/>
      <c r="AM5690" s="348"/>
      <c r="AN5690" s="348"/>
      <c r="AO5690" s="231"/>
      <c r="AP5690" s="231"/>
      <c r="AQ5690" s="227"/>
      <c r="AR5690" s="231"/>
      <c r="AS5690" s="227"/>
      <c r="AT5690" s="227"/>
      <c r="AU5690" s="227"/>
      <c r="AV5690" s="227"/>
      <c r="AW5690" s="227"/>
      <c r="AX5690" s="227"/>
      <c r="AY5690" s="227"/>
      <c r="AZ5690" s="227"/>
      <c r="BA5690" s="227"/>
      <c r="BB5690" s="227"/>
      <c r="BC5690" s="227"/>
      <c r="BD5690" s="227"/>
      <c r="BE5690" s="227"/>
      <c r="BF5690" s="227"/>
    </row>
    <row r="5691">
      <c r="A5691" s="227"/>
      <c r="B5691" s="348"/>
      <c r="C5691" s="227"/>
      <c r="D5691" s="227"/>
      <c r="E5691" s="231"/>
      <c r="F5691" s="348"/>
      <c r="G5691" s="227"/>
      <c r="H5691" s="227"/>
      <c r="I5691" s="227"/>
      <c r="J5691" s="227"/>
      <c r="K5691" s="227"/>
      <c r="L5691" s="348"/>
      <c r="M5691" s="348"/>
      <c r="N5691" s="227"/>
      <c r="O5691" s="227"/>
      <c r="P5691" s="231"/>
      <c r="Q5691" s="231"/>
      <c r="R5691" s="227"/>
      <c r="S5691" s="231"/>
      <c r="T5691" s="231"/>
      <c r="U5691" s="231"/>
      <c r="V5691" s="231"/>
      <c r="W5691" s="231"/>
      <c r="X5691" s="227"/>
      <c r="Y5691" s="348"/>
      <c r="Z5691" s="348"/>
      <c r="AA5691" s="348"/>
      <c r="AB5691" s="348"/>
      <c r="AC5691" s="227"/>
      <c r="AD5691" s="227"/>
      <c r="AE5691" s="231"/>
      <c r="AF5691" s="227"/>
      <c r="AG5691" s="348"/>
      <c r="AH5691" s="348"/>
      <c r="AI5691" s="348"/>
      <c r="AJ5691" s="348"/>
      <c r="AK5691" s="348"/>
      <c r="AL5691" s="348"/>
      <c r="AM5691" s="348"/>
      <c r="AN5691" s="348"/>
      <c r="AO5691" s="231"/>
      <c r="AP5691" s="231"/>
      <c r="AQ5691" s="227"/>
      <c r="AR5691" s="231"/>
      <c r="AS5691" s="227"/>
      <c r="AT5691" s="227"/>
      <c r="AU5691" s="227"/>
      <c r="AV5691" s="227"/>
      <c r="AW5691" s="227"/>
      <c r="AX5691" s="227"/>
      <c r="AY5691" s="227"/>
      <c r="AZ5691" s="227"/>
      <c r="BA5691" s="227"/>
      <c r="BB5691" s="227"/>
      <c r="BC5691" s="227"/>
      <c r="BD5691" s="227"/>
      <c r="BE5691" s="227"/>
      <c r="BF5691" s="227"/>
    </row>
    <row r="5692">
      <c r="A5692" s="227"/>
      <c r="B5692" s="348"/>
      <c r="C5692" s="227"/>
      <c r="D5692" s="227"/>
      <c r="E5692" s="231"/>
      <c r="F5692" s="348"/>
      <c r="G5692" s="227"/>
      <c r="H5692" s="227"/>
      <c r="I5692" s="227"/>
      <c r="J5692" s="227"/>
      <c r="K5692" s="227"/>
      <c r="L5692" s="348"/>
      <c r="M5692" s="348"/>
      <c r="N5692" s="227"/>
      <c r="O5692" s="227"/>
      <c r="P5692" s="231"/>
      <c r="Q5692" s="231"/>
      <c r="R5692" s="227"/>
      <c r="S5692" s="231"/>
      <c r="T5692" s="231"/>
      <c r="U5692" s="231"/>
      <c r="V5692" s="231"/>
      <c r="W5692" s="231"/>
      <c r="X5692" s="227"/>
      <c r="Y5692" s="348"/>
      <c r="Z5692" s="348"/>
      <c r="AA5692" s="348"/>
      <c r="AB5692" s="348"/>
      <c r="AC5692" s="227"/>
      <c r="AD5692" s="227"/>
      <c r="AE5692" s="231"/>
      <c r="AF5692" s="227"/>
      <c r="AG5692" s="348"/>
      <c r="AH5692" s="348"/>
      <c r="AI5692" s="348"/>
      <c r="AJ5692" s="348"/>
      <c r="AK5692" s="348"/>
      <c r="AL5692" s="348"/>
      <c r="AM5692" s="348"/>
      <c r="AN5692" s="348"/>
      <c r="AO5692" s="231"/>
      <c r="AP5692" s="231"/>
      <c r="AQ5692" s="227"/>
      <c r="AR5692" s="231"/>
      <c r="AS5692" s="227"/>
      <c r="AT5692" s="227"/>
      <c r="AU5692" s="227"/>
      <c r="AV5692" s="227"/>
      <c r="AW5692" s="227"/>
      <c r="AX5692" s="227"/>
      <c r="AY5692" s="227"/>
      <c r="AZ5692" s="227"/>
      <c r="BA5692" s="227"/>
      <c r="BB5692" s="227"/>
      <c r="BC5692" s="227"/>
      <c r="BD5692" s="227"/>
      <c r="BE5692" s="227"/>
      <c r="BF5692" s="227"/>
    </row>
    <row r="5693">
      <c r="A5693" s="227"/>
      <c r="B5693" s="348"/>
      <c r="C5693" s="227"/>
      <c r="D5693" s="227"/>
      <c r="E5693" s="231"/>
      <c r="F5693" s="348"/>
      <c r="G5693" s="227"/>
      <c r="H5693" s="227"/>
      <c r="I5693" s="227"/>
      <c r="J5693" s="227"/>
      <c r="K5693" s="227"/>
      <c r="L5693" s="348"/>
      <c r="M5693" s="348"/>
      <c r="N5693" s="227"/>
      <c r="O5693" s="227"/>
      <c r="P5693" s="231"/>
      <c r="Q5693" s="231"/>
      <c r="R5693" s="227"/>
      <c r="S5693" s="231"/>
      <c r="T5693" s="231"/>
      <c r="U5693" s="231"/>
      <c r="V5693" s="231"/>
      <c r="W5693" s="231"/>
      <c r="X5693" s="227"/>
      <c r="Y5693" s="348"/>
      <c r="Z5693" s="348"/>
      <c r="AA5693" s="348"/>
      <c r="AB5693" s="348"/>
      <c r="AC5693" s="227"/>
      <c r="AD5693" s="227"/>
      <c r="AE5693" s="231"/>
      <c r="AF5693" s="227"/>
      <c r="AG5693" s="348"/>
      <c r="AH5693" s="348"/>
      <c r="AI5693" s="348"/>
      <c r="AJ5693" s="348"/>
      <c r="AK5693" s="348"/>
      <c r="AL5693" s="348"/>
      <c r="AM5693" s="348"/>
      <c r="AN5693" s="348"/>
      <c r="AO5693" s="231"/>
      <c r="AP5693" s="231"/>
      <c r="AQ5693" s="227"/>
      <c r="AR5693" s="231"/>
      <c r="AS5693" s="227"/>
      <c r="AT5693" s="227"/>
      <c r="AU5693" s="227"/>
      <c r="AV5693" s="227"/>
      <c r="AW5693" s="227"/>
      <c r="AX5693" s="227"/>
      <c r="AY5693" s="227"/>
      <c r="AZ5693" s="227"/>
      <c r="BA5693" s="227"/>
      <c r="BB5693" s="227"/>
      <c r="BC5693" s="227"/>
      <c r="BD5693" s="227"/>
      <c r="BE5693" s="227"/>
      <c r="BF5693" s="227"/>
    </row>
    <row r="5694">
      <c r="A5694" s="227"/>
      <c r="B5694" s="348"/>
      <c r="C5694" s="227"/>
      <c r="D5694" s="227"/>
      <c r="E5694" s="231"/>
      <c r="F5694" s="348"/>
      <c r="G5694" s="227"/>
      <c r="H5694" s="227"/>
      <c r="I5694" s="227"/>
      <c r="J5694" s="227"/>
      <c r="K5694" s="227"/>
      <c r="L5694" s="348"/>
      <c r="M5694" s="348"/>
      <c r="N5694" s="227"/>
      <c r="O5694" s="227"/>
      <c r="P5694" s="231"/>
      <c r="Q5694" s="231"/>
      <c r="R5694" s="227"/>
      <c r="S5694" s="231"/>
      <c r="T5694" s="231"/>
      <c r="U5694" s="231"/>
      <c r="V5694" s="231"/>
      <c r="W5694" s="231"/>
      <c r="X5694" s="227"/>
      <c r="Y5694" s="348"/>
      <c r="Z5694" s="348"/>
      <c r="AA5694" s="348"/>
      <c r="AB5694" s="348"/>
      <c r="AC5694" s="227"/>
      <c r="AD5694" s="227"/>
      <c r="AE5694" s="231"/>
      <c r="AF5694" s="227"/>
      <c r="AG5694" s="348"/>
      <c r="AH5694" s="348"/>
      <c r="AI5694" s="348"/>
      <c r="AJ5694" s="348"/>
      <c r="AK5694" s="348"/>
      <c r="AL5694" s="348"/>
      <c r="AM5694" s="348"/>
      <c r="AN5694" s="348"/>
      <c r="AO5694" s="231"/>
      <c r="AP5694" s="231"/>
      <c r="AQ5694" s="227"/>
      <c r="AR5694" s="231"/>
      <c r="AS5694" s="227"/>
      <c r="AT5694" s="227"/>
      <c r="AU5694" s="227"/>
      <c r="AV5694" s="227"/>
      <c r="AW5694" s="227"/>
      <c r="AX5694" s="227"/>
      <c r="AY5694" s="227"/>
      <c r="AZ5694" s="227"/>
      <c r="BA5694" s="227"/>
      <c r="BB5694" s="227"/>
      <c r="BC5694" s="227"/>
      <c r="BD5694" s="227"/>
      <c r="BE5694" s="227"/>
      <c r="BF5694" s="227"/>
    </row>
    <row r="5695">
      <c r="A5695" s="227"/>
      <c r="B5695" s="348"/>
      <c r="C5695" s="227"/>
      <c r="D5695" s="227"/>
      <c r="E5695" s="231"/>
      <c r="F5695" s="348"/>
      <c r="G5695" s="227"/>
      <c r="H5695" s="227"/>
      <c r="I5695" s="227"/>
      <c r="J5695" s="227"/>
      <c r="K5695" s="227"/>
      <c r="L5695" s="348"/>
      <c r="M5695" s="348"/>
      <c r="N5695" s="227"/>
      <c r="O5695" s="227"/>
      <c r="P5695" s="231"/>
      <c r="Q5695" s="231"/>
      <c r="R5695" s="227"/>
      <c r="S5695" s="231"/>
      <c r="T5695" s="231"/>
      <c r="U5695" s="231"/>
      <c r="V5695" s="231"/>
      <c r="W5695" s="231"/>
      <c r="X5695" s="227"/>
      <c r="Y5695" s="348"/>
      <c r="Z5695" s="348"/>
      <c r="AA5695" s="348"/>
      <c r="AB5695" s="348"/>
      <c r="AC5695" s="227"/>
      <c r="AD5695" s="227"/>
      <c r="AE5695" s="231"/>
      <c r="AF5695" s="227"/>
      <c r="AG5695" s="348"/>
      <c r="AH5695" s="348"/>
      <c r="AI5695" s="348"/>
      <c r="AJ5695" s="348"/>
      <c r="AK5695" s="348"/>
      <c r="AL5695" s="348"/>
      <c r="AM5695" s="348"/>
      <c r="AN5695" s="348"/>
      <c r="AO5695" s="231"/>
      <c r="AP5695" s="231"/>
      <c r="AQ5695" s="227"/>
      <c r="AR5695" s="231"/>
      <c r="AS5695" s="227"/>
      <c r="AT5695" s="227"/>
      <c r="AU5695" s="227"/>
      <c r="AV5695" s="227"/>
      <c r="AW5695" s="227"/>
      <c r="AX5695" s="227"/>
      <c r="AY5695" s="227"/>
      <c r="AZ5695" s="227"/>
      <c r="BA5695" s="227"/>
      <c r="BB5695" s="227"/>
      <c r="BC5695" s="227"/>
      <c r="BD5695" s="227"/>
      <c r="BE5695" s="227"/>
      <c r="BF5695" s="227"/>
    </row>
    <row r="5696">
      <c r="A5696" s="227"/>
      <c r="B5696" s="348"/>
      <c r="C5696" s="227"/>
      <c r="D5696" s="227"/>
      <c r="E5696" s="231"/>
      <c r="F5696" s="348"/>
      <c r="G5696" s="227"/>
      <c r="H5696" s="227"/>
      <c r="I5696" s="227"/>
      <c r="J5696" s="227"/>
      <c r="K5696" s="227"/>
      <c r="L5696" s="348"/>
      <c r="M5696" s="348"/>
      <c r="N5696" s="227"/>
      <c r="O5696" s="227"/>
      <c r="P5696" s="231"/>
      <c r="Q5696" s="231"/>
      <c r="R5696" s="227"/>
      <c r="S5696" s="231"/>
      <c r="T5696" s="231"/>
      <c r="U5696" s="231"/>
      <c r="V5696" s="231"/>
      <c r="W5696" s="231"/>
      <c r="X5696" s="227"/>
      <c r="Y5696" s="348"/>
      <c r="Z5696" s="348"/>
      <c r="AA5696" s="348"/>
      <c r="AB5696" s="348"/>
      <c r="AC5696" s="227"/>
      <c r="AD5696" s="227"/>
      <c r="AE5696" s="231"/>
      <c r="AF5696" s="227"/>
      <c r="AG5696" s="348"/>
      <c r="AH5696" s="348"/>
      <c r="AI5696" s="348"/>
      <c r="AJ5696" s="348"/>
      <c r="AK5696" s="348"/>
      <c r="AL5696" s="348"/>
      <c r="AM5696" s="348"/>
      <c r="AN5696" s="348"/>
      <c r="AO5696" s="231"/>
      <c r="AP5696" s="231"/>
      <c r="AQ5696" s="227"/>
      <c r="AR5696" s="231"/>
      <c r="AS5696" s="227"/>
      <c r="AT5696" s="227"/>
      <c r="AU5696" s="227"/>
      <c r="AV5696" s="227"/>
      <c r="AW5696" s="227"/>
      <c r="AX5696" s="227"/>
      <c r="AY5696" s="227"/>
      <c r="AZ5696" s="227"/>
      <c r="BA5696" s="227"/>
      <c r="BB5696" s="227"/>
      <c r="BC5696" s="227"/>
      <c r="BD5696" s="227"/>
      <c r="BE5696" s="227"/>
      <c r="BF5696" s="227"/>
    </row>
    <row r="5697">
      <c r="A5697" s="227"/>
      <c r="B5697" s="348"/>
      <c r="C5697" s="227"/>
      <c r="D5697" s="227"/>
      <c r="E5697" s="231"/>
      <c r="F5697" s="348"/>
      <c r="G5697" s="227"/>
      <c r="H5697" s="227"/>
      <c r="I5697" s="227"/>
      <c r="J5697" s="227"/>
      <c r="K5697" s="227"/>
      <c r="L5697" s="348"/>
      <c r="M5697" s="348"/>
      <c r="N5697" s="227"/>
      <c r="O5697" s="227"/>
      <c r="P5697" s="231"/>
      <c r="Q5697" s="231"/>
      <c r="R5697" s="227"/>
      <c r="S5697" s="231"/>
      <c r="T5697" s="231"/>
      <c r="U5697" s="231"/>
      <c r="V5697" s="231"/>
      <c r="W5697" s="231"/>
      <c r="X5697" s="227"/>
      <c r="Y5697" s="348"/>
      <c r="Z5697" s="348"/>
      <c r="AA5697" s="348"/>
      <c r="AB5697" s="348"/>
      <c r="AC5697" s="227"/>
      <c r="AD5697" s="227"/>
      <c r="AE5697" s="231"/>
      <c r="AF5697" s="227"/>
      <c r="AG5697" s="348"/>
      <c r="AH5697" s="348"/>
      <c r="AI5697" s="348"/>
      <c r="AJ5697" s="348"/>
      <c r="AK5697" s="348"/>
      <c r="AL5697" s="348"/>
      <c r="AM5697" s="348"/>
      <c r="AN5697" s="348"/>
      <c r="AO5697" s="231"/>
      <c r="AP5697" s="231"/>
      <c r="AQ5697" s="227"/>
      <c r="AR5697" s="231"/>
      <c r="AS5697" s="227"/>
      <c r="AT5697" s="227"/>
      <c r="AU5697" s="227"/>
      <c r="AV5697" s="227"/>
      <c r="AW5697" s="227"/>
      <c r="AX5697" s="227"/>
      <c r="AY5697" s="227"/>
      <c r="AZ5697" s="227"/>
      <c r="BA5697" s="227"/>
      <c r="BB5697" s="227"/>
      <c r="BC5697" s="227"/>
      <c r="BD5697" s="227"/>
      <c r="BE5697" s="227"/>
      <c r="BF5697" s="227"/>
    </row>
    <row r="5698">
      <c r="A5698" s="227"/>
      <c r="B5698" s="348"/>
      <c r="C5698" s="227"/>
      <c r="D5698" s="227"/>
      <c r="E5698" s="231"/>
      <c r="F5698" s="348"/>
      <c r="G5698" s="227"/>
      <c r="H5698" s="227"/>
      <c r="I5698" s="227"/>
      <c r="J5698" s="227"/>
      <c r="K5698" s="227"/>
      <c r="L5698" s="348"/>
      <c r="M5698" s="348"/>
      <c r="N5698" s="227"/>
      <c r="O5698" s="227"/>
      <c r="P5698" s="231"/>
      <c r="Q5698" s="231"/>
      <c r="R5698" s="227"/>
      <c r="S5698" s="231"/>
      <c r="T5698" s="231"/>
      <c r="U5698" s="231"/>
      <c r="V5698" s="231"/>
      <c r="W5698" s="231"/>
      <c r="X5698" s="227"/>
      <c r="Y5698" s="348"/>
      <c r="Z5698" s="348"/>
      <c r="AA5698" s="348"/>
      <c r="AB5698" s="348"/>
      <c r="AC5698" s="227"/>
      <c r="AD5698" s="227"/>
      <c r="AE5698" s="231"/>
      <c r="AF5698" s="227"/>
      <c r="AG5698" s="348"/>
      <c r="AH5698" s="348"/>
      <c r="AI5698" s="348"/>
      <c r="AJ5698" s="348"/>
      <c r="AK5698" s="348"/>
      <c r="AL5698" s="348"/>
      <c r="AM5698" s="348"/>
      <c r="AN5698" s="348"/>
      <c r="AO5698" s="231"/>
      <c r="AP5698" s="231"/>
      <c r="AQ5698" s="227"/>
      <c r="AR5698" s="231"/>
      <c r="AS5698" s="227"/>
      <c r="AT5698" s="227"/>
      <c r="AU5698" s="227"/>
      <c r="AV5698" s="227"/>
      <c r="AW5698" s="227"/>
      <c r="AX5698" s="227"/>
      <c r="AY5698" s="227"/>
      <c r="AZ5698" s="227"/>
      <c r="BA5698" s="227"/>
      <c r="BB5698" s="227"/>
      <c r="BC5698" s="227"/>
      <c r="BD5698" s="227"/>
      <c r="BE5698" s="227"/>
      <c r="BF5698" s="227"/>
    </row>
    <row r="5699">
      <c r="A5699" s="227"/>
      <c r="B5699" s="348"/>
      <c r="C5699" s="227"/>
      <c r="D5699" s="227"/>
      <c r="E5699" s="231"/>
      <c r="F5699" s="348"/>
      <c r="G5699" s="227"/>
      <c r="H5699" s="227"/>
      <c r="I5699" s="227"/>
      <c r="J5699" s="227"/>
      <c r="K5699" s="227"/>
      <c r="L5699" s="348"/>
      <c r="M5699" s="348"/>
      <c r="N5699" s="227"/>
      <c r="O5699" s="227"/>
      <c r="P5699" s="231"/>
      <c r="Q5699" s="231"/>
      <c r="R5699" s="227"/>
      <c r="S5699" s="231"/>
      <c r="T5699" s="231"/>
      <c r="U5699" s="231"/>
      <c r="V5699" s="231"/>
      <c r="W5699" s="231"/>
      <c r="X5699" s="227"/>
      <c r="Y5699" s="348"/>
      <c r="Z5699" s="348"/>
      <c r="AA5699" s="348"/>
      <c r="AB5699" s="348"/>
      <c r="AC5699" s="227"/>
      <c r="AD5699" s="227"/>
      <c r="AE5699" s="231"/>
      <c r="AF5699" s="227"/>
      <c r="AG5699" s="348"/>
      <c r="AH5699" s="348"/>
      <c r="AI5699" s="348"/>
      <c r="AJ5699" s="348"/>
      <c r="AK5699" s="348"/>
      <c r="AL5699" s="348"/>
      <c r="AM5699" s="348"/>
      <c r="AN5699" s="348"/>
      <c r="AO5699" s="231"/>
      <c r="AP5699" s="231"/>
      <c r="AQ5699" s="227"/>
      <c r="AR5699" s="231"/>
      <c r="AS5699" s="227"/>
      <c r="AT5699" s="227"/>
      <c r="AU5699" s="227"/>
      <c r="AV5699" s="227"/>
      <c r="AW5699" s="227"/>
      <c r="AX5699" s="227"/>
      <c r="AY5699" s="227"/>
      <c r="AZ5699" s="227"/>
      <c r="BA5699" s="227"/>
      <c r="BB5699" s="227"/>
      <c r="BC5699" s="227"/>
      <c r="BD5699" s="227"/>
      <c r="BE5699" s="227"/>
      <c r="BF5699" s="227"/>
    </row>
    <row r="5700">
      <c r="A5700" s="227"/>
      <c r="B5700" s="348"/>
      <c r="C5700" s="227"/>
      <c r="D5700" s="227"/>
      <c r="E5700" s="231"/>
      <c r="F5700" s="348"/>
      <c r="G5700" s="227"/>
      <c r="H5700" s="227"/>
      <c r="I5700" s="227"/>
      <c r="J5700" s="227"/>
      <c r="K5700" s="227"/>
      <c r="L5700" s="348"/>
      <c r="M5700" s="348"/>
      <c r="N5700" s="227"/>
      <c r="O5700" s="227"/>
      <c r="P5700" s="231"/>
      <c r="Q5700" s="231"/>
      <c r="R5700" s="227"/>
      <c r="S5700" s="231"/>
      <c r="T5700" s="231"/>
      <c r="U5700" s="231"/>
      <c r="V5700" s="231"/>
      <c r="W5700" s="231"/>
      <c r="X5700" s="227"/>
      <c r="Y5700" s="348"/>
      <c r="Z5700" s="348"/>
      <c r="AA5700" s="348"/>
      <c r="AB5700" s="348"/>
      <c r="AC5700" s="227"/>
      <c r="AD5700" s="227"/>
      <c r="AE5700" s="231"/>
      <c r="AF5700" s="227"/>
      <c r="AG5700" s="348"/>
      <c r="AH5700" s="348"/>
      <c r="AI5700" s="348"/>
      <c r="AJ5700" s="348"/>
      <c r="AK5700" s="348"/>
      <c r="AL5700" s="348"/>
      <c r="AM5700" s="348"/>
      <c r="AN5700" s="348"/>
      <c r="AO5700" s="231"/>
      <c r="AP5700" s="231"/>
      <c r="AQ5700" s="227"/>
      <c r="AR5700" s="231"/>
      <c r="AS5700" s="227"/>
      <c r="AT5700" s="227"/>
      <c r="AU5700" s="227"/>
      <c r="AV5700" s="227"/>
      <c r="AW5700" s="227"/>
      <c r="AX5700" s="227"/>
      <c r="AY5700" s="227"/>
      <c r="AZ5700" s="227"/>
      <c r="BA5700" s="227"/>
      <c r="BB5700" s="227"/>
      <c r="BC5700" s="227"/>
      <c r="BD5700" s="227"/>
      <c r="BE5700" s="227"/>
      <c r="BF5700" s="227"/>
    </row>
    <row r="5701">
      <c r="A5701" s="227"/>
      <c r="B5701" s="348"/>
      <c r="C5701" s="227"/>
      <c r="D5701" s="227"/>
      <c r="E5701" s="231"/>
      <c r="F5701" s="348"/>
      <c r="G5701" s="227"/>
      <c r="H5701" s="227"/>
      <c r="I5701" s="227"/>
      <c r="J5701" s="227"/>
      <c r="K5701" s="227"/>
      <c r="L5701" s="348"/>
      <c r="M5701" s="348"/>
      <c r="N5701" s="227"/>
      <c r="O5701" s="227"/>
      <c r="P5701" s="231"/>
      <c r="Q5701" s="231"/>
      <c r="R5701" s="227"/>
      <c r="S5701" s="231"/>
      <c r="T5701" s="231"/>
      <c r="U5701" s="231"/>
      <c r="V5701" s="231"/>
      <c r="W5701" s="231"/>
      <c r="X5701" s="227"/>
      <c r="Y5701" s="348"/>
      <c r="Z5701" s="348"/>
      <c r="AA5701" s="348"/>
      <c r="AB5701" s="348"/>
      <c r="AC5701" s="227"/>
      <c r="AD5701" s="227"/>
      <c r="AE5701" s="231"/>
      <c r="AF5701" s="227"/>
      <c r="AG5701" s="348"/>
      <c r="AH5701" s="348"/>
      <c r="AI5701" s="348"/>
      <c r="AJ5701" s="348"/>
      <c r="AK5701" s="348"/>
      <c r="AL5701" s="348"/>
      <c r="AM5701" s="348"/>
      <c r="AN5701" s="348"/>
      <c r="AO5701" s="231"/>
      <c r="AP5701" s="231"/>
      <c r="AQ5701" s="227"/>
      <c r="AR5701" s="231"/>
      <c r="AS5701" s="227"/>
      <c r="AT5701" s="227"/>
      <c r="AU5701" s="227"/>
      <c r="AV5701" s="227"/>
      <c r="AW5701" s="227"/>
      <c r="AX5701" s="227"/>
      <c r="AY5701" s="227"/>
      <c r="AZ5701" s="227"/>
      <c r="BA5701" s="227"/>
      <c r="BB5701" s="227"/>
      <c r="BC5701" s="227"/>
      <c r="BD5701" s="227"/>
      <c r="BE5701" s="227"/>
      <c r="BF5701" s="227"/>
    </row>
    <row r="5702">
      <c r="A5702" s="227"/>
      <c r="B5702" s="348"/>
      <c r="C5702" s="227"/>
      <c r="D5702" s="227"/>
      <c r="E5702" s="231"/>
      <c r="F5702" s="348"/>
      <c r="G5702" s="227"/>
      <c r="H5702" s="227"/>
      <c r="I5702" s="227"/>
      <c r="J5702" s="227"/>
      <c r="K5702" s="227"/>
      <c r="L5702" s="348"/>
      <c r="M5702" s="348"/>
      <c r="N5702" s="227"/>
      <c r="O5702" s="227"/>
      <c r="P5702" s="231"/>
      <c r="Q5702" s="231"/>
      <c r="R5702" s="227"/>
      <c r="S5702" s="231"/>
      <c r="T5702" s="231"/>
      <c r="U5702" s="231"/>
      <c r="V5702" s="231"/>
      <c r="W5702" s="231"/>
      <c r="X5702" s="227"/>
      <c r="Y5702" s="348"/>
      <c r="Z5702" s="348"/>
      <c r="AA5702" s="348"/>
      <c r="AB5702" s="348"/>
      <c r="AC5702" s="227"/>
      <c r="AD5702" s="227"/>
      <c r="AE5702" s="231"/>
      <c r="AF5702" s="227"/>
      <c r="AG5702" s="348"/>
      <c r="AH5702" s="348"/>
      <c r="AI5702" s="348"/>
      <c r="AJ5702" s="348"/>
      <c r="AK5702" s="348"/>
      <c r="AL5702" s="348"/>
      <c r="AM5702" s="348"/>
      <c r="AN5702" s="348"/>
      <c r="AO5702" s="231"/>
      <c r="AP5702" s="231"/>
      <c r="AQ5702" s="227"/>
      <c r="AR5702" s="231"/>
      <c r="AS5702" s="227"/>
      <c r="AT5702" s="227"/>
      <c r="AU5702" s="227"/>
      <c r="AV5702" s="227"/>
      <c r="AW5702" s="227"/>
      <c r="AX5702" s="227"/>
      <c r="AY5702" s="227"/>
      <c r="AZ5702" s="227"/>
      <c r="BA5702" s="227"/>
      <c r="BB5702" s="227"/>
      <c r="BC5702" s="227"/>
      <c r="BD5702" s="227"/>
      <c r="BE5702" s="227"/>
      <c r="BF5702" s="227"/>
    </row>
    <row r="5703">
      <c r="A5703" s="227"/>
      <c r="B5703" s="348"/>
      <c r="C5703" s="227"/>
      <c r="D5703" s="227"/>
      <c r="E5703" s="231"/>
      <c r="F5703" s="348"/>
      <c r="G5703" s="227"/>
      <c r="H5703" s="227"/>
      <c r="I5703" s="227"/>
      <c r="J5703" s="227"/>
      <c r="K5703" s="227"/>
      <c r="L5703" s="348"/>
      <c r="M5703" s="348"/>
      <c r="N5703" s="227"/>
      <c r="O5703" s="227"/>
      <c r="P5703" s="231"/>
      <c r="Q5703" s="231"/>
      <c r="R5703" s="227"/>
      <c r="S5703" s="231"/>
      <c r="T5703" s="231"/>
      <c r="U5703" s="231"/>
      <c r="V5703" s="231"/>
      <c r="W5703" s="231"/>
      <c r="X5703" s="227"/>
      <c r="Y5703" s="348"/>
      <c r="Z5703" s="348"/>
      <c r="AA5703" s="348"/>
      <c r="AB5703" s="348"/>
      <c r="AC5703" s="227"/>
      <c r="AD5703" s="227"/>
      <c r="AE5703" s="231"/>
      <c r="AF5703" s="227"/>
      <c r="AG5703" s="348"/>
      <c r="AH5703" s="348"/>
      <c r="AI5703" s="348"/>
      <c r="AJ5703" s="348"/>
      <c r="AK5703" s="348"/>
      <c r="AL5703" s="348"/>
      <c r="AM5703" s="348"/>
      <c r="AN5703" s="348"/>
      <c r="AO5703" s="231"/>
      <c r="AP5703" s="231"/>
      <c r="AQ5703" s="227"/>
      <c r="AR5703" s="231"/>
      <c r="AS5703" s="227"/>
      <c r="AT5703" s="227"/>
      <c r="AU5703" s="227"/>
      <c r="AV5703" s="227"/>
      <c r="AW5703" s="227"/>
      <c r="AX5703" s="227"/>
      <c r="AY5703" s="227"/>
      <c r="AZ5703" s="227"/>
      <c r="BA5703" s="227"/>
      <c r="BB5703" s="227"/>
      <c r="BC5703" s="227"/>
      <c r="BD5703" s="227"/>
      <c r="BE5703" s="227"/>
      <c r="BF5703" s="227"/>
    </row>
    <row r="5704">
      <c r="A5704" s="227"/>
      <c r="B5704" s="348"/>
      <c r="C5704" s="227"/>
      <c r="D5704" s="227"/>
      <c r="E5704" s="231"/>
      <c r="F5704" s="348"/>
      <c r="G5704" s="227"/>
      <c r="H5704" s="227"/>
      <c r="I5704" s="227"/>
      <c r="J5704" s="227"/>
      <c r="K5704" s="227"/>
      <c r="L5704" s="348"/>
      <c r="M5704" s="348"/>
      <c r="N5704" s="227"/>
      <c r="O5704" s="227"/>
      <c r="P5704" s="231"/>
      <c r="Q5704" s="231"/>
      <c r="R5704" s="227"/>
      <c r="S5704" s="231"/>
      <c r="T5704" s="231"/>
      <c r="U5704" s="231"/>
      <c r="V5704" s="231"/>
      <c r="W5704" s="231"/>
      <c r="X5704" s="227"/>
      <c r="Y5704" s="348"/>
      <c r="Z5704" s="348"/>
      <c r="AA5704" s="348"/>
      <c r="AB5704" s="348"/>
      <c r="AC5704" s="227"/>
      <c r="AD5704" s="227"/>
      <c r="AE5704" s="231"/>
      <c r="AF5704" s="227"/>
      <c r="AG5704" s="348"/>
      <c r="AH5704" s="348"/>
      <c r="AI5704" s="348"/>
      <c r="AJ5704" s="348"/>
      <c r="AK5704" s="348"/>
      <c r="AL5704" s="348"/>
      <c r="AM5704" s="348"/>
      <c r="AN5704" s="348"/>
      <c r="AO5704" s="231"/>
      <c r="AP5704" s="231"/>
      <c r="AQ5704" s="227"/>
      <c r="AR5704" s="231"/>
      <c r="AS5704" s="227"/>
      <c r="AT5704" s="227"/>
      <c r="AU5704" s="227"/>
      <c r="AV5704" s="227"/>
      <c r="AW5704" s="227"/>
      <c r="AX5704" s="227"/>
      <c r="AY5704" s="227"/>
      <c r="AZ5704" s="227"/>
      <c r="BA5704" s="227"/>
      <c r="BB5704" s="227"/>
      <c r="BC5704" s="227"/>
      <c r="BD5704" s="227"/>
      <c r="BE5704" s="227"/>
      <c r="BF5704" s="227"/>
    </row>
    <row r="5705">
      <c r="A5705" s="227"/>
      <c r="B5705" s="348"/>
      <c r="C5705" s="227"/>
      <c r="D5705" s="227"/>
      <c r="E5705" s="231"/>
      <c r="F5705" s="348"/>
      <c r="G5705" s="227"/>
      <c r="H5705" s="227"/>
      <c r="I5705" s="227"/>
      <c r="J5705" s="227"/>
      <c r="K5705" s="227"/>
      <c r="L5705" s="348"/>
      <c r="M5705" s="348"/>
      <c r="N5705" s="227"/>
      <c r="O5705" s="227"/>
      <c r="P5705" s="231"/>
      <c r="Q5705" s="231"/>
      <c r="R5705" s="227"/>
      <c r="S5705" s="231"/>
      <c r="T5705" s="231"/>
      <c r="U5705" s="231"/>
      <c r="V5705" s="231"/>
      <c r="W5705" s="231"/>
      <c r="X5705" s="227"/>
      <c r="Y5705" s="348"/>
      <c r="Z5705" s="348"/>
      <c r="AA5705" s="348"/>
      <c r="AB5705" s="348"/>
      <c r="AC5705" s="227"/>
      <c r="AD5705" s="227"/>
      <c r="AE5705" s="231"/>
      <c r="AF5705" s="227"/>
      <c r="AG5705" s="348"/>
      <c r="AH5705" s="348"/>
      <c r="AI5705" s="348"/>
      <c r="AJ5705" s="348"/>
      <c r="AK5705" s="348"/>
      <c r="AL5705" s="348"/>
      <c r="AM5705" s="348"/>
      <c r="AN5705" s="348"/>
      <c r="AO5705" s="231"/>
      <c r="AP5705" s="231"/>
      <c r="AQ5705" s="227"/>
      <c r="AR5705" s="231"/>
      <c r="AS5705" s="227"/>
      <c r="AT5705" s="227"/>
      <c r="AU5705" s="227"/>
      <c r="AV5705" s="227"/>
      <c r="AW5705" s="227"/>
      <c r="AX5705" s="227"/>
      <c r="AY5705" s="227"/>
      <c r="AZ5705" s="227"/>
      <c r="BA5705" s="227"/>
      <c r="BB5705" s="227"/>
      <c r="BC5705" s="227"/>
      <c r="BD5705" s="227"/>
      <c r="BE5705" s="227"/>
      <c r="BF5705" s="227"/>
    </row>
    <row r="5706">
      <c r="A5706" s="227"/>
      <c r="B5706" s="348"/>
      <c r="C5706" s="227"/>
      <c r="D5706" s="227"/>
      <c r="E5706" s="231"/>
      <c r="F5706" s="348"/>
      <c r="G5706" s="227"/>
      <c r="H5706" s="227"/>
      <c r="I5706" s="227"/>
      <c r="J5706" s="227"/>
      <c r="K5706" s="227"/>
      <c r="L5706" s="348"/>
      <c r="M5706" s="348"/>
      <c r="N5706" s="227"/>
      <c r="O5706" s="227"/>
      <c r="P5706" s="231"/>
      <c r="Q5706" s="231"/>
      <c r="R5706" s="227"/>
      <c r="S5706" s="231"/>
      <c r="T5706" s="231"/>
      <c r="U5706" s="231"/>
      <c r="V5706" s="231"/>
      <c r="W5706" s="231"/>
      <c r="X5706" s="227"/>
      <c r="Y5706" s="348"/>
      <c r="Z5706" s="348"/>
      <c r="AA5706" s="348"/>
      <c r="AB5706" s="348"/>
      <c r="AC5706" s="227"/>
      <c r="AD5706" s="227"/>
      <c r="AE5706" s="231"/>
      <c r="AF5706" s="227"/>
      <c r="AG5706" s="348"/>
      <c r="AH5706" s="348"/>
      <c r="AI5706" s="348"/>
      <c r="AJ5706" s="348"/>
      <c r="AK5706" s="348"/>
      <c r="AL5706" s="348"/>
      <c r="AM5706" s="348"/>
      <c r="AN5706" s="348"/>
      <c r="AO5706" s="231"/>
      <c r="AP5706" s="231"/>
      <c r="AQ5706" s="227"/>
      <c r="AR5706" s="231"/>
      <c r="AS5706" s="227"/>
      <c r="AT5706" s="227"/>
      <c r="AU5706" s="227"/>
      <c r="AV5706" s="227"/>
      <c r="AW5706" s="227"/>
      <c r="AX5706" s="227"/>
      <c r="AY5706" s="227"/>
      <c r="AZ5706" s="227"/>
      <c r="BA5706" s="227"/>
      <c r="BB5706" s="227"/>
      <c r="BC5706" s="227"/>
      <c r="BD5706" s="227"/>
      <c r="BE5706" s="227"/>
      <c r="BF5706" s="227"/>
    </row>
    <row r="5707">
      <c r="A5707" s="227"/>
      <c r="B5707" s="348"/>
      <c r="C5707" s="227"/>
      <c r="D5707" s="227"/>
      <c r="E5707" s="231"/>
      <c r="F5707" s="348"/>
      <c r="G5707" s="227"/>
      <c r="H5707" s="227"/>
      <c r="I5707" s="227"/>
      <c r="J5707" s="227"/>
      <c r="K5707" s="227"/>
      <c r="L5707" s="348"/>
      <c r="M5707" s="348"/>
      <c r="N5707" s="227"/>
      <c r="O5707" s="227"/>
      <c r="P5707" s="231"/>
      <c r="Q5707" s="231"/>
      <c r="R5707" s="227"/>
      <c r="S5707" s="231"/>
      <c r="T5707" s="231"/>
      <c r="U5707" s="231"/>
      <c r="V5707" s="231"/>
      <c r="W5707" s="231"/>
      <c r="X5707" s="227"/>
      <c r="Y5707" s="348"/>
      <c r="Z5707" s="348"/>
      <c r="AA5707" s="348"/>
      <c r="AB5707" s="348"/>
      <c r="AC5707" s="227"/>
      <c r="AD5707" s="227"/>
      <c r="AE5707" s="231"/>
      <c r="AF5707" s="227"/>
      <c r="AG5707" s="348"/>
      <c r="AH5707" s="348"/>
      <c r="AI5707" s="348"/>
      <c r="AJ5707" s="348"/>
      <c r="AK5707" s="348"/>
      <c r="AL5707" s="348"/>
      <c r="AM5707" s="348"/>
      <c r="AN5707" s="348"/>
      <c r="AO5707" s="231"/>
      <c r="AP5707" s="231"/>
      <c r="AQ5707" s="227"/>
      <c r="AR5707" s="231"/>
      <c r="AS5707" s="227"/>
      <c r="AT5707" s="227"/>
      <c r="AU5707" s="227"/>
      <c r="AV5707" s="227"/>
      <c r="AW5707" s="227"/>
      <c r="AX5707" s="227"/>
      <c r="AY5707" s="227"/>
      <c r="AZ5707" s="227"/>
      <c r="BA5707" s="227"/>
      <c r="BB5707" s="227"/>
      <c r="BC5707" s="227"/>
      <c r="BD5707" s="227"/>
      <c r="BE5707" s="227"/>
      <c r="BF5707" s="227"/>
    </row>
    <row r="5708">
      <c r="A5708" s="227"/>
      <c r="B5708" s="348"/>
      <c r="C5708" s="227"/>
      <c r="D5708" s="227"/>
      <c r="E5708" s="231"/>
      <c r="F5708" s="348"/>
      <c r="G5708" s="227"/>
      <c r="H5708" s="227"/>
      <c r="I5708" s="227"/>
      <c r="J5708" s="227"/>
      <c r="K5708" s="227"/>
      <c r="L5708" s="348"/>
      <c r="M5708" s="348"/>
      <c r="N5708" s="227"/>
      <c r="O5708" s="227"/>
      <c r="P5708" s="231"/>
      <c r="Q5708" s="231"/>
      <c r="R5708" s="227"/>
      <c r="S5708" s="231"/>
      <c r="T5708" s="231"/>
      <c r="U5708" s="231"/>
      <c r="V5708" s="231"/>
      <c r="W5708" s="231"/>
      <c r="X5708" s="227"/>
      <c r="Y5708" s="348"/>
      <c r="Z5708" s="348"/>
      <c r="AA5708" s="348"/>
      <c r="AB5708" s="348"/>
      <c r="AC5708" s="227"/>
      <c r="AD5708" s="227"/>
      <c r="AE5708" s="231"/>
      <c r="AF5708" s="227"/>
      <c r="AG5708" s="348"/>
      <c r="AH5708" s="348"/>
      <c r="AI5708" s="348"/>
      <c r="AJ5708" s="348"/>
      <c r="AK5708" s="348"/>
      <c r="AL5708" s="348"/>
      <c r="AM5708" s="348"/>
      <c r="AN5708" s="348"/>
      <c r="AO5708" s="231"/>
      <c r="AP5708" s="231"/>
      <c r="AQ5708" s="227"/>
      <c r="AR5708" s="231"/>
      <c r="AS5708" s="227"/>
      <c r="AT5708" s="227"/>
      <c r="AU5708" s="227"/>
      <c r="AV5708" s="227"/>
      <c r="AW5708" s="227"/>
      <c r="AX5708" s="227"/>
      <c r="AY5708" s="227"/>
      <c r="AZ5708" s="227"/>
      <c r="BA5708" s="227"/>
      <c r="BB5708" s="227"/>
      <c r="BC5708" s="227"/>
      <c r="BD5708" s="227"/>
      <c r="BE5708" s="227"/>
      <c r="BF5708" s="227"/>
    </row>
    <row r="5709">
      <c r="A5709" s="227"/>
      <c r="B5709" s="348"/>
      <c r="C5709" s="227"/>
      <c r="D5709" s="227"/>
      <c r="E5709" s="231"/>
      <c r="F5709" s="348"/>
      <c r="G5709" s="227"/>
      <c r="H5709" s="227"/>
      <c r="I5709" s="227"/>
      <c r="J5709" s="227"/>
      <c r="K5709" s="227"/>
      <c r="L5709" s="348"/>
      <c r="M5709" s="348"/>
      <c r="N5709" s="227"/>
      <c r="O5709" s="227"/>
      <c r="P5709" s="231"/>
      <c r="Q5709" s="231"/>
      <c r="R5709" s="227"/>
      <c r="S5709" s="231"/>
      <c r="T5709" s="231"/>
      <c r="U5709" s="231"/>
      <c r="V5709" s="231"/>
      <c r="W5709" s="231"/>
      <c r="X5709" s="227"/>
      <c r="Y5709" s="348"/>
      <c r="Z5709" s="348"/>
      <c r="AA5709" s="348"/>
      <c r="AB5709" s="348"/>
      <c r="AC5709" s="227"/>
      <c r="AD5709" s="227"/>
      <c r="AE5709" s="231"/>
      <c r="AF5709" s="227"/>
      <c r="AG5709" s="348"/>
      <c r="AH5709" s="348"/>
      <c r="AI5709" s="348"/>
      <c r="AJ5709" s="348"/>
      <c r="AK5709" s="348"/>
      <c r="AL5709" s="348"/>
      <c r="AM5709" s="348"/>
      <c r="AN5709" s="348"/>
      <c r="AO5709" s="231"/>
      <c r="AP5709" s="231"/>
      <c r="AQ5709" s="227"/>
      <c r="AR5709" s="231"/>
      <c r="AS5709" s="227"/>
      <c r="AT5709" s="227"/>
      <c r="AU5709" s="227"/>
      <c r="AV5709" s="227"/>
      <c r="AW5709" s="227"/>
      <c r="AX5709" s="227"/>
      <c r="AY5709" s="227"/>
      <c r="AZ5709" s="227"/>
      <c r="BA5709" s="227"/>
      <c r="BB5709" s="227"/>
      <c r="BC5709" s="227"/>
      <c r="BD5709" s="227"/>
      <c r="BE5709" s="227"/>
      <c r="BF5709" s="227"/>
    </row>
    <row r="5710">
      <c r="A5710" s="227"/>
      <c r="B5710" s="348"/>
      <c r="C5710" s="227"/>
      <c r="D5710" s="227"/>
      <c r="E5710" s="231"/>
      <c r="F5710" s="348"/>
      <c r="G5710" s="227"/>
      <c r="H5710" s="227"/>
      <c r="I5710" s="227"/>
      <c r="J5710" s="227"/>
      <c r="K5710" s="227"/>
      <c r="L5710" s="348"/>
      <c r="M5710" s="348"/>
      <c r="N5710" s="227"/>
      <c r="O5710" s="227"/>
      <c r="P5710" s="231"/>
      <c r="Q5710" s="231"/>
      <c r="R5710" s="227"/>
      <c r="S5710" s="231"/>
      <c r="T5710" s="231"/>
      <c r="U5710" s="231"/>
      <c r="V5710" s="231"/>
      <c r="W5710" s="231"/>
      <c r="X5710" s="227"/>
      <c r="Y5710" s="348"/>
      <c r="Z5710" s="348"/>
      <c r="AA5710" s="348"/>
      <c r="AB5710" s="348"/>
      <c r="AC5710" s="227"/>
      <c r="AD5710" s="227"/>
      <c r="AE5710" s="231"/>
      <c r="AF5710" s="227"/>
      <c r="AG5710" s="348"/>
      <c r="AH5710" s="348"/>
      <c r="AI5710" s="348"/>
      <c r="AJ5710" s="348"/>
      <c r="AK5710" s="348"/>
      <c r="AL5710" s="348"/>
      <c r="AM5710" s="348"/>
      <c r="AN5710" s="348"/>
      <c r="AO5710" s="231"/>
      <c r="AP5710" s="231"/>
      <c r="AQ5710" s="227"/>
      <c r="AR5710" s="231"/>
      <c r="AS5710" s="227"/>
      <c r="AT5710" s="227"/>
      <c r="AU5710" s="227"/>
      <c r="AV5710" s="227"/>
      <c r="AW5710" s="227"/>
      <c r="AX5710" s="227"/>
      <c r="AY5710" s="227"/>
      <c r="AZ5710" s="227"/>
      <c r="BA5710" s="227"/>
      <c r="BB5710" s="227"/>
      <c r="BC5710" s="227"/>
      <c r="BD5710" s="227"/>
      <c r="BE5710" s="227"/>
      <c r="BF5710" s="227"/>
    </row>
    <row r="5711">
      <c r="A5711" s="227"/>
      <c r="B5711" s="348"/>
      <c r="C5711" s="227"/>
      <c r="D5711" s="227"/>
      <c r="E5711" s="231"/>
      <c r="F5711" s="348"/>
      <c r="G5711" s="227"/>
      <c r="H5711" s="227"/>
      <c r="I5711" s="227"/>
      <c r="J5711" s="227"/>
      <c r="K5711" s="227"/>
      <c r="L5711" s="348"/>
      <c r="M5711" s="348"/>
      <c r="N5711" s="227"/>
      <c r="O5711" s="227"/>
      <c r="P5711" s="231"/>
      <c r="Q5711" s="231"/>
      <c r="R5711" s="227"/>
      <c r="S5711" s="231"/>
      <c r="T5711" s="231"/>
      <c r="U5711" s="231"/>
      <c r="V5711" s="231"/>
      <c r="W5711" s="231"/>
      <c r="X5711" s="227"/>
      <c r="Y5711" s="348"/>
      <c r="Z5711" s="348"/>
      <c r="AA5711" s="348"/>
      <c r="AB5711" s="348"/>
      <c r="AC5711" s="227"/>
      <c r="AD5711" s="227"/>
      <c r="AE5711" s="231"/>
      <c r="AF5711" s="227"/>
      <c r="AG5711" s="348"/>
      <c r="AH5711" s="348"/>
      <c r="AI5711" s="348"/>
      <c r="AJ5711" s="348"/>
      <c r="AK5711" s="348"/>
      <c r="AL5711" s="348"/>
      <c r="AM5711" s="348"/>
      <c r="AN5711" s="348"/>
      <c r="AO5711" s="231"/>
      <c r="AP5711" s="231"/>
      <c r="AQ5711" s="227"/>
      <c r="AR5711" s="231"/>
      <c r="AS5711" s="227"/>
      <c r="AT5711" s="227"/>
      <c r="AU5711" s="227"/>
      <c r="AV5711" s="227"/>
      <c r="AW5711" s="227"/>
      <c r="AX5711" s="227"/>
      <c r="AY5711" s="227"/>
      <c r="AZ5711" s="227"/>
      <c r="BA5711" s="227"/>
      <c r="BB5711" s="227"/>
      <c r="BC5711" s="227"/>
      <c r="BD5711" s="227"/>
      <c r="BE5711" s="227"/>
      <c r="BF5711" s="227"/>
    </row>
    <row r="5712">
      <c r="A5712" s="227"/>
      <c r="B5712" s="348"/>
      <c r="C5712" s="227"/>
      <c r="D5712" s="227"/>
      <c r="E5712" s="231"/>
      <c r="F5712" s="348"/>
      <c r="G5712" s="227"/>
      <c r="H5712" s="227"/>
      <c r="I5712" s="227"/>
      <c r="J5712" s="227"/>
      <c r="K5712" s="227"/>
      <c r="L5712" s="348"/>
      <c r="M5712" s="348"/>
      <c r="N5712" s="227"/>
      <c r="O5712" s="227"/>
      <c r="P5712" s="231"/>
      <c r="Q5712" s="231"/>
      <c r="R5712" s="227"/>
      <c r="S5712" s="231"/>
      <c r="T5712" s="231"/>
      <c r="U5712" s="231"/>
      <c r="V5712" s="231"/>
      <c r="W5712" s="231"/>
      <c r="X5712" s="227"/>
      <c r="Y5712" s="348"/>
      <c r="Z5712" s="348"/>
      <c r="AA5712" s="348"/>
      <c r="AB5712" s="348"/>
      <c r="AC5712" s="227"/>
      <c r="AD5712" s="227"/>
      <c r="AE5712" s="231"/>
      <c r="AF5712" s="227"/>
      <c r="AG5712" s="348"/>
      <c r="AH5712" s="348"/>
      <c r="AI5712" s="348"/>
      <c r="AJ5712" s="348"/>
      <c r="AK5712" s="348"/>
      <c r="AL5712" s="348"/>
      <c r="AM5712" s="348"/>
      <c r="AN5712" s="348"/>
      <c r="AO5712" s="231"/>
      <c r="AP5712" s="231"/>
      <c r="AQ5712" s="227"/>
      <c r="AR5712" s="231"/>
      <c r="AS5712" s="227"/>
      <c r="AT5712" s="227"/>
      <c r="AU5712" s="227"/>
      <c r="AV5712" s="227"/>
      <c r="AW5712" s="227"/>
      <c r="AX5712" s="227"/>
      <c r="AY5712" s="227"/>
      <c r="AZ5712" s="227"/>
      <c r="BA5712" s="227"/>
      <c r="BB5712" s="227"/>
      <c r="BC5712" s="227"/>
      <c r="BD5712" s="227"/>
      <c r="BE5712" s="227"/>
      <c r="BF5712" s="227"/>
    </row>
    <row r="5713">
      <c r="A5713" s="227"/>
      <c r="B5713" s="348"/>
      <c r="C5713" s="227"/>
      <c r="D5713" s="227"/>
      <c r="E5713" s="231"/>
      <c r="F5713" s="348"/>
      <c r="G5713" s="227"/>
      <c r="H5713" s="227"/>
      <c r="I5713" s="227"/>
      <c r="J5713" s="227"/>
      <c r="K5713" s="227"/>
      <c r="L5713" s="348"/>
      <c r="M5713" s="348"/>
      <c r="N5713" s="227"/>
      <c r="O5713" s="227"/>
      <c r="P5713" s="231"/>
      <c r="Q5713" s="231"/>
      <c r="R5713" s="227"/>
      <c r="S5713" s="231"/>
      <c r="T5713" s="231"/>
      <c r="U5713" s="231"/>
      <c r="V5713" s="231"/>
      <c r="W5713" s="231"/>
      <c r="X5713" s="227"/>
      <c r="Y5713" s="348"/>
      <c r="Z5713" s="348"/>
      <c r="AA5713" s="348"/>
      <c r="AB5713" s="348"/>
      <c r="AC5713" s="227"/>
      <c r="AD5713" s="227"/>
      <c r="AE5713" s="231"/>
      <c r="AF5713" s="227"/>
      <c r="AG5713" s="348"/>
      <c r="AH5713" s="348"/>
      <c r="AI5713" s="348"/>
      <c r="AJ5713" s="348"/>
      <c r="AK5713" s="348"/>
      <c r="AL5713" s="348"/>
      <c r="AM5713" s="348"/>
      <c r="AN5713" s="348"/>
      <c r="AO5713" s="231"/>
      <c r="AP5713" s="231"/>
      <c r="AQ5713" s="227"/>
      <c r="AR5713" s="227"/>
      <c r="AS5713" s="227"/>
      <c r="AT5713" s="227"/>
      <c r="AU5713" s="227"/>
      <c r="AV5713" s="227"/>
      <c r="AW5713" s="227"/>
      <c r="AX5713" s="227"/>
      <c r="AY5713" s="227"/>
      <c r="AZ5713" s="227"/>
      <c r="BA5713" s="227"/>
      <c r="BB5713" s="227"/>
      <c r="BC5713" s="227"/>
      <c r="BD5713" s="227"/>
      <c r="BE5713" s="227"/>
      <c r="BF5713" s="227"/>
    </row>
    <row r="5714">
      <c r="A5714" s="227"/>
      <c r="B5714" s="348"/>
      <c r="C5714" s="227"/>
      <c r="D5714" s="227"/>
      <c r="E5714" s="231"/>
      <c r="F5714" s="348"/>
      <c r="G5714" s="227"/>
      <c r="H5714" s="227"/>
      <c r="I5714" s="227"/>
      <c r="J5714" s="227"/>
      <c r="K5714" s="227"/>
      <c r="L5714" s="348"/>
      <c r="M5714" s="348"/>
      <c r="N5714" s="227"/>
      <c r="O5714" s="227"/>
      <c r="P5714" s="231"/>
      <c r="Q5714" s="231"/>
      <c r="R5714" s="227"/>
      <c r="S5714" s="231"/>
      <c r="T5714" s="231"/>
      <c r="U5714" s="231"/>
      <c r="V5714" s="231"/>
      <c r="W5714" s="231"/>
      <c r="X5714" s="227"/>
      <c r="Y5714" s="348"/>
      <c r="Z5714" s="348"/>
      <c r="AA5714" s="348"/>
      <c r="AB5714" s="348"/>
      <c r="AC5714" s="227"/>
      <c r="AD5714" s="227"/>
      <c r="AE5714" s="231"/>
      <c r="AF5714" s="227"/>
      <c r="AG5714" s="348"/>
      <c r="AH5714" s="348"/>
      <c r="AI5714" s="348"/>
      <c r="AJ5714" s="348"/>
      <c r="AK5714" s="348"/>
      <c r="AL5714" s="348"/>
      <c r="AM5714" s="348"/>
      <c r="AN5714" s="348"/>
      <c r="AO5714" s="231"/>
      <c r="AP5714" s="231"/>
      <c r="AQ5714" s="227"/>
      <c r="AR5714" s="231"/>
      <c r="AS5714" s="227"/>
      <c r="AT5714" s="227"/>
      <c r="AU5714" s="227"/>
      <c r="AV5714" s="227"/>
      <c r="AW5714" s="227"/>
      <c r="AX5714" s="227"/>
      <c r="AY5714" s="227"/>
      <c r="AZ5714" s="227"/>
      <c r="BA5714" s="227"/>
      <c r="BB5714" s="227"/>
      <c r="BC5714" s="227"/>
      <c r="BD5714" s="227"/>
      <c r="BE5714" s="227"/>
      <c r="BF5714" s="227"/>
    </row>
    <row r="5715">
      <c r="A5715" s="227"/>
      <c r="B5715" s="348"/>
      <c r="C5715" s="227"/>
      <c r="D5715" s="227"/>
      <c r="E5715" s="231"/>
      <c r="F5715" s="348"/>
      <c r="G5715" s="227"/>
      <c r="H5715" s="227"/>
      <c r="I5715" s="227"/>
      <c r="J5715" s="227"/>
      <c r="K5715" s="227"/>
      <c r="L5715" s="348"/>
      <c r="M5715" s="348"/>
      <c r="N5715" s="227"/>
      <c r="O5715" s="227"/>
      <c r="P5715" s="231"/>
      <c r="Q5715" s="231"/>
      <c r="R5715" s="227"/>
      <c r="S5715" s="231"/>
      <c r="T5715" s="231"/>
      <c r="U5715" s="231"/>
      <c r="V5715" s="231"/>
      <c r="W5715" s="231"/>
      <c r="X5715" s="227"/>
      <c r="Y5715" s="348"/>
      <c r="Z5715" s="348"/>
      <c r="AA5715" s="348"/>
      <c r="AB5715" s="348"/>
      <c r="AC5715" s="227"/>
      <c r="AD5715" s="227"/>
      <c r="AE5715" s="231"/>
      <c r="AF5715" s="227"/>
      <c r="AG5715" s="348"/>
      <c r="AH5715" s="348"/>
      <c r="AI5715" s="348"/>
      <c r="AJ5715" s="348"/>
      <c r="AK5715" s="348"/>
      <c r="AL5715" s="348"/>
      <c r="AM5715" s="348"/>
      <c r="AN5715" s="348"/>
      <c r="AO5715" s="231"/>
      <c r="AP5715" s="231"/>
      <c r="AQ5715" s="227"/>
      <c r="AR5715" s="231"/>
      <c r="AS5715" s="227"/>
      <c r="AT5715" s="227"/>
      <c r="AU5715" s="227"/>
      <c r="AV5715" s="227"/>
      <c r="AW5715" s="227"/>
      <c r="AX5715" s="227"/>
      <c r="AY5715" s="227"/>
      <c r="AZ5715" s="227"/>
      <c r="BA5715" s="227"/>
      <c r="BB5715" s="227"/>
      <c r="BC5715" s="227"/>
      <c r="BD5715" s="227"/>
      <c r="BE5715" s="227"/>
      <c r="BF5715" s="227"/>
    </row>
    <row r="5716">
      <c r="A5716" s="227"/>
      <c r="B5716" s="348"/>
      <c r="C5716" s="227"/>
      <c r="D5716" s="227"/>
      <c r="E5716" s="231"/>
      <c r="F5716" s="348"/>
      <c r="G5716" s="227"/>
      <c r="H5716" s="227"/>
      <c r="I5716" s="227"/>
      <c r="J5716" s="227"/>
      <c r="K5716" s="227"/>
      <c r="L5716" s="348"/>
      <c r="M5716" s="348"/>
      <c r="N5716" s="227"/>
      <c r="O5716" s="227"/>
      <c r="P5716" s="231"/>
      <c r="Q5716" s="231"/>
      <c r="R5716" s="227"/>
      <c r="S5716" s="231"/>
      <c r="T5716" s="231"/>
      <c r="U5716" s="231"/>
      <c r="V5716" s="231"/>
      <c r="W5716" s="231"/>
      <c r="X5716" s="227"/>
      <c r="Y5716" s="348"/>
      <c r="Z5716" s="348"/>
      <c r="AA5716" s="348"/>
      <c r="AB5716" s="348"/>
      <c r="AC5716" s="227"/>
      <c r="AD5716" s="227"/>
      <c r="AE5716" s="231"/>
      <c r="AF5716" s="227"/>
      <c r="AG5716" s="348"/>
      <c r="AH5716" s="348"/>
      <c r="AI5716" s="348"/>
      <c r="AJ5716" s="348"/>
      <c r="AK5716" s="348"/>
      <c r="AL5716" s="348"/>
      <c r="AM5716" s="348"/>
      <c r="AN5716" s="348"/>
      <c r="AO5716" s="231"/>
      <c r="AP5716" s="231"/>
      <c r="AQ5716" s="227"/>
      <c r="AR5716" s="231"/>
      <c r="AS5716" s="227"/>
      <c r="AT5716" s="227"/>
      <c r="AU5716" s="227"/>
      <c r="AV5716" s="227"/>
      <c r="AW5716" s="227"/>
      <c r="AX5716" s="227"/>
      <c r="AY5716" s="227"/>
      <c r="AZ5716" s="227"/>
      <c r="BA5716" s="227"/>
      <c r="BB5716" s="227"/>
      <c r="BC5716" s="227"/>
      <c r="BD5716" s="227"/>
      <c r="BE5716" s="227"/>
      <c r="BF5716" s="227"/>
    </row>
    <row r="5717">
      <c r="A5717" s="227"/>
      <c r="B5717" s="348"/>
      <c r="C5717" s="227"/>
      <c r="D5717" s="227"/>
      <c r="E5717" s="231"/>
      <c r="F5717" s="348"/>
      <c r="G5717" s="227"/>
      <c r="H5717" s="227"/>
      <c r="I5717" s="227"/>
      <c r="J5717" s="227"/>
      <c r="K5717" s="227"/>
      <c r="L5717" s="348"/>
      <c r="M5717" s="348"/>
      <c r="N5717" s="227"/>
      <c r="O5717" s="227"/>
      <c r="P5717" s="231"/>
      <c r="Q5717" s="231"/>
      <c r="R5717" s="227"/>
      <c r="S5717" s="231"/>
      <c r="T5717" s="231"/>
      <c r="U5717" s="231"/>
      <c r="V5717" s="231"/>
      <c r="W5717" s="231"/>
      <c r="X5717" s="227"/>
      <c r="Y5717" s="348"/>
      <c r="Z5717" s="348"/>
      <c r="AA5717" s="348"/>
      <c r="AB5717" s="348"/>
      <c r="AC5717" s="227"/>
      <c r="AD5717" s="227"/>
      <c r="AE5717" s="231"/>
      <c r="AF5717" s="227"/>
      <c r="AG5717" s="348"/>
      <c r="AH5717" s="348"/>
      <c r="AI5717" s="348"/>
      <c r="AJ5717" s="348"/>
      <c r="AK5717" s="348"/>
      <c r="AL5717" s="348"/>
      <c r="AM5717" s="348"/>
      <c r="AN5717" s="348"/>
      <c r="AO5717" s="231"/>
      <c r="AP5717" s="231"/>
      <c r="AQ5717" s="227"/>
      <c r="AR5717" s="231"/>
      <c r="AS5717" s="227"/>
      <c r="AT5717" s="227"/>
      <c r="AU5717" s="227"/>
      <c r="AV5717" s="227"/>
      <c r="AW5717" s="227"/>
      <c r="AX5717" s="227"/>
      <c r="AY5717" s="227"/>
      <c r="AZ5717" s="227"/>
      <c r="BA5717" s="227"/>
      <c r="BB5717" s="227"/>
      <c r="BC5717" s="227"/>
      <c r="BD5717" s="227"/>
      <c r="BE5717" s="227"/>
      <c r="BF5717" s="227"/>
    </row>
    <row r="5718">
      <c r="A5718" s="227"/>
      <c r="B5718" s="348"/>
      <c r="C5718" s="227"/>
      <c r="D5718" s="227"/>
      <c r="E5718" s="231"/>
      <c r="F5718" s="348"/>
      <c r="G5718" s="227"/>
      <c r="H5718" s="227"/>
      <c r="I5718" s="227"/>
      <c r="J5718" s="227"/>
      <c r="K5718" s="227"/>
      <c r="L5718" s="348"/>
      <c r="M5718" s="348"/>
      <c r="N5718" s="227"/>
      <c r="O5718" s="227"/>
      <c r="P5718" s="231"/>
      <c r="Q5718" s="231"/>
      <c r="R5718" s="227"/>
      <c r="S5718" s="231"/>
      <c r="T5718" s="231"/>
      <c r="U5718" s="231"/>
      <c r="V5718" s="231"/>
      <c r="W5718" s="231"/>
      <c r="X5718" s="227"/>
      <c r="Y5718" s="348"/>
      <c r="Z5718" s="348"/>
      <c r="AA5718" s="348"/>
      <c r="AB5718" s="348"/>
      <c r="AC5718" s="227"/>
      <c r="AD5718" s="227"/>
      <c r="AE5718" s="231"/>
      <c r="AF5718" s="227"/>
      <c r="AG5718" s="348"/>
      <c r="AH5718" s="348"/>
      <c r="AI5718" s="348"/>
      <c r="AJ5718" s="348"/>
      <c r="AK5718" s="348"/>
      <c r="AL5718" s="348"/>
      <c r="AM5718" s="348"/>
      <c r="AN5718" s="348"/>
      <c r="AO5718" s="231"/>
      <c r="AP5718" s="231"/>
      <c r="AQ5718" s="227"/>
      <c r="AR5718" s="231"/>
      <c r="AS5718" s="227"/>
      <c r="AT5718" s="227"/>
      <c r="AU5718" s="227"/>
      <c r="AV5718" s="227"/>
      <c r="AW5718" s="227"/>
      <c r="AX5718" s="227"/>
      <c r="AY5718" s="227"/>
      <c r="AZ5718" s="227"/>
      <c r="BA5718" s="227"/>
      <c r="BB5718" s="227"/>
      <c r="BC5718" s="227"/>
      <c r="BD5718" s="227"/>
      <c r="BE5718" s="227"/>
      <c r="BF5718" s="227"/>
    </row>
    <row r="5719">
      <c r="A5719" s="227"/>
      <c r="B5719" s="348"/>
      <c r="C5719" s="227"/>
      <c r="D5719" s="227"/>
      <c r="E5719" s="231"/>
      <c r="F5719" s="348"/>
      <c r="G5719" s="227"/>
      <c r="H5719" s="227"/>
      <c r="I5719" s="227"/>
      <c r="J5719" s="227"/>
      <c r="K5719" s="227"/>
      <c r="L5719" s="348"/>
      <c r="M5719" s="348"/>
      <c r="N5719" s="227"/>
      <c r="O5719" s="227"/>
      <c r="P5719" s="231"/>
      <c r="Q5719" s="231"/>
      <c r="R5719" s="227"/>
      <c r="S5719" s="231"/>
      <c r="T5719" s="231"/>
      <c r="U5719" s="231"/>
      <c r="V5719" s="231"/>
      <c r="W5719" s="231"/>
      <c r="X5719" s="227"/>
      <c r="Y5719" s="348"/>
      <c r="Z5719" s="348"/>
      <c r="AA5719" s="348"/>
      <c r="AB5719" s="348"/>
      <c r="AC5719" s="227"/>
      <c r="AD5719" s="227"/>
      <c r="AE5719" s="231"/>
      <c r="AF5719" s="227"/>
      <c r="AG5719" s="348"/>
      <c r="AH5719" s="348"/>
      <c r="AI5719" s="348"/>
      <c r="AJ5719" s="348"/>
      <c r="AK5719" s="348"/>
      <c r="AL5719" s="348"/>
      <c r="AM5719" s="348"/>
      <c r="AN5719" s="348"/>
      <c r="AO5719" s="231"/>
      <c r="AP5719" s="231"/>
      <c r="AQ5719" s="227"/>
      <c r="AR5719" s="231"/>
      <c r="AS5719" s="227"/>
      <c r="AT5719" s="227"/>
      <c r="AU5719" s="227"/>
      <c r="AV5719" s="227"/>
      <c r="AW5719" s="227"/>
      <c r="AX5719" s="227"/>
      <c r="AY5719" s="227"/>
      <c r="AZ5719" s="227"/>
      <c r="BA5719" s="227"/>
      <c r="BB5719" s="227"/>
      <c r="BC5719" s="227"/>
      <c r="BD5719" s="227"/>
      <c r="BE5719" s="227"/>
      <c r="BF5719" s="227"/>
    </row>
    <row r="5720">
      <c r="A5720" s="227"/>
      <c r="B5720" s="348"/>
      <c r="C5720" s="227"/>
      <c r="D5720" s="227"/>
      <c r="E5720" s="231"/>
      <c r="F5720" s="348"/>
      <c r="G5720" s="227"/>
      <c r="H5720" s="227"/>
      <c r="I5720" s="227"/>
      <c r="J5720" s="227"/>
      <c r="K5720" s="227"/>
      <c r="L5720" s="348"/>
      <c r="M5720" s="348"/>
      <c r="N5720" s="227"/>
      <c r="O5720" s="227"/>
      <c r="P5720" s="231"/>
      <c r="Q5720" s="231"/>
      <c r="R5720" s="227"/>
      <c r="S5720" s="231"/>
      <c r="T5720" s="231"/>
      <c r="U5720" s="231"/>
      <c r="V5720" s="231"/>
      <c r="W5720" s="231"/>
      <c r="X5720" s="227"/>
      <c r="Y5720" s="348"/>
      <c r="Z5720" s="348"/>
      <c r="AA5720" s="348"/>
      <c r="AB5720" s="348"/>
      <c r="AC5720" s="227"/>
      <c r="AD5720" s="227"/>
      <c r="AE5720" s="231"/>
      <c r="AF5720" s="227"/>
      <c r="AG5720" s="348"/>
      <c r="AH5720" s="348"/>
      <c r="AI5720" s="348"/>
      <c r="AJ5720" s="348"/>
      <c r="AK5720" s="348"/>
      <c r="AL5720" s="348"/>
      <c r="AM5720" s="348"/>
      <c r="AN5720" s="348"/>
      <c r="AO5720" s="231"/>
      <c r="AP5720" s="231"/>
      <c r="AQ5720" s="227"/>
      <c r="AR5720" s="231"/>
      <c r="AS5720" s="227"/>
      <c r="AT5720" s="227"/>
      <c r="AU5720" s="227"/>
      <c r="AV5720" s="227"/>
      <c r="AW5720" s="227"/>
      <c r="AX5720" s="227"/>
      <c r="AY5720" s="227"/>
      <c r="AZ5720" s="227"/>
      <c r="BA5720" s="227"/>
      <c r="BB5720" s="227"/>
      <c r="BC5720" s="227"/>
      <c r="BD5720" s="227"/>
      <c r="BE5720" s="227"/>
      <c r="BF5720" s="227"/>
    </row>
    <row r="5721">
      <c r="A5721" s="227"/>
      <c r="B5721" s="348"/>
      <c r="C5721" s="227"/>
      <c r="D5721" s="227"/>
      <c r="E5721" s="231"/>
      <c r="F5721" s="348"/>
      <c r="G5721" s="227"/>
      <c r="H5721" s="227"/>
      <c r="I5721" s="227"/>
      <c r="J5721" s="227"/>
      <c r="K5721" s="227"/>
      <c r="L5721" s="348"/>
      <c r="M5721" s="348"/>
      <c r="N5721" s="227"/>
      <c r="O5721" s="227"/>
      <c r="P5721" s="231"/>
      <c r="Q5721" s="231"/>
      <c r="R5721" s="227"/>
      <c r="S5721" s="231"/>
      <c r="T5721" s="231"/>
      <c r="U5721" s="231"/>
      <c r="V5721" s="231"/>
      <c r="W5721" s="231"/>
      <c r="X5721" s="227"/>
      <c r="Y5721" s="348"/>
      <c r="Z5721" s="348"/>
      <c r="AA5721" s="348"/>
      <c r="AB5721" s="348"/>
      <c r="AC5721" s="227"/>
      <c r="AD5721" s="227"/>
      <c r="AE5721" s="231"/>
      <c r="AF5721" s="227"/>
      <c r="AG5721" s="348"/>
      <c r="AH5721" s="348"/>
      <c r="AI5721" s="348"/>
      <c r="AJ5721" s="348"/>
      <c r="AK5721" s="348"/>
      <c r="AL5721" s="348"/>
      <c r="AM5721" s="348"/>
      <c r="AN5721" s="348"/>
      <c r="AO5721" s="231"/>
      <c r="AP5721" s="231"/>
      <c r="AQ5721" s="227"/>
      <c r="AR5721" s="231"/>
      <c r="AS5721" s="227"/>
      <c r="AT5721" s="227"/>
      <c r="AU5721" s="227"/>
      <c r="AV5721" s="227"/>
      <c r="AW5721" s="227"/>
      <c r="AX5721" s="227"/>
      <c r="AY5721" s="227"/>
      <c r="AZ5721" s="227"/>
      <c r="BA5721" s="227"/>
      <c r="BB5721" s="227"/>
      <c r="BC5721" s="227"/>
      <c r="BD5721" s="227"/>
      <c r="BE5721" s="227"/>
      <c r="BF5721" s="227"/>
    </row>
    <row r="5722">
      <c r="A5722" s="227"/>
      <c r="B5722" s="348"/>
      <c r="C5722" s="227"/>
      <c r="D5722" s="227"/>
      <c r="E5722" s="231"/>
      <c r="F5722" s="348"/>
      <c r="G5722" s="227"/>
      <c r="H5722" s="227"/>
      <c r="I5722" s="227"/>
      <c r="J5722" s="227"/>
      <c r="K5722" s="227"/>
      <c r="L5722" s="348"/>
      <c r="M5722" s="348"/>
      <c r="N5722" s="227"/>
      <c r="O5722" s="227"/>
      <c r="P5722" s="231"/>
      <c r="Q5722" s="231"/>
      <c r="R5722" s="227"/>
      <c r="S5722" s="231"/>
      <c r="T5722" s="231"/>
      <c r="U5722" s="231"/>
      <c r="V5722" s="231"/>
      <c r="W5722" s="231"/>
      <c r="X5722" s="227"/>
      <c r="Y5722" s="348"/>
      <c r="Z5722" s="348"/>
      <c r="AA5722" s="348"/>
      <c r="AB5722" s="348"/>
      <c r="AC5722" s="227"/>
      <c r="AD5722" s="227"/>
      <c r="AE5722" s="231"/>
      <c r="AF5722" s="227"/>
      <c r="AG5722" s="348"/>
      <c r="AH5722" s="348"/>
      <c r="AI5722" s="348"/>
      <c r="AJ5722" s="348"/>
      <c r="AK5722" s="348"/>
      <c r="AL5722" s="348"/>
      <c r="AM5722" s="348"/>
      <c r="AN5722" s="348"/>
      <c r="AO5722" s="231"/>
      <c r="AP5722" s="231"/>
      <c r="AQ5722" s="227"/>
      <c r="AR5722" s="231"/>
      <c r="AS5722" s="227"/>
      <c r="AT5722" s="227"/>
      <c r="AU5722" s="227"/>
      <c r="AV5722" s="227"/>
      <c r="AW5722" s="227"/>
      <c r="AX5722" s="227"/>
      <c r="AY5722" s="227"/>
      <c r="AZ5722" s="227"/>
      <c r="BA5722" s="227"/>
      <c r="BB5722" s="227"/>
      <c r="BC5722" s="227"/>
      <c r="BD5722" s="227"/>
      <c r="BE5722" s="227"/>
      <c r="BF5722" s="227"/>
    </row>
    <row r="5723">
      <c r="A5723" s="227"/>
      <c r="B5723" s="348"/>
      <c r="C5723" s="227"/>
      <c r="D5723" s="227"/>
      <c r="E5723" s="231"/>
      <c r="F5723" s="348"/>
      <c r="G5723" s="227"/>
      <c r="H5723" s="227"/>
      <c r="I5723" s="227"/>
      <c r="J5723" s="227"/>
      <c r="K5723" s="227"/>
      <c r="L5723" s="348"/>
      <c r="M5723" s="348"/>
      <c r="N5723" s="227"/>
      <c r="O5723" s="227"/>
      <c r="P5723" s="231"/>
      <c r="Q5723" s="231"/>
      <c r="R5723" s="227"/>
      <c r="S5723" s="231"/>
      <c r="T5723" s="231"/>
      <c r="U5723" s="231"/>
      <c r="V5723" s="231"/>
      <c r="W5723" s="231"/>
      <c r="X5723" s="227"/>
      <c r="Y5723" s="348"/>
      <c r="Z5723" s="348"/>
      <c r="AA5723" s="348"/>
      <c r="AB5723" s="348"/>
      <c r="AC5723" s="227"/>
      <c r="AD5723" s="227"/>
      <c r="AE5723" s="231"/>
      <c r="AF5723" s="227"/>
      <c r="AG5723" s="348"/>
      <c r="AH5723" s="348"/>
      <c r="AI5723" s="348"/>
      <c r="AJ5723" s="348"/>
      <c r="AK5723" s="348"/>
      <c r="AL5723" s="348"/>
      <c r="AM5723" s="348"/>
      <c r="AN5723" s="348"/>
      <c r="AO5723" s="231"/>
      <c r="AP5723" s="231"/>
      <c r="AQ5723" s="227"/>
      <c r="AR5723" s="231"/>
      <c r="AS5723" s="227"/>
      <c r="AT5723" s="227"/>
      <c r="AU5723" s="227"/>
      <c r="AV5723" s="227"/>
      <c r="AW5723" s="227"/>
      <c r="AX5723" s="227"/>
      <c r="AY5723" s="227"/>
      <c r="AZ5723" s="227"/>
      <c r="BA5723" s="227"/>
      <c r="BB5723" s="227"/>
      <c r="BC5723" s="227"/>
      <c r="BD5723" s="227"/>
      <c r="BE5723" s="227"/>
      <c r="BF5723" s="227"/>
    </row>
    <row r="5724">
      <c r="A5724" s="227"/>
      <c r="B5724" s="348"/>
      <c r="C5724" s="227"/>
      <c r="D5724" s="227"/>
      <c r="E5724" s="231"/>
      <c r="F5724" s="348"/>
      <c r="G5724" s="227"/>
      <c r="H5724" s="227"/>
      <c r="I5724" s="227"/>
      <c r="J5724" s="227"/>
      <c r="K5724" s="227"/>
      <c r="L5724" s="348"/>
      <c r="M5724" s="348"/>
      <c r="N5724" s="227"/>
      <c r="O5724" s="227"/>
      <c r="P5724" s="231"/>
      <c r="Q5724" s="231"/>
      <c r="R5724" s="227"/>
      <c r="S5724" s="231"/>
      <c r="T5724" s="231"/>
      <c r="U5724" s="231"/>
      <c r="V5724" s="231"/>
      <c r="W5724" s="231"/>
      <c r="X5724" s="227"/>
      <c r="Y5724" s="348"/>
      <c r="Z5724" s="348"/>
      <c r="AA5724" s="348"/>
      <c r="AB5724" s="348"/>
      <c r="AC5724" s="227"/>
      <c r="AD5724" s="227"/>
      <c r="AE5724" s="231"/>
      <c r="AF5724" s="227"/>
      <c r="AG5724" s="348"/>
      <c r="AH5724" s="348"/>
      <c r="AI5724" s="348"/>
      <c r="AJ5724" s="348"/>
      <c r="AK5724" s="348"/>
      <c r="AL5724" s="348"/>
      <c r="AM5724" s="348"/>
      <c r="AN5724" s="348"/>
      <c r="AO5724" s="231"/>
      <c r="AP5724" s="231"/>
      <c r="AQ5724" s="227"/>
      <c r="AR5724" s="231"/>
      <c r="AS5724" s="227"/>
      <c r="AT5724" s="227"/>
      <c r="AU5724" s="227"/>
      <c r="AV5724" s="227"/>
      <c r="AW5724" s="227"/>
      <c r="AX5724" s="227"/>
      <c r="AY5724" s="227"/>
      <c r="AZ5724" s="227"/>
      <c r="BA5724" s="227"/>
      <c r="BB5724" s="227"/>
      <c r="BC5724" s="227"/>
      <c r="BD5724" s="227"/>
      <c r="BE5724" s="227"/>
      <c r="BF5724" s="227"/>
    </row>
    <row r="5725">
      <c r="A5725" s="227"/>
      <c r="B5725" s="348"/>
      <c r="C5725" s="227"/>
      <c r="D5725" s="227"/>
      <c r="E5725" s="231"/>
      <c r="F5725" s="348"/>
      <c r="G5725" s="227"/>
      <c r="H5725" s="227"/>
      <c r="I5725" s="227"/>
      <c r="J5725" s="227"/>
      <c r="K5725" s="227"/>
      <c r="L5725" s="348"/>
      <c r="M5725" s="348"/>
      <c r="N5725" s="227"/>
      <c r="O5725" s="227"/>
      <c r="P5725" s="231"/>
      <c r="Q5725" s="231"/>
      <c r="R5725" s="227"/>
      <c r="S5725" s="231"/>
      <c r="T5725" s="231"/>
      <c r="U5725" s="231"/>
      <c r="V5725" s="231"/>
      <c r="W5725" s="231"/>
      <c r="X5725" s="227"/>
      <c r="Y5725" s="348"/>
      <c r="Z5725" s="348"/>
      <c r="AA5725" s="348"/>
      <c r="AB5725" s="348"/>
      <c r="AC5725" s="227"/>
      <c r="AD5725" s="227"/>
      <c r="AE5725" s="231"/>
      <c r="AF5725" s="227"/>
      <c r="AG5725" s="348"/>
      <c r="AH5725" s="348"/>
      <c r="AI5725" s="348"/>
      <c r="AJ5725" s="348"/>
      <c r="AK5725" s="348"/>
      <c r="AL5725" s="348"/>
      <c r="AM5725" s="348"/>
      <c r="AN5725" s="348"/>
      <c r="AO5725" s="231"/>
      <c r="AP5725" s="231"/>
      <c r="AQ5725" s="227"/>
      <c r="AR5725" s="231"/>
      <c r="AS5725" s="227"/>
      <c r="AT5725" s="227"/>
      <c r="AU5725" s="227"/>
      <c r="AV5725" s="227"/>
      <c r="AW5725" s="227"/>
      <c r="AX5725" s="227"/>
      <c r="AY5725" s="227"/>
      <c r="AZ5725" s="227"/>
      <c r="BA5725" s="227"/>
      <c r="BB5725" s="227"/>
      <c r="BC5725" s="227"/>
      <c r="BD5725" s="227"/>
      <c r="BE5725" s="227"/>
      <c r="BF5725" s="227"/>
    </row>
    <row r="5726">
      <c r="A5726" s="227"/>
      <c r="B5726" s="348"/>
      <c r="C5726" s="227"/>
      <c r="D5726" s="227"/>
      <c r="E5726" s="231"/>
      <c r="F5726" s="348"/>
      <c r="G5726" s="227"/>
      <c r="H5726" s="227"/>
      <c r="I5726" s="227"/>
      <c r="J5726" s="227"/>
      <c r="K5726" s="227"/>
      <c r="L5726" s="348"/>
      <c r="M5726" s="348"/>
      <c r="N5726" s="227"/>
      <c r="O5726" s="227"/>
      <c r="P5726" s="231"/>
      <c r="Q5726" s="231"/>
      <c r="R5726" s="227"/>
      <c r="S5726" s="231"/>
      <c r="T5726" s="231"/>
      <c r="U5726" s="231"/>
      <c r="V5726" s="231"/>
      <c r="W5726" s="231"/>
      <c r="X5726" s="227"/>
      <c r="Y5726" s="348"/>
      <c r="Z5726" s="348"/>
      <c r="AA5726" s="348"/>
      <c r="AB5726" s="348"/>
      <c r="AC5726" s="227"/>
      <c r="AD5726" s="227"/>
      <c r="AE5726" s="231"/>
      <c r="AF5726" s="227"/>
      <c r="AG5726" s="348"/>
      <c r="AH5726" s="348"/>
      <c r="AI5726" s="348"/>
      <c r="AJ5726" s="348"/>
      <c r="AK5726" s="348"/>
      <c r="AL5726" s="348"/>
      <c r="AM5726" s="348"/>
      <c r="AN5726" s="348"/>
      <c r="AO5726" s="231"/>
      <c r="AP5726" s="231"/>
      <c r="AQ5726" s="227"/>
      <c r="AR5726" s="231"/>
      <c r="AS5726" s="227"/>
      <c r="AT5726" s="227"/>
      <c r="AU5726" s="227"/>
      <c r="AV5726" s="227"/>
      <c r="AW5726" s="227"/>
      <c r="AX5726" s="227"/>
      <c r="AY5726" s="227"/>
      <c r="AZ5726" s="227"/>
      <c r="BA5726" s="227"/>
      <c r="BB5726" s="227"/>
      <c r="BC5726" s="227"/>
      <c r="BD5726" s="227"/>
      <c r="BE5726" s="227"/>
      <c r="BF5726" s="227"/>
    </row>
    <row r="5727">
      <c r="A5727" s="227"/>
      <c r="B5727" s="348"/>
      <c r="C5727" s="227"/>
      <c r="D5727" s="227"/>
      <c r="E5727" s="231"/>
      <c r="F5727" s="348"/>
      <c r="G5727" s="227"/>
      <c r="H5727" s="227"/>
      <c r="I5727" s="227"/>
      <c r="J5727" s="227"/>
      <c r="K5727" s="227"/>
      <c r="L5727" s="348"/>
      <c r="M5727" s="348"/>
      <c r="N5727" s="227"/>
      <c r="O5727" s="227"/>
      <c r="P5727" s="231"/>
      <c r="Q5727" s="231"/>
      <c r="R5727" s="227"/>
      <c r="S5727" s="231"/>
      <c r="T5727" s="231"/>
      <c r="U5727" s="231"/>
      <c r="V5727" s="231"/>
      <c r="W5727" s="231"/>
      <c r="X5727" s="227"/>
      <c r="Y5727" s="348"/>
      <c r="Z5727" s="348"/>
      <c r="AA5727" s="348"/>
      <c r="AB5727" s="348"/>
      <c r="AC5727" s="227"/>
      <c r="AD5727" s="227"/>
      <c r="AE5727" s="231"/>
      <c r="AF5727" s="227"/>
      <c r="AG5727" s="348"/>
      <c r="AH5727" s="348"/>
      <c r="AI5727" s="348"/>
      <c r="AJ5727" s="348"/>
      <c r="AK5727" s="348"/>
      <c r="AL5727" s="348"/>
      <c r="AM5727" s="348"/>
      <c r="AN5727" s="348"/>
      <c r="AO5727" s="231"/>
      <c r="AP5727" s="231"/>
      <c r="AQ5727" s="227"/>
      <c r="AR5727" s="231"/>
      <c r="AS5727" s="227"/>
      <c r="AT5727" s="227"/>
      <c r="AU5727" s="227"/>
      <c r="AV5727" s="227"/>
      <c r="AW5727" s="227"/>
      <c r="AX5727" s="227"/>
      <c r="AY5727" s="227"/>
      <c r="AZ5727" s="227"/>
      <c r="BA5727" s="227"/>
      <c r="BB5727" s="227"/>
      <c r="BC5727" s="227"/>
      <c r="BD5727" s="227"/>
      <c r="BE5727" s="227"/>
      <c r="BF5727" s="227"/>
    </row>
    <row r="5728">
      <c r="A5728" s="227"/>
      <c r="B5728" s="348"/>
      <c r="C5728" s="227"/>
      <c r="D5728" s="227"/>
      <c r="E5728" s="231"/>
      <c r="F5728" s="348"/>
      <c r="G5728" s="227"/>
      <c r="H5728" s="227"/>
      <c r="I5728" s="227"/>
      <c r="J5728" s="227"/>
      <c r="K5728" s="227"/>
      <c r="L5728" s="348"/>
      <c r="M5728" s="348"/>
      <c r="N5728" s="227"/>
      <c r="O5728" s="227"/>
      <c r="P5728" s="231"/>
      <c r="Q5728" s="231"/>
      <c r="R5728" s="227"/>
      <c r="S5728" s="231"/>
      <c r="T5728" s="231"/>
      <c r="U5728" s="231"/>
      <c r="V5728" s="231"/>
      <c r="W5728" s="231"/>
      <c r="X5728" s="227"/>
      <c r="Y5728" s="348"/>
      <c r="Z5728" s="348"/>
      <c r="AA5728" s="348"/>
      <c r="AB5728" s="348"/>
      <c r="AC5728" s="227"/>
      <c r="AD5728" s="227"/>
      <c r="AE5728" s="231"/>
      <c r="AF5728" s="227"/>
      <c r="AG5728" s="348"/>
      <c r="AH5728" s="348"/>
      <c r="AI5728" s="348"/>
      <c r="AJ5728" s="348"/>
      <c r="AK5728" s="348"/>
      <c r="AL5728" s="348"/>
      <c r="AM5728" s="348"/>
      <c r="AN5728" s="348"/>
      <c r="AO5728" s="231"/>
      <c r="AP5728" s="231"/>
      <c r="AQ5728" s="227"/>
      <c r="AR5728" s="231"/>
      <c r="AS5728" s="227"/>
      <c r="AT5728" s="227"/>
      <c r="AU5728" s="227"/>
      <c r="AV5728" s="227"/>
      <c r="AW5728" s="227"/>
      <c r="AX5728" s="227"/>
      <c r="AY5728" s="227"/>
      <c r="AZ5728" s="227"/>
      <c r="BA5728" s="227"/>
      <c r="BB5728" s="227"/>
      <c r="BC5728" s="227"/>
      <c r="BD5728" s="227"/>
      <c r="BE5728" s="227"/>
      <c r="BF5728" s="227"/>
    </row>
    <row r="5729">
      <c r="A5729" s="227"/>
      <c r="B5729" s="348"/>
      <c r="C5729" s="227"/>
      <c r="D5729" s="227"/>
      <c r="E5729" s="231"/>
      <c r="F5729" s="348"/>
      <c r="G5729" s="227"/>
      <c r="H5729" s="227"/>
      <c r="I5729" s="227"/>
      <c r="J5729" s="227"/>
      <c r="K5729" s="227"/>
      <c r="L5729" s="348"/>
      <c r="M5729" s="348"/>
      <c r="N5729" s="227"/>
      <c r="O5729" s="227"/>
      <c r="P5729" s="231"/>
      <c r="Q5729" s="231"/>
      <c r="R5729" s="227"/>
      <c r="S5729" s="231"/>
      <c r="T5729" s="231"/>
      <c r="U5729" s="231"/>
      <c r="V5729" s="231"/>
      <c r="W5729" s="231"/>
      <c r="X5729" s="227"/>
      <c r="Y5729" s="348"/>
      <c r="Z5729" s="348"/>
      <c r="AA5729" s="348"/>
      <c r="AB5729" s="348"/>
      <c r="AC5729" s="227"/>
      <c r="AD5729" s="227"/>
      <c r="AE5729" s="231"/>
      <c r="AF5729" s="227"/>
      <c r="AG5729" s="348"/>
      <c r="AH5729" s="348"/>
      <c r="AI5729" s="348"/>
      <c r="AJ5729" s="348"/>
      <c r="AK5729" s="348"/>
      <c r="AL5729" s="348"/>
      <c r="AM5729" s="348"/>
      <c r="AN5729" s="348"/>
      <c r="AO5729" s="231"/>
      <c r="AP5729" s="231"/>
      <c r="AQ5729" s="227"/>
      <c r="AR5729" s="231"/>
      <c r="AS5729" s="227"/>
      <c r="AT5729" s="227"/>
      <c r="AU5729" s="227"/>
      <c r="AV5729" s="227"/>
      <c r="AW5729" s="227"/>
      <c r="AX5729" s="227"/>
      <c r="AY5729" s="227"/>
      <c r="AZ5729" s="227"/>
      <c r="BA5729" s="227"/>
      <c r="BB5729" s="227"/>
      <c r="BC5729" s="227"/>
      <c r="BD5729" s="227"/>
      <c r="BE5729" s="227"/>
      <c r="BF5729" s="227"/>
    </row>
    <row r="5730">
      <c r="A5730" s="227"/>
      <c r="B5730" s="348"/>
      <c r="C5730" s="227"/>
      <c r="D5730" s="227"/>
      <c r="E5730" s="231"/>
      <c r="F5730" s="348"/>
      <c r="G5730" s="227"/>
      <c r="H5730" s="227"/>
      <c r="I5730" s="227"/>
      <c r="J5730" s="227"/>
      <c r="K5730" s="227"/>
      <c r="L5730" s="348"/>
      <c r="M5730" s="348"/>
      <c r="N5730" s="227"/>
      <c r="O5730" s="227"/>
      <c r="P5730" s="231"/>
      <c r="Q5730" s="231"/>
      <c r="R5730" s="227"/>
      <c r="S5730" s="231"/>
      <c r="T5730" s="231"/>
      <c r="U5730" s="231"/>
      <c r="V5730" s="231"/>
      <c r="W5730" s="231"/>
      <c r="X5730" s="227"/>
      <c r="Y5730" s="348"/>
      <c r="Z5730" s="348"/>
      <c r="AA5730" s="348"/>
      <c r="AB5730" s="348"/>
      <c r="AC5730" s="227"/>
      <c r="AD5730" s="227"/>
      <c r="AE5730" s="231"/>
      <c r="AF5730" s="227"/>
      <c r="AG5730" s="348"/>
      <c r="AH5730" s="348"/>
      <c r="AI5730" s="348"/>
      <c r="AJ5730" s="348"/>
      <c r="AK5730" s="348"/>
      <c r="AL5730" s="348"/>
      <c r="AM5730" s="348"/>
      <c r="AN5730" s="348"/>
      <c r="AO5730" s="231"/>
      <c r="AP5730" s="231"/>
      <c r="AQ5730" s="227"/>
      <c r="AR5730" s="231"/>
      <c r="AS5730" s="227"/>
      <c r="AT5730" s="227"/>
      <c r="AU5730" s="227"/>
      <c r="AV5730" s="227"/>
      <c r="AW5730" s="227"/>
      <c r="AX5730" s="227"/>
      <c r="AY5730" s="227"/>
      <c r="AZ5730" s="227"/>
      <c r="BA5730" s="227"/>
      <c r="BB5730" s="227"/>
      <c r="BC5730" s="227"/>
      <c r="BD5730" s="227"/>
      <c r="BE5730" s="227"/>
      <c r="BF5730" s="227"/>
    </row>
    <row r="5731">
      <c r="A5731" s="227"/>
      <c r="B5731" s="348"/>
      <c r="C5731" s="227"/>
      <c r="D5731" s="227"/>
      <c r="E5731" s="231"/>
      <c r="F5731" s="348"/>
      <c r="G5731" s="227"/>
      <c r="H5731" s="227"/>
      <c r="I5731" s="227"/>
      <c r="J5731" s="227"/>
      <c r="K5731" s="227"/>
      <c r="L5731" s="348"/>
      <c r="M5731" s="348"/>
      <c r="N5731" s="227"/>
      <c r="O5731" s="227"/>
      <c r="P5731" s="231"/>
      <c r="Q5731" s="231"/>
      <c r="R5731" s="227"/>
      <c r="S5731" s="231"/>
      <c r="T5731" s="231"/>
      <c r="U5731" s="231"/>
      <c r="V5731" s="231"/>
      <c r="W5731" s="231"/>
      <c r="X5731" s="227"/>
      <c r="Y5731" s="348"/>
      <c r="Z5731" s="348"/>
      <c r="AA5731" s="348"/>
      <c r="AB5731" s="348"/>
      <c r="AC5731" s="227"/>
      <c r="AD5731" s="227"/>
      <c r="AE5731" s="231"/>
      <c r="AF5731" s="227"/>
      <c r="AG5731" s="348"/>
      <c r="AH5731" s="348"/>
      <c r="AI5731" s="348"/>
      <c r="AJ5731" s="348"/>
      <c r="AK5731" s="348"/>
      <c r="AL5731" s="348"/>
      <c r="AM5731" s="348"/>
      <c r="AN5731" s="348"/>
      <c r="AO5731" s="231"/>
      <c r="AP5731" s="231"/>
      <c r="AQ5731" s="227"/>
      <c r="AR5731" s="231"/>
      <c r="AS5731" s="227"/>
      <c r="AT5731" s="227"/>
      <c r="AU5731" s="227"/>
      <c r="AV5731" s="227"/>
      <c r="AW5731" s="227"/>
      <c r="AX5731" s="227"/>
      <c r="AY5731" s="227"/>
      <c r="AZ5731" s="227"/>
      <c r="BA5731" s="227"/>
      <c r="BB5731" s="227"/>
      <c r="BC5731" s="227"/>
      <c r="BD5731" s="227"/>
      <c r="BE5731" s="227"/>
      <c r="BF5731" s="227"/>
    </row>
    <row r="5732">
      <c r="A5732" s="227"/>
      <c r="B5732" s="348"/>
      <c r="C5732" s="227"/>
      <c r="D5732" s="227"/>
      <c r="E5732" s="231"/>
      <c r="F5732" s="348"/>
      <c r="G5732" s="227"/>
      <c r="H5732" s="227"/>
      <c r="I5732" s="227"/>
      <c r="J5732" s="227"/>
      <c r="K5732" s="227"/>
      <c r="L5732" s="348"/>
      <c r="M5732" s="348"/>
      <c r="N5732" s="227"/>
      <c r="O5732" s="227"/>
      <c r="P5732" s="231"/>
      <c r="Q5732" s="231"/>
      <c r="R5732" s="227"/>
      <c r="S5732" s="231"/>
      <c r="T5732" s="231"/>
      <c r="U5732" s="231"/>
      <c r="V5732" s="231"/>
      <c r="W5732" s="231"/>
      <c r="X5732" s="227"/>
      <c r="Y5732" s="348"/>
      <c r="Z5732" s="348"/>
      <c r="AA5732" s="348"/>
      <c r="AB5732" s="348"/>
      <c r="AC5732" s="227"/>
      <c r="AD5732" s="227"/>
      <c r="AE5732" s="231"/>
      <c r="AF5732" s="227"/>
      <c r="AG5732" s="348"/>
      <c r="AH5732" s="348"/>
      <c r="AI5732" s="348"/>
      <c r="AJ5732" s="348"/>
      <c r="AK5732" s="348"/>
      <c r="AL5732" s="348"/>
      <c r="AM5732" s="348"/>
      <c r="AN5732" s="348"/>
      <c r="AO5732" s="231"/>
      <c r="AP5732" s="231"/>
      <c r="AQ5732" s="227"/>
      <c r="AR5732" s="231"/>
      <c r="AS5732" s="227"/>
      <c r="AT5732" s="227"/>
      <c r="AU5732" s="227"/>
      <c r="AV5732" s="227"/>
      <c r="AW5732" s="227"/>
      <c r="AX5732" s="227"/>
      <c r="AY5732" s="227"/>
      <c r="AZ5732" s="227"/>
      <c r="BA5732" s="227"/>
      <c r="BB5732" s="227"/>
      <c r="BC5732" s="227"/>
      <c r="BD5732" s="227"/>
      <c r="BE5732" s="227"/>
      <c r="BF5732" s="227"/>
    </row>
    <row r="5733">
      <c r="A5733" s="227"/>
      <c r="B5733" s="348"/>
      <c r="C5733" s="227"/>
      <c r="D5733" s="227"/>
      <c r="E5733" s="231"/>
      <c r="F5733" s="348"/>
      <c r="G5733" s="227"/>
      <c r="H5733" s="227"/>
      <c r="I5733" s="227"/>
      <c r="J5733" s="227"/>
      <c r="K5733" s="227"/>
      <c r="L5733" s="348"/>
      <c r="M5733" s="348"/>
      <c r="N5733" s="227"/>
      <c r="O5733" s="227"/>
      <c r="P5733" s="231"/>
      <c r="Q5733" s="231"/>
      <c r="R5733" s="227"/>
      <c r="S5733" s="231"/>
      <c r="T5733" s="231"/>
      <c r="U5733" s="231"/>
      <c r="V5733" s="231"/>
      <c r="W5733" s="231"/>
      <c r="X5733" s="227"/>
      <c r="Y5733" s="348"/>
      <c r="Z5733" s="348"/>
      <c r="AA5733" s="348"/>
      <c r="AB5733" s="348"/>
      <c r="AC5733" s="227"/>
      <c r="AD5733" s="227"/>
      <c r="AE5733" s="231"/>
      <c r="AF5733" s="227"/>
      <c r="AG5733" s="348"/>
      <c r="AH5733" s="348"/>
      <c r="AI5733" s="348"/>
      <c r="AJ5733" s="348"/>
      <c r="AK5733" s="348"/>
      <c r="AL5733" s="348"/>
      <c r="AM5733" s="348"/>
      <c r="AN5733" s="348"/>
      <c r="AO5733" s="231"/>
      <c r="AP5733" s="231"/>
      <c r="AQ5733" s="227"/>
      <c r="AR5733" s="227"/>
      <c r="AS5733" s="227"/>
      <c r="AT5733" s="227"/>
      <c r="AU5733" s="227"/>
      <c r="AV5733" s="227"/>
      <c r="AW5733" s="227"/>
      <c r="AX5733" s="227"/>
      <c r="AY5733" s="227"/>
      <c r="AZ5733" s="227"/>
      <c r="BA5733" s="227"/>
      <c r="BB5733" s="227"/>
      <c r="BC5733" s="227"/>
      <c r="BD5733" s="227"/>
      <c r="BE5733" s="227"/>
      <c r="BF5733" s="227"/>
    </row>
    <row r="5734">
      <c r="A5734" s="227"/>
      <c r="B5734" s="348"/>
      <c r="C5734" s="227"/>
      <c r="D5734" s="227"/>
      <c r="E5734" s="231"/>
      <c r="F5734" s="348"/>
      <c r="G5734" s="227"/>
      <c r="H5734" s="227"/>
      <c r="I5734" s="227"/>
      <c r="J5734" s="227"/>
      <c r="K5734" s="227"/>
      <c r="L5734" s="348"/>
      <c r="M5734" s="348"/>
      <c r="N5734" s="227"/>
      <c r="O5734" s="227"/>
      <c r="P5734" s="231"/>
      <c r="Q5734" s="231"/>
      <c r="R5734" s="227"/>
      <c r="S5734" s="231"/>
      <c r="T5734" s="231"/>
      <c r="U5734" s="231"/>
      <c r="V5734" s="231"/>
      <c r="W5734" s="231"/>
      <c r="X5734" s="227"/>
      <c r="Y5734" s="348"/>
      <c r="Z5734" s="348"/>
      <c r="AA5734" s="348"/>
      <c r="AB5734" s="348"/>
      <c r="AC5734" s="227"/>
      <c r="AD5734" s="227"/>
      <c r="AE5734" s="231"/>
      <c r="AF5734" s="227"/>
      <c r="AG5734" s="348"/>
      <c r="AH5734" s="348"/>
      <c r="AI5734" s="348"/>
      <c r="AJ5734" s="348"/>
      <c r="AK5734" s="348"/>
      <c r="AL5734" s="348"/>
      <c r="AM5734" s="348"/>
      <c r="AN5734" s="348"/>
      <c r="AO5734" s="231"/>
      <c r="AP5734" s="231"/>
      <c r="AQ5734" s="227"/>
      <c r="AR5734" s="231"/>
      <c r="AS5734" s="227"/>
      <c r="AT5734" s="227"/>
      <c r="AU5734" s="227"/>
      <c r="AV5734" s="227"/>
      <c r="AW5734" s="227"/>
      <c r="AX5734" s="227"/>
      <c r="AY5734" s="227"/>
      <c r="AZ5734" s="227"/>
      <c r="BA5734" s="227"/>
      <c r="BB5734" s="227"/>
      <c r="BC5734" s="227"/>
      <c r="BD5734" s="227"/>
      <c r="BE5734" s="227"/>
      <c r="BF5734" s="227"/>
    </row>
    <row r="5735">
      <c r="A5735" s="227"/>
      <c r="B5735" s="348"/>
      <c r="C5735" s="227"/>
      <c r="D5735" s="227"/>
      <c r="E5735" s="231"/>
      <c r="F5735" s="348"/>
      <c r="G5735" s="227"/>
      <c r="H5735" s="227"/>
      <c r="I5735" s="227"/>
      <c r="J5735" s="227"/>
      <c r="K5735" s="227"/>
      <c r="L5735" s="348"/>
      <c r="M5735" s="348"/>
      <c r="N5735" s="227"/>
      <c r="O5735" s="227"/>
      <c r="P5735" s="231"/>
      <c r="Q5735" s="231"/>
      <c r="R5735" s="227"/>
      <c r="S5735" s="231"/>
      <c r="T5735" s="231"/>
      <c r="U5735" s="231"/>
      <c r="V5735" s="231"/>
      <c r="W5735" s="231"/>
      <c r="X5735" s="227"/>
      <c r="Y5735" s="348"/>
      <c r="Z5735" s="348"/>
      <c r="AA5735" s="348"/>
      <c r="AB5735" s="348"/>
      <c r="AC5735" s="227"/>
      <c r="AD5735" s="227"/>
      <c r="AE5735" s="231"/>
      <c r="AF5735" s="227"/>
      <c r="AG5735" s="348"/>
      <c r="AH5735" s="348"/>
      <c r="AI5735" s="348"/>
      <c r="AJ5735" s="348"/>
      <c r="AK5735" s="348"/>
      <c r="AL5735" s="348"/>
      <c r="AM5735" s="348"/>
      <c r="AN5735" s="348"/>
      <c r="AO5735" s="231"/>
      <c r="AP5735" s="231"/>
      <c r="AQ5735" s="227"/>
      <c r="AR5735" s="231"/>
      <c r="AS5735" s="227"/>
      <c r="AT5735" s="227"/>
      <c r="AU5735" s="227"/>
      <c r="AV5735" s="227"/>
      <c r="AW5735" s="227"/>
      <c r="AX5735" s="227"/>
      <c r="AY5735" s="227"/>
      <c r="AZ5735" s="227"/>
      <c r="BA5735" s="227"/>
      <c r="BB5735" s="227"/>
      <c r="BC5735" s="227"/>
      <c r="BD5735" s="227"/>
      <c r="BE5735" s="227"/>
      <c r="BF5735" s="227"/>
    </row>
    <row r="5736">
      <c r="A5736" s="227"/>
      <c r="B5736" s="348"/>
      <c r="C5736" s="227"/>
      <c r="D5736" s="227"/>
      <c r="E5736" s="231"/>
      <c r="F5736" s="348"/>
      <c r="G5736" s="227"/>
      <c r="H5736" s="227"/>
      <c r="I5736" s="227"/>
      <c r="J5736" s="227"/>
      <c r="K5736" s="227"/>
      <c r="L5736" s="348"/>
      <c r="M5736" s="348"/>
      <c r="N5736" s="227"/>
      <c r="O5736" s="227"/>
      <c r="P5736" s="231"/>
      <c r="Q5736" s="231"/>
      <c r="R5736" s="227"/>
      <c r="S5736" s="231"/>
      <c r="T5736" s="231"/>
      <c r="U5736" s="231"/>
      <c r="V5736" s="231"/>
      <c r="W5736" s="231"/>
      <c r="X5736" s="227"/>
      <c r="Y5736" s="348"/>
      <c r="Z5736" s="348"/>
      <c r="AA5736" s="348"/>
      <c r="AB5736" s="348"/>
      <c r="AC5736" s="227"/>
      <c r="AD5736" s="227"/>
      <c r="AE5736" s="231"/>
      <c r="AF5736" s="227"/>
      <c r="AG5736" s="348"/>
      <c r="AH5736" s="348"/>
      <c r="AI5736" s="348"/>
      <c r="AJ5736" s="348"/>
      <c r="AK5736" s="348"/>
      <c r="AL5736" s="348"/>
      <c r="AM5736" s="348"/>
      <c r="AN5736" s="348"/>
      <c r="AO5736" s="231"/>
      <c r="AP5736" s="231"/>
      <c r="AQ5736" s="227"/>
      <c r="AR5736" s="231"/>
      <c r="AS5736" s="227"/>
      <c r="AT5736" s="227"/>
      <c r="AU5736" s="227"/>
      <c r="AV5736" s="227"/>
      <c r="AW5736" s="227"/>
      <c r="AX5736" s="227"/>
      <c r="AY5736" s="227"/>
      <c r="AZ5736" s="227"/>
      <c r="BA5736" s="227"/>
      <c r="BB5736" s="227"/>
      <c r="BC5736" s="227"/>
      <c r="BD5736" s="227"/>
      <c r="BE5736" s="227"/>
      <c r="BF5736" s="227"/>
    </row>
    <row r="5737">
      <c r="A5737" s="227"/>
      <c r="B5737" s="348"/>
      <c r="C5737" s="227"/>
      <c r="D5737" s="227"/>
      <c r="E5737" s="231"/>
      <c r="F5737" s="348"/>
      <c r="G5737" s="227"/>
      <c r="H5737" s="227"/>
      <c r="I5737" s="227"/>
      <c r="J5737" s="227"/>
      <c r="K5737" s="227"/>
      <c r="L5737" s="348"/>
      <c r="M5737" s="348"/>
      <c r="N5737" s="227"/>
      <c r="O5737" s="227"/>
      <c r="P5737" s="231"/>
      <c r="Q5737" s="231"/>
      <c r="R5737" s="227"/>
      <c r="S5737" s="231"/>
      <c r="T5737" s="231"/>
      <c r="U5737" s="231"/>
      <c r="V5737" s="231"/>
      <c r="W5737" s="231"/>
      <c r="X5737" s="227"/>
      <c r="Y5737" s="348"/>
      <c r="Z5737" s="348"/>
      <c r="AA5737" s="348"/>
      <c r="AB5737" s="348"/>
      <c r="AC5737" s="227"/>
      <c r="AD5737" s="227"/>
      <c r="AE5737" s="231"/>
      <c r="AF5737" s="227"/>
      <c r="AG5737" s="348"/>
      <c r="AH5737" s="348"/>
      <c r="AI5737" s="348"/>
      <c r="AJ5737" s="348"/>
      <c r="AK5737" s="348"/>
      <c r="AL5737" s="348"/>
      <c r="AM5737" s="348"/>
      <c r="AN5737" s="348"/>
      <c r="AO5737" s="231"/>
      <c r="AP5737" s="231"/>
      <c r="AQ5737" s="227"/>
      <c r="AR5737" s="231"/>
      <c r="AS5737" s="227"/>
      <c r="AT5737" s="227"/>
      <c r="AU5737" s="227"/>
      <c r="AV5737" s="227"/>
      <c r="AW5737" s="227"/>
      <c r="AX5737" s="227"/>
      <c r="AY5737" s="227"/>
      <c r="AZ5737" s="227"/>
      <c r="BA5737" s="227"/>
      <c r="BB5737" s="227"/>
      <c r="BC5737" s="227"/>
      <c r="BD5737" s="227"/>
      <c r="BE5737" s="227"/>
      <c r="BF5737" s="227"/>
    </row>
    <row r="5738">
      <c r="A5738" s="227"/>
      <c r="B5738" s="348"/>
      <c r="C5738" s="227"/>
      <c r="D5738" s="227"/>
      <c r="E5738" s="231"/>
      <c r="F5738" s="348"/>
      <c r="G5738" s="227"/>
      <c r="H5738" s="227"/>
      <c r="I5738" s="227"/>
      <c r="J5738" s="227"/>
      <c r="K5738" s="227"/>
      <c r="L5738" s="348"/>
      <c r="M5738" s="348"/>
      <c r="N5738" s="227"/>
      <c r="O5738" s="227"/>
      <c r="P5738" s="231"/>
      <c r="Q5738" s="231"/>
      <c r="R5738" s="227"/>
      <c r="S5738" s="231"/>
      <c r="T5738" s="231"/>
      <c r="U5738" s="231"/>
      <c r="V5738" s="231"/>
      <c r="W5738" s="231"/>
      <c r="X5738" s="227"/>
      <c r="Y5738" s="348"/>
      <c r="Z5738" s="348"/>
      <c r="AA5738" s="348"/>
      <c r="AB5738" s="348"/>
      <c r="AC5738" s="227"/>
      <c r="AD5738" s="227"/>
      <c r="AE5738" s="231"/>
      <c r="AF5738" s="227"/>
      <c r="AG5738" s="348"/>
      <c r="AH5738" s="348"/>
      <c r="AI5738" s="348"/>
      <c r="AJ5738" s="348"/>
      <c r="AK5738" s="348"/>
      <c r="AL5738" s="348"/>
      <c r="AM5738" s="348"/>
      <c r="AN5738" s="348"/>
      <c r="AO5738" s="231"/>
      <c r="AP5738" s="231"/>
      <c r="AQ5738" s="227"/>
      <c r="AR5738" s="231"/>
      <c r="AS5738" s="227"/>
      <c r="AT5738" s="227"/>
      <c r="AU5738" s="227"/>
      <c r="AV5738" s="227"/>
      <c r="AW5738" s="227"/>
      <c r="AX5738" s="227"/>
      <c r="AY5738" s="227"/>
      <c r="AZ5738" s="227"/>
      <c r="BA5738" s="227"/>
      <c r="BB5738" s="227"/>
      <c r="BC5738" s="227"/>
      <c r="BD5738" s="227"/>
      <c r="BE5738" s="227"/>
      <c r="BF5738" s="227"/>
    </row>
    <row r="5739">
      <c r="A5739" s="227"/>
      <c r="B5739" s="348"/>
      <c r="C5739" s="227"/>
      <c r="D5739" s="227"/>
      <c r="E5739" s="231"/>
      <c r="F5739" s="348"/>
      <c r="G5739" s="227"/>
      <c r="H5739" s="227"/>
      <c r="I5739" s="227"/>
      <c r="J5739" s="227"/>
      <c r="K5739" s="227"/>
      <c r="L5739" s="348"/>
      <c r="M5739" s="348"/>
      <c r="N5739" s="227"/>
      <c r="O5739" s="227"/>
      <c r="P5739" s="231"/>
      <c r="Q5739" s="231"/>
      <c r="R5739" s="227"/>
      <c r="S5739" s="231"/>
      <c r="T5739" s="231"/>
      <c r="U5739" s="231"/>
      <c r="V5739" s="231"/>
      <c r="W5739" s="231"/>
      <c r="X5739" s="227"/>
      <c r="Y5739" s="348"/>
      <c r="Z5739" s="348"/>
      <c r="AA5739" s="348"/>
      <c r="AB5739" s="348"/>
      <c r="AC5739" s="227"/>
      <c r="AD5739" s="227"/>
      <c r="AE5739" s="231"/>
      <c r="AF5739" s="227"/>
      <c r="AG5739" s="348"/>
      <c r="AH5739" s="348"/>
      <c r="AI5739" s="348"/>
      <c r="AJ5739" s="348"/>
      <c r="AK5739" s="348"/>
      <c r="AL5739" s="348"/>
      <c r="AM5739" s="348"/>
      <c r="AN5739" s="348"/>
      <c r="AO5739" s="231"/>
      <c r="AP5739" s="231"/>
      <c r="AQ5739" s="227"/>
      <c r="AR5739" s="231"/>
      <c r="AS5739" s="227"/>
      <c r="AT5739" s="227"/>
      <c r="AU5739" s="227"/>
      <c r="AV5739" s="227"/>
      <c r="AW5739" s="227"/>
      <c r="AX5739" s="227"/>
      <c r="AY5739" s="227"/>
      <c r="AZ5739" s="227"/>
      <c r="BA5739" s="227"/>
      <c r="BB5739" s="227"/>
      <c r="BC5739" s="227"/>
      <c r="BD5739" s="227"/>
      <c r="BE5739" s="227"/>
      <c r="BF5739" s="227"/>
    </row>
    <row r="5740">
      <c r="A5740" s="227"/>
      <c r="B5740" s="348"/>
      <c r="C5740" s="227"/>
      <c r="D5740" s="227"/>
      <c r="E5740" s="231"/>
      <c r="F5740" s="348"/>
      <c r="G5740" s="227"/>
      <c r="H5740" s="227"/>
      <c r="I5740" s="227"/>
      <c r="J5740" s="227"/>
      <c r="K5740" s="227"/>
      <c r="L5740" s="348"/>
      <c r="M5740" s="348"/>
      <c r="N5740" s="227"/>
      <c r="O5740" s="227"/>
      <c r="P5740" s="231"/>
      <c r="Q5740" s="231"/>
      <c r="R5740" s="227"/>
      <c r="S5740" s="231"/>
      <c r="T5740" s="231"/>
      <c r="U5740" s="231"/>
      <c r="V5740" s="231"/>
      <c r="W5740" s="231"/>
      <c r="X5740" s="227"/>
      <c r="Y5740" s="348"/>
      <c r="Z5740" s="348"/>
      <c r="AA5740" s="348"/>
      <c r="AB5740" s="348"/>
      <c r="AC5740" s="227"/>
      <c r="AD5740" s="227"/>
      <c r="AE5740" s="231"/>
      <c r="AF5740" s="227"/>
      <c r="AG5740" s="348"/>
      <c r="AH5740" s="348"/>
      <c r="AI5740" s="348"/>
      <c r="AJ5740" s="348"/>
      <c r="AK5740" s="348"/>
      <c r="AL5740" s="348"/>
      <c r="AM5740" s="348"/>
      <c r="AN5740" s="348"/>
      <c r="AO5740" s="231"/>
      <c r="AP5740" s="231"/>
      <c r="AQ5740" s="227"/>
      <c r="AR5740" s="231"/>
      <c r="AS5740" s="227"/>
      <c r="AT5740" s="227"/>
      <c r="AU5740" s="227"/>
      <c r="AV5740" s="227"/>
      <c r="AW5740" s="227"/>
      <c r="AX5740" s="227"/>
      <c r="AY5740" s="227"/>
      <c r="AZ5740" s="227"/>
      <c r="BA5740" s="227"/>
      <c r="BB5740" s="227"/>
      <c r="BC5740" s="227"/>
      <c r="BD5740" s="227"/>
      <c r="BE5740" s="227"/>
      <c r="BF5740" s="227"/>
    </row>
    <row r="5741">
      <c r="A5741" s="227"/>
      <c r="B5741" s="348"/>
      <c r="C5741" s="227"/>
      <c r="D5741" s="227"/>
      <c r="E5741" s="231"/>
      <c r="F5741" s="348"/>
      <c r="G5741" s="227"/>
      <c r="H5741" s="227"/>
      <c r="I5741" s="227"/>
      <c r="J5741" s="227"/>
      <c r="K5741" s="227"/>
      <c r="L5741" s="348"/>
      <c r="M5741" s="348"/>
      <c r="N5741" s="227"/>
      <c r="O5741" s="227"/>
      <c r="P5741" s="231"/>
      <c r="Q5741" s="231"/>
      <c r="R5741" s="227"/>
      <c r="S5741" s="231"/>
      <c r="T5741" s="231"/>
      <c r="U5741" s="231"/>
      <c r="V5741" s="231"/>
      <c r="W5741" s="231"/>
      <c r="X5741" s="227"/>
      <c r="Y5741" s="348"/>
      <c r="Z5741" s="348"/>
      <c r="AA5741" s="348"/>
      <c r="AB5741" s="348"/>
      <c r="AC5741" s="227"/>
      <c r="AD5741" s="227"/>
      <c r="AE5741" s="231"/>
      <c r="AF5741" s="227"/>
      <c r="AG5741" s="348"/>
      <c r="AH5741" s="348"/>
      <c r="AI5741" s="348"/>
      <c r="AJ5741" s="348"/>
      <c r="AK5741" s="348"/>
      <c r="AL5741" s="348"/>
      <c r="AM5741" s="348"/>
      <c r="AN5741" s="348"/>
      <c r="AO5741" s="231"/>
      <c r="AP5741" s="231"/>
      <c r="AQ5741" s="227"/>
      <c r="AR5741" s="231"/>
      <c r="AS5741" s="227"/>
      <c r="AT5741" s="227"/>
      <c r="AU5741" s="227"/>
      <c r="AV5741" s="227"/>
      <c r="AW5741" s="227"/>
      <c r="AX5741" s="227"/>
      <c r="AY5741" s="227"/>
      <c r="AZ5741" s="227"/>
      <c r="BA5741" s="227"/>
      <c r="BB5741" s="227"/>
      <c r="BC5741" s="227"/>
      <c r="BD5741" s="227"/>
      <c r="BE5741" s="227"/>
      <c r="BF5741" s="227"/>
    </row>
    <row r="5742">
      <c r="A5742" s="227"/>
      <c r="B5742" s="348"/>
      <c r="C5742" s="227"/>
      <c r="D5742" s="227"/>
      <c r="E5742" s="231"/>
      <c r="F5742" s="348"/>
      <c r="G5742" s="227"/>
      <c r="H5742" s="227"/>
      <c r="I5742" s="227"/>
      <c r="J5742" s="227"/>
      <c r="K5742" s="227"/>
      <c r="L5742" s="348"/>
      <c r="M5742" s="348"/>
      <c r="N5742" s="227"/>
      <c r="O5742" s="227"/>
      <c r="P5742" s="231"/>
      <c r="Q5742" s="231"/>
      <c r="R5742" s="227"/>
      <c r="S5742" s="231"/>
      <c r="T5742" s="231"/>
      <c r="U5742" s="231"/>
      <c r="V5742" s="231"/>
      <c r="W5742" s="231"/>
      <c r="X5742" s="227"/>
      <c r="Y5742" s="348"/>
      <c r="Z5742" s="348"/>
      <c r="AA5742" s="348"/>
      <c r="AB5742" s="348"/>
      <c r="AC5742" s="227"/>
      <c r="AD5742" s="227"/>
      <c r="AE5742" s="231"/>
      <c r="AF5742" s="227"/>
      <c r="AG5742" s="348"/>
      <c r="AH5742" s="348"/>
      <c r="AI5742" s="348"/>
      <c r="AJ5742" s="348"/>
      <c r="AK5742" s="348"/>
      <c r="AL5742" s="348"/>
      <c r="AM5742" s="348"/>
      <c r="AN5742" s="348"/>
      <c r="AO5742" s="231"/>
      <c r="AP5742" s="231"/>
      <c r="AQ5742" s="227"/>
      <c r="AR5742" s="231"/>
      <c r="AS5742" s="227"/>
      <c r="AT5742" s="227"/>
      <c r="AU5742" s="227"/>
      <c r="AV5742" s="227"/>
      <c r="AW5742" s="227"/>
      <c r="AX5742" s="227"/>
      <c r="AY5742" s="227"/>
      <c r="AZ5742" s="227"/>
      <c r="BA5742" s="227"/>
      <c r="BB5742" s="227"/>
      <c r="BC5742" s="227"/>
      <c r="BD5742" s="227"/>
      <c r="BE5742" s="227"/>
      <c r="BF5742" s="227"/>
    </row>
    <row r="5743">
      <c r="A5743" s="227"/>
      <c r="B5743" s="348"/>
      <c r="C5743" s="227"/>
      <c r="D5743" s="227"/>
      <c r="E5743" s="231"/>
      <c r="F5743" s="348"/>
      <c r="G5743" s="227"/>
      <c r="H5743" s="227"/>
      <c r="I5743" s="227"/>
      <c r="J5743" s="227"/>
      <c r="K5743" s="227"/>
      <c r="L5743" s="348"/>
      <c r="M5743" s="348"/>
      <c r="N5743" s="227"/>
      <c r="O5743" s="227"/>
      <c r="P5743" s="231"/>
      <c r="Q5743" s="231"/>
      <c r="R5743" s="227"/>
      <c r="S5743" s="231"/>
      <c r="T5743" s="231"/>
      <c r="U5743" s="231"/>
      <c r="V5743" s="231"/>
      <c r="W5743" s="231"/>
      <c r="X5743" s="227"/>
      <c r="Y5743" s="348"/>
      <c r="Z5743" s="348"/>
      <c r="AA5743" s="348"/>
      <c r="AB5743" s="348"/>
      <c r="AC5743" s="227"/>
      <c r="AD5743" s="227"/>
      <c r="AE5743" s="231"/>
      <c r="AF5743" s="227"/>
      <c r="AG5743" s="348"/>
      <c r="AH5743" s="348"/>
      <c r="AI5743" s="348"/>
      <c r="AJ5743" s="348"/>
      <c r="AK5743" s="348"/>
      <c r="AL5743" s="348"/>
      <c r="AM5743" s="348"/>
      <c r="AN5743" s="348"/>
      <c r="AO5743" s="231"/>
      <c r="AP5743" s="231"/>
      <c r="AQ5743" s="227"/>
      <c r="AR5743" s="231"/>
      <c r="AS5743" s="227"/>
      <c r="AT5743" s="227"/>
      <c r="AU5743" s="227"/>
      <c r="AV5743" s="227"/>
      <c r="AW5743" s="227"/>
      <c r="AX5743" s="227"/>
      <c r="AY5743" s="227"/>
      <c r="AZ5743" s="227"/>
      <c r="BA5743" s="227"/>
      <c r="BB5743" s="227"/>
      <c r="BC5743" s="227"/>
      <c r="BD5743" s="227"/>
      <c r="BE5743" s="227"/>
      <c r="BF5743" s="227"/>
    </row>
    <row r="5744">
      <c r="A5744" s="227"/>
      <c r="B5744" s="348"/>
      <c r="C5744" s="227"/>
      <c r="D5744" s="227"/>
      <c r="E5744" s="231"/>
      <c r="F5744" s="348"/>
      <c r="G5744" s="227"/>
      <c r="H5744" s="227"/>
      <c r="I5744" s="227"/>
      <c r="J5744" s="227"/>
      <c r="K5744" s="227"/>
      <c r="L5744" s="348"/>
      <c r="M5744" s="348"/>
      <c r="N5744" s="227"/>
      <c r="O5744" s="227"/>
      <c r="P5744" s="231"/>
      <c r="Q5744" s="231"/>
      <c r="R5744" s="227"/>
      <c r="S5744" s="231"/>
      <c r="T5744" s="231"/>
      <c r="U5744" s="231"/>
      <c r="V5744" s="231"/>
      <c r="W5744" s="231"/>
      <c r="X5744" s="227"/>
      <c r="Y5744" s="348"/>
      <c r="Z5744" s="348"/>
      <c r="AA5744" s="348"/>
      <c r="AB5744" s="348"/>
      <c r="AC5744" s="227"/>
      <c r="AD5744" s="227"/>
      <c r="AE5744" s="231"/>
      <c r="AF5744" s="227"/>
      <c r="AG5744" s="348"/>
      <c r="AH5744" s="348"/>
      <c r="AI5744" s="348"/>
      <c r="AJ5744" s="348"/>
      <c r="AK5744" s="348"/>
      <c r="AL5744" s="348"/>
      <c r="AM5744" s="348"/>
      <c r="AN5744" s="348"/>
      <c r="AO5744" s="231"/>
      <c r="AP5744" s="231"/>
      <c r="AQ5744" s="227"/>
      <c r="AR5744" s="231"/>
      <c r="AS5744" s="227"/>
      <c r="AT5744" s="227"/>
      <c r="AU5744" s="227"/>
      <c r="AV5744" s="227"/>
      <c r="AW5744" s="227"/>
      <c r="AX5744" s="227"/>
      <c r="AY5744" s="227"/>
      <c r="AZ5744" s="227"/>
      <c r="BA5744" s="227"/>
      <c r="BB5744" s="227"/>
      <c r="BC5744" s="227"/>
      <c r="BD5744" s="227"/>
      <c r="BE5744" s="227"/>
      <c r="BF5744" s="227"/>
    </row>
    <row r="5745">
      <c r="A5745" s="227"/>
      <c r="B5745" s="348"/>
      <c r="C5745" s="227"/>
      <c r="D5745" s="227"/>
      <c r="E5745" s="231"/>
      <c r="F5745" s="348"/>
      <c r="G5745" s="227"/>
      <c r="H5745" s="227"/>
      <c r="I5745" s="227"/>
      <c r="J5745" s="227"/>
      <c r="K5745" s="227"/>
      <c r="L5745" s="348"/>
      <c r="M5745" s="348"/>
      <c r="N5745" s="227"/>
      <c r="O5745" s="227"/>
      <c r="P5745" s="231"/>
      <c r="Q5745" s="231"/>
      <c r="R5745" s="227"/>
      <c r="S5745" s="231"/>
      <c r="T5745" s="231"/>
      <c r="U5745" s="231"/>
      <c r="V5745" s="231"/>
      <c r="W5745" s="231"/>
      <c r="X5745" s="227"/>
      <c r="Y5745" s="348"/>
      <c r="Z5745" s="348"/>
      <c r="AA5745" s="348"/>
      <c r="AB5745" s="348"/>
      <c r="AC5745" s="227"/>
      <c r="AD5745" s="227"/>
      <c r="AE5745" s="231"/>
      <c r="AF5745" s="227"/>
      <c r="AG5745" s="348"/>
      <c r="AH5745" s="348"/>
      <c r="AI5745" s="348"/>
      <c r="AJ5745" s="348"/>
      <c r="AK5745" s="348"/>
      <c r="AL5745" s="348"/>
      <c r="AM5745" s="348"/>
      <c r="AN5745" s="348"/>
      <c r="AO5745" s="231"/>
      <c r="AP5745" s="231"/>
      <c r="AQ5745" s="227"/>
      <c r="AR5745" s="231"/>
      <c r="AS5745" s="227"/>
      <c r="AT5745" s="227"/>
      <c r="AU5745" s="227"/>
      <c r="AV5745" s="227"/>
      <c r="AW5745" s="227"/>
      <c r="AX5745" s="227"/>
      <c r="AY5745" s="227"/>
      <c r="AZ5745" s="227"/>
      <c r="BA5745" s="227"/>
      <c r="BB5745" s="227"/>
      <c r="BC5745" s="227"/>
      <c r="BD5745" s="227"/>
      <c r="BE5745" s="227"/>
      <c r="BF5745" s="227"/>
    </row>
    <row r="5746">
      <c r="A5746" s="227"/>
      <c r="B5746" s="348"/>
      <c r="C5746" s="227"/>
      <c r="D5746" s="227"/>
      <c r="E5746" s="231"/>
      <c r="F5746" s="348"/>
      <c r="G5746" s="227"/>
      <c r="H5746" s="227"/>
      <c r="I5746" s="227"/>
      <c r="J5746" s="227"/>
      <c r="K5746" s="227"/>
      <c r="L5746" s="348"/>
      <c r="M5746" s="348"/>
      <c r="N5746" s="227"/>
      <c r="O5746" s="227"/>
      <c r="P5746" s="231"/>
      <c r="Q5746" s="231"/>
      <c r="R5746" s="227"/>
      <c r="S5746" s="231"/>
      <c r="T5746" s="231"/>
      <c r="U5746" s="231"/>
      <c r="V5746" s="231"/>
      <c r="W5746" s="231"/>
      <c r="X5746" s="227"/>
      <c r="Y5746" s="348"/>
      <c r="Z5746" s="348"/>
      <c r="AA5746" s="348"/>
      <c r="AB5746" s="348"/>
      <c r="AC5746" s="227"/>
      <c r="AD5746" s="227"/>
      <c r="AE5746" s="231"/>
      <c r="AF5746" s="227"/>
      <c r="AG5746" s="348"/>
      <c r="AH5746" s="348"/>
      <c r="AI5746" s="348"/>
      <c r="AJ5746" s="348"/>
      <c r="AK5746" s="348"/>
      <c r="AL5746" s="348"/>
      <c r="AM5746" s="348"/>
      <c r="AN5746" s="348"/>
      <c r="AO5746" s="231"/>
      <c r="AP5746" s="231"/>
      <c r="AQ5746" s="227"/>
      <c r="AR5746" s="231"/>
      <c r="AS5746" s="227"/>
      <c r="AT5746" s="227"/>
      <c r="AU5746" s="227"/>
      <c r="AV5746" s="227"/>
      <c r="AW5746" s="227"/>
      <c r="AX5746" s="227"/>
      <c r="AY5746" s="227"/>
      <c r="AZ5746" s="227"/>
      <c r="BA5746" s="227"/>
      <c r="BB5746" s="227"/>
      <c r="BC5746" s="227"/>
      <c r="BD5746" s="227"/>
      <c r="BE5746" s="227"/>
      <c r="BF5746" s="227"/>
    </row>
    <row r="5747">
      <c r="A5747" s="227"/>
      <c r="B5747" s="348"/>
      <c r="C5747" s="227"/>
      <c r="D5747" s="227"/>
      <c r="E5747" s="231"/>
      <c r="F5747" s="348"/>
      <c r="G5747" s="227"/>
      <c r="H5747" s="227"/>
      <c r="I5747" s="227"/>
      <c r="J5747" s="227"/>
      <c r="K5747" s="227"/>
      <c r="L5747" s="348"/>
      <c r="M5747" s="348"/>
      <c r="N5747" s="227"/>
      <c r="O5747" s="227"/>
      <c r="P5747" s="231"/>
      <c r="Q5747" s="231"/>
      <c r="R5747" s="227"/>
      <c r="S5747" s="231"/>
      <c r="T5747" s="231"/>
      <c r="U5747" s="231"/>
      <c r="V5747" s="231"/>
      <c r="W5747" s="231"/>
      <c r="X5747" s="227"/>
      <c r="Y5747" s="348"/>
      <c r="Z5747" s="348"/>
      <c r="AA5747" s="348"/>
      <c r="AB5747" s="348"/>
      <c r="AC5747" s="227"/>
      <c r="AD5747" s="227"/>
      <c r="AE5747" s="231"/>
      <c r="AF5747" s="227"/>
      <c r="AG5747" s="348"/>
      <c r="AH5747" s="348"/>
      <c r="AI5747" s="348"/>
      <c r="AJ5747" s="348"/>
      <c r="AK5747" s="348"/>
      <c r="AL5747" s="348"/>
      <c r="AM5747" s="348"/>
      <c r="AN5747" s="348"/>
      <c r="AO5747" s="231"/>
      <c r="AP5747" s="231"/>
      <c r="AQ5747" s="227"/>
      <c r="AR5747" s="231"/>
      <c r="AS5747" s="227"/>
      <c r="AT5747" s="227"/>
      <c r="AU5747" s="227"/>
      <c r="AV5747" s="227"/>
      <c r="AW5747" s="227"/>
      <c r="AX5747" s="227"/>
      <c r="AY5747" s="227"/>
      <c r="AZ5747" s="227"/>
      <c r="BA5747" s="227"/>
      <c r="BB5747" s="227"/>
      <c r="BC5747" s="227"/>
      <c r="BD5747" s="227"/>
      <c r="BE5747" s="227"/>
      <c r="BF5747" s="227"/>
    </row>
    <row r="5748">
      <c r="A5748" s="227"/>
      <c r="B5748" s="348"/>
      <c r="C5748" s="227"/>
      <c r="D5748" s="227"/>
      <c r="E5748" s="231"/>
      <c r="F5748" s="348"/>
      <c r="G5748" s="227"/>
      <c r="H5748" s="227"/>
      <c r="I5748" s="227"/>
      <c r="J5748" s="227"/>
      <c r="K5748" s="227"/>
      <c r="L5748" s="348"/>
      <c r="M5748" s="348"/>
      <c r="N5748" s="227"/>
      <c r="O5748" s="227"/>
      <c r="P5748" s="231"/>
      <c r="Q5748" s="231"/>
      <c r="R5748" s="227"/>
      <c r="S5748" s="231"/>
      <c r="T5748" s="231"/>
      <c r="U5748" s="231"/>
      <c r="V5748" s="231"/>
      <c r="W5748" s="231"/>
      <c r="X5748" s="227"/>
      <c r="Y5748" s="348"/>
      <c r="Z5748" s="348"/>
      <c r="AA5748" s="348"/>
      <c r="AB5748" s="348"/>
      <c r="AC5748" s="227"/>
      <c r="AD5748" s="227"/>
      <c r="AE5748" s="231"/>
      <c r="AF5748" s="227"/>
      <c r="AG5748" s="348"/>
      <c r="AH5748" s="348"/>
      <c r="AI5748" s="348"/>
      <c r="AJ5748" s="348"/>
      <c r="AK5748" s="348"/>
      <c r="AL5748" s="348"/>
      <c r="AM5748" s="348"/>
      <c r="AN5748" s="348"/>
      <c r="AO5748" s="231"/>
      <c r="AP5748" s="231"/>
      <c r="AQ5748" s="227"/>
      <c r="AR5748" s="231"/>
      <c r="AS5748" s="227"/>
      <c r="AT5748" s="227"/>
      <c r="AU5748" s="227"/>
      <c r="AV5748" s="227"/>
      <c r="AW5748" s="227"/>
      <c r="AX5748" s="227"/>
      <c r="AY5748" s="227"/>
      <c r="AZ5748" s="227"/>
      <c r="BA5748" s="227"/>
      <c r="BB5748" s="227"/>
      <c r="BC5748" s="227"/>
      <c r="BD5748" s="227"/>
      <c r="BE5748" s="227"/>
      <c r="BF5748" s="227"/>
    </row>
    <row r="5749">
      <c r="A5749" s="227"/>
      <c r="B5749" s="348"/>
      <c r="C5749" s="227"/>
      <c r="D5749" s="227"/>
      <c r="E5749" s="231"/>
      <c r="F5749" s="348"/>
      <c r="G5749" s="227"/>
      <c r="H5749" s="227"/>
      <c r="I5749" s="227"/>
      <c r="J5749" s="227"/>
      <c r="K5749" s="227"/>
      <c r="L5749" s="348"/>
      <c r="M5749" s="348"/>
      <c r="N5749" s="227"/>
      <c r="O5749" s="227"/>
      <c r="P5749" s="231"/>
      <c r="Q5749" s="231"/>
      <c r="R5749" s="227"/>
      <c r="S5749" s="231"/>
      <c r="T5749" s="231"/>
      <c r="U5749" s="231"/>
      <c r="V5749" s="231"/>
      <c r="W5749" s="231"/>
      <c r="X5749" s="227"/>
      <c r="Y5749" s="348"/>
      <c r="Z5749" s="348"/>
      <c r="AA5749" s="348"/>
      <c r="AB5749" s="348"/>
      <c r="AC5749" s="227"/>
      <c r="AD5749" s="227"/>
      <c r="AE5749" s="231"/>
      <c r="AF5749" s="227"/>
      <c r="AG5749" s="348"/>
      <c r="AH5749" s="348"/>
      <c r="AI5749" s="348"/>
      <c r="AJ5749" s="348"/>
      <c r="AK5749" s="348"/>
      <c r="AL5749" s="348"/>
      <c r="AM5749" s="348"/>
      <c r="AN5749" s="348"/>
      <c r="AO5749" s="231"/>
      <c r="AP5749" s="231"/>
      <c r="AQ5749" s="227"/>
      <c r="AR5749" s="231"/>
      <c r="AS5749" s="227"/>
      <c r="AT5749" s="227"/>
      <c r="AU5749" s="227"/>
      <c r="AV5749" s="227"/>
      <c r="AW5749" s="227"/>
      <c r="AX5749" s="227"/>
      <c r="AY5749" s="227"/>
      <c r="AZ5749" s="227"/>
      <c r="BA5749" s="227"/>
      <c r="BB5749" s="227"/>
      <c r="BC5749" s="227"/>
      <c r="BD5749" s="227"/>
      <c r="BE5749" s="227"/>
      <c r="BF5749" s="227"/>
    </row>
    <row r="5750">
      <c r="A5750" s="227"/>
      <c r="B5750" s="348"/>
      <c r="C5750" s="227"/>
      <c r="D5750" s="227"/>
      <c r="E5750" s="231"/>
      <c r="F5750" s="348"/>
      <c r="G5750" s="227"/>
      <c r="H5750" s="227"/>
      <c r="I5750" s="227"/>
      <c r="J5750" s="227"/>
      <c r="K5750" s="227"/>
      <c r="L5750" s="348"/>
      <c r="M5750" s="348"/>
      <c r="N5750" s="227"/>
      <c r="O5750" s="227"/>
      <c r="P5750" s="231"/>
      <c r="Q5750" s="231"/>
      <c r="R5750" s="227"/>
      <c r="S5750" s="231"/>
      <c r="T5750" s="231"/>
      <c r="U5750" s="231"/>
      <c r="V5750" s="231"/>
      <c r="W5750" s="231"/>
      <c r="X5750" s="227"/>
      <c r="Y5750" s="348"/>
      <c r="Z5750" s="348"/>
      <c r="AA5750" s="348"/>
      <c r="AB5750" s="348"/>
      <c r="AC5750" s="227"/>
      <c r="AD5750" s="227"/>
      <c r="AE5750" s="231"/>
      <c r="AF5750" s="227"/>
      <c r="AG5750" s="348"/>
      <c r="AH5750" s="348"/>
      <c r="AI5750" s="348"/>
      <c r="AJ5750" s="348"/>
      <c r="AK5750" s="348"/>
      <c r="AL5750" s="348"/>
      <c r="AM5750" s="348"/>
      <c r="AN5750" s="348"/>
      <c r="AO5750" s="231"/>
      <c r="AP5750" s="231"/>
      <c r="AQ5750" s="227"/>
      <c r="AR5750" s="231"/>
      <c r="AS5750" s="227"/>
      <c r="AT5750" s="227"/>
      <c r="AU5750" s="227"/>
      <c r="AV5750" s="227"/>
      <c r="AW5750" s="227"/>
      <c r="AX5750" s="227"/>
      <c r="AY5750" s="227"/>
      <c r="AZ5750" s="227"/>
      <c r="BA5750" s="227"/>
      <c r="BB5750" s="227"/>
      <c r="BC5750" s="227"/>
      <c r="BD5750" s="227"/>
      <c r="BE5750" s="227"/>
      <c r="BF5750" s="227"/>
    </row>
    <row r="5751">
      <c r="A5751" s="227"/>
      <c r="B5751" s="348"/>
      <c r="C5751" s="227"/>
      <c r="D5751" s="227"/>
      <c r="E5751" s="231"/>
      <c r="F5751" s="348"/>
      <c r="G5751" s="227"/>
      <c r="H5751" s="227"/>
      <c r="I5751" s="227"/>
      <c r="J5751" s="227"/>
      <c r="K5751" s="227"/>
      <c r="L5751" s="348"/>
      <c r="M5751" s="348"/>
      <c r="N5751" s="227"/>
      <c r="O5751" s="227"/>
      <c r="P5751" s="231"/>
      <c r="Q5751" s="231"/>
      <c r="R5751" s="227"/>
      <c r="S5751" s="231"/>
      <c r="T5751" s="231"/>
      <c r="U5751" s="231"/>
      <c r="V5751" s="231"/>
      <c r="W5751" s="231"/>
      <c r="X5751" s="227"/>
      <c r="Y5751" s="348"/>
      <c r="Z5751" s="348"/>
      <c r="AA5751" s="348"/>
      <c r="AB5751" s="348"/>
      <c r="AC5751" s="227"/>
      <c r="AD5751" s="227"/>
      <c r="AE5751" s="231"/>
      <c r="AF5751" s="227"/>
      <c r="AG5751" s="348"/>
      <c r="AH5751" s="348"/>
      <c r="AI5751" s="348"/>
      <c r="AJ5751" s="348"/>
      <c r="AK5751" s="348"/>
      <c r="AL5751" s="348"/>
      <c r="AM5751" s="348"/>
      <c r="AN5751" s="348"/>
      <c r="AO5751" s="231"/>
      <c r="AP5751" s="231"/>
      <c r="AQ5751" s="227"/>
      <c r="AR5751" s="231"/>
      <c r="AS5751" s="227"/>
      <c r="AT5751" s="227"/>
      <c r="AU5751" s="227"/>
      <c r="AV5751" s="227"/>
      <c r="AW5751" s="227"/>
      <c r="AX5751" s="227"/>
      <c r="AY5751" s="227"/>
      <c r="AZ5751" s="227"/>
      <c r="BA5751" s="227"/>
      <c r="BB5751" s="227"/>
      <c r="BC5751" s="227"/>
      <c r="BD5751" s="227"/>
      <c r="BE5751" s="227"/>
      <c r="BF5751" s="227"/>
    </row>
    <row r="5752">
      <c r="A5752" s="227"/>
      <c r="B5752" s="348"/>
      <c r="C5752" s="227"/>
      <c r="D5752" s="227"/>
      <c r="E5752" s="231"/>
      <c r="F5752" s="348"/>
      <c r="G5752" s="227"/>
      <c r="H5752" s="227"/>
      <c r="I5752" s="227"/>
      <c r="J5752" s="227"/>
      <c r="K5752" s="227"/>
      <c r="L5752" s="348"/>
      <c r="M5752" s="348"/>
      <c r="N5752" s="227"/>
      <c r="O5752" s="227"/>
      <c r="P5752" s="231"/>
      <c r="Q5752" s="231"/>
      <c r="R5752" s="227"/>
      <c r="S5752" s="231"/>
      <c r="T5752" s="231"/>
      <c r="U5752" s="231"/>
      <c r="V5752" s="231"/>
      <c r="W5752" s="231"/>
      <c r="X5752" s="227"/>
      <c r="Y5752" s="348"/>
      <c r="Z5752" s="348"/>
      <c r="AA5752" s="348"/>
      <c r="AB5752" s="348"/>
      <c r="AC5752" s="227"/>
      <c r="AD5752" s="227"/>
      <c r="AE5752" s="231"/>
      <c r="AF5752" s="227"/>
      <c r="AG5752" s="348"/>
      <c r="AH5752" s="348"/>
      <c r="AI5752" s="348"/>
      <c r="AJ5752" s="348"/>
      <c r="AK5752" s="348"/>
      <c r="AL5752" s="348"/>
      <c r="AM5752" s="348"/>
      <c r="AN5752" s="348"/>
      <c r="AO5752" s="231"/>
      <c r="AP5752" s="231"/>
      <c r="AQ5752" s="227"/>
      <c r="AR5752" s="231"/>
      <c r="AS5752" s="227"/>
      <c r="AT5752" s="227"/>
      <c r="AU5752" s="227"/>
      <c r="AV5752" s="227"/>
      <c r="AW5752" s="227"/>
      <c r="AX5752" s="227"/>
      <c r="AY5752" s="227"/>
      <c r="AZ5752" s="227"/>
      <c r="BA5752" s="227"/>
      <c r="BB5752" s="227"/>
      <c r="BC5752" s="227"/>
      <c r="BD5752" s="227"/>
      <c r="BE5752" s="227"/>
      <c r="BF5752" s="227"/>
    </row>
    <row r="5753">
      <c r="A5753" s="227"/>
      <c r="B5753" s="348"/>
      <c r="C5753" s="227"/>
      <c r="D5753" s="227"/>
      <c r="E5753" s="231"/>
      <c r="F5753" s="348"/>
      <c r="G5753" s="227"/>
      <c r="H5753" s="227"/>
      <c r="I5753" s="227"/>
      <c r="J5753" s="227"/>
      <c r="K5753" s="227"/>
      <c r="L5753" s="348"/>
      <c r="M5753" s="348"/>
      <c r="N5753" s="227"/>
      <c r="O5753" s="227"/>
      <c r="P5753" s="231"/>
      <c r="Q5753" s="231"/>
      <c r="R5753" s="227"/>
      <c r="S5753" s="231"/>
      <c r="T5753" s="231"/>
      <c r="U5753" s="231"/>
      <c r="V5753" s="231"/>
      <c r="W5753" s="231"/>
      <c r="X5753" s="227"/>
      <c r="Y5753" s="348"/>
      <c r="Z5753" s="348"/>
      <c r="AA5753" s="348"/>
      <c r="AB5753" s="348"/>
      <c r="AC5753" s="227"/>
      <c r="AD5753" s="227"/>
      <c r="AE5753" s="231"/>
      <c r="AF5753" s="227"/>
      <c r="AG5753" s="348"/>
      <c r="AH5753" s="348"/>
      <c r="AI5753" s="348"/>
      <c r="AJ5753" s="348"/>
      <c r="AK5753" s="348"/>
      <c r="AL5753" s="348"/>
      <c r="AM5753" s="348"/>
      <c r="AN5753" s="348"/>
      <c r="AO5753" s="231"/>
      <c r="AP5753" s="231"/>
      <c r="AQ5753" s="227"/>
      <c r="AR5753" s="231"/>
      <c r="AS5753" s="227"/>
      <c r="AT5753" s="227"/>
      <c r="AU5753" s="227"/>
      <c r="AV5753" s="227"/>
      <c r="AW5753" s="227"/>
      <c r="AX5753" s="227"/>
      <c r="AY5753" s="227"/>
      <c r="AZ5753" s="227"/>
      <c r="BA5753" s="227"/>
      <c r="BB5753" s="227"/>
      <c r="BC5753" s="227"/>
      <c r="BD5753" s="227"/>
      <c r="BE5753" s="227"/>
      <c r="BF5753" s="227"/>
    </row>
    <row r="5754">
      <c r="A5754" s="227"/>
      <c r="B5754" s="348"/>
      <c r="C5754" s="227"/>
      <c r="D5754" s="227"/>
      <c r="E5754" s="231"/>
      <c r="F5754" s="348"/>
      <c r="G5754" s="227"/>
      <c r="H5754" s="227"/>
      <c r="I5754" s="227"/>
      <c r="J5754" s="227"/>
      <c r="K5754" s="227"/>
      <c r="L5754" s="348"/>
      <c r="M5754" s="348"/>
      <c r="N5754" s="227"/>
      <c r="O5754" s="227"/>
      <c r="P5754" s="231"/>
      <c r="Q5754" s="231"/>
      <c r="R5754" s="227"/>
      <c r="S5754" s="231"/>
      <c r="T5754" s="231"/>
      <c r="U5754" s="231"/>
      <c r="V5754" s="231"/>
      <c r="W5754" s="231"/>
      <c r="X5754" s="227"/>
      <c r="Y5754" s="348"/>
      <c r="Z5754" s="348"/>
      <c r="AA5754" s="348"/>
      <c r="AB5754" s="348"/>
      <c r="AC5754" s="227"/>
      <c r="AD5754" s="227"/>
      <c r="AE5754" s="231"/>
      <c r="AF5754" s="227"/>
      <c r="AG5754" s="348"/>
      <c r="AH5754" s="348"/>
      <c r="AI5754" s="348"/>
      <c r="AJ5754" s="348"/>
      <c r="AK5754" s="348"/>
      <c r="AL5754" s="348"/>
      <c r="AM5754" s="348"/>
      <c r="AN5754" s="348"/>
      <c r="AO5754" s="231"/>
      <c r="AP5754" s="231"/>
      <c r="AQ5754" s="227"/>
      <c r="AR5754" s="231"/>
      <c r="AS5754" s="227"/>
      <c r="AT5754" s="227"/>
      <c r="AU5754" s="227"/>
      <c r="AV5754" s="227"/>
      <c r="AW5754" s="227"/>
      <c r="AX5754" s="227"/>
      <c r="AY5754" s="227"/>
      <c r="AZ5754" s="227"/>
      <c r="BA5754" s="227"/>
      <c r="BB5754" s="227"/>
      <c r="BC5754" s="227"/>
      <c r="BD5754" s="227"/>
      <c r="BE5754" s="227"/>
      <c r="BF5754" s="227"/>
    </row>
    <row r="5755">
      <c r="A5755" s="227"/>
      <c r="B5755" s="348"/>
      <c r="C5755" s="227"/>
      <c r="D5755" s="227"/>
      <c r="E5755" s="231"/>
      <c r="F5755" s="348"/>
      <c r="G5755" s="227"/>
      <c r="H5755" s="227"/>
      <c r="I5755" s="227"/>
      <c r="J5755" s="227"/>
      <c r="K5755" s="227"/>
      <c r="L5755" s="348"/>
      <c r="M5755" s="348"/>
      <c r="N5755" s="227"/>
      <c r="O5755" s="227"/>
      <c r="P5755" s="231"/>
      <c r="Q5755" s="231"/>
      <c r="R5755" s="227"/>
      <c r="S5755" s="231"/>
      <c r="T5755" s="231"/>
      <c r="U5755" s="231"/>
      <c r="V5755" s="231"/>
      <c r="W5755" s="231"/>
      <c r="X5755" s="227"/>
      <c r="Y5755" s="348"/>
      <c r="Z5755" s="348"/>
      <c r="AA5755" s="348"/>
      <c r="AB5755" s="348"/>
      <c r="AC5755" s="227"/>
      <c r="AD5755" s="227"/>
      <c r="AE5755" s="231"/>
      <c r="AF5755" s="227"/>
      <c r="AG5755" s="348"/>
      <c r="AH5755" s="348"/>
      <c r="AI5755" s="348"/>
      <c r="AJ5755" s="348"/>
      <c r="AK5755" s="348"/>
      <c r="AL5755" s="348"/>
      <c r="AM5755" s="348"/>
      <c r="AN5755" s="348"/>
      <c r="AO5755" s="231"/>
      <c r="AP5755" s="231"/>
      <c r="AQ5755" s="227"/>
      <c r="AR5755" s="231"/>
      <c r="AS5755" s="227"/>
      <c r="AT5755" s="227"/>
      <c r="AU5755" s="227"/>
      <c r="AV5755" s="227"/>
      <c r="AW5755" s="227"/>
      <c r="AX5755" s="227"/>
      <c r="AY5755" s="227"/>
      <c r="AZ5755" s="227"/>
      <c r="BA5755" s="227"/>
      <c r="BB5755" s="227"/>
      <c r="BC5755" s="227"/>
      <c r="BD5755" s="227"/>
      <c r="BE5755" s="227"/>
      <c r="BF5755" s="227"/>
    </row>
    <row r="5756">
      <c r="A5756" s="227"/>
      <c r="B5756" s="348"/>
      <c r="C5756" s="227"/>
      <c r="D5756" s="227"/>
      <c r="E5756" s="231"/>
      <c r="F5756" s="348"/>
      <c r="G5756" s="227"/>
      <c r="H5756" s="227"/>
      <c r="I5756" s="227"/>
      <c r="J5756" s="227"/>
      <c r="K5756" s="227"/>
      <c r="L5756" s="348"/>
      <c r="M5756" s="348"/>
      <c r="N5756" s="227"/>
      <c r="O5756" s="227"/>
      <c r="P5756" s="231"/>
      <c r="Q5756" s="231"/>
      <c r="R5756" s="227"/>
      <c r="S5756" s="231"/>
      <c r="T5756" s="231"/>
      <c r="U5756" s="231"/>
      <c r="V5756" s="231"/>
      <c r="W5756" s="231"/>
      <c r="X5756" s="227"/>
      <c r="Y5756" s="348"/>
      <c r="Z5756" s="348"/>
      <c r="AA5756" s="348"/>
      <c r="AB5756" s="348"/>
      <c r="AC5756" s="227"/>
      <c r="AD5756" s="227"/>
      <c r="AE5756" s="231"/>
      <c r="AF5756" s="227"/>
      <c r="AG5756" s="348"/>
      <c r="AH5756" s="348"/>
      <c r="AI5756" s="348"/>
      <c r="AJ5756" s="348"/>
      <c r="AK5756" s="348"/>
      <c r="AL5756" s="348"/>
      <c r="AM5756" s="348"/>
      <c r="AN5756" s="348"/>
      <c r="AO5756" s="231"/>
      <c r="AP5756" s="231"/>
      <c r="AQ5756" s="227"/>
      <c r="AR5756" s="231"/>
      <c r="AS5756" s="227"/>
      <c r="AT5756" s="227"/>
      <c r="AU5756" s="227"/>
      <c r="AV5756" s="227"/>
      <c r="AW5756" s="227"/>
      <c r="AX5756" s="227"/>
      <c r="AY5756" s="227"/>
      <c r="AZ5756" s="227"/>
      <c r="BA5756" s="227"/>
      <c r="BB5756" s="227"/>
      <c r="BC5756" s="227"/>
      <c r="BD5756" s="227"/>
      <c r="BE5756" s="227"/>
      <c r="BF5756" s="227"/>
    </row>
    <row r="5757">
      <c r="A5757" s="227"/>
      <c r="B5757" s="348"/>
      <c r="C5757" s="227"/>
      <c r="D5757" s="227"/>
      <c r="E5757" s="231"/>
      <c r="F5757" s="348"/>
      <c r="G5757" s="227"/>
      <c r="H5757" s="227"/>
      <c r="I5757" s="227"/>
      <c r="J5757" s="227"/>
      <c r="K5757" s="227"/>
      <c r="L5757" s="348"/>
      <c r="M5757" s="348"/>
      <c r="N5757" s="227"/>
      <c r="O5757" s="227"/>
      <c r="P5757" s="231"/>
      <c r="Q5757" s="231"/>
      <c r="R5757" s="227"/>
      <c r="S5757" s="231"/>
      <c r="T5757" s="231"/>
      <c r="U5757" s="231"/>
      <c r="V5757" s="231"/>
      <c r="W5757" s="231"/>
      <c r="X5757" s="227"/>
      <c r="Y5757" s="348"/>
      <c r="Z5757" s="348"/>
      <c r="AA5757" s="348"/>
      <c r="AB5757" s="348"/>
      <c r="AC5757" s="227"/>
      <c r="AD5757" s="227"/>
      <c r="AE5757" s="231"/>
      <c r="AF5757" s="227"/>
      <c r="AG5757" s="348"/>
      <c r="AH5757" s="348"/>
      <c r="AI5757" s="348"/>
      <c r="AJ5757" s="348"/>
      <c r="AK5757" s="348"/>
      <c r="AL5757" s="348"/>
      <c r="AM5757" s="348"/>
      <c r="AN5757" s="348"/>
      <c r="AO5757" s="231"/>
      <c r="AP5757" s="231"/>
      <c r="AQ5757" s="227"/>
      <c r="AR5757" s="231"/>
      <c r="AS5757" s="227"/>
      <c r="AT5757" s="227"/>
      <c r="AU5757" s="227"/>
      <c r="AV5757" s="227"/>
      <c r="AW5757" s="227"/>
      <c r="AX5757" s="227"/>
      <c r="AY5757" s="227"/>
      <c r="AZ5757" s="227"/>
      <c r="BA5757" s="227"/>
      <c r="BB5757" s="227"/>
      <c r="BC5757" s="227"/>
      <c r="BD5757" s="227"/>
      <c r="BE5757" s="227"/>
      <c r="BF5757" s="227"/>
    </row>
    <row r="5758">
      <c r="A5758" s="227"/>
      <c r="B5758" s="348"/>
      <c r="C5758" s="227"/>
      <c r="D5758" s="227"/>
      <c r="E5758" s="231"/>
      <c r="F5758" s="348"/>
      <c r="G5758" s="227"/>
      <c r="H5758" s="227"/>
      <c r="I5758" s="227"/>
      <c r="J5758" s="227"/>
      <c r="K5758" s="227"/>
      <c r="L5758" s="348"/>
      <c r="M5758" s="348"/>
      <c r="N5758" s="227"/>
      <c r="O5758" s="227"/>
      <c r="P5758" s="231"/>
      <c r="Q5758" s="231"/>
      <c r="R5758" s="227"/>
      <c r="S5758" s="231"/>
      <c r="T5758" s="231"/>
      <c r="U5758" s="231"/>
      <c r="V5758" s="231"/>
      <c r="W5758" s="231"/>
      <c r="X5758" s="227"/>
      <c r="Y5758" s="348"/>
      <c r="Z5758" s="348"/>
      <c r="AA5758" s="348"/>
      <c r="AB5758" s="348"/>
      <c r="AC5758" s="227"/>
      <c r="AD5758" s="227"/>
      <c r="AE5758" s="231"/>
      <c r="AF5758" s="227"/>
      <c r="AG5758" s="348"/>
      <c r="AH5758" s="348"/>
      <c r="AI5758" s="348"/>
      <c r="AJ5758" s="348"/>
      <c r="AK5758" s="348"/>
      <c r="AL5758" s="348"/>
      <c r="AM5758" s="348"/>
      <c r="AN5758" s="348"/>
      <c r="AO5758" s="231"/>
      <c r="AP5758" s="231"/>
      <c r="AQ5758" s="227"/>
      <c r="AR5758" s="231"/>
      <c r="AS5758" s="227"/>
      <c r="AT5758" s="227"/>
      <c r="AU5758" s="227"/>
      <c r="AV5758" s="227"/>
      <c r="AW5758" s="227"/>
      <c r="AX5758" s="227"/>
      <c r="AY5758" s="227"/>
      <c r="AZ5758" s="227"/>
      <c r="BA5758" s="227"/>
      <c r="BB5758" s="227"/>
      <c r="BC5758" s="227"/>
      <c r="BD5758" s="227"/>
      <c r="BE5758" s="227"/>
      <c r="BF5758" s="227"/>
    </row>
    <row r="5759">
      <c r="A5759" s="227"/>
      <c r="B5759" s="348"/>
      <c r="C5759" s="227"/>
      <c r="D5759" s="227"/>
      <c r="E5759" s="231"/>
      <c r="F5759" s="348"/>
      <c r="G5759" s="227"/>
      <c r="H5759" s="227"/>
      <c r="I5759" s="227"/>
      <c r="J5759" s="227"/>
      <c r="K5759" s="227"/>
      <c r="L5759" s="348"/>
      <c r="M5759" s="348"/>
      <c r="N5759" s="227"/>
      <c r="O5759" s="227"/>
      <c r="P5759" s="231"/>
      <c r="Q5759" s="231"/>
      <c r="R5759" s="227"/>
      <c r="S5759" s="231"/>
      <c r="T5759" s="231"/>
      <c r="U5759" s="231"/>
      <c r="V5759" s="231"/>
      <c r="W5759" s="231"/>
      <c r="X5759" s="227"/>
      <c r="Y5759" s="348"/>
      <c r="Z5759" s="348"/>
      <c r="AA5759" s="348"/>
      <c r="AB5759" s="348"/>
      <c r="AC5759" s="227"/>
      <c r="AD5759" s="227"/>
      <c r="AE5759" s="231"/>
      <c r="AF5759" s="227"/>
      <c r="AG5759" s="348"/>
      <c r="AH5759" s="348"/>
      <c r="AI5759" s="348"/>
      <c r="AJ5759" s="348"/>
      <c r="AK5759" s="348"/>
      <c r="AL5759" s="348"/>
      <c r="AM5759" s="348"/>
      <c r="AN5759" s="348"/>
      <c r="AO5759" s="231"/>
      <c r="AP5759" s="231"/>
      <c r="AQ5759" s="227"/>
      <c r="AR5759" s="231"/>
      <c r="AS5759" s="227"/>
      <c r="AT5759" s="227"/>
      <c r="AU5759" s="227"/>
      <c r="AV5759" s="227"/>
      <c r="AW5759" s="227"/>
      <c r="AX5759" s="227"/>
      <c r="AY5759" s="227"/>
      <c r="AZ5759" s="227"/>
      <c r="BA5759" s="227"/>
      <c r="BB5759" s="227"/>
      <c r="BC5759" s="227"/>
      <c r="BD5759" s="227"/>
      <c r="BE5759" s="227"/>
      <c r="BF5759" s="227"/>
    </row>
    <row r="5760">
      <c r="A5760" s="227"/>
      <c r="B5760" s="348"/>
      <c r="C5760" s="227"/>
      <c r="D5760" s="227"/>
      <c r="E5760" s="231"/>
      <c r="F5760" s="348"/>
      <c r="G5760" s="227"/>
      <c r="H5760" s="227"/>
      <c r="I5760" s="227"/>
      <c r="J5760" s="227"/>
      <c r="K5760" s="227"/>
      <c r="L5760" s="348"/>
      <c r="M5760" s="348"/>
      <c r="N5760" s="227"/>
      <c r="O5760" s="227"/>
      <c r="P5760" s="231"/>
      <c r="Q5760" s="231"/>
      <c r="R5760" s="227"/>
      <c r="S5760" s="231"/>
      <c r="T5760" s="231"/>
      <c r="U5760" s="231"/>
      <c r="V5760" s="231"/>
      <c r="W5760" s="231"/>
      <c r="X5760" s="227"/>
      <c r="Y5760" s="348"/>
      <c r="Z5760" s="348"/>
      <c r="AA5760" s="348"/>
      <c r="AB5760" s="348"/>
      <c r="AC5760" s="227"/>
      <c r="AD5760" s="227"/>
      <c r="AE5760" s="231"/>
      <c r="AF5760" s="227"/>
      <c r="AG5760" s="348"/>
      <c r="AH5760" s="348"/>
      <c r="AI5760" s="348"/>
      <c r="AJ5760" s="348"/>
      <c r="AK5760" s="348"/>
      <c r="AL5760" s="348"/>
      <c r="AM5760" s="348"/>
      <c r="AN5760" s="348"/>
      <c r="AO5760" s="231"/>
      <c r="AP5760" s="231"/>
      <c r="AQ5760" s="227"/>
      <c r="AR5760" s="231"/>
      <c r="AS5760" s="227"/>
      <c r="AT5760" s="227"/>
      <c r="AU5760" s="227"/>
      <c r="AV5760" s="227"/>
      <c r="AW5760" s="227"/>
      <c r="AX5760" s="227"/>
      <c r="AY5760" s="227"/>
      <c r="AZ5760" s="227"/>
      <c r="BA5760" s="227"/>
      <c r="BB5760" s="227"/>
      <c r="BC5760" s="227"/>
      <c r="BD5760" s="227"/>
      <c r="BE5760" s="227"/>
      <c r="BF5760" s="227"/>
    </row>
    <row r="5761">
      <c r="A5761" s="227"/>
      <c r="B5761" s="348"/>
      <c r="C5761" s="227"/>
      <c r="D5761" s="227"/>
      <c r="E5761" s="231"/>
      <c r="F5761" s="348"/>
      <c r="G5761" s="227"/>
      <c r="H5761" s="227"/>
      <c r="I5761" s="227"/>
      <c r="J5761" s="227"/>
      <c r="K5761" s="227"/>
      <c r="L5761" s="348"/>
      <c r="M5761" s="348"/>
      <c r="N5761" s="227"/>
      <c r="O5761" s="227"/>
      <c r="P5761" s="231"/>
      <c r="Q5761" s="231"/>
      <c r="R5761" s="227"/>
      <c r="S5761" s="231"/>
      <c r="T5761" s="231"/>
      <c r="U5761" s="231"/>
      <c r="V5761" s="231"/>
      <c r="W5761" s="231"/>
      <c r="X5761" s="227"/>
      <c r="Y5761" s="348"/>
      <c r="Z5761" s="348"/>
      <c r="AA5761" s="348"/>
      <c r="AB5761" s="348"/>
      <c r="AC5761" s="227"/>
      <c r="AD5761" s="227"/>
      <c r="AE5761" s="231"/>
      <c r="AF5761" s="227"/>
      <c r="AG5761" s="348"/>
      <c r="AH5761" s="348"/>
      <c r="AI5761" s="348"/>
      <c r="AJ5761" s="348"/>
      <c r="AK5761" s="348"/>
      <c r="AL5761" s="348"/>
      <c r="AM5761" s="348"/>
      <c r="AN5761" s="348"/>
      <c r="AO5761" s="231"/>
      <c r="AP5761" s="231"/>
      <c r="AQ5761" s="227"/>
      <c r="AR5761" s="231"/>
      <c r="AS5761" s="227"/>
      <c r="AT5761" s="227"/>
      <c r="AU5761" s="227"/>
      <c r="AV5761" s="227"/>
      <c r="AW5761" s="227"/>
      <c r="AX5761" s="227"/>
      <c r="AY5761" s="227"/>
      <c r="AZ5761" s="227"/>
      <c r="BA5761" s="227"/>
      <c r="BB5761" s="227"/>
      <c r="BC5761" s="227"/>
      <c r="BD5761" s="227"/>
      <c r="BE5761" s="227"/>
      <c r="BF5761" s="227"/>
    </row>
    <row r="5762">
      <c r="A5762" s="227"/>
      <c r="B5762" s="348"/>
      <c r="C5762" s="227"/>
      <c r="D5762" s="227"/>
      <c r="E5762" s="231"/>
      <c r="F5762" s="348"/>
      <c r="G5762" s="227"/>
      <c r="H5762" s="227"/>
      <c r="I5762" s="227"/>
      <c r="J5762" s="227"/>
      <c r="K5762" s="227"/>
      <c r="L5762" s="348"/>
      <c r="M5762" s="348"/>
      <c r="N5762" s="227"/>
      <c r="O5762" s="227"/>
      <c r="P5762" s="231"/>
      <c r="Q5762" s="231"/>
      <c r="R5762" s="227"/>
      <c r="S5762" s="231"/>
      <c r="T5762" s="231"/>
      <c r="U5762" s="231"/>
      <c r="V5762" s="231"/>
      <c r="W5762" s="231"/>
      <c r="X5762" s="227"/>
      <c r="Y5762" s="348"/>
      <c r="Z5762" s="348"/>
      <c r="AA5762" s="348"/>
      <c r="AB5762" s="348"/>
      <c r="AC5762" s="227"/>
      <c r="AD5762" s="227"/>
      <c r="AE5762" s="231"/>
      <c r="AF5762" s="227"/>
      <c r="AG5762" s="348"/>
      <c r="AH5762" s="348"/>
      <c r="AI5762" s="348"/>
      <c r="AJ5762" s="348"/>
      <c r="AK5762" s="348"/>
      <c r="AL5762" s="348"/>
      <c r="AM5762" s="348"/>
      <c r="AN5762" s="348"/>
      <c r="AO5762" s="231"/>
      <c r="AP5762" s="231"/>
      <c r="AQ5762" s="227"/>
      <c r="AR5762" s="231"/>
      <c r="AS5762" s="227"/>
      <c r="AT5762" s="227"/>
      <c r="AU5762" s="227"/>
      <c r="AV5762" s="227"/>
      <c r="AW5762" s="227"/>
      <c r="AX5762" s="227"/>
      <c r="AY5762" s="227"/>
      <c r="AZ5762" s="227"/>
      <c r="BA5762" s="227"/>
      <c r="BB5762" s="227"/>
      <c r="BC5762" s="227"/>
      <c r="BD5762" s="227"/>
      <c r="BE5762" s="227"/>
      <c r="BF5762" s="227"/>
    </row>
    <row r="5763">
      <c r="A5763" s="227"/>
      <c r="B5763" s="348"/>
      <c r="C5763" s="227"/>
      <c r="D5763" s="227"/>
      <c r="E5763" s="231"/>
      <c r="F5763" s="348"/>
      <c r="G5763" s="227"/>
      <c r="H5763" s="227"/>
      <c r="I5763" s="227"/>
      <c r="J5763" s="227"/>
      <c r="K5763" s="227"/>
      <c r="L5763" s="348"/>
      <c r="M5763" s="348"/>
      <c r="N5763" s="227"/>
      <c r="O5763" s="227"/>
      <c r="P5763" s="231"/>
      <c r="Q5763" s="231"/>
      <c r="R5763" s="227"/>
      <c r="S5763" s="231"/>
      <c r="T5763" s="231"/>
      <c r="U5763" s="231"/>
      <c r="V5763" s="231"/>
      <c r="W5763" s="231"/>
      <c r="X5763" s="227"/>
      <c r="Y5763" s="348"/>
      <c r="Z5763" s="348"/>
      <c r="AA5763" s="348"/>
      <c r="AB5763" s="348"/>
      <c r="AC5763" s="227"/>
      <c r="AD5763" s="227"/>
      <c r="AE5763" s="231"/>
      <c r="AF5763" s="227"/>
      <c r="AG5763" s="348"/>
      <c r="AH5763" s="348"/>
      <c r="AI5763" s="348"/>
      <c r="AJ5763" s="348"/>
      <c r="AK5763" s="348"/>
      <c r="AL5763" s="348"/>
      <c r="AM5763" s="348"/>
      <c r="AN5763" s="348"/>
      <c r="AO5763" s="231"/>
      <c r="AP5763" s="231"/>
      <c r="AQ5763" s="227"/>
      <c r="AR5763" s="231"/>
      <c r="AS5763" s="227"/>
      <c r="AT5763" s="227"/>
      <c r="AU5763" s="227"/>
      <c r="AV5763" s="227"/>
      <c r="AW5763" s="227"/>
      <c r="AX5763" s="227"/>
      <c r="AY5763" s="227"/>
      <c r="AZ5763" s="227"/>
      <c r="BA5763" s="227"/>
      <c r="BB5763" s="227"/>
      <c r="BC5763" s="227"/>
      <c r="BD5763" s="227"/>
      <c r="BE5763" s="227"/>
      <c r="BF5763" s="227"/>
    </row>
    <row r="5764">
      <c r="A5764" s="227"/>
      <c r="B5764" s="348"/>
      <c r="C5764" s="227"/>
      <c r="D5764" s="227"/>
      <c r="E5764" s="231"/>
      <c r="F5764" s="348"/>
      <c r="G5764" s="227"/>
      <c r="H5764" s="227"/>
      <c r="I5764" s="227"/>
      <c r="J5764" s="227"/>
      <c r="K5764" s="227"/>
      <c r="L5764" s="348"/>
      <c r="M5764" s="348"/>
      <c r="N5764" s="227"/>
      <c r="O5764" s="227"/>
      <c r="P5764" s="231"/>
      <c r="Q5764" s="231"/>
      <c r="R5764" s="227"/>
      <c r="S5764" s="231"/>
      <c r="T5764" s="231"/>
      <c r="U5764" s="231"/>
      <c r="V5764" s="231"/>
      <c r="W5764" s="231"/>
      <c r="X5764" s="227"/>
      <c r="Y5764" s="348"/>
      <c r="Z5764" s="348"/>
      <c r="AA5764" s="348"/>
      <c r="AB5764" s="348"/>
      <c r="AC5764" s="227"/>
      <c r="AD5764" s="227"/>
      <c r="AE5764" s="231"/>
      <c r="AF5764" s="227"/>
      <c r="AG5764" s="348"/>
      <c r="AH5764" s="348"/>
      <c r="AI5764" s="348"/>
      <c r="AJ5764" s="348"/>
      <c r="AK5764" s="348"/>
      <c r="AL5764" s="348"/>
      <c r="AM5764" s="348"/>
      <c r="AN5764" s="348"/>
      <c r="AO5764" s="231"/>
      <c r="AP5764" s="231"/>
      <c r="AQ5764" s="227"/>
      <c r="AR5764" s="231"/>
      <c r="AS5764" s="227"/>
      <c r="AT5764" s="227"/>
      <c r="AU5764" s="227"/>
      <c r="AV5764" s="227"/>
      <c r="AW5764" s="227"/>
      <c r="AX5764" s="227"/>
      <c r="AY5764" s="227"/>
      <c r="AZ5764" s="227"/>
      <c r="BA5764" s="227"/>
      <c r="BB5764" s="227"/>
      <c r="BC5764" s="227"/>
      <c r="BD5764" s="227"/>
      <c r="BE5764" s="227"/>
      <c r="BF5764" s="227"/>
    </row>
    <row r="5765">
      <c r="A5765" s="227"/>
      <c r="B5765" s="348"/>
      <c r="C5765" s="227"/>
      <c r="D5765" s="227"/>
      <c r="E5765" s="231"/>
      <c r="F5765" s="348"/>
      <c r="G5765" s="227"/>
      <c r="H5765" s="227"/>
      <c r="I5765" s="227"/>
      <c r="J5765" s="227"/>
      <c r="K5765" s="227"/>
      <c r="L5765" s="348"/>
      <c r="M5765" s="348"/>
      <c r="N5765" s="227"/>
      <c r="O5765" s="227"/>
      <c r="P5765" s="231"/>
      <c r="Q5765" s="231"/>
      <c r="R5765" s="227"/>
      <c r="S5765" s="231"/>
      <c r="T5765" s="231"/>
      <c r="U5765" s="231"/>
      <c r="V5765" s="231"/>
      <c r="W5765" s="231"/>
      <c r="X5765" s="227"/>
      <c r="Y5765" s="348"/>
      <c r="Z5765" s="348"/>
      <c r="AA5765" s="348"/>
      <c r="AB5765" s="348"/>
      <c r="AC5765" s="227"/>
      <c r="AD5765" s="227"/>
      <c r="AE5765" s="231"/>
      <c r="AF5765" s="227"/>
      <c r="AG5765" s="348"/>
      <c r="AH5765" s="348"/>
      <c r="AI5765" s="348"/>
      <c r="AJ5765" s="348"/>
      <c r="AK5765" s="348"/>
      <c r="AL5765" s="348"/>
      <c r="AM5765" s="348"/>
      <c r="AN5765" s="348"/>
      <c r="AO5765" s="231"/>
      <c r="AP5765" s="231"/>
      <c r="AQ5765" s="227"/>
      <c r="AR5765" s="231"/>
      <c r="AS5765" s="227"/>
      <c r="AT5765" s="227"/>
      <c r="AU5765" s="227"/>
      <c r="AV5765" s="227"/>
      <c r="AW5765" s="227"/>
      <c r="AX5765" s="227"/>
      <c r="AY5765" s="227"/>
      <c r="AZ5765" s="227"/>
      <c r="BA5765" s="227"/>
      <c r="BB5765" s="227"/>
      <c r="BC5765" s="227"/>
      <c r="BD5765" s="227"/>
      <c r="BE5765" s="227"/>
      <c r="BF5765" s="227"/>
    </row>
    <row r="5766">
      <c r="A5766" s="227"/>
      <c r="B5766" s="348"/>
      <c r="C5766" s="227"/>
      <c r="D5766" s="227"/>
      <c r="E5766" s="231"/>
      <c r="F5766" s="348"/>
      <c r="G5766" s="227"/>
      <c r="H5766" s="227"/>
      <c r="I5766" s="227"/>
      <c r="J5766" s="227"/>
      <c r="K5766" s="227"/>
      <c r="L5766" s="348"/>
      <c r="M5766" s="348"/>
      <c r="N5766" s="227"/>
      <c r="O5766" s="227"/>
      <c r="P5766" s="231"/>
      <c r="Q5766" s="231"/>
      <c r="R5766" s="227"/>
      <c r="S5766" s="231"/>
      <c r="T5766" s="231"/>
      <c r="U5766" s="231"/>
      <c r="V5766" s="231"/>
      <c r="W5766" s="231"/>
      <c r="X5766" s="227"/>
      <c r="Y5766" s="348"/>
      <c r="Z5766" s="348"/>
      <c r="AA5766" s="348"/>
      <c r="AB5766" s="348"/>
      <c r="AC5766" s="227"/>
      <c r="AD5766" s="227"/>
      <c r="AE5766" s="231"/>
      <c r="AF5766" s="227"/>
      <c r="AG5766" s="348"/>
      <c r="AH5766" s="348"/>
      <c r="AI5766" s="348"/>
      <c r="AJ5766" s="348"/>
      <c r="AK5766" s="348"/>
      <c r="AL5766" s="348"/>
      <c r="AM5766" s="348"/>
      <c r="AN5766" s="348"/>
      <c r="AO5766" s="231"/>
      <c r="AP5766" s="231"/>
      <c r="AQ5766" s="227"/>
      <c r="AR5766" s="231"/>
      <c r="AS5766" s="227"/>
      <c r="AT5766" s="227"/>
      <c r="AU5766" s="227"/>
      <c r="AV5766" s="227"/>
      <c r="AW5766" s="227"/>
      <c r="AX5766" s="227"/>
      <c r="AY5766" s="227"/>
      <c r="AZ5766" s="227"/>
      <c r="BA5766" s="227"/>
      <c r="BB5766" s="227"/>
      <c r="BC5766" s="227"/>
      <c r="BD5766" s="227"/>
      <c r="BE5766" s="227"/>
      <c r="BF5766" s="227"/>
    </row>
    <row r="5767">
      <c r="A5767" s="227"/>
      <c r="B5767" s="348"/>
      <c r="C5767" s="227"/>
      <c r="D5767" s="227"/>
      <c r="E5767" s="231"/>
      <c r="F5767" s="348"/>
      <c r="G5767" s="227"/>
      <c r="H5767" s="227"/>
      <c r="I5767" s="227"/>
      <c r="J5767" s="227"/>
      <c r="K5767" s="227"/>
      <c r="L5767" s="348"/>
      <c r="M5767" s="348"/>
      <c r="N5767" s="227"/>
      <c r="O5767" s="227"/>
      <c r="P5767" s="231"/>
      <c r="Q5767" s="231"/>
      <c r="R5767" s="227"/>
      <c r="S5767" s="231"/>
      <c r="T5767" s="231"/>
      <c r="U5767" s="231"/>
      <c r="V5767" s="231"/>
      <c r="W5767" s="231"/>
      <c r="X5767" s="227"/>
      <c r="Y5767" s="348"/>
      <c r="Z5767" s="348"/>
      <c r="AA5767" s="348"/>
      <c r="AB5767" s="348"/>
      <c r="AC5767" s="227"/>
      <c r="AD5767" s="227"/>
      <c r="AE5767" s="231"/>
      <c r="AF5767" s="227"/>
      <c r="AG5767" s="348"/>
      <c r="AH5767" s="348"/>
      <c r="AI5767" s="348"/>
      <c r="AJ5767" s="348"/>
      <c r="AK5767" s="348"/>
      <c r="AL5767" s="348"/>
      <c r="AM5767" s="348"/>
      <c r="AN5767" s="348"/>
      <c r="AO5767" s="231"/>
      <c r="AP5767" s="231"/>
      <c r="AQ5767" s="227"/>
      <c r="AR5767" s="231"/>
      <c r="AS5767" s="227"/>
      <c r="AT5767" s="227"/>
      <c r="AU5767" s="227"/>
      <c r="AV5767" s="227"/>
      <c r="AW5767" s="227"/>
      <c r="AX5767" s="227"/>
      <c r="AY5767" s="227"/>
      <c r="AZ5767" s="227"/>
      <c r="BA5767" s="227"/>
      <c r="BB5767" s="227"/>
      <c r="BC5767" s="227"/>
      <c r="BD5767" s="227"/>
      <c r="BE5767" s="227"/>
      <c r="BF5767" s="227"/>
    </row>
    <row r="5768">
      <c r="A5768" s="227"/>
      <c r="B5768" s="348"/>
      <c r="C5768" s="227"/>
      <c r="D5768" s="227"/>
      <c r="E5768" s="231"/>
      <c r="F5768" s="348"/>
      <c r="G5768" s="227"/>
      <c r="H5768" s="227"/>
      <c r="I5768" s="227"/>
      <c r="J5768" s="227"/>
      <c r="K5768" s="227"/>
      <c r="L5768" s="348"/>
      <c r="M5768" s="348"/>
      <c r="N5768" s="227"/>
      <c r="O5768" s="227"/>
      <c r="P5768" s="231"/>
      <c r="Q5768" s="231"/>
      <c r="R5768" s="227"/>
      <c r="S5768" s="231"/>
      <c r="T5768" s="231"/>
      <c r="U5768" s="231"/>
      <c r="V5768" s="231"/>
      <c r="W5768" s="231"/>
      <c r="X5768" s="227"/>
      <c r="Y5768" s="348"/>
      <c r="Z5768" s="348"/>
      <c r="AA5768" s="348"/>
      <c r="AB5768" s="348"/>
      <c r="AC5768" s="227"/>
      <c r="AD5768" s="227"/>
      <c r="AE5768" s="231"/>
      <c r="AF5768" s="227"/>
      <c r="AG5768" s="348"/>
      <c r="AH5768" s="348"/>
      <c r="AI5768" s="348"/>
      <c r="AJ5768" s="348"/>
      <c r="AK5768" s="348"/>
      <c r="AL5768" s="348"/>
      <c r="AM5768" s="348"/>
      <c r="AN5768" s="348"/>
      <c r="AO5768" s="231"/>
      <c r="AP5768" s="231"/>
      <c r="AQ5768" s="227"/>
      <c r="AR5768" s="231"/>
      <c r="AS5768" s="227"/>
      <c r="AT5768" s="227"/>
      <c r="AU5768" s="227"/>
      <c r="AV5768" s="227"/>
      <c r="AW5768" s="227"/>
      <c r="AX5768" s="227"/>
      <c r="AY5768" s="227"/>
      <c r="AZ5768" s="227"/>
      <c r="BA5768" s="227"/>
      <c r="BB5768" s="227"/>
      <c r="BC5768" s="227"/>
      <c r="BD5768" s="227"/>
      <c r="BE5768" s="227"/>
      <c r="BF5768" s="227"/>
    </row>
    <row r="5769">
      <c r="A5769" s="227"/>
      <c r="B5769" s="348"/>
      <c r="C5769" s="227"/>
      <c r="D5769" s="227"/>
      <c r="E5769" s="231"/>
      <c r="F5769" s="348"/>
      <c r="G5769" s="227"/>
      <c r="H5769" s="227"/>
      <c r="I5769" s="227"/>
      <c r="J5769" s="227"/>
      <c r="K5769" s="227"/>
      <c r="L5769" s="348"/>
      <c r="M5769" s="348"/>
      <c r="N5769" s="227"/>
      <c r="O5769" s="227"/>
      <c r="P5769" s="231"/>
      <c r="Q5769" s="231"/>
      <c r="R5769" s="227"/>
      <c r="S5769" s="231"/>
      <c r="T5769" s="231"/>
      <c r="U5769" s="231"/>
      <c r="V5769" s="231"/>
      <c r="W5769" s="231"/>
      <c r="X5769" s="227"/>
      <c r="Y5769" s="348"/>
      <c r="Z5769" s="348"/>
      <c r="AA5769" s="348"/>
      <c r="AB5769" s="348"/>
      <c r="AC5769" s="227"/>
      <c r="AD5769" s="227"/>
      <c r="AE5769" s="231"/>
      <c r="AF5769" s="227"/>
      <c r="AG5769" s="348"/>
      <c r="AH5769" s="348"/>
      <c r="AI5769" s="348"/>
      <c r="AJ5769" s="348"/>
      <c r="AK5769" s="348"/>
      <c r="AL5769" s="348"/>
      <c r="AM5769" s="348"/>
      <c r="AN5769" s="348"/>
      <c r="AO5769" s="231"/>
      <c r="AP5769" s="231"/>
      <c r="AQ5769" s="227"/>
      <c r="AR5769" s="231"/>
      <c r="AS5769" s="227"/>
      <c r="AT5769" s="227"/>
      <c r="AU5769" s="227"/>
      <c r="AV5769" s="227"/>
      <c r="AW5769" s="227"/>
      <c r="AX5769" s="227"/>
      <c r="AY5769" s="227"/>
      <c r="AZ5769" s="227"/>
      <c r="BA5769" s="227"/>
      <c r="BB5769" s="227"/>
      <c r="BC5769" s="227"/>
      <c r="BD5769" s="227"/>
      <c r="BE5769" s="227"/>
      <c r="BF5769" s="227"/>
    </row>
    <row r="5770">
      <c r="A5770" s="227"/>
      <c r="B5770" s="348"/>
      <c r="C5770" s="227"/>
      <c r="D5770" s="227"/>
      <c r="E5770" s="231"/>
      <c r="F5770" s="348"/>
      <c r="G5770" s="227"/>
      <c r="H5770" s="227"/>
      <c r="I5770" s="227"/>
      <c r="J5770" s="227"/>
      <c r="K5770" s="227"/>
      <c r="L5770" s="348"/>
      <c r="M5770" s="348"/>
      <c r="N5770" s="227"/>
      <c r="O5770" s="227"/>
      <c r="P5770" s="231"/>
      <c r="Q5770" s="231"/>
      <c r="R5770" s="227"/>
      <c r="S5770" s="231"/>
      <c r="T5770" s="231"/>
      <c r="U5770" s="231"/>
      <c r="V5770" s="231"/>
      <c r="W5770" s="231"/>
      <c r="X5770" s="227"/>
      <c r="Y5770" s="348"/>
      <c r="Z5770" s="348"/>
      <c r="AA5770" s="348"/>
      <c r="AB5770" s="348"/>
      <c r="AC5770" s="227"/>
      <c r="AD5770" s="227"/>
      <c r="AE5770" s="231"/>
      <c r="AF5770" s="227"/>
      <c r="AG5770" s="348"/>
      <c r="AH5770" s="348"/>
      <c r="AI5770" s="348"/>
      <c r="AJ5770" s="348"/>
      <c r="AK5770" s="348"/>
      <c r="AL5770" s="348"/>
      <c r="AM5770" s="348"/>
      <c r="AN5770" s="348"/>
      <c r="AO5770" s="231"/>
      <c r="AP5770" s="231"/>
      <c r="AQ5770" s="227"/>
      <c r="AR5770" s="231"/>
      <c r="AS5770" s="227"/>
      <c r="AT5770" s="227"/>
      <c r="AU5770" s="227"/>
      <c r="AV5770" s="227"/>
      <c r="AW5770" s="227"/>
      <c r="AX5770" s="227"/>
      <c r="AY5770" s="227"/>
      <c r="AZ5770" s="227"/>
      <c r="BA5770" s="227"/>
      <c r="BB5770" s="227"/>
      <c r="BC5770" s="227"/>
      <c r="BD5770" s="227"/>
      <c r="BE5770" s="227"/>
      <c r="BF5770" s="227"/>
    </row>
    <row r="5771">
      <c r="A5771" s="227"/>
      <c r="B5771" s="348"/>
      <c r="C5771" s="227"/>
      <c r="D5771" s="227"/>
      <c r="E5771" s="231"/>
      <c r="F5771" s="348"/>
      <c r="G5771" s="227"/>
      <c r="H5771" s="227"/>
      <c r="I5771" s="227"/>
      <c r="J5771" s="227"/>
      <c r="K5771" s="227"/>
      <c r="L5771" s="348"/>
      <c r="M5771" s="348"/>
      <c r="N5771" s="227"/>
      <c r="O5771" s="227"/>
      <c r="P5771" s="231"/>
      <c r="Q5771" s="231"/>
      <c r="R5771" s="227"/>
      <c r="S5771" s="231"/>
      <c r="T5771" s="231"/>
      <c r="U5771" s="231"/>
      <c r="V5771" s="231"/>
      <c r="W5771" s="231"/>
      <c r="X5771" s="227"/>
      <c r="Y5771" s="348"/>
      <c r="Z5771" s="348"/>
      <c r="AA5771" s="348"/>
      <c r="AB5771" s="348"/>
      <c r="AC5771" s="227"/>
      <c r="AD5771" s="227"/>
      <c r="AE5771" s="231"/>
      <c r="AF5771" s="227"/>
      <c r="AG5771" s="348"/>
      <c r="AH5771" s="348"/>
      <c r="AI5771" s="348"/>
      <c r="AJ5771" s="348"/>
      <c r="AK5771" s="348"/>
      <c r="AL5771" s="348"/>
      <c r="AM5771" s="348"/>
      <c r="AN5771" s="348"/>
      <c r="AO5771" s="231"/>
      <c r="AP5771" s="231"/>
      <c r="AQ5771" s="227"/>
      <c r="AR5771" s="231"/>
      <c r="AS5771" s="227"/>
      <c r="AT5771" s="227"/>
      <c r="AU5771" s="227"/>
      <c r="AV5771" s="227"/>
      <c r="AW5771" s="227"/>
      <c r="AX5771" s="227"/>
      <c r="AY5771" s="227"/>
      <c r="AZ5771" s="227"/>
      <c r="BA5771" s="227"/>
      <c r="BB5771" s="227"/>
      <c r="BC5771" s="227"/>
      <c r="BD5771" s="227"/>
      <c r="BE5771" s="227"/>
      <c r="BF5771" s="227"/>
    </row>
    <row r="5772">
      <c r="A5772" s="227"/>
      <c r="B5772" s="348"/>
      <c r="C5772" s="227"/>
      <c r="D5772" s="227"/>
      <c r="E5772" s="231"/>
      <c r="F5772" s="348"/>
      <c r="G5772" s="227"/>
      <c r="H5772" s="227"/>
      <c r="I5772" s="227"/>
      <c r="J5772" s="227"/>
      <c r="K5772" s="227"/>
      <c r="L5772" s="348"/>
      <c r="M5772" s="348"/>
      <c r="N5772" s="227"/>
      <c r="O5772" s="227"/>
      <c r="P5772" s="231"/>
      <c r="Q5772" s="231"/>
      <c r="R5772" s="227"/>
      <c r="S5772" s="231"/>
      <c r="T5772" s="231"/>
      <c r="U5772" s="231"/>
      <c r="V5772" s="231"/>
      <c r="W5772" s="231"/>
      <c r="X5772" s="227"/>
      <c r="Y5772" s="348"/>
      <c r="Z5772" s="348"/>
      <c r="AA5772" s="348"/>
      <c r="AB5772" s="348"/>
      <c r="AC5772" s="227"/>
      <c r="AD5772" s="227"/>
      <c r="AE5772" s="231"/>
      <c r="AF5772" s="227"/>
      <c r="AG5772" s="348"/>
      <c r="AH5772" s="348"/>
      <c r="AI5772" s="348"/>
      <c r="AJ5772" s="348"/>
      <c r="AK5772" s="348"/>
      <c r="AL5772" s="348"/>
      <c r="AM5772" s="348"/>
      <c r="AN5772" s="348"/>
      <c r="AO5772" s="231"/>
      <c r="AP5772" s="231"/>
      <c r="AQ5772" s="227"/>
      <c r="AR5772" s="231"/>
      <c r="AS5772" s="227"/>
      <c r="AT5772" s="227"/>
      <c r="AU5772" s="227"/>
      <c r="AV5772" s="227"/>
      <c r="AW5772" s="227"/>
      <c r="AX5772" s="227"/>
      <c r="AY5772" s="227"/>
      <c r="AZ5772" s="227"/>
      <c r="BA5772" s="227"/>
      <c r="BB5772" s="227"/>
      <c r="BC5772" s="227"/>
      <c r="BD5772" s="227"/>
      <c r="BE5772" s="227"/>
      <c r="BF5772" s="227"/>
    </row>
    <row r="5773">
      <c r="A5773" s="227"/>
      <c r="B5773" s="348"/>
      <c r="C5773" s="227"/>
      <c r="D5773" s="227"/>
      <c r="E5773" s="231"/>
      <c r="F5773" s="348"/>
      <c r="G5773" s="227"/>
      <c r="H5773" s="227"/>
      <c r="I5773" s="227"/>
      <c r="J5773" s="227"/>
      <c r="K5773" s="227"/>
      <c r="L5773" s="348"/>
      <c r="M5773" s="348"/>
      <c r="N5773" s="227"/>
      <c r="O5773" s="227"/>
      <c r="P5773" s="231"/>
      <c r="Q5773" s="231"/>
      <c r="R5773" s="227"/>
      <c r="S5773" s="231"/>
      <c r="T5773" s="231"/>
      <c r="U5773" s="231"/>
      <c r="V5773" s="231"/>
      <c r="W5773" s="231"/>
      <c r="X5773" s="227"/>
      <c r="Y5773" s="348"/>
      <c r="Z5773" s="348"/>
      <c r="AA5773" s="348"/>
      <c r="AB5773" s="348"/>
      <c r="AC5773" s="227"/>
      <c r="AD5773" s="227"/>
      <c r="AE5773" s="231"/>
      <c r="AF5773" s="227"/>
      <c r="AG5773" s="348"/>
      <c r="AH5773" s="348"/>
      <c r="AI5773" s="348"/>
      <c r="AJ5773" s="348"/>
      <c r="AK5773" s="348"/>
      <c r="AL5773" s="348"/>
      <c r="AM5773" s="348"/>
      <c r="AN5773" s="348"/>
      <c r="AO5773" s="231"/>
      <c r="AP5773" s="231"/>
      <c r="AQ5773" s="227"/>
      <c r="AR5773" s="231"/>
      <c r="AS5773" s="227"/>
      <c r="AT5773" s="227"/>
      <c r="AU5773" s="227"/>
      <c r="AV5773" s="227"/>
      <c r="AW5773" s="227"/>
      <c r="AX5773" s="227"/>
      <c r="AY5773" s="227"/>
      <c r="AZ5773" s="227"/>
      <c r="BA5773" s="227"/>
      <c r="BB5773" s="227"/>
      <c r="BC5773" s="227"/>
      <c r="BD5773" s="227"/>
      <c r="BE5773" s="227"/>
      <c r="BF5773" s="227"/>
    </row>
    <row r="5774">
      <c r="A5774" s="227"/>
      <c r="B5774" s="348"/>
      <c r="C5774" s="227"/>
      <c r="D5774" s="227"/>
      <c r="E5774" s="231"/>
      <c r="F5774" s="348"/>
      <c r="G5774" s="227"/>
      <c r="H5774" s="227"/>
      <c r="I5774" s="227"/>
      <c r="J5774" s="227"/>
      <c r="K5774" s="227"/>
      <c r="L5774" s="348"/>
      <c r="M5774" s="348"/>
      <c r="N5774" s="227"/>
      <c r="O5774" s="227"/>
      <c r="P5774" s="231"/>
      <c r="Q5774" s="231"/>
      <c r="R5774" s="227"/>
      <c r="S5774" s="231"/>
      <c r="T5774" s="231"/>
      <c r="U5774" s="231"/>
      <c r="V5774" s="231"/>
      <c r="W5774" s="231"/>
      <c r="X5774" s="227"/>
      <c r="Y5774" s="348"/>
      <c r="Z5774" s="348"/>
      <c r="AA5774" s="348"/>
      <c r="AB5774" s="348"/>
      <c r="AC5774" s="227"/>
      <c r="AD5774" s="227"/>
      <c r="AE5774" s="231"/>
      <c r="AF5774" s="227"/>
      <c r="AG5774" s="348"/>
      <c r="AH5774" s="348"/>
      <c r="AI5774" s="348"/>
      <c r="AJ5774" s="348"/>
      <c r="AK5774" s="348"/>
      <c r="AL5774" s="348"/>
      <c r="AM5774" s="348"/>
      <c r="AN5774" s="348"/>
      <c r="AO5774" s="231"/>
      <c r="AP5774" s="231"/>
      <c r="AQ5774" s="227"/>
      <c r="AR5774" s="231"/>
      <c r="AS5774" s="227"/>
      <c r="AT5774" s="227"/>
      <c r="AU5774" s="227"/>
      <c r="AV5774" s="227"/>
      <c r="AW5774" s="227"/>
      <c r="AX5774" s="227"/>
      <c r="AY5774" s="227"/>
      <c r="AZ5774" s="227"/>
      <c r="BA5774" s="227"/>
      <c r="BB5774" s="227"/>
      <c r="BC5774" s="227"/>
      <c r="BD5774" s="227"/>
      <c r="BE5774" s="227"/>
      <c r="BF5774" s="227"/>
    </row>
    <row r="5775">
      <c r="A5775" s="227"/>
      <c r="B5775" s="348"/>
      <c r="C5775" s="227"/>
      <c r="D5775" s="227"/>
      <c r="E5775" s="231"/>
      <c r="F5775" s="348"/>
      <c r="G5775" s="227"/>
      <c r="H5775" s="227"/>
      <c r="I5775" s="227"/>
      <c r="J5775" s="227"/>
      <c r="K5775" s="227"/>
      <c r="L5775" s="348"/>
      <c r="M5775" s="348"/>
      <c r="N5775" s="227"/>
      <c r="O5775" s="227"/>
      <c r="P5775" s="231"/>
      <c r="Q5775" s="231"/>
      <c r="R5775" s="227"/>
      <c r="S5775" s="231"/>
      <c r="T5775" s="231"/>
      <c r="U5775" s="231"/>
      <c r="V5775" s="231"/>
      <c r="W5775" s="231"/>
      <c r="X5775" s="227"/>
      <c r="Y5775" s="348"/>
      <c r="Z5775" s="348"/>
      <c r="AA5775" s="348"/>
      <c r="AB5775" s="348"/>
      <c r="AC5775" s="227"/>
      <c r="AD5775" s="227"/>
      <c r="AE5775" s="231"/>
      <c r="AF5775" s="227"/>
      <c r="AG5775" s="348"/>
      <c r="AH5775" s="348"/>
      <c r="AI5775" s="348"/>
      <c r="AJ5775" s="348"/>
      <c r="AK5775" s="348"/>
      <c r="AL5775" s="348"/>
      <c r="AM5775" s="348"/>
      <c r="AN5775" s="348"/>
      <c r="AO5775" s="231"/>
      <c r="AP5775" s="231"/>
      <c r="AQ5775" s="227"/>
      <c r="AR5775" s="231"/>
      <c r="AS5775" s="227"/>
      <c r="AT5775" s="227"/>
      <c r="AU5775" s="227"/>
      <c r="AV5775" s="227"/>
      <c r="AW5775" s="227"/>
      <c r="AX5775" s="227"/>
      <c r="AY5775" s="227"/>
      <c r="AZ5775" s="227"/>
      <c r="BA5775" s="227"/>
      <c r="BB5775" s="227"/>
      <c r="BC5775" s="227"/>
      <c r="BD5775" s="227"/>
      <c r="BE5775" s="227"/>
      <c r="BF5775" s="227"/>
    </row>
    <row r="5776">
      <c r="A5776" s="227"/>
      <c r="B5776" s="348"/>
      <c r="C5776" s="227"/>
      <c r="D5776" s="227"/>
      <c r="E5776" s="231"/>
      <c r="F5776" s="348"/>
      <c r="G5776" s="227"/>
      <c r="H5776" s="227"/>
      <c r="I5776" s="227"/>
      <c r="J5776" s="227"/>
      <c r="K5776" s="227"/>
      <c r="L5776" s="348"/>
      <c r="M5776" s="348"/>
      <c r="N5776" s="227"/>
      <c r="O5776" s="227"/>
      <c r="P5776" s="231"/>
      <c r="Q5776" s="231"/>
      <c r="R5776" s="227"/>
      <c r="S5776" s="231"/>
      <c r="T5776" s="231"/>
      <c r="U5776" s="231"/>
      <c r="V5776" s="231"/>
      <c r="W5776" s="231"/>
      <c r="X5776" s="227"/>
      <c r="Y5776" s="348"/>
      <c r="Z5776" s="348"/>
      <c r="AA5776" s="348"/>
      <c r="AB5776" s="348"/>
      <c r="AC5776" s="227"/>
      <c r="AD5776" s="227"/>
      <c r="AE5776" s="231"/>
      <c r="AF5776" s="227"/>
      <c r="AG5776" s="348"/>
      <c r="AH5776" s="348"/>
      <c r="AI5776" s="348"/>
      <c r="AJ5776" s="348"/>
      <c r="AK5776" s="348"/>
      <c r="AL5776" s="348"/>
      <c r="AM5776" s="348"/>
      <c r="AN5776" s="348"/>
      <c r="AO5776" s="231"/>
      <c r="AP5776" s="231"/>
      <c r="AQ5776" s="227"/>
      <c r="AR5776" s="231"/>
      <c r="AS5776" s="227"/>
      <c r="AT5776" s="227"/>
      <c r="AU5776" s="227"/>
      <c r="AV5776" s="227"/>
      <c r="AW5776" s="227"/>
      <c r="AX5776" s="227"/>
      <c r="AY5776" s="227"/>
      <c r="AZ5776" s="227"/>
      <c r="BA5776" s="227"/>
      <c r="BB5776" s="227"/>
      <c r="BC5776" s="227"/>
      <c r="BD5776" s="227"/>
      <c r="BE5776" s="227"/>
      <c r="BF5776" s="227"/>
    </row>
    <row r="5777">
      <c r="A5777" s="227"/>
      <c r="B5777" s="348"/>
      <c r="C5777" s="227"/>
      <c r="D5777" s="227"/>
      <c r="E5777" s="231"/>
      <c r="F5777" s="348"/>
      <c r="G5777" s="227"/>
      <c r="H5777" s="227"/>
      <c r="I5777" s="227"/>
      <c r="J5777" s="227"/>
      <c r="K5777" s="227"/>
      <c r="L5777" s="348"/>
      <c r="M5777" s="348"/>
      <c r="N5777" s="227"/>
      <c r="O5777" s="227"/>
      <c r="P5777" s="231"/>
      <c r="Q5777" s="231"/>
      <c r="R5777" s="227"/>
      <c r="S5777" s="231"/>
      <c r="T5777" s="231"/>
      <c r="U5777" s="231"/>
      <c r="V5777" s="231"/>
      <c r="W5777" s="231"/>
      <c r="X5777" s="227"/>
      <c r="Y5777" s="348"/>
      <c r="Z5777" s="348"/>
      <c r="AA5777" s="348"/>
      <c r="AB5777" s="348"/>
      <c r="AC5777" s="227"/>
      <c r="AD5777" s="227"/>
      <c r="AE5777" s="231"/>
      <c r="AF5777" s="227"/>
      <c r="AG5777" s="348"/>
      <c r="AH5777" s="348"/>
      <c r="AI5777" s="348"/>
      <c r="AJ5777" s="348"/>
      <c r="AK5777" s="348"/>
      <c r="AL5777" s="348"/>
      <c r="AM5777" s="348"/>
      <c r="AN5777" s="348"/>
      <c r="AO5777" s="231"/>
      <c r="AP5777" s="231"/>
      <c r="AQ5777" s="227"/>
      <c r="AR5777" s="231"/>
      <c r="AS5777" s="227"/>
      <c r="AT5777" s="227"/>
      <c r="AU5777" s="227"/>
      <c r="AV5777" s="227"/>
      <c r="AW5777" s="227"/>
      <c r="AX5777" s="227"/>
      <c r="AY5777" s="227"/>
      <c r="AZ5777" s="227"/>
      <c r="BA5777" s="227"/>
      <c r="BB5777" s="227"/>
      <c r="BC5777" s="227"/>
      <c r="BD5777" s="227"/>
      <c r="BE5777" s="227"/>
      <c r="BF5777" s="227"/>
    </row>
    <row r="5778">
      <c r="A5778" s="227"/>
      <c r="B5778" s="348"/>
      <c r="C5778" s="227"/>
      <c r="D5778" s="227"/>
      <c r="E5778" s="231"/>
      <c r="F5778" s="348"/>
      <c r="G5778" s="227"/>
      <c r="H5778" s="227"/>
      <c r="I5778" s="227"/>
      <c r="J5778" s="227"/>
      <c r="K5778" s="227"/>
      <c r="L5778" s="348"/>
      <c r="M5778" s="348"/>
      <c r="N5778" s="227"/>
      <c r="O5778" s="227"/>
      <c r="P5778" s="231"/>
      <c r="Q5778" s="231"/>
      <c r="R5778" s="227"/>
      <c r="S5778" s="231"/>
      <c r="T5778" s="231"/>
      <c r="U5778" s="231"/>
      <c r="V5778" s="231"/>
      <c r="W5778" s="231"/>
      <c r="X5778" s="227"/>
      <c r="Y5778" s="348"/>
      <c r="Z5778" s="348"/>
      <c r="AA5778" s="348"/>
      <c r="AB5778" s="348"/>
      <c r="AC5778" s="227"/>
      <c r="AD5778" s="227"/>
      <c r="AE5778" s="231"/>
      <c r="AF5778" s="227"/>
      <c r="AG5778" s="348"/>
      <c r="AH5778" s="348"/>
      <c r="AI5778" s="348"/>
      <c r="AJ5778" s="348"/>
      <c r="AK5778" s="348"/>
      <c r="AL5778" s="348"/>
      <c r="AM5778" s="348"/>
      <c r="AN5778" s="348"/>
      <c r="AO5778" s="231"/>
      <c r="AP5778" s="231"/>
      <c r="AQ5778" s="227"/>
      <c r="AR5778" s="231"/>
      <c r="AS5778" s="227"/>
      <c r="AT5778" s="227"/>
      <c r="AU5778" s="227"/>
      <c r="AV5778" s="227"/>
      <c r="AW5778" s="227"/>
      <c r="AX5778" s="227"/>
      <c r="AY5778" s="227"/>
      <c r="AZ5778" s="227"/>
      <c r="BA5778" s="227"/>
      <c r="BB5778" s="227"/>
      <c r="BC5778" s="227"/>
      <c r="BD5778" s="227"/>
      <c r="BE5778" s="227"/>
      <c r="BF5778" s="227"/>
    </row>
    <row r="5779">
      <c r="A5779" s="227"/>
      <c r="B5779" s="348"/>
      <c r="C5779" s="227"/>
      <c r="D5779" s="227"/>
      <c r="E5779" s="231"/>
      <c r="F5779" s="348"/>
      <c r="G5779" s="227"/>
      <c r="H5779" s="227"/>
      <c r="I5779" s="227"/>
      <c r="J5779" s="227"/>
      <c r="K5779" s="227"/>
      <c r="L5779" s="348"/>
      <c r="M5779" s="348"/>
      <c r="N5779" s="227"/>
      <c r="O5779" s="227"/>
      <c r="P5779" s="231"/>
      <c r="Q5779" s="231"/>
      <c r="R5779" s="227"/>
      <c r="S5779" s="231"/>
      <c r="T5779" s="231"/>
      <c r="U5779" s="231"/>
      <c r="V5779" s="231"/>
      <c r="W5779" s="231"/>
      <c r="X5779" s="227"/>
      <c r="Y5779" s="348"/>
      <c r="Z5779" s="348"/>
      <c r="AA5779" s="348"/>
      <c r="AB5779" s="348"/>
      <c r="AC5779" s="227"/>
      <c r="AD5779" s="227"/>
      <c r="AE5779" s="231"/>
      <c r="AF5779" s="227"/>
      <c r="AG5779" s="348"/>
      <c r="AH5779" s="348"/>
      <c r="AI5779" s="348"/>
      <c r="AJ5779" s="348"/>
      <c r="AK5779" s="348"/>
      <c r="AL5779" s="348"/>
      <c r="AM5779" s="348"/>
      <c r="AN5779" s="348"/>
      <c r="AO5779" s="231"/>
      <c r="AP5779" s="231"/>
      <c r="AQ5779" s="227"/>
      <c r="AR5779" s="231"/>
      <c r="AS5779" s="227"/>
      <c r="AT5779" s="227"/>
      <c r="AU5779" s="227"/>
      <c r="AV5779" s="227"/>
      <c r="AW5779" s="227"/>
      <c r="AX5779" s="227"/>
      <c r="AY5779" s="227"/>
      <c r="AZ5779" s="227"/>
      <c r="BA5779" s="227"/>
      <c r="BB5779" s="227"/>
      <c r="BC5779" s="227"/>
      <c r="BD5779" s="227"/>
      <c r="BE5779" s="227"/>
      <c r="BF5779" s="227"/>
    </row>
    <row r="5780">
      <c r="A5780" s="227"/>
      <c r="B5780" s="348"/>
      <c r="C5780" s="227"/>
      <c r="D5780" s="227"/>
      <c r="E5780" s="231"/>
      <c r="F5780" s="348"/>
      <c r="G5780" s="227"/>
      <c r="H5780" s="227"/>
      <c r="I5780" s="227"/>
      <c r="J5780" s="227"/>
      <c r="K5780" s="227"/>
      <c r="L5780" s="348"/>
      <c r="M5780" s="348"/>
      <c r="N5780" s="227"/>
      <c r="O5780" s="227"/>
      <c r="P5780" s="231"/>
      <c r="Q5780" s="231"/>
      <c r="R5780" s="227"/>
      <c r="S5780" s="231"/>
      <c r="T5780" s="231"/>
      <c r="U5780" s="231"/>
      <c r="V5780" s="231"/>
      <c r="W5780" s="231"/>
      <c r="X5780" s="227"/>
      <c r="Y5780" s="348"/>
      <c r="Z5780" s="348"/>
      <c r="AA5780" s="348"/>
      <c r="AB5780" s="348"/>
      <c r="AC5780" s="227"/>
      <c r="AD5780" s="227"/>
      <c r="AE5780" s="231"/>
      <c r="AF5780" s="227"/>
      <c r="AG5780" s="348"/>
      <c r="AH5780" s="348"/>
      <c r="AI5780" s="348"/>
      <c r="AJ5780" s="348"/>
      <c r="AK5780" s="348"/>
      <c r="AL5780" s="348"/>
      <c r="AM5780" s="348"/>
      <c r="AN5780" s="348"/>
      <c r="AO5780" s="231"/>
      <c r="AP5780" s="231"/>
      <c r="AQ5780" s="227"/>
      <c r="AR5780" s="231"/>
      <c r="AS5780" s="227"/>
      <c r="AT5780" s="227"/>
      <c r="AU5780" s="227"/>
      <c r="AV5780" s="227"/>
      <c r="AW5780" s="227"/>
      <c r="AX5780" s="227"/>
      <c r="AY5780" s="227"/>
      <c r="AZ5780" s="227"/>
      <c r="BA5780" s="227"/>
      <c r="BB5780" s="227"/>
      <c r="BC5780" s="227"/>
      <c r="BD5780" s="227"/>
      <c r="BE5780" s="227"/>
      <c r="BF5780" s="227"/>
    </row>
    <row r="5781">
      <c r="A5781" s="227"/>
      <c r="B5781" s="348"/>
      <c r="C5781" s="227"/>
      <c r="D5781" s="227"/>
      <c r="E5781" s="231"/>
      <c r="F5781" s="348"/>
      <c r="G5781" s="227"/>
      <c r="H5781" s="227"/>
      <c r="I5781" s="227"/>
      <c r="J5781" s="227"/>
      <c r="K5781" s="227"/>
      <c r="L5781" s="348"/>
      <c r="M5781" s="348"/>
      <c r="N5781" s="227"/>
      <c r="O5781" s="227"/>
      <c r="P5781" s="231"/>
      <c r="Q5781" s="231"/>
      <c r="R5781" s="227"/>
      <c r="S5781" s="231"/>
      <c r="T5781" s="231"/>
      <c r="U5781" s="231"/>
      <c r="V5781" s="231"/>
      <c r="W5781" s="231"/>
      <c r="X5781" s="227"/>
      <c r="Y5781" s="348"/>
      <c r="Z5781" s="348"/>
      <c r="AA5781" s="348"/>
      <c r="AB5781" s="348"/>
      <c r="AC5781" s="227"/>
      <c r="AD5781" s="227"/>
      <c r="AE5781" s="231"/>
      <c r="AF5781" s="227"/>
      <c r="AG5781" s="348"/>
      <c r="AH5781" s="348"/>
      <c r="AI5781" s="348"/>
      <c r="AJ5781" s="348"/>
      <c r="AK5781" s="348"/>
      <c r="AL5781" s="348"/>
      <c r="AM5781" s="348"/>
      <c r="AN5781" s="348"/>
      <c r="AO5781" s="231"/>
      <c r="AP5781" s="231"/>
      <c r="AQ5781" s="227"/>
      <c r="AR5781" s="231"/>
      <c r="AS5781" s="227"/>
      <c r="AT5781" s="227"/>
      <c r="AU5781" s="227"/>
      <c r="AV5781" s="227"/>
      <c r="AW5781" s="227"/>
      <c r="AX5781" s="227"/>
      <c r="AY5781" s="227"/>
      <c r="AZ5781" s="227"/>
      <c r="BA5781" s="227"/>
      <c r="BB5781" s="227"/>
      <c r="BC5781" s="227"/>
      <c r="BD5781" s="227"/>
      <c r="BE5781" s="227"/>
      <c r="BF5781" s="227"/>
    </row>
    <row r="5782">
      <c r="A5782" s="227"/>
      <c r="B5782" s="348"/>
      <c r="C5782" s="227"/>
      <c r="D5782" s="227"/>
      <c r="E5782" s="231"/>
      <c r="F5782" s="348"/>
      <c r="G5782" s="227"/>
      <c r="H5782" s="227"/>
      <c r="I5782" s="227"/>
      <c r="J5782" s="227"/>
      <c r="K5782" s="227"/>
      <c r="L5782" s="348"/>
      <c r="M5782" s="348"/>
      <c r="N5782" s="227"/>
      <c r="O5782" s="227"/>
      <c r="P5782" s="231"/>
      <c r="Q5782" s="231"/>
      <c r="R5782" s="227"/>
      <c r="S5782" s="231"/>
      <c r="T5782" s="231"/>
      <c r="U5782" s="231"/>
      <c r="V5782" s="231"/>
      <c r="W5782" s="231"/>
      <c r="X5782" s="227"/>
      <c r="Y5782" s="348"/>
      <c r="Z5782" s="348"/>
      <c r="AA5782" s="348"/>
      <c r="AB5782" s="348"/>
      <c r="AC5782" s="227"/>
      <c r="AD5782" s="227"/>
      <c r="AE5782" s="231"/>
      <c r="AF5782" s="227"/>
      <c r="AG5782" s="348"/>
      <c r="AH5782" s="348"/>
      <c r="AI5782" s="348"/>
      <c r="AJ5782" s="348"/>
      <c r="AK5782" s="348"/>
      <c r="AL5782" s="348"/>
      <c r="AM5782" s="348"/>
      <c r="AN5782" s="348"/>
      <c r="AO5782" s="231"/>
      <c r="AP5782" s="231"/>
      <c r="AQ5782" s="227"/>
      <c r="AR5782" s="231"/>
      <c r="AS5782" s="227"/>
      <c r="AT5782" s="227"/>
      <c r="AU5782" s="227"/>
      <c r="AV5782" s="227"/>
      <c r="AW5782" s="227"/>
      <c r="AX5782" s="227"/>
      <c r="AY5782" s="227"/>
      <c r="AZ5782" s="227"/>
      <c r="BA5782" s="227"/>
      <c r="BB5782" s="227"/>
      <c r="BC5782" s="227"/>
      <c r="BD5782" s="227"/>
      <c r="BE5782" s="227"/>
      <c r="BF5782" s="227"/>
    </row>
    <row r="5783">
      <c r="A5783" s="227"/>
      <c r="B5783" s="348"/>
      <c r="C5783" s="227"/>
      <c r="D5783" s="227"/>
      <c r="E5783" s="231"/>
      <c r="F5783" s="348"/>
      <c r="G5783" s="227"/>
      <c r="H5783" s="227"/>
      <c r="I5783" s="227"/>
      <c r="J5783" s="227"/>
      <c r="K5783" s="227"/>
      <c r="L5783" s="348"/>
      <c r="M5783" s="348"/>
      <c r="N5783" s="227"/>
      <c r="O5783" s="227"/>
      <c r="P5783" s="231"/>
      <c r="Q5783" s="231"/>
      <c r="R5783" s="227"/>
      <c r="S5783" s="231"/>
      <c r="T5783" s="231"/>
      <c r="U5783" s="231"/>
      <c r="V5783" s="231"/>
      <c r="W5783" s="231"/>
      <c r="X5783" s="227"/>
      <c r="Y5783" s="348"/>
      <c r="Z5783" s="348"/>
      <c r="AA5783" s="348"/>
      <c r="AB5783" s="348"/>
      <c r="AC5783" s="227"/>
      <c r="AD5783" s="227"/>
      <c r="AE5783" s="231"/>
      <c r="AF5783" s="227"/>
      <c r="AG5783" s="348"/>
      <c r="AH5783" s="348"/>
      <c r="AI5783" s="348"/>
      <c r="AJ5783" s="348"/>
      <c r="AK5783" s="348"/>
      <c r="AL5783" s="348"/>
      <c r="AM5783" s="348"/>
      <c r="AN5783" s="348"/>
      <c r="AO5783" s="231"/>
      <c r="AP5783" s="231"/>
      <c r="AQ5783" s="227"/>
      <c r="AR5783" s="231"/>
      <c r="AS5783" s="227"/>
      <c r="AT5783" s="227"/>
      <c r="AU5783" s="227"/>
      <c r="AV5783" s="227"/>
      <c r="AW5783" s="227"/>
      <c r="AX5783" s="227"/>
      <c r="AY5783" s="227"/>
      <c r="AZ5783" s="227"/>
      <c r="BA5783" s="227"/>
      <c r="BB5783" s="227"/>
      <c r="BC5783" s="227"/>
      <c r="BD5783" s="227"/>
      <c r="BE5783" s="227"/>
      <c r="BF5783" s="227"/>
    </row>
    <row r="5784">
      <c r="A5784" s="227"/>
      <c r="B5784" s="348"/>
      <c r="C5784" s="227"/>
      <c r="D5784" s="227"/>
      <c r="E5784" s="231"/>
      <c r="F5784" s="348"/>
      <c r="G5784" s="227"/>
      <c r="H5784" s="227"/>
      <c r="I5784" s="227"/>
      <c r="J5784" s="227"/>
      <c r="K5784" s="227"/>
      <c r="L5784" s="348"/>
      <c r="M5784" s="348"/>
      <c r="N5784" s="227"/>
      <c r="O5784" s="227"/>
      <c r="P5784" s="231"/>
      <c r="Q5784" s="231"/>
      <c r="R5784" s="227"/>
      <c r="S5784" s="231"/>
      <c r="T5784" s="231"/>
      <c r="U5784" s="231"/>
      <c r="V5784" s="231"/>
      <c r="W5784" s="231"/>
      <c r="X5784" s="227"/>
      <c r="Y5784" s="348"/>
      <c r="Z5784" s="348"/>
      <c r="AA5784" s="348"/>
      <c r="AB5784" s="348"/>
      <c r="AC5784" s="227"/>
      <c r="AD5784" s="227"/>
      <c r="AE5784" s="231"/>
      <c r="AF5784" s="227"/>
      <c r="AG5784" s="348"/>
      <c r="AH5784" s="348"/>
      <c r="AI5784" s="348"/>
      <c r="AJ5784" s="348"/>
      <c r="AK5784" s="348"/>
      <c r="AL5784" s="348"/>
      <c r="AM5784" s="348"/>
      <c r="AN5784" s="348"/>
      <c r="AO5784" s="231"/>
      <c r="AP5784" s="231"/>
      <c r="AQ5784" s="227"/>
      <c r="AR5784" s="231"/>
      <c r="AS5784" s="227"/>
      <c r="AT5784" s="227"/>
      <c r="AU5784" s="227"/>
      <c r="AV5784" s="227"/>
      <c r="AW5784" s="227"/>
      <c r="AX5784" s="227"/>
      <c r="AY5784" s="227"/>
      <c r="AZ5784" s="227"/>
      <c r="BA5784" s="227"/>
      <c r="BB5784" s="227"/>
      <c r="BC5784" s="227"/>
      <c r="BD5784" s="227"/>
      <c r="BE5784" s="227"/>
      <c r="BF5784" s="227"/>
    </row>
    <row r="5785">
      <c r="A5785" s="227"/>
      <c r="B5785" s="348"/>
      <c r="C5785" s="227"/>
      <c r="D5785" s="227"/>
      <c r="E5785" s="231"/>
      <c r="F5785" s="348"/>
      <c r="G5785" s="227"/>
      <c r="H5785" s="227"/>
      <c r="I5785" s="227"/>
      <c r="J5785" s="227"/>
      <c r="K5785" s="227"/>
      <c r="L5785" s="348"/>
      <c r="M5785" s="348"/>
      <c r="N5785" s="227"/>
      <c r="O5785" s="227"/>
      <c r="P5785" s="231"/>
      <c r="Q5785" s="231"/>
      <c r="R5785" s="227"/>
      <c r="S5785" s="231"/>
      <c r="T5785" s="231"/>
      <c r="U5785" s="231"/>
      <c r="V5785" s="231"/>
      <c r="W5785" s="231"/>
      <c r="X5785" s="227"/>
      <c r="Y5785" s="348"/>
      <c r="Z5785" s="348"/>
      <c r="AA5785" s="348"/>
      <c r="AB5785" s="348"/>
      <c r="AC5785" s="227"/>
      <c r="AD5785" s="227"/>
      <c r="AE5785" s="231"/>
      <c r="AF5785" s="227"/>
      <c r="AG5785" s="348"/>
      <c r="AH5785" s="348"/>
      <c r="AI5785" s="348"/>
      <c r="AJ5785" s="348"/>
      <c r="AK5785" s="348"/>
      <c r="AL5785" s="348"/>
      <c r="AM5785" s="348"/>
      <c r="AN5785" s="348"/>
      <c r="AO5785" s="231"/>
      <c r="AP5785" s="231"/>
      <c r="AQ5785" s="227"/>
      <c r="AR5785" s="231"/>
      <c r="AS5785" s="227"/>
      <c r="AT5785" s="227"/>
      <c r="AU5785" s="227"/>
      <c r="AV5785" s="227"/>
      <c r="AW5785" s="227"/>
      <c r="AX5785" s="227"/>
      <c r="AY5785" s="227"/>
      <c r="AZ5785" s="227"/>
      <c r="BA5785" s="227"/>
      <c r="BB5785" s="227"/>
      <c r="BC5785" s="227"/>
      <c r="BD5785" s="227"/>
      <c r="BE5785" s="227"/>
      <c r="BF5785" s="227"/>
    </row>
    <row r="5786">
      <c r="A5786" s="227"/>
      <c r="B5786" s="348"/>
      <c r="C5786" s="227"/>
      <c r="D5786" s="227"/>
      <c r="E5786" s="231"/>
      <c r="F5786" s="348"/>
      <c r="G5786" s="227"/>
      <c r="H5786" s="227"/>
      <c r="I5786" s="227"/>
      <c r="J5786" s="227"/>
      <c r="K5786" s="227"/>
      <c r="L5786" s="348"/>
      <c r="M5786" s="348"/>
      <c r="N5786" s="227"/>
      <c r="O5786" s="227"/>
      <c r="P5786" s="231"/>
      <c r="Q5786" s="231"/>
      <c r="R5786" s="227"/>
      <c r="S5786" s="231"/>
      <c r="T5786" s="231"/>
      <c r="U5786" s="231"/>
      <c r="V5786" s="231"/>
      <c r="W5786" s="231"/>
      <c r="X5786" s="227"/>
      <c r="Y5786" s="348"/>
      <c r="Z5786" s="348"/>
      <c r="AA5786" s="348"/>
      <c r="AB5786" s="348"/>
      <c r="AC5786" s="227"/>
      <c r="AD5786" s="227"/>
      <c r="AE5786" s="231"/>
      <c r="AF5786" s="227"/>
      <c r="AG5786" s="348"/>
      <c r="AH5786" s="348"/>
      <c r="AI5786" s="348"/>
      <c r="AJ5786" s="348"/>
      <c r="AK5786" s="348"/>
      <c r="AL5786" s="348"/>
      <c r="AM5786" s="348"/>
      <c r="AN5786" s="348"/>
      <c r="AO5786" s="231"/>
      <c r="AP5786" s="231"/>
      <c r="AQ5786" s="227"/>
      <c r="AR5786" s="231"/>
      <c r="AS5786" s="227"/>
      <c r="AT5786" s="227"/>
      <c r="AU5786" s="227"/>
      <c r="AV5786" s="227"/>
      <c r="AW5786" s="227"/>
      <c r="AX5786" s="227"/>
      <c r="AY5786" s="227"/>
      <c r="AZ5786" s="227"/>
      <c r="BA5786" s="227"/>
      <c r="BB5786" s="227"/>
      <c r="BC5786" s="227"/>
      <c r="BD5786" s="227"/>
      <c r="BE5786" s="227"/>
      <c r="BF5786" s="227"/>
    </row>
    <row r="5787">
      <c r="A5787" s="227"/>
      <c r="B5787" s="348"/>
      <c r="C5787" s="227"/>
      <c r="D5787" s="227"/>
      <c r="E5787" s="231"/>
      <c r="F5787" s="348"/>
      <c r="G5787" s="227"/>
      <c r="H5787" s="227"/>
      <c r="I5787" s="227"/>
      <c r="J5787" s="227"/>
      <c r="K5787" s="227"/>
      <c r="L5787" s="348"/>
      <c r="M5787" s="348"/>
      <c r="N5787" s="227"/>
      <c r="O5787" s="227"/>
      <c r="P5787" s="231"/>
      <c r="Q5787" s="231"/>
      <c r="R5787" s="227"/>
      <c r="S5787" s="231"/>
      <c r="T5787" s="231"/>
      <c r="U5787" s="231"/>
      <c r="V5787" s="231"/>
      <c r="W5787" s="231"/>
      <c r="X5787" s="227"/>
      <c r="Y5787" s="348"/>
      <c r="Z5787" s="348"/>
      <c r="AA5787" s="348"/>
      <c r="AB5787" s="348"/>
      <c r="AC5787" s="227"/>
      <c r="AD5787" s="227"/>
      <c r="AE5787" s="231"/>
      <c r="AF5787" s="227"/>
      <c r="AG5787" s="348"/>
      <c r="AH5787" s="348"/>
      <c r="AI5787" s="348"/>
      <c r="AJ5787" s="348"/>
      <c r="AK5787" s="348"/>
      <c r="AL5787" s="348"/>
      <c r="AM5787" s="348"/>
      <c r="AN5787" s="348"/>
      <c r="AO5787" s="231"/>
      <c r="AP5787" s="231"/>
      <c r="AQ5787" s="227"/>
      <c r="AR5787" s="231"/>
      <c r="AS5787" s="227"/>
      <c r="AT5787" s="227"/>
      <c r="AU5787" s="227"/>
      <c r="AV5787" s="227"/>
      <c r="AW5787" s="227"/>
      <c r="AX5787" s="227"/>
      <c r="AY5787" s="227"/>
      <c r="AZ5787" s="227"/>
      <c r="BA5787" s="227"/>
      <c r="BB5787" s="227"/>
      <c r="BC5787" s="227"/>
      <c r="BD5787" s="227"/>
      <c r="BE5787" s="227"/>
      <c r="BF5787" s="227"/>
    </row>
    <row r="5788">
      <c r="A5788" s="227"/>
      <c r="B5788" s="348"/>
      <c r="C5788" s="227"/>
      <c r="D5788" s="227"/>
      <c r="E5788" s="231"/>
      <c r="F5788" s="348"/>
      <c r="G5788" s="227"/>
      <c r="H5788" s="227"/>
      <c r="I5788" s="227"/>
      <c r="J5788" s="227"/>
      <c r="K5788" s="227"/>
      <c r="L5788" s="348"/>
      <c r="M5788" s="348"/>
      <c r="N5788" s="227"/>
      <c r="O5788" s="227"/>
      <c r="P5788" s="231"/>
      <c r="Q5788" s="231"/>
      <c r="R5788" s="227"/>
      <c r="S5788" s="231"/>
      <c r="T5788" s="231"/>
      <c r="U5788" s="231"/>
      <c r="V5788" s="231"/>
      <c r="W5788" s="231"/>
      <c r="X5788" s="227"/>
      <c r="Y5788" s="348"/>
      <c r="Z5788" s="348"/>
      <c r="AA5788" s="348"/>
      <c r="AB5788" s="348"/>
      <c r="AC5788" s="227"/>
      <c r="AD5788" s="227"/>
      <c r="AE5788" s="231"/>
      <c r="AF5788" s="227"/>
      <c r="AG5788" s="348"/>
      <c r="AH5788" s="348"/>
      <c r="AI5788" s="348"/>
      <c r="AJ5788" s="348"/>
      <c r="AK5788" s="348"/>
      <c r="AL5788" s="348"/>
      <c r="AM5788" s="348"/>
      <c r="AN5788" s="348"/>
      <c r="AO5788" s="231"/>
      <c r="AP5788" s="231"/>
      <c r="AQ5788" s="227"/>
      <c r="AR5788" s="231"/>
      <c r="AS5788" s="227"/>
      <c r="AT5788" s="227"/>
      <c r="AU5788" s="227"/>
      <c r="AV5788" s="227"/>
      <c r="AW5788" s="227"/>
      <c r="AX5788" s="227"/>
      <c r="AY5788" s="227"/>
      <c r="AZ5788" s="227"/>
      <c r="BA5788" s="227"/>
      <c r="BB5788" s="227"/>
      <c r="BC5788" s="227"/>
      <c r="BD5788" s="227"/>
      <c r="BE5788" s="227"/>
      <c r="BF5788" s="227"/>
    </row>
    <row r="5789">
      <c r="A5789" s="227"/>
      <c r="B5789" s="348"/>
      <c r="C5789" s="227"/>
      <c r="D5789" s="227"/>
      <c r="E5789" s="231"/>
      <c r="F5789" s="348"/>
      <c r="G5789" s="227"/>
      <c r="H5789" s="227"/>
      <c r="I5789" s="227"/>
      <c r="J5789" s="227"/>
      <c r="K5789" s="227"/>
      <c r="L5789" s="348"/>
      <c r="M5789" s="348"/>
      <c r="N5789" s="227"/>
      <c r="O5789" s="227"/>
      <c r="P5789" s="231"/>
      <c r="Q5789" s="231"/>
      <c r="R5789" s="227"/>
      <c r="S5789" s="231"/>
      <c r="T5789" s="231"/>
      <c r="U5789" s="231"/>
      <c r="V5789" s="231"/>
      <c r="W5789" s="231"/>
      <c r="X5789" s="227"/>
      <c r="Y5789" s="348"/>
      <c r="Z5789" s="348"/>
      <c r="AA5789" s="348"/>
      <c r="AB5789" s="348"/>
      <c r="AC5789" s="227"/>
      <c r="AD5789" s="227"/>
      <c r="AE5789" s="231"/>
      <c r="AF5789" s="227"/>
      <c r="AG5789" s="348"/>
      <c r="AH5789" s="348"/>
      <c r="AI5789" s="348"/>
      <c r="AJ5789" s="348"/>
      <c r="AK5789" s="348"/>
      <c r="AL5789" s="348"/>
      <c r="AM5789" s="348"/>
      <c r="AN5789" s="348"/>
      <c r="AO5789" s="231"/>
      <c r="AP5789" s="231"/>
      <c r="AQ5789" s="227"/>
      <c r="AR5789" s="231"/>
      <c r="AS5789" s="227"/>
      <c r="AT5789" s="227"/>
      <c r="AU5789" s="227"/>
      <c r="AV5789" s="227"/>
      <c r="AW5789" s="227"/>
      <c r="AX5789" s="227"/>
      <c r="AY5789" s="227"/>
      <c r="AZ5789" s="227"/>
      <c r="BA5789" s="227"/>
      <c r="BB5789" s="227"/>
      <c r="BC5789" s="227"/>
      <c r="BD5789" s="227"/>
      <c r="BE5789" s="227"/>
      <c r="BF5789" s="227"/>
    </row>
    <row r="5790">
      <c r="A5790" s="227"/>
      <c r="B5790" s="348"/>
      <c r="C5790" s="227"/>
      <c r="D5790" s="227"/>
      <c r="E5790" s="231"/>
      <c r="F5790" s="348"/>
      <c r="G5790" s="227"/>
      <c r="H5790" s="227"/>
      <c r="I5790" s="227"/>
      <c r="J5790" s="227"/>
      <c r="K5790" s="227"/>
      <c r="L5790" s="348"/>
      <c r="M5790" s="348"/>
      <c r="N5790" s="227"/>
      <c r="O5790" s="227"/>
      <c r="P5790" s="231"/>
      <c r="Q5790" s="231"/>
      <c r="R5790" s="227"/>
      <c r="S5790" s="231"/>
      <c r="T5790" s="231"/>
      <c r="U5790" s="231"/>
      <c r="V5790" s="231"/>
      <c r="W5790" s="231"/>
      <c r="X5790" s="227"/>
      <c r="Y5790" s="348"/>
      <c r="Z5790" s="348"/>
      <c r="AA5790" s="348"/>
      <c r="AB5790" s="348"/>
      <c r="AC5790" s="227"/>
      <c r="AD5790" s="227"/>
      <c r="AE5790" s="231"/>
      <c r="AF5790" s="227"/>
      <c r="AG5790" s="348"/>
      <c r="AH5790" s="348"/>
      <c r="AI5790" s="348"/>
      <c r="AJ5790" s="348"/>
      <c r="AK5790" s="348"/>
      <c r="AL5790" s="348"/>
      <c r="AM5790" s="348"/>
      <c r="AN5790" s="348"/>
      <c r="AO5790" s="231"/>
      <c r="AP5790" s="231"/>
      <c r="AQ5790" s="227"/>
      <c r="AR5790" s="231"/>
      <c r="AS5790" s="227"/>
      <c r="AT5790" s="227"/>
      <c r="AU5790" s="227"/>
      <c r="AV5790" s="227"/>
      <c r="AW5790" s="227"/>
      <c r="AX5790" s="227"/>
      <c r="AY5790" s="227"/>
      <c r="AZ5790" s="227"/>
      <c r="BA5790" s="227"/>
      <c r="BB5790" s="227"/>
      <c r="BC5790" s="227"/>
      <c r="BD5790" s="227"/>
      <c r="BE5790" s="227"/>
      <c r="BF5790" s="227"/>
    </row>
    <row r="5791">
      <c r="A5791" s="227"/>
      <c r="B5791" s="348"/>
      <c r="C5791" s="227"/>
      <c r="D5791" s="227"/>
      <c r="E5791" s="231"/>
      <c r="F5791" s="348"/>
      <c r="G5791" s="227"/>
      <c r="H5791" s="227"/>
      <c r="I5791" s="227"/>
      <c r="J5791" s="227"/>
      <c r="K5791" s="227"/>
      <c r="L5791" s="348"/>
      <c r="M5791" s="348"/>
      <c r="N5791" s="227"/>
      <c r="O5791" s="227"/>
      <c r="P5791" s="231"/>
      <c r="Q5791" s="231"/>
      <c r="R5791" s="227"/>
      <c r="S5791" s="231"/>
      <c r="T5791" s="231"/>
      <c r="U5791" s="231"/>
      <c r="V5791" s="231"/>
      <c r="W5791" s="231"/>
      <c r="X5791" s="227"/>
      <c r="Y5791" s="348"/>
      <c r="Z5791" s="348"/>
      <c r="AA5791" s="348"/>
      <c r="AB5791" s="348"/>
      <c r="AC5791" s="227"/>
      <c r="AD5791" s="227"/>
      <c r="AE5791" s="231"/>
      <c r="AF5791" s="227"/>
      <c r="AG5791" s="348"/>
      <c r="AH5791" s="348"/>
      <c r="AI5791" s="348"/>
      <c r="AJ5791" s="348"/>
      <c r="AK5791" s="348"/>
      <c r="AL5791" s="348"/>
      <c r="AM5791" s="348"/>
      <c r="AN5791" s="348"/>
      <c r="AO5791" s="231"/>
      <c r="AP5791" s="231"/>
      <c r="AQ5791" s="227"/>
      <c r="AR5791" s="231"/>
      <c r="AS5791" s="227"/>
      <c r="AT5791" s="227"/>
      <c r="AU5791" s="227"/>
      <c r="AV5791" s="227"/>
      <c r="AW5791" s="227"/>
      <c r="AX5791" s="227"/>
      <c r="AY5791" s="227"/>
      <c r="AZ5791" s="227"/>
      <c r="BA5791" s="227"/>
      <c r="BB5791" s="227"/>
      <c r="BC5791" s="227"/>
      <c r="BD5791" s="227"/>
      <c r="BE5791" s="227"/>
      <c r="BF5791" s="227"/>
    </row>
    <row r="5792">
      <c r="A5792" s="227"/>
      <c r="B5792" s="348"/>
      <c r="C5792" s="227"/>
      <c r="D5792" s="227"/>
      <c r="E5792" s="231"/>
      <c r="F5792" s="348"/>
      <c r="G5792" s="227"/>
      <c r="H5792" s="227"/>
      <c r="I5792" s="227"/>
      <c r="J5792" s="227"/>
      <c r="K5792" s="227"/>
      <c r="L5792" s="348"/>
      <c r="M5792" s="348"/>
      <c r="N5792" s="227"/>
      <c r="O5792" s="227"/>
      <c r="P5792" s="231"/>
      <c r="Q5792" s="231"/>
      <c r="R5792" s="227"/>
      <c r="S5792" s="231"/>
      <c r="T5792" s="231"/>
      <c r="U5792" s="231"/>
      <c r="V5792" s="231"/>
      <c r="W5792" s="231"/>
      <c r="X5792" s="227"/>
      <c r="Y5792" s="348"/>
      <c r="Z5792" s="348"/>
      <c r="AA5792" s="348"/>
      <c r="AB5792" s="348"/>
      <c r="AC5792" s="227"/>
      <c r="AD5792" s="227"/>
      <c r="AE5792" s="231"/>
      <c r="AF5792" s="227"/>
      <c r="AG5792" s="348"/>
      <c r="AH5792" s="348"/>
      <c r="AI5792" s="348"/>
      <c r="AJ5792" s="348"/>
      <c r="AK5792" s="348"/>
      <c r="AL5792" s="348"/>
      <c r="AM5792" s="348"/>
      <c r="AN5792" s="348"/>
      <c r="AO5792" s="231"/>
      <c r="AP5792" s="231"/>
      <c r="AQ5792" s="227"/>
      <c r="AR5792" s="231"/>
      <c r="AS5792" s="227"/>
      <c r="AT5792" s="227"/>
      <c r="AU5792" s="227"/>
      <c r="AV5792" s="227"/>
      <c r="AW5792" s="227"/>
      <c r="AX5792" s="227"/>
      <c r="AY5792" s="227"/>
      <c r="AZ5792" s="227"/>
      <c r="BA5792" s="227"/>
      <c r="BB5792" s="227"/>
      <c r="BC5792" s="227"/>
      <c r="BD5792" s="227"/>
      <c r="BE5792" s="227"/>
      <c r="BF5792" s="227"/>
    </row>
    <row r="5793">
      <c r="A5793" s="227"/>
      <c r="B5793" s="348"/>
      <c r="C5793" s="227"/>
      <c r="D5793" s="227"/>
      <c r="E5793" s="231"/>
      <c r="F5793" s="348"/>
      <c r="G5793" s="227"/>
      <c r="H5793" s="227"/>
      <c r="I5793" s="227"/>
      <c r="J5793" s="227"/>
      <c r="K5793" s="227"/>
      <c r="L5793" s="348"/>
      <c r="M5793" s="348"/>
      <c r="N5793" s="227"/>
      <c r="O5793" s="227"/>
      <c r="P5793" s="231"/>
      <c r="Q5793" s="231"/>
      <c r="R5793" s="227"/>
      <c r="S5793" s="231"/>
      <c r="T5793" s="231"/>
      <c r="U5793" s="231"/>
      <c r="V5793" s="231"/>
      <c r="W5793" s="231"/>
      <c r="X5793" s="227"/>
      <c r="Y5793" s="348"/>
      <c r="Z5793" s="348"/>
      <c r="AA5793" s="348"/>
      <c r="AB5793" s="348"/>
      <c r="AC5793" s="227"/>
      <c r="AD5793" s="227"/>
      <c r="AE5793" s="231"/>
      <c r="AF5793" s="227"/>
      <c r="AG5793" s="348"/>
      <c r="AH5793" s="348"/>
      <c r="AI5793" s="348"/>
      <c r="AJ5793" s="348"/>
      <c r="AK5793" s="348"/>
      <c r="AL5793" s="348"/>
      <c r="AM5793" s="348"/>
      <c r="AN5793" s="348"/>
      <c r="AO5793" s="231"/>
      <c r="AP5793" s="231"/>
      <c r="AQ5793" s="227"/>
      <c r="AR5793" s="231"/>
      <c r="AS5793" s="227"/>
      <c r="AT5793" s="227"/>
      <c r="AU5793" s="227"/>
      <c r="AV5793" s="227"/>
      <c r="AW5793" s="227"/>
      <c r="AX5793" s="227"/>
      <c r="AY5793" s="227"/>
      <c r="AZ5793" s="227"/>
      <c r="BA5793" s="227"/>
      <c r="BB5793" s="227"/>
      <c r="BC5793" s="227"/>
      <c r="BD5793" s="227"/>
      <c r="BE5793" s="227"/>
      <c r="BF5793" s="227"/>
    </row>
    <row r="5794">
      <c r="A5794" s="227"/>
      <c r="B5794" s="348"/>
      <c r="C5794" s="227"/>
      <c r="D5794" s="227"/>
      <c r="E5794" s="231"/>
      <c r="F5794" s="348"/>
      <c r="G5794" s="227"/>
      <c r="H5794" s="227"/>
      <c r="I5794" s="227"/>
      <c r="J5794" s="227"/>
      <c r="K5794" s="227"/>
      <c r="L5794" s="348"/>
      <c r="M5794" s="348"/>
      <c r="N5794" s="227"/>
      <c r="O5794" s="227"/>
      <c r="P5794" s="231"/>
      <c r="Q5794" s="231"/>
      <c r="R5794" s="227"/>
      <c r="S5794" s="231"/>
      <c r="T5794" s="231"/>
      <c r="U5794" s="231"/>
      <c r="V5794" s="231"/>
      <c r="W5794" s="231"/>
      <c r="X5794" s="227"/>
      <c r="Y5794" s="348"/>
      <c r="Z5794" s="348"/>
      <c r="AA5794" s="348"/>
      <c r="AB5794" s="348"/>
      <c r="AC5794" s="227"/>
      <c r="AD5794" s="227"/>
      <c r="AE5794" s="231"/>
      <c r="AF5794" s="227"/>
      <c r="AG5794" s="348"/>
      <c r="AH5794" s="348"/>
      <c r="AI5794" s="348"/>
      <c r="AJ5794" s="348"/>
      <c r="AK5794" s="348"/>
      <c r="AL5794" s="348"/>
      <c r="AM5794" s="348"/>
      <c r="AN5794" s="348"/>
      <c r="AO5794" s="231"/>
      <c r="AP5794" s="231"/>
      <c r="AQ5794" s="227"/>
      <c r="AR5794" s="231"/>
      <c r="AS5794" s="227"/>
      <c r="AT5794" s="227"/>
      <c r="AU5794" s="227"/>
      <c r="AV5794" s="227"/>
      <c r="AW5794" s="227"/>
      <c r="AX5794" s="227"/>
      <c r="AY5794" s="227"/>
      <c r="AZ5794" s="227"/>
      <c r="BA5794" s="227"/>
      <c r="BB5794" s="227"/>
      <c r="BC5794" s="227"/>
      <c r="BD5794" s="227"/>
      <c r="BE5794" s="227"/>
      <c r="BF5794" s="227"/>
    </row>
    <row r="5795">
      <c r="A5795" s="227"/>
      <c r="B5795" s="348"/>
      <c r="C5795" s="227"/>
      <c r="D5795" s="227"/>
      <c r="E5795" s="231"/>
      <c r="F5795" s="348"/>
      <c r="G5795" s="227"/>
      <c r="H5795" s="227"/>
      <c r="I5795" s="227"/>
      <c r="J5795" s="227"/>
      <c r="K5795" s="227"/>
      <c r="L5795" s="348"/>
      <c r="M5795" s="348"/>
      <c r="N5795" s="227"/>
      <c r="O5795" s="227"/>
      <c r="P5795" s="231"/>
      <c r="Q5795" s="231"/>
      <c r="R5795" s="227"/>
      <c r="S5795" s="231"/>
      <c r="T5795" s="231"/>
      <c r="U5795" s="231"/>
      <c r="V5795" s="231"/>
      <c r="W5795" s="231"/>
      <c r="X5795" s="227"/>
      <c r="Y5795" s="348"/>
      <c r="Z5795" s="348"/>
      <c r="AA5795" s="348"/>
      <c r="AB5795" s="348"/>
      <c r="AC5795" s="227"/>
      <c r="AD5795" s="227"/>
      <c r="AE5795" s="231"/>
      <c r="AF5795" s="227"/>
      <c r="AG5795" s="348"/>
      <c r="AH5795" s="348"/>
      <c r="AI5795" s="348"/>
      <c r="AJ5795" s="348"/>
      <c r="AK5795" s="348"/>
      <c r="AL5795" s="348"/>
      <c r="AM5795" s="348"/>
      <c r="AN5795" s="348"/>
      <c r="AO5795" s="231"/>
      <c r="AP5795" s="231"/>
      <c r="AQ5795" s="227"/>
      <c r="AR5795" s="231"/>
      <c r="AS5795" s="227"/>
      <c r="AT5795" s="227"/>
      <c r="AU5795" s="227"/>
      <c r="AV5795" s="227"/>
      <c r="AW5795" s="227"/>
      <c r="AX5795" s="227"/>
      <c r="AY5795" s="227"/>
      <c r="AZ5795" s="227"/>
      <c r="BA5795" s="227"/>
      <c r="BB5795" s="227"/>
      <c r="BC5795" s="227"/>
      <c r="BD5795" s="227"/>
      <c r="BE5795" s="227"/>
      <c r="BF5795" s="227"/>
    </row>
    <row r="5796">
      <c r="A5796" s="227"/>
      <c r="B5796" s="348"/>
      <c r="C5796" s="227"/>
      <c r="D5796" s="227"/>
      <c r="E5796" s="231"/>
      <c r="F5796" s="348"/>
      <c r="G5796" s="227"/>
      <c r="H5796" s="227"/>
      <c r="I5796" s="227"/>
      <c r="J5796" s="227"/>
      <c r="K5796" s="227"/>
      <c r="L5796" s="348"/>
      <c r="M5796" s="348"/>
      <c r="N5796" s="227"/>
      <c r="O5796" s="227"/>
      <c r="P5796" s="231"/>
      <c r="Q5796" s="231"/>
      <c r="R5796" s="227"/>
      <c r="S5796" s="231"/>
      <c r="T5796" s="231"/>
      <c r="U5796" s="231"/>
      <c r="V5796" s="231"/>
      <c r="W5796" s="231"/>
      <c r="X5796" s="227"/>
      <c r="Y5796" s="348"/>
      <c r="Z5796" s="348"/>
      <c r="AA5796" s="348"/>
      <c r="AB5796" s="348"/>
      <c r="AC5796" s="227"/>
      <c r="AD5796" s="227"/>
      <c r="AE5796" s="231"/>
      <c r="AF5796" s="227"/>
      <c r="AG5796" s="348"/>
      <c r="AH5796" s="348"/>
      <c r="AI5796" s="348"/>
      <c r="AJ5796" s="348"/>
      <c r="AK5796" s="348"/>
      <c r="AL5796" s="348"/>
      <c r="AM5796" s="348"/>
      <c r="AN5796" s="348"/>
      <c r="AO5796" s="231"/>
      <c r="AP5796" s="231"/>
      <c r="AQ5796" s="227"/>
      <c r="AR5796" s="231"/>
      <c r="AS5796" s="227"/>
      <c r="AT5796" s="227"/>
      <c r="AU5796" s="227"/>
      <c r="AV5796" s="227"/>
      <c r="AW5796" s="227"/>
      <c r="AX5796" s="227"/>
      <c r="AY5796" s="227"/>
      <c r="AZ5796" s="227"/>
      <c r="BA5796" s="227"/>
      <c r="BB5796" s="227"/>
      <c r="BC5796" s="227"/>
      <c r="BD5796" s="227"/>
      <c r="BE5796" s="227"/>
      <c r="BF5796" s="227"/>
    </row>
    <row r="5797">
      <c r="A5797" s="227"/>
      <c r="B5797" s="348"/>
      <c r="C5797" s="227"/>
      <c r="D5797" s="227"/>
      <c r="E5797" s="231"/>
      <c r="F5797" s="348"/>
      <c r="G5797" s="227"/>
      <c r="H5797" s="227"/>
      <c r="I5797" s="227"/>
      <c r="J5797" s="227"/>
      <c r="K5797" s="227"/>
      <c r="L5797" s="348"/>
      <c r="M5797" s="348"/>
      <c r="N5797" s="227"/>
      <c r="O5797" s="227"/>
      <c r="P5797" s="231"/>
      <c r="Q5797" s="231"/>
      <c r="R5797" s="227"/>
      <c r="S5797" s="231"/>
      <c r="T5797" s="231"/>
      <c r="U5797" s="231"/>
      <c r="V5797" s="231"/>
      <c r="W5797" s="231"/>
      <c r="X5797" s="227"/>
      <c r="Y5797" s="348"/>
      <c r="Z5797" s="348"/>
      <c r="AA5797" s="348"/>
      <c r="AB5797" s="348"/>
      <c r="AC5797" s="227"/>
      <c r="AD5797" s="227"/>
      <c r="AE5797" s="231"/>
      <c r="AF5797" s="227"/>
      <c r="AG5797" s="348"/>
      <c r="AH5797" s="348"/>
      <c r="AI5797" s="348"/>
      <c r="AJ5797" s="348"/>
      <c r="AK5797" s="348"/>
      <c r="AL5797" s="348"/>
      <c r="AM5797" s="348"/>
      <c r="AN5797" s="348"/>
      <c r="AO5797" s="231"/>
      <c r="AP5797" s="231"/>
      <c r="AQ5797" s="227"/>
      <c r="AR5797" s="231"/>
      <c r="AS5797" s="227"/>
      <c r="AT5797" s="227"/>
      <c r="AU5797" s="227"/>
      <c r="AV5797" s="227"/>
      <c r="AW5797" s="227"/>
      <c r="AX5797" s="227"/>
      <c r="AY5797" s="227"/>
      <c r="AZ5797" s="227"/>
      <c r="BA5797" s="227"/>
      <c r="BB5797" s="227"/>
      <c r="BC5797" s="227"/>
      <c r="BD5797" s="227"/>
      <c r="BE5797" s="227"/>
      <c r="BF5797" s="227"/>
    </row>
    <row r="5798">
      <c r="A5798" s="227"/>
      <c r="B5798" s="348"/>
      <c r="C5798" s="227"/>
      <c r="D5798" s="227"/>
      <c r="E5798" s="231"/>
      <c r="F5798" s="348"/>
      <c r="G5798" s="227"/>
      <c r="H5798" s="227"/>
      <c r="I5798" s="227"/>
      <c r="J5798" s="227"/>
      <c r="K5798" s="227"/>
      <c r="L5798" s="348"/>
      <c r="M5798" s="348"/>
      <c r="N5798" s="227"/>
      <c r="O5798" s="227"/>
      <c r="P5798" s="231"/>
      <c r="Q5798" s="231"/>
      <c r="R5798" s="227"/>
      <c r="S5798" s="231"/>
      <c r="T5798" s="231"/>
      <c r="U5798" s="231"/>
      <c r="V5798" s="231"/>
      <c r="W5798" s="231"/>
      <c r="X5798" s="227"/>
      <c r="Y5798" s="348"/>
      <c r="Z5798" s="348"/>
      <c r="AA5798" s="348"/>
      <c r="AB5798" s="348"/>
      <c r="AC5798" s="227"/>
      <c r="AD5798" s="227"/>
      <c r="AE5798" s="231"/>
      <c r="AF5798" s="227"/>
      <c r="AG5798" s="348"/>
      <c r="AH5798" s="348"/>
      <c r="AI5798" s="348"/>
      <c r="AJ5798" s="348"/>
      <c r="AK5798" s="348"/>
      <c r="AL5798" s="348"/>
      <c r="AM5798" s="348"/>
      <c r="AN5798" s="348"/>
      <c r="AO5798" s="231"/>
      <c r="AP5798" s="231"/>
      <c r="AQ5798" s="227"/>
      <c r="AR5798" s="231"/>
      <c r="AS5798" s="227"/>
      <c r="AT5798" s="227"/>
      <c r="AU5798" s="227"/>
      <c r="AV5798" s="227"/>
      <c r="AW5798" s="227"/>
      <c r="AX5798" s="227"/>
      <c r="AY5798" s="227"/>
      <c r="AZ5798" s="227"/>
      <c r="BA5798" s="227"/>
      <c r="BB5798" s="227"/>
      <c r="BC5798" s="227"/>
      <c r="BD5798" s="227"/>
      <c r="BE5798" s="227"/>
      <c r="BF5798" s="227"/>
    </row>
    <row r="5799">
      <c r="A5799" s="227"/>
      <c r="B5799" s="348"/>
      <c r="C5799" s="227"/>
      <c r="D5799" s="227"/>
      <c r="E5799" s="231"/>
      <c r="F5799" s="348"/>
      <c r="G5799" s="227"/>
      <c r="H5799" s="227"/>
      <c r="I5799" s="227"/>
      <c r="J5799" s="227"/>
      <c r="K5799" s="227"/>
      <c r="L5799" s="348"/>
      <c r="M5799" s="348"/>
      <c r="N5799" s="227"/>
      <c r="O5799" s="227"/>
      <c r="P5799" s="231"/>
      <c r="Q5799" s="231"/>
      <c r="R5799" s="227"/>
      <c r="S5799" s="231"/>
      <c r="T5799" s="231"/>
      <c r="U5799" s="231"/>
      <c r="V5799" s="231"/>
      <c r="W5799" s="231"/>
      <c r="X5799" s="227"/>
      <c r="Y5799" s="348"/>
      <c r="Z5799" s="348"/>
      <c r="AA5799" s="348"/>
      <c r="AB5799" s="348"/>
      <c r="AC5799" s="227"/>
      <c r="AD5799" s="227"/>
      <c r="AE5799" s="231"/>
      <c r="AF5799" s="227"/>
      <c r="AG5799" s="348"/>
      <c r="AH5799" s="348"/>
      <c r="AI5799" s="348"/>
      <c r="AJ5799" s="348"/>
      <c r="AK5799" s="348"/>
      <c r="AL5799" s="348"/>
      <c r="AM5799" s="348"/>
      <c r="AN5799" s="348"/>
      <c r="AO5799" s="231"/>
      <c r="AP5799" s="231"/>
      <c r="AQ5799" s="227"/>
      <c r="AR5799" s="231"/>
      <c r="AS5799" s="227"/>
      <c r="AT5799" s="227"/>
      <c r="AU5799" s="227"/>
      <c r="AV5799" s="227"/>
      <c r="AW5799" s="227"/>
      <c r="AX5799" s="227"/>
      <c r="AY5799" s="227"/>
      <c r="AZ5799" s="227"/>
      <c r="BA5799" s="227"/>
      <c r="BB5799" s="227"/>
      <c r="BC5799" s="227"/>
      <c r="BD5799" s="227"/>
      <c r="BE5799" s="227"/>
      <c r="BF5799" s="227"/>
    </row>
    <row r="5800">
      <c r="A5800" s="227"/>
      <c r="B5800" s="348"/>
      <c r="C5800" s="227"/>
      <c r="D5800" s="227"/>
      <c r="E5800" s="231"/>
      <c r="F5800" s="348"/>
      <c r="G5800" s="227"/>
      <c r="H5800" s="227"/>
      <c r="I5800" s="227"/>
      <c r="J5800" s="227"/>
      <c r="K5800" s="227"/>
      <c r="L5800" s="348"/>
      <c r="M5800" s="348"/>
      <c r="N5800" s="227"/>
      <c r="O5800" s="227"/>
      <c r="P5800" s="231"/>
      <c r="Q5800" s="231"/>
      <c r="R5800" s="227"/>
      <c r="S5800" s="231"/>
      <c r="T5800" s="231"/>
      <c r="U5800" s="231"/>
      <c r="V5800" s="231"/>
      <c r="W5800" s="231"/>
      <c r="X5800" s="227"/>
      <c r="Y5800" s="348"/>
      <c r="Z5800" s="348"/>
      <c r="AA5800" s="348"/>
      <c r="AB5800" s="348"/>
      <c r="AC5800" s="227"/>
      <c r="AD5800" s="227"/>
      <c r="AE5800" s="231"/>
      <c r="AF5800" s="227"/>
      <c r="AG5800" s="348"/>
      <c r="AH5800" s="348"/>
      <c r="AI5800" s="348"/>
      <c r="AJ5800" s="348"/>
      <c r="AK5800" s="348"/>
      <c r="AL5800" s="348"/>
      <c r="AM5800" s="348"/>
      <c r="AN5800" s="348"/>
      <c r="AO5800" s="231"/>
      <c r="AP5800" s="231"/>
      <c r="AQ5800" s="227"/>
      <c r="AR5800" s="231"/>
      <c r="AS5800" s="227"/>
      <c r="AT5800" s="227"/>
      <c r="AU5800" s="227"/>
      <c r="AV5800" s="227"/>
      <c r="AW5800" s="227"/>
      <c r="AX5800" s="227"/>
      <c r="AY5800" s="227"/>
      <c r="AZ5800" s="227"/>
      <c r="BA5800" s="227"/>
      <c r="BB5800" s="227"/>
      <c r="BC5800" s="227"/>
      <c r="BD5800" s="227"/>
      <c r="BE5800" s="227"/>
      <c r="BF5800" s="227"/>
    </row>
    <row r="5801">
      <c r="A5801" s="227"/>
      <c r="B5801" s="348"/>
      <c r="C5801" s="227"/>
      <c r="D5801" s="227"/>
      <c r="E5801" s="231"/>
      <c r="F5801" s="348"/>
      <c r="G5801" s="227"/>
      <c r="H5801" s="227"/>
      <c r="I5801" s="227"/>
      <c r="J5801" s="227"/>
      <c r="K5801" s="227"/>
      <c r="L5801" s="348"/>
      <c r="M5801" s="348"/>
      <c r="N5801" s="227"/>
      <c r="O5801" s="227"/>
      <c r="P5801" s="231"/>
      <c r="Q5801" s="231"/>
      <c r="R5801" s="227"/>
      <c r="S5801" s="231"/>
      <c r="T5801" s="231"/>
      <c r="U5801" s="231"/>
      <c r="V5801" s="231"/>
      <c r="W5801" s="231"/>
      <c r="X5801" s="227"/>
      <c r="Y5801" s="348"/>
      <c r="Z5801" s="348"/>
      <c r="AA5801" s="348"/>
      <c r="AB5801" s="348"/>
      <c r="AC5801" s="227"/>
      <c r="AD5801" s="227"/>
      <c r="AE5801" s="231"/>
      <c r="AF5801" s="227"/>
      <c r="AG5801" s="348"/>
      <c r="AH5801" s="348"/>
      <c r="AI5801" s="348"/>
      <c r="AJ5801" s="348"/>
      <c r="AK5801" s="348"/>
      <c r="AL5801" s="348"/>
      <c r="AM5801" s="348"/>
      <c r="AN5801" s="348"/>
      <c r="AO5801" s="231"/>
      <c r="AP5801" s="231"/>
      <c r="AQ5801" s="227"/>
      <c r="AR5801" s="231"/>
      <c r="AS5801" s="227"/>
      <c r="AT5801" s="227"/>
      <c r="AU5801" s="227"/>
      <c r="AV5801" s="227"/>
      <c r="AW5801" s="227"/>
      <c r="AX5801" s="227"/>
      <c r="AY5801" s="227"/>
      <c r="AZ5801" s="227"/>
      <c r="BA5801" s="227"/>
      <c r="BB5801" s="227"/>
      <c r="BC5801" s="227"/>
      <c r="BD5801" s="227"/>
      <c r="BE5801" s="227"/>
      <c r="BF5801" s="227"/>
    </row>
    <row r="5802">
      <c r="A5802" s="227"/>
      <c r="B5802" s="348"/>
      <c r="C5802" s="227"/>
      <c r="D5802" s="227"/>
      <c r="E5802" s="231"/>
      <c r="F5802" s="348"/>
      <c r="G5802" s="227"/>
      <c r="H5802" s="227"/>
      <c r="I5802" s="227"/>
      <c r="J5802" s="227"/>
      <c r="K5802" s="227"/>
      <c r="L5802" s="348"/>
      <c r="M5802" s="348"/>
      <c r="N5802" s="227"/>
      <c r="O5802" s="227"/>
      <c r="P5802" s="231"/>
      <c r="Q5802" s="231"/>
      <c r="R5802" s="227"/>
      <c r="S5802" s="231"/>
      <c r="T5802" s="231"/>
      <c r="U5802" s="231"/>
      <c r="V5802" s="231"/>
      <c r="W5802" s="231"/>
      <c r="X5802" s="227"/>
      <c r="Y5802" s="348"/>
      <c r="Z5802" s="348"/>
      <c r="AA5802" s="348"/>
      <c r="AB5802" s="348"/>
      <c r="AC5802" s="227"/>
      <c r="AD5802" s="227"/>
      <c r="AE5802" s="231"/>
      <c r="AF5802" s="227"/>
      <c r="AG5802" s="348"/>
      <c r="AH5802" s="348"/>
      <c r="AI5802" s="348"/>
      <c r="AJ5802" s="348"/>
      <c r="AK5802" s="348"/>
      <c r="AL5802" s="348"/>
      <c r="AM5802" s="348"/>
      <c r="AN5802" s="348"/>
      <c r="AO5802" s="231"/>
      <c r="AP5802" s="231"/>
      <c r="AQ5802" s="227"/>
      <c r="AR5802" s="231"/>
      <c r="AS5802" s="227"/>
      <c r="AT5802" s="227"/>
      <c r="AU5802" s="227"/>
      <c r="AV5802" s="227"/>
      <c r="AW5802" s="227"/>
      <c r="AX5802" s="227"/>
      <c r="AY5802" s="227"/>
      <c r="AZ5802" s="227"/>
      <c r="BA5802" s="227"/>
      <c r="BB5802" s="227"/>
      <c r="BC5802" s="227"/>
      <c r="BD5802" s="227"/>
      <c r="BE5802" s="227"/>
      <c r="BF5802" s="227"/>
    </row>
    <row r="5803">
      <c r="A5803" s="227"/>
      <c r="B5803" s="348"/>
      <c r="C5803" s="227"/>
      <c r="D5803" s="227"/>
      <c r="E5803" s="231"/>
      <c r="F5803" s="348"/>
      <c r="G5803" s="227"/>
      <c r="H5803" s="227"/>
      <c r="I5803" s="227"/>
      <c r="J5803" s="227"/>
      <c r="K5803" s="227"/>
      <c r="L5803" s="348"/>
      <c r="M5803" s="348"/>
      <c r="N5803" s="227"/>
      <c r="O5803" s="227"/>
      <c r="P5803" s="231"/>
      <c r="Q5803" s="231"/>
      <c r="R5803" s="227"/>
      <c r="S5803" s="231"/>
      <c r="T5803" s="231"/>
      <c r="U5803" s="231"/>
      <c r="V5803" s="231"/>
      <c r="W5803" s="231"/>
      <c r="X5803" s="227"/>
      <c r="Y5803" s="348"/>
      <c r="Z5803" s="348"/>
      <c r="AA5803" s="348"/>
      <c r="AB5803" s="348"/>
      <c r="AC5803" s="227"/>
      <c r="AD5803" s="227"/>
      <c r="AE5803" s="231"/>
      <c r="AF5803" s="227"/>
      <c r="AG5803" s="348"/>
      <c r="AH5803" s="348"/>
      <c r="AI5803" s="348"/>
      <c r="AJ5803" s="348"/>
      <c r="AK5803" s="348"/>
      <c r="AL5803" s="348"/>
      <c r="AM5803" s="348"/>
      <c r="AN5803" s="348"/>
      <c r="AO5803" s="231"/>
      <c r="AP5803" s="231"/>
      <c r="AQ5803" s="227"/>
      <c r="AR5803" s="231"/>
      <c r="AS5803" s="227"/>
      <c r="AT5803" s="227"/>
      <c r="AU5803" s="227"/>
      <c r="AV5803" s="227"/>
      <c r="AW5803" s="227"/>
      <c r="AX5803" s="227"/>
      <c r="AY5803" s="227"/>
      <c r="AZ5803" s="227"/>
      <c r="BA5803" s="227"/>
      <c r="BB5803" s="227"/>
      <c r="BC5803" s="227"/>
      <c r="BD5803" s="227"/>
      <c r="BE5803" s="227"/>
      <c r="BF5803" s="227"/>
    </row>
    <row r="5804">
      <c r="A5804" s="227"/>
      <c r="B5804" s="348"/>
      <c r="C5804" s="227"/>
      <c r="D5804" s="227"/>
      <c r="E5804" s="231"/>
      <c r="F5804" s="348"/>
      <c r="G5804" s="227"/>
      <c r="H5804" s="227"/>
      <c r="I5804" s="227"/>
      <c r="J5804" s="227"/>
      <c r="K5804" s="227"/>
      <c r="L5804" s="348"/>
      <c r="M5804" s="348"/>
      <c r="N5804" s="227"/>
      <c r="O5804" s="227"/>
      <c r="P5804" s="231"/>
      <c r="Q5804" s="231"/>
      <c r="R5804" s="227"/>
      <c r="S5804" s="231"/>
      <c r="T5804" s="231"/>
      <c r="U5804" s="231"/>
      <c r="V5804" s="231"/>
      <c r="W5804" s="231"/>
      <c r="X5804" s="227"/>
      <c r="Y5804" s="348"/>
      <c r="Z5804" s="348"/>
      <c r="AA5804" s="348"/>
      <c r="AB5804" s="348"/>
      <c r="AC5804" s="227"/>
      <c r="AD5804" s="227"/>
      <c r="AE5804" s="231"/>
      <c r="AF5804" s="227"/>
      <c r="AG5804" s="348"/>
      <c r="AH5804" s="348"/>
      <c r="AI5804" s="348"/>
      <c r="AJ5804" s="348"/>
      <c r="AK5804" s="348"/>
      <c r="AL5804" s="348"/>
      <c r="AM5804" s="348"/>
      <c r="AN5804" s="348"/>
      <c r="AO5804" s="231"/>
      <c r="AP5804" s="231"/>
      <c r="AQ5804" s="227"/>
      <c r="AR5804" s="231"/>
      <c r="AS5804" s="227"/>
      <c r="AT5804" s="227"/>
      <c r="AU5804" s="227"/>
      <c r="AV5804" s="227"/>
      <c r="AW5804" s="227"/>
      <c r="AX5804" s="227"/>
      <c r="AY5804" s="227"/>
      <c r="AZ5804" s="227"/>
      <c r="BA5804" s="227"/>
      <c r="BB5804" s="227"/>
      <c r="BC5804" s="227"/>
      <c r="BD5804" s="227"/>
      <c r="BE5804" s="227"/>
      <c r="BF5804" s="227"/>
    </row>
    <row r="5805">
      <c r="A5805" s="227"/>
      <c r="B5805" s="348"/>
      <c r="C5805" s="227"/>
      <c r="D5805" s="227"/>
      <c r="E5805" s="231"/>
      <c r="F5805" s="348"/>
      <c r="G5805" s="227"/>
      <c r="H5805" s="227"/>
      <c r="I5805" s="227"/>
      <c r="J5805" s="227"/>
      <c r="K5805" s="227"/>
      <c r="L5805" s="348"/>
      <c r="M5805" s="348"/>
      <c r="N5805" s="227"/>
      <c r="O5805" s="227"/>
      <c r="P5805" s="231"/>
      <c r="Q5805" s="231"/>
      <c r="R5805" s="227"/>
      <c r="S5805" s="231"/>
      <c r="T5805" s="231"/>
      <c r="U5805" s="231"/>
      <c r="V5805" s="231"/>
      <c r="W5805" s="231"/>
      <c r="X5805" s="227"/>
      <c r="Y5805" s="348"/>
      <c r="Z5805" s="348"/>
      <c r="AA5805" s="348"/>
      <c r="AB5805" s="348"/>
      <c r="AC5805" s="227"/>
      <c r="AD5805" s="227"/>
      <c r="AE5805" s="231"/>
      <c r="AF5805" s="227"/>
      <c r="AG5805" s="348"/>
      <c r="AH5805" s="348"/>
      <c r="AI5805" s="348"/>
      <c r="AJ5805" s="348"/>
      <c r="AK5805" s="348"/>
      <c r="AL5805" s="348"/>
      <c r="AM5805" s="348"/>
      <c r="AN5805" s="348"/>
      <c r="AO5805" s="231"/>
      <c r="AP5805" s="231"/>
      <c r="AQ5805" s="227"/>
      <c r="AR5805" s="231"/>
      <c r="AS5805" s="227"/>
      <c r="AT5805" s="227"/>
      <c r="AU5805" s="227"/>
      <c r="AV5805" s="227"/>
      <c r="AW5805" s="227"/>
      <c r="AX5805" s="227"/>
      <c r="AY5805" s="227"/>
      <c r="AZ5805" s="227"/>
      <c r="BA5805" s="227"/>
      <c r="BB5805" s="227"/>
      <c r="BC5805" s="227"/>
      <c r="BD5805" s="227"/>
      <c r="BE5805" s="227"/>
      <c r="BF5805" s="227"/>
    </row>
    <row r="5806">
      <c r="A5806" s="227"/>
      <c r="B5806" s="348"/>
      <c r="C5806" s="227"/>
      <c r="D5806" s="227"/>
      <c r="E5806" s="231"/>
      <c r="F5806" s="348"/>
      <c r="G5806" s="227"/>
      <c r="H5806" s="227"/>
      <c r="I5806" s="227"/>
      <c r="J5806" s="227"/>
      <c r="K5806" s="227"/>
      <c r="L5806" s="348"/>
      <c r="M5806" s="348"/>
      <c r="N5806" s="227"/>
      <c r="O5806" s="227"/>
      <c r="P5806" s="231"/>
      <c r="Q5806" s="231"/>
      <c r="R5806" s="227"/>
      <c r="S5806" s="231"/>
      <c r="T5806" s="231"/>
      <c r="U5806" s="231"/>
      <c r="V5806" s="231"/>
      <c r="W5806" s="231"/>
      <c r="X5806" s="227"/>
      <c r="Y5806" s="348"/>
      <c r="Z5806" s="348"/>
      <c r="AA5806" s="348"/>
      <c r="AB5806" s="348"/>
      <c r="AC5806" s="227"/>
      <c r="AD5806" s="227"/>
      <c r="AE5806" s="231"/>
      <c r="AF5806" s="227"/>
      <c r="AG5806" s="348"/>
      <c r="AH5806" s="348"/>
      <c r="AI5806" s="348"/>
      <c r="AJ5806" s="348"/>
      <c r="AK5806" s="348"/>
      <c r="AL5806" s="348"/>
      <c r="AM5806" s="348"/>
      <c r="AN5806" s="348"/>
      <c r="AO5806" s="231"/>
      <c r="AP5806" s="231"/>
      <c r="AQ5806" s="227"/>
      <c r="AR5806" s="231"/>
      <c r="AS5806" s="227"/>
      <c r="AT5806" s="227"/>
      <c r="AU5806" s="227"/>
      <c r="AV5806" s="227"/>
      <c r="AW5806" s="227"/>
      <c r="AX5806" s="227"/>
      <c r="AY5806" s="227"/>
      <c r="AZ5806" s="227"/>
      <c r="BA5806" s="227"/>
      <c r="BB5806" s="227"/>
      <c r="BC5806" s="227"/>
      <c r="BD5806" s="227"/>
      <c r="BE5806" s="227"/>
      <c r="BF5806" s="227"/>
    </row>
    <row r="5807">
      <c r="A5807" s="227"/>
      <c r="B5807" s="348"/>
      <c r="C5807" s="227"/>
      <c r="D5807" s="227"/>
      <c r="E5807" s="231"/>
      <c r="F5807" s="348"/>
      <c r="G5807" s="227"/>
      <c r="H5807" s="227"/>
      <c r="I5807" s="227"/>
      <c r="J5807" s="227"/>
      <c r="K5807" s="227"/>
      <c r="L5807" s="348"/>
      <c r="M5807" s="348"/>
      <c r="N5807" s="227"/>
      <c r="O5807" s="227"/>
      <c r="P5807" s="231"/>
      <c r="Q5807" s="231"/>
      <c r="R5807" s="227"/>
      <c r="S5807" s="231"/>
      <c r="T5807" s="231"/>
      <c r="U5807" s="231"/>
      <c r="V5807" s="231"/>
      <c r="W5807" s="231"/>
      <c r="X5807" s="227"/>
      <c r="Y5807" s="348"/>
      <c r="Z5807" s="348"/>
      <c r="AA5807" s="348"/>
      <c r="AB5807" s="348"/>
      <c r="AC5807" s="227"/>
      <c r="AD5807" s="227"/>
      <c r="AE5807" s="231"/>
      <c r="AF5807" s="227"/>
      <c r="AG5807" s="348"/>
      <c r="AH5807" s="348"/>
      <c r="AI5807" s="348"/>
      <c r="AJ5807" s="348"/>
      <c r="AK5807" s="348"/>
      <c r="AL5807" s="348"/>
      <c r="AM5807" s="348"/>
      <c r="AN5807" s="348"/>
      <c r="AO5807" s="231"/>
      <c r="AP5807" s="231"/>
      <c r="AQ5807" s="227"/>
      <c r="AR5807" s="231"/>
      <c r="AS5807" s="227"/>
      <c r="AT5807" s="227"/>
      <c r="AU5807" s="227"/>
      <c r="AV5807" s="227"/>
      <c r="AW5807" s="227"/>
      <c r="AX5807" s="227"/>
      <c r="AY5807" s="227"/>
      <c r="AZ5807" s="227"/>
      <c r="BA5807" s="227"/>
      <c r="BB5807" s="227"/>
      <c r="BC5807" s="227"/>
      <c r="BD5807" s="227"/>
      <c r="BE5807" s="227"/>
      <c r="BF5807" s="227"/>
    </row>
    <row r="5808">
      <c r="A5808" s="227"/>
      <c r="B5808" s="348"/>
      <c r="C5808" s="227"/>
      <c r="D5808" s="227"/>
      <c r="E5808" s="231"/>
      <c r="F5808" s="348"/>
      <c r="G5808" s="227"/>
      <c r="H5808" s="227"/>
      <c r="I5808" s="227"/>
      <c r="J5808" s="227"/>
      <c r="K5808" s="227"/>
      <c r="L5808" s="348"/>
      <c r="M5808" s="348"/>
      <c r="N5808" s="227"/>
      <c r="O5808" s="227"/>
      <c r="P5808" s="231"/>
      <c r="Q5808" s="231"/>
      <c r="R5808" s="227"/>
      <c r="S5808" s="231"/>
      <c r="T5808" s="231"/>
      <c r="U5808" s="231"/>
      <c r="V5808" s="231"/>
      <c r="W5808" s="231"/>
      <c r="X5808" s="227"/>
      <c r="Y5808" s="348"/>
      <c r="Z5808" s="348"/>
      <c r="AA5808" s="348"/>
      <c r="AB5808" s="348"/>
      <c r="AC5808" s="227"/>
      <c r="AD5808" s="227"/>
      <c r="AE5808" s="231"/>
      <c r="AF5808" s="227"/>
      <c r="AG5808" s="348"/>
      <c r="AH5808" s="348"/>
      <c r="AI5808" s="348"/>
      <c r="AJ5808" s="348"/>
      <c r="AK5808" s="348"/>
      <c r="AL5808" s="348"/>
      <c r="AM5808" s="348"/>
      <c r="AN5808" s="348"/>
      <c r="AO5808" s="231"/>
      <c r="AP5808" s="231"/>
      <c r="AQ5808" s="227"/>
      <c r="AR5808" s="231"/>
      <c r="AS5808" s="227"/>
      <c r="AT5808" s="227"/>
      <c r="AU5808" s="227"/>
      <c r="AV5808" s="227"/>
      <c r="AW5808" s="227"/>
      <c r="AX5808" s="227"/>
      <c r="AY5808" s="227"/>
      <c r="AZ5808" s="227"/>
      <c r="BA5808" s="227"/>
      <c r="BB5808" s="227"/>
      <c r="BC5808" s="227"/>
      <c r="BD5808" s="227"/>
      <c r="BE5808" s="227"/>
      <c r="BF5808" s="227"/>
    </row>
    <row r="5809">
      <c r="A5809" s="227"/>
      <c r="B5809" s="348"/>
      <c r="C5809" s="227"/>
      <c r="D5809" s="227"/>
      <c r="E5809" s="231"/>
      <c r="F5809" s="348"/>
      <c r="G5809" s="227"/>
      <c r="H5809" s="227"/>
      <c r="I5809" s="227"/>
      <c r="J5809" s="227"/>
      <c r="K5809" s="227"/>
      <c r="L5809" s="348"/>
      <c r="M5809" s="348"/>
      <c r="N5809" s="227"/>
      <c r="O5809" s="227"/>
      <c r="P5809" s="231"/>
      <c r="Q5809" s="231"/>
      <c r="R5809" s="227"/>
      <c r="S5809" s="231"/>
      <c r="T5809" s="231"/>
      <c r="U5809" s="231"/>
      <c r="V5809" s="231"/>
      <c r="W5809" s="231"/>
      <c r="X5809" s="227"/>
      <c r="Y5809" s="348"/>
      <c r="Z5809" s="348"/>
      <c r="AA5809" s="348"/>
      <c r="AB5809" s="348"/>
      <c r="AC5809" s="227"/>
      <c r="AD5809" s="227"/>
      <c r="AE5809" s="231"/>
      <c r="AF5809" s="227"/>
      <c r="AG5809" s="348"/>
      <c r="AH5809" s="348"/>
      <c r="AI5809" s="348"/>
      <c r="AJ5809" s="348"/>
      <c r="AK5809" s="348"/>
      <c r="AL5809" s="348"/>
      <c r="AM5809" s="348"/>
      <c r="AN5809" s="348"/>
      <c r="AO5809" s="231"/>
      <c r="AP5809" s="231"/>
      <c r="AQ5809" s="227"/>
      <c r="AR5809" s="231"/>
      <c r="AS5809" s="227"/>
      <c r="AT5809" s="227"/>
      <c r="AU5809" s="227"/>
      <c r="AV5809" s="227"/>
      <c r="AW5809" s="227"/>
      <c r="AX5809" s="227"/>
      <c r="AY5809" s="227"/>
      <c r="AZ5809" s="227"/>
      <c r="BA5809" s="227"/>
      <c r="BB5809" s="227"/>
      <c r="BC5809" s="227"/>
      <c r="BD5809" s="227"/>
      <c r="BE5809" s="227"/>
      <c r="BF5809" s="227"/>
    </row>
    <row r="5810">
      <c r="A5810" s="227"/>
      <c r="B5810" s="348"/>
      <c r="C5810" s="227"/>
      <c r="D5810" s="227"/>
      <c r="E5810" s="231"/>
      <c r="F5810" s="348"/>
      <c r="G5810" s="227"/>
      <c r="H5810" s="227"/>
      <c r="I5810" s="227"/>
      <c r="J5810" s="227"/>
      <c r="K5810" s="227"/>
      <c r="L5810" s="348"/>
      <c r="M5810" s="348"/>
      <c r="N5810" s="227"/>
      <c r="O5810" s="227"/>
      <c r="P5810" s="231"/>
      <c r="Q5810" s="231"/>
      <c r="R5810" s="227"/>
      <c r="S5810" s="231"/>
      <c r="T5810" s="231"/>
      <c r="U5810" s="231"/>
      <c r="V5810" s="231"/>
      <c r="W5810" s="231"/>
      <c r="X5810" s="227"/>
      <c r="Y5810" s="348"/>
      <c r="Z5810" s="348"/>
      <c r="AA5810" s="348"/>
      <c r="AB5810" s="348"/>
      <c r="AC5810" s="227"/>
      <c r="AD5810" s="227"/>
      <c r="AE5810" s="231"/>
      <c r="AF5810" s="227"/>
      <c r="AG5810" s="348"/>
      <c r="AH5810" s="348"/>
      <c r="AI5810" s="348"/>
      <c r="AJ5810" s="348"/>
      <c r="AK5810" s="348"/>
      <c r="AL5810" s="348"/>
      <c r="AM5810" s="348"/>
      <c r="AN5810" s="348"/>
      <c r="AO5810" s="231"/>
      <c r="AP5810" s="231"/>
      <c r="AQ5810" s="227"/>
      <c r="AR5810" s="231"/>
      <c r="AS5810" s="227"/>
      <c r="AT5810" s="227"/>
      <c r="AU5810" s="227"/>
      <c r="AV5810" s="227"/>
      <c r="AW5810" s="227"/>
      <c r="AX5810" s="227"/>
      <c r="AY5810" s="227"/>
      <c r="AZ5810" s="227"/>
      <c r="BA5810" s="227"/>
      <c r="BB5810" s="227"/>
      <c r="BC5810" s="227"/>
      <c r="BD5810" s="227"/>
      <c r="BE5810" s="227"/>
      <c r="BF5810" s="227"/>
    </row>
    <row r="5811">
      <c r="A5811" s="227"/>
      <c r="B5811" s="348"/>
      <c r="C5811" s="227"/>
      <c r="D5811" s="227"/>
      <c r="E5811" s="231"/>
      <c r="F5811" s="348"/>
      <c r="G5811" s="227"/>
      <c r="H5811" s="227"/>
      <c r="I5811" s="227"/>
      <c r="J5811" s="227"/>
      <c r="K5811" s="227"/>
      <c r="L5811" s="348"/>
      <c r="M5811" s="348"/>
      <c r="N5811" s="227"/>
      <c r="O5811" s="227"/>
      <c r="P5811" s="231"/>
      <c r="Q5811" s="231"/>
      <c r="R5811" s="227"/>
      <c r="S5811" s="231"/>
      <c r="T5811" s="231"/>
      <c r="U5811" s="231"/>
      <c r="V5811" s="231"/>
      <c r="W5811" s="231"/>
      <c r="X5811" s="227"/>
      <c r="Y5811" s="348"/>
      <c r="Z5811" s="348"/>
      <c r="AA5811" s="348"/>
      <c r="AB5811" s="348"/>
      <c r="AC5811" s="227"/>
      <c r="AD5811" s="227"/>
      <c r="AE5811" s="231"/>
      <c r="AF5811" s="227"/>
      <c r="AG5811" s="348"/>
      <c r="AH5811" s="348"/>
      <c r="AI5811" s="348"/>
      <c r="AJ5811" s="348"/>
      <c r="AK5811" s="348"/>
      <c r="AL5811" s="348"/>
      <c r="AM5811" s="348"/>
      <c r="AN5811" s="348"/>
      <c r="AO5811" s="231"/>
      <c r="AP5811" s="231"/>
      <c r="AQ5811" s="227"/>
      <c r="AR5811" s="231"/>
      <c r="AS5811" s="227"/>
      <c r="AT5811" s="227"/>
      <c r="AU5811" s="227"/>
      <c r="AV5811" s="227"/>
      <c r="AW5811" s="227"/>
      <c r="AX5811" s="227"/>
      <c r="AY5811" s="227"/>
      <c r="AZ5811" s="227"/>
      <c r="BA5811" s="227"/>
      <c r="BB5811" s="227"/>
      <c r="BC5811" s="227"/>
      <c r="BD5811" s="227"/>
      <c r="BE5811" s="227"/>
      <c r="BF5811" s="227"/>
    </row>
    <row r="5812">
      <c r="A5812" s="227"/>
      <c r="B5812" s="348"/>
      <c r="C5812" s="227"/>
      <c r="D5812" s="227"/>
      <c r="E5812" s="231"/>
      <c r="F5812" s="348"/>
      <c r="G5812" s="227"/>
      <c r="H5812" s="227"/>
      <c r="I5812" s="227"/>
      <c r="J5812" s="227"/>
      <c r="K5812" s="227"/>
      <c r="L5812" s="348"/>
      <c r="M5812" s="348"/>
      <c r="N5812" s="227"/>
      <c r="O5812" s="227"/>
      <c r="P5812" s="231"/>
      <c r="Q5812" s="231"/>
      <c r="R5812" s="227"/>
      <c r="S5812" s="231"/>
      <c r="T5812" s="231"/>
      <c r="U5812" s="231"/>
      <c r="V5812" s="231"/>
      <c r="W5812" s="231"/>
      <c r="X5812" s="227"/>
      <c r="Y5812" s="348"/>
      <c r="Z5812" s="348"/>
      <c r="AA5812" s="348"/>
      <c r="AB5812" s="348"/>
      <c r="AC5812" s="227"/>
      <c r="AD5812" s="227"/>
      <c r="AE5812" s="231"/>
      <c r="AF5812" s="227"/>
      <c r="AG5812" s="348"/>
      <c r="AH5812" s="348"/>
      <c r="AI5812" s="348"/>
      <c r="AJ5812" s="348"/>
      <c r="AK5812" s="348"/>
      <c r="AL5812" s="348"/>
      <c r="AM5812" s="348"/>
      <c r="AN5812" s="348"/>
      <c r="AO5812" s="231"/>
      <c r="AP5812" s="231"/>
      <c r="AQ5812" s="227"/>
      <c r="AR5812" s="231"/>
      <c r="AS5812" s="227"/>
      <c r="AT5812" s="227"/>
      <c r="AU5812" s="227"/>
      <c r="AV5812" s="227"/>
      <c r="AW5812" s="227"/>
      <c r="AX5812" s="227"/>
      <c r="AY5812" s="227"/>
      <c r="AZ5812" s="227"/>
      <c r="BA5812" s="227"/>
      <c r="BB5812" s="227"/>
      <c r="BC5812" s="227"/>
      <c r="BD5812" s="227"/>
      <c r="BE5812" s="227"/>
      <c r="BF5812" s="227"/>
    </row>
    <row r="5813">
      <c r="A5813" s="227"/>
      <c r="B5813" s="348"/>
      <c r="C5813" s="227"/>
      <c r="D5813" s="227"/>
      <c r="E5813" s="231"/>
      <c r="F5813" s="348"/>
      <c r="G5813" s="227"/>
      <c r="H5813" s="227"/>
      <c r="I5813" s="227"/>
      <c r="J5813" s="227"/>
      <c r="K5813" s="227"/>
      <c r="L5813" s="348"/>
      <c r="M5813" s="348"/>
      <c r="N5813" s="227"/>
      <c r="O5813" s="227"/>
      <c r="P5813" s="231"/>
      <c r="Q5813" s="231"/>
      <c r="R5813" s="227"/>
      <c r="S5813" s="231"/>
      <c r="T5813" s="231"/>
      <c r="U5813" s="231"/>
      <c r="V5813" s="231"/>
      <c r="W5813" s="231"/>
      <c r="X5813" s="227"/>
      <c r="Y5813" s="348"/>
      <c r="Z5813" s="348"/>
      <c r="AA5813" s="348"/>
      <c r="AB5813" s="348"/>
      <c r="AC5813" s="227"/>
      <c r="AD5813" s="227"/>
      <c r="AE5813" s="231"/>
      <c r="AF5813" s="227"/>
      <c r="AG5813" s="348"/>
      <c r="AH5813" s="348"/>
      <c r="AI5813" s="348"/>
      <c r="AJ5813" s="348"/>
      <c r="AK5813" s="348"/>
      <c r="AL5813" s="348"/>
      <c r="AM5813" s="348"/>
      <c r="AN5813" s="348"/>
      <c r="AO5813" s="231"/>
      <c r="AP5813" s="231"/>
      <c r="AQ5813" s="227"/>
      <c r="AR5813" s="231"/>
      <c r="AS5813" s="227"/>
      <c r="AT5813" s="227"/>
      <c r="AU5813" s="227"/>
      <c r="AV5813" s="227"/>
      <c r="AW5813" s="227"/>
      <c r="AX5813" s="227"/>
      <c r="AY5813" s="227"/>
      <c r="AZ5813" s="227"/>
      <c r="BA5813" s="227"/>
      <c r="BB5813" s="227"/>
      <c r="BC5813" s="227"/>
      <c r="BD5813" s="227"/>
      <c r="BE5813" s="227"/>
      <c r="BF5813" s="227"/>
    </row>
    <row r="5814">
      <c r="A5814" s="227"/>
      <c r="B5814" s="348"/>
      <c r="C5814" s="227"/>
      <c r="D5814" s="227"/>
      <c r="E5814" s="231"/>
      <c r="F5814" s="348"/>
      <c r="G5814" s="227"/>
      <c r="H5814" s="227"/>
      <c r="I5814" s="227"/>
      <c r="J5814" s="227"/>
      <c r="K5814" s="227"/>
      <c r="L5814" s="348"/>
      <c r="M5814" s="348"/>
      <c r="N5814" s="227"/>
      <c r="O5814" s="227"/>
      <c r="P5814" s="231"/>
      <c r="Q5814" s="231"/>
      <c r="R5814" s="227"/>
      <c r="S5814" s="231"/>
      <c r="T5814" s="231"/>
      <c r="U5814" s="231"/>
      <c r="V5814" s="231"/>
      <c r="W5814" s="231"/>
      <c r="X5814" s="227"/>
      <c r="Y5814" s="348"/>
      <c r="Z5814" s="348"/>
      <c r="AA5814" s="348"/>
      <c r="AB5814" s="348"/>
      <c r="AC5814" s="227"/>
      <c r="AD5814" s="227"/>
      <c r="AE5814" s="231"/>
      <c r="AF5814" s="227"/>
      <c r="AG5814" s="348"/>
      <c r="AH5814" s="348"/>
      <c r="AI5814" s="348"/>
      <c r="AJ5814" s="348"/>
      <c r="AK5814" s="348"/>
      <c r="AL5814" s="348"/>
      <c r="AM5814" s="348"/>
      <c r="AN5814" s="348"/>
      <c r="AO5814" s="231"/>
      <c r="AP5814" s="231"/>
      <c r="AQ5814" s="227"/>
      <c r="AR5814" s="231"/>
      <c r="AS5814" s="227"/>
      <c r="AT5814" s="227"/>
      <c r="AU5814" s="227"/>
      <c r="AV5814" s="227"/>
      <c r="AW5814" s="227"/>
      <c r="AX5814" s="227"/>
      <c r="AY5814" s="227"/>
      <c r="AZ5814" s="227"/>
      <c r="BA5814" s="227"/>
      <c r="BB5814" s="227"/>
      <c r="BC5814" s="227"/>
      <c r="BD5814" s="227"/>
      <c r="BE5814" s="227"/>
      <c r="BF5814" s="227"/>
    </row>
    <row r="5815">
      <c r="A5815" s="227"/>
      <c r="B5815" s="348"/>
      <c r="C5815" s="227"/>
      <c r="D5815" s="227"/>
      <c r="E5815" s="231"/>
      <c r="F5815" s="348"/>
      <c r="G5815" s="227"/>
      <c r="H5815" s="227"/>
      <c r="I5815" s="227"/>
      <c r="J5815" s="227"/>
      <c r="K5815" s="227"/>
      <c r="L5815" s="348"/>
      <c r="M5815" s="348"/>
      <c r="N5815" s="227"/>
      <c r="O5815" s="227"/>
      <c r="P5815" s="231"/>
      <c r="Q5815" s="231"/>
      <c r="R5815" s="227"/>
      <c r="S5815" s="231"/>
      <c r="T5815" s="231"/>
      <c r="U5815" s="231"/>
      <c r="V5815" s="231"/>
      <c r="W5815" s="231"/>
      <c r="X5815" s="227"/>
      <c r="Y5815" s="348"/>
      <c r="Z5815" s="348"/>
      <c r="AA5815" s="348"/>
      <c r="AB5815" s="348"/>
      <c r="AC5815" s="227"/>
      <c r="AD5815" s="227"/>
      <c r="AE5815" s="231"/>
      <c r="AF5815" s="227"/>
      <c r="AG5815" s="348"/>
      <c r="AH5815" s="348"/>
      <c r="AI5815" s="348"/>
      <c r="AJ5815" s="348"/>
      <c r="AK5815" s="348"/>
      <c r="AL5815" s="348"/>
      <c r="AM5815" s="348"/>
      <c r="AN5815" s="348"/>
      <c r="AO5815" s="231"/>
      <c r="AP5815" s="231"/>
      <c r="AQ5815" s="227"/>
      <c r="AR5815" s="231"/>
      <c r="AS5815" s="227"/>
      <c r="AT5815" s="227"/>
      <c r="AU5815" s="227"/>
      <c r="AV5815" s="227"/>
      <c r="AW5815" s="227"/>
      <c r="AX5815" s="227"/>
      <c r="AY5815" s="227"/>
      <c r="AZ5815" s="227"/>
      <c r="BA5815" s="227"/>
      <c r="BB5815" s="227"/>
      <c r="BC5815" s="227"/>
      <c r="BD5815" s="227"/>
      <c r="BE5815" s="227"/>
      <c r="BF5815" s="227"/>
    </row>
    <row r="5816">
      <c r="A5816" s="227"/>
      <c r="B5816" s="348"/>
      <c r="C5816" s="227"/>
      <c r="D5816" s="227"/>
      <c r="E5816" s="231"/>
      <c r="F5816" s="348"/>
      <c r="G5816" s="227"/>
      <c r="H5816" s="227"/>
      <c r="I5816" s="227"/>
      <c r="J5816" s="227"/>
      <c r="K5816" s="227"/>
      <c r="L5816" s="348"/>
      <c r="M5816" s="348"/>
      <c r="N5816" s="227"/>
      <c r="O5816" s="227"/>
      <c r="P5816" s="231"/>
      <c r="Q5816" s="231"/>
      <c r="R5816" s="227"/>
      <c r="S5816" s="231"/>
      <c r="T5816" s="231"/>
      <c r="U5816" s="231"/>
      <c r="V5816" s="231"/>
      <c r="W5816" s="231"/>
      <c r="X5816" s="227"/>
      <c r="Y5816" s="348"/>
      <c r="Z5816" s="348"/>
      <c r="AA5816" s="348"/>
      <c r="AB5816" s="348"/>
      <c r="AC5816" s="227"/>
      <c r="AD5816" s="227"/>
      <c r="AE5816" s="231"/>
      <c r="AF5816" s="227"/>
      <c r="AG5816" s="348"/>
      <c r="AH5816" s="348"/>
      <c r="AI5816" s="348"/>
      <c r="AJ5816" s="348"/>
      <c r="AK5816" s="348"/>
      <c r="AL5816" s="348"/>
      <c r="AM5816" s="348"/>
      <c r="AN5816" s="348"/>
      <c r="AO5816" s="231"/>
      <c r="AP5816" s="231"/>
      <c r="AQ5816" s="227"/>
      <c r="AR5816" s="231"/>
      <c r="AS5816" s="227"/>
      <c r="AT5816" s="227"/>
      <c r="AU5816" s="227"/>
      <c r="AV5816" s="227"/>
      <c r="AW5816" s="227"/>
      <c r="AX5816" s="227"/>
      <c r="AY5816" s="227"/>
      <c r="AZ5816" s="227"/>
      <c r="BA5816" s="227"/>
      <c r="BB5816" s="227"/>
      <c r="BC5816" s="227"/>
      <c r="BD5816" s="227"/>
      <c r="BE5816" s="227"/>
      <c r="BF5816" s="227"/>
    </row>
    <row r="5817">
      <c r="A5817" s="227"/>
      <c r="B5817" s="348"/>
      <c r="C5817" s="227"/>
      <c r="D5817" s="227"/>
      <c r="E5817" s="231"/>
      <c r="F5817" s="348"/>
      <c r="G5817" s="227"/>
      <c r="H5817" s="227"/>
      <c r="I5817" s="227"/>
      <c r="J5817" s="227"/>
      <c r="K5817" s="227"/>
      <c r="L5817" s="348"/>
      <c r="M5817" s="348"/>
      <c r="N5817" s="227"/>
      <c r="O5817" s="227"/>
      <c r="P5817" s="231"/>
      <c r="Q5817" s="231"/>
      <c r="R5817" s="227"/>
      <c r="S5817" s="231"/>
      <c r="T5817" s="231"/>
      <c r="U5817" s="231"/>
      <c r="V5817" s="231"/>
      <c r="W5817" s="231"/>
      <c r="X5817" s="227"/>
      <c r="Y5817" s="348"/>
      <c r="Z5817" s="348"/>
      <c r="AA5817" s="348"/>
      <c r="AB5817" s="348"/>
      <c r="AC5817" s="227"/>
      <c r="AD5817" s="227"/>
      <c r="AE5817" s="231"/>
      <c r="AF5817" s="227"/>
      <c r="AG5817" s="348"/>
      <c r="AH5817" s="348"/>
      <c r="AI5817" s="348"/>
      <c r="AJ5817" s="348"/>
      <c r="AK5817" s="348"/>
      <c r="AL5817" s="348"/>
      <c r="AM5817" s="348"/>
      <c r="AN5817" s="348"/>
      <c r="AO5817" s="231"/>
      <c r="AP5817" s="231"/>
      <c r="AQ5817" s="227"/>
      <c r="AR5817" s="231"/>
      <c r="AS5817" s="227"/>
      <c r="AT5817" s="227"/>
      <c r="AU5817" s="227"/>
      <c r="AV5817" s="227"/>
      <c r="AW5817" s="227"/>
      <c r="AX5817" s="227"/>
      <c r="AY5817" s="227"/>
      <c r="AZ5817" s="227"/>
      <c r="BA5817" s="227"/>
      <c r="BB5817" s="227"/>
      <c r="BC5817" s="227"/>
      <c r="BD5817" s="227"/>
      <c r="BE5817" s="227"/>
      <c r="BF5817" s="227"/>
    </row>
    <row r="5818">
      <c r="A5818" s="227"/>
      <c r="B5818" s="348"/>
      <c r="C5818" s="227"/>
      <c r="D5818" s="227"/>
      <c r="E5818" s="231"/>
      <c r="F5818" s="348"/>
      <c r="G5818" s="227"/>
      <c r="H5818" s="227"/>
      <c r="I5818" s="227"/>
      <c r="J5818" s="227"/>
      <c r="K5818" s="227"/>
      <c r="L5818" s="348"/>
      <c r="M5818" s="348"/>
      <c r="N5818" s="227"/>
      <c r="O5818" s="227"/>
      <c r="P5818" s="231"/>
      <c r="Q5818" s="231"/>
      <c r="R5818" s="227"/>
      <c r="S5818" s="231"/>
      <c r="T5818" s="231"/>
      <c r="U5818" s="231"/>
      <c r="V5818" s="231"/>
      <c r="W5818" s="231"/>
      <c r="X5818" s="227"/>
      <c r="Y5818" s="348"/>
      <c r="Z5818" s="348"/>
      <c r="AA5818" s="348"/>
      <c r="AB5818" s="348"/>
      <c r="AC5818" s="227"/>
      <c r="AD5818" s="227"/>
      <c r="AE5818" s="231"/>
      <c r="AF5818" s="227"/>
      <c r="AG5818" s="348"/>
      <c r="AH5818" s="348"/>
      <c r="AI5818" s="348"/>
      <c r="AJ5818" s="348"/>
      <c r="AK5818" s="348"/>
      <c r="AL5818" s="348"/>
      <c r="AM5818" s="348"/>
      <c r="AN5818" s="348"/>
      <c r="AO5818" s="231"/>
      <c r="AP5818" s="231"/>
      <c r="AQ5818" s="227"/>
      <c r="AR5818" s="231"/>
      <c r="AS5818" s="227"/>
      <c r="AT5818" s="227"/>
      <c r="AU5818" s="227"/>
      <c r="AV5818" s="227"/>
      <c r="AW5818" s="227"/>
      <c r="AX5818" s="227"/>
      <c r="AY5818" s="227"/>
      <c r="AZ5818" s="227"/>
      <c r="BA5818" s="227"/>
      <c r="BB5818" s="227"/>
      <c r="BC5818" s="227"/>
      <c r="BD5818" s="227"/>
      <c r="BE5818" s="227"/>
      <c r="BF5818" s="227"/>
    </row>
    <row r="5819">
      <c r="A5819" s="227"/>
      <c r="B5819" s="348"/>
      <c r="C5819" s="227"/>
      <c r="D5819" s="227"/>
      <c r="E5819" s="231"/>
      <c r="F5819" s="348"/>
      <c r="G5819" s="227"/>
      <c r="H5819" s="227"/>
      <c r="I5819" s="227"/>
      <c r="J5819" s="227"/>
      <c r="K5819" s="227"/>
      <c r="L5819" s="348"/>
      <c r="M5819" s="348"/>
      <c r="N5819" s="227"/>
      <c r="O5819" s="227"/>
      <c r="P5819" s="231"/>
      <c r="Q5819" s="231"/>
      <c r="R5819" s="227"/>
      <c r="S5819" s="231"/>
      <c r="T5819" s="231"/>
      <c r="U5819" s="231"/>
      <c r="V5819" s="231"/>
      <c r="W5819" s="231"/>
      <c r="X5819" s="227"/>
      <c r="Y5819" s="348"/>
      <c r="Z5819" s="348"/>
      <c r="AA5819" s="348"/>
      <c r="AB5819" s="348"/>
      <c r="AC5819" s="227"/>
      <c r="AD5819" s="227"/>
      <c r="AE5819" s="231"/>
      <c r="AF5819" s="227"/>
      <c r="AG5819" s="348"/>
      <c r="AH5819" s="348"/>
      <c r="AI5819" s="348"/>
      <c r="AJ5819" s="348"/>
      <c r="AK5819" s="348"/>
      <c r="AL5819" s="348"/>
      <c r="AM5819" s="348"/>
      <c r="AN5819" s="348"/>
      <c r="AO5819" s="231"/>
      <c r="AP5819" s="231"/>
      <c r="AQ5819" s="227"/>
      <c r="AR5819" s="231"/>
      <c r="AS5819" s="227"/>
      <c r="AT5819" s="227"/>
      <c r="AU5819" s="227"/>
      <c r="AV5819" s="227"/>
      <c r="AW5819" s="227"/>
      <c r="AX5819" s="227"/>
      <c r="AY5819" s="227"/>
      <c r="AZ5819" s="227"/>
      <c r="BA5819" s="227"/>
      <c r="BB5819" s="227"/>
      <c r="BC5819" s="227"/>
      <c r="BD5819" s="227"/>
      <c r="BE5819" s="227"/>
      <c r="BF5819" s="227"/>
    </row>
    <row r="5820">
      <c r="A5820" s="227"/>
      <c r="B5820" s="348"/>
      <c r="C5820" s="227"/>
      <c r="D5820" s="227"/>
      <c r="E5820" s="231"/>
      <c r="F5820" s="348"/>
      <c r="G5820" s="227"/>
      <c r="H5820" s="227"/>
      <c r="I5820" s="227"/>
      <c r="J5820" s="227"/>
      <c r="K5820" s="227"/>
      <c r="L5820" s="348"/>
      <c r="M5820" s="348"/>
      <c r="N5820" s="227"/>
      <c r="O5820" s="227"/>
      <c r="P5820" s="231"/>
      <c r="Q5820" s="231"/>
      <c r="R5820" s="227"/>
      <c r="S5820" s="231"/>
      <c r="T5820" s="231"/>
      <c r="U5820" s="231"/>
      <c r="V5820" s="231"/>
      <c r="W5820" s="231"/>
      <c r="X5820" s="227"/>
      <c r="Y5820" s="348"/>
      <c r="Z5820" s="348"/>
      <c r="AA5820" s="348"/>
      <c r="AB5820" s="348"/>
      <c r="AC5820" s="227"/>
      <c r="AD5820" s="227"/>
      <c r="AE5820" s="231"/>
      <c r="AF5820" s="227"/>
      <c r="AG5820" s="348"/>
      <c r="AH5820" s="348"/>
      <c r="AI5820" s="348"/>
      <c r="AJ5820" s="348"/>
      <c r="AK5820" s="348"/>
      <c r="AL5820" s="348"/>
      <c r="AM5820" s="348"/>
      <c r="AN5820" s="348"/>
      <c r="AO5820" s="231"/>
      <c r="AP5820" s="231"/>
      <c r="AQ5820" s="227"/>
      <c r="AR5820" s="231"/>
      <c r="AS5820" s="227"/>
      <c r="AT5820" s="227"/>
      <c r="AU5820" s="227"/>
      <c r="AV5820" s="227"/>
      <c r="AW5820" s="227"/>
      <c r="AX5820" s="227"/>
      <c r="AY5820" s="227"/>
      <c r="AZ5820" s="227"/>
      <c r="BA5820" s="227"/>
      <c r="BB5820" s="227"/>
      <c r="BC5820" s="227"/>
      <c r="BD5820" s="227"/>
      <c r="BE5820" s="227"/>
      <c r="BF5820" s="227"/>
    </row>
    <row r="5821">
      <c r="A5821" s="227"/>
      <c r="B5821" s="348"/>
      <c r="C5821" s="227"/>
      <c r="D5821" s="227"/>
      <c r="E5821" s="231"/>
      <c r="F5821" s="348"/>
      <c r="G5821" s="227"/>
      <c r="H5821" s="227"/>
      <c r="I5821" s="227"/>
      <c r="J5821" s="227"/>
      <c r="K5821" s="227"/>
      <c r="L5821" s="348"/>
      <c r="M5821" s="348"/>
      <c r="N5821" s="227"/>
      <c r="O5821" s="227"/>
      <c r="P5821" s="231"/>
      <c r="Q5821" s="231"/>
      <c r="R5821" s="227"/>
      <c r="S5821" s="231"/>
      <c r="T5821" s="231"/>
      <c r="U5821" s="231"/>
      <c r="V5821" s="231"/>
      <c r="W5821" s="231"/>
      <c r="X5821" s="227"/>
      <c r="Y5821" s="348"/>
      <c r="Z5821" s="348"/>
      <c r="AA5821" s="348"/>
      <c r="AB5821" s="348"/>
      <c r="AC5821" s="227"/>
      <c r="AD5821" s="227"/>
      <c r="AE5821" s="231"/>
      <c r="AF5821" s="227"/>
      <c r="AG5821" s="348"/>
      <c r="AH5821" s="348"/>
      <c r="AI5821" s="348"/>
      <c r="AJ5821" s="348"/>
      <c r="AK5821" s="348"/>
      <c r="AL5821" s="348"/>
      <c r="AM5821" s="348"/>
      <c r="AN5821" s="348"/>
      <c r="AO5821" s="231"/>
      <c r="AP5821" s="231"/>
      <c r="AQ5821" s="227"/>
      <c r="AR5821" s="231"/>
      <c r="AS5821" s="227"/>
      <c r="AT5821" s="227"/>
      <c r="AU5821" s="227"/>
      <c r="AV5821" s="227"/>
      <c r="AW5821" s="227"/>
      <c r="AX5821" s="227"/>
      <c r="AY5821" s="227"/>
      <c r="AZ5821" s="227"/>
      <c r="BA5821" s="227"/>
      <c r="BB5821" s="227"/>
      <c r="BC5821" s="227"/>
      <c r="BD5821" s="227"/>
      <c r="BE5821" s="227"/>
      <c r="BF5821" s="227"/>
    </row>
    <row r="5822">
      <c r="A5822" s="227"/>
      <c r="B5822" s="348"/>
      <c r="C5822" s="227"/>
      <c r="D5822" s="227"/>
      <c r="E5822" s="231"/>
      <c r="F5822" s="348"/>
      <c r="G5822" s="227"/>
      <c r="H5822" s="227"/>
      <c r="I5822" s="227"/>
      <c r="J5822" s="227"/>
      <c r="K5822" s="227"/>
      <c r="L5822" s="348"/>
      <c r="M5822" s="348"/>
      <c r="N5822" s="227"/>
      <c r="O5822" s="227"/>
      <c r="P5822" s="231"/>
      <c r="Q5822" s="231"/>
      <c r="R5822" s="227"/>
      <c r="S5822" s="231"/>
      <c r="T5822" s="231"/>
      <c r="U5822" s="231"/>
      <c r="V5822" s="231"/>
      <c r="W5822" s="231"/>
      <c r="X5822" s="227"/>
      <c r="Y5822" s="348"/>
      <c r="Z5822" s="348"/>
      <c r="AA5822" s="348"/>
      <c r="AB5822" s="348"/>
      <c r="AC5822" s="227"/>
      <c r="AD5822" s="227"/>
      <c r="AE5822" s="231"/>
      <c r="AF5822" s="227"/>
      <c r="AG5822" s="348"/>
      <c r="AH5822" s="348"/>
      <c r="AI5822" s="348"/>
      <c r="AJ5822" s="348"/>
      <c r="AK5822" s="348"/>
      <c r="AL5822" s="348"/>
      <c r="AM5822" s="348"/>
      <c r="AN5822" s="348"/>
      <c r="AO5822" s="231"/>
      <c r="AP5822" s="231"/>
      <c r="AQ5822" s="227"/>
      <c r="AR5822" s="231"/>
      <c r="AS5822" s="227"/>
      <c r="AT5822" s="227"/>
      <c r="AU5822" s="227"/>
      <c r="AV5822" s="227"/>
      <c r="AW5822" s="227"/>
      <c r="AX5822" s="227"/>
      <c r="AY5822" s="227"/>
      <c r="AZ5822" s="227"/>
      <c r="BA5822" s="227"/>
      <c r="BB5822" s="227"/>
      <c r="BC5822" s="227"/>
      <c r="BD5822" s="227"/>
      <c r="BE5822" s="227"/>
      <c r="BF5822" s="227"/>
    </row>
    <row r="5823">
      <c r="A5823" s="227"/>
      <c r="B5823" s="348"/>
      <c r="C5823" s="227"/>
      <c r="D5823" s="227"/>
      <c r="E5823" s="231"/>
      <c r="F5823" s="348"/>
      <c r="G5823" s="227"/>
      <c r="H5823" s="227"/>
      <c r="I5823" s="227"/>
      <c r="J5823" s="227"/>
      <c r="K5823" s="227"/>
      <c r="L5823" s="348"/>
      <c r="M5823" s="348"/>
      <c r="N5823" s="227"/>
      <c r="O5823" s="227"/>
      <c r="P5823" s="231"/>
      <c r="Q5823" s="231"/>
      <c r="R5823" s="227"/>
      <c r="S5823" s="231"/>
      <c r="T5823" s="231"/>
      <c r="U5823" s="231"/>
      <c r="V5823" s="231"/>
      <c r="W5823" s="231"/>
      <c r="X5823" s="227"/>
      <c r="Y5823" s="348"/>
      <c r="Z5823" s="348"/>
      <c r="AA5823" s="348"/>
      <c r="AB5823" s="348"/>
      <c r="AC5823" s="227"/>
      <c r="AD5823" s="227"/>
      <c r="AE5823" s="231"/>
      <c r="AF5823" s="227"/>
      <c r="AG5823" s="348"/>
      <c r="AH5823" s="348"/>
      <c r="AI5823" s="348"/>
      <c r="AJ5823" s="348"/>
      <c r="AK5823" s="348"/>
      <c r="AL5823" s="348"/>
      <c r="AM5823" s="348"/>
      <c r="AN5823" s="348"/>
      <c r="AO5823" s="231"/>
      <c r="AP5823" s="231"/>
      <c r="AQ5823" s="227"/>
      <c r="AR5823" s="231"/>
      <c r="AS5823" s="227"/>
      <c r="AT5823" s="227"/>
      <c r="AU5823" s="227"/>
      <c r="AV5823" s="227"/>
      <c r="AW5823" s="227"/>
      <c r="AX5823" s="227"/>
      <c r="AY5823" s="227"/>
      <c r="AZ5823" s="227"/>
      <c r="BA5823" s="227"/>
      <c r="BB5823" s="227"/>
      <c r="BC5823" s="227"/>
      <c r="BD5823" s="227"/>
      <c r="BE5823" s="227"/>
      <c r="BF5823" s="227"/>
    </row>
    <row r="5824">
      <c r="A5824" s="227"/>
      <c r="B5824" s="348"/>
      <c r="C5824" s="227"/>
      <c r="D5824" s="227"/>
      <c r="E5824" s="231"/>
      <c r="F5824" s="348"/>
      <c r="G5824" s="227"/>
      <c r="H5824" s="227"/>
      <c r="I5824" s="227"/>
      <c r="J5824" s="227"/>
      <c r="K5824" s="227"/>
      <c r="L5824" s="348"/>
      <c r="M5824" s="348"/>
      <c r="N5824" s="227"/>
      <c r="O5824" s="227"/>
      <c r="P5824" s="231"/>
      <c r="Q5824" s="231"/>
      <c r="R5824" s="227"/>
      <c r="S5824" s="231"/>
      <c r="T5824" s="231"/>
      <c r="U5824" s="231"/>
      <c r="V5824" s="231"/>
      <c r="W5824" s="231"/>
      <c r="X5824" s="227"/>
      <c r="Y5824" s="348"/>
      <c r="Z5824" s="348"/>
      <c r="AA5824" s="348"/>
      <c r="AB5824" s="348"/>
      <c r="AC5824" s="227"/>
      <c r="AD5824" s="227"/>
      <c r="AE5824" s="231"/>
      <c r="AF5824" s="227"/>
      <c r="AG5824" s="348"/>
      <c r="AH5824" s="348"/>
      <c r="AI5824" s="348"/>
      <c r="AJ5824" s="348"/>
      <c r="AK5824" s="348"/>
      <c r="AL5824" s="348"/>
      <c r="AM5824" s="348"/>
      <c r="AN5824" s="348"/>
      <c r="AO5824" s="231"/>
      <c r="AP5824" s="231"/>
      <c r="AQ5824" s="227"/>
      <c r="AR5824" s="231"/>
      <c r="AS5824" s="227"/>
      <c r="AT5824" s="227"/>
      <c r="AU5824" s="227"/>
      <c r="AV5824" s="227"/>
      <c r="AW5824" s="227"/>
      <c r="AX5824" s="227"/>
      <c r="AY5824" s="227"/>
      <c r="AZ5824" s="227"/>
      <c r="BA5824" s="227"/>
      <c r="BB5824" s="227"/>
      <c r="BC5824" s="227"/>
      <c r="BD5824" s="227"/>
      <c r="BE5824" s="227"/>
      <c r="BF5824" s="227"/>
    </row>
    <row r="5825">
      <c r="A5825" s="227"/>
      <c r="B5825" s="348"/>
      <c r="C5825" s="227"/>
      <c r="D5825" s="227"/>
      <c r="E5825" s="231"/>
      <c r="F5825" s="348"/>
      <c r="G5825" s="227"/>
      <c r="H5825" s="227"/>
      <c r="I5825" s="227"/>
      <c r="J5825" s="227"/>
      <c r="K5825" s="227"/>
      <c r="L5825" s="348"/>
      <c r="M5825" s="348"/>
      <c r="N5825" s="227"/>
      <c r="O5825" s="227"/>
      <c r="P5825" s="231"/>
      <c r="Q5825" s="231"/>
      <c r="R5825" s="227"/>
      <c r="S5825" s="231"/>
      <c r="T5825" s="231"/>
      <c r="U5825" s="231"/>
      <c r="V5825" s="231"/>
      <c r="W5825" s="231"/>
      <c r="X5825" s="227"/>
      <c r="Y5825" s="348"/>
      <c r="Z5825" s="348"/>
      <c r="AA5825" s="348"/>
      <c r="AB5825" s="348"/>
      <c r="AC5825" s="227"/>
      <c r="AD5825" s="227"/>
      <c r="AE5825" s="231"/>
      <c r="AF5825" s="227"/>
      <c r="AG5825" s="348"/>
      <c r="AH5825" s="348"/>
      <c r="AI5825" s="348"/>
      <c r="AJ5825" s="348"/>
      <c r="AK5825" s="348"/>
      <c r="AL5825" s="348"/>
      <c r="AM5825" s="348"/>
      <c r="AN5825" s="348"/>
      <c r="AO5825" s="231"/>
      <c r="AP5825" s="231"/>
      <c r="AQ5825" s="227"/>
      <c r="AR5825" s="231"/>
      <c r="AS5825" s="227"/>
      <c r="AT5825" s="227"/>
      <c r="AU5825" s="227"/>
      <c r="AV5825" s="227"/>
      <c r="AW5825" s="227"/>
      <c r="AX5825" s="227"/>
      <c r="AY5825" s="227"/>
      <c r="AZ5825" s="227"/>
      <c r="BA5825" s="227"/>
      <c r="BB5825" s="227"/>
      <c r="BC5825" s="227"/>
      <c r="BD5825" s="227"/>
      <c r="BE5825" s="227"/>
      <c r="BF5825" s="227"/>
    </row>
    <row r="5826">
      <c r="A5826" s="227"/>
      <c r="B5826" s="348"/>
      <c r="C5826" s="227"/>
      <c r="D5826" s="227"/>
      <c r="E5826" s="231"/>
      <c r="F5826" s="348"/>
      <c r="G5826" s="227"/>
      <c r="H5826" s="227"/>
      <c r="I5826" s="227"/>
      <c r="J5826" s="227"/>
      <c r="K5826" s="227"/>
      <c r="L5826" s="348"/>
      <c r="M5826" s="348"/>
      <c r="N5826" s="227"/>
      <c r="O5826" s="227"/>
      <c r="P5826" s="231"/>
      <c r="Q5826" s="231"/>
      <c r="R5826" s="227"/>
      <c r="S5826" s="231"/>
      <c r="T5826" s="231"/>
      <c r="U5826" s="231"/>
      <c r="V5826" s="231"/>
      <c r="W5826" s="231"/>
      <c r="X5826" s="227"/>
      <c r="Y5826" s="348"/>
      <c r="Z5826" s="348"/>
      <c r="AA5826" s="348"/>
      <c r="AB5826" s="348"/>
      <c r="AC5826" s="227"/>
      <c r="AD5826" s="227"/>
      <c r="AE5826" s="231"/>
      <c r="AF5826" s="227"/>
      <c r="AG5826" s="348"/>
      <c r="AH5826" s="348"/>
      <c r="AI5826" s="348"/>
      <c r="AJ5826" s="348"/>
      <c r="AK5826" s="348"/>
      <c r="AL5826" s="348"/>
      <c r="AM5826" s="348"/>
      <c r="AN5826" s="348"/>
      <c r="AO5826" s="231"/>
      <c r="AP5826" s="231"/>
      <c r="AQ5826" s="227"/>
      <c r="AR5826" s="231"/>
      <c r="AS5826" s="227"/>
      <c r="AT5826" s="227"/>
      <c r="AU5826" s="227"/>
      <c r="AV5826" s="227"/>
      <c r="AW5826" s="227"/>
      <c r="AX5826" s="227"/>
      <c r="AY5826" s="227"/>
      <c r="AZ5826" s="227"/>
      <c r="BA5826" s="227"/>
      <c r="BB5826" s="227"/>
      <c r="BC5826" s="227"/>
      <c r="BD5826" s="227"/>
      <c r="BE5826" s="227"/>
      <c r="BF5826" s="227"/>
    </row>
    <row r="5827">
      <c r="A5827" s="227"/>
      <c r="B5827" s="348"/>
      <c r="C5827" s="227"/>
      <c r="D5827" s="227"/>
      <c r="E5827" s="231"/>
      <c r="F5827" s="348"/>
      <c r="G5827" s="227"/>
      <c r="H5827" s="227"/>
      <c r="I5827" s="227"/>
      <c r="J5827" s="227"/>
      <c r="K5827" s="227"/>
      <c r="L5827" s="348"/>
      <c r="M5827" s="348"/>
      <c r="N5827" s="227"/>
      <c r="O5827" s="227"/>
      <c r="P5827" s="231"/>
      <c r="Q5827" s="231"/>
      <c r="R5827" s="227"/>
      <c r="S5827" s="231"/>
      <c r="T5827" s="231"/>
      <c r="U5827" s="231"/>
      <c r="V5827" s="231"/>
      <c r="W5827" s="231"/>
      <c r="X5827" s="227"/>
      <c r="Y5827" s="348"/>
      <c r="Z5827" s="348"/>
      <c r="AA5827" s="348"/>
      <c r="AB5827" s="348"/>
      <c r="AC5827" s="227"/>
      <c r="AD5827" s="227"/>
      <c r="AE5827" s="231"/>
      <c r="AF5827" s="227"/>
      <c r="AG5827" s="348"/>
      <c r="AH5827" s="348"/>
      <c r="AI5827" s="348"/>
      <c r="AJ5827" s="348"/>
      <c r="AK5827" s="348"/>
      <c r="AL5827" s="348"/>
      <c r="AM5827" s="348"/>
      <c r="AN5827" s="348"/>
      <c r="AO5827" s="231"/>
      <c r="AP5827" s="231"/>
      <c r="AQ5827" s="227"/>
      <c r="AR5827" s="231"/>
      <c r="AS5827" s="227"/>
      <c r="AT5827" s="227"/>
      <c r="AU5827" s="227"/>
      <c r="AV5827" s="227"/>
      <c r="AW5827" s="227"/>
      <c r="AX5827" s="227"/>
      <c r="AY5827" s="227"/>
      <c r="AZ5827" s="227"/>
      <c r="BA5827" s="227"/>
      <c r="BB5827" s="227"/>
      <c r="BC5827" s="227"/>
      <c r="BD5827" s="227"/>
      <c r="BE5827" s="227"/>
      <c r="BF5827" s="227"/>
    </row>
    <row r="5828">
      <c r="A5828" s="227"/>
      <c r="B5828" s="348"/>
      <c r="C5828" s="227"/>
      <c r="D5828" s="227"/>
      <c r="E5828" s="231"/>
      <c r="F5828" s="348"/>
      <c r="G5828" s="227"/>
      <c r="H5828" s="227"/>
      <c r="I5828" s="227"/>
      <c r="J5828" s="227"/>
      <c r="K5828" s="227"/>
      <c r="L5828" s="348"/>
      <c r="M5828" s="348"/>
      <c r="N5828" s="227"/>
      <c r="O5828" s="227"/>
      <c r="P5828" s="231"/>
      <c r="Q5828" s="231"/>
      <c r="R5828" s="227"/>
      <c r="S5828" s="231"/>
      <c r="T5828" s="231"/>
      <c r="U5828" s="231"/>
      <c r="V5828" s="231"/>
      <c r="W5828" s="231"/>
      <c r="X5828" s="227"/>
      <c r="Y5828" s="348"/>
      <c r="Z5828" s="348"/>
      <c r="AA5828" s="348"/>
      <c r="AB5828" s="348"/>
      <c r="AC5828" s="227"/>
      <c r="AD5828" s="227"/>
      <c r="AE5828" s="231"/>
      <c r="AF5828" s="227"/>
      <c r="AG5828" s="348"/>
      <c r="AH5828" s="348"/>
      <c r="AI5828" s="348"/>
      <c r="AJ5828" s="348"/>
      <c r="AK5828" s="348"/>
      <c r="AL5828" s="348"/>
      <c r="AM5828" s="348"/>
      <c r="AN5828" s="348"/>
      <c r="AO5828" s="231"/>
      <c r="AP5828" s="231"/>
      <c r="AQ5828" s="227"/>
      <c r="AR5828" s="231"/>
      <c r="AS5828" s="227"/>
      <c r="AT5828" s="227"/>
      <c r="AU5828" s="227"/>
      <c r="AV5828" s="227"/>
      <c r="AW5828" s="227"/>
      <c r="AX5828" s="227"/>
      <c r="AY5828" s="227"/>
      <c r="AZ5828" s="227"/>
      <c r="BA5828" s="227"/>
      <c r="BB5828" s="227"/>
      <c r="BC5828" s="227"/>
      <c r="BD5828" s="227"/>
      <c r="BE5828" s="227"/>
      <c r="BF5828" s="227"/>
    </row>
    <row r="5829">
      <c r="A5829" s="227"/>
      <c r="B5829" s="348"/>
      <c r="C5829" s="227"/>
      <c r="D5829" s="227"/>
      <c r="E5829" s="231"/>
      <c r="F5829" s="348"/>
      <c r="G5829" s="227"/>
      <c r="H5829" s="227"/>
      <c r="I5829" s="227"/>
      <c r="J5829" s="227"/>
      <c r="K5829" s="227"/>
      <c r="L5829" s="348"/>
      <c r="M5829" s="348"/>
      <c r="N5829" s="227"/>
      <c r="O5829" s="227"/>
      <c r="P5829" s="231"/>
      <c r="Q5829" s="231"/>
      <c r="R5829" s="227"/>
      <c r="S5829" s="231"/>
      <c r="T5829" s="231"/>
      <c r="U5829" s="231"/>
      <c r="V5829" s="231"/>
      <c r="W5829" s="231"/>
      <c r="X5829" s="227"/>
      <c r="Y5829" s="348"/>
      <c r="Z5829" s="348"/>
      <c r="AA5829" s="348"/>
      <c r="AB5829" s="348"/>
      <c r="AC5829" s="227"/>
      <c r="AD5829" s="227"/>
      <c r="AE5829" s="231"/>
      <c r="AF5829" s="227"/>
      <c r="AG5829" s="348"/>
      <c r="AH5829" s="348"/>
      <c r="AI5829" s="348"/>
      <c r="AJ5829" s="348"/>
      <c r="AK5829" s="348"/>
      <c r="AL5829" s="348"/>
      <c r="AM5829" s="348"/>
      <c r="AN5829" s="348"/>
      <c r="AO5829" s="231"/>
      <c r="AP5829" s="231"/>
      <c r="AQ5829" s="227"/>
      <c r="AR5829" s="231"/>
      <c r="AS5829" s="227"/>
      <c r="AT5829" s="227"/>
      <c r="AU5829" s="227"/>
      <c r="AV5829" s="227"/>
      <c r="AW5829" s="227"/>
      <c r="AX5829" s="227"/>
      <c r="AY5829" s="227"/>
      <c r="AZ5829" s="227"/>
      <c r="BA5829" s="227"/>
      <c r="BB5829" s="227"/>
      <c r="BC5829" s="227"/>
      <c r="BD5829" s="227"/>
      <c r="BE5829" s="227"/>
      <c r="BF5829" s="227"/>
    </row>
    <row r="5830">
      <c r="A5830" s="227"/>
      <c r="B5830" s="348"/>
      <c r="C5830" s="227"/>
      <c r="D5830" s="227"/>
      <c r="E5830" s="231"/>
      <c r="F5830" s="348"/>
      <c r="G5830" s="227"/>
      <c r="H5830" s="227"/>
      <c r="I5830" s="227"/>
      <c r="J5830" s="227"/>
      <c r="K5830" s="227"/>
      <c r="L5830" s="348"/>
      <c r="M5830" s="348"/>
      <c r="N5830" s="227"/>
      <c r="O5830" s="227"/>
      <c r="P5830" s="231"/>
      <c r="Q5830" s="231"/>
      <c r="R5830" s="227"/>
      <c r="S5830" s="231"/>
      <c r="T5830" s="231"/>
      <c r="U5830" s="231"/>
      <c r="V5830" s="231"/>
      <c r="W5830" s="231"/>
      <c r="X5830" s="227"/>
      <c r="Y5830" s="348"/>
      <c r="Z5830" s="348"/>
      <c r="AA5830" s="348"/>
      <c r="AB5830" s="348"/>
      <c r="AC5830" s="227"/>
      <c r="AD5830" s="227"/>
      <c r="AE5830" s="231"/>
      <c r="AF5830" s="227"/>
      <c r="AG5830" s="348"/>
      <c r="AH5830" s="348"/>
      <c r="AI5830" s="348"/>
      <c r="AJ5830" s="348"/>
      <c r="AK5830" s="348"/>
      <c r="AL5830" s="348"/>
      <c r="AM5830" s="348"/>
      <c r="AN5830" s="348"/>
      <c r="AO5830" s="231"/>
      <c r="AP5830" s="231"/>
      <c r="AQ5830" s="227"/>
      <c r="AR5830" s="231"/>
      <c r="AS5830" s="227"/>
      <c r="AT5830" s="227"/>
      <c r="AU5830" s="227"/>
      <c r="AV5830" s="227"/>
      <c r="AW5830" s="227"/>
      <c r="AX5830" s="227"/>
      <c r="AY5830" s="227"/>
      <c r="AZ5830" s="227"/>
      <c r="BA5830" s="227"/>
      <c r="BB5830" s="227"/>
      <c r="BC5830" s="227"/>
      <c r="BD5830" s="227"/>
      <c r="BE5830" s="227"/>
      <c r="BF5830" s="227"/>
    </row>
    <row r="5831">
      <c r="A5831" s="227"/>
      <c r="B5831" s="348"/>
      <c r="C5831" s="227"/>
      <c r="D5831" s="227"/>
      <c r="E5831" s="231"/>
      <c r="F5831" s="348"/>
      <c r="G5831" s="227"/>
      <c r="H5831" s="227"/>
      <c r="I5831" s="227"/>
      <c r="J5831" s="227"/>
      <c r="K5831" s="227"/>
      <c r="L5831" s="348"/>
      <c r="M5831" s="348"/>
      <c r="N5831" s="227"/>
      <c r="O5831" s="227"/>
      <c r="P5831" s="231"/>
      <c r="Q5831" s="231"/>
      <c r="R5831" s="227"/>
      <c r="S5831" s="231"/>
      <c r="T5831" s="231"/>
      <c r="U5831" s="231"/>
      <c r="V5831" s="231"/>
      <c r="W5831" s="231"/>
      <c r="X5831" s="227"/>
      <c r="Y5831" s="348"/>
      <c r="Z5831" s="348"/>
      <c r="AA5831" s="348"/>
      <c r="AB5831" s="348"/>
      <c r="AC5831" s="227"/>
      <c r="AD5831" s="227"/>
      <c r="AE5831" s="231"/>
      <c r="AF5831" s="227"/>
      <c r="AG5831" s="348"/>
      <c r="AH5831" s="348"/>
      <c r="AI5831" s="348"/>
      <c r="AJ5831" s="348"/>
      <c r="AK5831" s="348"/>
      <c r="AL5831" s="348"/>
      <c r="AM5831" s="348"/>
      <c r="AN5831" s="348"/>
      <c r="AO5831" s="231"/>
      <c r="AP5831" s="231"/>
      <c r="AQ5831" s="227"/>
      <c r="AR5831" s="231"/>
      <c r="AS5831" s="227"/>
      <c r="AT5831" s="227"/>
      <c r="AU5831" s="227"/>
      <c r="AV5831" s="227"/>
      <c r="AW5831" s="227"/>
      <c r="AX5831" s="227"/>
      <c r="AY5831" s="227"/>
      <c r="AZ5831" s="227"/>
      <c r="BA5831" s="227"/>
      <c r="BB5831" s="227"/>
      <c r="BC5831" s="227"/>
      <c r="BD5831" s="227"/>
      <c r="BE5831" s="227"/>
      <c r="BF5831" s="227"/>
    </row>
    <row r="5832">
      <c r="A5832" s="227"/>
      <c r="B5832" s="348"/>
      <c r="C5832" s="227"/>
      <c r="D5832" s="227"/>
      <c r="E5832" s="231"/>
      <c r="F5832" s="348"/>
      <c r="G5832" s="227"/>
      <c r="H5832" s="227"/>
      <c r="I5832" s="227"/>
      <c r="J5832" s="227"/>
      <c r="K5832" s="227"/>
      <c r="L5832" s="348"/>
      <c r="M5832" s="348"/>
      <c r="N5832" s="227"/>
      <c r="O5832" s="227"/>
      <c r="P5832" s="231"/>
      <c r="Q5832" s="231"/>
      <c r="R5832" s="227"/>
      <c r="S5832" s="231"/>
      <c r="T5832" s="231"/>
      <c r="U5832" s="231"/>
      <c r="V5832" s="231"/>
      <c r="W5832" s="231"/>
      <c r="X5832" s="227"/>
      <c r="Y5832" s="348"/>
      <c r="Z5832" s="348"/>
      <c r="AA5832" s="348"/>
      <c r="AB5832" s="348"/>
      <c r="AC5832" s="227"/>
      <c r="AD5832" s="227"/>
      <c r="AE5832" s="231"/>
      <c r="AF5832" s="227"/>
      <c r="AG5832" s="348"/>
      <c r="AH5832" s="348"/>
      <c r="AI5832" s="348"/>
      <c r="AJ5832" s="348"/>
      <c r="AK5832" s="348"/>
      <c r="AL5832" s="348"/>
      <c r="AM5832" s="348"/>
      <c r="AN5832" s="348"/>
      <c r="AO5832" s="231"/>
      <c r="AP5832" s="231"/>
      <c r="AQ5832" s="227"/>
      <c r="AR5832" s="231"/>
      <c r="AS5832" s="227"/>
      <c r="AT5832" s="227"/>
      <c r="AU5832" s="227"/>
      <c r="AV5832" s="227"/>
      <c r="AW5832" s="227"/>
      <c r="AX5832" s="227"/>
      <c r="AY5832" s="227"/>
      <c r="AZ5832" s="227"/>
      <c r="BA5832" s="227"/>
      <c r="BB5832" s="227"/>
      <c r="BC5832" s="227"/>
      <c r="BD5832" s="227"/>
      <c r="BE5832" s="227"/>
      <c r="BF5832" s="227"/>
    </row>
    <row r="5833">
      <c r="A5833" s="227"/>
      <c r="B5833" s="348"/>
      <c r="C5833" s="227"/>
      <c r="D5833" s="227"/>
      <c r="E5833" s="231"/>
      <c r="F5833" s="348"/>
      <c r="G5833" s="227"/>
      <c r="H5833" s="227"/>
      <c r="I5833" s="227"/>
      <c r="J5833" s="227"/>
      <c r="K5833" s="227"/>
      <c r="L5833" s="348"/>
      <c r="M5833" s="348"/>
      <c r="N5833" s="227"/>
      <c r="O5833" s="227"/>
      <c r="P5833" s="231"/>
      <c r="Q5833" s="231"/>
      <c r="R5833" s="227"/>
      <c r="S5833" s="231"/>
      <c r="T5833" s="231"/>
      <c r="U5833" s="231"/>
      <c r="V5833" s="231"/>
      <c r="W5833" s="231"/>
      <c r="X5833" s="227"/>
      <c r="Y5833" s="348"/>
      <c r="Z5833" s="348"/>
      <c r="AA5833" s="348"/>
      <c r="AB5833" s="348"/>
      <c r="AC5833" s="227"/>
      <c r="AD5833" s="227"/>
      <c r="AE5833" s="231"/>
      <c r="AF5833" s="227"/>
      <c r="AG5833" s="348"/>
      <c r="AH5833" s="348"/>
      <c r="AI5833" s="348"/>
      <c r="AJ5833" s="348"/>
      <c r="AK5833" s="348"/>
      <c r="AL5833" s="348"/>
      <c r="AM5833" s="348"/>
      <c r="AN5833" s="348"/>
      <c r="AO5833" s="231"/>
      <c r="AP5833" s="231"/>
      <c r="AQ5833" s="227"/>
      <c r="AR5833" s="231"/>
      <c r="AS5833" s="227"/>
      <c r="AT5833" s="227"/>
      <c r="AU5833" s="227"/>
      <c r="AV5833" s="227"/>
      <c r="AW5833" s="227"/>
      <c r="AX5833" s="227"/>
      <c r="AY5833" s="227"/>
      <c r="AZ5833" s="227"/>
      <c r="BA5833" s="227"/>
      <c r="BB5833" s="227"/>
      <c r="BC5833" s="227"/>
      <c r="BD5833" s="227"/>
      <c r="BE5833" s="227"/>
      <c r="BF5833" s="227"/>
    </row>
    <row r="5834">
      <c r="A5834" s="227"/>
      <c r="B5834" s="348"/>
      <c r="C5834" s="227"/>
      <c r="D5834" s="227"/>
      <c r="E5834" s="231"/>
      <c r="F5834" s="348"/>
      <c r="G5834" s="227"/>
      <c r="H5834" s="227"/>
      <c r="I5834" s="227"/>
      <c r="J5834" s="227"/>
      <c r="K5834" s="227"/>
      <c r="L5834" s="348"/>
      <c r="M5834" s="348"/>
      <c r="N5834" s="227"/>
      <c r="O5834" s="227"/>
      <c r="P5834" s="231"/>
      <c r="Q5834" s="231"/>
      <c r="R5834" s="227"/>
      <c r="S5834" s="231"/>
      <c r="T5834" s="231"/>
      <c r="U5834" s="231"/>
      <c r="V5834" s="231"/>
      <c r="W5834" s="231"/>
      <c r="X5834" s="227"/>
      <c r="Y5834" s="348"/>
      <c r="Z5834" s="348"/>
      <c r="AA5834" s="348"/>
      <c r="AB5834" s="348"/>
      <c r="AC5834" s="227"/>
      <c r="AD5834" s="227"/>
      <c r="AE5834" s="231"/>
      <c r="AF5834" s="227"/>
      <c r="AG5834" s="348"/>
      <c r="AH5834" s="348"/>
      <c r="AI5834" s="348"/>
      <c r="AJ5834" s="348"/>
      <c r="AK5834" s="348"/>
      <c r="AL5834" s="348"/>
      <c r="AM5834" s="348"/>
      <c r="AN5834" s="348"/>
      <c r="AO5834" s="231"/>
      <c r="AP5834" s="231"/>
      <c r="AQ5834" s="227"/>
      <c r="AR5834" s="231"/>
      <c r="AS5834" s="227"/>
      <c r="AT5834" s="227"/>
      <c r="AU5834" s="227"/>
      <c r="AV5834" s="227"/>
      <c r="AW5834" s="227"/>
      <c r="AX5834" s="227"/>
      <c r="AY5834" s="227"/>
      <c r="AZ5834" s="227"/>
      <c r="BA5834" s="227"/>
      <c r="BB5834" s="227"/>
      <c r="BC5834" s="227"/>
      <c r="BD5834" s="227"/>
      <c r="BE5834" s="227"/>
      <c r="BF5834" s="227"/>
    </row>
    <row r="5835">
      <c r="A5835" s="227"/>
      <c r="B5835" s="348"/>
      <c r="C5835" s="227"/>
      <c r="D5835" s="227"/>
      <c r="E5835" s="231"/>
      <c r="F5835" s="348"/>
      <c r="G5835" s="227"/>
      <c r="H5835" s="227"/>
      <c r="I5835" s="227"/>
      <c r="J5835" s="227"/>
      <c r="K5835" s="227"/>
      <c r="L5835" s="348"/>
      <c r="M5835" s="348"/>
      <c r="N5835" s="227"/>
      <c r="O5835" s="227"/>
      <c r="P5835" s="231"/>
      <c r="Q5835" s="231"/>
      <c r="R5835" s="227"/>
      <c r="S5835" s="231"/>
      <c r="T5835" s="231"/>
      <c r="U5835" s="231"/>
      <c r="V5835" s="231"/>
      <c r="W5835" s="231"/>
      <c r="X5835" s="227"/>
      <c r="Y5835" s="348"/>
      <c r="Z5835" s="348"/>
      <c r="AA5835" s="348"/>
      <c r="AB5835" s="348"/>
      <c r="AC5835" s="227"/>
      <c r="AD5835" s="227"/>
      <c r="AE5835" s="231"/>
      <c r="AF5835" s="227"/>
      <c r="AG5835" s="348"/>
      <c r="AH5835" s="348"/>
      <c r="AI5835" s="348"/>
      <c r="AJ5835" s="348"/>
      <c r="AK5835" s="348"/>
      <c r="AL5835" s="348"/>
      <c r="AM5835" s="348"/>
      <c r="AN5835" s="348"/>
      <c r="AO5835" s="231"/>
      <c r="AP5835" s="231"/>
      <c r="AQ5835" s="227"/>
      <c r="AR5835" s="231"/>
      <c r="AS5835" s="227"/>
      <c r="AT5835" s="227"/>
      <c r="AU5835" s="227"/>
      <c r="AV5835" s="227"/>
      <c r="AW5835" s="227"/>
      <c r="AX5835" s="227"/>
      <c r="AY5835" s="227"/>
      <c r="AZ5835" s="227"/>
      <c r="BA5835" s="227"/>
      <c r="BB5835" s="227"/>
      <c r="BC5835" s="227"/>
      <c r="BD5835" s="227"/>
      <c r="BE5835" s="227"/>
      <c r="BF5835" s="227"/>
    </row>
    <row r="5836">
      <c r="A5836" s="227"/>
      <c r="B5836" s="348"/>
      <c r="C5836" s="227"/>
      <c r="D5836" s="227"/>
      <c r="E5836" s="231"/>
      <c r="F5836" s="348"/>
      <c r="G5836" s="227"/>
      <c r="H5836" s="227"/>
      <c r="I5836" s="227"/>
      <c r="J5836" s="227"/>
      <c r="K5836" s="227"/>
      <c r="L5836" s="348"/>
      <c r="M5836" s="348"/>
      <c r="N5836" s="227"/>
      <c r="O5836" s="227"/>
      <c r="P5836" s="231"/>
      <c r="Q5836" s="231"/>
      <c r="R5836" s="227"/>
      <c r="S5836" s="231"/>
      <c r="T5836" s="231"/>
      <c r="U5836" s="231"/>
      <c r="V5836" s="231"/>
      <c r="W5836" s="231"/>
      <c r="X5836" s="227"/>
      <c r="Y5836" s="348"/>
      <c r="Z5836" s="348"/>
      <c r="AA5836" s="348"/>
      <c r="AB5836" s="348"/>
      <c r="AC5836" s="227"/>
      <c r="AD5836" s="227"/>
      <c r="AE5836" s="231"/>
      <c r="AF5836" s="227"/>
      <c r="AG5836" s="348"/>
      <c r="AH5836" s="348"/>
      <c r="AI5836" s="348"/>
      <c r="AJ5836" s="348"/>
      <c r="AK5836" s="348"/>
      <c r="AL5836" s="348"/>
      <c r="AM5836" s="348"/>
      <c r="AN5836" s="348"/>
      <c r="AO5836" s="231"/>
      <c r="AP5836" s="231"/>
      <c r="AQ5836" s="227"/>
      <c r="AR5836" s="231"/>
      <c r="AS5836" s="227"/>
      <c r="AT5836" s="227"/>
      <c r="AU5836" s="227"/>
      <c r="AV5836" s="227"/>
      <c r="AW5836" s="227"/>
      <c r="AX5836" s="227"/>
      <c r="AY5836" s="227"/>
      <c r="AZ5836" s="227"/>
      <c r="BA5836" s="227"/>
      <c r="BB5836" s="227"/>
      <c r="BC5836" s="227"/>
      <c r="BD5836" s="227"/>
      <c r="BE5836" s="227"/>
      <c r="BF5836" s="227"/>
    </row>
    <row r="5837">
      <c r="A5837" s="227"/>
      <c r="B5837" s="348"/>
      <c r="C5837" s="227"/>
      <c r="D5837" s="227"/>
      <c r="E5837" s="231"/>
      <c r="F5837" s="348"/>
      <c r="G5837" s="227"/>
      <c r="H5837" s="227"/>
      <c r="I5837" s="227"/>
      <c r="J5837" s="227"/>
      <c r="K5837" s="227"/>
      <c r="L5837" s="348"/>
      <c r="M5837" s="348"/>
      <c r="N5837" s="227"/>
      <c r="O5837" s="227"/>
      <c r="P5837" s="231"/>
      <c r="Q5837" s="231"/>
      <c r="R5837" s="227"/>
      <c r="S5837" s="231"/>
      <c r="T5837" s="231"/>
      <c r="U5837" s="231"/>
      <c r="V5837" s="231"/>
      <c r="W5837" s="231"/>
      <c r="X5837" s="227"/>
      <c r="Y5837" s="348"/>
      <c r="Z5837" s="348"/>
      <c r="AA5837" s="348"/>
      <c r="AB5837" s="348"/>
      <c r="AC5837" s="227"/>
      <c r="AD5837" s="227"/>
      <c r="AE5837" s="231"/>
      <c r="AF5837" s="227"/>
      <c r="AG5837" s="348"/>
      <c r="AH5837" s="348"/>
      <c r="AI5837" s="348"/>
      <c r="AJ5837" s="348"/>
      <c r="AK5837" s="348"/>
      <c r="AL5837" s="348"/>
      <c r="AM5837" s="348"/>
      <c r="AN5837" s="348"/>
      <c r="AO5837" s="231"/>
      <c r="AP5837" s="231"/>
      <c r="AQ5837" s="227"/>
      <c r="AR5837" s="231"/>
      <c r="AS5837" s="227"/>
      <c r="AT5837" s="227"/>
      <c r="AU5837" s="227"/>
      <c r="AV5837" s="227"/>
      <c r="AW5837" s="227"/>
      <c r="AX5837" s="227"/>
      <c r="AY5837" s="227"/>
      <c r="AZ5837" s="227"/>
      <c r="BA5837" s="227"/>
      <c r="BB5837" s="227"/>
      <c r="BC5837" s="227"/>
      <c r="BD5837" s="227"/>
      <c r="BE5837" s="227"/>
      <c r="BF5837" s="227"/>
    </row>
    <row r="5838">
      <c r="A5838" s="227"/>
      <c r="B5838" s="348"/>
      <c r="C5838" s="227"/>
      <c r="D5838" s="227"/>
      <c r="E5838" s="231"/>
      <c r="F5838" s="348"/>
      <c r="G5838" s="227"/>
      <c r="H5838" s="227"/>
      <c r="I5838" s="227"/>
      <c r="J5838" s="227"/>
      <c r="K5838" s="227"/>
      <c r="L5838" s="348"/>
      <c r="M5838" s="348"/>
      <c r="N5838" s="227"/>
      <c r="O5838" s="227"/>
      <c r="P5838" s="231"/>
      <c r="Q5838" s="231"/>
      <c r="R5838" s="227"/>
      <c r="S5838" s="231"/>
      <c r="T5838" s="231"/>
      <c r="U5838" s="231"/>
      <c r="V5838" s="231"/>
      <c r="W5838" s="231"/>
      <c r="X5838" s="227"/>
      <c r="Y5838" s="348"/>
      <c r="Z5838" s="348"/>
      <c r="AA5838" s="348"/>
      <c r="AB5838" s="348"/>
      <c r="AC5838" s="227"/>
      <c r="AD5838" s="227"/>
      <c r="AE5838" s="231"/>
      <c r="AF5838" s="227"/>
      <c r="AG5838" s="348"/>
      <c r="AH5838" s="348"/>
      <c r="AI5838" s="348"/>
      <c r="AJ5838" s="348"/>
      <c r="AK5838" s="348"/>
      <c r="AL5838" s="348"/>
      <c r="AM5838" s="348"/>
      <c r="AN5838" s="348"/>
      <c r="AO5838" s="231"/>
      <c r="AP5838" s="231"/>
      <c r="AQ5838" s="227"/>
      <c r="AR5838" s="231"/>
      <c r="AS5838" s="227"/>
      <c r="AT5838" s="227"/>
      <c r="AU5838" s="227"/>
      <c r="AV5838" s="227"/>
      <c r="AW5838" s="227"/>
      <c r="AX5838" s="227"/>
      <c r="AY5838" s="227"/>
      <c r="AZ5838" s="227"/>
      <c r="BA5838" s="227"/>
      <c r="BB5838" s="227"/>
      <c r="BC5838" s="227"/>
      <c r="BD5838" s="227"/>
      <c r="BE5838" s="227"/>
      <c r="BF5838" s="227"/>
    </row>
    <row r="5839">
      <c r="A5839" s="227"/>
      <c r="B5839" s="348"/>
      <c r="C5839" s="227"/>
      <c r="D5839" s="227"/>
      <c r="E5839" s="231"/>
      <c r="F5839" s="348"/>
      <c r="G5839" s="227"/>
      <c r="H5839" s="227"/>
      <c r="I5839" s="227"/>
      <c r="J5839" s="227"/>
      <c r="K5839" s="227"/>
      <c r="L5839" s="348"/>
      <c r="M5839" s="348"/>
      <c r="N5839" s="227"/>
      <c r="O5839" s="227"/>
      <c r="P5839" s="231"/>
      <c r="Q5839" s="231"/>
      <c r="R5839" s="227"/>
      <c r="S5839" s="231"/>
      <c r="T5839" s="231"/>
      <c r="U5839" s="231"/>
      <c r="V5839" s="231"/>
      <c r="W5839" s="231"/>
      <c r="X5839" s="227"/>
      <c r="Y5839" s="348"/>
      <c r="Z5839" s="348"/>
      <c r="AA5839" s="348"/>
      <c r="AB5839" s="348"/>
      <c r="AC5839" s="227"/>
      <c r="AD5839" s="227"/>
      <c r="AE5839" s="231"/>
      <c r="AF5839" s="227"/>
      <c r="AG5839" s="348"/>
      <c r="AH5839" s="348"/>
      <c r="AI5839" s="348"/>
      <c r="AJ5839" s="348"/>
      <c r="AK5839" s="348"/>
      <c r="AL5839" s="348"/>
      <c r="AM5839" s="348"/>
      <c r="AN5839" s="348"/>
      <c r="AO5839" s="231"/>
      <c r="AP5839" s="231"/>
      <c r="AQ5839" s="227"/>
      <c r="AR5839" s="231"/>
      <c r="AS5839" s="227"/>
      <c r="AT5839" s="227"/>
      <c r="AU5839" s="227"/>
      <c r="AV5839" s="227"/>
      <c r="AW5839" s="227"/>
      <c r="AX5839" s="227"/>
      <c r="AY5839" s="227"/>
      <c r="AZ5839" s="227"/>
      <c r="BA5839" s="227"/>
      <c r="BB5839" s="227"/>
      <c r="BC5839" s="227"/>
      <c r="BD5839" s="227"/>
      <c r="BE5839" s="227"/>
      <c r="BF5839" s="227"/>
    </row>
    <row r="5840">
      <c r="A5840" s="227"/>
      <c r="B5840" s="348"/>
      <c r="C5840" s="227"/>
      <c r="D5840" s="227"/>
      <c r="E5840" s="231"/>
      <c r="F5840" s="348"/>
      <c r="G5840" s="227"/>
      <c r="H5840" s="227"/>
      <c r="I5840" s="227"/>
      <c r="J5840" s="227"/>
      <c r="K5840" s="227"/>
      <c r="L5840" s="348"/>
      <c r="M5840" s="348"/>
      <c r="N5840" s="227"/>
      <c r="O5840" s="227"/>
      <c r="P5840" s="231"/>
      <c r="Q5840" s="231"/>
      <c r="R5840" s="227"/>
      <c r="S5840" s="231"/>
      <c r="T5840" s="231"/>
      <c r="U5840" s="231"/>
      <c r="V5840" s="231"/>
      <c r="W5840" s="231"/>
      <c r="X5840" s="227"/>
      <c r="Y5840" s="348"/>
      <c r="Z5840" s="348"/>
      <c r="AA5840" s="348"/>
      <c r="AB5840" s="348"/>
      <c r="AC5840" s="227"/>
      <c r="AD5840" s="227"/>
      <c r="AE5840" s="231"/>
      <c r="AF5840" s="227"/>
      <c r="AG5840" s="348"/>
      <c r="AH5840" s="348"/>
      <c r="AI5840" s="348"/>
      <c r="AJ5840" s="348"/>
      <c r="AK5840" s="348"/>
      <c r="AL5840" s="348"/>
      <c r="AM5840" s="348"/>
      <c r="AN5840" s="348"/>
      <c r="AO5840" s="231"/>
      <c r="AP5840" s="231"/>
      <c r="AQ5840" s="227"/>
      <c r="AR5840" s="231"/>
      <c r="AS5840" s="227"/>
      <c r="AT5840" s="227"/>
      <c r="AU5840" s="227"/>
      <c r="AV5840" s="227"/>
      <c r="AW5840" s="227"/>
      <c r="AX5840" s="227"/>
      <c r="AY5840" s="227"/>
      <c r="AZ5840" s="227"/>
      <c r="BA5840" s="227"/>
      <c r="BB5840" s="227"/>
      <c r="BC5840" s="227"/>
      <c r="BD5840" s="227"/>
      <c r="BE5840" s="227"/>
      <c r="BF5840" s="227"/>
    </row>
    <row r="5841">
      <c r="A5841" s="227"/>
      <c r="B5841" s="348"/>
      <c r="C5841" s="227"/>
      <c r="D5841" s="227"/>
      <c r="E5841" s="231"/>
      <c r="F5841" s="348"/>
      <c r="G5841" s="227"/>
      <c r="H5841" s="227"/>
      <c r="I5841" s="227"/>
      <c r="J5841" s="227"/>
      <c r="K5841" s="227"/>
      <c r="L5841" s="348"/>
      <c r="M5841" s="348"/>
      <c r="N5841" s="227"/>
      <c r="O5841" s="227"/>
      <c r="P5841" s="231"/>
      <c r="Q5841" s="231"/>
      <c r="R5841" s="227"/>
      <c r="S5841" s="231"/>
      <c r="T5841" s="231"/>
      <c r="U5841" s="231"/>
      <c r="V5841" s="231"/>
      <c r="W5841" s="231"/>
      <c r="X5841" s="227"/>
      <c r="Y5841" s="348"/>
      <c r="Z5841" s="348"/>
      <c r="AA5841" s="348"/>
      <c r="AB5841" s="348"/>
      <c r="AC5841" s="227"/>
      <c r="AD5841" s="227"/>
      <c r="AE5841" s="231"/>
      <c r="AF5841" s="227"/>
      <c r="AG5841" s="348"/>
      <c r="AH5841" s="348"/>
      <c r="AI5841" s="348"/>
      <c r="AJ5841" s="348"/>
      <c r="AK5841" s="348"/>
      <c r="AL5841" s="348"/>
      <c r="AM5841" s="348"/>
      <c r="AN5841" s="348"/>
      <c r="AO5841" s="231"/>
      <c r="AP5841" s="231"/>
      <c r="AQ5841" s="227"/>
      <c r="AR5841" s="231"/>
      <c r="AS5841" s="227"/>
      <c r="AT5841" s="227"/>
      <c r="AU5841" s="227"/>
      <c r="AV5841" s="227"/>
      <c r="AW5841" s="227"/>
      <c r="AX5841" s="227"/>
      <c r="AY5841" s="227"/>
      <c r="AZ5841" s="227"/>
      <c r="BA5841" s="227"/>
      <c r="BB5841" s="227"/>
      <c r="BC5841" s="227"/>
      <c r="BD5841" s="227"/>
      <c r="BE5841" s="227"/>
      <c r="BF5841" s="227"/>
    </row>
    <row r="5842">
      <c r="A5842" s="227"/>
      <c r="B5842" s="348"/>
      <c r="C5842" s="227"/>
      <c r="D5842" s="227"/>
      <c r="E5842" s="231"/>
      <c r="F5842" s="348"/>
      <c r="G5842" s="227"/>
      <c r="H5842" s="227"/>
      <c r="I5842" s="227"/>
      <c r="J5842" s="227"/>
      <c r="K5842" s="227"/>
      <c r="L5842" s="348"/>
      <c r="M5842" s="348"/>
      <c r="N5842" s="227"/>
      <c r="O5842" s="227"/>
      <c r="P5842" s="231"/>
      <c r="Q5842" s="231"/>
      <c r="R5842" s="227"/>
      <c r="S5842" s="231"/>
      <c r="T5842" s="231"/>
      <c r="U5842" s="231"/>
      <c r="V5842" s="231"/>
      <c r="W5842" s="231"/>
      <c r="X5842" s="227"/>
      <c r="Y5842" s="348"/>
      <c r="Z5842" s="348"/>
      <c r="AA5842" s="348"/>
      <c r="AB5842" s="348"/>
      <c r="AC5842" s="227"/>
      <c r="AD5842" s="227"/>
      <c r="AE5842" s="231"/>
      <c r="AF5842" s="227"/>
      <c r="AG5842" s="348"/>
      <c r="AH5842" s="348"/>
      <c r="AI5842" s="348"/>
      <c r="AJ5842" s="348"/>
      <c r="AK5842" s="348"/>
      <c r="AL5842" s="348"/>
      <c r="AM5842" s="348"/>
      <c r="AN5842" s="348"/>
      <c r="AO5842" s="231"/>
      <c r="AP5842" s="231"/>
      <c r="AQ5842" s="227"/>
      <c r="AR5842" s="231"/>
      <c r="AS5842" s="227"/>
      <c r="AT5842" s="227"/>
      <c r="AU5842" s="227"/>
      <c r="AV5842" s="227"/>
      <c r="AW5842" s="227"/>
      <c r="AX5842" s="227"/>
      <c r="AY5842" s="227"/>
      <c r="AZ5842" s="227"/>
      <c r="BA5842" s="227"/>
      <c r="BB5842" s="227"/>
      <c r="BC5842" s="227"/>
      <c r="BD5842" s="227"/>
      <c r="BE5842" s="227"/>
      <c r="BF5842" s="227"/>
    </row>
    <row r="5843">
      <c r="A5843" s="227"/>
      <c r="B5843" s="348"/>
      <c r="C5843" s="227"/>
      <c r="D5843" s="227"/>
      <c r="E5843" s="231"/>
      <c r="F5843" s="348"/>
      <c r="G5843" s="227"/>
      <c r="H5843" s="227"/>
      <c r="I5843" s="227"/>
      <c r="J5843" s="227"/>
      <c r="K5843" s="227"/>
      <c r="L5843" s="348"/>
      <c r="M5843" s="348"/>
      <c r="N5843" s="227"/>
      <c r="O5843" s="227"/>
      <c r="P5843" s="231"/>
      <c r="Q5843" s="231"/>
      <c r="R5843" s="227"/>
      <c r="S5843" s="231"/>
      <c r="T5843" s="231"/>
      <c r="U5843" s="231"/>
      <c r="V5843" s="231"/>
      <c r="W5843" s="231"/>
      <c r="X5843" s="227"/>
      <c r="Y5843" s="348"/>
      <c r="Z5843" s="348"/>
      <c r="AA5843" s="348"/>
      <c r="AB5843" s="348"/>
      <c r="AC5843" s="227"/>
      <c r="AD5843" s="227"/>
      <c r="AE5843" s="231"/>
      <c r="AF5843" s="227"/>
      <c r="AG5843" s="348"/>
      <c r="AH5843" s="348"/>
      <c r="AI5843" s="348"/>
      <c r="AJ5843" s="348"/>
      <c r="AK5843" s="348"/>
      <c r="AL5843" s="348"/>
      <c r="AM5843" s="348"/>
      <c r="AN5843" s="348"/>
      <c r="AO5843" s="231"/>
      <c r="AP5843" s="231"/>
      <c r="AQ5843" s="227"/>
      <c r="AR5843" s="231"/>
      <c r="AS5843" s="227"/>
      <c r="AT5843" s="227"/>
      <c r="AU5843" s="227"/>
      <c r="AV5843" s="227"/>
      <c r="AW5843" s="227"/>
      <c r="AX5843" s="227"/>
      <c r="AY5843" s="227"/>
      <c r="AZ5843" s="227"/>
      <c r="BA5843" s="227"/>
      <c r="BB5843" s="227"/>
      <c r="BC5843" s="227"/>
      <c r="BD5843" s="227"/>
      <c r="BE5843" s="227"/>
      <c r="BF5843" s="227"/>
    </row>
    <row r="5844">
      <c r="A5844" s="227"/>
      <c r="B5844" s="348"/>
      <c r="C5844" s="227"/>
      <c r="D5844" s="227"/>
      <c r="E5844" s="231"/>
      <c r="F5844" s="348"/>
      <c r="G5844" s="227"/>
      <c r="H5844" s="227"/>
      <c r="I5844" s="227"/>
      <c r="J5844" s="227"/>
      <c r="K5844" s="227"/>
      <c r="L5844" s="348"/>
      <c r="M5844" s="348"/>
      <c r="N5844" s="227"/>
      <c r="O5844" s="227"/>
      <c r="P5844" s="231"/>
      <c r="Q5844" s="231"/>
      <c r="R5844" s="227"/>
      <c r="S5844" s="231"/>
      <c r="T5844" s="231"/>
      <c r="U5844" s="231"/>
      <c r="V5844" s="231"/>
      <c r="W5844" s="231"/>
      <c r="X5844" s="227"/>
      <c r="Y5844" s="348"/>
      <c r="Z5844" s="348"/>
      <c r="AA5844" s="348"/>
      <c r="AB5844" s="348"/>
      <c r="AC5844" s="227"/>
      <c r="AD5844" s="227"/>
      <c r="AE5844" s="231"/>
      <c r="AF5844" s="227"/>
      <c r="AG5844" s="348"/>
      <c r="AH5844" s="348"/>
      <c r="AI5844" s="348"/>
      <c r="AJ5844" s="348"/>
      <c r="AK5844" s="348"/>
      <c r="AL5844" s="348"/>
      <c r="AM5844" s="348"/>
      <c r="AN5844" s="348"/>
      <c r="AO5844" s="231"/>
      <c r="AP5844" s="231"/>
      <c r="AQ5844" s="227"/>
      <c r="AR5844" s="231"/>
      <c r="AS5844" s="227"/>
      <c r="AT5844" s="227"/>
      <c r="AU5844" s="227"/>
      <c r="AV5844" s="227"/>
      <c r="AW5844" s="227"/>
      <c r="AX5844" s="227"/>
      <c r="AY5844" s="227"/>
      <c r="AZ5844" s="227"/>
      <c r="BA5844" s="227"/>
      <c r="BB5844" s="227"/>
      <c r="BC5844" s="227"/>
      <c r="BD5844" s="227"/>
      <c r="BE5844" s="227"/>
      <c r="BF5844" s="227"/>
    </row>
    <row r="5845">
      <c r="A5845" s="227"/>
      <c r="B5845" s="348"/>
      <c r="C5845" s="227"/>
      <c r="D5845" s="227"/>
      <c r="E5845" s="231"/>
      <c r="F5845" s="348"/>
      <c r="G5845" s="227"/>
      <c r="H5845" s="227"/>
      <c r="I5845" s="227"/>
      <c r="J5845" s="227"/>
      <c r="K5845" s="227"/>
      <c r="L5845" s="348"/>
      <c r="M5845" s="348"/>
      <c r="N5845" s="227"/>
      <c r="O5845" s="227"/>
      <c r="P5845" s="231"/>
      <c r="Q5845" s="231"/>
      <c r="R5845" s="227"/>
      <c r="S5845" s="231"/>
      <c r="T5845" s="231"/>
      <c r="U5845" s="231"/>
      <c r="V5845" s="231"/>
      <c r="W5845" s="231"/>
      <c r="X5845" s="227"/>
      <c r="Y5845" s="348"/>
      <c r="Z5845" s="348"/>
      <c r="AA5845" s="348"/>
      <c r="AB5845" s="348"/>
      <c r="AC5845" s="227"/>
      <c r="AD5845" s="227"/>
      <c r="AE5845" s="231"/>
      <c r="AF5845" s="227"/>
      <c r="AG5845" s="348"/>
      <c r="AH5845" s="348"/>
      <c r="AI5845" s="348"/>
      <c r="AJ5845" s="348"/>
      <c r="AK5845" s="348"/>
      <c r="AL5845" s="348"/>
      <c r="AM5845" s="348"/>
      <c r="AN5845" s="348"/>
      <c r="AO5845" s="231"/>
      <c r="AP5845" s="231"/>
      <c r="AQ5845" s="227"/>
      <c r="AR5845" s="231"/>
      <c r="AS5845" s="227"/>
      <c r="AT5845" s="227"/>
      <c r="AU5845" s="227"/>
      <c r="AV5845" s="227"/>
      <c r="AW5845" s="227"/>
      <c r="AX5845" s="227"/>
      <c r="AY5845" s="227"/>
      <c r="AZ5845" s="227"/>
      <c r="BA5845" s="227"/>
      <c r="BB5845" s="227"/>
      <c r="BC5845" s="227"/>
      <c r="BD5845" s="227"/>
      <c r="BE5845" s="227"/>
      <c r="BF5845" s="227"/>
    </row>
    <row r="5846">
      <c r="A5846" s="227"/>
      <c r="B5846" s="348"/>
      <c r="C5846" s="227"/>
      <c r="D5846" s="227"/>
      <c r="E5846" s="231"/>
      <c r="F5846" s="348"/>
      <c r="G5846" s="227"/>
      <c r="H5846" s="227"/>
      <c r="I5846" s="227"/>
      <c r="J5846" s="227"/>
      <c r="K5846" s="227"/>
      <c r="L5846" s="348"/>
      <c r="M5846" s="348"/>
      <c r="N5846" s="227"/>
      <c r="O5846" s="227"/>
      <c r="P5846" s="231"/>
      <c r="Q5846" s="231"/>
      <c r="R5846" s="227"/>
      <c r="S5846" s="231"/>
      <c r="T5846" s="231"/>
      <c r="U5846" s="231"/>
      <c r="V5846" s="231"/>
      <c r="W5846" s="231"/>
      <c r="X5846" s="227"/>
      <c r="Y5846" s="348"/>
      <c r="Z5846" s="348"/>
      <c r="AA5846" s="348"/>
      <c r="AB5846" s="348"/>
      <c r="AC5846" s="227"/>
      <c r="AD5846" s="227"/>
      <c r="AE5846" s="231"/>
      <c r="AF5846" s="227"/>
      <c r="AG5846" s="348"/>
      <c r="AH5846" s="348"/>
      <c r="AI5846" s="348"/>
      <c r="AJ5846" s="348"/>
      <c r="AK5846" s="348"/>
      <c r="AL5846" s="348"/>
      <c r="AM5846" s="348"/>
      <c r="AN5846" s="348"/>
      <c r="AO5846" s="231"/>
      <c r="AP5846" s="231"/>
      <c r="AQ5846" s="227"/>
      <c r="AR5846" s="231"/>
      <c r="AS5846" s="227"/>
      <c r="AT5846" s="227"/>
      <c r="AU5846" s="227"/>
      <c r="AV5846" s="227"/>
      <c r="AW5846" s="227"/>
      <c r="AX5846" s="227"/>
      <c r="AY5846" s="227"/>
      <c r="AZ5846" s="227"/>
      <c r="BA5846" s="227"/>
      <c r="BB5846" s="227"/>
      <c r="BC5846" s="227"/>
      <c r="BD5846" s="227"/>
      <c r="BE5846" s="227"/>
      <c r="BF5846" s="227"/>
    </row>
    <row r="5847">
      <c r="A5847" s="227"/>
      <c r="B5847" s="348"/>
      <c r="C5847" s="227"/>
      <c r="D5847" s="227"/>
      <c r="E5847" s="231"/>
      <c r="F5847" s="348"/>
      <c r="G5847" s="227"/>
      <c r="H5847" s="227"/>
      <c r="I5847" s="227"/>
      <c r="J5847" s="227"/>
      <c r="K5847" s="227"/>
      <c r="L5847" s="348"/>
      <c r="M5847" s="348"/>
      <c r="N5847" s="227"/>
      <c r="O5847" s="227"/>
      <c r="P5847" s="231"/>
      <c r="Q5847" s="231"/>
      <c r="R5847" s="227"/>
      <c r="S5847" s="231"/>
      <c r="T5847" s="231"/>
      <c r="U5847" s="231"/>
      <c r="V5847" s="231"/>
      <c r="W5847" s="231"/>
      <c r="X5847" s="227"/>
      <c r="Y5847" s="348"/>
      <c r="Z5847" s="348"/>
      <c r="AA5847" s="348"/>
      <c r="AB5847" s="348"/>
      <c r="AC5847" s="227"/>
      <c r="AD5847" s="227"/>
      <c r="AE5847" s="231"/>
      <c r="AF5847" s="227"/>
      <c r="AG5847" s="348"/>
      <c r="AH5847" s="348"/>
      <c r="AI5847" s="348"/>
      <c r="AJ5847" s="348"/>
      <c r="AK5847" s="348"/>
      <c r="AL5847" s="348"/>
      <c r="AM5847" s="348"/>
      <c r="AN5847" s="348"/>
      <c r="AO5847" s="231"/>
      <c r="AP5847" s="231"/>
      <c r="AQ5847" s="227"/>
      <c r="AR5847" s="231"/>
      <c r="AS5847" s="227"/>
      <c r="AT5847" s="227"/>
      <c r="AU5847" s="227"/>
      <c r="AV5847" s="227"/>
      <c r="AW5847" s="227"/>
      <c r="AX5847" s="227"/>
      <c r="AY5847" s="227"/>
      <c r="AZ5847" s="227"/>
      <c r="BA5847" s="227"/>
      <c r="BB5847" s="227"/>
      <c r="BC5847" s="227"/>
      <c r="BD5847" s="227"/>
      <c r="BE5847" s="227"/>
      <c r="BF5847" s="227"/>
    </row>
    <row r="5848">
      <c r="A5848" s="227"/>
      <c r="B5848" s="348"/>
      <c r="C5848" s="227"/>
      <c r="D5848" s="227"/>
      <c r="E5848" s="231"/>
      <c r="F5848" s="348"/>
      <c r="G5848" s="227"/>
      <c r="H5848" s="227"/>
      <c r="I5848" s="227"/>
      <c r="J5848" s="227"/>
      <c r="K5848" s="227"/>
      <c r="L5848" s="348"/>
      <c r="M5848" s="348"/>
      <c r="N5848" s="227"/>
      <c r="O5848" s="227"/>
      <c r="P5848" s="231"/>
      <c r="Q5848" s="231"/>
      <c r="R5848" s="227"/>
      <c r="S5848" s="231"/>
      <c r="T5848" s="231"/>
      <c r="U5848" s="231"/>
      <c r="V5848" s="231"/>
      <c r="W5848" s="231"/>
      <c r="X5848" s="227"/>
      <c r="Y5848" s="348"/>
      <c r="Z5848" s="348"/>
      <c r="AA5848" s="348"/>
      <c r="AB5848" s="348"/>
      <c r="AC5848" s="227"/>
      <c r="AD5848" s="227"/>
      <c r="AE5848" s="231"/>
      <c r="AF5848" s="227"/>
      <c r="AG5848" s="348"/>
      <c r="AH5848" s="348"/>
      <c r="AI5848" s="348"/>
      <c r="AJ5848" s="348"/>
      <c r="AK5848" s="348"/>
      <c r="AL5848" s="348"/>
      <c r="AM5848" s="348"/>
      <c r="AN5848" s="348"/>
      <c r="AO5848" s="231"/>
      <c r="AP5848" s="231"/>
      <c r="AQ5848" s="227"/>
      <c r="AR5848" s="231"/>
      <c r="AS5848" s="227"/>
      <c r="AT5848" s="227"/>
      <c r="AU5848" s="227"/>
      <c r="AV5848" s="227"/>
      <c r="AW5848" s="227"/>
      <c r="AX5848" s="227"/>
      <c r="AY5848" s="227"/>
      <c r="AZ5848" s="227"/>
      <c r="BA5848" s="227"/>
      <c r="BB5848" s="227"/>
      <c r="BC5848" s="227"/>
      <c r="BD5848" s="227"/>
      <c r="BE5848" s="227"/>
      <c r="BF5848" s="227"/>
    </row>
    <row r="5849">
      <c r="A5849" s="227"/>
      <c r="B5849" s="348"/>
      <c r="C5849" s="227"/>
      <c r="D5849" s="227"/>
      <c r="E5849" s="231"/>
      <c r="F5849" s="348"/>
      <c r="G5849" s="227"/>
      <c r="H5849" s="227"/>
      <c r="I5849" s="227"/>
      <c r="J5849" s="227"/>
      <c r="K5849" s="227"/>
      <c r="L5849" s="348"/>
      <c r="M5849" s="348"/>
      <c r="N5849" s="227"/>
      <c r="O5849" s="227"/>
      <c r="P5849" s="231"/>
      <c r="Q5849" s="231"/>
      <c r="R5849" s="227"/>
      <c r="S5849" s="231"/>
      <c r="T5849" s="231"/>
      <c r="U5849" s="231"/>
      <c r="V5849" s="231"/>
      <c r="W5849" s="231"/>
      <c r="X5849" s="227"/>
      <c r="Y5849" s="348"/>
      <c r="Z5849" s="348"/>
      <c r="AA5849" s="348"/>
      <c r="AB5849" s="348"/>
      <c r="AC5849" s="227"/>
      <c r="AD5849" s="227"/>
      <c r="AE5849" s="231"/>
      <c r="AF5849" s="227"/>
      <c r="AG5849" s="348"/>
      <c r="AH5849" s="348"/>
      <c r="AI5849" s="348"/>
      <c r="AJ5849" s="348"/>
      <c r="AK5849" s="348"/>
      <c r="AL5849" s="348"/>
      <c r="AM5849" s="348"/>
      <c r="AN5849" s="348"/>
      <c r="AO5849" s="231"/>
      <c r="AP5849" s="231"/>
      <c r="AQ5849" s="227"/>
      <c r="AR5849" s="231"/>
      <c r="AS5849" s="227"/>
      <c r="AT5849" s="227"/>
      <c r="AU5849" s="227"/>
      <c r="AV5849" s="227"/>
      <c r="AW5849" s="227"/>
      <c r="AX5849" s="227"/>
      <c r="AY5849" s="227"/>
      <c r="AZ5849" s="227"/>
      <c r="BA5849" s="227"/>
      <c r="BB5849" s="227"/>
      <c r="BC5849" s="227"/>
      <c r="BD5849" s="227"/>
      <c r="BE5849" s="227"/>
      <c r="BF5849" s="227"/>
    </row>
    <row r="5850">
      <c r="A5850" s="227"/>
      <c r="B5850" s="348"/>
      <c r="C5850" s="227"/>
      <c r="D5850" s="227"/>
      <c r="E5850" s="231"/>
      <c r="F5850" s="348"/>
      <c r="G5850" s="227"/>
      <c r="H5850" s="227"/>
      <c r="I5850" s="227"/>
      <c r="J5850" s="227"/>
      <c r="K5850" s="227"/>
      <c r="L5850" s="348"/>
      <c r="M5850" s="348"/>
      <c r="N5850" s="227"/>
      <c r="O5850" s="227"/>
      <c r="P5850" s="231"/>
      <c r="Q5850" s="231"/>
      <c r="R5850" s="227"/>
      <c r="S5850" s="231"/>
      <c r="T5850" s="231"/>
      <c r="U5850" s="231"/>
      <c r="V5850" s="231"/>
      <c r="W5850" s="231"/>
      <c r="X5850" s="227"/>
      <c r="Y5850" s="348"/>
      <c r="Z5850" s="348"/>
      <c r="AA5850" s="348"/>
      <c r="AB5850" s="348"/>
      <c r="AC5850" s="227"/>
      <c r="AD5850" s="227"/>
      <c r="AE5850" s="231"/>
      <c r="AF5850" s="227"/>
      <c r="AG5850" s="348"/>
      <c r="AH5850" s="348"/>
      <c r="AI5850" s="348"/>
      <c r="AJ5850" s="348"/>
      <c r="AK5850" s="348"/>
      <c r="AL5850" s="348"/>
      <c r="AM5850" s="348"/>
      <c r="AN5850" s="348"/>
      <c r="AO5850" s="231"/>
      <c r="AP5850" s="231"/>
      <c r="AQ5850" s="227"/>
      <c r="AR5850" s="231"/>
      <c r="AS5850" s="227"/>
      <c r="AT5850" s="227"/>
      <c r="AU5850" s="227"/>
      <c r="AV5850" s="227"/>
      <c r="AW5850" s="227"/>
      <c r="AX5850" s="227"/>
      <c r="AY5850" s="227"/>
      <c r="AZ5850" s="227"/>
      <c r="BA5850" s="227"/>
      <c r="BB5850" s="227"/>
      <c r="BC5850" s="227"/>
      <c r="BD5850" s="227"/>
      <c r="BE5850" s="227"/>
      <c r="BF5850" s="227"/>
    </row>
    <row r="5851">
      <c r="A5851" s="227"/>
      <c r="B5851" s="348"/>
      <c r="C5851" s="227"/>
      <c r="D5851" s="227"/>
      <c r="E5851" s="231"/>
      <c r="F5851" s="348"/>
      <c r="G5851" s="227"/>
      <c r="H5851" s="227"/>
      <c r="I5851" s="227"/>
      <c r="J5851" s="227"/>
      <c r="K5851" s="227"/>
      <c r="L5851" s="348"/>
      <c r="M5851" s="348"/>
      <c r="N5851" s="227"/>
      <c r="O5851" s="227"/>
      <c r="P5851" s="231"/>
      <c r="Q5851" s="231"/>
      <c r="R5851" s="227"/>
      <c r="S5851" s="231"/>
      <c r="T5851" s="231"/>
      <c r="U5851" s="231"/>
      <c r="V5851" s="231"/>
      <c r="W5851" s="231"/>
      <c r="X5851" s="227"/>
      <c r="Y5851" s="348"/>
      <c r="Z5851" s="348"/>
      <c r="AA5851" s="348"/>
      <c r="AB5851" s="348"/>
      <c r="AC5851" s="227"/>
      <c r="AD5851" s="227"/>
      <c r="AE5851" s="231"/>
      <c r="AF5851" s="227"/>
      <c r="AG5851" s="348"/>
      <c r="AH5851" s="348"/>
      <c r="AI5851" s="348"/>
      <c r="AJ5851" s="348"/>
      <c r="AK5851" s="348"/>
      <c r="AL5851" s="348"/>
      <c r="AM5851" s="348"/>
      <c r="AN5851" s="348"/>
      <c r="AO5851" s="231"/>
      <c r="AP5851" s="231"/>
      <c r="AQ5851" s="227"/>
      <c r="AR5851" s="231"/>
      <c r="AS5851" s="227"/>
      <c r="AT5851" s="227"/>
      <c r="AU5851" s="227"/>
      <c r="AV5851" s="227"/>
      <c r="AW5851" s="227"/>
      <c r="AX5851" s="227"/>
      <c r="AY5851" s="227"/>
      <c r="AZ5851" s="227"/>
      <c r="BA5851" s="227"/>
      <c r="BB5851" s="227"/>
      <c r="BC5851" s="227"/>
      <c r="BD5851" s="227"/>
      <c r="BE5851" s="227"/>
      <c r="BF5851" s="227"/>
    </row>
    <row r="5852">
      <c r="A5852" s="227"/>
      <c r="B5852" s="348"/>
      <c r="C5852" s="227"/>
      <c r="D5852" s="227"/>
      <c r="E5852" s="231"/>
      <c r="F5852" s="348"/>
      <c r="G5852" s="227"/>
      <c r="H5852" s="227"/>
      <c r="I5852" s="227"/>
      <c r="J5852" s="227"/>
      <c r="K5852" s="227"/>
      <c r="L5852" s="348"/>
      <c r="M5852" s="348"/>
      <c r="N5852" s="227"/>
      <c r="O5852" s="227"/>
      <c r="P5852" s="231"/>
      <c r="Q5852" s="231"/>
      <c r="R5852" s="227"/>
      <c r="S5852" s="231"/>
      <c r="T5852" s="231"/>
      <c r="U5852" s="231"/>
      <c r="V5852" s="231"/>
      <c r="W5852" s="231"/>
      <c r="X5852" s="227"/>
      <c r="Y5852" s="348"/>
      <c r="Z5852" s="348"/>
      <c r="AA5852" s="348"/>
      <c r="AB5852" s="348"/>
      <c r="AC5852" s="227"/>
      <c r="AD5852" s="227"/>
      <c r="AE5852" s="231"/>
      <c r="AF5852" s="227"/>
      <c r="AG5852" s="348"/>
      <c r="AH5852" s="348"/>
      <c r="AI5852" s="348"/>
      <c r="AJ5852" s="348"/>
      <c r="AK5852" s="348"/>
      <c r="AL5852" s="348"/>
      <c r="AM5852" s="348"/>
      <c r="AN5852" s="348"/>
      <c r="AO5852" s="231"/>
      <c r="AP5852" s="231"/>
      <c r="AQ5852" s="227"/>
      <c r="AR5852" s="231"/>
      <c r="AS5852" s="227"/>
      <c r="AT5852" s="227"/>
      <c r="AU5852" s="227"/>
      <c r="AV5852" s="227"/>
      <c r="AW5852" s="227"/>
      <c r="AX5852" s="227"/>
      <c r="AY5852" s="227"/>
      <c r="AZ5852" s="227"/>
      <c r="BA5852" s="227"/>
      <c r="BB5852" s="227"/>
      <c r="BC5852" s="227"/>
      <c r="BD5852" s="227"/>
      <c r="BE5852" s="227"/>
      <c r="BF5852" s="227"/>
    </row>
    <row r="5853">
      <c r="A5853" s="227"/>
      <c r="B5853" s="348"/>
      <c r="C5853" s="227"/>
      <c r="D5853" s="227"/>
      <c r="E5853" s="231"/>
      <c r="F5853" s="348"/>
      <c r="G5853" s="227"/>
      <c r="H5853" s="227"/>
      <c r="I5853" s="227"/>
      <c r="J5853" s="227"/>
      <c r="K5853" s="227"/>
      <c r="L5853" s="348"/>
      <c r="M5853" s="348"/>
      <c r="N5853" s="227"/>
      <c r="O5853" s="227"/>
      <c r="P5853" s="231"/>
      <c r="Q5853" s="231"/>
      <c r="R5853" s="227"/>
      <c r="S5853" s="231"/>
      <c r="T5853" s="231"/>
      <c r="U5853" s="231"/>
      <c r="V5853" s="231"/>
      <c r="W5853" s="231"/>
      <c r="X5853" s="227"/>
      <c r="Y5853" s="348"/>
      <c r="Z5853" s="348"/>
      <c r="AA5853" s="348"/>
      <c r="AB5853" s="348"/>
      <c r="AC5853" s="227"/>
      <c r="AD5853" s="227"/>
      <c r="AE5853" s="231"/>
      <c r="AF5853" s="227"/>
      <c r="AG5853" s="348"/>
      <c r="AH5853" s="348"/>
      <c r="AI5853" s="348"/>
      <c r="AJ5853" s="348"/>
      <c r="AK5853" s="348"/>
      <c r="AL5853" s="348"/>
      <c r="AM5853" s="348"/>
      <c r="AN5853" s="348"/>
      <c r="AO5853" s="231"/>
      <c r="AP5853" s="231"/>
      <c r="AQ5853" s="227"/>
      <c r="AR5853" s="231"/>
      <c r="AS5853" s="227"/>
      <c r="AT5853" s="227"/>
      <c r="AU5853" s="227"/>
      <c r="AV5853" s="227"/>
      <c r="AW5853" s="227"/>
      <c r="AX5853" s="227"/>
      <c r="AY5853" s="227"/>
      <c r="AZ5853" s="227"/>
      <c r="BA5853" s="227"/>
      <c r="BB5853" s="227"/>
      <c r="BC5853" s="227"/>
      <c r="BD5853" s="227"/>
      <c r="BE5853" s="227"/>
      <c r="BF5853" s="227"/>
    </row>
    <row r="5854">
      <c r="A5854" s="227"/>
      <c r="B5854" s="348"/>
      <c r="C5854" s="227"/>
      <c r="D5854" s="227"/>
      <c r="E5854" s="231"/>
      <c r="F5854" s="348"/>
      <c r="G5854" s="227"/>
      <c r="H5854" s="227"/>
      <c r="I5854" s="227"/>
      <c r="J5854" s="227"/>
      <c r="K5854" s="227"/>
      <c r="L5854" s="348"/>
      <c r="M5854" s="348"/>
      <c r="N5854" s="227"/>
      <c r="O5854" s="227"/>
      <c r="P5854" s="231"/>
      <c r="Q5854" s="231"/>
      <c r="R5854" s="227"/>
      <c r="S5854" s="231"/>
      <c r="T5854" s="231"/>
      <c r="U5854" s="231"/>
      <c r="V5854" s="231"/>
      <c r="W5854" s="231"/>
      <c r="X5854" s="227"/>
      <c r="Y5854" s="348"/>
      <c r="Z5854" s="348"/>
      <c r="AA5854" s="348"/>
      <c r="AB5854" s="348"/>
      <c r="AC5854" s="227"/>
      <c r="AD5854" s="227"/>
      <c r="AE5854" s="231"/>
      <c r="AF5854" s="227"/>
      <c r="AG5854" s="348"/>
      <c r="AH5854" s="348"/>
      <c r="AI5854" s="348"/>
      <c r="AJ5854" s="348"/>
      <c r="AK5854" s="348"/>
      <c r="AL5854" s="348"/>
      <c r="AM5854" s="348"/>
      <c r="AN5854" s="348"/>
      <c r="AO5854" s="231"/>
      <c r="AP5854" s="231"/>
      <c r="AQ5854" s="227"/>
      <c r="AR5854" s="231"/>
      <c r="AS5854" s="227"/>
      <c r="AT5854" s="227"/>
      <c r="AU5854" s="227"/>
      <c r="AV5854" s="227"/>
      <c r="AW5854" s="227"/>
      <c r="AX5854" s="227"/>
      <c r="AY5854" s="227"/>
      <c r="AZ5854" s="227"/>
      <c r="BA5854" s="227"/>
      <c r="BB5854" s="227"/>
      <c r="BC5854" s="227"/>
      <c r="BD5854" s="227"/>
      <c r="BE5854" s="227"/>
      <c r="BF5854" s="227"/>
    </row>
    <row r="5855">
      <c r="A5855" s="227"/>
      <c r="B5855" s="348"/>
      <c r="C5855" s="227"/>
      <c r="D5855" s="227"/>
      <c r="E5855" s="231"/>
      <c r="F5855" s="348"/>
      <c r="G5855" s="227"/>
      <c r="H5855" s="227"/>
      <c r="I5855" s="227"/>
      <c r="J5855" s="227"/>
      <c r="K5855" s="227"/>
      <c r="L5855" s="348"/>
      <c r="M5855" s="348"/>
      <c r="N5855" s="227"/>
      <c r="O5855" s="227"/>
      <c r="P5855" s="231"/>
      <c r="Q5855" s="231"/>
      <c r="R5855" s="227"/>
      <c r="S5855" s="231"/>
      <c r="T5855" s="231"/>
      <c r="U5855" s="231"/>
      <c r="V5855" s="231"/>
      <c r="W5855" s="231"/>
      <c r="X5855" s="227"/>
      <c r="Y5855" s="348"/>
      <c r="Z5855" s="348"/>
      <c r="AA5855" s="348"/>
      <c r="AB5855" s="348"/>
      <c r="AC5855" s="227"/>
      <c r="AD5855" s="227"/>
      <c r="AE5855" s="231"/>
      <c r="AF5855" s="227"/>
      <c r="AG5855" s="348"/>
      <c r="AH5855" s="348"/>
      <c r="AI5855" s="348"/>
      <c r="AJ5855" s="348"/>
      <c r="AK5855" s="348"/>
      <c r="AL5855" s="348"/>
      <c r="AM5855" s="348"/>
      <c r="AN5855" s="348"/>
      <c r="AO5855" s="231"/>
      <c r="AP5855" s="231"/>
      <c r="AQ5855" s="227"/>
      <c r="AR5855" s="231"/>
      <c r="AS5855" s="227"/>
      <c r="AT5855" s="227"/>
      <c r="AU5855" s="227"/>
      <c r="AV5855" s="227"/>
      <c r="AW5855" s="227"/>
      <c r="AX5855" s="227"/>
      <c r="AY5855" s="227"/>
      <c r="AZ5855" s="227"/>
      <c r="BA5855" s="227"/>
      <c r="BB5855" s="227"/>
      <c r="BC5855" s="227"/>
      <c r="BD5855" s="227"/>
      <c r="BE5855" s="227"/>
      <c r="BF5855" s="227"/>
    </row>
    <row r="5856">
      <c r="A5856" s="227"/>
      <c r="B5856" s="348"/>
      <c r="C5856" s="227"/>
      <c r="D5856" s="227"/>
      <c r="E5856" s="231"/>
      <c r="F5856" s="348"/>
      <c r="G5856" s="227"/>
      <c r="H5856" s="227"/>
      <c r="I5856" s="227"/>
      <c r="J5856" s="227"/>
      <c r="K5856" s="227"/>
      <c r="L5856" s="348"/>
      <c r="M5856" s="348"/>
      <c r="N5856" s="227"/>
      <c r="O5856" s="227"/>
      <c r="P5856" s="231"/>
      <c r="Q5856" s="231"/>
      <c r="R5856" s="227"/>
      <c r="S5856" s="231"/>
      <c r="T5856" s="231"/>
      <c r="U5856" s="231"/>
      <c r="V5856" s="231"/>
      <c r="W5856" s="231"/>
      <c r="X5856" s="227"/>
      <c r="Y5856" s="348"/>
      <c r="Z5856" s="348"/>
      <c r="AA5856" s="348"/>
      <c r="AB5856" s="348"/>
      <c r="AC5856" s="227"/>
      <c r="AD5856" s="227"/>
      <c r="AE5856" s="231"/>
      <c r="AF5856" s="227"/>
      <c r="AG5856" s="348"/>
      <c r="AH5856" s="348"/>
      <c r="AI5856" s="348"/>
      <c r="AJ5856" s="348"/>
      <c r="AK5856" s="348"/>
      <c r="AL5856" s="348"/>
      <c r="AM5856" s="348"/>
      <c r="AN5856" s="348"/>
      <c r="AO5856" s="231"/>
      <c r="AP5856" s="231"/>
      <c r="AQ5856" s="227"/>
      <c r="AR5856" s="231"/>
      <c r="AS5856" s="227"/>
      <c r="AT5856" s="227"/>
      <c r="AU5856" s="227"/>
      <c r="AV5856" s="227"/>
      <c r="AW5856" s="227"/>
      <c r="AX5856" s="227"/>
      <c r="AY5856" s="227"/>
      <c r="AZ5856" s="227"/>
      <c r="BA5856" s="227"/>
      <c r="BB5856" s="227"/>
      <c r="BC5856" s="227"/>
      <c r="BD5856" s="227"/>
      <c r="BE5856" s="227"/>
      <c r="BF5856" s="227"/>
    </row>
    <row r="5857">
      <c r="A5857" s="227"/>
      <c r="B5857" s="348"/>
      <c r="C5857" s="227"/>
      <c r="D5857" s="227"/>
      <c r="E5857" s="231"/>
      <c r="F5857" s="348"/>
      <c r="G5857" s="227"/>
      <c r="H5857" s="227"/>
      <c r="I5857" s="227"/>
      <c r="J5857" s="227"/>
      <c r="K5857" s="227"/>
      <c r="L5857" s="348"/>
      <c r="M5857" s="348"/>
      <c r="N5857" s="227"/>
      <c r="O5857" s="227"/>
      <c r="P5857" s="231"/>
      <c r="Q5857" s="231"/>
      <c r="R5857" s="227"/>
      <c r="S5857" s="231"/>
      <c r="T5857" s="231"/>
      <c r="U5857" s="231"/>
      <c r="V5857" s="231"/>
      <c r="W5857" s="231"/>
      <c r="X5857" s="227"/>
      <c r="Y5857" s="348"/>
      <c r="Z5857" s="348"/>
      <c r="AA5857" s="348"/>
      <c r="AB5857" s="348"/>
      <c r="AC5857" s="227"/>
      <c r="AD5857" s="227"/>
      <c r="AE5857" s="231"/>
      <c r="AF5857" s="227"/>
      <c r="AG5857" s="348"/>
      <c r="AH5857" s="348"/>
      <c r="AI5857" s="348"/>
      <c r="AJ5857" s="348"/>
      <c r="AK5857" s="348"/>
      <c r="AL5857" s="348"/>
      <c r="AM5857" s="348"/>
      <c r="AN5857" s="348"/>
      <c r="AO5857" s="231"/>
      <c r="AP5857" s="231"/>
      <c r="AQ5857" s="227"/>
      <c r="AR5857" s="231"/>
      <c r="AS5857" s="227"/>
      <c r="AT5857" s="227"/>
      <c r="AU5857" s="227"/>
      <c r="AV5857" s="227"/>
      <c r="AW5857" s="227"/>
      <c r="AX5857" s="227"/>
      <c r="AY5857" s="227"/>
      <c r="AZ5857" s="227"/>
      <c r="BA5857" s="227"/>
      <c r="BB5857" s="227"/>
      <c r="BC5857" s="227"/>
      <c r="BD5857" s="227"/>
      <c r="BE5857" s="227"/>
      <c r="BF5857" s="227"/>
    </row>
    <row r="5858">
      <c r="A5858" s="227"/>
      <c r="B5858" s="348"/>
      <c r="C5858" s="227"/>
      <c r="D5858" s="227"/>
      <c r="E5858" s="231"/>
      <c r="F5858" s="348"/>
      <c r="G5858" s="227"/>
      <c r="H5858" s="227"/>
      <c r="I5858" s="227"/>
      <c r="J5858" s="227"/>
      <c r="K5858" s="227"/>
      <c r="L5858" s="348"/>
      <c r="M5858" s="348"/>
      <c r="N5858" s="227"/>
      <c r="O5858" s="227"/>
      <c r="P5858" s="231"/>
      <c r="Q5858" s="231"/>
      <c r="R5858" s="227"/>
      <c r="S5858" s="231"/>
      <c r="T5858" s="231"/>
      <c r="U5858" s="231"/>
      <c r="V5858" s="231"/>
      <c r="W5858" s="231"/>
      <c r="X5858" s="227"/>
      <c r="Y5858" s="348"/>
      <c r="Z5858" s="348"/>
      <c r="AA5858" s="348"/>
      <c r="AB5858" s="348"/>
      <c r="AC5858" s="227"/>
      <c r="AD5858" s="227"/>
      <c r="AE5858" s="231"/>
      <c r="AF5858" s="227"/>
      <c r="AG5858" s="348"/>
      <c r="AH5858" s="348"/>
      <c r="AI5858" s="348"/>
      <c r="AJ5858" s="348"/>
      <c r="AK5858" s="348"/>
      <c r="AL5858" s="348"/>
      <c r="AM5858" s="348"/>
      <c r="AN5858" s="348"/>
      <c r="AO5858" s="231"/>
      <c r="AP5858" s="231"/>
      <c r="AQ5858" s="227"/>
      <c r="AR5858" s="231"/>
      <c r="AS5858" s="227"/>
      <c r="AT5858" s="227"/>
      <c r="AU5858" s="227"/>
      <c r="AV5858" s="227"/>
      <c r="AW5858" s="227"/>
      <c r="AX5858" s="227"/>
      <c r="AY5858" s="227"/>
      <c r="AZ5858" s="227"/>
      <c r="BA5858" s="227"/>
      <c r="BB5858" s="227"/>
      <c r="BC5858" s="227"/>
      <c r="BD5858" s="227"/>
      <c r="BE5858" s="227"/>
      <c r="BF5858" s="227"/>
    </row>
    <row r="5859">
      <c r="A5859" s="227"/>
      <c r="B5859" s="348"/>
      <c r="C5859" s="227"/>
      <c r="D5859" s="227"/>
      <c r="E5859" s="231"/>
      <c r="F5859" s="348"/>
      <c r="G5859" s="227"/>
      <c r="H5859" s="227"/>
      <c r="I5859" s="227"/>
      <c r="J5859" s="227"/>
      <c r="K5859" s="227"/>
      <c r="L5859" s="348"/>
      <c r="M5859" s="348"/>
      <c r="N5859" s="227"/>
      <c r="O5859" s="227"/>
      <c r="P5859" s="231"/>
      <c r="Q5859" s="231"/>
      <c r="R5859" s="227"/>
      <c r="S5859" s="231"/>
      <c r="T5859" s="231"/>
      <c r="U5859" s="231"/>
      <c r="V5859" s="231"/>
      <c r="W5859" s="231"/>
      <c r="X5859" s="227"/>
      <c r="Y5859" s="348"/>
      <c r="Z5859" s="348"/>
      <c r="AA5859" s="348"/>
      <c r="AB5859" s="348"/>
      <c r="AC5859" s="227"/>
      <c r="AD5859" s="227"/>
      <c r="AE5859" s="231"/>
      <c r="AF5859" s="227"/>
      <c r="AG5859" s="348"/>
      <c r="AH5859" s="348"/>
      <c r="AI5859" s="348"/>
      <c r="AJ5859" s="348"/>
      <c r="AK5859" s="348"/>
      <c r="AL5859" s="348"/>
      <c r="AM5859" s="348"/>
      <c r="AN5859" s="348"/>
      <c r="AO5859" s="231"/>
      <c r="AP5859" s="231"/>
      <c r="AQ5859" s="227"/>
      <c r="AR5859" s="231"/>
      <c r="AS5859" s="227"/>
      <c r="AT5859" s="227"/>
      <c r="AU5859" s="227"/>
      <c r="AV5859" s="227"/>
      <c r="AW5859" s="227"/>
      <c r="AX5859" s="227"/>
      <c r="AY5859" s="227"/>
      <c r="AZ5859" s="227"/>
      <c r="BA5859" s="227"/>
      <c r="BB5859" s="227"/>
      <c r="BC5859" s="227"/>
      <c r="BD5859" s="227"/>
      <c r="BE5859" s="227"/>
      <c r="BF5859" s="227"/>
    </row>
    <row r="5860">
      <c r="A5860" s="227"/>
      <c r="B5860" s="348"/>
      <c r="C5860" s="227"/>
      <c r="D5860" s="227"/>
      <c r="E5860" s="231"/>
      <c r="F5860" s="348"/>
      <c r="G5860" s="227"/>
      <c r="H5860" s="227"/>
      <c r="I5860" s="227"/>
      <c r="J5860" s="227"/>
      <c r="K5860" s="227"/>
      <c r="L5860" s="348"/>
      <c r="M5860" s="348"/>
      <c r="N5860" s="227"/>
      <c r="O5860" s="227"/>
      <c r="P5860" s="231"/>
      <c r="Q5860" s="231"/>
      <c r="R5860" s="227"/>
      <c r="S5860" s="231"/>
      <c r="T5860" s="231"/>
      <c r="U5860" s="231"/>
      <c r="V5860" s="231"/>
      <c r="W5860" s="231"/>
      <c r="X5860" s="227"/>
      <c r="Y5860" s="348"/>
      <c r="Z5860" s="348"/>
      <c r="AA5860" s="348"/>
      <c r="AB5860" s="348"/>
      <c r="AC5860" s="227"/>
      <c r="AD5860" s="227"/>
      <c r="AE5860" s="231"/>
      <c r="AF5860" s="227"/>
      <c r="AG5860" s="348"/>
      <c r="AH5860" s="348"/>
      <c r="AI5860" s="348"/>
      <c r="AJ5860" s="348"/>
      <c r="AK5860" s="348"/>
      <c r="AL5860" s="348"/>
      <c r="AM5860" s="348"/>
      <c r="AN5860" s="348"/>
      <c r="AO5860" s="231"/>
      <c r="AP5860" s="231"/>
      <c r="AQ5860" s="227"/>
      <c r="AR5860" s="231"/>
      <c r="AS5860" s="227"/>
      <c r="AT5860" s="227"/>
      <c r="AU5860" s="227"/>
      <c r="AV5860" s="227"/>
      <c r="AW5860" s="227"/>
      <c r="AX5860" s="227"/>
      <c r="AY5860" s="227"/>
      <c r="AZ5860" s="227"/>
      <c r="BA5860" s="227"/>
      <c r="BB5860" s="227"/>
      <c r="BC5860" s="227"/>
      <c r="BD5860" s="227"/>
      <c r="BE5860" s="227"/>
      <c r="BF5860" s="227"/>
    </row>
    <row r="5861">
      <c r="A5861" s="227"/>
      <c r="B5861" s="348"/>
      <c r="C5861" s="227"/>
      <c r="D5861" s="227"/>
      <c r="E5861" s="231"/>
      <c r="F5861" s="348"/>
      <c r="G5861" s="227"/>
      <c r="H5861" s="227"/>
      <c r="I5861" s="227"/>
      <c r="J5861" s="227"/>
      <c r="K5861" s="227"/>
      <c r="L5861" s="348"/>
      <c r="M5861" s="348"/>
      <c r="N5861" s="227"/>
      <c r="O5861" s="227"/>
      <c r="P5861" s="231"/>
      <c r="Q5861" s="231"/>
      <c r="R5861" s="227"/>
      <c r="S5861" s="231"/>
      <c r="T5861" s="231"/>
      <c r="U5861" s="231"/>
      <c r="V5861" s="231"/>
      <c r="W5861" s="231"/>
      <c r="X5861" s="227"/>
      <c r="Y5861" s="348"/>
      <c r="Z5861" s="348"/>
      <c r="AA5861" s="348"/>
      <c r="AB5861" s="348"/>
      <c r="AC5861" s="227"/>
      <c r="AD5861" s="227"/>
      <c r="AE5861" s="231"/>
      <c r="AF5861" s="227"/>
      <c r="AG5861" s="348"/>
      <c r="AH5861" s="348"/>
      <c r="AI5861" s="348"/>
      <c r="AJ5861" s="348"/>
      <c r="AK5861" s="348"/>
      <c r="AL5861" s="348"/>
      <c r="AM5861" s="348"/>
      <c r="AN5861" s="348"/>
      <c r="AO5861" s="231"/>
      <c r="AP5861" s="231"/>
      <c r="AQ5861" s="227"/>
      <c r="AR5861" s="231"/>
      <c r="AS5861" s="227"/>
      <c r="AT5861" s="227"/>
      <c r="AU5861" s="227"/>
      <c r="AV5861" s="227"/>
      <c r="AW5861" s="227"/>
      <c r="AX5861" s="227"/>
      <c r="AY5861" s="227"/>
      <c r="AZ5861" s="227"/>
      <c r="BA5861" s="227"/>
      <c r="BB5861" s="227"/>
      <c r="BC5861" s="227"/>
      <c r="BD5861" s="227"/>
      <c r="BE5861" s="227"/>
      <c r="BF5861" s="227"/>
    </row>
    <row r="5862">
      <c r="A5862" s="227"/>
      <c r="B5862" s="348"/>
      <c r="C5862" s="227"/>
      <c r="D5862" s="227"/>
      <c r="E5862" s="231"/>
      <c r="F5862" s="348"/>
      <c r="G5862" s="227"/>
      <c r="H5862" s="227"/>
      <c r="I5862" s="227"/>
      <c r="J5862" s="227"/>
      <c r="K5862" s="227"/>
      <c r="L5862" s="348"/>
      <c r="M5862" s="348"/>
      <c r="N5862" s="227"/>
      <c r="O5862" s="227"/>
      <c r="P5862" s="231"/>
      <c r="Q5862" s="231"/>
      <c r="R5862" s="227"/>
      <c r="S5862" s="231"/>
      <c r="T5862" s="231"/>
      <c r="U5862" s="231"/>
      <c r="V5862" s="231"/>
      <c r="W5862" s="231"/>
      <c r="X5862" s="227"/>
      <c r="Y5862" s="348"/>
      <c r="Z5862" s="348"/>
      <c r="AA5862" s="348"/>
      <c r="AB5862" s="348"/>
      <c r="AC5862" s="227"/>
      <c r="AD5862" s="227"/>
      <c r="AE5862" s="231"/>
      <c r="AF5862" s="227"/>
      <c r="AG5862" s="348"/>
      <c r="AH5862" s="348"/>
      <c r="AI5862" s="348"/>
      <c r="AJ5862" s="348"/>
      <c r="AK5862" s="348"/>
      <c r="AL5862" s="348"/>
      <c r="AM5862" s="348"/>
      <c r="AN5862" s="348"/>
      <c r="AO5862" s="231"/>
      <c r="AP5862" s="231"/>
      <c r="AQ5862" s="227"/>
      <c r="AR5862" s="231"/>
      <c r="AS5862" s="227"/>
      <c r="AT5862" s="227"/>
      <c r="AU5862" s="227"/>
      <c r="AV5862" s="227"/>
      <c r="AW5862" s="227"/>
      <c r="AX5862" s="227"/>
      <c r="AY5862" s="227"/>
      <c r="AZ5862" s="227"/>
      <c r="BA5862" s="227"/>
      <c r="BB5862" s="227"/>
      <c r="BC5862" s="227"/>
      <c r="BD5862" s="227"/>
      <c r="BE5862" s="227"/>
      <c r="BF5862" s="227"/>
    </row>
    <row r="5863">
      <c r="A5863" s="227"/>
      <c r="B5863" s="348"/>
      <c r="C5863" s="227"/>
      <c r="D5863" s="227"/>
      <c r="E5863" s="231"/>
      <c r="F5863" s="348"/>
      <c r="G5863" s="227"/>
      <c r="H5863" s="227"/>
      <c r="I5863" s="227"/>
      <c r="J5863" s="227"/>
      <c r="K5863" s="227"/>
      <c r="L5863" s="348"/>
      <c r="M5863" s="348"/>
      <c r="N5863" s="227"/>
      <c r="O5863" s="227"/>
      <c r="P5863" s="231"/>
      <c r="Q5863" s="231"/>
      <c r="R5863" s="227"/>
      <c r="S5863" s="231"/>
      <c r="T5863" s="231"/>
      <c r="U5863" s="231"/>
      <c r="V5863" s="231"/>
      <c r="W5863" s="231"/>
      <c r="X5863" s="227"/>
      <c r="Y5863" s="348"/>
      <c r="Z5863" s="348"/>
      <c r="AA5863" s="348"/>
      <c r="AB5863" s="348"/>
      <c r="AC5863" s="227"/>
      <c r="AD5863" s="227"/>
      <c r="AE5863" s="231"/>
      <c r="AF5863" s="227"/>
      <c r="AG5863" s="348"/>
      <c r="AH5863" s="348"/>
      <c r="AI5863" s="348"/>
      <c r="AJ5863" s="348"/>
      <c r="AK5863" s="348"/>
      <c r="AL5863" s="348"/>
      <c r="AM5863" s="348"/>
      <c r="AN5863" s="348"/>
      <c r="AO5863" s="231"/>
      <c r="AP5863" s="231"/>
      <c r="AQ5863" s="227"/>
      <c r="AR5863" s="231"/>
      <c r="AS5863" s="227"/>
      <c r="AT5863" s="227"/>
      <c r="AU5863" s="227"/>
      <c r="AV5863" s="227"/>
      <c r="AW5863" s="227"/>
      <c r="AX5863" s="227"/>
      <c r="AY5863" s="227"/>
      <c r="AZ5863" s="227"/>
      <c r="BA5863" s="227"/>
      <c r="BB5863" s="227"/>
      <c r="BC5863" s="227"/>
      <c r="BD5863" s="227"/>
      <c r="BE5863" s="227"/>
      <c r="BF5863" s="227"/>
    </row>
    <row r="5864">
      <c r="A5864" s="227"/>
      <c r="B5864" s="348"/>
      <c r="C5864" s="227"/>
      <c r="D5864" s="227"/>
      <c r="E5864" s="231"/>
      <c r="F5864" s="348"/>
      <c r="G5864" s="227"/>
      <c r="H5864" s="227"/>
      <c r="I5864" s="227"/>
      <c r="J5864" s="227"/>
      <c r="K5864" s="227"/>
      <c r="L5864" s="348"/>
      <c r="M5864" s="348"/>
      <c r="N5864" s="227"/>
      <c r="O5864" s="227"/>
      <c r="P5864" s="231"/>
      <c r="Q5864" s="231"/>
      <c r="R5864" s="227"/>
      <c r="S5864" s="231"/>
      <c r="T5864" s="231"/>
      <c r="U5864" s="231"/>
      <c r="V5864" s="231"/>
      <c r="W5864" s="231"/>
      <c r="X5864" s="227"/>
      <c r="Y5864" s="348"/>
      <c r="Z5864" s="348"/>
      <c r="AA5864" s="348"/>
      <c r="AB5864" s="348"/>
      <c r="AC5864" s="227"/>
      <c r="AD5864" s="227"/>
      <c r="AE5864" s="231"/>
      <c r="AF5864" s="227"/>
      <c r="AG5864" s="348"/>
      <c r="AH5864" s="348"/>
      <c r="AI5864" s="348"/>
      <c r="AJ5864" s="348"/>
      <c r="AK5864" s="348"/>
      <c r="AL5864" s="348"/>
      <c r="AM5864" s="348"/>
      <c r="AN5864" s="348"/>
      <c r="AO5864" s="231"/>
      <c r="AP5864" s="231"/>
      <c r="AQ5864" s="227"/>
      <c r="AR5864" s="231"/>
      <c r="AS5864" s="227"/>
      <c r="AT5864" s="227"/>
      <c r="AU5864" s="227"/>
      <c r="AV5864" s="227"/>
      <c r="AW5864" s="227"/>
      <c r="AX5864" s="227"/>
      <c r="AY5864" s="227"/>
      <c r="AZ5864" s="227"/>
      <c r="BA5864" s="227"/>
      <c r="BB5864" s="227"/>
      <c r="BC5864" s="227"/>
      <c r="BD5864" s="227"/>
      <c r="BE5864" s="227"/>
      <c r="BF5864" s="227"/>
    </row>
    <row r="5865">
      <c r="A5865" s="227"/>
      <c r="B5865" s="348"/>
      <c r="C5865" s="227"/>
      <c r="D5865" s="227"/>
      <c r="E5865" s="231"/>
      <c r="F5865" s="348"/>
      <c r="G5865" s="227"/>
      <c r="H5865" s="227"/>
      <c r="I5865" s="227"/>
      <c r="J5865" s="227"/>
      <c r="K5865" s="227"/>
      <c r="L5865" s="348"/>
      <c r="M5865" s="348"/>
      <c r="N5865" s="227"/>
      <c r="O5865" s="227"/>
      <c r="P5865" s="231"/>
      <c r="Q5865" s="231"/>
      <c r="R5865" s="227"/>
      <c r="S5865" s="231"/>
      <c r="T5865" s="231"/>
      <c r="U5865" s="231"/>
      <c r="V5865" s="231"/>
      <c r="W5865" s="231"/>
      <c r="X5865" s="227"/>
      <c r="Y5865" s="348"/>
      <c r="Z5865" s="348"/>
      <c r="AA5865" s="348"/>
      <c r="AB5865" s="348"/>
      <c r="AC5865" s="227"/>
      <c r="AD5865" s="227"/>
      <c r="AE5865" s="231"/>
      <c r="AF5865" s="227"/>
      <c r="AG5865" s="348"/>
      <c r="AH5865" s="348"/>
      <c r="AI5865" s="348"/>
      <c r="AJ5865" s="348"/>
      <c r="AK5865" s="348"/>
      <c r="AL5865" s="348"/>
      <c r="AM5865" s="348"/>
      <c r="AN5865" s="348"/>
      <c r="AO5865" s="231"/>
      <c r="AP5865" s="231"/>
      <c r="AQ5865" s="227"/>
      <c r="AR5865" s="231"/>
      <c r="AS5865" s="227"/>
      <c r="AT5865" s="227"/>
      <c r="AU5865" s="227"/>
      <c r="AV5865" s="227"/>
      <c r="AW5865" s="227"/>
      <c r="AX5865" s="227"/>
      <c r="AY5865" s="227"/>
      <c r="AZ5865" s="227"/>
      <c r="BA5865" s="227"/>
      <c r="BB5865" s="227"/>
      <c r="BC5865" s="227"/>
      <c r="BD5865" s="227"/>
      <c r="BE5865" s="227"/>
      <c r="BF5865" s="227"/>
    </row>
    <row r="5866">
      <c r="A5866" s="227"/>
      <c r="B5866" s="348"/>
      <c r="C5866" s="227"/>
      <c r="D5866" s="227"/>
      <c r="E5866" s="231"/>
      <c r="F5866" s="348"/>
      <c r="G5866" s="227"/>
      <c r="H5866" s="227"/>
      <c r="I5866" s="227"/>
      <c r="J5866" s="227"/>
      <c r="K5866" s="227"/>
      <c r="L5866" s="348"/>
      <c r="M5866" s="348"/>
      <c r="N5866" s="227"/>
      <c r="O5866" s="227"/>
      <c r="P5866" s="231"/>
      <c r="Q5866" s="231"/>
      <c r="R5866" s="227"/>
      <c r="S5866" s="231"/>
      <c r="T5866" s="231"/>
      <c r="U5866" s="231"/>
      <c r="V5866" s="231"/>
      <c r="W5866" s="231"/>
      <c r="X5866" s="227"/>
      <c r="Y5866" s="348"/>
      <c r="Z5866" s="348"/>
      <c r="AA5866" s="348"/>
      <c r="AB5866" s="348"/>
      <c r="AC5866" s="227"/>
      <c r="AD5866" s="227"/>
      <c r="AE5866" s="231"/>
      <c r="AF5866" s="227"/>
      <c r="AG5866" s="348"/>
      <c r="AH5866" s="348"/>
      <c r="AI5866" s="348"/>
      <c r="AJ5866" s="348"/>
      <c r="AK5866" s="348"/>
      <c r="AL5866" s="348"/>
      <c r="AM5866" s="348"/>
      <c r="AN5866" s="348"/>
      <c r="AO5866" s="231"/>
      <c r="AP5866" s="231"/>
      <c r="AQ5866" s="227"/>
      <c r="AR5866" s="231"/>
      <c r="AS5866" s="227"/>
      <c r="AT5866" s="227"/>
      <c r="AU5866" s="227"/>
      <c r="AV5866" s="227"/>
      <c r="AW5866" s="227"/>
      <c r="AX5866" s="227"/>
      <c r="AY5866" s="227"/>
      <c r="AZ5866" s="227"/>
      <c r="BA5866" s="227"/>
      <c r="BB5866" s="227"/>
      <c r="BC5866" s="227"/>
      <c r="BD5866" s="227"/>
      <c r="BE5866" s="227"/>
      <c r="BF5866" s="227"/>
    </row>
    <row r="5867">
      <c r="A5867" s="227"/>
      <c r="B5867" s="348"/>
      <c r="C5867" s="227"/>
      <c r="D5867" s="227"/>
      <c r="E5867" s="231"/>
      <c r="F5867" s="348"/>
      <c r="G5867" s="227"/>
      <c r="H5867" s="227"/>
      <c r="I5867" s="227"/>
      <c r="J5867" s="227"/>
      <c r="K5867" s="227"/>
      <c r="L5867" s="348"/>
      <c r="M5867" s="348"/>
      <c r="N5867" s="227"/>
      <c r="O5867" s="227"/>
      <c r="P5867" s="231"/>
      <c r="Q5867" s="231"/>
      <c r="R5867" s="227"/>
      <c r="S5867" s="231"/>
      <c r="T5867" s="231"/>
      <c r="U5867" s="231"/>
      <c r="V5867" s="231"/>
      <c r="W5867" s="231"/>
      <c r="X5867" s="227"/>
      <c r="Y5867" s="348"/>
      <c r="Z5867" s="348"/>
      <c r="AA5867" s="348"/>
      <c r="AB5867" s="348"/>
      <c r="AC5867" s="227"/>
      <c r="AD5867" s="227"/>
      <c r="AE5867" s="231"/>
      <c r="AF5867" s="227"/>
      <c r="AG5867" s="348"/>
      <c r="AH5867" s="348"/>
      <c r="AI5867" s="348"/>
      <c r="AJ5867" s="348"/>
      <c r="AK5867" s="348"/>
      <c r="AL5867" s="348"/>
      <c r="AM5867" s="348"/>
      <c r="AN5867" s="348"/>
      <c r="AO5867" s="231"/>
      <c r="AP5867" s="231"/>
      <c r="AQ5867" s="227"/>
      <c r="AR5867" s="231"/>
      <c r="AS5867" s="227"/>
      <c r="AT5867" s="227"/>
      <c r="AU5867" s="227"/>
      <c r="AV5867" s="227"/>
      <c r="AW5867" s="227"/>
      <c r="AX5867" s="227"/>
      <c r="AY5867" s="227"/>
      <c r="AZ5867" s="227"/>
      <c r="BA5867" s="227"/>
      <c r="BB5867" s="227"/>
      <c r="BC5867" s="227"/>
      <c r="BD5867" s="227"/>
      <c r="BE5867" s="227"/>
      <c r="BF5867" s="227"/>
    </row>
    <row r="5868">
      <c r="A5868" s="227"/>
      <c r="B5868" s="348"/>
      <c r="C5868" s="227"/>
      <c r="D5868" s="227"/>
      <c r="E5868" s="231"/>
      <c r="F5868" s="348"/>
      <c r="G5868" s="227"/>
      <c r="H5868" s="227"/>
      <c r="I5868" s="227"/>
      <c r="J5868" s="227"/>
      <c r="K5868" s="227"/>
      <c r="L5868" s="348"/>
      <c r="M5868" s="348"/>
      <c r="N5868" s="227"/>
      <c r="O5868" s="227"/>
      <c r="P5868" s="231"/>
      <c r="Q5868" s="231"/>
      <c r="R5868" s="227"/>
      <c r="S5868" s="231"/>
      <c r="T5868" s="231"/>
      <c r="U5868" s="231"/>
      <c r="V5868" s="231"/>
      <c r="W5868" s="231"/>
      <c r="X5868" s="227"/>
      <c r="Y5868" s="348"/>
      <c r="Z5868" s="348"/>
      <c r="AA5868" s="348"/>
      <c r="AB5868" s="348"/>
      <c r="AC5868" s="227"/>
      <c r="AD5868" s="227"/>
      <c r="AE5868" s="231"/>
      <c r="AF5868" s="227"/>
      <c r="AG5868" s="348"/>
      <c r="AH5868" s="348"/>
      <c r="AI5868" s="348"/>
      <c r="AJ5868" s="348"/>
      <c r="AK5868" s="348"/>
      <c r="AL5868" s="348"/>
      <c r="AM5868" s="348"/>
      <c r="AN5868" s="348"/>
      <c r="AO5868" s="231"/>
      <c r="AP5868" s="231"/>
      <c r="AQ5868" s="227"/>
      <c r="AR5868" s="231"/>
      <c r="AS5868" s="227"/>
      <c r="AT5868" s="227"/>
      <c r="AU5868" s="227"/>
      <c r="AV5868" s="227"/>
      <c r="AW5868" s="227"/>
      <c r="AX5868" s="227"/>
      <c r="AY5868" s="227"/>
      <c r="AZ5868" s="227"/>
      <c r="BA5868" s="227"/>
      <c r="BB5868" s="227"/>
      <c r="BC5868" s="227"/>
      <c r="BD5868" s="227"/>
      <c r="BE5868" s="227"/>
      <c r="BF5868" s="227"/>
    </row>
    <row r="5869">
      <c r="A5869" s="227"/>
      <c r="B5869" s="348"/>
      <c r="C5869" s="227"/>
      <c r="D5869" s="227"/>
      <c r="E5869" s="231"/>
      <c r="F5869" s="348"/>
      <c r="G5869" s="227"/>
      <c r="H5869" s="227"/>
      <c r="I5869" s="227"/>
      <c r="J5869" s="227"/>
      <c r="K5869" s="227"/>
      <c r="L5869" s="348"/>
      <c r="M5869" s="348"/>
      <c r="N5869" s="227"/>
      <c r="O5869" s="227"/>
      <c r="P5869" s="231"/>
      <c r="Q5869" s="231"/>
      <c r="R5869" s="227"/>
      <c r="S5869" s="231"/>
      <c r="T5869" s="231"/>
      <c r="U5869" s="231"/>
      <c r="V5869" s="231"/>
      <c r="W5869" s="231"/>
      <c r="X5869" s="227"/>
      <c r="Y5869" s="348"/>
      <c r="Z5869" s="348"/>
      <c r="AA5869" s="348"/>
      <c r="AB5869" s="348"/>
      <c r="AC5869" s="227"/>
      <c r="AD5869" s="227"/>
      <c r="AE5869" s="231"/>
      <c r="AF5869" s="227"/>
      <c r="AG5869" s="348"/>
      <c r="AH5869" s="348"/>
      <c r="AI5869" s="348"/>
      <c r="AJ5869" s="348"/>
      <c r="AK5869" s="348"/>
      <c r="AL5869" s="348"/>
      <c r="AM5869" s="348"/>
      <c r="AN5869" s="348"/>
      <c r="AO5869" s="231"/>
      <c r="AP5869" s="231"/>
      <c r="AQ5869" s="227"/>
      <c r="AR5869" s="231"/>
      <c r="AS5869" s="227"/>
      <c r="AT5869" s="227"/>
      <c r="AU5869" s="227"/>
      <c r="AV5869" s="227"/>
      <c r="AW5869" s="227"/>
      <c r="AX5869" s="227"/>
      <c r="AY5869" s="227"/>
      <c r="AZ5869" s="227"/>
      <c r="BA5869" s="227"/>
      <c r="BB5869" s="227"/>
      <c r="BC5869" s="227"/>
      <c r="BD5869" s="227"/>
      <c r="BE5869" s="227"/>
      <c r="BF5869" s="227"/>
    </row>
    <row r="5870">
      <c r="A5870" s="227"/>
      <c r="B5870" s="348"/>
      <c r="C5870" s="227"/>
      <c r="D5870" s="227"/>
      <c r="E5870" s="231"/>
      <c r="F5870" s="348"/>
      <c r="G5870" s="227"/>
      <c r="H5870" s="227"/>
      <c r="I5870" s="227"/>
      <c r="J5870" s="227"/>
      <c r="K5870" s="227"/>
      <c r="L5870" s="348"/>
      <c r="M5870" s="348"/>
      <c r="N5870" s="227"/>
      <c r="O5870" s="227"/>
      <c r="P5870" s="231"/>
      <c r="Q5870" s="231"/>
      <c r="R5870" s="227"/>
      <c r="S5870" s="231"/>
      <c r="T5870" s="231"/>
      <c r="U5870" s="231"/>
      <c r="V5870" s="231"/>
      <c r="W5870" s="231"/>
      <c r="X5870" s="227"/>
      <c r="Y5870" s="348"/>
      <c r="Z5870" s="348"/>
      <c r="AA5870" s="348"/>
      <c r="AB5870" s="348"/>
      <c r="AC5870" s="227"/>
      <c r="AD5870" s="227"/>
      <c r="AE5870" s="231"/>
      <c r="AF5870" s="227"/>
      <c r="AG5870" s="348"/>
      <c r="AH5870" s="348"/>
      <c r="AI5870" s="348"/>
      <c r="AJ5870" s="348"/>
      <c r="AK5870" s="348"/>
      <c r="AL5870" s="348"/>
      <c r="AM5870" s="348"/>
      <c r="AN5870" s="348"/>
      <c r="AO5870" s="231"/>
      <c r="AP5870" s="231"/>
      <c r="AQ5870" s="227"/>
      <c r="AR5870" s="231"/>
      <c r="AS5870" s="227"/>
      <c r="AT5870" s="227"/>
      <c r="AU5870" s="227"/>
      <c r="AV5870" s="227"/>
      <c r="AW5870" s="227"/>
      <c r="AX5870" s="227"/>
      <c r="AY5870" s="227"/>
      <c r="AZ5870" s="227"/>
      <c r="BA5870" s="227"/>
      <c r="BB5870" s="227"/>
      <c r="BC5870" s="227"/>
      <c r="BD5870" s="227"/>
      <c r="BE5870" s="227"/>
      <c r="BF5870" s="227"/>
    </row>
    <row r="5871">
      <c r="A5871" s="227"/>
      <c r="B5871" s="348"/>
      <c r="C5871" s="227"/>
      <c r="D5871" s="227"/>
      <c r="E5871" s="231"/>
      <c r="F5871" s="348"/>
      <c r="G5871" s="227"/>
      <c r="H5871" s="227"/>
      <c r="I5871" s="227"/>
      <c r="J5871" s="227"/>
      <c r="K5871" s="227"/>
      <c r="L5871" s="348"/>
      <c r="M5871" s="348"/>
      <c r="N5871" s="227"/>
      <c r="O5871" s="227"/>
      <c r="P5871" s="231"/>
      <c r="Q5871" s="231"/>
      <c r="R5871" s="227"/>
      <c r="S5871" s="231"/>
      <c r="T5871" s="231"/>
      <c r="U5871" s="231"/>
      <c r="V5871" s="231"/>
      <c r="W5871" s="231"/>
      <c r="X5871" s="227"/>
      <c r="Y5871" s="348"/>
      <c r="Z5871" s="348"/>
      <c r="AA5871" s="348"/>
      <c r="AB5871" s="348"/>
      <c r="AC5871" s="227"/>
      <c r="AD5871" s="227"/>
      <c r="AE5871" s="231"/>
      <c r="AF5871" s="227"/>
      <c r="AG5871" s="348"/>
      <c r="AH5871" s="348"/>
      <c r="AI5871" s="348"/>
      <c r="AJ5871" s="348"/>
      <c r="AK5871" s="348"/>
      <c r="AL5871" s="348"/>
      <c r="AM5871" s="348"/>
      <c r="AN5871" s="348"/>
      <c r="AO5871" s="231"/>
      <c r="AP5871" s="231"/>
      <c r="AQ5871" s="227"/>
      <c r="AR5871" s="231"/>
      <c r="AS5871" s="227"/>
      <c r="AT5871" s="227"/>
      <c r="AU5871" s="227"/>
      <c r="AV5871" s="227"/>
      <c r="AW5871" s="227"/>
      <c r="AX5871" s="227"/>
      <c r="AY5871" s="227"/>
      <c r="AZ5871" s="227"/>
      <c r="BA5871" s="227"/>
      <c r="BB5871" s="227"/>
      <c r="BC5871" s="227"/>
      <c r="BD5871" s="227"/>
      <c r="BE5871" s="227"/>
      <c r="BF5871" s="227"/>
    </row>
    <row r="5872">
      <c r="A5872" s="227"/>
      <c r="B5872" s="348"/>
      <c r="C5872" s="227"/>
      <c r="D5872" s="227"/>
      <c r="E5872" s="231"/>
      <c r="F5872" s="348"/>
      <c r="G5872" s="227"/>
      <c r="H5872" s="227"/>
      <c r="I5872" s="227"/>
      <c r="J5872" s="227"/>
      <c r="K5872" s="227"/>
      <c r="L5872" s="348"/>
      <c r="M5872" s="348"/>
      <c r="N5872" s="227"/>
      <c r="O5872" s="227"/>
      <c r="P5872" s="231"/>
      <c r="Q5872" s="231"/>
      <c r="R5872" s="227"/>
      <c r="S5872" s="231"/>
      <c r="T5872" s="231"/>
      <c r="U5872" s="231"/>
      <c r="V5872" s="231"/>
      <c r="W5872" s="231"/>
      <c r="X5872" s="227"/>
      <c r="Y5872" s="348"/>
      <c r="Z5872" s="348"/>
      <c r="AA5872" s="348"/>
      <c r="AB5872" s="348"/>
      <c r="AC5872" s="227"/>
      <c r="AD5872" s="227"/>
      <c r="AE5872" s="231"/>
      <c r="AF5872" s="227"/>
      <c r="AG5872" s="348"/>
      <c r="AH5872" s="348"/>
      <c r="AI5872" s="348"/>
      <c r="AJ5872" s="348"/>
      <c r="AK5872" s="348"/>
      <c r="AL5872" s="348"/>
      <c r="AM5872" s="348"/>
      <c r="AN5872" s="348"/>
      <c r="AO5872" s="231"/>
      <c r="AP5872" s="231"/>
      <c r="AQ5872" s="227"/>
      <c r="AR5872" s="231"/>
      <c r="AS5872" s="227"/>
      <c r="AT5872" s="227"/>
      <c r="AU5872" s="227"/>
      <c r="AV5872" s="227"/>
      <c r="AW5872" s="227"/>
      <c r="AX5872" s="227"/>
      <c r="AY5872" s="227"/>
      <c r="AZ5872" s="227"/>
      <c r="BA5872" s="227"/>
      <c r="BB5872" s="227"/>
      <c r="BC5872" s="227"/>
      <c r="BD5872" s="227"/>
      <c r="BE5872" s="227"/>
      <c r="BF5872" s="227"/>
    </row>
    <row r="5873">
      <c r="A5873" s="227"/>
      <c r="B5873" s="348"/>
      <c r="C5873" s="227"/>
      <c r="D5873" s="227"/>
      <c r="E5873" s="231"/>
      <c r="F5873" s="348"/>
      <c r="G5873" s="227"/>
      <c r="H5873" s="227"/>
      <c r="I5873" s="227"/>
      <c r="J5873" s="227"/>
      <c r="K5873" s="227"/>
      <c r="L5873" s="348"/>
      <c r="M5873" s="348"/>
      <c r="N5873" s="227"/>
      <c r="O5873" s="227"/>
      <c r="P5873" s="231"/>
      <c r="Q5873" s="231"/>
      <c r="R5873" s="227"/>
      <c r="S5873" s="231"/>
      <c r="T5873" s="231"/>
      <c r="U5873" s="231"/>
      <c r="V5873" s="231"/>
      <c r="W5873" s="231"/>
      <c r="X5873" s="227"/>
      <c r="Y5873" s="348"/>
      <c r="Z5873" s="348"/>
      <c r="AA5873" s="348"/>
      <c r="AB5873" s="348"/>
      <c r="AC5873" s="227"/>
      <c r="AD5873" s="227"/>
      <c r="AE5873" s="231"/>
      <c r="AF5873" s="227"/>
      <c r="AG5873" s="348"/>
      <c r="AH5873" s="348"/>
      <c r="AI5873" s="348"/>
      <c r="AJ5873" s="348"/>
      <c r="AK5873" s="348"/>
      <c r="AL5873" s="348"/>
      <c r="AM5873" s="348"/>
      <c r="AN5873" s="348"/>
      <c r="AO5873" s="231"/>
      <c r="AP5873" s="231"/>
      <c r="AQ5873" s="227"/>
      <c r="AR5873" s="231"/>
      <c r="AS5873" s="227"/>
      <c r="AT5873" s="227"/>
      <c r="AU5873" s="227"/>
      <c r="AV5873" s="227"/>
      <c r="AW5873" s="227"/>
      <c r="AX5873" s="227"/>
      <c r="AY5873" s="227"/>
      <c r="AZ5873" s="227"/>
      <c r="BA5873" s="227"/>
      <c r="BB5873" s="227"/>
      <c r="BC5873" s="227"/>
      <c r="BD5873" s="227"/>
      <c r="BE5873" s="227"/>
      <c r="BF5873" s="227"/>
    </row>
    <row r="5874">
      <c r="A5874" s="227"/>
      <c r="B5874" s="348"/>
      <c r="C5874" s="227"/>
      <c r="D5874" s="227"/>
      <c r="E5874" s="231"/>
      <c r="F5874" s="348"/>
      <c r="G5874" s="227"/>
      <c r="H5874" s="227"/>
      <c r="I5874" s="227"/>
      <c r="J5874" s="227"/>
      <c r="K5874" s="227"/>
      <c r="L5874" s="348"/>
      <c r="M5874" s="348"/>
      <c r="N5874" s="227"/>
      <c r="O5874" s="227"/>
      <c r="P5874" s="231"/>
      <c r="Q5874" s="231"/>
      <c r="R5874" s="227"/>
      <c r="S5874" s="231"/>
      <c r="T5874" s="231"/>
      <c r="U5874" s="231"/>
      <c r="V5874" s="231"/>
      <c r="W5874" s="231"/>
      <c r="X5874" s="227"/>
      <c r="Y5874" s="348"/>
      <c r="Z5874" s="348"/>
      <c r="AA5874" s="348"/>
      <c r="AB5874" s="348"/>
      <c r="AC5874" s="227"/>
      <c r="AD5874" s="227"/>
      <c r="AE5874" s="231"/>
      <c r="AF5874" s="227"/>
      <c r="AG5874" s="348"/>
      <c r="AH5874" s="348"/>
      <c r="AI5874" s="348"/>
      <c r="AJ5874" s="348"/>
      <c r="AK5874" s="348"/>
      <c r="AL5874" s="348"/>
      <c r="AM5874" s="348"/>
      <c r="AN5874" s="348"/>
      <c r="AO5874" s="231"/>
      <c r="AP5874" s="231"/>
      <c r="AQ5874" s="227"/>
      <c r="AR5874" s="231"/>
      <c r="AS5874" s="227"/>
      <c r="AT5874" s="227"/>
      <c r="AU5874" s="227"/>
      <c r="AV5874" s="227"/>
      <c r="AW5874" s="227"/>
      <c r="AX5874" s="227"/>
      <c r="AY5874" s="227"/>
      <c r="AZ5874" s="227"/>
      <c r="BA5874" s="227"/>
      <c r="BB5874" s="227"/>
      <c r="BC5874" s="227"/>
      <c r="BD5874" s="227"/>
      <c r="BE5874" s="227"/>
      <c r="BF5874" s="227"/>
    </row>
    <row r="5875">
      <c r="A5875" s="227"/>
      <c r="B5875" s="348"/>
      <c r="C5875" s="227"/>
      <c r="D5875" s="227"/>
      <c r="E5875" s="231"/>
      <c r="F5875" s="348"/>
      <c r="G5875" s="227"/>
      <c r="H5875" s="227"/>
      <c r="I5875" s="227"/>
      <c r="J5875" s="227"/>
      <c r="K5875" s="227"/>
      <c r="L5875" s="348"/>
      <c r="M5875" s="348"/>
      <c r="N5875" s="227"/>
      <c r="O5875" s="227"/>
      <c r="P5875" s="231"/>
      <c r="Q5875" s="231"/>
      <c r="R5875" s="227"/>
      <c r="S5875" s="231"/>
      <c r="T5875" s="231"/>
      <c r="U5875" s="231"/>
      <c r="V5875" s="231"/>
      <c r="W5875" s="231"/>
      <c r="X5875" s="227"/>
      <c r="Y5875" s="348"/>
      <c r="Z5875" s="348"/>
      <c r="AA5875" s="348"/>
      <c r="AB5875" s="348"/>
      <c r="AC5875" s="227"/>
      <c r="AD5875" s="227"/>
      <c r="AE5875" s="231"/>
      <c r="AF5875" s="227"/>
      <c r="AG5875" s="348"/>
      <c r="AH5875" s="348"/>
      <c r="AI5875" s="348"/>
      <c r="AJ5875" s="348"/>
      <c r="AK5875" s="348"/>
      <c r="AL5875" s="348"/>
      <c r="AM5875" s="348"/>
      <c r="AN5875" s="348"/>
      <c r="AO5875" s="231"/>
      <c r="AP5875" s="231"/>
      <c r="AQ5875" s="227"/>
      <c r="AR5875" s="231"/>
      <c r="AS5875" s="227"/>
      <c r="AT5875" s="227"/>
      <c r="AU5875" s="227"/>
      <c r="AV5875" s="227"/>
      <c r="AW5875" s="227"/>
      <c r="AX5875" s="227"/>
      <c r="AY5875" s="227"/>
      <c r="AZ5875" s="227"/>
      <c r="BA5875" s="227"/>
      <c r="BB5875" s="227"/>
      <c r="BC5875" s="227"/>
      <c r="BD5875" s="227"/>
      <c r="BE5875" s="227"/>
      <c r="BF5875" s="227"/>
    </row>
    <row r="5876">
      <c r="A5876" s="227"/>
      <c r="B5876" s="348"/>
      <c r="C5876" s="227"/>
      <c r="D5876" s="227"/>
      <c r="E5876" s="231"/>
      <c r="F5876" s="348"/>
      <c r="G5876" s="227"/>
      <c r="H5876" s="227"/>
      <c r="I5876" s="227"/>
      <c r="J5876" s="227"/>
      <c r="K5876" s="227"/>
      <c r="L5876" s="348"/>
      <c r="M5876" s="348"/>
      <c r="N5876" s="227"/>
      <c r="O5876" s="227"/>
      <c r="P5876" s="231"/>
      <c r="Q5876" s="231"/>
      <c r="R5876" s="227"/>
      <c r="S5876" s="231"/>
      <c r="T5876" s="231"/>
      <c r="U5876" s="231"/>
      <c r="V5876" s="231"/>
      <c r="W5876" s="231"/>
      <c r="X5876" s="227"/>
      <c r="Y5876" s="348"/>
      <c r="Z5876" s="348"/>
      <c r="AA5876" s="348"/>
      <c r="AB5876" s="348"/>
      <c r="AC5876" s="227"/>
      <c r="AD5876" s="227"/>
      <c r="AE5876" s="231"/>
      <c r="AF5876" s="227"/>
      <c r="AG5876" s="348"/>
      <c r="AH5876" s="348"/>
      <c r="AI5876" s="348"/>
      <c r="AJ5876" s="348"/>
      <c r="AK5876" s="348"/>
      <c r="AL5876" s="348"/>
      <c r="AM5876" s="348"/>
      <c r="AN5876" s="348"/>
      <c r="AO5876" s="231"/>
      <c r="AP5876" s="231"/>
      <c r="AQ5876" s="227"/>
      <c r="AR5876" s="231"/>
      <c r="AS5876" s="227"/>
      <c r="AT5876" s="227"/>
      <c r="AU5876" s="227"/>
      <c r="AV5876" s="227"/>
      <c r="AW5876" s="227"/>
      <c r="AX5876" s="227"/>
      <c r="AY5876" s="227"/>
      <c r="AZ5876" s="227"/>
      <c r="BA5876" s="227"/>
      <c r="BB5876" s="227"/>
      <c r="BC5876" s="227"/>
      <c r="BD5876" s="227"/>
      <c r="BE5876" s="227"/>
      <c r="BF5876" s="227"/>
    </row>
    <row r="5877">
      <c r="A5877" s="227"/>
      <c r="B5877" s="348"/>
      <c r="C5877" s="227"/>
      <c r="D5877" s="227"/>
      <c r="E5877" s="231"/>
      <c r="F5877" s="348"/>
      <c r="G5877" s="227"/>
      <c r="H5877" s="227"/>
      <c r="I5877" s="227"/>
      <c r="J5877" s="227"/>
      <c r="K5877" s="227"/>
      <c r="L5877" s="348"/>
      <c r="M5877" s="348"/>
      <c r="N5877" s="227"/>
      <c r="O5877" s="227"/>
      <c r="P5877" s="231"/>
      <c r="Q5877" s="231"/>
      <c r="R5877" s="227"/>
      <c r="S5877" s="231"/>
      <c r="T5877" s="231"/>
      <c r="U5877" s="231"/>
      <c r="V5877" s="231"/>
      <c r="W5877" s="231"/>
      <c r="X5877" s="227"/>
      <c r="Y5877" s="348"/>
      <c r="Z5877" s="348"/>
      <c r="AA5877" s="348"/>
      <c r="AB5877" s="348"/>
      <c r="AC5877" s="227"/>
      <c r="AD5877" s="227"/>
      <c r="AE5877" s="231"/>
      <c r="AF5877" s="227"/>
      <c r="AG5877" s="348"/>
      <c r="AH5877" s="348"/>
      <c r="AI5877" s="348"/>
      <c r="AJ5877" s="348"/>
      <c r="AK5877" s="348"/>
      <c r="AL5877" s="348"/>
      <c r="AM5877" s="348"/>
      <c r="AN5877" s="348"/>
      <c r="AO5877" s="231"/>
      <c r="AP5877" s="231"/>
      <c r="AQ5877" s="227"/>
      <c r="AR5877" s="231"/>
      <c r="AS5877" s="227"/>
      <c r="AT5877" s="227"/>
      <c r="AU5877" s="227"/>
      <c r="AV5877" s="227"/>
      <c r="AW5877" s="227"/>
      <c r="AX5877" s="227"/>
      <c r="AY5877" s="227"/>
      <c r="AZ5877" s="227"/>
      <c r="BA5877" s="227"/>
      <c r="BB5877" s="227"/>
      <c r="BC5877" s="227"/>
      <c r="BD5877" s="227"/>
      <c r="BE5877" s="227"/>
      <c r="BF5877" s="227"/>
    </row>
    <row r="5878">
      <c r="A5878" s="227"/>
      <c r="B5878" s="348"/>
      <c r="C5878" s="227"/>
      <c r="D5878" s="227"/>
      <c r="E5878" s="231"/>
      <c r="F5878" s="348"/>
      <c r="G5878" s="227"/>
      <c r="H5878" s="227"/>
      <c r="I5878" s="227"/>
      <c r="J5878" s="227"/>
      <c r="K5878" s="227"/>
      <c r="L5878" s="348"/>
      <c r="M5878" s="348"/>
      <c r="N5878" s="227"/>
      <c r="O5878" s="227"/>
      <c r="P5878" s="231"/>
      <c r="Q5878" s="231"/>
      <c r="R5878" s="227"/>
      <c r="S5878" s="231"/>
      <c r="T5878" s="231"/>
      <c r="U5878" s="231"/>
      <c r="V5878" s="231"/>
      <c r="W5878" s="231"/>
      <c r="X5878" s="227"/>
      <c r="Y5878" s="348"/>
      <c r="Z5878" s="348"/>
      <c r="AA5878" s="348"/>
      <c r="AB5878" s="348"/>
      <c r="AC5878" s="227"/>
      <c r="AD5878" s="227"/>
      <c r="AE5878" s="231"/>
      <c r="AF5878" s="227"/>
      <c r="AG5878" s="348"/>
      <c r="AH5878" s="348"/>
      <c r="AI5878" s="348"/>
      <c r="AJ5878" s="348"/>
      <c r="AK5878" s="348"/>
      <c r="AL5878" s="348"/>
      <c r="AM5878" s="348"/>
      <c r="AN5878" s="348"/>
      <c r="AO5878" s="231"/>
      <c r="AP5878" s="231"/>
      <c r="AQ5878" s="227"/>
      <c r="AR5878" s="231"/>
      <c r="AS5878" s="227"/>
      <c r="AT5878" s="227"/>
      <c r="AU5878" s="227"/>
      <c r="AV5878" s="227"/>
      <c r="AW5878" s="227"/>
      <c r="AX5878" s="227"/>
      <c r="AY5878" s="227"/>
      <c r="AZ5878" s="227"/>
      <c r="BA5878" s="227"/>
      <c r="BB5878" s="227"/>
      <c r="BC5878" s="227"/>
      <c r="BD5878" s="227"/>
      <c r="BE5878" s="227"/>
      <c r="BF5878" s="227"/>
    </row>
    <row r="5879">
      <c r="A5879" s="227"/>
      <c r="B5879" s="348"/>
      <c r="C5879" s="227"/>
      <c r="D5879" s="227"/>
      <c r="E5879" s="231"/>
      <c r="F5879" s="348"/>
      <c r="G5879" s="227"/>
      <c r="H5879" s="227"/>
      <c r="I5879" s="227"/>
      <c r="J5879" s="227"/>
      <c r="K5879" s="227"/>
      <c r="L5879" s="348"/>
      <c r="M5879" s="348"/>
      <c r="N5879" s="227"/>
      <c r="O5879" s="227"/>
      <c r="P5879" s="231"/>
      <c r="Q5879" s="231"/>
      <c r="R5879" s="227"/>
      <c r="S5879" s="231"/>
      <c r="T5879" s="231"/>
      <c r="U5879" s="231"/>
      <c r="V5879" s="231"/>
      <c r="W5879" s="231"/>
      <c r="X5879" s="227"/>
      <c r="Y5879" s="348"/>
      <c r="Z5879" s="348"/>
      <c r="AA5879" s="348"/>
      <c r="AB5879" s="348"/>
      <c r="AC5879" s="227"/>
      <c r="AD5879" s="227"/>
      <c r="AE5879" s="231"/>
      <c r="AF5879" s="227"/>
      <c r="AG5879" s="348"/>
      <c r="AH5879" s="348"/>
      <c r="AI5879" s="348"/>
      <c r="AJ5879" s="348"/>
      <c r="AK5879" s="348"/>
      <c r="AL5879" s="348"/>
      <c r="AM5879" s="348"/>
      <c r="AN5879" s="348"/>
      <c r="AO5879" s="231"/>
      <c r="AP5879" s="231"/>
      <c r="AQ5879" s="227"/>
      <c r="AR5879" s="231"/>
      <c r="AS5879" s="227"/>
      <c r="AT5879" s="227"/>
      <c r="AU5879" s="227"/>
      <c r="AV5879" s="227"/>
      <c r="AW5879" s="227"/>
      <c r="AX5879" s="227"/>
      <c r="AY5879" s="227"/>
      <c r="AZ5879" s="227"/>
      <c r="BA5879" s="227"/>
      <c r="BB5879" s="227"/>
      <c r="BC5879" s="227"/>
      <c r="BD5879" s="227"/>
      <c r="BE5879" s="227"/>
      <c r="BF5879" s="227"/>
    </row>
    <row r="5880">
      <c r="A5880" s="227"/>
      <c r="B5880" s="348"/>
      <c r="C5880" s="227"/>
      <c r="D5880" s="227"/>
      <c r="E5880" s="231"/>
      <c r="F5880" s="348"/>
      <c r="G5880" s="227"/>
      <c r="H5880" s="227"/>
      <c r="I5880" s="227"/>
      <c r="J5880" s="227"/>
      <c r="K5880" s="227"/>
      <c r="L5880" s="348"/>
      <c r="M5880" s="348"/>
      <c r="N5880" s="227"/>
      <c r="O5880" s="227"/>
      <c r="P5880" s="231"/>
      <c r="Q5880" s="231"/>
      <c r="R5880" s="227"/>
      <c r="S5880" s="231"/>
      <c r="T5880" s="231"/>
      <c r="U5880" s="231"/>
      <c r="V5880" s="231"/>
      <c r="W5880" s="231"/>
      <c r="X5880" s="227"/>
      <c r="Y5880" s="348"/>
      <c r="Z5880" s="348"/>
      <c r="AA5880" s="348"/>
      <c r="AB5880" s="348"/>
      <c r="AC5880" s="227"/>
      <c r="AD5880" s="227"/>
      <c r="AE5880" s="231"/>
      <c r="AF5880" s="227"/>
      <c r="AG5880" s="348"/>
      <c r="AH5880" s="348"/>
      <c r="AI5880" s="348"/>
      <c r="AJ5880" s="348"/>
      <c r="AK5880" s="348"/>
      <c r="AL5880" s="348"/>
      <c r="AM5880" s="348"/>
      <c r="AN5880" s="348"/>
      <c r="AO5880" s="231"/>
      <c r="AP5880" s="231"/>
      <c r="AQ5880" s="227"/>
      <c r="AR5880" s="231"/>
      <c r="AS5880" s="227"/>
      <c r="AT5880" s="227"/>
      <c r="AU5880" s="227"/>
      <c r="AV5880" s="227"/>
      <c r="AW5880" s="227"/>
      <c r="AX5880" s="227"/>
      <c r="AY5880" s="227"/>
      <c r="AZ5880" s="227"/>
      <c r="BA5880" s="227"/>
      <c r="BB5880" s="227"/>
      <c r="BC5880" s="227"/>
      <c r="BD5880" s="227"/>
      <c r="BE5880" s="227"/>
      <c r="BF5880" s="227"/>
    </row>
    <row r="5881">
      <c r="A5881" s="227"/>
      <c r="B5881" s="348"/>
      <c r="C5881" s="227"/>
      <c r="D5881" s="227"/>
      <c r="E5881" s="231"/>
      <c r="F5881" s="348"/>
      <c r="G5881" s="227"/>
      <c r="H5881" s="227"/>
      <c r="I5881" s="227"/>
      <c r="J5881" s="227"/>
      <c r="K5881" s="227"/>
      <c r="L5881" s="348"/>
      <c r="M5881" s="348"/>
      <c r="N5881" s="227"/>
      <c r="O5881" s="227"/>
      <c r="P5881" s="231"/>
      <c r="Q5881" s="231"/>
      <c r="R5881" s="227"/>
      <c r="S5881" s="231"/>
      <c r="T5881" s="231"/>
      <c r="U5881" s="231"/>
      <c r="V5881" s="231"/>
      <c r="W5881" s="231"/>
      <c r="X5881" s="227"/>
      <c r="Y5881" s="348"/>
      <c r="Z5881" s="348"/>
      <c r="AA5881" s="348"/>
      <c r="AB5881" s="348"/>
      <c r="AC5881" s="227"/>
      <c r="AD5881" s="227"/>
      <c r="AE5881" s="231"/>
      <c r="AF5881" s="227"/>
      <c r="AG5881" s="348"/>
      <c r="AH5881" s="348"/>
      <c r="AI5881" s="348"/>
      <c r="AJ5881" s="348"/>
      <c r="AK5881" s="348"/>
      <c r="AL5881" s="348"/>
      <c r="AM5881" s="348"/>
      <c r="AN5881" s="348"/>
      <c r="AO5881" s="231"/>
      <c r="AP5881" s="231"/>
      <c r="AQ5881" s="227"/>
      <c r="AR5881" s="231"/>
      <c r="AS5881" s="227"/>
      <c r="AT5881" s="227"/>
      <c r="AU5881" s="227"/>
      <c r="AV5881" s="227"/>
      <c r="AW5881" s="227"/>
      <c r="AX5881" s="227"/>
      <c r="AY5881" s="227"/>
      <c r="AZ5881" s="227"/>
      <c r="BA5881" s="227"/>
      <c r="BB5881" s="227"/>
      <c r="BC5881" s="227"/>
      <c r="BD5881" s="227"/>
      <c r="BE5881" s="227"/>
      <c r="BF5881" s="227"/>
    </row>
    <row r="5882">
      <c r="A5882" s="227"/>
      <c r="B5882" s="348"/>
      <c r="C5882" s="227"/>
      <c r="D5882" s="227"/>
      <c r="E5882" s="231"/>
      <c r="F5882" s="348"/>
      <c r="G5882" s="227"/>
      <c r="H5882" s="227"/>
      <c r="I5882" s="227"/>
      <c r="J5882" s="227"/>
      <c r="K5882" s="227"/>
      <c r="L5882" s="348"/>
      <c r="M5882" s="348"/>
      <c r="N5882" s="227"/>
      <c r="O5882" s="227"/>
      <c r="P5882" s="231"/>
      <c r="Q5882" s="231"/>
      <c r="R5882" s="227"/>
      <c r="S5882" s="231"/>
      <c r="T5882" s="231"/>
      <c r="U5882" s="231"/>
      <c r="V5882" s="231"/>
      <c r="W5882" s="231"/>
      <c r="X5882" s="227"/>
      <c r="Y5882" s="348"/>
      <c r="Z5882" s="348"/>
      <c r="AA5882" s="348"/>
      <c r="AB5882" s="348"/>
      <c r="AC5882" s="227"/>
      <c r="AD5882" s="227"/>
      <c r="AE5882" s="231"/>
      <c r="AF5882" s="227"/>
      <c r="AG5882" s="348"/>
      <c r="AH5882" s="348"/>
      <c r="AI5882" s="348"/>
      <c r="AJ5882" s="348"/>
      <c r="AK5882" s="348"/>
      <c r="AL5882" s="348"/>
      <c r="AM5882" s="348"/>
      <c r="AN5882" s="348"/>
      <c r="AO5882" s="231"/>
      <c r="AP5882" s="231"/>
      <c r="AQ5882" s="227"/>
      <c r="AR5882" s="231"/>
      <c r="AS5882" s="227"/>
      <c r="AT5882" s="227"/>
      <c r="AU5882" s="227"/>
      <c r="AV5882" s="227"/>
      <c r="AW5882" s="227"/>
      <c r="AX5882" s="227"/>
      <c r="AY5882" s="227"/>
      <c r="AZ5882" s="227"/>
      <c r="BA5882" s="227"/>
      <c r="BB5882" s="227"/>
      <c r="BC5882" s="227"/>
      <c r="BD5882" s="227"/>
      <c r="BE5882" s="227"/>
      <c r="BF5882" s="227"/>
    </row>
    <row r="5883">
      <c r="A5883" s="227"/>
      <c r="B5883" s="348"/>
      <c r="C5883" s="227"/>
      <c r="D5883" s="227"/>
      <c r="E5883" s="231"/>
      <c r="F5883" s="348"/>
      <c r="G5883" s="227"/>
      <c r="H5883" s="227"/>
      <c r="I5883" s="227"/>
      <c r="J5883" s="227"/>
      <c r="K5883" s="227"/>
      <c r="L5883" s="348"/>
      <c r="M5883" s="348"/>
      <c r="N5883" s="227"/>
      <c r="O5883" s="227"/>
      <c r="P5883" s="231"/>
      <c r="Q5883" s="231"/>
      <c r="R5883" s="227"/>
      <c r="S5883" s="231"/>
      <c r="T5883" s="231"/>
      <c r="U5883" s="231"/>
      <c r="V5883" s="231"/>
      <c r="W5883" s="231"/>
      <c r="X5883" s="227"/>
      <c r="Y5883" s="348"/>
      <c r="Z5883" s="348"/>
      <c r="AA5883" s="348"/>
      <c r="AB5883" s="348"/>
      <c r="AC5883" s="227"/>
      <c r="AD5883" s="227"/>
      <c r="AE5883" s="231"/>
      <c r="AF5883" s="227"/>
      <c r="AG5883" s="348"/>
      <c r="AH5883" s="348"/>
      <c r="AI5883" s="348"/>
      <c r="AJ5883" s="348"/>
      <c r="AK5883" s="348"/>
      <c r="AL5883" s="348"/>
      <c r="AM5883" s="348"/>
      <c r="AN5883" s="348"/>
      <c r="AO5883" s="231"/>
      <c r="AP5883" s="231"/>
      <c r="AQ5883" s="227"/>
      <c r="AR5883" s="231"/>
      <c r="AS5883" s="227"/>
      <c r="AT5883" s="227"/>
      <c r="AU5883" s="227"/>
      <c r="AV5883" s="227"/>
      <c r="AW5883" s="227"/>
      <c r="AX5883" s="227"/>
      <c r="AY5883" s="227"/>
      <c r="AZ5883" s="227"/>
      <c r="BA5883" s="227"/>
      <c r="BB5883" s="227"/>
      <c r="BC5883" s="227"/>
      <c r="BD5883" s="227"/>
      <c r="BE5883" s="227"/>
      <c r="BF5883" s="227"/>
    </row>
    <row r="5884">
      <c r="A5884" s="227"/>
      <c r="B5884" s="348"/>
      <c r="C5884" s="227"/>
      <c r="D5884" s="227"/>
      <c r="E5884" s="231"/>
      <c r="F5884" s="348"/>
      <c r="G5884" s="227"/>
      <c r="H5884" s="227"/>
      <c r="I5884" s="227"/>
      <c r="J5884" s="227"/>
      <c r="K5884" s="227"/>
      <c r="L5884" s="348"/>
      <c r="M5884" s="348"/>
      <c r="N5884" s="227"/>
      <c r="O5884" s="227"/>
      <c r="P5884" s="231"/>
      <c r="Q5884" s="231"/>
      <c r="R5884" s="227"/>
      <c r="S5884" s="231"/>
      <c r="T5884" s="231"/>
      <c r="U5884" s="231"/>
      <c r="V5884" s="231"/>
      <c r="W5884" s="231"/>
      <c r="X5884" s="227"/>
      <c r="Y5884" s="348"/>
      <c r="Z5884" s="348"/>
      <c r="AA5884" s="348"/>
      <c r="AB5884" s="348"/>
      <c r="AC5884" s="227"/>
      <c r="AD5884" s="227"/>
      <c r="AE5884" s="231"/>
      <c r="AF5884" s="227"/>
      <c r="AG5884" s="348"/>
      <c r="AH5884" s="348"/>
      <c r="AI5884" s="348"/>
      <c r="AJ5884" s="348"/>
      <c r="AK5884" s="348"/>
      <c r="AL5884" s="348"/>
      <c r="AM5884" s="348"/>
      <c r="AN5884" s="348"/>
      <c r="AO5884" s="231"/>
      <c r="AP5884" s="231"/>
      <c r="AQ5884" s="227"/>
      <c r="AR5884" s="231"/>
      <c r="AS5884" s="227"/>
      <c r="AT5884" s="227"/>
      <c r="AU5884" s="227"/>
      <c r="AV5884" s="227"/>
      <c r="AW5884" s="227"/>
      <c r="AX5884" s="227"/>
      <c r="AY5884" s="227"/>
      <c r="AZ5884" s="227"/>
      <c r="BA5884" s="227"/>
      <c r="BB5884" s="227"/>
      <c r="BC5884" s="227"/>
      <c r="BD5884" s="227"/>
      <c r="BE5884" s="227"/>
      <c r="BF5884" s="227"/>
    </row>
    <row r="5885">
      <c r="A5885" s="227"/>
      <c r="B5885" s="348"/>
      <c r="C5885" s="227"/>
      <c r="D5885" s="227"/>
      <c r="E5885" s="231"/>
      <c r="F5885" s="348"/>
      <c r="G5885" s="227"/>
      <c r="H5885" s="227"/>
      <c r="I5885" s="227"/>
      <c r="J5885" s="227"/>
      <c r="K5885" s="227"/>
      <c r="L5885" s="348"/>
      <c r="M5885" s="348"/>
      <c r="N5885" s="227"/>
      <c r="O5885" s="227"/>
      <c r="P5885" s="231"/>
      <c r="Q5885" s="231"/>
      <c r="R5885" s="227"/>
      <c r="S5885" s="231"/>
      <c r="T5885" s="231"/>
      <c r="U5885" s="231"/>
      <c r="V5885" s="231"/>
      <c r="W5885" s="231"/>
      <c r="X5885" s="227"/>
      <c r="Y5885" s="348"/>
      <c r="Z5885" s="348"/>
      <c r="AA5885" s="348"/>
      <c r="AB5885" s="348"/>
      <c r="AC5885" s="227"/>
      <c r="AD5885" s="227"/>
      <c r="AE5885" s="231"/>
      <c r="AF5885" s="227"/>
      <c r="AG5885" s="348"/>
      <c r="AH5885" s="348"/>
      <c r="AI5885" s="348"/>
      <c r="AJ5885" s="348"/>
      <c r="AK5885" s="348"/>
      <c r="AL5885" s="348"/>
      <c r="AM5885" s="348"/>
      <c r="AN5885" s="348"/>
      <c r="AO5885" s="231"/>
      <c r="AP5885" s="231"/>
      <c r="AQ5885" s="227"/>
      <c r="AR5885" s="231"/>
      <c r="AS5885" s="227"/>
      <c r="AT5885" s="227"/>
      <c r="AU5885" s="227"/>
      <c r="AV5885" s="227"/>
      <c r="AW5885" s="227"/>
      <c r="AX5885" s="227"/>
      <c r="AY5885" s="227"/>
      <c r="AZ5885" s="227"/>
      <c r="BA5885" s="227"/>
      <c r="BB5885" s="227"/>
      <c r="BC5885" s="227"/>
      <c r="BD5885" s="227"/>
      <c r="BE5885" s="227"/>
      <c r="BF5885" s="227"/>
    </row>
    <row r="5886">
      <c r="A5886" s="227"/>
      <c r="B5886" s="348"/>
      <c r="C5886" s="227"/>
      <c r="D5886" s="227"/>
      <c r="E5886" s="231"/>
      <c r="F5886" s="348"/>
      <c r="G5886" s="227"/>
      <c r="H5886" s="227"/>
      <c r="I5886" s="227"/>
      <c r="J5886" s="227"/>
      <c r="K5886" s="227"/>
      <c r="L5886" s="348"/>
      <c r="M5886" s="348"/>
      <c r="N5886" s="227"/>
      <c r="O5886" s="227"/>
      <c r="P5886" s="231"/>
      <c r="Q5886" s="231"/>
      <c r="R5886" s="227"/>
      <c r="S5886" s="231"/>
      <c r="T5886" s="231"/>
      <c r="U5886" s="231"/>
      <c r="V5886" s="231"/>
      <c r="W5886" s="231"/>
      <c r="X5886" s="227"/>
      <c r="Y5886" s="348"/>
      <c r="Z5886" s="348"/>
      <c r="AA5886" s="348"/>
      <c r="AB5886" s="348"/>
      <c r="AC5886" s="227"/>
      <c r="AD5886" s="227"/>
      <c r="AE5886" s="231"/>
      <c r="AF5886" s="227"/>
      <c r="AG5886" s="348"/>
      <c r="AH5886" s="348"/>
      <c r="AI5886" s="348"/>
      <c r="AJ5886" s="348"/>
      <c r="AK5886" s="348"/>
      <c r="AL5886" s="348"/>
      <c r="AM5886" s="348"/>
      <c r="AN5886" s="348"/>
      <c r="AO5886" s="231"/>
      <c r="AP5886" s="231"/>
      <c r="AQ5886" s="227"/>
      <c r="AR5886" s="231"/>
      <c r="AS5886" s="227"/>
      <c r="AT5886" s="227"/>
      <c r="AU5886" s="227"/>
      <c r="AV5886" s="227"/>
      <c r="AW5886" s="227"/>
      <c r="AX5886" s="227"/>
      <c r="AY5886" s="227"/>
      <c r="AZ5886" s="227"/>
      <c r="BA5886" s="227"/>
      <c r="BB5886" s="227"/>
      <c r="BC5886" s="227"/>
      <c r="BD5886" s="227"/>
      <c r="BE5886" s="227"/>
      <c r="BF5886" s="227"/>
    </row>
    <row r="5887">
      <c r="A5887" s="227"/>
      <c r="B5887" s="348"/>
      <c r="C5887" s="227"/>
      <c r="D5887" s="227"/>
      <c r="E5887" s="231"/>
      <c r="F5887" s="348"/>
      <c r="G5887" s="227"/>
      <c r="H5887" s="227"/>
      <c r="I5887" s="227"/>
      <c r="J5887" s="227"/>
      <c r="K5887" s="227"/>
      <c r="L5887" s="348"/>
      <c r="M5887" s="348"/>
      <c r="N5887" s="227"/>
      <c r="O5887" s="227"/>
      <c r="P5887" s="231"/>
      <c r="Q5887" s="231"/>
      <c r="R5887" s="227"/>
      <c r="S5887" s="231"/>
      <c r="T5887" s="231"/>
      <c r="U5887" s="231"/>
      <c r="V5887" s="231"/>
      <c r="W5887" s="231"/>
      <c r="X5887" s="227"/>
      <c r="Y5887" s="348"/>
      <c r="Z5887" s="348"/>
      <c r="AA5887" s="348"/>
      <c r="AB5887" s="348"/>
      <c r="AC5887" s="227"/>
      <c r="AD5887" s="227"/>
      <c r="AE5887" s="231"/>
      <c r="AF5887" s="227"/>
      <c r="AG5887" s="348"/>
      <c r="AH5887" s="348"/>
      <c r="AI5887" s="348"/>
      <c r="AJ5887" s="348"/>
      <c r="AK5887" s="348"/>
      <c r="AL5887" s="348"/>
      <c r="AM5887" s="348"/>
      <c r="AN5887" s="348"/>
      <c r="AO5887" s="231"/>
      <c r="AP5887" s="231"/>
      <c r="AQ5887" s="227"/>
      <c r="AR5887" s="231"/>
      <c r="AS5887" s="227"/>
      <c r="AT5887" s="227"/>
      <c r="AU5887" s="227"/>
      <c r="AV5887" s="227"/>
      <c r="AW5887" s="227"/>
      <c r="AX5887" s="227"/>
      <c r="AY5887" s="227"/>
      <c r="AZ5887" s="227"/>
      <c r="BA5887" s="227"/>
      <c r="BB5887" s="227"/>
      <c r="BC5887" s="227"/>
      <c r="BD5887" s="227"/>
      <c r="BE5887" s="227"/>
      <c r="BF5887" s="227"/>
    </row>
    <row r="5888">
      <c r="A5888" s="227"/>
      <c r="B5888" s="348"/>
      <c r="C5888" s="227"/>
      <c r="D5888" s="227"/>
      <c r="E5888" s="231"/>
      <c r="F5888" s="348"/>
      <c r="G5888" s="227"/>
      <c r="H5888" s="227"/>
      <c r="I5888" s="227"/>
      <c r="J5888" s="227"/>
      <c r="K5888" s="227"/>
      <c r="L5888" s="348"/>
      <c r="M5888" s="348"/>
      <c r="N5888" s="227"/>
      <c r="O5888" s="227"/>
      <c r="P5888" s="231"/>
      <c r="Q5888" s="231"/>
      <c r="R5888" s="227"/>
      <c r="S5888" s="231"/>
      <c r="T5888" s="231"/>
      <c r="U5888" s="231"/>
      <c r="V5888" s="231"/>
      <c r="W5888" s="231"/>
      <c r="X5888" s="227"/>
      <c r="Y5888" s="348"/>
      <c r="Z5888" s="348"/>
      <c r="AA5888" s="348"/>
      <c r="AB5888" s="348"/>
      <c r="AC5888" s="227"/>
      <c r="AD5888" s="227"/>
      <c r="AE5888" s="231"/>
      <c r="AF5888" s="227"/>
      <c r="AG5888" s="348"/>
      <c r="AH5888" s="348"/>
      <c r="AI5888" s="348"/>
      <c r="AJ5888" s="348"/>
      <c r="AK5888" s="348"/>
      <c r="AL5888" s="348"/>
      <c r="AM5888" s="348"/>
      <c r="AN5888" s="348"/>
      <c r="AO5888" s="231"/>
      <c r="AP5888" s="231"/>
      <c r="AQ5888" s="227"/>
      <c r="AR5888" s="231"/>
      <c r="AS5888" s="227"/>
      <c r="AT5888" s="227"/>
      <c r="AU5888" s="227"/>
      <c r="AV5888" s="227"/>
      <c r="AW5888" s="227"/>
      <c r="AX5888" s="227"/>
      <c r="AY5888" s="227"/>
      <c r="AZ5888" s="227"/>
      <c r="BA5888" s="227"/>
      <c r="BB5888" s="227"/>
      <c r="BC5888" s="227"/>
      <c r="BD5888" s="227"/>
      <c r="BE5888" s="227"/>
      <c r="BF5888" s="227"/>
    </row>
    <row r="5889">
      <c r="A5889" s="227"/>
      <c r="B5889" s="348"/>
      <c r="C5889" s="227"/>
      <c r="D5889" s="227"/>
      <c r="E5889" s="231"/>
      <c r="F5889" s="348"/>
      <c r="G5889" s="227"/>
      <c r="H5889" s="227"/>
      <c r="I5889" s="227"/>
      <c r="J5889" s="227"/>
      <c r="K5889" s="227"/>
      <c r="L5889" s="348"/>
      <c r="M5889" s="348"/>
      <c r="N5889" s="227"/>
      <c r="O5889" s="227"/>
      <c r="P5889" s="231"/>
      <c r="Q5889" s="231"/>
      <c r="R5889" s="227"/>
      <c r="S5889" s="231"/>
      <c r="T5889" s="231"/>
      <c r="U5889" s="231"/>
      <c r="V5889" s="231"/>
      <c r="W5889" s="231"/>
      <c r="X5889" s="227"/>
      <c r="Y5889" s="348"/>
      <c r="Z5889" s="348"/>
      <c r="AA5889" s="348"/>
      <c r="AB5889" s="348"/>
      <c r="AC5889" s="227"/>
      <c r="AD5889" s="227"/>
      <c r="AE5889" s="231"/>
      <c r="AF5889" s="227"/>
      <c r="AG5889" s="348"/>
      <c r="AH5889" s="348"/>
      <c r="AI5889" s="348"/>
      <c r="AJ5889" s="348"/>
      <c r="AK5889" s="348"/>
      <c r="AL5889" s="348"/>
      <c r="AM5889" s="348"/>
      <c r="AN5889" s="348"/>
      <c r="AO5889" s="231"/>
      <c r="AP5889" s="231"/>
      <c r="AQ5889" s="227"/>
      <c r="AR5889" s="231"/>
      <c r="AS5889" s="227"/>
      <c r="AT5889" s="227"/>
      <c r="AU5889" s="227"/>
      <c r="AV5889" s="227"/>
      <c r="AW5889" s="227"/>
      <c r="AX5889" s="227"/>
      <c r="AY5889" s="227"/>
      <c r="AZ5889" s="227"/>
      <c r="BA5889" s="227"/>
      <c r="BB5889" s="227"/>
      <c r="BC5889" s="227"/>
      <c r="BD5889" s="227"/>
      <c r="BE5889" s="227"/>
      <c r="BF5889" s="227"/>
    </row>
    <row r="5890">
      <c r="A5890" s="227"/>
      <c r="B5890" s="348"/>
      <c r="C5890" s="227"/>
      <c r="D5890" s="227"/>
      <c r="E5890" s="231"/>
      <c r="F5890" s="348"/>
      <c r="G5890" s="227"/>
      <c r="H5890" s="227"/>
      <c r="I5890" s="227"/>
      <c r="J5890" s="227"/>
      <c r="K5890" s="227"/>
      <c r="L5890" s="348"/>
      <c r="M5890" s="348"/>
      <c r="N5890" s="227"/>
      <c r="O5890" s="227"/>
      <c r="P5890" s="231"/>
      <c r="Q5890" s="231"/>
      <c r="R5890" s="227"/>
      <c r="S5890" s="231"/>
      <c r="T5890" s="231"/>
      <c r="U5890" s="231"/>
      <c r="V5890" s="231"/>
      <c r="W5890" s="231"/>
      <c r="X5890" s="227"/>
      <c r="Y5890" s="348"/>
      <c r="Z5890" s="348"/>
      <c r="AA5890" s="348"/>
      <c r="AB5890" s="348"/>
      <c r="AC5890" s="227"/>
      <c r="AD5890" s="227"/>
      <c r="AE5890" s="231"/>
      <c r="AF5890" s="227"/>
      <c r="AG5890" s="348"/>
      <c r="AH5890" s="348"/>
      <c r="AI5890" s="348"/>
      <c r="AJ5890" s="348"/>
      <c r="AK5890" s="348"/>
      <c r="AL5890" s="348"/>
      <c r="AM5890" s="348"/>
      <c r="AN5890" s="348"/>
      <c r="AO5890" s="231"/>
      <c r="AP5890" s="231"/>
      <c r="AQ5890" s="227"/>
      <c r="AR5890" s="231"/>
      <c r="AS5890" s="227"/>
      <c r="AT5890" s="227"/>
      <c r="AU5890" s="227"/>
      <c r="AV5890" s="227"/>
      <c r="AW5890" s="227"/>
      <c r="AX5890" s="227"/>
      <c r="AY5890" s="227"/>
      <c r="AZ5890" s="227"/>
      <c r="BA5890" s="227"/>
      <c r="BB5890" s="227"/>
      <c r="BC5890" s="227"/>
      <c r="BD5890" s="227"/>
      <c r="BE5890" s="227"/>
      <c r="BF5890" s="227"/>
    </row>
    <row r="5891">
      <c r="A5891" s="227"/>
      <c r="B5891" s="348"/>
      <c r="C5891" s="227"/>
      <c r="D5891" s="227"/>
      <c r="E5891" s="231"/>
      <c r="F5891" s="348"/>
      <c r="G5891" s="227"/>
      <c r="H5891" s="227"/>
      <c r="I5891" s="227"/>
      <c r="J5891" s="227"/>
      <c r="K5891" s="227"/>
      <c r="L5891" s="348"/>
      <c r="M5891" s="348"/>
      <c r="N5891" s="227"/>
      <c r="O5891" s="227"/>
      <c r="P5891" s="231"/>
      <c r="Q5891" s="231"/>
      <c r="R5891" s="227"/>
      <c r="S5891" s="231"/>
      <c r="T5891" s="231"/>
      <c r="U5891" s="231"/>
      <c r="V5891" s="231"/>
      <c r="W5891" s="231"/>
      <c r="X5891" s="227"/>
      <c r="Y5891" s="348"/>
      <c r="Z5891" s="348"/>
      <c r="AA5891" s="348"/>
      <c r="AB5891" s="348"/>
      <c r="AC5891" s="227"/>
      <c r="AD5891" s="227"/>
      <c r="AE5891" s="231"/>
      <c r="AF5891" s="227"/>
      <c r="AG5891" s="348"/>
      <c r="AH5891" s="348"/>
      <c r="AI5891" s="348"/>
      <c r="AJ5891" s="348"/>
      <c r="AK5891" s="348"/>
      <c r="AL5891" s="348"/>
      <c r="AM5891" s="348"/>
      <c r="AN5891" s="348"/>
      <c r="AO5891" s="231"/>
      <c r="AP5891" s="231"/>
      <c r="AQ5891" s="227"/>
      <c r="AR5891" s="231"/>
      <c r="AS5891" s="227"/>
      <c r="AT5891" s="227"/>
      <c r="AU5891" s="227"/>
      <c r="AV5891" s="227"/>
      <c r="AW5891" s="227"/>
      <c r="AX5891" s="227"/>
      <c r="AY5891" s="227"/>
      <c r="AZ5891" s="227"/>
      <c r="BA5891" s="227"/>
      <c r="BB5891" s="227"/>
      <c r="BC5891" s="227"/>
      <c r="BD5891" s="227"/>
      <c r="BE5891" s="227"/>
      <c r="BF5891" s="227"/>
    </row>
    <row r="5892">
      <c r="A5892" s="227"/>
      <c r="B5892" s="348"/>
      <c r="C5892" s="227"/>
      <c r="D5892" s="227"/>
      <c r="E5892" s="231"/>
      <c r="F5892" s="348"/>
      <c r="G5892" s="227"/>
      <c r="H5892" s="227"/>
      <c r="I5892" s="227"/>
      <c r="J5892" s="227"/>
      <c r="K5892" s="227"/>
      <c r="L5892" s="348"/>
      <c r="M5892" s="348"/>
      <c r="N5892" s="227"/>
      <c r="O5892" s="227"/>
      <c r="P5892" s="231"/>
      <c r="Q5892" s="231"/>
      <c r="R5892" s="227"/>
      <c r="S5892" s="231"/>
      <c r="T5892" s="231"/>
      <c r="U5892" s="231"/>
      <c r="V5892" s="231"/>
      <c r="W5892" s="231"/>
      <c r="X5892" s="227"/>
      <c r="Y5892" s="348"/>
      <c r="Z5892" s="348"/>
      <c r="AA5892" s="348"/>
      <c r="AB5892" s="348"/>
      <c r="AC5892" s="227"/>
      <c r="AD5892" s="227"/>
      <c r="AE5892" s="231"/>
      <c r="AF5892" s="227"/>
      <c r="AG5892" s="348"/>
      <c r="AH5892" s="348"/>
      <c r="AI5892" s="348"/>
      <c r="AJ5892" s="348"/>
      <c r="AK5892" s="348"/>
      <c r="AL5892" s="348"/>
      <c r="AM5892" s="348"/>
      <c r="AN5892" s="348"/>
      <c r="AO5892" s="231"/>
      <c r="AP5892" s="231"/>
      <c r="AQ5892" s="227"/>
      <c r="AR5892" s="231"/>
      <c r="AS5892" s="227"/>
      <c r="AT5892" s="227"/>
      <c r="AU5892" s="227"/>
      <c r="AV5892" s="227"/>
      <c r="AW5892" s="227"/>
      <c r="AX5892" s="227"/>
      <c r="AY5892" s="227"/>
      <c r="AZ5892" s="227"/>
      <c r="BA5892" s="227"/>
      <c r="BB5892" s="227"/>
      <c r="BC5892" s="227"/>
      <c r="BD5892" s="227"/>
      <c r="BE5892" s="227"/>
      <c r="BF5892" s="227"/>
    </row>
    <row r="5893">
      <c r="A5893" s="227"/>
      <c r="B5893" s="348"/>
      <c r="C5893" s="227"/>
      <c r="D5893" s="227"/>
      <c r="E5893" s="231"/>
      <c r="F5893" s="348"/>
      <c r="G5893" s="227"/>
      <c r="H5893" s="227"/>
      <c r="I5893" s="227"/>
      <c r="J5893" s="227"/>
      <c r="K5893" s="227"/>
      <c r="L5893" s="348"/>
      <c r="M5893" s="348"/>
      <c r="N5893" s="227"/>
      <c r="O5893" s="227"/>
      <c r="P5893" s="231"/>
      <c r="Q5893" s="231"/>
      <c r="R5893" s="227"/>
      <c r="S5893" s="231"/>
      <c r="T5893" s="231"/>
      <c r="U5893" s="231"/>
      <c r="V5893" s="231"/>
      <c r="W5893" s="231"/>
      <c r="X5893" s="227"/>
      <c r="Y5893" s="348"/>
      <c r="Z5893" s="348"/>
      <c r="AA5893" s="348"/>
      <c r="AB5893" s="348"/>
      <c r="AC5893" s="227"/>
      <c r="AD5893" s="227"/>
      <c r="AE5893" s="231"/>
      <c r="AF5893" s="227"/>
      <c r="AG5893" s="348"/>
      <c r="AH5893" s="348"/>
      <c r="AI5893" s="348"/>
      <c r="AJ5893" s="348"/>
      <c r="AK5893" s="348"/>
      <c r="AL5893" s="348"/>
      <c r="AM5893" s="348"/>
      <c r="AN5893" s="348"/>
      <c r="AO5893" s="231"/>
      <c r="AP5893" s="231"/>
      <c r="AQ5893" s="227"/>
      <c r="AR5893" s="231"/>
      <c r="AS5893" s="227"/>
      <c r="AT5893" s="227"/>
      <c r="AU5893" s="227"/>
      <c r="AV5893" s="227"/>
      <c r="AW5893" s="227"/>
      <c r="AX5893" s="227"/>
      <c r="AY5893" s="227"/>
      <c r="AZ5893" s="227"/>
      <c r="BA5893" s="227"/>
      <c r="BB5893" s="227"/>
      <c r="BC5893" s="227"/>
      <c r="BD5893" s="227"/>
      <c r="BE5893" s="227"/>
      <c r="BF5893" s="227"/>
    </row>
    <row r="5894">
      <c r="A5894" s="227"/>
      <c r="B5894" s="348"/>
      <c r="C5894" s="227"/>
      <c r="D5894" s="227"/>
      <c r="E5894" s="231"/>
      <c r="F5894" s="348"/>
      <c r="G5894" s="227"/>
      <c r="H5894" s="227"/>
      <c r="I5894" s="227"/>
      <c r="J5894" s="227"/>
      <c r="K5894" s="227"/>
      <c r="L5894" s="348"/>
      <c r="M5894" s="348"/>
      <c r="N5894" s="227"/>
      <c r="O5894" s="227"/>
      <c r="P5894" s="231"/>
      <c r="Q5894" s="231"/>
      <c r="R5894" s="227"/>
      <c r="S5894" s="231"/>
      <c r="T5894" s="231"/>
      <c r="U5894" s="231"/>
      <c r="V5894" s="231"/>
      <c r="W5894" s="231"/>
      <c r="X5894" s="227"/>
      <c r="Y5894" s="348"/>
      <c r="Z5894" s="348"/>
      <c r="AA5894" s="348"/>
      <c r="AB5894" s="348"/>
      <c r="AC5894" s="227"/>
      <c r="AD5894" s="227"/>
      <c r="AE5894" s="231"/>
      <c r="AF5894" s="227"/>
      <c r="AG5894" s="348"/>
      <c r="AH5894" s="348"/>
      <c r="AI5894" s="348"/>
      <c r="AJ5894" s="348"/>
      <c r="AK5894" s="348"/>
      <c r="AL5894" s="348"/>
      <c r="AM5894" s="348"/>
      <c r="AN5894" s="348"/>
      <c r="AO5894" s="231"/>
      <c r="AP5894" s="231"/>
      <c r="AQ5894" s="227"/>
      <c r="AR5894" s="231"/>
      <c r="AS5894" s="227"/>
      <c r="AT5894" s="227"/>
      <c r="AU5894" s="227"/>
      <c r="AV5894" s="227"/>
      <c r="AW5894" s="227"/>
      <c r="AX5894" s="227"/>
      <c r="AY5894" s="227"/>
      <c r="AZ5894" s="227"/>
      <c r="BA5894" s="227"/>
      <c r="BB5894" s="227"/>
      <c r="BC5894" s="227"/>
      <c r="BD5894" s="227"/>
      <c r="BE5894" s="227"/>
      <c r="BF5894" s="227"/>
    </row>
    <row r="5895">
      <c r="A5895" s="227"/>
      <c r="B5895" s="348"/>
      <c r="C5895" s="227"/>
      <c r="D5895" s="227"/>
      <c r="E5895" s="231"/>
      <c r="F5895" s="348"/>
      <c r="G5895" s="227"/>
      <c r="H5895" s="227"/>
      <c r="I5895" s="227"/>
      <c r="J5895" s="227"/>
      <c r="K5895" s="227"/>
      <c r="L5895" s="348"/>
      <c r="M5895" s="348"/>
      <c r="N5895" s="227"/>
      <c r="O5895" s="227"/>
      <c r="P5895" s="231"/>
      <c r="Q5895" s="231"/>
      <c r="R5895" s="227"/>
      <c r="S5895" s="231"/>
      <c r="T5895" s="231"/>
      <c r="U5895" s="231"/>
      <c r="V5895" s="231"/>
      <c r="W5895" s="231"/>
      <c r="X5895" s="227"/>
      <c r="Y5895" s="348"/>
      <c r="Z5895" s="348"/>
      <c r="AA5895" s="348"/>
      <c r="AB5895" s="348"/>
      <c r="AC5895" s="227"/>
      <c r="AD5895" s="227"/>
      <c r="AE5895" s="231"/>
      <c r="AF5895" s="227"/>
      <c r="AG5895" s="348"/>
      <c r="AH5895" s="348"/>
      <c r="AI5895" s="348"/>
      <c r="AJ5895" s="348"/>
      <c r="AK5895" s="348"/>
      <c r="AL5895" s="348"/>
      <c r="AM5895" s="348"/>
      <c r="AN5895" s="348"/>
      <c r="AO5895" s="231"/>
      <c r="AP5895" s="231"/>
      <c r="AQ5895" s="227"/>
      <c r="AR5895" s="231"/>
      <c r="AS5895" s="227"/>
      <c r="AT5895" s="227"/>
      <c r="AU5895" s="227"/>
      <c r="AV5895" s="227"/>
      <c r="AW5895" s="227"/>
      <c r="AX5895" s="227"/>
      <c r="AY5895" s="227"/>
      <c r="AZ5895" s="227"/>
      <c r="BA5895" s="227"/>
      <c r="BB5895" s="227"/>
      <c r="BC5895" s="227"/>
      <c r="BD5895" s="227"/>
      <c r="BE5895" s="227"/>
      <c r="BF5895" s="227"/>
    </row>
    <row r="5896">
      <c r="A5896" s="227"/>
      <c r="B5896" s="348"/>
      <c r="C5896" s="227"/>
      <c r="D5896" s="227"/>
      <c r="E5896" s="231"/>
      <c r="F5896" s="348"/>
      <c r="G5896" s="227"/>
      <c r="H5896" s="227"/>
      <c r="I5896" s="227"/>
      <c r="J5896" s="227"/>
      <c r="K5896" s="227"/>
      <c r="L5896" s="348"/>
      <c r="M5896" s="348"/>
      <c r="N5896" s="227"/>
      <c r="O5896" s="227"/>
      <c r="P5896" s="231"/>
      <c r="Q5896" s="231"/>
      <c r="R5896" s="227"/>
      <c r="S5896" s="231"/>
      <c r="T5896" s="231"/>
      <c r="U5896" s="231"/>
      <c r="V5896" s="231"/>
      <c r="W5896" s="231"/>
      <c r="X5896" s="227"/>
      <c r="Y5896" s="348"/>
      <c r="Z5896" s="348"/>
      <c r="AA5896" s="348"/>
      <c r="AB5896" s="348"/>
      <c r="AC5896" s="227"/>
      <c r="AD5896" s="227"/>
      <c r="AE5896" s="231"/>
      <c r="AF5896" s="227"/>
      <c r="AG5896" s="348"/>
      <c r="AH5896" s="348"/>
      <c r="AI5896" s="348"/>
      <c r="AJ5896" s="348"/>
      <c r="AK5896" s="348"/>
      <c r="AL5896" s="348"/>
      <c r="AM5896" s="348"/>
      <c r="AN5896" s="348"/>
      <c r="AO5896" s="231"/>
      <c r="AP5896" s="231"/>
      <c r="AQ5896" s="227"/>
      <c r="AR5896" s="231"/>
      <c r="AS5896" s="227"/>
      <c r="AT5896" s="227"/>
      <c r="AU5896" s="227"/>
      <c r="AV5896" s="227"/>
      <c r="AW5896" s="227"/>
      <c r="AX5896" s="227"/>
      <c r="AY5896" s="227"/>
      <c r="AZ5896" s="227"/>
      <c r="BA5896" s="227"/>
      <c r="BB5896" s="227"/>
      <c r="BC5896" s="227"/>
      <c r="BD5896" s="227"/>
      <c r="BE5896" s="227"/>
      <c r="BF5896" s="227"/>
    </row>
    <row r="5897">
      <c r="A5897" s="227"/>
      <c r="B5897" s="348"/>
      <c r="C5897" s="227"/>
      <c r="D5897" s="227"/>
      <c r="E5897" s="231"/>
      <c r="F5897" s="348"/>
      <c r="G5897" s="227"/>
      <c r="H5897" s="227"/>
      <c r="I5897" s="227"/>
      <c r="J5897" s="227"/>
      <c r="K5897" s="227"/>
      <c r="L5897" s="348"/>
      <c r="M5897" s="348"/>
      <c r="N5897" s="227"/>
      <c r="O5897" s="227"/>
      <c r="P5897" s="231"/>
      <c r="Q5897" s="231"/>
      <c r="R5897" s="227"/>
      <c r="S5897" s="231"/>
      <c r="T5897" s="231"/>
      <c r="U5897" s="231"/>
      <c r="V5897" s="231"/>
      <c r="W5897" s="231"/>
      <c r="X5897" s="227"/>
      <c r="Y5897" s="348"/>
      <c r="Z5897" s="348"/>
      <c r="AA5897" s="348"/>
      <c r="AB5897" s="348"/>
      <c r="AC5897" s="227"/>
      <c r="AD5897" s="227"/>
      <c r="AE5897" s="231"/>
      <c r="AF5897" s="227"/>
      <c r="AG5897" s="348"/>
      <c r="AH5897" s="348"/>
      <c r="AI5897" s="348"/>
      <c r="AJ5897" s="348"/>
      <c r="AK5897" s="348"/>
      <c r="AL5897" s="348"/>
      <c r="AM5897" s="348"/>
      <c r="AN5897" s="348"/>
      <c r="AO5897" s="231"/>
      <c r="AP5897" s="231"/>
      <c r="AQ5897" s="227"/>
      <c r="AR5897" s="231"/>
      <c r="AS5897" s="227"/>
      <c r="AT5897" s="227"/>
      <c r="AU5897" s="227"/>
      <c r="AV5897" s="227"/>
      <c r="AW5897" s="227"/>
      <c r="AX5897" s="227"/>
      <c r="AY5897" s="227"/>
      <c r="AZ5897" s="227"/>
      <c r="BA5897" s="227"/>
      <c r="BB5897" s="227"/>
      <c r="BC5897" s="227"/>
      <c r="BD5897" s="227"/>
      <c r="BE5897" s="227"/>
      <c r="BF5897" s="227"/>
    </row>
    <row r="5898">
      <c r="A5898" s="227"/>
      <c r="B5898" s="348"/>
      <c r="C5898" s="227"/>
      <c r="D5898" s="227"/>
      <c r="E5898" s="231"/>
      <c r="F5898" s="348"/>
      <c r="G5898" s="227"/>
      <c r="H5898" s="227"/>
      <c r="I5898" s="227"/>
      <c r="J5898" s="227"/>
      <c r="K5898" s="227"/>
      <c r="L5898" s="348"/>
      <c r="M5898" s="348"/>
      <c r="N5898" s="227"/>
      <c r="O5898" s="227"/>
      <c r="P5898" s="231"/>
      <c r="Q5898" s="231"/>
      <c r="R5898" s="227"/>
      <c r="S5898" s="231"/>
      <c r="T5898" s="231"/>
      <c r="U5898" s="231"/>
      <c r="V5898" s="231"/>
      <c r="W5898" s="231"/>
      <c r="X5898" s="227"/>
      <c r="Y5898" s="348"/>
      <c r="Z5898" s="348"/>
      <c r="AA5898" s="348"/>
      <c r="AB5898" s="348"/>
      <c r="AC5898" s="227"/>
      <c r="AD5898" s="227"/>
      <c r="AE5898" s="231"/>
      <c r="AF5898" s="227"/>
      <c r="AG5898" s="348"/>
      <c r="AH5898" s="348"/>
      <c r="AI5898" s="348"/>
      <c r="AJ5898" s="348"/>
      <c r="AK5898" s="348"/>
      <c r="AL5898" s="348"/>
      <c r="AM5898" s="348"/>
      <c r="AN5898" s="348"/>
      <c r="AO5898" s="231"/>
      <c r="AP5898" s="231"/>
      <c r="AQ5898" s="227"/>
      <c r="AR5898" s="231"/>
      <c r="AS5898" s="227"/>
      <c r="AT5898" s="227"/>
      <c r="AU5898" s="227"/>
      <c r="AV5898" s="227"/>
      <c r="AW5898" s="227"/>
      <c r="AX5898" s="227"/>
      <c r="AY5898" s="227"/>
      <c r="AZ5898" s="227"/>
      <c r="BA5898" s="227"/>
      <c r="BB5898" s="227"/>
      <c r="BC5898" s="227"/>
      <c r="BD5898" s="227"/>
      <c r="BE5898" s="227"/>
      <c r="BF5898" s="227"/>
    </row>
    <row r="5899">
      <c r="A5899" s="227"/>
      <c r="B5899" s="348"/>
      <c r="C5899" s="227"/>
      <c r="D5899" s="227"/>
      <c r="E5899" s="231"/>
      <c r="F5899" s="348"/>
      <c r="G5899" s="227"/>
      <c r="H5899" s="227"/>
      <c r="I5899" s="227"/>
      <c r="J5899" s="227"/>
      <c r="K5899" s="227"/>
      <c r="L5899" s="348"/>
      <c r="M5899" s="348"/>
      <c r="N5899" s="227"/>
      <c r="O5899" s="227"/>
      <c r="P5899" s="231"/>
      <c r="Q5899" s="231"/>
      <c r="R5899" s="227"/>
      <c r="S5899" s="231"/>
      <c r="T5899" s="231"/>
      <c r="U5899" s="231"/>
      <c r="V5899" s="231"/>
      <c r="W5899" s="231"/>
      <c r="X5899" s="227"/>
      <c r="Y5899" s="348"/>
      <c r="Z5899" s="348"/>
      <c r="AA5899" s="348"/>
      <c r="AB5899" s="348"/>
      <c r="AC5899" s="227"/>
      <c r="AD5899" s="227"/>
      <c r="AE5899" s="231"/>
      <c r="AF5899" s="227"/>
      <c r="AG5899" s="348"/>
      <c r="AH5899" s="348"/>
      <c r="AI5899" s="348"/>
      <c r="AJ5899" s="348"/>
      <c r="AK5899" s="348"/>
      <c r="AL5899" s="348"/>
      <c r="AM5899" s="348"/>
      <c r="AN5899" s="348"/>
      <c r="AO5899" s="231"/>
      <c r="AP5899" s="231"/>
      <c r="AQ5899" s="227"/>
      <c r="AR5899" s="231"/>
      <c r="AS5899" s="227"/>
      <c r="AT5899" s="227"/>
      <c r="AU5899" s="227"/>
      <c r="AV5899" s="227"/>
      <c r="AW5899" s="227"/>
      <c r="AX5899" s="227"/>
      <c r="AY5899" s="227"/>
      <c r="AZ5899" s="227"/>
      <c r="BA5899" s="227"/>
      <c r="BB5899" s="227"/>
      <c r="BC5899" s="227"/>
      <c r="BD5899" s="227"/>
      <c r="BE5899" s="227"/>
      <c r="BF5899" s="227"/>
    </row>
    <row r="5900">
      <c r="A5900" s="227"/>
      <c r="B5900" s="348"/>
      <c r="C5900" s="227"/>
      <c r="D5900" s="227"/>
      <c r="E5900" s="231"/>
      <c r="F5900" s="348"/>
      <c r="G5900" s="227"/>
      <c r="H5900" s="227"/>
      <c r="I5900" s="227"/>
      <c r="J5900" s="227"/>
      <c r="K5900" s="227"/>
      <c r="L5900" s="348"/>
      <c r="M5900" s="348"/>
      <c r="N5900" s="227"/>
      <c r="O5900" s="227"/>
      <c r="P5900" s="231"/>
      <c r="Q5900" s="231"/>
      <c r="R5900" s="227"/>
      <c r="S5900" s="231"/>
      <c r="T5900" s="231"/>
      <c r="U5900" s="231"/>
      <c r="V5900" s="231"/>
      <c r="W5900" s="231"/>
      <c r="X5900" s="227"/>
      <c r="Y5900" s="348"/>
      <c r="Z5900" s="348"/>
      <c r="AA5900" s="348"/>
      <c r="AB5900" s="348"/>
      <c r="AC5900" s="227"/>
      <c r="AD5900" s="227"/>
      <c r="AE5900" s="231"/>
      <c r="AF5900" s="227"/>
      <c r="AG5900" s="348"/>
      <c r="AH5900" s="348"/>
      <c r="AI5900" s="348"/>
      <c r="AJ5900" s="348"/>
      <c r="AK5900" s="348"/>
      <c r="AL5900" s="348"/>
      <c r="AM5900" s="348"/>
      <c r="AN5900" s="348"/>
      <c r="AO5900" s="231"/>
      <c r="AP5900" s="231"/>
      <c r="AQ5900" s="227"/>
      <c r="AR5900" s="231"/>
      <c r="AS5900" s="227"/>
      <c r="AT5900" s="227"/>
      <c r="AU5900" s="227"/>
      <c r="AV5900" s="227"/>
      <c r="AW5900" s="227"/>
      <c r="AX5900" s="227"/>
      <c r="AY5900" s="227"/>
      <c r="AZ5900" s="227"/>
      <c r="BA5900" s="227"/>
      <c r="BB5900" s="227"/>
      <c r="BC5900" s="227"/>
      <c r="BD5900" s="227"/>
      <c r="BE5900" s="227"/>
      <c r="BF5900" s="227"/>
    </row>
    <row r="5901">
      <c r="A5901" s="227"/>
      <c r="B5901" s="348"/>
      <c r="C5901" s="227"/>
      <c r="D5901" s="227"/>
      <c r="E5901" s="231"/>
      <c r="F5901" s="348"/>
      <c r="G5901" s="227"/>
      <c r="H5901" s="227"/>
      <c r="I5901" s="227"/>
      <c r="J5901" s="227"/>
      <c r="K5901" s="227"/>
      <c r="L5901" s="348"/>
      <c r="M5901" s="348"/>
      <c r="N5901" s="227"/>
      <c r="O5901" s="227"/>
      <c r="P5901" s="231"/>
      <c r="Q5901" s="231"/>
      <c r="R5901" s="227"/>
      <c r="S5901" s="231"/>
      <c r="T5901" s="231"/>
      <c r="U5901" s="231"/>
      <c r="V5901" s="231"/>
      <c r="W5901" s="231"/>
      <c r="X5901" s="227"/>
      <c r="Y5901" s="348"/>
      <c r="Z5901" s="348"/>
      <c r="AA5901" s="348"/>
      <c r="AB5901" s="348"/>
      <c r="AC5901" s="227"/>
      <c r="AD5901" s="227"/>
      <c r="AE5901" s="231"/>
      <c r="AF5901" s="227"/>
      <c r="AG5901" s="348"/>
      <c r="AH5901" s="348"/>
      <c r="AI5901" s="348"/>
      <c r="AJ5901" s="348"/>
      <c r="AK5901" s="348"/>
      <c r="AL5901" s="348"/>
      <c r="AM5901" s="348"/>
      <c r="AN5901" s="348"/>
      <c r="AO5901" s="231"/>
      <c r="AP5901" s="231"/>
      <c r="AQ5901" s="227"/>
      <c r="AR5901" s="231"/>
      <c r="AS5901" s="227"/>
      <c r="AT5901" s="227"/>
      <c r="AU5901" s="227"/>
      <c r="AV5901" s="227"/>
      <c r="AW5901" s="227"/>
      <c r="AX5901" s="227"/>
      <c r="AY5901" s="227"/>
      <c r="AZ5901" s="227"/>
      <c r="BA5901" s="227"/>
      <c r="BB5901" s="227"/>
      <c r="BC5901" s="227"/>
      <c r="BD5901" s="227"/>
      <c r="BE5901" s="227"/>
      <c r="BF5901" s="227"/>
    </row>
    <row r="5902">
      <c r="A5902" s="227"/>
      <c r="B5902" s="348"/>
      <c r="C5902" s="227"/>
      <c r="D5902" s="227"/>
      <c r="E5902" s="231"/>
      <c r="F5902" s="348"/>
      <c r="G5902" s="227"/>
      <c r="H5902" s="227"/>
      <c r="I5902" s="227"/>
      <c r="J5902" s="227"/>
      <c r="K5902" s="227"/>
      <c r="L5902" s="348"/>
      <c r="M5902" s="348"/>
      <c r="N5902" s="227"/>
      <c r="O5902" s="227"/>
      <c r="P5902" s="231"/>
      <c r="Q5902" s="231"/>
      <c r="R5902" s="227"/>
      <c r="S5902" s="231"/>
      <c r="T5902" s="231"/>
      <c r="U5902" s="231"/>
      <c r="V5902" s="231"/>
      <c r="W5902" s="231"/>
      <c r="X5902" s="227"/>
      <c r="Y5902" s="348"/>
      <c r="Z5902" s="348"/>
      <c r="AA5902" s="348"/>
      <c r="AB5902" s="348"/>
      <c r="AC5902" s="227"/>
      <c r="AD5902" s="227"/>
      <c r="AE5902" s="231"/>
      <c r="AF5902" s="227"/>
      <c r="AG5902" s="348"/>
      <c r="AH5902" s="348"/>
      <c r="AI5902" s="348"/>
      <c r="AJ5902" s="348"/>
      <c r="AK5902" s="348"/>
      <c r="AL5902" s="348"/>
      <c r="AM5902" s="348"/>
      <c r="AN5902" s="348"/>
      <c r="AO5902" s="231"/>
      <c r="AP5902" s="231"/>
      <c r="AQ5902" s="227"/>
      <c r="AR5902" s="231"/>
      <c r="AS5902" s="227"/>
      <c r="AT5902" s="227"/>
      <c r="AU5902" s="227"/>
      <c r="AV5902" s="227"/>
      <c r="AW5902" s="227"/>
      <c r="AX5902" s="227"/>
      <c r="AY5902" s="227"/>
      <c r="AZ5902" s="227"/>
      <c r="BA5902" s="227"/>
      <c r="BB5902" s="227"/>
      <c r="BC5902" s="227"/>
      <c r="BD5902" s="227"/>
      <c r="BE5902" s="227"/>
      <c r="BF5902" s="227"/>
    </row>
    <row r="5903">
      <c r="A5903" s="227"/>
      <c r="B5903" s="348"/>
      <c r="C5903" s="227"/>
      <c r="D5903" s="227"/>
      <c r="E5903" s="231"/>
      <c r="F5903" s="348"/>
      <c r="G5903" s="227"/>
      <c r="H5903" s="227"/>
      <c r="I5903" s="227"/>
      <c r="J5903" s="227"/>
      <c r="K5903" s="227"/>
      <c r="L5903" s="348"/>
      <c r="M5903" s="348"/>
      <c r="N5903" s="227"/>
      <c r="O5903" s="227"/>
      <c r="P5903" s="231"/>
      <c r="Q5903" s="231"/>
      <c r="R5903" s="227"/>
      <c r="S5903" s="231"/>
      <c r="T5903" s="231"/>
      <c r="U5903" s="231"/>
      <c r="V5903" s="231"/>
      <c r="W5903" s="231"/>
      <c r="X5903" s="227"/>
      <c r="Y5903" s="348"/>
      <c r="Z5903" s="348"/>
      <c r="AA5903" s="348"/>
      <c r="AB5903" s="348"/>
      <c r="AC5903" s="227"/>
      <c r="AD5903" s="227"/>
      <c r="AE5903" s="231"/>
      <c r="AF5903" s="227"/>
      <c r="AG5903" s="348"/>
      <c r="AH5903" s="348"/>
      <c r="AI5903" s="348"/>
      <c r="AJ5903" s="348"/>
      <c r="AK5903" s="348"/>
      <c r="AL5903" s="348"/>
      <c r="AM5903" s="348"/>
      <c r="AN5903" s="348"/>
      <c r="AO5903" s="231"/>
      <c r="AP5903" s="231"/>
      <c r="AQ5903" s="227"/>
      <c r="AR5903" s="231"/>
      <c r="AS5903" s="227"/>
      <c r="AT5903" s="227"/>
      <c r="AU5903" s="227"/>
      <c r="AV5903" s="227"/>
      <c r="AW5903" s="227"/>
      <c r="AX5903" s="227"/>
      <c r="AY5903" s="227"/>
      <c r="AZ5903" s="227"/>
      <c r="BA5903" s="227"/>
      <c r="BB5903" s="227"/>
      <c r="BC5903" s="227"/>
      <c r="BD5903" s="227"/>
      <c r="BE5903" s="227"/>
      <c r="BF5903" s="227"/>
    </row>
    <row r="5904">
      <c r="A5904" s="227"/>
      <c r="B5904" s="348"/>
      <c r="C5904" s="227"/>
      <c r="D5904" s="227"/>
      <c r="E5904" s="231"/>
      <c r="F5904" s="348"/>
      <c r="G5904" s="227"/>
      <c r="H5904" s="227"/>
      <c r="I5904" s="227"/>
      <c r="J5904" s="227"/>
      <c r="K5904" s="227"/>
      <c r="L5904" s="348"/>
      <c r="M5904" s="348"/>
      <c r="N5904" s="227"/>
      <c r="O5904" s="227"/>
      <c r="P5904" s="231"/>
      <c r="Q5904" s="231"/>
      <c r="R5904" s="227"/>
      <c r="S5904" s="231"/>
      <c r="T5904" s="231"/>
      <c r="U5904" s="231"/>
      <c r="V5904" s="231"/>
      <c r="W5904" s="231"/>
      <c r="X5904" s="227"/>
      <c r="Y5904" s="348"/>
      <c r="Z5904" s="348"/>
      <c r="AA5904" s="348"/>
      <c r="AB5904" s="348"/>
      <c r="AC5904" s="227"/>
      <c r="AD5904" s="227"/>
      <c r="AE5904" s="231"/>
      <c r="AF5904" s="227"/>
      <c r="AG5904" s="348"/>
      <c r="AH5904" s="348"/>
      <c r="AI5904" s="348"/>
      <c r="AJ5904" s="348"/>
      <c r="AK5904" s="348"/>
      <c r="AL5904" s="348"/>
      <c r="AM5904" s="348"/>
      <c r="AN5904" s="348"/>
      <c r="AO5904" s="231"/>
      <c r="AP5904" s="231"/>
      <c r="AQ5904" s="227"/>
      <c r="AR5904" s="231"/>
      <c r="AS5904" s="227"/>
      <c r="AT5904" s="227"/>
      <c r="AU5904" s="227"/>
      <c r="AV5904" s="227"/>
      <c r="AW5904" s="227"/>
      <c r="AX5904" s="227"/>
      <c r="AY5904" s="227"/>
      <c r="AZ5904" s="227"/>
      <c r="BA5904" s="227"/>
      <c r="BB5904" s="227"/>
      <c r="BC5904" s="227"/>
      <c r="BD5904" s="227"/>
      <c r="BE5904" s="227"/>
      <c r="BF5904" s="227"/>
    </row>
    <row r="5905">
      <c r="A5905" s="227"/>
      <c r="B5905" s="348"/>
      <c r="C5905" s="227"/>
      <c r="D5905" s="227"/>
      <c r="E5905" s="231"/>
      <c r="F5905" s="348"/>
      <c r="G5905" s="227"/>
      <c r="H5905" s="227"/>
      <c r="I5905" s="227"/>
      <c r="J5905" s="227"/>
      <c r="K5905" s="227"/>
      <c r="L5905" s="348"/>
      <c r="M5905" s="348"/>
      <c r="N5905" s="227"/>
      <c r="O5905" s="227"/>
      <c r="P5905" s="231"/>
      <c r="Q5905" s="231"/>
      <c r="R5905" s="227"/>
      <c r="S5905" s="231"/>
      <c r="T5905" s="231"/>
      <c r="U5905" s="231"/>
      <c r="V5905" s="231"/>
      <c r="W5905" s="231"/>
      <c r="X5905" s="227"/>
      <c r="Y5905" s="348"/>
      <c r="Z5905" s="348"/>
      <c r="AA5905" s="348"/>
      <c r="AB5905" s="348"/>
      <c r="AC5905" s="227"/>
      <c r="AD5905" s="227"/>
      <c r="AE5905" s="231"/>
      <c r="AF5905" s="227"/>
      <c r="AG5905" s="348"/>
      <c r="AH5905" s="348"/>
      <c r="AI5905" s="348"/>
      <c r="AJ5905" s="348"/>
      <c r="AK5905" s="348"/>
      <c r="AL5905" s="348"/>
      <c r="AM5905" s="348"/>
      <c r="AN5905" s="348"/>
      <c r="AO5905" s="231"/>
      <c r="AP5905" s="231"/>
      <c r="AQ5905" s="227"/>
      <c r="AR5905" s="231"/>
      <c r="AS5905" s="227"/>
      <c r="AT5905" s="227"/>
      <c r="AU5905" s="227"/>
      <c r="AV5905" s="227"/>
      <c r="AW5905" s="227"/>
      <c r="AX5905" s="227"/>
      <c r="AY5905" s="227"/>
      <c r="AZ5905" s="227"/>
      <c r="BA5905" s="227"/>
      <c r="BB5905" s="227"/>
      <c r="BC5905" s="227"/>
      <c r="BD5905" s="227"/>
      <c r="BE5905" s="227"/>
      <c r="BF5905" s="227"/>
    </row>
    <row r="5906">
      <c r="A5906" s="227"/>
      <c r="B5906" s="348"/>
      <c r="C5906" s="227"/>
      <c r="D5906" s="227"/>
      <c r="E5906" s="231"/>
      <c r="F5906" s="348"/>
      <c r="G5906" s="227"/>
      <c r="H5906" s="227"/>
      <c r="I5906" s="227"/>
      <c r="J5906" s="227"/>
      <c r="K5906" s="227"/>
      <c r="L5906" s="348"/>
      <c r="M5906" s="348"/>
      <c r="N5906" s="227"/>
      <c r="O5906" s="227"/>
      <c r="P5906" s="231"/>
      <c r="Q5906" s="231"/>
      <c r="R5906" s="227"/>
      <c r="S5906" s="231"/>
      <c r="T5906" s="231"/>
      <c r="U5906" s="231"/>
      <c r="V5906" s="231"/>
      <c r="W5906" s="231"/>
      <c r="X5906" s="227"/>
      <c r="Y5906" s="348"/>
      <c r="Z5906" s="348"/>
      <c r="AA5906" s="348"/>
      <c r="AB5906" s="348"/>
      <c r="AC5906" s="227"/>
      <c r="AD5906" s="227"/>
      <c r="AE5906" s="231"/>
      <c r="AF5906" s="227"/>
      <c r="AG5906" s="348"/>
      <c r="AH5906" s="348"/>
      <c r="AI5906" s="348"/>
      <c r="AJ5906" s="348"/>
      <c r="AK5906" s="348"/>
      <c r="AL5906" s="348"/>
      <c r="AM5906" s="348"/>
      <c r="AN5906" s="348"/>
      <c r="AO5906" s="231"/>
      <c r="AP5906" s="231"/>
      <c r="AQ5906" s="227"/>
      <c r="AR5906" s="231"/>
      <c r="AS5906" s="227"/>
      <c r="AT5906" s="227"/>
      <c r="AU5906" s="227"/>
      <c r="AV5906" s="227"/>
      <c r="AW5906" s="227"/>
      <c r="AX5906" s="227"/>
      <c r="AY5906" s="227"/>
      <c r="AZ5906" s="227"/>
      <c r="BA5906" s="227"/>
      <c r="BB5906" s="227"/>
      <c r="BC5906" s="227"/>
      <c r="BD5906" s="227"/>
      <c r="BE5906" s="227"/>
      <c r="BF5906" s="227"/>
    </row>
    <row r="5907">
      <c r="A5907" s="227"/>
      <c r="B5907" s="348"/>
      <c r="C5907" s="227"/>
      <c r="D5907" s="227"/>
      <c r="E5907" s="231"/>
      <c r="F5907" s="348"/>
      <c r="G5907" s="227"/>
      <c r="H5907" s="227"/>
      <c r="I5907" s="227"/>
      <c r="J5907" s="227"/>
      <c r="K5907" s="227"/>
      <c r="L5907" s="348"/>
      <c r="M5907" s="348"/>
      <c r="N5907" s="227"/>
      <c r="O5907" s="227"/>
      <c r="P5907" s="231"/>
      <c r="Q5907" s="231"/>
      <c r="R5907" s="227"/>
      <c r="S5907" s="231"/>
      <c r="T5907" s="231"/>
      <c r="U5907" s="231"/>
      <c r="V5907" s="231"/>
      <c r="W5907" s="231"/>
      <c r="X5907" s="227"/>
      <c r="Y5907" s="348"/>
      <c r="Z5907" s="348"/>
      <c r="AA5907" s="348"/>
      <c r="AB5907" s="348"/>
      <c r="AC5907" s="227"/>
      <c r="AD5907" s="227"/>
      <c r="AE5907" s="231"/>
      <c r="AF5907" s="227"/>
      <c r="AG5907" s="348"/>
      <c r="AH5907" s="348"/>
      <c r="AI5907" s="348"/>
      <c r="AJ5907" s="348"/>
      <c r="AK5907" s="348"/>
      <c r="AL5907" s="348"/>
      <c r="AM5907" s="348"/>
      <c r="AN5907" s="348"/>
      <c r="AO5907" s="231"/>
      <c r="AP5907" s="231"/>
      <c r="AQ5907" s="227"/>
      <c r="AR5907" s="231"/>
      <c r="AS5907" s="227"/>
      <c r="AT5907" s="227"/>
      <c r="AU5907" s="227"/>
      <c r="AV5907" s="227"/>
      <c r="AW5907" s="227"/>
      <c r="AX5907" s="227"/>
      <c r="AY5907" s="227"/>
      <c r="AZ5907" s="227"/>
      <c r="BA5907" s="227"/>
      <c r="BB5907" s="227"/>
      <c r="BC5907" s="227"/>
      <c r="BD5907" s="227"/>
      <c r="BE5907" s="227"/>
      <c r="BF5907" s="227"/>
    </row>
    <row r="5908">
      <c r="A5908" s="227"/>
      <c r="B5908" s="348"/>
      <c r="C5908" s="227"/>
      <c r="D5908" s="227"/>
      <c r="E5908" s="231"/>
      <c r="F5908" s="348"/>
      <c r="G5908" s="227"/>
      <c r="H5908" s="227"/>
      <c r="I5908" s="227"/>
      <c r="J5908" s="227"/>
      <c r="K5908" s="227"/>
      <c r="L5908" s="348"/>
      <c r="M5908" s="348"/>
      <c r="N5908" s="227"/>
      <c r="O5908" s="227"/>
      <c r="P5908" s="231"/>
      <c r="Q5908" s="231"/>
      <c r="R5908" s="227"/>
      <c r="S5908" s="231"/>
      <c r="T5908" s="231"/>
      <c r="U5908" s="231"/>
      <c r="V5908" s="231"/>
      <c r="W5908" s="231"/>
      <c r="X5908" s="227"/>
      <c r="Y5908" s="348"/>
      <c r="Z5908" s="348"/>
      <c r="AA5908" s="348"/>
      <c r="AB5908" s="348"/>
      <c r="AC5908" s="227"/>
      <c r="AD5908" s="227"/>
      <c r="AE5908" s="231"/>
      <c r="AF5908" s="227"/>
      <c r="AG5908" s="348"/>
      <c r="AH5908" s="348"/>
      <c r="AI5908" s="348"/>
      <c r="AJ5908" s="348"/>
      <c r="AK5908" s="348"/>
      <c r="AL5908" s="348"/>
      <c r="AM5908" s="348"/>
      <c r="AN5908" s="348"/>
      <c r="AO5908" s="231"/>
      <c r="AP5908" s="231"/>
      <c r="AQ5908" s="227"/>
      <c r="AR5908" s="231"/>
      <c r="AS5908" s="227"/>
      <c r="AT5908" s="227"/>
      <c r="AU5908" s="227"/>
      <c r="AV5908" s="227"/>
      <c r="AW5908" s="227"/>
      <c r="AX5908" s="227"/>
      <c r="AY5908" s="227"/>
      <c r="AZ5908" s="227"/>
      <c r="BA5908" s="227"/>
      <c r="BB5908" s="227"/>
      <c r="BC5908" s="227"/>
      <c r="BD5908" s="227"/>
      <c r="BE5908" s="227"/>
      <c r="BF5908" s="227"/>
    </row>
    <row r="5909">
      <c r="A5909" s="227"/>
      <c r="B5909" s="348"/>
      <c r="C5909" s="227"/>
      <c r="D5909" s="227"/>
      <c r="E5909" s="231"/>
      <c r="F5909" s="348"/>
      <c r="G5909" s="227"/>
      <c r="H5909" s="227"/>
      <c r="I5909" s="227"/>
      <c r="J5909" s="227"/>
      <c r="K5909" s="227"/>
      <c r="L5909" s="348"/>
      <c r="M5909" s="348"/>
      <c r="N5909" s="227"/>
      <c r="O5909" s="227"/>
      <c r="P5909" s="231"/>
      <c r="Q5909" s="231"/>
      <c r="R5909" s="227"/>
      <c r="S5909" s="231"/>
      <c r="T5909" s="231"/>
      <c r="U5909" s="231"/>
      <c r="V5909" s="231"/>
      <c r="W5909" s="231"/>
      <c r="X5909" s="227"/>
      <c r="Y5909" s="348"/>
      <c r="Z5909" s="348"/>
      <c r="AA5909" s="348"/>
      <c r="AB5909" s="348"/>
      <c r="AC5909" s="227"/>
      <c r="AD5909" s="227"/>
      <c r="AE5909" s="231"/>
      <c r="AF5909" s="227"/>
      <c r="AG5909" s="348"/>
      <c r="AH5909" s="348"/>
      <c r="AI5909" s="348"/>
      <c r="AJ5909" s="348"/>
      <c r="AK5909" s="348"/>
      <c r="AL5909" s="348"/>
      <c r="AM5909" s="348"/>
      <c r="AN5909" s="348"/>
      <c r="AO5909" s="231"/>
      <c r="AP5909" s="231"/>
      <c r="AQ5909" s="227"/>
      <c r="AR5909" s="231"/>
      <c r="AS5909" s="227"/>
      <c r="AT5909" s="227"/>
      <c r="AU5909" s="227"/>
      <c r="AV5909" s="227"/>
      <c r="AW5909" s="227"/>
      <c r="AX5909" s="227"/>
      <c r="AY5909" s="227"/>
      <c r="AZ5909" s="227"/>
      <c r="BA5909" s="227"/>
      <c r="BB5909" s="227"/>
      <c r="BC5909" s="227"/>
      <c r="BD5909" s="227"/>
      <c r="BE5909" s="227"/>
      <c r="BF5909" s="227"/>
    </row>
    <row r="5910">
      <c r="A5910" s="227"/>
      <c r="B5910" s="348"/>
      <c r="C5910" s="227"/>
      <c r="D5910" s="227"/>
      <c r="E5910" s="231"/>
      <c r="F5910" s="348"/>
      <c r="G5910" s="227"/>
      <c r="H5910" s="227"/>
      <c r="I5910" s="227"/>
      <c r="J5910" s="227"/>
      <c r="K5910" s="227"/>
      <c r="L5910" s="348"/>
      <c r="M5910" s="348"/>
      <c r="N5910" s="227"/>
      <c r="O5910" s="227"/>
      <c r="P5910" s="231"/>
      <c r="Q5910" s="231"/>
      <c r="R5910" s="227"/>
      <c r="S5910" s="231"/>
      <c r="T5910" s="231"/>
      <c r="U5910" s="231"/>
      <c r="V5910" s="231"/>
      <c r="W5910" s="231"/>
      <c r="X5910" s="227"/>
      <c r="Y5910" s="348"/>
      <c r="Z5910" s="348"/>
      <c r="AA5910" s="348"/>
      <c r="AB5910" s="348"/>
      <c r="AC5910" s="227"/>
      <c r="AD5910" s="227"/>
      <c r="AE5910" s="231"/>
      <c r="AF5910" s="227"/>
      <c r="AG5910" s="348"/>
      <c r="AH5910" s="348"/>
      <c r="AI5910" s="348"/>
      <c r="AJ5910" s="348"/>
      <c r="AK5910" s="348"/>
      <c r="AL5910" s="348"/>
      <c r="AM5910" s="348"/>
      <c r="AN5910" s="348"/>
      <c r="AO5910" s="231"/>
      <c r="AP5910" s="231"/>
      <c r="AQ5910" s="227"/>
      <c r="AR5910" s="231"/>
      <c r="AS5910" s="227"/>
      <c r="AT5910" s="227"/>
      <c r="AU5910" s="227"/>
      <c r="AV5910" s="227"/>
      <c r="AW5910" s="227"/>
      <c r="AX5910" s="227"/>
      <c r="AY5910" s="227"/>
      <c r="AZ5910" s="227"/>
      <c r="BA5910" s="227"/>
      <c r="BB5910" s="227"/>
      <c r="BC5910" s="227"/>
      <c r="BD5910" s="227"/>
      <c r="BE5910" s="227"/>
      <c r="BF5910" s="227"/>
    </row>
    <row r="5911">
      <c r="A5911" s="227"/>
      <c r="B5911" s="348"/>
      <c r="C5911" s="227"/>
      <c r="D5911" s="227"/>
      <c r="E5911" s="231"/>
      <c r="F5911" s="348"/>
      <c r="G5911" s="227"/>
      <c r="H5911" s="227"/>
      <c r="I5911" s="227"/>
      <c r="J5911" s="227"/>
      <c r="K5911" s="227"/>
      <c r="L5911" s="348"/>
      <c r="M5911" s="348"/>
      <c r="N5911" s="227"/>
      <c r="O5911" s="227"/>
      <c r="P5911" s="231"/>
      <c r="Q5911" s="231"/>
      <c r="R5911" s="227"/>
      <c r="S5911" s="231"/>
      <c r="T5911" s="231"/>
      <c r="U5911" s="231"/>
      <c r="V5911" s="231"/>
      <c r="W5911" s="231"/>
      <c r="X5911" s="227"/>
      <c r="Y5911" s="348"/>
      <c r="Z5911" s="348"/>
      <c r="AA5911" s="348"/>
      <c r="AB5911" s="348"/>
      <c r="AC5911" s="227"/>
      <c r="AD5911" s="227"/>
      <c r="AE5911" s="231"/>
      <c r="AF5911" s="227"/>
      <c r="AG5911" s="348"/>
      <c r="AH5911" s="348"/>
      <c r="AI5911" s="348"/>
      <c r="AJ5911" s="348"/>
      <c r="AK5911" s="348"/>
      <c r="AL5911" s="348"/>
      <c r="AM5911" s="348"/>
      <c r="AN5911" s="348"/>
      <c r="AO5911" s="231"/>
      <c r="AP5911" s="231"/>
      <c r="AQ5911" s="227"/>
      <c r="AR5911" s="231"/>
      <c r="AS5911" s="227"/>
      <c r="AT5911" s="227"/>
      <c r="AU5911" s="227"/>
      <c r="AV5911" s="227"/>
      <c r="AW5911" s="227"/>
      <c r="AX5911" s="227"/>
      <c r="AY5911" s="227"/>
      <c r="AZ5911" s="227"/>
      <c r="BA5911" s="227"/>
      <c r="BB5911" s="227"/>
      <c r="BC5911" s="227"/>
      <c r="BD5911" s="227"/>
      <c r="BE5911" s="227"/>
      <c r="BF5911" s="227"/>
    </row>
    <row r="5912">
      <c r="A5912" s="227"/>
      <c r="B5912" s="348"/>
      <c r="C5912" s="227"/>
      <c r="D5912" s="227"/>
      <c r="E5912" s="231"/>
      <c r="F5912" s="348"/>
      <c r="G5912" s="227"/>
      <c r="H5912" s="227"/>
      <c r="I5912" s="227"/>
      <c r="J5912" s="227"/>
      <c r="K5912" s="227"/>
      <c r="L5912" s="348"/>
      <c r="M5912" s="348"/>
      <c r="N5912" s="227"/>
      <c r="O5912" s="227"/>
      <c r="P5912" s="231"/>
      <c r="Q5912" s="231"/>
      <c r="R5912" s="227"/>
      <c r="S5912" s="231"/>
      <c r="T5912" s="231"/>
      <c r="U5912" s="231"/>
      <c r="V5912" s="231"/>
      <c r="W5912" s="231"/>
      <c r="X5912" s="227"/>
      <c r="Y5912" s="348"/>
      <c r="Z5912" s="348"/>
      <c r="AA5912" s="348"/>
      <c r="AB5912" s="348"/>
      <c r="AC5912" s="227"/>
      <c r="AD5912" s="227"/>
      <c r="AE5912" s="231"/>
      <c r="AF5912" s="227"/>
      <c r="AG5912" s="348"/>
      <c r="AH5912" s="348"/>
      <c r="AI5912" s="348"/>
      <c r="AJ5912" s="348"/>
      <c r="AK5912" s="348"/>
      <c r="AL5912" s="348"/>
      <c r="AM5912" s="348"/>
      <c r="AN5912" s="348"/>
      <c r="AO5912" s="231"/>
      <c r="AP5912" s="231"/>
      <c r="AQ5912" s="227"/>
      <c r="AR5912" s="231"/>
      <c r="AS5912" s="227"/>
      <c r="AT5912" s="227"/>
      <c r="AU5912" s="227"/>
      <c r="AV5912" s="227"/>
      <c r="AW5912" s="227"/>
      <c r="AX5912" s="227"/>
      <c r="AY5912" s="227"/>
      <c r="AZ5912" s="227"/>
      <c r="BA5912" s="227"/>
      <c r="BB5912" s="227"/>
      <c r="BC5912" s="227"/>
      <c r="BD5912" s="227"/>
      <c r="BE5912" s="227"/>
      <c r="BF5912" s="227"/>
    </row>
    <row r="5913">
      <c r="A5913" s="227"/>
      <c r="B5913" s="348"/>
      <c r="C5913" s="227"/>
      <c r="D5913" s="227"/>
      <c r="E5913" s="231"/>
      <c r="F5913" s="348"/>
      <c r="G5913" s="227"/>
      <c r="H5913" s="227"/>
      <c r="I5913" s="227"/>
      <c r="J5913" s="227"/>
      <c r="K5913" s="227"/>
      <c r="L5913" s="348"/>
      <c r="M5913" s="348"/>
      <c r="N5913" s="227"/>
      <c r="O5913" s="227"/>
      <c r="P5913" s="231"/>
      <c r="Q5913" s="231"/>
      <c r="R5913" s="227"/>
      <c r="S5913" s="231"/>
      <c r="T5913" s="231"/>
      <c r="U5913" s="231"/>
      <c r="V5913" s="231"/>
      <c r="W5913" s="231"/>
      <c r="X5913" s="227"/>
      <c r="Y5913" s="348"/>
      <c r="Z5913" s="348"/>
      <c r="AA5913" s="348"/>
      <c r="AB5913" s="348"/>
      <c r="AC5913" s="227"/>
      <c r="AD5913" s="227"/>
      <c r="AE5913" s="231"/>
      <c r="AF5913" s="227"/>
      <c r="AG5913" s="348"/>
      <c r="AH5913" s="348"/>
      <c r="AI5913" s="348"/>
      <c r="AJ5913" s="348"/>
      <c r="AK5913" s="348"/>
      <c r="AL5913" s="348"/>
      <c r="AM5913" s="348"/>
      <c r="AN5913" s="348"/>
      <c r="AO5913" s="231"/>
      <c r="AP5913" s="231"/>
      <c r="AQ5913" s="227"/>
      <c r="AR5913" s="231"/>
      <c r="AS5913" s="227"/>
      <c r="AT5913" s="227"/>
      <c r="AU5913" s="227"/>
      <c r="AV5913" s="227"/>
      <c r="AW5913" s="227"/>
      <c r="AX5913" s="227"/>
      <c r="AY5913" s="227"/>
      <c r="AZ5913" s="227"/>
      <c r="BA5913" s="227"/>
      <c r="BB5913" s="227"/>
      <c r="BC5913" s="227"/>
      <c r="BD5913" s="227"/>
      <c r="BE5913" s="227"/>
      <c r="BF5913" s="227"/>
    </row>
    <row r="5914">
      <c r="A5914" s="227"/>
      <c r="B5914" s="348"/>
      <c r="C5914" s="227"/>
      <c r="D5914" s="227"/>
      <c r="E5914" s="231"/>
      <c r="F5914" s="348"/>
      <c r="G5914" s="227"/>
      <c r="H5914" s="227"/>
      <c r="I5914" s="227"/>
      <c r="J5914" s="227"/>
      <c r="K5914" s="227"/>
      <c r="L5914" s="348"/>
      <c r="M5914" s="348"/>
      <c r="N5914" s="227"/>
      <c r="O5914" s="227"/>
      <c r="P5914" s="231"/>
      <c r="Q5914" s="231"/>
      <c r="R5914" s="227"/>
      <c r="S5914" s="231"/>
      <c r="T5914" s="231"/>
      <c r="U5914" s="231"/>
      <c r="V5914" s="231"/>
      <c r="W5914" s="231"/>
      <c r="X5914" s="227"/>
      <c r="Y5914" s="348"/>
      <c r="Z5914" s="348"/>
      <c r="AA5914" s="348"/>
      <c r="AB5914" s="348"/>
      <c r="AC5914" s="227"/>
      <c r="AD5914" s="227"/>
      <c r="AE5914" s="231"/>
      <c r="AF5914" s="227"/>
      <c r="AG5914" s="348"/>
      <c r="AH5914" s="348"/>
      <c r="AI5914" s="348"/>
      <c r="AJ5914" s="348"/>
      <c r="AK5914" s="348"/>
      <c r="AL5914" s="348"/>
      <c r="AM5914" s="348"/>
      <c r="AN5914" s="348"/>
      <c r="AO5914" s="231"/>
      <c r="AP5914" s="231"/>
      <c r="AQ5914" s="227"/>
      <c r="AR5914" s="231"/>
      <c r="AS5914" s="227"/>
      <c r="AT5914" s="227"/>
      <c r="AU5914" s="227"/>
      <c r="AV5914" s="227"/>
      <c r="AW5914" s="227"/>
      <c r="AX5914" s="227"/>
      <c r="AY5914" s="227"/>
      <c r="AZ5914" s="227"/>
      <c r="BA5914" s="227"/>
      <c r="BB5914" s="227"/>
      <c r="BC5914" s="227"/>
      <c r="BD5914" s="227"/>
      <c r="BE5914" s="227"/>
      <c r="BF5914" s="227"/>
    </row>
    <row r="5915">
      <c r="A5915" s="227"/>
      <c r="B5915" s="348"/>
      <c r="C5915" s="227"/>
      <c r="D5915" s="227"/>
      <c r="E5915" s="231"/>
      <c r="F5915" s="348"/>
      <c r="G5915" s="227"/>
      <c r="H5915" s="227"/>
      <c r="I5915" s="227"/>
      <c r="J5915" s="227"/>
      <c r="K5915" s="227"/>
      <c r="L5915" s="348"/>
      <c r="M5915" s="348"/>
      <c r="N5915" s="227"/>
      <c r="O5915" s="227"/>
      <c r="P5915" s="231"/>
      <c r="Q5915" s="231"/>
      <c r="R5915" s="227"/>
      <c r="S5915" s="231"/>
      <c r="T5915" s="231"/>
      <c r="U5915" s="231"/>
      <c r="V5915" s="231"/>
      <c r="W5915" s="231"/>
      <c r="X5915" s="227"/>
      <c r="Y5915" s="348"/>
      <c r="Z5915" s="348"/>
      <c r="AA5915" s="348"/>
      <c r="AB5915" s="348"/>
      <c r="AC5915" s="227"/>
      <c r="AD5915" s="227"/>
      <c r="AE5915" s="231"/>
      <c r="AF5915" s="227"/>
      <c r="AG5915" s="348"/>
      <c r="AH5915" s="348"/>
      <c r="AI5915" s="348"/>
      <c r="AJ5915" s="348"/>
      <c r="AK5915" s="348"/>
      <c r="AL5915" s="348"/>
      <c r="AM5915" s="348"/>
      <c r="AN5915" s="348"/>
      <c r="AO5915" s="231"/>
      <c r="AP5915" s="231"/>
      <c r="AQ5915" s="227"/>
      <c r="AR5915" s="231"/>
      <c r="AS5915" s="227"/>
      <c r="AT5915" s="227"/>
      <c r="AU5915" s="227"/>
      <c r="AV5915" s="227"/>
      <c r="AW5915" s="227"/>
      <c r="AX5915" s="227"/>
      <c r="AY5915" s="227"/>
      <c r="AZ5915" s="227"/>
      <c r="BA5915" s="227"/>
      <c r="BB5915" s="227"/>
      <c r="BC5915" s="227"/>
      <c r="BD5915" s="227"/>
      <c r="BE5915" s="227"/>
      <c r="BF5915" s="227"/>
    </row>
    <row r="5916">
      <c r="A5916" s="227"/>
      <c r="B5916" s="348"/>
      <c r="C5916" s="227"/>
      <c r="D5916" s="227"/>
      <c r="E5916" s="231"/>
      <c r="F5916" s="348"/>
      <c r="G5916" s="227"/>
      <c r="H5916" s="227"/>
      <c r="I5916" s="227"/>
      <c r="J5916" s="227"/>
      <c r="K5916" s="227"/>
      <c r="L5916" s="348"/>
      <c r="M5916" s="348"/>
      <c r="N5916" s="227"/>
      <c r="O5916" s="227"/>
      <c r="P5916" s="231"/>
      <c r="Q5916" s="231"/>
      <c r="R5916" s="227"/>
      <c r="S5916" s="231"/>
      <c r="T5916" s="231"/>
      <c r="U5916" s="231"/>
      <c r="V5916" s="231"/>
      <c r="W5916" s="231"/>
      <c r="X5916" s="227"/>
      <c r="Y5916" s="348"/>
      <c r="Z5916" s="348"/>
      <c r="AA5916" s="348"/>
      <c r="AB5916" s="348"/>
      <c r="AC5916" s="227"/>
      <c r="AD5916" s="227"/>
      <c r="AE5916" s="231"/>
      <c r="AF5916" s="227"/>
      <c r="AG5916" s="348"/>
      <c r="AH5916" s="348"/>
      <c r="AI5916" s="348"/>
      <c r="AJ5916" s="348"/>
      <c r="AK5916" s="348"/>
      <c r="AL5916" s="348"/>
      <c r="AM5916" s="348"/>
      <c r="AN5916" s="348"/>
      <c r="AO5916" s="231"/>
      <c r="AP5916" s="231"/>
      <c r="AQ5916" s="227"/>
      <c r="AR5916" s="231"/>
      <c r="AS5916" s="227"/>
      <c r="AT5916" s="227"/>
      <c r="AU5916" s="227"/>
      <c r="AV5916" s="227"/>
      <c r="AW5916" s="227"/>
      <c r="AX5916" s="227"/>
      <c r="AY5916" s="227"/>
      <c r="AZ5916" s="227"/>
      <c r="BA5916" s="227"/>
      <c r="BB5916" s="227"/>
      <c r="BC5916" s="227"/>
      <c r="BD5916" s="227"/>
      <c r="BE5916" s="227"/>
      <c r="BF5916" s="227"/>
    </row>
    <row r="5917">
      <c r="A5917" s="227"/>
      <c r="B5917" s="348"/>
      <c r="C5917" s="227"/>
      <c r="D5917" s="227"/>
      <c r="E5917" s="231"/>
      <c r="F5917" s="348"/>
      <c r="G5917" s="227"/>
      <c r="H5917" s="227"/>
      <c r="I5917" s="227"/>
      <c r="J5917" s="227"/>
      <c r="K5917" s="227"/>
      <c r="L5917" s="348"/>
      <c r="M5917" s="348"/>
      <c r="N5917" s="227"/>
      <c r="O5917" s="227"/>
      <c r="P5917" s="231"/>
      <c r="Q5917" s="231"/>
      <c r="R5917" s="227"/>
      <c r="S5917" s="231"/>
      <c r="T5917" s="231"/>
      <c r="U5917" s="231"/>
      <c r="V5917" s="231"/>
      <c r="W5917" s="231"/>
      <c r="X5917" s="227"/>
      <c r="Y5917" s="348"/>
      <c r="Z5917" s="348"/>
      <c r="AA5917" s="348"/>
      <c r="AB5917" s="348"/>
      <c r="AC5917" s="227"/>
      <c r="AD5917" s="227"/>
      <c r="AE5917" s="231"/>
      <c r="AF5917" s="227"/>
      <c r="AG5917" s="348"/>
      <c r="AH5917" s="348"/>
      <c r="AI5917" s="348"/>
      <c r="AJ5917" s="348"/>
      <c r="AK5917" s="348"/>
      <c r="AL5917" s="348"/>
      <c r="AM5917" s="348"/>
      <c r="AN5917" s="348"/>
      <c r="AO5917" s="231"/>
      <c r="AP5917" s="231"/>
      <c r="AQ5917" s="227"/>
      <c r="AR5917" s="231"/>
      <c r="AS5917" s="227"/>
      <c r="AT5917" s="227"/>
      <c r="AU5917" s="227"/>
      <c r="AV5917" s="227"/>
      <c r="AW5917" s="227"/>
      <c r="AX5917" s="227"/>
      <c r="AY5917" s="227"/>
      <c r="AZ5917" s="227"/>
      <c r="BA5917" s="227"/>
      <c r="BB5917" s="227"/>
      <c r="BC5917" s="227"/>
      <c r="BD5917" s="227"/>
      <c r="BE5917" s="227"/>
      <c r="BF5917" s="227"/>
    </row>
    <row r="5918">
      <c r="A5918" s="227"/>
      <c r="B5918" s="348"/>
      <c r="C5918" s="227"/>
      <c r="D5918" s="227"/>
      <c r="E5918" s="231"/>
      <c r="F5918" s="348"/>
      <c r="G5918" s="227"/>
      <c r="H5918" s="227"/>
      <c r="I5918" s="227"/>
      <c r="J5918" s="227"/>
      <c r="K5918" s="227"/>
      <c r="L5918" s="348"/>
      <c r="M5918" s="348"/>
      <c r="N5918" s="227"/>
      <c r="O5918" s="227"/>
      <c r="P5918" s="231"/>
      <c r="Q5918" s="231"/>
      <c r="R5918" s="227"/>
      <c r="S5918" s="231"/>
      <c r="T5918" s="231"/>
      <c r="U5918" s="231"/>
      <c r="V5918" s="231"/>
      <c r="W5918" s="231"/>
      <c r="X5918" s="227"/>
      <c r="Y5918" s="348"/>
      <c r="Z5918" s="348"/>
      <c r="AA5918" s="348"/>
      <c r="AB5918" s="348"/>
      <c r="AC5918" s="227"/>
      <c r="AD5918" s="227"/>
      <c r="AE5918" s="231"/>
      <c r="AF5918" s="227"/>
      <c r="AG5918" s="348"/>
      <c r="AH5918" s="348"/>
      <c r="AI5918" s="348"/>
      <c r="AJ5918" s="348"/>
      <c r="AK5918" s="348"/>
      <c r="AL5918" s="348"/>
      <c r="AM5918" s="348"/>
      <c r="AN5918" s="348"/>
      <c r="AO5918" s="231"/>
      <c r="AP5918" s="231"/>
      <c r="AQ5918" s="227"/>
      <c r="AR5918" s="231"/>
      <c r="AS5918" s="227"/>
      <c r="AT5918" s="227"/>
      <c r="AU5918" s="227"/>
      <c r="AV5918" s="227"/>
      <c r="AW5918" s="227"/>
      <c r="AX5918" s="227"/>
      <c r="AY5918" s="227"/>
      <c r="AZ5918" s="227"/>
      <c r="BA5918" s="227"/>
      <c r="BB5918" s="227"/>
      <c r="BC5918" s="227"/>
      <c r="BD5918" s="227"/>
      <c r="BE5918" s="227"/>
      <c r="BF5918" s="227"/>
    </row>
    <row r="5919">
      <c r="A5919" s="227"/>
      <c r="B5919" s="348"/>
      <c r="C5919" s="227"/>
      <c r="D5919" s="227"/>
      <c r="E5919" s="231"/>
      <c r="F5919" s="348"/>
      <c r="G5919" s="227"/>
      <c r="H5919" s="227"/>
      <c r="I5919" s="227"/>
      <c r="J5919" s="227"/>
      <c r="K5919" s="227"/>
      <c r="L5919" s="348"/>
      <c r="M5919" s="348"/>
      <c r="N5919" s="227"/>
      <c r="O5919" s="227"/>
      <c r="P5919" s="231"/>
      <c r="Q5919" s="231"/>
      <c r="R5919" s="227"/>
      <c r="S5919" s="231"/>
      <c r="T5919" s="231"/>
      <c r="U5919" s="231"/>
      <c r="V5919" s="231"/>
      <c r="W5919" s="231"/>
      <c r="X5919" s="227"/>
      <c r="Y5919" s="348"/>
      <c r="Z5919" s="348"/>
      <c r="AA5919" s="348"/>
      <c r="AB5919" s="348"/>
      <c r="AC5919" s="227"/>
      <c r="AD5919" s="227"/>
      <c r="AE5919" s="231"/>
      <c r="AF5919" s="227"/>
      <c r="AG5919" s="348"/>
      <c r="AH5919" s="348"/>
      <c r="AI5919" s="348"/>
      <c r="AJ5919" s="348"/>
      <c r="AK5919" s="348"/>
      <c r="AL5919" s="348"/>
      <c r="AM5919" s="348"/>
      <c r="AN5919" s="348"/>
      <c r="AO5919" s="231"/>
      <c r="AP5919" s="231"/>
      <c r="AQ5919" s="227"/>
      <c r="AR5919" s="231"/>
      <c r="AS5919" s="227"/>
      <c r="AT5919" s="227"/>
      <c r="AU5919" s="227"/>
      <c r="AV5919" s="227"/>
      <c r="AW5919" s="227"/>
      <c r="AX5919" s="227"/>
      <c r="AY5919" s="227"/>
      <c r="AZ5919" s="227"/>
      <c r="BA5919" s="227"/>
      <c r="BB5919" s="227"/>
      <c r="BC5919" s="227"/>
      <c r="BD5919" s="227"/>
      <c r="BE5919" s="227"/>
      <c r="BF5919" s="227"/>
    </row>
    <row r="5920">
      <c r="A5920" s="227"/>
      <c r="B5920" s="348"/>
      <c r="C5920" s="227"/>
      <c r="D5920" s="227"/>
      <c r="E5920" s="231"/>
      <c r="F5920" s="348"/>
      <c r="G5920" s="227"/>
      <c r="H5920" s="227"/>
      <c r="I5920" s="227"/>
      <c r="J5920" s="227"/>
      <c r="K5920" s="227"/>
      <c r="L5920" s="348"/>
      <c r="M5920" s="348"/>
      <c r="N5920" s="227"/>
      <c r="O5920" s="227"/>
      <c r="P5920" s="231"/>
      <c r="Q5920" s="231"/>
      <c r="R5920" s="227"/>
      <c r="S5920" s="231"/>
      <c r="T5920" s="231"/>
      <c r="U5920" s="231"/>
      <c r="V5920" s="231"/>
      <c r="W5920" s="231"/>
      <c r="X5920" s="227"/>
      <c r="Y5920" s="348"/>
      <c r="Z5920" s="348"/>
      <c r="AA5920" s="348"/>
      <c r="AB5920" s="348"/>
      <c r="AC5920" s="227"/>
      <c r="AD5920" s="227"/>
      <c r="AE5920" s="231"/>
      <c r="AF5920" s="227"/>
      <c r="AG5920" s="348"/>
      <c r="AH5920" s="348"/>
      <c r="AI5920" s="348"/>
      <c r="AJ5920" s="348"/>
      <c r="AK5920" s="348"/>
      <c r="AL5920" s="348"/>
      <c r="AM5920" s="348"/>
      <c r="AN5920" s="348"/>
      <c r="AO5920" s="231"/>
      <c r="AP5920" s="231"/>
      <c r="AQ5920" s="227"/>
      <c r="AR5920" s="231"/>
      <c r="AS5920" s="227"/>
      <c r="AT5920" s="227"/>
      <c r="AU5920" s="227"/>
      <c r="AV5920" s="227"/>
      <c r="AW5920" s="227"/>
      <c r="AX5920" s="227"/>
      <c r="AY5920" s="227"/>
      <c r="AZ5920" s="227"/>
      <c r="BA5920" s="227"/>
      <c r="BB5920" s="227"/>
      <c r="BC5920" s="227"/>
      <c r="BD5920" s="227"/>
      <c r="BE5920" s="227"/>
      <c r="BF5920" s="227"/>
    </row>
    <row r="5921">
      <c r="A5921" s="227"/>
      <c r="B5921" s="348"/>
      <c r="C5921" s="227"/>
      <c r="D5921" s="227"/>
      <c r="E5921" s="231"/>
      <c r="F5921" s="348"/>
      <c r="G5921" s="227"/>
      <c r="H5921" s="227"/>
      <c r="I5921" s="227"/>
      <c r="J5921" s="227"/>
      <c r="K5921" s="227"/>
      <c r="L5921" s="348"/>
      <c r="M5921" s="348"/>
      <c r="N5921" s="227"/>
      <c r="O5921" s="227"/>
      <c r="P5921" s="231"/>
      <c r="Q5921" s="231"/>
      <c r="R5921" s="227"/>
      <c r="S5921" s="231"/>
      <c r="T5921" s="231"/>
      <c r="U5921" s="231"/>
      <c r="V5921" s="231"/>
      <c r="W5921" s="231"/>
      <c r="X5921" s="227"/>
      <c r="Y5921" s="348"/>
      <c r="Z5921" s="348"/>
      <c r="AA5921" s="348"/>
      <c r="AB5921" s="348"/>
      <c r="AC5921" s="227"/>
      <c r="AD5921" s="227"/>
      <c r="AE5921" s="231"/>
      <c r="AF5921" s="227"/>
      <c r="AG5921" s="348"/>
      <c r="AH5921" s="348"/>
      <c r="AI5921" s="348"/>
      <c r="AJ5921" s="348"/>
      <c r="AK5921" s="348"/>
      <c r="AL5921" s="348"/>
      <c r="AM5921" s="348"/>
      <c r="AN5921" s="348"/>
      <c r="AO5921" s="231"/>
      <c r="AP5921" s="231"/>
      <c r="AQ5921" s="227"/>
      <c r="AR5921" s="231"/>
      <c r="AS5921" s="227"/>
      <c r="AT5921" s="227"/>
      <c r="AU5921" s="227"/>
      <c r="AV5921" s="227"/>
      <c r="AW5921" s="227"/>
      <c r="AX5921" s="227"/>
      <c r="AY5921" s="227"/>
      <c r="AZ5921" s="227"/>
      <c r="BA5921" s="227"/>
      <c r="BB5921" s="227"/>
      <c r="BC5921" s="227"/>
      <c r="BD5921" s="227"/>
      <c r="BE5921" s="227"/>
      <c r="BF5921" s="227"/>
    </row>
    <row r="5922">
      <c r="A5922" s="227"/>
      <c r="B5922" s="348"/>
      <c r="C5922" s="227"/>
      <c r="D5922" s="227"/>
      <c r="E5922" s="231"/>
      <c r="F5922" s="348"/>
      <c r="G5922" s="227"/>
      <c r="H5922" s="227"/>
      <c r="I5922" s="227"/>
      <c r="J5922" s="227"/>
      <c r="K5922" s="227"/>
      <c r="L5922" s="348"/>
      <c r="M5922" s="348"/>
      <c r="N5922" s="227"/>
      <c r="O5922" s="227"/>
      <c r="P5922" s="231"/>
      <c r="Q5922" s="231"/>
      <c r="R5922" s="227"/>
      <c r="S5922" s="231"/>
      <c r="T5922" s="231"/>
      <c r="U5922" s="231"/>
      <c r="V5922" s="231"/>
      <c r="W5922" s="231"/>
      <c r="X5922" s="227"/>
      <c r="Y5922" s="348"/>
      <c r="Z5922" s="348"/>
      <c r="AA5922" s="348"/>
      <c r="AB5922" s="348"/>
      <c r="AC5922" s="227"/>
      <c r="AD5922" s="227"/>
      <c r="AE5922" s="231"/>
      <c r="AF5922" s="227"/>
      <c r="AG5922" s="348"/>
      <c r="AH5922" s="348"/>
      <c r="AI5922" s="348"/>
      <c r="AJ5922" s="348"/>
      <c r="AK5922" s="348"/>
      <c r="AL5922" s="348"/>
      <c r="AM5922" s="348"/>
      <c r="AN5922" s="348"/>
      <c r="AO5922" s="231"/>
      <c r="AP5922" s="231"/>
      <c r="AQ5922" s="227"/>
      <c r="AR5922" s="231"/>
      <c r="AS5922" s="227"/>
      <c r="AT5922" s="227"/>
      <c r="AU5922" s="227"/>
      <c r="AV5922" s="227"/>
      <c r="AW5922" s="227"/>
      <c r="AX5922" s="227"/>
      <c r="AY5922" s="227"/>
      <c r="AZ5922" s="227"/>
      <c r="BA5922" s="227"/>
      <c r="BB5922" s="227"/>
      <c r="BC5922" s="227"/>
      <c r="BD5922" s="227"/>
      <c r="BE5922" s="227"/>
      <c r="BF5922" s="227"/>
    </row>
    <row r="5923">
      <c r="A5923" s="227"/>
      <c r="B5923" s="348"/>
      <c r="C5923" s="227"/>
      <c r="D5923" s="227"/>
      <c r="E5923" s="231"/>
      <c r="F5923" s="348"/>
      <c r="G5923" s="227"/>
      <c r="H5923" s="227"/>
      <c r="I5923" s="227"/>
      <c r="J5923" s="227"/>
      <c r="K5923" s="227"/>
      <c r="L5923" s="348"/>
      <c r="M5923" s="348"/>
      <c r="N5923" s="227"/>
      <c r="O5923" s="227"/>
      <c r="P5923" s="231"/>
      <c r="Q5923" s="231"/>
      <c r="R5923" s="227"/>
      <c r="S5923" s="231"/>
      <c r="T5923" s="231"/>
      <c r="U5923" s="231"/>
      <c r="V5923" s="231"/>
      <c r="W5923" s="231"/>
      <c r="X5923" s="227"/>
      <c r="Y5923" s="348"/>
      <c r="Z5923" s="348"/>
      <c r="AA5923" s="348"/>
      <c r="AB5923" s="348"/>
      <c r="AC5923" s="227"/>
      <c r="AD5923" s="227"/>
      <c r="AE5923" s="231"/>
      <c r="AF5923" s="227"/>
      <c r="AG5923" s="348"/>
      <c r="AH5923" s="348"/>
      <c r="AI5923" s="348"/>
      <c r="AJ5923" s="348"/>
      <c r="AK5923" s="348"/>
      <c r="AL5923" s="348"/>
      <c r="AM5923" s="348"/>
      <c r="AN5923" s="348"/>
      <c r="AO5923" s="231"/>
      <c r="AP5923" s="231"/>
      <c r="AQ5923" s="227"/>
      <c r="AR5923" s="231"/>
      <c r="AS5923" s="227"/>
      <c r="AT5923" s="227"/>
      <c r="AU5923" s="227"/>
      <c r="AV5923" s="227"/>
      <c r="AW5923" s="227"/>
      <c r="AX5923" s="227"/>
      <c r="AY5923" s="227"/>
      <c r="AZ5923" s="227"/>
      <c r="BA5923" s="227"/>
      <c r="BB5923" s="227"/>
      <c r="BC5923" s="227"/>
      <c r="BD5923" s="227"/>
      <c r="BE5923" s="227"/>
      <c r="BF5923" s="227"/>
    </row>
    <row r="5924">
      <c r="A5924" s="227"/>
      <c r="B5924" s="348"/>
      <c r="C5924" s="227"/>
      <c r="D5924" s="227"/>
      <c r="E5924" s="231"/>
      <c r="F5924" s="348"/>
      <c r="G5924" s="227"/>
      <c r="H5924" s="227"/>
      <c r="I5924" s="227"/>
      <c r="J5924" s="227"/>
      <c r="K5924" s="227"/>
      <c r="L5924" s="348"/>
      <c r="M5924" s="348"/>
      <c r="N5924" s="227"/>
      <c r="O5924" s="227"/>
      <c r="P5924" s="231"/>
      <c r="Q5924" s="231"/>
      <c r="R5924" s="227"/>
      <c r="S5924" s="231"/>
      <c r="T5924" s="231"/>
      <c r="U5924" s="231"/>
      <c r="V5924" s="231"/>
      <c r="W5924" s="231"/>
      <c r="X5924" s="227"/>
      <c r="Y5924" s="348"/>
      <c r="Z5924" s="348"/>
      <c r="AA5924" s="348"/>
      <c r="AB5924" s="348"/>
      <c r="AC5924" s="227"/>
      <c r="AD5924" s="227"/>
      <c r="AE5924" s="231"/>
      <c r="AF5924" s="227"/>
      <c r="AG5924" s="348"/>
      <c r="AH5924" s="348"/>
      <c r="AI5924" s="348"/>
      <c r="AJ5924" s="348"/>
      <c r="AK5924" s="348"/>
      <c r="AL5924" s="348"/>
      <c r="AM5924" s="348"/>
      <c r="AN5924" s="348"/>
      <c r="AO5924" s="231"/>
      <c r="AP5924" s="231"/>
      <c r="AQ5924" s="227"/>
      <c r="AR5924" s="231"/>
      <c r="AS5924" s="227"/>
      <c r="AT5924" s="227"/>
      <c r="AU5924" s="227"/>
      <c r="AV5924" s="227"/>
      <c r="AW5924" s="227"/>
      <c r="AX5924" s="227"/>
      <c r="AY5924" s="227"/>
      <c r="AZ5924" s="227"/>
      <c r="BA5924" s="227"/>
      <c r="BB5924" s="227"/>
      <c r="BC5924" s="227"/>
      <c r="BD5924" s="227"/>
      <c r="BE5924" s="227"/>
      <c r="BF5924" s="227"/>
    </row>
    <row r="5925">
      <c r="A5925" s="227"/>
      <c r="B5925" s="348"/>
      <c r="C5925" s="227"/>
      <c r="D5925" s="227"/>
      <c r="E5925" s="231"/>
      <c r="F5925" s="348"/>
      <c r="G5925" s="227"/>
      <c r="H5925" s="227"/>
      <c r="I5925" s="227"/>
      <c r="J5925" s="227"/>
      <c r="K5925" s="227"/>
      <c r="L5925" s="348"/>
      <c r="M5925" s="348"/>
      <c r="N5925" s="227"/>
      <c r="O5925" s="227"/>
      <c r="P5925" s="231"/>
      <c r="Q5925" s="231"/>
      <c r="R5925" s="227"/>
      <c r="S5925" s="231"/>
      <c r="T5925" s="231"/>
      <c r="U5925" s="231"/>
      <c r="V5925" s="231"/>
      <c r="W5925" s="231"/>
      <c r="X5925" s="227"/>
      <c r="Y5925" s="348"/>
      <c r="Z5925" s="348"/>
      <c r="AA5925" s="348"/>
      <c r="AB5925" s="348"/>
      <c r="AC5925" s="227"/>
      <c r="AD5925" s="227"/>
      <c r="AE5925" s="231"/>
      <c r="AF5925" s="227"/>
      <c r="AG5925" s="348"/>
      <c r="AH5925" s="348"/>
      <c r="AI5925" s="348"/>
      <c r="AJ5925" s="348"/>
      <c r="AK5925" s="348"/>
      <c r="AL5925" s="348"/>
      <c r="AM5925" s="348"/>
      <c r="AN5925" s="348"/>
      <c r="AO5925" s="231"/>
      <c r="AP5925" s="231"/>
      <c r="AQ5925" s="227"/>
      <c r="AR5925" s="231"/>
      <c r="AS5925" s="227"/>
      <c r="AT5925" s="227"/>
      <c r="AU5925" s="227"/>
      <c r="AV5925" s="227"/>
      <c r="AW5925" s="227"/>
      <c r="AX5925" s="227"/>
      <c r="AY5925" s="227"/>
      <c r="AZ5925" s="227"/>
      <c r="BA5925" s="227"/>
      <c r="BB5925" s="227"/>
      <c r="BC5925" s="227"/>
      <c r="BD5925" s="227"/>
      <c r="BE5925" s="227"/>
      <c r="BF5925" s="227"/>
    </row>
    <row r="5926">
      <c r="A5926" s="227"/>
      <c r="B5926" s="348"/>
      <c r="C5926" s="227"/>
      <c r="D5926" s="227"/>
      <c r="E5926" s="231"/>
      <c r="F5926" s="348"/>
      <c r="G5926" s="227"/>
      <c r="H5926" s="227"/>
      <c r="I5926" s="227"/>
      <c r="J5926" s="227"/>
      <c r="K5926" s="227"/>
      <c r="L5926" s="348"/>
      <c r="M5926" s="348"/>
      <c r="N5926" s="227"/>
      <c r="O5926" s="227"/>
      <c r="P5926" s="231"/>
      <c r="Q5926" s="231"/>
      <c r="R5926" s="227"/>
      <c r="S5926" s="231"/>
      <c r="T5926" s="231"/>
      <c r="U5926" s="231"/>
      <c r="V5926" s="231"/>
      <c r="W5926" s="231"/>
      <c r="X5926" s="227"/>
      <c r="Y5926" s="348"/>
      <c r="Z5926" s="348"/>
      <c r="AA5926" s="348"/>
      <c r="AB5926" s="348"/>
      <c r="AC5926" s="227"/>
      <c r="AD5926" s="227"/>
      <c r="AE5926" s="231"/>
      <c r="AF5926" s="227"/>
      <c r="AG5926" s="348"/>
      <c r="AH5926" s="348"/>
      <c r="AI5926" s="348"/>
      <c r="AJ5926" s="348"/>
      <c r="AK5926" s="348"/>
      <c r="AL5926" s="348"/>
      <c r="AM5926" s="348"/>
      <c r="AN5926" s="348"/>
      <c r="AO5926" s="231"/>
      <c r="AP5926" s="231"/>
      <c r="AQ5926" s="227"/>
      <c r="AR5926" s="231"/>
      <c r="AS5926" s="227"/>
      <c r="AT5926" s="227"/>
      <c r="AU5926" s="227"/>
      <c r="AV5926" s="227"/>
      <c r="AW5926" s="227"/>
      <c r="AX5926" s="227"/>
      <c r="AY5926" s="227"/>
      <c r="AZ5926" s="227"/>
      <c r="BA5926" s="227"/>
      <c r="BB5926" s="227"/>
      <c r="BC5926" s="227"/>
      <c r="BD5926" s="227"/>
      <c r="BE5926" s="227"/>
      <c r="BF5926" s="227"/>
    </row>
    <row r="5927">
      <c r="A5927" s="227"/>
      <c r="B5927" s="348"/>
      <c r="C5927" s="227"/>
      <c r="D5927" s="227"/>
      <c r="E5927" s="231"/>
      <c r="F5927" s="348"/>
      <c r="G5927" s="227"/>
      <c r="H5927" s="227"/>
      <c r="I5927" s="227"/>
      <c r="J5927" s="227"/>
      <c r="K5927" s="227"/>
      <c r="L5927" s="348"/>
      <c r="M5927" s="348"/>
      <c r="N5927" s="227"/>
      <c r="O5927" s="227"/>
      <c r="P5927" s="231"/>
      <c r="Q5927" s="231"/>
      <c r="R5927" s="227"/>
      <c r="S5927" s="231"/>
      <c r="T5927" s="231"/>
      <c r="U5927" s="231"/>
      <c r="V5927" s="231"/>
      <c r="W5927" s="231"/>
      <c r="X5927" s="227"/>
      <c r="Y5927" s="348"/>
      <c r="Z5927" s="348"/>
      <c r="AA5927" s="348"/>
      <c r="AB5927" s="348"/>
      <c r="AC5927" s="227"/>
      <c r="AD5927" s="227"/>
      <c r="AE5927" s="231"/>
      <c r="AF5927" s="227"/>
      <c r="AG5927" s="348"/>
      <c r="AH5927" s="348"/>
      <c r="AI5927" s="348"/>
      <c r="AJ5927" s="348"/>
      <c r="AK5927" s="348"/>
      <c r="AL5927" s="348"/>
      <c r="AM5927" s="348"/>
      <c r="AN5927" s="348"/>
      <c r="AO5927" s="231"/>
      <c r="AP5927" s="231"/>
      <c r="AQ5927" s="227"/>
      <c r="AR5927" s="231"/>
      <c r="AS5927" s="227"/>
      <c r="AT5927" s="227"/>
      <c r="AU5927" s="227"/>
      <c r="AV5927" s="227"/>
      <c r="AW5927" s="227"/>
      <c r="AX5927" s="227"/>
      <c r="AY5927" s="227"/>
      <c r="AZ5927" s="227"/>
      <c r="BA5927" s="227"/>
      <c r="BB5927" s="227"/>
      <c r="BC5927" s="227"/>
      <c r="BD5927" s="227"/>
      <c r="BE5927" s="227"/>
      <c r="BF5927" s="227"/>
    </row>
    <row r="5928">
      <c r="A5928" s="227"/>
      <c r="B5928" s="348"/>
      <c r="C5928" s="227"/>
      <c r="D5928" s="227"/>
      <c r="E5928" s="231"/>
      <c r="F5928" s="348"/>
      <c r="G5928" s="227"/>
      <c r="H5928" s="227"/>
      <c r="I5928" s="227"/>
      <c r="J5928" s="227"/>
      <c r="K5928" s="227"/>
      <c r="L5928" s="348"/>
      <c r="M5928" s="348"/>
      <c r="N5928" s="227"/>
      <c r="O5928" s="227"/>
      <c r="P5928" s="231"/>
      <c r="Q5928" s="231"/>
      <c r="R5928" s="227"/>
      <c r="S5928" s="231"/>
      <c r="T5928" s="231"/>
      <c r="U5928" s="231"/>
      <c r="V5928" s="231"/>
      <c r="W5928" s="231"/>
      <c r="X5928" s="227"/>
      <c r="Y5928" s="348"/>
      <c r="Z5928" s="348"/>
      <c r="AA5928" s="348"/>
      <c r="AB5928" s="348"/>
      <c r="AC5928" s="227"/>
      <c r="AD5928" s="227"/>
      <c r="AE5928" s="231"/>
      <c r="AF5928" s="227"/>
      <c r="AG5928" s="348"/>
      <c r="AH5928" s="348"/>
      <c r="AI5928" s="348"/>
      <c r="AJ5928" s="348"/>
      <c r="AK5928" s="348"/>
      <c r="AL5928" s="348"/>
      <c r="AM5928" s="348"/>
      <c r="AN5928" s="348"/>
      <c r="AO5928" s="231"/>
      <c r="AP5928" s="231"/>
      <c r="AQ5928" s="227"/>
      <c r="AR5928" s="231"/>
      <c r="AS5928" s="227"/>
      <c r="AT5928" s="227"/>
      <c r="AU5928" s="227"/>
      <c r="AV5928" s="227"/>
      <c r="AW5928" s="227"/>
      <c r="AX5928" s="227"/>
      <c r="AY5928" s="227"/>
      <c r="AZ5928" s="227"/>
      <c r="BA5928" s="227"/>
      <c r="BB5928" s="227"/>
      <c r="BC5928" s="227"/>
      <c r="BD5928" s="227"/>
      <c r="BE5928" s="227"/>
      <c r="BF5928" s="227"/>
    </row>
    <row r="5929">
      <c r="A5929" s="227"/>
      <c r="B5929" s="348"/>
      <c r="C5929" s="227"/>
      <c r="D5929" s="227"/>
      <c r="E5929" s="231"/>
      <c r="F5929" s="348"/>
      <c r="G5929" s="227"/>
      <c r="H5929" s="227"/>
      <c r="I5929" s="227"/>
      <c r="J5929" s="227"/>
      <c r="K5929" s="227"/>
      <c r="L5929" s="348"/>
      <c r="M5929" s="348"/>
      <c r="N5929" s="227"/>
      <c r="O5929" s="227"/>
      <c r="P5929" s="231"/>
      <c r="Q5929" s="231"/>
      <c r="R5929" s="227"/>
      <c r="S5929" s="231"/>
      <c r="T5929" s="231"/>
      <c r="U5929" s="231"/>
      <c r="V5929" s="231"/>
      <c r="W5929" s="231"/>
      <c r="X5929" s="227"/>
      <c r="Y5929" s="348"/>
      <c r="Z5929" s="348"/>
      <c r="AA5929" s="348"/>
      <c r="AB5929" s="348"/>
      <c r="AC5929" s="227"/>
      <c r="AD5929" s="227"/>
      <c r="AE5929" s="231"/>
      <c r="AF5929" s="227"/>
      <c r="AG5929" s="348"/>
      <c r="AH5929" s="348"/>
      <c r="AI5929" s="348"/>
      <c r="AJ5929" s="348"/>
      <c r="AK5929" s="348"/>
      <c r="AL5929" s="348"/>
      <c r="AM5929" s="348"/>
      <c r="AN5929" s="348"/>
      <c r="AO5929" s="231"/>
      <c r="AP5929" s="231"/>
      <c r="AQ5929" s="227"/>
      <c r="AR5929" s="231"/>
      <c r="AS5929" s="227"/>
      <c r="AT5929" s="227"/>
      <c r="AU5929" s="227"/>
      <c r="AV5929" s="227"/>
      <c r="AW5929" s="227"/>
      <c r="AX5929" s="227"/>
      <c r="AY5929" s="227"/>
      <c r="AZ5929" s="227"/>
      <c r="BA5929" s="227"/>
      <c r="BB5929" s="227"/>
      <c r="BC5929" s="227"/>
      <c r="BD5929" s="227"/>
      <c r="BE5929" s="227"/>
      <c r="BF5929" s="227"/>
    </row>
    <row r="5930">
      <c r="A5930" s="227"/>
      <c r="B5930" s="348"/>
      <c r="C5930" s="227"/>
      <c r="D5930" s="227"/>
      <c r="E5930" s="231"/>
      <c r="F5930" s="348"/>
      <c r="G5930" s="227"/>
      <c r="H5930" s="227"/>
      <c r="I5930" s="227"/>
      <c r="J5930" s="227"/>
      <c r="K5930" s="227"/>
      <c r="L5930" s="348"/>
      <c r="M5930" s="348"/>
      <c r="N5930" s="227"/>
      <c r="O5930" s="227"/>
      <c r="P5930" s="231"/>
      <c r="Q5930" s="231"/>
      <c r="R5930" s="227"/>
      <c r="S5930" s="231"/>
      <c r="T5930" s="231"/>
      <c r="U5930" s="231"/>
      <c r="V5930" s="231"/>
      <c r="W5930" s="231"/>
      <c r="X5930" s="227"/>
      <c r="Y5930" s="348"/>
      <c r="Z5930" s="348"/>
      <c r="AA5930" s="348"/>
      <c r="AB5930" s="348"/>
      <c r="AC5930" s="227"/>
      <c r="AD5930" s="227"/>
      <c r="AE5930" s="231"/>
      <c r="AF5930" s="227"/>
      <c r="AG5930" s="348"/>
      <c r="AH5930" s="348"/>
      <c r="AI5930" s="348"/>
      <c r="AJ5930" s="348"/>
      <c r="AK5930" s="348"/>
      <c r="AL5930" s="348"/>
      <c r="AM5930" s="348"/>
      <c r="AN5930" s="348"/>
      <c r="AO5930" s="231"/>
      <c r="AP5930" s="231"/>
      <c r="AQ5930" s="227"/>
      <c r="AR5930" s="231"/>
      <c r="AS5930" s="227"/>
      <c r="AT5930" s="227"/>
      <c r="AU5930" s="227"/>
      <c r="AV5930" s="227"/>
      <c r="AW5930" s="227"/>
      <c r="AX5930" s="227"/>
      <c r="AY5930" s="227"/>
      <c r="AZ5930" s="227"/>
      <c r="BA5930" s="227"/>
      <c r="BB5930" s="227"/>
      <c r="BC5930" s="227"/>
      <c r="BD5930" s="227"/>
      <c r="BE5930" s="227"/>
      <c r="BF5930" s="227"/>
    </row>
    <row r="5931">
      <c r="A5931" s="227"/>
      <c r="B5931" s="348"/>
      <c r="C5931" s="227"/>
      <c r="D5931" s="227"/>
      <c r="E5931" s="231"/>
      <c r="F5931" s="348"/>
      <c r="G5931" s="227"/>
      <c r="H5931" s="227"/>
      <c r="I5931" s="227"/>
      <c r="J5931" s="227"/>
      <c r="K5931" s="227"/>
      <c r="L5931" s="348"/>
      <c r="M5931" s="348"/>
      <c r="N5931" s="227"/>
      <c r="O5931" s="227"/>
      <c r="P5931" s="231"/>
      <c r="Q5931" s="231"/>
      <c r="R5931" s="227"/>
      <c r="S5931" s="231"/>
      <c r="T5931" s="231"/>
      <c r="U5931" s="231"/>
      <c r="V5931" s="231"/>
      <c r="W5931" s="231"/>
      <c r="X5931" s="227"/>
      <c r="Y5931" s="348"/>
      <c r="Z5931" s="348"/>
      <c r="AA5931" s="348"/>
      <c r="AB5931" s="348"/>
      <c r="AC5931" s="227"/>
      <c r="AD5931" s="227"/>
      <c r="AE5931" s="231"/>
      <c r="AF5931" s="227"/>
      <c r="AG5931" s="348"/>
      <c r="AH5931" s="348"/>
      <c r="AI5931" s="348"/>
      <c r="AJ5931" s="348"/>
      <c r="AK5931" s="348"/>
      <c r="AL5931" s="348"/>
      <c r="AM5931" s="348"/>
      <c r="AN5931" s="348"/>
      <c r="AO5931" s="231"/>
      <c r="AP5931" s="231"/>
      <c r="AQ5931" s="227"/>
      <c r="AR5931" s="231"/>
      <c r="AS5931" s="227"/>
      <c r="AT5931" s="227"/>
      <c r="AU5931" s="227"/>
      <c r="AV5931" s="227"/>
      <c r="AW5931" s="227"/>
      <c r="AX5931" s="227"/>
      <c r="AY5931" s="227"/>
      <c r="AZ5931" s="227"/>
      <c r="BA5931" s="227"/>
      <c r="BB5931" s="227"/>
      <c r="BC5931" s="227"/>
      <c r="BD5931" s="227"/>
      <c r="BE5931" s="227"/>
      <c r="BF5931" s="227"/>
    </row>
    <row r="5932">
      <c r="A5932" s="227"/>
      <c r="B5932" s="348"/>
      <c r="C5932" s="227"/>
      <c r="D5932" s="227"/>
      <c r="E5932" s="231"/>
      <c r="F5932" s="348"/>
      <c r="G5932" s="227"/>
      <c r="H5932" s="227"/>
      <c r="I5932" s="227"/>
      <c r="J5932" s="227"/>
      <c r="K5932" s="227"/>
      <c r="L5932" s="348"/>
      <c r="M5932" s="348"/>
      <c r="N5932" s="227"/>
      <c r="O5932" s="227"/>
      <c r="P5932" s="231"/>
      <c r="Q5932" s="231"/>
      <c r="R5932" s="227"/>
      <c r="S5932" s="231"/>
      <c r="T5932" s="231"/>
      <c r="U5932" s="231"/>
      <c r="V5932" s="231"/>
      <c r="W5932" s="231"/>
      <c r="X5932" s="227"/>
      <c r="Y5932" s="348"/>
      <c r="Z5932" s="348"/>
      <c r="AA5932" s="348"/>
      <c r="AB5932" s="348"/>
      <c r="AC5932" s="227"/>
      <c r="AD5932" s="227"/>
      <c r="AE5932" s="231"/>
      <c r="AF5932" s="227"/>
      <c r="AG5932" s="348"/>
      <c r="AH5932" s="348"/>
      <c r="AI5932" s="348"/>
      <c r="AJ5932" s="348"/>
      <c r="AK5932" s="348"/>
      <c r="AL5932" s="348"/>
      <c r="AM5932" s="348"/>
      <c r="AN5932" s="348"/>
      <c r="AO5932" s="231"/>
      <c r="AP5932" s="231"/>
      <c r="AQ5932" s="227"/>
      <c r="AR5932" s="231"/>
      <c r="AS5932" s="227"/>
      <c r="AT5932" s="227"/>
      <c r="AU5932" s="227"/>
      <c r="AV5932" s="227"/>
      <c r="AW5932" s="227"/>
      <c r="AX5932" s="227"/>
      <c r="AY5932" s="227"/>
      <c r="AZ5932" s="227"/>
      <c r="BA5932" s="227"/>
      <c r="BB5932" s="227"/>
      <c r="BC5932" s="227"/>
      <c r="BD5932" s="227"/>
      <c r="BE5932" s="227"/>
      <c r="BF5932" s="227"/>
    </row>
    <row r="5933">
      <c r="A5933" s="227"/>
      <c r="B5933" s="348"/>
      <c r="C5933" s="227"/>
      <c r="D5933" s="227"/>
      <c r="E5933" s="231"/>
      <c r="F5933" s="348"/>
      <c r="G5933" s="227"/>
      <c r="H5933" s="227"/>
      <c r="I5933" s="227"/>
      <c r="J5933" s="227"/>
      <c r="K5933" s="227"/>
      <c r="L5933" s="348"/>
      <c r="M5933" s="348"/>
      <c r="N5933" s="227"/>
      <c r="O5933" s="227"/>
      <c r="P5933" s="231"/>
      <c r="Q5933" s="231"/>
      <c r="R5933" s="227"/>
      <c r="S5933" s="231"/>
      <c r="T5933" s="231"/>
      <c r="U5933" s="231"/>
      <c r="V5933" s="231"/>
      <c r="W5933" s="231"/>
      <c r="X5933" s="227"/>
      <c r="Y5933" s="348"/>
      <c r="Z5933" s="348"/>
      <c r="AA5933" s="348"/>
      <c r="AB5933" s="348"/>
      <c r="AC5933" s="227"/>
      <c r="AD5933" s="227"/>
      <c r="AE5933" s="231"/>
      <c r="AF5933" s="227"/>
      <c r="AG5933" s="348"/>
      <c r="AH5933" s="348"/>
      <c r="AI5933" s="348"/>
      <c r="AJ5933" s="348"/>
      <c r="AK5933" s="348"/>
      <c r="AL5933" s="348"/>
      <c r="AM5933" s="348"/>
      <c r="AN5933" s="348"/>
      <c r="AO5933" s="231"/>
      <c r="AP5933" s="231"/>
      <c r="AQ5933" s="227"/>
      <c r="AR5933" s="231"/>
      <c r="AS5933" s="227"/>
      <c r="AT5933" s="227"/>
      <c r="AU5933" s="227"/>
      <c r="AV5933" s="227"/>
      <c r="AW5933" s="227"/>
      <c r="AX5933" s="227"/>
      <c r="AY5933" s="227"/>
      <c r="AZ5933" s="227"/>
      <c r="BA5933" s="227"/>
      <c r="BB5933" s="227"/>
      <c r="BC5933" s="227"/>
      <c r="BD5933" s="227"/>
      <c r="BE5933" s="227"/>
      <c r="BF5933" s="227"/>
    </row>
    <row r="5934">
      <c r="A5934" s="227"/>
      <c r="B5934" s="348"/>
      <c r="C5934" s="227"/>
      <c r="D5934" s="227"/>
      <c r="E5934" s="231"/>
      <c r="F5934" s="348"/>
      <c r="G5934" s="227"/>
      <c r="H5934" s="227"/>
      <c r="I5934" s="227"/>
      <c r="J5934" s="227"/>
      <c r="K5934" s="227"/>
      <c r="L5934" s="348"/>
      <c r="M5934" s="348"/>
      <c r="N5934" s="227"/>
      <c r="O5934" s="227"/>
      <c r="P5934" s="231"/>
      <c r="Q5934" s="231"/>
      <c r="R5934" s="227"/>
      <c r="S5934" s="231"/>
      <c r="T5934" s="231"/>
      <c r="U5934" s="231"/>
      <c r="V5934" s="231"/>
      <c r="W5934" s="231"/>
      <c r="X5934" s="227"/>
      <c r="Y5934" s="348"/>
      <c r="Z5934" s="348"/>
      <c r="AA5934" s="348"/>
      <c r="AB5934" s="348"/>
      <c r="AC5934" s="227"/>
      <c r="AD5934" s="227"/>
      <c r="AE5934" s="231"/>
      <c r="AF5934" s="227"/>
      <c r="AG5934" s="348"/>
      <c r="AH5934" s="348"/>
      <c r="AI5934" s="348"/>
      <c r="AJ5934" s="348"/>
      <c r="AK5934" s="348"/>
      <c r="AL5934" s="348"/>
      <c r="AM5934" s="348"/>
      <c r="AN5934" s="348"/>
      <c r="AO5934" s="231"/>
      <c r="AP5934" s="231"/>
      <c r="AQ5934" s="227"/>
      <c r="AR5934" s="231"/>
      <c r="AS5934" s="227"/>
      <c r="AT5934" s="227"/>
      <c r="AU5934" s="227"/>
      <c r="AV5934" s="227"/>
      <c r="AW5934" s="227"/>
      <c r="AX5934" s="227"/>
      <c r="AY5934" s="227"/>
      <c r="AZ5934" s="227"/>
      <c r="BA5934" s="227"/>
      <c r="BB5934" s="227"/>
      <c r="BC5934" s="227"/>
      <c r="BD5934" s="227"/>
      <c r="BE5934" s="227"/>
      <c r="BF5934" s="227"/>
    </row>
    <row r="5935">
      <c r="A5935" s="227"/>
      <c r="B5935" s="348"/>
      <c r="C5935" s="227"/>
      <c r="D5935" s="227"/>
      <c r="E5935" s="231"/>
      <c r="F5935" s="348"/>
      <c r="G5935" s="227"/>
      <c r="H5935" s="227"/>
      <c r="I5935" s="227"/>
      <c r="J5935" s="227"/>
      <c r="K5935" s="227"/>
      <c r="L5935" s="348"/>
      <c r="M5935" s="348"/>
      <c r="N5935" s="227"/>
      <c r="O5935" s="227"/>
      <c r="P5935" s="231"/>
      <c r="Q5935" s="231"/>
      <c r="R5935" s="227"/>
      <c r="S5935" s="231"/>
      <c r="T5935" s="231"/>
      <c r="U5935" s="231"/>
      <c r="V5935" s="231"/>
      <c r="W5935" s="231"/>
      <c r="X5935" s="227"/>
      <c r="Y5935" s="348"/>
      <c r="Z5935" s="348"/>
      <c r="AA5935" s="348"/>
      <c r="AB5935" s="348"/>
      <c r="AC5935" s="227"/>
      <c r="AD5935" s="227"/>
      <c r="AE5935" s="231"/>
      <c r="AF5935" s="227"/>
      <c r="AG5935" s="348"/>
      <c r="AH5935" s="348"/>
      <c r="AI5935" s="348"/>
      <c r="AJ5935" s="348"/>
      <c r="AK5935" s="348"/>
      <c r="AL5935" s="348"/>
      <c r="AM5935" s="348"/>
      <c r="AN5935" s="348"/>
      <c r="AO5935" s="231"/>
      <c r="AP5935" s="231"/>
      <c r="AQ5935" s="227"/>
      <c r="AR5935" s="231"/>
      <c r="AS5935" s="227"/>
      <c r="AT5935" s="227"/>
      <c r="AU5935" s="227"/>
      <c r="AV5935" s="227"/>
      <c r="AW5935" s="227"/>
      <c r="AX5935" s="227"/>
      <c r="AY5935" s="227"/>
      <c r="AZ5935" s="227"/>
      <c r="BA5935" s="227"/>
      <c r="BB5935" s="227"/>
      <c r="BC5935" s="227"/>
      <c r="BD5935" s="227"/>
      <c r="BE5935" s="227"/>
      <c r="BF5935" s="227"/>
    </row>
    <row r="5936">
      <c r="A5936" s="227"/>
      <c r="B5936" s="348"/>
      <c r="C5936" s="227"/>
      <c r="D5936" s="227"/>
      <c r="E5936" s="231"/>
      <c r="F5936" s="348"/>
      <c r="G5936" s="227"/>
      <c r="H5936" s="227"/>
      <c r="I5936" s="227"/>
      <c r="J5936" s="227"/>
      <c r="K5936" s="227"/>
      <c r="L5936" s="348"/>
      <c r="M5936" s="348"/>
      <c r="N5936" s="227"/>
      <c r="O5936" s="227"/>
      <c r="P5936" s="231"/>
      <c r="Q5936" s="231"/>
      <c r="R5936" s="227"/>
      <c r="S5936" s="231"/>
      <c r="T5936" s="231"/>
      <c r="U5936" s="231"/>
      <c r="V5936" s="231"/>
      <c r="W5936" s="231"/>
      <c r="X5936" s="227"/>
      <c r="Y5936" s="348"/>
      <c r="Z5936" s="348"/>
      <c r="AA5936" s="348"/>
      <c r="AB5936" s="348"/>
      <c r="AC5936" s="227"/>
      <c r="AD5936" s="227"/>
      <c r="AE5936" s="231"/>
      <c r="AF5936" s="227"/>
      <c r="AG5936" s="348"/>
      <c r="AH5936" s="348"/>
      <c r="AI5936" s="348"/>
      <c r="AJ5936" s="348"/>
      <c r="AK5936" s="348"/>
      <c r="AL5936" s="348"/>
      <c r="AM5936" s="348"/>
      <c r="AN5936" s="348"/>
      <c r="AO5936" s="231"/>
      <c r="AP5936" s="231"/>
      <c r="AQ5936" s="227"/>
      <c r="AR5936" s="231"/>
      <c r="AS5936" s="227"/>
      <c r="AT5936" s="227"/>
      <c r="AU5936" s="227"/>
      <c r="AV5936" s="227"/>
      <c r="AW5936" s="227"/>
      <c r="AX5936" s="227"/>
      <c r="AY5936" s="227"/>
      <c r="AZ5936" s="227"/>
      <c r="BA5936" s="227"/>
      <c r="BB5936" s="227"/>
      <c r="BC5936" s="227"/>
      <c r="BD5936" s="227"/>
      <c r="BE5936" s="227"/>
      <c r="BF5936" s="227"/>
    </row>
    <row r="5937">
      <c r="A5937" s="227"/>
      <c r="B5937" s="348"/>
      <c r="C5937" s="227"/>
      <c r="D5937" s="227"/>
      <c r="E5937" s="231"/>
      <c r="F5937" s="348"/>
      <c r="G5937" s="227"/>
      <c r="H5937" s="227"/>
      <c r="I5937" s="227"/>
      <c r="J5937" s="227"/>
      <c r="K5937" s="227"/>
      <c r="L5937" s="348"/>
      <c r="M5937" s="348"/>
      <c r="N5937" s="227"/>
      <c r="O5937" s="227"/>
      <c r="P5937" s="231"/>
      <c r="Q5937" s="231"/>
      <c r="R5937" s="227"/>
      <c r="S5937" s="231"/>
      <c r="T5937" s="231"/>
      <c r="U5937" s="231"/>
      <c r="V5937" s="231"/>
      <c r="W5937" s="231"/>
      <c r="X5937" s="227"/>
      <c r="Y5937" s="348"/>
      <c r="Z5937" s="348"/>
      <c r="AA5937" s="348"/>
      <c r="AB5937" s="348"/>
      <c r="AC5937" s="227"/>
      <c r="AD5937" s="227"/>
      <c r="AE5937" s="231"/>
      <c r="AF5937" s="227"/>
      <c r="AG5937" s="348"/>
      <c r="AH5937" s="348"/>
      <c r="AI5937" s="348"/>
      <c r="AJ5937" s="348"/>
      <c r="AK5937" s="348"/>
      <c r="AL5937" s="348"/>
      <c r="AM5937" s="348"/>
      <c r="AN5937" s="348"/>
      <c r="AO5937" s="231"/>
      <c r="AP5937" s="231"/>
      <c r="AQ5937" s="227"/>
      <c r="AR5937" s="231"/>
      <c r="AS5937" s="227"/>
      <c r="AT5937" s="227"/>
      <c r="AU5937" s="227"/>
      <c r="AV5937" s="227"/>
      <c r="AW5937" s="227"/>
      <c r="AX5937" s="227"/>
      <c r="AY5937" s="227"/>
      <c r="AZ5937" s="227"/>
      <c r="BA5937" s="227"/>
      <c r="BB5937" s="227"/>
      <c r="BC5937" s="227"/>
      <c r="BD5937" s="227"/>
      <c r="BE5937" s="227"/>
      <c r="BF5937" s="227"/>
    </row>
    <row r="5938">
      <c r="A5938" s="227"/>
      <c r="B5938" s="348"/>
      <c r="C5938" s="227"/>
      <c r="D5938" s="227"/>
      <c r="E5938" s="231"/>
      <c r="F5938" s="348"/>
      <c r="G5938" s="227"/>
      <c r="H5938" s="227"/>
      <c r="I5938" s="227"/>
      <c r="J5938" s="227"/>
      <c r="K5938" s="227"/>
      <c r="L5938" s="348"/>
      <c r="M5938" s="348"/>
      <c r="N5938" s="227"/>
      <c r="O5938" s="227"/>
      <c r="P5938" s="231"/>
      <c r="Q5938" s="231"/>
      <c r="R5938" s="227"/>
      <c r="S5938" s="231"/>
      <c r="T5938" s="231"/>
      <c r="U5938" s="231"/>
      <c r="V5938" s="231"/>
      <c r="W5938" s="231"/>
      <c r="X5938" s="227"/>
      <c r="Y5938" s="348"/>
      <c r="Z5938" s="348"/>
      <c r="AA5938" s="348"/>
      <c r="AB5938" s="348"/>
      <c r="AC5938" s="227"/>
      <c r="AD5938" s="227"/>
      <c r="AE5938" s="231"/>
      <c r="AF5938" s="227"/>
      <c r="AG5938" s="348"/>
      <c r="AH5938" s="348"/>
      <c r="AI5938" s="348"/>
      <c r="AJ5938" s="348"/>
      <c r="AK5938" s="348"/>
      <c r="AL5938" s="348"/>
      <c r="AM5938" s="348"/>
      <c r="AN5938" s="348"/>
      <c r="AO5938" s="231"/>
      <c r="AP5938" s="231"/>
      <c r="AQ5938" s="227"/>
      <c r="AR5938" s="231"/>
      <c r="AS5938" s="227"/>
      <c r="AT5938" s="227"/>
      <c r="AU5938" s="227"/>
      <c r="AV5938" s="227"/>
      <c r="AW5938" s="227"/>
      <c r="AX5938" s="227"/>
      <c r="AY5938" s="227"/>
      <c r="AZ5938" s="227"/>
      <c r="BA5938" s="227"/>
      <c r="BB5938" s="227"/>
      <c r="BC5938" s="227"/>
      <c r="BD5938" s="227"/>
      <c r="BE5938" s="227"/>
      <c r="BF5938" s="227"/>
    </row>
    <row r="5939">
      <c r="A5939" s="227"/>
      <c r="B5939" s="348"/>
      <c r="C5939" s="227"/>
      <c r="D5939" s="227"/>
      <c r="E5939" s="231"/>
      <c r="F5939" s="348"/>
      <c r="G5939" s="227"/>
      <c r="H5939" s="227"/>
      <c r="I5939" s="227"/>
      <c r="J5939" s="227"/>
      <c r="K5939" s="227"/>
      <c r="L5939" s="348"/>
      <c r="M5939" s="348"/>
      <c r="N5939" s="227"/>
      <c r="O5939" s="227"/>
      <c r="P5939" s="231"/>
      <c r="Q5939" s="231"/>
      <c r="R5939" s="227"/>
      <c r="S5939" s="231"/>
      <c r="T5939" s="231"/>
      <c r="U5939" s="231"/>
      <c r="V5939" s="231"/>
      <c r="W5939" s="231"/>
      <c r="X5939" s="227"/>
      <c r="Y5939" s="348"/>
      <c r="Z5939" s="348"/>
      <c r="AA5939" s="348"/>
      <c r="AB5939" s="348"/>
      <c r="AC5939" s="227"/>
      <c r="AD5939" s="227"/>
      <c r="AE5939" s="231"/>
      <c r="AF5939" s="227"/>
      <c r="AG5939" s="348"/>
      <c r="AH5939" s="348"/>
      <c r="AI5939" s="348"/>
      <c r="AJ5939" s="348"/>
      <c r="AK5939" s="348"/>
      <c r="AL5939" s="348"/>
      <c r="AM5939" s="348"/>
      <c r="AN5939" s="348"/>
      <c r="AO5939" s="231"/>
      <c r="AP5939" s="231"/>
      <c r="AQ5939" s="227"/>
      <c r="AR5939" s="231"/>
      <c r="AS5939" s="227"/>
      <c r="AT5939" s="227"/>
      <c r="AU5939" s="227"/>
      <c r="AV5939" s="227"/>
      <c r="AW5939" s="227"/>
      <c r="AX5939" s="227"/>
      <c r="AY5939" s="227"/>
      <c r="AZ5939" s="227"/>
      <c r="BA5939" s="227"/>
      <c r="BB5939" s="227"/>
      <c r="BC5939" s="227"/>
      <c r="BD5939" s="227"/>
      <c r="BE5939" s="227"/>
      <c r="BF5939" s="227"/>
    </row>
    <row r="5940">
      <c r="A5940" s="227"/>
      <c r="B5940" s="348"/>
      <c r="C5940" s="227"/>
      <c r="D5940" s="227"/>
      <c r="E5940" s="231"/>
      <c r="F5940" s="348"/>
      <c r="G5940" s="227"/>
      <c r="H5940" s="227"/>
      <c r="I5940" s="227"/>
      <c r="J5940" s="227"/>
      <c r="K5940" s="227"/>
      <c r="L5940" s="348"/>
      <c r="M5940" s="348"/>
      <c r="N5940" s="227"/>
      <c r="O5940" s="227"/>
      <c r="P5940" s="231"/>
      <c r="Q5940" s="231"/>
      <c r="R5940" s="227"/>
      <c r="S5940" s="231"/>
      <c r="T5940" s="231"/>
      <c r="U5940" s="231"/>
      <c r="V5940" s="231"/>
      <c r="W5940" s="231"/>
      <c r="X5940" s="227"/>
      <c r="Y5940" s="348"/>
      <c r="Z5940" s="348"/>
      <c r="AA5940" s="348"/>
      <c r="AB5940" s="348"/>
      <c r="AC5940" s="227"/>
      <c r="AD5940" s="227"/>
      <c r="AE5940" s="231"/>
      <c r="AF5940" s="227"/>
      <c r="AG5940" s="348"/>
      <c r="AH5940" s="348"/>
      <c r="AI5940" s="348"/>
      <c r="AJ5940" s="348"/>
      <c r="AK5940" s="348"/>
      <c r="AL5940" s="348"/>
      <c r="AM5940" s="348"/>
      <c r="AN5940" s="348"/>
      <c r="AO5940" s="231"/>
      <c r="AP5940" s="231"/>
      <c r="AQ5940" s="227"/>
      <c r="AR5940" s="231"/>
      <c r="AS5940" s="227"/>
      <c r="AT5940" s="227"/>
      <c r="AU5940" s="227"/>
      <c r="AV5940" s="227"/>
      <c r="AW5940" s="227"/>
      <c r="AX5940" s="227"/>
      <c r="AY5940" s="227"/>
      <c r="AZ5940" s="227"/>
      <c r="BA5940" s="227"/>
      <c r="BB5940" s="227"/>
      <c r="BC5940" s="227"/>
      <c r="BD5940" s="227"/>
      <c r="BE5940" s="227"/>
      <c r="BF5940" s="227"/>
    </row>
    <row r="5941">
      <c r="A5941" s="227"/>
      <c r="B5941" s="348"/>
      <c r="C5941" s="227"/>
      <c r="D5941" s="227"/>
      <c r="E5941" s="231"/>
      <c r="F5941" s="348"/>
      <c r="G5941" s="227"/>
      <c r="H5941" s="227"/>
      <c r="I5941" s="227"/>
      <c r="J5941" s="227"/>
      <c r="K5941" s="227"/>
      <c r="L5941" s="348"/>
      <c r="M5941" s="348"/>
      <c r="N5941" s="227"/>
      <c r="O5941" s="227"/>
      <c r="P5941" s="231"/>
      <c r="Q5941" s="231"/>
      <c r="R5941" s="227"/>
      <c r="S5941" s="231"/>
      <c r="T5941" s="231"/>
      <c r="U5941" s="231"/>
      <c r="V5941" s="231"/>
      <c r="W5941" s="231"/>
      <c r="X5941" s="227"/>
      <c r="Y5941" s="348"/>
      <c r="Z5941" s="348"/>
      <c r="AA5941" s="348"/>
      <c r="AB5941" s="348"/>
      <c r="AC5941" s="227"/>
      <c r="AD5941" s="227"/>
      <c r="AE5941" s="231"/>
      <c r="AF5941" s="227"/>
      <c r="AG5941" s="348"/>
      <c r="AH5941" s="348"/>
      <c r="AI5941" s="348"/>
      <c r="AJ5941" s="348"/>
      <c r="AK5941" s="348"/>
      <c r="AL5941" s="348"/>
      <c r="AM5941" s="348"/>
      <c r="AN5941" s="348"/>
      <c r="AO5941" s="231"/>
      <c r="AP5941" s="231"/>
      <c r="AQ5941" s="227"/>
      <c r="AR5941" s="231"/>
      <c r="AS5941" s="227"/>
      <c r="AT5941" s="227"/>
      <c r="AU5941" s="227"/>
      <c r="AV5941" s="227"/>
      <c r="AW5941" s="227"/>
      <c r="AX5941" s="227"/>
      <c r="AY5941" s="227"/>
      <c r="AZ5941" s="227"/>
      <c r="BA5941" s="227"/>
      <c r="BB5941" s="227"/>
      <c r="BC5941" s="227"/>
      <c r="BD5941" s="227"/>
      <c r="BE5941" s="227"/>
      <c r="BF5941" s="227"/>
    </row>
    <row r="5942">
      <c r="A5942" s="227"/>
      <c r="B5942" s="348"/>
      <c r="C5942" s="227"/>
      <c r="D5942" s="227"/>
      <c r="E5942" s="231"/>
      <c r="F5942" s="348"/>
      <c r="G5942" s="227"/>
      <c r="H5942" s="227"/>
      <c r="I5942" s="227"/>
      <c r="J5942" s="227"/>
      <c r="K5942" s="227"/>
      <c r="L5942" s="348"/>
      <c r="M5942" s="348"/>
      <c r="N5942" s="227"/>
      <c r="O5942" s="227"/>
      <c r="P5942" s="231"/>
      <c r="Q5942" s="231"/>
      <c r="R5942" s="227"/>
      <c r="S5942" s="231"/>
      <c r="T5942" s="231"/>
      <c r="U5942" s="231"/>
      <c r="V5942" s="231"/>
      <c r="W5942" s="231"/>
      <c r="X5942" s="227"/>
      <c r="Y5942" s="348"/>
      <c r="Z5942" s="348"/>
      <c r="AA5942" s="348"/>
      <c r="AB5942" s="348"/>
      <c r="AC5942" s="227"/>
      <c r="AD5942" s="227"/>
      <c r="AE5942" s="231"/>
      <c r="AF5942" s="227"/>
      <c r="AG5942" s="348"/>
      <c r="AH5942" s="348"/>
      <c r="AI5942" s="348"/>
      <c r="AJ5942" s="348"/>
      <c r="AK5942" s="348"/>
      <c r="AL5942" s="348"/>
      <c r="AM5942" s="348"/>
      <c r="AN5942" s="348"/>
      <c r="AO5942" s="231"/>
      <c r="AP5942" s="231"/>
      <c r="AQ5942" s="227"/>
      <c r="AR5942" s="231"/>
      <c r="AS5942" s="227"/>
      <c r="AT5942" s="227"/>
      <c r="AU5942" s="227"/>
      <c r="AV5942" s="227"/>
      <c r="AW5942" s="227"/>
      <c r="AX5942" s="227"/>
      <c r="AY5942" s="227"/>
      <c r="AZ5942" s="227"/>
      <c r="BA5942" s="227"/>
      <c r="BB5942" s="227"/>
      <c r="BC5942" s="227"/>
      <c r="BD5942" s="227"/>
      <c r="BE5942" s="227"/>
      <c r="BF5942" s="227"/>
    </row>
    <row r="5943">
      <c r="A5943" s="227"/>
      <c r="B5943" s="348"/>
      <c r="C5943" s="227"/>
      <c r="D5943" s="227"/>
      <c r="E5943" s="231"/>
      <c r="F5943" s="348"/>
      <c r="G5943" s="227"/>
      <c r="H5943" s="227"/>
      <c r="I5943" s="227"/>
      <c r="J5943" s="227"/>
      <c r="K5943" s="227"/>
      <c r="L5943" s="348"/>
      <c r="M5943" s="348"/>
      <c r="N5943" s="227"/>
      <c r="O5943" s="227"/>
      <c r="P5943" s="231"/>
      <c r="Q5943" s="231"/>
      <c r="R5943" s="227"/>
      <c r="S5943" s="231"/>
      <c r="T5943" s="231"/>
      <c r="U5943" s="231"/>
      <c r="V5943" s="231"/>
      <c r="W5943" s="231"/>
      <c r="X5943" s="227"/>
      <c r="Y5943" s="348"/>
      <c r="Z5943" s="348"/>
      <c r="AA5943" s="348"/>
      <c r="AB5943" s="348"/>
      <c r="AC5943" s="227"/>
      <c r="AD5943" s="227"/>
      <c r="AE5943" s="231"/>
      <c r="AF5943" s="227"/>
      <c r="AG5943" s="348"/>
      <c r="AH5943" s="348"/>
      <c r="AI5943" s="348"/>
      <c r="AJ5943" s="348"/>
      <c r="AK5943" s="348"/>
      <c r="AL5943" s="348"/>
      <c r="AM5943" s="348"/>
      <c r="AN5943" s="348"/>
      <c r="AO5943" s="231"/>
      <c r="AP5943" s="231"/>
      <c r="AQ5943" s="227"/>
      <c r="AR5943" s="231"/>
      <c r="AS5943" s="227"/>
      <c r="AT5943" s="227"/>
      <c r="AU5943" s="227"/>
      <c r="AV5943" s="227"/>
      <c r="AW5943" s="227"/>
      <c r="AX5943" s="227"/>
      <c r="AY5943" s="227"/>
      <c r="AZ5943" s="227"/>
      <c r="BA5943" s="227"/>
      <c r="BB5943" s="227"/>
      <c r="BC5943" s="227"/>
      <c r="BD5943" s="227"/>
      <c r="BE5943" s="227"/>
      <c r="BF5943" s="227"/>
    </row>
    <row r="5944">
      <c r="A5944" s="227"/>
      <c r="B5944" s="348"/>
      <c r="C5944" s="227"/>
      <c r="D5944" s="227"/>
      <c r="E5944" s="231"/>
      <c r="F5944" s="348"/>
      <c r="G5944" s="227"/>
      <c r="H5944" s="227"/>
      <c r="I5944" s="227"/>
      <c r="J5944" s="227"/>
      <c r="K5944" s="227"/>
      <c r="L5944" s="348"/>
      <c r="M5944" s="348"/>
      <c r="N5944" s="227"/>
      <c r="O5944" s="227"/>
      <c r="P5944" s="231"/>
      <c r="Q5944" s="231"/>
      <c r="R5944" s="227"/>
      <c r="S5944" s="231"/>
      <c r="T5944" s="231"/>
      <c r="U5944" s="231"/>
      <c r="V5944" s="231"/>
      <c r="W5944" s="231"/>
      <c r="X5944" s="227"/>
      <c r="Y5944" s="348"/>
      <c r="Z5944" s="348"/>
      <c r="AA5944" s="348"/>
      <c r="AB5944" s="348"/>
      <c r="AC5944" s="227"/>
      <c r="AD5944" s="227"/>
      <c r="AE5944" s="231"/>
      <c r="AF5944" s="227"/>
      <c r="AG5944" s="348"/>
      <c r="AH5944" s="348"/>
      <c r="AI5944" s="348"/>
      <c r="AJ5944" s="348"/>
      <c r="AK5944" s="348"/>
      <c r="AL5944" s="348"/>
      <c r="AM5944" s="348"/>
      <c r="AN5944" s="348"/>
      <c r="AO5944" s="231"/>
      <c r="AP5944" s="231"/>
      <c r="AQ5944" s="227"/>
      <c r="AR5944" s="231"/>
      <c r="AS5944" s="227"/>
      <c r="AT5944" s="227"/>
      <c r="AU5944" s="227"/>
      <c r="AV5944" s="227"/>
      <c r="AW5944" s="227"/>
      <c r="AX5944" s="227"/>
      <c r="AY5944" s="227"/>
      <c r="AZ5944" s="227"/>
      <c r="BA5944" s="227"/>
      <c r="BB5944" s="227"/>
      <c r="BC5944" s="227"/>
      <c r="BD5944" s="227"/>
      <c r="BE5944" s="227"/>
      <c r="BF5944" s="227"/>
    </row>
    <row r="5945">
      <c r="A5945" s="227"/>
      <c r="B5945" s="348"/>
      <c r="C5945" s="227"/>
      <c r="D5945" s="227"/>
      <c r="E5945" s="231"/>
      <c r="F5945" s="348"/>
      <c r="G5945" s="227"/>
      <c r="H5945" s="227"/>
      <c r="I5945" s="227"/>
      <c r="J5945" s="227"/>
      <c r="K5945" s="227"/>
      <c r="L5945" s="348"/>
      <c r="M5945" s="348"/>
      <c r="N5945" s="227"/>
      <c r="O5945" s="227"/>
      <c r="P5945" s="231"/>
      <c r="Q5945" s="231"/>
      <c r="R5945" s="227"/>
      <c r="S5945" s="231"/>
      <c r="T5945" s="231"/>
      <c r="U5945" s="231"/>
      <c r="V5945" s="231"/>
      <c r="W5945" s="231"/>
      <c r="X5945" s="227"/>
      <c r="Y5945" s="348"/>
      <c r="Z5945" s="348"/>
      <c r="AA5945" s="348"/>
      <c r="AB5945" s="348"/>
      <c r="AC5945" s="227"/>
      <c r="AD5945" s="227"/>
      <c r="AE5945" s="231"/>
      <c r="AF5945" s="227"/>
      <c r="AG5945" s="348"/>
      <c r="AH5945" s="348"/>
      <c r="AI5945" s="348"/>
      <c r="AJ5945" s="348"/>
      <c r="AK5945" s="348"/>
      <c r="AL5945" s="348"/>
      <c r="AM5945" s="348"/>
      <c r="AN5945" s="348"/>
      <c r="AO5945" s="231"/>
      <c r="AP5945" s="231"/>
      <c r="AQ5945" s="227"/>
      <c r="AR5945" s="231"/>
      <c r="AS5945" s="227"/>
      <c r="AT5945" s="227"/>
      <c r="AU5945" s="227"/>
      <c r="AV5945" s="227"/>
      <c r="AW5945" s="227"/>
      <c r="AX5945" s="227"/>
      <c r="AY5945" s="227"/>
      <c r="AZ5945" s="227"/>
      <c r="BA5945" s="227"/>
      <c r="BB5945" s="227"/>
      <c r="BC5945" s="227"/>
      <c r="BD5945" s="227"/>
      <c r="BE5945" s="227"/>
      <c r="BF5945" s="227"/>
    </row>
    <row r="5946">
      <c r="A5946" s="227"/>
      <c r="B5946" s="348"/>
      <c r="C5946" s="227"/>
      <c r="D5946" s="227"/>
      <c r="E5946" s="231"/>
      <c r="F5946" s="348"/>
      <c r="G5946" s="227"/>
      <c r="H5946" s="227"/>
      <c r="I5946" s="227"/>
      <c r="J5946" s="227"/>
      <c r="K5946" s="227"/>
      <c r="L5946" s="348"/>
      <c r="M5946" s="348"/>
      <c r="N5946" s="227"/>
      <c r="O5946" s="227"/>
      <c r="P5946" s="231"/>
      <c r="Q5946" s="231"/>
      <c r="R5946" s="227"/>
      <c r="S5946" s="231"/>
      <c r="T5946" s="231"/>
      <c r="U5946" s="231"/>
      <c r="V5946" s="231"/>
      <c r="W5946" s="231"/>
      <c r="X5946" s="227"/>
      <c r="Y5946" s="348"/>
      <c r="Z5946" s="348"/>
      <c r="AA5946" s="348"/>
      <c r="AB5946" s="348"/>
      <c r="AC5946" s="227"/>
      <c r="AD5946" s="227"/>
      <c r="AE5946" s="231"/>
      <c r="AF5946" s="227"/>
      <c r="AG5946" s="348"/>
      <c r="AH5946" s="348"/>
      <c r="AI5946" s="348"/>
      <c r="AJ5946" s="348"/>
      <c r="AK5946" s="348"/>
      <c r="AL5946" s="348"/>
      <c r="AM5946" s="348"/>
      <c r="AN5946" s="348"/>
      <c r="AO5946" s="231"/>
      <c r="AP5946" s="231"/>
      <c r="AQ5946" s="227"/>
      <c r="AR5946" s="231"/>
      <c r="AS5946" s="227"/>
      <c r="AT5946" s="227"/>
      <c r="AU5946" s="227"/>
      <c r="AV5946" s="227"/>
      <c r="AW5946" s="227"/>
      <c r="AX5946" s="227"/>
      <c r="AY5946" s="227"/>
      <c r="AZ5946" s="227"/>
      <c r="BA5946" s="227"/>
      <c r="BB5946" s="227"/>
      <c r="BC5946" s="227"/>
      <c r="BD5946" s="227"/>
      <c r="BE5946" s="227"/>
      <c r="BF5946" s="227"/>
    </row>
    <row r="5947">
      <c r="A5947" s="227"/>
      <c r="B5947" s="348"/>
      <c r="C5947" s="227"/>
      <c r="D5947" s="227"/>
      <c r="E5947" s="231"/>
      <c r="F5947" s="348"/>
      <c r="G5947" s="227"/>
      <c r="H5947" s="227"/>
      <c r="I5947" s="227"/>
      <c r="J5947" s="227"/>
      <c r="K5947" s="227"/>
      <c r="L5947" s="348"/>
      <c r="M5947" s="348"/>
      <c r="N5947" s="227"/>
      <c r="O5947" s="227"/>
      <c r="P5947" s="231"/>
      <c r="Q5947" s="231"/>
      <c r="R5947" s="227"/>
      <c r="S5947" s="231"/>
      <c r="T5947" s="231"/>
      <c r="U5947" s="231"/>
      <c r="V5947" s="231"/>
      <c r="W5947" s="231"/>
      <c r="X5947" s="227"/>
      <c r="Y5947" s="348"/>
      <c r="Z5947" s="348"/>
      <c r="AA5947" s="348"/>
      <c r="AB5947" s="348"/>
      <c r="AC5947" s="227"/>
      <c r="AD5947" s="227"/>
      <c r="AE5947" s="231"/>
      <c r="AF5947" s="227"/>
      <c r="AG5947" s="348"/>
      <c r="AH5947" s="348"/>
      <c r="AI5947" s="348"/>
      <c r="AJ5947" s="348"/>
      <c r="AK5947" s="348"/>
      <c r="AL5947" s="348"/>
      <c r="AM5947" s="348"/>
      <c r="AN5947" s="348"/>
      <c r="AO5947" s="231"/>
      <c r="AP5947" s="231"/>
      <c r="AQ5947" s="227"/>
      <c r="AR5947" s="231"/>
      <c r="AS5947" s="227"/>
      <c r="AT5947" s="227"/>
      <c r="AU5947" s="227"/>
      <c r="AV5947" s="227"/>
      <c r="AW5947" s="227"/>
      <c r="AX5947" s="227"/>
      <c r="AY5947" s="227"/>
      <c r="AZ5947" s="227"/>
      <c r="BA5947" s="227"/>
      <c r="BB5947" s="227"/>
      <c r="BC5947" s="227"/>
      <c r="BD5947" s="227"/>
      <c r="BE5947" s="227"/>
      <c r="BF5947" s="227"/>
    </row>
    <row r="5948">
      <c r="A5948" s="227"/>
      <c r="B5948" s="348"/>
      <c r="C5948" s="227"/>
      <c r="D5948" s="227"/>
      <c r="E5948" s="231"/>
      <c r="F5948" s="348"/>
      <c r="G5948" s="227"/>
      <c r="H5948" s="227"/>
      <c r="I5948" s="227"/>
      <c r="J5948" s="227"/>
      <c r="K5948" s="227"/>
      <c r="L5948" s="348"/>
      <c r="M5948" s="348"/>
      <c r="N5948" s="227"/>
      <c r="O5948" s="227"/>
      <c r="P5948" s="231"/>
      <c r="Q5948" s="231"/>
      <c r="R5948" s="227"/>
      <c r="S5948" s="231"/>
      <c r="T5948" s="231"/>
      <c r="U5948" s="231"/>
      <c r="V5948" s="231"/>
      <c r="W5948" s="231"/>
      <c r="X5948" s="227"/>
      <c r="Y5948" s="348"/>
      <c r="Z5948" s="348"/>
      <c r="AA5948" s="348"/>
      <c r="AB5948" s="348"/>
      <c r="AC5948" s="227"/>
      <c r="AD5948" s="227"/>
      <c r="AE5948" s="231"/>
      <c r="AF5948" s="227"/>
      <c r="AG5948" s="348"/>
      <c r="AH5948" s="348"/>
      <c r="AI5948" s="348"/>
      <c r="AJ5948" s="348"/>
      <c r="AK5948" s="348"/>
      <c r="AL5948" s="348"/>
      <c r="AM5948" s="348"/>
      <c r="AN5948" s="348"/>
      <c r="AO5948" s="231"/>
      <c r="AP5948" s="231"/>
      <c r="AQ5948" s="227"/>
      <c r="AR5948" s="231"/>
      <c r="AS5948" s="227"/>
      <c r="AT5948" s="227"/>
      <c r="AU5948" s="227"/>
      <c r="AV5948" s="227"/>
      <c r="AW5948" s="227"/>
      <c r="AX5948" s="227"/>
      <c r="AY5948" s="227"/>
      <c r="AZ5948" s="227"/>
      <c r="BA5948" s="227"/>
      <c r="BB5948" s="227"/>
      <c r="BC5948" s="227"/>
      <c r="BD5948" s="227"/>
      <c r="BE5948" s="227"/>
      <c r="BF5948" s="227"/>
    </row>
    <row r="5949">
      <c r="A5949" s="227"/>
      <c r="B5949" s="348"/>
      <c r="C5949" s="227"/>
      <c r="D5949" s="227"/>
      <c r="E5949" s="231"/>
      <c r="F5949" s="348"/>
      <c r="G5949" s="227"/>
      <c r="H5949" s="227"/>
      <c r="I5949" s="227"/>
      <c r="J5949" s="227"/>
      <c r="K5949" s="227"/>
      <c r="L5949" s="348"/>
      <c r="M5949" s="348"/>
      <c r="N5949" s="227"/>
      <c r="O5949" s="227"/>
      <c r="P5949" s="231"/>
      <c r="Q5949" s="231"/>
      <c r="R5949" s="227"/>
      <c r="S5949" s="231"/>
      <c r="T5949" s="231"/>
      <c r="U5949" s="231"/>
      <c r="V5949" s="231"/>
      <c r="W5949" s="231"/>
      <c r="X5949" s="227"/>
      <c r="Y5949" s="348"/>
      <c r="Z5949" s="348"/>
      <c r="AA5949" s="348"/>
      <c r="AB5949" s="348"/>
      <c r="AC5949" s="227"/>
      <c r="AD5949" s="227"/>
      <c r="AE5949" s="231"/>
      <c r="AF5949" s="227"/>
      <c r="AG5949" s="348"/>
      <c r="AH5949" s="348"/>
      <c r="AI5949" s="348"/>
      <c r="AJ5949" s="348"/>
      <c r="AK5949" s="348"/>
      <c r="AL5949" s="348"/>
      <c r="AM5949" s="348"/>
      <c r="AN5949" s="348"/>
      <c r="AO5949" s="231"/>
      <c r="AP5949" s="231"/>
      <c r="AQ5949" s="227"/>
      <c r="AR5949" s="231"/>
      <c r="AS5949" s="227"/>
      <c r="AT5949" s="227"/>
      <c r="AU5949" s="227"/>
      <c r="AV5949" s="227"/>
      <c r="AW5949" s="227"/>
      <c r="AX5949" s="227"/>
      <c r="AY5949" s="227"/>
      <c r="AZ5949" s="227"/>
      <c r="BA5949" s="227"/>
      <c r="BB5949" s="227"/>
      <c r="BC5949" s="227"/>
      <c r="BD5949" s="227"/>
      <c r="BE5949" s="227"/>
      <c r="BF5949" s="227"/>
    </row>
    <row r="5950">
      <c r="A5950" s="227"/>
      <c r="B5950" s="348"/>
      <c r="C5950" s="227"/>
      <c r="D5950" s="227"/>
      <c r="E5950" s="231"/>
      <c r="F5950" s="348"/>
      <c r="G5950" s="227"/>
      <c r="H5950" s="227"/>
      <c r="I5950" s="227"/>
      <c r="J5950" s="227"/>
      <c r="K5950" s="227"/>
      <c r="L5950" s="348"/>
      <c r="M5950" s="348"/>
      <c r="N5950" s="227"/>
      <c r="O5950" s="227"/>
      <c r="P5950" s="231"/>
      <c r="Q5950" s="231"/>
      <c r="R5950" s="227"/>
      <c r="S5950" s="231"/>
      <c r="T5950" s="231"/>
      <c r="U5950" s="231"/>
      <c r="V5950" s="231"/>
      <c r="W5950" s="231"/>
      <c r="X5950" s="227"/>
      <c r="Y5950" s="348"/>
      <c r="Z5950" s="348"/>
      <c r="AA5950" s="348"/>
      <c r="AB5950" s="348"/>
      <c r="AC5950" s="227"/>
      <c r="AD5950" s="227"/>
      <c r="AE5950" s="231"/>
      <c r="AF5950" s="227"/>
      <c r="AG5950" s="348"/>
      <c r="AH5950" s="348"/>
      <c r="AI5950" s="348"/>
      <c r="AJ5950" s="348"/>
      <c r="AK5950" s="348"/>
      <c r="AL5950" s="348"/>
      <c r="AM5950" s="348"/>
      <c r="AN5950" s="348"/>
      <c r="AO5950" s="231"/>
      <c r="AP5950" s="231"/>
      <c r="AQ5950" s="227"/>
      <c r="AR5950" s="231"/>
      <c r="AS5950" s="227"/>
      <c r="AT5950" s="227"/>
      <c r="AU5950" s="227"/>
      <c r="AV5950" s="227"/>
      <c r="AW5950" s="227"/>
      <c r="AX5950" s="227"/>
      <c r="AY5950" s="227"/>
      <c r="AZ5950" s="227"/>
      <c r="BA5950" s="227"/>
      <c r="BB5950" s="227"/>
      <c r="BC5950" s="227"/>
      <c r="BD5950" s="227"/>
      <c r="BE5950" s="227"/>
      <c r="BF5950" s="227"/>
    </row>
    <row r="5951">
      <c r="A5951" s="227"/>
      <c r="B5951" s="348"/>
      <c r="C5951" s="227"/>
      <c r="D5951" s="227"/>
      <c r="E5951" s="231"/>
      <c r="F5951" s="348"/>
      <c r="G5951" s="227"/>
      <c r="H5951" s="227"/>
      <c r="I5951" s="227"/>
      <c r="J5951" s="227"/>
      <c r="K5951" s="227"/>
      <c r="L5951" s="348"/>
      <c r="M5951" s="348"/>
      <c r="N5951" s="227"/>
      <c r="O5951" s="227"/>
      <c r="P5951" s="231"/>
      <c r="Q5951" s="231"/>
      <c r="R5951" s="227"/>
      <c r="S5951" s="231"/>
      <c r="T5951" s="231"/>
      <c r="U5951" s="231"/>
      <c r="V5951" s="231"/>
      <c r="W5951" s="231"/>
      <c r="X5951" s="227"/>
      <c r="Y5951" s="348"/>
      <c r="Z5951" s="348"/>
      <c r="AA5951" s="348"/>
      <c r="AB5951" s="348"/>
      <c r="AC5951" s="227"/>
      <c r="AD5951" s="227"/>
      <c r="AE5951" s="231"/>
      <c r="AF5951" s="227"/>
      <c r="AG5951" s="348"/>
      <c r="AH5951" s="348"/>
      <c r="AI5951" s="348"/>
      <c r="AJ5951" s="348"/>
      <c r="AK5951" s="348"/>
      <c r="AL5951" s="348"/>
      <c r="AM5951" s="348"/>
      <c r="AN5951" s="348"/>
      <c r="AO5951" s="231"/>
      <c r="AP5951" s="231"/>
      <c r="AQ5951" s="227"/>
      <c r="AR5951" s="231"/>
      <c r="AS5951" s="227"/>
      <c r="AT5951" s="227"/>
      <c r="AU5951" s="227"/>
      <c r="AV5951" s="227"/>
      <c r="AW5951" s="227"/>
      <c r="AX5951" s="227"/>
      <c r="AY5951" s="227"/>
      <c r="AZ5951" s="227"/>
      <c r="BA5951" s="227"/>
      <c r="BB5951" s="227"/>
      <c r="BC5951" s="227"/>
      <c r="BD5951" s="227"/>
      <c r="BE5951" s="227"/>
      <c r="BF5951" s="227"/>
    </row>
    <row r="5952">
      <c r="A5952" s="227"/>
      <c r="B5952" s="348"/>
      <c r="C5952" s="227"/>
      <c r="D5952" s="227"/>
      <c r="E5952" s="231"/>
      <c r="F5952" s="348"/>
      <c r="G5952" s="227"/>
      <c r="H5952" s="227"/>
      <c r="I5952" s="227"/>
      <c r="J5952" s="227"/>
      <c r="K5952" s="227"/>
      <c r="L5952" s="348"/>
      <c r="M5952" s="348"/>
      <c r="N5952" s="227"/>
      <c r="O5952" s="227"/>
      <c r="P5952" s="231"/>
      <c r="Q5952" s="231"/>
      <c r="R5952" s="227"/>
      <c r="S5952" s="231"/>
      <c r="T5952" s="231"/>
      <c r="U5952" s="231"/>
      <c r="V5952" s="231"/>
      <c r="W5952" s="231"/>
      <c r="X5952" s="227"/>
      <c r="Y5952" s="348"/>
      <c r="Z5952" s="348"/>
      <c r="AA5952" s="348"/>
      <c r="AB5952" s="348"/>
      <c r="AC5952" s="227"/>
      <c r="AD5952" s="227"/>
      <c r="AE5952" s="231"/>
      <c r="AF5952" s="227"/>
      <c r="AG5952" s="348"/>
      <c r="AH5952" s="348"/>
      <c r="AI5952" s="348"/>
      <c r="AJ5952" s="348"/>
      <c r="AK5952" s="348"/>
      <c r="AL5952" s="348"/>
      <c r="AM5952" s="348"/>
      <c r="AN5952" s="348"/>
      <c r="AO5952" s="231"/>
      <c r="AP5952" s="231"/>
      <c r="AQ5952" s="227"/>
      <c r="AR5952" s="231"/>
      <c r="AS5952" s="227"/>
      <c r="AT5952" s="227"/>
      <c r="AU5952" s="227"/>
      <c r="AV5952" s="227"/>
      <c r="AW5952" s="227"/>
      <c r="AX5952" s="227"/>
      <c r="AY5952" s="227"/>
      <c r="AZ5952" s="227"/>
      <c r="BA5952" s="227"/>
      <c r="BB5952" s="227"/>
      <c r="BC5952" s="227"/>
      <c r="BD5952" s="227"/>
      <c r="BE5952" s="227"/>
      <c r="BF5952" s="227"/>
    </row>
    <row r="5953">
      <c r="A5953" s="227"/>
      <c r="B5953" s="348"/>
      <c r="C5953" s="227"/>
      <c r="D5953" s="227"/>
      <c r="E5953" s="231"/>
      <c r="F5953" s="348"/>
      <c r="G5953" s="227"/>
      <c r="H5953" s="227"/>
      <c r="I5953" s="227"/>
      <c r="J5953" s="227"/>
      <c r="K5953" s="227"/>
      <c r="L5953" s="348"/>
      <c r="M5953" s="348"/>
      <c r="N5953" s="227"/>
      <c r="O5953" s="227"/>
      <c r="P5953" s="231"/>
      <c r="Q5953" s="231"/>
      <c r="R5953" s="227"/>
      <c r="S5953" s="231"/>
      <c r="T5953" s="231"/>
      <c r="U5953" s="231"/>
      <c r="V5953" s="231"/>
      <c r="W5953" s="231"/>
      <c r="X5953" s="227"/>
      <c r="Y5953" s="348"/>
      <c r="Z5953" s="348"/>
      <c r="AA5953" s="348"/>
      <c r="AB5953" s="348"/>
      <c r="AC5953" s="227"/>
      <c r="AD5953" s="227"/>
      <c r="AE5953" s="231"/>
      <c r="AF5953" s="227"/>
      <c r="AG5953" s="348"/>
      <c r="AH5953" s="348"/>
      <c r="AI5953" s="348"/>
      <c r="AJ5953" s="348"/>
      <c r="AK5953" s="348"/>
      <c r="AL5953" s="348"/>
      <c r="AM5953" s="348"/>
      <c r="AN5953" s="348"/>
      <c r="AO5953" s="231"/>
      <c r="AP5953" s="231"/>
      <c r="AQ5953" s="227"/>
      <c r="AR5953" s="231"/>
      <c r="AS5953" s="227"/>
      <c r="AT5953" s="227"/>
      <c r="AU5953" s="227"/>
      <c r="AV5953" s="227"/>
      <c r="AW5953" s="227"/>
      <c r="AX5953" s="227"/>
      <c r="AY5953" s="227"/>
      <c r="AZ5953" s="227"/>
      <c r="BA5953" s="227"/>
      <c r="BB5953" s="227"/>
      <c r="BC5953" s="227"/>
      <c r="BD5953" s="227"/>
      <c r="BE5953" s="227"/>
      <c r="BF5953" s="227"/>
    </row>
    <row r="5954">
      <c r="A5954" s="227"/>
      <c r="B5954" s="348"/>
      <c r="C5954" s="227"/>
      <c r="D5954" s="227"/>
      <c r="E5954" s="231"/>
      <c r="F5954" s="348"/>
      <c r="G5954" s="227"/>
      <c r="H5954" s="227"/>
      <c r="I5954" s="227"/>
      <c r="J5954" s="227"/>
      <c r="K5954" s="227"/>
      <c r="L5954" s="348"/>
      <c r="M5954" s="348"/>
      <c r="N5954" s="227"/>
      <c r="O5954" s="227"/>
      <c r="P5954" s="231"/>
      <c r="Q5954" s="231"/>
      <c r="R5954" s="227"/>
      <c r="S5954" s="231"/>
      <c r="T5954" s="231"/>
      <c r="U5954" s="231"/>
      <c r="V5954" s="231"/>
      <c r="W5954" s="231"/>
      <c r="X5954" s="227"/>
      <c r="Y5954" s="348"/>
      <c r="Z5954" s="348"/>
      <c r="AA5954" s="348"/>
      <c r="AB5954" s="348"/>
      <c r="AC5954" s="227"/>
      <c r="AD5954" s="227"/>
      <c r="AE5954" s="231"/>
      <c r="AF5954" s="227"/>
      <c r="AG5954" s="348"/>
      <c r="AH5954" s="348"/>
      <c r="AI5954" s="348"/>
      <c r="AJ5954" s="348"/>
      <c r="AK5954" s="348"/>
      <c r="AL5954" s="348"/>
      <c r="AM5954" s="348"/>
      <c r="AN5954" s="348"/>
      <c r="AO5954" s="231"/>
      <c r="AP5954" s="231"/>
      <c r="AQ5954" s="227"/>
      <c r="AR5954" s="231"/>
      <c r="AS5954" s="227"/>
      <c r="AT5954" s="227"/>
      <c r="AU5954" s="227"/>
      <c r="AV5954" s="227"/>
      <c r="AW5954" s="227"/>
      <c r="AX5954" s="227"/>
      <c r="AY5954" s="227"/>
      <c r="AZ5954" s="227"/>
      <c r="BA5954" s="227"/>
      <c r="BB5954" s="227"/>
      <c r="BC5954" s="227"/>
      <c r="BD5954" s="227"/>
      <c r="BE5954" s="227"/>
      <c r="BF5954" s="227"/>
    </row>
    <row r="5955">
      <c r="A5955" s="227"/>
      <c r="B5955" s="348"/>
      <c r="C5955" s="227"/>
      <c r="D5955" s="227"/>
      <c r="E5955" s="231"/>
      <c r="F5955" s="348"/>
      <c r="G5955" s="227"/>
      <c r="H5955" s="227"/>
      <c r="I5955" s="227"/>
      <c r="J5955" s="227"/>
      <c r="K5955" s="227"/>
      <c r="L5955" s="348"/>
      <c r="M5955" s="348"/>
      <c r="N5955" s="227"/>
      <c r="O5955" s="227"/>
      <c r="P5955" s="231"/>
      <c r="Q5955" s="231"/>
      <c r="R5955" s="227"/>
      <c r="S5955" s="231"/>
      <c r="T5955" s="231"/>
      <c r="U5955" s="231"/>
      <c r="V5955" s="231"/>
      <c r="W5955" s="231"/>
      <c r="X5955" s="227"/>
      <c r="Y5955" s="348"/>
      <c r="Z5955" s="348"/>
      <c r="AA5955" s="348"/>
      <c r="AB5955" s="348"/>
      <c r="AC5955" s="227"/>
      <c r="AD5955" s="227"/>
      <c r="AE5955" s="231"/>
      <c r="AF5955" s="227"/>
      <c r="AG5955" s="348"/>
      <c r="AH5955" s="348"/>
      <c r="AI5955" s="348"/>
      <c r="AJ5955" s="348"/>
      <c r="AK5955" s="348"/>
      <c r="AL5955" s="348"/>
      <c r="AM5955" s="348"/>
      <c r="AN5955" s="348"/>
      <c r="AO5955" s="231"/>
      <c r="AP5955" s="231"/>
      <c r="AQ5955" s="227"/>
      <c r="AR5955" s="231"/>
      <c r="AS5955" s="227"/>
      <c r="AT5955" s="227"/>
      <c r="AU5955" s="227"/>
      <c r="AV5955" s="227"/>
      <c r="AW5955" s="227"/>
      <c r="AX5955" s="227"/>
      <c r="AY5955" s="227"/>
      <c r="AZ5955" s="227"/>
      <c r="BA5955" s="227"/>
      <c r="BB5955" s="227"/>
      <c r="BC5955" s="227"/>
      <c r="BD5955" s="227"/>
      <c r="BE5955" s="227"/>
      <c r="BF5955" s="227"/>
    </row>
    <row r="5956">
      <c r="A5956" s="227"/>
      <c r="B5956" s="348"/>
      <c r="C5956" s="227"/>
      <c r="D5956" s="227"/>
      <c r="E5956" s="231"/>
      <c r="F5956" s="348"/>
      <c r="G5956" s="227"/>
      <c r="H5956" s="227"/>
      <c r="I5956" s="227"/>
      <c r="J5956" s="227"/>
      <c r="K5956" s="227"/>
      <c r="L5956" s="348"/>
      <c r="M5956" s="348"/>
      <c r="N5956" s="227"/>
      <c r="O5956" s="227"/>
      <c r="P5956" s="231"/>
      <c r="Q5956" s="231"/>
      <c r="R5956" s="227"/>
      <c r="S5956" s="231"/>
      <c r="T5956" s="231"/>
      <c r="U5956" s="231"/>
      <c r="V5956" s="231"/>
      <c r="W5956" s="231"/>
      <c r="X5956" s="227"/>
      <c r="Y5956" s="348"/>
      <c r="Z5956" s="348"/>
      <c r="AA5956" s="348"/>
      <c r="AB5956" s="348"/>
      <c r="AC5956" s="227"/>
      <c r="AD5956" s="227"/>
      <c r="AE5956" s="231"/>
      <c r="AF5956" s="227"/>
      <c r="AG5956" s="348"/>
      <c r="AH5956" s="348"/>
      <c r="AI5956" s="348"/>
      <c r="AJ5956" s="348"/>
      <c r="AK5956" s="348"/>
      <c r="AL5956" s="348"/>
      <c r="AM5956" s="348"/>
      <c r="AN5956" s="348"/>
      <c r="AO5956" s="231"/>
      <c r="AP5956" s="231"/>
      <c r="AQ5956" s="227"/>
      <c r="AR5956" s="231"/>
      <c r="AS5956" s="227"/>
      <c r="AT5956" s="227"/>
      <c r="AU5956" s="227"/>
      <c r="AV5956" s="227"/>
      <c r="AW5956" s="227"/>
      <c r="AX5956" s="227"/>
      <c r="AY5956" s="227"/>
      <c r="AZ5956" s="227"/>
      <c r="BA5956" s="227"/>
      <c r="BB5956" s="227"/>
      <c r="BC5956" s="227"/>
      <c r="BD5956" s="227"/>
      <c r="BE5956" s="227"/>
      <c r="BF5956" s="227"/>
    </row>
    <row r="5957">
      <c r="A5957" s="227"/>
      <c r="B5957" s="348"/>
      <c r="C5957" s="227"/>
      <c r="D5957" s="227"/>
      <c r="E5957" s="231"/>
      <c r="F5957" s="348"/>
      <c r="G5957" s="227"/>
      <c r="H5957" s="227"/>
      <c r="I5957" s="227"/>
      <c r="J5957" s="227"/>
      <c r="K5957" s="227"/>
      <c r="L5957" s="348"/>
      <c r="M5957" s="348"/>
      <c r="N5957" s="227"/>
      <c r="O5957" s="227"/>
      <c r="P5957" s="231"/>
      <c r="Q5957" s="231"/>
      <c r="R5957" s="227"/>
      <c r="S5957" s="231"/>
      <c r="T5957" s="231"/>
      <c r="U5957" s="231"/>
      <c r="V5957" s="231"/>
      <c r="W5957" s="231"/>
      <c r="X5957" s="227"/>
      <c r="Y5957" s="348"/>
      <c r="Z5957" s="348"/>
      <c r="AA5957" s="348"/>
      <c r="AB5957" s="348"/>
      <c r="AC5957" s="227"/>
      <c r="AD5957" s="227"/>
      <c r="AE5957" s="231"/>
      <c r="AF5957" s="227"/>
      <c r="AG5957" s="348"/>
      <c r="AH5957" s="348"/>
      <c r="AI5957" s="348"/>
      <c r="AJ5957" s="348"/>
      <c r="AK5957" s="348"/>
      <c r="AL5957" s="348"/>
      <c r="AM5957" s="348"/>
      <c r="AN5957" s="348"/>
      <c r="AO5957" s="231"/>
      <c r="AP5957" s="231"/>
      <c r="AQ5957" s="227"/>
      <c r="AR5957" s="231"/>
      <c r="AS5957" s="227"/>
      <c r="AT5957" s="227"/>
      <c r="AU5957" s="227"/>
      <c r="AV5957" s="227"/>
      <c r="AW5957" s="227"/>
      <c r="AX5957" s="227"/>
      <c r="AY5957" s="227"/>
      <c r="AZ5957" s="227"/>
      <c r="BA5957" s="227"/>
      <c r="BB5957" s="227"/>
      <c r="BC5957" s="227"/>
      <c r="BD5957" s="227"/>
      <c r="BE5957" s="227"/>
      <c r="BF5957" s="227"/>
    </row>
    <row r="5958">
      <c r="A5958" s="227"/>
      <c r="B5958" s="348"/>
      <c r="C5958" s="227"/>
      <c r="D5958" s="227"/>
      <c r="E5958" s="231"/>
      <c r="F5958" s="348"/>
      <c r="G5958" s="227"/>
      <c r="H5958" s="227"/>
      <c r="I5958" s="227"/>
      <c r="J5958" s="227"/>
      <c r="K5958" s="227"/>
      <c r="L5958" s="348"/>
      <c r="M5958" s="348"/>
      <c r="N5958" s="227"/>
      <c r="O5958" s="227"/>
      <c r="P5958" s="231"/>
      <c r="Q5958" s="231"/>
      <c r="R5958" s="227"/>
      <c r="S5958" s="231"/>
      <c r="T5958" s="231"/>
      <c r="U5958" s="231"/>
      <c r="V5958" s="231"/>
      <c r="W5958" s="231"/>
      <c r="X5958" s="227"/>
      <c r="Y5958" s="348"/>
      <c r="Z5958" s="348"/>
      <c r="AA5958" s="348"/>
      <c r="AB5958" s="348"/>
      <c r="AC5958" s="227"/>
      <c r="AD5958" s="227"/>
      <c r="AE5958" s="231"/>
      <c r="AF5958" s="227"/>
      <c r="AG5958" s="348"/>
      <c r="AH5958" s="348"/>
      <c r="AI5958" s="348"/>
      <c r="AJ5958" s="348"/>
      <c r="AK5958" s="348"/>
      <c r="AL5958" s="348"/>
      <c r="AM5958" s="348"/>
      <c r="AN5958" s="348"/>
      <c r="AO5958" s="231"/>
      <c r="AP5958" s="231"/>
      <c r="AQ5958" s="227"/>
      <c r="AR5958" s="231"/>
      <c r="AS5958" s="227"/>
      <c r="AT5958" s="227"/>
      <c r="AU5958" s="227"/>
      <c r="AV5958" s="227"/>
      <c r="AW5958" s="227"/>
      <c r="AX5958" s="227"/>
      <c r="AY5958" s="227"/>
      <c r="AZ5958" s="227"/>
      <c r="BA5958" s="227"/>
      <c r="BB5958" s="227"/>
      <c r="BC5958" s="227"/>
      <c r="BD5958" s="227"/>
      <c r="BE5958" s="227"/>
      <c r="BF5958" s="227"/>
    </row>
    <row r="5959">
      <c r="A5959" s="227"/>
      <c r="B5959" s="348"/>
      <c r="C5959" s="227"/>
      <c r="D5959" s="227"/>
      <c r="E5959" s="231"/>
      <c r="F5959" s="348"/>
      <c r="G5959" s="227"/>
      <c r="H5959" s="227"/>
      <c r="I5959" s="227"/>
      <c r="J5959" s="227"/>
      <c r="K5959" s="227"/>
      <c r="L5959" s="348"/>
      <c r="M5959" s="348"/>
      <c r="N5959" s="227"/>
      <c r="O5959" s="227"/>
      <c r="P5959" s="231"/>
      <c r="Q5959" s="231"/>
      <c r="R5959" s="227"/>
      <c r="S5959" s="231"/>
      <c r="T5959" s="231"/>
      <c r="U5959" s="231"/>
      <c r="V5959" s="231"/>
      <c r="W5959" s="231"/>
      <c r="X5959" s="227"/>
      <c r="Y5959" s="348"/>
      <c r="Z5959" s="348"/>
      <c r="AA5959" s="348"/>
      <c r="AB5959" s="348"/>
      <c r="AC5959" s="227"/>
      <c r="AD5959" s="227"/>
      <c r="AE5959" s="231"/>
      <c r="AF5959" s="227"/>
      <c r="AG5959" s="348"/>
      <c r="AH5959" s="348"/>
      <c r="AI5959" s="348"/>
      <c r="AJ5959" s="348"/>
      <c r="AK5959" s="348"/>
      <c r="AL5959" s="348"/>
      <c r="AM5959" s="348"/>
      <c r="AN5959" s="348"/>
      <c r="AO5959" s="231"/>
      <c r="AP5959" s="231"/>
      <c r="AQ5959" s="227"/>
      <c r="AR5959" s="231"/>
      <c r="AS5959" s="227"/>
      <c r="AT5959" s="227"/>
      <c r="AU5959" s="227"/>
      <c r="AV5959" s="227"/>
      <c r="AW5959" s="227"/>
      <c r="AX5959" s="227"/>
      <c r="AY5959" s="227"/>
      <c r="AZ5959" s="227"/>
      <c r="BA5959" s="227"/>
      <c r="BB5959" s="227"/>
      <c r="BC5959" s="227"/>
      <c r="BD5959" s="227"/>
      <c r="BE5959" s="227"/>
      <c r="BF5959" s="227"/>
    </row>
    <row r="5960">
      <c r="A5960" s="227"/>
      <c r="B5960" s="348"/>
      <c r="C5960" s="227"/>
      <c r="D5960" s="227"/>
      <c r="E5960" s="231"/>
      <c r="F5960" s="348"/>
      <c r="G5960" s="227"/>
      <c r="H5960" s="227"/>
      <c r="I5960" s="227"/>
      <c r="J5960" s="227"/>
      <c r="K5960" s="227"/>
      <c r="L5960" s="348"/>
      <c r="M5960" s="348"/>
      <c r="N5960" s="227"/>
      <c r="O5960" s="227"/>
      <c r="P5960" s="231"/>
      <c r="Q5960" s="231"/>
      <c r="R5960" s="227"/>
      <c r="S5960" s="231"/>
      <c r="T5960" s="231"/>
      <c r="U5960" s="231"/>
      <c r="V5960" s="231"/>
      <c r="W5960" s="231"/>
      <c r="X5960" s="227"/>
      <c r="Y5960" s="348"/>
      <c r="Z5960" s="348"/>
      <c r="AA5960" s="348"/>
      <c r="AB5960" s="348"/>
      <c r="AC5960" s="227"/>
      <c r="AD5960" s="227"/>
      <c r="AE5960" s="231"/>
      <c r="AF5960" s="227"/>
      <c r="AG5960" s="348"/>
      <c r="AH5960" s="348"/>
      <c r="AI5960" s="348"/>
      <c r="AJ5960" s="348"/>
      <c r="AK5960" s="348"/>
      <c r="AL5960" s="348"/>
      <c r="AM5960" s="348"/>
      <c r="AN5960" s="348"/>
      <c r="AO5960" s="231"/>
      <c r="AP5960" s="231"/>
      <c r="AQ5960" s="227"/>
      <c r="AR5960" s="227"/>
      <c r="AS5960" s="227"/>
      <c r="AT5960" s="227"/>
      <c r="AU5960" s="227"/>
      <c r="AV5960" s="227"/>
      <c r="AW5960" s="227"/>
      <c r="AX5960" s="227"/>
      <c r="AY5960" s="227"/>
      <c r="AZ5960" s="227"/>
      <c r="BA5960" s="227"/>
      <c r="BB5960" s="227"/>
      <c r="BC5960" s="227"/>
      <c r="BD5960" s="227"/>
      <c r="BE5960" s="227"/>
      <c r="BF5960" s="227"/>
    </row>
    <row r="5961">
      <c r="A5961" s="227"/>
      <c r="B5961" s="348"/>
      <c r="C5961" s="227"/>
      <c r="D5961" s="227"/>
      <c r="E5961" s="231"/>
      <c r="F5961" s="348"/>
      <c r="G5961" s="227"/>
      <c r="H5961" s="227"/>
      <c r="I5961" s="227"/>
      <c r="J5961" s="227"/>
      <c r="K5961" s="227"/>
      <c r="L5961" s="348"/>
      <c r="M5961" s="348"/>
      <c r="N5961" s="227"/>
      <c r="O5961" s="227"/>
      <c r="P5961" s="231"/>
      <c r="Q5961" s="231"/>
      <c r="R5961" s="227"/>
      <c r="S5961" s="231"/>
      <c r="T5961" s="231"/>
      <c r="U5961" s="231"/>
      <c r="V5961" s="231"/>
      <c r="W5961" s="231"/>
      <c r="X5961" s="227"/>
      <c r="Y5961" s="348"/>
      <c r="Z5961" s="348"/>
      <c r="AA5961" s="348"/>
      <c r="AB5961" s="348"/>
      <c r="AC5961" s="227"/>
      <c r="AD5961" s="227"/>
      <c r="AE5961" s="231"/>
      <c r="AF5961" s="227"/>
      <c r="AG5961" s="348"/>
      <c r="AH5961" s="348"/>
      <c r="AI5961" s="348"/>
      <c r="AJ5961" s="348"/>
      <c r="AK5961" s="348"/>
      <c r="AL5961" s="348"/>
      <c r="AM5961" s="348"/>
      <c r="AN5961" s="348"/>
      <c r="AO5961" s="231"/>
      <c r="AP5961" s="231"/>
      <c r="AQ5961" s="227"/>
      <c r="AR5961" s="231"/>
      <c r="AS5961" s="227"/>
      <c r="AT5961" s="227"/>
      <c r="AU5961" s="227"/>
      <c r="AV5961" s="227"/>
      <c r="AW5961" s="227"/>
      <c r="AX5961" s="227"/>
      <c r="AY5961" s="227"/>
      <c r="AZ5961" s="227"/>
      <c r="BA5961" s="227"/>
      <c r="BB5961" s="227"/>
      <c r="BC5961" s="227"/>
      <c r="BD5961" s="227"/>
      <c r="BE5961" s="227"/>
      <c r="BF5961" s="227"/>
    </row>
    <row r="5962">
      <c r="A5962" s="227"/>
      <c r="B5962" s="348"/>
      <c r="C5962" s="227"/>
      <c r="D5962" s="227"/>
      <c r="E5962" s="231"/>
      <c r="F5962" s="348"/>
      <c r="G5962" s="227"/>
      <c r="H5962" s="227"/>
      <c r="I5962" s="227"/>
      <c r="J5962" s="227"/>
      <c r="K5962" s="227"/>
      <c r="L5962" s="348"/>
      <c r="M5962" s="348"/>
      <c r="N5962" s="227"/>
      <c r="O5962" s="227"/>
      <c r="P5962" s="231"/>
      <c r="Q5962" s="231"/>
      <c r="R5962" s="227"/>
      <c r="S5962" s="231"/>
      <c r="T5962" s="231"/>
      <c r="U5962" s="231"/>
      <c r="V5962" s="231"/>
      <c r="W5962" s="231"/>
      <c r="X5962" s="227"/>
      <c r="Y5962" s="348"/>
      <c r="Z5962" s="348"/>
      <c r="AA5962" s="348"/>
      <c r="AB5962" s="348"/>
      <c r="AC5962" s="227"/>
      <c r="AD5962" s="227"/>
      <c r="AE5962" s="231"/>
      <c r="AF5962" s="227"/>
      <c r="AG5962" s="348"/>
      <c r="AH5962" s="348"/>
      <c r="AI5962" s="348"/>
      <c r="AJ5962" s="348"/>
      <c r="AK5962" s="348"/>
      <c r="AL5962" s="348"/>
      <c r="AM5962" s="348"/>
      <c r="AN5962" s="348"/>
      <c r="AO5962" s="231"/>
      <c r="AP5962" s="231"/>
      <c r="AQ5962" s="227"/>
      <c r="AR5962" s="231"/>
      <c r="AS5962" s="227"/>
      <c r="AT5962" s="227"/>
      <c r="AU5962" s="227"/>
      <c r="AV5962" s="227"/>
      <c r="AW5962" s="227"/>
      <c r="AX5962" s="227"/>
      <c r="AY5962" s="227"/>
      <c r="AZ5962" s="227"/>
      <c r="BA5962" s="227"/>
      <c r="BB5962" s="227"/>
      <c r="BC5962" s="227"/>
      <c r="BD5962" s="227"/>
      <c r="BE5962" s="227"/>
      <c r="BF5962" s="227"/>
    </row>
    <row r="5963">
      <c r="A5963" s="227"/>
      <c r="B5963" s="348"/>
      <c r="C5963" s="227"/>
      <c r="D5963" s="227"/>
      <c r="E5963" s="231"/>
      <c r="F5963" s="348"/>
      <c r="G5963" s="227"/>
      <c r="H5963" s="227"/>
      <c r="I5963" s="227"/>
      <c r="J5963" s="227"/>
      <c r="K5963" s="227"/>
      <c r="L5963" s="348"/>
      <c r="M5963" s="348"/>
      <c r="N5963" s="227"/>
      <c r="O5963" s="227"/>
      <c r="P5963" s="231"/>
      <c r="Q5963" s="231"/>
      <c r="R5963" s="227"/>
      <c r="S5963" s="231"/>
      <c r="T5963" s="231"/>
      <c r="U5963" s="231"/>
      <c r="V5963" s="231"/>
      <c r="W5963" s="231"/>
      <c r="X5963" s="227"/>
      <c r="Y5963" s="348"/>
      <c r="Z5963" s="348"/>
      <c r="AA5963" s="348"/>
      <c r="AB5963" s="348"/>
      <c r="AC5963" s="227"/>
      <c r="AD5963" s="227"/>
      <c r="AE5963" s="231"/>
      <c r="AF5963" s="227"/>
      <c r="AG5963" s="348"/>
      <c r="AH5963" s="348"/>
      <c r="AI5963" s="348"/>
      <c r="AJ5963" s="348"/>
      <c r="AK5963" s="348"/>
      <c r="AL5963" s="348"/>
      <c r="AM5963" s="348"/>
      <c r="AN5963" s="348"/>
      <c r="AO5963" s="231"/>
      <c r="AP5963" s="231"/>
      <c r="AQ5963" s="227"/>
      <c r="AR5963" s="231"/>
      <c r="AS5963" s="227"/>
      <c r="AT5963" s="227"/>
      <c r="AU5963" s="227"/>
      <c r="AV5963" s="227"/>
      <c r="AW5963" s="227"/>
      <c r="AX5963" s="227"/>
      <c r="AY5963" s="227"/>
      <c r="AZ5963" s="227"/>
      <c r="BA5963" s="227"/>
      <c r="BB5963" s="227"/>
      <c r="BC5963" s="227"/>
      <c r="BD5963" s="227"/>
      <c r="BE5963" s="227"/>
      <c r="BF5963" s="227"/>
    </row>
    <row r="5964">
      <c r="A5964" s="227"/>
      <c r="B5964" s="348"/>
      <c r="C5964" s="227"/>
      <c r="D5964" s="227"/>
      <c r="E5964" s="231"/>
      <c r="F5964" s="348"/>
      <c r="G5964" s="227"/>
      <c r="H5964" s="227"/>
      <c r="I5964" s="227"/>
      <c r="J5964" s="227"/>
      <c r="K5964" s="227"/>
      <c r="L5964" s="348"/>
      <c r="M5964" s="348"/>
      <c r="N5964" s="227"/>
      <c r="O5964" s="227"/>
      <c r="P5964" s="231"/>
      <c r="Q5964" s="231"/>
      <c r="R5964" s="227"/>
      <c r="S5964" s="231"/>
      <c r="T5964" s="231"/>
      <c r="U5964" s="231"/>
      <c r="V5964" s="231"/>
      <c r="W5964" s="231"/>
      <c r="X5964" s="227"/>
      <c r="Y5964" s="348"/>
      <c r="Z5964" s="348"/>
      <c r="AA5964" s="348"/>
      <c r="AB5964" s="348"/>
      <c r="AC5964" s="227"/>
      <c r="AD5964" s="227"/>
      <c r="AE5964" s="231"/>
      <c r="AF5964" s="227"/>
      <c r="AG5964" s="348"/>
      <c r="AH5964" s="348"/>
      <c r="AI5964" s="348"/>
      <c r="AJ5964" s="348"/>
      <c r="AK5964" s="348"/>
      <c r="AL5964" s="348"/>
      <c r="AM5964" s="348"/>
      <c r="AN5964" s="348"/>
      <c r="AO5964" s="231"/>
      <c r="AP5964" s="231"/>
      <c r="AQ5964" s="227"/>
      <c r="AR5964" s="231"/>
      <c r="AS5964" s="227"/>
      <c r="AT5964" s="227"/>
      <c r="AU5964" s="227"/>
      <c r="AV5964" s="227"/>
      <c r="AW5964" s="227"/>
      <c r="AX5964" s="227"/>
      <c r="AY5964" s="227"/>
      <c r="AZ5964" s="227"/>
      <c r="BA5964" s="227"/>
      <c r="BB5964" s="227"/>
      <c r="BC5964" s="227"/>
      <c r="BD5964" s="227"/>
      <c r="BE5964" s="227"/>
      <c r="BF5964" s="227"/>
    </row>
    <row r="5965">
      <c r="A5965" s="227"/>
      <c r="B5965" s="348"/>
      <c r="C5965" s="227"/>
      <c r="D5965" s="227"/>
      <c r="E5965" s="231"/>
      <c r="F5965" s="348"/>
      <c r="G5965" s="227"/>
      <c r="H5965" s="227"/>
      <c r="I5965" s="227"/>
      <c r="J5965" s="227"/>
      <c r="K5965" s="227"/>
      <c r="L5965" s="348"/>
      <c r="M5965" s="348"/>
      <c r="N5965" s="227"/>
      <c r="O5965" s="227"/>
      <c r="P5965" s="231"/>
      <c r="Q5965" s="231"/>
      <c r="R5965" s="227"/>
      <c r="S5965" s="231"/>
      <c r="T5965" s="231"/>
      <c r="U5965" s="231"/>
      <c r="V5965" s="231"/>
      <c r="W5965" s="231"/>
      <c r="X5965" s="227"/>
      <c r="Y5965" s="348"/>
      <c r="Z5965" s="348"/>
      <c r="AA5965" s="348"/>
      <c r="AB5965" s="348"/>
      <c r="AC5965" s="227"/>
      <c r="AD5965" s="227"/>
      <c r="AE5965" s="231"/>
      <c r="AF5965" s="227"/>
      <c r="AG5965" s="348"/>
      <c r="AH5965" s="348"/>
      <c r="AI5965" s="348"/>
      <c r="AJ5965" s="348"/>
      <c r="AK5965" s="348"/>
      <c r="AL5965" s="348"/>
      <c r="AM5965" s="348"/>
      <c r="AN5965" s="348"/>
      <c r="AO5965" s="231"/>
      <c r="AP5965" s="231"/>
      <c r="AQ5965" s="227"/>
      <c r="AR5965" s="231"/>
      <c r="AS5965" s="227"/>
      <c r="AT5965" s="227"/>
      <c r="AU5965" s="227"/>
      <c r="AV5965" s="227"/>
      <c r="AW5965" s="227"/>
      <c r="AX5965" s="227"/>
      <c r="AY5965" s="227"/>
      <c r="AZ5965" s="227"/>
      <c r="BA5965" s="227"/>
      <c r="BB5965" s="227"/>
      <c r="BC5965" s="227"/>
      <c r="BD5965" s="227"/>
      <c r="BE5965" s="227"/>
      <c r="BF5965" s="227"/>
    </row>
    <row r="5966">
      <c r="A5966" s="227"/>
      <c r="B5966" s="348"/>
      <c r="C5966" s="227"/>
      <c r="D5966" s="227"/>
      <c r="E5966" s="231"/>
      <c r="F5966" s="348"/>
      <c r="G5966" s="227"/>
      <c r="H5966" s="227"/>
      <c r="I5966" s="227"/>
      <c r="J5966" s="227"/>
      <c r="K5966" s="227"/>
      <c r="L5966" s="348"/>
      <c r="M5966" s="348"/>
      <c r="N5966" s="227"/>
      <c r="O5966" s="227"/>
      <c r="P5966" s="231"/>
      <c r="Q5966" s="231"/>
      <c r="R5966" s="227"/>
      <c r="S5966" s="231"/>
      <c r="T5966" s="231"/>
      <c r="U5966" s="231"/>
      <c r="V5966" s="231"/>
      <c r="W5966" s="231"/>
      <c r="X5966" s="227"/>
      <c r="Y5966" s="348"/>
      <c r="Z5966" s="348"/>
      <c r="AA5966" s="348"/>
      <c r="AB5966" s="348"/>
      <c r="AC5966" s="227"/>
      <c r="AD5966" s="227"/>
      <c r="AE5966" s="231"/>
      <c r="AF5966" s="227"/>
      <c r="AG5966" s="348"/>
      <c r="AH5966" s="348"/>
      <c r="AI5966" s="348"/>
      <c r="AJ5966" s="348"/>
      <c r="AK5966" s="348"/>
      <c r="AL5966" s="348"/>
      <c r="AM5966" s="348"/>
      <c r="AN5966" s="348"/>
      <c r="AO5966" s="231"/>
      <c r="AP5966" s="231"/>
      <c r="AQ5966" s="227"/>
      <c r="AR5966" s="231"/>
      <c r="AS5966" s="227"/>
      <c r="AT5966" s="227"/>
      <c r="AU5966" s="227"/>
      <c r="AV5966" s="227"/>
      <c r="AW5966" s="227"/>
      <c r="AX5966" s="227"/>
      <c r="AY5966" s="227"/>
      <c r="AZ5966" s="227"/>
      <c r="BA5966" s="227"/>
      <c r="BB5966" s="227"/>
      <c r="BC5966" s="227"/>
      <c r="BD5966" s="227"/>
      <c r="BE5966" s="227"/>
      <c r="BF5966" s="227"/>
    </row>
    <row r="5967">
      <c r="A5967" s="227"/>
      <c r="B5967" s="348"/>
      <c r="C5967" s="227"/>
      <c r="D5967" s="227"/>
      <c r="E5967" s="231"/>
      <c r="F5967" s="348"/>
      <c r="G5967" s="227"/>
      <c r="H5967" s="227"/>
      <c r="I5967" s="227"/>
      <c r="J5967" s="227"/>
      <c r="K5967" s="227"/>
      <c r="L5967" s="348"/>
      <c r="M5967" s="348"/>
      <c r="N5967" s="227"/>
      <c r="O5967" s="227"/>
      <c r="P5967" s="231"/>
      <c r="Q5967" s="231"/>
      <c r="R5967" s="227"/>
      <c r="S5967" s="231"/>
      <c r="T5967" s="231"/>
      <c r="U5967" s="231"/>
      <c r="V5967" s="231"/>
      <c r="W5967" s="231"/>
      <c r="X5967" s="227"/>
      <c r="Y5967" s="348"/>
      <c r="Z5967" s="348"/>
      <c r="AA5967" s="348"/>
      <c r="AB5967" s="348"/>
      <c r="AC5967" s="227"/>
      <c r="AD5967" s="227"/>
      <c r="AE5967" s="231"/>
      <c r="AF5967" s="227"/>
      <c r="AG5967" s="348"/>
      <c r="AH5967" s="348"/>
      <c r="AI5967" s="348"/>
      <c r="AJ5967" s="348"/>
      <c r="AK5967" s="348"/>
      <c r="AL5967" s="348"/>
      <c r="AM5967" s="348"/>
      <c r="AN5967" s="348"/>
      <c r="AO5967" s="231"/>
      <c r="AP5967" s="231"/>
      <c r="AQ5967" s="227"/>
      <c r="AR5967" s="231"/>
      <c r="AS5967" s="227"/>
      <c r="AT5967" s="227"/>
      <c r="AU5967" s="227"/>
      <c r="AV5967" s="227"/>
      <c r="AW5967" s="227"/>
      <c r="AX5967" s="227"/>
      <c r="AY5967" s="227"/>
      <c r="AZ5967" s="227"/>
      <c r="BA5967" s="227"/>
      <c r="BB5967" s="227"/>
      <c r="BC5967" s="227"/>
      <c r="BD5967" s="227"/>
      <c r="BE5967" s="227"/>
      <c r="BF5967" s="227"/>
    </row>
    <row r="5968">
      <c r="A5968" s="227"/>
      <c r="B5968" s="348"/>
      <c r="C5968" s="227"/>
      <c r="D5968" s="227"/>
      <c r="E5968" s="231"/>
      <c r="F5968" s="348"/>
      <c r="G5968" s="227"/>
      <c r="H5968" s="227"/>
      <c r="I5968" s="227"/>
      <c r="J5968" s="227"/>
      <c r="K5968" s="227"/>
      <c r="L5968" s="348"/>
      <c r="M5968" s="348"/>
      <c r="N5968" s="227"/>
      <c r="O5968" s="227"/>
      <c r="P5968" s="231"/>
      <c r="Q5968" s="231"/>
      <c r="R5968" s="227"/>
      <c r="S5968" s="231"/>
      <c r="T5968" s="231"/>
      <c r="U5968" s="231"/>
      <c r="V5968" s="231"/>
      <c r="W5968" s="231"/>
      <c r="X5968" s="227"/>
      <c r="Y5968" s="348"/>
      <c r="Z5968" s="348"/>
      <c r="AA5968" s="348"/>
      <c r="AB5968" s="348"/>
      <c r="AC5968" s="227"/>
      <c r="AD5968" s="227"/>
      <c r="AE5968" s="231"/>
      <c r="AF5968" s="227"/>
      <c r="AG5968" s="348"/>
      <c r="AH5968" s="348"/>
      <c r="AI5968" s="348"/>
      <c r="AJ5968" s="348"/>
      <c r="AK5968" s="348"/>
      <c r="AL5968" s="348"/>
      <c r="AM5968" s="348"/>
      <c r="AN5968" s="348"/>
      <c r="AO5968" s="231"/>
      <c r="AP5968" s="231"/>
      <c r="AQ5968" s="227"/>
      <c r="AR5968" s="231"/>
      <c r="AS5968" s="227"/>
      <c r="AT5968" s="227"/>
      <c r="AU5968" s="227"/>
      <c r="AV5968" s="227"/>
      <c r="AW5968" s="227"/>
      <c r="AX5968" s="227"/>
      <c r="AY5968" s="227"/>
      <c r="AZ5968" s="227"/>
      <c r="BA5968" s="227"/>
      <c r="BB5968" s="227"/>
      <c r="BC5968" s="227"/>
      <c r="BD5968" s="227"/>
      <c r="BE5968" s="227"/>
      <c r="BF5968" s="227"/>
    </row>
    <row r="5969">
      <c r="A5969" s="227"/>
      <c r="B5969" s="348"/>
      <c r="C5969" s="227"/>
      <c r="D5969" s="227"/>
      <c r="E5969" s="231"/>
      <c r="F5969" s="348"/>
      <c r="G5969" s="227"/>
      <c r="H5969" s="227"/>
      <c r="I5969" s="227"/>
      <c r="J5969" s="227"/>
      <c r="K5969" s="227"/>
      <c r="L5969" s="348"/>
      <c r="M5969" s="348"/>
      <c r="N5969" s="227"/>
      <c r="O5969" s="227"/>
      <c r="P5969" s="231"/>
      <c r="Q5969" s="231"/>
      <c r="R5969" s="227"/>
      <c r="S5969" s="231"/>
      <c r="T5969" s="231"/>
      <c r="U5969" s="231"/>
      <c r="V5969" s="231"/>
      <c r="W5969" s="231"/>
      <c r="X5969" s="227"/>
      <c r="Y5969" s="348"/>
      <c r="Z5969" s="348"/>
      <c r="AA5969" s="348"/>
      <c r="AB5969" s="348"/>
      <c r="AC5969" s="227"/>
      <c r="AD5969" s="227"/>
      <c r="AE5969" s="231"/>
      <c r="AF5969" s="227"/>
      <c r="AG5969" s="348"/>
      <c r="AH5969" s="348"/>
      <c r="AI5969" s="348"/>
      <c r="AJ5969" s="348"/>
      <c r="AK5969" s="348"/>
      <c r="AL5969" s="348"/>
      <c r="AM5969" s="348"/>
      <c r="AN5969" s="348"/>
      <c r="AO5969" s="231"/>
      <c r="AP5969" s="231"/>
      <c r="AQ5969" s="227"/>
      <c r="AR5969" s="231"/>
      <c r="AS5969" s="227"/>
      <c r="AT5969" s="227"/>
      <c r="AU5969" s="227"/>
      <c r="AV5969" s="227"/>
      <c r="AW5969" s="227"/>
      <c r="AX5969" s="227"/>
      <c r="AY5969" s="227"/>
      <c r="AZ5969" s="227"/>
      <c r="BA5969" s="227"/>
      <c r="BB5969" s="227"/>
      <c r="BC5969" s="227"/>
      <c r="BD5969" s="227"/>
      <c r="BE5969" s="227"/>
      <c r="BF5969" s="227"/>
    </row>
    <row r="5970">
      <c r="A5970" s="227"/>
      <c r="B5970" s="348"/>
      <c r="C5970" s="227"/>
      <c r="D5970" s="227"/>
      <c r="E5970" s="231"/>
      <c r="F5970" s="348"/>
      <c r="G5970" s="227"/>
      <c r="H5970" s="227"/>
      <c r="I5970" s="227"/>
      <c r="J5970" s="227"/>
      <c r="K5970" s="227"/>
      <c r="L5970" s="348"/>
      <c r="M5970" s="348"/>
      <c r="N5970" s="227"/>
      <c r="O5970" s="227"/>
      <c r="P5970" s="231"/>
      <c r="Q5970" s="231"/>
      <c r="R5970" s="227"/>
      <c r="S5970" s="231"/>
      <c r="T5970" s="231"/>
      <c r="U5970" s="231"/>
      <c r="V5970" s="231"/>
      <c r="W5970" s="231"/>
      <c r="X5970" s="227"/>
      <c r="Y5970" s="348"/>
      <c r="Z5970" s="348"/>
      <c r="AA5970" s="348"/>
      <c r="AB5970" s="348"/>
      <c r="AC5970" s="227"/>
      <c r="AD5970" s="227"/>
      <c r="AE5970" s="231"/>
      <c r="AF5970" s="227"/>
      <c r="AG5970" s="348"/>
      <c r="AH5970" s="348"/>
      <c r="AI5970" s="348"/>
      <c r="AJ5970" s="348"/>
      <c r="AK5970" s="348"/>
      <c r="AL5970" s="348"/>
      <c r="AM5970" s="348"/>
      <c r="AN5970" s="348"/>
      <c r="AO5970" s="231"/>
      <c r="AP5970" s="231"/>
      <c r="AQ5970" s="227"/>
      <c r="AR5970" s="231"/>
      <c r="AS5970" s="227"/>
      <c r="AT5970" s="227"/>
      <c r="AU5970" s="227"/>
      <c r="AV5970" s="227"/>
      <c r="AW5970" s="227"/>
      <c r="AX5970" s="227"/>
      <c r="AY5970" s="227"/>
      <c r="AZ5970" s="227"/>
      <c r="BA5970" s="227"/>
      <c r="BB5970" s="227"/>
      <c r="BC5970" s="227"/>
      <c r="BD5970" s="227"/>
      <c r="BE5970" s="227"/>
      <c r="BF5970" s="227"/>
    </row>
    <row r="5971">
      <c r="A5971" s="227"/>
      <c r="B5971" s="348"/>
      <c r="C5971" s="227"/>
      <c r="D5971" s="227"/>
      <c r="E5971" s="231"/>
      <c r="F5971" s="348"/>
      <c r="G5971" s="227"/>
      <c r="H5971" s="227"/>
      <c r="I5971" s="227"/>
      <c r="J5971" s="227"/>
      <c r="K5971" s="227"/>
      <c r="L5971" s="348"/>
      <c r="M5971" s="348"/>
      <c r="N5971" s="227"/>
      <c r="O5971" s="227"/>
      <c r="P5971" s="231"/>
      <c r="Q5971" s="231"/>
      <c r="R5971" s="227"/>
      <c r="S5971" s="231"/>
      <c r="T5971" s="231"/>
      <c r="U5971" s="231"/>
      <c r="V5971" s="231"/>
      <c r="W5971" s="231"/>
      <c r="X5971" s="227"/>
      <c r="Y5971" s="348"/>
      <c r="Z5971" s="348"/>
      <c r="AA5971" s="348"/>
      <c r="AB5971" s="348"/>
      <c r="AC5971" s="227"/>
      <c r="AD5971" s="227"/>
      <c r="AE5971" s="231"/>
      <c r="AF5971" s="227"/>
      <c r="AG5971" s="348"/>
      <c r="AH5971" s="348"/>
      <c r="AI5971" s="348"/>
      <c r="AJ5971" s="348"/>
      <c r="AK5971" s="348"/>
      <c r="AL5971" s="348"/>
      <c r="AM5971" s="348"/>
      <c r="AN5971" s="348"/>
      <c r="AO5971" s="231"/>
      <c r="AP5971" s="231"/>
      <c r="AQ5971" s="227"/>
      <c r="AR5971" s="231"/>
      <c r="AS5971" s="227"/>
      <c r="AT5971" s="227"/>
      <c r="AU5971" s="227"/>
      <c r="AV5971" s="227"/>
      <c r="AW5971" s="227"/>
      <c r="AX5971" s="227"/>
      <c r="AY5971" s="227"/>
      <c r="AZ5971" s="227"/>
      <c r="BA5971" s="227"/>
      <c r="BB5971" s="227"/>
      <c r="BC5971" s="227"/>
      <c r="BD5971" s="227"/>
      <c r="BE5971" s="227"/>
      <c r="BF5971" s="227"/>
    </row>
    <row r="5972">
      <c r="A5972" s="227"/>
      <c r="B5972" s="348"/>
      <c r="C5972" s="227"/>
      <c r="D5972" s="227"/>
      <c r="E5972" s="231"/>
      <c r="F5972" s="348"/>
      <c r="G5972" s="227"/>
      <c r="H5972" s="227"/>
      <c r="I5972" s="227"/>
      <c r="J5972" s="227"/>
      <c r="K5972" s="227"/>
      <c r="L5972" s="348"/>
      <c r="M5972" s="348"/>
      <c r="N5972" s="227"/>
      <c r="O5972" s="227"/>
      <c r="P5972" s="231"/>
      <c r="Q5972" s="231"/>
      <c r="R5972" s="227"/>
      <c r="S5972" s="231"/>
      <c r="T5972" s="231"/>
      <c r="U5972" s="231"/>
      <c r="V5972" s="231"/>
      <c r="W5972" s="231"/>
      <c r="X5972" s="227"/>
      <c r="Y5972" s="348"/>
      <c r="Z5972" s="348"/>
      <c r="AA5972" s="348"/>
      <c r="AB5972" s="348"/>
      <c r="AC5972" s="227"/>
      <c r="AD5972" s="227"/>
      <c r="AE5972" s="231"/>
      <c r="AF5972" s="227"/>
      <c r="AG5972" s="348"/>
      <c r="AH5972" s="348"/>
      <c r="AI5972" s="348"/>
      <c r="AJ5972" s="348"/>
      <c r="AK5972" s="348"/>
      <c r="AL5972" s="348"/>
      <c r="AM5972" s="348"/>
      <c r="AN5972" s="348"/>
      <c r="AO5972" s="231"/>
      <c r="AP5972" s="231"/>
      <c r="AQ5972" s="227"/>
      <c r="AR5972" s="231"/>
      <c r="AS5972" s="227"/>
      <c r="AT5972" s="227"/>
      <c r="AU5972" s="227"/>
      <c r="AV5972" s="227"/>
      <c r="AW5972" s="227"/>
      <c r="AX5972" s="227"/>
      <c r="AY5972" s="227"/>
      <c r="AZ5972" s="227"/>
      <c r="BA5972" s="227"/>
      <c r="BB5972" s="227"/>
      <c r="BC5972" s="227"/>
      <c r="BD5972" s="227"/>
      <c r="BE5972" s="227"/>
      <c r="BF5972" s="227"/>
    </row>
    <row r="5973">
      <c r="A5973" s="227"/>
      <c r="B5973" s="348"/>
      <c r="C5973" s="227"/>
      <c r="D5973" s="227"/>
      <c r="E5973" s="231"/>
      <c r="F5973" s="348"/>
      <c r="G5973" s="227"/>
      <c r="H5973" s="227"/>
      <c r="I5973" s="227"/>
      <c r="J5973" s="227"/>
      <c r="K5973" s="227"/>
      <c r="L5973" s="348"/>
      <c r="M5973" s="348"/>
      <c r="N5973" s="227"/>
      <c r="O5973" s="227"/>
      <c r="P5973" s="231"/>
      <c r="Q5973" s="231"/>
      <c r="R5973" s="227"/>
      <c r="S5973" s="231"/>
      <c r="T5973" s="231"/>
      <c r="U5973" s="231"/>
      <c r="V5973" s="231"/>
      <c r="W5973" s="231"/>
      <c r="X5973" s="227"/>
      <c r="Y5973" s="348"/>
      <c r="Z5973" s="348"/>
      <c r="AA5973" s="348"/>
      <c r="AB5973" s="348"/>
      <c r="AC5973" s="227"/>
      <c r="AD5973" s="227"/>
      <c r="AE5973" s="231"/>
      <c r="AF5973" s="227"/>
      <c r="AG5973" s="348"/>
      <c r="AH5973" s="348"/>
      <c r="AI5973" s="348"/>
      <c r="AJ5973" s="348"/>
      <c r="AK5973" s="348"/>
      <c r="AL5973" s="348"/>
      <c r="AM5973" s="348"/>
      <c r="AN5973" s="348"/>
      <c r="AO5973" s="231"/>
      <c r="AP5973" s="231"/>
      <c r="AQ5973" s="227"/>
      <c r="AR5973" s="231"/>
      <c r="AS5973" s="227"/>
      <c r="AT5973" s="227"/>
      <c r="AU5973" s="227"/>
      <c r="AV5973" s="227"/>
      <c r="AW5973" s="227"/>
      <c r="AX5973" s="227"/>
      <c r="AY5973" s="227"/>
      <c r="AZ5973" s="227"/>
      <c r="BA5973" s="227"/>
      <c r="BB5973" s="227"/>
      <c r="BC5973" s="227"/>
      <c r="BD5973" s="227"/>
      <c r="BE5973" s="227"/>
      <c r="BF5973" s="227"/>
    </row>
    <row r="5974">
      <c r="A5974" s="227"/>
      <c r="B5974" s="348"/>
      <c r="C5974" s="227"/>
      <c r="D5974" s="227"/>
      <c r="E5974" s="231"/>
      <c r="F5974" s="348"/>
      <c r="G5974" s="227"/>
      <c r="H5974" s="227"/>
      <c r="I5974" s="227"/>
      <c r="J5974" s="227"/>
      <c r="K5974" s="227"/>
      <c r="L5974" s="348"/>
      <c r="M5974" s="348"/>
      <c r="N5974" s="227"/>
      <c r="O5974" s="227"/>
      <c r="P5974" s="231"/>
      <c r="Q5974" s="231"/>
      <c r="R5974" s="227"/>
      <c r="S5974" s="231"/>
      <c r="T5974" s="231"/>
      <c r="U5974" s="231"/>
      <c r="V5974" s="231"/>
      <c r="W5974" s="231"/>
      <c r="X5974" s="227"/>
      <c r="Y5974" s="348"/>
      <c r="Z5974" s="348"/>
      <c r="AA5974" s="348"/>
      <c r="AB5974" s="348"/>
      <c r="AC5974" s="227"/>
      <c r="AD5974" s="227"/>
      <c r="AE5974" s="231"/>
      <c r="AF5974" s="227"/>
      <c r="AG5974" s="348"/>
      <c r="AH5974" s="348"/>
      <c r="AI5974" s="348"/>
      <c r="AJ5974" s="348"/>
      <c r="AK5974" s="348"/>
      <c r="AL5974" s="348"/>
      <c r="AM5974" s="348"/>
      <c r="AN5974" s="348"/>
      <c r="AO5974" s="231"/>
      <c r="AP5974" s="231"/>
      <c r="AQ5974" s="227"/>
      <c r="AR5974" s="231"/>
      <c r="AS5974" s="227"/>
      <c r="AT5974" s="227"/>
      <c r="AU5974" s="227"/>
      <c r="AV5974" s="227"/>
      <c r="AW5974" s="227"/>
      <c r="AX5974" s="227"/>
      <c r="AY5974" s="227"/>
      <c r="AZ5974" s="227"/>
      <c r="BA5974" s="227"/>
      <c r="BB5974" s="227"/>
      <c r="BC5974" s="227"/>
      <c r="BD5974" s="227"/>
      <c r="BE5974" s="227"/>
      <c r="BF5974" s="227"/>
    </row>
    <row r="5975">
      <c r="A5975" s="227"/>
      <c r="B5975" s="348"/>
      <c r="C5975" s="227"/>
      <c r="D5975" s="227"/>
      <c r="E5975" s="231"/>
      <c r="F5975" s="348"/>
      <c r="G5975" s="227"/>
      <c r="H5975" s="227"/>
      <c r="I5975" s="227"/>
      <c r="J5975" s="227"/>
      <c r="K5975" s="227"/>
      <c r="L5975" s="348"/>
      <c r="M5975" s="348"/>
      <c r="N5975" s="227"/>
      <c r="O5975" s="227"/>
      <c r="P5975" s="231"/>
      <c r="Q5975" s="231"/>
      <c r="R5975" s="227"/>
      <c r="S5975" s="231"/>
      <c r="T5975" s="231"/>
      <c r="U5975" s="231"/>
      <c r="V5975" s="231"/>
      <c r="W5975" s="231"/>
      <c r="X5975" s="227"/>
      <c r="Y5975" s="348"/>
      <c r="Z5975" s="348"/>
      <c r="AA5975" s="348"/>
      <c r="AB5975" s="348"/>
      <c r="AC5975" s="227"/>
      <c r="AD5975" s="227"/>
      <c r="AE5975" s="231"/>
      <c r="AF5975" s="227"/>
      <c r="AG5975" s="348"/>
      <c r="AH5975" s="348"/>
      <c r="AI5975" s="348"/>
      <c r="AJ5975" s="348"/>
      <c r="AK5975" s="348"/>
      <c r="AL5975" s="348"/>
      <c r="AM5975" s="348"/>
      <c r="AN5975" s="348"/>
      <c r="AO5975" s="231"/>
      <c r="AP5975" s="231"/>
      <c r="AQ5975" s="227"/>
      <c r="AR5975" s="231"/>
      <c r="AS5975" s="227"/>
      <c r="AT5975" s="227"/>
      <c r="AU5975" s="227"/>
      <c r="AV5975" s="227"/>
      <c r="AW5975" s="227"/>
      <c r="AX5975" s="227"/>
      <c r="AY5975" s="227"/>
      <c r="AZ5975" s="227"/>
      <c r="BA5975" s="227"/>
      <c r="BB5975" s="227"/>
      <c r="BC5975" s="227"/>
      <c r="BD5975" s="227"/>
      <c r="BE5975" s="227"/>
      <c r="BF5975" s="227"/>
    </row>
    <row r="5976">
      <c r="A5976" s="227"/>
      <c r="B5976" s="348"/>
      <c r="C5976" s="227"/>
      <c r="D5976" s="227"/>
      <c r="E5976" s="231"/>
      <c r="F5976" s="348"/>
      <c r="G5976" s="227"/>
      <c r="H5976" s="227"/>
      <c r="I5976" s="227"/>
      <c r="J5976" s="227"/>
      <c r="K5976" s="227"/>
      <c r="L5976" s="348"/>
      <c r="M5976" s="348"/>
      <c r="N5976" s="227"/>
      <c r="O5976" s="227"/>
      <c r="P5976" s="231"/>
      <c r="Q5976" s="231"/>
      <c r="R5976" s="227"/>
      <c r="S5976" s="231"/>
      <c r="T5976" s="231"/>
      <c r="U5976" s="231"/>
      <c r="V5976" s="231"/>
      <c r="W5976" s="231"/>
      <c r="X5976" s="227"/>
      <c r="Y5976" s="348"/>
      <c r="Z5976" s="348"/>
      <c r="AA5976" s="348"/>
      <c r="AB5976" s="348"/>
      <c r="AC5976" s="227"/>
      <c r="AD5976" s="227"/>
      <c r="AE5976" s="231"/>
      <c r="AF5976" s="227"/>
      <c r="AG5976" s="348"/>
      <c r="AH5976" s="348"/>
      <c r="AI5976" s="348"/>
      <c r="AJ5976" s="348"/>
      <c r="AK5976" s="348"/>
      <c r="AL5976" s="348"/>
      <c r="AM5976" s="348"/>
      <c r="AN5976" s="348"/>
      <c r="AO5976" s="231"/>
      <c r="AP5976" s="231"/>
      <c r="AQ5976" s="227"/>
      <c r="AR5976" s="231"/>
      <c r="AS5976" s="227"/>
      <c r="AT5976" s="227"/>
      <c r="AU5976" s="227"/>
      <c r="AV5976" s="227"/>
      <c r="AW5976" s="227"/>
      <c r="AX5976" s="227"/>
      <c r="AY5976" s="227"/>
      <c r="AZ5976" s="227"/>
      <c r="BA5976" s="227"/>
      <c r="BB5976" s="227"/>
      <c r="BC5976" s="227"/>
      <c r="BD5976" s="227"/>
      <c r="BE5976" s="227"/>
      <c r="BF5976" s="227"/>
    </row>
    <row r="5977">
      <c r="A5977" s="227"/>
      <c r="B5977" s="348"/>
      <c r="C5977" s="227"/>
      <c r="D5977" s="227"/>
      <c r="E5977" s="231"/>
      <c r="F5977" s="348"/>
      <c r="G5977" s="227"/>
      <c r="H5977" s="227"/>
      <c r="I5977" s="227"/>
      <c r="J5977" s="227"/>
      <c r="K5977" s="227"/>
      <c r="L5977" s="348"/>
      <c r="M5977" s="348"/>
      <c r="N5977" s="227"/>
      <c r="O5977" s="227"/>
      <c r="P5977" s="231"/>
      <c r="Q5977" s="231"/>
      <c r="R5977" s="227"/>
      <c r="S5977" s="231"/>
      <c r="T5977" s="231"/>
      <c r="U5977" s="231"/>
      <c r="V5977" s="231"/>
      <c r="W5977" s="231"/>
      <c r="X5977" s="227"/>
      <c r="Y5977" s="348"/>
      <c r="Z5977" s="348"/>
      <c r="AA5977" s="348"/>
      <c r="AB5977" s="348"/>
      <c r="AC5977" s="227"/>
      <c r="AD5977" s="227"/>
      <c r="AE5977" s="231"/>
      <c r="AF5977" s="227"/>
      <c r="AG5977" s="348"/>
      <c r="AH5977" s="348"/>
      <c r="AI5977" s="348"/>
      <c r="AJ5977" s="348"/>
      <c r="AK5977" s="348"/>
      <c r="AL5977" s="348"/>
      <c r="AM5977" s="348"/>
      <c r="AN5977" s="348"/>
      <c r="AO5977" s="231"/>
      <c r="AP5977" s="231"/>
      <c r="AQ5977" s="227"/>
      <c r="AR5977" s="231"/>
      <c r="AS5977" s="227"/>
      <c r="AT5977" s="227"/>
      <c r="AU5977" s="227"/>
      <c r="AV5977" s="227"/>
      <c r="AW5977" s="227"/>
      <c r="AX5977" s="227"/>
      <c r="AY5977" s="227"/>
      <c r="AZ5977" s="227"/>
      <c r="BA5977" s="227"/>
      <c r="BB5977" s="227"/>
      <c r="BC5977" s="227"/>
      <c r="BD5977" s="227"/>
      <c r="BE5977" s="227"/>
      <c r="BF5977" s="227"/>
    </row>
    <row r="5978">
      <c r="A5978" s="227"/>
      <c r="B5978" s="348"/>
      <c r="C5978" s="227"/>
      <c r="D5978" s="227"/>
      <c r="E5978" s="231"/>
      <c r="F5978" s="348"/>
      <c r="G5978" s="227"/>
      <c r="H5978" s="227"/>
      <c r="I5978" s="227"/>
      <c r="J5978" s="227"/>
      <c r="K5978" s="227"/>
      <c r="L5978" s="348"/>
      <c r="M5978" s="348"/>
      <c r="N5978" s="227"/>
      <c r="O5978" s="227"/>
      <c r="P5978" s="231"/>
      <c r="Q5978" s="231"/>
      <c r="R5978" s="227"/>
      <c r="S5978" s="231"/>
      <c r="T5978" s="231"/>
      <c r="U5978" s="231"/>
      <c r="V5978" s="231"/>
      <c r="W5978" s="231"/>
      <c r="X5978" s="227"/>
      <c r="Y5978" s="348"/>
      <c r="Z5978" s="348"/>
      <c r="AA5978" s="348"/>
      <c r="AB5978" s="348"/>
      <c r="AC5978" s="227"/>
      <c r="AD5978" s="227"/>
      <c r="AE5978" s="231"/>
      <c r="AF5978" s="227"/>
      <c r="AG5978" s="348"/>
      <c r="AH5978" s="348"/>
      <c r="AI5978" s="348"/>
      <c r="AJ5978" s="348"/>
      <c r="AK5978" s="348"/>
      <c r="AL5978" s="348"/>
      <c r="AM5978" s="348"/>
      <c r="AN5978" s="348"/>
      <c r="AO5978" s="231"/>
      <c r="AP5978" s="231"/>
      <c r="AQ5978" s="227"/>
      <c r="AR5978" s="231"/>
      <c r="AS5978" s="227"/>
      <c r="AT5978" s="227"/>
      <c r="AU5978" s="227"/>
      <c r="AV5978" s="227"/>
      <c r="AW5978" s="227"/>
      <c r="AX5978" s="227"/>
      <c r="AY5978" s="227"/>
      <c r="AZ5978" s="227"/>
      <c r="BA5978" s="227"/>
      <c r="BB5978" s="227"/>
      <c r="BC5978" s="227"/>
      <c r="BD5978" s="227"/>
      <c r="BE5978" s="227"/>
      <c r="BF5978" s="227"/>
    </row>
    <row r="5979">
      <c r="A5979" s="227"/>
      <c r="B5979" s="348"/>
      <c r="C5979" s="227"/>
      <c r="D5979" s="227"/>
      <c r="E5979" s="231"/>
      <c r="F5979" s="348"/>
      <c r="G5979" s="227"/>
      <c r="H5979" s="227"/>
      <c r="I5979" s="227"/>
      <c r="J5979" s="227"/>
      <c r="K5979" s="227"/>
      <c r="L5979" s="348"/>
      <c r="M5979" s="348"/>
      <c r="N5979" s="227"/>
      <c r="O5979" s="227"/>
      <c r="P5979" s="231"/>
      <c r="Q5979" s="231"/>
      <c r="R5979" s="227"/>
      <c r="S5979" s="231"/>
      <c r="T5979" s="231"/>
      <c r="U5979" s="231"/>
      <c r="V5979" s="231"/>
      <c r="W5979" s="231"/>
      <c r="X5979" s="227"/>
      <c r="Y5979" s="348"/>
      <c r="Z5979" s="348"/>
      <c r="AA5979" s="348"/>
      <c r="AB5979" s="348"/>
      <c r="AC5979" s="227"/>
      <c r="AD5979" s="227"/>
      <c r="AE5979" s="231"/>
      <c r="AF5979" s="227"/>
      <c r="AG5979" s="348"/>
      <c r="AH5979" s="348"/>
      <c r="AI5979" s="348"/>
      <c r="AJ5979" s="348"/>
      <c r="AK5979" s="348"/>
      <c r="AL5979" s="348"/>
      <c r="AM5979" s="348"/>
      <c r="AN5979" s="348"/>
      <c r="AO5979" s="231"/>
      <c r="AP5979" s="231"/>
      <c r="AQ5979" s="227"/>
      <c r="AR5979" s="231"/>
      <c r="AS5979" s="227"/>
      <c r="AT5979" s="227"/>
      <c r="AU5979" s="227"/>
      <c r="AV5979" s="227"/>
      <c r="AW5979" s="227"/>
      <c r="AX5979" s="227"/>
      <c r="AY5979" s="227"/>
      <c r="AZ5979" s="227"/>
      <c r="BA5979" s="227"/>
      <c r="BB5979" s="227"/>
      <c r="BC5979" s="227"/>
      <c r="BD5979" s="227"/>
      <c r="BE5979" s="227"/>
      <c r="BF5979" s="227"/>
    </row>
    <row r="5980">
      <c r="A5980" s="227"/>
      <c r="B5980" s="348"/>
      <c r="C5980" s="227"/>
      <c r="D5980" s="227"/>
      <c r="E5980" s="231"/>
      <c r="F5980" s="348"/>
      <c r="G5980" s="227"/>
      <c r="H5980" s="227"/>
      <c r="I5980" s="227"/>
      <c r="J5980" s="227"/>
      <c r="K5980" s="227"/>
      <c r="L5980" s="348"/>
      <c r="M5980" s="348"/>
      <c r="N5980" s="227"/>
      <c r="O5980" s="227"/>
      <c r="P5980" s="231"/>
      <c r="Q5980" s="231"/>
      <c r="R5980" s="227"/>
      <c r="S5980" s="231"/>
      <c r="T5980" s="231"/>
      <c r="U5980" s="231"/>
      <c r="V5980" s="231"/>
      <c r="W5980" s="231"/>
      <c r="X5980" s="227"/>
      <c r="Y5980" s="348"/>
      <c r="Z5980" s="348"/>
      <c r="AA5980" s="348"/>
      <c r="AB5980" s="348"/>
      <c r="AC5980" s="227"/>
      <c r="AD5980" s="227"/>
      <c r="AE5980" s="231"/>
      <c r="AF5980" s="227"/>
      <c r="AG5980" s="348"/>
      <c r="AH5980" s="348"/>
      <c r="AI5980" s="348"/>
      <c r="AJ5980" s="348"/>
      <c r="AK5980" s="348"/>
      <c r="AL5980" s="348"/>
      <c r="AM5980" s="348"/>
      <c r="AN5980" s="348"/>
      <c r="AO5980" s="231"/>
      <c r="AP5980" s="231"/>
      <c r="AQ5980" s="227"/>
      <c r="AR5980" s="231"/>
      <c r="AS5980" s="227"/>
      <c r="AT5980" s="227"/>
      <c r="AU5980" s="227"/>
      <c r="AV5980" s="227"/>
      <c r="AW5980" s="227"/>
      <c r="AX5980" s="227"/>
      <c r="AY5980" s="227"/>
      <c r="AZ5980" s="227"/>
      <c r="BA5980" s="227"/>
      <c r="BB5980" s="227"/>
      <c r="BC5980" s="227"/>
      <c r="BD5980" s="227"/>
      <c r="BE5980" s="227"/>
      <c r="BF5980" s="227"/>
    </row>
    <row r="5981">
      <c r="A5981" s="227"/>
      <c r="B5981" s="348"/>
      <c r="C5981" s="227"/>
      <c r="D5981" s="227"/>
      <c r="E5981" s="231"/>
      <c r="F5981" s="348"/>
      <c r="G5981" s="227"/>
      <c r="H5981" s="227"/>
      <c r="I5981" s="227"/>
      <c r="J5981" s="227"/>
      <c r="K5981" s="227"/>
      <c r="L5981" s="348"/>
      <c r="M5981" s="348"/>
      <c r="N5981" s="227"/>
      <c r="O5981" s="227"/>
      <c r="P5981" s="231"/>
      <c r="Q5981" s="231"/>
      <c r="R5981" s="227"/>
      <c r="S5981" s="231"/>
      <c r="T5981" s="231"/>
      <c r="U5981" s="231"/>
      <c r="V5981" s="231"/>
      <c r="W5981" s="231"/>
      <c r="X5981" s="227"/>
      <c r="Y5981" s="348"/>
      <c r="Z5981" s="348"/>
      <c r="AA5981" s="348"/>
      <c r="AB5981" s="348"/>
      <c r="AC5981" s="227"/>
      <c r="AD5981" s="227"/>
      <c r="AE5981" s="231"/>
      <c r="AF5981" s="227"/>
      <c r="AG5981" s="348"/>
      <c r="AH5981" s="348"/>
      <c r="AI5981" s="348"/>
      <c r="AJ5981" s="348"/>
      <c r="AK5981" s="348"/>
      <c r="AL5981" s="348"/>
      <c r="AM5981" s="348"/>
      <c r="AN5981" s="348"/>
      <c r="AO5981" s="231"/>
      <c r="AP5981" s="231"/>
      <c r="AQ5981" s="227"/>
      <c r="AR5981" s="231"/>
      <c r="AS5981" s="227"/>
      <c r="AT5981" s="227"/>
      <c r="AU5981" s="227"/>
      <c r="AV5981" s="227"/>
      <c r="AW5981" s="227"/>
      <c r="AX5981" s="227"/>
      <c r="AY5981" s="227"/>
      <c r="AZ5981" s="227"/>
      <c r="BA5981" s="227"/>
      <c r="BB5981" s="227"/>
      <c r="BC5981" s="227"/>
      <c r="BD5981" s="227"/>
      <c r="BE5981" s="227"/>
      <c r="BF5981" s="227"/>
    </row>
    <row r="5982">
      <c r="A5982" s="227"/>
      <c r="B5982" s="348"/>
      <c r="C5982" s="227"/>
      <c r="D5982" s="227"/>
      <c r="E5982" s="231"/>
      <c r="F5982" s="348"/>
      <c r="G5982" s="227"/>
      <c r="H5982" s="227"/>
      <c r="I5982" s="227"/>
      <c r="J5982" s="227"/>
      <c r="K5982" s="227"/>
      <c r="L5982" s="348"/>
      <c r="M5982" s="348"/>
      <c r="N5982" s="227"/>
      <c r="O5982" s="227"/>
      <c r="P5982" s="231"/>
      <c r="Q5982" s="231"/>
      <c r="R5982" s="227"/>
      <c r="S5982" s="231"/>
      <c r="T5982" s="231"/>
      <c r="U5982" s="231"/>
      <c r="V5982" s="231"/>
      <c r="W5982" s="231"/>
      <c r="X5982" s="227"/>
      <c r="Y5982" s="348"/>
      <c r="Z5982" s="348"/>
      <c r="AA5982" s="348"/>
      <c r="AB5982" s="348"/>
      <c r="AC5982" s="227"/>
      <c r="AD5982" s="227"/>
      <c r="AE5982" s="231"/>
      <c r="AF5982" s="227"/>
      <c r="AG5982" s="348"/>
      <c r="AH5982" s="348"/>
      <c r="AI5982" s="348"/>
      <c r="AJ5982" s="348"/>
      <c r="AK5982" s="348"/>
      <c r="AL5982" s="348"/>
      <c r="AM5982" s="348"/>
      <c r="AN5982" s="348"/>
      <c r="AO5982" s="231"/>
      <c r="AP5982" s="231"/>
      <c r="AQ5982" s="227"/>
      <c r="AR5982" s="231"/>
      <c r="AS5982" s="227"/>
      <c r="AT5982" s="227"/>
      <c r="AU5982" s="227"/>
      <c r="AV5982" s="227"/>
      <c r="AW5982" s="227"/>
      <c r="AX5982" s="227"/>
      <c r="AY5982" s="227"/>
      <c r="AZ5982" s="227"/>
      <c r="BA5982" s="227"/>
      <c r="BB5982" s="227"/>
      <c r="BC5982" s="227"/>
      <c r="BD5982" s="227"/>
      <c r="BE5982" s="227"/>
      <c r="BF5982" s="227"/>
    </row>
    <row r="5983">
      <c r="A5983" s="227"/>
      <c r="B5983" s="348"/>
      <c r="C5983" s="227"/>
      <c r="D5983" s="227"/>
      <c r="E5983" s="231"/>
      <c r="F5983" s="348"/>
      <c r="G5983" s="227"/>
      <c r="H5983" s="227"/>
      <c r="I5983" s="227"/>
      <c r="J5983" s="227"/>
      <c r="K5983" s="227"/>
      <c r="L5983" s="348"/>
      <c r="M5983" s="348"/>
      <c r="N5983" s="227"/>
      <c r="O5983" s="227"/>
      <c r="P5983" s="231"/>
      <c r="Q5983" s="231"/>
      <c r="R5983" s="227"/>
      <c r="S5983" s="231"/>
      <c r="T5983" s="231"/>
      <c r="U5983" s="231"/>
      <c r="V5983" s="231"/>
      <c r="W5983" s="231"/>
      <c r="X5983" s="227"/>
      <c r="Y5983" s="348"/>
      <c r="Z5983" s="348"/>
      <c r="AA5983" s="348"/>
      <c r="AB5983" s="348"/>
      <c r="AC5983" s="227"/>
      <c r="AD5983" s="227"/>
      <c r="AE5983" s="231"/>
      <c r="AF5983" s="227"/>
      <c r="AG5983" s="348"/>
      <c r="AH5983" s="348"/>
      <c r="AI5983" s="348"/>
      <c r="AJ5983" s="348"/>
      <c r="AK5983" s="348"/>
      <c r="AL5983" s="348"/>
      <c r="AM5983" s="348"/>
      <c r="AN5983" s="348"/>
      <c r="AO5983" s="231"/>
      <c r="AP5983" s="231"/>
      <c r="AQ5983" s="227"/>
      <c r="AR5983" s="231"/>
      <c r="AS5983" s="227"/>
      <c r="AT5983" s="227"/>
      <c r="AU5983" s="227"/>
      <c r="AV5983" s="227"/>
      <c r="AW5983" s="227"/>
      <c r="AX5983" s="227"/>
      <c r="AY5983" s="227"/>
      <c r="AZ5983" s="227"/>
      <c r="BA5983" s="227"/>
      <c r="BB5983" s="227"/>
      <c r="BC5983" s="227"/>
      <c r="BD5983" s="227"/>
      <c r="BE5983" s="227"/>
      <c r="BF5983" s="227"/>
    </row>
    <row r="5984">
      <c r="A5984" s="227"/>
      <c r="B5984" s="348"/>
      <c r="C5984" s="227"/>
      <c r="D5984" s="227"/>
      <c r="E5984" s="231"/>
      <c r="F5984" s="348"/>
      <c r="G5984" s="227"/>
      <c r="H5984" s="227"/>
      <c r="I5984" s="227"/>
      <c r="J5984" s="227"/>
      <c r="K5984" s="227"/>
      <c r="L5984" s="348"/>
      <c r="M5984" s="348"/>
      <c r="N5984" s="227"/>
      <c r="O5984" s="227"/>
      <c r="P5984" s="231"/>
      <c r="Q5984" s="231"/>
      <c r="R5984" s="227"/>
      <c r="S5984" s="231"/>
      <c r="T5984" s="231"/>
      <c r="U5984" s="231"/>
      <c r="V5984" s="231"/>
      <c r="W5984" s="231"/>
      <c r="X5984" s="227"/>
      <c r="Y5984" s="348"/>
      <c r="Z5984" s="348"/>
      <c r="AA5984" s="348"/>
      <c r="AB5984" s="348"/>
      <c r="AC5984" s="227"/>
      <c r="AD5984" s="227"/>
      <c r="AE5984" s="231"/>
      <c r="AF5984" s="227"/>
      <c r="AG5984" s="348"/>
      <c r="AH5984" s="348"/>
      <c r="AI5984" s="348"/>
      <c r="AJ5984" s="348"/>
      <c r="AK5984" s="348"/>
      <c r="AL5984" s="348"/>
      <c r="AM5984" s="348"/>
      <c r="AN5984" s="348"/>
      <c r="AO5984" s="231"/>
      <c r="AP5984" s="231"/>
      <c r="AQ5984" s="227"/>
      <c r="AR5984" s="231"/>
      <c r="AS5984" s="227"/>
      <c r="AT5984" s="227"/>
      <c r="AU5984" s="227"/>
      <c r="AV5984" s="227"/>
      <c r="AW5984" s="227"/>
      <c r="AX5984" s="227"/>
      <c r="AY5984" s="227"/>
      <c r="AZ5984" s="227"/>
      <c r="BA5984" s="227"/>
      <c r="BB5984" s="227"/>
      <c r="BC5984" s="227"/>
      <c r="BD5984" s="227"/>
      <c r="BE5984" s="227"/>
      <c r="BF5984" s="227"/>
    </row>
    <row r="5985">
      <c r="A5985" s="227"/>
      <c r="B5985" s="348"/>
      <c r="C5985" s="227"/>
      <c r="D5985" s="227"/>
      <c r="E5985" s="231"/>
      <c r="F5985" s="348"/>
      <c r="G5985" s="227"/>
      <c r="H5985" s="227"/>
      <c r="I5985" s="227"/>
      <c r="J5985" s="227"/>
      <c r="K5985" s="227"/>
      <c r="L5985" s="348"/>
      <c r="M5985" s="348"/>
      <c r="N5985" s="227"/>
      <c r="O5985" s="227"/>
      <c r="P5985" s="231"/>
      <c r="Q5985" s="231"/>
      <c r="R5985" s="227"/>
      <c r="S5985" s="231"/>
      <c r="T5985" s="231"/>
      <c r="U5985" s="231"/>
      <c r="V5985" s="231"/>
      <c r="W5985" s="231"/>
      <c r="X5985" s="227"/>
      <c r="Y5985" s="348"/>
      <c r="Z5985" s="348"/>
      <c r="AA5985" s="348"/>
      <c r="AB5985" s="348"/>
      <c r="AC5985" s="227"/>
      <c r="AD5985" s="227"/>
      <c r="AE5985" s="231"/>
      <c r="AF5985" s="227"/>
      <c r="AG5985" s="348"/>
      <c r="AH5985" s="348"/>
      <c r="AI5985" s="348"/>
      <c r="AJ5985" s="348"/>
      <c r="AK5985" s="348"/>
      <c r="AL5985" s="348"/>
      <c r="AM5985" s="348"/>
      <c r="AN5985" s="348"/>
      <c r="AO5985" s="231"/>
      <c r="AP5985" s="231"/>
      <c r="AQ5985" s="227"/>
      <c r="AR5985" s="231"/>
      <c r="AS5985" s="227"/>
      <c r="AT5985" s="227"/>
      <c r="AU5985" s="227"/>
      <c r="AV5985" s="227"/>
      <c r="AW5985" s="227"/>
      <c r="AX5985" s="227"/>
      <c r="AY5985" s="227"/>
      <c r="AZ5985" s="227"/>
      <c r="BA5985" s="227"/>
      <c r="BB5985" s="227"/>
      <c r="BC5985" s="227"/>
      <c r="BD5985" s="227"/>
      <c r="BE5985" s="227"/>
      <c r="BF5985" s="227"/>
    </row>
    <row r="5986">
      <c r="A5986" s="227"/>
      <c r="B5986" s="348"/>
      <c r="C5986" s="227"/>
      <c r="D5986" s="227"/>
      <c r="E5986" s="231"/>
      <c r="F5986" s="348"/>
      <c r="G5986" s="227"/>
      <c r="H5986" s="227"/>
      <c r="I5986" s="227"/>
      <c r="J5986" s="227"/>
      <c r="K5986" s="227"/>
      <c r="L5986" s="348"/>
      <c r="M5986" s="348"/>
      <c r="N5986" s="227"/>
      <c r="O5986" s="227"/>
      <c r="P5986" s="231"/>
      <c r="Q5986" s="231"/>
      <c r="R5986" s="227"/>
      <c r="S5986" s="231"/>
      <c r="T5986" s="231"/>
      <c r="U5986" s="231"/>
      <c r="V5986" s="231"/>
      <c r="W5986" s="231"/>
      <c r="X5986" s="227"/>
      <c r="Y5986" s="348"/>
      <c r="Z5986" s="348"/>
      <c r="AA5986" s="348"/>
      <c r="AB5986" s="348"/>
      <c r="AC5986" s="227"/>
      <c r="AD5986" s="227"/>
      <c r="AE5986" s="231"/>
      <c r="AF5986" s="227"/>
      <c r="AG5986" s="348"/>
      <c r="AH5986" s="348"/>
      <c r="AI5986" s="348"/>
      <c r="AJ5986" s="348"/>
      <c r="AK5986" s="348"/>
      <c r="AL5986" s="348"/>
      <c r="AM5986" s="348"/>
      <c r="AN5986" s="348"/>
      <c r="AO5986" s="231"/>
      <c r="AP5986" s="231"/>
      <c r="AQ5986" s="227"/>
      <c r="AR5986" s="231"/>
      <c r="AS5986" s="227"/>
      <c r="AT5986" s="227"/>
      <c r="AU5986" s="227"/>
      <c r="AV5986" s="227"/>
      <c r="AW5986" s="227"/>
      <c r="AX5986" s="227"/>
      <c r="AY5986" s="227"/>
      <c r="AZ5986" s="227"/>
      <c r="BA5986" s="227"/>
      <c r="BB5986" s="227"/>
      <c r="BC5986" s="227"/>
      <c r="BD5986" s="227"/>
      <c r="BE5986" s="227"/>
      <c r="BF5986" s="227"/>
    </row>
    <row r="5987">
      <c r="A5987" s="227"/>
      <c r="B5987" s="348"/>
      <c r="C5987" s="227"/>
      <c r="D5987" s="227"/>
      <c r="E5987" s="231"/>
      <c r="F5987" s="348"/>
      <c r="G5987" s="227"/>
      <c r="H5987" s="227"/>
      <c r="I5987" s="227"/>
      <c r="J5987" s="227"/>
      <c r="K5987" s="227"/>
      <c r="L5987" s="348"/>
      <c r="M5987" s="348"/>
      <c r="N5987" s="227"/>
      <c r="O5987" s="227"/>
      <c r="P5987" s="231"/>
      <c r="Q5987" s="231"/>
      <c r="R5987" s="227"/>
      <c r="S5987" s="231"/>
      <c r="T5987" s="231"/>
      <c r="U5987" s="231"/>
      <c r="V5987" s="231"/>
      <c r="W5987" s="231"/>
      <c r="X5987" s="227"/>
      <c r="Y5987" s="348"/>
      <c r="Z5987" s="348"/>
      <c r="AA5987" s="348"/>
      <c r="AB5987" s="348"/>
      <c r="AC5987" s="227"/>
      <c r="AD5987" s="227"/>
      <c r="AE5987" s="231"/>
      <c r="AF5987" s="227"/>
      <c r="AG5987" s="348"/>
      <c r="AH5987" s="348"/>
      <c r="AI5987" s="348"/>
      <c r="AJ5987" s="348"/>
      <c r="AK5987" s="348"/>
      <c r="AL5987" s="348"/>
      <c r="AM5987" s="348"/>
      <c r="AN5987" s="348"/>
      <c r="AO5987" s="231"/>
      <c r="AP5987" s="231"/>
      <c r="AQ5987" s="227"/>
      <c r="AR5987" s="231"/>
      <c r="AS5987" s="227"/>
      <c r="AT5987" s="227"/>
      <c r="AU5987" s="227"/>
      <c r="AV5987" s="227"/>
      <c r="AW5987" s="227"/>
      <c r="AX5987" s="227"/>
      <c r="AY5987" s="227"/>
      <c r="AZ5987" s="227"/>
      <c r="BA5987" s="227"/>
      <c r="BB5987" s="227"/>
      <c r="BC5987" s="227"/>
      <c r="BD5987" s="227"/>
      <c r="BE5987" s="227"/>
      <c r="BF5987" s="227"/>
    </row>
    <row r="5988">
      <c r="A5988" s="227"/>
      <c r="B5988" s="348"/>
      <c r="C5988" s="227"/>
      <c r="D5988" s="227"/>
      <c r="E5988" s="231"/>
      <c r="F5988" s="348"/>
      <c r="G5988" s="227"/>
      <c r="H5988" s="227"/>
      <c r="I5988" s="227"/>
      <c r="J5988" s="227"/>
      <c r="K5988" s="227"/>
      <c r="L5988" s="348"/>
      <c r="M5988" s="348"/>
      <c r="N5988" s="227"/>
      <c r="O5988" s="227"/>
      <c r="P5988" s="231"/>
      <c r="Q5988" s="231"/>
      <c r="R5988" s="227"/>
      <c r="S5988" s="231"/>
      <c r="T5988" s="231"/>
      <c r="U5988" s="231"/>
      <c r="V5988" s="231"/>
      <c r="W5988" s="231"/>
      <c r="X5988" s="227"/>
      <c r="Y5988" s="348"/>
      <c r="Z5988" s="348"/>
      <c r="AA5988" s="348"/>
      <c r="AB5988" s="348"/>
      <c r="AC5988" s="227"/>
      <c r="AD5988" s="227"/>
      <c r="AE5988" s="231"/>
      <c r="AF5988" s="227"/>
      <c r="AG5988" s="348"/>
      <c r="AH5988" s="348"/>
      <c r="AI5988" s="348"/>
      <c r="AJ5988" s="348"/>
      <c r="AK5988" s="348"/>
      <c r="AL5988" s="348"/>
      <c r="AM5988" s="348"/>
      <c r="AN5988" s="348"/>
      <c r="AO5988" s="231"/>
      <c r="AP5988" s="231"/>
      <c r="AQ5988" s="227"/>
      <c r="AR5988" s="231"/>
      <c r="AS5988" s="227"/>
      <c r="AT5988" s="227"/>
      <c r="AU5988" s="227"/>
      <c r="AV5988" s="227"/>
      <c r="AW5988" s="227"/>
      <c r="AX5988" s="227"/>
      <c r="AY5988" s="227"/>
      <c r="AZ5988" s="227"/>
      <c r="BA5988" s="227"/>
      <c r="BB5988" s="227"/>
      <c r="BC5988" s="227"/>
      <c r="BD5988" s="227"/>
      <c r="BE5988" s="227"/>
      <c r="BF5988" s="227"/>
    </row>
    <row r="5989">
      <c r="A5989" s="227"/>
      <c r="B5989" s="348"/>
      <c r="C5989" s="227"/>
      <c r="D5989" s="227"/>
      <c r="E5989" s="231"/>
      <c r="F5989" s="348"/>
      <c r="G5989" s="227"/>
      <c r="H5989" s="227"/>
      <c r="I5989" s="227"/>
      <c r="J5989" s="227"/>
      <c r="K5989" s="227"/>
      <c r="L5989" s="348"/>
      <c r="M5989" s="348"/>
      <c r="N5989" s="227"/>
      <c r="O5989" s="227"/>
      <c r="P5989" s="231"/>
      <c r="Q5989" s="231"/>
      <c r="R5989" s="227"/>
      <c r="S5989" s="231"/>
      <c r="T5989" s="231"/>
      <c r="U5989" s="231"/>
      <c r="V5989" s="231"/>
      <c r="W5989" s="231"/>
      <c r="X5989" s="227"/>
      <c r="Y5989" s="348"/>
      <c r="Z5989" s="348"/>
      <c r="AA5989" s="348"/>
      <c r="AB5989" s="348"/>
      <c r="AC5989" s="227"/>
      <c r="AD5989" s="227"/>
      <c r="AE5989" s="231"/>
      <c r="AF5989" s="227"/>
      <c r="AG5989" s="348"/>
      <c r="AH5989" s="348"/>
      <c r="AI5989" s="348"/>
      <c r="AJ5989" s="348"/>
      <c r="AK5989" s="348"/>
      <c r="AL5989" s="348"/>
      <c r="AM5989" s="348"/>
      <c r="AN5989" s="348"/>
      <c r="AO5989" s="231"/>
      <c r="AP5989" s="231"/>
      <c r="AQ5989" s="227"/>
      <c r="AR5989" s="231"/>
      <c r="AS5989" s="227"/>
      <c r="AT5989" s="227"/>
      <c r="AU5989" s="227"/>
      <c r="AV5989" s="227"/>
      <c r="AW5989" s="227"/>
      <c r="AX5989" s="227"/>
      <c r="AY5989" s="227"/>
      <c r="AZ5989" s="227"/>
      <c r="BA5989" s="227"/>
      <c r="BB5989" s="227"/>
      <c r="BC5989" s="227"/>
      <c r="BD5989" s="227"/>
      <c r="BE5989" s="227"/>
      <c r="BF5989" s="227"/>
    </row>
    <row r="5990">
      <c r="A5990" s="227"/>
      <c r="B5990" s="348"/>
      <c r="C5990" s="227"/>
      <c r="D5990" s="227"/>
      <c r="E5990" s="231"/>
      <c r="F5990" s="348"/>
      <c r="G5990" s="227"/>
      <c r="H5990" s="227"/>
      <c r="I5990" s="227"/>
      <c r="J5990" s="227"/>
      <c r="K5990" s="227"/>
      <c r="L5990" s="348"/>
      <c r="M5990" s="348"/>
      <c r="N5990" s="227"/>
      <c r="O5990" s="227"/>
      <c r="P5990" s="231"/>
      <c r="Q5990" s="231"/>
      <c r="R5990" s="227"/>
      <c r="S5990" s="231"/>
      <c r="T5990" s="231"/>
      <c r="U5990" s="231"/>
      <c r="V5990" s="231"/>
      <c r="W5990" s="231"/>
      <c r="X5990" s="227"/>
      <c r="Y5990" s="348"/>
      <c r="Z5990" s="348"/>
      <c r="AA5990" s="348"/>
      <c r="AB5990" s="348"/>
      <c r="AC5990" s="227"/>
      <c r="AD5990" s="227"/>
      <c r="AE5990" s="231"/>
      <c r="AF5990" s="227"/>
      <c r="AG5990" s="348"/>
      <c r="AH5990" s="348"/>
      <c r="AI5990" s="348"/>
      <c r="AJ5990" s="348"/>
      <c r="AK5990" s="348"/>
      <c r="AL5990" s="348"/>
      <c r="AM5990" s="348"/>
      <c r="AN5990" s="348"/>
      <c r="AO5990" s="231"/>
      <c r="AP5990" s="231"/>
      <c r="AQ5990" s="227"/>
      <c r="AR5990" s="231"/>
      <c r="AS5990" s="227"/>
      <c r="AT5990" s="227"/>
      <c r="AU5990" s="227"/>
      <c r="AV5990" s="227"/>
      <c r="AW5990" s="227"/>
      <c r="AX5990" s="227"/>
      <c r="AY5990" s="227"/>
      <c r="AZ5990" s="227"/>
      <c r="BA5990" s="227"/>
      <c r="BB5990" s="227"/>
      <c r="BC5990" s="227"/>
      <c r="BD5990" s="227"/>
      <c r="BE5990" s="227"/>
      <c r="BF5990" s="227"/>
    </row>
    <row r="5991">
      <c r="A5991" s="227"/>
      <c r="B5991" s="348"/>
      <c r="C5991" s="227"/>
      <c r="D5991" s="227"/>
      <c r="E5991" s="231"/>
      <c r="F5991" s="348"/>
      <c r="G5991" s="227"/>
      <c r="H5991" s="227"/>
      <c r="I5991" s="227"/>
      <c r="J5991" s="227"/>
      <c r="K5991" s="227"/>
      <c r="L5991" s="348"/>
      <c r="M5991" s="348"/>
      <c r="N5991" s="227"/>
      <c r="O5991" s="227"/>
      <c r="P5991" s="231"/>
      <c r="Q5991" s="231"/>
      <c r="R5991" s="227"/>
      <c r="S5991" s="231"/>
      <c r="T5991" s="231"/>
      <c r="U5991" s="231"/>
      <c r="V5991" s="231"/>
      <c r="W5991" s="231"/>
      <c r="X5991" s="227"/>
      <c r="Y5991" s="348"/>
      <c r="Z5991" s="348"/>
      <c r="AA5991" s="348"/>
      <c r="AB5991" s="348"/>
      <c r="AC5991" s="227"/>
      <c r="AD5991" s="227"/>
      <c r="AE5991" s="231"/>
      <c r="AF5991" s="227"/>
      <c r="AG5991" s="348"/>
      <c r="AH5991" s="348"/>
      <c r="AI5991" s="348"/>
      <c r="AJ5991" s="348"/>
      <c r="AK5991" s="348"/>
      <c r="AL5991" s="348"/>
      <c r="AM5991" s="348"/>
      <c r="AN5991" s="348"/>
      <c r="AO5991" s="231"/>
      <c r="AP5991" s="231"/>
      <c r="AQ5991" s="227"/>
      <c r="AR5991" s="231"/>
      <c r="AS5991" s="227"/>
      <c r="AT5991" s="227"/>
      <c r="AU5991" s="227"/>
      <c r="AV5991" s="227"/>
      <c r="AW5991" s="227"/>
      <c r="AX5991" s="227"/>
      <c r="AY5991" s="227"/>
      <c r="AZ5991" s="227"/>
      <c r="BA5991" s="227"/>
      <c r="BB5991" s="227"/>
      <c r="BC5991" s="227"/>
      <c r="BD5991" s="227"/>
      <c r="BE5991" s="227"/>
      <c r="BF5991" s="227"/>
    </row>
    <row r="5992">
      <c r="A5992" s="227"/>
      <c r="B5992" s="348"/>
      <c r="C5992" s="227"/>
      <c r="D5992" s="227"/>
      <c r="E5992" s="231"/>
      <c r="F5992" s="348"/>
      <c r="G5992" s="227"/>
      <c r="H5992" s="227"/>
      <c r="I5992" s="227"/>
      <c r="J5992" s="227"/>
      <c r="K5992" s="227"/>
      <c r="L5992" s="348"/>
      <c r="M5992" s="348"/>
      <c r="N5992" s="227"/>
      <c r="O5992" s="227"/>
      <c r="P5992" s="231"/>
      <c r="Q5992" s="231"/>
      <c r="R5992" s="227"/>
      <c r="S5992" s="231"/>
      <c r="T5992" s="231"/>
      <c r="U5992" s="231"/>
      <c r="V5992" s="231"/>
      <c r="W5992" s="231"/>
      <c r="X5992" s="227"/>
      <c r="Y5992" s="348"/>
      <c r="Z5992" s="348"/>
      <c r="AA5992" s="348"/>
      <c r="AB5992" s="348"/>
      <c r="AC5992" s="227"/>
      <c r="AD5992" s="227"/>
      <c r="AE5992" s="231"/>
      <c r="AF5992" s="227"/>
      <c r="AG5992" s="348"/>
      <c r="AH5992" s="348"/>
      <c r="AI5992" s="348"/>
      <c r="AJ5992" s="348"/>
      <c r="AK5992" s="348"/>
      <c r="AL5992" s="348"/>
      <c r="AM5992" s="348"/>
      <c r="AN5992" s="348"/>
      <c r="AO5992" s="231"/>
      <c r="AP5992" s="231"/>
      <c r="AQ5992" s="227"/>
      <c r="AR5992" s="231"/>
      <c r="AS5992" s="227"/>
      <c r="AT5992" s="227"/>
      <c r="AU5992" s="227"/>
      <c r="AV5992" s="227"/>
      <c r="AW5992" s="227"/>
      <c r="AX5992" s="227"/>
      <c r="AY5992" s="227"/>
      <c r="AZ5992" s="227"/>
      <c r="BA5992" s="227"/>
      <c r="BB5992" s="227"/>
      <c r="BC5992" s="227"/>
      <c r="BD5992" s="227"/>
      <c r="BE5992" s="227"/>
      <c r="BF5992" s="227"/>
    </row>
    <row r="5993">
      <c r="A5993" s="227"/>
      <c r="B5993" s="348"/>
      <c r="C5993" s="227"/>
      <c r="D5993" s="227"/>
      <c r="E5993" s="231"/>
      <c r="F5993" s="348"/>
      <c r="G5993" s="227"/>
      <c r="H5993" s="227"/>
      <c r="I5993" s="227"/>
      <c r="J5993" s="227"/>
      <c r="K5993" s="227"/>
      <c r="L5993" s="348"/>
      <c r="M5993" s="348"/>
      <c r="N5993" s="227"/>
      <c r="O5993" s="227"/>
      <c r="P5993" s="231"/>
      <c r="Q5993" s="231"/>
      <c r="R5993" s="227"/>
      <c r="S5993" s="231"/>
      <c r="T5993" s="231"/>
      <c r="U5993" s="231"/>
      <c r="V5993" s="231"/>
      <c r="W5993" s="231"/>
      <c r="X5993" s="227"/>
      <c r="Y5993" s="348"/>
      <c r="Z5993" s="348"/>
      <c r="AA5993" s="348"/>
      <c r="AB5993" s="348"/>
      <c r="AC5993" s="227"/>
      <c r="AD5993" s="227"/>
      <c r="AE5993" s="231"/>
      <c r="AF5993" s="227"/>
      <c r="AG5993" s="348"/>
      <c r="AH5993" s="348"/>
      <c r="AI5993" s="348"/>
      <c r="AJ5993" s="348"/>
      <c r="AK5993" s="348"/>
      <c r="AL5993" s="348"/>
      <c r="AM5993" s="348"/>
      <c r="AN5993" s="348"/>
      <c r="AO5993" s="231"/>
      <c r="AP5993" s="231"/>
      <c r="AQ5993" s="227"/>
      <c r="AR5993" s="231"/>
      <c r="AS5993" s="227"/>
      <c r="AT5993" s="227"/>
      <c r="AU5993" s="227"/>
      <c r="AV5993" s="227"/>
      <c r="AW5993" s="227"/>
      <c r="AX5993" s="227"/>
      <c r="AY5993" s="227"/>
      <c r="AZ5993" s="227"/>
      <c r="BA5993" s="227"/>
      <c r="BB5993" s="227"/>
      <c r="BC5993" s="227"/>
      <c r="BD5993" s="227"/>
      <c r="BE5993" s="227"/>
      <c r="BF5993" s="227"/>
    </row>
    <row r="5994">
      <c r="A5994" s="227"/>
      <c r="B5994" s="348"/>
      <c r="C5994" s="227"/>
      <c r="D5994" s="227"/>
      <c r="E5994" s="231"/>
      <c r="F5994" s="348"/>
      <c r="G5994" s="227"/>
      <c r="H5994" s="227"/>
      <c r="I5994" s="227"/>
      <c r="J5994" s="227"/>
      <c r="K5994" s="227"/>
      <c r="L5994" s="348"/>
      <c r="M5994" s="348"/>
      <c r="N5994" s="227"/>
      <c r="O5994" s="227"/>
      <c r="P5994" s="231"/>
      <c r="Q5994" s="231"/>
      <c r="R5994" s="227"/>
      <c r="S5994" s="231"/>
      <c r="T5994" s="231"/>
      <c r="U5994" s="231"/>
      <c r="V5994" s="231"/>
      <c r="W5994" s="231"/>
      <c r="X5994" s="227"/>
      <c r="Y5994" s="348"/>
      <c r="Z5994" s="348"/>
      <c r="AA5994" s="348"/>
      <c r="AB5994" s="348"/>
      <c r="AC5994" s="227"/>
      <c r="AD5994" s="227"/>
      <c r="AE5994" s="231"/>
      <c r="AF5994" s="227"/>
      <c r="AG5994" s="348"/>
      <c r="AH5994" s="348"/>
      <c r="AI5994" s="348"/>
      <c r="AJ5994" s="348"/>
      <c r="AK5994" s="348"/>
      <c r="AL5994" s="348"/>
      <c r="AM5994" s="348"/>
      <c r="AN5994" s="348"/>
      <c r="AO5994" s="231"/>
      <c r="AP5994" s="231"/>
      <c r="AQ5994" s="227"/>
      <c r="AR5994" s="231"/>
      <c r="AS5994" s="227"/>
      <c r="AT5994" s="227"/>
      <c r="AU5994" s="227"/>
      <c r="AV5994" s="227"/>
      <c r="AW5994" s="227"/>
      <c r="AX5994" s="227"/>
      <c r="AY5994" s="227"/>
      <c r="AZ5994" s="227"/>
      <c r="BA5994" s="227"/>
      <c r="BB5994" s="227"/>
      <c r="BC5994" s="227"/>
      <c r="BD5994" s="227"/>
      <c r="BE5994" s="227"/>
      <c r="BF5994" s="227"/>
    </row>
    <row r="5995">
      <c r="A5995" s="227"/>
      <c r="B5995" s="348"/>
      <c r="C5995" s="227"/>
      <c r="D5995" s="227"/>
      <c r="E5995" s="231"/>
      <c r="F5995" s="348"/>
      <c r="G5995" s="227"/>
      <c r="H5995" s="227"/>
      <c r="I5995" s="227"/>
      <c r="J5995" s="227"/>
      <c r="K5995" s="227"/>
      <c r="L5995" s="348"/>
      <c r="M5995" s="348"/>
      <c r="N5995" s="227"/>
      <c r="O5995" s="227"/>
      <c r="P5995" s="231"/>
      <c r="Q5995" s="231"/>
      <c r="R5995" s="227"/>
      <c r="S5995" s="231"/>
      <c r="T5995" s="231"/>
      <c r="U5995" s="231"/>
      <c r="V5995" s="231"/>
      <c r="W5995" s="231"/>
      <c r="X5995" s="227"/>
      <c r="Y5995" s="348"/>
      <c r="Z5995" s="348"/>
      <c r="AA5995" s="348"/>
      <c r="AB5995" s="348"/>
      <c r="AC5995" s="227"/>
      <c r="AD5995" s="227"/>
      <c r="AE5995" s="231"/>
      <c r="AF5995" s="227"/>
      <c r="AG5995" s="348"/>
      <c r="AH5995" s="348"/>
      <c r="AI5995" s="348"/>
      <c r="AJ5995" s="348"/>
      <c r="AK5995" s="348"/>
      <c r="AL5995" s="348"/>
      <c r="AM5995" s="348"/>
      <c r="AN5995" s="348"/>
      <c r="AO5995" s="231"/>
      <c r="AP5995" s="231"/>
      <c r="AQ5995" s="227"/>
      <c r="AR5995" s="231"/>
      <c r="AS5995" s="227"/>
      <c r="AT5995" s="227"/>
      <c r="AU5995" s="227"/>
      <c r="AV5995" s="227"/>
      <c r="AW5995" s="227"/>
      <c r="AX5995" s="227"/>
      <c r="AY5995" s="227"/>
      <c r="AZ5995" s="227"/>
      <c r="BA5995" s="227"/>
      <c r="BB5995" s="227"/>
      <c r="BC5995" s="227"/>
      <c r="BD5995" s="227"/>
      <c r="BE5995" s="227"/>
      <c r="BF5995" s="227"/>
    </row>
    <row r="5996">
      <c r="A5996" s="227"/>
      <c r="B5996" s="348"/>
      <c r="C5996" s="227"/>
      <c r="D5996" s="227"/>
      <c r="E5996" s="231"/>
      <c r="F5996" s="348"/>
      <c r="G5996" s="227"/>
      <c r="H5996" s="227"/>
      <c r="I5996" s="227"/>
      <c r="J5996" s="227"/>
      <c r="K5996" s="227"/>
      <c r="L5996" s="348"/>
      <c r="M5996" s="348"/>
      <c r="N5996" s="227"/>
      <c r="O5996" s="227"/>
      <c r="P5996" s="231"/>
      <c r="Q5996" s="231"/>
      <c r="R5996" s="227"/>
      <c r="S5996" s="231"/>
      <c r="T5996" s="231"/>
      <c r="U5996" s="231"/>
      <c r="V5996" s="231"/>
      <c r="W5996" s="231"/>
      <c r="X5996" s="227"/>
      <c r="Y5996" s="348"/>
      <c r="Z5996" s="348"/>
      <c r="AA5996" s="348"/>
      <c r="AB5996" s="348"/>
      <c r="AC5996" s="227"/>
      <c r="AD5996" s="227"/>
      <c r="AE5996" s="231"/>
      <c r="AF5996" s="227"/>
      <c r="AG5996" s="348"/>
      <c r="AH5996" s="348"/>
      <c r="AI5996" s="348"/>
      <c r="AJ5996" s="348"/>
      <c r="AK5996" s="348"/>
      <c r="AL5996" s="348"/>
      <c r="AM5996" s="348"/>
      <c r="AN5996" s="348"/>
      <c r="AO5996" s="231"/>
      <c r="AP5996" s="231"/>
      <c r="AQ5996" s="227"/>
      <c r="AR5996" s="231"/>
      <c r="AS5996" s="227"/>
      <c r="AT5996" s="227"/>
      <c r="AU5996" s="227"/>
      <c r="AV5996" s="227"/>
      <c r="AW5996" s="227"/>
      <c r="AX5996" s="227"/>
      <c r="AY5996" s="227"/>
      <c r="AZ5996" s="227"/>
      <c r="BA5996" s="227"/>
      <c r="BB5996" s="227"/>
      <c r="BC5996" s="227"/>
      <c r="BD5996" s="227"/>
      <c r="BE5996" s="227"/>
      <c r="BF5996" s="227"/>
    </row>
    <row r="5997">
      <c r="A5997" s="227"/>
      <c r="B5997" s="348"/>
      <c r="C5997" s="227"/>
      <c r="D5997" s="227"/>
      <c r="E5997" s="231"/>
      <c r="F5997" s="348"/>
      <c r="G5997" s="227"/>
      <c r="H5997" s="227"/>
      <c r="I5997" s="227"/>
      <c r="J5997" s="227"/>
      <c r="K5997" s="227"/>
      <c r="L5997" s="348"/>
      <c r="M5997" s="348"/>
      <c r="N5997" s="227"/>
      <c r="O5997" s="227"/>
      <c r="P5997" s="231"/>
      <c r="Q5997" s="231"/>
      <c r="R5997" s="227"/>
      <c r="S5997" s="231"/>
      <c r="T5997" s="231"/>
      <c r="U5997" s="231"/>
      <c r="V5997" s="231"/>
      <c r="W5997" s="231"/>
      <c r="X5997" s="227"/>
      <c r="Y5997" s="348"/>
      <c r="Z5997" s="348"/>
      <c r="AA5997" s="348"/>
      <c r="AB5997" s="348"/>
      <c r="AC5997" s="227"/>
      <c r="AD5997" s="227"/>
      <c r="AE5997" s="231"/>
      <c r="AF5997" s="227"/>
      <c r="AG5997" s="348"/>
      <c r="AH5997" s="348"/>
      <c r="AI5997" s="348"/>
      <c r="AJ5997" s="348"/>
      <c r="AK5997" s="348"/>
      <c r="AL5997" s="348"/>
      <c r="AM5997" s="348"/>
      <c r="AN5997" s="348"/>
      <c r="AO5997" s="231"/>
      <c r="AP5997" s="231"/>
      <c r="AQ5997" s="227"/>
      <c r="AR5997" s="231"/>
      <c r="AS5997" s="227"/>
      <c r="AT5997" s="227"/>
      <c r="AU5997" s="227"/>
      <c r="AV5997" s="227"/>
      <c r="AW5997" s="227"/>
      <c r="AX5997" s="227"/>
      <c r="AY5997" s="227"/>
      <c r="AZ5997" s="227"/>
      <c r="BA5997" s="227"/>
      <c r="BB5997" s="227"/>
      <c r="BC5997" s="227"/>
      <c r="BD5997" s="227"/>
      <c r="BE5997" s="227"/>
      <c r="BF5997" s="227"/>
    </row>
    <row r="5998">
      <c r="A5998" s="227"/>
      <c r="B5998" s="348"/>
      <c r="C5998" s="227"/>
      <c r="D5998" s="227"/>
      <c r="E5998" s="231"/>
      <c r="F5998" s="348"/>
      <c r="G5998" s="227"/>
      <c r="H5998" s="227"/>
      <c r="I5998" s="227"/>
      <c r="J5998" s="227"/>
      <c r="K5998" s="227"/>
      <c r="L5998" s="348"/>
      <c r="M5998" s="348"/>
      <c r="N5998" s="227"/>
      <c r="O5998" s="227"/>
      <c r="P5998" s="231"/>
      <c r="Q5998" s="231"/>
      <c r="R5998" s="227"/>
      <c r="S5998" s="231"/>
      <c r="T5998" s="231"/>
      <c r="U5998" s="231"/>
      <c r="V5998" s="231"/>
      <c r="W5998" s="231"/>
      <c r="X5998" s="227"/>
      <c r="Y5998" s="348"/>
      <c r="Z5998" s="348"/>
      <c r="AA5998" s="348"/>
      <c r="AB5998" s="348"/>
      <c r="AC5998" s="227"/>
      <c r="AD5998" s="227"/>
      <c r="AE5998" s="231"/>
      <c r="AF5998" s="227"/>
      <c r="AG5998" s="348"/>
      <c r="AH5998" s="348"/>
      <c r="AI5998" s="348"/>
      <c r="AJ5998" s="348"/>
      <c r="AK5998" s="348"/>
      <c r="AL5998" s="348"/>
      <c r="AM5998" s="348"/>
      <c r="AN5998" s="348"/>
      <c r="AO5998" s="231"/>
      <c r="AP5998" s="231"/>
      <c r="AQ5998" s="227"/>
      <c r="AR5998" s="231"/>
      <c r="AS5998" s="227"/>
      <c r="AT5998" s="227"/>
      <c r="AU5998" s="227"/>
      <c r="AV5998" s="227"/>
      <c r="AW5998" s="227"/>
      <c r="AX5998" s="227"/>
      <c r="AY5998" s="227"/>
      <c r="AZ5998" s="227"/>
      <c r="BA5998" s="227"/>
      <c r="BB5998" s="227"/>
      <c r="BC5998" s="227"/>
      <c r="BD5998" s="227"/>
      <c r="BE5998" s="227"/>
      <c r="BF5998" s="227"/>
    </row>
    <row r="5999">
      <c r="A5999" s="227"/>
      <c r="B5999" s="348"/>
      <c r="C5999" s="227"/>
      <c r="D5999" s="227"/>
      <c r="E5999" s="231"/>
      <c r="F5999" s="348"/>
      <c r="G5999" s="227"/>
      <c r="H5999" s="227"/>
      <c r="I5999" s="227"/>
      <c r="J5999" s="227"/>
      <c r="K5999" s="227"/>
      <c r="L5999" s="348"/>
      <c r="M5999" s="348"/>
      <c r="N5999" s="227"/>
      <c r="O5999" s="227"/>
      <c r="P5999" s="231"/>
      <c r="Q5999" s="231"/>
      <c r="R5999" s="227"/>
      <c r="S5999" s="231"/>
      <c r="T5999" s="231"/>
      <c r="U5999" s="231"/>
      <c r="V5999" s="231"/>
      <c r="W5999" s="231"/>
      <c r="X5999" s="227"/>
      <c r="Y5999" s="348"/>
      <c r="Z5999" s="348"/>
      <c r="AA5999" s="348"/>
      <c r="AB5999" s="348"/>
      <c r="AC5999" s="227"/>
      <c r="AD5999" s="227"/>
      <c r="AE5999" s="231"/>
      <c r="AF5999" s="227"/>
      <c r="AG5999" s="348"/>
      <c r="AH5999" s="348"/>
      <c r="AI5999" s="348"/>
      <c r="AJ5999" s="348"/>
      <c r="AK5999" s="348"/>
      <c r="AL5999" s="348"/>
      <c r="AM5999" s="348"/>
      <c r="AN5999" s="348"/>
      <c r="AO5999" s="231"/>
      <c r="AP5999" s="231"/>
      <c r="AQ5999" s="227"/>
      <c r="AR5999" s="231"/>
      <c r="AS5999" s="227"/>
      <c r="AT5999" s="227"/>
      <c r="AU5999" s="227"/>
      <c r="AV5999" s="227"/>
      <c r="AW5999" s="227"/>
      <c r="AX5999" s="227"/>
      <c r="AY5999" s="227"/>
      <c r="AZ5999" s="227"/>
      <c r="BA5999" s="227"/>
      <c r="BB5999" s="227"/>
      <c r="BC5999" s="227"/>
      <c r="BD5999" s="227"/>
      <c r="BE5999" s="227"/>
      <c r="BF5999" s="227"/>
    </row>
    <row r="6000">
      <c r="A6000" s="227"/>
      <c r="B6000" s="348"/>
      <c r="C6000" s="227"/>
      <c r="D6000" s="227"/>
      <c r="E6000" s="231"/>
      <c r="F6000" s="348"/>
      <c r="G6000" s="227"/>
      <c r="H6000" s="227"/>
      <c r="I6000" s="227"/>
      <c r="J6000" s="227"/>
      <c r="K6000" s="227"/>
      <c r="L6000" s="348"/>
      <c r="M6000" s="348"/>
      <c r="N6000" s="227"/>
      <c r="O6000" s="227"/>
      <c r="P6000" s="231"/>
      <c r="Q6000" s="231"/>
      <c r="R6000" s="227"/>
      <c r="S6000" s="231"/>
      <c r="T6000" s="231"/>
      <c r="U6000" s="231"/>
      <c r="V6000" s="231"/>
      <c r="W6000" s="231"/>
      <c r="X6000" s="227"/>
      <c r="Y6000" s="348"/>
      <c r="Z6000" s="348"/>
      <c r="AA6000" s="348"/>
      <c r="AB6000" s="348"/>
      <c r="AC6000" s="227"/>
      <c r="AD6000" s="227"/>
      <c r="AE6000" s="231"/>
      <c r="AF6000" s="227"/>
      <c r="AG6000" s="348"/>
      <c r="AH6000" s="348"/>
      <c r="AI6000" s="348"/>
      <c r="AJ6000" s="348"/>
      <c r="AK6000" s="348"/>
      <c r="AL6000" s="348"/>
      <c r="AM6000" s="348"/>
      <c r="AN6000" s="348"/>
      <c r="AO6000" s="231"/>
      <c r="AP6000" s="231"/>
      <c r="AQ6000" s="227"/>
      <c r="AR6000" s="231"/>
      <c r="AS6000" s="227"/>
      <c r="AT6000" s="227"/>
      <c r="AU6000" s="227"/>
      <c r="AV6000" s="227"/>
      <c r="AW6000" s="227"/>
      <c r="AX6000" s="227"/>
      <c r="AY6000" s="227"/>
      <c r="AZ6000" s="227"/>
      <c r="BA6000" s="227"/>
      <c r="BB6000" s="227"/>
      <c r="BC6000" s="227"/>
      <c r="BD6000" s="227"/>
      <c r="BE6000" s="227"/>
      <c r="BF6000" s="227"/>
    </row>
    <row r="6001">
      <c r="A6001" s="227"/>
      <c r="B6001" s="348"/>
      <c r="C6001" s="227"/>
      <c r="D6001" s="227"/>
      <c r="E6001" s="231"/>
      <c r="F6001" s="348"/>
      <c r="G6001" s="227"/>
      <c r="H6001" s="227"/>
      <c r="I6001" s="227"/>
      <c r="J6001" s="227"/>
      <c r="K6001" s="227"/>
      <c r="L6001" s="348"/>
      <c r="M6001" s="348"/>
      <c r="N6001" s="227"/>
      <c r="O6001" s="227"/>
      <c r="P6001" s="231"/>
      <c r="Q6001" s="231"/>
      <c r="R6001" s="227"/>
      <c r="S6001" s="231"/>
      <c r="T6001" s="231"/>
      <c r="U6001" s="231"/>
      <c r="V6001" s="231"/>
      <c r="W6001" s="231"/>
      <c r="X6001" s="227"/>
      <c r="Y6001" s="348"/>
      <c r="Z6001" s="348"/>
      <c r="AA6001" s="348"/>
      <c r="AB6001" s="348"/>
      <c r="AC6001" s="227"/>
      <c r="AD6001" s="227"/>
      <c r="AE6001" s="231"/>
      <c r="AF6001" s="227"/>
      <c r="AG6001" s="348"/>
      <c r="AH6001" s="348"/>
      <c r="AI6001" s="348"/>
      <c r="AJ6001" s="348"/>
      <c r="AK6001" s="348"/>
      <c r="AL6001" s="348"/>
      <c r="AM6001" s="348"/>
      <c r="AN6001" s="348"/>
      <c r="AO6001" s="231"/>
      <c r="AP6001" s="231"/>
      <c r="AQ6001" s="227"/>
      <c r="AR6001" s="231"/>
      <c r="AS6001" s="227"/>
      <c r="AT6001" s="227"/>
      <c r="AU6001" s="227"/>
      <c r="AV6001" s="227"/>
      <c r="AW6001" s="227"/>
      <c r="AX6001" s="227"/>
      <c r="AY6001" s="227"/>
      <c r="AZ6001" s="227"/>
      <c r="BA6001" s="227"/>
      <c r="BB6001" s="227"/>
      <c r="BC6001" s="227"/>
      <c r="BD6001" s="227"/>
      <c r="BE6001" s="227"/>
      <c r="BF6001" s="227"/>
    </row>
    <row r="6002">
      <c r="A6002" s="227"/>
      <c r="B6002" s="348"/>
      <c r="C6002" s="227"/>
      <c r="D6002" s="227"/>
      <c r="E6002" s="231"/>
      <c r="F6002" s="348"/>
      <c r="G6002" s="227"/>
      <c r="H6002" s="227"/>
      <c r="I6002" s="227"/>
      <c r="J6002" s="227"/>
      <c r="K6002" s="227"/>
      <c r="L6002" s="348"/>
      <c r="M6002" s="348"/>
      <c r="N6002" s="227"/>
      <c r="O6002" s="227"/>
      <c r="P6002" s="231"/>
      <c r="Q6002" s="231"/>
      <c r="R6002" s="227"/>
      <c r="S6002" s="231"/>
      <c r="T6002" s="231"/>
      <c r="U6002" s="231"/>
      <c r="V6002" s="231"/>
      <c r="W6002" s="231"/>
      <c r="X6002" s="227"/>
      <c r="Y6002" s="348"/>
      <c r="Z6002" s="348"/>
      <c r="AA6002" s="348"/>
      <c r="AB6002" s="348"/>
      <c r="AC6002" s="227"/>
      <c r="AD6002" s="227"/>
      <c r="AE6002" s="231"/>
      <c r="AF6002" s="227"/>
      <c r="AG6002" s="348"/>
      <c r="AH6002" s="348"/>
      <c r="AI6002" s="348"/>
      <c r="AJ6002" s="348"/>
      <c r="AK6002" s="348"/>
      <c r="AL6002" s="348"/>
      <c r="AM6002" s="348"/>
      <c r="AN6002" s="348"/>
      <c r="AO6002" s="231"/>
      <c r="AP6002" s="231"/>
      <c r="AQ6002" s="227"/>
      <c r="AR6002" s="231"/>
      <c r="AS6002" s="227"/>
      <c r="AT6002" s="227"/>
      <c r="AU6002" s="227"/>
      <c r="AV6002" s="227"/>
      <c r="AW6002" s="227"/>
      <c r="AX6002" s="227"/>
      <c r="AY6002" s="227"/>
      <c r="AZ6002" s="227"/>
      <c r="BA6002" s="227"/>
      <c r="BB6002" s="227"/>
      <c r="BC6002" s="227"/>
      <c r="BD6002" s="227"/>
      <c r="BE6002" s="227"/>
      <c r="BF6002" s="227"/>
    </row>
    <row r="6003">
      <c r="A6003" s="227"/>
      <c r="B6003" s="348"/>
      <c r="C6003" s="227"/>
      <c r="D6003" s="227"/>
      <c r="E6003" s="231"/>
      <c r="F6003" s="348"/>
      <c r="G6003" s="227"/>
      <c r="H6003" s="227"/>
      <c r="I6003" s="227"/>
      <c r="J6003" s="227"/>
      <c r="K6003" s="227"/>
      <c r="L6003" s="348"/>
      <c r="M6003" s="348"/>
      <c r="N6003" s="227"/>
      <c r="O6003" s="227"/>
      <c r="P6003" s="231"/>
      <c r="Q6003" s="231"/>
      <c r="R6003" s="227"/>
      <c r="S6003" s="231"/>
      <c r="T6003" s="231"/>
      <c r="U6003" s="231"/>
      <c r="V6003" s="231"/>
      <c r="W6003" s="231"/>
      <c r="X6003" s="227"/>
      <c r="Y6003" s="348"/>
      <c r="Z6003" s="348"/>
      <c r="AA6003" s="348"/>
      <c r="AB6003" s="348"/>
      <c r="AC6003" s="227"/>
      <c r="AD6003" s="227"/>
      <c r="AE6003" s="231"/>
      <c r="AF6003" s="227"/>
      <c r="AG6003" s="348"/>
      <c r="AH6003" s="348"/>
      <c r="AI6003" s="348"/>
      <c r="AJ6003" s="348"/>
      <c r="AK6003" s="348"/>
      <c r="AL6003" s="348"/>
      <c r="AM6003" s="348"/>
      <c r="AN6003" s="348"/>
      <c r="AO6003" s="231"/>
      <c r="AP6003" s="231"/>
      <c r="AQ6003" s="227"/>
      <c r="AR6003" s="231"/>
      <c r="AS6003" s="227"/>
      <c r="AT6003" s="227"/>
      <c r="AU6003" s="227"/>
      <c r="AV6003" s="227"/>
      <c r="AW6003" s="227"/>
      <c r="AX6003" s="227"/>
      <c r="AY6003" s="227"/>
      <c r="AZ6003" s="227"/>
      <c r="BA6003" s="227"/>
      <c r="BB6003" s="227"/>
      <c r="BC6003" s="227"/>
      <c r="BD6003" s="227"/>
      <c r="BE6003" s="227"/>
      <c r="BF6003" s="227"/>
    </row>
    <row r="6004">
      <c r="A6004" s="227"/>
      <c r="B6004" s="348"/>
      <c r="C6004" s="227"/>
      <c r="D6004" s="227"/>
      <c r="E6004" s="231"/>
      <c r="F6004" s="348"/>
      <c r="G6004" s="227"/>
      <c r="H6004" s="227"/>
      <c r="I6004" s="227"/>
      <c r="J6004" s="227"/>
      <c r="K6004" s="227"/>
      <c r="L6004" s="348"/>
      <c r="M6004" s="348"/>
      <c r="N6004" s="227"/>
      <c r="O6004" s="227"/>
      <c r="P6004" s="231"/>
      <c r="Q6004" s="231"/>
      <c r="R6004" s="227"/>
      <c r="S6004" s="231"/>
      <c r="T6004" s="231"/>
      <c r="U6004" s="231"/>
      <c r="V6004" s="231"/>
      <c r="W6004" s="231"/>
      <c r="X6004" s="227"/>
      <c r="Y6004" s="348"/>
      <c r="Z6004" s="348"/>
      <c r="AA6004" s="348"/>
      <c r="AB6004" s="348"/>
      <c r="AC6004" s="227"/>
      <c r="AD6004" s="227"/>
      <c r="AE6004" s="231"/>
      <c r="AF6004" s="227"/>
      <c r="AG6004" s="348"/>
      <c r="AH6004" s="348"/>
      <c r="AI6004" s="348"/>
      <c r="AJ6004" s="348"/>
      <c r="AK6004" s="348"/>
      <c r="AL6004" s="348"/>
      <c r="AM6004" s="348"/>
      <c r="AN6004" s="348"/>
      <c r="AO6004" s="231"/>
      <c r="AP6004" s="231"/>
      <c r="AQ6004" s="227"/>
      <c r="AR6004" s="231"/>
      <c r="AS6004" s="227"/>
      <c r="AT6004" s="227"/>
      <c r="AU6004" s="227"/>
      <c r="AV6004" s="227"/>
      <c r="AW6004" s="227"/>
      <c r="AX6004" s="227"/>
      <c r="AY6004" s="227"/>
      <c r="AZ6004" s="227"/>
      <c r="BA6004" s="227"/>
      <c r="BB6004" s="227"/>
      <c r="BC6004" s="227"/>
      <c r="BD6004" s="227"/>
      <c r="BE6004" s="227"/>
      <c r="BF6004" s="227"/>
    </row>
    <row r="6005">
      <c r="A6005" s="227"/>
      <c r="B6005" s="348"/>
      <c r="C6005" s="227"/>
      <c r="D6005" s="227"/>
      <c r="E6005" s="231"/>
      <c r="F6005" s="348"/>
      <c r="G6005" s="227"/>
      <c r="H6005" s="227"/>
      <c r="I6005" s="227"/>
      <c r="J6005" s="227"/>
      <c r="K6005" s="227"/>
      <c r="L6005" s="348"/>
      <c r="M6005" s="348"/>
      <c r="N6005" s="227"/>
      <c r="O6005" s="227"/>
      <c r="P6005" s="231"/>
      <c r="Q6005" s="231"/>
      <c r="R6005" s="227"/>
      <c r="S6005" s="231"/>
      <c r="T6005" s="231"/>
      <c r="U6005" s="231"/>
      <c r="V6005" s="231"/>
      <c r="W6005" s="231"/>
      <c r="X6005" s="227"/>
      <c r="Y6005" s="348"/>
      <c r="Z6005" s="348"/>
      <c r="AA6005" s="348"/>
      <c r="AB6005" s="348"/>
      <c r="AC6005" s="227"/>
      <c r="AD6005" s="227"/>
      <c r="AE6005" s="231"/>
      <c r="AF6005" s="227"/>
      <c r="AG6005" s="348"/>
      <c r="AH6005" s="348"/>
      <c r="AI6005" s="348"/>
      <c r="AJ6005" s="348"/>
      <c r="AK6005" s="348"/>
      <c r="AL6005" s="348"/>
      <c r="AM6005" s="348"/>
      <c r="AN6005" s="348"/>
      <c r="AO6005" s="231"/>
      <c r="AP6005" s="231"/>
      <c r="AQ6005" s="227"/>
      <c r="AR6005" s="231"/>
      <c r="AS6005" s="227"/>
      <c r="AT6005" s="227"/>
      <c r="AU6005" s="227"/>
      <c r="AV6005" s="227"/>
      <c r="AW6005" s="227"/>
      <c r="AX6005" s="227"/>
      <c r="AY6005" s="227"/>
      <c r="AZ6005" s="227"/>
      <c r="BA6005" s="227"/>
      <c r="BB6005" s="227"/>
      <c r="BC6005" s="227"/>
      <c r="BD6005" s="227"/>
      <c r="BE6005" s="227"/>
      <c r="BF6005" s="227"/>
    </row>
    <row r="6006">
      <c r="A6006" s="227"/>
      <c r="B6006" s="348"/>
      <c r="C6006" s="227"/>
      <c r="D6006" s="227"/>
      <c r="E6006" s="231"/>
      <c r="F6006" s="348"/>
      <c r="G6006" s="227"/>
      <c r="H6006" s="227"/>
      <c r="I6006" s="227"/>
      <c r="J6006" s="227"/>
      <c r="K6006" s="227"/>
      <c r="L6006" s="348"/>
      <c r="M6006" s="348"/>
      <c r="N6006" s="227"/>
      <c r="O6006" s="227"/>
      <c r="P6006" s="231"/>
      <c r="Q6006" s="231"/>
      <c r="R6006" s="227"/>
      <c r="S6006" s="231"/>
      <c r="T6006" s="231"/>
      <c r="U6006" s="231"/>
      <c r="V6006" s="231"/>
      <c r="W6006" s="231"/>
      <c r="X6006" s="227"/>
      <c r="Y6006" s="348"/>
      <c r="Z6006" s="348"/>
      <c r="AA6006" s="348"/>
      <c r="AB6006" s="348"/>
      <c r="AC6006" s="227"/>
      <c r="AD6006" s="227"/>
      <c r="AE6006" s="231"/>
      <c r="AF6006" s="227"/>
      <c r="AG6006" s="348"/>
      <c r="AH6006" s="348"/>
      <c r="AI6006" s="348"/>
      <c r="AJ6006" s="348"/>
      <c r="AK6006" s="348"/>
      <c r="AL6006" s="348"/>
      <c r="AM6006" s="348"/>
      <c r="AN6006" s="348"/>
      <c r="AO6006" s="231"/>
      <c r="AP6006" s="231"/>
      <c r="AQ6006" s="227"/>
      <c r="AR6006" s="231"/>
      <c r="AS6006" s="227"/>
      <c r="AT6006" s="227"/>
      <c r="AU6006" s="227"/>
      <c r="AV6006" s="227"/>
      <c r="AW6006" s="227"/>
      <c r="AX6006" s="227"/>
      <c r="AY6006" s="227"/>
      <c r="AZ6006" s="227"/>
      <c r="BA6006" s="227"/>
      <c r="BB6006" s="227"/>
      <c r="BC6006" s="227"/>
      <c r="BD6006" s="227"/>
      <c r="BE6006" s="227"/>
      <c r="BF6006" s="227"/>
    </row>
    <row r="6007">
      <c r="A6007" s="227"/>
      <c r="B6007" s="348"/>
      <c r="C6007" s="227"/>
      <c r="D6007" s="227"/>
      <c r="E6007" s="231"/>
      <c r="F6007" s="348"/>
      <c r="G6007" s="227"/>
      <c r="H6007" s="227"/>
      <c r="I6007" s="227"/>
      <c r="J6007" s="227"/>
      <c r="K6007" s="227"/>
      <c r="L6007" s="348"/>
      <c r="M6007" s="348"/>
      <c r="N6007" s="227"/>
      <c r="O6007" s="227"/>
      <c r="P6007" s="231"/>
      <c r="Q6007" s="231"/>
      <c r="R6007" s="227"/>
      <c r="S6007" s="231"/>
      <c r="T6007" s="231"/>
      <c r="U6007" s="231"/>
      <c r="V6007" s="231"/>
      <c r="W6007" s="231"/>
      <c r="X6007" s="227"/>
      <c r="Y6007" s="348"/>
      <c r="Z6007" s="348"/>
      <c r="AA6007" s="348"/>
      <c r="AB6007" s="348"/>
      <c r="AC6007" s="227"/>
      <c r="AD6007" s="227"/>
      <c r="AE6007" s="231"/>
      <c r="AF6007" s="227"/>
      <c r="AG6007" s="348"/>
      <c r="AH6007" s="348"/>
      <c r="AI6007" s="348"/>
      <c r="AJ6007" s="348"/>
      <c r="AK6007" s="348"/>
      <c r="AL6007" s="348"/>
      <c r="AM6007" s="348"/>
      <c r="AN6007" s="348"/>
      <c r="AO6007" s="231"/>
      <c r="AP6007" s="231"/>
      <c r="AQ6007" s="227"/>
      <c r="AR6007" s="231"/>
      <c r="AS6007" s="227"/>
      <c r="AT6007" s="227"/>
      <c r="AU6007" s="227"/>
      <c r="AV6007" s="227"/>
      <c r="AW6007" s="227"/>
      <c r="AX6007" s="227"/>
      <c r="AY6007" s="227"/>
      <c r="AZ6007" s="227"/>
      <c r="BA6007" s="227"/>
      <c r="BB6007" s="227"/>
      <c r="BC6007" s="227"/>
      <c r="BD6007" s="227"/>
      <c r="BE6007" s="227"/>
      <c r="BF6007" s="227"/>
    </row>
    <row r="6008">
      <c r="A6008" s="227"/>
      <c r="B6008" s="348"/>
      <c r="C6008" s="227"/>
      <c r="D6008" s="227"/>
      <c r="E6008" s="231"/>
      <c r="F6008" s="348"/>
      <c r="G6008" s="227"/>
      <c r="H6008" s="227"/>
      <c r="I6008" s="227"/>
      <c r="J6008" s="227"/>
      <c r="K6008" s="227"/>
      <c r="L6008" s="348"/>
      <c r="M6008" s="348"/>
      <c r="N6008" s="227"/>
      <c r="O6008" s="227"/>
      <c r="P6008" s="231"/>
      <c r="Q6008" s="231"/>
      <c r="R6008" s="227"/>
      <c r="S6008" s="231"/>
      <c r="T6008" s="231"/>
      <c r="U6008" s="231"/>
      <c r="V6008" s="231"/>
      <c r="W6008" s="231"/>
      <c r="X6008" s="227"/>
      <c r="Y6008" s="348"/>
      <c r="Z6008" s="348"/>
      <c r="AA6008" s="348"/>
      <c r="AB6008" s="348"/>
      <c r="AC6008" s="227"/>
      <c r="AD6008" s="227"/>
      <c r="AE6008" s="231"/>
      <c r="AF6008" s="227"/>
      <c r="AG6008" s="348"/>
      <c r="AH6008" s="348"/>
      <c r="AI6008" s="348"/>
      <c r="AJ6008" s="348"/>
      <c r="AK6008" s="348"/>
      <c r="AL6008" s="348"/>
      <c r="AM6008" s="348"/>
      <c r="AN6008" s="348"/>
      <c r="AO6008" s="231"/>
      <c r="AP6008" s="231"/>
      <c r="AQ6008" s="227"/>
      <c r="AR6008" s="231"/>
      <c r="AS6008" s="227"/>
      <c r="AT6008" s="227"/>
      <c r="AU6008" s="227"/>
      <c r="AV6008" s="227"/>
      <c r="AW6008" s="227"/>
      <c r="AX6008" s="227"/>
      <c r="AY6008" s="227"/>
      <c r="AZ6008" s="227"/>
      <c r="BA6008" s="227"/>
      <c r="BB6008" s="227"/>
      <c r="BC6008" s="227"/>
      <c r="BD6008" s="227"/>
      <c r="BE6008" s="227"/>
      <c r="BF6008" s="227"/>
    </row>
    <row r="6009">
      <c r="A6009" s="227"/>
      <c r="B6009" s="348"/>
      <c r="C6009" s="227"/>
      <c r="D6009" s="227"/>
      <c r="E6009" s="231"/>
      <c r="F6009" s="348"/>
      <c r="G6009" s="227"/>
      <c r="H6009" s="227"/>
      <c r="I6009" s="227"/>
      <c r="J6009" s="227"/>
      <c r="K6009" s="227"/>
      <c r="L6009" s="348"/>
      <c r="M6009" s="348"/>
      <c r="N6009" s="227"/>
      <c r="O6009" s="227"/>
      <c r="P6009" s="231"/>
      <c r="Q6009" s="231"/>
      <c r="R6009" s="227"/>
      <c r="S6009" s="231"/>
      <c r="T6009" s="231"/>
      <c r="U6009" s="231"/>
      <c r="V6009" s="231"/>
      <c r="W6009" s="231"/>
      <c r="X6009" s="227"/>
      <c r="Y6009" s="348"/>
      <c r="Z6009" s="348"/>
      <c r="AA6009" s="348"/>
      <c r="AB6009" s="348"/>
      <c r="AC6009" s="227"/>
      <c r="AD6009" s="227"/>
      <c r="AE6009" s="231"/>
      <c r="AF6009" s="227"/>
      <c r="AG6009" s="348"/>
      <c r="AH6009" s="348"/>
      <c r="AI6009" s="348"/>
      <c r="AJ6009" s="348"/>
      <c r="AK6009" s="348"/>
      <c r="AL6009" s="348"/>
      <c r="AM6009" s="348"/>
      <c r="AN6009" s="348"/>
      <c r="AO6009" s="231"/>
      <c r="AP6009" s="231"/>
      <c r="AQ6009" s="227"/>
      <c r="AR6009" s="231"/>
      <c r="AS6009" s="227"/>
      <c r="AT6009" s="227"/>
      <c r="AU6009" s="227"/>
      <c r="AV6009" s="227"/>
      <c r="AW6009" s="227"/>
      <c r="AX6009" s="227"/>
      <c r="AY6009" s="227"/>
      <c r="AZ6009" s="227"/>
      <c r="BA6009" s="227"/>
      <c r="BB6009" s="227"/>
      <c r="BC6009" s="227"/>
      <c r="BD6009" s="227"/>
      <c r="BE6009" s="227"/>
      <c r="BF6009" s="227"/>
    </row>
    <row r="6010">
      <c r="A6010" s="227"/>
      <c r="B6010" s="348"/>
      <c r="C6010" s="227"/>
      <c r="D6010" s="227"/>
      <c r="E6010" s="231"/>
      <c r="F6010" s="348"/>
      <c r="G6010" s="227"/>
      <c r="H6010" s="227"/>
      <c r="I6010" s="227"/>
      <c r="J6010" s="227"/>
      <c r="K6010" s="227"/>
      <c r="L6010" s="348"/>
      <c r="M6010" s="348"/>
      <c r="N6010" s="227"/>
      <c r="O6010" s="227"/>
      <c r="P6010" s="231"/>
      <c r="Q6010" s="231"/>
      <c r="R6010" s="227"/>
      <c r="S6010" s="231"/>
      <c r="T6010" s="231"/>
      <c r="U6010" s="231"/>
      <c r="V6010" s="231"/>
      <c r="W6010" s="231"/>
      <c r="X6010" s="227"/>
      <c r="Y6010" s="348"/>
      <c r="Z6010" s="348"/>
      <c r="AA6010" s="348"/>
      <c r="AB6010" s="348"/>
      <c r="AC6010" s="227"/>
      <c r="AD6010" s="227"/>
      <c r="AE6010" s="231"/>
      <c r="AF6010" s="227"/>
      <c r="AG6010" s="348"/>
      <c r="AH6010" s="348"/>
      <c r="AI6010" s="348"/>
      <c r="AJ6010" s="348"/>
      <c r="AK6010" s="348"/>
      <c r="AL6010" s="348"/>
      <c r="AM6010" s="348"/>
      <c r="AN6010" s="348"/>
      <c r="AO6010" s="231"/>
      <c r="AP6010" s="231"/>
      <c r="AQ6010" s="227"/>
      <c r="AR6010" s="231"/>
      <c r="AS6010" s="227"/>
      <c r="AT6010" s="227"/>
      <c r="AU6010" s="227"/>
      <c r="AV6010" s="227"/>
      <c r="AW6010" s="227"/>
      <c r="AX6010" s="227"/>
      <c r="AY6010" s="227"/>
      <c r="AZ6010" s="227"/>
      <c r="BA6010" s="227"/>
      <c r="BB6010" s="227"/>
      <c r="BC6010" s="227"/>
      <c r="BD6010" s="227"/>
      <c r="BE6010" s="227"/>
      <c r="BF6010" s="227"/>
    </row>
    <row r="6011">
      <c r="A6011" s="227"/>
      <c r="B6011" s="348"/>
      <c r="C6011" s="227"/>
      <c r="D6011" s="227"/>
      <c r="E6011" s="231"/>
      <c r="F6011" s="348"/>
      <c r="G6011" s="227"/>
      <c r="H6011" s="227"/>
      <c r="I6011" s="227"/>
      <c r="J6011" s="227"/>
      <c r="K6011" s="227"/>
      <c r="L6011" s="348"/>
      <c r="M6011" s="348"/>
      <c r="N6011" s="227"/>
      <c r="O6011" s="227"/>
      <c r="P6011" s="231"/>
      <c r="Q6011" s="231"/>
      <c r="R6011" s="227"/>
      <c r="S6011" s="231"/>
      <c r="T6011" s="231"/>
      <c r="U6011" s="231"/>
      <c r="V6011" s="231"/>
      <c r="W6011" s="231"/>
      <c r="X6011" s="227"/>
      <c r="Y6011" s="348"/>
      <c r="Z6011" s="348"/>
      <c r="AA6011" s="348"/>
      <c r="AB6011" s="348"/>
      <c r="AC6011" s="227"/>
      <c r="AD6011" s="227"/>
      <c r="AE6011" s="231"/>
      <c r="AF6011" s="227"/>
      <c r="AG6011" s="348"/>
      <c r="AH6011" s="348"/>
      <c r="AI6011" s="348"/>
      <c r="AJ6011" s="348"/>
      <c r="AK6011" s="348"/>
      <c r="AL6011" s="348"/>
      <c r="AM6011" s="348"/>
      <c r="AN6011" s="348"/>
      <c r="AO6011" s="231"/>
      <c r="AP6011" s="231"/>
      <c r="AQ6011" s="227"/>
      <c r="AR6011" s="231"/>
      <c r="AS6011" s="227"/>
      <c r="AT6011" s="227"/>
      <c r="AU6011" s="227"/>
      <c r="AV6011" s="227"/>
      <c r="AW6011" s="227"/>
      <c r="AX6011" s="227"/>
      <c r="AY6011" s="227"/>
      <c r="AZ6011" s="227"/>
      <c r="BA6011" s="227"/>
      <c r="BB6011" s="227"/>
      <c r="BC6011" s="227"/>
      <c r="BD6011" s="227"/>
      <c r="BE6011" s="227"/>
      <c r="BF6011" s="227"/>
    </row>
    <row r="6012">
      <c r="A6012" s="227"/>
      <c r="B6012" s="348"/>
      <c r="C6012" s="227"/>
      <c r="D6012" s="227"/>
      <c r="E6012" s="231"/>
      <c r="F6012" s="348"/>
      <c r="G6012" s="227"/>
      <c r="H6012" s="227"/>
      <c r="I6012" s="227"/>
      <c r="J6012" s="227"/>
      <c r="K6012" s="227"/>
      <c r="L6012" s="348"/>
      <c r="M6012" s="348"/>
      <c r="N6012" s="227"/>
      <c r="O6012" s="227"/>
      <c r="P6012" s="231"/>
      <c r="Q6012" s="231"/>
      <c r="R6012" s="227"/>
      <c r="S6012" s="231"/>
      <c r="T6012" s="231"/>
      <c r="U6012" s="231"/>
      <c r="V6012" s="231"/>
      <c r="W6012" s="231"/>
      <c r="X6012" s="227"/>
      <c r="Y6012" s="348"/>
      <c r="Z6012" s="348"/>
      <c r="AA6012" s="348"/>
      <c r="AB6012" s="348"/>
      <c r="AC6012" s="227"/>
      <c r="AD6012" s="227"/>
      <c r="AE6012" s="231"/>
      <c r="AF6012" s="227"/>
      <c r="AG6012" s="348"/>
      <c r="AH6012" s="348"/>
      <c r="AI6012" s="348"/>
      <c r="AJ6012" s="348"/>
      <c r="AK6012" s="348"/>
      <c r="AL6012" s="348"/>
      <c r="AM6012" s="348"/>
      <c r="AN6012" s="348"/>
      <c r="AO6012" s="231"/>
      <c r="AP6012" s="231"/>
      <c r="AQ6012" s="227"/>
      <c r="AR6012" s="231"/>
      <c r="AS6012" s="227"/>
      <c r="AT6012" s="227"/>
      <c r="AU6012" s="227"/>
      <c r="AV6012" s="227"/>
      <c r="AW6012" s="227"/>
      <c r="AX6012" s="227"/>
      <c r="AY6012" s="227"/>
      <c r="AZ6012" s="227"/>
      <c r="BA6012" s="227"/>
      <c r="BB6012" s="227"/>
      <c r="BC6012" s="227"/>
      <c r="BD6012" s="227"/>
      <c r="BE6012" s="227"/>
      <c r="BF6012" s="227"/>
    </row>
    <row r="6013">
      <c r="A6013" s="227"/>
      <c r="B6013" s="348"/>
      <c r="C6013" s="227"/>
      <c r="D6013" s="227"/>
      <c r="E6013" s="231"/>
      <c r="F6013" s="348"/>
      <c r="G6013" s="227"/>
      <c r="H6013" s="227"/>
      <c r="I6013" s="227"/>
      <c r="J6013" s="227"/>
      <c r="K6013" s="227"/>
      <c r="L6013" s="348"/>
      <c r="M6013" s="348"/>
      <c r="N6013" s="227"/>
      <c r="O6013" s="227"/>
      <c r="P6013" s="231"/>
      <c r="Q6013" s="231"/>
      <c r="R6013" s="227"/>
      <c r="S6013" s="231"/>
      <c r="T6013" s="231"/>
      <c r="U6013" s="231"/>
      <c r="V6013" s="231"/>
      <c r="W6013" s="231"/>
      <c r="X6013" s="227"/>
      <c r="Y6013" s="348"/>
      <c r="Z6013" s="348"/>
      <c r="AA6013" s="348"/>
      <c r="AB6013" s="348"/>
      <c r="AC6013" s="227"/>
      <c r="AD6013" s="227"/>
      <c r="AE6013" s="231"/>
      <c r="AF6013" s="227"/>
      <c r="AG6013" s="348"/>
      <c r="AH6013" s="348"/>
      <c r="AI6013" s="348"/>
      <c r="AJ6013" s="348"/>
      <c r="AK6013" s="348"/>
      <c r="AL6013" s="348"/>
      <c r="AM6013" s="348"/>
      <c r="AN6013" s="348"/>
      <c r="AO6013" s="231"/>
      <c r="AP6013" s="231"/>
      <c r="AQ6013" s="227"/>
      <c r="AR6013" s="231"/>
      <c r="AS6013" s="227"/>
      <c r="AT6013" s="227"/>
      <c r="AU6013" s="227"/>
      <c r="AV6013" s="227"/>
      <c r="AW6013" s="227"/>
      <c r="AX6013" s="227"/>
      <c r="AY6013" s="227"/>
      <c r="AZ6013" s="227"/>
      <c r="BA6013" s="227"/>
      <c r="BB6013" s="227"/>
      <c r="BC6013" s="227"/>
      <c r="BD6013" s="227"/>
      <c r="BE6013" s="227"/>
      <c r="BF6013" s="227"/>
    </row>
    <row r="6014">
      <c r="A6014" s="227"/>
      <c r="B6014" s="348"/>
      <c r="C6014" s="227"/>
      <c r="D6014" s="227"/>
      <c r="E6014" s="231"/>
      <c r="F6014" s="348"/>
      <c r="G6014" s="227"/>
      <c r="H6014" s="227"/>
      <c r="I6014" s="227"/>
      <c r="J6014" s="227"/>
      <c r="K6014" s="227"/>
      <c r="L6014" s="348"/>
      <c r="M6014" s="348"/>
      <c r="N6014" s="227"/>
      <c r="O6014" s="227"/>
      <c r="P6014" s="231"/>
      <c r="Q6014" s="231"/>
      <c r="R6014" s="227"/>
      <c r="S6014" s="231"/>
      <c r="T6014" s="231"/>
      <c r="U6014" s="231"/>
      <c r="V6014" s="231"/>
      <c r="W6014" s="231"/>
      <c r="X6014" s="227"/>
      <c r="Y6014" s="348"/>
      <c r="Z6014" s="348"/>
      <c r="AA6014" s="348"/>
      <c r="AB6014" s="348"/>
      <c r="AC6014" s="227"/>
      <c r="AD6014" s="227"/>
      <c r="AE6014" s="231"/>
      <c r="AF6014" s="227"/>
      <c r="AG6014" s="348"/>
      <c r="AH6014" s="348"/>
      <c r="AI6014" s="348"/>
      <c r="AJ6014" s="348"/>
      <c r="AK6014" s="348"/>
      <c r="AL6014" s="348"/>
      <c r="AM6014" s="348"/>
      <c r="AN6014" s="348"/>
      <c r="AO6014" s="231"/>
      <c r="AP6014" s="231"/>
      <c r="AQ6014" s="227"/>
      <c r="AR6014" s="231"/>
      <c r="AS6014" s="227"/>
      <c r="AT6014" s="227"/>
      <c r="AU6014" s="227"/>
      <c r="AV6014" s="227"/>
      <c r="AW6014" s="227"/>
      <c r="AX6014" s="227"/>
      <c r="AY6014" s="227"/>
      <c r="AZ6014" s="227"/>
      <c r="BA6014" s="227"/>
      <c r="BB6014" s="227"/>
      <c r="BC6014" s="227"/>
      <c r="BD6014" s="227"/>
      <c r="BE6014" s="227"/>
      <c r="BF6014" s="227"/>
    </row>
    <row r="6015">
      <c r="A6015" s="227"/>
      <c r="B6015" s="348"/>
      <c r="C6015" s="227"/>
      <c r="D6015" s="227"/>
      <c r="E6015" s="231"/>
      <c r="F6015" s="348"/>
      <c r="G6015" s="227"/>
      <c r="H6015" s="227"/>
      <c r="I6015" s="227"/>
      <c r="J6015" s="227"/>
      <c r="K6015" s="227"/>
      <c r="L6015" s="348"/>
      <c r="M6015" s="348"/>
      <c r="N6015" s="227"/>
      <c r="O6015" s="227"/>
      <c r="P6015" s="231"/>
      <c r="Q6015" s="231"/>
      <c r="R6015" s="227"/>
      <c r="S6015" s="231"/>
      <c r="T6015" s="231"/>
      <c r="U6015" s="231"/>
      <c r="V6015" s="231"/>
      <c r="W6015" s="231"/>
      <c r="X6015" s="227"/>
      <c r="Y6015" s="348"/>
      <c r="Z6015" s="348"/>
      <c r="AA6015" s="348"/>
      <c r="AB6015" s="348"/>
      <c r="AC6015" s="227"/>
      <c r="AD6015" s="227"/>
      <c r="AE6015" s="231"/>
      <c r="AF6015" s="227"/>
      <c r="AG6015" s="348"/>
      <c r="AH6015" s="348"/>
      <c r="AI6015" s="348"/>
      <c r="AJ6015" s="348"/>
      <c r="AK6015" s="348"/>
      <c r="AL6015" s="348"/>
      <c r="AM6015" s="348"/>
      <c r="AN6015" s="348"/>
      <c r="AO6015" s="231"/>
      <c r="AP6015" s="231"/>
      <c r="AQ6015" s="227"/>
      <c r="AR6015" s="231"/>
      <c r="AS6015" s="227"/>
      <c r="AT6015" s="227"/>
      <c r="AU6015" s="227"/>
      <c r="AV6015" s="227"/>
      <c r="AW6015" s="227"/>
      <c r="AX6015" s="227"/>
      <c r="AY6015" s="227"/>
      <c r="AZ6015" s="227"/>
      <c r="BA6015" s="227"/>
      <c r="BB6015" s="227"/>
      <c r="BC6015" s="227"/>
      <c r="BD6015" s="227"/>
      <c r="BE6015" s="227"/>
      <c r="BF6015" s="227"/>
    </row>
    <row r="6016">
      <c r="A6016" s="227"/>
      <c r="B6016" s="348"/>
      <c r="C6016" s="227"/>
      <c r="D6016" s="227"/>
      <c r="E6016" s="231"/>
      <c r="F6016" s="348"/>
      <c r="G6016" s="227"/>
      <c r="H6016" s="227"/>
      <c r="I6016" s="227"/>
      <c r="J6016" s="227"/>
      <c r="K6016" s="227"/>
      <c r="L6016" s="348"/>
      <c r="M6016" s="348"/>
      <c r="N6016" s="227"/>
      <c r="O6016" s="227"/>
      <c r="P6016" s="231"/>
      <c r="Q6016" s="231"/>
      <c r="R6016" s="227"/>
      <c r="S6016" s="231"/>
      <c r="T6016" s="231"/>
      <c r="U6016" s="231"/>
      <c r="V6016" s="231"/>
      <c r="W6016" s="231"/>
      <c r="X6016" s="227"/>
      <c r="Y6016" s="348"/>
      <c r="Z6016" s="348"/>
      <c r="AA6016" s="348"/>
      <c r="AB6016" s="348"/>
      <c r="AC6016" s="227"/>
      <c r="AD6016" s="227"/>
      <c r="AE6016" s="231"/>
      <c r="AF6016" s="227"/>
      <c r="AG6016" s="348"/>
      <c r="AH6016" s="348"/>
      <c r="AI6016" s="348"/>
      <c r="AJ6016" s="348"/>
      <c r="AK6016" s="348"/>
      <c r="AL6016" s="348"/>
      <c r="AM6016" s="348"/>
      <c r="AN6016" s="348"/>
      <c r="AO6016" s="231"/>
      <c r="AP6016" s="231"/>
      <c r="AQ6016" s="227"/>
      <c r="AR6016" s="231"/>
      <c r="AS6016" s="227"/>
      <c r="AT6016" s="227"/>
      <c r="AU6016" s="227"/>
      <c r="AV6016" s="227"/>
      <c r="AW6016" s="227"/>
      <c r="AX6016" s="227"/>
      <c r="AY6016" s="227"/>
      <c r="AZ6016" s="227"/>
      <c r="BA6016" s="227"/>
      <c r="BB6016" s="227"/>
      <c r="BC6016" s="227"/>
      <c r="BD6016" s="227"/>
      <c r="BE6016" s="227"/>
      <c r="BF6016" s="227"/>
    </row>
    <row r="6017">
      <c r="A6017" s="227"/>
      <c r="B6017" s="348"/>
      <c r="C6017" s="227"/>
      <c r="D6017" s="227"/>
      <c r="E6017" s="231"/>
      <c r="F6017" s="348"/>
      <c r="G6017" s="227"/>
      <c r="H6017" s="227"/>
      <c r="I6017" s="227"/>
      <c r="J6017" s="227"/>
      <c r="K6017" s="227"/>
      <c r="L6017" s="348"/>
      <c r="M6017" s="348"/>
      <c r="N6017" s="227"/>
      <c r="O6017" s="227"/>
      <c r="P6017" s="231"/>
      <c r="Q6017" s="231"/>
      <c r="R6017" s="227"/>
      <c r="S6017" s="231"/>
      <c r="T6017" s="231"/>
      <c r="U6017" s="231"/>
      <c r="V6017" s="231"/>
      <c r="W6017" s="231"/>
      <c r="X6017" s="227"/>
      <c r="Y6017" s="348"/>
      <c r="Z6017" s="348"/>
      <c r="AA6017" s="348"/>
      <c r="AB6017" s="348"/>
      <c r="AC6017" s="227"/>
      <c r="AD6017" s="227"/>
      <c r="AE6017" s="231"/>
      <c r="AF6017" s="227"/>
      <c r="AG6017" s="348"/>
      <c r="AH6017" s="348"/>
      <c r="AI6017" s="348"/>
      <c r="AJ6017" s="348"/>
      <c r="AK6017" s="348"/>
      <c r="AL6017" s="348"/>
      <c r="AM6017" s="348"/>
      <c r="AN6017" s="348"/>
      <c r="AO6017" s="231"/>
      <c r="AP6017" s="231"/>
      <c r="AQ6017" s="227"/>
      <c r="AR6017" s="231"/>
      <c r="AS6017" s="227"/>
      <c r="AT6017" s="227"/>
      <c r="AU6017" s="227"/>
      <c r="AV6017" s="227"/>
      <c r="AW6017" s="227"/>
      <c r="AX6017" s="227"/>
      <c r="AY6017" s="227"/>
      <c r="AZ6017" s="227"/>
      <c r="BA6017" s="227"/>
      <c r="BB6017" s="227"/>
      <c r="BC6017" s="227"/>
      <c r="BD6017" s="227"/>
      <c r="BE6017" s="227"/>
      <c r="BF6017" s="227"/>
    </row>
    <row r="6018">
      <c r="A6018" s="227"/>
      <c r="B6018" s="348"/>
      <c r="C6018" s="227"/>
      <c r="D6018" s="227"/>
      <c r="E6018" s="231"/>
      <c r="F6018" s="348"/>
      <c r="G6018" s="227"/>
      <c r="H6018" s="227"/>
      <c r="I6018" s="227"/>
      <c r="J6018" s="227"/>
      <c r="K6018" s="227"/>
      <c r="L6018" s="348"/>
      <c r="M6018" s="348"/>
      <c r="N6018" s="227"/>
      <c r="O6018" s="227"/>
      <c r="P6018" s="231"/>
      <c r="Q6018" s="231"/>
      <c r="R6018" s="227"/>
      <c r="S6018" s="231"/>
      <c r="T6018" s="231"/>
      <c r="U6018" s="231"/>
      <c r="V6018" s="231"/>
      <c r="W6018" s="231"/>
      <c r="X6018" s="227"/>
      <c r="Y6018" s="348"/>
      <c r="Z6018" s="348"/>
      <c r="AA6018" s="348"/>
      <c r="AB6018" s="348"/>
      <c r="AC6018" s="227"/>
      <c r="AD6018" s="227"/>
      <c r="AE6018" s="231"/>
      <c r="AF6018" s="227"/>
      <c r="AG6018" s="348"/>
      <c r="AH6018" s="348"/>
      <c r="AI6018" s="348"/>
      <c r="AJ6018" s="348"/>
      <c r="AK6018" s="348"/>
      <c r="AL6018" s="348"/>
      <c r="AM6018" s="348"/>
      <c r="AN6018" s="348"/>
      <c r="AO6018" s="231"/>
      <c r="AP6018" s="231"/>
      <c r="AQ6018" s="227"/>
      <c r="AR6018" s="231"/>
      <c r="AS6018" s="227"/>
      <c r="AT6018" s="227"/>
      <c r="AU6018" s="227"/>
      <c r="AV6018" s="227"/>
      <c r="AW6018" s="227"/>
      <c r="AX6018" s="227"/>
      <c r="AY6018" s="227"/>
      <c r="AZ6018" s="227"/>
      <c r="BA6018" s="227"/>
      <c r="BB6018" s="227"/>
      <c r="BC6018" s="227"/>
      <c r="BD6018" s="227"/>
      <c r="BE6018" s="227"/>
      <c r="BF6018" s="227"/>
    </row>
    <row r="6019">
      <c r="A6019" s="227"/>
      <c r="B6019" s="348"/>
      <c r="C6019" s="227"/>
      <c r="D6019" s="227"/>
      <c r="E6019" s="231"/>
      <c r="F6019" s="348"/>
      <c r="G6019" s="227"/>
      <c r="H6019" s="227"/>
      <c r="I6019" s="227"/>
      <c r="J6019" s="227"/>
      <c r="K6019" s="227"/>
      <c r="L6019" s="348"/>
      <c r="M6019" s="348"/>
      <c r="N6019" s="227"/>
      <c r="O6019" s="227"/>
      <c r="P6019" s="231"/>
      <c r="Q6019" s="231"/>
      <c r="R6019" s="227"/>
      <c r="S6019" s="231"/>
      <c r="T6019" s="231"/>
      <c r="U6019" s="231"/>
      <c r="V6019" s="231"/>
      <c r="W6019" s="231"/>
      <c r="X6019" s="227"/>
      <c r="Y6019" s="348"/>
      <c r="Z6019" s="348"/>
      <c r="AA6019" s="348"/>
      <c r="AB6019" s="348"/>
      <c r="AC6019" s="227"/>
      <c r="AD6019" s="227"/>
      <c r="AE6019" s="231"/>
      <c r="AF6019" s="227"/>
      <c r="AG6019" s="348"/>
      <c r="AH6019" s="348"/>
      <c r="AI6019" s="348"/>
      <c r="AJ6019" s="348"/>
      <c r="AK6019" s="348"/>
      <c r="AL6019" s="348"/>
      <c r="AM6019" s="348"/>
      <c r="AN6019" s="348"/>
      <c r="AO6019" s="231"/>
      <c r="AP6019" s="231"/>
      <c r="AQ6019" s="227"/>
      <c r="AR6019" s="231"/>
      <c r="AS6019" s="227"/>
      <c r="AT6019" s="227"/>
      <c r="AU6019" s="227"/>
      <c r="AV6019" s="227"/>
      <c r="AW6019" s="227"/>
      <c r="AX6019" s="227"/>
      <c r="AY6019" s="227"/>
      <c r="AZ6019" s="227"/>
      <c r="BA6019" s="227"/>
      <c r="BB6019" s="227"/>
      <c r="BC6019" s="227"/>
      <c r="BD6019" s="227"/>
      <c r="BE6019" s="227"/>
      <c r="BF6019" s="227"/>
    </row>
    <row r="6020">
      <c r="A6020" s="227"/>
      <c r="B6020" s="348"/>
      <c r="C6020" s="227"/>
      <c r="D6020" s="227"/>
      <c r="E6020" s="231"/>
      <c r="F6020" s="348"/>
      <c r="G6020" s="227"/>
      <c r="H6020" s="227"/>
      <c r="I6020" s="227"/>
      <c r="J6020" s="227"/>
      <c r="K6020" s="227"/>
      <c r="L6020" s="348"/>
      <c r="M6020" s="348"/>
      <c r="N6020" s="227"/>
      <c r="O6020" s="227"/>
      <c r="P6020" s="231"/>
      <c r="Q6020" s="231"/>
      <c r="R6020" s="227"/>
      <c r="S6020" s="231"/>
      <c r="T6020" s="231"/>
      <c r="U6020" s="231"/>
      <c r="V6020" s="231"/>
      <c r="W6020" s="231"/>
      <c r="X6020" s="227"/>
      <c r="Y6020" s="348"/>
      <c r="Z6020" s="348"/>
      <c r="AA6020" s="348"/>
      <c r="AB6020" s="348"/>
      <c r="AC6020" s="227"/>
      <c r="AD6020" s="227"/>
      <c r="AE6020" s="231"/>
      <c r="AF6020" s="227"/>
      <c r="AG6020" s="348"/>
      <c r="AH6020" s="348"/>
      <c r="AI6020" s="348"/>
      <c r="AJ6020" s="348"/>
      <c r="AK6020" s="348"/>
      <c r="AL6020" s="348"/>
      <c r="AM6020" s="348"/>
      <c r="AN6020" s="348"/>
      <c r="AO6020" s="231"/>
      <c r="AP6020" s="231"/>
      <c r="AQ6020" s="227"/>
      <c r="AR6020" s="231"/>
      <c r="AS6020" s="227"/>
      <c r="AT6020" s="227"/>
      <c r="AU6020" s="227"/>
      <c r="AV6020" s="227"/>
      <c r="AW6020" s="227"/>
      <c r="AX6020" s="227"/>
      <c r="AY6020" s="227"/>
      <c r="AZ6020" s="227"/>
      <c r="BA6020" s="227"/>
      <c r="BB6020" s="227"/>
      <c r="BC6020" s="227"/>
      <c r="BD6020" s="227"/>
      <c r="BE6020" s="227"/>
      <c r="BF6020" s="227"/>
    </row>
    <row r="6021">
      <c r="A6021" s="227"/>
      <c r="B6021" s="348"/>
      <c r="C6021" s="227"/>
      <c r="D6021" s="227"/>
      <c r="E6021" s="231"/>
      <c r="F6021" s="348"/>
      <c r="G6021" s="227"/>
      <c r="H6021" s="227"/>
      <c r="I6021" s="227"/>
      <c r="J6021" s="227"/>
      <c r="K6021" s="227"/>
      <c r="L6021" s="348"/>
      <c r="M6021" s="348"/>
      <c r="N6021" s="227"/>
      <c r="O6021" s="227"/>
      <c r="P6021" s="231"/>
      <c r="Q6021" s="231"/>
      <c r="R6021" s="227"/>
      <c r="S6021" s="231"/>
      <c r="T6021" s="231"/>
      <c r="U6021" s="231"/>
      <c r="V6021" s="231"/>
      <c r="W6021" s="231"/>
      <c r="X6021" s="227"/>
      <c r="Y6021" s="348"/>
      <c r="Z6021" s="348"/>
      <c r="AA6021" s="348"/>
      <c r="AB6021" s="348"/>
      <c r="AC6021" s="227"/>
      <c r="AD6021" s="227"/>
      <c r="AE6021" s="231"/>
      <c r="AF6021" s="227"/>
      <c r="AG6021" s="348"/>
      <c r="AH6021" s="348"/>
      <c r="AI6021" s="348"/>
      <c r="AJ6021" s="348"/>
      <c r="AK6021" s="348"/>
      <c r="AL6021" s="348"/>
      <c r="AM6021" s="348"/>
      <c r="AN6021" s="348"/>
      <c r="AO6021" s="231"/>
      <c r="AP6021" s="231"/>
      <c r="AQ6021" s="227"/>
      <c r="AR6021" s="231"/>
      <c r="AS6021" s="227"/>
      <c r="AT6021" s="227"/>
      <c r="AU6021" s="227"/>
      <c r="AV6021" s="227"/>
      <c r="AW6021" s="227"/>
      <c r="AX6021" s="227"/>
      <c r="AY6021" s="227"/>
      <c r="AZ6021" s="227"/>
      <c r="BA6021" s="227"/>
      <c r="BB6021" s="227"/>
      <c r="BC6021" s="227"/>
      <c r="BD6021" s="227"/>
      <c r="BE6021" s="227"/>
      <c r="BF6021" s="227"/>
    </row>
    <row r="6022">
      <c r="A6022" s="227"/>
      <c r="B6022" s="348"/>
      <c r="C6022" s="227"/>
      <c r="D6022" s="227"/>
      <c r="E6022" s="231"/>
      <c r="F6022" s="348"/>
      <c r="G6022" s="227"/>
      <c r="H6022" s="227"/>
      <c r="I6022" s="227"/>
      <c r="J6022" s="227"/>
      <c r="K6022" s="227"/>
      <c r="L6022" s="348"/>
      <c r="M6022" s="348"/>
      <c r="N6022" s="227"/>
      <c r="O6022" s="227"/>
      <c r="P6022" s="231"/>
      <c r="Q6022" s="231"/>
      <c r="R6022" s="227"/>
      <c r="S6022" s="231"/>
      <c r="T6022" s="231"/>
      <c r="U6022" s="231"/>
      <c r="V6022" s="231"/>
      <c r="W6022" s="231"/>
      <c r="X6022" s="227"/>
      <c r="Y6022" s="348"/>
      <c r="Z6022" s="348"/>
      <c r="AA6022" s="348"/>
      <c r="AB6022" s="348"/>
      <c r="AC6022" s="227"/>
      <c r="AD6022" s="227"/>
      <c r="AE6022" s="231"/>
      <c r="AF6022" s="227"/>
      <c r="AG6022" s="348"/>
      <c r="AH6022" s="348"/>
      <c r="AI6022" s="348"/>
      <c r="AJ6022" s="348"/>
      <c r="AK6022" s="348"/>
      <c r="AL6022" s="348"/>
      <c r="AM6022" s="348"/>
      <c r="AN6022" s="348"/>
      <c r="AO6022" s="231"/>
      <c r="AP6022" s="231"/>
      <c r="AQ6022" s="227"/>
      <c r="AR6022" s="231"/>
      <c r="AS6022" s="227"/>
      <c r="AT6022" s="227"/>
      <c r="AU6022" s="227"/>
      <c r="AV6022" s="227"/>
      <c r="AW6022" s="227"/>
      <c r="AX6022" s="227"/>
      <c r="AY6022" s="227"/>
      <c r="AZ6022" s="227"/>
      <c r="BA6022" s="227"/>
      <c r="BB6022" s="227"/>
      <c r="BC6022" s="227"/>
      <c r="BD6022" s="227"/>
      <c r="BE6022" s="227"/>
      <c r="BF6022" s="227"/>
    </row>
    <row r="6023">
      <c r="A6023" s="227"/>
      <c r="B6023" s="348"/>
      <c r="C6023" s="227"/>
      <c r="D6023" s="227"/>
      <c r="E6023" s="231"/>
      <c r="F6023" s="348"/>
      <c r="G6023" s="227"/>
      <c r="H6023" s="227"/>
      <c r="I6023" s="227"/>
      <c r="J6023" s="227"/>
      <c r="K6023" s="227"/>
      <c r="L6023" s="348"/>
      <c r="M6023" s="348"/>
      <c r="N6023" s="227"/>
      <c r="O6023" s="227"/>
      <c r="P6023" s="231"/>
      <c r="Q6023" s="231"/>
      <c r="R6023" s="227"/>
      <c r="S6023" s="231"/>
      <c r="T6023" s="231"/>
      <c r="U6023" s="231"/>
      <c r="V6023" s="231"/>
      <c r="W6023" s="231"/>
      <c r="X6023" s="227"/>
      <c r="Y6023" s="348"/>
      <c r="Z6023" s="348"/>
      <c r="AA6023" s="348"/>
      <c r="AB6023" s="348"/>
      <c r="AC6023" s="227"/>
      <c r="AD6023" s="227"/>
      <c r="AE6023" s="231"/>
      <c r="AF6023" s="227"/>
      <c r="AG6023" s="348"/>
      <c r="AH6023" s="348"/>
      <c r="AI6023" s="348"/>
      <c r="AJ6023" s="348"/>
      <c r="AK6023" s="348"/>
      <c r="AL6023" s="348"/>
      <c r="AM6023" s="348"/>
      <c r="AN6023" s="348"/>
      <c r="AO6023" s="231"/>
      <c r="AP6023" s="231"/>
      <c r="AQ6023" s="227"/>
      <c r="AR6023" s="231"/>
      <c r="AS6023" s="227"/>
      <c r="AT6023" s="227"/>
      <c r="AU6023" s="227"/>
      <c r="AV6023" s="227"/>
      <c r="AW6023" s="227"/>
      <c r="AX6023" s="227"/>
      <c r="AY6023" s="227"/>
      <c r="AZ6023" s="227"/>
      <c r="BA6023" s="227"/>
      <c r="BB6023" s="227"/>
      <c r="BC6023" s="227"/>
      <c r="BD6023" s="227"/>
      <c r="BE6023" s="227"/>
      <c r="BF6023" s="227"/>
    </row>
    <row r="6024">
      <c r="A6024" s="227"/>
      <c r="B6024" s="348"/>
      <c r="C6024" s="227"/>
      <c r="D6024" s="227"/>
      <c r="E6024" s="231"/>
      <c r="F6024" s="348"/>
      <c r="G6024" s="227"/>
      <c r="H6024" s="227"/>
      <c r="I6024" s="227"/>
      <c r="J6024" s="227"/>
      <c r="K6024" s="227"/>
      <c r="L6024" s="348"/>
      <c r="M6024" s="348"/>
      <c r="N6024" s="227"/>
      <c r="O6024" s="227"/>
      <c r="P6024" s="231"/>
      <c r="Q6024" s="231"/>
      <c r="R6024" s="227"/>
      <c r="S6024" s="231"/>
      <c r="T6024" s="231"/>
      <c r="U6024" s="231"/>
      <c r="V6024" s="231"/>
      <c r="W6024" s="231"/>
      <c r="X6024" s="227"/>
      <c r="Y6024" s="348"/>
      <c r="Z6024" s="348"/>
      <c r="AA6024" s="348"/>
      <c r="AB6024" s="348"/>
      <c r="AC6024" s="227"/>
      <c r="AD6024" s="227"/>
      <c r="AE6024" s="231"/>
      <c r="AF6024" s="227"/>
      <c r="AG6024" s="348"/>
      <c r="AH6024" s="348"/>
      <c r="AI6024" s="348"/>
      <c r="AJ6024" s="348"/>
      <c r="AK6024" s="348"/>
      <c r="AL6024" s="348"/>
      <c r="AM6024" s="348"/>
      <c r="AN6024" s="348"/>
      <c r="AO6024" s="231"/>
      <c r="AP6024" s="231"/>
      <c r="AQ6024" s="227"/>
      <c r="AR6024" s="231"/>
      <c r="AS6024" s="227"/>
      <c r="AT6024" s="227"/>
      <c r="AU6024" s="227"/>
      <c r="AV6024" s="227"/>
      <c r="AW6024" s="227"/>
      <c r="AX6024" s="227"/>
      <c r="AY6024" s="227"/>
      <c r="AZ6024" s="227"/>
      <c r="BA6024" s="227"/>
      <c r="BB6024" s="227"/>
      <c r="BC6024" s="227"/>
      <c r="BD6024" s="227"/>
      <c r="BE6024" s="227"/>
      <c r="BF6024" s="227"/>
    </row>
    <row r="6025">
      <c r="A6025" s="227"/>
      <c r="B6025" s="348"/>
      <c r="C6025" s="227"/>
      <c r="D6025" s="227"/>
      <c r="E6025" s="231"/>
      <c r="F6025" s="348"/>
      <c r="G6025" s="227"/>
      <c r="H6025" s="227"/>
      <c r="I6025" s="227"/>
      <c r="J6025" s="227"/>
      <c r="K6025" s="227"/>
      <c r="L6025" s="348"/>
      <c r="M6025" s="348"/>
      <c r="N6025" s="227"/>
      <c r="O6025" s="227"/>
      <c r="P6025" s="231"/>
      <c r="Q6025" s="231"/>
      <c r="R6025" s="227"/>
      <c r="S6025" s="231"/>
      <c r="T6025" s="231"/>
      <c r="U6025" s="231"/>
      <c r="V6025" s="231"/>
      <c r="W6025" s="231"/>
      <c r="X6025" s="227"/>
      <c r="Y6025" s="348"/>
      <c r="Z6025" s="348"/>
      <c r="AA6025" s="348"/>
      <c r="AB6025" s="348"/>
      <c r="AC6025" s="227"/>
      <c r="AD6025" s="227"/>
      <c r="AE6025" s="231"/>
      <c r="AF6025" s="227"/>
      <c r="AG6025" s="348"/>
      <c r="AH6025" s="348"/>
      <c r="AI6025" s="348"/>
      <c r="AJ6025" s="348"/>
      <c r="AK6025" s="348"/>
      <c r="AL6025" s="348"/>
      <c r="AM6025" s="348"/>
      <c r="AN6025" s="348"/>
      <c r="AO6025" s="231"/>
      <c r="AP6025" s="231"/>
      <c r="AQ6025" s="227"/>
      <c r="AR6025" s="231"/>
      <c r="AS6025" s="227"/>
      <c r="AT6025" s="227"/>
      <c r="AU6025" s="227"/>
      <c r="AV6025" s="227"/>
      <c r="AW6025" s="227"/>
      <c r="AX6025" s="227"/>
      <c r="AY6025" s="227"/>
      <c r="AZ6025" s="227"/>
      <c r="BA6025" s="227"/>
      <c r="BB6025" s="227"/>
      <c r="BC6025" s="227"/>
      <c r="BD6025" s="227"/>
      <c r="BE6025" s="227"/>
      <c r="BF6025" s="227"/>
    </row>
    <row r="6026">
      <c r="A6026" s="227"/>
      <c r="B6026" s="348"/>
      <c r="C6026" s="227"/>
      <c r="D6026" s="227"/>
      <c r="E6026" s="231"/>
      <c r="F6026" s="348"/>
      <c r="G6026" s="227"/>
      <c r="H6026" s="227"/>
      <c r="I6026" s="227"/>
      <c r="J6026" s="227"/>
      <c r="K6026" s="227"/>
      <c r="L6026" s="348"/>
      <c r="M6026" s="348"/>
      <c r="N6026" s="227"/>
      <c r="O6026" s="227"/>
      <c r="P6026" s="231"/>
      <c r="Q6026" s="231"/>
      <c r="R6026" s="227"/>
      <c r="S6026" s="231"/>
      <c r="T6026" s="231"/>
      <c r="U6026" s="231"/>
      <c r="V6026" s="231"/>
      <c r="W6026" s="231"/>
      <c r="X6026" s="227"/>
      <c r="Y6026" s="348"/>
      <c r="Z6026" s="348"/>
      <c r="AA6026" s="348"/>
      <c r="AB6026" s="348"/>
      <c r="AC6026" s="227"/>
      <c r="AD6026" s="227"/>
      <c r="AE6026" s="231"/>
      <c r="AF6026" s="227"/>
      <c r="AG6026" s="348"/>
      <c r="AH6026" s="348"/>
      <c r="AI6026" s="348"/>
      <c r="AJ6026" s="348"/>
      <c r="AK6026" s="348"/>
      <c r="AL6026" s="348"/>
      <c r="AM6026" s="348"/>
      <c r="AN6026" s="348"/>
      <c r="AO6026" s="231"/>
      <c r="AP6026" s="231"/>
      <c r="AQ6026" s="227"/>
      <c r="AR6026" s="231"/>
      <c r="AS6026" s="227"/>
      <c r="AT6026" s="227"/>
      <c r="AU6026" s="227"/>
      <c r="AV6026" s="227"/>
      <c r="AW6026" s="227"/>
      <c r="AX6026" s="227"/>
      <c r="AY6026" s="227"/>
      <c r="AZ6026" s="227"/>
      <c r="BA6026" s="227"/>
      <c r="BB6026" s="227"/>
      <c r="BC6026" s="227"/>
      <c r="BD6026" s="227"/>
      <c r="BE6026" s="227"/>
      <c r="BF6026" s="227"/>
    </row>
    <row r="6027">
      <c r="A6027" s="227"/>
      <c r="B6027" s="348"/>
      <c r="C6027" s="227"/>
      <c r="D6027" s="227"/>
      <c r="E6027" s="231"/>
      <c r="F6027" s="348"/>
      <c r="G6027" s="227"/>
      <c r="H6027" s="227"/>
      <c r="I6027" s="227"/>
      <c r="J6027" s="227"/>
      <c r="K6027" s="227"/>
      <c r="L6027" s="348"/>
      <c r="M6027" s="348"/>
      <c r="N6027" s="227"/>
      <c r="O6027" s="227"/>
      <c r="P6027" s="231"/>
      <c r="Q6027" s="231"/>
      <c r="R6027" s="227"/>
      <c r="S6027" s="231"/>
      <c r="T6027" s="231"/>
      <c r="U6027" s="231"/>
      <c r="V6027" s="231"/>
      <c r="W6027" s="231"/>
      <c r="X6027" s="227"/>
      <c r="Y6027" s="348"/>
      <c r="Z6027" s="348"/>
      <c r="AA6027" s="348"/>
      <c r="AB6027" s="348"/>
      <c r="AC6027" s="227"/>
      <c r="AD6027" s="227"/>
      <c r="AE6027" s="231"/>
      <c r="AF6027" s="227"/>
      <c r="AG6027" s="348"/>
      <c r="AH6027" s="348"/>
      <c r="AI6027" s="348"/>
      <c r="AJ6027" s="348"/>
      <c r="AK6027" s="348"/>
      <c r="AL6027" s="348"/>
      <c r="AM6027" s="348"/>
      <c r="AN6027" s="348"/>
      <c r="AO6027" s="231"/>
      <c r="AP6027" s="231"/>
      <c r="AQ6027" s="227"/>
      <c r="AR6027" s="231"/>
      <c r="AS6027" s="227"/>
      <c r="AT6027" s="227"/>
      <c r="AU6027" s="227"/>
      <c r="AV6027" s="227"/>
      <c r="AW6027" s="227"/>
      <c r="AX6027" s="227"/>
      <c r="AY6027" s="227"/>
      <c r="AZ6027" s="227"/>
      <c r="BA6027" s="227"/>
      <c r="BB6027" s="227"/>
      <c r="BC6027" s="227"/>
      <c r="BD6027" s="227"/>
      <c r="BE6027" s="227"/>
      <c r="BF6027" s="227"/>
    </row>
    <row r="6028">
      <c r="A6028" s="227"/>
      <c r="B6028" s="348"/>
      <c r="C6028" s="227"/>
      <c r="D6028" s="227"/>
      <c r="E6028" s="231"/>
      <c r="F6028" s="348"/>
      <c r="G6028" s="227"/>
      <c r="H6028" s="227"/>
      <c r="I6028" s="227"/>
      <c r="J6028" s="227"/>
      <c r="K6028" s="227"/>
      <c r="L6028" s="348"/>
      <c r="M6028" s="348"/>
      <c r="N6028" s="227"/>
      <c r="O6028" s="227"/>
      <c r="P6028" s="231"/>
      <c r="Q6028" s="231"/>
      <c r="R6028" s="227"/>
      <c r="S6028" s="231"/>
      <c r="T6028" s="231"/>
      <c r="U6028" s="231"/>
      <c r="V6028" s="231"/>
      <c r="W6028" s="231"/>
      <c r="X6028" s="227"/>
      <c r="Y6028" s="348"/>
      <c r="Z6028" s="348"/>
      <c r="AA6028" s="348"/>
      <c r="AB6028" s="348"/>
      <c r="AC6028" s="227"/>
      <c r="AD6028" s="227"/>
      <c r="AE6028" s="231"/>
      <c r="AF6028" s="227"/>
      <c r="AG6028" s="348"/>
      <c r="AH6028" s="348"/>
      <c r="AI6028" s="348"/>
      <c r="AJ6028" s="348"/>
      <c r="AK6028" s="348"/>
      <c r="AL6028" s="348"/>
      <c r="AM6028" s="348"/>
      <c r="AN6028" s="348"/>
      <c r="AO6028" s="231"/>
      <c r="AP6028" s="231"/>
      <c r="AQ6028" s="227"/>
      <c r="AR6028" s="231"/>
      <c r="AS6028" s="227"/>
      <c r="AT6028" s="227"/>
      <c r="AU6028" s="227"/>
      <c r="AV6028" s="227"/>
      <c r="AW6028" s="227"/>
      <c r="AX6028" s="227"/>
      <c r="AY6028" s="227"/>
      <c r="AZ6028" s="227"/>
      <c r="BA6028" s="227"/>
      <c r="BB6028" s="227"/>
      <c r="BC6028" s="227"/>
      <c r="BD6028" s="227"/>
      <c r="BE6028" s="227"/>
      <c r="BF6028" s="227"/>
    </row>
    <row r="6029">
      <c r="A6029" s="227"/>
      <c r="B6029" s="348"/>
      <c r="C6029" s="227"/>
      <c r="D6029" s="227"/>
      <c r="E6029" s="231"/>
      <c r="F6029" s="348"/>
      <c r="G6029" s="227"/>
      <c r="H6029" s="227"/>
      <c r="I6029" s="227"/>
      <c r="J6029" s="227"/>
      <c r="K6029" s="227"/>
      <c r="L6029" s="348"/>
      <c r="M6029" s="348"/>
      <c r="N6029" s="227"/>
      <c r="O6029" s="227"/>
      <c r="P6029" s="231"/>
      <c r="Q6029" s="231"/>
      <c r="R6029" s="227"/>
      <c r="S6029" s="231"/>
      <c r="T6029" s="231"/>
      <c r="U6029" s="231"/>
      <c r="V6029" s="231"/>
      <c r="W6029" s="231"/>
      <c r="X6029" s="227"/>
      <c r="Y6029" s="348"/>
      <c r="Z6029" s="348"/>
      <c r="AA6029" s="348"/>
      <c r="AB6029" s="348"/>
      <c r="AC6029" s="227"/>
      <c r="AD6029" s="227"/>
      <c r="AE6029" s="231"/>
      <c r="AF6029" s="227"/>
      <c r="AG6029" s="348"/>
      <c r="AH6029" s="348"/>
      <c r="AI6029" s="348"/>
      <c r="AJ6029" s="348"/>
      <c r="AK6029" s="348"/>
      <c r="AL6029" s="348"/>
      <c r="AM6029" s="348"/>
      <c r="AN6029" s="348"/>
      <c r="AO6029" s="231"/>
      <c r="AP6029" s="231"/>
      <c r="AQ6029" s="227"/>
      <c r="AR6029" s="231"/>
      <c r="AS6029" s="227"/>
      <c r="AT6029" s="227"/>
      <c r="AU6029" s="227"/>
      <c r="AV6029" s="227"/>
      <c r="AW6029" s="227"/>
      <c r="AX6029" s="227"/>
      <c r="AY6029" s="227"/>
      <c r="AZ6029" s="227"/>
      <c r="BA6029" s="227"/>
      <c r="BB6029" s="227"/>
      <c r="BC6029" s="227"/>
      <c r="BD6029" s="227"/>
      <c r="BE6029" s="227"/>
      <c r="BF6029" s="227"/>
    </row>
    <row r="6030">
      <c r="A6030" s="227"/>
      <c r="B6030" s="348"/>
      <c r="C6030" s="227"/>
      <c r="D6030" s="227"/>
      <c r="E6030" s="231"/>
      <c r="F6030" s="348"/>
      <c r="G6030" s="227"/>
      <c r="H6030" s="227"/>
      <c r="I6030" s="227"/>
      <c r="J6030" s="227"/>
      <c r="K6030" s="227"/>
      <c r="L6030" s="348"/>
      <c r="M6030" s="348"/>
      <c r="N6030" s="227"/>
      <c r="O6030" s="227"/>
      <c r="P6030" s="231"/>
      <c r="Q6030" s="231"/>
      <c r="R6030" s="227"/>
      <c r="S6030" s="231"/>
      <c r="T6030" s="231"/>
      <c r="U6030" s="231"/>
      <c r="V6030" s="231"/>
      <c r="W6030" s="231"/>
      <c r="X6030" s="227"/>
      <c r="Y6030" s="348"/>
      <c r="Z6030" s="348"/>
      <c r="AA6030" s="348"/>
      <c r="AB6030" s="348"/>
      <c r="AC6030" s="227"/>
      <c r="AD6030" s="227"/>
      <c r="AE6030" s="231"/>
      <c r="AF6030" s="227"/>
      <c r="AG6030" s="348"/>
      <c r="AH6030" s="348"/>
      <c r="AI6030" s="348"/>
      <c r="AJ6030" s="348"/>
      <c r="AK6030" s="348"/>
      <c r="AL6030" s="348"/>
      <c r="AM6030" s="348"/>
      <c r="AN6030" s="348"/>
      <c r="AO6030" s="231"/>
      <c r="AP6030" s="231"/>
      <c r="AQ6030" s="227"/>
      <c r="AR6030" s="231"/>
      <c r="AS6030" s="227"/>
      <c r="AT6030" s="227"/>
      <c r="AU6030" s="227"/>
      <c r="AV6030" s="227"/>
      <c r="AW6030" s="227"/>
      <c r="AX6030" s="227"/>
      <c r="AY6030" s="227"/>
      <c r="AZ6030" s="227"/>
      <c r="BA6030" s="227"/>
      <c r="BB6030" s="227"/>
      <c r="BC6030" s="227"/>
      <c r="BD6030" s="227"/>
      <c r="BE6030" s="227"/>
      <c r="BF6030" s="227"/>
    </row>
    <row r="6031">
      <c r="A6031" s="227"/>
      <c r="B6031" s="348"/>
      <c r="C6031" s="227"/>
      <c r="D6031" s="227"/>
      <c r="E6031" s="231"/>
      <c r="F6031" s="348"/>
      <c r="G6031" s="227"/>
      <c r="H6031" s="227"/>
      <c r="I6031" s="227"/>
      <c r="J6031" s="227"/>
      <c r="K6031" s="227"/>
      <c r="L6031" s="348"/>
      <c r="M6031" s="348"/>
      <c r="N6031" s="227"/>
      <c r="O6031" s="227"/>
      <c r="P6031" s="231"/>
      <c r="Q6031" s="231"/>
      <c r="R6031" s="227"/>
      <c r="S6031" s="231"/>
      <c r="T6031" s="231"/>
      <c r="U6031" s="231"/>
      <c r="V6031" s="231"/>
      <c r="W6031" s="231"/>
      <c r="X6031" s="227"/>
      <c r="Y6031" s="348"/>
      <c r="Z6031" s="348"/>
      <c r="AA6031" s="348"/>
      <c r="AB6031" s="348"/>
      <c r="AC6031" s="227"/>
      <c r="AD6031" s="227"/>
      <c r="AE6031" s="231"/>
      <c r="AF6031" s="227"/>
      <c r="AG6031" s="348"/>
      <c r="AH6031" s="348"/>
      <c r="AI6031" s="348"/>
      <c r="AJ6031" s="348"/>
      <c r="AK6031" s="348"/>
      <c r="AL6031" s="348"/>
      <c r="AM6031" s="348"/>
      <c r="AN6031" s="348"/>
      <c r="AO6031" s="231"/>
      <c r="AP6031" s="231"/>
      <c r="AQ6031" s="227"/>
      <c r="AR6031" s="231"/>
      <c r="AS6031" s="227"/>
      <c r="AT6031" s="227"/>
      <c r="AU6031" s="227"/>
      <c r="AV6031" s="227"/>
      <c r="AW6031" s="227"/>
      <c r="AX6031" s="227"/>
      <c r="AY6031" s="227"/>
      <c r="AZ6031" s="227"/>
      <c r="BA6031" s="227"/>
      <c r="BB6031" s="227"/>
      <c r="BC6031" s="227"/>
      <c r="BD6031" s="227"/>
      <c r="BE6031" s="227"/>
      <c r="BF6031" s="227"/>
    </row>
    <row r="6032">
      <c r="A6032" s="227"/>
      <c r="B6032" s="348"/>
      <c r="C6032" s="227"/>
      <c r="D6032" s="227"/>
      <c r="E6032" s="231"/>
      <c r="F6032" s="348"/>
      <c r="G6032" s="227"/>
      <c r="H6032" s="227"/>
      <c r="I6032" s="227"/>
      <c r="J6032" s="227"/>
      <c r="K6032" s="227"/>
      <c r="L6032" s="348"/>
      <c r="M6032" s="348"/>
      <c r="N6032" s="227"/>
      <c r="O6032" s="227"/>
      <c r="P6032" s="231"/>
      <c r="Q6032" s="231"/>
      <c r="R6032" s="227"/>
      <c r="S6032" s="231"/>
      <c r="T6032" s="231"/>
      <c r="U6032" s="231"/>
      <c r="V6032" s="231"/>
      <c r="W6032" s="231"/>
      <c r="X6032" s="227"/>
      <c r="Y6032" s="348"/>
      <c r="Z6032" s="348"/>
      <c r="AA6032" s="348"/>
      <c r="AB6032" s="348"/>
      <c r="AC6032" s="227"/>
      <c r="AD6032" s="227"/>
      <c r="AE6032" s="231"/>
      <c r="AF6032" s="227"/>
      <c r="AG6032" s="348"/>
      <c r="AH6032" s="348"/>
      <c r="AI6032" s="348"/>
      <c r="AJ6032" s="348"/>
      <c r="AK6032" s="348"/>
      <c r="AL6032" s="348"/>
      <c r="AM6032" s="348"/>
      <c r="AN6032" s="348"/>
      <c r="AO6032" s="231"/>
      <c r="AP6032" s="231"/>
      <c r="AQ6032" s="227"/>
      <c r="AR6032" s="231"/>
      <c r="AS6032" s="227"/>
      <c r="AT6032" s="227"/>
      <c r="AU6032" s="227"/>
      <c r="AV6032" s="227"/>
      <c r="AW6032" s="227"/>
      <c r="AX6032" s="227"/>
      <c r="AY6032" s="227"/>
      <c r="AZ6032" s="227"/>
      <c r="BA6032" s="227"/>
      <c r="BB6032" s="227"/>
      <c r="BC6032" s="227"/>
      <c r="BD6032" s="227"/>
      <c r="BE6032" s="227"/>
      <c r="BF6032" s="227"/>
    </row>
    <row r="6033">
      <c r="A6033" s="227"/>
      <c r="B6033" s="348"/>
      <c r="C6033" s="227"/>
      <c r="D6033" s="227"/>
      <c r="E6033" s="231"/>
      <c r="F6033" s="348"/>
      <c r="G6033" s="227"/>
      <c r="H6033" s="227"/>
      <c r="I6033" s="227"/>
      <c r="J6033" s="227"/>
      <c r="K6033" s="227"/>
      <c r="L6033" s="348"/>
      <c r="M6033" s="348"/>
      <c r="N6033" s="227"/>
      <c r="O6033" s="227"/>
      <c r="P6033" s="231"/>
      <c r="Q6033" s="231"/>
      <c r="R6033" s="227"/>
      <c r="S6033" s="231"/>
      <c r="T6033" s="231"/>
      <c r="U6033" s="231"/>
      <c r="V6033" s="231"/>
      <c r="W6033" s="231"/>
      <c r="X6033" s="227"/>
      <c r="Y6033" s="348"/>
      <c r="Z6033" s="348"/>
      <c r="AA6033" s="348"/>
      <c r="AB6033" s="348"/>
      <c r="AC6033" s="227"/>
      <c r="AD6033" s="227"/>
      <c r="AE6033" s="231"/>
      <c r="AF6033" s="227"/>
      <c r="AG6033" s="348"/>
      <c r="AH6033" s="348"/>
      <c r="AI6033" s="348"/>
      <c r="AJ6033" s="348"/>
      <c r="AK6033" s="348"/>
      <c r="AL6033" s="348"/>
      <c r="AM6033" s="348"/>
      <c r="AN6033" s="348"/>
      <c r="AO6033" s="231"/>
      <c r="AP6033" s="231"/>
      <c r="AQ6033" s="227"/>
      <c r="AR6033" s="231"/>
      <c r="AS6033" s="227"/>
      <c r="AT6033" s="227"/>
      <c r="AU6033" s="227"/>
      <c r="AV6033" s="227"/>
      <c r="AW6033" s="227"/>
      <c r="AX6033" s="227"/>
      <c r="AY6033" s="227"/>
      <c r="AZ6033" s="227"/>
      <c r="BA6033" s="227"/>
      <c r="BB6033" s="227"/>
      <c r="BC6033" s="227"/>
      <c r="BD6033" s="227"/>
      <c r="BE6033" s="227"/>
      <c r="BF6033" s="227"/>
    </row>
    <row r="6034">
      <c r="A6034" s="227"/>
      <c r="B6034" s="348"/>
      <c r="C6034" s="227"/>
      <c r="D6034" s="227"/>
      <c r="E6034" s="231"/>
      <c r="F6034" s="348"/>
      <c r="G6034" s="227"/>
      <c r="H6034" s="227"/>
      <c r="I6034" s="227"/>
      <c r="J6034" s="227"/>
      <c r="K6034" s="227"/>
      <c r="L6034" s="348"/>
      <c r="M6034" s="348"/>
      <c r="N6034" s="227"/>
      <c r="O6034" s="227"/>
      <c r="P6034" s="231"/>
      <c r="Q6034" s="231"/>
      <c r="R6034" s="227"/>
      <c r="S6034" s="231"/>
      <c r="T6034" s="231"/>
      <c r="U6034" s="231"/>
      <c r="V6034" s="231"/>
      <c r="W6034" s="231"/>
      <c r="X6034" s="227"/>
      <c r="Y6034" s="348"/>
      <c r="Z6034" s="348"/>
      <c r="AA6034" s="348"/>
      <c r="AB6034" s="348"/>
      <c r="AC6034" s="227"/>
      <c r="AD6034" s="227"/>
      <c r="AE6034" s="231"/>
      <c r="AF6034" s="227"/>
      <c r="AG6034" s="348"/>
      <c r="AH6034" s="348"/>
      <c r="AI6034" s="348"/>
      <c r="AJ6034" s="348"/>
      <c r="AK6034" s="348"/>
      <c r="AL6034" s="348"/>
      <c r="AM6034" s="348"/>
      <c r="AN6034" s="348"/>
      <c r="AO6034" s="231"/>
      <c r="AP6034" s="231"/>
      <c r="AQ6034" s="227"/>
      <c r="AR6034" s="231"/>
      <c r="AS6034" s="227"/>
      <c r="AT6034" s="227"/>
      <c r="AU6034" s="227"/>
      <c r="AV6034" s="227"/>
      <c r="AW6034" s="227"/>
      <c r="AX6034" s="227"/>
      <c r="AY6034" s="227"/>
      <c r="AZ6034" s="227"/>
      <c r="BA6034" s="227"/>
      <c r="BB6034" s="227"/>
      <c r="BC6034" s="227"/>
      <c r="BD6034" s="227"/>
      <c r="BE6034" s="227"/>
      <c r="BF6034" s="227"/>
    </row>
    <row r="6035">
      <c r="A6035" s="227"/>
      <c r="B6035" s="348"/>
      <c r="C6035" s="227"/>
      <c r="D6035" s="227"/>
      <c r="E6035" s="231"/>
      <c r="F6035" s="348"/>
      <c r="G6035" s="227"/>
      <c r="H6035" s="227"/>
      <c r="I6035" s="227"/>
      <c r="J6035" s="227"/>
      <c r="K6035" s="227"/>
      <c r="L6035" s="348"/>
      <c r="M6035" s="348"/>
      <c r="N6035" s="227"/>
      <c r="O6035" s="227"/>
      <c r="P6035" s="231"/>
      <c r="Q6035" s="231"/>
      <c r="R6035" s="227"/>
      <c r="S6035" s="231"/>
      <c r="T6035" s="231"/>
      <c r="U6035" s="231"/>
      <c r="V6035" s="231"/>
      <c r="W6035" s="231"/>
      <c r="X6035" s="227"/>
      <c r="Y6035" s="348"/>
      <c r="Z6035" s="348"/>
      <c r="AA6035" s="348"/>
      <c r="AB6035" s="348"/>
      <c r="AC6035" s="227"/>
      <c r="AD6035" s="227"/>
      <c r="AE6035" s="231"/>
      <c r="AF6035" s="227"/>
      <c r="AG6035" s="348"/>
      <c r="AH6035" s="348"/>
      <c r="AI6035" s="348"/>
      <c r="AJ6035" s="348"/>
      <c r="AK6035" s="348"/>
      <c r="AL6035" s="348"/>
      <c r="AM6035" s="348"/>
      <c r="AN6035" s="348"/>
      <c r="AO6035" s="231"/>
      <c r="AP6035" s="231"/>
      <c r="AQ6035" s="227"/>
      <c r="AR6035" s="231"/>
      <c r="AS6035" s="227"/>
      <c r="AT6035" s="227"/>
      <c r="AU6035" s="227"/>
      <c r="AV6035" s="227"/>
      <c r="AW6035" s="227"/>
      <c r="AX6035" s="227"/>
      <c r="AY6035" s="227"/>
      <c r="AZ6035" s="227"/>
      <c r="BA6035" s="227"/>
      <c r="BB6035" s="227"/>
      <c r="BC6035" s="227"/>
      <c r="BD6035" s="227"/>
      <c r="BE6035" s="227"/>
      <c r="BF6035" s="227"/>
    </row>
    <row r="6036">
      <c r="A6036" s="227"/>
      <c r="B6036" s="348"/>
      <c r="C6036" s="227"/>
      <c r="D6036" s="227"/>
      <c r="E6036" s="231"/>
      <c r="F6036" s="348"/>
      <c r="G6036" s="227"/>
      <c r="H6036" s="227"/>
      <c r="I6036" s="227"/>
      <c r="J6036" s="227"/>
      <c r="K6036" s="227"/>
      <c r="L6036" s="348"/>
      <c r="M6036" s="348"/>
      <c r="N6036" s="227"/>
      <c r="O6036" s="227"/>
      <c r="P6036" s="231"/>
      <c r="Q6036" s="231"/>
      <c r="R6036" s="227"/>
      <c r="S6036" s="231"/>
      <c r="T6036" s="231"/>
      <c r="U6036" s="231"/>
      <c r="V6036" s="231"/>
      <c r="W6036" s="231"/>
      <c r="X6036" s="227"/>
      <c r="Y6036" s="348"/>
      <c r="Z6036" s="348"/>
      <c r="AA6036" s="348"/>
      <c r="AB6036" s="348"/>
      <c r="AC6036" s="227"/>
      <c r="AD6036" s="227"/>
      <c r="AE6036" s="231"/>
      <c r="AF6036" s="227"/>
      <c r="AG6036" s="348"/>
      <c r="AH6036" s="348"/>
      <c r="AI6036" s="348"/>
      <c r="AJ6036" s="348"/>
      <c r="AK6036" s="348"/>
      <c r="AL6036" s="348"/>
      <c r="AM6036" s="348"/>
      <c r="AN6036" s="348"/>
      <c r="AO6036" s="231"/>
      <c r="AP6036" s="231"/>
      <c r="AQ6036" s="227"/>
      <c r="AR6036" s="231"/>
      <c r="AS6036" s="227"/>
      <c r="AT6036" s="227"/>
      <c r="AU6036" s="227"/>
      <c r="AV6036" s="227"/>
      <c r="AW6036" s="227"/>
      <c r="AX6036" s="227"/>
      <c r="AY6036" s="227"/>
      <c r="AZ6036" s="227"/>
      <c r="BA6036" s="227"/>
      <c r="BB6036" s="227"/>
      <c r="BC6036" s="227"/>
      <c r="BD6036" s="227"/>
      <c r="BE6036" s="227"/>
      <c r="BF6036" s="227"/>
    </row>
    <row r="6037">
      <c r="A6037" s="227"/>
      <c r="B6037" s="348"/>
      <c r="C6037" s="227"/>
      <c r="D6037" s="227"/>
      <c r="E6037" s="231"/>
      <c r="F6037" s="348"/>
      <c r="G6037" s="227"/>
      <c r="H6037" s="227"/>
      <c r="I6037" s="227"/>
      <c r="J6037" s="227"/>
      <c r="K6037" s="227"/>
      <c r="L6037" s="348"/>
      <c r="M6037" s="348"/>
      <c r="N6037" s="227"/>
      <c r="O6037" s="227"/>
      <c r="P6037" s="231"/>
      <c r="Q6037" s="231"/>
      <c r="R6037" s="227"/>
      <c r="S6037" s="231"/>
      <c r="T6037" s="231"/>
      <c r="U6037" s="231"/>
      <c r="V6037" s="231"/>
      <c r="W6037" s="231"/>
      <c r="X6037" s="227"/>
      <c r="Y6037" s="348"/>
      <c r="Z6037" s="348"/>
      <c r="AA6037" s="348"/>
      <c r="AB6037" s="348"/>
      <c r="AC6037" s="227"/>
      <c r="AD6037" s="227"/>
      <c r="AE6037" s="231"/>
      <c r="AF6037" s="227"/>
      <c r="AG6037" s="348"/>
      <c r="AH6037" s="348"/>
      <c r="AI6037" s="348"/>
      <c r="AJ6037" s="348"/>
      <c r="AK6037" s="348"/>
      <c r="AL6037" s="348"/>
      <c r="AM6037" s="348"/>
      <c r="AN6037" s="348"/>
      <c r="AO6037" s="231"/>
      <c r="AP6037" s="231"/>
      <c r="AQ6037" s="227"/>
      <c r="AR6037" s="231"/>
      <c r="AS6037" s="227"/>
      <c r="AT6037" s="227"/>
      <c r="AU6037" s="227"/>
      <c r="AV6037" s="227"/>
      <c r="AW6037" s="227"/>
      <c r="AX6037" s="227"/>
      <c r="AY6037" s="227"/>
      <c r="AZ6037" s="227"/>
      <c r="BA6037" s="227"/>
      <c r="BB6037" s="227"/>
      <c r="BC6037" s="227"/>
      <c r="BD6037" s="227"/>
      <c r="BE6037" s="227"/>
      <c r="BF6037" s="227"/>
    </row>
    <row r="6038">
      <c r="A6038" s="227"/>
      <c r="B6038" s="348"/>
      <c r="C6038" s="227"/>
      <c r="D6038" s="227"/>
      <c r="E6038" s="231"/>
      <c r="F6038" s="348"/>
      <c r="G6038" s="227"/>
      <c r="H6038" s="227"/>
      <c r="I6038" s="227"/>
      <c r="J6038" s="227"/>
      <c r="K6038" s="227"/>
      <c r="L6038" s="348"/>
      <c r="M6038" s="348"/>
      <c r="N6038" s="227"/>
      <c r="O6038" s="227"/>
      <c r="P6038" s="231"/>
      <c r="Q6038" s="231"/>
      <c r="R6038" s="227"/>
      <c r="S6038" s="231"/>
      <c r="T6038" s="231"/>
      <c r="U6038" s="231"/>
      <c r="V6038" s="231"/>
      <c r="W6038" s="231"/>
      <c r="X6038" s="227"/>
      <c r="Y6038" s="348"/>
      <c r="Z6038" s="348"/>
      <c r="AA6038" s="348"/>
      <c r="AB6038" s="348"/>
      <c r="AC6038" s="227"/>
      <c r="AD6038" s="227"/>
      <c r="AE6038" s="231"/>
      <c r="AF6038" s="227"/>
      <c r="AG6038" s="348"/>
      <c r="AH6038" s="348"/>
      <c r="AI6038" s="348"/>
      <c r="AJ6038" s="348"/>
      <c r="AK6038" s="348"/>
      <c r="AL6038" s="348"/>
      <c r="AM6038" s="348"/>
      <c r="AN6038" s="348"/>
      <c r="AO6038" s="231"/>
      <c r="AP6038" s="231"/>
      <c r="AQ6038" s="227"/>
      <c r="AR6038" s="231"/>
      <c r="AS6038" s="227"/>
      <c r="AT6038" s="227"/>
      <c r="AU6038" s="227"/>
      <c r="AV6038" s="227"/>
      <c r="AW6038" s="227"/>
      <c r="AX6038" s="227"/>
      <c r="AY6038" s="227"/>
      <c r="AZ6038" s="227"/>
      <c r="BA6038" s="227"/>
      <c r="BB6038" s="227"/>
      <c r="BC6038" s="227"/>
      <c r="BD6038" s="227"/>
      <c r="BE6038" s="227"/>
      <c r="BF6038" s="227"/>
    </row>
    <row r="6039">
      <c r="A6039" s="227"/>
      <c r="B6039" s="348"/>
      <c r="C6039" s="227"/>
      <c r="D6039" s="227"/>
      <c r="E6039" s="231"/>
      <c r="F6039" s="348"/>
      <c r="G6039" s="227"/>
      <c r="H6039" s="227"/>
      <c r="I6039" s="227"/>
      <c r="J6039" s="227"/>
      <c r="K6039" s="227"/>
      <c r="L6039" s="348"/>
      <c r="M6039" s="348"/>
      <c r="N6039" s="227"/>
      <c r="O6039" s="227"/>
      <c r="P6039" s="231"/>
      <c r="Q6039" s="231"/>
      <c r="R6039" s="227"/>
      <c r="S6039" s="231"/>
      <c r="T6039" s="231"/>
      <c r="U6039" s="231"/>
      <c r="V6039" s="231"/>
      <c r="W6039" s="231"/>
      <c r="X6039" s="227"/>
      <c r="Y6039" s="348"/>
      <c r="Z6039" s="348"/>
      <c r="AA6039" s="348"/>
      <c r="AB6039" s="348"/>
      <c r="AC6039" s="227"/>
      <c r="AD6039" s="227"/>
      <c r="AE6039" s="231"/>
      <c r="AF6039" s="227"/>
      <c r="AG6039" s="348"/>
      <c r="AH6039" s="348"/>
      <c r="AI6039" s="348"/>
      <c r="AJ6039" s="348"/>
      <c r="AK6039" s="348"/>
      <c r="AL6039" s="348"/>
      <c r="AM6039" s="348"/>
      <c r="AN6039" s="348"/>
      <c r="AO6039" s="231"/>
      <c r="AP6039" s="231"/>
      <c r="AQ6039" s="227"/>
      <c r="AR6039" s="231"/>
      <c r="AS6039" s="227"/>
      <c r="AT6039" s="227"/>
      <c r="AU6039" s="227"/>
      <c r="AV6039" s="227"/>
      <c r="AW6039" s="227"/>
      <c r="AX6039" s="227"/>
      <c r="AY6039" s="227"/>
      <c r="AZ6039" s="227"/>
      <c r="BA6039" s="227"/>
      <c r="BB6039" s="227"/>
      <c r="BC6039" s="227"/>
      <c r="BD6039" s="227"/>
      <c r="BE6039" s="227"/>
      <c r="BF6039" s="227"/>
    </row>
    <row r="6040">
      <c r="A6040" s="227"/>
      <c r="B6040" s="348"/>
      <c r="C6040" s="227"/>
      <c r="D6040" s="227"/>
      <c r="E6040" s="231"/>
      <c r="F6040" s="348"/>
      <c r="G6040" s="227"/>
      <c r="H6040" s="227"/>
      <c r="I6040" s="227"/>
      <c r="J6040" s="227"/>
      <c r="K6040" s="227"/>
      <c r="L6040" s="348"/>
      <c r="M6040" s="348"/>
      <c r="N6040" s="227"/>
      <c r="O6040" s="227"/>
      <c r="P6040" s="231"/>
      <c r="Q6040" s="231"/>
      <c r="R6040" s="227"/>
      <c r="S6040" s="231"/>
      <c r="T6040" s="231"/>
      <c r="U6040" s="231"/>
      <c r="V6040" s="231"/>
      <c r="W6040" s="231"/>
      <c r="X6040" s="227"/>
      <c r="Y6040" s="348"/>
      <c r="Z6040" s="348"/>
      <c r="AA6040" s="348"/>
      <c r="AB6040" s="348"/>
      <c r="AC6040" s="227"/>
      <c r="AD6040" s="227"/>
      <c r="AE6040" s="231"/>
      <c r="AF6040" s="227"/>
      <c r="AG6040" s="348"/>
      <c r="AH6040" s="348"/>
      <c r="AI6040" s="348"/>
      <c r="AJ6040" s="348"/>
      <c r="AK6040" s="348"/>
      <c r="AL6040" s="348"/>
      <c r="AM6040" s="348"/>
      <c r="AN6040" s="348"/>
      <c r="AO6040" s="231"/>
      <c r="AP6040" s="231"/>
      <c r="AQ6040" s="227"/>
      <c r="AR6040" s="231"/>
      <c r="AS6040" s="227"/>
      <c r="AT6040" s="227"/>
      <c r="AU6040" s="227"/>
      <c r="AV6040" s="227"/>
      <c r="AW6040" s="227"/>
      <c r="AX6040" s="227"/>
      <c r="AY6040" s="227"/>
      <c r="AZ6040" s="227"/>
      <c r="BA6040" s="227"/>
      <c r="BB6040" s="227"/>
      <c r="BC6040" s="227"/>
      <c r="BD6040" s="227"/>
      <c r="BE6040" s="227"/>
      <c r="BF6040" s="227"/>
    </row>
    <row r="6041">
      <c r="A6041" s="227"/>
      <c r="B6041" s="348"/>
      <c r="C6041" s="227"/>
      <c r="D6041" s="227"/>
      <c r="E6041" s="231"/>
      <c r="F6041" s="348"/>
      <c r="G6041" s="227"/>
      <c r="H6041" s="227"/>
      <c r="I6041" s="227"/>
      <c r="J6041" s="227"/>
      <c r="K6041" s="227"/>
      <c r="L6041" s="348"/>
      <c r="M6041" s="348"/>
      <c r="N6041" s="227"/>
      <c r="O6041" s="227"/>
      <c r="P6041" s="231"/>
      <c r="Q6041" s="231"/>
      <c r="R6041" s="227"/>
      <c r="S6041" s="231"/>
      <c r="T6041" s="231"/>
      <c r="U6041" s="231"/>
      <c r="V6041" s="231"/>
      <c r="W6041" s="231"/>
      <c r="X6041" s="227"/>
      <c r="Y6041" s="348"/>
      <c r="Z6041" s="348"/>
      <c r="AA6041" s="348"/>
      <c r="AB6041" s="348"/>
      <c r="AC6041" s="227"/>
      <c r="AD6041" s="227"/>
      <c r="AE6041" s="231"/>
      <c r="AF6041" s="227"/>
      <c r="AG6041" s="348"/>
      <c r="AH6041" s="348"/>
      <c r="AI6041" s="348"/>
      <c r="AJ6041" s="348"/>
      <c r="AK6041" s="348"/>
      <c r="AL6041" s="348"/>
      <c r="AM6041" s="348"/>
      <c r="AN6041" s="348"/>
      <c r="AO6041" s="231"/>
      <c r="AP6041" s="231"/>
      <c r="AQ6041" s="227"/>
      <c r="AR6041" s="231"/>
      <c r="AS6041" s="227"/>
      <c r="AT6041" s="227"/>
      <c r="AU6041" s="227"/>
      <c r="AV6041" s="227"/>
      <c r="AW6041" s="227"/>
      <c r="AX6041" s="227"/>
      <c r="AY6041" s="227"/>
      <c r="AZ6041" s="227"/>
      <c r="BA6041" s="227"/>
      <c r="BB6041" s="227"/>
      <c r="BC6041" s="227"/>
      <c r="BD6041" s="227"/>
      <c r="BE6041" s="227"/>
      <c r="BF6041" s="227"/>
    </row>
    <row r="6042">
      <c r="A6042" s="227"/>
      <c r="B6042" s="348"/>
      <c r="C6042" s="227"/>
      <c r="D6042" s="227"/>
      <c r="E6042" s="231"/>
      <c r="F6042" s="348"/>
      <c r="G6042" s="227"/>
      <c r="H6042" s="227"/>
      <c r="I6042" s="227"/>
      <c r="J6042" s="227"/>
      <c r="K6042" s="227"/>
      <c r="L6042" s="348"/>
      <c r="M6042" s="348"/>
      <c r="N6042" s="227"/>
      <c r="O6042" s="227"/>
      <c r="P6042" s="231"/>
      <c r="Q6042" s="231"/>
      <c r="R6042" s="227"/>
      <c r="S6042" s="231"/>
      <c r="T6042" s="231"/>
      <c r="U6042" s="231"/>
      <c r="V6042" s="231"/>
      <c r="W6042" s="231"/>
      <c r="X6042" s="227"/>
      <c r="Y6042" s="348"/>
      <c r="Z6042" s="348"/>
      <c r="AA6042" s="348"/>
      <c r="AB6042" s="348"/>
      <c r="AC6042" s="227"/>
      <c r="AD6042" s="227"/>
      <c r="AE6042" s="231"/>
      <c r="AF6042" s="227"/>
      <c r="AG6042" s="348"/>
      <c r="AH6042" s="348"/>
      <c r="AI6042" s="348"/>
      <c r="AJ6042" s="348"/>
      <c r="AK6042" s="348"/>
      <c r="AL6042" s="348"/>
      <c r="AM6042" s="348"/>
      <c r="AN6042" s="348"/>
      <c r="AO6042" s="231"/>
      <c r="AP6042" s="231"/>
      <c r="AQ6042" s="227"/>
      <c r="AR6042" s="231"/>
      <c r="AS6042" s="227"/>
      <c r="AT6042" s="227"/>
      <c r="AU6042" s="227"/>
      <c r="AV6042" s="227"/>
      <c r="AW6042" s="227"/>
      <c r="AX6042" s="227"/>
      <c r="AY6042" s="227"/>
      <c r="AZ6042" s="227"/>
      <c r="BA6042" s="227"/>
      <c r="BB6042" s="227"/>
      <c r="BC6042" s="227"/>
      <c r="BD6042" s="227"/>
      <c r="BE6042" s="227"/>
      <c r="BF6042" s="227"/>
    </row>
    <row r="6043">
      <c r="A6043" s="227"/>
      <c r="B6043" s="348"/>
      <c r="C6043" s="227"/>
      <c r="D6043" s="227"/>
      <c r="E6043" s="231"/>
      <c r="F6043" s="348"/>
      <c r="G6043" s="227"/>
      <c r="H6043" s="227"/>
      <c r="I6043" s="227"/>
      <c r="J6043" s="227"/>
      <c r="K6043" s="227"/>
      <c r="L6043" s="348"/>
      <c r="M6043" s="348"/>
      <c r="N6043" s="227"/>
      <c r="O6043" s="227"/>
      <c r="P6043" s="231"/>
      <c r="Q6043" s="231"/>
      <c r="R6043" s="227"/>
      <c r="S6043" s="231"/>
      <c r="T6043" s="231"/>
      <c r="U6043" s="231"/>
      <c r="V6043" s="231"/>
      <c r="W6043" s="231"/>
      <c r="X6043" s="227"/>
      <c r="Y6043" s="348"/>
      <c r="Z6043" s="348"/>
      <c r="AA6043" s="348"/>
      <c r="AB6043" s="348"/>
      <c r="AC6043" s="227"/>
      <c r="AD6043" s="227"/>
      <c r="AE6043" s="231"/>
      <c r="AF6043" s="227"/>
      <c r="AG6043" s="348"/>
      <c r="AH6043" s="348"/>
      <c r="AI6043" s="348"/>
      <c r="AJ6043" s="348"/>
      <c r="AK6043" s="348"/>
      <c r="AL6043" s="348"/>
      <c r="AM6043" s="348"/>
      <c r="AN6043" s="348"/>
      <c r="AO6043" s="231"/>
      <c r="AP6043" s="231"/>
      <c r="AQ6043" s="227"/>
      <c r="AR6043" s="231"/>
      <c r="AS6043" s="227"/>
      <c r="AT6043" s="227"/>
      <c r="AU6043" s="227"/>
      <c r="AV6043" s="227"/>
      <c r="AW6043" s="227"/>
      <c r="AX6043" s="227"/>
      <c r="AY6043" s="227"/>
      <c r="AZ6043" s="227"/>
      <c r="BA6043" s="227"/>
      <c r="BB6043" s="227"/>
      <c r="BC6043" s="227"/>
      <c r="BD6043" s="227"/>
      <c r="BE6043" s="227"/>
      <c r="BF6043" s="227"/>
    </row>
    <row r="6044">
      <c r="A6044" s="227"/>
      <c r="B6044" s="348"/>
      <c r="C6044" s="227"/>
      <c r="D6044" s="227"/>
      <c r="E6044" s="231"/>
      <c r="F6044" s="348"/>
      <c r="G6044" s="227"/>
      <c r="H6044" s="227"/>
      <c r="I6044" s="227"/>
      <c r="J6044" s="227"/>
      <c r="K6044" s="227"/>
      <c r="L6044" s="348"/>
      <c r="M6044" s="348"/>
      <c r="N6044" s="227"/>
      <c r="O6044" s="227"/>
      <c r="P6044" s="231"/>
      <c r="Q6044" s="231"/>
      <c r="R6044" s="227"/>
      <c r="S6044" s="231"/>
      <c r="T6044" s="231"/>
      <c r="U6044" s="231"/>
      <c r="V6044" s="231"/>
      <c r="W6044" s="231"/>
      <c r="X6044" s="227"/>
      <c r="Y6044" s="348"/>
      <c r="Z6044" s="348"/>
      <c r="AA6044" s="348"/>
      <c r="AB6044" s="348"/>
      <c r="AC6044" s="227"/>
      <c r="AD6044" s="227"/>
      <c r="AE6044" s="231"/>
      <c r="AF6044" s="227"/>
      <c r="AG6044" s="348"/>
      <c r="AH6044" s="348"/>
      <c r="AI6044" s="348"/>
      <c r="AJ6044" s="348"/>
      <c r="AK6044" s="348"/>
      <c r="AL6044" s="348"/>
      <c r="AM6044" s="348"/>
      <c r="AN6044" s="348"/>
      <c r="AO6044" s="231"/>
      <c r="AP6044" s="231"/>
      <c r="AQ6044" s="227"/>
      <c r="AR6044" s="231"/>
      <c r="AS6044" s="227"/>
      <c r="AT6044" s="227"/>
      <c r="AU6044" s="227"/>
      <c r="AV6044" s="227"/>
      <c r="AW6044" s="227"/>
      <c r="AX6044" s="227"/>
      <c r="AY6044" s="227"/>
      <c r="AZ6044" s="227"/>
      <c r="BA6044" s="227"/>
      <c r="BB6044" s="227"/>
      <c r="BC6044" s="227"/>
      <c r="BD6044" s="227"/>
      <c r="BE6044" s="227"/>
      <c r="BF6044" s="227"/>
    </row>
    <row r="6045">
      <c r="A6045" s="227"/>
      <c r="B6045" s="348"/>
      <c r="C6045" s="227"/>
      <c r="D6045" s="227"/>
      <c r="E6045" s="231"/>
      <c r="F6045" s="348"/>
      <c r="G6045" s="227"/>
      <c r="H6045" s="227"/>
      <c r="I6045" s="227"/>
      <c r="J6045" s="227"/>
      <c r="K6045" s="227"/>
      <c r="L6045" s="348"/>
      <c r="M6045" s="348"/>
      <c r="N6045" s="227"/>
      <c r="O6045" s="227"/>
      <c r="P6045" s="231"/>
      <c r="Q6045" s="231"/>
      <c r="R6045" s="227"/>
      <c r="S6045" s="231"/>
      <c r="T6045" s="231"/>
      <c r="U6045" s="231"/>
      <c r="V6045" s="231"/>
      <c r="W6045" s="231"/>
      <c r="X6045" s="227"/>
      <c r="Y6045" s="348"/>
      <c r="Z6045" s="348"/>
      <c r="AA6045" s="348"/>
      <c r="AB6045" s="348"/>
      <c r="AC6045" s="227"/>
      <c r="AD6045" s="227"/>
      <c r="AE6045" s="231"/>
      <c r="AF6045" s="227"/>
      <c r="AG6045" s="348"/>
      <c r="AH6045" s="348"/>
      <c r="AI6045" s="348"/>
      <c r="AJ6045" s="348"/>
      <c r="AK6045" s="348"/>
      <c r="AL6045" s="348"/>
      <c r="AM6045" s="348"/>
      <c r="AN6045" s="348"/>
      <c r="AO6045" s="231"/>
      <c r="AP6045" s="231"/>
      <c r="AQ6045" s="227"/>
      <c r="AR6045" s="231"/>
      <c r="AS6045" s="227"/>
      <c r="AT6045" s="227"/>
      <c r="AU6045" s="227"/>
      <c r="AV6045" s="227"/>
      <c r="AW6045" s="227"/>
      <c r="AX6045" s="227"/>
      <c r="AY6045" s="227"/>
      <c r="AZ6045" s="227"/>
      <c r="BA6045" s="227"/>
      <c r="BB6045" s="227"/>
      <c r="BC6045" s="227"/>
      <c r="BD6045" s="227"/>
      <c r="BE6045" s="227"/>
      <c r="BF6045" s="227"/>
    </row>
    <row r="6046">
      <c r="A6046" s="227"/>
      <c r="B6046" s="348"/>
      <c r="C6046" s="227"/>
      <c r="D6046" s="227"/>
      <c r="E6046" s="231"/>
      <c r="F6046" s="348"/>
      <c r="G6046" s="227"/>
      <c r="H6046" s="227"/>
      <c r="I6046" s="227"/>
      <c r="J6046" s="227"/>
      <c r="K6046" s="227"/>
      <c r="L6046" s="348"/>
      <c r="M6046" s="348"/>
      <c r="N6046" s="227"/>
      <c r="O6046" s="227"/>
      <c r="P6046" s="231"/>
      <c r="Q6046" s="231"/>
      <c r="R6046" s="227"/>
      <c r="S6046" s="231"/>
      <c r="T6046" s="231"/>
      <c r="U6046" s="231"/>
      <c r="V6046" s="231"/>
      <c r="W6046" s="231"/>
      <c r="X6046" s="227"/>
      <c r="Y6046" s="348"/>
      <c r="Z6046" s="348"/>
      <c r="AA6046" s="348"/>
      <c r="AB6046" s="348"/>
      <c r="AC6046" s="227"/>
      <c r="AD6046" s="227"/>
      <c r="AE6046" s="231"/>
      <c r="AF6046" s="227"/>
      <c r="AG6046" s="348"/>
      <c r="AH6046" s="348"/>
      <c r="AI6046" s="348"/>
      <c r="AJ6046" s="348"/>
      <c r="AK6046" s="348"/>
      <c r="AL6046" s="348"/>
      <c r="AM6046" s="348"/>
      <c r="AN6046" s="348"/>
      <c r="AO6046" s="231"/>
      <c r="AP6046" s="231"/>
      <c r="AQ6046" s="227"/>
      <c r="AR6046" s="231"/>
      <c r="AS6046" s="227"/>
      <c r="AT6046" s="227"/>
      <c r="AU6046" s="227"/>
      <c r="AV6046" s="227"/>
      <c r="AW6046" s="227"/>
      <c r="AX6046" s="227"/>
      <c r="AY6046" s="227"/>
      <c r="AZ6046" s="227"/>
      <c r="BA6046" s="227"/>
      <c r="BB6046" s="227"/>
      <c r="BC6046" s="227"/>
      <c r="BD6046" s="227"/>
      <c r="BE6046" s="227"/>
      <c r="BF6046" s="227"/>
    </row>
    <row r="6047">
      <c r="A6047" s="227"/>
      <c r="B6047" s="348"/>
      <c r="C6047" s="227"/>
      <c r="D6047" s="227"/>
      <c r="E6047" s="231"/>
      <c r="F6047" s="348"/>
      <c r="G6047" s="227"/>
      <c r="H6047" s="227"/>
      <c r="I6047" s="227"/>
      <c r="J6047" s="227"/>
      <c r="K6047" s="227"/>
      <c r="L6047" s="348"/>
      <c r="M6047" s="348"/>
      <c r="N6047" s="227"/>
      <c r="O6047" s="227"/>
      <c r="P6047" s="231"/>
      <c r="Q6047" s="231"/>
      <c r="R6047" s="227"/>
      <c r="S6047" s="231"/>
      <c r="T6047" s="231"/>
      <c r="U6047" s="231"/>
      <c r="V6047" s="231"/>
      <c r="W6047" s="231"/>
      <c r="X6047" s="227"/>
      <c r="Y6047" s="348"/>
      <c r="Z6047" s="348"/>
      <c r="AA6047" s="348"/>
      <c r="AB6047" s="348"/>
      <c r="AC6047" s="227"/>
      <c r="AD6047" s="227"/>
      <c r="AE6047" s="231"/>
      <c r="AF6047" s="227"/>
      <c r="AG6047" s="348"/>
      <c r="AH6047" s="348"/>
      <c r="AI6047" s="348"/>
      <c r="AJ6047" s="348"/>
      <c r="AK6047" s="348"/>
      <c r="AL6047" s="348"/>
      <c r="AM6047" s="348"/>
      <c r="AN6047" s="348"/>
      <c r="AO6047" s="231"/>
      <c r="AP6047" s="231"/>
      <c r="AQ6047" s="227"/>
      <c r="AR6047" s="231"/>
      <c r="AS6047" s="227"/>
      <c r="AT6047" s="227"/>
      <c r="AU6047" s="227"/>
      <c r="AV6047" s="227"/>
      <c r="AW6047" s="227"/>
      <c r="AX6047" s="227"/>
      <c r="AY6047" s="227"/>
      <c r="AZ6047" s="227"/>
      <c r="BA6047" s="227"/>
      <c r="BB6047" s="227"/>
      <c r="BC6047" s="227"/>
      <c r="BD6047" s="227"/>
      <c r="BE6047" s="227"/>
      <c r="BF6047" s="227"/>
    </row>
    <row r="6048">
      <c r="A6048" s="227"/>
      <c r="B6048" s="348"/>
      <c r="C6048" s="227"/>
      <c r="D6048" s="227"/>
      <c r="E6048" s="231"/>
      <c r="F6048" s="348"/>
      <c r="G6048" s="227"/>
      <c r="H6048" s="227"/>
      <c r="I6048" s="227"/>
      <c r="J6048" s="227"/>
      <c r="K6048" s="227"/>
      <c r="L6048" s="348"/>
      <c r="M6048" s="348"/>
      <c r="N6048" s="227"/>
      <c r="O6048" s="227"/>
      <c r="P6048" s="231"/>
      <c r="Q6048" s="231"/>
      <c r="R6048" s="227"/>
      <c r="S6048" s="231"/>
      <c r="T6048" s="231"/>
      <c r="U6048" s="231"/>
      <c r="V6048" s="231"/>
      <c r="W6048" s="231"/>
      <c r="X6048" s="227"/>
      <c r="Y6048" s="348"/>
      <c r="Z6048" s="348"/>
      <c r="AA6048" s="348"/>
      <c r="AB6048" s="348"/>
      <c r="AC6048" s="227"/>
      <c r="AD6048" s="227"/>
      <c r="AE6048" s="231"/>
      <c r="AF6048" s="227"/>
      <c r="AG6048" s="348"/>
      <c r="AH6048" s="348"/>
      <c r="AI6048" s="348"/>
      <c r="AJ6048" s="348"/>
      <c r="AK6048" s="348"/>
      <c r="AL6048" s="348"/>
      <c r="AM6048" s="348"/>
      <c r="AN6048" s="348"/>
      <c r="AO6048" s="231"/>
      <c r="AP6048" s="231"/>
      <c r="AQ6048" s="227"/>
      <c r="AR6048" s="231"/>
      <c r="AS6048" s="227"/>
      <c r="AT6048" s="227"/>
      <c r="AU6048" s="227"/>
      <c r="AV6048" s="227"/>
      <c r="AW6048" s="227"/>
      <c r="AX6048" s="227"/>
      <c r="AY6048" s="227"/>
      <c r="AZ6048" s="227"/>
      <c r="BA6048" s="227"/>
      <c r="BB6048" s="227"/>
      <c r="BC6048" s="227"/>
      <c r="BD6048" s="227"/>
      <c r="BE6048" s="227"/>
      <c r="BF6048" s="227"/>
    </row>
    <row r="6049">
      <c r="A6049" s="227"/>
      <c r="B6049" s="348"/>
      <c r="C6049" s="227"/>
      <c r="D6049" s="227"/>
      <c r="E6049" s="231"/>
      <c r="F6049" s="348"/>
      <c r="G6049" s="227"/>
      <c r="H6049" s="227"/>
      <c r="I6049" s="227"/>
      <c r="J6049" s="227"/>
      <c r="K6049" s="227"/>
      <c r="L6049" s="348"/>
      <c r="M6049" s="348"/>
      <c r="N6049" s="227"/>
      <c r="O6049" s="227"/>
      <c r="P6049" s="231"/>
      <c r="Q6049" s="231"/>
      <c r="R6049" s="227"/>
      <c r="S6049" s="231"/>
      <c r="T6049" s="231"/>
      <c r="U6049" s="231"/>
      <c r="V6049" s="231"/>
      <c r="W6049" s="231"/>
      <c r="X6049" s="227"/>
      <c r="Y6049" s="348"/>
      <c r="Z6049" s="348"/>
      <c r="AA6049" s="348"/>
      <c r="AB6049" s="348"/>
      <c r="AC6049" s="227"/>
      <c r="AD6049" s="227"/>
      <c r="AE6049" s="231"/>
      <c r="AF6049" s="227"/>
      <c r="AG6049" s="348"/>
      <c r="AH6049" s="348"/>
      <c r="AI6049" s="348"/>
      <c r="AJ6049" s="348"/>
      <c r="AK6049" s="348"/>
      <c r="AL6049" s="348"/>
      <c r="AM6049" s="348"/>
      <c r="AN6049" s="348"/>
      <c r="AO6049" s="231"/>
      <c r="AP6049" s="231"/>
      <c r="AQ6049" s="227"/>
      <c r="AR6049" s="231"/>
      <c r="AS6049" s="227"/>
      <c r="AT6049" s="227"/>
      <c r="AU6049" s="227"/>
      <c r="AV6049" s="227"/>
      <c r="AW6049" s="227"/>
      <c r="AX6049" s="227"/>
      <c r="AY6049" s="227"/>
      <c r="AZ6049" s="227"/>
      <c r="BA6049" s="227"/>
      <c r="BB6049" s="227"/>
      <c r="BC6049" s="227"/>
      <c r="BD6049" s="227"/>
      <c r="BE6049" s="227"/>
      <c r="BF6049" s="227"/>
    </row>
    <row r="6050">
      <c r="A6050" s="227"/>
      <c r="B6050" s="348"/>
      <c r="C6050" s="227"/>
      <c r="D6050" s="227"/>
      <c r="E6050" s="231"/>
      <c r="F6050" s="348"/>
      <c r="G6050" s="227"/>
      <c r="H6050" s="227"/>
      <c r="I6050" s="227"/>
      <c r="J6050" s="227"/>
      <c r="K6050" s="227"/>
      <c r="L6050" s="348"/>
      <c r="M6050" s="348"/>
      <c r="N6050" s="227"/>
      <c r="O6050" s="227"/>
      <c r="P6050" s="231"/>
      <c r="Q6050" s="231"/>
      <c r="R6050" s="227"/>
      <c r="S6050" s="231"/>
      <c r="T6050" s="231"/>
      <c r="U6050" s="231"/>
      <c r="V6050" s="231"/>
      <c r="W6050" s="231"/>
      <c r="X6050" s="227"/>
      <c r="Y6050" s="348"/>
      <c r="Z6050" s="348"/>
      <c r="AA6050" s="348"/>
      <c r="AB6050" s="348"/>
      <c r="AC6050" s="227"/>
      <c r="AD6050" s="227"/>
      <c r="AE6050" s="231"/>
      <c r="AF6050" s="227"/>
      <c r="AG6050" s="348"/>
      <c r="AH6050" s="348"/>
      <c r="AI6050" s="348"/>
      <c r="AJ6050" s="348"/>
      <c r="AK6050" s="348"/>
      <c r="AL6050" s="348"/>
      <c r="AM6050" s="348"/>
      <c r="AN6050" s="348"/>
      <c r="AO6050" s="231"/>
      <c r="AP6050" s="231"/>
      <c r="AQ6050" s="227"/>
      <c r="AR6050" s="231"/>
      <c r="AS6050" s="227"/>
      <c r="AT6050" s="227"/>
      <c r="AU6050" s="227"/>
      <c r="AV6050" s="227"/>
      <c r="AW6050" s="227"/>
      <c r="AX6050" s="227"/>
      <c r="AY6050" s="227"/>
      <c r="AZ6050" s="227"/>
      <c r="BA6050" s="227"/>
      <c r="BB6050" s="227"/>
      <c r="BC6050" s="227"/>
      <c r="BD6050" s="227"/>
      <c r="BE6050" s="227"/>
      <c r="BF6050" s="227"/>
    </row>
    <row r="6051">
      <c r="A6051" s="227"/>
      <c r="B6051" s="348"/>
      <c r="C6051" s="227"/>
      <c r="D6051" s="227"/>
      <c r="E6051" s="231"/>
      <c r="F6051" s="348"/>
      <c r="G6051" s="227"/>
      <c r="H6051" s="227"/>
      <c r="I6051" s="227"/>
      <c r="J6051" s="227"/>
      <c r="K6051" s="227"/>
      <c r="L6051" s="348"/>
      <c r="M6051" s="348"/>
      <c r="N6051" s="227"/>
      <c r="O6051" s="227"/>
      <c r="P6051" s="231"/>
      <c r="Q6051" s="231"/>
      <c r="R6051" s="227"/>
      <c r="S6051" s="231"/>
      <c r="T6051" s="231"/>
      <c r="U6051" s="231"/>
      <c r="V6051" s="231"/>
      <c r="W6051" s="231"/>
      <c r="X6051" s="227"/>
      <c r="Y6051" s="348"/>
      <c r="Z6051" s="348"/>
      <c r="AA6051" s="348"/>
      <c r="AB6051" s="348"/>
      <c r="AC6051" s="227"/>
      <c r="AD6051" s="227"/>
      <c r="AE6051" s="231"/>
      <c r="AF6051" s="227"/>
      <c r="AG6051" s="348"/>
      <c r="AH6051" s="348"/>
      <c r="AI6051" s="348"/>
      <c r="AJ6051" s="348"/>
      <c r="AK6051" s="348"/>
      <c r="AL6051" s="348"/>
      <c r="AM6051" s="348"/>
      <c r="AN6051" s="348"/>
      <c r="AO6051" s="231"/>
      <c r="AP6051" s="231"/>
      <c r="AQ6051" s="227"/>
      <c r="AR6051" s="231"/>
      <c r="AS6051" s="227"/>
      <c r="AT6051" s="227"/>
      <c r="AU6051" s="227"/>
      <c r="AV6051" s="227"/>
      <c r="AW6051" s="227"/>
      <c r="AX6051" s="227"/>
      <c r="AY6051" s="227"/>
      <c r="AZ6051" s="227"/>
      <c r="BA6051" s="227"/>
      <c r="BB6051" s="227"/>
      <c r="BC6051" s="227"/>
      <c r="BD6051" s="227"/>
      <c r="BE6051" s="227"/>
      <c r="BF6051" s="227"/>
    </row>
    <row r="6052">
      <c r="A6052" s="227"/>
      <c r="B6052" s="348"/>
      <c r="C6052" s="227"/>
      <c r="D6052" s="227"/>
      <c r="E6052" s="231"/>
      <c r="F6052" s="348"/>
      <c r="G6052" s="227"/>
      <c r="H6052" s="227"/>
      <c r="I6052" s="227"/>
      <c r="J6052" s="227"/>
      <c r="K6052" s="227"/>
      <c r="L6052" s="348"/>
      <c r="M6052" s="348"/>
      <c r="N6052" s="227"/>
      <c r="O6052" s="227"/>
      <c r="P6052" s="231"/>
      <c r="Q6052" s="231"/>
      <c r="R6052" s="227"/>
      <c r="S6052" s="231"/>
      <c r="T6052" s="231"/>
      <c r="U6052" s="231"/>
      <c r="V6052" s="231"/>
      <c r="W6052" s="231"/>
      <c r="X6052" s="227"/>
      <c r="Y6052" s="348"/>
      <c r="Z6052" s="348"/>
      <c r="AA6052" s="348"/>
      <c r="AB6052" s="348"/>
      <c r="AC6052" s="227"/>
      <c r="AD6052" s="227"/>
      <c r="AE6052" s="231"/>
      <c r="AF6052" s="227"/>
      <c r="AG6052" s="348"/>
      <c r="AH6052" s="348"/>
      <c r="AI6052" s="348"/>
      <c r="AJ6052" s="348"/>
      <c r="AK6052" s="348"/>
      <c r="AL6052" s="348"/>
      <c r="AM6052" s="348"/>
      <c r="AN6052" s="348"/>
      <c r="AO6052" s="231"/>
      <c r="AP6052" s="231"/>
      <c r="AQ6052" s="227"/>
      <c r="AR6052" s="231"/>
      <c r="AS6052" s="227"/>
      <c r="AT6052" s="227"/>
      <c r="AU6052" s="227"/>
      <c r="AV6052" s="227"/>
      <c r="AW6052" s="227"/>
      <c r="AX6052" s="227"/>
      <c r="AY6052" s="227"/>
      <c r="AZ6052" s="227"/>
      <c r="BA6052" s="227"/>
      <c r="BB6052" s="227"/>
      <c r="BC6052" s="227"/>
      <c r="BD6052" s="227"/>
      <c r="BE6052" s="227"/>
      <c r="BF6052" s="227"/>
    </row>
    <row r="6053">
      <c r="A6053" s="227"/>
      <c r="B6053" s="348"/>
      <c r="C6053" s="227"/>
      <c r="D6053" s="227"/>
      <c r="E6053" s="231"/>
      <c r="F6053" s="348"/>
      <c r="G6053" s="227"/>
      <c r="H6053" s="227"/>
      <c r="I6053" s="227"/>
      <c r="J6053" s="227"/>
      <c r="K6053" s="227"/>
      <c r="L6053" s="348"/>
      <c r="M6053" s="348"/>
      <c r="N6053" s="227"/>
      <c r="O6053" s="227"/>
      <c r="P6053" s="231"/>
      <c r="Q6053" s="231"/>
      <c r="R6053" s="227"/>
      <c r="S6053" s="231"/>
      <c r="T6053" s="231"/>
      <c r="U6053" s="231"/>
      <c r="V6053" s="231"/>
      <c r="W6053" s="231"/>
      <c r="X6053" s="227"/>
      <c r="Y6053" s="348"/>
      <c r="Z6053" s="348"/>
      <c r="AA6053" s="348"/>
      <c r="AB6053" s="348"/>
      <c r="AC6053" s="227"/>
      <c r="AD6053" s="227"/>
      <c r="AE6053" s="231"/>
      <c r="AF6053" s="227"/>
      <c r="AG6053" s="348"/>
      <c r="AH6053" s="348"/>
      <c r="AI6053" s="348"/>
      <c r="AJ6053" s="348"/>
      <c r="AK6053" s="348"/>
      <c r="AL6053" s="348"/>
      <c r="AM6053" s="348"/>
      <c r="AN6053" s="348"/>
      <c r="AO6053" s="231"/>
      <c r="AP6053" s="231"/>
      <c r="AQ6053" s="227"/>
      <c r="AR6053" s="231"/>
      <c r="AS6053" s="227"/>
      <c r="AT6053" s="227"/>
      <c r="AU6053" s="227"/>
      <c r="AV6053" s="227"/>
      <c r="AW6053" s="227"/>
      <c r="AX6053" s="227"/>
      <c r="AY6053" s="227"/>
      <c r="AZ6053" s="227"/>
      <c r="BA6053" s="227"/>
      <c r="BB6053" s="227"/>
      <c r="BC6053" s="227"/>
      <c r="BD6053" s="227"/>
      <c r="BE6053" s="227"/>
      <c r="BF6053" s="227"/>
    </row>
    <row r="6054">
      <c r="A6054" s="227"/>
      <c r="B6054" s="348"/>
      <c r="C6054" s="227"/>
      <c r="D6054" s="227"/>
      <c r="E6054" s="231"/>
      <c r="F6054" s="348"/>
      <c r="G6054" s="227"/>
      <c r="H6054" s="227"/>
      <c r="I6054" s="227"/>
      <c r="J6054" s="227"/>
      <c r="K6054" s="227"/>
      <c r="L6054" s="348"/>
      <c r="M6054" s="348"/>
      <c r="N6054" s="227"/>
      <c r="O6054" s="227"/>
      <c r="P6054" s="231"/>
      <c r="Q6054" s="231"/>
      <c r="R6054" s="227"/>
      <c r="S6054" s="231"/>
      <c r="T6054" s="231"/>
      <c r="U6054" s="231"/>
      <c r="V6054" s="231"/>
      <c r="W6054" s="231"/>
      <c r="X6054" s="227"/>
      <c r="Y6054" s="348"/>
      <c r="Z6054" s="348"/>
      <c r="AA6054" s="348"/>
      <c r="AB6054" s="348"/>
      <c r="AC6054" s="227"/>
      <c r="AD6054" s="227"/>
      <c r="AE6054" s="231"/>
      <c r="AF6054" s="227"/>
      <c r="AG6054" s="348"/>
      <c r="AH6054" s="348"/>
      <c r="AI6054" s="348"/>
      <c r="AJ6054" s="348"/>
      <c r="AK6054" s="348"/>
      <c r="AL6054" s="348"/>
      <c r="AM6054" s="348"/>
      <c r="AN6054" s="348"/>
      <c r="AO6054" s="231"/>
      <c r="AP6054" s="231"/>
      <c r="AQ6054" s="227"/>
      <c r="AR6054" s="231"/>
      <c r="AS6054" s="227"/>
      <c r="AT6054" s="227"/>
      <c r="AU6054" s="227"/>
      <c r="AV6054" s="227"/>
      <c r="AW6054" s="227"/>
      <c r="AX6054" s="227"/>
      <c r="AY6054" s="227"/>
      <c r="AZ6054" s="227"/>
      <c r="BA6054" s="227"/>
      <c r="BB6054" s="227"/>
      <c r="BC6054" s="227"/>
      <c r="BD6054" s="227"/>
      <c r="BE6054" s="227"/>
      <c r="BF6054" s="227"/>
    </row>
    <row r="6055">
      <c r="A6055" s="227"/>
      <c r="B6055" s="348"/>
      <c r="C6055" s="227"/>
      <c r="D6055" s="227"/>
      <c r="E6055" s="231"/>
      <c r="F6055" s="348"/>
      <c r="G6055" s="227"/>
      <c r="H6055" s="227"/>
      <c r="I6055" s="227"/>
      <c r="J6055" s="227"/>
      <c r="K6055" s="227"/>
      <c r="L6055" s="348"/>
      <c r="M6055" s="348"/>
      <c r="N6055" s="227"/>
      <c r="O6055" s="227"/>
      <c r="P6055" s="231"/>
      <c r="Q6055" s="231"/>
      <c r="R6055" s="227"/>
      <c r="S6055" s="231"/>
      <c r="T6055" s="231"/>
      <c r="U6055" s="231"/>
      <c r="V6055" s="231"/>
      <c r="W6055" s="231"/>
      <c r="X6055" s="227"/>
      <c r="Y6055" s="348"/>
      <c r="Z6055" s="348"/>
      <c r="AA6055" s="348"/>
      <c r="AB6055" s="348"/>
      <c r="AC6055" s="227"/>
      <c r="AD6055" s="227"/>
      <c r="AE6055" s="231"/>
      <c r="AF6055" s="227"/>
      <c r="AG6055" s="348"/>
      <c r="AH6055" s="348"/>
      <c r="AI6055" s="348"/>
      <c r="AJ6055" s="348"/>
      <c r="AK6055" s="348"/>
      <c r="AL6055" s="348"/>
      <c r="AM6055" s="348"/>
      <c r="AN6055" s="348"/>
      <c r="AO6055" s="231"/>
      <c r="AP6055" s="231"/>
      <c r="AQ6055" s="227"/>
      <c r="AR6055" s="231"/>
      <c r="AS6055" s="227"/>
      <c r="AT6055" s="227"/>
      <c r="AU6055" s="227"/>
      <c r="AV6055" s="227"/>
      <c r="AW6055" s="227"/>
      <c r="AX6055" s="227"/>
      <c r="AY6055" s="227"/>
      <c r="AZ6055" s="227"/>
      <c r="BA6055" s="227"/>
      <c r="BB6055" s="227"/>
      <c r="BC6055" s="227"/>
      <c r="BD6055" s="227"/>
      <c r="BE6055" s="227"/>
      <c r="BF6055" s="227"/>
    </row>
    <row r="6056">
      <c r="A6056" s="227"/>
      <c r="B6056" s="348"/>
      <c r="C6056" s="227"/>
      <c r="D6056" s="227"/>
      <c r="E6056" s="231"/>
      <c r="F6056" s="348"/>
      <c r="G6056" s="227"/>
      <c r="H6056" s="227"/>
      <c r="I6056" s="227"/>
      <c r="J6056" s="227"/>
      <c r="K6056" s="227"/>
      <c r="L6056" s="348"/>
      <c r="M6056" s="348"/>
      <c r="N6056" s="227"/>
      <c r="O6056" s="227"/>
      <c r="P6056" s="231"/>
      <c r="Q6056" s="231"/>
      <c r="R6056" s="227"/>
      <c r="S6056" s="231"/>
      <c r="T6056" s="231"/>
      <c r="U6056" s="231"/>
      <c r="V6056" s="231"/>
      <c r="W6056" s="231"/>
      <c r="X6056" s="227"/>
      <c r="Y6056" s="348"/>
      <c r="Z6056" s="348"/>
      <c r="AA6056" s="348"/>
      <c r="AB6056" s="348"/>
      <c r="AC6056" s="227"/>
      <c r="AD6056" s="227"/>
      <c r="AE6056" s="231"/>
      <c r="AF6056" s="227"/>
      <c r="AG6056" s="348"/>
      <c r="AH6056" s="348"/>
      <c r="AI6056" s="348"/>
      <c r="AJ6056" s="348"/>
      <c r="AK6056" s="348"/>
      <c r="AL6056" s="348"/>
      <c r="AM6056" s="348"/>
      <c r="AN6056" s="348"/>
      <c r="AO6056" s="231"/>
      <c r="AP6056" s="231"/>
      <c r="AQ6056" s="227"/>
      <c r="AR6056" s="231"/>
      <c r="AS6056" s="227"/>
      <c r="AT6056" s="227"/>
      <c r="AU6056" s="227"/>
      <c r="AV6056" s="227"/>
      <c r="AW6056" s="227"/>
      <c r="AX6056" s="227"/>
      <c r="AY6056" s="227"/>
      <c r="AZ6056" s="227"/>
      <c r="BA6056" s="227"/>
      <c r="BB6056" s="227"/>
      <c r="BC6056" s="227"/>
      <c r="BD6056" s="227"/>
      <c r="BE6056" s="227"/>
      <c r="BF6056" s="227"/>
    </row>
    <row r="6057">
      <c r="A6057" s="227"/>
      <c r="B6057" s="348"/>
      <c r="C6057" s="227"/>
      <c r="D6057" s="227"/>
      <c r="E6057" s="231"/>
      <c r="F6057" s="348"/>
      <c r="G6057" s="227"/>
      <c r="H6057" s="227"/>
      <c r="I6057" s="227"/>
      <c r="J6057" s="227"/>
      <c r="K6057" s="227"/>
      <c r="L6057" s="348"/>
      <c r="M6057" s="348"/>
      <c r="N6057" s="227"/>
      <c r="O6057" s="227"/>
      <c r="P6057" s="231"/>
      <c r="Q6057" s="231"/>
      <c r="R6057" s="227"/>
      <c r="S6057" s="231"/>
      <c r="T6057" s="231"/>
      <c r="U6057" s="231"/>
      <c r="V6057" s="231"/>
      <c r="W6057" s="231"/>
      <c r="X6057" s="227"/>
      <c r="Y6057" s="348"/>
      <c r="Z6057" s="348"/>
      <c r="AA6057" s="348"/>
      <c r="AB6057" s="348"/>
      <c r="AC6057" s="227"/>
      <c r="AD6057" s="227"/>
      <c r="AE6057" s="231"/>
      <c r="AF6057" s="227"/>
      <c r="AG6057" s="348"/>
      <c r="AH6057" s="348"/>
      <c r="AI6057" s="348"/>
      <c r="AJ6057" s="348"/>
      <c r="AK6057" s="348"/>
      <c r="AL6057" s="348"/>
      <c r="AM6057" s="348"/>
      <c r="AN6057" s="348"/>
      <c r="AO6057" s="231"/>
      <c r="AP6057" s="231"/>
      <c r="AQ6057" s="227"/>
      <c r="AR6057" s="231"/>
      <c r="AS6057" s="227"/>
      <c r="AT6057" s="227"/>
      <c r="AU6057" s="227"/>
      <c r="AV6057" s="227"/>
      <c r="AW6057" s="227"/>
      <c r="AX6057" s="227"/>
      <c r="AY6057" s="227"/>
      <c r="AZ6057" s="227"/>
      <c r="BA6057" s="227"/>
      <c r="BB6057" s="227"/>
      <c r="BC6057" s="227"/>
      <c r="BD6057" s="227"/>
      <c r="BE6057" s="227"/>
      <c r="BF6057" s="227"/>
    </row>
    <row r="6058">
      <c r="A6058" s="227"/>
      <c r="B6058" s="348"/>
      <c r="C6058" s="227"/>
      <c r="D6058" s="227"/>
      <c r="E6058" s="231"/>
      <c r="F6058" s="348"/>
      <c r="G6058" s="227"/>
      <c r="H6058" s="227"/>
      <c r="I6058" s="227"/>
      <c r="J6058" s="227"/>
      <c r="K6058" s="227"/>
      <c r="L6058" s="348"/>
      <c r="M6058" s="348"/>
      <c r="N6058" s="227"/>
      <c r="O6058" s="227"/>
      <c r="P6058" s="231"/>
      <c r="Q6058" s="231"/>
      <c r="R6058" s="227"/>
      <c r="S6058" s="231"/>
      <c r="T6058" s="231"/>
      <c r="U6058" s="231"/>
      <c r="V6058" s="231"/>
      <c r="W6058" s="231"/>
      <c r="X6058" s="227"/>
      <c r="Y6058" s="348"/>
      <c r="Z6058" s="348"/>
      <c r="AA6058" s="348"/>
      <c r="AB6058" s="348"/>
      <c r="AC6058" s="227"/>
      <c r="AD6058" s="227"/>
      <c r="AE6058" s="231"/>
      <c r="AF6058" s="227"/>
      <c r="AG6058" s="348"/>
      <c r="AH6058" s="348"/>
      <c r="AI6058" s="348"/>
      <c r="AJ6058" s="348"/>
      <c r="AK6058" s="348"/>
      <c r="AL6058" s="348"/>
      <c r="AM6058" s="348"/>
      <c r="AN6058" s="348"/>
      <c r="AO6058" s="231"/>
      <c r="AP6058" s="231"/>
      <c r="AQ6058" s="227"/>
      <c r="AR6058" s="231"/>
      <c r="AS6058" s="227"/>
      <c r="AT6058" s="227"/>
      <c r="AU6058" s="227"/>
      <c r="AV6058" s="227"/>
      <c r="AW6058" s="227"/>
      <c r="AX6058" s="227"/>
      <c r="AY6058" s="227"/>
      <c r="AZ6058" s="227"/>
      <c r="BA6058" s="227"/>
      <c r="BB6058" s="227"/>
      <c r="BC6058" s="227"/>
      <c r="BD6058" s="227"/>
      <c r="BE6058" s="227"/>
      <c r="BF6058" s="227"/>
    </row>
    <row r="6059">
      <c r="A6059" s="227"/>
      <c r="B6059" s="348"/>
      <c r="C6059" s="227"/>
      <c r="D6059" s="227"/>
      <c r="E6059" s="231"/>
      <c r="F6059" s="348"/>
      <c r="G6059" s="227"/>
      <c r="H6059" s="227"/>
      <c r="I6059" s="227"/>
      <c r="J6059" s="227"/>
      <c r="K6059" s="227"/>
      <c r="L6059" s="348"/>
      <c r="M6059" s="348"/>
      <c r="N6059" s="227"/>
      <c r="O6059" s="227"/>
      <c r="P6059" s="231"/>
      <c r="Q6059" s="231"/>
      <c r="R6059" s="227"/>
      <c r="S6059" s="231"/>
      <c r="T6059" s="231"/>
      <c r="U6059" s="231"/>
      <c r="V6059" s="231"/>
      <c r="W6059" s="231"/>
      <c r="X6059" s="227"/>
      <c r="Y6059" s="348"/>
      <c r="Z6059" s="348"/>
      <c r="AA6059" s="348"/>
      <c r="AB6059" s="348"/>
      <c r="AC6059" s="227"/>
      <c r="AD6059" s="227"/>
      <c r="AE6059" s="231"/>
      <c r="AF6059" s="227"/>
      <c r="AG6059" s="348"/>
      <c r="AH6059" s="348"/>
      <c r="AI6059" s="348"/>
      <c r="AJ6059" s="348"/>
      <c r="AK6059" s="348"/>
      <c r="AL6059" s="348"/>
      <c r="AM6059" s="348"/>
      <c r="AN6059" s="348"/>
      <c r="AO6059" s="231"/>
      <c r="AP6059" s="231"/>
      <c r="AQ6059" s="227"/>
      <c r="AR6059" s="231"/>
      <c r="AS6059" s="227"/>
      <c r="AT6059" s="227"/>
      <c r="AU6059" s="227"/>
      <c r="AV6059" s="227"/>
      <c r="AW6059" s="227"/>
      <c r="AX6059" s="227"/>
      <c r="AY6059" s="227"/>
      <c r="AZ6059" s="227"/>
      <c r="BA6059" s="227"/>
      <c r="BB6059" s="227"/>
      <c r="BC6059" s="227"/>
      <c r="BD6059" s="227"/>
      <c r="BE6059" s="227"/>
      <c r="BF6059" s="227"/>
    </row>
    <row r="6060">
      <c r="A6060" s="227"/>
      <c r="B6060" s="348"/>
      <c r="C6060" s="227"/>
      <c r="D6060" s="227"/>
      <c r="E6060" s="231"/>
      <c r="F6060" s="348"/>
      <c r="G6060" s="227"/>
      <c r="H6060" s="227"/>
      <c r="I6060" s="227"/>
      <c r="J6060" s="227"/>
      <c r="K6060" s="227"/>
      <c r="L6060" s="348"/>
      <c r="M6060" s="348"/>
      <c r="N6060" s="227"/>
      <c r="O6060" s="227"/>
      <c r="P6060" s="231"/>
      <c r="Q6060" s="231"/>
      <c r="R6060" s="227"/>
      <c r="S6060" s="231"/>
      <c r="T6060" s="231"/>
      <c r="U6060" s="231"/>
      <c r="V6060" s="231"/>
      <c r="W6060" s="231"/>
      <c r="X6060" s="227"/>
      <c r="Y6060" s="348"/>
      <c r="Z6060" s="348"/>
      <c r="AA6060" s="348"/>
      <c r="AB6060" s="348"/>
      <c r="AC6060" s="227"/>
      <c r="AD6060" s="227"/>
      <c r="AE6060" s="231"/>
      <c r="AF6060" s="227"/>
      <c r="AG6060" s="348"/>
      <c r="AH6060" s="348"/>
      <c r="AI6060" s="348"/>
      <c r="AJ6060" s="348"/>
      <c r="AK6060" s="348"/>
      <c r="AL6060" s="348"/>
      <c r="AM6060" s="348"/>
      <c r="AN6060" s="348"/>
      <c r="AO6060" s="231"/>
      <c r="AP6060" s="231"/>
      <c r="AQ6060" s="227"/>
      <c r="AR6060" s="231"/>
      <c r="AS6060" s="227"/>
      <c r="AT6060" s="227"/>
      <c r="AU6060" s="227"/>
      <c r="AV6060" s="227"/>
      <c r="AW6060" s="227"/>
      <c r="AX6060" s="227"/>
      <c r="AY6060" s="227"/>
      <c r="AZ6060" s="227"/>
      <c r="BA6060" s="227"/>
      <c r="BB6060" s="227"/>
      <c r="BC6060" s="227"/>
      <c r="BD6060" s="227"/>
      <c r="BE6060" s="227"/>
      <c r="BF6060" s="227"/>
    </row>
    <row r="6061">
      <c r="A6061" s="227"/>
      <c r="B6061" s="348"/>
      <c r="C6061" s="227"/>
      <c r="D6061" s="227"/>
      <c r="E6061" s="231"/>
      <c r="F6061" s="348"/>
      <c r="G6061" s="227"/>
      <c r="H6061" s="227"/>
      <c r="I6061" s="227"/>
      <c r="J6061" s="227"/>
      <c r="K6061" s="227"/>
      <c r="L6061" s="348"/>
      <c r="M6061" s="348"/>
      <c r="N6061" s="227"/>
      <c r="O6061" s="227"/>
      <c r="P6061" s="231"/>
      <c r="Q6061" s="231"/>
      <c r="R6061" s="227"/>
      <c r="S6061" s="231"/>
      <c r="T6061" s="231"/>
      <c r="U6061" s="231"/>
      <c r="V6061" s="231"/>
      <c r="W6061" s="231"/>
      <c r="X6061" s="227"/>
      <c r="Y6061" s="348"/>
      <c r="Z6061" s="348"/>
      <c r="AA6061" s="348"/>
      <c r="AB6061" s="348"/>
      <c r="AC6061" s="227"/>
      <c r="AD6061" s="227"/>
      <c r="AE6061" s="231"/>
      <c r="AF6061" s="227"/>
      <c r="AG6061" s="348"/>
      <c r="AH6061" s="348"/>
      <c r="AI6061" s="348"/>
      <c r="AJ6061" s="348"/>
      <c r="AK6061" s="348"/>
      <c r="AL6061" s="348"/>
      <c r="AM6061" s="348"/>
      <c r="AN6061" s="348"/>
      <c r="AO6061" s="231"/>
      <c r="AP6061" s="231"/>
      <c r="AQ6061" s="227"/>
      <c r="AR6061" s="231"/>
      <c r="AS6061" s="227"/>
      <c r="AT6061" s="227"/>
      <c r="AU6061" s="227"/>
      <c r="AV6061" s="227"/>
      <c r="AW6061" s="227"/>
      <c r="AX6061" s="227"/>
      <c r="AY6061" s="227"/>
      <c r="AZ6061" s="227"/>
      <c r="BA6061" s="227"/>
      <c r="BB6061" s="227"/>
      <c r="BC6061" s="227"/>
      <c r="BD6061" s="227"/>
      <c r="BE6061" s="227"/>
      <c r="BF6061" s="227"/>
    </row>
    <row r="6062">
      <c r="A6062" s="227"/>
      <c r="B6062" s="348"/>
      <c r="C6062" s="227"/>
      <c r="D6062" s="227"/>
      <c r="E6062" s="231"/>
      <c r="F6062" s="348"/>
      <c r="G6062" s="227"/>
      <c r="H6062" s="227"/>
      <c r="I6062" s="227"/>
      <c r="J6062" s="227"/>
      <c r="K6062" s="227"/>
      <c r="L6062" s="348"/>
      <c r="M6062" s="348"/>
      <c r="N6062" s="227"/>
      <c r="O6062" s="227"/>
      <c r="P6062" s="231"/>
      <c r="Q6062" s="231"/>
      <c r="R6062" s="227"/>
      <c r="S6062" s="231"/>
      <c r="T6062" s="231"/>
      <c r="U6062" s="231"/>
      <c r="V6062" s="231"/>
      <c r="W6062" s="231"/>
      <c r="X6062" s="227"/>
      <c r="Y6062" s="348"/>
      <c r="Z6062" s="348"/>
      <c r="AA6062" s="348"/>
      <c r="AB6062" s="348"/>
      <c r="AC6062" s="227"/>
      <c r="AD6062" s="227"/>
      <c r="AE6062" s="231"/>
      <c r="AF6062" s="227"/>
      <c r="AG6062" s="348"/>
      <c r="AH6062" s="348"/>
      <c r="AI6062" s="348"/>
      <c r="AJ6062" s="348"/>
      <c r="AK6062" s="348"/>
      <c r="AL6062" s="348"/>
      <c r="AM6062" s="348"/>
      <c r="AN6062" s="348"/>
      <c r="AO6062" s="231"/>
      <c r="AP6062" s="231"/>
      <c r="AQ6062" s="227"/>
      <c r="AR6062" s="231"/>
      <c r="AS6062" s="227"/>
      <c r="AT6062" s="227"/>
      <c r="AU6062" s="227"/>
      <c r="AV6062" s="227"/>
      <c r="AW6062" s="227"/>
      <c r="AX6062" s="227"/>
      <c r="AY6062" s="227"/>
      <c r="AZ6062" s="227"/>
      <c r="BA6062" s="227"/>
      <c r="BB6062" s="227"/>
      <c r="BC6062" s="227"/>
      <c r="BD6062" s="227"/>
      <c r="BE6062" s="227"/>
      <c r="BF6062" s="227"/>
    </row>
    <row r="6063">
      <c r="A6063" s="227"/>
      <c r="B6063" s="348"/>
      <c r="C6063" s="227"/>
      <c r="D6063" s="227"/>
      <c r="E6063" s="231"/>
      <c r="F6063" s="348"/>
      <c r="G6063" s="227"/>
      <c r="H6063" s="227"/>
      <c r="I6063" s="227"/>
      <c r="J6063" s="227"/>
      <c r="K6063" s="227"/>
      <c r="L6063" s="348"/>
      <c r="M6063" s="348"/>
      <c r="N6063" s="227"/>
      <c r="O6063" s="227"/>
      <c r="P6063" s="231"/>
      <c r="Q6063" s="231"/>
      <c r="R6063" s="227"/>
      <c r="S6063" s="231"/>
      <c r="T6063" s="231"/>
      <c r="U6063" s="231"/>
      <c r="V6063" s="231"/>
      <c r="W6063" s="231"/>
      <c r="X6063" s="227"/>
      <c r="Y6063" s="348"/>
      <c r="Z6063" s="348"/>
      <c r="AA6063" s="348"/>
      <c r="AB6063" s="348"/>
      <c r="AC6063" s="227"/>
      <c r="AD6063" s="227"/>
      <c r="AE6063" s="231"/>
      <c r="AF6063" s="227"/>
      <c r="AG6063" s="348"/>
      <c r="AH6063" s="348"/>
      <c r="AI6063" s="348"/>
      <c r="AJ6063" s="348"/>
      <c r="AK6063" s="348"/>
      <c r="AL6063" s="348"/>
      <c r="AM6063" s="348"/>
      <c r="AN6063" s="348"/>
      <c r="AO6063" s="231"/>
      <c r="AP6063" s="231"/>
      <c r="AQ6063" s="227"/>
      <c r="AR6063" s="231"/>
      <c r="AS6063" s="227"/>
      <c r="AT6063" s="227"/>
      <c r="AU6063" s="227"/>
      <c r="AV6063" s="227"/>
      <c r="AW6063" s="227"/>
      <c r="AX6063" s="227"/>
      <c r="AY6063" s="227"/>
      <c r="AZ6063" s="227"/>
      <c r="BA6063" s="227"/>
      <c r="BB6063" s="227"/>
      <c r="BC6063" s="227"/>
      <c r="BD6063" s="227"/>
      <c r="BE6063" s="227"/>
      <c r="BF6063" s="227"/>
    </row>
    <row r="6064">
      <c r="A6064" s="227"/>
      <c r="B6064" s="348"/>
      <c r="C6064" s="227"/>
      <c r="D6064" s="227"/>
      <c r="E6064" s="231"/>
      <c r="F6064" s="348"/>
      <c r="G6064" s="227"/>
      <c r="H6064" s="227"/>
      <c r="I6064" s="227"/>
      <c r="J6064" s="227"/>
      <c r="K6064" s="227"/>
      <c r="L6064" s="348"/>
      <c r="M6064" s="348"/>
      <c r="N6064" s="227"/>
      <c r="O6064" s="227"/>
      <c r="P6064" s="231"/>
      <c r="Q6064" s="231"/>
      <c r="R6064" s="227"/>
      <c r="S6064" s="231"/>
      <c r="T6064" s="231"/>
      <c r="U6064" s="231"/>
      <c r="V6064" s="231"/>
      <c r="W6064" s="231"/>
      <c r="X6064" s="227"/>
      <c r="Y6064" s="348"/>
      <c r="Z6064" s="348"/>
      <c r="AA6064" s="348"/>
      <c r="AB6064" s="348"/>
      <c r="AC6064" s="227"/>
      <c r="AD6064" s="227"/>
      <c r="AE6064" s="231"/>
      <c r="AF6064" s="227"/>
      <c r="AG6064" s="348"/>
      <c r="AH6064" s="348"/>
      <c r="AI6064" s="348"/>
      <c r="AJ6064" s="348"/>
      <c r="AK6064" s="348"/>
      <c r="AL6064" s="348"/>
      <c r="AM6064" s="348"/>
      <c r="AN6064" s="348"/>
      <c r="AO6064" s="231"/>
      <c r="AP6064" s="231"/>
      <c r="AQ6064" s="227"/>
      <c r="AR6064" s="231"/>
      <c r="AS6064" s="227"/>
      <c r="AT6064" s="227"/>
      <c r="AU6064" s="227"/>
      <c r="AV6064" s="227"/>
      <c r="AW6064" s="227"/>
      <c r="AX6064" s="227"/>
      <c r="AY6064" s="227"/>
      <c r="AZ6064" s="227"/>
      <c r="BA6064" s="227"/>
      <c r="BB6064" s="227"/>
      <c r="BC6064" s="227"/>
      <c r="BD6064" s="227"/>
      <c r="BE6064" s="227"/>
      <c r="BF6064" s="227"/>
    </row>
    <row r="6065">
      <c r="A6065" s="227"/>
      <c r="B6065" s="348"/>
      <c r="C6065" s="227"/>
      <c r="D6065" s="227"/>
      <c r="E6065" s="231"/>
      <c r="F6065" s="348"/>
      <c r="G6065" s="227"/>
      <c r="H6065" s="227"/>
      <c r="I6065" s="227"/>
      <c r="J6065" s="227"/>
      <c r="K6065" s="227"/>
      <c r="L6065" s="348"/>
      <c r="M6065" s="348"/>
      <c r="N6065" s="227"/>
      <c r="O6065" s="227"/>
      <c r="P6065" s="231"/>
      <c r="Q6065" s="231"/>
      <c r="R6065" s="227"/>
      <c r="S6065" s="231"/>
      <c r="T6065" s="231"/>
      <c r="U6065" s="231"/>
      <c r="V6065" s="231"/>
      <c r="W6065" s="231"/>
      <c r="X6065" s="227"/>
      <c r="Y6065" s="348"/>
      <c r="Z6065" s="348"/>
      <c r="AA6065" s="348"/>
      <c r="AB6065" s="348"/>
      <c r="AC6065" s="227"/>
      <c r="AD6065" s="227"/>
      <c r="AE6065" s="231"/>
      <c r="AF6065" s="227"/>
      <c r="AG6065" s="348"/>
      <c r="AH6065" s="348"/>
      <c r="AI6065" s="348"/>
      <c r="AJ6065" s="348"/>
      <c r="AK6065" s="348"/>
      <c r="AL6065" s="348"/>
      <c r="AM6065" s="348"/>
      <c r="AN6065" s="348"/>
      <c r="AO6065" s="231"/>
      <c r="AP6065" s="231"/>
      <c r="AQ6065" s="227"/>
      <c r="AR6065" s="231"/>
      <c r="AS6065" s="227"/>
      <c r="AT6065" s="227"/>
      <c r="AU6065" s="227"/>
      <c r="AV6065" s="227"/>
      <c r="AW6065" s="227"/>
      <c r="AX6065" s="227"/>
      <c r="AY6065" s="227"/>
      <c r="AZ6065" s="227"/>
      <c r="BA6065" s="227"/>
      <c r="BB6065" s="227"/>
      <c r="BC6065" s="227"/>
      <c r="BD6065" s="227"/>
      <c r="BE6065" s="227"/>
      <c r="BF6065" s="227"/>
    </row>
    <row r="6066">
      <c r="A6066" s="227"/>
      <c r="B6066" s="348"/>
      <c r="C6066" s="227"/>
      <c r="D6066" s="227"/>
      <c r="E6066" s="231"/>
      <c r="F6066" s="348"/>
      <c r="G6066" s="227"/>
      <c r="H6066" s="227"/>
      <c r="I6066" s="227"/>
      <c r="J6066" s="227"/>
      <c r="K6066" s="227"/>
      <c r="L6066" s="348"/>
      <c r="M6066" s="348"/>
      <c r="N6066" s="227"/>
      <c r="O6066" s="227"/>
      <c r="P6066" s="231"/>
      <c r="Q6066" s="231"/>
      <c r="R6066" s="227"/>
      <c r="S6066" s="231"/>
      <c r="T6066" s="231"/>
      <c r="U6066" s="231"/>
      <c r="V6066" s="231"/>
      <c r="W6066" s="231"/>
      <c r="X6066" s="227"/>
      <c r="Y6066" s="348"/>
      <c r="Z6066" s="348"/>
      <c r="AA6066" s="348"/>
      <c r="AB6066" s="348"/>
      <c r="AC6066" s="227"/>
      <c r="AD6066" s="227"/>
      <c r="AE6066" s="231"/>
      <c r="AF6066" s="227"/>
      <c r="AG6066" s="348"/>
      <c r="AH6066" s="348"/>
      <c r="AI6066" s="348"/>
      <c r="AJ6066" s="348"/>
      <c r="AK6066" s="348"/>
      <c r="AL6066" s="348"/>
      <c r="AM6066" s="348"/>
      <c r="AN6066" s="348"/>
      <c r="AO6066" s="231"/>
      <c r="AP6066" s="231"/>
      <c r="AQ6066" s="227"/>
      <c r="AR6066" s="231"/>
      <c r="AS6066" s="227"/>
      <c r="AT6066" s="227"/>
      <c r="AU6066" s="227"/>
      <c r="AV6066" s="227"/>
      <c r="AW6066" s="227"/>
      <c r="AX6066" s="227"/>
      <c r="AY6066" s="227"/>
      <c r="AZ6066" s="227"/>
      <c r="BA6066" s="227"/>
      <c r="BB6066" s="227"/>
      <c r="BC6066" s="227"/>
      <c r="BD6066" s="227"/>
      <c r="BE6066" s="227"/>
      <c r="BF6066" s="227"/>
    </row>
    <row r="6067">
      <c r="A6067" s="227"/>
      <c r="B6067" s="348"/>
      <c r="C6067" s="227"/>
      <c r="D6067" s="227"/>
      <c r="E6067" s="231"/>
      <c r="F6067" s="348"/>
      <c r="G6067" s="227"/>
      <c r="H6067" s="227"/>
      <c r="I6067" s="227"/>
      <c r="J6067" s="227"/>
      <c r="K6067" s="227"/>
      <c r="L6067" s="348"/>
      <c r="M6067" s="348"/>
      <c r="N6067" s="227"/>
      <c r="O6067" s="227"/>
      <c r="P6067" s="231"/>
      <c r="Q6067" s="231"/>
      <c r="R6067" s="227"/>
      <c r="S6067" s="231"/>
      <c r="T6067" s="231"/>
      <c r="U6067" s="231"/>
      <c r="V6067" s="231"/>
      <c r="W6067" s="231"/>
      <c r="X6067" s="227"/>
      <c r="Y6067" s="348"/>
      <c r="Z6067" s="348"/>
      <c r="AA6067" s="348"/>
      <c r="AB6067" s="348"/>
      <c r="AC6067" s="227"/>
      <c r="AD6067" s="227"/>
      <c r="AE6067" s="231"/>
      <c r="AF6067" s="227"/>
      <c r="AG6067" s="348"/>
      <c r="AH6067" s="348"/>
      <c r="AI6067" s="348"/>
      <c r="AJ6067" s="348"/>
      <c r="AK6067" s="348"/>
      <c r="AL6067" s="348"/>
      <c r="AM6067" s="348"/>
      <c r="AN6067" s="348"/>
      <c r="AO6067" s="231"/>
      <c r="AP6067" s="231"/>
      <c r="AQ6067" s="227"/>
      <c r="AR6067" s="231"/>
      <c r="AS6067" s="227"/>
      <c r="AT6067" s="227"/>
      <c r="AU6067" s="227"/>
      <c r="AV6067" s="227"/>
      <c r="AW6067" s="227"/>
      <c r="AX6067" s="227"/>
      <c r="AY6067" s="227"/>
      <c r="AZ6067" s="227"/>
      <c r="BA6067" s="227"/>
      <c r="BB6067" s="227"/>
      <c r="BC6067" s="227"/>
      <c r="BD6067" s="227"/>
      <c r="BE6067" s="227"/>
      <c r="BF6067" s="227"/>
    </row>
    <row r="6068">
      <c r="A6068" s="227"/>
      <c r="B6068" s="348"/>
      <c r="C6068" s="227"/>
      <c r="D6068" s="227"/>
      <c r="E6068" s="231"/>
      <c r="F6068" s="348"/>
      <c r="G6068" s="227"/>
      <c r="H6068" s="227"/>
      <c r="I6068" s="227"/>
      <c r="J6068" s="227"/>
      <c r="K6068" s="227"/>
      <c r="L6068" s="348"/>
      <c r="M6068" s="348"/>
      <c r="N6068" s="227"/>
      <c r="O6068" s="227"/>
      <c r="P6068" s="231"/>
      <c r="Q6068" s="231"/>
      <c r="R6068" s="227"/>
      <c r="S6068" s="231"/>
      <c r="T6068" s="231"/>
      <c r="U6068" s="231"/>
      <c r="V6068" s="231"/>
      <c r="W6068" s="231"/>
      <c r="X6068" s="227"/>
      <c r="Y6068" s="348"/>
      <c r="Z6068" s="348"/>
      <c r="AA6068" s="348"/>
      <c r="AB6068" s="348"/>
      <c r="AC6068" s="227"/>
      <c r="AD6068" s="227"/>
      <c r="AE6068" s="231"/>
      <c r="AF6068" s="227"/>
      <c r="AG6068" s="348"/>
      <c r="AH6068" s="348"/>
      <c r="AI6068" s="348"/>
      <c r="AJ6068" s="348"/>
      <c r="AK6068" s="348"/>
      <c r="AL6068" s="348"/>
      <c r="AM6068" s="348"/>
      <c r="AN6068" s="348"/>
      <c r="AO6068" s="231"/>
      <c r="AP6068" s="231"/>
      <c r="AQ6068" s="227"/>
      <c r="AR6068" s="231"/>
      <c r="AS6068" s="227"/>
      <c r="AT6068" s="227"/>
      <c r="AU6068" s="227"/>
      <c r="AV6068" s="227"/>
      <c r="AW6068" s="227"/>
      <c r="AX6068" s="227"/>
      <c r="AY6068" s="227"/>
      <c r="AZ6068" s="227"/>
      <c r="BA6068" s="227"/>
      <c r="BB6068" s="227"/>
      <c r="BC6068" s="227"/>
      <c r="BD6068" s="227"/>
      <c r="BE6068" s="227"/>
      <c r="BF6068" s="227"/>
    </row>
    <row r="6069">
      <c r="A6069" s="227"/>
      <c r="B6069" s="348"/>
      <c r="C6069" s="227"/>
      <c r="D6069" s="227"/>
      <c r="E6069" s="231"/>
      <c r="F6069" s="348"/>
      <c r="G6069" s="227"/>
      <c r="H6069" s="227"/>
      <c r="I6069" s="227"/>
      <c r="J6069" s="227"/>
      <c r="K6069" s="227"/>
      <c r="L6069" s="348"/>
      <c r="M6069" s="348"/>
      <c r="N6069" s="227"/>
      <c r="O6069" s="227"/>
      <c r="P6069" s="231"/>
      <c r="Q6069" s="231"/>
      <c r="R6069" s="227"/>
      <c r="S6069" s="231"/>
      <c r="T6069" s="231"/>
      <c r="U6069" s="231"/>
      <c r="V6069" s="231"/>
      <c r="W6069" s="231"/>
      <c r="X6069" s="227"/>
      <c r="Y6069" s="348"/>
      <c r="Z6069" s="348"/>
      <c r="AA6069" s="348"/>
      <c r="AB6069" s="348"/>
      <c r="AC6069" s="227"/>
      <c r="AD6069" s="227"/>
      <c r="AE6069" s="231"/>
      <c r="AF6069" s="227"/>
      <c r="AG6069" s="348"/>
      <c r="AH6069" s="348"/>
      <c r="AI6069" s="348"/>
      <c r="AJ6069" s="348"/>
      <c r="AK6069" s="348"/>
      <c r="AL6069" s="348"/>
      <c r="AM6069" s="348"/>
      <c r="AN6069" s="348"/>
      <c r="AO6069" s="231"/>
      <c r="AP6069" s="231"/>
      <c r="AQ6069" s="227"/>
      <c r="AR6069" s="231"/>
      <c r="AS6069" s="227"/>
      <c r="AT6069" s="227"/>
      <c r="AU6069" s="227"/>
      <c r="AV6069" s="227"/>
      <c r="AW6069" s="227"/>
      <c r="AX6069" s="227"/>
      <c r="AY6069" s="227"/>
      <c r="AZ6069" s="227"/>
      <c r="BA6069" s="227"/>
      <c r="BB6069" s="227"/>
      <c r="BC6069" s="227"/>
      <c r="BD6069" s="227"/>
      <c r="BE6069" s="227"/>
      <c r="BF6069" s="227"/>
    </row>
    <row r="6070">
      <c r="A6070" s="227"/>
      <c r="B6070" s="348"/>
      <c r="C6070" s="227"/>
      <c r="D6070" s="227"/>
      <c r="E6070" s="231"/>
      <c r="F6070" s="348"/>
      <c r="G6070" s="227"/>
      <c r="H6070" s="227"/>
      <c r="I6070" s="227"/>
      <c r="J6070" s="227"/>
      <c r="K6070" s="227"/>
      <c r="L6070" s="348"/>
      <c r="M6070" s="348"/>
      <c r="N6070" s="227"/>
      <c r="O6070" s="227"/>
      <c r="P6070" s="231"/>
      <c r="Q6070" s="231"/>
      <c r="R6070" s="227"/>
      <c r="S6070" s="231"/>
      <c r="T6070" s="231"/>
      <c r="U6070" s="231"/>
      <c r="V6070" s="231"/>
      <c r="W6070" s="231"/>
      <c r="X6070" s="227"/>
      <c r="Y6070" s="348"/>
      <c r="Z6070" s="348"/>
      <c r="AA6070" s="348"/>
      <c r="AB6070" s="348"/>
      <c r="AC6070" s="227"/>
      <c r="AD6070" s="227"/>
      <c r="AE6070" s="231"/>
      <c r="AF6070" s="227"/>
      <c r="AG6070" s="348"/>
      <c r="AH6070" s="348"/>
      <c r="AI6070" s="348"/>
      <c r="AJ6070" s="348"/>
      <c r="AK6070" s="348"/>
      <c r="AL6070" s="348"/>
      <c r="AM6070" s="348"/>
      <c r="AN6070" s="348"/>
      <c r="AO6070" s="231"/>
      <c r="AP6070" s="231"/>
      <c r="AQ6070" s="227"/>
      <c r="AR6070" s="231"/>
      <c r="AS6070" s="227"/>
      <c r="AT6070" s="227"/>
      <c r="AU6070" s="227"/>
      <c r="AV6070" s="227"/>
      <c r="AW6070" s="227"/>
      <c r="AX6070" s="227"/>
      <c r="AY6070" s="227"/>
      <c r="AZ6070" s="227"/>
      <c r="BA6070" s="227"/>
      <c r="BB6070" s="227"/>
      <c r="BC6070" s="227"/>
      <c r="BD6070" s="227"/>
      <c r="BE6070" s="227"/>
      <c r="BF6070" s="227"/>
    </row>
    <row r="6071">
      <c r="A6071" s="227"/>
      <c r="B6071" s="348"/>
      <c r="C6071" s="227"/>
      <c r="D6071" s="227"/>
      <c r="E6071" s="231"/>
      <c r="F6071" s="348"/>
      <c r="G6071" s="227"/>
      <c r="H6071" s="227"/>
      <c r="I6071" s="227"/>
      <c r="J6071" s="227"/>
      <c r="K6071" s="227"/>
      <c r="L6071" s="348"/>
      <c r="M6071" s="348"/>
      <c r="N6071" s="227"/>
      <c r="O6071" s="227"/>
      <c r="P6071" s="231"/>
      <c r="Q6071" s="231"/>
      <c r="R6071" s="227"/>
      <c r="S6071" s="231"/>
      <c r="T6071" s="231"/>
      <c r="U6071" s="231"/>
      <c r="V6071" s="231"/>
      <c r="W6071" s="231"/>
      <c r="X6071" s="227"/>
      <c r="Y6071" s="348"/>
      <c r="Z6071" s="348"/>
      <c r="AA6071" s="348"/>
      <c r="AB6071" s="348"/>
      <c r="AC6071" s="227"/>
      <c r="AD6071" s="227"/>
      <c r="AE6071" s="231"/>
      <c r="AF6071" s="227"/>
      <c r="AG6071" s="348"/>
      <c r="AH6071" s="348"/>
      <c r="AI6071" s="348"/>
      <c r="AJ6071" s="348"/>
      <c r="AK6071" s="348"/>
      <c r="AL6071" s="348"/>
      <c r="AM6071" s="348"/>
      <c r="AN6071" s="348"/>
      <c r="AO6071" s="231"/>
      <c r="AP6071" s="231"/>
      <c r="AQ6071" s="227"/>
      <c r="AR6071" s="231"/>
      <c r="AS6071" s="227"/>
      <c r="AT6071" s="227"/>
      <c r="AU6071" s="227"/>
      <c r="AV6071" s="227"/>
      <c r="AW6071" s="227"/>
      <c r="AX6071" s="227"/>
      <c r="AY6071" s="227"/>
      <c r="AZ6071" s="227"/>
      <c r="BA6071" s="227"/>
      <c r="BB6071" s="227"/>
      <c r="BC6071" s="227"/>
      <c r="BD6071" s="227"/>
      <c r="BE6071" s="227"/>
      <c r="BF6071" s="227"/>
    </row>
    <row r="6072">
      <c r="A6072" s="227"/>
      <c r="B6072" s="348"/>
      <c r="C6072" s="227"/>
      <c r="D6072" s="227"/>
      <c r="E6072" s="231"/>
      <c r="F6072" s="348"/>
      <c r="G6072" s="227"/>
      <c r="H6072" s="227"/>
      <c r="I6072" s="227"/>
      <c r="J6072" s="227"/>
      <c r="K6072" s="227"/>
      <c r="L6072" s="348"/>
      <c r="M6072" s="348"/>
      <c r="N6072" s="227"/>
      <c r="O6072" s="227"/>
      <c r="P6072" s="231"/>
      <c r="Q6072" s="231"/>
      <c r="R6072" s="227"/>
      <c r="S6072" s="231"/>
      <c r="T6072" s="231"/>
      <c r="U6072" s="231"/>
      <c r="V6072" s="231"/>
      <c r="W6072" s="231"/>
      <c r="X6072" s="227"/>
      <c r="Y6072" s="348"/>
      <c r="Z6072" s="348"/>
      <c r="AA6072" s="348"/>
      <c r="AB6072" s="348"/>
      <c r="AC6072" s="227"/>
      <c r="AD6072" s="227"/>
      <c r="AE6072" s="231"/>
      <c r="AF6072" s="227"/>
      <c r="AG6072" s="348"/>
      <c r="AH6072" s="348"/>
      <c r="AI6072" s="348"/>
      <c r="AJ6072" s="348"/>
      <c r="AK6072" s="348"/>
      <c r="AL6072" s="348"/>
      <c r="AM6072" s="348"/>
      <c r="AN6072" s="348"/>
      <c r="AO6072" s="231"/>
      <c r="AP6072" s="231"/>
      <c r="AQ6072" s="227"/>
      <c r="AR6072" s="231"/>
      <c r="AS6072" s="227"/>
      <c r="AT6072" s="227"/>
      <c r="AU6072" s="227"/>
      <c r="AV6072" s="227"/>
      <c r="AW6072" s="227"/>
      <c r="AX6072" s="227"/>
      <c r="AY6072" s="227"/>
      <c r="AZ6072" s="227"/>
      <c r="BA6072" s="227"/>
      <c r="BB6072" s="227"/>
      <c r="BC6072" s="227"/>
      <c r="BD6072" s="227"/>
      <c r="BE6072" s="227"/>
      <c r="BF6072" s="227"/>
    </row>
    <row r="6073">
      <c r="A6073" s="227"/>
      <c r="B6073" s="348"/>
      <c r="C6073" s="227"/>
      <c r="D6073" s="227"/>
      <c r="E6073" s="231"/>
      <c r="F6073" s="348"/>
      <c r="G6073" s="227"/>
      <c r="H6073" s="227"/>
      <c r="I6073" s="227"/>
      <c r="J6073" s="227"/>
      <c r="K6073" s="227"/>
      <c r="L6073" s="348"/>
      <c r="M6073" s="348"/>
      <c r="N6073" s="227"/>
      <c r="O6073" s="227"/>
      <c r="P6073" s="231"/>
      <c r="Q6073" s="231"/>
      <c r="R6073" s="227"/>
      <c r="S6073" s="231"/>
      <c r="T6073" s="231"/>
      <c r="U6073" s="231"/>
      <c r="V6073" s="231"/>
      <c r="W6073" s="231"/>
      <c r="X6073" s="227"/>
      <c r="Y6073" s="348"/>
      <c r="Z6073" s="348"/>
      <c r="AA6073" s="348"/>
      <c r="AB6073" s="348"/>
      <c r="AC6073" s="227"/>
      <c r="AD6073" s="227"/>
      <c r="AE6073" s="231"/>
      <c r="AF6073" s="227"/>
      <c r="AG6073" s="348"/>
      <c r="AH6073" s="348"/>
      <c r="AI6073" s="348"/>
      <c r="AJ6073" s="348"/>
      <c r="AK6073" s="348"/>
      <c r="AL6073" s="348"/>
      <c r="AM6073" s="348"/>
      <c r="AN6073" s="348"/>
      <c r="AO6073" s="231"/>
      <c r="AP6073" s="231"/>
      <c r="AQ6073" s="227"/>
      <c r="AR6073" s="231"/>
      <c r="AS6073" s="227"/>
      <c r="AT6073" s="227"/>
      <c r="AU6073" s="227"/>
      <c r="AV6073" s="227"/>
      <c r="AW6073" s="227"/>
      <c r="AX6073" s="227"/>
      <c r="AY6073" s="227"/>
      <c r="AZ6073" s="227"/>
      <c r="BA6073" s="227"/>
      <c r="BB6073" s="227"/>
      <c r="BC6073" s="227"/>
      <c r="BD6073" s="227"/>
      <c r="BE6073" s="227"/>
      <c r="BF6073" s="227"/>
    </row>
    <row r="6074">
      <c r="A6074" s="227"/>
      <c r="B6074" s="348"/>
      <c r="C6074" s="227"/>
      <c r="D6074" s="227"/>
      <c r="E6074" s="231"/>
      <c r="F6074" s="348"/>
      <c r="G6074" s="227"/>
      <c r="H6074" s="227"/>
      <c r="I6074" s="227"/>
      <c r="J6074" s="227"/>
      <c r="K6074" s="227"/>
      <c r="L6074" s="348"/>
      <c r="M6074" s="348"/>
      <c r="N6074" s="227"/>
      <c r="O6074" s="227"/>
      <c r="P6074" s="231"/>
      <c r="Q6074" s="231"/>
      <c r="R6074" s="227"/>
      <c r="S6074" s="231"/>
      <c r="T6074" s="231"/>
      <c r="U6074" s="231"/>
      <c r="V6074" s="231"/>
      <c r="W6074" s="231"/>
      <c r="X6074" s="227"/>
      <c r="Y6074" s="348"/>
      <c r="Z6074" s="348"/>
      <c r="AA6074" s="348"/>
      <c r="AB6074" s="348"/>
      <c r="AC6074" s="227"/>
      <c r="AD6074" s="227"/>
      <c r="AE6074" s="231"/>
      <c r="AF6074" s="227"/>
      <c r="AG6074" s="348"/>
      <c r="AH6074" s="348"/>
      <c r="AI6074" s="348"/>
      <c r="AJ6074" s="348"/>
      <c r="AK6074" s="348"/>
      <c r="AL6074" s="348"/>
      <c r="AM6074" s="348"/>
      <c r="AN6074" s="348"/>
      <c r="AO6074" s="231"/>
      <c r="AP6074" s="231"/>
      <c r="AQ6074" s="227"/>
      <c r="AR6074" s="231"/>
      <c r="AS6074" s="227"/>
      <c r="AT6074" s="227"/>
      <c r="AU6074" s="227"/>
      <c r="AV6074" s="227"/>
      <c r="AW6074" s="227"/>
      <c r="AX6074" s="227"/>
      <c r="AY6074" s="227"/>
      <c r="AZ6074" s="227"/>
      <c r="BA6074" s="227"/>
      <c r="BB6074" s="227"/>
      <c r="BC6074" s="227"/>
      <c r="BD6074" s="227"/>
      <c r="BE6074" s="227"/>
      <c r="BF6074" s="227"/>
    </row>
    <row r="6075">
      <c r="A6075" s="227"/>
      <c r="B6075" s="348"/>
      <c r="C6075" s="227"/>
      <c r="D6075" s="227"/>
      <c r="E6075" s="231"/>
      <c r="F6075" s="348"/>
      <c r="G6075" s="227"/>
      <c r="H6075" s="227"/>
      <c r="I6075" s="227"/>
      <c r="J6075" s="227"/>
      <c r="K6075" s="227"/>
      <c r="L6075" s="348"/>
      <c r="M6075" s="348"/>
      <c r="N6075" s="227"/>
      <c r="O6075" s="227"/>
      <c r="P6075" s="231"/>
      <c r="Q6075" s="231"/>
      <c r="R6075" s="227"/>
      <c r="S6075" s="231"/>
      <c r="T6075" s="231"/>
      <c r="U6075" s="231"/>
      <c r="V6075" s="231"/>
      <c r="W6075" s="231"/>
      <c r="X6075" s="227"/>
      <c r="Y6075" s="348"/>
      <c r="Z6075" s="348"/>
      <c r="AA6075" s="348"/>
      <c r="AB6075" s="348"/>
      <c r="AC6075" s="227"/>
      <c r="AD6075" s="227"/>
      <c r="AE6075" s="231"/>
      <c r="AF6075" s="227"/>
      <c r="AG6075" s="348"/>
      <c r="AH6075" s="348"/>
      <c r="AI6075" s="348"/>
      <c r="AJ6075" s="348"/>
      <c r="AK6075" s="348"/>
      <c r="AL6075" s="348"/>
      <c r="AM6075" s="348"/>
      <c r="AN6075" s="348"/>
      <c r="AO6075" s="231"/>
      <c r="AP6075" s="231"/>
      <c r="AQ6075" s="227"/>
      <c r="AR6075" s="231"/>
      <c r="AS6075" s="227"/>
      <c r="AT6075" s="227"/>
      <c r="AU6075" s="227"/>
      <c r="AV6075" s="227"/>
      <c r="AW6075" s="227"/>
      <c r="AX6075" s="227"/>
      <c r="AY6075" s="227"/>
      <c r="AZ6075" s="227"/>
      <c r="BA6075" s="227"/>
      <c r="BB6075" s="227"/>
      <c r="BC6075" s="227"/>
      <c r="BD6075" s="227"/>
      <c r="BE6075" s="227"/>
      <c r="BF6075" s="227"/>
    </row>
    <row r="6076">
      <c r="A6076" s="227"/>
      <c r="B6076" s="348"/>
      <c r="C6076" s="227"/>
      <c r="D6076" s="227"/>
      <c r="E6076" s="231"/>
      <c r="F6076" s="348"/>
      <c r="G6076" s="227"/>
      <c r="H6076" s="227"/>
      <c r="I6076" s="227"/>
      <c r="J6076" s="227"/>
      <c r="K6076" s="227"/>
      <c r="L6076" s="348"/>
      <c r="M6076" s="348"/>
      <c r="N6076" s="227"/>
      <c r="O6076" s="227"/>
      <c r="P6076" s="231"/>
      <c r="Q6076" s="231"/>
      <c r="R6076" s="227"/>
      <c r="S6076" s="231"/>
      <c r="T6076" s="231"/>
      <c r="U6076" s="231"/>
      <c r="V6076" s="231"/>
      <c r="W6076" s="231"/>
      <c r="X6076" s="227"/>
      <c r="Y6076" s="348"/>
      <c r="Z6076" s="348"/>
      <c r="AA6076" s="348"/>
      <c r="AB6076" s="348"/>
      <c r="AC6076" s="227"/>
      <c r="AD6076" s="227"/>
      <c r="AE6076" s="231"/>
      <c r="AF6076" s="227"/>
      <c r="AG6076" s="348"/>
      <c r="AH6076" s="348"/>
      <c r="AI6076" s="348"/>
      <c r="AJ6076" s="348"/>
      <c r="AK6076" s="348"/>
      <c r="AL6076" s="348"/>
      <c r="AM6076" s="348"/>
      <c r="AN6076" s="348"/>
      <c r="AO6076" s="231"/>
      <c r="AP6076" s="231"/>
      <c r="AQ6076" s="227"/>
      <c r="AR6076" s="231"/>
      <c r="AS6076" s="227"/>
      <c r="AT6076" s="227"/>
      <c r="AU6076" s="227"/>
      <c r="AV6076" s="227"/>
      <c r="AW6076" s="227"/>
      <c r="AX6076" s="227"/>
      <c r="AY6076" s="227"/>
      <c r="AZ6076" s="227"/>
      <c r="BA6076" s="227"/>
      <c r="BB6076" s="227"/>
      <c r="BC6076" s="227"/>
      <c r="BD6076" s="227"/>
      <c r="BE6076" s="227"/>
      <c r="BF6076" s="227"/>
    </row>
    <row r="6077">
      <c r="A6077" s="227"/>
      <c r="B6077" s="348"/>
      <c r="C6077" s="227"/>
      <c r="D6077" s="227"/>
      <c r="E6077" s="231"/>
      <c r="F6077" s="348"/>
      <c r="G6077" s="227"/>
      <c r="H6077" s="227"/>
      <c r="I6077" s="227"/>
      <c r="J6077" s="227"/>
      <c r="K6077" s="227"/>
      <c r="L6077" s="348"/>
      <c r="M6077" s="348"/>
      <c r="N6077" s="227"/>
      <c r="O6077" s="227"/>
      <c r="P6077" s="231"/>
      <c r="Q6077" s="231"/>
      <c r="R6077" s="227"/>
      <c r="S6077" s="231"/>
      <c r="T6077" s="231"/>
      <c r="U6077" s="231"/>
      <c r="V6077" s="231"/>
      <c r="W6077" s="231"/>
      <c r="X6077" s="227"/>
      <c r="Y6077" s="348"/>
      <c r="Z6077" s="348"/>
      <c r="AA6077" s="348"/>
      <c r="AB6077" s="348"/>
      <c r="AC6077" s="227"/>
      <c r="AD6077" s="227"/>
      <c r="AE6077" s="231"/>
      <c r="AF6077" s="227"/>
      <c r="AG6077" s="348"/>
      <c r="AH6077" s="348"/>
      <c r="AI6077" s="348"/>
      <c r="AJ6077" s="348"/>
      <c r="AK6077" s="348"/>
      <c r="AL6077" s="348"/>
      <c r="AM6077" s="348"/>
      <c r="AN6077" s="348"/>
      <c r="AO6077" s="231"/>
      <c r="AP6077" s="231"/>
      <c r="AQ6077" s="227"/>
      <c r="AR6077" s="231"/>
      <c r="AS6077" s="227"/>
      <c r="AT6077" s="227"/>
      <c r="AU6077" s="227"/>
      <c r="AV6077" s="227"/>
      <c r="AW6077" s="227"/>
      <c r="AX6077" s="227"/>
      <c r="AY6077" s="227"/>
      <c r="AZ6077" s="227"/>
      <c r="BA6077" s="227"/>
      <c r="BB6077" s="227"/>
      <c r="BC6077" s="227"/>
      <c r="BD6077" s="227"/>
      <c r="BE6077" s="227"/>
      <c r="BF6077" s="227"/>
    </row>
    <row r="6078">
      <c r="A6078" s="227"/>
      <c r="B6078" s="348"/>
      <c r="C6078" s="227"/>
      <c r="D6078" s="227"/>
      <c r="E6078" s="231"/>
      <c r="F6078" s="348"/>
      <c r="G6078" s="227"/>
      <c r="H6078" s="227"/>
      <c r="I6078" s="227"/>
      <c r="J6078" s="227"/>
      <c r="K6078" s="227"/>
      <c r="L6078" s="348"/>
      <c r="M6078" s="348"/>
      <c r="N6078" s="227"/>
      <c r="O6078" s="227"/>
      <c r="P6078" s="231"/>
      <c r="Q6078" s="231"/>
      <c r="R6078" s="227"/>
      <c r="S6078" s="231"/>
      <c r="T6078" s="231"/>
      <c r="U6078" s="231"/>
      <c r="V6078" s="231"/>
      <c r="W6078" s="231"/>
      <c r="X6078" s="227"/>
      <c r="Y6078" s="348"/>
      <c r="Z6078" s="348"/>
      <c r="AA6078" s="348"/>
      <c r="AB6078" s="348"/>
      <c r="AC6078" s="227"/>
      <c r="AD6078" s="227"/>
      <c r="AE6078" s="231"/>
      <c r="AF6078" s="227"/>
      <c r="AG6078" s="348"/>
      <c r="AH6078" s="348"/>
      <c r="AI6078" s="348"/>
      <c r="AJ6078" s="348"/>
      <c r="AK6078" s="348"/>
      <c r="AL6078" s="348"/>
      <c r="AM6078" s="348"/>
      <c r="AN6078" s="348"/>
      <c r="AO6078" s="231"/>
      <c r="AP6078" s="231"/>
      <c r="AQ6078" s="227"/>
      <c r="AR6078" s="231"/>
      <c r="AS6078" s="227"/>
      <c r="AT6078" s="227"/>
      <c r="AU6078" s="227"/>
      <c r="AV6078" s="227"/>
      <c r="AW6078" s="227"/>
      <c r="AX6078" s="227"/>
      <c r="AY6078" s="227"/>
      <c r="AZ6078" s="227"/>
      <c r="BA6078" s="227"/>
      <c r="BB6078" s="227"/>
      <c r="BC6078" s="227"/>
      <c r="BD6078" s="227"/>
      <c r="BE6078" s="227"/>
      <c r="BF6078" s="227"/>
    </row>
    <row r="6079">
      <c r="A6079" s="227"/>
      <c r="B6079" s="348"/>
      <c r="C6079" s="227"/>
      <c r="D6079" s="227"/>
      <c r="E6079" s="231"/>
      <c r="F6079" s="348"/>
      <c r="G6079" s="227"/>
      <c r="H6079" s="227"/>
      <c r="I6079" s="227"/>
      <c r="J6079" s="227"/>
      <c r="K6079" s="227"/>
      <c r="L6079" s="348"/>
      <c r="M6079" s="348"/>
      <c r="N6079" s="227"/>
      <c r="O6079" s="227"/>
      <c r="P6079" s="231"/>
      <c r="Q6079" s="231"/>
      <c r="R6079" s="227"/>
      <c r="S6079" s="231"/>
      <c r="T6079" s="231"/>
      <c r="U6079" s="231"/>
      <c r="V6079" s="231"/>
      <c r="W6079" s="231"/>
      <c r="X6079" s="227"/>
      <c r="Y6079" s="348"/>
      <c r="Z6079" s="348"/>
      <c r="AA6079" s="348"/>
      <c r="AB6079" s="348"/>
      <c r="AC6079" s="227"/>
      <c r="AD6079" s="227"/>
      <c r="AE6079" s="231"/>
      <c r="AF6079" s="227"/>
      <c r="AG6079" s="348"/>
      <c r="AH6079" s="348"/>
      <c r="AI6079" s="348"/>
      <c r="AJ6079" s="348"/>
      <c r="AK6079" s="348"/>
      <c r="AL6079" s="348"/>
      <c r="AM6079" s="348"/>
      <c r="AN6079" s="348"/>
      <c r="AO6079" s="231"/>
      <c r="AP6079" s="231"/>
      <c r="AQ6079" s="227"/>
      <c r="AR6079" s="231"/>
      <c r="AS6079" s="227"/>
      <c r="AT6079" s="227"/>
      <c r="AU6079" s="227"/>
      <c r="AV6079" s="227"/>
      <c r="AW6079" s="227"/>
      <c r="AX6079" s="227"/>
      <c r="AY6079" s="227"/>
      <c r="AZ6079" s="227"/>
      <c r="BA6079" s="227"/>
      <c r="BB6079" s="227"/>
      <c r="BC6079" s="227"/>
      <c r="BD6079" s="227"/>
      <c r="BE6079" s="227"/>
      <c r="BF6079" s="227"/>
    </row>
    <row r="6080">
      <c r="A6080" s="227"/>
      <c r="B6080" s="348"/>
      <c r="C6080" s="227"/>
      <c r="D6080" s="227"/>
      <c r="E6080" s="231"/>
      <c r="F6080" s="348"/>
      <c r="G6080" s="227"/>
      <c r="H6080" s="227"/>
      <c r="I6080" s="227"/>
      <c r="J6080" s="227"/>
      <c r="K6080" s="227"/>
      <c r="L6080" s="348"/>
      <c r="M6080" s="348"/>
      <c r="N6080" s="227"/>
      <c r="O6080" s="227"/>
      <c r="P6080" s="231"/>
      <c r="Q6080" s="231"/>
      <c r="R6080" s="227"/>
      <c r="S6080" s="231"/>
      <c r="T6080" s="231"/>
      <c r="U6080" s="231"/>
      <c r="V6080" s="231"/>
      <c r="W6080" s="231"/>
      <c r="X6080" s="227"/>
      <c r="Y6080" s="348"/>
      <c r="Z6080" s="348"/>
      <c r="AA6080" s="348"/>
      <c r="AB6080" s="348"/>
      <c r="AC6080" s="227"/>
      <c r="AD6080" s="227"/>
      <c r="AE6080" s="231"/>
      <c r="AF6080" s="227"/>
      <c r="AG6080" s="348"/>
      <c r="AH6080" s="348"/>
      <c r="AI6080" s="348"/>
      <c r="AJ6080" s="348"/>
      <c r="AK6080" s="348"/>
      <c r="AL6080" s="348"/>
      <c r="AM6080" s="348"/>
      <c r="AN6080" s="348"/>
      <c r="AO6080" s="231"/>
      <c r="AP6080" s="231"/>
      <c r="AQ6080" s="227"/>
      <c r="AR6080" s="231"/>
      <c r="AS6080" s="227"/>
      <c r="AT6080" s="227"/>
      <c r="AU6080" s="227"/>
      <c r="AV6080" s="227"/>
      <c r="AW6080" s="227"/>
      <c r="AX6080" s="227"/>
      <c r="AY6080" s="227"/>
      <c r="AZ6080" s="227"/>
      <c r="BA6080" s="227"/>
      <c r="BB6080" s="227"/>
      <c r="BC6080" s="227"/>
      <c r="BD6080" s="227"/>
      <c r="BE6080" s="227"/>
      <c r="BF6080" s="227"/>
    </row>
    <row r="6081">
      <c r="A6081" s="227"/>
      <c r="B6081" s="348"/>
      <c r="C6081" s="227"/>
      <c r="D6081" s="227"/>
      <c r="E6081" s="231"/>
      <c r="F6081" s="348"/>
      <c r="G6081" s="227"/>
      <c r="H6081" s="227"/>
      <c r="I6081" s="227"/>
      <c r="J6081" s="227"/>
      <c r="K6081" s="227"/>
      <c r="L6081" s="348"/>
      <c r="M6081" s="348"/>
      <c r="N6081" s="227"/>
      <c r="O6081" s="227"/>
      <c r="P6081" s="231"/>
      <c r="Q6081" s="231"/>
      <c r="R6081" s="227"/>
      <c r="S6081" s="231"/>
      <c r="T6081" s="231"/>
      <c r="U6081" s="231"/>
      <c r="V6081" s="231"/>
      <c r="W6081" s="231"/>
      <c r="X6081" s="227"/>
      <c r="Y6081" s="348"/>
      <c r="Z6081" s="348"/>
      <c r="AA6081" s="348"/>
      <c r="AB6081" s="348"/>
      <c r="AC6081" s="227"/>
      <c r="AD6081" s="227"/>
      <c r="AE6081" s="231"/>
      <c r="AF6081" s="227"/>
      <c r="AG6081" s="348"/>
      <c r="AH6081" s="348"/>
      <c r="AI6081" s="348"/>
      <c r="AJ6081" s="348"/>
      <c r="AK6081" s="348"/>
      <c r="AL6081" s="348"/>
      <c r="AM6081" s="348"/>
      <c r="AN6081" s="348"/>
      <c r="AO6081" s="231"/>
      <c r="AP6081" s="231"/>
      <c r="AQ6081" s="227"/>
      <c r="AR6081" s="231"/>
      <c r="AS6081" s="227"/>
      <c r="AT6081" s="227"/>
      <c r="AU6081" s="227"/>
      <c r="AV6081" s="227"/>
      <c r="AW6081" s="227"/>
      <c r="AX6081" s="227"/>
      <c r="AY6081" s="227"/>
      <c r="AZ6081" s="227"/>
      <c r="BA6081" s="227"/>
      <c r="BB6081" s="227"/>
      <c r="BC6081" s="227"/>
      <c r="BD6081" s="227"/>
      <c r="BE6081" s="227"/>
      <c r="BF6081" s="227"/>
    </row>
    <row r="6082">
      <c r="A6082" s="227"/>
      <c r="B6082" s="348"/>
      <c r="C6082" s="227"/>
      <c r="D6082" s="227"/>
      <c r="E6082" s="231"/>
      <c r="F6082" s="348"/>
      <c r="G6082" s="227"/>
      <c r="H6082" s="227"/>
      <c r="I6082" s="227"/>
      <c r="J6082" s="227"/>
      <c r="K6082" s="227"/>
      <c r="L6082" s="348"/>
      <c r="M6082" s="348"/>
      <c r="N6082" s="227"/>
      <c r="O6082" s="227"/>
      <c r="P6082" s="231"/>
      <c r="Q6082" s="231"/>
      <c r="R6082" s="227"/>
      <c r="S6082" s="231"/>
      <c r="T6082" s="231"/>
      <c r="U6082" s="231"/>
      <c r="V6082" s="231"/>
      <c r="W6082" s="231"/>
      <c r="X6082" s="227"/>
      <c r="Y6082" s="348"/>
      <c r="Z6082" s="348"/>
      <c r="AA6082" s="348"/>
      <c r="AB6082" s="348"/>
      <c r="AC6082" s="227"/>
      <c r="AD6082" s="227"/>
      <c r="AE6082" s="231"/>
      <c r="AF6082" s="227"/>
      <c r="AG6082" s="348"/>
      <c r="AH6082" s="348"/>
      <c r="AI6082" s="348"/>
      <c r="AJ6082" s="348"/>
      <c r="AK6082" s="348"/>
      <c r="AL6082" s="348"/>
      <c r="AM6082" s="348"/>
      <c r="AN6082" s="348"/>
      <c r="AO6082" s="231"/>
      <c r="AP6082" s="231"/>
      <c r="AQ6082" s="227"/>
      <c r="AR6082" s="231"/>
      <c r="AS6082" s="227"/>
      <c r="AT6082" s="227"/>
      <c r="AU6082" s="227"/>
      <c r="AV6082" s="227"/>
      <c r="AW6082" s="227"/>
      <c r="AX6082" s="227"/>
      <c r="AY6082" s="227"/>
      <c r="AZ6082" s="227"/>
      <c r="BA6082" s="227"/>
      <c r="BB6082" s="227"/>
      <c r="BC6082" s="227"/>
      <c r="BD6082" s="227"/>
      <c r="BE6082" s="227"/>
      <c r="BF6082" s="227"/>
    </row>
    <row r="6083">
      <c r="A6083" s="227"/>
      <c r="B6083" s="348"/>
      <c r="C6083" s="227"/>
      <c r="D6083" s="227"/>
      <c r="E6083" s="231"/>
      <c r="F6083" s="348"/>
      <c r="G6083" s="227"/>
      <c r="H6083" s="227"/>
      <c r="I6083" s="227"/>
      <c r="J6083" s="227"/>
      <c r="K6083" s="227"/>
      <c r="L6083" s="348"/>
      <c r="M6083" s="348"/>
      <c r="N6083" s="227"/>
      <c r="O6083" s="227"/>
      <c r="P6083" s="231"/>
      <c r="Q6083" s="231"/>
      <c r="R6083" s="227"/>
      <c r="S6083" s="231"/>
      <c r="T6083" s="231"/>
      <c r="U6083" s="231"/>
      <c r="V6083" s="231"/>
      <c r="W6083" s="231"/>
      <c r="X6083" s="227"/>
      <c r="Y6083" s="348"/>
      <c r="Z6083" s="348"/>
      <c r="AA6083" s="348"/>
      <c r="AB6083" s="348"/>
      <c r="AC6083" s="227"/>
      <c r="AD6083" s="227"/>
      <c r="AE6083" s="231"/>
      <c r="AF6083" s="227"/>
      <c r="AG6083" s="348"/>
      <c r="AH6083" s="348"/>
      <c r="AI6083" s="348"/>
      <c r="AJ6083" s="348"/>
      <c r="AK6083" s="348"/>
      <c r="AL6083" s="348"/>
      <c r="AM6083" s="348"/>
      <c r="AN6083" s="348"/>
      <c r="AO6083" s="231"/>
      <c r="AP6083" s="231"/>
      <c r="AQ6083" s="227"/>
      <c r="AR6083" s="231"/>
      <c r="AS6083" s="227"/>
      <c r="AT6083" s="227"/>
      <c r="AU6083" s="227"/>
      <c r="AV6083" s="227"/>
      <c r="AW6083" s="227"/>
      <c r="AX6083" s="227"/>
      <c r="AY6083" s="227"/>
      <c r="AZ6083" s="227"/>
      <c r="BA6083" s="227"/>
      <c r="BB6083" s="227"/>
      <c r="BC6083" s="227"/>
      <c r="BD6083" s="227"/>
      <c r="BE6083" s="227"/>
      <c r="BF6083" s="227"/>
    </row>
    <row r="6084">
      <c r="A6084" s="227"/>
      <c r="B6084" s="348"/>
      <c r="C6084" s="227"/>
      <c r="D6084" s="227"/>
      <c r="E6084" s="231"/>
      <c r="F6084" s="348"/>
      <c r="G6084" s="227"/>
      <c r="H6084" s="227"/>
      <c r="I6084" s="227"/>
      <c r="J6084" s="227"/>
      <c r="K6084" s="227"/>
      <c r="L6084" s="348"/>
      <c r="M6084" s="348"/>
      <c r="N6084" s="227"/>
      <c r="O6084" s="227"/>
      <c r="P6084" s="231"/>
      <c r="Q6084" s="231"/>
      <c r="R6084" s="227"/>
      <c r="S6084" s="231"/>
      <c r="T6084" s="231"/>
      <c r="U6084" s="231"/>
      <c r="V6084" s="231"/>
      <c r="W6084" s="231"/>
      <c r="X6084" s="227"/>
      <c r="Y6084" s="348"/>
      <c r="Z6084" s="348"/>
      <c r="AA6084" s="348"/>
      <c r="AB6084" s="348"/>
      <c r="AC6084" s="227"/>
      <c r="AD6084" s="227"/>
      <c r="AE6084" s="231"/>
      <c r="AF6084" s="227"/>
      <c r="AG6084" s="348"/>
      <c r="AH6084" s="348"/>
      <c r="AI6084" s="348"/>
      <c r="AJ6084" s="348"/>
      <c r="AK6084" s="348"/>
      <c r="AL6084" s="348"/>
      <c r="AM6084" s="348"/>
      <c r="AN6084" s="348"/>
      <c r="AO6084" s="231"/>
      <c r="AP6084" s="231"/>
      <c r="AQ6084" s="227"/>
      <c r="AR6084" s="231"/>
      <c r="AS6084" s="227"/>
      <c r="AT6084" s="227"/>
      <c r="AU6084" s="227"/>
      <c r="AV6084" s="227"/>
      <c r="AW6084" s="227"/>
      <c r="AX6084" s="227"/>
      <c r="AY6084" s="227"/>
      <c r="AZ6084" s="227"/>
      <c r="BA6084" s="227"/>
      <c r="BB6084" s="227"/>
      <c r="BC6084" s="227"/>
      <c r="BD6084" s="227"/>
      <c r="BE6084" s="227"/>
      <c r="BF6084" s="227"/>
    </row>
    <row r="6085">
      <c r="A6085" s="227"/>
      <c r="B6085" s="348"/>
      <c r="C6085" s="227"/>
      <c r="D6085" s="227"/>
      <c r="E6085" s="231"/>
      <c r="F6085" s="348"/>
      <c r="G6085" s="227"/>
      <c r="H6085" s="227"/>
      <c r="I6085" s="227"/>
      <c r="J6085" s="227"/>
      <c r="K6085" s="227"/>
      <c r="L6085" s="348"/>
      <c r="M6085" s="348"/>
      <c r="N6085" s="227"/>
      <c r="O6085" s="227"/>
      <c r="P6085" s="231"/>
      <c r="Q6085" s="231"/>
      <c r="R6085" s="227"/>
      <c r="S6085" s="231"/>
      <c r="T6085" s="231"/>
      <c r="U6085" s="231"/>
      <c r="V6085" s="231"/>
      <c r="W6085" s="231"/>
      <c r="X6085" s="227"/>
      <c r="Y6085" s="348"/>
      <c r="Z6085" s="348"/>
      <c r="AA6085" s="348"/>
      <c r="AB6085" s="348"/>
      <c r="AC6085" s="227"/>
      <c r="AD6085" s="227"/>
      <c r="AE6085" s="231"/>
      <c r="AF6085" s="227"/>
      <c r="AG6085" s="348"/>
      <c r="AH6085" s="348"/>
      <c r="AI6085" s="348"/>
      <c r="AJ6085" s="348"/>
      <c r="AK6085" s="348"/>
      <c r="AL6085" s="348"/>
      <c r="AM6085" s="348"/>
      <c r="AN6085" s="348"/>
      <c r="AO6085" s="231"/>
      <c r="AP6085" s="231"/>
      <c r="AQ6085" s="227"/>
      <c r="AR6085" s="231"/>
      <c r="AS6085" s="227"/>
      <c r="AT6085" s="227"/>
      <c r="AU6085" s="227"/>
      <c r="AV6085" s="227"/>
      <c r="AW6085" s="227"/>
      <c r="AX6085" s="227"/>
      <c r="AY6085" s="227"/>
      <c r="AZ6085" s="227"/>
      <c r="BA6085" s="227"/>
      <c r="BB6085" s="227"/>
      <c r="BC6085" s="227"/>
      <c r="BD6085" s="227"/>
      <c r="BE6085" s="227"/>
      <c r="BF6085" s="227"/>
    </row>
    <row r="6086">
      <c r="A6086" s="227"/>
      <c r="B6086" s="348"/>
      <c r="C6086" s="227"/>
      <c r="D6086" s="227"/>
      <c r="E6086" s="231"/>
      <c r="F6086" s="348"/>
      <c r="G6086" s="227"/>
      <c r="H6086" s="227"/>
      <c r="I6086" s="227"/>
      <c r="J6086" s="227"/>
      <c r="K6086" s="227"/>
      <c r="L6086" s="348"/>
      <c r="M6086" s="348"/>
      <c r="N6086" s="227"/>
      <c r="O6086" s="227"/>
      <c r="P6086" s="231"/>
      <c r="Q6086" s="231"/>
      <c r="R6086" s="227"/>
      <c r="S6086" s="231"/>
      <c r="T6086" s="231"/>
      <c r="U6086" s="231"/>
      <c r="V6086" s="231"/>
      <c r="W6086" s="231"/>
      <c r="X6086" s="227"/>
      <c r="Y6086" s="348"/>
      <c r="Z6086" s="348"/>
      <c r="AA6086" s="348"/>
      <c r="AB6086" s="348"/>
      <c r="AC6086" s="227"/>
      <c r="AD6086" s="227"/>
      <c r="AE6086" s="231"/>
      <c r="AF6086" s="227"/>
      <c r="AG6086" s="348"/>
      <c r="AH6086" s="348"/>
      <c r="AI6086" s="348"/>
      <c r="AJ6086" s="348"/>
      <c r="AK6086" s="348"/>
      <c r="AL6086" s="348"/>
      <c r="AM6086" s="348"/>
      <c r="AN6086" s="348"/>
      <c r="AO6086" s="231"/>
      <c r="AP6086" s="231"/>
      <c r="AQ6086" s="227"/>
      <c r="AR6086" s="231"/>
      <c r="AS6086" s="227"/>
      <c r="AT6086" s="227"/>
      <c r="AU6086" s="227"/>
      <c r="AV6086" s="227"/>
      <c r="AW6086" s="227"/>
      <c r="AX6086" s="227"/>
      <c r="AY6086" s="227"/>
      <c r="AZ6086" s="227"/>
      <c r="BA6086" s="227"/>
      <c r="BB6086" s="227"/>
      <c r="BC6086" s="227"/>
      <c r="BD6086" s="227"/>
      <c r="BE6086" s="227"/>
      <c r="BF6086" s="227"/>
    </row>
    <row r="6087">
      <c r="A6087" s="227"/>
      <c r="B6087" s="348"/>
      <c r="C6087" s="227"/>
      <c r="D6087" s="227"/>
      <c r="E6087" s="231"/>
      <c r="F6087" s="348"/>
      <c r="G6087" s="227"/>
      <c r="H6087" s="227"/>
      <c r="I6087" s="227"/>
      <c r="J6087" s="227"/>
      <c r="K6087" s="227"/>
      <c r="L6087" s="348"/>
      <c r="M6087" s="348"/>
      <c r="N6087" s="227"/>
      <c r="O6087" s="227"/>
      <c r="P6087" s="231"/>
      <c r="Q6087" s="231"/>
      <c r="R6087" s="227"/>
      <c r="S6087" s="231"/>
      <c r="T6087" s="231"/>
      <c r="U6087" s="231"/>
      <c r="V6087" s="231"/>
      <c r="W6087" s="231"/>
      <c r="X6087" s="227"/>
      <c r="Y6087" s="348"/>
      <c r="Z6087" s="348"/>
      <c r="AA6087" s="348"/>
      <c r="AB6087" s="348"/>
      <c r="AC6087" s="227"/>
      <c r="AD6087" s="227"/>
      <c r="AE6087" s="231"/>
      <c r="AF6087" s="227"/>
      <c r="AG6087" s="348"/>
      <c r="AH6087" s="348"/>
      <c r="AI6087" s="348"/>
      <c r="AJ6087" s="348"/>
      <c r="AK6087" s="348"/>
      <c r="AL6087" s="348"/>
      <c r="AM6087" s="348"/>
      <c r="AN6087" s="348"/>
      <c r="AO6087" s="231"/>
      <c r="AP6087" s="231"/>
      <c r="AQ6087" s="227"/>
      <c r="AR6087" s="231"/>
      <c r="AS6087" s="227"/>
      <c r="AT6087" s="227"/>
      <c r="AU6087" s="227"/>
      <c r="AV6087" s="227"/>
      <c r="AW6087" s="227"/>
      <c r="AX6087" s="227"/>
      <c r="AY6087" s="227"/>
      <c r="AZ6087" s="227"/>
      <c r="BA6087" s="227"/>
      <c r="BB6087" s="227"/>
      <c r="BC6087" s="227"/>
      <c r="BD6087" s="227"/>
      <c r="BE6087" s="227"/>
      <c r="BF6087" s="227"/>
    </row>
    <row r="6088">
      <c r="A6088" s="227"/>
      <c r="B6088" s="348"/>
      <c r="C6088" s="227"/>
      <c r="D6088" s="227"/>
      <c r="E6088" s="231"/>
      <c r="F6088" s="348"/>
      <c r="G6088" s="227"/>
      <c r="H6088" s="227"/>
      <c r="I6088" s="227"/>
      <c r="J6088" s="227"/>
      <c r="K6088" s="227"/>
      <c r="L6088" s="348"/>
      <c r="M6088" s="348"/>
      <c r="N6088" s="227"/>
      <c r="O6088" s="227"/>
      <c r="P6088" s="231"/>
      <c r="Q6088" s="231"/>
      <c r="R6088" s="227"/>
      <c r="S6088" s="231"/>
      <c r="T6088" s="231"/>
      <c r="U6088" s="231"/>
      <c r="V6088" s="231"/>
      <c r="W6088" s="231"/>
      <c r="X6088" s="227"/>
      <c r="Y6088" s="348"/>
      <c r="Z6088" s="348"/>
      <c r="AA6088" s="348"/>
      <c r="AB6088" s="348"/>
      <c r="AC6088" s="227"/>
      <c r="AD6088" s="227"/>
      <c r="AE6088" s="231"/>
      <c r="AF6088" s="227"/>
      <c r="AG6088" s="348"/>
      <c r="AH6088" s="348"/>
      <c r="AI6088" s="348"/>
      <c r="AJ6088" s="348"/>
      <c r="AK6088" s="348"/>
      <c r="AL6088" s="348"/>
      <c r="AM6088" s="348"/>
      <c r="AN6088" s="348"/>
      <c r="AO6088" s="231"/>
      <c r="AP6088" s="231"/>
      <c r="AQ6088" s="227"/>
      <c r="AR6088" s="231"/>
      <c r="AS6088" s="227"/>
      <c r="AT6088" s="227"/>
      <c r="AU6088" s="227"/>
      <c r="AV6088" s="227"/>
      <c r="AW6088" s="227"/>
      <c r="AX6088" s="227"/>
      <c r="AY6088" s="227"/>
      <c r="AZ6088" s="227"/>
      <c r="BA6088" s="227"/>
      <c r="BB6088" s="227"/>
      <c r="BC6088" s="227"/>
      <c r="BD6088" s="227"/>
      <c r="BE6088" s="227"/>
      <c r="BF6088" s="227"/>
    </row>
    <row r="6089">
      <c r="A6089" s="227"/>
      <c r="B6089" s="348"/>
      <c r="C6089" s="227"/>
      <c r="D6089" s="227"/>
      <c r="E6089" s="231"/>
      <c r="F6089" s="348"/>
      <c r="G6089" s="227"/>
      <c r="H6089" s="227"/>
      <c r="I6089" s="227"/>
      <c r="J6089" s="227"/>
      <c r="K6089" s="227"/>
      <c r="L6089" s="348"/>
      <c r="M6089" s="348"/>
      <c r="N6089" s="227"/>
      <c r="O6089" s="227"/>
      <c r="P6089" s="231"/>
      <c r="Q6089" s="231"/>
      <c r="R6089" s="227"/>
      <c r="S6089" s="231"/>
      <c r="T6089" s="231"/>
      <c r="U6089" s="231"/>
      <c r="V6089" s="231"/>
      <c r="W6089" s="231"/>
      <c r="X6089" s="227"/>
      <c r="Y6089" s="348"/>
      <c r="Z6089" s="348"/>
      <c r="AA6089" s="348"/>
      <c r="AB6089" s="348"/>
      <c r="AC6089" s="227"/>
      <c r="AD6089" s="227"/>
      <c r="AE6089" s="231"/>
      <c r="AF6089" s="227"/>
      <c r="AG6089" s="348"/>
      <c r="AH6089" s="348"/>
      <c r="AI6089" s="348"/>
      <c r="AJ6089" s="348"/>
      <c r="AK6089" s="348"/>
      <c r="AL6089" s="348"/>
      <c r="AM6089" s="348"/>
      <c r="AN6089" s="348"/>
      <c r="AO6089" s="231"/>
      <c r="AP6089" s="231"/>
      <c r="AQ6089" s="227"/>
      <c r="AR6089" s="231"/>
      <c r="AS6089" s="227"/>
      <c r="AT6089" s="227"/>
      <c r="AU6089" s="227"/>
      <c r="AV6089" s="227"/>
      <c r="AW6089" s="227"/>
      <c r="AX6089" s="227"/>
      <c r="AY6089" s="227"/>
      <c r="AZ6089" s="227"/>
      <c r="BA6089" s="227"/>
      <c r="BB6089" s="227"/>
      <c r="BC6089" s="227"/>
      <c r="BD6089" s="227"/>
      <c r="BE6089" s="227"/>
      <c r="BF6089" s="227"/>
    </row>
    <row r="6090">
      <c r="A6090" s="227"/>
      <c r="B6090" s="348"/>
      <c r="C6090" s="227"/>
      <c r="D6090" s="227"/>
      <c r="E6090" s="231"/>
      <c r="F6090" s="348"/>
      <c r="G6090" s="227"/>
      <c r="H6090" s="227"/>
      <c r="I6090" s="227"/>
      <c r="J6090" s="227"/>
      <c r="K6090" s="227"/>
      <c r="L6090" s="348"/>
      <c r="M6090" s="348"/>
      <c r="N6090" s="227"/>
      <c r="O6090" s="227"/>
      <c r="P6090" s="231"/>
      <c r="Q6090" s="231"/>
      <c r="R6090" s="227"/>
      <c r="S6090" s="231"/>
      <c r="T6090" s="231"/>
      <c r="U6090" s="231"/>
      <c r="V6090" s="231"/>
      <c r="W6090" s="231"/>
      <c r="X6090" s="227"/>
      <c r="Y6090" s="348"/>
      <c r="Z6090" s="348"/>
      <c r="AA6090" s="348"/>
      <c r="AB6090" s="348"/>
      <c r="AC6090" s="227"/>
      <c r="AD6090" s="227"/>
      <c r="AE6090" s="231"/>
      <c r="AF6090" s="227"/>
      <c r="AG6090" s="348"/>
      <c r="AH6090" s="348"/>
      <c r="AI6090" s="348"/>
      <c r="AJ6090" s="348"/>
      <c r="AK6090" s="348"/>
      <c r="AL6090" s="348"/>
      <c r="AM6090" s="348"/>
      <c r="AN6090" s="348"/>
      <c r="AO6090" s="231"/>
      <c r="AP6090" s="231"/>
      <c r="AQ6090" s="227"/>
      <c r="AR6090" s="231"/>
      <c r="AS6090" s="227"/>
      <c r="AT6090" s="227"/>
      <c r="AU6090" s="227"/>
      <c r="AV6090" s="227"/>
      <c r="AW6090" s="227"/>
      <c r="AX6090" s="227"/>
      <c r="AY6090" s="227"/>
      <c r="AZ6090" s="227"/>
      <c r="BA6090" s="227"/>
      <c r="BB6090" s="227"/>
      <c r="BC6090" s="227"/>
      <c r="BD6090" s="227"/>
      <c r="BE6090" s="227"/>
      <c r="BF6090" s="227"/>
    </row>
    <row r="6091">
      <c r="A6091" s="227"/>
      <c r="B6091" s="348"/>
      <c r="C6091" s="227"/>
      <c r="D6091" s="227"/>
      <c r="E6091" s="231"/>
      <c r="F6091" s="348"/>
      <c r="G6091" s="227"/>
      <c r="H6091" s="227"/>
      <c r="I6091" s="227"/>
      <c r="J6091" s="227"/>
      <c r="K6091" s="227"/>
      <c r="L6091" s="348"/>
      <c r="M6091" s="348"/>
      <c r="N6091" s="227"/>
      <c r="O6091" s="227"/>
      <c r="P6091" s="231"/>
      <c r="Q6091" s="231"/>
      <c r="R6091" s="227"/>
      <c r="S6091" s="231"/>
      <c r="T6091" s="231"/>
      <c r="U6091" s="231"/>
      <c r="V6091" s="231"/>
      <c r="W6091" s="231"/>
      <c r="X6091" s="227"/>
      <c r="Y6091" s="348"/>
      <c r="Z6091" s="348"/>
      <c r="AA6091" s="348"/>
      <c r="AB6091" s="348"/>
      <c r="AC6091" s="227"/>
      <c r="AD6091" s="227"/>
      <c r="AE6091" s="231"/>
      <c r="AF6091" s="227"/>
      <c r="AG6091" s="348"/>
      <c r="AH6091" s="348"/>
      <c r="AI6091" s="348"/>
      <c r="AJ6091" s="348"/>
      <c r="AK6091" s="348"/>
      <c r="AL6091" s="348"/>
      <c r="AM6091" s="348"/>
      <c r="AN6091" s="348"/>
      <c r="AO6091" s="231"/>
      <c r="AP6091" s="231"/>
      <c r="AQ6091" s="227"/>
      <c r="AR6091" s="231"/>
      <c r="AS6091" s="227"/>
      <c r="AT6091" s="227"/>
      <c r="AU6091" s="227"/>
      <c r="AV6091" s="227"/>
      <c r="AW6091" s="227"/>
      <c r="AX6091" s="227"/>
      <c r="AY6091" s="227"/>
      <c r="AZ6091" s="227"/>
      <c r="BA6091" s="227"/>
      <c r="BB6091" s="227"/>
      <c r="BC6091" s="227"/>
      <c r="BD6091" s="227"/>
      <c r="BE6091" s="227"/>
      <c r="BF6091" s="227"/>
    </row>
    <row r="6092">
      <c r="A6092" s="227"/>
      <c r="B6092" s="348"/>
      <c r="C6092" s="227"/>
      <c r="D6092" s="227"/>
      <c r="E6092" s="231"/>
      <c r="F6092" s="348"/>
      <c r="G6092" s="227"/>
      <c r="H6092" s="227"/>
      <c r="I6092" s="227"/>
      <c r="J6092" s="227"/>
      <c r="K6092" s="227"/>
      <c r="L6092" s="348"/>
      <c r="M6092" s="348"/>
      <c r="N6092" s="227"/>
      <c r="O6092" s="227"/>
      <c r="P6092" s="231"/>
      <c r="Q6092" s="231"/>
      <c r="R6092" s="227"/>
      <c r="S6092" s="231"/>
      <c r="T6092" s="231"/>
      <c r="U6092" s="231"/>
      <c r="V6092" s="231"/>
      <c r="W6092" s="231"/>
      <c r="X6092" s="227"/>
      <c r="Y6092" s="348"/>
      <c r="Z6092" s="348"/>
      <c r="AA6092" s="348"/>
      <c r="AB6092" s="348"/>
      <c r="AC6092" s="227"/>
      <c r="AD6092" s="227"/>
      <c r="AE6092" s="231"/>
      <c r="AF6092" s="227"/>
      <c r="AG6092" s="348"/>
      <c r="AH6092" s="348"/>
      <c r="AI6092" s="348"/>
      <c r="AJ6092" s="348"/>
      <c r="AK6092" s="348"/>
      <c r="AL6092" s="348"/>
      <c r="AM6092" s="348"/>
      <c r="AN6092" s="348"/>
      <c r="AO6092" s="231"/>
      <c r="AP6092" s="231"/>
      <c r="AQ6092" s="227"/>
      <c r="AR6092" s="231"/>
      <c r="AS6092" s="227"/>
      <c r="AT6092" s="227"/>
      <c r="AU6092" s="227"/>
      <c r="AV6092" s="227"/>
      <c r="AW6092" s="227"/>
      <c r="AX6092" s="227"/>
      <c r="AY6092" s="227"/>
      <c r="AZ6092" s="227"/>
      <c r="BA6092" s="227"/>
      <c r="BB6092" s="227"/>
      <c r="BC6092" s="227"/>
      <c r="BD6092" s="227"/>
      <c r="BE6092" s="227"/>
      <c r="BF6092" s="227"/>
    </row>
    <row r="6093">
      <c r="A6093" s="227"/>
      <c r="B6093" s="348"/>
      <c r="C6093" s="227"/>
      <c r="D6093" s="227"/>
      <c r="E6093" s="231"/>
      <c r="F6093" s="348"/>
      <c r="G6093" s="227"/>
      <c r="H6093" s="227"/>
      <c r="I6093" s="227"/>
      <c r="J6093" s="227"/>
      <c r="K6093" s="227"/>
      <c r="L6093" s="348"/>
      <c r="M6093" s="348"/>
      <c r="N6093" s="227"/>
      <c r="O6093" s="227"/>
      <c r="P6093" s="231"/>
      <c r="Q6093" s="231"/>
      <c r="R6093" s="227"/>
      <c r="S6093" s="231"/>
      <c r="T6093" s="231"/>
      <c r="U6093" s="231"/>
      <c r="V6093" s="231"/>
      <c r="W6093" s="231"/>
      <c r="X6093" s="227"/>
      <c r="Y6093" s="348"/>
      <c r="Z6093" s="348"/>
      <c r="AA6093" s="348"/>
      <c r="AB6093" s="348"/>
      <c r="AC6093" s="227"/>
      <c r="AD6093" s="227"/>
      <c r="AE6093" s="231"/>
      <c r="AF6093" s="227"/>
      <c r="AG6093" s="348"/>
      <c r="AH6093" s="348"/>
      <c r="AI6093" s="348"/>
      <c r="AJ6093" s="348"/>
      <c r="AK6093" s="348"/>
      <c r="AL6093" s="348"/>
      <c r="AM6093" s="348"/>
      <c r="AN6093" s="348"/>
      <c r="AO6093" s="231"/>
      <c r="AP6093" s="231"/>
      <c r="AQ6093" s="227"/>
      <c r="AR6093" s="231"/>
      <c r="AS6093" s="227"/>
      <c r="AT6093" s="227"/>
      <c r="AU6093" s="227"/>
      <c r="AV6093" s="227"/>
      <c r="AW6093" s="227"/>
      <c r="AX6093" s="227"/>
      <c r="AY6093" s="227"/>
      <c r="AZ6093" s="227"/>
      <c r="BA6093" s="227"/>
      <c r="BB6093" s="227"/>
      <c r="BC6093" s="227"/>
      <c r="BD6093" s="227"/>
      <c r="BE6093" s="227"/>
      <c r="BF6093" s="227"/>
    </row>
    <row r="6094">
      <c r="A6094" s="227"/>
      <c r="B6094" s="348"/>
      <c r="C6094" s="227"/>
      <c r="D6094" s="227"/>
      <c r="E6094" s="231"/>
      <c r="F6094" s="348"/>
      <c r="G6094" s="227"/>
      <c r="H6094" s="227"/>
      <c r="I6094" s="227"/>
      <c r="J6094" s="227"/>
      <c r="K6094" s="227"/>
      <c r="L6094" s="348"/>
      <c r="M6094" s="348"/>
      <c r="N6094" s="227"/>
      <c r="O6094" s="227"/>
      <c r="P6094" s="231"/>
      <c r="Q6094" s="231"/>
      <c r="R6094" s="227"/>
      <c r="S6094" s="231"/>
      <c r="T6094" s="231"/>
      <c r="U6094" s="231"/>
      <c r="V6094" s="231"/>
      <c r="W6094" s="231"/>
      <c r="X6094" s="227"/>
      <c r="Y6094" s="348"/>
      <c r="Z6094" s="348"/>
      <c r="AA6094" s="348"/>
      <c r="AB6094" s="348"/>
      <c r="AC6094" s="227"/>
      <c r="AD6094" s="227"/>
      <c r="AE6094" s="231"/>
      <c r="AF6094" s="227"/>
      <c r="AG6094" s="348"/>
      <c r="AH6094" s="348"/>
      <c r="AI6094" s="348"/>
      <c r="AJ6094" s="348"/>
      <c r="AK6094" s="348"/>
      <c r="AL6094" s="348"/>
      <c r="AM6094" s="348"/>
      <c r="AN6094" s="348"/>
      <c r="AO6094" s="231"/>
      <c r="AP6094" s="231"/>
      <c r="AQ6094" s="227"/>
      <c r="AR6094" s="231"/>
      <c r="AS6094" s="227"/>
      <c r="AT6094" s="227"/>
      <c r="AU6094" s="227"/>
      <c r="AV6094" s="227"/>
      <c r="AW6094" s="227"/>
      <c r="AX6094" s="227"/>
      <c r="AY6094" s="227"/>
      <c r="AZ6094" s="227"/>
      <c r="BA6094" s="227"/>
      <c r="BB6094" s="227"/>
      <c r="BC6094" s="227"/>
      <c r="BD6094" s="227"/>
      <c r="BE6094" s="227"/>
      <c r="BF6094" s="227"/>
    </row>
    <row r="6095">
      <c r="A6095" s="227"/>
      <c r="B6095" s="348"/>
      <c r="C6095" s="227"/>
      <c r="D6095" s="227"/>
      <c r="E6095" s="231"/>
      <c r="F6095" s="348"/>
      <c r="G6095" s="227"/>
      <c r="H6095" s="227"/>
      <c r="I6095" s="227"/>
      <c r="J6095" s="227"/>
      <c r="K6095" s="227"/>
      <c r="L6095" s="348"/>
      <c r="M6095" s="348"/>
      <c r="N6095" s="227"/>
      <c r="O6095" s="227"/>
      <c r="P6095" s="231"/>
      <c r="Q6095" s="231"/>
      <c r="R6095" s="227"/>
      <c r="S6095" s="231"/>
      <c r="T6095" s="231"/>
      <c r="U6095" s="231"/>
      <c r="V6095" s="231"/>
      <c r="W6095" s="231"/>
      <c r="X6095" s="227"/>
      <c r="Y6095" s="348"/>
      <c r="Z6095" s="348"/>
      <c r="AA6095" s="348"/>
      <c r="AB6095" s="348"/>
      <c r="AC6095" s="227"/>
      <c r="AD6095" s="227"/>
      <c r="AE6095" s="231"/>
      <c r="AF6095" s="227"/>
      <c r="AG6095" s="348"/>
      <c r="AH6095" s="348"/>
      <c r="AI6095" s="348"/>
      <c r="AJ6095" s="348"/>
      <c r="AK6095" s="348"/>
      <c r="AL6095" s="348"/>
      <c r="AM6095" s="348"/>
      <c r="AN6095" s="348"/>
      <c r="AO6095" s="231"/>
      <c r="AP6095" s="231"/>
      <c r="AQ6095" s="227"/>
      <c r="AR6095" s="231"/>
      <c r="AS6095" s="227"/>
      <c r="AT6095" s="227"/>
      <c r="AU6095" s="227"/>
      <c r="AV6095" s="227"/>
      <c r="AW6095" s="227"/>
      <c r="AX6095" s="227"/>
      <c r="AY6095" s="227"/>
      <c r="AZ6095" s="227"/>
      <c r="BA6095" s="227"/>
      <c r="BB6095" s="227"/>
      <c r="BC6095" s="227"/>
      <c r="BD6095" s="227"/>
      <c r="BE6095" s="227"/>
      <c r="BF6095" s="227"/>
    </row>
    <row r="6096">
      <c r="A6096" s="227"/>
      <c r="B6096" s="348"/>
      <c r="C6096" s="227"/>
      <c r="D6096" s="227"/>
      <c r="E6096" s="231"/>
      <c r="F6096" s="348"/>
      <c r="G6096" s="227"/>
      <c r="H6096" s="227"/>
      <c r="I6096" s="227"/>
      <c r="J6096" s="227"/>
      <c r="K6096" s="227"/>
      <c r="L6096" s="348"/>
      <c r="M6096" s="348"/>
      <c r="N6096" s="227"/>
      <c r="O6096" s="227"/>
      <c r="P6096" s="231"/>
      <c r="Q6096" s="231"/>
      <c r="R6096" s="227"/>
      <c r="S6096" s="231"/>
      <c r="T6096" s="231"/>
      <c r="U6096" s="231"/>
      <c r="V6096" s="231"/>
      <c r="W6096" s="231"/>
      <c r="X6096" s="227"/>
      <c r="Y6096" s="348"/>
      <c r="Z6096" s="348"/>
      <c r="AA6096" s="348"/>
      <c r="AB6096" s="348"/>
      <c r="AC6096" s="227"/>
      <c r="AD6096" s="227"/>
      <c r="AE6096" s="231"/>
      <c r="AF6096" s="227"/>
      <c r="AG6096" s="348"/>
      <c r="AH6096" s="348"/>
      <c r="AI6096" s="348"/>
      <c r="AJ6096" s="348"/>
      <c r="AK6096" s="348"/>
      <c r="AL6096" s="348"/>
      <c r="AM6096" s="348"/>
      <c r="AN6096" s="348"/>
      <c r="AO6096" s="231"/>
      <c r="AP6096" s="231"/>
      <c r="AQ6096" s="227"/>
      <c r="AR6096" s="231"/>
      <c r="AS6096" s="227"/>
      <c r="AT6096" s="227"/>
      <c r="AU6096" s="227"/>
      <c r="AV6096" s="227"/>
      <c r="AW6096" s="227"/>
      <c r="AX6096" s="227"/>
      <c r="AY6096" s="227"/>
      <c r="AZ6096" s="227"/>
      <c r="BA6096" s="227"/>
      <c r="BB6096" s="227"/>
      <c r="BC6096" s="227"/>
      <c r="BD6096" s="227"/>
      <c r="BE6096" s="227"/>
      <c r="BF6096" s="227"/>
    </row>
    <row r="6097">
      <c r="A6097" s="227"/>
      <c r="B6097" s="348"/>
      <c r="C6097" s="227"/>
      <c r="D6097" s="227"/>
      <c r="E6097" s="231"/>
      <c r="F6097" s="348"/>
      <c r="G6097" s="227"/>
      <c r="H6097" s="227"/>
      <c r="I6097" s="227"/>
      <c r="J6097" s="227"/>
      <c r="K6097" s="227"/>
      <c r="L6097" s="348"/>
      <c r="M6097" s="348"/>
      <c r="N6097" s="227"/>
      <c r="O6097" s="227"/>
      <c r="P6097" s="231"/>
      <c r="Q6097" s="231"/>
      <c r="R6097" s="227"/>
      <c r="S6097" s="231"/>
      <c r="T6097" s="231"/>
      <c r="U6097" s="231"/>
      <c r="V6097" s="231"/>
      <c r="W6097" s="231"/>
      <c r="X6097" s="227"/>
      <c r="Y6097" s="348"/>
      <c r="Z6097" s="348"/>
      <c r="AA6097" s="348"/>
      <c r="AB6097" s="348"/>
      <c r="AC6097" s="227"/>
      <c r="AD6097" s="227"/>
      <c r="AE6097" s="231"/>
      <c r="AF6097" s="227"/>
      <c r="AG6097" s="348"/>
      <c r="AH6097" s="348"/>
      <c r="AI6097" s="348"/>
      <c r="AJ6097" s="348"/>
      <c r="AK6097" s="348"/>
      <c r="AL6097" s="348"/>
      <c r="AM6097" s="348"/>
      <c r="AN6097" s="348"/>
      <c r="AO6097" s="231"/>
      <c r="AP6097" s="231"/>
      <c r="AQ6097" s="227"/>
      <c r="AR6097" s="231"/>
      <c r="AS6097" s="227"/>
      <c r="AT6097" s="227"/>
      <c r="AU6097" s="227"/>
      <c r="AV6097" s="227"/>
      <c r="AW6097" s="227"/>
      <c r="AX6097" s="227"/>
      <c r="AY6097" s="227"/>
      <c r="AZ6097" s="227"/>
      <c r="BA6097" s="227"/>
      <c r="BB6097" s="227"/>
      <c r="BC6097" s="227"/>
      <c r="BD6097" s="227"/>
      <c r="BE6097" s="227"/>
      <c r="BF6097" s="227"/>
    </row>
    <row r="6098">
      <c r="A6098" s="227"/>
      <c r="B6098" s="348"/>
      <c r="C6098" s="227"/>
      <c r="D6098" s="227"/>
      <c r="E6098" s="231"/>
      <c r="F6098" s="348"/>
      <c r="G6098" s="227"/>
      <c r="H6098" s="227"/>
      <c r="I6098" s="227"/>
      <c r="J6098" s="227"/>
      <c r="K6098" s="227"/>
      <c r="L6098" s="348"/>
      <c r="M6098" s="348"/>
      <c r="N6098" s="227"/>
      <c r="O6098" s="227"/>
      <c r="P6098" s="231"/>
      <c r="Q6098" s="231"/>
      <c r="R6098" s="227"/>
      <c r="S6098" s="231"/>
      <c r="T6098" s="231"/>
      <c r="U6098" s="231"/>
      <c r="V6098" s="231"/>
      <c r="W6098" s="231"/>
      <c r="X6098" s="227"/>
      <c r="Y6098" s="348"/>
      <c r="Z6098" s="348"/>
      <c r="AA6098" s="348"/>
      <c r="AB6098" s="348"/>
      <c r="AC6098" s="227"/>
      <c r="AD6098" s="227"/>
      <c r="AE6098" s="231"/>
      <c r="AF6098" s="227"/>
      <c r="AG6098" s="348"/>
      <c r="AH6098" s="348"/>
      <c r="AI6098" s="348"/>
      <c r="AJ6098" s="348"/>
      <c r="AK6098" s="348"/>
      <c r="AL6098" s="348"/>
      <c r="AM6098" s="348"/>
      <c r="AN6098" s="348"/>
      <c r="AO6098" s="231"/>
      <c r="AP6098" s="231"/>
      <c r="AQ6098" s="227"/>
      <c r="AR6098" s="231"/>
      <c r="AS6098" s="227"/>
      <c r="AT6098" s="227"/>
      <c r="AU6098" s="227"/>
      <c r="AV6098" s="227"/>
      <c r="AW6098" s="227"/>
      <c r="AX6098" s="227"/>
      <c r="AY6098" s="227"/>
      <c r="AZ6098" s="227"/>
      <c r="BA6098" s="227"/>
      <c r="BB6098" s="227"/>
      <c r="BC6098" s="227"/>
      <c r="BD6098" s="227"/>
      <c r="BE6098" s="227"/>
      <c r="BF6098" s="227"/>
    </row>
    <row r="6099">
      <c r="A6099" s="227"/>
      <c r="B6099" s="348"/>
      <c r="C6099" s="227"/>
      <c r="D6099" s="227"/>
      <c r="E6099" s="231"/>
      <c r="F6099" s="348"/>
      <c r="G6099" s="227"/>
      <c r="H6099" s="227"/>
      <c r="I6099" s="227"/>
      <c r="J6099" s="227"/>
      <c r="K6099" s="227"/>
      <c r="L6099" s="348"/>
      <c r="M6099" s="348"/>
      <c r="N6099" s="227"/>
      <c r="O6099" s="227"/>
      <c r="P6099" s="231"/>
      <c r="Q6099" s="231"/>
      <c r="R6099" s="227"/>
      <c r="S6099" s="231"/>
      <c r="T6099" s="231"/>
      <c r="U6099" s="231"/>
      <c r="V6099" s="231"/>
      <c r="W6099" s="231"/>
      <c r="X6099" s="227"/>
      <c r="Y6099" s="348"/>
      <c r="Z6099" s="348"/>
      <c r="AA6099" s="348"/>
      <c r="AB6099" s="348"/>
      <c r="AC6099" s="227"/>
      <c r="AD6099" s="227"/>
      <c r="AE6099" s="231"/>
      <c r="AF6099" s="227"/>
      <c r="AG6099" s="348"/>
      <c r="AH6099" s="348"/>
      <c r="AI6099" s="348"/>
      <c r="AJ6099" s="348"/>
      <c r="AK6099" s="348"/>
      <c r="AL6099" s="348"/>
      <c r="AM6099" s="348"/>
      <c r="AN6099" s="348"/>
      <c r="AO6099" s="231"/>
      <c r="AP6099" s="231"/>
      <c r="AQ6099" s="227"/>
      <c r="AR6099" s="231"/>
      <c r="AS6099" s="227"/>
      <c r="AT6099" s="227"/>
      <c r="AU6099" s="227"/>
      <c r="AV6099" s="227"/>
      <c r="AW6099" s="227"/>
      <c r="AX6099" s="227"/>
      <c r="AY6099" s="227"/>
      <c r="AZ6099" s="227"/>
      <c r="BA6099" s="227"/>
      <c r="BB6099" s="227"/>
      <c r="BC6099" s="227"/>
      <c r="BD6099" s="227"/>
      <c r="BE6099" s="227"/>
      <c r="BF6099" s="227"/>
    </row>
    <row r="6100">
      <c r="A6100" s="227"/>
      <c r="B6100" s="348"/>
      <c r="C6100" s="227"/>
      <c r="D6100" s="227"/>
      <c r="E6100" s="231"/>
      <c r="F6100" s="348"/>
      <c r="G6100" s="227"/>
      <c r="H6100" s="227"/>
      <c r="I6100" s="227"/>
      <c r="J6100" s="227"/>
      <c r="K6100" s="227"/>
      <c r="L6100" s="348"/>
      <c r="M6100" s="348"/>
      <c r="N6100" s="227"/>
      <c r="O6100" s="227"/>
      <c r="P6100" s="231"/>
      <c r="Q6100" s="231"/>
      <c r="R6100" s="227"/>
      <c r="S6100" s="231"/>
      <c r="T6100" s="231"/>
      <c r="U6100" s="231"/>
      <c r="V6100" s="231"/>
      <c r="W6100" s="231"/>
      <c r="X6100" s="227"/>
      <c r="Y6100" s="348"/>
      <c r="Z6100" s="348"/>
      <c r="AA6100" s="348"/>
      <c r="AB6100" s="348"/>
      <c r="AC6100" s="227"/>
      <c r="AD6100" s="227"/>
      <c r="AE6100" s="231"/>
      <c r="AF6100" s="227"/>
      <c r="AG6100" s="348"/>
      <c r="AH6100" s="348"/>
      <c r="AI6100" s="348"/>
      <c r="AJ6100" s="348"/>
      <c r="AK6100" s="348"/>
      <c r="AL6100" s="348"/>
      <c r="AM6100" s="348"/>
      <c r="AN6100" s="348"/>
      <c r="AO6100" s="231"/>
      <c r="AP6100" s="231"/>
      <c r="AQ6100" s="227"/>
      <c r="AR6100" s="231"/>
      <c r="AS6100" s="227"/>
      <c r="AT6100" s="227"/>
      <c r="AU6100" s="227"/>
      <c r="AV6100" s="227"/>
      <c r="AW6100" s="227"/>
      <c r="AX6100" s="227"/>
      <c r="AY6100" s="227"/>
      <c r="AZ6100" s="227"/>
      <c r="BA6100" s="227"/>
      <c r="BB6100" s="227"/>
      <c r="BC6100" s="227"/>
      <c r="BD6100" s="227"/>
      <c r="BE6100" s="227"/>
      <c r="BF6100" s="227"/>
    </row>
    <row r="6101">
      <c r="A6101" s="227"/>
      <c r="B6101" s="348"/>
      <c r="C6101" s="227"/>
      <c r="D6101" s="227"/>
      <c r="E6101" s="231"/>
      <c r="F6101" s="348"/>
      <c r="G6101" s="227"/>
      <c r="H6101" s="227"/>
      <c r="I6101" s="227"/>
      <c r="J6101" s="227"/>
      <c r="K6101" s="227"/>
      <c r="L6101" s="348"/>
      <c r="M6101" s="348"/>
      <c r="N6101" s="227"/>
      <c r="O6101" s="227"/>
      <c r="P6101" s="231"/>
      <c r="Q6101" s="231"/>
      <c r="R6101" s="227"/>
      <c r="S6101" s="231"/>
      <c r="T6101" s="231"/>
      <c r="U6101" s="231"/>
      <c r="V6101" s="231"/>
      <c r="W6101" s="231"/>
      <c r="X6101" s="227"/>
      <c r="Y6101" s="348"/>
      <c r="Z6101" s="348"/>
      <c r="AA6101" s="348"/>
      <c r="AB6101" s="348"/>
      <c r="AC6101" s="227"/>
      <c r="AD6101" s="227"/>
      <c r="AE6101" s="231"/>
      <c r="AF6101" s="227"/>
      <c r="AG6101" s="348"/>
      <c r="AH6101" s="348"/>
      <c r="AI6101" s="348"/>
      <c r="AJ6101" s="348"/>
      <c r="AK6101" s="348"/>
      <c r="AL6101" s="348"/>
      <c r="AM6101" s="348"/>
      <c r="AN6101" s="348"/>
      <c r="AO6101" s="231"/>
      <c r="AP6101" s="231"/>
      <c r="AQ6101" s="227"/>
      <c r="AR6101" s="231"/>
      <c r="AS6101" s="227"/>
      <c r="AT6101" s="227"/>
      <c r="AU6101" s="227"/>
      <c r="AV6101" s="227"/>
      <c r="AW6101" s="227"/>
      <c r="AX6101" s="227"/>
      <c r="AY6101" s="227"/>
      <c r="AZ6101" s="227"/>
      <c r="BA6101" s="227"/>
      <c r="BB6101" s="227"/>
      <c r="BC6101" s="227"/>
      <c r="BD6101" s="227"/>
      <c r="BE6101" s="227"/>
      <c r="BF6101" s="227"/>
    </row>
    <row r="6102">
      <c r="A6102" s="227"/>
      <c r="B6102" s="348"/>
      <c r="C6102" s="227"/>
      <c r="D6102" s="227"/>
      <c r="E6102" s="231"/>
      <c r="F6102" s="348"/>
      <c r="G6102" s="227"/>
      <c r="H6102" s="227"/>
      <c r="I6102" s="227"/>
      <c r="J6102" s="227"/>
      <c r="K6102" s="227"/>
      <c r="L6102" s="348"/>
      <c r="M6102" s="348"/>
      <c r="N6102" s="227"/>
      <c r="O6102" s="227"/>
      <c r="P6102" s="231"/>
      <c r="Q6102" s="231"/>
      <c r="R6102" s="227"/>
      <c r="S6102" s="231"/>
      <c r="T6102" s="231"/>
      <c r="U6102" s="231"/>
      <c r="V6102" s="231"/>
      <c r="W6102" s="231"/>
      <c r="X6102" s="227"/>
      <c r="Y6102" s="348"/>
      <c r="Z6102" s="348"/>
      <c r="AA6102" s="348"/>
      <c r="AB6102" s="348"/>
      <c r="AC6102" s="227"/>
      <c r="AD6102" s="227"/>
      <c r="AE6102" s="231"/>
      <c r="AF6102" s="227"/>
      <c r="AG6102" s="348"/>
      <c r="AH6102" s="348"/>
      <c r="AI6102" s="348"/>
      <c r="AJ6102" s="348"/>
      <c r="AK6102" s="348"/>
      <c r="AL6102" s="348"/>
      <c r="AM6102" s="348"/>
      <c r="AN6102" s="348"/>
      <c r="AO6102" s="231"/>
      <c r="AP6102" s="231"/>
      <c r="AQ6102" s="227"/>
      <c r="AR6102" s="231"/>
      <c r="AS6102" s="227"/>
      <c r="AT6102" s="227"/>
      <c r="AU6102" s="227"/>
      <c r="AV6102" s="227"/>
      <c r="AW6102" s="227"/>
      <c r="AX6102" s="227"/>
      <c r="AY6102" s="227"/>
      <c r="AZ6102" s="227"/>
      <c r="BA6102" s="227"/>
      <c r="BB6102" s="227"/>
      <c r="BC6102" s="227"/>
      <c r="BD6102" s="227"/>
      <c r="BE6102" s="227"/>
      <c r="BF6102" s="227"/>
    </row>
    <row r="6103">
      <c r="A6103" s="227"/>
      <c r="B6103" s="348"/>
      <c r="C6103" s="227"/>
      <c r="D6103" s="227"/>
      <c r="E6103" s="231"/>
      <c r="F6103" s="348"/>
      <c r="G6103" s="227"/>
      <c r="H6103" s="227"/>
      <c r="I6103" s="227"/>
      <c r="J6103" s="227"/>
      <c r="K6103" s="227"/>
      <c r="L6103" s="348"/>
      <c r="M6103" s="348"/>
      <c r="N6103" s="227"/>
      <c r="O6103" s="227"/>
      <c r="P6103" s="231"/>
      <c r="Q6103" s="231"/>
      <c r="R6103" s="227"/>
      <c r="S6103" s="231"/>
      <c r="T6103" s="231"/>
      <c r="U6103" s="231"/>
      <c r="V6103" s="231"/>
      <c r="W6103" s="231"/>
      <c r="X6103" s="227"/>
      <c r="Y6103" s="348"/>
      <c r="Z6103" s="348"/>
      <c r="AA6103" s="348"/>
      <c r="AB6103" s="348"/>
      <c r="AC6103" s="227"/>
      <c r="AD6103" s="227"/>
      <c r="AE6103" s="231"/>
      <c r="AF6103" s="227"/>
      <c r="AG6103" s="348"/>
      <c r="AH6103" s="348"/>
      <c r="AI6103" s="348"/>
      <c r="AJ6103" s="348"/>
      <c r="AK6103" s="348"/>
      <c r="AL6103" s="348"/>
      <c r="AM6103" s="348"/>
      <c r="AN6103" s="348"/>
      <c r="AO6103" s="231"/>
      <c r="AP6103" s="231"/>
      <c r="AQ6103" s="227"/>
      <c r="AR6103" s="231"/>
      <c r="AS6103" s="227"/>
      <c r="AT6103" s="227"/>
      <c r="AU6103" s="227"/>
      <c r="AV6103" s="227"/>
      <c r="AW6103" s="227"/>
      <c r="AX6103" s="227"/>
      <c r="AY6103" s="227"/>
      <c r="AZ6103" s="227"/>
      <c r="BA6103" s="227"/>
      <c r="BB6103" s="227"/>
      <c r="BC6103" s="227"/>
      <c r="BD6103" s="227"/>
      <c r="BE6103" s="227"/>
      <c r="BF6103" s="227"/>
    </row>
    <row r="6104">
      <c r="A6104" s="227"/>
      <c r="B6104" s="348"/>
      <c r="C6104" s="227"/>
      <c r="D6104" s="227"/>
      <c r="E6104" s="231"/>
      <c r="F6104" s="348"/>
      <c r="G6104" s="227"/>
      <c r="H6104" s="227"/>
      <c r="I6104" s="227"/>
      <c r="J6104" s="227"/>
      <c r="K6104" s="227"/>
      <c r="L6104" s="348"/>
      <c r="M6104" s="348"/>
      <c r="N6104" s="227"/>
      <c r="O6104" s="227"/>
      <c r="P6104" s="231"/>
      <c r="Q6104" s="231"/>
      <c r="R6104" s="227"/>
      <c r="S6104" s="231"/>
      <c r="T6104" s="231"/>
      <c r="U6104" s="231"/>
      <c r="V6104" s="231"/>
      <c r="W6104" s="231"/>
      <c r="X6104" s="227"/>
      <c r="Y6104" s="348"/>
      <c r="Z6104" s="348"/>
      <c r="AA6104" s="348"/>
      <c r="AB6104" s="348"/>
      <c r="AC6104" s="227"/>
      <c r="AD6104" s="227"/>
      <c r="AE6104" s="231"/>
      <c r="AF6104" s="227"/>
      <c r="AG6104" s="348"/>
      <c r="AH6104" s="348"/>
      <c r="AI6104" s="348"/>
      <c r="AJ6104" s="348"/>
      <c r="AK6104" s="348"/>
      <c r="AL6104" s="348"/>
      <c r="AM6104" s="348"/>
      <c r="AN6104" s="348"/>
      <c r="AO6104" s="231"/>
      <c r="AP6104" s="231"/>
      <c r="AQ6104" s="227"/>
      <c r="AR6104" s="231"/>
      <c r="AS6104" s="227"/>
      <c r="AT6104" s="227"/>
      <c r="AU6104" s="227"/>
      <c r="AV6104" s="227"/>
      <c r="AW6104" s="227"/>
      <c r="AX6104" s="227"/>
      <c r="AY6104" s="227"/>
      <c r="AZ6104" s="227"/>
      <c r="BA6104" s="227"/>
      <c r="BB6104" s="227"/>
      <c r="BC6104" s="227"/>
      <c r="BD6104" s="227"/>
      <c r="BE6104" s="227"/>
      <c r="BF6104" s="227"/>
    </row>
    <row r="6105">
      <c r="A6105" s="227"/>
      <c r="B6105" s="348"/>
      <c r="C6105" s="227"/>
      <c r="D6105" s="227"/>
      <c r="E6105" s="231"/>
      <c r="F6105" s="348"/>
      <c r="G6105" s="227"/>
      <c r="H6105" s="227"/>
      <c r="I6105" s="227"/>
      <c r="J6105" s="227"/>
      <c r="K6105" s="227"/>
      <c r="L6105" s="348"/>
      <c r="M6105" s="348"/>
      <c r="N6105" s="227"/>
      <c r="O6105" s="227"/>
      <c r="P6105" s="231"/>
      <c r="Q6105" s="231"/>
      <c r="R6105" s="227"/>
      <c r="S6105" s="231"/>
      <c r="T6105" s="231"/>
      <c r="U6105" s="231"/>
      <c r="V6105" s="231"/>
      <c r="W6105" s="231"/>
      <c r="X6105" s="227"/>
      <c r="Y6105" s="348"/>
      <c r="Z6105" s="348"/>
      <c r="AA6105" s="348"/>
      <c r="AB6105" s="348"/>
      <c r="AC6105" s="227"/>
      <c r="AD6105" s="227"/>
      <c r="AE6105" s="231"/>
      <c r="AF6105" s="227"/>
      <c r="AG6105" s="348"/>
      <c r="AH6105" s="348"/>
      <c r="AI6105" s="348"/>
      <c r="AJ6105" s="348"/>
      <c r="AK6105" s="348"/>
      <c r="AL6105" s="348"/>
      <c r="AM6105" s="348"/>
      <c r="AN6105" s="348"/>
      <c r="AO6105" s="231"/>
      <c r="AP6105" s="231"/>
      <c r="AQ6105" s="227"/>
      <c r="AR6105" s="231"/>
      <c r="AS6105" s="227"/>
      <c r="AT6105" s="227"/>
      <c r="AU6105" s="227"/>
      <c r="AV6105" s="227"/>
      <c r="AW6105" s="227"/>
      <c r="AX6105" s="227"/>
      <c r="AY6105" s="227"/>
      <c r="AZ6105" s="227"/>
      <c r="BA6105" s="227"/>
      <c r="BB6105" s="227"/>
      <c r="BC6105" s="227"/>
      <c r="BD6105" s="227"/>
      <c r="BE6105" s="227"/>
      <c r="BF6105" s="227"/>
    </row>
    <row r="6106">
      <c r="A6106" s="227"/>
      <c r="B6106" s="348"/>
      <c r="C6106" s="227"/>
      <c r="D6106" s="227"/>
      <c r="E6106" s="231"/>
      <c r="F6106" s="348"/>
      <c r="G6106" s="227"/>
      <c r="H6106" s="227"/>
      <c r="I6106" s="227"/>
      <c r="J6106" s="227"/>
      <c r="K6106" s="227"/>
      <c r="L6106" s="348"/>
      <c r="M6106" s="348"/>
      <c r="N6106" s="227"/>
      <c r="O6106" s="227"/>
      <c r="P6106" s="231"/>
      <c r="Q6106" s="231"/>
      <c r="R6106" s="227"/>
      <c r="S6106" s="231"/>
      <c r="T6106" s="231"/>
      <c r="U6106" s="231"/>
      <c r="V6106" s="231"/>
      <c r="W6106" s="231"/>
      <c r="X6106" s="227"/>
      <c r="Y6106" s="348"/>
      <c r="Z6106" s="348"/>
      <c r="AA6106" s="348"/>
      <c r="AB6106" s="348"/>
      <c r="AC6106" s="227"/>
      <c r="AD6106" s="227"/>
      <c r="AE6106" s="231"/>
      <c r="AF6106" s="227"/>
      <c r="AG6106" s="348"/>
      <c r="AH6106" s="348"/>
      <c r="AI6106" s="348"/>
      <c r="AJ6106" s="348"/>
      <c r="AK6106" s="348"/>
      <c r="AL6106" s="348"/>
      <c r="AM6106" s="348"/>
      <c r="AN6106" s="348"/>
      <c r="AO6106" s="231"/>
      <c r="AP6106" s="231"/>
      <c r="AQ6106" s="227"/>
      <c r="AR6106" s="231"/>
      <c r="AS6106" s="227"/>
      <c r="AT6106" s="227"/>
      <c r="AU6106" s="227"/>
      <c r="AV6106" s="227"/>
      <c r="AW6106" s="227"/>
      <c r="AX6106" s="227"/>
      <c r="AY6106" s="227"/>
      <c r="AZ6106" s="227"/>
      <c r="BA6106" s="227"/>
      <c r="BB6106" s="227"/>
      <c r="BC6106" s="227"/>
      <c r="BD6106" s="227"/>
      <c r="BE6106" s="227"/>
      <c r="BF6106" s="227"/>
    </row>
    <row r="6107">
      <c r="A6107" s="227"/>
      <c r="B6107" s="348"/>
      <c r="C6107" s="227"/>
      <c r="D6107" s="227"/>
      <c r="E6107" s="231"/>
      <c r="F6107" s="348"/>
      <c r="G6107" s="227"/>
      <c r="H6107" s="227"/>
      <c r="I6107" s="227"/>
      <c r="J6107" s="227"/>
      <c r="K6107" s="227"/>
      <c r="L6107" s="348"/>
      <c r="M6107" s="348"/>
      <c r="N6107" s="227"/>
      <c r="O6107" s="227"/>
      <c r="P6107" s="231"/>
      <c r="Q6107" s="231"/>
      <c r="R6107" s="227"/>
      <c r="S6107" s="231"/>
      <c r="T6107" s="231"/>
      <c r="U6107" s="231"/>
      <c r="V6107" s="231"/>
      <c r="W6107" s="231"/>
      <c r="X6107" s="227"/>
      <c r="Y6107" s="348"/>
      <c r="Z6107" s="348"/>
      <c r="AA6107" s="348"/>
      <c r="AB6107" s="348"/>
      <c r="AC6107" s="227"/>
      <c r="AD6107" s="227"/>
      <c r="AE6107" s="231"/>
      <c r="AF6107" s="227"/>
      <c r="AG6107" s="348"/>
      <c r="AH6107" s="348"/>
      <c r="AI6107" s="348"/>
      <c r="AJ6107" s="348"/>
      <c r="AK6107" s="348"/>
      <c r="AL6107" s="348"/>
      <c r="AM6107" s="348"/>
      <c r="AN6107" s="348"/>
      <c r="AO6107" s="231"/>
      <c r="AP6107" s="231"/>
      <c r="AQ6107" s="227"/>
      <c r="AR6107" s="231"/>
      <c r="AS6107" s="227"/>
      <c r="AT6107" s="227"/>
      <c r="AU6107" s="227"/>
      <c r="AV6107" s="227"/>
      <c r="AW6107" s="227"/>
      <c r="AX6107" s="227"/>
      <c r="AY6107" s="227"/>
      <c r="AZ6107" s="227"/>
      <c r="BA6107" s="227"/>
      <c r="BB6107" s="227"/>
      <c r="BC6107" s="227"/>
      <c r="BD6107" s="227"/>
      <c r="BE6107" s="227"/>
      <c r="BF6107" s="227"/>
    </row>
    <row r="6108">
      <c r="A6108" s="227"/>
      <c r="B6108" s="348"/>
      <c r="C6108" s="227"/>
      <c r="D6108" s="227"/>
      <c r="E6108" s="231"/>
      <c r="F6108" s="348"/>
      <c r="G6108" s="227"/>
      <c r="H6108" s="227"/>
      <c r="I6108" s="227"/>
      <c r="J6108" s="227"/>
      <c r="K6108" s="227"/>
      <c r="L6108" s="348"/>
      <c r="M6108" s="348"/>
      <c r="N6108" s="227"/>
      <c r="O6108" s="227"/>
      <c r="P6108" s="231"/>
      <c r="Q6108" s="231"/>
      <c r="R6108" s="227"/>
      <c r="S6108" s="231"/>
      <c r="T6108" s="231"/>
      <c r="U6108" s="231"/>
      <c r="V6108" s="231"/>
      <c r="W6108" s="231"/>
      <c r="X6108" s="227"/>
      <c r="Y6108" s="348"/>
      <c r="Z6108" s="348"/>
      <c r="AA6108" s="348"/>
      <c r="AB6108" s="348"/>
      <c r="AC6108" s="227"/>
      <c r="AD6108" s="227"/>
      <c r="AE6108" s="231"/>
      <c r="AF6108" s="227"/>
      <c r="AG6108" s="348"/>
      <c r="AH6108" s="348"/>
      <c r="AI6108" s="348"/>
      <c r="AJ6108" s="348"/>
      <c r="AK6108" s="348"/>
      <c r="AL6108" s="348"/>
      <c r="AM6108" s="348"/>
      <c r="AN6108" s="348"/>
      <c r="AO6108" s="231"/>
      <c r="AP6108" s="231"/>
      <c r="AQ6108" s="227"/>
      <c r="AR6108" s="231"/>
      <c r="AS6108" s="227"/>
      <c r="AT6108" s="227"/>
      <c r="AU6108" s="227"/>
      <c r="AV6108" s="227"/>
      <c r="AW6108" s="227"/>
      <c r="AX6108" s="227"/>
      <c r="AY6108" s="227"/>
      <c r="AZ6108" s="227"/>
      <c r="BA6108" s="227"/>
      <c r="BB6108" s="227"/>
      <c r="BC6108" s="227"/>
      <c r="BD6108" s="227"/>
      <c r="BE6108" s="227"/>
      <c r="BF6108" s="227"/>
    </row>
    <row r="6109">
      <c r="A6109" s="227"/>
      <c r="B6109" s="348"/>
      <c r="C6109" s="227"/>
      <c r="D6109" s="227"/>
      <c r="E6109" s="231"/>
      <c r="F6109" s="348"/>
      <c r="G6109" s="227"/>
      <c r="H6109" s="227"/>
      <c r="I6109" s="227"/>
      <c r="J6109" s="227"/>
      <c r="K6109" s="227"/>
      <c r="L6109" s="348"/>
      <c r="M6109" s="348"/>
      <c r="N6109" s="227"/>
      <c r="O6109" s="227"/>
      <c r="P6109" s="231"/>
      <c r="Q6109" s="231"/>
      <c r="R6109" s="227"/>
      <c r="S6109" s="231"/>
      <c r="T6109" s="231"/>
      <c r="U6109" s="231"/>
      <c r="V6109" s="231"/>
      <c r="W6109" s="231"/>
      <c r="X6109" s="227"/>
      <c r="Y6109" s="348"/>
      <c r="Z6109" s="348"/>
      <c r="AA6109" s="348"/>
      <c r="AB6109" s="348"/>
      <c r="AC6109" s="227"/>
      <c r="AD6109" s="227"/>
      <c r="AE6109" s="231"/>
      <c r="AF6109" s="227"/>
      <c r="AG6109" s="348"/>
      <c r="AH6109" s="348"/>
      <c r="AI6109" s="348"/>
      <c r="AJ6109" s="348"/>
      <c r="AK6109" s="348"/>
      <c r="AL6109" s="348"/>
      <c r="AM6109" s="348"/>
      <c r="AN6109" s="348"/>
      <c r="AO6109" s="231"/>
      <c r="AP6109" s="231"/>
      <c r="AQ6109" s="227"/>
      <c r="AR6109" s="231"/>
      <c r="AS6109" s="227"/>
      <c r="AT6109" s="227"/>
      <c r="AU6109" s="227"/>
      <c r="AV6109" s="227"/>
      <c r="AW6109" s="227"/>
      <c r="AX6109" s="227"/>
      <c r="AY6109" s="227"/>
      <c r="AZ6109" s="227"/>
      <c r="BA6109" s="227"/>
      <c r="BB6109" s="227"/>
      <c r="BC6109" s="227"/>
      <c r="BD6109" s="227"/>
      <c r="BE6109" s="227"/>
      <c r="BF6109" s="227"/>
    </row>
    <row r="6110">
      <c r="A6110" s="227"/>
      <c r="B6110" s="348"/>
      <c r="C6110" s="227"/>
      <c r="D6110" s="227"/>
      <c r="E6110" s="231"/>
      <c r="F6110" s="348"/>
      <c r="G6110" s="227"/>
      <c r="H6110" s="227"/>
      <c r="I6110" s="227"/>
      <c r="J6110" s="227"/>
      <c r="K6110" s="227"/>
      <c r="L6110" s="348"/>
      <c r="M6110" s="348"/>
      <c r="N6110" s="227"/>
      <c r="O6110" s="227"/>
      <c r="P6110" s="231"/>
      <c r="Q6110" s="231"/>
      <c r="R6110" s="227"/>
      <c r="S6110" s="231"/>
      <c r="T6110" s="231"/>
      <c r="U6110" s="231"/>
      <c r="V6110" s="231"/>
      <c r="W6110" s="231"/>
      <c r="X6110" s="227"/>
      <c r="Y6110" s="348"/>
      <c r="Z6110" s="348"/>
      <c r="AA6110" s="348"/>
      <c r="AB6110" s="348"/>
      <c r="AC6110" s="227"/>
      <c r="AD6110" s="227"/>
      <c r="AE6110" s="231"/>
      <c r="AF6110" s="227"/>
      <c r="AG6110" s="348"/>
      <c r="AH6110" s="348"/>
      <c r="AI6110" s="348"/>
      <c r="AJ6110" s="348"/>
      <c r="AK6110" s="348"/>
      <c r="AL6110" s="348"/>
      <c r="AM6110" s="348"/>
      <c r="AN6110" s="348"/>
      <c r="AO6110" s="231"/>
      <c r="AP6110" s="231"/>
      <c r="AQ6110" s="227"/>
      <c r="AR6110" s="231"/>
      <c r="AS6110" s="227"/>
      <c r="AT6110" s="227"/>
      <c r="AU6110" s="227"/>
      <c r="AV6110" s="227"/>
      <c r="AW6110" s="227"/>
      <c r="AX6110" s="227"/>
      <c r="AY6110" s="227"/>
      <c r="AZ6110" s="227"/>
      <c r="BA6110" s="227"/>
      <c r="BB6110" s="227"/>
      <c r="BC6110" s="227"/>
      <c r="BD6110" s="227"/>
      <c r="BE6110" s="227"/>
      <c r="BF6110" s="227"/>
    </row>
    <row r="6111">
      <c r="A6111" s="227"/>
      <c r="B6111" s="348"/>
      <c r="C6111" s="227"/>
      <c r="D6111" s="227"/>
      <c r="E6111" s="231"/>
      <c r="F6111" s="348"/>
      <c r="G6111" s="227"/>
      <c r="H6111" s="227"/>
      <c r="I6111" s="227"/>
      <c r="J6111" s="227"/>
      <c r="K6111" s="227"/>
      <c r="L6111" s="348"/>
      <c r="M6111" s="348"/>
      <c r="N6111" s="227"/>
      <c r="O6111" s="227"/>
      <c r="P6111" s="231"/>
      <c r="Q6111" s="231"/>
      <c r="R6111" s="227"/>
      <c r="S6111" s="231"/>
      <c r="T6111" s="231"/>
      <c r="U6111" s="231"/>
      <c r="V6111" s="231"/>
      <c r="W6111" s="231"/>
      <c r="X6111" s="227"/>
      <c r="Y6111" s="348"/>
      <c r="Z6111" s="348"/>
      <c r="AA6111" s="348"/>
      <c r="AB6111" s="348"/>
      <c r="AC6111" s="227"/>
      <c r="AD6111" s="227"/>
      <c r="AE6111" s="231"/>
      <c r="AF6111" s="227"/>
      <c r="AG6111" s="348"/>
      <c r="AH6111" s="348"/>
      <c r="AI6111" s="348"/>
      <c r="AJ6111" s="348"/>
      <c r="AK6111" s="348"/>
      <c r="AL6111" s="348"/>
      <c r="AM6111" s="348"/>
      <c r="AN6111" s="348"/>
      <c r="AO6111" s="231"/>
      <c r="AP6111" s="231"/>
      <c r="AQ6111" s="227"/>
      <c r="AR6111" s="231"/>
      <c r="AS6111" s="227"/>
      <c r="AT6111" s="227"/>
      <c r="AU6111" s="227"/>
      <c r="AV6111" s="227"/>
      <c r="AW6111" s="227"/>
      <c r="AX6111" s="227"/>
      <c r="AY6111" s="227"/>
      <c r="AZ6111" s="227"/>
      <c r="BA6111" s="227"/>
      <c r="BB6111" s="227"/>
      <c r="BC6111" s="227"/>
      <c r="BD6111" s="227"/>
      <c r="BE6111" s="227"/>
      <c r="BF6111" s="227"/>
    </row>
    <row r="6112">
      <c r="A6112" s="227"/>
      <c r="B6112" s="348"/>
      <c r="C6112" s="227"/>
      <c r="D6112" s="227"/>
      <c r="E6112" s="231"/>
      <c r="F6112" s="348"/>
      <c r="G6112" s="227"/>
      <c r="H6112" s="227"/>
      <c r="I6112" s="227"/>
      <c r="J6112" s="227"/>
      <c r="K6112" s="227"/>
      <c r="L6112" s="348"/>
      <c r="M6112" s="348"/>
      <c r="N6112" s="227"/>
      <c r="O6112" s="227"/>
      <c r="P6112" s="231"/>
      <c r="Q6112" s="231"/>
      <c r="R6112" s="227"/>
      <c r="S6112" s="231"/>
      <c r="T6112" s="231"/>
      <c r="U6112" s="231"/>
      <c r="V6112" s="231"/>
      <c r="W6112" s="231"/>
      <c r="X6112" s="227"/>
      <c r="Y6112" s="348"/>
      <c r="Z6112" s="348"/>
      <c r="AA6112" s="348"/>
      <c r="AB6112" s="348"/>
      <c r="AC6112" s="227"/>
      <c r="AD6112" s="227"/>
      <c r="AE6112" s="231"/>
      <c r="AF6112" s="227"/>
      <c r="AG6112" s="348"/>
      <c r="AH6112" s="348"/>
      <c r="AI6112" s="348"/>
      <c r="AJ6112" s="348"/>
      <c r="AK6112" s="348"/>
      <c r="AL6112" s="348"/>
      <c r="AM6112" s="348"/>
      <c r="AN6112" s="348"/>
      <c r="AO6112" s="231"/>
      <c r="AP6112" s="231"/>
      <c r="AQ6112" s="227"/>
      <c r="AR6112" s="231"/>
      <c r="AS6112" s="227"/>
      <c r="AT6112" s="227"/>
      <c r="AU6112" s="227"/>
      <c r="AV6112" s="227"/>
      <c r="AW6112" s="227"/>
      <c r="AX6112" s="227"/>
      <c r="AY6112" s="227"/>
      <c r="AZ6112" s="227"/>
      <c r="BA6112" s="227"/>
      <c r="BB6112" s="227"/>
      <c r="BC6112" s="227"/>
      <c r="BD6112" s="227"/>
      <c r="BE6112" s="227"/>
      <c r="BF6112" s="227"/>
    </row>
    <row r="6113">
      <c r="A6113" s="227"/>
      <c r="B6113" s="348"/>
      <c r="C6113" s="227"/>
      <c r="D6113" s="227"/>
      <c r="E6113" s="231"/>
      <c r="F6113" s="348"/>
      <c r="G6113" s="227"/>
      <c r="H6113" s="227"/>
      <c r="I6113" s="227"/>
      <c r="J6113" s="227"/>
      <c r="K6113" s="227"/>
      <c r="L6113" s="348"/>
      <c r="M6113" s="348"/>
      <c r="N6113" s="227"/>
      <c r="O6113" s="227"/>
      <c r="P6113" s="231"/>
      <c r="Q6113" s="231"/>
      <c r="R6113" s="227"/>
      <c r="S6113" s="231"/>
      <c r="T6113" s="231"/>
      <c r="U6113" s="231"/>
      <c r="V6113" s="231"/>
      <c r="W6113" s="231"/>
      <c r="X6113" s="227"/>
      <c r="Y6113" s="348"/>
      <c r="Z6113" s="348"/>
      <c r="AA6113" s="348"/>
      <c r="AB6113" s="348"/>
      <c r="AC6113" s="227"/>
      <c r="AD6113" s="227"/>
      <c r="AE6113" s="231"/>
      <c r="AF6113" s="227"/>
      <c r="AG6113" s="348"/>
      <c r="AH6113" s="348"/>
      <c r="AI6113" s="348"/>
      <c r="AJ6113" s="348"/>
      <c r="AK6113" s="348"/>
      <c r="AL6113" s="348"/>
      <c r="AM6113" s="348"/>
      <c r="AN6113" s="348"/>
      <c r="AO6113" s="231"/>
      <c r="AP6113" s="231"/>
      <c r="AQ6113" s="227"/>
      <c r="AR6113" s="231"/>
      <c r="AS6113" s="227"/>
      <c r="AT6113" s="227"/>
      <c r="AU6113" s="227"/>
      <c r="AV6113" s="227"/>
      <c r="AW6113" s="227"/>
      <c r="AX6113" s="227"/>
      <c r="AY6113" s="227"/>
      <c r="AZ6113" s="227"/>
      <c r="BA6113" s="227"/>
      <c r="BB6113" s="227"/>
      <c r="BC6113" s="227"/>
      <c r="BD6113" s="227"/>
      <c r="BE6113" s="227"/>
      <c r="BF6113" s="227"/>
    </row>
    <row r="6114">
      <c r="A6114" s="227"/>
      <c r="B6114" s="348"/>
      <c r="C6114" s="227"/>
      <c r="D6114" s="227"/>
      <c r="E6114" s="231"/>
      <c r="F6114" s="348"/>
      <c r="G6114" s="227"/>
      <c r="H6114" s="227"/>
      <c r="I6114" s="227"/>
      <c r="J6114" s="227"/>
      <c r="K6114" s="227"/>
      <c r="L6114" s="348"/>
      <c r="M6114" s="348"/>
      <c r="N6114" s="227"/>
      <c r="O6114" s="227"/>
      <c r="P6114" s="231"/>
      <c r="Q6114" s="231"/>
      <c r="R6114" s="227"/>
      <c r="S6114" s="231"/>
      <c r="T6114" s="231"/>
      <c r="U6114" s="231"/>
      <c r="V6114" s="231"/>
      <c r="W6114" s="231"/>
      <c r="X6114" s="227"/>
      <c r="Y6114" s="348"/>
      <c r="Z6114" s="348"/>
      <c r="AA6114" s="348"/>
      <c r="AB6114" s="348"/>
      <c r="AC6114" s="227"/>
      <c r="AD6114" s="227"/>
      <c r="AE6114" s="231"/>
      <c r="AF6114" s="227"/>
      <c r="AG6114" s="348"/>
      <c r="AH6114" s="348"/>
      <c r="AI6114" s="348"/>
      <c r="AJ6114" s="348"/>
      <c r="AK6114" s="348"/>
      <c r="AL6114" s="348"/>
      <c r="AM6114" s="348"/>
      <c r="AN6114" s="348"/>
      <c r="AO6114" s="231"/>
      <c r="AP6114" s="231"/>
      <c r="AQ6114" s="227"/>
      <c r="AR6114" s="231"/>
      <c r="AS6114" s="227"/>
      <c r="AT6114" s="227"/>
      <c r="AU6114" s="227"/>
      <c r="AV6114" s="227"/>
      <c r="AW6114" s="227"/>
      <c r="AX6114" s="227"/>
      <c r="AY6114" s="227"/>
      <c r="AZ6114" s="227"/>
      <c r="BA6114" s="227"/>
      <c r="BB6114" s="227"/>
      <c r="BC6114" s="227"/>
      <c r="BD6114" s="227"/>
      <c r="BE6114" s="227"/>
      <c r="BF6114" s="227"/>
    </row>
    <row r="6115">
      <c r="A6115" s="227"/>
      <c r="B6115" s="348"/>
      <c r="C6115" s="227"/>
      <c r="D6115" s="227"/>
      <c r="E6115" s="231"/>
      <c r="F6115" s="348"/>
      <c r="G6115" s="227"/>
      <c r="H6115" s="227"/>
      <c r="I6115" s="227"/>
      <c r="J6115" s="227"/>
      <c r="K6115" s="227"/>
      <c r="L6115" s="348"/>
      <c r="M6115" s="348"/>
      <c r="N6115" s="227"/>
      <c r="O6115" s="227"/>
      <c r="P6115" s="231"/>
      <c r="Q6115" s="231"/>
      <c r="R6115" s="227"/>
      <c r="S6115" s="231"/>
      <c r="T6115" s="231"/>
      <c r="U6115" s="231"/>
      <c r="V6115" s="231"/>
      <c r="W6115" s="231"/>
      <c r="X6115" s="227"/>
      <c r="Y6115" s="348"/>
      <c r="Z6115" s="348"/>
      <c r="AA6115" s="348"/>
      <c r="AB6115" s="348"/>
      <c r="AC6115" s="227"/>
      <c r="AD6115" s="227"/>
      <c r="AE6115" s="231"/>
      <c r="AF6115" s="227"/>
      <c r="AG6115" s="348"/>
      <c r="AH6115" s="348"/>
      <c r="AI6115" s="348"/>
      <c r="AJ6115" s="348"/>
      <c r="AK6115" s="348"/>
      <c r="AL6115" s="348"/>
      <c r="AM6115" s="348"/>
      <c r="AN6115" s="348"/>
      <c r="AO6115" s="231"/>
      <c r="AP6115" s="231"/>
      <c r="AQ6115" s="227"/>
      <c r="AR6115" s="231"/>
      <c r="AS6115" s="227"/>
      <c r="AT6115" s="227"/>
      <c r="AU6115" s="227"/>
      <c r="AV6115" s="227"/>
      <c r="AW6115" s="227"/>
      <c r="AX6115" s="227"/>
      <c r="AY6115" s="227"/>
      <c r="AZ6115" s="227"/>
      <c r="BA6115" s="227"/>
      <c r="BB6115" s="227"/>
      <c r="BC6115" s="227"/>
      <c r="BD6115" s="227"/>
      <c r="BE6115" s="227"/>
      <c r="BF6115" s="227"/>
    </row>
    <row r="6116">
      <c r="A6116" s="227"/>
      <c r="B6116" s="348"/>
      <c r="C6116" s="227"/>
      <c r="D6116" s="227"/>
      <c r="E6116" s="231"/>
      <c r="F6116" s="348"/>
      <c r="G6116" s="227"/>
      <c r="H6116" s="227"/>
      <c r="I6116" s="227"/>
      <c r="J6116" s="227"/>
      <c r="K6116" s="227"/>
      <c r="L6116" s="348"/>
      <c r="M6116" s="348"/>
      <c r="N6116" s="227"/>
      <c r="O6116" s="227"/>
      <c r="P6116" s="231"/>
      <c r="Q6116" s="231"/>
      <c r="R6116" s="227"/>
      <c r="S6116" s="231"/>
      <c r="T6116" s="231"/>
      <c r="U6116" s="231"/>
      <c r="V6116" s="231"/>
      <c r="W6116" s="231"/>
      <c r="X6116" s="227"/>
      <c r="Y6116" s="348"/>
      <c r="Z6116" s="348"/>
      <c r="AA6116" s="348"/>
      <c r="AB6116" s="348"/>
      <c r="AC6116" s="227"/>
      <c r="AD6116" s="227"/>
      <c r="AE6116" s="231"/>
      <c r="AF6116" s="227"/>
      <c r="AG6116" s="348"/>
      <c r="AH6116" s="348"/>
      <c r="AI6116" s="348"/>
      <c r="AJ6116" s="348"/>
      <c r="AK6116" s="348"/>
      <c r="AL6116" s="348"/>
      <c r="AM6116" s="348"/>
      <c r="AN6116" s="348"/>
      <c r="AO6116" s="231"/>
      <c r="AP6116" s="231"/>
      <c r="AQ6116" s="227"/>
      <c r="AR6116" s="231"/>
      <c r="AS6116" s="227"/>
      <c r="AT6116" s="227"/>
      <c r="AU6116" s="227"/>
      <c r="AV6116" s="227"/>
      <c r="AW6116" s="227"/>
      <c r="AX6116" s="227"/>
      <c r="AY6116" s="227"/>
      <c r="AZ6116" s="227"/>
      <c r="BA6116" s="227"/>
      <c r="BB6116" s="227"/>
      <c r="BC6116" s="227"/>
      <c r="BD6116" s="227"/>
      <c r="BE6116" s="227"/>
      <c r="BF6116" s="227"/>
    </row>
    <row r="6117">
      <c r="A6117" s="227"/>
      <c r="B6117" s="348"/>
      <c r="C6117" s="227"/>
      <c r="D6117" s="227"/>
      <c r="E6117" s="231"/>
      <c r="F6117" s="348"/>
      <c r="G6117" s="227"/>
      <c r="H6117" s="227"/>
      <c r="I6117" s="227"/>
      <c r="J6117" s="227"/>
      <c r="K6117" s="227"/>
      <c r="L6117" s="348"/>
      <c r="M6117" s="348"/>
      <c r="N6117" s="227"/>
      <c r="O6117" s="227"/>
      <c r="P6117" s="231"/>
      <c r="Q6117" s="231"/>
      <c r="R6117" s="227"/>
      <c r="S6117" s="231"/>
      <c r="T6117" s="231"/>
      <c r="U6117" s="231"/>
      <c r="V6117" s="231"/>
      <c r="W6117" s="231"/>
      <c r="X6117" s="227"/>
      <c r="Y6117" s="348"/>
      <c r="Z6117" s="348"/>
      <c r="AA6117" s="348"/>
      <c r="AB6117" s="348"/>
      <c r="AC6117" s="227"/>
      <c r="AD6117" s="227"/>
      <c r="AE6117" s="231"/>
      <c r="AF6117" s="227"/>
      <c r="AG6117" s="348"/>
      <c r="AH6117" s="348"/>
      <c r="AI6117" s="348"/>
      <c r="AJ6117" s="348"/>
      <c r="AK6117" s="348"/>
      <c r="AL6117" s="348"/>
      <c r="AM6117" s="348"/>
      <c r="AN6117" s="348"/>
      <c r="AO6117" s="231"/>
      <c r="AP6117" s="231"/>
      <c r="AQ6117" s="227"/>
      <c r="AR6117" s="231"/>
      <c r="AS6117" s="227"/>
      <c r="AT6117" s="227"/>
      <c r="AU6117" s="227"/>
      <c r="AV6117" s="227"/>
      <c r="AW6117" s="227"/>
      <c r="AX6117" s="227"/>
      <c r="AY6117" s="227"/>
      <c r="AZ6117" s="227"/>
      <c r="BA6117" s="227"/>
      <c r="BB6117" s="227"/>
      <c r="BC6117" s="227"/>
      <c r="BD6117" s="227"/>
      <c r="BE6117" s="227"/>
      <c r="BF6117" s="227"/>
    </row>
    <row r="6118">
      <c r="A6118" s="227"/>
      <c r="B6118" s="348"/>
      <c r="C6118" s="227"/>
      <c r="D6118" s="227"/>
      <c r="E6118" s="231"/>
      <c r="F6118" s="348"/>
      <c r="G6118" s="227"/>
      <c r="H6118" s="227"/>
      <c r="I6118" s="227"/>
      <c r="J6118" s="227"/>
      <c r="K6118" s="227"/>
      <c r="L6118" s="348"/>
      <c r="M6118" s="348"/>
      <c r="N6118" s="227"/>
      <c r="O6118" s="227"/>
      <c r="P6118" s="231"/>
      <c r="Q6118" s="231"/>
      <c r="R6118" s="227"/>
      <c r="S6118" s="231"/>
      <c r="T6118" s="231"/>
      <c r="U6118" s="231"/>
      <c r="V6118" s="231"/>
      <c r="W6118" s="231"/>
      <c r="X6118" s="227"/>
      <c r="Y6118" s="348"/>
      <c r="Z6118" s="348"/>
      <c r="AA6118" s="348"/>
      <c r="AB6118" s="348"/>
      <c r="AC6118" s="227"/>
      <c r="AD6118" s="227"/>
      <c r="AE6118" s="231"/>
      <c r="AF6118" s="227"/>
      <c r="AG6118" s="348"/>
      <c r="AH6118" s="348"/>
      <c r="AI6118" s="348"/>
      <c r="AJ6118" s="348"/>
      <c r="AK6118" s="348"/>
      <c r="AL6118" s="348"/>
      <c r="AM6118" s="348"/>
      <c r="AN6118" s="348"/>
      <c r="AO6118" s="231"/>
      <c r="AP6118" s="231"/>
      <c r="AQ6118" s="227"/>
      <c r="AR6118" s="231"/>
      <c r="AS6118" s="227"/>
      <c r="AT6118" s="227"/>
      <c r="AU6118" s="227"/>
      <c r="AV6118" s="227"/>
      <c r="AW6118" s="227"/>
      <c r="AX6118" s="227"/>
      <c r="AY6118" s="227"/>
      <c r="AZ6118" s="227"/>
      <c r="BA6118" s="227"/>
      <c r="BB6118" s="227"/>
      <c r="BC6118" s="227"/>
      <c r="BD6118" s="227"/>
      <c r="BE6118" s="227"/>
      <c r="BF6118" s="227"/>
    </row>
    <row r="6119">
      <c r="A6119" s="227"/>
      <c r="B6119" s="348"/>
      <c r="C6119" s="227"/>
      <c r="D6119" s="227"/>
      <c r="E6119" s="231"/>
      <c r="F6119" s="348"/>
      <c r="G6119" s="227"/>
      <c r="H6119" s="227"/>
      <c r="I6119" s="227"/>
      <c r="J6119" s="227"/>
      <c r="K6119" s="227"/>
      <c r="L6119" s="348"/>
      <c r="M6119" s="348"/>
      <c r="N6119" s="227"/>
      <c r="O6119" s="227"/>
      <c r="P6119" s="231"/>
      <c r="Q6119" s="231"/>
      <c r="R6119" s="227"/>
      <c r="S6119" s="231"/>
      <c r="T6119" s="231"/>
      <c r="U6119" s="231"/>
      <c r="V6119" s="231"/>
      <c r="W6119" s="231"/>
      <c r="X6119" s="227"/>
      <c r="Y6119" s="348"/>
      <c r="Z6119" s="348"/>
      <c r="AA6119" s="348"/>
      <c r="AB6119" s="348"/>
      <c r="AC6119" s="227"/>
      <c r="AD6119" s="227"/>
      <c r="AE6119" s="231"/>
      <c r="AF6119" s="227"/>
      <c r="AG6119" s="348"/>
      <c r="AH6119" s="348"/>
      <c r="AI6119" s="348"/>
      <c r="AJ6119" s="348"/>
      <c r="AK6119" s="348"/>
      <c r="AL6119" s="348"/>
      <c r="AM6119" s="348"/>
      <c r="AN6119" s="348"/>
      <c r="AO6119" s="231"/>
      <c r="AP6119" s="231"/>
      <c r="AQ6119" s="227"/>
      <c r="AR6119" s="231"/>
      <c r="AS6119" s="227"/>
      <c r="AT6119" s="227"/>
      <c r="AU6119" s="227"/>
      <c r="AV6119" s="227"/>
      <c r="AW6119" s="227"/>
      <c r="AX6119" s="227"/>
      <c r="AY6119" s="227"/>
      <c r="AZ6119" s="227"/>
      <c r="BA6119" s="227"/>
      <c r="BB6119" s="227"/>
      <c r="BC6119" s="227"/>
      <c r="BD6119" s="227"/>
      <c r="BE6119" s="227"/>
      <c r="BF6119" s="227"/>
    </row>
    <row r="6120">
      <c r="A6120" s="227"/>
      <c r="B6120" s="348"/>
      <c r="C6120" s="227"/>
      <c r="D6120" s="227"/>
      <c r="E6120" s="231"/>
      <c r="F6120" s="348"/>
      <c r="G6120" s="227"/>
      <c r="H6120" s="227"/>
      <c r="I6120" s="227"/>
      <c r="J6120" s="227"/>
      <c r="K6120" s="227"/>
      <c r="L6120" s="348"/>
      <c r="M6120" s="348"/>
      <c r="N6120" s="227"/>
      <c r="O6120" s="227"/>
      <c r="P6120" s="231"/>
      <c r="Q6120" s="231"/>
      <c r="R6120" s="227"/>
      <c r="S6120" s="231"/>
      <c r="T6120" s="231"/>
      <c r="U6120" s="231"/>
      <c r="V6120" s="231"/>
      <c r="W6120" s="231"/>
      <c r="X6120" s="227"/>
      <c r="Y6120" s="348"/>
      <c r="Z6120" s="348"/>
      <c r="AA6120" s="348"/>
      <c r="AB6120" s="348"/>
      <c r="AC6120" s="227"/>
      <c r="AD6120" s="227"/>
      <c r="AE6120" s="231"/>
      <c r="AF6120" s="227"/>
      <c r="AG6120" s="348"/>
      <c r="AH6120" s="348"/>
      <c r="AI6120" s="348"/>
      <c r="AJ6120" s="348"/>
      <c r="AK6120" s="348"/>
      <c r="AL6120" s="348"/>
      <c r="AM6120" s="348"/>
      <c r="AN6120" s="348"/>
      <c r="AO6120" s="231"/>
      <c r="AP6120" s="231"/>
      <c r="AQ6120" s="227"/>
      <c r="AR6120" s="231"/>
      <c r="AS6120" s="227"/>
      <c r="AT6120" s="227"/>
      <c r="AU6120" s="227"/>
      <c r="AV6120" s="227"/>
      <c r="AW6120" s="227"/>
      <c r="AX6120" s="227"/>
      <c r="AY6120" s="227"/>
      <c r="AZ6120" s="227"/>
      <c r="BA6120" s="227"/>
      <c r="BB6120" s="227"/>
      <c r="BC6120" s="227"/>
      <c r="BD6120" s="227"/>
      <c r="BE6120" s="227"/>
      <c r="BF6120" s="227"/>
    </row>
    <row r="6121">
      <c r="A6121" s="227"/>
      <c r="B6121" s="348"/>
      <c r="C6121" s="227"/>
      <c r="D6121" s="227"/>
      <c r="E6121" s="231"/>
      <c r="F6121" s="348"/>
      <c r="G6121" s="227"/>
      <c r="H6121" s="227"/>
      <c r="I6121" s="227"/>
      <c r="J6121" s="227"/>
      <c r="K6121" s="227"/>
      <c r="L6121" s="348"/>
      <c r="M6121" s="348"/>
      <c r="N6121" s="227"/>
      <c r="O6121" s="227"/>
      <c r="P6121" s="231"/>
      <c r="Q6121" s="231"/>
      <c r="R6121" s="227"/>
      <c r="S6121" s="231"/>
      <c r="T6121" s="231"/>
      <c r="U6121" s="231"/>
      <c r="V6121" s="231"/>
      <c r="W6121" s="231"/>
      <c r="X6121" s="227"/>
      <c r="Y6121" s="348"/>
      <c r="Z6121" s="348"/>
      <c r="AA6121" s="348"/>
      <c r="AB6121" s="348"/>
      <c r="AC6121" s="227"/>
      <c r="AD6121" s="227"/>
      <c r="AE6121" s="231"/>
      <c r="AF6121" s="227"/>
      <c r="AG6121" s="348"/>
      <c r="AH6121" s="348"/>
      <c r="AI6121" s="348"/>
      <c r="AJ6121" s="348"/>
      <c r="AK6121" s="348"/>
      <c r="AL6121" s="348"/>
      <c r="AM6121" s="348"/>
      <c r="AN6121" s="348"/>
      <c r="AO6121" s="231"/>
      <c r="AP6121" s="231"/>
      <c r="AQ6121" s="227"/>
      <c r="AR6121" s="231"/>
      <c r="AS6121" s="227"/>
      <c r="AT6121" s="227"/>
      <c r="AU6121" s="227"/>
      <c r="AV6121" s="227"/>
      <c r="AW6121" s="227"/>
      <c r="AX6121" s="227"/>
      <c r="AY6121" s="227"/>
      <c r="AZ6121" s="227"/>
      <c r="BA6121" s="227"/>
      <c r="BB6121" s="227"/>
      <c r="BC6121" s="227"/>
      <c r="BD6121" s="227"/>
      <c r="BE6121" s="227"/>
      <c r="BF6121" s="227"/>
    </row>
    <row r="6122">
      <c r="A6122" s="227"/>
      <c r="B6122" s="348"/>
      <c r="C6122" s="227"/>
      <c r="D6122" s="227"/>
      <c r="E6122" s="231"/>
      <c r="F6122" s="348"/>
      <c r="G6122" s="227"/>
      <c r="H6122" s="227"/>
      <c r="I6122" s="227"/>
      <c r="J6122" s="227"/>
      <c r="K6122" s="227"/>
      <c r="L6122" s="348"/>
      <c r="M6122" s="348"/>
      <c r="N6122" s="227"/>
      <c r="O6122" s="227"/>
      <c r="P6122" s="231"/>
      <c r="Q6122" s="231"/>
      <c r="R6122" s="227"/>
      <c r="S6122" s="231"/>
      <c r="T6122" s="231"/>
      <c r="U6122" s="231"/>
      <c r="V6122" s="231"/>
      <c r="W6122" s="231"/>
      <c r="X6122" s="227"/>
      <c r="Y6122" s="348"/>
      <c r="Z6122" s="348"/>
      <c r="AA6122" s="348"/>
      <c r="AB6122" s="348"/>
      <c r="AC6122" s="227"/>
      <c r="AD6122" s="227"/>
      <c r="AE6122" s="231"/>
      <c r="AF6122" s="227"/>
      <c r="AG6122" s="348"/>
      <c r="AH6122" s="348"/>
      <c r="AI6122" s="348"/>
      <c r="AJ6122" s="348"/>
      <c r="AK6122" s="348"/>
      <c r="AL6122" s="348"/>
      <c r="AM6122" s="348"/>
      <c r="AN6122" s="348"/>
      <c r="AO6122" s="231"/>
      <c r="AP6122" s="231"/>
      <c r="AQ6122" s="227"/>
      <c r="AR6122" s="231"/>
      <c r="AS6122" s="227"/>
      <c r="AT6122" s="227"/>
      <c r="AU6122" s="227"/>
      <c r="AV6122" s="227"/>
      <c r="AW6122" s="227"/>
      <c r="AX6122" s="227"/>
      <c r="AY6122" s="227"/>
      <c r="AZ6122" s="227"/>
      <c r="BA6122" s="227"/>
      <c r="BB6122" s="227"/>
      <c r="BC6122" s="227"/>
      <c r="BD6122" s="227"/>
      <c r="BE6122" s="227"/>
      <c r="BF6122" s="227"/>
    </row>
    <row r="6123">
      <c r="A6123" s="227"/>
      <c r="B6123" s="348"/>
      <c r="C6123" s="227"/>
      <c r="D6123" s="227"/>
      <c r="E6123" s="231"/>
      <c r="F6123" s="348"/>
      <c r="G6123" s="227"/>
      <c r="H6123" s="227"/>
      <c r="I6123" s="227"/>
      <c r="J6123" s="227"/>
      <c r="K6123" s="227"/>
      <c r="L6123" s="348"/>
      <c r="M6123" s="348"/>
      <c r="N6123" s="227"/>
      <c r="O6123" s="227"/>
      <c r="P6123" s="231"/>
      <c r="Q6123" s="231"/>
      <c r="R6123" s="227"/>
      <c r="S6123" s="231"/>
      <c r="T6123" s="231"/>
      <c r="U6123" s="231"/>
      <c r="V6123" s="231"/>
      <c r="W6123" s="231"/>
      <c r="X6123" s="227"/>
      <c r="Y6123" s="348"/>
      <c r="Z6123" s="348"/>
      <c r="AA6123" s="348"/>
      <c r="AB6123" s="348"/>
      <c r="AC6123" s="227"/>
      <c r="AD6123" s="227"/>
      <c r="AE6123" s="231"/>
      <c r="AF6123" s="227"/>
      <c r="AG6123" s="348"/>
      <c r="AH6123" s="348"/>
      <c r="AI6123" s="348"/>
      <c r="AJ6123" s="348"/>
      <c r="AK6123" s="348"/>
      <c r="AL6123" s="348"/>
      <c r="AM6123" s="348"/>
      <c r="AN6123" s="348"/>
      <c r="AO6123" s="231"/>
      <c r="AP6123" s="231"/>
      <c r="AQ6123" s="227"/>
      <c r="AR6123" s="231"/>
      <c r="AS6123" s="227"/>
      <c r="AT6123" s="227"/>
      <c r="AU6123" s="227"/>
      <c r="AV6123" s="227"/>
      <c r="AW6123" s="227"/>
      <c r="AX6123" s="227"/>
      <c r="AY6123" s="227"/>
      <c r="AZ6123" s="227"/>
      <c r="BA6123" s="227"/>
      <c r="BB6123" s="227"/>
      <c r="BC6123" s="227"/>
      <c r="BD6123" s="227"/>
      <c r="BE6123" s="227"/>
      <c r="BF6123" s="227"/>
    </row>
    <row r="6124">
      <c r="A6124" s="227"/>
      <c r="B6124" s="348"/>
      <c r="C6124" s="227"/>
      <c r="D6124" s="227"/>
      <c r="E6124" s="231"/>
      <c r="F6124" s="348"/>
      <c r="G6124" s="227"/>
      <c r="H6124" s="227"/>
      <c r="I6124" s="227"/>
      <c r="J6124" s="227"/>
      <c r="K6124" s="227"/>
      <c r="L6124" s="348"/>
      <c r="M6124" s="348"/>
      <c r="N6124" s="227"/>
      <c r="O6124" s="227"/>
      <c r="P6124" s="231"/>
      <c r="Q6124" s="231"/>
      <c r="R6124" s="227"/>
      <c r="S6124" s="231"/>
      <c r="T6124" s="231"/>
      <c r="U6124" s="231"/>
      <c r="V6124" s="231"/>
      <c r="W6124" s="231"/>
      <c r="X6124" s="227"/>
      <c r="Y6124" s="348"/>
      <c r="Z6124" s="348"/>
      <c r="AA6124" s="348"/>
      <c r="AB6124" s="348"/>
      <c r="AC6124" s="227"/>
      <c r="AD6124" s="227"/>
      <c r="AE6124" s="231"/>
      <c r="AF6124" s="227"/>
      <c r="AG6124" s="348"/>
      <c r="AH6124" s="348"/>
      <c r="AI6124" s="348"/>
      <c r="AJ6124" s="348"/>
      <c r="AK6124" s="348"/>
      <c r="AL6124" s="348"/>
      <c r="AM6124" s="348"/>
      <c r="AN6124" s="348"/>
      <c r="AO6124" s="231"/>
      <c r="AP6124" s="231"/>
      <c r="AQ6124" s="227"/>
      <c r="AR6124" s="231"/>
      <c r="AS6124" s="227"/>
      <c r="AT6124" s="227"/>
      <c r="AU6124" s="227"/>
      <c r="AV6124" s="227"/>
      <c r="AW6124" s="227"/>
      <c r="AX6124" s="227"/>
      <c r="AY6124" s="227"/>
      <c r="AZ6124" s="227"/>
      <c r="BA6124" s="227"/>
      <c r="BB6124" s="227"/>
      <c r="BC6124" s="227"/>
      <c r="BD6124" s="227"/>
      <c r="BE6124" s="227"/>
      <c r="BF6124" s="227"/>
    </row>
    <row r="6125">
      <c r="A6125" s="227"/>
      <c r="B6125" s="348"/>
      <c r="C6125" s="227"/>
      <c r="D6125" s="227"/>
      <c r="E6125" s="231"/>
      <c r="F6125" s="348"/>
      <c r="G6125" s="227"/>
      <c r="H6125" s="227"/>
      <c r="I6125" s="227"/>
      <c r="J6125" s="227"/>
      <c r="K6125" s="227"/>
      <c r="L6125" s="348"/>
      <c r="M6125" s="348"/>
      <c r="N6125" s="227"/>
      <c r="O6125" s="227"/>
      <c r="P6125" s="231"/>
      <c r="Q6125" s="231"/>
      <c r="R6125" s="227"/>
      <c r="S6125" s="231"/>
      <c r="T6125" s="231"/>
      <c r="U6125" s="231"/>
      <c r="V6125" s="231"/>
      <c r="W6125" s="231"/>
      <c r="X6125" s="227"/>
      <c r="Y6125" s="348"/>
      <c r="Z6125" s="348"/>
      <c r="AA6125" s="348"/>
      <c r="AB6125" s="348"/>
      <c r="AC6125" s="227"/>
      <c r="AD6125" s="227"/>
      <c r="AE6125" s="231"/>
      <c r="AF6125" s="227"/>
      <c r="AG6125" s="348"/>
      <c r="AH6125" s="348"/>
      <c r="AI6125" s="348"/>
      <c r="AJ6125" s="348"/>
      <c r="AK6125" s="348"/>
      <c r="AL6125" s="348"/>
      <c r="AM6125" s="348"/>
      <c r="AN6125" s="348"/>
      <c r="AO6125" s="231"/>
      <c r="AP6125" s="231"/>
      <c r="AQ6125" s="227"/>
      <c r="AR6125" s="231"/>
      <c r="AS6125" s="227"/>
      <c r="AT6125" s="227"/>
      <c r="AU6125" s="227"/>
      <c r="AV6125" s="227"/>
      <c r="AW6125" s="227"/>
      <c r="AX6125" s="227"/>
      <c r="AY6125" s="227"/>
      <c r="AZ6125" s="227"/>
      <c r="BA6125" s="227"/>
      <c r="BB6125" s="227"/>
      <c r="BC6125" s="227"/>
      <c r="BD6125" s="227"/>
      <c r="BE6125" s="227"/>
      <c r="BF6125" s="227"/>
    </row>
    <row r="6126">
      <c r="A6126" s="227"/>
      <c r="B6126" s="348"/>
      <c r="C6126" s="227"/>
      <c r="D6126" s="227"/>
      <c r="E6126" s="231"/>
      <c r="F6126" s="348"/>
      <c r="G6126" s="227"/>
      <c r="H6126" s="227"/>
      <c r="I6126" s="227"/>
      <c r="J6126" s="227"/>
      <c r="K6126" s="227"/>
      <c r="L6126" s="348"/>
      <c r="M6126" s="348"/>
      <c r="N6126" s="227"/>
      <c r="O6126" s="227"/>
      <c r="P6126" s="231"/>
      <c r="Q6126" s="231"/>
      <c r="R6126" s="227"/>
      <c r="S6126" s="231"/>
      <c r="T6126" s="231"/>
      <c r="U6126" s="231"/>
      <c r="V6126" s="231"/>
      <c r="W6126" s="231"/>
      <c r="X6126" s="227"/>
      <c r="Y6126" s="348"/>
      <c r="Z6126" s="348"/>
      <c r="AA6126" s="348"/>
      <c r="AB6126" s="348"/>
      <c r="AC6126" s="227"/>
      <c r="AD6126" s="227"/>
      <c r="AE6126" s="231"/>
      <c r="AF6126" s="227"/>
      <c r="AG6126" s="348"/>
      <c r="AH6126" s="348"/>
      <c r="AI6126" s="348"/>
      <c r="AJ6126" s="348"/>
      <c r="AK6126" s="348"/>
      <c r="AL6126" s="348"/>
      <c r="AM6126" s="348"/>
      <c r="AN6126" s="348"/>
      <c r="AO6126" s="231"/>
      <c r="AP6126" s="231"/>
      <c r="AQ6126" s="227"/>
      <c r="AR6126" s="231"/>
      <c r="AS6126" s="227"/>
      <c r="AT6126" s="227"/>
      <c r="AU6126" s="227"/>
      <c r="AV6126" s="227"/>
      <c r="AW6126" s="227"/>
      <c r="AX6126" s="227"/>
      <c r="AY6126" s="227"/>
      <c r="AZ6126" s="227"/>
      <c r="BA6126" s="227"/>
      <c r="BB6126" s="227"/>
      <c r="BC6126" s="227"/>
      <c r="BD6126" s="227"/>
      <c r="BE6126" s="227"/>
      <c r="BF6126" s="227"/>
    </row>
    <row r="6127">
      <c r="A6127" s="227"/>
      <c r="B6127" s="348"/>
      <c r="C6127" s="227"/>
      <c r="D6127" s="227"/>
      <c r="E6127" s="231"/>
      <c r="F6127" s="348"/>
      <c r="G6127" s="227"/>
      <c r="H6127" s="227"/>
      <c r="I6127" s="227"/>
      <c r="J6127" s="227"/>
      <c r="K6127" s="227"/>
      <c r="L6127" s="348"/>
      <c r="M6127" s="348"/>
      <c r="N6127" s="227"/>
      <c r="O6127" s="227"/>
      <c r="P6127" s="231"/>
      <c r="Q6127" s="231"/>
      <c r="R6127" s="227"/>
      <c r="S6127" s="231"/>
      <c r="T6127" s="231"/>
      <c r="U6127" s="231"/>
      <c r="V6127" s="231"/>
      <c r="W6127" s="231"/>
      <c r="X6127" s="227"/>
      <c r="Y6127" s="348"/>
      <c r="Z6127" s="348"/>
      <c r="AA6127" s="348"/>
      <c r="AB6127" s="348"/>
      <c r="AC6127" s="227"/>
      <c r="AD6127" s="227"/>
      <c r="AE6127" s="231"/>
      <c r="AF6127" s="227"/>
      <c r="AG6127" s="348"/>
      <c r="AH6127" s="348"/>
      <c r="AI6127" s="348"/>
      <c r="AJ6127" s="348"/>
      <c r="AK6127" s="348"/>
      <c r="AL6127" s="348"/>
      <c r="AM6127" s="348"/>
      <c r="AN6127" s="348"/>
      <c r="AO6127" s="231"/>
      <c r="AP6127" s="231"/>
      <c r="AQ6127" s="227"/>
      <c r="AR6127" s="231"/>
      <c r="AS6127" s="227"/>
      <c r="AT6127" s="227"/>
      <c r="AU6127" s="227"/>
      <c r="AV6127" s="227"/>
      <c r="AW6127" s="227"/>
      <c r="AX6127" s="227"/>
      <c r="AY6127" s="227"/>
      <c r="AZ6127" s="227"/>
      <c r="BA6127" s="227"/>
      <c r="BB6127" s="227"/>
      <c r="BC6127" s="227"/>
      <c r="BD6127" s="227"/>
      <c r="BE6127" s="227"/>
      <c r="BF6127" s="227"/>
    </row>
    <row r="6128">
      <c r="A6128" s="227"/>
      <c r="B6128" s="348"/>
      <c r="C6128" s="227"/>
      <c r="D6128" s="227"/>
      <c r="E6128" s="231"/>
      <c r="F6128" s="348"/>
      <c r="G6128" s="227"/>
      <c r="H6128" s="227"/>
      <c r="I6128" s="227"/>
      <c r="J6128" s="227"/>
      <c r="K6128" s="227"/>
      <c r="L6128" s="348"/>
      <c r="M6128" s="348"/>
      <c r="N6128" s="227"/>
      <c r="O6128" s="227"/>
      <c r="P6128" s="231"/>
      <c r="Q6128" s="231"/>
      <c r="R6128" s="227"/>
      <c r="S6128" s="231"/>
      <c r="T6128" s="231"/>
      <c r="U6128" s="231"/>
      <c r="V6128" s="231"/>
      <c r="W6128" s="231"/>
      <c r="X6128" s="227"/>
      <c r="Y6128" s="348"/>
      <c r="Z6128" s="348"/>
      <c r="AA6128" s="348"/>
      <c r="AB6128" s="348"/>
      <c r="AC6128" s="227"/>
      <c r="AD6128" s="227"/>
      <c r="AE6128" s="231"/>
      <c r="AF6128" s="227"/>
      <c r="AG6128" s="348"/>
      <c r="AH6128" s="348"/>
      <c r="AI6128" s="348"/>
      <c r="AJ6128" s="348"/>
      <c r="AK6128" s="348"/>
      <c r="AL6128" s="348"/>
      <c r="AM6128" s="348"/>
      <c r="AN6128" s="348"/>
      <c r="AO6128" s="231"/>
      <c r="AP6128" s="231"/>
      <c r="AQ6128" s="227"/>
      <c r="AR6128" s="231"/>
      <c r="AS6128" s="227"/>
      <c r="AT6128" s="227"/>
      <c r="AU6128" s="227"/>
      <c r="AV6128" s="227"/>
      <c r="AW6128" s="227"/>
      <c r="AX6128" s="227"/>
      <c r="AY6128" s="227"/>
      <c r="AZ6128" s="227"/>
      <c r="BA6128" s="227"/>
      <c r="BB6128" s="227"/>
      <c r="BC6128" s="227"/>
      <c r="BD6128" s="227"/>
      <c r="BE6128" s="227"/>
      <c r="BF6128" s="227"/>
    </row>
    <row r="6129">
      <c r="A6129" s="227"/>
      <c r="B6129" s="348"/>
      <c r="C6129" s="227"/>
      <c r="D6129" s="227"/>
      <c r="E6129" s="231"/>
      <c r="F6129" s="348"/>
      <c r="G6129" s="227"/>
      <c r="H6129" s="227"/>
      <c r="I6129" s="227"/>
      <c r="J6129" s="227"/>
      <c r="K6129" s="227"/>
      <c r="L6129" s="348"/>
      <c r="M6129" s="348"/>
      <c r="N6129" s="227"/>
      <c r="O6129" s="227"/>
      <c r="P6129" s="231"/>
      <c r="Q6129" s="231"/>
      <c r="R6129" s="227"/>
      <c r="S6129" s="231"/>
      <c r="T6129" s="231"/>
      <c r="U6129" s="231"/>
      <c r="V6129" s="231"/>
      <c r="W6129" s="231"/>
      <c r="X6129" s="227"/>
      <c r="Y6129" s="348"/>
      <c r="Z6129" s="348"/>
      <c r="AA6129" s="348"/>
      <c r="AB6129" s="348"/>
      <c r="AC6129" s="227"/>
      <c r="AD6129" s="227"/>
      <c r="AE6129" s="231"/>
      <c r="AF6129" s="227"/>
      <c r="AG6129" s="348"/>
      <c r="AH6129" s="348"/>
      <c r="AI6129" s="348"/>
      <c r="AJ6129" s="348"/>
      <c r="AK6129" s="348"/>
      <c r="AL6129" s="348"/>
      <c r="AM6129" s="348"/>
      <c r="AN6129" s="348"/>
      <c r="AO6129" s="231"/>
      <c r="AP6129" s="231"/>
      <c r="AQ6129" s="227"/>
      <c r="AR6129" s="231"/>
      <c r="AS6129" s="227"/>
      <c r="AT6129" s="227"/>
      <c r="AU6129" s="227"/>
      <c r="AV6129" s="227"/>
      <c r="AW6129" s="227"/>
      <c r="AX6129" s="227"/>
      <c r="AY6129" s="227"/>
      <c r="AZ6129" s="227"/>
      <c r="BA6129" s="227"/>
      <c r="BB6129" s="227"/>
      <c r="BC6129" s="227"/>
      <c r="BD6129" s="227"/>
      <c r="BE6129" s="227"/>
      <c r="BF6129" s="227"/>
    </row>
  </sheetData>
  <mergeCells count="16142">
    <mergeCell ref="X882:Y882"/>
    <mergeCell ref="X883:Y883"/>
    <mergeCell ref="X875:Y875"/>
    <mergeCell ref="X876:Y876"/>
    <mergeCell ref="X877:Y877"/>
    <mergeCell ref="X878:Y878"/>
    <mergeCell ref="X879:Y879"/>
    <mergeCell ref="X880:Y880"/>
    <mergeCell ref="X881:Y881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  <mergeCell ref="X874:Y874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2:Y502"/>
    <mergeCell ref="X503:Y503"/>
    <mergeCell ref="X504:Y504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515:Y515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9:Y579"/>
    <mergeCell ref="X580:Y580"/>
    <mergeCell ref="X581:Y581"/>
    <mergeCell ref="X582:Y582"/>
    <mergeCell ref="X583:Y583"/>
    <mergeCell ref="X584:Y584"/>
    <mergeCell ref="X585:Y585"/>
    <mergeCell ref="X586:Y586"/>
    <mergeCell ref="X587:Y587"/>
    <mergeCell ref="X588:Y58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X613:Y613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77:Y677"/>
    <mergeCell ref="X678:Y678"/>
    <mergeCell ref="X679:Y679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713:Y713"/>
    <mergeCell ref="X714:Y714"/>
    <mergeCell ref="X715:Y715"/>
    <mergeCell ref="X716:Y716"/>
    <mergeCell ref="X717:Y717"/>
    <mergeCell ref="X718:Y718"/>
    <mergeCell ref="X719:Y719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X746:Y746"/>
    <mergeCell ref="X747:Y747"/>
    <mergeCell ref="X748:Y748"/>
    <mergeCell ref="X749:Y749"/>
    <mergeCell ref="X750:Y750"/>
    <mergeCell ref="X751:Y751"/>
    <mergeCell ref="X752:Y752"/>
    <mergeCell ref="X753:Y753"/>
    <mergeCell ref="X754:Y754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9:Y809"/>
    <mergeCell ref="X810:Y810"/>
    <mergeCell ref="X811:Y811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823:Y823"/>
    <mergeCell ref="X824:Y824"/>
    <mergeCell ref="X825:Y825"/>
    <mergeCell ref="K43:M43"/>
    <mergeCell ref="K44:M44"/>
    <mergeCell ref="K45:M45"/>
    <mergeCell ref="K46:M46"/>
    <mergeCell ref="K47:M47"/>
    <mergeCell ref="K40:M40"/>
    <mergeCell ref="K41:M41"/>
    <mergeCell ref="K42:M42"/>
    <mergeCell ref="X42:Y42"/>
    <mergeCell ref="X43:Y43"/>
    <mergeCell ref="X44:Y44"/>
    <mergeCell ref="X45:Y45"/>
    <mergeCell ref="A2:B2"/>
    <mergeCell ref="K2:M2"/>
    <mergeCell ref="X2:Y2"/>
    <mergeCell ref="A3:B3"/>
    <mergeCell ref="K3:M3"/>
    <mergeCell ref="A4:B4"/>
    <mergeCell ref="X5:Y5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X46:Y46"/>
    <mergeCell ref="X47:Y47"/>
    <mergeCell ref="K90:M90"/>
    <mergeCell ref="K91:M91"/>
    <mergeCell ref="K83:M83"/>
    <mergeCell ref="K84:M84"/>
    <mergeCell ref="K85:M85"/>
    <mergeCell ref="K86:M86"/>
    <mergeCell ref="K87:M87"/>
    <mergeCell ref="K88:M88"/>
    <mergeCell ref="K89:M89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X18:Y18"/>
    <mergeCell ref="X19:Y19"/>
    <mergeCell ref="X11:Y11"/>
    <mergeCell ref="X12:Y12"/>
    <mergeCell ref="X13:Y13"/>
    <mergeCell ref="X14:Y14"/>
    <mergeCell ref="X15:Y15"/>
    <mergeCell ref="X16:Y16"/>
    <mergeCell ref="X17:Y17"/>
    <mergeCell ref="X20:Y20"/>
    <mergeCell ref="X21:Y21"/>
    <mergeCell ref="X3:Y3"/>
    <mergeCell ref="X4:Y4"/>
    <mergeCell ref="X6:Y6"/>
    <mergeCell ref="X7:Y7"/>
    <mergeCell ref="X8:Y8"/>
    <mergeCell ref="X9:Y9"/>
    <mergeCell ref="X10:Y10"/>
    <mergeCell ref="K23:M23"/>
    <mergeCell ref="K24:M24"/>
    <mergeCell ref="K25:M25"/>
    <mergeCell ref="K18:M18"/>
    <mergeCell ref="K19:M19"/>
    <mergeCell ref="K20:M20"/>
    <mergeCell ref="K21:M21"/>
    <mergeCell ref="K22:M22"/>
    <mergeCell ref="X22:Y22"/>
    <mergeCell ref="X23:Y23"/>
    <mergeCell ref="X38:Y38"/>
    <mergeCell ref="X39:Y39"/>
    <mergeCell ref="X31:Y31"/>
    <mergeCell ref="X32:Y32"/>
    <mergeCell ref="X33:Y33"/>
    <mergeCell ref="X34:Y34"/>
    <mergeCell ref="X35:Y35"/>
    <mergeCell ref="X36:Y36"/>
    <mergeCell ref="X37:Y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X24:Y24"/>
    <mergeCell ref="X25:Y25"/>
    <mergeCell ref="X26:Y26"/>
    <mergeCell ref="X27:Y27"/>
    <mergeCell ref="X28:Y28"/>
    <mergeCell ref="X29:Y29"/>
    <mergeCell ref="X30:Y30"/>
    <mergeCell ref="X40:Y40"/>
    <mergeCell ref="X41:Y41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K109:M109"/>
    <mergeCell ref="K110:M110"/>
    <mergeCell ref="K102:M102"/>
    <mergeCell ref="K103:M103"/>
    <mergeCell ref="K104:M104"/>
    <mergeCell ref="K105:M105"/>
    <mergeCell ref="K106:M106"/>
    <mergeCell ref="K107:M107"/>
    <mergeCell ref="K108:M108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K92:M92"/>
    <mergeCell ref="K93:M93"/>
    <mergeCell ref="K94:M9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K95:M95"/>
    <mergeCell ref="K96:M96"/>
    <mergeCell ref="K97:M97"/>
    <mergeCell ref="K98:M98"/>
    <mergeCell ref="K99:M99"/>
    <mergeCell ref="K100:M100"/>
    <mergeCell ref="K101:M101"/>
    <mergeCell ref="K111:M111"/>
    <mergeCell ref="K112:M112"/>
    <mergeCell ref="K113:M113"/>
    <mergeCell ref="K114:M114"/>
    <mergeCell ref="K115:M115"/>
    <mergeCell ref="K116:M116"/>
    <mergeCell ref="K117:M1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K118:M118"/>
    <mergeCell ref="K119:M119"/>
    <mergeCell ref="K120:M120"/>
    <mergeCell ref="K121:M121"/>
    <mergeCell ref="K122:M122"/>
    <mergeCell ref="K123:M123"/>
    <mergeCell ref="K124:M124"/>
    <mergeCell ref="K125:M125"/>
    <mergeCell ref="K126:M126"/>
    <mergeCell ref="K127:M127"/>
    <mergeCell ref="K128:M128"/>
    <mergeCell ref="K129:M129"/>
    <mergeCell ref="K130:M130"/>
    <mergeCell ref="K131:M131"/>
    <mergeCell ref="K132:M132"/>
    <mergeCell ref="K133:M133"/>
    <mergeCell ref="K134:M134"/>
    <mergeCell ref="K135:M135"/>
    <mergeCell ref="K136:M136"/>
    <mergeCell ref="K137:M137"/>
    <mergeCell ref="K138:M138"/>
    <mergeCell ref="K139:M139"/>
    <mergeCell ref="K140:M140"/>
    <mergeCell ref="K141:M141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K164:M164"/>
    <mergeCell ref="K165:M165"/>
    <mergeCell ref="K166:M166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K167:M167"/>
    <mergeCell ref="K168:M168"/>
    <mergeCell ref="K169:M169"/>
    <mergeCell ref="K170:M170"/>
    <mergeCell ref="K171:M171"/>
    <mergeCell ref="K172:M172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K181:M181"/>
    <mergeCell ref="K182:M182"/>
    <mergeCell ref="K183:M183"/>
    <mergeCell ref="K184:M184"/>
    <mergeCell ref="K185:M185"/>
    <mergeCell ref="K186:M186"/>
    <mergeCell ref="K187:M187"/>
    <mergeCell ref="K188:M188"/>
    <mergeCell ref="K189:M189"/>
    <mergeCell ref="K190:M190"/>
    <mergeCell ref="K191:M191"/>
    <mergeCell ref="K192:M192"/>
    <mergeCell ref="K193:M193"/>
    <mergeCell ref="K194:M194"/>
    <mergeCell ref="K195:M195"/>
    <mergeCell ref="K196:M196"/>
    <mergeCell ref="K197:M197"/>
    <mergeCell ref="K198:M198"/>
    <mergeCell ref="K199:M199"/>
    <mergeCell ref="K200:M200"/>
    <mergeCell ref="K201:M201"/>
    <mergeCell ref="K202:M202"/>
    <mergeCell ref="K203:M203"/>
    <mergeCell ref="K204:M204"/>
    <mergeCell ref="K205:M205"/>
    <mergeCell ref="K206:M206"/>
    <mergeCell ref="K207:M207"/>
    <mergeCell ref="K208:M208"/>
    <mergeCell ref="K209:M209"/>
    <mergeCell ref="K210:M210"/>
    <mergeCell ref="K211:M211"/>
    <mergeCell ref="K212:M212"/>
    <mergeCell ref="K213:M213"/>
    <mergeCell ref="K214:M214"/>
    <mergeCell ref="K215:M215"/>
    <mergeCell ref="K216:M216"/>
    <mergeCell ref="K217:M217"/>
    <mergeCell ref="K218:M218"/>
    <mergeCell ref="K219:M219"/>
    <mergeCell ref="K220:M220"/>
    <mergeCell ref="K221:M221"/>
    <mergeCell ref="K222:M222"/>
    <mergeCell ref="K223:M223"/>
    <mergeCell ref="K224:M224"/>
    <mergeCell ref="K225:M225"/>
    <mergeCell ref="K226:M226"/>
    <mergeCell ref="K227:M227"/>
    <mergeCell ref="K228:M228"/>
    <mergeCell ref="K229:M229"/>
    <mergeCell ref="K230:M230"/>
    <mergeCell ref="K231:M231"/>
    <mergeCell ref="K232:M232"/>
    <mergeCell ref="K233:M233"/>
    <mergeCell ref="K234:M234"/>
    <mergeCell ref="K235:M235"/>
    <mergeCell ref="K236:M236"/>
    <mergeCell ref="K237:M237"/>
    <mergeCell ref="K238:M238"/>
    <mergeCell ref="K239:M239"/>
    <mergeCell ref="K240:M240"/>
    <mergeCell ref="K241:M241"/>
    <mergeCell ref="K242:M242"/>
    <mergeCell ref="K243:M243"/>
    <mergeCell ref="K244:M244"/>
    <mergeCell ref="K245:M245"/>
    <mergeCell ref="K246:M246"/>
    <mergeCell ref="K247:M247"/>
    <mergeCell ref="K248:M248"/>
    <mergeCell ref="K249:M249"/>
    <mergeCell ref="K250:M250"/>
    <mergeCell ref="K251:M251"/>
    <mergeCell ref="K252:M252"/>
    <mergeCell ref="K253:M253"/>
    <mergeCell ref="K254:M254"/>
    <mergeCell ref="K255:M255"/>
    <mergeCell ref="K256:M256"/>
    <mergeCell ref="K257:M257"/>
    <mergeCell ref="K258:M258"/>
    <mergeCell ref="K259:M259"/>
    <mergeCell ref="K260:M260"/>
    <mergeCell ref="K261:M261"/>
    <mergeCell ref="K262:M262"/>
    <mergeCell ref="K263:M263"/>
    <mergeCell ref="K264:M264"/>
    <mergeCell ref="K265:M265"/>
    <mergeCell ref="K266:M266"/>
    <mergeCell ref="K267:M267"/>
    <mergeCell ref="K268:M268"/>
    <mergeCell ref="K269:M269"/>
    <mergeCell ref="K270:M270"/>
    <mergeCell ref="K271:M271"/>
    <mergeCell ref="K272:M272"/>
    <mergeCell ref="K273:M273"/>
    <mergeCell ref="K274:M274"/>
    <mergeCell ref="K275:M275"/>
    <mergeCell ref="K276:M276"/>
    <mergeCell ref="K277:M277"/>
    <mergeCell ref="K278:M278"/>
    <mergeCell ref="K279:M279"/>
    <mergeCell ref="K280:M280"/>
    <mergeCell ref="K281:M281"/>
    <mergeCell ref="K282:M282"/>
    <mergeCell ref="K283:M283"/>
    <mergeCell ref="K284:M284"/>
    <mergeCell ref="K285:M285"/>
    <mergeCell ref="K286:M286"/>
    <mergeCell ref="K287:M287"/>
    <mergeCell ref="K288:M288"/>
    <mergeCell ref="K289:M289"/>
    <mergeCell ref="K290:M290"/>
    <mergeCell ref="K291:M291"/>
    <mergeCell ref="K292:M292"/>
    <mergeCell ref="K293:M293"/>
    <mergeCell ref="K294:M294"/>
    <mergeCell ref="K295:M295"/>
    <mergeCell ref="K296:M296"/>
    <mergeCell ref="K297:M297"/>
    <mergeCell ref="K298:M298"/>
    <mergeCell ref="K299:M299"/>
    <mergeCell ref="K300:M300"/>
    <mergeCell ref="K301:M301"/>
    <mergeCell ref="K302:M302"/>
    <mergeCell ref="K303:M303"/>
    <mergeCell ref="K304:M304"/>
    <mergeCell ref="K305:M305"/>
    <mergeCell ref="K306:M306"/>
    <mergeCell ref="K307:M307"/>
    <mergeCell ref="K308:M308"/>
    <mergeCell ref="K309:M309"/>
    <mergeCell ref="K310:M310"/>
    <mergeCell ref="K311:M311"/>
    <mergeCell ref="K312:M312"/>
    <mergeCell ref="K313:M313"/>
    <mergeCell ref="K314:M314"/>
    <mergeCell ref="K315:M315"/>
    <mergeCell ref="K316:M316"/>
    <mergeCell ref="K317:M317"/>
    <mergeCell ref="K318:M318"/>
    <mergeCell ref="K319:M319"/>
    <mergeCell ref="K320:M320"/>
    <mergeCell ref="K321:M321"/>
    <mergeCell ref="K322:M322"/>
    <mergeCell ref="K323:M323"/>
    <mergeCell ref="K324:M324"/>
    <mergeCell ref="K325:M325"/>
    <mergeCell ref="K326:M326"/>
    <mergeCell ref="K327:M327"/>
    <mergeCell ref="K328:M328"/>
    <mergeCell ref="K329:M329"/>
    <mergeCell ref="K330:M330"/>
    <mergeCell ref="K331:M331"/>
    <mergeCell ref="K332:M332"/>
    <mergeCell ref="K333:M333"/>
    <mergeCell ref="K334:M334"/>
    <mergeCell ref="K335:M335"/>
    <mergeCell ref="K336:M336"/>
    <mergeCell ref="K337:M337"/>
    <mergeCell ref="K338:M338"/>
    <mergeCell ref="K339:M339"/>
    <mergeCell ref="K340:M340"/>
    <mergeCell ref="K341:M341"/>
    <mergeCell ref="K342:M342"/>
    <mergeCell ref="K343:M343"/>
    <mergeCell ref="K344:M344"/>
    <mergeCell ref="K345:M345"/>
    <mergeCell ref="K346:M346"/>
    <mergeCell ref="K347:M347"/>
    <mergeCell ref="K348:M348"/>
    <mergeCell ref="K349:M349"/>
    <mergeCell ref="K350:M350"/>
    <mergeCell ref="K351:M351"/>
    <mergeCell ref="K352:M352"/>
    <mergeCell ref="K353:M353"/>
    <mergeCell ref="K354:M354"/>
    <mergeCell ref="K355:M355"/>
    <mergeCell ref="K356:M356"/>
    <mergeCell ref="K357:M357"/>
    <mergeCell ref="K358:M358"/>
    <mergeCell ref="K359:M359"/>
    <mergeCell ref="K360:M360"/>
    <mergeCell ref="K361:M361"/>
    <mergeCell ref="K362:M362"/>
    <mergeCell ref="K363:M363"/>
    <mergeCell ref="K364:M364"/>
    <mergeCell ref="K365:M365"/>
    <mergeCell ref="K366:M366"/>
    <mergeCell ref="K367:M367"/>
    <mergeCell ref="K368:M368"/>
    <mergeCell ref="K369:M369"/>
    <mergeCell ref="K370:M370"/>
    <mergeCell ref="K371:M371"/>
    <mergeCell ref="K372:M372"/>
    <mergeCell ref="K373:M373"/>
    <mergeCell ref="K374:M374"/>
    <mergeCell ref="K375:M375"/>
    <mergeCell ref="K376:M376"/>
    <mergeCell ref="K377:M377"/>
    <mergeCell ref="K378:M378"/>
    <mergeCell ref="K379:M379"/>
    <mergeCell ref="K380:M380"/>
    <mergeCell ref="K381:M381"/>
    <mergeCell ref="K382:M382"/>
    <mergeCell ref="K383:M383"/>
    <mergeCell ref="K384:M384"/>
    <mergeCell ref="K385:M385"/>
    <mergeCell ref="K386:M386"/>
    <mergeCell ref="K387:M387"/>
    <mergeCell ref="K388:M388"/>
    <mergeCell ref="K389:M389"/>
    <mergeCell ref="K390:M390"/>
    <mergeCell ref="K391:M391"/>
    <mergeCell ref="K392:M392"/>
    <mergeCell ref="K393:M393"/>
    <mergeCell ref="K394:M394"/>
    <mergeCell ref="K395:M395"/>
    <mergeCell ref="K396:M396"/>
    <mergeCell ref="K397:M397"/>
    <mergeCell ref="K398:M398"/>
    <mergeCell ref="K399:M399"/>
    <mergeCell ref="K400:M400"/>
    <mergeCell ref="K401:M401"/>
    <mergeCell ref="K402:M402"/>
    <mergeCell ref="K403:M403"/>
    <mergeCell ref="K404:M404"/>
    <mergeCell ref="K405:M405"/>
    <mergeCell ref="K406:M406"/>
    <mergeCell ref="K407:M407"/>
    <mergeCell ref="K408:M408"/>
    <mergeCell ref="K409:M409"/>
    <mergeCell ref="K410:M410"/>
    <mergeCell ref="K411:M411"/>
    <mergeCell ref="K412:M412"/>
    <mergeCell ref="K413:M413"/>
    <mergeCell ref="K414:M414"/>
    <mergeCell ref="K415:M415"/>
    <mergeCell ref="K416:M416"/>
    <mergeCell ref="K417:M417"/>
    <mergeCell ref="K418:M418"/>
    <mergeCell ref="K419:M419"/>
    <mergeCell ref="K420:M420"/>
    <mergeCell ref="K421:M421"/>
    <mergeCell ref="K422:M422"/>
    <mergeCell ref="K423:M423"/>
    <mergeCell ref="K424:M424"/>
    <mergeCell ref="K425:M425"/>
    <mergeCell ref="K426:M426"/>
    <mergeCell ref="K427:M427"/>
    <mergeCell ref="K428:M428"/>
    <mergeCell ref="K429:M429"/>
    <mergeCell ref="K430:M430"/>
    <mergeCell ref="K431:M431"/>
    <mergeCell ref="K432:M432"/>
    <mergeCell ref="K433:M433"/>
    <mergeCell ref="K434:M434"/>
    <mergeCell ref="K435:M435"/>
    <mergeCell ref="K436:M436"/>
    <mergeCell ref="K437:M437"/>
    <mergeCell ref="K438:M438"/>
    <mergeCell ref="K439:M439"/>
    <mergeCell ref="K440:M440"/>
    <mergeCell ref="K441:M441"/>
    <mergeCell ref="K442:M442"/>
    <mergeCell ref="K443:M443"/>
    <mergeCell ref="K444:M444"/>
    <mergeCell ref="K445:M445"/>
    <mergeCell ref="K446:M446"/>
    <mergeCell ref="K447:M447"/>
    <mergeCell ref="K448:M448"/>
    <mergeCell ref="K449:M449"/>
    <mergeCell ref="K450:M450"/>
    <mergeCell ref="K451:M451"/>
    <mergeCell ref="K452:M452"/>
    <mergeCell ref="K453:M453"/>
    <mergeCell ref="K454:M454"/>
    <mergeCell ref="K455:M455"/>
    <mergeCell ref="K456:M456"/>
    <mergeCell ref="K457:M457"/>
    <mergeCell ref="K458:M458"/>
    <mergeCell ref="K459:M459"/>
    <mergeCell ref="K460:M460"/>
    <mergeCell ref="K461:M461"/>
    <mergeCell ref="K462:M462"/>
    <mergeCell ref="K463:M463"/>
    <mergeCell ref="K464:M464"/>
    <mergeCell ref="K465:M465"/>
    <mergeCell ref="K466:M466"/>
    <mergeCell ref="K467:M467"/>
    <mergeCell ref="K468:M468"/>
    <mergeCell ref="K469:M469"/>
    <mergeCell ref="K470:M470"/>
    <mergeCell ref="K471:M471"/>
    <mergeCell ref="K472:M472"/>
    <mergeCell ref="K473:M473"/>
    <mergeCell ref="K474:M474"/>
    <mergeCell ref="K475:M475"/>
    <mergeCell ref="K476:M476"/>
    <mergeCell ref="K477:M477"/>
    <mergeCell ref="K478:M478"/>
    <mergeCell ref="K479:M479"/>
    <mergeCell ref="K480:M480"/>
    <mergeCell ref="K481:M481"/>
    <mergeCell ref="K482:M482"/>
    <mergeCell ref="K483:M483"/>
    <mergeCell ref="K484:M484"/>
    <mergeCell ref="K485:M485"/>
    <mergeCell ref="K486:M486"/>
    <mergeCell ref="K487:M487"/>
    <mergeCell ref="K488:M488"/>
    <mergeCell ref="K489:M489"/>
    <mergeCell ref="K490:M490"/>
    <mergeCell ref="K491:M491"/>
    <mergeCell ref="K492:M492"/>
    <mergeCell ref="K493:M493"/>
    <mergeCell ref="K494:M494"/>
    <mergeCell ref="K495:M495"/>
    <mergeCell ref="K496:M496"/>
    <mergeCell ref="K497:M497"/>
    <mergeCell ref="K498:M498"/>
    <mergeCell ref="K499:M499"/>
    <mergeCell ref="K500:M500"/>
    <mergeCell ref="K501:M501"/>
    <mergeCell ref="K502:M502"/>
    <mergeCell ref="K503:M503"/>
    <mergeCell ref="K504:M504"/>
    <mergeCell ref="K505:M505"/>
    <mergeCell ref="K506:M506"/>
    <mergeCell ref="K507:M507"/>
    <mergeCell ref="K508:M508"/>
    <mergeCell ref="K509:M509"/>
    <mergeCell ref="K510:M510"/>
    <mergeCell ref="K511:M511"/>
    <mergeCell ref="K512:M512"/>
    <mergeCell ref="K513:M513"/>
    <mergeCell ref="K514:M514"/>
    <mergeCell ref="K515:M515"/>
    <mergeCell ref="K516:M516"/>
    <mergeCell ref="K517:M517"/>
    <mergeCell ref="K518:M518"/>
    <mergeCell ref="K519:M519"/>
    <mergeCell ref="K520:M520"/>
    <mergeCell ref="K521:M521"/>
    <mergeCell ref="K522:M522"/>
    <mergeCell ref="K523:M523"/>
    <mergeCell ref="K524:M524"/>
    <mergeCell ref="K525:M525"/>
    <mergeCell ref="K526:M526"/>
    <mergeCell ref="K527:M527"/>
    <mergeCell ref="K528:M528"/>
    <mergeCell ref="K529:M529"/>
    <mergeCell ref="K530:M530"/>
    <mergeCell ref="K531:M531"/>
    <mergeCell ref="K532:M532"/>
    <mergeCell ref="K533:M533"/>
    <mergeCell ref="K534:M534"/>
    <mergeCell ref="K535:M535"/>
    <mergeCell ref="K536:M536"/>
    <mergeCell ref="K537:M537"/>
    <mergeCell ref="K538:M538"/>
    <mergeCell ref="K539:M539"/>
    <mergeCell ref="K540:M540"/>
    <mergeCell ref="K541:M541"/>
    <mergeCell ref="K542:M542"/>
    <mergeCell ref="K543:M543"/>
    <mergeCell ref="K544:M544"/>
    <mergeCell ref="K545:M545"/>
    <mergeCell ref="K546:M546"/>
    <mergeCell ref="K547:M547"/>
    <mergeCell ref="K548:M548"/>
    <mergeCell ref="K549:M549"/>
    <mergeCell ref="K550:M550"/>
    <mergeCell ref="K551:M551"/>
    <mergeCell ref="K552:M552"/>
    <mergeCell ref="K553:M553"/>
    <mergeCell ref="K554:M554"/>
    <mergeCell ref="K555:M555"/>
    <mergeCell ref="K556:M556"/>
    <mergeCell ref="K557:M557"/>
    <mergeCell ref="K558:M558"/>
    <mergeCell ref="K559:M559"/>
    <mergeCell ref="K560:M560"/>
    <mergeCell ref="K561:M561"/>
    <mergeCell ref="K562:M562"/>
    <mergeCell ref="K563:M563"/>
    <mergeCell ref="K564:M564"/>
    <mergeCell ref="K565:M565"/>
    <mergeCell ref="K566:M566"/>
    <mergeCell ref="K567:M567"/>
    <mergeCell ref="K568:M568"/>
    <mergeCell ref="K569:M569"/>
    <mergeCell ref="K570:M570"/>
    <mergeCell ref="K571:M571"/>
    <mergeCell ref="K572:M572"/>
    <mergeCell ref="K573:M573"/>
    <mergeCell ref="K574:M574"/>
    <mergeCell ref="K575:M575"/>
    <mergeCell ref="K576:M576"/>
    <mergeCell ref="K577:M577"/>
    <mergeCell ref="K578:M578"/>
    <mergeCell ref="K579:M579"/>
    <mergeCell ref="K580:M580"/>
    <mergeCell ref="K581:M581"/>
    <mergeCell ref="K582:M582"/>
    <mergeCell ref="K583:M583"/>
    <mergeCell ref="K584:M584"/>
    <mergeCell ref="K585:M585"/>
    <mergeCell ref="K586:M586"/>
    <mergeCell ref="K587:M587"/>
    <mergeCell ref="K588:M588"/>
    <mergeCell ref="K589:M589"/>
    <mergeCell ref="K590:M590"/>
    <mergeCell ref="K591:M591"/>
    <mergeCell ref="K592:M592"/>
    <mergeCell ref="K593:M593"/>
    <mergeCell ref="K594:M594"/>
    <mergeCell ref="K595:M595"/>
    <mergeCell ref="K596:M596"/>
    <mergeCell ref="K597:M597"/>
    <mergeCell ref="K598:M598"/>
    <mergeCell ref="K599:M599"/>
    <mergeCell ref="K600:M600"/>
    <mergeCell ref="K601:M601"/>
    <mergeCell ref="K602:M602"/>
    <mergeCell ref="K603:M603"/>
    <mergeCell ref="K604:M604"/>
    <mergeCell ref="K605:M605"/>
    <mergeCell ref="K606:M606"/>
    <mergeCell ref="K607:M607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53:Y453"/>
    <mergeCell ref="X454:Y454"/>
    <mergeCell ref="X455:Y455"/>
    <mergeCell ref="X456:Y456"/>
    <mergeCell ref="X457:Y457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480:Y480"/>
    <mergeCell ref="X481:Y481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982:Y982"/>
    <mergeCell ref="X983:Y983"/>
    <mergeCell ref="X984:Y984"/>
    <mergeCell ref="X985:Y985"/>
    <mergeCell ref="X986:Y986"/>
    <mergeCell ref="X987:Y987"/>
    <mergeCell ref="X988:Y988"/>
    <mergeCell ref="X989:Y989"/>
    <mergeCell ref="X990:Y990"/>
    <mergeCell ref="X991:Y991"/>
    <mergeCell ref="X992:Y992"/>
    <mergeCell ref="X993:Y993"/>
    <mergeCell ref="X994:Y994"/>
    <mergeCell ref="X995:Y995"/>
    <mergeCell ref="X996:Y996"/>
    <mergeCell ref="X997:Y997"/>
    <mergeCell ref="X998:Y998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9:Y1019"/>
    <mergeCell ref="X1020:Y1020"/>
    <mergeCell ref="X1021:Y1021"/>
    <mergeCell ref="X1022:Y1022"/>
    <mergeCell ref="X1023:Y1023"/>
    <mergeCell ref="X1024:Y1024"/>
    <mergeCell ref="X1025:Y1025"/>
    <mergeCell ref="X1026:Y1026"/>
    <mergeCell ref="X1027:Y1027"/>
    <mergeCell ref="X1028:Y1028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39:Y1039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9:Y1049"/>
    <mergeCell ref="X1050:Y1050"/>
    <mergeCell ref="X1051:Y1051"/>
    <mergeCell ref="X1052:Y1052"/>
    <mergeCell ref="X1053:Y1053"/>
    <mergeCell ref="X1054:Y1054"/>
    <mergeCell ref="X1055:Y1055"/>
    <mergeCell ref="X1056:Y1056"/>
    <mergeCell ref="X1057:Y1057"/>
    <mergeCell ref="X1058:Y1058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9:Y1069"/>
    <mergeCell ref="X1070:Y1070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1087:Y1087"/>
    <mergeCell ref="X1088:Y1088"/>
    <mergeCell ref="X1089:Y1089"/>
    <mergeCell ref="X1090:Y1090"/>
    <mergeCell ref="X1091:Y1091"/>
    <mergeCell ref="X1092:Y1092"/>
    <mergeCell ref="X1093:Y1093"/>
    <mergeCell ref="X1094:Y1094"/>
    <mergeCell ref="X1095:Y1095"/>
    <mergeCell ref="X1096:Y1096"/>
    <mergeCell ref="X1098:Y1098"/>
    <mergeCell ref="X1099:Y1099"/>
    <mergeCell ref="X1100:Y1100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1117:Y1117"/>
    <mergeCell ref="X1118:Y1118"/>
    <mergeCell ref="X1119:Y1119"/>
    <mergeCell ref="X1120:Y1120"/>
    <mergeCell ref="X1121:Y1121"/>
    <mergeCell ref="X1122:Y1122"/>
    <mergeCell ref="X1123:Y1123"/>
    <mergeCell ref="X1124:Y1124"/>
    <mergeCell ref="X1125:Y1125"/>
    <mergeCell ref="X1126:Y1126"/>
    <mergeCell ref="X1127:Y1127"/>
    <mergeCell ref="X1128:Y1128"/>
    <mergeCell ref="X1129:Y1129"/>
    <mergeCell ref="X1130:Y1130"/>
    <mergeCell ref="X1131:Y1131"/>
    <mergeCell ref="X1132:Y1132"/>
    <mergeCell ref="X1133:Y1133"/>
    <mergeCell ref="X1134:Y1134"/>
    <mergeCell ref="X1135:Y1135"/>
    <mergeCell ref="X1136:Y1136"/>
    <mergeCell ref="X1137:Y1137"/>
    <mergeCell ref="X1138:Y1138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147:Y1147"/>
    <mergeCell ref="X1148:Y1148"/>
    <mergeCell ref="X1149:Y1149"/>
    <mergeCell ref="X1152:Y1152"/>
    <mergeCell ref="X1153:Y1153"/>
    <mergeCell ref="X1154:Y1154"/>
    <mergeCell ref="X1155:Y1155"/>
    <mergeCell ref="X1156:Y1156"/>
    <mergeCell ref="X1157:Y1157"/>
    <mergeCell ref="X1158:Y1158"/>
    <mergeCell ref="X1159:Y1159"/>
    <mergeCell ref="X1160:Y1160"/>
    <mergeCell ref="X1161:Y1161"/>
    <mergeCell ref="X1162:Y1162"/>
    <mergeCell ref="X1163:Y1163"/>
    <mergeCell ref="X1164:Y1164"/>
    <mergeCell ref="X1165:Y1165"/>
    <mergeCell ref="X1166:Y1166"/>
    <mergeCell ref="X1167:Y1167"/>
    <mergeCell ref="X1168:Y1168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77:Y1177"/>
    <mergeCell ref="X1178:Y1178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9:Y1189"/>
    <mergeCell ref="X1190:Y1190"/>
    <mergeCell ref="X1191:Y1191"/>
    <mergeCell ref="X1192:Y1192"/>
    <mergeCell ref="X1193:Y1193"/>
    <mergeCell ref="X1194:Y1194"/>
    <mergeCell ref="X1195:Y1195"/>
    <mergeCell ref="X1196:Y1196"/>
    <mergeCell ref="X1197:Y1197"/>
    <mergeCell ref="X1198:Y1198"/>
    <mergeCell ref="X1199:Y1199"/>
    <mergeCell ref="X1200:Y1200"/>
    <mergeCell ref="X1201:Y1201"/>
    <mergeCell ref="X1202:Y1202"/>
    <mergeCell ref="X1203:Y1203"/>
    <mergeCell ref="X1204:Y1204"/>
    <mergeCell ref="X1205:Y1205"/>
    <mergeCell ref="X1206:Y1206"/>
    <mergeCell ref="X1207:Y1207"/>
    <mergeCell ref="X1208:Y1208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9:Y1219"/>
    <mergeCell ref="X1220:Y1220"/>
    <mergeCell ref="X1221:Y1221"/>
    <mergeCell ref="X1222:Y1222"/>
    <mergeCell ref="X1223:Y1223"/>
    <mergeCell ref="X1224:Y1224"/>
    <mergeCell ref="X1225:Y1225"/>
    <mergeCell ref="X1226:Y1226"/>
    <mergeCell ref="X1227:Y1227"/>
    <mergeCell ref="X1228:Y1228"/>
    <mergeCell ref="X1229:Y1229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85:B5385"/>
    <mergeCell ref="A5386:B5386"/>
    <mergeCell ref="A5378:B5378"/>
    <mergeCell ref="A5379:B5379"/>
    <mergeCell ref="A5380:B5380"/>
    <mergeCell ref="A5381:B5381"/>
    <mergeCell ref="A5382:B5382"/>
    <mergeCell ref="A5383:B5383"/>
    <mergeCell ref="A5384:B5384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K3009:M3009"/>
    <mergeCell ref="K3010:M3010"/>
    <mergeCell ref="K3011:M3011"/>
    <mergeCell ref="K3012:M3012"/>
    <mergeCell ref="K3013:M3013"/>
    <mergeCell ref="K3014:M3014"/>
    <mergeCell ref="K3015:M3015"/>
    <mergeCell ref="K3016:M3016"/>
    <mergeCell ref="K3017:M3017"/>
    <mergeCell ref="K3018:M3018"/>
    <mergeCell ref="K3019:M3019"/>
    <mergeCell ref="K3020:M3020"/>
    <mergeCell ref="K3021:M3021"/>
    <mergeCell ref="K3022:M3022"/>
    <mergeCell ref="K3023:M3023"/>
    <mergeCell ref="K3024:M3024"/>
    <mergeCell ref="K3025:M3025"/>
    <mergeCell ref="K3026:M3026"/>
    <mergeCell ref="K3027:M3027"/>
    <mergeCell ref="K3028:M3028"/>
    <mergeCell ref="K3029:M3029"/>
    <mergeCell ref="K3030:M3030"/>
    <mergeCell ref="K3031:M3031"/>
    <mergeCell ref="K3032:M3032"/>
    <mergeCell ref="K3033:M3033"/>
    <mergeCell ref="K3034:M3034"/>
    <mergeCell ref="K3035:M3035"/>
    <mergeCell ref="K3036:M3036"/>
    <mergeCell ref="K3037:M3037"/>
    <mergeCell ref="K3038:M3038"/>
    <mergeCell ref="K3039:M3039"/>
    <mergeCell ref="K3040:M3040"/>
    <mergeCell ref="K3041:M3041"/>
    <mergeCell ref="K3042:M3042"/>
    <mergeCell ref="K3043:M3043"/>
    <mergeCell ref="K3044:M3044"/>
    <mergeCell ref="K3045:M3045"/>
    <mergeCell ref="K3046:M3046"/>
    <mergeCell ref="K3047:M3047"/>
    <mergeCell ref="K3048:M3048"/>
    <mergeCell ref="K3049:M3049"/>
    <mergeCell ref="K3050:M3050"/>
    <mergeCell ref="K3051:M3051"/>
    <mergeCell ref="K3052:M3052"/>
    <mergeCell ref="K3053:M3053"/>
    <mergeCell ref="K3054:M3054"/>
    <mergeCell ref="K3055:M3055"/>
    <mergeCell ref="K3056:M3056"/>
    <mergeCell ref="K3057:M3057"/>
    <mergeCell ref="K3058:M3058"/>
    <mergeCell ref="K3059:M3059"/>
    <mergeCell ref="K3060:M3060"/>
    <mergeCell ref="K3061:M3061"/>
    <mergeCell ref="K3062:M3062"/>
    <mergeCell ref="K3063:M3063"/>
    <mergeCell ref="K3064:M3064"/>
    <mergeCell ref="K3065:M3065"/>
    <mergeCell ref="K3066:M3066"/>
    <mergeCell ref="K3067:M3067"/>
    <mergeCell ref="K3068:M3068"/>
    <mergeCell ref="K3069:M3069"/>
    <mergeCell ref="K3070:M3070"/>
    <mergeCell ref="K3071:M3071"/>
    <mergeCell ref="K3072:M3072"/>
    <mergeCell ref="K3073:M3073"/>
    <mergeCell ref="K3074:M3074"/>
    <mergeCell ref="K3075:M3075"/>
    <mergeCell ref="K3076:M3076"/>
    <mergeCell ref="K3077:M3077"/>
    <mergeCell ref="K3078:M3078"/>
    <mergeCell ref="K3079:M3079"/>
    <mergeCell ref="K3080:M3080"/>
    <mergeCell ref="K3081:M3081"/>
    <mergeCell ref="K3082:M3082"/>
    <mergeCell ref="K3083:M3083"/>
    <mergeCell ref="K3084:M3084"/>
    <mergeCell ref="K3085:M3085"/>
    <mergeCell ref="K3086:M3086"/>
    <mergeCell ref="K3087:M3087"/>
    <mergeCell ref="K3088:M3088"/>
    <mergeCell ref="K3089:M3089"/>
    <mergeCell ref="K3090:M3090"/>
    <mergeCell ref="K3091:M3091"/>
    <mergeCell ref="K3092:M3092"/>
    <mergeCell ref="K3093:M3093"/>
    <mergeCell ref="K3094:M3094"/>
    <mergeCell ref="K3095:M3095"/>
    <mergeCell ref="K3096:M3096"/>
    <mergeCell ref="K3097:M3097"/>
    <mergeCell ref="K3098:M3098"/>
    <mergeCell ref="K3099:M3099"/>
    <mergeCell ref="K3100:M3100"/>
    <mergeCell ref="K3101:M3101"/>
    <mergeCell ref="K3102:M3102"/>
    <mergeCell ref="K3103:M3103"/>
    <mergeCell ref="K3104:M3104"/>
    <mergeCell ref="K3105:M3105"/>
    <mergeCell ref="K3106:M3106"/>
    <mergeCell ref="K3107:M3107"/>
    <mergeCell ref="K3108:M3108"/>
    <mergeCell ref="K3109:M3109"/>
    <mergeCell ref="K3110:M3110"/>
    <mergeCell ref="K3111:M3111"/>
    <mergeCell ref="K3112:M3112"/>
    <mergeCell ref="K3113:M3113"/>
    <mergeCell ref="K3114:M3114"/>
    <mergeCell ref="K3115:M3115"/>
    <mergeCell ref="K3116:M3116"/>
    <mergeCell ref="K3117:M3117"/>
    <mergeCell ref="K3118:M3118"/>
    <mergeCell ref="K3119:M3119"/>
    <mergeCell ref="K3120:M3120"/>
    <mergeCell ref="K3121:M3121"/>
    <mergeCell ref="K3122:M3122"/>
    <mergeCell ref="K3123:M3123"/>
    <mergeCell ref="K3124:M3124"/>
    <mergeCell ref="K3125:M3125"/>
    <mergeCell ref="K3126:M3126"/>
    <mergeCell ref="K3127:M3127"/>
    <mergeCell ref="K3128:M3128"/>
    <mergeCell ref="K3129:M3129"/>
    <mergeCell ref="K3130:M3130"/>
    <mergeCell ref="K3131:M3131"/>
    <mergeCell ref="K3132:M3132"/>
    <mergeCell ref="K3133:M3133"/>
    <mergeCell ref="K3134:M3134"/>
    <mergeCell ref="K3135:M3135"/>
    <mergeCell ref="K3136:M3136"/>
    <mergeCell ref="K3137:M3137"/>
    <mergeCell ref="K3138:M3138"/>
    <mergeCell ref="K3139:M3139"/>
    <mergeCell ref="K3140:M3140"/>
    <mergeCell ref="K3141:M3141"/>
    <mergeCell ref="K3142:M3142"/>
    <mergeCell ref="K3143:M3143"/>
    <mergeCell ref="K3144:M3144"/>
    <mergeCell ref="K3145:M3145"/>
    <mergeCell ref="K3146:M3146"/>
    <mergeCell ref="K3147:M3147"/>
    <mergeCell ref="K3148:M3148"/>
    <mergeCell ref="K3149:M3149"/>
    <mergeCell ref="K3150:M3150"/>
    <mergeCell ref="K3151:M3151"/>
    <mergeCell ref="K3152:M3152"/>
    <mergeCell ref="K3153:M3153"/>
    <mergeCell ref="K3154:M3154"/>
    <mergeCell ref="K3155:M3155"/>
    <mergeCell ref="K3156:M3156"/>
    <mergeCell ref="K3157:M3157"/>
    <mergeCell ref="K3158:M3158"/>
    <mergeCell ref="K3159:M3159"/>
    <mergeCell ref="K3160:M3160"/>
    <mergeCell ref="K3161:M3161"/>
    <mergeCell ref="K3162:M3162"/>
    <mergeCell ref="K3163:M3163"/>
    <mergeCell ref="K3164:M3164"/>
    <mergeCell ref="K3165:M3165"/>
    <mergeCell ref="K3166:M3166"/>
    <mergeCell ref="K3167:M3167"/>
    <mergeCell ref="K3168:M3168"/>
    <mergeCell ref="K3169:M3169"/>
    <mergeCell ref="K3170:M3170"/>
    <mergeCell ref="K3171:M3171"/>
    <mergeCell ref="K3172:M3172"/>
    <mergeCell ref="K3173:M3173"/>
    <mergeCell ref="K3174:M3174"/>
    <mergeCell ref="K3175:M3175"/>
    <mergeCell ref="K3176:M3176"/>
    <mergeCell ref="K3177:M3177"/>
    <mergeCell ref="K3178:M3178"/>
    <mergeCell ref="K3179:M3179"/>
    <mergeCell ref="K3180:M3180"/>
    <mergeCell ref="K3181:M3181"/>
    <mergeCell ref="K3182:M3182"/>
    <mergeCell ref="K3183:M3183"/>
    <mergeCell ref="K3184:M3184"/>
    <mergeCell ref="K3185:M3185"/>
    <mergeCell ref="K3186:M3186"/>
    <mergeCell ref="K3187:M3187"/>
    <mergeCell ref="K3188:M3188"/>
    <mergeCell ref="K3189:M3189"/>
    <mergeCell ref="K3190:M3190"/>
    <mergeCell ref="K3191:M3191"/>
    <mergeCell ref="K3192:M3192"/>
    <mergeCell ref="K3193:M3193"/>
    <mergeCell ref="K3194:M3194"/>
    <mergeCell ref="K3195:M3195"/>
    <mergeCell ref="K3196:M3196"/>
    <mergeCell ref="K3197:M3197"/>
    <mergeCell ref="K3198:M3198"/>
    <mergeCell ref="K3199:M3199"/>
    <mergeCell ref="K3200:M3200"/>
    <mergeCell ref="K3201:M3201"/>
    <mergeCell ref="K3202:M3202"/>
    <mergeCell ref="K3203:M3203"/>
    <mergeCell ref="K3204:M3204"/>
    <mergeCell ref="K3205:M3205"/>
    <mergeCell ref="K3206:M3206"/>
    <mergeCell ref="K3207:M3207"/>
    <mergeCell ref="K3208:M3208"/>
    <mergeCell ref="K3209:M3209"/>
    <mergeCell ref="K3210:M3210"/>
    <mergeCell ref="K3211:M3211"/>
    <mergeCell ref="K3212:M3212"/>
    <mergeCell ref="K3213:M3213"/>
    <mergeCell ref="K3214:M3214"/>
    <mergeCell ref="K3215:M3215"/>
    <mergeCell ref="K3216:M3216"/>
    <mergeCell ref="K3217:M3217"/>
    <mergeCell ref="K3218:M3218"/>
    <mergeCell ref="K3219:M3219"/>
    <mergeCell ref="K3220:M3220"/>
    <mergeCell ref="K3221:M3221"/>
    <mergeCell ref="K3222:M3222"/>
    <mergeCell ref="K3223:M3223"/>
    <mergeCell ref="K3224:M3224"/>
    <mergeCell ref="K3225:M3225"/>
    <mergeCell ref="K3226:M3226"/>
    <mergeCell ref="K3227:M3227"/>
    <mergeCell ref="K3228:M3228"/>
    <mergeCell ref="K3229:M3229"/>
    <mergeCell ref="K3230:M3230"/>
    <mergeCell ref="K3231:M3231"/>
    <mergeCell ref="K3232:M3232"/>
    <mergeCell ref="K3233:M3233"/>
    <mergeCell ref="K3234:M3234"/>
    <mergeCell ref="K3235:M3235"/>
    <mergeCell ref="K3236:M3236"/>
    <mergeCell ref="K3237:M3237"/>
    <mergeCell ref="K3238:M3238"/>
    <mergeCell ref="K3239:M3239"/>
    <mergeCell ref="K3240:M3240"/>
    <mergeCell ref="K3241:M3241"/>
    <mergeCell ref="K3242:M3242"/>
    <mergeCell ref="K3243:M3243"/>
    <mergeCell ref="K3244:M3244"/>
    <mergeCell ref="K3245:M3245"/>
    <mergeCell ref="K3246:M3246"/>
    <mergeCell ref="K3247:M3247"/>
    <mergeCell ref="K3248:M3248"/>
    <mergeCell ref="K3249:M3249"/>
    <mergeCell ref="K3250:M3250"/>
    <mergeCell ref="K3251:M3251"/>
    <mergeCell ref="K3252:M3252"/>
    <mergeCell ref="K3253:M3253"/>
    <mergeCell ref="K3254:M3254"/>
    <mergeCell ref="K3255:M3255"/>
    <mergeCell ref="K3256:M3256"/>
    <mergeCell ref="K3257:M3257"/>
    <mergeCell ref="K3258:M3258"/>
    <mergeCell ref="K3259:M3259"/>
    <mergeCell ref="K3260:M3260"/>
    <mergeCell ref="K3261:M3261"/>
    <mergeCell ref="K3262:M3262"/>
    <mergeCell ref="K3263:M3263"/>
    <mergeCell ref="K3264:M3264"/>
    <mergeCell ref="K3265:M3265"/>
    <mergeCell ref="K3266:M3266"/>
    <mergeCell ref="K3267:M3267"/>
    <mergeCell ref="K3268:M3268"/>
    <mergeCell ref="K3269:M3269"/>
    <mergeCell ref="K3270:M3270"/>
    <mergeCell ref="K3271:M3271"/>
    <mergeCell ref="K3272:M3272"/>
    <mergeCell ref="K3273:M3273"/>
    <mergeCell ref="K3274:M3274"/>
    <mergeCell ref="K3275:M3275"/>
    <mergeCell ref="K3276:M3276"/>
    <mergeCell ref="K3277:M3277"/>
    <mergeCell ref="K3278:M3278"/>
    <mergeCell ref="K3279:M3279"/>
    <mergeCell ref="K3280:M3280"/>
    <mergeCell ref="K3281:M3281"/>
    <mergeCell ref="K3282:M3282"/>
    <mergeCell ref="K3283:M3283"/>
    <mergeCell ref="K3284:M3284"/>
    <mergeCell ref="K3285:M3285"/>
    <mergeCell ref="K3286:M3286"/>
    <mergeCell ref="K3287:M3287"/>
    <mergeCell ref="K3288:M3288"/>
    <mergeCell ref="K3289:M3289"/>
    <mergeCell ref="K3290:M3290"/>
    <mergeCell ref="K3291:M3291"/>
    <mergeCell ref="K3292:M3292"/>
    <mergeCell ref="K3293:M3293"/>
    <mergeCell ref="K3294:M3294"/>
    <mergeCell ref="K3295:M3295"/>
    <mergeCell ref="K3296:M3296"/>
    <mergeCell ref="K3297:M3297"/>
    <mergeCell ref="K3298:M3298"/>
    <mergeCell ref="K3299:M3299"/>
    <mergeCell ref="K3300:M3300"/>
    <mergeCell ref="K3301:M3301"/>
    <mergeCell ref="K3302:M3302"/>
    <mergeCell ref="K3303:M3303"/>
    <mergeCell ref="K3304:M3304"/>
    <mergeCell ref="K3305:M3305"/>
    <mergeCell ref="K3306:M3306"/>
    <mergeCell ref="K3307:M3307"/>
    <mergeCell ref="K3308:M3308"/>
    <mergeCell ref="K3309:M3309"/>
    <mergeCell ref="K3310:M3310"/>
    <mergeCell ref="K3311:M3311"/>
    <mergeCell ref="K3312:M3312"/>
    <mergeCell ref="K3313:M3313"/>
    <mergeCell ref="K3314:M3314"/>
    <mergeCell ref="K3315:M3315"/>
    <mergeCell ref="K3316:M3316"/>
    <mergeCell ref="K3317:M3317"/>
    <mergeCell ref="K3318:M3318"/>
    <mergeCell ref="K3319:M3319"/>
    <mergeCell ref="K3320:M3320"/>
    <mergeCell ref="K3321:M3321"/>
    <mergeCell ref="K3322:M3322"/>
    <mergeCell ref="K3323:M3323"/>
    <mergeCell ref="K3324:M3324"/>
    <mergeCell ref="K3325:M3325"/>
    <mergeCell ref="K3326:M3326"/>
    <mergeCell ref="K3327:M3327"/>
    <mergeCell ref="K3328:M3328"/>
    <mergeCell ref="K3329:M3329"/>
    <mergeCell ref="K3330:M3330"/>
    <mergeCell ref="K3331:M3331"/>
    <mergeCell ref="K3332:M3332"/>
    <mergeCell ref="K3333:M3333"/>
    <mergeCell ref="K3334:M3334"/>
    <mergeCell ref="K3335:M3335"/>
    <mergeCell ref="K3336:M3336"/>
    <mergeCell ref="K3337:M3337"/>
    <mergeCell ref="K3338:M3338"/>
    <mergeCell ref="K3339:M3339"/>
    <mergeCell ref="K3340:M3340"/>
    <mergeCell ref="K3341:M3341"/>
    <mergeCell ref="K3342:M3342"/>
    <mergeCell ref="K3343:M3343"/>
    <mergeCell ref="K3344:M3344"/>
    <mergeCell ref="K3345:M3345"/>
    <mergeCell ref="K3346:M3346"/>
    <mergeCell ref="K3347:M3347"/>
    <mergeCell ref="K3348:M3348"/>
    <mergeCell ref="K3349:M3349"/>
    <mergeCell ref="K3350:M3350"/>
    <mergeCell ref="K3351:M3351"/>
    <mergeCell ref="K3352:M3352"/>
    <mergeCell ref="K3353:M3353"/>
    <mergeCell ref="K3354:M3354"/>
    <mergeCell ref="K3355:M3355"/>
    <mergeCell ref="K3356:M3356"/>
    <mergeCell ref="K3357:M3357"/>
    <mergeCell ref="K3358:M3358"/>
    <mergeCell ref="K3359:M3359"/>
    <mergeCell ref="K3360:M3360"/>
    <mergeCell ref="K3361:M3361"/>
    <mergeCell ref="K3362:M3362"/>
    <mergeCell ref="K3363:M3363"/>
    <mergeCell ref="K3364:M3364"/>
    <mergeCell ref="K3365:M3365"/>
    <mergeCell ref="K3366:M3366"/>
    <mergeCell ref="K3367:M3367"/>
    <mergeCell ref="K3368:M3368"/>
    <mergeCell ref="K3369:M3369"/>
    <mergeCell ref="K3370:M3370"/>
    <mergeCell ref="K3371:M3371"/>
    <mergeCell ref="K3372:M3372"/>
    <mergeCell ref="K3373:M3373"/>
    <mergeCell ref="K3374:M3374"/>
    <mergeCell ref="K3375:M3375"/>
    <mergeCell ref="K3376:M3376"/>
    <mergeCell ref="K3377:M3377"/>
    <mergeCell ref="K3378:M3378"/>
    <mergeCell ref="K3379:M3379"/>
    <mergeCell ref="K3380:M3380"/>
    <mergeCell ref="K3381:M3381"/>
    <mergeCell ref="K3382:M3382"/>
    <mergeCell ref="K3383:M3383"/>
    <mergeCell ref="K3384:M3384"/>
    <mergeCell ref="K3385:M3385"/>
    <mergeCell ref="K3386:M3386"/>
    <mergeCell ref="K3387:M3387"/>
    <mergeCell ref="K3388:M3388"/>
    <mergeCell ref="K3389:M3389"/>
    <mergeCell ref="K3390:M3390"/>
    <mergeCell ref="K3391:M3391"/>
    <mergeCell ref="K3392:M3392"/>
    <mergeCell ref="K3393:M3393"/>
    <mergeCell ref="K3394:M3394"/>
    <mergeCell ref="K3395:M3395"/>
    <mergeCell ref="K3396:M3396"/>
    <mergeCell ref="K3397:M3397"/>
    <mergeCell ref="K3398:M3398"/>
    <mergeCell ref="K3399:M3399"/>
    <mergeCell ref="K3400:M3400"/>
    <mergeCell ref="K3401:M3401"/>
    <mergeCell ref="K3402:M3402"/>
    <mergeCell ref="K3403:M3403"/>
    <mergeCell ref="K3404:M3404"/>
    <mergeCell ref="K3405:M3405"/>
    <mergeCell ref="K3406:M3406"/>
    <mergeCell ref="K3407:M3407"/>
    <mergeCell ref="K3408:M3408"/>
    <mergeCell ref="K3409:M3409"/>
    <mergeCell ref="K3410:M3410"/>
    <mergeCell ref="K3411:M3411"/>
    <mergeCell ref="K3412:M3412"/>
    <mergeCell ref="K3413:M3413"/>
    <mergeCell ref="K3414:M3414"/>
    <mergeCell ref="K3415:M3415"/>
    <mergeCell ref="K3416:M3416"/>
    <mergeCell ref="K3417:M3417"/>
    <mergeCell ref="K3418:M3418"/>
    <mergeCell ref="K3419:M3419"/>
    <mergeCell ref="K3420:M3420"/>
    <mergeCell ref="K3421:M3421"/>
    <mergeCell ref="K3422:M3422"/>
    <mergeCell ref="K3423:M3423"/>
    <mergeCell ref="K3424:M3424"/>
    <mergeCell ref="K3425:M3425"/>
    <mergeCell ref="K3426:M3426"/>
    <mergeCell ref="K3427:M3427"/>
    <mergeCell ref="K3428:M3428"/>
    <mergeCell ref="K3429:M3429"/>
    <mergeCell ref="K3430:M3430"/>
    <mergeCell ref="K3431:M3431"/>
    <mergeCell ref="K3432:M3432"/>
    <mergeCell ref="K3433:M3433"/>
    <mergeCell ref="K3434:M3434"/>
    <mergeCell ref="K3435:M3435"/>
    <mergeCell ref="K3436:M3436"/>
    <mergeCell ref="K3437:M3437"/>
    <mergeCell ref="K3438:M3438"/>
    <mergeCell ref="K3439:M3439"/>
    <mergeCell ref="K3440:M3440"/>
    <mergeCell ref="K3441:M3441"/>
    <mergeCell ref="K3442:M3442"/>
    <mergeCell ref="K3443:M3443"/>
    <mergeCell ref="K3444:M3444"/>
    <mergeCell ref="K3445:M3445"/>
    <mergeCell ref="K3446:M3446"/>
    <mergeCell ref="K3447:M3447"/>
    <mergeCell ref="K3448:M3448"/>
    <mergeCell ref="K3449:M3449"/>
    <mergeCell ref="K3450:M3450"/>
    <mergeCell ref="K3451:M3451"/>
    <mergeCell ref="K3452:M3452"/>
    <mergeCell ref="K3453:M3453"/>
    <mergeCell ref="K3454:M3454"/>
    <mergeCell ref="K3455:M3455"/>
    <mergeCell ref="K3456:M3456"/>
    <mergeCell ref="K3457:M3457"/>
    <mergeCell ref="K3458:M3458"/>
    <mergeCell ref="K3459:M3459"/>
    <mergeCell ref="K3460:M3460"/>
    <mergeCell ref="K3461:M3461"/>
    <mergeCell ref="K3462:M3462"/>
    <mergeCell ref="K3463:M3463"/>
    <mergeCell ref="K3464:M3464"/>
    <mergeCell ref="K3465:M3465"/>
    <mergeCell ref="K3466:M3466"/>
    <mergeCell ref="K3467:M3467"/>
    <mergeCell ref="K3468:M3468"/>
    <mergeCell ref="K3469:M3469"/>
    <mergeCell ref="K3470:M3470"/>
    <mergeCell ref="K3471:M3471"/>
    <mergeCell ref="K3472:M3472"/>
    <mergeCell ref="K3473:M3473"/>
    <mergeCell ref="K3474:M3474"/>
    <mergeCell ref="K3475:M3475"/>
    <mergeCell ref="K3476:M3476"/>
    <mergeCell ref="K3477:M3477"/>
    <mergeCell ref="K3478:M3478"/>
    <mergeCell ref="K3479:M3479"/>
    <mergeCell ref="K3480:M3480"/>
    <mergeCell ref="K3481:M3481"/>
    <mergeCell ref="K3482:M3482"/>
    <mergeCell ref="K3483:M3483"/>
    <mergeCell ref="K3484:M3484"/>
    <mergeCell ref="K3485:M3485"/>
    <mergeCell ref="K3486:M3486"/>
    <mergeCell ref="K3487:M3487"/>
    <mergeCell ref="K3488:M3488"/>
    <mergeCell ref="K3489:M3489"/>
    <mergeCell ref="K3490:M3490"/>
    <mergeCell ref="K3491:M3491"/>
    <mergeCell ref="K3492:M3492"/>
    <mergeCell ref="K3493:M3493"/>
    <mergeCell ref="K3494:M3494"/>
    <mergeCell ref="K3495:M3495"/>
    <mergeCell ref="K3496:M3496"/>
    <mergeCell ref="K3497:M3497"/>
    <mergeCell ref="K3498:M3498"/>
    <mergeCell ref="K3499:M3499"/>
    <mergeCell ref="K3500:M3500"/>
    <mergeCell ref="K3501:M3501"/>
    <mergeCell ref="K3502:M3502"/>
    <mergeCell ref="K3503:M3503"/>
    <mergeCell ref="K3504:M3504"/>
    <mergeCell ref="K3505:M3505"/>
    <mergeCell ref="K3506:M3506"/>
    <mergeCell ref="K3507:M3507"/>
    <mergeCell ref="K3508:M3508"/>
    <mergeCell ref="K3509:M3509"/>
    <mergeCell ref="K3510:M3510"/>
    <mergeCell ref="K3511:M3511"/>
    <mergeCell ref="K3512:M3512"/>
    <mergeCell ref="K3513:M3513"/>
    <mergeCell ref="K3514:M3514"/>
    <mergeCell ref="K3515:M3515"/>
    <mergeCell ref="K3516:M3516"/>
    <mergeCell ref="K3517:M3517"/>
    <mergeCell ref="K3518:M3518"/>
    <mergeCell ref="K3519:M3519"/>
    <mergeCell ref="K3520:M3520"/>
    <mergeCell ref="K3521:M3521"/>
    <mergeCell ref="K3522:M3522"/>
    <mergeCell ref="K3523:M3523"/>
    <mergeCell ref="K3524:M3524"/>
    <mergeCell ref="K3525:M3525"/>
    <mergeCell ref="K3526:M3526"/>
    <mergeCell ref="K3527:M3527"/>
    <mergeCell ref="K3528:M3528"/>
    <mergeCell ref="K3529:M3529"/>
    <mergeCell ref="K3530:M3530"/>
    <mergeCell ref="K3531:M3531"/>
    <mergeCell ref="K3532:M3532"/>
    <mergeCell ref="K3533:M3533"/>
    <mergeCell ref="K3534:M3534"/>
    <mergeCell ref="K3535:M3535"/>
    <mergeCell ref="K3536:M3536"/>
    <mergeCell ref="K3537:M3537"/>
    <mergeCell ref="K3538:M3538"/>
    <mergeCell ref="K3539:M3539"/>
    <mergeCell ref="K3540:M3540"/>
    <mergeCell ref="K3541:M3541"/>
    <mergeCell ref="K3542:M3542"/>
    <mergeCell ref="K3543:M3543"/>
    <mergeCell ref="K3544:M3544"/>
    <mergeCell ref="K3545:M3545"/>
    <mergeCell ref="K3546:M3546"/>
    <mergeCell ref="K3547:M3547"/>
    <mergeCell ref="K3548:M3548"/>
    <mergeCell ref="K3549:M3549"/>
    <mergeCell ref="K3550:M3550"/>
    <mergeCell ref="K3551:M3551"/>
    <mergeCell ref="K3552:M3552"/>
    <mergeCell ref="K3553:M3553"/>
    <mergeCell ref="K3554:M3554"/>
    <mergeCell ref="K3555:M3555"/>
    <mergeCell ref="K3556:M3556"/>
    <mergeCell ref="K3557:M3557"/>
    <mergeCell ref="K3558:M3558"/>
    <mergeCell ref="K3559:M3559"/>
    <mergeCell ref="K3560:M3560"/>
    <mergeCell ref="K3561:M3561"/>
    <mergeCell ref="K3562:M3562"/>
    <mergeCell ref="K3563:M3563"/>
    <mergeCell ref="K3564:M3564"/>
    <mergeCell ref="K3565:M3565"/>
    <mergeCell ref="K3566:M3566"/>
    <mergeCell ref="K3567:M3567"/>
    <mergeCell ref="K3568:M3568"/>
    <mergeCell ref="K3569:M3569"/>
    <mergeCell ref="K3570:M3570"/>
    <mergeCell ref="K3571:M3571"/>
    <mergeCell ref="K3572:M3572"/>
    <mergeCell ref="K3573:M3573"/>
    <mergeCell ref="K3574:M3574"/>
    <mergeCell ref="K3575:M3575"/>
    <mergeCell ref="K3576:M3576"/>
    <mergeCell ref="K3577:M3577"/>
    <mergeCell ref="K3578:M3578"/>
    <mergeCell ref="K3579:M3579"/>
    <mergeCell ref="K3580:M3580"/>
    <mergeCell ref="K3581:M3581"/>
    <mergeCell ref="K3582:M3582"/>
    <mergeCell ref="K3583:M3583"/>
    <mergeCell ref="K3584:M3584"/>
    <mergeCell ref="K3585:M3585"/>
    <mergeCell ref="K3586:M3586"/>
    <mergeCell ref="K3587:M3587"/>
    <mergeCell ref="K3588:M3588"/>
    <mergeCell ref="K3589:M3589"/>
    <mergeCell ref="K3590:M3590"/>
    <mergeCell ref="K3591:M3591"/>
    <mergeCell ref="K3592:M3592"/>
    <mergeCell ref="K3593:M3593"/>
    <mergeCell ref="K3594:M3594"/>
    <mergeCell ref="K3595:M3595"/>
    <mergeCell ref="K3596:M3596"/>
    <mergeCell ref="K3597:M3597"/>
    <mergeCell ref="K3598:M3598"/>
    <mergeCell ref="K3599:M3599"/>
    <mergeCell ref="K3600:M3600"/>
    <mergeCell ref="K3601:M3601"/>
    <mergeCell ref="K3602:M3602"/>
    <mergeCell ref="K3603:M3603"/>
    <mergeCell ref="K3604:M3604"/>
    <mergeCell ref="K3605:M3605"/>
    <mergeCell ref="K3606:M3606"/>
    <mergeCell ref="K3607:M3607"/>
    <mergeCell ref="K3608:M3608"/>
    <mergeCell ref="K3609:M3609"/>
    <mergeCell ref="K3610:M3610"/>
    <mergeCell ref="K3611:M3611"/>
    <mergeCell ref="K3612:M3612"/>
    <mergeCell ref="K3613:M3613"/>
    <mergeCell ref="K3614:M3614"/>
    <mergeCell ref="K3615:M3615"/>
    <mergeCell ref="K3616:M3616"/>
    <mergeCell ref="K3617:M3617"/>
    <mergeCell ref="K3618:M3618"/>
    <mergeCell ref="K3619:M3619"/>
    <mergeCell ref="K3620:M3620"/>
    <mergeCell ref="K3621:M3621"/>
    <mergeCell ref="K3622:M3622"/>
    <mergeCell ref="K3623:M3623"/>
    <mergeCell ref="K3624:M3624"/>
    <mergeCell ref="K3625:M3625"/>
    <mergeCell ref="K3626:M3626"/>
    <mergeCell ref="K3627:M3627"/>
    <mergeCell ref="K3628:M3628"/>
    <mergeCell ref="K3629:M3629"/>
    <mergeCell ref="K3630:M3630"/>
    <mergeCell ref="K3631:M3631"/>
    <mergeCell ref="K3632:M3632"/>
    <mergeCell ref="K3633:M3633"/>
    <mergeCell ref="K3634:M3634"/>
    <mergeCell ref="K3635:M3635"/>
    <mergeCell ref="K3636:M3636"/>
    <mergeCell ref="K3637:M3637"/>
    <mergeCell ref="K3638:M3638"/>
    <mergeCell ref="K3639:M3639"/>
    <mergeCell ref="K3640:M3640"/>
    <mergeCell ref="K3641:M3641"/>
    <mergeCell ref="K3642:M3642"/>
    <mergeCell ref="K3643:M3643"/>
    <mergeCell ref="K3644:M3644"/>
    <mergeCell ref="K3645:M3645"/>
    <mergeCell ref="K3646:M3646"/>
    <mergeCell ref="K3647:M3647"/>
    <mergeCell ref="K3648:M3648"/>
    <mergeCell ref="K3649:M3649"/>
    <mergeCell ref="K3650:M3650"/>
    <mergeCell ref="K3651:M3651"/>
    <mergeCell ref="K3652:M3652"/>
    <mergeCell ref="K3653:M3653"/>
    <mergeCell ref="K3654:M3654"/>
    <mergeCell ref="K3655:M3655"/>
    <mergeCell ref="K3656:M3656"/>
    <mergeCell ref="K3657:M3657"/>
    <mergeCell ref="K3658:M3658"/>
    <mergeCell ref="K3659:M3659"/>
    <mergeCell ref="K3660:M3660"/>
    <mergeCell ref="K3661:M3661"/>
    <mergeCell ref="K3662:M3662"/>
    <mergeCell ref="K3663:M3663"/>
    <mergeCell ref="K3664:M3664"/>
    <mergeCell ref="K3665:M3665"/>
    <mergeCell ref="K3666:M3666"/>
    <mergeCell ref="K3667:M3667"/>
    <mergeCell ref="K3668:M3668"/>
    <mergeCell ref="K3669:M3669"/>
    <mergeCell ref="K3670:M3670"/>
    <mergeCell ref="K3671:M3671"/>
    <mergeCell ref="K3672:M3672"/>
    <mergeCell ref="K3673:M3673"/>
    <mergeCell ref="K3674:M3674"/>
    <mergeCell ref="K3675:M3675"/>
    <mergeCell ref="K3676:M3676"/>
    <mergeCell ref="K3677:M3677"/>
    <mergeCell ref="K3678:M3678"/>
    <mergeCell ref="K3679:M3679"/>
    <mergeCell ref="K3680:M3680"/>
    <mergeCell ref="K3681:M3681"/>
    <mergeCell ref="K3682:M3682"/>
    <mergeCell ref="K3683:M3683"/>
    <mergeCell ref="K3684:M3684"/>
    <mergeCell ref="K3685:M3685"/>
    <mergeCell ref="K3686:M3686"/>
    <mergeCell ref="K3687:M3687"/>
    <mergeCell ref="K3688:M3688"/>
    <mergeCell ref="K3689:M3689"/>
    <mergeCell ref="K3690:M3690"/>
    <mergeCell ref="K3691:M3691"/>
    <mergeCell ref="K3692:M3692"/>
    <mergeCell ref="K3693:M3693"/>
    <mergeCell ref="K3694:M3694"/>
    <mergeCell ref="K3695:M3695"/>
    <mergeCell ref="K3696:M3696"/>
    <mergeCell ref="K3697:M3697"/>
    <mergeCell ref="K3698:M3698"/>
    <mergeCell ref="K3699:M3699"/>
    <mergeCell ref="K3700:M3700"/>
    <mergeCell ref="K3701:M3701"/>
    <mergeCell ref="K3702:M3702"/>
    <mergeCell ref="K3703:M3703"/>
    <mergeCell ref="K3704:M3704"/>
    <mergeCell ref="K3705:M3705"/>
    <mergeCell ref="K3706:M3706"/>
    <mergeCell ref="K3707:M3707"/>
    <mergeCell ref="K3708:M3708"/>
    <mergeCell ref="K3709:M3709"/>
    <mergeCell ref="K3710:M3710"/>
    <mergeCell ref="K3711:M3711"/>
    <mergeCell ref="K3712:M3712"/>
    <mergeCell ref="K3713:M3713"/>
    <mergeCell ref="K3714:M3714"/>
    <mergeCell ref="K3715:M3715"/>
    <mergeCell ref="K3716:M3716"/>
    <mergeCell ref="K3717:M3717"/>
    <mergeCell ref="K3718:M3718"/>
    <mergeCell ref="K3719:M3719"/>
    <mergeCell ref="K3720:M3720"/>
    <mergeCell ref="K3721:M3721"/>
    <mergeCell ref="K3722:M3722"/>
    <mergeCell ref="K3723:M3723"/>
    <mergeCell ref="K3724:M3724"/>
    <mergeCell ref="K3725:M3725"/>
    <mergeCell ref="K3726:M3726"/>
    <mergeCell ref="K3727:M3727"/>
    <mergeCell ref="K3728:M3728"/>
    <mergeCell ref="K3729:M3729"/>
    <mergeCell ref="K3730:M3730"/>
    <mergeCell ref="K3731:M3731"/>
    <mergeCell ref="K3732:M3732"/>
    <mergeCell ref="K3733:M3733"/>
    <mergeCell ref="K3734:M3734"/>
    <mergeCell ref="K3735:M3735"/>
    <mergeCell ref="K3736:M3736"/>
    <mergeCell ref="K3737:M3737"/>
    <mergeCell ref="K3738:M3738"/>
    <mergeCell ref="K3739:M3739"/>
    <mergeCell ref="K3740:M3740"/>
    <mergeCell ref="K3741:M3741"/>
    <mergeCell ref="K3742:M3742"/>
    <mergeCell ref="K3743:M3743"/>
    <mergeCell ref="K3744:M3744"/>
    <mergeCell ref="K3745:M3745"/>
    <mergeCell ref="K3746:M3746"/>
    <mergeCell ref="K3747:M3747"/>
    <mergeCell ref="K3748:M3748"/>
    <mergeCell ref="K3749:M3749"/>
    <mergeCell ref="K3750:M3750"/>
    <mergeCell ref="K3751:M3751"/>
    <mergeCell ref="K3752:M3752"/>
    <mergeCell ref="K3753:M3753"/>
    <mergeCell ref="K3754:M3754"/>
    <mergeCell ref="K3755:M3755"/>
    <mergeCell ref="K3756:M3756"/>
    <mergeCell ref="K3757:M3757"/>
    <mergeCell ref="K3758:M3758"/>
    <mergeCell ref="K3759:M3759"/>
    <mergeCell ref="K3760:M3760"/>
    <mergeCell ref="K3761:M3761"/>
    <mergeCell ref="K3762:M3762"/>
    <mergeCell ref="K3763:M3763"/>
    <mergeCell ref="K3764:M3764"/>
    <mergeCell ref="K3765:M3765"/>
    <mergeCell ref="K3766:M3766"/>
    <mergeCell ref="K3767:M3767"/>
    <mergeCell ref="K3768:M3768"/>
    <mergeCell ref="K3769:M3769"/>
    <mergeCell ref="K3770:M3770"/>
    <mergeCell ref="K3771:M3771"/>
    <mergeCell ref="K3772:M3772"/>
    <mergeCell ref="K3773:M3773"/>
    <mergeCell ref="K3774:M3774"/>
    <mergeCell ref="K3775:M3775"/>
    <mergeCell ref="K3776:M3776"/>
    <mergeCell ref="K3777:M3777"/>
    <mergeCell ref="K3778:M3778"/>
    <mergeCell ref="K3779:M3779"/>
    <mergeCell ref="K3780:M3780"/>
    <mergeCell ref="K3781:M3781"/>
    <mergeCell ref="K3782:M3782"/>
    <mergeCell ref="K3783:M3783"/>
    <mergeCell ref="K3784:M3784"/>
    <mergeCell ref="K3785:M3785"/>
    <mergeCell ref="K3786:M3786"/>
    <mergeCell ref="K3787:M3787"/>
    <mergeCell ref="K3788:M3788"/>
    <mergeCell ref="K3789:M3789"/>
    <mergeCell ref="K3790:M3790"/>
    <mergeCell ref="K3791:M3791"/>
    <mergeCell ref="K3792:M3792"/>
    <mergeCell ref="K3793:M3793"/>
    <mergeCell ref="K3794:M3794"/>
    <mergeCell ref="K3795:M3795"/>
    <mergeCell ref="K3796:M3796"/>
    <mergeCell ref="K3797:M3797"/>
    <mergeCell ref="K3798:M3798"/>
    <mergeCell ref="K3799:M3799"/>
    <mergeCell ref="K3800:M3800"/>
    <mergeCell ref="K3801:M3801"/>
    <mergeCell ref="K3802:M3802"/>
    <mergeCell ref="K3803:M3803"/>
    <mergeCell ref="K3804:M3804"/>
    <mergeCell ref="K3805:M3805"/>
    <mergeCell ref="K3806:M3806"/>
    <mergeCell ref="K3807:M3807"/>
    <mergeCell ref="K3808:M3808"/>
    <mergeCell ref="K3809:M3809"/>
    <mergeCell ref="K3810:M3810"/>
    <mergeCell ref="K3811:M3811"/>
    <mergeCell ref="K3812:M3812"/>
    <mergeCell ref="K3813:M3813"/>
    <mergeCell ref="K3814:M3814"/>
    <mergeCell ref="K3815:M3815"/>
    <mergeCell ref="K3816:M3816"/>
    <mergeCell ref="K3817:M3817"/>
    <mergeCell ref="K3818:M3818"/>
    <mergeCell ref="K3819:M3819"/>
    <mergeCell ref="K3820:M3820"/>
    <mergeCell ref="K3821:M3821"/>
    <mergeCell ref="K3822:M3822"/>
    <mergeCell ref="K3823:M3823"/>
    <mergeCell ref="K3824:M3824"/>
    <mergeCell ref="K3825:M3825"/>
    <mergeCell ref="K3826:M3826"/>
    <mergeCell ref="K3827:M3827"/>
    <mergeCell ref="K3828:M3828"/>
    <mergeCell ref="K3829:M3829"/>
    <mergeCell ref="K3830:M3830"/>
    <mergeCell ref="K3831:M3831"/>
    <mergeCell ref="K3832:M3832"/>
    <mergeCell ref="K3833:M3833"/>
    <mergeCell ref="K3834:M3834"/>
    <mergeCell ref="K3835:M3835"/>
    <mergeCell ref="K3836:M3836"/>
    <mergeCell ref="K3837:M3837"/>
    <mergeCell ref="K3838:M3838"/>
    <mergeCell ref="K3839:M3839"/>
    <mergeCell ref="K3840:M3840"/>
    <mergeCell ref="K3841:M3841"/>
    <mergeCell ref="K3842:M3842"/>
    <mergeCell ref="K3843:M3843"/>
    <mergeCell ref="K3844:M3844"/>
    <mergeCell ref="K3845:M3845"/>
    <mergeCell ref="K3846:M3846"/>
    <mergeCell ref="K3847:M3847"/>
    <mergeCell ref="K3848:M3848"/>
    <mergeCell ref="K3849:M3849"/>
    <mergeCell ref="K3850:M3850"/>
    <mergeCell ref="K3851:M3851"/>
    <mergeCell ref="K3852:M3852"/>
    <mergeCell ref="K3853:M3853"/>
    <mergeCell ref="K3854:M3854"/>
    <mergeCell ref="K3855:M3855"/>
    <mergeCell ref="K3856:M3856"/>
    <mergeCell ref="K3857:M3857"/>
    <mergeCell ref="K3858:M3858"/>
    <mergeCell ref="K3859:M3859"/>
    <mergeCell ref="K3860:M3860"/>
    <mergeCell ref="K3861:M3861"/>
    <mergeCell ref="K3862:M3862"/>
    <mergeCell ref="K3863:M3863"/>
    <mergeCell ref="K3864:M3864"/>
    <mergeCell ref="K3865:M3865"/>
    <mergeCell ref="K3866:M3866"/>
    <mergeCell ref="K3867:M3867"/>
    <mergeCell ref="K3868:M3868"/>
    <mergeCell ref="K3869:M3869"/>
    <mergeCell ref="K3870:M3870"/>
    <mergeCell ref="K3871:M3871"/>
    <mergeCell ref="K3872:M3872"/>
    <mergeCell ref="K3873:M3873"/>
    <mergeCell ref="K3874:M3874"/>
    <mergeCell ref="K3875:M3875"/>
    <mergeCell ref="K3876:M3876"/>
    <mergeCell ref="K3877:M3877"/>
    <mergeCell ref="K3878:M3878"/>
    <mergeCell ref="K3879:M3879"/>
    <mergeCell ref="K3880:M3880"/>
    <mergeCell ref="K3881:M3881"/>
    <mergeCell ref="K3882:M3882"/>
    <mergeCell ref="K3883:M3883"/>
    <mergeCell ref="K3884:M3884"/>
    <mergeCell ref="K3885:M3885"/>
    <mergeCell ref="K3886:M3886"/>
    <mergeCell ref="K3887:M3887"/>
    <mergeCell ref="K3888:M3888"/>
    <mergeCell ref="K3889:M3889"/>
    <mergeCell ref="K3890:M3890"/>
    <mergeCell ref="K3891:M3891"/>
    <mergeCell ref="K3892:M3892"/>
    <mergeCell ref="K3893:M3893"/>
    <mergeCell ref="K3894:M3894"/>
    <mergeCell ref="K3895:M3895"/>
    <mergeCell ref="K3896:M3896"/>
    <mergeCell ref="K3897:M3897"/>
    <mergeCell ref="K3898:M3898"/>
    <mergeCell ref="K3899:M3899"/>
    <mergeCell ref="K3900:M3900"/>
    <mergeCell ref="K3901:M3901"/>
    <mergeCell ref="K3902:M3902"/>
    <mergeCell ref="K3903:M3903"/>
    <mergeCell ref="K3904:M3904"/>
    <mergeCell ref="K3905:M3905"/>
    <mergeCell ref="K3906:M3906"/>
    <mergeCell ref="K3907:M3907"/>
    <mergeCell ref="K3908:M3908"/>
    <mergeCell ref="K3909:M3909"/>
    <mergeCell ref="K3910:M3910"/>
    <mergeCell ref="K3911:M3911"/>
    <mergeCell ref="K3912:M3912"/>
    <mergeCell ref="K3913:M3913"/>
    <mergeCell ref="K3914:M3914"/>
    <mergeCell ref="K3915:M3915"/>
    <mergeCell ref="K3916:M3916"/>
    <mergeCell ref="K3917:M3917"/>
    <mergeCell ref="K3918:M3918"/>
    <mergeCell ref="K3919:M3919"/>
    <mergeCell ref="K3920:M3920"/>
    <mergeCell ref="K3921:M3921"/>
    <mergeCell ref="K3922:M3922"/>
    <mergeCell ref="K3923:M3923"/>
    <mergeCell ref="K3924:M3924"/>
    <mergeCell ref="K3925:M3925"/>
    <mergeCell ref="K3926:M3926"/>
    <mergeCell ref="K3927:M3927"/>
    <mergeCell ref="K3928:M3928"/>
    <mergeCell ref="K3929:M3929"/>
    <mergeCell ref="K3930:M3930"/>
    <mergeCell ref="K3931:M3931"/>
    <mergeCell ref="K3932:M3932"/>
    <mergeCell ref="K3933:M3933"/>
    <mergeCell ref="K3934:M3934"/>
    <mergeCell ref="K3935:M3935"/>
    <mergeCell ref="K3936:M3936"/>
    <mergeCell ref="K3937:M3937"/>
    <mergeCell ref="K3938:M3938"/>
    <mergeCell ref="K3939:M3939"/>
    <mergeCell ref="K3940:M3940"/>
    <mergeCell ref="K3941:M3941"/>
    <mergeCell ref="K3942:M3942"/>
    <mergeCell ref="K3943:M3943"/>
    <mergeCell ref="K3944:M3944"/>
    <mergeCell ref="K3945:M3945"/>
    <mergeCell ref="K3946:M3946"/>
    <mergeCell ref="K3947:M3947"/>
    <mergeCell ref="K3948:M3948"/>
    <mergeCell ref="K3949:M3949"/>
    <mergeCell ref="K3950:M3950"/>
    <mergeCell ref="K3951:M3951"/>
    <mergeCell ref="K3952:M3952"/>
    <mergeCell ref="K3953:M3953"/>
    <mergeCell ref="K3954:M3954"/>
    <mergeCell ref="K3955:M3955"/>
    <mergeCell ref="K3956:M3956"/>
    <mergeCell ref="K3957:M3957"/>
    <mergeCell ref="K3958:M3958"/>
    <mergeCell ref="K3959:M3959"/>
    <mergeCell ref="K3960:M3960"/>
    <mergeCell ref="K3961:M3961"/>
    <mergeCell ref="K3962:M3962"/>
    <mergeCell ref="K3963:M3963"/>
    <mergeCell ref="K3964:M3964"/>
    <mergeCell ref="K3965:M3965"/>
    <mergeCell ref="K3966:M3966"/>
    <mergeCell ref="K3967:M3967"/>
    <mergeCell ref="K3968:M3968"/>
    <mergeCell ref="K3969:M3969"/>
    <mergeCell ref="K3970:M3970"/>
    <mergeCell ref="K3971:M3971"/>
    <mergeCell ref="K3972:M3972"/>
    <mergeCell ref="K3973:M3973"/>
    <mergeCell ref="K3974:M3974"/>
    <mergeCell ref="K3975:M3975"/>
    <mergeCell ref="K3976:M3976"/>
    <mergeCell ref="K3977:M3977"/>
    <mergeCell ref="K3978:M3978"/>
    <mergeCell ref="K3979:M3979"/>
    <mergeCell ref="K3980:M3980"/>
    <mergeCell ref="K3981:M3981"/>
    <mergeCell ref="K3982:M3982"/>
    <mergeCell ref="K3983:M3983"/>
    <mergeCell ref="K3984:M3984"/>
    <mergeCell ref="K3985:M3985"/>
    <mergeCell ref="K3986:M3986"/>
    <mergeCell ref="K3987:M3987"/>
    <mergeCell ref="K3988:M3988"/>
    <mergeCell ref="K3989:M3989"/>
    <mergeCell ref="K3990:M3990"/>
    <mergeCell ref="K3991:M3991"/>
    <mergeCell ref="K3992:M3992"/>
    <mergeCell ref="K3993:M3993"/>
    <mergeCell ref="K3994:M3994"/>
    <mergeCell ref="K3995:M3995"/>
    <mergeCell ref="K3996:M3996"/>
    <mergeCell ref="K3997:M3997"/>
    <mergeCell ref="K3998:M3998"/>
    <mergeCell ref="K3999:M3999"/>
    <mergeCell ref="K4000:M4000"/>
    <mergeCell ref="K4001:M4001"/>
    <mergeCell ref="K4002:M4002"/>
    <mergeCell ref="K4003:M4003"/>
    <mergeCell ref="K4004:M4004"/>
    <mergeCell ref="K4005:M4005"/>
    <mergeCell ref="K4006:M4006"/>
    <mergeCell ref="K4007:M4007"/>
    <mergeCell ref="K4008:M4008"/>
    <mergeCell ref="K4009:M4009"/>
    <mergeCell ref="K4010:M4010"/>
    <mergeCell ref="K4011:M4011"/>
    <mergeCell ref="K4012:M4012"/>
    <mergeCell ref="K4013:M4013"/>
    <mergeCell ref="K4014:M4014"/>
    <mergeCell ref="K4015:M4015"/>
    <mergeCell ref="K4016:M4016"/>
    <mergeCell ref="K4017:M4017"/>
    <mergeCell ref="K4018:M4018"/>
    <mergeCell ref="K4019:M4019"/>
    <mergeCell ref="K4020:M4020"/>
    <mergeCell ref="K4021:M4021"/>
    <mergeCell ref="K4022:M4022"/>
    <mergeCell ref="K4023:M4023"/>
    <mergeCell ref="K4024:M4024"/>
    <mergeCell ref="K4025:M4025"/>
    <mergeCell ref="K4026:M4026"/>
    <mergeCell ref="K4027:M4027"/>
    <mergeCell ref="K4028:M4028"/>
    <mergeCell ref="K4029:M4029"/>
    <mergeCell ref="K4030:M4030"/>
    <mergeCell ref="K4031:M4031"/>
    <mergeCell ref="K4032:M4032"/>
    <mergeCell ref="K4033:M4033"/>
    <mergeCell ref="K4034:M4034"/>
    <mergeCell ref="K4035:M4035"/>
    <mergeCell ref="K4036:M4036"/>
    <mergeCell ref="K4037:M4037"/>
    <mergeCell ref="K4038:M4038"/>
    <mergeCell ref="K4039:M4039"/>
    <mergeCell ref="K4040:M4040"/>
    <mergeCell ref="K4041:M4041"/>
    <mergeCell ref="K4042:M4042"/>
    <mergeCell ref="K4043:M4043"/>
    <mergeCell ref="K4044:M4044"/>
    <mergeCell ref="K4045:M4045"/>
    <mergeCell ref="K4046:M4046"/>
    <mergeCell ref="K4047:M4047"/>
    <mergeCell ref="K4048:M4048"/>
    <mergeCell ref="K4049:M4049"/>
    <mergeCell ref="K4050:M4050"/>
    <mergeCell ref="K4051:M4051"/>
    <mergeCell ref="K4052:M4052"/>
    <mergeCell ref="K4053:M4053"/>
    <mergeCell ref="K4054:M4054"/>
    <mergeCell ref="K4055:M4055"/>
    <mergeCell ref="K4056:M4056"/>
    <mergeCell ref="K4057:M4057"/>
    <mergeCell ref="K4058:M4058"/>
    <mergeCell ref="K4059:M4059"/>
    <mergeCell ref="K4060:M4060"/>
    <mergeCell ref="K4061:M4061"/>
    <mergeCell ref="K4062:M4062"/>
    <mergeCell ref="K4063:M4063"/>
    <mergeCell ref="K4064:M4064"/>
    <mergeCell ref="K4065:M4065"/>
    <mergeCell ref="K4066:M4066"/>
    <mergeCell ref="K4067:M4067"/>
    <mergeCell ref="K4068:M4068"/>
    <mergeCell ref="K4069:M4069"/>
    <mergeCell ref="K4070:M4070"/>
    <mergeCell ref="K4071:M4071"/>
    <mergeCell ref="K4072:M4072"/>
    <mergeCell ref="K4073:M4073"/>
    <mergeCell ref="K4074:M4074"/>
    <mergeCell ref="K4075:M4075"/>
    <mergeCell ref="K4076:M4076"/>
    <mergeCell ref="K4077:M4077"/>
    <mergeCell ref="K4078:M4078"/>
    <mergeCell ref="K4079:M4079"/>
    <mergeCell ref="K4080:M4080"/>
    <mergeCell ref="K4081:M4081"/>
    <mergeCell ref="K4082:M4082"/>
    <mergeCell ref="K4083:M4083"/>
    <mergeCell ref="K4084:M4084"/>
    <mergeCell ref="K4085:M4085"/>
    <mergeCell ref="K4086:M4086"/>
    <mergeCell ref="K4087:M4087"/>
    <mergeCell ref="K4088:M4088"/>
    <mergeCell ref="K4089:M4089"/>
    <mergeCell ref="K4090:M4090"/>
    <mergeCell ref="K4091:M4091"/>
    <mergeCell ref="K4092:M4092"/>
    <mergeCell ref="K4093:M4093"/>
    <mergeCell ref="K4094:M4094"/>
    <mergeCell ref="K4095:M4095"/>
    <mergeCell ref="K4096:M4096"/>
    <mergeCell ref="K4097:M4097"/>
    <mergeCell ref="K4098:M4098"/>
    <mergeCell ref="K4099:M4099"/>
    <mergeCell ref="K4100:M4100"/>
    <mergeCell ref="K4101:M4101"/>
    <mergeCell ref="K4102:M4102"/>
    <mergeCell ref="K4103:M4103"/>
    <mergeCell ref="K4104:M4104"/>
    <mergeCell ref="K4105:M4105"/>
    <mergeCell ref="K4106:M4106"/>
    <mergeCell ref="K4107:M4107"/>
    <mergeCell ref="K4108:M4108"/>
    <mergeCell ref="K4109:M4109"/>
    <mergeCell ref="K4110:M4110"/>
    <mergeCell ref="K4111:M4111"/>
    <mergeCell ref="K4112:M4112"/>
    <mergeCell ref="K4113:M4113"/>
    <mergeCell ref="K4114:M4114"/>
    <mergeCell ref="K4115:M4115"/>
    <mergeCell ref="K4116:M4116"/>
    <mergeCell ref="K4117:M4117"/>
    <mergeCell ref="K4118:M4118"/>
    <mergeCell ref="K4119:M4119"/>
    <mergeCell ref="K4120:M4120"/>
    <mergeCell ref="K4121:M4121"/>
    <mergeCell ref="K4122:M4122"/>
    <mergeCell ref="K4123:M4123"/>
    <mergeCell ref="K4124:M4124"/>
    <mergeCell ref="K4125:M4125"/>
    <mergeCell ref="K4126:M4126"/>
    <mergeCell ref="K4127:M4127"/>
    <mergeCell ref="K4128:M4128"/>
    <mergeCell ref="K4129:M4129"/>
    <mergeCell ref="K4130:M4130"/>
    <mergeCell ref="K4131:M4131"/>
    <mergeCell ref="K4132:M4132"/>
    <mergeCell ref="K4133:M4133"/>
    <mergeCell ref="K4134:M4134"/>
    <mergeCell ref="K4135:M4135"/>
    <mergeCell ref="K4136:M4136"/>
    <mergeCell ref="K4137:M4137"/>
    <mergeCell ref="K4138:M4138"/>
    <mergeCell ref="K4139:M4139"/>
    <mergeCell ref="K4140:M4140"/>
    <mergeCell ref="K4141:M4141"/>
    <mergeCell ref="K4142:M4142"/>
    <mergeCell ref="K4143:M4143"/>
    <mergeCell ref="K4144:M4144"/>
    <mergeCell ref="K4145:M4145"/>
    <mergeCell ref="K4146:M4146"/>
    <mergeCell ref="K4147:M4147"/>
    <mergeCell ref="K4148:M4148"/>
    <mergeCell ref="K4149:M4149"/>
    <mergeCell ref="K4150:M4150"/>
    <mergeCell ref="K4151:M4151"/>
    <mergeCell ref="K4152:M4152"/>
    <mergeCell ref="K4153:M4153"/>
    <mergeCell ref="K4154:M4154"/>
    <mergeCell ref="K4155:M4155"/>
    <mergeCell ref="K4156:M4156"/>
    <mergeCell ref="K4157:M4157"/>
    <mergeCell ref="K4158:M4158"/>
    <mergeCell ref="K4159:M4159"/>
    <mergeCell ref="K4160:M4160"/>
    <mergeCell ref="K4161:M4161"/>
    <mergeCell ref="K4162:M4162"/>
    <mergeCell ref="K4163:M4163"/>
    <mergeCell ref="K4164:M4164"/>
    <mergeCell ref="K4165:M4165"/>
    <mergeCell ref="K4166:M4166"/>
    <mergeCell ref="K4167:M4167"/>
    <mergeCell ref="K4168:M4168"/>
    <mergeCell ref="K4169:M4169"/>
    <mergeCell ref="K4170:M4170"/>
    <mergeCell ref="K4171:M4171"/>
    <mergeCell ref="K4172:M4172"/>
    <mergeCell ref="K4173:M4173"/>
    <mergeCell ref="K4174:M4174"/>
    <mergeCell ref="K4175:M4175"/>
    <mergeCell ref="K4176:M4176"/>
    <mergeCell ref="K4177:M4177"/>
    <mergeCell ref="K4178:M4178"/>
    <mergeCell ref="K4179:M4179"/>
    <mergeCell ref="K4180:M4180"/>
    <mergeCell ref="K4181:M4181"/>
    <mergeCell ref="K4182:M4182"/>
    <mergeCell ref="K4183:M4183"/>
    <mergeCell ref="K4184:M4184"/>
    <mergeCell ref="K4185:M4185"/>
    <mergeCell ref="K4186:M4186"/>
    <mergeCell ref="K4187:M4187"/>
    <mergeCell ref="K4188:M4188"/>
    <mergeCell ref="K4189:M4189"/>
    <mergeCell ref="K4190:M4190"/>
    <mergeCell ref="K4191:M4191"/>
    <mergeCell ref="K4192:M4192"/>
    <mergeCell ref="K4193:M4193"/>
    <mergeCell ref="K4194:M4194"/>
    <mergeCell ref="K4195:M4195"/>
    <mergeCell ref="K4196:M4196"/>
    <mergeCell ref="K4197:M4197"/>
    <mergeCell ref="K4198:M4198"/>
    <mergeCell ref="K4199:M4199"/>
    <mergeCell ref="K4200:M4200"/>
    <mergeCell ref="K4201:M4201"/>
    <mergeCell ref="K4202:M4202"/>
    <mergeCell ref="K4203:M4203"/>
    <mergeCell ref="K4204:M4204"/>
    <mergeCell ref="K4205:M4205"/>
    <mergeCell ref="K4206:M4206"/>
    <mergeCell ref="K4207:M4207"/>
    <mergeCell ref="K4208:M4208"/>
    <mergeCell ref="K4209:M4209"/>
    <mergeCell ref="K4210:M4210"/>
    <mergeCell ref="K4211:M4211"/>
    <mergeCell ref="K4212:M4212"/>
    <mergeCell ref="K4213:M4213"/>
    <mergeCell ref="K4214:M4214"/>
    <mergeCell ref="K4215:M4215"/>
    <mergeCell ref="K4216:M4216"/>
    <mergeCell ref="K4217:M4217"/>
    <mergeCell ref="K4218:M4218"/>
    <mergeCell ref="K4219:M4219"/>
    <mergeCell ref="K4220:M4220"/>
    <mergeCell ref="K4221:M4221"/>
    <mergeCell ref="K4222:M4222"/>
    <mergeCell ref="K4223:M4223"/>
    <mergeCell ref="K4224:M4224"/>
    <mergeCell ref="K4225:M4225"/>
    <mergeCell ref="K4226:M4226"/>
    <mergeCell ref="K4227:M4227"/>
    <mergeCell ref="K4228:M4228"/>
    <mergeCell ref="K4229:M4229"/>
    <mergeCell ref="K4230:M4230"/>
    <mergeCell ref="K4231:M4231"/>
    <mergeCell ref="K4232:M4232"/>
    <mergeCell ref="K4233:M4233"/>
    <mergeCell ref="K4234:M4234"/>
    <mergeCell ref="K4235:M4235"/>
    <mergeCell ref="K4236:M4236"/>
    <mergeCell ref="K4237:M4237"/>
    <mergeCell ref="K4238:M4238"/>
    <mergeCell ref="K4239:M4239"/>
    <mergeCell ref="K4240:M4240"/>
    <mergeCell ref="K4241:M4241"/>
    <mergeCell ref="K4242:M4242"/>
    <mergeCell ref="K4243:M4243"/>
    <mergeCell ref="K4244:M4244"/>
    <mergeCell ref="K4245:M4245"/>
    <mergeCell ref="K4246:M4246"/>
    <mergeCell ref="K4247:M4247"/>
    <mergeCell ref="K4248:M4248"/>
    <mergeCell ref="K4249:M4249"/>
    <mergeCell ref="K4250:M4250"/>
    <mergeCell ref="K4251:M4251"/>
    <mergeCell ref="K4252:M4252"/>
    <mergeCell ref="K4253:M4253"/>
    <mergeCell ref="K4254:M4254"/>
    <mergeCell ref="K4255:M4255"/>
    <mergeCell ref="K4256:M4256"/>
    <mergeCell ref="K4257:M4257"/>
    <mergeCell ref="K4258:M4258"/>
    <mergeCell ref="K4259:M4259"/>
    <mergeCell ref="K4260:M4260"/>
    <mergeCell ref="K4261:M4261"/>
    <mergeCell ref="K4262:M4262"/>
    <mergeCell ref="K4263:M4263"/>
    <mergeCell ref="K4264:M4264"/>
    <mergeCell ref="K4265:M4265"/>
    <mergeCell ref="K4266:M4266"/>
    <mergeCell ref="K4267:M4267"/>
    <mergeCell ref="K4268:M4268"/>
    <mergeCell ref="K4269:M4269"/>
    <mergeCell ref="K4270:M4270"/>
    <mergeCell ref="K4271:M4271"/>
    <mergeCell ref="K4272:M4272"/>
    <mergeCell ref="K4273:M4273"/>
    <mergeCell ref="K4274:M4274"/>
    <mergeCell ref="K4275:M4275"/>
    <mergeCell ref="K4276:M4276"/>
    <mergeCell ref="K4277:M4277"/>
    <mergeCell ref="K4278:M4278"/>
    <mergeCell ref="K4279:M4279"/>
    <mergeCell ref="K4280:M4280"/>
    <mergeCell ref="K4281:M4281"/>
    <mergeCell ref="K4282:M4282"/>
    <mergeCell ref="K4283:M4283"/>
    <mergeCell ref="K4284:M4284"/>
    <mergeCell ref="K4285:M4285"/>
    <mergeCell ref="K4286:M4286"/>
    <mergeCell ref="K4287:M4287"/>
    <mergeCell ref="K4288:M4288"/>
    <mergeCell ref="K4289:M4289"/>
    <mergeCell ref="K4290:M4290"/>
    <mergeCell ref="K4291:M4291"/>
    <mergeCell ref="K4292:M4292"/>
    <mergeCell ref="K4293:M4293"/>
    <mergeCell ref="K4294:M4294"/>
    <mergeCell ref="K4295:M4295"/>
    <mergeCell ref="K4296:M4296"/>
    <mergeCell ref="K4297:M4297"/>
    <mergeCell ref="K4298:M4298"/>
    <mergeCell ref="K4299:M4299"/>
    <mergeCell ref="K4300:M4300"/>
    <mergeCell ref="K4301:M4301"/>
    <mergeCell ref="K4302:M4302"/>
    <mergeCell ref="K4303:M4303"/>
    <mergeCell ref="K4304:M4304"/>
    <mergeCell ref="K4305:M4305"/>
    <mergeCell ref="K4306:M4306"/>
    <mergeCell ref="K4307:M4307"/>
    <mergeCell ref="K4308:M4308"/>
    <mergeCell ref="K4309:M4309"/>
    <mergeCell ref="K4310:M4310"/>
    <mergeCell ref="K4311:M4311"/>
    <mergeCell ref="K4312:M4312"/>
    <mergeCell ref="K4313:M4313"/>
    <mergeCell ref="K4314:M4314"/>
    <mergeCell ref="K4315:M4315"/>
    <mergeCell ref="K4316:M4316"/>
    <mergeCell ref="K4317:M4317"/>
    <mergeCell ref="K4318:M4318"/>
    <mergeCell ref="K4319:M4319"/>
    <mergeCell ref="K4320:M4320"/>
    <mergeCell ref="K4321:M4321"/>
    <mergeCell ref="K4322:M4322"/>
    <mergeCell ref="K4323:M4323"/>
    <mergeCell ref="K4324:M4324"/>
    <mergeCell ref="K4325:M4325"/>
    <mergeCell ref="K4326:M4326"/>
    <mergeCell ref="K4327:M4327"/>
    <mergeCell ref="K4328:M4328"/>
    <mergeCell ref="K4329:M4329"/>
    <mergeCell ref="K4330:M4330"/>
    <mergeCell ref="K4331:M4331"/>
    <mergeCell ref="K4332:M4332"/>
    <mergeCell ref="K4333:M4333"/>
    <mergeCell ref="K4334:M4334"/>
    <mergeCell ref="K4335:M4335"/>
    <mergeCell ref="K4336:M4336"/>
    <mergeCell ref="K4337:M4337"/>
    <mergeCell ref="K4338:M4338"/>
    <mergeCell ref="K4339:M4339"/>
    <mergeCell ref="K4340:M4340"/>
    <mergeCell ref="K4341:M4341"/>
    <mergeCell ref="K4342:M4342"/>
    <mergeCell ref="K4343:M4343"/>
    <mergeCell ref="K4344:M4344"/>
    <mergeCell ref="K4345:M4345"/>
    <mergeCell ref="K4346:M4346"/>
    <mergeCell ref="K4347:M4347"/>
    <mergeCell ref="K4348:M4348"/>
    <mergeCell ref="K4349:M4349"/>
    <mergeCell ref="K4350:M4350"/>
    <mergeCell ref="K4351:M4351"/>
    <mergeCell ref="K4352:M4352"/>
    <mergeCell ref="K4353:M4353"/>
    <mergeCell ref="K4354:M4354"/>
    <mergeCell ref="K4355:M4355"/>
    <mergeCell ref="K4356:M4356"/>
    <mergeCell ref="K4357:M4357"/>
    <mergeCell ref="K4358:M4358"/>
    <mergeCell ref="K4359:M4359"/>
    <mergeCell ref="K4360:M4360"/>
    <mergeCell ref="K4361:M4361"/>
    <mergeCell ref="K4362:M4362"/>
    <mergeCell ref="K4363:M4363"/>
    <mergeCell ref="K4364:M4364"/>
    <mergeCell ref="K4365:M4365"/>
    <mergeCell ref="K4366:M4366"/>
    <mergeCell ref="K4367:M4367"/>
    <mergeCell ref="K4368:M4368"/>
    <mergeCell ref="K4369:M4369"/>
    <mergeCell ref="K4370:M4370"/>
    <mergeCell ref="K4371:M4371"/>
    <mergeCell ref="K4372:M4372"/>
    <mergeCell ref="K4373:M4373"/>
    <mergeCell ref="K4374:M4374"/>
    <mergeCell ref="K4375:M4375"/>
    <mergeCell ref="K4376:M4376"/>
    <mergeCell ref="K4377:M4377"/>
    <mergeCell ref="K4378:M4378"/>
    <mergeCell ref="K4379:M4379"/>
    <mergeCell ref="K4380:M4380"/>
    <mergeCell ref="K4381:M4381"/>
    <mergeCell ref="K4382:M4382"/>
    <mergeCell ref="K4383:M4383"/>
    <mergeCell ref="K4384:M4384"/>
    <mergeCell ref="K4385:M4385"/>
    <mergeCell ref="K4386:M4386"/>
    <mergeCell ref="K4387:M4387"/>
    <mergeCell ref="K4388:M4388"/>
    <mergeCell ref="K4389:M4389"/>
    <mergeCell ref="K4390:M4390"/>
    <mergeCell ref="K4391:M4391"/>
    <mergeCell ref="K4392:M4392"/>
    <mergeCell ref="K4393:M4393"/>
    <mergeCell ref="K4394:M4394"/>
    <mergeCell ref="K4395:M4395"/>
    <mergeCell ref="K4396:M4396"/>
    <mergeCell ref="K4397:M4397"/>
    <mergeCell ref="K4398:M4398"/>
    <mergeCell ref="K4399:M4399"/>
    <mergeCell ref="K4400:M4400"/>
    <mergeCell ref="K4401:M4401"/>
    <mergeCell ref="K4402:M4402"/>
    <mergeCell ref="K4403:M4403"/>
    <mergeCell ref="K4404:M4404"/>
    <mergeCell ref="K4405:M4405"/>
    <mergeCell ref="K4406:M4406"/>
    <mergeCell ref="K4407:M4407"/>
    <mergeCell ref="K4408:M4408"/>
    <mergeCell ref="K4409:M4409"/>
    <mergeCell ref="K4410:M4410"/>
    <mergeCell ref="K4411:M4411"/>
    <mergeCell ref="K4412:M4412"/>
    <mergeCell ref="K4413:M4413"/>
    <mergeCell ref="K4414:M4414"/>
    <mergeCell ref="K4415:M4415"/>
    <mergeCell ref="K4416:M4416"/>
    <mergeCell ref="K4417:M4417"/>
    <mergeCell ref="K4418:M4418"/>
    <mergeCell ref="K4419:M4419"/>
    <mergeCell ref="K4420:M4420"/>
    <mergeCell ref="K4421:M4421"/>
    <mergeCell ref="K4422:M4422"/>
    <mergeCell ref="K4423:M4423"/>
    <mergeCell ref="K4424:M4424"/>
    <mergeCell ref="K4425:M4425"/>
    <mergeCell ref="K4426:M4426"/>
    <mergeCell ref="K4427:M4427"/>
    <mergeCell ref="K4428:M4428"/>
    <mergeCell ref="K4429:M4429"/>
    <mergeCell ref="K4430:M4430"/>
    <mergeCell ref="K4431:M4431"/>
    <mergeCell ref="K4432:M4432"/>
    <mergeCell ref="K4433:M4433"/>
    <mergeCell ref="K4434:M4434"/>
    <mergeCell ref="K4435:M4435"/>
    <mergeCell ref="K4436:M4436"/>
    <mergeCell ref="K4437:M4437"/>
    <mergeCell ref="K4438:M4438"/>
    <mergeCell ref="K4439:M4439"/>
    <mergeCell ref="K4440:M4440"/>
    <mergeCell ref="K4441:M4441"/>
    <mergeCell ref="K4442:M4442"/>
    <mergeCell ref="K4443:M4443"/>
    <mergeCell ref="K4444:M4444"/>
    <mergeCell ref="K4445:M4445"/>
    <mergeCell ref="K4446:M4446"/>
    <mergeCell ref="K4447:M4447"/>
    <mergeCell ref="K4448:M4448"/>
    <mergeCell ref="K4449:M4449"/>
    <mergeCell ref="K4450:M4450"/>
    <mergeCell ref="K4451:M4451"/>
    <mergeCell ref="K4452:M4452"/>
    <mergeCell ref="K4453:M4453"/>
    <mergeCell ref="K4454:M4454"/>
    <mergeCell ref="K4455:M4455"/>
    <mergeCell ref="K4456:M4456"/>
    <mergeCell ref="K4457:M4457"/>
    <mergeCell ref="K4458:M4458"/>
    <mergeCell ref="K4459:M4459"/>
    <mergeCell ref="K4460:M4460"/>
    <mergeCell ref="K4461:M4461"/>
    <mergeCell ref="K4462:M4462"/>
    <mergeCell ref="K4463:M4463"/>
    <mergeCell ref="K4464:M4464"/>
    <mergeCell ref="K4465:M4465"/>
    <mergeCell ref="K4466:M4466"/>
    <mergeCell ref="K4467:M4467"/>
    <mergeCell ref="K4468:M4468"/>
    <mergeCell ref="K4469:M4469"/>
    <mergeCell ref="K4470:M4470"/>
    <mergeCell ref="K4471:M4471"/>
    <mergeCell ref="K4472:M4472"/>
    <mergeCell ref="K4473:M4473"/>
    <mergeCell ref="K4474:M4474"/>
    <mergeCell ref="K4475:M4475"/>
    <mergeCell ref="K4476:M4476"/>
    <mergeCell ref="K4477:M4477"/>
    <mergeCell ref="K4478:M4478"/>
    <mergeCell ref="K4479:M4479"/>
    <mergeCell ref="K4480:M4480"/>
    <mergeCell ref="K4481:M4481"/>
    <mergeCell ref="K4482:M4482"/>
    <mergeCell ref="K4483:M4483"/>
    <mergeCell ref="K4484:M4484"/>
    <mergeCell ref="K4485:M4485"/>
    <mergeCell ref="K4486:M4486"/>
    <mergeCell ref="K4487:M4487"/>
    <mergeCell ref="K4488:M4488"/>
    <mergeCell ref="K4489:M4489"/>
    <mergeCell ref="K4490:M4490"/>
    <mergeCell ref="K4491:M4491"/>
    <mergeCell ref="K4492:M4492"/>
    <mergeCell ref="K4493:M4493"/>
    <mergeCell ref="K4494:M4494"/>
    <mergeCell ref="K4495:M4495"/>
    <mergeCell ref="K4496:M4496"/>
    <mergeCell ref="K4497:M4497"/>
    <mergeCell ref="K4498:M4498"/>
    <mergeCell ref="K4499:M4499"/>
    <mergeCell ref="K4500:M4500"/>
    <mergeCell ref="K4501:M4501"/>
    <mergeCell ref="K4502:M4502"/>
    <mergeCell ref="K4503:M4503"/>
    <mergeCell ref="K4504:M4504"/>
    <mergeCell ref="K4505:M4505"/>
    <mergeCell ref="K4506:M4506"/>
    <mergeCell ref="K4507:M4507"/>
    <mergeCell ref="K4508:M4508"/>
    <mergeCell ref="K4509:M4509"/>
    <mergeCell ref="K4510:M4510"/>
    <mergeCell ref="K4511:M4511"/>
    <mergeCell ref="K4512:M4512"/>
    <mergeCell ref="K4513:M4513"/>
    <mergeCell ref="K4514:M4514"/>
    <mergeCell ref="K4515:M4515"/>
    <mergeCell ref="K4516:M4516"/>
    <mergeCell ref="K4517:M4517"/>
    <mergeCell ref="K4518:M4518"/>
    <mergeCell ref="K4519:M4519"/>
    <mergeCell ref="K4520:M4520"/>
    <mergeCell ref="K4521:M4521"/>
    <mergeCell ref="K4522:M4522"/>
    <mergeCell ref="K4523:M4523"/>
    <mergeCell ref="K4524:M4524"/>
    <mergeCell ref="K4525:M4525"/>
    <mergeCell ref="K4526:M4526"/>
    <mergeCell ref="K4527:M4527"/>
    <mergeCell ref="K4528:M4528"/>
    <mergeCell ref="K4529:M4529"/>
    <mergeCell ref="K4530:M4530"/>
    <mergeCell ref="K4531:M4531"/>
    <mergeCell ref="K4532:M4532"/>
    <mergeCell ref="K4533:M4533"/>
    <mergeCell ref="K4534:M4534"/>
    <mergeCell ref="K4535:M4535"/>
    <mergeCell ref="K4536:M4536"/>
    <mergeCell ref="K4537:M4537"/>
    <mergeCell ref="K4538:M4538"/>
    <mergeCell ref="K4539:M4539"/>
    <mergeCell ref="K4540:M4540"/>
    <mergeCell ref="K4541:M4541"/>
    <mergeCell ref="K4542:M4542"/>
    <mergeCell ref="K4543:M4543"/>
    <mergeCell ref="K4544:M4544"/>
    <mergeCell ref="K4545:M4545"/>
    <mergeCell ref="K4546:M4546"/>
    <mergeCell ref="K4547:M4547"/>
    <mergeCell ref="K4548:M4548"/>
    <mergeCell ref="K4549:M4549"/>
    <mergeCell ref="K4550:M4550"/>
    <mergeCell ref="K4551:M4551"/>
    <mergeCell ref="K4552:M4552"/>
    <mergeCell ref="K4553:M4553"/>
    <mergeCell ref="K4554:M4554"/>
    <mergeCell ref="K4555:M4555"/>
    <mergeCell ref="K4556:M4556"/>
    <mergeCell ref="K4557:M4557"/>
    <mergeCell ref="K4558:M4558"/>
    <mergeCell ref="K4559:M4559"/>
    <mergeCell ref="K4560:M4560"/>
    <mergeCell ref="K4561:M4561"/>
    <mergeCell ref="K4562:M4562"/>
    <mergeCell ref="K4563:M4563"/>
    <mergeCell ref="K4564:M4564"/>
    <mergeCell ref="K4565:M4565"/>
    <mergeCell ref="K4566:M4566"/>
    <mergeCell ref="K4567:M4567"/>
    <mergeCell ref="K4568:M4568"/>
    <mergeCell ref="K4569:M4569"/>
    <mergeCell ref="K4570:M4570"/>
    <mergeCell ref="K4571:M4571"/>
    <mergeCell ref="K4572:M4572"/>
    <mergeCell ref="K4573:M4573"/>
    <mergeCell ref="K4574:M4574"/>
    <mergeCell ref="K4575:M4575"/>
    <mergeCell ref="K4576:M4576"/>
    <mergeCell ref="K4577:M4577"/>
    <mergeCell ref="K4578:M4578"/>
    <mergeCell ref="K4579:M4579"/>
    <mergeCell ref="K4580:M4580"/>
    <mergeCell ref="K4581:M4581"/>
    <mergeCell ref="K4582:M4582"/>
    <mergeCell ref="K4583:M4583"/>
    <mergeCell ref="K4584:M4584"/>
    <mergeCell ref="K4585:M4585"/>
    <mergeCell ref="K4586:M4586"/>
    <mergeCell ref="K4587:M4587"/>
    <mergeCell ref="K4588:M4588"/>
    <mergeCell ref="K4589:M4589"/>
    <mergeCell ref="K4590:M4590"/>
    <mergeCell ref="K4591:M4591"/>
    <mergeCell ref="K4592:M4592"/>
    <mergeCell ref="K4593:M4593"/>
    <mergeCell ref="K4594:M4594"/>
    <mergeCell ref="K4595:M4595"/>
    <mergeCell ref="K4596:M4596"/>
    <mergeCell ref="K4597:M4597"/>
    <mergeCell ref="K4598:M4598"/>
    <mergeCell ref="K4599:M4599"/>
    <mergeCell ref="K4600:M4600"/>
    <mergeCell ref="K4601:M4601"/>
    <mergeCell ref="K4602:M4602"/>
    <mergeCell ref="K4603:M4603"/>
    <mergeCell ref="K4604:M4604"/>
    <mergeCell ref="K4605:M4605"/>
    <mergeCell ref="K4606:M4606"/>
    <mergeCell ref="K4607:M4607"/>
    <mergeCell ref="K4608:M4608"/>
    <mergeCell ref="K4609:M4609"/>
    <mergeCell ref="K4610:M4610"/>
    <mergeCell ref="K4611:M4611"/>
    <mergeCell ref="K4612:M4612"/>
    <mergeCell ref="K4613:M4613"/>
    <mergeCell ref="K4614:M4614"/>
    <mergeCell ref="K4615:M4615"/>
    <mergeCell ref="K4616:M4616"/>
    <mergeCell ref="K4617:M4617"/>
    <mergeCell ref="K4618:M4618"/>
    <mergeCell ref="K4619:M4619"/>
    <mergeCell ref="K4620:M4620"/>
    <mergeCell ref="K4621:M4621"/>
    <mergeCell ref="K4622:M4622"/>
    <mergeCell ref="K4623:M4623"/>
    <mergeCell ref="K4624:M4624"/>
    <mergeCell ref="K4625:M4625"/>
    <mergeCell ref="K4626:M4626"/>
    <mergeCell ref="K4627:M4627"/>
    <mergeCell ref="K4628:M4628"/>
    <mergeCell ref="K4629:M4629"/>
    <mergeCell ref="K4630:M4630"/>
    <mergeCell ref="K4631:M4631"/>
    <mergeCell ref="K4632:M4632"/>
    <mergeCell ref="K4633:M4633"/>
    <mergeCell ref="K4634:M4634"/>
    <mergeCell ref="K4635:M4635"/>
    <mergeCell ref="K4636:M4636"/>
    <mergeCell ref="K4637:M4637"/>
    <mergeCell ref="K4638:M4638"/>
    <mergeCell ref="K4639:M4639"/>
    <mergeCell ref="K4640:M4640"/>
    <mergeCell ref="K4641:M4641"/>
    <mergeCell ref="K4642:M4642"/>
    <mergeCell ref="K4643:M4643"/>
    <mergeCell ref="K4644:M4644"/>
    <mergeCell ref="K4645:M4645"/>
    <mergeCell ref="K4646:M4646"/>
    <mergeCell ref="K4647:M4647"/>
    <mergeCell ref="K4648:M4648"/>
    <mergeCell ref="K4649:M4649"/>
    <mergeCell ref="K4650:M4650"/>
    <mergeCell ref="K4651:M4651"/>
    <mergeCell ref="K4652:M4652"/>
    <mergeCell ref="K4653:M4653"/>
    <mergeCell ref="K4654:M4654"/>
    <mergeCell ref="K4655:M4655"/>
    <mergeCell ref="K4656:M4656"/>
    <mergeCell ref="K4657:M4657"/>
    <mergeCell ref="K4658:M4658"/>
    <mergeCell ref="K4659:M4659"/>
    <mergeCell ref="K4660:M4660"/>
    <mergeCell ref="K4661:M4661"/>
    <mergeCell ref="K4662:M4662"/>
    <mergeCell ref="K4663:M4663"/>
    <mergeCell ref="K4664:M4664"/>
    <mergeCell ref="K4665:M4665"/>
    <mergeCell ref="K4666:M4666"/>
    <mergeCell ref="K4667:M4667"/>
    <mergeCell ref="K4668:M4668"/>
    <mergeCell ref="K4669:M4669"/>
    <mergeCell ref="K4670:M4670"/>
    <mergeCell ref="K4671:M4671"/>
    <mergeCell ref="K4672:M4672"/>
    <mergeCell ref="K4673:M4673"/>
    <mergeCell ref="K4674:M4674"/>
    <mergeCell ref="K4675:M4675"/>
    <mergeCell ref="K4676:M4676"/>
    <mergeCell ref="K4677:M4677"/>
    <mergeCell ref="K4678:M4678"/>
    <mergeCell ref="K4679:M4679"/>
    <mergeCell ref="K4680:M4680"/>
    <mergeCell ref="K4681:M4681"/>
    <mergeCell ref="K4682:M4682"/>
    <mergeCell ref="K4683:M4683"/>
    <mergeCell ref="K4684:M4684"/>
    <mergeCell ref="K4685:M4685"/>
    <mergeCell ref="K4686:M4686"/>
    <mergeCell ref="K4687:M4687"/>
    <mergeCell ref="K4688:M4688"/>
    <mergeCell ref="K4689:M4689"/>
    <mergeCell ref="K4690:M4690"/>
    <mergeCell ref="K4691:M4691"/>
    <mergeCell ref="K4692:M4692"/>
    <mergeCell ref="K4693:M4693"/>
    <mergeCell ref="K4694:M4694"/>
    <mergeCell ref="K4695:M4695"/>
    <mergeCell ref="K4696:M4696"/>
    <mergeCell ref="K4697:M4697"/>
    <mergeCell ref="K4698:M4698"/>
    <mergeCell ref="K4699:M4699"/>
    <mergeCell ref="K4700:M4700"/>
    <mergeCell ref="K4701:M4701"/>
    <mergeCell ref="K4702:M4702"/>
    <mergeCell ref="K4703:M4703"/>
    <mergeCell ref="K4704:M4704"/>
    <mergeCell ref="K4705:M4705"/>
    <mergeCell ref="K4706:M4706"/>
    <mergeCell ref="K4707:M4707"/>
    <mergeCell ref="K4708:M4708"/>
    <mergeCell ref="K4709:M4709"/>
    <mergeCell ref="K4710:M4710"/>
    <mergeCell ref="K4711:M4711"/>
    <mergeCell ref="K4712:M4712"/>
    <mergeCell ref="K4713:M4713"/>
    <mergeCell ref="K4714:M4714"/>
    <mergeCell ref="K4715:M4715"/>
    <mergeCell ref="K4716:M4716"/>
    <mergeCell ref="K4717:M4717"/>
    <mergeCell ref="K4718:M4718"/>
    <mergeCell ref="K4719:M4719"/>
    <mergeCell ref="K4720:M4720"/>
    <mergeCell ref="K4721:M4721"/>
    <mergeCell ref="K4722:M4722"/>
    <mergeCell ref="K4723:M4723"/>
    <mergeCell ref="K5067:M5067"/>
    <mergeCell ref="K5068:M5068"/>
    <mergeCell ref="K5069:M5069"/>
    <mergeCell ref="K5070:M5070"/>
    <mergeCell ref="K5071:M5071"/>
    <mergeCell ref="K5072:M5072"/>
    <mergeCell ref="K5073:M5073"/>
    <mergeCell ref="K5074:M5074"/>
    <mergeCell ref="K5075:M5075"/>
    <mergeCell ref="K5076:M5076"/>
    <mergeCell ref="K5077:M5077"/>
    <mergeCell ref="K5078:M5078"/>
    <mergeCell ref="K5079:M5079"/>
    <mergeCell ref="K5080:M5080"/>
    <mergeCell ref="K5081:M5081"/>
    <mergeCell ref="K5082:M5082"/>
    <mergeCell ref="K5083:M5083"/>
    <mergeCell ref="K5084:M5084"/>
    <mergeCell ref="K5085:M5085"/>
    <mergeCell ref="K5086:M5086"/>
    <mergeCell ref="K5087:M5087"/>
    <mergeCell ref="K5088:M5088"/>
    <mergeCell ref="K5089:M5089"/>
    <mergeCell ref="K5090:M5090"/>
    <mergeCell ref="K5091:M5091"/>
    <mergeCell ref="K5092:M5092"/>
    <mergeCell ref="K5093:M5093"/>
    <mergeCell ref="K5094:M5094"/>
    <mergeCell ref="K5095:M5095"/>
    <mergeCell ref="K5096:M5096"/>
    <mergeCell ref="K5097:M5097"/>
    <mergeCell ref="K5098:M5098"/>
    <mergeCell ref="K5099:M5099"/>
    <mergeCell ref="K5100:M5100"/>
    <mergeCell ref="K5101:M5101"/>
    <mergeCell ref="K5102:M5102"/>
    <mergeCell ref="K5103:M5103"/>
    <mergeCell ref="K5104:M5104"/>
    <mergeCell ref="K5105:M5105"/>
    <mergeCell ref="K5106:M5106"/>
    <mergeCell ref="K5107:M5107"/>
    <mergeCell ref="K5108:M5108"/>
    <mergeCell ref="K5109:M5109"/>
    <mergeCell ref="K5110:M5110"/>
    <mergeCell ref="K5111:M5111"/>
    <mergeCell ref="K5112:M5112"/>
    <mergeCell ref="K5113:M5113"/>
    <mergeCell ref="K5114:M5114"/>
    <mergeCell ref="K5115:M5115"/>
    <mergeCell ref="K5116:M5116"/>
    <mergeCell ref="K5117:M5117"/>
    <mergeCell ref="K5118:M5118"/>
    <mergeCell ref="K5119:M5119"/>
    <mergeCell ref="K5120:M5120"/>
    <mergeCell ref="K5121:M5121"/>
    <mergeCell ref="K5122:M5122"/>
    <mergeCell ref="K5123:M5123"/>
    <mergeCell ref="K5124:M5124"/>
    <mergeCell ref="K5125:M5125"/>
    <mergeCell ref="K5126:M5126"/>
    <mergeCell ref="K5127:M5127"/>
    <mergeCell ref="K5128:M5128"/>
    <mergeCell ref="K5129:M5129"/>
    <mergeCell ref="K5130:M5130"/>
    <mergeCell ref="K5131:M5131"/>
    <mergeCell ref="K5132:M5132"/>
    <mergeCell ref="K5133:M5133"/>
    <mergeCell ref="K5134:M5134"/>
    <mergeCell ref="K5135:M5135"/>
    <mergeCell ref="K5136:M5136"/>
    <mergeCell ref="K5137:M5137"/>
    <mergeCell ref="K5138:M5138"/>
    <mergeCell ref="K5139:M5139"/>
    <mergeCell ref="K5140:M5140"/>
    <mergeCell ref="K5141:M5141"/>
    <mergeCell ref="K5142:M5142"/>
    <mergeCell ref="K5143:M5143"/>
    <mergeCell ref="K5144:M5144"/>
    <mergeCell ref="K5145:M5145"/>
    <mergeCell ref="K5146:M5146"/>
    <mergeCell ref="K5147:M5147"/>
    <mergeCell ref="K5148:M5148"/>
    <mergeCell ref="K5149:M5149"/>
    <mergeCell ref="K5150:M5150"/>
    <mergeCell ref="K5151:M5151"/>
    <mergeCell ref="K5152:M5152"/>
    <mergeCell ref="K5153:M5153"/>
    <mergeCell ref="K5154:M5154"/>
    <mergeCell ref="K5155:M5155"/>
    <mergeCell ref="K5156:M5156"/>
    <mergeCell ref="K5157:M5157"/>
    <mergeCell ref="K5158:M5158"/>
    <mergeCell ref="K5159:M5159"/>
    <mergeCell ref="K5160:M5160"/>
    <mergeCell ref="K5161:M5161"/>
    <mergeCell ref="K5162:M5162"/>
    <mergeCell ref="K5163:M5163"/>
    <mergeCell ref="K5164:M5164"/>
    <mergeCell ref="K5165:M5165"/>
    <mergeCell ref="K5166:M5166"/>
    <mergeCell ref="K5167:M5167"/>
    <mergeCell ref="K5168:M5168"/>
    <mergeCell ref="K5169:M5169"/>
    <mergeCell ref="K5170:M5170"/>
    <mergeCell ref="K5171:M5171"/>
    <mergeCell ref="K5172:M5172"/>
    <mergeCell ref="K5173:M5173"/>
    <mergeCell ref="K5174:M5174"/>
    <mergeCell ref="K5175:M5175"/>
    <mergeCell ref="K5176:M5176"/>
    <mergeCell ref="K5177:M5177"/>
    <mergeCell ref="K5178:M5178"/>
    <mergeCell ref="K5179:M5179"/>
    <mergeCell ref="K5180:M5180"/>
    <mergeCell ref="K5181:M5181"/>
    <mergeCell ref="K5182:M5182"/>
    <mergeCell ref="K5183:M5183"/>
    <mergeCell ref="K5184:M5184"/>
    <mergeCell ref="K5185:M5185"/>
    <mergeCell ref="K5186:M5186"/>
    <mergeCell ref="K5187:M5187"/>
    <mergeCell ref="K5188:M5188"/>
    <mergeCell ref="K5189:M5189"/>
    <mergeCell ref="K5190:M5190"/>
    <mergeCell ref="K5191:M5191"/>
    <mergeCell ref="K5192:M5192"/>
    <mergeCell ref="K5193:M5193"/>
    <mergeCell ref="K5194:M5194"/>
    <mergeCell ref="K5195:M5195"/>
    <mergeCell ref="K5196:M5196"/>
    <mergeCell ref="K5197:M5197"/>
    <mergeCell ref="K5198:M5198"/>
    <mergeCell ref="K5199:M5199"/>
    <mergeCell ref="K5200:M5200"/>
    <mergeCell ref="K5201:M5201"/>
    <mergeCell ref="K5202:M5202"/>
    <mergeCell ref="K5203:M5203"/>
    <mergeCell ref="K5204:M5204"/>
    <mergeCell ref="K5205:M5205"/>
    <mergeCell ref="K5206:M5206"/>
    <mergeCell ref="K5207:M5207"/>
    <mergeCell ref="K5208:M5208"/>
    <mergeCell ref="K5209:M5209"/>
    <mergeCell ref="K5210:M5210"/>
    <mergeCell ref="K5211:M5211"/>
    <mergeCell ref="K5212:M5212"/>
    <mergeCell ref="K5213:M5213"/>
    <mergeCell ref="K5214:M5214"/>
    <mergeCell ref="K5215:M5215"/>
    <mergeCell ref="K5216:M5216"/>
    <mergeCell ref="K5217:M5217"/>
    <mergeCell ref="K5218:M5218"/>
    <mergeCell ref="K5219:M5219"/>
    <mergeCell ref="K5220:M5220"/>
    <mergeCell ref="K5221:M5221"/>
    <mergeCell ref="K5222:M5222"/>
    <mergeCell ref="K5223:M5223"/>
    <mergeCell ref="K5224:M5224"/>
    <mergeCell ref="K5225:M5225"/>
    <mergeCell ref="K5226:M5226"/>
    <mergeCell ref="K5227:M5227"/>
    <mergeCell ref="K5228:M5228"/>
    <mergeCell ref="K5229:M5229"/>
    <mergeCell ref="K5230:M5230"/>
    <mergeCell ref="K5231:M5231"/>
    <mergeCell ref="K5232:M5232"/>
    <mergeCell ref="K5233:M5233"/>
    <mergeCell ref="K5234:M5234"/>
    <mergeCell ref="K5235:M5235"/>
    <mergeCell ref="K5236:M5236"/>
    <mergeCell ref="K5237:M5237"/>
    <mergeCell ref="K5238:M5238"/>
    <mergeCell ref="K5239:M5239"/>
    <mergeCell ref="K5240:M5240"/>
    <mergeCell ref="K5241:M5241"/>
    <mergeCell ref="K5242:M5242"/>
    <mergeCell ref="K5243:M5243"/>
    <mergeCell ref="K5244:M5244"/>
    <mergeCell ref="K5245:M5245"/>
    <mergeCell ref="K5246:M5246"/>
    <mergeCell ref="K5247:M5247"/>
    <mergeCell ref="K5248:M5248"/>
    <mergeCell ref="K5249:M5249"/>
    <mergeCell ref="K5250:M5250"/>
    <mergeCell ref="K5251:M5251"/>
    <mergeCell ref="K5252:M5252"/>
    <mergeCell ref="K5253:M5253"/>
    <mergeCell ref="K5254:M5254"/>
    <mergeCell ref="K5255:M5255"/>
    <mergeCell ref="K5256:M5256"/>
    <mergeCell ref="K5257:M5257"/>
    <mergeCell ref="K5258:M5258"/>
    <mergeCell ref="K5259:M5259"/>
    <mergeCell ref="K5260:M5260"/>
    <mergeCell ref="K5261:M5261"/>
    <mergeCell ref="K5262:M5262"/>
    <mergeCell ref="K5263:M5263"/>
    <mergeCell ref="K5264:M5264"/>
    <mergeCell ref="K5265:M5265"/>
    <mergeCell ref="K5266:M5266"/>
    <mergeCell ref="K5267:M5267"/>
    <mergeCell ref="K5268:M5268"/>
    <mergeCell ref="K5269:M5269"/>
    <mergeCell ref="K5270:M5270"/>
    <mergeCell ref="K5271:M5271"/>
    <mergeCell ref="K5272:M5272"/>
    <mergeCell ref="K5273:M5273"/>
    <mergeCell ref="K5274:M5274"/>
    <mergeCell ref="K5275:M5275"/>
    <mergeCell ref="K5276:M5276"/>
    <mergeCell ref="K5277:M5277"/>
    <mergeCell ref="K5278:M5278"/>
    <mergeCell ref="K5279:M5279"/>
    <mergeCell ref="K5280:M5280"/>
    <mergeCell ref="K5281:M5281"/>
    <mergeCell ref="K5282:M5282"/>
    <mergeCell ref="K5283:M5283"/>
    <mergeCell ref="K5284:M5284"/>
    <mergeCell ref="K5285:M5285"/>
    <mergeCell ref="K5286:M5286"/>
    <mergeCell ref="K5287:M5287"/>
    <mergeCell ref="K5288:M5288"/>
    <mergeCell ref="K5289:M5289"/>
    <mergeCell ref="K5290:M5290"/>
    <mergeCell ref="K5291:M5291"/>
    <mergeCell ref="K5292:M5292"/>
    <mergeCell ref="K5293:M5293"/>
    <mergeCell ref="K5294:M5294"/>
    <mergeCell ref="K5295:M5295"/>
    <mergeCell ref="K5296:M5296"/>
    <mergeCell ref="K5297:M5297"/>
    <mergeCell ref="K5298:M5298"/>
    <mergeCell ref="K5299:M5299"/>
    <mergeCell ref="K5300:M5300"/>
    <mergeCell ref="K5301:M5301"/>
    <mergeCell ref="K5302:M5302"/>
    <mergeCell ref="K5303:M5303"/>
    <mergeCell ref="K5304:M5304"/>
    <mergeCell ref="K5305:M5305"/>
    <mergeCell ref="K5306:M5306"/>
    <mergeCell ref="K5307:M5307"/>
    <mergeCell ref="K5308:M5308"/>
    <mergeCell ref="K5309:M5309"/>
    <mergeCell ref="K5310:M5310"/>
    <mergeCell ref="K5311:M5311"/>
    <mergeCell ref="K5361:M5361"/>
    <mergeCell ref="K5362:M5362"/>
    <mergeCell ref="K5363:M5363"/>
    <mergeCell ref="K5364:M5364"/>
    <mergeCell ref="K5365:M5365"/>
    <mergeCell ref="K5366:M5366"/>
    <mergeCell ref="K5367:M5367"/>
    <mergeCell ref="K5368:M5368"/>
    <mergeCell ref="K5369:M5369"/>
    <mergeCell ref="K5370:M5370"/>
    <mergeCell ref="K5371:M5371"/>
    <mergeCell ref="K5372:M5372"/>
    <mergeCell ref="K5373:M5373"/>
    <mergeCell ref="K5374:M5374"/>
    <mergeCell ref="K5382:M5382"/>
    <mergeCell ref="K5383:M5383"/>
    <mergeCell ref="K5384:M5384"/>
    <mergeCell ref="K5385:M5385"/>
    <mergeCell ref="K5386:M5386"/>
    <mergeCell ref="K5375:M5375"/>
    <mergeCell ref="K5376:M5376"/>
    <mergeCell ref="K5377:M5377"/>
    <mergeCell ref="K5378:M5378"/>
    <mergeCell ref="K5379:M5379"/>
    <mergeCell ref="K5380:M5380"/>
    <mergeCell ref="K5381:M5381"/>
    <mergeCell ref="K5312:M5312"/>
    <mergeCell ref="K5313:M5313"/>
    <mergeCell ref="K5314:M5314"/>
    <mergeCell ref="K5315:M5315"/>
    <mergeCell ref="K5316:M5316"/>
    <mergeCell ref="K5317:M5317"/>
    <mergeCell ref="K5318:M5318"/>
    <mergeCell ref="K5319:M5319"/>
    <mergeCell ref="K5320:M5320"/>
    <mergeCell ref="K5321:M5321"/>
    <mergeCell ref="K5322:M5322"/>
    <mergeCell ref="K5323:M5323"/>
    <mergeCell ref="K5324:M5324"/>
    <mergeCell ref="K5325:M5325"/>
    <mergeCell ref="K5326:M5326"/>
    <mergeCell ref="K5327:M5327"/>
    <mergeCell ref="K5328:M5328"/>
    <mergeCell ref="K5329:M5329"/>
    <mergeCell ref="K5330:M5330"/>
    <mergeCell ref="K5331:M5331"/>
    <mergeCell ref="K5332:M5332"/>
    <mergeCell ref="K5333:M5333"/>
    <mergeCell ref="K5334:M5334"/>
    <mergeCell ref="K5335:M5335"/>
    <mergeCell ref="K5336:M5336"/>
    <mergeCell ref="K5337:M5337"/>
    <mergeCell ref="K5338:M5338"/>
    <mergeCell ref="K5339:M5339"/>
    <mergeCell ref="K5340:M5340"/>
    <mergeCell ref="K5341:M5341"/>
    <mergeCell ref="K5342:M5342"/>
    <mergeCell ref="K5343:M5343"/>
    <mergeCell ref="K5344:M5344"/>
    <mergeCell ref="K5345:M5345"/>
    <mergeCell ref="K5346:M5346"/>
    <mergeCell ref="K5347:M5347"/>
    <mergeCell ref="K5348:M5348"/>
    <mergeCell ref="K5349:M5349"/>
    <mergeCell ref="K5350:M5350"/>
    <mergeCell ref="K5351:M5351"/>
    <mergeCell ref="K5352:M5352"/>
    <mergeCell ref="K5353:M5353"/>
    <mergeCell ref="K5354:M5354"/>
    <mergeCell ref="K5355:M5355"/>
    <mergeCell ref="K5356:M5356"/>
    <mergeCell ref="K5357:M5357"/>
    <mergeCell ref="K5358:M5358"/>
    <mergeCell ref="K5359:M5359"/>
    <mergeCell ref="K5360:M5360"/>
    <mergeCell ref="K4724:M4724"/>
    <mergeCell ref="K4725:M4725"/>
    <mergeCell ref="K4726:M4726"/>
    <mergeCell ref="K4727:M4727"/>
    <mergeCell ref="K4728:M4728"/>
    <mergeCell ref="K4729:M4729"/>
    <mergeCell ref="K4730:M4730"/>
    <mergeCell ref="K4731:M4731"/>
    <mergeCell ref="K4732:M4732"/>
    <mergeCell ref="K4733:M4733"/>
    <mergeCell ref="K4734:M4734"/>
    <mergeCell ref="K4735:M4735"/>
    <mergeCell ref="K4736:M4736"/>
    <mergeCell ref="K4737:M4737"/>
    <mergeCell ref="K4738:M4738"/>
    <mergeCell ref="K4739:M4739"/>
    <mergeCell ref="K4740:M4740"/>
    <mergeCell ref="K4741:M4741"/>
    <mergeCell ref="K4742:M4742"/>
    <mergeCell ref="K4743:M4743"/>
    <mergeCell ref="K4744:M4744"/>
    <mergeCell ref="K4745:M4745"/>
    <mergeCell ref="K4746:M4746"/>
    <mergeCell ref="K4747:M4747"/>
    <mergeCell ref="K4748:M4748"/>
    <mergeCell ref="K4749:M4749"/>
    <mergeCell ref="K4750:M4750"/>
    <mergeCell ref="K4751:M4751"/>
    <mergeCell ref="K4752:M4752"/>
    <mergeCell ref="K4753:M4753"/>
    <mergeCell ref="K4754:M4754"/>
    <mergeCell ref="K4755:M4755"/>
    <mergeCell ref="K4756:M4756"/>
    <mergeCell ref="K4757:M4757"/>
    <mergeCell ref="K4758:M4758"/>
    <mergeCell ref="K4759:M4759"/>
    <mergeCell ref="K4760:M4760"/>
    <mergeCell ref="K4761:M4761"/>
    <mergeCell ref="K4762:M4762"/>
    <mergeCell ref="K4763:M4763"/>
    <mergeCell ref="K4764:M4764"/>
    <mergeCell ref="K4765:M4765"/>
    <mergeCell ref="K4766:M4766"/>
    <mergeCell ref="K4767:M4767"/>
    <mergeCell ref="K4768:M4768"/>
    <mergeCell ref="K4769:M4769"/>
    <mergeCell ref="K4770:M4770"/>
    <mergeCell ref="K4771:M4771"/>
    <mergeCell ref="K4772:M4772"/>
    <mergeCell ref="K4773:M4773"/>
    <mergeCell ref="K4774:M4774"/>
    <mergeCell ref="K4775:M4775"/>
    <mergeCell ref="K4776:M4776"/>
    <mergeCell ref="K4777:M4777"/>
    <mergeCell ref="K4778:M4778"/>
    <mergeCell ref="K4779:M4779"/>
    <mergeCell ref="K4780:M4780"/>
    <mergeCell ref="K4781:M4781"/>
    <mergeCell ref="K4782:M4782"/>
    <mergeCell ref="K4783:M4783"/>
    <mergeCell ref="K4784:M4784"/>
    <mergeCell ref="K4785:M4785"/>
    <mergeCell ref="K4786:M4786"/>
    <mergeCell ref="K4787:M4787"/>
    <mergeCell ref="K4788:M4788"/>
    <mergeCell ref="K4789:M4789"/>
    <mergeCell ref="K4790:M4790"/>
    <mergeCell ref="K4791:M4791"/>
    <mergeCell ref="K4792:M4792"/>
    <mergeCell ref="K4793:M4793"/>
    <mergeCell ref="K4794:M4794"/>
    <mergeCell ref="K4795:M4795"/>
    <mergeCell ref="K4796:M4796"/>
    <mergeCell ref="K4797:M4797"/>
    <mergeCell ref="K4798:M4798"/>
    <mergeCell ref="K4799:M4799"/>
    <mergeCell ref="K4800:M4800"/>
    <mergeCell ref="K4801:M4801"/>
    <mergeCell ref="K4802:M4802"/>
    <mergeCell ref="K4803:M4803"/>
    <mergeCell ref="K4804:M4804"/>
    <mergeCell ref="K4805:M4805"/>
    <mergeCell ref="K4806:M4806"/>
    <mergeCell ref="K4807:M4807"/>
    <mergeCell ref="K4808:M4808"/>
    <mergeCell ref="K4809:M4809"/>
    <mergeCell ref="K4810:M4810"/>
    <mergeCell ref="K4811:M4811"/>
    <mergeCell ref="K4812:M4812"/>
    <mergeCell ref="K4813:M4813"/>
    <mergeCell ref="K4814:M4814"/>
    <mergeCell ref="K4815:M4815"/>
    <mergeCell ref="K4816:M4816"/>
    <mergeCell ref="K4817:M4817"/>
    <mergeCell ref="K4818:M4818"/>
    <mergeCell ref="K4819:M4819"/>
    <mergeCell ref="K4820:M4820"/>
    <mergeCell ref="K4821:M4821"/>
    <mergeCell ref="K4822:M4822"/>
    <mergeCell ref="K4823:M4823"/>
    <mergeCell ref="K4824:M4824"/>
    <mergeCell ref="K4825:M4825"/>
    <mergeCell ref="K4826:M4826"/>
    <mergeCell ref="K4827:M4827"/>
    <mergeCell ref="K4828:M4828"/>
    <mergeCell ref="K4829:M4829"/>
    <mergeCell ref="K4830:M4830"/>
    <mergeCell ref="K4831:M4831"/>
    <mergeCell ref="K4832:M4832"/>
    <mergeCell ref="K4833:M4833"/>
    <mergeCell ref="K4834:M4834"/>
    <mergeCell ref="K4835:M4835"/>
    <mergeCell ref="K4836:M4836"/>
    <mergeCell ref="K4837:M4837"/>
    <mergeCell ref="K4838:M4838"/>
    <mergeCell ref="K4839:M4839"/>
    <mergeCell ref="K4840:M4840"/>
    <mergeCell ref="K4841:M4841"/>
    <mergeCell ref="K4842:M4842"/>
    <mergeCell ref="K4843:M4843"/>
    <mergeCell ref="K4844:M4844"/>
    <mergeCell ref="K4845:M4845"/>
    <mergeCell ref="K4846:M4846"/>
    <mergeCell ref="K4847:M4847"/>
    <mergeCell ref="K4848:M4848"/>
    <mergeCell ref="K4849:M4849"/>
    <mergeCell ref="K4850:M4850"/>
    <mergeCell ref="K4851:M4851"/>
    <mergeCell ref="K4852:M4852"/>
    <mergeCell ref="K4853:M4853"/>
    <mergeCell ref="K4854:M4854"/>
    <mergeCell ref="K4855:M4855"/>
    <mergeCell ref="K4856:M4856"/>
    <mergeCell ref="K4857:M4857"/>
    <mergeCell ref="K4858:M4858"/>
    <mergeCell ref="K4859:M4859"/>
    <mergeCell ref="K4860:M4860"/>
    <mergeCell ref="K4861:M4861"/>
    <mergeCell ref="K4862:M4862"/>
    <mergeCell ref="K4863:M4863"/>
    <mergeCell ref="K4864:M4864"/>
    <mergeCell ref="K4865:M4865"/>
    <mergeCell ref="K4866:M4866"/>
    <mergeCell ref="K4867:M4867"/>
    <mergeCell ref="K4868:M4868"/>
    <mergeCell ref="K4869:M4869"/>
    <mergeCell ref="K4870:M4870"/>
    <mergeCell ref="K4871:M4871"/>
    <mergeCell ref="K4872:M4872"/>
    <mergeCell ref="K4873:M4873"/>
    <mergeCell ref="K4874:M4874"/>
    <mergeCell ref="K4875:M4875"/>
    <mergeCell ref="K4876:M4876"/>
    <mergeCell ref="K4877:M4877"/>
    <mergeCell ref="K4878:M4878"/>
    <mergeCell ref="K4879:M4879"/>
    <mergeCell ref="K4880:M4880"/>
    <mergeCell ref="K4881:M4881"/>
    <mergeCell ref="K4882:M4882"/>
    <mergeCell ref="K4883:M4883"/>
    <mergeCell ref="K4884:M4884"/>
    <mergeCell ref="K4885:M4885"/>
    <mergeCell ref="K4886:M4886"/>
    <mergeCell ref="K4887:M4887"/>
    <mergeCell ref="K4888:M4888"/>
    <mergeCell ref="K4889:M4889"/>
    <mergeCell ref="K4890:M4890"/>
    <mergeCell ref="K4891:M4891"/>
    <mergeCell ref="K4892:M4892"/>
    <mergeCell ref="K4893:M4893"/>
    <mergeCell ref="K4894:M4894"/>
    <mergeCell ref="K4895:M4895"/>
    <mergeCell ref="K4896:M4896"/>
    <mergeCell ref="K4897:M4897"/>
    <mergeCell ref="K4898:M4898"/>
    <mergeCell ref="K4899:M4899"/>
    <mergeCell ref="K4900:M4900"/>
    <mergeCell ref="K4901:M4901"/>
    <mergeCell ref="K4902:M4902"/>
    <mergeCell ref="K4903:M4903"/>
    <mergeCell ref="K4904:M4904"/>
    <mergeCell ref="K4905:M4905"/>
    <mergeCell ref="K4906:M4906"/>
    <mergeCell ref="K4907:M4907"/>
    <mergeCell ref="K4908:M4908"/>
    <mergeCell ref="K4909:M4909"/>
    <mergeCell ref="K4910:M4910"/>
    <mergeCell ref="K4911:M4911"/>
    <mergeCell ref="K4912:M4912"/>
    <mergeCell ref="K4913:M4913"/>
    <mergeCell ref="K4914:M4914"/>
    <mergeCell ref="K4915:M4915"/>
    <mergeCell ref="K4916:M4916"/>
    <mergeCell ref="K4917:M4917"/>
    <mergeCell ref="K4918:M4918"/>
    <mergeCell ref="K4919:M4919"/>
    <mergeCell ref="K4920:M4920"/>
    <mergeCell ref="K4921:M4921"/>
    <mergeCell ref="K4922:M4922"/>
    <mergeCell ref="K4923:M4923"/>
    <mergeCell ref="K4924:M4924"/>
    <mergeCell ref="K4925:M4925"/>
    <mergeCell ref="K4926:M4926"/>
    <mergeCell ref="K4927:M4927"/>
    <mergeCell ref="K4928:M4928"/>
    <mergeCell ref="K4929:M4929"/>
    <mergeCell ref="K4930:M4930"/>
    <mergeCell ref="K4931:M4931"/>
    <mergeCell ref="K4932:M4932"/>
    <mergeCell ref="K4933:M4933"/>
    <mergeCell ref="K4934:M4934"/>
    <mergeCell ref="K4935:M4935"/>
    <mergeCell ref="K4936:M4936"/>
    <mergeCell ref="K4937:M4937"/>
    <mergeCell ref="K4938:M4938"/>
    <mergeCell ref="K4939:M4939"/>
    <mergeCell ref="K4940:M4940"/>
    <mergeCell ref="K4941:M4941"/>
    <mergeCell ref="K4942:M4942"/>
    <mergeCell ref="K4943:M4943"/>
    <mergeCell ref="K4944:M4944"/>
    <mergeCell ref="K4945:M4945"/>
    <mergeCell ref="K4946:M4946"/>
    <mergeCell ref="K4947:M4947"/>
    <mergeCell ref="K4948:M4948"/>
    <mergeCell ref="K4949:M4949"/>
    <mergeCell ref="K4950:M4950"/>
    <mergeCell ref="K4951:M4951"/>
    <mergeCell ref="K4952:M4952"/>
    <mergeCell ref="K4953:M4953"/>
    <mergeCell ref="K4954:M4954"/>
    <mergeCell ref="K4955:M4955"/>
    <mergeCell ref="K4956:M4956"/>
    <mergeCell ref="K4957:M4957"/>
    <mergeCell ref="K4958:M4958"/>
    <mergeCell ref="K4959:M4959"/>
    <mergeCell ref="K4960:M4960"/>
    <mergeCell ref="K4961:M4961"/>
    <mergeCell ref="K4962:M4962"/>
    <mergeCell ref="K4963:M4963"/>
    <mergeCell ref="K4964:M4964"/>
    <mergeCell ref="K4965:M4965"/>
    <mergeCell ref="K4966:M4966"/>
    <mergeCell ref="K4967:M4967"/>
    <mergeCell ref="K4968:M4968"/>
    <mergeCell ref="K4969:M4969"/>
    <mergeCell ref="K4970:M4970"/>
    <mergeCell ref="K4971:M4971"/>
    <mergeCell ref="K4972:M4972"/>
    <mergeCell ref="K4973:M4973"/>
    <mergeCell ref="K4974:M4974"/>
    <mergeCell ref="K4975:M4975"/>
    <mergeCell ref="K4976:M4976"/>
    <mergeCell ref="K4977:M4977"/>
    <mergeCell ref="K4978:M4978"/>
    <mergeCell ref="K4979:M4979"/>
    <mergeCell ref="K4980:M4980"/>
    <mergeCell ref="K4981:M4981"/>
    <mergeCell ref="K4982:M4982"/>
    <mergeCell ref="K4983:M4983"/>
    <mergeCell ref="K4984:M4984"/>
    <mergeCell ref="K4985:M4985"/>
    <mergeCell ref="K4986:M4986"/>
    <mergeCell ref="K4987:M4987"/>
    <mergeCell ref="K4988:M4988"/>
    <mergeCell ref="K4989:M4989"/>
    <mergeCell ref="K4990:M4990"/>
    <mergeCell ref="K4991:M4991"/>
    <mergeCell ref="K4992:M4992"/>
    <mergeCell ref="K4993:M4993"/>
    <mergeCell ref="K4994:M4994"/>
    <mergeCell ref="K4995:M4995"/>
    <mergeCell ref="K4996:M4996"/>
    <mergeCell ref="K4997:M4997"/>
    <mergeCell ref="K4998:M4998"/>
    <mergeCell ref="K4999:M4999"/>
    <mergeCell ref="K5000:M5000"/>
    <mergeCell ref="K5001:M5001"/>
    <mergeCell ref="K5002:M5002"/>
    <mergeCell ref="K5003:M5003"/>
    <mergeCell ref="K5004:M5004"/>
    <mergeCell ref="K5005:M5005"/>
    <mergeCell ref="K5006:M5006"/>
    <mergeCell ref="K5007:M5007"/>
    <mergeCell ref="K5008:M5008"/>
    <mergeCell ref="K5009:M5009"/>
    <mergeCell ref="K5010:M5010"/>
    <mergeCell ref="K5011:M5011"/>
    <mergeCell ref="K5012:M5012"/>
    <mergeCell ref="K5013:M5013"/>
    <mergeCell ref="K5014:M5014"/>
    <mergeCell ref="K5015:M5015"/>
    <mergeCell ref="K5016:M5016"/>
    <mergeCell ref="K5017:M5017"/>
    <mergeCell ref="K5018:M5018"/>
    <mergeCell ref="K5019:M5019"/>
    <mergeCell ref="K5020:M5020"/>
    <mergeCell ref="K5021:M5021"/>
    <mergeCell ref="K5022:M5022"/>
    <mergeCell ref="K5023:M5023"/>
    <mergeCell ref="K5024:M5024"/>
    <mergeCell ref="K5025:M5025"/>
    <mergeCell ref="K5026:M5026"/>
    <mergeCell ref="K5027:M5027"/>
    <mergeCell ref="K5028:M5028"/>
    <mergeCell ref="K5029:M5029"/>
    <mergeCell ref="K5030:M5030"/>
    <mergeCell ref="K5031:M5031"/>
    <mergeCell ref="K5032:M5032"/>
    <mergeCell ref="K5033:M5033"/>
    <mergeCell ref="K5034:M5034"/>
    <mergeCell ref="K5035:M5035"/>
    <mergeCell ref="K5036:M5036"/>
    <mergeCell ref="K5037:M5037"/>
    <mergeCell ref="K5038:M5038"/>
    <mergeCell ref="K5039:M5039"/>
    <mergeCell ref="K5040:M5040"/>
    <mergeCell ref="K5041:M5041"/>
    <mergeCell ref="K5042:M5042"/>
    <mergeCell ref="K5043:M5043"/>
    <mergeCell ref="K5044:M5044"/>
    <mergeCell ref="K5045:M5045"/>
    <mergeCell ref="K5046:M5046"/>
    <mergeCell ref="K5047:M5047"/>
    <mergeCell ref="K5048:M5048"/>
    <mergeCell ref="K5049:M5049"/>
    <mergeCell ref="K5050:M5050"/>
    <mergeCell ref="K5051:M5051"/>
    <mergeCell ref="K5052:M5052"/>
    <mergeCell ref="K5053:M5053"/>
    <mergeCell ref="K5054:M5054"/>
    <mergeCell ref="K5055:M5055"/>
    <mergeCell ref="K5056:M5056"/>
    <mergeCell ref="K5057:M5057"/>
    <mergeCell ref="K5058:M5058"/>
    <mergeCell ref="K5059:M5059"/>
    <mergeCell ref="K5060:M5060"/>
    <mergeCell ref="K5061:M5061"/>
    <mergeCell ref="K5062:M5062"/>
    <mergeCell ref="K5063:M5063"/>
    <mergeCell ref="K5064:M5064"/>
    <mergeCell ref="K5065:M5065"/>
    <mergeCell ref="K5066:M5066"/>
    <mergeCell ref="K608:M608"/>
    <mergeCell ref="K609:M609"/>
    <mergeCell ref="K610:M610"/>
    <mergeCell ref="K611:M611"/>
    <mergeCell ref="K612:M612"/>
    <mergeCell ref="K613:M613"/>
    <mergeCell ref="K614:M614"/>
    <mergeCell ref="K615:M615"/>
    <mergeCell ref="K616:M616"/>
    <mergeCell ref="K617:M617"/>
    <mergeCell ref="K618:M618"/>
    <mergeCell ref="K619:M619"/>
    <mergeCell ref="K620:M620"/>
    <mergeCell ref="K621:M621"/>
    <mergeCell ref="K622:M622"/>
    <mergeCell ref="K623:M623"/>
    <mergeCell ref="K624:M624"/>
    <mergeCell ref="K625:M625"/>
    <mergeCell ref="K626:M626"/>
    <mergeCell ref="K627:M627"/>
    <mergeCell ref="K628:M628"/>
    <mergeCell ref="K629:M629"/>
    <mergeCell ref="K630:M630"/>
    <mergeCell ref="K631:M631"/>
    <mergeCell ref="K632:M632"/>
    <mergeCell ref="K633:M633"/>
    <mergeCell ref="K634:M634"/>
    <mergeCell ref="K635:M635"/>
    <mergeCell ref="K636:M636"/>
    <mergeCell ref="K637:M637"/>
    <mergeCell ref="K638:M638"/>
    <mergeCell ref="K639:M639"/>
    <mergeCell ref="K640:M640"/>
    <mergeCell ref="K641:M641"/>
    <mergeCell ref="K642:M642"/>
    <mergeCell ref="K643:M643"/>
    <mergeCell ref="K644:M644"/>
    <mergeCell ref="K645:M645"/>
    <mergeCell ref="K646:M646"/>
    <mergeCell ref="K647:M647"/>
    <mergeCell ref="K648:M648"/>
    <mergeCell ref="K649:M649"/>
    <mergeCell ref="K650:M650"/>
    <mergeCell ref="K651:M651"/>
    <mergeCell ref="K652:M652"/>
    <mergeCell ref="K653:M653"/>
    <mergeCell ref="K654:M654"/>
    <mergeCell ref="K655:M655"/>
    <mergeCell ref="K656:M656"/>
    <mergeCell ref="K657:M657"/>
    <mergeCell ref="K658:M658"/>
    <mergeCell ref="K659:M659"/>
    <mergeCell ref="K660:M660"/>
    <mergeCell ref="K661:M661"/>
    <mergeCell ref="K662:M662"/>
    <mergeCell ref="K663:M663"/>
    <mergeCell ref="K664:M664"/>
    <mergeCell ref="K665:M665"/>
    <mergeCell ref="K666:M666"/>
    <mergeCell ref="K667:M667"/>
    <mergeCell ref="K668:M668"/>
    <mergeCell ref="K669:M669"/>
    <mergeCell ref="K670:M670"/>
    <mergeCell ref="K671:M671"/>
    <mergeCell ref="K672:M672"/>
    <mergeCell ref="K673:M673"/>
    <mergeCell ref="K674:M674"/>
    <mergeCell ref="K675:M675"/>
    <mergeCell ref="K676:M676"/>
    <mergeCell ref="K677:M677"/>
    <mergeCell ref="K678:M678"/>
    <mergeCell ref="K679:M679"/>
    <mergeCell ref="K680:M680"/>
    <mergeCell ref="K681:M681"/>
    <mergeCell ref="K682:M682"/>
    <mergeCell ref="K683:M683"/>
    <mergeCell ref="K684:M684"/>
    <mergeCell ref="K685:M685"/>
    <mergeCell ref="K686:M686"/>
    <mergeCell ref="K687:M687"/>
    <mergeCell ref="K688:M688"/>
    <mergeCell ref="K689:M689"/>
    <mergeCell ref="K690:M690"/>
    <mergeCell ref="K691:M691"/>
    <mergeCell ref="K692:M692"/>
    <mergeCell ref="K693:M693"/>
    <mergeCell ref="K694:M694"/>
    <mergeCell ref="K695:M695"/>
    <mergeCell ref="K696:M696"/>
    <mergeCell ref="K697:M697"/>
    <mergeCell ref="K698:M698"/>
    <mergeCell ref="K699:M699"/>
    <mergeCell ref="K700:M700"/>
    <mergeCell ref="K701:M701"/>
    <mergeCell ref="K702:M702"/>
    <mergeCell ref="K703:M703"/>
    <mergeCell ref="K704:M704"/>
    <mergeCell ref="K705:M705"/>
    <mergeCell ref="K706:M706"/>
    <mergeCell ref="K707:M707"/>
    <mergeCell ref="K708:M708"/>
    <mergeCell ref="K709:M709"/>
    <mergeCell ref="K710:M710"/>
    <mergeCell ref="K711:M711"/>
    <mergeCell ref="K712:M712"/>
    <mergeCell ref="K713:M713"/>
    <mergeCell ref="K714:M714"/>
    <mergeCell ref="K715:M715"/>
    <mergeCell ref="K716:M716"/>
    <mergeCell ref="K717:M717"/>
    <mergeCell ref="K718:M718"/>
    <mergeCell ref="K719:M719"/>
    <mergeCell ref="K720:M720"/>
    <mergeCell ref="K721:M721"/>
    <mergeCell ref="K722:M722"/>
    <mergeCell ref="K723:M723"/>
    <mergeCell ref="K724:M724"/>
    <mergeCell ref="K725:M725"/>
    <mergeCell ref="K726:M726"/>
    <mergeCell ref="K727:M727"/>
    <mergeCell ref="K728:M728"/>
    <mergeCell ref="K729:M729"/>
    <mergeCell ref="K730:M730"/>
    <mergeCell ref="K731:M731"/>
    <mergeCell ref="K732:M732"/>
    <mergeCell ref="K733:M733"/>
    <mergeCell ref="K734:M734"/>
    <mergeCell ref="K735:M735"/>
    <mergeCell ref="K736:M736"/>
    <mergeCell ref="K737:M737"/>
    <mergeCell ref="K738:M738"/>
    <mergeCell ref="K739:M739"/>
    <mergeCell ref="K740:M740"/>
    <mergeCell ref="K741:M741"/>
    <mergeCell ref="K742:M742"/>
    <mergeCell ref="K743:M743"/>
    <mergeCell ref="K744:M744"/>
    <mergeCell ref="K745:M745"/>
    <mergeCell ref="K746:M746"/>
    <mergeCell ref="K747:M747"/>
    <mergeCell ref="K748:M748"/>
    <mergeCell ref="K749:M749"/>
    <mergeCell ref="K750:M750"/>
    <mergeCell ref="K751:M751"/>
    <mergeCell ref="K752:M752"/>
    <mergeCell ref="K753:M753"/>
    <mergeCell ref="K754:M754"/>
    <mergeCell ref="K755:M755"/>
    <mergeCell ref="K756:M756"/>
    <mergeCell ref="K757:M757"/>
    <mergeCell ref="K758:M758"/>
    <mergeCell ref="K759:M759"/>
    <mergeCell ref="K760:M760"/>
    <mergeCell ref="K761:M761"/>
    <mergeCell ref="K762:M762"/>
    <mergeCell ref="K763:M763"/>
    <mergeCell ref="K764:M764"/>
    <mergeCell ref="K765:M765"/>
    <mergeCell ref="K766:M766"/>
    <mergeCell ref="K767:M767"/>
    <mergeCell ref="K768:M768"/>
    <mergeCell ref="K769:M769"/>
    <mergeCell ref="K770:M770"/>
    <mergeCell ref="K771:M771"/>
    <mergeCell ref="K772:M772"/>
    <mergeCell ref="K773:M773"/>
    <mergeCell ref="K774:M774"/>
    <mergeCell ref="K775:M775"/>
    <mergeCell ref="K776:M776"/>
    <mergeCell ref="K777:M777"/>
    <mergeCell ref="K778:M778"/>
    <mergeCell ref="K779:M779"/>
    <mergeCell ref="K780:M780"/>
    <mergeCell ref="K781:M781"/>
    <mergeCell ref="K782:M782"/>
    <mergeCell ref="K783:M783"/>
    <mergeCell ref="K784:M784"/>
    <mergeCell ref="K785:M785"/>
    <mergeCell ref="K786:M786"/>
    <mergeCell ref="K787:M787"/>
    <mergeCell ref="K788:M788"/>
    <mergeCell ref="K789:M789"/>
    <mergeCell ref="K790:M790"/>
    <mergeCell ref="K791:M791"/>
    <mergeCell ref="K792:M792"/>
    <mergeCell ref="K793:M793"/>
    <mergeCell ref="K794:M794"/>
    <mergeCell ref="K795:M795"/>
    <mergeCell ref="K796:M796"/>
    <mergeCell ref="K797:M797"/>
    <mergeCell ref="K798:M798"/>
    <mergeCell ref="K799:M799"/>
    <mergeCell ref="K800:M800"/>
    <mergeCell ref="K801:M801"/>
    <mergeCell ref="K802:M802"/>
    <mergeCell ref="K803:M803"/>
    <mergeCell ref="K804:M804"/>
    <mergeCell ref="K805:M805"/>
    <mergeCell ref="K806:M806"/>
    <mergeCell ref="K807:M807"/>
    <mergeCell ref="K808:M808"/>
    <mergeCell ref="K809:M809"/>
    <mergeCell ref="K810:M810"/>
    <mergeCell ref="K811:M811"/>
    <mergeCell ref="K812:M812"/>
    <mergeCell ref="K813:M813"/>
    <mergeCell ref="K814:M814"/>
    <mergeCell ref="K815:M815"/>
    <mergeCell ref="K816:M816"/>
    <mergeCell ref="K817:M817"/>
    <mergeCell ref="K818:M818"/>
    <mergeCell ref="K819:M819"/>
    <mergeCell ref="K820:M820"/>
    <mergeCell ref="K821:M821"/>
    <mergeCell ref="K822:M822"/>
    <mergeCell ref="K823:M823"/>
    <mergeCell ref="K824:M824"/>
    <mergeCell ref="K825:M825"/>
    <mergeCell ref="K826:M826"/>
    <mergeCell ref="K827:M827"/>
    <mergeCell ref="K828:M828"/>
    <mergeCell ref="K829:M829"/>
    <mergeCell ref="K830:M830"/>
    <mergeCell ref="K831:M831"/>
    <mergeCell ref="K832:M832"/>
    <mergeCell ref="K833:M833"/>
    <mergeCell ref="K834:M834"/>
    <mergeCell ref="K835:M835"/>
    <mergeCell ref="K836:M836"/>
    <mergeCell ref="K837:M837"/>
    <mergeCell ref="K838:M838"/>
    <mergeCell ref="K839:M839"/>
    <mergeCell ref="K840:M840"/>
    <mergeCell ref="K841:M841"/>
    <mergeCell ref="K842:M842"/>
    <mergeCell ref="K843:M843"/>
    <mergeCell ref="K844:M844"/>
    <mergeCell ref="K845:M845"/>
    <mergeCell ref="K846:M846"/>
    <mergeCell ref="K847:M847"/>
    <mergeCell ref="K848:M848"/>
    <mergeCell ref="K849:M849"/>
    <mergeCell ref="K850:M850"/>
    <mergeCell ref="K851:M851"/>
    <mergeCell ref="K852:M852"/>
    <mergeCell ref="K853:M853"/>
    <mergeCell ref="K854:M854"/>
    <mergeCell ref="K855:M855"/>
    <mergeCell ref="K856:M856"/>
    <mergeCell ref="K857:M857"/>
    <mergeCell ref="K858:M858"/>
    <mergeCell ref="K859:M859"/>
    <mergeCell ref="K860:M860"/>
    <mergeCell ref="K861:M861"/>
    <mergeCell ref="K862:M862"/>
    <mergeCell ref="K863:M863"/>
    <mergeCell ref="K864:M864"/>
    <mergeCell ref="K865:M865"/>
    <mergeCell ref="K866:M866"/>
    <mergeCell ref="K867:M867"/>
    <mergeCell ref="K868:M868"/>
    <mergeCell ref="K869:M869"/>
    <mergeCell ref="K870:M870"/>
    <mergeCell ref="K871:M871"/>
    <mergeCell ref="K872:M872"/>
    <mergeCell ref="K873:M873"/>
    <mergeCell ref="K874:M874"/>
    <mergeCell ref="K875:M875"/>
    <mergeCell ref="K876:M876"/>
    <mergeCell ref="K877:M877"/>
    <mergeCell ref="K878:M878"/>
    <mergeCell ref="K879:M879"/>
    <mergeCell ref="K880:M880"/>
    <mergeCell ref="K881:M881"/>
    <mergeCell ref="K882:M882"/>
    <mergeCell ref="K883:M883"/>
    <mergeCell ref="K884:M884"/>
    <mergeCell ref="K885:M885"/>
    <mergeCell ref="K886:M886"/>
    <mergeCell ref="K887:M887"/>
    <mergeCell ref="K888:M888"/>
    <mergeCell ref="K889:M889"/>
    <mergeCell ref="K890:M890"/>
    <mergeCell ref="K891:M891"/>
    <mergeCell ref="K892:M892"/>
    <mergeCell ref="K893:M893"/>
    <mergeCell ref="K894:M894"/>
    <mergeCell ref="K895:M895"/>
    <mergeCell ref="K896:M896"/>
    <mergeCell ref="K897:M897"/>
    <mergeCell ref="K898:M898"/>
    <mergeCell ref="K899:M899"/>
    <mergeCell ref="K900:M900"/>
    <mergeCell ref="K901:M901"/>
    <mergeCell ref="K902:M902"/>
    <mergeCell ref="K903:M903"/>
    <mergeCell ref="K904:M904"/>
    <mergeCell ref="K905:M905"/>
    <mergeCell ref="K906:M906"/>
    <mergeCell ref="K907:M907"/>
    <mergeCell ref="K908:M908"/>
    <mergeCell ref="K909:M909"/>
    <mergeCell ref="K910:M910"/>
    <mergeCell ref="K911:M911"/>
    <mergeCell ref="K912:M912"/>
    <mergeCell ref="K913:M913"/>
    <mergeCell ref="K914:M914"/>
    <mergeCell ref="K915:M915"/>
    <mergeCell ref="K916:M916"/>
    <mergeCell ref="K917:M917"/>
    <mergeCell ref="K918:M918"/>
    <mergeCell ref="K919:M919"/>
    <mergeCell ref="K920:M920"/>
    <mergeCell ref="K921:M921"/>
    <mergeCell ref="K922:M922"/>
    <mergeCell ref="K923:M923"/>
    <mergeCell ref="K924:M924"/>
    <mergeCell ref="K925:M925"/>
    <mergeCell ref="K926:M926"/>
    <mergeCell ref="K927:M927"/>
    <mergeCell ref="K928:M928"/>
    <mergeCell ref="K929:M929"/>
    <mergeCell ref="K930:M930"/>
    <mergeCell ref="K931:M931"/>
    <mergeCell ref="K932:M932"/>
    <mergeCell ref="K933:M933"/>
    <mergeCell ref="K934:M934"/>
    <mergeCell ref="K935:M935"/>
    <mergeCell ref="K936:M936"/>
    <mergeCell ref="K937:M937"/>
    <mergeCell ref="K938:M938"/>
    <mergeCell ref="K939:M939"/>
    <mergeCell ref="K940:M940"/>
    <mergeCell ref="K941:M941"/>
    <mergeCell ref="K942:M942"/>
    <mergeCell ref="K943:M943"/>
    <mergeCell ref="K944:M944"/>
    <mergeCell ref="K945:M945"/>
    <mergeCell ref="K946:M946"/>
    <mergeCell ref="K947:M947"/>
    <mergeCell ref="K948:M948"/>
    <mergeCell ref="K949:M949"/>
    <mergeCell ref="K950:M950"/>
    <mergeCell ref="K951:M951"/>
    <mergeCell ref="K952:M952"/>
    <mergeCell ref="K953:M953"/>
    <mergeCell ref="K954:M954"/>
    <mergeCell ref="K955:M955"/>
    <mergeCell ref="K956:M956"/>
    <mergeCell ref="K957:M957"/>
    <mergeCell ref="K958:M958"/>
    <mergeCell ref="K959:M959"/>
    <mergeCell ref="K960:M960"/>
    <mergeCell ref="K961:M961"/>
    <mergeCell ref="K962:M962"/>
    <mergeCell ref="K963:M963"/>
    <mergeCell ref="K964:M964"/>
    <mergeCell ref="K965:M965"/>
    <mergeCell ref="K966:M966"/>
    <mergeCell ref="K967:M967"/>
    <mergeCell ref="K968:M968"/>
    <mergeCell ref="K969:M969"/>
    <mergeCell ref="K970:M970"/>
    <mergeCell ref="K971:M971"/>
    <mergeCell ref="K972:M972"/>
    <mergeCell ref="K973:M973"/>
    <mergeCell ref="K974:M974"/>
    <mergeCell ref="K975:M975"/>
    <mergeCell ref="K976:M976"/>
    <mergeCell ref="K977:M977"/>
    <mergeCell ref="K978:M978"/>
    <mergeCell ref="K979:M979"/>
    <mergeCell ref="K980:M980"/>
    <mergeCell ref="K981:M981"/>
    <mergeCell ref="K982:M982"/>
    <mergeCell ref="K983:M983"/>
    <mergeCell ref="K984:M984"/>
    <mergeCell ref="K985:M985"/>
    <mergeCell ref="K986:M986"/>
    <mergeCell ref="K987:M987"/>
    <mergeCell ref="K988:M988"/>
    <mergeCell ref="K989:M989"/>
    <mergeCell ref="K990:M990"/>
    <mergeCell ref="K991:M991"/>
    <mergeCell ref="K992:M992"/>
    <mergeCell ref="K993:M993"/>
    <mergeCell ref="K994:M994"/>
    <mergeCell ref="K995:M995"/>
    <mergeCell ref="K996:M996"/>
    <mergeCell ref="K997:M997"/>
    <mergeCell ref="K998:M998"/>
    <mergeCell ref="K999:M999"/>
    <mergeCell ref="K1000:M1000"/>
    <mergeCell ref="K1001:M1001"/>
    <mergeCell ref="K1002:M1002"/>
    <mergeCell ref="K1003:M1003"/>
    <mergeCell ref="K1004:M1004"/>
    <mergeCell ref="K1005:M1005"/>
    <mergeCell ref="K1006:M1006"/>
    <mergeCell ref="K1007:M1007"/>
    <mergeCell ref="K1008:M1008"/>
    <mergeCell ref="K1009:M1009"/>
    <mergeCell ref="K1010:M1010"/>
    <mergeCell ref="K1011:M1011"/>
    <mergeCell ref="K1012:M1012"/>
    <mergeCell ref="K1013:M1013"/>
    <mergeCell ref="K1014:M1014"/>
    <mergeCell ref="K1015:M1015"/>
    <mergeCell ref="K1016:M1016"/>
    <mergeCell ref="K1017:M1017"/>
    <mergeCell ref="K1018:M1018"/>
    <mergeCell ref="K1019:M1019"/>
    <mergeCell ref="K1020:M1020"/>
    <mergeCell ref="K1021:M1021"/>
    <mergeCell ref="K1022:M1022"/>
    <mergeCell ref="K1023:M1023"/>
    <mergeCell ref="K1024:M1024"/>
    <mergeCell ref="K1025:M1025"/>
    <mergeCell ref="K1026:M1026"/>
    <mergeCell ref="K1027:M1027"/>
    <mergeCell ref="K1028:M1028"/>
    <mergeCell ref="K1029:M1029"/>
    <mergeCell ref="K1030:M1030"/>
    <mergeCell ref="K1031:M1031"/>
    <mergeCell ref="K1032:M1032"/>
    <mergeCell ref="K1033:M1033"/>
    <mergeCell ref="K1034:M1034"/>
    <mergeCell ref="K1035:M1035"/>
    <mergeCell ref="K1036:M1036"/>
    <mergeCell ref="K1037:M1037"/>
    <mergeCell ref="K1038:M1038"/>
    <mergeCell ref="K1039:M1039"/>
    <mergeCell ref="K1040:M1040"/>
    <mergeCell ref="K1041:M1041"/>
    <mergeCell ref="K1042:M1042"/>
    <mergeCell ref="K1043:M1043"/>
    <mergeCell ref="K1044:M1044"/>
    <mergeCell ref="K1045:M1045"/>
    <mergeCell ref="K1046:M1046"/>
    <mergeCell ref="K1047:M1047"/>
    <mergeCell ref="K1048:M1048"/>
    <mergeCell ref="K1049:M1049"/>
    <mergeCell ref="K1050:M1050"/>
    <mergeCell ref="K1051:M1051"/>
    <mergeCell ref="K1052:M1052"/>
    <mergeCell ref="K1053:M1053"/>
    <mergeCell ref="K1054:M1054"/>
    <mergeCell ref="K1055:M1055"/>
    <mergeCell ref="K1056:M1056"/>
    <mergeCell ref="K1057:M1057"/>
    <mergeCell ref="K1058:M1058"/>
    <mergeCell ref="K1059:M1059"/>
    <mergeCell ref="K1060:M1060"/>
    <mergeCell ref="K1061:M1061"/>
    <mergeCell ref="K1062:M1062"/>
    <mergeCell ref="K1063:M1063"/>
    <mergeCell ref="K1064:M1064"/>
    <mergeCell ref="K1065:M1065"/>
    <mergeCell ref="K1066:M1066"/>
    <mergeCell ref="K1067:M1067"/>
    <mergeCell ref="K1068:M1068"/>
    <mergeCell ref="K1069:M1069"/>
    <mergeCell ref="K1070:M1070"/>
    <mergeCell ref="K1071:M1071"/>
    <mergeCell ref="K1072:M1072"/>
    <mergeCell ref="K1073:M1073"/>
    <mergeCell ref="K1074:M1074"/>
    <mergeCell ref="K1075:M1075"/>
    <mergeCell ref="K1076:M1076"/>
    <mergeCell ref="K1077:M1077"/>
    <mergeCell ref="K1078:M1078"/>
    <mergeCell ref="K1079:M1079"/>
    <mergeCell ref="K1080:M1080"/>
    <mergeCell ref="K1081:M1081"/>
    <mergeCell ref="K1082:M1082"/>
    <mergeCell ref="K1083:M1083"/>
    <mergeCell ref="K1084:M1084"/>
    <mergeCell ref="K1085:M1085"/>
    <mergeCell ref="K1086:M1086"/>
    <mergeCell ref="K1087:M1087"/>
    <mergeCell ref="K1088:M1088"/>
    <mergeCell ref="K1089:M1089"/>
    <mergeCell ref="K1090:M1090"/>
    <mergeCell ref="K1091:M1091"/>
    <mergeCell ref="K1092:M1092"/>
    <mergeCell ref="K1093:M1093"/>
    <mergeCell ref="K1094:M1094"/>
    <mergeCell ref="K1095:M1095"/>
    <mergeCell ref="K1096:M1096"/>
    <mergeCell ref="K1097:M1097"/>
    <mergeCell ref="K1098:M1098"/>
    <mergeCell ref="K1099:M1099"/>
    <mergeCell ref="K1100:M1100"/>
    <mergeCell ref="K1101:M1101"/>
    <mergeCell ref="K1102:M1102"/>
    <mergeCell ref="K1103:M1103"/>
    <mergeCell ref="K1104:M1104"/>
    <mergeCell ref="K1105:M1105"/>
    <mergeCell ref="K1106:M1106"/>
    <mergeCell ref="K1107:M1107"/>
    <mergeCell ref="K1108:M1108"/>
    <mergeCell ref="K1109:M1109"/>
    <mergeCell ref="K1110:M1110"/>
    <mergeCell ref="K1111:M1111"/>
    <mergeCell ref="K1112:M1112"/>
    <mergeCell ref="K1113:M1113"/>
    <mergeCell ref="K1114:M1114"/>
    <mergeCell ref="K1115:M1115"/>
    <mergeCell ref="K1116:M1116"/>
    <mergeCell ref="K1117:M1117"/>
    <mergeCell ref="K1118:M1118"/>
    <mergeCell ref="K1119:M1119"/>
    <mergeCell ref="K1120:M1120"/>
    <mergeCell ref="K1121:M1121"/>
    <mergeCell ref="K1122:M1122"/>
    <mergeCell ref="K1123:M1123"/>
    <mergeCell ref="K1124:M1124"/>
    <mergeCell ref="K1125:M1125"/>
    <mergeCell ref="K1126:M1126"/>
    <mergeCell ref="K1127:M1127"/>
    <mergeCell ref="K1128:M1128"/>
    <mergeCell ref="K1129:M1129"/>
    <mergeCell ref="K1130:M1130"/>
    <mergeCell ref="K1131:M1131"/>
    <mergeCell ref="K1132:M1132"/>
    <mergeCell ref="K1133:M1133"/>
    <mergeCell ref="K1134:M1134"/>
    <mergeCell ref="K1135:M1135"/>
    <mergeCell ref="K1136:M1136"/>
    <mergeCell ref="K1137:M1137"/>
    <mergeCell ref="K1138:M1138"/>
    <mergeCell ref="K1139:M1139"/>
    <mergeCell ref="K1140:M1140"/>
    <mergeCell ref="K1141:M1141"/>
    <mergeCell ref="K1142:M1142"/>
    <mergeCell ref="K1143:M1143"/>
    <mergeCell ref="K1144:M1144"/>
    <mergeCell ref="K1145:M1145"/>
    <mergeCell ref="K1146:M1146"/>
    <mergeCell ref="K1147:M1147"/>
    <mergeCell ref="K1148:M1148"/>
    <mergeCell ref="K1149:M1149"/>
    <mergeCell ref="K1150:M1150"/>
    <mergeCell ref="K1151:M1151"/>
    <mergeCell ref="K1152:M1152"/>
    <mergeCell ref="K1153:M1153"/>
    <mergeCell ref="K1154:M1154"/>
    <mergeCell ref="K1155:M1155"/>
    <mergeCell ref="K1156:M1156"/>
    <mergeCell ref="K1157:M1157"/>
    <mergeCell ref="K1158:M1158"/>
    <mergeCell ref="K1159:M1159"/>
    <mergeCell ref="K1160:M1160"/>
    <mergeCell ref="K1161:M1161"/>
    <mergeCell ref="K1162:M1162"/>
    <mergeCell ref="K1163:M1163"/>
    <mergeCell ref="K1164:M1164"/>
    <mergeCell ref="K1165:M1165"/>
    <mergeCell ref="K1166:M1166"/>
    <mergeCell ref="K1167:M1167"/>
    <mergeCell ref="K1168:M1168"/>
    <mergeCell ref="K1169:M1169"/>
    <mergeCell ref="K1170:M1170"/>
    <mergeCell ref="K1171:M1171"/>
    <mergeCell ref="K1172:M1172"/>
    <mergeCell ref="K1173:M1173"/>
    <mergeCell ref="K1174:M1174"/>
    <mergeCell ref="K1175:M1175"/>
    <mergeCell ref="K1176:M1176"/>
    <mergeCell ref="K1177:M1177"/>
    <mergeCell ref="K1178:M1178"/>
    <mergeCell ref="K1179:M1179"/>
    <mergeCell ref="K1180:M1180"/>
    <mergeCell ref="K1181:M1181"/>
    <mergeCell ref="K1182:M1182"/>
    <mergeCell ref="K1183:M1183"/>
    <mergeCell ref="K1184:M1184"/>
    <mergeCell ref="K1185:M1185"/>
    <mergeCell ref="K1186:M1186"/>
    <mergeCell ref="K1187:M1187"/>
    <mergeCell ref="K1188:M1188"/>
    <mergeCell ref="K1189:M1189"/>
    <mergeCell ref="K1190:M1190"/>
    <mergeCell ref="K1191:M1191"/>
    <mergeCell ref="K1192:M1192"/>
    <mergeCell ref="K1193:M1193"/>
    <mergeCell ref="K1194:M1194"/>
    <mergeCell ref="K1195:M1195"/>
    <mergeCell ref="K1196:M1196"/>
    <mergeCell ref="K1197:M1197"/>
    <mergeCell ref="K1198:M1198"/>
    <mergeCell ref="K1199:M1199"/>
    <mergeCell ref="K1200:M1200"/>
    <mergeCell ref="K1201:M1201"/>
    <mergeCell ref="K1202:M1202"/>
    <mergeCell ref="K1203:M1203"/>
    <mergeCell ref="K1204:M1204"/>
    <mergeCell ref="K1205:M1205"/>
    <mergeCell ref="K1206:M1206"/>
    <mergeCell ref="K1207:M1207"/>
    <mergeCell ref="K1208:M1208"/>
    <mergeCell ref="K1209:M1209"/>
    <mergeCell ref="K1210:M1210"/>
    <mergeCell ref="K1211:M1211"/>
    <mergeCell ref="K1212:M1212"/>
    <mergeCell ref="K1213:M1213"/>
    <mergeCell ref="K1214:M1214"/>
    <mergeCell ref="K1215:M1215"/>
    <mergeCell ref="K1216:M1216"/>
    <mergeCell ref="K1217:M1217"/>
    <mergeCell ref="K1218:M1218"/>
    <mergeCell ref="K1219:M1219"/>
    <mergeCell ref="K1220:M1220"/>
    <mergeCell ref="K1221:M1221"/>
    <mergeCell ref="K1222:M1222"/>
    <mergeCell ref="K1223:M1223"/>
    <mergeCell ref="K1224:M1224"/>
    <mergeCell ref="K1225:M1225"/>
    <mergeCell ref="K1226:M1226"/>
    <mergeCell ref="K1227:M1227"/>
    <mergeCell ref="K1228:M1228"/>
    <mergeCell ref="K1229:M1229"/>
    <mergeCell ref="K1230:M1230"/>
    <mergeCell ref="K1231:M1231"/>
    <mergeCell ref="K1232:M1232"/>
    <mergeCell ref="K1233:M1233"/>
    <mergeCell ref="K1234:M1234"/>
    <mergeCell ref="K1235:M1235"/>
    <mergeCell ref="K1236:M1236"/>
    <mergeCell ref="K1237:M1237"/>
    <mergeCell ref="K1238:M1238"/>
    <mergeCell ref="K1239:M1239"/>
    <mergeCell ref="K1240:M1240"/>
    <mergeCell ref="K1241:M1241"/>
    <mergeCell ref="K1242:M1242"/>
    <mergeCell ref="K1243:M1243"/>
    <mergeCell ref="K1244:M1244"/>
    <mergeCell ref="K1245:M1245"/>
    <mergeCell ref="K1246:M1246"/>
    <mergeCell ref="K1247:M1247"/>
    <mergeCell ref="K1248:M1248"/>
    <mergeCell ref="K1249:M1249"/>
    <mergeCell ref="K1250:M1250"/>
    <mergeCell ref="K1251:M1251"/>
    <mergeCell ref="K1252:M1252"/>
    <mergeCell ref="K1253:M1253"/>
    <mergeCell ref="K1254:M1254"/>
    <mergeCell ref="K1255:M1255"/>
    <mergeCell ref="K1256:M1256"/>
    <mergeCell ref="K1257:M1257"/>
    <mergeCell ref="K1258:M1258"/>
    <mergeCell ref="K1259:M1259"/>
    <mergeCell ref="K1260:M1260"/>
    <mergeCell ref="K1261:M1261"/>
    <mergeCell ref="K1262:M1262"/>
    <mergeCell ref="K1263:M1263"/>
    <mergeCell ref="K1264:M1264"/>
    <mergeCell ref="K1265:M1265"/>
    <mergeCell ref="K1266:M1266"/>
    <mergeCell ref="K1267:M1267"/>
    <mergeCell ref="K1268:M1268"/>
    <mergeCell ref="K1269:M1269"/>
    <mergeCell ref="K1270:M1270"/>
    <mergeCell ref="K1271:M1271"/>
    <mergeCell ref="K1272:M1272"/>
    <mergeCell ref="K1273:M1273"/>
    <mergeCell ref="K1274:M1274"/>
    <mergeCell ref="K1275:M1275"/>
    <mergeCell ref="K1276:M1276"/>
    <mergeCell ref="K1277:M1277"/>
    <mergeCell ref="K1278:M1278"/>
    <mergeCell ref="K1279:M1279"/>
    <mergeCell ref="K1280:M1280"/>
    <mergeCell ref="K1281:M1281"/>
    <mergeCell ref="K1282:M1282"/>
    <mergeCell ref="K1283:M1283"/>
    <mergeCell ref="K1284:M1284"/>
    <mergeCell ref="K1285:M1285"/>
    <mergeCell ref="K1286:M1286"/>
    <mergeCell ref="K1287:M1287"/>
    <mergeCell ref="K1288:M1288"/>
    <mergeCell ref="K1289:M1289"/>
    <mergeCell ref="K1290:M1290"/>
    <mergeCell ref="K1291:M1291"/>
    <mergeCell ref="K1292:M1292"/>
    <mergeCell ref="K1293:M1293"/>
    <mergeCell ref="K1294:M1294"/>
    <mergeCell ref="K1295:M1295"/>
    <mergeCell ref="K1296:M1296"/>
    <mergeCell ref="K1297:M1297"/>
    <mergeCell ref="K1298:M1298"/>
    <mergeCell ref="K1299:M1299"/>
    <mergeCell ref="K1300:M1300"/>
    <mergeCell ref="K1301:M1301"/>
    <mergeCell ref="K1302:M1302"/>
    <mergeCell ref="K1303:M1303"/>
    <mergeCell ref="K1304:M1304"/>
    <mergeCell ref="K1305:M1305"/>
    <mergeCell ref="K1306:M1306"/>
    <mergeCell ref="K1307:M1307"/>
    <mergeCell ref="K1308:M1308"/>
    <mergeCell ref="K1309:M1309"/>
    <mergeCell ref="K1310:M1310"/>
    <mergeCell ref="K1311:M1311"/>
    <mergeCell ref="K1312:M1312"/>
    <mergeCell ref="K1313:M1313"/>
    <mergeCell ref="K1314:M1314"/>
    <mergeCell ref="K1315:M1315"/>
    <mergeCell ref="K1316:M1316"/>
    <mergeCell ref="K1317:M1317"/>
    <mergeCell ref="K1318:M1318"/>
    <mergeCell ref="K1319:M1319"/>
    <mergeCell ref="K1320:M1320"/>
    <mergeCell ref="K1321:M1321"/>
    <mergeCell ref="K1322:M1322"/>
    <mergeCell ref="K1323:M1323"/>
    <mergeCell ref="K1324:M1324"/>
    <mergeCell ref="K1325:M1325"/>
    <mergeCell ref="K1326:M1326"/>
    <mergeCell ref="K1327:M1327"/>
    <mergeCell ref="K1328:M1328"/>
    <mergeCell ref="K1329:M1329"/>
    <mergeCell ref="K1330:M1330"/>
    <mergeCell ref="K1331:M1331"/>
    <mergeCell ref="K1332:M1332"/>
    <mergeCell ref="K1333:M1333"/>
    <mergeCell ref="K1334:M1334"/>
    <mergeCell ref="K1335:M1335"/>
    <mergeCell ref="K1336:M1336"/>
    <mergeCell ref="K1337:M1337"/>
    <mergeCell ref="K1338:M1338"/>
    <mergeCell ref="K1339:M1339"/>
    <mergeCell ref="K1340:M1340"/>
    <mergeCell ref="K1341:M1341"/>
    <mergeCell ref="K1342:M1342"/>
    <mergeCell ref="K1343:M1343"/>
    <mergeCell ref="K1344:M1344"/>
    <mergeCell ref="K1345:M1345"/>
    <mergeCell ref="K1346:M1346"/>
    <mergeCell ref="K1347:M1347"/>
    <mergeCell ref="K1348:M1348"/>
    <mergeCell ref="K1349:M1349"/>
    <mergeCell ref="K1350:M1350"/>
    <mergeCell ref="K1351:M1351"/>
    <mergeCell ref="K1352:M1352"/>
    <mergeCell ref="K1353:M1353"/>
    <mergeCell ref="K1354:M1354"/>
    <mergeCell ref="K1355:M1355"/>
    <mergeCell ref="K1356:M1356"/>
    <mergeCell ref="K1357:M1357"/>
    <mergeCell ref="K1358:M1358"/>
    <mergeCell ref="K1359:M1359"/>
    <mergeCell ref="K1360:M1360"/>
    <mergeCell ref="K1361:M1361"/>
    <mergeCell ref="K1362:M1362"/>
    <mergeCell ref="K1363:M1363"/>
    <mergeCell ref="K1364:M1364"/>
    <mergeCell ref="K1365:M1365"/>
    <mergeCell ref="K1366:M1366"/>
    <mergeCell ref="K1367:M1367"/>
    <mergeCell ref="K1368:M1368"/>
    <mergeCell ref="K1369:M1369"/>
    <mergeCell ref="K1370:M1370"/>
    <mergeCell ref="K1371:M1371"/>
    <mergeCell ref="K1372:M1372"/>
    <mergeCell ref="K1373:M1373"/>
    <mergeCell ref="K1374:M1374"/>
    <mergeCell ref="K1375:M1375"/>
    <mergeCell ref="K1376:M1376"/>
    <mergeCell ref="K1377:M1377"/>
    <mergeCell ref="K1378:M1378"/>
    <mergeCell ref="K1379:M1379"/>
    <mergeCell ref="K1380:M1380"/>
    <mergeCell ref="K1381:M1381"/>
    <mergeCell ref="K1382:M1382"/>
    <mergeCell ref="K1383:M1383"/>
    <mergeCell ref="K1384:M1384"/>
    <mergeCell ref="K1385:M1385"/>
    <mergeCell ref="K1386:M1386"/>
    <mergeCell ref="K1387:M1387"/>
    <mergeCell ref="K1388:M1388"/>
    <mergeCell ref="K1389:M1389"/>
    <mergeCell ref="K1390:M1390"/>
    <mergeCell ref="K1391:M1391"/>
    <mergeCell ref="K1392:M1392"/>
    <mergeCell ref="K1393:M1393"/>
    <mergeCell ref="K1394:M1394"/>
    <mergeCell ref="K1395:M1395"/>
    <mergeCell ref="K1396:M1396"/>
    <mergeCell ref="K1397:M1397"/>
    <mergeCell ref="K1398:M1398"/>
    <mergeCell ref="K1399:M1399"/>
    <mergeCell ref="K1400:M1400"/>
    <mergeCell ref="K1401:M1401"/>
    <mergeCell ref="K1402:M1402"/>
    <mergeCell ref="K1403:M1403"/>
    <mergeCell ref="K1404:M1404"/>
    <mergeCell ref="K1405:M1405"/>
    <mergeCell ref="K1406:M1406"/>
    <mergeCell ref="K1407:M1407"/>
    <mergeCell ref="K1408:M1408"/>
    <mergeCell ref="K1409:M1409"/>
    <mergeCell ref="K1410:M1410"/>
    <mergeCell ref="K1411:M1411"/>
    <mergeCell ref="K1412:M1412"/>
    <mergeCell ref="K1413:M1413"/>
    <mergeCell ref="K1414:M1414"/>
    <mergeCell ref="K1415:M1415"/>
    <mergeCell ref="K1416:M1416"/>
    <mergeCell ref="K1417:M1417"/>
    <mergeCell ref="K1418:M1418"/>
    <mergeCell ref="K1419:M1419"/>
    <mergeCell ref="K1420:M1420"/>
    <mergeCell ref="K1421:M1421"/>
    <mergeCell ref="K1422:M1422"/>
    <mergeCell ref="K1423:M1423"/>
    <mergeCell ref="K1424:M1424"/>
    <mergeCell ref="K1425:M1425"/>
    <mergeCell ref="K1426:M1426"/>
    <mergeCell ref="K1427:M1427"/>
    <mergeCell ref="K1428:M1428"/>
    <mergeCell ref="K1429:M1429"/>
    <mergeCell ref="K1430:M1430"/>
    <mergeCell ref="K1431:M1431"/>
    <mergeCell ref="K1432:M1432"/>
    <mergeCell ref="K1433:M1433"/>
    <mergeCell ref="K1434:M1434"/>
    <mergeCell ref="K1435:M1435"/>
    <mergeCell ref="K1436:M1436"/>
    <mergeCell ref="K1437:M1437"/>
    <mergeCell ref="K1438:M1438"/>
    <mergeCell ref="K1439:M1439"/>
    <mergeCell ref="K1440:M1440"/>
    <mergeCell ref="K1441:M1441"/>
    <mergeCell ref="K1442:M1442"/>
    <mergeCell ref="K1443:M1443"/>
    <mergeCell ref="K1444:M1444"/>
    <mergeCell ref="K1445:M1445"/>
    <mergeCell ref="K1446:M1446"/>
    <mergeCell ref="K1447:M1447"/>
    <mergeCell ref="K1448:M1448"/>
    <mergeCell ref="K1449:M1449"/>
    <mergeCell ref="K1450:M1450"/>
    <mergeCell ref="K1451:M1451"/>
    <mergeCell ref="K1452:M1452"/>
    <mergeCell ref="K1453:M1453"/>
    <mergeCell ref="K1454:M1454"/>
    <mergeCell ref="K1455:M1455"/>
    <mergeCell ref="K1456:M1456"/>
    <mergeCell ref="K1457:M1457"/>
    <mergeCell ref="K1458:M1458"/>
    <mergeCell ref="K1459:M1459"/>
    <mergeCell ref="K1460:M1460"/>
    <mergeCell ref="K1461:M1461"/>
    <mergeCell ref="K1462:M1462"/>
    <mergeCell ref="K1463:M1463"/>
    <mergeCell ref="K1464:M1464"/>
    <mergeCell ref="K1465:M1465"/>
    <mergeCell ref="K1466:M1466"/>
    <mergeCell ref="K1467:M1467"/>
    <mergeCell ref="K1468:M1468"/>
    <mergeCell ref="K1469:M1469"/>
    <mergeCell ref="K1470:M1470"/>
    <mergeCell ref="K1471:M1471"/>
    <mergeCell ref="K1472:M1472"/>
    <mergeCell ref="K1473:M1473"/>
    <mergeCell ref="K1474:M1474"/>
    <mergeCell ref="K1475:M1475"/>
    <mergeCell ref="K1476:M1476"/>
    <mergeCell ref="K1477:M1477"/>
    <mergeCell ref="K1478:M1478"/>
    <mergeCell ref="K1479:M1479"/>
    <mergeCell ref="K1480:M1480"/>
    <mergeCell ref="K1481:M1481"/>
    <mergeCell ref="K1482:M1482"/>
    <mergeCell ref="K1483:M1483"/>
    <mergeCell ref="K1484:M1484"/>
    <mergeCell ref="K1485:M1485"/>
    <mergeCell ref="K1486:M1486"/>
    <mergeCell ref="K1487:M1487"/>
    <mergeCell ref="K1488:M1488"/>
    <mergeCell ref="K1489:M1489"/>
    <mergeCell ref="K1490:M1490"/>
    <mergeCell ref="K1491:M1491"/>
    <mergeCell ref="K1492:M1492"/>
    <mergeCell ref="K1493:M1493"/>
    <mergeCell ref="K1494:M1494"/>
    <mergeCell ref="K1495:M1495"/>
    <mergeCell ref="K1496:M1496"/>
    <mergeCell ref="K1497:M1497"/>
    <mergeCell ref="K1498:M1498"/>
    <mergeCell ref="K1499:M1499"/>
    <mergeCell ref="K1500:M1500"/>
    <mergeCell ref="K1501:M1501"/>
    <mergeCell ref="K1502:M1502"/>
    <mergeCell ref="K1503:M1503"/>
    <mergeCell ref="K1504:M1504"/>
    <mergeCell ref="K1505:M1505"/>
    <mergeCell ref="K1506:M1506"/>
    <mergeCell ref="K1507:M1507"/>
    <mergeCell ref="K1508:M1508"/>
    <mergeCell ref="K1509:M1509"/>
    <mergeCell ref="K1510:M1510"/>
    <mergeCell ref="K1511:M1511"/>
    <mergeCell ref="K1512:M1512"/>
    <mergeCell ref="K1513:M1513"/>
    <mergeCell ref="K1514:M1514"/>
    <mergeCell ref="K1515:M1515"/>
    <mergeCell ref="K1516:M1516"/>
    <mergeCell ref="K1517:M1517"/>
    <mergeCell ref="K1518:M1518"/>
    <mergeCell ref="K1519:M1519"/>
    <mergeCell ref="K1520:M1520"/>
    <mergeCell ref="K1521:M1521"/>
    <mergeCell ref="K1522:M1522"/>
    <mergeCell ref="K1523:M1523"/>
    <mergeCell ref="K1524:M1524"/>
    <mergeCell ref="K1525:M1525"/>
    <mergeCell ref="K1526:M1526"/>
    <mergeCell ref="K1527:M1527"/>
    <mergeCell ref="K1528:M1528"/>
    <mergeCell ref="K1529:M1529"/>
    <mergeCell ref="K1530:M1530"/>
    <mergeCell ref="K1531:M1531"/>
    <mergeCell ref="K1532:M1532"/>
    <mergeCell ref="K1533:M1533"/>
    <mergeCell ref="K1534:M1534"/>
    <mergeCell ref="K1535:M1535"/>
    <mergeCell ref="K1536:M1536"/>
    <mergeCell ref="K1537:M1537"/>
    <mergeCell ref="K1538:M1538"/>
    <mergeCell ref="K1539:M1539"/>
    <mergeCell ref="K1540:M1540"/>
    <mergeCell ref="K1541:M1541"/>
    <mergeCell ref="K1542:M1542"/>
    <mergeCell ref="K1543:M1543"/>
    <mergeCell ref="K1544:M1544"/>
    <mergeCell ref="K1545:M1545"/>
    <mergeCell ref="K1546:M1546"/>
    <mergeCell ref="K1547:M1547"/>
    <mergeCell ref="K1548:M1548"/>
    <mergeCell ref="K1549:M1549"/>
    <mergeCell ref="K1550:M1550"/>
    <mergeCell ref="K1551:M1551"/>
    <mergeCell ref="K1552:M1552"/>
    <mergeCell ref="K1553:M1553"/>
    <mergeCell ref="K1554:M1554"/>
    <mergeCell ref="K1555:M1555"/>
    <mergeCell ref="K1556:M1556"/>
    <mergeCell ref="K1557:M1557"/>
    <mergeCell ref="K1558:M1558"/>
    <mergeCell ref="K1559:M1559"/>
    <mergeCell ref="K1560:M1560"/>
    <mergeCell ref="K1561:M1561"/>
    <mergeCell ref="K1562:M1562"/>
    <mergeCell ref="K1563:M1563"/>
    <mergeCell ref="K1564:M1564"/>
    <mergeCell ref="K1565:M1565"/>
    <mergeCell ref="K1566:M1566"/>
    <mergeCell ref="K1567:M1567"/>
    <mergeCell ref="K1568:M1568"/>
    <mergeCell ref="K1569:M1569"/>
    <mergeCell ref="K1570:M1570"/>
    <mergeCell ref="K1571:M1571"/>
    <mergeCell ref="K1572:M1572"/>
    <mergeCell ref="K1573:M1573"/>
    <mergeCell ref="K1574:M1574"/>
    <mergeCell ref="K1575:M1575"/>
    <mergeCell ref="K1576:M1576"/>
    <mergeCell ref="K1577:M1577"/>
    <mergeCell ref="K1578:M1578"/>
    <mergeCell ref="K1579:M1579"/>
    <mergeCell ref="K1580:M1580"/>
    <mergeCell ref="K1581:M1581"/>
    <mergeCell ref="K1582:M1582"/>
    <mergeCell ref="K1583:M1583"/>
    <mergeCell ref="K1584:M1584"/>
    <mergeCell ref="K1585:M1585"/>
    <mergeCell ref="K1586:M1586"/>
    <mergeCell ref="K1587:M1587"/>
    <mergeCell ref="K1588:M1588"/>
    <mergeCell ref="K1589:M1589"/>
    <mergeCell ref="K1590:M1590"/>
    <mergeCell ref="K1591:M1591"/>
    <mergeCell ref="K1592:M1592"/>
    <mergeCell ref="K1593:M1593"/>
    <mergeCell ref="K1594:M1594"/>
    <mergeCell ref="K1595:M1595"/>
    <mergeCell ref="K1596:M1596"/>
    <mergeCell ref="K1597:M1597"/>
    <mergeCell ref="K1598:M1598"/>
    <mergeCell ref="K1599:M1599"/>
    <mergeCell ref="K1600:M1600"/>
    <mergeCell ref="K1601:M1601"/>
    <mergeCell ref="K1602:M1602"/>
    <mergeCell ref="K1603:M1603"/>
    <mergeCell ref="K1604:M1604"/>
    <mergeCell ref="K1605:M1605"/>
    <mergeCell ref="K1606:M1606"/>
    <mergeCell ref="K1607:M1607"/>
    <mergeCell ref="K1608:M1608"/>
    <mergeCell ref="K1609:M1609"/>
    <mergeCell ref="K1610:M1610"/>
    <mergeCell ref="K1611:M1611"/>
    <mergeCell ref="K1612:M1612"/>
    <mergeCell ref="K1613:M1613"/>
    <mergeCell ref="K1614:M1614"/>
    <mergeCell ref="K1615:M1615"/>
    <mergeCell ref="K1616:M1616"/>
    <mergeCell ref="K1617:M1617"/>
    <mergeCell ref="K1618:M1618"/>
    <mergeCell ref="K1619:M1619"/>
    <mergeCell ref="K1620:M1620"/>
    <mergeCell ref="K1621:M1621"/>
    <mergeCell ref="K1622:M1622"/>
    <mergeCell ref="K1623:M1623"/>
    <mergeCell ref="K1624:M1624"/>
    <mergeCell ref="K1625:M1625"/>
    <mergeCell ref="K1626:M1626"/>
    <mergeCell ref="K1627:M1627"/>
    <mergeCell ref="K1628:M1628"/>
    <mergeCell ref="K1629:M1629"/>
    <mergeCell ref="K1630:M1630"/>
    <mergeCell ref="K1631:M1631"/>
    <mergeCell ref="K1632:M1632"/>
    <mergeCell ref="K1633:M1633"/>
    <mergeCell ref="K1634:M1634"/>
    <mergeCell ref="K1635:M1635"/>
    <mergeCell ref="K1636:M1636"/>
    <mergeCell ref="K1637:M1637"/>
    <mergeCell ref="K1638:M1638"/>
    <mergeCell ref="K1639:M1639"/>
    <mergeCell ref="K1640:M1640"/>
    <mergeCell ref="K1641:M1641"/>
    <mergeCell ref="K1642:M1642"/>
    <mergeCell ref="K1643:M1643"/>
    <mergeCell ref="K1644:M1644"/>
    <mergeCell ref="K1645:M1645"/>
    <mergeCell ref="K1646:M1646"/>
    <mergeCell ref="K1647:M1647"/>
    <mergeCell ref="K1648:M1648"/>
    <mergeCell ref="K1649:M1649"/>
    <mergeCell ref="K1650:M1650"/>
    <mergeCell ref="K1651:M1651"/>
    <mergeCell ref="K1652:M1652"/>
    <mergeCell ref="K1653:M1653"/>
    <mergeCell ref="K1654:M1654"/>
    <mergeCell ref="K1655:M1655"/>
    <mergeCell ref="K1656:M1656"/>
    <mergeCell ref="K1657:M1657"/>
    <mergeCell ref="K1658:M1658"/>
    <mergeCell ref="K1659:M1659"/>
    <mergeCell ref="K1660:M1660"/>
    <mergeCell ref="K1661:M1661"/>
    <mergeCell ref="K1662:M1662"/>
    <mergeCell ref="K1663:M1663"/>
    <mergeCell ref="K1664:M1664"/>
    <mergeCell ref="K1665:M1665"/>
    <mergeCell ref="K1666:M1666"/>
    <mergeCell ref="K1667:M1667"/>
    <mergeCell ref="K1668:M1668"/>
    <mergeCell ref="K1669:M1669"/>
    <mergeCell ref="K1670:M1670"/>
    <mergeCell ref="K1671:M1671"/>
    <mergeCell ref="K1672:M1672"/>
    <mergeCell ref="K1673:M1673"/>
    <mergeCell ref="K1674:M1674"/>
    <mergeCell ref="K1675:M1675"/>
    <mergeCell ref="K1676:M1676"/>
    <mergeCell ref="K1677:M1677"/>
    <mergeCell ref="K1678:M1678"/>
    <mergeCell ref="K1679:M1679"/>
    <mergeCell ref="K1680:M1680"/>
    <mergeCell ref="K1681:M1681"/>
    <mergeCell ref="K1682:M1682"/>
    <mergeCell ref="K1683:M1683"/>
    <mergeCell ref="K1684:M1684"/>
    <mergeCell ref="K1685:M1685"/>
    <mergeCell ref="K1686:M1686"/>
    <mergeCell ref="K1687:M1687"/>
    <mergeCell ref="K1688:M1688"/>
    <mergeCell ref="K1689:M1689"/>
    <mergeCell ref="K1690:M1690"/>
    <mergeCell ref="K1691:M1691"/>
    <mergeCell ref="K1692:M1692"/>
    <mergeCell ref="K1693:M1693"/>
    <mergeCell ref="K1694:M1694"/>
    <mergeCell ref="K1695:M1695"/>
    <mergeCell ref="K1696:M1696"/>
    <mergeCell ref="K1697:M1697"/>
    <mergeCell ref="K1698:M1698"/>
    <mergeCell ref="K1699:M1699"/>
    <mergeCell ref="K1700:M1700"/>
    <mergeCell ref="K1701:M1701"/>
    <mergeCell ref="K1702:M1702"/>
    <mergeCell ref="K1703:M1703"/>
    <mergeCell ref="K1704:M1704"/>
    <mergeCell ref="K1705:M1705"/>
    <mergeCell ref="K1706:M1706"/>
    <mergeCell ref="K1707:M1707"/>
    <mergeCell ref="K1708:M1708"/>
    <mergeCell ref="K1709:M1709"/>
    <mergeCell ref="K1710:M1710"/>
    <mergeCell ref="K1711:M1711"/>
    <mergeCell ref="K1712:M1712"/>
    <mergeCell ref="K1713:M1713"/>
    <mergeCell ref="K1714:M1714"/>
    <mergeCell ref="K1715:M1715"/>
    <mergeCell ref="K1716:M1716"/>
    <mergeCell ref="K1717:M1717"/>
    <mergeCell ref="K1718:M1718"/>
    <mergeCell ref="K1719:M1719"/>
    <mergeCell ref="K1720:M1720"/>
    <mergeCell ref="K1721:M1721"/>
    <mergeCell ref="K1722:M1722"/>
    <mergeCell ref="K1723:M1723"/>
    <mergeCell ref="K1724:M1724"/>
    <mergeCell ref="K1725:M1725"/>
    <mergeCell ref="K1726:M1726"/>
    <mergeCell ref="K1727:M1727"/>
    <mergeCell ref="K1728:M1728"/>
    <mergeCell ref="K1729:M1729"/>
    <mergeCell ref="K1730:M1730"/>
    <mergeCell ref="K1731:M1731"/>
    <mergeCell ref="K1732:M1732"/>
    <mergeCell ref="K1733:M1733"/>
    <mergeCell ref="K1734:M1734"/>
    <mergeCell ref="K1735:M1735"/>
    <mergeCell ref="K1736:M1736"/>
    <mergeCell ref="K1737:M1737"/>
    <mergeCell ref="K1738:M1738"/>
    <mergeCell ref="K1739:M1739"/>
    <mergeCell ref="K1740:M1740"/>
    <mergeCell ref="K1741:M1741"/>
    <mergeCell ref="K1742:M1742"/>
    <mergeCell ref="K1743:M1743"/>
    <mergeCell ref="K1744:M1744"/>
    <mergeCell ref="K1745:M1745"/>
    <mergeCell ref="K1746:M1746"/>
    <mergeCell ref="K1747:M1747"/>
    <mergeCell ref="K1748:M1748"/>
    <mergeCell ref="K1749:M1749"/>
    <mergeCell ref="K1750:M1750"/>
    <mergeCell ref="K1751:M1751"/>
    <mergeCell ref="K1752:M1752"/>
    <mergeCell ref="K1753:M1753"/>
    <mergeCell ref="K1754:M1754"/>
    <mergeCell ref="K1755:M1755"/>
    <mergeCell ref="K1756:M1756"/>
    <mergeCell ref="K1757:M1757"/>
    <mergeCell ref="K1758:M1758"/>
    <mergeCell ref="K1759:M1759"/>
    <mergeCell ref="K1760:M1760"/>
    <mergeCell ref="K1761:M1761"/>
    <mergeCell ref="K1762:M1762"/>
    <mergeCell ref="K1763:M1763"/>
    <mergeCell ref="K1764:M1764"/>
    <mergeCell ref="K1765:M1765"/>
    <mergeCell ref="K1766:M1766"/>
    <mergeCell ref="K1767:M1767"/>
    <mergeCell ref="K1768:M1768"/>
    <mergeCell ref="K1769:M1769"/>
    <mergeCell ref="K1770:M1770"/>
    <mergeCell ref="K1771:M1771"/>
    <mergeCell ref="K1772:M1772"/>
    <mergeCell ref="K1773:M1773"/>
    <mergeCell ref="K1774:M1774"/>
    <mergeCell ref="K1775:M1775"/>
    <mergeCell ref="K1776:M1776"/>
    <mergeCell ref="K1777:M1777"/>
    <mergeCell ref="K1778:M1778"/>
    <mergeCell ref="K1779:M1779"/>
    <mergeCell ref="K1780:M1780"/>
    <mergeCell ref="K1781:M1781"/>
    <mergeCell ref="K1782:M1782"/>
    <mergeCell ref="K1783:M1783"/>
    <mergeCell ref="K1784:M1784"/>
    <mergeCell ref="K1785:M1785"/>
    <mergeCell ref="K1786:M1786"/>
    <mergeCell ref="K1787:M1787"/>
    <mergeCell ref="K1788:M1788"/>
    <mergeCell ref="K1789:M1789"/>
    <mergeCell ref="K1790:M1790"/>
    <mergeCell ref="K1791:M1791"/>
    <mergeCell ref="K1792:M1792"/>
    <mergeCell ref="K1793:M1793"/>
    <mergeCell ref="K1794:M1794"/>
    <mergeCell ref="K1795:M1795"/>
    <mergeCell ref="K1796:M1796"/>
    <mergeCell ref="K1797:M1797"/>
    <mergeCell ref="K1798:M1798"/>
    <mergeCell ref="K1799:M1799"/>
    <mergeCell ref="K1800:M1800"/>
    <mergeCell ref="K1801:M1801"/>
    <mergeCell ref="K1802:M1802"/>
    <mergeCell ref="K1803:M1803"/>
    <mergeCell ref="K1804:M1804"/>
    <mergeCell ref="K1805:M1805"/>
    <mergeCell ref="K1806:M1806"/>
    <mergeCell ref="K1807:M1807"/>
    <mergeCell ref="K1808:M1808"/>
    <mergeCell ref="K1809:M1809"/>
    <mergeCell ref="K1810:M1810"/>
    <mergeCell ref="K1811:M1811"/>
    <mergeCell ref="K1812:M1812"/>
    <mergeCell ref="K1813:M1813"/>
    <mergeCell ref="K1814:M1814"/>
    <mergeCell ref="K1815:M1815"/>
    <mergeCell ref="K1816:M1816"/>
    <mergeCell ref="K1817:M1817"/>
    <mergeCell ref="K1818:M1818"/>
    <mergeCell ref="K1819:M1819"/>
    <mergeCell ref="K1820:M1820"/>
    <mergeCell ref="K1821:M1821"/>
    <mergeCell ref="K1822:M1822"/>
    <mergeCell ref="K1823:M1823"/>
    <mergeCell ref="K1824:M1824"/>
    <mergeCell ref="K1825:M1825"/>
    <mergeCell ref="K1826:M1826"/>
    <mergeCell ref="K1827:M1827"/>
    <mergeCell ref="K1828:M1828"/>
    <mergeCell ref="K1829:M1829"/>
    <mergeCell ref="K1830:M1830"/>
    <mergeCell ref="K1831:M1831"/>
    <mergeCell ref="K1832:M1832"/>
    <mergeCell ref="K1833:M1833"/>
    <mergeCell ref="K1834:M1834"/>
    <mergeCell ref="K1835:M1835"/>
    <mergeCell ref="K1836:M1836"/>
    <mergeCell ref="K1837:M1837"/>
    <mergeCell ref="K1838:M1838"/>
    <mergeCell ref="K1839:M1839"/>
    <mergeCell ref="K1840:M1840"/>
    <mergeCell ref="K1841:M1841"/>
    <mergeCell ref="K1842:M1842"/>
    <mergeCell ref="K1843:M1843"/>
    <mergeCell ref="K1844:M1844"/>
    <mergeCell ref="K1845:M1845"/>
    <mergeCell ref="K1846:M1846"/>
    <mergeCell ref="K1847:M1847"/>
    <mergeCell ref="K1848:M1848"/>
    <mergeCell ref="K1849:M1849"/>
    <mergeCell ref="K1850:M1850"/>
    <mergeCell ref="K1851:M1851"/>
    <mergeCell ref="K1852:M1852"/>
    <mergeCell ref="K1853:M1853"/>
    <mergeCell ref="K1854:M1854"/>
    <mergeCell ref="K1855:M1855"/>
    <mergeCell ref="K1856:M1856"/>
    <mergeCell ref="K1857:M1857"/>
    <mergeCell ref="K1858:M1858"/>
    <mergeCell ref="K1859:M1859"/>
    <mergeCell ref="K1860:M1860"/>
    <mergeCell ref="K1861:M1861"/>
    <mergeCell ref="K1862:M1862"/>
    <mergeCell ref="K1863:M1863"/>
    <mergeCell ref="K1864:M1864"/>
    <mergeCell ref="K1865:M1865"/>
    <mergeCell ref="K1866:M1866"/>
    <mergeCell ref="K1867:M1867"/>
    <mergeCell ref="K1868:M1868"/>
    <mergeCell ref="K1869:M1869"/>
    <mergeCell ref="K1870:M1870"/>
    <mergeCell ref="K1871:M1871"/>
    <mergeCell ref="K1872:M1872"/>
    <mergeCell ref="K1873:M1873"/>
    <mergeCell ref="K1874:M1874"/>
    <mergeCell ref="K1875:M1875"/>
    <mergeCell ref="K1876:M1876"/>
    <mergeCell ref="K1877:M1877"/>
    <mergeCell ref="K1878:M1878"/>
    <mergeCell ref="K1879:M1879"/>
    <mergeCell ref="K1880:M1880"/>
    <mergeCell ref="K1881:M1881"/>
    <mergeCell ref="K1882:M1882"/>
    <mergeCell ref="K1883:M1883"/>
    <mergeCell ref="K1884:M1884"/>
    <mergeCell ref="K1885:M1885"/>
    <mergeCell ref="K1886:M1886"/>
    <mergeCell ref="K1887:M1887"/>
    <mergeCell ref="K1888:M1888"/>
    <mergeCell ref="K1889:M1889"/>
    <mergeCell ref="K1890:M1890"/>
    <mergeCell ref="K1891:M1891"/>
    <mergeCell ref="K1892:M1892"/>
    <mergeCell ref="K1893:M1893"/>
    <mergeCell ref="K1894:M1894"/>
    <mergeCell ref="K1895:M1895"/>
    <mergeCell ref="K1896:M1896"/>
    <mergeCell ref="K1897:M1897"/>
    <mergeCell ref="K1898:M1898"/>
    <mergeCell ref="K1899:M1899"/>
    <mergeCell ref="K1900:M1900"/>
    <mergeCell ref="K1901:M1901"/>
    <mergeCell ref="K1902:M1902"/>
    <mergeCell ref="K1903:M1903"/>
    <mergeCell ref="K1904:M1904"/>
    <mergeCell ref="K1905:M1905"/>
    <mergeCell ref="K1906:M1906"/>
    <mergeCell ref="K1907:M1907"/>
    <mergeCell ref="K1908:M1908"/>
    <mergeCell ref="K1909:M1909"/>
    <mergeCell ref="K1910:M1910"/>
    <mergeCell ref="K1911:M1911"/>
    <mergeCell ref="K1912:M1912"/>
    <mergeCell ref="K1913:M1913"/>
    <mergeCell ref="K1914:M1914"/>
    <mergeCell ref="K1915:M1915"/>
    <mergeCell ref="K1916:M1916"/>
    <mergeCell ref="K1917:M1917"/>
    <mergeCell ref="K1918:M1918"/>
    <mergeCell ref="K1919:M1919"/>
    <mergeCell ref="K1920:M1920"/>
    <mergeCell ref="K1921:M1921"/>
    <mergeCell ref="K1922:M1922"/>
    <mergeCell ref="K1923:M1923"/>
    <mergeCell ref="K1924:M1924"/>
    <mergeCell ref="K1925:M1925"/>
    <mergeCell ref="K1926:M1926"/>
    <mergeCell ref="K1927:M1927"/>
    <mergeCell ref="K1928:M1928"/>
    <mergeCell ref="K1929:M1929"/>
    <mergeCell ref="K1930:M1930"/>
    <mergeCell ref="K1931:M1931"/>
    <mergeCell ref="K1932:M1932"/>
    <mergeCell ref="K1933:M1933"/>
    <mergeCell ref="K1934:M1934"/>
    <mergeCell ref="K1935:M1935"/>
    <mergeCell ref="K1936:M1936"/>
    <mergeCell ref="K1937:M1937"/>
    <mergeCell ref="K1938:M1938"/>
    <mergeCell ref="K1939:M1939"/>
    <mergeCell ref="K1940:M1940"/>
    <mergeCell ref="K1941:M1941"/>
    <mergeCell ref="K1942:M1942"/>
    <mergeCell ref="K1943:M1943"/>
    <mergeCell ref="K1944:M1944"/>
    <mergeCell ref="K1945:M1945"/>
    <mergeCell ref="K1946:M1946"/>
    <mergeCell ref="K1947:M1947"/>
    <mergeCell ref="K1948:M1948"/>
    <mergeCell ref="K1949:M1949"/>
    <mergeCell ref="K1950:M1950"/>
    <mergeCell ref="K1951:M1951"/>
    <mergeCell ref="K1952:M1952"/>
    <mergeCell ref="K1953:M1953"/>
    <mergeCell ref="K1954:M1954"/>
    <mergeCell ref="K1955:M1955"/>
    <mergeCell ref="K1956:M1956"/>
    <mergeCell ref="K1957:M1957"/>
    <mergeCell ref="K1958:M1958"/>
    <mergeCell ref="K1959:M1959"/>
    <mergeCell ref="K1960:M1960"/>
    <mergeCell ref="K1961:M1961"/>
    <mergeCell ref="K1962:M1962"/>
    <mergeCell ref="K1963:M1963"/>
    <mergeCell ref="K1964:M1964"/>
    <mergeCell ref="K1965:M1965"/>
    <mergeCell ref="K1966:M1966"/>
    <mergeCell ref="K1967:M1967"/>
    <mergeCell ref="K1968:M1968"/>
    <mergeCell ref="K1969:M1969"/>
    <mergeCell ref="K1970:M1970"/>
    <mergeCell ref="K1971:M1971"/>
    <mergeCell ref="K1972:M1972"/>
    <mergeCell ref="K1973:M1973"/>
    <mergeCell ref="K1974:M1974"/>
    <mergeCell ref="K1975:M1975"/>
    <mergeCell ref="K1976:M1976"/>
    <mergeCell ref="K1977:M1977"/>
    <mergeCell ref="K1978:M1978"/>
    <mergeCell ref="K1979:M1979"/>
    <mergeCell ref="K1980:M1980"/>
    <mergeCell ref="K1981:M1981"/>
    <mergeCell ref="K1982:M1982"/>
    <mergeCell ref="K1983:M1983"/>
    <mergeCell ref="K1984:M1984"/>
    <mergeCell ref="K1985:M1985"/>
    <mergeCell ref="K1986:M1986"/>
    <mergeCell ref="K1987:M1987"/>
    <mergeCell ref="K1988:M1988"/>
    <mergeCell ref="K1989:M1989"/>
    <mergeCell ref="K1990:M1990"/>
    <mergeCell ref="K1991:M1991"/>
    <mergeCell ref="K1992:M1992"/>
    <mergeCell ref="K1993:M1993"/>
    <mergeCell ref="K1994:M1994"/>
    <mergeCell ref="K1995:M1995"/>
    <mergeCell ref="K1996:M1996"/>
    <mergeCell ref="K1997:M1997"/>
    <mergeCell ref="K1998:M1998"/>
    <mergeCell ref="K1999:M1999"/>
    <mergeCell ref="K2000:M2000"/>
    <mergeCell ref="K2001:M2001"/>
    <mergeCell ref="K2002:M2002"/>
    <mergeCell ref="K2003:M2003"/>
    <mergeCell ref="K2004:M2004"/>
    <mergeCell ref="K2005:M2005"/>
    <mergeCell ref="K2006:M2006"/>
    <mergeCell ref="K2007:M2007"/>
    <mergeCell ref="K2008:M2008"/>
    <mergeCell ref="K2009:M2009"/>
    <mergeCell ref="K2010:M2010"/>
    <mergeCell ref="K2011:M2011"/>
    <mergeCell ref="K2012:M2012"/>
    <mergeCell ref="K2013:M2013"/>
    <mergeCell ref="K2014:M2014"/>
    <mergeCell ref="K2015:M2015"/>
    <mergeCell ref="K2016:M2016"/>
    <mergeCell ref="K2017:M2017"/>
    <mergeCell ref="K2018:M2018"/>
    <mergeCell ref="K2019:M2019"/>
    <mergeCell ref="K2020:M2020"/>
    <mergeCell ref="K2021:M2021"/>
    <mergeCell ref="K2022:M2022"/>
    <mergeCell ref="K2023:M2023"/>
    <mergeCell ref="K2024:M2024"/>
    <mergeCell ref="K2025:M2025"/>
    <mergeCell ref="K2026:M2026"/>
    <mergeCell ref="K2027:M2027"/>
    <mergeCell ref="K2028:M2028"/>
    <mergeCell ref="K2029:M2029"/>
    <mergeCell ref="K2030:M2030"/>
    <mergeCell ref="K2031:M2031"/>
    <mergeCell ref="K2032:M2032"/>
    <mergeCell ref="K2033:M2033"/>
    <mergeCell ref="K2034:M2034"/>
    <mergeCell ref="K2035:M2035"/>
    <mergeCell ref="K2036:M2036"/>
    <mergeCell ref="K2037:M2037"/>
    <mergeCell ref="K2038:M2038"/>
    <mergeCell ref="K2039:M2039"/>
    <mergeCell ref="K2040:M2040"/>
    <mergeCell ref="K2041:M2041"/>
    <mergeCell ref="K2042:M2042"/>
    <mergeCell ref="K2043:M2043"/>
    <mergeCell ref="K2044:M2044"/>
    <mergeCell ref="K2045:M2045"/>
    <mergeCell ref="K2046:M2046"/>
    <mergeCell ref="K2047:M2047"/>
    <mergeCell ref="K2048:M2048"/>
    <mergeCell ref="K2049:M2049"/>
    <mergeCell ref="K2050:M2050"/>
    <mergeCell ref="K2051:M2051"/>
    <mergeCell ref="K2052:M2052"/>
    <mergeCell ref="K2053:M2053"/>
    <mergeCell ref="K2054:M2054"/>
    <mergeCell ref="K2055:M2055"/>
    <mergeCell ref="K2056:M2056"/>
    <mergeCell ref="K2057:M2057"/>
    <mergeCell ref="K2058:M2058"/>
    <mergeCell ref="K2059:M2059"/>
    <mergeCell ref="K2060:M2060"/>
    <mergeCell ref="K2061:M2061"/>
    <mergeCell ref="K2062:M2062"/>
    <mergeCell ref="K2063:M2063"/>
    <mergeCell ref="K2064:M2064"/>
    <mergeCell ref="K2065:M2065"/>
    <mergeCell ref="K2066:M2066"/>
    <mergeCell ref="K2067:M2067"/>
    <mergeCell ref="K2068:M2068"/>
    <mergeCell ref="K2069:M2069"/>
    <mergeCell ref="K2070:M2070"/>
    <mergeCell ref="K2071:M2071"/>
    <mergeCell ref="K2072:M2072"/>
    <mergeCell ref="K2073:M2073"/>
    <mergeCell ref="K2074:M2074"/>
    <mergeCell ref="K2075:M2075"/>
    <mergeCell ref="K2076:M2076"/>
    <mergeCell ref="K2077:M2077"/>
    <mergeCell ref="K2078:M2078"/>
    <mergeCell ref="K2079:M2079"/>
    <mergeCell ref="K2080:M2080"/>
    <mergeCell ref="K2081:M2081"/>
    <mergeCell ref="K2082:M2082"/>
    <mergeCell ref="K2083:M2083"/>
    <mergeCell ref="K2084:M2084"/>
    <mergeCell ref="K2085:M2085"/>
    <mergeCell ref="K2086:M2086"/>
    <mergeCell ref="K2087:M2087"/>
    <mergeCell ref="K2088:M2088"/>
    <mergeCell ref="K2089:M2089"/>
    <mergeCell ref="K2090:M2090"/>
    <mergeCell ref="K2091:M2091"/>
    <mergeCell ref="K2092:M2092"/>
    <mergeCell ref="K2093:M2093"/>
    <mergeCell ref="K2094:M2094"/>
    <mergeCell ref="K2095:M2095"/>
    <mergeCell ref="K2096:M2096"/>
    <mergeCell ref="K2097:M2097"/>
    <mergeCell ref="K2098:M2098"/>
    <mergeCell ref="K2099:M2099"/>
    <mergeCell ref="K2100:M2100"/>
    <mergeCell ref="K2101:M2101"/>
    <mergeCell ref="K2102:M2102"/>
    <mergeCell ref="K2103:M2103"/>
    <mergeCell ref="K2104:M2104"/>
    <mergeCell ref="K2105:M2105"/>
    <mergeCell ref="K2106:M2106"/>
    <mergeCell ref="K2107:M2107"/>
    <mergeCell ref="K2108:M2108"/>
    <mergeCell ref="K2109:M2109"/>
    <mergeCell ref="K2110:M2110"/>
    <mergeCell ref="K2111:M2111"/>
    <mergeCell ref="K2112:M2112"/>
    <mergeCell ref="K2113:M2113"/>
    <mergeCell ref="K2114:M2114"/>
    <mergeCell ref="K2115:M2115"/>
    <mergeCell ref="K2116:M2116"/>
    <mergeCell ref="K2117:M2117"/>
    <mergeCell ref="K2118:M2118"/>
    <mergeCell ref="K2119:M2119"/>
    <mergeCell ref="K2120:M2120"/>
    <mergeCell ref="K2121:M2121"/>
    <mergeCell ref="K2122:M2122"/>
    <mergeCell ref="K2123:M2123"/>
    <mergeCell ref="K2124:M2124"/>
    <mergeCell ref="K2125:M2125"/>
    <mergeCell ref="K2126:M2126"/>
    <mergeCell ref="K2127:M2127"/>
    <mergeCell ref="K2128:M2128"/>
    <mergeCell ref="K2129:M2129"/>
    <mergeCell ref="K2130:M2130"/>
    <mergeCell ref="K2131:M2131"/>
    <mergeCell ref="K2132:M2132"/>
    <mergeCell ref="K2133:M2133"/>
    <mergeCell ref="K2134:M2134"/>
    <mergeCell ref="K2135:M2135"/>
    <mergeCell ref="K2136:M2136"/>
    <mergeCell ref="K2137:M2137"/>
    <mergeCell ref="K2138:M2138"/>
    <mergeCell ref="K2139:M2139"/>
    <mergeCell ref="K2140:M2140"/>
    <mergeCell ref="K2141:M2141"/>
    <mergeCell ref="K2142:M2142"/>
    <mergeCell ref="K2143:M2143"/>
    <mergeCell ref="K2144:M2144"/>
    <mergeCell ref="K2145:M2145"/>
    <mergeCell ref="K2146:M2146"/>
    <mergeCell ref="K2147:M2147"/>
    <mergeCell ref="K2148:M2148"/>
    <mergeCell ref="K2149:M2149"/>
    <mergeCell ref="K2150:M2150"/>
    <mergeCell ref="K2151:M2151"/>
    <mergeCell ref="K2152:M2152"/>
    <mergeCell ref="K2153:M2153"/>
    <mergeCell ref="K2154:M2154"/>
    <mergeCell ref="K2155:M2155"/>
    <mergeCell ref="K2156:M2156"/>
    <mergeCell ref="K2157:M2157"/>
    <mergeCell ref="K2158:M2158"/>
    <mergeCell ref="K2159:M2159"/>
    <mergeCell ref="K2160:M2160"/>
    <mergeCell ref="K2161:M2161"/>
    <mergeCell ref="K2162:M2162"/>
    <mergeCell ref="K2163:M2163"/>
    <mergeCell ref="K2164:M2164"/>
    <mergeCell ref="K2165:M2165"/>
    <mergeCell ref="K2166:M2166"/>
    <mergeCell ref="K2167:M2167"/>
    <mergeCell ref="K2168:M2168"/>
    <mergeCell ref="K2169:M2169"/>
    <mergeCell ref="K2170:M2170"/>
    <mergeCell ref="K2171:M2171"/>
    <mergeCell ref="K2172:M2172"/>
    <mergeCell ref="K2173:M2173"/>
    <mergeCell ref="K2174:M2174"/>
    <mergeCell ref="K2175:M2175"/>
    <mergeCell ref="K2176:M2176"/>
    <mergeCell ref="K2177:M2177"/>
    <mergeCell ref="K2178:M2178"/>
    <mergeCell ref="K2179:M2179"/>
    <mergeCell ref="K2180:M2180"/>
    <mergeCell ref="K2181:M2181"/>
    <mergeCell ref="K2182:M2182"/>
    <mergeCell ref="K2183:M2183"/>
    <mergeCell ref="K2184:M2184"/>
    <mergeCell ref="K2185:M2185"/>
    <mergeCell ref="K2186:M2186"/>
    <mergeCell ref="K2187:M2187"/>
    <mergeCell ref="K2188:M2188"/>
    <mergeCell ref="K2189:M2189"/>
    <mergeCell ref="K2190:M2190"/>
    <mergeCell ref="K2191:M2191"/>
    <mergeCell ref="K2192:M2192"/>
    <mergeCell ref="K2193:M2193"/>
    <mergeCell ref="K2194:M2194"/>
    <mergeCell ref="K2195:M2195"/>
    <mergeCell ref="K2196:M2196"/>
    <mergeCell ref="K2197:M2197"/>
    <mergeCell ref="K2198:M2198"/>
    <mergeCell ref="K2199:M2199"/>
    <mergeCell ref="K2200:M2200"/>
    <mergeCell ref="K2201:M2201"/>
    <mergeCell ref="K2202:M2202"/>
    <mergeCell ref="K2203:M2203"/>
    <mergeCell ref="K2204:M2204"/>
    <mergeCell ref="K2205:M2205"/>
    <mergeCell ref="K2206:M2206"/>
    <mergeCell ref="K2207:M2207"/>
    <mergeCell ref="K2208:M2208"/>
    <mergeCell ref="K2209:M2209"/>
    <mergeCell ref="K2210:M2210"/>
    <mergeCell ref="K2211:M2211"/>
    <mergeCell ref="K2212:M2212"/>
    <mergeCell ref="K2213:M2213"/>
    <mergeCell ref="K2214:M2214"/>
    <mergeCell ref="K2215:M2215"/>
    <mergeCell ref="K2216:M2216"/>
    <mergeCell ref="K2217:M2217"/>
    <mergeCell ref="K2218:M2218"/>
    <mergeCell ref="K2219:M2219"/>
    <mergeCell ref="K2220:M2220"/>
    <mergeCell ref="K2221:M2221"/>
    <mergeCell ref="K2222:M2222"/>
    <mergeCell ref="K2223:M2223"/>
    <mergeCell ref="K2224:M2224"/>
    <mergeCell ref="K2225:M2225"/>
    <mergeCell ref="K2226:M2226"/>
    <mergeCell ref="K2227:M2227"/>
    <mergeCell ref="K2228:M2228"/>
    <mergeCell ref="K2229:M2229"/>
    <mergeCell ref="K2230:M2230"/>
    <mergeCell ref="K2231:M2231"/>
    <mergeCell ref="K2232:M2232"/>
    <mergeCell ref="K2233:M2233"/>
    <mergeCell ref="K2234:M2234"/>
    <mergeCell ref="K2235:M2235"/>
    <mergeCell ref="K2236:M2236"/>
    <mergeCell ref="K2237:M2237"/>
    <mergeCell ref="K2238:M2238"/>
    <mergeCell ref="K2239:M2239"/>
    <mergeCell ref="K2240:M2240"/>
    <mergeCell ref="K2241:M2241"/>
    <mergeCell ref="K2242:M2242"/>
    <mergeCell ref="K2243:M2243"/>
    <mergeCell ref="K2244:M2244"/>
    <mergeCell ref="K2245:M2245"/>
    <mergeCell ref="K2246:M2246"/>
    <mergeCell ref="K2247:M2247"/>
    <mergeCell ref="K2248:M2248"/>
    <mergeCell ref="K2249:M2249"/>
    <mergeCell ref="K2250:M2250"/>
    <mergeCell ref="K2251:M2251"/>
    <mergeCell ref="K2252:M2252"/>
    <mergeCell ref="K2253:M2253"/>
    <mergeCell ref="K2254:M2254"/>
    <mergeCell ref="K2255:M2255"/>
    <mergeCell ref="K2256:M2256"/>
    <mergeCell ref="K2257:M2257"/>
    <mergeCell ref="K2258:M2258"/>
    <mergeCell ref="K2259:M2259"/>
    <mergeCell ref="K2260:M2260"/>
    <mergeCell ref="K2261:M2261"/>
    <mergeCell ref="K2262:M2262"/>
    <mergeCell ref="K2263:M2263"/>
    <mergeCell ref="K2264:M2264"/>
    <mergeCell ref="K2265:M2265"/>
    <mergeCell ref="K2266:M2266"/>
    <mergeCell ref="K2267:M2267"/>
    <mergeCell ref="K2268:M2268"/>
    <mergeCell ref="K2269:M2269"/>
    <mergeCell ref="K2270:M2270"/>
    <mergeCell ref="K2271:M2271"/>
    <mergeCell ref="K2272:M2272"/>
    <mergeCell ref="K2273:M2273"/>
    <mergeCell ref="K2274:M2274"/>
    <mergeCell ref="K2275:M2275"/>
    <mergeCell ref="K2276:M2276"/>
    <mergeCell ref="K2277:M2277"/>
    <mergeCell ref="K2278:M2278"/>
    <mergeCell ref="K2279:M2279"/>
    <mergeCell ref="K2280:M2280"/>
    <mergeCell ref="K2281:M2281"/>
    <mergeCell ref="K2282:M2282"/>
    <mergeCell ref="K2283:M2283"/>
    <mergeCell ref="K2284:M2284"/>
    <mergeCell ref="K2285:M2285"/>
    <mergeCell ref="K2286:M2286"/>
    <mergeCell ref="K2287:M2287"/>
    <mergeCell ref="K2288:M2288"/>
    <mergeCell ref="K2289:M2289"/>
    <mergeCell ref="K2290:M2290"/>
    <mergeCell ref="K2291:M2291"/>
    <mergeCell ref="K2292:M2292"/>
    <mergeCell ref="K2293:M2293"/>
    <mergeCell ref="K2294:M2294"/>
    <mergeCell ref="K2295:M2295"/>
    <mergeCell ref="K2296:M2296"/>
    <mergeCell ref="K2297:M2297"/>
    <mergeCell ref="K2298:M2298"/>
    <mergeCell ref="K2299:M2299"/>
    <mergeCell ref="K2300:M2300"/>
    <mergeCell ref="K2301:M2301"/>
    <mergeCell ref="K2302:M2302"/>
    <mergeCell ref="K2303:M2303"/>
    <mergeCell ref="K2304:M2304"/>
    <mergeCell ref="K2305:M2305"/>
    <mergeCell ref="K2306:M2306"/>
    <mergeCell ref="K2307:M2307"/>
    <mergeCell ref="K2308:M2308"/>
    <mergeCell ref="K2309:M2309"/>
    <mergeCell ref="K2310:M2310"/>
    <mergeCell ref="K2311:M2311"/>
    <mergeCell ref="K2312:M2312"/>
    <mergeCell ref="K2313:M2313"/>
    <mergeCell ref="K2314:M2314"/>
    <mergeCell ref="K2315:M2315"/>
    <mergeCell ref="K2316:M2316"/>
    <mergeCell ref="K2317:M2317"/>
    <mergeCell ref="K2318:M2318"/>
    <mergeCell ref="K2319:M2319"/>
    <mergeCell ref="K2320:M2320"/>
    <mergeCell ref="K2321:M2321"/>
    <mergeCell ref="K2322:M2322"/>
    <mergeCell ref="K2323:M2323"/>
    <mergeCell ref="K2324:M2324"/>
    <mergeCell ref="K2325:M2325"/>
    <mergeCell ref="K2326:M2326"/>
    <mergeCell ref="K2327:M2327"/>
    <mergeCell ref="K2328:M2328"/>
    <mergeCell ref="K2329:M2329"/>
    <mergeCell ref="K2330:M2330"/>
    <mergeCell ref="K2331:M2331"/>
    <mergeCell ref="K2332:M2332"/>
    <mergeCell ref="K2333:M2333"/>
    <mergeCell ref="K2334:M2334"/>
    <mergeCell ref="K2335:M2335"/>
    <mergeCell ref="K2336:M2336"/>
    <mergeCell ref="K2337:M2337"/>
    <mergeCell ref="K2338:M2338"/>
    <mergeCell ref="K2339:M2339"/>
    <mergeCell ref="K2340:M2340"/>
    <mergeCell ref="K2341:M2341"/>
    <mergeCell ref="K2342:M2342"/>
    <mergeCell ref="K2343:M2343"/>
    <mergeCell ref="K2344:M2344"/>
    <mergeCell ref="K2345:M2345"/>
    <mergeCell ref="K2346:M2346"/>
    <mergeCell ref="K2347:M2347"/>
    <mergeCell ref="K2348:M2348"/>
    <mergeCell ref="K2349:M2349"/>
    <mergeCell ref="K2350:M2350"/>
    <mergeCell ref="K2351:M2351"/>
    <mergeCell ref="K2352:M2352"/>
    <mergeCell ref="K2353:M2353"/>
    <mergeCell ref="K2354:M2354"/>
    <mergeCell ref="K2355:M2355"/>
    <mergeCell ref="K2356:M2356"/>
    <mergeCell ref="K2357:M2357"/>
    <mergeCell ref="K2358:M2358"/>
    <mergeCell ref="K2359:M2359"/>
    <mergeCell ref="K2360:M2360"/>
    <mergeCell ref="K2361:M2361"/>
    <mergeCell ref="K2362:M2362"/>
    <mergeCell ref="K2363:M2363"/>
    <mergeCell ref="K2364:M2364"/>
    <mergeCell ref="K2365:M2365"/>
    <mergeCell ref="K2366:M2366"/>
    <mergeCell ref="K2367:M2367"/>
    <mergeCell ref="K2368:M2368"/>
    <mergeCell ref="K2369:M2369"/>
    <mergeCell ref="K2370:M2370"/>
    <mergeCell ref="K2371:M2371"/>
    <mergeCell ref="K2372:M2372"/>
    <mergeCell ref="K2373:M2373"/>
    <mergeCell ref="K2374:M2374"/>
    <mergeCell ref="K2375:M2375"/>
    <mergeCell ref="K2376:M2376"/>
    <mergeCell ref="K2377:M2377"/>
    <mergeCell ref="K2378:M2378"/>
    <mergeCell ref="K2379:M2379"/>
    <mergeCell ref="K2380:M2380"/>
    <mergeCell ref="K2381:M2381"/>
    <mergeCell ref="K2382:M2382"/>
    <mergeCell ref="K2383:M2383"/>
    <mergeCell ref="K2384:M2384"/>
    <mergeCell ref="K2385:M2385"/>
    <mergeCell ref="K2386:M2386"/>
    <mergeCell ref="K2387:M2387"/>
    <mergeCell ref="K2388:M2388"/>
    <mergeCell ref="K2389:M2389"/>
    <mergeCell ref="K2390:M2390"/>
    <mergeCell ref="K2391:M2391"/>
    <mergeCell ref="K2392:M2392"/>
    <mergeCell ref="K2393:M2393"/>
    <mergeCell ref="K2394:M2394"/>
    <mergeCell ref="K2395:M2395"/>
    <mergeCell ref="K2396:M2396"/>
    <mergeCell ref="K2397:M2397"/>
    <mergeCell ref="K2398:M2398"/>
    <mergeCell ref="K2399:M2399"/>
    <mergeCell ref="K2400:M2400"/>
    <mergeCell ref="K2401:M2401"/>
    <mergeCell ref="K2402:M2402"/>
    <mergeCell ref="K2403:M2403"/>
    <mergeCell ref="K2404:M2404"/>
    <mergeCell ref="K2405:M2405"/>
    <mergeCell ref="K2406:M2406"/>
    <mergeCell ref="K2407:M2407"/>
    <mergeCell ref="K2408:M2408"/>
    <mergeCell ref="K2409:M2409"/>
    <mergeCell ref="K2410:M2410"/>
    <mergeCell ref="K2411:M2411"/>
    <mergeCell ref="K2412:M2412"/>
    <mergeCell ref="K2413:M2413"/>
    <mergeCell ref="K2414:M2414"/>
    <mergeCell ref="K2415:M2415"/>
    <mergeCell ref="K2416:M2416"/>
    <mergeCell ref="K2417:M2417"/>
    <mergeCell ref="K2418:M2418"/>
    <mergeCell ref="K2419:M2419"/>
    <mergeCell ref="K2420:M2420"/>
    <mergeCell ref="K2421:M2421"/>
    <mergeCell ref="K2422:M2422"/>
    <mergeCell ref="K2423:M2423"/>
    <mergeCell ref="K2424:M2424"/>
    <mergeCell ref="K2425:M2425"/>
    <mergeCell ref="K2426:M2426"/>
    <mergeCell ref="K2427:M2427"/>
    <mergeCell ref="K2428:M2428"/>
    <mergeCell ref="K2429:M2429"/>
    <mergeCell ref="K2430:M2430"/>
    <mergeCell ref="K2431:M2431"/>
    <mergeCell ref="K2432:M2432"/>
    <mergeCell ref="K2433:M2433"/>
    <mergeCell ref="K2434:M2434"/>
    <mergeCell ref="K2435:M2435"/>
    <mergeCell ref="K2436:M2436"/>
    <mergeCell ref="K2437:M2437"/>
    <mergeCell ref="K2438:M2438"/>
    <mergeCell ref="K2439:M2439"/>
    <mergeCell ref="K2440:M2440"/>
    <mergeCell ref="K2441:M2441"/>
    <mergeCell ref="K2442:M2442"/>
    <mergeCell ref="K2443:M2443"/>
    <mergeCell ref="K2444:M2444"/>
    <mergeCell ref="K2445:M2445"/>
    <mergeCell ref="K2446:M2446"/>
    <mergeCell ref="K2447:M2447"/>
    <mergeCell ref="K2448:M2448"/>
    <mergeCell ref="K2449:M2449"/>
    <mergeCell ref="K2450:M2450"/>
    <mergeCell ref="K2451:M2451"/>
    <mergeCell ref="K2452:M2452"/>
    <mergeCell ref="K2453:M2453"/>
    <mergeCell ref="K2454:M2454"/>
    <mergeCell ref="K2455:M2455"/>
    <mergeCell ref="K2456:M2456"/>
    <mergeCell ref="K2457:M2457"/>
    <mergeCell ref="K2458:M2458"/>
    <mergeCell ref="K2459:M2459"/>
    <mergeCell ref="K2460:M2460"/>
    <mergeCell ref="K2461:M2461"/>
    <mergeCell ref="K2462:M2462"/>
    <mergeCell ref="K2463:M2463"/>
    <mergeCell ref="K2464:M2464"/>
    <mergeCell ref="K2465:M2465"/>
    <mergeCell ref="K2466:M2466"/>
    <mergeCell ref="K2467:M2467"/>
    <mergeCell ref="K2468:M2468"/>
    <mergeCell ref="K2469:M2469"/>
    <mergeCell ref="K2470:M2470"/>
    <mergeCell ref="K2471:M2471"/>
    <mergeCell ref="K2472:M2472"/>
    <mergeCell ref="K2473:M2473"/>
    <mergeCell ref="K2474:M2474"/>
    <mergeCell ref="K2475:M2475"/>
    <mergeCell ref="K2476:M2476"/>
    <mergeCell ref="K2477:M2477"/>
    <mergeCell ref="K2478:M2478"/>
    <mergeCell ref="K2479:M2479"/>
    <mergeCell ref="K2480:M2480"/>
    <mergeCell ref="K2481:M2481"/>
    <mergeCell ref="K2482:M2482"/>
    <mergeCell ref="K2483:M2483"/>
    <mergeCell ref="K2484:M2484"/>
    <mergeCell ref="K2485:M2485"/>
    <mergeCell ref="K2486:M2486"/>
    <mergeCell ref="K2487:M2487"/>
    <mergeCell ref="K2488:M2488"/>
    <mergeCell ref="K2489:M2489"/>
    <mergeCell ref="K2490:M2490"/>
    <mergeCell ref="K2491:M2491"/>
    <mergeCell ref="K2492:M2492"/>
    <mergeCell ref="K2493:M2493"/>
    <mergeCell ref="K2494:M2494"/>
    <mergeCell ref="K2495:M2495"/>
    <mergeCell ref="K2496:M2496"/>
    <mergeCell ref="K2497:M2497"/>
    <mergeCell ref="K2498:M2498"/>
    <mergeCell ref="K2499:M2499"/>
    <mergeCell ref="K2500:M2500"/>
    <mergeCell ref="K2501:M2501"/>
    <mergeCell ref="K2502:M2502"/>
    <mergeCell ref="K2503:M2503"/>
    <mergeCell ref="K2504:M2504"/>
    <mergeCell ref="K2505:M2505"/>
    <mergeCell ref="K2506:M2506"/>
    <mergeCell ref="K2507:M2507"/>
    <mergeCell ref="K2508:M2508"/>
    <mergeCell ref="K2509:M2509"/>
    <mergeCell ref="K2510:M2510"/>
    <mergeCell ref="K2511:M2511"/>
    <mergeCell ref="K2512:M2512"/>
    <mergeCell ref="K2513:M2513"/>
    <mergeCell ref="K2514:M2514"/>
    <mergeCell ref="K2515:M2515"/>
    <mergeCell ref="K2516:M2516"/>
    <mergeCell ref="K2517:M2517"/>
    <mergeCell ref="K2518:M2518"/>
    <mergeCell ref="K2519:M2519"/>
    <mergeCell ref="K2520:M2520"/>
    <mergeCell ref="K2521:M2521"/>
    <mergeCell ref="K2522:M2522"/>
    <mergeCell ref="K2523:M2523"/>
    <mergeCell ref="K2524:M2524"/>
    <mergeCell ref="K2525:M2525"/>
    <mergeCell ref="K2526:M2526"/>
    <mergeCell ref="K2527:M2527"/>
    <mergeCell ref="K2528:M2528"/>
    <mergeCell ref="K2529:M2529"/>
    <mergeCell ref="K2530:M2530"/>
    <mergeCell ref="K2531:M2531"/>
    <mergeCell ref="K2532:M2532"/>
    <mergeCell ref="K2533:M2533"/>
    <mergeCell ref="K2534:M2534"/>
    <mergeCell ref="K2535:M2535"/>
    <mergeCell ref="K2536:M2536"/>
    <mergeCell ref="K2537:M2537"/>
    <mergeCell ref="K2538:M2538"/>
    <mergeCell ref="K2539:M2539"/>
    <mergeCell ref="K2540:M2540"/>
    <mergeCell ref="K2541:M2541"/>
    <mergeCell ref="K2542:M2542"/>
    <mergeCell ref="K2543:M2543"/>
    <mergeCell ref="K2544:M2544"/>
    <mergeCell ref="K2545:M2545"/>
    <mergeCell ref="K2546:M2546"/>
    <mergeCell ref="K2547:M2547"/>
    <mergeCell ref="K2548:M2548"/>
    <mergeCell ref="K2549:M2549"/>
    <mergeCell ref="K2550:M2550"/>
    <mergeCell ref="K2551:M2551"/>
    <mergeCell ref="K2552:M2552"/>
    <mergeCell ref="K2553:M2553"/>
    <mergeCell ref="K2554:M2554"/>
    <mergeCell ref="K2555:M2555"/>
    <mergeCell ref="K2556:M2556"/>
    <mergeCell ref="K2557:M2557"/>
    <mergeCell ref="K2558:M2558"/>
    <mergeCell ref="K2559:M2559"/>
    <mergeCell ref="K2560:M2560"/>
    <mergeCell ref="K2561:M2561"/>
    <mergeCell ref="K2562:M2562"/>
    <mergeCell ref="K2563:M2563"/>
    <mergeCell ref="K2564:M2564"/>
    <mergeCell ref="K2565:M2565"/>
    <mergeCell ref="K2566:M2566"/>
    <mergeCell ref="K2567:M2567"/>
    <mergeCell ref="K2568:M2568"/>
    <mergeCell ref="K2569:M2569"/>
    <mergeCell ref="K2570:M2570"/>
    <mergeCell ref="K2571:M2571"/>
    <mergeCell ref="K2572:M2572"/>
    <mergeCell ref="K2573:M2573"/>
    <mergeCell ref="K2574:M2574"/>
    <mergeCell ref="K2575:M2575"/>
    <mergeCell ref="K2576:M2576"/>
    <mergeCell ref="K2577:M2577"/>
    <mergeCell ref="K2578:M2578"/>
    <mergeCell ref="K2579:M2579"/>
    <mergeCell ref="K2580:M2580"/>
    <mergeCell ref="K2581:M2581"/>
    <mergeCell ref="K2582:M2582"/>
    <mergeCell ref="K2583:M2583"/>
    <mergeCell ref="K2584:M2584"/>
    <mergeCell ref="K2585:M2585"/>
    <mergeCell ref="K2586:M2586"/>
    <mergeCell ref="K2587:M2587"/>
    <mergeCell ref="K2588:M2588"/>
    <mergeCell ref="K2589:M2589"/>
    <mergeCell ref="K2590:M2590"/>
    <mergeCell ref="K2591:M2591"/>
    <mergeCell ref="K2592:M2592"/>
    <mergeCell ref="K2593:M2593"/>
    <mergeCell ref="K2594:M2594"/>
    <mergeCell ref="K2595:M2595"/>
    <mergeCell ref="K2596:M2596"/>
    <mergeCell ref="K2597:M2597"/>
    <mergeCell ref="K2598:M2598"/>
    <mergeCell ref="K2599:M2599"/>
    <mergeCell ref="K2600:M2600"/>
    <mergeCell ref="K2601:M2601"/>
    <mergeCell ref="K2602:M2602"/>
    <mergeCell ref="K2603:M2603"/>
    <mergeCell ref="K2604:M2604"/>
    <mergeCell ref="K2605:M2605"/>
    <mergeCell ref="K2606:M2606"/>
    <mergeCell ref="K2607:M2607"/>
    <mergeCell ref="K2608:M2608"/>
    <mergeCell ref="K2609:M2609"/>
    <mergeCell ref="K2610:M2610"/>
    <mergeCell ref="K2611:M2611"/>
    <mergeCell ref="K2612:M2612"/>
    <mergeCell ref="K2613:M2613"/>
    <mergeCell ref="K2614:M2614"/>
    <mergeCell ref="K2615:M2615"/>
    <mergeCell ref="K2616:M2616"/>
    <mergeCell ref="K2617:M2617"/>
    <mergeCell ref="K2618:M2618"/>
    <mergeCell ref="K2619:M2619"/>
    <mergeCell ref="K2620:M2620"/>
    <mergeCell ref="K2621:M2621"/>
    <mergeCell ref="K2622:M2622"/>
    <mergeCell ref="K2623:M2623"/>
    <mergeCell ref="K2624:M2624"/>
    <mergeCell ref="K2625:M2625"/>
    <mergeCell ref="K2626:M2626"/>
    <mergeCell ref="K2627:M2627"/>
    <mergeCell ref="K2628:M2628"/>
    <mergeCell ref="K2629:M2629"/>
    <mergeCell ref="K2630:M2630"/>
    <mergeCell ref="K2631:M2631"/>
    <mergeCell ref="K2632:M2632"/>
    <mergeCell ref="K2633:M2633"/>
    <mergeCell ref="K2634:M2634"/>
    <mergeCell ref="K2635:M2635"/>
    <mergeCell ref="K2636:M2636"/>
    <mergeCell ref="K2637:M2637"/>
    <mergeCell ref="K2638:M2638"/>
    <mergeCell ref="K2639:M2639"/>
    <mergeCell ref="K2640:M2640"/>
    <mergeCell ref="K2641:M2641"/>
    <mergeCell ref="K2642:M2642"/>
    <mergeCell ref="K2643:M2643"/>
    <mergeCell ref="K2644:M2644"/>
    <mergeCell ref="K2645:M2645"/>
    <mergeCell ref="K2646:M2646"/>
    <mergeCell ref="K2647:M2647"/>
    <mergeCell ref="K2648:M2648"/>
    <mergeCell ref="K2649:M2649"/>
    <mergeCell ref="K2650:M2650"/>
    <mergeCell ref="K2651:M2651"/>
    <mergeCell ref="K2652:M2652"/>
    <mergeCell ref="K2653:M2653"/>
    <mergeCell ref="K2654:M2654"/>
    <mergeCell ref="K2655:M2655"/>
    <mergeCell ref="K2656:M2656"/>
    <mergeCell ref="K2657:M2657"/>
    <mergeCell ref="K2658:M2658"/>
    <mergeCell ref="K2659:M2659"/>
    <mergeCell ref="K2660:M2660"/>
    <mergeCell ref="K2661:M2661"/>
    <mergeCell ref="K2662:M2662"/>
    <mergeCell ref="K2663:M2663"/>
    <mergeCell ref="K2664:M2664"/>
    <mergeCell ref="K2665:M2665"/>
    <mergeCell ref="K2666:M2666"/>
    <mergeCell ref="K2667:M2667"/>
    <mergeCell ref="K2668:M2668"/>
    <mergeCell ref="K2669:M2669"/>
    <mergeCell ref="K2670:M2670"/>
    <mergeCell ref="K2671:M2671"/>
    <mergeCell ref="K2672:M2672"/>
    <mergeCell ref="K2673:M2673"/>
    <mergeCell ref="K2674:M2674"/>
    <mergeCell ref="K2675:M2675"/>
    <mergeCell ref="K2676:M2676"/>
    <mergeCell ref="K2677:M2677"/>
    <mergeCell ref="K2678:M2678"/>
    <mergeCell ref="K2679:M2679"/>
    <mergeCell ref="K2680:M2680"/>
    <mergeCell ref="K2681:M2681"/>
    <mergeCell ref="K2682:M2682"/>
    <mergeCell ref="K2683:M2683"/>
    <mergeCell ref="K2684:M2684"/>
    <mergeCell ref="K2685:M2685"/>
    <mergeCell ref="K2686:M2686"/>
    <mergeCell ref="K2687:M2687"/>
    <mergeCell ref="K2688:M2688"/>
    <mergeCell ref="K2689:M2689"/>
    <mergeCell ref="K2690:M2690"/>
    <mergeCell ref="K2691:M2691"/>
    <mergeCell ref="K2692:M2692"/>
    <mergeCell ref="K2693:M2693"/>
    <mergeCell ref="K2694:M2694"/>
    <mergeCell ref="K2695:M2695"/>
    <mergeCell ref="K2696:M2696"/>
    <mergeCell ref="K2697:M2697"/>
    <mergeCell ref="K2698:M2698"/>
    <mergeCell ref="K2699:M2699"/>
    <mergeCell ref="K2700:M2700"/>
    <mergeCell ref="K2701:M2701"/>
    <mergeCell ref="K2702:M2702"/>
    <mergeCell ref="K2703:M2703"/>
    <mergeCell ref="K2704:M2704"/>
    <mergeCell ref="K2705:M2705"/>
    <mergeCell ref="K2706:M2706"/>
    <mergeCell ref="K2707:M2707"/>
    <mergeCell ref="K2708:M2708"/>
    <mergeCell ref="K2709:M2709"/>
    <mergeCell ref="K2710:M2710"/>
    <mergeCell ref="K2711:M2711"/>
    <mergeCell ref="K2712:M2712"/>
    <mergeCell ref="K2713:M2713"/>
    <mergeCell ref="K2714:M2714"/>
    <mergeCell ref="K2715:M2715"/>
    <mergeCell ref="K2716:M2716"/>
    <mergeCell ref="K2717:M2717"/>
    <mergeCell ref="K2718:M2718"/>
    <mergeCell ref="K2719:M2719"/>
    <mergeCell ref="K2720:M2720"/>
    <mergeCell ref="K2721:M2721"/>
    <mergeCell ref="K2722:M2722"/>
    <mergeCell ref="K2723:M2723"/>
    <mergeCell ref="K2724:M2724"/>
    <mergeCell ref="K2725:M2725"/>
    <mergeCell ref="K2726:M2726"/>
    <mergeCell ref="K2727:M2727"/>
    <mergeCell ref="K2728:M2728"/>
    <mergeCell ref="K2729:M2729"/>
    <mergeCell ref="K2730:M2730"/>
    <mergeCell ref="K2731:M2731"/>
    <mergeCell ref="K2732:M2732"/>
    <mergeCell ref="K2733:M2733"/>
    <mergeCell ref="K2734:M2734"/>
    <mergeCell ref="K2735:M2735"/>
    <mergeCell ref="K2736:M2736"/>
    <mergeCell ref="K2737:M2737"/>
    <mergeCell ref="K2738:M2738"/>
    <mergeCell ref="K2739:M2739"/>
    <mergeCell ref="K2740:M2740"/>
    <mergeCell ref="K2741:M2741"/>
    <mergeCell ref="K2742:M2742"/>
    <mergeCell ref="K2743:M2743"/>
    <mergeCell ref="K2744:M2744"/>
    <mergeCell ref="K2745:M2745"/>
    <mergeCell ref="K2746:M2746"/>
    <mergeCell ref="K2747:M2747"/>
    <mergeCell ref="K2748:M2748"/>
    <mergeCell ref="K2749:M2749"/>
    <mergeCell ref="K2750:M2750"/>
    <mergeCell ref="K2751:M2751"/>
    <mergeCell ref="K2752:M2752"/>
    <mergeCell ref="K2753:M2753"/>
    <mergeCell ref="K2754:M2754"/>
    <mergeCell ref="K2755:M2755"/>
    <mergeCell ref="K2756:M2756"/>
    <mergeCell ref="K2757:M2757"/>
    <mergeCell ref="K2758:M2758"/>
    <mergeCell ref="K2759:M2759"/>
    <mergeCell ref="K2760:M2760"/>
    <mergeCell ref="K2761:M2761"/>
    <mergeCell ref="K2762:M2762"/>
    <mergeCell ref="K2763:M2763"/>
    <mergeCell ref="K2764:M2764"/>
    <mergeCell ref="K2765:M2765"/>
    <mergeCell ref="K2766:M2766"/>
    <mergeCell ref="K2767:M2767"/>
    <mergeCell ref="K2768:M2768"/>
    <mergeCell ref="K2769:M2769"/>
    <mergeCell ref="K2770:M2770"/>
    <mergeCell ref="K2771:M2771"/>
    <mergeCell ref="K2772:M2772"/>
    <mergeCell ref="K2773:M2773"/>
    <mergeCell ref="K2774:M2774"/>
    <mergeCell ref="K2775:M2775"/>
    <mergeCell ref="K2776:M2776"/>
    <mergeCell ref="K2777:M2777"/>
    <mergeCell ref="K2778:M2778"/>
    <mergeCell ref="K2779:M2779"/>
    <mergeCell ref="K2780:M2780"/>
    <mergeCell ref="K2781:M2781"/>
    <mergeCell ref="K2782:M2782"/>
    <mergeCell ref="K2783:M2783"/>
    <mergeCell ref="K2784:M2784"/>
    <mergeCell ref="K2785:M2785"/>
    <mergeCell ref="K2786:M2786"/>
    <mergeCell ref="K2787:M2787"/>
    <mergeCell ref="K2788:M2788"/>
    <mergeCell ref="K2789:M2789"/>
    <mergeCell ref="K2790:M2790"/>
    <mergeCell ref="K2791:M2791"/>
    <mergeCell ref="K2792:M2792"/>
    <mergeCell ref="K2793:M2793"/>
    <mergeCell ref="K2794:M2794"/>
    <mergeCell ref="K2795:M2795"/>
    <mergeCell ref="K2796:M2796"/>
    <mergeCell ref="K2797:M2797"/>
    <mergeCell ref="K2798:M2798"/>
    <mergeCell ref="K2799:M2799"/>
    <mergeCell ref="K2800:M2800"/>
    <mergeCell ref="K2801:M2801"/>
    <mergeCell ref="K2802:M2802"/>
    <mergeCell ref="K2803:M2803"/>
    <mergeCell ref="K2804:M2804"/>
    <mergeCell ref="K2805:M2805"/>
    <mergeCell ref="K2806:M2806"/>
    <mergeCell ref="K2807:M2807"/>
    <mergeCell ref="K2808:M2808"/>
    <mergeCell ref="K2809:M2809"/>
    <mergeCell ref="K2810:M2810"/>
    <mergeCell ref="K2811:M2811"/>
    <mergeCell ref="K2812:M2812"/>
    <mergeCell ref="K2813:M2813"/>
    <mergeCell ref="K2814:M2814"/>
    <mergeCell ref="K2815:M2815"/>
    <mergeCell ref="K2816:M2816"/>
    <mergeCell ref="K2817:M2817"/>
    <mergeCell ref="K2818:M2818"/>
    <mergeCell ref="K2819:M2819"/>
    <mergeCell ref="K2820:M2820"/>
    <mergeCell ref="K2821:M2821"/>
    <mergeCell ref="K2822:M2822"/>
    <mergeCell ref="K2823:M2823"/>
    <mergeCell ref="K2824:M2824"/>
    <mergeCell ref="K2825:M2825"/>
    <mergeCell ref="K2826:M2826"/>
    <mergeCell ref="K2827:M2827"/>
    <mergeCell ref="K2828:M2828"/>
    <mergeCell ref="K2829:M2829"/>
    <mergeCell ref="K2830:M2830"/>
    <mergeCell ref="K2831:M2831"/>
    <mergeCell ref="K2832:M2832"/>
    <mergeCell ref="K2833:M2833"/>
    <mergeCell ref="K2834:M2834"/>
    <mergeCell ref="K2835:M2835"/>
    <mergeCell ref="K2836:M2836"/>
    <mergeCell ref="K2837:M2837"/>
    <mergeCell ref="K2838:M2838"/>
    <mergeCell ref="K2839:M2839"/>
    <mergeCell ref="K2840:M2840"/>
    <mergeCell ref="K2841:M2841"/>
    <mergeCell ref="K2842:M2842"/>
    <mergeCell ref="K2843:M2843"/>
    <mergeCell ref="K2844:M2844"/>
    <mergeCell ref="K2845:M2845"/>
    <mergeCell ref="K2846:M2846"/>
    <mergeCell ref="K2847:M2847"/>
    <mergeCell ref="K2848:M2848"/>
    <mergeCell ref="K2849:M2849"/>
    <mergeCell ref="K2850:M2850"/>
    <mergeCell ref="K2851:M2851"/>
    <mergeCell ref="K2852:M2852"/>
    <mergeCell ref="K2853:M2853"/>
    <mergeCell ref="K2854:M2854"/>
    <mergeCell ref="K2855:M2855"/>
    <mergeCell ref="K2856:M2856"/>
    <mergeCell ref="K2857:M2857"/>
    <mergeCell ref="K2858:M2858"/>
    <mergeCell ref="K2859:M2859"/>
    <mergeCell ref="K2860:M2860"/>
    <mergeCell ref="K2861:M2861"/>
    <mergeCell ref="K2862:M2862"/>
    <mergeCell ref="K2863:M2863"/>
    <mergeCell ref="K2864:M2864"/>
    <mergeCell ref="K2865:M2865"/>
    <mergeCell ref="K2866:M2866"/>
    <mergeCell ref="K2867:M2867"/>
    <mergeCell ref="K2868:M2868"/>
    <mergeCell ref="K2869:M2869"/>
    <mergeCell ref="K2870:M2870"/>
    <mergeCell ref="K2871:M2871"/>
    <mergeCell ref="K2872:M2872"/>
    <mergeCell ref="K2873:M2873"/>
    <mergeCell ref="K2874:M2874"/>
    <mergeCell ref="K2875:M2875"/>
    <mergeCell ref="K2876:M2876"/>
    <mergeCell ref="K2877:M2877"/>
    <mergeCell ref="K2878:M2878"/>
    <mergeCell ref="K2879:M2879"/>
    <mergeCell ref="K2880:M2880"/>
    <mergeCell ref="K2881:M2881"/>
    <mergeCell ref="K2882:M2882"/>
    <mergeCell ref="K2883:M2883"/>
    <mergeCell ref="K2884:M2884"/>
    <mergeCell ref="K2885:M2885"/>
    <mergeCell ref="K2886:M2886"/>
    <mergeCell ref="K2887:M2887"/>
    <mergeCell ref="K2888:M2888"/>
    <mergeCell ref="K2889:M2889"/>
    <mergeCell ref="K2890:M2890"/>
    <mergeCell ref="K2891:M2891"/>
    <mergeCell ref="K2892:M2892"/>
    <mergeCell ref="K2893:M2893"/>
    <mergeCell ref="K2894:M2894"/>
    <mergeCell ref="K2895:M2895"/>
    <mergeCell ref="K2896:M2896"/>
    <mergeCell ref="K2897:M2897"/>
    <mergeCell ref="K2898:M2898"/>
    <mergeCell ref="K2899:M2899"/>
    <mergeCell ref="K2900:M2900"/>
    <mergeCell ref="K2901:M2901"/>
    <mergeCell ref="K2902:M2902"/>
    <mergeCell ref="K2903:M2903"/>
    <mergeCell ref="K2904:M2904"/>
    <mergeCell ref="K2905:M2905"/>
    <mergeCell ref="K2906:M2906"/>
    <mergeCell ref="K2907:M2907"/>
    <mergeCell ref="K2908:M2908"/>
    <mergeCell ref="K2909:M2909"/>
    <mergeCell ref="K2910:M2910"/>
    <mergeCell ref="K2911:M2911"/>
    <mergeCell ref="K2912:M2912"/>
    <mergeCell ref="K2913:M2913"/>
    <mergeCell ref="K2914:M2914"/>
    <mergeCell ref="K2915:M2915"/>
    <mergeCell ref="K2916:M2916"/>
    <mergeCell ref="K2917:M2917"/>
    <mergeCell ref="K2918:M2918"/>
    <mergeCell ref="K2919:M2919"/>
    <mergeCell ref="K2920:M2920"/>
    <mergeCell ref="K2921:M2921"/>
    <mergeCell ref="K2922:M2922"/>
    <mergeCell ref="K2923:M2923"/>
    <mergeCell ref="K2924:M2924"/>
    <mergeCell ref="K2925:M2925"/>
    <mergeCell ref="K2926:M2926"/>
    <mergeCell ref="K2927:M2927"/>
    <mergeCell ref="K2928:M2928"/>
    <mergeCell ref="K2929:M2929"/>
    <mergeCell ref="K2930:M2930"/>
    <mergeCell ref="K2931:M2931"/>
    <mergeCell ref="K2932:M2932"/>
    <mergeCell ref="K2933:M2933"/>
    <mergeCell ref="K2934:M2934"/>
    <mergeCell ref="K2935:M2935"/>
    <mergeCell ref="K2936:M2936"/>
    <mergeCell ref="K2937:M2937"/>
    <mergeCell ref="K2938:M2938"/>
    <mergeCell ref="K2939:M2939"/>
    <mergeCell ref="K2940:M2940"/>
    <mergeCell ref="K2941:M2941"/>
    <mergeCell ref="K2942:M2942"/>
    <mergeCell ref="K2943:M2943"/>
    <mergeCell ref="K2944:M2944"/>
    <mergeCell ref="K2945:M2945"/>
    <mergeCell ref="K2946:M2946"/>
    <mergeCell ref="K2947:M2947"/>
    <mergeCell ref="K2948:M2948"/>
    <mergeCell ref="K2949:M2949"/>
    <mergeCell ref="K2950:M2950"/>
    <mergeCell ref="K2951:M2951"/>
    <mergeCell ref="K2952:M2952"/>
    <mergeCell ref="K2953:M2953"/>
    <mergeCell ref="K2954:M2954"/>
    <mergeCell ref="K2955:M2955"/>
    <mergeCell ref="K2956:M2956"/>
    <mergeCell ref="K2957:M2957"/>
    <mergeCell ref="K2958:M2958"/>
    <mergeCell ref="K2959:M2959"/>
    <mergeCell ref="K2960:M2960"/>
    <mergeCell ref="K2961:M2961"/>
    <mergeCell ref="K2962:M2962"/>
    <mergeCell ref="K2963:M2963"/>
    <mergeCell ref="K2964:M2964"/>
    <mergeCell ref="K2965:M2965"/>
    <mergeCell ref="K2966:M2966"/>
    <mergeCell ref="K2967:M2967"/>
    <mergeCell ref="K2968:M2968"/>
    <mergeCell ref="K2969:M2969"/>
    <mergeCell ref="K2970:M2970"/>
    <mergeCell ref="K2971:M2971"/>
    <mergeCell ref="K2972:M2972"/>
    <mergeCell ref="K2973:M2973"/>
    <mergeCell ref="K2974:M2974"/>
    <mergeCell ref="K2975:M2975"/>
    <mergeCell ref="K2976:M2976"/>
    <mergeCell ref="K2977:M2977"/>
    <mergeCell ref="K2978:M2978"/>
    <mergeCell ref="K2979:M2979"/>
    <mergeCell ref="K2980:M2980"/>
    <mergeCell ref="K2981:M2981"/>
    <mergeCell ref="K2982:M2982"/>
    <mergeCell ref="K2983:M2983"/>
    <mergeCell ref="K2984:M2984"/>
    <mergeCell ref="K2985:M2985"/>
    <mergeCell ref="K2986:M2986"/>
    <mergeCell ref="K2987:M2987"/>
    <mergeCell ref="K2988:M2988"/>
    <mergeCell ref="K2989:M2989"/>
    <mergeCell ref="K2990:M2990"/>
    <mergeCell ref="K2991:M2991"/>
    <mergeCell ref="K2992:M2992"/>
    <mergeCell ref="K2993:M2993"/>
    <mergeCell ref="K2994:M2994"/>
    <mergeCell ref="K2995:M2995"/>
    <mergeCell ref="K2996:M2996"/>
    <mergeCell ref="K2997:M2997"/>
    <mergeCell ref="K2998:M2998"/>
    <mergeCell ref="K2999:M2999"/>
    <mergeCell ref="K3000:M3000"/>
    <mergeCell ref="K3001:M3001"/>
    <mergeCell ref="K3002:M3002"/>
    <mergeCell ref="K3003:M3003"/>
    <mergeCell ref="K3004:M3004"/>
    <mergeCell ref="K3005:M3005"/>
    <mergeCell ref="K3006:M3006"/>
    <mergeCell ref="K3007:M3007"/>
    <mergeCell ref="K3008:M3008"/>
    <mergeCell ref="X3634:Y3634"/>
    <mergeCell ref="X3635:Y3635"/>
    <mergeCell ref="X3636:Y3636"/>
    <mergeCell ref="X3637:Y3637"/>
    <mergeCell ref="X3638:Y3638"/>
    <mergeCell ref="X3639:Y3639"/>
    <mergeCell ref="X3640:Y3640"/>
    <mergeCell ref="X3641:Y3641"/>
    <mergeCell ref="X3642:Y3642"/>
    <mergeCell ref="X3643:Y3643"/>
    <mergeCell ref="X3644:Y3644"/>
    <mergeCell ref="X3645:Y3645"/>
    <mergeCell ref="X3646:Y3646"/>
    <mergeCell ref="X3647:Y3647"/>
    <mergeCell ref="X3648:Y3648"/>
    <mergeCell ref="X3649:Y3649"/>
    <mergeCell ref="X3650:Y3650"/>
    <mergeCell ref="X3651:Y3651"/>
    <mergeCell ref="X3652:Y3652"/>
    <mergeCell ref="X3653:Y3653"/>
    <mergeCell ref="X3654:Y3654"/>
    <mergeCell ref="X3655:Y3655"/>
    <mergeCell ref="X3656:Y3656"/>
    <mergeCell ref="X3657:Y3657"/>
    <mergeCell ref="X3658:Y3658"/>
    <mergeCell ref="X3659:Y3659"/>
    <mergeCell ref="X3660:Y3660"/>
    <mergeCell ref="X3661:Y3661"/>
    <mergeCell ref="X3662:Y3662"/>
    <mergeCell ref="X3663:Y3663"/>
    <mergeCell ref="X3664:Y3664"/>
    <mergeCell ref="X3665:Y3665"/>
    <mergeCell ref="X3666:Y3666"/>
    <mergeCell ref="X3667:Y3667"/>
    <mergeCell ref="X3668:Y3668"/>
    <mergeCell ref="X3669:Y3669"/>
    <mergeCell ref="X3670:Y3670"/>
    <mergeCell ref="X3671:Y3671"/>
    <mergeCell ref="X3672:Y3672"/>
    <mergeCell ref="X3673:Y3673"/>
    <mergeCell ref="X3674:Y3674"/>
    <mergeCell ref="X3675:Y3675"/>
    <mergeCell ref="X3676:Y3676"/>
    <mergeCell ref="X3677:Y3677"/>
    <mergeCell ref="X3678:Y3678"/>
    <mergeCell ref="X3679:Y3679"/>
    <mergeCell ref="X3680:Y3680"/>
    <mergeCell ref="X3681:Y3681"/>
    <mergeCell ref="X3682:Y3682"/>
    <mergeCell ref="X3683:Y3683"/>
    <mergeCell ref="X3684:Y3684"/>
    <mergeCell ref="X3685:Y3685"/>
    <mergeCell ref="X3686:Y3686"/>
    <mergeCell ref="X3687:Y3687"/>
    <mergeCell ref="X3688:Y3688"/>
    <mergeCell ref="X3689:Y3689"/>
    <mergeCell ref="X3690:Y3690"/>
    <mergeCell ref="X3691:Y3691"/>
    <mergeCell ref="X3692:Y3692"/>
    <mergeCell ref="X3693:Y3693"/>
    <mergeCell ref="X3694:Y3694"/>
    <mergeCell ref="X3695:Y3695"/>
    <mergeCell ref="X3696:Y3696"/>
    <mergeCell ref="X3697:Y3697"/>
    <mergeCell ref="X3698:Y3698"/>
    <mergeCell ref="X3699:Y3699"/>
    <mergeCell ref="X3700:Y3700"/>
    <mergeCell ref="X3701:Y3701"/>
    <mergeCell ref="X3702:Y3702"/>
    <mergeCell ref="X3703:Y3703"/>
    <mergeCell ref="X3704:Y3704"/>
    <mergeCell ref="X3705:Y3705"/>
    <mergeCell ref="X3706:Y3706"/>
    <mergeCell ref="X3707:Y3707"/>
    <mergeCell ref="X3708:Y3708"/>
    <mergeCell ref="X3709:Y3709"/>
    <mergeCell ref="X3710:Y3710"/>
    <mergeCell ref="X3711:Y3711"/>
    <mergeCell ref="X3712:Y3712"/>
    <mergeCell ref="X3713:Y3713"/>
    <mergeCell ref="X3714:Y3714"/>
    <mergeCell ref="X3715:Y3715"/>
    <mergeCell ref="X3716:Y3716"/>
    <mergeCell ref="X3717:Y3717"/>
    <mergeCell ref="X3718:Y3718"/>
    <mergeCell ref="X3719:Y3719"/>
    <mergeCell ref="X3720:Y3720"/>
    <mergeCell ref="X3721:Y3721"/>
    <mergeCell ref="X3722:Y3722"/>
    <mergeCell ref="X3723:Y3723"/>
    <mergeCell ref="X3724:Y3724"/>
    <mergeCell ref="X3725:Y3725"/>
    <mergeCell ref="X3726:Y3726"/>
    <mergeCell ref="X3727:Y3727"/>
    <mergeCell ref="X3728:Y3728"/>
    <mergeCell ref="X3729:Y3729"/>
    <mergeCell ref="X3730:Y3730"/>
    <mergeCell ref="X3731:Y3731"/>
    <mergeCell ref="X3732:Y3732"/>
    <mergeCell ref="X3733:Y3733"/>
    <mergeCell ref="X3734:Y3734"/>
    <mergeCell ref="X3735:Y3735"/>
    <mergeCell ref="X3736:Y3736"/>
    <mergeCell ref="X3737:Y3737"/>
    <mergeCell ref="X3738:Y3738"/>
    <mergeCell ref="X3739:Y3739"/>
    <mergeCell ref="X3740:Y3740"/>
    <mergeCell ref="X3741:Y3741"/>
    <mergeCell ref="X3742:Y3742"/>
    <mergeCell ref="X3743:Y3743"/>
    <mergeCell ref="X3744:Y3744"/>
    <mergeCell ref="X3745:Y3745"/>
    <mergeCell ref="X3746:Y3746"/>
    <mergeCell ref="X3747:Y3747"/>
    <mergeCell ref="X3748:Y3748"/>
    <mergeCell ref="X3749:Y3749"/>
    <mergeCell ref="X3750:Y3750"/>
    <mergeCell ref="X3751:Y3751"/>
    <mergeCell ref="X3752:Y3752"/>
    <mergeCell ref="X3753:Y3753"/>
    <mergeCell ref="X3754:Y3754"/>
    <mergeCell ref="X3755:Y3755"/>
    <mergeCell ref="X3756:Y3756"/>
    <mergeCell ref="X3757:Y3757"/>
    <mergeCell ref="X3758:Y3758"/>
    <mergeCell ref="X3759:Y3759"/>
    <mergeCell ref="X3760:Y3760"/>
    <mergeCell ref="X3761:Y3761"/>
    <mergeCell ref="X3762:Y3762"/>
    <mergeCell ref="X3763:Y3763"/>
    <mergeCell ref="X3764:Y3764"/>
    <mergeCell ref="X3765:Y3765"/>
    <mergeCell ref="X3766:Y3766"/>
    <mergeCell ref="X3767:Y3767"/>
    <mergeCell ref="X3768:Y3768"/>
    <mergeCell ref="X3769:Y3769"/>
    <mergeCell ref="X3770:Y3770"/>
    <mergeCell ref="X3771:Y3771"/>
    <mergeCell ref="X3772:Y3772"/>
    <mergeCell ref="X3773:Y3773"/>
    <mergeCell ref="X3774:Y3774"/>
    <mergeCell ref="X3775:Y3775"/>
    <mergeCell ref="X3776:Y3776"/>
    <mergeCell ref="X3777:Y3777"/>
    <mergeCell ref="X3778:Y3778"/>
    <mergeCell ref="X3779:Y3779"/>
    <mergeCell ref="X3780:Y3780"/>
    <mergeCell ref="X3781:Y3781"/>
    <mergeCell ref="X3782:Y3782"/>
    <mergeCell ref="X3783:Y3783"/>
    <mergeCell ref="X3784:Y3784"/>
    <mergeCell ref="X3785:Y3785"/>
    <mergeCell ref="X3786:Y3786"/>
    <mergeCell ref="X3787:Y3787"/>
    <mergeCell ref="X3788:Y3788"/>
    <mergeCell ref="X3789:Y3789"/>
    <mergeCell ref="X3790:Y3790"/>
    <mergeCell ref="X3791:Y3791"/>
    <mergeCell ref="X3792:Y3792"/>
    <mergeCell ref="X3793:Y3793"/>
    <mergeCell ref="X3794:Y3794"/>
    <mergeCell ref="X3795:Y3795"/>
    <mergeCell ref="X3796:Y3796"/>
    <mergeCell ref="X3797:Y3797"/>
    <mergeCell ref="X3798:Y3798"/>
    <mergeCell ref="X3799:Y3799"/>
    <mergeCell ref="X3800:Y3800"/>
    <mergeCell ref="X3801:Y3801"/>
    <mergeCell ref="X3802:Y3802"/>
    <mergeCell ref="X3803:Y3803"/>
    <mergeCell ref="X3804:Y3804"/>
    <mergeCell ref="X3805:Y3805"/>
    <mergeCell ref="X3806:Y3806"/>
    <mergeCell ref="X3807:Y3807"/>
    <mergeCell ref="X3808:Y3808"/>
    <mergeCell ref="X3809:Y3809"/>
    <mergeCell ref="X3810:Y3810"/>
    <mergeCell ref="X3811:Y3811"/>
    <mergeCell ref="X3812:Y3812"/>
    <mergeCell ref="X3813:Y3813"/>
    <mergeCell ref="X3814:Y3814"/>
    <mergeCell ref="X3815:Y3815"/>
    <mergeCell ref="X3816:Y3816"/>
    <mergeCell ref="X3817:Y3817"/>
    <mergeCell ref="X3818:Y3818"/>
    <mergeCell ref="X3819:Y3819"/>
    <mergeCell ref="X3820:Y3820"/>
    <mergeCell ref="X3821:Y3821"/>
    <mergeCell ref="X3822:Y3822"/>
    <mergeCell ref="X3823:Y3823"/>
    <mergeCell ref="X3824:Y3824"/>
    <mergeCell ref="X3825:Y3825"/>
    <mergeCell ref="X3826:Y3826"/>
    <mergeCell ref="X3827:Y3827"/>
    <mergeCell ref="X3828:Y3828"/>
    <mergeCell ref="X3829:Y3829"/>
    <mergeCell ref="X3830:Y3830"/>
    <mergeCell ref="X3831:Y3831"/>
    <mergeCell ref="X3832:Y3832"/>
    <mergeCell ref="X3833:Y3833"/>
    <mergeCell ref="X3834:Y3834"/>
    <mergeCell ref="X3835:Y3835"/>
    <mergeCell ref="X3836:Y3836"/>
    <mergeCell ref="X3837:Y3837"/>
    <mergeCell ref="X3838:Y3838"/>
    <mergeCell ref="X3839:Y3839"/>
    <mergeCell ref="X3840:Y3840"/>
    <mergeCell ref="X3841:Y3841"/>
    <mergeCell ref="X3842:Y3842"/>
    <mergeCell ref="X3843:Y3843"/>
    <mergeCell ref="X3844:Y3844"/>
    <mergeCell ref="X3845:Y3845"/>
    <mergeCell ref="X3846:Y3846"/>
    <mergeCell ref="X3847:Y3847"/>
    <mergeCell ref="X3848:Y3848"/>
    <mergeCell ref="X3849:Y3849"/>
    <mergeCell ref="X3850:Y3850"/>
    <mergeCell ref="X3851:Y3851"/>
    <mergeCell ref="X3852:Y3852"/>
    <mergeCell ref="X3853:Y3853"/>
    <mergeCell ref="X3854:Y3854"/>
    <mergeCell ref="X3855:Y3855"/>
    <mergeCell ref="X3856:Y3856"/>
    <mergeCell ref="X3857:Y3857"/>
    <mergeCell ref="X3858:Y3858"/>
    <mergeCell ref="X3859:Y3859"/>
    <mergeCell ref="X3860:Y3860"/>
    <mergeCell ref="X3861:Y3861"/>
    <mergeCell ref="X3862:Y3862"/>
    <mergeCell ref="X3863:Y3863"/>
    <mergeCell ref="X3864:Y3864"/>
    <mergeCell ref="X3865:Y3865"/>
    <mergeCell ref="X3866:Y3866"/>
    <mergeCell ref="X3867:Y3867"/>
    <mergeCell ref="X3868:Y3868"/>
    <mergeCell ref="X3869:Y3869"/>
    <mergeCell ref="X3870:Y3870"/>
    <mergeCell ref="X3871:Y3871"/>
    <mergeCell ref="X3872:Y3872"/>
    <mergeCell ref="X3873:Y3873"/>
    <mergeCell ref="X3874:Y3874"/>
    <mergeCell ref="X3875:Y3875"/>
    <mergeCell ref="X3876:Y3876"/>
    <mergeCell ref="X3877:Y3877"/>
    <mergeCell ref="X3878:Y3878"/>
    <mergeCell ref="X3879:Y3879"/>
    <mergeCell ref="X3880:Y3880"/>
    <mergeCell ref="X3881:Y3881"/>
    <mergeCell ref="X3882:Y3882"/>
    <mergeCell ref="X3883:Y3883"/>
    <mergeCell ref="X3884:Y3884"/>
    <mergeCell ref="X3885:Y3885"/>
    <mergeCell ref="X3886:Y3886"/>
    <mergeCell ref="X3887:Y3887"/>
    <mergeCell ref="X3888:Y3888"/>
    <mergeCell ref="X3890:Y3890"/>
    <mergeCell ref="X3891:Y3891"/>
    <mergeCell ref="X3892:Y3892"/>
    <mergeCell ref="X3893:Y3893"/>
    <mergeCell ref="X3894:Y3894"/>
    <mergeCell ref="X3895:Y3895"/>
    <mergeCell ref="X3896:Y3896"/>
    <mergeCell ref="X3897:Y3897"/>
    <mergeCell ref="X3898:Y3898"/>
    <mergeCell ref="X3899:Y3899"/>
    <mergeCell ref="X3900:Y3900"/>
    <mergeCell ref="X3901:Y3901"/>
    <mergeCell ref="X3902:Y3902"/>
    <mergeCell ref="X3903:Y3903"/>
    <mergeCell ref="X3904:Y3904"/>
    <mergeCell ref="X3905:Y3905"/>
    <mergeCell ref="X3906:Y3906"/>
    <mergeCell ref="X3907:Y3907"/>
    <mergeCell ref="X3908:Y3908"/>
    <mergeCell ref="X3909:Y3909"/>
    <mergeCell ref="X3910:Y3910"/>
    <mergeCell ref="X3911:Y3911"/>
    <mergeCell ref="X3912:Y3912"/>
    <mergeCell ref="X3913:Y3913"/>
    <mergeCell ref="X3914:Y3914"/>
    <mergeCell ref="X3915:Y3915"/>
    <mergeCell ref="X3916:Y3916"/>
    <mergeCell ref="X3917:Y3917"/>
    <mergeCell ref="X3918:Y3918"/>
    <mergeCell ref="X3919:Y3919"/>
    <mergeCell ref="X3920:Y3920"/>
    <mergeCell ref="X3921:Y3921"/>
    <mergeCell ref="X3922:Y3922"/>
    <mergeCell ref="X3923:Y3923"/>
    <mergeCell ref="X3924:Y3924"/>
    <mergeCell ref="X3925:Y3925"/>
    <mergeCell ref="X3926:Y3926"/>
    <mergeCell ref="X3927:Y3927"/>
    <mergeCell ref="X3928:Y3928"/>
    <mergeCell ref="X3929:Y3929"/>
    <mergeCell ref="X3930:Y3930"/>
    <mergeCell ref="X3931:Y3931"/>
    <mergeCell ref="X3932:Y3932"/>
    <mergeCell ref="X3933:Y3933"/>
    <mergeCell ref="X3934:Y3934"/>
    <mergeCell ref="X3935:Y3935"/>
    <mergeCell ref="X3936:Y3936"/>
    <mergeCell ref="X3937:Y3937"/>
    <mergeCell ref="X3938:Y3938"/>
    <mergeCell ref="X3939:Y3939"/>
    <mergeCell ref="X3940:Y3940"/>
    <mergeCell ref="X3941:Y3941"/>
    <mergeCell ref="X3942:Y3942"/>
    <mergeCell ref="X3943:Y3943"/>
    <mergeCell ref="X3944:Y3944"/>
    <mergeCell ref="X3945:Y3945"/>
    <mergeCell ref="X3946:Y3946"/>
    <mergeCell ref="X3947:Y3947"/>
    <mergeCell ref="X3948:Y3948"/>
    <mergeCell ref="X3949:Y3949"/>
    <mergeCell ref="X3950:Y3950"/>
    <mergeCell ref="X3951:Y3951"/>
    <mergeCell ref="X3952:Y3952"/>
    <mergeCell ref="X3953:Y3953"/>
    <mergeCell ref="X3954:Y3954"/>
    <mergeCell ref="X3955:Y3955"/>
    <mergeCell ref="X3956:Y3956"/>
    <mergeCell ref="X3957:Y3957"/>
    <mergeCell ref="X3958:Y3958"/>
    <mergeCell ref="X3959:Y3959"/>
    <mergeCell ref="X3960:Y3960"/>
    <mergeCell ref="X3961:Y3961"/>
    <mergeCell ref="X3962:Y3962"/>
    <mergeCell ref="X3963:Y3963"/>
    <mergeCell ref="X3964:Y3964"/>
    <mergeCell ref="X3965:Y3965"/>
    <mergeCell ref="X3966:Y3966"/>
    <mergeCell ref="X3967:Y3967"/>
    <mergeCell ref="X3968:Y3968"/>
    <mergeCell ref="X3969:Y3969"/>
    <mergeCell ref="X3970:Y3970"/>
    <mergeCell ref="X3971:Y3971"/>
    <mergeCell ref="X3972:Y3972"/>
    <mergeCell ref="X3973:Y3973"/>
    <mergeCell ref="X3974:Y3974"/>
    <mergeCell ref="X3975:Y3975"/>
    <mergeCell ref="X3976:Y3976"/>
    <mergeCell ref="X3977:Y3977"/>
    <mergeCell ref="X3978:Y3978"/>
    <mergeCell ref="X3979:Y3979"/>
    <mergeCell ref="X3980:Y3980"/>
    <mergeCell ref="X3981:Y3981"/>
    <mergeCell ref="X3982:Y3982"/>
    <mergeCell ref="X3983:Y3983"/>
    <mergeCell ref="X3984:Y3984"/>
    <mergeCell ref="X3985:Y3985"/>
    <mergeCell ref="X3986:Y3986"/>
    <mergeCell ref="X3987:Y3987"/>
    <mergeCell ref="X3988:Y3988"/>
    <mergeCell ref="X3989:Y3989"/>
    <mergeCell ref="X3990:Y3990"/>
    <mergeCell ref="X3991:Y3991"/>
    <mergeCell ref="X3992:Y3992"/>
    <mergeCell ref="X3993:Y3993"/>
    <mergeCell ref="X3994:Y3994"/>
    <mergeCell ref="X3995:Y3995"/>
    <mergeCell ref="X3996:Y3996"/>
    <mergeCell ref="X3997:Y3997"/>
    <mergeCell ref="X3998:Y3998"/>
    <mergeCell ref="X3999:Y3999"/>
    <mergeCell ref="X4000:Y4000"/>
    <mergeCell ref="X4001:Y4001"/>
    <mergeCell ref="X4002:Y4002"/>
    <mergeCell ref="X4003:Y4003"/>
    <mergeCell ref="X4004:Y4004"/>
    <mergeCell ref="X4005:Y4005"/>
    <mergeCell ref="X4006:Y4006"/>
    <mergeCell ref="X4007:Y4007"/>
    <mergeCell ref="X4008:Y4008"/>
    <mergeCell ref="X4009:Y4009"/>
    <mergeCell ref="X4010:Y4010"/>
    <mergeCell ref="X4011:Y4011"/>
    <mergeCell ref="X4012:Y4012"/>
    <mergeCell ref="X4013:Y4013"/>
    <mergeCell ref="X4014:Y4014"/>
    <mergeCell ref="X4015:Y4015"/>
    <mergeCell ref="X4016:Y4016"/>
    <mergeCell ref="X4017:Y4017"/>
    <mergeCell ref="X4018:Y4018"/>
    <mergeCell ref="X4019:Y4019"/>
    <mergeCell ref="X4020:Y4020"/>
    <mergeCell ref="X4021:Y4021"/>
    <mergeCell ref="X4022:Y4022"/>
    <mergeCell ref="X4023:Y4023"/>
    <mergeCell ref="X4024:Y4024"/>
    <mergeCell ref="X4025:Y4025"/>
    <mergeCell ref="X4026:Y4026"/>
    <mergeCell ref="X4027:Y4027"/>
    <mergeCell ref="X4028:Y4028"/>
    <mergeCell ref="X4029:Y4029"/>
    <mergeCell ref="X4030:Y4030"/>
    <mergeCell ref="X4031:Y4031"/>
    <mergeCell ref="X4032:Y4032"/>
    <mergeCell ref="X4033:Y4033"/>
    <mergeCell ref="X4034:Y4034"/>
    <mergeCell ref="X4035:Y4035"/>
    <mergeCell ref="X4036:Y4036"/>
    <mergeCell ref="X4037:Y4037"/>
    <mergeCell ref="X4038:Y4038"/>
    <mergeCell ref="X4039:Y4039"/>
    <mergeCell ref="X4040:Y4040"/>
    <mergeCell ref="X4041:Y4041"/>
    <mergeCell ref="X4042:Y4042"/>
    <mergeCell ref="X4043:Y4043"/>
    <mergeCell ref="X4044:Y4044"/>
    <mergeCell ref="X4045:Y4045"/>
    <mergeCell ref="X4046:Y4046"/>
    <mergeCell ref="X4047:Y4047"/>
    <mergeCell ref="X4048:Y4048"/>
    <mergeCell ref="X4049:Y4049"/>
    <mergeCell ref="X4050:Y4050"/>
    <mergeCell ref="X4051:Y4051"/>
    <mergeCell ref="X4052:Y4052"/>
    <mergeCell ref="X4053:Y4053"/>
    <mergeCell ref="X4054:Y4054"/>
    <mergeCell ref="X4055:Y4055"/>
    <mergeCell ref="X4056:Y4056"/>
    <mergeCell ref="X4057:Y4057"/>
    <mergeCell ref="X4058:Y4058"/>
    <mergeCell ref="X4059:Y4059"/>
    <mergeCell ref="X4060:Y4060"/>
    <mergeCell ref="X4061:Y4061"/>
    <mergeCell ref="X4062:Y4062"/>
    <mergeCell ref="X4063:Y4063"/>
    <mergeCell ref="X4064:Y4064"/>
    <mergeCell ref="X4065:Y4065"/>
    <mergeCell ref="X4066:Y4066"/>
    <mergeCell ref="X4067:Y4067"/>
    <mergeCell ref="X4068:Y4068"/>
    <mergeCell ref="X4069:Y4069"/>
    <mergeCell ref="X4070:Y4070"/>
    <mergeCell ref="X4071:Y4071"/>
    <mergeCell ref="X4072:Y4072"/>
    <mergeCell ref="X4073:Y4073"/>
    <mergeCell ref="X4074:Y4074"/>
    <mergeCell ref="X4075:Y4075"/>
    <mergeCell ref="X4076:Y4076"/>
    <mergeCell ref="X4077:Y4077"/>
    <mergeCell ref="X4078:Y4078"/>
    <mergeCell ref="X4079:Y4079"/>
    <mergeCell ref="X4080:Y4080"/>
    <mergeCell ref="X4081:Y4081"/>
    <mergeCell ref="X4082:Y4082"/>
    <mergeCell ref="X4083:Y4083"/>
    <mergeCell ref="X4084:Y4084"/>
    <mergeCell ref="X4085:Y4085"/>
    <mergeCell ref="X4086:Y4086"/>
    <mergeCell ref="X4087:Y4087"/>
    <mergeCell ref="X4088:Y4088"/>
    <mergeCell ref="X4089:Y4089"/>
    <mergeCell ref="X4090:Y4090"/>
    <mergeCell ref="X4091:Y4091"/>
    <mergeCell ref="X4092:Y4092"/>
    <mergeCell ref="X4093:Y4093"/>
    <mergeCell ref="X4094:Y4094"/>
    <mergeCell ref="X4095:Y4095"/>
    <mergeCell ref="X4096:Y4096"/>
    <mergeCell ref="X4097:Y4097"/>
    <mergeCell ref="X4098:Y4098"/>
    <mergeCell ref="X4099:Y4099"/>
    <mergeCell ref="X4100:Y4100"/>
    <mergeCell ref="X4101:Y4101"/>
    <mergeCell ref="X4102:Y4102"/>
    <mergeCell ref="X4103:Y4103"/>
    <mergeCell ref="X4104:Y4104"/>
    <mergeCell ref="X4105:Y4105"/>
    <mergeCell ref="X4106:Y4106"/>
    <mergeCell ref="X4107:Y4107"/>
    <mergeCell ref="X4108:Y4108"/>
    <mergeCell ref="X4109:Y4109"/>
    <mergeCell ref="X4110:Y4110"/>
    <mergeCell ref="X4111:Y4111"/>
    <mergeCell ref="X4112:Y4112"/>
    <mergeCell ref="X4113:Y4113"/>
    <mergeCell ref="X4114:Y4114"/>
    <mergeCell ref="X4115:Y4115"/>
    <mergeCell ref="X4116:Y4116"/>
    <mergeCell ref="X4117:Y4117"/>
    <mergeCell ref="X4118:Y4118"/>
    <mergeCell ref="X4119:Y4119"/>
    <mergeCell ref="X4120:Y4120"/>
    <mergeCell ref="X4121:Y4121"/>
    <mergeCell ref="X4122:Y4122"/>
    <mergeCell ref="X4123:Y4123"/>
    <mergeCell ref="X4124:Y4124"/>
    <mergeCell ref="X4125:Y4125"/>
    <mergeCell ref="X4126:Y4126"/>
    <mergeCell ref="X4127:Y4127"/>
    <mergeCell ref="X4128:Y4128"/>
    <mergeCell ref="X4129:Y4129"/>
    <mergeCell ref="X4130:Y4130"/>
    <mergeCell ref="X4131:Y4131"/>
    <mergeCell ref="X4132:Y4132"/>
    <mergeCell ref="X4133:Y4133"/>
    <mergeCell ref="X4134:Y4134"/>
    <mergeCell ref="X4135:Y4135"/>
    <mergeCell ref="X4136:Y4136"/>
    <mergeCell ref="X4137:Y4137"/>
    <mergeCell ref="X4138:Y4138"/>
    <mergeCell ref="X4139:Y4139"/>
    <mergeCell ref="X4140:Y4140"/>
    <mergeCell ref="X4141:Y4141"/>
    <mergeCell ref="X4142:Y4142"/>
    <mergeCell ref="X4143:Y4143"/>
    <mergeCell ref="X4144:Y4144"/>
    <mergeCell ref="X4145:Y4145"/>
    <mergeCell ref="X4146:Y4146"/>
    <mergeCell ref="X4147:Y4147"/>
    <mergeCell ref="X4148:Y4148"/>
    <mergeCell ref="X4149:Y4149"/>
    <mergeCell ref="X4150:Y4150"/>
    <mergeCell ref="X4151:Y4151"/>
    <mergeCell ref="X4152:Y4152"/>
    <mergeCell ref="X4153:Y4153"/>
    <mergeCell ref="X4154:Y4154"/>
    <mergeCell ref="X4155:Y4155"/>
    <mergeCell ref="X4156:Y4156"/>
    <mergeCell ref="X4157:Y4157"/>
    <mergeCell ref="X4158:Y4158"/>
    <mergeCell ref="X4159:Y4159"/>
    <mergeCell ref="X4160:Y4160"/>
    <mergeCell ref="X4161:Y4161"/>
    <mergeCell ref="X4162:Y4162"/>
    <mergeCell ref="X4163:Y4163"/>
    <mergeCell ref="X4164:Y4164"/>
    <mergeCell ref="X4165:Y4165"/>
    <mergeCell ref="X4166:Y4166"/>
    <mergeCell ref="X4167:Y4167"/>
    <mergeCell ref="X4168:Y4168"/>
    <mergeCell ref="X4169:Y4169"/>
    <mergeCell ref="X4170:Y4170"/>
    <mergeCell ref="X4171:Y4171"/>
    <mergeCell ref="X4172:Y4172"/>
    <mergeCell ref="X4173:Y4173"/>
    <mergeCell ref="X4174:Y4174"/>
    <mergeCell ref="X4175:Y4175"/>
    <mergeCell ref="X4176:Y4176"/>
    <mergeCell ref="X4177:Y4177"/>
    <mergeCell ref="X4178:Y4178"/>
    <mergeCell ref="X4179:Y4179"/>
    <mergeCell ref="X4180:Y4180"/>
    <mergeCell ref="X4181:Y4181"/>
    <mergeCell ref="X4182:Y4182"/>
    <mergeCell ref="X4183:Y4183"/>
    <mergeCell ref="X4184:Y4184"/>
    <mergeCell ref="X4185:Y4185"/>
    <mergeCell ref="X4186:Y4186"/>
    <mergeCell ref="X4187:Y4187"/>
    <mergeCell ref="X4188:Y4188"/>
    <mergeCell ref="X4189:Y4189"/>
    <mergeCell ref="X4190:Y4190"/>
    <mergeCell ref="X4191:Y4191"/>
    <mergeCell ref="X4192:Y4192"/>
    <mergeCell ref="X4193:Y4193"/>
    <mergeCell ref="X4194:Y4194"/>
    <mergeCell ref="X4195:Y4195"/>
    <mergeCell ref="X4196:Y4196"/>
    <mergeCell ref="X4197:Y4197"/>
    <mergeCell ref="X4198:Y4198"/>
    <mergeCell ref="X4199:Y4199"/>
    <mergeCell ref="X4200:Y4200"/>
    <mergeCell ref="X4201:Y4201"/>
    <mergeCell ref="X4202:Y4202"/>
    <mergeCell ref="X4203:Y4203"/>
    <mergeCell ref="X4204:Y4204"/>
    <mergeCell ref="X4205:Y4205"/>
    <mergeCell ref="X4206:Y4206"/>
    <mergeCell ref="X4207:Y4207"/>
    <mergeCell ref="X4208:Y4208"/>
    <mergeCell ref="X4209:Y4209"/>
    <mergeCell ref="X4210:Y4210"/>
    <mergeCell ref="X4211:Y4211"/>
    <mergeCell ref="X4212:Y4212"/>
    <mergeCell ref="X4213:Y4213"/>
    <mergeCell ref="X4214:Y4214"/>
    <mergeCell ref="X4215:Y4215"/>
    <mergeCell ref="X4216:Y4216"/>
    <mergeCell ref="X4217:Y4217"/>
    <mergeCell ref="X4218:Y4218"/>
    <mergeCell ref="X4219:Y4219"/>
    <mergeCell ref="X4220:Y4220"/>
    <mergeCell ref="X4221:Y4221"/>
    <mergeCell ref="X4222:Y4222"/>
    <mergeCell ref="X4265:Y4265"/>
    <mergeCell ref="X4266:Y4266"/>
    <mergeCell ref="X4267:Y4267"/>
    <mergeCell ref="X4268:Y4268"/>
    <mergeCell ref="X4269:Y4269"/>
    <mergeCell ref="X4270:Y4270"/>
    <mergeCell ref="X4271:Y4271"/>
    <mergeCell ref="X4272:Y4272"/>
    <mergeCell ref="X4273:Y4273"/>
    <mergeCell ref="X4274:Y4274"/>
    <mergeCell ref="X4275:Y4275"/>
    <mergeCell ref="X4276:Y4276"/>
    <mergeCell ref="X4277:Y4277"/>
    <mergeCell ref="X4278:Y4278"/>
    <mergeCell ref="X4223:Y4223"/>
    <mergeCell ref="X4224:Y4224"/>
    <mergeCell ref="X4225:Y4225"/>
    <mergeCell ref="X4226:Y4226"/>
    <mergeCell ref="X4227:Y4227"/>
    <mergeCell ref="X4228:Y4228"/>
    <mergeCell ref="X4229:Y4229"/>
    <mergeCell ref="X4230:Y4230"/>
    <mergeCell ref="X4231:Y4231"/>
    <mergeCell ref="X4232:Y4232"/>
    <mergeCell ref="X4233:Y4233"/>
    <mergeCell ref="X4234:Y4234"/>
    <mergeCell ref="X4235:Y4235"/>
    <mergeCell ref="X4236:Y4236"/>
    <mergeCell ref="X4237:Y4237"/>
    <mergeCell ref="X4238:Y4238"/>
    <mergeCell ref="X4239:Y4239"/>
    <mergeCell ref="X4240:Y4240"/>
    <mergeCell ref="X4241:Y4241"/>
    <mergeCell ref="X4242:Y4242"/>
    <mergeCell ref="X4243:Y4243"/>
    <mergeCell ref="X4244:Y4244"/>
    <mergeCell ref="X4245:Y4245"/>
    <mergeCell ref="X4246:Y4246"/>
    <mergeCell ref="X4247:Y4247"/>
    <mergeCell ref="X4248:Y4248"/>
    <mergeCell ref="X4249:Y4249"/>
    <mergeCell ref="X4250:Y4250"/>
    <mergeCell ref="X4251:Y4251"/>
    <mergeCell ref="X4252:Y4252"/>
    <mergeCell ref="X4253:Y4253"/>
    <mergeCell ref="X4254:Y4254"/>
    <mergeCell ref="X4255:Y4255"/>
    <mergeCell ref="X4256:Y4256"/>
    <mergeCell ref="X4257:Y4257"/>
    <mergeCell ref="X4258:Y4258"/>
    <mergeCell ref="X4259:Y4259"/>
    <mergeCell ref="X4260:Y4260"/>
    <mergeCell ref="X4261:Y4261"/>
    <mergeCell ref="X4262:Y4262"/>
    <mergeCell ref="X4263:Y4263"/>
    <mergeCell ref="X4264:Y4264"/>
    <mergeCell ref="X4280:Y4280"/>
    <mergeCell ref="X4281:Y4281"/>
    <mergeCell ref="X4282:Y4282"/>
    <mergeCell ref="X4283:Y4283"/>
    <mergeCell ref="X4284:Y4284"/>
    <mergeCell ref="X4285:Y4285"/>
    <mergeCell ref="X4286:Y4286"/>
    <mergeCell ref="X4287:Y4287"/>
    <mergeCell ref="X4288:Y4288"/>
    <mergeCell ref="X4289:Y4289"/>
    <mergeCell ref="X4290:Y4290"/>
    <mergeCell ref="X4291:Y4291"/>
    <mergeCell ref="X4292:Y4292"/>
    <mergeCell ref="X4293:Y4293"/>
    <mergeCell ref="X4294:Y4294"/>
    <mergeCell ref="X4295:Y4295"/>
    <mergeCell ref="X4296:Y4296"/>
    <mergeCell ref="X4297:Y4297"/>
    <mergeCell ref="X4298:Y4298"/>
    <mergeCell ref="X4299:Y4299"/>
    <mergeCell ref="X4300:Y4300"/>
    <mergeCell ref="X4301:Y4301"/>
    <mergeCell ref="X4302:Y4302"/>
    <mergeCell ref="X4303:Y4303"/>
    <mergeCell ref="X4304:Y4304"/>
    <mergeCell ref="X4305:Y4305"/>
    <mergeCell ref="X4306:Y4306"/>
    <mergeCell ref="X4307:Y4307"/>
    <mergeCell ref="X4308:Y4308"/>
    <mergeCell ref="X4309:Y4309"/>
    <mergeCell ref="X4310:Y4310"/>
    <mergeCell ref="X4311:Y4311"/>
    <mergeCell ref="X4312:Y4312"/>
    <mergeCell ref="X4313:Y4313"/>
    <mergeCell ref="X4314:Y4314"/>
    <mergeCell ref="X4315:Y4315"/>
    <mergeCell ref="X4316:Y4316"/>
    <mergeCell ref="X4317:Y4317"/>
    <mergeCell ref="X4318:Y4318"/>
    <mergeCell ref="X4319:Y4319"/>
    <mergeCell ref="X4320:Y4320"/>
    <mergeCell ref="X4321:Y4321"/>
    <mergeCell ref="X4322:Y4322"/>
    <mergeCell ref="X4323:Y4323"/>
    <mergeCell ref="X4324:Y4324"/>
    <mergeCell ref="X4325:Y4325"/>
    <mergeCell ref="X4326:Y4326"/>
    <mergeCell ref="X4327:Y4327"/>
    <mergeCell ref="X4328:Y4328"/>
    <mergeCell ref="X4329:Y4329"/>
    <mergeCell ref="X4330:Y4330"/>
    <mergeCell ref="X4331:Y4331"/>
    <mergeCell ref="X4332:Y4332"/>
    <mergeCell ref="X4333:Y4333"/>
    <mergeCell ref="X4334:Y4334"/>
    <mergeCell ref="X4335:Y4335"/>
    <mergeCell ref="X4336:Y4336"/>
    <mergeCell ref="X4337:Y4337"/>
    <mergeCell ref="X4338:Y4338"/>
    <mergeCell ref="X4339:Y4339"/>
    <mergeCell ref="X4340:Y4340"/>
    <mergeCell ref="X4341:Y4341"/>
    <mergeCell ref="X4342:Y4342"/>
    <mergeCell ref="X4343:Y4343"/>
    <mergeCell ref="X4344:Y4344"/>
    <mergeCell ref="X4345:Y4345"/>
    <mergeCell ref="X4346:Y4346"/>
    <mergeCell ref="X4347:Y4347"/>
    <mergeCell ref="X4348:Y4348"/>
    <mergeCell ref="X4349:Y4349"/>
    <mergeCell ref="X4350:Y4350"/>
    <mergeCell ref="X4351:Y4351"/>
    <mergeCell ref="X4352:Y4352"/>
    <mergeCell ref="X4353:Y4353"/>
    <mergeCell ref="X4354:Y4354"/>
    <mergeCell ref="X4355:Y4355"/>
    <mergeCell ref="X4356:Y4356"/>
    <mergeCell ref="X4357:Y4357"/>
    <mergeCell ref="X4358:Y4358"/>
    <mergeCell ref="X4359:Y4359"/>
    <mergeCell ref="X4360:Y4360"/>
    <mergeCell ref="X4361:Y4361"/>
    <mergeCell ref="X4362:Y4362"/>
    <mergeCell ref="X4363:Y4363"/>
    <mergeCell ref="X4364:Y4364"/>
    <mergeCell ref="X4365:Y4365"/>
    <mergeCell ref="X4366:Y4366"/>
    <mergeCell ref="X4367:Y4367"/>
    <mergeCell ref="X4368:Y4368"/>
    <mergeCell ref="X4369:Y4369"/>
    <mergeCell ref="X4370:Y4370"/>
    <mergeCell ref="X4371:Y4371"/>
    <mergeCell ref="X4372:Y4372"/>
    <mergeCell ref="X4373:Y4373"/>
    <mergeCell ref="X4374:Y4374"/>
    <mergeCell ref="X4375:Y4375"/>
    <mergeCell ref="X4376:Y4376"/>
    <mergeCell ref="X4377:Y4377"/>
    <mergeCell ref="X4378:Y4378"/>
    <mergeCell ref="X4379:Y4379"/>
    <mergeCell ref="X4380:Y4380"/>
    <mergeCell ref="X4381:Y4381"/>
    <mergeCell ref="X4382:Y4382"/>
    <mergeCell ref="X4383:Y4383"/>
    <mergeCell ref="X4384:Y4384"/>
    <mergeCell ref="X4385:Y4385"/>
    <mergeCell ref="X4386:Y4386"/>
    <mergeCell ref="X4387:Y4387"/>
    <mergeCell ref="X4388:Y4388"/>
    <mergeCell ref="X4389:Y4389"/>
    <mergeCell ref="X4390:Y4390"/>
    <mergeCell ref="X4391:Y4391"/>
    <mergeCell ref="X4392:Y4392"/>
    <mergeCell ref="X4393:Y4393"/>
    <mergeCell ref="X4394:Y4394"/>
    <mergeCell ref="X4395:Y4395"/>
    <mergeCell ref="X4396:Y4396"/>
    <mergeCell ref="X4397:Y4397"/>
    <mergeCell ref="X4398:Y4398"/>
    <mergeCell ref="X4399:Y4399"/>
    <mergeCell ref="X4400:Y4400"/>
    <mergeCell ref="X4401:Y4401"/>
    <mergeCell ref="X4402:Y4402"/>
    <mergeCell ref="X4403:Y4403"/>
    <mergeCell ref="X4404:Y4404"/>
    <mergeCell ref="X4405:Y4405"/>
    <mergeCell ref="X4406:Y4406"/>
    <mergeCell ref="X4407:Y4407"/>
    <mergeCell ref="X4408:Y4408"/>
    <mergeCell ref="X4409:Y4409"/>
    <mergeCell ref="X4410:Y4410"/>
    <mergeCell ref="X4411:Y4411"/>
    <mergeCell ref="X4412:Y4412"/>
    <mergeCell ref="X4413:Y4413"/>
    <mergeCell ref="X4414:Y4414"/>
    <mergeCell ref="X4415:Y4415"/>
    <mergeCell ref="X4416:Y4416"/>
    <mergeCell ref="X4417:Y4417"/>
    <mergeCell ref="X4418:Y4418"/>
    <mergeCell ref="X4419:Y4419"/>
    <mergeCell ref="X4420:Y4420"/>
    <mergeCell ref="X4421:Y4421"/>
    <mergeCell ref="X4422:Y4422"/>
    <mergeCell ref="X4423:Y4423"/>
    <mergeCell ref="X4424:Y4424"/>
    <mergeCell ref="X4425:Y4425"/>
    <mergeCell ref="X4426:Y4426"/>
    <mergeCell ref="X4427:Y4427"/>
    <mergeCell ref="X4428:Y4428"/>
    <mergeCell ref="X4429:Y4429"/>
    <mergeCell ref="X4430:Y4430"/>
    <mergeCell ref="X4431:Y4431"/>
    <mergeCell ref="X4432:Y4432"/>
    <mergeCell ref="X4433:Y4433"/>
    <mergeCell ref="X4434:Y4434"/>
    <mergeCell ref="X4435:Y4435"/>
    <mergeCell ref="X4436:Y4436"/>
    <mergeCell ref="X4437:Y4437"/>
    <mergeCell ref="X4438:Y4438"/>
    <mergeCell ref="X4439:Y4439"/>
    <mergeCell ref="X4440:Y4440"/>
    <mergeCell ref="X4441:Y4441"/>
    <mergeCell ref="X4442:Y4442"/>
    <mergeCell ref="X4443:Y4443"/>
    <mergeCell ref="X4444:Y4444"/>
    <mergeCell ref="X4445:Y4445"/>
    <mergeCell ref="X4446:Y4446"/>
    <mergeCell ref="X4447:Y4447"/>
    <mergeCell ref="X4448:Y4448"/>
    <mergeCell ref="X4449:Y4449"/>
    <mergeCell ref="X4450:Y4450"/>
    <mergeCell ref="X4451:Y4451"/>
    <mergeCell ref="X4452:Y4452"/>
    <mergeCell ref="X4453:Y4453"/>
    <mergeCell ref="X4454:Y4454"/>
    <mergeCell ref="X4455:Y4455"/>
    <mergeCell ref="X4456:Y4456"/>
    <mergeCell ref="X4457:Y4457"/>
    <mergeCell ref="X4458:Y4458"/>
    <mergeCell ref="X4459:Y4459"/>
    <mergeCell ref="X4460:Y4460"/>
    <mergeCell ref="X4461:Y4461"/>
    <mergeCell ref="X4462:Y4462"/>
    <mergeCell ref="X4463:Y4463"/>
    <mergeCell ref="X4464:Y4464"/>
    <mergeCell ref="X4465:Y4465"/>
    <mergeCell ref="X4466:Y4466"/>
    <mergeCell ref="X4467:Y4467"/>
    <mergeCell ref="X4468:Y4468"/>
    <mergeCell ref="X4469:Y4469"/>
    <mergeCell ref="X4470:Y4470"/>
    <mergeCell ref="X4471:Y4471"/>
    <mergeCell ref="X4472:Y4472"/>
    <mergeCell ref="X4473:Y4473"/>
    <mergeCell ref="X4474:Y4474"/>
    <mergeCell ref="X4475:Y4475"/>
    <mergeCell ref="X4476:Y4476"/>
    <mergeCell ref="X4477:Y4477"/>
    <mergeCell ref="X4478:Y4478"/>
    <mergeCell ref="X4479:Y4479"/>
    <mergeCell ref="X4480:Y4480"/>
    <mergeCell ref="X4481:Y4481"/>
    <mergeCell ref="X4482:Y4482"/>
    <mergeCell ref="X4483:Y4483"/>
    <mergeCell ref="X4484:Y4484"/>
    <mergeCell ref="X4485:Y4485"/>
    <mergeCell ref="X4486:Y4486"/>
    <mergeCell ref="X4487:Y4487"/>
    <mergeCell ref="X4488:Y4488"/>
    <mergeCell ref="X4489:Y4489"/>
    <mergeCell ref="X4490:Y4490"/>
    <mergeCell ref="X4491:Y4491"/>
    <mergeCell ref="X4492:Y4492"/>
    <mergeCell ref="X4493:Y4493"/>
    <mergeCell ref="X4494:Y4494"/>
    <mergeCell ref="X4495:Y4495"/>
    <mergeCell ref="X4496:Y4496"/>
    <mergeCell ref="X4497:Y4497"/>
    <mergeCell ref="X4498:Y4498"/>
    <mergeCell ref="X4499:Y4499"/>
    <mergeCell ref="X4500:Y4500"/>
    <mergeCell ref="X4501:Y4501"/>
    <mergeCell ref="X4502:Y4502"/>
    <mergeCell ref="X4503:Y4503"/>
    <mergeCell ref="X4504:Y4504"/>
    <mergeCell ref="X4505:Y4505"/>
    <mergeCell ref="X4506:Y4506"/>
    <mergeCell ref="X4507:Y4507"/>
    <mergeCell ref="X4508:Y4508"/>
    <mergeCell ref="X4509:Y4509"/>
    <mergeCell ref="X4510:Y4510"/>
    <mergeCell ref="X4511:Y4511"/>
    <mergeCell ref="X4512:Y4512"/>
    <mergeCell ref="X4513:Y4513"/>
    <mergeCell ref="X4514:Y4514"/>
    <mergeCell ref="X4515:Y4515"/>
    <mergeCell ref="X4516:Y4516"/>
    <mergeCell ref="X4517:Y4517"/>
    <mergeCell ref="X4518:Y4518"/>
    <mergeCell ref="X4519:Y4519"/>
    <mergeCell ref="X4520:Y4520"/>
    <mergeCell ref="X4521:Y4521"/>
    <mergeCell ref="X4522:Y4522"/>
    <mergeCell ref="X4523:Y4523"/>
    <mergeCell ref="X4524:Y4524"/>
    <mergeCell ref="X4525:Y4525"/>
    <mergeCell ref="X4526:Y4526"/>
    <mergeCell ref="X4527:Y4527"/>
    <mergeCell ref="X4528:Y4528"/>
    <mergeCell ref="X4529:Y4529"/>
    <mergeCell ref="X4530:Y4530"/>
    <mergeCell ref="X4531:Y4531"/>
    <mergeCell ref="X4532:Y4532"/>
    <mergeCell ref="X4533:Y4533"/>
    <mergeCell ref="X4534:Y4534"/>
    <mergeCell ref="X4535:Y4535"/>
    <mergeCell ref="X4536:Y4536"/>
    <mergeCell ref="X4537:Y4537"/>
    <mergeCell ref="X4538:Y4538"/>
    <mergeCell ref="X4539:Y4539"/>
    <mergeCell ref="X4540:Y4540"/>
    <mergeCell ref="X4541:Y4541"/>
    <mergeCell ref="X4542:Y4542"/>
    <mergeCell ref="X4543:Y4543"/>
    <mergeCell ref="X4544:Y4544"/>
    <mergeCell ref="X4545:Y4545"/>
    <mergeCell ref="X4547:Y4547"/>
    <mergeCell ref="X4548:Y4548"/>
    <mergeCell ref="X4549:Y4549"/>
    <mergeCell ref="X4550:Y4550"/>
    <mergeCell ref="X4551:Y4551"/>
    <mergeCell ref="X4552:Y4552"/>
    <mergeCell ref="X4553:Y4553"/>
    <mergeCell ref="X4554:Y4554"/>
    <mergeCell ref="X4555:Y4555"/>
    <mergeCell ref="X4556:Y4556"/>
    <mergeCell ref="X4557:Y4557"/>
    <mergeCell ref="X4558:Y4558"/>
    <mergeCell ref="X4559:Y4559"/>
    <mergeCell ref="X4560:Y4560"/>
    <mergeCell ref="X4561:Y4561"/>
    <mergeCell ref="X4562:Y4562"/>
    <mergeCell ref="X4563:Y4563"/>
    <mergeCell ref="X4564:Y4564"/>
    <mergeCell ref="X4565:Y4565"/>
    <mergeCell ref="X4566:Y4566"/>
    <mergeCell ref="X4567:Y4567"/>
    <mergeCell ref="X4568:Y4568"/>
    <mergeCell ref="X4569:Y4569"/>
    <mergeCell ref="X4570:Y4570"/>
    <mergeCell ref="X4571:Y4571"/>
    <mergeCell ref="X4572:Y4572"/>
    <mergeCell ref="X4573:Y4573"/>
    <mergeCell ref="X4574:Y4574"/>
    <mergeCell ref="X4575:Y4575"/>
    <mergeCell ref="X4576:Y4576"/>
    <mergeCell ref="X4577:Y4577"/>
    <mergeCell ref="X4578:Y4578"/>
    <mergeCell ref="X4579:Y4579"/>
    <mergeCell ref="X4580:Y4580"/>
    <mergeCell ref="X4581:Y4581"/>
    <mergeCell ref="X4582:Y4582"/>
    <mergeCell ref="X4583:Y4583"/>
    <mergeCell ref="X4584:Y4584"/>
    <mergeCell ref="X4585:Y4585"/>
    <mergeCell ref="X4586:Y4586"/>
    <mergeCell ref="X4587:Y4587"/>
    <mergeCell ref="X4588:Y4588"/>
    <mergeCell ref="X4589:Y4589"/>
    <mergeCell ref="X4590:Y4590"/>
    <mergeCell ref="X4591:Y4591"/>
    <mergeCell ref="X4592:Y4592"/>
    <mergeCell ref="X4593:Y4593"/>
    <mergeCell ref="X4594:Y4594"/>
    <mergeCell ref="X4595:Y4595"/>
    <mergeCell ref="X4596:Y4596"/>
    <mergeCell ref="X4597:Y4597"/>
    <mergeCell ref="X4598:Y4598"/>
    <mergeCell ref="X4599:Y4599"/>
    <mergeCell ref="X4600:Y4600"/>
    <mergeCell ref="X4601:Y4601"/>
    <mergeCell ref="X4602:Y4602"/>
    <mergeCell ref="X4603:Y4603"/>
    <mergeCell ref="X4604:Y4604"/>
    <mergeCell ref="X4605:Y4605"/>
    <mergeCell ref="X4606:Y4606"/>
    <mergeCell ref="X4607:Y4607"/>
    <mergeCell ref="X4608:Y4608"/>
    <mergeCell ref="X4609:Y4609"/>
    <mergeCell ref="X4610:Y4610"/>
    <mergeCell ref="X4611:Y4611"/>
    <mergeCell ref="X4612:Y4612"/>
    <mergeCell ref="X4613:Y4613"/>
    <mergeCell ref="X4614:Y4614"/>
    <mergeCell ref="X4615:Y4615"/>
    <mergeCell ref="X4616:Y4616"/>
    <mergeCell ref="X4617:Y4617"/>
    <mergeCell ref="X4618:Y4618"/>
    <mergeCell ref="X4619:Y4619"/>
    <mergeCell ref="X4620:Y4620"/>
    <mergeCell ref="X4621:Y4621"/>
    <mergeCell ref="X4622:Y4622"/>
    <mergeCell ref="X4623:Y4623"/>
    <mergeCell ref="X4624:Y4624"/>
    <mergeCell ref="X4625:Y4625"/>
    <mergeCell ref="X4626:Y4626"/>
    <mergeCell ref="X4627:Y4627"/>
    <mergeCell ref="X4628:Y4628"/>
    <mergeCell ref="X4629:Y4629"/>
    <mergeCell ref="X4630:Y4630"/>
    <mergeCell ref="X4631:Y4631"/>
    <mergeCell ref="X4632:Y4632"/>
    <mergeCell ref="X4633:Y4633"/>
    <mergeCell ref="X4634:Y4634"/>
    <mergeCell ref="X4635:Y4635"/>
    <mergeCell ref="X4636:Y4636"/>
    <mergeCell ref="X4637:Y4637"/>
    <mergeCell ref="X4638:Y4638"/>
    <mergeCell ref="X4639:Y4639"/>
    <mergeCell ref="X4640:Y4640"/>
    <mergeCell ref="X4641:Y4641"/>
    <mergeCell ref="X4642:Y4642"/>
    <mergeCell ref="X4643:Y4643"/>
    <mergeCell ref="X4644:Y4644"/>
    <mergeCell ref="X4645:Y4645"/>
    <mergeCell ref="X4646:Y4646"/>
    <mergeCell ref="X4647:Y4647"/>
    <mergeCell ref="X4648:Y4648"/>
    <mergeCell ref="X4649:Y4649"/>
    <mergeCell ref="X4650:Y4650"/>
    <mergeCell ref="X4651:Y4651"/>
    <mergeCell ref="X4652:Y4652"/>
    <mergeCell ref="X4653:Y4653"/>
    <mergeCell ref="X4654:Y4654"/>
    <mergeCell ref="X4655:Y4655"/>
    <mergeCell ref="X4656:Y4656"/>
    <mergeCell ref="X4657:Y4657"/>
    <mergeCell ref="X4658:Y4658"/>
    <mergeCell ref="X4659:Y4659"/>
    <mergeCell ref="X4660:Y4660"/>
    <mergeCell ref="X4661:Y4661"/>
    <mergeCell ref="X4662:Y4662"/>
    <mergeCell ref="X4663:Y4663"/>
    <mergeCell ref="X4664:Y4664"/>
    <mergeCell ref="X4665:Y4665"/>
    <mergeCell ref="X4666:Y4666"/>
    <mergeCell ref="X4667:Y4667"/>
    <mergeCell ref="X4668:Y4668"/>
    <mergeCell ref="X4669:Y4669"/>
    <mergeCell ref="X4670:Y4670"/>
    <mergeCell ref="X4671:Y4671"/>
    <mergeCell ref="X4672:Y4672"/>
    <mergeCell ref="X4673:Y4673"/>
    <mergeCell ref="X4674:Y4674"/>
    <mergeCell ref="X4675:Y4675"/>
    <mergeCell ref="X4676:Y4676"/>
    <mergeCell ref="X4677:Y4677"/>
    <mergeCell ref="X4678:Y4678"/>
    <mergeCell ref="X4679:Y4679"/>
    <mergeCell ref="X4680:Y4680"/>
    <mergeCell ref="X4681:Y4681"/>
    <mergeCell ref="X4682:Y4682"/>
    <mergeCell ref="X4683:Y4683"/>
    <mergeCell ref="X4684:Y4684"/>
    <mergeCell ref="X4685:Y4685"/>
    <mergeCell ref="X4686:Y4686"/>
    <mergeCell ref="X4687:Y4687"/>
    <mergeCell ref="X4688:Y4688"/>
    <mergeCell ref="X4689:Y4689"/>
    <mergeCell ref="X4690:Y4690"/>
    <mergeCell ref="X4691:Y4691"/>
    <mergeCell ref="X4692:Y4692"/>
    <mergeCell ref="X4693:Y4693"/>
    <mergeCell ref="X4694:Y4694"/>
    <mergeCell ref="X4695:Y4695"/>
    <mergeCell ref="X4696:Y4696"/>
    <mergeCell ref="X4697:Y4697"/>
    <mergeCell ref="X4698:Y4698"/>
    <mergeCell ref="X4699:Y4699"/>
    <mergeCell ref="X4700:Y4700"/>
    <mergeCell ref="X4701:Y4701"/>
    <mergeCell ref="X4702:Y4702"/>
    <mergeCell ref="X4703:Y4703"/>
    <mergeCell ref="X4704:Y4704"/>
    <mergeCell ref="X4705:Y4705"/>
    <mergeCell ref="X4706:Y4706"/>
    <mergeCell ref="X4707:Y4707"/>
    <mergeCell ref="X4708:Y4708"/>
    <mergeCell ref="X4709:Y4709"/>
    <mergeCell ref="X4710:Y4710"/>
    <mergeCell ref="X4711:Y4711"/>
    <mergeCell ref="X4712:Y4712"/>
    <mergeCell ref="X4713:Y4713"/>
    <mergeCell ref="X4714:Y4714"/>
    <mergeCell ref="X4715:Y4715"/>
    <mergeCell ref="X4716:Y4716"/>
    <mergeCell ref="X4717:Y4717"/>
    <mergeCell ref="X4718:Y4718"/>
    <mergeCell ref="X4719:Y4719"/>
    <mergeCell ref="X4720:Y4720"/>
    <mergeCell ref="X4721:Y4721"/>
    <mergeCell ref="X4722:Y4722"/>
    <mergeCell ref="X4723:Y4723"/>
    <mergeCell ref="X4724:Y4724"/>
    <mergeCell ref="X4725:Y4725"/>
    <mergeCell ref="X4726:Y4726"/>
    <mergeCell ref="X4727:Y4727"/>
    <mergeCell ref="X4728:Y4728"/>
    <mergeCell ref="X4729:Y4729"/>
    <mergeCell ref="X4730:Y4730"/>
    <mergeCell ref="X4731:Y4731"/>
    <mergeCell ref="X4732:Y4732"/>
    <mergeCell ref="X4733:Y4733"/>
    <mergeCell ref="X4734:Y4734"/>
    <mergeCell ref="X4735:Y4735"/>
    <mergeCell ref="X4736:Y4736"/>
    <mergeCell ref="X4737:Y4737"/>
    <mergeCell ref="X4738:Y4738"/>
    <mergeCell ref="X4739:Y4739"/>
    <mergeCell ref="X4740:Y4740"/>
    <mergeCell ref="X4741:Y4741"/>
    <mergeCell ref="X4742:Y4742"/>
    <mergeCell ref="X4743:Y4743"/>
    <mergeCell ref="X4744:Y4744"/>
    <mergeCell ref="X4745:Y4745"/>
    <mergeCell ref="X4746:Y4746"/>
    <mergeCell ref="X4747:Y4747"/>
    <mergeCell ref="X4748:Y4748"/>
    <mergeCell ref="X4749:Y4749"/>
    <mergeCell ref="X4750:Y4750"/>
    <mergeCell ref="X4751:Y4751"/>
    <mergeCell ref="X4752:Y4752"/>
    <mergeCell ref="X4753:Y4753"/>
    <mergeCell ref="X4754:Y4754"/>
    <mergeCell ref="X4755:Y4755"/>
    <mergeCell ref="X4756:Y4756"/>
    <mergeCell ref="X4757:Y4757"/>
    <mergeCell ref="X4758:Y4758"/>
    <mergeCell ref="X4759:Y4759"/>
    <mergeCell ref="X4760:Y4760"/>
    <mergeCell ref="X4761:Y4761"/>
    <mergeCell ref="X4762:Y4762"/>
    <mergeCell ref="X4763:Y4763"/>
    <mergeCell ref="X4764:Y4764"/>
    <mergeCell ref="X4765:Y4765"/>
    <mergeCell ref="X4766:Y4766"/>
    <mergeCell ref="X4767:Y4767"/>
    <mergeCell ref="X4768:Y4768"/>
    <mergeCell ref="X4769:Y4769"/>
    <mergeCell ref="X4770:Y4770"/>
    <mergeCell ref="X4771:Y4771"/>
    <mergeCell ref="X4772:Y4772"/>
    <mergeCell ref="X4773:Y4773"/>
    <mergeCell ref="X4774:Y4774"/>
    <mergeCell ref="X4775:Y4775"/>
    <mergeCell ref="X4776:Y4776"/>
    <mergeCell ref="X4777:Y4777"/>
    <mergeCell ref="X4778:Y4778"/>
    <mergeCell ref="X4779:Y4779"/>
    <mergeCell ref="X4780:Y4780"/>
    <mergeCell ref="X4781:Y4781"/>
    <mergeCell ref="X4782:Y4782"/>
    <mergeCell ref="X4783:Y4783"/>
    <mergeCell ref="X4784:Y4784"/>
    <mergeCell ref="X4785:Y4785"/>
    <mergeCell ref="X4786:Y4786"/>
    <mergeCell ref="X4787:Y4787"/>
    <mergeCell ref="X4788:Y4788"/>
    <mergeCell ref="X4789:Y4789"/>
    <mergeCell ref="X4790:Y4790"/>
    <mergeCell ref="X4791:Y4791"/>
    <mergeCell ref="X4792:Y4792"/>
    <mergeCell ref="X4793:Y4793"/>
    <mergeCell ref="X4794:Y4794"/>
    <mergeCell ref="X4795:Y4795"/>
    <mergeCell ref="X4796:Y4796"/>
    <mergeCell ref="X4797:Y4797"/>
    <mergeCell ref="X4798:Y4798"/>
    <mergeCell ref="X4799:Y4799"/>
    <mergeCell ref="X4800:Y4800"/>
    <mergeCell ref="X4801:Y4801"/>
    <mergeCell ref="X4802:Y4802"/>
    <mergeCell ref="X4803:Y4803"/>
    <mergeCell ref="X4804:Y4804"/>
    <mergeCell ref="X4805:Y4805"/>
    <mergeCell ref="X4806:Y4806"/>
    <mergeCell ref="X4807:Y4807"/>
    <mergeCell ref="X4808:Y4808"/>
    <mergeCell ref="X4809:Y4809"/>
    <mergeCell ref="X4810:Y4810"/>
    <mergeCell ref="X4811:Y4811"/>
    <mergeCell ref="X4812:Y4812"/>
    <mergeCell ref="X4813:Y4813"/>
    <mergeCell ref="X4814:Y4814"/>
    <mergeCell ref="X4815:Y4815"/>
    <mergeCell ref="X4816:Y4816"/>
    <mergeCell ref="X4817:Y4817"/>
    <mergeCell ref="X4818:Y4818"/>
    <mergeCell ref="X4819:Y4819"/>
    <mergeCell ref="X4820:Y4820"/>
    <mergeCell ref="X4821:Y4821"/>
    <mergeCell ref="X4822:Y4822"/>
    <mergeCell ref="X4823:Y4823"/>
    <mergeCell ref="X4824:Y4824"/>
    <mergeCell ref="X4825:Y4825"/>
    <mergeCell ref="X4826:Y4826"/>
    <mergeCell ref="X4827:Y4827"/>
    <mergeCell ref="X4828:Y4828"/>
    <mergeCell ref="X4829:Y4829"/>
    <mergeCell ref="X4830:Y4830"/>
    <mergeCell ref="X4831:Y4831"/>
    <mergeCell ref="X4832:Y4832"/>
    <mergeCell ref="X4833:Y4833"/>
    <mergeCell ref="X4834:Y4834"/>
    <mergeCell ref="X4835:Y4835"/>
    <mergeCell ref="X4836:Y4836"/>
    <mergeCell ref="X4837:Y4837"/>
    <mergeCell ref="X4838:Y4838"/>
    <mergeCell ref="X4839:Y4839"/>
    <mergeCell ref="X4840:Y4840"/>
    <mergeCell ref="X4841:Y4841"/>
    <mergeCell ref="X4842:Y4842"/>
    <mergeCell ref="X4843:Y4843"/>
    <mergeCell ref="X4844:Y4844"/>
    <mergeCell ref="X4845:Y4845"/>
    <mergeCell ref="X4846:Y4846"/>
    <mergeCell ref="X4847:Y4847"/>
    <mergeCell ref="X4848:Y4848"/>
    <mergeCell ref="X4849:Y4849"/>
    <mergeCell ref="X4850:Y4850"/>
    <mergeCell ref="X4851:Y4851"/>
    <mergeCell ref="X4852:Y4852"/>
    <mergeCell ref="X4853:Y4853"/>
    <mergeCell ref="X4854:Y4854"/>
    <mergeCell ref="X4855:Y4855"/>
    <mergeCell ref="X4856:Y4856"/>
    <mergeCell ref="X4857:Y4857"/>
    <mergeCell ref="X4858:Y4858"/>
    <mergeCell ref="X4859:Y4859"/>
    <mergeCell ref="X4860:Y4860"/>
    <mergeCell ref="X4861:Y4861"/>
    <mergeCell ref="X4862:Y4862"/>
    <mergeCell ref="X4863:Y4863"/>
    <mergeCell ref="X4864:Y4864"/>
    <mergeCell ref="X4865:Y4865"/>
    <mergeCell ref="X4866:Y4866"/>
    <mergeCell ref="X4867:Y4867"/>
    <mergeCell ref="X4868:Y4868"/>
    <mergeCell ref="X4869:Y4869"/>
    <mergeCell ref="X4870:Y4870"/>
    <mergeCell ref="X4871:Y4871"/>
    <mergeCell ref="X4872:Y4872"/>
    <mergeCell ref="X4873:Y4873"/>
    <mergeCell ref="X4874:Y4874"/>
    <mergeCell ref="X4875:Y4875"/>
    <mergeCell ref="X4876:Y4876"/>
    <mergeCell ref="X4877:Y4877"/>
    <mergeCell ref="X4878:Y4878"/>
    <mergeCell ref="X4879:Y4879"/>
    <mergeCell ref="X4880:Y4880"/>
    <mergeCell ref="X4881:Y4881"/>
    <mergeCell ref="X4882:Y4882"/>
    <mergeCell ref="X4883:Y4883"/>
    <mergeCell ref="X4884:Y4884"/>
    <mergeCell ref="X4885:Y4885"/>
    <mergeCell ref="X4886:Y4886"/>
    <mergeCell ref="X4887:Y4887"/>
    <mergeCell ref="X4888:Y4888"/>
    <mergeCell ref="X4889:Y4889"/>
    <mergeCell ref="X4890:Y4890"/>
    <mergeCell ref="X4891:Y4891"/>
    <mergeCell ref="X4892:Y4892"/>
    <mergeCell ref="X4893:Y4893"/>
    <mergeCell ref="X4894:Y4894"/>
    <mergeCell ref="X4895:Y4895"/>
    <mergeCell ref="X4896:Y4896"/>
    <mergeCell ref="X4897:Y4897"/>
    <mergeCell ref="X4898:Y4898"/>
    <mergeCell ref="X4899:Y4899"/>
    <mergeCell ref="X4900:Y4900"/>
    <mergeCell ref="X4901:Y4901"/>
    <mergeCell ref="X4902:Y4902"/>
    <mergeCell ref="X4903:Y4903"/>
    <mergeCell ref="X4904:Y4904"/>
    <mergeCell ref="X4905:Y4905"/>
    <mergeCell ref="X4906:Y4906"/>
    <mergeCell ref="X4907:Y4907"/>
    <mergeCell ref="X4908:Y4908"/>
    <mergeCell ref="X4909:Y4909"/>
    <mergeCell ref="X4910:Y4910"/>
    <mergeCell ref="X4911:Y4911"/>
    <mergeCell ref="X4913:Y4913"/>
    <mergeCell ref="X4914:Y4914"/>
    <mergeCell ref="X4915:Y4915"/>
    <mergeCell ref="X4916:Y4916"/>
    <mergeCell ref="X4917:Y4917"/>
    <mergeCell ref="X4918:Y4918"/>
    <mergeCell ref="X4919:Y4919"/>
    <mergeCell ref="X4920:Y4920"/>
    <mergeCell ref="X4921:Y4921"/>
    <mergeCell ref="X4922:Y4922"/>
    <mergeCell ref="X4923:Y4923"/>
    <mergeCell ref="X4924:Y4924"/>
    <mergeCell ref="X4925:Y4925"/>
    <mergeCell ref="X4926:Y4926"/>
    <mergeCell ref="X4927:Y4927"/>
    <mergeCell ref="X4928:Y4928"/>
    <mergeCell ref="X4929:Y4929"/>
    <mergeCell ref="X4930:Y4930"/>
    <mergeCell ref="X4931:Y4931"/>
    <mergeCell ref="X4932:Y4932"/>
    <mergeCell ref="X4933:Y4933"/>
    <mergeCell ref="X4934:Y4934"/>
    <mergeCell ref="X4935:Y4935"/>
    <mergeCell ref="X4936:Y4936"/>
    <mergeCell ref="X4937:Y4937"/>
    <mergeCell ref="X4938:Y4938"/>
    <mergeCell ref="X4939:Y4939"/>
    <mergeCell ref="X4940:Y4940"/>
    <mergeCell ref="X4941:Y4941"/>
    <mergeCell ref="X4942:Y4942"/>
    <mergeCell ref="X4943:Y4943"/>
    <mergeCell ref="X4944:Y4944"/>
    <mergeCell ref="X4945:Y4945"/>
    <mergeCell ref="X4946:Y4946"/>
    <mergeCell ref="X4947:Y4947"/>
    <mergeCell ref="X4948:Y4948"/>
    <mergeCell ref="X4949:Y4949"/>
    <mergeCell ref="X4950:Y4950"/>
    <mergeCell ref="X4951:Y4951"/>
    <mergeCell ref="X4952:Y4952"/>
    <mergeCell ref="X4953:Y4953"/>
    <mergeCell ref="X4954:Y4954"/>
    <mergeCell ref="X4955:Y4955"/>
    <mergeCell ref="X4956:Y4956"/>
    <mergeCell ref="X4957:Y4957"/>
    <mergeCell ref="X4958:Y4958"/>
    <mergeCell ref="X4959:Y4959"/>
    <mergeCell ref="X4960:Y4960"/>
    <mergeCell ref="X4961:Y4961"/>
    <mergeCell ref="X4962:Y4962"/>
    <mergeCell ref="X4963:Y4963"/>
    <mergeCell ref="X4964:Y4964"/>
    <mergeCell ref="X4965:Y4965"/>
    <mergeCell ref="X4966:Y4966"/>
    <mergeCell ref="X4967:Y4967"/>
    <mergeCell ref="X4968:Y4968"/>
    <mergeCell ref="X4969:Y4969"/>
    <mergeCell ref="X4970:Y4970"/>
    <mergeCell ref="X4971:Y4971"/>
    <mergeCell ref="X4972:Y4972"/>
    <mergeCell ref="X4973:Y4973"/>
    <mergeCell ref="X4974:Y4974"/>
    <mergeCell ref="X5367:Y5367"/>
    <mergeCell ref="X5368:Y5368"/>
    <mergeCell ref="X5369:Y5369"/>
    <mergeCell ref="X5370:Y5370"/>
    <mergeCell ref="X5371:Y5371"/>
    <mergeCell ref="X5372:Y5372"/>
    <mergeCell ref="X5373:Y5373"/>
    <mergeCell ref="X5381:Y5381"/>
    <mergeCell ref="X5382:Y5382"/>
    <mergeCell ref="X5383:Y5383"/>
    <mergeCell ref="X5384:Y5384"/>
    <mergeCell ref="X5385:Y5385"/>
    <mergeCell ref="X5386:Y5386"/>
    <mergeCell ref="X5374:Y5374"/>
    <mergeCell ref="X5375:Y5375"/>
    <mergeCell ref="X5376:Y5376"/>
    <mergeCell ref="X5377:Y5377"/>
    <mergeCell ref="X5378:Y5378"/>
    <mergeCell ref="X5379:Y5379"/>
    <mergeCell ref="X5380:Y5380"/>
    <mergeCell ref="X5318:Y5318"/>
    <mergeCell ref="X5319:Y5319"/>
    <mergeCell ref="X5320:Y5320"/>
    <mergeCell ref="X5321:Y5321"/>
    <mergeCell ref="X5322:Y5322"/>
    <mergeCell ref="X5323:Y5323"/>
    <mergeCell ref="X5324:Y5324"/>
    <mergeCell ref="X5325:Y5325"/>
    <mergeCell ref="X5326:Y5326"/>
    <mergeCell ref="X5327:Y5327"/>
    <mergeCell ref="X5328:Y5328"/>
    <mergeCell ref="X5329:Y5329"/>
    <mergeCell ref="X5330:Y5330"/>
    <mergeCell ref="X5331:Y5331"/>
    <mergeCell ref="X5332:Y5332"/>
    <mergeCell ref="X5333:Y5333"/>
    <mergeCell ref="X5334:Y5334"/>
    <mergeCell ref="X5335:Y5335"/>
    <mergeCell ref="X5336:Y5336"/>
    <mergeCell ref="X5337:Y5337"/>
    <mergeCell ref="X5338:Y5338"/>
    <mergeCell ref="X5339:Y5339"/>
    <mergeCell ref="X5340:Y5340"/>
    <mergeCell ref="X5341:Y5341"/>
    <mergeCell ref="X5342:Y5342"/>
    <mergeCell ref="X5343:Y5343"/>
    <mergeCell ref="X5344:Y5344"/>
    <mergeCell ref="X5345:Y5345"/>
    <mergeCell ref="X5346:Y5346"/>
    <mergeCell ref="X5347:Y5347"/>
    <mergeCell ref="X5348:Y5348"/>
    <mergeCell ref="X5349:Y5349"/>
    <mergeCell ref="X5350:Y5350"/>
    <mergeCell ref="X5351:Y5351"/>
    <mergeCell ref="X5352:Y5352"/>
    <mergeCell ref="X5353:Y5353"/>
    <mergeCell ref="X5354:Y5354"/>
    <mergeCell ref="X5355:Y5355"/>
    <mergeCell ref="X5356:Y5356"/>
    <mergeCell ref="X5357:Y5357"/>
    <mergeCell ref="X5358:Y5358"/>
    <mergeCell ref="X5359:Y5359"/>
    <mergeCell ref="X5360:Y5360"/>
    <mergeCell ref="X5361:Y5361"/>
    <mergeCell ref="X5362:Y5362"/>
    <mergeCell ref="X5363:Y5363"/>
    <mergeCell ref="X5364:Y5364"/>
    <mergeCell ref="X5365:Y5365"/>
    <mergeCell ref="X5366:Y5366"/>
    <mergeCell ref="X4975:Y4975"/>
    <mergeCell ref="X4976:Y4976"/>
    <mergeCell ref="X4977:Y4977"/>
    <mergeCell ref="X4978:Y4978"/>
    <mergeCell ref="X4979:Y4979"/>
    <mergeCell ref="X4980:Y4980"/>
    <mergeCell ref="X4981:Y4981"/>
    <mergeCell ref="X4982:Y4982"/>
    <mergeCell ref="X4983:Y4983"/>
    <mergeCell ref="X4984:Y4984"/>
    <mergeCell ref="X4985:Y4985"/>
    <mergeCell ref="X4986:Y4986"/>
    <mergeCell ref="X4987:Y4987"/>
    <mergeCell ref="X4988:Y4988"/>
    <mergeCell ref="X4989:Y4989"/>
    <mergeCell ref="X4990:Y4990"/>
    <mergeCell ref="X4991:Y4991"/>
    <mergeCell ref="X4992:Y4992"/>
    <mergeCell ref="X4993:Y4993"/>
    <mergeCell ref="X4994:Y4994"/>
    <mergeCell ref="X4995:Y4995"/>
    <mergeCell ref="X4996:Y4996"/>
    <mergeCell ref="X4997:Y4997"/>
    <mergeCell ref="X4998:Y4998"/>
    <mergeCell ref="X4999:Y4999"/>
    <mergeCell ref="X5000:Y5000"/>
    <mergeCell ref="X5001:Y5001"/>
    <mergeCell ref="X5002:Y5002"/>
    <mergeCell ref="X5003:Y5003"/>
    <mergeCell ref="X5004:Y5004"/>
    <mergeCell ref="X5005:Y5005"/>
    <mergeCell ref="X5006:Y5006"/>
    <mergeCell ref="X5007:Y5007"/>
    <mergeCell ref="X5008:Y5008"/>
    <mergeCell ref="X5009:Y5009"/>
    <mergeCell ref="X5010:Y5010"/>
    <mergeCell ref="X5011:Y5011"/>
    <mergeCell ref="X5012:Y5012"/>
    <mergeCell ref="X5013:Y5013"/>
    <mergeCell ref="X5014:Y5014"/>
    <mergeCell ref="X5015:Y5015"/>
    <mergeCell ref="X5016:Y5016"/>
    <mergeCell ref="X5017:Y5017"/>
    <mergeCell ref="X5018:Y5018"/>
    <mergeCell ref="X5019:Y5019"/>
    <mergeCell ref="X5020:Y5020"/>
    <mergeCell ref="X5021:Y5021"/>
    <mergeCell ref="X5022:Y5022"/>
    <mergeCell ref="X5023:Y5023"/>
    <mergeCell ref="X5024:Y5024"/>
    <mergeCell ref="X5025:Y5025"/>
    <mergeCell ref="X5026:Y5026"/>
    <mergeCell ref="X5027:Y5027"/>
    <mergeCell ref="X5028:Y5028"/>
    <mergeCell ref="X5029:Y5029"/>
    <mergeCell ref="X5030:Y5030"/>
    <mergeCell ref="X5031:Y5031"/>
    <mergeCell ref="X5032:Y5032"/>
    <mergeCell ref="X5033:Y5033"/>
    <mergeCell ref="X5034:Y5034"/>
    <mergeCell ref="X5035:Y5035"/>
    <mergeCell ref="X5036:Y5036"/>
    <mergeCell ref="X5037:Y5037"/>
    <mergeCell ref="X5038:Y5038"/>
    <mergeCell ref="X5039:Y5039"/>
    <mergeCell ref="X5040:Y5040"/>
    <mergeCell ref="X5041:Y5041"/>
    <mergeCell ref="X5042:Y5042"/>
    <mergeCell ref="X5043:Y5043"/>
    <mergeCell ref="X5044:Y5044"/>
    <mergeCell ref="X5045:Y5045"/>
    <mergeCell ref="X5046:Y5046"/>
    <mergeCell ref="X5047:Y5047"/>
    <mergeCell ref="X5048:Y5048"/>
    <mergeCell ref="X5049:Y5049"/>
    <mergeCell ref="X5050:Y5050"/>
    <mergeCell ref="X5051:Y5051"/>
    <mergeCell ref="X5052:Y5052"/>
    <mergeCell ref="X5053:Y5053"/>
    <mergeCell ref="X5054:Y5054"/>
    <mergeCell ref="X5055:Y5055"/>
    <mergeCell ref="X5056:Y5056"/>
    <mergeCell ref="X5057:Y5057"/>
    <mergeCell ref="X5058:Y5058"/>
    <mergeCell ref="X5059:Y5059"/>
    <mergeCell ref="X5060:Y5060"/>
    <mergeCell ref="X5061:Y5061"/>
    <mergeCell ref="X5062:Y5062"/>
    <mergeCell ref="X5063:Y5063"/>
    <mergeCell ref="X5064:Y5064"/>
    <mergeCell ref="X5065:Y5065"/>
    <mergeCell ref="X5066:Y5066"/>
    <mergeCell ref="X5067:Y5067"/>
    <mergeCell ref="X5068:Y5068"/>
    <mergeCell ref="X5069:Y5069"/>
    <mergeCell ref="X5070:Y5070"/>
    <mergeCell ref="X5071:Y5071"/>
    <mergeCell ref="X5072:Y5072"/>
    <mergeCell ref="X5073:Y5073"/>
    <mergeCell ref="X5074:Y5074"/>
    <mergeCell ref="X5075:Y5075"/>
    <mergeCell ref="X5076:Y5076"/>
    <mergeCell ref="X5077:Y5077"/>
    <mergeCell ref="X5078:Y5078"/>
    <mergeCell ref="X5079:Y5079"/>
    <mergeCell ref="X5080:Y5080"/>
    <mergeCell ref="X5081:Y5081"/>
    <mergeCell ref="X5082:Y5082"/>
    <mergeCell ref="X5083:Y5083"/>
    <mergeCell ref="X5084:Y5084"/>
    <mergeCell ref="X5085:Y5085"/>
    <mergeCell ref="X5086:Y5086"/>
    <mergeCell ref="X5087:Y5087"/>
    <mergeCell ref="X5088:Y5088"/>
    <mergeCell ref="X5089:Y5089"/>
    <mergeCell ref="X5090:Y5090"/>
    <mergeCell ref="X5091:Y5091"/>
    <mergeCell ref="X5092:Y5092"/>
    <mergeCell ref="X5093:Y5093"/>
    <mergeCell ref="X5094:Y5094"/>
    <mergeCell ref="X5095:Y5095"/>
    <mergeCell ref="X5096:Y5096"/>
    <mergeCell ref="X5097:Y5097"/>
    <mergeCell ref="X5098:Y5098"/>
    <mergeCell ref="X5099:Y5099"/>
    <mergeCell ref="X5100:Y5100"/>
    <mergeCell ref="X5101:Y5101"/>
    <mergeCell ref="X5102:Y5102"/>
    <mergeCell ref="X5103:Y5103"/>
    <mergeCell ref="X5104:Y5104"/>
    <mergeCell ref="X5105:Y5105"/>
    <mergeCell ref="X5106:Y5106"/>
    <mergeCell ref="X5107:Y5107"/>
    <mergeCell ref="X5108:Y5108"/>
    <mergeCell ref="X5109:Y5109"/>
    <mergeCell ref="X5110:Y5110"/>
    <mergeCell ref="X5111:Y5111"/>
    <mergeCell ref="X5112:Y5112"/>
    <mergeCell ref="X5113:Y5113"/>
    <mergeCell ref="X5114:Y5114"/>
    <mergeCell ref="X5115:Y5115"/>
    <mergeCell ref="X5116:Y5116"/>
    <mergeCell ref="X5117:Y5117"/>
    <mergeCell ref="X5118:Y5118"/>
    <mergeCell ref="X5119:Y5119"/>
    <mergeCell ref="X5120:Y5120"/>
    <mergeCell ref="X5121:Y5121"/>
    <mergeCell ref="X5122:Y5122"/>
    <mergeCell ref="X5123:Y5123"/>
    <mergeCell ref="X5124:Y5124"/>
    <mergeCell ref="X5125:Y5125"/>
    <mergeCell ref="X5126:Y5126"/>
    <mergeCell ref="X5127:Y5127"/>
    <mergeCell ref="X5128:Y5128"/>
    <mergeCell ref="X5129:Y5129"/>
    <mergeCell ref="X5130:Y5130"/>
    <mergeCell ref="X5131:Y5131"/>
    <mergeCell ref="X5132:Y5132"/>
    <mergeCell ref="X5133:Y5133"/>
    <mergeCell ref="X5134:Y5134"/>
    <mergeCell ref="X5135:Y5135"/>
    <mergeCell ref="X5136:Y5136"/>
    <mergeCell ref="X5137:Y5137"/>
    <mergeCell ref="X5138:Y5138"/>
    <mergeCell ref="X5139:Y5139"/>
    <mergeCell ref="X5140:Y5140"/>
    <mergeCell ref="X5141:Y5141"/>
    <mergeCell ref="X5142:Y5142"/>
    <mergeCell ref="X5143:Y5143"/>
    <mergeCell ref="X5144:Y5144"/>
    <mergeCell ref="X5145:Y5145"/>
    <mergeCell ref="X5146:Y5146"/>
    <mergeCell ref="X5147:Y5147"/>
    <mergeCell ref="X5148:Y5148"/>
    <mergeCell ref="X5149:Y5149"/>
    <mergeCell ref="X5150:Y5150"/>
    <mergeCell ref="X5151:Y5151"/>
    <mergeCell ref="X5152:Y5152"/>
    <mergeCell ref="X5153:Y5153"/>
    <mergeCell ref="X5154:Y5154"/>
    <mergeCell ref="X5155:Y5155"/>
    <mergeCell ref="X5156:Y5156"/>
    <mergeCell ref="X5157:Y5157"/>
    <mergeCell ref="X5158:Y5158"/>
    <mergeCell ref="X5159:Y5159"/>
    <mergeCell ref="X5160:Y5160"/>
    <mergeCell ref="X5161:Y5161"/>
    <mergeCell ref="X5162:Y5162"/>
    <mergeCell ref="X5163:Y5163"/>
    <mergeCell ref="X5164:Y5164"/>
    <mergeCell ref="X5165:Y5165"/>
    <mergeCell ref="X5166:Y5166"/>
    <mergeCell ref="X5167:Y5167"/>
    <mergeCell ref="X5168:Y5168"/>
    <mergeCell ref="X5169:Y5169"/>
    <mergeCell ref="X5170:Y5170"/>
    <mergeCell ref="X5171:Y5171"/>
    <mergeCell ref="X5172:Y5172"/>
    <mergeCell ref="X5173:Y5173"/>
    <mergeCell ref="X5174:Y5174"/>
    <mergeCell ref="X5175:Y5175"/>
    <mergeCell ref="X5176:Y5176"/>
    <mergeCell ref="X5177:Y5177"/>
    <mergeCell ref="X5178:Y5178"/>
    <mergeCell ref="X5179:Y5179"/>
    <mergeCell ref="X5180:Y5180"/>
    <mergeCell ref="X5181:Y5181"/>
    <mergeCell ref="X5182:Y5182"/>
    <mergeCell ref="X5183:Y5183"/>
    <mergeCell ref="X5184:Y5184"/>
    <mergeCell ref="X5185:Y5185"/>
    <mergeCell ref="X5186:Y5186"/>
    <mergeCell ref="X5187:Y5187"/>
    <mergeCell ref="X5188:Y5188"/>
    <mergeCell ref="X5189:Y5189"/>
    <mergeCell ref="X5190:Y5190"/>
    <mergeCell ref="X5191:Y5191"/>
    <mergeCell ref="X5192:Y5192"/>
    <mergeCell ref="X5193:Y5193"/>
    <mergeCell ref="X5194:Y5194"/>
    <mergeCell ref="X5195:Y5195"/>
    <mergeCell ref="X5196:Y5196"/>
    <mergeCell ref="X5197:Y5197"/>
    <mergeCell ref="X5198:Y5198"/>
    <mergeCell ref="X5199:Y5199"/>
    <mergeCell ref="X5200:Y5200"/>
    <mergeCell ref="X5201:Y5201"/>
    <mergeCell ref="X5202:Y5202"/>
    <mergeCell ref="X5203:Y5203"/>
    <mergeCell ref="X5204:Y5204"/>
    <mergeCell ref="X5205:Y5205"/>
    <mergeCell ref="X5206:Y5206"/>
    <mergeCell ref="X5207:Y5207"/>
    <mergeCell ref="X5208:Y5208"/>
    <mergeCell ref="X5209:Y5209"/>
    <mergeCell ref="X5210:Y5210"/>
    <mergeCell ref="X5211:Y5211"/>
    <mergeCell ref="X5212:Y5212"/>
    <mergeCell ref="X5213:Y5213"/>
    <mergeCell ref="X5214:Y5214"/>
    <mergeCell ref="X5215:Y5215"/>
    <mergeCell ref="X5216:Y5216"/>
    <mergeCell ref="X5217:Y5217"/>
    <mergeCell ref="X5218:Y5218"/>
    <mergeCell ref="X5219:Y5219"/>
    <mergeCell ref="X5220:Y5220"/>
    <mergeCell ref="X5221:Y5221"/>
    <mergeCell ref="X5222:Y5222"/>
    <mergeCell ref="X5223:Y5223"/>
    <mergeCell ref="X5224:Y5224"/>
    <mergeCell ref="X5225:Y5225"/>
    <mergeCell ref="X5226:Y5226"/>
    <mergeCell ref="X5227:Y5227"/>
    <mergeCell ref="X5228:Y5228"/>
    <mergeCell ref="X5229:Y5229"/>
    <mergeCell ref="X5230:Y5230"/>
    <mergeCell ref="X5231:Y5231"/>
    <mergeCell ref="X5232:Y5232"/>
    <mergeCell ref="X5233:Y5233"/>
    <mergeCell ref="X5234:Y5234"/>
    <mergeCell ref="X5235:Y5235"/>
    <mergeCell ref="X5236:Y5236"/>
    <mergeCell ref="X5237:Y5237"/>
    <mergeCell ref="X5238:Y5238"/>
    <mergeCell ref="X5239:Y5239"/>
    <mergeCell ref="X5240:Y5240"/>
    <mergeCell ref="X5241:Y5241"/>
    <mergeCell ref="X5242:Y5242"/>
    <mergeCell ref="X5243:Y5243"/>
    <mergeCell ref="X5244:Y5244"/>
    <mergeCell ref="X5245:Y5245"/>
    <mergeCell ref="X5246:Y5246"/>
    <mergeCell ref="X5247:Y5247"/>
    <mergeCell ref="X5248:Y5248"/>
    <mergeCell ref="X5249:Y5249"/>
    <mergeCell ref="X5250:Y5250"/>
    <mergeCell ref="X5251:Y5251"/>
    <mergeCell ref="X5252:Y5252"/>
    <mergeCell ref="X5253:Y5253"/>
    <mergeCell ref="X5254:Y5254"/>
    <mergeCell ref="X5255:Y5255"/>
    <mergeCell ref="X5256:Y5256"/>
    <mergeCell ref="X5257:Y5257"/>
    <mergeCell ref="X5258:Y5258"/>
    <mergeCell ref="X5259:Y5259"/>
    <mergeCell ref="X5260:Y5260"/>
    <mergeCell ref="X5261:Y5261"/>
    <mergeCell ref="X5262:Y5262"/>
    <mergeCell ref="X5263:Y5263"/>
    <mergeCell ref="X5264:Y5264"/>
    <mergeCell ref="X5265:Y5265"/>
    <mergeCell ref="X5266:Y5266"/>
    <mergeCell ref="X5267:Y5267"/>
    <mergeCell ref="X5268:Y5268"/>
    <mergeCell ref="X5269:Y5269"/>
    <mergeCell ref="X5270:Y5270"/>
    <mergeCell ref="X5271:Y5271"/>
    <mergeCell ref="X5272:Y5272"/>
    <mergeCell ref="X5273:Y5273"/>
    <mergeCell ref="X5274:Y5274"/>
    <mergeCell ref="X5275:Y5275"/>
    <mergeCell ref="X5276:Y5276"/>
    <mergeCell ref="X5277:Y5277"/>
    <mergeCell ref="X5278:Y5278"/>
    <mergeCell ref="X5279:Y5279"/>
    <mergeCell ref="X5280:Y5280"/>
    <mergeCell ref="X5281:Y5281"/>
    <mergeCell ref="X5282:Y5282"/>
    <mergeCell ref="X5283:Y5283"/>
    <mergeCell ref="X5284:Y5284"/>
    <mergeCell ref="X5285:Y5285"/>
    <mergeCell ref="X5286:Y5286"/>
    <mergeCell ref="X5287:Y5287"/>
    <mergeCell ref="X5288:Y5288"/>
    <mergeCell ref="X5289:Y5289"/>
    <mergeCell ref="X5290:Y5290"/>
    <mergeCell ref="X5291:Y5291"/>
    <mergeCell ref="X5292:Y5292"/>
    <mergeCell ref="X5293:Y5293"/>
    <mergeCell ref="X5294:Y5294"/>
    <mergeCell ref="X5295:Y5295"/>
    <mergeCell ref="X5296:Y5296"/>
    <mergeCell ref="X5297:Y5297"/>
    <mergeCell ref="X5298:Y5298"/>
    <mergeCell ref="X5299:Y5299"/>
    <mergeCell ref="X5300:Y5300"/>
    <mergeCell ref="X5301:Y5301"/>
    <mergeCell ref="X5302:Y5302"/>
    <mergeCell ref="X5303:Y5303"/>
    <mergeCell ref="X5304:Y5304"/>
    <mergeCell ref="X5305:Y5305"/>
    <mergeCell ref="X5306:Y5306"/>
    <mergeCell ref="X5307:Y5307"/>
    <mergeCell ref="X5308:Y5308"/>
    <mergeCell ref="X5309:Y5309"/>
    <mergeCell ref="X5310:Y5310"/>
    <mergeCell ref="X5311:Y5311"/>
    <mergeCell ref="X5312:Y5312"/>
    <mergeCell ref="X5313:Y5313"/>
    <mergeCell ref="X5314:Y5314"/>
    <mergeCell ref="X5315:Y5315"/>
    <mergeCell ref="X5316:Y5316"/>
    <mergeCell ref="X5317:Y5317"/>
    <mergeCell ref="X1230:Y1230"/>
    <mergeCell ref="X1231:Y1231"/>
    <mergeCell ref="X1232:Y1232"/>
    <mergeCell ref="X1233:Y1233"/>
    <mergeCell ref="X1234:Y1234"/>
    <mergeCell ref="X1235:Y1235"/>
    <mergeCell ref="X1236:Y1236"/>
    <mergeCell ref="X1237:Y1237"/>
    <mergeCell ref="X1238:Y1238"/>
    <mergeCell ref="X1239:Y123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9:Y1249"/>
    <mergeCell ref="X1250:Y1250"/>
    <mergeCell ref="X1251:Y1251"/>
    <mergeCell ref="X1252:Y1252"/>
    <mergeCell ref="X1253:Y1253"/>
    <mergeCell ref="X1254:Y1254"/>
    <mergeCell ref="X1255:Y1255"/>
    <mergeCell ref="X1256:Y1256"/>
    <mergeCell ref="X1257:Y1257"/>
    <mergeCell ref="X1258:Y1258"/>
    <mergeCell ref="X1259:Y1259"/>
    <mergeCell ref="X1260:Y1260"/>
    <mergeCell ref="X1261:Y1261"/>
    <mergeCell ref="X1262:Y1262"/>
    <mergeCell ref="X1263:Y1263"/>
    <mergeCell ref="X1264:Y1264"/>
    <mergeCell ref="X1265:Y1265"/>
    <mergeCell ref="X1266:Y1266"/>
    <mergeCell ref="X1267:Y1267"/>
    <mergeCell ref="X1268:Y1268"/>
    <mergeCell ref="X1269:Y1269"/>
    <mergeCell ref="X1270:Y1270"/>
    <mergeCell ref="X1271:Y1271"/>
    <mergeCell ref="X1272:Y1272"/>
    <mergeCell ref="X1273:Y1273"/>
    <mergeCell ref="X1274:Y1274"/>
    <mergeCell ref="X1275:Y1275"/>
    <mergeCell ref="X1276:Y1276"/>
    <mergeCell ref="X1277:Y1277"/>
    <mergeCell ref="X1278:Y1278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1287:Y1287"/>
    <mergeCell ref="X1288:Y1288"/>
    <mergeCell ref="X1289:Y1289"/>
    <mergeCell ref="X1290:Y1290"/>
    <mergeCell ref="X1291:Y1291"/>
    <mergeCell ref="X1292:Y1292"/>
    <mergeCell ref="X1293:Y1293"/>
    <mergeCell ref="X1294:Y1294"/>
    <mergeCell ref="X1295:Y1295"/>
    <mergeCell ref="X1296:Y1296"/>
    <mergeCell ref="X1297:Y1297"/>
    <mergeCell ref="X1298:Y1298"/>
    <mergeCell ref="X1299:Y1299"/>
    <mergeCell ref="X1300:Y1300"/>
    <mergeCell ref="X1301:Y1301"/>
    <mergeCell ref="X1302:Y1302"/>
    <mergeCell ref="X1303:Y1303"/>
    <mergeCell ref="X1304:Y1304"/>
    <mergeCell ref="X1305:Y1305"/>
    <mergeCell ref="X1307:Y1307"/>
    <mergeCell ref="X1308:Y1308"/>
    <mergeCell ref="X1309:Y1309"/>
    <mergeCell ref="X1310:Y1310"/>
    <mergeCell ref="X1311:Y1311"/>
    <mergeCell ref="X1312:Y1312"/>
    <mergeCell ref="X1313:Y1313"/>
    <mergeCell ref="X1314:Y1314"/>
    <mergeCell ref="X1315:Y1315"/>
    <mergeCell ref="X1316:Y1316"/>
    <mergeCell ref="X1317:Y1317"/>
    <mergeCell ref="X1318:Y1318"/>
    <mergeCell ref="X1319:Y1319"/>
    <mergeCell ref="X1320:Y1320"/>
    <mergeCell ref="X1321:Y1321"/>
    <mergeCell ref="X1322:Y1322"/>
    <mergeCell ref="X1323:Y1323"/>
    <mergeCell ref="X1324:Y1324"/>
    <mergeCell ref="X1325:Y1325"/>
    <mergeCell ref="X1326:Y1326"/>
    <mergeCell ref="X1327:Y1327"/>
    <mergeCell ref="X1328:Y1328"/>
    <mergeCell ref="X1329:Y1329"/>
    <mergeCell ref="X1330:Y1330"/>
    <mergeCell ref="X1331:Y1331"/>
    <mergeCell ref="X1332:Y1332"/>
    <mergeCell ref="X1333:Y1333"/>
    <mergeCell ref="X1334:Y1334"/>
    <mergeCell ref="X1335:Y1335"/>
    <mergeCell ref="X1336:Y1336"/>
    <mergeCell ref="X1337:Y1337"/>
    <mergeCell ref="X1338:Y1338"/>
    <mergeCell ref="X1339:Y1339"/>
    <mergeCell ref="X1340:Y1340"/>
    <mergeCell ref="X1341:Y1341"/>
    <mergeCell ref="X1342:Y1342"/>
    <mergeCell ref="X1343:Y1343"/>
    <mergeCell ref="X1344:Y1344"/>
    <mergeCell ref="X1345:Y1345"/>
    <mergeCell ref="X1346:Y1346"/>
    <mergeCell ref="X1347:Y1347"/>
    <mergeCell ref="X1348:Y1348"/>
    <mergeCell ref="X1349:Y1349"/>
    <mergeCell ref="X1350:Y1350"/>
    <mergeCell ref="X1351:Y1351"/>
    <mergeCell ref="X1352:Y1352"/>
    <mergeCell ref="X1353:Y1353"/>
    <mergeCell ref="X1354:Y1354"/>
    <mergeCell ref="X1355:Y1355"/>
    <mergeCell ref="X1356:Y1356"/>
    <mergeCell ref="X1357:Y1357"/>
    <mergeCell ref="X1358:Y1358"/>
    <mergeCell ref="X1359:Y1359"/>
    <mergeCell ref="X1360:Y1360"/>
    <mergeCell ref="X1361:Y1361"/>
    <mergeCell ref="X1362:Y1362"/>
    <mergeCell ref="X1363:Y1363"/>
    <mergeCell ref="X1364:Y1364"/>
    <mergeCell ref="X1365:Y1365"/>
    <mergeCell ref="X1366:Y1366"/>
    <mergeCell ref="X1367:Y1367"/>
    <mergeCell ref="X1368:Y1368"/>
    <mergeCell ref="X1369:Y1369"/>
    <mergeCell ref="X1370:Y1370"/>
    <mergeCell ref="X1371:Y1371"/>
    <mergeCell ref="X1372:Y1372"/>
    <mergeCell ref="X1373:Y1373"/>
    <mergeCell ref="X1374:Y1374"/>
    <mergeCell ref="X1375:Y1375"/>
    <mergeCell ref="X1376:Y1376"/>
    <mergeCell ref="X1377:Y1377"/>
    <mergeCell ref="X1378:Y1378"/>
    <mergeCell ref="X1379:Y1379"/>
    <mergeCell ref="X1380:Y1380"/>
    <mergeCell ref="X1381:Y1381"/>
    <mergeCell ref="X1382:Y1382"/>
    <mergeCell ref="X1383:Y1383"/>
    <mergeCell ref="X1384:Y1384"/>
    <mergeCell ref="X1385:Y1385"/>
    <mergeCell ref="X1386:Y1386"/>
    <mergeCell ref="X1387:Y1387"/>
    <mergeCell ref="X1388:Y1388"/>
    <mergeCell ref="X1389:Y1389"/>
    <mergeCell ref="X1390:Y1390"/>
    <mergeCell ref="X1391:Y1391"/>
    <mergeCell ref="X1392:Y1392"/>
    <mergeCell ref="X1393:Y1393"/>
    <mergeCell ref="X1394:Y1394"/>
    <mergeCell ref="X1395:Y1395"/>
    <mergeCell ref="X1396:Y1396"/>
    <mergeCell ref="X1397:Y1397"/>
    <mergeCell ref="X1398:Y1398"/>
    <mergeCell ref="X1399:Y1399"/>
    <mergeCell ref="X1400:Y1400"/>
    <mergeCell ref="X1401:Y1401"/>
    <mergeCell ref="X1402:Y1402"/>
    <mergeCell ref="X1403:Y1403"/>
    <mergeCell ref="X1404:Y1404"/>
    <mergeCell ref="X1405:Y1405"/>
    <mergeCell ref="X1406:Y1406"/>
    <mergeCell ref="X1407:Y1407"/>
    <mergeCell ref="X1408:Y1408"/>
    <mergeCell ref="X1409:Y1409"/>
    <mergeCell ref="X1410:Y1410"/>
    <mergeCell ref="X1411:Y1411"/>
    <mergeCell ref="X1412:Y1412"/>
    <mergeCell ref="X1413:Y1413"/>
    <mergeCell ref="X1414:Y1414"/>
    <mergeCell ref="X1415:Y1415"/>
    <mergeCell ref="X1416:Y1416"/>
    <mergeCell ref="X1417:Y1417"/>
    <mergeCell ref="X1418:Y1418"/>
    <mergeCell ref="X1419:Y1419"/>
    <mergeCell ref="X1420:Y1420"/>
    <mergeCell ref="X1421:Y1421"/>
    <mergeCell ref="X1422:Y1422"/>
    <mergeCell ref="X1423:Y1423"/>
    <mergeCell ref="X1424:Y1424"/>
    <mergeCell ref="X1425:Y1425"/>
    <mergeCell ref="X1426:Y1426"/>
    <mergeCell ref="X1427:Y1427"/>
    <mergeCell ref="X1428:Y1428"/>
    <mergeCell ref="X1429:Y1429"/>
    <mergeCell ref="X1430:Y1430"/>
    <mergeCell ref="X1431:Y1431"/>
    <mergeCell ref="X1432:Y1432"/>
    <mergeCell ref="X1433:Y1433"/>
    <mergeCell ref="X1434:Y1434"/>
    <mergeCell ref="X1435:Y1435"/>
    <mergeCell ref="X1436:Y1436"/>
    <mergeCell ref="X1437:Y1437"/>
    <mergeCell ref="X1438:Y1438"/>
    <mergeCell ref="X1439:Y1439"/>
    <mergeCell ref="X1440:Y1440"/>
    <mergeCell ref="X1441:Y1441"/>
    <mergeCell ref="X1442:Y1442"/>
    <mergeCell ref="X1443:Y1443"/>
    <mergeCell ref="X1444:Y1444"/>
    <mergeCell ref="X1445:Y1445"/>
    <mergeCell ref="X1446:Y1446"/>
    <mergeCell ref="X1447:Y1447"/>
    <mergeCell ref="X1448:Y1448"/>
    <mergeCell ref="X1449:Y1449"/>
    <mergeCell ref="X1450:Y1450"/>
    <mergeCell ref="X1451:Y1451"/>
    <mergeCell ref="X1452:Y1452"/>
    <mergeCell ref="X1453:Y1453"/>
    <mergeCell ref="X1454:Y1454"/>
    <mergeCell ref="X1455:Y1455"/>
    <mergeCell ref="X1456:Y1456"/>
    <mergeCell ref="X1457:Y1457"/>
    <mergeCell ref="X1458:Y1458"/>
    <mergeCell ref="X1459:Y1459"/>
    <mergeCell ref="X1460:Y1460"/>
    <mergeCell ref="X1461:Y1461"/>
    <mergeCell ref="X1462:Y1462"/>
    <mergeCell ref="X1463:Y1463"/>
    <mergeCell ref="X1464:Y1464"/>
    <mergeCell ref="X1465:Y1465"/>
    <mergeCell ref="X1466:Y1466"/>
    <mergeCell ref="X1467:Y1467"/>
    <mergeCell ref="X1468:Y1468"/>
    <mergeCell ref="X1469:Y1469"/>
    <mergeCell ref="X1470:Y1470"/>
    <mergeCell ref="X1471:Y1471"/>
    <mergeCell ref="X1472:Y1472"/>
    <mergeCell ref="X1473:Y1473"/>
    <mergeCell ref="X1474:Y1474"/>
    <mergeCell ref="X1475:Y1475"/>
    <mergeCell ref="X1476:Y1476"/>
    <mergeCell ref="X1477:Y1477"/>
    <mergeCell ref="X1478:Y1478"/>
    <mergeCell ref="X1479:Y1479"/>
    <mergeCell ref="X1480:Y1480"/>
    <mergeCell ref="X1481:Y1481"/>
    <mergeCell ref="X1482:Y1482"/>
    <mergeCell ref="X1483:Y1483"/>
    <mergeCell ref="X1484:Y1484"/>
    <mergeCell ref="X1485:Y1485"/>
    <mergeCell ref="X1486:Y1486"/>
    <mergeCell ref="X1487:Y1487"/>
    <mergeCell ref="X1488:Y1488"/>
    <mergeCell ref="X1489:Y1489"/>
    <mergeCell ref="X1490:Y1490"/>
    <mergeCell ref="X1491:Y1491"/>
    <mergeCell ref="X1492:Y1492"/>
    <mergeCell ref="X1493:Y1493"/>
    <mergeCell ref="X1494:Y1494"/>
    <mergeCell ref="X1495:Y1495"/>
    <mergeCell ref="X1496:Y1496"/>
    <mergeCell ref="X1497:Y1497"/>
    <mergeCell ref="X1498:Y1498"/>
    <mergeCell ref="X1499:Y1499"/>
    <mergeCell ref="X1500:Y1500"/>
    <mergeCell ref="X1501:Y1501"/>
    <mergeCell ref="X1502:Y1502"/>
    <mergeCell ref="X1503:Y1503"/>
    <mergeCell ref="X1504:Y1504"/>
    <mergeCell ref="X1505:Y1505"/>
    <mergeCell ref="X1506:Y1506"/>
    <mergeCell ref="X1507:Y1507"/>
    <mergeCell ref="X1508:Y1508"/>
    <mergeCell ref="X1509:Y1509"/>
    <mergeCell ref="X1510:Y1510"/>
    <mergeCell ref="X1511:Y1511"/>
    <mergeCell ref="X1512:Y1512"/>
    <mergeCell ref="X1513:Y1513"/>
    <mergeCell ref="X1514:Y1514"/>
    <mergeCell ref="X1515:Y1515"/>
    <mergeCell ref="X1516:Y1516"/>
    <mergeCell ref="X1517:Y1517"/>
    <mergeCell ref="X1518:Y1518"/>
    <mergeCell ref="X1519:Y1519"/>
    <mergeCell ref="X1520:Y1520"/>
    <mergeCell ref="X1521:Y1521"/>
    <mergeCell ref="X1522:Y1522"/>
    <mergeCell ref="X1523:Y1523"/>
    <mergeCell ref="X1524:Y1524"/>
    <mergeCell ref="X1525:Y1525"/>
    <mergeCell ref="X1526:Y1526"/>
    <mergeCell ref="X1527:Y1527"/>
    <mergeCell ref="X1528:Y1528"/>
    <mergeCell ref="X1529:Y1529"/>
    <mergeCell ref="X1530:Y1530"/>
    <mergeCell ref="X1531:Y1531"/>
    <mergeCell ref="X1532:Y1532"/>
    <mergeCell ref="X1533:Y1533"/>
    <mergeCell ref="X1534:Y1534"/>
    <mergeCell ref="X1535:Y1535"/>
    <mergeCell ref="X1536:Y1536"/>
    <mergeCell ref="X1537:Y1537"/>
    <mergeCell ref="X1538:Y1538"/>
    <mergeCell ref="X1539:Y1539"/>
    <mergeCell ref="X1540:Y1540"/>
    <mergeCell ref="X1541:Y1541"/>
    <mergeCell ref="X1542:Y1542"/>
    <mergeCell ref="X1543:Y1543"/>
    <mergeCell ref="X1544:Y1544"/>
    <mergeCell ref="X1545:Y1545"/>
    <mergeCell ref="X1546:Y1546"/>
    <mergeCell ref="X1547:Y1547"/>
    <mergeCell ref="X1548:Y1548"/>
    <mergeCell ref="X1549:Y1549"/>
    <mergeCell ref="X1550:Y1550"/>
    <mergeCell ref="X1551:Y1551"/>
    <mergeCell ref="X1552:Y1552"/>
    <mergeCell ref="X1553:Y1553"/>
    <mergeCell ref="X1554:Y1554"/>
    <mergeCell ref="X1555:Y1555"/>
    <mergeCell ref="X1556:Y1556"/>
    <mergeCell ref="X1557:Y1557"/>
    <mergeCell ref="X1558:Y1558"/>
    <mergeCell ref="X1559:Y1559"/>
    <mergeCell ref="X1560:Y1560"/>
    <mergeCell ref="X1561:Y1561"/>
    <mergeCell ref="X1562:Y1562"/>
    <mergeCell ref="X1563:Y1563"/>
    <mergeCell ref="X1564:Y1564"/>
    <mergeCell ref="X1565:Y1565"/>
    <mergeCell ref="X1566:Y1566"/>
    <mergeCell ref="X1567:Y1567"/>
    <mergeCell ref="X1568:Y1568"/>
    <mergeCell ref="X1569:Y1569"/>
    <mergeCell ref="X1570:Y1570"/>
    <mergeCell ref="X1571:Y1571"/>
    <mergeCell ref="X1572:Y1572"/>
    <mergeCell ref="X1573:Y1573"/>
    <mergeCell ref="X1574:Y1574"/>
    <mergeCell ref="X1575:Y1575"/>
    <mergeCell ref="X1576:Y1576"/>
    <mergeCell ref="X1577:Y1577"/>
    <mergeCell ref="X1578:Y1578"/>
    <mergeCell ref="X1579:Y1579"/>
    <mergeCell ref="X1580:Y1580"/>
    <mergeCell ref="X1581:Y1581"/>
    <mergeCell ref="X1582:Y1582"/>
    <mergeCell ref="X1583:Y1583"/>
    <mergeCell ref="X1584:Y1584"/>
    <mergeCell ref="X1585:Y1585"/>
    <mergeCell ref="X1586:Y1586"/>
    <mergeCell ref="X1587:Y1587"/>
    <mergeCell ref="X1588:Y1588"/>
    <mergeCell ref="X1589:Y1589"/>
    <mergeCell ref="X1590:Y1590"/>
    <mergeCell ref="X1591:Y1591"/>
    <mergeCell ref="X1592:Y1592"/>
    <mergeCell ref="X1593:Y1593"/>
    <mergeCell ref="X1594:Y1594"/>
    <mergeCell ref="X1595:Y1595"/>
    <mergeCell ref="X1596:Y1596"/>
    <mergeCell ref="X1597:Y1597"/>
    <mergeCell ref="X1598:Y1598"/>
    <mergeCell ref="X1599:Y1599"/>
    <mergeCell ref="X1600:Y1600"/>
    <mergeCell ref="X1601:Y1601"/>
    <mergeCell ref="X1602:Y1602"/>
    <mergeCell ref="X1603:Y1603"/>
    <mergeCell ref="X1604:Y1604"/>
    <mergeCell ref="X1605:Y1605"/>
    <mergeCell ref="X1606:Y1606"/>
    <mergeCell ref="X1607:Y1607"/>
    <mergeCell ref="X1608:Y1608"/>
    <mergeCell ref="X1609:Y1609"/>
    <mergeCell ref="X1610:Y1610"/>
    <mergeCell ref="X1611:Y1611"/>
    <mergeCell ref="X1612:Y1612"/>
    <mergeCell ref="X1613:Y1613"/>
    <mergeCell ref="X1614:Y1614"/>
    <mergeCell ref="X1615:Y1615"/>
    <mergeCell ref="X1616:Y1616"/>
    <mergeCell ref="X1617:Y1617"/>
    <mergeCell ref="X1618:Y1618"/>
    <mergeCell ref="X1619:Y1619"/>
    <mergeCell ref="X1620:Y1620"/>
    <mergeCell ref="X1621:Y1621"/>
    <mergeCell ref="X1622:Y1622"/>
    <mergeCell ref="X1623:Y1623"/>
    <mergeCell ref="X1624:Y1624"/>
    <mergeCell ref="X1625:Y1625"/>
    <mergeCell ref="X1626:Y1626"/>
    <mergeCell ref="X1627:Y1627"/>
    <mergeCell ref="X1628:Y1628"/>
    <mergeCell ref="X1629:Y1629"/>
    <mergeCell ref="X1630:Y1630"/>
    <mergeCell ref="X1631:Y1631"/>
    <mergeCell ref="X1632:Y1632"/>
    <mergeCell ref="X1633:Y1633"/>
    <mergeCell ref="X1634:Y1634"/>
    <mergeCell ref="X1635:Y1635"/>
    <mergeCell ref="X1636:Y1636"/>
    <mergeCell ref="X1637:Y1637"/>
    <mergeCell ref="X1638:Y1638"/>
    <mergeCell ref="X1639:Y1639"/>
    <mergeCell ref="X1640:Y1640"/>
    <mergeCell ref="X1641:Y1641"/>
    <mergeCell ref="X1642:Y1642"/>
    <mergeCell ref="X1643:Y1643"/>
    <mergeCell ref="X1644:Y1644"/>
    <mergeCell ref="X1645:Y1645"/>
    <mergeCell ref="X1646:Y1646"/>
    <mergeCell ref="X1647:Y1647"/>
    <mergeCell ref="X1648:Y1648"/>
    <mergeCell ref="X1649:Y1649"/>
    <mergeCell ref="X1650:Y1650"/>
    <mergeCell ref="X1651:Y1651"/>
    <mergeCell ref="X1652:Y1652"/>
    <mergeCell ref="X1653:Y1653"/>
    <mergeCell ref="X1654:Y1654"/>
    <mergeCell ref="X1655:Y1655"/>
    <mergeCell ref="X1656:Y1656"/>
    <mergeCell ref="X1657:Y1657"/>
    <mergeCell ref="X1658:Y1658"/>
    <mergeCell ref="X1659:Y1659"/>
    <mergeCell ref="X1660:Y1660"/>
    <mergeCell ref="X1661:Y1661"/>
    <mergeCell ref="X1662:Y1662"/>
    <mergeCell ref="X1663:Y1663"/>
    <mergeCell ref="X1664:Y1664"/>
    <mergeCell ref="X1665:Y1665"/>
    <mergeCell ref="X1666:Y1666"/>
    <mergeCell ref="X1667:Y1667"/>
    <mergeCell ref="X1668:Y1668"/>
    <mergeCell ref="X1669:Y1669"/>
    <mergeCell ref="X1670:Y1670"/>
    <mergeCell ref="X1671:Y1671"/>
    <mergeCell ref="X1672:Y1672"/>
    <mergeCell ref="X1673:Y1673"/>
    <mergeCell ref="X1674:Y1674"/>
    <mergeCell ref="X1675:Y1675"/>
    <mergeCell ref="X1676:Y1676"/>
    <mergeCell ref="X1677:Y1677"/>
    <mergeCell ref="X1678:Y1678"/>
    <mergeCell ref="X1679:Y1679"/>
    <mergeCell ref="X1680:Y1680"/>
    <mergeCell ref="X1681:Y1681"/>
    <mergeCell ref="X1682:Y1682"/>
    <mergeCell ref="X1683:Y1683"/>
    <mergeCell ref="X1684:Y1684"/>
    <mergeCell ref="X1685:Y1685"/>
    <mergeCell ref="X1686:Y1686"/>
    <mergeCell ref="X1687:Y1687"/>
    <mergeCell ref="X1688:Y1688"/>
    <mergeCell ref="X1689:Y1689"/>
    <mergeCell ref="X1690:Y1690"/>
    <mergeCell ref="X1691:Y1691"/>
    <mergeCell ref="X1692:Y1692"/>
    <mergeCell ref="X1693:Y1693"/>
    <mergeCell ref="X1694:Y1694"/>
    <mergeCell ref="X1695:Y1695"/>
    <mergeCell ref="X1696:Y1696"/>
    <mergeCell ref="X1697:Y1697"/>
    <mergeCell ref="X1698:Y1698"/>
    <mergeCell ref="X1699:Y1699"/>
    <mergeCell ref="X1700:Y1700"/>
    <mergeCell ref="X1701:Y1701"/>
    <mergeCell ref="X1702:Y1702"/>
    <mergeCell ref="X1703:Y1703"/>
    <mergeCell ref="X1704:Y1704"/>
    <mergeCell ref="X1705:Y1705"/>
    <mergeCell ref="X1706:Y1706"/>
    <mergeCell ref="X1707:Y1707"/>
    <mergeCell ref="X1708:Y1708"/>
    <mergeCell ref="X1709:Y1709"/>
    <mergeCell ref="X1710:Y1710"/>
    <mergeCell ref="X1711:Y1711"/>
    <mergeCell ref="X1712:Y1712"/>
    <mergeCell ref="X1713:Y1713"/>
    <mergeCell ref="X1714:Y1714"/>
    <mergeCell ref="X1715:Y1715"/>
    <mergeCell ref="X1716:Y1716"/>
    <mergeCell ref="X1717:Y1717"/>
    <mergeCell ref="X1718:Y1718"/>
    <mergeCell ref="X1719:Y1719"/>
    <mergeCell ref="X1720:Y1720"/>
    <mergeCell ref="X1721:Y1721"/>
    <mergeCell ref="X1722:Y1722"/>
    <mergeCell ref="X1723:Y1723"/>
    <mergeCell ref="X1724:Y1724"/>
    <mergeCell ref="X1725:Y1725"/>
    <mergeCell ref="X1726:Y1726"/>
    <mergeCell ref="X1727:Y1727"/>
    <mergeCell ref="X1728:Y1728"/>
    <mergeCell ref="X1729:Y1729"/>
    <mergeCell ref="X1730:Y1730"/>
    <mergeCell ref="X1731:Y1731"/>
    <mergeCell ref="X1732:Y1732"/>
    <mergeCell ref="X1733:Y1733"/>
    <mergeCell ref="X1734:Y1734"/>
    <mergeCell ref="X1735:Y1735"/>
    <mergeCell ref="X1736:Y1736"/>
    <mergeCell ref="X1737:Y1737"/>
    <mergeCell ref="X1738:Y1738"/>
    <mergeCell ref="X1739:Y1739"/>
    <mergeCell ref="X1740:Y1740"/>
    <mergeCell ref="X1741:Y1741"/>
    <mergeCell ref="X1742:Y1742"/>
    <mergeCell ref="X1743:Y1743"/>
    <mergeCell ref="X1744:Y1744"/>
    <mergeCell ref="X1745:Y1745"/>
    <mergeCell ref="X1746:Y1746"/>
    <mergeCell ref="X1747:Y1747"/>
    <mergeCell ref="X1748:Y1748"/>
    <mergeCell ref="X1749:Y1749"/>
    <mergeCell ref="X1750:Y1750"/>
    <mergeCell ref="X1751:Y1751"/>
    <mergeCell ref="X1752:Y1752"/>
    <mergeCell ref="X1753:Y1753"/>
    <mergeCell ref="X1754:Y1754"/>
    <mergeCell ref="X1755:Y1755"/>
    <mergeCell ref="X1756:Y1756"/>
    <mergeCell ref="X1757:Y1757"/>
    <mergeCell ref="X1758:Y1758"/>
    <mergeCell ref="X1759:Y1759"/>
    <mergeCell ref="X1760:Y1760"/>
    <mergeCell ref="X1761:Y1761"/>
    <mergeCell ref="X1762:Y1762"/>
    <mergeCell ref="X1763:Y1763"/>
    <mergeCell ref="X1764:Y1764"/>
    <mergeCell ref="X1765:Y1765"/>
    <mergeCell ref="X1766:Y1766"/>
    <mergeCell ref="X1767:Y1767"/>
    <mergeCell ref="X1768:Y1768"/>
    <mergeCell ref="X1769:Y1769"/>
    <mergeCell ref="X1770:Y1770"/>
    <mergeCell ref="X1771:Y1771"/>
    <mergeCell ref="X1772:Y1772"/>
    <mergeCell ref="X1773:Y1773"/>
    <mergeCell ref="X1774:Y1774"/>
    <mergeCell ref="X1775:Y1775"/>
    <mergeCell ref="X1776:Y1776"/>
    <mergeCell ref="X1777:Y1777"/>
    <mergeCell ref="X1778:Y1778"/>
    <mergeCell ref="X1779:Y1779"/>
    <mergeCell ref="X1780:Y1780"/>
    <mergeCell ref="X1781:Y1781"/>
    <mergeCell ref="X1782:Y1782"/>
    <mergeCell ref="X1783:Y1783"/>
    <mergeCell ref="X1784:Y1784"/>
    <mergeCell ref="X1785:Y1785"/>
    <mergeCell ref="X1786:Y1786"/>
    <mergeCell ref="X1787:Y1787"/>
    <mergeCell ref="X1788:Y1788"/>
    <mergeCell ref="X1789:Y1789"/>
    <mergeCell ref="X1790:Y1790"/>
    <mergeCell ref="X1791:Y1791"/>
    <mergeCell ref="X1792:Y1792"/>
    <mergeCell ref="X1793:Y1793"/>
    <mergeCell ref="X1794:Y1794"/>
    <mergeCell ref="X1795:Y1795"/>
    <mergeCell ref="X1796:Y1796"/>
    <mergeCell ref="X1797:Y1797"/>
    <mergeCell ref="X1798:Y1798"/>
    <mergeCell ref="X1799:Y1799"/>
    <mergeCell ref="X1800:Y1800"/>
    <mergeCell ref="X1801:Y1801"/>
    <mergeCell ref="X1802:Y1802"/>
    <mergeCell ref="X1803:Y1803"/>
    <mergeCell ref="X1804:Y1804"/>
    <mergeCell ref="X1805:Y1805"/>
    <mergeCell ref="X1806:Y1806"/>
    <mergeCell ref="X1807:Y1807"/>
    <mergeCell ref="X1808:Y1808"/>
    <mergeCell ref="X1809:Y1809"/>
    <mergeCell ref="X1810:Y1810"/>
    <mergeCell ref="X1811:Y1811"/>
    <mergeCell ref="X1812:Y1812"/>
    <mergeCell ref="X1813:Y1813"/>
    <mergeCell ref="X1814:Y1814"/>
    <mergeCell ref="X1815:Y1815"/>
    <mergeCell ref="X1816:Y1816"/>
    <mergeCell ref="X1817:Y1817"/>
    <mergeCell ref="X1818:Y1818"/>
    <mergeCell ref="X1819:Y1819"/>
    <mergeCell ref="X1820:Y1820"/>
    <mergeCell ref="X1821:Y1821"/>
    <mergeCell ref="X1822:Y1822"/>
    <mergeCell ref="X1823:Y1823"/>
    <mergeCell ref="X1824:Y1824"/>
    <mergeCell ref="X1825:Y1825"/>
    <mergeCell ref="X1826:Y1826"/>
    <mergeCell ref="X1827:Y1827"/>
    <mergeCell ref="X1828:Y1828"/>
    <mergeCell ref="X1829:Y1829"/>
    <mergeCell ref="X1830:Y1830"/>
    <mergeCell ref="X1831:Y1831"/>
    <mergeCell ref="X1832:Y1832"/>
    <mergeCell ref="X1833:Y1833"/>
    <mergeCell ref="X1834:Y1834"/>
    <mergeCell ref="X1835:Y1835"/>
    <mergeCell ref="X1836:Y1836"/>
    <mergeCell ref="X1837:Y1837"/>
    <mergeCell ref="X1838:Y1838"/>
    <mergeCell ref="X1839:Y1839"/>
    <mergeCell ref="X1840:Y1840"/>
    <mergeCell ref="X1841:Y1841"/>
    <mergeCell ref="X1842:Y1842"/>
    <mergeCell ref="X1843:Y1843"/>
    <mergeCell ref="X1844:Y1844"/>
    <mergeCell ref="X1845:Y1845"/>
    <mergeCell ref="X1846:Y1846"/>
    <mergeCell ref="X1847:Y1847"/>
    <mergeCell ref="X1848:Y1848"/>
    <mergeCell ref="X1849:Y1849"/>
    <mergeCell ref="X1850:Y1850"/>
    <mergeCell ref="X1851:Y1851"/>
    <mergeCell ref="X1852:Y1852"/>
    <mergeCell ref="X1853:Y1853"/>
    <mergeCell ref="X1854:Y1854"/>
    <mergeCell ref="X1855:Y1855"/>
    <mergeCell ref="X1856:Y1856"/>
    <mergeCell ref="X1857:Y1857"/>
    <mergeCell ref="X1858:Y1858"/>
    <mergeCell ref="X1859:Y1859"/>
    <mergeCell ref="X1860:Y1860"/>
    <mergeCell ref="X1861:Y1861"/>
    <mergeCell ref="X1862:Y1862"/>
    <mergeCell ref="X1863:Y1863"/>
    <mergeCell ref="X1864:Y1864"/>
    <mergeCell ref="X1865:Y1865"/>
    <mergeCell ref="X1866:Y1866"/>
    <mergeCell ref="X1867:Y1867"/>
    <mergeCell ref="X1868:Y1868"/>
    <mergeCell ref="X1869:Y1869"/>
    <mergeCell ref="X1870:Y1870"/>
    <mergeCell ref="X1871:Y1871"/>
    <mergeCell ref="X1872:Y1872"/>
    <mergeCell ref="X1873:Y1873"/>
    <mergeCell ref="X1874:Y1874"/>
    <mergeCell ref="X1875:Y1875"/>
    <mergeCell ref="X1876:Y1876"/>
    <mergeCell ref="X1877:Y1877"/>
    <mergeCell ref="X1878:Y1878"/>
    <mergeCell ref="X1879:Y1879"/>
    <mergeCell ref="X1880:Y1880"/>
    <mergeCell ref="X1881:Y1881"/>
    <mergeCell ref="X1882:Y1882"/>
    <mergeCell ref="X1883:Y1883"/>
    <mergeCell ref="X1884:Y1884"/>
    <mergeCell ref="X1885:Y1885"/>
    <mergeCell ref="X1886:Y1886"/>
    <mergeCell ref="X1887:Y1887"/>
    <mergeCell ref="X1888:Y1888"/>
    <mergeCell ref="X1889:Y1889"/>
    <mergeCell ref="X1890:Y1890"/>
    <mergeCell ref="X1891:Y1891"/>
    <mergeCell ref="X1892:Y1892"/>
    <mergeCell ref="X1893:Y1893"/>
    <mergeCell ref="X1894:Y1894"/>
    <mergeCell ref="X1895:Y1895"/>
    <mergeCell ref="X1896:Y1896"/>
    <mergeCell ref="X1897:Y1897"/>
    <mergeCell ref="X1898:Y1898"/>
    <mergeCell ref="X1899:Y1899"/>
    <mergeCell ref="X1900:Y1900"/>
    <mergeCell ref="X1901:Y1901"/>
    <mergeCell ref="X1902:Y1902"/>
    <mergeCell ref="X1903:Y1903"/>
    <mergeCell ref="X1904:Y1904"/>
    <mergeCell ref="X1905:Y1905"/>
    <mergeCell ref="X1906:Y1906"/>
    <mergeCell ref="X1907:Y1907"/>
    <mergeCell ref="X1908:Y1908"/>
    <mergeCell ref="X1909:Y1909"/>
    <mergeCell ref="X1910:Y1910"/>
    <mergeCell ref="X1911:Y1911"/>
    <mergeCell ref="X1912:Y1912"/>
    <mergeCell ref="X1913:Y1913"/>
    <mergeCell ref="X1914:Y1914"/>
    <mergeCell ref="X1915:Y1915"/>
    <mergeCell ref="X1916:Y1916"/>
    <mergeCell ref="X1917:Y1917"/>
    <mergeCell ref="X1918:Y1918"/>
    <mergeCell ref="X1919:Y1919"/>
    <mergeCell ref="X1920:Y1920"/>
    <mergeCell ref="X1921:Y1921"/>
    <mergeCell ref="X1922:Y1922"/>
    <mergeCell ref="X1923:Y1923"/>
    <mergeCell ref="X1924:Y1924"/>
    <mergeCell ref="X1925:Y1925"/>
    <mergeCell ref="X1926:Y1926"/>
    <mergeCell ref="X1927:Y1927"/>
    <mergeCell ref="X1928:Y1928"/>
    <mergeCell ref="X1929:Y1929"/>
    <mergeCell ref="X1930:Y1930"/>
    <mergeCell ref="X1931:Y1931"/>
    <mergeCell ref="X1932:Y1932"/>
    <mergeCell ref="X1933:Y1933"/>
    <mergeCell ref="X1934:Y1934"/>
    <mergeCell ref="X1935:Y1935"/>
    <mergeCell ref="X1936:Y1936"/>
    <mergeCell ref="X1937:Y1937"/>
    <mergeCell ref="X1938:Y1938"/>
    <mergeCell ref="X1939:Y1939"/>
    <mergeCell ref="X1940:Y1940"/>
    <mergeCell ref="X1941:Y1941"/>
    <mergeCell ref="X1942:Y1942"/>
    <mergeCell ref="X1943:Y1943"/>
    <mergeCell ref="X1944:Y1944"/>
    <mergeCell ref="X1945:Y1945"/>
    <mergeCell ref="X1946:Y1946"/>
    <mergeCell ref="X1947:Y1947"/>
    <mergeCell ref="X1948:Y1948"/>
    <mergeCell ref="X1949:Y1949"/>
    <mergeCell ref="X1950:Y1950"/>
    <mergeCell ref="X1951:Y1951"/>
    <mergeCell ref="X1952:Y1952"/>
    <mergeCell ref="X1953:Y1953"/>
    <mergeCell ref="X1954:Y1954"/>
    <mergeCell ref="X1955:Y1955"/>
    <mergeCell ref="X1956:Y1956"/>
    <mergeCell ref="X1957:Y1957"/>
    <mergeCell ref="X1958:Y1958"/>
    <mergeCell ref="X1959:Y1959"/>
    <mergeCell ref="X1960:Y1960"/>
    <mergeCell ref="X1961:Y1961"/>
    <mergeCell ref="X1962:Y1962"/>
    <mergeCell ref="X1963:Y1963"/>
    <mergeCell ref="X1964:Y1964"/>
    <mergeCell ref="X1965:Y1965"/>
    <mergeCell ref="X1966:Y1966"/>
    <mergeCell ref="X1967:Y1967"/>
    <mergeCell ref="X1968:Y1968"/>
    <mergeCell ref="X1969:Y1969"/>
    <mergeCell ref="X1970:Y1970"/>
    <mergeCell ref="X1971:Y1971"/>
    <mergeCell ref="X1972:Y1972"/>
    <mergeCell ref="X1973:Y1973"/>
    <mergeCell ref="X1974:Y1974"/>
    <mergeCell ref="X1975:Y1975"/>
    <mergeCell ref="X1976:Y1976"/>
    <mergeCell ref="X1977:Y1977"/>
    <mergeCell ref="X1978:Y1978"/>
    <mergeCell ref="X1979:Y1979"/>
    <mergeCell ref="X1980:Y1980"/>
    <mergeCell ref="X1981:Y1981"/>
    <mergeCell ref="X1982:Y1982"/>
    <mergeCell ref="X1983:Y1983"/>
    <mergeCell ref="X1984:Y1984"/>
    <mergeCell ref="X1985:Y1985"/>
    <mergeCell ref="X1986:Y1986"/>
    <mergeCell ref="X1987:Y1987"/>
    <mergeCell ref="X1988:Y1988"/>
    <mergeCell ref="X1989:Y1989"/>
    <mergeCell ref="X1990:Y1990"/>
    <mergeCell ref="X1991:Y1991"/>
    <mergeCell ref="X1992:Y1992"/>
    <mergeCell ref="X1993:Y1993"/>
    <mergeCell ref="X1994:Y1994"/>
    <mergeCell ref="X1995:Y1995"/>
    <mergeCell ref="X1996:Y1996"/>
    <mergeCell ref="X1997:Y1997"/>
    <mergeCell ref="X1998:Y1998"/>
    <mergeCell ref="X1999:Y1999"/>
    <mergeCell ref="X2000:Y2000"/>
    <mergeCell ref="X2001:Y2001"/>
    <mergeCell ref="X2002:Y2002"/>
    <mergeCell ref="X2003:Y2003"/>
    <mergeCell ref="X2004:Y2004"/>
    <mergeCell ref="X2005:Y2005"/>
    <mergeCell ref="X2006:Y2006"/>
    <mergeCell ref="X2007:Y2007"/>
    <mergeCell ref="X2008:Y2008"/>
    <mergeCell ref="X2009:Y2009"/>
    <mergeCell ref="X2010:Y2010"/>
    <mergeCell ref="X2011:Y2011"/>
    <mergeCell ref="X2012:Y2012"/>
    <mergeCell ref="X2013:Y2013"/>
    <mergeCell ref="X2014:Y2014"/>
    <mergeCell ref="X2015:Y2015"/>
    <mergeCell ref="X2016:Y2016"/>
    <mergeCell ref="X2017:Y2017"/>
    <mergeCell ref="X2018:Y2018"/>
    <mergeCell ref="X2019:Y2019"/>
    <mergeCell ref="X2020:Y2020"/>
    <mergeCell ref="X2021:Y2021"/>
    <mergeCell ref="X2022:Y2022"/>
    <mergeCell ref="X2023:Y2023"/>
    <mergeCell ref="X2024:Y2024"/>
    <mergeCell ref="X2025:Y2025"/>
    <mergeCell ref="X2026:Y2026"/>
    <mergeCell ref="X2027:Y2027"/>
    <mergeCell ref="X2028:Y2028"/>
    <mergeCell ref="X2029:Y2029"/>
    <mergeCell ref="X2030:Y2030"/>
    <mergeCell ref="X2031:Y2031"/>
    <mergeCell ref="X2032:Y2032"/>
    <mergeCell ref="X2033:Y2033"/>
    <mergeCell ref="X2034:Y2034"/>
    <mergeCell ref="X2035:Y2035"/>
    <mergeCell ref="X2036:Y2036"/>
    <mergeCell ref="X2037:Y2037"/>
    <mergeCell ref="X2038:Y2038"/>
    <mergeCell ref="X2039:Y2039"/>
    <mergeCell ref="X2040:Y2040"/>
    <mergeCell ref="X2041:Y2041"/>
    <mergeCell ref="X2042:Y2042"/>
    <mergeCell ref="X2043:Y2043"/>
    <mergeCell ref="X2044:Y2044"/>
    <mergeCell ref="X2045:Y2045"/>
    <mergeCell ref="X2046:Y2046"/>
    <mergeCell ref="X2047:Y2047"/>
    <mergeCell ref="X2048:Y2048"/>
    <mergeCell ref="X2049:Y2049"/>
    <mergeCell ref="X2050:Y2050"/>
    <mergeCell ref="X2051:Y2051"/>
    <mergeCell ref="X2052:Y2052"/>
    <mergeCell ref="X2053:Y2053"/>
    <mergeCell ref="X2054:Y2054"/>
    <mergeCell ref="X2055:Y2055"/>
    <mergeCell ref="X2056:Y2056"/>
    <mergeCell ref="X2057:Y2057"/>
    <mergeCell ref="X2058:Y2058"/>
    <mergeCell ref="X2059:Y2059"/>
    <mergeCell ref="X2060:Y2060"/>
    <mergeCell ref="X2061:Y2061"/>
    <mergeCell ref="X2062:Y2062"/>
    <mergeCell ref="X2063:Y2063"/>
    <mergeCell ref="X2064:Y2064"/>
    <mergeCell ref="X2065:Y2065"/>
    <mergeCell ref="X2066:Y2066"/>
    <mergeCell ref="X2067:Y2067"/>
    <mergeCell ref="X2068:Y2068"/>
    <mergeCell ref="X2069:Y2069"/>
    <mergeCell ref="X2070:Y2070"/>
    <mergeCell ref="X2071:Y2071"/>
    <mergeCell ref="X2072:Y2072"/>
    <mergeCell ref="X2073:Y2073"/>
    <mergeCell ref="X2074:Y2074"/>
    <mergeCell ref="X2075:Y2075"/>
    <mergeCell ref="X2076:Y2076"/>
    <mergeCell ref="X2077:Y2077"/>
    <mergeCell ref="X2078:Y2078"/>
    <mergeCell ref="X2079:Y2079"/>
    <mergeCell ref="X2080:Y2080"/>
    <mergeCell ref="X2081:Y2081"/>
    <mergeCell ref="X2082:Y2082"/>
    <mergeCell ref="X2083:Y2083"/>
    <mergeCell ref="X2084:Y2084"/>
    <mergeCell ref="X2085:Y2085"/>
    <mergeCell ref="X2086:Y2086"/>
    <mergeCell ref="X2087:Y2087"/>
    <mergeCell ref="X2088:Y2088"/>
    <mergeCell ref="X2089:Y2089"/>
    <mergeCell ref="X2090:Y2090"/>
    <mergeCell ref="X2091:Y2091"/>
    <mergeCell ref="X2092:Y2092"/>
    <mergeCell ref="X2093:Y2093"/>
    <mergeCell ref="X2094:Y2094"/>
    <mergeCell ref="X2095:Y2095"/>
    <mergeCell ref="X2096:Y2096"/>
    <mergeCell ref="X2097:Y2097"/>
    <mergeCell ref="X2098:Y2098"/>
    <mergeCell ref="X2099:Y2099"/>
    <mergeCell ref="X2100:Y2100"/>
    <mergeCell ref="X2101:Y2101"/>
    <mergeCell ref="X2102:Y2102"/>
    <mergeCell ref="X2103:Y2103"/>
    <mergeCell ref="X2104:Y2104"/>
    <mergeCell ref="X2105:Y2105"/>
    <mergeCell ref="X2106:Y2106"/>
    <mergeCell ref="X2107:Y2107"/>
    <mergeCell ref="X2108:Y2108"/>
    <mergeCell ref="X2109:Y2109"/>
    <mergeCell ref="X2110:Y2110"/>
    <mergeCell ref="X2111:Y2111"/>
    <mergeCell ref="X2112:Y2112"/>
    <mergeCell ref="X2113:Y2113"/>
    <mergeCell ref="X2114:Y2114"/>
    <mergeCell ref="X2115:Y2115"/>
    <mergeCell ref="X2116:Y2116"/>
    <mergeCell ref="X2117:Y2117"/>
    <mergeCell ref="X2118:Y2118"/>
    <mergeCell ref="X2119:Y2119"/>
    <mergeCell ref="X2120:Y2120"/>
    <mergeCell ref="X2121:Y2121"/>
    <mergeCell ref="X2122:Y2122"/>
    <mergeCell ref="X2123:Y2123"/>
    <mergeCell ref="X2124:Y2124"/>
    <mergeCell ref="X2125:Y2125"/>
    <mergeCell ref="X2126:Y2126"/>
    <mergeCell ref="X2127:Y2127"/>
    <mergeCell ref="X2128:Y2128"/>
    <mergeCell ref="X2129:Y2129"/>
    <mergeCell ref="X2130:Y2130"/>
    <mergeCell ref="X2131:Y2131"/>
    <mergeCell ref="X2132:Y2132"/>
    <mergeCell ref="X2133:Y2133"/>
    <mergeCell ref="X2134:Y2134"/>
    <mergeCell ref="X2135:Y2135"/>
    <mergeCell ref="X2136:Y2136"/>
    <mergeCell ref="X2137:Y2137"/>
    <mergeCell ref="X2138:Y2138"/>
    <mergeCell ref="X2139:Y2139"/>
    <mergeCell ref="X2140:Y2140"/>
    <mergeCell ref="X2141:Y2141"/>
    <mergeCell ref="X2142:Y2142"/>
    <mergeCell ref="X2143:Y2143"/>
    <mergeCell ref="X2144:Y2144"/>
    <mergeCell ref="X2145:Y2145"/>
    <mergeCell ref="X2146:Y2146"/>
    <mergeCell ref="X2147:Y2147"/>
    <mergeCell ref="X2148:Y2148"/>
    <mergeCell ref="X2149:Y2149"/>
    <mergeCell ref="X2150:Y2150"/>
    <mergeCell ref="X2151:Y2151"/>
    <mergeCell ref="X2152:Y2152"/>
    <mergeCell ref="X2153:Y2153"/>
    <mergeCell ref="X2154:Y2154"/>
    <mergeCell ref="X2155:Y2155"/>
    <mergeCell ref="X2156:Y2156"/>
    <mergeCell ref="X2157:Y2157"/>
    <mergeCell ref="X2158:Y2158"/>
    <mergeCell ref="X2159:Y2159"/>
    <mergeCell ref="X2160:Y2160"/>
    <mergeCell ref="X2161:Y2161"/>
    <mergeCell ref="X2162:Y2162"/>
    <mergeCell ref="X2163:Y2163"/>
    <mergeCell ref="X2164:Y2164"/>
    <mergeCell ref="X2165:Y2165"/>
    <mergeCell ref="X2166:Y2166"/>
    <mergeCell ref="X2167:Y2167"/>
    <mergeCell ref="X2168:Y2168"/>
    <mergeCell ref="X2169:Y2169"/>
    <mergeCell ref="X2170:Y2170"/>
    <mergeCell ref="X2171:Y2171"/>
    <mergeCell ref="X2172:Y2172"/>
    <mergeCell ref="X2173:Y2173"/>
    <mergeCell ref="X2174:Y2174"/>
    <mergeCell ref="X2175:Y2175"/>
    <mergeCell ref="X2176:Y2176"/>
    <mergeCell ref="X2177:Y2177"/>
    <mergeCell ref="X2178:Y2178"/>
    <mergeCell ref="X2179:Y2179"/>
    <mergeCell ref="X2180:Y2180"/>
    <mergeCell ref="X2181:Y2181"/>
    <mergeCell ref="X2182:Y2182"/>
    <mergeCell ref="X2183:Y2183"/>
    <mergeCell ref="X2184:Y2184"/>
    <mergeCell ref="X2185:Y2185"/>
    <mergeCell ref="X2186:Y2186"/>
    <mergeCell ref="X2187:Y2187"/>
    <mergeCell ref="X2188:Y2188"/>
    <mergeCell ref="X2189:Y2189"/>
    <mergeCell ref="X2190:Y2190"/>
    <mergeCell ref="X2191:Y2191"/>
    <mergeCell ref="X2192:Y2192"/>
    <mergeCell ref="X2193:Y2193"/>
    <mergeCell ref="X2194:Y2194"/>
    <mergeCell ref="X2195:Y2195"/>
    <mergeCell ref="X2196:Y2196"/>
    <mergeCell ref="X2197:Y2197"/>
    <mergeCell ref="X2198:Y2198"/>
    <mergeCell ref="X2199:Y2199"/>
    <mergeCell ref="X2200:Y2200"/>
    <mergeCell ref="X2201:Y2201"/>
    <mergeCell ref="X2202:Y2202"/>
    <mergeCell ref="X2203:Y2203"/>
    <mergeCell ref="X2204:Y2204"/>
    <mergeCell ref="X2205:Y2205"/>
    <mergeCell ref="X2206:Y2206"/>
    <mergeCell ref="X2207:Y2207"/>
    <mergeCell ref="X2208:Y2208"/>
    <mergeCell ref="X2209:Y2209"/>
    <mergeCell ref="X2210:Y2210"/>
    <mergeCell ref="X2211:Y2211"/>
    <mergeCell ref="X2212:Y2212"/>
    <mergeCell ref="X2213:Y2213"/>
    <mergeCell ref="X2214:Y2214"/>
    <mergeCell ref="X2215:Y2215"/>
    <mergeCell ref="X2216:Y2216"/>
    <mergeCell ref="X2217:Y2217"/>
    <mergeCell ref="X2218:Y2218"/>
    <mergeCell ref="X2219:Y2219"/>
    <mergeCell ref="X2220:Y2220"/>
    <mergeCell ref="X2221:Y2221"/>
    <mergeCell ref="X2222:Y2222"/>
    <mergeCell ref="X2223:Y2223"/>
    <mergeCell ref="X2224:Y2224"/>
    <mergeCell ref="X2225:Y2225"/>
    <mergeCell ref="X2226:Y2226"/>
    <mergeCell ref="X2227:Y2227"/>
    <mergeCell ref="X2228:Y2228"/>
    <mergeCell ref="X2229:Y2229"/>
    <mergeCell ref="X2230:Y2230"/>
    <mergeCell ref="X2231:Y2231"/>
    <mergeCell ref="X2232:Y2232"/>
    <mergeCell ref="X2233:Y2233"/>
    <mergeCell ref="X2234:Y2234"/>
    <mergeCell ref="X2235:Y2235"/>
    <mergeCell ref="X2236:Y2236"/>
    <mergeCell ref="X2237:Y2237"/>
    <mergeCell ref="X2238:Y2238"/>
    <mergeCell ref="X2239:Y2239"/>
    <mergeCell ref="X2240:Y2240"/>
    <mergeCell ref="X2241:Y2241"/>
    <mergeCell ref="X2242:Y2242"/>
    <mergeCell ref="X2243:Y2243"/>
    <mergeCell ref="X2244:Y2244"/>
    <mergeCell ref="X2245:Y2245"/>
    <mergeCell ref="X2246:Y2246"/>
    <mergeCell ref="X2247:Y2247"/>
    <mergeCell ref="X2248:Y2248"/>
    <mergeCell ref="X2249:Y2249"/>
    <mergeCell ref="X2250:Y2250"/>
    <mergeCell ref="X2251:Y2251"/>
    <mergeCell ref="X2252:Y2252"/>
    <mergeCell ref="X2253:Y2253"/>
    <mergeCell ref="X2254:Y2254"/>
    <mergeCell ref="X2255:Y2255"/>
    <mergeCell ref="X2256:Y2256"/>
    <mergeCell ref="X2257:Y2257"/>
    <mergeCell ref="X2258:Y2258"/>
    <mergeCell ref="X2259:Y2259"/>
    <mergeCell ref="X2260:Y2260"/>
    <mergeCell ref="X2261:Y2261"/>
    <mergeCell ref="X2262:Y2262"/>
    <mergeCell ref="X2263:Y2263"/>
    <mergeCell ref="X2264:Y2264"/>
    <mergeCell ref="X2265:Y2265"/>
    <mergeCell ref="X2266:Y2266"/>
    <mergeCell ref="X2267:Y2267"/>
    <mergeCell ref="X2268:Y2268"/>
    <mergeCell ref="X2269:Y2269"/>
    <mergeCell ref="X2270:Y2270"/>
    <mergeCell ref="X2271:Y2271"/>
    <mergeCell ref="X2272:Y2272"/>
    <mergeCell ref="X2273:Y2273"/>
    <mergeCell ref="X2274:Y2274"/>
    <mergeCell ref="X2275:Y2275"/>
    <mergeCell ref="X2276:Y2276"/>
    <mergeCell ref="X2277:Y2277"/>
    <mergeCell ref="X2278:Y2278"/>
    <mergeCell ref="X2279:Y2279"/>
    <mergeCell ref="X2280:Y2280"/>
    <mergeCell ref="X2281:Y2281"/>
    <mergeCell ref="X2282:Y2282"/>
    <mergeCell ref="X2283:Y2283"/>
    <mergeCell ref="X2284:Y2284"/>
    <mergeCell ref="X2285:Y2285"/>
    <mergeCell ref="X2286:Y2286"/>
    <mergeCell ref="X2287:Y2287"/>
    <mergeCell ref="X2288:Y2288"/>
    <mergeCell ref="X2289:Y2289"/>
    <mergeCell ref="X2290:Y2290"/>
    <mergeCell ref="X2291:Y2291"/>
    <mergeCell ref="X2292:Y2292"/>
    <mergeCell ref="X2293:Y2293"/>
    <mergeCell ref="X2294:Y2294"/>
    <mergeCell ref="X2295:Y2295"/>
    <mergeCell ref="X2296:Y2296"/>
    <mergeCell ref="X2297:Y2297"/>
    <mergeCell ref="X2298:Y2298"/>
    <mergeCell ref="X2299:Y2299"/>
    <mergeCell ref="X2300:Y2300"/>
    <mergeCell ref="X2301:Y2301"/>
    <mergeCell ref="X2302:Y2302"/>
    <mergeCell ref="X2303:Y2303"/>
    <mergeCell ref="X2304:Y2304"/>
    <mergeCell ref="X2305:Y2305"/>
    <mergeCell ref="X2306:Y2306"/>
    <mergeCell ref="X2307:Y2307"/>
    <mergeCell ref="X2308:Y2308"/>
    <mergeCell ref="X2309:Y2309"/>
    <mergeCell ref="X2310:Y2310"/>
    <mergeCell ref="X2311:Y2311"/>
    <mergeCell ref="X2312:Y2312"/>
    <mergeCell ref="X2313:Y2313"/>
    <mergeCell ref="X2314:Y2314"/>
    <mergeCell ref="X2315:Y2315"/>
    <mergeCell ref="X2316:Y2316"/>
    <mergeCell ref="X2317:Y2317"/>
    <mergeCell ref="X2318:Y2318"/>
    <mergeCell ref="X2319:Y2319"/>
    <mergeCell ref="X2320:Y2320"/>
    <mergeCell ref="X2321:Y2321"/>
    <mergeCell ref="X2322:Y2322"/>
    <mergeCell ref="X2323:Y2323"/>
    <mergeCell ref="X2324:Y2324"/>
    <mergeCell ref="X2325:Y2325"/>
    <mergeCell ref="X2326:Y2326"/>
    <mergeCell ref="X2327:Y2327"/>
    <mergeCell ref="X2328:Y2328"/>
    <mergeCell ref="X2329:Y2329"/>
    <mergeCell ref="X2330:Y2330"/>
    <mergeCell ref="X2331:Y2331"/>
    <mergeCell ref="X2332:Y2332"/>
    <mergeCell ref="X2333:Y2333"/>
    <mergeCell ref="X2334:Y2334"/>
    <mergeCell ref="X2335:Y2335"/>
    <mergeCell ref="X2336:Y2336"/>
    <mergeCell ref="X2337:Y2337"/>
    <mergeCell ref="X2338:Y2338"/>
    <mergeCell ref="X2339:Y2339"/>
    <mergeCell ref="X2340:Y2340"/>
    <mergeCell ref="X2341:Y2341"/>
    <mergeCell ref="X2342:Y2342"/>
    <mergeCell ref="X2343:Y2343"/>
    <mergeCell ref="X2344:Y2344"/>
    <mergeCell ref="X2345:Y2345"/>
    <mergeCell ref="X2346:Y2346"/>
    <mergeCell ref="X2347:Y2347"/>
    <mergeCell ref="X2348:Y2348"/>
    <mergeCell ref="X2349:Y2349"/>
    <mergeCell ref="X2350:Y2350"/>
    <mergeCell ref="X2351:Y2351"/>
    <mergeCell ref="X2352:Y2352"/>
    <mergeCell ref="X2353:Y2353"/>
    <mergeCell ref="X2354:Y2354"/>
    <mergeCell ref="X2355:Y2355"/>
    <mergeCell ref="X2356:Y2356"/>
    <mergeCell ref="X2357:Y2357"/>
    <mergeCell ref="X2358:Y2358"/>
    <mergeCell ref="X2359:Y2359"/>
    <mergeCell ref="X2360:Y2360"/>
    <mergeCell ref="X2361:Y2361"/>
    <mergeCell ref="X2362:Y2362"/>
    <mergeCell ref="X2363:Y2363"/>
    <mergeCell ref="X2364:Y2364"/>
    <mergeCell ref="X2365:Y2365"/>
    <mergeCell ref="X2366:Y2366"/>
    <mergeCell ref="X2367:Y2367"/>
    <mergeCell ref="X2368:Y2368"/>
    <mergeCell ref="X2369:Y2369"/>
    <mergeCell ref="X2370:Y2370"/>
    <mergeCell ref="X2371:Y2371"/>
    <mergeCell ref="X2372:Y2372"/>
    <mergeCell ref="X2373:Y2373"/>
    <mergeCell ref="X2374:Y2374"/>
    <mergeCell ref="X2375:Y2375"/>
    <mergeCell ref="X2376:Y2376"/>
    <mergeCell ref="X2377:Y2377"/>
    <mergeCell ref="X2378:Y2378"/>
    <mergeCell ref="X2379:Y2379"/>
    <mergeCell ref="X2380:Y2380"/>
    <mergeCell ref="X2381:Y2381"/>
    <mergeCell ref="X2382:Y2382"/>
    <mergeCell ref="X2383:Y2383"/>
    <mergeCell ref="X2384:Y2384"/>
    <mergeCell ref="X2385:Y2385"/>
    <mergeCell ref="X2386:Y2386"/>
    <mergeCell ref="X2387:Y2387"/>
    <mergeCell ref="X2388:Y2388"/>
    <mergeCell ref="X2389:Y2389"/>
    <mergeCell ref="X2390:Y2390"/>
    <mergeCell ref="X2391:Y2391"/>
    <mergeCell ref="X2392:Y2392"/>
    <mergeCell ref="X2393:Y2393"/>
    <mergeCell ref="X2394:Y2394"/>
    <mergeCell ref="X2395:Y2395"/>
    <mergeCell ref="X2396:Y2396"/>
    <mergeCell ref="X2397:Y2397"/>
    <mergeCell ref="X2398:Y2398"/>
    <mergeCell ref="X2399:Y2399"/>
    <mergeCell ref="X2400:Y2400"/>
    <mergeCell ref="X2401:Y2401"/>
    <mergeCell ref="X2402:Y2402"/>
    <mergeCell ref="X2403:Y2403"/>
    <mergeCell ref="X2404:Y2404"/>
    <mergeCell ref="X2405:Y2405"/>
    <mergeCell ref="X2406:Y2406"/>
    <mergeCell ref="X2407:Y2407"/>
    <mergeCell ref="X2408:Y2408"/>
    <mergeCell ref="X2409:Y2409"/>
    <mergeCell ref="X2410:Y2410"/>
    <mergeCell ref="X2411:Y2411"/>
    <mergeCell ref="X2412:Y2412"/>
    <mergeCell ref="X2413:Y2413"/>
    <mergeCell ref="X2414:Y2414"/>
    <mergeCell ref="X2415:Y2415"/>
    <mergeCell ref="X2416:Y2416"/>
    <mergeCell ref="X2417:Y2417"/>
    <mergeCell ref="X2418:Y2418"/>
    <mergeCell ref="X2419:Y2419"/>
    <mergeCell ref="X2420:Y2420"/>
    <mergeCell ref="X2421:Y2421"/>
    <mergeCell ref="X2422:Y2422"/>
    <mergeCell ref="X2423:Y2423"/>
    <mergeCell ref="X2424:Y2424"/>
    <mergeCell ref="X2425:Y2425"/>
    <mergeCell ref="X2426:Y2426"/>
    <mergeCell ref="X2427:Y2427"/>
    <mergeCell ref="X2428:Y2428"/>
    <mergeCell ref="X2429:Y2429"/>
    <mergeCell ref="X2430:Y2430"/>
    <mergeCell ref="X2431:Y2431"/>
    <mergeCell ref="X2432:Y2432"/>
    <mergeCell ref="X2433:Y2433"/>
    <mergeCell ref="X2434:Y2434"/>
    <mergeCell ref="X2435:Y2435"/>
    <mergeCell ref="X2436:Y2436"/>
    <mergeCell ref="X2437:Y2437"/>
    <mergeCell ref="X2438:Y2438"/>
    <mergeCell ref="X2439:Y2439"/>
    <mergeCell ref="X2440:Y2440"/>
    <mergeCell ref="X2441:Y2441"/>
    <mergeCell ref="X2442:Y2442"/>
    <mergeCell ref="X2443:Y2443"/>
    <mergeCell ref="X2444:Y2444"/>
    <mergeCell ref="X2445:Y2445"/>
    <mergeCell ref="X2446:Y2446"/>
    <mergeCell ref="X2447:Y2447"/>
    <mergeCell ref="X2448:Y2448"/>
    <mergeCell ref="X2449:Y2449"/>
    <mergeCell ref="X2450:Y2450"/>
    <mergeCell ref="X2451:Y2451"/>
    <mergeCell ref="X2452:Y2452"/>
    <mergeCell ref="X2453:Y2453"/>
    <mergeCell ref="X2454:Y2454"/>
    <mergeCell ref="X2455:Y2455"/>
    <mergeCell ref="X2456:Y2456"/>
    <mergeCell ref="X2457:Y2457"/>
    <mergeCell ref="X2458:Y2458"/>
    <mergeCell ref="X2459:Y2459"/>
    <mergeCell ref="X2460:Y2460"/>
    <mergeCell ref="X2461:Y2461"/>
    <mergeCell ref="X2462:Y2462"/>
    <mergeCell ref="X2463:Y2463"/>
    <mergeCell ref="X2464:Y2464"/>
    <mergeCell ref="X2465:Y2465"/>
    <mergeCell ref="X2466:Y2466"/>
    <mergeCell ref="X2467:Y2467"/>
    <mergeCell ref="X2468:Y2468"/>
    <mergeCell ref="X2469:Y2469"/>
    <mergeCell ref="X2470:Y2470"/>
    <mergeCell ref="X2471:Y2471"/>
    <mergeCell ref="X2472:Y2472"/>
    <mergeCell ref="X2473:Y2473"/>
    <mergeCell ref="X2474:Y2474"/>
    <mergeCell ref="X2475:Y2475"/>
    <mergeCell ref="X2476:Y2476"/>
    <mergeCell ref="X2477:Y2477"/>
    <mergeCell ref="X2478:Y2478"/>
    <mergeCell ref="X2479:Y2479"/>
    <mergeCell ref="X2480:Y2480"/>
    <mergeCell ref="X2481:Y2481"/>
    <mergeCell ref="X2482:Y2482"/>
    <mergeCell ref="X2483:Y2483"/>
    <mergeCell ref="X2484:Y2484"/>
    <mergeCell ref="X2485:Y2485"/>
    <mergeCell ref="X2486:Y2486"/>
    <mergeCell ref="X2487:Y2487"/>
    <mergeCell ref="X2488:Y2488"/>
    <mergeCell ref="X2489:Y2489"/>
    <mergeCell ref="X2490:Y2490"/>
    <mergeCell ref="X2491:Y2491"/>
    <mergeCell ref="X2492:Y2492"/>
    <mergeCell ref="X2493:Y2493"/>
    <mergeCell ref="X2494:Y2494"/>
    <mergeCell ref="X2495:Y2495"/>
    <mergeCell ref="X2496:Y2496"/>
    <mergeCell ref="X2497:Y2497"/>
    <mergeCell ref="X2498:Y2498"/>
    <mergeCell ref="X2499:Y2499"/>
    <mergeCell ref="X2500:Y2500"/>
    <mergeCell ref="X2501:Y2501"/>
    <mergeCell ref="X2502:Y2502"/>
    <mergeCell ref="X2503:Y2503"/>
    <mergeCell ref="X2504:Y2504"/>
    <mergeCell ref="X2505:Y2505"/>
    <mergeCell ref="X2506:Y2506"/>
    <mergeCell ref="X2507:Y2507"/>
    <mergeCell ref="X2508:Y2508"/>
    <mergeCell ref="X2509:Y2509"/>
    <mergeCell ref="X2510:Y2510"/>
    <mergeCell ref="X2511:Y2511"/>
    <mergeCell ref="X2512:Y2512"/>
    <mergeCell ref="X2513:Y2513"/>
    <mergeCell ref="X2514:Y2514"/>
    <mergeCell ref="X2515:Y2515"/>
    <mergeCell ref="X2516:Y2516"/>
    <mergeCell ref="X2517:Y2517"/>
    <mergeCell ref="X2518:Y2518"/>
    <mergeCell ref="X2519:Y2519"/>
    <mergeCell ref="X2520:Y2520"/>
    <mergeCell ref="X2521:Y2521"/>
    <mergeCell ref="X2522:Y2522"/>
    <mergeCell ref="X2523:Y2523"/>
    <mergeCell ref="X2524:Y2524"/>
    <mergeCell ref="X2525:Y2525"/>
    <mergeCell ref="X2526:Y2526"/>
    <mergeCell ref="X2527:Y2527"/>
    <mergeCell ref="X2528:Y2528"/>
    <mergeCell ref="X2529:Y2529"/>
    <mergeCell ref="X2530:Y2530"/>
    <mergeCell ref="X2531:Y2531"/>
    <mergeCell ref="X2532:Y2532"/>
    <mergeCell ref="X2533:Y2533"/>
    <mergeCell ref="X2534:Y2534"/>
    <mergeCell ref="X2535:Y2535"/>
    <mergeCell ref="X2536:Y2536"/>
    <mergeCell ref="X2537:Y2537"/>
    <mergeCell ref="X2538:Y2538"/>
    <mergeCell ref="X2539:Y2539"/>
    <mergeCell ref="X2540:Y2540"/>
    <mergeCell ref="X2541:Y2541"/>
    <mergeCell ref="X2542:Y2542"/>
    <mergeCell ref="X2543:Y2543"/>
    <mergeCell ref="X2544:Y2544"/>
    <mergeCell ref="X2545:Y2545"/>
    <mergeCell ref="X2546:Y2546"/>
    <mergeCell ref="X2547:Y2547"/>
    <mergeCell ref="X2548:Y2548"/>
    <mergeCell ref="X2549:Y2549"/>
    <mergeCell ref="X2550:Y2550"/>
    <mergeCell ref="X2551:Y2551"/>
    <mergeCell ref="X2552:Y2552"/>
    <mergeCell ref="X2553:Y2553"/>
    <mergeCell ref="X2554:Y2554"/>
    <mergeCell ref="X2555:Y2555"/>
    <mergeCell ref="X2556:Y2556"/>
    <mergeCell ref="X2557:Y2557"/>
    <mergeCell ref="X2558:Y2558"/>
    <mergeCell ref="X2559:Y2559"/>
    <mergeCell ref="X2560:Y2560"/>
    <mergeCell ref="X2561:Y2561"/>
    <mergeCell ref="X2562:Y2562"/>
    <mergeCell ref="X2563:Y2563"/>
    <mergeCell ref="X2564:Y2564"/>
    <mergeCell ref="X2565:Y2565"/>
    <mergeCell ref="X2566:Y2566"/>
    <mergeCell ref="X2567:Y2567"/>
    <mergeCell ref="X2568:Y2568"/>
    <mergeCell ref="X2569:Y2569"/>
    <mergeCell ref="X2570:Y2570"/>
    <mergeCell ref="X2571:Y2571"/>
    <mergeCell ref="X2572:Y2572"/>
    <mergeCell ref="X2573:Y2573"/>
    <mergeCell ref="X2574:Y2574"/>
    <mergeCell ref="X2575:Y2575"/>
    <mergeCell ref="X2576:Y2576"/>
    <mergeCell ref="X2577:Y2577"/>
    <mergeCell ref="X2578:Y2578"/>
    <mergeCell ref="X2579:Y2579"/>
    <mergeCell ref="X2580:Y2580"/>
    <mergeCell ref="X2581:Y2581"/>
    <mergeCell ref="X2582:Y2582"/>
    <mergeCell ref="X2583:Y2583"/>
    <mergeCell ref="X2584:Y2584"/>
    <mergeCell ref="X2585:Y2585"/>
    <mergeCell ref="X2586:Y2586"/>
    <mergeCell ref="X2587:Y2587"/>
    <mergeCell ref="X2588:Y2588"/>
    <mergeCell ref="X2589:Y2589"/>
    <mergeCell ref="X2590:Y2590"/>
    <mergeCell ref="X2591:Y2591"/>
    <mergeCell ref="X2592:Y2592"/>
    <mergeCell ref="X2593:Y2593"/>
    <mergeCell ref="X2594:Y2594"/>
    <mergeCell ref="X2595:Y2595"/>
    <mergeCell ref="X2596:Y2596"/>
    <mergeCell ref="X2597:Y2597"/>
    <mergeCell ref="X2598:Y2598"/>
    <mergeCell ref="X2599:Y2599"/>
    <mergeCell ref="X2600:Y2600"/>
    <mergeCell ref="X2601:Y2601"/>
    <mergeCell ref="X2602:Y2602"/>
    <mergeCell ref="X2603:Y2603"/>
    <mergeCell ref="X2604:Y2604"/>
    <mergeCell ref="X2605:Y2605"/>
    <mergeCell ref="X2606:Y2606"/>
    <mergeCell ref="X2607:Y2607"/>
    <mergeCell ref="X2608:Y2608"/>
    <mergeCell ref="X2609:Y2609"/>
    <mergeCell ref="X2610:Y2610"/>
    <mergeCell ref="X2611:Y2611"/>
    <mergeCell ref="X2612:Y2612"/>
    <mergeCell ref="X2613:Y2613"/>
    <mergeCell ref="X2614:Y2614"/>
    <mergeCell ref="X2615:Y2615"/>
    <mergeCell ref="X2616:Y2616"/>
    <mergeCell ref="X2617:Y2617"/>
    <mergeCell ref="X2618:Y2618"/>
    <mergeCell ref="X2619:Y2619"/>
    <mergeCell ref="X2620:Y2620"/>
    <mergeCell ref="X2621:Y2621"/>
    <mergeCell ref="X2622:Y2622"/>
    <mergeCell ref="X2623:Y2623"/>
    <mergeCell ref="X2624:Y2624"/>
    <mergeCell ref="X2625:Y2625"/>
    <mergeCell ref="X2626:Y2626"/>
    <mergeCell ref="X2627:Y2627"/>
    <mergeCell ref="X2628:Y2628"/>
    <mergeCell ref="X2629:Y2629"/>
    <mergeCell ref="X2630:Y2630"/>
    <mergeCell ref="X2631:Y2631"/>
    <mergeCell ref="X2632:Y2632"/>
    <mergeCell ref="X2633:Y2633"/>
    <mergeCell ref="X2634:Y2634"/>
    <mergeCell ref="X2635:Y2635"/>
    <mergeCell ref="X2636:Y2636"/>
    <mergeCell ref="X2637:Y2637"/>
    <mergeCell ref="X2638:Y2638"/>
    <mergeCell ref="X2639:Y2639"/>
    <mergeCell ref="X2640:Y2640"/>
    <mergeCell ref="X2641:Y2641"/>
    <mergeCell ref="X2642:Y2642"/>
    <mergeCell ref="X2643:Y2643"/>
    <mergeCell ref="X2644:Y2644"/>
    <mergeCell ref="X2645:Y2645"/>
    <mergeCell ref="X2646:Y2646"/>
    <mergeCell ref="X2647:Y2647"/>
    <mergeCell ref="X2648:Y2648"/>
    <mergeCell ref="X2649:Y2649"/>
    <mergeCell ref="X2650:Y2650"/>
    <mergeCell ref="X2651:Y2651"/>
    <mergeCell ref="X2652:Y2652"/>
    <mergeCell ref="X2653:Y2653"/>
    <mergeCell ref="X2654:Y2654"/>
    <mergeCell ref="X2655:Y2655"/>
    <mergeCell ref="X2656:Y2656"/>
    <mergeCell ref="X2657:Y2657"/>
    <mergeCell ref="X2658:Y2658"/>
    <mergeCell ref="X2659:Y2659"/>
    <mergeCell ref="X2660:Y2660"/>
    <mergeCell ref="X2661:Y2661"/>
    <mergeCell ref="X2662:Y2662"/>
    <mergeCell ref="X2663:Y2663"/>
    <mergeCell ref="X2664:Y2664"/>
    <mergeCell ref="X2665:Y2665"/>
    <mergeCell ref="X2666:Y2666"/>
    <mergeCell ref="X2667:Y2667"/>
    <mergeCell ref="X2668:Y2668"/>
    <mergeCell ref="X2669:Y2669"/>
    <mergeCell ref="X2670:Y2670"/>
    <mergeCell ref="X2671:Y2671"/>
    <mergeCell ref="X2672:Y2672"/>
    <mergeCell ref="X2673:Y2673"/>
    <mergeCell ref="X2674:Y2674"/>
    <mergeCell ref="X2675:Y2675"/>
    <mergeCell ref="X2676:Y2676"/>
    <mergeCell ref="X2677:Y2677"/>
    <mergeCell ref="X2678:Y2678"/>
    <mergeCell ref="X2679:Y2679"/>
    <mergeCell ref="X2680:Y2680"/>
    <mergeCell ref="X2681:Y2681"/>
    <mergeCell ref="X2682:Y2682"/>
    <mergeCell ref="X2683:Y2683"/>
    <mergeCell ref="X2684:Y2684"/>
    <mergeCell ref="X2685:Y2685"/>
    <mergeCell ref="X2686:Y2686"/>
    <mergeCell ref="X2687:Y2687"/>
    <mergeCell ref="X2688:Y2688"/>
    <mergeCell ref="X2689:Y2689"/>
    <mergeCell ref="X2690:Y2690"/>
    <mergeCell ref="X2691:Y2691"/>
    <mergeCell ref="X2692:Y2692"/>
    <mergeCell ref="X2693:Y2693"/>
    <mergeCell ref="X2694:Y2694"/>
    <mergeCell ref="X2695:Y2695"/>
    <mergeCell ref="X2696:Y2696"/>
    <mergeCell ref="X2697:Y2697"/>
    <mergeCell ref="X2698:Y2698"/>
    <mergeCell ref="X2699:Y2699"/>
    <mergeCell ref="X2700:Y2700"/>
    <mergeCell ref="X2701:Y2701"/>
    <mergeCell ref="X2702:Y2702"/>
    <mergeCell ref="X2703:Y2703"/>
    <mergeCell ref="X2704:Y2704"/>
    <mergeCell ref="X2705:Y2705"/>
    <mergeCell ref="X2706:Y2706"/>
    <mergeCell ref="X2707:Y2707"/>
    <mergeCell ref="X2708:Y2708"/>
    <mergeCell ref="X2709:Y2709"/>
    <mergeCell ref="X2710:Y2710"/>
    <mergeCell ref="X2711:Y2711"/>
    <mergeCell ref="X2712:Y2712"/>
    <mergeCell ref="X2713:Y2713"/>
    <mergeCell ref="X2714:Y2714"/>
    <mergeCell ref="X2715:Y2715"/>
    <mergeCell ref="X2716:Y2716"/>
    <mergeCell ref="X2717:Y2717"/>
    <mergeCell ref="X2718:Y2718"/>
    <mergeCell ref="X2719:Y2719"/>
    <mergeCell ref="X2720:Y2720"/>
    <mergeCell ref="X2721:Y2721"/>
    <mergeCell ref="X2722:Y2722"/>
    <mergeCell ref="X2723:Y2723"/>
    <mergeCell ref="X2724:Y2724"/>
    <mergeCell ref="X2725:Y2725"/>
    <mergeCell ref="X2726:Y2726"/>
    <mergeCell ref="X2727:Y2727"/>
    <mergeCell ref="X2728:Y2728"/>
    <mergeCell ref="X2729:Y2729"/>
    <mergeCell ref="X2730:Y2730"/>
    <mergeCell ref="X2732:Y2732"/>
    <mergeCell ref="X2734:Y2734"/>
    <mergeCell ref="X2735:Y2735"/>
    <mergeCell ref="X2736:Y2736"/>
    <mergeCell ref="X2737:Y2737"/>
    <mergeCell ref="X2738:Y2738"/>
    <mergeCell ref="X2739:Y2739"/>
    <mergeCell ref="X2740:Y2740"/>
    <mergeCell ref="X2741:Y2741"/>
    <mergeCell ref="X2742:Y2742"/>
    <mergeCell ref="X2743:Y2743"/>
    <mergeCell ref="X2744:Y2744"/>
    <mergeCell ref="X2745:Y2745"/>
    <mergeCell ref="X2746:Y2746"/>
    <mergeCell ref="X2747:Y2747"/>
    <mergeCell ref="X2748:Y2748"/>
    <mergeCell ref="X2749:Y2749"/>
    <mergeCell ref="X2750:Y2750"/>
    <mergeCell ref="X2751:Y2751"/>
    <mergeCell ref="X2752:Y2752"/>
    <mergeCell ref="X2753:Y2753"/>
    <mergeCell ref="X2754:Y2754"/>
    <mergeCell ref="X2755:Y2755"/>
    <mergeCell ref="X2756:Y2756"/>
    <mergeCell ref="X2757:Y2757"/>
    <mergeCell ref="X2758:Y2758"/>
    <mergeCell ref="X2759:Y2759"/>
    <mergeCell ref="X2760:Y2760"/>
    <mergeCell ref="X2761:Y2761"/>
    <mergeCell ref="X2762:Y2762"/>
    <mergeCell ref="X2763:Y2763"/>
    <mergeCell ref="X2764:Y2764"/>
    <mergeCell ref="X2765:Y2765"/>
    <mergeCell ref="X2766:Y2766"/>
    <mergeCell ref="X2767:Y2767"/>
    <mergeCell ref="X2768:Y2768"/>
    <mergeCell ref="X2769:Y2769"/>
    <mergeCell ref="X2770:Y2770"/>
    <mergeCell ref="X2771:Y2771"/>
    <mergeCell ref="X2772:Y2772"/>
    <mergeCell ref="X2773:Y2773"/>
    <mergeCell ref="X2774:Y2774"/>
    <mergeCell ref="X2775:Y2775"/>
    <mergeCell ref="X2776:Y2776"/>
    <mergeCell ref="X2777:Y2777"/>
    <mergeCell ref="X2778:Y2778"/>
    <mergeCell ref="X2779:Y2779"/>
    <mergeCell ref="X2780:Y2780"/>
    <mergeCell ref="X2781:Y2781"/>
    <mergeCell ref="X2782:Y2782"/>
    <mergeCell ref="X2783:Y2783"/>
    <mergeCell ref="X2784:Y2784"/>
    <mergeCell ref="X2785:Y2785"/>
    <mergeCell ref="X2786:Y2786"/>
    <mergeCell ref="X2787:Y2787"/>
    <mergeCell ref="X2788:Y2788"/>
    <mergeCell ref="X2789:Y2789"/>
    <mergeCell ref="X2790:Y2790"/>
    <mergeCell ref="X2791:Y2791"/>
    <mergeCell ref="X2792:Y2792"/>
    <mergeCell ref="X2793:Y2793"/>
    <mergeCell ref="X2794:Y2794"/>
    <mergeCell ref="X2795:Y2795"/>
    <mergeCell ref="X2796:Y2796"/>
    <mergeCell ref="X2797:Y2797"/>
    <mergeCell ref="X2798:Y2798"/>
    <mergeCell ref="X2799:Y2799"/>
    <mergeCell ref="X2800:Y2800"/>
    <mergeCell ref="X2801:Y2801"/>
    <mergeCell ref="X2802:Y2802"/>
    <mergeCell ref="X2803:Y2803"/>
    <mergeCell ref="X2804:Y2804"/>
    <mergeCell ref="X2805:Y2805"/>
    <mergeCell ref="X2806:Y2806"/>
    <mergeCell ref="X2807:Y2807"/>
    <mergeCell ref="X2808:Y2808"/>
    <mergeCell ref="X2809:Y2809"/>
    <mergeCell ref="X2810:Y2810"/>
    <mergeCell ref="X2811:Y2811"/>
    <mergeCell ref="X2812:Y2812"/>
    <mergeCell ref="X2813:Y2813"/>
    <mergeCell ref="X2814:Y2814"/>
    <mergeCell ref="X2815:Y2815"/>
    <mergeCell ref="X2816:Y2816"/>
    <mergeCell ref="X2817:Y2817"/>
    <mergeCell ref="X2818:Y2818"/>
    <mergeCell ref="X2819:Y2819"/>
    <mergeCell ref="X2820:Y2820"/>
    <mergeCell ref="X2821:Y2821"/>
    <mergeCell ref="X2822:Y2822"/>
    <mergeCell ref="X2823:Y2823"/>
    <mergeCell ref="X2824:Y2824"/>
    <mergeCell ref="X2825:Y2825"/>
    <mergeCell ref="X2826:Y2826"/>
    <mergeCell ref="X2827:Y2827"/>
    <mergeCell ref="X2828:Y2828"/>
    <mergeCell ref="X2829:Y2829"/>
    <mergeCell ref="X2830:Y2830"/>
    <mergeCell ref="X2831:Y2831"/>
    <mergeCell ref="X2832:Y2832"/>
    <mergeCell ref="X2833:Y2833"/>
    <mergeCell ref="X2834:Y2834"/>
    <mergeCell ref="X2835:Y2835"/>
    <mergeCell ref="X2836:Y2836"/>
    <mergeCell ref="X2837:Y2837"/>
    <mergeCell ref="X2838:Y2838"/>
    <mergeCell ref="X2839:Y2839"/>
    <mergeCell ref="X2840:Y2840"/>
    <mergeCell ref="X2841:Y2841"/>
    <mergeCell ref="X2842:Y2842"/>
    <mergeCell ref="X2843:Y2843"/>
    <mergeCell ref="X2844:Y2844"/>
    <mergeCell ref="X2845:Y2845"/>
    <mergeCell ref="X2846:Y2846"/>
    <mergeCell ref="X2847:Y2847"/>
    <mergeCell ref="X2848:Y2848"/>
    <mergeCell ref="X2849:Y2849"/>
    <mergeCell ref="X2850:Y2850"/>
    <mergeCell ref="X2851:Y2851"/>
    <mergeCell ref="X2852:Y2852"/>
    <mergeCell ref="X2853:Y2853"/>
    <mergeCell ref="X2854:Y2854"/>
    <mergeCell ref="X2855:Y2855"/>
    <mergeCell ref="X2856:Y2856"/>
    <mergeCell ref="X2857:Y2857"/>
    <mergeCell ref="X2858:Y2858"/>
    <mergeCell ref="X2859:Y2859"/>
    <mergeCell ref="X2860:Y2860"/>
    <mergeCell ref="X2861:Y2861"/>
    <mergeCell ref="X2862:Y2862"/>
    <mergeCell ref="X2863:Y2863"/>
    <mergeCell ref="X2864:Y2864"/>
    <mergeCell ref="X2865:Y2865"/>
    <mergeCell ref="X2866:Y2866"/>
    <mergeCell ref="X2867:Y2867"/>
    <mergeCell ref="X2868:Y2868"/>
    <mergeCell ref="X2869:Y2869"/>
    <mergeCell ref="X2870:Y2870"/>
    <mergeCell ref="X2871:Y2871"/>
    <mergeCell ref="X2872:Y2872"/>
    <mergeCell ref="X2873:Y2873"/>
    <mergeCell ref="X2874:Y2874"/>
    <mergeCell ref="X2875:Y2875"/>
    <mergeCell ref="X2876:Y2876"/>
    <mergeCell ref="X2877:Y2877"/>
    <mergeCell ref="X2878:Y2878"/>
    <mergeCell ref="X2879:Y2879"/>
    <mergeCell ref="X2880:Y2880"/>
    <mergeCell ref="X2881:Y2881"/>
    <mergeCell ref="X2882:Y2882"/>
    <mergeCell ref="X2883:Y2883"/>
    <mergeCell ref="X2884:Y2884"/>
    <mergeCell ref="X2885:Y2885"/>
    <mergeCell ref="X2886:Y2886"/>
    <mergeCell ref="X2887:Y2887"/>
    <mergeCell ref="X2888:Y2888"/>
    <mergeCell ref="X2889:Y2889"/>
    <mergeCell ref="X2890:Y2890"/>
    <mergeCell ref="X2891:Y2891"/>
    <mergeCell ref="X2892:Y2892"/>
    <mergeCell ref="X2893:Y2893"/>
    <mergeCell ref="X2894:Y2894"/>
    <mergeCell ref="X2895:Y2895"/>
    <mergeCell ref="X2896:Y2896"/>
    <mergeCell ref="X2897:Y2897"/>
    <mergeCell ref="X2898:Y2898"/>
    <mergeCell ref="X2899:Y2899"/>
    <mergeCell ref="X2900:Y2900"/>
    <mergeCell ref="X2901:Y2901"/>
    <mergeCell ref="X2902:Y2902"/>
    <mergeCell ref="X2903:Y2903"/>
    <mergeCell ref="X2904:Y2904"/>
    <mergeCell ref="X2905:Y2905"/>
    <mergeCell ref="X2906:Y2906"/>
    <mergeCell ref="X2907:Y2907"/>
    <mergeCell ref="X2908:Y2908"/>
    <mergeCell ref="X2909:Y2909"/>
    <mergeCell ref="X2910:Y2910"/>
    <mergeCell ref="X2911:Y2911"/>
    <mergeCell ref="X2912:Y2912"/>
    <mergeCell ref="X2913:Y2913"/>
    <mergeCell ref="X2914:Y2914"/>
    <mergeCell ref="X2915:Y2915"/>
    <mergeCell ref="X2916:Y2916"/>
    <mergeCell ref="X2917:Y2917"/>
    <mergeCell ref="X2918:Y2918"/>
    <mergeCell ref="X2919:Y2919"/>
    <mergeCell ref="X2920:Y2920"/>
    <mergeCell ref="X2921:Y2921"/>
    <mergeCell ref="X2922:Y2922"/>
    <mergeCell ref="X2923:Y2923"/>
    <mergeCell ref="X2924:Y2924"/>
    <mergeCell ref="X2925:Y2925"/>
    <mergeCell ref="X2926:Y2926"/>
    <mergeCell ref="X2927:Y2927"/>
    <mergeCell ref="X2928:Y2928"/>
    <mergeCell ref="X2929:Y2929"/>
    <mergeCell ref="X2930:Y2930"/>
    <mergeCell ref="X2931:Y2931"/>
    <mergeCell ref="X2932:Y2932"/>
    <mergeCell ref="X2933:Y2933"/>
    <mergeCell ref="X2934:Y2934"/>
    <mergeCell ref="X2935:Y2935"/>
    <mergeCell ref="X2936:Y2936"/>
    <mergeCell ref="X2937:Y2937"/>
    <mergeCell ref="X2938:Y2938"/>
    <mergeCell ref="X2939:Y2939"/>
    <mergeCell ref="X2940:Y2940"/>
    <mergeCell ref="X2941:Y2941"/>
    <mergeCell ref="X2942:Y2942"/>
    <mergeCell ref="X2943:Y2943"/>
    <mergeCell ref="X2944:Y2944"/>
    <mergeCell ref="X2945:Y2945"/>
    <mergeCell ref="X2946:Y2946"/>
    <mergeCell ref="X2947:Y2947"/>
    <mergeCell ref="X2948:Y2948"/>
    <mergeCell ref="X2949:Y2949"/>
    <mergeCell ref="X2950:Y2950"/>
    <mergeCell ref="X2951:Y2951"/>
    <mergeCell ref="X2952:Y2952"/>
    <mergeCell ref="X2953:Y2953"/>
    <mergeCell ref="X2954:Y2954"/>
    <mergeCell ref="X2955:Y2955"/>
    <mergeCell ref="X2956:Y2956"/>
    <mergeCell ref="X2957:Y2957"/>
    <mergeCell ref="X2958:Y2958"/>
    <mergeCell ref="X2959:Y2959"/>
    <mergeCell ref="X2960:Y2960"/>
    <mergeCell ref="X2961:Y2961"/>
    <mergeCell ref="X2962:Y2962"/>
    <mergeCell ref="X2963:Y2963"/>
    <mergeCell ref="X2964:Y2964"/>
    <mergeCell ref="X2965:Y2965"/>
    <mergeCell ref="X2966:Y2966"/>
    <mergeCell ref="X2967:Y2967"/>
    <mergeCell ref="X2968:Y2968"/>
    <mergeCell ref="X2969:Y2969"/>
    <mergeCell ref="X2970:Y2970"/>
    <mergeCell ref="X2971:Y2971"/>
    <mergeCell ref="X2972:Y2972"/>
    <mergeCell ref="X2973:Y2973"/>
    <mergeCell ref="X2974:Y2974"/>
    <mergeCell ref="X2975:Y2975"/>
    <mergeCell ref="X2976:Y2976"/>
    <mergeCell ref="X2977:Y2977"/>
    <mergeCell ref="X2978:Y2978"/>
    <mergeCell ref="X2979:Y2979"/>
    <mergeCell ref="X2980:Y2980"/>
    <mergeCell ref="X2981:Y2981"/>
    <mergeCell ref="X2982:Y2982"/>
    <mergeCell ref="X2983:Y2983"/>
    <mergeCell ref="X2984:Y2984"/>
    <mergeCell ref="X2985:Y2985"/>
    <mergeCell ref="X2986:Y2986"/>
    <mergeCell ref="X2987:Y2987"/>
    <mergeCell ref="X2988:Y2988"/>
    <mergeCell ref="X2989:Y2989"/>
    <mergeCell ref="X2990:Y2990"/>
    <mergeCell ref="X2991:Y2991"/>
    <mergeCell ref="X2992:Y2992"/>
    <mergeCell ref="X2993:Y2993"/>
    <mergeCell ref="X2994:Y2994"/>
    <mergeCell ref="X2995:Y2995"/>
    <mergeCell ref="X2996:Y2996"/>
    <mergeCell ref="X2997:Y2997"/>
    <mergeCell ref="X2998:Y2998"/>
    <mergeCell ref="X2999:Y2999"/>
    <mergeCell ref="X3000:Y3000"/>
    <mergeCell ref="X3001:Y3001"/>
    <mergeCell ref="X3002:Y3002"/>
    <mergeCell ref="X3003:Y3003"/>
    <mergeCell ref="X3004:Y3004"/>
    <mergeCell ref="X3005:Y3005"/>
    <mergeCell ref="X3006:Y3006"/>
    <mergeCell ref="X3007:Y3007"/>
    <mergeCell ref="X3008:Y3008"/>
    <mergeCell ref="X3009:Y3009"/>
    <mergeCell ref="X3010:Y3010"/>
    <mergeCell ref="X3011:Y3011"/>
    <mergeCell ref="X3012:Y3012"/>
    <mergeCell ref="X3013:Y3013"/>
    <mergeCell ref="X3014:Y3014"/>
    <mergeCell ref="X3015:Y3015"/>
    <mergeCell ref="X3016:Y3016"/>
    <mergeCell ref="X3017:Y3017"/>
    <mergeCell ref="X3018:Y3018"/>
    <mergeCell ref="X3019:Y3019"/>
    <mergeCell ref="X3020:Y3020"/>
    <mergeCell ref="X3021:Y3021"/>
    <mergeCell ref="X3022:Y3022"/>
    <mergeCell ref="X3023:Y3023"/>
    <mergeCell ref="X3024:Y3024"/>
    <mergeCell ref="X3025:Y3025"/>
    <mergeCell ref="X3026:Y3026"/>
    <mergeCell ref="X3027:Y3027"/>
    <mergeCell ref="X3028:Y3028"/>
    <mergeCell ref="X3029:Y3029"/>
    <mergeCell ref="X3030:Y3030"/>
    <mergeCell ref="X3031:Y3031"/>
    <mergeCell ref="X3032:Y3032"/>
    <mergeCell ref="X3033:Y3033"/>
    <mergeCell ref="X3034:Y3034"/>
    <mergeCell ref="X3035:Y3035"/>
    <mergeCell ref="X3036:Y3036"/>
    <mergeCell ref="X3037:Y3037"/>
    <mergeCell ref="X3038:Y3038"/>
    <mergeCell ref="X3039:Y3039"/>
    <mergeCell ref="X3040:Y3040"/>
    <mergeCell ref="X3041:Y3041"/>
    <mergeCell ref="X3042:Y3042"/>
    <mergeCell ref="X3043:Y3043"/>
    <mergeCell ref="X3044:Y3044"/>
    <mergeCell ref="X3045:Y3045"/>
    <mergeCell ref="X3046:Y3046"/>
    <mergeCell ref="X3047:Y3047"/>
    <mergeCell ref="X3048:Y3048"/>
    <mergeCell ref="X3049:Y3049"/>
    <mergeCell ref="X3050:Y3050"/>
    <mergeCell ref="X3051:Y3051"/>
    <mergeCell ref="X3052:Y3052"/>
    <mergeCell ref="X3053:Y3053"/>
    <mergeCell ref="X3054:Y3054"/>
    <mergeCell ref="X3055:Y3055"/>
    <mergeCell ref="X3056:Y3056"/>
    <mergeCell ref="X3057:Y3057"/>
    <mergeCell ref="X3058:Y3058"/>
    <mergeCell ref="X3059:Y3059"/>
    <mergeCell ref="X3060:Y3060"/>
    <mergeCell ref="X3061:Y3061"/>
    <mergeCell ref="X3062:Y3062"/>
    <mergeCell ref="X3063:Y3063"/>
    <mergeCell ref="X3064:Y3064"/>
    <mergeCell ref="X3065:Y3065"/>
    <mergeCell ref="X3066:Y3066"/>
    <mergeCell ref="X3067:Y3067"/>
    <mergeCell ref="X3068:Y3068"/>
    <mergeCell ref="X3069:Y3069"/>
    <mergeCell ref="X3070:Y3070"/>
    <mergeCell ref="X3071:Y3071"/>
    <mergeCell ref="X3072:Y3072"/>
    <mergeCell ref="X3073:Y3073"/>
    <mergeCell ref="X3074:Y3074"/>
    <mergeCell ref="X3075:Y3075"/>
    <mergeCell ref="X3076:Y3076"/>
    <mergeCell ref="X3077:Y3077"/>
    <mergeCell ref="X3078:Y3078"/>
    <mergeCell ref="X3079:Y3079"/>
    <mergeCell ref="X3080:Y3080"/>
    <mergeCell ref="X3081:Y3081"/>
    <mergeCell ref="X3082:Y3082"/>
    <mergeCell ref="X3083:Y3083"/>
    <mergeCell ref="X3084:Y3084"/>
    <mergeCell ref="X3085:Y3085"/>
    <mergeCell ref="X3086:Y3086"/>
    <mergeCell ref="X3087:Y3087"/>
    <mergeCell ref="X3088:Y3088"/>
    <mergeCell ref="X3089:Y3089"/>
    <mergeCell ref="X3090:Y3090"/>
    <mergeCell ref="X3091:Y3091"/>
    <mergeCell ref="X3092:Y3092"/>
    <mergeCell ref="X3093:Y3093"/>
    <mergeCell ref="X3094:Y3094"/>
    <mergeCell ref="X3095:Y3095"/>
    <mergeCell ref="X3096:Y3096"/>
    <mergeCell ref="X3097:Y3097"/>
    <mergeCell ref="X3098:Y3098"/>
    <mergeCell ref="X3099:Y3099"/>
    <mergeCell ref="X3100:Y3100"/>
    <mergeCell ref="X3101:Y3101"/>
    <mergeCell ref="X3102:Y3102"/>
    <mergeCell ref="X3103:Y3103"/>
    <mergeCell ref="X3104:Y3104"/>
    <mergeCell ref="X3105:Y3105"/>
    <mergeCell ref="X3106:Y3106"/>
    <mergeCell ref="X3107:Y3107"/>
    <mergeCell ref="X3108:Y3108"/>
    <mergeCell ref="X3109:Y3109"/>
    <mergeCell ref="X3110:Y3110"/>
    <mergeCell ref="X3111:Y3111"/>
    <mergeCell ref="X3112:Y3112"/>
    <mergeCell ref="X3113:Y3113"/>
    <mergeCell ref="X3114:Y3114"/>
    <mergeCell ref="X3115:Y3115"/>
    <mergeCell ref="X3116:Y3116"/>
    <mergeCell ref="X3117:Y3117"/>
    <mergeCell ref="X3118:Y3118"/>
    <mergeCell ref="X3119:Y3119"/>
    <mergeCell ref="X3120:Y3120"/>
    <mergeCell ref="X3121:Y3121"/>
    <mergeCell ref="X3122:Y3122"/>
    <mergeCell ref="X3123:Y3123"/>
    <mergeCell ref="X3124:Y3124"/>
    <mergeCell ref="X3125:Y3125"/>
    <mergeCell ref="X3126:Y3126"/>
    <mergeCell ref="X3127:Y3127"/>
    <mergeCell ref="X3128:Y3128"/>
    <mergeCell ref="X3129:Y3129"/>
    <mergeCell ref="X3130:Y3130"/>
    <mergeCell ref="X3131:Y3131"/>
    <mergeCell ref="X3132:Y3132"/>
    <mergeCell ref="X3133:Y3133"/>
    <mergeCell ref="X3134:Y3134"/>
    <mergeCell ref="X3135:Y3135"/>
    <mergeCell ref="X3136:Y3136"/>
    <mergeCell ref="X3137:Y3137"/>
    <mergeCell ref="X3138:Y3138"/>
    <mergeCell ref="X3139:Y3139"/>
    <mergeCell ref="X3140:Y3140"/>
    <mergeCell ref="X3141:Y3141"/>
    <mergeCell ref="X3142:Y3142"/>
    <mergeCell ref="X3143:Y3143"/>
    <mergeCell ref="X3144:Y3144"/>
    <mergeCell ref="X3145:Y3145"/>
    <mergeCell ref="X3146:Y3146"/>
    <mergeCell ref="X3147:Y3147"/>
    <mergeCell ref="X3148:Y3148"/>
    <mergeCell ref="X3149:Y3149"/>
    <mergeCell ref="X3150:Y3150"/>
    <mergeCell ref="X3151:Y3151"/>
    <mergeCell ref="X3152:Y3152"/>
    <mergeCell ref="X3153:Y3153"/>
    <mergeCell ref="X3154:Y3154"/>
    <mergeCell ref="X3155:Y3155"/>
    <mergeCell ref="X3156:Y3156"/>
    <mergeCell ref="X3157:Y3157"/>
    <mergeCell ref="X3158:Y3158"/>
    <mergeCell ref="X3159:Y3159"/>
    <mergeCell ref="X3160:Y3160"/>
    <mergeCell ref="X3161:Y3161"/>
    <mergeCell ref="X3162:Y3162"/>
    <mergeCell ref="X3163:Y3163"/>
    <mergeCell ref="X3164:Y3164"/>
    <mergeCell ref="X3165:Y3165"/>
    <mergeCell ref="X3166:Y3166"/>
    <mergeCell ref="X3167:Y3167"/>
    <mergeCell ref="X3168:Y3168"/>
    <mergeCell ref="X3169:Y3169"/>
    <mergeCell ref="X3170:Y3170"/>
    <mergeCell ref="X3171:Y3171"/>
    <mergeCell ref="X3172:Y3172"/>
    <mergeCell ref="X3173:Y3173"/>
    <mergeCell ref="X3174:Y3174"/>
    <mergeCell ref="X3175:Y3175"/>
    <mergeCell ref="X3176:Y3176"/>
    <mergeCell ref="X3177:Y3177"/>
    <mergeCell ref="X3178:Y3178"/>
    <mergeCell ref="X3179:Y3179"/>
    <mergeCell ref="X3180:Y3180"/>
    <mergeCell ref="X3181:Y3181"/>
    <mergeCell ref="X3182:Y3182"/>
    <mergeCell ref="X3183:Y3183"/>
    <mergeCell ref="X3184:Y3184"/>
    <mergeCell ref="X3185:Y3185"/>
    <mergeCell ref="X3186:Y3186"/>
    <mergeCell ref="X3187:Y3187"/>
    <mergeCell ref="X3188:Y3188"/>
    <mergeCell ref="X3189:Y3189"/>
    <mergeCell ref="X3190:Y3190"/>
    <mergeCell ref="X3191:Y3191"/>
    <mergeCell ref="X3192:Y3192"/>
    <mergeCell ref="X3193:Y3193"/>
    <mergeCell ref="X3194:Y3194"/>
    <mergeCell ref="X3195:Y3195"/>
    <mergeCell ref="X3196:Y3196"/>
    <mergeCell ref="X3197:Y3197"/>
    <mergeCell ref="X3198:Y3198"/>
    <mergeCell ref="X3199:Y3199"/>
    <mergeCell ref="X3200:Y3200"/>
    <mergeCell ref="X3201:Y3201"/>
    <mergeCell ref="X3202:Y3202"/>
    <mergeCell ref="X3203:Y3203"/>
    <mergeCell ref="X3204:Y3204"/>
    <mergeCell ref="X3205:Y3205"/>
    <mergeCell ref="X3206:Y3206"/>
    <mergeCell ref="X3207:Y3207"/>
    <mergeCell ref="X3208:Y3208"/>
    <mergeCell ref="X3209:Y3209"/>
    <mergeCell ref="X3210:Y3210"/>
    <mergeCell ref="X3211:Y3211"/>
    <mergeCell ref="X3212:Y3212"/>
    <mergeCell ref="X3213:Y3213"/>
    <mergeCell ref="X3214:Y3214"/>
    <mergeCell ref="X3215:Y3215"/>
    <mergeCell ref="X3216:Y3216"/>
    <mergeCell ref="X3217:Y3217"/>
    <mergeCell ref="X3218:Y3218"/>
    <mergeCell ref="X3219:Y3219"/>
    <mergeCell ref="X3220:Y3220"/>
    <mergeCell ref="X3221:Y3221"/>
    <mergeCell ref="X3222:Y3222"/>
    <mergeCell ref="X3223:Y3223"/>
    <mergeCell ref="X3224:Y3224"/>
    <mergeCell ref="X3225:Y3225"/>
    <mergeCell ref="X3226:Y3226"/>
    <mergeCell ref="X3227:Y3227"/>
    <mergeCell ref="X3228:Y3228"/>
    <mergeCell ref="X3229:Y3229"/>
    <mergeCell ref="X3230:Y3230"/>
    <mergeCell ref="X3231:Y3231"/>
    <mergeCell ref="X3232:Y3232"/>
    <mergeCell ref="X3233:Y3233"/>
    <mergeCell ref="X3234:Y3234"/>
    <mergeCell ref="X3235:Y3235"/>
    <mergeCell ref="X3236:Y3236"/>
    <mergeCell ref="X3237:Y3237"/>
    <mergeCell ref="X3238:Y3238"/>
    <mergeCell ref="X3239:Y3239"/>
    <mergeCell ref="X3240:Y3240"/>
    <mergeCell ref="X3241:Y3241"/>
    <mergeCell ref="X3242:Y3242"/>
    <mergeCell ref="X3243:Y3243"/>
    <mergeCell ref="X3244:Y3244"/>
    <mergeCell ref="X3245:Y3245"/>
    <mergeCell ref="X3246:Y3246"/>
    <mergeCell ref="X3247:Y3247"/>
    <mergeCell ref="X3248:Y3248"/>
    <mergeCell ref="X3249:Y3249"/>
    <mergeCell ref="X3250:Y3250"/>
    <mergeCell ref="X3251:Y3251"/>
    <mergeCell ref="X3252:Y3252"/>
    <mergeCell ref="X3253:Y3253"/>
    <mergeCell ref="X3254:Y3254"/>
    <mergeCell ref="X3255:Y3255"/>
    <mergeCell ref="X3256:Y3256"/>
    <mergeCell ref="X3257:Y3257"/>
    <mergeCell ref="X3258:Y3258"/>
    <mergeCell ref="X3259:Y3259"/>
    <mergeCell ref="X3260:Y3260"/>
    <mergeCell ref="X3261:Y3261"/>
    <mergeCell ref="X3262:Y3262"/>
    <mergeCell ref="X3263:Y3263"/>
    <mergeCell ref="X3264:Y3264"/>
    <mergeCell ref="X3265:Y3265"/>
    <mergeCell ref="X3266:Y3266"/>
    <mergeCell ref="X3267:Y3267"/>
    <mergeCell ref="X3268:Y3268"/>
    <mergeCell ref="X3269:Y3269"/>
    <mergeCell ref="X3270:Y3270"/>
    <mergeCell ref="X3271:Y3271"/>
    <mergeCell ref="X3272:Y3272"/>
    <mergeCell ref="X3273:Y3273"/>
    <mergeCell ref="X3274:Y3274"/>
    <mergeCell ref="X3275:Y3275"/>
    <mergeCell ref="X3276:Y3276"/>
    <mergeCell ref="X3277:Y3277"/>
    <mergeCell ref="X3278:Y3278"/>
    <mergeCell ref="X3279:Y3279"/>
    <mergeCell ref="X3280:Y3280"/>
    <mergeCell ref="X3281:Y3281"/>
    <mergeCell ref="X3282:Y3282"/>
    <mergeCell ref="X3283:Y3283"/>
    <mergeCell ref="X3284:Y3284"/>
    <mergeCell ref="X3285:Y3285"/>
    <mergeCell ref="X3286:Y3286"/>
    <mergeCell ref="X3287:Y3287"/>
    <mergeCell ref="X3288:Y3288"/>
    <mergeCell ref="X3289:Y3289"/>
    <mergeCell ref="X3290:Y3290"/>
    <mergeCell ref="X3291:Y3291"/>
    <mergeCell ref="X3292:Y3292"/>
    <mergeCell ref="X3293:Y3293"/>
    <mergeCell ref="X3294:Y3294"/>
    <mergeCell ref="X3295:Y3295"/>
    <mergeCell ref="X3296:Y3296"/>
    <mergeCell ref="X3297:Y3297"/>
    <mergeCell ref="X3298:Y3298"/>
    <mergeCell ref="X3299:Y3299"/>
    <mergeCell ref="X3300:Y3300"/>
    <mergeCell ref="X3301:Y3301"/>
    <mergeCell ref="X3302:Y3302"/>
    <mergeCell ref="X3303:Y3303"/>
    <mergeCell ref="X3304:Y3304"/>
    <mergeCell ref="X3305:Y3305"/>
    <mergeCell ref="X3306:Y3306"/>
    <mergeCell ref="X3307:Y3307"/>
    <mergeCell ref="X3308:Y3308"/>
    <mergeCell ref="X3309:Y3309"/>
    <mergeCell ref="X3310:Y3310"/>
    <mergeCell ref="X3311:Y3311"/>
    <mergeCell ref="X3312:Y3312"/>
    <mergeCell ref="X3313:Y3313"/>
    <mergeCell ref="X3314:Y3314"/>
    <mergeCell ref="X3315:Y3315"/>
    <mergeCell ref="X3316:Y3316"/>
    <mergeCell ref="X3317:Y3317"/>
    <mergeCell ref="X3318:Y3318"/>
    <mergeCell ref="X3319:Y3319"/>
    <mergeCell ref="X3320:Y3320"/>
    <mergeCell ref="X3321:Y3321"/>
    <mergeCell ref="X3322:Y3322"/>
    <mergeCell ref="X3323:Y3323"/>
    <mergeCell ref="X3324:Y3324"/>
    <mergeCell ref="X3325:Y3325"/>
    <mergeCell ref="X3326:Y3326"/>
    <mergeCell ref="X3327:Y3327"/>
    <mergeCell ref="X3328:Y3328"/>
    <mergeCell ref="X3329:Y3329"/>
    <mergeCell ref="X3330:Y3330"/>
    <mergeCell ref="X3331:Y3331"/>
    <mergeCell ref="X3332:Y3332"/>
    <mergeCell ref="X3333:Y3333"/>
    <mergeCell ref="X3334:Y3334"/>
    <mergeCell ref="X3335:Y3335"/>
    <mergeCell ref="X3336:Y3336"/>
    <mergeCell ref="X3337:Y3337"/>
    <mergeCell ref="X3338:Y3338"/>
    <mergeCell ref="X3339:Y3339"/>
    <mergeCell ref="X3340:Y3340"/>
    <mergeCell ref="X3341:Y3341"/>
    <mergeCell ref="X3342:Y3342"/>
    <mergeCell ref="X3343:Y3343"/>
    <mergeCell ref="X3344:Y3344"/>
    <mergeCell ref="X3345:Y3345"/>
    <mergeCell ref="X3346:Y3346"/>
    <mergeCell ref="X3347:Y3347"/>
    <mergeCell ref="X3348:Y3348"/>
    <mergeCell ref="X3349:Y3349"/>
    <mergeCell ref="X3350:Y3350"/>
    <mergeCell ref="X3351:Y3351"/>
    <mergeCell ref="X3352:Y3352"/>
    <mergeCell ref="X3353:Y3353"/>
    <mergeCell ref="X3354:Y3354"/>
    <mergeCell ref="X3355:Y3355"/>
    <mergeCell ref="X3356:Y3356"/>
    <mergeCell ref="X3357:Y3357"/>
    <mergeCell ref="X3358:Y3358"/>
    <mergeCell ref="X3359:Y3359"/>
    <mergeCell ref="X3360:Y3360"/>
    <mergeCell ref="X3361:Y3361"/>
    <mergeCell ref="X3362:Y3362"/>
    <mergeCell ref="X3363:Y3363"/>
    <mergeCell ref="X3364:Y3364"/>
    <mergeCell ref="X3365:Y3365"/>
    <mergeCell ref="X3366:Y3366"/>
    <mergeCell ref="X3367:Y3367"/>
    <mergeCell ref="X3368:Y3368"/>
    <mergeCell ref="X3369:Y3369"/>
    <mergeCell ref="X3370:Y3370"/>
    <mergeCell ref="X3371:Y3371"/>
    <mergeCell ref="X3372:Y3372"/>
    <mergeCell ref="X3373:Y3373"/>
    <mergeCell ref="X3374:Y3374"/>
    <mergeCell ref="X3375:Y3375"/>
    <mergeCell ref="X3376:Y3376"/>
    <mergeCell ref="X3377:Y3377"/>
    <mergeCell ref="X3378:Y3378"/>
    <mergeCell ref="X3379:Y3379"/>
    <mergeCell ref="X3380:Y3380"/>
    <mergeCell ref="X3381:Y3381"/>
    <mergeCell ref="X3382:Y3382"/>
    <mergeCell ref="X3383:Y3383"/>
    <mergeCell ref="X3384:Y3384"/>
    <mergeCell ref="X3385:Y3385"/>
    <mergeCell ref="X3386:Y3386"/>
    <mergeCell ref="X3387:Y3387"/>
    <mergeCell ref="X3388:Y3388"/>
    <mergeCell ref="X3389:Y3389"/>
    <mergeCell ref="X3390:Y3390"/>
    <mergeCell ref="X3391:Y3391"/>
    <mergeCell ref="X3392:Y3392"/>
    <mergeCell ref="X3393:Y3393"/>
    <mergeCell ref="X3394:Y3394"/>
    <mergeCell ref="X3395:Y3395"/>
    <mergeCell ref="X3396:Y3396"/>
    <mergeCell ref="X3397:Y3397"/>
    <mergeCell ref="X3398:Y3398"/>
    <mergeCell ref="X3399:Y3399"/>
    <mergeCell ref="X3400:Y3400"/>
    <mergeCell ref="X3401:Y3401"/>
    <mergeCell ref="X3402:Y3402"/>
    <mergeCell ref="X3403:Y3403"/>
    <mergeCell ref="X3404:Y3404"/>
    <mergeCell ref="X3405:Y3405"/>
    <mergeCell ref="X3406:Y3406"/>
    <mergeCell ref="X3407:Y3407"/>
    <mergeCell ref="X3408:Y3408"/>
    <mergeCell ref="X3409:Y3409"/>
    <mergeCell ref="X3410:Y3410"/>
    <mergeCell ref="X3411:Y3411"/>
    <mergeCell ref="X3412:Y3412"/>
    <mergeCell ref="X3413:Y3413"/>
    <mergeCell ref="X3414:Y3414"/>
    <mergeCell ref="X3415:Y3415"/>
    <mergeCell ref="X3416:Y3416"/>
    <mergeCell ref="X3417:Y3417"/>
    <mergeCell ref="X3418:Y3418"/>
    <mergeCell ref="X3419:Y3419"/>
    <mergeCell ref="X3420:Y3420"/>
    <mergeCell ref="X3421:Y3421"/>
    <mergeCell ref="X3422:Y3422"/>
    <mergeCell ref="X3423:Y3423"/>
    <mergeCell ref="X3424:Y3424"/>
    <mergeCell ref="X3425:Y3425"/>
    <mergeCell ref="X3426:Y3426"/>
    <mergeCell ref="X3427:Y3427"/>
    <mergeCell ref="X3428:Y3428"/>
    <mergeCell ref="X3429:Y3429"/>
    <mergeCell ref="X3430:Y3430"/>
    <mergeCell ref="X3431:Y3431"/>
    <mergeCell ref="X3432:Y3432"/>
    <mergeCell ref="X3433:Y3433"/>
    <mergeCell ref="X3434:Y3434"/>
    <mergeCell ref="X3435:Y3435"/>
    <mergeCell ref="X3436:Y3436"/>
    <mergeCell ref="X3437:Y3437"/>
    <mergeCell ref="X3438:Y3438"/>
    <mergeCell ref="X3439:Y3439"/>
    <mergeCell ref="X3440:Y3440"/>
    <mergeCell ref="X3441:Y3441"/>
    <mergeCell ref="X3442:Y3442"/>
    <mergeCell ref="X3443:Y3443"/>
    <mergeCell ref="X3444:Y3444"/>
    <mergeCell ref="X3445:Y3445"/>
    <mergeCell ref="X3446:Y3446"/>
    <mergeCell ref="X3447:Y3447"/>
    <mergeCell ref="X3448:Y3448"/>
    <mergeCell ref="X3449:Y3449"/>
    <mergeCell ref="X3450:Y3450"/>
    <mergeCell ref="X3451:Y3451"/>
    <mergeCell ref="X3452:Y3452"/>
    <mergeCell ref="X3453:Y3453"/>
    <mergeCell ref="X3454:Y3454"/>
    <mergeCell ref="X3455:Y3455"/>
    <mergeCell ref="X3456:Y3456"/>
    <mergeCell ref="X3457:Y3457"/>
    <mergeCell ref="X3458:Y3458"/>
    <mergeCell ref="X3459:Y3459"/>
    <mergeCell ref="X3460:Y3460"/>
    <mergeCell ref="X3461:Y3461"/>
    <mergeCell ref="X3462:Y3462"/>
    <mergeCell ref="X3463:Y3463"/>
    <mergeCell ref="X3464:Y3464"/>
    <mergeCell ref="X3465:Y3465"/>
    <mergeCell ref="X3466:Y3466"/>
    <mergeCell ref="X3467:Y3467"/>
    <mergeCell ref="X3468:Y3468"/>
    <mergeCell ref="X3469:Y3469"/>
    <mergeCell ref="X3470:Y3470"/>
    <mergeCell ref="X3471:Y3471"/>
    <mergeCell ref="X3472:Y3472"/>
    <mergeCell ref="X3473:Y3473"/>
    <mergeCell ref="X3474:Y3474"/>
    <mergeCell ref="X3475:Y3475"/>
    <mergeCell ref="X3476:Y3476"/>
    <mergeCell ref="X3477:Y3477"/>
    <mergeCell ref="X3478:Y3478"/>
    <mergeCell ref="X3479:Y3479"/>
    <mergeCell ref="X3480:Y3480"/>
    <mergeCell ref="X3481:Y3481"/>
    <mergeCell ref="X3482:Y3482"/>
    <mergeCell ref="X3483:Y3483"/>
    <mergeCell ref="X3484:Y3484"/>
    <mergeCell ref="X3485:Y3485"/>
    <mergeCell ref="X3486:Y3486"/>
    <mergeCell ref="X3487:Y3487"/>
    <mergeCell ref="X3488:Y3488"/>
    <mergeCell ref="X3489:Y3489"/>
    <mergeCell ref="X3490:Y3490"/>
    <mergeCell ref="X3491:Y3491"/>
    <mergeCell ref="X3492:Y3492"/>
    <mergeCell ref="X3493:Y3493"/>
    <mergeCell ref="X3494:Y3494"/>
    <mergeCell ref="X3495:Y3495"/>
    <mergeCell ref="X3496:Y3496"/>
    <mergeCell ref="X3497:Y3497"/>
    <mergeCell ref="X3498:Y3498"/>
    <mergeCell ref="X3499:Y3499"/>
    <mergeCell ref="X3500:Y3500"/>
    <mergeCell ref="X3501:Y3501"/>
    <mergeCell ref="X3502:Y3502"/>
    <mergeCell ref="X3503:Y3503"/>
    <mergeCell ref="X3504:Y3504"/>
    <mergeCell ref="X3505:Y3505"/>
    <mergeCell ref="X3506:Y3506"/>
    <mergeCell ref="X3507:Y3507"/>
    <mergeCell ref="X3508:Y3508"/>
    <mergeCell ref="X3509:Y3509"/>
    <mergeCell ref="X3510:Y3510"/>
    <mergeCell ref="X3511:Y3511"/>
    <mergeCell ref="X3512:Y3512"/>
    <mergeCell ref="X3513:Y3513"/>
    <mergeCell ref="X3514:Y3514"/>
    <mergeCell ref="X3515:Y3515"/>
    <mergeCell ref="X3516:Y3516"/>
    <mergeCell ref="X3517:Y3517"/>
    <mergeCell ref="X3518:Y3518"/>
    <mergeCell ref="X3519:Y3519"/>
    <mergeCell ref="X3520:Y3520"/>
    <mergeCell ref="X3521:Y3521"/>
    <mergeCell ref="X3522:Y3522"/>
    <mergeCell ref="X3523:Y3523"/>
    <mergeCell ref="X3524:Y3524"/>
    <mergeCell ref="X3525:Y3525"/>
    <mergeCell ref="X3526:Y3526"/>
    <mergeCell ref="X3527:Y3527"/>
    <mergeCell ref="X3528:Y3528"/>
    <mergeCell ref="X3529:Y3529"/>
    <mergeCell ref="X3530:Y3530"/>
    <mergeCell ref="X3531:Y3531"/>
    <mergeCell ref="X3532:Y3532"/>
    <mergeCell ref="X3533:Y3533"/>
    <mergeCell ref="X3534:Y3534"/>
    <mergeCell ref="X3535:Y3535"/>
    <mergeCell ref="X3536:Y3536"/>
    <mergeCell ref="X3537:Y3537"/>
    <mergeCell ref="X3538:Y3538"/>
    <mergeCell ref="X3539:Y3539"/>
    <mergeCell ref="X3540:Y3540"/>
    <mergeCell ref="X3541:Y3541"/>
    <mergeCell ref="X3542:Y3542"/>
    <mergeCell ref="X3543:Y3543"/>
    <mergeCell ref="X3544:Y3544"/>
    <mergeCell ref="X3545:Y3545"/>
    <mergeCell ref="X3546:Y3546"/>
    <mergeCell ref="X3547:Y3547"/>
    <mergeCell ref="X3548:Y3548"/>
    <mergeCell ref="X3549:Y3549"/>
    <mergeCell ref="X3550:Y3550"/>
    <mergeCell ref="X3551:Y3551"/>
    <mergeCell ref="X3552:Y3552"/>
    <mergeCell ref="X3553:Y3553"/>
    <mergeCell ref="X3554:Y3554"/>
    <mergeCell ref="X3555:Y3555"/>
    <mergeCell ref="X3556:Y3556"/>
    <mergeCell ref="X3557:Y3557"/>
    <mergeCell ref="X3558:Y3558"/>
    <mergeCell ref="X3559:Y3559"/>
    <mergeCell ref="X3560:Y3560"/>
    <mergeCell ref="X3561:Y3561"/>
    <mergeCell ref="X3562:Y3562"/>
    <mergeCell ref="X3563:Y3563"/>
    <mergeCell ref="X3564:Y3564"/>
    <mergeCell ref="X3565:Y3565"/>
    <mergeCell ref="X3566:Y3566"/>
    <mergeCell ref="X3567:Y3567"/>
    <mergeCell ref="X3568:Y3568"/>
    <mergeCell ref="X3569:Y3569"/>
    <mergeCell ref="X3570:Y3570"/>
    <mergeCell ref="X3571:Y3571"/>
    <mergeCell ref="X3572:Y3572"/>
    <mergeCell ref="X3573:Y3573"/>
    <mergeCell ref="X3574:Y3574"/>
    <mergeCell ref="X3575:Y3575"/>
    <mergeCell ref="X3576:Y3576"/>
    <mergeCell ref="X3577:Y3577"/>
    <mergeCell ref="X3578:Y3578"/>
    <mergeCell ref="X3579:Y3579"/>
    <mergeCell ref="X3580:Y3580"/>
    <mergeCell ref="X3581:Y3581"/>
    <mergeCell ref="X3582:Y3582"/>
    <mergeCell ref="X3583:Y3583"/>
    <mergeCell ref="X3584:Y3584"/>
    <mergeCell ref="X3585:Y3585"/>
    <mergeCell ref="X3586:Y3586"/>
    <mergeCell ref="X3587:Y3587"/>
    <mergeCell ref="X3588:Y3588"/>
    <mergeCell ref="X3589:Y3589"/>
    <mergeCell ref="X3590:Y3590"/>
    <mergeCell ref="X3591:Y3591"/>
    <mergeCell ref="X3592:Y3592"/>
    <mergeCell ref="X3593:Y3593"/>
    <mergeCell ref="X3594:Y3594"/>
    <mergeCell ref="X3595:Y3595"/>
    <mergeCell ref="X3596:Y3596"/>
    <mergeCell ref="X3597:Y3597"/>
    <mergeCell ref="X3598:Y3598"/>
    <mergeCell ref="X3599:Y3599"/>
    <mergeCell ref="X3600:Y3600"/>
    <mergeCell ref="X3601:Y3601"/>
    <mergeCell ref="X3602:Y3602"/>
    <mergeCell ref="X3603:Y3603"/>
    <mergeCell ref="X3604:Y3604"/>
    <mergeCell ref="X3605:Y3605"/>
    <mergeCell ref="X3606:Y3606"/>
    <mergeCell ref="X3607:Y3607"/>
    <mergeCell ref="X3608:Y3608"/>
    <mergeCell ref="X3609:Y3609"/>
    <mergeCell ref="X3610:Y3610"/>
    <mergeCell ref="X3611:Y3611"/>
    <mergeCell ref="X3612:Y3612"/>
    <mergeCell ref="X3613:Y3613"/>
    <mergeCell ref="X3614:Y3614"/>
    <mergeCell ref="X3615:Y3615"/>
    <mergeCell ref="X3616:Y3616"/>
    <mergeCell ref="X3617:Y3617"/>
    <mergeCell ref="X3618:Y3618"/>
    <mergeCell ref="X3619:Y3619"/>
    <mergeCell ref="X3620:Y3620"/>
    <mergeCell ref="X3621:Y3621"/>
    <mergeCell ref="X3622:Y3622"/>
    <mergeCell ref="X3623:Y3623"/>
    <mergeCell ref="X3624:Y3624"/>
    <mergeCell ref="X3625:Y3625"/>
    <mergeCell ref="X3626:Y3626"/>
    <mergeCell ref="X3627:Y3627"/>
    <mergeCell ref="X3628:Y3628"/>
    <mergeCell ref="X3629:Y3629"/>
    <mergeCell ref="X3630:Y3630"/>
    <mergeCell ref="X3631:Y3631"/>
    <mergeCell ref="X3632:Y3632"/>
    <mergeCell ref="X3633:Y3633"/>
  </mergeCells>
  <hyperlinks>
    <hyperlink r:id="rId1" ref="AV2"/>
    <hyperlink r:id="rId2" ref="AV3"/>
    <hyperlink r:id="rId3" ref="AV4"/>
    <hyperlink r:id="rId4" ref="AV5"/>
    <hyperlink r:id="rId5" ref="AV6"/>
    <hyperlink r:id="rId6" ref="AV7"/>
    <hyperlink r:id="rId7" ref="AV8"/>
    <hyperlink r:id="rId8" ref="AV9"/>
    <hyperlink r:id="rId9" ref="AV10"/>
    <hyperlink r:id="rId10" ref="AV11"/>
    <hyperlink r:id="rId11" ref="AV12"/>
    <hyperlink r:id="rId12" ref="AV13"/>
    <hyperlink r:id="rId13" ref="AV14"/>
    <hyperlink r:id="rId14" ref="AV15"/>
    <hyperlink r:id="rId15" ref="AV16"/>
    <hyperlink r:id="rId16" ref="AV17"/>
    <hyperlink r:id="rId17" ref="AV18"/>
    <hyperlink r:id="rId18" ref="AV19"/>
    <hyperlink r:id="rId19" ref="AV20"/>
    <hyperlink r:id="rId20" ref="AV21"/>
    <hyperlink r:id="rId21" ref="AV22"/>
    <hyperlink r:id="rId22" ref="AV23"/>
    <hyperlink r:id="rId23" ref="AV24"/>
    <hyperlink r:id="rId24" ref="AV25"/>
    <hyperlink r:id="rId25" ref="AV26"/>
    <hyperlink r:id="rId26" ref="AV27"/>
    <hyperlink r:id="rId27" ref="AV28"/>
    <hyperlink r:id="rId28" ref="AV29"/>
    <hyperlink r:id="rId29" ref="AV30"/>
    <hyperlink r:id="rId30" ref="AV31"/>
    <hyperlink r:id="rId31" ref="AV32"/>
    <hyperlink r:id="rId32" ref="AV33"/>
    <hyperlink r:id="rId33" ref="AV34"/>
    <hyperlink r:id="rId34" ref="AV35"/>
    <hyperlink r:id="rId35" ref="AV36"/>
    <hyperlink r:id="rId36" ref="AV37"/>
    <hyperlink r:id="rId37" ref="AV38"/>
    <hyperlink r:id="rId38" ref="AV39"/>
    <hyperlink r:id="rId39" ref="AV40"/>
    <hyperlink r:id="rId40" ref="AV41"/>
    <hyperlink r:id="rId41" ref="AV42"/>
    <hyperlink r:id="rId42" ref="AV43"/>
    <hyperlink r:id="rId43" ref="AV44"/>
    <hyperlink r:id="rId44" ref="AV45"/>
    <hyperlink r:id="rId45" ref="AV46"/>
    <hyperlink r:id="rId46" ref="AV47"/>
    <hyperlink r:id="rId47" ref="AV48"/>
    <hyperlink r:id="rId48" ref="AV49"/>
    <hyperlink r:id="rId49" ref="AV50"/>
    <hyperlink r:id="rId50" ref="AV51"/>
    <hyperlink r:id="rId51" ref="AV52"/>
    <hyperlink r:id="rId52" ref="AV53"/>
    <hyperlink r:id="rId53" ref="AV54"/>
    <hyperlink r:id="rId54" ref="AV55"/>
    <hyperlink r:id="rId55" ref="AV56"/>
    <hyperlink r:id="rId56" ref="AV57"/>
    <hyperlink r:id="rId57" ref="AV58"/>
    <hyperlink r:id="rId58" ref="AV59"/>
    <hyperlink r:id="rId59" ref="AV60"/>
    <hyperlink r:id="rId60" ref="AV61"/>
    <hyperlink r:id="rId61" ref="AV62"/>
    <hyperlink r:id="rId62" ref="AV63"/>
    <hyperlink r:id="rId63" ref="AV64"/>
    <hyperlink r:id="rId64" ref="AV65"/>
    <hyperlink r:id="rId65" ref="AV66"/>
    <hyperlink r:id="rId66" ref="AV67"/>
    <hyperlink r:id="rId67" ref="AV68"/>
    <hyperlink r:id="rId68" ref="AV69"/>
    <hyperlink r:id="rId69" ref="AV70"/>
    <hyperlink r:id="rId70" ref="AV71"/>
    <hyperlink r:id="rId71" ref="AV72"/>
    <hyperlink r:id="rId72" ref="AV73"/>
    <hyperlink r:id="rId73" ref="AV74"/>
    <hyperlink r:id="rId74" ref="AV75"/>
    <hyperlink r:id="rId75" ref="AV76"/>
    <hyperlink r:id="rId76" ref="AV77"/>
    <hyperlink r:id="rId77" ref="AV78"/>
    <hyperlink r:id="rId78" ref="AV79"/>
    <hyperlink r:id="rId79" ref="AV80"/>
    <hyperlink r:id="rId80" ref="AV81"/>
    <hyperlink r:id="rId81" ref="AV82"/>
    <hyperlink r:id="rId82" ref="AV83"/>
    <hyperlink r:id="rId83" ref="AV84"/>
    <hyperlink r:id="rId84" ref="AV85"/>
    <hyperlink r:id="rId85" ref="AV86"/>
    <hyperlink r:id="rId86" ref="AV87"/>
    <hyperlink r:id="rId87" ref="AV88"/>
    <hyperlink r:id="rId88" ref="AV89"/>
    <hyperlink r:id="rId89" ref="AV90"/>
    <hyperlink r:id="rId90" ref="AV91"/>
    <hyperlink r:id="rId91" ref="AV92"/>
    <hyperlink r:id="rId92" ref="AV93"/>
    <hyperlink r:id="rId93" ref="AV94"/>
    <hyperlink r:id="rId94" ref="AV95"/>
    <hyperlink r:id="rId95" ref="AV96"/>
    <hyperlink r:id="rId96" ref="AV97"/>
    <hyperlink r:id="rId97" ref="AV98"/>
    <hyperlink r:id="rId98" ref="AV99"/>
    <hyperlink r:id="rId99" ref="AV100"/>
    <hyperlink r:id="rId100" ref="AV101"/>
    <hyperlink r:id="rId101" ref="AV102"/>
    <hyperlink r:id="rId102" ref="AV103"/>
    <hyperlink r:id="rId103" ref="AV104"/>
    <hyperlink r:id="rId104" ref="AV105"/>
    <hyperlink r:id="rId105" ref="AV106"/>
    <hyperlink r:id="rId106" ref="AV107"/>
    <hyperlink r:id="rId107" ref="AV108"/>
    <hyperlink r:id="rId108" ref="AV109"/>
    <hyperlink r:id="rId109" ref="AV110"/>
    <hyperlink r:id="rId110" ref="AV111"/>
    <hyperlink r:id="rId111" ref="AV112"/>
    <hyperlink r:id="rId112" ref="AV113"/>
    <hyperlink r:id="rId113" ref="AV114"/>
    <hyperlink r:id="rId114" ref="AV115"/>
    <hyperlink r:id="rId115" ref="AV116"/>
    <hyperlink r:id="rId116" ref="AV117"/>
    <hyperlink r:id="rId117" ref="AV118"/>
    <hyperlink r:id="rId118" ref="AV119"/>
    <hyperlink r:id="rId119" ref="AV120"/>
    <hyperlink r:id="rId120" ref="AV121"/>
    <hyperlink r:id="rId121" ref="AV122"/>
    <hyperlink r:id="rId122" ref="AV123"/>
    <hyperlink r:id="rId123" ref="AV124"/>
    <hyperlink r:id="rId124" ref="AV125"/>
    <hyperlink r:id="rId125" ref="AV126"/>
    <hyperlink r:id="rId126" ref="AV127"/>
    <hyperlink r:id="rId127" ref="AV128"/>
    <hyperlink r:id="rId128" ref="AV129"/>
    <hyperlink r:id="rId129" ref="AV130"/>
    <hyperlink r:id="rId130" ref="AV131"/>
    <hyperlink r:id="rId131" ref="AV132"/>
    <hyperlink r:id="rId132" ref="AV133"/>
    <hyperlink r:id="rId133" ref="AV134"/>
    <hyperlink r:id="rId134" ref="AV135"/>
    <hyperlink r:id="rId135" ref="AV136"/>
    <hyperlink r:id="rId136" ref="AV137"/>
    <hyperlink r:id="rId137" ref="AV138"/>
    <hyperlink r:id="rId138" ref="AV139"/>
    <hyperlink r:id="rId139" ref="AV140"/>
    <hyperlink r:id="rId140" ref="AV141"/>
    <hyperlink r:id="rId141" ref="AV142"/>
    <hyperlink r:id="rId142" ref="AV143"/>
    <hyperlink r:id="rId143" ref="AV144"/>
    <hyperlink r:id="rId144" ref="AV145"/>
    <hyperlink r:id="rId145" ref="AV146"/>
    <hyperlink r:id="rId146" ref="AV147"/>
    <hyperlink r:id="rId147" ref="AV148"/>
    <hyperlink r:id="rId148" ref="AV149"/>
    <hyperlink r:id="rId149" ref="AV150"/>
    <hyperlink r:id="rId150" ref="AV151"/>
    <hyperlink r:id="rId151" ref="AV152"/>
    <hyperlink r:id="rId152" ref="AV153"/>
    <hyperlink r:id="rId153" ref="AV154"/>
    <hyperlink r:id="rId154" ref="AV155"/>
    <hyperlink r:id="rId155" ref="AV156"/>
    <hyperlink r:id="rId156" ref="AV157"/>
    <hyperlink r:id="rId157" ref="AV158"/>
    <hyperlink r:id="rId158" ref="AV159"/>
    <hyperlink r:id="rId159" ref="AV160"/>
    <hyperlink r:id="rId160" ref="AV161"/>
    <hyperlink r:id="rId161" ref="AV162"/>
    <hyperlink r:id="rId162" ref="AV163"/>
    <hyperlink r:id="rId163" ref="AV164"/>
    <hyperlink r:id="rId164" ref="AV165"/>
    <hyperlink r:id="rId165" ref="AV166"/>
    <hyperlink r:id="rId166" ref="AV167"/>
    <hyperlink r:id="rId167" ref="AV168"/>
    <hyperlink r:id="rId168" ref="AV169"/>
    <hyperlink r:id="rId169" ref="AV170"/>
    <hyperlink r:id="rId170" ref="AV171"/>
    <hyperlink r:id="rId171" ref="AV172"/>
    <hyperlink r:id="rId172" ref="AV173"/>
    <hyperlink r:id="rId173" ref="AV174"/>
    <hyperlink r:id="rId174" ref="AV175"/>
    <hyperlink r:id="rId175" ref="AV176"/>
    <hyperlink r:id="rId176" ref="AV177"/>
    <hyperlink r:id="rId177" ref="AV178"/>
    <hyperlink r:id="rId178" ref="AV179"/>
    <hyperlink r:id="rId179" ref="AV180"/>
    <hyperlink r:id="rId180" ref="AV181"/>
    <hyperlink r:id="rId181" ref="AV182"/>
    <hyperlink r:id="rId182" ref="AV183"/>
    <hyperlink r:id="rId183" ref="AV184"/>
    <hyperlink r:id="rId184" ref="AV185"/>
    <hyperlink r:id="rId185" ref="AV186"/>
    <hyperlink r:id="rId186" ref="AV187"/>
    <hyperlink r:id="rId187" ref="AV188"/>
    <hyperlink r:id="rId188" ref="AV189"/>
    <hyperlink r:id="rId189" ref="AV190"/>
    <hyperlink r:id="rId190" ref="AV191"/>
    <hyperlink r:id="rId191" ref="AV192"/>
    <hyperlink r:id="rId192" ref="AV193"/>
    <hyperlink r:id="rId193" ref="AV194"/>
    <hyperlink r:id="rId194" ref="AV195"/>
    <hyperlink r:id="rId195" ref="AV196"/>
    <hyperlink r:id="rId196" ref="AV197"/>
    <hyperlink r:id="rId197" ref="AV198"/>
    <hyperlink r:id="rId198" ref="AV199"/>
    <hyperlink r:id="rId199" ref="AV200"/>
    <hyperlink r:id="rId200" ref="AV201"/>
    <hyperlink r:id="rId201" ref="AV202"/>
    <hyperlink r:id="rId202" ref="AV203"/>
    <hyperlink r:id="rId203" ref="AV204"/>
    <hyperlink r:id="rId204" ref="AV205"/>
    <hyperlink r:id="rId205" ref="AV206"/>
    <hyperlink r:id="rId206" ref="AV207"/>
    <hyperlink r:id="rId207" ref="AV208"/>
    <hyperlink r:id="rId208" ref="AV209"/>
    <hyperlink r:id="rId209" ref="AV210"/>
    <hyperlink r:id="rId210" ref="AV211"/>
    <hyperlink r:id="rId211" ref="AV212"/>
    <hyperlink r:id="rId212" ref="AV213"/>
    <hyperlink r:id="rId213" ref="AV214"/>
    <hyperlink r:id="rId214" ref="AV215"/>
    <hyperlink r:id="rId215" ref="AV216"/>
    <hyperlink r:id="rId216" ref="AV217"/>
    <hyperlink r:id="rId217" ref="AV218"/>
    <hyperlink r:id="rId218" ref="AV219"/>
    <hyperlink r:id="rId219" ref="AV220"/>
    <hyperlink r:id="rId220" ref="AV221"/>
    <hyperlink r:id="rId221" ref="AV222"/>
    <hyperlink r:id="rId222" ref="AV223"/>
    <hyperlink r:id="rId223" ref="AV224"/>
    <hyperlink r:id="rId224" ref="AV225"/>
    <hyperlink r:id="rId225" ref="AV226"/>
    <hyperlink r:id="rId226" ref="AV227"/>
    <hyperlink r:id="rId227" ref="AV228"/>
    <hyperlink r:id="rId228" ref="AV229"/>
    <hyperlink r:id="rId229" ref="AV230"/>
    <hyperlink r:id="rId230" ref="AV231"/>
    <hyperlink r:id="rId231" ref="AV232"/>
    <hyperlink r:id="rId232" ref="AV233"/>
    <hyperlink r:id="rId233" ref="AV234"/>
    <hyperlink r:id="rId234" ref="AV235"/>
    <hyperlink r:id="rId235" ref="AV236"/>
    <hyperlink r:id="rId236" ref="AV237"/>
    <hyperlink r:id="rId237" ref="AV238"/>
    <hyperlink r:id="rId238" ref="AV239"/>
    <hyperlink r:id="rId239" ref="AV240"/>
    <hyperlink r:id="rId240" ref="AV241"/>
    <hyperlink r:id="rId241" ref="AV242"/>
    <hyperlink r:id="rId242" ref="AV243"/>
    <hyperlink r:id="rId243" ref="AV244"/>
    <hyperlink r:id="rId244" ref="AV245"/>
    <hyperlink r:id="rId245" ref="AV246"/>
    <hyperlink r:id="rId246" ref="AV247"/>
    <hyperlink r:id="rId247" ref="AV248"/>
    <hyperlink r:id="rId248" ref="AV249"/>
    <hyperlink r:id="rId249" ref="AV250"/>
    <hyperlink r:id="rId250" ref="AV251"/>
    <hyperlink r:id="rId251" ref="AV252"/>
    <hyperlink r:id="rId252" ref="AV253"/>
    <hyperlink r:id="rId253" ref="AV254"/>
    <hyperlink r:id="rId254" ref="AV255"/>
    <hyperlink r:id="rId255" ref="AV256"/>
    <hyperlink r:id="rId256" ref="AV257"/>
    <hyperlink r:id="rId257" ref="AV258"/>
    <hyperlink r:id="rId258" ref="AV259"/>
    <hyperlink r:id="rId259" ref="AV260"/>
    <hyperlink r:id="rId260" ref="AV261"/>
    <hyperlink r:id="rId261" ref="AV262"/>
    <hyperlink r:id="rId262" ref="AV263"/>
    <hyperlink r:id="rId263" ref="AV264"/>
    <hyperlink r:id="rId264" ref="AV265"/>
    <hyperlink r:id="rId265" ref="AV266"/>
    <hyperlink r:id="rId266" ref="AV267"/>
    <hyperlink r:id="rId267" ref="AV268"/>
    <hyperlink r:id="rId268" ref="AV269"/>
    <hyperlink r:id="rId269" ref="AV270"/>
    <hyperlink r:id="rId270" ref="AV271"/>
    <hyperlink r:id="rId271" ref="AV272"/>
    <hyperlink r:id="rId272" ref="AV273"/>
    <hyperlink r:id="rId273" ref="AV274"/>
    <hyperlink r:id="rId274" ref="AV275"/>
    <hyperlink r:id="rId275" ref="AV276"/>
    <hyperlink r:id="rId276" ref="AV277"/>
    <hyperlink r:id="rId277" ref="AV278"/>
    <hyperlink r:id="rId278" ref="AV279"/>
    <hyperlink r:id="rId279" ref="AV280"/>
    <hyperlink r:id="rId280" ref="AV281"/>
    <hyperlink r:id="rId281" ref="AV282"/>
    <hyperlink r:id="rId282" ref="AV283"/>
    <hyperlink r:id="rId283" ref="AV284"/>
    <hyperlink r:id="rId284" ref="AV285"/>
    <hyperlink r:id="rId285" ref="AV286"/>
    <hyperlink r:id="rId286" ref="AV287"/>
    <hyperlink r:id="rId287" ref="AV288"/>
    <hyperlink r:id="rId288" ref="AV289"/>
    <hyperlink r:id="rId289" ref="AV290"/>
    <hyperlink r:id="rId290" ref="AV291"/>
    <hyperlink r:id="rId291" ref="AV292"/>
    <hyperlink r:id="rId292" ref="AV293"/>
    <hyperlink r:id="rId293" ref="AV294"/>
    <hyperlink r:id="rId294" ref="AV295"/>
    <hyperlink r:id="rId295" ref="AV296"/>
    <hyperlink r:id="rId296" ref="AV297"/>
    <hyperlink r:id="rId297" ref="AV298"/>
    <hyperlink r:id="rId298" ref="AV299"/>
    <hyperlink r:id="rId299" ref="AV300"/>
    <hyperlink r:id="rId300" ref="AV301"/>
    <hyperlink r:id="rId301" ref="AV302"/>
    <hyperlink r:id="rId302" ref="AV303"/>
    <hyperlink r:id="rId303" ref="AV304"/>
    <hyperlink r:id="rId304" ref="AV305"/>
    <hyperlink r:id="rId305" ref="AV306"/>
    <hyperlink r:id="rId306" ref="AV307"/>
    <hyperlink r:id="rId307" ref="AV308"/>
    <hyperlink r:id="rId308" ref="AV309"/>
    <hyperlink r:id="rId309" ref="AV310"/>
    <hyperlink r:id="rId310" ref="AV311"/>
    <hyperlink r:id="rId311" ref="AV312"/>
    <hyperlink r:id="rId312" ref="AV313"/>
    <hyperlink r:id="rId313" ref="AV314"/>
    <hyperlink r:id="rId314" ref="AV315"/>
    <hyperlink r:id="rId315" ref="AV316"/>
    <hyperlink r:id="rId316" ref="AV317"/>
    <hyperlink r:id="rId317" ref="AV318"/>
    <hyperlink r:id="rId318" ref="AV319"/>
    <hyperlink r:id="rId319" ref="AV320"/>
    <hyperlink r:id="rId320" ref="AV321"/>
    <hyperlink r:id="rId321" ref="AV322"/>
    <hyperlink r:id="rId322" ref="AV323"/>
    <hyperlink r:id="rId323" ref="AV324"/>
    <hyperlink r:id="rId324" ref="AV325"/>
    <hyperlink r:id="rId325" ref="AV326"/>
    <hyperlink r:id="rId326" ref="AV327"/>
    <hyperlink r:id="rId327" ref="AV328"/>
    <hyperlink r:id="rId328" ref="AV329"/>
    <hyperlink r:id="rId329" ref="AV330"/>
    <hyperlink r:id="rId330" ref="AV331"/>
    <hyperlink r:id="rId331" ref="AV332"/>
    <hyperlink r:id="rId332" ref="AV333"/>
    <hyperlink r:id="rId333" ref="AV334"/>
    <hyperlink r:id="rId334" ref="AV335"/>
    <hyperlink r:id="rId335" ref="AV336"/>
    <hyperlink r:id="rId336" ref="AV337"/>
    <hyperlink r:id="rId337" ref="AV338"/>
    <hyperlink r:id="rId338" ref="AV339"/>
    <hyperlink r:id="rId339" ref="AV340"/>
    <hyperlink r:id="rId340" ref="AV341"/>
    <hyperlink r:id="rId341" ref="AV342"/>
    <hyperlink r:id="rId342" ref="AV343"/>
    <hyperlink r:id="rId343" ref="AV344"/>
    <hyperlink r:id="rId344" ref="AV345"/>
    <hyperlink r:id="rId345" ref="AV346"/>
    <hyperlink r:id="rId346" ref="AV347"/>
    <hyperlink r:id="rId347" ref="AV348"/>
    <hyperlink r:id="rId348" ref="AV349"/>
    <hyperlink r:id="rId349" ref="AV350"/>
    <hyperlink r:id="rId350" ref="AV351"/>
    <hyperlink r:id="rId351" ref="AV352"/>
    <hyperlink r:id="rId352" ref="AV353"/>
    <hyperlink r:id="rId353" ref="AV354"/>
    <hyperlink r:id="rId354" ref="AV355"/>
    <hyperlink r:id="rId355" ref="AV356"/>
    <hyperlink r:id="rId356" ref="AV357"/>
    <hyperlink r:id="rId357" ref="AV358"/>
    <hyperlink r:id="rId358" ref="AV359"/>
    <hyperlink r:id="rId359" ref="AV360"/>
    <hyperlink r:id="rId360" ref="AV361"/>
    <hyperlink r:id="rId361" ref="AV362"/>
    <hyperlink r:id="rId362" ref="AV363"/>
    <hyperlink r:id="rId363" ref="AV364"/>
    <hyperlink r:id="rId364" ref="AV365"/>
    <hyperlink r:id="rId365" ref="AV366"/>
    <hyperlink r:id="rId366" ref="AV367"/>
    <hyperlink r:id="rId367" ref="AV368"/>
    <hyperlink r:id="rId368" ref="AV369"/>
    <hyperlink r:id="rId369" ref="AV370"/>
    <hyperlink r:id="rId370" ref="AV371"/>
    <hyperlink r:id="rId371" ref="AV372"/>
    <hyperlink r:id="rId372" ref="AV373"/>
    <hyperlink r:id="rId373" ref="AV374"/>
    <hyperlink r:id="rId374" ref="AV375"/>
    <hyperlink r:id="rId375" ref="AV376"/>
    <hyperlink r:id="rId376" ref="AV377"/>
    <hyperlink r:id="rId377" ref="AV378"/>
    <hyperlink r:id="rId378" ref="AV379"/>
    <hyperlink r:id="rId379" ref="AV380"/>
    <hyperlink r:id="rId380" ref="AV381"/>
    <hyperlink r:id="rId381" ref="AV382"/>
    <hyperlink r:id="rId382" ref="AV383"/>
    <hyperlink r:id="rId383" ref="AV384"/>
    <hyperlink r:id="rId384" ref="AV385"/>
    <hyperlink r:id="rId385" ref="AV386"/>
    <hyperlink r:id="rId386" ref="AV387"/>
    <hyperlink r:id="rId387" ref="AV388"/>
    <hyperlink r:id="rId388" ref="AV389"/>
    <hyperlink r:id="rId389" ref="AV390"/>
    <hyperlink r:id="rId390" ref="AV391"/>
    <hyperlink r:id="rId391" ref="AV392"/>
    <hyperlink r:id="rId392" ref="AV393"/>
    <hyperlink r:id="rId393" ref="AV394"/>
    <hyperlink r:id="rId394" ref="AV395"/>
    <hyperlink r:id="rId395" ref="AV396"/>
    <hyperlink r:id="rId396" ref="AV397"/>
    <hyperlink r:id="rId397" ref="AV398"/>
    <hyperlink r:id="rId398" ref="AV399"/>
    <hyperlink r:id="rId399" ref="AV400"/>
    <hyperlink r:id="rId400" ref="AV401"/>
    <hyperlink r:id="rId401" ref="AV402"/>
    <hyperlink r:id="rId402" ref="AV403"/>
    <hyperlink r:id="rId403" ref="AV404"/>
    <hyperlink r:id="rId404" ref="AV405"/>
    <hyperlink r:id="rId405" ref="AV406"/>
    <hyperlink r:id="rId406" ref="AV407"/>
    <hyperlink r:id="rId407" ref="AV408"/>
    <hyperlink r:id="rId408" ref="AV409"/>
    <hyperlink r:id="rId409" ref="AV410"/>
    <hyperlink r:id="rId410" ref="AV411"/>
    <hyperlink r:id="rId411" ref="AV412"/>
    <hyperlink r:id="rId412" ref="AV413"/>
    <hyperlink r:id="rId413" ref="AV414"/>
    <hyperlink r:id="rId414" ref="AV415"/>
    <hyperlink r:id="rId415" ref="AV416"/>
    <hyperlink r:id="rId416" ref="AV417"/>
    <hyperlink r:id="rId417" ref="AV418"/>
    <hyperlink r:id="rId418" ref="AV419"/>
    <hyperlink r:id="rId419" ref="AV420"/>
    <hyperlink r:id="rId420" ref="AV421"/>
    <hyperlink r:id="rId421" ref="AV422"/>
    <hyperlink r:id="rId422" ref="AV423"/>
    <hyperlink r:id="rId423" ref="AV424"/>
    <hyperlink r:id="rId424" ref="AV425"/>
    <hyperlink r:id="rId425" ref="AV426"/>
    <hyperlink r:id="rId426" ref="AV427"/>
    <hyperlink r:id="rId427" ref="AV428"/>
    <hyperlink r:id="rId428" ref="AV429"/>
    <hyperlink r:id="rId429" ref="AV430"/>
    <hyperlink r:id="rId430" ref="AV431"/>
    <hyperlink r:id="rId431" ref="AV432"/>
    <hyperlink r:id="rId432" ref="AV433"/>
    <hyperlink r:id="rId433" ref="AV434"/>
    <hyperlink r:id="rId434" ref="AV435"/>
    <hyperlink r:id="rId435" ref="AV436"/>
    <hyperlink r:id="rId436" ref="AV437"/>
    <hyperlink r:id="rId437" ref="AV438"/>
    <hyperlink r:id="rId438" ref="AV439"/>
    <hyperlink r:id="rId439" ref="AV440"/>
    <hyperlink r:id="rId440" ref="AV441"/>
    <hyperlink r:id="rId441" ref="AV442"/>
    <hyperlink r:id="rId442" ref="AV443"/>
    <hyperlink r:id="rId443" ref="AV444"/>
    <hyperlink r:id="rId444" ref="AV445"/>
    <hyperlink r:id="rId445" ref="AV446"/>
    <hyperlink r:id="rId446" ref="AV447"/>
    <hyperlink r:id="rId447" ref="AV448"/>
    <hyperlink r:id="rId448" ref="AV449"/>
    <hyperlink r:id="rId449" ref="AV450"/>
    <hyperlink r:id="rId450" ref="AV451"/>
    <hyperlink r:id="rId451" ref="AV452"/>
    <hyperlink r:id="rId452" ref="AV453"/>
    <hyperlink r:id="rId453" ref="AV454"/>
    <hyperlink r:id="rId454" ref="AV455"/>
    <hyperlink r:id="rId455" ref="AV456"/>
    <hyperlink r:id="rId456" ref="AV457"/>
    <hyperlink r:id="rId457" ref="AV458"/>
    <hyperlink r:id="rId458" ref="AV459"/>
    <hyperlink r:id="rId459" ref="AV460"/>
    <hyperlink r:id="rId460" ref="AV461"/>
    <hyperlink r:id="rId461" ref="AV462"/>
    <hyperlink r:id="rId462" ref="AV463"/>
    <hyperlink r:id="rId463" ref="AV464"/>
    <hyperlink r:id="rId464" ref="AV465"/>
    <hyperlink r:id="rId465" ref="AV466"/>
    <hyperlink r:id="rId466" ref="AV467"/>
    <hyperlink r:id="rId467" ref="AV468"/>
    <hyperlink r:id="rId468" ref="AV469"/>
    <hyperlink r:id="rId469" ref="AV470"/>
    <hyperlink r:id="rId470" ref="AV471"/>
    <hyperlink r:id="rId471" ref="AV472"/>
    <hyperlink r:id="rId472" ref="AV473"/>
    <hyperlink r:id="rId473" ref="AV474"/>
    <hyperlink r:id="rId474" ref="AV475"/>
    <hyperlink r:id="rId475" ref="AV476"/>
    <hyperlink r:id="rId476" ref="AV477"/>
    <hyperlink r:id="rId477" ref="AV478"/>
    <hyperlink r:id="rId478" ref="AV479"/>
    <hyperlink r:id="rId479" ref="AV480"/>
    <hyperlink r:id="rId480" ref="AV481"/>
    <hyperlink r:id="rId481" ref="AV482"/>
    <hyperlink r:id="rId482" ref="AV483"/>
    <hyperlink r:id="rId483" ref="AV484"/>
    <hyperlink r:id="rId484" ref="AV485"/>
    <hyperlink r:id="rId485" ref="AV486"/>
    <hyperlink r:id="rId486" ref="AV487"/>
    <hyperlink r:id="rId487" ref="AV488"/>
    <hyperlink r:id="rId488" ref="AV489"/>
    <hyperlink r:id="rId489" ref="AV490"/>
    <hyperlink r:id="rId490" ref="AV491"/>
    <hyperlink r:id="rId491" ref="AV492"/>
    <hyperlink r:id="rId492" ref="AV493"/>
    <hyperlink r:id="rId493" ref="AV494"/>
    <hyperlink r:id="rId494" ref="AV495"/>
    <hyperlink r:id="rId495" ref="AV496"/>
    <hyperlink r:id="rId496" ref="AV497"/>
    <hyperlink r:id="rId497" ref="AV498"/>
    <hyperlink r:id="rId498" ref="AV499"/>
    <hyperlink r:id="rId499" ref="AV500"/>
    <hyperlink r:id="rId500" ref="AV501"/>
    <hyperlink r:id="rId501" ref="AV502"/>
    <hyperlink r:id="rId502" ref="AV503"/>
    <hyperlink r:id="rId503" ref="AV504"/>
    <hyperlink r:id="rId504" ref="AV505"/>
    <hyperlink r:id="rId505" ref="AV506"/>
    <hyperlink r:id="rId506" ref="AV507"/>
    <hyperlink r:id="rId507" ref="AV508"/>
    <hyperlink r:id="rId508" ref="AV509"/>
    <hyperlink r:id="rId509" ref="AV510"/>
    <hyperlink r:id="rId510" ref="AV511"/>
    <hyperlink r:id="rId511" ref="AV512"/>
    <hyperlink r:id="rId512" ref="AV513"/>
    <hyperlink r:id="rId513" ref="AV514"/>
    <hyperlink r:id="rId514" ref="AV515"/>
    <hyperlink r:id="rId515" ref="AV516"/>
    <hyperlink r:id="rId516" ref="AV517"/>
    <hyperlink r:id="rId517" ref="AV518"/>
    <hyperlink r:id="rId518" ref="AV519"/>
    <hyperlink r:id="rId519" ref="AV520"/>
    <hyperlink r:id="rId520" ref="AV521"/>
    <hyperlink r:id="rId521" ref="AV522"/>
    <hyperlink r:id="rId522" ref="AV523"/>
    <hyperlink r:id="rId523" ref="AV524"/>
    <hyperlink r:id="rId524" ref="AV525"/>
    <hyperlink r:id="rId525" ref="AV526"/>
    <hyperlink r:id="rId526" ref="AV527"/>
    <hyperlink r:id="rId527" ref="AV528"/>
    <hyperlink r:id="rId528" ref="AV529"/>
    <hyperlink r:id="rId529" ref="AV530"/>
    <hyperlink r:id="rId530" ref="AV531"/>
    <hyperlink r:id="rId531" ref="AV532"/>
    <hyperlink r:id="rId532" ref="AV533"/>
    <hyperlink r:id="rId533" ref="AV534"/>
    <hyperlink r:id="rId534" ref="AV535"/>
    <hyperlink r:id="rId535" ref="AV536"/>
    <hyperlink r:id="rId536" ref="AV537"/>
    <hyperlink r:id="rId537" ref="AV538"/>
    <hyperlink r:id="rId538" ref="AV539"/>
    <hyperlink r:id="rId539" ref="AV540"/>
    <hyperlink r:id="rId540" ref="AV541"/>
    <hyperlink r:id="rId541" ref="AV542"/>
    <hyperlink r:id="rId542" ref="AV543"/>
    <hyperlink r:id="rId543" ref="AV544"/>
    <hyperlink r:id="rId544" ref="AV545"/>
    <hyperlink r:id="rId545" ref="AV546"/>
    <hyperlink r:id="rId546" ref="AV547"/>
    <hyperlink r:id="rId547" ref="AV548"/>
    <hyperlink r:id="rId548" ref="AV549"/>
    <hyperlink r:id="rId549" ref="AV550"/>
    <hyperlink r:id="rId550" ref="AV551"/>
    <hyperlink r:id="rId551" ref="AV552"/>
    <hyperlink r:id="rId552" ref="AV553"/>
    <hyperlink r:id="rId553" ref="AV554"/>
    <hyperlink r:id="rId554" ref="AV555"/>
    <hyperlink r:id="rId555" ref="AV556"/>
    <hyperlink r:id="rId556" ref="AV557"/>
    <hyperlink r:id="rId557" ref="AV558"/>
    <hyperlink r:id="rId558" ref="AV559"/>
    <hyperlink r:id="rId559" ref="AV560"/>
    <hyperlink r:id="rId560" ref="AV561"/>
    <hyperlink r:id="rId561" ref="AV562"/>
    <hyperlink r:id="rId562" ref="AV563"/>
    <hyperlink r:id="rId563" ref="AV564"/>
    <hyperlink r:id="rId564" ref="AV565"/>
    <hyperlink r:id="rId565" ref="AV566"/>
    <hyperlink r:id="rId566" ref="AV567"/>
    <hyperlink r:id="rId567" ref="AV568"/>
    <hyperlink r:id="rId568" ref="AV569"/>
    <hyperlink r:id="rId569" ref="AV570"/>
    <hyperlink r:id="rId570" ref="AV571"/>
    <hyperlink r:id="rId571" ref="AV572"/>
    <hyperlink r:id="rId572" ref="AV573"/>
    <hyperlink r:id="rId573" ref="AV574"/>
    <hyperlink r:id="rId574" ref="AV575"/>
    <hyperlink r:id="rId575" ref="AV576"/>
    <hyperlink r:id="rId576" ref="AV577"/>
    <hyperlink r:id="rId577" ref="AV578"/>
    <hyperlink r:id="rId578" ref="AV579"/>
    <hyperlink r:id="rId579" ref="AV580"/>
    <hyperlink r:id="rId580" ref="AV581"/>
    <hyperlink r:id="rId581" ref="AV582"/>
    <hyperlink r:id="rId582" ref="AV583"/>
    <hyperlink r:id="rId583" ref="AV584"/>
    <hyperlink r:id="rId584" ref="AV585"/>
    <hyperlink r:id="rId585" ref="AV586"/>
    <hyperlink r:id="rId586" ref="AV587"/>
    <hyperlink r:id="rId587" ref="AV588"/>
    <hyperlink r:id="rId588" ref="AV589"/>
    <hyperlink r:id="rId589" ref="AV590"/>
    <hyperlink r:id="rId590" ref="AV591"/>
    <hyperlink r:id="rId591" ref="AV592"/>
    <hyperlink r:id="rId592" ref="AV593"/>
    <hyperlink r:id="rId593" ref="AV594"/>
    <hyperlink r:id="rId594" ref="AV595"/>
    <hyperlink r:id="rId595" ref="AV596"/>
    <hyperlink r:id="rId596" ref="AV597"/>
    <hyperlink r:id="rId597" ref="AV598"/>
    <hyperlink r:id="rId598" ref="AV599"/>
    <hyperlink r:id="rId599" ref="AV600"/>
    <hyperlink r:id="rId600" ref="AV601"/>
    <hyperlink r:id="rId601" ref="AV602"/>
    <hyperlink r:id="rId602" ref="AV603"/>
    <hyperlink r:id="rId603" ref="AV604"/>
    <hyperlink r:id="rId604" ref="AV605"/>
    <hyperlink r:id="rId605" ref="AV606"/>
    <hyperlink r:id="rId606" ref="AV607"/>
    <hyperlink r:id="rId607" ref="AV608"/>
    <hyperlink r:id="rId608" ref="AV609"/>
    <hyperlink r:id="rId609" ref="AV610"/>
    <hyperlink r:id="rId610" ref="AV611"/>
    <hyperlink r:id="rId611" ref="AV612"/>
    <hyperlink r:id="rId612" ref="AV613"/>
    <hyperlink r:id="rId613" ref="AV614"/>
    <hyperlink r:id="rId614" ref="AV615"/>
    <hyperlink r:id="rId615" ref="AV616"/>
    <hyperlink r:id="rId616" ref="AV617"/>
    <hyperlink r:id="rId617" ref="AV618"/>
    <hyperlink r:id="rId618" ref="AV619"/>
    <hyperlink r:id="rId619" ref="AV620"/>
    <hyperlink r:id="rId620" ref="AV621"/>
    <hyperlink r:id="rId621" ref="AV622"/>
    <hyperlink r:id="rId622" ref="AV623"/>
    <hyperlink r:id="rId623" ref="AV624"/>
    <hyperlink r:id="rId624" ref="AV625"/>
    <hyperlink r:id="rId625" ref="AV626"/>
    <hyperlink r:id="rId626" ref="AV627"/>
    <hyperlink r:id="rId627" ref="AV628"/>
    <hyperlink r:id="rId628" ref="AV629"/>
    <hyperlink r:id="rId629" ref="AV630"/>
    <hyperlink r:id="rId630" ref="AV631"/>
    <hyperlink r:id="rId631" ref="AV632"/>
    <hyperlink r:id="rId632" ref="AV633"/>
    <hyperlink r:id="rId633" ref="AV634"/>
    <hyperlink r:id="rId634" ref="AV635"/>
    <hyperlink r:id="rId635" ref="AV636"/>
    <hyperlink r:id="rId636" ref="AV637"/>
    <hyperlink r:id="rId637" ref="AV638"/>
    <hyperlink r:id="rId638" ref="AV639"/>
    <hyperlink r:id="rId639" ref="AV640"/>
    <hyperlink r:id="rId640" ref="AV641"/>
    <hyperlink r:id="rId641" ref="AV642"/>
    <hyperlink r:id="rId642" ref="AV643"/>
    <hyperlink r:id="rId643" ref="AV644"/>
    <hyperlink r:id="rId644" ref="AV645"/>
    <hyperlink r:id="rId645" ref="AV646"/>
    <hyperlink r:id="rId646" ref="AV647"/>
    <hyperlink r:id="rId647" ref="AV648"/>
    <hyperlink r:id="rId648" ref="AV649"/>
    <hyperlink r:id="rId649" ref="AV650"/>
    <hyperlink r:id="rId650" ref="AV651"/>
    <hyperlink r:id="rId651" ref="AV652"/>
    <hyperlink r:id="rId652" ref="AV653"/>
    <hyperlink r:id="rId653" ref="AV654"/>
    <hyperlink r:id="rId654" ref="AV655"/>
    <hyperlink r:id="rId655" ref="AV656"/>
    <hyperlink r:id="rId656" ref="AV657"/>
    <hyperlink r:id="rId657" ref="AV658"/>
    <hyperlink r:id="rId658" ref="AV659"/>
    <hyperlink r:id="rId659" ref="AV660"/>
    <hyperlink r:id="rId660" ref="AV661"/>
    <hyperlink r:id="rId661" ref="AV662"/>
    <hyperlink r:id="rId662" ref="AV663"/>
    <hyperlink r:id="rId663" ref="AV664"/>
    <hyperlink r:id="rId664" ref="AV665"/>
    <hyperlink r:id="rId665" ref="AV666"/>
    <hyperlink r:id="rId666" ref="AV667"/>
    <hyperlink r:id="rId667" ref="AV668"/>
    <hyperlink r:id="rId668" ref="AV669"/>
    <hyperlink r:id="rId669" ref="AV670"/>
    <hyperlink r:id="rId670" ref="AV671"/>
    <hyperlink r:id="rId671" ref="AV672"/>
    <hyperlink r:id="rId672" ref="AV673"/>
    <hyperlink r:id="rId673" ref="AV674"/>
    <hyperlink r:id="rId674" ref="AV675"/>
    <hyperlink r:id="rId675" ref="AV676"/>
    <hyperlink r:id="rId676" ref="AV677"/>
    <hyperlink r:id="rId677" ref="AV678"/>
    <hyperlink r:id="rId678" ref="AV679"/>
    <hyperlink r:id="rId679" ref="AV680"/>
    <hyperlink r:id="rId680" ref="AV681"/>
    <hyperlink r:id="rId681" ref="AV682"/>
    <hyperlink r:id="rId682" ref="AV683"/>
    <hyperlink r:id="rId683" ref="AV684"/>
    <hyperlink r:id="rId684" ref="AV685"/>
    <hyperlink r:id="rId685" ref="AV686"/>
    <hyperlink r:id="rId686" ref="AV687"/>
    <hyperlink r:id="rId687" ref="AV688"/>
    <hyperlink r:id="rId688" ref="AV689"/>
    <hyperlink r:id="rId689" ref="AV690"/>
    <hyperlink r:id="rId690" ref="AV691"/>
    <hyperlink r:id="rId691" ref="AV692"/>
    <hyperlink r:id="rId692" ref="AV693"/>
    <hyperlink r:id="rId693" ref="AV694"/>
    <hyperlink r:id="rId694" ref="AV695"/>
    <hyperlink r:id="rId695" ref="AV696"/>
    <hyperlink r:id="rId696" ref="AV697"/>
    <hyperlink r:id="rId697" ref="AV698"/>
    <hyperlink r:id="rId698" ref="AV699"/>
    <hyperlink r:id="rId699" ref="AV700"/>
    <hyperlink r:id="rId700" ref="AV701"/>
    <hyperlink r:id="rId701" ref="AV702"/>
    <hyperlink r:id="rId702" ref="AV703"/>
    <hyperlink r:id="rId703" ref="AV704"/>
    <hyperlink r:id="rId704" ref="AV705"/>
    <hyperlink r:id="rId705" ref="AV706"/>
    <hyperlink r:id="rId706" ref="AV707"/>
    <hyperlink r:id="rId707" ref="AV708"/>
    <hyperlink r:id="rId708" ref="AV709"/>
    <hyperlink r:id="rId709" ref="AV710"/>
    <hyperlink r:id="rId710" ref="AV711"/>
    <hyperlink r:id="rId711" ref="AV712"/>
    <hyperlink r:id="rId712" ref="AV713"/>
    <hyperlink r:id="rId713" ref="AV714"/>
    <hyperlink r:id="rId714" ref="AV715"/>
    <hyperlink r:id="rId715" ref="AV716"/>
    <hyperlink r:id="rId716" ref="AV717"/>
    <hyperlink r:id="rId717" ref="AV718"/>
    <hyperlink r:id="rId718" ref="AV719"/>
    <hyperlink r:id="rId719" ref="AV720"/>
    <hyperlink r:id="rId720" ref="AV721"/>
    <hyperlink r:id="rId721" ref="AV722"/>
    <hyperlink r:id="rId722" ref="AV723"/>
    <hyperlink r:id="rId723" ref="AV724"/>
    <hyperlink r:id="rId724" ref="AV725"/>
    <hyperlink r:id="rId725" ref="AV726"/>
    <hyperlink r:id="rId726" ref="AV727"/>
    <hyperlink r:id="rId727" ref="AV728"/>
    <hyperlink r:id="rId728" ref="AV729"/>
    <hyperlink r:id="rId729" ref="AV730"/>
    <hyperlink r:id="rId730" ref="AV731"/>
    <hyperlink r:id="rId731" ref="AV732"/>
    <hyperlink r:id="rId732" ref="AV733"/>
    <hyperlink r:id="rId733" ref="AV734"/>
    <hyperlink r:id="rId734" ref="AV735"/>
    <hyperlink r:id="rId735" ref="AV736"/>
    <hyperlink r:id="rId736" ref="AV737"/>
    <hyperlink r:id="rId737" ref="AV738"/>
    <hyperlink r:id="rId738" ref="AV739"/>
    <hyperlink r:id="rId739" ref="AV740"/>
    <hyperlink r:id="rId740" ref="AV741"/>
    <hyperlink r:id="rId741" ref="AV742"/>
    <hyperlink r:id="rId742" ref="AV743"/>
    <hyperlink r:id="rId743" ref="AV744"/>
    <hyperlink r:id="rId744" ref="AV745"/>
    <hyperlink r:id="rId745" ref="AV746"/>
    <hyperlink r:id="rId746" ref="AV747"/>
    <hyperlink r:id="rId747" ref="AV748"/>
    <hyperlink r:id="rId748" ref="AV749"/>
    <hyperlink r:id="rId749" ref="AV750"/>
    <hyperlink r:id="rId750" ref="AV751"/>
    <hyperlink r:id="rId751" ref="AV752"/>
    <hyperlink r:id="rId752" ref="AV753"/>
    <hyperlink r:id="rId753" ref="AV754"/>
    <hyperlink r:id="rId754" ref="AV755"/>
    <hyperlink r:id="rId755" ref="AV756"/>
    <hyperlink r:id="rId756" ref="AV757"/>
    <hyperlink r:id="rId757" ref="AV758"/>
    <hyperlink r:id="rId758" ref="AV759"/>
    <hyperlink r:id="rId759" ref="AV760"/>
    <hyperlink r:id="rId760" ref="AV761"/>
    <hyperlink r:id="rId761" ref="AV762"/>
    <hyperlink r:id="rId762" ref="AV763"/>
    <hyperlink r:id="rId763" ref="AV764"/>
    <hyperlink r:id="rId764" ref="AV765"/>
    <hyperlink r:id="rId765" ref="AV766"/>
    <hyperlink r:id="rId766" ref="AV767"/>
    <hyperlink r:id="rId767" ref="AV768"/>
    <hyperlink r:id="rId768" ref="AV769"/>
    <hyperlink r:id="rId769" ref="AV770"/>
    <hyperlink r:id="rId770" ref="AV771"/>
    <hyperlink r:id="rId771" ref="AV772"/>
    <hyperlink r:id="rId772" ref="AV773"/>
    <hyperlink r:id="rId773" ref="AV774"/>
    <hyperlink r:id="rId774" ref="AV775"/>
    <hyperlink r:id="rId775" ref="AV776"/>
    <hyperlink r:id="rId776" ref="AV777"/>
    <hyperlink r:id="rId777" ref="AV778"/>
    <hyperlink r:id="rId778" ref="AV779"/>
    <hyperlink r:id="rId779" ref="AV780"/>
    <hyperlink r:id="rId780" ref="AV781"/>
    <hyperlink r:id="rId781" ref="AV782"/>
    <hyperlink r:id="rId782" ref="AV783"/>
    <hyperlink r:id="rId783" ref="AV784"/>
    <hyperlink r:id="rId784" ref="AV785"/>
    <hyperlink r:id="rId785" ref="AV786"/>
    <hyperlink r:id="rId786" ref="AV787"/>
    <hyperlink r:id="rId787" ref="AV788"/>
    <hyperlink r:id="rId788" ref="AV789"/>
    <hyperlink r:id="rId789" ref="AV790"/>
    <hyperlink r:id="rId790" ref="AV791"/>
    <hyperlink r:id="rId791" ref="AV792"/>
    <hyperlink r:id="rId792" ref="AV793"/>
    <hyperlink r:id="rId793" ref="AV794"/>
    <hyperlink r:id="rId794" ref="AV795"/>
    <hyperlink r:id="rId795" ref="AV796"/>
    <hyperlink r:id="rId796" ref="AV797"/>
    <hyperlink r:id="rId797" ref="AV798"/>
    <hyperlink r:id="rId798" ref="AV799"/>
    <hyperlink r:id="rId799" ref="AV800"/>
    <hyperlink r:id="rId800" ref="AV801"/>
    <hyperlink r:id="rId801" ref="AV802"/>
    <hyperlink r:id="rId802" ref="AV803"/>
    <hyperlink r:id="rId803" ref="AV804"/>
    <hyperlink r:id="rId804" ref="AV805"/>
    <hyperlink r:id="rId805" ref="AV806"/>
    <hyperlink r:id="rId806" ref="AV807"/>
    <hyperlink r:id="rId807" ref="AV808"/>
    <hyperlink r:id="rId808" ref="AV809"/>
    <hyperlink r:id="rId809" ref="AV810"/>
    <hyperlink r:id="rId810" ref="AV811"/>
    <hyperlink r:id="rId811" ref="AV812"/>
    <hyperlink r:id="rId812" ref="AV813"/>
    <hyperlink r:id="rId813" ref="AV814"/>
    <hyperlink r:id="rId814" ref="AV815"/>
    <hyperlink r:id="rId815" ref="AV816"/>
    <hyperlink r:id="rId816" ref="AV817"/>
    <hyperlink r:id="rId817" ref="AV818"/>
    <hyperlink r:id="rId818" ref="AV819"/>
    <hyperlink r:id="rId819" ref="AV820"/>
    <hyperlink r:id="rId820" ref="AV821"/>
    <hyperlink r:id="rId821" ref="AV822"/>
    <hyperlink r:id="rId822" ref="AV823"/>
    <hyperlink r:id="rId823" ref="AV824"/>
    <hyperlink r:id="rId824" ref="AV825"/>
    <hyperlink r:id="rId825" ref="AV826"/>
    <hyperlink r:id="rId826" ref="AV827"/>
    <hyperlink r:id="rId827" ref="AV828"/>
    <hyperlink r:id="rId828" ref="AV829"/>
    <hyperlink r:id="rId829" ref="AV830"/>
    <hyperlink r:id="rId830" ref="AV831"/>
    <hyperlink r:id="rId831" ref="AV832"/>
    <hyperlink r:id="rId832" ref="AV833"/>
    <hyperlink r:id="rId833" ref="AV834"/>
    <hyperlink r:id="rId834" ref="AV835"/>
    <hyperlink r:id="rId835" ref="AV836"/>
    <hyperlink r:id="rId836" ref="AV837"/>
    <hyperlink r:id="rId837" ref="AV838"/>
    <hyperlink r:id="rId838" ref="AV839"/>
    <hyperlink r:id="rId839" ref="AV840"/>
    <hyperlink r:id="rId840" ref="AV841"/>
    <hyperlink r:id="rId841" ref="AV842"/>
    <hyperlink r:id="rId842" ref="AV843"/>
    <hyperlink r:id="rId843" ref="AV844"/>
    <hyperlink r:id="rId844" ref="AV845"/>
    <hyperlink r:id="rId845" ref="AV846"/>
    <hyperlink r:id="rId846" ref="AV847"/>
    <hyperlink r:id="rId847" ref="AV848"/>
    <hyperlink r:id="rId848" ref="AV849"/>
    <hyperlink r:id="rId849" ref="AV850"/>
    <hyperlink r:id="rId850" ref="AV851"/>
    <hyperlink r:id="rId851" ref="AV852"/>
    <hyperlink r:id="rId852" ref="AV853"/>
    <hyperlink r:id="rId853" ref="AV854"/>
    <hyperlink r:id="rId854" ref="AV855"/>
    <hyperlink r:id="rId855" ref="AV856"/>
    <hyperlink r:id="rId856" ref="AV857"/>
    <hyperlink r:id="rId857" ref="AV858"/>
    <hyperlink r:id="rId858" ref="AV859"/>
    <hyperlink r:id="rId859" ref="AV860"/>
    <hyperlink r:id="rId860" ref="AV861"/>
    <hyperlink r:id="rId861" ref="AV862"/>
    <hyperlink r:id="rId862" ref="AV863"/>
    <hyperlink r:id="rId863" ref="AV864"/>
    <hyperlink r:id="rId864" ref="AV865"/>
    <hyperlink r:id="rId865" ref="AV866"/>
    <hyperlink r:id="rId866" ref="AV867"/>
    <hyperlink r:id="rId867" ref="AV868"/>
    <hyperlink r:id="rId868" ref="AV869"/>
    <hyperlink r:id="rId869" ref="AV870"/>
    <hyperlink r:id="rId870" ref="AV871"/>
    <hyperlink r:id="rId871" ref="AV872"/>
    <hyperlink r:id="rId872" ref="AV873"/>
    <hyperlink r:id="rId873" ref="AV874"/>
    <hyperlink r:id="rId874" ref="AV875"/>
    <hyperlink r:id="rId875" ref="AV876"/>
    <hyperlink r:id="rId876" ref="AV877"/>
    <hyperlink r:id="rId877" ref="AV878"/>
    <hyperlink r:id="rId878" ref="AV879"/>
    <hyperlink r:id="rId879" ref="AV880"/>
    <hyperlink r:id="rId880" ref="AV881"/>
    <hyperlink r:id="rId881" ref="AV882"/>
    <hyperlink r:id="rId882" ref="AV883"/>
    <hyperlink r:id="rId883" ref="AV884"/>
    <hyperlink r:id="rId884" ref="AV885"/>
    <hyperlink r:id="rId885" ref="AV886"/>
    <hyperlink r:id="rId886" ref="AV887"/>
    <hyperlink r:id="rId887" ref="AV888"/>
    <hyperlink r:id="rId888" ref="AV889"/>
    <hyperlink r:id="rId889" ref="AV890"/>
    <hyperlink r:id="rId890" ref="AV891"/>
    <hyperlink r:id="rId891" ref="AV892"/>
    <hyperlink r:id="rId892" ref="AV893"/>
    <hyperlink r:id="rId893" ref="AV894"/>
    <hyperlink r:id="rId894" ref="AV895"/>
    <hyperlink r:id="rId895" ref="AV896"/>
    <hyperlink r:id="rId896" ref="AV897"/>
    <hyperlink r:id="rId897" ref="AV898"/>
    <hyperlink r:id="rId898" ref="AV899"/>
    <hyperlink r:id="rId899" ref="AV900"/>
    <hyperlink r:id="rId900" ref="AV901"/>
    <hyperlink r:id="rId901" ref="AV902"/>
    <hyperlink r:id="rId902" ref="AV903"/>
    <hyperlink r:id="rId903" ref="AV904"/>
    <hyperlink r:id="rId904" ref="AV905"/>
    <hyperlink r:id="rId905" ref="AV906"/>
    <hyperlink r:id="rId906" ref="AV907"/>
    <hyperlink r:id="rId907" ref="AV908"/>
    <hyperlink r:id="rId908" ref="AV909"/>
    <hyperlink r:id="rId909" ref="AV910"/>
    <hyperlink r:id="rId910" ref="AV911"/>
    <hyperlink r:id="rId911" ref="AV912"/>
    <hyperlink r:id="rId912" ref="AV913"/>
    <hyperlink r:id="rId913" ref="AV914"/>
    <hyperlink r:id="rId914" ref="AV915"/>
    <hyperlink r:id="rId915" ref="AV916"/>
    <hyperlink r:id="rId916" ref="AV917"/>
    <hyperlink r:id="rId917" ref="AV918"/>
    <hyperlink r:id="rId918" ref="AV919"/>
    <hyperlink r:id="rId919" ref="AV920"/>
    <hyperlink r:id="rId920" ref="AV921"/>
    <hyperlink r:id="rId921" ref="AV922"/>
    <hyperlink r:id="rId922" ref="AV923"/>
    <hyperlink r:id="rId923" ref="AV924"/>
    <hyperlink r:id="rId924" ref="AV925"/>
    <hyperlink r:id="rId925" ref="AV926"/>
    <hyperlink r:id="rId926" ref="AV927"/>
    <hyperlink r:id="rId927" ref="AV928"/>
    <hyperlink r:id="rId928" ref="AV929"/>
    <hyperlink r:id="rId929" ref="AV930"/>
    <hyperlink r:id="rId930" ref="AV931"/>
    <hyperlink r:id="rId931" ref="AV932"/>
    <hyperlink r:id="rId932" ref="AV933"/>
    <hyperlink r:id="rId933" ref="AV934"/>
    <hyperlink r:id="rId934" ref="AV935"/>
    <hyperlink r:id="rId935" ref="AV936"/>
    <hyperlink r:id="rId936" ref="AV937"/>
    <hyperlink r:id="rId937" ref="AV938"/>
    <hyperlink r:id="rId938" ref="AV939"/>
    <hyperlink r:id="rId939" ref="AV940"/>
    <hyperlink r:id="rId940" ref="AV941"/>
    <hyperlink r:id="rId941" ref="AV942"/>
    <hyperlink r:id="rId942" ref="AV943"/>
    <hyperlink r:id="rId943" ref="AV944"/>
    <hyperlink r:id="rId944" ref="AV945"/>
    <hyperlink r:id="rId945" ref="AV946"/>
    <hyperlink r:id="rId946" ref="AV947"/>
    <hyperlink r:id="rId947" ref="AV948"/>
    <hyperlink r:id="rId948" ref="AV949"/>
    <hyperlink r:id="rId949" ref="AV950"/>
    <hyperlink r:id="rId950" ref="AV951"/>
    <hyperlink r:id="rId951" ref="AV952"/>
    <hyperlink r:id="rId952" ref="AV953"/>
    <hyperlink r:id="rId953" ref="AV954"/>
    <hyperlink r:id="rId954" ref="AV955"/>
    <hyperlink r:id="rId955" ref="AV956"/>
    <hyperlink r:id="rId956" ref="AV957"/>
    <hyperlink r:id="rId957" ref="AV958"/>
    <hyperlink r:id="rId958" ref="AV959"/>
    <hyperlink r:id="rId959" ref="AV960"/>
    <hyperlink r:id="rId960" ref="AV961"/>
    <hyperlink r:id="rId961" ref="AV962"/>
    <hyperlink r:id="rId962" ref="AV963"/>
    <hyperlink r:id="rId963" ref="AV964"/>
    <hyperlink r:id="rId964" ref="AV965"/>
    <hyperlink r:id="rId965" ref="AV966"/>
    <hyperlink r:id="rId966" ref="AV967"/>
    <hyperlink r:id="rId967" ref="AV968"/>
    <hyperlink r:id="rId968" ref="AV969"/>
    <hyperlink r:id="rId969" ref="AV970"/>
    <hyperlink r:id="rId970" ref="AV971"/>
    <hyperlink r:id="rId971" ref="AV972"/>
    <hyperlink r:id="rId972" ref="AV973"/>
    <hyperlink r:id="rId973" ref="AV974"/>
    <hyperlink r:id="rId974" ref="AV975"/>
    <hyperlink r:id="rId975" ref="AV976"/>
    <hyperlink r:id="rId976" ref="AV977"/>
    <hyperlink r:id="rId977" ref="AV978"/>
    <hyperlink r:id="rId978" ref="AV979"/>
    <hyperlink r:id="rId979" ref="AV980"/>
    <hyperlink r:id="rId980" ref="AV981"/>
    <hyperlink r:id="rId981" ref="AV982"/>
    <hyperlink r:id="rId982" ref="AV983"/>
    <hyperlink r:id="rId983" ref="AV984"/>
    <hyperlink r:id="rId984" ref="AV985"/>
    <hyperlink r:id="rId985" ref="AV986"/>
    <hyperlink r:id="rId986" ref="AV987"/>
    <hyperlink r:id="rId987" ref="AV988"/>
    <hyperlink r:id="rId988" ref="AV989"/>
    <hyperlink r:id="rId989" ref="AV990"/>
    <hyperlink r:id="rId990" ref="AV991"/>
    <hyperlink r:id="rId991" ref="AV992"/>
    <hyperlink r:id="rId992" ref="AV993"/>
    <hyperlink r:id="rId993" ref="AV994"/>
    <hyperlink r:id="rId994" ref="AV995"/>
    <hyperlink r:id="rId995" ref="AV996"/>
    <hyperlink r:id="rId996" ref="AV997"/>
    <hyperlink r:id="rId997" ref="AV998"/>
    <hyperlink r:id="rId998" ref="AV999"/>
    <hyperlink r:id="rId999" ref="AV1000"/>
    <hyperlink r:id="rId1000" ref="AV1001"/>
    <hyperlink r:id="rId1001" ref="AV1002"/>
    <hyperlink r:id="rId1002" ref="AV1003"/>
    <hyperlink r:id="rId1003" ref="AV1004"/>
    <hyperlink r:id="rId1004" ref="AV1005"/>
    <hyperlink r:id="rId1005" ref="AV1006"/>
    <hyperlink r:id="rId1006" ref="AV1007"/>
    <hyperlink r:id="rId1007" ref="AV1008"/>
    <hyperlink r:id="rId1008" ref="AV1009"/>
    <hyperlink r:id="rId1009" ref="AV1010"/>
    <hyperlink r:id="rId1010" ref="AV1011"/>
    <hyperlink r:id="rId1011" ref="AV1012"/>
    <hyperlink r:id="rId1012" ref="AV1013"/>
    <hyperlink r:id="rId1013" ref="AV1014"/>
    <hyperlink r:id="rId1014" ref="AV1015"/>
    <hyperlink r:id="rId1015" ref="AV1016"/>
    <hyperlink r:id="rId1016" ref="AV1017"/>
    <hyperlink r:id="rId1017" ref="AV1018"/>
    <hyperlink r:id="rId1018" ref="AV1019"/>
    <hyperlink r:id="rId1019" ref="AV1020"/>
    <hyperlink r:id="rId1020" ref="AV1021"/>
    <hyperlink r:id="rId1021" ref="AV1022"/>
    <hyperlink r:id="rId1022" ref="AV1023"/>
    <hyperlink r:id="rId1023" ref="AV1024"/>
    <hyperlink r:id="rId1024" ref="AV1025"/>
    <hyperlink r:id="rId1025" ref="AV1026"/>
    <hyperlink r:id="rId1026" ref="AV1027"/>
    <hyperlink r:id="rId1027" ref="AV1028"/>
    <hyperlink r:id="rId1028" ref="AV1029"/>
    <hyperlink r:id="rId1029" ref="AV1030"/>
    <hyperlink r:id="rId1030" ref="AV1031"/>
    <hyperlink r:id="rId1031" ref="AV1032"/>
    <hyperlink r:id="rId1032" ref="AV1033"/>
    <hyperlink r:id="rId1033" ref="AV1034"/>
    <hyperlink r:id="rId1034" ref="AV1035"/>
    <hyperlink r:id="rId1035" ref="AV1036"/>
    <hyperlink r:id="rId1036" ref="AV1037"/>
    <hyperlink r:id="rId1037" ref="AV1038"/>
    <hyperlink r:id="rId1038" ref="AV1039"/>
    <hyperlink r:id="rId1039" ref="AV1040"/>
    <hyperlink r:id="rId1040" ref="AV1041"/>
    <hyperlink r:id="rId1041" ref="AV1042"/>
    <hyperlink r:id="rId1042" ref="AV1043"/>
    <hyperlink r:id="rId1043" ref="AV1044"/>
    <hyperlink r:id="rId1044" ref="AV1045"/>
    <hyperlink r:id="rId1045" ref="AV1046"/>
    <hyperlink r:id="rId1046" ref="AV1047"/>
    <hyperlink r:id="rId1047" ref="AV1048"/>
    <hyperlink r:id="rId1048" ref="AV1049"/>
    <hyperlink r:id="rId1049" ref="AV1050"/>
    <hyperlink r:id="rId1050" ref="AV1051"/>
    <hyperlink r:id="rId1051" ref="AV1052"/>
    <hyperlink r:id="rId1052" ref="AV1053"/>
    <hyperlink r:id="rId1053" ref="AV1054"/>
    <hyperlink r:id="rId1054" ref="AV1055"/>
    <hyperlink r:id="rId1055" ref="AV1056"/>
    <hyperlink r:id="rId1056" ref="AV1057"/>
    <hyperlink r:id="rId1057" ref="AV1058"/>
    <hyperlink r:id="rId1058" ref="AV1059"/>
    <hyperlink r:id="rId1059" ref="AV1060"/>
    <hyperlink r:id="rId1060" ref="AV1061"/>
    <hyperlink r:id="rId1061" ref="AV1062"/>
    <hyperlink r:id="rId1062" ref="AV1063"/>
    <hyperlink r:id="rId1063" ref="AV1064"/>
    <hyperlink r:id="rId1064" ref="AV1065"/>
    <hyperlink r:id="rId1065" ref="AV1066"/>
    <hyperlink r:id="rId1066" ref="AV1067"/>
    <hyperlink r:id="rId1067" ref="AV1068"/>
    <hyperlink r:id="rId1068" ref="AV1069"/>
    <hyperlink r:id="rId1069" ref="AV1070"/>
    <hyperlink r:id="rId1070" ref="AV1071"/>
    <hyperlink r:id="rId1071" ref="AV1072"/>
    <hyperlink r:id="rId1072" ref="AV1073"/>
    <hyperlink r:id="rId1073" ref="AV1074"/>
    <hyperlink r:id="rId1074" ref="AV1075"/>
    <hyperlink r:id="rId1075" ref="AV1076"/>
    <hyperlink r:id="rId1076" ref="AV1077"/>
    <hyperlink r:id="rId1077" ref="AV1078"/>
    <hyperlink r:id="rId1078" ref="AV1079"/>
    <hyperlink r:id="rId1079" ref="AV1080"/>
    <hyperlink r:id="rId1080" ref="AV1081"/>
    <hyperlink r:id="rId1081" ref="AV1082"/>
    <hyperlink r:id="rId1082" ref="AV1083"/>
    <hyperlink r:id="rId1083" ref="AV1084"/>
    <hyperlink r:id="rId1084" ref="AV1085"/>
    <hyperlink r:id="rId1085" ref="AV1086"/>
    <hyperlink r:id="rId1086" ref="AV1087"/>
    <hyperlink r:id="rId1087" ref="AV1088"/>
    <hyperlink r:id="rId1088" ref="AV1089"/>
    <hyperlink r:id="rId1089" ref="AV1090"/>
    <hyperlink r:id="rId1090" ref="AV1091"/>
    <hyperlink r:id="rId1091" ref="AV1092"/>
    <hyperlink r:id="rId1092" ref="AV1093"/>
    <hyperlink r:id="rId1093" ref="AV1094"/>
    <hyperlink r:id="rId1094" ref="AV1095"/>
    <hyperlink r:id="rId1095" ref="AV1096"/>
    <hyperlink r:id="rId1096" ref="AV1097"/>
    <hyperlink r:id="rId1097" ref="AV1098"/>
    <hyperlink r:id="rId1098" ref="AV1099"/>
    <hyperlink r:id="rId1099" ref="AV1100"/>
    <hyperlink r:id="rId1100" ref="AV1101"/>
    <hyperlink r:id="rId1101" ref="AV1102"/>
    <hyperlink r:id="rId1102" ref="AV1103"/>
    <hyperlink r:id="rId1103" ref="AV1104"/>
    <hyperlink r:id="rId1104" ref="AV1105"/>
    <hyperlink r:id="rId1105" ref="AV1106"/>
    <hyperlink r:id="rId1106" ref="AV1107"/>
    <hyperlink r:id="rId1107" ref="AV1108"/>
    <hyperlink r:id="rId1108" ref="AV1109"/>
    <hyperlink r:id="rId1109" ref="AV1110"/>
    <hyperlink r:id="rId1110" ref="AV1111"/>
    <hyperlink r:id="rId1111" ref="AV1112"/>
    <hyperlink r:id="rId1112" ref="AV1113"/>
    <hyperlink r:id="rId1113" ref="AV1114"/>
    <hyperlink r:id="rId1114" ref="AV1115"/>
    <hyperlink r:id="rId1115" ref="AV1116"/>
    <hyperlink r:id="rId1116" ref="AV1117"/>
    <hyperlink r:id="rId1117" ref="AV1118"/>
    <hyperlink r:id="rId1118" ref="AV1119"/>
    <hyperlink r:id="rId1119" ref="AV1120"/>
    <hyperlink r:id="rId1120" ref="AV1121"/>
    <hyperlink r:id="rId1121" ref="AV1122"/>
    <hyperlink r:id="rId1122" ref="AV1123"/>
    <hyperlink r:id="rId1123" ref="AV1124"/>
    <hyperlink r:id="rId1124" ref="AV1125"/>
    <hyperlink r:id="rId1125" ref="AV1126"/>
    <hyperlink r:id="rId1126" ref="AV1127"/>
    <hyperlink r:id="rId1127" ref="AV1128"/>
    <hyperlink r:id="rId1128" ref="AV1129"/>
    <hyperlink r:id="rId1129" ref="AV1130"/>
    <hyperlink r:id="rId1130" ref="AV1131"/>
    <hyperlink r:id="rId1131" ref="AV1132"/>
    <hyperlink r:id="rId1132" ref="AV1133"/>
    <hyperlink r:id="rId1133" ref="AV1134"/>
    <hyperlink r:id="rId1134" ref="AV1135"/>
    <hyperlink r:id="rId1135" ref="AV1136"/>
    <hyperlink r:id="rId1136" ref="AV1137"/>
    <hyperlink r:id="rId1137" ref="AV1138"/>
    <hyperlink r:id="rId1138" ref="AV1139"/>
    <hyperlink r:id="rId1139" ref="AV1140"/>
    <hyperlink r:id="rId1140" ref="AV1141"/>
    <hyperlink r:id="rId1141" ref="AV1142"/>
    <hyperlink r:id="rId1142" ref="AV1143"/>
    <hyperlink r:id="rId1143" ref="AV1144"/>
    <hyperlink r:id="rId1144" ref="AV1145"/>
    <hyperlink r:id="rId1145" ref="AV1146"/>
    <hyperlink r:id="rId1146" ref="AV1147"/>
    <hyperlink r:id="rId1147" ref="AV1148"/>
    <hyperlink r:id="rId1148" ref="AV1149"/>
    <hyperlink r:id="rId1149" ref="AV1150"/>
    <hyperlink r:id="rId1150" ref="AV1151"/>
    <hyperlink r:id="rId1151" ref="AV1152"/>
    <hyperlink r:id="rId1152" ref="AV1153"/>
    <hyperlink r:id="rId1153" ref="AV1154"/>
    <hyperlink r:id="rId1154" ref="AV1155"/>
    <hyperlink r:id="rId1155" ref="AV1156"/>
    <hyperlink r:id="rId1156" ref="AV1157"/>
    <hyperlink r:id="rId1157" ref="AV1158"/>
    <hyperlink r:id="rId1158" ref="AV1159"/>
    <hyperlink r:id="rId1159" ref="AV1160"/>
    <hyperlink r:id="rId1160" ref="AV1161"/>
    <hyperlink r:id="rId1161" ref="AV1162"/>
    <hyperlink r:id="rId1162" ref="AV1163"/>
    <hyperlink r:id="rId1163" ref="AV1164"/>
    <hyperlink r:id="rId1164" ref="AV1165"/>
    <hyperlink r:id="rId1165" ref="AV1166"/>
    <hyperlink r:id="rId1166" ref="AV1167"/>
    <hyperlink r:id="rId1167" ref="AV1168"/>
    <hyperlink r:id="rId1168" ref="AV1169"/>
    <hyperlink r:id="rId1169" ref="AV1170"/>
    <hyperlink r:id="rId1170" ref="AV1171"/>
    <hyperlink r:id="rId1171" ref="AV1172"/>
    <hyperlink r:id="rId1172" ref="AV1173"/>
    <hyperlink r:id="rId1173" ref="AV1174"/>
    <hyperlink r:id="rId1174" ref="AV1175"/>
    <hyperlink r:id="rId1175" ref="AV1176"/>
    <hyperlink r:id="rId1176" ref="AV1177"/>
    <hyperlink r:id="rId1177" ref="AV1178"/>
    <hyperlink r:id="rId1178" ref="AV1179"/>
    <hyperlink r:id="rId1179" ref="AV1180"/>
    <hyperlink r:id="rId1180" ref="AV1181"/>
    <hyperlink r:id="rId1181" ref="AV1182"/>
    <hyperlink r:id="rId1182" ref="AV1183"/>
    <hyperlink r:id="rId1183" ref="AV1184"/>
    <hyperlink r:id="rId1184" ref="AV1185"/>
    <hyperlink r:id="rId1185" ref="AV1186"/>
    <hyperlink r:id="rId1186" ref="AV1187"/>
    <hyperlink r:id="rId1187" ref="AV1188"/>
    <hyperlink r:id="rId1188" ref="AV1189"/>
    <hyperlink r:id="rId1189" ref="AV1190"/>
    <hyperlink r:id="rId1190" ref="AV1191"/>
    <hyperlink r:id="rId1191" ref="AV1192"/>
    <hyperlink r:id="rId1192" ref="AV1193"/>
    <hyperlink r:id="rId1193" ref="AV1194"/>
    <hyperlink r:id="rId1194" ref="AV1195"/>
    <hyperlink r:id="rId1195" ref="AV1196"/>
    <hyperlink r:id="rId1196" ref="AV1197"/>
    <hyperlink r:id="rId1197" ref="AV1198"/>
    <hyperlink r:id="rId1198" ref="AV1199"/>
    <hyperlink r:id="rId1199" ref="AV1200"/>
    <hyperlink r:id="rId1200" ref="AV1201"/>
    <hyperlink r:id="rId1201" ref="AV1202"/>
    <hyperlink r:id="rId1202" ref="AV1203"/>
    <hyperlink r:id="rId1203" ref="AV1204"/>
    <hyperlink r:id="rId1204" ref="AV1205"/>
    <hyperlink r:id="rId1205" ref="AV1206"/>
    <hyperlink r:id="rId1206" ref="AV1207"/>
    <hyperlink r:id="rId1207" ref="AV1208"/>
    <hyperlink r:id="rId1208" ref="AV1209"/>
    <hyperlink r:id="rId1209" ref="AV1210"/>
    <hyperlink r:id="rId1210" ref="AV1211"/>
    <hyperlink r:id="rId1211" ref="AV1212"/>
    <hyperlink r:id="rId1212" ref="AV1213"/>
    <hyperlink r:id="rId1213" ref="AV1214"/>
    <hyperlink r:id="rId1214" ref="AV1215"/>
    <hyperlink r:id="rId1215" ref="AV1216"/>
    <hyperlink r:id="rId1216" ref="AV1217"/>
    <hyperlink r:id="rId1217" ref="AV1218"/>
    <hyperlink r:id="rId1218" ref="AV1219"/>
    <hyperlink r:id="rId1219" ref="AV1220"/>
    <hyperlink r:id="rId1220" ref="AV1221"/>
    <hyperlink r:id="rId1221" ref="AV1222"/>
    <hyperlink r:id="rId1222" ref="AV1223"/>
    <hyperlink r:id="rId1223" ref="AV1224"/>
    <hyperlink r:id="rId1224" ref="AV1225"/>
    <hyperlink r:id="rId1225" ref="AV1226"/>
    <hyperlink r:id="rId1226" ref="AV1227"/>
    <hyperlink r:id="rId1227" ref="AV1228"/>
    <hyperlink r:id="rId1228" ref="AV1229"/>
    <hyperlink r:id="rId1229" ref="AV1230"/>
    <hyperlink r:id="rId1230" ref="AV1231"/>
    <hyperlink r:id="rId1231" ref="AV1232"/>
    <hyperlink r:id="rId1232" ref="AV1233"/>
    <hyperlink r:id="rId1233" ref="AV1234"/>
    <hyperlink r:id="rId1234" ref="AV1235"/>
    <hyperlink r:id="rId1235" ref="AV1236"/>
    <hyperlink r:id="rId1236" ref="AV1237"/>
    <hyperlink r:id="rId1237" ref="AV1238"/>
    <hyperlink r:id="rId1238" ref="AV1239"/>
    <hyperlink r:id="rId1239" ref="AV1240"/>
    <hyperlink r:id="rId1240" ref="AV1241"/>
    <hyperlink r:id="rId1241" ref="AV1242"/>
    <hyperlink r:id="rId1242" ref="AV1243"/>
    <hyperlink r:id="rId1243" ref="AV1244"/>
    <hyperlink r:id="rId1244" ref="AV1245"/>
    <hyperlink r:id="rId1245" ref="AV1246"/>
    <hyperlink r:id="rId1246" ref="AV1247"/>
    <hyperlink r:id="rId1247" ref="AV1248"/>
    <hyperlink r:id="rId1248" ref="AV1249"/>
    <hyperlink r:id="rId1249" ref="AV1250"/>
    <hyperlink r:id="rId1250" ref="AV1251"/>
    <hyperlink r:id="rId1251" ref="AV1252"/>
    <hyperlink r:id="rId1252" ref="AV1253"/>
    <hyperlink r:id="rId1253" ref="AV1254"/>
    <hyperlink r:id="rId1254" ref="AV1255"/>
    <hyperlink r:id="rId1255" ref="AV1256"/>
    <hyperlink r:id="rId1256" ref="AV1257"/>
    <hyperlink r:id="rId1257" ref="AV1258"/>
    <hyperlink r:id="rId1258" ref="AV1259"/>
    <hyperlink r:id="rId1259" ref="AV1260"/>
    <hyperlink r:id="rId1260" ref="AV1261"/>
    <hyperlink r:id="rId1261" ref="AV1262"/>
    <hyperlink r:id="rId1262" ref="AV1263"/>
    <hyperlink r:id="rId1263" ref="AV1264"/>
    <hyperlink r:id="rId1264" ref="AV1265"/>
    <hyperlink r:id="rId1265" ref="AV1266"/>
    <hyperlink r:id="rId1266" ref="AV1267"/>
    <hyperlink r:id="rId1267" ref="AV1268"/>
    <hyperlink r:id="rId1268" ref="AV1269"/>
    <hyperlink r:id="rId1269" ref="AV1270"/>
    <hyperlink r:id="rId1270" ref="AV1271"/>
    <hyperlink r:id="rId1271" ref="AV1272"/>
    <hyperlink r:id="rId1272" ref="AV1273"/>
    <hyperlink r:id="rId1273" ref="AV1274"/>
    <hyperlink r:id="rId1274" ref="AV1275"/>
    <hyperlink r:id="rId1275" ref="AV1276"/>
    <hyperlink r:id="rId1276" ref="AV1277"/>
    <hyperlink r:id="rId1277" ref="AV1278"/>
    <hyperlink r:id="rId1278" ref="AV1279"/>
    <hyperlink r:id="rId1279" ref="AV1280"/>
    <hyperlink r:id="rId1280" ref="AV1281"/>
    <hyperlink r:id="rId1281" ref="AV1282"/>
    <hyperlink r:id="rId1282" ref="AV1283"/>
    <hyperlink r:id="rId1283" ref="AV1284"/>
    <hyperlink r:id="rId1284" ref="AV1285"/>
    <hyperlink r:id="rId1285" ref="AV1286"/>
    <hyperlink r:id="rId1286" ref="AV1287"/>
    <hyperlink r:id="rId1287" ref="AV1288"/>
    <hyperlink r:id="rId1288" ref="AV1289"/>
    <hyperlink r:id="rId1289" ref="AV1290"/>
    <hyperlink r:id="rId1290" ref="AV1291"/>
    <hyperlink r:id="rId1291" ref="AV1292"/>
    <hyperlink r:id="rId1292" ref="AV1293"/>
    <hyperlink r:id="rId1293" ref="AV1294"/>
    <hyperlink r:id="rId1294" ref="AV1295"/>
    <hyperlink r:id="rId1295" ref="AV1296"/>
    <hyperlink r:id="rId1296" ref="AV1297"/>
    <hyperlink r:id="rId1297" ref="AV1298"/>
    <hyperlink r:id="rId1298" ref="AV1299"/>
    <hyperlink r:id="rId1299" ref="AV1300"/>
    <hyperlink r:id="rId1300" ref="AV1301"/>
    <hyperlink r:id="rId1301" ref="AV1302"/>
    <hyperlink r:id="rId1302" ref="AV1303"/>
    <hyperlink r:id="rId1303" ref="AV1304"/>
    <hyperlink r:id="rId1304" ref="AV1305"/>
    <hyperlink r:id="rId1305" ref="AV1306"/>
    <hyperlink r:id="rId1306" ref="AV1307"/>
    <hyperlink r:id="rId1307" ref="AV1308"/>
    <hyperlink r:id="rId1308" ref="AV1309"/>
    <hyperlink r:id="rId1309" ref="AV1310"/>
    <hyperlink r:id="rId1310" ref="AV1311"/>
    <hyperlink r:id="rId1311" ref="AV1312"/>
    <hyperlink r:id="rId1312" ref="AV1313"/>
    <hyperlink r:id="rId1313" ref="AV1314"/>
    <hyperlink r:id="rId1314" ref="AV1315"/>
    <hyperlink r:id="rId1315" ref="AV1316"/>
    <hyperlink r:id="rId1316" ref="AV1317"/>
    <hyperlink r:id="rId1317" ref="AV1318"/>
    <hyperlink r:id="rId1318" ref="AV1319"/>
    <hyperlink r:id="rId1319" ref="AV1320"/>
    <hyperlink r:id="rId1320" ref="AV1321"/>
    <hyperlink r:id="rId1321" ref="AV1322"/>
    <hyperlink r:id="rId1322" ref="AV1323"/>
    <hyperlink r:id="rId1323" ref="AV1324"/>
    <hyperlink r:id="rId1324" ref="AV1325"/>
    <hyperlink r:id="rId1325" ref="AV1326"/>
    <hyperlink r:id="rId1326" ref="AV1327"/>
    <hyperlink r:id="rId1327" ref="AV1328"/>
    <hyperlink r:id="rId1328" ref="AV1329"/>
    <hyperlink r:id="rId1329" ref="AV1330"/>
    <hyperlink r:id="rId1330" ref="AV1331"/>
    <hyperlink r:id="rId1331" ref="AV1332"/>
    <hyperlink r:id="rId1332" ref="AV1333"/>
    <hyperlink r:id="rId1333" ref="AV1334"/>
    <hyperlink r:id="rId1334" ref="AV1335"/>
    <hyperlink r:id="rId1335" ref="AV1336"/>
    <hyperlink r:id="rId1336" ref="AV1337"/>
    <hyperlink r:id="rId1337" ref="AV1338"/>
    <hyperlink r:id="rId1338" ref="AV1339"/>
    <hyperlink r:id="rId1339" ref="AV1340"/>
    <hyperlink r:id="rId1340" ref="AV1341"/>
    <hyperlink r:id="rId1341" ref="AV1342"/>
    <hyperlink r:id="rId1342" ref="AV1343"/>
    <hyperlink r:id="rId1343" ref="AV1344"/>
    <hyperlink r:id="rId1344" ref="AV1345"/>
    <hyperlink r:id="rId1345" ref="AV1346"/>
    <hyperlink r:id="rId1346" ref="AV1347"/>
    <hyperlink r:id="rId1347" ref="AV1348"/>
    <hyperlink r:id="rId1348" ref="AV1349"/>
    <hyperlink r:id="rId1349" ref="AV1350"/>
    <hyperlink r:id="rId1350" ref="AV1351"/>
    <hyperlink r:id="rId1351" ref="AV1352"/>
    <hyperlink r:id="rId1352" ref="AV1353"/>
    <hyperlink r:id="rId1353" ref="AV1354"/>
    <hyperlink r:id="rId1354" ref="AV1355"/>
    <hyperlink r:id="rId1355" ref="AV1356"/>
    <hyperlink r:id="rId1356" ref="AV1357"/>
    <hyperlink r:id="rId1357" ref="AV1358"/>
    <hyperlink r:id="rId1358" ref="AV1359"/>
    <hyperlink r:id="rId1359" ref="AV1360"/>
    <hyperlink r:id="rId1360" ref="AV1361"/>
    <hyperlink r:id="rId1361" ref="AV1362"/>
    <hyperlink r:id="rId1362" ref="AV1363"/>
    <hyperlink r:id="rId1363" ref="AV1364"/>
    <hyperlink r:id="rId1364" ref="AV1365"/>
    <hyperlink r:id="rId1365" ref="AV1366"/>
    <hyperlink r:id="rId1366" ref="AV1367"/>
    <hyperlink r:id="rId1367" ref="AV1368"/>
    <hyperlink r:id="rId1368" ref="AV1369"/>
    <hyperlink r:id="rId1369" ref="AV1370"/>
    <hyperlink r:id="rId1370" ref="AV1371"/>
    <hyperlink r:id="rId1371" ref="AV1372"/>
    <hyperlink r:id="rId1372" ref="AV1373"/>
    <hyperlink r:id="rId1373" ref="AV1374"/>
    <hyperlink r:id="rId1374" ref="AV1375"/>
    <hyperlink r:id="rId1375" ref="AV1376"/>
    <hyperlink r:id="rId1376" ref="AV1377"/>
    <hyperlink r:id="rId1377" ref="AV1378"/>
    <hyperlink r:id="rId1378" ref="AV1379"/>
    <hyperlink r:id="rId1379" ref="AV1380"/>
    <hyperlink r:id="rId1380" ref="AV1381"/>
    <hyperlink r:id="rId1381" ref="AV1382"/>
    <hyperlink r:id="rId1382" ref="AV1383"/>
    <hyperlink r:id="rId1383" ref="AV1384"/>
    <hyperlink r:id="rId1384" ref="AV1385"/>
    <hyperlink r:id="rId1385" ref="AV1386"/>
    <hyperlink r:id="rId1386" ref="AV1387"/>
    <hyperlink r:id="rId1387" ref="AV1388"/>
    <hyperlink r:id="rId1388" ref="AV1389"/>
    <hyperlink r:id="rId1389" ref="AV1390"/>
    <hyperlink r:id="rId1390" ref="AV1391"/>
    <hyperlink r:id="rId1391" ref="AV1392"/>
    <hyperlink r:id="rId1392" ref="AV1393"/>
    <hyperlink r:id="rId1393" ref="AV1394"/>
    <hyperlink r:id="rId1394" ref="AV1395"/>
    <hyperlink r:id="rId1395" ref="AV1396"/>
    <hyperlink r:id="rId1396" ref="AV1397"/>
    <hyperlink r:id="rId1397" ref="AV1398"/>
    <hyperlink r:id="rId1398" ref="AV1399"/>
    <hyperlink r:id="rId1399" ref="AV1400"/>
    <hyperlink r:id="rId1400" ref="AV1401"/>
    <hyperlink r:id="rId1401" ref="AV1402"/>
    <hyperlink r:id="rId1402" ref="AV1403"/>
    <hyperlink r:id="rId1403" ref="AV1404"/>
    <hyperlink r:id="rId1404" ref="AV1405"/>
    <hyperlink r:id="rId1405" ref="AV1406"/>
    <hyperlink r:id="rId1406" ref="AV1407"/>
    <hyperlink r:id="rId1407" ref="AV1408"/>
    <hyperlink r:id="rId1408" ref="AV1409"/>
    <hyperlink r:id="rId1409" ref="AV1410"/>
    <hyperlink r:id="rId1410" ref="AV1411"/>
    <hyperlink r:id="rId1411" ref="AV1412"/>
    <hyperlink r:id="rId1412" ref="AV1413"/>
    <hyperlink r:id="rId1413" ref="AV1414"/>
    <hyperlink r:id="rId1414" ref="AV1415"/>
    <hyperlink r:id="rId1415" ref="AV1416"/>
    <hyperlink r:id="rId1416" ref="AV1417"/>
    <hyperlink r:id="rId1417" ref="AV1418"/>
    <hyperlink r:id="rId1418" ref="AV1419"/>
    <hyperlink r:id="rId1419" ref="AV1420"/>
    <hyperlink r:id="rId1420" ref="AV1421"/>
    <hyperlink r:id="rId1421" ref="AV1422"/>
    <hyperlink r:id="rId1422" ref="AV1423"/>
    <hyperlink r:id="rId1423" ref="AV1424"/>
    <hyperlink r:id="rId1424" ref="AV1425"/>
    <hyperlink r:id="rId1425" ref="AV1426"/>
    <hyperlink r:id="rId1426" ref="AV1427"/>
    <hyperlink r:id="rId1427" ref="AV1428"/>
    <hyperlink r:id="rId1428" ref="AV1429"/>
    <hyperlink r:id="rId1429" ref="AV1430"/>
    <hyperlink r:id="rId1430" ref="AV1431"/>
    <hyperlink r:id="rId1431" ref="AV1432"/>
    <hyperlink r:id="rId1432" ref="AV1433"/>
    <hyperlink r:id="rId1433" ref="AV1434"/>
    <hyperlink r:id="rId1434" ref="AV1435"/>
    <hyperlink r:id="rId1435" ref="AV1436"/>
    <hyperlink r:id="rId1436" ref="AV1437"/>
    <hyperlink r:id="rId1437" ref="AV1438"/>
    <hyperlink r:id="rId1438" ref="AV1439"/>
    <hyperlink r:id="rId1439" ref="AV1440"/>
    <hyperlink r:id="rId1440" ref="AV1441"/>
    <hyperlink r:id="rId1441" ref="AV1442"/>
    <hyperlink r:id="rId1442" ref="AV1443"/>
    <hyperlink r:id="rId1443" ref="AV1444"/>
    <hyperlink r:id="rId1444" ref="AV1445"/>
    <hyperlink r:id="rId1445" ref="AV1446"/>
    <hyperlink r:id="rId1446" ref="AV1447"/>
    <hyperlink r:id="rId1447" ref="AV1448"/>
    <hyperlink r:id="rId1448" ref="AV1449"/>
    <hyperlink r:id="rId1449" ref="AV1450"/>
    <hyperlink r:id="rId1450" ref="AV1451"/>
    <hyperlink r:id="rId1451" ref="AV1452"/>
    <hyperlink r:id="rId1452" ref="AV1453"/>
    <hyperlink r:id="rId1453" ref="AV1454"/>
    <hyperlink r:id="rId1454" ref="AV1455"/>
    <hyperlink r:id="rId1455" ref="AV1456"/>
    <hyperlink r:id="rId1456" ref="AV1457"/>
    <hyperlink r:id="rId1457" ref="AV1458"/>
    <hyperlink r:id="rId1458" ref="AV1459"/>
    <hyperlink r:id="rId1459" ref="AV1460"/>
    <hyperlink r:id="rId1460" ref="AV1461"/>
    <hyperlink r:id="rId1461" ref="AV1462"/>
    <hyperlink r:id="rId1462" ref="AV1463"/>
    <hyperlink r:id="rId1463" ref="AV1464"/>
    <hyperlink r:id="rId1464" ref="AV1465"/>
    <hyperlink r:id="rId1465" ref="AV1466"/>
    <hyperlink r:id="rId1466" ref="AV1467"/>
    <hyperlink r:id="rId1467" ref="AV1468"/>
    <hyperlink r:id="rId1468" ref="AV1469"/>
    <hyperlink r:id="rId1469" ref="AV1470"/>
    <hyperlink r:id="rId1470" ref="AV1471"/>
    <hyperlink r:id="rId1471" ref="AV1472"/>
    <hyperlink r:id="rId1472" ref="AV1473"/>
    <hyperlink r:id="rId1473" ref="AV1474"/>
    <hyperlink r:id="rId1474" ref="AV1475"/>
    <hyperlink r:id="rId1475" ref="AV1476"/>
    <hyperlink r:id="rId1476" ref="AV1477"/>
    <hyperlink r:id="rId1477" ref="AV1478"/>
    <hyperlink r:id="rId1478" ref="AV1479"/>
    <hyperlink r:id="rId1479" ref="AV1480"/>
    <hyperlink r:id="rId1480" ref="AV1481"/>
    <hyperlink r:id="rId1481" ref="AV1482"/>
    <hyperlink r:id="rId1482" ref="AV1483"/>
    <hyperlink r:id="rId1483" ref="AV1484"/>
    <hyperlink r:id="rId1484" ref="AV1485"/>
    <hyperlink r:id="rId1485" ref="AV1486"/>
    <hyperlink r:id="rId1486" ref="AV1487"/>
    <hyperlink r:id="rId1487" ref="AV1488"/>
    <hyperlink r:id="rId1488" ref="AV1489"/>
    <hyperlink r:id="rId1489" ref="AV1490"/>
    <hyperlink r:id="rId1490" ref="AV1491"/>
    <hyperlink r:id="rId1491" ref="AV1492"/>
    <hyperlink r:id="rId1492" ref="AV1493"/>
    <hyperlink r:id="rId1493" ref="AV1494"/>
    <hyperlink r:id="rId1494" ref="AV1495"/>
    <hyperlink r:id="rId1495" ref="AV1496"/>
    <hyperlink r:id="rId1496" ref="AV1497"/>
    <hyperlink r:id="rId1497" ref="AV1498"/>
    <hyperlink r:id="rId1498" ref="AV1499"/>
    <hyperlink r:id="rId1499" ref="AV1500"/>
    <hyperlink r:id="rId1500" ref="AV1501"/>
    <hyperlink r:id="rId1501" ref="AV1502"/>
    <hyperlink r:id="rId1502" ref="AV1503"/>
    <hyperlink r:id="rId1503" ref="AV1504"/>
    <hyperlink r:id="rId1504" ref="AV1505"/>
    <hyperlink r:id="rId1505" ref="AV1506"/>
    <hyperlink r:id="rId1506" ref="AV1507"/>
    <hyperlink r:id="rId1507" ref="AV1508"/>
    <hyperlink r:id="rId1508" ref="AV1509"/>
    <hyperlink r:id="rId1509" ref="AV1510"/>
    <hyperlink r:id="rId1510" ref="AV1511"/>
    <hyperlink r:id="rId1511" ref="AV1512"/>
    <hyperlink r:id="rId1512" ref="AV1513"/>
    <hyperlink r:id="rId1513" ref="AV1514"/>
    <hyperlink r:id="rId1514" ref="AV1515"/>
    <hyperlink r:id="rId1515" ref="AV1516"/>
    <hyperlink r:id="rId1516" ref="AV1517"/>
    <hyperlink r:id="rId1517" ref="AV1518"/>
    <hyperlink r:id="rId1518" ref="AV1519"/>
    <hyperlink r:id="rId1519" ref="AV1520"/>
    <hyperlink r:id="rId1520" ref="AV1521"/>
    <hyperlink r:id="rId1521" ref="AV1522"/>
    <hyperlink r:id="rId1522" ref="AV1523"/>
    <hyperlink r:id="rId1523" ref="AV1524"/>
    <hyperlink r:id="rId1524" ref="AV1525"/>
    <hyperlink r:id="rId1525" ref="AV1526"/>
    <hyperlink r:id="rId1526" ref="AV1527"/>
    <hyperlink r:id="rId1527" ref="AV1528"/>
    <hyperlink r:id="rId1528" ref="AV1529"/>
    <hyperlink r:id="rId1529" ref="AV1530"/>
    <hyperlink r:id="rId1530" ref="AV1531"/>
    <hyperlink r:id="rId1531" ref="AV1532"/>
    <hyperlink r:id="rId1532" ref="AV1533"/>
    <hyperlink r:id="rId1533" ref="AV1534"/>
    <hyperlink r:id="rId1534" ref="AV1535"/>
    <hyperlink r:id="rId1535" ref="AV1536"/>
    <hyperlink r:id="rId1536" ref="AV1537"/>
    <hyperlink r:id="rId1537" ref="AV1538"/>
    <hyperlink r:id="rId1538" ref="AV1539"/>
    <hyperlink r:id="rId1539" ref="AV1540"/>
    <hyperlink r:id="rId1540" ref="AV1541"/>
    <hyperlink r:id="rId1541" ref="AV1542"/>
    <hyperlink r:id="rId1542" ref="AV1543"/>
    <hyperlink r:id="rId1543" ref="AV1544"/>
    <hyperlink r:id="rId1544" ref="AV1545"/>
    <hyperlink r:id="rId1545" ref="AV1546"/>
    <hyperlink r:id="rId1546" ref="AV1547"/>
    <hyperlink r:id="rId1547" ref="AV1548"/>
    <hyperlink r:id="rId1548" ref="AV1549"/>
    <hyperlink r:id="rId1549" ref="AV1550"/>
    <hyperlink r:id="rId1550" ref="AV1551"/>
    <hyperlink r:id="rId1551" ref="AV1552"/>
    <hyperlink r:id="rId1552" ref="AV1553"/>
    <hyperlink r:id="rId1553" ref="AV1554"/>
    <hyperlink r:id="rId1554" ref="AV1555"/>
    <hyperlink r:id="rId1555" ref="AV1556"/>
    <hyperlink r:id="rId1556" ref="AV1557"/>
    <hyperlink r:id="rId1557" ref="AV1558"/>
    <hyperlink r:id="rId1558" ref="AV1559"/>
    <hyperlink r:id="rId1559" ref="AV1560"/>
    <hyperlink r:id="rId1560" ref="AV1561"/>
    <hyperlink r:id="rId1561" ref="AV1562"/>
    <hyperlink r:id="rId1562" ref="AV1563"/>
    <hyperlink r:id="rId1563" ref="AV1564"/>
    <hyperlink r:id="rId1564" ref="AV1565"/>
    <hyperlink r:id="rId1565" ref="AV1566"/>
    <hyperlink r:id="rId1566" ref="AV1567"/>
    <hyperlink r:id="rId1567" ref="AV1568"/>
    <hyperlink r:id="rId1568" ref="AV1569"/>
    <hyperlink r:id="rId1569" ref="AV1570"/>
    <hyperlink r:id="rId1570" ref="AV1571"/>
    <hyperlink r:id="rId1571" ref="AV1572"/>
    <hyperlink r:id="rId1572" ref="AV1573"/>
    <hyperlink r:id="rId1573" ref="AV1574"/>
    <hyperlink r:id="rId1574" ref="AV1575"/>
    <hyperlink r:id="rId1575" ref="AV1576"/>
    <hyperlink r:id="rId1576" ref="AV1577"/>
    <hyperlink r:id="rId1577" ref="AV1578"/>
    <hyperlink r:id="rId1578" ref="AV1579"/>
    <hyperlink r:id="rId1579" ref="AV1580"/>
    <hyperlink r:id="rId1580" ref="AV1581"/>
    <hyperlink r:id="rId1581" ref="AV1582"/>
    <hyperlink r:id="rId1582" ref="AV1583"/>
    <hyperlink r:id="rId1583" ref="AV1584"/>
    <hyperlink r:id="rId1584" ref="AV1585"/>
    <hyperlink r:id="rId1585" ref="AV1586"/>
    <hyperlink r:id="rId1586" ref="AV1587"/>
    <hyperlink r:id="rId1587" ref="AV1588"/>
    <hyperlink r:id="rId1588" ref="AV1589"/>
    <hyperlink r:id="rId1589" ref="AV1590"/>
    <hyperlink r:id="rId1590" ref="AV1591"/>
    <hyperlink r:id="rId1591" ref="AV1592"/>
    <hyperlink r:id="rId1592" ref="AV1593"/>
    <hyperlink r:id="rId1593" ref="AV1594"/>
    <hyperlink r:id="rId1594" ref="AV1595"/>
    <hyperlink r:id="rId1595" ref="AV1596"/>
    <hyperlink r:id="rId1596" ref="AV1597"/>
    <hyperlink r:id="rId1597" ref="AV1598"/>
    <hyperlink r:id="rId1598" ref="AV1599"/>
    <hyperlink r:id="rId1599" ref="AV1600"/>
    <hyperlink r:id="rId1600" ref="AV1601"/>
    <hyperlink r:id="rId1601" ref="AV1602"/>
    <hyperlink r:id="rId1602" ref="AV1603"/>
    <hyperlink r:id="rId1603" ref="AV1604"/>
    <hyperlink r:id="rId1604" ref="AV1605"/>
    <hyperlink r:id="rId1605" ref="AV1606"/>
    <hyperlink r:id="rId1606" ref="AV1607"/>
    <hyperlink r:id="rId1607" ref="AV1608"/>
    <hyperlink r:id="rId1608" ref="AV1609"/>
    <hyperlink r:id="rId1609" ref="AV1610"/>
    <hyperlink r:id="rId1610" ref="AV1611"/>
    <hyperlink r:id="rId1611" ref="AV1612"/>
    <hyperlink r:id="rId1612" ref="AV1613"/>
    <hyperlink r:id="rId1613" ref="AV1614"/>
    <hyperlink r:id="rId1614" ref="AV1615"/>
    <hyperlink r:id="rId1615" ref="AV1616"/>
    <hyperlink r:id="rId1616" ref="AV1617"/>
    <hyperlink r:id="rId1617" ref="AV1618"/>
    <hyperlink r:id="rId1618" ref="AV1619"/>
    <hyperlink r:id="rId1619" ref="AV1620"/>
    <hyperlink r:id="rId1620" ref="AV1621"/>
    <hyperlink r:id="rId1621" ref="AV1622"/>
    <hyperlink r:id="rId1622" ref="AV1623"/>
    <hyperlink r:id="rId1623" ref="AV1624"/>
    <hyperlink r:id="rId1624" ref="AV1625"/>
    <hyperlink r:id="rId1625" ref="AV1626"/>
    <hyperlink r:id="rId1626" ref="AV1627"/>
    <hyperlink r:id="rId1627" ref="AV1628"/>
    <hyperlink r:id="rId1628" ref="AV1629"/>
    <hyperlink r:id="rId1629" ref="AV1630"/>
    <hyperlink r:id="rId1630" ref="AV1631"/>
    <hyperlink r:id="rId1631" ref="AV1632"/>
    <hyperlink r:id="rId1632" ref="AV1633"/>
    <hyperlink r:id="rId1633" ref="AV1634"/>
    <hyperlink r:id="rId1634" ref="AV1635"/>
    <hyperlink r:id="rId1635" ref="AV1636"/>
    <hyperlink r:id="rId1636" ref="AV1637"/>
    <hyperlink r:id="rId1637" ref="AV1638"/>
    <hyperlink r:id="rId1638" ref="AV1639"/>
    <hyperlink r:id="rId1639" ref="AV1640"/>
    <hyperlink r:id="rId1640" ref="AV1641"/>
    <hyperlink r:id="rId1641" ref="AV1642"/>
    <hyperlink r:id="rId1642" ref="AV1643"/>
    <hyperlink r:id="rId1643" ref="AV1644"/>
    <hyperlink r:id="rId1644" ref="AV1645"/>
    <hyperlink r:id="rId1645" ref="AV1646"/>
    <hyperlink r:id="rId1646" ref="AV1647"/>
    <hyperlink r:id="rId1647" ref="AV1648"/>
    <hyperlink r:id="rId1648" ref="AV1649"/>
    <hyperlink r:id="rId1649" ref="AV1650"/>
    <hyperlink r:id="rId1650" ref="AV1651"/>
    <hyperlink r:id="rId1651" ref="AV1652"/>
    <hyperlink r:id="rId1652" ref="AV1653"/>
    <hyperlink r:id="rId1653" ref="AV1654"/>
    <hyperlink r:id="rId1654" ref="AV1655"/>
    <hyperlink r:id="rId1655" ref="AV1656"/>
    <hyperlink r:id="rId1656" ref="AV1657"/>
    <hyperlink r:id="rId1657" ref="AV1658"/>
    <hyperlink r:id="rId1658" ref="AV1659"/>
    <hyperlink r:id="rId1659" ref="AV1660"/>
    <hyperlink r:id="rId1660" ref="AV1661"/>
    <hyperlink r:id="rId1661" ref="AV1662"/>
    <hyperlink r:id="rId1662" ref="AV1663"/>
    <hyperlink r:id="rId1663" ref="AV1664"/>
    <hyperlink r:id="rId1664" ref="AV1665"/>
    <hyperlink r:id="rId1665" ref="AV1666"/>
    <hyperlink r:id="rId1666" ref="AV1667"/>
    <hyperlink r:id="rId1667" ref="AV1668"/>
    <hyperlink r:id="rId1668" ref="AV1669"/>
    <hyperlink r:id="rId1669" ref="AV1670"/>
    <hyperlink r:id="rId1670" ref="AV1671"/>
    <hyperlink r:id="rId1671" ref="AV1672"/>
    <hyperlink r:id="rId1672" ref="AV1673"/>
    <hyperlink r:id="rId1673" ref="AV1674"/>
    <hyperlink r:id="rId1674" ref="AV1675"/>
    <hyperlink r:id="rId1675" ref="AV1676"/>
    <hyperlink r:id="rId1676" ref="AV1677"/>
    <hyperlink r:id="rId1677" ref="AV1678"/>
    <hyperlink r:id="rId1678" ref="AV1679"/>
    <hyperlink r:id="rId1679" ref="AV1680"/>
    <hyperlink r:id="rId1680" ref="AV1681"/>
    <hyperlink r:id="rId1681" ref="AV1682"/>
    <hyperlink r:id="rId1682" ref="AV1683"/>
    <hyperlink r:id="rId1683" ref="AV1684"/>
    <hyperlink r:id="rId1684" ref="AV1685"/>
    <hyperlink r:id="rId1685" ref="AV1686"/>
    <hyperlink r:id="rId1686" ref="AV1687"/>
    <hyperlink r:id="rId1687" ref="AV1688"/>
    <hyperlink r:id="rId1688" ref="AV1689"/>
    <hyperlink r:id="rId1689" ref="AV1690"/>
    <hyperlink r:id="rId1690" ref="AV1691"/>
    <hyperlink r:id="rId1691" ref="AV1692"/>
    <hyperlink r:id="rId1692" ref="AV1693"/>
    <hyperlink r:id="rId1693" ref="AV1694"/>
    <hyperlink r:id="rId1694" ref="AV1695"/>
    <hyperlink r:id="rId1695" ref="AV1696"/>
    <hyperlink r:id="rId1696" ref="AV1697"/>
    <hyperlink r:id="rId1697" ref="AV1698"/>
    <hyperlink r:id="rId1698" ref="AV1699"/>
    <hyperlink r:id="rId1699" ref="AV1700"/>
    <hyperlink r:id="rId1700" ref="AV1701"/>
    <hyperlink r:id="rId1701" ref="AV1702"/>
    <hyperlink r:id="rId1702" ref="AV1703"/>
    <hyperlink r:id="rId1703" ref="AV1704"/>
    <hyperlink r:id="rId1704" ref="AV1705"/>
    <hyperlink r:id="rId1705" ref="AV1706"/>
    <hyperlink r:id="rId1706" ref="AV1707"/>
    <hyperlink r:id="rId1707" ref="AV1708"/>
    <hyperlink r:id="rId1708" ref="AV1709"/>
    <hyperlink r:id="rId1709" ref="AV1710"/>
    <hyperlink r:id="rId1710" ref="AV1711"/>
    <hyperlink r:id="rId1711" ref="AV1712"/>
    <hyperlink r:id="rId1712" ref="AV1713"/>
    <hyperlink r:id="rId1713" ref="AV1714"/>
    <hyperlink r:id="rId1714" ref="AV1715"/>
    <hyperlink r:id="rId1715" ref="AV1716"/>
    <hyperlink r:id="rId1716" ref="AV1717"/>
    <hyperlink r:id="rId1717" ref="AV1718"/>
    <hyperlink r:id="rId1718" ref="AV1719"/>
    <hyperlink r:id="rId1719" ref="AV1720"/>
    <hyperlink r:id="rId1720" ref="AV1721"/>
    <hyperlink r:id="rId1721" ref="AV1722"/>
    <hyperlink r:id="rId1722" ref="AV1723"/>
    <hyperlink r:id="rId1723" ref="AV1724"/>
    <hyperlink r:id="rId1724" ref="AV1725"/>
    <hyperlink r:id="rId1725" ref="AV1726"/>
    <hyperlink r:id="rId1726" ref="AV1727"/>
    <hyperlink r:id="rId1727" ref="AV1728"/>
    <hyperlink r:id="rId1728" ref="AV1729"/>
    <hyperlink r:id="rId1729" ref="AV1730"/>
    <hyperlink r:id="rId1730" ref="AV1731"/>
    <hyperlink r:id="rId1731" ref="AV1732"/>
    <hyperlink r:id="rId1732" ref="AV1733"/>
    <hyperlink r:id="rId1733" ref="AV1734"/>
    <hyperlink r:id="rId1734" ref="AV1735"/>
    <hyperlink r:id="rId1735" ref="AV1736"/>
    <hyperlink r:id="rId1736" ref="AV1737"/>
    <hyperlink r:id="rId1737" ref="AV1738"/>
    <hyperlink r:id="rId1738" ref="AV1739"/>
    <hyperlink r:id="rId1739" ref="AV1740"/>
    <hyperlink r:id="rId1740" ref="AV1741"/>
    <hyperlink r:id="rId1741" ref="AV1742"/>
    <hyperlink r:id="rId1742" ref="AV1743"/>
    <hyperlink r:id="rId1743" ref="AV1744"/>
    <hyperlink r:id="rId1744" ref="AV1745"/>
    <hyperlink r:id="rId1745" ref="AV1746"/>
    <hyperlink r:id="rId1746" ref="AV1747"/>
    <hyperlink r:id="rId1747" ref="AV1748"/>
    <hyperlink r:id="rId1748" ref="AV1749"/>
    <hyperlink r:id="rId1749" ref="AV1750"/>
    <hyperlink r:id="rId1750" ref="AV1751"/>
    <hyperlink r:id="rId1751" ref="AV1752"/>
    <hyperlink r:id="rId1752" ref="AV1753"/>
    <hyperlink r:id="rId1753" ref="AV1754"/>
    <hyperlink r:id="rId1754" ref="AV1755"/>
    <hyperlink r:id="rId1755" ref="AV1756"/>
    <hyperlink r:id="rId1756" ref="AV1757"/>
    <hyperlink r:id="rId1757" ref="AV1758"/>
    <hyperlink r:id="rId1758" ref="AV1759"/>
    <hyperlink r:id="rId1759" ref="AV1760"/>
    <hyperlink r:id="rId1760" ref="AV1761"/>
    <hyperlink r:id="rId1761" ref="AV1762"/>
    <hyperlink r:id="rId1762" ref="AV1763"/>
    <hyperlink r:id="rId1763" ref="AV1764"/>
    <hyperlink r:id="rId1764" ref="AV1765"/>
    <hyperlink r:id="rId1765" ref="AV1766"/>
    <hyperlink r:id="rId1766" ref="AV1767"/>
    <hyperlink r:id="rId1767" ref="AV1768"/>
    <hyperlink r:id="rId1768" ref="AV1769"/>
    <hyperlink r:id="rId1769" ref="AV1770"/>
    <hyperlink r:id="rId1770" ref="AV1771"/>
    <hyperlink r:id="rId1771" ref="AV1772"/>
    <hyperlink r:id="rId1772" ref="AV1773"/>
    <hyperlink r:id="rId1773" ref="AV1774"/>
    <hyperlink r:id="rId1774" ref="AV1775"/>
    <hyperlink r:id="rId1775" ref="AV1776"/>
    <hyperlink r:id="rId1776" ref="AV1777"/>
    <hyperlink r:id="rId1777" ref="AV1778"/>
    <hyperlink r:id="rId1778" ref="AV1779"/>
    <hyperlink r:id="rId1779" ref="AV1780"/>
    <hyperlink r:id="rId1780" ref="AV1781"/>
    <hyperlink r:id="rId1781" ref="AV1782"/>
    <hyperlink r:id="rId1782" ref="AV1783"/>
    <hyperlink r:id="rId1783" ref="AV1784"/>
    <hyperlink r:id="rId1784" ref="AV1785"/>
    <hyperlink r:id="rId1785" ref="AV1786"/>
    <hyperlink r:id="rId1786" ref="AV1787"/>
    <hyperlink r:id="rId1787" ref="AV1788"/>
    <hyperlink r:id="rId1788" ref="AV1789"/>
    <hyperlink r:id="rId1789" ref="AV1790"/>
    <hyperlink r:id="rId1790" ref="AV1791"/>
    <hyperlink r:id="rId1791" ref="AV1792"/>
    <hyperlink r:id="rId1792" ref="AV1793"/>
    <hyperlink r:id="rId1793" ref="AV1794"/>
    <hyperlink r:id="rId1794" ref="AV1795"/>
    <hyperlink r:id="rId1795" ref="AV1796"/>
    <hyperlink r:id="rId1796" ref="AV1797"/>
    <hyperlink r:id="rId1797" ref="AV1798"/>
    <hyperlink r:id="rId1798" ref="AV1799"/>
    <hyperlink r:id="rId1799" ref="AV1800"/>
    <hyperlink r:id="rId1800" ref="AV1801"/>
    <hyperlink r:id="rId1801" ref="AV1802"/>
    <hyperlink r:id="rId1802" ref="AV1803"/>
    <hyperlink r:id="rId1803" ref="AV1804"/>
    <hyperlink r:id="rId1804" ref="AV1805"/>
    <hyperlink r:id="rId1805" ref="AV1806"/>
    <hyperlink r:id="rId1806" ref="AV1807"/>
    <hyperlink r:id="rId1807" ref="AV1808"/>
    <hyperlink r:id="rId1808" ref="AV1809"/>
    <hyperlink r:id="rId1809" ref="AV1810"/>
    <hyperlink r:id="rId1810" ref="AV1811"/>
    <hyperlink r:id="rId1811" ref="AV1812"/>
    <hyperlink r:id="rId1812" ref="AV1813"/>
    <hyperlink r:id="rId1813" ref="AV1814"/>
    <hyperlink r:id="rId1814" ref="AV1815"/>
    <hyperlink r:id="rId1815" ref="AV1816"/>
    <hyperlink r:id="rId1816" ref="AV1817"/>
    <hyperlink r:id="rId1817" ref="AV1818"/>
    <hyperlink r:id="rId1818" ref="AV1819"/>
    <hyperlink r:id="rId1819" ref="AV1820"/>
    <hyperlink r:id="rId1820" ref="AV1821"/>
    <hyperlink r:id="rId1821" ref="AV1822"/>
    <hyperlink r:id="rId1822" ref="AV1823"/>
    <hyperlink r:id="rId1823" ref="AV1824"/>
    <hyperlink r:id="rId1824" ref="AV1825"/>
    <hyperlink r:id="rId1825" ref="AV1826"/>
    <hyperlink r:id="rId1826" ref="AV1827"/>
    <hyperlink r:id="rId1827" ref="AV1828"/>
    <hyperlink r:id="rId1828" ref="AV1829"/>
    <hyperlink r:id="rId1829" ref="AV1830"/>
    <hyperlink r:id="rId1830" ref="AV1831"/>
    <hyperlink r:id="rId1831" ref="AV1832"/>
    <hyperlink r:id="rId1832" ref="AV1833"/>
    <hyperlink r:id="rId1833" ref="AV1834"/>
    <hyperlink r:id="rId1834" ref="AV1835"/>
    <hyperlink r:id="rId1835" ref="AV1836"/>
    <hyperlink r:id="rId1836" ref="AV1837"/>
    <hyperlink r:id="rId1837" ref="AV1838"/>
    <hyperlink r:id="rId1838" ref="AV1839"/>
    <hyperlink r:id="rId1839" ref="AV1840"/>
    <hyperlink r:id="rId1840" ref="AV1841"/>
    <hyperlink r:id="rId1841" ref="AV1842"/>
    <hyperlink r:id="rId1842" ref="AV1843"/>
    <hyperlink r:id="rId1843" ref="AV1844"/>
    <hyperlink r:id="rId1844" ref="AV1845"/>
    <hyperlink r:id="rId1845" ref="AV1846"/>
    <hyperlink r:id="rId1846" ref="AV1847"/>
    <hyperlink r:id="rId1847" ref="AV1848"/>
    <hyperlink r:id="rId1848" ref="AV1849"/>
    <hyperlink r:id="rId1849" ref="AV1850"/>
    <hyperlink r:id="rId1850" ref="AV1851"/>
    <hyperlink r:id="rId1851" ref="AV1852"/>
    <hyperlink r:id="rId1852" ref="AV1853"/>
    <hyperlink r:id="rId1853" ref="AV1854"/>
    <hyperlink r:id="rId1854" ref="AV1855"/>
    <hyperlink r:id="rId1855" ref="AV1856"/>
    <hyperlink r:id="rId1856" ref="AV1857"/>
    <hyperlink r:id="rId1857" ref="AV1858"/>
    <hyperlink r:id="rId1858" ref="AV1859"/>
    <hyperlink r:id="rId1859" ref="AV1860"/>
    <hyperlink r:id="rId1860" ref="AV1861"/>
    <hyperlink r:id="rId1861" ref="AV1862"/>
    <hyperlink r:id="rId1862" ref="AV1863"/>
    <hyperlink r:id="rId1863" ref="AV1864"/>
    <hyperlink r:id="rId1864" ref="AV1865"/>
    <hyperlink r:id="rId1865" ref="AV1866"/>
    <hyperlink r:id="rId1866" ref="AV1867"/>
    <hyperlink r:id="rId1867" ref="AV1868"/>
    <hyperlink r:id="rId1868" ref="AV1869"/>
    <hyperlink r:id="rId1869" ref="AV1870"/>
    <hyperlink r:id="rId1870" ref="AV1871"/>
    <hyperlink r:id="rId1871" ref="AV1872"/>
    <hyperlink r:id="rId1872" ref="AV1873"/>
    <hyperlink r:id="rId1873" ref="AV1874"/>
    <hyperlink r:id="rId1874" ref="AV1875"/>
    <hyperlink r:id="rId1875" ref="AV1876"/>
    <hyperlink r:id="rId1876" ref="AV1877"/>
    <hyperlink r:id="rId1877" ref="AV1878"/>
    <hyperlink r:id="rId1878" ref="AV1879"/>
    <hyperlink r:id="rId1879" ref="AV1880"/>
    <hyperlink r:id="rId1880" ref="AV1881"/>
    <hyperlink r:id="rId1881" ref="AV1882"/>
    <hyperlink r:id="rId1882" ref="AV1883"/>
    <hyperlink r:id="rId1883" ref="AV1884"/>
    <hyperlink r:id="rId1884" ref="AV1885"/>
    <hyperlink r:id="rId1885" ref="AV1886"/>
    <hyperlink r:id="rId1886" ref="AV1887"/>
    <hyperlink r:id="rId1887" ref="AV1888"/>
    <hyperlink r:id="rId1888" ref="AV1889"/>
    <hyperlink r:id="rId1889" ref="AV1890"/>
    <hyperlink r:id="rId1890" ref="AV1891"/>
    <hyperlink r:id="rId1891" ref="AV1892"/>
    <hyperlink r:id="rId1892" ref="AV1893"/>
    <hyperlink r:id="rId1893" ref="AV1894"/>
    <hyperlink r:id="rId1894" ref="AV1895"/>
    <hyperlink r:id="rId1895" ref="AV1896"/>
    <hyperlink r:id="rId1896" ref="AV1897"/>
    <hyperlink r:id="rId1897" ref="AV1898"/>
    <hyperlink r:id="rId1898" ref="AV1899"/>
    <hyperlink r:id="rId1899" ref="AV1900"/>
    <hyperlink r:id="rId1900" ref="AV1901"/>
    <hyperlink r:id="rId1901" ref="AV1902"/>
    <hyperlink r:id="rId1902" ref="AV1903"/>
    <hyperlink r:id="rId1903" ref="AV1904"/>
    <hyperlink r:id="rId1904" ref="AV1905"/>
    <hyperlink r:id="rId1905" ref="AV1906"/>
    <hyperlink r:id="rId1906" ref="AV1907"/>
    <hyperlink r:id="rId1907" ref="AV1908"/>
    <hyperlink r:id="rId1908" ref="AV1909"/>
    <hyperlink r:id="rId1909" ref="AV1910"/>
    <hyperlink r:id="rId1910" ref="AV1911"/>
    <hyperlink r:id="rId1911" ref="AV1912"/>
    <hyperlink r:id="rId1912" ref="AV1913"/>
    <hyperlink r:id="rId1913" ref="AV1914"/>
    <hyperlink r:id="rId1914" ref="AV1915"/>
    <hyperlink r:id="rId1915" ref="AV1916"/>
    <hyperlink r:id="rId1916" ref="AV1917"/>
    <hyperlink r:id="rId1917" ref="AV1918"/>
    <hyperlink r:id="rId1918" ref="AV1919"/>
    <hyperlink r:id="rId1919" ref="AV1920"/>
    <hyperlink r:id="rId1920" ref="AV1921"/>
    <hyperlink r:id="rId1921" ref="AV1922"/>
    <hyperlink r:id="rId1922" ref="AV1923"/>
    <hyperlink r:id="rId1923" ref="AV1924"/>
    <hyperlink r:id="rId1924" ref="AV1925"/>
    <hyperlink r:id="rId1925" ref="AV1926"/>
    <hyperlink r:id="rId1926" ref="AV1927"/>
    <hyperlink r:id="rId1927" ref="AV1928"/>
    <hyperlink r:id="rId1928" ref="AV1929"/>
    <hyperlink r:id="rId1929" ref="AV1930"/>
    <hyperlink r:id="rId1930" ref="AV1931"/>
    <hyperlink r:id="rId1931" ref="AV1932"/>
    <hyperlink r:id="rId1932" ref="AV1933"/>
    <hyperlink r:id="rId1933" ref="AV1934"/>
    <hyperlink r:id="rId1934" ref="AV1935"/>
    <hyperlink r:id="rId1935" ref="AV1936"/>
    <hyperlink r:id="rId1936" ref="AV1937"/>
    <hyperlink r:id="rId1937" ref="AV1938"/>
    <hyperlink r:id="rId1938" ref="AV1939"/>
    <hyperlink r:id="rId1939" ref="AV1940"/>
    <hyperlink r:id="rId1940" ref="AV1941"/>
    <hyperlink r:id="rId1941" ref="AV1942"/>
    <hyperlink r:id="rId1942" ref="AV1943"/>
    <hyperlink r:id="rId1943" ref="AV1944"/>
    <hyperlink r:id="rId1944" ref="AV1945"/>
    <hyperlink r:id="rId1945" ref="AV1946"/>
    <hyperlink r:id="rId1946" ref="AV1947"/>
    <hyperlink r:id="rId1947" ref="AV1948"/>
    <hyperlink r:id="rId1948" ref="AV1949"/>
    <hyperlink r:id="rId1949" ref="AV1950"/>
    <hyperlink r:id="rId1950" ref="AV1951"/>
    <hyperlink r:id="rId1951" ref="AV1952"/>
    <hyperlink r:id="rId1952" ref="AV1953"/>
    <hyperlink r:id="rId1953" ref="AV1954"/>
    <hyperlink r:id="rId1954" ref="AV1955"/>
    <hyperlink r:id="rId1955" ref="AV1956"/>
    <hyperlink r:id="rId1956" ref="AV1957"/>
    <hyperlink r:id="rId1957" ref="AV1958"/>
    <hyperlink r:id="rId1958" ref="AV1959"/>
    <hyperlink r:id="rId1959" ref="AV1960"/>
    <hyperlink r:id="rId1960" ref="AV1961"/>
    <hyperlink r:id="rId1961" ref="AV1962"/>
    <hyperlink r:id="rId1962" ref="AV1963"/>
    <hyperlink r:id="rId1963" ref="AV1964"/>
    <hyperlink r:id="rId1964" ref="AV1965"/>
    <hyperlink r:id="rId1965" ref="AV1966"/>
    <hyperlink r:id="rId1966" ref="AV1967"/>
    <hyperlink r:id="rId1967" ref="AV1968"/>
    <hyperlink r:id="rId1968" ref="AV1969"/>
    <hyperlink r:id="rId1969" ref="AV1970"/>
    <hyperlink r:id="rId1970" ref="AV1971"/>
    <hyperlink r:id="rId1971" ref="AV1972"/>
    <hyperlink r:id="rId1972" ref="AV1973"/>
    <hyperlink r:id="rId1973" ref="AV1974"/>
    <hyperlink r:id="rId1974" ref="AV1975"/>
    <hyperlink r:id="rId1975" ref="AV1976"/>
    <hyperlink r:id="rId1976" ref="AV1977"/>
    <hyperlink r:id="rId1977" ref="AV1978"/>
    <hyperlink r:id="rId1978" ref="AV1979"/>
    <hyperlink r:id="rId1979" ref="AV1980"/>
    <hyperlink r:id="rId1980" ref="AV1981"/>
    <hyperlink r:id="rId1981" ref="AV1982"/>
    <hyperlink r:id="rId1982" ref="AV1983"/>
    <hyperlink r:id="rId1983" ref="AV1984"/>
    <hyperlink r:id="rId1984" ref="AV1985"/>
    <hyperlink r:id="rId1985" ref="AV1986"/>
    <hyperlink r:id="rId1986" ref="AV1987"/>
    <hyperlink r:id="rId1987" ref="AV1988"/>
    <hyperlink r:id="rId1988" ref="AV1989"/>
    <hyperlink r:id="rId1989" ref="AV1990"/>
    <hyperlink r:id="rId1990" ref="AV1991"/>
    <hyperlink r:id="rId1991" ref="AV1992"/>
    <hyperlink r:id="rId1992" ref="AV1993"/>
    <hyperlink r:id="rId1993" ref="AV1994"/>
    <hyperlink r:id="rId1994" ref="AV1995"/>
    <hyperlink r:id="rId1995" ref="AV1996"/>
    <hyperlink r:id="rId1996" ref="AV1997"/>
    <hyperlink r:id="rId1997" ref="AV1998"/>
    <hyperlink r:id="rId1998" ref="AV1999"/>
    <hyperlink r:id="rId1999" ref="AV2000"/>
    <hyperlink r:id="rId2000" ref="AV2001"/>
    <hyperlink r:id="rId2001" ref="AV2002"/>
    <hyperlink r:id="rId2002" ref="AV2003"/>
    <hyperlink r:id="rId2003" ref="AV2004"/>
    <hyperlink r:id="rId2004" ref="AV2005"/>
    <hyperlink r:id="rId2005" ref="AV2006"/>
    <hyperlink r:id="rId2006" ref="AV2007"/>
    <hyperlink r:id="rId2007" ref="AV2008"/>
    <hyperlink r:id="rId2008" ref="AV2009"/>
    <hyperlink r:id="rId2009" ref="AV2010"/>
    <hyperlink r:id="rId2010" ref="AV2011"/>
    <hyperlink r:id="rId2011" ref="AV2012"/>
    <hyperlink r:id="rId2012" ref="AV2013"/>
    <hyperlink r:id="rId2013" ref="AV2014"/>
    <hyperlink r:id="rId2014" ref="AV2015"/>
    <hyperlink r:id="rId2015" ref="AV2016"/>
    <hyperlink r:id="rId2016" ref="AV2017"/>
    <hyperlink r:id="rId2017" ref="AV2018"/>
    <hyperlink r:id="rId2018" ref="AV2019"/>
    <hyperlink r:id="rId2019" ref="AV2020"/>
    <hyperlink r:id="rId2020" ref="AV2021"/>
    <hyperlink r:id="rId2021" ref="AV2022"/>
    <hyperlink r:id="rId2022" ref="AV2023"/>
    <hyperlink r:id="rId2023" ref="AV2024"/>
    <hyperlink r:id="rId2024" ref="AV2025"/>
    <hyperlink r:id="rId2025" ref="AV2026"/>
    <hyperlink r:id="rId2026" ref="AV2027"/>
    <hyperlink r:id="rId2027" ref="AV2028"/>
    <hyperlink r:id="rId2028" ref="AV2029"/>
    <hyperlink r:id="rId2029" ref="AV2030"/>
    <hyperlink r:id="rId2030" ref="AV2031"/>
    <hyperlink r:id="rId2031" ref="AV2032"/>
    <hyperlink r:id="rId2032" ref="AV2033"/>
    <hyperlink r:id="rId2033" ref="AV2034"/>
    <hyperlink r:id="rId2034" ref="AV2035"/>
    <hyperlink r:id="rId2035" ref="AV2036"/>
    <hyperlink r:id="rId2036" ref="AV2037"/>
    <hyperlink r:id="rId2037" ref="AV2038"/>
    <hyperlink r:id="rId2038" ref="AV2039"/>
    <hyperlink r:id="rId2039" ref="AV2040"/>
    <hyperlink r:id="rId2040" ref="AV2041"/>
    <hyperlink r:id="rId2041" ref="AV2042"/>
    <hyperlink r:id="rId2042" ref="AV2043"/>
    <hyperlink r:id="rId2043" ref="AV2044"/>
    <hyperlink r:id="rId2044" ref="AV2045"/>
    <hyperlink r:id="rId2045" ref="AV2046"/>
    <hyperlink r:id="rId2046" ref="AV2047"/>
    <hyperlink r:id="rId2047" ref="AV2048"/>
    <hyperlink r:id="rId2048" ref="AV2049"/>
    <hyperlink r:id="rId2049" ref="AV2050"/>
    <hyperlink r:id="rId2050" ref="AV2051"/>
    <hyperlink r:id="rId2051" ref="AV2052"/>
    <hyperlink r:id="rId2052" ref="AV2053"/>
    <hyperlink r:id="rId2053" ref="AV2054"/>
    <hyperlink r:id="rId2054" ref="AV2055"/>
    <hyperlink r:id="rId2055" ref="AV2056"/>
    <hyperlink r:id="rId2056" ref="AV2057"/>
    <hyperlink r:id="rId2057" ref="AV2058"/>
    <hyperlink r:id="rId2058" ref="AV2059"/>
    <hyperlink r:id="rId2059" ref="AV2060"/>
    <hyperlink r:id="rId2060" ref="AV2061"/>
    <hyperlink r:id="rId2061" ref="AV2062"/>
    <hyperlink r:id="rId2062" ref="AV2063"/>
    <hyperlink r:id="rId2063" ref="AV2064"/>
    <hyperlink r:id="rId2064" ref="AV2065"/>
    <hyperlink r:id="rId2065" ref="AV2066"/>
    <hyperlink r:id="rId2066" ref="AV2067"/>
    <hyperlink r:id="rId2067" ref="AV2068"/>
    <hyperlink r:id="rId2068" ref="AV2069"/>
    <hyperlink r:id="rId2069" ref="AV2070"/>
    <hyperlink r:id="rId2070" ref="AV2071"/>
    <hyperlink r:id="rId2071" ref="AV2072"/>
    <hyperlink r:id="rId2072" ref="AV2073"/>
    <hyperlink r:id="rId2073" ref="AV2074"/>
    <hyperlink r:id="rId2074" ref="AV2075"/>
    <hyperlink r:id="rId2075" ref="AV2076"/>
    <hyperlink r:id="rId2076" ref="AV2077"/>
    <hyperlink r:id="rId2077" ref="AV2078"/>
    <hyperlink r:id="rId2078" ref="AV2079"/>
    <hyperlink r:id="rId2079" ref="AV2080"/>
    <hyperlink r:id="rId2080" ref="AV2081"/>
    <hyperlink r:id="rId2081" ref="AV2082"/>
    <hyperlink r:id="rId2082" ref="AV2083"/>
    <hyperlink r:id="rId2083" ref="AV2084"/>
    <hyperlink r:id="rId2084" ref="AV2085"/>
    <hyperlink r:id="rId2085" ref="AV2086"/>
    <hyperlink r:id="rId2086" ref="AV2087"/>
    <hyperlink r:id="rId2087" ref="AV2088"/>
    <hyperlink r:id="rId2088" ref="AV2089"/>
    <hyperlink r:id="rId2089" ref="AV2090"/>
    <hyperlink r:id="rId2090" ref="AV2091"/>
    <hyperlink r:id="rId2091" ref="AV2092"/>
    <hyperlink r:id="rId2092" ref="AV2093"/>
    <hyperlink r:id="rId2093" ref="AV2094"/>
    <hyperlink r:id="rId2094" ref="AV2095"/>
    <hyperlink r:id="rId2095" ref="AV2096"/>
    <hyperlink r:id="rId2096" ref="AV2097"/>
    <hyperlink r:id="rId2097" ref="AV2098"/>
    <hyperlink r:id="rId2098" ref="AV2099"/>
    <hyperlink r:id="rId2099" ref="AV2100"/>
    <hyperlink r:id="rId2100" ref="AV2101"/>
    <hyperlink r:id="rId2101" ref="AV2102"/>
    <hyperlink r:id="rId2102" ref="AV2103"/>
    <hyperlink r:id="rId2103" ref="AV2104"/>
    <hyperlink r:id="rId2104" ref="AV2105"/>
    <hyperlink r:id="rId2105" ref="AV2106"/>
    <hyperlink r:id="rId2106" ref="AV2107"/>
    <hyperlink r:id="rId2107" ref="AV2108"/>
    <hyperlink r:id="rId2108" ref="AV2109"/>
    <hyperlink r:id="rId2109" ref="AV2110"/>
    <hyperlink r:id="rId2110" ref="AV2111"/>
    <hyperlink r:id="rId2111" ref="AV2112"/>
    <hyperlink r:id="rId2112" ref="AV2113"/>
    <hyperlink r:id="rId2113" ref="AV2114"/>
    <hyperlink r:id="rId2114" ref="AV2115"/>
    <hyperlink r:id="rId2115" ref="AV2116"/>
    <hyperlink r:id="rId2116" ref="AV2117"/>
    <hyperlink r:id="rId2117" ref="AV2118"/>
    <hyperlink r:id="rId2118" ref="AV2119"/>
    <hyperlink r:id="rId2119" ref="AV2120"/>
    <hyperlink r:id="rId2120" ref="AV2121"/>
    <hyperlink r:id="rId2121" ref="AV2122"/>
    <hyperlink r:id="rId2122" ref="AV2123"/>
    <hyperlink r:id="rId2123" ref="AV2124"/>
    <hyperlink r:id="rId2124" ref="AV2125"/>
    <hyperlink r:id="rId2125" ref="AV2126"/>
    <hyperlink r:id="rId2126" ref="AV2127"/>
    <hyperlink r:id="rId2127" ref="AV2128"/>
    <hyperlink r:id="rId2128" ref="AV2129"/>
    <hyperlink r:id="rId2129" ref="AV2130"/>
    <hyperlink r:id="rId2130" ref="AV2131"/>
    <hyperlink r:id="rId2131" ref="AV2132"/>
    <hyperlink r:id="rId2132" ref="AV2133"/>
    <hyperlink r:id="rId2133" ref="AV2134"/>
    <hyperlink r:id="rId2134" ref="AV2135"/>
    <hyperlink r:id="rId2135" ref="AV2136"/>
    <hyperlink r:id="rId2136" ref="AV2137"/>
    <hyperlink r:id="rId2137" ref="AV2138"/>
    <hyperlink r:id="rId2138" ref="AV2139"/>
    <hyperlink r:id="rId2139" ref="AV2140"/>
    <hyperlink r:id="rId2140" ref="AV2141"/>
    <hyperlink r:id="rId2141" ref="AV2142"/>
    <hyperlink r:id="rId2142" ref="AV2143"/>
    <hyperlink r:id="rId2143" ref="AV2144"/>
    <hyperlink r:id="rId2144" ref="AV2145"/>
    <hyperlink r:id="rId2145" ref="AV2146"/>
    <hyperlink r:id="rId2146" ref="AV2147"/>
    <hyperlink r:id="rId2147" ref="AV2148"/>
    <hyperlink r:id="rId2148" ref="AV2149"/>
    <hyperlink r:id="rId2149" ref="AV2150"/>
    <hyperlink r:id="rId2150" ref="AV2151"/>
    <hyperlink r:id="rId2151" ref="AV2152"/>
    <hyperlink r:id="rId2152" ref="AV2153"/>
    <hyperlink r:id="rId2153" ref="AV2154"/>
    <hyperlink r:id="rId2154" ref="AV2155"/>
    <hyperlink r:id="rId2155" ref="AV2156"/>
    <hyperlink r:id="rId2156" ref="AV2157"/>
    <hyperlink r:id="rId2157" ref="AV2158"/>
    <hyperlink r:id="rId2158" ref="AV2159"/>
    <hyperlink r:id="rId2159" ref="AV2160"/>
    <hyperlink r:id="rId2160" ref="AV2161"/>
    <hyperlink r:id="rId2161" ref="AV2162"/>
    <hyperlink r:id="rId2162" ref="AV2163"/>
    <hyperlink r:id="rId2163" ref="AV2164"/>
    <hyperlink r:id="rId2164" ref="AV2165"/>
    <hyperlink r:id="rId2165" ref="AV2166"/>
    <hyperlink r:id="rId2166" ref="AV2167"/>
    <hyperlink r:id="rId2167" ref="AV2168"/>
    <hyperlink r:id="rId2168" ref="AV2169"/>
    <hyperlink r:id="rId2169" ref="AV2170"/>
    <hyperlink r:id="rId2170" ref="AV2171"/>
    <hyperlink r:id="rId2171" ref="AV2172"/>
    <hyperlink r:id="rId2172" ref="AV2173"/>
    <hyperlink r:id="rId2173" ref="AV2174"/>
    <hyperlink r:id="rId2174" ref="AV2175"/>
    <hyperlink r:id="rId2175" ref="AV2176"/>
    <hyperlink r:id="rId2176" ref="AV2177"/>
    <hyperlink r:id="rId2177" ref="AV2178"/>
    <hyperlink r:id="rId2178" ref="AV2179"/>
    <hyperlink r:id="rId2179" ref="AV2180"/>
    <hyperlink r:id="rId2180" ref="AV2181"/>
    <hyperlink r:id="rId2181" ref="AV2182"/>
    <hyperlink r:id="rId2182" ref="AV2183"/>
    <hyperlink r:id="rId2183" ref="AV2184"/>
    <hyperlink r:id="rId2184" ref="AV2185"/>
    <hyperlink r:id="rId2185" ref="AV2186"/>
    <hyperlink r:id="rId2186" ref="AV2187"/>
    <hyperlink r:id="rId2187" ref="AV2188"/>
    <hyperlink r:id="rId2188" ref="AV2189"/>
    <hyperlink r:id="rId2189" ref="AV2190"/>
    <hyperlink r:id="rId2190" ref="AV2191"/>
    <hyperlink r:id="rId2191" ref="AV2192"/>
    <hyperlink r:id="rId2192" ref="AV2193"/>
    <hyperlink r:id="rId2193" ref="AV2194"/>
    <hyperlink r:id="rId2194" ref="AV2195"/>
    <hyperlink r:id="rId2195" ref="AV2196"/>
    <hyperlink r:id="rId2196" ref="AV2197"/>
    <hyperlink r:id="rId2197" ref="AV2198"/>
    <hyperlink r:id="rId2198" ref="AV2199"/>
    <hyperlink r:id="rId2199" ref="AV2200"/>
    <hyperlink r:id="rId2200" ref="AV2201"/>
    <hyperlink r:id="rId2201" ref="AV2202"/>
    <hyperlink r:id="rId2202" ref="AV2203"/>
    <hyperlink r:id="rId2203" ref="AV2204"/>
    <hyperlink r:id="rId2204" ref="AV2205"/>
    <hyperlink r:id="rId2205" ref="AV2206"/>
    <hyperlink r:id="rId2206" ref="AV2207"/>
    <hyperlink r:id="rId2207" ref="AV2208"/>
    <hyperlink r:id="rId2208" ref="AV2209"/>
    <hyperlink r:id="rId2209" ref="AV2210"/>
    <hyperlink r:id="rId2210" ref="AV2211"/>
    <hyperlink r:id="rId2211" ref="AV2212"/>
    <hyperlink r:id="rId2212" ref="AV2213"/>
    <hyperlink r:id="rId2213" ref="AV2214"/>
    <hyperlink r:id="rId2214" ref="AV2215"/>
    <hyperlink r:id="rId2215" ref="AV2216"/>
    <hyperlink r:id="rId2216" ref="AV2217"/>
    <hyperlink r:id="rId2217" ref="AV2218"/>
    <hyperlink r:id="rId2218" ref="AV2219"/>
    <hyperlink r:id="rId2219" ref="AV2220"/>
    <hyperlink r:id="rId2220" ref="AV2221"/>
    <hyperlink r:id="rId2221" ref="AV2222"/>
    <hyperlink r:id="rId2222" ref="AV2223"/>
    <hyperlink r:id="rId2223" ref="AV2224"/>
    <hyperlink r:id="rId2224" ref="AV2225"/>
    <hyperlink r:id="rId2225" ref="AV2226"/>
    <hyperlink r:id="rId2226" ref="AV2227"/>
    <hyperlink r:id="rId2227" ref="AV2228"/>
    <hyperlink r:id="rId2228" ref="AV2229"/>
    <hyperlink r:id="rId2229" ref="AV2230"/>
    <hyperlink r:id="rId2230" ref="AV2231"/>
    <hyperlink r:id="rId2231" ref="AV2232"/>
    <hyperlink r:id="rId2232" ref="AV2233"/>
    <hyperlink r:id="rId2233" ref="AV2234"/>
    <hyperlink r:id="rId2234" ref="AV2235"/>
    <hyperlink r:id="rId2235" ref="AV2236"/>
    <hyperlink r:id="rId2236" ref="AV2237"/>
    <hyperlink r:id="rId2237" ref="AV2238"/>
    <hyperlink r:id="rId2238" ref="AV2239"/>
    <hyperlink r:id="rId2239" ref="AV2240"/>
    <hyperlink r:id="rId2240" ref="AV2241"/>
    <hyperlink r:id="rId2241" ref="AV2242"/>
    <hyperlink r:id="rId2242" ref="AV2243"/>
    <hyperlink r:id="rId2243" ref="AV2244"/>
    <hyperlink r:id="rId2244" ref="AV2245"/>
    <hyperlink r:id="rId2245" ref="AV2246"/>
    <hyperlink r:id="rId2246" ref="AV2247"/>
    <hyperlink r:id="rId2247" ref="AV2248"/>
    <hyperlink r:id="rId2248" ref="AV2249"/>
    <hyperlink r:id="rId2249" ref="AV2250"/>
    <hyperlink r:id="rId2250" ref="AV2251"/>
    <hyperlink r:id="rId2251" ref="AV2252"/>
    <hyperlink r:id="rId2252" ref="AV2253"/>
    <hyperlink r:id="rId2253" ref="AV2254"/>
    <hyperlink r:id="rId2254" ref="AV2255"/>
    <hyperlink r:id="rId2255" ref="AV2256"/>
    <hyperlink r:id="rId2256" ref="AV2257"/>
    <hyperlink r:id="rId2257" ref="AV2258"/>
    <hyperlink r:id="rId2258" ref="AV2259"/>
    <hyperlink r:id="rId2259" ref="AV2260"/>
    <hyperlink r:id="rId2260" ref="AV2261"/>
    <hyperlink r:id="rId2261" ref="AV2262"/>
    <hyperlink r:id="rId2262" ref="AV2263"/>
    <hyperlink r:id="rId2263" ref="AV2264"/>
    <hyperlink r:id="rId2264" ref="AV2265"/>
    <hyperlink r:id="rId2265" ref="AV2266"/>
    <hyperlink r:id="rId2266" ref="AV2267"/>
    <hyperlink r:id="rId2267" ref="AV2268"/>
    <hyperlink r:id="rId2268" ref="AV2269"/>
    <hyperlink r:id="rId2269" ref="AV2270"/>
    <hyperlink r:id="rId2270" ref="AV2271"/>
    <hyperlink r:id="rId2271" ref="AV2272"/>
    <hyperlink r:id="rId2272" ref="AV2273"/>
    <hyperlink r:id="rId2273" ref="AV2274"/>
    <hyperlink r:id="rId2274" ref="AV2275"/>
    <hyperlink r:id="rId2275" ref="AV2276"/>
    <hyperlink r:id="rId2276" ref="AV2277"/>
    <hyperlink r:id="rId2277" ref="AV2278"/>
    <hyperlink r:id="rId2278" ref="AV2279"/>
    <hyperlink r:id="rId2279" ref="AV2280"/>
    <hyperlink r:id="rId2280" ref="AV2281"/>
    <hyperlink r:id="rId2281" ref="AV2282"/>
    <hyperlink r:id="rId2282" ref="AV2283"/>
    <hyperlink r:id="rId2283" ref="AV2284"/>
    <hyperlink r:id="rId2284" ref="AV2285"/>
    <hyperlink r:id="rId2285" ref="AV2286"/>
    <hyperlink r:id="rId2286" ref="AV2287"/>
    <hyperlink r:id="rId2287" ref="AV2288"/>
    <hyperlink r:id="rId2288" ref="AV2289"/>
    <hyperlink r:id="rId2289" ref="AV2290"/>
    <hyperlink r:id="rId2290" ref="AV2291"/>
    <hyperlink r:id="rId2291" ref="AV2292"/>
    <hyperlink r:id="rId2292" ref="AV2293"/>
    <hyperlink r:id="rId2293" ref="AV2294"/>
    <hyperlink r:id="rId2294" ref="AV2295"/>
    <hyperlink r:id="rId2295" ref="AV2296"/>
    <hyperlink r:id="rId2296" ref="AV2297"/>
    <hyperlink r:id="rId2297" ref="AV2298"/>
    <hyperlink r:id="rId2298" ref="AV2299"/>
    <hyperlink r:id="rId2299" ref="AV2300"/>
    <hyperlink r:id="rId2300" ref="AV2301"/>
    <hyperlink r:id="rId2301" ref="AV2302"/>
    <hyperlink r:id="rId2302" ref="AV2303"/>
    <hyperlink r:id="rId2303" ref="AV2304"/>
    <hyperlink r:id="rId2304" ref="AV2305"/>
    <hyperlink r:id="rId2305" ref="AV2306"/>
    <hyperlink r:id="rId2306" ref="AV2307"/>
    <hyperlink r:id="rId2307" ref="AV2308"/>
    <hyperlink r:id="rId2308" ref="AV2309"/>
    <hyperlink r:id="rId2309" ref="AV2310"/>
    <hyperlink r:id="rId2310" ref="AV2311"/>
    <hyperlink r:id="rId2311" ref="AV2312"/>
    <hyperlink r:id="rId2312" ref="AV2313"/>
    <hyperlink r:id="rId2313" ref="AV2314"/>
    <hyperlink r:id="rId2314" ref="AV2315"/>
    <hyperlink r:id="rId2315" ref="AV2316"/>
    <hyperlink r:id="rId2316" ref="AV2317"/>
    <hyperlink r:id="rId2317" ref="AV2318"/>
    <hyperlink r:id="rId2318" ref="AV2319"/>
    <hyperlink r:id="rId2319" ref="AV2320"/>
    <hyperlink r:id="rId2320" ref="AV2321"/>
    <hyperlink r:id="rId2321" ref="AV2322"/>
    <hyperlink r:id="rId2322" ref="AV2323"/>
    <hyperlink r:id="rId2323" ref="AV2324"/>
    <hyperlink r:id="rId2324" ref="AV2325"/>
    <hyperlink r:id="rId2325" ref="AV2326"/>
    <hyperlink r:id="rId2326" ref="AV2327"/>
    <hyperlink r:id="rId2327" ref="AV2328"/>
    <hyperlink r:id="rId2328" ref="AV2329"/>
    <hyperlink r:id="rId2329" ref="AV2330"/>
    <hyperlink r:id="rId2330" ref="AV2331"/>
    <hyperlink r:id="rId2331" ref="AV2332"/>
    <hyperlink r:id="rId2332" ref="AV2333"/>
    <hyperlink r:id="rId2333" ref="AV2334"/>
    <hyperlink r:id="rId2334" ref="AV2335"/>
    <hyperlink r:id="rId2335" ref="AV2336"/>
    <hyperlink r:id="rId2336" ref="AV2337"/>
    <hyperlink r:id="rId2337" ref="AV2338"/>
    <hyperlink r:id="rId2338" ref="AV2339"/>
    <hyperlink r:id="rId2339" ref="AV2340"/>
    <hyperlink r:id="rId2340" ref="AV2341"/>
    <hyperlink r:id="rId2341" ref="AV2342"/>
    <hyperlink r:id="rId2342" ref="AV2343"/>
    <hyperlink r:id="rId2343" ref="AV2344"/>
    <hyperlink r:id="rId2344" ref="AV2345"/>
    <hyperlink r:id="rId2345" ref="AV2346"/>
    <hyperlink r:id="rId2346" ref="AV2347"/>
    <hyperlink r:id="rId2347" ref="AV2348"/>
    <hyperlink r:id="rId2348" ref="AV2349"/>
    <hyperlink r:id="rId2349" ref="AV2350"/>
    <hyperlink r:id="rId2350" ref="AV2351"/>
    <hyperlink r:id="rId2351" ref="AV2352"/>
    <hyperlink r:id="rId2352" ref="AV2353"/>
    <hyperlink r:id="rId2353" ref="AV2354"/>
    <hyperlink r:id="rId2354" ref="AV2355"/>
    <hyperlink r:id="rId2355" ref="AV2356"/>
    <hyperlink r:id="rId2356" ref="AV2357"/>
    <hyperlink r:id="rId2357" ref="AV2358"/>
    <hyperlink r:id="rId2358" ref="AV2359"/>
    <hyperlink r:id="rId2359" ref="AV2360"/>
    <hyperlink r:id="rId2360" ref="AV2361"/>
    <hyperlink r:id="rId2361" ref="AV2362"/>
    <hyperlink r:id="rId2362" ref="AV2363"/>
    <hyperlink r:id="rId2363" ref="AV2364"/>
    <hyperlink r:id="rId2364" ref="AV2365"/>
    <hyperlink r:id="rId2365" ref="AV2366"/>
    <hyperlink r:id="rId2366" ref="AV2367"/>
    <hyperlink r:id="rId2367" ref="AV2368"/>
    <hyperlink r:id="rId2368" ref="AV2369"/>
    <hyperlink r:id="rId2369" ref="AV2370"/>
    <hyperlink r:id="rId2370" ref="AV2371"/>
    <hyperlink r:id="rId2371" ref="AV2372"/>
    <hyperlink r:id="rId2372" ref="AV2373"/>
    <hyperlink r:id="rId2373" ref="AV2374"/>
    <hyperlink r:id="rId2374" ref="AV2375"/>
    <hyperlink r:id="rId2375" ref="AV2376"/>
    <hyperlink r:id="rId2376" ref="AV2377"/>
    <hyperlink r:id="rId2377" ref="AV2378"/>
    <hyperlink r:id="rId2378" ref="AV2379"/>
    <hyperlink r:id="rId2379" ref="AV2380"/>
    <hyperlink r:id="rId2380" ref="AV2381"/>
    <hyperlink r:id="rId2381" ref="AV2382"/>
    <hyperlink r:id="rId2382" ref="AV2383"/>
    <hyperlink r:id="rId2383" ref="AV2384"/>
    <hyperlink r:id="rId2384" ref="AV2385"/>
    <hyperlink r:id="rId2385" ref="AV2386"/>
    <hyperlink r:id="rId2386" ref="AV2387"/>
    <hyperlink r:id="rId2387" ref="AV2388"/>
    <hyperlink r:id="rId2388" ref="AV2389"/>
    <hyperlink r:id="rId2389" ref="AV2390"/>
    <hyperlink r:id="rId2390" ref="AV2391"/>
    <hyperlink r:id="rId2391" ref="AV2392"/>
    <hyperlink r:id="rId2392" ref="AV2393"/>
    <hyperlink r:id="rId2393" ref="AV2394"/>
    <hyperlink r:id="rId2394" ref="AV2395"/>
    <hyperlink r:id="rId2395" ref="AV2396"/>
    <hyperlink r:id="rId2396" ref="AV2397"/>
    <hyperlink r:id="rId2397" ref="AV2398"/>
    <hyperlink r:id="rId2398" ref="AV2399"/>
    <hyperlink r:id="rId2399" ref="AV2400"/>
    <hyperlink r:id="rId2400" ref="AV2401"/>
    <hyperlink r:id="rId2401" ref="AV2402"/>
    <hyperlink r:id="rId2402" ref="AV2403"/>
    <hyperlink r:id="rId2403" ref="AV2404"/>
    <hyperlink r:id="rId2404" ref="AV2405"/>
    <hyperlink r:id="rId2405" ref="AV2406"/>
    <hyperlink r:id="rId2406" ref="AV2407"/>
    <hyperlink r:id="rId2407" ref="AV2408"/>
    <hyperlink r:id="rId2408" ref="AV2409"/>
    <hyperlink r:id="rId2409" ref="AV2410"/>
    <hyperlink r:id="rId2410" ref="AV2411"/>
    <hyperlink r:id="rId2411" ref="AV2412"/>
    <hyperlink r:id="rId2412" ref="AV2413"/>
    <hyperlink r:id="rId2413" ref="AV2414"/>
    <hyperlink r:id="rId2414" ref="AV2415"/>
    <hyperlink r:id="rId2415" ref="AV2416"/>
    <hyperlink r:id="rId2416" ref="AV2417"/>
    <hyperlink r:id="rId2417" ref="AV2418"/>
    <hyperlink r:id="rId2418" ref="AV2419"/>
    <hyperlink r:id="rId2419" ref="AV2420"/>
    <hyperlink r:id="rId2420" ref="AV2421"/>
    <hyperlink r:id="rId2421" ref="AV2422"/>
    <hyperlink r:id="rId2422" ref="AV2423"/>
    <hyperlink r:id="rId2423" ref="AV2424"/>
    <hyperlink r:id="rId2424" ref="AV2425"/>
    <hyperlink r:id="rId2425" ref="AV2426"/>
    <hyperlink r:id="rId2426" ref="AV2427"/>
    <hyperlink r:id="rId2427" ref="AV2428"/>
    <hyperlink r:id="rId2428" ref="AV2429"/>
    <hyperlink r:id="rId2429" ref="AV2430"/>
    <hyperlink r:id="rId2430" ref="AV2431"/>
    <hyperlink r:id="rId2431" ref="AV2432"/>
    <hyperlink r:id="rId2432" ref="AV2433"/>
    <hyperlink r:id="rId2433" ref="AV2434"/>
    <hyperlink r:id="rId2434" ref="AV2435"/>
    <hyperlink r:id="rId2435" ref="AV2436"/>
    <hyperlink r:id="rId2436" ref="AV2437"/>
    <hyperlink r:id="rId2437" ref="AV2438"/>
    <hyperlink r:id="rId2438" ref="AV2439"/>
    <hyperlink r:id="rId2439" ref="AV2440"/>
    <hyperlink r:id="rId2440" ref="AV2441"/>
    <hyperlink r:id="rId2441" ref="AV2442"/>
    <hyperlink r:id="rId2442" ref="AV2443"/>
    <hyperlink r:id="rId2443" ref="AV2444"/>
    <hyperlink r:id="rId2444" ref="AV2445"/>
    <hyperlink r:id="rId2445" ref="AV2446"/>
    <hyperlink r:id="rId2446" ref="AV2447"/>
    <hyperlink r:id="rId2447" ref="AV2448"/>
    <hyperlink r:id="rId2448" ref="AV2449"/>
    <hyperlink r:id="rId2449" ref="AV2450"/>
    <hyperlink r:id="rId2450" ref="AV2451"/>
    <hyperlink r:id="rId2451" ref="AV2452"/>
    <hyperlink r:id="rId2452" ref="AV2453"/>
    <hyperlink r:id="rId2453" ref="AV2454"/>
    <hyperlink r:id="rId2454" ref="AV2455"/>
    <hyperlink r:id="rId2455" ref="AV2456"/>
    <hyperlink r:id="rId2456" ref="AV2457"/>
    <hyperlink r:id="rId2457" ref="AV2458"/>
    <hyperlink r:id="rId2458" ref="AV2459"/>
    <hyperlink r:id="rId2459" ref="AV2460"/>
    <hyperlink r:id="rId2460" ref="AV2461"/>
    <hyperlink r:id="rId2461" ref="AV2462"/>
    <hyperlink r:id="rId2462" ref="AV2463"/>
    <hyperlink r:id="rId2463" ref="AV2464"/>
    <hyperlink r:id="rId2464" ref="AV2465"/>
    <hyperlink r:id="rId2465" ref="AV2466"/>
    <hyperlink r:id="rId2466" ref="AV2467"/>
    <hyperlink r:id="rId2467" ref="AV2468"/>
    <hyperlink r:id="rId2468" ref="AV2469"/>
    <hyperlink r:id="rId2469" ref="AV2470"/>
    <hyperlink r:id="rId2470" ref="AV2471"/>
    <hyperlink r:id="rId2471" ref="AV2472"/>
    <hyperlink r:id="rId2472" ref="AV2473"/>
    <hyperlink r:id="rId2473" ref="AV2474"/>
    <hyperlink r:id="rId2474" ref="AV2475"/>
    <hyperlink r:id="rId2475" ref="AV2476"/>
    <hyperlink r:id="rId2476" ref="AV2477"/>
    <hyperlink r:id="rId2477" ref="AV2478"/>
    <hyperlink r:id="rId2478" ref="AV2479"/>
    <hyperlink r:id="rId2479" ref="AV2480"/>
    <hyperlink r:id="rId2480" ref="AV2481"/>
    <hyperlink r:id="rId2481" ref="AV2482"/>
    <hyperlink r:id="rId2482" ref="AV2483"/>
    <hyperlink r:id="rId2483" ref="AV2484"/>
    <hyperlink r:id="rId2484" ref="AV2485"/>
    <hyperlink r:id="rId2485" ref="AV2486"/>
    <hyperlink r:id="rId2486" ref="AV2487"/>
    <hyperlink r:id="rId2487" ref="AV2488"/>
    <hyperlink r:id="rId2488" ref="AV2489"/>
    <hyperlink r:id="rId2489" ref="AV2490"/>
    <hyperlink r:id="rId2490" ref="AV2491"/>
    <hyperlink r:id="rId2491" ref="AV2492"/>
    <hyperlink r:id="rId2492" ref="AV2493"/>
    <hyperlink r:id="rId2493" ref="AV2494"/>
    <hyperlink r:id="rId2494" ref="AV2495"/>
    <hyperlink r:id="rId2495" ref="AV2496"/>
    <hyperlink r:id="rId2496" ref="AV2497"/>
    <hyperlink r:id="rId2497" ref="AV2498"/>
    <hyperlink r:id="rId2498" ref="AV2499"/>
    <hyperlink r:id="rId2499" ref="AV2500"/>
    <hyperlink r:id="rId2500" ref="AV2501"/>
    <hyperlink r:id="rId2501" ref="AV2502"/>
    <hyperlink r:id="rId2502" ref="AV2503"/>
    <hyperlink r:id="rId2503" ref="AV2504"/>
    <hyperlink r:id="rId2504" ref="AV2505"/>
    <hyperlink r:id="rId2505" ref="AV2506"/>
    <hyperlink r:id="rId2506" ref="AV2507"/>
    <hyperlink r:id="rId2507" ref="AV2508"/>
    <hyperlink r:id="rId2508" ref="AV2509"/>
    <hyperlink r:id="rId2509" ref="AV2510"/>
    <hyperlink r:id="rId2510" ref="AV2511"/>
    <hyperlink r:id="rId2511" ref="AV2512"/>
    <hyperlink r:id="rId2512" ref="AV2513"/>
    <hyperlink r:id="rId2513" ref="AV2514"/>
    <hyperlink r:id="rId2514" ref="AV2515"/>
    <hyperlink r:id="rId2515" ref="AV2516"/>
    <hyperlink r:id="rId2516" ref="AV2517"/>
    <hyperlink r:id="rId2517" ref="AV2518"/>
    <hyperlink r:id="rId2518" ref="AV2519"/>
    <hyperlink r:id="rId2519" ref="AV2520"/>
    <hyperlink r:id="rId2520" ref="AV2521"/>
    <hyperlink r:id="rId2521" ref="AV2522"/>
    <hyperlink r:id="rId2522" ref="AV2523"/>
    <hyperlink r:id="rId2523" ref="AV2524"/>
    <hyperlink r:id="rId2524" ref="AV2525"/>
    <hyperlink r:id="rId2525" ref="AV2526"/>
    <hyperlink r:id="rId2526" ref="AV2527"/>
    <hyperlink r:id="rId2527" ref="AV2528"/>
    <hyperlink r:id="rId2528" ref="AV2529"/>
    <hyperlink r:id="rId2529" ref="AV2530"/>
    <hyperlink r:id="rId2530" ref="AV2531"/>
    <hyperlink r:id="rId2531" ref="AV2532"/>
    <hyperlink r:id="rId2532" ref="AV2533"/>
    <hyperlink r:id="rId2533" ref="AV2534"/>
    <hyperlink r:id="rId2534" ref="AV2535"/>
    <hyperlink r:id="rId2535" ref="AV2536"/>
    <hyperlink r:id="rId2536" ref="AV2537"/>
    <hyperlink r:id="rId2537" ref="AV2538"/>
    <hyperlink r:id="rId2538" ref="AV2539"/>
    <hyperlink r:id="rId2539" ref="AV2540"/>
    <hyperlink r:id="rId2540" ref="AV2541"/>
    <hyperlink r:id="rId2541" ref="AV2542"/>
    <hyperlink r:id="rId2542" ref="AV2543"/>
    <hyperlink r:id="rId2543" ref="AV2544"/>
    <hyperlink r:id="rId2544" ref="AV2545"/>
    <hyperlink r:id="rId2545" ref="AV2546"/>
    <hyperlink r:id="rId2546" ref="AV2547"/>
    <hyperlink r:id="rId2547" ref="AV2548"/>
    <hyperlink r:id="rId2548" ref="AV2549"/>
    <hyperlink r:id="rId2549" ref="AV2550"/>
    <hyperlink r:id="rId2550" ref="AV2551"/>
    <hyperlink r:id="rId2551" ref="AV2552"/>
    <hyperlink r:id="rId2552" ref="AV2553"/>
    <hyperlink r:id="rId2553" ref="AV2554"/>
    <hyperlink r:id="rId2554" ref="AV2555"/>
    <hyperlink r:id="rId2555" ref="AV2556"/>
    <hyperlink r:id="rId2556" ref="AV2557"/>
    <hyperlink r:id="rId2557" ref="AV2558"/>
    <hyperlink r:id="rId2558" ref="AV2559"/>
    <hyperlink r:id="rId2559" ref="AV2560"/>
    <hyperlink r:id="rId2560" ref="AV2561"/>
    <hyperlink r:id="rId2561" ref="AV2562"/>
    <hyperlink r:id="rId2562" ref="AV2563"/>
    <hyperlink r:id="rId2563" ref="AV2564"/>
    <hyperlink r:id="rId2564" ref="AV2565"/>
    <hyperlink r:id="rId2565" ref="AV2566"/>
    <hyperlink r:id="rId2566" ref="AV2567"/>
    <hyperlink r:id="rId2567" ref="AV2568"/>
    <hyperlink r:id="rId2568" ref="AV2569"/>
    <hyperlink r:id="rId2569" ref="AV2570"/>
    <hyperlink r:id="rId2570" ref="AV2571"/>
    <hyperlink r:id="rId2571" ref="AV2572"/>
    <hyperlink r:id="rId2572" ref="AV2573"/>
    <hyperlink r:id="rId2573" ref="AV2574"/>
    <hyperlink r:id="rId2574" ref="AV2575"/>
    <hyperlink r:id="rId2575" ref="AV2576"/>
    <hyperlink r:id="rId2576" ref="AV2577"/>
    <hyperlink r:id="rId2577" ref="AV2578"/>
    <hyperlink r:id="rId2578" ref="AV2579"/>
    <hyperlink r:id="rId2579" ref="AV2580"/>
    <hyperlink r:id="rId2580" ref="AV2581"/>
    <hyperlink r:id="rId2581" ref="AV2582"/>
    <hyperlink r:id="rId2582" ref="AV2583"/>
    <hyperlink r:id="rId2583" ref="AV2584"/>
    <hyperlink r:id="rId2584" ref="AV2585"/>
    <hyperlink r:id="rId2585" ref="AV2586"/>
    <hyperlink r:id="rId2586" ref="AV2587"/>
    <hyperlink r:id="rId2587" ref="AV2588"/>
    <hyperlink r:id="rId2588" ref="AV2589"/>
    <hyperlink r:id="rId2589" ref="AV2590"/>
    <hyperlink r:id="rId2590" ref="AV2591"/>
    <hyperlink r:id="rId2591" ref="AV2592"/>
    <hyperlink r:id="rId2592" ref="AV2593"/>
    <hyperlink r:id="rId2593" ref="AV2594"/>
    <hyperlink r:id="rId2594" ref="AV2595"/>
    <hyperlink r:id="rId2595" ref="AV2596"/>
    <hyperlink r:id="rId2596" ref="AV2597"/>
    <hyperlink r:id="rId2597" ref="AV2598"/>
    <hyperlink r:id="rId2598" ref="AV2599"/>
    <hyperlink r:id="rId2599" ref="AV2600"/>
    <hyperlink r:id="rId2600" ref="AV2601"/>
    <hyperlink r:id="rId2601" ref="AV2602"/>
    <hyperlink r:id="rId2602" ref="AV2603"/>
    <hyperlink r:id="rId2603" ref="AV2604"/>
    <hyperlink r:id="rId2604" ref="AV2605"/>
    <hyperlink r:id="rId2605" ref="AV2606"/>
    <hyperlink r:id="rId2606" ref="AV2607"/>
    <hyperlink r:id="rId2607" ref="AV2608"/>
    <hyperlink r:id="rId2608" ref="AV2609"/>
    <hyperlink r:id="rId2609" ref="AV2610"/>
    <hyperlink r:id="rId2610" ref="AV2611"/>
    <hyperlink r:id="rId2611" ref="AV2612"/>
    <hyperlink r:id="rId2612" ref="AV2613"/>
    <hyperlink r:id="rId2613" ref="AV2614"/>
    <hyperlink r:id="rId2614" ref="AV2615"/>
    <hyperlink r:id="rId2615" ref="AV2616"/>
    <hyperlink r:id="rId2616" ref="AV2617"/>
    <hyperlink r:id="rId2617" ref="AV2618"/>
    <hyperlink r:id="rId2618" ref="AV2619"/>
    <hyperlink r:id="rId2619" ref="AV2620"/>
    <hyperlink r:id="rId2620" ref="AV2621"/>
    <hyperlink r:id="rId2621" ref="AV2622"/>
    <hyperlink r:id="rId2622" ref="AV2623"/>
    <hyperlink r:id="rId2623" ref="AV2624"/>
    <hyperlink r:id="rId2624" ref="AV2625"/>
    <hyperlink r:id="rId2625" ref="AV2626"/>
    <hyperlink r:id="rId2626" ref="AV2627"/>
    <hyperlink r:id="rId2627" ref="AV2628"/>
    <hyperlink r:id="rId2628" ref="AV2629"/>
    <hyperlink r:id="rId2629" ref="AV2630"/>
    <hyperlink r:id="rId2630" ref="AV2631"/>
    <hyperlink r:id="rId2631" ref="AV2632"/>
    <hyperlink r:id="rId2632" ref="AV2633"/>
    <hyperlink r:id="rId2633" ref="AV2634"/>
    <hyperlink r:id="rId2634" ref="AV2635"/>
    <hyperlink r:id="rId2635" ref="AV2636"/>
    <hyperlink r:id="rId2636" ref="AV2637"/>
    <hyperlink r:id="rId2637" ref="AV2638"/>
    <hyperlink r:id="rId2638" ref="AV2639"/>
    <hyperlink r:id="rId2639" ref="AV2640"/>
    <hyperlink r:id="rId2640" ref="AV2641"/>
    <hyperlink r:id="rId2641" ref="AV2642"/>
    <hyperlink r:id="rId2642" ref="AV2643"/>
    <hyperlink r:id="rId2643" ref="AV2644"/>
    <hyperlink r:id="rId2644" ref="AV2645"/>
    <hyperlink r:id="rId2645" ref="AV2646"/>
    <hyperlink r:id="rId2646" ref="AV2647"/>
    <hyperlink r:id="rId2647" ref="AV2648"/>
    <hyperlink r:id="rId2648" ref="AV2649"/>
    <hyperlink r:id="rId2649" ref="AV2650"/>
    <hyperlink r:id="rId2650" ref="AV2651"/>
    <hyperlink r:id="rId2651" ref="AV2652"/>
    <hyperlink r:id="rId2652" ref="AV2653"/>
    <hyperlink r:id="rId2653" ref="AV2654"/>
    <hyperlink r:id="rId2654" ref="AV2655"/>
    <hyperlink r:id="rId2655" ref="AV2656"/>
    <hyperlink r:id="rId2656" ref="AV2657"/>
    <hyperlink r:id="rId2657" ref="AV2658"/>
    <hyperlink r:id="rId2658" ref="AV2659"/>
    <hyperlink r:id="rId2659" ref="AV2660"/>
    <hyperlink r:id="rId2660" ref="AV2661"/>
    <hyperlink r:id="rId2661" ref="AV2662"/>
    <hyperlink r:id="rId2662" ref="AV2663"/>
    <hyperlink r:id="rId2663" ref="AV2664"/>
    <hyperlink r:id="rId2664" ref="AV2665"/>
    <hyperlink r:id="rId2665" ref="AV2666"/>
    <hyperlink r:id="rId2666" ref="AV2667"/>
    <hyperlink r:id="rId2667" ref="AV2668"/>
    <hyperlink r:id="rId2668" ref="AV2669"/>
    <hyperlink r:id="rId2669" ref="AV2670"/>
    <hyperlink r:id="rId2670" ref="AV2671"/>
    <hyperlink r:id="rId2671" ref="AV2672"/>
    <hyperlink r:id="rId2672" ref="AV2673"/>
    <hyperlink r:id="rId2673" ref="AV2674"/>
    <hyperlink r:id="rId2674" ref="AV2675"/>
    <hyperlink r:id="rId2675" ref="AV2676"/>
    <hyperlink r:id="rId2676" ref="AV2677"/>
    <hyperlink r:id="rId2677" ref="AV2678"/>
    <hyperlink r:id="rId2678" ref="AV2679"/>
    <hyperlink r:id="rId2679" ref="AV2680"/>
    <hyperlink r:id="rId2680" ref="AV2681"/>
    <hyperlink r:id="rId2681" ref="AV2682"/>
    <hyperlink r:id="rId2682" ref="AV2683"/>
    <hyperlink r:id="rId2683" ref="AV2684"/>
    <hyperlink r:id="rId2684" ref="AV2685"/>
    <hyperlink r:id="rId2685" ref="AV2686"/>
    <hyperlink r:id="rId2686" ref="AV2687"/>
    <hyperlink r:id="rId2687" ref="AV2688"/>
    <hyperlink r:id="rId2688" ref="AV2689"/>
    <hyperlink r:id="rId2689" ref="AV2690"/>
    <hyperlink r:id="rId2690" ref="AV2691"/>
    <hyperlink r:id="rId2691" ref="AV2692"/>
    <hyperlink r:id="rId2692" ref="AV2693"/>
    <hyperlink r:id="rId2693" ref="AV2694"/>
    <hyperlink r:id="rId2694" ref="AV2695"/>
    <hyperlink r:id="rId2695" ref="AV2696"/>
    <hyperlink r:id="rId2696" ref="AV2697"/>
    <hyperlink r:id="rId2697" ref="AV2698"/>
    <hyperlink r:id="rId2698" ref="AV2699"/>
    <hyperlink r:id="rId2699" ref="AV2700"/>
    <hyperlink r:id="rId2700" ref="AV2701"/>
    <hyperlink r:id="rId2701" ref="AV2702"/>
    <hyperlink r:id="rId2702" ref="AV2703"/>
    <hyperlink r:id="rId2703" ref="AV2704"/>
    <hyperlink r:id="rId2704" ref="AV2705"/>
    <hyperlink r:id="rId2705" ref="AV2706"/>
    <hyperlink r:id="rId2706" ref="AV2707"/>
    <hyperlink r:id="rId2707" ref="AV2708"/>
    <hyperlink r:id="rId2708" ref="AV2709"/>
    <hyperlink r:id="rId2709" ref="AV2710"/>
    <hyperlink r:id="rId2710" ref="AV2711"/>
    <hyperlink r:id="rId2711" ref="AV2712"/>
    <hyperlink r:id="rId2712" ref="AV2713"/>
    <hyperlink r:id="rId2713" ref="AV2714"/>
    <hyperlink r:id="rId2714" ref="AV2715"/>
    <hyperlink r:id="rId2715" ref="AV2716"/>
    <hyperlink r:id="rId2716" ref="AV2717"/>
    <hyperlink r:id="rId2717" ref="AV2718"/>
    <hyperlink r:id="rId2718" ref="AV2719"/>
    <hyperlink r:id="rId2719" ref="AV2720"/>
    <hyperlink r:id="rId2720" ref="AV2721"/>
    <hyperlink r:id="rId2721" ref="AV2722"/>
    <hyperlink r:id="rId2722" ref="AV2723"/>
    <hyperlink r:id="rId2723" ref="AV2724"/>
    <hyperlink r:id="rId2724" ref="AV2725"/>
    <hyperlink r:id="rId2725" ref="AV2726"/>
    <hyperlink r:id="rId2726" ref="AV2727"/>
    <hyperlink r:id="rId2727" ref="AV2728"/>
    <hyperlink r:id="rId2728" ref="AV2729"/>
    <hyperlink r:id="rId2729" ref="AV2730"/>
    <hyperlink r:id="rId2730" ref="AV2731"/>
    <hyperlink r:id="rId2731" ref="AV2732"/>
    <hyperlink r:id="rId2732" ref="AV2733"/>
    <hyperlink r:id="rId2733" ref="AV2734"/>
    <hyperlink r:id="rId2734" ref="AV2735"/>
    <hyperlink r:id="rId2735" ref="AV2736"/>
    <hyperlink r:id="rId2736" ref="AV2737"/>
    <hyperlink r:id="rId2737" ref="AV2738"/>
    <hyperlink r:id="rId2738" ref="AV2739"/>
    <hyperlink r:id="rId2739" ref="AV2740"/>
    <hyperlink r:id="rId2740" ref="AV2741"/>
    <hyperlink r:id="rId2741" ref="AV2742"/>
    <hyperlink r:id="rId2742" ref="AV2743"/>
    <hyperlink r:id="rId2743" ref="AV2744"/>
    <hyperlink r:id="rId2744" ref="AV2745"/>
    <hyperlink r:id="rId2745" ref="AV2746"/>
    <hyperlink r:id="rId2746" ref="AV2747"/>
    <hyperlink r:id="rId2747" ref="AV2748"/>
    <hyperlink r:id="rId2748" ref="AV2749"/>
    <hyperlink r:id="rId2749" ref="AV2750"/>
    <hyperlink r:id="rId2750" ref="AV2751"/>
    <hyperlink r:id="rId2751" ref="AV2752"/>
    <hyperlink r:id="rId2752" ref="AV2753"/>
    <hyperlink r:id="rId2753" ref="AV2754"/>
    <hyperlink r:id="rId2754" ref="AV2755"/>
    <hyperlink r:id="rId2755" ref="AV2756"/>
    <hyperlink r:id="rId2756" ref="AV2757"/>
    <hyperlink r:id="rId2757" ref="AV2758"/>
    <hyperlink r:id="rId2758" ref="AV2759"/>
    <hyperlink r:id="rId2759" ref="AV2760"/>
    <hyperlink r:id="rId2760" ref="AV2761"/>
    <hyperlink r:id="rId2761" ref="AV2762"/>
    <hyperlink r:id="rId2762" ref="AV2763"/>
    <hyperlink r:id="rId2763" ref="AV2764"/>
    <hyperlink r:id="rId2764" ref="AV2765"/>
    <hyperlink r:id="rId2765" ref="AV2766"/>
    <hyperlink r:id="rId2766" ref="AV2767"/>
    <hyperlink r:id="rId2767" ref="AV2768"/>
    <hyperlink r:id="rId2768" ref="AV2769"/>
    <hyperlink r:id="rId2769" ref="AV2770"/>
    <hyperlink r:id="rId2770" ref="AV2771"/>
    <hyperlink r:id="rId2771" ref="AV2772"/>
    <hyperlink r:id="rId2772" ref="AV2773"/>
    <hyperlink r:id="rId2773" ref="AV2774"/>
    <hyperlink r:id="rId2774" ref="AV2775"/>
    <hyperlink r:id="rId2775" ref="AV2776"/>
    <hyperlink r:id="rId2776" ref="AV2777"/>
    <hyperlink r:id="rId2777" ref="AV2778"/>
    <hyperlink r:id="rId2778" ref="AV2779"/>
    <hyperlink r:id="rId2779" ref="AV2780"/>
    <hyperlink r:id="rId2780" ref="AV2781"/>
    <hyperlink r:id="rId2781" ref="AV2782"/>
    <hyperlink r:id="rId2782" ref="AV2783"/>
    <hyperlink r:id="rId2783" ref="AV2784"/>
    <hyperlink r:id="rId2784" ref="AV2785"/>
    <hyperlink r:id="rId2785" ref="AV2786"/>
    <hyperlink r:id="rId2786" ref="AV2787"/>
    <hyperlink r:id="rId2787" ref="AV2788"/>
    <hyperlink r:id="rId2788" ref="AV2789"/>
    <hyperlink r:id="rId2789" ref="AV2790"/>
    <hyperlink r:id="rId2790" ref="AV2791"/>
    <hyperlink r:id="rId2791" ref="AV2792"/>
    <hyperlink r:id="rId2792" ref="AV2793"/>
    <hyperlink r:id="rId2793" ref="AV2794"/>
    <hyperlink r:id="rId2794" ref="AV2795"/>
    <hyperlink r:id="rId2795" ref="AV2796"/>
    <hyperlink r:id="rId2796" ref="AV2797"/>
    <hyperlink r:id="rId2797" ref="AV2798"/>
    <hyperlink r:id="rId2798" ref="AV2799"/>
    <hyperlink r:id="rId2799" ref="AV2800"/>
    <hyperlink r:id="rId2800" ref="AV2801"/>
    <hyperlink r:id="rId2801" ref="AV2802"/>
    <hyperlink r:id="rId2802" ref="AV2803"/>
    <hyperlink r:id="rId2803" ref="AV2804"/>
    <hyperlink r:id="rId2804" ref="AV2805"/>
    <hyperlink r:id="rId2805" ref="AV2806"/>
    <hyperlink r:id="rId2806" ref="AV2807"/>
    <hyperlink r:id="rId2807" ref="AV2808"/>
    <hyperlink r:id="rId2808" ref="AV2809"/>
    <hyperlink r:id="rId2809" ref="AV2810"/>
    <hyperlink r:id="rId2810" ref="AV2811"/>
    <hyperlink r:id="rId2811" ref="AV2812"/>
    <hyperlink r:id="rId2812" ref="AV2813"/>
    <hyperlink r:id="rId2813" ref="AV2814"/>
    <hyperlink r:id="rId2814" ref="AV2815"/>
    <hyperlink r:id="rId2815" ref="AV2816"/>
    <hyperlink r:id="rId2816" ref="AV2817"/>
    <hyperlink r:id="rId2817" ref="AV2818"/>
    <hyperlink r:id="rId2818" ref="AV2819"/>
    <hyperlink r:id="rId2819" ref="AV2820"/>
    <hyperlink r:id="rId2820" ref="AV2821"/>
    <hyperlink r:id="rId2821" ref="AV2822"/>
    <hyperlink r:id="rId2822" ref="AV2823"/>
    <hyperlink r:id="rId2823" ref="AV2824"/>
    <hyperlink r:id="rId2824" ref="AV2825"/>
    <hyperlink r:id="rId2825" ref="AV2826"/>
    <hyperlink r:id="rId2826" ref="AV2827"/>
    <hyperlink r:id="rId2827" ref="AV2828"/>
    <hyperlink r:id="rId2828" ref="AV2829"/>
    <hyperlink r:id="rId2829" ref="AV2830"/>
    <hyperlink r:id="rId2830" ref="AV2831"/>
    <hyperlink r:id="rId2831" ref="AV2832"/>
    <hyperlink r:id="rId2832" ref="AV2833"/>
    <hyperlink r:id="rId2833" ref="AV2834"/>
    <hyperlink r:id="rId2834" ref="AV2835"/>
    <hyperlink r:id="rId2835" ref="AV2836"/>
    <hyperlink r:id="rId2836" ref="AV2837"/>
    <hyperlink r:id="rId2837" ref="AV2838"/>
    <hyperlink r:id="rId2838" ref="AV2839"/>
    <hyperlink r:id="rId2839" ref="AV2840"/>
    <hyperlink r:id="rId2840" ref="AV2841"/>
    <hyperlink r:id="rId2841" ref="AV2842"/>
    <hyperlink r:id="rId2842" ref="AV2843"/>
    <hyperlink r:id="rId2843" ref="AV2844"/>
    <hyperlink r:id="rId2844" ref="AV2845"/>
    <hyperlink r:id="rId2845" ref="AV2846"/>
    <hyperlink r:id="rId2846" ref="AV2847"/>
    <hyperlink r:id="rId2847" ref="AV2848"/>
    <hyperlink r:id="rId2848" ref="AV2849"/>
    <hyperlink r:id="rId2849" ref="AV2850"/>
    <hyperlink r:id="rId2850" ref="AV2851"/>
    <hyperlink r:id="rId2851" ref="AV2852"/>
    <hyperlink r:id="rId2852" ref="AV2853"/>
    <hyperlink r:id="rId2853" ref="AV2854"/>
    <hyperlink r:id="rId2854" ref="AV2855"/>
    <hyperlink r:id="rId2855" ref="AV2856"/>
    <hyperlink r:id="rId2856" ref="AV2857"/>
    <hyperlink r:id="rId2857" ref="AV2858"/>
    <hyperlink r:id="rId2858" ref="AV2859"/>
    <hyperlink r:id="rId2859" ref="AV2860"/>
    <hyperlink r:id="rId2860" ref="AV2861"/>
    <hyperlink r:id="rId2861" ref="AV2862"/>
    <hyperlink r:id="rId2862" ref="AV2863"/>
    <hyperlink r:id="rId2863" ref="AV2864"/>
    <hyperlink r:id="rId2864" ref="AV2865"/>
    <hyperlink r:id="rId2865" ref="AV2866"/>
    <hyperlink r:id="rId2866" ref="AV2867"/>
    <hyperlink r:id="rId2867" ref="AV2868"/>
    <hyperlink r:id="rId2868" ref="AV2869"/>
    <hyperlink r:id="rId2869" ref="AV2870"/>
    <hyperlink r:id="rId2870" ref="AV2871"/>
    <hyperlink r:id="rId2871" ref="AV2872"/>
    <hyperlink r:id="rId2872" ref="AV2873"/>
    <hyperlink r:id="rId2873" ref="AV2874"/>
    <hyperlink r:id="rId2874" ref="AV2875"/>
    <hyperlink r:id="rId2875" ref="AV2876"/>
    <hyperlink r:id="rId2876" ref="AV2877"/>
    <hyperlink r:id="rId2877" ref="AV2878"/>
    <hyperlink r:id="rId2878" ref="AV2879"/>
    <hyperlink r:id="rId2879" ref="AV2880"/>
    <hyperlink r:id="rId2880" ref="AV2881"/>
    <hyperlink r:id="rId2881" ref="AV2882"/>
    <hyperlink r:id="rId2882" ref="AV2883"/>
    <hyperlink r:id="rId2883" ref="AV2884"/>
    <hyperlink r:id="rId2884" ref="AV2885"/>
    <hyperlink r:id="rId2885" ref="AV2886"/>
    <hyperlink r:id="rId2886" ref="AV2887"/>
    <hyperlink r:id="rId2887" ref="AV2888"/>
    <hyperlink r:id="rId2888" ref="AV2889"/>
    <hyperlink r:id="rId2889" ref="AV2890"/>
    <hyperlink r:id="rId2890" ref="AV2891"/>
    <hyperlink r:id="rId2891" ref="AV2892"/>
    <hyperlink r:id="rId2892" ref="AV2893"/>
    <hyperlink r:id="rId2893" ref="AV2894"/>
    <hyperlink r:id="rId2894" ref="AV2895"/>
    <hyperlink r:id="rId2895" ref="AV2896"/>
    <hyperlink r:id="rId2896" ref="AV2897"/>
    <hyperlink r:id="rId2897" ref="AV2898"/>
    <hyperlink r:id="rId2898" ref="AV2899"/>
    <hyperlink r:id="rId2899" ref="AV2900"/>
    <hyperlink r:id="rId2900" ref="AV2901"/>
    <hyperlink r:id="rId2901" ref="AV2902"/>
    <hyperlink r:id="rId2902" ref="AV2903"/>
    <hyperlink r:id="rId2903" ref="AV2904"/>
    <hyperlink r:id="rId2904" ref="AV2905"/>
    <hyperlink r:id="rId2905" ref="AV2906"/>
    <hyperlink r:id="rId2906" ref="AV2907"/>
    <hyperlink r:id="rId2907" ref="AV2908"/>
    <hyperlink r:id="rId2908" ref="AV2909"/>
    <hyperlink r:id="rId2909" ref="AV2910"/>
    <hyperlink r:id="rId2910" ref="AV2911"/>
    <hyperlink r:id="rId2911" ref="AV2912"/>
    <hyperlink r:id="rId2912" ref="AV2913"/>
    <hyperlink r:id="rId2913" ref="AV2914"/>
    <hyperlink r:id="rId2914" ref="AV2915"/>
    <hyperlink r:id="rId2915" ref="AV2916"/>
    <hyperlink r:id="rId2916" ref="AV2917"/>
    <hyperlink r:id="rId2917" ref="AV2918"/>
    <hyperlink r:id="rId2918" ref="AV2919"/>
    <hyperlink r:id="rId2919" ref="AV2920"/>
    <hyperlink r:id="rId2920" ref="AV2921"/>
    <hyperlink r:id="rId2921" ref="AV2922"/>
    <hyperlink r:id="rId2922" ref="AV2923"/>
    <hyperlink r:id="rId2923" ref="AV2924"/>
    <hyperlink r:id="rId2924" ref="AV2925"/>
    <hyperlink r:id="rId2925" ref="AV2926"/>
    <hyperlink r:id="rId2926" ref="AV2927"/>
    <hyperlink r:id="rId2927" ref="AV2928"/>
    <hyperlink r:id="rId2928" ref="AV2929"/>
    <hyperlink r:id="rId2929" ref="AV2930"/>
    <hyperlink r:id="rId2930" ref="AV2931"/>
    <hyperlink r:id="rId2931" ref="AV2932"/>
    <hyperlink r:id="rId2932" ref="AV2933"/>
    <hyperlink r:id="rId2933" ref="AV2934"/>
    <hyperlink r:id="rId2934" ref="AV2935"/>
    <hyperlink r:id="rId2935" ref="AV2936"/>
    <hyperlink r:id="rId2936" ref="AV2937"/>
    <hyperlink r:id="rId2937" ref="AV2938"/>
    <hyperlink r:id="rId2938" ref="AV2939"/>
    <hyperlink r:id="rId2939" ref="AV2940"/>
    <hyperlink r:id="rId2940" ref="AV2941"/>
    <hyperlink r:id="rId2941" ref="AV2942"/>
    <hyperlink r:id="rId2942" ref="AV2943"/>
    <hyperlink r:id="rId2943" ref="AV2944"/>
    <hyperlink r:id="rId2944" ref="AV2945"/>
    <hyperlink r:id="rId2945" ref="AV2946"/>
    <hyperlink r:id="rId2946" ref="AV2947"/>
    <hyperlink r:id="rId2947" ref="AV2948"/>
    <hyperlink r:id="rId2948" ref="AV2949"/>
    <hyperlink r:id="rId2949" ref="AV2950"/>
    <hyperlink r:id="rId2950" ref="AV2951"/>
    <hyperlink r:id="rId2951" ref="AV2952"/>
    <hyperlink r:id="rId2952" ref="AV2953"/>
    <hyperlink r:id="rId2953" ref="AV2954"/>
    <hyperlink r:id="rId2954" ref="AV2955"/>
    <hyperlink r:id="rId2955" ref="AV2956"/>
    <hyperlink r:id="rId2956" ref="AV2957"/>
    <hyperlink r:id="rId2957" ref="AV2958"/>
    <hyperlink r:id="rId2958" ref="AV2959"/>
    <hyperlink r:id="rId2959" ref="AV2960"/>
    <hyperlink r:id="rId2960" ref="AV2961"/>
    <hyperlink r:id="rId2961" ref="AV2962"/>
    <hyperlink r:id="rId2962" ref="AV2963"/>
    <hyperlink r:id="rId2963" ref="AV2964"/>
    <hyperlink r:id="rId2964" ref="AV2965"/>
    <hyperlink r:id="rId2965" ref="AV2966"/>
    <hyperlink r:id="rId2966" ref="AV2967"/>
    <hyperlink r:id="rId2967" ref="AV2968"/>
    <hyperlink r:id="rId2968" ref="AV2969"/>
    <hyperlink r:id="rId2969" ref="AV2970"/>
    <hyperlink r:id="rId2970" ref="AV2971"/>
    <hyperlink r:id="rId2971" ref="AV2972"/>
    <hyperlink r:id="rId2972" ref="AV2973"/>
    <hyperlink r:id="rId2973" ref="AV2974"/>
    <hyperlink r:id="rId2974" ref="AV2975"/>
    <hyperlink r:id="rId2975" ref="AV2976"/>
    <hyperlink r:id="rId2976" ref="AV2977"/>
    <hyperlink r:id="rId2977" ref="AV2978"/>
    <hyperlink r:id="rId2978" ref="AV2979"/>
    <hyperlink r:id="rId2979" ref="AV2980"/>
    <hyperlink r:id="rId2980" ref="AV2981"/>
    <hyperlink r:id="rId2981" ref="AV2982"/>
    <hyperlink r:id="rId2982" ref="AV2983"/>
    <hyperlink r:id="rId2983" ref="AV2984"/>
    <hyperlink r:id="rId2984" ref="AV2985"/>
    <hyperlink r:id="rId2985" ref="AV2986"/>
    <hyperlink r:id="rId2986" ref="AV2987"/>
    <hyperlink r:id="rId2987" ref="AV2988"/>
    <hyperlink r:id="rId2988" ref="AV2989"/>
    <hyperlink r:id="rId2989" ref="AV2990"/>
    <hyperlink r:id="rId2990" ref="AV2991"/>
    <hyperlink r:id="rId2991" ref="AV2992"/>
    <hyperlink r:id="rId2992" ref="AV2993"/>
    <hyperlink r:id="rId2993" ref="AV2994"/>
    <hyperlink r:id="rId2994" ref="AV2995"/>
    <hyperlink r:id="rId2995" ref="AV2996"/>
    <hyperlink r:id="rId2996" ref="AV2997"/>
    <hyperlink r:id="rId2997" ref="AV2998"/>
    <hyperlink r:id="rId2998" ref="AV2999"/>
    <hyperlink r:id="rId2999" ref="AV3000"/>
    <hyperlink r:id="rId3000" ref="AV3001"/>
    <hyperlink r:id="rId3001" ref="AV3002"/>
    <hyperlink r:id="rId3002" ref="AV3003"/>
    <hyperlink r:id="rId3003" ref="AV3004"/>
    <hyperlink r:id="rId3004" ref="AV3005"/>
    <hyperlink r:id="rId3005" ref="AV3006"/>
    <hyperlink r:id="rId3006" ref="AV3007"/>
    <hyperlink r:id="rId3007" ref="AV3008"/>
    <hyperlink r:id="rId3008" ref="AV3009"/>
    <hyperlink r:id="rId3009" ref="AV3010"/>
    <hyperlink r:id="rId3010" ref="AV3011"/>
    <hyperlink r:id="rId3011" ref="AV3012"/>
    <hyperlink r:id="rId3012" ref="AV3013"/>
    <hyperlink r:id="rId3013" ref="AV3014"/>
    <hyperlink r:id="rId3014" ref="AV3015"/>
    <hyperlink r:id="rId3015" ref="AV3016"/>
    <hyperlink r:id="rId3016" ref="AV3017"/>
    <hyperlink r:id="rId3017" ref="AV3018"/>
    <hyperlink r:id="rId3018" ref="AV3019"/>
    <hyperlink r:id="rId3019" ref="AV3020"/>
    <hyperlink r:id="rId3020" ref="AV3021"/>
    <hyperlink r:id="rId3021" ref="AV3022"/>
    <hyperlink r:id="rId3022" ref="AV3023"/>
    <hyperlink r:id="rId3023" ref="AV3024"/>
    <hyperlink r:id="rId3024" ref="AV3025"/>
    <hyperlink r:id="rId3025" ref="AV3026"/>
    <hyperlink r:id="rId3026" ref="AV3027"/>
    <hyperlink r:id="rId3027" ref="AV3028"/>
    <hyperlink r:id="rId3028" ref="AV3029"/>
    <hyperlink r:id="rId3029" ref="AV3030"/>
    <hyperlink r:id="rId3030" ref="AV3031"/>
    <hyperlink r:id="rId3031" ref="AV3032"/>
    <hyperlink r:id="rId3032" ref="AV3033"/>
    <hyperlink r:id="rId3033" ref="AV3034"/>
    <hyperlink r:id="rId3034" ref="AV3035"/>
    <hyperlink r:id="rId3035" ref="AV3036"/>
    <hyperlink r:id="rId3036" ref="AV3037"/>
    <hyperlink r:id="rId3037" ref="AV3038"/>
    <hyperlink r:id="rId3038" ref="AV3039"/>
    <hyperlink r:id="rId3039" ref="AV3040"/>
    <hyperlink r:id="rId3040" ref="AV3041"/>
    <hyperlink r:id="rId3041" ref="AV3042"/>
    <hyperlink r:id="rId3042" ref="AV3043"/>
    <hyperlink r:id="rId3043" ref="AV3044"/>
    <hyperlink r:id="rId3044" ref="AV3045"/>
    <hyperlink r:id="rId3045" ref="AV3046"/>
    <hyperlink r:id="rId3046" ref="AV3047"/>
    <hyperlink r:id="rId3047" ref="AV3048"/>
    <hyperlink r:id="rId3048" ref="AV3049"/>
    <hyperlink r:id="rId3049" ref="AV3050"/>
    <hyperlink r:id="rId3050" ref="AV3051"/>
    <hyperlink r:id="rId3051" ref="AV3052"/>
    <hyperlink r:id="rId3052" ref="AV3053"/>
    <hyperlink r:id="rId3053" ref="AV3054"/>
    <hyperlink r:id="rId3054" ref="AV3055"/>
    <hyperlink r:id="rId3055" ref="AV3056"/>
    <hyperlink r:id="rId3056" ref="AV3057"/>
    <hyperlink r:id="rId3057" ref="AV3058"/>
    <hyperlink r:id="rId3058" ref="AV3059"/>
    <hyperlink r:id="rId3059" ref="AV3060"/>
    <hyperlink r:id="rId3060" ref="AV3061"/>
    <hyperlink r:id="rId3061" ref="AV3062"/>
    <hyperlink r:id="rId3062" ref="AV3063"/>
    <hyperlink r:id="rId3063" ref="AV3064"/>
    <hyperlink r:id="rId3064" ref="AV3065"/>
    <hyperlink r:id="rId3065" ref="AV3066"/>
    <hyperlink r:id="rId3066" ref="AV3067"/>
    <hyperlink r:id="rId3067" ref="AV3068"/>
    <hyperlink r:id="rId3068" ref="AV3069"/>
    <hyperlink r:id="rId3069" ref="AV3070"/>
    <hyperlink r:id="rId3070" ref="AV3071"/>
    <hyperlink r:id="rId3071" ref="AV3072"/>
    <hyperlink r:id="rId3072" ref="AV3073"/>
    <hyperlink r:id="rId3073" ref="AV3074"/>
    <hyperlink r:id="rId3074" ref="AV3075"/>
    <hyperlink r:id="rId3075" ref="AV3076"/>
    <hyperlink r:id="rId3076" ref="AV3077"/>
    <hyperlink r:id="rId3077" ref="AV3078"/>
    <hyperlink r:id="rId3078" ref="AV3079"/>
    <hyperlink r:id="rId3079" ref="AV3080"/>
    <hyperlink r:id="rId3080" ref="AV3081"/>
    <hyperlink r:id="rId3081" ref="AV3082"/>
    <hyperlink r:id="rId3082" ref="AV3083"/>
    <hyperlink r:id="rId3083" ref="AV3084"/>
    <hyperlink r:id="rId3084" ref="AV3085"/>
    <hyperlink r:id="rId3085" ref="AV3086"/>
    <hyperlink r:id="rId3086" ref="AV3087"/>
    <hyperlink r:id="rId3087" ref="AV3088"/>
    <hyperlink r:id="rId3088" ref="AV3089"/>
    <hyperlink r:id="rId3089" ref="AV3090"/>
    <hyperlink r:id="rId3090" ref="AV3091"/>
    <hyperlink r:id="rId3091" ref="AV3092"/>
    <hyperlink r:id="rId3092" ref="AV3093"/>
    <hyperlink r:id="rId3093" ref="AV3094"/>
    <hyperlink r:id="rId3094" ref="AV3095"/>
    <hyperlink r:id="rId3095" ref="AV3096"/>
    <hyperlink r:id="rId3096" ref="AV3097"/>
    <hyperlink r:id="rId3097" ref="AV3098"/>
    <hyperlink r:id="rId3098" ref="AV3099"/>
    <hyperlink r:id="rId3099" ref="AV3100"/>
    <hyperlink r:id="rId3100" ref="AV3101"/>
    <hyperlink r:id="rId3101" ref="AV3102"/>
    <hyperlink r:id="rId3102" ref="AV3103"/>
    <hyperlink r:id="rId3103" ref="AV3104"/>
    <hyperlink r:id="rId3104" ref="AV3105"/>
    <hyperlink r:id="rId3105" ref="AV3106"/>
    <hyperlink r:id="rId3106" ref="AV3107"/>
    <hyperlink r:id="rId3107" ref="AV3108"/>
    <hyperlink r:id="rId3108" ref="AV3109"/>
    <hyperlink r:id="rId3109" ref="AV3110"/>
    <hyperlink r:id="rId3110" ref="AV3111"/>
    <hyperlink r:id="rId3111" ref="AV3112"/>
    <hyperlink r:id="rId3112" ref="AV3113"/>
    <hyperlink r:id="rId3113" ref="AV3114"/>
    <hyperlink r:id="rId3114" ref="AV3115"/>
    <hyperlink r:id="rId3115" ref="AV3116"/>
    <hyperlink r:id="rId3116" ref="AV3117"/>
    <hyperlink r:id="rId3117" ref="AV3118"/>
    <hyperlink r:id="rId3118" ref="AV3119"/>
    <hyperlink r:id="rId3119" ref="AV3120"/>
    <hyperlink r:id="rId3120" ref="AV3121"/>
    <hyperlink r:id="rId3121" ref="AV3122"/>
    <hyperlink r:id="rId3122" ref="AV3123"/>
    <hyperlink r:id="rId3123" ref="AV3124"/>
    <hyperlink r:id="rId3124" ref="AV3125"/>
    <hyperlink r:id="rId3125" ref="AV3126"/>
    <hyperlink r:id="rId3126" ref="AV3127"/>
    <hyperlink r:id="rId3127" ref="AV3128"/>
    <hyperlink r:id="rId3128" ref="AV3129"/>
    <hyperlink r:id="rId3129" ref="AV3130"/>
    <hyperlink r:id="rId3130" ref="AV3131"/>
    <hyperlink r:id="rId3131" ref="AV3132"/>
    <hyperlink r:id="rId3132" ref="AV3133"/>
    <hyperlink r:id="rId3133" ref="AV3134"/>
    <hyperlink r:id="rId3134" ref="AV3135"/>
    <hyperlink r:id="rId3135" ref="AV3136"/>
    <hyperlink r:id="rId3136" ref="AV3137"/>
    <hyperlink r:id="rId3137" ref="AV3138"/>
    <hyperlink r:id="rId3138" ref="AV3139"/>
    <hyperlink r:id="rId3139" ref="AV3140"/>
    <hyperlink r:id="rId3140" ref="AV3141"/>
    <hyperlink r:id="rId3141" ref="AV3142"/>
    <hyperlink r:id="rId3142" ref="AV3143"/>
    <hyperlink r:id="rId3143" ref="AV3144"/>
    <hyperlink r:id="rId3144" ref="AV3145"/>
    <hyperlink r:id="rId3145" ref="AV3146"/>
    <hyperlink r:id="rId3146" ref="AV3147"/>
    <hyperlink r:id="rId3147" ref="AV3148"/>
    <hyperlink r:id="rId3148" ref="AV3149"/>
    <hyperlink r:id="rId3149" ref="AV3150"/>
    <hyperlink r:id="rId3150" ref="AV3151"/>
    <hyperlink r:id="rId3151" ref="AV3152"/>
    <hyperlink r:id="rId3152" ref="AV3153"/>
    <hyperlink r:id="rId3153" ref="AV3154"/>
    <hyperlink r:id="rId3154" ref="AV3155"/>
    <hyperlink r:id="rId3155" ref="AV3156"/>
    <hyperlink r:id="rId3156" ref="AV3157"/>
    <hyperlink r:id="rId3157" ref="AV3158"/>
    <hyperlink r:id="rId3158" ref="AV3159"/>
    <hyperlink r:id="rId3159" ref="AV3160"/>
    <hyperlink r:id="rId3160" ref="AV3161"/>
    <hyperlink r:id="rId3161" ref="AV3162"/>
    <hyperlink r:id="rId3162" ref="AV3163"/>
    <hyperlink r:id="rId3163" ref="AV3164"/>
    <hyperlink r:id="rId3164" ref="AV3165"/>
    <hyperlink r:id="rId3165" ref="AV3166"/>
    <hyperlink r:id="rId3166" ref="AV3167"/>
    <hyperlink r:id="rId3167" ref="AV3168"/>
    <hyperlink r:id="rId3168" ref="AV3169"/>
    <hyperlink r:id="rId3169" ref="AV3170"/>
    <hyperlink r:id="rId3170" ref="AV3171"/>
    <hyperlink r:id="rId3171" ref="AV3172"/>
    <hyperlink r:id="rId3172" ref="AV3173"/>
    <hyperlink r:id="rId3173" ref="AV3174"/>
    <hyperlink r:id="rId3174" ref="AV3175"/>
    <hyperlink r:id="rId3175" ref="AV3176"/>
    <hyperlink r:id="rId3176" ref="AV3177"/>
    <hyperlink r:id="rId3177" ref="AV3178"/>
    <hyperlink r:id="rId3178" ref="AV3179"/>
    <hyperlink r:id="rId3179" ref="AV3180"/>
    <hyperlink r:id="rId3180" ref="AV3181"/>
    <hyperlink r:id="rId3181" ref="AV3182"/>
    <hyperlink r:id="rId3182" ref="AV3183"/>
    <hyperlink r:id="rId3183" ref="AV3184"/>
    <hyperlink r:id="rId3184" ref="AV3185"/>
    <hyperlink r:id="rId3185" ref="AV3186"/>
    <hyperlink r:id="rId3186" ref="AV3187"/>
    <hyperlink r:id="rId3187" ref="AV3188"/>
    <hyperlink r:id="rId3188" ref="AV3189"/>
    <hyperlink r:id="rId3189" ref="AV3190"/>
    <hyperlink r:id="rId3190" ref="AV3191"/>
    <hyperlink r:id="rId3191" ref="AV3192"/>
    <hyperlink r:id="rId3192" ref="AV3193"/>
    <hyperlink r:id="rId3193" ref="AV3194"/>
    <hyperlink r:id="rId3194" ref="AV3195"/>
    <hyperlink r:id="rId3195" ref="AV3196"/>
    <hyperlink r:id="rId3196" ref="AV3197"/>
    <hyperlink r:id="rId3197" ref="AV3198"/>
    <hyperlink r:id="rId3198" ref="AV3199"/>
    <hyperlink r:id="rId3199" ref="AV3200"/>
    <hyperlink r:id="rId3200" ref="AV3201"/>
    <hyperlink r:id="rId3201" ref="AV3202"/>
    <hyperlink r:id="rId3202" ref="AV3203"/>
    <hyperlink r:id="rId3203" ref="AV3204"/>
    <hyperlink r:id="rId3204" ref="AV3205"/>
    <hyperlink r:id="rId3205" ref="AV3206"/>
    <hyperlink r:id="rId3206" ref="AV3207"/>
    <hyperlink r:id="rId3207" ref="AV3208"/>
    <hyperlink r:id="rId3208" ref="AV3209"/>
    <hyperlink r:id="rId3209" ref="AV3210"/>
    <hyperlink r:id="rId3210" ref="AV3211"/>
    <hyperlink r:id="rId3211" ref="AV3212"/>
    <hyperlink r:id="rId3212" ref="AV3213"/>
    <hyperlink r:id="rId3213" ref="AV3214"/>
    <hyperlink r:id="rId3214" ref="AV3215"/>
    <hyperlink r:id="rId3215" ref="AV3216"/>
    <hyperlink r:id="rId3216" ref="AV3217"/>
    <hyperlink r:id="rId3217" ref="AV3218"/>
    <hyperlink r:id="rId3218" ref="AV3219"/>
    <hyperlink r:id="rId3219" ref="AV3220"/>
    <hyperlink r:id="rId3220" ref="AV3221"/>
    <hyperlink r:id="rId3221" ref="AV3222"/>
    <hyperlink r:id="rId3222" ref="AV3223"/>
    <hyperlink r:id="rId3223" ref="AV3224"/>
    <hyperlink r:id="rId3224" ref="AV3225"/>
    <hyperlink r:id="rId3225" ref="AV3226"/>
    <hyperlink r:id="rId3226" ref="AV3227"/>
    <hyperlink r:id="rId3227" ref="AV3228"/>
    <hyperlink r:id="rId3228" ref="AV3229"/>
    <hyperlink r:id="rId3229" ref="AV3230"/>
    <hyperlink r:id="rId3230" ref="AV3231"/>
    <hyperlink r:id="rId3231" ref="AV3232"/>
    <hyperlink r:id="rId3232" ref="AV3233"/>
    <hyperlink r:id="rId3233" ref="AV3234"/>
    <hyperlink r:id="rId3234" ref="AV3235"/>
    <hyperlink r:id="rId3235" ref="AV3236"/>
    <hyperlink r:id="rId3236" ref="AV3237"/>
    <hyperlink r:id="rId3237" ref="AV3238"/>
    <hyperlink r:id="rId3238" ref="AV3239"/>
    <hyperlink r:id="rId3239" ref="AV3240"/>
    <hyperlink r:id="rId3240" ref="AV3241"/>
    <hyperlink r:id="rId3241" ref="AV3242"/>
    <hyperlink r:id="rId3242" ref="AV3243"/>
    <hyperlink r:id="rId3243" ref="AV3244"/>
    <hyperlink r:id="rId3244" ref="AV3245"/>
    <hyperlink r:id="rId3245" ref="AV3246"/>
    <hyperlink r:id="rId3246" ref="AV3247"/>
    <hyperlink r:id="rId3247" ref="AV3248"/>
    <hyperlink r:id="rId3248" ref="AV3249"/>
    <hyperlink r:id="rId3249" ref="AV3250"/>
    <hyperlink r:id="rId3250" ref="AV3251"/>
    <hyperlink r:id="rId3251" ref="AV3252"/>
    <hyperlink r:id="rId3252" ref="AV3253"/>
    <hyperlink r:id="rId3253" ref="AV3254"/>
    <hyperlink r:id="rId3254" ref="AV3255"/>
    <hyperlink r:id="rId3255" ref="AV3256"/>
    <hyperlink r:id="rId3256" ref="AV3257"/>
    <hyperlink r:id="rId3257" ref="AV3258"/>
    <hyperlink r:id="rId3258" ref="AV3259"/>
    <hyperlink r:id="rId3259" ref="AV3260"/>
    <hyperlink r:id="rId3260" ref="AV3261"/>
    <hyperlink r:id="rId3261" ref="AV3262"/>
    <hyperlink r:id="rId3262" ref="AV3263"/>
    <hyperlink r:id="rId3263" ref="AV3264"/>
    <hyperlink r:id="rId3264" ref="AV3265"/>
    <hyperlink r:id="rId3265" ref="AV3266"/>
    <hyperlink r:id="rId3266" ref="AV3267"/>
    <hyperlink r:id="rId3267" ref="AV3268"/>
    <hyperlink r:id="rId3268" ref="AV3269"/>
    <hyperlink r:id="rId3269" ref="AV3270"/>
    <hyperlink r:id="rId3270" ref="AV3271"/>
    <hyperlink r:id="rId3271" ref="AV3272"/>
    <hyperlink r:id="rId3272" ref="AV3273"/>
    <hyperlink r:id="rId3273" ref="AV3274"/>
    <hyperlink r:id="rId3274" ref="AV3275"/>
    <hyperlink r:id="rId3275" ref="AV3276"/>
    <hyperlink r:id="rId3276" ref="AV3277"/>
    <hyperlink r:id="rId3277" ref="AV3278"/>
    <hyperlink r:id="rId3278" ref="AV3279"/>
    <hyperlink r:id="rId3279" ref="AV3280"/>
    <hyperlink r:id="rId3280" ref="AV3281"/>
    <hyperlink r:id="rId3281" ref="AV3282"/>
    <hyperlink r:id="rId3282" ref="AV3283"/>
    <hyperlink r:id="rId3283" ref="AV3284"/>
    <hyperlink r:id="rId3284" ref="AV3285"/>
    <hyperlink r:id="rId3285" ref="AV3286"/>
    <hyperlink r:id="rId3286" ref="AV3287"/>
    <hyperlink r:id="rId3287" ref="AV3288"/>
    <hyperlink r:id="rId3288" ref="AV3289"/>
    <hyperlink r:id="rId3289" ref="AV3290"/>
    <hyperlink r:id="rId3290" ref="AV3291"/>
    <hyperlink r:id="rId3291" ref="AV3292"/>
    <hyperlink r:id="rId3292" ref="AV3293"/>
    <hyperlink r:id="rId3293" ref="AV3294"/>
    <hyperlink r:id="rId3294" ref="AV3295"/>
    <hyperlink r:id="rId3295" ref="AV3296"/>
    <hyperlink r:id="rId3296" ref="AV3297"/>
    <hyperlink r:id="rId3297" ref="AV3298"/>
    <hyperlink r:id="rId3298" ref="AV3299"/>
    <hyperlink r:id="rId3299" ref="AV3300"/>
    <hyperlink r:id="rId3300" ref="AV3301"/>
    <hyperlink r:id="rId3301" ref="AV3302"/>
    <hyperlink r:id="rId3302" ref="AV3303"/>
    <hyperlink r:id="rId3303" ref="AV3304"/>
    <hyperlink r:id="rId3304" ref="AV3305"/>
    <hyperlink r:id="rId3305" ref="AV3306"/>
    <hyperlink r:id="rId3306" ref="AV3307"/>
    <hyperlink r:id="rId3307" ref="AV3308"/>
    <hyperlink r:id="rId3308" ref="AV3309"/>
    <hyperlink r:id="rId3309" ref="AV3310"/>
    <hyperlink r:id="rId3310" ref="AV3311"/>
    <hyperlink r:id="rId3311" ref="AV3312"/>
    <hyperlink r:id="rId3312" ref="AV3313"/>
    <hyperlink r:id="rId3313" ref="AV3314"/>
    <hyperlink r:id="rId3314" ref="AV3315"/>
    <hyperlink r:id="rId3315" ref="AV3316"/>
    <hyperlink r:id="rId3316" ref="AV3317"/>
    <hyperlink r:id="rId3317" ref="AV3318"/>
    <hyperlink r:id="rId3318" ref="AV3319"/>
    <hyperlink r:id="rId3319" ref="AV3320"/>
    <hyperlink r:id="rId3320" ref="AV3321"/>
    <hyperlink r:id="rId3321" ref="AV3322"/>
    <hyperlink r:id="rId3322" ref="AV3323"/>
    <hyperlink r:id="rId3323" ref="AV3324"/>
    <hyperlink r:id="rId3324" ref="AV3325"/>
    <hyperlink r:id="rId3325" ref="AV3326"/>
    <hyperlink r:id="rId3326" ref="AV3327"/>
    <hyperlink r:id="rId3327" ref="AV3328"/>
    <hyperlink r:id="rId3328" ref="AV3329"/>
    <hyperlink r:id="rId3329" ref="AV3330"/>
    <hyperlink r:id="rId3330" ref="AV3331"/>
    <hyperlink r:id="rId3331" ref="AV3332"/>
    <hyperlink r:id="rId3332" ref="AV3333"/>
    <hyperlink r:id="rId3333" ref="AV3334"/>
    <hyperlink r:id="rId3334" ref="AV3335"/>
    <hyperlink r:id="rId3335" ref="AV3336"/>
    <hyperlink r:id="rId3336" ref="AV3337"/>
    <hyperlink r:id="rId3337" ref="AV3338"/>
    <hyperlink r:id="rId3338" ref="AV3339"/>
    <hyperlink r:id="rId3339" ref="AV3340"/>
    <hyperlink r:id="rId3340" ref="AV3341"/>
    <hyperlink r:id="rId3341" ref="AV3342"/>
    <hyperlink r:id="rId3342" ref="AV3343"/>
    <hyperlink r:id="rId3343" ref="AV3344"/>
    <hyperlink r:id="rId3344" ref="AV3345"/>
    <hyperlink r:id="rId3345" ref="AV3346"/>
    <hyperlink r:id="rId3346" ref="AV3347"/>
    <hyperlink r:id="rId3347" ref="AV3348"/>
    <hyperlink r:id="rId3348" ref="AV3349"/>
    <hyperlink r:id="rId3349" ref="AV3350"/>
    <hyperlink r:id="rId3350" ref="AV3351"/>
    <hyperlink r:id="rId3351" ref="AV3352"/>
    <hyperlink r:id="rId3352" ref="AV3353"/>
    <hyperlink r:id="rId3353" ref="AV3354"/>
    <hyperlink r:id="rId3354" ref="AV3355"/>
    <hyperlink r:id="rId3355" ref="AV3356"/>
    <hyperlink r:id="rId3356" ref="AV3357"/>
    <hyperlink r:id="rId3357" ref="AV3358"/>
    <hyperlink r:id="rId3358" ref="AV3359"/>
    <hyperlink r:id="rId3359" ref="AV3360"/>
    <hyperlink r:id="rId3360" ref="AV3361"/>
    <hyperlink r:id="rId3361" ref="AV3362"/>
    <hyperlink r:id="rId3362" ref="AV3363"/>
    <hyperlink r:id="rId3363" ref="AV3364"/>
    <hyperlink r:id="rId3364" ref="AV3365"/>
    <hyperlink r:id="rId3365" ref="AV3366"/>
    <hyperlink r:id="rId3366" ref="AV3367"/>
    <hyperlink r:id="rId3367" ref="AV3368"/>
    <hyperlink r:id="rId3368" ref="AV3369"/>
    <hyperlink r:id="rId3369" ref="AV3370"/>
    <hyperlink r:id="rId3370" ref="AV3371"/>
    <hyperlink r:id="rId3371" ref="AV3372"/>
    <hyperlink r:id="rId3372" ref="AV3373"/>
    <hyperlink r:id="rId3373" ref="AV3374"/>
    <hyperlink r:id="rId3374" ref="AV3375"/>
    <hyperlink r:id="rId3375" ref="AV3376"/>
    <hyperlink r:id="rId3376" ref="AV3377"/>
    <hyperlink r:id="rId3377" ref="AV3378"/>
    <hyperlink r:id="rId3378" ref="AV3379"/>
    <hyperlink r:id="rId3379" ref="AV3380"/>
    <hyperlink r:id="rId3380" ref="AV3381"/>
    <hyperlink r:id="rId3381" ref="AV3382"/>
    <hyperlink r:id="rId3382" ref="AV3383"/>
    <hyperlink r:id="rId3383" ref="AV3384"/>
    <hyperlink r:id="rId3384" ref="AV3385"/>
    <hyperlink r:id="rId3385" ref="AV3386"/>
    <hyperlink r:id="rId3386" ref="AV3387"/>
    <hyperlink r:id="rId3387" ref="AV3388"/>
    <hyperlink r:id="rId3388" ref="AV3389"/>
    <hyperlink r:id="rId3389" ref="AV3390"/>
    <hyperlink r:id="rId3390" ref="AV3391"/>
    <hyperlink r:id="rId3391" ref="AV3392"/>
    <hyperlink r:id="rId3392" ref="AV3393"/>
    <hyperlink r:id="rId3393" ref="AV3394"/>
    <hyperlink r:id="rId3394" ref="AV3395"/>
    <hyperlink r:id="rId3395" ref="AV3396"/>
    <hyperlink r:id="rId3396" ref="AV3397"/>
    <hyperlink r:id="rId3397" ref="AV3398"/>
    <hyperlink r:id="rId3398" ref="AV3399"/>
    <hyperlink r:id="rId3399" ref="AV3400"/>
    <hyperlink r:id="rId3400" ref="AV3401"/>
    <hyperlink r:id="rId3401" ref="AV3402"/>
    <hyperlink r:id="rId3402" ref="AV3403"/>
    <hyperlink r:id="rId3403" ref="AV3404"/>
    <hyperlink r:id="rId3404" ref="AV3405"/>
    <hyperlink r:id="rId3405" ref="AV3406"/>
    <hyperlink r:id="rId3406" ref="AV3407"/>
    <hyperlink r:id="rId3407" ref="AV3408"/>
    <hyperlink r:id="rId3408" ref="AV3409"/>
    <hyperlink r:id="rId3409" ref="AV3410"/>
    <hyperlink r:id="rId3410" ref="AV3411"/>
    <hyperlink r:id="rId3411" ref="AV3412"/>
    <hyperlink r:id="rId3412" ref="AV3413"/>
    <hyperlink r:id="rId3413" ref="AV3414"/>
    <hyperlink r:id="rId3414" ref="AV3415"/>
    <hyperlink r:id="rId3415" ref="AV3416"/>
    <hyperlink r:id="rId3416" ref="AV3417"/>
    <hyperlink r:id="rId3417" ref="AV3418"/>
    <hyperlink r:id="rId3418" ref="AV3419"/>
    <hyperlink r:id="rId3419" ref="AV3420"/>
    <hyperlink r:id="rId3420" ref="AV3421"/>
    <hyperlink r:id="rId3421" ref="AV3422"/>
    <hyperlink r:id="rId3422" ref="AV3423"/>
    <hyperlink r:id="rId3423" ref="AV3424"/>
    <hyperlink r:id="rId3424" ref="AV3425"/>
    <hyperlink r:id="rId3425" ref="AV3426"/>
    <hyperlink r:id="rId3426" ref="AV3427"/>
    <hyperlink r:id="rId3427" ref="AV3428"/>
    <hyperlink r:id="rId3428" ref="AV3429"/>
    <hyperlink r:id="rId3429" ref="AV3430"/>
    <hyperlink r:id="rId3430" ref="AV3431"/>
    <hyperlink r:id="rId3431" ref="AV3432"/>
    <hyperlink r:id="rId3432" ref="AV3433"/>
    <hyperlink r:id="rId3433" ref="AV3434"/>
    <hyperlink r:id="rId3434" ref="AV3435"/>
    <hyperlink r:id="rId3435" ref="AV3436"/>
    <hyperlink r:id="rId3436" ref="AV3437"/>
    <hyperlink r:id="rId3437" ref="AV3438"/>
    <hyperlink r:id="rId3438" ref="AV3439"/>
    <hyperlink r:id="rId3439" ref="AV3440"/>
    <hyperlink r:id="rId3440" ref="AV3441"/>
    <hyperlink r:id="rId3441" ref="AV3442"/>
    <hyperlink r:id="rId3442" ref="AV3443"/>
    <hyperlink r:id="rId3443" ref="AV3444"/>
    <hyperlink r:id="rId3444" ref="AV3445"/>
    <hyperlink r:id="rId3445" ref="AV3446"/>
    <hyperlink r:id="rId3446" ref="AV3447"/>
    <hyperlink r:id="rId3447" ref="AV3448"/>
    <hyperlink r:id="rId3448" ref="AV3449"/>
    <hyperlink r:id="rId3449" ref="AV3450"/>
    <hyperlink r:id="rId3450" ref="AV3451"/>
    <hyperlink r:id="rId3451" ref="AV3452"/>
    <hyperlink r:id="rId3452" ref="AV3453"/>
    <hyperlink r:id="rId3453" ref="AV3454"/>
    <hyperlink r:id="rId3454" ref="AV3455"/>
    <hyperlink r:id="rId3455" ref="AV3456"/>
    <hyperlink r:id="rId3456" ref="AV3457"/>
    <hyperlink r:id="rId3457" ref="AV3458"/>
    <hyperlink r:id="rId3458" ref="AV3459"/>
    <hyperlink r:id="rId3459" ref="AV3460"/>
    <hyperlink r:id="rId3460" ref="AV3461"/>
    <hyperlink r:id="rId3461" ref="AV3462"/>
    <hyperlink r:id="rId3462" ref="AV3463"/>
    <hyperlink r:id="rId3463" ref="AV3464"/>
    <hyperlink r:id="rId3464" ref="AV3465"/>
    <hyperlink r:id="rId3465" ref="AV3466"/>
    <hyperlink r:id="rId3466" ref="AV3467"/>
    <hyperlink r:id="rId3467" ref="AV3468"/>
    <hyperlink r:id="rId3468" ref="AV3469"/>
    <hyperlink r:id="rId3469" ref="AV3470"/>
    <hyperlink r:id="rId3470" ref="AV3471"/>
    <hyperlink r:id="rId3471" ref="AV3472"/>
    <hyperlink r:id="rId3472" ref="AV3473"/>
    <hyperlink r:id="rId3473" ref="AV3474"/>
    <hyperlink r:id="rId3474" ref="AV3475"/>
    <hyperlink r:id="rId3475" ref="AV3476"/>
    <hyperlink r:id="rId3476" ref="AV3477"/>
    <hyperlink r:id="rId3477" ref="AV3478"/>
    <hyperlink r:id="rId3478" ref="AV3479"/>
    <hyperlink r:id="rId3479" ref="AV3480"/>
    <hyperlink r:id="rId3480" ref="AV3481"/>
    <hyperlink r:id="rId3481" ref="AV3482"/>
    <hyperlink r:id="rId3482" ref="AV3483"/>
    <hyperlink r:id="rId3483" ref="AV3484"/>
    <hyperlink r:id="rId3484" ref="AV3485"/>
    <hyperlink r:id="rId3485" ref="AV3486"/>
    <hyperlink r:id="rId3486" ref="AV3487"/>
    <hyperlink r:id="rId3487" ref="AV3488"/>
    <hyperlink r:id="rId3488" ref="AV3489"/>
    <hyperlink r:id="rId3489" ref="AV3490"/>
    <hyperlink r:id="rId3490" ref="AV3491"/>
    <hyperlink r:id="rId3491" ref="AV3492"/>
    <hyperlink r:id="rId3492" ref="AV3493"/>
    <hyperlink r:id="rId3493" ref="AV3494"/>
    <hyperlink r:id="rId3494" ref="AV3495"/>
    <hyperlink r:id="rId3495" ref="AV3496"/>
    <hyperlink r:id="rId3496" ref="AV3497"/>
    <hyperlink r:id="rId3497" ref="AV3498"/>
    <hyperlink r:id="rId3498" ref="AV3499"/>
    <hyperlink r:id="rId3499" ref="AV3500"/>
    <hyperlink r:id="rId3500" ref="AV3501"/>
    <hyperlink r:id="rId3501" ref="AV3502"/>
    <hyperlink r:id="rId3502" ref="AV3503"/>
    <hyperlink r:id="rId3503" ref="AV3504"/>
    <hyperlink r:id="rId3504" ref="AV3505"/>
    <hyperlink r:id="rId3505" ref="AV3506"/>
    <hyperlink r:id="rId3506" ref="AV3507"/>
    <hyperlink r:id="rId3507" ref="AV3508"/>
    <hyperlink r:id="rId3508" ref="AV3509"/>
    <hyperlink r:id="rId3509" ref="AV3510"/>
    <hyperlink r:id="rId3510" ref="AV3511"/>
    <hyperlink r:id="rId3511" ref="AV3512"/>
    <hyperlink r:id="rId3512" ref="AV3513"/>
    <hyperlink r:id="rId3513" ref="AV3514"/>
    <hyperlink r:id="rId3514" ref="AV3515"/>
    <hyperlink r:id="rId3515" ref="AV3516"/>
    <hyperlink r:id="rId3516" ref="AV3517"/>
    <hyperlink r:id="rId3517" ref="AV3518"/>
    <hyperlink r:id="rId3518" ref="AV3519"/>
    <hyperlink r:id="rId3519" ref="AV3520"/>
    <hyperlink r:id="rId3520" ref="AV3521"/>
    <hyperlink r:id="rId3521" ref="AV3522"/>
    <hyperlink r:id="rId3522" ref="AV3523"/>
    <hyperlink r:id="rId3523" ref="AV3524"/>
    <hyperlink r:id="rId3524" ref="AV3525"/>
    <hyperlink r:id="rId3525" ref="AV3526"/>
    <hyperlink r:id="rId3526" ref="AV3527"/>
    <hyperlink r:id="rId3527" ref="AV3528"/>
    <hyperlink r:id="rId3528" ref="AV3529"/>
    <hyperlink r:id="rId3529" ref="AV3530"/>
    <hyperlink r:id="rId3530" ref="AV3531"/>
    <hyperlink r:id="rId3531" ref="AV3532"/>
    <hyperlink r:id="rId3532" ref="AV3533"/>
    <hyperlink r:id="rId3533" ref="AV3534"/>
    <hyperlink r:id="rId3534" ref="AV3535"/>
    <hyperlink r:id="rId3535" ref="AV3536"/>
    <hyperlink r:id="rId3536" ref="AV3537"/>
    <hyperlink r:id="rId3537" ref="AV3538"/>
    <hyperlink r:id="rId3538" ref="AV3539"/>
    <hyperlink r:id="rId3539" ref="AV3540"/>
    <hyperlink r:id="rId3540" ref="AV3541"/>
    <hyperlink r:id="rId3541" ref="AV3542"/>
    <hyperlink r:id="rId3542" ref="AV3543"/>
    <hyperlink r:id="rId3543" ref="AV3544"/>
    <hyperlink r:id="rId3544" ref="AV3545"/>
    <hyperlink r:id="rId3545" ref="AV3546"/>
    <hyperlink r:id="rId3546" ref="AV3547"/>
    <hyperlink r:id="rId3547" ref="AV3548"/>
    <hyperlink r:id="rId3548" ref="AV3549"/>
    <hyperlink r:id="rId3549" ref="AV3550"/>
    <hyperlink r:id="rId3550" ref="AV3551"/>
    <hyperlink r:id="rId3551" ref="AV3552"/>
    <hyperlink r:id="rId3552" ref="AV3553"/>
    <hyperlink r:id="rId3553" ref="AV3554"/>
    <hyperlink r:id="rId3554" ref="AV3555"/>
    <hyperlink r:id="rId3555" ref="AV3556"/>
    <hyperlink r:id="rId3556" ref="AV3557"/>
    <hyperlink r:id="rId3557" ref="AV3558"/>
    <hyperlink r:id="rId3558" ref="AV3559"/>
    <hyperlink r:id="rId3559" ref="AV3560"/>
    <hyperlink r:id="rId3560" ref="AV3561"/>
    <hyperlink r:id="rId3561" ref="AV3562"/>
    <hyperlink r:id="rId3562" ref="AV3563"/>
    <hyperlink r:id="rId3563" ref="AV3564"/>
    <hyperlink r:id="rId3564" ref="AV3565"/>
    <hyperlink r:id="rId3565" ref="AV3566"/>
    <hyperlink r:id="rId3566" ref="AV3567"/>
    <hyperlink r:id="rId3567" ref="AV3568"/>
    <hyperlink r:id="rId3568" ref="AV3569"/>
    <hyperlink r:id="rId3569" ref="AV3570"/>
    <hyperlink r:id="rId3570" ref="AV3571"/>
    <hyperlink r:id="rId3571" ref="AV3572"/>
    <hyperlink r:id="rId3572" ref="AV3573"/>
    <hyperlink r:id="rId3573" ref="AV3574"/>
    <hyperlink r:id="rId3574" ref="AV3575"/>
    <hyperlink r:id="rId3575" ref="AV3576"/>
    <hyperlink r:id="rId3576" ref="AV3577"/>
    <hyperlink r:id="rId3577" ref="AV3578"/>
    <hyperlink r:id="rId3578" ref="AV3579"/>
    <hyperlink r:id="rId3579" ref="AV3580"/>
    <hyperlink r:id="rId3580" ref="AV3581"/>
    <hyperlink r:id="rId3581" ref="AV3582"/>
    <hyperlink r:id="rId3582" ref="AV3583"/>
    <hyperlink r:id="rId3583" ref="AV3584"/>
    <hyperlink r:id="rId3584" ref="AV3585"/>
    <hyperlink r:id="rId3585" ref="AV3586"/>
    <hyperlink r:id="rId3586" ref="AV3587"/>
    <hyperlink r:id="rId3587" ref="AV3588"/>
    <hyperlink r:id="rId3588" ref="AV3589"/>
    <hyperlink r:id="rId3589" ref="AV3590"/>
    <hyperlink r:id="rId3590" ref="AV3591"/>
    <hyperlink r:id="rId3591" ref="AV3592"/>
    <hyperlink r:id="rId3592" ref="AV3593"/>
    <hyperlink r:id="rId3593" ref="AV3594"/>
    <hyperlink r:id="rId3594" ref="AV3595"/>
    <hyperlink r:id="rId3595" ref="AV3596"/>
    <hyperlink r:id="rId3596" ref="AV3597"/>
    <hyperlink r:id="rId3597" ref="AV3598"/>
    <hyperlink r:id="rId3598" ref="AV3599"/>
    <hyperlink r:id="rId3599" ref="AV3600"/>
    <hyperlink r:id="rId3600" ref="AV3601"/>
    <hyperlink r:id="rId3601" ref="AV3602"/>
    <hyperlink r:id="rId3602" ref="AV3603"/>
    <hyperlink r:id="rId3603" ref="AV3604"/>
    <hyperlink r:id="rId3604" ref="AV3605"/>
    <hyperlink r:id="rId3605" ref="AV3606"/>
    <hyperlink r:id="rId3606" ref="AV3607"/>
    <hyperlink r:id="rId3607" ref="AV3608"/>
    <hyperlink r:id="rId3608" ref="AV3609"/>
    <hyperlink r:id="rId3609" ref="AV3610"/>
    <hyperlink r:id="rId3610" ref="AV3611"/>
    <hyperlink r:id="rId3611" ref="AV3612"/>
    <hyperlink r:id="rId3612" ref="AV3613"/>
    <hyperlink r:id="rId3613" ref="AV3614"/>
    <hyperlink r:id="rId3614" ref="AV3615"/>
    <hyperlink r:id="rId3615" ref="AV3616"/>
    <hyperlink r:id="rId3616" ref="AV3617"/>
    <hyperlink r:id="rId3617" ref="AV3618"/>
    <hyperlink r:id="rId3618" ref="AV3619"/>
    <hyperlink r:id="rId3619" ref="AV3620"/>
    <hyperlink r:id="rId3620" ref="AV3621"/>
    <hyperlink r:id="rId3621" ref="AV3622"/>
    <hyperlink r:id="rId3622" ref="AV3623"/>
    <hyperlink r:id="rId3623" ref="AV3624"/>
    <hyperlink r:id="rId3624" ref="AV3625"/>
    <hyperlink r:id="rId3625" ref="AV3626"/>
    <hyperlink r:id="rId3626" ref="AV3627"/>
    <hyperlink r:id="rId3627" ref="AV3628"/>
    <hyperlink r:id="rId3628" ref="AV3629"/>
    <hyperlink r:id="rId3629" ref="AV3630"/>
    <hyperlink r:id="rId3630" ref="AV3631"/>
    <hyperlink r:id="rId3631" ref="AV3632"/>
    <hyperlink r:id="rId3632" ref="AV3633"/>
    <hyperlink r:id="rId3633" ref="AV3634"/>
    <hyperlink r:id="rId3634" ref="AV3635"/>
    <hyperlink r:id="rId3635" ref="AV3636"/>
    <hyperlink r:id="rId3636" ref="AV3637"/>
    <hyperlink r:id="rId3637" ref="AV3638"/>
    <hyperlink r:id="rId3638" ref="AV3639"/>
    <hyperlink r:id="rId3639" ref="AV3640"/>
    <hyperlink r:id="rId3640" ref="AV3641"/>
    <hyperlink r:id="rId3641" ref="AV3642"/>
    <hyperlink r:id="rId3642" ref="AV3643"/>
    <hyperlink r:id="rId3643" ref="AV3644"/>
    <hyperlink r:id="rId3644" ref="AV3645"/>
    <hyperlink r:id="rId3645" ref="AV3646"/>
    <hyperlink r:id="rId3646" ref="AV3647"/>
    <hyperlink r:id="rId3647" ref="AV3648"/>
    <hyperlink r:id="rId3648" ref="AV3649"/>
    <hyperlink r:id="rId3649" ref="AV3650"/>
    <hyperlink r:id="rId3650" ref="AV3651"/>
    <hyperlink r:id="rId3651" ref="AV3652"/>
    <hyperlink r:id="rId3652" ref="AV3653"/>
    <hyperlink r:id="rId3653" ref="AV3654"/>
    <hyperlink r:id="rId3654" ref="AV3655"/>
    <hyperlink r:id="rId3655" ref="AV3656"/>
    <hyperlink r:id="rId3656" ref="AV3657"/>
    <hyperlink r:id="rId3657" ref="AV3658"/>
    <hyperlink r:id="rId3658" ref="AV3659"/>
    <hyperlink r:id="rId3659" ref="AV3660"/>
    <hyperlink r:id="rId3660" ref="AV3661"/>
    <hyperlink r:id="rId3661" ref="AV3662"/>
    <hyperlink r:id="rId3662" ref="AV3663"/>
    <hyperlink r:id="rId3663" ref="AV3664"/>
    <hyperlink r:id="rId3664" ref="AV3665"/>
    <hyperlink r:id="rId3665" ref="AV3666"/>
    <hyperlink r:id="rId3666" ref="AV3667"/>
    <hyperlink r:id="rId3667" ref="AV3668"/>
    <hyperlink r:id="rId3668" ref="AV3669"/>
    <hyperlink r:id="rId3669" ref="AV3670"/>
    <hyperlink r:id="rId3670" ref="AV3671"/>
    <hyperlink r:id="rId3671" ref="AV3672"/>
    <hyperlink r:id="rId3672" ref="AV3673"/>
    <hyperlink r:id="rId3673" ref="AV3674"/>
    <hyperlink r:id="rId3674" ref="AV3675"/>
    <hyperlink r:id="rId3675" ref="AV3676"/>
    <hyperlink r:id="rId3676" ref="AV3677"/>
    <hyperlink r:id="rId3677" ref="AV3678"/>
    <hyperlink r:id="rId3678" ref="AV3679"/>
    <hyperlink r:id="rId3679" ref="AV3680"/>
    <hyperlink r:id="rId3680" ref="AV3681"/>
    <hyperlink r:id="rId3681" ref="AV3682"/>
    <hyperlink r:id="rId3682" ref="AV3683"/>
    <hyperlink r:id="rId3683" ref="AV3684"/>
    <hyperlink r:id="rId3684" ref="AV3685"/>
    <hyperlink r:id="rId3685" ref="AV3686"/>
    <hyperlink r:id="rId3686" ref="AV3687"/>
    <hyperlink r:id="rId3687" ref="AV3688"/>
    <hyperlink r:id="rId3688" ref="AV3689"/>
    <hyperlink r:id="rId3689" ref="AV3690"/>
    <hyperlink r:id="rId3690" ref="AV3691"/>
    <hyperlink r:id="rId3691" ref="AV3692"/>
    <hyperlink r:id="rId3692" ref="AV3693"/>
    <hyperlink r:id="rId3693" ref="AV3694"/>
    <hyperlink r:id="rId3694" ref="AV3695"/>
    <hyperlink r:id="rId3695" ref="AV3696"/>
    <hyperlink r:id="rId3696" ref="AV3697"/>
    <hyperlink r:id="rId3697" ref="AV3698"/>
    <hyperlink r:id="rId3698" ref="AV3699"/>
    <hyperlink r:id="rId3699" ref="AV3700"/>
    <hyperlink r:id="rId3700" ref="AV3701"/>
    <hyperlink r:id="rId3701" ref="AV3702"/>
    <hyperlink r:id="rId3702" ref="AV3703"/>
    <hyperlink r:id="rId3703" ref="AV3704"/>
    <hyperlink r:id="rId3704" ref="AV3705"/>
    <hyperlink r:id="rId3705" ref="AV3706"/>
    <hyperlink r:id="rId3706" ref="AV3707"/>
    <hyperlink r:id="rId3707" ref="AV3708"/>
    <hyperlink r:id="rId3708" ref="AV3709"/>
    <hyperlink r:id="rId3709" ref="AV3710"/>
    <hyperlink r:id="rId3710" ref="AV3711"/>
    <hyperlink r:id="rId3711" ref="AV3712"/>
    <hyperlink r:id="rId3712" ref="AV3713"/>
    <hyperlink r:id="rId3713" ref="AV3714"/>
    <hyperlink r:id="rId3714" ref="AV3715"/>
    <hyperlink r:id="rId3715" ref="AV3716"/>
    <hyperlink r:id="rId3716" ref="AV3717"/>
    <hyperlink r:id="rId3717" ref="AV3718"/>
    <hyperlink r:id="rId3718" ref="AV3719"/>
    <hyperlink r:id="rId3719" ref="AV3720"/>
    <hyperlink r:id="rId3720" ref="AV3721"/>
    <hyperlink r:id="rId3721" ref="AV3722"/>
    <hyperlink r:id="rId3722" ref="AV3723"/>
    <hyperlink r:id="rId3723" ref="AV3724"/>
    <hyperlink r:id="rId3724" ref="AV3725"/>
    <hyperlink r:id="rId3725" ref="AV3726"/>
    <hyperlink r:id="rId3726" ref="AV3727"/>
    <hyperlink r:id="rId3727" ref="AV3728"/>
    <hyperlink r:id="rId3728" ref="AV3729"/>
    <hyperlink r:id="rId3729" ref="AV3730"/>
    <hyperlink r:id="rId3730" ref="AV3731"/>
    <hyperlink r:id="rId3731" ref="AV3732"/>
    <hyperlink r:id="rId3732" ref="AV3733"/>
    <hyperlink r:id="rId3733" ref="AV3734"/>
    <hyperlink r:id="rId3734" ref="AV3735"/>
    <hyperlink r:id="rId3735" ref="AV3736"/>
    <hyperlink r:id="rId3736" ref="AV3737"/>
    <hyperlink r:id="rId3737" ref="AV3738"/>
    <hyperlink r:id="rId3738" ref="AV3739"/>
    <hyperlink r:id="rId3739" ref="AV3740"/>
    <hyperlink r:id="rId3740" ref="AV3741"/>
    <hyperlink r:id="rId3741" ref="AV3742"/>
    <hyperlink r:id="rId3742" ref="AV3743"/>
    <hyperlink r:id="rId3743" ref="AV3744"/>
    <hyperlink r:id="rId3744" ref="AV3745"/>
    <hyperlink r:id="rId3745" ref="AV3746"/>
    <hyperlink r:id="rId3746" ref="AV3747"/>
    <hyperlink r:id="rId3747" ref="AV3748"/>
    <hyperlink r:id="rId3748" ref="AV3749"/>
    <hyperlink r:id="rId3749" ref="AV3750"/>
    <hyperlink r:id="rId3750" ref="AV3751"/>
    <hyperlink r:id="rId3751" ref="AV3752"/>
    <hyperlink r:id="rId3752" ref="AV3753"/>
    <hyperlink r:id="rId3753" ref="AV3754"/>
    <hyperlink r:id="rId3754" ref="AV3755"/>
    <hyperlink r:id="rId3755" ref="AV3756"/>
    <hyperlink r:id="rId3756" ref="AV3757"/>
    <hyperlink r:id="rId3757" ref="AV3758"/>
    <hyperlink r:id="rId3758" ref="AV3759"/>
    <hyperlink r:id="rId3759" ref="AV3760"/>
    <hyperlink r:id="rId3760" ref="AV3761"/>
    <hyperlink r:id="rId3761" ref="AV3762"/>
    <hyperlink r:id="rId3762" ref="AV3763"/>
    <hyperlink r:id="rId3763" ref="AV3764"/>
    <hyperlink r:id="rId3764" ref="AV3765"/>
    <hyperlink r:id="rId3765" ref="AV3766"/>
    <hyperlink r:id="rId3766" ref="AV3767"/>
    <hyperlink r:id="rId3767" ref="AV3768"/>
    <hyperlink r:id="rId3768" ref="AV3769"/>
    <hyperlink r:id="rId3769" ref="AV3770"/>
    <hyperlink r:id="rId3770" ref="AV3771"/>
    <hyperlink r:id="rId3771" ref="AV3772"/>
    <hyperlink r:id="rId3772" ref="AV3773"/>
    <hyperlink r:id="rId3773" ref="AV3774"/>
    <hyperlink r:id="rId3774" ref="AV3775"/>
    <hyperlink r:id="rId3775" ref="AV3776"/>
    <hyperlink r:id="rId3776" ref="AV3777"/>
    <hyperlink r:id="rId3777" ref="AV3778"/>
    <hyperlink r:id="rId3778" ref="AV3779"/>
    <hyperlink r:id="rId3779" ref="AV3780"/>
    <hyperlink r:id="rId3780" ref="AV3781"/>
    <hyperlink r:id="rId3781" ref="AV3782"/>
    <hyperlink r:id="rId3782" ref="AV3783"/>
    <hyperlink r:id="rId3783" ref="AV3784"/>
    <hyperlink r:id="rId3784" ref="AV3785"/>
    <hyperlink r:id="rId3785" ref="AV3786"/>
    <hyperlink r:id="rId3786" ref="AV3787"/>
    <hyperlink r:id="rId3787" ref="AV3788"/>
    <hyperlink r:id="rId3788" ref="AV3789"/>
    <hyperlink r:id="rId3789" ref="AV3790"/>
    <hyperlink r:id="rId3790" ref="AV3791"/>
    <hyperlink r:id="rId3791" ref="AV3792"/>
    <hyperlink r:id="rId3792" ref="AV3793"/>
    <hyperlink r:id="rId3793" ref="AV3794"/>
    <hyperlink r:id="rId3794" ref="AV3795"/>
    <hyperlink r:id="rId3795" ref="AV3796"/>
    <hyperlink r:id="rId3796" ref="AV3797"/>
    <hyperlink r:id="rId3797" ref="AV3798"/>
    <hyperlink r:id="rId3798" ref="AV3799"/>
    <hyperlink r:id="rId3799" ref="AV3800"/>
    <hyperlink r:id="rId3800" ref="AV3801"/>
    <hyperlink r:id="rId3801" ref="AV3802"/>
    <hyperlink r:id="rId3802" ref="AV3803"/>
    <hyperlink r:id="rId3803" ref="AV3804"/>
    <hyperlink r:id="rId3804" ref="AV3805"/>
    <hyperlink r:id="rId3805" ref="AV3806"/>
    <hyperlink r:id="rId3806" ref="AV3807"/>
    <hyperlink r:id="rId3807" ref="AV3808"/>
    <hyperlink r:id="rId3808" ref="AV3809"/>
    <hyperlink r:id="rId3809" ref="AV3810"/>
    <hyperlink r:id="rId3810" ref="AV3811"/>
    <hyperlink r:id="rId3811" ref="AV3812"/>
    <hyperlink r:id="rId3812" ref="AV3813"/>
    <hyperlink r:id="rId3813" ref="AV3814"/>
    <hyperlink r:id="rId3814" ref="AV3815"/>
    <hyperlink r:id="rId3815" ref="AV3816"/>
    <hyperlink r:id="rId3816" ref="AV3817"/>
    <hyperlink r:id="rId3817" ref="AV3818"/>
    <hyperlink r:id="rId3818" ref="AV3819"/>
    <hyperlink r:id="rId3819" ref="AV3820"/>
    <hyperlink r:id="rId3820" ref="AV3821"/>
    <hyperlink r:id="rId3821" ref="AV3822"/>
    <hyperlink r:id="rId3822" ref="AV3823"/>
    <hyperlink r:id="rId3823" ref="AV3824"/>
    <hyperlink r:id="rId3824" ref="AV3825"/>
    <hyperlink r:id="rId3825" ref="AV3826"/>
    <hyperlink r:id="rId3826" ref="AV3827"/>
    <hyperlink r:id="rId3827" ref="AV3828"/>
    <hyperlink r:id="rId3828" ref="AV3829"/>
    <hyperlink r:id="rId3829" ref="AV3830"/>
    <hyperlink r:id="rId3830" ref="AV3831"/>
    <hyperlink r:id="rId3831" ref="AV3832"/>
    <hyperlink r:id="rId3832" ref="AV3833"/>
    <hyperlink r:id="rId3833" ref="AV3834"/>
    <hyperlink r:id="rId3834" ref="AV3835"/>
    <hyperlink r:id="rId3835" ref="AV3836"/>
    <hyperlink r:id="rId3836" ref="AV3837"/>
    <hyperlink r:id="rId3837" ref="AV3838"/>
    <hyperlink r:id="rId3838" ref="AV3839"/>
    <hyperlink r:id="rId3839" ref="AV3840"/>
    <hyperlink r:id="rId3840" ref="AV3841"/>
    <hyperlink r:id="rId3841" ref="AV3842"/>
    <hyperlink r:id="rId3842" ref="AV3843"/>
    <hyperlink r:id="rId3843" ref="AV3844"/>
    <hyperlink r:id="rId3844" ref="AV3845"/>
    <hyperlink r:id="rId3845" ref="AV3846"/>
    <hyperlink r:id="rId3846" ref="AV3847"/>
    <hyperlink r:id="rId3847" ref="AV3848"/>
    <hyperlink r:id="rId3848" ref="AV3849"/>
    <hyperlink r:id="rId3849" ref="AV3850"/>
    <hyperlink r:id="rId3850" ref="AV3851"/>
    <hyperlink r:id="rId3851" ref="AV3852"/>
    <hyperlink r:id="rId3852" ref="AV3853"/>
    <hyperlink r:id="rId3853" ref="AV3854"/>
    <hyperlink r:id="rId3854" ref="AV3855"/>
    <hyperlink r:id="rId3855" ref="AV3856"/>
    <hyperlink r:id="rId3856" ref="AV3857"/>
    <hyperlink r:id="rId3857" ref="AV3858"/>
    <hyperlink r:id="rId3858" ref="AV3859"/>
    <hyperlink r:id="rId3859" ref="AV3860"/>
    <hyperlink r:id="rId3860" ref="AV3861"/>
    <hyperlink r:id="rId3861" ref="AV3862"/>
    <hyperlink r:id="rId3862" ref="AV3863"/>
    <hyperlink r:id="rId3863" ref="AV3864"/>
    <hyperlink r:id="rId3864" ref="AV3865"/>
    <hyperlink r:id="rId3865" ref="AV3866"/>
    <hyperlink r:id="rId3866" ref="AV3867"/>
    <hyperlink r:id="rId3867" ref="AV3868"/>
    <hyperlink r:id="rId3868" ref="AV3869"/>
    <hyperlink r:id="rId3869" ref="AV3870"/>
    <hyperlink r:id="rId3870" ref="AV3871"/>
    <hyperlink r:id="rId3871" ref="AV3872"/>
    <hyperlink r:id="rId3872" ref="AV3873"/>
    <hyperlink r:id="rId3873" ref="AV3874"/>
    <hyperlink r:id="rId3874" ref="AV3875"/>
    <hyperlink r:id="rId3875" ref="AV3876"/>
    <hyperlink r:id="rId3876" ref="AV3877"/>
    <hyperlink r:id="rId3877" ref="AV3878"/>
    <hyperlink r:id="rId3878" ref="AV3879"/>
    <hyperlink r:id="rId3879" ref="AV3880"/>
    <hyperlink r:id="rId3880" ref="AV3881"/>
    <hyperlink r:id="rId3881" ref="AV3882"/>
    <hyperlink r:id="rId3882" ref="AV3883"/>
    <hyperlink r:id="rId3883" ref="AV3884"/>
    <hyperlink r:id="rId3884" ref="AV3885"/>
    <hyperlink r:id="rId3885" ref="AV3886"/>
    <hyperlink r:id="rId3886" ref="AV3887"/>
    <hyperlink r:id="rId3887" ref="AV3888"/>
    <hyperlink r:id="rId3888" ref="AV3889"/>
    <hyperlink r:id="rId3889" ref="AV3890"/>
    <hyperlink r:id="rId3890" ref="AV3891"/>
    <hyperlink r:id="rId3891" ref="AV3892"/>
    <hyperlink r:id="rId3892" ref="AV3893"/>
    <hyperlink r:id="rId3893" ref="AV3894"/>
    <hyperlink r:id="rId3894" ref="AV3895"/>
    <hyperlink r:id="rId3895" ref="AV3896"/>
    <hyperlink r:id="rId3896" ref="AV3897"/>
    <hyperlink r:id="rId3897" ref="AV3898"/>
    <hyperlink r:id="rId3898" ref="AV3899"/>
    <hyperlink r:id="rId3899" ref="AV3900"/>
    <hyperlink r:id="rId3900" ref="AV3901"/>
    <hyperlink r:id="rId3901" ref="AV3902"/>
    <hyperlink r:id="rId3902" ref="AV3903"/>
    <hyperlink r:id="rId3903" ref="AV3904"/>
    <hyperlink r:id="rId3904" ref="AV3905"/>
    <hyperlink r:id="rId3905" ref="AV3906"/>
    <hyperlink r:id="rId3906" ref="AV3907"/>
    <hyperlink r:id="rId3907" ref="AV3908"/>
    <hyperlink r:id="rId3908" ref="AV3909"/>
    <hyperlink r:id="rId3909" ref="AV3910"/>
    <hyperlink r:id="rId3910" ref="AV3911"/>
    <hyperlink r:id="rId3911" ref="AV3912"/>
    <hyperlink r:id="rId3912" ref="AV3913"/>
    <hyperlink r:id="rId3913" ref="AV3914"/>
    <hyperlink r:id="rId3914" ref="AV3915"/>
    <hyperlink r:id="rId3915" ref="AV3916"/>
    <hyperlink r:id="rId3916" ref="AV3917"/>
    <hyperlink r:id="rId3917" ref="AV3918"/>
    <hyperlink r:id="rId3918" ref="AV3919"/>
    <hyperlink r:id="rId3919" ref="AV3920"/>
    <hyperlink r:id="rId3920" ref="AV3921"/>
    <hyperlink r:id="rId3921" ref="AV3922"/>
    <hyperlink r:id="rId3922" ref="AV3923"/>
    <hyperlink r:id="rId3923" ref="AV3924"/>
    <hyperlink r:id="rId3924" ref="AV3925"/>
    <hyperlink r:id="rId3925" ref="AV3926"/>
    <hyperlink r:id="rId3926" ref="AV3927"/>
    <hyperlink r:id="rId3927" ref="AV3928"/>
    <hyperlink r:id="rId3928" ref="AV3929"/>
    <hyperlink r:id="rId3929" ref="AV3930"/>
    <hyperlink r:id="rId3930" ref="AV3931"/>
    <hyperlink r:id="rId3931" ref="AV3932"/>
    <hyperlink r:id="rId3932" ref="AV3933"/>
    <hyperlink r:id="rId3933" ref="AV3934"/>
    <hyperlink r:id="rId3934" ref="AV3935"/>
    <hyperlink r:id="rId3935" ref="AV3936"/>
    <hyperlink r:id="rId3936" ref="AV3937"/>
    <hyperlink r:id="rId3937" ref="AV3938"/>
    <hyperlink r:id="rId3938" ref="AV3939"/>
    <hyperlink r:id="rId3939" ref="AV3940"/>
    <hyperlink r:id="rId3940" ref="AV3941"/>
    <hyperlink r:id="rId3941" ref="AV3942"/>
    <hyperlink r:id="rId3942" ref="AV3943"/>
    <hyperlink r:id="rId3943" ref="AV3944"/>
    <hyperlink r:id="rId3944" ref="AV3945"/>
    <hyperlink r:id="rId3945" ref="AV3946"/>
    <hyperlink r:id="rId3946" ref="AV3947"/>
    <hyperlink r:id="rId3947" ref="AV3948"/>
    <hyperlink r:id="rId3948" ref="AV3949"/>
    <hyperlink r:id="rId3949" ref="AV3950"/>
    <hyperlink r:id="rId3950" ref="AV3951"/>
    <hyperlink r:id="rId3951" ref="AV3952"/>
    <hyperlink r:id="rId3952" ref="AV3953"/>
    <hyperlink r:id="rId3953" ref="AV3954"/>
    <hyperlink r:id="rId3954" ref="AV3955"/>
    <hyperlink r:id="rId3955" ref="AV3956"/>
    <hyperlink r:id="rId3956" ref="AV3957"/>
    <hyperlink r:id="rId3957" ref="AV3958"/>
    <hyperlink r:id="rId3958" ref="AV3959"/>
    <hyperlink r:id="rId3959" ref="AV3960"/>
    <hyperlink r:id="rId3960" ref="AV3961"/>
    <hyperlink r:id="rId3961" ref="AV3962"/>
    <hyperlink r:id="rId3962" ref="AV3963"/>
    <hyperlink r:id="rId3963" ref="AV3964"/>
    <hyperlink r:id="rId3964" ref="AV3965"/>
    <hyperlink r:id="rId3965" ref="AV3966"/>
    <hyperlink r:id="rId3966" ref="AV3967"/>
    <hyperlink r:id="rId3967" ref="AV3968"/>
    <hyperlink r:id="rId3968" ref="AV3969"/>
    <hyperlink r:id="rId3969" ref="AV3970"/>
    <hyperlink r:id="rId3970" ref="AV3971"/>
    <hyperlink r:id="rId3971" ref="AV3972"/>
    <hyperlink r:id="rId3972" ref="AV3973"/>
    <hyperlink r:id="rId3973" ref="AV3974"/>
    <hyperlink r:id="rId3974" ref="AV3975"/>
    <hyperlink r:id="rId3975" ref="AV3976"/>
    <hyperlink r:id="rId3976" ref="AV3977"/>
    <hyperlink r:id="rId3977" ref="AV3978"/>
    <hyperlink r:id="rId3978" ref="AV3979"/>
    <hyperlink r:id="rId3979" ref="AV3980"/>
    <hyperlink r:id="rId3980" ref="AV3981"/>
    <hyperlink r:id="rId3981" ref="AV3982"/>
    <hyperlink r:id="rId3982" ref="AV3983"/>
    <hyperlink r:id="rId3983" ref="AV3984"/>
    <hyperlink r:id="rId3984" ref="AV3985"/>
    <hyperlink r:id="rId3985" ref="AV3986"/>
    <hyperlink r:id="rId3986" ref="AV3987"/>
    <hyperlink r:id="rId3987" ref="AV3988"/>
    <hyperlink r:id="rId3988" ref="AV3989"/>
    <hyperlink r:id="rId3989" ref="AV3990"/>
    <hyperlink r:id="rId3990" ref="AV3991"/>
    <hyperlink r:id="rId3991" ref="AV3992"/>
    <hyperlink r:id="rId3992" ref="AV3993"/>
    <hyperlink r:id="rId3993" ref="AV3994"/>
    <hyperlink r:id="rId3994" ref="AV3995"/>
    <hyperlink r:id="rId3995" ref="AV3996"/>
    <hyperlink r:id="rId3996" ref="AV3997"/>
    <hyperlink r:id="rId3997" ref="AV3998"/>
    <hyperlink r:id="rId3998" ref="AV3999"/>
    <hyperlink r:id="rId3999" ref="AV4000"/>
    <hyperlink r:id="rId4000" ref="AV4001"/>
    <hyperlink r:id="rId4001" ref="AV4002"/>
    <hyperlink r:id="rId4002" ref="AV4003"/>
    <hyperlink r:id="rId4003" ref="AV4004"/>
    <hyperlink r:id="rId4004" ref="AV4005"/>
    <hyperlink r:id="rId4005" ref="AV4006"/>
    <hyperlink r:id="rId4006" ref="AV4007"/>
    <hyperlink r:id="rId4007" ref="AV4008"/>
    <hyperlink r:id="rId4008" ref="AV4009"/>
    <hyperlink r:id="rId4009" ref="AV4010"/>
    <hyperlink r:id="rId4010" ref="AV4011"/>
    <hyperlink r:id="rId4011" ref="AV4012"/>
    <hyperlink r:id="rId4012" ref="AV4013"/>
    <hyperlink r:id="rId4013" ref="AV4014"/>
    <hyperlink r:id="rId4014" ref="AV4015"/>
    <hyperlink r:id="rId4015" ref="AV4016"/>
    <hyperlink r:id="rId4016" ref="AV4017"/>
    <hyperlink r:id="rId4017" ref="AV4018"/>
    <hyperlink r:id="rId4018" ref="AV4019"/>
    <hyperlink r:id="rId4019" ref="AV4020"/>
    <hyperlink r:id="rId4020" ref="AV4021"/>
    <hyperlink r:id="rId4021" ref="AV4022"/>
    <hyperlink r:id="rId4022" ref="AV4023"/>
    <hyperlink r:id="rId4023" ref="AV4024"/>
    <hyperlink r:id="rId4024" ref="AV4025"/>
    <hyperlink r:id="rId4025" ref="AV4026"/>
    <hyperlink r:id="rId4026" ref="AV4027"/>
    <hyperlink r:id="rId4027" ref="AV4028"/>
    <hyperlink r:id="rId4028" ref="AV4029"/>
    <hyperlink r:id="rId4029" ref="AV4030"/>
    <hyperlink r:id="rId4030" ref="AV4031"/>
    <hyperlink r:id="rId4031" ref="AV4032"/>
    <hyperlink r:id="rId4032" ref="AV4033"/>
    <hyperlink r:id="rId4033" ref="AV4034"/>
    <hyperlink r:id="rId4034" ref="AV4035"/>
    <hyperlink r:id="rId4035" ref="AV4036"/>
    <hyperlink r:id="rId4036" ref="AV4037"/>
    <hyperlink r:id="rId4037" ref="AV4038"/>
    <hyperlink r:id="rId4038" ref="AV4039"/>
    <hyperlink r:id="rId4039" ref="AV4040"/>
    <hyperlink r:id="rId4040" ref="AV4041"/>
    <hyperlink r:id="rId4041" ref="AV4042"/>
    <hyperlink r:id="rId4042" ref="AV4043"/>
    <hyperlink r:id="rId4043" ref="AV4044"/>
    <hyperlink r:id="rId4044" ref="AV4045"/>
    <hyperlink r:id="rId4045" ref="AV4046"/>
    <hyperlink r:id="rId4046" ref="AV4047"/>
    <hyperlink r:id="rId4047" ref="AV4048"/>
    <hyperlink r:id="rId4048" ref="AV4049"/>
    <hyperlink r:id="rId4049" ref="AV4050"/>
    <hyperlink r:id="rId4050" ref="AV4051"/>
    <hyperlink r:id="rId4051" ref="AV4052"/>
    <hyperlink r:id="rId4052" ref="AV4053"/>
    <hyperlink r:id="rId4053" ref="AV4054"/>
    <hyperlink r:id="rId4054" ref="AV4055"/>
    <hyperlink r:id="rId4055" ref="AV4056"/>
    <hyperlink r:id="rId4056" ref="AV4057"/>
    <hyperlink r:id="rId4057" ref="AV4058"/>
    <hyperlink r:id="rId4058" ref="AV4059"/>
    <hyperlink r:id="rId4059" ref="AV4060"/>
    <hyperlink r:id="rId4060" ref="AV4061"/>
    <hyperlink r:id="rId4061" ref="AV4062"/>
    <hyperlink r:id="rId4062" ref="AV4063"/>
    <hyperlink r:id="rId4063" ref="AV4064"/>
    <hyperlink r:id="rId4064" ref="AV4065"/>
    <hyperlink r:id="rId4065" ref="AV4066"/>
    <hyperlink r:id="rId4066" ref="AV4067"/>
    <hyperlink r:id="rId4067" ref="AV4068"/>
    <hyperlink r:id="rId4068" ref="AV4069"/>
    <hyperlink r:id="rId4069" ref="AV4070"/>
    <hyperlink r:id="rId4070" ref="AV4071"/>
    <hyperlink r:id="rId4071" ref="AV4072"/>
    <hyperlink r:id="rId4072" ref="AV4073"/>
    <hyperlink r:id="rId4073" ref="AV4074"/>
    <hyperlink r:id="rId4074" ref="AV4075"/>
    <hyperlink r:id="rId4075" ref="AV4076"/>
    <hyperlink r:id="rId4076" ref="AV4077"/>
    <hyperlink r:id="rId4077" ref="AV4078"/>
    <hyperlink r:id="rId4078" ref="AV4079"/>
    <hyperlink r:id="rId4079" ref="AV4080"/>
    <hyperlink r:id="rId4080" ref="AV4081"/>
    <hyperlink r:id="rId4081" ref="AV4082"/>
    <hyperlink r:id="rId4082" ref="AV4083"/>
    <hyperlink r:id="rId4083" ref="AV4084"/>
    <hyperlink r:id="rId4084" ref="AV4085"/>
    <hyperlink r:id="rId4085" ref="AV4086"/>
    <hyperlink r:id="rId4086" ref="AV4087"/>
    <hyperlink r:id="rId4087" ref="AV4088"/>
    <hyperlink r:id="rId4088" ref="AV4089"/>
    <hyperlink r:id="rId4089" ref="AV4090"/>
    <hyperlink r:id="rId4090" ref="AV4091"/>
    <hyperlink r:id="rId4091" ref="AV4092"/>
    <hyperlink r:id="rId4092" ref="AV4093"/>
    <hyperlink r:id="rId4093" ref="AV4094"/>
    <hyperlink r:id="rId4094" ref="AV4095"/>
    <hyperlink r:id="rId4095" ref="AV4096"/>
    <hyperlink r:id="rId4096" ref="AV4097"/>
    <hyperlink r:id="rId4097" ref="AV4098"/>
    <hyperlink r:id="rId4098" ref="AV4099"/>
    <hyperlink r:id="rId4099" ref="AV4100"/>
    <hyperlink r:id="rId4100" ref="AV4101"/>
    <hyperlink r:id="rId4101" ref="AV4102"/>
    <hyperlink r:id="rId4102" ref="AV4103"/>
    <hyperlink r:id="rId4103" ref="AV4104"/>
    <hyperlink r:id="rId4104" ref="AV4105"/>
    <hyperlink r:id="rId4105" ref="AV4106"/>
    <hyperlink r:id="rId4106" ref="AV4107"/>
    <hyperlink r:id="rId4107" ref="AV4108"/>
    <hyperlink r:id="rId4108" ref="AV4109"/>
    <hyperlink r:id="rId4109" ref="AV4110"/>
    <hyperlink r:id="rId4110" ref="AV4111"/>
    <hyperlink r:id="rId4111" ref="AV4112"/>
    <hyperlink r:id="rId4112" ref="AV4113"/>
    <hyperlink r:id="rId4113" ref="AV4114"/>
    <hyperlink r:id="rId4114" ref="AV4115"/>
    <hyperlink r:id="rId4115" ref="AV4116"/>
    <hyperlink r:id="rId4116" ref="AV4117"/>
    <hyperlink r:id="rId4117" ref="AV4118"/>
    <hyperlink r:id="rId4118" ref="AV4119"/>
    <hyperlink r:id="rId4119" ref="AV4120"/>
    <hyperlink r:id="rId4120" ref="AV4121"/>
    <hyperlink r:id="rId4121" ref="AV4122"/>
    <hyperlink r:id="rId4122" ref="AV4123"/>
    <hyperlink r:id="rId4123" ref="AV4124"/>
    <hyperlink r:id="rId4124" ref="AV4125"/>
    <hyperlink r:id="rId4125" ref="AV4126"/>
    <hyperlink r:id="rId4126" ref="AV4127"/>
    <hyperlink r:id="rId4127" ref="AV4128"/>
    <hyperlink r:id="rId4128" ref="AV4129"/>
    <hyperlink r:id="rId4129" ref="AV4130"/>
    <hyperlink r:id="rId4130" ref="AV4131"/>
    <hyperlink r:id="rId4131" ref="AV4132"/>
    <hyperlink r:id="rId4132" ref="AV4133"/>
    <hyperlink r:id="rId4133" ref="AV4134"/>
    <hyperlink r:id="rId4134" ref="AV4135"/>
    <hyperlink r:id="rId4135" ref="AV4136"/>
    <hyperlink r:id="rId4136" ref="AV4137"/>
    <hyperlink r:id="rId4137" ref="AV4138"/>
    <hyperlink r:id="rId4138" ref="AV4139"/>
    <hyperlink r:id="rId4139" ref="AV4140"/>
    <hyperlink r:id="rId4140" ref="AV4141"/>
    <hyperlink r:id="rId4141" ref="AV4142"/>
    <hyperlink r:id="rId4142" ref="AV4143"/>
    <hyperlink r:id="rId4143" ref="AV4144"/>
    <hyperlink r:id="rId4144" ref="AV4145"/>
    <hyperlink r:id="rId4145" ref="AV4146"/>
    <hyperlink r:id="rId4146" ref="AV4147"/>
    <hyperlink r:id="rId4147" ref="AV4148"/>
    <hyperlink r:id="rId4148" ref="AV4149"/>
    <hyperlink r:id="rId4149" ref="AV4150"/>
    <hyperlink r:id="rId4150" ref="AV4151"/>
    <hyperlink r:id="rId4151" ref="AV4152"/>
    <hyperlink r:id="rId4152" ref="AV4153"/>
    <hyperlink r:id="rId4153" ref="AV4154"/>
    <hyperlink r:id="rId4154" ref="AV4155"/>
    <hyperlink r:id="rId4155" ref="AV4156"/>
    <hyperlink r:id="rId4156" ref="AV4157"/>
    <hyperlink r:id="rId4157" ref="AV4158"/>
    <hyperlink r:id="rId4158" ref="AV4159"/>
    <hyperlink r:id="rId4159" ref="AV4160"/>
    <hyperlink r:id="rId4160" ref="AV4161"/>
    <hyperlink r:id="rId4161" ref="AV4162"/>
    <hyperlink r:id="rId4162" ref="AV4163"/>
    <hyperlink r:id="rId4163" ref="AV4164"/>
    <hyperlink r:id="rId4164" ref="AV4165"/>
    <hyperlink r:id="rId4165" ref="AV4166"/>
    <hyperlink r:id="rId4166" ref="AV4167"/>
    <hyperlink r:id="rId4167" ref="AV4168"/>
    <hyperlink r:id="rId4168" ref="AV4169"/>
    <hyperlink r:id="rId4169" ref="AV4170"/>
    <hyperlink r:id="rId4170" ref="AV4171"/>
    <hyperlink r:id="rId4171" ref="AV4172"/>
    <hyperlink r:id="rId4172" ref="AV4173"/>
    <hyperlink r:id="rId4173" ref="AV4174"/>
    <hyperlink r:id="rId4174" ref="AV4175"/>
    <hyperlink r:id="rId4175" ref="AV4176"/>
    <hyperlink r:id="rId4176" ref="AV4177"/>
    <hyperlink r:id="rId4177" ref="AV4178"/>
    <hyperlink r:id="rId4178" ref="AV4179"/>
    <hyperlink r:id="rId4179" ref="AV4180"/>
    <hyperlink r:id="rId4180" ref="AV4181"/>
    <hyperlink r:id="rId4181" ref="AV4182"/>
    <hyperlink r:id="rId4182" ref="AV4183"/>
    <hyperlink r:id="rId4183" ref="AV4184"/>
    <hyperlink r:id="rId4184" ref="AV4185"/>
    <hyperlink r:id="rId4185" ref="AV4186"/>
    <hyperlink r:id="rId4186" ref="AV4187"/>
    <hyperlink r:id="rId4187" ref="AV4188"/>
    <hyperlink r:id="rId4188" ref="AV4189"/>
    <hyperlink r:id="rId4189" ref="AV4190"/>
    <hyperlink r:id="rId4190" ref="AV4191"/>
    <hyperlink r:id="rId4191" ref="AV4192"/>
    <hyperlink r:id="rId4192" ref="AV4193"/>
    <hyperlink r:id="rId4193" ref="AV4194"/>
    <hyperlink r:id="rId4194" ref="AV4195"/>
    <hyperlink r:id="rId4195" ref="AV4196"/>
    <hyperlink r:id="rId4196" ref="AV4197"/>
    <hyperlink r:id="rId4197" ref="AV4198"/>
    <hyperlink r:id="rId4198" ref="AV4199"/>
    <hyperlink r:id="rId4199" ref="AV4200"/>
    <hyperlink r:id="rId4200" ref="AV4201"/>
    <hyperlink r:id="rId4201" ref="AV4202"/>
    <hyperlink r:id="rId4202" ref="AV4203"/>
    <hyperlink r:id="rId4203" ref="AV4204"/>
    <hyperlink r:id="rId4204" ref="AV4205"/>
    <hyperlink r:id="rId4205" ref="AV4206"/>
    <hyperlink r:id="rId4206" ref="AV4207"/>
    <hyperlink r:id="rId4207" ref="AV4208"/>
    <hyperlink r:id="rId4208" ref="AV4209"/>
    <hyperlink r:id="rId4209" ref="AV4210"/>
    <hyperlink r:id="rId4210" ref="AV4211"/>
    <hyperlink r:id="rId4211" ref="AV4212"/>
    <hyperlink r:id="rId4212" ref="AV4213"/>
    <hyperlink r:id="rId4213" ref="AV4214"/>
    <hyperlink r:id="rId4214" ref="AV4215"/>
    <hyperlink r:id="rId4215" ref="AV4216"/>
    <hyperlink r:id="rId4216" ref="AV4217"/>
    <hyperlink r:id="rId4217" ref="AV4218"/>
    <hyperlink r:id="rId4218" ref="AV4219"/>
    <hyperlink r:id="rId4219" ref="AV4220"/>
    <hyperlink r:id="rId4220" ref="AV4221"/>
    <hyperlink r:id="rId4221" ref="AV4222"/>
    <hyperlink r:id="rId4222" ref="AV4223"/>
    <hyperlink r:id="rId4223" ref="AV4224"/>
    <hyperlink r:id="rId4224" ref="AV4225"/>
    <hyperlink r:id="rId4225" ref="AV4226"/>
    <hyperlink r:id="rId4226" ref="AV4227"/>
    <hyperlink r:id="rId4227" ref="AV4228"/>
    <hyperlink r:id="rId4228" ref="AV4229"/>
    <hyperlink r:id="rId4229" ref="AV4230"/>
    <hyperlink r:id="rId4230" ref="AV4231"/>
    <hyperlink r:id="rId4231" ref="AV4232"/>
    <hyperlink r:id="rId4232" ref="AV4233"/>
    <hyperlink r:id="rId4233" ref="AV4234"/>
    <hyperlink r:id="rId4234" ref="AV4235"/>
    <hyperlink r:id="rId4235" ref="AV4236"/>
    <hyperlink r:id="rId4236" ref="AV4237"/>
    <hyperlink r:id="rId4237" ref="AV4238"/>
    <hyperlink r:id="rId4238" ref="AV4239"/>
    <hyperlink r:id="rId4239" ref="AV4240"/>
    <hyperlink r:id="rId4240" ref="AV4241"/>
    <hyperlink r:id="rId4241" ref="AV4242"/>
    <hyperlink r:id="rId4242" ref="AV4243"/>
    <hyperlink r:id="rId4243" ref="AV4244"/>
    <hyperlink r:id="rId4244" ref="AV4245"/>
    <hyperlink r:id="rId4245" ref="AV4246"/>
    <hyperlink r:id="rId4246" ref="AV4247"/>
    <hyperlink r:id="rId4247" ref="AV4248"/>
    <hyperlink r:id="rId4248" ref="AV4249"/>
    <hyperlink r:id="rId4249" ref="AV4250"/>
    <hyperlink r:id="rId4250" ref="AV4251"/>
    <hyperlink r:id="rId4251" ref="AV4252"/>
    <hyperlink r:id="rId4252" ref="AV4253"/>
    <hyperlink r:id="rId4253" ref="AV4254"/>
    <hyperlink r:id="rId4254" ref="AV4255"/>
    <hyperlink r:id="rId4255" ref="AV4256"/>
    <hyperlink r:id="rId4256" ref="AV4257"/>
    <hyperlink r:id="rId4257" ref="AV4258"/>
    <hyperlink r:id="rId4258" ref="AV4259"/>
    <hyperlink r:id="rId4259" ref="AV4260"/>
    <hyperlink r:id="rId4260" ref="AV4261"/>
    <hyperlink r:id="rId4261" ref="AV4262"/>
    <hyperlink r:id="rId4262" ref="AV4263"/>
    <hyperlink r:id="rId4263" ref="AV4264"/>
    <hyperlink r:id="rId4264" ref="AV4265"/>
    <hyperlink r:id="rId4265" ref="AV4266"/>
    <hyperlink r:id="rId4266" ref="AV4267"/>
    <hyperlink r:id="rId4267" ref="AV4268"/>
    <hyperlink r:id="rId4268" ref="AV4269"/>
    <hyperlink r:id="rId4269" ref="AV4270"/>
    <hyperlink r:id="rId4270" ref="AV4271"/>
    <hyperlink r:id="rId4271" ref="AV4272"/>
    <hyperlink r:id="rId4272" ref="AV4273"/>
    <hyperlink r:id="rId4273" ref="AV4274"/>
    <hyperlink r:id="rId4274" ref="AV4275"/>
    <hyperlink r:id="rId4275" ref="AV4276"/>
    <hyperlink r:id="rId4276" ref="AV4277"/>
    <hyperlink r:id="rId4277" ref="AV4278"/>
    <hyperlink r:id="rId4278" ref="AV4279"/>
    <hyperlink r:id="rId4279" ref="AV4280"/>
    <hyperlink r:id="rId4280" ref="AV4281"/>
    <hyperlink r:id="rId4281" ref="AV4282"/>
    <hyperlink r:id="rId4282" ref="AV4283"/>
    <hyperlink r:id="rId4283" ref="AV4284"/>
    <hyperlink r:id="rId4284" ref="AV4285"/>
    <hyperlink r:id="rId4285" ref="AV4286"/>
    <hyperlink r:id="rId4286" ref="AV4287"/>
    <hyperlink r:id="rId4287" ref="AV4288"/>
    <hyperlink r:id="rId4288" ref="AV4289"/>
    <hyperlink r:id="rId4289" ref="AV4290"/>
    <hyperlink r:id="rId4290" ref="AV4291"/>
    <hyperlink r:id="rId4291" ref="AV4292"/>
    <hyperlink r:id="rId4292" ref="AV4293"/>
    <hyperlink r:id="rId4293" ref="AV4294"/>
    <hyperlink r:id="rId4294" ref="AV4295"/>
    <hyperlink r:id="rId4295" ref="AV4296"/>
    <hyperlink r:id="rId4296" ref="AV4297"/>
    <hyperlink r:id="rId4297" ref="AV4298"/>
    <hyperlink r:id="rId4298" ref="AV4299"/>
    <hyperlink r:id="rId4299" ref="AV4300"/>
    <hyperlink r:id="rId4300" ref="AV4301"/>
    <hyperlink r:id="rId4301" ref="AV4302"/>
    <hyperlink r:id="rId4302" ref="AV4303"/>
    <hyperlink r:id="rId4303" ref="AV4304"/>
    <hyperlink r:id="rId4304" ref="AV4305"/>
    <hyperlink r:id="rId4305" ref="AV4306"/>
    <hyperlink r:id="rId4306" ref="AV4307"/>
    <hyperlink r:id="rId4307" ref="AV4308"/>
    <hyperlink r:id="rId4308" ref="AV4309"/>
    <hyperlink r:id="rId4309" ref="AV4310"/>
    <hyperlink r:id="rId4310" ref="AV4311"/>
    <hyperlink r:id="rId4311" ref="AV4312"/>
    <hyperlink r:id="rId4312" ref="AV4313"/>
    <hyperlink r:id="rId4313" ref="AV4314"/>
    <hyperlink r:id="rId4314" ref="AV4315"/>
    <hyperlink r:id="rId4315" ref="AV4316"/>
    <hyperlink r:id="rId4316" ref="AV4317"/>
    <hyperlink r:id="rId4317" ref="AV4318"/>
    <hyperlink r:id="rId4318" ref="AV4319"/>
    <hyperlink r:id="rId4319" ref="AV4320"/>
    <hyperlink r:id="rId4320" ref="AV4321"/>
    <hyperlink r:id="rId4321" ref="AV4322"/>
    <hyperlink r:id="rId4322" ref="AV4323"/>
    <hyperlink r:id="rId4323" ref="AV4324"/>
    <hyperlink r:id="rId4324" ref="AV4325"/>
    <hyperlink r:id="rId4325" ref="AV4326"/>
    <hyperlink r:id="rId4326" ref="AV4327"/>
    <hyperlink r:id="rId4327" ref="AV4328"/>
    <hyperlink r:id="rId4328" ref="AV4329"/>
    <hyperlink r:id="rId4329" ref="AV4330"/>
    <hyperlink r:id="rId4330" ref="AV4331"/>
    <hyperlink r:id="rId4331" ref="AV4332"/>
    <hyperlink r:id="rId4332" ref="AV4333"/>
    <hyperlink r:id="rId4333" ref="AV4334"/>
    <hyperlink r:id="rId4334" ref="AV4335"/>
    <hyperlink r:id="rId4335" ref="AV4336"/>
    <hyperlink r:id="rId4336" ref="AV4337"/>
    <hyperlink r:id="rId4337" ref="AV4338"/>
    <hyperlink r:id="rId4338" ref="AV4339"/>
    <hyperlink r:id="rId4339" ref="AV4340"/>
    <hyperlink r:id="rId4340" ref="AV4341"/>
    <hyperlink r:id="rId4341" ref="AV4342"/>
    <hyperlink r:id="rId4342" ref="AV4343"/>
    <hyperlink r:id="rId4343" ref="AV4344"/>
    <hyperlink r:id="rId4344" ref="AV4345"/>
    <hyperlink r:id="rId4345" ref="AV4346"/>
    <hyperlink r:id="rId4346" ref="AV4347"/>
    <hyperlink r:id="rId4347" ref="AV4348"/>
    <hyperlink r:id="rId4348" ref="AV4349"/>
    <hyperlink r:id="rId4349" ref="AV4350"/>
    <hyperlink r:id="rId4350" ref="AV4351"/>
    <hyperlink r:id="rId4351" ref="AV4352"/>
    <hyperlink r:id="rId4352" ref="AV4353"/>
    <hyperlink r:id="rId4353" ref="AV4354"/>
    <hyperlink r:id="rId4354" ref="AV4355"/>
    <hyperlink r:id="rId4355" ref="AV4356"/>
    <hyperlink r:id="rId4356" ref="AV4357"/>
    <hyperlink r:id="rId4357" ref="AV4358"/>
    <hyperlink r:id="rId4358" ref="AV4359"/>
    <hyperlink r:id="rId4359" ref="AV4360"/>
    <hyperlink r:id="rId4360" ref="AV4361"/>
    <hyperlink r:id="rId4361" ref="AV4362"/>
    <hyperlink r:id="rId4362" ref="AV4363"/>
    <hyperlink r:id="rId4363" ref="AV4364"/>
    <hyperlink r:id="rId4364" ref="AV4365"/>
    <hyperlink r:id="rId4365" ref="AV4366"/>
    <hyperlink r:id="rId4366" ref="AV4367"/>
    <hyperlink r:id="rId4367" ref="AV4368"/>
    <hyperlink r:id="rId4368" ref="AV4369"/>
    <hyperlink r:id="rId4369" ref="AV4370"/>
    <hyperlink r:id="rId4370" ref="AV4371"/>
    <hyperlink r:id="rId4371" ref="AV4372"/>
    <hyperlink r:id="rId4372" ref="AV4373"/>
    <hyperlink r:id="rId4373" ref="AV4374"/>
    <hyperlink r:id="rId4374" ref="AV4375"/>
    <hyperlink r:id="rId4375" ref="AV4376"/>
    <hyperlink r:id="rId4376" ref="AV4377"/>
    <hyperlink r:id="rId4377" ref="AV4378"/>
    <hyperlink r:id="rId4378" ref="AV4379"/>
    <hyperlink r:id="rId4379" ref="AV4380"/>
    <hyperlink r:id="rId4380" ref="AV4381"/>
    <hyperlink r:id="rId4381" ref="AV4382"/>
    <hyperlink r:id="rId4382" ref="AV4383"/>
    <hyperlink r:id="rId4383" ref="AV4384"/>
    <hyperlink r:id="rId4384" ref="AV4385"/>
    <hyperlink r:id="rId4385" ref="AV4386"/>
    <hyperlink r:id="rId4386" ref="AV4387"/>
    <hyperlink r:id="rId4387" ref="AV4388"/>
    <hyperlink r:id="rId4388" ref="AV4389"/>
    <hyperlink r:id="rId4389" ref="AV4390"/>
    <hyperlink r:id="rId4390" ref="AV4391"/>
    <hyperlink r:id="rId4391" ref="AV4392"/>
    <hyperlink r:id="rId4392" ref="AV4393"/>
    <hyperlink r:id="rId4393" ref="AV4394"/>
    <hyperlink r:id="rId4394" ref="AV4395"/>
    <hyperlink r:id="rId4395" ref="AV4396"/>
    <hyperlink r:id="rId4396" ref="AV4397"/>
    <hyperlink r:id="rId4397" ref="AV4398"/>
    <hyperlink r:id="rId4398" ref="AV4399"/>
    <hyperlink r:id="rId4399" ref="AV4400"/>
    <hyperlink r:id="rId4400" ref="AV4401"/>
    <hyperlink r:id="rId4401" ref="AV4402"/>
    <hyperlink r:id="rId4402" ref="AV4403"/>
    <hyperlink r:id="rId4403" ref="AV4404"/>
    <hyperlink r:id="rId4404" ref="AV4405"/>
    <hyperlink r:id="rId4405" ref="AV4406"/>
    <hyperlink r:id="rId4406" ref="AV4407"/>
    <hyperlink r:id="rId4407" ref="AV4408"/>
    <hyperlink r:id="rId4408" ref="AV4409"/>
    <hyperlink r:id="rId4409" ref="AV4410"/>
    <hyperlink r:id="rId4410" ref="AV4411"/>
    <hyperlink r:id="rId4411" ref="AV4412"/>
    <hyperlink r:id="rId4412" ref="AV4413"/>
    <hyperlink r:id="rId4413" ref="AV4414"/>
    <hyperlink r:id="rId4414" ref="AV4415"/>
    <hyperlink r:id="rId4415" ref="AV4416"/>
    <hyperlink r:id="rId4416" ref="AV4417"/>
    <hyperlink r:id="rId4417" ref="AV4418"/>
    <hyperlink r:id="rId4418" ref="AV4419"/>
    <hyperlink r:id="rId4419" ref="AV4420"/>
    <hyperlink r:id="rId4420" ref="AV4421"/>
    <hyperlink r:id="rId4421" ref="AV4422"/>
    <hyperlink r:id="rId4422" ref="AV4423"/>
    <hyperlink r:id="rId4423" ref="AV4424"/>
    <hyperlink r:id="rId4424" ref="AV4425"/>
    <hyperlink r:id="rId4425" ref="AV4426"/>
    <hyperlink r:id="rId4426" ref="AV4427"/>
    <hyperlink r:id="rId4427" ref="AV4428"/>
    <hyperlink r:id="rId4428" ref="AV4429"/>
    <hyperlink r:id="rId4429" ref="AV4430"/>
    <hyperlink r:id="rId4430" ref="AV4431"/>
    <hyperlink r:id="rId4431" ref="AV4432"/>
    <hyperlink r:id="rId4432" ref="AV4433"/>
    <hyperlink r:id="rId4433" ref="AV4434"/>
    <hyperlink r:id="rId4434" ref="AV4435"/>
    <hyperlink r:id="rId4435" ref="AV4436"/>
    <hyperlink r:id="rId4436" ref="AV4437"/>
    <hyperlink r:id="rId4437" ref="AV4438"/>
    <hyperlink r:id="rId4438" ref="AV4439"/>
    <hyperlink r:id="rId4439" ref="AV4440"/>
    <hyperlink r:id="rId4440" ref="AV4441"/>
    <hyperlink r:id="rId4441" ref="AV4442"/>
    <hyperlink r:id="rId4442" ref="AV4443"/>
    <hyperlink r:id="rId4443" ref="AV4444"/>
    <hyperlink r:id="rId4444" ref="AV4445"/>
    <hyperlink r:id="rId4445" ref="AV4446"/>
    <hyperlink r:id="rId4446" ref="AV4447"/>
    <hyperlink r:id="rId4447" ref="AV4448"/>
    <hyperlink r:id="rId4448" ref="AV4449"/>
    <hyperlink r:id="rId4449" ref="AV4450"/>
    <hyperlink r:id="rId4450" ref="AV4451"/>
    <hyperlink r:id="rId4451" ref="AV4452"/>
    <hyperlink r:id="rId4452" ref="AV4453"/>
    <hyperlink r:id="rId4453" ref="AV4454"/>
    <hyperlink r:id="rId4454" ref="AV4455"/>
    <hyperlink r:id="rId4455" ref="AV4456"/>
    <hyperlink r:id="rId4456" ref="AV4457"/>
    <hyperlink r:id="rId4457" ref="AV4458"/>
    <hyperlink r:id="rId4458" ref="AV4459"/>
    <hyperlink r:id="rId4459" ref="AV4460"/>
    <hyperlink r:id="rId4460" ref="AV4461"/>
    <hyperlink r:id="rId4461" ref="AV4462"/>
    <hyperlink r:id="rId4462" ref="AV4463"/>
    <hyperlink r:id="rId4463" ref="AV4464"/>
    <hyperlink r:id="rId4464" ref="AV4465"/>
    <hyperlink r:id="rId4465" ref="AV4466"/>
    <hyperlink r:id="rId4466" ref="AV4467"/>
    <hyperlink r:id="rId4467" ref="AV4468"/>
    <hyperlink r:id="rId4468" ref="AV4469"/>
    <hyperlink r:id="rId4469" ref="AV4470"/>
    <hyperlink r:id="rId4470" ref="AV4471"/>
    <hyperlink r:id="rId4471" ref="AV4472"/>
    <hyperlink r:id="rId4472" ref="AV4473"/>
    <hyperlink r:id="rId4473" ref="AV4474"/>
    <hyperlink r:id="rId4474" ref="AV4475"/>
    <hyperlink r:id="rId4475" ref="AV4476"/>
    <hyperlink r:id="rId4476" ref="AV4477"/>
    <hyperlink r:id="rId4477" ref="AV4478"/>
    <hyperlink r:id="rId4478" ref="AV4479"/>
    <hyperlink r:id="rId4479" ref="AV4480"/>
    <hyperlink r:id="rId4480" ref="AV4481"/>
    <hyperlink r:id="rId4481" ref="AV4482"/>
    <hyperlink r:id="rId4482" ref="AV4483"/>
    <hyperlink r:id="rId4483" ref="AV4484"/>
    <hyperlink r:id="rId4484" ref="AV4485"/>
    <hyperlink r:id="rId4485" ref="AV4486"/>
    <hyperlink r:id="rId4486" ref="AV4487"/>
    <hyperlink r:id="rId4487" ref="AV4488"/>
    <hyperlink r:id="rId4488" ref="AV4489"/>
    <hyperlink r:id="rId4489" ref="AV4490"/>
    <hyperlink r:id="rId4490" ref="AV4491"/>
    <hyperlink r:id="rId4491" ref="AV4492"/>
    <hyperlink r:id="rId4492" ref="AV4493"/>
    <hyperlink r:id="rId4493" ref="AV4494"/>
    <hyperlink r:id="rId4494" ref="AV4495"/>
    <hyperlink r:id="rId4495" ref="AV4496"/>
    <hyperlink r:id="rId4496" ref="AV4497"/>
    <hyperlink r:id="rId4497" ref="AV4498"/>
    <hyperlink r:id="rId4498" ref="AV4499"/>
    <hyperlink r:id="rId4499" ref="AV4500"/>
    <hyperlink r:id="rId4500" ref="AV4501"/>
    <hyperlink r:id="rId4501" ref="AV4502"/>
    <hyperlink r:id="rId4502" ref="AV4503"/>
    <hyperlink r:id="rId4503" ref="AV4504"/>
    <hyperlink r:id="rId4504" ref="AV4505"/>
    <hyperlink r:id="rId4505" ref="AV4506"/>
    <hyperlink r:id="rId4506" ref="AV4507"/>
    <hyperlink r:id="rId4507" ref="AV4508"/>
    <hyperlink r:id="rId4508" ref="AV4509"/>
    <hyperlink r:id="rId4509" ref="AV4510"/>
    <hyperlink r:id="rId4510" ref="AV4511"/>
    <hyperlink r:id="rId4511" ref="AV4512"/>
    <hyperlink r:id="rId4512" ref="AV4513"/>
    <hyperlink r:id="rId4513" ref="AV4514"/>
    <hyperlink r:id="rId4514" ref="AV4515"/>
    <hyperlink r:id="rId4515" ref="AV4516"/>
    <hyperlink r:id="rId4516" ref="AV4517"/>
    <hyperlink r:id="rId4517" ref="AV4518"/>
    <hyperlink r:id="rId4518" ref="AV4519"/>
    <hyperlink r:id="rId4519" ref="AV4520"/>
    <hyperlink r:id="rId4520" ref="AV4521"/>
    <hyperlink r:id="rId4521" ref="AV4522"/>
    <hyperlink r:id="rId4522" ref="AV4523"/>
    <hyperlink r:id="rId4523" ref="AV4524"/>
    <hyperlink r:id="rId4524" ref="AV4525"/>
    <hyperlink r:id="rId4525" ref="AV4526"/>
    <hyperlink r:id="rId4526" ref="AV4527"/>
    <hyperlink r:id="rId4527" ref="AV4528"/>
    <hyperlink r:id="rId4528" ref="AV4529"/>
    <hyperlink r:id="rId4529" ref="AV4530"/>
    <hyperlink r:id="rId4530" ref="AV4531"/>
    <hyperlink r:id="rId4531" ref="AV4532"/>
    <hyperlink r:id="rId4532" ref="AV4533"/>
    <hyperlink r:id="rId4533" ref="AV4534"/>
    <hyperlink r:id="rId4534" ref="AV4535"/>
    <hyperlink r:id="rId4535" ref="AV4536"/>
    <hyperlink r:id="rId4536" ref="AV4537"/>
    <hyperlink r:id="rId4537" ref="AV4538"/>
    <hyperlink r:id="rId4538" ref="AV4539"/>
    <hyperlink r:id="rId4539" ref="AV4540"/>
    <hyperlink r:id="rId4540" ref="AV4541"/>
    <hyperlink r:id="rId4541" ref="AV4542"/>
    <hyperlink r:id="rId4542" ref="AV4543"/>
    <hyperlink r:id="rId4543" ref="AV4544"/>
    <hyperlink r:id="rId4544" ref="AV4545"/>
    <hyperlink r:id="rId4545" ref="AV4546"/>
    <hyperlink r:id="rId4546" ref="AV4547"/>
    <hyperlink r:id="rId4547" ref="AV4548"/>
    <hyperlink r:id="rId4548" ref="AV4549"/>
    <hyperlink r:id="rId4549" ref="AV4550"/>
    <hyperlink r:id="rId4550" ref="AV4551"/>
    <hyperlink r:id="rId4551" ref="AV4552"/>
    <hyperlink r:id="rId4552" ref="AV4553"/>
    <hyperlink r:id="rId4553" ref="AV4554"/>
    <hyperlink r:id="rId4554" ref="AV4555"/>
    <hyperlink r:id="rId4555" ref="AV4556"/>
    <hyperlink r:id="rId4556" ref="AV4557"/>
    <hyperlink r:id="rId4557" ref="AV4558"/>
    <hyperlink r:id="rId4558" ref="AV4559"/>
    <hyperlink r:id="rId4559" ref="AV4560"/>
    <hyperlink r:id="rId4560" ref="AV4561"/>
    <hyperlink r:id="rId4561" ref="AV4562"/>
    <hyperlink r:id="rId4562" ref="AV4563"/>
    <hyperlink r:id="rId4563" ref="AV4564"/>
    <hyperlink r:id="rId4564" ref="AV4565"/>
    <hyperlink r:id="rId4565" ref="AV4566"/>
    <hyperlink r:id="rId4566" ref="AV4567"/>
    <hyperlink r:id="rId4567" ref="AV4568"/>
    <hyperlink r:id="rId4568" ref="AV4569"/>
    <hyperlink r:id="rId4569" ref="AV4570"/>
    <hyperlink r:id="rId4570" ref="AV4571"/>
    <hyperlink r:id="rId4571" ref="AV4572"/>
    <hyperlink r:id="rId4572" ref="AV4573"/>
    <hyperlink r:id="rId4573" ref="AV4574"/>
    <hyperlink r:id="rId4574" ref="AV4575"/>
    <hyperlink r:id="rId4575" ref="AV4576"/>
    <hyperlink r:id="rId4576" ref="AV4577"/>
    <hyperlink r:id="rId4577" ref="AV4578"/>
    <hyperlink r:id="rId4578" ref="AV4579"/>
    <hyperlink r:id="rId4579" ref="AV4580"/>
    <hyperlink r:id="rId4580" ref="AV4581"/>
    <hyperlink r:id="rId4581" ref="AV4582"/>
    <hyperlink r:id="rId4582" ref="AV4583"/>
    <hyperlink r:id="rId4583" ref="AV4584"/>
    <hyperlink r:id="rId4584" ref="AV4585"/>
    <hyperlink r:id="rId4585" ref="AV4586"/>
    <hyperlink r:id="rId4586" ref="AV4587"/>
    <hyperlink r:id="rId4587" ref="AV4588"/>
    <hyperlink r:id="rId4588" ref="AV4589"/>
    <hyperlink r:id="rId4589" ref="AV4590"/>
    <hyperlink r:id="rId4590" ref="AV4591"/>
    <hyperlink r:id="rId4591" ref="AV4592"/>
    <hyperlink r:id="rId4592" ref="AV4593"/>
    <hyperlink r:id="rId4593" ref="AV4594"/>
    <hyperlink r:id="rId4594" ref="AV4595"/>
    <hyperlink r:id="rId4595" ref="AV4596"/>
    <hyperlink r:id="rId4596" ref="AV4597"/>
    <hyperlink r:id="rId4597" ref="AV4598"/>
    <hyperlink r:id="rId4598" ref="AV4599"/>
    <hyperlink r:id="rId4599" ref="AV4600"/>
    <hyperlink r:id="rId4600" ref="AV4601"/>
    <hyperlink r:id="rId4601" ref="AV4602"/>
    <hyperlink r:id="rId4602" ref="AV4603"/>
    <hyperlink r:id="rId4603" ref="AV4604"/>
    <hyperlink r:id="rId4604" ref="AV4605"/>
    <hyperlink r:id="rId4605" ref="AV4606"/>
    <hyperlink r:id="rId4606" ref="AV4607"/>
    <hyperlink r:id="rId4607" ref="AV4608"/>
    <hyperlink r:id="rId4608" ref="AV4609"/>
    <hyperlink r:id="rId4609" ref="AV4610"/>
    <hyperlink r:id="rId4610" ref="AV4611"/>
    <hyperlink r:id="rId4611" ref="AV4612"/>
    <hyperlink r:id="rId4612" ref="AV4613"/>
    <hyperlink r:id="rId4613" ref="AV4614"/>
    <hyperlink r:id="rId4614" ref="AV4615"/>
    <hyperlink r:id="rId4615" ref="AV4616"/>
    <hyperlink r:id="rId4616" ref="AV4617"/>
    <hyperlink r:id="rId4617" ref="AV4618"/>
    <hyperlink r:id="rId4618" ref="AV4619"/>
    <hyperlink r:id="rId4619" ref="AV4620"/>
    <hyperlink r:id="rId4620" ref="AV4621"/>
    <hyperlink r:id="rId4621" ref="AV4622"/>
    <hyperlink r:id="rId4622" ref="AV4623"/>
    <hyperlink r:id="rId4623" ref="AV4624"/>
    <hyperlink r:id="rId4624" ref="AV4625"/>
    <hyperlink r:id="rId4625" ref="AV4626"/>
    <hyperlink r:id="rId4626" ref="AV4627"/>
    <hyperlink r:id="rId4627" ref="AV4628"/>
    <hyperlink r:id="rId4628" ref="AV4629"/>
    <hyperlink r:id="rId4629" ref="AV4630"/>
    <hyperlink r:id="rId4630" ref="AV4631"/>
    <hyperlink r:id="rId4631" ref="AV4632"/>
    <hyperlink r:id="rId4632" ref="AV4633"/>
    <hyperlink r:id="rId4633" ref="AV4634"/>
    <hyperlink r:id="rId4634" ref="AV4635"/>
    <hyperlink r:id="rId4635" ref="AV4636"/>
    <hyperlink r:id="rId4636" ref="AV4637"/>
    <hyperlink r:id="rId4637" ref="AV4638"/>
    <hyperlink r:id="rId4638" ref="AV4639"/>
    <hyperlink r:id="rId4639" ref="AV4640"/>
    <hyperlink r:id="rId4640" ref="AV4641"/>
    <hyperlink r:id="rId4641" ref="AV4642"/>
    <hyperlink r:id="rId4642" ref="AV4643"/>
    <hyperlink r:id="rId4643" ref="AV4644"/>
    <hyperlink r:id="rId4644" ref="AV4645"/>
    <hyperlink r:id="rId4645" ref="AV4646"/>
    <hyperlink r:id="rId4646" ref="AV4647"/>
    <hyperlink r:id="rId4647" ref="AV4648"/>
    <hyperlink r:id="rId4648" ref="AV4649"/>
    <hyperlink r:id="rId4649" ref="AV4650"/>
    <hyperlink r:id="rId4650" ref="AV4651"/>
    <hyperlink r:id="rId4651" ref="AV4652"/>
    <hyperlink r:id="rId4652" ref="AV4653"/>
    <hyperlink r:id="rId4653" ref="AV4654"/>
    <hyperlink r:id="rId4654" ref="AV4655"/>
    <hyperlink r:id="rId4655" ref="AV4656"/>
    <hyperlink r:id="rId4656" ref="AV4657"/>
    <hyperlink r:id="rId4657" ref="AV4658"/>
    <hyperlink r:id="rId4658" ref="AV4659"/>
    <hyperlink r:id="rId4659" ref="AV4660"/>
    <hyperlink r:id="rId4660" ref="AV4661"/>
    <hyperlink r:id="rId4661" ref="AV4662"/>
    <hyperlink r:id="rId4662" ref="AV4663"/>
    <hyperlink r:id="rId4663" ref="AV4664"/>
    <hyperlink r:id="rId4664" ref="AV4665"/>
    <hyperlink r:id="rId4665" ref="AV4666"/>
    <hyperlink r:id="rId4666" ref="AV4667"/>
    <hyperlink r:id="rId4667" ref="AV4668"/>
    <hyperlink r:id="rId4668" ref="AV4669"/>
    <hyperlink r:id="rId4669" ref="AV4670"/>
    <hyperlink r:id="rId4670" ref="AV4671"/>
    <hyperlink r:id="rId4671" ref="AV4672"/>
    <hyperlink r:id="rId4672" ref="AV4673"/>
    <hyperlink r:id="rId4673" ref="AV4674"/>
    <hyperlink r:id="rId4674" ref="AV4675"/>
    <hyperlink r:id="rId4675" ref="AV4676"/>
    <hyperlink r:id="rId4676" ref="AV4677"/>
    <hyperlink r:id="rId4677" ref="AV4678"/>
    <hyperlink r:id="rId4678" ref="AV4679"/>
    <hyperlink r:id="rId4679" ref="AV4680"/>
    <hyperlink r:id="rId4680" ref="AV4681"/>
    <hyperlink r:id="rId4681" ref="AV4682"/>
    <hyperlink r:id="rId4682" ref="AV4683"/>
    <hyperlink r:id="rId4683" ref="AV4684"/>
    <hyperlink r:id="rId4684" ref="AV4685"/>
    <hyperlink r:id="rId4685" ref="AV4686"/>
    <hyperlink r:id="rId4686" ref="AV4687"/>
    <hyperlink r:id="rId4687" ref="AV4688"/>
    <hyperlink r:id="rId4688" ref="AV4689"/>
    <hyperlink r:id="rId4689" ref="AV4690"/>
    <hyperlink r:id="rId4690" ref="AV4691"/>
    <hyperlink r:id="rId4691" ref="AV4692"/>
    <hyperlink r:id="rId4692" ref="AV4693"/>
    <hyperlink r:id="rId4693" ref="AV4694"/>
    <hyperlink r:id="rId4694" ref="AV4695"/>
    <hyperlink r:id="rId4695" ref="AV4696"/>
    <hyperlink r:id="rId4696" ref="AV4697"/>
    <hyperlink r:id="rId4697" ref="AV4698"/>
    <hyperlink r:id="rId4698" ref="AV4699"/>
    <hyperlink r:id="rId4699" ref="AV4700"/>
    <hyperlink r:id="rId4700" ref="AV4701"/>
    <hyperlink r:id="rId4701" ref="AV4702"/>
    <hyperlink r:id="rId4702" ref="AV4703"/>
    <hyperlink r:id="rId4703" ref="AV4704"/>
    <hyperlink r:id="rId4704" ref="AV4705"/>
    <hyperlink r:id="rId4705" ref="AV4706"/>
    <hyperlink r:id="rId4706" ref="AV4707"/>
    <hyperlink r:id="rId4707" ref="AV4708"/>
    <hyperlink r:id="rId4708" ref="AV4709"/>
    <hyperlink r:id="rId4709" ref="AV4710"/>
    <hyperlink r:id="rId4710" ref="AV4711"/>
    <hyperlink r:id="rId4711" ref="AV4712"/>
    <hyperlink r:id="rId4712" ref="AV4713"/>
    <hyperlink r:id="rId4713" ref="AV4714"/>
    <hyperlink r:id="rId4714" ref="AV4715"/>
    <hyperlink r:id="rId4715" ref="AV4716"/>
    <hyperlink r:id="rId4716" ref="AV4717"/>
    <hyperlink r:id="rId4717" ref="AV4718"/>
    <hyperlink r:id="rId4718" ref="AV4719"/>
    <hyperlink r:id="rId4719" ref="AV4720"/>
    <hyperlink r:id="rId4720" ref="AV4721"/>
    <hyperlink r:id="rId4721" ref="AV4722"/>
    <hyperlink r:id="rId4722" ref="AV4723"/>
    <hyperlink r:id="rId4723" ref="AV4724"/>
    <hyperlink r:id="rId4724" ref="AV4725"/>
    <hyperlink r:id="rId4725" ref="AV4726"/>
    <hyperlink r:id="rId4726" ref="AV4727"/>
    <hyperlink r:id="rId4727" ref="AV4728"/>
    <hyperlink r:id="rId4728" ref="AV4729"/>
    <hyperlink r:id="rId4729" ref="AV4730"/>
    <hyperlink r:id="rId4730" ref="AV4731"/>
    <hyperlink r:id="rId4731" ref="AV4732"/>
    <hyperlink r:id="rId4732" ref="AV4733"/>
    <hyperlink r:id="rId4733" ref="AV4734"/>
    <hyperlink r:id="rId4734" ref="AV4735"/>
    <hyperlink r:id="rId4735" ref="AV4736"/>
    <hyperlink r:id="rId4736" ref="AV4737"/>
    <hyperlink r:id="rId4737" ref="AV4738"/>
    <hyperlink r:id="rId4738" ref="AV4739"/>
    <hyperlink r:id="rId4739" ref="AV4740"/>
    <hyperlink r:id="rId4740" ref="AV4741"/>
    <hyperlink r:id="rId4741" ref="AV4742"/>
    <hyperlink r:id="rId4742" ref="AV4743"/>
    <hyperlink r:id="rId4743" ref="AV4744"/>
    <hyperlink r:id="rId4744" ref="AV4745"/>
    <hyperlink r:id="rId4745" ref="AV4746"/>
    <hyperlink r:id="rId4746" ref="AV4747"/>
    <hyperlink r:id="rId4747" ref="AV4748"/>
    <hyperlink r:id="rId4748" ref="AV4749"/>
    <hyperlink r:id="rId4749" ref="AV4750"/>
    <hyperlink r:id="rId4750" ref="AV4751"/>
    <hyperlink r:id="rId4751" ref="AV4752"/>
    <hyperlink r:id="rId4752" ref="AV4753"/>
    <hyperlink r:id="rId4753" ref="AV4754"/>
    <hyperlink r:id="rId4754" ref="AV4755"/>
    <hyperlink r:id="rId4755" ref="AV4756"/>
    <hyperlink r:id="rId4756" ref="AV4757"/>
    <hyperlink r:id="rId4757" ref="AV4758"/>
    <hyperlink r:id="rId4758" ref="AV4759"/>
    <hyperlink r:id="rId4759" ref="AV4760"/>
    <hyperlink r:id="rId4760" ref="AV4761"/>
    <hyperlink r:id="rId4761" ref="AV4762"/>
    <hyperlink r:id="rId4762" ref="AV4763"/>
    <hyperlink r:id="rId4763" ref="AV4764"/>
    <hyperlink r:id="rId4764" ref="AV4765"/>
    <hyperlink r:id="rId4765" ref="AV4766"/>
    <hyperlink r:id="rId4766" ref="AV4767"/>
    <hyperlink r:id="rId4767" ref="AV4768"/>
    <hyperlink r:id="rId4768" ref="AV4769"/>
    <hyperlink r:id="rId4769" ref="AV4770"/>
    <hyperlink r:id="rId4770" ref="AV4771"/>
    <hyperlink r:id="rId4771" ref="AV4772"/>
    <hyperlink r:id="rId4772" ref="AV4773"/>
    <hyperlink r:id="rId4773" ref="AV4774"/>
    <hyperlink r:id="rId4774" ref="AV4775"/>
    <hyperlink r:id="rId4775" ref="AV4776"/>
    <hyperlink r:id="rId4776" ref="AV4777"/>
    <hyperlink r:id="rId4777" ref="AV4778"/>
    <hyperlink r:id="rId4778" ref="AV4779"/>
    <hyperlink r:id="rId4779" ref="AV4780"/>
    <hyperlink r:id="rId4780" ref="AV4781"/>
    <hyperlink r:id="rId4781" ref="AV4782"/>
    <hyperlink r:id="rId4782" ref="AV4783"/>
    <hyperlink r:id="rId4783" ref="AV4784"/>
    <hyperlink r:id="rId4784" ref="AV4785"/>
    <hyperlink r:id="rId4785" ref="AV4786"/>
    <hyperlink r:id="rId4786" ref="AV4787"/>
    <hyperlink r:id="rId4787" ref="AV4788"/>
    <hyperlink r:id="rId4788" ref="AV4789"/>
    <hyperlink r:id="rId4789" ref="AV4790"/>
    <hyperlink r:id="rId4790" ref="AV4791"/>
    <hyperlink r:id="rId4791" ref="AV4792"/>
    <hyperlink r:id="rId4792" ref="AV4793"/>
    <hyperlink r:id="rId4793" ref="AV4794"/>
    <hyperlink r:id="rId4794" ref="AV4795"/>
    <hyperlink r:id="rId4795" ref="AV4796"/>
    <hyperlink r:id="rId4796" ref="AV4797"/>
    <hyperlink r:id="rId4797" ref="AV4798"/>
    <hyperlink r:id="rId4798" ref="AV4799"/>
    <hyperlink r:id="rId4799" ref="AV4800"/>
    <hyperlink r:id="rId4800" ref="AV4801"/>
    <hyperlink r:id="rId4801" ref="AV4802"/>
    <hyperlink r:id="rId4802" ref="AV4803"/>
    <hyperlink r:id="rId4803" ref="AV4804"/>
    <hyperlink r:id="rId4804" ref="AV4805"/>
    <hyperlink r:id="rId4805" ref="AV4806"/>
    <hyperlink r:id="rId4806" ref="AV4807"/>
    <hyperlink r:id="rId4807" ref="AV4808"/>
    <hyperlink r:id="rId4808" ref="AV4809"/>
    <hyperlink r:id="rId4809" ref="AV4810"/>
    <hyperlink r:id="rId4810" ref="AV4811"/>
    <hyperlink r:id="rId4811" ref="AV4812"/>
    <hyperlink r:id="rId4812" ref="AV4813"/>
    <hyperlink r:id="rId4813" ref="AV4814"/>
    <hyperlink r:id="rId4814" ref="AV4815"/>
    <hyperlink r:id="rId4815" ref="AV4816"/>
    <hyperlink r:id="rId4816" ref="AV4817"/>
    <hyperlink r:id="rId4817" ref="AV4818"/>
    <hyperlink r:id="rId4818" ref="AV4819"/>
    <hyperlink r:id="rId4819" ref="AV4820"/>
    <hyperlink r:id="rId4820" ref="AV4821"/>
    <hyperlink r:id="rId4821" ref="AV4822"/>
    <hyperlink r:id="rId4822" ref="AV4823"/>
    <hyperlink r:id="rId4823" ref="AV4824"/>
    <hyperlink r:id="rId4824" ref="AV4825"/>
    <hyperlink r:id="rId4825" ref="AV4826"/>
    <hyperlink r:id="rId4826" ref="AV4827"/>
    <hyperlink r:id="rId4827" ref="AV4828"/>
    <hyperlink r:id="rId4828" ref="AV4829"/>
    <hyperlink r:id="rId4829" ref="AV4830"/>
    <hyperlink r:id="rId4830" ref="AV4831"/>
    <hyperlink r:id="rId4831" ref="AV4832"/>
    <hyperlink r:id="rId4832" ref="AV4833"/>
    <hyperlink r:id="rId4833" ref="AV4834"/>
    <hyperlink r:id="rId4834" ref="AV4835"/>
    <hyperlink r:id="rId4835" ref="AV4836"/>
    <hyperlink r:id="rId4836" ref="AV4837"/>
    <hyperlink r:id="rId4837" ref="AV4838"/>
    <hyperlink r:id="rId4838" ref="AV4839"/>
    <hyperlink r:id="rId4839" ref="AV4840"/>
    <hyperlink r:id="rId4840" ref="AV4841"/>
    <hyperlink r:id="rId4841" ref="AV4842"/>
    <hyperlink r:id="rId4842" ref="AV4843"/>
    <hyperlink r:id="rId4843" ref="AV4844"/>
    <hyperlink r:id="rId4844" ref="AV4845"/>
    <hyperlink r:id="rId4845" ref="AV4846"/>
    <hyperlink r:id="rId4846" ref="AV4847"/>
    <hyperlink r:id="rId4847" ref="AV4848"/>
    <hyperlink r:id="rId4848" ref="AV4849"/>
    <hyperlink r:id="rId4849" ref="AV4850"/>
    <hyperlink r:id="rId4850" ref="AV4851"/>
    <hyperlink r:id="rId4851" ref="AV4852"/>
    <hyperlink r:id="rId4852" ref="AV4853"/>
    <hyperlink r:id="rId4853" ref="AV4854"/>
    <hyperlink r:id="rId4854" ref="AV4855"/>
    <hyperlink r:id="rId4855" ref="AV4856"/>
    <hyperlink r:id="rId4856" ref="AV4857"/>
    <hyperlink r:id="rId4857" ref="AV4858"/>
    <hyperlink r:id="rId4858" ref="AV4859"/>
    <hyperlink r:id="rId4859" ref="AV4860"/>
    <hyperlink r:id="rId4860" ref="AV4861"/>
    <hyperlink r:id="rId4861" ref="AV4862"/>
    <hyperlink r:id="rId4862" ref="AV4863"/>
    <hyperlink r:id="rId4863" ref="AV4864"/>
    <hyperlink r:id="rId4864" ref="AV4865"/>
    <hyperlink r:id="rId4865" ref="AV4866"/>
    <hyperlink r:id="rId4866" ref="AV4867"/>
    <hyperlink r:id="rId4867" ref="AV4868"/>
    <hyperlink r:id="rId4868" ref="AV4869"/>
    <hyperlink r:id="rId4869" ref="AV4870"/>
    <hyperlink r:id="rId4870" ref="AV4871"/>
    <hyperlink r:id="rId4871" ref="AV4872"/>
    <hyperlink r:id="rId4872" ref="AV4873"/>
    <hyperlink r:id="rId4873" ref="AV4874"/>
    <hyperlink r:id="rId4874" ref="AV4875"/>
    <hyperlink r:id="rId4875" ref="AV4876"/>
    <hyperlink r:id="rId4876" ref="AV4877"/>
    <hyperlink r:id="rId4877" ref="AV4878"/>
    <hyperlink r:id="rId4878" ref="AV4879"/>
    <hyperlink r:id="rId4879" ref="AV4880"/>
    <hyperlink r:id="rId4880" ref="AV4881"/>
    <hyperlink r:id="rId4881" ref="AV4882"/>
    <hyperlink r:id="rId4882" ref="AV4883"/>
    <hyperlink r:id="rId4883" ref="AV4884"/>
    <hyperlink r:id="rId4884" ref="AV4885"/>
    <hyperlink r:id="rId4885" ref="AV4886"/>
    <hyperlink r:id="rId4886" ref="AV4887"/>
    <hyperlink r:id="rId4887" ref="AV4888"/>
    <hyperlink r:id="rId4888" ref="AV4889"/>
    <hyperlink r:id="rId4889" ref="AV4890"/>
    <hyperlink r:id="rId4890" ref="AV4891"/>
    <hyperlink r:id="rId4891" ref="AV4892"/>
    <hyperlink r:id="rId4892" ref="AV4893"/>
    <hyperlink r:id="rId4893" ref="AV4894"/>
    <hyperlink r:id="rId4894" ref="AV4895"/>
    <hyperlink r:id="rId4895" ref="AV4896"/>
    <hyperlink r:id="rId4896" ref="AV4897"/>
    <hyperlink r:id="rId4897" ref="AV4898"/>
    <hyperlink r:id="rId4898" ref="AV4899"/>
    <hyperlink r:id="rId4899" ref="AV4900"/>
    <hyperlink r:id="rId4900" ref="AV4901"/>
    <hyperlink r:id="rId4901" ref="AV4902"/>
    <hyperlink r:id="rId4902" ref="AV4903"/>
    <hyperlink r:id="rId4903" ref="AV4904"/>
    <hyperlink r:id="rId4904" ref="AV4905"/>
    <hyperlink r:id="rId4905" ref="AV4906"/>
    <hyperlink r:id="rId4906" ref="AV4907"/>
    <hyperlink r:id="rId4907" ref="AV4908"/>
    <hyperlink r:id="rId4908" ref="AV4909"/>
    <hyperlink r:id="rId4909" ref="AV4910"/>
    <hyperlink r:id="rId4910" ref="AV4911"/>
    <hyperlink r:id="rId4911" ref="AV4912"/>
    <hyperlink r:id="rId4912" ref="AV4913"/>
    <hyperlink r:id="rId4913" ref="AV4914"/>
    <hyperlink r:id="rId4914" ref="AV4915"/>
    <hyperlink r:id="rId4915" ref="AV4916"/>
    <hyperlink r:id="rId4916" ref="AV4917"/>
    <hyperlink r:id="rId4917" ref="AV4918"/>
    <hyperlink r:id="rId4918" ref="AV4919"/>
    <hyperlink r:id="rId4919" ref="AV4920"/>
    <hyperlink r:id="rId4920" ref="AV4921"/>
    <hyperlink r:id="rId4921" ref="AV4922"/>
    <hyperlink r:id="rId4922" ref="AV4923"/>
    <hyperlink r:id="rId4923" ref="AV4924"/>
    <hyperlink r:id="rId4924" ref="AV4925"/>
    <hyperlink r:id="rId4925" ref="AV4926"/>
    <hyperlink r:id="rId4926" ref="AV4927"/>
    <hyperlink r:id="rId4927" ref="AV4928"/>
    <hyperlink r:id="rId4928" ref="AV4929"/>
    <hyperlink r:id="rId4929" ref="AV4930"/>
    <hyperlink r:id="rId4930" ref="AV4931"/>
    <hyperlink r:id="rId4931" ref="AV4932"/>
    <hyperlink r:id="rId4932" ref="AV4933"/>
    <hyperlink r:id="rId4933" ref="AV4934"/>
    <hyperlink r:id="rId4934" ref="AV4935"/>
    <hyperlink r:id="rId4935" ref="AV4936"/>
    <hyperlink r:id="rId4936" ref="AV4937"/>
    <hyperlink r:id="rId4937" ref="AV4938"/>
    <hyperlink r:id="rId4938" ref="AV4939"/>
    <hyperlink r:id="rId4939" ref="AV4940"/>
    <hyperlink r:id="rId4940" ref="AV4941"/>
    <hyperlink r:id="rId4941" ref="AV4942"/>
    <hyperlink r:id="rId4942" ref="AV4943"/>
    <hyperlink r:id="rId4943" ref="AV4944"/>
    <hyperlink r:id="rId4944" ref="AV4945"/>
    <hyperlink r:id="rId4945" ref="AV4946"/>
    <hyperlink r:id="rId4946" ref="AV4947"/>
    <hyperlink r:id="rId4947" ref="AV4948"/>
    <hyperlink r:id="rId4948" ref="AV4949"/>
    <hyperlink r:id="rId4949" ref="AV4950"/>
    <hyperlink r:id="rId4950" ref="AV4951"/>
    <hyperlink r:id="rId4951" ref="AV4952"/>
    <hyperlink r:id="rId4952" ref="AV4953"/>
    <hyperlink r:id="rId4953" ref="AV4954"/>
    <hyperlink r:id="rId4954" ref="AV4955"/>
    <hyperlink r:id="rId4955" ref="AV4956"/>
    <hyperlink r:id="rId4956" ref="AV4957"/>
    <hyperlink r:id="rId4957" ref="AV4958"/>
    <hyperlink r:id="rId4958" ref="AV4959"/>
    <hyperlink r:id="rId4959" ref="AV4960"/>
    <hyperlink r:id="rId4960" ref="AV4961"/>
    <hyperlink r:id="rId4961" ref="AV4962"/>
    <hyperlink r:id="rId4962" ref="AV4963"/>
    <hyperlink r:id="rId4963" ref="AV4964"/>
    <hyperlink r:id="rId4964" ref="AV4965"/>
    <hyperlink r:id="rId4965" ref="AV4966"/>
    <hyperlink r:id="rId4966" ref="AV4967"/>
    <hyperlink r:id="rId4967" ref="AV4968"/>
    <hyperlink r:id="rId4968" ref="AV4969"/>
    <hyperlink r:id="rId4969" ref="AV4970"/>
    <hyperlink r:id="rId4970" ref="AV4971"/>
    <hyperlink r:id="rId4971" ref="AV4972"/>
    <hyperlink r:id="rId4972" ref="AV4973"/>
    <hyperlink r:id="rId4973" ref="AV4974"/>
    <hyperlink r:id="rId4974" ref="AV4975"/>
    <hyperlink r:id="rId4975" ref="AV4976"/>
    <hyperlink r:id="rId4976" ref="AV4977"/>
    <hyperlink r:id="rId4977" ref="AV4978"/>
    <hyperlink r:id="rId4978" ref="AV4979"/>
    <hyperlink r:id="rId4979" ref="AV4980"/>
    <hyperlink r:id="rId4980" ref="AV4981"/>
    <hyperlink r:id="rId4981" ref="AV4982"/>
    <hyperlink r:id="rId4982" ref="AV4983"/>
    <hyperlink r:id="rId4983" ref="AV4984"/>
    <hyperlink r:id="rId4984" ref="AV4985"/>
    <hyperlink r:id="rId4985" ref="AV4986"/>
    <hyperlink r:id="rId4986" ref="AV4987"/>
    <hyperlink r:id="rId4987" ref="AV4988"/>
    <hyperlink r:id="rId4988" ref="AV4989"/>
    <hyperlink r:id="rId4989" ref="AV4990"/>
    <hyperlink r:id="rId4990" ref="AV4991"/>
    <hyperlink r:id="rId4991" ref="AV4992"/>
    <hyperlink r:id="rId4992" ref="AV4993"/>
    <hyperlink r:id="rId4993" ref="AV4994"/>
    <hyperlink r:id="rId4994" ref="AV4995"/>
    <hyperlink r:id="rId4995" ref="AV4996"/>
    <hyperlink r:id="rId4996" ref="AV4997"/>
    <hyperlink r:id="rId4997" ref="AV4998"/>
    <hyperlink r:id="rId4998" ref="AV4999"/>
    <hyperlink r:id="rId4999" ref="AV5000"/>
    <hyperlink r:id="rId5000" ref="AV5001"/>
    <hyperlink r:id="rId5001" ref="AV5002"/>
    <hyperlink r:id="rId5002" ref="AV5003"/>
    <hyperlink r:id="rId5003" ref="AV5004"/>
    <hyperlink r:id="rId5004" ref="AV5005"/>
    <hyperlink r:id="rId5005" ref="AV5006"/>
    <hyperlink r:id="rId5006" ref="AV5007"/>
    <hyperlink r:id="rId5007" ref="AV5008"/>
    <hyperlink r:id="rId5008" ref="AV5009"/>
    <hyperlink r:id="rId5009" ref="AV5010"/>
    <hyperlink r:id="rId5010" ref="AV5011"/>
    <hyperlink r:id="rId5011" ref="AV5012"/>
    <hyperlink r:id="rId5012" ref="AV5013"/>
    <hyperlink r:id="rId5013" ref="AV5014"/>
    <hyperlink r:id="rId5014" ref="AV5015"/>
    <hyperlink r:id="rId5015" ref="AV5016"/>
    <hyperlink r:id="rId5016" ref="AV5017"/>
    <hyperlink r:id="rId5017" ref="AV5018"/>
    <hyperlink r:id="rId5018" ref="AV5019"/>
    <hyperlink r:id="rId5019" ref="AV5020"/>
    <hyperlink r:id="rId5020" ref="AV5021"/>
    <hyperlink r:id="rId5021" ref="AV5022"/>
    <hyperlink r:id="rId5022" ref="AV5023"/>
    <hyperlink r:id="rId5023" ref="AV5024"/>
    <hyperlink r:id="rId5024" ref="AV5025"/>
    <hyperlink r:id="rId5025" ref="AV5026"/>
    <hyperlink r:id="rId5026" ref="AV5027"/>
    <hyperlink r:id="rId5027" ref="AV5028"/>
    <hyperlink r:id="rId5028" ref="AV5029"/>
    <hyperlink r:id="rId5029" ref="AV5030"/>
    <hyperlink r:id="rId5030" ref="AV5031"/>
    <hyperlink r:id="rId5031" ref="AV5032"/>
    <hyperlink r:id="rId5032" ref="AV5033"/>
    <hyperlink r:id="rId5033" ref="AV5034"/>
    <hyperlink r:id="rId5034" ref="AV5035"/>
    <hyperlink r:id="rId5035" ref="AV5036"/>
    <hyperlink r:id="rId5036" ref="AV5037"/>
    <hyperlink r:id="rId5037" ref="AV5038"/>
    <hyperlink r:id="rId5038" ref="AV5039"/>
    <hyperlink r:id="rId5039" ref="AV5040"/>
    <hyperlink r:id="rId5040" ref="AV5041"/>
    <hyperlink r:id="rId5041" ref="AV5042"/>
    <hyperlink r:id="rId5042" ref="AV5043"/>
    <hyperlink r:id="rId5043" ref="AV5044"/>
    <hyperlink r:id="rId5044" ref="AV5045"/>
    <hyperlink r:id="rId5045" ref="AV5046"/>
    <hyperlink r:id="rId5046" ref="AV5047"/>
    <hyperlink r:id="rId5047" ref="AV5048"/>
    <hyperlink r:id="rId5048" ref="AV5049"/>
    <hyperlink r:id="rId5049" ref="AV5050"/>
    <hyperlink r:id="rId5050" ref="AV5051"/>
    <hyperlink r:id="rId5051" ref="AV5052"/>
    <hyperlink r:id="rId5052" ref="AV5053"/>
    <hyperlink r:id="rId5053" ref="AV5054"/>
    <hyperlink r:id="rId5054" ref="AV5055"/>
    <hyperlink r:id="rId5055" ref="AV5056"/>
    <hyperlink r:id="rId5056" ref="AV5057"/>
    <hyperlink r:id="rId5057" ref="AV5058"/>
    <hyperlink r:id="rId5058" ref="AV5059"/>
    <hyperlink r:id="rId5059" ref="AV5060"/>
    <hyperlink r:id="rId5060" ref="AV5061"/>
    <hyperlink r:id="rId5061" ref="AV5062"/>
    <hyperlink r:id="rId5062" ref="AV5063"/>
    <hyperlink r:id="rId5063" ref="AV5064"/>
    <hyperlink r:id="rId5064" ref="AV5065"/>
    <hyperlink r:id="rId5065" ref="AV5066"/>
    <hyperlink r:id="rId5066" ref="AV5067"/>
    <hyperlink r:id="rId5067" ref="AV5068"/>
    <hyperlink r:id="rId5068" ref="AV5069"/>
    <hyperlink r:id="rId5069" ref="AV5070"/>
    <hyperlink r:id="rId5070" ref="AV5071"/>
    <hyperlink r:id="rId5071" ref="AV5072"/>
    <hyperlink r:id="rId5072" ref="AV5073"/>
    <hyperlink r:id="rId5073" ref="AV5074"/>
    <hyperlink r:id="rId5074" ref="AV5075"/>
    <hyperlink r:id="rId5075" ref="AV5076"/>
    <hyperlink r:id="rId5076" ref="AV5077"/>
    <hyperlink r:id="rId5077" ref="AV5078"/>
    <hyperlink r:id="rId5078" ref="AV5079"/>
    <hyperlink r:id="rId5079" ref="AV5080"/>
    <hyperlink r:id="rId5080" ref="AV5081"/>
    <hyperlink r:id="rId5081" ref="AV5082"/>
    <hyperlink r:id="rId5082" ref="AV5083"/>
    <hyperlink r:id="rId5083" ref="AV5084"/>
    <hyperlink r:id="rId5084" ref="AV5085"/>
    <hyperlink r:id="rId5085" ref="AV5086"/>
    <hyperlink r:id="rId5086" ref="AV5087"/>
    <hyperlink r:id="rId5087" ref="AV5088"/>
    <hyperlink r:id="rId5088" ref="AV5089"/>
    <hyperlink r:id="rId5089" ref="AV5090"/>
    <hyperlink r:id="rId5090" ref="AV5091"/>
    <hyperlink r:id="rId5091" ref="AV5092"/>
    <hyperlink r:id="rId5092" ref="AV5093"/>
    <hyperlink r:id="rId5093" ref="AV5094"/>
    <hyperlink r:id="rId5094" ref="AV5095"/>
    <hyperlink r:id="rId5095" ref="AV5096"/>
    <hyperlink r:id="rId5096" ref="AV5097"/>
    <hyperlink r:id="rId5097" ref="AV5098"/>
    <hyperlink r:id="rId5098" ref="AV5099"/>
    <hyperlink r:id="rId5099" ref="AV5100"/>
    <hyperlink r:id="rId5100" ref="AV5101"/>
    <hyperlink r:id="rId5101" ref="AV5102"/>
    <hyperlink r:id="rId5102" ref="AV5103"/>
    <hyperlink r:id="rId5103" ref="AV5104"/>
    <hyperlink r:id="rId5104" ref="AV5105"/>
    <hyperlink r:id="rId5105" ref="AV5106"/>
    <hyperlink r:id="rId5106" ref="AV5107"/>
    <hyperlink r:id="rId5107" ref="AV5108"/>
    <hyperlink r:id="rId5108" ref="AV5109"/>
    <hyperlink r:id="rId5109" ref="AV5110"/>
    <hyperlink r:id="rId5110" ref="AV5111"/>
    <hyperlink r:id="rId5111" ref="AV5112"/>
    <hyperlink r:id="rId5112" ref="AV5113"/>
    <hyperlink r:id="rId5113" ref="AV5114"/>
    <hyperlink r:id="rId5114" ref="AV5115"/>
    <hyperlink r:id="rId5115" ref="AV5116"/>
    <hyperlink r:id="rId5116" ref="AV5117"/>
    <hyperlink r:id="rId5117" ref="AV5118"/>
    <hyperlink r:id="rId5118" ref="AV5119"/>
    <hyperlink r:id="rId5119" ref="AV5120"/>
    <hyperlink r:id="rId5120" ref="AV5121"/>
    <hyperlink r:id="rId5121" ref="AV5122"/>
    <hyperlink r:id="rId5122" ref="AV5123"/>
    <hyperlink r:id="rId5123" ref="AV5124"/>
    <hyperlink r:id="rId5124" ref="AV5125"/>
    <hyperlink r:id="rId5125" ref="AV5126"/>
    <hyperlink r:id="rId5126" ref="AV5127"/>
    <hyperlink r:id="rId5127" ref="AV5128"/>
    <hyperlink r:id="rId5128" ref="AV5129"/>
    <hyperlink r:id="rId5129" ref="AV5130"/>
    <hyperlink r:id="rId5130" ref="AV5131"/>
    <hyperlink r:id="rId5131" ref="AV5132"/>
    <hyperlink r:id="rId5132" ref="AV5133"/>
    <hyperlink r:id="rId5133" ref="AV5134"/>
    <hyperlink r:id="rId5134" ref="AV5135"/>
    <hyperlink r:id="rId5135" ref="AV5136"/>
    <hyperlink r:id="rId5136" ref="AV5137"/>
    <hyperlink r:id="rId5137" ref="AV5138"/>
    <hyperlink r:id="rId5138" ref="AV5139"/>
    <hyperlink r:id="rId5139" ref="AV5140"/>
    <hyperlink r:id="rId5140" ref="AV5141"/>
    <hyperlink r:id="rId5141" ref="AV5142"/>
    <hyperlink r:id="rId5142" ref="AV5143"/>
    <hyperlink r:id="rId5143" ref="AV5144"/>
    <hyperlink r:id="rId5144" ref="AV5145"/>
    <hyperlink r:id="rId5145" ref="AV5146"/>
    <hyperlink r:id="rId5146" ref="AV5147"/>
    <hyperlink r:id="rId5147" ref="AV5148"/>
    <hyperlink r:id="rId5148" ref="AV5149"/>
    <hyperlink r:id="rId5149" ref="AV5150"/>
    <hyperlink r:id="rId5150" ref="AV5151"/>
    <hyperlink r:id="rId5151" ref="AV5152"/>
    <hyperlink r:id="rId5152" ref="AV5153"/>
    <hyperlink r:id="rId5153" ref="AV5154"/>
    <hyperlink r:id="rId5154" ref="AV5155"/>
    <hyperlink r:id="rId5155" ref="AV5156"/>
    <hyperlink r:id="rId5156" ref="AV5157"/>
    <hyperlink r:id="rId5157" ref="AV5158"/>
    <hyperlink r:id="rId5158" ref="AV5159"/>
    <hyperlink r:id="rId5159" ref="AV5160"/>
    <hyperlink r:id="rId5160" ref="AV5161"/>
    <hyperlink r:id="rId5161" ref="AV5162"/>
    <hyperlink r:id="rId5162" ref="AV5163"/>
    <hyperlink r:id="rId5163" ref="AV5164"/>
    <hyperlink r:id="rId5164" ref="AV5165"/>
    <hyperlink r:id="rId5165" ref="AV5166"/>
    <hyperlink r:id="rId5166" ref="AV5167"/>
    <hyperlink r:id="rId5167" ref="AV5168"/>
    <hyperlink r:id="rId5168" ref="AV5169"/>
    <hyperlink r:id="rId5169" ref="AV5170"/>
    <hyperlink r:id="rId5170" ref="AV5171"/>
    <hyperlink r:id="rId5171" ref="AV5172"/>
    <hyperlink r:id="rId5172" ref="AV5173"/>
    <hyperlink r:id="rId5173" ref="AV5174"/>
    <hyperlink r:id="rId5174" ref="AV5175"/>
    <hyperlink r:id="rId5175" ref="AV5176"/>
    <hyperlink r:id="rId5176" ref="AV5177"/>
    <hyperlink r:id="rId5177" ref="AV5178"/>
    <hyperlink r:id="rId5178" ref="AV5179"/>
    <hyperlink r:id="rId5179" ref="AV5180"/>
    <hyperlink r:id="rId5180" ref="AV5181"/>
    <hyperlink r:id="rId5181" ref="AV5182"/>
    <hyperlink r:id="rId5182" ref="AV5183"/>
    <hyperlink r:id="rId5183" ref="AV5184"/>
    <hyperlink r:id="rId5184" ref="AV5185"/>
    <hyperlink r:id="rId5185" ref="AV5186"/>
    <hyperlink r:id="rId5186" ref="AV5187"/>
    <hyperlink r:id="rId5187" ref="AV5188"/>
    <hyperlink r:id="rId5188" ref="AV5189"/>
    <hyperlink r:id="rId5189" ref="AV5190"/>
    <hyperlink r:id="rId5190" ref="AV5191"/>
    <hyperlink r:id="rId5191" ref="AV5192"/>
    <hyperlink r:id="rId5192" ref="AV5193"/>
    <hyperlink r:id="rId5193" ref="AV5194"/>
    <hyperlink r:id="rId5194" ref="AV5195"/>
    <hyperlink r:id="rId5195" ref="AV5196"/>
    <hyperlink r:id="rId5196" ref="AV5197"/>
    <hyperlink r:id="rId5197" ref="AV5198"/>
    <hyperlink r:id="rId5198" ref="AV5199"/>
    <hyperlink r:id="rId5199" ref="AV5200"/>
    <hyperlink r:id="rId5200" ref="AV5201"/>
    <hyperlink r:id="rId5201" ref="AV5202"/>
    <hyperlink r:id="rId5202" ref="AV5203"/>
    <hyperlink r:id="rId5203" ref="AV5204"/>
    <hyperlink r:id="rId5204" ref="AV5205"/>
    <hyperlink r:id="rId5205" ref="AV5206"/>
    <hyperlink r:id="rId5206" ref="AV5207"/>
    <hyperlink r:id="rId5207" ref="AV5208"/>
    <hyperlink r:id="rId5208" ref="AV5209"/>
    <hyperlink r:id="rId5209" ref="AV5210"/>
    <hyperlink r:id="rId5210" ref="AV5211"/>
    <hyperlink r:id="rId5211" ref="AV5212"/>
    <hyperlink r:id="rId5212" ref="AV5213"/>
    <hyperlink r:id="rId5213" ref="AV5214"/>
    <hyperlink r:id="rId5214" ref="AV5215"/>
    <hyperlink r:id="rId5215" ref="AV5216"/>
    <hyperlink r:id="rId5216" ref="AV5217"/>
    <hyperlink r:id="rId5217" ref="AV5218"/>
    <hyperlink r:id="rId5218" ref="AV5219"/>
    <hyperlink r:id="rId5219" ref="AV5220"/>
    <hyperlink r:id="rId5220" ref="AV5221"/>
    <hyperlink r:id="rId5221" ref="AV5222"/>
    <hyperlink r:id="rId5222" ref="AV5223"/>
    <hyperlink r:id="rId5223" ref="AV5224"/>
    <hyperlink r:id="rId5224" ref="AV5225"/>
    <hyperlink r:id="rId5225" ref="AV5226"/>
    <hyperlink r:id="rId5226" ref="AV5227"/>
    <hyperlink r:id="rId5227" ref="AV5228"/>
    <hyperlink r:id="rId5228" ref="AV5229"/>
    <hyperlink r:id="rId5229" ref="AV5230"/>
    <hyperlink r:id="rId5230" ref="AV5231"/>
    <hyperlink r:id="rId5231" ref="AV5232"/>
    <hyperlink r:id="rId5232" ref="AV5233"/>
    <hyperlink r:id="rId5233" ref="AV5234"/>
    <hyperlink r:id="rId5234" ref="AV5235"/>
    <hyperlink r:id="rId5235" ref="AV5236"/>
    <hyperlink r:id="rId5236" ref="AV5237"/>
    <hyperlink r:id="rId5237" ref="AV5238"/>
    <hyperlink r:id="rId5238" ref="AV5239"/>
    <hyperlink r:id="rId5239" ref="AV5240"/>
    <hyperlink r:id="rId5240" ref="AV5241"/>
    <hyperlink r:id="rId5241" ref="AV5242"/>
    <hyperlink r:id="rId5242" ref="AV5243"/>
    <hyperlink r:id="rId5243" ref="AV5244"/>
    <hyperlink r:id="rId5244" ref="AV5245"/>
    <hyperlink r:id="rId5245" ref="AV5246"/>
    <hyperlink r:id="rId5246" ref="AV5247"/>
    <hyperlink r:id="rId5247" ref="AV5248"/>
    <hyperlink r:id="rId5248" ref="AV5249"/>
    <hyperlink r:id="rId5249" ref="AV5250"/>
    <hyperlink r:id="rId5250" ref="AV5251"/>
    <hyperlink r:id="rId5251" ref="AV5252"/>
    <hyperlink r:id="rId5252" ref="AV5253"/>
    <hyperlink r:id="rId5253" ref="AV5254"/>
    <hyperlink r:id="rId5254" ref="AV5255"/>
    <hyperlink r:id="rId5255" ref="AV5256"/>
    <hyperlink r:id="rId5256" ref="AV5257"/>
    <hyperlink r:id="rId5257" ref="AV5258"/>
    <hyperlink r:id="rId5258" ref="AV5259"/>
    <hyperlink r:id="rId5259" ref="AV5260"/>
    <hyperlink r:id="rId5260" ref="AV5261"/>
    <hyperlink r:id="rId5261" ref="AV5262"/>
    <hyperlink r:id="rId5262" ref="AV5263"/>
    <hyperlink r:id="rId5263" ref="AV5264"/>
    <hyperlink r:id="rId5264" ref="AV5265"/>
    <hyperlink r:id="rId5265" ref="AV5266"/>
    <hyperlink r:id="rId5266" ref="AV5267"/>
    <hyperlink r:id="rId5267" ref="AV5268"/>
    <hyperlink r:id="rId5268" ref="AV5269"/>
    <hyperlink r:id="rId5269" ref="AV5270"/>
    <hyperlink r:id="rId5270" ref="AV5271"/>
    <hyperlink r:id="rId5271" ref="AV5272"/>
    <hyperlink r:id="rId5272" ref="AV5273"/>
    <hyperlink r:id="rId5273" ref="AV5274"/>
    <hyperlink r:id="rId5274" ref="AV5275"/>
    <hyperlink r:id="rId5275" ref="AV5276"/>
    <hyperlink r:id="rId5276" ref="AV5277"/>
    <hyperlink r:id="rId5277" ref="AV5278"/>
    <hyperlink r:id="rId5278" ref="AV5279"/>
    <hyperlink r:id="rId5279" ref="AV5280"/>
    <hyperlink r:id="rId5280" ref="AV5281"/>
    <hyperlink r:id="rId5281" ref="AV5282"/>
    <hyperlink r:id="rId5282" ref="AV5283"/>
    <hyperlink r:id="rId5283" ref="AV5284"/>
    <hyperlink r:id="rId5284" ref="AV5285"/>
    <hyperlink r:id="rId5285" ref="AV5286"/>
    <hyperlink r:id="rId5286" ref="AV5287"/>
    <hyperlink r:id="rId5287" ref="AV5288"/>
    <hyperlink r:id="rId5288" ref="AV5289"/>
    <hyperlink r:id="rId5289" ref="AV5290"/>
    <hyperlink r:id="rId5290" ref="AV5291"/>
    <hyperlink r:id="rId5291" ref="AV5292"/>
    <hyperlink r:id="rId5292" ref="AV5293"/>
    <hyperlink r:id="rId5293" ref="AV5294"/>
    <hyperlink r:id="rId5294" ref="AV5295"/>
    <hyperlink r:id="rId5295" ref="AV5296"/>
    <hyperlink r:id="rId5296" ref="AV5297"/>
    <hyperlink r:id="rId5297" ref="AV5298"/>
    <hyperlink r:id="rId5298" ref="AV5299"/>
    <hyperlink r:id="rId5299" ref="AV5300"/>
    <hyperlink r:id="rId5300" ref="AV5301"/>
    <hyperlink r:id="rId5301" ref="AV5302"/>
    <hyperlink r:id="rId5302" ref="AV5303"/>
    <hyperlink r:id="rId5303" ref="AV5304"/>
    <hyperlink r:id="rId5304" ref="AV5305"/>
    <hyperlink r:id="rId5305" ref="AV5306"/>
    <hyperlink r:id="rId5306" ref="AV5307"/>
    <hyperlink r:id="rId5307" ref="AV5308"/>
    <hyperlink r:id="rId5308" ref="AV5309"/>
    <hyperlink r:id="rId5309" ref="AV5310"/>
    <hyperlink r:id="rId5310" ref="AV5311"/>
    <hyperlink r:id="rId5311" ref="AV5312"/>
    <hyperlink r:id="rId5312" ref="AV5313"/>
    <hyperlink r:id="rId5313" ref="AV5314"/>
    <hyperlink r:id="rId5314" ref="AV5315"/>
    <hyperlink r:id="rId5315" ref="AV5316"/>
    <hyperlink r:id="rId5316" ref="AV5317"/>
    <hyperlink r:id="rId5317" ref="AV5318"/>
    <hyperlink r:id="rId5318" ref="AV5319"/>
    <hyperlink r:id="rId5319" ref="AV5320"/>
    <hyperlink r:id="rId5320" ref="AV5321"/>
    <hyperlink r:id="rId5321" ref="AV5322"/>
    <hyperlink r:id="rId5322" ref="AV5323"/>
    <hyperlink r:id="rId5323" ref="AV5324"/>
    <hyperlink r:id="rId5324" ref="AV5325"/>
    <hyperlink r:id="rId5325" ref="AV5326"/>
    <hyperlink r:id="rId5326" ref="AV5327"/>
    <hyperlink r:id="rId5327" ref="AV5328"/>
    <hyperlink r:id="rId5328" ref="AV5329"/>
    <hyperlink r:id="rId5329" ref="AV5330"/>
    <hyperlink r:id="rId5330" ref="AV5331"/>
    <hyperlink r:id="rId5331" ref="AV5332"/>
    <hyperlink r:id="rId5332" ref="AV5333"/>
    <hyperlink r:id="rId5333" ref="AV5334"/>
    <hyperlink r:id="rId5334" ref="AV5335"/>
    <hyperlink r:id="rId5335" ref="AV5336"/>
    <hyperlink r:id="rId5336" ref="AV5337"/>
    <hyperlink r:id="rId5337" ref="AV5338"/>
    <hyperlink r:id="rId5338" ref="AV5339"/>
    <hyperlink r:id="rId5339" ref="AV5340"/>
    <hyperlink r:id="rId5340" ref="AV5341"/>
    <hyperlink r:id="rId5341" ref="AV5342"/>
    <hyperlink r:id="rId5342" ref="AV5343"/>
    <hyperlink r:id="rId5343" ref="AV5344"/>
    <hyperlink r:id="rId5344" ref="AV5345"/>
    <hyperlink r:id="rId5345" ref="AV5346"/>
    <hyperlink r:id="rId5346" ref="AV5347"/>
    <hyperlink r:id="rId5347" ref="AV5348"/>
    <hyperlink r:id="rId5348" ref="AV5349"/>
    <hyperlink r:id="rId5349" ref="AV5350"/>
    <hyperlink r:id="rId5350" ref="AV5351"/>
    <hyperlink r:id="rId5351" ref="AV5352"/>
    <hyperlink r:id="rId5352" ref="AV5353"/>
    <hyperlink r:id="rId5353" ref="AV5354"/>
    <hyperlink r:id="rId5354" ref="AV5355"/>
    <hyperlink r:id="rId5355" ref="AV5356"/>
    <hyperlink r:id="rId5356" ref="AV5357"/>
    <hyperlink r:id="rId5357" ref="AV5358"/>
    <hyperlink r:id="rId5358" ref="AV5359"/>
    <hyperlink r:id="rId5359" ref="AV5360"/>
    <hyperlink r:id="rId5360" ref="AV5361"/>
    <hyperlink r:id="rId5361" ref="AV5362"/>
    <hyperlink r:id="rId5362" ref="AV5363"/>
    <hyperlink r:id="rId5363" ref="AV5364"/>
    <hyperlink r:id="rId5364" ref="AV5365"/>
    <hyperlink r:id="rId5365" ref="AV5366"/>
    <hyperlink r:id="rId5366" ref="AV5367"/>
    <hyperlink r:id="rId5367" ref="AV5368"/>
    <hyperlink r:id="rId5368" ref="AV5369"/>
    <hyperlink r:id="rId5369" ref="AV5370"/>
    <hyperlink r:id="rId5370" ref="AV5371"/>
    <hyperlink r:id="rId5371" ref="AV5372"/>
    <hyperlink r:id="rId5372" ref="AV5373"/>
    <hyperlink r:id="rId5373" ref="AV5374"/>
    <hyperlink r:id="rId5374" ref="AV5375"/>
    <hyperlink r:id="rId5375" ref="AV5376"/>
    <hyperlink r:id="rId5376" ref="AV5377"/>
    <hyperlink r:id="rId5377" ref="AV5378"/>
    <hyperlink r:id="rId5378" ref="AV5379"/>
    <hyperlink r:id="rId5379" ref="AV5380"/>
    <hyperlink r:id="rId5380" ref="AV5381"/>
    <hyperlink r:id="rId5381" ref="AV5382"/>
    <hyperlink r:id="rId5382" ref="AV5383"/>
    <hyperlink r:id="rId5383" ref="AV5384"/>
    <hyperlink r:id="rId5384" ref="AV5385"/>
    <hyperlink r:id="rId5385" ref="AV5386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538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2.71"/>
    <col customWidth="1" min="2" max="2" width="14.29"/>
    <col customWidth="1" min="3" max="3" width="166.43"/>
    <col customWidth="1" min="4" max="4" width="25.14"/>
    <col customWidth="1" min="5" max="5" width="17.0"/>
    <col customWidth="1" min="6" max="6" width="19.86"/>
    <col customWidth="1" min="7" max="7" width="21.57"/>
    <col customWidth="1" min="8" max="8" width="26.71"/>
    <col customWidth="1" min="9" max="9" width="19.86"/>
    <col customWidth="1" min="10" max="10" width="25.0"/>
    <col customWidth="1" min="11" max="11" width="15.57"/>
    <col customWidth="1" min="12" max="12" width="20.71"/>
    <col customWidth="1" min="13" max="48" width="8.71"/>
  </cols>
  <sheetData>
    <row r="1">
      <c r="A1" s="226" t="s">
        <v>189</v>
      </c>
      <c r="B1" s="226" t="s">
        <v>190</v>
      </c>
      <c r="C1" s="226" t="s">
        <v>69</v>
      </c>
      <c r="D1" s="226" t="s">
        <v>59</v>
      </c>
      <c r="E1" s="226" t="s">
        <v>191</v>
      </c>
      <c r="F1" s="226" t="s">
        <v>192</v>
      </c>
      <c r="G1" s="226" t="s">
        <v>193</v>
      </c>
      <c r="H1" s="226" t="s">
        <v>194</v>
      </c>
      <c r="I1" s="226" t="s">
        <v>195</v>
      </c>
      <c r="J1" s="226" t="s">
        <v>196</v>
      </c>
      <c r="K1" s="226" t="s">
        <v>197</v>
      </c>
      <c r="L1" s="226" t="s">
        <v>198</v>
      </c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</row>
    <row r="2">
      <c r="A2" s="226" t="s">
        <v>199</v>
      </c>
      <c r="B2" s="226" t="s">
        <v>199</v>
      </c>
      <c r="C2" s="226" t="s">
        <v>200</v>
      </c>
      <c r="D2" s="226" t="s">
        <v>127</v>
      </c>
      <c r="E2" s="228">
        <v>248.0</v>
      </c>
      <c r="F2" s="228">
        <v>15.0</v>
      </c>
      <c r="G2" s="229">
        <v>0.1875</v>
      </c>
      <c r="H2" s="229">
        <v>0.1829</v>
      </c>
      <c r="I2" s="226" t="s">
        <v>201</v>
      </c>
      <c r="J2" s="226" t="s">
        <v>202</v>
      </c>
      <c r="K2" s="228">
        <v>244.0</v>
      </c>
      <c r="L2" s="228">
        <v>15.0</v>
      </c>
      <c r="M2" s="230"/>
      <c r="N2" s="227"/>
      <c r="O2" s="227"/>
      <c r="P2" s="231"/>
      <c r="Q2" s="227"/>
      <c r="R2" s="231"/>
      <c r="S2" s="231"/>
      <c r="T2" s="231"/>
      <c r="U2" s="231"/>
      <c r="V2" s="231"/>
      <c r="W2" s="231"/>
      <c r="X2" s="227"/>
      <c r="Y2" s="232"/>
      <c r="Z2" s="232"/>
      <c r="AA2" s="232"/>
      <c r="AB2" s="232"/>
      <c r="AC2" s="227"/>
      <c r="AD2" s="227"/>
      <c r="AE2" s="231"/>
      <c r="AF2" s="227"/>
      <c r="AG2" s="232"/>
      <c r="AH2" s="232"/>
      <c r="AI2" s="232"/>
      <c r="AJ2" s="232"/>
      <c r="AK2" s="232"/>
      <c r="AL2" s="232"/>
      <c r="AM2" s="232"/>
      <c r="AN2" s="232"/>
      <c r="AO2" s="231"/>
      <c r="AP2" s="231"/>
      <c r="AQ2" s="227"/>
      <c r="AR2" s="231"/>
      <c r="AS2" s="227"/>
      <c r="AT2" s="227"/>
      <c r="AU2" s="227"/>
      <c r="AV2" s="227"/>
    </row>
    <row r="3">
      <c r="A3" s="226" t="s">
        <v>203</v>
      </c>
      <c r="B3" s="226" t="s">
        <v>203</v>
      </c>
      <c r="C3" s="226" t="s">
        <v>204</v>
      </c>
      <c r="D3" s="226" t="s">
        <v>42</v>
      </c>
      <c r="E3" s="228">
        <v>200.0</v>
      </c>
      <c r="F3" s="228">
        <v>0.0</v>
      </c>
      <c r="G3" s="229">
        <v>0.1015</v>
      </c>
      <c r="H3" s="229">
        <v>0.0</v>
      </c>
      <c r="I3" s="226" t="s">
        <v>205</v>
      </c>
      <c r="J3" s="226" t="s">
        <v>206</v>
      </c>
      <c r="K3" s="228">
        <v>200.0</v>
      </c>
      <c r="L3" s="228">
        <v>0.0</v>
      </c>
      <c r="M3" s="230"/>
      <c r="N3" s="227"/>
      <c r="O3" s="227"/>
      <c r="P3" s="231"/>
      <c r="Q3" s="227"/>
      <c r="R3" s="231"/>
      <c r="S3" s="231"/>
      <c r="T3" s="231"/>
      <c r="U3" s="231"/>
      <c r="V3" s="231"/>
      <c r="W3" s="231"/>
      <c r="X3" s="227"/>
      <c r="Y3" s="232"/>
      <c r="Z3" s="232"/>
      <c r="AA3" s="232"/>
      <c r="AB3" s="232"/>
      <c r="AC3" s="227"/>
      <c r="AD3" s="227"/>
      <c r="AE3" s="231"/>
      <c r="AF3" s="227"/>
      <c r="AG3" s="232"/>
      <c r="AH3" s="232"/>
      <c r="AI3" s="232"/>
      <c r="AJ3" s="232"/>
      <c r="AK3" s="232"/>
      <c r="AL3" s="232"/>
      <c r="AM3" s="232"/>
      <c r="AN3" s="232"/>
      <c r="AO3" s="231"/>
      <c r="AP3" s="231"/>
      <c r="AQ3" s="227"/>
      <c r="AR3" s="231"/>
      <c r="AS3" s="227"/>
      <c r="AT3" s="227"/>
      <c r="AU3" s="227"/>
      <c r="AV3" s="227"/>
    </row>
    <row r="4">
      <c r="A4" s="226" t="s">
        <v>207</v>
      </c>
      <c r="B4" s="226" t="s">
        <v>207</v>
      </c>
      <c r="C4" s="226" t="s">
        <v>208</v>
      </c>
      <c r="D4" s="226" t="s">
        <v>68</v>
      </c>
      <c r="E4" s="228">
        <v>177.0</v>
      </c>
      <c r="F4" s="228">
        <v>22.0</v>
      </c>
      <c r="G4" s="229">
        <v>0.1559</v>
      </c>
      <c r="H4" s="229">
        <v>0.2056</v>
      </c>
      <c r="I4" s="226" t="s">
        <v>209</v>
      </c>
      <c r="J4" s="226" t="s">
        <v>210</v>
      </c>
      <c r="K4" s="228">
        <v>158.0</v>
      </c>
      <c r="L4" s="228">
        <v>17.0</v>
      </c>
      <c r="M4" s="230"/>
      <c r="N4" s="227"/>
      <c r="O4" s="227"/>
      <c r="P4" s="231"/>
      <c r="Q4" s="227"/>
      <c r="R4" s="231"/>
      <c r="S4" s="231"/>
      <c r="T4" s="231"/>
      <c r="U4" s="231"/>
      <c r="V4" s="231"/>
      <c r="W4" s="231"/>
      <c r="X4" s="227"/>
      <c r="Y4" s="232"/>
      <c r="Z4" s="232"/>
      <c r="AA4" s="232"/>
      <c r="AB4" s="232"/>
      <c r="AC4" s="227"/>
      <c r="AD4" s="227"/>
      <c r="AE4" s="231"/>
      <c r="AF4" s="227"/>
      <c r="AG4" s="232"/>
      <c r="AH4" s="232"/>
      <c r="AI4" s="232"/>
      <c r="AJ4" s="232"/>
      <c r="AK4" s="232"/>
      <c r="AL4" s="232"/>
      <c r="AM4" s="232"/>
      <c r="AN4" s="232"/>
      <c r="AO4" s="231"/>
      <c r="AP4" s="231"/>
      <c r="AQ4" s="227"/>
      <c r="AR4" s="231"/>
      <c r="AS4" s="227"/>
      <c r="AT4" s="227"/>
      <c r="AU4" s="227"/>
      <c r="AV4" s="227"/>
    </row>
    <row r="5">
      <c r="A5" s="226" t="s">
        <v>211</v>
      </c>
      <c r="B5" s="226" t="s">
        <v>211</v>
      </c>
      <c r="C5" s="226" t="s">
        <v>212</v>
      </c>
      <c r="D5" s="226" t="s">
        <v>154</v>
      </c>
      <c r="E5" s="228">
        <v>159.0</v>
      </c>
      <c r="F5" s="228">
        <v>6.0</v>
      </c>
      <c r="G5" s="229">
        <v>0.054</v>
      </c>
      <c r="H5" s="229">
        <v>0.0619</v>
      </c>
      <c r="I5" s="226" t="s">
        <v>213</v>
      </c>
      <c r="J5" s="226" t="s">
        <v>214</v>
      </c>
      <c r="K5" s="228">
        <v>151.0</v>
      </c>
      <c r="L5" s="228">
        <v>4.0</v>
      </c>
      <c r="M5" s="230"/>
      <c r="N5" s="227"/>
      <c r="O5" s="227"/>
      <c r="P5" s="231"/>
      <c r="Q5" s="227"/>
      <c r="R5" s="231"/>
      <c r="S5" s="231"/>
      <c r="T5" s="231"/>
      <c r="U5" s="231"/>
      <c r="V5" s="231"/>
      <c r="W5" s="231"/>
      <c r="X5" s="227"/>
      <c r="Y5" s="232"/>
      <c r="Z5" s="232"/>
      <c r="AA5" s="232"/>
      <c r="AB5" s="232"/>
      <c r="AC5" s="227"/>
      <c r="AD5" s="227"/>
      <c r="AE5" s="231"/>
      <c r="AF5" s="227"/>
      <c r="AG5" s="232"/>
      <c r="AH5" s="232"/>
      <c r="AI5" s="232"/>
      <c r="AJ5" s="232"/>
      <c r="AK5" s="232"/>
      <c r="AL5" s="232"/>
      <c r="AM5" s="232"/>
      <c r="AN5" s="232"/>
      <c r="AO5" s="231"/>
      <c r="AP5" s="231"/>
      <c r="AQ5" s="227"/>
      <c r="AR5" s="231"/>
      <c r="AS5" s="227"/>
      <c r="AT5" s="227"/>
      <c r="AU5" s="227"/>
      <c r="AV5" s="227"/>
    </row>
    <row r="6">
      <c r="A6" s="226" t="s">
        <v>215</v>
      </c>
      <c r="B6" s="226" t="s">
        <v>215</v>
      </c>
      <c r="C6" s="226" t="s">
        <v>216</v>
      </c>
      <c r="D6" s="226" t="s">
        <v>82</v>
      </c>
      <c r="E6" s="228">
        <v>151.0</v>
      </c>
      <c r="F6" s="228">
        <v>10.0</v>
      </c>
      <c r="G6" s="229">
        <v>0.1351</v>
      </c>
      <c r="H6" s="229">
        <v>0.1205</v>
      </c>
      <c r="I6" s="226" t="s">
        <v>217</v>
      </c>
      <c r="J6" s="226" t="s">
        <v>218</v>
      </c>
      <c r="K6" s="228">
        <v>148.0</v>
      </c>
      <c r="L6" s="228">
        <v>9.0</v>
      </c>
      <c r="M6" s="230"/>
      <c r="N6" s="227"/>
      <c r="O6" s="227"/>
      <c r="P6" s="231"/>
      <c r="Q6" s="227"/>
      <c r="R6" s="231"/>
      <c r="S6" s="231"/>
      <c r="T6" s="231"/>
      <c r="U6" s="231"/>
      <c r="V6" s="231"/>
      <c r="W6" s="231"/>
      <c r="X6" s="227"/>
      <c r="Y6" s="232"/>
      <c r="Z6" s="232"/>
      <c r="AA6" s="232"/>
      <c r="AB6" s="232"/>
      <c r="AC6" s="227"/>
      <c r="AD6" s="227"/>
      <c r="AE6" s="231"/>
      <c r="AF6" s="227"/>
      <c r="AG6" s="232"/>
      <c r="AH6" s="232"/>
      <c r="AI6" s="232"/>
      <c r="AJ6" s="232"/>
      <c r="AK6" s="232"/>
      <c r="AL6" s="232"/>
      <c r="AM6" s="232"/>
      <c r="AN6" s="232"/>
      <c r="AO6" s="231"/>
      <c r="AP6" s="231"/>
      <c r="AQ6" s="227"/>
      <c r="AR6" s="231"/>
      <c r="AS6" s="227"/>
      <c r="AT6" s="227"/>
      <c r="AU6" s="227"/>
      <c r="AV6" s="227"/>
    </row>
    <row r="7">
      <c r="A7" s="226" t="s">
        <v>219</v>
      </c>
      <c r="B7" s="226" t="s">
        <v>219</v>
      </c>
      <c r="C7" s="226" t="s">
        <v>220</v>
      </c>
      <c r="D7" s="226" t="s">
        <v>143</v>
      </c>
      <c r="E7" s="228">
        <v>143.0</v>
      </c>
      <c r="F7" s="228">
        <v>25.0</v>
      </c>
      <c r="G7" s="229">
        <v>0.0998</v>
      </c>
      <c r="H7" s="229">
        <v>0.1724</v>
      </c>
      <c r="I7" s="226" t="s">
        <v>221</v>
      </c>
      <c r="J7" s="226" t="s">
        <v>222</v>
      </c>
      <c r="K7" s="228">
        <v>142.0</v>
      </c>
      <c r="L7" s="228">
        <v>25.0</v>
      </c>
      <c r="M7" s="230"/>
      <c r="N7" s="227"/>
      <c r="O7" s="227"/>
      <c r="P7" s="231"/>
      <c r="Q7" s="227"/>
      <c r="R7" s="231"/>
      <c r="S7" s="231"/>
      <c r="T7" s="231"/>
      <c r="U7" s="231"/>
      <c r="V7" s="231"/>
      <c r="W7" s="231"/>
      <c r="X7" s="227"/>
      <c r="Y7" s="232"/>
      <c r="Z7" s="232"/>
      <c r="AA7" s="232"/>
      <c r="AB7" s="232"/>
      <c r="AC7" s="227"/>
      <c r="AD7" s="227"/>
      <c r="AE7" s="231"/>
      <c r="AF7" s="227"/>
      <c r="AG7" s="232"/>
      <c r="AH7" s="232"/>
      <c r="AI7" s="232"/>
      <c r="AJ7" s="232"/>
      <c r="AK7" s="232"/>
      <c r="AL7" s="232"/>
      <c r="AM7" s="232"/>
      <c r="AN7" s="232"/>
      <c r="AO7" s="231"/>
      <c r="AP7" s="231"/>
      <c r="AQ7" s="227"/>
      <c r="AR7" s="231"/>
      <c r="AS7" s="227"/>
      <c r="AT7" s="227"/>
      <c r="AU7" s="227"/>
      <c r="AV7" s="227"/>
    </row>
    <row r="8">
      <c r="A8" s="226" t="s">
        <v>223</v>
      </c>
      <c r="B8" s="226" t="s">
        <v>223</v>
      </c>
      <c r="C8" s="226" t="s">
        <v>224</v>
      </c>
      <c r="D8" s="226" t="s">
        <v>27</v>
      </c>
      <c r="E8" s="228">
        <v>192.0</v>
      </c>
      <c r="F8" s="228">
        <v>20.0</v>
      </c>
      <c r="G8" s="229">
        <v>0.0745</v>
      </c>
      <c r="H8" s="229">
        <v>0.1681</v>
      </c>
      <c r="I8" s="226" t="s">
        <v>225</v>
      </c>
      <c r="J8" s="226" t="s">
        <v>226</v>
      </c>
      <c r="K8" s="228">
        <v>139.0</v>
      </c>
      <c r="L8" s="228">
        <v>14.0</v>
      </c>
      <c r="M8" s="230"/>
      <c r="N8" s="227"/>
      <c r="O8" s="227"/>
      <c r="P8" s="231"/>
      <c r="Q8" s="227"/>
      <c r="R8" s="231"/>
      <c r="S8" s="231"/>
      <c r="T8" s="231"/>
      <c r="U8" s="231"/>
      <c r="V8" s="231"/>
      <c r="W8" s="231"/>
      <c r="X8" s="227"/>
      <c r="Y8" s="232"/>
      <c r="Z8" s="232"/>
      <c r="AA8" s="232"/>
      <c r="AB8" s="232"/>
      <c r="AC8" s="227"/>
      <c r="AD8" s="227"/>
      <c r="AE8" s="231"/>
      <c r="AF8" s="227"/>
      <c r="AG8" s="232"/>
      <c r="AH8" s="232"/>
      <c r="AI8" s="232"/>
      <c r="AJ8" s="232"/>
      <c r="AK8" s="232"/>
      <c r="AL8" s="232"/>
      <c r="AM8" s="232"/>
      <c r="AN8" s="232"/>
      <c r="AO8" s="231"/>
      <c r="AP8" s="231"/>
      <c r="AQ8" s="227"/>
      <c r="AR8" s="231"/>
      <c r="AS8" s="227"/>
      <c r="AT8" s="227"/>
      <c r="AU8" s="227"/>
      <c r="AV8" s="227"/>
    </row>
    <row r="9">
      <c r="A9" s="226" t="s">
        <v>227</v>
      </c>
      <c r="B9" s="226" t="s">
        <v>227</v>
      </c>
      <c r="C9" s="226" t="s">
        <v>228</v>
      </c>
      <c r="D9" s="226" t="s">
        <v>138</v>
      </c>
      <c r="E9" s="228">
        <v>101.0</v>
      </c>
      <c r="F9" s="228">
        <v>6.0</v>
      </c>
      <c r="G9" s="229">
        <v>0.1345</v>
      </c>
      <c r="H9" s="229">
        <v>0.1091</v>
      </c>
      <c r="I9" s="226" t="s">
        <v>229</v>
      </c>
      <c r="J9" s="226" t="s">
        <v>230</v>
      </c>
      <c r="K9" s="228">
        <v>101.0</v>
      </c>
      <c r="L9" s="228">
        <v>6.0</v>
      </c>
      <c r="M9" s="230"/>
      <c r="N9" s="227"/>
      <c r="O9" s="227"/>
      <c r="P9" s="231"/>
      <c r="Q9" s="227"/>
      <c r="R9" s="231"/>
      <c r="S9" s="231"/>
      <c r="T9" s="231"/>
      <c r="U9" s="231"/>
      <c r="V9" s="231"/>
      <c r="W9" s="231"/>
      <c r="X9" s="227"/>
      <c r="Y9" s="232"/>
      <c r="Z9" s="232"/>
      <c r="AA9" s="232"/>
      <c r="AB9" s="232"/>
      <c r="AC9" s="227"/>
      <c r="AD9" s="227"/>
      <c r="AE9" s="231"/>
      <c r="AF9" s="227"/>
      <c r="AG9" s="232"/>
      <c r="AH9" s="232"/>
      <c r="AI9" s="232"/>
      <c r="AJ9" s="232"/>
      <c r="AK9" s="232"/>
      <c r="AL9" s="232"/>
      <c r="AM9" s="232"/>
      <c r="AN9" s="232"/>
      <c r="AO9" s="231"/>
      <c r="AP9" s="231"/>
      <c r="AQ9" s="227"/>
      <c r="AR9" s="231"/>
      <c r="AS9" s="227"/>
      <c r="AT9" s="227"/>
      <c r="AU9" s="227"/>
      <c r="AV9" s="227"/>
    </row>
    <row r="10">
      <c r="A10" s="226" t="s">
        <v>231</v>
      </c>
      <c r="B10" s="226" t="s">
        <v>231</v>
      </c>
      <c r="C10" s="226" t="s">
        <v>232</v>
      </c>
      <c r="D10" s="226" t="s">
        <v>144</v>
      </c>
      <c r="E10" s="228">
        <v>97.0</v>
      </c>
      <c r="F10" s="228">
        <v>2.0</v>
      </c>
      <c r="G10" s="229">
        <v>0.1552</v>
      </c>
      <c r="H10" s="229">
        <v>0.069</v>
      </c>
      <c r="I10" s="226" t="s">
        <v>233</v>
      </c>
      <c r="J10" s="226" t="s">
        <v>234</v>
      </c>
      <c r="K10" s="228">
        <v>88.0</v>
      </c>
      <c r="L10" s="228">
        <v>2.0</v>
      </c>
      <c r="M10" s="230"/>
      <c r="N10" s="227"/>
      <c r="O10" s="227"/>
      <c r="P10" s="231"/>
      <c r="Q10" s="227"/>
      <c r="R10" s="231"/>
      <c r="S10" s="231"/>
      <c r="T10" s="231"/>
      <c r="U10" s="231"/>
      <c r="V10" s="231"/>
      <c r="W10" s="231"/>
      <c r="X10" s="227"/>
      <c r="Y10" s="232"/>
      <c r="Z10" s="232"/>
      <c r="AA10" s="232"/>
      <c r="AB10" s="232"/>
      <c r="AC10" s="227"/>
      <c r="AD10" s="227"/>
      <c r="AE10" s="231"/>
      <c r="AF10" s="227"/>
      <c r="AG10" s="232"/>
      <c r="AH10" s="232"/>
      <c r="AI10" s="232"/>
      <c r="AJ10" s="232"/>
      <c r="AK10" s="232"/>
      <c r="AL10" s="232"/>
      <c r="AM10" s="232"/>
      <c r="AN10" s="232"/>
      <c r="AO10" s="231"/>
      <c r="AP10" s="231"/>
      <c r="AQ10" s="227"/>
      <c r="AR10" s="231"/>
      <c r="AS10" s="227"/>
      <c r="AT10" s="227"/>
      <c r="AU10" s="227"/>
      <c r="AV10" s="227"/>
    </row>
    <row r="11">
      <c r="A11" s="226" t="s">
        <v>235</v>
      </c>
      <c r="B11" s="226" t="s">
        <v>235</v>
      </c>
      <c r="C11" s="226" t="s">
        <v>236</v>
      </c>
      <c r="D11" s="226" t="s">
        <v>0</v>
      </c>
      <c r="E11" s="228">
        <v>117.0</v>
      </c>
      <c r="F11" s="228">
        <v>4.0</v>
      </c>
      <c r="G11" s="229">
        <v>0.1786</v>
      </c>
      <c r="H11" s="229">
        <v>0.1</v>
      </c>
      <c r="I11" s="226" t="s">
        <v>237</v>
      </c>
      <c r="J11" s="226" t="s">
        <v>238</v>
      </c>
      <c r="K11" s="228">
        <v>87.0</v>
      </c>
      <c r="L11" s="228">
        <v>4.0</v>
      </c>
      <c r="M11" s="230"/>
      <c r="N11" s="227"/>
      <c r="O11" s="227"/>
      <c r="P11" s="231"/>
      <c r="Q11" s="227"/>
      <c r="R11" s="231"/>
      <c r="S11" s="231"/>
      <c r="T11" s="231"/>
      <c r="U11" s="231"/>
      <c r="V11" s="231"/>
      <c r="W11" s="231"/>
      <c r="X11" s="227"/>
      <c r="Y11" s="232"/>
      <c r="Z11" s="232"/>
      <c r="AA11" s="232"/>
      <c r="AB11" s="232"/>
      <c r="AC11" s="227"/>
      <c r="AD11" s="227"/>
      <c r="AE11" s="231"/>
      <c r="AF11" s="227"/>
      <c r="AG11" s="232"/>
      <c r="AH11" s="232"/>
      <c r="AI11" s="232"/>
      <c r="AJ11" s="232"/>
      <c r="AK11" s="232"/>
      <c r="AL11" s="232"/>
      <c r="AM11" s="232"/>
      <c r="AN11" s="232"/>
      <c r="AO11" s="231"/>
      <c r="AP11" s="231"/>
      <c r="AQ11" s="227"/>
      <c r="AR11" s="231"/>
      <c r="AS11" s="227"/>
      <c r="AT11" s="227"/>
      <c r="AU11" s="227"/>
      <c r="AV11" s="227"/>
    </row>
    <row r="12">
      <c r="A12" s="226" t="s">
        <v>239</v>
      </c>
      <c r="B12" s="226" t="s">
        <v>239</v>
      </c>
      <c r="C12" s="226" t="s">
        <v>240</v>
      </c>
      <c r="D12" s="226" t="s">
        <v>71</v>
      </c>
      <c r="E12" s="228">
        <v>100.0</v>
      </c>
      <c r="F12" s="228">
        <v>35.0</v>
      </c>
      <c r="G12" s="229">
        <v>0.2062</v>
      </c>
      <c r="H12" s="229">
        <v>0.6034</v>
      </c>
      <c r="I12" s="226" t="s">
        <v>241</v>
      </c>
      <c r="J12" s="226" t="s">
        <v>242</v>
      </c>
      <c r="K12" s="228">
        <v>78.0</v>
      </c>
      <c r="L12" s="228">
        <v>13.0</v>
      </c>
      <c r="M12" s="230"/>
      <c r="N12" s="227"/>
      <c r="O12" s="227"/>
      <c r="P12" s="231"/>
      <c r="Q12" s="227"/>
      <c r="R12" s="231"/>
      <c r="S12" s="231"/>
      <c r="T12" s="231"/>
      <c r="U12" s="231"/>
      <c r="V12" s="231"/>
      <c r="W12" s="231"/>
      <c r="X12" s="227"/>
      <c r="Y12" s="232"/>
      <c r="Z12" s="232"/>
      <c r="AA12" s="232"/>
      <c r="AB12" s="232"/>
      <c r="AC12" s="227"/>
      <c r="AD12" s="227"/>
      <c r="AE12" s="231"/>
      <c r="AF12" s="227"/>
      <c r="AG12" s="232"/>
      <c r="AH12" s="232"/>
      <c r="AI12" s="232"/>
      <c r="AJ12" s="232"/>
      <c r="AK12" s="232"/>
      <c r="AL12" s="232"/>
      <c r="AM12" s="232"/>
      <c r="AN12" s="232"/>
      <c r="AO12" s="231"/>
      <c r="AP12" s="231"/>
      <c r="AQ12" s="227"/>
      <c r="AR12" s="231"/>
      <c r="AS12" s="227"/>
      <c r="AT12" s="227"/>
      <c r="AU12" s="227"/>
      <c r="AV12" s="227"/>
    </row>
    <row r="13">
      <c r="A13" s="226" t="s">
        <v>243</v>
      </c>
      <c r="B13" s="226" t="s">
        <v>243</v>
      </c>
      <c r="C13" s="226" t="s">
        <v>244</v>
      </c>
      <c r="D13" s="226" t="s">
        <v>55</v>
      </c>
      <c r="E13" s="228">
        <v>81.0</v>
      </c>
      <c r="F13" s="228">
        <v>9.0</v>
      </c>
      <c r="G13" s="229">
        <v>0.126</v>
      </c>
      <c r="H13" s="229">
        <v>0.1452</v>
      </c>
      <c r="I13" s="226" t="s">
        <v>245</v>
      </c>
      <c r="J13" s="226" t="s">
        <v>246</v>
      </c>
      <c r="K13" s="228">
        <v>76.0</v>
      </c>
      <c r="L13" s="228">
        <v>9.0</v>
      </c>
      <c r="M13" s="230"/>
      <c r="N13" s="227"/>
      <c r="O13" s="227"/>
      <c r="P13" s="231"/>
      <c r="Q13" s="227"/>
      <c r="R13" s="231"/>
      <c r="S13" s="231"/>
      <c r="T13" s="231"/>
      <c r="U13" s="231"/>
      <c r="V13" s="231"/>
      <c r="W13" s="231"/>
      <c r="X13" s="227"/>
      <c r="Y13" s="232"/>
      <c r="Z13" s="232"/>
      <c r="AA13" s="232"/>
      <c r="AB13" s="232"/>
      <c r="AC13" s="227"/>
      <c r="AD13" s="227"/>
      <c r="AE13" s="231"/>
      <c r="AF13" s="227"/>
      <c r="AG13" s="232"/>
      <c r="AH13" s="232"/>
      <c r="AI13" s="232"/>
      <c r="AJ13" s="232"/>
      <c r="AK13" s="232"/>
      <c r="AL13" s="232"/>
      <c r="AM13" s="232"/>
      <c r="AN13" s="232"/>
      <c r="AO13" s="231"/>
      <c r="AP13" s="231"/>
      <c r="AQ13" s="227"/>
      <c r="AR13" s="231"/>
      <c r="AS13" s="227"/>
      <c r="AT13" s="227"/>
      <c r="AU13" s="227"/>
      <c r="AV13" s="227"/>
    </row>
    <row r="14">
      <c r="A14" s="226" t="s">
        <v>247</v>
      </c>
      <c r="B14" s="226" t="s">
        <v>247</v>
      </c>
      <c r="C14" s="226" t="s">
        <v>248</v>
      </c>
      <c r="D14" s="226" t="s">
        <v>92</v>
      </c>
      <c r="E14" s="228">
        <v>77.0</v>
      </c>
      <c r="F14" s="228">
        <v>6.0</v>
      </c>
      <c r="G14" s="229">
        <v>0.136</v>
      </c>
      <c r="H14" s="229">
        <v>0.1667</v>
      </c>
      <c r="I14" s="226" t="s">
        <v>249</v>
      </c>
      <c r="J14" s="226" t="s">
        <v>230</v>
      </c>
      <c r="K14" s="228">
        <v>76.0</v>
      </c>
      <c r="L14" s="228">
        <v>6.0</v>
      </c>
      <c r="M14" s="230"/>
      <c r="N14" s="227"/>
      <c r="O14" s="227"/>
      <c r="P14" s="231"/>
      <c r="Q14" s="227"/>
      <c r="R14" s="231"/>
      <c r="S14" s="231"/>
      <c r="T14" s="231"/>
      <c r="U14" s="231"/>
      <c r="V14" s="231"/>
      <c r="W14" s="231"/>
      <c r="X14" s="227"/>
      <c r="Y14" s="232"/>
      <c r="Z14" s="232"/>
      <c r="AA14" s="232"/>
      <c r="AB14" s="232"/>
      <c r="AC14" s="227"/>
      <c r="AD14" s="227"/>
      <c r="AE14" s="231"/>
      <c r="AF14" s="227"/>
      <c r="AG14" s="232"/>
      <c r="AH14" s="232"/>
      <c r="AI14" s="232"/>
      <c r="AJ14" s="232"/>
      <c r="AK14" s="232"/>
      <c r="AL14" s="232"/>
      <c r="AM14" s="232"/>
      <c r="AN14" s="232"/>
      <c r="AO14" s="231"/>
      <c r="AP14" s="231"/>
      <c r="AQ14" s="227"/>
      <c r="AR14" s="231"/>
      <c r="AS14" s="227"/>
      <c r="AT14" s="227"/>
      <c r="AU14" s="227"/>
      <c r="AV14" s="227"/>
    </row>
    <row r="15">
      <c r="A15" s="226" t="s">
        <v>250</v>
      </c>
      <c r="B15" s="226" t="s">
        <v>250</v>
      </c>
      <c r="C15" s="226" t="s">
        <v>251</v>
      </c>
      <c r="D15" s="226" t="s">
        <v>85</v>
      </c>
      <c r="E15" s="228">
        <v>71.0</v>
      </c>
      <c r="F15" s="228">
        <v>4.0</v>
      </c>
      <c r="G15" s="229">
        <v>0.1368</v>
      </c>
      <c r="H15" s="229">
        <v>0.1053</v>
      </c>
      <c r="I15" s="226" t="s">
        <v>252</v>
      </c>
      <c r="J15" s="226" t="s">
        <v>253</v>
      </c>
      <c r="K15" s="228">
        <v>69.0</v>
      </c>
      <c r="L15" s="228">
        <v>4.0</v>
      </c>
      <c r="M15" s="230"/>
      <c r="N15" s="227"/>
      <c r="O15" s="227"/>
      <c r="P15" s="231"/>
      <c r="Q15" s="227"/>
      <c r="R15" s="231"/>
      <c r="S15" s="231"/>
      <c r="T15" s="231"/>
      <c r="U15" s="231"/>
      <c r="V15" s="231"/>
      <c r="W15" s="231"/>
      <c r="X15" s="227"/>
      <c r="Y15" s="232"/>
      <c r="Z15" s="232"/>
      <c r="AA15" s="232"/>
      <c r="AB15" s="232"/>
      <c r="AC15" s="227"/>
      <c r="AD15" s="227"/>
      <c r="AE15" s="231"/>
      <c r="AF15" s="227"/>
      <c r="AG15" s="232"/>
      <c r="AH15" s="232"/>
      <c r="AI15" s="232"/>
      <c r="AJ15" s="232"/>
      <c r="AK15" s="232"/>
      <c r="AL15" s="232"/>
      <c r="AM15" s="232"/>
      <c r="AN15" s="232"/>
      <c r="AO15" s="231"/>
      <c r="AP15" s="231"/>
      <c r="AQ15" s="227"/>
      <c r="AR15" s="231"/>
      <c r="AS15" s="227"/>
      <c r="AT15" s="227"/>
      <c r="AU15" s="227"/>
      <c r="AV15" s="227"/>
    </row>
    <row r="16">
      <c r="A16" s="226" t="s">
        <v>255</v>
      </c>
      <c r="B16" s="226" t="s">
        <v>255</v>
      </c>
      <c r="C16" s="226" t="s">
        <v>256</v>
      </c>
      <c r="D16" s="226" t="s">
        <v>136</v>
      </c>
      <c r="E16" s="228">
        <v>68.0</v>
      </c>
      <c r="F16" s="228">
        <v>4.0</v>
      </c>
      <c r="G16" s="229">
        <v>0.1149</v>
      </c>
      <c r="H16" s="229">
        <v>0.1667</v>
      </c>
      <c r="I16" s="226" t="s">
        <v>257</v>
      </c>
      <c r="J16" s="226" t="s">
        <v>258</v>
      </c>
      <c r="K16" s="228">
        <v>68.0</v>
      </c>
      <c r="L16" s="228">
        <v>4.0</v>
      </c>
      <c r="M16" s="230"/>
      <c r="N16" s="227"/>
      <c r="O16" s="227"/>
      <c r="P16" s="231"/>
      <c r="Q16" s="227"/>
      <c r="R16" s="231"/>
      <c r="S16" s="231"/>
      <c r="T16" s="231"/>
      <c r="U16" s="231"/>
      <c r="V16" s="231"/>
      <c r="W16" s="231"/>
      <c r="X16" s="227"/>
      <c r="Y16" s="232"/>
      <c r="Z16" s="232"/>
      <c r="AA16" s="232"/>
      <c r="AB16" s="232"/>
      <c r="AC16" s="227"/>
      <c r="AD16" s="227"/>
      <c r="AE16" s="231"/>
      <c r="AF16" s="227"/>
      <c r="AG16" s="232"/>
      <c r="AH16" s="232"/>
      <c r="AI16" s="232"/>
      <c r="AJ16" s="232"/>
      <c r="AK16" s="232"/>
      <c r="AL16" s="232"/>
      <c r="AM16" s="232"/>
      <c r="AN16" s="232"/>
      <c r="AO16" s="231"/>
      <c r="AP16" s="231"/>
      <c r="AQ16" s="227"/>
      <c r="AR16" s="231"/>
      <c r="AS16" s="227"/>
      <c r="AT16" s="227"/>
      <c r="AU16" s="227"/>
      <c r="AV16" s="227"/>
    </row>
    <row r="17">
      <c r="A17" s="226" t="s">
        <v>259</v>
      </c>
      <c r="B17" s="226" t="s">
        <v>259</v>
      </c>
      <c r="C17" s="226" t="s">
        <v>187</v>
      </c>
      <c r="D17" s="226" t="s">
        <v>15</v>
      </c>
      <c r="E17" s="228">
        <v>89.0</v>
      </c>
      <c r="F17" s="228">
        <v>20.0</v>
      </c>
      <c r="G17" s="229">
        <v>0.1313</v>
      </c>
      <c r="H17" s="229">
        <v>0.3571</v>
      </c>
      <c r="I17" s="226" t="s">
        <v>260</v>
      </c>
      <c r="J17" s="226" t="s">
        <v>261</v>
      </c>
      <c r="K17" s="228">
        <v>64.0</v>
      </c>
      <c r="L17" s="228">
        <v>10.0</v>
      </c>
      <c r="M17" s="230"/>
      <c r="N17" s="227"/>
      <c r="O17" s="227"/>
      <c r="P17" s="231"/>
      <c r="Q17" s="227"/>
      <c r="R17" s="231"/>
      <c r="S17" s="231"/>
      <c r="T17" s="231"/>
      <c r="U17" s="231"/>
      <c r="V17" s="231"/>
      <c r="W17" s="231"/>
      <c r="X17" s="227"/>
      <c r="Y17" s="232"/>
      <c r="Z17" s="232"/>
      <c r="AA17" s="232"/>
      <c r="AB17" s="232"/>
      <c r="AC17" s="227"/>
      <c r="AD17" s="227"/>
      <c r="AE17" s="231"/>
      <c r="AF17" s="227"/>
      <c r="AG17" s="232"/>
      <c r="AH17" s="232"/>
      <c r="AI17" s="232"/>
      <c r="AJ17" s="232"/>
      <c r="AK17" s="232"/>
      <c r="AL17" s="232"/>
      <c r="AM17" s="232"/>
      <c r="AN17" s="232"/>
      <c r="AO17" s="231"/>
      <c r="AP17" s="231"/>
      <c r="AQ17" s="227"/>
      <c r="AR17" s="231"/>
      <c r="AS17" s="227"/>
      <c r="AT17" s="227"/>
      <c r="AU17" s="227"/>
      <c r="AV17" s="227"/>
    </row>
    <row r="18">
      <c r="A18" s="226" t="s">
        <v>262</v>
      </c>
      <c r="B18" s="226" t="s">
        <v>262</v>
      </c>
      <c r="C18" s="226" t="s">
        <v>263</v>
      </c>
      <c r="D18" s="226" t="s">
        <v>139</v>
      </c>
      <c r="E18" s="228">
        <v>64.0</v>
      </c>
      <c r="F18" s="228">
        <v>2.0</v>
      </c>
      <c r="G18" s="229">
        <v>0.1509</v>
      </c>
      <c r="H18" s="229">
        <v>0.0741</v>
      </c>
      <c r="I18" s="226" t="s">
        <v>264</v>
      </c>
      <c r="J18" s="226" t="s">
        <v>265</v>
      </c>
      <c r="K18" s="228">
        <v>64.0</v>
      </c>
      <c r="L18" s="228">
        <v>2.0</v>
      </c>
      <c r="M18" s="230"/>
      <c r="N18" s="227"/>
      <c r="O18" s="227"/>
      <c r="P18" s="231"/>
      <c r="Q18" s="227"/>
      <c r="R18" s="231"/>
      <c r="S18" s="231"/>
      <c r="T18" s="231"/>
      <c r="U18" s="231"/>
      <c r="V18" s="231"/>
      <c r="W18" s="231"/>
      <c r="X18" s="227"/>
      <c r="Y18" s="232"/>
      <c r="Z18" s="232"/>
      <c r="AA18" s="232"/>
      <c r="AB18" s="232"/>
      <c r="AC18" s="227"/>
      <c r="AD18" s="227"/>
      <c r="AE18" s="231"/>
      <c r="AF18" s="227"/>
      <c r="AG18" s="232"/>
      <c r="AH18" s="232"/>
      <c r="AI18" s="232"/>
      <c r="AJ18" s="232"/>
      <c r="AK18" s="232"/>
      <c r="AL18" s="232"/>
      <c r="AM18" s="232"/>
      <c r="AN18" s="232"/>
      <c r="AO18" s="231"/>
      <c r="AP18" s="231"/>
      <c r="AQ18" s="227"/>
      <c r="AR18" s="231"/>
      <c r="AS18" s="227"/>
      <c r="AT18" s="227"/>
      <c r="AU18" s="227"/>
      <c r="AV18" s="227"/>
    </row>
    <row r="19">
      <c r="A19" s="226" t="s">
        <v>266</v>
      </c>
      <c r="B19" s="226" t="s">
        <v>266</v>
      </c>
      <c r="C19" s="226" t="s">
        <v>267</v>
      </c>
      <c r="D19" s="226" t="s">
        <v>130</v>
      </c>
      <c r="E19" s="228">
        <v>59.0</v>
      </c>
      <c r="F19" s="228">
        <v>2.0</v>
      </c>
      <c r="G19" s="229">
        <v>0.1294</v>
      </c>
      <c r="H19" s="229">
        <v>0.1111</v>
      </c>
      <c r="I19" s="226" t="s">
        <v>268</v>
      </c>
      <c r="J19" s="226" t="s">
        <v>265</v>
      </c>
      <c r="K19" s="228">
        <v>59.0</v>
      </c>
      <c r="L19" s="228">
        <v>2.0</v>
      </c>
      <c r="M19" s="230"/>
      <c r="N19" s="227"/>
      <c r="O19" s="227"/>
      <c r="P19" s="231"/>
      <c r="Q19" s="227"/>
      <c r="R19" s="231"/>
      <c r="S19" s="231"/>
      <c r="T19" s="231"/>
      <c r="U19" s="231"/>
      <c r="V19" s="231"/>
      <c r="W19" s="231"/>
      <c r="X19" s="227"/>
      <c r="Y19" s="232"/>
      <c r="Z19" s="232"/>
      <c r="AA19" s="232"/>
      <c r="AB19" s="232"/>
      <c r="AC19" s="227"/>
      <c r="AD19" s="227"/>
      <c r="AE19" s="231"/>
      <c r="AF19" s="227"/>
      <c r="AG19" s="232"/>
      <c r="AH19" s="232"/>
      <c r="AI19" s="232"/>
      <c r="AJ19" s="232"/>
      <c r="AK19" s="232"/>
      <c r="AL19" s="232"/>
      <c r="AM19" s="232"/>
      <c r="AN19" s="232"/>
      <c r="AO19" s="231"/>
      <c r="AP19" s="231"/>
      <c r="AQ19" s="227"/>
      <c r="AR19" s="231"/>
      <c r="AS19" s="227"/>
      <c r="AT19" s="227"/>
      <c r="AU19" s="227"/>
      <c r="AV19" s="227"/>
    </row>
    <row r="20">
      <c r="A20" s="226" t="s">
        <v>269</v>
      </c>
      <c r="B20" s="226" t="s">
        <v>269</v>
      </c>
      <c r="C20" s="226" t="s">
        <v>270</v>
      </c>
      <c r="D20" s="226" t="s">
        <v>47</v>
      </c>
      <c r="E20" s="228">
        <v>58.0</v>
      </c>
      <c r="F20" s="228">
        <v>0.0</v>
      </c>
      <c r="G20" s="229">
        <v>0.1058</v>
      </c>
      <c r="H20" s="229">
        <v>0.0</v>
      </c>
      <c r="I20" s="226" t="s">
        <v>271</v>
      </c>
      <c r="J20" s="226" t="s">
        <v>206</v>
      </c>
      <c r="K20" s="228">
        <v>58.0</v>
      </c>
      <c r="L20" s="228">
        <v>0.0</v>
      </c>
      <c r="M20" s="230"/>
      <c r="N20" s="227"/>
      <c r="O20" s="227"/>
      <c r="P20" s="231"/>
      <c r="Q20" s="227"/>
      <c r="R20" s="231"/>
      <c r="S20" s="231"/>
      <c r="T20" s="231"/>
      <c r="U20" s="231"/>
      <c r="V20" s="231"/>
      <c r="W20" s="231"/>
      <c r="X20" s="227"/>
      <c r="Y20" s="232"/>
      <c r="Z20" s="232"/>
      <c r="AA20" s="232"/>
      <c r="AB20" s="232"/>
      <c r="AC20" s="227"/>
      <c r="AD20" s="227"/>
      <c r="AE20" s="231"/>
      <c r="AF20" s="227"/>
      <c r="AG20" s="232"/>
      <c r="AH20" s="232"/>
      <c r="AI20" s="232"/>
      <c r="AJ20" s="232"/>
      <c r="AK20" s="232"/>
      <c r="AL20" s="232"/>
      <c r="AM20" s="232"/>
      <c r="AN20" s="232"/>
      <c r="AO20" s="231"/>
      <c r="AP20" s="231"/>
      <c r="AQ20" s="227"/>
      <c r="AR20" s="231"/>
      <c r="AS20" s="227"/>
      <c r="AT20" s="227"/>
      <c r="AU20" s="227"/>
      <c r="AV20" s="227"/>
    </row>
    <row r="21">
      <c r="A21" s="226" t="s">
        <v>272</v>
      </c>
      <c r="B21" s="226" t="s">
        <v>272</v>
      </c>
      <c r="C21" s="226" t="s">
        <v>273</v>
      </c>
      <c r="D21" s="226" t="s">
        <v>51</v>
      </c>
      <c r="E21" s="228">
        <v>55.0</v>
      </c>
      <c r="F21" s="228">
        <v>0.0</v>
      </c>
      <c r="G21" s="229">
        <v>0.0795</v>
      </c>
      <c r="H21" s="229">
        <v>0.0</v>
      </c>
      <c r="I21" s="226" t="s">
        <v>274</v>
      </c>
      <c r="J21" s="226" t="s">
        <v>206</v>
      </c>
      <c r="K21" s="228">
        <v>55.0</v>
      </c>
      <c r="L21" s="228">
        <v>0.0</v>
      </c>
      <c r="M21" s="230"/>
      <c r="N21" s="227"/>
      <c r="O21" s="227"/>
      <c r="P21" s="231"/>
      <c r="Q21" s="227"/>
      <c r="R21" s="231"/>
      <c r="S21" s="231"/>
      <c r="T21" s="231"/>
      <c r="U21" s="231"/>
      <c r="V21" s="231"/>
      <c r="W21" s="231"/>
      <c r="X21" s="227"/>
      <c r="Y21" s="232"/>
      <c r="Z21" s="232"/>
      <c r="AA21" s="232"/>
      <c r="AB21" s="232"/>
      <c r="AC21" s="227"/>
      <c r="AD21" s="227"/>
      <c r="AE21" s="231"/>
      <c r="AF21" s="227"/>
      <c r="AG21" s="232"/>
      <c r="AH21" s="232"/>
      <c r="AI21" s="232"/>
      <c r="AJ21" s="232"/>
      <c r="AK21" s="232"/>
      <c r="AL21" s="232"/>
      <c r="AM21" s="232"/>
      <c r="AN21" s="232"/>
      <c r="AO21" s="231"/>
      <c r="AP21" s="231"/>
      <c r="AQ21" s="227"/>
      <c r="AR21" s="231"/>
      <c r="AS21" s="227"/>
      <c r="AT21" s="227"/>
      <c r="AU21" s="227"/>
      <c r="AV21" s="227"/>
    </row>
    <row r="22">
      <c r="A22" s="226" t="s">
        <v>275</v>
      </c>
      <c r="B22" s="226" t="s">
        <v>275</v>
      </c>
      <c r="C22" s="226" t="s">
        <v>276</v>
      </c>
      <c r="D22" s="226" t="s">
        <v>43</v>
      </c>
      <c r="E22" s="228">
        <v>53.0</v>
      </c>
      <c r="F22" s="228">
        <v>0.0</v>
      </c>
      <c r="G22" s="229">
        <v>0.1286</v>
      </c>
      <c r="H22" s="229">
        <v>0.0</v>
      </c>
      <c r="I22" s="226" t="s">
        <v>277</v>
      </c>
      <c r="J22" s="226" t="s">
        <v>206</v>
      </c>
      <c r="K22" s="228">
        <v>53.0</v>
      </c>
      <c r="L22" s="228">
        <v>0.0</v>
      </c>
      <c r="M22" s="230"/>
      <c r="N22" s="227"/>
      <c r="O22" s="227"/>
      <c r="P22" s="231"/>
      <c r="Q22" s="227"/>
      <c r="R22" s="231"/>
      <c r="S22" s="231"/>
      <c r="T22" s="231"/>
      <c r="U22" s="231"/>
      <c r="V22" s="231"/>
      <c r="W22" s="231"/>
      <c r="X22" s="227"/>
      <c r="Y22" s="232"/>
      <c r="Z22" s="232"/>
      <c r="AA22" s="232"/>
      <c r="AB22" s="232"/>
      <c r="AC22" s="227"/>
      <c r="AD22" s="227"/>
      <c r="AE22" s="231"/>
      <c r="AF22" s="227"/>
      <c r="AG22" s="232"/>
      <c r="AH22" s="232"/>
      <c r="AI22" s="232"/>
      <c r="AJ22" s="232"/>
      <c r="AK22" s="232"/>
      <c r="AL22" s="232"/>
      <c r="AM22" s="232"/>
      <c r="AN22" s="232"/>
      <c r="AO22" s="231"/>
      <c r="AP22" s="231"/>
      <c r="AQ22" s="227"/>
      <c r="AR22" s="231"/>
      <c r="AS22" s="227"/>
      <c r="AT22" s="227"/>
      <c r="AU22" s="227"/>
      <c r="AV22" s="227"/>
    </row>
    <row r="23">
      <c r="A23" s="226" t="s">
        <v>278</v>
      </c>
      <c r="B23" s="226" t="s">
        <v>278</v>
      </c>
      <c r="C23" s="226" t="s">
        <v>279</v>
      </c>
      <c r="D23" s="226" t="s">
        <v>90</v>
      </c>
      <c r="E23" s="228">
        <v>50.0</v>
      </c>
      <c r="F23" s="228">
        <v>1.0</v>
      </c>
      <c r="G23" s="229">
        <v>0.1416</v>
      </c>
      <c r="H23" s="229">
        <v>0.05</v>
      </c>
      <c r="I23" s="226" t="s">
        <v>280</v>
      </c>
      <c r="J23" s="226" t="s">
        <v>281</v>
      </c>
      <c r="K23" s="228">
        <v>48.0</v>
      </c>
      <c r="L23" s="228">
        <v>1.0</v>
      </c>
      <c r="M23" s="230"/>
      <c r="N23" s="227"/>
      <c r="O23" s="227"/>
      <c r="P23" s="231"/>
      <c r="Q23" s="227"/>
      <c r="R23" s="231"/>
      <c r="S23" s="231"/>
      <c r="T23" s="231"/>
      <c r="U23" s="231"/>
      <c r="V23" s="231"/>
      <c r="W23" s="231"/>
      <c r="X23" s="227"/>
      <c r="Y23" s="232"/>
      <c r="Z23" s="232"/>
      <c r="AA23" s="232"/>
      <c r="AB23" s="232"/>
      <c r="AC23" s="227"/>
      <c r="AD23" s="227"/>
      <c r="AE23" s="231"/>
      <c r="AF23" s="227"/>
      <c r="AG23" s="232"/>
      <c r="AH23" s="232"/>
      <c r="AI23" s="232"/>
      <c r="AJ23" s="232"/>
      <c r="AK23" s="232"/>
      <c r="AL23" s="232"/>
      <c r="AM23" s="232"/>
      <c r="AN23" s="232"/>
      <c r="AO23" s="231"/>
      <c r="AP23" s="231"/>
      <c r="AQ23" s="227"/>
      <c r="AR23" s="231"/>
      <c r="AS23" s="227"/>
      <c r="AT23" s="227"/>
      <c r="AU23" s="227"/>
      <c r="AV23" s="227"/>
    </row>
    <row r="24">
      <c r="A24" s="226" t="s">
        <v>282</v>
      </c>
      <c r="B24" s="226" t="s">
        <v>282</v>
      </c>
      <c r="C24" s="226" t="s">
        <v>283</v>
      </c>
      <c r="D24" s="226" t="s">
        <v>19</v>
      </c>
      <c r="E24" s="228">
        <v>55.0</v>
      </c>
      <c r="F24" s="228">
        <v>4.0</v>
      </c>
      <c r="G24" s="229">
        <v>0.1571</v>
      </c>
      <c r="H24" s="229">
        <v>0.2</v>
      </c>
      <c r="I24" s="226" t="s">
        <v>284</v>
      </c>
      <c r="J24" s="226" t="s">
        <v>285</v>
      </c>
      <c r="K24" s="228">
        <v>47.0</v>
      </c>
      <c r="L24" s="228">
        <v>4.0</v>
      </c>
      <c r="M24" s="230"/>
      <c r="N24" s="227"/>
      <c r="O24" s="227"/>
      <c r="P24" s="231"/>
      <c r="Q24" s="227"/>
      <c r="R24" s="231"/>
      <c r="S24" s="231"/>
      <c r="T24" s="231"/>
      <c r="U24" s="231"/>
      <c r="V24" s="231"/>
      <c r="W24" s="231"/>
      <c r="X24" s="227"/>
      <c r="Y24" s="232"/>
      <c r="Z24" s="232"/>
      <c r="AA24" s="232"/>
      <c r="AB24" s="232"/>
      <c r="AC24" s="227"/>
      <c r="AD24" s="227"/>
      <c r="AE24" s="231"/>
      <c r="AF24" s="227"/>
      <c r="AG24" s="232"/>
      <c r="AH24" s="232"/>
      <c r="AI24" s="232"/>
      <c r="AJ24" s="232"/>
      <c r="AK24" s="232"/>
      <c r="AL24" s="232"/>
      <c r="AM24" s="232"/>
      <c r="AN24" s="232"/>
      <c r="AO24" s="231"/>
      <c r="AP24" s="231"/>
      <c r="AQ24" s="227"/>
      <c r="AR24" s="231"/>
      <c r="AS24" s="227"/>
      <c r="AT24" s="227"/>
      <c r="AU24" s="227"/>
      <c r="AV24" s="227"/>
    </row>
    <row r="25">
      <c r="A25" s="226" t="s">
        <v>286</v>
      </c>
      <c r="B25" s="226" t="s">
        <v>286</v>
      </c>
      <c r="C25" s="226" t="s">
        <v>287</v>
      </c>
      <c r="D25" s="226" t="s">
        <v>22</v>
      </c>
      <c r="E25" s="228">
        <v>86.0</v>
      </c>
      <c r="F25" s="228">
        <v>4.0</v>
      </c>
      <c r="G25" s="229">
        <v>0.1818</v>
      </c>
      <c r="H25" s="229">
        <v>0.1081</v>
      </c>
      <c r="I25" s="226" t="s">
        <v>288</v>
      </c>
      <c r="J25" s="226" t="s">
        <v>289</v>
      </c>
      <c r="K25" s="228">
        <v>45.0</v>
      </c>
      <c r="L25" s="228">
        <v>4.0</v>
      </c>
      <c r="M25" s="230"/>
      <c r="N25" s="227"/>
      <c r="O25" s="227"/>
      <c r="P25" s="231"/>
      <c r="Q25" s="227"/>
      <c r="R25" s="231"/>
      <c r="S25" s="231"/>
      <c r="T25" s="231"/>
      <c r="U25" s="231"/>
      <c r="V25" s="231"/>
      <c r="W25" s="231"/>
      <c r="X25" s="227"/>
      <c r="Y25" s="232"/>
      <c r="Z25" s="232"/>
      <c r="AA25" s="232"/>
      <c r="AB25" s="232"/>
      <c r="AC25" s="227"/>
      <c r="AD25" s="227"/>
      <c r="AE25" s="231"/>
      <c r="AF25" s="227"/>
      <c r="AG25" s="232"/>
      <c r="AH25" s="232"/>
      <c r="AI25" s="232"/>
      <c r="AJ25" s="232"/>
      <c r="AK25" s="232"/>
      <c r="AL25" s="232"/>
      <c r="AM25" s="232"/>
      <c r="AN25" s="232"/>
      <c r="AO25" s="231"/>
      <c r="AP25" s="231"/>
      <c r="AQ25" s="227"/>
      <c r="AR25" s="231"/>
      <c r="AS25" s="227"/>
      <c r="AT25" s="227"/>
      <c r="AU25" s="227"/>
      <c r="AV25" s="227"/>
    </row>
    <row r="26">
      <c r="A26" s="226" t="s">
        <v>290</v>
      </c>
      <c r="B26" s="226" t="s">
        <v>290</v>
      </c>
      <c r="C26" s="226" t="s">
        <v>291</v>
      </c>
      <c r="D26" s="226" t="s">
        <v>38</v>
      </c>
      <c r="E26" s="228">
        <v>39.0</v>
      </c>
      <c r="F26" s="228">
        <v>0.0</v>
      </c>
      <c r="G26" s="229">
        <v>0.0164</v>
      </c>
      <c r="H26" s="229">
        <v>0.0</v>
      </c>
      <c r="I26" s="226" t="s">
        <v>292</v>
      </c>
      <c r="J26" s="226" t="s">
        <v>206</v>
      </c>
      <c r="K26" s="228">
        <v>39.0</v>
      </c>
      <c r="L26" s="228">
        <v>0.0</v>
      </c>
      <c r="M26" s="230"/>
      <c r="N26" s="227"/>
      <c r="O26" s="227"/>
      <c r="P26" s="231"/>
      <c r="Q26" s="227"/>
      <c r="R26" s="231"/>
      <c r="S26" s="231"/>
      <c r="T26" s="231"/>
      <c r="U26" s="231"/>
      <c r="V26" s="231"/>
      <c r="W26" s="231"/>
      <c r="X26" s="227"/>
      <c r="Y26" s="232"/>
      <c r="Z26" s="232"/>
      <c r="AA26" s="232"/>
      <c r="AB26" s="232"/>
      <c r="AC26" s="227"/>
      <c r="AD26" s="227"/>
      <c r="AE26" s="231"/>
      <c r="AF26" s="227"/>
      <c r="AG26" s="232"/>
      <c r="AH26" s="232"/>
      <c r="AI26" s="232"/>
      <c r="AJ26" s="232"/>
      <c r="AK26" s="232"/>
      <c r="AL26" s="232"/>
      <c r="AM26" s="232"/>
      <c r="AN26" s="232"/>
      <c r="AO26" s="231"/>
      <c r="AP26" s="231"/>
      <c r="AQ26" s="227"/>
      <c r="AR26" s="231"/>
      <c r="AS26" s="227"/>
      <c r="AT26" s="227"/>
      <c r="AU26" s="227"/>
      <c r="AV26" s="227"/>
    </row>
    <row r="27">
      <c r="A27" s="226" t="s">
        <v>293</v>
      </c>
      <c r="B27" s="226" t="s">
        <v>293</v>
      </c>
      <c r="C27" s="226" t="s">
        <v>294</v>
      </c>
      <c r="D27" s="226" t="s">
        <v>54</v>
      </c>
      <c r="E27" s="228">
        <v>36.0</v>
      </c>
      <c r="F27" s="228">
        <v>7.0</v>
      </c>
      <c r="G27" s="229">
        <v>0.1406</v>
      </c>
      <c r="H27" s="229">
        <v>0.175</v>
      </c>
      <c r="I27" s="226" t="s">
        <v>295</v>
      </c>
      <c r="J27" s="226" t="s">
        <v>296</v>
      </c>
      <c r="K27" s="228">
        <v>34.0</v>
      </c>
      <c r="L27" s="228">
        <v>7.0</v>
      </c>
      <c r="M27" s="230"/>
      <c r="N27" s="227"/>
      <c r="O27" s="227"/>
      <c r="P27" s="231"/>
      <c r="Q27" s="227"/>
      <c r="R27" s="231"/>
      <c r="S27" s="231"/>
      <c r="T27" s="231"/>
      <c r="U27" s="231"/>
      <c r="V27" s="231"/>
      <c r="W27" s="231"/>
      <c r="X27" s="227"/>
      <c r="Y27" s="232"/>
      <c r="Z27" s="232"/>
      <c r="AA27" s="232"/>
      <c r="AB27" s="232"/>
      <c r="AC27" s="227"/>
      <c r="AD27" s="227"/>
      <c r="AE27" s="231"/>
      <c r="AF27" s="227"/>
      <c r="AG27" s="232"/>
      <c r="AH27" s="232"/>
      <c r="AI27" s="232"/>
      <c r="AJ27" s="232"/>
      <c r="AK27" s="232"/>
      <c r="AL27" s="232"/>
      <c r="AM27" s="232"/>
      <c r="AN27" s="232"/>
      <c r="AO27" s="231"/>
      <c r="AP27" s="231"/>
      <c r="AQ27" s="227"/>
      <c r="AR27" s="231"/>
      <c r="AS27" s="227"/>
      <c r="AT27" s="227"/>
      <c r="AU27" s="227"/>
      <c r="AV27" s="227"/>
    </row>
    <row r="28">
      <c r="A28" s="226" t="s">
        <v>297</v>
      </c>
      <c r="B28" s="226" t="s">
        <v>297</v>
      </c>
      <c r="C28" s="226" t="s">
        <v>298</v>
      </c>
      <c r="D28" s="226" t="s">
        <v>142</v>
      </c>
      <c r="E28" s="228">
        <v>32.0</v>
      </c>
      <c r="F28" s="228">
        <v>4.0</v>
      </c>
      <c r="G28" s="229">
        <v>0.1963</v>
      </c>
      <c r="H28" s="229">
        <v>0.1667</v>
      </c>
      <c r="I28" s="226" t="s">
        <v>299</v>
      </c>
      <c r="J28" s="226" t="s">
        <v>300</v>
      </c>
      <c r="K28" s="228">
        <v>31.0</v>
      </c>
      <c r="L28" s="228">
        <v>3.0</v>
      </c>
      <c r="M28" s="230"/>
      <c r="N28" s="227"/>
      <c r="O28" s="227"/>
      <c r="P28" s="231"/>
      <c r="Q28" s="227"/>
      <c r="R28" s="231"/>
      <c r="S28" s="231"/>
      <c r="T28" s="231"/>
      <c r="U28" s="231"/>
      <c r="V28" s="231"/>
      <c r="W28" s="231"/>
      <c r="X28" s="227"/>
      <c r="Y28" s="232"/>
      <c r="Z28" s="232"/>
      <c r="AA28" s="232"/>
      <c r="AB28" s="232"/>
      <c r="AC28" s="227"/>
      <c r="AD28" s="227"/>
      <c r="AE28" s="231"/>
      <c r="AF28" s="227"/>
      <c r="AG28" s="232"/>
      <c r="AH28" s="232"/>
      <c r="AI28" s="232"/>
      <c r="AJ28" s="232"/>
      <c r="AK28" s="232"/>
      <c r="AL28" s="232"/>
      <c r="AM28" s="232"/>
      <c r="AN28" s="232"/>
      <c r="AO28" s="231"/>
      <c r="AP28" s="231"/>
      <c r="AQ28" s="227"/>
      <c r="AR28" s="231"/>
      <c r="AS28" s="227"/>
      <c r="AT28" s="227"/>
      <c r="AU28" s="227"/>
      <c r="AV28" s="227"/>
    </row>
    <row r="29">
      <c r="A29" s="226" t="s">
        <v>301</v>
      </c>
      <c r="B29" s="226" t="s">
        <v>301</v>
      </c>
      <c r="C29" s="226" t="s">
        <v>302</v>
      </c>
      <c r="D29" s="226" t="s">
        <v>35</v>
      </c>
      <c r="E29" s="228">
        <v>54.0</v>
      </c>
      <c r="F29" s="228">
        <v>4.0</v>
      </c>
      <c r="G29" s="229">
        <v>0.0837</v>
      </c>
      <c r="H29" s="229">
        <v>0.1667</v>
      </c>
      <c r="I29" s="226" t="s">
        <v>303</v>
      </c>
      <c r="J29" s="226" t="s">
        <v>304</v>
      </c>
      <c r="K29" s="228">
        <v>30.0</v>
      </c>
      <c r="L29" s="228">
        <v>1.0</v>
      </c>
      <c r="M29" s="230"/>
      <c r="N29" s="227"/>
      <c r="O29" s="227"/>
      <c r="P29" s="231"/>
      <c r="Q29" s="227"/>
      <c r="R29" s="231"/>
      <c r="S29" s="231"/>
      <c r="T29" s="231"/>
      <c r="U29" s="231"/>
      <c r="V29" s="231"/>
      <c r="W29" s="231"/>
      <c r="X29" s="227"/>
      <c r="Y29" s="232"/>
      <c r="Z29" s="232"/>
      <c r="AA29" s="232"/>
      <c r="AB29" s="232"/>
      <c r="AC29" s="227"/>
      <c r="AD29" s="227"/>
      <c r="AE29" s="231"/>
      <c r="AF29" s="227"/>
      <c r="AG29" s="232"/>
      <c r="AH29" s="232"/>
      <c r="AI29" s="232"/>
      <c r="AJ29" s="232"/>
      <c r="AK29" s="232"/>
      <c r="AL29" s="232"/>
      <c r="AM29" s="232"/>
      <c r="AN29" s="232"/>
      <c r="AO29" s="231"/>
      <c r="AP29" s="231"/>
      <c r="AQ29" s="227"/>
      <c r="AR29" s="231"/>
      <c r="AS29" s="227"/>
      <c r="AT29" s="227"/>
      <c r="AU29" s="227"/>
      <c r="AV29" s="227"/>
    </row>
    <row r="30">
      <c r="A30" s="226" t="s">
        <v>305</v>
      </c>
      <c r="B30" s="226" t="s">
        <v>305</v>
      </c>
      <c r="C30" s="226" t="s">
        <v>306</v>
      </c>
      <c r="D30" s="226" t="s">
        <v>24</v>
      </c>
      <c r="E30" s="228">
        <v>34.0</v>
      </c>
      <c r="F30" s="228">
        <v>3.0</v>
      </c>
      <c r="G30" s="229">
        <v>0.0932</v>
      </c>
      <c r="H30" s="229">
        <v>0.1667</v>
      </c>
      <c r="I30" s="226" t="s">
        <v>307</v>
      </c>
      <c r="J30" s="226" t="s">
        <v>308</v>
      </c>
      <c r="K30" s="228">
        <v>28.0</v>
      </c>
      <c r="L30" s="228">
        <v>3.0</v>
      </c>
      <c r="M30" s="230"/>
      <c r="N30" s="227"/>
      <c r="O30" s="227"/>
      <c r="P30" s="231"/>
      <c r="Q30" s="227"/>
      <c r="R30" s="231"/>
      <c r="S30" s="231"/>
      <c r="T30" s="231"/>
      <c r="U30" s="231"/>
      <c r="V30" s="231"/>
      <c r="W30" s="231"/>
      <c r="X30" s="227"/>
      <c r="Y30" s="232"/>
      <c r="Z30" s="232"/>
      <c r="AA30" s="232"/>
      <c r="AB30" s="232"/>
      <c r="AC30" s="227"/>
      <c r="AD30" s="227"/>
      <c r="AE30" s="231"/>
      <c r="AF30" s="227"/>
      <c r="AG30" s="232"/>
      <c r="AH30" s="232"/>
      <c r="AI30" s="232"/>
      <c r="AJ30" s="232"/>
      <c r="AK30" s="232"/>
      <c r="AL30" s="232"/>
      <c r="AM30" s="232"/>
      <c r="AN30" s="232"/>
      <c r="AO30" s="231"/>
      <c r="AP30" s="231"/>
      <c r="AQ30" s="227"/>
      <c r="AR30" s="231"/>
      <c r="AS30" s="227"/>
      <c r="AT30" s="227"/>
      <c r="AU30" s="227"/>
      <c r="AV30" s="227"/>
    </row>
    <row r="31">
      <c r="A31" s="226" t="s">
        <v>309</v>
      </c>
      <c r="B31" s="226" t="s">
        <v>309</v>
      </c>
      <c r="C31" s="226" t="s">
        <v>310</v>
      </c>
      <c r="D31" s="226" t="s">
        <v>10</v>
      </c>
      <c r="E31" s="228">
        <v>60.0</v>
      </c>
      <c r="F31" s="228">
        <v>3.0</v>
      </c>
      <c r="G31" s="229">
        <v>0.1415</v>
      </c>
      <c r="H31" s="229">
        <v>0.1364</v>
      </c>
      <c r="I31" s="226" t="s">
        <v>311</v>
      </c>
      <c r="J31" s="226" t="s">
        <v>312</v>
      </c>
      <c r="K31" s="228">
        <v>28.0</v>
      </c>
      <c r="L31" s="228">
        <v>1.0</v>
      </c>
      <c r="M31" s="230"/>
      <c r="N31" s="227"/>
      <c r="O31" s="227"/>
      <c r="P31" s="231"/>
      <c r="Q31" s="227"/>
      <c r="R31" s="231"/>
      <c r="S31" s="231"/>
      <c r="T31" s="231"/>
      <c r="U31" s="231"/>
      <c r="V31" s="231"/>
      <c r="W31" s="231"/>
      <c r="X31" s="227"/>
      <c r="Y31" s="232"/>
      <c r="Z31" s="232"/>
      <c r="AA31" s="232"/>
      <c r="AB31" s="232"/>
      <c r="AC31" s="227"/>
      <c r="AD31" s="227"/>
      <c r="AE31" s="231"/>
      <c r="AF31" s="227"/>
      <c r="AG31" s="232"/>
      <c r="AH31" s="232"/>
      <c r="AI31" s="232"/>
      <c r="AJ31" s="232"/>
      <c r="AK31" s="232"/>
      <c r="AL31" s="232"/>
      <c r="AM31" s="232"/>
      <c r="AN31" s="232"/>
      <c r="AO31" s="231"/>
      <c r="AP31" s="231"/>
      <c r="AQ31" s="227"/>
      <c r="AR31" s="231"/>
      <c r="AS31" s="227"/>
      <c r="AT31" s="227"/>
      <c r="AU31" s="227"/>
      <c r="AV31" s="227"/>
    </row>
    <row r="32">
      <c r="A32" s="226" t="s">
        <v>313</v>
      </c>
      <c r="B32" s="226" t="s">
        <v>313</v>
      </c>
      <c r="C32" s="226" t="s">
        <v>314</v>
      </c>
      <c r="D32" s="226" t="s">
        <v>134</v>
      </c>
      <c r="E32" s="228">
        <v>28.0</v>
      </c>
      <c r="F32" s="228">
        <v>3.0</v>
      </c>
      <c r="G32" s="229">
        <v>0.1944</v>
      </c>
      <c r="H32" s="229">
        <v>0.3333</v>
      </c>
      <c r="I32" s="226" t="s">
        <v>315</v>
      </c>
      <c r="J32" s="226" t="s">
        <v>316</v>
      </c>
      <c r="K32" s="228">
        <v>28.0</v>
      </c>
      <c r="L32" s="228">
        <v>3.0</v>
      </c>
      <c r="M32" s="230"/>
      <c r="N32" s="227"/>
      <c r="O32" s="227"/>
      <c r="P32" s="231"/>
      <c r="Q32" s="227"/>
      <c r="R32" s="231"/>
      <c r="S32" s="231"/>
      <c r="T32" s="231"/>
      <c r="U32" s="231"/>
      <c r="V32" s="231"/>
      <c r="W32" s="231"/>
      <c r="X32" s="227"/>
      <c r="Y32" s="232"/>
      <c r="Z32" s="232"/>
      <c r="AA32" s="232"/>
      <c r="AB32" s="232"/>
      <c r="AC32" s="227"/>
      <c r="AD32" s="227"/>
      <c r="AE32" s="231"/>
      <c r="AF32" s="227"/>
      <c r="AG32" s="232"/>
      <c r="AH32" s="232"/>
      <c r="AI32" s="232"/>
      <c r="AJ32" s="232"/>
      <c r="AK32" s="232"/>
      <c r="AL32" s="232"/>
      <c r="AM32" s="232"/>
      <c r="AN32" s="232"/>
      <c r="AO32" s="231"/>
      <c r="AP32" s="231"/>
      <c r="AQ32" s="227"/>
      <c r="AR32" s="231"/>
      <c r="AS32" s="227"/>
      <c r="AT32" s="227"/>
      <c r="AU32" s="227"/>
      <c r="AV32" s="227"/>
    </row>
    <row r="33">
      <c r="A33" s="226" t="s">
        <v>317</v>
      </c>
      <c r="B33" s="226" t="s">
        <v>317</v>
      </c>
      <c r="C33" s="226" t="s">
        <v>318</v>
      </c>
      <c r="D33" s="226" t="s">
        <v>131</v>
      </c>
      <c r="E33" s="228">
        <v>27.0</v>
      </c>
      <c r="F33" s="228">
        <v>1.0</v>
      </c>
      <c r="G33" s="229">
        <v>0.135</v>
      </c>
      <c r="H33" s="229">
        <v>0.0714</v>
      </c>
      <c r="I33" s="226" t="s">
        <v>319</v>
      </c>
      <c r="J33" s="226" t="s">
        <v>281</v>
      </c>
      <c r="K33" s="228">
        <v>27.0</v>
      </c>
      <c r="L33" s="228">
        <v>1.0</v>
      </c>
      <c r="M33" s="230"/>
      <c r="N33" s="227"/>
      <c r="O33" s="227"/>
      <c r="P33" s="231"/>
      <c r="Q33" s="227"/>
      <c r="R33" s="231"/>
      <c r="S33" s="231"/>
      <c r="T33" s="231"/>
      <c r="U33" s="231"/>
      <c r="V33" s="231"/>
      <c r="W33" s="231"/>
      <c r="X33" s="227"/>
      <c r="Y33" s="232"/>
      <c r="Z33" s="232"/>
      <c r="AA33" s="232"/>
      <c r="AB33" s="232"/>
      <c r="AC33" s="227"/>
      <c r="AD33" s="227"/>
      <c r="AE33" s="231"/>
      <c r="AF33" s="227"/>
      <c r="AG33" s="232"/>
      <c r="AH33" s="232"/>
      <c r="AI33" s="232"/>
      <c r="AJ33" s="232"/>
      <c r="AK33" s="232"/>
      <c r="AL33" s="232"/>
      <c r="AM33" s="232"/>
      <c r="AN33" s="232"/>
      <c r="AO33" s="231"/>
      <c r="AP33" s="231"/>
      <c r="AQ33" s="227"/>
      <c r="AR33" s="231"/>
      <c r="AS33" s="227"/>
      <c r="AT33" s="227"/>
      <c r="AU33" s="227"/>
      <c r="AV33" s="227"/>
    </row>
    <row r="34">
      <c r="A34" s="226" t="s">
        <v>320</v>
      </c>
      <c r="B34" s="226" t="s">
        <v>320</v>
      </c>
      <c r="C34" s="226" t="s">
        <v>321</v>
      </c>
      <c r="D34" s="226" t="s">
        <v>49</v>
      </c>
      <c r="E34" s="228">
        <v>26.0</v>
      </c>
      <c r="F34" s="228">
        <v>1.0</v>
      </c>
      <c r="G34" s="229">
        <v>0.1238</v>
      </c>
      <c r="H34" s="229">
        <v>0.0769</v>
      </c>
      <c r="I34" s="226" t="s">
        <v>322</v>
      </c>
      <c r="J34" s="226" t="s">
        <v>281</v>
      </c>
      <c r="K34" s="228">
        <v>26.0</v>
      </c>
      <c r="L34" s="228">
        <v>1.0</v>
      </c>
      <c r="M34" s="230"/>
      <c r="N34" s="227"/>
      <c r="O34" s="227"/>
      <c r="P34" s="231"/>
      <c r="Q34" s="227"/>
      <c r="R34" s="231"/>
      <c r="S34" s="231"/>
      <c r="T34" s="231"/>
      <c r="U34" s="231"/>
      <c r="V34" s="231"/>
      <c r="W34" s="231"/>
      <c r="X34" s="227"/>
      <c r="Y34" s="232"/>
      <c r="Z34" s="232"/>
      <c r="AA34" s="232"/>
      <c r="AB34" s="232"/>
      <c r="AC34" s="227"/>
      <c r="AD34" s="227"/>
      <c r="AE34" s="231"/>
      <c r="AF34" s="227"/>
      <c r="AG34" s="232"/>
      <c r="AH34" s="232"/>
      <c r="AI34" s="232"/>
      <c r="AJ34" s="232"/>
      <c r="AK34" s="232"/>
      <c r="AL34" s="232"/>
      <c r="AM34" s="232"/>
      <c r="AN34" s="232"/>
      <c r="AO34" s="231"/>
      <c r="AP34" s="231"/>
      <c r="AQ34" s="227"/>
      <c r="AR34" s="231"/>
      <c r="AS34" s="227"/>
      <c r="AT34" s="227"/>
      <c r="AU34" s="227"/>
      <c r="AV34" s="227"/>
    </row>
    <row r="35">
      <c r="A35" s="226" t="s">
        <v>323</v>
      </c>
      <c r="B35" s="226" t="s">
        <v>323</v>
      </c>
      <c r="C35" s="226" t="s">
        <v>324</v>
      </c>
      <c r="D35" s="226" t="s">
        <v>120</v>
      </c>
      <c r="E35" s="228">
        <v>26.0</v>
      </c>
      <c r="F35" s="228">
        <v>1.0</v>
      </c>
      <c r="G35" s="229">
        <v>0.1926</v>
      </c>
      <c r="H35" s="229">
        <v>0.1</v>
      </c>
      <c r="I35" s="226" t="s">
        <v>325</v>
      </c>
      <c r="J35" s="226" t="s">
        <v>281</v>
      </c>
      <c r="K35" s="228">
        <v>26.0</v>
      </c>
      <c r="L35" s="228">
        <v>1.0</v>
      </c>
      <c r="M35" s="230"/>
      <c r="N35" s="227"/>
      <c r="O35" s="227"/>
      <c r="P35" s="231"/>
      <c r="Q35" s="227"/>
      <c r="R35" s="231"/>
      <c r="S35" s="231"/>
      <c r="T35" s="231"/>
      <c r="U35" s="231"/>
      <c r="V35" s="231"/>
      <c r="W35" s="231"/>
      <c r="X35" s="227"/>
      <c r="Y35" s="232"/>
      <c r="Z35" s="232"/>
      <c r="AA35" s="232"/>
      <c r="AB35" s="232"/>
      <c r="AC35" s="227"/>
      <c r="AD35" s="227"/>
      <c r="AE35" s="231"/>
      <c r="AF35" s="227"/>
      <c r="AG35" s="232"/>
      <c r="AH35" s="232"/>
      <c r="AI35" s="232"/>
      <c r="AJ35" s="232"/>
      <c r="AK35" s="232"/>
      <c r="AL35" s="232"/>
      <c r="AM35" s="232"/>
      <c r="AN35" s="232"/>
      <c r="AO35" s="231"/>
      <c r="AP35" s="231"/>
      <c r="AQ35" s="227"/>
      <c r="AR35" s="231"/>
      <c r="AS35" s="227"/>
      <c r="AT35" s="227"/>
      <c r="AU35" s="227"/>
      <c r="AV35" s="227"/>
    </row>
    <row r="36">
      <c r="A36" s="226" t="s">
        <v>326</v>
      </c>
      <c r="B36" s="226" t="s">
        <v>326</v>
      </c>
      <c r="C36" s="226" t="s">
        <v>327</v>
      </c>
      <c r="D36" s="226" t="s">
        <v>40</v>
      </c>
      <c r="E36" s="228">
        <v>25.0</v>
      </c>
      <c r="F36" s="228">
        <v>0.0</v>
      </c>
      <c r="G36" s="229">
        <v>0.0814</v>
      </c>
      <c r="H36" s="229">
        <v>0.0</v>
      </c>
      <c r="I36" s="226" t="s">
        <v>328</v>
      </c>
      <c r="J36" s="226" t="s">
        <v>206</v>
      </c>
      <c r="K36" s="228">
        <v>25.0</v>
      </c>
      <c r="L36" s="228">
        <v>0.0</v>
      </c>
      <c r="M36" s="230"/>
      <c r="N36" s="227"/>
      <c r="O36" s="227"/>
      <c r="P36" s="231"/>
      <c r="Q36" s="227"/>
      <c r="R36" s="231"/>
      <c r="S36" s="231"/>
      <c r="T36" s="231"/>
      <c r="U36" s="231"/>
      <c r="V36" s="231"/>
      <c r="W36" s="231"/>
      <c r="X36" s="227"/>
      <c r="Y36" s="232"/>
      <c r="Z36" s="232"/>
      <c r="AA36" s="232"/>
      <c r="AB36" s="232"/>
      <c r="AC36" s="227"/>
      <c r="AD36" s="227"/>
      <c r="AE36" s="231"/>
      <c r="AF36" s="227"/>
      <c r="AG36" s="232"/>
      <c r="AH36" s="232"/>
      <c r="AI36" s="232"/>
      <c r="AJ36" s="232"/>
      <c r="AK36" s="232"/>
      <c r="AL36" s="232"/>
      <c r="AM36" s="232"/>
      <c r="AN36" s="232"/>
      <c r="AO36" s="231"/>
      <c r="AP36" s="231"/>
      <c r="AQ36" s="227"/>
      <c r="AR36" s="231"/>
      <c r="AS36" s="227"/>
      <c r="AT36" s="227"/>
      <c r="AU36" s="227"/>
      <c r="AV36" s="227"/>
    </row>
    <row r="37">
      <c r="A37" s="226" t="s">
        <v>329</v>
      </c>
      <c r="B37" s="226" t="s">
        <v>329</v>
      </c>
      <c r="C37" s="226" t="s">
        <v>330</v>
      </c>
      <c r="D37" s="226" t="s">
        <v>75</v>
      </c>
      <c r="E37" s="228">
        <v>29.0</v>
      </c>
      <c r="F37" s="228">
        <v>7.0</v>
      </c>
      <c r="G37" s="229">
        <v>0.1946</v>
      </c>
      <c r="H37" s="229">
        <v>0.3333</v>
      </c>
      <c r="I37" s="226" t="s">
        <v>331</v>
      </c>
      <c r="J37" s="226" t="s">
        <v>332</v>
      </c>
      <c r="K37" s="228">
        <v>24.0</v>
      </c>
      <c r="L37" s="228">
        <v>5.0</v>
      </c>
      <c r="M37" s="230"/>
      <c r="N37" s="227"/>
      <c r="O37" s="227"/>
      <c r="P37" s="231"/>
      <c r="Q37" s="227"/>
      <c r="R37" s="231"/>
      <c r="S37" s="231"/>
      <c r="T37" s="231"/>
      <c r="U37" s="231"/>
      <c r="V37" s="231"/>
      <c r="W37" s="231"/>
      <c r="X37" s="227"/>
      <c r="Y37" s="232"/>
      <c r="Z37" s="232"/>
      <c r="AA37" s="232"/>
      <c r="AB37" s="232"/>
      <c r="AC37" s="227"/>
      <c r="AD37" s="227"/>
      <c r="AE37" s="231"/>
      <c r="AF37" s="227"/>
      <c r="AG37" s="232"/>
      <c r="AH37" s="232"/>
      <c r="AI37" s="232"/>
      <c r="AJ37" s="232"/>
      <c r="AK37" s="232"/>
      <c r="AL37" s="232"/>
      <c r="AM37" s="232"/>
      <c r="AN37" s="232"/>
      <c r="AO37" s="231"/>
      <c r="AP37" s="231"/>
      <c r="AQ37" s="227"/>
      <c r="AR37" s="231"/>
      <c r="AS37" s="227"/>
      <c r="AT37" s="227"/>
      <c r="AU37" s="227"/>
      <c r="AV37" s="227"/>
    </row>
    <row r="38">
      <c r="A38" s="226" t="s">
        <v>333</v>
      </c>
      <c r="B38" s="226" t="s">
        <v>333</v>
      </c>
      <c r="C38" s="226" t="s">
        <v>334</v>
      </c>
      <c r="D38" s="226" t="s">
        <v>117</v>
      </c>
      <c r="E38" s="228">
        <v>23.0</v>
      </c>
      <c r="F38" s="228">
        <v>2.0</v>
      </c>
      <c r="G38" s="229">
        <v>0.0723</v>
      </c>
      <c r="H38" s="229">
        <v>0.1053</v>
      </c>
      <c r="I38" s="226" t="s">
        <v>335</v>
      </c>
      <c r="J38" s="226" t="s">
        <v>336</v>
      </c>
      <c r="K38" s="228">
        <v>23.0</v>
      </c>
      <c r="L38" s="228">
        <v>2.0</v>
      </c>
      <c r="M38" s="230"/>
      <c r="N38" s="227"/>
      <c r="O38" s="227"/>
      <c r="P38" s="231"/>
      <c r="Q38" s="227"/>
      <c r="R38" s="231"/>
      <c r="S38" s="231"/>
      <c r="T38" s="231"/>
      <c r="U38" s="231"/>
      <c r="V38" s="231"/>
      <c r="W38" s="231"/>
      <c r="X38" s="227"/>
      <c r="Y38" s="232"/>
      <c r="Z38" s="232"/>
      <c r="AA38" s="232"/>
      <c r="AB38" s="232"/>
      <c r="AC38" s="227"/>
      <c r="AD38" s="227"/>
      <c r="AE38" s="231"/>
      <c r="AF38" s="227"/>
      <c r="AG38" s="232"/>
      <c r="AH38" s="232"/>
      <c r="AI38" s="232"/>
      <c r="AJ38" s="232"/>
      <c r="AK38" s="232"/>
      <c r="AL38" s="232"/>
      <c r="AM38" s="232"/>
      <c r="AN38" s="232"/>
      <c r="AO38" s="231"/>
      <c r="AP38" s="231"/>
      <c r="AQ38" s="227"/>
      <c r="AR38" s="231"/>
      <c r="AS38" s="227"/>
      <c r="AT38" s="227"/>
      <c r="AU38" s="227"/>
      <c r="AV38" s="227"/>
    </row>
    <row r="39">
      <c r="A39" s="226" t="s">
        <v>337</v>
      </c>
      <c r="B39" s="226" t="s">
        <v>337</v>
      </c>
      <c r="C39" s="226" t="s">
        <v>338</v>
      </c>
      <c r="D39" s="226" t="s">
        <v>106</v>
      </c>
      <c r="E39" s="228">
        <v>23.0</v>
      </c>
      <c r="F39" s="228">
        <v>3.0</v>
      </c>
      <c r="G39" s="229">
        <v>0.0777</v>
      </c>
      <c r="H39" s="229">
        <v>0.1154</v>
      </c>
      <c r="I39" s="226" t="s">
        <v>339</v>
      </c>
      <c r="J39" s="226" t="s">
        <v>340</v>
      </c>
      <c r="K39" s="228">
        <v>23.0</v>
      </c>
      <c r="L39" s="228">
        <v>3.0</v>
      </c>
      <c r="M39" s="230"/>
      <c r="N39" s="227"/>
      <c r="O39" s="227"/>
      <c r="P39" s="231"/>
      <c r="Q39" s="227"/>
      <c r="R39" s="231"/>
      <c r="S39" s="231"/>
      <c r="T39" s="231"/>
      <c r="U39" s="231"/>
      <c r="V39" s="231"/>
      <c r="W39" s="231"/>
      <c r="X39" s="227"/>
      <c r="Y39" s="232"/>
      <c r="Z39" s="232"/>
      <c r="AA39" s="232"/>
      <c r="AB39" s="232"/>
      <c r="AC39" s="227"/>
      <c r="AD39" s="227"/>
      <c r="AE39" s="231"/>
      <c r="AF39" s="227"/>
      <c r="AG39" s="232"/>
      <c r="AH39" s="232"/>
      <c r="AI39" s="232"/>
      <c r="AJ39" s="232"/>
      <c r="AK39" s="232"/>
      <c r="AL39" s="232"/>
      <c r="AM39" s="232"/>
      <c r="AN39" s="232"/>
      <c r="AO39" s="231"/>
      <c r="AP39" s="231"/>
      <c r="AQ39" s="227"/>
      <c r="AR39" s="231"/>
      <c r="AS39" s="227"/>
      <c r="AT39" s="227"/>
      <c r="AU39" s="227"/>
      <c r="AV39" s="227"/>
    </row>
    <row r="40">
      <c r="A40" s="226" t="s">
        <v>341</v>
      </c>
      <c r="B40" s="226" t="s">
        <v>341</v>
      </c>
      <c r="C40" s="226" t="s">
        <v>342</v>
      </c>
      <c r="D40" s="226" t="s">
        <v>141</v>
      </c>
      <c r="E40" s="228">
        <v>23.0</v>
      </c>
      <c r="F40" s="228">
        <v>2.0</v>
      </c>
      <c r="G40" s="229">
        <v>0.1065</v>
      </c>
      <c r="H40" s="229">
        <v>0.08</v>
      </c>
      <c r="I40" s="226" t="s">
        <v>343</v>
      </c>
      <c r="J40" s="226" t="s">
        <v>336</v>
      </c>
      <c r="K40" s="228">
        <v>22.0</v>
      </c>
      <c r="L40" s="228">
        <v>2.0</v>
      </c>
      <c r="M40" s="230"/>
      <c r="N40" s="227"/>
      <c r="O40" s="227"/>
      <c r="P40" s="231"/>
      <c r="Q40" s="227"/>
      <c r="R40" s="231"/>
      <c r="S40" s="231"/>
      <c r="T40" s="231"/>
      <c r="U40" s="231"/>
      <c r="V40" s="231"/>
      <c r="W40" s="231"/>
      <c r="X40" s="227"/>
      <c r="Y40" s="232"/>
      <c r="Z40" s="232"/>
      <c r="AA40" s="232"/>
      <c r="AB40" s="232"/>
      <c r="AC40" s="227"/>
      <c r="AD40" s="227"/>
      <c r="AE40" s="231"/>
      <c r="AF40" s="227"/>
      <c r="AG40" s="232"/>
      <c r="AH40" s="232"/>
      <c r="AI40" s="232"/>
      <c r="AJ40" s="232"/>
      <c r="AK40" s="232"/>
      <c r="AL40" s="232"/>
      <c r="AM40" s="232"/>
      <c r="AN40" s="232"/>
      <c r="AO40" s="231"/>
      <c r="AP40" s="231"/>
      <c r="AQ40" s="227"/>
      <c r="AR40" s="231"/>
      <c r="AS40" s="227"/>
      <c r="AT40" s="227"/>
      <c r="AU40" s="227"/>
      <c r="AV40" s="227"/>
    </row>
    <row r="41">
      <c r="A41" s="226" t="s">
        <v>344</v>
      </c>
      <c r="B41" s="226" t="s">
        <v>344</v>
      </c>
      <c r="C41" s="226" t="s">
        <v>345</v>
      </c>
      <c r="D41" s="226" t="s">
        <v>4</v>
      </c>
      <c r="E41" s="228">
        <v>33.0</v>
      </c>
      <c r="F41" s="228">
        <v>9.0</v>
      </c>
      <c r="G41" s="229">
        <v>0.1875</v>
      </c>
      <c r="H41" s="229">
        <v>1.0</v>
      </c>
      <c r="I41" s="226" t="s">
        <v>346</v>
      </c>
      <c r="J41" s="226" t="s">
        <v>347</v>
      </c>
      <c r="K41" s="228">
        <v>21.0</v>
      </c>
      <c r="L41" s="228">
        <v>2.0</v>
      </c>
      <c r="M41" s="230"/>
      <c r="N41" s="227"/>
      <c r="O41" s="227"/>
      <c r="P41" s="231"/>
      <c r="Q41" s="227"/>
      <c r="R41" s="231"/>
      <c r="S41" s="231"/>
      <c r="T41" s="231"/>
      <c r="U41" s="231"/>
      <c r="V41" s="231"/>
      <c r="W41" s="231"/>
      <c r="X41" s="227"/>
      <c r="Y41" s="232"/>
      <c r="Z41" s="232"/>
      <c r="AA41" s="232"/>
      <c r="AB41" s="232"/>
      <c r="AC41" s="227"/>
      <c r="AD41" s="227"/>
      <c r="AE41" s="231"/>
      <c r="AF41" s="227"/>
      <c r="AG41" s="232"/>
      <c r="AH41" s="232"/>
      <c r="AI41" s="232"/>
      <c r="AJ41" s="232"/>
      <c r="AK41" s="232"/>
      <c r="AL41" s="232"/>
      <c r="AM41" s="232"/>
      <c r="AN41" s="232"/>
      <c r="AO41" s="231"/>
      <c r="AP41" s="231"/>
      <c r="AQ41" s="227"/>
      <c r="AR41" s="231"/>
      <c r="AS41" s="227"/>
      <c r="AT41" s="227"/>
      <c r="AU41" s="227"/>
      <c r="AV41" s="227"/>
    </row>
    <row r="42">
      <c r="A42" s="226" t="s">
        <v>348</v>
      </c>
      <c r="B42" s="226" t="s">
        <v>348</v>
      </c>
      <c r="C42" s="226" t="s">
        <v>349</v>
      </c>
      <c r="D42" s="226" t="s">
        <v>58</v>
      </c>
      <c r="E42" s="228">
        <v>29.0</v>
      </c>
      <c r="F42" s="228">
        <v>12.0</v>
      </c>
      <c r="G42" s="229">
        <v>0.1261</v>
      </c>
      <c r="H42" s="229">
        <v>0.3243</v>
      </c>
      <c r="I42" s="226" t="s">
        <v>350</v>
      </c>
      <c r="J42" s="226" t="s">
        <v>351</v>
      </c>
      <c r="K42" s="228">
        <v>20.0</v>
      </c>
      <c r="L42" s="228">
        <v>7.0</v>
      </c>
      <c r="M42" s="230"/>
      <c r="N42" s="227"/>
      <c r="O42" s="227"/>
      <c r="P42" s="231"/>
      <c r="Q42" s="227"/>
      <c r="R42" s="231"/>
      <c r="S42" s="231"/>
      <c r="T42" s="231"/>
      <c r="U42" s="231"/>
      <c r="V42" s="231"/>
      <c r="W42" s="231"/>
      <c r="X42" s="227"/>
      <c r="Y42" s="232"/>
      <c r="Z42" s="232"/>
      <c r="AA42" s="232"/>
      <c r="AB42" s="232"/>
      <c r="AC42" s="227"/>
      <c r="AD42" s="227"/>
      <c r="AE42" s="231"/>
      <c r="AF42" s="227"/>
      <c r="AG42" s="232"/>
      <c r="AH42" s="232"/>
      <c r="AI42" s="232"/>
      <c r="AJ42" s="232"/>
      <c r="AK42" s="232"/>
      <c r="AL42" s="232"/>
      <c r="AM42" s="232"/>
      <c r="AN42" s="232"/>
      <c r="AO42" s="231"/>
      <c r="AP42" s="231"/>
      <c r="AQ42" s="227"/>
      <c r="AR42" s="231"/>
      <c r="AS42" s="227"/>
      <c r="AT42" s="227"/>
      <c r="AU42" s="227"/>
      <c r="AV42" s="227"/>
    </row>
    <row r="43">
      <c r="A43" s="226" t="s">
        <v>352</v>
      </c>
      <c r="B43" s="226" t="s">
        <v>352</v>
      </c>
      <c r="C43" s="226" t="s">
        <v>353</v>
      </c>
      <c r="D43" s="226" t="s">
        <v>23</v>
      </c>
      <c r="E43" s="228">
        <v>35.0</v>
      </c>
      <c r="F43" s="228">
        <v>1.0</v>
      </c>
      <c r="G43" s="229">
        <v>0.1042</v>
      </c>
      <c r="H43" s="229">
        <v>0.0588</v>
      </c>
      <c r="I43" s="226" t="s">
        <v>354</v>
      </c>
      <c r="J43" s="226" t="s">
        <v>355</v>
      </c>
      <c r="K43" s="228">
        <v>19.0</v>
      </c>
      <c r="L43" s="228">
        <v>1.0</v>
      </c>
      <c r="M43" s="230"/>
      <c r="N43" s="227"/>
      <c r="O43" s="227"/>
      <c r="P43" s="231"/>
      <c r="Q43" s="227"/>
      <c r="R43" s="231"/>
      <c r="S43" s="231"/>
      <c r="T43" s="231"/>
      <c r="U43" s="231"/>
      <c r="V43" s="231"/>
      <c r="W43" s="231"/>
      <c r="X43" s="227"/>
      <c r="Y43" s="232"/>
      <c r="Z43" s="232"/>
      <c r="AA43" s="232"/>
      <c r="AB43" s="232"/>
      <c r="AC43" s="227"/>
      <c r="AD43" s="227"/>
      <c r="AE43" s="231"/>
      <c r="AF43" s="227"/>
      <c r="AG43" s="232"/>
      <c r="AH43" s="232"/>
      <c r="AI43" s="232"/>
      <c r="AJ43" s="232"/>
      <c r="AK43" s="232"/>
      <c r="AL43" s="232"/>
      <c r="AM43" s="232"/>
      <c r="AN43" s="232"/>
      <c r="AO43" s="231"/>
      <c r="AP43" s="231"/>
      <c r="AQ43" s="227"/>
      <c r="AR43" s="231"/>
      <c r="AS43" s="227"/>
      <c r="AT43" s="227"/>
      <c r="AU43" s="227"/>
      <c r="AV43" s="227"/>
    </row>
    <row r="44">
      <c r="A44" s="226" t="s">
        <v>356</v>
      </c>
      <c r="B44" s="226" t="s">
        <v>356</v>
      </c>
      <c r="C44" s="226" t="s">
        <v>357</v>
      </c>
      <c r="D44" s="226" t="s">
        <v>98</v>
      </c>
      <c r="E44" s="228">
        <v>19.0</v>
      </c>
      <c r="F44" s="228">
        <v>2.0</v>
      </c>
      <c r="G44" s="229">
        <v>0.0754</v>
      </c>
      <c r="H44" s="229">
        <v>0.1429</v>
      </c>
      <c r="I44" s="226" t="s">
        <v>358</v>
      </c>
      <c r="J44" s="226" t="s">
        <v>336</v>
      </c>
      <c r="K44" s="228">
        <v>19.0</v>
      </c>
      <c r="L44" s="228">
        <v>2.0</v>
      </c>
      <c r="M44" s="230"/>
      <c r="N44" s="227"/>
      <c r="O44" s="227"/>
      <c r="P44" s="231"/>
      <c r="Q44" s="227"/>
      <c r="R44" s="231"/>
      <c r="S44" s="231"/>
      <c r="T44" s="231"/>
      <c r="U44" s="231"/>
      <c r="V44" s="231"/>
      <c r="W44" s="231"/>
      <c r="X44" s="227"/>
      <c r="Y44" s="232"/>
      <c r="Z44" s="232"/>
      <c r="AA44" s="232"/>
      <c r="AB44" s="232"/>
      <c r="AC44" s="227"/>
      <c r="AD44" s="227"/>
      <c r="AE44" s="231"/>
      <c r="AF44" s="227"/>
      <c r="AG44" s="232"/>
      <c r="AH44" s="232"/>
      <c r="AI44" s="232"/>
      <c r="AJ44" s="232"/>
      <c r="AK44" s="232"/>
      <c r="AL44" s="232"/>
      <c r="AM44" s="232"/>
      <c r="AN44" s="232"/>
      <c r="AO44" s="231"/>
      <c r="AP44" s="231"/>
      <c r="AQ44" s="227"/>
      <c r="AR44" s="231"/>
      <c r="AS44" s="227"/>
      <c r="AT44" s="227"/>
      <c r="AU44" s="227"/>
      <c r="AV44" s="227"/>
    </row>
    <row r="45">
      <c r="A45" s="226" t="s">
        <v>359</v>
      </c>
      <c r="B45" s="226" t="s">
        <v>359</v>
      </c>
      <c r="C45" s="226" t="s">
        <v>360</v>
      </c>
      <c r="D45" s="226" t="s">
        <v>78</v>
      </c>
      <c r="E45" s="228">
        <v>21.0</v>
      </c>
      <c r="F45" s="228">
        <v>3.0</v>
      </c>
      <c r="G45" s="229">
        <v>0.1029</v>
      </c>
      <c r="H45" s="229">
        <v>0.1304</v>
      </c>
      <c r="I45" s="226" t="s">
        <v>361</v>
      </c>
      <c r="J45" s="226" t="s">
        <v>362</v>
      </c>
      <c r="K45" s="228">
        <v>19.0</v>
      </c>
      <c r="L45" s="228">
        <v>3.0</v>
      </c>
      <c r="M45" s="230"/>
      <c r="N45" s="227"/>
      <c r="O45" s="227"/>
      <c r="P45" s="231"/>
      <c r="Q45" s="227"/>
      <c r="R45" s="231"/>
      <c r="S45" s="231"/>
      <c r="T45" s="231"/>
      <c r="U45" s="231"/>
      <c r="V45" s="231"/>
      <c r="W45" s="231"/>
      <c r="X45" s="227"/>
      <c r="Y45" s="232"/>
      <c r="Z45" s="232"/>
      <c r="AA45" s="232"/>
      <c r="AB45" s="232"/>
      <c r="AC45" s="227"/>
      <c r="AD45" s="227"/>
      <c r="AE45" s="231"/>
      <c r="AF45" s="227"/>
      <c r="AG45" s="232"/>
      <c r="AH45" s="232"/>
      <c r="AI45" s="232"/>
      <c r="AJ45" s="232"/>
      <c r="AK45" s="232"/>
      <c r="AL45" s="232"/>
      <c r="AM45" s="232"/>
      <c r="AN45" s="232"/>
      <c r="AO45" s="231"/>
      <c r="AP45" s="231"/>
      <c r="AQ45" s="227"/>
      <c r="AR45" s="231"/>
      <c r="AS45" s="227"/>
      <c r="AT45" s="227"/>
      <c r="AU45" s="227"/>
      <c r="AV45" s="227"/>
    </row>
    <row r="46">
      <c r="A46" s="226" t="s">
        <v>363</v>
      </c>
      <c r="B46" s="226" t="s">
        <v>363</v>
      </c>
      <c r="C46" s="226" t="s">
        <v>364</v>
      </c>
      <c r="D46" s="226" t="s">
        <v>110</v>
      </c>
      <c r="E46" s="228">
        <v>20.0</v>
      </c>
      <c r="F46" s="228">
        <v>3.0</v>
      </c>
      <c r="G46" s="229">
        <v>0.08</v>
      </c>
      <c r="H46" s="229">
        <v>0.1765</v>
      </c>
      <c r="I46" s="226" t="s">
        <v>365</v>
      </c>
      <c r="J46" s="226" t="s">
        <v>316</v>
      </c>
      <c r="K46" s="228">
        <v>18.0</v>
      </c>
      <c r="L46" s="228">
        <v>2.0</v>
      </c>
      <c r="M46" s="230"/>
      <c r="N46" s="227"/>
      <c r="O46" s="227"/>
      <c r="P46" s="231"/>
      <c r="Q46" s="227"/>
      <c r="R46" s="231"/>
      <c r="S46" s="231"/>
      <c r="T46" s="231"/>
      <c r="U46" s="231"/>
      <c r="V46" s="231"/>
      <c r="W46" s="231"/>
      <c r="X46" s="227"/>
      <c r="Y46" s="232"/>
      <c r="Z46" s="232"/>
      <c r="AA46" s="232"/>
      <c r="AB46" s="232"/>
      <c r="AC46" s="227"/>
      <c r="AD46" s="227"/>
      <c r="AE46" s="231"/>
      <c r="AF46" s="227"/>
      <c r="AG46" s="232"/>
      <c r="AH46" s="232"/>
      <c r="AI46" s="232"/>
      <c r="AJ46" s="232"/>
      <c r="AK46" s="232"/>
      <c r="AL46" s="232"/>
      <c r="AM46" s="232"/>
      <c r="AN46" s="232"/>
      <c r="AO46" s="231"/>
      <c r="AP46" s="231"/>
      <c r="AQ46" s="227"/>
      <c r="AR46" s="231"/>
      <c r="AS46" s="227"/>
      <c r="AT46" s="227"/>
      <c r="AU46" s="227"/>
      <c r="AV46" s="227"/>
    </row>
    <row r="47">
      <c r="A47" s="226" t="s">
        <v>366</v>
      </c>
      <c r="B47" s="226" t="s">
        <v>366</v>
      </c>
      <c r="C47" s="226" t="s">
        <v>367</v>
      </c>
      <c r="D47" s="226" t="s">
        <v>50</v>
      </c>
      <c r="E47" s="228">
        <v>16.0</v>
      </c>
      <c r="F47" s="228">
        <v>0.0</v>
      </c>
      <c r="G47" s="229">
        <v>0.0648</v>
      </c>
      <c r="H47" s="229">
        <v>0.0</v>
      </c>
      <c r="I47" s="226" t="s">
        <v>368</v>
      </c>
      <c r="J47" s="226" t="s">
        <v>206</v>
      </c>
      <c r="K47" s="228">
        <v>16.0</v>
      </c>
      <c r="L47" s="228">
        <v>0.0</v>
      </c>
      <c r="M47" s="230"/>
      <c r="N47" s="227"/>
      <c r="O47" s="227"/>
      <c r="P47" s="231"/>
      <c r="Q47" s="227"/>
      <c r="R47" s="231"/>
      <c r="S47" s="231"/>
      <c r="T47" s="231"/>
      <c r="U47" s="231"/>
      <c r="V47" s="231"/>
      <c r="W47" s="231"/>
      <c r="X47" s="227"/>
      <c r="Y47" s="232"/>
      <c r="Z47" s="232"/>
      <c r="AA47" s="232"/>
      <c r="AB47" s="232"/>
      <c r="AC47" s="227"/>
      <c r="AD47" s="227"/>
      <c r="AE47" s="231"/>
      <c r="AF47" s="227"/>
      <c r="AG47" s="232"/>
      <c r="AH47" s="232"/>
      <c r="AI47" s="232"/>
      <c r="AJ47" s="232"/>
      <c r="AK47" s="232"/>
      <c r="AL47" s="232"/>
      <c r="AM47" s="232"/>
      <c r="AN47" s="232"/>
      <c r="AO47" s="231"/>
      <c r="AP47" s="231"/>
      <c r="AQ47" s="227"/>
      <c r="AR47" s="231"/>
      <c r="AS47" s="227"/>
      <c r="AT47" s="227"/>
      <c r="AU47" s="227"/>
      <c r="AV47" s="227"/>
    </row>
    <row r="48">
      <c r="A48" s="226" t="s">
        <v>369</v>
      </c>
      <c r="B48" s="226" t="s">
        <v>369</v>
      </c>
      <c r="C48" s="226" t="s">
        <v>370</v>
      </c>
      <c r="D48" s="226" t="s">
        <v>145</v>
      </c>
      <c r="E48" s="228">
        <v>16.0</v>
      </c>
      <c r="F48" s="228">
        <v>0.0</v>
      </c>
      <c r="G48" s="229">
        <v>0.0333</v>
      </c>
      <c r="H48" s="229">
        <v>0.0</v>
      </c>
      <c r="I48" s="226" t="s">
        <v>371</v>
      </c>
      <c r="J48" s="226" t="s">
        <v>206</v>
      </c>
      <c r="K48" s="228">
        <v>16.0</v>
      </c>
      <c r="L48" s="228">
        <v>0.0</v>
      </c>
      <c r="M48" s="230"/>
      <c r="N48" s="227"/>
      <c r="O48" s="227"/>
      <c r="P48" s="231"/>
      <c r="Q48" s="227"/>
      <c r="R48" s="231"/>
      <c r="S48" s="231"/>
      <c r="T48" s="231"/>
      <c r="U48" s="231"/>
      <c r="V48" s="231"/>
      <c r="W48" s="231"/>
      <c r="X48" s="227"/>
      <c r="Y48" s="232"/>
      <c r="Z48" s="232"/>
      <c r="AA48" s="232"/>
      <c r="AB48" s="232"/>
      <c r="AC48" s="227"/>
      <c r="AD48" s="227"/>
      <c r="AE48" s="231"/>
      <c r="AF48" s="227"/>
      <c r="AG48" s="232"/>
      <c r="AH48" s="232"/>
      <c r="AI48" s="232"/>
      <c r="AJ48" s="232"/>
      <c r="AK48" s="232"/>
      <c r="AL48" s="232"/>
      <c r="AM48" s="232"/>
      <c r="AN48" s="232"/>
      <c r="AO48" s="231"/>
      <c r="AP48" s="231"/>
      <c r="AQ48" s="227"/>
      <c r="AR48" s="231"/>
      <c r="AS48" s="227"/>
      <c r="AT48" s="227"/>
      <c r="AU48" s="227"/>
      <c r="AV48" s="227"/>
    </row>
    <row r="49">
      <c r="A49" s="226" t="s">
        <v>372</v>
      </c>
      <c r="B49" s="226" t="s">
        <v>372</v>
      </c>
      <c r="C49" s="226" t="s">
        <v>373</v>
      </c>
      <c r="D49" s="226" t="s">
        <v>12</v>
      </c>
      <c r="E49" s="228">
        <v>27.0</v>
      </c>
      <c r="F49" s="228">
        <v>1.0</v>
      </c>
      <c r="G49" s="229">
        <v>0.2126</v>
      </c>
      <c r="H49" s="229">
        <v>0.1111</v>
      </c>
      <c r="I49" s="226" t="s">
        <v>375</v>
      </c>
      <c r="J49" s="226" t="s">
        <v>376</v>
      </c>
      <c r="K49" s="228">
        <v>15.0</v>
      </c>
      <c r="L49" s="228">
        <v>1.0</v>
      </c>
      <c r="M49" s="230"/>
      <c r="N49" s="227"/>
      <c r="O49" s="227"/>
      <c r="P49" s="231"/>
      <c r="Q49" s="227"/>
      <c r="R49" s="231"/>
      <c r="S49" s="231"/>
      <c r="T49" s="231"/>
      <c r="U49" s="231"/>
      <c r="V49" s="231"/>
      <c r="W49" s="231"/>
      <c r="X49" s="227"/>
      <c r="Y49" s="232"/>
      <c r="Z49" s="232"/>
      <c r="AA49" s="232"/>
      <c r="AB49" s="232"/>
      <c r="AC49" s="227"/>
      <c r="AD49" s="227"/>
      <c r="AE49" s="231"/>
      <c r="AF49" s="227"/>
      <c r="AG49" s="232"/>
      <c r="AH49" s="232"/>
      <c r="AI49" s="232"/>
      <c r="AJ49" s="232"/>
      <c r="AK49" s="232"/>
      <c r="AL49" s="232"/>
      <c r="AM49" s="232"/>
      <c r="AN49" s="232"/>
      <c r="AO49" s="231"/>
      <c r="AP49" s="231"/>
      <c r="AQ49" s="227"/>
      <c r="AR49" s="231"/>
      <c r="AS49" s="227"/>
      <c r="AT49" s="227"/>
      <c r="AU49" s="227"/>
      <c r="AV49" s="227"/>
    </row>
    <row r="50">
      <c r="A50" s="226" t="s">
        <v>377</v>
      </c>
      <c r="B50" s="226" t="s">
        <v>377</v>
      </c>
      <c r="C50" s="226" t="s">
        <v>378</v>
      </c>
      <c r="D50" s="226" t="s">
        <v>64</v>
      </c>
      <c r="E50" s="228">
        <v>16.0</v>
      </c>
      <c r="F50" s="228">
        <v>1.0</v>
      </c>
      <c r="G50" s="229">
        <v>0.1404</v>
      </c>
      <c r="H50" s="229">
        <v>0.0833</v>
      </c>
      <c r="I50" s="226" t="s">
        <v>379</v>
      </c>
      <c r="J50" s="226" t="s">
        <v>380</v>
      </c>
      <c r="K50" s="228">
        <v>15.0</v>
      </c>
      <c r="L50" s="228">
        <v>1.0</v>
      </c>
      <c r="M50" s="230"/>
      <c r="N50" s="227"/>
      <c r="O50" s="227"/>
      <c r="P50" s="231"/>
      <c r="Q50" s="227"/>
      <c r="R50" s="231"/>
      <c r="S50" s="231"/>
      <c r="T50" s="231"/>
      <c r="U50" s="231"/>
      <c r="V50" s="231"/>
      <c r="W50" s="231"/>
      <c r="X50" s="227"/>
      <c r="Y50" s="232"/>
      <c r="Z50" s="232"/>
      <c r="AA50" s="232"/>
      <c r="AB50" s="232"/>
      <c r="AC50" s="227"/>
      <c r="AD50" s="227"/>
      <c r="AE50" s="231"/>
      <c r="AF50" s="227"/>
      <c r="AG50" s="232"/>
      <c r="AH50" s="232"/>
      <c r="AI50" s="232"/>
      <c r="AJ50" s="232"/>
      <c r="AK50" s="232"/>
      <c r="AL50" s="232"/>
      <c r="AM50" s="232"/>
      <c r="AN50" s="232"/>
      <c r="AO50" s="231"/>
      <c r="AP50" s="231"/>
      <c r="AQ50" s="227"/>
      <c r="AR50" s="231"/>
      <c r="AS50" s="227"/>
      <c r="AT50" s="227"/>
      <c r="AU50" s="227"/>
      <c r="AV50" s="227"/>
    </row>
    <row r="51">
      <c r="A51" s="226" t="s">
        <v>381</v>
      </c>
      <c r="B51" s="226" t="s">
        <v>381</v>
      </c>
      <c r="C51" s="226" t="s">
        <v>382</v>
      </c>
      <c r="D51" s="226" t="s">
        <v>61</v>
      </c>
      <c r="E51" s="228">
        <v>18.0</v>
      </c>
      <c r="F51" s="228">
        <v>5.0</v>
      </c>
      <c r="G51" s="229">
        <v>0.12</v>
      </c>
      <c r="H51" s="229">
        <v>0.2941</v>
      </c>
      <c r="I51" s="226" t="s">
        <v>383</v>
      </c>
      <c r="J51" s="226" t="s">
        <v>384</v>
      </c>
      <c r="K51" s="228">
        <v>15.0</v>
      </c>
      <c r="L51" s="228">
        <v>3.0</v>
      </c>
      <c r="M51" s="230"/>
      <c r="N51" s="227"/>
      <c r="O51" s="227"/>
      <c r="P51" s="231"/>
      <c r="Q51" s="227"/>
      <c r="R51" s="231"/>
      <c r="S51" s="231"/>
      <c r="T51" s="231"/>
      <c r="U51" s="231"/>
      <c r="V51" s="231"/>
      <c r="W51" s="231"/>
      <c r="X51" s="227"/>
      <c r="Y51" s="232"/>
      <c r="Z51" s="232"/>
      <c r="AA51" s="232"/>
      <c r="AB51" s="232"/>
      <c r="AC51" s="227"/>
      <c r="AD51" s="227"/>
      <c r="AE51" s="231"/>
      <c r="AF51" s="227"/>
      <c r="AG51" s="232"/>
      <c r="AH51" s="232"/>
      <c r="AI51" s="232"/>
      <c r="AJ51" s="232"/>
      <c r="AK51" s="232"/>
      <c r="AL51" s="232"/>
      <c r="AM51" s="232"/>
      <c r="AN51" s="232"/>
      <c r="AO51" s="231"/>
      <c r="AP51" s="231"/>
      <c r="AQ51" s="227"/>
      <c r="AR51" s="231"/>
      <c r="AS51" s="227"/>
      <c r="AT51" s="227"/>
      <c r="AU51" s="227"/>
      <c r="AV51" s="227"/>
    </row>
    <row r="52">
      <c r="A52" s="226" t="s">
        <v>385</v>
      </c>
      <c r="B52" s="226" t="s">
        <v>385</v>
      </c>
      <c r="C52" s="226" t="s">
        <v>386</v>
      </c>
      <c r="D52" s="226" t="s">
        <v>128</v>
      </c>
      <c r="E52" s="228">
        <v>15.0</v>
      </c>
      <c r="F52" s="228">
        <v>1.0</v>
      </c>
      <c r="G52" s="229">
        <v>0.0909</v>
      </c>
      <c r="H52" s="229">
        <v>0.0909</v>
      </c>
      <c r="I52" s="226" t="s">
        <v>387</v>
      </c>
      <c r="J52" s="226" t="s">
        <v>388</v>
      </c>
      <c r="K52" s="228">
        <v>15.0</v>
      </c>
      <c r="L52" s="228">
        <v>1.0</v>
      </c>
      <c r="M52" s="230"/>
      <c r="N52" s="227"/>
      <c r="O52" s="227"/>
      <c r="P52" s="231"/>
      <c r="Q52" s="227"/>
      <c r="R52" s="231"/>
      <c r="S52" s="231"/>
      <c r="T52" s="231"/>
      <c r="U52" s="231"/>
      <c r="V52" s="231"/>
      <c r="W52" s="231"/>
      <c r="X52" s="227"/>
      <c r="Y52" s="232"/>
      <c r="Z52" s="232"/>
      <c r="AA52" s="232"/>
      <c r="AB52" s="232"/>
      <c r="AC52" s="227"/>
      <c r="AD52" s="227"/>
      <c r="AE52" s="231"/>
      <c r="AF52" s="227"/>
      <c r="AG52" s="232"/>
      <c r="AH52" s="232"/>
      <c r="AI52" s="232"/>
      <c r="AJ52" s="232"/>
      <c r="AK52" s="232"/>
      <c r="AL52" s="232"/>
      <c r="AM52" s="232"/>
      <c r="AN52" s="232"/>
      <c r="AO52" s="231"/>
      <c r="AP52" s="231"/>
      <c r="AQ52" s="227"/>
      <c r="AR52" s="231"/>
      <c r="AS52" s="227"/>
      <c r="AT52" s="227"/>
      <c r="AU52" s="227"/>
      <c r="AV52" s="227"/>
    </row>
    <row r="53">
      <c r="A53" s="226" t="s">
        <v>389</v>
      </c>
      <c r="B53" s="226" t="s">
        <v>389</v>
      </c>
      <c r="C53" s="226" t="s">
        <v>390</v>
      </c>
      <c r="D53" s="226" t="s">
        <v>153</v>
      </c>
      <c r="E53" s="228">
        <v>22.0</v>
      </c>
      <c r="F53" s="228">
        <v>1.0</v>
      </c>
      <c r="G53" s="229">
        <v>0.0863</v>
      </c>
      <c r="H53" s="229">
        <v>0.0714</v>
      </c>
      <c r="I53" s="226" t="s">
        <v>391</v>
      </c>
      <c r="J53" s="226" t="s">
        <v>392</v>
      </c>
      <c r="K53" s="228">
        <v>15.0</v>
      </c>
      <c r="L53" s="228">
        <v>1.0</v>
      </c>
      <c r="M53" s="230"/>
      <c r="N53" s="227"/>
      <c r="O53" s="227"/>
      <c r="P53" s="231"/>
      <c r="Q53" s="227"/>
      <c r="R53" s="231"/>
      <c r="S53" s="231"/>
      <c r="T53" s="231"/>
      <c r="U53" s="231"/>
      <c r="V53" s="231"/>
      <c r="W53" s="231"/>
      <c r="X53" s="227"/>
      <c r="Y53" s="232"/>
      <c r="Z53" s="232"/>
      <c r="AA53" s="232"/>
      <c r="AB53" s="232"/>
      <c r="AC53" s="227"/>
      <c r="AD53" s="227"/>
      <c r="AE53" s="231"/>
      <c r="AF53" s="227"/>
      <c r="AG53" s="232"/>
      <c r="AH53" s="232"/>
      <c r="AI53" s="232"/>
      <c r="AJ53" s="232"/>
      <c r="AK53" s="232"/>
      <c r="AL53" s="232"/>
      <c r="AM53" s="232"/>
      <c r="AN53" s="232"/>
      <c r="AO53" s="231"/>
      <c r="AP53" s="231"/>
      <c r="AQ53" s="227"/>
      <c r="AR53" s="231"/>
      <c r="AS53" s="227"/>
      <c r="AT53" s="227"/>
      <c r="AU53" s="227"/>
      <c r="AV53" s="227"/>
    </row>
    <row r="54">
      <c r="A54" s="226" t="s">
        <v>393</v>
      </c>
      <c r="B54" s="226" t="s">
        <v>393</v>
      </c>
      <c r="C54" s="226" t="s">
        <v>394</v>
      </c>
      <c r="D54" s="226" t="s">
        <v>6</v>
      </c>
      <c r="E54" s="228">
        <v>21.0</v>
      </c>
      <c r="F54" s="228">
        <v>1.0</v>
      </c>
      <c r="G54" s="229">
        <v>0.236</v>
      </c>
      <c r="H54" s="229">
        <v>0.1667</v>
      </c>
      <c r="I54" s="226" t="s">
        <v>395</v>
      </c>
      <c r="J54" s="226" t="s">
        <v>396</v>
      </c>
      <c r="K54" s="228">
        <v>14.0</v>
      </c>
      <c r="L54" s="228">
        <v>1.0</v>
      </c>
      <c r="M54" s="230"/>
      <c r="N54" s="227"/>
      <c r="O54" s="227"/>
      <c r="P54" s="231"/>
      <c r="Q54" s="227"/>
      <c r="R54" s="231"/>
      <c r="S54" s="231"/>
      <c r="T54" s="231"/>
      <c r="U54" s="231"/>
      <c r="V54" s="231"/>
      <c r="W54" s="231"/>
      <c r="X54" s="227"/>
      <c r="Y54" s="232"/>
      <c r="Z54" s="232"/>
      <c r="AA54" s="232"/>
      <c r="AB54" s="232"/>
      <c r="AC54" s="227"/>
      <c r="AD54" s="227"/>
      <c r="AE54" s="231"/>
      <c r="AF54" s="227"/>
      <c r="AG54" s="232"/>
      <c r="AH54" s="232"/>
      <c r="AI54" s="232"/>
      <c r="AJ54" s="232"/>
      <c r="AK54" s="232"/>
      <c r="AL54" s="232"/>
      <c r="AM54" s="232"/>
      <c r="AN54" s="232"/>
      <c r="AO54" s="231"/>
      <c r="AP54" s="231"/>
      <c r="AQ54" s="227"/>
      <c r="AR54" s="231"/>
      <c r="AS54" s="227"/>
      <c r="AT54" s="227"/>
      <c r="AU54" s="227"/>
      <c r="AV54" s="227"/>
    </row>
    <row r="55">
      <c r="A55" s="226" t="s">
        <v>397</v>
      </c>
      <c r="B55" s="226" t="s">
        <v>397</v>
      </c>
      <c r="C55" s="226" t="s">
        <v>398</v>
      </c>
      <c r="D55" s="226" t="s">
        <v>148</v>
      </c>
      <c r="E55" s="228">
        <v>12.0</v>
      </c>
      <c r="F55" s="228">
        <v>0.0</v>
      </c>
      <c r="G55" s="229">
        <v>0.0663</v>
      </c>
      <c r="H55" s="229">
        <v>0.0</v>
      </c>
      <c r="I55" s="226" t="s">
        <v>399</v>
      </c>
      <c r="J55" s="226" t="s">
        <v>206</v>
      </c>
      <c r="K55" s="228">
        <v>11.0</v>
      </c>
      <c r="L55" s="228">
        <v>0.0</v>
      </c>
      <c r="M55" s="230"/>
      <c r="N55" s="227"/>
      <c r="O55" s="227"/>
      <c r="P55" s="231"/>
      <c r="Q55" s="227"/>
      <c r="R55" s="231"/>
      <c r="S55" s="231"/>
      <c r="T55" s="231"/>
      <c r="U55" s="231"/>
      <c r="V55" s="231"/>
      <c r="W55" s="231"/>
      <c r="X55" s="227"/>
      <c r="Y55" s="232"/>
      <c r="Z55" s="232"/>
      <c r="AA55" s="232"/>
      <c r="AB55" s="232"/>
      <c r="AC55" s="227"/>
      <c r="AD55" s="227"/>
      <c r="AE55" s="231"/>
      <c r="AF55" s="227"/>
      <c r="AG55" s="232"/>
      <c r="AH55" s="232"/>
      <c r="AI55" s="232"/>
      <c r="AJ55" s="232"/>
      <c r="AK55" s="232"/>
      <c r="AL55" s="232"/>
      <c r="AM55" s="232"/>
      <c r="AN55" s="232"/>
      <c r="AO55" s="231"/>
      <c r="AP55" s="231"/>
      <c r="AQ55" s="227"/>
      <c r="AR55" s="231"/>
      <c r="AS55" s="227"/>
      <c r="AT55" s="227"/>
      <c r="AU55" s="227"/>
      <c r="AV55" s="227"/>
    </row>
    <row r="56">
      <c r="A56" s="226" t="s">
        <v>400</v>
      </c>
      <c r="B56" s="226" t="s">
        <v>400</v>
      </c>
      <c r="C56" s="226" t="s">
        <v>401</v>
      </c>
      <c r="D56" s="226" t="s">
        <v>104</v>
      </c>
      <c r="E56" s="228">
        <v>11.0</v>
      </c>
      <c r="F56" s="228">
        <v>0.0</v>
      </c>
      <c r="G56" s="229">
        <v>0.0873</v>
      </c>
      <c r="H56" s="229">
        <v>0.0</v>
      </c>
      <c r="I56" s="226" t="s">
        <v>402</v>
      </c>
      <c r="J56" s="226" t="s">
        <v>206</v>
      </c>
      <c r="K56" s="228">
        <v>11.0</v>
      </c>
      <c r="L56" s="228">
        <v>0.0</v>
      </c>
      <c r="M56" s="230"/>
      <c r="N56" s="227"/>
      <c r="O56" s="227"/>
      <c r="P56" s="231"/>
      <c r="Q56" s="227"/>
      <c r="R56" s="231"/>
      <c r="S56" s="231"/>
      <c r="T56" s="231"/>
      <c r="U56" s="231"/>
      <c r="V56" s="231"/>
      <c r="W56" s="231"/>
      <c r="X56" s="227"/>
      <c r="Y56" s="232"/>
      <c r="Z56" s="232"/>
      <c r="AA56" s="232"/>
      <c r="AB56" s="232"/>
      <c r="AC56" s="227"/>
      <c r="AD56" s="227"/>
      <c r="AE56" s="231"/>
      <c r="AF56" s="227"/>
      <c r="AG56" s="232"/>
      <c r="AH56" s="232"/>
      <c r="AI56" s="232"/>
      <c r="AJ56" s="232"/>
      <c r="AK56" s="232"/>
      <c r="AL56" s="232"/>
      <c r="AM56" s="232"/>
      <c r="AN56" s="232"/>
      <c r="AO56" s="231"/>
      <c r="AP56" s="231"/>
      <c r="AQ56" s="227"/>
      <c r="AR56" s="231"/>
      <c r="AS56" s="227"/>
      <c r="AT56" s="227"/>
      <c r="AU56" s="227"/>
      <c r="AV56" s="227"/>
    </row>
    <row r="57">
      <c r="A57" s="226" t="s">
        <v>333</v>
      </c>
      <c r="B57" s="226" t="s">
        <v>333</v>
      </c>
      <c r="C57" s="226" t="s">
        <v>334</v>
      </c>
      <c r="D57" s="226" t="s">
        <v>403</v>
      </c>
      <c r="E57" s="228">
        <v>10.0</v>
      </c>
      <c r="F57" s="228">
        <v>1.0</v>
      </c>
      <c r="G57" s="229">
        <v>0.0314</v>
      </c>
      <c r="H57" s="229">
        <v>0.0526</v>
      </c>
      <c r="I57" s="226" t="s">
        <v>404</v>
      </c>
      <c r="J57" s="226" t="s">
        <v>405</v>
      </c>
      <c r="K57" s="228">
        <v>10.0</v>
      </c>
      <c r="L57" s="228">
        <v>1.0</v>
      </c>
      <c r="M57" s="230"/>
      <c r="N57" s="227"/>
      <c r="O57" s="227"/>
      <c r="P57" s="231"/>
      <c r="Q57" s="227"/>
      <c r="R57" s="231"/>
      <c r="S57" s="231"/>
      <c r="T57" s="231"/>
      <c r="U57" s="231"/>
      <c r="V57" s="231"/>
      <c r="W57" s="231"/>
      <c r="X57" s="227"/>
      <c r="Y57" s="232"/>
      <c r="Z57" s="232"/>
      <c r="AA57" s="232"/>
      <c r="AB57" s="232"/>
      <c r="AC57" s="227"/>
      <c r="AD57" s="227"/>
      <c r="AE57" s="231"/>
      <c r="AF57" s="227"/>
      <c r="AG57" s="232"/>
      <c r="AH57" s="232"/>
      <c r="AI57" s="232"/>
      <c r="AJ57" s="232"/>
      <c r="AK57" s="232"/>
      <c r="AL57" s="232"/>
      <c r="AM57" s="232"/>
      <c r="AN57" s="232"/>
      <c r="AO57" s="231"/>
      <c r="AP57" s="231"/>
      <c r="AQ57" s="227"/>
      <c r="AR57" s="231"/>
      <c r="AS57" s="227"/>
      <c r="AT57" s="227"/>
      <c r="AU57" s="227"/>
      <c r="AV57" s="227"/>
    </row>
    <row r="58">
      <c r="A58" s="226" t="s">
        <v>406</v>
      </c>
      <c r="B58" s="226" t="s">
        <v>406</v>
      </c>
      <c r="C58" s="226" t="s">
        <v>407</v>
      </c>
      <c r="D58" s="226" t="s">
        <v>126</v>
      </c>
      <c r="E58" s="228">
        <v>10.0</v>
      </c>
      <c r="F58" s="228">
        <v>0.0</v>
      </c>
      <c r="G58" s="229">
        <v>0.0826</v>
      </c>
      <c r="H58" s="229">
        <v>0.0</v>
      </c>
      <c r="I58" s="226" t="s">
        <v>408</v>
      </c>
      <c r="J58" s="226" t="s">
        <v>206</v>
      </c>
      <c r="K58" s="228">
        <v>10.0</v>
      </c>
      <c r="L58" s="228">
        <v>0.0</v>
      </c>
      <c r="M58" s="230"/>
      <c r="N58" s="227"/>
      <c r="O58" s="227"/>
      <c r="P58" s="231"/>
      <c r="Q58" s="227"/>
      <c r="R58" s="231"/>
      <c r="S58" s="231"/>
      <c r="T58" s="231"/>
      <c r="U58" s="231"/>
      <c r="V58" s="231"/>
      <c r="W58" s="231"/>
      <c r="X58" s="227"/>
      <c r="Y58" s="232"/>
      <c r="Z58" s="232"/>
      <c r="AA58" s="232"/>
      <c r="AB58" s="232"/>
      <c r="AC58" s="227"/>
      <c r="AD58" s="227"/>
      <c r="AE58" s="231"/>
      <c r="AF58" s="227"/>
      <c r="AG58" s="232"/>
      <c r="AH58" s="232"/>
      <c r="AI58" s="232"/>
      <c r="AJ58" s="232"/>
      <c r="AK58" s="232"/>
      <c r="AL58" s="232"/>
      <c r="AM58" s="232"/>
      <c r="AN58" s="232"/>
      <c r="AO58" s="231"/>
      <c r="AP58" s="231"/>
      <c r="AQ58" s="227"/>
      <c r="AR58" s="231"/>
      <c r="AS58" s="227"/>
      <c r="AT58" s="227"/>
      <c r="AU58" s="227"/>
      <c r="AV58" s="227"/>
    </row>
    <row r="59">
      <c r="A59" s="226" t="s">
        <v>290</v>
      </c>
      <c r="B59" s="226" t="s">
        <v>290</v>
      </c>
      <c r="C59" s="226" t="s">
        <v>291</v>
      </c>
      <c r="D59" s="226" t="s">
        <v>39</v>
      </c>
      <c r="E59" s="228">
        <v>10.0</v>
      </c>
      <c r="F59" s="228">
        <v>0.0</v>
      </c>
      <c r="G59" s="229">
        <v>0.0042</v>
      </c>
      <c r="H59" s="229">
        <v>0.0</v>
      </c>
      <c r="I59" s="226" t="s">
        <v>409</v>
      </c>
      <c r="J59" s="226" t="s">
        <v>206</v>
      </c>
      <c r="K59" s="228">
        <v>9.0</v>
      </c>
      <c r="L59" s="228">
        <v>0.0</v>
      </c>
      <c r="M59" s="230"/>
      <c r="N59" s="227"/>
      <c r="O59" s="227"/>
      <c r="P59" s="231"/>
      <c r="Q59" s="227"/>
      <c r="R59" s="231"/>
      <c r="S59" s="231"/>
      <c r="T59" s="231"/>
      <c r="U59" s="231"/>
      <c r="V59" s="231"/>
      <c r="W59" s="231"/>
      <c r="X59" s="227"/>
      <c r="Y59" s="232"/>
      <c r="Z59" s="232"/>
      <c r="AA59" s="232"/>
      <c r="AB59" s="232"/>
      <c r="AC59" s="227"/>
      <c r="AD59" s="227"/>
      <c r="AE59" s="231"/>
      <c r="AF59" s="227"/>
      <c r="AG59" s="232"/>
      <c r="AH59" s="232"/>
      <c r="AI59" s="232"/>
      <c r="AJ59" s="232"/>
      <c r="AK59" s="232"/>
      <c r="AL59" s="232"/>
      <c r="AM59" s="232"/>
      <c r="AN59" s="232"/>
      <c r="AO59" s="231"/>
      <c r="AP59" s="231"/>
      <c r="AQ59" s="227"/>
      <c r="AR59" s="231"/>
      <c r="AS59" s="227"/>
      <c r="AT59" s="227"/>
      <c r="AU59" s="227"/>
      <c r="AV59" s="227"/>
    </row>
    <row r="60">
      <c r="A60" s="226" t="s">
        <v>410</v>
      </c>
      <c r="B60" s="226" t="s">
        <v>410</v>
      </c>
      <c r="C60" s="226" t="s">
        <v>411</v>
      </c>
      <c r="D60" s="226" t="s">
        <v>25</v>
      </c>
      <c r="E60" s="228">
        <v>12.0</v>
      </c>
      <c r="F60" s="228">
        <v>1.0</v>
      </c>
      <c r="G60" s="229">
        <v>0.0585</v>
      </c>
      <c r="H60" s="229">
        <v>0.2</v>
      </c>
      <c r="I60" s="226" t="s">
        <v>412</v>
      </c>
      <c r="J60" s="226" t="s">
        <v>413</v>
      </c>
      <c r="K60" s="228">
        <v>9.0</v>
      </c>
      <c r="L60" s="228">
        <v>1.0</v>
      </c>
      <c r="M60" s="230"/>
      <c r="N60" s="227"/>
      <c r="O60" s="227"/>
      <c r="P60" s="231"/>
      <c r="Q60" s="227"/>
      <c r="R60" s="231"/>
      <c r="S60" s="231"/>
      <c r="T60" s="231"/>
      <c r="U60" s="231"/>
      <c r="V60" s="231"/>
      <c r="W60" s="231"/>
      <c r="X60" s="227"/>
      <c r="Y60" s="232"/>
      <c r="Z60" s="232"/>
      <c r="AA60" s="232"/>
      <c r="AB60" s="232"/>
      <c r="AC60" s="227"/>
      <c r="AD60" s="227"/>
      <c r="AE60" s="231"/>
      <c r="AF60" s="227"/>
      <c r="AG60" s="232"/>
      <c r="AH60" s="232"/>
      <c r="AI60" s="232"/>
      <c r="AJ60" s="232"/>
      <c r="AK60" s="232"/>
      <c r="AL60" s="232"/>
      <c r="AM60" s="232"/>
      <c r="AN60" s="232"/>
      <c r="AO60" s="231"/>
      <c r="AP60" s="231"/>
      <c r="AQ60" s="227"/>
      <c r="AR60" s="231"/>
      <c r="AS60" s="227"/>
      <c r="AT60" s="227"/>
      <c r="AU60" s="227"/>
      <c r="AV60" s="227"/>
    </row>
    <row r="61">
      <c r="A61" s="226" t="s">
        <v>414</v>
      </c>
      <c r="B61" s="226" t="s">
        <v>414</v>
      </c>
      <c r="C61" s="226" t="s">
        <v>415</v>
      </c>
      <c r="D61" s="226" t="s">
        <v>56</v>
      </c>
      <c r="E61" s="228">
        <v>19.0</v>
      </c>
      <c r="F61" s="228">
        <v>8.0</v>
      </c>
      <c r="G61" s="229">
        <v>0.181</v>
      </c>
      <c r="H61" s="229">
        <v>0.2759</v>
      </c>
      <c r="I61" s="226" t="s">
        <v>416</v>
      </c>
      <c r="J61" s="226" t="s">
        <v>417</v>
      </c>
      <c r="K61" s="228">
        <v>9.0</v>
      </c>
      <c r="L61" s="228">
        <v>3.0</v>
      </c>
      <c r="M61" s="230"/>
      <c r="N61" s="227"/>
      <c r="O61" s="227"/>
      <c r="P61" s="231"/>
      <c r="Q61" s="227"/>
      <c r="R61" s="231"/>
      <c r="S61" s="231"/>
      <c r="T61" s="231"/>
      <c r="U61" s="231"/>
      <c r="V61" s="231"/>
      <c r="W61" s="231"/>
      <c r="X61" s="227"/>
      <c r="Y61" s="232"/>
      <c r="Z61" s="232"/>
      <c r="AA61" s="232"/>
      <c r="AB61" s="232"/>
      <c r="AC61" s="227"/>
      <c r="AD61" s="227"/>
      <c r="AE61" s="231"/>
      <c r="AF61" s="227"/>
      <c r="AG61" s="232"/>
      <c r="AH61" s="232"/>
      <c r="AI61" s="232"/>
      <c r="AJ61" s="232"/>
      <c r="AK61" s="232"/>
      <c r="AL61" s="232"/>
      <c r="AM61" s="232"/>
      <c r="AN61" s="232"/>
      <c r="AO61" s="231"/>
      <c r="AP61" s="231"/>
      <c r="AQ61" s="227"/>
      <c r="AR61" s="231"/>
      <c r="AS61" s="227"/>
      <c r="AT61" s="227"/>
      <c r="AU61" s="227"/>
      <c r="AV61" s="227"/>
    </row>
    <row r="62">
      <c r="A62" s="226" t="s">
        <v>418</v>
      </c>
      <c r="B62" s="226" t="s">
        <v>418</v>
      </c>
      <c r="C62" s="226" t="s">
        <v>419</v>
      </c>
      <c r="D62" s="226" t="s">
        <v>88</v>
      </c>
      <c r="E62" s="228">
        <v>9.0</v>
      </c>
      <c r="F62" s="228">
        <v>0.0</v>
      </c>
      <c r="G62" s="229">
        <v>0.0638</v>
      </c>
      <c r="H62" s="229">
        <v>0.0</v>
      </c>
      <c r="I62" s="226" t="s">
        <v>420</v>
      </c>
      <c r="J62" s="226" t="s">
        <v>206</v>
      </c>
      <c r="K62" s="228">
        <v>9.0</v>
      </c>
      <c r="L62" s="228">
        <v>0.0</v>
      </c>
      <c r="M62" s="230"/>
      <c r="N62" s="227"/>
      <c r="O62" s="227"/>
      <c r="P62" s="231"/>
      <c r="Q62" s="227"/>
      <c r="R62" s="231"/>
      <c r="S62" s="231"/>
      <c r="T62" s="231"/>
      <c r="U62" s="231"/>
      <c r="V62" s="231"/>
      <c r="W62" s="231"/>
      <c r="X62" s="227"/>
      <c r="Y62" s="232"/>
      <c r="Z62" s="232"/>
      <c r="AA62" s="232"/>
      <c r="AB62" s="232"/>
      <c r="AC62" s="227"/>
      <c r="AD62" s="227"/>
      <c r="AE62" s="231"/>
      <c r="AF62" s="227"/>
      <c r="AG62" s="232"/>
      <c r="AH62" s="232"/>
      <c r="AI62" s="232"/>
      <c r="AJ62" s="232"/>
      <c r="AK62" s="232"/>
      <c r="AL62" s="232"/>
      <c r="AM62" s="232"/>
      <c r="AN62" s="232"/>
      <c r="AO62" s="231"/>
      <c r="AP62" s="231"/>
      <c r="AQ62" s="227"/>
      <c r="AR62" s="231"/>
      <c r="AS62" s="227"/>
      <c r="AT62" s="227"/>
      <c r="AU62" s="227"/>
      <c r="AV62" s="227"/>
    </row>
    <row r="63">
      <c r="A63" s="226" t="s">
        <v>421</v>
      </c>
      <c r="B63" s="226" t="s">
        <v>421</v>
      </c>
      <c r="C63" s="226" t="s">
        <v>422</v>
      </c>
      <c r="D63" s="226" t="s">
        <v>33</v>
      </c>
      <c r="E63" s="228">
        <v>12.0</v>
      </c>
      <c r="F63" s="228">
        <v>3.0</v>
      </c>
      <c r="G63" s="229">
        <v>0.1165</v>
      </c>
      <c r="H63" s="229">
        <v>0.5</v>
      </c>
      <c r="I63" s="226" t="s">
        <v>423</v>
      </c>
      <c r="J63" s="226" t="s">
        <v>424</v>
      </c>
      <c r="K63" s="228">
        <v>8.0</v>
      </c>
      <c r="L63" s="228">
        <v>1.0</v>
      </c>
      <c r="M63" s="230"/>
      <c r="N63" s="227"/>
      <c r="O63" s="227"/>
      <c r="P63" s="231"/>
      <c r="Q63" s="227"/>
      <c r="R63" s="231"/>
      <c r="S63" s="231"/>
      <c r="T63" s="231"/>
      <c r="U63" s="231"/>
      <c r="V63" s="231"/>
      <c r="W63" s="231"/>
      <c r="X63" s="227"/>
      <c r="Y63" s="232"/>
      <c r="Z63" s="232"/>
      <c r="AA63" s="232"/>
      <c r="AB63" s="232"/>
      <c r="AC63" s="227"/>
      <c r="AD63" s="227"/>
      <c r="AE63" s="231"/>
      <c r="AF63" s="227"/>
      <c r="AG63" s="232"/>
      <c r="AH63" s="232"/>
      <c r="AI63" s="232"/>
      <c r="AJ63" s="232"/>
      <c r="AK63" s="232"/>
      <c r="AL63" s="232"/>
      <c r="AM63" s="232"/>
      <c r="AN63" s="232"/>
      <c r="AO63" s="231"/>
      <c r="AP63" s="231"/>
      <c r="AQ63" s="227"/>
      <c r="AR63" s="231"/>
      <c r="AS63" s="227"/>
      <c r="AT63" s="227"/>
      <c r="AU63" s="227"/>
      <c r="AV63" s="227"/>
    </row>
    <row r="64">
      <c r="A64" s="226" t="s">
        <v>425</v>
      </c>
      <c r="B64" s="226" t="s">
        <v>425</v>
      </c>
      <c r="C64" s="226" t="s">
        <v>426</v>
      </c>
      <c r="D64" s="226" t="s">
        <v>86</v>
      </c>
      <c r="E64" s="228">
        <v>8.0</v>
      </c>
      <c r="F64" s="228">
        <v>2.0</v>
      </c>
      <c r="G64" s="229">
        <v>0.1951</v>
      </c>
      <c r="H64" s="229">
        <v>0.2857</v>
      </c>
      <c r="I64" s="226" t="s">
        <v>427</v>
      </c>
      <c r="J64" s="226" t="s">
        <v>336</v>
      </c>
      <c r="K64" s="228">
        <v>8.0</v>
      </c>
      <c r="L64" s="228">
        <v>2.0</v>
      </c>
      <c r="M64" s="230"/>
      <c r="N64" s="227"/>
      <c r="O64" s="227"/>
      <c r="P64" s="231"/>
      <c r="Q64" s="227"/>
      <c r="R64" s="231"/>
      <c r="S64" s="231"/>
      <c r="T64" s="231"/>
      <c r="U64" s="231"/>
      <c r="V64" s="231"/>
      <c r="W64" s="231"/>
      <c r="X64" s="227"/>
      <c r="Y64" s="232"/>
      <c r="Z64" s="232"/>
      <c r="AA64" s="232"/>
      <c r="AB64" s="232"/>
      <c r="AC64" s="227"/>
      <c r="AD64" s="227"/>
      <c r="AE64" s="231"/>
      <c r="AF64" s="227"/>
      <c r="AG64" s="232"/>
      <c r="AH64" s="232"/>
      <c r="AI64" s="232"/>
      <c r="AJ64" s="232"/>
      <c r="AK64" s="232"/>
      <c r="AL64" s="232"/>
      <c r="AM64" s="232"/>
      <c r="AN64" s="232"/>
      <c r="AO64" s="231"/>
      <c r="AP64" s="231"/>
      <c r="AQ64" s="227"/>
      <c r="AR64" s="231"/>
      <c r="AS64" s="227"/>
      <c r="AT64" s="227"/>
      <c r="AU64" s="227"/>
      <c r="AV64" s="227"/>
    </row>
    <row r="65">
      <c r="A65" s="226" t="s">
        <v>428</v>
      </c>
      <c r="B65" s="226" t="s">
        <v>428</v>
      </c>
      <c r="C65" s="233"/>
      <c r="D65" s="226" t="s">
        <v>429</v>
      </c>
      <c r="E65" s="228">
        <v>7.0</v>
      </c>
      <c r="F65" s="228">
        <v>0.0</v>
      </c>
      <c r="G65" s="229">
        <v>0.0824</v>
      </c>
      <c r="H65" s="229">
        <v>0.0</v>
      </c>
      <c r="I65" s="226" t="s">
        <v>430</v>
      </c>
      <c r="J65" s="226" t="s">
        <v>206</v>
      </c>
      <c r="K65" s="228">
        <v>7.0</v>
      </c>
      <c r="L65" s="228">
        <v>0.0</v>
      </c>
      <c r="M65" s="230"/>
      <c r="N65" s="227"/>
      <c r="O65" s="227"/>
      <c r="P65" s="231"/>
      <c r="Q65" s="227"/>
      <c r="R65" s="231"/>
      <c r="S65" s="231"/>
      <c r="T65" s="231"/>
      <c r="U65" s="231"/>
      <c r="V65" s="231"/>
      <c r="W65" s="231"/>
      <c r="X65" s="227"/>
      <c r="Y65" s="232"/>
      <c r="Z65" s="232"/>
      <c r="AA65" s="232"/>
      <c r="AB65" s="232"/>
      <c r="AC65" s="227"/>
      <c r="AD65" s="227"/>
      <c r="AE65" s="231"/>
      <c r="AF65" s="227"/>
      <c r="AG65" s="232"/>
      <c r="AH65" s="232"/>
      <c r="AI65" s="232"/>
      <c r="AJ65" s="232"/>
      <c r="AK65" s="232"/>
      <c r="AL65" s="232"/>
      <c r="AM65" s="232"/>
      <c r="AN65" s="232"/>
      <c r="AO65" s="231"/>
      <c r="AP65" s="231"/>
      <c r="AQ65" s="227"/>
      <c r="AR65" s="231"/>
      <c r="AS65" s="227"/>
      <c r="AT65" s="227"/>
      <c r="AU65" s="227"/>
      <c r="AV65" s="227"/>
    </row>
    <row r="66">
      <c r="A66" s="226" t="s">
        <v>431</v>
      </c>
      <c r="B66" s="226" t="s">
        <v>431</v>
      </c>
      <c r="C66" s="226" t="s">
        <v>432</v>
      </c>
      <c r="D66" s="226" t="s">
        <v>8</v>
      </c>
      <c r="E66" s="228">
        <v>12.0</v>
      </c>
      <c r="F66" s="228">
        <v>0.0</v>
      </c>
      <c r="G66" s="229">
        <v>0.1237</v>
      </c>
      <c r="H66" s="229">
        <v>0.0</v>
      </c>
      <c r="I66" s="226" t="s">
        <v>433</v>
      </c>
      <c r="J66" s="226" t="s">
        <v>206</v>
      </c>
      <c r="K66" s="228">
        <v>7.0</v>
      </c>
      <c r="L66" s="228">
        <v>0.0</v>
      </c>
      <c r="M66" s="230"/>
      <c r="N66" s="227"/>
      <c r="O66" s="227"/>
      <c r="P66" s="231"/>
      <c r="Q66" s="227"/>
      <c r="R66" s="231"/>
      <c r="S66" s="231"/>
      <c r="T66" s="231"/>
      <c r="U66" s="231"/>
      <c r="V66" s="231"/>
      <c r="W66" s="231"/>
      <c r="X66" s="227"/>
      <c r="Y66" s="232"/>
      <c r="Z66" s="232"/>
      <c r="AA66" s="232"/>
      <c r="AB66" s="232"/>
      <c r="AC66" s="227"/>
      <c r="AD66" s="227"/>
      <c r="AE66" s="231"/>
      <c r="AF66" s="227"/>
      <c r="AG66" s="232"/>
      <c r="AH66" s="232"/>
      <c r="AI66" s="232"/>
      <c r="AJ66" s="232"/>
      <c r="AK66" s="232"/>
      <c r="AL66" s="232"/>
      <c r="AM66" s="232"/>
      <c r="AN66" s="232"/>
      <c r="AO66" s="231"/>
      <c r="AP66" s="231"/>
      <c r="AQ66" s="227"/>
      <c r="AR66" s="231"/>
      <c r="AS66" s="227"/>
      <c r="AT66" s="227"/>
      <c r="AU66" s="227"/>
      <c r="AV66" s="227"/>
    </row>
    <row r="67">
      <c r="A67" s="226" t="s">
        <v>434</v>
      </c>
      <c r="B67" s="226" t="s">
        <v>434</v>
      </c>
      <c r="C67" s="226" t="s">
        <v>435</v>
      </c>
      <c r="D67" s="226" t="s">
        <v>31</v>
      </c>
      <c r="E67" s="228">
        <v>7.0</v>
      </c>
      <c r="F67" s="228">
        <v>0.0</v>
      </c>
      <c r="G67" s="229">
        <v>0.0769</v>
      </c>
      <c r="H67" s="229">
        <v>0.0</v>
      </c>
      <c r="I67" s="226" t="s">
        <v>436</v>
      </c>
      <c r="J67" s="226" t="s">
        <v>206</v>
      </c>
      <c r="K67" s="228">
        <v>7.0</v>
      </c>
      <c r="L67" s="228">
        <v>0.0</v>
      </c>
      <c r="M67" s="230"/>
      <c r="N67" s="227"/>
      <c r="O67" s="227"/>
      <c r="P67" s="231"/>
      <c r="Q67" s="227"/>
      <c r="R67" s="231"/>
      <c r="S67" s="231"/>
      <c r="T67" s="231"/>
      <c r="U67" s="231"/>
      <c r="V67" s="231"/>
      <c r="W67" s="231"/>
      <c r="X67" s="227"/>
      <c r="Y67" s="232"/>
      <c r="Z67" s="232"/>
      <c r="AA67" s="232"/>
      <c r="AB67" s="232"/>
      <c r="AC67" s="227"/>
      <c r="AD67" s="227"/>
      <c r="AE67" s="231"/>
      <c r="AF67" s="227"/>
      <c r="AG67" s="232"/>
      <c r="AH67" s="232"/>
      <c r="AI67" s="232"/>
      <c r="AJ67" s="232"/>
      <c r="AK67" s="232"/>
      <c r="AL67" s="232"/>
      <c r="AM67" s="232"/>
      <c r="AN67" s="232"/>
      <c r="AO67" s="231"/>
      <c r="AP67" s="231"/>
      <c r="AQ67" s="227"/>
      <c r="AR67" s="231"/>
      <c r="AS67" s="227"/>
      <c r="AT67" s="227"/>
      <c r="AU67" s="227"/>
      <c r="AV67" s="227"/>
    </row>
    <row r="68">
      <c r="A68" s="226" t="s">
        <v>437</v>
      </c>
      <c r="B68" s="226" t="s">
        <v>437</v>
      </c>
      <c r="C68" s="226" t="s">
        <v>438</v>
      </c>
      <c r="D68" s="226" t="s">
        <v>146</v>
      </c>
      <c r="E68" s="228">
        <v>7.0</v>
      </c>
      <c r="F68" s="228">
        <v>0.0</v>
      </c>
      <c r="G68" s="229">
        <v>0.0476</v>
      </c>
      <c r="H68" s="229">
        <v>0.0</v>
      </c>
      <c r="I68" s="226" t="s">
        <v>439</v>
      </c>
      <c r="J68" s="226" t="s">
        <v>206</v>
      </c>
      <c r="K68" s="228">
        <v>7.0</v>
      </c>
      <c r="L68" s="228">
        <v>0.0</v>
      </c>
      <c r="M68" s="230"/>
      <c r="N68" s="227"/>
      <c r="O68" s="227"/>
      <c r="P68" s="231"/>
      <c r="Q68" s="227"/>
      <c r="R68" s="231"/>
      <c r="S68" s="231"/>
      <c r="T68" s="231"/>
      <c r="U68" s="231"/>
      <c r="V68" s="231"/>
      <c r="W68" s="231"/>
      <c r="X68" s="227"/>
      <c r="Y68" s="232"/>
      <c r="Z68" s="232"/>
      <c r="AA68" s="232"/>
      <c r="AB68" s="232"/>
      <c r="AC68" s="227"/>
      <c r="AD68" s="227"/>
      <c r="AE68" s="231"/>
      <c r="AF68" s="227"/>
      <c r="AG68" s="232"/>
      <c r="AH68" s="232"/>
      <c r="AI68" s="232"/>
      <c r="AJ68" s="232"/>
      <c r="AK68" s="232"/>
      <c r="AL68" s="232"/>
      <c r="AM68" s="232"/>
      <c r="AN68" s="232"/>
      <c r="AO68" s="231"/>
      <c r="AP68" s="231"/>
      <c r="AQ68" s="227"/>
      <c r="AR68" s="231"/>
      <c r="AS68" s="227"/>
      <c r="AT68" s="227"/>
      <c r="AU68" s="227"/>
      <c r="AV68" s="227"/>
    </row>
    <row r="69">
      <c r="A69" s="226" t="s">
        <v>440</v>
      </c>
      <c r="B69" s="226" t="s">
        <v>440</v>
      </c>
      <c r="C69" s="226" t="s">
        <v>441</v>
      </c>
      <c r="D69" s="226" t="s">
        <v>442</v>
      </c>
      <c r="E69" s="228">
        <v>7.0</v>
      </c>
      <c r="F69" s="228">
        <v>1.0</v>
      </c>
      <c r="G69" s="229">
        <v>0.0824</v>
      </c>
      <c r="H69" s="229">
        <v>0.1111</v>
      </c>
      <c r="I69" s="226" t="s">
        <v>443</v>
      </c>
      <c r="J69" s="226" t="s">
        <v>444</v>
      </c>
      <c r="K69" s="228">
        <v>7.0</v>
      </c>
      <c r="L69" s="228">
        <v>1.0</v>
      </c>
      <c r="M69" s="230"/>
      <c r="N69" s="227"/>
      <c r="O69" s="227"/>
      <c r="P69" s="231"/>
      <c r="Q69" s="227"/>
      <c r="R69" s="231"/>
      <c r="S69" s="231"/>
      <c r="T69" s="231"/>
      <c r="U69" s="231"/>
      <c r="V69" s="231"/>
      <c r="W69" s="231"/>
      <c r="X69" s="227"/>
      <c r="Y69" s="232"/>
      <c r="Z69" s="232"/>
      <c r="AA69" s="232"/>
      <c r="AB69" s="232"/>
      <c r="AC69" s="227"/>
      <c r="AD69" s="227"/>
      <c r="AE69" s="231"/>
      <c r="AF69" s="227"/>
      <c r="AG69" s="232"/>
      <c r="AH69" s="232"/>
      <c r="AI69" s="232"/>
      <c r="AJ69" s="232"/>
      <c r="AK69" s="232"/>
      <c r="AL69" s="232"/>
      <c r="AM69" s="232"/>
      <c r="AN69" s="232"/>
      <c r="AO69" s="231"/>
      <c r="AP69" s="231"/>
      <c r="AQ69" s="227"/>
      <c r="AR69" s="231"/>
      <c r="AS69" s="227"/>
      <c r="AT69" s="227"/>
      <c r="AU69" s="227"/>
      <c r="AV69" s="227"/>
    </row>
    <row r="70">
      <c r="A70" s="226" t="s">
        <v>445</v>
      </c>
      <c r="B70" s="226" t="s">
        <v>445</v>
      </c>
      <c r="C70" s="226" t="s">
        <v>446</v>
      </c>
      <c r="D70" s="226" t="s">
        <v>3</v>
      </c>
      <c r="E70" s="228">
        <v>15.0</v>
      </c>
      <c r="F70" s="228">
        <v>0.0</v>
      </c>
      <c r="G70" s="229">
        <v>0.1095</v>
      </c>
      <c r="H70" s="229">
        <v>0.0</v>
      </c>
      <c r="I70" s="226" t="s">
        <v>447</v>
      </c>
      <c r="J70" s="226" t="s">
        <v>206</v>
      </c>
      <c r="K70" s="228">
        <v>6.0</v>
      </c>
      <c r="L70" s="228">
        <v>0.0</v>
      </c>
      <c r="M70" s="232"/>
      <c r="N70" s="227"/>
      <c r="O70" s="227"/>
      <c r="P70" s="231"/>
      <c r="Q70" s="227"/>
      <c r="R70" s="231"/>
      <c r="S70" s="231"/>
      <c r="T70" s="231"/>
      <c r="U70" s="231"/>
      <c r="V70" s="231"/>
      <c r="W70" s="231"/>
      <c r="X70" s="227"/>
      <c r="Y70" s="232"/>
      <c r="Z70" s="232"/>
      <c r="AA70" s="232"/>
      <c r="AB70" s="232"/>
      <c r="AC70" s="227"/>
      <c r="AD70" s="227"/>
      <c r="AE70" s="231"/>
      <c r="AF70" s="227"/>
      <c r="AG70" s="232"/>
      <c r="AH70" s="232"/>
      <c r="AI70" s="232"/>
      <c r="AJ70" s="232"/>
      <c r="AK70" s="232"/>
      <c r="AL70" s="232"/>
      <c r="AM70" s="232"/>
      <c r="AN70" s="232"/>
      <c r="AO70" s="231"/>
      <c r="AP70" s="231"/>
      <c r="AQ70" s="227"/>
      <c r="AR70" s="231"/>
      <c r="AS70" s="227"/>
      <c r="AT70" s="227"/>
      <c r="AU70" s="227"/>
      <c r="AV70" s="227"/>
    </row>
    <row r="71">
      <c r="A71" s="226" t="s">
        <v>448</v>
      </c>
      <c r="B71" s="226" t="s">
        <v>448</v>
      </c>
      <c r="C71" s="233"/>
      <c r="D71" s="226" t="s">
        <v>449</v>
      </c>
      <c r="E71" s="228">
        <v>6.0</v>
      </c>
      <c r="F71" s="228">
        <v>0.0</v>
      </c>
      <c r="G71" s="229">
        <v>0.069</v>
      </c>
      <c r="H71" s="229">
        <v>0.0</v>
      </c>
      <c r="I71" s="226" t="s">
        <v>450</v>
      </c>
      <c r="J71" s="226" t="s">
        <v>206</v>
      </c>
      <c r="K71" s="228">
        <v>6.0</v>
      </c>
      <c r="L71" s="228">
        <v>0.0</v>
      </c>
      <c r="M71" s="232"/>
      <c r="N71" s="227"/>
      <c r="O71" s="227"/>
      <c r="P71" s="231"/>
      <c r="Q71" s="227"/>
      <c r="R71" s="231"/>
      <c r="S71" s="231"/>
      <c r="T71" s="231"/>
      <c r="U71" s="231"/>
      <c r="V71" s="231"/>
      <c r="W71" s="231"/>
      <c r="X71" s="227"/>
      <c r="Y71" s="232"/>
      <c r="Z71" s="232"/>
      <c r="AA71" s="232"/>
      <c r="AB71" s="232"/>
      <c r="AC71" s="227"/>
      <c r="AD71" s="227"/>
      <c r="AE71" s="231"/>
      <c r="AF71" s="227"/>
      <c r="AG71" s="232"/>
      <c r="AH71" s="232"/>
      <c r="AI71" s="232"/>
      <c r="AJ71" s="232"/>
      <c r="AK71" s="232"/>
      <c r="AL71" s="232"/>
      <c r="AM71" s="232"/>
      <c r="AN71" s="232"/>
      <c r="AO71" s="231"/>
      <c r="AP71" s="231"/>
      <c r="AQ71" s="227"/>
      <c r="AR71" s="231"/>
      <c r="AS71" s="227"/>
      <c r="AT71" s="227"/>
      <c r="AU71" s="227"/>
      <c r="AV71" s="227"/>
    </row>
    <row r="72">
      <c r="A72" s="226" t="s">
        <v>451</v>
      </c>
      <c r="B72" s="226" t="s">
        <v>451</v>
      </c>
      <c r="C72" s="226" t="s">
        <v>452</v>
      </c>
      <c r="D72" s="226" t="s">
        <v>113</v>
      </c>
      <c r="E72" s="228">
        <v>6.0</v>
      </c>
      <c r="F72" s="228">
        <v>1.0</v>
      </c>
      <c r="G72" s="229">
        <v>0.0667</v>
      </c>
      <c r="H72" s="229">
        <v>0.3333</v>
      </c>
      <c r="I72" s="226" t="s">
        <v>453</v>
      </c>
      <c r="J72" s="226" t="s">
        <v>281</v>
      </c>
      <c r="K72" s="228">
        <v>6.0</v>
      </c>
      <c r="L72" s="228">
        <v>1.0</v>
      </c>
      <c r="M72" s="232"/>
      <c r="N72" s="227"/>
      <c r="O72" s="227"/>
      <c r="P72" s="231"/>
      <c r="Q72" s="227"/>
      <c r="R72" s="231"/>
      <c r="S72" s="231"/>
      <c r="T72" s="231"/>
      <c r="U72" s="231"/>
      <c r="V72" s="231"/>
      <c r="W72" s="231"/>
      <c r="X72" s="227"/>
      <c r="Y72" s="232"/>
      <c r="Z72" s="232"/>
      <c r="AA72" s="232"/>
      <c r="AB72" s="232"/>
      <c r="AC72" s="227"/>
      <c r="AD72" s="227"/>
      <c r="AE72" s="231"/>
      <c r="AF72" s="227"/>
      <c r="AG72" s="232"/>
      <c r="AH72" s="232"/>
      <c r="AI72" s="232"/>
      <c r="AJ72" s="232"/>
      <c r="AK72" s="232"/>
      <c r="AL72" s="232"/>
      <c r="AM72" s="232"/>
      <c r="AN72" s="232"/>
      <c r="AO72" s="231"/>
      <c r="AP72" s="231"/>
      <c r="AQ72" s="227"/>
      <c r="AR72" s="231"/>
      <c r="AS72" s="227"/>
      <c r="AT72" s="227"/>
      <c r="AU72" s="227"/>
      <c r="AV72" s="227"/>
    </row>
    <row r="73">
      <c r="A73" s="226" t="s">
        <v>454</v>
      </c>
      <c r="B73" s="226" t="s">
        <v>454</v>
      </c>
      <c r="C73" s="226" t="s">
        <v>455</v>
      </c>
      <c r="D73" s="226" t="s">
        <v>44</v>
      </c>
      <c r="E73" s="228">
        <v>6.0</v>
      </c>
      <c r="F73" s="228">
        <v>0.0</v>
      </c>
      <c r="G73" s="229">
        <v>0.1091</v>
      </c>
      <c r="H73" s="229">
        <v>0.0</v>
      </c>
      <c r="I73" s="226" t="s">
        <v>457</v>
      </c>
      <c r="J73" s="226" t="s">
        <v>206</v>
      </c>
      <c r="K73" s="228">
        <v>6.0</v>
      </c>
      <c r="L73" s="228">
        <v>0.0</v>
      </c>
      <c r="M73" s="232"/>
      <c r="N73" s="227"/>
      <c r="O73" s="227"/>
      <c r="P73" s="231"/>
      <c r="Q73" s="227"/>
      <c r="R73" s="231"/>
      <c r="S73" s="231"/>
      <c r="T73" s="231"/>
      <c r="U73" s="231"/>
      <c r="V73" s="231"/>
      <c r="W73" s="231"/>
      <c r="X73" s="227"/>
      <c r="Y73" s="232"/>
      <c r="Z73" s="232"/>
      <c r="AA73" s="232"/>
      <c r="AB73" s="232"/>
      <c r="AC73" s="227"/>
      <c r="AD73" s="227"/>
      <c r="AE73" s="231"/>
      <c r="AF73" s="227"/>
      <c r="AG73" s="232"/>
      <c r="AH73" s="232"/>
      <c r="AI73" s="232"/>
      <c r="AJ73" s="232"/>
      <c r="AK73" s="232"/>
      <c r="AL73" s="232"/>
      <c r="AM73" s="232"/>
      <c r="AN73" s="232"/>
      <c r="AO73" s="231"/>
      <c r="AP73" s="231"/>
      <c r="AQ73" s="227"/>
      <c r="AR73" s="231"/>
      <c r="AS73" s="227"/>
      <c r="AT73" s="227"/>
      <c r="AU73" s="227"/>
      <c r="AV73" s="227"/>
    </row>
    <row r="74">
      <c r="A74" s="226" t="s">
        <v>290</v>
      </c>
      <c r="B74" s="226" t="s">
        <v>290</v>
      </c>
      <c r="C74" s="226" t="s">
        <v>291</v>
      </c>
      <c r="D74" s="226" t="s">
        <v>41</v>
      </c>
      <c r="E74" s="228">
        <v>5.0</v>
      </c>
      <c r="F74" s="228">
        <v>0.0</v>
      </c>
      <c r="G74" s="229">
        <v>0.0021</v>
      </c>
      <c r="H74" s="229">
        <v>0.0</v>
      </c>
      <c r="I74" s="226" t="s">
        <v>458</v>
      </c>
      <c r="J74" s="226" t="s">
        <v>206</v>
      </c>
      <c r="K74" s="228">
        <v>5.0</v>
      </c>
      <c r="L74" s="228">
        <v>0.0</v>
      </c>
      <c r="M74" s="232"/>
      <c r="N74" s="227"/>
      <c r="O74" s="227"/>
      <c r="P74" s="231"/>
      <c r="Q74" s="227"/>
      <c r="R74" s="231"/>
      <c r="S74" s="231"/>
      <c r="T74" s="231"/>
      <c r="U74" s="231"/>
      <c r="V74" s="231"/>
      <c r="W74" s="231"/>
      <c r="X74" s="227"/>
      <c r="Y74" s="232"/>
      <c r="Z74" s="232"/>
      <c r="AA74" s="232"/>
      <c r="AB74" s="232"/>
      <c r="AC74" s="227"/>
      <c r="AD74" s="227"/>
      <c r="AE74" s="231"/>
      <c r="AF74" s="227"/>
      <c r="AG74" s="232"/>
      <c r="AH74" s="232"/>
      <c r="AI74" s="232"/>
      <c r="AJ74" s="232"/>
      <c r="AK74" s="232"/>
      <c r="AL74" s="232"/>
      <c r="AM74" s="232"/>
      <c r="AN74" s="232"/>
      <c r="AO74" s="231"/>
      <c r="AP74" s="231"/>
      <c r="AQ74" s="227"/>
      <c r="AR74" s="231"/>
      <c r="AS74" s="227"/>
      <c r="AT74" s="227"/>
      <c r="AU74" s="227"/>
      <c r="AV74" s="227"/>
    </row>
    <row r="75">
      <c r="A75" s="226" t="s">
        <v>459</v>
      </c>
      <c r="B75" s="226" t="s">
        <v>459</v>
      </c>
      <c r="C75" s="226" t="s">
        <v>460</v>
      </c>
      <c r="D75" s="226" t="s">
        <v>147</v>
      </c>
      <c r="E75" s="228">
        <v>5.0</v>
      </c>
      <c r="F75" s="228">
        <v>1.0</v>
      </c>
      <c r="G75" s="229">
        <v>0.061</v>
      </c>
      <c r="H75" s="229">
        <v>0.1</v>
      </c>
      <c r="I75" s="226" t="s">
        <v>461</v>
      </c>
      <c r="J75" s="226" t="s">
        <v>462</v>
      </c>
      <c r="K75" s="228">
        <v>5.0</v>
      </c>
      <c r="L75" s="228">
        <v>1.0</v>
      </c>
      <c r="M75" s="232"/>
      <c r="N75" s="227"/>
      <c r="O75" s="227"/>
      <c r="P75" s="231"/>
      <c r="Q75" s="227"/>
      <c r="R75" s="231"/>
      <c r="S75" s="231"/>
      <c r="T75" s="231"/>
      <c r="U75" s="231"/>
      <c r="V75" s="231"/>
      <c r="W75" s="231"/>
      <c r="X75" s="227"/>
      <c r="Y75" s="232"/>
      <c r="Z75" s="232"/>
      <c r="AA75" s="232"/>
      <c r="AB75" s="232"/>
      <c r="AC75" s="227"/>
      <c r="AD75" s="227"/>
      <c r="AE75" s="231"/>
      <c r="AF75" s="227"/>
      <c r="AG75" s="232"/>
      <c r="AH75" s="232"/>
      <c r="AI75" s="232"/>
      <c r="AJ75" s="232"/>
      <c r="AK75" s="232"/>
      <c r="AL75" s="232"/>
      <c r="AM75" s="232"/>
      <c r="AN75" s="232"/>
      <c r="AO75" s="231"/>
      <c r="AP75" s="231"/>
      <c r="AQ75" s="227"/>
      <c r="AR75" s="231"/>
      <c r="AS75" s="227"/>
      <c r="AT75" s="227"/>
      <c r="AU75" s="227"/>
      <c r="AV75" s="227"/>
    </row>
    <row r="76">
      <c r="A76" s="226" t="s">
        <v>463</v>
      </c>
      <c r="B76" s="226" t="s">
        <v>463</v>
      </c>
      <c r="C76" s="226" t="s">
        <v>464</v>
      </c>
      <c r="D76" s="226" t="s">
        <v>111</v>
      </c>
      <c r="E76" s="228">
        <v>5.0</v>
      </c>
      <c r="F76" s="228">
        <v>0.0</v>
      </c>
      <c r="G76" s="229">
        <v>0.025</v>
      </c>
      <c r="H76" s="229">
        <v>0.0</v>
      </c>
      <c r="I76" s="226" t="s">
        <v>465</v>
      </c>
      <c r="J76" s="226" t="s">
        <v>206</v>
      </c>
      <c r="K76" s="228">
        <v>5.0</v>
      </c>
      <c r="L76" s="228">
        <v>0.0</v>
      </c>
      <c r="M76" s="232"/>
      <c r="N76" s="227"/>
      <c r="O76" s="227"/>
      <c r="P76" s="231"/>
      <c r="Q76" s="227"/>
      <c r="R76" s="231"/>
      <c r="S76" s="231"/>
      <c r="T76" s="231"/>
      <c r="U76" s="231"/>
      <c r="V76" s="231"/>
      <c r="W76" s="231"/>
      <c r="X76" s="227"/>
      <c r="Y76" s="232"/>
      <c r="Z76" s="232"/>
      <c r="AA76" s="232"/>
      <c r="AB76" s="232"/>
      <c r="AC76" s="227"/>
      <c r="AD76" s="227"/>
      <c r="AE76" s="231"/>
      <c r="AF76" s="227"/>
      <c r="AG76" s="232"/>
      <c r="AH76" s="232"/>
      <c r="AI76" s="232"/>
      <c r="AJ76" s="232"/>
      <c r="AK76" s="232"/>
      <c r="AL76" s="232"/>
      <c r="AM76" s="232"/>
      <c r="AN76" s="232"/>
      <c r="AO76" s="231"/>
      <c r="AP76" s="231"/>
      <c r="AQ76" s="227"/>
      <c r="AR76" s="231"/>
      <c r="AS76" s="227"/>
      <c r="AT76" s="227"/>
      <c r="AU76" s="227"/>
      <c r="AV76" s="227"/>
    </row>
    <row r="77">
      <c r="A77" s="226" t="s">
        <v>466</v>
      </c>
      <c r="B77" s="226" t="s">
        <v>466</v>
      </c>
      <c r="C77" s="226" t="s">
        <v>467</v>
      </c>
      <c r="D77" s="226" t="s">
        <v>132</v>
      </c>
      <c r="E77" s="228">
        <v>5.0</v>
      </c>
      <c r="F77" s="228">
        <v>0.0</v>
      </c>
      <c r="G77" s="229">
        <v>0.1163</v>
      </c>
      <c r="H77" s="229">
        <v>0.0</v>
      </c>
      <c r="I77" s="226" t="s">
        <v>468</v>
      </c>
      <c r="J77" s="226" t="s">
        <v>206</v>
      </c>
      <c r="K77" s="228">
        <v>5.0</v>
      </c>
      <c r="L77" s="228">
        <v>0.0</v>
      </c>
      <c r="M77" s="232"/>
      <c r="N77" s="227"/>
      <c r="O77" s="227"/>
      <c r="P77" s="231"/>
      <c r="Q77" s="227"/>
      <c r="R77" s="231"/>
      <c r="S77" s="231"/>
      <c r="T77" s="231"/>
      <c r="U77" s="231"/>
      <c r="V77" s="231"/>
      <c r="W77" s="231"/>
      <c r="X77" s="227"/>
      <c r="Y77" s="232"/>
      <c r="Z77" s="232"/>
      <c r="AA77" s="232"/>
      <c r="AB77" s="232"/>
      <c r="AC77" s="227"/>
      <c r="AD77" s="227"/>
      <c r="AE77" s="231"/>
      <c r="AF77" s="227"/>
      <c r="AG77" s="232"/>
      <c r="AH77" s="232"/>
      <c r="AI77" s="232"/>
      <c r="AJ77" s="232"/>
      <c r="AK77" s="232"/>
      <c r="AL77" s="232"/>
      <c r="AM77" s="232"/>
      <c r="AN77" s="232"/>
      <c r="AO77" s="231"/>
      <c r="AP77" s="231"/>
      <c r="AQ77" s="227"/>
      <c r="AR77" s="231"/>
      <c r="AS77" s="227"/>
      <c r="AT77" s="227"/>
      <c r="AU77" s="227"/>
      <c r="AV77" s="227"/>
    </row>
    <row r="78">
      <c r="A78" s="226" t="s">
        <v>469</v>
      </c>
      <c r="B78" s="226" t="s">
        <v>469</v>
      </c>
      <c r="C78" s="226" t="s">
        <v>470</v>
      </c>
      <c r="D78" s="226" t="s">
        <v>99</v>
      </c>
      <c r="E78" s="228">
        <v>5.0</v>
      </c>
      <c r="F78" s="228">
        <v>0.0</v>
      </c>
      <c r="G78" s="229">
        <v>0.0333</v>
      </c>
      <c r="H78" s="229">
        <v>0.0</v>
      </c>
      <c r="I78" s="226" t="s">
        <v>471</v>
      </c>
      <c r="J78" s="226" t="s">
        <v>206</v>
      </c>
      <c r="K78" s="228">
        <v>5.0</v>
      </c>
      <c r="L78" s="228">
        <v>0.0</v>
      </c>
      <c r="M78" s="232"/>
      <c r="N78" s="227"/>
      <c r="O78" s="227"/>
      <c r="P78" s="231"/>
      <c r="Q78" s="227"/>
      <c r="R78" s="231"/>
      <c r="S78" s="231"/>
      <c r="T78" s="231"/>
      <c r="U78" s="231"/>
      <c r="V78" s="231"/>
      <c r="W78" s="231"/>
      <c r="X78" s="227"/>
      <c r="Y78" s="232"/>
      <c r="Z78" s="232"/>
      <c r="AA78" s="232"/>
      <c r="AB78" s="232"/>
      <c r="AC78" s="227"/>
      <c r="AD78" s="227"/>
      <c r="AE78" s="231"/>
      <c r="AF78" s="227"/>
      <c r="AG78" s="232"/>
      <c r="AH78" s="232"/>
      <c r="AI78" s="232"/>
      <c r="AJ78" s="232"/>
      <c r="AK78" s="232"/>
      <c r="AL78" s="232"/>
      <c r="AM78" s="232"/>
      <c r="AN78" s="232"/>
      <c r="AO78" s="231"/>
      <c r="AP78" s="231"/>
      <c r="AQ78" s="227"/>
      <c r="AR78" s="231"/>
      <c r="AS78" s="227"/>
      <c r="AT78" s="227"/>
      <c r="AU78" s="227"/>
      <c r="AV78" s="227"/>
    </row>
    <row r="79">
      <c r="A79" s="226" t="s">
        <v>472</v>
      </c>
      <c r="B79" s="226" t="s">
        <v>472</v>
      </c>
      <c r="C79" s="226" t="s">
        <v>473</v>
      </c>
      <c r="D79" s="226" t="s">
        <v>152</v>
      </c>
      <c r="E79" s="228">
        <v>7.0</v>
      </c>
      <c r="F79" s="228">
        <v>0.0</v>
      </c>
      <c r="G79" s="229">
        <v>0.0543</v>
      </c>
      <c r="H79" s="229">
        <v>0.0</v>
      </c>
      <c r="I79" s="226" t="s">
        <v>474</v>
      </c>
      <c r="J79" s="226" t="s">
        <v>206</v>
      </c>
      <c r="K79" s="228">
        <v>5.0</v>
      </c>
      <c r="L79" s="228">
        <v>0.0</v>
      </c>
      <c r="M79" s="232"/>
      <c r="N79" s="227"/>
      <c r="O79" s="227"/>
      <c r="P79" s="231"/>
      <c r="Q79" s="227"/>
      <c r="R79" s="231"/>
      <c r="S79" s="231"/>
      <c r="T79" s="231"/>
      <c r="U79" s="231"/>
      <c r="V79" s="231"/>
      <c r="W79" s="231"/>
      <c r="X79" s="227"/>
      <c r="Y79" s="232"/>
      <c r="Z79" s="232"/>
      <c r="AA79" s="232"/>
      <c r="AB79" s="232"/>
      <c r="AC79" s="227"/>
      <c r="AD79" s="227"/>
      <c r="AE79" s="231"/>
      <c r="AF79" s="227"/>
      <c r="AG79" s="232"/>
      <c r="AH79" s="232"/>
      <c r="AI79" s="232"/>
      <c r="AJ79" s="232"/>
      <c r="AK79" s="232"/>
      <c r="AL79" s="232"/>
      <c r="AM79" s="232"/>
      <c r="AN79" s="232"/>
      <c r="AO79" s="231"/>
      <c r="AP79" s="231"/>
      <c r="AQ79" s="227"/>
      <c r="AR79" s="231"/>
      <c r="AS79" s="227"/>
      <c r="AT79" s="227"/>
      <c r="AU79" s="227"/>
      <c r="AV79" s="227"/>
    </row>
    <row r="80">
      <c r="A80" s="226" t="s">
        <v>476</v>
      </c>
      <c r="B80" s="226" t="s">
        <v>476</v>
      </c>
      <c r="C80" s="226" t="s">
        <v>477</v>
      </c>
      <c r="D80" s="226" t="s">
        <v>52</v>
      </c>
      <c r="E80" s="228">
        <v>4.0</v>
      </c>
      <c r="F80" s="228">
        <v>0.0</v>
      </c>
      <c r="G80" s="229">
        <v>0.1176</v>
      </c>
      <c r="H80" s="229">
        <v>0.0</v>
      </c>
      <c r="I80" s="226" t="s">
        <v>478</v>
      </c>
      <c r="J80" s="226" t="s">
        <v>206</v>
      </c>
      <c r="K80" s="228">
        <v>4.0</v>
      </c>
      <c r="L80" s="228">
        <v>0.0</v>
      </c>
      <c r="M80" s="232"/>
      <c r="N80" s="227"/>
      <c r="O80" s="227"/>
      <c r="P80" s="231"/>
      <c r="Q80" s="227"/>
      <c r="R80" s="231"/>
      <c r="S80" s="231"/>
      <c r="T80" s="231"/>
      <c r="U80" s="231"/>
      <c r="V80" s="231"/>
      <c r="W80" s="231"/>
      <c r="X80" s="227"/>
      <c r="Y80" s="232"/>
      <c r="Z80" s="232"/>
      <c r="AA80" s="232"/>
      <c r="AB80" s="232"/>
      <c r="AC80" s="227"/>
      <c r="AD80" s="227"/>
      <c r="AE80" s="231"/>
      <c r="AF80" s="227"/>
      <c r="AG80" s="232"/>
      <c r="AH80" s="232"/>
      <c r="AI80" s="232"/>
      <c r="AJ80" s="232"/>
      <c r="AK80" s="232"/>
      <c r="AL80" s="232"/>
      <c r="AM80" s="232"/>
      <c r="AN80" s="232"/>
      <c r="AO80" s="231"/>
      <c r="AP80" s="231"/>
      <c r="AQ80" s="227"/>
      <c r="AR80" s="231"/>
      <c r="AS80" s="227"/>
      <c r="AT80" s="227"/>
      <c r="AU80" s="227"/>
      <c r="AV80" s="227"/>
    </row>
    <row r="81">
      <c r="A81" s="226" t="s">
        <v>487</v>
      </c>
      <c r="B81" s="226" t="s">
        <v>487</v>
      </c>
      <c r="C81" s="226" t="s">
        <v>490</v>
      </c>
      <c r="D81" s="226" t="s">
        <v>149</v>
      </c>
      <c r="E81" s="228">
        <v>4.0</v>
      </c>
      <c r="F81" s="228">
        <v>0.0</v>
      </c>
      <c r="G81" s="229">
        <v>0.0597</v>
      </c>
      <c r="H81" s="229">
        <v>0.0</v>
      </c>
      <c r="I81" s="226" t="s">
        <v>468</v>
      </c>
      <c r="J81" s="226" t="s">
        <v>206</v>
      </c>
      <c r="K81" s="228">
        <v>4.0</v>
      </c>
      <c r="L81" s="228">
        <v>0.0</v>
      </c>
      <c r="M81" s="232"/>
      <c r="N81" s="227"/>
      <c r="O81" s="227"/>
      <c r="P81" s="231"/>
      <c r="Q81" s="227"/>
      <c r="R81" s="231"/>
      <c r="S81" s="231"/>
      <c r="T81" s="231"/>
      <c r="U81" s="231"/>
      <c r="V81" s="231"/>
      <c r="W81" s="231"/>
      <c r="X81" s="227"/>
      <c r="Y81" s="232"/>
      <c r="Z81" s="232"/>
      <c r="AA81" s="232"/>
      <c r="AB81" s="232"/>
      <c r="AC81" s="227"/>
      <c r="AD81" s="227"/>
      <c r="AE81" s="231"/>
      <c r="AF81" s="227"/>
      <c r="AG81" s="232"/>
      <c r="AH81" s="232"/>
      <c r="AI81" s="232"/>
      <c r="AJ81" s="232"/>
      <c r="AK81" s="232"/>
      <c r="AL81" s="232"/>
      <c r="AM81" s="232"/>
      <c r="AN81" s="232"/>
      <c r="AO81" s="231"/>
      <c r="AP81" s="231"/>
      <c r="AQ81" s="227"/>
      <c r="AR81" s="231"/>
      <c r="AS81" s="227"/>
      <c r="AT81" s="227"/>
      <c r="AU81" s="227"/>
      <c r="AV81" s="227"/>
    </row>
    <row r="82">
      <c r="A82" s="226" t="s">
        <v>501</v>
      </c>
      <c r="B82" s="226" t="s">
        <v>501</v>
      </c>
      <c r="C82" s="226" t="s">
        <v>502</v>
      </c>
      <c r="D82" s="226" t="s">
        <v>123</v>
      </c>
      <c r="E82" s="228">
        <v>4.0</v>
      </c>
      <c r="F82" s="228">
        <v>0.0</v>
      </c>
      <c r="G82" s="229">
        <v>0.0909</v>
      </c>
      <c r="H82" s="229">
        <v>0.0</v>
      </c>
      <c r="I82" s="226" t="s">
        <v>504</v>
      </c>
      <c r="J82" s="226" t="s">
        <v>206</v>
      </c>
      <c r="K82" s="228">
        <v>4.0</v>
      </c>
      <c r="L82" s="228">
        <v>0.0</v>
      </c>
      <c r="M82" s="232"/>
      <c r="N82" s="227"/>
      <c r="O82" s="227"/>
      <c r="P82" s="231"/>
      <c r="Q82" s="227"/>
      <c r="R82" s="231"/>
      <c r="S82" s="231"/>
      <c r="T82" s="231"/>
      <c r="U82" s="231"/>
      <c r="V82" s="231"/>
      <c r="W82" s="231"/>
      <c r="X82" s="227"/>
      <c r="Y82" s="232"/>
      <c r="Z82" s="232"/>
      <c r="AA82" s="232"/>
      <c r="AB82" s="232"/>
      <c r="AC82" s="227"/>
      <c r="AD82" s="227"/>
      <c r="AE82" s="231"/>
      <c r="AF82" s="227"/>
      <c r="AG82" s="232"/>
      <c r="AH82" s="232"/>
      <c r="AI82" s="232"/>
      <c r="AJ82" s="232"/>
      <c r="AK82" s="232"/>
      <c r="AL82" s="232"/>
      <c r="AM82" s="232"/>
      <c r="AN82" s="232"/>
      <c r="AO82" s="231"/>
      <c r="AP82" s="231"/>
      <c r="AQ82" s="227"/>
      <c r="AR82" s="231"/>
      <c r="AS82" s="227"/>
      <c r="AT82" s="227"/>
      <c r="AU82" s="227"/>
      <c r="AV82" s="227"/>
    </row>
    <row r="83">
      <c r="A83" s="226" t="s">
        <v>505</v>
      </c>
      <c r="B83" s="226" t="s">
        <v>505</v>
      </c>
      <c r="C83" s="226" t="s">
        <v>506</v>
      </c>
      <c r="D83" s="226" t="s">
        <v>29</v>
      </c>
      <c r="E83" s="228">
        <v>4.0</v>
      </c>
      <c r="F83" s="228">
        <v>0.0</v>
      </c>
      <c r="G83" s="229">
        <v>0.069</v>
      </c>
      <c r="H83" s="229">
        <v>0.0</v>
      </c>
      <c r="I83" s="226" t="s">
        <v>304</v>
      </c>
      <c r="J83" s="226" t="s">
        <v>206</v>
      </c>
      <c r="K83" s="228">
        <v>3.0</v>
      </c>
      <c r="L83" s="228">
        <v>0.0</v>
      </c>
      <c r="M83" s="232"/>
      <c r="N83" s="227"/>
      <c r="O83" s="227"/>
      <c r="P83" s="231"/>
      <c r="Q83" s="227"/>
      <c r="R83" s="231"/>
      <c r="S83" s="231"/>
      <c r="T83" s="231"/>
      <c r="U83" s="231"/>
      <c r="V83" s="231"/>
      <c r="W83" s="231"/>
      <c r="X83" s="227"/>
      <c r="Y83" s="232"/>
      <c r="Z83" s="232"/>
      <c r="AA83" s="232"/>
      <c r="AB83" s="232"/>
      <c r="AC83" s="227"/>
      <c r="AD83" s="227"/>
      <c r="AE83" s="231"/>
      <c r="AF83" s="227"/>
      <c r="AG83" s="232"/>
      <c r="AH83" s="232"/>
      <c r="AI83" s="232"/>
      <c r="AJ83" s="232"/>
      <c r="AK83" s="232"/>
      <c r="AL83" s="232"/>
      <c r="AM83" s="232"/>
      <c r="AN83" s="232"/>
      <c r="AO83" s="231"/>
      <c r="AP83" s="231"/>
      <c r="AQ83" s="227"/>
      <c r="AR83" s="231"/>
      <c r="AS83" s="227"/>
      <c r="AT83" s="227"/>
      <c r="AU83" s="227"/>
      <c r="AV83" s="227"/>
    </row>
    <row r="84">
      <c r="A84" s="226" t="s">
        <v>508</v>
      </c>
      <c r="B84" s="226" t="s">
        <v>508</v>
      </c>
      <c r="C84" s="226" t="s">
        <v>509</v>
      </c>
      <c r="D84" s="226" t="s">
        <v>94</v>
      </c>
      <c r="E84" s="228">
        <v>3.0</v>
      </c>
      <c r="F84" s="228">
        <v>0.0</v>
      </c>
      <c r="G84" s="229">
        <v>0.0682</v>
      </c>
      <c r="H84" s="229">
        <v>0.0</v>
      </c>
      <c r="I84" s="226" t="s">
        <v>340</v>
      </c>
      <c r="J84" s="226" t="s">
        <v>206</v>
      </c>
      <c r="K84" s="228">
        <v>3.0</v>
      </c>
      <c r="L84" s="228">
        <v>0.0</v>
      </c>
      <c r="M84" s="232"/>
      <c r="N84" s="227"/>
      <c r="O84" s="227"/>
      <c r="P84" s="231"/>
      <c r="Q84" s="227"/>
      <c r="R84" s="231"/>
      <c r="S84" s="231"/>
      <c r="T84" s="231"/>
      <c r="U84" s="231"/>
      <c r="V84" s="231"/>
      <c r="W84" s="231"/>
      <c r="X84" s="227"/>
      <c r="Y84" s="232"/>
      <c r="Z84" s="232"/>
      <c r="AA84" s="232"/>
      <c r="AB84" s="232"/>
      <c r="AC84" s="227"/>
      <c r="AD84" s="227"/>
      <c r="AE84" s="231"/>
      <c r="AF84" s="227"/>
      <c r="AG84" s="232"/>
      <c r="AH84" s="232"/>
      <c r="AI84" s="232"/>
      <c r="AJ84" s="232"/>
      <c r="AK84" s="232"/>
      <c r="AL84" s="232"/>
      <c r="AM84" s="232"/>
      <c r="AN84" s="232"/>
      <c r="AO84" s="231"/>
      <c r="AP84" s="231"/>
      <c r="AQ84" s="227"/>
      <c r="AR84" s="231"/>
      <c r="AS84" s="227"/>
      <c r="AT84" s="227"/>
      <c r="AU84" s="227"/>
      <c r="AV84" s="227"/>
    </row>
    <row r="85">
      <c r="A85" s="226" t="s">
        <v>513</v>
      </c>
      <c r="B85" s="226" t="s">
        <v>513</v>
      </c>
      <c r="C85" s="226" t="s">
        <v>515</v>
      </c>
      <c r="D85" s="226" t="s">
        <v>125</v>
      </c>
      <c r="E85" s="228">
        <v>3.0</v>
      </c>
      <c r="F85" s="228">
        <v>0.0</v>
      </c>
      <c r="G85" s="229">
        <v>0.0882</v>
      </c>
      <c r="H85" s="229">
        <v>0.0</v>
      </c>
      <c r="I85" s="226" t="s">
        <v>516</v>
      </c>
      <c r="J85" s="226" t="s">
        <v>206</v>
      </c>
      <c r="K85" s="228">
        <v>3.0</v>
      </c>
      <c r="L85" s="228">
        <v>0.0</v>
      </c>
      <c r="M85" s="232"/>
      <c r="N85" s="227"/>
      <c r="O85" s="227"/>
      <c r="P85" s="231"/>
      <c r="Q85" s="227"/>
      <c r="R85" s="231"/>
      <c r="S85" s="231"/>
      <c r="T85" s="231"/>
      <c r="U85" s="231"/>
      <c r="V85" s="231"/>
      <c r="W85" s="231"/>
      <c r="X85" s="227"/>
      <c r="Y85" s="232"/>
      <c r="Z85" s="232"/>
      <c r="AA85" s="232"/>
      <c r="AB85" s="232"/>
      <c r="AC85" s="227"/>
      <c r="AD85" s="227"/>
      <c r="AE85" s="231"/>
      <c r="AF85" s="227"/>
      <c r="AG85" s="232"/>
      <c r="AH85" s="232"/>
      <c r="AI85" s="232"/>
      <c r="AJ85" s="232"/>
      <c r="AK85" s="232"/>
      <c r="AL85" s="232"/>
      <c r="AM85" s="232"/>
      <c r="AN85" s="232"/>
      <c r="AO85" s="231"/>
      <c r="AP85" s="231"/>
      <c r="AQ85" s="227"/>
      <c r="AR85" s="231"/>
      <c r="AS85" s="227"/>
      <c r="AT85" s="227"/>
      <c r="AU85" s="227"/>
      <c r="AV85" s="227"/>
    </row>
    <row r="86">
      <c r="A86" s="226" t="s">
        <v>517</v>
      </c>
      <c r="B86" s="226" t="s">
        <v>517</v>
      </c>
      <c r="C86" s="226" t="s">
        <v>518</v>
      </c>
      <c r="D86" s="226" t="s">
        <v>519</v>
      </c>
      <c r="E86" s="228">
        <v>3.0</v>
      </c>
      <c r="F86" s="228">
        <v>0.0</v>
      </c>
      <c r="G86" s="229">
        <v>0.0638</v>
      </c>
      <c r="H86" s="229">
        <v>0.0</v>
      </c>
      <c r="I86" s="226" t="s">
        <v>520</v>
      </c>
      <c r="J86" s="226" t="s">
        <v>206</v>
      </c>
      <c r="K86" s="228">
        <v>3.0</v>
      </c>
      <c r="L86" s="228">
        <v>0.0</v>
      </c>
      <c r="M86" s="232"/>
      <c r="N86" s="227"/>
      <c r="O86" s="227"/>
      <c r="P86" s="231"/>
      <c r="Q86" s="227"/>
      <c r="R86" s="231"/>
      <c r="S86" s="231"/>
      <c r="T86" s="231"/>
      <c r="U86" s="231"/>
      <c r="V86" s="231"/>
      <c r="W86" s="231"/>
      <c r="X86" s="227"/>
      <c r="Y86" s="232"/>
      <c r="Z86" s="232"/>
      <c r="AA86" s="232"/>
      <c r="AB86" s="232"/>
      <c r="AC86" s="227"/>
      <c r="AD86" s="227"/>
      <c r="AE86" s="231"/>
      <c r="AF86" s="227"/>
      <c r="AG86" s="232"/>
      <c r="AH86" s="232"/>
      <c r="AI86" s="232"/>
      <c r="AJ86" s="232"/>
      <c r="AK86" s="232"/>
      <c r="AL86" s="232"/>
      <c r="AM86" s="232"/>
      <c r="AN86" s="232"/>
      <c r="AO86" s="231"/>
      <c r="AP86" s="231"/>
      <c r="AQ86" s="227"/>
      <c r="AR86" s="231"/>
      <c r="AS86" s="227"/>
      <c r="AT86" s="227"/>
      <c r="AU86" s="227"/>
      <c r="AV86" s="227"/>
    </row>
    <row r="87">
      <c r="A87" s="226" t="s">
        <v>521</v>
      </c>
      <c r="B87" s="226" t="s">
        <v>521</v>
      </c>
      <c r="C87" s="226" t="s">
        <v>522</v>
      </c>
      <c r="D87" s="226" t="s">
        <v>129</v>
      </c>
      <c r="E87" s="228">
        <v>3.0</v>
      </c>
      <c r="F87" s="228">
        <v>0.0</v>
      </c>
      <c r="G87" s="229">
        <v>0.0652</v>
      </c>
      <c r="H87" s="229">
        <v>0.0</v>
      </c>
      <c r="I87" s="226" t="s">
        <v>520</v>
      </c>
      <c r="J87" s="226" t="s">
        <v>206</v>
      </c>
      <c r="K87" s="228">
        <v>3.0</v>
      </c>
      <c r="L87" s="228">
        <v>0.0</v>
      </c>
      <c r="M87" s="232"/>
      <c r="N87" s="227"/>
      <c r="O87" s="227"/>
      <c r="P87" s="231"/>
      <c r="Q87" s="227"/>
      <c r="R87" s="231"/>
      <c r="S87" s="231"/>
      <c r="T87" s="231"/>
      <c r="U87" s="231"/>
      <c r="V87" s="231"/>
      <c r="W87" s="231"/>
      <c r="X87" s="227"/>
      <c r="Y87" s="232"/>
      <c r="Z87" s="232"/>
      <c r="AA87" s="232"/>
      <c r="AB87" s="232"/>
      <c r="AC87" s="227"/>
      <c r="AD87" s="227"/>
      <c r="AE87" s="231"/>
      <c r="AF87" s="227"/>
      <c r="AG87" s="232"/>
      <c r="AH87" s="232"/>
      <c r="AI87" s="232"/>
      <c r="AJ87" s="232"/>
      <c r="AK87" s="232"/>
      <c r="AL87" s="232"/>
      <c r="AM87" s="232"/>
      <c r="AN87" s="232"/>
      <c r="AO87" s="231"/>
      <c r="AP87" s="231"/>
      <c r="AQ87" s="227"/>
      <c r="AR87" s="231"/>
      <c r="AS87" s="227"/>
      <c r="AT87" s="227"/>
      <c r="AU87" s="227"/>
      <c r="AV87" s="227"/>
    </row>
    <row r="88">
      <c r="A88" s="226" t="s">
        <v>523</v>
      </c>
      <c r="B88" s="226" t="s">
        <v>523</v>
      </c>
      <c r="C88" s="226" t="s">
        <v>524</v>
      </c>
      <c r="D88" s="226" t="s">
        <v>150</v>
      </c>
      <c r="E88" s="228">
        <v>3.0</v>
      </c>
      <c r="F88" s="228">
        <v>0.0</v>
      </c>
      <c r="G88" s="229">
        <v>0.037</v>
      </c>
      <c r="H88" s="229">
        <v>0.0</v>
      </c>
      <c r="I88" s="226" t="s">
        <v>525</v>
      </c>
      <c r="J88" s="226" t="s">
        <v>206</v>
      </c>
      <c r="K88" s="228">
        <v>3.0</v>
      </c>
      <c r="L88" s="228">
        <v>0.0</v>
      </c>
      <c r="M88" s="232"/>
      <c r="N88" s="227"/>
      <c r="O88" s="227"/>
      <c r="P88" s="231"/>
      <c r="Q88" s="227"/>
      <c r="R88" s="231"/>
      <c r="S88" s="231"/>
      <c r="T88" s="231"/>
      <c r="U88" s="231"/>
      <c r="V88" s="231"/>
      <c r="W88" s="231"/>
      <c r="X88" s="227"/>
      <c r="Y88" s="232"/>
      <c r="Z88" s="232"/>
      <c r="AA88" s="232"/>
      <c r="AB88" s="232"/>
      <c r="AC88" s="227"/>
      <c r="AD88" s="227"/>
      <c r="AE88" s="231"/>
      <c r="AF88" s="227"/>
      <c r="AG88" s="232"/>
      <c r="AH88" s="232"/>
      <c r="AI88" s="232"/>
      <c r="AJ88" s="232"/>
      <c r="AK88" s="232"/>
      <c r="AL88" s="232"/>
      <c r="AM88" s="232"/>
      <c r="AN88" s="232"/>
      <c r="AO88" s="231"/>
      <c r="AP88" s="231"/>
      <c r="AQ88" s="227"/>
      <c r="AR88" s="231"/>
      <c r="AS88" s="227"/>
      <c r="AT88" s="227"/>
      <c r="AU88" s="227"/>
      <c r="AV88" s="227"/>
    </row>
    <row r="89">
      <c r="A89" s="226" t="s">
        <v>526</v>
      </c>
      <c r="B89" s="226" t="s">
        <v>526</v>
      </c>
      <c r="C89" s="226" t="s">
        <v>527</v>
      </c>
      <c r="D89" s="226" t="s">
        <v>151</v>
      </c>
      <c r="E89" s="228">
        <v>3.0</v>
      </c>
      <c r="F89" s="228">
        <v>0.0</v>
      </c>
      <c r="G89" s="229">
        <v>0.037</v>
      </c>
      <c r="H89" s="229">
        <v>0.0</v>
      </c>
      <c r="I89" s="226" t="s">
        <v>528</v>
      </c>
      <c r="J89" s="226" t="s">
        <v>206</v>
      </c>
      <c r="K89" s="228">
        <v>3.0</v>
      </c>
      <c r="L89" s="228">
        <v>0.0</v>
      </c>
      <c r="M89" s="232"/>
      <c r="N89" s="227"/>
      <c r="O89" s="227"/>
      <c r="P89" s="231"/>
      <c r="Q89" s="227"/>
      <c r="R89" s="231"/>
      <c r="S89" s="231"/>
      <c r="T89" s="231"/>
      <c r="U89" s="231"/>
      <c r="V89" s="231"/>
      <c r="W89" s="231"/>
      <c r="X89" s="227"/>
      <c r="Y89" s="232"/>
      <c r="Z89" s="232"/>
      <c r="AA89" s="232"/>
      <c r="AB89" s="232"/>
      <c r="AC89" s="227"/>
      <c r="AD89" s="227"/>
      <c r="AE89" s="231"/>
      <c r="AF89" s="227"/>
      <c r="AG89" s="232"/>
      <c r="AH89" s="232"/>
      <c r="AI89" s="232"/>
      <c r="AJ89" s="232"/>
      <c r="AK89" s="232"/>
      <c r="AL89" s="232"/>
      <c r="AM89" s="232"/>
      <c r="AN89" s="232"/>
      <c r="AO89" s="231"/>
      <c r="AP89" s="231"/>
      <c r="AQ89" s="227"/>
      <c r="AR89" s="231"/>
      <c r="AS89" s="227"/>
      <c r="AT89" s="227"/>
      <c r="AU89" s="227"/>
      <c r="AV89" s="227"/>
    </row>
    <row r="90">
      <c r="A90" s="226" t="s">
        <v>529</v>
      </c>
      <c r="B90" s="226" t="s">
        <v>529</v>
      </c>
      <c r="C90" s="226" t="s">
        <v>530</v>
      </c>
      <c r="D90" s="226" t="s">
        <v>133</v>
      </c>
      <c r="E90" s="228">
        <v>3.0</v>
      </c>
      <c r="F90" s="228">
        <v>2.0</v>
      </c>
      <c r="G90" s="229">
        <v>0.0882</v>
      </c>
      <c r="H90" s="229">
        <v>0.2857</v>
      </c>
      <c r="I90" s="226" t="s">
        <v>531</v>
      </c>
      <c r="J90" s="226" t="s">
        <v>532</v>
      </c>
      <c r="K90" s="228">
        <v>3.0</v>
      </c>
      <c r="L90" s="228">
        <v>2.0</v>
      </c>
      <c r="M90" s="232"/>
      <c r="N90" s="227"/>
      <c r="O90" s="227"/>
      <c r="P90" s="231"/>
      <c r="Q90" s="227"/>
      <c r="R90" s="231"/>
      <c r="S90" s="231"/>
      <c r="T90" s="231"/>
      <c r="U90" s="231"/>
      <c r="V90" s="231"/>
      <c r="W90" s="231"/>
      <c r="X90" s="227"/>
      <c r="Y90" s="232"/>
      <c r="Z90" s="232"/>
      <c r="AA90" s="232"/>
      <c r="AB90" s="232"/>
      <c r="AC90" s="227"/>
      <c r="AD90" s="227"/>
      <c r="AE90" s="231"/>
      <c r="AF90" s="227"/>
      <c r="AG90" s="232"/>
      <c r="AH90" s="232"/>
      <c r="AI90" s="232"/>
      <c r="AJ90" s="232"/>
      <c r="AK90" s="232"/>
      <c r="AL90" s="232"/>
      <c r="AM90" s="232"/>
      <c r="AN90" s="232"/>
      <c r="AO90" s="231"/>
      <c r="AP90" s="231"/>
      <c r="AQ90" s="227"/>
      <c r="AR90" s="231"/>
      <c r="AS90" s="227"/>
      <c r="AT90" s="227"/>
      <c r="AU90" s="227"/>
      <c r="AV90" s="227"/>
    </row>
    <row r="91">
      <c r="A91" s="226" t="s">
        <v>534</v>
      </c>
      <c r="B91" s="226" t="s">
        <v>534</v>
      </c>
      <c r="C91" s="226" t="s">
        <v>535</v>
      </c>
      <c r="D91" s="226" t="s">
        <v>46</v>
      </c>
      <c r="E91" s="228">
        <v>2.0</v>
      </c>
      <c r="F91" s="228">
        <v>0.0</v>
      </c>
      <c r="G91" s="229">
        <v>0.1</v>
      </c>
      <c r="H91" s="229">
        <v>0.0</v>
      </c>
      <c r="I91" s="226" t="s">
        <v>536</v>
      </c>
      <c r="J91" s="226" t="s">
        <v>206</v>
      </c>
      <c r="K91" s="228">
        <v>2.0</v>
      </c>
      <c r="L91" s="228">
        <v>0.0</v>
      </c>
      <c r="M91" s="232"/>
      <c r="N91" s="227"/>
      <c r="O91" s="227"/>
      <c r="P91" s="231"/>
      <c r="Q91" s="227"/>
      <c r="R91" s="231"/>
      <c r="S91" s="231"/>
      <c r="T91" s="231"/>
      <c r="U91" s="231"/>
      <c r="V91" s="231"/>
      <c r="W91" s="231"/>
      <c r="X91" s="227"/>
      <c r="Y91" s="232"/>
      <c r="Z91" s="232"/>
      <c r="AA91" s="232"/>
      <c r="AB91" s="232"/>
      <c r="AC91" s="227"/>
      <c r="AD91" s="227"/>
      <c r="AE91" s="231"/>
      <c r="AF91" s="227"/>
      <c r="AG91" s="232"/>
      <c r="AH91" s="232"/>
      <c r="AI91" s="232"/>
      <c r="AJ91" s="232"/>
      <c r="AK91" s="232"/>
      <c r="AL91" s="232"/>
      <c r="AM91" s="232"/>
      <c r="AN91" s="232"/>
      <c r="AO91" s="231"/>
      <c r="AP91" s="231"/>
      <c r="AQ91" s="227"/>
      <c r="AR91" s="231"/>
      <c r="AS91" s="227"/>
      <c r="AT91" s="227"/>
      <c r="AU91" s="227"/>
      <c r="AV91" s="227"/>
    </row>
    <row r="92">
      <c r="A92" s="226" t="s">
        <v>501</v>
      </c>
      <c r="B92" s="226" t="s">
        <v>501</v>
      </c>
      <c r="C92" s="226" t="s">
        <v>502</v>
      </c>
      <c r="D92" s="226" t="s">
        <v>537</v>
      </c>
      <c r="E92" s="228">
        <v>2.0</v>
      </c>
      <c r="F92" s="228">
        <v>0.0</v>
      </c>
      <c r="G92" s="229">
        <v>0.0455</v>
      </c>
      <c r="H92" s="229">
        <v>0.0</v>
      </c>
      <c r="I92" s="226" t="s">
        <v>538</v>
      </c>
      <c r="J92" s="226" t="s">
        <v>206</v>
      </c>
      <c r="K92" s="228">
        <v>2.0</v>
      </c>
      <c r="L92" s="228">
        <v>0.0</v>
      </c>
      <c r="M92" s="232"/>
      <c r="N92" s="227"/>
      <c r="O92" s="227"/>
      <c r="P92" s="231"/>
      <c r="Q92" s="227"/>
      <c r="R92" s="231"/>
      <c r="S92" s="231"/>
      <c r="T92" s="231"/>
      <c r="U92" s="231"/>
      <c r="V92" s="231"/>
      <c r="W92" s="231"/>
      <c r="X92" s="227"/>
      <c r="Y92" s="232"/>
      <c r="Z92" s="232"/>
      <c r="AA92" s="232"/>
      <c r="AB92" s="232"/>
      <c r="AC92" s="227"/>
      <c r="AD92" s="227"/>
      <c r="AE92" s="231"/>
      <c r="AF92" s="227"/>
      <c r="AG92" s="232"/>
      <c r="AH92" s="232"/>
      <c r="AI92" s="232"/>
      <c r="AJ92" s="232"/>
      <c r="AK92" s="232"/>
      <c r="AL92" s="232"/>
      <c r="AM92" s="232"/>
      <c r="AN92" s="232"/>
      <c r="AO92" s="231"/>
      <c r="AP92" s="231"/>
      <c r="AQ92" s="227"/>
      <c r="AR92" s="231"/>
      <c r="AS92" s="227"/>
      <c r="AT92" s="227"/>
      <c r="AU92" s="227"/>
      <c r="AV92" s="227"/>
    </row>
    <row r="93">
      <c r="A93" s="226" t="s">
        <v>539</v>
      </c>
      <c r="B93" s="226" t="s">
        <v>539</v>
      </c>
      <c r="C93" s="226" t="s">
        <v>540</v>
      </c>
      <c r="D93" s="226" t="s">
        <v>541</v>
      </c>
      <c r="E93" s="228">
        <v>2.0</v>
      </c>
      <c r="F93" s="228">
        <v>0.0</v>
      </c>
      <c r="G93" s="229">
        <v>0.0211</v>
      </c>
      <c r="H93" s="229">
        <v>0.0</v>
      </c>
      <c r="I93" s="226" t="s">
        <v>542</v>
      </c>
      <c r="J93" s="226" t="s">
        <v>206</v>
      </c>
      <c r="K93" s="228">
        <v>2.0</v>
      </c>
      <c r="L93" s="228">
        <v>0.0</v>
      </c>
      <c r="M93" s="232"/>
      <c r="N93" s="227"/>
      <c r="O93" s="227"/>
      <c r="P93" s="231"/>
      <c r="Q93" s="227"/>
      <c r="R93" s="231"/>
      <c r="S93" s="231"/>
      <c r="T93" s="231"/>
      <c r="U93" s="231"/>
      <c r="V93" s="231"/>
      <c r="W93" s="231"/>
      <c r="X93" s="227"/>
      <c r="Y93" s="232"/>
      <c r="Z93" s="232"/>
      <c r="AA93" s="232"/>
      <c r="AB93" s="232"/>
      <c r="AC93" s="227"/>
      <c r="AD93" s="227"/>
      <c r="AE93" s="231"/>
      <c r="AF93" s="227"/>
      <c r="AG93" s="232"/>
      <c r="AH93" s="232"/>
      <c r="AI93" s="232"/>
      <c r="AJ93" s="232"/>
      <c r="AK93" s="232"/>
      <c r="AL93" s="232"/>
      <c r="AM93" s="232"/>
      <c r="AN93" s="232"/>
      <c r="AO93" s="231"/>
      <c r="AP93" s="231"/>
      <c r="AQ93" s="227"/>
      <c r="AR93" s="231"/>
      <c r="AS93" s="227"/>
      <c r="AT93" s="227"/>
      <c r="AU93" s="227"/>
      <c r="AV93" s="227"/>
    </row>
    <row r="94">
      <c r="A94" s="226" t="s">
        <v>543</v>
      </c>
      <c r="B94" s="226" t="s">
        <v>543</v>
      </c>
      <c r="C94" s="226" t="s">
        <v>544</v>
      </c>
      <c r="D94" s="226" t="s">
        <v>30</v>
      </c>
      <c r="E94" s="228">
        <v>1.0</v>
      </c>
      <c r="F94" s="228">
        <v>0.0</v>
      </c>
      <c r="G94" s="229">
        <v>0.0127</v>
      </c>
      <c r="H94" s="229">
        <v>0.0</v>
      </c>
      <c r="I94" s="226" t="s">
        <v>545</v>
      </c>
      <c r="J94" s="226" t="s">
        <v>206</v>
      </c>
      <c r="K94" s="228">
        <v>1.0</v>
      </c>
      <c r="L94" s="228">
        <v>0.0</v>
      </c>
      <c r="M94" s="232"/>
      <c r="N94" s="227"/>
      <c r="O94" s="227"/>
      <c r="P94" s="231"/>
      <c r="Q94" s="227"/>
      <c r="R94" s="231"/>
      <c r="S94" s="231"/>
      <c r="T94" s="231"/>
      <c r="U94" s="231"/>
      <c r="V94" s="231"/>
      <c r="W94" s="231"/>
      <c r="X94" s="227"/>
      <c r="Y94" s="232"/>
      <c r="Z94" s="232"/>
      <c r="AA94" s="232"/>
      <c r="AB94" s="232"/>
      <c r="AC94" s="227"/>
      <c r="AD94" s="227"/>
      <c r="AE94" s="231"/>
      <c r="AF94" s="227"/>
      <c r="AG94" s="232"/>
      <c r="AH94" s="232"/>
      <c r="AI94" s="232"/>
      <c r="AJ94" s="232"/>
      <c r="AK94" s="232"/>
      <c r="AL94" s="232"/>
      <c r="AM94" s="232"/>
      <c r="AN94" s="232"/>
      <c r="AO94" s="231"/>
      <c r="AP94" s="231"/>
      <c r="AQ94" s="227"/>
      <c r="AR94" s="231"/>
      <c r="AS94" s="227"/>
      <c r="AT94" s="227"/>
      <c r="AU94" s="227"/>
      <c r="AV94" s="227"/>
    </row>
    <row r="95">
      <c r="A95" s="226" t="s">
        <v>547</v>
      </c>
      <c r="B95" s="226" t="s">
        <v>547</v>
      </c>
      <c r="C95" s="226" t="s">
        <v>548</v>
      </c>
      <c r="D95" s="226" t="s">
        <v>115</v>
      </c>
      <c r="E95" s="228">
        <v>2.0</v>
      </c>
      <c r="F95" s="228">
        <v>0.0</v>
      </c>
      <c r="G95" s="229">
        <v>0.069</v>
      </c>
      <c r="H95" s="229">
        <v>0.0</v>
      </c>
      <c r="I95" s="226" t="s">
        <v>336</v>
      </c>
      <c r="J95" s="226" t="s">
        <v>206</v>
      </c>
      <c r="K95" s="228">
        <v>1.0</v>
      </c>
      <c r="L95" s="228">
        <v>0.0</v>
      </c>
      <c r="M95" s="232"/>
      <c r="N95" s="227"/>
      <c r="O95" s="227"/>
      <c r="P95" s="231"/>
      <c r="Q95" s="227"/>
      <c r="R95" s="231"/>
      <c r="S95" s="231"/>
      <c r="T95" s="231"/>
      <c r="U95" s="231"/>
      <c r="V95" s="231"/>
      <c r="W95" s="231"/>
      <c r="X95" s="227"/>
      <c r="Y95" s="232"/>
      <c r="Z95" s="232"/>
      <c r="AA95" s="232"/>
      <c r="AB95" s="232"/>
      <c r="AC95" s="227"/>
      <c r="AD95" s="227"/>
      <c r="AE95" s="231"/>
      <c r="AF95" s="227"/>
      <c r="AG95" s="232"/>
      <c r="AH95" s="232"/>
      <c r="AI95" s="232"/>
      <c r="AJ95" s="232"/>
      <c r="AK95" s="232"/>
      <c r="AL95" s="232"/>
      <c r="AM95" s="232"/>
      <c r="AN95" s="232"/>
      <c r="AO95" s="231"/>
      <c r="AP95" s="231"/>
      <c r="AQ95" s="227"/>
      <c r="AR95" s="231"/>
      <c r="AS95" s="227"/>
      <c r="AT95" s="227"/>
      <c r="AU95" s="227"/>
      <c r="AV95" s="227"/>
    </row>
    <row r="96">
      <c r="A96" s="226" t="s">
        <v>550</v>
      </c>
      <c r="B96" s="226" t="s">
        <v>550</v>
      </c>
      <c r="C96" s="226" t="s">
        <v>551</v>
      </c>
      <c r="D96" s="226" t="s">
        <v>552</v>
      </c>
      <c r="E96" s="228">
        <v>1.0</v>
      </c>
      <c r="F96" s="228">
        <v>0.0</v>
      </c>
      <c r="G96" s="229">
        <v>0.0909</v>
      </c>
      <c r="H96" s="229">
        <v>0.0</v>
      </c>
      <c r="I96" s="226" t="s">
        <v>553</v>
      </c>
      <c r="J96" s="226" t="s">
        <v>206</v>
      </c>
      <c r="K96" s="228">
        <v>1.0</v>
      </c>
      <c r="L96" s="228">
        <v>0.0</v>
      </c>
      <c r="M96" s="232"/>
      <c r="N96" s="227"/>
      <c r="O96" s="227"/>
      <c r="P96" s="231"/>
      <c r="Q96" s="227"/>
      <c r="R96" s="231"/>
      <c r="S96" s="231"/>
      <c r="T96" s="231"/>
      <c r="U96" s="231"/>
      <c r="V96" s="231"/>
      <c r="W96" s="231"/>
      <c r="X96" s="227"/>
      <c r="Y96" s="232"/>
      <c r="Z96" s="232"/>
      <c r="AA96" s="232"/>
      <c r="AB96" s="232"/>
      <c r="AC96" s="227"/>
      <c r="AD96" s="227"/>
      <c r="AE96" s="231"/>
      <c r="AF96" s="227"/>
      <c r="AG96" s="232"/>
      <c r="AH96" s="232"/>
      <c r="AI96" s="232"/>
      <c r="AJ96" s="232"/>
      <c r="AK96" s="232"/>
      <c r="AL96" s="232"/>
      <c r="AM96" s="232"/>
      <c r="AN96" s="232"/>
      <c r="AO96" s="231"/>
      <c r="AP96" s="231"/>
      <c r="AQ96" s="227"/>
      <c r="AR96" s="231"/>
      <c r="AS96" s="227"/>
      <c r="AT96" s="227"/>
      <c r="AU96" s="227"/>
      <c r="AV96" s="227"/>
    </row>
    <row r="97">
      <c r="A97" s="226" t="s">
        <v>554</v>
      </c>
      <c r="B97" s="226" t="s">
        <v>554</v>
      </c>
      <c r="C97" s="226" t="s">
        <v>555</v>
      </c>
      <c r="D97" s="226" t="s">
        <v>556</v>
      </c>
      <c r="E97" s="228">
        <v>1.0</v>
      </c>
      <c r="F97" s="228">
        <v>0.0</v>
      </c>
      <c r="G97" s="229">
        <v>0.0556</v>
      </c>
      <c r="H97" s="229">
        <v>0.0</v>
      </c>
      <c r="I97" s="226" t="s">
        <v>281</v>
      </c>
      <c r="J97" s="226" t="s">
        <v>206</v>
      </c>
      <c r="K97" s="228">
        <v>1.0</v>
      </c>
      <c r="L97" s="228">
        <v>0.0</v>
      </c>
      <c r="M97" s="232"/>
      <c r="N97" s="227"/>
      <c r="O97" s="227"/>
      <c r="P97" s="231"/>
      <c r="Q97" s="227"/>
      <c r="R97" s="231"/>
      <c r="S97" s="231"/>
      <c r="T97" s="231"/>
      <c r="U97" s="231"/>
      <c r="V97" s="231"/>
      <c r="W97" s="231"/>
      <c r="X97" s="227"/>
      <c r="Y97" s="232"/>
      <c r="Z97" s="232"/>
      <c r="AA97" s="232"/>
      <c r="AB97" s="232"/>
      <c r="AC97" s="227"/>
      <c r="AD97" s="227"/>
      <c r="AE97" s="231"/>
      <c r="AF97" s="227"/>
      <c r="AG97" s="232"/>
      <c r="AH97" s="232"/>
      <c r="AI97" s="232"/>
      <c r="AJ97" s="232"/>
      <c r="AK97" s="232"/>
      <c r="AL97" s="232"/>
      <c r="AM97" s="232"/>
      <c r="AN97" s="232"/>
      <c r="AO97" s="231"/>
      <c r="AP97" s="231"/>
      <c r="AQ97" s="227"/>
      <c r="AR97" s="231"/>
      <c r="AS97" s="227"/>
      <c r="AT97" s="227"/>
      <c r="AU97" s="227"/>
      <c r="AV97" s="227"/>
    </row>
    <row r="98">
      <c r="A98" s="226" t="s">
        <v>557</v>
      </c>
      <c r="B98" s="226" t="s">
        <v>557</v>
      </c>
      <c r="C98" s="226" t="s">
        <v>558</v>
      </c>
      <c r="D98" s="226" t="s">
        <v>559</v>
      </c>
      <c r="E98" s="228">
        <v>1.0</v>
      </c>
      <c r="F98" s="228">
        <v>0.0</v>
      </c>
      <c r="G98" s="229">
        <v>0.1</v>
      </c>
      <c r="H98" s="229">
        <v>0.0</v>
      </c>
      <c r="I98" s="226" t="s">
        <v>560</v>
      </c>
      <c r="J98" s="226" t="s">
        <v>206</v>
      </c>
      <c r="K98" s="228">
        <v>1.0</v>
      </c>
      <c r="L98" s="228">
        <v>0.0</v>
      </c>
      <c r="M98" s="232"/>
      <c r="N98" s="227"/>
      <c r="O98" s="227"/>
      <c r="P98" s="231"/>
      <c r="Q98" s="227"/>
      <c r="R98" s="231"/>
      <c r="S98" s="231"/>
      <c r="T98" s="231"/>
      <c r="U98" s="231"/>
      <c r="V98" s="231"/>
      <c r="W98" s="231"/>
      <c r="X98" s="227"/>
      <c r="Y98" s="232"/>
      <c r="Z98" s="232"/>
      <c r="AA98" s="232"/>
      <c r="AB98" s="232"/>
      <c r="AC98" s="227"/>
      <c r="AD98" s="227"/>
      <c r="AE98" s="231"/>
      <c r="AF98" s="227"/>
      <c r="AG98" s="232"/>
      <c r="AH98" s="232"/>
      <c r="AI98" s="232"/>
      <c r="AJ98" s="232"/>
      <c r="AK98" s="232"/>
      <c r="AL98" s="232"/>
      <c r="AM98" s="232"/>
      <c r="AN98" s="232"/>
      <c r="AO98" s="231"/>
      <c r="AP98" s="231"/>
      <c r="AQ98" s="227"/>
      <c r="AR98" s="231"/>
      <c r="AS98" s="227"/>
      <c r="AT98" s="227"/>
      <c r="AU98" s="227"/>
      <c r="AV98" s="227"/>
    </row>
    <row r="99">
      <c r="A99" s="226" t="s">
        <v>561</v>
      </c>
      <c r="B99" s="226" t="s">
        <v>561</v>
      </c>
      <c r="C99" s="226" t="s">
        <v>562</v>
      </c>
      <c r="D99" s="226" t="s">
        <v>563</v>
      </c>
      <c r="E99" s="228">
        <v>1.0</v>
      </c>
      <c r="F99" s="228">
        <v>0.0</v>
      </c>
      <c r="G99" s="229">
        <v>0.1667</v>
      </c>
      <c r="H99" s="229">
        <v>0.0</v>
      </c>
      <c r="I99" s="226" t="s">
        <v>560</v>
      </c>
      <c r="J99" s="226" t="s">
        <v>206</v>
      </c>
      <c r="K99" s="228">
        <v>1.0</v>
      </c>
      <c r="L99" s="228">
        <v>0.0</v>
      </c>
      <c r="M99" s="232"/>
      <c r="N99" s="227"/>
      <c r="O99" s="227"/>
      <c r="P99" s="231"/>
      <c r="Q99" s="227"/>
      <c r="R99" s="231"/>
      <c r="S99" s="231"/>
      <c r="T99" s="231"/>
      <c r="U99" s="231"/>
      <c r="V99" s="231"/>
      <c r="W99" s="231"/>
      <c r="X99" s="227"/>
      <c r="Y99" s="232"/>
      <c r="Z99" s="232"/>
      <c r="AA99" s="232"/>
      <c r="AB99" s="232"/>
      <c r="AC99" s="227"/>
      <c r="AD99" s="227"/>
      <c r="AE99" s="231"/>
      <c r="AF99" s="227"/>
      <c r="AG99" s="232"/>
      <c r="AH99" s="232"/>
      <c r="AI99" s="232"/>
      <c r="AJ99" s="232"/>
      <c r="AK99" s="232"/>
      <c r="AL99" s="232"/>
      <c r="AM99" s="232"/>
      <c r="AN99" s="232"/>
      <c r="AO99" s="231"/>
      <c r="AP99" s="231"/>
      <c r="AQ99" s="227"/>
      <c r="AR99" s="231"/>
      <c r="AS99" s="227"/>
      <c r="AT99" s="227"/>
      <c r="AU99" s="227"/>
      <c r="AV99" s="227"/>
    </row>
    <row r="100">
      <c r="A100" s="226" t="s">
        <v>564</v>
      </c>
      <c r="B100" s="226" t="s">
        <v>564</v>
      </c>
      <c r="C100" s="226" t="s">
        <v>565</v>
      </c>
      <c r="D100" s="226" t="s">
        <v>566</v>
      </c>
      <c r="E100" s="228">
        <v>1.0</v>
      </c>
      <c r="F100" s="228">
        <v>0.0</v>
      </c>
      <c r="G100" s="229">
        <v>0.0076</v>
      </c>
      <c r="H100" s="229">
        <v>0.0</v>
      </c>
      <c r="I100" s="226" t="s">
        <v>392</v>
      </c>
      <c r="J100" s="226" t="s">
        <v>206</v>
      </c>
      <c r="K100" s="228">
        <v>1.0</v>
      </c>
      <c r="L100" s="228">
        <v>0.0</v>
      </c>
      <c r="M100" s="232"/>
      <c r="N100" s="227"/>
      <c r="O100" s="227"/>
      <c r="P100" s="231"/>
      <c r="Q100" s="227"/>
      <c r="R100" s="231"/>
      <c r="S100" s="231"/>
      <c r="T100" s="231"/>
      <c r="U100" s="231"/>
      <c r="V100" s="231"/>
      <c r="W100" s="231"/>
      <c r="X100" s="227"/>
      <c r="Y100" s="232"/>
      <c r="Z100" s="232"/>
      <c r="AA100" s="232"/>
      <c r="AB100" s="232"/>
      <c r="AC100" s="227"/>
      <c r="AD100" s="227"/>
      <c r="AE100" s="231"/>
      <c r="AF100" s="227"/>
      <c r="AG100" s="232"/>
      <c r="AH100" s="232"/>
      <c r="AI100" s="232"/>
      <c r="AJ100" s="232"/>
      <c r="AK100" s="232"/>
      <c r="AL100" s="232"/>
      <c r="AM100" s="232"/>
      <c r="AN100" s="232"/>
      <c r="AO100" s="231"/>
      <c r="AP100" s="231"/>
      <c r="AQ100" s="227"/>
      <c r="AR100" s="231"/>
      <c r="AS100" s="227"/>
      <c r="AT100" s="227"/>
      <c r="AU100" s="227"/>
      <c r="AV100" s="227"/>
    </row>
    <row r="101">
      <c r="A101" s="226"/>
      <c r="B101" s="226"/>
      <c r="C101" s="226"/>
      <c r="D101" s="226"/>
      <c r="E101" s="228"/>
      <c r="F101" s="228"/>
      <c r="G101" s="229"/>
      <c r="H101" s="229"/>
      <c r="I101" s="226"/>
      <c r="J101" s="226"/>
      <c r="K101" s="228"/>
      <c r="L101" s="228"/>
      <c r="M101" s="232"/>
      <c r="N101" s="227"/>
      <c r="O101" s="227"/>
      <c r="P101" s="231"/>
      <c r="Q101" s="227"/>
      <c r="R101" s="231"/>
      <c r="S101" s="231"/>
      <c r="T101" s="231"/>
      <c r="U101" s="231"/>
      <c r="V101" s="231"/>
      <c r="W101" s="231"/>
      <c r="X101" s="227"/>
      <c r="Y101" s="232"/>
      <c r="Z101" s="232"/>
      <c r="AA101" s="232"/>
      <c r="AB101" s="232"/>
      <c r="AC101" s="227"/>
      <c r="AD101" s="227"/>
      <c r="AE101" s="231"/>
      <c r="AF101" s="227"/>
      <c r="AG101" s="232"/>
      <c r="AH101" s="232"/>
      <c r="AI101" s="232"/>
      <c r="AJ101" s="232"/>
      <c r="AK101" s="232"/>
      <c r="AL101" s="232"/>
      <c r="AM101" s="232"/>
      <c r="AN101" s="232"/>
      <c r="AO101" s="231"/>
      <c r="AP101" s="231"/>
      <c r="AQ101" s="227"/>
      <c r="AR101" s="231"/>
      <c r="AS101" s="227"/>
      <c r="AT101" s="227"/>
      <c r="AU101" s="227"/>
      <c r="AV101" s="227"/>
    </row>
    <row r="102">
      <c r="A102" s="226"/>
      <c r="B102" s="226"/>
      <c r="C102" s="226"/>
      <c r="D102" s="226"/>
      <c r="E102" s="228"/>
      <c r="F102" s="228"/>
      <c r="G102" s="229"/>
      <c r="H102" s="229"/>
      <c r="I102" s="226"/>
      <c r="J102" s="226"/>
      <c r="K102" s="228"/>
      <c r="L102" s="228"/>
      <c r="M102" s="232"/>
      <c r="N102" s="227"/>
      <c r="O102" s="227"/>
      <c r="P102" s="231"/>
      <c r="Q102" s="227"/>
      <c r="R102" s="231"/>
      <c r="S102" s="231"/>
      <c r="T102" s="231"/>
      <c r="U102" s="231"/>
      <c r="V102" s="231"/>
      <c r="W102" s="231"/>
      <c r="X102" s="227"/>
      <c r="Y102" s="232"/>
      <c r="Z102" s="232"/>
      <c r="AA102" s="232"/>
      <c r="AB102" s="232"/>
      <c r="AC102" s="227"/>
      <c r="AD102" s="227"/>
      <c r="AE102" s="231"/>
      <c r="AF102" s="227"/>
      <c r="AG102" s="232"/>
      <c r="AH102" s="232"/>
      <c r="AI102" s="232"/>
      <c r="AJ102" s="232"/>
      <c r="AK102" s="232"/>
      <c r="AL102" s="232"/>
      <c r="AM102" s="232"/>
      <c r="AN102" s="232"/>
      <c r="AO102" s="231"/>
      <c r="AP102" s="231"/>
      <c r="AQ102" s="227"/>
      <c r="AR102" s="231"/>
      <c r="AS102" s="227"/>
      <c r="AT102" s="227"/>
      <c r="AU102" s="227"/>
      <c r="AV102" s="227"/>
    </row>
    <row r="103">
      <c r="A103" s="226"/>
      <c r="B103" s="226"/>
      <c r="C103" s="226"/>
      <c r="D103" s="226"/>
      <c r="E103" s="228"/>
      <c r="F103" s="228"/>
      <c r="G103" s="229"/>
      <c r="H103" s="229"/>
      <c r="I103" s="226"/>
      <c r="J103" s="226"/>
      <c r="K103" s="228"/>
      <c r="L103" s="228"/>
      <c r="M103" s="232"/>
      <c r="N103" s="227"/>
      <c r="O103" s="227"/>
      <c r="P103" s="231"/>
      <c r="Q103" s="227"/>
      <c r="R103" s="231"/>
      <c r="S103" s="231"/>
      <c r="T103" s="231"/>
      <c r="U103" s="231"/>
      <c r="V103" s="231"/>
      <c r="W103" s="231"/>
      <c r="X103" s="227"/>
      <c r="Y103" s="232"/>
      <c r="Z103" s="232"/>
      <c r="AA103" s="232"/>
      <c r="AB103" s="232"/>
      <c r="AC103" s="227"/>
      <c r="AD103" s="227"/>
      <c r="AE103" s="231"/>
      <c r="AF103" s="227"/>
      <c r="AG103" s="232"/>
      <c r="AH103" s="232"/>
      <c r="AI103" s="232"/>
      <c r="AJ103" s="232"/>
      <c r="AK103" s="232"/>
      <c r="AL103" s="232"/>
      <c r="AM103" s="232"/>
      <c r="AN103" s="232"/>
      <c r="AO103" s="231"/>
      <c r="AP103" s="231"/>
      <c r="AQ103" s="227"/>
      <c r="AR103" s="231"/>
      <c r="AS103" s="227"/>
      <c r="AT103" s="227"/>
      <c r="AU103" s="227"/>
      <c r="AV103" s="227"/>
    </row>
    <row r="104">
      <c r="A104" s="227"/>
      <c r="B104" s="227"/>
      <c r="C104" s="227"/>
      <c r="D104" s="227"/>
      <c r="E104" s="231"/>
      <c r="F104" s="231"/>
      <c r="G104" s="241"/>
      <c r="H104" s="241"/>
      <c r="I104" s="227"/>
      <c r="J104" s="227"/>
      <c r="K104" s="231"/>
      <c r="L104" s="231"/>
      <c r="M104" s="232"/>
      <c r="N104" s="227"/>
      <c r="O104" s="227"/>
      <c r="P104" s="231"/>
      <c r="Q104" s="227"/>
      <c r="R104" s="231"/>
      <c r="S104" s="231"/>
      <c r="T104" s="231"/>
      <c r="U104" s="231"/>
      <c r="V104" s="231"/>
      <c r="W104" s="231"/>
      <c r="X104" s="227"/>
      <c r="Y104" s="232"/>
      <c r="Z104" s="232"/>
      <c r="AA104" s="232"/>
      <c r="AB104" s="232"/>
      <c r="AC104" s="227"/>
      <c r="AD104" s="227"/>
      <c r="AE104" s="231"/>
      <c r="AF104" s="227"/>
      <c r="AG104" s="232"/>
      <c r="AH104" s="232"/>
      <c r="AI104" s="232"/>
      <c r="AJ104" s="232"/>
      <c r="AK104" s="232"/>
      <c r="AL104" s="232"/>
      <c r="AM104" s="232"/>
      <c r="AN104" s="232"/>
      <c r="AO104" s="231"/>
      <c r="AP104" s="231"/>
      <c r="AQ104" s="227"/>
      <c r="AR104" s="231"/>
      <c r="AS104" s="227"/>
      <c r="AT104" s="227"/>
      <c r="AU104" s="227"/>
      <c r="AV104" s="227"/>
    </row>
    <row r="105">
      <c r="A105" s="227"/>
      <c r="B105" s="227"/>
      <c r="C105" s="227"/>
      <c r="D105" s="227"/>
      <c r="E105" s="231"/>
      <c r="F105" s="231"/>
      <c r="G105" s="241"/>
      <c r="H105" s="241"/>
      <c r="I105" s="227"/>
      <c r="J105" s="227"/>
      <c r="K105" s="231"/>
      <c r="L105" s="231"/>
      <c r="M105" s="232"/>
      <c r="N105" s="227"/>
      <c r="O105" s="227"/>
      <c r="P105" s="231"/>
      <c r="Q105" s="227"/>
      <c r="R105" s="231"/>
      <c r="S105" s="231"/>
      <c r="T105" s="231"/>
      <c r="U105" s="231"/>
      <c r="V105" s="231"/>
      <c r="W105" s="231"/>
      <c r="X105" s="227"/>
      <c r="Y105" s="232"/>
      <c r="Z105" s="232"/>
      <c r="AA105" s="232"/>
      <c r="AB105" s="232"/>
      <c r="AC105" s="227"/>
      <c r="AD105" s="227"/>
      <c r="AE105" s="231"/>
      <c r="AF105" s="227"/>
      <c r="AG105" s="232"/>
      <c r="AH105" s="232"/>
      <c r="AI105" s="232"/>
      <c r="AJ105" s="232"/>
      <c r="AK105" s="232"/>
      <c r="AL105" s="232"/>
      <c r="AM105" s="232"/>
      <c r="AN105" s="232"/>
      <c r="AO105" s="231"/>
      <c r="AP105" s="231"/>
      <c r="AQ105" s="227"/>
      <c r="AR105" s="231"/>
      <c r="AS105" s="227"/>
      <c r="AT105" s="227"/>
      <c r="AU105" s="227"/>
      <c r="AV105" s="227"/>
    </row>
    <row r="106">
      <c r="A106" s="227"/>
      <c r="B106" s="227"/>
      <c r="C106" s="227"/>
      <c r="D106" s="227"/>
      <c r="E106" s="231"/>
      <c r="F106" s="231"/>
      <c r="G106" s="241"/>
      <c r="H106" s="241"/>
      <c r="I106" s="227"/>
      <c r="J106" s="227"/>
      <c r="K106" s="231"/>
      <c r="L106" s="231"/>
      <c r="M106" s="232"/>
      <c r="N106" s="227"/>
      <c r="O106" s="227"/>
      <c r="P106" s="231"/>
      <c r="Q106" s="227"/>
      <c r="R106" s="231"/>
      <c r="S106" s="231"/>
      <c r="T106" s="231"/>
      <c r="U106" s="231"/>
      <c r="V106" s="231"/>
      <c r="W106" s="231"/>
      <c r="X106" s="227"/>
      <c r="Y106" s="232"/>
      <c r="Z106" s="232"/>
      <c r="AA106" s="232"/>
      <c r="AB106" s="232"/>
      <c r="AC106" s="227"/>
      <c r="AD106" s="227"/>
      <c r="AE106" s="231"/>
      <c r="AF106" s="227"/>
      <c r="AG106" s="232"/>
      <c r="AH106" s="232"/>
      <c r="AI106" s="232"/>
      <c r="AJ106" s="232"/>
      <c r="AK106" s="232"/>
      <c r="AL106" s="232"/>
      <c r="AM106" s="232"/>
      <c r="AN106" s="232"/>
      <c r="AO106" s="231"/>
      <c r="AP106" s="231"/>
      <c r="AQ106" s="227"/>
      <c r="AR106" s="231"/>
      <c r="AS106" s="227"/>
      <c r="AT106" s="227"/>
      <c r="AU106" s="227"/>
      <c r="AV106" s="227"/>
    </row>
    <row r="107">
      <c r="A107" s="227"/>
      <c r="B107" s="227"/>
      <c r="C107" s="227"/>
      <c r="D107" s="227"/>
      <c r="E107" s="231"/>
      <c r="F107" s="231"/>
      <c r="G107" s="241"/>
      <c r="H107" s="241"/>
      <c r="I107" s="227"/>
      <c r="J107" s="227"/>
      <c r="K107" s="231"/>
      <c r="L107" s="231"/>
      <c r="M107" s="232"/>
      <c r="N107" s="227"/>
      <c r="O107" s="227"/>
      <c r="P107" s="231"/>
      <c r="Q107" s="227"/>
      <c r="R107" s="231"/>
      <c r="S107" s="231"/>
      <c r="T107" s="231"/>
      <c r="U107" s="231"/>
      <c r="V107" s="231"/>
      <c r="W107" s="231"/>
      <c r="X107" s="227"/>
      <c r="Y107" s="232"/>
      <c r="Z107" s="232"/>
      <c r="AA107" s="232"/>
      <c r="AB107" s="232"/>
      <c r="AC107" s="227"/>
      <c r="AD107" s="227"/>
      <c r="AE107" s="231"/>
      <c r="AF107" s="227"/>
      <c r="AG107" s="232"/>
      <c r="AH107" s="232"/>
      <c r="AI107" s="232"/>
      <c r="AJ107" s="232"/>
      <c r="AK107" s="232"/>
      <c r="AL107" s="232"/>
      <c r="AM107" s="232"/>
      <c r="AN107" s="232"/>
      <c r="AO107" s="231"/>
      <c r="AP107" s="231"/>
      <c r="AQ107" s="227"/>
      <c r="AR107" s="231"/>
      <c r="AS107" s="227"/>
      <c r="AT107" s="227"/>
      <c r="AU107" s="227"/>
      <c r="AV107" s="227"/>
    </row>
    <row r="108">
      <c r="A108" s="227"/>
      <c r="B108" s="227"/>
      <c r="C108" s="227"/>
      <c r="D108" s="227"/>
      <c r="E108" s="231"/>
      <c r="F108" s="231"/>
      <c r="G108" s="241"/>
      <c r="H108" s="241"/>
      <c r="I108" s="227"/>
      <c r="J108" s="227"/>
      <c r="K108" s="231"/>
      <c r="L108" s="231"/>
      <c r="M108" s="232"/>
      <c r="N108" s="227"/>
      <c r="O108" s="227"/>
      <c r="P108" s="231"/>
      <c r="Q108" s="227"/>
      <c r="R108" s="231"/>
      <c r="S108" s="231"/>
      <c r="T108" s="231"/>
      <c r="U108" s="231"/>
      <c r="V108" s="231"/>
      <c r="W108" s="231"/>
      <c r="X108" s="227"/>
      <c r="Y108" s="232"/>
      <c r="Z108" s="232"/>
      <c r="AA108" s="232"/>
      <c r="AB108" s="232"/>
      <c r="AC108" s="227"/>
      <c r="AD108" s="227"/>
      <c r="AE108" s="231"/>
      <c r="AF108" s="227"/>
      <c r="AG108" s="232"/>
      <c r="AH108" s="232"/>
      <c r="AI108" s="232"/>
      <c r="AJ108" s="232"/>
      <c r="AK108" s="232"/>
      <c r="AL108" s="232"/>
      <c r="AM108" s="232"/>
      <c r="AN108" s="232"/>
      <c r="AO108" s="231"/>
      <c r="AP108" s="231"/>
      <c r="AQ108" s="227"/>
      <c r="AR108" s="231"/>
      <c r="AS108" s="227"/>
      <c r="AT108" s="227"/>
      <c r="AU108" s="227"/>
      <c r="AV108" s="227"/>
    </row>
    <row r="109">
      <c r="A109" s="227"/>
      <c r="B109" s="227"/>
      <c r="C109" s="227"/>
      <c r="D109" s="227"/>
      <c r="E109" s="231"/>
      <c r="F109" s="231"/>
      <c r="G109" s="241"/>
      <c r="H109" s="241"/>
      <c r="I109" s="227"/>
      <c r="J109" s="227"/>
      <c r="K109" s="231"/>
      <c r="L109" s="231"/>
      <c r="M109" s="232"/>
      <c r="N109" s="227"/>
      <c r="O109" s="227"/>
      <c r="P109" s="231"/>
      <c r="Q109" s="227"/>
      <c r="R109" s="231"/>
      <c r="S109" s="231"/>
      <c r="T109" s="231"/>
      <c r="U109" s="231"/>
      <c r="V109" s="231"/>
      <c r="W109" s="231"/>
      <c r="X109" s="227"/>
      <c r="Y109" s="232"/>
      <c r="Z109" s="232"/>
      <c r="AA109" s="232"/>
      <c r="AB109" s="232"/>
      <c r="AC109" s="227"/>
      <c r="AD109" s="227"/>
      <c r="AE109" s="231"/>
      <c r="AF109" s="227"/>
      <c r="AG109" s="232"/>
      <c r="AH109" s="232"/>
      <c r="AI109" s="232"/>
      <c r="AJ109" s="232"/>
      <c r="AK109" s="232"/>
      <c r="AL109" s="232"/>
      <c r="AM109" s="232"/>
      <c r="AN109" s="232"/>
      <c r="AO109" s="231"/>
      <c r="AP109" s="231"/>
      <c r="AQ109" s="227"/>
      <c r="AR109" s="231"/>
      <c r="AS109" s="227"/>
      <c r="AT109" s="227"/>
      <c r="AU109" s="227"/>
      <c r="AV109" s="227"/>
    </row>
    <row r="110">
      <c r="A110" s="227"/>
      <c r="B110" s="227"/>
      <c r="C110" s="227"/>
      <c r="D110" s="227"/>
      <c r="E110" s="231"/>
      <c r="F110" s="231"/>
      <c r="G110" s="241"/>
      <c r="H110" s="241"/>
      <c r="I110" s="227"/>
      <c r="J110" s="227"/>
      <c r="K110" s="231"/>
      <c r="L110" s="231"/>
      <c r="M110" s="232"/>
      <c r="N110" s="227"/>
      <c r="O110" s="227"/>
      <c r="P110" s="231"/>
      <c r="Q110" s="227"/>
      <c r="R110" s="231"/>
      <c r="S110" s="231"/>
      <c r="T110" s="231"/>
      <c r="U110" s="231"/>
      <c r="V110" s="231"/>
      <c r="W110" s="231"/>
      <c r="X110" s="227"/>
      <c r="Y110" s="232"/>
      <c r="Z110" s="232"/>
      <c r="AA110" s="232"/>
      <c r="AB110" s="232"/>
      <c r="AC110" s="227"/>
      <c r="AD110" s="227"/>
      <c r="AE110" s="231"/>
      <c r="AF110" s="227"/>
      <c r="AG110" s="232"/>
      <c r="AH110" s="232"/>
      <c r="AI110" s="232"/>
      <c r="AJ110" s="232"/>
      <c r="AK110" s="232"/>
      <c r="AL110" s="232"/>
      <c r="AM110" s="232"/>
      <c r="AN110" s="232"/>
      <c r="AO110" s="231"/>
      <c r="AP110" s="231"/>
      <c r="AQ110" s="227"/>
      <c r="AR110" s="231"/>
      <c r="AS110" s="227"/>
      <c r="AT110" s="227"/>
      <c r="AU110" s="227"/>
      <c r="AV110" s="227"/>
    </row>
    <row r="111">
      <c r="A111" s="227"/>
      <c r="B111" s="227"/>
      <c r="C111" s="227"/>
      <c r="D111" s="227"/>
      <c r="E111" s="231"/>
      <c r="F111" s="231"/>
      <c r="G111" s="241"/>
      <c r="H111" s="241"/>
      <c r="I111" s="227"/>
      <c r="J111" s="227"/>
      <c r="K111" s="231"/>
      <c r="L111" s="231"/>
      <c r="M111" s="232"/>
      <c r="N111" s="227"/>
      <c r="O111" s="227"/>
      <c r="P111" s="231"/>
      <c r="Q111" s="227"/>
      <c r="R111" s="231"/>
      <c r="S111" s="231"/>
      <c r="T111" s="231"/>
      <c r="U111" s="231"/>
      <c r="V111" s="231"/>
      <c r="W111" s="231"/>
      <c r="X111" s="227"/>
      <c r="Y111" s="232"/>
      <c r="Z111" s="232"/>
      <c r="AA111" s="232"/>
      <c r="AB111" s="232"/>
      <c r="AC111" s="227"/>
      <c r="AD111" s="227"/>
      <c r="AE111" s="231"/>
      <c r="AF111" s="227"/>
      <c r="AG111" s="232"/>
      <c r="AH111" s="232"/>
      <c r="AI111" s="232"/>
      <c r="AJ111" s="232"/>
      <c r="AK111" s="232"/>
      <c r="AL111" s="232"/>
      <c r="AM111" s="232"/>
      <c r="AN111" s="232"/>
      <c r="AO111" s="231"/>
      <c r="AP111" s="231"/>
      <c r="AQ111" s="227"/>
      <c r="AR111" s="231"/>
      <c r="AS111" s="227"/>
      <c r="AT111" s="227"/>
      <c r="AU111" s="227"/>
      <c r="AV111" s="227"/>
    </row>
    <row r="112">
      <c r="A112" s="227"/>
      <c r="B112" s="227"/>
      <c r="C112" s="227"/>
      <c r="D112" s="227"/>
      <c r="E112" s="231"/>
      <c r="F112" s="231"/>
      <c r="G112" s="241"/>
      <c r="H112" s="241"/>
      <c r="I112" s="227"/>
      <c r="J112" s="227"/>
      <c r="K112" s="231"/>
      <c r="L112" s="231"/>
      <c r="M112" s="232"/>
      <c r="N112" s="227"/>
      <c r="O112" s="227"/>
      <c r="P112" s="231"/>
      <c r="Q112" s="227"/>
      <c r="R112" s="231"/>
      <c r="S112" s="231"/>
      <c r="T112" s="231"/>
      <c r="U112" s="231"/>
      <c r="V112" s="231"/>
      <c r="W112" s="231"/>
      <c r="X112" s="227"/>
      <c r="Y112" s="232"/>
      <c r="Z112" s="232"/>
      <c r="AA112" s="232"/>
      <c r="AB112" s="232"/>
      <c r="AC112" s="227"/>
      <c r="AD112" s="227"/>
      <c r="AE112" s="231"/>
      <c r="AF112" s="227"/>
      <c r="AG112" s="232"/>
      <c r="AH112" s="232"/>
      <c r="AI112" s="232"/>
      <c r="AJ112" s="232"/>
      <c r="AK112" s="232"/>
      <c r="AL112" s="232"/>
      <c r="AM112" s="232"/>
      <c r="AN112" s="232"/>
      <c r="AO112" s="231"/>
      <c r="AP112" s="231"/>
      <c r="AQ112" s="227"/>
      <c r="AR112" s="231"/>
      <c r="AS112" s="227"/>
      <c r="AT112" s="227"/>
      <c r="AU112" s="227"/>
      <c r="AV112" s="227"/>
    </row>
    <row r="113">
      <c r="A113" s="227"/>
      <c r="B113" s="227"/>
      <c r="C113" s="227"/>
      <c r="D113" s="227"/>
      <c r="E113" s="231"/>
      <c r="F113" s="231"/>
      <c r="G113" s="241"/>
      <c r="H113" s="241"/>
      <c r="I113" s="227"/>
      <c r="J113" s="227"/>
      <c r="K113" s="231"/>
      <c r="L113" s="231"/>
      <c r="M113" s="232"/>
      <c r="N113" s="227"/>
      <c r="O113" s="227"/>
      <c r="P113" s="231"/>
      <c r="Q113" s="227"/>
      <c r="R113" s="231"/>
      <c r="S113" s="231"/>
      <c r="T113" s="231"/>
      <c r="U113" s="231"/>
      <c r="V113" s="231"/>
      <c r="W113" s="231"/>
      <c r="X113" s="227"/>
      <c r="Y113" s="232"/>
      <c r="Z113" s="232"/>
      <c r="AA113" s="232"/>
      <c r="AB113" s="232"/>
      <c r="AC113" s="227"/>
      <c r="AD113" s="227"/>
      <c r="AE113" s="231"/>
      <c r="AF113" s="227"/>
      <c r="AG113" s="232"/>
      <c r="AH113" s="232"/>
      <c r="AI113" s="232"/>
      <c r="AJ113" s="232"/>
      <c r="AK113" s="232"/>
      <c r="AL113" s="232"/>
      <c r="AM113" s="232"/>
      <c r="AN113" s="232"/>
      <c r="AO113" s="231"/>
      <c r="AP113" s="231"/>
      <c r="AQ113" s="227"/>
      <c r="AR113" s="231"/>
      <c r="AS113" s="227"/>
      <c r="AT113" s="227"/>
      <c r="AU113" s="227"/>
      <c r="AV113" s="227"/>
    </row>
    <row r="114">
      <c r="A114" s="227"/>
      <c r="B114" s="242"/>
      <c r="C114" s="227"/>
      <c r="D114" s="227"/>
      <c r="E114" s="231"/>
      <c r="F114" s="242"/>
      <c r="G114" s="227"/>
      <c r="H114" s="227"/>
      <c r="I114" s="227"/>
      <c r="J114" s="227"/>
      <c r="K114" s="227"/>
      <c r="L114" s="242"/>
      <c r="M114" s="232"/>
      <c r="N114" s="227"/>
      <c r="O114" s="227"/>
      <c r="P114" s="231"/>
      <c r="Q114" s="227"/>
      <c r="R114" s="231"/>
      <c r="S114" s="231"/>
      <c r="T114" s="231"/>
      <c r="U114" s="231"/>
      <c r="V114" s="231"/>
      <c r="W114" s="231"/>
      <c r="X114" s="227"/>
      <c r="Y114" s="232"/>
      <c r="Z114" s="232"/>
      <c r="AA114" s="232"/>
      <c r="AB114" s="232"/>
      <c r="AC114" s="227"/>
      <c r="AD114" s="227"/>
      <c r="AE114" s="231"/>
      <c r="AF114" s="227"/>
      <c r="AG114" s="232"/>
      <c r="AH114" s="232"/>
      <c r="AI114" s="232"/>
      <c r="AJ114" s="232"/>
      <c r="AK114" s="232"/>
      <c r="AL114" s="232"/>
      <c r="AM114" s="232"/>
      <c r="AN114" s="232"/>
      <c r="AO114" s="231"/>
      <c r="AP114" s="231"/>
      <c r="AQ114" s="227"/>
      <c r="AR114" s="231"/>
      <c r="AS114" s="227"/>
      <c r="AT114" s="227"/>
      <c r="AU114" s="227"/>
      <c r="AV114" s="227"/>
    </row>
    <row r="115">
      <c r="A115" s="227"/>
      <c r="B115" s="242"/>
      <c r="C115" s="227"/>
      <c r="D115" s="227"/>
      <c r="E115" s="231"/>
      <c r="F115" s="242"/>
      <c r="G115" s="227"/>
      <c r="H115" s="227"/>
      <c r="I115" s="227"/>
      <c r="J115" s="227"/>
      <c r="K115" s="227"/>
      <c r="L115" s="242"/>
      <c r="M115" s="232"/>
      <c r="N115" s="227"/>
      <c r="O115" s="227"/>
      <c r="P115" s="231"/>
      <c r="Q115" s="227"/>
      <c r="R115" s="231"/>
      <c r="S115" s="231"/>
      <c r="T115" s="231"/>
      <c r="U115" s="231"/>
      <c r="V115" s="231"/>
      <c r="W115" s="231"/>
      <c r="X115" s="227"/>
      <c r="Y115" s="232"/>
      <c r="Z115" s="232"/>
      <c r="AA115" s="232"/>
      <c r="AB115" s="232"/>
      <c r="AC115" s="227"/>
      <c r="AD115" s="227"/>
      <c r="AE115" s="231"/>
      <c r="AF115" s="227"/>
      <c r="AG115" s="232"/>
      <c r="AH115" s="232"/>
      <c r="AI115" s="232"/>
      <c r="AJ115" s="232"/>
      <c r="AK115" s="232"/>
      <c r="AL115" s="232"/>
      <c r="AM115" s="232"/>
      <c r="AN115" s="232"/>
      <c r="AO115" s="231"/>
      <c r="AP115" s="231"/>
      <c r="AQ115" s="227"/>
      <c r="AR115" s="231"/>
      <c r="AS115" s="227"/>
      <c r="AT115" s="227"/>
      <c r="AU115" s="227"/>
      <c r="AV115" s="227"/>
    </row>
    <row r="116">
      <c r="A116" s="227"/>
      <c r="B116" s="242"/>
      <c r="C116" s="227"/>
      <c r="D116" s="227"/>
      <c r="E116" s="231"/>
      <c r="F116" s="242"/>
      <c r="G116" s="227"/>
      <c r="H116" s="227"/>
      <c r="I116" s="227"/>
      <c r="J116" s="227"/>
      <c r="K116" s="227"/>
      <c r="L116" s="242"/>
      <c r="M116" s="232"/>
      <c r="N116" s="227"/>
      <c r="O116" s="227"/>
      <c r="P116" s="231"/>
      <c r="Q116" s="227"/>
      <c r="R116" s="231"/>
      <c r="S116" s="231"/>
      <c r="T116" s="231"/>
      <c r="U116" s="231"/>
      <c r="V116" s="231"/>
      <c r="W116" s="231"/>
      <c r="X116" s="227"/>
      <c r="Y116" s="232"/>
      <c r="Z116" s="232"/>
      <c r="AA116" s="232"/>
      <c r="AB116" s="232"/>
      <c r="AC116" s="227"/>
      <c r="AD116" s="227"/>
      <c r="AE116" s="231"/>
      <c r="AF116" s="227"/>
      <c r="AG116" s="232"/>
      <c r="AH116" s="232"/>
      <c r="AI116" s="232"/>
      <c r="AJ116" s="232"/>
      <c r="AK116" s="232"/>
      <c r="AL116" s="232"/>
      <c r="AM116" s="232"/>
      <c r="AN116" s="232"/>
      <c r="AO116" s="231"/>
      <c r="AP116" s="231"/>
      <c r="AQ116" s="227"/>
      <c r="AR116" s="231"/>
      <c r="AS116" s="227"/>
      <c r="AT116" s="227"/>
      <c r="AU116" s="227"/>
      <c r="AV116" s="227"/>
    </row>
    <row r="117">
      <c r="A117" s="227"/>
      <c r="B117" s="242"/>
      <c r="C117" s="227"/>
      <c r="D117" s="227"/>
      <c r="E117" s="231"/>
      <c r="F117" s="242"/>
      <c r="G117" s="227"/>
      <c r="H117" s="227"/>
      <c r="I117" s="227"/>
      <c r="J117" s="227"/>
      <c r="K117" s="227"/>
      <c r="L117" s="242"/>
      <c r="M117" s="232"/>
      <c r="N117" s="227"/>
      <c r="O117" s="227"/>
      <c r="P117" s="231"/>
      <c r="Q117" s="227"/>
      <c r="R117" s="231"/>
      <c r="S117" s="231"/>
      <c r="T117" s="231"/>
      <c r="U117" s="231"/>
      <c r="V117" s="231"/>
      <c r="W117" s="231"/>
      <c r="X117" s="227"/>
      <c r="Y117" s="232"/>
      <c r="Z117" s="232"/>
      <c r="AA117" s="232"/>
      <c r="AB117" s="232"/>
      <c r="AC117" s="227"/>
      <c r="AD117" s="227"/>
      <c r="AE117" s="231"/>
      <c r="AF117" s="227"/>
      <c r="AG117" s="232"/>
      <c r="AH117" s="232"/>
      <c r="AI117" s="232"/>
      <c r="AJ117" s="232"/>
      <c r="AK117" s="232"/>
      <c r="AL117" s="232"/>
      <c r="AM117" s="232"/>
      <c r="AN117" s="232"/>
      <c r="AO117" s="231"/>
      <c r="AP117" s="231"/>
      <c r="AQ117" s="227"/>
      <c r="AR117" s="231"/>
      <c r="AS117" s="227"/>
      <c r="AT117" s="227"/>
      <c r="AU117" s="227"/>
      <c r="AV117" s="227"/>
    </row>
    <row r="118">
      <c r="A118" s="227"/>
      <c r="B118" s="242"/>
      <c r="C118" s="227"/>
      <c r="D118" s="227"/>
      <c r="E118" s="231"/>
      <c r="F118" s="242"/>
      <c r="G118" s="227"/>
      <c r="H118" s="227"/>
      <c r="I118" s="227"/>
      <c r="J118" s="227"/>
      <c r="K118" s="227"/>
      <c r="L118" s="242"/>
      <c r="M118" s="232"/>
      <c r="N118" s="227"/>
      <c r="O118" s="227"/>
      <c r="P118" s="231"/>
      <c r="Q118" s="227"/>
      <c r="R118" s="231"/>
      <c r="S118" s="231"/>
      <c r="T118" s="231"/>
      <c r="U118" s="231"/>
      <c r="V118" s="231"/>
      <c r="W118" s="231"/>
      <c r="X118" s="227"/>
      <c r="Y118" s="232"/>
      <c r="Z118" s="232"/>
      <c r="AA118" s="232"/>
      <c r="AB118" s="232"/>
      <c r="AC118" s="227"/>
      <c r="AD118" s="227"/>
      <c r="AE118" s="231"/>
      <c r="AF118" s="227"/>
      <c r="AG118" s="232"/>
      <c r="AH118" s="232"/>
      <c r="AI118" s="232"/>
      <c r="AJ118" s="232"/>
      <c r="AK118" s="232"/>
      <c r="AL118" s="232"/>
      <c r="AM118" s="232"/>
      <c r="AN118" s="232"/>
      <c r="AO118" s="231"/>
      <c r="AP118" s="231"/>
      <c r="AQ118" s="227"/>
      <c r="AR118" s="231"/>
      <c r="AS118" s="227"/>
      <c r="AT118" s="227"/>
      <c r="AU118" s="227"/>
      <c r="AV118" s="227"/>
    </row>
    <row r="119">
      <c r="A119" s="227"/>
      <c r="B119" s="242"/>
      <c r="C119" s="227"/>
      <c r="D119" s="227"/>
      <c r="E119" s="231"/>
      <c r="F119" s="242"/>
      <c r="G119" s="227"/>
      <c r="H119" s="227"/>
      <c r="I119" s="227"/>
      <c r="J119" s="227"/>
      <c r="K119" s="227"/>
      <c r="L119" s="242"/>
      <c r="M119" s="232"/>
      <c r="N119" s="227"/>
      <c r="O119" s="227"/>
      <c r="P119" s="231"/>
      <c r="Q119" s="227"/>
      <c r="R119" s="231"/>
      <c r="S119" s="231"/>
      <c r="T119" s="231"/>
      <c r="U119" s="231"/>
      <c r="V119" s="231"/>
      <c r="W119" s="231"/>
      <c r="X119" s="227"/>
      <c r="Y119" s="232"/>
      <c r="Z119" s="232"/>
      <c r="AA119" s="232"/>
      <c r="AB119" s="232"/>
      <c r="AC119" s="227"/>
      <c r="AD119" s="227"/>
      <c r="AE119" s="231"/>
      <c r="AF119" s="227"/>
      <c r="AG119" s="232"/>
      <c r="AH119" s="232"/>
      <c r="AI119" s="232"/>
      <c r="AJ119" s="232"/>
      <c r="AK119" s="232"/>
      <c r="AL119" s="232"/>
      <c r="AM119" s="232"/>
      <c r="AN119" s="232"/>
      <c r="AO119" s="231"/>
      <c r="AP119" s="231"/>
      <c r="AQ119" s="227"/>
      <c r="AR119" s="231"/>
      <c r="AS119" s="227"/>
      <c r="AT119" s="227"/>
      <c r="AU119" s="227"/>
      <c r="AV119" s="227"/>
    </row>
    <row r="120">
      <c r="A120" s="227"/>
      <c r="B120" s="242"/>
      <c r="C120" s="227"/>
      <c r="D120" s="227"/>
      <c r="E120" s="231"/>
      <c r="F120" s="242"/>
      <c r="G120" s="227"/>
      <c r="H120" s="227"/>
      <c r="I120" s="227"/>
      <c r="J120" s="227"/>
      <c r="K120" s="227"/>
      <c r="L120" s="242"/>
      <c r="M120" s="232"/>
      <c r="N120" s="227"/>
      <c r="O120" s="227"/>
      <c r="P120" s="231"/>
      <c r="Q120" s="227"/>
      <c r="R120" s="231"/>
      <c r="S120" s="231"/>
      <c r="T120" s="231"/>
      <c r="U120" s="231"/>
      <c r="V120" s="231"/>
      <c r="W120" s="231"/>
      <c r="X120" s="227"/>
      <c r="Y120" s="232"/>
      <c r="Z120" s="232"/>
      <c r="AA120" s="232"/>
      <c r="AB120" s="232"/>
      <c r="AC120" s="227"/>
      <c r="AD120" s="227"/>
      <c r="AE120" s="231"/>
      <c r="AF120" s="227"/>
      <c r="AG120" s="232"/>
      <c r="AH120" s="232"/>
      <c r="AI120" s="232"/>
      <c r="AJ120" s="232"/>
      <c r="AK120" s="232"/>
      <c r="AL120" s="232"/>
      <c r="AM120" s="232"/>
      <c r="AN120" s="232"/>
      <c r="AO120" s="231"/>
      <c r="AP120" s="231"/>
      <c r="AQ120" s="227"/>
      <c r="AR120" s="231"/>
      <c r="AS120" s="227"/>
      <c r="AT120" s="227"/>
      <c r="AU120" s="227"/>
      <c r="AV120" s="227"/>
    </row>
    <row r="121">
      <c r="A121" s="227"/>
      <c r="B121" s="242"/>
      <c r="C121" s="227"/>
      <c r="D121" s="227"/>
      <c r="E121" s="231"/>
      <c r="F121" s="242"/>
      <c r="G121" s="227"/>
      <c r="H121" s="227"/>
      <c r="I121" s="227"/>
      <c r="J121" s="227"/>
      <c r="K121" s="227"/>
      <c r="L121" s="242"/>
      <c r="M121" s="232"/>
      <c r="N121" s="227"/>
      <c r="O121" s="227"/>
      <c r="P121" s="231"/>
      <c r="Q121" s="227"/>
      <c r="R121" s="231"/>
      <c r="S121" s="231"/>
      <c r="T121" s="231"/>
      <c r="U121" s="231"/>
      <c r="V121" s="231"/>
      <c r="W121" s="231"/>
      <c r="X121" s="227"/>
      <c r="Y121" s="232"/>
      <c r="Z121" s="232"/>
      <c r="AA121" s="232"/>
      <c r="AB121" s="232"/>
      <c r="AC121" s="227"/>
      <c r="AD121" s="227"/>
      <c r="AE121" s="231"/>
      <c r="AF121" s="227"/>
      <c r="AG121" s="232"/>
      <c r="AH121" s="232"/>
      <c r="AI121" s="232"/>
      <c r="AJ121" s="232"/>
      <c r="AK121" s="232"/>
      <c r="AL121" s="232"/>
      <c r="AM121" s="232"/>
      <c r="AN121" s="232"/>
      <c r="AO121" s="231"/>
      <c r="AP121" s="231"/>
      <c r="AQ121" s="227"/>
      <c r="AR121" s="231"/>
      <c r="AS121" s="227"/>
      <c r="AT121" s="227"/>
      <c r="AU121" s="227"/>
      <c r="AV121" s="227"/>
    </row>
    <row r="122">
      <c r="A122" s="227"/>
      <c r="B122" s="242"/>
      <c r="C122" s="227"/>
      <c r="D122" s="227"/>
      <c r="E122" s="231"/>
      <c r="F122" s="242"/>
      <c r="G122" s="227"/>
      <c r="H122" s="227"/>
      <c r="I122" s="227"/>
      <c r="J122" s="227"/>
      <c r="K122" s="227"/>
      <c r="L122" s="242"/>
      <c r="M122" s="232"/>
      <c r="N122" s="227"/>
      <c r="O122" s="227"/>
      <c r="P122" s="231"/>
      <c r="Q122" s="227"/>
      <c r="R122" s="231"/>
      <c r="S122" s="231"/>
      <c r="T122" s="231"/>
      <c r="U122" s="231"/>
      <c r="V122" s="231"/>
      <c r="W122" s="231"/>
      <c r="X122" s="227"/>
      <c r="Y122" s="232"/>
      <c r="Z122" s="232"/>
      <c r="AA122" s="232"/>
      <c r="AB122" s="232"/>
      <c r="AC122" s="227"/>
      <c r="AD122" s="227"/>
      <c r="AE122" s="231"/>
      <c r="AF122" s="227"/>
      <c r="AG122" s="232"/>
      <c r="AH122" s="232"/>
      <c r="AI122" s="232"/>
      <c r="AJ122" s="232"/>
      <c r="AK122" s="232"/>
      <c r="AL122" s="232"/>
      <c r="AM122" s="232"/>
      <c r="AN122" s="232"/>
      <c r="AO122" s="231"/>
      <c r="AP122" s="231"/>
      <c r="AQ122" s="227"/>
      <c r="AR122" s="231"/>
      <c r="AS122" s="227"/>
      <c r="AT122" s="227"/>
      <c r="AU122" s="227"/>
      <c r="AV122" s="227"/>
    </row>
    <row r="123">
      <c r="A123" s="227"/>
      <c r="B123" s="242"/>
      <c r="C123" s="227"/>
      <c r="D123" s="227"/>
      <c r="E123" s="231"/>
      <c r="F123" s="242"/>
      <c r="G123" s="227"/>
      <c r="H123" s="227"/>
      <c r="I123" s="227"/>
      <c r="J123" s="227"/>
      <c r="K123" s="227"/>
      <c r="L123" s="242"/>
      <c r="M123" s="232"/>
      <c r="N123" s="227"/>
      <c r="O123" s="227"/>
      <c r="P123" s="231"/>
      <c r="Q123" s="227"/>
      <c r="R123" s="231"/>
      <c r="S123" s="231"/>
      <c r="T123" s="231"/>
      <c r="U123" s="231"/>
      <c r="V123" s="231"/>
      <c r="W123" s="231"/>
      <c r="X123" s="227"/>
      <c r="Y123" s="232"/>
      <c r="Z123" s="232"/>
      <c r="AA123" s="232"/>
      <c r="AB123" s="232"/>
      <c r="AC123" s="227"/>
      <c r="AD123" s="227"/>
      <c r="AE123" s="231"/>
      <c r="AF123" s="227"/>
      <c r="AG123" s="232"/>
      <c r="AH123" s="232"/>
      <c r="AI123" s="232"/>
      <c r="AJ123" s="232"/>
      <c r="AK123" s="232"/>
      <c r="AL123" s="232"/>
      <c r="AM123" s="232"/>
      <c r="AN123" s="232"/>
      <c r="AO123" s="231"/>
      <c r="AP123" s="231"/>
      <c r="AQ123" s="227"/>
      <c r="AR123" s="231"/>
      <c r="AS123" s="227"/>
      <c r="AT123" s="227"/>
      <c r="AU123" s="227"/>
      <c r="AV123" s="227"/>
    </row>
    <row r="124">
      <c r="A124" s="227"/>
      <c r="B124" s="242"/>
      <c r="C124" s="227"/>
      <c r="D124" s="227"/>
      <c r="E124" s="231"/>
      <c r="F124" s="242"/>
      <c r="G124" s="227"/>
      <c r="H124" s="227"/>
      <c r="I124" s="227"/>
      <c r="J124" s="227"/>
      <c r="K124" s="227"/>
      <c r="L124" s="242"/>
      <c r="M124" s="232"/>
      <c r="N124" s="227"/>
      <c r="O124" s="227"/>
      <c r="P124" s="231"/>
      <c r="Q124" s="227"/>
      <c r="R124" s="231"/>
      <c r="S124" s="231"/>
      <c r="T124" s="231"/>
      <c r="U124" s="231"/>
      <c r="V124" s="231"/>
      <c r="W124" s="231"/>
      <c r="X124" s="227"/>
      <c r="Y124" s="232"/>
      <c r="Z124" s="232"/>
      <c r="AA124" s="232"/>
      <c r="AB124" s="232"/>
      <c r="AC124" s="227"/>
      <c r="AD124" s="227"/>
      <c r="AE124" s="231"/>
      <c r="AF124" s="227"/>
      <c r="AG124" s="232"/>
      <c r="AH124" s="232"/>
      <c r="AI124" s="232"/>
      <c r="AJ124" s="232"/>
      <c r="AK124" s="232"/>
      <c r="AL124" s="232"/>
      <c r="AM124" s="232"/>
      <c r="AN124" s="232"/>
      <c r="AO124" s="231"/>
      <c r="AP124" s="231"/>
      <c r="AQ124" s="227"/>
      <c r="AR124" s="231"/>
      <c r="AS124" s="227"/>
      <c r="AT124" s="227"/>
      <c r="AU124" s="227"/>
      <c r="AV124" s="227"/>
    </row>
    <row r="125">
      <c r="A125" s="227"/>
      <c r="B125" s="242"/>
      <c r="C125" s="227"/>
      <c r="D125" s="227"/>
      <c r="E125" s="231"/>
      <c r="F125" s="242"/>
      <c r="G125" s="227"/>
      <c r="H125" s="227"/>
      <c r="I125" s="227"/>
      <c r="J125" s="227"/>
      <c r="K125" s="227"/>
      <c r="L125" s="242"/>
      <c r="M125" s="232"/>
      <c r="N125" s="227"/>
      <c r="O125" s="227"/>
      <c r="P125" s="231"/>
      <c r="Q125" s="227"/>
      <c r="R125" s="231"/>
      <c r="S125" s="231"/>
      <c r="T125" s="231"/>
      <c r="U125" s="231"/>
      <c r="V125" s="231"/>
      <c r="W125" s="231"/>
      <c r="X125" s="227"/>
      <c r="Y125" s="232"/>
      <c r="Z125" s="232"/>
      <c r="AA125" s="232"/>
      <c r="AB125" s="232"/>
      <c r="AC125" s="227"/>
      <c r="AD125" s="227"/>
      <c r="AE125" s="231"/>
      <c r="AF125" s="227"/>
      <c r="AG125" s="232"/>
      <c r="AH125" s="232"/>
      <c r="AI125" s="232"/>
      <c r="AJ125" s="232"/>
      <c r="AK125" s="232"/>
      <c r="AL125" s="232"/>
      <c r="AM125" s="232"/>
      <c r="AN125" s="232"/>
      <c r="AO125" s="231"/>
      <c r="AP125" s="231"/>
      <c r="AQ125" s="227"/>
      <c r="AR125" s="231"/>
      <c r="AS125" s="227"/>
      <c r="AT125" s="227"/>
      <c r="AU125" s="227"/>
      <c r="AV125" s="227"/>
    </row>
    <row r="126">
      <c r="A126" s="227"/>
      <c r="B126" s="242"/>
      <c r="C126" s="227"/>
      <c r="D126" s="227"/>
      <c r="E126" s="231"/>
      <c r="F126" s="242"/>
      <c r="G126" s="227"/>
      <c r="H126" s="227"/>
      <c r="I126" s="227"/>
      <c r="J126" s="227"/>
      <c r="K126" s="227"/>
      <c r="L126" s="242"/>
      <c r="M126" s="232"/>
      <c r="N126" s="227"/>
      <c r="O126" s="227"/>
      <c r="P126" s="231"/>
      <c r="Q126" s="227"/>
      <c r="R126" s="231"/>
      <c r="S126" s="231"/>
      <c r="T126" s="231"/>
      <c r="U126" s="231"/>
      <c r="V126" s="231"/>
      <c r="W126" s="231"/>
      <c r="X126" s="227"/>
      <c r="Y126" s="232"/>
      <c r="Z126" s="232"/>
      <c r="AA126" s="232"/>
      <c r="AB126" s="232"/>
      <c r="AC126" s="227"/>
      <c r="AD126" s="227"/>
      <c r="AE126" s="231"/>
      <c r="AF126" s="227"/>
      <c r="AG126" s="232"/>
      <c r="AH126" s="232"/>
      <c r="AI126" s="232"/>
      <c r="AJ126" s="232"/>
      <c r="AK126" s="232"/>
      <c r="AL126" s="232"/>
      <c r="AM126" s="232"/>
      <c r="AN126" s="232"/>
      <c r="AO126" s="231"/>
      <c r="AP126" s="231"/>
      <c r="AQ126" s="227"/>
      <c r="AR126" s="231"/>
      <c r="AS126" s="227"/>
      <c r="AT126" s="227"/>
      <c r="AU126" s="227"/>
      <c r="AV126" s="227"/>
    </row>
    <row r="127">
      <c r="A127" s="227"/>
      <c r="B127" s="242"/>
      <c r="C127" s="227"/>
      <c r="D127" s="227"/>
      <c r="E127" s="231"/>
      <c r="F127" s="242"/>
      <c r="G127" s="227"/>
      <c r="H127" s="227"/>
      <c r="I127" s="227"/>
      <c r="J127" s="227"/>
      <c r="K127" s="227"/>
      <c r="L127" s="242"/>
      <c r="M127" s="232"/>
      <c r="N127" s="227"/>
      <c r="O127" s="227"/>
      <c r="P127" s="231"/>
      <c r="Q127" s="227"/>
      <c r="R127" s="231"/>
      <c r="S127" s="231"/>
      <c r="T127" s="231"/>
      <c r="U127" s="231"/>
      <c r="V127" s="231"/>
      <c r="W127" s="231"/>
      <c r="X127" s="227"/>
      <c r="Y127" s="232"/>
      <c r="Z127" s="232"/>
      <c r="AA127" s="232"/>
      <c r="AB127" s="232"/>
      <c r="AC127" s="227"/>
      <c r="AD127" s="227"/>
      <c r="AE127" s="231"/>
      <c r="AF127" s="227"/>
      <c r="AG127" s="232"/>
      <c r="AH127" s="232"/>
      <c r="AI127" s="232"/>
      <c r="AJ127" s="232"/>
      <c r="AK127" s="232"/>
      <c r="AL127" s="232"/>
      <c r="AM127" s="232"/>
      <c r="AN127" s="232"/>
      <c r="AO127" s="231"/>
      <c r="AP127" s="231"/>
      <c r="AQ127" s="227"/>
      <c r="AR127" s="231"/>
      <c r="AS127" s="227"/>
      <c r="AT127" s="227"/>
      <c r="AU127" s="227"/>
      <c r="AV127" s="227"/>
    </row>
    <row r="128">
      <c r="A128" s="227"/>
      <c r="B128" s="242"/>
      <c r="C128" s="227"/>
      <c r="D128" s="227"/>
      <c r="E128" s="231"/>
      <c r="F128" s="242"/>
      <c r="G128" s="227"/>
      <c r="H128" s="227"/>
      <c r="I128" s="227"/>
      <c r="J128" s="227"/>
      <c r="K128" s="227"/>
      <c r="L128" s="242"/>
      <c r="M128" s="232"/>
      <c r="N128" s="227"/>
      <c r="O128" s="227"/>
      <c r="P128" s="231"/>
      <c r="Q128" s="227"/>
      <c r="R128" s="231"/>
      <c r="S128" s="231"/>
      <c r="T128" s="231"/>
      <c r="U128" s="231"/>
      <c r="V128" s="231"/>
      <c r="W128" s="231"/>
      <c r="X128" s="227"/>
      <c r="Y128" s="232"/>
      <c r="Z128" s="232"/>
      <c r="AA128" s="232"/>
      <c r="AB128" s="232"/>
      <c r="AC128" s="227"/>
      <c r="AD128" s="227"/>
      <c r="AE128" s="231"/>
      <c r="AF128" s="227"/>
      <c r="AG128" s="232"/>
      <c r="AH128" s="232"/>
      <c r="AI128" s="232"/>
      <c r="AJ128" s="232"/>
      <c r="AK128" s="232"/>
      <c r="AL128" s="232"/>
      <c r="AM128" s="232"/>
      <c r="AN128" s="232"/>
      <c r="AO128" s="231"/>
      <c r="AP128" s="231"/>
      <c r="AQ128" s="227"/>
      <c r="AR128" s="231"/>
      <c r="AS128" s="227"/>
      <c r="AT128" s="227"/>
      <c r="AU128" s="227"/>
      <c r="AV128" s="227"/>
    </row>
    <row r="129">
      <c r="A129" s="227"/>
      <c r="B129" s="242"/>
      <c r="C129" s="227"/>
      <c r="D129" s="227"/>
      <c r="E129" s="231"/>
      <c r="F129" s="242"/>
      <c r="G129" s="227"/>
      <c r="H129" s="227"/>
      <c r="I129" s="227"/>
      <c r="J129" s="227"/>
      <c r="K129" s="227"/>
      <c r="L129" s="242"/>
      <c r="M129" s="232"/>
      <c r="N129" s="227"/>
      <c r="O129" s="227"/>
      <c r="P129" s="231"/>
      <c r="Q129" s="227"/>
      <c r="R129" s="231"/>
      <c r="S129" s="231"/>
      <c r="T129" s="231"/>
      <c r="U129" s="231"/>
      <c r="V129" s="231"/>
      <c r="W129" s="231"/>
      <c r="X129" s="227"/>
      <c r="Y129" s="232"/>
      <c r="Z129" s="232"/>
      <c r="AA129" s="232"/>
      <c r="AB129" s="232"/>
      <c r="AC129" s="227"/>
      <c r="AD129" s="227"/>
      <c r="AE129" s="231"/>
      <c r="AF129" s="227"/>
      <c r="AG129" s="232"/>
      <c r="AH129" s="232"/>
      <c r="AI129" s="232"/>
      <c r="AJ129" s="232"/>
      <c r="AK129" s="232"/>
      <c r="AL129" s="232"/>
      <c r="AM129" s="232"/>
      <c r="AN129" s="232"/>
      <c r="AO129" s="231"/>
      <c r="AP129" s="231"/>
      <c r="AQ129" s="227"/>
      <c r="AR129" s="231"/>
      <c r="AS129" s="227"/>
      <c r="AT129" s="227"/>
      <c r="AU129" s="227"/>
      <c r="AV129" s="227"/>
    </row>
    <row r="130">
      <c r="A130" s="227"/>
      <c r="B130" s="242"/>
      <c r="C130" s="227"/>
      <c r="D130" s="227"/>
      <c r="E130" s="231"/>
      <c r="F130" s="242"/>
      <c r="G130" s="227"/>
      <c r="H130" s="227"/>
      <c r="I130" s="227"/>
      <c r="J130" s="227"/>
      <c r="K130" s="227"/>
      <c r="L130" s="242"/>
      <c r="M130" s="232"/>
      <c r="N130" s="227"/>
      <c r="O130" s="227"/>
      <c r="P130" s="231"/>
      <c r="Q130" s="227"/>
      <c r="R130" s="231"/>
      <c r="S130" s="231"/>
      <c r="T130" s="231"/>
      <c r="U130" s="231"/>
      <c r="V130" s="231"/>
      <c r="W130" s="231"/>
      <c r="X130" s="227"/>
      <c r="Y130" s="232"/>
      <c r="Z130" s="232"/>
      <c r="AA130" s="232"/>
      <c r="AB130" s="232"/>
      <c r="AC130" s="227"/>
      <c r="AD130" s="227"/>
      <c r="AE130" s="231"/>
      <c r="AF130" s="227"/>
      <c r="AG130" s="232"/>
      <c r="AH130" s="232"/>
      <c r="AI130" s="232"/>
      <c r="AJ130" s="232"/>
      <c r="AK130" s="232"/>
      <c r="AL130" s="232"/>
      <c r="AM130" s="232"/>
      <c r="AN130" s="232"/>
      <c r="AO130" s="231"/>
      <c r="AP130" s="231"/>
      <c r="AQ130" s="227"/>
      <c r="AR130" s="231"/>
      <c r="AS130" s="227"/>
      <c r="AT130" s="227"/>
      <c r="AU130" s="227"/>
      <c r="AV130" s="227"/>
    </row>
    <row r="131">
      <c r="A131" s="227"/>
      <c r="B131" s="242"/>
      <c r="C131" s="227"/>
      <c r="D131" s="227"/>
      <c r="E131" s="231"/>
      <c r="F131" s="242"/>
      <c r="G131" s="227"/>
      <c r="H131" s="227"/>
      <c r="I131" s="227"/>
      <c r="J131" s="227"/>
      <c r="K131" s="227"/>
      <c r="L131" s="242"/>
      <c r="M131" s="232"/>
      <c r="N131" s="227"/>
      <c r="O131" s="227"/>
      <c r="P131" s="231"/>
      <c r="Q131" s="227"/>
      <c r="R131" s="231"/>
      <c r="S131" s="231"/>
      <c r="T131" s="231"/>
      <c r="U131" s="231"/>
      <c r="V131" s="231"/>
      <c r="W131" s="231"/>
      <c r="X131" s="227"/>
      <c r="Y131" s="232"/>
      <c r="Z131" s="232"/>
      <c r="AA131" s="232"/>
      <c r="AB131" s="232"/>
      <c r="AC131" s="227"/>
      <c r="AD131" s="227"/>
      <c r="AE131" s="231"/>
      <c r="AF131" s="227"/>
      <c r="AG131" s="232"/>
      <c r="AH131" s="232"/>
      <c r="AI131" s="232"/>
      <c r="AJ131" s="232"/>
      <c r="AK131" s="232"/>
      <c r="AL131" s="232"/>
      <c r="AM131" s="232"/>
      <c r="AN131" s="232"/>
      <c r="AO131" s="231"/>
      <c r="AP131" s="231"/>
      <c r="AQ131" s="227"/>
      <c r="AR131" s="231"/>
      <c r="AS131" s="227"/>
      <c r="AT131" s="227"/>
      <c r="AU131" s="227"/>
      <c r="AV131" s="227"/>
    </row>
    <row r="132">
      <c r="A132" s="227"/>
      <c r="B132" s="242"/>
      <c r="C132" s="227"/>
      <c r="D132" s="227"/>
      <c r="E132" s="231"/>
      <c r="F132" s="242"/>
      <c r="G132" s="227"/>
      <c r="H132" s="227"/>
      <c r="I132" s="227"/>
      <c r="J132" s="227"/>
      <c r="K132" s="227"/>
      <c r="L132" s="242"/>
      <c r="M132" s="232"/>
      <c r="N132" s="227"/>
      <c r="O132" s="227"/>
      <c r="P132" s="231"/>
      <c r="Q132" s="227"/>
      <c r="R132" s="231"/>
      <c r="S132" s="231"/>
      <c r="T132" s="231"/>
      <c r="U132" s="231"/>
      <c r="V132" s="231"/>
      <c r="W132" s="231"/>
      <c r="X132" s="227"/>
      <c r="Y132" s="232"/>
      <c r="Z132" s="232"/>
      <c r="AA132" s="232"/>
      <c r="AB132" s="232"/>
      <c r="AC132" s="227"/>
      <c r="AD132" s="227"/>
      <c r="AE132" s="231"/>
      <c r="AF132" s="227"/>
      <c r="AG132" s="232"/>
      <c r="AH132" s="232"/>
      <c r="AI132" s="232"/>
      <c r="AJ132" s="232"/>
      <c r="AK132" s="232"/>
      <c r="AL132" s="232"/>
      <c r="AM132" s="232"/>
      <c r="AN132" s="232"/>
      <c r="AO132" s="231"/>
      <c r="AP132" s="231"/>
      <c r="AQ132" s="227"/>
      <c r="AR132" s="231"/>
      <c r="AS132" s="227"/>
      <c r="AT132" s="227"/>
      <c r="AU132" s="227"/>
      <c r="AV132" s="227"/>
    </row>
    <row r="133">
      <c r="A133" s="227"/>
      <c r="B133" s="242"/>
      <c r="C133" s="227"/>
      <c r="D133" s="227"/>
      <c r="E133" s="231"/>
      <c r="F133" s="242"/>
      <c r="G133" s="227"/>
      <c r="H133" s="227"/>
      <c r="I133" s="227"/>
      <c r="J133" s="227"/>
      <c r="K133" s="227"/>
      <c r="L133" s="242"/>
      <c r="M133" s="232"/>
      <c r="N133" s="227"/>
      <c r="O133" s="227"/>
      <c r="P133" s="231"/>
      <c r="Q133" s="227"/>
      <c r="R133" s="231"/>
      <c r="S133" s="231"/>
      <c r="T133" s="231"/>
      <c r="U133" s="231"/>
      <c r="V133" s="231"/>
      <c r="W133" s="231"/>
      <c r="X133" s="227"/>
      <c r="Y133" s="232"/>
      <c r="Z133" s="232"/>
      <c r="AA133" s="232"/>
      <c r="AB133" s="232"/>
      <c r="AC133" s="227"/>
      <c r="AD133" s="227"/>
      <c r="AE133" s="231"/>
      <c r="AF133" s="227"/>
      <c r="AG133" s="232"/>
      <c r="AH133" s="232"/>
      <c r="AI133" s="232"/>
      <c r="AJ133" s="232"/>
      <c r="AK133" s="232"/>
      <c r="AL133" s="232"/>
      <c r="AM133" s="232"/>
      <c r="AN133" s="232"/>
      <c r="AO133" s="231"/>
      <c r="AP133" s="231"/>
      <c r="AQ133" s="227"/>
      <c r="AR133" s="231"/>
      <c r="AS133" s="227"/>
      <c r="AT133" s="227"/>
      <c r="AU133" s="227"/>
      <c r="AV133" s="227"/>
    </row>
    <row r="134">
      <c r="A134" s="227"/>
      <c r="B134" s="242"/>
      <c r="C134" s="227"/>
      <c r="D134" s="227"/>
      <c r="E134" s="231"/>
      <c r="F134" s="242"/>
      <c r="G134" s="227"/>
      <c r="H134" s="227"/>
      <c r="I134" s="227"/>
      <c r="J134" s="227"/>
      <c r="K134" s="227"/>
      <c r="L134" s="242"/>
      <c r="M134" s="232"/>
      <c r="N134" s="227"/>
      <c r="O134" s="227"/>
      <c r="P134" s="231"/>
      <c r="Q134" s="227"/>
      <c r="R134" s="231"/>
      <c r="S134" s="231"/>
      <c r="T134" s="231"/>
      <c r="U134" s="231"/>
      <c r="V134" s="231"/>
      <c r="W134" s="231"/>
      <c r="X134" s="227"/>
      <c r="Y134" s="232"/>
      <c r="Z134" s="232"/>
      <c r="AA134" s="232"/>
      <c r="AB134" s="232"/>
      <c r="AC134" s="227"/>
      <c r="AD134" s="227"/>
      <c r="AE134" s="231"/>
      <c r="AF134" s="227"/>
      <c r="AG134" s="232"/>
      <c r="AH134" s="232"/>
      <c r="AI134" s="232"/>
      <c r="AJ134" s="232"/>
      <c r="AK134" s="232"/>
      <c r="AL134" s="232"/>
      <c r="AM134" s="232"/>
      <c r="AN134" s="232"/>
      <c r="AO134" s="231"/>
      <c r="AP134" s="231"/>
      <c r="AQ134" s="227"/>
      <c r="AR134" s="231"/>
      <c r="AS134" s="227"/>
      <c r="AT134" s="227"/>
      <c r="AU134" s="227"/>
      <c r="AV134" s="227"/>
    </row>
    <row r="135">
      <c r="A135" s="227"/>
      <c r="B135" s="242"/>
      <c r="C135" s="227"/>
      <c r="D135" s="227"/>
      <c r="E135" s="231"/>
      <c r="F135" s="242"/>
      <c r="G135" s="227"/>
      <c r="H135" s="227"/>
      <c r="I135" s="227"/>
      <c r="J135" s="227"/>
      <c r="K135" s="227"/>
      <c r="L135" s="242"/>
      <c r="M135" s="232"/>
      <c r="N135" s="227"/>
      <c r="O135" s="227"/>
      <c r="P135" s="231"/>
      <c r="Q135" s="227"/>
      <c r="R135" s="231"/>
      <c r="S135" s="231"/>
      <c r="T135" s="231"/>
      <c r="U135" s="231"/>
      <c r="V135" s="231"/>
      <c r="W135" s="231"/>
      <c r="X135" s="227"/>
      <c r="Y135" s="232"/>
      <c r="Z135" s="232"/>
      <c r="AA135" s="232"/>
      <c r="AB135" s="232"/>
      <c r="AC135" s="227"/>
      <c r="AD135" s="227"/>
      <c r="AE135" s="231"/>
      <c r="AF135" s="227"/>
      <c r="AG135" s="232"/>
      <c r="AH135" s="232"/>
      <c r="AI135" s="232"/>
      <c r="AJ135" s="232"/>
      <c r="AK135" s="232"/>
      <c r="AL135" s="232"/>
      <c r="AM135" s="232"/>
      <c r="AN135" s="232"/>
      <c r="AO135" s="231"/>
      <c r="AP135" s="231"/>
      <c r="AQ135" s="227"/>
      <c r="AR135" s="231"/>
      <c r="AS135" s="227"/>
      <c r="AT135" s="227"/>
      <c r="AU135" s="227"/>
      <c r="AV135" s="227"/>
    </row>
    <row r="136">
      <c r="A136" s="227"/>
      <c r="B136" s="242"/>
      <c r="C136" s="227"/>
      <c r="D136" s="227"/>
      <c r="E136" s="231"/>
      <c r="F136" s="242"/>
      <c r="G136" s="227"/>
      <c r="H136" s="227"/>
      <c r="I136" s="227"/>
      <c r="J136" s="227"/>
      <c r="K136" s="227"/>
      <c r="L136" s="242"/>
      <c r="M136" s="232"/>
      <c r="N136" s="227"/>
      <c r="O136" s="227"/>
      <c r="P136" s="231"/>
      <c r="Q136" s="227"/>
      <c r="R136" s="231"/>
      <c r="S136" s="231"/>
      <c r="T136" s="231"/>
      <c r="U136" s="231"/>
      <c r="V136" s="231"/>
      <c r="W136" s="231"/>
      <c r="X136" s="227"/>
      <c r="Y136" s="232"/>
      <c r="Z136" s="232"/>
      <c r="AA136" s="232"/>
      <c r="AB136" s="232"/>
      <c r="AC136" s="227"/>
      <c r="AD136" s="227"/>
      <c r="AE136" s="231"/>
      <c r="AF136" s="227"/>
      <c r="AG136" s="232"/>
      <c r="AH136" s="232"/>
      <c r="AI136" s="232"/>
      <c r="AJ136" s="232"/>
      <c r="AK136" s="232"/>
      <c r="AL136" s="232"/>
      <c r="AM136" s="232"/>
      <c r="AN136" s="232"/>
      <c r="AO136" s="231"/>
      <c r="AP136" s="231"/>
      <c r="AQ136" s="227"/>
      <c r="AR136" s="231"/>
      <c r="AS136" s="227"/>
      <c r="AT136" s="227"/>
      <c r="AU136" s="227"/>
      <c r="AV136" s="227"/>
    </row>
    <row r="137">
      <c r="A137" s="227"/>
      <c r="B137" s="242"/>
      <c r="C137" s="227"/>
      <c r="D137" s="227"/>
      <c r="E137" s="231"/>
      <c r="F137" s="242"/>
      <c r="G137" s="227"/>
      <c r="H137" s="227"/>
      <c r="I137" s="227"/>
      <c r="J137" s="227"/>
      <c r="K137" s="227"/>
      <c r="L137" s="242"/>
      <c r="M137" s="232"/>
      <c r="N137" s="227"/>
      <c r="O137" s="227"/>
      <c r="P137" s="231"/>
      <c r="Q137" s="227"/>
      <c r="R137" s="231"/>
      <c r="S137" s="231"/>
      <c r="T137" s="231"/>
      <c r="U137" s="231"/>
      <c r="V137" s="231"/>
      <c r="W137" s="231"/>
      <c r="X137" s="227"/>
      <c r="Y137" s="232"/>
      <c r="Z137" s="232"/>
      <c r="AA137" s="232"/>
      <c r="AB137" s="232"/>
      <c r="AC137" s="227"/>
      <c r="AD137" s="227"/>
      <c r="AE137" s="231"/>
      <c r="AF137" s="227"/>
      <c r="AG137" s="232"/>
      <c r="AH137" s="232"/>
      <c r="AI137" s="232"/>
      <c r="AJ137" s="232"/>
      <c r="AK137" s="232"/>
      <c r="AL137" s="232"/>
      <c r="AM137" s="232"/>
      <c r="AN137" s="232"/>
      <c r="AO137" s="231"/>
      <c r="AP137" s="231"/>
      <c r="AQ137" s="227"/>
      <c r="AR137" s="231"/>
      <c r="AS137" s="227"/>
      <c r="AT137" s="227"/>
      <c r="AU137" s="227"/>
      <c r="AV137" s="227"/>
    </row>
    <row r="138">
      <c r="A138" s="227"/>
      <c r="B138" s="242"/>
      <c r="C138" s="227"/>
      <c r="D138" s="227"/>
      <c r="E138" s="231"/>
      <c r="F138" s="242"/>
      <c r="G138" s="227"/>
      <c r="H138" s="227"/>
      <c r="I138" s="227"/>
      <c r="J138" s="227"/>
      <c r="K138" s="227"/>
      <c r="L138" s="242"/>
      <c r="M138" s="232"/>
      <c r="N138" s="227"/>
      <c r="O138" s="227"/>
      <c r="P138" s="231"/>
      <c r="Q138" s="227"/>
      <c r="R138" s="231"/>
      <c r="S138" s="231"/>
      <c r="T138" s="231"/>
      <c r="U138" s="231"/>
      <c r="V138" s="231"/>
      <c r="W138" s="231"/>
      <c r="X138" s="227"/>
      <c r="Y138" s="232"/>
      <c r="Z138" s="232"/>
      <c r="AA138" s="232"/>
      <c r="AB138" s="232"/>
      <c r="AC138" s="227"/>
      <c r="AD138" s="227"/>
      <c r="AE138" s="231"/>
      <c r="AF138" s="227"/>
      <c r="AG138" s="232"/>
      <c r="AH138" s="232"/>
      <c r="AI138" s="232"/>
      <c r="AJ138" s="232"/>
      <c r="AK138" s="232"/>
      <c r="AL138" s="232"/>
      <c r="AM138" s="232"/>
      <c r="AN138" s="232"/>
      <c r="AO138" s="231"/>
      <c r="AP138" s="231"/>
      <c r="AQ138" s="227"/>
      <c r="AR138" s="231"/>
      <c r="AS138" s="227"/>
      <c r="AT138" s="227"/>
      <c r="AU138" s="227"/>
      <c r="AV138" s="227"/>
    </row>
    <row r="139">
      <c r="A139" s="227"/>
      <c r="B139" s="242"/>
      <c r="C139" s="227"/>
      <c r="D139" s="227"/>
      <c r="E139" s="231"/>
      <c r="F139" s="242"/>
      <c r="G139" s="227"/>
      <c r="H139" s="227"/>
      <c r="I139" s="227"/>
      <c r="J139" s="227"/>
      <c r="K139" s="227"/>
      <c r="L139" s="242"/>
      <c r="M139" s="232"/>
      <c r="N139" s="227"/>
      <c r="O139" s="227"/>
      <c r="P139" s="231"/>
      <c r="Q139" s="227"/>
      <c r="R139" s="231"/>
      <c r="S139" s="231"/>
      <c r="T139" s="231"/>
      <c r="U139" s="231"/>
      <c r="V139" s="231"/>
      <c r="W139" s="231"/>
      <c r="X139" s="227"/>
      <c r="Y139" s="232"/>
      <c r="Z139" s="232"/>
      <c r="AA139" s="232"/>
      <c r="AB139" s="232"/>
      <c r="AC139" s="227"/>
      <c r="AD139" s="227"/>
      <c r="AE139" s="231"/>
      <c r="AF139" s="227"/>
      <c r="AG139" s="232"/>
      <c r="AH139" s="232"/>
      <c r="AI139" s="232"/>
      <c r="AJ139" s="232"/>
      <c r="AK139" s="232"/>
      <c r="AL139" s="232"/>
      <c r="AM139" s="232"/>
      <c r="AN139" s="232"/>
      <c r="AO139" s="231"/>
      <c r="AP139" s="231"/>
      <c r="AQ139" s="227"/>
      <c r="AR139" s="231"/>
      <c r="AS139" s="227"/>
      <c r="AT139" s="227"/>
      <c r="AU139" s="227"/>
      <c r="AV139" s="227"/>
    </row>
    <row r="140">
      <c r="A140" s="227"/>
      <c r="B140" s="242"/>
      <c r="C140" s="227"/>
      <c r="D140" s="227"/>
      <c r="E140" s="231"/>
      <c r="F140" s="242"/>
      <c r="G140" s="227"/>
      <c r="H140" s="227"/>
      <c r="I140" s="227"/>
      <c r="J140" s="227"/>
      <c r="K140" s="227"/>
      <c r="L140" s="242"/>
      <c r="M140" s="232"/>
      <c r="N140" s="227"/>
      <c r="O140" s="227"/>
      <c r="P140" s="231"/>
      <c r="Q140" s="227"/>
      <c r="R140" s="231"/>
      <c r="S140" s="231"/>
      <c r="T140" s="231"/>
      <c r="U140" s="231"/>
      <c r="V140" s="231"/>
      <c r="W140" s="231"/>
      <c r="X140" s="227"/>
      <c r="Y140" s="232"/>
      <c r="Z140" s="232"/>
      <c r="AA140" s="232"/>
      <c r="AB140" s="232"/>
      <c r="AC140" s="227"/>
      <c r="AD140" s="227"/>
      <c r="AE140" s="231"/>
      <c r="AF140" s="227"/>
      <c r="AG140" s="232"/>
      <c r="AH140" s="232"/>
      <c r="AI140" s="232"/>
      <c r="AJ140" s="232"/>
      <c r="AK140" s="232"/>
      <c r="AL140" s="232"/>
      <c r="AM140" s="232"/>
      <c r="AN140" s="232"/>
      <c r="AO140" s="231"/>
      <c r="AP140" s="231"/>
      <c r="AQ140" s="227"/>
      <c r="AR140" s="231"/>
      <c r="AS140" s="227"/>
      <c r="AT140" s="227"/>
      <c r="AU140" s="227"/>
      <c r="AV140" s="227"/>
    </row>
    <row r="141">
      <c r="A141" s="227"/>
      <c r="B141" s="242"/>
      <c r="C141" s="227"/>
      <c r="D141" s="227"/>
      <c r="E141" s="231"/>
      <c r="F141" s="242"/>
      <c r="G141" s="227"/>
      <c r="H141" s="227"/>
      <c r="I141" s="227"/>
      <c r="J141" s="227"/>
      <c r="K141" s="227"/>
      <c r="L141" s="242"/>
      <c r="M141" s="232"/>
      <c r="N141" s="227"/>
      <c r="O141" s="227"/>
      <c r="P141" s="231"/>
      <c r="Q141" s="227"/>
      <c r="R141" s="231"/>
      <c r="S141" s="231"/>
      <c r="T141" s="231"/>
      <c r="U141" s="231"/>
      <c r="V141" s="231"/>
      <c r="W141" s="231"/>
      <c r="X141" s="227"/>
      <c r="Y141" s="232"/>
      <c r="Z141" s="232"/>
      <c r="AA141" s="232"/>
      <c r="AB141" s="232"/>
      <c r="AC141" s="227"/>
      <c r="AD141" s="227"/>
      <c r="AE141" s="231"/>
      <c r="AF141" s="227"/>
      <c r="AG141" s="232"/>
      <c r="AH141" s="232"/>
      <c r="AI141" s="232"/>
      <c r="AJ141" s="232"/>
      <c r="AK141" s="232"/>
      <c r="AL141" s="232"/>
      <c r="AM141" s="232"/>
      <c r="AN141" s="232"/>
      <c r="AO141" s="231"/>
      <c r="AP141" s="231"/>
      <c r="AQ141" s="227"/>
      <c r="AR141" s="231"/>
      <c r="AS141" s="227"/>
      <c r="AT141" s="227"/>
      <c r="AU141" s="227"/>
      <c r="AV141" s="227"/>
    </row>
    <row r="142">
      <c r="A142" s="227"/>
      <c r="B142" s="242"/>
      <c r="C142" s="227"/>
      <c r="D142" s="227"/>
      <c r="E142" s="231"/>
      <c r="F142" s="242"/>
      <c r="G142" s="227"/>
      <c r="H142" s="227"/>
      <c r="I142" s="227"/>
      <c r="J142" s="227"/>
      <c r="K142" s="227"/>
      <c r="L142" s="242"/>
      <c r="M142" s="232"/>
      <c r="N142" s="227"/>
      <c r="O142" s="227"/>
      <c r="P142" s="231"/>
      <c r="Q142" s="227"/>
      <c r="R142" s="231"/>
      <c r="S142" s="231"/>
      <c r="T142" s="231"/>
      <c r="U142" s="231"/>
      <c r="V142" s="231"/>
      <c r="W142" s="231"/>
      <c r="X142" s="227"/>
      <c r="Y142" s="232"/>
      <c r="Z142" s="232"/>
      <c r="AA142" s="232"/>
      <c r="AB142" s="232"/>
      <c r="AC142" s="227"/>
      <c r="AD142" s="227"/>
      <c r="AE142" s="231"/>
      <c r="AF142" s="227"/>
      <c r="AG142" s="232"/>
      <c r="AH142" s="232"/>
      <c r="AI142" s="232"/>
      <c r="AJ142" s="232"/>
      <c r="AK142" s="232"/>
      <c r="AL142" s="232"/>
      <c r="AM142" s="232"/>
      <c r="AN142" s="232"/>
      <c r="AO142" s="231"/>
      <c r="AP142" s="231"/>
      <c r="AQ142" s="227"/>
      <c r="AR142" s="231"/>
      <c r="AS142" s="227"/>
      <c r="AT142" s="227"/>
      <c r="AU142" s="227"/>
      <c r="AV142" s="227"/>
    </row>
    <row r="143">
      <c r="A143" s="227"/>
      <c r="B143" s="242"/>
      <c r="C143" s="227"/>
      <c r="D143" s="227"/>
      <c r="E143" s="231"/>
      <c r="F143" s="242"/>
      <c r="G143" s="227"/>
      <c r="H143" s="227"/>
      <c r="I143" s="227"/>
      <c r="J143" s="227"/>
      <c r="K143" s="227"/>
      <c r="L143" s="242"/>
      <c r="M143" s="232"/>
      <c r="N143" s="227"/>
      <c r="O143" s="227"/>
      <c r="P143" s="231"/>
      <c r="Q143" s="227"/>
      <c r="R143" s="231"/>
      <c r="S143" s="231"/>
      <c r="T143" s="231"/>
      <c r="U143" s="231"/>
      <c r="V143" s="231"/>
      <c r="W143" s="231"/>
      <c r="X143" s="227"/>
      <c r="Y143" s="232"/>
      <c r="Z143" s="232"/>
      <c r="AA143" s="232"/>
      <c r="AB143" s="232"/>
      <c r="AC143" s="227"/>
      <c r="AD143" s="227"/>
      <c r="AE143" s="231"/>
      <c r="AF143" s="227"/>
      <c r="AG143" s="232"/>
      <c r="AH143" s="232"/>
      <c r="AI143" s="232"/>
      <c r="AJ143" s="232"/>
      <c r="AK143" s="232"/>
      <c r="AL143" s="232"/>
      <c r="AM143" s="232"/>
      <c r="AN143" s="232"/>
      <c r="AO143" s="231"/>
      <c r="AP143" s="231"/>
      <c r="AQ143" s="227"/>
      <c r="AR143" s="231"/>
      <c r="AS143" s="227"/>
      <c r="AT143" s="227"/>
      <c r="AU143" s="227"/>
      <c r="AV143" s="227"/>
    </row>
    <row r="144">
      <c r="A144" s="227"/>
      <c r="B144" s="242"/>
      <c r="C144" s="227"/>
      <c r="D144" s="227"/>
      <c r="E144" s="231"/>
      <c r="F144" s="242"/>
      <c r="G144" s="227"/>
      <c r="H144" s="227"/>
      <c r="I144" s="227"/>
      <c r="J144" s="227"/>
      <c r="K144" s="227"/>
      <c r="L144" s="242"/>
      <c r="M144" s="232"/>
      <c r="N144" s="227"/>
      <c r="O144" s="227"/>
      <c r="P144" s="231"/>
      <c r="Q144" s="227"/>
      <c r="R144" s="231"/>
      <c r="S144" s="231"/>
      <c r="T144" s="231"/>
      <c r="U144" s="231"/>
      <c r="V144" s="231"/>
      <c r="W144" s="231"/>
      <c r="X144" s="227"/>
      <c r="Y144" s="232"/>
      <c r="Z144" s="232"/>
      <c r="AA144" s="232"/>
      <c r="AB144" s="232"/>
      <c r="AC144" s="227"/>
      <c r="AD144" s="227"/>
      <c r="AE144" s="231"/>
      <c r="AF144" s="227"/>
      <c r="AG144" s="232"/>
      <c r="AH144" s="232"/>
      <c r="AI144" s="232"/>
      <c r="AJ144" s="232"/>
      <c r="AK144" s="232"/>
      <c r="AL144" s="232"/>
      <c r="AM144" s="232"/>
      <c r="AN144" s="232"/>
      <c r="AO144" s="231"/>
      <c r="AP144" s="231"/>
      <c r="AQ144" s="227"/>
      <c r="AR144" s="231"/>
      <c r="AS144" s="227"/>
      <c r="AT144" s="227"/>
      <c r="AU144" s="227"/>
      <c r="AV144" s="227"/>
    </row>
    <row r="145">
      <c r="A145" s="227"/>
      <c r="B145" s="242"/>
      <c r="C145" s="227"/>
      <c r="D145" s="227"/>
      <c r="E145" s="231"/>
      <c r="F145" s="242"/>
      <c r="G145" s="227"/>
      <c r="H145" s="227"/>
      <c r="I145" s="227"/>
      <c r="J145" s="227"/>
      <c r="K145" s="227"/>
      <c r="L145" s="242"/>
      <c r="M145" s="232"/>
      <c r="N145" s="227"/>
      <c r="O145" s="227"/>
      <c r="P145" s="231"/>
      <c r="Q145" s="227"/>
      <c r="R145" s="231"/>
      <c r="S145" s="231"/>
      <c r="T145" s="231"/>
      <c r="U145" s="231"/>
      <c r="V145" s="231"/>
      <c r="W145" s="231"/>
      <c r="X145" s="227"/>
      <c r="Y145" s="232"/>
      <c r="Z145" s="232"/>
      <c r="AA145" s="232"/>
      <c r="AB145" s="232"/>
      <c r="AC145" s="227"/>
      <c r="AD145" s="227"/>
      <c r="AE145" s="231"/>
      <c r="AF145" s="227"/>
      <c r="AG145" s="232"/>
      <c r="AH145" s="232"/>
      <c r="AI145" s="232"/>
      <c r="AJ145" s="232"/>
      <c r="AK145" s="232"/>
      <c r="AL145" s="232"/>
      <c r="AM145" s="232"/>
      <c r="AN145" s="232"/>
      <c r="AO145" s="231"/>
      <c r="AP145" s="231"/>
      <c r="AQ145" s="227"/>
      <c r="AR145" s="231"/>
      <c r="AS145" s="227"/>
      <c r="AT145" s="227"/>
      <c r="AU145" s="227"/>
      <c r="AV145" s="227"/>
    </row>
    <row r="146">
      <c r="A146" s="227"/>
      <c r="B146" s="242"/>
      <c r="C146" s="227"/>
      <c r="D146" s="227"/>
      <c r="E146" s="231"/>
      <c r="F146" s="242"/>
      <c r="G146" s="227"/>
      <c r="H146" s="227"/>
      <c r="I146" s="227"/>
      <c r="J146" s="227"/>
      <c r="K146" s="227"/>
      <c r="L146" s="242"/>
      <c r="M146" s="232"/>
      <c r="N146" s="227"/>
      <c r="O146" s="227"/>
      <c r="P146" s="231"/>
      <c r="Q146" s="227"/>
      <c r="R146" s="231"/>
      <c r="S146" s="231"/>
      <c r="T146" s="231"/>
      <c r="U146" s="231"/>
      <c r="V146" s="231"/>
      <c r="W146" s="231"/>
      <c r="X146" s="227"/>
      <c r="Y146" s="232"/>
      <c r="Z146" s="232"/>
      <c r="AA146" s="232"/>
      <c r="AB146" s="232"/>
      <c r="AC146" s="227"/>
      <c r="AD146" s="227"/>
      <c r="AE146" s="231"/>
      <c r="AF146" s="227"/>
      <c r="AG146" s="232"/>
      <c r="AH146" s="232"/>
      <c r="AI146" s="232"/>
      <c r="AJ146" s="232"/>
      <c r="AK146" s="232"/>
      <c r="AL146" s="232"/>
      <c r="AM146" s="232"/>
      <c r="AN146" s="232"/>
      <c r="AO146" s="231"/>
      <c r="AP146" s="231"/>
      <c r="AQ146" s="227"/>
      <c r="AR146" s="231"/>
      <c r="AS146" s="227"/>
      <c r="AT146" s="227"/>
      <c r="AU146" s="227"/>
      <c r="AV146" s="227"/>
    </row>
    <row r="147">
      <c r="A147" s="227"/>
      <c r="B147" s="242"/>
      <c r="C147" s="227"/>
      <c r="D147" s="227"/>
      <c r="E147" s="231"/>
      <c r="F147" s="242"/>
      <c r="G147" s="227"/>
      <c r="H147" s="227"/>
      <c r="I147" s="227"/>
      <c r="J147" s="227"/>
      <c r="K147" s="227"/>
      <c r="L147" s="242"/>
      <c r="M147" s="232"/>
      <c r="N147" s="227"/>
      <c r="O147" s="227"/>
      <c r="P147" s="231"/>
      <c r="Q147" s="227"/>
      <c r="R147" s="231"/>
      <c r="S147" s="231"/>
      <c r="T147" s="231"/>
      <c r="U147" s="231"/>
      <c r="V147" s="231"/>
      <c r="W147" s="231"/>
      <c r="X147" s="227"/>
      <c r="Y147" s="232"/>
      <c r="Z147" s="232"/>
      <c r="AA147" s="232"/>
      <c r="AB147" s="232"/>
      <c r="AC147" s="227"/>
      <c r="AD147" s="227"/>
      <c r="AE147" s="231"/>
      <c r="AF147" s="227"/>
      <c r="AG147" s="232"/>
      <c r="AH147" s="232"/>
      <c r="AI147" s="232"/>
      <c r="AJ147" s="232"/>
      <c r="AK147" s="232"/>
      <c r="AL147" s="232"/>
      <c r="AM147" s="232"/>
      <c r="AN147" s="232"/>
      <c r="AO147" s="231"/>
      <c r="AP147" s="231"/>
      <c r="AQ147" s="227"/>
      <c r="AR147" s="231"/>
      <c r="AS147" s="227"/>
      <c r="AT147" s="227"/>
      <c r="AU147" s="227"/>
      <c r="AV147" s="227"/>
    </row>
    <row r="148">
      <c r="A148" s="227"/>
      <c r="B148" s="242"/>
      <c r="C148" s="227"/>
      <c r="D148" s="227"/>
      <c r="E148" s="231"/>
      <c r="F148" s="242"/>
      <c r="G148" s="227"/>
      <c r="H148" s="227"/>
      <c r="I148" s="227"/>
      <c r="J148" s="227"/>
      <c r="K148" s="227"/>
      <c r="L148" s="242"/>
      <c r="M148" s="232"/>
      <c r="N148" s="227"/>
      <c r="O148" s="227"/>
      <c r="P148" s="231"/>
      <c r="Q148" s="227"/>
      <c r="R148" s="231"/>
      <c r="S148" s="231"/>
      <c r="T148" s="231"/>
      <c r="U148" s="231"/>
      <c r="V148" s="231"/>
      <c r="W148" s="231"/>
      <c r="X148" s="227"/>
      <c r="Y148" s="232"/>
      <c r="Z148" s="232"/>
      <c r="AA148" s="232"/>
      <c r="AB148" s="232"/>
      <c r="AC148" s="227"/>
      <c r="AD148" s="227"/>
      <c r="AE148" s="231"/>
      <c r="AF148" s="227"/>
      <c r="AG148" s="232"/>
      <c r="AH148" s="232"/>
      <c r="AI148" s="232"/>
      <c r="AJ148" s="232"/>
      <c r="AK148" s="232"/>
      <c r="AL148" s="232"/>
      <c r="AM148" s="232"/>
      <c r="AN148" s="232"/>
      <c r="AO148" s="231"/>
      <c r="AP148" s="231"/>
      <c r="AQ148" s="227"/>
      <c r="AR148" s="231"/>
      <c r="AS148" s="227"/>
      <c r="AT148" s="227"/>
      <c r="AU148" s="227"/>
      <c r="AV148" s="227"/>
    </row>
    <row r="149">
      <c r="A149" s="227"/>
      <c r="B149" s="242"/>
      <c r="C149" s="227"/>
      <c r="D149" s="227"/>
      <c r="E149" s="231"/>
      <c r="F149" s="242"/>
      <c r="G149" s="227"/>
      <c r="H149" s="227"/>
      <c r="I149" s="227"/>
      <c r="J149" s="227"/>
      <c r="K149" s="227"/>
      <c r="L149" s="242"/>
      <c r="M149" s="232"/>
      <c r="N149" s="227"/>
      <c r="O149" s="227"/>
      <c r="P149" s="231"/>
      <c r="Q149" s="227"/>
      <c r="R149" s="231"/>
      <c r="S149" s="231"/>
      <c r="T149" s="231"/>
      <c r="U149" s="231"/>
      <c r="V149" s="231"/>
      <c r="W149" s="231"/>
      <c r="X149" s="227"/>
      <c r="Y149" s="232"/>
      <c r="Z149" s="232"/>
      <c r="AA149" s="232"/>
      <c r="AB149" s="232"/>
      <c r="AC149" s="227"/>
      <c r="AD149" s="227"/>
      <c r="AE149" s="231"/>
      <c r="AF149" s="227"/>
      <c r="AG149" s="232"/>
      <c r="AH149" s="232"/>
      <c r="AI149" s="232"/>
      <c r="AJ149" s="232"/>
      <c r="AK149" s="232"/>
      <c r="AL149" s="232"/>
      <c r="AM149" s="232"/>
      <c r="AN149" s="232"/>
      <c r="AO149" s="231"/>
      <c r="AP149" s="231"/>
      <c r="AQ149" s="227"/>
      <c r="AR149" s="231"/>
      <c r="AS149" s="227"/>
      <c r="AT149" s="227"/>
      <c r="AU149" s="227"/>
      <c r="AV149" s="227"/>
    </row>
    <row r="150">
      <c r="A150" s="227"/>
      <c r="B150" s="242"/>
      <c r="C150" s="227"/>
      <c r="D150" s="227"/>
      <c r="E150" s="231"/>
      <c r="F150" s="242"/>
      <c r="G150" s="227"/>
      <c r="H150" s="227"/>
      <c r="I150" s="227"/>
      <c r="J150" s="227"/>
      <c r="K150" s="227"/>
      <c r="L150" s="242"/>
      <c r="M150" s="232"/>
      <c r="N150" s="227"/>
      <c r="O150" s="227"/>
      <c r="P150" s="231"/>
      <c r="Q150" s="227"/>
      <c r="R150" s="231"/>
      <c r="S150" s="231"/>
      <c r="T150" s="231"/>
      <c r="U150" s="231"/>
      <c r="V150" s="231"/>
      <c r="W150" s="231"/>
      <c r="X150" s="227"/>
      <c r="Y150" s="232"/>
      <c r="Z150" s="232"/>
      <c r="AA150" s="232"/>
      <c r="AB150" s="232"/>
      <c r="AC150" s="227"/>
      <c r="AD150" s="227"/>
      <c r="AE150" s="231"/>
      <c r="AF150" s="227"/>
      <c r="AG150" s="232"/>
      <c r="AH150" s="232"/>
      <c r="AI150" s="232"/>
      <c r="AJ150" s="232"/>
      <c r="AK150" s="232"/>
      <c r="AL150" s="232"/>
      <c r="AM150" s="232"/>
      <c r="AN150" s="232"/>
      <c r="AO150" s="231"/>
      <c r="AP150" s="231"/>
      <c r="AQ150" s="227"/>
      <c r="AR150" s="231"/>
      <c r="AS150" s="227"/>
      <c r="AT150" s="227"/>
      <c r="AU150" s="227"/>
      <c r="AV150" s="227"/>
    </row>
    <row r="151">
      <c r="A151" s="227"/>
      <c r="B151" s="242"/>
      <c r="C151" s="227"/>
      <c r="D151" s="227"/>
      <c r="E151" s="231"/>
      <c r="F151" s="242"/>
      <c r="G151" s="227"/>
      <c r="H151" s="227"/>
      <c r="I151" s="227"/>
      <c r="J151" s="227"/>
      <c r="K151" s="227"/>
      <c r="L151" s="242"/>
      <c r="M151" s="232"/>
      <c r="N151" s="227"/>
      <c r="O151" s="227"/>
      <c r="P151" s="231"/>
      <c r="Q151" s="227"/>
      <c r="R151" s="231"/>
      <c r="S151" s="231"/>
      <c r="T151" s="231"/>
      <c r="U151" s="231"/>
      <c r="V151" s="231"/>
      <c r="W151" s="231"/>
      <c r="X151" s="227"/>
      <c r="Y151" s="232"/>
      <c r="Z151" s="232"/>
      <c r="AA151" s="232"/>
      <c r="AB151" s="232"/>
      <c r="AC151" s="227"/>
      <c r="AD151" s="227"/>
      <c r="AE151" s="231"/>
      <c r="AF151" s="227"/>
      <c r="AG151" s="232"/>
      <c r="AH151" s="232"/>
      <c r="AI151" s="232"/>
      <c r="AJ151" s="232"/>
      <c r="AK151" s="232"/>
      <c r="AL151" s="232"/>
      <c r="AM151" s="232"/>
      <c r="AN151" s="232"/>
      <c r="AO151" s="231"/>
      <c r="AP151" s="231"/>
      <c r="AQ151" s="227"/>
      <c r="AR151" s="231"/>
      <c r="AS151" s="227"/>
      <c r="AT151" s="227"/>
      <c r="AU151" s="227"/>
      <c r="AV151" s="227"/>
    </row>
    <row r="152">
      <c r="A152" s="227"/>
      <c r="B152" s="242"/>
      <c r="C152" s="227"/>
      <c r="D152" s="227"/>
      <c r="E152" s="231"/>
      <c r="F152" s="242"/>
      <c r="G152" s="227"/>
      <c r="H152" s="227"/>
      <c r="I152" s="227"/>
      <c r="J152" s="227"/>
      <c r="K152" s="227"/>
      <c r="L152" s="242"/>
      <c r="M152" s="232"/>
      <c r="N152" s="227"/>
      <c r="O152" s="227"/>
      <c r="P152" s="231"/>
      <c r="Q152" s="227"/>
      <c r="R152" s="231"/>
      <c r="S152" s="231"/>
      <c r="T152" s="231"/>
      <c r="U152" s="231"/>
      <c r="V152" s="231"/>
      <c r="W152" s="231"/>
      <c r="X152" s="227"/>
      <c r="Y152" s="232"/>
      <c r="Z152" s="232"/>
      <c r="AA152" s="232"/>
      <c r="AB152" s="232"/>
      <c r="AC152" s="227"/>
      <c r="AD152" s="227"/>
      <c r="AE152" s="231"/>
      <c r="AF152" s="227"/>
      <c r="AG152" s="232"/>
      <c r="AH152" s="232"/>
      <c r="AI152" s="232"/>
      <c r="AJ152" s="232"/>
      <c r="AK152" s="232"/>
      <c r="AL152" s="232"/>
      <c r="AM152" s="232"/>
      <c r="AN152" s="232"/>
      <c r="AO152" s="231"/>
      <c r="AP152" s="231"/>
      <c r="AQ152" s="227"/>
      <c r="AR152" s="231"/>
      <c r="AS152" s="227"/>
      <c r="AT152" s="227"/>
      <c r="AU152" s="227"/>
      <c r="AV152" s="227"/>
    </row>
    <row r="153">
      <c r="A153" s="227"/>
      <c r="B153" s="242"/>
      <c r="C153" s="227"/>
      <c r="D153" s="227"/>
      <c r="E153" s="231"/>
      <c r="F153" s="242"/>
      <c r="G153" s="227"/>
      <c r="H153" s="227"/>
      <c r="I153" s="227"/>
      <c r="J153" s="227"/>
      <c r="K153" s="227"/>
      <c r="L153" s="242"/>
      <c r="M153" s="232"/>
      <c r="N153" s="227"/>
      <c r="O153" s="227"/>
      <c r="P153" s="231"/>
      <c r="Q153" s="227"/>
      <c r="R153" s="231"/>
      <c r="S153" s="231"/>
      <c r="T153" s="231"/>
      <c r="U153" s="231"/>
      <c r="V153" s="231"/>
      <c r="W153" s="231"/>
      <c r="X153" s="227"/>
      <c r="Y153" s="232"/>
      <c r="Z153" s="232"/>
      <c r="AA153" s="232"/>
      <c r="AB153" s="232"/>
      <c r="AC153" s="227"/>
      <c r="AD153" s="227"/>
      <c r="AE153" s="231"/>
      <c r="AF153" s="227"/>
      <c r="AG153" s="232"/>
      <c r="AH153" s="232"/>
      <c r="AI153" s="232"/>
      <c r="AJ153" s="232"/>
      <c r="AK153" s="232"/>
      <c r="AL153" s="232"/>
      <c r="AM153" s="232"/>
      <c r="AN153" s="232"/>
      <c r="AO153" s="231"/>
      <c r="AP153" s="231"/>
      <c r="AQ153" s="227"/>
      <c r="AR153" s="231"/>
      <c r="AS153" s="227"/>
      <c r="AT153" s="227"/>
      <c r="AU153" s="227"/>
      <c r="AV153" s="227"/>
    </row>
    <row r="154">
      <c r="A154" s="227"/>
      <c r="B154" s="242"/>
      <c r="C154" s="227"/>
      <c r="D154" s="227"/>
      <c r="E154" s="231"/>
      <c r="F154" s="242"/>
      <c r="G154" s="227"/>
      <c r="H154" s="227"/>
      <c r="I154" s="227"/>
      <c r="J154" s="227"/>
      <c r="K154" s="227"/>
      <c r="L154" s="242"/>
      <c r="M154" s="232"/>
      <c r="N154" s="227"/>
      <c r="O154" s="227"/>
      <c r="P154" s="231"/>
      <c r="Q154" s="227"/>
      <c r="R154" s="231"/>
      <c r="S154" s="231"/>
      <c r="T154" s="231"/>
      <c r="U154" s="231"/>
      <c r="V154" s="231"/>
      <c r="W154" s="231"/>
      <c r="X154" s="227"/>
      <c r="Y154" s="232"/>
      <c r="Z154" s="232"/>
      <c r="AA154" s="232"/>
      <c r="AB154" s="232"/>
      <c r="AC154" s="227"/>
      <c r="AD154" s="227"/>
      <c r="AE154" s="231"/>
      <c r="AF154" s="227"/>
      <c r="AG154" s="232"/>
      <c r="AH154" s="232"/>
      <c r="AI154" s="232"/>
      <c r="AJ154" s="232"/>
      <c r="AK154" s="232"/>
      <c r="AL154" s="232"/>
      <c r="AM154" s="232"/>
      <c r="AN154" s="232"/>
      <c r="AO154" s="231"/>
      <c r="AP154" s="231"/>
      <c r="AQ154" s="227"/>
      <c r="AR154" s="231"/>
      <c r="AS154" s="227"/>
      <c r="AT154" s="227"/>
      <c r="AU154" s="227"/>
      <c r="AV154" s="227"/>
    </row>
    <row r="155">
      <c r="A155" s="227"/>
      <c r="B155" s="242"/>
      <c r="C155" s="227"/>
      <c r="D155" s="227"/>
      <c r="E155" s="231"/>
      <c r="F155" s="242"/>
      <c r="G155" s="227"/>
      <c r="H155" s="227"/>
      <c r="I155" s="227"/>
      <c r="J155" s="227"/>
      <c r="K155" s="227"/>
      <c r="L155" s="242"/>
      <c r="M155" s="232"/>
      <c r="N155" s="227"/>
      <c r="O155" s="227"/>
      <c r="P155" s="231"/>
      <c r="Q155" s="227"/>
      <c r="R155" s="231"/>
      <c r="S155" s="231"/>
      <c r="T155" s="231"/>
      <c r="U155" s="231"/>
      <c r="V155" s="231"/>
      <c r="W155" s="231"/>
      <c r="X155" s="227"/>
      <c r="Y155" s="232"/>
      <c r="Z155" s="232"/>
      <c r="AA155" s="232"/>
      <c r="AB155" s="232"/>
      <c r="AC155" s="227"/>
      <c r="AD155" s="227"/>
      <c r="AE155" s="231"/>
      <c r="AF155" s="227"/>
      <c r="AG155" s="232"/>
      <c r="AH155" s="232"/>
      <c r="AI155" s="232"/>
      <c r="AJ155" s="232"/>
      <c r="AK155" s="232"/>
      <c r="AL155" s="232"/>
      <c r="AM155" s="232"/>
      <c r="AN155" s="232"/>
      <c r="AO155" s="231"/>
      <c r="AP155" s="231"/>
      <c r="AQ155" s="227"/>
      <c r="AR155" s="231"/>
      <c r="AS155" s="227"/>
      <c r="AT155" s="227"/>
      <c r="AU155" s="227"/>
      <c r="AV155" s="227"/>
    </row>
    <row r="156">
      <c r="A156" s="227"/>
      <c r="B156" s="242"/>
      <c r="C156" s="227"/>
      <c r="D156" s="227"/>
      <c r="E156" s="231"/>
      <c r="F156" s="242"/>
      <c r="G156" s="227"/>
      <c r="H156" s="227"/>
      <c r="I156" s="227"/>
      <c r="J156" s="227"/>
      <c r="K156" s="227"/>
      <c r="L156" s="242"/>
      <c r="M156" s="232"/>
      <c r="N156" s="227"/>
      <c r="O156" s="227"/>
      <c r="P156" s="231"/>
      <c r="Q156" s="227"/>
      <c r="R156" s="231"/>
      <c r="S156" s="231"/>
      <c r="T156" s="231"/>
      <c r="U156" s="231"/>
      <c r="V156" s="231"/>
      <c r="W156" s="231"/>
      <c r="X156" s="227"/>
      <c r="Y156" s="232"/>
      <c r="Z156" s="232"/>
      <c r="AA156" s="232"/>
      <c r="AB156" s="232"/>
      <c r="AC156" s="227"/>
      <c r="AD156" s="227"/>
      <c r="AE156" s="231"/>
      <c r="AF156" s="227"/>
      <c r="AG156" s="232"/>
      <c r="AH156" s="232"/>
      <c r="AI156" s="232"/>
      <c r="AJ156" s="232"/>
      <c r="AK156" s="232"/>
      <c r="AL156" s="232"/>
      <c r="AM156" s="232"/>
      <c r="AN156" s="232"/>
      <c r="AO156" s="231"/>
      <c r="AP156" s="231"/>
      <c r="AQ156" s="227"/>
      <c r="AR156" s="231"/>
      <c r="AS156" s="227"/>
      <c r="AT156" s="227"/>
      <c r="AU156" s="227"/>
      <c r="AV156" s="227"/>
    </row>
    <row r="157">
      <c r="A157" s="227"/>
      <c r="B157" s="242"/>
      <c r="C157" s="227"/>
      <c r="D157" s="227"/>
      <c r="E157" s="231"/>
      <c r="F157" s="242"/>
      <c r="G157" s="227"/>
      <c r="H157" s="227"/>
      <c r="I157" s="227"/>
      <c r="J157" s="227"/>
      <c r="K157" s="227"/>
      <c r="L157" s="242"/>
      <c r="M157" s="232"/>
      <c r="N157" s="227"/>
      <c r="O157" s="227"/>
      <c r="P157" s="231"/>
      <c r="Q157" s="227"/>
      <c r="R157" s="231"/>
      <c r="S157" s="231"/>
      <c r="T157" s="231"/>
      <c r="U157" s="231"/>
      <c r="V157" s="231"/>
      <c r="W157" s="231"/>
      <c r="X157" s="227"/>
      <c r="Y157" s="232"/>
      <c r="Z157" s="232"/>
      <c r="AA157" s="232"/>
      <c r="AB157" s="232"/>
      <c r="AC157" s="227"/>
      <c r="AD157" s="227"/>
      <c r="AE157" s="231"/>
      <c r="AF157" s="227"/>
      <c r="AG157" s="232"/>
      <c r="AH157" s="232"/>
      <c r="AI157" s="232"/>
      <c r="AJ157" s="232"/>
      <c r="AK157" s="232"/>
      <c r="AL157" s="232"/>
      <c r="AM157" s="232"/>
      <c r="AN157" s="232"/>
      <c r="AO157" s="231"/>
      <c r="AP157" s="231"/>
      <c r="AQ157" s="227"/>
      <c r="AR157" s="231"/>
      <c r="AS157" s="227"/>
      <c r="AT157" s="227"/>
      <c r="AU157" s="227"/>
      <c r="AV157" s="227"/>
    </row>
    <row r="158">
      <c r="A158" s="227"/>
      <c r="B158" s="242"/>
      <c r="C158" s="227"/>
      <c r="D158" s="227"/>
      <c r="E158" s="231"/>
      <c r="F158" s="242"/>
      <c r="G158" s="227"/>
      <c r="H158" s="227"/>
      <c r="I158" s="227"/>
      <c r="J158" s="227"/>
      <c r="K158" s="227"/>
      <c r="L158" s="242"/>
      <c r="M158" s="232"/>
      <c r="N158" s="227"/>
      <c r="O158" s="227"/>
      <c r="P158" s="231"/>
      <c r="Q158" s="227"/>
      <c r="R158" s="231"/>
      <c r="S158" s="231"/>
      <c r="T158" s="231"/>
      <c r="U158" s="231"/>
      <c r="V158" s="231"/>
      <c r="W158" s="231"/>
      <c r="X158" s="227"/>
      <c r="Y158" s="232"/>
      <c r="Z158" s="232"/>
      <c r="AA158" s="232"/>
      <c r="AB158" s="232"/>
      <c r="AC158" s="227"/>
      <c r="AD158" s="227"/>
      <c r="AE158" s="231"/>
      <c r="AF158" s="227"/>
      <c r="AG158" s="232"/>
      <c r="AH158" s="232"/>
      <c r="AI158" s="232"/>
      <c r="AJ158" s="232"/>
      <c r="AK158" s="232"/>
      <c r="AL158" s="232"/>
      <c r="AM158" s="232"/>
      <c r="AN158" s="232"/>
      <c r="AO158" s="231"/>
      <c r="AP158" s="231"/>
      <c r="AQ158" s="227"/>
      <c r="AR158" s="231"/>
      <c r="AS158" s="227"/>
      <c r="AT158" s="227"/>
      <c r="AU158" s="227"/>
      <c r="AV158" s="227"/>
    </row>
    <row r="159">
      <c r="A159" s="227"/>
      <c r="B159" s="242"/>
      <c r="C159" s="227"/>
      <c r="D159" s="227"/>
      <c r="E159" s="231"/>
      <c r="F159" s="242"/>
      <c r="G159" s="227"/>
      <c r="H159" s="227"/>
      <c r="I159" s="227"/>
      <c r="J159" s="227"/>
      <c r="K159" s="227"/>
      <c r="L159" s="242"/>
      <c r="M159" s="232"/>
      <c r="N159" s="227"/>
      <c r="O159" s="227"/>
      <c r="P159" s="231"/>
      <c r="Q159" s="227"/>
      <c r="R159" s="231"/>
      <c r="S159" s="231"/>
      <c r="T159" s="231"/>
      <c r="U159" s="231"/>
      <c r="V159" s="231"/>
      <c r="W159" s="231"/>
      <c r="X159" s="227"/>
      <c r="Y159" s="232"/>
      <c r="Z159" s="232"/>
      <c r="AA159" s="232"/>
      <c r="AB159" s="232"/>
      <c r="AC159" s="227"/>
      <c r="AD159" s="227"/>
      <c r="AE159" s="231"/>
      <c r="AF159" s="227"/>
      <c r="AG159" s="232"/>
      <c r="AH159" s="232"/>
      <c r="AI159" s="232"/>
      <c r="AJ159" s="232"/>
      <c r="AK159" s="232"/>
      <c r="AL159" s="232"/>
      <c r="AM159" s="232"/>
      <c r="AN159" s="232"/>
      <c r="AO159" s="231"/>
      <c r="AP159" s="231"/>
      <c r="AQ159" s="227"/>
      <c r="AR159" s="231"/>
      <c r="AS159" s="227"/>
      <c r="AT159" s="227"/>
      <c r="AU159" s="227"/>
      <c r="AV159" s="227"/>
    </row>
    <row r="160">
      <c r="A160" s="227"/>
      <c r="B160" s="232"/>
      <c r="C160" s="227"/>
      <c r="D160" s="227"/>
      <c r="E160" s="231"/>
      <c r="F160" s="232"/>
      <c r="G160" s="227"/>
      <c r="H160" s="227"/>
      <c r="I160" s="227"/>
      <c r="J160" s="227"/>
      <c r="K160" s="227"/>
      <c r="L160" s="232"/>
      <c r="M160" s="232"/>
      <c r="N160" s="227"/>
      <c r="O160" s="227"/>
      <c r="P160" s="231"/>
      <c r="Q160" s="227"/>
      <c r="R160" s="231"/>
      <c r="S160" s="231"/>
      <c r="T160" s="231"/>
      <c r="U160" s="231"/>
      <c r="V160" s="231"/>
      <c r="W160" s="231"/>
      <c r="X160" s="227"/>
      <c r="Y160" s="232"/>
      <c r="Z160" s="232"/>
      <c r="AA160" s="232"/>
      <c r="AB160" s="232"/>
      <c r="AC160" s="227"/>
      <c r="AD160" s="227"/>
      <c r="AE160" s="231"/>
      <c r="AF160" s="227"/>
      <c r="AG160" s="232"/>
      <c r="AH160" s="232"/>
      <c r="AI160" s="232"/>
      <c r="AJ160" s="232"/>
      <c r="AK160" s="232"/>
      <c r="AL160" s="232"/>
      <c r="AM160" s="232"/>
      <c r="AN160" s="232"/>
      <c r="AO160" s="231"/>
      <c r="AP160" s="231"/>
      <c r="AQ160" s="227"/>
      <c r="AR160" s="231"/>
      <c r="AS160" s="227"/>
      <c r="AT160" s="227"/>
      <c r="AU160" s="227"/>
      <c r="AV160" s="227"/>
    </row>
    <row r="161">
      <c r="A161" s="227"/>
      <c r="B161" s="232"/>
      <c r="C161" s="227"/>
      <c r="D161" s="227"/>
      <c r="E161" s="231"/>
      <c r="F161" s="232"/>
      <c r="G161" s="227"/>
      <c r="H161" s="227"/>
      <c r="I161" s="227"/>
      <c r="J161" s="227"/>
      <c r="K161" s="227"/>
      <c r="L161" s="232"/>
      <c r="M161" s="232"/>
      <c r="N161" s="227"/>
      <c r="O161" s="227"/>
      <c r="P161" s="231"/>
      <c r="Q161" s="227"/>
      <c r="R161" s="231"/>
      <c r="S161" s="231"/>
      <c r="T161" s="231"/>
      <c r="U161" s="231"/>
      <c r="V161" s="231"/>
      <c r="W161" s="231"/>
      <c r="X161" s="227"/>
      <c r="Y161" s="232"/>
      <c r="Z161" s="232"/>
      <c r="AA161" s="232"/>
      <c r="AB161" s="232"/>
      <c r="AC161" s="227"/>
      <c r="AD161" s="227"/>
      <c r="AE161" s="231"/>
      <c r="AF161" s="227"/>
      <c r="AG161" s="232"/>
      <c r="AH161" s="232"/>
      <c r="AI161" s="232"/>
      <c r="AJ161" s="232"/>
      <c r="AK161" s="232"/>
      <c r="AL161" s="232"/>
      <c r="AM161" s="232"/>
      <c r="AN161" s="232"/>
      <c r="AO161" s="231"/>
      <c r="AP161" s="231"/>
      <c r="AQ161" s="227"/>
      <c r="AR161" s="231"/>
      <c r="AS161" s="227"/>
      <c r="AT161" s="227"/>
      <c r="AU161" s="227"/>
      <c r="AV161" s="227"/>
    </row>
    <row r="162">
      <c r="A162" s="227"/>
      <c r="B162" s="232"/>
      <c r="C162" s="227"/>
      <c r="D162" s="227"/>
      <c r="E162" s="231"/>
      <c r="F162" s="232"/>
      <c r="G162" s="227"/>
      <c r="H162" s="227"/>
      <c r="I162" s="227"/>
      <c r="J162" s="227"/>
      <c r="K162" s="227"/>
      <c r="L162" s="232"/>
      <c r="M162" s="232"/>
      <c r="N162" s="227"/>
      <c r="O162" s="227"/>
      <c r="P162" s="231"/>
      <c r="Q162" s="227"/>
      <c r="R162" s="231"/>
      <c r="S162" s="231"/>
      <c r="T162" s="231"/>
      <c r="U162" s="231"/>
      <c r="V162" s="231"/>
      <c r="W162" s="231"/>
      <c r="X162" s="227"/>
      <c r="Y162" s="232"/>
      <c r="Z162" s="232"/>
      <c r="AA162" s="232"/>
      <c r="AB162" s="232"/>
      <c r="AC162" s="227"/>
      <c r="AD162" s="227"/>
      <c r="AE162" s="231"/>
      <c r="AF162" s="227"/>
      <c r="AG162" s="232"/>
      <c r="AH162" s="232"/>
      <c r="AI162" s="232"/>
      <c r="AJ162" s="232"/>
      <c r="AK162" s="232"/>
      <c r="AL162" s="232"/>
      <c r="AM162" s="232"/>
      <c r="AN162" s="232"/>
      <c r="AO162" s="231"/>
      <c r="AP162" s="231"/>
      <c r="AQ162" s="227"/>
      <c r="AR162" s="231"/>
      <c r="AS162" s="227"/>
      <c r="AT162" s="227"/>
      <c r="AU162" s="227"/>
      <c r="AV162" s="227"/>
    </row>
    <row r="163">
      <c r="A163" s="227"/>
      <c r="B163" s="232"/>
      <c r="C163" s="227"/>
      <c r="D163" s="227"/>
      <c r="E163" s="231"/>
      <c r="F163" s="232"/>
      <c r="G163" s="227"/>
      <c r="H163" s="227"/>
      <c r="I163" s="227"/>
      <c r="J163" s="227"/>
      <c r="K163" s="227"/>
      <c r="L163" s="232"/>
      <c r="M163" s="232"/>
      <c r="N163" s="227"/>
      <c r="O163" s="227"/>
      <c r="P163" s="231"/>
      <c r="Q163" s="227"/>
      <c r="R163" s="231"/>
      <c r="S163" s="231"/>
      <c r="T163" s="231"/>
      <c r="U163" s="231"/>
      <c r="V163" s="231"/>
      <c r="W163" s="231"/>
      <c r="X163" s="227"/>
      <c r="Y163" s="232"/>
      <c r="Z163" s="232"/>
      <c r="AA163" s="232"/>
      <c r="AB163" s="232"/>
      <c r="AC163" s="227"/>
      <c r="AD163" s="227"/>
      <c r="AE163" s="231"/>
      <c r="AF163" s="227"/>
      <c r="AG163" s="232"/>
      <c r="AH163" s="232"/>
      <c r="AI163" s="232"/>
      <c r="AJ163" s="232"/>
      <c r="AK163" s="232"/>
      <c r="AL163" s="232"/>
      <c r="AM163" s="232"/>
      <c r="AN163" s="232"/>
      <c r="AO163" s="231"/>
      <c r="AP163" s="231"/>
      <c r="AQ163" s="227"/>
      <c r="AR163" s="231"/>
      <c r="AS163" s="227"/>
      <c r="AT163" s="227"/>
      <c r="AU163" s="227"/>
      <c r="AV163" s="227"/>
    </row>
    <row r="164">
      <c r="A164" s="227"/>
      <c r="B164" s="232"/>
      <c r="C164" s="227"/>
      <c r="D164" s="227"/>
      <c r="E164" s="231"/>
      <c r="F164" s="232"/>
      <c r="G164" s="227"/>
      <c r="H164" s="227"/>
      <c r="I164" s="227"/>
      <c r="J164" s="227"/>
      <c r="K164" s="227"/>
      <c r="L164" s="232"/>
      <c r="M164" s="232"/>
      <c r="N164" s="227"/>
      <c r="O164" s="227"/>
      <c r="P164" s="231"/>
      <c r="Q164" s="227"/>
      <c r="R164" s="231"/>
      <c r="S164" s="231"/>
      <c r="T164" s="231"/>
      <c r="U164" s="231"/>
      <c r="V164" s="231"/>
      <c r="W164" s="231"/>
      <c r="X164" s="227"/>
      <c r="Y164" s="232"/>
      <c r="Z164" s="232"/>
      <c r="AA164" s="232"/>
      <c r="AB164" s="232"/>
      <c r="AC164" s="227"/>
      <c r="AD164" s="227"/>
      <c r="AE164" s="231"/>
      <c r="AF164" s="227"/>
      <c r="AG164" s="232"/>
      <c r="AH164" s="232"/>
      <c r="AI164" s="232"/>
      <c r="AJ164" s="232"/>
      <c r="AK164" s="232"/>
      <c r="AL164" s="232"/>
      <c r="AM164" s="232"/>
      <c r="AN164" s="232"/>
      <c r="AO164" s="231"/>
      <c r="AP164" s="231"/>
      <c r="AQ164" s="227"/>
      <c r="AR164" s="231"/>
      <c r="AS164" s="227"/>
      <c r="AT164" s="227"/>
      <c r="AU164" s="227"/>
      <c r="AV164" s="227"/>
    </row>
    <row r="165">
      <c r="A165" s="227"/>
      <c r="B165" s="232"/>
      <c r="C165" s="227"/>
      <c r="D165" s="227"/>
      <c r="E165" s="231"/>
      <c r="F165" s="232"/>
      <c r="G165" s="227"/>
      <c r="H165" s="227"/>
      <c r="I165" s="227"/>
      <c r="J165" s="227"/>
      <c r="K165" s="227"/>
      <c r="L165" s="232"/>
      <c r="M165" s="232"/>
      <c r="N165" s="227"/>
      <c r="O165" s="227"/>
      <c r="P165" s="231"/>
      <c r="Q165" s="227"/>
      <c r="R165" s="231"/>
      <c r="S165" s="231"/>
      <c r="T165" s="231"/>
      <c r="U165" s="231"/>
      <c r="V165" s="231"/>
      <c r="W165" s="231"/>
      <c r="X165" s="227"/>
      <c r="Y165" s="232"/>
      <c r="Z165" s="232"/>
      <c r="AA165" s="232"/>
      <c r="AB165" s="232"/>
      <c r="AC165" s="227"/>
      <c r="AD165" s="227"/>
      <c r="AE165" s="231"/>
      <c r="AF165" s="227"/>
      <c r="AG165" s="232"/>
      <c r="AH165" s="232"/>
      <c r="AI165" s="232"/>
      <c r="AJ165" s="232"/>
      <c r="AK165" s="232"/>
      <c r="AL165" s="232"/>
      <c r="AM165" s="232"/>
      <c r="AN165" s="232"/>
      <c r="AO165" s="231"/>
      <c r="AP165" s="231"/>
      <c r="AQ165" s="227"/>
      <c r="AR165" s="231"/>
      <c r="AS165" s="227"/>
      <c r="AT165" s="227"/>
      <c r="AU165" s="227"/>
      <c r="AV165" s="227"/>
    </row>
    <row r="166">
      <c r="A166" s="227"/>
      <c r="B166" s="232"/>
      <c r="C166" s="227"/>
      <c r="D166" s="227"/>
      <c r="E166" s="231"/>
      <c r="F166" s="232"/>
      <c r="G166" s="227"/>
      <c r="H166" s="227"/>
      <c r="I166" s="227"/>
      <c r="J166" s="227"/>
      <c r="K166" s="227"/>
      <c r="L166" s="232"/>
      <c r="M166" s="232"/>
      <c r="N166" s="227"/>
      <c r="O166" s="227"/>
      <c r="P166" s="231"/>
      <c r="Q166" s="227"/>
      <c r="R166" s="231"/>
      <c r="S166" s="231"/>
      <c r="T166" s="231"/>
      <c r="U166" s="231"/>
      <c r="V166" s="231"/>
      <c r="W166" s="231"/>
      <c r="X166" s="227"/>
      <c r="Y166" s="232"/>
      <c r="Z166" s="232"/>
      <c r="AA166" s="232"/>
      <c r="AB166" s="232"/>
      <c r="AC166" s="227"/>
      <c r="AD166" s="227"/>
      <c r="AE166" s="231"/>
      <c r="AF166" s="227"/>
      <c r="AG166" s="232"/>
      <c r="AH166" s="232"/>
      <c r="AI166" s="232"/>
      <c r="AJ166" s="232"/>
      <c r="AK166" s="232"/>
      <c r="AL166" s="232"/>
      <c r="AM166" s="232"/>
      <c r="AN166" s="232"/>
      <c r="AO166" s="231"/>
      <c r="AP166" s="231"/>
      <c r="AQ166" s="227"/>
      <c r="AR166" s="231"/>
      <c r="AS166" s="227"/>
      <c r="AT166" s="227"/>
      <c r="AU166" s="227"/>
      <c r="AV166" s="227"/>
    </row>
    <row r="167">
      <c r="A167" s="227"/>
      <c r="B167" s="232"/>
      <c r="C167" s="227"/>
      <c r="D167" s="227"/>
      <c r="E167" s="231"/>
      <c r="F167" s="232"/>
      <c r="G167" s="227"/>
      <c r="H167" s="227"/>
      <c r="I167" s="227"/>
      <c r="J167" s="227"/>
      <c r="K167" s="227"/>
      <c r="L167" s="232"/>
      <c r="M167" s="232"/>
      <c r="N167" s="227"/>
      <c r="O167" s="227"/>
      <c r="P167" s="231"/>
      <c r="Q167" s="227"/>
      <c r="R167" s="231"/>
      <c r="S167" s="231"/>
      <c r="T167" s="231"/>
      <c r="U167" s="231"/>
      <c r="V167" s="231"/>
      <c r="W167" s="231"/>
      <c r="X167" s="227"/>
      <c r="Y167" s="232"/>
      <c r="Z167" s="232"/>
      <c r="AA167" s="232"/>
      <c r="AB167" s="232"/>
      <c r="AC167" s="227"/>
      <c r="AD167" s="227"/>
      <c r="AE167" s="231"/>
      <c r="AF167" s="227"/>
      <c r="AG167" s="232"/>
      <c r="AH167" s="232"/>
      <c r="AI167" s="232"/>
      <c r="AJ167" s="232"/>
      <c r="AK167" s="232"/>
      <c r="AL167" s="232"/>
      <c r="AM167" s="232"/>
      <c r="AN167" s="232"/>
      <c r="AO167" s="231"/>
      <c r="AP167" s="231"/>
      <c r="AQ167" s="227"/>
      <c r="AR167" s="231"/>
      <c r="AS167" s="227"/>
      <c r="AT167" s="227"/>
      <c r="AU167" s="227"/>
      <c r="AV167" s="227"/>
    </row>
    <row r="168">
      <c r="A168" s="227"/>
      <c r="B168" s="232"/>
      <c r="C168" s="227"/>
      <c r="D168" s="227"/>
      <c r="E168" s="231"/>
      <c r="F168" s="232"/>
      <c r="G168" s="227"/>
      <c r="H168" s="227"/>
      <c r="I168" s="227"/>
      <c r="J168" s="227"/>
      <c r="K168" s="227"/>
      <c r="L168" s="232"/>
      <c r="M168" s="232"/>
      <c r="N168" s="227"/>
      <c r="O168" s="227"/>
      <c r="P168" s="231"/>
      <c r="Q168" s="227"/>
      <c r="R168" s="231"/>
      <c r="S168" s="231"/>
      <c r="T168" s="231"/>
      <c r="U168" s="231"/>
      <c r="V168" s="231"/>
      <c r="W168" s="231"/>
      <c r="X168" s="227"/>
      <c r="Y168" s="232"/>
      <c r="Z168" s="232"/>
      <c r="AA168" s="232"/>
      <c r="AB168" s="232"/>
      <c r="AC168" s="227"/>
      <c r="AD168" s="227"/>
      <c r="AE168" s="231"/>
      <c r="AF168" s="227"/>
      <c r="AG168" s="232"/>
      <c r="AH168" s="232"/>
      <c r="AI168" s="232"/>
      <c r="AJ168" s="232"/>
      <c r="AK168" s="232"/>
      <c r="AL168" s="232"/>
      <c r="AM168" s="232"/>
      <c r="AN168" s="232"/>
      <c r="AO168" s="231"/>
      <c r="AP168" s="231"/>
      <c r="AQ168" s="227"/>
      <c r="AR168" s="231"/>
      <c r="AS168" s="227"/>
      <c r="AT168" s="227"/>
      <c r="AU168" s="227"/>
      <c r="AV168" s="227"/>
    </row>
    <row r="169">
      <c r="A169" s="227"/>
      <c r="B169" s="232"/>
      <c r="C169" s="227"/>
      <c r="D169" s="227"/>
      <c r="E169" s="231"/>
      <c r="F169" s="232"/>
      <c r="G169" s="227"/>
      <c r="H169" s="227"/>
      <c r="I169" s="227"/>
      <c r="J169" s="227"/>
      <c r="K169" s="227"/>
      <c r="L169" s="232"/>
      <c r="M169" s="232"/>
      <c r="N169" s="227"/>
      <c r="O169" s="227"/>
      <c r="P169" s="231"/>
      <c r="Q169" s="227"/>
      <c r="R169" s="231"/>
      <c r="S169" s="231"/>
      <c r="T169" s="231"/>
      <c r="U169" s="231"/>
      <c r="V169" s="231"/>
      <c r="W169" s="231"/>
      <c r="X169" s="227"/>
      <c r="Y169" s="232"/>
      <c r="Z169" s="232"/>
      <c r="AA169" s="232"/>
      <c r="AB169" s="232"/>
      <c r="AC169" s="227"/>
      <c r="AD169" s="227"/>
      <c r="AE169" s="231"/>
      <c r="AF169" s="227"/>
      <c r="AG169" s="232"/>
      <c r="AH169" s="232"/>
      <c r="AI169" s="232"/>
      <c r="AJ169" s="232"/>
      <c r="AK169" s="232"/>
      <c r="AL169" s="232"/>
      <c r="AM169" s="232"/>
      <c r="AN169" s="232"/>
      <c r="AO169" s="231"/>
      <c r="AP169" s="231"/>
      <c r="AQ169" s="227"/>
      <c r="AR169" s="231"/>
      <c r="AS169" s="227"/>
      <c r="AT169" s="227"/>
      <c r="AU169" s="227"/>
      <c r="AV169" s="227"/>
    </row>
    <row r="170">
      <c r="A170" s="227"/>
      <c r="B170" s="232"/>
      <c r="C170" s="227"/>
      <c r="D170" s="227"/>
      <c r="E170" s="231"/>
      <c r="F170" s="232"/>
      <c r="G170" s="227"/>
      <c r="H170" s="227"/>
      <c r="I170" s="227"/>
      <c r="J170" s="227"/>
      <c r="K170" s="227"/>
      <c r="L170" s="232"/>
      <c r="M170" s="232"/>
      <c r="N170" s="227"/>
      <c r="O170" s="227"/>
      <c r="P170" s="231"/>
      <c r="Q170" s="227"/>
      <c r="R170" s="231"/>
      <c r="S170" s="231"/>
      <c r="T170" s="231"/>
      <c r="U170" s="231"/>
      <c r="V170" s="231"/>
      <c r="W170" s="231"/>
      <c r="X170" s="227"/>
      <c r="Y170" s="232"/>
      <c r="Z170" s="232"/>
      <c r="AA170" s="232"/>
      <c r="AB170" s="232"/>
      <c r="AC170" s="227"/>
      <c r="AD170" s="227"/>
      <c r="AE170" s="231"/>
      <c r="AF170" s="227"/>
      <c r="AG170" s="232"/>
      <c r="AH170" s="232"/>
      <c r="AI170" s="232"/>
      <c r="AJ170" s="232"/>
      <c r="AK170" s="232"/>
      <c r="AL170" s="232"/>
      <c r="AM170" s="232"/>
      <c r="AN170" s="232"/>
      <c r="AO170" s="231"/>
      <c r="AP170" s="231"/>
      <c r="AQ170" s="227"/>
      <c r="AR170" s="231"/>
      <c r="AS170" s="227"/>
      <c r="AT170" s="227"/>
      <c r="AU170" s="227"/>
      <c r="AV170" s="227"/>
    </row>
    <row r="171">
      <c r="A171" s="227"/>
      <c r="B171" s="232"/>
      <c r="C171" s="227"/>
      <c r="D171" s="227"/>
      <c r="E171" s="231"/>
      <c r="F171" s="232"/>
      <c r="G171" s="227"/>
      <c r="H171" s="227"/>
      <c r="I171" s="227"/>
      <c r="J171" s="227"/>
      <c r="K171" s="227"/>
      <c r="L171" s="232"/>
      <c r="M171" s="232"/>
      <c r="N171" s="227"/>
      <c r="O171" s="227"/>
      <c r="P171" s="231"/>
      <c r="Q171" s="227"/>
      <c r="R171" s="231"/>
      <c r="S171" s="231"/>
      <c r="T171" s="231"/>
      <c r="U171" s="231"/>
      <c r="V171" s="231"/>
      <c r="W171" s="231"/>
      <c r="X171" s="227"/>
      <c r="Y171" s="232"/>
      <c r="Z171" s="232"/>
      <c r="AA171" s="232"/>
      <c r="AB171" s="232"/>
      <c r="AC171" s="227"/>
      <c r="AD171" s="227"/>
      <c r="AE171" s="231"/>
      <c r="AF171" s="227"/>
      <c r="AG171" s="232"/>
      <c r="AH171" s="232"/>
      <c r="AI171" s="232"/>
      <c r="AJ171" s="232"/>
      <c r="AK171" s="232"/>
      <c r="AL171" s="232"/>
      <c r="AM171" s="232"/>
      <c r="AN171" s="232"/>
      <c r="AO171" s="231"/>
      <c r="AP171" s="231"/>
      <c r="AQ171" s="227"/>
      <c r="AR171" s="231"/>
      <c r="AS171" s="227"/>
      <c r="AT171" s="227"/>
      <c r="AU171" s="227"/>
      <c r="AV171" s="227"/>
    </row>
    <row r="172">
      <c r="A172" s="227"/>
      <c r="B172" s="232"/>
      <c r="C172" s="227"/>
      <c r="D172" s="227"/>
      <c r="E172" s="231"/>
      <c r="F172" s="232"/>
      <c r="G172" s="227"/>
      <c r="H172" s="227"/>
      <c r="I172" s="227"/>
      <c r="J172" s="227"/>
      <c r="K172" s="227"/>
      <c r="L172" s="232"/>
      <c r="M172" s="232"/>
      <c r="N172" s="227"/>
      <c r="O172" s="227"/>
      <c r="P172" s="231"/>
      <c r="Q172" s="227"/>
      <c r="R172" s="231"/>
      <c r="S172" s="231"/>
      <c r="T172" s="231"/>
      <c r="U172" s="231"/>
      <c r="V172" s="231"/>
      <c r="W172" s="231"/>
      <c r="X172" s="227"/>
      <c r="Y172" s="232"/>
      <c r="Z172" s="232"/>
      <c r="AA172" s="232"/>
      <c r="AB172" s="232"/>
      <c r="AC172" s="227"/>
      <c r="AD172" s="227"/>
      <c r="AE172" s="231"/>
      <c r="AF172" s="227"/>
      <c r="AG172" s="232"/>
      <c r="AH172" s="232"/>
      <c r="AI172" s="232"/>
      <c r="AJ172" s="232"/>
      <c r="AK172" s="232"/>
      <c r="AL172" s="232"/>
      <c r="AM172" s="232"/>
      <c r="AN172" s="232"/>
      <c r="AO172" s="231"/>
      <c r="AP172" s="231"/>
      <c r="AQ172" s="227"/>
      <c r="AR172" s="231"/>
      <c r="AS172" s="227"/>
      <c r="AT172" s="227"/>
      <c r="AU172" s="227"/>
      <c r="AV172" s="227"/>
    </row>
    <row r="173">
      <c r="A173" s="227"/>
      <c r="B173" s="232"/>
      <c r="C173" s="227"/>
      <c r="D173" s="227"/>
      <c r="E173" s="231"/>
      <c r="F173" s="232"/>
      <c r="G173" s="227"/>
      <c r="H173" s="227"/>
      <c r="I173" s="227"/>
      <c r="J173" s="227"/>
      <c r="K173" s="227"/>
      <c r="L173" s="232"/>
      <c r="M173" s="232"/>
      <c r="N173" s="227"/>
      <c r="O173" s="227"/>
      <c r="P173" s="231"/>
      <c r="Q173" s="227"/>
      <c r="R173" s="231"/>
      <c r="S173" s="231"/>
      <c r="T173" s="231"/>
      <c r="U173" s="231"/>
      <c r="V173" s="231"/>
      <c r="W173" s="231"/>
      <c r="X173" s="227"/>
      <c r="Y173" s="232"/>
      <c r="Z173" s="232"/>
      <c r="AA173" s="232"/>
      <c r="AB173" s="232"/>
      <c r="AC173" s="227"/>
      <c r="AD173" s="227"/>
      <c r="AE173" s="231"/>
      <c r="AF173" s="227"/>
      <c r="AG173" s="232"/>
      <c r="AH173" s="232"/>
      <c r="AI173" s="232"/>
      <c r="AJ173" s="232"/>
      <c r="AK173" s="232"/>
      <c r="AL173" s="232"/>
      <c r="AM173" s="232"/>
      <c r="AN173" s="232"/>
      <c r="AO173" s="231"/>
      <c r="AP173" s="231"/>
      <c r="AQ173" s="227"/>
      <c r="AR173" s="231"/>
      <c r="AS173" s="227"/>
      <c r="AT173" s="227"/>
      <c r="AU173" s="227"/>
      <c r="AV173" s="227"/>
    </row>
    <row r="174">
      <c r="A174" s="227"/>
      <c r="B174" s="232"/>
      <c r="C174" s="227"/>
      <c r="D174" s="227"/>
      <c r="E174" s="231"/>
      <c r="F174" s="232"/>
      <c r="G174" s="227"/>
      <c r="H174" s="227"/>
      <c r="I174" s="227"/>
      <c r="J174" s="227"/>
      <c r="K174" s="227"/>
      <c r="L174" s="232"/>
      <c r="M174" s="232"/>
      <c r="N174" s="227"/>
      <c r="O174" s="227"/>
      <c r="P174" s="231"/>
      <c r="Q174" s="227"/>
      <c r="R174" s="231"/>
      <c r="S174" s="231"/>
      <c r="T174" s="231"/>
      <c r="U174" s="231"/>
      <c r="V174" s="231"/>
      <c r="W174" s="231"/>
      <c r="X174" s="227"/>
      <c r="Y174" s="232"/>
      <c r="Z174" s="232"/>
      <c r="AA174" s="232"/>
      <c r="AB174" s="232"/>
      <c r="AC174" s="227"/>
      <c r="AD174" s="227"/>
      <c r="AE174" s="231"/>
      <c r="AF174" s="227"/>
      <c r="AG174" s="232"/>
      <c r="AH174" s="232"/>
      <c r="AI174" s="232"/>
      <c r="AJ174" s="232"/>
      <c r="AK174" s="232"/>
      <c r="AL174" s="232"/>
      <c r="AM174" s="232"/>
      <c r="AN174" s="232"/>
      <c r="AO174" s="231"/>
      <c r="AP174" s="231"/>
      <c r="AQ174" s="227"/>
      <c r="AR174" s="231"/>
      <c r="AS174" s="227"/>
      <c r="AT174" s="227"/>
      <c r="AU174" s="227"/>
      <c r="AV174" s="227"/>
    </row>
    <row r="175">
      <c r="A175" s="227"/>
      <c r="B175" s="232"/>
      <c r="C175" s="227"/>
      <c r="D175" s="227"/>
      <c r="E175" s="231"/>
      <c r="F175" s="232"/>
      <c r="G175" s="227"/>
      <c r="H175" s="227"/>
      <c r="I175" s="227"/>
      <c r="J175" s="227"/>
      <c r="K175" s="227"/>
      <c r="L175" s="232"/>
      <c r="M175" s="232"/>
      <c r="N175" s="227"/>
      <c r="O175" s="227"/>
      <c r="P175" s="231"/>
      <c r="Q175" s="227"/>
      <c r="R175" s="231"/>
      <c r="S175" s="231"/>
      <c r="T175" s="231"/>
      <c r="U175" s="231"/>
      <c r="V175" s="231"/>
      <c r="W175" s="231"/>
      <c r="X175" s="227"/>
      <c r="Y175" s="232"/>
      <c r="Z175" s="232"/>
      <c r="AA175" s="232"/>
      <c r="AB175" s="232"/>
      <c r="AC175" s="227"/>
      <c r="AD175" s="227"/>
      <c r="AE175" s="231"/>
      <c r="AF175" s="227"/>
      <c r="AG175" s="232"/>
      <c r="AH175" s="232"/>
      <c r="AI175" s="232"/>
      <c r="AJ175" s="232"/>
      <c r="AK175" s="232"/>
      <c r="AL175" s="232"/>
      <c r="AM175" s="232"/>
      <c r="AN175" s="232"/>
      <c r="AO175" s="231"/>
      <c r="AP175" s="231"/>
      <c r="AQ175" s="227"/>
      <c r="AR175" s="231"/>
      <c r="AS175" s="227"/>
      <c r="AT175" s="227"/>
      <c r="AU175" s="227"/>
      <c r="AV175" s="227"/>
    </row>
    <row r="176">
      <c r="A176" s="227"/>
      <c r="B176" s="232"/>
      <c r="C176" s="227"/>
      <c r="D176" s="227"/>
      <c r="E176" s="231"/>
      <c r="F176" s="232"/>
      <c r="G176" s="227"/>
      <c r="H176" s="227"/>
      <c r="I176" s="227"/>
      <c r="J176" s="227"/>
      <c r="K176" s="227"/>
      <c r="L176" s="232"/>
      <c r="M176" s="232"/>
      <c r="N176" s="227"/>
      <c r="O176" s="227"/>
      <c r="P176" s="231"/>
      <c r="Q176" s="227"/>
      <c r="R176" s="231"/>
      <c r="S176" s="231"/>
      <c r="T176" s="231"/>
      <c r="U176" s="231"/>
      <c r="V176" s="231"/>
      <c r="W176" s="231"/>
      <c r="X176" s="227"/>
      <c r="Y176" s="232"/>
      <c r="Z176" s="232"/>
      <c r="AA176" s="232"/>
      <c r="AB176" s="232"/>
      <c r="AC176" s="227"/>
      <c r="AD176" s="227"/>
      <c r="AE176" s="231"/>
      <c r="AF176" s="227"/>
      <c r="AG176" s="232"/>
      <c r="AH176" s="232"/>
      <c r="AI176" s="232"/>
      <c r="AJ176" s="232"/>
      <c r="AK176" s="232"/>
      <c r="AL176" s="232"/>
      <c r="AM176" s="232"/>
      <c r="AN176" s="232"/>
      <c r="AO176" s="231"/>
      <c r="AP176" s="231"/>
      <c r="AQ176" s="227"/>
      <c r="AR176" s="231"/>
      <c r="AS176" s="227"/>
      <c r="AT176" s="227"/>
      <c r="AU176" s="227"/>
      <c r="AV176" s="227"/>
    </row>
    <row r="177">
      <c r="A177" s="227"/>
      <c r="B177" s="232"/>
      <c r="C177" s="227"/>
      <c r="D177" s="227"/>
      <c r="E177" s="231"/>
      <c r="F177" s="232"/>
      <c r="G177" s="227"/>
      <c r="H177" s="227"/>
      <c r="I177" s="227"/>
      <c r="J177" s="227"/>
      <c r="K177" s="227"/>
      <c r="L177" s="232"/>
      <c r="M177" s="232"/>
      <c r="N177" s="227"/>
      <c r="O177" s="227"/>
      <c r="P177" s="231"/>
      <c r="Q177" s="227"/>
      <c r="R177" s="231"/>
      <c r="S177" s="231"/>
      <c r="T177" s="231"/>
      <c r="U177" s="231"/>
      <c r="V177" s="231"/>
      <c r="W177" s="231"/>
      <c r="X177" s="227"/>
      <c r="Y177" s="232"/>
      <c r="Z177" s="232"/>
      <c r="AA177" s="232"/>
      <c r="AB177" s="232"/>
      <c r="AC177" s="227"/>
      <c r="AD177" s="227"/>
      <c r="AE177" s="231"/>
      <c r="AF177" s="227"/>
      <c r="AG177" s="232"/>
      <c r="AH177" s="232"/>
      <c r="AI177" s="232"/>
      <c r="AJ177" s="232"/>
      <c r="AK177" s="232"/>
      <c r="AL177" s="232"/>
      <c r="AM177" s="232"/>
      <c r="AN177" s="232"/>
      <c r="AO177" s="231"/>
      <c r="AP177" s="231"/>
      <c r="AQ177" s="227"/>
      <c r="AR177" s="231"/>
      <c r="AS177" s="227"/>
      <c r="AT177" s="227"/>
      <c r="AU177" s="227"/>
      <c r="AV177" s="227"/>
    </row>
    <row r="178">
      <c r="A178" s="227"/>
      <c r="B178" s="232"/>
      <c r="C178" s="227"/>
      <c r="D178" s="227"/>
      <c r="E178" s="231"/>
      <c r="F178" s="232"/>
      <c r="G178" s="227"/>
      <c r="H178" s="227"/>
      <c r="I178" s="227"/>
      <c r="J178" s="227"/>
      <c r="K178" s="227"/>
      <c r="L178" s="232"/>
      <c r="M178" s="232"/>
      <c r="N178" s="227"/>
      <c r="O178" s="227"/>
      <c r="P178" s="231"/>
      <c r="Q178" s="227"/>
      <c r="R178" s="231"/>
      <c r="S178" s="231"/>
      <c r="T178" s="231"/>
      <c r="U178" s="231"/>
      <c r="V178" s="231"/>
      <c r="W178" s="231"/>
      <c r="X178" s="227"/>
      <c r="Y178" s="232"/>
      <c r="Z178" s="232"/>
      <c r="AA178" s="232"/>
      <c r="AB178" s="232"/>
      <c r="AC178" s="227"/>
      <c r="AD178" s="227"/>
      <c r="AE178" s="231"/>
      <c r="AF178" s="227"/>
      <c r="AG178" s="232"/>
      <c r="AH178" s="232"/>
      <c r="AI178" s="232"/>
      <c r="AJ178" s="232"/>
      <c r="AK178" s="232"/>
      <c r="AL178" s="232"/>
      <c r="AM178" s="232"/>
      <c r="AN178" s="232"/>
      <c r="AO178" s="231"/>
      <c r="AP178" s="231"/>
      <c r="AQ178" s="227"/>
      <c r="AR178" s="231"/>
      <c r="AS178" s="227"/>
      <c r="AT178" s="227"/>
      <c r="AU178" s="227"/>
      <c r="AV178" s="227"/>
    </row>
    <row r="179">
      <c r="A179" s="227"/>
      <c r="B179" s="232"/>
      <c r="C179" s="227"/>
      <c r="D179" s="227"/>
      <c r="E179" s="231"/>
      <c r="F179" s="232"/>
      <c r="G179" s="227"/>
      <c r="H179" s="227"/>
      <c r="I179" s="227"/>
      <c r="J179" s="227"/>
      <c r="K179" s="227"/>
      <c r="L179" s="232"/>
      <c r="M179" s="232"/>
      <c r="N179" s="227"/>
      <c r="O179" s="227"/>
      <c r="P179" s="231"/>
      <c r="Q179" s="227"/>
      <c r="R179" s="231"/>
      <c r="S179" s="231"/>
      <c r="T179" s="231"/>
      <c r="U179" s="231"/>
      <c r="V179" s="231"/>
      <c r="W179" s="231"/>
      <c r="X179" s="227"/>
      <c r="Y179" s="232"/>
      <c r="Z179" s="232"/>
      <c r="AA179" s="232"/>
      <c r="AB179" s="232"/>
      <c r="AC179" s="227"/>
      <c r="AD179" s="227"/>
      <c r="AE179" s="231"/>
      <c r="AF179" s="227"/>
      <c r="AG179" s="232"/>
      <c r="AH179" s="232"/>
      <c r="AI179" s="232"/>
      <c r="AJ179" s="232"/>
      <c r="AK179" s="232"/>
      <c r="AL179" s="232"/>
      <c r="AM179" s="232"/>
      <c r="AN179" s="232"/>
      <c r="AO179" s="231"/>
      <c r="AP179" s="231"/>
      <c r="AQ179" s="227"/>
      <c r="AR179" s="231"/>
      <c r="AS179" s="227"/>
      <c r="AT179" s="227"/>
      <c r="AU179" s="227"/>
      <c r="AV179" s="227"/>
    </row>
    <row r="180">
      <c r="A180" s="227"/>
      <c r="B180" s="232"/>
      <c r="C180" s="227"/>
      <c r="D180" s="227"/>
      <c r="E180" s="231"/>
      <c r="F180" s="232"/>
      <c r="G180" s="227"/>
      <c r="H180" s="227"/>
      <c r="I180" s="227"/>
      <c r="J180" s="227"/>
      <c r="K180" s="227"/>
      <c r="L180" s="232"/>
      <c r="M180" s="232"/>
      <c r="N180" s="227"/>
      <c r="O180" s="227"/>
      <c r="P180" s="231"/>
      <c r="Q180" s="227"/>
      <c r="R180" s="231"/>
      <c r="S180" s="231"/>
      <c r="T180" s="231"/>
      <c r="U180" s="231"/>
      <c r="V180" s="231"/>
      <c r="W180" s="231"/>
      <c r="X180" s="227"/>
      <c r="Y180" s="232"/>
      <c r="Z180" s="232"/>
      <c r="AA180" s="232"/>
      <c r="AB180" s="232"/>
      <c r="AC180" s="227"/>
      <c r="AD180" s="227"/>
      <c r="AE180" s="231"/>
      <c r="AF180" s="227"/>
      <c r="AG180" s="232"/>
      <c r="AH180" s="232"/>
      <c r="AI180" s="232"/>
      <c r="AJ180" s="232"/>
      <c r="AK180" s="232"/>
      <c r="AL180" s="232"/>
      <c r="AM180" s="232"/>
      <c r="AN180" s="232"/>
      <c r="AO180" s="231"/>
      <c r="AP180" s="231"/>
      <c r="AQ180" s="227"/>
      <c r="AR180" s="231"/>
      <c r="AS180" s="227"/>
      <c r="AT180" s="227"/>
      <c r="AU180" s="227"/>
      <c r="AV180" s="227"/>
    </row>
    <row r="181">
      <c r="A181" s="227"/>
      <c r="B181" s="232"/>
      <c r="C181" s="227"/>
      <c r="D181" s="227"/>
      <c r="E181" s="231"/>
      <c r="F181" s="232"/>
      <c r="G181" s="227"/>
      <c r="H181" s="227"/>
      <c r="I181" s="227"/>
      <c r="J181" s="227"/>
      <c r="K181" s="227"/>
      <c r="L181" s="232"/>
      <c r="M181" s="232"/>
      <c r="N181" s="227"/>
      <c r="O181" s="227"/>
      <c r="P181" s="231"/>
      <c r="Q181" s="227"/>
      <c r="R181" s="231"/>
      <c r="S181" s="231"/>
      <c r="T181" s="231"/>
      <c r="U181" s="231"/>
      <c r="V181" s="231"/>
      <c r="W181" s="231"/>
      <c r="X181" s="227"/>
      <c r="Y181" s="232"/>
      <c r="Z181" s="232"/>
      <c r="AA181" s="232"/>
      <c r="AB181" s="232"/>
      <c r="AC181" s="227"/>
      <c r="AD181" s="227"/>
      <c r="AE181" s="231"/>
      <c r="AF181" s="227"/>
      <c r="AG181" s="232"/>
      <c r="AH181" s="232"/>
      <c r="AI181" s="232"/>
      <c r="AJ181" s="232"/>
      <c r="AK181" s="232"/>
      <c r="AL181" s="232"/>
      <c r="AM181" s="232"/>
      <c r="AN181" s="232"/>
      <c r="AO181" s="231"/>
      <c r="AP181" s="231"/>
      <c r="AQ181" s="227"/>
      <c r="AR181" s="231"/>
      <c r="AS181" s="227"/>
      <c r="AT181" s="227"/>
      <c r="AU181" s="227"/>
      <c r="AV181" s="227"/>
    </row>
    <row r="182">
      <c r="A182" s="227"/>
      <c r="B182" s="232"/>
      <c r="C182" s="227"/>
      <c r="D182" s="227"/>
      <c r="E182" s="231"/>
      <c r="F182" s="232"/>
      <c r="G182" s="227"/>
      <c r="H182" s="227"/>
      <c r="I182" s="227"/>
      <c r="J182" s="227"/>
      <c r="K182" s="227"/>
      <c r="L182" s="232"/>
      <c r="M182" s="232"/>
      <c r="N182" s="227"/>
      <c r="O182" s="227"/>
      <c r="P182" s="231"/>
      <c r="Q182" s="227"/>
      <c r="R182" s="231"/>
      <c r="S182" s="231"/>
      <c r="T182" s="231"/>
      <c r="U182" s="231"/>
      <c r="V182" s="231"/>
      <c r="W182" s="231"/>
      <c r="X182" s="227"/>
      <c r="Y182" s="232"/>
      <c r="Z182" s="232"/>
      <c r="AA182" s="232"/>
      <c r="AB182" s="232"/>
      <c r="AC182" s="227"/>
      <c r="AD182" s="227"/>
      <c r="AE182" s="231"/>
      <c r="AF182" s="227"/>
      <c r="AG182" s="232"/>
      <c r="AH182" s="232"/>
      <c r="AI182" s="232"/>
      <c r="AJ182" s="232"/>
      <c r="AK182" s="232"/>
      <c r="AL182" s="232"/>
      <c r="AM182" s="232"/>
      <c r="AN182" s="232"/>
      <c r="AO182" s="231"/>
      <c r="AP182" s="231"/>
      <c r="AQ182" s="227"/>
      <c r="AR182" s="231"/>
      <c r="AS182" s="227"/>
      <c r="AT182" s="227"/>
      <c r="AU182" s="227"/>
      <c r="AV182" s="227"/>
    </row>
    <row r="183">
      <c r="A183" s="227"/>
      <c r="B183" s="232"/>
      <c r="C183" s="227"/>
      <c r="D183" s="227"/>
      <c r="E183" s="231"/>
      <c r="F183" s="232"/>
      <c r="G183" s="227"/>
      <c r="H183" s="227"/>
      <c r="I183" s="227"/>
      <c r="J183" s="227"/>
      <c r="K183" s="227"/>
      <c r="L183" s="232"/>
      <c r="M183" s="232"/>
      <c r="N183" s="227"/>
      <c r="O183" s="227"/>
      <c r="P183" s="231"/>
      <c r="Q183" s="227"/>
      <c r="R183" s="231"/>
      <c r="S183" s="231"/>
      <c r="T183" s="231"/>
      <c r="U183" s="231"/>
      <c r="V183" s="231"/>
      <c r="W183" s="231"/>
      <c r="X183" s="227"/>
      <c r="Y183" s="232"/>
      <c r="Z183" s="232"/>
      <c r="AA183" s="232"/>
      <c r="AB183" s="232"/>
      <c r="AC183" s="227"/>
      <c r="AD183" s="227"/>
      <c r="AE183" s="231"/>
      <c r="AF183" s="227"/>
      <c r="AG183" s="232"/>
      <c r="AH183" s="232"/>
      <c r="AI183" s="232"/>
      <c r="AJ183" s="232"/>
      <c r="AK183" s="232"/>
      <c r="AL183" s="232"/>
      <c r="AM183" s="232"/>
      <c r="AN183" s="232"/>
      <c r="AO183" s="231"/>
      <c r="AP183" s="231"/>
      <c r="AQ183" s="227"/>
      <c r="AR183" s="231"/>
      <c r="AS183" s="227"/>
      <c r="AT183" s="227"/>
      <c r="AU183" s="227"/>
      <c r="AV183" s="227"/>
    </row>
    <row r="184">
      <c r="A184" s="227"/>
      <c r="B184" s="232"/>
      <c r="C184" s="227"/>
      <c r="D184" s="227"/>
      <c r="E184" s="231"/>
      <c r="F184" s="232"/>
      <c r="G184" s="227"/>
      <c r="H184" s="227"/>
      <c r="I184" s="227"/>
      <c r="J184" s="227"/>
      <c r="K184" s="227"/>
      <c r="L184" s="232"/>
      <c r="M184" s="232"/>
      <c r="N184" s="227"/>
      <c r="O184" s="227"/>
      <c r="P184" s="231"/>
      <c r="Q184" s="227"/>
      <c r="R184" s="231"/>
      <c r="S184" s="231"/>
      <c r="T184" s="231"/>
      <c r="U184" s="231"/>
      <c r="V184" s="231"/>
      <c r="W184" s="231"/>
      <c r="X184" s="227"/>
      <c r="Y184" s="232"/>
      <c r="Z184" s="232"/>
      <c r="AA184" s="232"/>
      <c r="AB184" s="232"/>
      <c r="AC184" s="227"/>
      <c r="AD184" s="227"/>
      <c r="AE184" s="231"/>
      <c r="AF184" s="227"/>
      <c r="AG184" s="232"/>
      <c r="AH184" s="232"/>
      <c r="AI184" s="232"/>
      <c r="AJ184" s="232"/>
      <c r="AK184" s="232"/>
      <c r="AL184" s="232"/>
      <c r="AM184" s="232"/>
      <c r="AN184" s="232"/>
      <c r="AO184" s="231"/>
      <c r="AP184" s="231"/>
      <c r="AQ184" s="227"/>
      <c r="AR184" s="231"/>
      <c r="AS184" s="227"/>
      <c r="AT184" s="227"/>
      <c r="AU184" s="227"/>
      <c r="AV184" s="227"/>
    </row>
    <row r="185">
      <c r="A185" s="227"/>
      <c r="B185" s="232"/>
      <c r="C185" s="227"/>
      <c r="D185" s="227"/>
      <c r="E185" s="231"/>
      <c r="F185" s="232"/>
      <c r="G185" s="227"/>
      <c r="H185" s="227"/>
      <c r="I185" s="227"/>
      <c r="J185" s="227"/>
      <c r="K185" s="227"/>
      <c r="L185" s="232"/>
      <c r="M185" s="232"/>
      <c r="N185" s="227"/>
      <c r="O185" s="227"/>
      <c r="P185" s="231"/>
      <c r="Q185" s="227"/>
      <c r="R185" s="231"/>
      <c r="S185" s="231"/>
      <c r="T185" s="231"/>
      <c r="U185" s="231"/>
      <c r="V185" s="231"/>
      <c r="W185" s="231"/>
      <c r="X185" s="227"/>
      <c r="Y185" s="232"/>
      <c r="Z185" s="232"/>
      <c r="AA185" s="232"/>
      <c r="AB185" s="232"/>
      <c r="AC185" s="227"/>
      <c r="AD185" s="227"/>
      <c r="AE185" s="231"/>
      <c r="AF185" s="227"/>
      <c r="AG185" s="232"/>
      <c r="AH185" s="232"/>
      <c r="AI185" s="232"/>
      <c r="AJ185" s="232"/>
      <c r="AK185" s="232"/>
      <c r="AL185" s="232"/>
      <c r="AM185" s="232"/>
      <c r="AN185" s="232"/>
      <c r="AO185" s="231"/>
      <c r="AP185" s="231"/>
      <c r="AQ185" s="227"/>
      <c r="AR185" s="231"/>
      <c r="AS185" s="227"/>
      <c r="AT185" s="227"/>
      <c r="AU185" s="227"/>
      <c r="AV185" s="227"/>
    </row>
    <row r="186">
      <c r="A186" s="227"/>
      <c r="B186" s="232"/>
      <c r="C186" s="227"/>
      <c r="D186" s="227"/>
      <c r="E186" s="231"/>
      <c r="F186" s="232"/>
      <c r="G186" s="227"/>
      <c r="H186" s="227"/>
      <c r="I186" s="227"/>
      <c r="J186" s="227"/>
      <c r="K186" s="227"/>
      <c r="L186" s="232"/>
      <c r="M186" s="232"/>
      <c r="N186" s="227"/>
      <c r="O186" s="227"/>
      <c r="P186" s="231"/>
      <c r="Q186" s="227"/>
      <c r="R186" s="231"/>
      <c r="S186" s="231"/>
      <c r="T186" s="231"/>
      <c r="U186" s="231"/>
      <c r="V186" s="231"/>
      <c r="W186" s="231"/>
      <c r="X186" s="227"/>
      <c r="Y186" s="232"/>
      <c r="Z186" s="232"/>
      <c r="AA186" s="232"/>
      <c r="AB186" s="232"/>
      <c r="AC186" s="227"/>
      <c r="AD186" s="227"/>
      <c r="AE186" s="231"/>
      <c r="AF186" s="227"/>
      <c r="AG186" s="232"/>
      <c r="AH186" s="232"/>
      <c r="AI186" s="232"/>
      <c r="AJ186" s="232"/>
      <c r="AK186" s="232"/>
      <c r="AL186" s="232"/>
      <c r="AM186" s="232"/>
      <c r="AN186" s="232"/>
      <c r="AO186" s="231"/>
      <c r="AP186" s="231"/>
      <c r="AQ186" s="227"/>
      <c r="AR186" s="231"/>
      <c r="AS186" s="227"/>
      <c r="AT186" s="227"/>
      <c r="AU186" s="227"/>
      <c r="AV186" s="227"/>
    </row>
    <row r="187">
      <c r="A187" s="227"/>
      <c r="B187" s="232"/>
      <c r="C187" s="227"/>
      <c r="D187" s="227"/>
      <c r="E187" s="231"/>
      <c r="F187" s="232"/>
      <c r="G187" s="227"/>
      <c r="H187" s="227"/>
      <c r="I187" s="227"/>
      <c r="J187" s="227"/>
      <c r="K187" s="227"/>
      <c r="L187" s="232"/>
      <c r="M187" s="232"/>
      <c r="N187" s="227"/>
      <c r="O187" s="227"/>
      <c r="P187" s="231"/>
      <c r="Q187" s="227"/>
      <c r="R187" s="231"/>
      <c r="S187" s="231"/>
      <c r="T187" s="231"/>
      <c r="U187" s="231"/>
      <c r="V187" s="231"/>
      <c r="W187" s="231"/>
      <c r="X187" s="227"/>
      <c r="Y187" s="232"/>
      <c r="Z187" s="232"/>
      <c r="AA187" s="232"/>
      <c r="AB187" s="232"/>
      <c r="AC187" s="227"/>
      <c r="AD187" s="227"/>
      <c r="AE187" s="231"/>
      <c r="AF187" s="227"/>
      <c r="AG187" s="232"/>
      <c r="AH187" s="232"/>
      <c r="AI187" s="232"/>
      <c r="AJ187" s="232"/>
      <c r="AK187" s="232"/>
      <c r="AL187" s="232"/>
      <c r="AM187" s="232"/>
      <c r="AN187" s="232"/>
      <c r="AO187" s="231"/>
      <c r="AP187" s="231"/>
      <c r="AQ187" s="227"/>
      <c r="AR187" s="231"/>
      <c r="AS187" s="227"/>
      <c r="AT187" s="227"/>
      <c r="AU187" s="227"/>
      <c r="AV187" s="227"/>
    </row>
    <row r="188">
      <c r="A188" s="227"/>
      <c r="B188" s="232"/>
      <c r="C188" s="227"/>
      <c r="D188" s="227"/>
      <c r="E188" s="231"/>
      <c r="F188" s="232"/>
      <c r="G188" s="227"/>
      <c r="H188" s="227"/>
      <c r="I188" s="227"/>
      <c r="J188" s="227"/>
      <c r="K188" s="227"/>
      <c r="L188" s="232"/>
      <c r="M188" s="232"/>
      <c r="N188" s="227"/>
      <c r="O188" s="227"/>
      <c r="P188" s="231"/>
      <c r="Q188" s="227"/>
      <c r="R188" s="231"/>
      <c r="S188" s="231"/>
      <c r="T188" s="231"/>
      <c r="U188" s="231"/>
      <c r="V188" s="231"/>
      <c r="W188" s="231"/>
      <c r="X188" s="227"/>
      <c r="Y188" s="232"/>
      <c r="Z188" s="232"/>
      <c r="AA188" s="232"/>
      <c r="AB188" s="232"/>
      <c r="AC188" s="227"/>
      <c r="AD188" s="227"/>
      <c r="AE188" s="231"/>
      <c r="AF188" s="227"/>
      <c r="AG188" s="232"/>
      <c r="AH188" s="232"/>
      <c r="AI188" s="232"/>
      <c r="AJ188" s="232"/>
      <c r="AK188" s="232"/>
      <c r="AL188" s="232"/>
      <c r="AM188" s="232"/>
      <c r="AN188" s="232"/>
      <c r="AO188" s="231"/>
      <c r="AP188" s="231"/>
      <c r="AQ188" s="227"/>
      <c r="AR188" s="231"/>
      <c r="AS188" s="227"/>
      <c r="AT188" s="227"/>
      <c r="AU188" s="227"/>
      <c r="AV188" s="227"/>
    </row>
    <row r="189">
      <c r="A189" s="227"/>
      <c r="B189" s="232"/>
      <c r="C189" s="227"/>
      <c r="D189" s="227"/>
      <c r="E189" s="231"/>
      <c r="F189" s="232"/>
      <c r="G189" s="227"/>
      <c r="H189" s="227"/>
      <c r="I189" s="227"/>
      <c r="J189" s="227"/>
      <c r="K189" s="227"/>
      <c r="L189" s="232"/>
      <c r="M189" s="232"/>
      <c r="N189" s="227"/>
      <c r="O189" s="227"/>
      <c r="P189" s="231"/>
      <c r="Q189" s="227"/>
      <c r="R189" s="231"/>
      <c r="S189" s="231"/>
      <c r="T189" s="231"/>
      <c r="U189" s="231"/>
      <c r="V189" s="231"/>
      <c r="W189" s="231"/>
      <c r="X189" s="227"/>
      <c r="Y189" s="232"/>
      <c r="Z189" s="232"/>
      <c r="AA189" s="232"/>
      <c r="AB189" s="232"/>
      <c r="AC189" s="227"/>
      <c r="AD189" s="227"/>
      <c r="AE189" s="231"/>
      <c r="AF189" s="227"/>
      <c r="AG189" s="232"/>
      <c r="AH189" s="232"/>
      <c r="AI189" s="232"/>
      <c r="AJ189" s="232"/>
      <c r="AK189" s="232"/>
      <c r="AL189" s="232"/>
      <c r="AM189" s="232"/>
      <c r="AN189" s="232"/>
      <c r="AO189" s="231"/>
      <c r="AP189" s="231"/>
      <c r="AQ189" s="227"/>
      <c r="AR189" s="231"/>
      <c r="AS189" s="227"/>
      <c r="AT189" s="227"/>
      <c r="AU189" s="227"/>
      <c r="AV189" s="227"/>
    </row>
    <row r="190">
      <c r="A190" s="227"/>
      <c r="B190" s="232"/>
      <c r="C190" s="227"/>
      <c r="D190" s="227"/>
      <c r="E190" s="231"/>
      <c r="F190" s="232"/>
      <c r="G190" s="227"/>
      <c r="H190" s="227"/>
      <c r="I190" s="227"/>
      <c r="J190" s="227"/>
      <c r="K190" s="227"/>
      <c r="L190" s="232"/>
      <c r="M190" s="232"/>
      <c r="N190" s="227"/>
      <c r="O190" s="227"/>
      <c r="P190" s="231"/>
      <c r="Q190" s="227"/>
      <c r="R190" s="231"/>
      <c r="S190" s="231"/>
      <c r="T190" s="231"/>
      <c r="U190" s="231"/>
      <c r="V190" s="231"/>
      <c r="W190" s="231"/>
      <c r="X190" s="227"/>
      <c r="Y190" s="232"/>
      <c r="Z190" s="232"/>
      <c r="AA190" s="232"/>
      <c r="AB190" s="232"/>
      <c r="AC190" s="227"/>
      <c r="AD190" s="227"/>
      <c r="AE190" s="231"/>
      <c r="AF190" s="227"/>
      <c r="AG190" s="232"/>
      <c r="AH190" s="232"/>
      <c r="AI190" s="232"/>
      <c r="AJ190" s="232"/>
      <c r="AK190" s="232"/>
      <c r="AL190" s="232"/>
      <c r="AM190" s="232"/>
      <c r="AN190" s="232"/>
      <c r="AO190" s="231"/>
      <c r="AP190" s="231"/>
      <c r="AQ190" s="227"/>
      <c r="AR190" s="231"/>
      <c r="AS190" s="227"/>
      <c r="AT190" s="227"/>
      <c r="AU190" s="227"/>
      <c r="AV190" s="227"/>
    </row>
    <row r="191">
      <c r="A191" s="227"/>
      <c r="B191" s="232"/>
      <c r="C191" s="227"/>
      <c r="D191" s="227"/>
      <c r="E191" s="231"/>
      <c r="F191" s="232"/>
      <c r="G191" s="227"/>
      <c r="H191" s="227"/>
      <c r="I191" s="227"/>
      <c r="J191" s="227"/>
      <c r="K191" s="227"/>
      <c r="L191" s="232"/>
      <c r="M191" s="232"/>
      <c r="N191" s="227"/>
      <c r="O191" s="227"/>
      <c r="P191" s="231"/>
      <c r="Q191" s="227"/>
      <c r="R191" s="231"/>
      <c r="S191" s="231"/>
      <c r="T191" s="231"/>
      <c r="U191" s="231"/>
      <c r="V191" s="231"/>
      <c r="W191" s="231"/>
      <c r="X191" s="227"/>
      <c r="Y191" s="232"/>
      <c r="Z191" s="232"/>
      <c r="AA191" s="232"/>
      <c r="AB191" s="232"/>
      <c r="AC191" s="227"/>
      <c r="AD191" s="227"/>
      <c r="AE191" s="231"/>
      <c r="AF191" s="227"/>
      <c r="AG191" s="232"/>
      <c r="AH191" s="232"/>
      <c r="AI191" s="232"/>
      <c r="AJ191" s="232"/>
      <c r="AK191" s="232"/>
      <c r="AL191" s="232"/>
      <c r="AM191" s="232"/>
      <c r="AN191" s="232"/>
      <c r="AO191" s="231"/>
      <c r="AP191" s="231"/>
      <c r="AQ191" s="227"/>
      <c r="AR191" s="231"/>
      <c r="AS191" s="227"/>
      <c r="AT191" s="227"/>
      <c r="AU191" s="227"/>
      <c r="AV191" s="227"/>
    </row>
    <row r="192">
      <c r="A192" s="227"/>
      <c r="B192" s="232"/>
      <c r="C192" s="227"/>
      <c r="D192" s="227"/>
      <c r="E192" s="231"/>
      <c r="F192" s="232"/>
      <c r="G192" s="227"/>
      <c r="H192" s="227"/>
      <c r="I192" s="227"/>
      <c r="J192" s="227"/>
      <c r="K192" s="227"/>
      <c r="L192" s="232"/>
      <c r="M192" s="232"/>
      <c r="N192" s="227"/>
      <c r="O192" s="227"/>
      <c r="P192" s="231"/>
      <c r="Q192" s="227"/>
      <c r="R192" s="231"/>
      <c r="S192" s="231"/>
      <c r="T192" s="231"/>
      <c r="U192" s="231"/>
      <c r="V192" s="231"/>
      <c r="W192" s="231"/>
      <c r="X192" s="227"/>
      <c r="Y192" s="232"/>
      <c r="Z192" s="232"/>
      <c r="AA192" s="232"/>
      <c r="AB192" s="232"/>
      <c r="AC192" s="227"/>
      <c r="AD192" s="227"/>
      <c r="AE192" s="231"/>
      <c r="AF192" s="227"/>
      <c r="AG192" s="232"/>
      <c r="AH192" s="232"/>
      <c r="AI192" s="232"/>
      <c r="AJ192" s="232"/>
      <c r="AK192" s="232"/>
      <c r="AL192" s="232"/>
      <c r="AM192" s="232"/>
      <c r="AN192" s="232"/>
      <c r="AO192" s="231"/>
      <c r="AP192" s="231"/>
      <c r="AQ192" s="227"/>
      <c r="AR192" s="231"/>
      <c r="AS192" s="227"/>
      <c r="AT192" s="227"/>
      <c r="AU192" s="227"/>
      <c r="AV192" s="227"/>
    </row>
    <row r="193">
      <c r="A193" s="227"/>
      <c r="B193" s="232"/>
      <c r="C193" s="227"/>
      <c r="D193" s="227"/>
      <c r="E193" s="231"/>
      <c r="F193" s="232"/>
      <c r="G193" s="227"/>
      <c r="H193" s="227"/>
      <c r="I193" s="227"/>
      <c r="J193" s="227"/>
      <c r="K193" s="227"/>
      <c r="L193" s="232"/>
      <c r="M193" s="232"/>
      <c r="N193" s="227"/>
      <c r="O193" s="227"/>
      <c r="P193" s="231"/>
      <c r="Q193" s="227"/>
      <c r="R193" s="231"/>
      <c r="S193" s="231"/>
      <c r="T193" s="231"/>
      <c r="U193" s="231"/>
      <c r="V193" s="231"/>
      <c r="W193" s="231"/>
      <c r="X193" s="227"/>
      <c r="Y193" s="232"/>
      <c r="Z193" s="232"/>
      <c r="AA193" s="232"/>
      <c r="AB193" s="232"/>
      <c r="AC193" s="227"/>
      <c r="AD193" s="227"/>
      <c r="AE193" s="231"/>
      <c r="AF193" s="227"/>
      <c r="AG193" s="232"/>
      <c r="AH193" s="232"/>
      <c r="AI193" s="232"/>
      <c r="AJ193" s="232"/>
      <c r="AK193" s="232"/>
      <c r="AL193" s="232"/>
      <c r="AM193" s="232"/>
      <c r="AN193" s="232"/>
      <c r="AO193" s="231"/>
      <c r="AP193" s="231"/>
      <c r="AQ193" s="227"/>
      <c r="AR193" s="231"/>
      <c r="AS193" s="227"/>
      <c r="AT193" s="227"/>
      <c r="AU193" s="227"/>
      <c r="AV193" s="227"/>
    </row>
    <row r="194">
      <c r="A194" s="227"/>
      <c r="B194" s="232"/>
      <c r="C194" s="227"/>
      <c r="D194" s="227"/>
      <c r="E194" s="231"/>
      <c r="F194" s="232"/>
      <c r="G194" s="227"/>
      <c r="H194" s="227"/>
      <c r="I194" s="227"/>
      <c r="J194" s="227"/>
      <c r="K194" s="227"/>
      <c r="L194" s="232"/>
      <c r="M194" s="232"/>
      <c r="N194" s="227"/>
      <c r="O194" s="227"/>
      <c r="P194" s="231"/>
      <c r="Q194" s="227"/>
      <c r="R194" s="231"/>
      <c r="S194" s="231"/>
      <c r="T194" s="231"/>
      <c r="U194" s="231"/>
      <c r="V194" s="231"/>
      <c r="W194" s="231"/>
      <c r="X194" s="227"/>
      <c r="Y194" s="232"/>
      <c r="Z194" s="232"/>
      <c r="AA194" s="232"/>
      <c r="AB194" s="232"/>
      <c r="AC194" s="227"/>
      <c r="AD194" s="227"/>
      <c r="AE194" s="231"/>
      <c r="AF194" s="227"/>
      <c r="AG194" s="232"/>
      <c r="AH194" s="232"/>
      <c r="AI194" s="232"/>
      <c r="AJ194" s="232"/>
      <c r="AK194" s="232"/>
      <c r="AL194" s="232"/>
      <c r="AM194" s="232"/>
      <c r="AN194" s="232"/>
      <c r="AO194" s="231"/>
      <c r="AP194" s="231"/>
      <c r="AQ194" s="227"/>
      <c r="AR194" s="231"/>
      <c r="AS194" s="227"/>
      <c r="AT194" s="227"/>
      <c r="AU194" s="227"/>
      <c r="AV194" s="227"/>
    </row>
    <row r="195">
      <c r="A195" s="227"/>
      <c r="B195" s="232"/>
      <c r="C195" s="227"/>
      <c r="D195" s="227"/>
      <c r="E195" s="231"/>
      <c r="F195" s="232"/>
      <c r="G195" s="227"/>
      <c r="H195" s="227"/>
      <c r="I195" s="227"/>
      <c r="J195" s="227"/>
      <c r="K195" s="227"/>
      <c r="L195" s="232"/>
      <c r="M195" s="232"/>
      <c r="N195" s="227"/>
      <c r="O195" s="227"/>
      <c r="P195" s="231"/>
      <c r="Q195" s="227"/>
      <c r="R195" s="231"/>
      <c r="S195" s="231"/>
      <c r="T195" s="231"/>
      <c r="U195" s="231"/>
      <c r="V195" s="231"/>
      <c r="W195" s="231"/>
      <c r="X195" s="227"/>
      <c r="Y195" s="232"/>
      <c r="Z195" s="232"/>
      <c r="AA195" s="232"/>
      <c r="AB195" s="232"/>
      <c r="AC195" s="227"/>
      <c r="AD195" s="227"/>
      <c r="AE195" s="231"/>
      <c r="AF195" s="227"/>
      <c r="AG195" s="232"/>
      <c r="AH195" s="232"/>
      <c r="AI195" s="232"/>
      <c r="AJ195" s="232"/>
      <c r="AK195" s="232"/>
      <c r="AL195" s="232"/>
      <c r="AM195" s="232"/>
      <c r="AN195" s="232"/>
      <c r="AO195" s="231"/>
      <c r="AP195" s="231"/>
      <c r="AQ195" s="227"/>
      <c r="AR195" s="231"/>
      <c r="AS195" s="227"/>
      <c r="AT195" s="227"/>
      <c r="AU195" s="227"/>
      <c r="AV195" s="227"/>
    </row>
    <row r="196">
      <c r="A196" s="227"/>
      <c r="B196" s="232"/>
      <c r="C196" s="227"/>
      <c r="D196" s="227"/>
      <c r="E196" s="231"/>
      <c r="F196" s="232"/>
      <c r="G196" s="227"/>
      <c r="H196" s="227"/>
      <c r="I196" s="227"/>
      <c r="J196" s="227"/>
      <c r="K196" s="227"/>
      <c r="L196" s="232"/>
      <c r="M196" s="232"/>
      <c r="N196" s="227"/>
      <c r="O196" s="227"/>
      <c r="P196" s="231"/>
      <c r="Q196" s="227"/>
      <c r="R196" s="231"/>
      <c r="S196" s="231"/>
      <c r="T196" s="231"/>
      <c r="U196" s="231"/>
      <c r="V196" s="231"/>
      <c r="W196" s="231"/>
      <c r="X196" s="227"/>
      <c r="Y196" s="232"/>
      <c r="Z196" s="232"/>
      <c r="AA196" s="232"/>
      <c r="AB196" s="232"/>
      <c r="AC196" s="227"/>
      <c r="AD196" s="227"/>
      <c r="AE196" s="231"/>
      <c r="AF196" s="227"/>
      <c r="AG196" s="232"/>
      <c r="AH196" s="232"/>
      <c r="AI196" s="232"/>
      <c r="AJ196" s="232"/>
      <c r="AK196" s="232"/>
      <c r="AL196" s="232"/>
      <c r="AM196" s="232"/>
      <c r="AN196" s="232"/>
      <c r="AO196" s="231"/>
      <c r="AP196" s="231"/>
      <c r="AQ196" s="227"/>
      <c r="AR196" s="231"/>
      <c r="AS196" s="227"/>
      <c r="AT196" s="227"/>
      <c r="AU196" s="227"/>
      <c r="AV196" s="227"/>
    </row>
    <row r="197">
      <c r="A197" s="227"/>
      <c r="B197" s="232"/>
      <c r="C197" s="227"/>
      <c r="D197" s="227"/>
      <c r="E197" s="231"/>
      <c r="F197" s="232"/>
      <c r="G197" s="227"/>
      <c r="H197" s="227"/>
      <c r="I197" s="227"/>
      <c r="J197" s="227"/>
      <c r="K197" s="227"/>
      <c r="L197" s="232"/>
      <c r="M197" s="232"/>
      <c r="N197" s="227"/>
      <c r="O197" s="227"/>
      <c r="P197" s="231"/>
      <c r="Q197" s="227"/>
      <c r="R197" s="231"/>
      <c r="S197" s="231"/>
      <c r="T197" s="231"/>
      <c r="U197" s="231"/>
      <c r="V197" s="231"/>
      <c r="W197" s="231"/>
      <c r="X197" s="227"/>
      <c r="Y197" s="232"/>
      <c r="Z197" s="232"/>
      <c r="AA197" s="232"/>
      <c r="AB197" s="232"/>
      <c r="AC197" s="227"/>
      <c r="AD197" s="227"/>
      <c r="AE197" s="231"/>
      <c r="AF197" s="227"/>
      <c r="AG197" s="232"/>
      <c r="AH197" s="232"/>
      <c r="AI197" s="232"/>
      <c r="AJ197" s="232"/>
      <c r="AK197" s="232"/>
      <c r="AL197" s="232"/>
      <c r="AM197" s="232"/>
      <c r="AN197" s="232"/>
      <c r="AO197" s="231"/>
      <c r="AP197" s="231"/>
      <c r="AQ197" s="227"/>
      <c r="AR197" s="231"/>
      <c r="AS197" s="227"/>
      <c r="AT197" s="227"/>
      <c r="AU197" s="227"/>
      <c r="AV197" s="227"/>
    </row>
    <row r="198">
      <c r="A198" s="227"/>
      <c r="B198" s="232"/>
      <c r="C198" s="227"/>
      <c r="D198" s="227"/>
      <c r="E198" s="231"/>
      <c r="F198" s="232"/>
      <c r="G198" s="227"/>
      <c r="H198" s="227"/>
      <c r="I198" s="227"/>
      <c r="J198" s="227"/>
      <c r="K198" s="227"/>
      <c r="L198" s="232"/>
      <c r="M198" s="232"/>
      <c r="N198" s="227"/>
      <c r="O198" s="227"/>
      <c r="P198" s="231"/>
      <c r="Q198" s="227"/>
      <c r="R198" s="231"/>
      <c r="S198" s="231"/>
      <c r="T198" s="231"/>
      <c r="U198" s="231"/>
      <c r="V198" s="231"/>
      <c r="W198" s="231"/>
      <c r="X198" s="227"/>
      <c r="Y198" s="232"/>
      <c r="Z198" s="232"/>
      <c r="AA198" s="232"/>
      <c r="AB198" s="232"/>
      <c r="AC198" s="227"/>
      <c r="AD198" s="227"/>
      <c r="AE198" s="231"/>
      <c r="AF198" s="227"/>
      <c r="AG198" s="232"/>
      <c r="AH198" s="232"/>
      <c r="AI198" s="232"/>
      <c r="AJ198" s="232"/>
      <c r="AK198" s="232"/>
      <c r="AL198" s="232"/>
      <c r="AM198" s="232"/>
      <c r="AN198" s="232"/>
      <c r="AO198" s="231"/>
      <c r="AP198" s="231"/>
      <c r="AQ198" s="227"/>
      <c r="AR198" s="231"/>
      <c r="AS198" s="227"/>
      <c r="AT198" s="227"/>
      <c r="AU198" s="227"/>
      <c r="AV198" s="227"/>
    </row>
    <row r="199">
      <c r="A199" s="227"/>
      <c r="B199" s="232"/>
      <c r="C199" s="227"/>
      <c r="D199" s="227"/>
      <c r="E199" s="231"/>
      <c r="F199" s="232"/>
      <c r="G199" s="227"/>
      <c r="H199" s="227"/>
      <c r="I199" s="227"/>
      <c r="J199" s="227"/>
      <c r="K199" s="227"/>
      <c r="L199" s="232"/>
      <c r="M199" s="232"/>
      <c r="N199" s="227"/>
      <c r="O199" s="227"/>
      <c r="P199" s="231"/>
      <c r="Q199" s="227"/>
      <c r="R199" s="231"/>
      <c r="S199" s="231"/>
      <c r="T199" s="231"/>
      <c r="U199" s="231"/>
      <c r="V199" s="231"/>
      <c r="W199" s="231"/>
      <c r="X199" s="227"/>
      <c r="Y199" s="232"/>
      <c r="Z199" s="232"/>
      <c r="AA199" s="232"/>
      <c r="AB199" s="232"/>
      <c r="AC199" s="227"/>
      <c r="AD199" s="227"/>
      <c r="AE199" s="231"/>
      <c r="AF199" s="227"/>
      <c r="AG199" s="232"/>
      <c r="AH199" s="232"/>
      <c r="AI199" s="232"/>
      <c r="AJ199" s="232"/>
      <c r="AK199" s="232"/>
      <c r="AL199" s="232"/>
      <c r="AM199" s="232"/>
      <c r="AN199" s="232"/>
      <c r="AO199" s="231"/>
      <c r="AP199" s="231"/>
      <c r="AQ199" s="227"/>
      <c r="AR199" s="231"/>
      <c r="AS199" s="227"/>
      <c r="AT199" s="227"/>
      <c r="AU199" s="227"/>
      <c r="AV199" s="227"/>
    </row>
    <row r="200">
      <c r="A200" s="227"/>
      <c r="B200" s="232"/>
      <c r="C200" s="227"/>
      <c r="D200" s="227"/>
      <c r="E200" s="231"/>
      <c r="F200" s="232"/>
      <c r="G200" s="227"/>
      <c r="H200" s="227"/>
      <c r="I200" s="227"/>
      <c r="J200" s="227"/>
      <c r="K200" s="227"/>
      <c r="L200" s="232"/>
      <c r="M200" s="232"/>
      <c r="N200" s="227"/>
      <c r="O200" s="227"/>
      <c r="P200" s="231"/>
      <c r="Q200" s="227"/>
      <c r="R200" s="231"/>
      <c r="S200" s="231"/>
      <c r="T200" s="231"/>
      <c r="U200" s="231"/>
      <c r="V200" s="231"/>
      <c r="W200" s="231"/>
      <c r="X200" s="227"/>
      <c r="Y200" s="232"/>
      <c r="Z200" s="232"/>
      <c r="AA200" s="232"/>
      <c r="AB200" s="232"/>
      <c r="AC200" s="227"/>
      <c r="AD200" s="227"/>
      <c r="AE200" s="231"/>
      <c r="AF200" s="227"/>
      <c r="AG200" s="232"/>
      <c r="AH200" s="232"/>
      <c r="AI200" s="232"/>
      <c r="AJ200" s="232"/>
      <c r="AK200" s="232"/>
      <c r="AL200" s="232"/>
      <c r="AM200" s="232"/>
      <c r="AN200" s="232"/>
      <c r="AO200" s="231"/>
      <c r="AP200" s="231"/>
      <c r="AQ200" s="227"/>
      <c r="AR200" s="231"/>
      <c r="AS200" s="227"/>
      <c r="AT200" s="227"/>
      <c r="AU200" s="227"/>
      <c r="AV200" s="227"/>
    </row>
    <row r="201">
      <c r="A201" s="227"/>
      <c r="B201" s="232"/>
      <c r="C201" s="227"/>
      <c r="D201" s="227"/>
      <c r="E201" s="231"/>
      <c r="F201" s="232"/>
      <c r="G201" s="227"/>
      <c r="H201" s="227"/>
      <c r="I201" s="227"/>
      <c r="J201" s="227"/>
      <c r="K201" s="227"/>
      <c r="L201" s="232"/>
      <c r="M201" s="232"/>
      <c r="N201" s="227"/>
      <c r="O201" s="227"/>
      <c r="P201" s="231"/>
      <c r="Q201" s="227"/>
      <c r="R201" s="231"/>
      <c r="S201" s="231"/>
      <c r="T201" s="231"/>
      <c r="U201" s="231"/>
      <c r="V201" s="231"/>
      <c r="W201" s="231"/>
      <c r="X201" s="227"/>
      <c r="Y201" s="232"/>
      <c r="Z201" s="232"/>
      <c r="AA201" s="232"/>
      <c r="AB201" s="232"/>
      <c r="AC201" s="227"/>
      <c r="AD201" s="227"/>
      <c r="AE201" s="231"/>
      <c r="AF201" s="227"/>
      <c r="AG201" s="232"/>
      <c r="AH201" s="232"/>
      <c r="AI201" s="232"/>
      <c r="AJ201" s="232"/>
      <c r="AK201" s="232"/>
      <c r="AL201" s="232"/>
      <c r="AM201" s="232"/>
      <c r="AN201" s="232"/>
      <c r="AO201" s="231"/>
      <c r="AP201" s="231"/>
      <c r="AQ201" s="227"/>
      <c r="AR201" s="231"/>
      <c r="AS201" s="227"/>
      <c r="AT201" s="227"/>
      <c r="AU201" s="227"/>
      <c r="AV201" s="227"/>
    </row>
    <row r="202">
      <c r="A202" s="227"/>
      <c r="B202" s="232"/>
      <c r="C202" s="227"/>
      <c r="D202" s="227"/>
      <c r="E202" s="231"/>
      <c r="F202" s="232"/>
      <c r="G202" s="227"/>
      <c r="H202" s="227"/>
      <c r="I202" s="227"/>
      <c r="J202" s="227"/>
      <c r="K202" s="227"/>
      <c r="L202" s="232"/>
      <c r="M202" s="232"/>
      <c r="N202" s="227"/>
      <c r="O202" s="227"/>
      <c r="P202" s="231"/>
      <c r="Q202" s="227"/>
      <c r="R202" s="231"/>
      <c r="S202" s="231"/>
      <c r="T202" s="231"/>
      <c r="U202" s="231"/>
      <c r="V202" s="231"/>
      <c r="W202" s="231"/>
      <c r="X202" s="227"/>
      <c r="Y202" s="232"/>
      <c r="Z202" s="232"/>
      <c r="AA202" s="232"/>
      <c r="AB202" s="232"/>
      <c r="AC202" s="227"/>
      <c r="AD202" s="227"/>
      <c r="AE202" s="231"/>
      <c r="AF202" s="227"/>
      <c r="AG202" s="232"/>
      <c r="AH202" s="232"/>
      <c r="AI202" s="232"/>
      <c r="AJ202" s="232"/>
      <c r="AK202" s="232"/>
      <c r="AL202" s="232"/>
      <c r="AM202" s="232"/>
      <c r="AN202" s="232"/>
      <c r="AO202" s="231"/>
      <c r="AP202" s="231"/>
      <c r="AQ202" s="227"/>
      <c r="AR202" s="231"/>
      <c r="AS202" s="227"/>
      <c r="AT202" s="227"/>
      <c r="AU202" s="227"/>
      <c r="AV202" s="227"/>
    </row>
    <row r="203">
      <c r="A203" s="227"/>
      <c r="B203" s="232"/>
      <c r="C203" s="227"/>
      <c r="D203" s="227"/>
      <c r="E203" s="231"/>
      <c r="F203" s="232"/>
      <c r="G203" s="227"/>
      <c r="H203" s="227"/>
      <c r="I203" s="227"/>
      <c r="J203" s="227"/>
      <c r="K203" s="227"/>
      <c r="L203" s="232"/>
      <c r="M203" s="232"/>
      <c r="N203" s="227"/>
      <c r="O203" s="227"/>
      <c r="P203" s="231"/>
      <c r="Q203" s="227"/>
      <c r="R203" s="231"/>
      <c r="S203" s="231"/>
      <c r="T203" s="231"/>
      <c r="U203" s="231"/>
      <c r="V203" s="231"/>
      <c r="W203" s="231"/>
      <c r="X203" s="227"/>
      <c r="Y203" s="232"/>
      <c r="Z203" s="232"/>
      <c r="AA203" s="232"/>
      <c r="AB203" s="232"/>
      <c r="AC203" s="227"/>
      <c r="AD203" s="227"/>
      <c r="AE203" s="231"/>
      <c r="AF203" s="227"/>
      <c r="AG203" s="232"/>
      <c r="AH203" s="232"/>
      <c r="AI203" s="232"/>
      <c r="AJ203" s="232"/>
      <c r="AK203" s="232"/>
      <c r="AL203" s="232"/>
      <c r="AM203" s="232"/>
      <c r="AN203" s="232"/>
      <c r="AO203" s="231"/>
      <c r="AP203" s="231"/>
      <c r="AQ203" s="227"/>
      <c r="AR203" s="231"/>
      <c r="AS203" s="227"/>
      <c r="AT203" s="227"/>
      <c r="AU203" s="227"/>
      <c r="AV203" s="227"/>
    </row>
    <row r="204">
      <c r="A204" s="227"/>
      <c r="B204" s="232"/>
      <c r="C204" s="227"/>
      <c r="D204" s="227"/>
      <c r="E204" s="231"/>
      <c r="F204" s="232"/>
      <c r="G204" s="227"/>
      <c r="H204" s="227"/>
      <c r="I204" s="227"/>
      <c r="J204" s="227"/>
      <c r="K204" s="227"/>
      <c r="L204" s="232"/>
      <c r="M204" s="232"/>
      <c r="N204" s="227"/>
      <c r="O204" s="227"/>
      <c r="P204" s="231"/>
      <c r="Q204" s="227"/>
      <c r="R204" s="231"/>
      <c r="S204" s="231"/>
      <c r="T204" s="231"/>
      <c r="U204" s="231"/>
      <c r="V204" s="231"/>
      <c r="W204" s="231"/>
      <c r="X204" s="227"/>
      <c r="Y204" s="232"/>
      <c r="Z204" s="232"/>
      <c r="AA204" s="232"/>
      <c r="AB204" s="232"/>
      <c r="AC204" s="227"/>
      <c r="AD204" s="227"/>
      <c r="AE204" s="231"/>
      <c r="AF204" s="227"/>
      <c r="AG204" s="232"/>
      <c r="AH204" s="232"/>
      <c r="AI204" s="232"/>
      <c r="AJ204" s="232"/>
      <c r="AK204" s="232"/>
      <c r="AL204" s="232"/>
      <c r="AM204" s="232"/>
      <c r="AN204" s="232"/>
      <c r="AO204" s="231"/>
      <c r="AP204" s="231"/>
      <c r="AQ204" s="227"/>
      <c r="AR204" s="227"/>
      <c r="AS204" s="227"/>
      <c r="AT204" s="227"/>
      <c r="AU204" s="227"/>
      <c r="AV204" s="227"/>
    </row>
    <row r="205">
      <c r="A205" s="227"/>
      <c r="B205" s="232"/>
      <c r="C205" s="227"/>
      <c r="D205" s="227"/>
      <c r="E205" s="231"/>
      <c r="F205" s="232"/>
      <c r="G205" s="227"/>
      <c r="H205" s="227"/>
      <c r="I205" s="227"/>
      <c r="J205" s="227"/>
      <c r="K205" s="227"/>
      <c r="L205" s="232"/>
      <c r="M205" s="232"/>
      <c r="N205" s="227"/>
      <c r="O205" s="227"/>
      <c r="P205" s="231"/>
      <c r="Q205" s="227"/>
      <c r="R205" s="231"/>
      <c r="S205" s="231"/>
      <c r="T205" s="231"/>
      <c r="U205" s="231"/>
      <c r="V205" s="231"/>
      <c r="W205" s="231"/>
      <c r="X205" s="227"/>
      <c r="Y205" s="232"/>
      <c r="Z205" s="232"/>
      <c r="AA205" s="232"/>
      <c r="AB205" s="232"/>
      <c r="AC205" s="227"/>
      <c r="AD205" s="227"/>
      <c r="AE205" s="231"/>
      <c r="AF205" s="227"/>
      <c r="AG205" s="232"/>
      <c r="AH205" s="232"/>
      <c r="AI205" s="232"/>
      <c r="AJ205" s="232"/>
      <c r="AK205" s="232"/>
      <c r="AL205" s="232"/>
      <c r="AM205" s="232"/>
      <c r="AN205" s="232"/>
      <c r="AO205" s="231"/>
      <c r="AP205" s="231"/>
      <c r="AQ205" s="227"/>
      <c r="AR205" s="231"/>
      <c r="AS205" s="227"/>
      <c r="AT205" s="227"/>
      <c r="AU205" s="227"/>
      <c r="AV205" s="227"/>
    </row>
    <row r="206">
      <c r="A206" s="227"/>
      <c r="B206" s="232"/>
      <c r="C206" s="227"/>
      <c r="D206" s="227"/>
      <c r="E206" s="231"/>
      <c r="F206" s="232"/>
      <c r="G206" s="227"/>
      <c r="H206" s="227"/>
      <c r="I206" s="227"/>
      <c r="J206" s="227"/>
      <c r="K206" s="227"/>
      <c r="L206" s="232"/>
      <c r="M206" s="232"/>
      <c r="N206" s="227"/>
      <c r="O206" s="227"/>
      <c r="P206" s="231"/>
      <c r="Q206" s="227"/>
      <c r="R206" s="231"/>
      <c r="S206" s="231"/>
      <c r="T206" s="231"/>
      <c r="U206" s="231"/>
      <c r="V206" s="231"/>
      <c r="W206" s="231"/>
      <c r="X206" s="227"/>
      <c r="Y206" s="232"/>
      <c r="Z206" s="232"/>
      <c r="AA206" s="232"/>
      <c r="AB206" s="232"/>
      <c r="AC206" s="227"/>
      <c r="AD206" s="227"/>
      <c r="AE206" s="231"/>
      <c r="AF206" s="227"/>
      <c r="AG206" s="232"/>
      <c r="AH206" s="232"/>
      <c r="AI206" s="232"/>
      <c r="AJ206" s="232"/>
      <c r="AK206" s="232"/>
      <c r="AL206" s="232"/>
      <c r="AM206" s="232"/>
      <c r="AN206" s="232"/>
      <c r="AO206" s="231"/>
      <c r="AP206" s="231"/>
      <c r="AQ206" s="227"/>
      <c r="AR206" s="231"/>
      <c r="AS206" s="227"/>
      <c r="AT206" s="227"/>
      <c r="AU206" s="227"/>
      <c r="AV206" s="227"/>
    </row>
    <row r="207">
      <c r="A207" s="227"/>
      <c r="B207" s="232"/>
      <c r="C207" s="227"/>
      <c r="D207" s="227"/>
      <c r="E207" s="231"/>
      <c r="F207" s="232"/>
      <c r="G207" s="227"/>
      <c r="H207" s="227"/>
      <c r="I207" s="227"/>
      <c r="J207" s="227"/>
      <c r="K207" s="227"/>
      <c r="L207" s="232"/>
      <c r="M207" s="232"/>
      <c r="N207" s="227"/>
      <c r="O207" s="227"/>
      <c r="P207" s="231"/>
      <c r="Q207" s="227"/>
      <c r="R207" s="231"/>
      <c r="S207" s="231"/>
      <c r="T207" s="231"/>
      <c r="U207" s="231"/>
      <c r="V207" s="231"/>
      <c r="W207" s="231"/>
      <c r="X207" s="227"/>
      <c r="Y207" s="232"/>
      <c r="Z207" s="232"/>
      <c r="AA207" s="232"/>
      <c r="AB207" s="232"/>
      <c r="AC207" s="227"/>
      <c r="AD207" s="227"/>
      <c r="AE207" s="231"/>
      <c r="AF207" s="227"/>
      <c r="AG207" s="232"/>
      <c r="AH207" s="232"/>
      <c r="AI207" s="232"/>
      <c r="AJ207" s="232"/>
      <c r="AK207" s="232"/>
      <c r="AL207" s="232"/>
      <c r="AM207" s="232"/>
      <c r="AN207" s="232"/>
      <c r="AO207" s="231"/>
      <c r="AP207" s="231"/>
      <c r="AQ207" s="227"/>
      <c r="AR207" s="231"/>
      <c r="AS207" s="227"/>
      <c r="AT207" s="227"/>
      <c r="AU207" s="227"/>
      <c r="AV207" s="227"/>
    </row>
    <row r="208">
      <c r="A208" s="227"/>
      <c r="B208" s="232"/>
      <c r="C208" s="227"/>
      <c r="D208" s="227"/>
      <c r="E208" s="231"/>
      <c r="F208" s="232"/>
      <c r="G208" s="227"/>
      <c r="H208" s="227"/>
      <c r="I208" s="227"/>
      <c r="J208" s="227"/>
      <c r="K208" s="227"/>
      <c r="L208" s="232"/>
      <c r="M208" s="232"/>
      <c r="N208" s="227"/>
      <c r="O208" s="227"/>
      <c r="P208" s="231"/>
      <c r="Q208" s="227"/>
      <c r="R208" s="231"/>
      <c r="S208" s="231"/>
      <c r="T208" s="231"/>
      <c r="U208" s="231"/>
      <c r="V208" s="231"/>
      <c r="W208" s="231"/>
      <c r="X208" s="227"/>
      <c r="Y208" s="232"/>
      <c r="Z208" s="232"/>
      <c r="AA208" s="232"/>
      <c r="AB208" s="232"/>
      <c r="AC208" s="227"/>
      <c r="AD208" s="227"/>
      <c r="AE208" s="231"/>
      <c r="AF208" s="227"/>
      <c r="AG208" s="232"/>
      <c r="AH208" s="232"/>
      <c r="AI208" s="232"/>
      <c r="AJ208" s="232"/>
      <c r="AK208" s="232"/>
      <c r="AL208" s="232"/>
      <c r="AM208" s="232"/>
      <c r="AN208" s="232"/>
      <c r="AO208" s="231"/>
      <c r="AP208" s="231"/>
      <c r="AQ208" s="227"/>
      <c r="AR208" s="231"/>
      <c r="AS208" s="227"/>
      <c r="AT208" s="227"/>
      <c r="AU208" s="227"/>
      <c r="AV208" s="227"/>
    </row>
    <row r="209">
      <c r="A209" s="227"/>
      <c r="B209" s="232"/>
      <c r="C209" s="227"/>
      <c r="D209" s="227"/>
      <c r="E209" s="231"/>
      <c r="F209" s="232"/>
      <c r="G209" s="227"/>
      <c r="H209" s="227"/>
      <c r="I209" s="227"/>
      <c r="J209" s="227"/>
      <c r="K209" s="227"/>
      <c r="L209" s="232"/>
      <c r="M209" s="232"/>
      <c r="N209" s="227"/>
      <c r="O209" s="227"/>
      <c r="P209" s="231"/>
      <c r="Q209" s="227"/>
      <c r="R209" s="231"/>
      <c r="S209" s="231"/>
      <c r="T209" s="231"/>
      <c r="U209" s="231"/>
      <c r="V209" s="231"/>
      <c r="W209" s="231"/>
      <c r="X209" s="227"/>
      <c r="Y209" s="232"/>
      <c r="Z209" s="232"/>
      <c r="AA209" s="232"/>
      <c r="AB209" s="232"/>
      <c r="AC209" s="227"/>
      <c r="AD209" s="227"/>
      <c r="AE209" s="231"/>
      <c r="AF209" s="227"/>
      <c r="AG209" s="232"/>
      <c r="AH209" s="232"/>
      <c r="AI209" s="232"/>
      <c r="AJ209" s="232"/>
      <c r="AK209" s="232"/>
      <c r="AL209" s="232"/>
      <c r="AM209" s="232"/>
      <c r="AN209" s="232"/>
      <c r="AO209" s="231"/>
      <c r="AP209" s="231"/>
      <c r="AQ209" s="227"/>
      <c r="AR209" s="231"/>
      <c r="AS209" s="227"/>
      <c r="AT209" s="227"/>
      <c r="AU209" s="227"/>
      <c r="AV209" s="227"/>
    </row>
    <row r="210">
      <c r="A210" s="227"/>
      <c r="B210" s="232"/>
      <c r="C210" s="227"/>
      <c r="D210" s="227"/>
      <c r="E210" s="231"/>
      <c r="F210" s="232"/>
      <c r="G210" s="227"/>
      <c r="H210" s="227"/>
      <c r="I210" s="227"/>
      <c r="J210" s="227"/>
      <c r="K210" s="227"/>
      <c r="L210" s="232"/>
      <c r="M210" s="232"/>
      <c r="N210" s="227"/>
      <c r="O210" s="227"/>
      <c r="P210" s="231"/>
      <c r="Q210" s="227"/>
      <c r="R210" s="231"/>
      <c r="S210" s="231"/>
      <c r="T210" s="231"/>
      <c r="U210" s="231"/>
      <c r="V210" s="231"/>
      <c r="W210" s="231"/>
      <c r="X210" s="227"/>
      <c r="Y210" s="232"/>
      <c r="Z210" s="232"/>
      <c r="AA210" s="232"/>
      <c r="AB210" s="232"/>
      <c r="AC210" s="227"/>
      <c r="AD210" s="227"/>
      <c r="AE210" s="231"/>
      <c r="AF210" s="227"/>
      <c r="AG210" s="232"/>
      <c r="AH210" s="232"/>
      <c r="AI210" s="232"/>
      <c r="AJ210" s="232"/>
      <c r="AK210" s="232"/>
      <c r="AL210" s="232"/>
      <c r="AM210" s="232"/>
      <c r="AN210" s="232"/>
      <c r="AO210" s="231"/>
      <c r="AP210" s="231"/>
      <c r="AQ210" s="227"/>
      <c r="AR210" s="231"/>
      <c r="AS210" s="227"/>
      <c r="AT210" s="227"/>
      <c r="AU210" s="227"/>
      <c r="AV210" s="227"/>
    </row>
    <row r="211">
      <c r="A211" s="227"/>
      <c r="B211" s="232"/>
      <c r="C211" s="227"/>
      <c r="D211" s="227"/>
      <c r="E211" s="231"/>
      <c r="F211" s="232"/>
      <c r="G211" s="227"/>
      <c r="H211" s="227"/>
      <c r="I211" s="227"/>
      <c r="J211" s="227"/>
      <c r="K211" s="227"/>
      <c r="L211" s="232"/>
      <c r="M211" s="232"/>
      <c r="N211" s="227"/>
      <c r="O211" s="227"/>
      <c r="P211" s="231"/>
      <c r="Q211" s="227"/>
      <c r="R211" s="231"/>
      <c r="S211" s="231"/>
      <c r="T211" s="231"/>
      <c r="U211" s="231"/>
      <c r="V211" s="231"/>
      <c r="W211" s="231"/>
      <c r="X211" s="227"/>
      <c r="Y211" s="232"/>
      <c r="Z211" s="232"/>
      <c r="AA211" s="232"/>
      <c r="AB211" s="232"/>
      <c r="AC211" s="227"/>
      <c r="AD211" s="227"/>
      <c r="AE211" s="231"/>
      <c r="AF211" s="227"/>
      <c r="AG211" s="232"/>
      <c r="AH211" s="232"/>
      <c r="AI211" s="232"/>
      <c r="AJ211" s="232"/>
      <c r="AK211" s="232"/>
      <c r="AL211" s="232"/>
      <c r="AM211" s="232"/>
      <c r="AN211" s="232"/>
      <c r="AO211" s="231"/>
      <c r="AP211" s="231"/>
      <c r="AQ211" s="227"/>
      <c r="AR211" s="231"/>
      <c r="AS211" s="227"/>
      <c r="AT211" s="227"/>
      <c r="AU211" s="227"/>
      <c r="AV211" s="227"/>
    </row>
    <row r="212">
      <c r="A212" s="227"/>
      <c r="B212" s="232"/>
      <c r="C212" s="227"/>
      <c r="D212" s="227"/>
      <c r="E212" s="231"/>
      <c r="F212" s="232"/>
      <c r="G212" s="227"/>
      <c r="H212" s="227"/>
      <c r="I212" s="227"/>
      <c r="J212" s="227"/>
      <c r="K212" s="227"/>
      <c r="L212" s="232"/>
      <c r="M212" s="232"/>
      <c r="N212" s="227"/>
      <c r="O212" s="227"/>
      <c r="P212" s="231"/>
      <c r="Q212" s="227"/>
      <c r="R212" s="231"/>
      <c r="S212" s="231"/>
      <c r="T212" s="231"/>
      <c r="U212" s="231"/>
      <c r="V212" s="231"/>
      <c r="W212" s="231"/>
      <c r="X212" s="227"/>
      <c r="Y212" s="232"/>
      <c r="Z212" s="232"/>
      <c r="AA212" s="232"/>
      <c r="AB212" s="232"/>
      <c r="AC212" s="227"/>
      <c r="AD212" s="227"/>
      <c r="AE212" s="231"/>
      <c r="AF212" s="227"/>
      <c r="AG212" s="232"/>
      <c r="AH212" s="232"/>
      <c r="AI212" s="232"/>
      <c r="AJ212" s="232"/>
      <c r="AK212" s="232"/>
      <c r="AL212" s="232"/>
      <c r="AM212" s="232"/>
      <c r="AN212" s="232"/>
      <c r="AO212" s="231"/>
      <c r="AP212" s="231"/>
      <c r="AQ212" s="227"/>
      <c r="AR212" s="231"/>
      <c r="AS212" s="227"/>
      <c r="AT212" s="227"/>
      <c r="AU212" s="227"/>
      <c r="AV212" s="227"/>
    </row>
    <row r="213">
      <c r="A213" s="227"/>
      <c r="B213" s="232"/>
      <c r="C213" s="227"/>
      <c r="D213" s="227"/>
      <c r="E213" s="231"/>
      <c r="F213" s="232"/>
      <c r="G213" s="227"/>
      <c r="H213" s="227"/>
      <c r="I213" s="227"/>
      <c r="J213" s="227"/>
      <c r="K213" s="227"/>
      <c r="L213" s="232"/>
      <c r="M213" s="232"/>
      <c r="N213" s="227"/>
      <c r="O213" s="227"/>
      <c r="P213" s="231"/>
      <c r="Q213" s="227"/>
      <c r="R213" s="231"/>
      <c r="S213" s="231"/>
      <c r="T213" s="231"/>
      <c r="U213" s="231"/>
      <c r="V213" s="231"/>
      <c r="W213" s="231"/>
      <c r="X213" s="227"/>
      <c r="Y213" s="232"/>
      <c r="Z213" s="232"/>
      <c r="AA213" s="232"/>
      <c r="AB213" s="232"/>
      <c r="AC213" s="227"/>
      <c r="AD213" s="227"/>
      <c r="AE213" s="231"/>
      <c r="AF213" s="227"/>
      <c r="AG213" s="232"/>
      <c r="AH213" s="232"/>
      <c r="AI213" s="232"/>
      <c r="AJ213" s="232"/>
      <c r="AK213" s="232"/>
      <c r="AL213" s="232"/>
      <c r="AM213" s="232"/>
      <c r="AN213" s="232"/>
      <c r="AO213" s="231"/>
      <c r="AP213" s="231"/>
      <c r="AQ213" s="227"/>
      <c r="AR213" s="231"/>
      <c r="AS213" s="227"/>
      <c r="AT213" s="227"/>
      <c r="AU213" s="227"/>
      <c r="AV213" s="227"/>
    </row>
    <row r="214">
      <c r="A214" s="227"/>
      <c r="B214" s="232"/>
      <c r="C214" s="227"/>
      <c r="D214" s="227"/>
      <c r="E214" s="231"/>
      <c r="F214" s="232"/>
      <c r="G214" s="227"/>
      <c r="H214" s="227"/>
      <c r="I214" s="227"/>
      <c r="J214" s="227"/>
      <c r="K214" s="227"/>
      <c r="L214" s="232"/>
      <c r="M214" s="232"/>
      <c r="N214" s="227"/>
      <c r="O214" s="227"/>
      <c r="P214" s="231"/>
      <c r="Q214" s="227"/>
      <c r="R214" s="231"/>
      <c r="S214" s="231"/>
      <c r="T214" s="231"/>
      <c r="U214" s="231"/>
      <c r="V214" s="231"/>
      <c r="W214" s="231"/>
      <c r="X214" s="227"/>
      <c r="Y214" s="232"/>
      <c r="Z214" s="232"/>
      <c r="AA214" s="232"/>
      <c r="AB214" s="232"/>
      <c r="AC214" s="227"/>
      <c r="AD214" s="227"/>
      <c r="AE214" s="231"/>
      <c r="AF214" s="227"/>
      <c r="AG214" s="232"/>
      <c r="AH214" s="232"/>
      <c r="AI214" s="232"/>
      <c r="AJ214" s="232"/>
      <c r="AK214" s="232"/>
      <c r="AL214" s="232"/>
      <c r="AM214" s="232"/>
      <c r="AN214" s="232"/>
      <c r="AO214" s="231"/>
      <c r="AP214" s="231"/>
      <c r="AQ214" s="227"/>
      <c r="AR214" s="231"/>
      <c r="AS214" s="227"/>
      <c r="AT214" s="227"/>
      <c r="AU214" s="227"/>
      <c r="AV214" s="227"/>
    </row>
    <row r="215">
      <c r="A215" s="227"/>
      <c r="B215" s="232"/>
      <c r="C215" s="227"/>
      <c r="D215" s="227"/>
      <c r="E215" s="231"/>
      <c r="F215" s="232"/>
      <c r="G215" s="227"/>
      <c r="H215" s="227"/>
      <c r="I215" s="227"/>
      <c r="J215" s="227"/>
      <c r="K215" s="227"/>
      <c r="L215" s="232"/>
      <c r="M215" s="232"/>
      <c r="N215" s="227"/>
      <c r="O215" s="227"/>
      <c r="P215" s="231"/>
      <c r="Q215" s="227"/>
      <c r="R215" s="231"/>
      <c r="S215" s="231"/>
      <c r="T215" s="231"/>
      <c r="U215" s="231"/>
      <c r="V215" s="231"/>
      <c r="W215" s="231"/>
      <c r="X215" s="227"/>
      <c r="Y215" s="232"/>
      <c r="Z215" s="232"/>
      <c r="AA215" s="232"/>
      <c r="AB215" s="232"/>
      <c r="AC215" s="227"/>
      <c r="AD215" s="227"/>
      <c r="AE215" s="231"/>
      <c r="AF215" s="227"/>
      <c r="AG215" s="232"/>
      <c r="AH215" s="232"/>
      <c r="AI215" s="232"/>
      <c r="AJ215" s="232"/>
      <c r="AK215" s="232"/>
      <c r="AL215" s="232"/>
      <c r="AM215" s="232"/>
      <c r="AN215" s="232"/>
      <c r="AO215" s="231"/>
      <c r="AP215" s="231"/>
      <c r="AQ215" s="227"/>
      <c r="AR215" s="231"/>
      <c r="AS215" s="227"/>
      <c r="AT215" s="227"/>
      <c r="AU215" s="227"/>
      <c r="AV215" s="227"/>
    </row>
    <row r="216">
      <c r="A216" s="227"/>
      <c r="B216" s="232"/>
      <c r="C216" s="227"/>
      <c r="D216" s="227"/>
      <c r="E216" s="231"/>
      <c r="F216" s="232"/>
      <c r="G216" s="227"/>
      <c r="H216" s="227"/>
      <c r="I216" s="227"/>
      <c r="J216" s="227"/>
      <c r="K216" s="227"/>
      <c r="L216" s="232"/>
      <c r="M216" s="232"/>
      <c r="N216" s="227"/>
      <c r="O216" s="227"/>
      <c r="P216" s="231"/>
      <c r="Q216" s="227"/>
      <c r="R216" s="231"/>
      <c r="S216" s="231"/>
      <c r="T216" s="231"/>
      <c r="U216" s="231"/>
      <c r="V216" s="231"/>
      <c r="W216" s="231"/>
      <c r="X216" s="227"/>
      <c r="Y216" s="232"/>
      <c r="Z216" s="232"/>
      <c r="AA216" s="232"/>
      <c r="AB216" s="232"/>
      <c r="AC216" s="227"/>
      <c r="AD216" s="227"/>
      <c r="AE216" s="231"/>
      <c r="AF216" s="227"/>
      <c r="AG216" s="232"/>
      <c r="AH216" s="232"/>
      <c r="AI216" s="232"/>
      <c r="AJ216" s="232"/>
      <c r="AK216" s="232"/>
      <c r="AL216" s="232"/>
      <c r="AM216" s="232"/>
      <c r="AN216" s="232"/>
      <c r="AO216" s="231"/>
      <c r="AP216" s="231"/>
      <c r="AQ216" s="227"/>
      <c r="AR216" s="231"/>
      <c r="AS216" s="227"/>
      <c r="AT216" s="227"/>
      <c r="AU216" s="227"/>
      <c r="AV216" s="227"/>
    </row>
    <row r="217">
      <c r="A217" s="227"/>
      <c r="B217" s="232"/>
      <c r="C217" s="227"/>
      <c r="D217" s="227"/>
      <c r="E217" s="231"/>
      <c r="F217" s="232"/>
      <c r="G217" s="227"/>
      <c r="H217" s="227"/>
      <c r="I217" s="227"/>
      <c r="J217" s="227"/>
      <c r="K217" s="227"/>
      <c r="L217" s="232"/>
      <c r="M217" s="232"/>
      <c r="N217" s="227"/>
      <c r="O217" s="227"/>
      <c r="P217" s="231"/>
      <c r="Q217" s="227"/>
      <c r="R217" s="231"/>
      <c r="S217" s="231"/>
      <c r="T217" s="231"/>
      <c r="U217" s="231"/>
      <c r="V217" s="231"/>
      <c r="W217" s="231"/>
      <c r="X217" s="227"/>
      <c r="Y217" s="232"/>
      <c r="Z217" s="232"/>
      <c r="AA217" s="232"/>
      <c r="AB217" s="232"/>
      <c r="AC217" s="227"/>
      <c r="AD217" s="227"/>
      <c r="AE217" s="231"/>
      <c r="AF217" s="227"/>
      <c r="AG217" s="232"/>
      <c r="AH217" s="232"/>
      <c r="AI217" s="232"/>
      <c r="AJ217" s="232"/>
      <c r="AK217" s="232"/>
      <c r="AL217" s="232"/>
      <c r="AM217" s="232"/>
      <c r="AN217" s="232"/>
      <c r="AO217" s="231"/>
      <c r="AP217" s="231"/>
      <c r="AQ217" s="227"/>
      <c r="AR217" s="231"/>
      <c r="AS217" s="227"/>
      <c r="AT217" s="227"/>
      <c r="AU217" s="227"/>
      <c r="AV217" s="227"/>
    </row>
    <row r="218">
      <c r="A218" s="227"/>
      <c r="B218" s="232"/>
      <c r="C218" s="227"/>
      <c r="D218" s="227"/>
      <c r="E218" s="231"/>
      <c r="F218" s="232"/>
      <c r="G218" s="227"/>
      <c r="H218" s="227"/>
      <c r="I218" s="227"/>
      <c r="J218" s="227"/>
      <c r="K218" s="227"/>
      <c r="L218" s="232"/>
      <c r="M218" s="232"/>
      <c r="N218" s="227"/>
      <c r="O218" s="227"/>
      <c r="P218" s="231"/>
      <c r="Q218" s="227"/>
      <c r="R218" s="231"/>
      <c r="S218" s="231"/>
      <c r="T218" s="231"/>
      <c r="U218" s="231"/>
      <c r="V218" s="231"/>
      <c r="W218" s="231"/>
      <c r="X218" s="227"/>
      <c r="Y218" s="232"/>
      <c r="Z218" s="232"/>
      <c r="AA218" s="232"/>
      <c r="AB218" s="232"/>
      <c r="AC218" s="227"/>
      <c r="AD218" s="227"/>
      <c r="AE218" s="231"/>
      <c r="AF218" s="227"/>
      <c r="AG218" s="232"/>
      <c r="AH218" s="232"/>
      <c r="AI218" s="232"/>
      <c r="AJ218" s="232"/>
      <c r="AK218" s="232"/>
      <c r="AL218" s="232"/>
      <c r="AM218" s="232"/>
      <c r="AN218" s="232"/>
      <c r="AO218" s="231"/>
      <c r="AP218" s="231"/>
      <c r="AQ218" s="227"/>
      <c r="AR218" s="231"/>
      <c r="AS218" s="227"/>
      <c r="AT218" s="227"/>
      <c r="AU218" s="227"/>
      <c r="AV218" s="227"/>
    </row>
    <row r="219">
      <c r="A219" s="227"/>
      <c r="B219" s="232"/>
      <c r="C219" s="227"/>
      <c r="D219" s="227"/>
      <c r="E219" s="231"/>
      <c r="F219" s="232"/>
      <c r="G219" s="227"/>
      <c r="H219" s="227"/>
      <c r="I219" s="227"/>
      <c r="J219" s="227"/>
      <c r="K219" s="227"/>
      <c r="L219" s="232"/>
      <c r="M219" s="232"/>
      <c r="N219" s="227"/>
      <c r="O219" s="227"/>
      <c r="P219" s="231"/>
      <c r="Q219" s="227"/>
      <c r="R219" s="231"/>
      <c r="S219" s="231"/>
      <c r="T219" s="231"/>
      <c r="U219" s="231"/>
      <c r="V219" s="231"/>
      <c r="W219" s="231"/>
      <c r="X219" s="227"/>
      <c r="Y219" s="232"/>
      <c r="Z219" s="232"/>
      <c r="AA219" s="232"/>
      <c r="AB219" s="232"/>
      <c r="AC219" s="227"/>
      <c r="AD219" s="227"/>
      <c r="AE219" s="231"/>
      <c r="AF219" s="227"/>
      <c r="AG219" s="232"/>
      <c r="AH219" s="232"/>
      <c r="AI219" s="232"/>
      <c r="AJ219" s="232"/>
      <c r="AK219" s="232"/>
      <c r="AL219" s="232"/>
      <c r="AM219" s="232"/>
      <c r="AN219" s="232"/>
      <c r="AO219" s="231"/>
      <c r="AP219" s="231"/>
      <c r="AQ219" s="227"/>
      <c r="AR219" s="231"/>
      <c r="AS219" s="227"/>
      <c r="AT219" s="227"/>
      <c r="AU219" s="227"/>
      <c r="AV219" s="227"/>
    </row>
    <row r="220">
      <c r="A220" s="227"/>
      <c r="B220" s="232"/>
      <c r="C220" s="227"/>
      <c r="D220" s="227"/>
      <c r="E220" s="231"/>
      <c r="F220" s="232"/>
      <c r="G220" s="227"/>
      <c r="H220" s="227"/>
      <c r="I220" s="227"/>
      <c r="J220" s="227"/>
      <c r="K220" s="227"/>
      <c r="L220" s="232"/>
      <c r="M220" s="232"/>
      <c r="N220" s="227"/>
      <c r="O220" s="227"/>
      <c r="P220" s="231"/>
      <c r="Q220" s="227"/>
      <c r="R220" s="231"/>
      <c r="S220" s="231"/>
      <c r="T220" s="231"/>
      <c r="U220" s="231"/>
      <c r="V220" s="231"/>
      <c r="W220" s="231"/>
      <c r="X220" s="227"/>
      <c r="Y220" s="232"/>
      <c r="Z220" s="232"/>
      <c r="AA220" s="232"/>
      <c r="AB220" s="232"/>
      <c r="AC220" s="227"/>
      <c r="AD220" s="227"/>
      <c r="AE220" s="231"/>
      <c r="AF220" s="227"/>
      <c r="AG220" s="232"/>
      <c r="AH220" s="232"/>
      <c r="AI220" s="232"/>
      <c r="AJ220" s="232"/>
      <c r="AK220" s="232"/>
      <c r="AL220" s="232"/>
      <c r="AM220" s="232"/>
      <c r="AN220" s="232"/>
      <c r="AO220" s="231"/>
      <c r="AP220" s="231"/>
      <c r="AQ220" s="227"/>
      <c r="AR220" s="231"/>
      <c r="AS220" s="227"/>
      <c r="AT220" s="227"/>
      <c r="AU220" s="227"/>
      <c r="AV220" s="227"/>
    </row>
    <row r="221">
      <c r="A221" s="227"/>
      <c r="B221" s="232"/>
      <c r="C221" s="227"/>
      <c r="D221" s="227"/>
      <c r="E221" s="231"/>
      <c r="F221" s="232"/>
      <c r="G221" s="227"/>
      <c r="H221" s="227"/>
      <c r="I221" s="227"/>
      <c r="J221" s="227"/>
      <c r="K221" s="227"/>
      <c r="L221" s="232"/>
      <c r="M221" s="232"/>
      <c r="N221" s="227"/>
      <c r="O221" s="227"/>
      <c r="P221" s="231"/>
      <c r="Q221" s="227"/>
      <c r="R221" s="231"/>
      <c r="S221" s="231"/>
      <c r="T221" s="231"/>
      <c r="U221" s="231"/>
      <c r="V221" s="231"/>
      <c r="W221" s="231"/>
      <c r="X221" s="227"/>
      <c r="Y221" s="232"/>
      <c r="Z221" s="232"/>
      <c r="AA221" s="232"/>
      <c r="AB221" s="232"/>
      <c r="AC221" s="227"/>
      <c r="AD221" s="227"/>
      <c r="AE221" s="231"/>
      <c r="AF221" s="227"/>
      <c r="AG221" s="232"/>
      <c r="AH221" s="232"/>
      <c r="AI221" s="232"/>
      <c r="AJ221" s="232"/>
      <c r="AK221" s="232"/>
      <c r="AL221" s="232"/>
      <c r="AM221" s="232"/>
      <c r="AN221" s="232"/>
      <c r="AO221" s="231"/>
      <c r="AP221" s="231"/>
      <c r="AQ221" s="227"/>
      <c r="AR221" s="231"/>
      <c r="AS221" s="227"/>
      <c r="AT221" s="227"/>
      <c r="AU221" s="227"/>
      <c r="AV221" s="227"/>
    </row>
    <row r="222">
      <c r="A222" s="227"/>
      <c r="B222" s="232"/>
      <c r="C222" s="227"/>
      <c r="D222" s="227"/>
      <c r="E222" s="231"/>
      <c r="F222" s="232"/>
      <c r="G222" s="227"/>
      <c r="H222" s="227"/>
      <c r="I222" s="227"/>
      <c r="J222" s="227"/>
      <c r="K222" s="227"/>
      <c r="L222" s="232"/>
      <c r="M222" s="232"/>
      <c r="N222" s="227"/>
      <c r="O222" s="227"/>
      <c r="P222" s="231"/>
      <c r="Q222" s="227"/>
      <c r="R222" s="231"/>
      <c r="S222" s="231"/>
      <c r="T222" s="231"/>
      <c r="U222" s="231"/>
      <c r="V222" s="231"/>
      <c r="W222" s="231"/>
      <c r="X222" s="227"/>
      <c r="Y222" s="232"/>
      <c r="Z222" s="232"/>
      <c r="AA222" s="232"/>
      <c r="AB222" s="232"/>
      <c r="AC222" s="227"/>
      <c r="AD222" s="227"/>
      <c r="AE222" s="231"/>
      <c r="AF222" s="227"/>
      <c r="AG222" s="232"/>
      <c r="AH222" s="232"/>
      <c r="AI222" s="232"/>
      <c r="AJ222" s="232"/>
      <c r="AK222" s="232"/>
      <c r="AL222" s="232"/>
      <c r="AM222" s="232"/>
      <c r="AN222" s="232"/>
      <c r="AO222" s="231"/>
      <c r="AP222" s="231"/>
      <c r="AQ222" s="227"/>
      <c r="AR222" s="231"/>
      <c r="AS222" s="227"/>
      <c r="AT222" s="227"/>
      <c r="AU222" s="227"/>
      <c r="AV222" s="227"/>
    </row>
    <row r="223">
      <c r="A223" s="227"/>
      <c r="B223" s="232"/>
      <c r="C223" s="227"/>
      <c r="D223" s="227"/>
      <c r="E223" s="231"/>
      <c r="F223" s="232"/>
      <c r="G223" s="227"/>
      <c r="H223" s="227"/>
      <c r="I223" s="227"/>
      <c r="J223" s="227"/>
      <c r="K223" s="227"/>
      <c r="L223" s="232"/>
      <c r="M223" s="232"/>
      <c r="N223" s="227"/>
      <c r="O223" s="227"/>
      <c r="P223" s="231"/>
      <c r="Q223" s="227"/>
      <c r="R223" s="231"/>
      <c r="S223" s="231"/>
      <c r="T223" s="231"/>
      <c r="U223" s="231"/>
      <c r="V223" s="231"/>
      <c r="W223" s="231"/>
      <c r="X223" s="227"/>
      <c r="Y223" s="232"/>
      <c r="Z223" s="232"/>
      <c r="AA223" s="232"/>
      <c r="AB223" s="232"/>
      <c r="AC223" s="227"/>
      <c r="AD223" s="227"/>
      <c r="AE223" s="231"/>
      <c r="AF223" s="227"/>
      <c r="AG223" s="232"/>
      <c r="AH223" s="232"/>
      <c r="AI223" s="232"/>
      <c r="AJ223" s="232"/>
      <c r="AK223" s="232"/>
      <c r="AL223" s="232"/>
      <c r="AM223" s="232"/>
      <c r="AN223" s="232"/>
      <c r="AO223" s="231"/>
      <c r="AP223" s="231"/>
      <c r="AQ223" s="227"/>
      <c r="AR223" s="231"/>
      <c r="AS223" s="227"/>
      <c r="AT223" s="227"/>
      <c r="AU223" s="227"/>
      <c r="AV223" s="227"/>
    </row>
    <row r="224">
      <c r="A224" s="227"/>
      <c r="B224" s="232"/>
      <c r="C224" s="227"/>
      <c r="D224" s="227"/>
      <c r="E224" s="231"/>
      <c r="F224" s="232"/>
      <c r="G224" s="227"/>
      <c r="H224" s="227"/>
      <c r="I224" s="227"/>
      <c r="J224" s="227"/>
      <c r="K224" s="227"/>
      <c r="L224" s="232"/>
      <c r="M224" s="232"/>
      <c r="N224" s="227"/>
      <c r="O224" s="227"/>
      <c r="P224" s="231"/>
      <c r="Q224" s="227"/>
      <c r="R224" s="231"/>
      <c r="S224" s="231"/>
      <c r="T224" s="231"/>
      <c r="U224" s="231"/>
      <c r="V224" s="231"/>
      <c r="W224" s="231"/>
      <c r="X224" s="227"/>
      <c r="Y224" s="232"/>
      <c r="Z224" s="232"/>
      <c r="AA224" s="232"/>
      <c r="AB224" s="232"/>
      <c r="AC224" s="227"/>
      <c r="AD224" s="227"/>
      <c r="AE224" s="231"/>
      <c r="AF224" s="227"/>
      <c r="AG224" s="232"/>
      <c r="AH224" s="232"/>
      <c r="AI224" s="232"/>
      <c r="AJ224" s="232"/>
      <c r="AK224" s="232"/>
      <c r="AL224" s="232"/>
      <c r="AM224" s="232"/>
      <c r="AN224" s="232"/>
      <c r="AO224" s="231"/>
      <c r="AP224" s="231"/>
      <c r="AQ224" s="227"/>
      <c r="AR224" s="231"/>
      <c r="AS224" s="227"/>
      <c r="AT224" s="227"/>
      <c r="AU224" s="227"/>
      <c r="AV224" s="227"/>
    </row>
    <row r="225">
      <c r="A225" s="227"/>
      <c r="B225" s="232"/>
      <c r="C225" s="227"/>
      <c r="D225" s="227"/>
      <c r="E225" s="231"/>
      <c r="F225" s="232"/>
      <c r="G225" s="227"/>
      <c r="H225" s="227"/>
      <c r="I225" s="227"/>
      <c r="J225" s="227"/>
      <c r="K225" s="227"/>
      <c r="L225" s="232"/>
      <c r="M225" s="232"/>
      <c r="N225" s="227"/>
      <c r="O225" s="227"/>
      <c r="P225" s="231"/>
      <c r="Q225" s="227"/>
      <c r="R225" s="231"/>
      <c r="S225" s="231"/>
      <c r="T225" s="231"/>
      <c r="U225" s="231"/>
      <c r="V225" s="231"/>
      <c r="W225" s="231"/>
      <c r="X225" s="227"/>
      <c r="Y225" s="232"/>
      <c r="Z225" s="232"/>
      <c r="AA225" s="232"/>
      <c r="AB225" s="232"/>
      <c r="AC225" s="227"/>
      <c r="AD225" s="227"/>
      <c r="AE225" s="231"/>
      <c r="AF225" s="227"/>
      <c r="AG225" s="232"/>
      <c r="AH225" s="232"/>
      <c r="AI225" s="232"/>
      <c r="AJ225" s="232"/>
      <c r="AK225" s="232"/>
      <c r="AL225" s="232"/>
      <c r="AM225" s="232"/>
      <c r="AN225" s="232"/>
      <c r="AO225" s="231"/>
      <c r="AP225" s="231"/>
      <c r="AQ225" s="227"/>
      <c r="AR225" s="231"/>
      <c r="AS225" s="227"/>
      <c r="AT225" s="227"/>
      <c r="AU225" s="227"/>
      <c r="AV225" s="227"/>
    </row>
    <row r="226">
      <c r="A226" s="227"/>
      <c r="B226" s="232"/>
      <c r="C226" s="227"/>
      <c r="D226" s="227"/>
      <c r="E226" s="231"/>
      <c r="F226" s="232"/>
      <c r="G226" s="227"/>
      <c r="H226" s="227"/>
      <c r="I226" s="227"/>
      <c r="J226" s="227"/>
      <c r="K226" s="227"/>
      <c r="L226" s="232"/>
      <c r="M226" s="232"/>
      <c r="N226" s="227"/>
      <c r="O226" s="227"/>
      <c r="P226" s="231"/>
      <c r="Q226" s="227"/>
      <c r="R226" s="231"/>
      <c r="S226" s="231"/>
      <c r="T226" s="231"/>
      <c r="U226" s="231"/>
      <c r="V226" s="231"/>
      <c r="W226" s="231"/>
      <c r="X226" s="227"/>
      <c r="Y226" s="232"/>
      <c r="Z226" s="232"/>
      <c r="AA226" s="232"/>
      <c r="AB226" s="232"/>
      <c r="AC226" s="227"/>
      <c r="AD226" s="227"/>
      <c r="AE226" s="231"/>
      <c r="AF226" s="227"/>
      <c r="AG226" s="232"/>
      <c r="AH226" s="232"/>
      <c r="AI226" s="232"/>
      <c r="AJ226" s="232"/>
      <c r="AK226" s="232"/>
      <c r="AL226" s="232"/>
      <c r="AM226" s="232"/>
      <c r="AN226" s="232"/>
      <c r="AO226" s="231"/>
      <c r="AP226" s="231"/>
      <c r="AQ226" s="227"/>
      <c r="AR226" s="231"/>
      <c r="AS226" s="227"/>
      <c r="AT226" s="227"/>
      <c r="AU226" s="227"/>
      <c r="AV226" s="227"/>
    </row>
    <row r="227">
      <c r="A227" s="227"/>
      <c r="B227" s="232"/>
      <c r="C227" s="227"/>
      <c r="D227" s="227"/>
      <c r="E227" s="231"/>
      <c r="F227" s="232"/>
      <c r="G227" s="227"/>
      <c r="H227" s="227"/>
      <c r="I227" s="227"/>
      <c r="J227" s="227"/>
      <c r="K227" s="227"/>
      <c r="L227" s="232"/>
      <c r="M227" s="232"/>
      <c r="N227" s="227"/>
      <c r="O227" s="227"/>
      <c r="P227" s="231"/>
      <c r="Q227" s="227"/>
      <c r="R227" s="231"/>
      <c r="S227" s="231"/>
      <c r="T227" s="231"/>
      <c r="U227" s="231"/>
      <c r="V227" s="231"/>
      <c r="W227" s="231"/>
      <c r="X227" s="227"/>
      <c r="Y227" s="232"/>
      <c r="Z227" s="232"/>
      <c r="AA227" s="232"/>
      <c r="AB227" s="232"/>
      <c r="AC227" s="227"/>
      <c r="AD227" s="227"/>
      <c r="AE227" s="231"/>
      <c r="AF227" s="227"/>
      <c r="AG227" s="232"/>
      <c r="AH227" s="232"/>
      <c r="AI227" s="232"/>
      <c r="AJ227" s="232"/>
      <c r="AK227" s="232"/>
      <c r="AL227" s="232"/>
      <c r="AM227" s="232"/>
      <c r="AN227" s="232"/>
      <c r="AO227" s="231"/>
      <c r="AP227" s="231"/>
      <c r="AQ227" s="227"/>
      <c r="AR227" s="231"/>
      <c r="AS227" s="227"/>
      <c r="AT227" s="227"/>
      <c r="AU227" s="227"/>
      <c r="AV227" s="227"/>
    </row>
    <row r="228">
      <c r="A228" s="227"/>
      <c r="B228" s="232"/>
      <c r="C228" s="227"/>
      <c r="D228" s="227"/>
      <c r="E228" s="231"/>
      <c r="F228" s="232"/>
      <c r="G228" s="227"/>
      <c r="H228" s="227"/>
      <c r="I228" s="227"/>
      <c r="J228" s="227"/>
      <c r="K228" s="227"/>
      <c r="L228" s="232"/>
      <c r="M228" s="232"/>
      <c r="N228" s="227"/>
      <c r="O228" s="227"/>
      <c r="P228" s="231"/>
      <c r="Q228" s="227"/>
      <c r="R228" s="231"/>
      <c r="S228" s="231"/>
      <c r="T228" s="231"/>
      <c r="U228" s="231"/>
      <c r="V228" s="231"/>
      <c r="W228" s="231"/>
      <c r="X228" s="227"/>
      <c r="Y228" s="232"/>
      <c r="Z228" s="232"/>
      <c r="AA228" s="232"/>
      <c r="AB228" s="232"/>
      <c r="AC228" s="227"/>
      <c r="AD228" s="227"/>
      <c r="AE228" s="231"/>
      <c r="AF228" s="227"/>
      <c r="AG228" s="232"/>
      <c r="AH228" s="232"/>
      <c r="AI228" s="232"/>
      <c r="AJ228" s="232"/>
      <c r="AK228" s="232"/>
      <c r="AL228" s="232"/>
      <c r="AM228" s="232"/>
      <c r="AN228" s="232"/>
      <c r="AO228" s="231"/>
      <c r="AP228" s="231"/>
      <c r="AQ228" s="227"/>
      <c r="AR228" s="231"/>
      <c r="AS228" s="227"/>
      <c r="AT228" s="227"/>
      <c r="AU228" s="227"/>
      <c r="AV228" s="227"/>
    </row>
    <row r="229">
      <c r="A229" s="227"/>
      <c r="B229" s="232"/>
      <c r="C229" s="227"/>
      <c r="D229" s="227"/>
      <c r="E229" s="231"/>
      <c r="F229" s="232"/>
      <c r="G229" s="227"/>
      <c r="H229" s="227"/>
      <c r="I229" s="227"/>
      <c r="J229" s="227"/>
      <c r="K229" s="227"/>
      <c r="L229" s="232"/>
      <c r="M229" s="232"/>
      <c r="N229" s="227"/>
      <c r="O229" s="227"/>
      <c r="P229" s="231"/>
      <c r="Q229" s="227"/>
      <c r="R229" s="231"/>
      <c r="S229" s="231"/>
      <c r="T229" s="231"/>
      <c r="U229" s="231"/>
      <c r="V229" s="231"/>
      <c r="W229" s="231"/>
      <c r="X229" s="227"/>
      <c r="Y229" s="232"/>
      <c r="Z229" s="232"/>
      <c r="AA229" s="232"/>
      <c r="AB229" s="232"/>
      <c r="AC229" s="227"/>
      <c r="AD229" s="227"/>
      <c r="AE229" s="231"/>
      <c r="AF229" s="227"/>
      <c r="AG229" s="232"/>
      <c r="AH229" s="232"/>
      <c r="AI229" s="232"/>
      <c r="AJ229" s="232"/>
      <c r="AK229" s="232"/>
      <c r="AL229" s="232"/>
      <c r="AM229" s="232"/>
      <c r="AN229" s="232"/>
      <c r="AO229" s="231"/>
      <c r="AP229" s="231"/>
      <c r="AQ229" s="227"/>
      <c r="AR229" s="231"/>
      <c r="AS229" s="227"/>
      <c r="AT229" s="227"/>
      <c r="AU229" s="227"/>
      <c r="AV229" s="227"/>
    </row>
    <row r="230">
      <c r="A230" s="227"/>
      <c r="B230" s="232"/>
      <c r="C230" s="227"/>
      <c r="D230" s="227"/>
      <c r="E230" s="231"/>
      <c r="F230" s="232"/>
      <c r="G230" s="227"/>
      <c r="H230" s="227"/>
      <c r="I230" s="227"/>
      <c r="J230" s="227"/>
      <c r="K230" s="227"/>
      <c r="L230" s="232"/>
      <c r="M230" s="232"/>
      <c r="N230" s="227"/>
      <c r="O230" s="227"/>
      <c r="P230" s="231"/>
      <c r="Q230" s="227"/>
      <c r="R230" s="231"/>
      <c r="S230" s="231"/>
      <c r="T230" s="231"/>
      <c r="U230" s="231"/>
      <c r="V230" s="231"/>
      <c r="W230" s="231"/>
      <c r="X230" s="227"/>
      <c r="Y230" s="232"/>
      <c r="Z230" s="232"/>
      <c r="AA230" s="232"/>
      <c r="AB230" s="232"/>
      <c r="AC230" s="227"/>
      <c r="AD230" s="227"/>
      <c r="AE230" s="231"/>
      <c r="AF230" s="227"/>
      <c r="AG230" s="232"/>
      <c r="AH230" s="232"/>
      <c r="AI230" s="232"/>
      <c r="AJ230" s="232"/>
      <c r="AK230" s="232"/>
      <c r="AL230" s="232"/>
      <c r="AM230" s="232"/>
      <c r="AN230" s="232"/>
      <c r="AO230" s="231"/>
      <c r="AP230" s="231"/>
      <c r="AQ230" s="227"/>
      <c r="AR230" s="231"/>
      <c r="AS230" s="227"/>
      <c r="AT230" s="227"/>
      <c r="AU230" s="227"/>
      <c r="AV230" s="227"/>
    </row>
    <row r="231">
      <c r="A231" s="227"/>
      <c r="B231" s="232"/>
      <c r="C231" s="227"/>
      <c r="D231" s="227"/>
      <c r="E231" s="231"/>
      <c r="F231" s="232"/>
      <c r="G231" s="227"/>
      <c r="H231" s="227"/>
      <c r="I231" s="227"/>
      <c r="J231" s="227"/>
      <c r="K231" s="227"/>
      <c r="L231" s="232"/>
      <c r="M231" s="232"/>
      <c r="N231" s="227"/>
      <c r="O231" s="227"/>
      <c r="P231" s="231"/>
      <c r="Q231" s="227"/>
      <c r="R231" s="231"/>
      <c r="S231" s="231"/>
      <c r="T231" s="231"/>
      <c r="U231" s="231"/>
      <c r="V231" s="231"/>
      <c r="W231" s="231"/>
      <c r="X231" s="227"/>
      <c r="Y231" s="232"/>
      <c r="Z231" s="232"/>
      <c r="AA231" s="232"/>
      <c r="AB231" s="232"/>
      <c r="AC231" s="227"/>
      <c r="AD231" s="227"/>
      <c r="AE231" s="231"/>
      <c r="AF231" s="227"/>
      <c r="AG231" s="232"/>
      <c r="AH231" s="232"/>
      <c r="AI231" s="232"/>
      <c r="AJ231" s="232"/>
      <c r="AK231" s="232"/>
      <c r="AL231" s="232"/>
      <c r="AM231" s="232"/>
      <c r="AN231" s="232"/>
      <c r="AO231" s="231"/>
      <c r="AP231" s="231"/>
      <c r="AQ231" s="227"/>
      <c r="AR231" s="231"/>
      <c r="AS231" s="227"/>
      <c r="AT231" s="227"/>
      <c r="AU231" s="227"/>
      <c r="AV231" s="227"/>
    </row>
    <row r="232">
      <c r="A232" s="227"/>
      <c r="B232" s="232"/>
      <c r="C232" s="227"/>
      <c r="D232" s="227"/>
      <c r="E232" s="231"/>
      <c r="F232" s="232"/>
      <c r="G232" s="227"/>
      <c r="H232" s="227"/>
      <c r="I232" s="227"/>
      <c r="J232" s="227"/>
      <c r="K232" s="227"/>
      <c r="L232" s="232"/>
      <c r="M232" s="232"/>
      <c r="N232" s="227"/>
      <c r="O232" s="227"/>
      <c r="P232" s="231"/>
      <c r="Q232" s="227"/>
      <c r="R232" s="231"/>
      <c r="S232" s="231"/>
      <c r="T232" s="231"/>
      <c r="U232" s="231"/>
      <c r="V232" s="231"/>
      <c r="W232" s="231"/>
      <c r="X232" s="227"/>
      <c r="Y232" s="232"/>
      <c r="Z232" s="232"/>
      <c r="AA232" s="232"/>
      <c r="AB232" s="232"/>
      <c r="AC232" s="227"/>
      <c r="AD232" s="227"/>
      <c r="AE232" s="231"/>
      <c r="AF232" s="227"/>
      <c r="AG232" s="232"/>
      <c r="AH232" s="232"/>
      <c r="AI232" s="232"/>
      <c r="AJ232" s="232"/>
      <c r="AK232" s="232"/>
      <c r="AL232" s="232"/>
      <c r="AM232" s="232"/>
      <c r="AN232" s="232"/>
      <c r="AO232" s="231"/>
      <c r="AP232" s="231"/>
      <c r="AQ232" s="227"/>
      <c r="AR232" s="231"/>
      <c r="AS232" s="227"/>
      <c r="AT232" s="227"/>
      <c r="AU232" s="227"/>
      <c r="AV232" s="227"/>
    </row>
    <row r="233">
      <c r="A233" s="227"/>
      <c r="B233" s="232"/>
      <c r="C233" s="227"/>
      <c r="D233" s="227"/>
      <c r="E233" s="231"/>
      <c r="F233" s="232"/>
      <c r="G233" s="227"/>
      <c r="H233" s="227"/>
      <c r="I233" s="227"/>
      <c r="J233" s="227"/>
      <c r="K233" s="227"/>
      <c r="L233" s="232"/>
      <c r="M233" s="232"/>
      <c r="N233" s="227"/>
      <c r="O233" s="227"/>
      <c r="P233" s="231"/>
      <c r="Q233" s="227"/>
      <c r="R233" s="231"/>
      <c r="S233" s="231"/>
      <c r="T233" s="231"/>
      <c r="U233" s="231"/>
      <c r="V233" s="231"/>
      <c r="W233" s="231"/>
      <c r="X233" s="227"/>
      <c r="Y233" s="232"/>
      <c r="Z233" s="232"/>
      <c r="AA233" s="232"/>
      <c r="AB233" s="232"/>
      <c r="AC233" s="227"/>
      <c r="AD233" s="227"/>
      <c r="AE233" s="231"/>
      <c r="AF233" s="227"/>
      <c r="AG233" s="232"/>
      <c r="AH233" s="232"/>
      <c r="AI233" s="232"/>
      <c r="AJ233" s="232"/>
      <c r="AK233" s="232"/>
      <c r="AL233" s="232"/>
      <c r="AM233" s="232"/>
      <c r="AN233" s="232"/>
      <c r="AO233" s="231"/>
      <c r="AP233" s="231"/>
      <c r="AQ233" s="227"/>
      <c r="AR233" s="231"/>
      <c r="AS233" s="227"/>
      <c r="AT233" s="227"/>
      <c r="AU233" s="227"/>
      <c r="AV233" s="227"/>
    </row>
    <row r="234">
      <c r="A234" s="227"/>
      <c r="B234" s="232"/>
      <c r="C234" s="227"/>
      <c r="D234" s="227"/>
      <c r="E234" s="231"/>
      <c r="F234" s="232"/>
      <c r="G234" s="227"/>
      <c r="H234" s="227"/>
      <c r="I234" s="227"/>
      <c r="J234" s="227"/>
      <c r="K234" s="227"/>
      <c r="L234" s="232"/>
      <c r="M234" s="232"/>
      <c r="N234" s="227"/>
      <c r="O234" s="227"/>
      <c r="P234" s="231"/>
      <c r="Q234" s="227"/>
      <c r="R234" s="231"/>
      <c r="S234" s="231"/>
      <c r="T234" s="231"/>
      <c r="U234" s="231"/>
      <c r="V234" s="231"/>
      <c r="W234" s="231"/>
      <c r="X234" s="227"/>
      <c r="Y234" s="232"/>
      <c r="Z234" s="232"/>
      <c r="AA234" s="232"/>
      <c r="AB234" s="232"/>
      <c r="AC234" s="227"/>
      <c r="AD234" s="227"/>
      <c r="AE234" s="231"/>
      <c r="AF234" s="227"/>
      <c r="AG234" s="232"/>
      <c r="AH234" s="232"/>
      <c r="AI234" s="232"/>
      <c r="AJ234" s="232"/>
      <c r="AK234" s="232"/>
      <c r="AL234" s="232"/>
      <c r="AM234" s="232"/>
      <c r="AN234" s="232"/>
      <c r="AO234" s="231"/>
      <c r="AP234" s="231"/>
      <c r="AQ234" s="227"/>
      <c r="AR234" s="231"/>
      <c r="AS234" s="227"/>
      <c r="AT234" s="227"/>
      <c r="AU234" s="227"/>
      <c r="AV234" s="227"/>
    </row>
    <row r="235">
      <c r="A235" s="227"/>
      <c r="B235" s="232"/>
      <c r="C235" s="227"/>
      <c r="D235" s="227"/>
      <c r="E235" s="231"/>
      <c r="F235" s="232"/>
      <c r="G235" s="227"/>
      <c r="H235" s="227"/>
      <c r="I235" s="227"/>
      <c r="J235" s="227"/>
      <c r="K235" s="227"/>
      <c r="L235" s="232"/>
      <c r="M235" s="232"/>
      <c r="N235" s="227"/>
      <c r="O235" s="227"/>
      <c r="P235" s="231"/>
      <c r="Q235" s="227"/>
      <c r="R235" s="231"/>
      <c r="S235" s="231"/>
      <c r="T235" s="231"/>
      <c r="U235" s="231"/>
      <c r="V235" s="231"/>
      <c r="W235" s="231"/>
      <c r="X235" s="227"/>
      <c r="Y235" s="232"/>
      <c r="Z235" s="232"/>
      <c r="AA235" s="232"/>
      <c r="AB235" s="232"/>
      <c r="AC235" s="227"/>
      <c r="AD235" s="227"/>
      <c r="AE235" s="231"/>
      <c r="AF235" s="227"/>
      <c r="AG235" s="232"/>
      <c r="AH235" s="232"/>
      <c r="AI235" s="232"/>
      <c r="AJ235" s="232"/>
      <c r="AK235" s="232"/>
      <c r="AL235" s="232"/>
      <c r="AM235" s="232"/>
      <c r="AN235" s="232"/>
      <c r="AO235" s="231"/>
      <c r="AP235" s="231"/>
      <c r="AQ235" s="227"/>
      <c r="AR235" s="231"/>
      <c r="AS235" s="227"/>
      <c r="AT235" s="227"/>
      <c r="AU235" s="227"/>
      <c r="AV235" s="227"/>
    </row>
    <row r="236">
      <c r="A236" s="227"/>
      <c r="B236" s="232"/>
      <c r="C236" s="227"/>
      <c r="D236" s="227"/>
      <c r="E236" s="231"/>
      <c r="F236" s="232"/>
      <c r="G236" s="227"/>
      <c r="H236" s="227"/>
      <c r="I236" s="227"/>
      <c r="J236" s="227"/>
      <c r="K236" s="227"/>
      <c r="L236" s="232"/>
      <c r="M236" s="232"/>
      <c r="N236" s="227"/>
      <c r="O236" s="227"/>
      <c r="P236" s="231"/>
      <c r="Q236" s="227"/>
      <c r="R236" s="231"/>
      <c r="S236" s="231"/>
      <c r="T236" s="231"/>
      <c r="U236" s="231"/>
      <c r="V236" s="231"/>
      <c r="W236" s="231"/>
      <c r="X236" s="227"/>
      <c r="Y236" s="232"/>
      <c r="Z236" s="232"/>
      <c r="AA236" s="232"/>
      <c r="AB236" s="232"/>
      <c r="AC236" s="227"/>
      <c r="AD236" s="227"/>
      <c r="AE236" s="231"/>
      <c r="AF236" s="227"/>
      <c r="AG236" s="232"/>
      <c r="AH236" s="232"/>
      <c r="AI236" s="232"/>
      <c r="AJ236" s="232"/>
      <c r="AK236" s="232"/>
      <c r="AL236" s="232"/>
      <c r="AM236" s="232"/>
      <c r="AN236" s="232"/>
      <c r="AO236" s="231"/>
      <c r="AP236" s="231"/>
      <c r="AQ236" s="227"/>
      <c r="AR236" s="231"/>
      <c r="AS236" s="227"/>
      <c r="AT236" s="227"/>
      <c r="AU236" s="227"/>
      <c r="AV236" s="227"/>
    </row>
    <row r="237">
      <c r="A237" s="227"/>
      <c r="B237" s="232"/>
      <c r="C237" s="227"/>
      <c r="D237" s="227"/>
      <c r="E237" s="231"/>
      <c r="F237" s="232"/>
      <c r="G237" s="227"/>
      <c r="H237" s="227"/>
      <c r="I237" s="227"/>
      <c r="J237" s="227"/>
      <c r="K237" s="227"/>
      <c r="L237" s="232"/>
      <c r="M237" s="232"/>
      <c r="N237" s="227"/>
      <c r="O237" s="227"/>
      <c r="P237" s="231"/>
      <c r="Q237" s="227"/>
      <c r="R237" s="231"/>
      <c r="S237" s="231"/>
      <c r="T237" s="231"/>
      <c r="U237" s="231"/>
      <c r="V237" s="231"/>
      <c r="W237" s="231"/>
      <c r="X237" s="227"/>
      <c r="Y237" s="232"/>
      <c r="Z237" s="232"/>
      <c r="AA237" s="232"/>
      <c r="AB237" s="232"/>
      <c r="AC237" s="227"/>
      <c r="AD237" s="227"/>
      <c r="AE237" s="231"/>
      <c r="AF237" s="227"/>
      <c r="AG237" s="232"/>
      <c r="AH237" s="232"/>
      <c r="AI237" s="232"/>
      <c r="AJ237" s="232"/>
      <c r="AK237" s="232"/>
      <c r="AL237" s="232"/>
      <c r="AM237" s="232"/>
      <c r="AN237" s="232"/>
      <c r="AO237" s="231"/>
      <c r="AP237" s="231"/>
      <c r="AQ237" s="227"/>
      <c r="AR237" s="231"/>
      <c r="AS237" s="227"/>
      <c r="AT237" s="227"/>
      <c r="AU237" s="227"/>
      <c r="AV237" s="227"/>
    </row>
    <row r="238">
      <c r="A238" s="227"/>
      <c r="B238" s="232"/>
      <c r="C238" s="227"/>
      <c r="D238" s="227"/>
      <c r="E238" s="231"/>
      <c r="F238" s="232"/>
      <c r="G238" s="227"/>
      <c r="H238" s="227"/>
      <c r="I238" s="227"/>
      <c r="J238" s="227"/>
      <c r="K238" s="227"/>
      <c r="L238" s="232"/>
      <c r="M238" s="232"/>
      <c r="N238" s="227"/>
      <c r="O238" s="227"/>
      <c r="P238" s="231"/>
      <c r="Q238" s="227"/>
      <c r="R238" s="231"/>
      <c r="S238" s="231"/>
      <c r="T238" s="231"/>
      <c r="U238" s="231"/>
      <c r="V238" s="231"/>
      <c r="W238" s="231"/>
      <c r="X238" s="227"/>
      <c r="Y238" s="232"/>
      <c r="Z238" s="232"/>
      <c r="AA238" s="232"/>
      <c r="AB238" s="232"/>
      <c r="AC238" s="227"/>
      <c r="AD238" s="227"/>
      <c r="AE238" s="231"/>
      <c r="AF238" s="227"/>
      <c r="AG238" s="232"/>
      <c r="AH238" s="232"/>
      <c r="AI238" s="232"/>
      <c r="AJ238" s="232"/>
      <c r="AK238" s="232"/>
      <c r="AL238" s="232"/>
      <c r="AM238" s="232"/>
      <c r="AN238" s="232"/>
      <c r="AO238" s="231"/>
      <c r="AP238" s="231"/>
      <c r="AQ238" s="227"/>
      <c r="AR238" s="231"/>
      <c r="AS238" s="227"/>
      <c r="AT238" s="227"/>
      <c r="AU238" s="227"/>
      <c r="AV238" s="227"/>
    </row>
    <row r="239">
      <c r="A239" s="227"/>
      <c r="B239" s="232"/>
      <c r="C239" s="227"/>
      <c r="D239" s="227"/>
      <c r="E239" s="231"/>
      <c r="F239" s="232"/>
      <c r="G239" s="227"/>
      <c r="H239" s="227"/>
      <c r="I239" s="227"/>
      <c r="J239" s="227"/>
      <c r="K239" s="227"/>
      <c r="L239" s="232"/>
      <c r="M239" s="232"/>
      <c r="N239" s="227"/>
      <c r="O239" s="227"/>
      <c r="P239" s="231"/>
      <c r="Q239" s="227"/>
      <c r="R239" s="231"/>
      <c r="S239" s="231"/>
      <c r="T239" s="231"/>
      <c r="U239" s="231"/>
      <c r="V239" s="231"/>
      <c r="W239" s="231"/>
      <c r="X239" s="227"/>
      <c r="Y239" s="232"/>
      <c r="Z239" s="232"/>
      <c r="AA239" s="232"/>
      <c r="AB239" s="232"/>
      <c r="AC239" s="227"/>
      <c r="AD239" s="227"/>
      <c r="AE239" s="231"/>
      <c r="AF239" s="227"/>
      <c r="AG239" s="232"/>
      <c r="AH239" s="232"/>
      <c r="AI239" s="232"/>
      <c r="AJ239" s="232"/>
      <c r="AK239" s="232"/>
      <c r="AL239" s="232"/>
      <c r="AM239" s="232"/>
      <c r="AN239" s="232"/>
      <c r="AO239" s="231"/>
      <c r="AP239" s="231"/>
      <c r="AQ239" s="227"/>
      <c r="AR239" s="231"/>
      <c r="AS239" s="227"/>
      <c r="AT239" s="227"/>
      <c r="AU239" s="227"/>
      <c r="AV239" s="227"/>
    </row>
    <row r="240">
      <c r="A240" s="227"/>
      <c r="B240" s="232"/>
      <c r="C240" s="227"/>
      <c r="D240" s="227"/>
      <c r="E240" s="231"/>
      <c r="F240" s="232"/>
      <c r="G240" s="227"/>
      <c r="H240" s="227"/>
      <c r="I240" s="227"/>
      <c r="J240" s="227"/>
      <c r="K240" s="227"/>
      <c r="L240" s="232"/>
      <c r="M240" s="232"/>
      <c r="N240" s="227"/>
      <c r="O240" s="227"/>
      <c r="P240" s="231"/>
      <c r="Q240" s="227"/>
      <c r="R240" s="231"/>
      <c r="S240" s="231"/>
      <c r="T240" s="231"/>
      <c r="U240" s="231"/>
      <c r="V240" s="231"/>
      <c r="W240" s="231"/>
      <c r="X240" s="227"/>
      <c r="Y240" s="232"/>
      <c r="Z240" s="232"/>
      <c r="AA240" s="232"/>
      <c r="AB240" s="232"/>
      <c r="AC240" s="227"/>
      <c r="AD240" s="227"/>
      <c r="AE240" s="231"/>
      <c r="AF240" s="227"/>
      <c r="AG240" s="232"/>
      <c r="AH240" s="232"/>
      <c r="AI240" s="232"/>
      <c r="AJ240" s="232"/>
      <c r="AK240" s="232"/>
      <c r="AL240" s="232"/>
      <c r="AM240" s="232"/>
      <c r="AN240" s="232"/>
      <c r="AO240" s="231"/>
      <c r="AP240" s="231"/>
      <c r="AQ240" s="227"/>
      <c r="AR240" s="231"/>
      <c r="AS240" s="227"/>
      <c r="AT240" s="227"/>
      <c r="AU240" s="227"/>
      <c r="AV240" s="227"/>
    </row>
    <row r="241">
      <c r="A241" s="227"/>
      <c r="B241" s="232"/>
      <c r="C241" s="227"/>
      <c r="D241" s="227"/>
      <c r="E241" s="231"/>
      <c r="F241" s="232"/>
      <c r="G241" s="227"/>
      <c r="H241" s="227"/>
      <c r="I241" s="227"/>
      <c r="J241" s="227"/>
      <c r="K241" s="227"/>
      <c r="L241" s="232"/>
      <c r="M241" s="232"/>
      <c r="N241" s="227"/>
      <c r="O241" s="227"/>
      <c r="P241" s="231"/>
      <c r="Q241" s="227"/>
      <c r="R241" s="231"/>
      <c r="S241" s="231"/>
      <c r="T241" s="231"/>
      <c r="U241" s="231"/>
      <c r="V241" s="231"/>
      <c r="W241" s="231"/>
      <c r="X241" s="227"/>
      <c r="Y241" s="232"/>
      <c r="Z241" s="232"/>
      <c r="AA241" s="232"/>
      <c r="AB241" s="232"/>
      <c r="AC241" s="227"/>
      <c r="AD241" s="227"/>
      <c r="AE241" s="231"/>
      <c r="AF241" s="227"/>
      <c r="AG241" s="232"/>
      <c r="AH241" s="232"/>
      <c r="AI241" s="232"/>
      <c r="AJ241" s="232"/>
      <c r="AK241" s="232"/>
      <c r="AL241" s="232"/>
      <c r="AM241" s="232"/>
      <c r="AN241" s="232"/>
      <c r="AO241" s="231"/>
      <c r="AP241" s="231"/>
      <c r="AQ241" s="227"/>
      <c r="AR241" s="231"/>
      <c r="AS241" s="227"/>
      <c r="AT241" s="227"/>
      <c r="AU241" s="227"/>
      <c r="AV241" s="227"/>
    </row>
    <row r="242">
      <c r="A242" s="227"/>
      <c r="B242" s="232"/>
      <c r="C242" s="227"/>
      <c r="D242" s="227"/>
      <c r="E242" s="231"/>
      <c r="F242" s="232"/>
      <c r="G242" s="227"/>
      <c r="H242" s="227"/>
      <c r="I242" s="227"/>
      <c r="J242" s="227"/>
      <c r="K242" s="227"/>
      <c r="L242" s="232"/>
      <c r="M242" s="232"/>
      <c r="N242" s="227"/>
      <c r="O242" s="227"/>
      <c r="P242" s="231"/>
      <c r="Q242" s="227"/>
      <c r="R242" s="231"/>
      <c r="S242" s="231"/>
      <c r="T242" s="231"/>
      <c r="U242" s="231"/>
      <c r="V242" s="231"/>
      <c r="W242" s="231"/>
      <c r="X242" s="227"/>
      <c r="Y242" s="232"/>
      <c r="Z242" s="232"/>
      <c r="AA242" s="232"/>
      <c r="AB242" s="232"/>
      <c r="AC242" s="227"/>
      <c r="AD242" s="227"/>
      <c r="AE242" s="231"/>
      <c r="AF242" s="227"/>
      <c r="AG242" s="232"/>
      <c r="AH242" s="232"/>
      <c r="AI242" s="232"/>
      <c r="AJ242" s="232"/>
      <c r="AK242" s="232"/>
      <c r="AL242" s="232"/>
      <c r="AM242" s="232"/>
      <c r="AN242" s="232"/>
      <c r="AO242" s="231"/>
      <c r="AP242" s="231"/>
      <c r="AQ242" s="227"/>
      <c r="AR242" s="231"/>
      <c r="AS242" s="227"/>
      <c r="AT242" s="227"/>
      <c r="AU242" s="227"/>
      <c r="AV242" s="227"/>
    </row>
    <row r="243">
      <c r="A243" s="227"/>
      <c r="B243" s="232"/>
      <c r="C243" s="227"/>
      <c r="D243" s="227"/>
      <c r="E243" s="231"/>
      <c r="F243" s="232"/>
      <c r="G243" s="227"/>
      <c r="H243" s="227"/>
      <c r="I243" s="227"/>
      <c r="J243" s="227"/>
      <c r="K243" s="227"/>
      <c r="L243" s="232"/>
      <c r="M243" s="232"/>
      <c r="N243" s="227"/>
      <c r="O243" s="227"/>
      <c r="P243" s="231"/>
      <c r="Q243" s="227"/>
      <c r="R243" s="231"/>
      <c r="S243" s="231"/>
      <c r="T243" s="231"/>
      <c r="U243" s="231"/>
      <c r="V243" s="231"/>
      <c r="W243" s="231"/>
      <c r="X243" s="227"/>
      <c r="Y243" s="232"/>
      <c r="Z243" s="232"/>
      <c r="AA243" s="232"/>
      <c r="AB243" s="232"/>
      <c r="AC243" s="227"/>
      <c r="AD243" s="227"/>
      <c r="AE243" s="231"/>
      <c r="AF243" s="227"/>
      <c r="AG243" s="232"/>
      <c r="AH243" s="232"/>
      <c r="AI243" s="232"/>
      <c r="AJ243" s="232"/>
      <c r="AK243" s="232"/>
      <c r="AL243" s="232"/>
      <c r="AM243" s="232"/>
      <c r="AN243" s="232"/>
      <c r="AO243" s="231"/>
      <c r="AP243" s="231"/>
      <c r="AQ243" s="227"/>
      <c r="AR243" s="231"/>
      <c r="AS243" s="227"/>
      <c r="AT243" s="227"/>
      <c r="AU243" s="227"/>
      <c r="AV243" s="227"/>
    </row>
    <row r="244">
      <c r="A244" s="227"/>
      <c r="B244" s="232"/>
      <c r="C244" s="227"/>
      <c r="D244" s="227"/>
      <c r="E244" s="231"/>
      <c r="F244" s="232"/>
      <c r="G244" s="227"/>
      <c r="H244" s="227"/>
      <c r="I244" s="227"/>
      <c r="J244" s="227"/>
      <c r="K244" s="227"/>
      <c r="L244" s="232"/>
      <c r="M244" s="232"/>
      <c r="N244" s="227"/>
      <c r="O244" s="227"/>
      <c r="P244" s="231"/>
      <c r="Q244" s="227"/>
      <c r="R244" s="231"/>
      <c r="S244" s="231"/>
      <c r="T244" s="231"/>
      <c r="U244" s="231"/>
      <c r="V244" s="231"/>
      <c r="W244" s="231"/>
      <c r="X244" s="227"/>
      <c r="Y244" s="232"/>
      <c r="Z244" s="232"/>
      <c r="AA244" s="232"/>
      <c r="AB244" s="232"/>
      <c r="AC244" s="227"/>
      <c r="AD244" s="227"/>
      <c r="AE244" s="231"/>
      <c r="AF244" s="227"/>
      <c r="AG244" s="232"/>
      <c r="AH244" s="232"/>
      <c r="AI244" s="232"/>
      <c r="AJ244" s="232"/>
      <c r="AK244" s="232"/>
      <c r="AL244" s="232"/>
      <c r="AM244" s="232"/>
      <c r="AN244" s="232"/>
      <c r="AO244" s="231"/>
      <c r="AP244" s="231"/>
      <c r="AQ244" s="227"/>
      <c r="AR244" s="231"/>
      <c r="AS244" s="227"/>
      <c r="AT244" s="227"/>
      <c r="AU244" s="227"/>
      <c r="AV244" s="227"/>
    </row>
    <row r="245">
      <c r="A245" s="227"/>
      <c r="B245" s="232"/>
      <c r="C245" s="227"/>
      <c r="D245" s="227"/>
      <c r="E245" s="231"/>
      <c r="F245" s="232"/>
      <c r="G245" s="227"/>
      <c r="H245" s="227"/>
      <c r="I245" s="227"/>
      <c r="J245" s="227"/>
      <c r="K245" s="227"/>
      <c r="L245" s="232"/>
      <c r="M245" s="232"/>
      <c r="N245" s="227"/>
      <c r="O245" s="227"/>
      <c r="P245" s="231"/>
      <c r="Q245" s="227"/>
      <c r="R245" s="231"/>
      <c r="S245" s="231"/>
      <c r="T245" s="231"/>
      <c r="U245" s="231"/>
      <c r="V245" s="231"/>
      <c r="W245" s="231"/>
      <c r="X245" s="227"/>
      <c r="Y245" s="232"/>
      <c r="Z245" s="232"/>
      <c r="AA245" s="232"/>
      <c r="AB245" s="232"/>
      <c r="AC245" s="227"/>
      <c r="AD245" s="227"/>
      <c r="AE245" s="231"/>
      <c r="AF245" s="227"/>
      <c r="AG245" s="232"/>
      <c r="AH245" s="232"/>
      <c r="AI245" s="232"/>
      <c r="AJ245" s="232"/>
      <c r="AK245" s="232"/>
      <c r="AL245" s="232"/>
      <c r="AM245" s="232"/>
      <c r="AN245" s="232"/>
      <c r="AO245" s="231"/>
      <c r="AP245" s="231"/>
      <c r="AQ245" s="227"/>
      <c r="AR245" s="231"/>
      <c r="AS245" s="227"/>
      <c r="AT245" s="227"/>
      <c r="AU245" s="227"/>
      <c r="AV245" s="227"/>
    </row>
    <row r="246">
      <c r="A246" s="227"/>
      <c r="B246" s="232"/>
      <c r="C246" s="227"/>
      <c r="D246" s="227"/>
      <c r="E246" s="231"/>
      <c r="F246" s="232"/>
      <c r="G246" s="227"/>
      <c r="H246" s="227"/>
      <c r="I246" s="227"/>
      <c r="J246" s="227"/>
      <c r="K246" s="227"/>
      <c r="L246" s="232"/>
      <c r="M246" s="232"/>
      <c r="N246" s="227"/>
      <c r="O246" s="227"/>
      <c r="P246" s="231"/>
      <c r="Q246" s="227"/>
      <c r="R246" s="231"/>
      <c r="S246" s="231"/>
      <c r="T246" s="231"/>
      <c r="U246" s="231"/>
      <c r="V246" s="231"/>
      <c r="W246" s="231"/>
      <c r="X246" s="227"/>
      <c r="Y246" s="232"/>
      <c r="Z246" s="232"/>
      <c r="AA246" s="232"/>
      <c r="AB246" s="232"/>
      <c r="AC246" s="227"/>
      <c r="AD246" s="227"/>
      <c r="AE246" s="231"/>
      <c r="AF246" s="227"/>
      <c r="AG246" s="232"/>
      <c r="AH246" s="232"/>
      <c r="AI246" s="232"/>
      <c r="AJ246" s="232"/>
      <c r="AK246" s="232"/>
      <c r="AL246" s="232"/>
      <c r="AM246" s="232"/>
      <c r="AN246" s="232"/>
      <c r="AO246" s="231"/>
      <c r="AP246" s="231"/>
      <c r="AQ246" s="227"/>
      <c r="AR246" s="231"/>
      <c r="AS246" s="227"/>
      <c r="AT246" s="227"/>
      <c r="AU246" s="227"/>
      <c r="AV246" s="227"/>
    </row>
    <row r="247">
      <c r="A247" s="227"/>
      <c r="B247" s="232"/>
      <c r="C247" s="227"/>
      <c r="D247" s="227"/>
      <c r="E247" s="231"/>
      <c r="F247" s="232"/>
      <c r="G247" s="227"/>
      <c r="H247" s="227"/>
      <c r="I247" s="227"/>
      <c r="J247" s="227"/>
      <c r="K247" s="227"/>
      <c r="L247" s="232"/>
      <c r="M247" s="232"/>
      <c r="N247" s="227"/>
      <c r="O247" s="227"/>
      <c r="P247" s="231"/>
      <c r="Q247" s="227"/>
      <c r="R247" s="231"/>
      <c r="S247" s="231"/>
      <c r="T247" s="231"/>
      <c r="U247" s="231"/>
      <c r="V247" s="231"/>
      <c r="W247" s="231"/>
      <c r="X247" s="227"/>
      <c r="Y247" s="232"/>
      <c r="Z247" s="232"/>
      <c r="AA247" s="232"/>
      <c r="AB247" s="232"/>
      <c r="AC247" s="227"/>
      <c r="AD247" s="227"/>
      <c r="AE247" s="231"/>
      <c r="AF247" s="227"/>
      <c r="AG247" s="232"/>
      <c r="AH247" s="232"/>
      <c r="AI247" s="232"/>
      <c r="AJ247" s="232"/>
      <c r="AK247" s="232"/>
      <c r="AL247" s="232"/>
      <c r="AM247" s="232"/>
      <c r="AN247" s="232"/>
      <c r="AO247" s="231"/>
      <c r="AP247" s="231"/>
      <c r="AQ247" s="227"/>
      <c r="AR247" s="231"/>
      <c r="AS247" s="227"/>
      <c r="AT247" s="227"/>
      <c r="AU247" s="227"/>
      <c r="AV247" s="227"/>
    </row>
    <row r="248">
      <c r="A248" s="227"/>
      <c r="B248" s="232"/>
      <c r="C248" s="227"/>
      <c r="D248" s="227"/>
      <c r="E248" s="231"/>
      <c r="F248" s="232"/>
      <c r="G248" s="227"/>
      <c r="H248" s="227"/>
      <c r="I248" s="227"/>
      <c r="J248" s="227"/>
      <c r="K248" s="227"/>
      <c r="L248" s="232"/>
      <c r="M248" s="232"/>
      <c r="N248" s="227"/>
      <c r="O248" s="227"/>
      <c r="P248" s="231"/>
      <c r="Q248" s="227"/>
      <c r="R248" s="231"/>
      <c r="S248" s="231"/>
      <c r="T248" s="231"/>
      <c r="U248" s="231"/>
      <c r="V248" s="231"/>
      <c r="W248" s="231"/>
      <c r="X248" s="227"/>
      <c r="Y248" s="232"/>
      <c r="Z248" s="232"/>
      <c r="AA248" s="232"/>
      <c r="AB248" s="232"/>
      <c r="AC248" s="227"/>
      <c r="AD248" s="227"/>
      <c r="AE248" s="231"/>
      <c r="AF248" s="227"/>
      <c r="AG248" s="232"/>
      <c r="AH248" s="232"/>
      <c r="AI248" s="232"/>
      <c r="AJ248" s="232"/>
      <c r="AK248" s="232"/>
      <c r="AL248" s="232"/>
      <c r="AM248" s="232"/>
      <c r="AN248" s="232"/>
      <c r="AO248" s="231"/>
      <c r="AP248" s="231"/>
      <c r="AQ248" s="227"/>
      <c r="AR248" s="231"/>
      <c r="AS248" s="227"/>
      <c r="AT248" s="227"/>
      <c r="AU248" s="227"/>
      <c r="AV248" s="227"/>
    </row>
    <row r="249">
      <c r="A249" s="227"/>
      <c r="B249" s="232"/>
      <c r="C249" s="227"/>
      <c r="D249" s="227"/>
      <c r="E249" s="231"/>
      <c r="F249" s="232"/>
      <c r="G249" s="227"/>
      <c r="H249" s="227"/>
      <c r="I249" s="227"/>
      <c r="J249" s="227"/>
      <c r="K249" s="227"/>
      <c r="L249" s="232"/>
      <c r="M249" s="232"/>
      <c r="N249" s="227"/>
      <c r="O249" s="227"/>
      <c r="P249" s="231"/>
      <c r="Q249" s="227"/>
      <c r="R249" s="231"/>
      <c r="S249" s="231"/>
      <c r="T249" s="231"/>
      <c r="U249" s="231"/>
      <c r="V249" s="231"/>
      <c r="W249" s="231"/>
      <c r="X249" s="227"/>
      <c r="Y249" s="232"/>
      <c r="Z249" s="232"/>
      <c r="AA249" s="232"/>
      <c r="AB249" s="232"/>
      <c r="AC249" s="227"/>
      <c r="AD249" s="227"/>
      <c r="AE249" s="231"/>
      <c r="AF249" s="227"/>
      <c r="AG249" s="232"/>
      <c r="AH249" s="232"/>
      <c r="AI249" s="232"/>
      <c r="AJ249" s="232"/>
      <c r="AK249" s="232"/>
      <c r="AL249" s="232"/>
      <c r="AM249" s="232"/>
      <c r="AN249" s="232"/>
      <c r="AO249" s="231"/>
      <c r="AP249" s="231"/>
      <c r="AQ249" s="227"/>
      <c r="AR249" s="231"/>
      <c r="AS249" s="227"/>
      <c r="AT249" s="227"/>
      <c r="AU249" s="227"/>
      <c r="AV249" s="227"/>
    </row>
    <row r="250">
      <c r="A250" s="227"/>
      <c r="B250" s="232"/>
      <c r="C250" s="227"/>
      <c r="D250" s="227"/>
      <c r="E250" s="231"/>
      <c r="F250" s="232"/>
      <c r="G250" s="227"/>
      <c r="H250" s="227"/>
      <c r="I250" s="227"/>
      <c r="J250" s="227"/>
      <c r="K250" s="227"/>
      <c r="L250" s="232"/>
      <c r="M250" s="232"/>
      <c r="N250" s="227"/>
      <c r="O250" s="227"/>
      <c r="P250" s="231"/>
      <c r="Q250" s="227"/>
      <c r="R250" s="231"/>
      <c r="S250" s="231"/>
      <c r="T250" s="231"/>
      <c r="U250" s="231"/>
      <c r="V250" s="231"/>
      <c r="W250" s="231"/>
      <c r="X250" s="227"/>
      <c r="Y250" s="232"/>
      <c r="Z250" s="232"/>
      <c r="AA250" s="232"/>
      <c r="AB250" s="232"/>
      <c r="AC250" s="227"/>
      <c r="AD250" s="227"/>
      <c r="AE250" s="231"/>
      <c r="AF250" s="227"/>
      <c r="AG250" s="232"/>
      <c r="AH250" s="232"/>
      <c r="AI250" s="232"/>
      <c r="AJ250" s="232"/>
      <c r="AK250" s="232"/>
      <c r="AL250" s="232"/>
      <c r="AM250" s="232"/>
      <c r="AN250" s="232"/>
      <c r="AO250" s="231"/>
      <c r="AP250" s="231"/>
      <c r="AQ250" s="227"/>
      <c r="AR250" s="231"/>
      <c r="AS250" s="227"/>
      <c r="AT250" s="227"/>
      <c r="AU250" s="227"/>
      <c r="AV250" s="227"/>
    </row>
    <row r="251">
      <c r="A251" s="227"/>
      <c r="B251" s="232"/>
      <c r="C251" s="227"/>
      <c r="D251" s="227"/>
      <c r="E251" s="231"/>
      <c r="F251" s="232"/>
      <c r="G251" s="227"/>
      <c r="H251" s="227"/>
      <c r="I251" s="227"/>
      <c r="J251" s="227"/>
      <c r="K251" s="227"/>
      <c r="L251" s="232"/>
      <c r="M251" s="232"/>
      <c r="N251" s="227"/>
      <c r="O251" s="227"/>
      <c r="P251" s="231"/>
      <c r="Q251" s="227"/>
      <c r="R251" s="231"/>
      <c r="S251" s="231"/>
      <c r="T251" s="231"/>
      <c r="U251" s="231"/>
      <c r="V251" s="231"/>
      <c r="W251" s="231"/>
      <c r="X251" s="227"/>
      <c r="Y251" s="232"/>
      <c r="Z251" s="232"/>
      <c r="AA251" s="232"/>
      <c r="AB251" s="232"/>
      <c r="AC251" s="227"/>
      <c r="AD251" s="227"/>
      <c r="AE251" s="231"/>
      <c r="AF251" s="227"/>
      <c r="AG251" s="232"/>
      <c r="AH251" s="232"/>
      <c r="AI251" s="232"/>
      <c r="AJ251" s="232"/>
      <c r="AK251" s="232"/>
      <c r="AL251" s="232"/>
      <c r="AM251" s="232"/>
      <c r="AN251" s="232"/>
      <c r="AO251" s="231"/>
      <c r="AP251" s="231"/>
      <c r="AQ251" s="227"/>
      <c r="AR251" s="231"/>
      <c r="AS251" s="227"/>
      <c r="AT251" s="227"/>
      <c r="AU251" s="227"/>
      <c r="AV251" s="227"/>
    </row>
    <row r="252">
      <c r="A252" s="227"/>
      <c r="B252" s="232"/>
      <c r="C252" s="227"/>
      <c r="D252" s="227"/>
      <c r="E252" s="231"/>
      <c r="F252" s="232"/>
      <c r="G252" s="227"/>
      <c r="H252" s="227"/>
      <c r="I252" s="227"/>
      <c r="J252" s="227"/>
      <c r="K252" s="227"/>
      <c r="L252" s="232"/>
      <c r="M252" s="232"/>
      <c r="N252" s="227"/>
      <c r="O252" s="227"/>
      <c r="P252" s="231"/>
      <c r="Q252" s="227"/>
      <c r="R252" s="231"/>
      <c r="S252" s="231"/>
      <c r="T252" s="231"/>
      <c r="U252" s="231"/>
      <c r="V252" s="231"/>
      <c r="W252" s="231"/>
      <c r="X252" s="227"/>
      <c r="Y252" s="232"/>
      <c r="Z252" s="232"/>
      <c r="AA252" s="232"/>
      <c r="AB252" s="232"/>
      <c r="AC252" s="227"/>
      <c r="AD252" s="227"/>
      <c r="AE252" s="231"/>
      <c r="AF252" s="227"/>
      <c r="AG252" s="232"/>
      <c r="AH252" s="232"/>
      <c r="AI252" s="232"/>
      <c r="AJ252" s="232"/>
      <c r="AK252" s="232"/>
      <c r="AL252" s="232"/>
      <c r="AM252" s="232"/>
      <c r="AN252" s="232"/>
      <c r="AO252" s="231"/>
      <c r="AP252" s="231"/>
      <c r="AQ252" s="227"/>
      <c r="AR252" s="231"/>
      <c r="AS252" s="227"/>
      <c r="AT252" s="227"/>
      <c r="AU252" s="227"/>
      <c r="AV252" s="227"/>
    </row>
    <row r="253">
      <c r="A253" s="227"/>
      <c r="B253" s="232"/>
      <c r="C253" s="227"/>
      <c r="D253" s="227"/>
      <c r="E253" s="231"/>
      <c r="F253" s="232"/>
      <c r="G253" s="227"/>
      <c r="H253" s="227"/>
      <c r="I253" s="227"/>
      <c r="J253" s="227"/>
      <c r="K253" s="227"/>
      <c r="L253" s="232"/>
      <c r="M253" s="232"/>
      <c r="N253" s="227"/>
      <c r="O253" s="227"/>
      <c r="P253" s="231"/>
      <c r="Q253" s="227"/>
      <c r="R253" s="231"/>
      <c r="S253" s="231"/>
      <c r="T253" s="231"/>
      <c r="U253" s="231"/>
      <c r="V253" s="231"/>
      <c r="W253" s="231"/>
      <c r="X253" s="227"/>
      <c r="Y253" s="232"/>
      <c r="Z253" s="232"/>
      <c r="AA253" s="232"/>
      <c r="AB253" s="232"/>
      <c r="AC253" s="227"/>
      <c r="AD253" s="227"/>
      <c r="AE253" s="231"/>
      <c r="AF253" s="227"/>
      <c r="AG253" s="232"/>
      <c r="AH253" s="232"/>
      <c r="AI253" s="232"/>
      <c r="AJ253" s="232"/>
      <c r="AK253" s="232"/>
      <c r="AL253" s="232"/>
      <c r="AM253" s="232"/>
      <c r="AN253" s="232"/>
      <c r="AO253" s="231"/>
      <c r="AP253" s="231"/>
      <c r="AQ253" s="227"/>
      <c r="AR253" s="231"/>
      <c r="AS253" s="227"/>
      <c r="AT253" s="227"/>
      <c r="AU253" s="227"/>
      <c r="AV253" s="227"/>
    </row>
    <row r="254">
      <c r="A254" s="227"/>
      <c r="B254" s="232"/>
      <c r="C254" s="227"/>
      <c r="D254" s="227"/>
      <c r="E254" s="231"/>
      <c r="F254" s="232"/>
      <c r="G254" s="227"/>
      <c r="H254" s="227"/>
      <c r="I254" s="227"/>
      <c r="J254" s="227"/>
      <c r="K254" s="227"/>
      <c r="L254" s="232"/>
      <c r="M254" s="232"/>
      <c r="N254" s="227"/>
      <c r="O254" s="227"/>
      <c r="P254" s="231"/>
      <c r="Q254" s="227"/>
      <c r="R254" s="231"/>
      <c r="S254" s="231"/>
      <c r="T254" s="231"/>
      <c r="U254" s="231"/>
      <c r="V254" s="231"/>
      <c r="W254" s="231"/>
      <c r="X254" s="227"/>
      <c r="Y254" s="232"/>
      <c r="Z254" s="232"/>
      <c r="AA254" s="232"/>
      <c r="AB254" s="232"/>
      <c r="AC254" s="227"/>
      <c r="AD254" s="227"/>
      <c r="AE254" s="231"/>
      <c r="AF254" s="227"/>
      <c r="AG254" s="232"/>
      <c r="AH254" s="232"/>
      <c r="AI254" s="232"/>
      <c r="AJ254" s="232"/>
      <c r="AK254" s="232"/>
      <c r="AL254" s="232"/>
      <c r="AM254" s="232"/>
      <c r="AN254" s="232"/>
      <c r="AO254" s="231"/>
      <c r="AP254" s="231"/>
      <c r="AQ254" s="227"/>
      <c r="AR254" s="231"/>
      <c r="AS254" s="227"/>
      <c r="AT254" s="227"/>
      <c r="AU254" s="227"/>
      <c r="AV254" s="227"/>
    </row>
    <row r="255">
      <c r="A255" s="227"/>
      <c r="B255" s="232"/>
      <c r="C255" s="227"/>
      <c r="D255" s="227"/>
      <c r="E255" s="231"/>
      <c r="F255" s="232"/>
      <c r="G255" s="227"/>
      <c r="H255" s="227"/>
      <c r="I255" s="227"/>
      <c r="J255" s="227"/>
      <c r="K255" s="227"/>
      <c r="L255" s="232"/>
      <c r="M255" s="232"/>
      <c r="N255" s="227"/>
      <c r="O255" s="227"/>
      <c r="P255" s="231"/>
      <c r="Q255" s="227"/>
      <c r="R255" s="231"/>
      <c r="S255" s="231"/>
      <c r="T255" s="231"/>
      <c r="U255" s="231"/>
      <c r="V255" s="231"/>
      <c r="W255" s="231"/>
      <c r="X255" s="227"/>
      <c r="Y255" s="232"/>
      <c r="Z255" s="232"/>
      <c r="AA255" s="232"/>
      <c r="AB255" s="232"/>
      <c r="AC255" s="227"/>
      <c r="AD255" s="227"/>
      <c r="AE255" s="231"/>
      <c r="AF255" s="227"/>
      <c r="AG255" s="232"/>
      <c r="AH255" s="232"/>
      <c r="AI255" s="232"/>
      <c r="AJ255" s="232"/>
      <c r="AK255" s="232"/>
      <c r="AL255" s="232"/>
      <c r="AM255" s="232"/>
      <c r="AN255" s="232"/>
      <c r="AO255" s="231"/>
      <c r="AP255" s="231"/>
      <c r="AQ255" s="227"/>
      <c r="AR255" s="227"/>
      <c r="AS255" s="227"/>
      <c r="AT255" s="227"/>
      <c r="AU255" s="227"/>
      <c r="AV255" s="227"/>
    </row>
    <row r="256">
      <c r="A256" s="227"/>
      <c r="B256" s="232"/>
      <c r="C256" s="227"/>
      <c r="D256" s="227"/>
      <c r="E256" s="231"/>
      <c r="F256" s="232"/>
      <c r="G256" s="227"/>
      <c r="H256" s="227"/>
      <c r="I256" s="227"/>
      <c r="J256" s="227"/>
      <c r="K256" s="227"/>
      <c r="L256" s="232"/>
      <c r="M256" s="232"/>
      <c r="N256" s="227"/>
      <c r="O256" s="227"/>
      <c r="P256" s="231"/>
      <c r="Q256" s="227"/>
      <c r="R256" s="231"/>
      <c r="S256" s="231"/>
      <c r="T256" s="231"/>
      <c r="U256" s="231"/>
      <c r="V256" s="231"/>
      <c r="W256" s="231"/>
      <c r="X256" s="227"/>
      <c r="Y256" s="232"/>
      <c r="Z256" s="232"/>
      <c r="AA256" s="232"/>
      <c r="AB256" s="232"/>
      <c r="AC256" s="227"/>
      <c r="AD256" s="227"/>
      <c r="AE256" s="231"/>
      <c r="AF256" s="227"/>
      <c r="AG256" s="232"/>
      <c r="AH256" s="232"/>
      <c r="AI256" s="232"/>
      <c r="AJ256" s="232"/>
      <c r="AK256" s="232"/>
      <c r="AL256" s="232"/>
      <c r="AM256" s="232"/>
      <c r="AN256" s="232"/>
      <c r="AO256" s="231"/>
      <c r="AP256" s="231"/>
      <c r="AQ256" s="227"/>
      <c r="AR256" s="231"/>
      <c r="AS256" s="227"/>
      <c r="AT256" s="227"/>
      <c r="AU256" s="227"/>
      <c r="AV256" s="227"/>
    </row>
    <row r="257">
      <c r="A257" s="227"/>
      <c r="B257" s="232"/>
      <c r="C257" s="227"/>
      <c r="D257" s="227"/>
      <c r="E257" s="231"/>
      <c r="F257" s="232"/>
      <c r="G257" s="227"/>
      <c r="H257" s="227"/>
      <c r="I257" s="227"/>
      <c r="J257" s="227"/>
      <c r="K257" s="227"/>
      <c r="L257" s="232"/>
      <c r="M257" s="232"/>
      <c r="N257" s="227"/>
      <c r="O257" s="227"/>
      <c r="P257" s="231"/>
      <c r="Q257" s="227"/>
      <c r="R257" s="231"/>
      <c r="S257" s="231"/>
      <c r="T257" s="231"/>
      <c r="U257" s="231"/>
      <c r="V257" s="231"/>
      <c r="W257" s="231"/>
      <c r="X257" s="227"/>
      <c r="Y257" s="232"/>
      <c r="Z257" s="232"/>
      <c r="AA257" s="232"/>
      <c r="AB257" s="232"/>
      <c r="AC257" s="227"/>
      <c r="AD257" s="227"/>
      <c r="AE257" s="231"/>
      <c r="AF257" s="227"/>
      <c r="AG257" s="232"/>
      <c r="AH257" s="232"/>
      <c r="AI257" s="232"/>
      <c r="AJ257" s="232"/>
      <c r="AK257" s="232"/>
      <c r="AL257" s="232"/>
      <c r="AM257" s="232"/>
      <c r="AN257" s="232"/>
      <c r="AO257" s="231"/>
      <c r="AP257" s="231"/>
      <c r="AQ257" s="227"/>
      <c r="AR257" s="231"/>
      <c r="AS257" s="227"/>
      <c r="AT257" s="227"/>
      <c r="AU257" s="227"/>
      <c r="AV257" s="227"/>
    </row>
    <row r="258">
      <c r="A258" s="227"/>
      <c r="B258" s="232"/>
      <c r="C258" s="227"/>
      <c r="D258" s="227"/>
      <c r="E258" s="231"/>
      <c r="F258" s="232"/>
      <c r="G258" s="227"/>
      <c r="H258" s="227"/>
      <c r="I258" s="227"/>
      <c r="J258" s="227"/>
      <c r="K258" s="227"/>
      <c r="L258" s="232"/>
      <c r="M258" s="232"/>
      <c r="N258" s="227"/>
      <c r="O258" s="227"/>
      <c r="P258" s="231"/>
      <c r="Q258" s="227"/>
      <c r="R258" s="231"/>
      <c r="S258" s="231"/>
      <c r="T258" s="231"/>
      <c r="U258" s="231"/>
      <c r="V258" s="231"/>
      <c r="W258" s="231"/>
      <c r="X258" s="227"/>
      <c r="Y258" s="232"/>
      <c r="Z258" s="232"/>
      <c r="AA258" s="232"/>
      <c r="AB258" s="232"/>
      <c r="AC258" s="227"/>
      <c r="AD258" s="227"/>
      <c r="AE258" s="231"/>
      <c r="AF258" s="227"/>
      <c r="AG258" s="232"/>
      <c r="AH258" s="232"/>
      <c r="AI258" s="232"/>
      <c r="AJ258" s="232"/>
      <c r="AK258" s="232"/>
      <c r="AL258" s="232"/>
      <c r="AM258" s="232"/>
      <c r="AN258" s="232"/>
      <c r="AO258" s="231"/>
      <c r="AP258" s="231"/>
      <c r="AQ258" s="227"/>
      <c r="AR258" s="231"/>
      <c r="AS258" s="227"/>
      <c r="AT258" s="227"/>
      <c r="AU258" s="227"/>
      <c r="AV258" s="227"/>
    </row>
    <row r="259">
      <c r="A259" s="227"/>
      <c r="B259" s="232"/>
      <c r="C259" s="227"/>
      <c r="D259" s="227"/>
      <c r="E259" s="231"/>
      <c r="F259" s="232"/>
      <c r="G259" s="227"/>
      <c r="H259" s="227"/>
      <c r="I259" s="227"/>
      <c r="J259" s="227"/>
      <c r="K259" s="227"/>
      <c r="L259" s="232"/>
      <c r="M259" s="232"/>
      <c r="N259" s="227"/>
      <c r="O259" s="227"/>
      <c r="P259" s="231"/>
      <c r="Q259" s="227"/>
      <c r="R259" s="231"/>
      <c r="S259" s="231"/>
      <c r="T259" s="231"/>
      <c r="U259" s="231"/>
      <c r="V259" s="231"/>
      <c r="W259" s="231"/>
      <c r="X259" s="227"/>
      <c r="Y259" s="232"/>
      <c r="Z259" s="232"/>
      <c r="AA259" s="232"/>
      <c r="AB259" s="232"/>
      <c r="AC259" s="227"/>
      <c r="AD259" s="227"/>
      <c r="AE259" s="231"/>
      <c r="AF259" s="227"/>
      <c r="AG259" s="232"/>
      <c r="AH259" s="232"/>
      <c r="AI259" s="232"/>
      <c r="AJ259" s="232"/>
      <c r="AK259" s="232"/>
      <c r="AL259" s="232"/>
      <c r="AM259" s="232"/>
      <c r="AN259" s="232"/>
      <c r="AO259" s="231"/>
      <c r="AP259" s="231"/>
      <c r="AQ259" s="227"/>
      <c r="AR259" s="231"/>
      <c r="AS259" s="227"/>
      <c r="AT259" s="227"/>
      <c r="AU259" s="227"/>
      <c r="AV259" s="227"/>
    </row>
    <row r="260">
      <c r="A260" s="227"/>
      <c r="B260" s="232"/>
      <c r="C260" s="227"/>
      <c r="D260" s="227"/>
      <c r="E260" s="231"/>
      <c r="F260" s="232"/>
      <c r="G260" s="227"/>
      <c r="H260" s="227"/>
      <c r="I260" s="227"/>
      <c r="J260" s="227"/>
      <c r="K260" s="227"/>
      <c r="L260" s="232"/>
      <c r="M260" s="232"/>
      <c r="N260" s="227"/>
      <c r="O260" s="227"/>
      <c r="P260" s="231"/>
      <c r="Q260" s="227"/>
      <c r="R260" s="231"/>
      <c r="S260" s="231"/>
      <c r="T260" s="231"/>
      <c r="U260" s="231"/>
      <c r="V260" s="231"/>
      <c r="W260" s="231"/>
      <c r="X260" s="227"/>
      <c r="Y260" s="232"/>
      <c r="Z260" s="232"/>
      <c r="AA260" s="232"/>
      <c r="AB260" s="232"/>
      <c r="AC260" s="227"/>
      <c r="AD260" s="227"/>
      <c r="AE260" s="231"/>
      <c r="AF260" s="227"/>
      <c r="AG260" s="232"/>
      <c r="AH260" s="232"/>
      <c r="AI260" s="232"/>
      <c r="AJ260" s="232"/>
      <c r="AK260" s="232"/>
      <c r="AL260" s="232"/>
      <c r="AM260" s="232"/>
      <c r="AN260" s="232"/>
      <c r="AO260" s="231"/>
      <c r="AP260" s="231"/>
      <c r="AQ260" s="227"/>
      <c r="AR260" s="231"/>
      <c r="AS260" s="227"/>
      <c r="AT260" s="227"/>
      <c r="AU260" s="227"/>
      <c r="AV260" s="227"/>
    </row>
    <row r="261">
      <c r="A261" s="227"/>
      <c r="B261" s="232"/>
      <c r="C261" s="227"/>
      <c r="D261" s="227"/>
      <c r="E261" s="231"/>
      <c r="F261" s="232"/>
      <c r="G261" s="227"/>
      <c r="H261" s="227"/>
      <c r="I261" s="227"/>
      <c r="J261" s="227"/>
      <c r="K261" s="227"/>
      <c r="L261" s="232"/>
      <c r="M261" s="232"/>
      <c r="N261" s="227"/>
      <c r="O261" s="227"/>
      <c r="P261" s="231"/>
      <c r="Q261" s="227"/>
      <c r="R261" s="231"/>
      <c r="S261" s="231"/>
      <c r="T261" s="231"/>
      <c r="U261" s="231"/>
      <c r="V261" s="231"/>
      <c r="W261" s="231"/>
      <c r="X261" s="227"/>
      <c r="Y261" s="232"/>
      <c r="Z261" s="232"/>
      <c r="AA261" s="232"/>
      <c r="AB261" s="232"/>
      <c r="AC261" s="227"/>
      <c r="AD261" s="227"/>
      <c r="AE261" s="231"/>
      <c r="AF261" s="227"/>
      <c r="AG261" s="232"/>
      <c r="AH261" s="232"/>
      <c r="AI261" s="232"/>
      <c r="AJ261" s="232"/>
      <c r="AK261" s="232"/>
      <c r="AL261" s="232"/>
      <c r="AM261" s="232"/>
      <c r="AN261" s="232"/>
      <c r="AO261" s="231"/>
      <c r="AP261" s="231"/>
      <c r="AQ261" s="227"/>
      <c r="AR261" s="231"/>
      <c r="AS261" s="227"/>
      <c r="AT261" s="227"/>
      <c r="AU261" s="227"/>
      <c r="AV261" s="227"/>
    </row>
    <row r="262">
      <c r="A262" s="227"/>
      <c r="B262" s="232"/>
      <c r="C262" s="227"/>
      <c r="D262" s="227"/>
      <c r="E262" s="231"/>
      <c r="F262" s="232"/>
      <c r="G262" s="227"/>
      <c r="H262" s="227"/>
      <c r="I262" s="227"/>
      <c r="J262" s="227"/>
      <c r="K262" s="227"/>
      <c r="L262" s="232"/>
      <c r="M262" s="232"/>
      <c r="N262" s="227"/>
      <c r="O262" s="227"/>
      <c r="P262" s="231"/>
      <c r="Q262" s="227"/>
      <c r="R262" s="231"/>
      <c r="S262" s="231"/>
      <c r="T262" s="231"/>
      <c r="U262" s="231"/>
      <c r="V262" s="231"/>
      <c r="W262" s="231"/>
      <c r="X262" s="227"/>
      <c r="Y262" s="232"/>
      <c r="Z262" s="232"/>
      <c r="AA262" s="232"/>
      <c r="AB262" s="232"/>
      <c r="AC262" s="227"/>
      <c r="AD262" s="227"/>
      <c r="AE262" s="231"/>
      <c r="AF262" s="227"/>
      <c r="AG262" s="232"/>
      <c r="AH262" s="232"/>
      <c r="AI262" s="232"/>
      <c r="AJ262" s="232"/>
      <c r="AK262" s="232"/>
      <c r="AL262" s="232"/>
      <c r="AM262" s="232"/>
      <c r="AN262" s="232"/>
      <c r="AO262" s="231"/>
      <c r="AP262" s="231"/>
      <c r="AQ262" s="227"/>
      <c r="AR262" s="231"/>
      <c r="AS262" s="227"/>
      <c r="AT262" s="227"/>
      <c r="AU262" s="227"/>
      <c r="AV262" s="227"/>
    </row>
    <row r="263">
      <c r="A263" s="227"/>
      <c r="B263" s="232"/>
      <c r="C263" s="227"/>
      <c r="D263" s="227"/>
      <c r="E263" s="231"/>
      <c r="F263" s="232"/>
      <c r="G263" s="227"/>
      <c r="H263" s="227"/>
      <c r="I263" s="227"/>
      <c r="J263" s="227"/>
      <c r="K263" s="227"/>
      <c r="L263" s="232"/>
      <c r="M263" s="232"/>
      <c r="N263" s="227"/>
      <c r="O263" s="227"/>
      <c r="P263" s="231"/>
      <c r="Q263" s="227"/>
      <c r="R263" s="231"/>
      <c r="S263" s="231"/>
      <c r="T263" s="231"/>
      <c r="U263" s="231"/>
      <c r="V263" s="231"/>
      <c r="W263" s="231"/>
      <c r="X263" s="227"/>
      <c r="Y263" s="232"/>
      <c r="Z263" s="232"/>
      <c r="AA263" s="232"/>
      <c r="AB263" s="232"/>
      <c r="AC263" s="227"/>
      <c r="AD263" s="227"/>
      <c r="AE263" s="231"/>
      <c r="AF263" s="227"/>
      <c r="AG263" s="232"/>
      <c r="AH263" s="232"/>
      <c r="AI263" s="232"/>
      <c r="AJ263" s="232"/>
      <c r="AK263" s="232"/>
      <c r="AL263" s="232"/>
      <c r="AM263" s="232"/>
      <c r="AN263" s="232"/>
      <c r="AO263" s="231"/>
      <c r="AP263" s="231"/>
      <c r="AQ263" s="227"/>
      <c r="AR263" s="231"/>
      <c r="AS263" s="227"/>
      <c r="AT263" s="227"/>
      <c r="AU263" s="227"/>
      <c r="AV263" s="227"/>
    </row>
    <row r="264">
      <c r="A264" s="227"/>
      <c r="B264" s="232"/>
      <c r="C264" s="227"/>
      <c r="D264" s="227"/>
      <c r="E264" s="231"/>
      <c r="F264" s="232"/>
      <c r="G264" s="227"/>
      <c r="H264" s="227"/>
      <c r="I264" s="227"/>
      <c r="J264" s="227"/>
      <c r="K264" s="227"/>
      <c r="L264" s="232"/>
      <c r="M264" s="232"/>
      <c r="N264" s="227"/>
      <c r="O264" s="227"/>
      <c r="P264" s="231"/>
      <c r="Q264" s="227"/>
      <c r="R264" s="231"/>
      <c r="S264" s="231"/>
      <c r="T264" s="231"/>
      <c r="U264" s="231"/>
      <c r="V264" s="231"/>
      <c r="W264" s="231"/>
      <c r="X264" s="227"/>
      <c r="Y264" s="232"/>
      <c r="Z264" s="232"/>
      <c r="AA264" s="232"/>
      <c r="AB264" s="232"/>
      <c r="AC264" s="227"/>
      <c r="AD264" s="227"/>
      <c r="AE264" s="231"/>
      <c r="AF264" s="227"/>
      <c r="AG264" s="232"/>
      <c r="AH264" s="232"/>
      <c r="AI264" s="232"/>
      <c r="AJ264" s="232"/>
      <c r="AK264" s="232"/>
      <c r="AL264" s="232"/>
      <c r="AM264" s="232"/>
      <c r="AN264" s="232"/>
      <c r="AO264" s="231"/>
      <c r="AP264" s="231"/>
      <c r="AQ264" s="227"/>
      <c r="AR264" s="231"/>
      <c r="AS264" s="227"/>
      <c r="AT264" s="227"/>
      <c r="AU264" s="227"/>
      <c r="AV264" s="227"/>
    </row>
    <row r="265">
      <c r="A265" s="227"/>
      <c r="B265" s="232"/>
      <c r="C265" s="227"/>
      <c r="D265" s="227"/>
      <c r="E265" s="231"/>
      <c r="F265" s="232"/>
      <c r="G265" s="227"/>
      <c r="H265" s="227"/>
      <c r="I265" s="227"/>
      <c r="J265" s="227"/>
      <c r="K265" s="227"/>
      <c r="L265" s="232"/>
      <c r="M265" s="232"/>
      <c r="N265" s="227"/>
      <c r="O265" s="227"/>
      <c r="P265" s="231"/>
      <c r="Q265" s="227"/>
      <c r="R265" s="231"/>
      <c r="S265" s="231"/>
      <c r="T265" s="231"/>
      <c r="U265" s="231"/>
      <c r="V265" s="231"/>
      <c r="W265" s="231"/>
      <c r="X265" s="227"/>
      <c r="Y265" s="232"/>
      <c r="Z265" s="232"/>
      <c r="AA265" s="232"/>
      <c r="AB265" s="232"/>
      <c r="AC265" s="227"/>
      <c r="AD265" s="227"/>
      <c r="AE265" s="231"/>
      <c r="AF265" s="227"/>
      <c r="AG265" s="232"/>
      <c r="AH265" s="232"/>
      <c r="AI265" s="232"/>
      <c r="AJ265" s="232"/>
      <c r="AK265" s="232"/>
      <c r="AL265" s="232"/>
      <c r="AM265" s="232"/>
      <c r="AN265" s="232"/>
      <c r="AO265" s="231"/>
      <c r="AP265" s="231"/>
      <c r="AQ265" s="227"/>
      <c r="AR265" s="231"/>
      <c r="AS265" s="227"/>
      <c r="AT265" s="227"/>
      <c r="AU265" s="227"/>
      <c r="AV265" s="227"/>
    </row>
    <row r="266">
      <c r="A266" s="227"/>
      <c r="B266" s="232"/>
      <c r="C266" s="227"/>
      <c r="D266" s="227"/>
      <c r="E266" s="231"/>
      <c r="F266" s="232"/>
      <c r="G266" s="227"/>
      <c r="H266" s="227"/>
      <c r="I266" s="227"/>
      <c r="J266" s="227"/>
      <c r="K266" s="227"/>
      <c r="L266" s="232"/>
      <c r="M266" s="232"/>
      <c r="N266" s="227"/>
      <c r="O266" s="227"/>
      <c r="P266" s="231"/>
      <c r="Q266" s="227"/>
      <c r="R266" s="231"/>
      <c r="S266" s="231"/>
      <c r="T266" s="231"/>
      <c r="U266" s="231"/>
      <c r="V266" s="231"/>
      <c r="W266" s="231"/>
      <c r="X266" s="227"/>
      <c r="Y266" s="232"/>
      <c r="Z266" s="232"/>
      <c r="AA266" s="232"/>
      <c r="AB266" s="232"/>
      <c r="AC266" s="227"/>
      <c r="AD266" s="227"/>
      <c r="AE266" s="231"/>
      <c r="AF266" s="227"/>
      <c r="AG266" s="232"/>
      <c r="AH266" s="232"/>
      <c r="AI266" s="232"/>
      <c r="AJ266" s="232"/>
      <c r="AK266" s="232"/>
      <c r="AL266" s="232"/>
      <c r="AM266" s="232"/>
      <c r="AN266" s="232"/>
      <c r="AO266" s="231"/>
      <c r="AP266" s="231"/>
      <c r="AQ266" s="227"/>
      <c r="AR266" s="231"/>
      <c r="AS266" s="227"/>
      <c r="AT266" s="227"/>
      <c r="AU266" s="227"/>
      <c r="AV266" s="227"/>
    </row>
    <row r="267">
      <c r="A267" s="227"/>
      <c r="B267" s="232"/>
      <c r="C267" s="227"/>
      <c r="D267" s="227"/>
      <c r="E267" s="231"/>
      <c r="F267" s="232"/>
      <c r="G267" s="227"/>
      <c r="H267" s="227"/>
      <c r="I267" s="227"/>
      <c r="J267" s="227"/>
      <c r="K267" s="227"/>
      <c r="L267" s="232"/>
      <c r="M267" s="232"/>
      <c r="N267" s="227"/>
      <c r="O267" s="227"/>
      <c r="P267" s="231"/>
      <c r="Q267" s="227"/>
      <c r="R267" s="231"/>
      <c r="S267" s="231"/>
      <c r="T267" s="231"/>
      <c r="U267" s="231"/>
      <c r="V267" s="231"/>
      <c r="W267" s="231"/>
      <c r="X267" s="227"/>
      <c r="Y267" s="232"/>
      <c r="Z267" s="232"/>
      <c r="AA267" s="232"/>
      <c r="AB267" s="232"/>
      <c r="AC267" s="227"/>
      <c r="AD267" s="227"/>
      <c r="AE267" s="231"/>
      <c r="AF267" s="227"/>
      <c r="AG267" s="232"/>
      <c r="AH267" s="232"/>
      <c r="AI267" s="232"/>
      <c r="AJ267" s="232"/>
      <c r="AK267" s="232"/>
      <c r="AL267" s="232"/>
      <c r="AM267" s="232"/>
      <c r="AN267" s="232"/>
      <c r="AO267" s="231"/>
      <c r="AP267" s="231"/>
      <c r="AQ267" s="227"/>
      <c r="AR267" s="231"/>
      <c r="AS267" s="227"/>
      <c r="AT267" s="227"/>
      <c r="AU267" s="227"/>
      <c r="AV267" s="227"/>
    </row>
    <row r="268">
      <c r="A268" s="227"/>
      <c r="B268" s="232"/>
      <c r="C268" s="227"/>
      <c r="D268" s="227"/>
      <c r="E268" s="231"/>
      <c r="F268" s="232"/>
      <c r="G268" s="227"/>
      <c r="H268" s="227"/>
      <c r="I268" s="227"/>
      <c r="J268" s="227"/>
      <c r="K268" s="227"/>
      <c r="L268" s="232"/>
      <c r="M268" s="232"/>
      <c r="N268" s="227"/>
      <c r="O268" s="227"/>
      <c r="P268" s="231"/>
      <c r="Q268" s="227"/>
      <c r="R268" s="231"/>
      <c r="S268" s="231"/>
      <c r="T268" s="231"/>
      <c r="U268" s="231"/>
      <c r="V268" s="231"/>
      <c r="W268" s="231"/>
      <c r="X268" s="227"/>
      <c r="Y268" s="232"/>
      <c r="Z268" s="232"/>
      <c r="AA268" s="232"/>
      <c r="AB268" s="232"/>
      <c r="AC268" s="227"/>
      <c r="AD268" s="227"/>
      <c r="AE268" s="231"/>
      <c r="AF268" s="227"/>
      <c r="AG268" s="232"/>
      <c r="AH268" s="232"/>
      <c r="AI268" s="232"/>
      <c r="AJ268" s="232"/>
      <c r="AK268" s="232"/>
      <c r="AL268" s="232"/>
      <c r="AM268" s="232"/>
      <c r="AN268" s="232"/>
      <c r="AO268" s="231"/>
      <c r="AP268" s="231"/>
      <c r="AQ268" s="227"/>
      <c r="AR268" s="231"/>
      <c r="AS268" s="227"/>
      <c r="AT268" s="227"/>
      <c r="AU268" s="227"/>
      <c r="AV268" s="227"/>
    </row>
    <row r="269">
      <c r="A269" s="227"/>
      <c r="B269" s="232"/>
      <c r="C269" s="227"/>
      <c r="D269" s="227"/>
      <c r="E269" s="231"/>
      <c r="F269" s="232"/>
      <c r="G269" s="227"/>
      <c r="H269" s="227"/>
      <c r="I269" s="227"/>
      <c r="J269" s="227"/>
      <c r="K269" s="227"/>
      <c r="L269" s="232"/>
      <c r="M269" s="232"/>
      <c r="N269" s="227"/>
      <c r="O269" s="227"/>
      <c r="P269" s="231"/>
      <c r="Q269" s="227"/>
      <c r="R269" s="231"/>
      <c r="S269" s="231"/>
      <c r="T269" s="231"/>
      <c r="U269" s="231"/>
      <c r="V269" s="231"/>
      <c r="W269" s="231"/>
      <c r="X269" s="227"/>
      <c r="Y269" s="232"/>
      <c r="Z269" s="232"/>
      <c r="AA269" s="232"/>
      <c r="AB269" s="232"/>
      <c r="AC269" s="227"/>
      <c r="AD269" s="227"/>
      <c r="AE269" s="231"/>
      <c r="AF269" s="227"/>
      <c r="AG269" s="232"/>
      <c r="AH269" s="232"/>
      <c r="AI269" s="232"/>
      <c r="AJ269" s="232"/>
      <c r="AK269" s="232"/>
      <c r="AL269" s="232"/>
      <c r="AM269" s="232"/>
      <c r="AN269" s="232"/>
      <c r="AO269" s="231"/>
      <c r="AP269" s="231"/>
      <c r="AQ269" s="227"/>
      <c r="AR269" s="231"/>
      <c r="AS269" s="227"/>
      <c r="AT269" s="227"/>
      <c r="AU269" s="227"/>
      <c r="AV269" s="227"/>
    </row>
    <row r="270">
      <c r="A270" s="227"/>
      <c r="B270" s="232"/>
      <c r="C270" s="227"/>
      <c r="D270" s="227"/>
      <c r="E270" s="231"/>
      <c r="F270" s="232"/>
      <c r="G270" s="227"/>
      <c r="H270" s="227"/>
      <c r="I270" s="227"/>
      <c r="J270" s="227"/>
      <c r="K270" s="227"/>
      <c r="L270" s="232"/>
      <c r="M270" s="232"/>
      <c r="N270" s="227"/>
      <c r="O270" s="227"/>
      <c r="P270" s="231"/>
      <c r="Q270" s="227"/>
      <c r="R270" s="231"/>
      <c r="S270" s="231"/>
      <c r="T270" s="231"/>
      <c r="U270" s="231"/>
      <c r="V270" s="231"/>
      <c r="W270" s="231"/>
      <c r="X270" s="227"/>
      <c r="Y270" s="232"/>
      <c r="Z270" s="232"/>
      <c r="AA270" s="232"/>
      <c r="AB270" s="232"/>
      <c r="AC270" s="227"/>
      <c r="AD270" s="227"/>
      <c r="AE270" s="231"/>
      <c r="AF270" s="227"/>
      <c r="AG270" s="232"/>
      <c r="AH270" s="232"/>
      <c r="AI270" s="232"/>
      <c r="AJ270" s="232"/>
      <c r="AK270" s="232"/>
      <c r="AL270" s="232"/>
      <c r="AM270" s="232"/>
      <c r="AN270" s="232"/>
      <c r="AO270" s="231"/>
      <c r="AP270" s="231"/>
      <c r="AQ270" s="227"/>
      <c r="AR270" s="231"/>
      <c r="AS270" s="227"/>
      <c r="AT270" s="227"/>
      <c r="AU270" s="227"/>
      <c r="AV270" s="227"/>
    </row>
    <row r="271">
      <c r="A271" s="227"/>
      <c r="B271" s="232"/>
      <c r="C271" s="227"/>
      <c r="D271" s="227"/>
      <c r="E271" s="231"/>
      <c r="F271" s="232"/>
      <c r="G271" s="227"/>
      <c r="H271" s="227"/>
      <c r="I271" s="227"/>
      <c r="J271" s="227"/>
      <c r="K271" s="227"/>
      <c r="L271" s="232"/>
      <c r="M271" s="232"/>
      <c r="N271" s="227"/>
      <c r="O271" s="227"/>
      <c r="P271" s="231"/>
      <c r="Q271" s="227"/>
      <c r="R271" s="231"/>
      <c r="S271" s="231"/>
      <c r="T271" s="231"/>
      <c r="U271" s="231"/>
      <c r="V271" s="231"/>
      <c r="W271" s="231"/>
      <c r="X271" s="227"/>
      <c r="Y271" s="232"/>
      <c r="Z271" s="232"/>
      <c r="AA271" s="232"/>
      <c r="AB271" s="232"/>
      <c r="AC271" s="227"/>
      <c r="AD271" s="227"/>
      <c r="AE271" s="231"/>
      <c r="AF271" s="227"/>
      <c r="AG271" s="232"/>
      <c r="AH271" s="232"/>
      <c r="AI271" s="232"/>
      <c r="AJ271" s="232"/>
      <c r="AK271" s="232"/>
      <c r="AL271" s="232"/>
      <c r="AM271" s="232"/>
      <c r="AN271" s="232"/>
      <c r="AO271" s="231"/>
      <c r="AP271" s="231"/>
      <c r="AQ271" s="227"/>
      <c r="AR271" s="231"/>
      <c r="AS271" s="227"/>
      <c r="AT271" s="227"/>
      <c r="AU271" s="227"/>
      <c r="AV271" s="227"/>
    </row>
    <row r="272">
      <c r="A272" s="227"/>
      <c r="B272" s="232"/>
      <c r="C272" s="227"/>
      <c r="D272" s="227"/>
      <c r="E272" s="231"/>
      <c r="F272" s="232"/>
      <c r="G272" s="227"/>
      <c r="H272" s="227"/>
      <c r="I272" s="227"/>
      <c r="J272" s="227"/>
      <c r="K272" s="227"/>
      <c r="L272" s="232"/>
      <c r="M272" s="232"/>
      <c r="N272" s="227"/>
      <c r="O272" s="227"/>
      <c r="P272" s="231"/>
      <c r="Q272" s="227"/>
      <c r="R272" s="231"/>
      <c r="S272" s="231"/>
      <c r="T272" s="231"/>
      <c r="U272" s="231"/>
      <c r="V272" s="231"/>
      <c r="W272" s="231"/>
      <c r="X272" s="227"/>
      <c r="Y272" s="232"/>
      <c r="Z272" s="232"/>
      <c r="AA272" s="232"/>
      <c r="AB272" s="232"/>
      <c r="AC272" s="227"/>
      <c r="AD272" s="227"/>
      <c r="AE272" s="231"/>
      <c r="AF272" s="227"/>
      <c r="AG272" s="232"/>
      <c r="AH272" s="232"/>
      <c r="AI272" s="232"/>
      <c r="AJ272" s="232"/>
      <c r="AK272" s="232"/>
      <c r="AL272" s="232"/>
      <c r="AM272" s="232"/>
      <c r="AN272" s="232"/>
      <c r="AO272" s="231"/>
      <c r="AP272" s="231"/>
      <c r="AQ272" s="227"/>
      <c r="AR272" s="231"/>
      <c r="AS272" s="227"/>
      <c r="AT272" s="227"/>
      <c r="AU272" s="227"/>
      <c r="AV272" s="227"/>
    </row>
    <row r="273">
      <c r="A273" s="227"/>
      <c r="B273" s="232"/>
      <c r="C273" s="227"/>
      <c r="D273" s="227"/>
      <c r="E273" s="231"/>
      <c r="F273" s="232"/>
      <c r="G273" s="227"/>
      <c r="H273" s="227"/>
      <c r="I273" s="227"/>
      <c r="J273" s="227"/>
      <c r="K273" s="227"/>
      <c r="L273" s="232"/>
      <c r="M273" s="232"/>
      <c r="N273" s="227"/>
      <c r="O273" s="227"/>
      <c r="P273" s="231"/>
      <c r="Q273" s="227"/>
      <c r="R273" s="231"/>
      <c r="S273" s="231"/>
      <c r="T273" s="231"/>
      <c r="U273" s="231"/>
      <c r="V273" s="231"/>
      <c r="W273" s="231"/>
      <c r="X273" s="227"/>
      <c r="Y273" s="232"/>
      <c r="Z273" s="232"/>
      <c r="AA273" s="232"/>
      <c r="AB273" s="232"/>
      <c r="AC273" s="227"/>
      <c r="AD273" s="227"/>
      <c r="AE273" s="231"/>
      <c r="AF273" s="227"/>
      <c r="AG273" s="232"/>
      <c r="AH273" s="232"/>
      <c r="AI273" s="232"/>
      <c r="AJ273" s="232"/>
      <c r="AK273" s="232"/>
      <c r="AL273" s="232"/>
      <c r="AM273" s="232"/>
      <c r="AN273" s="232"/>
      <c r="AO273" s="231"/>
      <c r="AP273" s="231"/>
      <c r="AQ273" s="227"/>
      <c r="AR273" s="231"/>
      <c r="AS273" s="227"/>
      <c r="AT273" s="227"/>
      <c r="AU273" s="227"/>
      <c r="AV273" s="227"/>
    </row>
    <row r="274">
      <c r="A274" s="227"/>
      <c r="B274" s="232"/>
      <c r="C274" s="227"/>
      <c r="D274" s="227"/>
      <c r="E274" s="231"/>
      <c r="F274" s="232"/>
      <c r="G274" s="227"/>
      <c r="H274" s="227"/>
      <c r="I274" s="227"/>
      <c r="J274" s="227"/>
      <c r="K274" s="227"/>
      <c r="L274" s="232"/>
      <c r="M274" s="232"/>
      <c r="N274" s="227"/>
      <c r="O274" s="227"/>
      <c r="P274" s="231"/>
      <c r="Q274" s="227"/>
      <c r="R274" s="231"/>
      <c r="S274" s="231"/>
      <c r="T274" s="231"/>
      <c r="U274" s="231"/>
      <c r="V274" s="231"/>
      <c r="W274" s="231"/>
      <c r="X274" s="227"/>
      <c r="Y274" s="232"/>
      <c r="Z274" s="232"/>
      <c r="AA274" s="232"/>
      <c r="AB274" s="232"/>
      <c r="AC274" s="227"/>
      <c r="AD274" s="227"/>
      <c r="AE274" s="231"/>
      <c r="AF274" s="227"/>
      <c r="AG274" s="232"/>
      <c r="AH274" s="232"/>
      <c r="AI274" s="232"/>
      <c r="AJ274" s="232"/>
      <c r="AK274" s="232"/>
      <c r="AL274" s="232"/>
      <c r="AM274" s="232"/>
      <c r="AN274" s="232"/>
      <c r="AO274" s="231"/>
      <c r="AP274" s="231"/>
      <c r="AQ274" s="227"/>
      <c r="AR274" s="231"/>
      <c r="AS274" s="227"/>
      <c r="AT274" s="227"/>
      <c r="AU274" s="227"/>
      <c r="AV274" s="227"/>
    </row>
    <row r="275">
      <c r="A275" s="227"/>
      <c r="B275" s="232"/>
      <c r="C275" s="227"/>
      <c r="D275" s="227"/>
      <c r="E275" s="231"/>
      <c r="F275" s="232"/>
      <c r="G275" s="227"/>
      <c r="H275" s="227"/>
      <c r="I275" s="227"/>
      <c r="J275" s="227"/>
      <c r="K275" s="227"/>
      <c r="L275" s="232"/>
      <c r="M275" s="232"/>
      <c r="N275" s="227"/>
      <c r="O275" s="227"/>
      <c r="P275" s="231"/>
      <c r="Q275" s="227"/>
      <c r="R275" s="231"/>
      <c r="S275" s="231"/>
      <c r="T275" s="231"/>
      <c r="U275" s="231"/>
      <c r="V275" s="231"/>
      <c r="W275" s="231"/>
      <c r="X275" s="227"/>
      <c r="Y275" s="232"/>
      <c r="Z275" s="232"/>
      <c r="AA275" s="232"/>
      <c r="AB275" s="232"/>
      <c r="AC275" s="227"/>
      <c r="AD275" s="227"/>
      <c r="AE275" s="231"/>
      <c r="AF275" s="227"/>
      <c r="AG275" s="232"/>
      <c r="AH275" s="232"/>
      <c r="AI275" s="232"/>
      <c r="AJ275" s="232"/>
      <c r="AK275" s="232"/>
      <c r="AL275" s="232"/>
      <c r="AM275" s="232"/>
      <c r="AN275" s="232"/>
      <c r="AO275" s="231"/>
      <c r="AP275" s="231"/>
      <c r="AQ275" s="227"/>
      <c r="AR275" s="231"/>
      <c r="AS275" s="227"/>
      <c r="AT275" s="227"/>
      <c r="AU275" s="227"/>
      <c r="AV275" s="227"/>
    </row>
    <row r="276">
      <c r="A276" s="227"/>
      <c r="B276" s="232"/>
      <c r="C276" s="227"/>
      <c r="D276" s="227"/>
      <c r="E276" s="231"/>
      <c r="F276" s="232"/>
      <c r="G276" s="227"/>
      <c r="H276" s="227"/>
      <c r="I276" s="227"/>
      <c r="J276" s="227"/>
      <c r="K276" s="227"/>
      <c r="L276" s="232"/>
      <c r="M276" s="232"/>
      <c r="N276" s="227"/>
      <c r="O276" s="227"/>
      <c r="P276" s="231"/>
      <c r="Q276" s="227"/>
      <c r="R276" s="231"/>
      <c r="S276" s="231"/>
      <c r="T276" s="231"/>
      <c r="U276" s="231"/>
      <c r="V276" s="231"/>
      <c r="W276" s="231"/>
      <c r="X276" s="227"/>
      <c r="Y276" s="232"/>
      <c r="Z276" s="232"/>
      <c r="AA276" s="232"/>
      <c r="AB276" s="232"/>
      <c r="AC276" s="227"/>
      <c r="AD276" s="227"/>
      <c r="AE276" s="231"/>
      <c r="AF276" s="227"/>
      <c r="AG276" s="232"/>
      <c r="AH276" s="232"/>
      <c r="AI276" s="232"/>
      <c r="AJ276" s="232"/>
      <c r="AK276" s="232"/>
      <c r="AL276" s="232"/>
      <c r="AM276" s="232"/>
      <c r="AN276" s="232"/>
      <c r="AO276" s="231"/>
      <c r="AP276" s="231"/>
      <c r="AQ276" s="227"/>
      <c r="AR276" s="231"/>
      <c r="AS276" s="227"/>
      <c r="AT276" s="227"/>
      <c r="AU276" s="227"/>
      <c r="AV276" s="227"/>
    </row>
    <row r="277">
      <c r="A277" s="227"/>
      <c r="B277" s="232"/>
      <c r="C277" s="227"/>
      <c r="D277" s="227"/>
      <c r="E277" s="231"/>
      <c r="F277" s="232"/>
      <c r="G277" s="227"/>
      <c r="H277" s="227"/>
      <c r="I277" s="227"/>
      <c r="J277" s="227"/>
      <c r="K277" s="227"/>
      <c r="L277" s="232"/>
      <c r="M277" s="232"/>
      <c r="N277" s="227"/>
      <c r="O277" s="227"/>
      <c r="P277" s="231"/>
      <c r="Q277" s="227"/>
      <c r="R277" s="231"/>
      <c r="S277" s="231"/>
      <c r="T277" s="231"/>
      <c r="U277" s="231"/>
      <c r="V277" s="231"/>
      <c r="W277" s="231"/>
      <c r="X277" s="227"/>
      <c r="Y277" s="232"/>
      <c r="Z277" s="232"/>
      <c r="AA277" s="232"/>
      <c r="AB277" s="232"/>
      <c r="AC277" s="227"/>
      <c r="AD277" s="227"/>
      <c r="AE277" s="231"/>
      <c r="AF277" s="227"/>
      <c r="AG277" s="232"/>
      <c r="AH277" s="232"/>
      <c r="AI277" s="232"/>
      <c r="AJ277" s="232"/>
      <c r="AK277" s="232"/>
      <c r="AL277" s="232"/>
      <c r="AM277" s="232"/>
      <c r="AN277" s="232"/>
      <c r="AO277" s="231"/>
      <c r="AP277" s="231"/>
      <c r="AQ277" s="227"/>
      <c r="AR277" s="231"/>
      <c r="AS277" s="227"/>
      <c r="AT277" s="227"/>
      <c r="AU277" s="227"/>
      <c r="AV277" s="227"/>
    </row>
    <row r="278">
      <c r="A278" s="227"/>
      <c r="B278" s="232"/>
      <c r="C278" s="227"/>
      <c r="D278" s="227"/>
      <c r="E278" s="231"/>
      <c r="F278" s="232"/>
      <c r="G278" s="227"/>
      <c r="H278" s="227"/>
      <c r="I278" s="227"/>
      <c r="J278" s="227"/>
      <c r="K278" s="227"/>
      <c r="L278" s="232"/>
      <c r="M278" s="232"/>
      <c r="N278" s="227"/>
      <c r="O278" s="227"/>
      <c r="P278" s="231"/>
      <c r="Q278" s="227"/>
      <c r="R278" s="231"/>
      <c r="S278" s="231"/>
      <c r="T278" s="231"/>
      <c r="U278" s="231"/>
      <c r="V278" s="231"/>
      <c r="W278" s="231"/>
      <c r="X278" s="227"/>
      <c r="Y278" s="232"/>
      <c r="Z278" s="232"/>
      <c r="AA278" s="232"/>
      <c r="AB278" s="232"/>
      <c r="AC278" s="227"/>
      <c r="AD278" s="227"/>
      <c r="AE278" s="231"/>
      <c r="AF278" s="227"/>
      <c r="AG278" s="232"/>
      <c r="AH278" s="232"/>
      <c r="AI278" s="232"/>
      <c r="AJ278" s="232"/>
      <c r="AK278" s="232"/>
      <c r="AL278" s="232"/>
      <c r="AM278" s="232"/>
      <c r="AN278" s="232"/>
      <c r="AO278" s="231"/>
      <c r="AP278" s="231"/>
      <c r="AQ278" s="227"/>
      <c r="AR278" s="231"/>
      <c r="AS278" s="227"/>
      <c r="AT278" s="227"/>
      <c r="AU278" s="227"/>
      <c r="AV278" s="227"/>
    </row>
    <row r="279">
      <c r="A279" s="227"/>
      <c r="B279" s="232"/>
      <c r="C279" s="227"/>
      <c r="D279" s="227"/>
      <c r="E279" s="231"/>
      <c r="F279" s="232"/>
      <c r="G279" s="227"/>
      <c r="H279" s="227"/>
      <c r="I279" s="227"/>
      <c r="J279" s="227"/>
      <c r="K279" s="227"/>
      <c r="L279" s="232"/>
      <c r="M279" s="232"/>
      <c r="N279" s="227"/>
      <c r="O279" s="227"/>
      <c r="P279" s="231"/>
      <c r="Q279" s="227"/>
      <c r="R279" s="231"/>
      <c r="S279" s="231"/>
      <c r="T279" s="231"/>
      <c r="U279" s="231"/>
      <c r="V279" s="231"/>
      <c r="W279" s="231"/>
      <c r="X279" s="227"/>
      <c r="Y279" s="232"/>
      <c r="Z279" s="232"/>
      <c r="AA279" s="232"/>
      <c r="AB279" s="232"/>
      <c r="AC279" s="227"/>
      <c r="AD279" s="227"/>
      <c r="AE279" s="231"/>
      <c r="AF279" s="227"/>
      <c r="AG279" s="232"/>
      <c r="AH279" s="232"/>
      <c r="AI279" s="232"/>
      <c r="AJ279" s="232"/>
      <c r="AK279" s="232"/>
      <c r="AL279" s="232"/>
      <c r="AM279" s="232"/>
      <c r="AN279" s="232"/>
      <c r="AO279" s="231"/>
      <c r="AP279" s="231"/>
      <c r="AQ279" s="227"/>
      <c r="AR279" s="231"/>
      <c r="AS279" s="227"/>
      <c r="AT279" s="227"/>
      <c r="AU279" s="227"/>
      <c r="AV279" s="227"/>
    </row>
    <row r="280">
      <c r="A280" s="227"/>
      <c r="B280" s="232"/>
      <c r="C280" s="227"/>
      <c r="D280" s="227"/>
      <c r="E280" s="231"/>
      <c r="F280" s="232"/>
      <c r="G280" s="227"/>
      <c r="H280" s="227"/>
      <c r="I280" s="227"/>
      <c r="J280" s="227"/>
      <c r="K280" s="227"/>
      <c r="L280" s="232"/>
      <c r="M280" s="232"/>
      <c r="N280" s="227"/>
      <c r="O280" s="227"/>
      <c r="P280" s="231"/>
      <c r="Q280" s="227"/>
      <c r="R280" s="231"/>
      <c r="S280" s="231"/>
      <c r="T280" s="231"/>
      <c r="U280" s="231"/>
      <c r="V280" s="231"/>
      <c r="W280" s="231"/>
      <c r="X280" s="227"/>
      <c r="Y280" s="232"/>
      <c r="Z280" s="232"/>
      <c r="AA280" s="232"/>
      <c r="AB280" s="232"/>
      <c r="AC280" s="227"/>
      <c r="AD280" s="227"/>
      <c r="AE280" s="231"/>
      <c r="AF280" s="227"/>
      <c r="AG280" s="232"/>
      <c r="AH280" s="232"/>
      <c r="AI280" s="232"/>
      <c r="AJ280" s="232"/>
      <c r="AK280" s="232"/>
      <c r="AL280" s="232"/>
      <c r="AM280" s="232"/>
      <c r="AN280" s="232"/>
      <c r="AO280" s="231"/>
      <c r="AP280" s="231"/>
      <c r="AQ280" s="227"/>
      <c r="AR280" s="231"/>
      <c r="AS280" s="227"/>
      <c r="AT280" s="227"/>
      <c r="AU280" s="227"/>
      <c r="AV280" s="227"/>
    </row>
    <row r="281">
      <c r="A281" s="227"/>
      <c r="B281" s="232"/>
      <c r="C281" s="227"/>
      <c r="D281" s="227"/>
      <c r="E281" s="231"/>
      <c r="F281" s="232"/>
      <c r="G281" s="227"/>
      <c r="H281" s="227"/>
      <c r="I281" s="227"/>
      <c r="J281" s="227"/>
      <c r="K281" s="227"/>
      <c r="L281" s="232"/>
      <c r="M281" s="232"/>
      <c r="N281" s="227"/>
      <c r="O281" s="227"/>
      <c r="P281" s="231"/>
      <c r="Q281" s="227"/>
      <c r="R281" s="231"/>
      <c r="S281" s="231"/>
      <c r="T281" s="231"/>
      <c r="U281" s="231"/>
      <c r="V281" s="231"/>
      <c r="W281" s="231"/>
      <c r="X281" s="227"/>
      <c r="Y281" s="232"/>
      <c r="Z281" s="232"/>
      <c r="AA281" s="232"/>
      <c r="AB281" s="232"/>
      <c r="AC281" s="227"/>
      <c r="AD281" s="227"/>
      <c r="AE281" s="231"/>
      <c r="AF281" s="227"/>
      <c r="AG281" s="232"/>
      <c r="AH281" s="232"/>
      <c r="AI281" s="232"/>
      <c r="AJ281" s="232"/>
      <c r="AK281" s="232"/>
      <c r="AL281" s="232"/>
      <c r="AM281" s="232"/>
      <c r="AN281" s="232"/>
      <c r="AO281" s="231"/>
      <c r="AP281" s="231"/>
      <c r="AQ281" s="227"/>
      <c r="AR281" s="231"/>
      <c r="AS281" s="227"/>
      <c r="AT281" s="227"/>
      <c r="AU281" s="227"/>
      <c r="AV281" s="227"/>
    </row>
    <row r="282">
      <c r="A282" s="227"/>
      <c r="B282" s="232"/>
      <c r="C282" s="227"/>
      <c r="D282" s="227"/>
      <c r="E282" s="231"/>
      <c r="F282" s="232"/>
      <c r="G282" s="227"/>
      <c r="H282" s="227"/>
      <c r="I282" s="227"/>
      <c r="J282" s="227"/>
      <c r="K282" s="227"/>
      <c r="L282" s="232"/>
      <c r="M282" s="232"/>
      <c r="N282" s="227"/>
      <c r="O282" s="227"/>
      <c r="P282" s="231"/>
      <c r="Q282" s="227"/>
      <c r="R282" s="231"/>
      <c r="S282" s="231"/>
      <c r="T282" s="231"/>
      <c r="U282" s="231"/>
      <c r="V282" s="231"/>
      <c r="W282" s="231"/>
      <c r="X282" s="227"/>
      <c r="Y282" s="232"/>
      <c r="Z282" s="232"/>
      <c r="AA282" s="232"/>
      <c r="AB282" s="232"/>
      <c r="AC282" s="227"/>
      <c r="AD282" s="227"/>
      <c r="AE282" s="231"/>
      <c r="AF282" s="227"/>
      <c r="AG282" s="232"/>
      <c r="AH282" s="232"/>
      <c r="AI282" s="232"/>
      <c r="AJ282" s="232"/>
      <c r="AK282" s="232"/>
      <c r="AL282" s="232"/>
      <c r="AM282" s="232"/>
      <c r="AN282" s="232"/>
      <c r="AO282" s="231"/>
      <c r="AP282" s="231"/>
      <c r="AQ282" s="227"/>
      <c r="AR282" s="231"/>
      <c r="AS282" s="227"/>
      <c r="AT282" s="227"/>
      <c r="AU282" s="227"/>
      <c r="AV282" s="227"/>
    </row>
    <row r="283">
      <c r="A283" s="227"/>
      <c r="B283" s="232"/>
      <c r="C283" s="227"/>
      <c r="D283" s="227"/>
      <c r="E283" s="231"/>
      <c r="F283" s="232"/>
      <c r="G283" s="227"/>
      <c r="H283" s="227"/>
      <c r="I283" s="227"/>
      <c r="J283" s="227"/>
      <c r="K283" s="227"/>
      <c r="L283" s="232"/>
      <c r="M283" s="232"/>
      <c r="N283" s="227"/>
      <c r="O283" s="227"/>
      <c r="P283" s="231"/>
      <c r="Q283" s="227"/>
      <c r="R283" s="231"/>
      <c r="S283" s="231"/>
      <c r="T283" s="231"/>
      <c r="U283" s="231"/>
      <c r="V283" s="231"/>
      <c r="W283" s="231"/>
      <c r="X283" s="227"/>
      <c r="Y283" s="232"/>
      <c r="Z283" s="232"/>
      <c r="AA283" s="232"/>
      <c r="AB283" s="232"/>
      <c r="AC283" s="227"/>
      <c r="AD283" s="227"/>
      <c r="AE283" s="231"/>
      <c r="AF283" s="227"/>
      <c r="AG283" s="232"/>
      <c r="AH283" s="232"/>
      <c r="AI283" s="232"/>
      <c r="AJ283" s="232"/>
      <c r="AK283" s="232"/>
      <c r="AL283" s="232"/>
      <c r="AM283" s="232"/>
      <c r="AN283" s="232"/>
      <c r="AO283" s="231"/>
      <c r="AP283" s="231"/>
      <c r="AQ283" s="227"/>
      <c r="AR283" s="231"/>
      <c r="AS283" s="227"/>
      <c r="AT283" s="227"/>
      <c r="AU283" s="227"/>
      <c r="AV283" s="227"/>
    </row>
    <row r="284">
      <c r="A284" s="227"/>
      <c r="B284" s="232"/>
      <c r="C284" s="227"/>
      <c r="D284" s="227"/>
      <c r="E284" s="231"/>
      <c r="F284" s="232"/>
      <c r="G284" s="227"/>
      <c r="H284" s="227"/>
      <c r="I284" s="227"/>
      <c r="J284" s="227"/>
      <c r="K284" s="227"/>
      <c r="L284" s="232"/>
      <c r="M284" s="232"/>
      <c r="N284" s="227"/>
      <c r="O284" s="227"/>
      <c r="P284" s="231"/>
      <c r="Q284" s="227"/>
      <c r="R284" s="231"/>
      <c r="S284" s="231"/>
      <c r="T284" s="231"/>
      <c r="U284" s="231"/>
      <c r="V284" s="231"/>
      <c r="W284" s="231"/>
      <c r="X284" s="227"/>
      <c r="Y284" s="232"/>
      <c r="Z284" s="232"/>
      <c r="AA284" s="232"/>
      <c r="AB284" s="232"/>
      <c r="AC284" s="227"/>
      <c r="AD284" s="227"/>
      <c r="AE284" s="231"/>
      <c r="AF284" s="227"/>
      <c r="AG284" s="232"/>
      <c r="AH284" s="232"/>
      <c r="AI284" s="232"/>
      <c r="AJ284" s="232"/>
      <c r="AK284" s="232"/>
      <c r="AL284" s="232"/>
      <c r="AM284" s="232"/>
      <c r="AN284" s="232"/>
      <c r="AO284" s="231"/>
      <c r="AP284" s="231"/>
      <c r="AQ284" s="227"/>
      <c r="AR284" s="231"/>
      <c r="AS284" s="227"/>
      <c r="AT284" s="227"/>
      <c r="AU284" s="227"/>
      <c r="AV284" s="227"/>
    </row>
    <row r="285">
      <c r="A285" s="227"/>
      <c r="B285" s="232"/>
      <c r="C285" s="227"/>
      <c r="D285" s="227"/>
      <c r="E285" s="231"/>
      <c r="F285" s="232"/>
      <c r="G285" s="227"/>
      <c r="H285" s="227"/>
      <c r="I285" s="227"/>
      <c r="J285" s="227"/>
      <c r="K285" s="227"/>
      <c r="L285" s="232"/>
      <c r="M285" s="232"/>
      <c r="N285" s="227"/>
      <c r="O285" s="227"/>
      <c r="P285" s="231"/>
      <c r="Q285" s="227"/>
      <c r="R285" s="231"/>
      <c r="S285" s="231"/>
      <c r="T285" s="231"/>
      <c r="U285" s="231"/>
      <c r="V285" s="231"/>
      <c r="W285" s="231"/>
      <c r="X285" s="227"/>
      <c r="Y285" s="232"/>
      <c r="Z285" s="232"/>
      <c r="AA285" s="232"/>
      <c r="AB285" s="232"/>
      <c r="AC285" s="227"/>
      <c r="AD285" s="227"/>
      <c r="AE285" s="231"/>
      <c r="AF285" s="227"/>
      <c r="AG285" s="232"/>
      <c r="AH285" s="232"/>
      <c r="AI285" s="232"/>
      <c r="AJ285" s="232"/>
      <c r="AK285" s="232"/>
      <c r="AL285" s="232"/>
      <c r="AM285" s="232"/>
      <c r="AN285" s="232"/>
      <c r="AO285" s="231"/>
      <c r="AP285" s="231"/>
      <c r="AQ285" s="227"/>
      <c r="AR285" s="231"/>
      <c r="AS285" s="227"/>
      <c r="AT285" s="227"/>
      <c r="AU285" s="227"/>
      <c r="AV285" s="227"/>
    </row>
    <row r="286">
      <c r="A286" s="227"/>
      <c r="B286" s="232"/>
      <c r="C286" s="227"/>
      <c r="D286" s="227"/>
      <c r="E286" s="231"/>
      <c r="F286" s="232"/>
      <c r="G286" s="227"/>
      <c r="H286" s="227"/>
      <c r="I286" s="227"/>
      <c r="J286" s="227"/>
      <c r="K286" s="227"/>
      <c r="L286" s="232"/>
      <c r="M286" s="232"/>
      <c r="N286" s="227"/>
      <c r="O286" s="227"/>
      <c r="P286" s="231"/>
      <c r="Q286" s="227"/>
      <c r="R286" s="231"/>
      <c r="S286" s="231"/>
      <c r="T286" s="231"/>
      <c r="U286" s="231"/>
      <c r="V286" s="231"/>
      <c r="W286" s="231"/>
      <c r="X286" s="227"/>
      <c r="Y286" s="232"/>
      <c r="Z286" s="232"/>
      <c r="AA286" s="232"/>
      <c r="AB286" s="232"/>
      <c r="AC286" s="227"/>
      <c r="AD286" s="227"/>
      <c r="AE286" s="231"/>
      <c r="AF286" s="227"/>
      <c r="AG286" s="232"/>
      <c r="AH286" s="232"/>
      <c r="AI286" s="232"/>
      <c r="AJ286" s="232"/>
      <c r="AK286" s="232"/>
      <c r="AL286" s="232"/>
      <c r="AM286" s="232"/>
      <c r="AN286" s="232"/>
      <c r="AO286" s="231"/>
      <c r="AP286" s="231"/>
      <c r="AQ286" s="227"/>
      <c r="AR286" s="231"/>
      <c r="AS286" s="227"/>
      <c r="AT286" s="227"/>
      <c r="AU286" s="227"/>
      <c r="AV286" s="227"/>
    </row>
    <row r="287">
      <c r="A287" s="227"/>
      <c r="B287" s="232"/>
      <c r="C287" s="227"/>
      <c r="D287" s="227"/>
      <c r="E287" s="231"/>
      <c r="F287" s="232"/>
      <c r="G287" s="227"/>
      <c r="H287" s="227"/>
      <c r="I287" s="227"/>
      <c r="J287" s="227"/>
      <c r="K287" s="227"/>
      <c r="L287" s="232"/>
      <c r="M287" s="232"/>
      <c r="N287" s="227"/>
      <c r="O287" s="227"/>
      <c r="P287" s="231"/>
      <c r="Q287" s="227"/>
      <c r="R287" s="231"/>
      <c r="S287" s="231"/>
      <c r="T287" s="231"/>
      <c r="U287" s="231"/>
      <c r="V287" s="231"/>
      <c r="W287" s="231"/>
      <c r="X287" s="227"/>
      <c r="Y287" s="232"/>
      <c r="Z287" s="232"/>
      <c r="AA287" s="232"/>
      <c r="AB287" s="232"/>
      <c r="AC287" s="227"/>
      <c r="AD287" s="227"/>
      <c r="AE287" s="231"/>
      <c r="AF287" s="227"/>
      <c r="AG287" s="232"/>
      <c r="AH287" s="232"/>
      <c r="AI287" s="232"/>
      <c r="AJ287" s="232"/>
      <c r="AK287" s="232"/>
      <c r="AL287" s="232"/>
      <c r="AM287" s="232"/>
      <c r="AN287" s="232"/>
      <c r="AO287" s="231"/>
      <c r="AP287" s="231"/>
      <c r="AQ287" s="227"/>
      <c r="AR287" s="231"/>
      <c r="AS287" s="227"/>
      <c r="AT287" s="227"/>
      <c r="AU287" s="227"/>
      <c r="AV287" s="227"/>
    </row>
    <row r="288">
      <c r="A288" s="227"/>
      <c r="B288" s="232"/>
      <c r="C288" s="227"/>
      <c r="D288" s="227"/>
      <c r="E288" s="231"/>
      <c r="F288" s="232"/>
      <c r="G288" s="227"/>
      <c r="H288" s="227"/>
      <c r="I288" s="227"/>
      <c r="J288" s="227"/>
      <c r="K288" s="227"/>
      <c r="L288" s="232"/>
      <c r="M288" s="232"/>
      <c r="N288" s="227"/>
      <c r="O288" s="227"/>
      <c r="P288" s="231"/>
      <c r="Q288" s="227"/>
      <c r="R288" s="231"/>
      <c r="S288" s="231"/>
      <c r="T288" s="231"/>
      <c r="U288" s="231"/>
      <c r="V288" s="231"/>
      <c r="W288" s="231"/>
      <c r="X288" s="227"/>
      <c r="Y288" s="232"/>
      <c r="Z288" s="232"/>
      <c r="AA288" s="232"/>
      <c r="AB288" s="232"/>
      <c r="AC288" s="227"/>
      <c r="AD288" s="227"/>
      <c r="AE288" s="231"/>
      <c r="AF288" s="227"/>
      <c r="AG288" s="232"/>
      <c r="AH288" s="232"/>
      <c r="AI288" s="232"/>
      <c r="AJ288" s="232"/>
      <c r="AK288" s="232"/>
      <c r="AL288" s="232"/>
      <c r="AM288" s="232"/>
      <c r="AN288" s="232"/>
      <c r="AO288" s="231"/>
      <c r="AP288" s="231"/>
      <c r="AQ288" s="227"/>
      <c r="AR288" s="231"/>
      <c r="AS288" s="227"/>
      <c r="AT288" s="227"/>
      <c r="AU288" s="227"/>
      <c r="AV288" s="227"/>
    </row>
    <row r="289">
      <c r="A289" s="227"/>
      <c r="B289" s="232"/>
      <c r="C289" s="227"/>
      <c r="D289" s="227"/>
      <c r="E289" s="231"/>
      <c r="F289" s="232"/>
      <c r="G289" s="227"/>
      <c r="H289" s="227"/>
      <c r="I289" s="227"/>
      <c r="J289" s="227"/>
      <c r="K289" s="227"/>
      <c r="L289" s="232"/>
      <c r="M289" s="232"/>
      <c r="N289" s="227"/>
      <c r="O289" s="227"/>
      <c r="P289" s="231"/>
      <c r="Q289" s="227"/>
      <c r="R289" s="231"/>
      <c r="S289" s="231"/>
      <c r="T289" s="231"/>
      <c r="U289" s="231"/>
      <c r="V289" s="231"/>
      <c r="W289" s="231"/>
      <c r="X289" s="227"/>
      <c r="Y289" s="232"/>
      <c r="Z289" s="232"/>
      <c r="AA289" s="232"/>
      <c r="AB289" s="232"/>
      <c r="AC289" s="227"/>
      <c r="AD289" s="227"/>
      <c r="AE289" s="231"/>
      <c r="AF289" s="227"/>
      <c r="AG289" s="232"/>
      <c r="AH289" s="232"/>
      <c r="AI289" s="232"/>
      <c r="AJ289" s="232"/>
      <c r="AK289" s="232"/>
      <c r="AL289" s="232"/>
      <c r="AM289" s="232"/>
      <c r="AN289" s="232"/>
      <c r="AO289" s="231"/>
      <c r="AP289" s="231"/>
      <c r="AQ289" s="227"/>
      <c r="AR289" s="231"/>
      <c r="AS289" s="227"/>
      <c r="AT289" s="227"/>
      <c r="AU289" s="227"/>
      <c r="AV289" s="227"/>
    </row>
    <row r="290">
      <c r="A290" s="227"/>
      <c r="B290" s="232"/>
      <c r="C290" s="227"/>
      <c r="D290" s="227"/>
      <c r="E290" s="231"/>
      <c r="F290" s="232"/>
      <c r="G290" s="227"/>
      <c r="H290" s="227"/>
      <c r="I290" s="227"/>
      <c r="J290" s="227"/>
      <c r="K290" s="227"/>
      <c r="L290" s="232"/>
      <c r="M290" s="232"/>
      <c r="N290" s="227"/>
      <c r="O290" s="227"/>
      <c r="P290" s="231"/>
      <c r="Q290" s="227"/>
      <c r="R290" s="231"/>
      <c r="S290" s="231"/>
      <c r="T290" s="231"/>
      <c r="U290" s="231"/>
      <c r="V290" s="231"/>
      <c r="W290" s="231"/>
      <c r="X290" s="227"/>
      <c r="Y290" s="232"/>
      <c r="Z290" s="232"/>
      <c r="AA290" s="232"/>
      <c r="AB290" s="232"/>
      <c r="AC290" s="227"/>
      <c r="AD290" s="227"/>
      <c r="AE290" s="231"/>
      <c r="AF290" s="227"/>
      <c r="AG290" s="232"/>
      <c r="AH290" s="232"/>
      <c r="AI290" s="232"/>
      <c r="AJ290" s="232"/>
      <c r="AK290" s="232"/>
      <c r="AL290" s="232"/>
      <c r="AM290" s="232"/>
      <c r="AN290" s="232"/>
      <c r="AO290" s="231"/>
      <c r="AP290" s="231"/>
      <c r="AQ290" s="227"/>
      <c r="AR290" s="231"/>
      <c r="AS290" s="227"/>
      <c r="AT290" s="227"/>
      <c r="AU290" s="227"/>
      <c r="AV290" s="227"/>
    </row>
    <row r="291">
      <c r="A291" s="227"/>
      <c r="B291" s="232"/>
      <c r="C291" s="227"/>
      <c r="D291" s="227"/>
      <c r="E291" s="231"/>
      <c r="F291" s="232"/>
      <c r="G291" s="227"/>
      <c r="H291" s="227"/>
      <c r="I291" s="227"/>
      <c r="J291" s="227"/>
      <c r="K291" s="227"/>
      <c r="L291" s="232"/>
      <c r="M291" s="232"/>
      <c r="N291" s="227"/>
      <c r="O291" s="227"/>
      <c r="P291" s="231"/>
      <c r="Q291" s="227"/>
      <c r="R291" s="231"/>
      <c r="S291" s="231"/>
      <c r="T291" s="231"/>
      <c r="U291" s="231"/>
      <c r="V291" s="231"/>
      <c r="W291" s="231"/>
      <c r="X291" s="227"/>
      <c r="Y291" s="232"/>
      <c r="Z291" s="232"/>
      <c r="AA291" s="232"/>
      <c r="AB291" s="232"/>
      <c r="AC291" s="227"/>
      <c r="AD291" s="227"/>
      <c r="AE291" s="231"/>
      <c r="AF291" s="227"/>
      <c r="AG291" s="232"/>
      <c r="AH291" s="232"/>
      <c r="AI291" s="232"/>
      <c r="AJ291" s="232"/>
      <c r="AK291" s="232"/>
      <c r="AL291" s="232"/>
      <c r="AM291" s="232"/>
      <c r="AN291" s="232"/>
      <c r="AO291" s="231"/>
      <c r="AP291" s="231"/>
      <c r="AQ291" s="227"/>
      <c r="AR291" s="231"/>
      <c r="AS291" s="227"/>
      <c r="AT291" s="227"/>
      <c r="AU291" s="227"/>
      <c r="AV291" s="227"/>
    </row>
    <row r="292">
      <c r="A292" s="227"/>
      <c r="B292" s="232"/>
      <c r="C292" s="227"/>
      <c r="D292" s="227"/>
      <c r="E292" s="231"/>
      <c r="F292" s="232"/>
      <c r="G292" s="227"/>
      <c r="H292" s="227"/>
      <c r="I292" s="227"/>
      <c r="J292" s="227"/>
      <c r="K292" s="227"/>
      <c r="L292" s="232"/>
      <c r="M292" s="232"/>
      <c r="N292" s="227"/>
      <c r="O292" s="227"/>
      <c r="P292" s="231"/>
      <c r="Q292" s="227"/>
      <c r="R292" s="231"/>
      <c r="S292" s="231"/>
      <c r="T292" s="231"/>
      <c r="U292" s="231"/>
      <c r="V292" s="231"/>
      <c r="W292" s="231"/>
      <c r="X292" s="227"/>
      <c r="Y292" s="232"/>
      <c r="Z292" s="232"/>
      <c r="AA292" s="232"/>
      <c r="AB292" s="232"/>
      <c r="AC292" s="227"/>
      <c r="AD292" s="227"/>
      <c r="AE292" s="231"/>
      <c r="AF292" s="227"/>
      <c r="AG292" s="232"/>
      <c r="AH292" s="232"/>
      <c r="AI292" s="232"/>
      <c r="AJ292" s="232"/>
      <c r="AK292" s="232"/>
      <c r="AL292" s="232"/>
      <c r="AM292" s="232"/>
      <c r="AN292" s="232"/>
      <c r="AO292" s="231"/>
      <c r="AP292" s="231"/>
      <c r="AQ292" s="227"/>
      <c r="AR292" s="231"/>
      <c r="AS292" s="227"/>
      <c r="AT292" s="227"/>
      <c r="AU292" s="227"/>
      <c r="AV292" s="227"/>
    </row>
    <row r="293">
      <c r="A293" s="227"/>
      <c r="B293" s="232"/>
      <c r="C293" s="227"/>
      <c r="D293" s="227"/>
      <c r="E293" s="231"/>
      <c r="F293" s="232"/>
      <c r="G293" s="227"/>
      <c r="H293" s="227"/>
      <c r="I293" s="227"/>
      <c r="J293" s="227"/>
      <c r="K293" s="227"/>
      <c r="L293" s="232"/>
      <c r="M293" s="232"/>
      <c r="N293" s="227"/>
      <c r="O293" s="227"/>
      <c r="P293" s="231"/>
      <c r="Q293" s="227"/>
      <c r="R293" s="231"/>
      <c r="S293" s="231"/>
      <c r="T293" s="231"/>
      <c r="U293" s="231"/>
      <c r="V293" s="231"/>
      <c r="W293" s="231"/>
      <c r="X293" s="227"/>
      <c r="Y293" s="232"/>
      <c r="Z293" s="232"/>
      <c r="AA293" s="232"/>
      <c r="AB293" s="232"/>
      <c r="AC293" s="227"/>
      <c r="AD293" s="227"/>
      <c r="AE293" s="231"/>
      <c r="AF293" s="227"/>
      <c r="AG293" s="232"/>
      <c r="AH293" s="232"/>
      <c r="AI293" s="232"/>
      <c r="AJ293" s="232"/>
      <c r="AK293" s="232"/>
      <c r="AL293" s="232"/>
      <c r="AM293" s="232"/>
      <c r="AN293" s="232"/>
      <c r="AO293" s="231"/>
      <c r="AP293" s="231"/>
      <c r="AQ293" s="227"/>
      <c r="AR293" s="231"/>
      <c r="AS293" s="227"/>
      <c r="AT293" s="227"/>
      <c r="AU293" s="227"/>
      <c r="AV293" s="227"/>
    </row>
    <row r="294">
      <c r="A294" s="227"/>
      <c r="B294" s="232"/>
      <c r="C294" s="227"/>
      <c r="D294" s="227"/>
      <c r="E294" s="231"/>
      <c r="F294" s="232"/>
      <c r="G294" s="227"/>
      <c r="H294" s="227"/>
      <c r="I294" s="227"/>
      <c r="J294" s="227"/>
      <c r="K294" s="227"/>
      <c r="L294" s="232"/>
      <c r="M294" s="232"/>
      <c r="N294" s="227"/>
      <c r="O294" s="227"/>
      <c r="P294" s="231"/>
      <c r="Q294" s="227"/>
      <c r="R294" s="231"/>
      <c r="S294" s="231"/>
      <c r="T294" s="231"/>
      <c r="U294" s="231"/>
      <c r="V294" s="231"/>
      <c r="W294" s="231"/>
      <c r="X294" s="227"/>
      <c r="Y294" s="232"/>
      <c r="Z294" s="232"/>
      <c r="AA294" s="232"/>
      <c r="AB294" s="232"/>
      <c r="AC294" s="227"/>
      <c r="AD294" s="227"/>
      <c r="AE294" s="231"/>
      <c r="AF294" s="227"/>
      <c r="AG294" s="232"/>
      <c r="AH294" s="232"/>
      <c r="AI294" s="232"/>
      <c r="AJ294" s="232"/>
      <c r="AK294" s="232"/>
      <c r="AL294" s="232"/>
      <c r="AM294" s="232"/>
      <c r="AN294" s="232"/>
      <c r="AO294" s="231"/>
      <c r="AP294" s="231"/>
      <c r="AQ294" s="227"/>
      <c r="AR294" s="231"/>
      <c r="AS294" s="227"/>
      <c r="AT294" s="227"/>
      <c r="AU294" s="227"/>
      <c r="AV294" s="227"/>
    </row>
    <row r="295">
      <c r="A295" s="227"/>
      <c r="B295" s="232"/>
      <c r="C295" s="227"/>
      <c r="D295" s="227"/>
      <c r="E295" s="231"/>
      <c r="F295" s="232"/>
      <c r="G295" s="227"/>
      <c r="H295" s="227"/>
      <c r="I295" s="227"/>
      <c r="J295" s="227"/>
      <c r="K295" s="227"/>
      <c r="L295" s="232"/>
      <c r="M295" s="232"/>
      <c r="N295" s="227"/>
      <c r="O295" s="227"/>
      <c r="P295" s="231"/>
      <c r="Q295" s="227"/>
      <c r="R295" s="231"/>
      <c r="S295" s="231"/>
      <c r="T295" s="231"/>
      <c r="U295" s="231"/>
      <c r="V295" s="231"/>
      <c r="W295" s="231"/>
      <c r="X295" s="227"/>
      <c r="Y295" s="232"/>
      <c r="Z295" s="232"/>
      <c r="AA295" s="232"/>
      <c r="AB295" s="232"/>
      <c r="AC295" s="227"/>
      <c r="AD295" s="227"/>
      <c r="AE295" s="231"/>
      <c r="AF295" s="227"/>
      <c r="AG295" s="232"/>
      <c r="AH295" s="232"/>
      <c r="AI295" s="232"/>
      <c r="AJ295" s="232"/>
      <c r="AK295" s="232"/>
      <c r="AL295" s="232"/>
      <c r="AM295" s="232"/>
      <c r="AN295" s="232"/>
      <c r="AO295" s="231"/>
      <c r="AP295" s="231"/>
      <c r="AQ295" s="227"/>
      <c r="AR295" s="231"/>
      <c r="AS295" s="227"/>
      <c r="AT295" s="227"/>
      <c r="AU295" s="227"/>
      <c r="AV295" s="227"/>
    </row>
    <row r="296">
      <c r="A296" s="227"/>
      <c r="B296" s="232"/>
      <c r="C296" s="227"/>
      <c r="D296" s="227"/>
      <c r="E296" s="231"/>
      <c r="F296" s="232"/>
      <c r="G296" s="227"/>
      <c r="H296" s="227"/>
      <c r="I296" s="227"/>
      <c r="J296" s="227"/>
      <c r="K296" s="227"/>
      <c r="L296" s="232"/>
      <c r="M296" s="232"/>
      <c r="N296" s="227"/>
      <c r="O296" s="227"/>
      <c r="P296" s="231"/>
      <c r="Q296" s="227"/>
      <c r="R296" s="231"/>
      <c r="S296" s="231"/>
      <c r="T296" s="231"/>
      <c r="U296" s="231"/>
      <c r="V296" s="231"/>
      <c r="W296" s="231"/>
      <c r="X296" s="227"/>
      <c r="Y296" s="232"/>
      <c r="Z296" s="232"/>
      <c r="AA296" s="232"/>
      <c r="AB296" s="232"/>
      <c r="AC296" s="227"/>
      <c r="AD296" s="227"/>
      <c r="AE296" s="231"/>
      <c r="AF296" s="227"/>
      <c r="AG296" s="232"/>
      <c r="AH296" s="232"/>
      <c r="AI296" s="232"/>
      <c r="AJ296" s="232"/>
      <c r="AK296" s="232"/>
      <c r="AL296" s="232"/>
      <c r="AM296" s="232"/>
      <c r="AN296" s="232"/>
      <c r="AO296" s="231"/>
      <c r="AP296" s="231"/>
      <c r="AQ296" s="227"/>
      <c r="AR296" s="231"/>
      <c r="AS296" s="227"/>
      <c r="AT296" s="227"/>
      <c r="AU296" s="227"/>
      <c r="AV296" s="227"/>
    </row>
    <row r="297">
      <c r="A297" s="227"/>
      <c r="B297" s="232"/>
      <c r="C297" s="227"/>
      <c r="D297" s="227"/>
      <c r="E297" s="231"/>
      <c r="F297" s="232"/>
      <c r="G297" s="227"/>
      <c r="H297" s="227"/>
      <c r="I297" s="227"/>
      <c r="J297" s="227"/>
      <c r="K297" s="227"/>
      <c r="L297" s="232"/>
      <c r="M297" s="232"/>
      <c r="N297" s="227"/>
      <c r="O297" s="227"/>
      <c r="P297" s="231"/>
      <c r="Q297" s="227"/>
      <c r="R297" s="231"/>
      <c r="S297" s="231"/>
      <c r="T297" s="231"/>
      <c r="U297" s="231"/>
      <c r="V297" s="231"/>
      <c r="W297" s="231"/>
      <c r="X297" s="227"/>
      <c r="Y297" s="232"/>
      <c r="Z297" s="232"/>
      <c r="AA297" s="232"/>
      <c r="AB297" s="232"/>
      <c r="AC297" s="227"/>
      <c r="AD297" s="227"/>
      <c r="AE297" s="231"/>
      <c r="AF297" s="227"/>
      <c r="AG297" s="232"/>
      <c r="AH297" s="232"/>
      <c r="AI297" s="232"/>
      <c r="AJ297" s="232"/>
      <c r="AK297" s="232"/>
      <c r="AL297" s="232"/>
      <c r="AM297" s="232"/>
      <c r="AN297" s="232"/>
      <c r="AO297" s="231"/>
      <c r="AP297" s="231"/>
      <c r="AQ297" s="227"/>
      <c r="AR297" s="231"/>
      <c r="AS297" s="227"/>
      <c r="AT297" s="227"/>
      <c r="AU297" s="227"/>
      <c r="AV297" s="227"/>
    </row>
    <row r="298">
      <c r="A298" s="227"/>
      <c r="B298" s="232"/>
      <c r="C298" s="227"/>
      <c r="D298" s="227"/>
      <c r="E298" s="231"/>
      <c r="F298" s="232"/>
      <c r="G298" s="227"/>
      <c r="H298" s="227"/>
      <c r="I298" s="227"/>
      <c r="J298" s="227"/>
      <c r="K298" s="227"/>
      <c r="L298" s="232"/>
      <c r="M298" s="232"/>
      <c r="N298" s="227"/>
      <c r="O298" s="227"/>
      <c r="P298" s="231"/>
      <c r="Q298" s="227"/>
      <c r="R298" s="231"/>
      <c r="S298" s="231"/>
      <c r="T298" s="231"/>
      <c r="U298" s="231"/>
      <c r="V298" s="231"/>
      <c r="W298" s="231"/>
      <c r="X298" s="227"/>
      <c r="Y298" s="232"/>
      <c r="Z298" s="232"/>
      <c r="AA298" s="232"/>
      <c r="AB298" s="232"/>
      <c r="AC298" s="227"/>
      <c r="AD298" s="227"/>
      <c r="AE298" s="231"/>
      <c r="AF298" s="227"/>
      <c r="AG298" s="232"/>
      <c r="AH298" s="232"/>
      <c r="AI298" s="232"/>
      <c r="AJ298" s="232"/>
      <c r="AK298" s="232"/>
      <c r="AL298" s="232"/>
      <c r="AM298" s="232"/>
      <c r="AN298" s="232"/>
      <c r="AO298" s="231"/>
      <c r="AP298" s="231"/>
      <c r="AQ298" s="227"/>
      <c r="AR298" s="231"/>
      <c r="AS298" s="227"/>
      <c r="AT298" s="227"/>
      <c r="AU298" s="227"/>
      <c r="AV298" s="227"/>
    </row>
    <row r="299">
      <c r="A299" s="227"/>
      <c r="B299" s="232"/>
      <c r="C299" s="227"/>
      <c r="D299" s="227"/>
      <c r="E299" s="231"/>
      <c r="F299" s="232"/>
      <c r="G299" s="227"/>
      <c r="H299" s="227"/>
      <c r="I299" s="227"/>
      <c r="J299" s="227"/>
      <c r="K299" s="227"/>
      <c r="L299" s="232"/>
      <c r="M299" s="232"/>
      <c r="N299" s="227"/>
      <c r="O299" s="227"/>
      <c r="P299" s="231"/>
      <c r="Q299" s="227"/>
      <c r="R299" s="231"/>
      <c r="S299" s="231"/>
      <c r="T299" s="231"/>
      <c r="U299" s="231"/>
      <c r="V299" s="231"/>
      <c r="W299" s="231"/>
      <c r="X299" s="227"/>
      <c r="Y299" s="232"/>
      <c r="Z299" s="232"/>
      <c r="AA299" s="232"/>
      <c r="AB299" s="232"/>
      <c r="AC299" s="227"/>
      <c r="AD299" s="227"/>
      <c r="AE299" s="231"/>
      <c r="AF299" s="227"/>
      <c r="AG299" s="232"/>
      <c r="AH299" s="232"/>
      <c r="AI299" s="232"/>
      <c r="AJ299" s="232"/>
      <c r="AK299" s="232"/>
      <c r="AL299" s="232"/>
      <c r="AM299" s="232"/>
      <c r="AN299" s="232"/>
      <c r="AO299" s="231"/>
      <c r="AP299" s="231"/>
      <c r="AQ299" s="227"/>
      <c r="AR299" s="231"/>
      <c r="AS299" s="227"/>
      <c r="AT299" s="227"/>
      <c r="AU299" s="227"/>
      <c r="AV299" s="227"/>
    </row>
    <row r="300">
      <c r="A300" s="227"/>
      <c r="B300" s="232"/>
      <c r="C300" s="227"/>
      <c r="D300" s="227"/>
      <c r="E300" s="231"/>
      <c r="F300" s="232"/>
      <c r="G300" s="227"/>
      <c r="H300" s="227"/>
      <c r="I300" s="227"/>
      <c r="J300" s="227"/>
      <c r="K300" s="227"/>
      <c r="L300" s="232"/>
      <c r="M300" s="232"/>
      <c r="N300" s="227"/>
      <c r="O300" s="227"/>
      <c r="P300" s="231"/>
      <c r="Q300" s="227"/>
      <c r="R300" s="231"/>
      <c r="S300" s="231"/>
      <c r="T300" s="231"/>
      <c r="U300" s="231"/>
      <c r="V300" s="231"/>
      <c r="W300" s="231"/>
      <c r="X300" s="227"/>
      <c r="Y300" s="232"/>
      <c r="Z300" s="232"/>
      <c r="AA300" s="232"/>
      <c r="AB300" s="232"/>
      <c r="AC300" s="227"/>
      <c r="AD300" s="227"/>
      <c r="AE300" s="231"/>
      <c r="AF300" s="227"/>
      <c r="AG300" s="232"/>
      <c r="AH300" s="232"/>
      <c r="AI300" s="232"/>
      <c r="AJ300" s="232"/>
      <c r="AK300" s="232"/>
      <c r="AL300" s="232"/>
      <c r="AM300" s="232"/>
      <c r="AN300" s="232"/>
      <c r="AO300" s="231"/>
      <c r="AP300" s="231"/>
      <c r="AQ300" s="227"/>
      <c r="AR300" s="231"/>
      <c r="AS300" s="227"/>
      <c r="AT300" s="227"/>
      <c r="AU300" s="227"/>
      <c r="AV300" s="227"/>
    </row>
    <row r="301">
      <c r="A301" s="227"/>
      <c r="B301" s="232"/>
      <c r="C301" s="227"/>
      <c r="D301" s="227"/>
      <c r="E301" s="231"/>
      <c r="F301" s="232"/>
      <c r="G301" s="227"/>
      <c r="H301" s="227"/>
      <c r="I301" s="227"/>
      <c r="J301" s="227"/>
      <c r="K301" s="227"/>
      <c r="L301" s="232"/>
      <c r="M301" s="232"/>
      <c r="N301" s="227"/>
      <c r="O301" s="227"/>
      <c r="P301" s="231"/>
      <c r="Q301" s="227"/>
      <c r="R301" s="231"/>
      <c r="S301" s="231"/>
      <c r="T301" s="231"/>
      <c r="U301" s="231"/>
      <c r="V301" s="231"/>
      <c r="W301" s="231"/>
      <c r="X301" s="227"/>
      <c r="Y301" s="232"/>
      <c r="Z301" s="232"/>
      <c r="AA301" s="232"/>
      <c r="AB301" s="232"/>
      <c r="AC301" s="227"/>
      <c r="AD301" s="227"/>
      <c r="AE301" s="231"/>
      <c r="AF301" s="227"/>
      <c r="AG301" s="232"/>
      <c r="AH301" s="232"/>
      <c r="AI301" s="232"/>
      <c r="AJ301" s="232"/>
      <c r="AK301" s="232"/>
      <c r="AL301" s="232"/>
      <c r="AM301" s="232"/>
      <c r="AN301" s="232"/>
      <c r="AO301" s="231"/>
      <c r="AP301" s="231"/>
      <c r="AQ301" s="227"/>
      <c r="AR301" s="231"/>
      <c r="AS301" s="227"/>
      <c r="AT301" s="227"/>
      <c r="AU301" s="227"/>
      <c r="AV301" s="227"/>
    </row>
    <row r="302">
      <c r="A302" s="227"/>
      <c r="B302" s="232"/>
      <c r="C302" s="227"/>
      <c r="D302" s="227"/>
      <c r="E302" s="231"/>
      <c r="F302" s="232"/>
      <c r="G302" s="227"/>
      <c r="H302" s="227"/>
      <c r="I302" s="227"/>
      <c r="J302" s="227"/>
      <c r="K302" s="227"/>
      <c r="L302" s="232"/>
      <c r="M302" s="232"/>
      <c r="N302" s="227"/>
      <c r="O302" s="227"/>
      <c r="P302" s="231"/>
      <c r="Q302" s="227"/>
      <c r="R302" s="231"/>
      <c r="S302" s="231"/>
      <c r="T302" s="231"/>
      <c r="U302" s="231"/>
      <c r="V302" s="231"/>
      <c r="W302" s="231"/>
      <c r="X302" s="227"/>
      <c r="Y302" s="232"/>
      <c r="Z302" s="232"/>
      <c r="AA302" s="232"/>
      <c r="AB302" s="232"/>
      <c r="AC302" s="227"/>
      <c r="AD302" s="227"/>
      <c r="AE302" s="231"/>
      <c r="AF302" s="227"/>
      <c r="AG302" s="232"/>
      <c r="AH302" s="232"/>
      <c r="AI302" s="232"/>
      <c r="AJ302" s="232"/>
      <c r="AK302" s="232"/>
      <c r="AL302" s="232"/>
      <c r="AM302" s="232"/>
      <c r="AN302" s="232"/>
      <c r="AO302" s="231"/>
      <c r="AP302" s="231"/>
      <c r="AQ302" s="227"/>
      <c r="AR302" s="231"/>
      <c r="AS302" s="227"/>
      <c r="AT302" s="227"/>
      <c r="AU302" s="227"/>
      <c r="AV302" s="227"/>
    </row>
    <row r="303">
      <c r="A303" s="227"/>
      <c r="B303" s="232"/>
      <c r="C303" s="227"/>
      <c r="D303" s="227"/>
      <c r="E303" s="231"/>
      <c r="F303" s="232"/>
      <c r="G303" s="227"/>
      <c r="H303" s="227"/>
      <c r="I303" s="227"/>
      <c r="J303" s="227"/>
      <c r="K303" s="227"/>
      <c r="L303" s="232"/>
      <c r="M303" s="232"/>
      <c r="N303" s="227"/>
      <c r="O303" s="227"/>
      <c r="P303" s="231"/>
      <c r="Q303" s="227"/>
      <c r="R303" s="231"/>
      <c r="S303" s="231"/>
      <c r="T303" s="231"/>
      <c r="U303" s="231"/>
      <c r="V303" s="231"/>
      <c r="W303" s="231"/>
      <c r="X303" s="227"/>
      <c r="Y303" s="232"/>
      <c r="Z303" s="232"/>
      <c r="AA303" s="232"/>
      <c r="AB303" s="232"/>
      <c r="AC303" s="227"/>
      <c r="AD303" s="227"/>
      <c r="AE303" s="231"/>
      <c r="AF303" s="227"/>
      <c r="AG303" s="232"/>
      <c r="AH303" s="232"/>
      <c r="AI303" s="232"/>
      <c r="AJ303" s="232"/>
      <c r="AK303" s="232"/>
      <c r="AL303" s="232"/>
      <c r="AM303" s="232"/>
      <c r="AN303" s="232"/>
      <c r="AO303" s="231"/>
      <c r="AP303" s="231"/>
      <c r="AQ303" s="227"/>
      <c r="AR303" s="231"/>
      <c r="AS303" s="227"/>
      <c r="AT303" s="227"/>
      <c r="AU303" s="227"/>
      <c r="AV303" s="227"/>
    </row>
    <row r="304">
      <c r="A304" s="227"/>
      <c r="B304" s="232"/>
      <c r="C304" s="227"/>
      <c r="D304" s="227"/>
      <c r="E304" s="231"/>
      <c r="F304" s="232"/>
      <c r="G304" s="227"/>
      <c r="H304" s="227"/>
      <c r="I304" s="227"/>
      <c r="J304" s="227"/>
      <c r="K304" s="227"/>
      <c r="L304" s="232"/>
      <c r="M304" s="232"/>
      <c r="N304" s="227"/>
      <c r="O304" s="227"/>
      <c r="P304" s="231"/>
      <c r="Q304" s="227"/>
      <c r="R304" s="231"/>
      <c r="S304" s="231"/>
      <c r="T304" s="231"/>
      <c r="U304" s="231"/>
      <c r="V304" s="231"/>
      <c r="W304" s="231"/>
      <c r="X304" s="227"/>
      <c r="Y304" s="232"/>
      <c r="Z304" s="232"/>
      <c r="AA304" s="232"/>
      <c r="AB304" s="232"/>
      <c r="AC304" s="227"/>
      <c r="AD304" s="227"/>
      <c r="AE304" s="231"/>
      <c r="AF304" s="227"/>
      <c r="AG304" s="232"/>
      <c r="AH304" s="232"/>
      <c r="AI304" s="232"/>
      <c r="AJ304" s="232"/>
      <c r="AK304" s="232"/>
      <c r="AL304" s="232"/>
      <c r="AM304" s="232"/>
      <c r="AN304" s="232"/>
      <c r="AO304" s="231"/>
      <c r="AP304" s="231"/>
      <c r="AQ304" s="227"/>
      <c r="AR304" s="231"/>
      <c r="AS304" s="227"/>
      <c r="AT304" s="227"/>
      <c r="AU304" s="227"/>
      <c r="AV304" s="227"/>
    </row>
    <row r="305">
      <c r="A305" s="227"/>
      <c r="B305" s="232"/>
      <c r="C305" s="227"/>
      <c r="D305" s="227"/>
      <c r="E305" s="231"/>
      <c r="F305" s="232"/>
      <c r="G305" s="227"/>
      <c r="H305" s="227"/>
      <c r="I305" s="227"/>
      <c r="J305" s="227"/>
      <c r="K305" s="227"/>
      <c r="L305" s="232"/>
      <c r="M305" s="232"/>
      <c r="N305" s="227"/>
      <c r="O305" s="227"/>
      <c r="P305" s="231"/>
      <c r="Q305" s="227"/>
      <c r="R305" s="231"/>
      <c r="S305" s="231"/>
      <c r="T305" s="231"/>
      <c r="U305" s="231"/>
      <c r="V305" s="231"/>
      <c r="W305" s="231"/>
      <c r="X305" s="227"/>
      <c r="Y305" s="232"/>
      <c r="Z305" s="232"/>
      <c r="AA305" s="232"/>
      <c r="AB305" s="232"/>
      <c r="AC305" s="227"/>
      <c r="AD305" s="227"/>
      <c r="AE305" s="231"/>
      <c r="AF305" s="227"/>
      <c r="AG305" s="232"/>
      <c r="AH305" s="232"/>
      <c r="AI305" s="232"/>
      <c r="AJ305" s="232"/>
      <c r="AK305" s="232"/>
      <c r="AL305" s="232"/>
      <c r="AM305" s="232"/>
      <c r="AN305" s="232"/>
      <c r="AO305" s="231"/>
      <c r="AP305" s="231"/>
      <c r="AQ305" s="227"/>
      <c r="AR305" s="231"/>
      <c r="AS305" s="227"/>
      <c r="AT305" s="227"/>
      <c r="AU305" s="227"/>
      <c r="AV305" s="227"/>
    </row>
    <row r="306">
      <c r="A306" s="227"/>
      <c r="B306" s="232"/>
      <c r="C306" s="227"/>
      <c r="D306" s="227"/>
      <c r="E306" s="231"/>
      <c r="F306" s="232"/>
      <c r="G306" s="227"/>
      <c r="H306" s="227"/>
      <c r="I306" s="227"/>
      <c r="J306" s="227"/>
      <c r="K306" s="227"/>
      <c r="L306" s="232"/>
      <c r="M306" s="232"/>
      <c r="N306" s="227"/>
      <c r="O306" s="227"/>
      <c r="P306" s="231"/>
      <c r="Q306" s="227"/>
      <c r="R306" s="231"/>
      <c r="S306" s="231"/>
      <c r="T306" s="231"/>
      <c r="U306" s="231"/>
      <c r="V306" s="231"/>
      <c r="W306" s="231"/>
      <c r="X306" s="227"/>
      <c r="Y306" s="232"/>
      <c r="Z306" s="232"/>
      <c r="AA306" s="232"/>
      <c r="AB306" s="232"/>
      <c r="AC306" s="227"/>
      <c r="AD306" s="227"/>
      <c r="AE306" s="231"/>
      <c r="AF306" s="227"/>
      <c r="AG306" s="232"/>
      <c r="AH306" s="232"/>
      <c r="AI306" s="232"/>
      <c r="AJ306" s="232"/>
      <c r="AK306" s="232"/>
      <c r="AL306" s="232"/>
      <c r="AM306" s="232"/>
      <c r="AN306" s="232"/>
      <c r="AO306" s="231"/>
      <c r="AP306" s="231"/>
      <c r="AQ306" s="227"/>
      <c r="AR306" s="231"/>
      <c r="AS306" s="227"/>
      <c r="AT306" s="227"/>
      <c r="AU306" s="227"/>
      <c r="AV306" s="227"/>
    </row>
    <row r="307">
      <c r="A307" s="227"/>
      <c r="B307" s="232"/>
      <c r="C307" s="227"/>
      <c r="D307" s="227"/>
      <c r="E307" s="231"/>
      <c r="F307" s="232"/>
      <c r="G307" s="227"/>
      <c r="H307" s="227"/>
      <c r="I307" s="227"/>
      <c r="J307" s="227"/>
      <c r="K307" s="227"/>
      <c r="L307" s="232"/>
      <c r="M307" s="232"/>
      <c r="N307" s="227"/>
      <c r="O307" s="227"/>
      <c r="P307" s="231"/>
      <c r="Q307" s="227"/>
      <c r="R307" s="231"/>
      <c r="S307" s="231"/>
      <c r="T307" s="231"/>
      <c r="U307" s="231"/>
      <c r="V307" s="231"/>
      <c r="W307" s="231"/>
      <c r="X307" s="227"/>
      <c r="Y307" s="232"/>
      <c r="Z307" s="232"/>
      <c r="AA307" s="232"/>
      <c r="AB307" s="232"/>
      <c r="AC307" s="227"/>
      <c r="AD307" s="227"/>
      <c r="AE307" s="231"/>
      <c r="AF307" s="227"/>
      <c r="AG307" s="232"/>
      <c r="AH307" s="232"/>
      <c r="AI307" s="232"/>
      <c r="AJ307" s="232"/>
      <c r="AK307" s="232"/>
      <c r="AL307" s="232"/>
      <c r="AM307" s="232"/>
      <c r="AN307" s="232"/>
      <c r="AO307" s="231"/>
      <c r="AP307" s="231"/>
      <c r="AQ307" s="227"/>
      <c r="AR307" s="231"/>
      <c r="AS307" s="227"/>
      <c r="AT307" s="227"/>
      <c r="AU307" s="227"/>
      <c r="AV307" s="227"/>
    </row>
    <row r="308">
      <c r="A308" s="227"/>
      <c r="B308" s="232"/>
      <c r="C308" s="227"/>
      <c r="D308" s="227"/>
      <c r="E308" s="231"/>
      <c r="F308" s="232"/>
      <c r="G308" s="227"/>
      <c r="H308" s="227"/>
      <c r="I308" s="227"/>
      <c r="J308" s="227"/>
      <c r="K308" s="227"/>
      <c r="L308" s="232"/>
      <c r="M308" s="232"/>
      <c r="N308" s="227"/>
      <c r="O308" s="227"/>
      <c r="P308" s="231"/>
      <c r="Q308" s="227"/>
      <c r="R308" s="231"/>
      <c r="S308" s="231"/>
      <c r="T308" s="231"/>
      <c r="U308" s="231"/>
      <c r="V308" s="231"/>
      <c r="W308" s="231"/>
      <c r="X308" s="227"/>
      <c r="Y308" s="232"/>
      <c r="Z308" s="232"/>
      <c r="AA308" s="232"/>
      <c r="AB308" s="232"/>
      <c r="AC308" s="227"/>
      <c r="AD308" s="227"/>
      <c r="AE308" s="231"/>
      <c r="AF308" s="227"/>
      <c r="AG308" s="232"/>
      <c r="AH308" s="232"/>
      <c r="AI308" s="232"/>
      <c r="AJ308" s="232"/>
      <c r="AK308" s="232"/>
      <c r="AL308" s="232"/>
      <c r="AM308" s="232"/>
      <c r="AN308" s="232"/>
      <c r="AO308" s="231"/>
      <c r="AP308" s="231"/>
      <c r="AQ308" s="227"/>
      <c r="AR308" s="231"/>
      <c r="AS308" s="227"/>
      <c r="AT308" s="227"/>
      <c r="AU308" s="227"/>
      <c r="AV308" s="227"/>
    </row>
    <row r="309">
      <c r="A309" s="227"/>
      <c r="B309" s="232"/>
      <c r="C309" s="227"/>
      <c r="D309" s="227"/>
      <c r="E309" s="231"/>
      <c r="F309" s="232"/>
      <c r="G309" s="227"/>
      <c r="H309" s="227"/>
      <c r="I309" s="227"/>
      <c r="J309" s="227"/>
      <c r="K309" s="227"/>
      <c r="L309" s="232"/>
      <c r="M309" s="232"/>
      <c r="N309" s="227"/>
      <c r="O309" s="227"/>
      <c r="P309" s="231"/>
      <c r="Q309" s="227"/>
      <c r="R309" s="231"/>
      <c r="S309" s="231"/>
      <c r="T309" s="231"/>
      <c r="U309" s="231"/>
      <c r="V309" s="231"/>
      <c r="W309" s="231"/>
      <c r="X309" s="227"/>
      <c r="Y309" s="232"/>
      <c r="Z309" s="232"/>
      <c r="AA309" s="232"/>
      <c r="AB309" s="232"/>
      <c r="AC309" s="227"/>
      <c r="AD309" s="227"/>
      <c r="AE309" s="231"/>
      <c r="AF309" s="227"/>
      <c r="AG309" s="232"/>
      <c r="AH309" s="232"/>
      <c r="AI309" s="232"/>
      <c r="AJ309" s="232"/>
      <c r="AK309" s="232"/>
      <c r="AL309" s="232"/>
      <c r="AM309" s="232"/>
      <c r="AN309" s="232"/>
      <c r="AO309" s="231"/>
      <c r="AP309" s="231"/>
      <c r="AQ309" s="227"/>
      <c r="AR309" s="231"/>
      <c r="AS309" s="227"/>
      <c r="AT309" s="227"/>
      <c r="AU309" s="227"/>
      <c r="AV309" s="227"/>
    </row>
    <row r="310">
      <c r="A310" s="227"/>
      <c r="B310" s="232"/>
      <c r="C310" s="227"/>
      <c r="D310" s="227"/>
      <c r="E310" s="231"/>
      <c r="F310" s="232"/>
      <c r="G310" s="227"/>
      <c r="H310" s="227"/>
      <c r="I310" s="227"/>
      <c r="J310" s="227"/>
      <c r="K310" s="227"/>
      <c r="L310" s="232"/>
      <c r="M310" s="232"/>
      <c r="N310" s="227"/>
      <c r="O310" s="227"/>
      <c r="P310" s="231"/>
      <c r="Q310" s="227"/>
      <c r="R310" s="231"/>
      <c r="S310" s="231"/>
      <c r="T310" s="231"/>
      <c r="U310" s="231"/>
      <c r="V310" s="231"/>
      <c r="W310" s="231"/>
      <c r="X310" s="227"/>
      <c r="Y310" s="232"/>
      <c r="Z310" s="232"/>
      <c r="AA310" s="232"/>
      <c r="AB310" s="232"/>
      <c r="AC310" s="227"/>
      <c r="AD310" s="227"/>
      <c r="AE310" s="231"/>
      <c r="AF310" s="227"/>
      <c r="AG310" s="232"/>
      <c r="AH310" s="232"/>
      <c r="AI310" s="232"/>
      <c r="AJ310" s="232"/>
      <c r="AK310" s="232"/>
      <c r="AL310" s="232"/>
      <c r="AM310" s="232"/>
      <c r="AN310" s="232"/>
      <c r="AO310" s="231"/>
      <c r="AP310" s="231"/>
      <c r="AQ310" s="227"/>
      <c r="AR310" s="231"/>
      <c r="AS310" s="227"/>
      <c r="AT310" s="227"/>
      <c r="AU310" s="227"/>
      <c r="AV310" s="227"/>
    </row>
    <row r="311">
      <c r="A311" s="227"/>
      <c r="B311" s="232"/>
      <c r="C311" s="227"/>
      <c r="D311" s="227"/>
      <c r="E311" s="231"/>
      <c r="F311" s="232"/>
      <c r="G311" s="227"/>
      <c r="H311" s="227"/>
      <c r="I311" s="227"/>
      <c r="J311" s="227"/>
      <c r="K311" s="227"/>
      <c r="L311" s="232"/>
      <c r="M311" s="232"/>
      <c r="N311" s="227"/>
      <c r="O311" s="227"/>
      <c r="P311" s="231"/>
      <c r="Q311" s="227"/>
      <c r="R311" s="231"/>
      <c r="S311" s="231"/>
      <c r="T311" s="231"/>
      <c r="U311" s="231"/>
      <c r="V311" s="231"/>
      <c r="W311" s="231"/>
      <c r="X311" s="227"/>
      <c r="Y311" s="232"/>
      <c r="Z311" s="232"/>
      <c r="AA311" s="232"/>
      <c r="AB311" s="232"/>
      <c r="AC311" s="227"/>
      <c r="AD311" s="227"/>
      <c r="AE311" s="231"/>
      <c r="AF311" s="227"/>
      <c r="AG311" s="232"/>
      <c r="AH311" s="232"/>
      <c r="AI311" s="232"/>
      <c r="AJ311" s="232"/>
      <c r="AK311" s="232"/>
      <c r="AL311" s="232"/>
      <c r="AM311" s="232"/>
      <c r="AN311" s="232"/>
      <c r="AO311" s="231"/>
      <c r="AP311" s="231"/>
      <c r="AQ311" s="227"/>
      <c r="AR311" s="231"/>
      <c r="AS311" s="227"/>
      <c r="AT311" s="227"/>
      <c r="AU311" s="227"/>
      <c r="AV311" s="227"/>
    </row>
    <row r="312">
      <c r="A312" s="227"/>
      <c r="B312" s="232"/>
      <c r="C312" s="227"/>
      <c r="D312" s="227"/>
      <c r="E312" s="231"/>
      <c r="F312" s="232"/>
      <c r="G312" s="227"/>
      <c r="H312" s="227"/>
      <c r="I312" s="227"/>
      <c r="J312" s="227"/>
      <c r="K312" s="227"/>
      <c r="L312" s="232"/>
      <c r="M312" s="232"/>
      <c r="N312" s="227"/>
      <c r="O312" s="227"/>
      <c r="P312" s="231"/>
      <c r="Q312" s="227"/>
      <c r="R312" s="231"/>
      <c r="S312" s="231"/>
      <c r="T312" s="231"/>
      <c r="U312" s="231"/>
      <c r="V312" s="231"/>
      <c r="W312" s="231"/>
      <c r="X312" s="227"/>
      <c r="Y312" s="232"/>
      <c r="Z312" s="232"/>
      <c r="AA312" s="232"/>
      <c r="AB312" s="232"/>
      <c r="AC312" s="227"/>
      <c r="AD312" s="227"/>
      <c r="AE312" s="231"/>
      <c r="AF312" s="227"/>
      <c r="AG312" s="232"/>
      <c r="AH312" s="232"/>
      <c r="AI312" s="232"/>
      <c r="AJ312" s="232"/>
      <c r="AK312" s="232"/>
      <c r="AL312" s="232"/>
      <c r="AM312" s="232"/>
      <c r="AN312" s="232"/>
      <c r="AO312" s="231"/>
      <c r="AP312" s="231"/>
      <c r="AQ312" s="227"/>
      <c r="AR312" s="231"/>
      <c r="AS312" s="227"/>
      <c r="AT312" s="227"/>
      <c r="AU312" s="227"/>
      <c r="AV312" s="227"/>
    </row>
    <row r="313">
      <c r="A313" s="227"/>
      <c r="B313" s="232"/>
      <c r="C313" s="227"/>
      <c r="D313" s="227"/>
      <c r="E313" s="231"/>
      <c r="F313" s="232"/>
      <c r="G313" s="227"/>
      <c r="H313" s="227"/>
      <c r="I313" s="227"/>
      <c r="J313" s="227"/>
      <c r="K313" s="227"/>
      <c r="L313" s="232"/>
      <c r="M313" s="232"/>
      <c r="N313" s="227"/>
      <c r="O313" s="227"/>
      <c r="P313" s="231"/>
      <c r="Q313" s="227"/>
      <c r="R313" s="231"/>
      <c r="S313" s="231"/>
      <c r="T313" s="231"/>
      <c r="U313" s="231"/>
      <c r="V313" s="231"/>
      <c r="W313" s="231"/>
      <c r="X313" s="227"/>
      <c r="Y313" s="232"/>
      <c r="Z313" s="232"/>
      <c r="AA313" s="232"/>
      <c r="AB313" s="232"/>
      <c r="AC313" s="227"/>
      <c r="AD313" s="227"/>
      <c r="AE313" s="231"/>
      <c r="AF313" s="227"/>
      <c r="AG313" s="232"/>
      <c r="AH313" s="232"/>
      <c r="AI313" s="232"/>
      <c r="AJ313" s="232"/>
      <c r="AK313" s="232"/>
      <c r="AL313" s="232"/>
      <c r="AM313" s="232"/>
      <c r="AN313" s="232"/>
      <c r="AO313" s="231"/>
      <c r="AP313" s="231"/>
      <c r="AQ313" s="227"/>
      <c r="AR313" s="231"/>
      <c r="AS313" s="227"/>
      <c r="AT313" s="227"/>
      <c r="AU313" s="227"/>
      <c r="AV313" s="227"/>
    </row>
    <row r="314">
      <c r="A314" s="227"/>
      <c r="B314" s="232"/>
      <c r="C314" s="227"/>
      <c r="D314" s="227"/>
      <c r="E314" s="231"/>
      <c r="F314" s="232"/>
      <c r="G314" s="227"/>
      <c r="H314" s="227"/>
      <c r="I314" s="227"/>
      <c r="J314" s="227"/>
      <c r="K314" s="227"/>
      <c r="L314" s="232"/>
      <c r="M314" s="232"/>
      <c r="N314" s="227"/>
      <c r="O314" s="227"/>
      <c r="P314" s="231"/>
      <c r="Q314" s="227"/>
      <c r="R314" s="231"/>
      <c r="S314" s="231"/>
      <c r="T314" s="231"/>
      <c r="U314" s="231"/>
      <c r="V314" s="231"/>
      <c r="W314" s="231"/>
      <c r="X314" s="227"/>
      <c r="Y314" s="232"/>
      <c r="Z314" s="232"/>
      <c r="AA314" s="232"/>
      <c r="AB314" s="232"/>
      <c r="AC314" s="227"/>
      <c r="AD314" s="227"/>
      <c r="AE314" s="231"/>
      <c r="AF314" s="227"/>
      <c r="AG314" s="232"/>
      <c r="AH314" s="232"/>
      <c r="AI314" s="232"/>
      <c r="AJ314" s="232"/>
      <c r="AK314" s="232"/>
      <c r="AL314" s="232"/>
      <c r="AM314" s="232"/>
      <c r="AN314" s="232"/>
      <c r="AO314" s="231"/>
      <c r="AP314" s="231"/>
      <c r="AQ314" s="227"/>
      <c r="AR314" s="231"/>
      <c r="AS314" s="227"/>
      <c r="AT314" s="227"/>
      <c r="AU314" s="227"/>
      <c r="AV314" s="227"/>
    </row>
    <row r="315">
      <c r="A315" s="227"/>
      <c r="B315" s="232"/>
      <c r="C315" s="227"/>
      <c r="D315" s="227"/>
      <c r="E315" s="231"/>
      <c r="F315" s="232"/>
      <c r="G315" s="227"/>
      <c r="H315" s="227"/>
      <c r="I315" s="227"/>
      <c r="J315" s="227"/>
      <c r="K315" s="227"/>
      <c r="L315" s="232"/>
      <c r="M315" s="232"/>
      <c r="N315" s="227"/>
      <c r="O315" s="227"/>
      <c r="P315" s="231"/>
      <c r="Q315" s="227"/>
      <c r="R315" s="231"/>
      <c r="S315" s="231"/>
      <c r="T315" s="231"/>
      <c r="U315" s="231"/>
      <c r="V315" s="231"/>
      <c r="W315" s="231"/>
      <c r="X315" s="227"/>
      <c r="Y315" s="232"/>
      <c r="Z315" s="232"/>
      <c r="AA315" s="232"/>
      <c r="AB315" s="232"/>
      <c r="AC315" s="227"/>
      <c r="AD315" s="227"/>
      <c r="AE315" s="231"/>
      <c r="AF315" s="227"/>
      <c r="AG315" s="232"/>
      <c r="AH315" s="232"/>
      <c r="AI315" s="232"/>
      <c r="AJ315" s="232"/>
      <c r="AK315" s="232"/>
      <c r="AL315" s="232"/>
      <c r="AM315" s="232"/>
      <c r="AN315" s="232"/>
      <c r="AO315" s="231"/>
      <c r="AP315" s="231"/>
      <c r="AQ315" s="227"/>
      <c r="AR315" s="231"/>
      <c r="AS315" s="227"/>
      <c r="AT315" s="227"/>
      <c r="AU315" s="227"/>
      <c r="AV315" s="227"/>
    </row>
    <row r="316">
      <c r="A316" s="227"/>
      <c r="B316" s="232"/>
      <c r="C316" s="227"/>
      <c r="D316" s="227"/>
      <c r="E316" s="231"/>
      <c r="F316" s="232"/>
      <c r="G316" s="227"/>
      <c r="H316" s="227"/>
      <c r="I316" s="227"/>
      <c r="J316" s="227"/>
      <c r="K316" s="227"/>
      <c r="L316" s="232"/>
      <c r="M316" s="232"/>
      <c r="N316" s="227"/>
      <c r="O316" s="227"/>
      <c r="P316" s="231"/>
      <c r="Q316" s="227"/>
      <c r="R316" s="231"/>
      <c r="S316" s="231"/>
      <c r="T316" s="231"/>
      <c r="U316" s="231"/>
      <c r="V316" s="231"/>
      <c r="W316" s="231"/>
      <c r="X316" s="227"/>
      <c r="Y316" s="232"/>
      <c r="Z316" s="232"/>
      <c r="AA316" s="232"/>
      <c r="AB316" s="232"/>
      <c r="AC316" s="227"/>
      <c r="AD316" s="227"/>
      <c r="AE316" s="231"/>
      <c r="AF316" s="227"/>
      <c r="AG316" s="232"/>
      <c r="AH316" s="232"/>
      <c r="AI316" s="232"/>
      <c r="AJ316" s="232"/>
      <c r="AK316" s="232"/>
      <c r="AL316" s="232"/>
      <c r="AM316" s="232"/>
      <c r="AN316" s="232"/>
      <c r="AO316" s="231"/>
      <c r="AP316" s="231"/>
      <c r="AQ316" s="227"/>
      <c r="AR316" s="231"/>
      <c r="AS316" s="227"/>
      <c r="AT316" s="227"/>
      <c r="AU316" s="227"/>
      <c r="AV316" s="227"/>
    </row>
    <row r="317">
      <c r="A317" s="227"/>
      <c r="B317" s="232"/>
      <c r="C317" s="227"/>
      <c r="D317" s="227"/>
      <c r="E317" s="231"/>
      <c r="F317" s="232"/>
      <c r="G317" s="227"/>
      <c r="H317" s="227"/>
      <c r="I317" s="227"/>
      <c r="J317" s="227"/>
      <c r="K317" s="227"/>
      <c r="L317" s="232"/>
      <c r="M317" s="232"/>
      <c r="N317" s="227"/>
      <c r="O317" s="227"/>
      <c r="P317" s="231"/>
      <c r="Q317" s="227"/>
      <c r="R317" s="231"/>
      <c r="S317" s="231"/>
      <c r="T317" s="231"/>
      <c r="U317" s="231"/>
      <c r="V317" s="231"/>
      <c r="W317" s="231"/>
      <c r="X317" s="227"/>
      <c r="Y317" s="232"/>
      <c r="Z317" s="232"/>
      <c r="AA317" s="232"/>
      <c r="AB317" s="232"/>
      <c r="AC317" s="227"/>
      <c r="AD317" s="227"/>
      <c r="AE317" s="231"/>
      <c r="AF317" s="227"/>
      <c r="AG317" s="232"/>
      <c r="AH317" s="232"/>
      <c r="AI317" s="232"/>
      <c r="AJ317" s="232"/>
      <c r="AK317" s="232"/>
      <c r="AL317" s="232"/>
      <c r="AM317" s="232"/>
      <c r="AN317" s="232"/>
      <c r="AO317" s="231"/>
      <c r="AP317" s="231"/>
      <c r="AQ317" s="227"/>
      <c r="AR317" s="231"/>
      <c r="AS317" s="227"/>
      <c r="AT317" s="227"/>
      <c r="AU317" s="227"/>
      <c r="AV317" s="227"/>
    </row>
    <row r="318">
      <c r="A318" s="227"/>
      <c r="B318" s="232"/>
      <c r="C318" s="227"/>
      <c r="D318" s="227"/>
      <c r="E318" s="231"/>
      <c r="F318" s="232"/>
      <c r="G318" s="227"/>
      <c r="H318" s="227"/>
      <c r="I318" s="227"/>
      <c r="J318" s="227"/>
      <c r="K318" s="227"/>
      <c r="L318" s="232"/>
      <c r="M318" s="232"/>
      <c r="N318" s="227"/>
      <c r="O318" s="227"/>
      <c r="P318" s="231"/>
      <c r="Q318" s="227"/>
      <c r="R318" s="231"/>
      <c r="S318" s="231"/>
      <c r="T318" s="231"/>
      <c r="U318" s="231"/>
      <c r="V318" s="231"/>
      <c r="W318" s="231"/>
      <c r="X318" s="227"/>
      <c r="Y318" s="232"/>
      <c r="Z318" s="232"/>
      <c r="AA318" s="232"/>
      <c r="AB318" s="232"/>
      <c r="AC318" s="227"/>
      <c r="AD318" s="227"/>
      <c r="AE318" s="231"/>
      <c r="AF318" s="227"/>
      <c r="AG318" s="232"/>
      <c r="AH318" s="232"/>
      <c r="AI318" s="232"/>
      <c r="AJ318" s="232"/>
      <c r="AK318" s="232"/>
      <c r="AL318" s="232"/>
      <c r="AM318" s="232"/>
      <c r="AN318" s="232"/>
      <c r="AO318" s="231"/>
      <c r="AP318" s="231"/>
      <c r="AQ318" s="227"/>
      <c r="AR318" s="231"/>
      <c r="AS318" s="227"/>
      <c r="AT318" s="227"/>
      <c r="AU318" s="227"/>
      <c r="AV318" s="227"/>
    </row>
    <row r="319">
      <c r="A319" s="227"/>
      <c r="B319" s="232"/>
      <c r="C319" s="227"/>
      <c r="D319" s="227"/>
      <c r="E319" s="231"/>
      <c r="F319" s="232"/>
      <c r="G319" s="227"/>
      <c r="H319" s="227"/>
      <c r="I319" s="227"/>
      <c r="J319" s="227"/>
      <c r="K319" s="227"/>
      <c r="L319" s="232"/>
      <c r="M319" s="232"/>
      <c r="N319" s="227"/>
      <c r="O319" s="227"/>
      <c r="P319" s="231"/>
      <c r="Q319" s="227"/>
      <c r="R319" s="231"/>
      <c r="S319" s="231"/>
      <c r="T319" s="231"/>
      <c r="U319" s="231"/>
      <c r="V319" s="231"/>
      <c r="W319" s="231"/>
      <c r="X319" s="227"/>
      <c r="Y319" s="232"/>
      <c r="Z319" s="232"/>
      <c r="AA319" s="232"/>
      <c r="AB319" s="232"/>
      <c r="AC319" s="227"/>
      <c r="AD319" s="227"/>
      <c r="AE319" s="231"/>
      <c r="AF319" s="227"/>
      <c r="AG319" s="232"/>
      <c r="AH319" s="232"/>
      <c r="AI319" s="232"/>
      <c r="AJ319" s="232"/>
      <c r="AK319" s="232"/>
      <c r="AL319" s="232"/>
      <c r="AM319" s="232"/>
      <c r="AN319" s="232"/>
      <c r="AO319" s="231"/>
      <c r="AP319" s="231"/>
      <c r="AQ319" s="227"/>
      <c r="AR319" s="231"/>
      <c r="AS319" s="227"/>
      <c r="AT319" s="227"/>
      <c r="AU319" s="227"/>
      <c r="AV319" s="227"/>
    </row>
    <row r="320">
      <c r="A320" s="227"/>
      <c r="B320" s="232"/>
      <c r="C320" s="227"/>
      <c r="D320" s="227"/>
      <c r="E320" s="231"/>
      <c r="F320" s="232"/>
      <c r="G320" s="227"/>
      <c r="H320" s="227"/>
      <c r="I320" s="227"/>
      <c r="J320" s="227"/>
      <c r="K320" s="227"/>
      <c r="L320" s="232"/>
      <c r="M320" s="232"/>
      <c r="N320" s="227"/>
      <c r="O320" s="227"/>
      <c r="P320" s="231"/>
      <c r="Q320" s="227"/>
      <c r="R320" s="231"/>
      <c r="S320" s="231"/>
      <c r="T320" s="231"/>
      <c r="U320" s="231"/>
      <c r="V320" s="231"/>
      <c r="W320" s="231"/>
      <c r="X320" s="227"/>
      <c r="Y320" s="232"/>
      <c r="Z320" s="232"/>
      <c r="AA320" s="232"/>
      <c r="AB320" s="232"/>
      <c r="AC320" s="227"/>
      <c r="AD320" s="227"/>
      <c r="AE320" s="231"/>
      <c r="AF320" s="227"/>
      <c r="AG320" s="232"/>
      <c r="AH320" s="232"/>
      <c r="AI320" s="232"/>
      <c r="AJ320" s="232"/>
      <c r="AK320" s="232"/>
      <c r="AL320" s="232"/>
      <c r="AM320" s="232"/>
      <c r="AN320" s="232"/>
      <c r="AO320" s="231"/>
      <c r="AP320" s="231"/>
      <c r="AQ320" s="227"/>
      <c r="AR320" s="231"/>
      <c r="AS320" s="227"/>
      <c r="AT320" s="227"/>
      <c r="AU320" s="227"/>
      <c r="AV320" s="227"/>
    </row>
    <row r="321">
      <c r="A321" s="227"/>
      <c r="B321" s="232"/>
      <c r="C321" s="227"/>
      <c r="D321" s="227"/>
      <c r="E321" s="231"/>
      <c r="F321" s="232"/>
      <c r="G321" s="227"/>
      <c r="H321" s="227"/>
      <c r="I321" s="227"/>
      <c r="J321" s="227"/>
      <c r="K321" s="227"/>
      <c r="L321" s="232"/>
      <c r="M321" s="232"/>
      <c r="N321" s="227"/>
      <c r="O321" s="227"/>
      <c r="P321" s="231"/>
      <c r="Q321" s="227"/>
      <c r="R321" s="231"/>
      <c r="S321" s="231"/>
      <c r="T321" s="231"/>
      <c r="U321" s="231"/>
      <c r="V321" s="231"/>
      <c r="W321" s="231"/>
      <c r="X321" s="227"/>
      <c r="Y321" s="232"/>
      <c r="Z321" s="232"/>
      <c r="AA321" s="232"/>
      <c r="AB321" s="232"/>
      <c r="AC321" s="227"/>
      <c r="AD321" s="227"/>
      <c r="AE321" s="231"/>
      <c r="AF321" s="227"/>
      <c r="AG321" s="232"/>
      <c r="AH321" s="232"/>
      <c r="AI321" s="232"/>
      <c r="AJ321" s="232"/>
      <c r="AK321" s="232"/>
      <c r="AL321" s="232"/>
      <c r="AM321" s="232"/>
      <c r="AN321" s="232"/>
      <c r="AO321" s="231"/>
      <c r="AP321" s="231"/>
      <c r="AQ321" s="227"/>
      <c r="AR321" s="231"/>
      <c r="AS321" s="227"/>
      <c r="AT321" s="227"/>
      <c r="AU321" s="227"/>
      <c r="AV321" s="227"/>
    </row>
    <row r="322">
      <c r="A322" s="227"/>
      <c r="B322" s="232"/>
      <c r="C322" s="227"/>
      <c r="D322" s="227"/>
      <c r="E322" s="231"/>
      <c r="F322" s="232"/>
      <c r="G322" s="227"/>
      <c r="H322" s="227"/>
      <c r="I322" s="227"/>
      <c r="J322" s="227"/>
      <c r="K322" s="227"/>
      <c r="L322" s="232"/>
      <c r="M322" s="232"/>
      <c r="N322" s="227"/>
      <c r="O322" s="227"/>
      <c r="P322" s="231"/>
      <c r="Q322" s="227"/>
      <c r="R322" s="231"/>
      <c r="S322" s="231"/>
      <c r="T322" s="231"/>
      <c r="U322" s="231"/>
      <c r="V322" s="231"/>
      <c r="W322" s="231"/>
      <c r="X322" s="227"/>
      <c r="Y322" s="232"/>
      <c r="Z322" s="232"/>
      <c r="AA322" s="232"/>
      <c r="AB322" s="232"/>
      <c r="AC322" s="227"/>
      <c r="AD322" s="227"/>
      <c r="AE322" s="231"/>
      <c r="AF322" s="227"/>
      <c r="AG322" s="232"/>
      <c r="AH322" s="232"/>
      <c r="AI322" s="232"/>
      <c r="AJ322" s="232"/>
      <c r="AK322" s="232"/>
      <c r="AL322" s="232"/>
      <c r="AM322" s="232"/>
      <c r="AN322" s="232"/>
      <c r="AO322" s="231"/>
      <c r="AP322" s="231"/>
      <c r="AQ322" s="227"/>
      <c r="AR322" s="231"/>
      <c r="AS322" s="227"/>
      <c r="AT322" s="227"/>
      <c r="AU322" s="227"/>
      <c r="AV322" s="227"/>
    </row>
    <row r="323">
      <c r="A323" s="227"/>
      <c r="B323" s="232"/>
      <c r="C323" s="227"/>
      <c r="D323" s="227"/>
      <c r="E323" s="231"/>
      <c r="F323" s="232"/>
      <c r="G323" s="227"/>
      <c r="H323" s="227"/>
      <c r="I323" s="227"/>
      <c r="J323" s="227"/>
      <c r="K323" s="227"/>
      <c r="L323" s="232"/>
      <c r="M323" s="232"/>
      <c r="N323" s="227"/>
      <c r="O323" s="227"/>
      <c r="P323" s="231"/>
      <c r="Q323" s="227"/>
      <c r="R323" s="231"/>
      <c r="S323" s="231"/>
      <c r="T323" s="231"/>
      <c r="U323" s="231"/>
      <c r="V323" s="231"/>
      <c r="W323" s="231"/>
      <c r="X323" s="227"/>
      <c r="Y323" s="232"/>
      <c r="Z323" s="232"/>
      <c r="AA323" s="232"/>
      <c r="AB323" s="232"/>
      <c r="AC323" s="227"/>
      <c r="AD323" s="227"/>
      <c r="AE323" s="231"/>
      <c r="AF323" s="227"/>
      <c r="AG323" s="232"/>
      <c r="AH323" s="232"/>
      <c r="AI323" s="232"/>
      <c r="AJ323" s="232"/>
      <c r="AK323" s="232"/>
      <c r="AL323" s="232"/>
      <c r="AM323" s="232"/>
      <c r="AN323" s="232"/>
      <c r="AO323" s="231"/>
      <c r="AP323" s="231"/>
      <c r="AQ323" s="227"/>
      <c r="AR323" s="231"/>
      <c r="AS323" s="227"/>
      <c r="AT323" s="227"/>
      <c r="AU323" s="227"/>
      <c r="AV323" s="227"/>
    </row>
    <row r="324">
      <c r="A324" s="227"/>
      <c r="B324" s="232"/>
      <c r="C324" s="227"/>
      <c r="D324" s="227"/>
      <c r="E324" s="231"/>
      <c r="F324" s="232"/>
      <c r="G324" s="227"/>
      <c r="H324" s="227"/>
      <c r="I324" s="227"/>
      <c r="J324" s="227"/>
      <c r="K324" s="227"/>
      <c r="L324" s="232"/>
      <c r="M324" s="232"/>
      <c r="N324" s="227"/>
      <c r="O324" s="227"/>
      <c r="P324" s="231"/>
      <c r="Q324" s="227"/>
      <c r="R324" s="231"/>
      <c r="S324" s="231"/>
      <c r="T324" s="231"/>
      <c r="U324" s="231"/>
      <c r="V324" s="231"/>
      <c r="W324" s="231"/>
      <c r="X324" s="227"/>
      <c r="Y324" s="232"/>
      <c r="Z324" s="232"/>
      <c r="AA324" s="232"/>
      <c r="AB324" s="232"/>
      <c r="AC324" s="227"/>
      <c r="AD324" s="227"/>
      <c r="AE324" s="231"/>
      <c r="AF324" s="227"/>
      <c r="AG324" s="232"/>
      <c r="AH324" s="232"/>
      <c r="AI324" s="232"/>
      <c r="AJ324" s="232"/>
      <c r="AK324" s="232"/>
      <c r="AL324" s="232"/>
      <c r="AM324" s="232"/>
      <c r="AN324" s="232"/>
      <c r="AO324" s="231"/>
      <c r="AP324" s="231"/>
      <c r="AQ324" s="227"/>
      <c r="AR324" s="231"/>
      <c r="AS324" s="227"/>
      <c r="AT324" s="227"/>
      <c r="AU324" s="227"/>
      <c r="AV324" s="227"/>
    </row>
    <row r="325">
      <c r="A325" s="227"/>
      <c r="B325" s="232"/>
      <c r="C325" s="227"/>
      <c r="D325" s="227"/>
      <c r="E325" s="231"/>
      <c r="F325" s="232"/>
      <c r="G325" s="227"/>
      <c r="H325" s="227"/>
      <c r="I325" s="227"/>
      <c r="J325" s="227"/>
      <c r="K325" s="227"/>
      <c r="L325" s="232"/>
      <c r="M325" s="232"/>
      <c r="N325" s="227"/>
      <c r="O325" s="227"/>
      <c r="P325" s="231"/>
      <c r="Q325" s="227"/>
      <c r="R325" s="231"/>
      <c r="S325" s="231"/>
      <c r="T325" s="231"/>
      <c r="U325" s="231"/>
      <c r="V325" s="231"/>
      <c r="W325" s="231"/>
      <c r="X325" s="227"/>
      <c r="Y325" s="232"/>
      <c r="Z325" s="232"/>
      <c r="AA325" s="232"/>
      <c r="AB325" s="232"/>
      <c r="AC325" s="227"/>
      <c r="AD325" s="227"/>
      <c r="AE325" s="231"/>
      <c r="AF325" s="227"/>
      <c r="AG325" s="232"/>
      <c r="AH325" s="232"/>
      <c r="AI325" s="232"/>
      <c r="AJ325" s="232"/>
      <c r="AK325" s="232"/>
      <c r="AL325" s="232"/>
      <c r="AM325" s="232"/>
      <c r="AN325" s="232"/>
      <c r="AO325" s="231"/>
      <c r="AP325" s="231"/>
      <c r="AQ325" s="227"/>
      <c r="AR325" s="231"/>
      <c r="AS325" s="227"/>
      <c r="AT325" s="227"/>
      <c r="AU325" s="227"/>
      <c r="AV325" s="227"/>
    </row>
    <row r="326">
      <c r="A326" s="227"/>
      <c r="B326" s="232"/>
      <c r="C326" s="227"/>
      <c r="D326" s="227"/>
      <c r="E326" s="231"/>
      <c r="F326" s="232"/>
      <c r="G326" s="227"/>
      <c r="H326" s="227"/>
      <c r="I326" s="227"/>
      <c r="J326" s="227"/>
      <c r="K326" s="227"/>
      <c r="L326" s="232"/>
      <c r="M326" s="232"/>
      <c r="N326" s="227"/>
      <c r="O326" s="227"/>
      <c r="P326" s="231"/>
      <c r="Q326" s="227"/>
      <c r="R326" s="231"/>
      <c r="S326" s="231"/>
      <c r="T326" s="231"/>
      <c r="U326" s="231"/>
      <c r="V326" s="231"/>
      <c r="W326" s="231"/>
      <c r="X326" s="227"/>
      <c r="Y326" s="232"/>
      <c r="Z326" s="232"/>
      <c r="AA326" s="232"/>
      <c r="AB326" s="232"/>
      <c r="AC326" s="227"/>
      <c r="AD326" s="227"/>
      <c r="AE326" s="231"/>
      <c r="AF326" s="227"/>
      <c r="AG326" s="232"/>
      <c r="AH326" s="232"/>
      <c r="AI326" s="232"/>
      <c r="AJ326" s="232"/>
      <c r="AK326" s="232"/>
      <c r="AL326" s="232"/>
      <c r="AM326" s="232"/>
      <c r="AN326" s="232"/>
      <c r="AO326" s="231"/>
      <c r="AP326" s="231"/>
      <c r="AQ326" s="227"/>
      <c r="AR326" s="231"/>
      <c r="AS326" s="227"/>
      <c r="AT326" s="227"/>
      <c r="AU326" s="227"/>
      <c r="AV326" s="227"/>
    </row>
    <row r="327">
      <c r="A327" s="227"/>
      <c r="B327" s="232"/>
      <c r="C327" s="227"/>
      <c r="D327" s="227"/>
      <c r="E327" s="231"/>
      <c r="F327" s="232"/>
      <c r="G327" s="227"/>
      <c r="H327" s="227"/>
      <c r="I327" s="227"/>
      <c r="J327" s="227"/>
      <c r="K327" s="227"/>
      <c r="L327" s="232"/>
      <c r="M327" s="232"/>
      <c r="N327" s="227"/>
      <c r="O327" s="227"/>
      <c r="P327" s="231"/>
      <c r="Q327" s="227"/>
      <c r="R327" s="231"/>
      <c r="S327" s="231"/>
      <c r="T327" s="231"/>
      <c r="U327" s="231"/>
      <c r="V327" s="231"/>
      <c r="W327" s="231"/>
      <c r="X327" s="227"/>
      <c r="Y327" s="232"/>
      <c r="Z327" s="232"/>
      <c r="AA327" s="232"/>
      <c r="AB327" s="232"/>
      <c r="AC327" s="227"/>
      <c r="AD327" s="227"/>
      <c r="AE327" s="231"/>
      <c r="AF327" s="227"/>
      <c r="AG327" s="232"/>
      <c r="AH327" s="232"/>
      <c r="AI327" s="232"/>
      <c r="AJ327" s="232"/>
      <c r="AK327" s="232"/>
      <c r="AL327" s="232"/>
      <c r="AM327" s="232"/>
      <c r="AN327" s="232"/>
      <c r="AO327" s="231"/>
      <c r="AP327" s="231"/>
      <c r="AQ327" s="227"/>
      <c r="AR327" s="231"/>
      <c r="AS327" s="227"/>
      <c r="AT327" s="227"/>
      <c r="AU327" s="227"/>
      <c r="AV327" s="227"/>
    </row>
    <row r="328">
      <c r="A328" s="227"/>
      <c r="B328" s="232"/>
      <c r="C328" s="227"/>
      <c r="D328" s="227"/>
      <c r="E328" s="231"/>
      <c r="F328" s="232"/>
      <c r="G328" s="227"/>
      <c r="H328" s="227"/>
      <c r="I328" s="227"/>
      <c r="J328" s="227"/>
      <c r="K328" s="227"/>
      <c r="L328" s="232"/>
      <c r="M328" s="232"/>
      <c r="N328" s="227"/>
      <c r="O328" s="227"/>
      <c r="P328" s="231"/>
      <c r="Q328" s="227"/>
      <c r="R328" s="231"/>
      <c r="S328" s="231"/>
      <c r="T328" s="231"/>
      <c r="U328" s="231"/>
      <c r="V328" s="231"/>
      <c r="W328" s="231"/>
      <c r="X328" s="227"/>
      <c r="Y328" s="232"/>
      <c r="Z328" s="232"/>
      <c r="AA328" s="232"/>
      <c r="AB328" s="232"/>
      <c r="AC328" s="227"/>
      <c r="AD328" s="227"/>
      <c r="AE328" s="231"/>
      <c r="AF328" s="227"/>
      <c r="AG328" s="232"/>
      <c r="AH328" s="232"/>
      <c r="AI328" s="232"/>
      <c r="AJ328" s="232"/>
      <c r="AK328" s="232"/>
      <c r="AL328" s="232"/>
      <c r="AM328" s="232"/>
      <c r="AN328" s="232"/>
      <c r="AO328" s="231"/>
      <c r="AP328" s="231"/>
      <c r="AQ328" s="227"/>
      <c r="AR328" s="231"/>
      <c r="AS328" s="227"/>
      <c r="AT328" s="227"/>
      <c r="AU328" s="227"/>
      <c r="AV328" s="227"/>
    </row>
    <row r="329">
      <c r="A329" s="227"/>
      <c r="B329" s="232"/>
      <c r="C329" s="227"/>
      <c r="D329" s="227"/>
      <c r="E329" s="231"/>
      <c r="F329" s="232"/>
      <c r="G329" s="227"/>
      <c r="H329" s="227"/>
      <c r="I329" s="227"/>
      <c r="J329" s="227"/>
      <c r="K329" s="227"/>
      <c r="L329" s="232"/>
      <c r="M329" s="232"/>
      <c r="N329" s="227"/>
      <c r="O329" s="227"/>
      <c r="P329" s="231"/>
      <c r="Q329" s="227"/>
      <c r="R329" s="231"/>
      <c r="S329" s="231"/>
      <c r="T329" s="231"/>
      <c r="U329" s="231"/>
      <c r="V329" s="231"/>
      <c r="W329" s="231"/>
      <c r="X329" s="227"/>
      <c r="Y329" s="232"/>
      <c r="Z329" s="232"/>
      <c r="AA329" s="232"/>
      <c r="AB329" s="232"/>
      <c r="AC329" s="227"/>
      <c r="AD329" s="227"/>
      <c r="AE329" s="231"/>
      <c r="AF329" s="227"/>
      <c r="AG329" s="232"/>
      <c r="AH329" s="232"/>
      <c r="AI329" s="232"/>
      <c r="AJ329" s="232"/>
      <c r="AK329" s="232"/>
      <c r="AL329" s="232"/>
      <c r="AM329" s="232"/>
      <c r="AN329" s="232"/>
      <c r="AO329" s="231"/>
      <c r="AP329" s="231"/>
      <c r="AQ329" s="227"/>
      <c r="AR329" s="231"/>
      <c r="AS329" s="227"/>
      <c r="AT329" s="227"/>
      <c r="AU329" s="227"/>
      <c r="AV329" s="227"/>
    </row>
    <row r="330">
      <c r="A330" s="227"/>
      <c r="B330" s="232"/>
      <c r="C330" s="227"/>
      <c r="D330" s="227"/>
      <c r="E330" s="231"/>
      <c r="F330" s="232"/>
      <c r="G330" s="227"/>
      <c r="H330" s="227"/>
      <c r="I330" s="227"/>
      <c r="J330" s="227"/>
      <c r="K330" s="227"/>
      <c r="L330" s="232"/>
      <c r="M330" s="232"/>
      <c r="N330" s="227"/>
      <c r="O330" s="227"/>
      <c r="P330" s="231"/>
      <c r="Q330" s="227"/>
      <c r="R330" s="231"/>
      <c r="S330" s="231"/>
      <c r="T330" s="231"/>
      <c r="U330" s="231"/>
      <c r="V330" s="231"/>
      <c r="W330" s="231"/>
      <c r="X330" s="227"/>
      <c r="Y330" s="232"/>
      <c r="Z330" s="232"/>
      <c r="AA330" s="232"/>
      <c r="AB330" s="232"/>
      <c r="AC330" s="227"/>
      <c r="AD330" s="227"/>
      <c r="AE330" s="231"/>
      <c r="AF330" s="227"/>
      <c r="AG330" s="232"/>
      <c r="AH330" s="232"/>
      <c r="AI330" s="232"/>
      <c r="AJ330" s="232"/>
      <c r="AK330" s="232"/>
      <c r="AL330" s="232"/>
      <c r="AM330" s="232"/>
      <c r="AN330" s="232"/>
      <c r="AO330" s="231"/>
      <c r="AP330" s="231"/>
      <c r="AQ330" s="227"/>
      <c r="AR330" s="231"/>
      <c r="AS330" s="227"/>
      <c r="AT330" s="227"/>
      <c r="AU330" s="227"/>
      <c r="AV330" s="227"/>
    </row>
    <row r="331">
      <c r="A331" s="227"/>
      <c r="B331" s="232"/>
      <c r="C331" s="227"/>
      <c r="D331" s="227"/>
      <c r="E331" s="231"/>
      <c r="F331" s="232"/>
      <c r="G331" s="227"/>
      <c r="H331" s="227"/>
      <c r="I331" s="227"/>
      <c r="J331" s="227"/>
      <c r="K331" s="227"/>
      <c r="L331" s="232"/>
      <c r="M331" s="232"/>
      <c r="N331" s="227"/>
      <c r="O331" s="227"/>
      <c r="P331" s="231"/>
      <c r="Q331" s="227"/>
      <c r="R331" s="231"/>
      <c r="S331" s="231"/>
      <c r="T331" s="231"/>
      <c r="U331" s="231"/>
      <c r="V331" s="231"/>
      <c r="W331" s="231"/>
      <c r="X331" s="227"/>
      <c r="Y331" s="232"/>
      <c r="Z331" s="232"/>
      <c r="AA331" s="232"/>
      <c r="AB331" s="232"/>
      <c r="AC331" s="227"/>
      <c r="AD331" s="227"/>
      <c r="AE331" s="231"/>
      <c r="AF331" s="227"/>
      <c r="AG331" s="232"/>
      <c r="AH331" s="232"/>
      <c r="AI331" s="232"/>
      <c r="AJ331" s="232"/>
      <c r="AK331" s="232"/>
      <c r="AL331" s="232"/>
      <c r="AM331" s="232"/>
      <c r="AN331" s="232"/>
      <c r="AO331" s="231"/>
      <c r="AP331" s="231"/>
      <c r="AQ331" s="227"/>
      <c r="AR331" s="231"/>
      <c r="AS331" s="227"/>
      <c r="AT331" s="227"/>
      <c r="AU331" s="227"/>
      <c r="AV331" s="227"/>
    </row>
    <row r="332">
      <c r="A332" s="227"/>
      <c r="B332" s="232"/>
      <c r="C332" s="227"/>
      <c r="D332" s="227"/>
      <c r="E332" s="231"/>
      <c r="F332" s="232"/>
      <c r="G332" s="227"/>
      <c r="H332" s="227"/>
      <c r="I332" s="227"/>
      <c r="J332" s="227"/>
      <c r="K332" s="227"/>
      <c r="L332" s="232"/>
      <c r="M332" s="232"/>
      <c r="N332" s="227"/>
      <c r="O332" s="227"/>
      <c r="P332" s="231"/>
      <c r="Q332" s="227"/>
      <c r="R332" s="231"/>
      <c r="S332" s="231"/>
      <c r="T332" s="231"/>
      <c r="U332" s="231"/>
      <c r="V332" s="231"/>
      <c r="W332" s="231"/>
      <c r="X332" s="227"/>
      <c r="Y332" s="232"/>
      <c r="Z332" s="232"/>
      <c r="AA332" s="232"/>
      <c r="AB332" s="232"/>
      <c r="AC332" s="227"/>
      <c r="AD332" s="227"/>
      <c r="AE332" s="231"/>
      <c r="AF332" s="227"/>
      <c r="AG332" s="232"/>
      <c r="AH332" s="232"/>
      <c r="AI332" s="232"/>
      <c r="AJ332" s="232"/>
      <c r="AK332" s="232"/>
      <c r="AL332" s="232"/>
      <c r="AM332" s="232"/>
      <c r="AN332" s="232"/>
      <c r="AO332" s="231"/>
      <c r="AP332" s="231"/>
      <c r="AQ332" s="227"/>
      <c r="AR332" s="231"/>
      <c r="AS332" s="227"/>
      <c r="AT332" s="227"/>
      <c r="AU332" s="227"/>
      <c r="AV332" s="227"/>
    </row>
    <row r="333">
      <c r="A333" s="227"/>
      <c r="B333" s="232"/>
      <c r="C333" s="227"/>
      <c r="D333" s="227"/>
      <c r="E333" s="231"/>
      <c r="F333" s="232"/>
      <c r="G333" s="227"/>
      <c r="H333" s="227"/>
      <c r="I333" s="227"/>
      <c r="J333" s="227"/>
      <c r="K333" s="227"/>
      <c r="L333" s="232"/>
      <c r="M333" s="232"/>
      <c r="N333" s="227"/>
      <c r="O333" s="227"/>
      <c r="P333" s="231"/>
      <c r="Q333" s="227"/>
      <c r="R333" s="231"/>
      <c r="S333" s="231"/>
      <c r="T333" s="231"/>
      <c r="U333" s="231"/>
      <c r="V333" s="231"/>
      <c r="W333" s="231"/>
      <c r="X333" s="227"/>
      <c r="Y333" s="232"/>
      <c r="Z333" s="232"/>
      <c r="AA333" s="232"/>
      <c r="AB333" s="232"/>
      <c r="AC333" s="227"/>
      <c r="AD333" s="227"/>
      <c r="AE333" s="231"/>
      <c r="AF333" s="227"/>
      <c r="AG333" s="232"/>
      <c r="AH333" s="232"/>
      <c r="AI333" s="232"/>
      <c r="AJ333" s="232"/>
      <c r="AK333" s="232"/>
      <c r="AL333" s="232"/>
      <c r="AM333" s="232"/>
      <c r="AN333" s="232"/>
      <c r="AO333" s="231"/>
      <c r="AP333" s="231"/>
      <c r="AQ333" s="227"/>
      <c r="AR333" s="231"/>
      <c r="AS333" s="227"/>
      <c r="AT333" s="227"/>
      <c r="AU333" s="227"/>
      <c r="AV333" s="227"/>
    </row>
    <row r="334">
      <c r="A334" s="227"/>
      <c r="B334" s="232"/>
      <c r="C334" s="227"/>
      <c r="D334" s="227"/>
      <c r="E334" s="231"/>
      <c r="F334" s="232"/>
      <c r="G334" s="227"/>
      <c r="H334" s="227"/>
      <c r="I334" s="227"/>
      <c r="J334" s="227"/>
      <c r="K334" s="227"/>
      <c r="L334" s="232"/>
      <c r="M334" s="232"/>
      <c r="N334" s="227"/>
      <c r="O334" s="227"/>
      <c r="P334" s="231"/>
      <c r="Q334" s="227"/>
      <c r="R334" s="231"/>
      <c r="S334" s="231"/>
      <c r="T334" s="231"/>
      <c r="U334" s="231"/>
      <c r="V334" s="231"/>
      <c r="W334" s="231"/>
      <c r="X334" s="227"/>
      <c r="Y334" s="232"/>
      <c r="Z334" s="232"/>
      <c r="AA334" s="232"/>
      <c r="AB334" s="232"/>
      <c r="AC334" s="227"/>
      <c r="AD334" s="227"/>
      <c r="AE334" s="231"/>
      <c r="AF334" s="227"/>
      <c r="AG334" s="232"/>
      <c r="AH334" s="232"/>
      <c r="AI334" s="232"/>
      <c r="AJ334" s="232"/>
      <c r="AK334" s="232"/>
      <c r="AL334" s="232"/>
      <c r="AM334" s="232"/>
      <c r="AN334" s="232"/>
      <c r="AO334" s="231"/>
      <c r="AP334" s="231"/>
      <c r="AQ334" s="227"/>
      <c r="AR334" s="231"/>
      <c r="AS334" s="227"/>
      <c r="AT334" s="227"/>
      <c r="AU334" s="227"/>
      <c r="AV334" s="227"/>
    </row>
    <row r="335">
      <c r="A335" s="227"/>
      <c r="B335" s="232"/>
      <c r="C335" s="227"/>
      <c r="D335" s="227"/>
      <c r="E335" s="231"/>
      <c r="F335" s="232"/>
      <c r="G335" s="227"/>
      <c r="H335" s="227"/>
      <c r="I335" s="227"/>
      <c r="J335" s="227"/>
      <c r="K335" s="227"/>
      <c r="L335" s="232"/>
      <c r="M335" s="232"/>
      <c r="N335" s="227"/>
      <c r="O335" s="227"/>
      <c r="P335" s="231"/>
      <c r="Q335" s="227"/>
      <c r="R335" s="231"/>
      <c r="S335" s="231"/>
      <c r="T335" s="231"/>
      <c r="U335" s="231"/>
      <c r="V335" s="231"/>
      <c r="W335" s="231"/>
      <c r="X335" s="227"/>
      <c r="Y335" s="232"/>
      <c r="Z335" s="232"/>
      <c r="AA335" s="232"/>
      <c r="AB335" s="232"/>
      <c r="AC335" s="227"/>
      <c r="AD335" s="227"/>
      <c r="AE335" s="231"/>
      <c r="AF335" s="227"/>
      <c r="AG335" s="232"/>
      <c r="AH335" s="232"/>
      <c r="AI335" s="232"/>
      <c r="AJ335" s="232"/>
      <c r="AK335" s="232"/>
      <c r="AL335" s="232"/>
      <c r="AM335" s="232"/>
      <c r="AN335" s="232"/>
      <c r="AO335" s="231"/>
      <c r="AP335" s="231"/>
      <c r="AQ335" s="227"/>
      <c r="AR335" s="231"/>
      <c r="AS335" s="227"/>
      <c r="AT335" s="227"/>
      <c r="AU335" s="227"/>
      <c r="AV335" s="227"/>
    </row>
    <row r="336">
      <c r="A336" s="227"/>
      <c r="B336" s="232"/>
      <c r="C336" s="227"/>
      <c r="D336" s="227"/>
      <c r="E336" s="231"/>
      <c r="F336" s="232"/>
      <c r="G336" s="227"/>
      <c r="H336" s="227"/>
      <c r="I336" s="227"/>
      <c r="J336" s="227"/>
      <c r="K336" s="227"/>
      <c r="L336" s="232"/>
      <c r="M336" s="232"/>
      <c r="N336" s="227"/>
      <c r="O336" s="227"/>
      <c r="P336" s="231"/>
      <c r="Q336" s="227"/>
      <c r="R336" s="231"/>
      <c r="S336" s="231"/>
      <c r="T336" s="231"/>
      <c r="U336" s="231"/>
      <c r="V336" s="231"/>
      <c r="W336" s="231"/>
      <c r="X336" s="227"/>
      <c r="Y336" s="232"/>
      <c r="Z336" s="232"/>
      <c r="AA336" s="232"/>
      <c r="AB336" s="232"/>
      <c r="AC336" s="227"/>
      <c r="AD336" s="227"/>
      <c r="AE336" s="231"/>
      <c r="AF336" s="227"/>
      <c r="AG336" s="232"/>
      <c r="AH336" s="232"/>
      <c r="AI336" s="232"/>
      <c r="AJ336" s="232"/>
      <c r="AK336" s="232"/>
      <c r="AL336" s="232"/>
      <c r="AM336" s="232"/>
      <c r="AN336" s="232"/>
      <c r="AO336" s="231"/>
      <c r="AP336" s="231"/>
      <c r="AQ336" s="227"/>
      <c r="AR336" s="231"/>
      <c r="AS336" s="227"/>
      <c r="AT336" s="227"/>
      <c r="AU336" s="227"/>
      <c r="AV336" s="227"/>
    </row>
    <row r="337">
      <c r="A337" s="227"/>
      <c r="B337" s="232"/>
      <c r="C337" s="227"/>
      <c r="D337" s="227"/>
      <c r="E337" s="231"/>
      <c r="F337" s="232"/>
      <c r="G337" s="227"/>
      <c r="H337" s="227"/>
      <c r="I337" s="227"/>
      <c r="J337" s="227"/>
      <c r="K337" s="227"/>
      <c r="L337" s="232"/>
      <c r="M337" s="232"/>
      <c r="N337" s="227"/>
      <c r="O337" s="227"/>
      <c r="P337" s="231"/>
      <c r="Q337" s="227"/>
      <c r="R337" s="231"/>
      <c r="S337" s="231"/>
      <c r="T337" s="231"/>
      <c r="U337" s="231"/>
      <c r="V337" s="231"/>
      <c r="W337" s="231"/>
      <c r="X337" s="227"/>
      <c r="Y337" s="232"/>
      <c r="Z337" s="232"/>
      <c r="AA337" s="232"/>
      <c r="AB337" s="232"/>
      <c r="AC337" s="227"/>
      <c r="AD337" s="227"/>
      <c r="AE337" s="231"/>
      <c r="AF337" s="227"/>
      <c r="AG337" s="232"/>
      <c r="AH337" s="232"/>
      <c r="AI337" s="232"/>
      <c r="AJ337" s="232"/>
      <c r="AK337" s="232"/>
      <c r="AL337" s="232"/>
      <c r="AM337" s="232"/>
      <c r="AN337" s="232"/>
      <c r="AO337" s="231"/>
      <c r="AP337" s="231"/>
      <c r="AQ337" s="227"/>
      <c r="AR337" s="231"/>
      <c r="AS337" s="227"/>
      <c r="AT337" s="227"/>
      <c r="AU337" s="227"/>
      <c r="AV337" s="227"/>
    </row>
    <row r="338">
      <c r="A338" s="227"/>
      <c r="B338" s="232"/>
      <c r="C338" s="227"/>
      <c r="D338" s="227"/>
      <c r="E338" s="231"/>
      <c r="F338" s="232"/>
      <c r="G338" s="227"/>
      <c r="H338" s="227"/>
      <c r="I338" s="227"/>
      <c r="J338" s="227"/>
      <c r="K338" s="227"/>
      <c r="L338" s="232"/>
      <c r="M338" s="232"/>
      <c r="N338" s="227"/>
      <c r="O338" s="227"/>
      <c r="P338" s="231"/>
      <c r="Q338" s="227"/>
      <c r="R338" s="231"/>
      <c r="S338" s="231"/>
      <c r="T338" s="231"/>
      <c r="U338" s="231"/>
      <c r="V338" s="231"/>
      <c r="W338" s="231"/>
      <c r="X338" s="227"/>
      <c r="Y338" s="232"/>
      <c r="Z338" s="232"/>
      <c r="AA338" s="232"/>
      <c r="AB338" s="232"/>
      <c r="AC338" s="227"/>
      <c r="AD338" s="227"/>
      <c r="AE338" s="231"/>
      <c r="AF338" s="227"/>
      <c r="AG338" s="232"/>
      <c r="AH338" s="232"/>
      <c r="AI338" s="232"/>
      <c r="AJ338" s="232"/>
      <c r="AK338" s="232"/>
      <c r="AL338" s="232"/>
      <c r="AM338" s="232"/>
      <c r="AN338" s="232"/>
      <c r="AO338" s="231"/>
      <c r="AP338" s="231"/>
      <c r="AQ338" s="227"/>
      <c r="AR338" s="231"/>
      <c r="AS338" s="227"/>
      <c r="AT338" s="227"/>
      <c r="AU338" s="227"/>
      <c r="AV338" s="227"/>
    </row>
    <row r="339">
      <c r="A339" s="227"/>
      <c r="B339" s="232"/>
      <c r="C339" s="227"/>
      <c r="D339" s="227"/>
      <c r="E339" s="231"/>
      <c r="F339" s="232"/>
      <c r="G339" s="227"/>
      <c r="H339" s="227"/>
      <c r="I339" s="227"/>
      <c r="J339" s="227"/>
      <c r="K339" s="227"/>
      <c r="L339" s="232"/>
      <c r="M339" s="232"/>
      <c r="N339" s="227"/>
      <c r="O339" s="227"/>
      <c r="P339" s="231"/>
      <c r="Q339" s="227"/>
      <c r="R339" s="231"/>
      <c r="S339" s="231"/>
      <c r="T339" s="231"/>
      <c r="U339" s="231"/>
      <c r="V339" s="231"/>
      <c r="W339" s="231"/>
      <c r="X339" s="227"/>
      <c r="Y339" s="232"/>
      <c r="Z339" s="232"/>
      <c r="AA339" s="232"/>
      <c r="AB339" s="232"/>
      <c r="AC339" s="227"/>
      <c r="AD339" s="227"/>
      <c r="AE339" s="231"/>
      <c r="AF339" s="227"/>
      <c r="AG339" s="232"/>
      <c r="AH339" s="232"/>
      <c r="AI339" s="232"/>
      <c r="AJ339" s="232"/>
      <c r="AK339" s="232"/>
      <c r="AL339" s="232"/>
      <c r="AM339" s="232"/>
      <c r="AN339" s="232"/>
      <c r="AO339" s="231"/>
      <c r="AP339" s="231"/>
      <c r="AQ339" s="227"/>
      <c r="AR339" s="231"/>
      <c r="AS339" s="227"/>
      <c r="AT339" s="227"/>
      <c r="AU339" s="227"/>
      <c r="AV339" s="227"/>
    </row>
    <row r="340">
      <c r="A340" s="227"/>
      <c r="B340" s="232"/>
      <c r="C340" s="227"/>
      <c r="D340" s="227"/>
      <c r="E340" s="231"/>
      <c r="F340" s="232"/>
      <c r="G340" s="227"/>
      <c r="H340" s="227"/>
      <c r="I340" s="227"/>
      <c r="J340" s="227"/>
      <c r="K340" s="227"/>
      <c r="L340" s="232"/>
      <c r="M340" s="232"/>
      <c r="N340" s="227"/>
      <c r="O340" s="227"/>
      <c r="P340" s="231"/>
      <c r="Q340" s="227"/>
      <c r="R340" s="231"/>
      <c r="S340" s="231"/>
      <c r="T340" s="231"/>
      <c r="U340" s="231"/>
      <c r="V340" s="231"/>
      <c r="W340" s="231"/>
      <c r="X340" s="227"/>
      <c r="Y340" s="232"/>
      <c r="Z340" s="232"/>
      <c r="AA340" s="232"/>
      <c r="AB340" s="232"/>
      <c r="AC340" s="227"/>
      <c r="AD340" s="227"/>
      <c r="AE340" s="231"/>
      <c r="AF340" s="227"/>
      <c r="AG340" s="232"/>
      <c r="AH340" s="232"/>
      <c r="AI340" s="232"/>
      <c r="AJ340" s="232"/>
      <c r="AK340" s="232"/>
      <c r="AL340" s="232"/>
      <c r="AM340" s="232"/>
      <c r="AN340" s="232"/>
      <c r="AO340" s="231"/>
      <c r="AP340" s="231"/>
      <c r="AQ340" s="227"/>
      <c r="AR340" s="231"/>
      <c r="AS340" s="227"/>
      <c r="AT340" s="227"/>
      <c r="AU340" s="227"/>
      <c r="AV340" s="227"/>
    </row>
    <row r="341">
      <c r="A341" s="227"/>
      <c r="B341" s="232"/>
      <c r="C341" s="227"/>
      <c r="D341" s="227"/>
      <c r="E341" s="231"/>
      <c r="F341" s="232"/>
      <c r="G341" s="227"/>
      <c r="H341" s="227"/>
      <c r="I341" s="227"/>
      <c r="J341" s="227"/>
      <c r="K341" s="227"/>
      <c r="L341" s="232"/>
      <c r="M341" s="232"/>
      <c r="N341" s="227"/>
      <c r="O341" s="227"/>
      <c r="P341" s="231"/>
      <c r="Q341" s="227"/>
      <c r="R341" s="231"/>
      <c r="S341" s="231"/>
      <c r="T341" s="231"/>
      <c r="U341" s="231"/>
      <c r="V341" s="231"/>
      <c r="W341" s="231"/>
      <c r="X341" s="227"/>
      <c r="Y341" s="232"/>
      <c r="Z341" s="232"/>
      <c r="AA341" s="232"/>
      <c r="AB341" s="232"/>
      <c r="AC341" s="227"/>
      <c r="AD341" s="227"/>
      <c r="AE341" s="231"/>
      <c r="AF341" s="227"/>
      <c r="AG341" s="232"/>
      <c r="AH341" s="232"/>
      <c r="AI341" s="232"/>
      <c r="AJ341" s="232"/>
      <c r="AK341" s="232"/>
      <c r="AL341" s="232"/>
      <c r="AM341" s="232"/>
      <c r="AN341" s="232"/>
      <c r="AO341" s="231"/>
      <c r="AP341" s="231"/>
      <c r="AQ341" s="227"/>
      <c r="AR341" s="231"/>
      <c r="AS341" s="227"/>
      <c r="AT341" s="227"/>
      <c r="AU341" s="227"/>
      <c r="AV341" s="227"/>
    </row>
    <row r="342">
      <c r="A342" s="227"/>
      <c r="B342" s="232"/>
      <c r="C342" s="227"/>
      <c r="D342" s="227"/>
      <c r="E342" s="231"/>
      <c r="F342" s="232"/>
      <c r="G342" s="227"/>
      <c r="H342" s="227"/>
      <c r="I342" s="227"/>
      <c r="J342" s="227"/>
      <c r="K342" s="227"/>
      <c r="L342" s="232"/>
      <c r="M342" s="232"/>
      <c r="N342" s="227"/>
      <c r="O342" s="227"/>
      <c r="P342" s="231"/>
      <c r="Q342" s="227"/>
      <c r="R342" s="231"/>
      <c r="S342" s="231"/>
      <c r="T342" s="231"/>
      <c r="U342" s="231"/>
      <c r="V342" s="231"/>
      <c r="W342" s="231"/>
      <c r="X342" s="227"/>
      <c r="Y342" s="232"/>
      <c r="Z342" s="232"/>
      <c r="AA342" s="232"/>
      <c r="AB342" s="232"/>
      <c r="AC342" s="227"/>
      <c r="AD342" s="227"/>
      <c r="AE342" s="231"/>
      <c r="AF342" s="227"/>
      <c r="AG342" s="232"/>
      <c r="AH342" s="232"/>
      <c r="AI342" s="232"/>
      <c r="AJ342" s="232"/>
      <c r="AK342" s="232"/>
      <c r="AL342" s="232"/>
      <c r="AM342" s="232"/>
      <c r="AN342" s="232"/>
      <c r="AO342" s="231"/>
      <c r="AP342" s="231"/>
      <c r="AQ342" s="227"/>
      <c r="AR342" s="231"/>
      <c r="AS342" s="227"/>
      <c r="AT342" s="227"/>
      <c r="AU342" s="227"/>
      <c r="AV342" s="227"/>
    </row>
    <row r="343">
      <c r="A343" s="227"/>
      <c r="B343" s="232"/>
      <c r="C343" s="227"/>
      <c r="D343" s="227"/>
      <c r="E343" s="231"/>
      <c r="F343" s="232"/>
      <c r="G343" s="227"/>
      <c r="H343" s="227"/>
      <c r="I343" s="227"/>
      <c r="J343" s="227"/>
      <c r="K343" s="227"/>
      <c r="L343" s="232"/>
      <c r="M343" s="232"/>
      <c r="N343" s="227"/>
      <c r="O343" s="227"/>
      <c r="P343" s="231"/>
      <c r="Q343" s="227"/>
      <c r="R343" s="231"/>
      <c r="S343" s="231"/>
      <c r="T343" s="231"/>
      <c r="U343" s="231"/>
      <c r="V343" s="231"/>
      <c r="W343" s="231"/>
      <c r="X343" s="227"/>
      <c r="Y343" s="232"/>
      <c r="Z343" s="232"/>
      <c r="AA343" s="232"/>
      <c r="AB343" s="232"/>
      <c r="AC343" s="227"/>
      <c r="AD343" s="227"/>
      <c r="AE343" s="231"/>
      <c r="AF343" s="227"/>
      <c r="AG343" s="232"/>
      <c r="AH343" s="232"/>
      <c r="AI343" s="232"/>
      <c r="AJ343" s="232"/>
      <c r="AK343" s="232"/>
      <c r="AL343" s="232"/>
      <c r="AM343" s="232"/>
      <c r="AN343" s="232"/>
      <c r="AO343" s="231"/>
      <c r="AP343" s="231"/>
      <c r="AQ343" s="227"/>
      <c r="AR343" s="231"/>
      <c r="AS343" s="227"/>
      <c r="AT343" s="227"/>
      <c r="AU343" s="227"/>
      <c r="AV343" s="227"/>
    </row>
    <row r="344">
      <c r="A344" s="227"/>
      <c r="B344" s="232"/>
      <c r="C344" s="227"/>
      <c r="D344" s="227"/>
      <c r="E344" s="231"/>
      <c r="F344" s="232"/>
      <c r="G344" s="227"/>
      <c r="H344" s="227"/>
      <c r="I344" s="227"/>
      <c r="J344" s="227"/>
      <c r="K344" s="227"/>
      <c r="L344" s="232"/>
      <c r="M344" s="232"/>
      <c r="N344" s="227"/>
      <c r="O344" s="227"/>
      <c r="P344" s="231"/>
      <c r="Q344" s="227"/>
      <c r="R344" s="231"/>
      <c r="S344" s="231"/>
      <c r="T344" s="231"/>
      <c r="U344" s="231"/>
      <c r="V344" s="231"/>
      <c r="W344" s="231"/>
      <c r="X344" s="227"/>
      <c r="Y344" s="232"/>
      <c r="Z344" s="232"/>
      <c r="AA344" s="232"/>
      <c r="AB344" s="232"/>
      <c r="AC344" s="227"/>
      <c r="AD344" s="227"/>
      <c r="AE344" s="231"/>
      <c r="AF344" s="227"/>
      <c r="AG344" s="232"/>
      <c r="AH344" s="232"/>
      <c r="AI344" s="232"/>
      <c r="AJ344" s="232"/>
      <c r="AK344" s="232"/>
      <c r="AL344" s="232"/>
      <c r="AM344" s="232"/>
      <c r="AN344" s="232"/>
      <c r="AO344" s="231"/>
      <c r="AP344" s="231"/>
      <c r="AQ344" s="227"/>
      <c r="AR344" s="231"/>
      <c r="AS344" s="227"/>
      <c r="AT344" s="227"/>
      <c r="AU344" s="227"/>
      <c r="AV344" s="227"/>
    </row>
    <row r="345">
      <c r="A345" s="227"/>
      <c r="B345" s="232"/>
      <c r="C345" s="227"/>
      <c r="D345" s="227"/>
      <c r="E345" s="231"/>
      <c r="F345" s="232"/>
      <c r="G345" s="227"/>
      <c r="H345" s="227"/>
      <c r="I345" s="227"/>
      <c r="J345" s="227"/>
      <c r="K345" s="227"/>
      <c r="L345" s="232"/>
      <c r="M345" s="232"/>
      <c r="N345" s="227"/>
      <c r="O345" s="227"/>
      <c r="P345" s="231"/>
      <c r="Q345" s="227"/>
      <c r="R345" s="231"/>
      <c r="S345" s="231"/>
      <c r="T345" s="231"/>
      <c r="U345" s="231"/>
      <c r="V345" s="231"/>
      <c r="W345" s="231"/>
      <c r="X345" s="227"/>
      <c r="Y345" s="232"/>
      <c r="Z345" s="232"/>
      <c r="AA345" s="232"/>
      <c r="AB345" s="232"/>
      <c r="AC345" s="227"/>
      <c r="AD345" s="227"/>
      <c r="AE345" s="231"/>
      <c r="AF345" s="227"/>
      <c r="AG345" s="232"/>
      <c r="AH345" s="232"/>
      <c r="AI345" s="232"/>
      <c r="AJ345" s="232"/>
      <c r="AK345" s="232"/>
      <c r="AL345" s="232"/>
      <c r="AM345" s="232"/>
      <c r="AN345" s="232"/>
      <c r="AO345" s="231"/>
      <c r="AP345" s="231"/>
      <c r="AQ345" s="227"/>
      <c r="AR345" s="231"/>
      <c r="AS345" s="227"/>
      <c r="AT345" s="227"/>
      <c r="AU345" s="227"/>
      <c r="AV345" s="227"/>
    </row>
    <row r="346">
      <c r="A346" s="227"/>
      <c r="B346" s="232"/>
      <c r="C346" s="227"/>
      <c r="D346" s="227"/>
      <c r="E346" s="231"/>
      <c r="F346" s="232"/>
      <c r="G346" s="227"/>
      <c r="H346" s="227"/>
      <c r="I346" s="227"/>
      <c r="J346" s="227"/>
      <c r="K346" s="227"/>
      <c r="L346" s="232"/>
      <c r="M346" s="232"/>
      <c r="N346" s="227"/>
      <c r="O346" s="227"/>
      <c r="P346" s="231"/>
      <c r="Q346" s="227"/>
      <c r="R346" s="231"/>
      <c r="S346" s="231"/>
      <c r="T346" s="231"/>
      <c r="U346" s="231"/>
      <c r="V346" s="231"/>
      <c r="W346" s="231"/>
      <c r="X346" s="227"/>
      <c r="Y346" s="232"/>
      <c r="Z346" s="232"/>
      <c r="AA346" s="232"/>
      <c r="AB346" s="232"/>
      <c r="AC346" s="227"/>
      <c r="AD346" s="227"/>
      <c r="AE346" s="231"/>
      <c r="AF346" s="227"/>
      <c r="AG346" s="232"/>
      <c r="AH346" s="232"/>
      <c r="AI346" s="232"/>
      <c r="AJ346" s="232"/>
      <c r="AK346" s="232"/>
      <c r="AL346" s="232"/>
      <c r="AM346" s="232"/>
      <c r="AN346" s="232"/>
      <c r="AO346" s="231"/>
      <c r="AP346" s="231"/>
      <c r="AQ346" s="227"/>
      <c r="AR346" s="231"/>
      <c r="AS346" s="227"/>
      <c r="AT346" s="227"/>
      <c r="AU346" s="227"/>
      <c r="AV346" s="227"/>
    </row>
    <row r="347">
      <c r="A347" s="227"/>
      <c r="B347" s="232"/>
      <c r="C347" s="227"/>
      <c r="D347" s="227"/>
      <c r="E347" s="231"/>
      <c r="F347" s="232"/>
      <c r="G347" s="227"/>
      <c r="H347" s="227"/>
      <c r="I347" s="227"/>
      <c r="J347" s="227"/>
      <c r="K347" s="227"/>
      <c r="L347" s="232"/>
      <c r="M347" s="232"/>
      <c r="N347" s="227"/>
      <c r="O347" s="227"/>
      <c r="P347" s="231"/>
      <c r="Q347" s="227"/>
      <c r="R347" s="231"/>
      <c r="S347" s="231"/>
      <c r="T347" s="231"/>
      <c r="U347" s="231"/>
      <c r="V347" s="231"/>
      <c r="W347" s="231"/>
      <c r="X347" s="227"/>
      <c r="Y347" s="232"/>
      <c r="Z347" s="232"/>
      <c r="AA347" s="232"/>
      <c r="AB347" s="232"/>
      <c r="AC347" s="227"/>
      <c r="AD347" s="227"/>
      <c r="AE347" s="231"/>
      <c r="AF347" s="227"/>
      <c r="AG347" s="232"/>
      <c r="AH347" s="232"/>
      <c r="AI347" s="232"/>
      <c r="AJ347" s="232"/>
      <c r="AK347" s="232"/>
      <c r="AL347" s="232"/>
      <c r="AM347" s="232"/>
      <c r="AN347" s="232"/>
      <c r="AO347" s="231"/>
      <c r="AP347" s="231"/>
      <c r="AQ347" s="227"/>
      <c r="AR347" s="231"/>
      <c r="AS347" s="227"/>
      <c r="AT347" s="227"/>
      <c r="AU347" s="227"/>
      <c r="AV347" s="227"/>
    </row>
    <row r="348">
      <c r="A348" s="227"/>
      <c r="B348" s="232"/>
      <c r="C348" s="227"/>
      <c r="D348" s="227"/>
      <c r="E348" s="231"/>
      <c r="F348" s="232"/>
      <c r="G348" s="227"/>
      <c r="H348" s="227"/>
      <c r="I348" s="227"/>
      <c r="J348" s="227"/>
      <c r="K348" s="227"/>
      <c r="L348" s="232"/>
      <c r="M348" s="232"/>
      <c r="N348" s="227"/>
      <c r="O348" s="227"/>
      <c r="P348" s="231"/>
      <c r="Q348" s="227"/>
      <c r="R348" s="231"/>
      <c r="S348" s="231"/>
      <c r="T348" s="231"/>
      <c r="U348" s="231"/>
      <c r="V348" s="231"/>
      <c r="W348" s="231"/>
      <c r="X348" s="227"/>
      <c r="Y348" s="232"/>
      <c r="Z348" s="232"/>
      <c r="AA348" s="232"/>
      <c r="AB348" s="232"/>
      <c r="AC348" s="227"/>
      <c r="AD348" s="227"/>
      <c r="AE348" s="231"/>
      <c r="AF348" s="227"/>
      <c r="AG348" s="232"/>
      <c r="AH348" s="232"/>
      <c r="AI348" s="232"/>
      <c r="AJ348" s="232"/>
      <c r="AK348" s="232"/>
      <c r="AL348" s="232"/>
      <c r="AM348" s="232"/>
      <c r="AN348" s="232"/>
      <c r="AO348" s="231"/>
      <c r="AP348" s="231"/>
      <c r="AQ348" s="227"/>
      <c r="AR348" s="231"/>
      <c r="AS348" s="227"/>
      <c r="AT348" s="227"/>
      <c r="AU348" s="227"/>
      <c r="AV348" s="227"/>
    </row>
    <row r="349">
      <c r="A349" s="227"/>
      <c r="B349" s="232"/>
      <c r="C349" s="227"/>
      <c r="D349" s="227"/>
      <c r="E349" s="231"/>
      <c r="F349" s="232"/>
      <c r="G349" s="227"/>
      <c r="H349" s="227"/>
      <c r="I349" s="227"/>
      <c r="J349" s="227"/>
      <c r="K349" s="227"/>
      <c r="L349" s="232"/>
      <c r="M349" s="232"/>
      <c r="N349" s="227"/>
      <c r="O349" s="227"/>
      <c r="P349" s="231"/>
      <c r="Q349" s="227"/>
      <c r="R349" s="231"/>
      <c r="S349" s="231"/>
      <c r="T349" s="231"/>
      <c r="U349" s="231"/>
      <c r="V349" s="231"/>
      <c r="W349" s="231"/>
      <c r="X349" s="227"/>
      <c r="Y349" s="232"/>
      <c r="Z349" s="232"/>
      <c r="AA349" s="232"/>
      <c r="AB349" s="232"/>
      <c r="AC349" s="227"/>
      <c r="AD349" s="227"/>
      <c r="AE349" s="231"/>
      <c r="AF349" s="227"/>
      <c r="AG349" s="232"/>
      <c r="AH349" s="232"/>
      <c r="AI349" s="232"/>
      <c r="AJ349" s="232"/>
      <c r="AK349" s="232"/>
      <c r="AL349" s="232"/>
      <c r="AM349" s="232"/>
      <c r="AN349" s="232"/>
      <c r="AO349" s="231"/>
      <c r="AP349" s="231"/>
      <c r="AQ349" s="227"/>
      <c r="AR349" s="231"/>
      <c r="AS349" s="227"/>
      <c r="AT349" s="227"/>
      <c r="AU349" s="227"/>
      <c r="AV349" s="227"/>
    </row>
    <row r="350">
      <c r="A350" s="227"/>
      <c r="B350" s="232"/>
      <c r="C350" s="227"/>
      <c r="D350" s="227"/>
      <c r="E350" s="231"/>
      <c r="F350" s="232"/>
      <c r="G350" s="227"/>
      <c r="H350" s="227"/>
      <c r="I350" s="227"/>
      <c r="J350" s="227"/>
      <c r="K350" s="227"/>
      <c r="L350" s="232"/>
      <c r="M350" s="232"/>
      <c r="N350" s="227"/>
      <c r="O350" s="227"/>
      <c r="P350" s="231"/>
      <c r="Q350" s="227"/>
      <c r="R350" s="231"/>
      <c r="S350" s="231"/>
      <c r="T350" s="231"/>
      <c r="U350" s="231"/>
      <c r="V350" s="231"/>
      <c r="W350" s="231"/>
      <c r="X350" s="227"/>
      <c r="Y350" s="232"/>
      <c r="Z350" s="232"/>
      <c r="AA350" s="232"/>
      <c r="AB350" s="232"/>
      <c r="AC350" s="227"/>
      <c r="AD350" s="227"/>
      <c r="AE350" s="231"/>
      <c r="AF350" s="227"/>
      <c r="AG350" s="232"/>
      <c r="AH350" s="232"/>
      <c r="AI350" s="232"/>
      <c r="AJ350" s="232"/>
      <c r="AK350" s="232"/>
      <c r="AL350" s="232"/>
      <c r="AM350" s="232"/>
      <c r="AN350" s="232"/>
      <c r="AO350" s="231"/>
      <c r="AP350" s="231"/>
      <c r="AQ350" s="227"/>
      <c r="AR350" s="231"/>
      <c r="AS350" s="227"/>
      <c r="AT350" s="227"/>
      <c r="AU350" s="227"/>
      <c r="AV350" s="227"/>
    </row>
    <row r="351">
      <c r="A351" s="227"/>
      <c r="B351" s="232"/>
      <c r="C351" s="227"/>
      <c r="D351" s="227"/>
      <c r="E351" s="231"/>
      <c r="F351" s="232"/>
      <c r="G351" s="227"/>
      <c r="H351" s="227"/>
      <c r="I351" s="227"/>
      <c r="J351" s="227"/>
      <c r="K351" s="227"/>
      <c r="L351" s="232"/>
      <c r="M351" s="232"/>
      <c r="N351" s="227"/>
      <c r="O351" s="227"/>
      <c r="P351" s="231"/>
      <c r="Q351" s="227"/>
      <c r="R351" s="231"/>
      <c r="S351" s="231"/>
      <c r="T351" s="231"/>
      <c r="U351" s="231"/>
      <c r="V351" s="231"/>
      <c r="W351" s="231"/>
      <c r="X351" s="227"/>
      <c r="Y351" s="232"/>
      <c r="Z351" s="232"/>
      <c r="AA351" s="232"/>
      <c r="AB351" s="232"/>
      <c r="AC351" s="227"/>
      <c r="AD351" s="227"/>
      <c r="AE351" s="231"/>
      <c r="AF351" s="227"/>
      <c r="AG351" s="232"/>
      <c r="AH351" s="232"/>
      <c r="AI351" s="232"/>
      <c r="AJ351" s="232"/>
      <c r="AK351" s="232"/>
      <c r="AL351" s="232"/>
      <c r="AM351" s="232"/>
      <c r="AN351" s="232"/>
      <c r="AO351" s="231"/>
      <c r="AP351" s="231"/>
      <c r="AQ351" s="227"/>
      <c r="AR351" s="231"/>
      <c r="AS351" s="227"/>
      <c r="AT351" s="227"/>
      <c r="AU351" s="227"/>
      <c r="AV351" s="227"/>
    </row>
    <row r="352">
      <c r="A352" s="227"/>
      <c r="B352" s="232"/>
      <c r="C352" s="227"/>
      <c r="D352" s="227"/>
      <c r="E352" s="231"/>
      <c r="F352" s="232"/>
      <c r="G352" s="227"/>
      <c r="H352" s="227"/>
      <c r="I352" s="227"/>
      <c r="J352" s="227"/>
      <c r="K352" s="227"/>
      <c r="L352" s="232"/>
      <c r="M352" s="232"/>
      <c r="N352" s="227"/>
      <c r="O352" s="227"/>
      <c r="P352" s="231"/>
      <c r="Q352" s="227"/>
      <c r="R352" s="231"/>
      <c r="S352" s="231"/>
      <c r="T352" s="231"/>
      <c r="U352" s="231"/>
      <c r="V352" s="231"/>
      <c r="W352" s="231"/>
      <c r="X352" s="227"/>
      <c r="Y352" s="232"/>
      <c r="Z352" s="232"/>
      <c r="AA352" s="232"/>
      <c r="AB352" s="232"/>
      <c r="AC352" s="227"/>
      <c r="AD352" s="227"/>
      <c r="AE352" s="231"/>
      <c r="AF352" s="227"/>
      <c r="AG352" s="232"/>
      <c r="AH352" s="232"/>
      <c r="AI352" s="232"/>
      <c r="AJ352" s="232"/>
      <c r="AK352" s="232"/>
      <c r="AL352" s="232"/>
      <c r="AM352" s="232"/>
      <c r="AN352" s="232"/>
      <c r="AO352" s="231"/>
      <c r="AP352" s="231"/>
      <c r="AQ352" s="227"/>
      <c r="AR352" s="231"/>
      <c r="AS352" s="227"/>
      <c r="AT352" s="227"/>
      <c r="AU352" s="227"/>
      <c r="AV352" s="227"/>
    </row>
    <row r="353">
      <c r="A353" s="227"/>
      <c r="B353" s="232"/>
      <c r="C353" s="227"/>
      <c r="D353" s="227"/>
      <c r="E353" s="231"/>
      <c r="F353" s="232"/>
      <c r="G353" s="227"/>
      <c r="H353" s="227"/>
      <c r="I353" s="227"/>
      <c r="J353" s="227"/>
      <c r="K353" s="227"/>
      <c r="L353" s="232"/>
      <c r="M353" s="232"/>
      <c r="N353" s="227"/>
      <c r="O353" s="227"/>
      <c r="P353" s="231"/>
      <c r="Q353" s="227"/>
      <c r="R353" s="231"/>
      <c r="S353" s="231"/>
      <c r="T353" s="231"/>
      <c r="U353" s="231"/>
      <c r="V353" s="231"/>
      <c r="W353" s="231"/>
      <c r="X353" s="227"/>
      <c r="Y353" s="232"/>
      <c r="Z353" s="232"/>
      <c r="AA353" s="232"/>
      <c r="AB353" s="232"/>
      <c r="AC353" s="227"/>
      <c r="AD353" s="227"/>
      <c r="AE353" s="231"/>
      <c r="AF353" s="227"/>
      <c r="AG353" s="232"/>
      <c r="AH353" s="232"/>
      <c r="AI353" s="232"/>
      <c r="AJ353" s="232"/>
      <c r="AK353" s="232"/>
      <c r="AL353" s="232"/>
      <c r="AM353" s="232"/>
      <c r="AN353" s="232"/>
      <c r="AO353" s="231"/>
      <c r="AP353" s="231"/>
      <c r="AQ353" s="227"/>
      <c r="AR353" s="231"/>
      <c r="AS353" s="227"/>
      <c r="AT353" s="227"/>
      <c r="AU353" s="227"/>
      <c r="AV353" s="227"/>
    </row>
    <row r="354">
      <c r="A354" s="227"/>
      <c r="B354" s="232"/>
      <c r="C354" s="227"/>
      <c r="D354" s="227"/>
      <c r="E354" s="231"/>
      <c r="F354" s="232"/>
      <c r="G354" s="227"/>
      <c r="H354" s="227"/>
      <c r="I354" s="227"/>
      <c r="J354" s="227"/>
      <c r="K354" s="227"/>
      <c r="L354" s="232"/>
      <c r="M354" s="232"/>
      <c r="N354" s="227"/>
      <c r="O354" s="227"/>
      <c r="P354" s="231"/>
      <c r="Q354" s="227"/>
      <c r="R354" s="231"/>
      <c r="S354" s="231"/>
      <c r="T354" s="231"/>
      <c r="U354" s="231"/>
      <c r="V354" s="231"/>
      <c r="W354" s="231"/>
      <c r="X354" s="227"/>
      <c r="Y354" s="232"/>
      <c r="Z354" s="232"/>
      <c r="AA354" s="232"/>
      <c r="AB354" s="232"/>
      <c r="AC354" s="227"/>
      <c r="AD354" s="227"/>
      <c r="AE354" s="231"/>
      <c r="AF354" s="227"/>
      <c r="AG354" s="232"/>
      <c r="AH354" s="232"/>
      <c r="AI354" s="232"/>
      <c r="AJ354" s="232"/>
      <c r="AK354" s="232"/>
      <c r="AL354" s="232"/>
      <c r="AM354" s="232"/>
      <c r="AN354" s="232"/>
      <c r="AO354" s="231"/>
      <c r="AP354" s="231"/>
      <c r="AQ354" s="227"/>
      <c r="AR354" s="231"/>
      <c r="AS354" s="227"/>
      <c r="AT354" s="227"/>
      <c r="AU354" s="227"/>
      <c r="AV354" s="227"/>
    </row>
    <row r="355">
      <c r="A355" s="227"/>
      <c r="B355" s="232"/>
      <c r="C355" s="227"/>
      <c r="D355" s="227"/>
      <c r="E355" s="231"/>
      <c r="F355" s="232"/>
      <c r="G355" s="227"/>
      <c r="H355" s="227"/>
      <c r="I355" s="227"/>
      <c r="J355" s="227"/>
      <c r="K355" s="227"/>
      <c r="L355" s="232"/>
      <c r="M355" s="232"/>
      <c r="N355" s="227"/>
      <c r="O355" s="227"/>
      <c r="P355" s="231"/>
      <c r="Q355" s="227"/>
      <c r="R355" s="231"/>
      <c r="S355" s="231"/>
      <c r="T355" s="231"/>
      <c r="U355" s="231"/>
      <c r="V355" s="231"/>
      <c r="W355" s="231"/>
      <c r="X355" s="227"/>
      <c r="Y355" s="232"/>
      <c r="Z355" s="232"/>
      <c r="AA355" s="232"/>
      <c r="AB355" s="232"/>
      <c r="AC355" s="227"/>
      <c r="AD355" s="227"/>
      <c r="AE355" s="231"/>
      <c r="AF355" s="227"/>
      <c r="AG355" s="232"/>
      <c r="AH355" s="232"/>
      <c r="AI355" s="232"/>
      <c r="AJ355" s="232"/>
      <c r="AK355" s="232"/>
      <c r="AL355" s="232"/>
      <c r="AM355" s="232"/>
      <c r="AN355" s="232"/>
      <c r="AO355" s="231"/>
      <c r="AP355" s="231"/>
      <c r="AQ355" s="227"/>
      <c r="AR355" s="231"/>
      <c r="AS355" s="227"/>
      <c r="AT355" s="227"/>
      <c r="AU355" s="227"/>
      <c r="AV355" s="227"/>
    </row>
    <row r="356">
      <c r="A356" s="227"/>
      <c r="B356" s="232"/>
      <c r="C356" s="227"/>
      <c r="D356" s="227"/>
      <c r="E356" s="231"/>
      <c r="F356" s="232"/>
      <c r="G356" s="227"/>
      <c r="H356" s="227"/>
      <c r="I356" s="227"/>
      <c r="J356" s="227"/>
      <c r="K356" s="227"/>
      <c r="L356" s="232"/>
      <c r="M356" s="232"/>
      <c r="N356" s="227"/>
      <c r="O356" s="227"/>
      <c r="P356" s="231"/>
      <c r="Q356" s="227"/>
      <c r="R356" s="231"/>
      <c r="S356" s="231"/>
      <c r="T356" s="231"/>
      <c r="U356" s="231"/>
      <c r="V356" s="231"/>
      <c r="W356" s="231"/>
      <c r="X356" s="227"/>
      <c r="Y356" s="232"/>
      <c r="Z356" s="232"/>
      <c r="AA356" s="232"/>
      <c r="AB356" s="232"/>
      <c r="AC356" s="227"/>
      <c r="AD356" s="227"/>
      <c r="AE356" s="231"/>
      <c r="AF356" s="227"/>
      <c r="AG356" s="232"/>
      <c r="AH356" s="232"/>
      <c r="AI356" s="232"/>
      <c r="AJ356" s="232"/>
      <c r="AK356" s="232"/>
      <c r="AL356" s="232"/>
      <c r="AM356" s="232"/>
      <c r="AN356" s="232"/>
      <c r="AO356" s="231"/>
      <c r="AP356" s="231"/>
      <c r="AQ356" s="227"/>
      <c r="AR356" s="231"/>
      <c r="AS356" s="227"/>
      <c r="AT356" s="227"/>
      <c r="AU356" s="227"/>
      <c r="AV356" s="227"/>
    </row>
    <row r="357">
      <c r="A357" s="227"/>
      <c r="B357" s="232"/>
      <c r="C357" s="227"/>
      <c r="D357" s="227"/>
      <c r="E357" s="231"/>
      <c r="F357" s="232"/>
      <c r="G357" s="227"/>
      <c r="H357" s="227"/>
      <c r="I357" s="227"/>
      <c r="J357" s="227"/>
      <c r="K357" s="227"/>
      <c r="L357" s="232"/>
      <c r="M357" s="232"/>
      <c r="N357" s="227"/>
      <c r="O357" s="227"/>
      <c r="P357" s="231"/>
      <c r="Q357" s="227"/>
      <c r="R357" s="231"/>
      <c r="S357" s="231"/>
      <c r="T357" s="231"/>
      <c r="U357" s="231"/>
      <c r="V357" s="231"/>
      <c r="W357" s="231"/>
      <c r="X357" s="227"/>
      <c r="Y357" s="232"/>
      <c r="Z357" s="232"/>
      <c r="AA357" s="232"/>
      <c r="AB357" s="232"/>
      <c r="AC357" s="227"/>
      <c r="AD357" s="227"/>
      <c r="AE357" s="231"/>
      <c r="AF357" s="227"/>
      <c r="AG357" s="232"/>
      <c r="AH357" s="232"/>
      <c r="AI357" s="232"/>
      <c r="AJ357" s="232"/>
      <c r="AK357" s="232"/>
      <c r="AL357" s="232"/>
      <c r="AM357" s="232"/>
      <c r="AN357" s="232"/>
      <c r="AO357" s="231"/>
      <c r="AP357" s="231"/>
      <c r="AQ357" s="227"/>
      <c r="AR357" s="231"/>
      <c r="AS357" s="227"/>
      <c r="AT357" s="227"/>
      <c r="AU357" s="227"/>
      <c r="AV357" s="227"/>
    </row>
    <row r="358">
      <c r="A358" s="227"/>
      <c r="B358" s="232"/>
      <c r="C358" s="227"/>
      <c r="D358" s="227"/>
      <c r="E358" s="231"/>
      <c r="F358" s="232"/>
      <c r="G358" s="227"/>
      <c r="H358" s="227"/>
      <c r="I358" s="227"/>
      <c r="J358" s="227"/>
      <c r="K358" s="227"/>
      <c r="L358" s="232"/>
      <c r="M358" s="232"/>
      <c r="N358" s="227"/>
      <c r="O358" s="227"/>
      <c r="P358" s="231"/>
      <c r="Q358" s="227"/>
      <c r="R358" s="231"/>
      <c r="S358" s="231"/>
      <c r="T358" s="231"/>
      <c r="U358" s="231"/>
      <c r="V358" s="231"/>
      <c r="W358" s="231"/>
      <c r="X358" s="227"/>
      <c r="Y358" s="232"/>
      <c r="Z358" s="232"/>
      <c r="AA358" s="232"/>
      <c r="AB358" s="232"/>
      <c r="AC358" s="227"/>
      <c r="AD358" s="227"/>
      <c r="AE358" s="231"/>
      <c r="AF358" s="227"/>
      <c r="AG358" s="232"/>
      <c r="AH358" s="232"/>
      <c r="AI358" s="232"/>
      <c r="AJ358" s="232"/>
      <c r="AK358" s="232"/>
      <c r="AL358" s="232"/>
      <c r="AM358" s="232"/>
      <c r="AN358" s="232"/>
      <c r="AO358" s="231"/>
      <c r="AP358" s="231"/>
      <c r="AQ358" s="227"/>
      <c r="AR358" s="231"/>
      <c r="AS358" s="227"/>
      <c r="AT358" s="227"/>
      <c r="AU358" s="227"/>
      <c r="AV358" s="227"/>
    </row>
    <row r="359">
      <c r="A359" s="227"/>
      <c r="B359" s="232"/>
      <c r="C359" s="227"/>
      <c r="D359" s="227"/>
      <c r="E359" s="231"/>
      <c r="F359" s="232"/>
      <c r="G359" s="227"/>
      <c r="H359" s="227"/>
      <c r="I359" s="227"/>
      <c r="J359" s="227"/>
      <c r="K359" s="227"/>
      <c r="L359" s="232"/>
      <c r="M359" s="232"/>
      <c r="N359" s="227"/>
      <c r="O359" s="227"/>
      <c r="P359" s="231"/>
      <c r="Q359" s="227"/>
      <c r="R359" s="231"/>
      <c r="S359" s="231"/>
      <c r="T359" s="231"/>
      <c r="U359" s="231"/>
      <c r="V359" s="231"/>
      <c r="W359" s="231"/>
      <c r="X359" s="227"/>
      <c r="Y359" s="232"/>
      <c r="Z359" s="232"/>
      <c r="AA359" s="232"/>
      <c r="AB359" s="232"/>
      <c r="AC359" s="227"/>
      <c r="AD359" s="227"/>
      <c r="AE359" s="231"/>
      <c r="AF359" s="227"/>
      <c r="AG359" s="232"/>
      <c r="AH359" s="232"/>
      <c r="AI359" s="232"/>
      <c r="AJ359" s="232"/>
      <c r="AK359" s="232"/>
      <c r="AL359" s="232"/>
      <c r="AM359" s="232"/>
      <c r="AN359" s="232"/>
      <c r="AO359" s="231"/>
      <c r="AP359" s="231"/>
      <c r="AQ359" s="227"/>
      <c r="AR359" s="231"/>
      <c r="AS359" s="227"/>
      <c r="AT359" s="227"/>
      <c r="AU359" s="227"/>
      <c r="AV359" s="227"/>
    </row>
    <row r="360">
      <c r="A360" s="227"/>
      <c r="B360" s="232"/>
      <c r="C360" s="227"/>
      <c r="D360" s="227"/>
      <c r="E360" s="231"/>
      <c r="F360" s="232"/>
      <c r="G360" s="227"/>
      <c r="H360" s="227"/>
      <c r="I360" s="227"/>
      <c r="J360" s="227"/>
      <c r="K360" s="227"/>
      <c r="L360" s="232"/>
      <c r="M360" s="232"/>
      <c r="N360" s="227"/>
      <c r="O360" s="227"/>
      <c r="P360" s="231"/>
      <c r="Q360" s="227"/>
      <c r="R360" s="231"/>
      <c r="S360" s="231"/>
      <c r="T360" s="231"/>
      <c r="U360" s="231"/>
      <c r="V360" s="231"/>
      <c r="W360" s="231"/>
      <c r="X360" s="227"/>
      <c r="Y360" s="232"/>
      <c r="Z360" s="232"/>
      <c r="AA360" s="232"/>
      <c r="AB360" s="232"/>
      <c r="AC360" s="227"/>
      <c r="AD360" s="227"/>
      <c r="AE360" s="231"/>
      <c r="AF360" s="227"/>
      <c r="AG360" s="232"/>
      <c r="AH360" s="232"/>
      <c r="AI360" s="232"/>
      <c r="AJ360" s="232"/>
      <c r="AK360" s="232"/>
      <c r="AL360" s="232"/>
      <c r="AM360" s="232"/>
      <c r="AN360" s="232"/>
      <c r="AO360" s="231"/>
      <c r="AP360" s="231"/>
      <c r="AQ360" s="227"/>
      <c r="AR360" s="231"/>
      <c r="AS360" s="227"/>
      <c r="AT360" s="227"/>
      <c r="AU360" s="227"/>
      <c r="AV360" s="227"/>
    </row>
    <row r="361">
      <c r="A361" s="227"/>
      <c r="B361" s="232"/>
      <c r="C361" s="227"/>
      <c r="D361" s="227"/>
      <c r="E361" s="231"/>
      <c r="F361" s="232"/>
      <c r="G361" s="227"/>
      <c r="H361" s="227"/>
      <c r="I361" s="227"/>
      <c r="J361" s="227"/>
      <c r="K361" s="227"/>
      <c r="L361" s="232"/>
      <c r="M361" s="232"/>
      <c r="N361" s="227"/>
      <c r="O361" s="227"/>
      <c r="P361" s="231"/>
      <c r="Q361" s="227"/>
      <c r="R361" s="231"/>
      <c r="S361" s="231"/>
      <c r="T361" s="231"/>
      <c r="U361" s="231"/>
      <c r="V361" s="231"/>
      <c r="W361" s="231"/>
      <c r="X361" s="227"/>
      <c r="Y361" s="232"/>
      <c r="Z361" s="232"/>
      <c r="AA361" s="232"/>
      <c r="AB361" s="232"/>
      <c r="AC361" s="227"/>
      <c r="AD361" s="227"/>
      <c r="AE361" s="231"/>
      <c r="AF361" s="227"/>
      <c r="AG361" s="232"/>
      <c r="AH361" s="232"/>
      <c r="AI361" s="232"/>
      <c r="AJ361" s="232"/>
      <c r="AK361" s="232"/>
      <c r="AL361" s="232"/>
      <c r="AM361" s="232"/>
      <c r="AN361" s="232"/>
      <c r="AO361" s="231"/>
      <c r="AP361" s="231"/>
      <c r="AQ361" s="227"/>
      <c r="AR361" s="231"/>
      <c r="AS361" s="227"/>
      <c r="AT361" s="227"/>
      <c r="AU361" s="227"/>
      <c r="AV361" s="227"/>
    </row>
    <row r="362">
      <c r="A362" s="227"/>
      <c r="B362" s="232"/>
      <c r="C362" s="227"/>
      <c r="D362" s="227"/>
      <c r="E362" s="231"/>
      <c r="F362" s="232"/>
      <c r="G362" s="227"/>
      <c r="H362" s="227"/>
      <c r="I362" s="227"/>
      <c r="J362" s="227"/>
      <c r="K362" s="227"/>
      <c r="L362" s="232"/>
      <c r="M362" s="232"/>
      <c r="N362" s="227"/>
      <c r="O362" s="227"/>
      <c r="P362" s="231"/>
      <c r="Q362" s="227"/>
      <c r="R362" s="231"/>
      <c r="S362" s="231"/>
      <c r="T362" s="231"/>
      <c r="U362" s="231"/>
      <c r="V362" s="231"/>
      <c r="W362" s="231"/>
      <c r="X362" s="227"/>
      <c r="Y362" s="232"/>
      <c r="Z362" s="232"/>
      <c r="AA362" s="232"/>
      <c r="AB362" s="232"/>
      <c r="AC362" s="227"/>
      <c r="AD362" s="227"/>
      <c r="AE362" s="231"/>
      <c r="AF362" s="227"/>
      <c r="AG362" s="232"/>
      <c r="AH362" s="232"/>
      <c r="AI362" s="232"/>
      <c r="AJ362" s="232"/>
      <c r="AK362" s="232"/>
      <c r="AL362" s="232"/>
      <c r="AM362" s="232"/>
      <c r="AN362" s="232"/>
      <c r="AO362" s="231"/>
      <c r="AP362" s="231"/>
      <c r="AQ362" s="227"/>
      <c r="AR362" s="231"/>
      <c r="AS362" s="227"/>
      <c r="AT362" s="227"/>
      <c r="AU362" s="227"/>
      <c r="AV362" s="227"/>
    </row>
    <row r="363">
      <c r="A363" s="227"/>
      <c r="B363" s="232"/>
      <c r="C363" s="227"/>
      <c r="D363" s="227"/>
      <c r="E363" s="231"/>
      <c r="F363" s="232"/>
      <c r="G363" s="227"/>
      <c r="H363" s="227"/>
      <c r="I363" s="227"/>
      <c r="J363" s="227"/>
      <c r="K363" s="227"/>
      <c r="L363" s="232"/>
      <c r="M363" s="232"/>
      <c r="N363" s="227"/>
      <c r="O363" s="227"/>
      <c r="P363" s="231"/>
      <c r="Q363" s="227"/>
      <c r="R363" s="231"/>
      <c r="S363" s="231"/>
      <c r="T363" s="231"/>
      <c r="U363" s="231"/>
      <c r="V363" s="231"/>
      <c r="W363" s="231"/>
      <c r="X363" s="227"/>
      <c r="Y363" s="232"/>
      <c r="Z363" s="232"/>
      <c r="AA363" s="232"/>
      <c r="AB363" s="232"/>
      <c r="AC363" s="227"/>
      <c r="AD363" s="227"/>
      <c r="AE363" s="231"/>
      <c r="AF363" s="227"/>
      <c r="AG363" s="232"/>
      <c r="AH363" s="232"/>
      <c r="AI363" s="232"/>
      <c r="AJ363" s="232"/>
      <c r="AK363" s="232"/>
      <c r="AL363" s="232"/>
      <c r="AM363" s="232"/>
      <c r="AN363" s="232"/>
      <c r="AO363" s="231"/>
      <c r="AP363" s="231"/>
      <c r="AQ363" s="227"/>
      <c r="AR363" s="231"/>
      <c r="AS363" s="227"/>
      <c r="AT363" s="227"/>
      <c r="AU363" s="227"/>
      <c r="AV363" s="227"/>
    </row>
    <row r="364">
      <c r="A364" s="227"/>
      <c r="B364" s="232"/>
      <c r="C364" s="227"/>
      <c r="D364" s="227"/>
      <c r="E364" s="231"/>
      <c r="F364" s="232"/>
      <c r="G364" s="227"/>
      <c r="H364" s="227"/>
      <c r="I364" s="227"/>
      <c r="J364" s="227"/>
      <c r="K364" s="227"/>
      <c r="L364" s="232"/>
      <c r="M364" s="232"/>
      <c r="N364" s="227"/>
      <c r="O364" s="227"/>
      <c r="P364" s="231"/>
      <c r="Q364" s="227"/>
      <c r="R364" s="231"/>
      <c r="S364" s="231"/>
      <c r="T364" s="231"/>
      <c r="U364" s="231"/>
      <c r="V364" s="231"/>
      <c r="W364" s="231"/>
      <c r="X364" s="227"/>
      <c r="Y364" s="232"/>
      <c r="Z364" s="232"/>
      <c r="AA364" s="232"/>
      <c r="AB364" s="232"/>
      <c r="AC364" s="227"/>
      <c r="AD364" s="227"/>
      <c r="AE364" s="231"/>
      <c r="AF364" s="227"/>
      <c r="AG364" s="232"/>
      <c r="AH364" s="232"/>
      <c r="AI364" s="232"/>
      <c r="AJ364" s="232"/>
      <c r="AK364" s="232"/>
      <c r="AL364" s="232"/>
      <c r="AM364" s="232"/>
      <c r="AN364" s="232"/>
      <c r="AO364" s="231"/>
      <c r="AP364" s="231"/>
      <c r="AQ364" s="227"/>
      <c r="AR364" s="231"/>
      <c r="AS364" s="227"/>
      <c r="AT364" s="227"/>
      <c r="AU364" s="227"/>
      <c r="AV364" s="227"/>
    </row>
    <row r="365">
      <c r="A365" s="227"/>
      <c r="B365" s="232"/>
      <c r="C365" s="227"/>
      <c r="D365" s="227"/>
      <c r="E365" s="231"/>
      <c r="F365" s="232"/>
      <c r="G365" s="227"/>
      <c r="H365" s="227"/>
      <c r="I365" s="227"/>
      <c r="J365" s="227"/>
      <c r="K365" s="227"/>
      <c r="L365" s="232"/>
      <c r="M365" s="232"/>
      <c r="N365" s="227"/>
      <c r="O365" s="227"/>
      <c r="P365" s="231"/>
      <c r="Q365" s="227"/>
      <c r="R365" s="231"/>
      <c r="S365" s="231"/>
      <c r="T365" s="231"/>
      <c r="U365" s="231"/>
      <c r="V365" s="231"/>
      <c r="W365" s="231"/>
      <c r="X365" s="227"/>
      <c r="Y365" s="232"/>
      <c r="Z365" s="232"/>
      <c r="AA365" s="232"/>
      <c r="AB365" s="232"/>
      <c r="AC365" s="227"/>
      <c r="AD365" s="227"/>
      <c r="AE365" s="231"/>
      <c r="AF365" s="227"/>
      <c r="AG365" s="232"/>
      <c r="AH365" s="232"/>
      <c r="AI365" s="232"/>
      <c r="AJ365" s="232"/>
      <c r="AK365" s="232"/>
      <c r="AL365" s="232"/>
      <c r="AM365" s="232"/>
      <c r="AN365" s="232"/>
      <c r="AO365" s="231"/>
      <c r="AP365" s="231"/>
      <c r="AQ365" s="227"/>
      <c r="AR365" s="231"/>
      <c r="AS365" s="227"/>
      <c r="AT365" s="227"/>
      <c r="AU365" s="227"/>
      <c r="AV365" s="227"/>
    </row>
    <row r="366">
      <c r="A366" s="227"/>
      <c r="B366" s="232"/>
      <c r="C366" s="227"/>
      <c r="D366" s="227"/>
      <c r="E366" s="231"/>
      <c r="F366" s="232"/>
      <c r="G366" s="227"/>
      <c r="H366" s="227"/>
      <c r="I366" s="227"/>
      <c r="J366" s="227"/>
      <c r="K366" s="227"/>
      <c r="L366" s="232"/>
      <c r="M366" s="232"/>
      <c r="N366" s="227"/>
      <c r="O366" s="227"/>
      <c r="P366" s="231"/>
      <c r="Q366" s="227"/>
      <c r="R366" s="231"/>
      <c r="S366" s="231"/>
      <c r="T366" s="231"/>
      <c r="U366" s="231"/>
      <c r="V366" s="231"/>
      <c r="W366" s="231"/>
      <c r="X366" s="227"/>
      <c r="Y366" s="232"/>
      <c r="Z366" s="232"/>
      <c r="AA366" s="232"/>
      <c r="AB366" s="232"/>
      <c r="AC366" s="227"/>
      <c r="AD366" s="227"/>
      <c r="AE366" s="231"/>
      <c r="AF366" s="227"/>
      <c r="AG366" s="232"/>
      <c r="AH366" s="232"/>
      <c r="AI366" s="232"/>
      <c r="AJ366" s="232"/>
      <c r="AK366" s="232"/>
      <c r="AL366" s="232"/>
      <c r="AM366" s="232"/>
      <c r="AN366" s="232"/>
      <c r="AO366" s="231"/>
      <c r="AP366" s="231"/>
      <c r="AQ366" s="227"/>
      <c r="AR366" s="231"/>
      <c r="AS366" s="227"/>
      <c r="AT366" s="227"/>
      <c r="AU366" s="227"/>
      <c r="AV366" s="227"/>
    </row>
    <row r="367">
      <c r="A367" s="227"/>
      <c r="B367" s="232"/>
      <c r="C367" s="227"/>
      <c r="D367" s="227"/>
      <c r="E367" s="231"/>
      <c r="F367" s="232"/>
      <c r="G367" s="227"/>
      <c r="H367" s="227"/>
      <c r="I367" s="227"/>
      <c r="J367" s="227"/>
      <c r="K367" s="227"/>
      <c r="L367" s="232"/>
      <c r="M367" s="232"/>
      <c r="N367" s="227"/>
      <c r="O367" s="227"/>
      <c r="P367" s="231"/>
      <c r="Q367" s="227"/>
      <c r="R367" s="231"/>
      <c r="S367" s="231"/>
      <c r="T367" s="231"/>
      <c r="U367" s="231"/>
      <c r="V367" s="231"/>
      <c r="W367" s="231"/>
      <c r="X367" s="227"/>
      <c r="Y367" s="232"/>
      <c r="Z367" s="232"/>
      <c r="AA367" s="232"/>
      <c r="AB367" s="232"/>
      <c r="AC367" s="227"/>
      <c r="AD367" s="227"/>
      <c r="AE367" s="231"/>
      <c r="AF367" s="227"/>
      <c r="AG367" s="232"/>
      <c r="AH367" s="232"/>
      <c r="AI367" s="232"/>
      <c r="AJ367" s="232"/>
      <c r="AK367" s="232"/>
      <c r="AL367" s="232"/>
      <c r="AM367" s="232"/>
      <c r="AN367" s="232"/>
      <c r="AO367" s="231"/>
      <c r="AP367" s="231"/>
      <c r="AQ367" s="227"/>
      <c r="AR367" s="231"/>
      <c r="AS367" s="227"/>
      <c r="AT367" s="227"/>
      <c r="AU367" s="227"/>
      <c r="AV367" s="227"/>
    </row>
    <row r="368">
      <c r="A368" s="227"/>
      <c r="B368" s="232"/>
      <c r="C368" s="227"/>
      <c r="D368" s="227"/>
      <c r="E368" s="231"/>
      <c r="F368" s="232"/>
      <c r="G368" s="227"/>
      <c r="H368" s="227"/>
      <c r="I368" s="227"/>
      <c r="J368" s="227"/>
      <c r="K368" s="227"/>
      <c r="L368" s="232"/>
      <c r="M368" s="232"/>
      <c r="N368" s="227"/>
      <c r="O368" s="227"/>
      <c r="P368" s="231"/>
      <c r="Q368" s="227"/>
      <c r="R368" s="231"/>
      <c r="S368" s="231"/>
      <c r="T368" s="231"/>
      <c r="U368" s="231"/>
      <c r="V368" s="231"/>
      <c r="W368" s="231"/>
      <c r="X368" s="227"/>
      <c r="Y368" s="232"/>
      <c r="Z368" s="232"/>
      <c r="AA368" s="232"/>
      <c r="AB368" s="232"/>
      <c r="AC368" s="227"/>
      <c r="AD368" s="227"/>
      <c r="AE368" s="231"/>
      <c r="AF368" s="227"/>
      <c r="AG368" s="232"/>
      <c r="AH368" s="232"/>
      <c r="AI368" s="232"/>
      <c r="AJ368" s="232"/>
      <c r="AK368" s="232"/>
      <c r="AL368" s="232"/>
      <c r="AM368" s="232"/>
      <c r="AN368" s="232"/>
      <c r="AO368" s="231"/>
      <c r="AP368" s="231"/>
      <c r="AQ368" s="227"/>
      <c r="AR368" s="231"/>
      <c r="AS368" s="227"/>
      <c r="AT368" s="227"/>
      <c r="AU368" s="227"/>
      <c r="AV368" s="227"/>
    </row>
    <row r="369">
      <c r="A369" s="227"/>
      <c r="B369" s="232"/>
      <c r="C369" s="227"/>
      <c r="D369" s="227"/>
      <c r="E369" s="231"/>
      <c r="F369" s="232"/>
      <c r="G369" s="227"/>
      <c r="H369" s="227"/>
      <c r="I369" s="227"/>
      <c r="J369" s="227"/>
      <c r="K369" s="227"/>
      <c r="L369" s="232"/>
      <c r="M369" s="232"/>
      <c r="N369" s="227"/>
      <c r="O369" s="227"/>
      <c r="P369" s="231"/>
      <c r="Q369" s="227"/>
      <c r="R369" s="231"/>
      <c r="S369" s="231"/>
      <c r="T369" s="231"/>
      <c r="U369" s="231"/>
      <c r="V369" s="231"/>
      <c r="W369" s="231"/>
      <c r="X369" s="227"/>
      <c r="Y369" s="232"/>
      <c r="Z369" s="232"/>
      <c r="AA369" s="232"/>
      <c r="AB369" s="232"/>
      <c r="AC369" s="227"/>
      <c r="AD369" s="227"/>
      <c r="AE369" s="231"/>
      <c r="AF369" s="227"/>
      <c r="AG369" s="232"/>
      <c r="AH369" s="232"/>
      <c r="AI369" s="232"/>
      <c r="AJ369" s="232"/>
      <c r="AK369" s="232"/>
      <c r="AL369" s="232"/>
      <c r="AM369" s="232"/>
      <c r="AN369" s="232"/>
      <c r="AO369" s="231"/>
      <c r="AP369" s="231"/>
      <c r="AQ369" s="227"/>
      <c r="AR369" s="231"/>
      <c r="AS369" s="227"/>
      <c r="AT369" s="227"/>
      <c r="AU369" s="227"/>
      <c r="AV369" s="227"/>
    </row>
    <row r="370">
      <c r="A370" s="227"/>
      <c r="B370" s="232"/>
      <c r="C370" s="227"/>
      <c r="D370" s="227"/>
      <c r="E370" s="231"/>
      <c r="F370" s="232"/>
      <c r="G370" s="227"/>
      <c r="H370" s="227"/>
      <c r="I370" s="227"/>
      <c r="J370" s="227"/>
      <c r="K370" s="227"/>
      <c r="L370" s="232"/>
      <c r="M370" s="232"/>
      <c r="N370" s="227"/>
      <c r="O370" s="227"/>
      <c r="P370" s="231"/>
      <c r="Q370" s="227"/>
      <c r="R370" s="231"/>
      <c r="S370" s="231"/>
      <c r="T370" s="231"/>
      <c r="U370" s="231"/>
      <c r="V370" s="231"/>
      <c r="W370" s="231"/>
      <c r="X370" s="227"/>
      <c r="Y370" s="232"/>
      <c r="Z370" s="232"/>
      <c r="AA370" s="232"/>
      <c r="AB370" s="232"/>
      <c r="AC370" s="227"/>
      <c r="AD370" s="227"/>
      <c r="AE370" s="231"/>
      <c r="AF370" s="227"/>
      <c r="AG370" s="232"/>
      <c r="AH370" s="232"/>
      <c r="AI370" s="232"/>
      <c r="AJ370" s="232"/>
      <c r="AK370" s="232"/>
      <c r="AL370" s="232"/>
      <c r="AM370" s="232"/>
      <c r="AN370" s="232"/>
      <c r="AO370" s="231"/>
      <c r="AP370" s="231"/>
      <c r="AQ370" s="227"/>
      <c r="AR370" s="231"/>
      <c r="AS370" s="227"/>
      <c r="AT370" s="227"/>
      <c r="AU370" s="227"/>
      <c r="AV370" s="227"/>
    </row>
    <row r="371">
      <c r="A371" s="227"/>
      <c r="B371" s="232"/>
      <c r="C371" s="227"/>
      <c r="D371" s="227"/>
      <c r="E371" s="231"/>
      <c r="F371" s="232"/>
      <c r="G371" s="227"/>
      <c r="H371" s="227"/>
      <c r="I371" s="227"/>
      <c r="J371" s="227"/>
      <c r="K371" s="227"/>
      <c r="L371" s="232"/>
      <c r="M371" s="232"/>
      <c r="N371" s="227"/>
      <c r="O371" s="227"/>
      <c r="P371" s="231"/>
      <c r="Q371" s="227"/>
      <c r="R371" s="231"/>
      <c r="S371" s="231"/>
      <c r="T371" s="231"/>
      <c r="U371" s="231"/>
      <c r="V371" s="231"/>
      <c r="W371" s="231"/>
      <c r="X371" s="227"/>
      <c r="Y371" s="232"/>
      <c r="Z371" s="232"/>
      <c r="AA371" s="232"/>
      <c r="AB371" s="232"/>
      <c r="AC371" s="227"/>
      <c r="AD371" s="227"/>
      <c r="AE371" s="231"/>
      <c r="AF371" s="227"/>
      <c r="AG371" s="232"/>
      <c r="AH371" s="232"/>
      <c r="AI371" s="232"/>
      <c r="AJ371" s="232"/>
      <c r="AK371" s="232"/>
      <c r="AL371" s="232"/>
      <c r="AM371" s="232"/>
      <c r="AN371" s="232"/>
      <c r="AO371" s="231"/>
      <c r="AP371" s="231"/>
      <c r="AQ371" s="227"/>
      <c r="AR371" s="231"/>
      <c r="AS371" s="227"/>
      <c r="AT371" s="227"/>
      <c r="AU371" s="227"/>
      <c r="AV371" s="227"/>
    </row>
    <row r="372">
      <c r="A372" s="227"/>
      <c r="B372" s="232"/>
      <c r="C372" s="227"/>
      <c r="D372" s="227"/>
      <c r="E372" s="231"/>
      <c r="F372" s="232"/>
      <c r="G372" s="227"/>
      <c r="H372" s="227"/>
      <c r="I372" s="227"/>
      <c r="J372" s="227"/>
      <c r="K372" s="227"/>
      <c r="L372" s="232"/>
      <c r="M372" s="232"/>
      <c r="N372" s="227"/>
      <c r="O372" s="227"/>
      <c r="P372" s="231"/>
      <c r="Q372" s="227"/>
      <c r="R372" s="231"/>
      <c r="S372" s="231"/>
      <c r="T372" s="231"/>
      <c r="U372" s="231"/>
      <c r="V372" s="231"/>
      <c r="W372" s="231"/>
      <c r="X372" s="227"/>
      <c r="Y372" s="232"/>
      <c r="Z372" s="232"/>
      <c r="AA372" s="232"/>
      <c r="AB372" s="232"/>
      <c r="AC372" s="227"/>
      <c r="AD372" s="227"/>
      <c r="AE372" s="231"/>
      <c r="AF372" s="227"/>
      <c r="AG372" s="232"/>
      <c r="AH372" s="232"/>
      <c r="AI372" s="232"/>
      <c r="AJ372" s="232"/>
      <c r="AK372" s="232"/>
      <c r="AL372" s="232"/>
      <c r="AM372" s="232"/>
      <c r="AN372" s="232"/>
      <c r="AO372" s="231"/>
      <c r="AP372" s="231"/>
      <c r="AQ372" s="227"/>
      <c r="AR372" s="231"/>
      <c r="AS372" s="227"/>
      <c r="AT372" s="227"/>
      <c r="AU372" s="227"/>
      <c r="AV372" s="227"/>
    </row>
    <row r="373">
      <c r="A373" s="227"/>
      <c r="B373" s="232"/>
      <c r="C373" s="227"/>
      <c r="D373" s="227"/>
      <c r="E373" s="231"/>
      <c r="F373" s="232"/>
      <c r="G373" s="227"/>
      <c r="H373" s="227"/>
      <c r="I373" s="227"/>
      <c r="J373" s="227"/>
      <c r="K373" s="227"/>
      <c r="L373" s="232"/>
      <c r="M373" s="232"/>
      <c r="N373" s="227"/>
      <c r="O373" s="227"/>
      <c r="P373" s="231"/>
      <c r="Q373" s="227"/>
      <c r="R373" s="231"/>
      <c r="S373" s="231"/>
      <c r="T373" s="231"/>
      <c r="U373" s="231"/>
      <c r="V373" s="231"/>
      <c r="W373" s="231"/>
      <c r="X373" s="227"/>
      <c r="Y373" s="232"/>
      <c r="Z373" s="232"/>
      <c r="AA373" s="232"/>
      <c r="AB373" s="232"/>
      <c r="AC373" s="227"/>
      <c r="AD373" s="227"/>
      <c r="AE373" s="231"/>
      <c r="AF373" s="227"/>
      <c r="AG373" s="232"/>
      <c r="AH373" s="232"/>
      <c r="AI373" s="232"/>
      <c r="AJ373" s="232"/>
      <c r="AK373" s="232"/>
      <c r="AL373" s="232"/>
      <c r="AM373" s="232"/>
      <c r="AN373" s="232"/>
      <c r="AO373" s="231"/>
      <c r="AP373" s="231"/>
      <c r="AQ373" s="227"/>
      <c r="AR373" s="231"/>
      <c r="AS373" s="227"/>
      <c r="AT373" s="227"/>
      <c r="AU373" s="227"/>
      <c r="AV373" s="227"/>
    </row>
    <row r="374">
      <c r="A374" s="227"/>
      <c r="B374" s="232"/>
      <c r="C374" s="227"/>
      <c r="D374" s="227"/>
      <c r="E374" s="231"/>
      <c r="F374" s="232"/>
      <c r="G374" s="227"/>
      <c r="H374" s="227"/>
      <c r="I374" s="227"/>
      <c r="J374" s="227"/>
      <c r="K374" s="227"/>
      <c r="L374" s="232"/>
      <c r="M374" s="232"/>
      <c r="N374" s="227"/>
      <c r="O374" s="227"/>
      <c r="P374" s="231"/>
      <c r="Q374" s="227"/>
      <c r="R374" s="231"/>
      <c r="S374" s="231"/>
      <c r="T374" s="231"/>
      <c r="U374" s="231"/>
      <c r="V374" s="231"/>
      <c r="W374" s="231"/>
      <c r="X374" s="227"/>
      <c r="Y374" s="232"/>
      <c r="Z374" s="232"/>
      <c r="AA374" s="232"/>
      <c r="AB374" s="232"/>
      <c r="AC374" s="227"/>
      <c r="AD374" s="227"/>
      <c r="AE374" s="231"/>
      <c r="AF374" s="227"/>
      <c r="AG374" s="232"/>
      <c r="AH374" s="232"/>
      <c r="AI374" s="232"/>
      <c r="AJ374" s="232"/>
      <c r="AK374" s="232"/>
      <c r="AL374" s="232"/>
      <c r="AM374" s="232"/>
      <c r="AN374" s="232"/>
      <c r="AO374" s="231"/>
      <c r="AP374" s="231"/>
      <c r="AQ374" s="227"/>
      <c r="AR374" s="231"/>
      <c r="AS374" s="227"/>
      <c r="AT374" s="227"/>
      <c r="AU374" s="227"/>
      <c r="AV374" s="227"/>
    </row>
    <row r="375">
      <c r="A375" s="227"/>
      <c r="B375" s="232"/>
      <c r="C375" s="227"/>
      <c r="D375" s="227"/>
      <c r="E375" s="231"/>
      <c r="F375" s="232"/>
      <c r="G375" s="227"/>
      <c r="H375" s="227"/>
      <c r="I375" s="227"/>
      <c r="J375" s="227"/>
      <c r="K375" s="227"/>
      <c r="L375" s="232"/>
      <c r="M375" s="232"/>
      <c r="N375" s="227"/>
      <c r="O375" s="227"/>
      <c r="P375" s="231"/>
      <c r="Q375" s="227"/>
      <c r="R375" s="231"/>
      <c r="S375" s="231"/>
      <c r="T375" s="231"/>
      <c r="U375" s="231"/>
      <c r="V375" s="231"/>
      <c r="W375" s="231"/>
      <c r="X375" s="227"/>
      <c r="Y375" s="232"/>
      <c r="Z375" s="232"/>
      <c r="AA375" s="232"/>
      <c r="AB375" s="232"/>
      <c r="AC375" s="227"/>
      <c r="AD375" s="227"/>
      <c r="AE375" s="231"/>
      <c r="AF375" s="227"/>
      <c r="AG375" s="232"/>
      <c r="AH375" s="232"/>
      <c r="AI375" s="232"/>
      <c r="AJ375" s="232"/>
      <c r="AK375" s="232"/>
      <c r="AL375" s="232"/>
      <c r="AM375" s="232"/>
      <c r="AN375" s="232"/>
      <c r="AO375" s="231"/>
      <c r="AP375" s="231"/>
      <c r="AQ375" s="227"/>
      <c r="AR375" s="231"/>
      <c r="AS375" s="227"/>
      <c r="AT375" s="227"/>
      <c r="AU375" s="227"/>
      <c r="AV375" s="227"/>
    </row>
    <row r="376">
      <c r="A376" s="227"/>
      <c r="B376" s="232"/>
      <c r="C376" s="227"/>
      <c r="D376" s="227"/>
      <c r="E376" s="231"/>
      <c r="F376" s="232"/>
      <c r="G376" s="227"/>
      <c r="H376" s="227"/>
      <c r="I376" s="227"/>
      <c r="J376" s="227"/>
      <c r="K376" s="227"/>
      <c r="L376" s="232"/>
      <c r="M376" s="232"/>
      <c r="N376" s="227"/>
      <c r="O376" s="227"/>
      <c r="P376" s="231"/>
      <c r="Q376" s="227"/>
      <c r="R376" s="231"/>
      <c r="S376" s="231"/>
      <c r="T376" s="231"/>
      <c r="U376" s="231"/>
      <c r="V376" s="231"/>
      <c r="W376" s="231"/>
      <c r="X376" s="227"/>
      <c r="Y376" s="232"/>
      <c r="Z376" s="232"/>
      <c r="AA376" s="232"/>
      <c r="AB376" s="232"/>
      <c r="AC376" s="227"/>
      <c r="AD376" s="227"/>
      <c r="AE376" s="231"/>
      <c r="AF376" s="227"/>
      <c r="AG376" s="232"/>
      <c r="AH376" s="232"/>
      <c r="AI376" s="232"/>
      <c r="AJ376" s="232"/>
      <c r="AK376" s="232"/>
      <c r="AL376" s="232"/>
      <c r="AM376" s="232"/>
      <c r="AN376" s="232"/>
      <c r="AO376" s="231"/>
      <c r="AP376" s="231"/>
      <c r="AQ376" s="227"/>
      <c r="AR376" s="231"/>
      <c r="AS376" s="227"/>
      <c r="AT376" s="227"/>
      <c r="AU376" s="227"/>
      <c r="AV376" s="227"/>
    </row>
    <row r="377">
      <c r="A377" s="227"/>
      <c r="B377" s="232"/>
      <c r="C377" s="227"/>
      <c r="D377" s="227"/>
      <c r="E377" s="231"/>
      <c r="F377" s="232"/>
      <c r="G377" s="227"/>
      <c r="H377" s="227"/>
      <c r="I377" s="227"/>
      <c r="J377" s="227"/>
      <c r="K377" s="227"/>
      <c r="L377" s="232"/>
      <c r="M377" s="232"/>
      <c r="N377" s="227"/>
      <c r="O377" s="227"/>
      <c r="P377" s="231"/>
      <c r="Q377" s="227"/>
      <c r="R377" s="231"/>
      <c r="S377" s="231"/>
      <c r="T377" s="231"/>
      <c r="U377" s="231"/>
      <c r="V377" s="231"/>
      <c r="W377" s="231"/>
      <c r="X377" s="227"/>
      <c r="Y377" s="232"/>
      <c r="Z377" s="232"/>
      <c r="AA377" s="232"/>
      <c r="AB377" s="232"/>
      <c r="AC377" s="227"/>
      <c r="AD377" s="227"/>
      <c r="AE377" s="231"/>
      <c r="AF377" s="227"/>
      <c r="AG377" s="232"/>
      <c r="AH377" s="232"/>
      <c r="AI377" s="232"/>
      <c r="AJ377" s="232"/>
      <c r="AK377" s="232"/>
      <c r="AL377" s="232"/>
      <c r="AM377" s="232"/>
      <c r="AN377" s="232"/>
      <c r="AO377" s="231"/>
      <c r="AP377" s="231"/>
      <c r="AQ377" s="227"/>
      <c r="AR377" s="231"/>
      <c r="AS377" s="227"/>
      <c r="AT377" s="227"/>
      <c r="AU377" s="227"/>
      <c r="AV377" s="227"/>
    </row>
    <row r="378">
      <c r="A378" s="227"/>
      <c r="B378" s="232"/>
      <c r="C378" s="227"/>
      <c r="D378" s="227"/>
      <c r="E378" s="231"/>
      <c r="F378" s="232"/>
      <c r="G378" s="227"/>
      <c r="H378" s="227"/>
      <c r="I378" s="227"/>
      <c r="J378" s="227"/>
      <c r="K378" s="227"/>
      <c r="L378" s="232"/>
      <c r="M378" s="232"/>
      <c r="N378" s="227"/>
      <c r="O378" s="227"/>
      <c r="P378" s="231"/>
      <c r="Q378" s="227"/>
      <c r="R378" s="231"/>
      <c r="S378" s="231"/>
      <c r="T378" s="231"/>
      <c r="U378" s="231"/>
      <c r="V378" s="231"/>
      <c r="W378" s="231"/>
      <c r="X378" s="227"/>
      <c r="Y378" s="232"/>
      <c r="Z378" s="232"/>
      <c r="AA378" s="232"/>
      <c r="AB378" s="232"/>
      <c r="AC378" s="227"/>
      <c r="AD378" s="227"/>
      <c r="AE378" s="231"/>
      <c r="AF378" s="227"/>
      <c r="AG378" s="232"/>
      <c r="AH378" s="232"/>
      <c r="AI378" s="232"/>
      <c r="AJ378" s="232"/>
      <c r="AK378" s="232"/>
      <c r="AL378" s="232"/>
      <c r="AM378" s="232"/>
      <c r="AN378" s="232"/>
      <c r="AO378" s="231"/>
      <c r="AP378" s="231"/>
      <c r="AQ378" s="227"/>
      <c r="AR378" s="231"/>
      <c r="AS378" s="227"/>
      <c r="AT378" s="227"/>
      <c r="AU378" s="227"/>
      <c r="AV378" s="227"/>
    </row>
    <row r="379">
      <c r="A379" s="227"/>
      <c r="B379" s="232"/>
      <c r="C379" s="227"/>
      <c r="D379" s="227"/>
      <c r="E379" s="231"/>
      <c r="F379" s="232"/>
      <c r="G379" s="227"/>
      <c r="H379" s="227"/>
      <c r="I379" s="227"/>
      <c r="J379" s="227"/>
      <c r="K379" s="227"/>
      <c r="L379" s="232"/>
      <c r="M379" s="232"/>
      <c r="N379" s="227"/>
      <c r="O379" s="227"/>
      <c r="P379" s="231"/>
      <c r="Q379" s="227"/>
      <c r="R379" s="231"/>
      <c r="S379" s="231"/>
      <c r="T379" s="231"/>
      <c r="U379" s="231"/>
      <c r="V379" s="231"/>
      <c r="W379" s="231"/>
      <c r="X379" s="227"/>
      <c r="Y379" s="232"/>
      <c r="Z379" s="232"/>
      <c r="AA379" s="232"/>
      <c r="AB379" s="232"/>
      <c r="AC379" s="227"/>
      <c r="AD379" s="227"/>
      <c r="AE379" s="231"/>
      <c r="AF379" s="227"/>
      <c r="AG379" s="232"/>
      <c r="AH379" s="232"/>
      <c r="AI379" s="232"/>
      <c r="AJ379" s="232"/>
      <c r="AK379" s="232"/>
      <c r="AL379" s="232"/>
      <c r="AM379" s="232"/>
      <c r="AN379" s="232"/>
      <c r="AO379" s="231"/>
      <c r="AP379" s="231"/>
      <c r="AQ379" s="227"/>
      <c r="AR379" s="231"/>
      <c r="AS379" s="227"/>
      <c r="AT379" s="227"/>
      <c r="AU379" s="227"/>
      <c r="AV379" s="227"/>
    </row>
    <row r="380">
      <c r="A380" s="227"/>
      <c r="B380" s="232"/>
      <c r="C380" s="227"/>
      <c r="D380" s="227"/>
      <c r="E380" s="231"/>
      <c r="F380" s="232"/>
      <c r="G380" s="227"/>
      <c r="H380" s="227"/>
      <c r="I380" s="227"/>
      <c r="J380" s="227"/>
      <c r="K380" s="227"/>
      <c r="L380" s="232"/>
      <c r="M380" s="232"/>
      <c r="N380" s="227"/>
      <c r="O380" s="227"/>
      <c r="P380" s="231"/>
      <c r="Q380" s="227"/>
      <c r="R380" s="231"/>
      <c r="S380" s="231"/>
      <c r="T380" s="231"/>
      <c r="U380" s="231"/>
      <c r="V380" s="231"/>
      <c r="W380" s="231"/>
      <c r="X380" s="227"/>
      <c r="Y380" s="232"/>
      <c r="Z380" s="232"/>
      <c r="AA380" s="232"/>
      <c r="AB380" s="232"/>
      <c r="AC380" s="227"/>
      <c r="AD380" s="227"/>
      <c r="AE380" s="231"/>
      <c r="AF380" s="227"/>
      <c r="AG380" s="232"/>
      <c r="AH380" s="232"/>
      <c r="AI380" s="232"/>
      <c r="AJ380" s="232"/>
      <c r="AK380" s="232"/>
      <c r="AL380" s="232"/>
      <c r="AM380" s="232"/>
      <c r="AN380" s="232"/>
      <c r="AO380" s="231"/>
      <c r="AP380" s="231"/>
      <c r="AQ380" s="227"/>
      <c r="AR380" s="231"/>
      <c r="AS380" s="227"/>
      <c r="AT380" s="227"/>
      <c r="AU380" s="227"/>
      <c r="AV380" s="227"/>
    </row>
    <row r="381">
      <c r="A381" s="227"/>
      <c r="B381" s="232"/>
      <c r="C381" s="227"/>
      <c r="D381" s="227"/>
      <c r="E381" s="231"/>
      <c r="F381" s="232"/>
      <c r="G381" s="227"/>
      <c r="H381" s="227"/>
      <c r="I381" s="227"/>
      <c r="J381" s="227"/>
      <c r="K381" s="227"/>
      <c r="L381" s="232"/>
      <c r="M381" s="232"/>
      <c r="N381" s="227"/>
      <c r="O381" s="227"/>
      <c r="P381" s="231"/>
      <c r="Q381" s="227"/>
      <c r="R381" s="231"/>
      <c r="S381" s="231"/>
      <c r="T381" s="231"/>
      <c r="U381" s="231"/>
      <c r="V381" s="231"/>
      <c r="W381" s="231"/>
      <c r="X381" s="227"/>
      <c r="Y381" s="232"/>
      <c r="Z381" s="232"/>
      <c r="AA381" s="232"/>
      <c r="AB381" s="232"/>
      <c r="AC381" s="227"/>
      <c r="AD381" s="227"/>
      <c r="AE381" s="231"/>
      <c r="AF381" s="227"/>
      <c r="AG381" s="232"/>
      <c r="AH381" s="232"/>
      <c r="AI381" s="232"/>
      <c r="AJ381" s="232"/>
      <c r="AK381" s="232"/>
      <c r="AL381" s="232"/>
      <c r="AM381" s="232"/>
      <c r="AN381" s="232"/>
      <c r="AO381" s="231"/>
      <c r="AP381" s="231"/>
      <c r="AQ381" s="227"/>
      <c r="AR381" s="231"/>
      <c r="AS381" s="227"/>
      <c r="AT381" s="227"/>
      <c r="AU381" s="227"/>
      <c r="AV381" s="227"/>
    </row>
    <row r="382">
      <c r="A382" s="227"/>
      <c r="B382" s="232"/>
      <c r="C382" s="227"/>
      <c r="D382" s="227"/>
      <c r="E382" s="231"/>
      <c r="F382" s="232"/>
      <c r="G382" s="227"/>
      <c r="H382" s="227"/>
      <c r="I382" s="227"/>
      <c r="J382" s="227"/>
      <c r="K382" s="227"/>
      <c r="L382" s="232"/>
      <c r="M382" s="232"/>
      <c r="N382" s="227"/>
      <c r="O382" s="227"/>
      <c r="P382" s="231"/>
      <c r="Q382" s="227"/>
      <c r="R382" s="231"/>
      <c r="S382" s="231"/>
      <c r="T382" s="231"/>
      <c r="U382" s="231"/>
      <c r="V382" s="231"/>
      <c r="W382" s="231"/>
      <c r="X382" s="227"/>
      <c r="Y382" s="232"/>
      <c r="Z382" s="232"/>
      <c r="AA382" s="232"/>
      <c r="AB382" s="232"/>
      <c r="AC382" s="227"/>
      <c r="AD382" s="227"/>
      <c r="AE382" s="231"/>
      <c r="AF382" s="227"/>
      <c r="AG382" s="232"/>
      <c r="AH382" s="232"/>
      <c r="AI382" s="232"/>
      <c r="AJ382" s="232"/>
      <c r="AK382" s="232"/>
      <c r="AL382" s="232"/>
      <c r="AM382" s="232"/>
      <c r="AN382" s="232"/>
      <c r="AO382" s="231"/>
      <c r="AP382" s="231"/>
      <c r="AQ382" s="227"/>
      <c r="AR382" s="231"/>
      <c r="AS382" s="227"/>
      <c r="AT382" s="227"/>
      <c r="AU382" s="227"/>
      <c r="AV382" s="227"/>
    </row>
    <row r="383">
      <c r="A383" s="227"/>
      <c r="B383" s="232"/>
      <c r="C383" s="227"/>
      <c r="D383" s="227"/>
      <c r="E383" s="231"/>
      <c r="F383" s="232"/>
      <c r="G383" s="227"/>
      <c r="H383" s="227"/>
      <c r="I383" s="227"/>
      <c r="J383" s="227"/>
      <c r="K383" s="227"/>
      <c r="L383" s="232"/>
      <c r="M383" s="232"/>
      <c r="N383" s="227"/>
      <c r="O383" s="227"/>
      <c r="P383" s="231"/>
      <c r="Q383" s="227"/>
      <c r="R383" s="231"/>
      <c r="S383" s="231"/>
      <c r="T383" s="231"/>
      <c r="U383" s="231"/>
      <c r="V383" s="231"/>
      <c r="W383" s="231"/>
      <c r="X383" s="227"/>
      <c r="Y383" s="232"/>
      <c r="Z383" s="232"/>
      <c r="AA383" s="232"/>
      <c r="AB383" s="232"/>
      <c r="AC383" s="227"/>
      <c r="AD383" s="227"/>
      <c r="AE383" s="231"/>
      <c r="AF383" s="227"/>
      <c r="AG383" s="232"/>
      <c r="AH383" s="232"/>
      <c r="AI383" s="232"/>
      <c r="AJ383" s="232"/>
      <c r="AK383" s="232"/>
      <c r="AL383" s="232"/>
      <c r="AM383" s="232"/>
      <c r="AN383" s="232"/>
      <c r="AO383" s="231"/>
      <c r="AP383" s="231"/>
      <c r="AQ383" s="227"/>
      <c r="AR383" s="231"/>
      <c r="AS383" s="227"/>
      <c r="AT383" s="227"/>
      <c r="AU383" s="227"/>
      <c r="AV383" s="227"/>
    </row>
    <row r="384">
      <c r="A384" s="227"/>
      <c r="B384" s="232"/>
      <c r="C384" s="227"/>
      <c r="D384" s="227"/>
      <c r="E384" s="231"/>
      <c r="F384" s="232"/>
      <c r="G384" s="227"/>
      <c r="H384" s="227"/>
      <c r="I384" s="227"/>
      <c r="J384" s="227"/>
      <c r="K384" s="227"/>
      <c r="L384" s="232"/>
      <c r="M384" s="232"/>
      <c r="N384" s="227"/>
      <c r="O384" s="227"/>
      <c r="P384" s="231"/>
      <c r="Q384" s="227"/>
      <c r="R384" s="231"/>
      <c r="S384" s="231"/>
      <c r="T384" s="231"/>
      <c r="U384" s="231"/>
      <c r="V384" s="231"/>
      <c r="W384" s="231"/>
      <c r="X384" s="227"/>
      <c r="Y384" s="232"/>
      <c r="Z384" s="232"/>
      <c r="AA384" s="232"/>
      <c r="AB384" s="232"/>
      <c r="AC384" s="227"/>
      <c r="AD384" s="227"/>
      <c r="AE384" s="231"/>
      <c r="AF384" s="227"/>
      <c r="AG384" s="232"/>
      <c r="AH384" s="232"/>
      <c r="AI384" s="232"/>
      <c r="AJ384" s="232"/>
      <c r="AK384" s="232"/>
      <c r="AL384" s="232"/>
      <c r="AM384" s="232"/>
      <c r="AN384" s="232"/>
      <c r="AO384" s="231"/>
      <c r="AP384" s="231"/>
      <c r="AQ384" s="227"/>
      <c r="AR384" s="231"/>
      <c r="AS384" s="227"/>
      <c r="AT384" s="227"/>
      <c r="AU384" s="227"/>
      <c r="AV384" s="227"/>
    </row>
    <row r="385">
      <c r="A385" s="227"/>
      <c r="B385" s="232"/>
      <c r="C385" s="227"/>
      <c r="D385" s="227"/>
      <c r="E385" s="231"/>
      <c r="F385" s="232"/>
      <c r="G385" s="227"/>
      <c r="H385" s="227"/>
      <c r="I385" s="227"/>
      <c r="J385" s="227"/>
      <c r="K385" s="227"/>
      <c r="L385" s="232"/>
      <c r="M385" s="232"/>
      <c r="N385" s="227"/>
      <c r="O385" s="227"/>
      <c r="P385" s="231"/>
      <c r="Q385" s="227"/>
      <c r="R385" s="231"/>
      <c r="S385" s="231"/>
      <c r="T385" s="231"/>
      <c r="U385" s="231"/>
      <c r="V385" s="231"/>
      <c r="W385" s="231"/>
      <c r="X385" s="227"/>
      <c r="Y385" s="232"/>
      <c r="Z385" s="232"/>
      <c r="AA385" s="232"/>
      <c r="AB385" s="232"/>
      <c r="AC385" s="227"/>
      <c r="AD385" s="227"/>
      <c r="AE385" s="231"/>
      <c r="AF385" s="227"/>
      <c r="AG385" s="232"/>
      <c r="AH385" s="232"/>
      <c r="AI385" s="232"/>
      <c r="AJ385" s="232"/>
      <c r="AK385" s="232"/>
      <c r="AL385" s="232"/>
      <c r="AM385" s="232"/>
      <c r="AN385" s="232"/>
      <c r="AO385" s="231"/>
      <c r="AP385" s="231"/>
      <c r="AQ385" s="227"/>
      <c r="AR385" s="231"/>
      <c r="AS385" s="227"/>
      <c r="AT385" s="227"/>
      <c r="AU385" s="227"/>
      <c r="AV385" s="227"/>
    </row>
    <row r="386">
      <c r="A386" s="227"/>
      <c r="B386" s="232"/>
      <c r="C386" s="227"/>
      <c r="D386" s="227"/>
      <c r="E386" s="231"/>
      <c r="F386" s="232"/>
      <c r="G386" s="227"/>
      <c r="H386" s="227"/>
      <c r="I386" s="227"/>
      <c r="J386" s="227"/>
      <c r="K386" s="227"/>
      <c r="L386" s="232"/>
      <c r="M386" s="232"/>
      <c r="N386" s="227"/>
      <c r="O386" s="227"/>
      <c r="P386" s="231"/>
      <c r="Q386" s="227"/>
      <c r="R386" s="231"/>
      <c r="S386" s="231"/>
      <c r="T386" s="231"/>
      <c r="U386" s="231"/>
      <c r="V386" s="231"/>
      <c r="W386" s="231"/>
      <c r="X386" s="227"/>
      <c r="Y386" s="232"/>
      <c r="Z386" s="232"/>
      <c r="AA386" s="232"/>
      <c r="AB386" s="232"/>
      <c r="AC386" s="227"/>
      <c r="AD386" s="227"/>
      <c r="AE386" s="231"/>
      <c r="AF386" s="227"/>
      <c r="AG386" s="232"/>
      <c r="AH386" s="232"/>
      <c r="AI386" s="232"/>
      <c r="AJ386" s="232"/>
      <c r="AK386" s="232"/>
      <c r="AL386" s="232"/>
      <c r="AM386" s="232"/>
      <c r="AN386" s="232"/>
      <c r="AO386" s="231"/>
      <c r="AP386" s="231"/>
      <c r="AQ386" s="227"/>
      <c r="AR386" s="231"/>
      <c r="AS386" s="227"/>
      <c r="AT386" s="227"/>
      <c r="AU386" s="227"/>
      <c r="AV386" s="227"/>
    </row>
    <row r="387">
      <c r="A387" s="227"/>
      <c r="B387" s="232"/>
      <c r="C387" s="227"/>
      <c r="D387" s="227"/>
      <c r="E387" s="231"/>
      <c r="F387" s="232"/>
      <c r="G387" s="227"/>
      <c r="H387" s="227"/>
      <c r="I387" s="227"/>
      <c r="J387" s="227"/>
      <c r="K387" s="227"/>
      <c r="L387" s="232"/>
      <c r="M387" s="232"/>
      <c r="N387" s="227"/>
      <c r="O387" s="227"/>
      <c r="P387" s="231"/>
      <c r="Q387" s="227"/>
      <c r="R387" s="231"/>
      <c r="S387" s="231"/>
      <c r="T387" s="231"/>
      <c r="U387" s="231"/>
      <c r="V387" s="231"/>
      <c r="W387" s="231"/>
      <c r="X387" s="227"/>
      <c r="Y387" s="232"/>
      <c r="Z387" s="232"/>
      <c r="AA387" s="232"/>
      <c r="AB387" s="232"/>
      <c r="AC387" s="227"/>
      <c r="AD387" s="227"/>
      <c r="AE387" s="231"/>
      <c r="AF387" s="227"/>
      <c r="AG387" s="232"/>
      <c r="AH387" s="232"/>
      <c r="AI387" s="232"/>
      <c r="AJ387" s="232"/>
      <c r="AK387" s="232"/>
      <c r="AL387" s="232"/>
      <c r="AM387" s="232"/>
      <c r="AN387" s="232"/>
      <c r="AO387" s="231"/>
      <c r="AP387" s="231"/>
      <c r="AQ387" s="227"/>
      <c r="AR387" s="231"/>
      <c r="AS387" s="227"/>
      <c r="AT387" s="227"/>
      <c r="AU387" s="227"/>
      <c r="AV387" s="227"/>
    </row>
    <row r="388">
      <c r="A388" s="227"/>
      <c r="B388" s="232"/>
      <c r="C388" s="227"/>
      <c r="D388" s="227"/>
      <c r="E388" s="231"/>
      <c r="F388" s="232"/>
      <c r="G388" s="227"/>
      <c r="H388" s="227"/>
      <c r="I388" s="227"/>
      <c r="J388" s="227"/>
      <c r="K388" s="227"/>
      <c r="L388" s="232"/>
      <c r="M388" s="232"/>
      <c r="N388" s="227"/>
      <c r="O388" s="227"/>
      <c r="P388" s="231"/>
      <c r="Q388" s="227"/>
      <c r="R388" s="231"/>
      <c r="S388" s="231"/>
      <c r="T388" s="231"/>
      <c r="U388" s="231"/>
      <c r="V388" s="231"/>
      <c r="W388" s="231"/>
      <c r="X388" s="227"/>
      <c r="Y388" s="232"/>
      <c r="Z388" s="232"/>
      <c r="AA388" s="232"/>
      <c r="AB388" s="232"/>
      <c r="AC388" s="227"/>
      <c r="AD388" s="227"/>
      <c r="AE388" s="231"/>
      <c r="AF388" s="227"/>
      <c r="AG388" s="232"/>
      <c r="AH388" s="232"/>
      <c r="AI388" s="232"/>
      <c r="AJ388" s="232"/>
      <c r="AK388" s="232"/>
      <c r="AL388" s="232"/>
      <c r="AM388" s="232"/>
      <c r="AN388" s="232"/>
      <c r="AO388" s="231"/>
      <c r="AP388" s="231"/>
      <c r="AQ388" s="227"/>
      <c r="AR388" s="231"/>
      <c r="AS388" s="227"/>
      <c r="AT388" s="227"/>
      <c r="AU388" s="227"/>
      <c r="AV388" s="227"/>
    </row>
    <row r="389">
      <c r="A389" s="227"/>
      <c r="B389" s="232"/>
      <c r="C389" s="227"/>
      <c r="D389" s="227"/>
      <c r="E389" s="231"/>
      <c r="F389" s="232"/>
      <c r="G389" s="227"/>
      <c r="H389" s="227"/>
      <c r="I389" s="227"/>
      <c r="J389" s="227"/>
      <c r="K389" s="227"/>
      <c r="L389" s="232"/>
      <c r="M389" s="232"/>
      <c r="N389" s="227"/>
      <c r="O389" s="227"/>
      <c r="P389" s="231"/>
      <c r="Q389" s="227"/>
      <c r="R389" s="231"/>
      <c r="S389" s="231"/>
      <c r="T389" s="231"/>
      <c r="U389" s="231"/>
      <c r="V389" s="231"/>
      <c r="W389" s="231"/>
      <c r="X389" s="227"/>
      <c r="Y389" s="232"/>
      <c r="Z389" s="232"/>
      <c r="AA389" s="232"/>
      <c r="AB389" s="232"/>
      <c r="AC389" s="227"/>
      <c r="AD389" s="227"/>
      <c r="AE389" s="231"/>
      <c r="AF389" s="227"/>
      <c r="AG389" s="232"/>
      <c r="AH389" s="232"/>
      <c r="AI389" s="232"/>
      <c r="AJ389" s="232"/>
      <c r="AK389" s="232"/>
      <c r="AL389" s="232"/>
      <c r="AM389" s="232"/>
      <c r="AN389" s="232"/>
      <c r="AO389" s="231"/>
      <c r="AP389" s="231"/>
      <c r="AQ389" s="227"/>
      <c r="AR389" s="231"/>
      <c r="AS389" s="227"/>
      <c r="AT389" s="227"/>
      <c r="AU389" s="227"/>
      <c r="AV389" s="227"/>
    </row>
    <row r="390">
      <c r="A390" s="227"/>
      <c r="B390" s="232"/>
      <c r="C390" s="227"/>
      <c r="D390" s="227"/>
      <c r="E390" s="231"/>
      <c r="F390" s="232"/>
      <c r="G390" s="227"/>
      <c r="H390" s="227"/>
      <c r="I390" s="227"/>
      <c r="J390" s="227"/>
      <c r="K390" s="227"/>
      <c r="L390" s="232"/>
      <c r="M390" s="232"/>
      <c r="N390" s="227"/>
      <c r="O390" s="227"/>
      <c r="P390" s="231"/>
      <c r="Q390" s="227"/>
      <c r="R390" s="231"/>
      <c r="S390" s="231"/>
      <c r="T390" s="231"/>
      <c r="U390" s="231"/>
      <c r="V390" s="231"/>
      <c r="W390" s="231"/>
      <c r="X390" s="227"/>
      <c r="Y390" s="232"/>
      <c r="Z390" s="232"/>
      <c r="AA390" s="232"/>
      <c r="AB390" s="232"/>
      <c r="AC390" s="227"/>
      <c r="AD390" s="227"/>
      <c r="AE390" s="231"/>
      <c r="AF390" s="227"/>
      <c r="AG390" s="232"/>
      <c r="AH390" s="232"/>
      <c r="AI390" s="232"/>
      <c r="AJ390" s="232"/>
      <c r="AK390" s="232"/>
      <c r="AL390" s="232"/>
      <c r="AM390" s="232"/>
      <c r="AN390" s="232"/>
      <c r="AO390" s="231"/>
      <c r="AP390" s="231"/>
      <c r="AQ390" s="227"/>
      <c r="AR390" s="231"/>
      <c r="AS390" s="227"/>
      <c r="AT390" s="227"/>
      <c r="AU390" s="227"/>
      <c r="AV390" s="227"/>
    </row>
    <row r="391">
      <c r="A391" s="227"/>
      <c r="B391" s="232"/>
      <c r="C391" s="227"/>
      <c r="D391" s="227"/>
      <c r="E391" s="231"/>
      <c r="F391" s="232"/>
      <c r="G391" s="227"/>
      <c r="H391" s="227"/>
      <c r="I391" s="227"/>
      <c r="J391" s="227"/>
      <c r="K391" s="227"/>
      <c r="L391" s="232"/>
      <c r="M391" s="232"/>
      <c r="N391" s="227"/>
      <c r="O391" s="227"/>
      <c r="P391" s="231"/>
      <c r="Q391" s="227"/>
      <c r="R391" s="231"/>
      <c r="S391" s="231"/>
      <c r="T391" s="231"/>
      <c r="U391" s="231"/>
      <c r="V391" s="231"/>
      <c r="W391" s="231"/>
      <c r="X391" s="227"/>
      <c r="Y391" s="232"/>
      <c r="Z391" s="232"/>
      <c r="AA391" s="232"/>
      <c r="AB391" s="232"/>
      <c r="AC391" s="227"/>
      <c r="AD391" s="227"/>
      <c r="AE391" s="231"/>
      <c r="AF391" s="227"/>
      <c r="AG391" s="232"/>
      <c r="AH391" s="232"/>
      <c r="AI391" s="232"/>
      <c r="AJ391" s="232"/>
      <c r="AK391" s="232"/>
      <c r="AL391" s="232"/>
      <c r="AM391" s="232"/>
      <c r="AN391" s="232"/>
      <c r="AO391" s="231"/>
      <c r="AP391" s="231"/>
      <c r="AQ391" s="227"/>
      <c r="AR391" s="231"/>
      <c r="AS391" s="227"/>
      <c r="AT391" s="227"/>
      <c r="AU391" s="227"/>
      <c r="AV391" s="227"/>
    </row>
    <row r="392">
      <c r="A392" s="227"/>
      <c r="B392" s="232"/>
      <c r="C392" s="227"/>
      <c r="D392" s="227"/>
      <c r="E392" s="231"/>
      <c r="F392" s="232"/>
      <c r="G392" s="227"/>
      <c r="H392" s="227"/>
      <c r="I392" s="227"/>
      <c r="J392" s="227"/>
      <c r="K392" s="227"/>
      <c r="L392" s="232"/>
      <c r="M392" s="232"/>
      <c r="N392" s="227"/>
      <c r="O392" s="227"/>
      <c r="P392" s="231"/>
      <c r="Q392" s="227"/>
      <c r="R392" s="231"/>
      <c r="S392" s="231"/>
      <c r="T392" s="231"/>
      <c r="U392" s="231"/>
      <c r="V392" s="231"/>
      <c r="W392" s="231"/>
      <c r="X392" s="227"/>
      <c r="Y392" s="232"/>
      <c r="Z392" s="232"/>
      <c r="AA392" s="232"/>
      <c r="AB392" s="232"/>
      <c r="AC392" s="227"/>
      <c r="AD392" s="227"/>
      <c r="AE392" s="231"/>
      <c r="AF392" s="227"/>
      <c r="AG392" s="232"/>
      <c r="AH392" s="232"/>
      <c r="AI392" s="232"/>
      <c r="AJ392" s="232"/>
      <c r="AK392" s="232"/>
      <c r="AL392" s="232"/>
      <c r="AM392" s="232"/>
      <c r="AN392" s="232"/>
      <c r="AO392" s="231"/>
      <c r="AP392" s="231"/>
      <c r="AQ392" s="227"/>
      <c r="AR392" s="231"/>
      <c r="AS392" s="227"/>
      <c r="AT392" s="227"/>
      <c r="AU392" s="227"/>
      <c r="AV392" s="227"/>
    </row>
    <row r="393">
      <c r="A393" s="227"/>
      <c r="B393" s="232"/>
      <c r="C393" s="227"/>
      <c r="D393" s="227"/>
      <c r="E393" s="231"/>
      <c r="F393" s="232"/>
      <c r="G393" s="227"/>
      <c r="H393" s="227"/>
      <c r="I393" s="227"/>
      <c r="J393" s="227"/>
      <c r="K393" s="227"/>
      <c r="L393" s="232"/>
      <c r="M393" s="232"/>
      <c r="N393" s="227"/>
      <c r="O393" s="227"/>
      <c r="P393" s="231"/>
      <c r="Q393" s="227"/>
      <c r="R393" s="231"/>
      <c r="S393" s="231"/>
      <c r="T393" s="231"/>
      <c r="U393" s="231"/>
      <c r="V393" s="231"/>
      <c r="W393" s="231"/>
      <c r="X393" s="227"/>
      <c r="Y393" s="232"/>
      <c r="Z393" s="232"/>
      <c r="AA393" s="232"/>
      <c r="AB393" s="232"/>
      <c r="AC393" s="227"/>
      <c r="AD393" s="227"/>
      <c r="AE393" s="231"/>
      <c r="AF393" s="227"/>
      <c r="AG393" s="232"/>
      <c r="AH393" s="232"/>
      <c r="AI393" s="232"/>
      <c r="AJ393" s="232"/>
      <c r="AK393" s="232"/>
      <c r="AL393" s="232"/>
      <c r="AM393" s="232"/>
      <c r="AN393" s="232"/>
      <c r="AO393" s="231"/>
      <c r="AP393" s="231"/>
      <c r="AQ393" s="227"/>
      <c r="AR393" s="231"/>
      <c r="AS393" s="227"/>
      <c r="AT393" s="227"/>
      <c r="AU393" s="227"/>
      <c r="AV393" s="227"/>
    </row>
    <row r="394">
      <c r="A394" s="227"/>
      <c r="B394" s="232"/>
      <c r="C394" s="227"/>
      <c r="D394" s="227"/>
      <c r="E394" s="231"/>
      <c r="F394" s="232"/>
      <c r="G394" s="227"/>
      <c r="H394" s="227"/>
      <c r="I394" s="227"/>
      <c r="J394" s="227"/>
      <c r="K394" s="227"/>
      <c r="L394" s="232"/>
      <c r="M394" s="232"/>
      <c r="N394" s="227"/>
      <c r="O394" s="227"/>
      <c r="P394" s="231"/>
      <c r="Q394" s="227"/>
      <c r="R394" s="231"/>
      <c r="S394" s="231"/>
      <c r="T394" s="231"/>
      <c r="U394" s="231"/>
      <c r="V394" s="231"/>
      <c r="W394" s="231"/>
      <c r="X394" s="227"/>
      <c r="Y394" s="232"/>
      <c r="Z394" s="232"/>
      <c r="AA394" s="232"/>
      <c r="AB394" s="232"/>
      <c r="AC394" s="227"/>
      <c r="AD394" s="227"/>
      <c r="AE394" s="231"/>
      <c r="AF394" s="227"/>
      <c r="AG394" s="232"/>
      <c r="AH394" s="232"/>
      <c r="AI394" s="232"/>
      <c r="AJ394" s="232"/>
      <c r="AK394" s="232"/>
      <c r="AL394" s="232"/>
      <c r="AM394" s="232"/>
      <c r="AN394" s="232"/>
      <c r="AO394" s="231"/>
      <c r="AP394" s="231"/>
      <c r="AQ394" s="227"/>
      <c r="AR394" s="231"/>
      <c r="AS394" s="227"/>
      <c r="AT394" s="227"/>
      <c r="AU394" s="227"/>
      <c r="AV394" s="227"/>
    </row>
    <row r="395">
      <c r="A395" s="227"/>
      <c r="B395" s="232"/>
      <c r="C395" s="227"/>
      <c r="D395" s="227"/>
      <c r="E395" s="231"/>
      <c r="F395" s="232"/>
      <c r="G395" s="227"/>
      <c r="H395" s="227"/>
      <c r="I395" s="227"/>
      <c r="J395" s="227"/>
      <c r="K395" s="227"/>
      <c r="L395" s="232"/>
      <c r="M395" s="232"/>
      <c r="N395" s="227"/>
      <c r="O395" s="227"/>
      <c r="P395" s="231"/>
      <c r="Q395" s="227"/>
      <c r="R395" s="231"/>
      <c r="S395" s="231"/>
      <c r="T395" s="231"/>
      <c r="U395" s="231"/>
      <c r="V395" s="231"/>
      <c r="W395" s="231"/>
      <c r="X395" s="227"/>
      <c r="Y395" s="232"/>
      <c r="Z395" s="232"/>
      <c r="AA395" s="232"/>
      <c r="AB395" s="232"/>
      <c r="AC395" s="227"/>
      <c r="AD395" s="227"/>
      <c r="AE395" s="231"/>
      <c r="AF395" s="227"/>
      <c r="AG395" s="232"/>
      <c r="AH395" s="232"/>
      <c r="AI395" s="232"/>
      <c r="AJ395" s="232"/>
      <c r="AK395" s="232"/>
      <c r="AL395" s="232"/>
      <c r="AM395" s="232"/>
      <c r="AN395" s="232"/>
      <c r="AO395" s="231"/>
      <c r="AP395" s="231"/>
      <c r="AQ395" s="227"/>
      <c r="AR395" s="231"/>
      <c r="AS395" s="227"/>
      <c r="AT395" s="227"/>
      <c r="AU395" s="227"/>
      <c r="AV395" s="227"/>
    </row>
    <row r="396">
      <c r="A396" s="227"/>
      <c r="B396" s="232"/>
      <c r="C396" s="227"/>
      <c r="D396" s="227"/>
      <c r="E396" s="231"/>
      <c r="F396" s="232"/>
      <c r="G396" s="227"/>
      <c r="H396" s="227"/>
      <c r="I396" s="227"/>
      <c r="J396" s="227"/>
      <c r="K396" s="227"/>
      <c r="L396" s="232"/>
      <c r="M396" s="232"/>
      <c r="N396" s="227"/>
      <c r="O396" s="227"/>
      <c r="P396" s="231"/>
      <c r="Q396" s="227"/>
      <c r="R396" s="231"/>
      <c r="S396" s="231"/>
      <c r="T396" s="231"/>
      <c r="U396" s="231"/>
      <c r="V396" s="231"/>
      <c r="W396" s="231"/>
      <c r="X396" s="227"/>
      <c r="Y396" s="232"/>
      <c r="Z396" s="232"/>
      <c r="AA396" s="232"/>
      <c r="AB396" s="232"/>
      <c r="AC396" s="227"/>
      <c r="AD396" s="227"/>
      <c r="AE396" s="231"/>
      <c r="AF396" s="227"/>
      <c r="AG396" s="232"/>
      <c r="AH396" s="232"/>
      <c r="AI396" s="232"/>
      <c r="AJ396" s="232"/>
      <c r="AK396" s="232"/>
      <c r="AL396" s="232"/>
      <c r="AM396" s="232"/>
      <c r="AN396" s="232"/>
      <c r="AO396" s="231"/>
      <c r="AP396" s="231"/>
      <c r="AQ396" s="227"/>
      <c r="AR396" s="231"/>
      <c r="AS396" s="227"/>
      <c r="AT396" s="227"/>
      <c r="AU396" s="227"/>
      <c r="AV396" s="227"/>
    </row>
    <row r="397">
      <c r="A397" s="227"/>
      <c r="B397" s="232"/>
      <c r="C397" s="227"/>
      <c r="D397" s="227"/>
      <c r="E397" s="231"/>
      <c r="F397" s="232"/>
      <c r="G397" s="227"/>
      <c r="H397" s="227"/>
      <c r="I397" s="227"/>
      <c r="J397" s="227"/>
      <c r="K397" s="227"/>
      <c r="L397" s="232"/>
      <c r="M397" s="232"/>
      <c r="N397" s="227"/>
      <c r="O397" s="227"/>
      <c r="P397" s="231"/>
      <c r="Q397" s="227"/>
      <c r="R397" s="231"/>
      <c r="S397" s="231"/>
      <c r="T397" s="231"/>
      <c r="U397" s="231"/>
      <c r="V397" s="231"/>
      <c r="W397" s="231"/>
      <c r="X397" s="227"/>
      <c r="Y397" s="232"/>
      <c r="Z397" s="232"/>
      <c r="AA397" s="232"/>
      <c r="AB397" s="232"/>
      <c r="AC397" s="227"/>
      <c r="AD397" s="227"/>
      <c r="AE397" s="231"/>
      <c r="AF397" s="227"/>
      <c r="AG397" s="232"/>
      <c r="AH397" s="232"/>
      <c r="AI397" s="232"/>
      <c r="AJ397" s="232"/>
      <c r="AK397" s="232"/>
      <c r="AL397" s="232"/>
      <c r="AM397" s="232"/>
      <c r="AN397" s="232"/>
      <c r="AO397" s="231"/>
      <c r="AP397" s="231"/>
      <c r="AQ397" s="227"/>
      <c r="AR397" s="231"/>
      <c r="AS397" s="227"/>
      <c r="AT397" s="227"/>
      <c r="AU397" s="227"/>
      <c r="AV397" s="227"/>
    </row>
    <row r="398">
      <c r="A398" s="227"/>
      <c r="B398" s="232"/>
      <c r="C398" s="227"/>
      <c r="D398" s="227"/>
      <c r="E398" s="231"/>
      <c r="F398" s="232"/>
      <c r="G398" s="227"/>
      <c r="H398" s="227"/>
      <c r="I398" s="227"/>
      <c r="J398" s="227"/>
      <c r="K398" s="227"/>
      <c r="L398" s="232"/>
      <c r="M398" s="232"/>
      <c r="N398" s="227"/>
      <c r="O398" s="227"/>
      <c r="P398" s="231"/>
      <c r="Q398" s="227"/>
      <c r="R398" s="231"/>
      <c r="S398" s="231"/>
      <c r="T398" s="231"/>
      <c r="U398" s="231"/>
      <c r="V398" s="231"/>
      <c r="W398" s="231"/>
      <c r="X398" s="227"/>
      <c r="Y398" s="232"/>
      <c r="Z398" s="232"/>
      <c r="AA398" s="232"/>
      <c r="AB398" s="232"/>
      <c r="AC398" s="227"/>
      <c r="AD398" s="227"/>
      <c r="AE398" s="231"/>
      <c r="AF398" s="227"/>
      <c r="AG398" s="232"/>
      <c r="AH398" s="232"/>
      <c r="AI398" s="232"/>
      <c r="AJ398" s="232"/>
      <c r="AK398" s="232"/>
      <c r="AL398" s="232"/>
      <c r="AM398" s="232"/>
      <c r="AN398" s="232"/>
      <c r="AO398" s="231"/>
      <c r="AP398" s="231"/>
      <c r="AQ398" s="227"/>
      <c r="AR398" s="231"/>
      <c r="AS398" s="227"/>
      <c r="AT398" s="227"/>
      <c r="AU398" s="227"/>
      <c r="AV398" s="227"/>
    </row>
    <row r="399">
      <c r="A399" s="227"/>
      <c r="B399" s="232"/>
      <c r="C399" s="227"/>
      <c r="D399" s="227"/>
      <c r="E399" s="231"/>
      <c r="F399" s="232"/>
      <c r="G399" s="227"/>
      <c r="H399" s="227"/>
      <c r="I399" s="227"/>
      <c r="J399" s="227"/>
      <c r="K399" s="227"/>
      <c r="L399" s="232"/>
      <c r="M399" s="232"/>
      <c r="N399" s="227"/>
      <c r="O399" s="227"/>
      <c r="P399" s="231"/>
      <c r="Q399" s="227"/>
      <c r="R399" s="231"/>
      <c r="S399" s="231"/>
      <c r="T399" s="231"/>
      <c r="U399" s="231"/>
      <c r="V399" s="231"/>
      <c r="W399" s="231"/>
      <c r="X399" s="227"/>
      <c r="Y399" s="232"/>
      <c r="Z399" s="232"/>
      <c r="AA399" s="232"/>
      <c r="AB399" s="232"/>
      <c r="AC399" s="227"/>
      <c r="AD399" s="227"/>
      <c r="AE399" s="231"/>
      <c r="AF399" s="227"/>
      <c r="AG399" s="232"/>
      <c r="AH399" s="232"/>
      <c r="AI399" s="232"/>
      <c r="AJ399" s="232"/>
      <c r="AK399" s="232"/>
      <c r="AL399" s="232"/>
      <c r="AM399" s="232"/>
      <c r="AN399" s="232"/>
      <c r="AO399" s="231"/>
      <c r="AP399" s="231"/>
      <c r="AQ399" s="227"/>
      <c r="AR399" s="231"/>
      <c r="AS399" s="227"/>
      <c r="AT399" s="227"/>
      <c r="AU399" s="227"/>
      <c r="AV399" s="227"/>
    </row>
    <row r="400">
      <c r="A400" s="227"/>
      <c r="B400" s="232"/>
      <c r="C400" s="227"/>
      <c r="D400" s="227"/>
      <c r="E400" s="231"/>
      <c r="F400" s="232"/>
      <c r="G400" s="227"/>
      <c r="H400" s="227"/>
      <c r="I400" s="227"/>
      <c r="J400" s="227"/>
      <c r="K400" s="227"/>
      <c r="L400" s="232"/>
      <c r="M400" s="232"/>
      <c r="N400" s="227"/>
      <c r="O400" s="227"/>
      <c r="P400" s="231"/>
      <c r="Q400" s="227"/>
      <c r="R400" s="231"/>
      <c r="S400" s="231"/>
      <c r="T400" s="231"/>
      <c r="U400" s="231"/>
      <c r="V400" s="231"/>
      <c r="W400" s="231"/>
      <c r="X400" s="227"/>
      <c r="Y400" s="232"/>
      <c r="Z400" s="232"/>
      <c r="AA400" s="232"/>
      <c r="AB400" s="232"/>
      <c r="AC400" s="227"/>
      <c r="AD400" s="227"/>
      <c r="AE400" s="231"/>
      <c r="AF400" s="227"/>
      <c r="AG400" s="232"/>
      <c r="AH400" s="232"/>
      <c r="AI400" s="232"/>
      <c r="AJ400" s="232"/>
      <c r="AK400" s="232"/>
      <c r="AL400" s="232"/>
      <c r="AM400" s="232"/>
      <c r="AN400" s="232"/>
      <c r="AO400" s="231"/>
      <c r="AP400" s="231"/>
      <c r="AQ400" s="227"/>
      <c r="AR400" s="231"/>
      <c r="AS400" s="227"/>
      <c r="AT400" s="227"/>
      <c r="AU400" s="227"/>
      <c r="AV400" s="227"/>
    </row>
    <row r="401">
      <c r="A401" s="227"/>
      <c r="B401" s="232"/>
      <c r="C401" s="227"/>
      <c r="D401" s="227"/>
      <c r="E401" s="231"/>
      <c r="F401" s="232"/>
      <c r="G401" s="227"/>
      <c r="H401" s="227"/>
      <c r="I401" s="227"/>
      <c r="J401" s="227"/>
      <c r="K401" s="227"/>
      <c r="L401" s="232"/>
      <c r="M401" s="232"/>
      <c r="N401" s="227"/>
      <c r="O401" s="227"/>
      <c r="P401" s="231"/>
      <c r="Q401" s="227"/>
      <c r="R401" s="231"/>
      <c r="S401" s="231"/>
      <c r="T401" s="231"/>
      <c r="U401" s="231"/>
      <c r="V401" s="231"/>
      <c r="W401" s="231"/>
      <c r="X401" s="227"/>
      <c r="Y401" s="232"/>
      <c r="Z401" s="232"/>
      <c r="AA401" s="232"/>
      <c r="AB401" s="232"/>
      <c r="AC401" s="227"/>
      <c r="AD401" s="227"/>
      <c r="AE401" s="231"/>
      <c r="AF401" s="227"/>
      <c r="AG401" s="232"/>
      <c r="AH401" s="232"/>
      <c r="AI401" s="232"/>
      <c r="AJ401" s="232"/>
      <c r="AK401" s="232"/>
      <c r="AL401" s="232"/>
      <c r="AM401" s="232"/>
      <c r="AN401" s="232"/>
      <c r="AO401" s="231"/>
      <c r="AP401" s="231"/>
      <c r="AQ401" s="227"/>
      <c r="AR401" s="231"/>
      <c r="AS401" s="227"/>
      <c r="AT401" s="227"/>
      <c r="AU401" s="227"/>
      <c r="AV401" s="227"/>
    </row>
    <row r="402">
      <c r="A402" s="227"/>
      <c r="B402" s="232"/>
      <c r="C402" s="227"/>
      <c r="D402" s="227"/>
      <c r="E402" s="231"/>
      <c r="F402" s="232"/>
      <c r="G402" s="227"/>
      <c r="H402" s="227"/>
      <c r="I402" s="227"/>
      <c r="J402" s="227"/>
      <c r="K402" s="227"/>
      <c r="L402" s="232"/>
      <c r="M402" s="232"/>
      <c r="N402" s="227"/>
      <c r="O402" s="227"/>
      <c r="P402" s="231"/>
      <c r="Q402" s="227"/>
      <c r="R402" s="231"/>
      <c r="S402" s="231"/>
      <c r="T402" s="231"/>
      <c r="U402" s="231"/>
      <c r="V402" s="231"/>
      <c r="W402" s="231"/>
      <c r="X402" s="227"/>
      <c r="Y402" s="232"/>
      <c r="Z402" s="232"/>
      <c r="AA402" s="232"/>
      <c r="AB402" s="232"/>
      <c r="AC402" s="227"/>
      <c r="AD402" s="227"/>
      <c r="AE402" s="231"/>
      <c r="AF402" s="227"/>
      <c r="AG402" s="232"/>
      <c r="AH402" s="232"/>
      <c r="AI402" s="232"/>
      <c r="AJ402" s="232"/>
      <c r="AK402" s="232"/>
      <c r="AL402" s="232"/>
      <c r="AM402" s="232"/>
      <c r="AN402" s="232"/>
      <c r="AO402" s="231"/>
      <c r="AP402" s="231"/>
      <c r="AQ402" s="227"/>
      <c r="AR402" s="231"/>
      <c r="AS402" s="227"/>
      <c r="AT402" s="227"/>
      <c r="AU402" s="227"/>
      <c r="AV402" s="227"/>
    </row>
    <row r="403">
      <c r="A403" s="227"/>
      <c r="B403" s="232"/>
      <c r="C403" s="227"/>
      <c r="D403" s="227"/>
      <c r="E403" s="231"/>
      <c r="F403" s="232"/>
      <c r="G403" s="227"/>
      <c r="H403" s="227"/>
      <c r="I403" s="227"/>
      <c r="J403" s="227"/>
      <c r="K403" s="227"/>
      <c r="L403" s="232"/>
      <c r="M403" s="232"/>
      <c r="N403" s="227"/>
      <c r="O403" s="227"/>
      <c r="P403" s="231"/>
      <c r="Q403" s="227"/>
      <c r="R403" s="231"/>
      <c r="S403" s="231"/>
      <c r="T403" s="231"/>
      <c r="U403" s="231"/>
      <c r="V403" s="231"/>
      <c r="W403" s="231"/>
      <c r="X403" s="227"/>
      <c r="Y403" s="232"/>
      <c r="Z403" s="232"/>
      <c r="AA403" s="232"/>
      <c r="AB403" s="232"/>
      <c r="AC403" s="227"/>
      <c r="AD403" s="227"/>
      <c r="AE403" s="231"/>
      <c r="AF403" s="227"/>
      <c r="AG403" s="232"/>
      <c r="AH403" s="232"/>
      <c r="AI403" s="232"/>
      <c r="AJ403" s="232"/>
      <c r="AK403" s="232"/>
      <c r="AL403" s="232"/>
      <c r="AM403" s="232"/>
      <c r="AN403" s="232"/>
      <c r="AO403" s="231"/>
      <c r="AP403" s="231"/>
      <c r="AQ403" s="227"/>
      <c r="AR403" s="231"/>
      <c r="AS403" s="227"/>
      <c r="AT403" s="227"/>
      <c r="AU403" s="227"/>
      <c r="AV403" s="227"/>
    </row>
    <row r="404">
      <c r="A404" s="227"/>
      <c r="B404" s="232"/>
      <c r="C404" s="227"/>
      <c r="D404" s="227"/>
      <c r="E404" s="231"/>
      <c r="F404" s="232"/>
      <c r="G404" s="227"/>
      <c r="H404" s="227"/>
      <c r="I404" s="227"/>
      <c r="J404" s="227"/>
      <c r="K404" s="227"/>
      <c r="L404" s="232"/>
      <c r="M404" s="232"/>
      <c r="N404" s="227"/>
      <c r="O404" s="227"/>
      <c r="P404" s="231"/>
      <c r="Q404" s="227"/>
      <c r="R404" s="231"/>
      <c r="S404" s="231"/>
      <c r="T404" s="231"/>
      <c r="U404" s="231"/>
      <c r="V404" s="231"/>
      <c r="W404" s="231"/>
      <c r="X404" s="227"/>
      <c r="Y404" s="232"/>
      <c r="Z404" s="232"/>
      <c r="AA404" s="232"/>
      <c r="AB404" s="232"/>
      <c r="AC404" s="227"/>
      <c r="AD404" s="227"/>
      <c r="AE404" s="231"/>
      <c r="AF404" s="227"/>
      <c r="AG404" s="232"/>
      <c r="AH404" s="232"/>
      <c r="AI404" s="232"/>
      <c r="AJ404" s="232"/>
      <c r="AK404" s="232"/>
      <c r="AL404" s="232"/>
      <c r="AM404" s="232"/>
      <c r="AN404" s="232"/>
      <c r="AO404" s="231"/>
      <c r="AP404" s="231"/>
      <c r="AQ404" s="227"/>
      <c r="AR404" s="231"/>
      <c r="AS404" s="227"/>
      <c r="AT404" s="227"/>
      <c r="AU404" s="227"/>
      <c r="AV404" s="227"/>
    </row>
    <row r="405">
      <c r="A405" s="227"/>
      <c r="B405" s="232"/>
      <c r="C405" s="227"/>
      <c r="D405" s="227"/>
      <c r="E405" s="231"/>
      <c r="F405" s="232"/>
      <c r="G405" s="227"/>
      <c r="H405" s="227"/>
      <c r="I405" s="227"/>
      <c r="J405" s="227"/>
      <c r="K405" s="227"/>
      <c r="L405" s="232"/>
      <c r="M405" s="232"/>
      <c r="N405" s="227"/>
      <c r="O405" s="227"/>
      <c r="P405" s="231"/>
      <c r="Q405" s="227"/>
      <c r="R405" s="231"/>
      <c r="S405" s="231"/>
      <c r="T405" s="231"/>
      <c r="U405" s="231"/>
      <c r="V405" s="231"/>
      <c r="W405" s="231"/>
      <c r="X405" s="227"/>
      <c r="Y405" s="232"/>
      <c r="Z405" s="232"/>
      <c r="AA405" s="232"/>
      <c r="AB405" s="232"/>
      <c r="AC405" s="227"/>
      <c r="AD405" s="227"/>
      <c r="AE405" s="231"/>
      <c r="AF405" s="227"/>
      <c r="AG405" s="232"/>
      <c r="AH405" s="232"/>
      <c r="AI405" s="232"/>
      <c r="AJ405" s="232"/>
      <c r="AK405" s="232"/>
      <c r="AL405" s="232"/>
      <c r="AM405" s="232"/>
      <c r="AN405" s="232"/>
      <c r="AO405" s="231"/>
      <c r="AP405" s="231"/>
      <c r="AQ405" s="227"/>
      <c r="AR405" s="231"/>
      <c r="AS405" s="227"/>
      <c r="AT405" s="227"/>
      <c r="AU405" s="227"/>
      <c r="AV405" s="227"/>
    </row>
    <row r="406">
      <c r="A406" s="227"/>
      <c r="B406" s="232"/>
      <c r="C406" s="227"/>
      <c r="D406" s="227"/>
      <c r="E406" s="231"/>
      <c r="F406" s="232"/>
      <c r="G406" s="227"/>
      <c r="H406" s="227"/>
      <c r="I406" s="227"/>
      <c r="J406" s="227"/>
      <c r="K406" s="227"/>
      <c r="L406" s="232"/>
      <c r="M406" s="232"/>
      <c r="N406" s="227"/>
      <c r="O406" s="227"/>
      <c r="P406" s="231"/>
      <c r="Q406" s="227"/>
      <c r="R406" s="231"/>
      <c r="S406" s="231"/>
      <c r="T406" s="231"/>
      <c r="U406" s="231"/>
      <c r="V406" s="231"/>
      <c r="W406" s="231"/>
      <c r="X406" s="227"/>
      <c r="Y406" s="232"/>
      <c r="Z406" s="232"/>
      <c r="AA406" s="232"/>
      <c r="AB406" s="232"/>
      <c r="AC406" s="227"/>
      <c r="AD406" s="227"/>
      <c r="AE406" s="231"/>
      <c r="AF406" s="227"/>
      <c r="AG406" s="232"/>
      <c r="AH406" s="232"/>
      <c r="AI406" s="232"/>
      <c r="AJ406" s="232"/>
      <c r="AK406" s="232"/>
      <c r="AL406" s="232"/>
      <c r="AM406" s="232"/>
      <c r="AN406" s="232"/>
      <c r="AO406" s="231"/>
      <c r="AP406" s="231"/>
      <c r="AQ406" s="227"/>
      <c r="AR406" s="231"/>
      <c r="AS406" s="227"/>
      <c r="AT406" s="227"/>
      <c r="AU406" s="227"/>
      <c r="AV406" s="227"/>
    </row>
    <row r="407">
      <c r="A407" s="227"/>
      <c r="B407" s="232"/>
      <c r="C407" s="227"/>
      <c r="D407" s="227"/>
      <c r="E407" s="231"/>
      <c r="F407" s="232"/>
      <c r="G407" s="227"/>
      <c r="H407" s="227"/>
      <c r="I407" s="227"/>
      <c r="J407" s="227"/>
      <c r="K407" s="227"/>
      <c r="L407" s="232"/>
      <c r="M407" s="232"/>
      <c r="N407" s="227"/>
      <c r="O407" s="227"/>
      <c r="P407" s="231"/>
      <c r="Q407" s="227"/>
      <c r="R407" s="231"/>
      <c r="S407" s="231"/>
      <c r="T407" s="231"/>
      <c r="U407" s="231"/>
      <c r="V407" s="231"/>
      <c r="W407" s="231"/>
      <c r="X407" s="227"/>
      <c r="Y407" s="232"/>
      <c r="Z407" s="232"/>
      <c r="AA407" s="232"/>
      <c r="AB407" s="232"/>
      <c r="AC407" s="227"/>
      <c r="AD407" s="227"/>
      <c r="AE407" s="231"/>
      <c r="AF407" s="227"/>
      <c r="AG407" s="232"/>
      <c r="AH407" s="232"/>
      <c r="AI407" s="232"/>
      <c r="AJ407" s="232"/>
      <c r="AK407" s="232"/>
      <c r="AL407" s="232"/>
      <c r="AM407" s="232"/>
      <c r="AN407" s="232"/>
      <c r="AO407" s="231"/>
      <c r="AP407" s="231"/>
      <c r="AQ407" s="227"/>
      <c r="AR407" s="231"/>
      <c r="AS407" s="227"/>
      <c r="AT407" s="227"/>
      <c r="AU407" s="227"/>
      <c r="AV407" s="227"/>
    </row>
    <row r="408">
      <c r="A408" s="227"/>
      <c r="B408" s="232"/>
      <c r="C408" s="227"/>
      <c r="D408" s="227"/>
      <c r="E408" s="231"/>
      <c r="F408" s="232"/>
      <c r="G408" s="227"/>
      <c r="H408" s="227"/>
      <c r="I408" s="227"/>
      <c r="J408" s="227"/>
      <c r="K408" s="227"/>
      <c r="L408" s="232"/>
      <c r="M408" s="232"/>
      <c r="N408" s="227"/>
      <c r="O408" s="227"/>
      <c r="P408" s="231"/>
      <c r="Q408" s="227"/>
      <c r="R408" s="231"/>
      <c r="S408" s="231"/>
      <c r="T408" s="231"/>
      <c r="U408" s="231"/>
      <c r="V408" s="231"/>
      <c r="W408" s="231"/>
      <c r="X408" s="227"/>
      <c r="Y408" s="232"/>
      <c r="Z408" s="232"/>
      <c r="AA408" s="232"/>
      <c r="AB408" s="232"/>
      <c r="AC408" s="227"/>
      <c r="AD408" s="227"/>
      <c r="AE408" s="231"/>
      <c r="AF408" s="227"/>
      <c r="AG408" s="232"/>
      <c r="AH408" s="232"/>
      <c r="AI408" s="232"/>
      <c r="AJ408" s="232"/>
      <c r="AK408" s="232"/>
      <c r="AL408" s="232"/>
      <c r="AM408" s="232"/>
      <c r="AN408" s="232"/>
      <c r="AO408" s="231"/>
      <c r="AP408" s="231"/>
      <c r="AQ408" s="227"/>
      <c r="AR408" s="231"/>
      <c r="AS408" s="227"/>
      <c r="AT408" s="227"/>
      <c r="AU408" s="227"/>
      <c r="AV408" s="227"/>
    </row>
    <row r="409">
      <c r="A409" s="227"/>
      <c r="B409" s="232"/>
      <c r="C409" s="227"/>
      <c r="D409" s="227"/>
      <c r="E409" s="231"/>
      <c r="F409" s="232"/>
      <c r="G409" s="227"/>
      <c r="H409" s="227"/>
      <c r="I409" s="227"/>
      <c r="J409" s="227"/>
      <c r="K409" s="227"/>
      <c r="L409" s="232"/>
      <c r="M409" s="232"/>
      <c r="N409" s="227"/>
      <c r="O409" s="227"/>
      <c r="P409" s="231"/>
      <c r="Q409" s="227"/>
      <c r="R409" s="231"/>
      <c r="S409" s="231"/>
      <c r="T409" s="231"/>
      <c r="U409" s="231"/>
      <c r="V409" s="231"/>
      <c r="W409" s="231"/>
      <c r="X409" s="227"/>
      <c r="Y409" s="232"/>
      <c r="Z409" s="232"/>
      <c r="AA409" s="232"/>
      <c r="AB409" s="232"/>
      <c r="AC409" s="227"/>
      <c r="AD409" s="227"/>
      <c r="AE409" s="231"/>
      <c r="AF409" s="227"/>
      <c r="AG409" s="232"/>
      <c r="AH409" s="232"/>
      <c r="AI409" s="232"/>
      <c r="AJ409" s="232"/>
      <c r="AK409" s="232"/>
      <c r="AL409" s="232"/>
      <c r="AM409" s="232"/>
      <c r="AN409" s="232"/>
      <c r="AO409" s="231"/>
      <c r="AP409" s="231"/>
      <c r="AQ409" s="227"/>
      <c r="AR409" s="231"/>
      <c r="AS409" s="227"/>
      <c r="AT409" s="227"/>
      <c r="AU409" s="227"/>
      <c r="AV409" s="227"/>
    </row>
    <row r="410">
      <c r="A410" s="227"/>
      <c r="B410" s="232"/>
      <c r="C410" s="227"/>
      <c r="D410" s="227"/>
      <c r="E410" s="231"/>
      <c r="F410" s="232"/>
      <c r="G410" s="227"/>
      <c r="H410" s="227"/>
      <c r="I410" s="227"/>
      <c r="J410" s="227"/>
      <c r="K410" s="227"/>
      <c r="L410" s="232"/>
      <c r="M410" s="232"/>
      <c r="N410" s="227"/>
      <c r="O410" s="227"/>
      <c r="P410" s="231"/>
      <c r="Q410" s="227"/>
      <c r="R410" s="231"/>
      <c r="S410" s="231"/>
      <c r="T410" s="231"/>
      <c r="U410" s="231"/>
      <c r="V410" s="231"/>
      <c r="W410" s="231"/>
      <c r="X410" s="227"/>
      <c r="Y410" s="232"/>
      <c r="Z410" s="232"/>
      <c r="AA410" s="232"/>
      <c r="AB410" s="232"/>
      <c r="AC410" s="227"/>
      <c r="AD410" s="227"/>
      <c r="AE410" s="231"/>
      <c r="AF410" s="227"/>
      <c r="AG410" s="232"/>
      <c r="AH410" s="232"/>
      <c r="AI410" s="232"/>
      <c r="AJ410" s="232"/>
      <c r="AK410" s="232"/>
      <c r="AL410" s="232"/>
      <c r="AM410" s="232"/>
      <c r="AN410" s="232"/>
      <c r="AO410" s="231"/>
      <c r="AP410" s="231"/>
      <c r="AQ410" s="227"/>
      <c r="AR410" s="231"/>
      <c r="AS410" s="227"/>
      <c r="AT410" s="227"/>
      <c r="AU410" s="227"/>
      <c r="AV410" s="227"/>
    </row>
    <row r="411">
      <c r="A411" s="227"/>
      <c r="B411" s="232"/>
      <c r="C411" s="227"/>
      <c r="D411" s="227"/>
      <c r="E411" s="231"/>
      <c r="F411" s="232"/>
      <c r="G411" s="227"/>
      <c r="H411" s="227"/>
      <c r="I411" s="227"/>
      <c r="J411" s="227"/>
      <c r="K411" s="227"/>
      <c r="L411" s="232"/>
      <c r="M411" s="232"/>
      <c r="N411" s="227"/>
      <c r="O411" s="227"/>
      <c r="P411" s="231"/>
      <c r="Q411" s="227"/>
      <c r="R411" s="231"/>
      <c r="S411" s="231"/>
      <c r="T411" s="231"/>
      <c r="U411" s="231"/>
      <c r="V411" s="231"/>
      <c r="W411" s="231"/>
      <c r="X411" s="227"/>
      <c r="Y411" s="232"/>
      <c r="Z411" s="232"/>
      <c r="AA411" s="232"/>
      <c r="AB411" s="232"/>
      <c r="AC411" s="227"/>
      <c r="AD411" s="227"/>
      <c r="AE411" s="231"/>
      <c r="AF411" s="227"/>
      <c r="AG411" s="232"/>
      <c r="AH411" s="232"/>
      <c r="AI411" s="232"/>
      <c r="AJ411" s="232"/>
      <c r="AK411" s="232"/>
      <c r="AL411" s="232"/>
      <c r="AM411" s="232"/>
      <c r="AN411" s="232"/>
      <c r="AO411" s="231"/>
      <c r="AP411" s="231"/>
      <c r="AQ411" s="227"/>
      <c r="AR411" s="231"/>
      <c r="AS411" s="227"/>
      <c r="AT411" s="227"/>
      <c r="AU411" s="227"/>
      <c r="AV411" s="227"/>
    </row>
    <row r="412">
      <c r="A412" s="227"/>
      <c r="B412" s="232"/>
      <c r="C412" s="227"/>
      <c r="D412" s="227"/>
      <c r="E412" s="231"/>
      <c r="F412" s="232"/>
      <c r="G412" s="227"/>
      <c r="H412" s="227"/>
      <c r="I412" s="227"/>
      <c r="J412" s="227"/>
      <c r="K412" s="227"/>
      <c r="L412" s="232"/>
      <c r="M412" s="232"/>
      <c r="N412" s="227"/>
      <c r="O412" s="227"/>
      <c r="P412" s="231"/>
      <c r="Q412" s="227"/>
      <c r="R412" s="231"/>
      <c r="S412" s="231"/>
      <c r="T412" s="231"/>
      <c r="U412" s="231"/>
      <c r="V412" s="231"/>
      <c r="W412" s="231"/>
      <c r="X412" s="227"/>
      <c r="Y412" s="232"/>
      <c r="Z412" s="232"/>
      <c r="AA412" s="232"/>
      <c r="AB412" s="232"/>
      <c r="AC412" s="227"/>
      <c r="AD412" s="227"/>
      <c r="AE412" s="231"/>
      <c r="AF412" s="227"/>
      <c r="AG412" s="232"/>
      <c r="AH412" s="232"/>
      <c r="AI412" s="232"/>
      <c r="AJ412" s="232"/>
      <c r="AK412" s="232"/>
      <c r="AL412" s="232"/>
      <c r="AM412" s="232"/>
      <c r="AN412" s="232"/>
      <c r="AO412" s="231"/>
      <c r="AP412" s="231"/>
      <c r="AQ412" s="227"/>
      <c r="AR412" s="231"/>
      <c r="AS412" s="227"/>
      <c r="AT412" s="227"/>
      <c r="AU412" s="227"/>
      <c r="AV412" s="227"/>
    </row>
    <row r="413">
      <c r="A413" s="227"/>
      <c r="B413" s="232"/>
      <c r="C413" s="227"/>
      <c r="D413" s="227"/>
      <c r="E413" s="231"/>
      <c r="F413" s="232"/>
      <c r="G413" s="227"/>
      <c r="H413" s="227"/>
      <c r="I413" s="227"/>
      <c r="J413" s="227"/>
      <c r="K413" s="227"/>
      <c r="L413" s="232"/>
      <c r="M413" s="232"/>
      <c r="N413" s="227"/>
      <c r="O413" s="227"/>
      <c r="P413" s="231"/>
      <c r="Q413" s="227"/>
      <c r="R413" s="231"/>
      <c r="S413" s="231"/>
      <c r="T413" s="231"/>
      <c r="U413" s="231"/>
      <c r="V413" s="231"/>
      <c r="W413" s="231"/>
      <c r="X413" s="227"/>
      <c r="Y413" s="232"/>
      <c r="Z413" s="232"/>
      <c r="AA413" s="232"/>
      <c r="AB413" s="232"/>
      <c r="AC413" s="227"/>
      <c r="AD413" s="227"/>
      <c r="AE413" s="231"/>
      <c r="AF413" s="227"/>
      <c r="AG413" s="232"/>
      <c r="AH413" s="232"/>
      <c r="AI413" s="232"/>
      <c r="AJ413" s="232"/>
      <c r="AK413" s="232"/>
      <c r="AL413" s="232"/>
      <c r="AM413" s="232"/>
      <c r="AN413" s="232"/>
      <c r="AO413" s="231"/>
      <c r="AP413" s="231"/>
      <c r="AQ413" s="227"/>
      <c r="AR413" s="231"/>
      <c r="AS413" s="227"/>
      <c r="AT413" s="227"/>
      <c r="AU413" s="227"/>
      <c r="AV413" s="227"/>
    </row>
    <row r="414">
      <c r="A414" s="227"/>
      <c r="B414" s="232"/>
      <c r="C414" s="227"/>
      <c r="D414" s="227"/>
      <c r="E414" s="231"/>
      <c r="F414" s="232"/>
      <c r="G414" s="227"/>
      <c r="H414" s="227"/>
      <c r="I414" s="227"/>
      <c r="J414" s="227"/>
      <c r="K414" s="227"/>
      <c r="L414" s="232"/>
      <c r="M414" s="232"/>
      <c r="N414" s="227"/>
      <c r="O414" s="227"/>
      <c r="P414" s="231"/>
      <c r="Q414" s="227"/>
      <c r="R414" s="231"/>
      <c r="S414" s="231"/>
      <c r="T414" s="231"/>
      <c r="U414" s="231"/>
      <c r="V414" s="231"/>
      <c r="W414" s="231"/>
      <c r="X414" s="227"/>
      <c r="Y414" s="232"/>
      <c r="Z414" s="232"/>
      <c r="AA414" s="232"/>
      <c r="AB414" s="232"/>
      <c r="AC414" s="227"/>
      <c r="AD414" s="227"/>
      <c r="AE414" s="231"/>
      <c r="AF414" s="227"/>
      <c r="AG414" s="232"/>
      <c r="AH414" s="232"/>
      <c r="AI414" s="232"/>
      <c r="AJ414" s="232"/>
      <c r="AK414" s="232"/>
      <c r="AL414" s="232"/>
      <c r="AM414" s="232"/>
      <c r="AN414" s="232"/>
      <c r="AO414" s="231"/>
      <c r="AP414" s="231"/>
      <c r="AQ414" s="227"/>
      <c r="AR414" s="231"/>
      <c r="AS414" s="227"/>
      <c r="AT414" s="227"/>
      <c r="AU414" s="227"/>
      <c r="AV414" s="227"/>
    </row>
    <row r="415">
      <c r="A415" s="227"/>
      <c r="B415" s="232"/>
      <c r="C415" s="227"/>
      <c r="D415" s="227"/>
      <c r="E415" s="231"/>
      <c r="F415" s="232"/>
      <c r="G415" s="227"/>
      <c r="H415" s="227"/>
      <c r="I415" s="227"/>
      <c r="J415" s="227"/>
      <c r="K415" s="227"/>
      <c r="L415" s="232"/>
      <c r="M415" s="232"/>
      <c r="N415" s="227"/>
      <c r="O415" s="227"/>
      <c r="P415" s="231"/>
      <c r="Q415" s="227"/>
      <c r="R415" s="231"/>
      <c r="S415" s="231"/>
      <c r="T415" s="231"/>
      <c r="U415" s="231"/>
      <c r="V415" s="231"/>
      <c r="W415" s="231"/>
      <c r="X415" s="227"/>
      <c r="Y415" s="232"/>
      <c r="Z415" s="232"/>
      <c r="AA415" s="232"/>
      <c r="AB415" s="232"/>
      <c r="AC415" s="227"/>
      <c r="AD415" s="227"/>
      <c r="AE415" s="231"/>
      <c r="AF415" s="227"/>
      <c r="AG415" s="232"/>
      <c r="AH415" s="232"/>
      <c r="AI415" s="232"/>
      <c r="AJ415" s="232"/>
      <c r="AK415" s="232"/>
      <c r="AL415" s="232"/>
      <c r="AM415" s="232"/>
      <c r="AN415" s="232"/>
      <c r="AO415" s="231"/>
      <c r="AP415" s="231"/>
      <c r="AQ415" s="227"/>
      <c r="AR415" s="231"/>
      <c r="AS415" s="227"/>
      <c r="AT415" s="227"/>
      <c r="AU415" s="227"/>
      <c r="AV415" s="227"/>
    </row>
    <row r="416">
      <c r="A416" s="227"/>
      <c r="B416" s="232"/>
      <c r="C416" s="227"/>
      <c r="D416" s="227"/>
      <c r="E416" s="231"/>
      <c r="F416" s="232"/>
      <c r="G416" s="227"/>
      <c r="H416" s="227"/>
      <c r="I416" s="227"/>
      <c r="J416" s="227"/>
      <c r="K416" s="227"/>
      <c r="L416" s="232"/>
      <c r="M416" s="232"/>
      <c r="N416" s="227"/>
      <c r="O416" s="227"/>
      <c r="P416" s="231"/>
      <c r="Q416" s="227"/>
      <c r="R416" s="231"/>
      <c r="S416" s="231"/>
      <c r="T416" s="231"/>
      <c r="U416" s="231"/>
      <c r="V416" s="231"/>
      <c r="W416" s="231"/>
      <c r="X416" s="227"/>
      <c r="Y416" s="232"/>
      <c r="Z416" s="232"/>
      <c r="AA416" s="232"/>
      <c r="AB416" s="232"/>
      <c r="AC416" s="227"/>
      <c r="AD416" s="227"/>
      <c r="AE416" s="231"/>
      <c r="AF416" s="227"/>
      <c r="AG416" s="232"/>
      <c r="AH416" s="232"/>
      <c r="AI416" s="232"/>
      <c r="AJ416" s="232"/>
      <c r="AK416" s="232"/>
      <c r="AL416" s="232"/>
      <c r="AM416" s="232"/>
      <c r="AN416" s="232"/>
      <c r="AO416" s="231"/>
      <c r="AP416" s="231"/>
      <c r="AQ416" s="227"/>
      <c r="AR416" s="231"/>
      <c r="AS416" s="227"/>
      <c r="AT416" s="227"/>
      <c r="AU416" s="227"/>
      <c r="AV416" s="227"/>
    </row>
    <row r="417">
      <c r="A417" s="227"/>
      <c r="B417" s="232"/>
      <c r="C417" s="227"/>
      <c r="D417" s="227"/>
      <c r="E417" s="231"/>
      <c r="F417" s="232"/>
      <c r="G417" s="227"/>
      <c r="H417" s="227"/>
      <c r="I417" s="227"/>
      <c r="J417" s="227"/>
      <c r="K417" s="227"/>
      <c r="L417" s="232"/>
      <c r="M417" s="232"/>
      <c r="N417" s="227"/>
      <c r="O417" s="227"/>
      <c r="P417" s="231"/>
      <c r="Q417" s="227"/>
      <c r="R417" s="231"/>
      <c r="S417" s="231"/>
      <c r="T417" s="231"/>
      <c r="U417" s="231"/>
      <c r="V417" s="231"/>
      <c r="W417" s="231"/>
      <c r="X417" s="227"/>
      <c r="Y417" s="232"/>
      <c r="Z417" s="232"/>
      <c r="AA417" s="232"/>
      <c r="AB417" s="232"/>
      <c r="AC417" s="227"/>
      <c r="AD417" s="227"/>
      <c r="AE417" s="231"/>
      <c r="AF417" s="227"/>
      <c r="AG417" s="232"/>
      <c r="AH417" s="232"/>
      <c r="AI417" s="232"/>
      <c r="AJ417" s="232"/>
      <c r="AK417" s="232"/>
      <c r="AL417" s="232"/>
      <c r="AM417" s="232"/>
      <c r="AN417" s="232"/>
      <c r="AO417" s="231"/>
      <c r="AP417" s="231"/>
      <c r="AQ417" s="227"/>
      <c r="AR417" s="231"/>
      <c r="AS417" s="227"/>
      <c r="AT417" s="227"/>
      <c r="AU417" s="227"/>
      <c r="AV417" s="227"/>
    </row>
    <row r="418">
      <c r="A418" s="227"/>
      <c r="B418" s="232"/>
      <c r="C418" s="227"/>
      <c r="D418" s="227"/>
      <c r="E418" s="231"/>
      <c r="F418" s="232"/>
      <c r="G418" s="227"/>
      <c r="H418" s="227"/>
      <c r="I418" s="227"/>
      <c r="J418" s="227"/>
      <c r="K418" s="227"/>
      <c r="L418" s="232"/>
      <c r="M418" s="232"/>
      <c r="N418" s="227"/>
      <c r="O418" s="227"/>
      <c r="P418" s="231"/>
      <c r="Q418" s="227"/>
      <c r="R418" s="231"/>
      <c r="S418" s="231"/>
      <c r="T418" s="231"/>
      <c r="U418" s="231"/>
      <c r="V418" s="231"/>
      <c r="W418" s="231"/>
      <c r="X418" s="227"/>
      <c r="Y418" s="232"/>
      <c r="Z418" s="232"/>
      <c r="AA418" s="232"/>
      <c r="AB418" s="232"/>
      <c r="AC418" s="227"/>
      <c r="AD418" s="227"/>
      <c r="AE418" s="231"/>
      <c r="AF418" s="227"/>
      <c r="AG418" s="232"/>
      <c r="AH418" s="232"/>
      <c r="AI418" s="232"/>
      <c r="AJ418" s="232"/>
      <c r="AK418" s="232"/>
      <c r="AL418" s="232"/>
      <c r="AM418" s="232"/>
      <c r="AN418" s="232"/>
      <c r="AO418" s="231"/>
      <c r="AP418" s="231"/>
      <c r="AQ418" s="227"/>
      <c r="AR418" s="231"/>
      <c r="AS418" s="227"/>
      <c r="AT418" s="227"/>
      <c r="AU418" s="227"/>
      <c r="AV418" s="227"/>
    </row>
    <row r="419">
      <c r="A419" s="227"/>
      <c r="B419" s="232"/>
      <c r="C419" s="227"/>
      <c r="D419" s="227"/>
      <c r="E419" s="231"/>
      <c r="F419" s="232"/>
      <c r="G419" s="227"/>
      <c r="H419" s="227"/>
      <c r="I419" s="227"/>
      <c r="J419" s="227"/>
      <c r="K419" s="227"/>
      <c r="L419" s="232"/>
      <c r="M419" s="232"/>
      <c r="N419" s="227"/>
      <c r="O419" s="227"/>
      <c r="P419" s="231"/>
      <c r="Q419" s="227"/>
      <c r="R419" s="231"/>
      <c r="S419" s="231"/>
      <c r="T419" s="231"/>
      <c r="U419" s="231"/>
      <c r="V419" s="231"/>
      <c r="W419" s="231"/>
      <c r="X419" s="227"/>
      <c r="Y419" s="232"/>
      <c r="Z419" s="232"/>
      <c r="AA419" s="232"/>
      <c r="AB419" s="232"/>
      <c r="AC419" s="227"/>
      <c r="AD419" s="227"/>
      <c r="AE419" s="231"/>
      <c r="AF419" s="227"/>
      <c r="AG419" s="232"/>
      <c r="AH419" s="232"/>
      <c r="AI419" s="232"/>
      <c r="AJ419" s="232"/>
      <c r="AK419" s="232"/>
      <c r="AL419" s="232"/>
      <c r="AM419" s="232"/>
      <c r="AN419" s="232"/>
      <c r="AO419" s="231"/>
      <c r="AP419" s="231"/>
      <c r="AQ419" s="227"/>
      <c r="AR419" s="231"/>
      <c r="AS419" s="227"/>
      <c r="AT419" s="227"/>
      <c r="AU419" s="227"/>
      <c r="AV419" s="227"/>
    </row>
    <row r="420">
      <c r="A420" s="227"/>
      <c r="B420" s="232"/>
      <c r="C420" s="227"/>
      <c r="D420" s="227"/>
      <c r="E420" s="231"/>
      <c r="F420" s="232"/>
      <c r="G420" s="227"/>
      <c r="H420" s="227"/>
      <c r="I420" s="227"/>
      <c r="J420" s="227"/>
      <c r="K420" s="227"/>
      <c r="L420" s="232"/>
      <c r="M420" s="232"/>
      <c r="N420" s="227"/>
      <c r="O420" s="227"/>
      <c r="P420" s="231"/>
      <c r="Q420" s="227"/>
      <c r="R420" s="231"/>
      <c r="S420" s="231"/>
      <c r="T420" s="231"/>
      <c r="U420" s="231"/>
      <c r="V420" s="231"/>
      <c r="W420" s="231"/>
      <c r="X420" s="227"/>
      <c r="Y420" s="232"/>
      <c r="Z420" s="232"/>
      <c r="AA420" s="232"/>
      <c r="AB420" s="232"/>
      <c r="AC420" s="227"/>
      <c r="AD420" s="227"/>
      <c r="AE420" s="231"/>
      <c r="AF420" s="227"/>
      <c r="AG420" s="232"/>
      <c r="AH420" s="232"/>
      <c r="AI420" s="232"/>
      <c r="AJ420" s="232"/>
      <c r="AK420" s="232"/>
      <c r="AL420" s="232"/>
      <c r="AM420" s="232"/>
      <c r="AN420" s="232"/>
      <c r="AO420" s="231"/>
      <c r="AP420" s="231"/>
      <c r="AQ420" s="227"/>
      <c r="AR420" s="231"/>
      <c r="AS420" s="227"/>
      <c r="AT420" s="227"/>
      <c r="AU420" s="227"/>
      <c r="AV420" s="227"/>
    </row>
    <row r="421">
      <c r="A421" s="227"/>
      <c r="B421" s="232"/>
      <c r="C421" s="227"/>
      <c r="D421" s="227"/>
      <c r="E421" s="231"/>
      <c r="F421" s="232"/>
      <c r="G421" s="227"/>
      <c r="H421" s="227"/>
      <c r="I421" s="227"/>
      <c r="J421" s="227"/>
      <c r="K421" s="227"/>
      <c r="L421" s="232"/>
      <c r="M421" s="232"/>
      <c r="N421" s="227"/>
      <c r="O421" s="227"/>
      <c r="P421" s="231"/>
      <c r="Q421" s="227"/>
      <c r="R421" s="231"/>
      <c r="S421" s="231"/>
      <c r="T421" s="231"/>
      <c r="U421" s="231"/>
      <c r="V421" s="231"/>
      <c r="W421" s="231"/>
      <c r="X421" s="227"/>
      <c r="Y421" s="232"/>
      <c r="Z421" s="232"/>
      <c r="AA421" s="232"/>
      <c r="AB421" s="232"/>
      <c r="AC421" s="227"/>
      <c r="AD421" s="227"/>
      <c r="AE421" s="231"/>
      <c r="AF421" s="227"/>
      <c r="AG421" s="232"/>
      <c r="AH421" s="232"/>
      <c r="AI421" s="232"/>
      <c r="AJ421" s="232"/>
      <c r="AK421" s="232"/>
      <c r="AL421" s="232"/>
      <c r="AM421" s="232"/>
      <c r="AN421" s="232"/>
      <c r="AO421" s="231"/>
      <c r="AP421" s="231"/>
      <c r="AQ421" s="227"/>
      <c r="AR421" s="231"/>
      <c r="AS421" s="227"/>
      <c r="AT421" s="227"/>
      <c r="AU421" s="227"/>
      <c r="AV421" s="227"/>
    </row>
    <row r="422">
      <c r="A422" s="227"/>
      <c r="B422" s="232"/>
      <c r="C422" s="227"/>
      <c r="D422" s="227"/>
      <c r="E422" s="231"/>
      <c r="F422" s="232"/>
      <c r="G422" s="227"/>
      <c r="H422" s="227"/>
      <c r="I422" s="227"/>
      <c r="J422" s="227"/>
      <c r="K422" s="227"/>
      <c r="L422" s="232"/>
      <c r="M422" s="232"/>
      <c r="N422" s="227"/>
      <c r="O422" s="227"/>
      <c r="P422" s="231"/>
      <c r="Q422" s="227"/>
      <c r="R422" s="231"/>
      <c r="S422" s="231"/>
      <c r="T422" s="231"/>
      <c r="U422" s="231"/>
      <c r="V422" s="231"/>
      <c r="W422" s="231"/>
      <c r="X422" s="227"/>
      <c r="Y422" s="232"/>
      <c r="Z422" s="232"/>
      <c r="AA422" s="232"/>
      <c r="AB422" s="232"/>
      <c r="AC422" s="227"/>
      <c r="AD422" s="227"/>
      <c r="AE422" s="231"/>
      <c r="AF422" s="227"/>
      <c r="AG422" s="232"/>
      <c r="AH422" s="232"/>
      <c r="AI422" s="232"/>
      <c r="AJ422" s="232"/>
      <c r="AK422" s="232"/>
      <c r="AL422" s="232"/>
      <c r="AM422" s="232"/>
      <c r="AN422" s="232"/>
      <c r="AO422" s="231"/>
      <c r="AP422" s="231"/>
      <c r="AQ422" s="227"/>
      <c r="AR422" s="231"/>
      <c r="AS422" s="227"/>
      <c r="AT422" s="227"/>
      <c r="AU422" s="227"/>
      <c r="AV422" s="227"/>
    </row>
    <row r="423">
      <c r="A423" s="227"/>
      <c r="B423" s="232"/>
      <c r="C423" s="227"/>
      <c r="D423" s="227"/>
      <c r="E423" s="231"/>
      <c r="F423" s="232"/>
      <c r="G423" s="227"/>
      <c r="H423" s="227"/>
      <c r="I423" s="227"/>
      <c r="J423" s="227"/>
      <c r="K423" s="227"/>
      <c r="L423" s="232"/>
      <c r="M423" s="232"/>
      <c r="N423" s="227"/>
      <c r="O423" s="227"/>
      <c r="P423" s="231"/>
      <c r="Q423" s="227"/>
      <c r="R423" s="231"/>
      <c r="S423" s="231"/>
      <c r="T423" s="231"/>
      <c r="U423" s="231"/>
      <c r="V423" s="231"/>
      <c r="W423" s="231"/>
      <c r="X423" s="227"/>
      <c r="Y423" s="232"/>
      <c r="Z423" s="232"/>
      <c r="AA423" s="232"/>
      <c r="AB423" s="232"/>
      <c r="AC423" s="227"/>
      <c r="AD423" s="227"/>
      <c r="AE423" s="231"/>
      <c r="AF423" s="227"/>
      <c r="AG423" s="232"/>
      <c r="AH423" s="232"/>
      <c r="AI423" s="232"/>
      <c r="AJ423" s="232"/>
      <c r="AK423" s="232"/>
      <c r="AL423" s="232"/>
      <c r="AM423" s="232"/>
      <c r="AN423" s="232"/>
      <c r="AO423" s="231"/>
      <c r="AP423" s="231"/>
      <c r="AQ423" s="227"/>
      <c r="AR423" s="231"/>
      <c r="AS423" s="227"/>
      <c r="AT423" s="227"/>
      <c r="AU423" s="227"/>
      <c r="AV423" s="227"/>
    </row>
    <row r="424">
      <c r="A424" s="227"/>
      <c r="B424" s="232"/>
      <c r="C424" s="227"/>
      <c r="D424" s="227"/>
      <c r="E424" s="231"/>
      <c r="F424" s="232"/>
      <c r="G424" s="227"/>
      <c r="H424" s="227"/>
      <c r="I424" s="227"/>
      <c r="J424" s="227"/>
      <c r="K424" s="227"/>
      <c r="L424" s="232"/>
      <c r="M424" s="232"/>
      <c r="N424" s="227"/>
      <c r="O424" s="227"/>
      <c r="P424" s="231"/>
      <c r="Q424" s="227"/>
      <c r="R424" s="231"/>
      <c r="S424" s="231"/>
      <c r="T424" s="231"/>
      <c r="U424" s="231"/>
      <c r="V424" s="231"/>
      <c r="W424" s="231"/>
      <c r="X424" s="227"/>
      <c r="Y424" s="232"/>
      <c r="Z424" s="232"/>
      <c r="AA424" s="232"/>
      <c r="AB424" s="232"/>
      <c r="AC424" s="227"/>
      <c r="AD424" s="227"/>
      <c r="AE424" s="231"/>
      <c r="AF424" s="227"/>
      <c r="AG424" s="232"/>
      <c r="AH424" s="232"/>
      <c r="AI424" s="232"/>
      <c r="AJ424" s="232"/>
      <c r="AK424" s="232"/>
      <c r="AL424" s="232"/>
      <c r="AM424" s="232"/>
      <c r="AN424" s="232"/>
      <c r="AO424" s="231"/>
      <c r="AP424" s="231"/>
      <c r="AQ424" s="227"/>
      <c r="AR424" s="231"/>
      <c r="AS424" s="227"/>
      <c r="AT424" s="227"/>
      <c r="AU424" s="227"/>
      <c r="AV424" s="227"/>
    </row>
    <row r="425">
      <c r="A425" s="227"/>
      <c r="B425" s="232"/>
      <c r="C425" s="227"/>
      <c r="D425" s="227"/>
      <c r="E425" s="231"/>
      <c r="F425" s="232"/>
      <c r="G425" s="227"/>
      <c r="H425" s="227"/>
      <c r="I425" s="227"/>
      <c r="J425" s="227"/>
      <c r="K425" s="227"/>
      <c r="L425" s="232"/>
      <c r="M425" s="232"/>
      <c r="N425" s="227"/>
      <c r="O425" s="227"/>
      <c r="P425" s="231"/>
      <c r="Q425" s="227"/>
      <c r="R425" s="231"/>
      <c r="S425" s="231"/>
      <c r="T425" s="231"/>
      <c r="U425" s="231"/>
      <c r="V425" s="231"/>
      <c r="W425" s="231"/>
      <c r="X425" s="227"/>
      <c r="Y425" s="232"/>
      <c r="Z425" s="232"/>
      <c r="AA425" s="232"/>
      <c r="AB425" s="232"/>
      <c r="AC425" s="227"/>
      <c r="AD425" s="227"/>
      <c r="AE425" s="231"/>
      <c r="AF425" s="227"/>
      <c r="AG425" s="232"/>
      <c r="AH425" s="232"/>
      <c r="AI425" s="232"/>
      <c r="AJ425" s="232"/>
      <c r="AK425" s="232"/>
      <c r="AL425" s="232"/>
      <c r="AM425" s="232"/>
      <c r="AN425" s="232"/>
      <c r="AO425" s="231"/>
      <c r="AP425" s="231"/>
      <c r="AQ425" s="227"/>
      <c r="AR425" s="231"/>
      <c r="AS425" s="227"/>
      <c r="AT425" s="227"/>
      <c r="AU425" s="227"/>
      <c r="AV425" s="227"/>
    </row>
    <row r="426">
      <c r="A426" s="227"/>
      <c r="B426" s="232"/>
      <c r="C426" s="227"/>
      <c r="D426" s="227"/>
      <c r="E426" s="231"/>
      <c r="F426" s="232"/>
      <c r="G426" s="227"/>
      <c r="H426" s="227"/>
      <c r="I426" s="227"/>
      <c r="J426" s="227"/>
      <c r="K426" s="227"/>
      <c r="L426" s="232"/>
      <c r="M426" s="232"/>
      <c r="N426" s="227"/>
      <c r="O426" s="227"/>
      <c r="P426" s="231"/>
      <c r="Q426" s="227"/>
      <c r="R426" s="231"/>
      <c r="S426" s="231"/>
      <c r="T426" s="231"/>
      <c r="U426" s="231"/>
      <c r="V426" s="231"/>
      <c r="W426" s="231"/>
      <c r="X426" s="227"/>
      <c r="Y426" s="232"/>
      <c r="Z426" s="232"/>
      <c r="AA426" s="232"/>
      <c r="AB426" s="232"/>
      <c r="AC426" s="227"/>
      <c r="AD426" s="227"/>
      <c r="AE426" s="231"/>
      <c r="AF426" s="227"/>
      <c r="AG426" s="232"/>
      <c r="AH426" s="232"/>
      <c r="AI426" s="232"/>
      <c r="AJ426" s="232"/>
      <c r="AK426" s="232"/>
      <c r="AL426" s="232"/>
      <c r="AM426" s="232"/>
      <c r="AN426" s="232"/>
      <c r="AO426" s="231"/>
      <c r="AP426" s="231"/>
      <c r="AQ426" s="227"/>
      <c r="AR426" s="231"/>
      <c r="AS426" s="227"/>
      <c r="AT426" s="227"/>
      <c r="AU426" s="227"/>
      <c r="AV426" s="227"/>
    </row>
    <row r="427">
      <c r="A427" s="227"/>
      <c r="B427" s="232"/>
      <c r="C427" s="227"/>
      <c r="D427" s="227"/>
      <c r="E427" s="231"/>
      <c r="F427" s="232"/>
      <c r="G427" s="227"/>
      <c r="H427" s="227"/>
      <c r="I427" s="227"/>
      <c r="J427" s="227"/>
      <c r="K427" s="227"/>
      <c r="L427" s="232"/>
      <c r="M427" s="232"/>
      <c r="N427" s="227"/>
      <c r="O427" s="227"/>
      <c r="P427" s="231"/>
      <c r="Q427" s="227"/>
      <c r="R427" s="231"/>
      <c r="S427" s="231"/>
      <c r="T427" s="231"/>
      <c r="U427" s="231"/>
      <c r="V427" s="231"/>
      <c r="W427" s="231"/>
      <c r="X427" s="227"/>
      <c r="Y427" s="232"/>
      <c r="Z427" s="232"/>
      <c r="AA427" s="232"/>
      <c r="AB427" s="232"/>
      <c r="AC427" s="227"/>
      <c r="AD427" s="227"/>
      <c r="AE427" s="231"/>
      <c r="AF427" s="227"/>
      <c r="AG427" s="232"/>
      <c r="AH427" s="232"/>
      <c r="AI427" s="232"/>
      <c r="AJ427" s="232"/>
      <c r="AK427" s="232"/>
      <c r="AL427" s="232"/>
      <c r="AM427" s="232"/>
      <c r="AN427" s="232"/>
      <c r="AO427" s="231"/>
      <c r="AP427" s="231"/>
      <c r="AQ427" s="227"/>
      <c r="AR427" s="231"/>
      <c r="AS427" s="227"/>
      <c r="AT427" s="227"/>
      <c r="AU427" s="227"/>
      <c r="AV427" s="227"/>
    </row>
    <row r="428">
      <c r="A428" s="227"/>
      <c r="B428" s="232"/>
      <c r="C428" s="227"/>
      <c r="D428" s="227"/>
      <c r="E428" s="231"/>
      <c r="F428" s="232"/>
      <c r="G428" s="227"/>
      <c r="H428" s="227"/>
      <c r="I428" s="227"/>
      <c r="J428" s="227"/>
      <c r="K428" s="227"/>
      <c r="L428" s="232"/>
      <c r="M428" s="232"/>
      <c r="N428" s="227"/>
      <c r="O428" s="227"/>
      <c r="P428" s="231"/>
      <c r="Q428" s="227"/>
      <c r="R428" s="231"/>
      <c r="S428" s="231"/>
      <c r="T428" s="231"/>
      <c r="U428" s="231"/>
      <c r="V428" s="231"/>
      <c r="W428" s="231"/>
      <c r="X428" s="227"/>
      <c r="Y428" s="232"/>
      <c r="Z428" s="232"/>
      <c r="AA428" s="232"/>
      <c r="AB428" s="232"/>
      <c r="AC428" s="227"/>
      <c r="AD428" s="227"/>
      <c r="AE428" s="231"/>
      <c r="AF428" s="227"/>
      <c r="AG428" s="232"/>
      <c r="AH428" s="232"/>
      <c r="AI428" s="232"/>
      <c r="AJ428" s="232"/>
      <c r="AK428" s="232"/>
      <c r="AL428" s="232"/>
      <c r="AM428" s="232"/>
      <c r="AN428" s="232"/>
      <c r="AO428" s="231"/>
      <c r="AP428" s="231"/>
      <c r="AQ428" s="227"/>
      <c r="AR428" s="231"/>
      <c r="AS428" s="227"/>
      <c r="AT428" s="227"/>
      <c r="AU428" s="227"/>
      <c r="AV428" s="227"/>
    </row>
    <row r="429">
      <c r="A429" s="227"/>
      <c r="B429" s="232"/>
      <c r="C429" s="227"/>
      <c r="D429" s="227"/>
      <c r="E429" s="231"/>
      <c r="F429" s="232"/>
      <c r="G429" s="227"/>
      <c r="H429" s="227"/>
      <c r="I429" s="227"/>
      <c r="J429" s="227"/>
      <c r="K429" s="227"/>
      <c r="L429" s="232"/>
      <c r="M429" s="232"/>
      <c r="N429" s="227"/>
      <c r="O429" s="227"/>
      <c r="P429" s="231"/>
      <c r="Q429" s="227"/>
      <c r="R429" s="231"/>
      <c r="S429" s="231"/>
      <c r="T429" s="231"/>
      <c r="U429" s="231"/>
      <c r="V429" s="231"/>
      <c r="W429" s="231"/>
      <c r="X429" s="227"/>
      <c r="Y429" s="232"/>
      <c r="Z429" s="232"/>
      <c r="AA429" s="232"/>
      <c r="AB429" s="232"/>
      <c r="AC429" s="227"/>
      <c r="AD429" s="227"/>
      <c r="AE429" s="231"/>
      <c r="AF429" s="227"/>
      <c r="AG429" s="232"/>
      <c r="AH429" s="232"/>
      <c r="AI429" s="232"/>
      <c r="AJ429" s="232"/>
      <c r="AK429" s="232"/>
      <c r="AL429" s="232"/>
      <c r="AM429" s="232"/>
      <c r="AN429" s="232"/>
      <c r="AO429" s="231"/>
      <c r="AP429" s="231"/>
      <c r="AQ429" s="227"/>
      <c r="AR429" s="231"/>
      <c r="AS429" s="227"/>
      <c r="AT429" s="227"/>
      <c r="AU429" s="227"/>
      <c r="AV429" s="227"/>
    </row>
    <row r="430">
      <c r="A430" s="227"/>
      <c r="B430" s="232"/>
      <c r="C430" s="227"/>
      <c r="D430" s="227"/>
      <c r="E430" s="231"/>
      <c r="F430" s="232"/>
      <c r="G430" s="227"/>
      <c r="H430" s="227"/>
      <c r="I430" s="227"/>
      <c r="J430" s="227"/>
      <c r="K430" s="227"/>
      <c r="L430" s="232"/>
      <c r="M430" s="232"/>
      <c r="N430" s="227"/>
      <c r="O430" s="227"/>
      <c r="P430" s="231"/>
      <c r="Q430" s="227"/>
      <c r="R430" s="231"/>
      <c r="S430" s="231"/>
      <c r="T430" s="231"/>
      <c r="U430" s="231"/>
      <c r="V430" s="231"/>
      <c r="W430" s="231"/>
      <c r="X430" s="227"/>
      <c r="Y430" s="232"/>
      <c r="Z430" s="232"/>
      <c r="AA430" s="232"/>
      <c r="AB430" s="232"/>
      <c r="AC430" s="227"/>
      <c r="AD430" s="227"/>
      <c r="AE430" s="231"/>
      <c r="AF430" s="227"/>
      <c r="AG430" s="232"/>
      <c r="AH430" s="232"/>
      <c r="AI430" s="232"/>
      <c r="AJ430" s="232"/>
      <c r="AK430" s="232"/>
      <c r="AL430" s="232"/>
      <c r="AM430" s="232"/>
      <c r="AN430" s="232"/>
      <c r="AO430" s="231"/>
      <c r="AP430" s="231"/>
      <c r="AQ430" s="227"/>
      <c r="AR430" s="231"/>
      <c r="AS430" s="227"/>
      <c r="AT430" s="227"/>
      <c r="AU430" s="227"/>
      <c r="AV430" s="227"/>
    </row>
    <row r="431">
      <c r="A431" s="227"/>
      <c r="B431" s="232"/>
      <c r="C431" s="227"/>
      <c r="D431" s="227"/>
      <c r="E431" s="231"/>
      <c r="F431" s="232"/>
      <c r="G431" s="227"/>
      <c r="H431" s="227"/>
      <c r="I431" s="227"/>
      <c r="J431" s="227"/>
      <c r="K431" s="227"/>
      <c r="L431" s="232"/>
      <c r="M431" s="232"/>
      <c r="N431" s="227"/>
      <c r="O431" s="227"/>
      <c r="P431" s="231"/>
      <c r="Q431" s="227"/>
      <c r="R431" s="231"/>
      <c r="S431" s="231"/>
      <c r="T431" s="231"/>
      <c r="U431" s="231"/>
      <c r="V431" s="231"/>
      <c r="W431" s="231"/>
      <c r="X431" s="227"/>
      <c r="Y431" s="232"/>
      <c r="Z431" s="232"/>
      <c r="AA431" s="232"/>
      <c r="AB431" s="232"/>
      <c r="AC431" s="227"/>
      <c r="AD431" s="227"/>
      <c r="AE431" s="231"/>
      <c r="AF431" s="227"/>
      <c r="AG431" s="232"/>
      <c r="AH431" s="232"/>
      <c r="AI431" s="232"/>
      <c r="AJ431" s="232"/>
      <c r="AK431" s="232"/>
      <c r="AL431" s="232"/>
      <c r="AM431" s="232"/>
      <c r="AN431" s="232"/>
      <c r="AO431" s="231"/>
      <c r="AP431" s="231"/>
      <c r="AQ431" s="227"/>
      <c r="AR431" s="231"/>
      <c r="AS431" s="227"/>
      <c r="AT431" s="227"/>
      <c r="AU431" s="227"/>
      <c r="AV431" s="227"/>
    </row>
    <row r="432">
      <c r="A432" s="227"/>
      <c r="B432" s="232"/>
      <c r="C432" s="227"/>
      <c r="D432" s="227"/>
      <c r="E432" s="231"/>
      <c r="F432" s="232"/>
      <c r="G432" s="227"/>
      <c r="H432" s="227"/>
      <c r="I432" s="227"/>
      <c r="J432" s="227"/>
      <c r="K432" s="227"/>
      <c r="L432" s="232"/>
      <c r="M432" s="232"/>
      <c r="N432" s="227"/>
      <c r="O432" s="227"/>
      <c r="P432" s="231"/>
      <c r="Q432" s="227"/>
      <c r="R432" s="231"/>
      <c r="S432" s="231"/>
      <c r="T432" s="231"/>
      <c r="U432" s="231"/>
      <c r="V432" s="231"/>
      <c r="W432" s="231"/>
      <c r="X432" s="227"/>
      <c r="Y432" s="232"/>
      <c r="Z432" s="232"/>
      <c r="AA432" s="232"/>
      <c r="AB432" s="232"/>
      <c r="AC432" s="227"/>
      <c r="AD432" s="227"/>
      <c r="AE432" s="231"/>
      <c r="AF432" s="227"/>
      <c r="AG432" s="232"/>
      <c r="AH432" s="232"/>
      <c r="AI432" s="232"/>
      <c r="AJ432" s="232"/>
      <c r="AK432" s="232"/>
      <c r="AL432" s="232"/>
      <c r="AM432" s="232"/>
      <c r="AN432" s="232"/>
      <c r="AO432" s="231"/>
      <c r="AP432" s="231"/>
      <c r="AQ432" s="227"/>
      <c r="AR432" s="231"/>
      <c r="AS432" s="227"/>
      <c r="AT432" s="227"/>
      <c r="AU432" s="227"/>
      <c r="AV432" s="227"/>
    </row>
    <row r="433">
      <c r="A433" s="227"/>
      <c r="B433" s="232"/>
      <c r="C433" s="227"/>
      <c r="D433" s="227"/>
      <c r="E433" s="231"/>
      <c r="F433" s="232"/>
      <c r="G433" s="227"/>
      <c r="H433" s="227"/>
      <c r="I433" s="227"/>
      <c r="J433" s="227"/>
      <c r="K433" s="227"/>
      <c r="L433" s="232"/>
      <c r="M433" s="232"/>
      <c r="N433" s="227"/>
      <c r="O433" s="227"/>
      <c r="P433" s="231"/>
      <c r="Q433" s="227"/>
      <c r="R433" s="231"/>
      <c r="S433" s="231"/>
      <c r="T433" s="231"/>
      <c r="U433" s="231"/>
      <c r="V433" s="231"/>
      <c r="W433" s="231"/>
      <c r="X433" s="227"/>
      <c r="Y433" s="232"/>
      <c r="Z433" s="232"/>
      <c r="AA433" s="232"/>
      <c r="AB433" s="232"/>
      <c r="AC433" s="227"/>
      <c r="AD433" s="227"/>
      <c r="AE433" s="231"/>
      <c r="AF433" s="227"/>
      <c r="AG433" s="232"/>
      <c r="AH433" s="232"/>
      <c r="AI433" s="232"/>
      <c r="AJ433" s="232"/>
      <c r="AK433" s="232"/>
      <c r="AL433" s="232"/>
      <c r="AM433" s="232"/>
      <c r="AN433" s="232"/>
      <c r="AO433" s="231"/>
      <c r="AP433" s="231"/>
      <c r="AQ433" s="227"/>
      <c r="AR433" s="231"/>
      <c r="AS433" s="227"/>
      <c r="AT433" s="227"/>
      <c r="AU433" s="227"/>
      <c r="AV433" s="227"/>
    </row>
    <row r="434">
      <c r="A434" s="227"/>
      <c r="B434" s="232"/>
      <c r="C434" s="227"/>
      <c r="D434" s="227"/>
      <c r="E434" s="231"/>
      <c r="F434" s="232"/>
      <c r="G434" s="227"/>
      <c r="H434" s="227"/>
      <c r="I434" s="227"/>
      <c r="J434" s="227"/>
      <c r="K434" s="227"/>
      <c r="L434" s="232"/>
      <c r="M434" s="232"/>
      <c r="N434" s="227"/>
      <c r="O434" s="227"/>
      <c r="P434" s="231"/>
      <c r="Q434" s="227"/>
      <c r="R434" s="231"/>
      <c r="S434" s="231"/>
      <c r="T434" s="231"/>
      <c r="U434" s="231"/>
      <c r="V434" s="231"/>
      <c r="W434" s="231"/>
      <c r="X434" s="227"/>
      <c r="Y434" s="232"/>
      <c r="Z434" s="232"/>
      <c r="AA434" s="232"/>
      <c r="AB434" s="232"/>
      <c r="AC434" s="227"/>
      <c r="AD434" s="227"/>
      <c r="AE434" s="231"/>
      <c r="AF434" s="227"/>
      <c r="AG434" s="232"/>
      <c r="AH434" s="232"/>
      <c r="AI434" s="232"/>
      <c r="AJ434" s="232"/>
      <c r="AK434" s="232"/>
      <c r="AL434" s="232"/>
      <c r="AM434" s="232"/>
      <c r="AN434" s="232"/>
      <c r="AO434" s="231"/>
      <c r="AP434" s="231"/>
      <c r="AQ434" s="227"/>
      <c r="AR434" s="231"/>
      <c r="AS434" s="227"/>
      <c r="AT434" s="227"/>
      <c r="AU434" s="227"/>
      <c r="AV434" s="227"/>
    </row>
    <row r="435">
      <c r="A435" s="227"/>
      <c r="B435" s="232"/>
      <c r="C435" s="227"/>
      <c r="D435" s="227"/>
      <c r="E435" s="231"/>
      <c r="F435" s="232"/>
      <c r="G435" s="227"/>
      <c r="H435" s="227"/>
      <c r="I435" s="227"/>
      <c r="J435" s="227"/>
      <c r="K435" s="227"/>
      <c r="L435" s="232"/>
      <c r="M435" s="232"/>
      <c r="N435" s="227"/>
      <c r="O435" s="227"/>
      <c r="P435" s="231"/>
      <c r="Q435" s="227"/>
      <c r="R435" s="231"/>
      <c r="S435" s="231"/>
      <c r="T435" s="231"/>
      <c r="U435" s="231"/>
      <c r="V435" s="231"/>
      <c r="W435" s="231"/>
      <c r="X435" s="227"/>
      <c r="Y435" s="232"/>
      <c r="Z435" s="232"/>
      <c r="AA435" s="232"/>
      <c r="AB435" s="232"/>
      <c r="AC435" s="227"/>
      <c r="AD435" s="227"/>
      <c r="AE435" s="231"/>
      <c r="AF435" s="227"/>
      <c r="AG435" s="232"/>
      <c r="AH435" s="232"/>
      <c r="AI435" s="232"/>
      <c r="AJ435" s="232"/>
      <c r="AK435" s="232"/>
      <c r="AL435" s="232"/>
      <c r="AM435" s="232"/>
      <c r="AN435" s="232"/>
      <c r="AO435" s="231"/>
      <c r="AP435" s="231"/>
      <c r="AQ435" s="227"/>
      <c r="AR435" s="231"/>
      <c r="AS435" s="227"/>
      <c r="AT435" s="227"/>
      <c r="AU435" s="227"/>
      <c r="AV435" s="227"/>
    </row>
    <row r="436">
      <c r="A436" s="227"/>
      <c r="B436" s="232"/>
      <c r="C436" s="227"/>
      <c r="D436" s="227"/>
      <c r="E436" s="231"/>
      <c r="F436" s="232"/>
      <c r="G436" s="227"/>
      <c r="H436" s="227"/>
      <c r="I436" s="227"/>
      <c r="J436" s="227"/>
      <c r="K436" s="227"/>
      <c r="L436" s="232"/>
      <c r="M436" s="232"/>
      <c r="N436" s="227"/>
      <c r="O436" s="227"/>
      <c r="P436" s="231"/>
      <c r="Q436" s="227"/>
      <c r="R436" s="231"/>
      <c r="S436" s="231"/>
      <c r="T436" s="231"/>
      <c r="U436" s="231"/>
      <c r="V436" s="231"/>
      <c r="W436" s="231"/>
      <c r="X436" s="227"/>
      <c r="Y436" s="232"/>
      <c r="Z436" s="232"/>
      <c r="AA436" s="232"/>
      <c r="AB436" s="232"/>
      <c r="AC436" s="227"/>
      <c r="AD436" s="227"/>
      <c r="AE436" s="231"/>
      <c r="AF436" s="227"/>
      <c r="AG436" s="232"/>
      <c r="AH436" s="232"/>
      <c r="AI436" s="232"/>
      <c r="AJ436" s="232"/>
      <c r="AK436" s="232"/>
      <c r="AL436" s="232"/>
      <c r="AM436" s="232"/>
      <c r="AN436" s="232"/>
      <c r="AO436" s="231"/>
      <c r="AP436" s="231"/>
      <c r="AQ436" s="227"/>
      <c r="AR436" s="231"/>
      <c r="AS436" s="227"/>
      <c r="AT436" s="227"/>
      <c r="AU436" s="227"/>
      <c r="AV436" s="227"/>
    </row>
    <row r="437">
      <c r="A437" s="227"/>
      <c r="B437" s="232"/>
      <c r="C437" s="227"/>
      <c r="D437" s="227"/>
      <c r="E437" s="231"/>
      <c r="F437" s="232"/>
      <c r="G437" s="227"/>
      <c r="H437" s="227"/>
      <c r="I437" s="227"/>
      <c r="J437" s="227"/>
      <c r="K437" s="227"/>
      <c r="L437" s="232"/>
      <c r="M437" s="232"/>
      <c r="N437" s="227"/>
      <c r="O437" s="227"/>
      <c r="P437" s="231"/>
      <c r="Q437" s="227"/>
      <c r="R437" s="231"/>
      <c r="S437" s="231"/>
      <c r="T437" s="231"/>
      <c r="U437" s="231"/>
      <c r="V437" s="231"/>
      <c r="W437" s="231"/>
      <c r="X437" s="227"/>
      <c r="Y437" s="232"/>
      <c r="Z437" s="232"/>
      <c r="AA437" s="232"/>
      <c r="AB437" s="232"/>
      <c r="AC437" s="227"/>
      <c r="AD437" s="227"/>
      <c r="AE437" s="231"/>
      <c r="AF437" s="227"/>
      <c r="AG437" s="232"/>
      <c r="AH437" s="232"/>
      <c r="AI437" s="232"/>
      <c r="AJ437" s="232"/>
      <c r="AK437" s="232"/>
      <c r="AL437" s="232"/>
      <c r="AM437" s="232"/>
      <c r="AN437" s="232"/>
      <c r="AO437" s="231"/>
      <c r="AP437" s="231"/>
      <c r="AQ437" s="227"/>
      <c r="AR437" s="231"/>
      <c r="AS437" s="227"/>
      <c r="AT437" s="227"/>
      <c r="AU437" s="227"/>
      <c r="AV437" s="227"/>
    </row>
    <row r="438">
      <c r="A438" s="227"/>
      <c r="B438" s="232"/>
      <c r="C438" s="227"/>
      <c r="D438" s="227"/>
      <c r="E438" s="231"/>
      <c r="F438" s="232"/>
      <c r="G438" s="227"/>
      <c r="H438" s="227"/>
      <c r="I438" s="227"/>
      <c r="J438" s="227"/>
      <c r="K438" s="227"/>
      <c r="L438" s="232"/>
      <c r="M438" s="232"/>
      <c r="N438" s="227"/>
      <c r="O438" s="227"/>
      <c r="P438" s="231"/>
      <c r="Q438" s="227"/>
      <c r="R438" s="231"/>
      <c r="S438" s="231"/>
      <c r="T438" s="231"/>
      <c r="U438" s="231"/>
      <c r="V438" s="231"/>
      <c r="W438" s="231"/>
      <c r="X438" s="227"/>
      <c r="Y438" s="232"/>
      <c r="Z438" s="232"/>
      <c r="AA438" s="232"/>
      <c r="AB438" s="232"/>
      <c r="AC438" s="227"/>
      <c r="AD438" s="227"/>
      <c r="AE438" s="231"/>
      <c r="AF438" s="227"/>
      <c r="AG438" s="232"/>
      <c r="AH438" s="232"/>
      <c r="AI438" s="232"/>
      <c r="AJ438" s="232"/>
      <c r="AK438" s="232"/>
      <c r="AL438" s="232"/>
      <c r="AM438" s="232"/>
      <c r="AN438" s="232"/>
      <c r="AO438" s="231"/>
      <c r="AP438" s="231"/>
      <c r="AQ438" s="227"/>
      <c r="AR438" s="231"/>
      <c r="AS438" s="227"/>
      <c r="AT438" s="227"/>
      <c r="AU438" s="227"/>
      <c r="AV438" s="227"/>
    </row>
    <row r="439">
      <c r="A439" s="227"/>
      <c r="B439" s="232"/>
      <c r="C439" s="227"/>
      <c r="D439" s="227"/>
      <c r="E439" s="231"/>
      <c r="F439" s="232"/>
      <c r="G439" s="227"/>
      <c r="H439" s="227"/>
      <c r="I439" s="227"/>
      <c r="J439" s="227"/>
      <c r="K439" s="227"/>
      <c r="L439" s="232"/>
      <c r="M439" s="232"/>
      <c r="N439" s="227"/>
      <c r="O439" s="227"/>
      <c r="P439" s="231"/>
      <c r="Q439" s="227"/>
      <c r="R439" s="231"/>
      <c r="S439" s="231"/>
      <c r="T439" s="231"/>
      <c r="U439" s="231"/>
      <c r="V439" s="231"/>
      <c r="W439" s="231"/>
      <c r="X439" s="227"/>
      <c r="Y439" s="232"/>
      <c r="Z439" s="232"/>
      <c r="AA439" s="232"/>
      <c r="AB439" s="232"/>
      <c r="AC439" s="227"/>
      <c r="AD439" s="227"/>
      <c r="AE439" s="231"/>
      <c r="AF439" s="227"/>
      <c r="AG439" s="232"/>
      <c r="AH439" s="232"/>
      <c r="AI439" s="232"/>
      <c r="AJ439" s="232"/>
      <c r="AK439" s="232"/>
      <c r="AL439" s="232"/>
      <c r="AM439" s="232"/>
      <c r="AN439" s="232"/>
      <c r="AO439" s="231"/>
      <c r="AP439" s="231"/>
      <c r="AQ439" s="227"/>
      <c r="AR439" s="231"/>
      <c r="AS439" s="227"/>
      <c r="AT439" s="227"/>
      <c r="AU439" s="227"/>
      <c r="AV439" s="227"/>
    </row>
    <row r="440">
      <c r="A440" s="227"/>
      <c r="B440" s="232"/>
      <c r="C440" s="227"/>
      <c r="D440" s="227"/>
      <c r="E440" s="231"/>
      <c r="F440" s="232"/>
      <c r="G440" s="227"/>
      <c r="H440" s="227"/>
      <c r="I440" s="227"/>
      <c r="J440" s="227"/>
      <c r="K440" s="227"/>
      <c r="L440" s="232"/>
      <c r="M440" s="232"/>
      <c r="N440" s="227"/>
      <c r="O440" s="227"/>
      <c r="P440" s="231"/>
      <c r="Q440" s="227"/>
      <c r="R440" s="231"/>
      <c r="S440" s="231"/>
      <c r="T440" s="231"/>
      <c r="U440" s="231"/>
      <c r="V440" s="231"/>
      <c r="W440" s="231"/>
      <c r="X440" s="227"/>
      <c r="Y440" s="232"/>
      <c r="Z440" s="232"/>
      <c r="AA440" s="232"/>
      <c r="AB440" s="232"/>
      <c r="AC440" s="227"/>
      <c r="AD440" s="227"/>
      <c r="AE440" s="231"/>
      <c r="AF440" s="227"/>
      <c r="AG440" s="232"/>
      <c r="AH440" s="232"/>
      <c r="AI440" s="232"/>
      <c r="AJ440" s="232"/>
      <c r="AK440" s="232"/>
      <c r="AL440" s="232"/>
      <c r="AM440" s="232"/>
      <c r="AN440" s="232"/>
      <c r="AO440" s="231"/>
      <c r="AP440" s="231"/>
      <c r="AQ440" s="227"/>
      <c r="AR440" s="231"/>
      <c r="AS440" s="227"/>
      <c r="AT440" s="227"/>
      <c r="AU440" s="227"/>
      <c r="AV440" s="227"/>
    </row>
    <row r="441">
      <c r="A441" s="227"/>
      <c r="B441" s="232"/>
      <c r="C441" s="227"/>
      <c r="D441" s="227"/>
      <c r="E441" s="231"/>
      <c r="F441" s="232"/>
      <c r="G441" s="227"/>
      <c r="H441" s="227"/>
      <c r="I441" s="227"/>
      <c r="J441" s="227"/>
      <c r="K441" s="227"/>
      <c r="L441" s="232"/>
      <c r="M441" s="232"/>
      <c r="N441" s="227"/>
      <c r="O441" s="227"/>
      <c r="P441" s="231"/>
      <c r="Q441" s="227"/>
      <c r="R441" s="231"/>
      <c r="S441" s="231"/>
      <c r="T441" s="231"/>
      <c r="U441" s="231"/>
      <c r="V441" s="231"/>
      <c r="W441" s="231"/>
      <c r="X441" s="227"/>
      <c r="Y441" s="232"/>
      <c r="Z441" s="232"/>
      <c r="AA441" s="232"/>
      <c r="AB441" s="232"/>
      <c r="AC441" s="227"/>
      <c r="AD441" s="227"/>
      <c r="AE441" s="231"/>
      <c r="AF441" s="227"/>
      <c r="AG441" s="232"/>
      <c r="AH441" s="232"/>
      <c r="AI441" s="232"/>
      <c r="AJ441" s="232"/>
      <c r="AK441" s="232"/>
      <c r="AL441" s="232"/>
      <c r="AM441" s="232"/>
      <c r="AN441" s="232"/>
      <c r="AO441" s="231"/>
      <c r="AP441" s="231"/>
      <c r="AQ441" s="227"/>
      <c r="AR441" s="227"/>
      <c r="AS441" s="227"/>
      <c r="AT441" s="227"/>
      <c r="AU441" s="227"/>
      <c r="AV441" s="227"/>
    </row>
    <row r="442">
      <c r="A442" s="227"/>
      <c r="B442" s="232"/>
      <c r="C442" s="227"/>
      <c r="D442" s="227"/>
      <c r="E442" s="231"/>
      <c r="F442" s="232"/>
      <c r="G442" s="227"/>
      <c r="H442" s="227"/>
      <c r="I442" s="227"/>
      <c r="J442" s="227"/>
      <c r="K442" s="227"/>
      <c r="L442" s="232"/>
      <c r="M442" s="232"/>
      <c r="N442" s="227"/>
      <c r="O442" s="227"/>
      <c r="P442" s="231"/>
      <c r="Q442" s="227"/>
      <c r="R442" s="231"/>
      <c r="S442" s="231"/>
      <c r="T442" s="231"/>
      <c r="U442" s="231"/>
      <c r="V442" s="231"/>
      <c r="W442" s="231"/>
      <c r="X442" s="227"/>
      <c r="Y442" s="232"/>
      <c r="Z442" s="232"/>
      <c r="AA442" s="232"/>
      <c r="AB442" s="232"/>
      <c r="AC442" s="227"/>
      <c r="AD442" s="227"/>
      <c r="AE442" s="231"/>
      <c r="AF442" s="227"/>
      <c r="AG442" s="232"/>
      <c r="AH442" s="232"/>
      <c r="AI442" s="232"/>
      <c r="AJ442" s="232"/>
      <c r="AK442" s="232"/>
      <c r="AL442" s="232"/>
      <c r="AM442" s="232"/>
      <c r="AN442" s="232"/>
      <c r="AO442" s="231"/>
      <c r="AP442" s="231"/>
      <c r="AQ442" s="227"/>
      <c r="AR442" s="231"/>
      <c r="AS442" s="227"/>
      <c r="AT442" s="227"/>
      <c r="AU442" s="227"/>
      <c r="AV442" s="227"/>
    </row>
    <row r="443">
      <c r="A443" s="227"/>
      <c r="B443" s="232"/>
      <c r="C443" s="227"/>
      <c r="D443" s="227"/>
      <c r="E443" s="231"/>
      <c r="F443" s="232"/>
      <c r="G443" s="227"/>
      <c r="H443" s="227"/>
      <c r="I443" s="227"/>
      <c r="J443" s="227"/>
      <c r="K443" s="227"/>
      <c r="L443" s="232"/>
      <c r="M443" s="232"/>
      <c r="N443" s="227"/>
      <c r="O443" s="227"/>
      <c r="P443" s="231"/>
      <c r="Q443" s="227"/>
      <c r="R443" s="231"/>
      <c r="S443" s="231"/>
      <c r="T443" s="231"/>
      <c r="U443" s="231"/>
      <c r="V443" s="231"/>
      <c r="W443" s="231"/>
      <c r="X443" s="227"/>
      <c r="Y443" s="232"/>
      <c r="Z443" s="232"/>
      <c r="AA443" s="232"/>
      <c r="AB443" s="232"/>
      <c r="AC443" s="227"/>
      <c r="AD443" s="227"/>
      <c r="AE443" s="231"/>
      <c r="AF443" s="227"/>
      <c r="AG443" s="232"/>
      <c r="AH443" s="232"/>
      <c r="AI443" s="232"/>
      <c r="AJ443" s="232"/>
      <c r="AK443" s="232"/>
      <c r="AL443" s="232"/>
      <c r="AM443" s="232"/>
      <c r="AN443" s="232"/>
      <c r="AO443" s="231"/>
      <c r="AP443" s="231"/>
      <c r="AQ443" s="227"/>
      <c r="AR443" s="231"/>
      <c r="AS443" s="227"/>
      <c r="AT443" s="227"/>
      <c r="AU443" s="227"/>
      <c r="AV443" s="227"/>
    </row>
    <row r="444">
      <c r="A444" s="227"/>
      <c r="B444" s="232"/>
      <c r="C444" s="227"/>
      <c r="D444" s="227"/>
      <c r="E444" s="231"/>
      <c r="F444" s="232"/>
      <c r="G444" s="227"/>
      <c r="H444" s="227"/>
      <c r="I444" s="227"/>
      <c r="J444" s="227"/>
      <c r="K444" s="227"/>
      <c r="L444" s="232"/>
      <c r="M444" s="232"/>
      <c r="N444" s="227"/>
      <c r="O444" s="227"/>
      <c r="P444" s="231"/>
      <c r="Q444" s="227"/>
      <c r="R444" s="231"/>
      <c r="S444" s="231"/>
      <c r="T444" s="231"/>
      <c r="U444" s="231"/>
      <c r="V444" s="231"/>
      <c r="W444" s="231"/>
      <c r="X444" s="227"/>
      <c r="Y444" s="232"/>
      <c r="Z444" s="232"/>
      <c r="AA444" s="232"/>
      <c r="AB444" s="232"/>
      <c r="AC444" s="227"/>
      <c r="AD444" s="227"/>
      <c r="AE444" s="231"/>
      <c r="AF444" s="227"/>
      <c r="AG444" s="232"/>
      <c r="AH444" s="232"/>
      <c r="AI444" s="232"/>
      <c r="AJ444" s="232"/>
      <c r="AK444" s="232"/>
      <c r="AL444" s="232"/>
      <c r="AM444" s="232"/>
      <c r="AN444" s="232"/>
      <c r="AO444" s="231"/>
      <c r="AP444" s="231"/>
      <c r="AQ444" s="227"/>
      <c r="AR444" s="231"/>
      <c r="AS444" s="227"/>
      <c r="AT444" s="227"/>
      <c r="AU444" s="227"/>
      <c r="AV444" s="227"/>
    </row>
    <row r="445">
      <c r="A445" s="227"/>
      <c r="B445" s="232"/>
      <c r="C445" s="227"/>
      <c r="D445" s="227"/>
      <c r="E445" s="231"/>
      <c r="F445" s="232"/>
      <c r="G445" s="227"/>
      <c r="H445" s="227"/>
      <c r="I445" s="227"/>
      <c r="J445" s="227"/>
      <c r="K445" s="227"/>
      <c r="L445" s="232"/>
      <c r="M445" s="232"/>
      <c r="N445" s="227"/>
      <c r="O445" s="227"/>
      <c r="P445" s="231"/>
      <c r="Q445" s="227"/>
      <c r="R445" s="231"/>
      <c r="S445" s="231"/>
      <c r="T445" s="231"/>
      <c r="U445" s="231"/>
      <c r="V445" s="231"/>
      <c r="W445" s="231"/>
      <c r="X445" s="227"/>
      <c r="Y445" s="232"/>
      <c r="Z445" s="232"/>
      <c r="AA445" s="232"/>
      <c r="AB445" s="232"/>
      <c r="AC445" s="227"/>
      <c r="AD445" s="227"/>
      <c r="AE445" s="231"/>
      <c r="AF445" s="227"/>
      <c r="AG445" s="232"/>
      <c r="AH445" s="232"/>
      <c r="AI445" s="232"/>
      <c r="AJ445" s="232"/>
      <c r="AK445" s="232"/>
      <c r="AL445" s="232"/>
      <c r="AM445" s="232"/>
      <c r="AN445" s="232"/>
      <c r="AO445" s="231"/>
      <c r="AP445" s="231"/>
      <c r="AQ445" s="227"/>
      <c r="AR445" s="231"/>
      <c r="AS445" s="227"/>
      <c r="AT445" s="227"/>
      <c r="AU445" s="227"/>
      <c r="AV445" s="227"/>
    </row>
    <row r="446">
      <c r="A446" s="227"/>
      <c r="B446" s="232"/>
      <c r="C446" s="227"/>
      <c r="D446" s="227"/>
      <c r="E446" s="231"/>
      <c r="F446" s="232"/>
      <c r="G446" s="227"/>
      <c r="H446" s="227"/>
      <c r="I446" s="227"/>
      <c r="J446" s="227"/>
      <c r="K446" s="227"/>
      <c r="L446" s="232"/>
      <c r="M446" s="232"/>
      <c r="N446" s="227"/>
      <c r="O446" s="227"/>
      <c r="P446" s="231"/>
      <c r="Q446" s="227"/>
      <c r="R446" s="231"/>
      <c r="S446" s="231"/>
      <c r="T446" s="231"/>
      <c r="U446" s="231"/>
      <c r="V446" s="231"/>
      <c r="W446" s="231"/>
      <c r="X446" s="227"/>
      <c r="Y446" s="232"/>
      <c r="Z446" s="232"/>
      <c r="AA446" s="232"/>
      <c r="AB446" s="232"/>
      <c r="AC446" s="227"/>
      <c r="AD446" s="227"/>
      <c r="AE446" s="231"/>
      <c r="AF446" s="227"/>
      <c r="AG446" s="232"/>
      <c r="AH446" s="232"/>
      <c r="AI446" s="232"/>
      <c r="AJ446" s="232"/>
      <c r="AK446" s="232"/>
      <c r="AL446" s="232"/>
      <c r="AM446" s="232"/>
      <c r="AN446" s="232"/>
      <c r="AO446" s="231"/>
      <c r="AP446" s="231"/>
      <c r="AQ446" s="227"/>
      <c r="AR446" s="231"/>
      <c r="AS446" s="227"/>
      <c r="AT446" s="227"/>
      <c r="AU446" s="227"/>
      <c r="AV446" s="227"/>
    </row>
    <row r="447">
      <c r="A447" s="227"/>
      <c r="B447" s="232"/>
      <c r="C447" s="227"/>
      <c r="D447" s="227"/>
      <c r="E447" s="231"/>
      <c r="F447" s="232"/>
      <c r="G447" s="227"/>
      <c r="H447" s="227"/>
      <c r="I447" s="227"/>
      <c r="J447" s="227"/>
      <c r="K447" s="227"/>
      <c r="L447" s="232"/>
      <c r="M447" s="232"/>
      <c r="N447" s="227"/>
      <c r="O447" s="227"/>
      <c r="P447" s="231"/>
      <c r="Q447" s="227"/>
      <c r="R447" s="231"/>
      <c r="S447" s="231"/>
      <c r="T447" s="231"/>
      <c r="U447" s="231"/>
      <c r="V447" s="231"/>
      <c r="W447" s="231"/>
      <c r="X447" s="227"/>
      <c r="Y447" s="232"/>
      <c r="Z447" s="232"/>
      <c r="AA447" s="232"/>
      <c r="AB447" s="232"/>
      <c r="AC447" s="227"/>
      <c r="AD447" s="227"/>
      <c r="AE447" s="231"/>
      <c r="AF447" s="227"/>
      <c r="AG447" s="232"/>
      <c r="AH447" s="232"/>
      <c r="AI447" s="232"/>
      <c r="AJ447" s="232"/>
      <c r="AK447" s="232"/>
      <c r="AL447" s="232"/>
      <c r="AM447" s="232"/>
      <c r="AN447" s="232"/>
      <c r="AO447" s="231"/>
      <c r="AP447" s="231"/>
      <c r="AQ447" s="227"/>
      <c r="AR447" s="231"/>
      <c r="AS447" s="227"/>
      <c r="AT447" s="227"/>
      <c r="AU447" s="227"/>
      <c r="AV447" s="227"/>
    </row>
    <row r="448">
      <c r="A448" s="227"/>
      <c r="B448" s="232"/>
      <c r="C448" s="227"/>
      <c r="D448" s="227"/>
      <c r="E448" s="231"/>
      <c r="F448" s="232"/>
      <c r="G448" s="227"/>
      <c r="H448" s="227"/>
      <c r="I448" s="227"/>
      <c r="J448" s="227"/>
      <c r="K448" s="227"/>
      <c r="L448" s="232"/>
      <c r="M448" s="232"/>
      <c r="N448" s="227"/>
      <c r="O448" s="227"/>
      <c r="P448" s="231"/>
      <c r="Q448" s="227"/>
      <c r="R448" s="231"/>
      <c r="S448" s="231"/>
      <c r="T448" s="231"/>
      <c r="U448" s="231"/>
      <c r="V448" s="231"/>
      <c r="W448" s="231"/>
      <c r="X448" s="227"/>
      <c r="Y448" s="232"/>
      <c r="Z448" s="232"/>
      <c r="AA448" s="232"/>
      <c r="AB448" s="232"/>
      <c r="AC448" s="227"/>
      <c r="AD448" s="227"/>
      <c r="AE448" s="231"/>
      <c r="AF448" s="227"/>
      <c r="AG448" s="232"/>
      <c r="AH448" s="232"/>
      <c r="AI448" s="232"/>
      <c r="AJ448" s="232"/>
      <c r="AK448" s="232"/>
      <c r="AL448" s="232"/>
      <c r="AM448" s="232"/>
      <c r="AN448" s="232"/>
      <c r="AO448" s="231"/>
      <c r="AP448" s="231"/>
      <c r="AQ448" s="227"/>
      <c r="AR448" s="231"/>
      <c r="AS448" s="227"/>
      <c r="AT448" s="227"/>
      <c r="AU448" s="227"/>
      <c r="AV448" s="227"/>
    </row>
    <row r="449">
      <c r="A449" s="227"/>
      <c r="B449" s="232"/>
      <c r="C449" s="227"/>
      <c r="D449" s="227"/>
      <c r="E449" s="231"/>
      <c r="F449" s="232"/>
      <c r="G449" s="227"/>
      <c r="H449" s="227"/>
      <c r="I449" s="227"/>
      <c r="J449" s="227"/>
      <c r="K449" s="227"/>
      <c r="L449" s="232"/>
      <c r="M449" s="232"/>
      <c r="N449" s="227"/>
      <c r="O449" s="227"/>
      <c r="P449" s="231"/>
      <c r="Q449" s="227"/>
      <c r="R449" s="231"/>
      <c r="S449" s="231"/>
      <c r="T449" s="231"/>
      <c r="U449" s="231"/>
      <c r="V449" s="231"/>
      <c r="W449" s="231"/>
      <c r="X449" s="227"/>
      <c r="Y449" s="232"/>
      <c r="Z449" s="232"/>
      <c r="AA449" s="232"/>
      <c r="AB449" s="232"/>
      <c r="AC449" s="227"/>
      <c r="AD449" s="227"/>
      <c r="AE449" s="231"/>
      <c r="AF449" s="227"/>
      <c r="AG449" s="232"/>
      <c r="AH449" s="232"/>
      <c r="AI449" s="232"/>
      <c r="AJ449" s="232"/>
      <c r="AK449" s="232"/>
      <c r="AL449" s="232"/>
      <c r="AM449" s="232"/>
      <c r="AN449" s="232"/>
      <c r="AO449" s="231"/>
      <c r="AP449" s="231"/>
      <c r="AQ449" s="227"/>
      <c r="AR449" s="231"/>
      <c r="AS449" s="227"/>
      <c r="AT449" s="227"/>
      <c r="AU449" s="227"/>
      <c r="AV449" s="227"/>
    </row>
    <row r="450">
      <c r="A450" s="227"/>
      <c r="B450" s="232"/>
      <c r="C450" s="227"/>
      <c r="D450" s="227"/>
      <c r="E450" s="231"/>
      <c r="F450" s="232"/>
      <c r="G450" s="227"/>
      <c r="H450" s="227"/>
      <c r="I450" s="227"/>
      <c r="J450" s="227"/>
      <c r="K450" s="227"/>
      <c r="L450" s="232"/>
      <c r="M450" s="232"/>
      <c r="N450" s="227"/>
      <c r="O450" s="227"/>
      <c r="P450" s="231"/>
      <c r="Q450" s="227"/>
      <c r="R450" s="231"/>
      <c r="S450" s="231"/>
      <c r="T450" s="231"/>
      <c r="U450" s="231"/>
      <c r="V450" s="231"/>
      <c r="W450" s="231"/>
      <c r="X450" s="227"/>
      <c r="Y450" s="232"/>
      <c r="Z450" s="232"/>
      <c r="AA450" s="232"/>
      <c r="AB450" s="232"/>
      <c r="AC450" s="227"/>
      <c r="AD450" s="227"/>
      <c r="AE450" s="231"/>
      <c r="AF450" s="227"/>
      <c r="AG450" s="232"/>
      <c r="AH450" s="232"/>
      <c r="AI450" s="232"/>
      <c r="AJ450" s="232"/>
      <c r="AK450" s="232"/>
      <c r="AL450" s="232"/>
      <c r="AM450" s="232"/>
      <c r="AN450" s="232"/>
      <c r="AO450" s="231"/>
      <c r="AP450" s="231"/>
      <c r="AQ450" s="227"/>
      <c r="AR450" s="231"/>
      <c r="AS450" s="227"/>
      <c r="AT450" s="227"/>
      <c r="AU450" s="227"/>
      <c r="AV450" s="227"/>
    </row>
    <row r="451">
      <c r="A451" s="227"/>
      <c r="B451" s="232"/>
      <c r="C451" s="227"/>
      <c r="D451" s="227"/>
      <c r="E451" s="231"/>
      <c r="F451" s="232"/>
      <c r="G451" s="227"/>
      <c r="H451" s="227"/>
      <c r="I451" s="227"/>
      <c r="J451" s="227"/>
      <c r="K451" s="227"/>
      <c r="L451" s="232"/>
      <c r="M451" s="232"/>
      <c r="N451" s="227"/>
      <c r="O451" s="227"/>
      <c r="P451" s="231"/>
      <c r="Q451" s="227"/>
      <c r="R451" s="231"/>
      <c r="S451" s="231"/>
      <c r="T451" s="231"/>
      <c r="U451" s="231"/>
      <c r="V451" s="231"/>
      <c r="W451" s="231"/>
      <c r="X451" s="227"/>
      <c r="Y451" s="232"/>
      <c r="Z451" s="232"/>
      <c r="AA451" s="232"/>
      <c r="AB451" s="232"/>
      <c r="AC451" s="227"/>
      <c r="AD451" s="227"/>
      <c r="AE451" s="231"/>
      <c r="AF451" s="227"/>
      <c r="AG451" s="232"/>
      <c r="AH451" s="232"/>
      <c r="AI451" s="232"/>
      <c r="AJ451" s="232"/>
      <c r="AK451" s="232"/>
      <c r="AL451" s="232"/>
      <c r="AM451" s="232"/>
      <c r="AN451" s="232"/>
      <c r="AO451" s="231"/>
      <c r="AP451" s="231"/>
      <c r="AQ451" s="227"/>
      <c r="AR451" s="231"/>
      <c r="AS451" s="227"/>
      <c r="AT451" s="227"/>
      <c r="AU451" s="227"/>
      <c r="AV451" s="227"/>
    </row>
    <row r="452">
      <c r="A452" s="227"/>
      <c r="B452" s="232"/>
      <c r="C452" s="227"/>
      <c r="D452" s="227"/>
      <c r="E452" s="231"/>
      <c r="F452" s="232"/>
      <c r="G452" s="227"/>
      <c r="H452" s="227"/>
      <c r="I452" s="227"/>
      <c r="J452" s="227"/>
      <c r="K452" s="227"/>
      <c r="L452" s="232"/>
      <c r="M452" s="232"/>
      <c r="N452" s="227"/>
      <c r="O452" s="227"/>
      <c r="P452" s="231"/>
      <c r="Q452" s="227"/>
      <c r="R452" s="231"/>
      <c r="S452" s="231"/>
      <c r="T452" s="231"/>
      <c r="U452" s="231"/>
      <c r="V452" s="231"/>
      <c r="W452" s="231"/>
      <c r="X452" s="227"/>
      <c r="Y452" s="232"/>
      <c r="Z452" s="232"/>
      <c r="AA452" s="232"/>
      <c r="AB452" s="232"/>
      <c r="AC452" s="227"/>
      <c r="AD452" s="227"/>
      <c r="AE452" s="231"/>
      <c r="AF452" s="227"/>
      <c r="AG452" s="232"/>
      <c r="AH452" s="232"/>
      <c r="AI452" s="232"/>
      <c r="AJ452" s="232"/>
      <c r="AK452" s="232"/>
      <c r="AL452" s="232"/>
      <c r="AM452" s="232"/>
      <c r="AN452" s="232"/>
      <c r="AO452" s="231"/>
      <c r="AP452" s="231"/>
      <c r="AQ452" s="227"/>
      <c r="AR452" s="231"/>
      <c r="AS452" s="227"/>
      <c r="AT452" s="227"/>
      <c r="AU452" s="227"/>
      <c r="AV452" s="227"/>
    </row>
    <row r="453">
      <c r="A453" s="227"/>
      <c r="B453" s="232"/>
      <c r="C453" s="227"/>
      <c r="D453" s="227"/>
      <c r="E453" s="231"/>
      <c r="F453" s="232"/>
      <c r="G453" s="227"/>
      <c r="H453" s="227"/>
      <c r="I453" s="227"/>
      <c r="J453" s="227"/>
      <c r="K453" s="227"/>
      <c r="L453" s="232"/>
      <c r="M453" s="232"/>
      <c r="N453" s="227"/>
      <c r="O453" s="227"/>
      <c r="P453" s="231"/>
      <c r="Q453" s="227"/>
      <c r="R453" s="231"/>
      <c r="S453" s="231"/>
      <c r="T453" s="231"/>
      <c r="U453" s="231"/>
      <c r="V453" s="231"/>
      <c r="W453" s="231"/>
      <c r="X453" s="227"/>
      <c r="Y453" s="232"/>
      <c r="Z453" s="232"/>
      <c r="AA453" s="232"/>
      <c r="AB453" s="232"/>
      <c r="AC453" s="227"/>
      <c r="AD453" s="227"/>
      <c r="AE453" s="231"/>
      <c r="AF453" s="227"/>
      <c r="AG453" s="232"/>
      <c r="AH453" s="232"/>
      <c r="AI453" s="232"/>
      <c r="AJ453" s="232"/>
      <c r="AK453" s="232"/>
      <c r="AL453" s="232"/>
      <c r="AM453" s="232"/>
      <c r="AN453" s="232"/>
      <c r="AO453" s="231"/>
      <c r="AP453" s="231"/>
      <c r="AQ453" s="227"/>
      <c r="AR453" s="231"/>
      <c r="AS453" s="227"/>
      <c r="AT453" s="227"/>
      <c r="AU453" s="227"/>
      <c r="AV453" s="227"/>
    </row>
    <row r="454">
      <c r="A454" s="227"/>
      <c r="B454" s="232"/>
      <c r="C454" s="227"/>
      <c r="D454" s="227"/>
      <c r="E454" s="231"/>
      <c r="F454" s="232"/>
      <c r="G454" s="227"/>
      <c r="H454" s="227"/>
      <c r="I454" s="227"/>
      <c r="J454" s="227"/>
      <c r="K454" s="227"/>
      <c r="L454" s="232"/>
      <c r="M454" s="232"/>
      <c r="N454" s="227"/>
      <c r="O454" s="227"/>
      <c r="P454" s="231"/>
      <c r="Q454" s="227"/>
      <c r="R454" s="231"/>
      <c r="S454" s="231"/>
      <c r="T454" s="231"/>
      <c r="U454" s="231"/>
      <c r="V454" s="231"/>
      <c r="W454" s="231"/>
      <c r="X454" s="227"/>
      <c r="Y454" s="232"/>
      <c r="Z454" s="232"/>
      <c r="AA454" s="232"/>
      <c r="AB454" s="232"/>
      <c r="AC454" s="227"/>
      <c r="AD454" s="227"/>
      <c r="AE454" s="231"/>
      <c r="AF454" s="227"/>
      <c r="AG454" s="232"/>
      <c r="AH454" s="232"/>
      <c r="AI454" s="232"/>
      <c r="AJ454" s="232"/>
      <c r="AK454" s="232"/>
      <c r="AL454" s="232"/>
      <c r="AM454" s="232"/>
      <c r="AN454" s="232"/>
      <c r="AO454" s="231"/>
      <c r="AP454" s="231"/>
      <c r="AQ454" s="227"/>
      <c r="AR454" s="231"/>
      <c r="AS454" s="227"/>
      <c r="AT454" s="227"/>
      <c r="AU454" s="227"/>
      <c r="AV454" s="227"/>
    </row>
    <row r="455">
      <c r="A455" s="227"/>
      <c r="B455" s="232"/>
      <c r="C455" s="227"/>
      <c r="D455" s="227"/>
      <c r="E455" s="231"/>
      <c r="F455" s="232"/>
      <c r="G455" s="227"/>
      <c r="H455" s="227"/>
      <c r="I455" s="227"/>
      <c r="J455" s="227"/>
      <c r="K455" s="227"/>
      <c r="L455" s="232"/>
      <c r="M455" s="232"/>
      <c r="N455" s="227"/>
      <c r="O455" s="227"/>
      <c r="P455" s="231"/>
      <c r="Q455" s="227"/>
      <c r="R455" s="231"/>
      <c r="S455" s="231"/>
      <c r="T455" s="231"/>
      <c r="U455" s="231"/>
      <c r="V455" s="231"/>
      <c r="W455" s="231"/>
      <c r="X455" s="227"/>
      <c r="Y455" s="232"/>
      <c r="Z455" s="232"/>
      <c r="AA455" s="232"/>
      <c r="AB455" s="232"/>
      <c r="AC455" s="227"/>
      <c r="AD455" s="227"/>
      <c r="AE455" s="231"/>
      <c r="AF455" s="227"/>
      <c r="AG455" s="232"/>
      <c r="AH455" s="232"/>
      <c r="AI455" s="232"/>
      <c r="AJ455" s="232"/>
      <c r="AK455" s="232"/>
      <c r="AL455" s="232"/>
      <c r="AM455" s="232"/>
      <c r="AN455" s="232"/>
      <c r="AO455" s="231"/>
      <c r="AP455" s="231"/>
      <c r="AQ455" s="227"/>
      <c r="AR455" s="231"/>
      <c r="AS455" s="227"/>
      <c r="AT455" s="227"/>
      <c r="AU455" s="227"/>
      <c r="AV455" s="227"/>
    </row>
    <row r="456">
      <c r="A456" s="227"/>
      <c r="B456" s="232"/>
      <c r="C456" s="227"/>
      <c r="D456" s="227"/>
      <c r="E456" s="231"/>
      <c r="F456" s="232"/>
      <c r="G456" s="227"/>
      <c r="H456" s="227"/>
      <c r="I456" s="227"/>
      <c r="J456" s="227"/>
      <c r="K456" s="227"/>
      <c r="L456" s="232"/>
      <c r="M456" s="232"/>
      <c r="N456" s="227"/>
      <c r="O456" s="227"/>
      <c r="P456" s="231"/>
      <c r="Q456" s="227"/>
      <c r="R456" s="231"/>
      <c r="S456" s="231"/>
      <c r="T456" s="231"/>
      <c r="U456" s="231"/>
      <c r="V456" s="231"/>
      <c r="W456" s="231"/>
      <c r="X456" s="227"/>
      <c r="Y456" s="232"/>
      <c r="Z456" s="232"/>
      <c r="AA456" s="232"/>
      <c r="AB456" s="232"/>
      <c r="AC456" s="227"/>
      <c r="AD456" s="227"/>
      <c r="AE456" s="231"/>
      <c r="AF456" s="227"/>
      <c r="AG456" s="232"/>
      <c r="AH456" s="232"/>
      <c r="AI456" s="232"/>
      <c r="AJ456" s="232"/>
      <c r="AK456" s="232"/>
      <c r="AL456" s="232"/>
      <c r="AM456" s="232"/>
      <c r="AN456" s="232"/>
      <c r="AO456" s="231"/>
      <c r="AP456" s="231"/>
      <c r="AQ456" s="227"/>
      <c r="AR456" s="231"/>
      <c r="AS456" s="227"/>
      <c r="AT456" s="227"/>
      <c r="AU456" s="227"/>
      <c r="AV456" s="227"/>
    </row>
    <row r="457">
      <c r="A457" s="227"/>
      <c r="B457" s="232"/>
      <c r="C457" s="227"/>
      <c r="D457" s="227"/>
      <c r="E457" s="231"/>
      <c r="F457" s="232"/>
      <c r="G457" s="227"/>
      <c r="H457" s="227"/>
      <c r="I457" s="227"/>
      <c r="J457" s="227"/>
      <c r="K457" s="227"/>
      <c r="L457" s="232"/>
      <c r="M457" s="232"/>
      <c r="N457" s="227"/>
      <c r="O457" s="227"/>
      <c r="P457" s="231"/>
      <c r="Q457" s="227"/>
      <c r="R457" s="231"/>
      <c r="S457" s="231"/>
      <c r="T457" s="231"/>
      <c r="U457" s="231"/>
      <c r="V457" s="231"/>
      <c r="W457" s="231"/>
      <c r="X457" s="227"/>
      <c r="Y457" s="232"/>
      <c r="Z457" s="232"/>
      <c r="AA457" s="232"/>
      <c r="AB457" s="232"/>
      <c r="AC457" s="227"/>
      <c r="AD457" s="227"/>
      <c r="AE457" s="231"/>
      <c r="AF457" s="227"/>
      <c r="AG457" s="232"/>
      <c r="AH457" s="232"/>
      <c r="AI457" s="232"/>
      <c r="AJ457" s="232"/>
      <c r="AK457" s="232"/>
      <c r="AL457" s="232"/>
      <c r="AM457" s="232"/>
      <c r="AN457" s="232"/>
      <c r="AO457" s="231"/>
      <c r="AP457" s="231"/>
      <c r="AQ457" s="227"/>
      <c r="AR457" s="231"/>
      <c r="AS457" s="227"/>
      <c r="AT457" s="227"/>
      <c r="AU457" s="227"/>
      <c r="AV457" s="227"/>
    </row>
    <row r="458">
      <c r="A458" s="227"/>
      <c r="B458" s="232"/>
      <c r="C458" s="227"/>
      <c r="D458" s="227"/>
      <c r="E458" s="231"/>
      <c r="F458" s="232"/>
      <c r="G458" s="227"/>
      <c r="H458" s="227"/>
      <c r="I458" s="227"/>
      <c r="J458" s="227"/>
      <c r="K458" s="227"/>
      <c r="L458" s="232"/>
      <c r="M458" s="232"/>
      <c r="N458" s="227"/>
      <c r="O458" s="227"/>
      <c r="P458" s="231"/>
      <c r="Q458" s="227"/>
      <c r="R458" s="231"/>
      <c r="S458" s="231"/>
      <c r="T458" s="231"/>
      <c r="U458" s="231"/>
      <c r="V458" s="231"/>
      <c r="W458" s="231"/>
      <c r="X458" s="227"/>
      <c r="Y458" s="232"/>
      <c r="Z458" s="232"/>
      <c r="AA458" s="232"/>
      <c r="AB458" s="232"/>
      <c r="AC458" s="227"/>
      <c r="AD458" s="227"/>
      <c r="AE458" s="231"/>
      <c r="AF458" s="227"/>
      <c r="AG458" s="232"/>
      <c r="AH458" s="232"/>
      <c r="AI458" s="232"/>
      <c r="AJ458" s="232"/>
      <c r="AK458" s="232"/>
      <c r="AL458" s="232"/>
      <c r="AM458" s="232"/>
      <c r="AN458" s="232"/>
      <c r="AO458" s="231"/>
      <c r="AP458" s="231"/>
      <c r="AQ458" s="227"/>
      <c r="AR458" s="231"/>
      <c r="AS458" s="227"/>
      <c r="AT458" s="227"/>
      <c r="AU458" s="227"/>
      <c r="AV458" s="227"/>
    </row>
    <row r="459">
      <c r="A459" s="227"/>
      <c r="B459" s="232"/>
      <c r="C459" s="227"/>
      <c r="D459" s="227"/>
      <c r="E459" s="231"/>
      <c r="F459" s="232"/>
      <c r="G459" s="227"/>
      <c r="H459" s="227"/>
      <c r="I459" s="227"/>
      <c r="J459" s="227"/>
      <c r="K459" s="227"/>
      <c r="L459" s="232"/>
      <c r="M459" s="232"/>
      <c r="N459" s="227"/>
      <c r="O459" s="227"/>
      <c r="P459" s="231"/>
      <c r="Q459" s="227"/>
      <c r="R459" s="231"/>
      <c r="S459" s="231"/>
      <c r="T459" s="231"/>
      <c r="U459" s="231"/>
      <c r="V459" s="231"/>
      <c r="W459" s="231"/>
      <c r="X459" s="227"/>
      <c r="Y459" s="232"/>
      <c r="Z459" s="232"/>
      <c r="AA459" s="232"/>
      <c r="AB459" s="232"/>
      <c r="AC459" s="227"/>
      <c r="AD459" s="227"/>
      <c r="AE459" s="231"/>
      <c r="AF459" s="227"/>
      <c r="AG459" s="232"/>
      <c r="AH459" s="232"/>
      <c r="AI459" s="232"/>
      <c r="AJ459" s="232"/>
      <c r="AK459" s="232"/>
      <c r="AL459" s="232"/>
      <c r="AM459" s="232"/>
      <c r="AN459" s="232"/>
      <c r="AO459" s="231"/>
      <c r="AP459" s="231"/>
      <c r="AQ459" s="227"/>
      <c r="AR459" s="231"/>
      <c r="AS459" s="227"/>
      <c r="AT459" s="227"/>
      <c r="AU459" s="227"/>
      <c r="AV459" s="227"/>
    </row>
    <row r="460">
      <c r="A460" s="227"/>
      <c r="B460" s="232"/>
      <c r="C460" s="227"/>
      <c r="D460" s="227"/>
      <c r="E460" s="231"/>
      <c r="F460" s="232"/>
      <c r="G460" s="227"/>
      <c r="H460" s="227"/>
      <c r="I460" s="227"/>
      <c r="J460" s="227"/>
      <c r="K460" s="227"/>
      <c r="L460" s="232"/>
      <c r="M460" s="232"/>
      <c r="N460" s="227"/>
      <c r="O460" s="227"/>
      <c r="P460" s="231"/>
      <c r="Q460" s="227"/>
      <c r="R460" s="231"/>
      <c r="S460" s="231"/>
      <c r="T460" s="231"/>
      <c r="U460" s="231"/>
      <c r="V460" s="231"/>
      <c r="W460" s="231"/>
      <c r="X460" s="227"/>
      <c r="Y460" s="232"/>
      <c r="Z460" s="232"/>
      <c r="AA460" s="232"/>
      <c r="AB460" s="232"/>
      <c r="AC460" s="227"/>
      <c r="AD460" s="227"/>
      <c r="AE460" s="231"/>
      <c r="AF460" s="227"/>
      <c r="AG460" s="232"/>
      <c r="AH460" s="232"/>
      <c r="AI460" s="232"/>
      <c r="AJ460" s="232"/>
      <c r="AK460" s="232"/>
      <c r="AL460" s="232"/>
      <c r="AM460" s="232"/>
      <c r="AN460" s="232"/>
      <c r="AO460" s="231"/>
      <c r="AP460" s="231"/>
      <c r="AQ460" s="227"/>
      <c r="AR460" s="231"/>
      <c r="AS460" s="227"/>
      <c r="AT460" s="227"/>
      <c r="AU460" s="227"/>
      <c r="AV460" s="227"/>
    </row>
    <row r="461">
      <c r="A461" s="227"/>
      <c r="B461" s="232"/>
      <c r="C461" s="227"/>
      <c r="D461" s="227"/>
      <c r="E461" s="231"/>
      <c r="F461" s="232"/>
      <c r="G461" s="227"/>
      <c r="H461" s="227"/>
      <c r="I461" s="227"/>
      <c r="J461" s="227"/>
      <c r="K461" s="227"/>
      <c r="L461" s="232"/>
      <c r="M461" s="232"/>
      <c r="N461" s="227"/>
      <c r="O461" s="227"/>
      <c r="P461" s="231"/>
      <c r="Q461" s="227"/>
      <c r="R461" s="231"/>
      <c r="S461" s="231"/>
      <c r="T461" s="231"/>
      <c r="U461" s="231"/>
      <c r="V461" s="231"/>
      <c r="W461" s="231"/>
      <c r="X461" s="227"/>
      <c r="Y461" s="232"/>
      <c r="Z461" s="232"/>
      <c r="AA461" s="232"/>
      <c r="AB461" s="232"/>
      <c r="AC461" s="227"/>
      <c r="AD461" s="227"/>
      <c r="AE461" s="231"/>
      <c r="AF461" s="227"/>
      <c r="AG461" s="232"/>
      <c r="AH461" s="232"/>
      <c r="AI461" s="232"/>
      <c r="AJ461" s="232"/>
      <c r="AK461" s="232"/>
      <c r="AL461" s="232"/>
      <c r="AM461" s="232"/>
      <c r="AN461" s="232"/>
      <c r="AO461" s="231"/>
      <c r="AP461" s="231"/>
      <c r="AQ461" s="227"/>
      <c r="AR461" s="231"/>
      <c r="AS461" s="227"/>
      <c r="AT461" s="227"/>
      <c r="AU461" s="227"/>
      <c r="AV461" s="227"/>
    </row>
    <row r="462">
      <c r="A462" s="227"/>
      <c r="B462" s="232"/>
      <c r="C462" s="227"/>
      <c r="D462" s="227"/>
      <c r="E462" s="231"/>
      <c r="F462" s="232"/>
      <c r="G462" s="227"/>
      <c r="H462" s="227"/>
      <c r="I462" s="227"/>
      <c r="J462" s="227"/>
      <c r="K462" s="227"/>
      <c r="L462" s="232"/>
      <c r="M462" s="232"/>
      <c r="N462" s="227"/>
      <c r="O462" s="227"/>
      <c r="P462" s="231"/>
      <c r="Q462" s="227"/>
      <c r="R462" s="231"/>
      <c r="S462" s="231"/>
      <c r="T462" s="231"/>
      <c r="U462" s="231"/>
      <c r="V462" s="231"/>
      <c r="W462" s="231"/>
      <c r="X462" s="227"/>
      <c r="Y462" s="232"/>
      <c r="Z462" s="232"/>
      <c r="AA462" s="232"/>
      <c r="AB462" s="232"/>
      <c r="AC462" s="227"/>
      <c r="AD462" s="227"/>
      <c r="AE462" s="231"/>
      <c r="AF462" s="227"/>
      <c r="AG462" s="232"/>
      <c r="AH462" s="232"/>
      <c r="AI462" s="232"/>
      <c r="AJ462" s="232"/>
      <c r="AK462" s="232"/>
      <c r="AL462" s="232"/>
      <c r="AM462" s="232"/>
      <c r="AN462" s="232"/>
      <c r="AO462" s="231"/>
      <c r="AP462" s="231"/>
      <c r="AQ462" s="227"/>
      <c r="AR462" s="231"/>
      <c r="AS462" s="227"/>
      <c r="AT462" s="227"/>
      <c r="AU462" s="227"/>
      <c r="AV462" s="227"/>
    </row>
    <row r="463">
      <c r="A463" s="227"/>
      <c r="B463" s="232"/>
      <c r="C463" s="227"/>
      <c r="D463" s="227"/>
      <c r="E463" s="231"/>
      <c r="F463" s="232"/>
      <c r="G463" s="227"/>
      <c r="H463" s="227"/>
      <c r="I463" s="227"/>
      <c r="J463" s="227"/>
      <c r="K463" s="227"/>
      <c r="L463" s="232"/>
      <c r="M463" s="232"/>
      <c r="N463" s="227"/>
      <c r="O463" s="227"/>
      <c r="P463" s="231"/>
      <c r="Q463" s="227"/>
      <c r="R463" s="231"/>
      <c r="S463" s="231"/>
      <c r="T463" s="231"/>
      <c r="U463" s="231"/>
      <c r="V463" s="231"/>
      <c r="W463" s="231"/>
      <c r="X463" s="227"/>
      <c r="Y463" s="232"/>
      <c r="Z463" s="232"/>
      <c r="AA463" s="232"/>
      <c r="AB463" s="232"/>
      <c r="AC463" s="227"/>
      <c r="AD463" s="227"/>
      <c r="AE463" s="231"/>
      <c r="AF463" s="227"/>
      <c r="AG463" s="232"/>
      <c r="AH463" s="232"/>
      <c r="AI463" s="232"/>
      <c r="AJ463" s="232"/>
      <c r="AK463" s="232"/>
      <c r="AL463" s="232"/>
      <c r="AM463" s="232"/>
      <c r="AN463" s="232"/>
      <c r="AO463" s="231"/>
      <c r="AP463" s="231"/>
      <c r="AQ463" s="227"/>
      <c r="AR463" s="231"/>
      <c r="AS463" s="227"/>
      <c r="AT463" s="227"/>
      <c r="AU463" s="227"/>
      <c r="AV463" s="227"/>
    </row>
    <row r="464">
      <c r="A464" s="227"/>
      <c r="B464" s="232"/>
      <c r="C464" s="227"/>
      <c r="D464" s="227"/>
      <c r="E464" s="231"/>
      <c r="F464" s="232"/>
      <c r="G464" s="227"/>
      <c r="H464" s="227"/>
      <c r="I464" s="227"/>
      <c r="J464" s="227"/>
      <c r="K464" s="227"/>
      <c r="L464" s="232"/>
      <c r="M464" s="232"/>
      <c r="N464" s="227"/>
      <c r="O464" s="227"/>
      <c r="P464" s="231"/>
      <c r="Q464" s="227"/>
      <c r="R464" s="231"/>
      <c r="S464" s="231"/>
      <c r="T464" s="231"/>
      <c r="U464" s="231"/>
      <c r="V464" s="231"/>
      <c r="W464" s="231"/>
      <c r="X464" s="227"/>
      <c r="Y464" s="232"/>
      <c r="Z464" s="232"/>
      <c r="AA464" s="232"/>
      <c r="AB464" s="232"/>
      <c r="AC464" s="227"/>
      <c r="AD464" s="227"/>
      <c r="AE464" s="231"/>
      <c r="AF464" s="227"/>
      <c r="AG464" s="232"/>
      <c r="AH464" s="232"/>
      <c r="AI464" s="232"/>
      <c r="AJ464" s="232"/>
      <c r="AK464" s="232"/>
      <c r="AL464" s="232"/>
      <c r="AM464" s="232"/>
      <c r="AN464" s="232"/>
      <c r="AO464" s="231"/>
      <c r="AP464" s="231"/>
      <c r="AQ464" s="227"/>
      <c r="AR464" s="231"/>
      <c r="AS464" s="227"/>
      <c r="AT464" s="227"/>
      <c r="AU464" s="227"/>
      <c r="AV464" s="227"/>
    </row>
    <row r="465">
      <c r="A465" s="227"/>
      <c r="B465" s="232"/>
      <c r="C465" s="227"/>
      <c r="D465" s="227"/>
      <c r="E465" s="231"/>
      <c r="F465" s="232"/>
      <c r="G465" s="227"/>
      <c r="H465" s="227"/>
      <c r="I465" s="227"/>
      <c r="J465" s="227"/>
      <c r="K465" s="227"/>
      <c r="L465" s="232"/>
      <c r="M465" s="232"/>
      <c r="N465" s="227"/>
      <c r="O465" s="227"/>
      <c r="P465" s="231"/>
      <c r="Q465" s="227"/>
      <c r="R465" s="231"/>
      <c r="S465" s="231"/>
      <c r="T465" s="231"/>
      <c r="U465" s="231"/>
      <c r="V465" s="231"/>
      <c r="W465" s="231"/>
      <c r="X465" s="227"/>
      <c r="Y465" s="232"/>
      <c r="Z465" s="232"/>
      <c r="AA465" s="232"/>
      <c r="AB465" s="232"/>
      <c r="AC465" s="227"/>
      <c r="AD465" s="227"/>
      <c r="AE465" s="231"/>
      <c r="AF465" s="227"/>
      <c r="AG465" s="232"/>
      <c r="AH465" s="232"/>
      <c r="AI465" s="232"/>
      <c r="AJ465" s="232"/>
      <c r="AK465" s="232"/>
      <c r="AL465" s="232"/>
      <c r="AM465" s="232"/>
      <c r="AN465" s="232"/>
      <c r="AO465" s="231"/>
      <c r="AP465" s="231"/>
      <c r="AQ465" s="227"/>
      <c r="AR465" s="231"/>
      <c r="AS465" s="227"/>
      <c r="AT465" s="227"/>
      <c r="AU465" s="227"/>
      <c r="AV465" s="227"/>
    </row>
    <row r="466">
      <c r="A466" s="227"/>
      <c r="B466" s="232"/>
      <c r="C466" s="227"/>
      <c r="D466" s="227"/>
      <c r="E466" s="231"/>
      <c r="F466" s="232"/>
      <c r="G466" s="227"/>
      <c r="H466" s="227"/>
      <c r="I466" s="227"/>
      <c r="J466" s="227"/>
      <c r="K466" s="227"/>
      <c r="L466" s="232"/>
      <c r="M466" s="232"/>
      <c r="N466" s="227"/>
      <c r="O466" s="227"/>
      <c r="P466" s="231"/>
      <c r="Q466" s="227"/>
      <c r="R466" s="231"/>
      <c r="S466" s="231"/>
      <c r="T466" s="231"/>
      <c r="U466" s="231"/>
      <c r="V466" s="231"/>
      <c r="W466" s="231"/>
      <c r="X466" s="227"/>
      <c r="Y466" s="232"/>
      <c r="Z466" s="232"/>
      <c r="AA466" s="232"/>
      <c r="AB466" s="232"/>
      <c r="AC466" s="227"/>
      <c r="AD466" s="227"/>
      <c r="AE466" s="231"/>
      <c r="AF466" s="227"/>
      <c r="AG466" s="232"/>
      <c r="AH466" s="232"/>
      <c r="AI466" s="232"/>
      <c r="AJ466" s="232"/>
      <c r="AK466" s="232"/>
      <c r="AL466" s="232"/>
      <c r="AM466" s="232"/>
      <c r="AN466" s="232"/>
      <c r="AO466" s="231"/>
      <c r="AP466" s="231"/>
      <c r="AQ466" s="227"/>
      <c r="AR466" s="231"/>
      <c r="AS466" s="227"/>
      <c r="AT466" s="227"/>
      <c r="AU466" s="227"/>
      <c r="AV466" s="227"/>
    </row>
    <row r="467">
      <c r="A467" s="227"/>
      <c r="B467" s="232"/>
      <c r="C467" s="227"/>
      <c r="D467" s="227"/>
      <c r="E467" s="231"/>
      <c r="F467" s="232"/>
      <c r="G467" s="227"/>
      <c r="H467" s="227"/>
      <c r="I467" s="227"/>
      <c r="J467" s="227"/>
      <c r="K467" s="227"/>
      <c r="L467" s="232"/>
      <c r="M467" s="232"/>
      <c r="N467" s="227"/>
      <c r="O467" s="227"/>
      <c r="P467" s="231"/>
      <c r="Q467" s="227"/>
      <c r="R467" s="231"/>
      <c r="S467" s="231"/>
      <c r="T467" s="231"/>
      <c r="U467" s="231"/>
      <c r="V467" s="231"/>
      <c r="W467" s="231"/>
      <c r="X467" s="227"/>
      <c r="Y467" s="232"/>
      <c r="Z467" s="232"/>
      <c r="AA467" s="232"/>
      <c r="AB467" s="232"/>
      <c r="AC467" s="227"/>
      <c r="AD467" s="227"/>
      <c r="AE467" s="231"/>
      <c r="AF467" s="227"/>
      <c r="AG467" s="232"/>
      <c r="AH467" s="232"/>
      <c r="AI467" s="232"/>
      <c r="AJ467" s="232"/>
      <c r="AK467" s="232"/>
      <c r="AL467" s="232"/>
      <c r="AM467" s="232"/>
      <c r="AN467" s="232"/>
      <c r="AO467" s="231"/>
      <c r="AP467" s="231"/>
      <c r="AQ467" s="227"/>
      <c r="AR467" s="231"/>
      <c r="AS467" s="227"/>
      <c r="AT467" s="227"/>
      <c r="AU467" s="227"/>
      <c r="AV467" s="227"/>
    </row>
    <row r="468">
      <c r="A468" s="227"/>
      <c r="B468" s="232"/>
      <c r="C468" s="227"/>
      <c r="D468" s="227"/>
      <c r="E468" s="231"/>
      <c r="F468" s="232"/>
      <c r="G468" s="227"/>
      <c r="H468" s="227"/>
      <c r="I468" s="227"/>
      <c r="J468" s="227"/>
      <c r="K468" s="227"/>
      <c r="L468" s="232"/>
      <c r="M468" s="232"/>
      <c r="N468" s="227"/>
      <c r="O468" s="227"/>
      <c r="P468" s="231"/>
      <c r="Q468" s="227"/>
      <c r="R468" s="231"/>
      <c r="S468" s="231"/>
      <c r="T468" s="231"/>
      <c r="U468" s="231"/>
      <c r="V468" s="231"/>
      <c r="W468" s="231"/>
      <c r="X468" s="227"/>
      <c r="Y468" s="232"/>
      <c r="Z468" s="232"/>
      <c r="AA468" s="232"/>
      <c r="AB468" s="232"/>
      <c r="AC468" s="227"/>
      <c r="AD468" s="227"/>
      <c r="AE468" s="231"/>
      <c r="AF468" s="227"/>
      <c r="AG468" s="232"/>
      <c r="AH468" s="232"/>
      <c r="AI468" s="232"/>
      <c r="AJ468" s="232"/>
      <c r="AK468" s="232"/>
      <c r="AL468" s="232"/>
      <c r="AM468" s="232"/>
      <c r="AN468" s="232"/>
      <c r="AO468" s="231"/>
      <c r="AP468" s="231"/>
      <c r="AQ468" s="227"/>
      <c r="AR468" s="231"/>
      <c r="AS468" s="227"/>
      <c r="AT468" s="227"/>
      <c r="AU468" s="227"/>
      <c r="AV468" s="227"/>
    </row>
    <row r="469">
      <c r="A469" s="227"/>
      <c r="B469" s="232"/>
      <c r="C469" s="227"/>
      <c r="D469" s="227"/>
      <c r="E469" s="231"/>
      <c r="F469" s="232"/>
      <c r="G469" s="227"/>
      <c r="H469" s="227"/>
      <c r="I469" s="227"/>
      <c r="J469" s="227"/>
      <c r="K469" s="227"/>
      <c r="L469" s="232"/>
      <c r="M469" s="232"/>
      <c r="N469" s="227"/>
      <c r="O469" s="227"/>
      <c r="P469" s="231"/>
      <c r="Q469" s="227"/>
      <c r="R469" s="231"/>
      <c r="S469" s="231"/>
      <c r="T469" s="231"/>
      <c r="U469" s="231"/>
      <c r="V469" s="231"/>
      <c r="W469" s="231"/>
      <c r="X469" s="227"/>
      <c r="Y469" s="232"/>
      <c r="Z469" s="232"/>
      <c r="AA469" s="232"/>
      <c r="AB469" s="232"/>
      <c r="AC469" s="227"/>
      <c r="AD469" s="227"/>
      <c r="AE469" s="231"/>
      <c r="AF469" s="227"/>
      <c r="AG469" s="232"/>
      <c r="AH469" s="232"/>
      <c r="AI469" s="232"/>
      <c r="AJ469" s="232"/>
      <c r="AK469" s="232"/>
      <c r="AL469" s="232"/>
      <c r="AM469" s="232"/>
      <c r="AN469" s="232"/>
      <c r="AO469" s="231"/>
      <c r="AP469" s="231"/>
      <c r="AQ469" s="227"/>
      <c r="AR469" s="231"/>
      <c r="AS469" s="227"/>
      <c r="AT469" s="227"/>
      <c r="AU469" s="227"/>
      <c r="AV469" s="227"/>
    </row>
    <row r="470">
      <c r="A470" s="227"/>
      <c r="B470" s="232"/>
      <c r="C470" s="227"/>
      <c r="D470" s="227"/>
      <c r="E470" s="231"/>
      <c r="F470" s="232"/>
      <c r="G470" s="227"/>
      <c r="H470" s="227"/>
      <c r="I470" s="227"/>
      <c r="J470" s="227"/>
      <c r="K470" s="227"/>
      <c r="L470" s="232"/>
      <c r="M470" s="232"/>
      <c r="N470" s="227"/>
      <c r="O470" s="227"/>
      <c r="P470" s="231"/>
      <c r="Q470" s="227"/>
      <c r="R470" s="231"/>
      <c r="S470" s="231"/>
      <c r="T470" s="231"/>
      <c r="U470" s="231"/>
      <c r="V470" s="231"/>
      <c r="W470" s="231"/>
      <c r="X470" s="227"/>
      <c r="Y470" s="232"/>
      <c r="Z470" s="232"/>
      <c r="AA470" s="232"/>
      <c r="AB470" s="232"/>
      <c r="AC470" s="227"/>
      <c r="AD470" s="227"/>
      <c r="AE470" s="231"/>
      <c r="AF470" s="227"/>
      <c r="AG470" s="232"/>
      <c r="AH470" s="232"/>
      <c r="AI470" s="232"/>
      <c r="AJ470" s="232"/>
      <c r="AK470" s="232"/>
      <c r="AL470" s="232"/>
      <c r="AM470" s="232"/>
      <c r="AN470" s="232"/>
      <c r="AO470" s="231"/>
      <c r="AP470" s="231"/>
      <c r="AQ470" s="227"/>
      <c r="AR470" s="231"/>
      <c r="AS470" s="227"/>
      <c r="AT470" s="227"/>
      <c r="AU470" s="227"/>
      <c r="AV470" s="227"/>
    </row>
    <row r="471">
      <c r="A471" s="227"/>
      <c r="B471" s="232"/>
      <c r="C471" s="227"/>
      <c r="D471" s="227"/>
      <c r="E471" s="231"/>
      <c r="F471" s="232"/>
      <c r="G471" s="227"/>
      <c r="H471" s="227"/>
      <c r="I471" s="227"/>
      <c r="J471" s="227"/>
      <c r="K471" s="227"/>
      <c r="L471" s="232"/>
      <c r="M471" s="232"/>
      <c r="N471" s="227"/>
      <c r="O471" s="227"/>
      <c r="P471" s="231"/>
      <c r="Q471" s="227"/>
      <c r="R471" s="231"/>
      <c r="S471" s="231"/>
      <c r="T471" s="231"/>
      <c r="U471" s="231"/>
      <c r="V471" s="231"/>
      <c r="W471" s="231"/>
      <c r="X471" s="227"/>
      <c r="Y471" s="232"/>
      <c r="Z471" s="232"/>
      <c r="AA471" s="232"/>
      <c r="AB471" s="232"/>
      <c r="AC471" s="227"/>
      <c r="AD471" s="227"/>
      <c r="AE471" s="231"/>
      <c r="AF471" s="227"/>
      <c r="AG471" s="232"/>
      <c r="AH471" s="232"/>
      <c r="AI471" s="232"/>
      <c r="AJ471" s="232"/>
      <c r="AK471" s="232"/>
      <c r="AL471" s="232"/>
      <c r="AM471" s="232"/>
      <c r="AN471" s="232"/>
      <c r="AO471" s="231"/>
      <c r="AP471" s="231"/>
      <c r="AQ471" s="227"/>
      <c r="AR471" s="231"/>
      <c r="AS471" s="227"/>
      <c r="AT471" s="227"/>
      <c r="AU471" s="227"/>
      <c r="AV471" s="227"/>
    </row>
    <row r="472">
      <c r="A472" s="227"/>
      <c r="B472" s="232"/>
      <c r="C472" s="227"/>
      <c r="D472" s="227"/>
      <c r="E472" s="231"/>
      <c r="F472" s="232"/>
      <c r="G472" s="227"/>
      <c r="H472" s="227"/>
      <c r="I472" s="227"/>
      <c r="J472" s="227"/>
      <c r="K472" s="227"/>
      <c r="L472" s="232"/>
      <c r="M472" s="232"/>
      <c r="N472" s="227"/>
      <c r="O472" s="227"/>
      <c r="P472" s="231"/>
      <c r="Q472" s="227"/>
      <c r="R472" s="231"/>
      <c r="S472" s="231"/>
      <c r="T472" s="231"/>
      <c r="U472" s="231"/>
      <c r="V472" s="231"/>
      <c r="W472" s="231"/>
      <c r="X472" s="227"/>
      <c r="Y472" s="232"/>
      <c r="Z472" s="232"/>
      <c r="AA472" s="232"/>
      <c r="AB472" s="232"/>
      <c r="AC472" s="227"/>
      <c r="AD472" s="227"/>
      <c r="AE472" s="231"/>
      <c r="AF472" s="227"/>
      <c r="AG472" s="232"/>
      <c r="AH472" s="232"/>
      <c r="AI472" s="232"/>
      <c r="AJ472" s="232"/>
      <c r="AK472" s="232"/>
      <c r="AL472" s="232"/>
      <c r="AM472" s="232"/>
      <c r="AN472" s="232"/>
      <c r="AO472" s="231"/>
      <c r="AP472" s="231"/>
      <c r="AQ472" s="227"/>
      <c r="AR472" s="231"/>
      <c r="AS472" s="227"/>
      <c r="AT472" s="227"/>
      <c r="AU472" s="227"/>
      <c r="AV472" s="227"/>
    </row>
    <row r="473">
      <c r="A473" s="227"/>
      <c r="B473" s="232"/>
      <c r="C473" s="227"/>
      <c r="D473" s="227"/>
      <c r="E473" s="231"/>
      <c r="F473" s="232"/>
      <c r="G473" s="227"/>
      <c r="H473" s="227"/>
      <c r="I473" s="227"/>
      <c r="J473" s="227"/>
      <c r="K473" s="227"/>
      <c r="L473" s="232"/>
      <c r="M473" s="232"/>
      <c r="N473" s="227"/>
      <c r="O473" s="227"/>
      <c r="P473" s="231"/>
      <c r="Q473" s="227"/>
      <c r="R473" s="231"/>
      <c r="S473" s="231"/>
      <c r="T473" s="231"/>
      <c r="U473" s="231"/>
      <c r="V473" s="231"/>
      <c r="W473" s="231"/>
      <c r="X473" s="227"/>
      <c r="Y473" s="232"/>
      <c r="Z473" s="232"/>
      <c r="AA473" s="232"/>
      <c r="AB473" s="232"/>
      <c r="AC473" s="227"/>
      <c r="AD473" s="227"/>
      <c r="AE473" s="231"/>
      <c r="AF473" s="227"/>
      <c r="AG473" s="232"/>
      <c r="AH473" s="232"/>
      <c r="AI473" s="232"/>
      <c r="AJ473" s="232"/>
      <c r="AK473" s="232"/>
      <c r="AL473" s="232"/>
      <c r="AM473" s="232"/>
      <c r="AN473" s="232"/>
      <c r="AO473" s="231"/>
      <c r="AP473" s="231"/>
      <c r="AQ473" s="227"/>
      <c r="AR473" s="231"/>
      <c r="AS473" s="227"/>
      <c r="AT473" s="227"/>
      <c r="AU473" s="227"/>
      <c r="AV473" s="227"/>
    </row>
    <row r="474">
      <c r="A474" s="227"/>
      <c r="B474" s="232"/>
      <c r="C474" s="227"/>
      <c r="D474" s="227"/>
      <c r="E474" s="231"/>
      <c r="F474" s="232"/>
      <c r="G474" s="227"/>
      <c r="H474" s="227"/>
      <c r="I474" s="227"/>
      <c r="J474" s="227"/>
      <c r="K474" s="227"/>
      <c r="L474" s="232"/>
      <c r="M474" s="232"/>
      <c r="N474" s="227"/>
      <c r="O474" s="227"/>
      <c r="P474" s="231"/>
      <c r="Q474" s="227"/>
      <c r="R474" s="231"/>
      <c r="S474" s="231"/>
      <c r="T474" s="231"/>
      <c r="U474" s="231"/>
      <c r="V474" s="231"/>
      <c r="W474" s="231"/>
      <c r="X474" s="227"/>
      <c r="Y474" s="232"/>
      <c r="Z474" s="232"/>
      <c r="AA474" s="232"/>
      <c r="AB474" s="232"/>
      <c r="AC474" s="227"/>
      <c r="AD474" s="227"/>
      <c r="AE474" s="231"/>
      <c r="AF474" s="227"/>
      <c r="AG474" s="232"/>
      <c r="AH474" s="232"/>
      <c r="AI474" s="232"/>
      <c r="AJ474" s="232"/>
      <c r="AK474" s="232"/>
      <c r="AL474" s="232"/>
      <c r="AM474" s="232"/>
      <c r="AN474" s="232"/>
      <c r="AO474" s="231"/>
      <c r="AP474" s="231"/>
      <c r="AQ474" s="227"/>
      <c r="AR474" s="231"/>
      <c r="AS474" s="227"/>
      <c r="AT474" s="227"/>
      <c r="AU474" s="227"/>
      <c r="AV474" s="227"/>
    </row>
    <row r="475">
      <c r="A475" s="227"/>
      <c r="B475" s="232"/>
      <c r="C475" s="227"/>
      <c r="D475" s="227"/>
      <c r="E475" s="231"/>
      <c r="F475" s="232"/>
      <c r="G475" s="227"/>
      <c r="H475" s="227"/>
      <c r="I475" s="227"/>
      <c r="J475" s="227"/>
      <c r="K475" s="227"/>
      <c r="L475" s="232"/>
      <c r="M475" s="232"/>
      <c r="N475" s="227"/>
      <c r="O475" s="227"/>
      <c r="P475" s="231"/>
      <c r="Q475" s="227"/>
      <c r="R475" s="231"/>
      <c r="S475" s="231"/>
      <c r="T475" s="231"/>
      <c r="U475" s="231"/>
      <c r="V475" s="231"/>
      <c r="W475" s="231"/>
      <c r="X475" s="227"/>
      <c r="Y475" s="232"/>
      <c r="Z475" s="232"/>
      <c r="AA475" s="232"/>
      <c r="AB475" s="232"/>
      <c r="AC475" s="227"/>
      <c r="AD475" s="227"/>
      <c r="AE475" s="231"/>
      <c r="AF475" s="227"/>
      <c r="AG475" s="232"/>
      <c r="AH475" s="232"/>
      <c r="AI475" s="232"/>
      <c r="AJ475" s="232"/>
      <c r="AK475" s="232"/>
      <c r="AL475" s="232"/>
      <c r="AM475" s="232"/>
      <c r="AN475" s="232"/>
      <c r="AO475" s="231"/>
      <c r="AP475" s="231"/>
      <c r="AQ475" s="227"/>
      <c r="AR475" s="231"/>
      <c r="AS475" s="227"/>
      <c r="AT475" s="227"/>
      <c r="AU475" s="227"/>
      <c r="AV475" s="227"/>
    </row>
    <row r="476">
      <c r="A476" s="227"/>
      <c r="B476" s="232"/>
      <c r="C476" s="227"/>
      <c r="D476" s="227"/>
      <c r="E476" s="231"/>
      <c r="F476" s="232"/>
      <c r="G476" s="227"/>
      <c r="H476" s="227"/>
      <c r="I476" s="227"/>
      <c r="J476" s="227"/>
      <c r="K476" s="227"/>
      <c r="L476" s="232"/>
      <c r="M476" s="232"/>
      <c r="N476" s="227"/>
      <c r="O476" s="227"/>
      <c r="P476" s="231"/>
      <c r="Q476" s="227"/>
      <c r="R476" s="231"/>
      <c r="S476" s="231"/>
      <c r="T476" s="231"/>
      <c r="U476" s="231"/>
      <c r="V476" s="231"/>
      <c r="W476" s="231"/>
      <c r="X476" s="227"/>
      <c r="Y476" s="232"/>
      <c r="Z476" s="232"/>
      <c r="AA476" s="232"/>
      <c r="AB476" s="232"/>
      <c r="AC476" s="227"/>
      <c r="AD476" s="227"/>
      <c r="AE476" s="231"/>
      <c r="AF476" s="227"/>
      <c r="AG476" s="232"/>
      <c r="AH476" s="232"/>
      <c r="AI476" s="232"/>
      <c r="AJ476" s="232"/>
      <c r="AK476" s="232"/>
      <c r="AL476" s="232"/>
      <c r="AM476" s="232"/>
      <c r="AN476" s="232"/>
      <c r="AO476" s="231"/>
      <c r="AP476" s="231"/>
      <c r="AQ476" s="227"/>
      <c r="AR476" s="231"/>
      <c r="AS476" s="227"/>
      <c r="AT476" s="227"/>
      <c r="AU476" s="227"/>
      <c r="AV476" s="227"/>
    </row>
    <row r="477">
      <c r="A477" s="227"/>
      <c r="B477" s="232"/>
      <c r="C477" s="227"/>
      <c r="D477" s="227"/>
      <c r="E477" s="231"/>
      <c r="F477" s="232"/>
      <c r="G477" s="227"/>
      <c r="H477" s="227"/>
      <c r="I477" s="227"/>
      <c r="J477" s="227"/>
      <c r="K477" s="227"/>
      <c r="L477" s="232"/>
      <c r="M477" s="232"/>
      <c r="N477" s="227"/>
      <c r="O477" s="227"/>
      <c r="P477" s="231"/>
      <c r="Q477" s="227"/>
      <c r="R477" s="231"/>
      <c r="S477" s="231"/>
      <c r="T477" s="231"/>
      <c r="U477" s="231"/>
      <c r="V477" s="231"/>
      <c r="W477" s="231"/>
      <c r="X477" s="227"/>
      <c r="Y477" s="232"/>
      <c r="Z477" s="232"/>
      <c r="AA477" s="232"/>
      <c r="AB477" s="232"/>
      <c r="AC477" s="227"/>
      <c r="AD477" s="227"/>
      <c r="AE477" s="231"/>
      <c r="AF477" s="227"/>
      <c r="AG477" s="232"/>
      <c r="AH477" s="232"/>
      <c r="AI477" s="232"/>
      <c r="AJ477" s="232"/>
      <c r="AK477" s="232"/>
      <c r="AL477" s="232"/>
      <c r="AM477" s="232"/>
      <c r="AN477" s="232"/>
      <c r="AO477" s="231"/>
      <c r="AP477" s="231"/>
      <c r="AQ477" s="227"/>
      <c r="AR477" s="231"/>
      <c r="AS477" s="227"/>
      <c r="AT477" s="227"/>
      <c r="AU477" s="227"/>
      <c r="AV477" s="227"/>
    </row>
    <row r="478">
      <c r="A478" s="227"/>
      <c r="B478" s="232"/>
      <c r="C478" s="227"/>
      <c r="D478" s="227"/>
      <c r="E478" s="231"/>
      <c r="F478" s="232"/>
      <c r="G478" s="227"/>
      <c r="H478" s="227"/>
      <c r="I478" s="227"/>
      <c r="J478" s="227"/>
      <c r="K478" s="227"/>
      <c r="L478" s="232"/>
      <c r="M478" s="232"/>
      <c r="N478" s="227"/>
      <c r="O478" s="227"/>
      <c r="P478" s="231"/>
      <c r="Q478" s="227"/>
      <c r="R478" s="231"/>
      <c r="S478" s="231"/>
      <c r="T478" s="231"/>
      <c r="U478" s="231"/>
      <c r="V478" s="231"/>
      <c r="W478" s="231"/>
      <c r="X478" s="227"/>
      <c r="Y478" s="232"/>
      <c r="Z478" s="232"/>
      <c r="AA478" s="232"/>
      <c r="AB478" s="232"/>
      <c r="AC478" s="227"/>
      <c r="AD478" s="227"/>
      <c r="AE478" s="231"/>
      <c r="AF478" s="227"/>
      <c r="AG478" s="232"/>
      <c r="AH478" s="232"/>
      <c r="AI478" s="232"/>
      <c r="AJ478" s="232"/>
      <c r="AK478" s="232"/>
      <c r="AL478" s="232"/>
      <c r="AM478" s="232"/>
      <c r="AN478" s="232"/>
      <c r="AO478" s="231"/>
      <c r="AP478" s="231"/>
      <c r="AQ478" s="227"/>
      <c r="AR478" s="231"/>
      <c r="AS478" s="227"/>
      <c r="AT478" s="227"/>
      <c r="AU478" s="227"/>
      <c r="AV478" s="227"/>
    </row>
    <row r="479">
      <c r="A479" s="227"/>
      <c r="B479" s="232"/>
      <c r="C479" s="227"/>
      <c r="D479" s="227"/>
      <c r="E479" s="231"/>
      <c r="F479" s="232"/>
      <c r="G479" s="227"/>
      <c r="H479" s="227"/>
      <c r="I479" s="227"/>
      <c r="J479" s="227"/>
      <c r="K479" s="227"/>
      <c r="L479" s="232"/>
      <c r="M479" s="232"/>
      <c r="N479" s="227"/>
      <c r="O479" s="227"/>
      <c r="P479" s="231"/>
      <c r="Q479" s="227"/>
      <c r="R479" s="231"/>
      <c r="S479" s="231"/>
      <c r="T479" s="231"/>
      <c r="U479" s="231"/>
      <c r="V479" s="231"/>
      <c r="W479" s="231"/>
      <c r="X479" s="227"/>
      <c r="Y479" s="232"/>
      <c r="Z479" s="232"/>
      <c r="AA479" s="232"/>
      <c r="AB479" s="232"/>
      <c r="AC479" s="227"/>
      <c r="AD479" s="227"/>
      <c r="AE479" s="231"/>
      <c r="AF479" s="227"/>
      <c r="AG479" s="232"/>
      <c r="AH479" s="232"/>
      <c r="AI479" s="232"/>
      <c r="AJ479" s="232"/>
      <c r="AK479" s="232"/>
      <c r="AL479" s="232"/>
      <c r="AM479" s="232"/>
      <c r="AN479" s="232"/>
      <c r="AO479" s="231"/>
      <c r="AP479" s="231"/>
      <c r="AQ479" s="227"/>
      <c r="AR479" s="231"/>
      <c r="AS479" s="227"/>
      <c r="AT479" s="227"/>
      <c r="AU479" s="227"/>
      <c r="AV479" s="227"/>
    </row>
    <row r="480">
      <c r="A480" s="227"/>
      <c r="B480" s="232"/>
      <c r="C480" s="227"/>
      <c r="D480" s="227"/>
      <c r="E480" s="231"/>
      <c r="F480" s="232"/>
      <c r="G480" s="227"/>
      <c r="H480" s="227"/>
      <c r="I480" s="227"/>
      <c r="J480" s="227"/>
      <c r="K480" s="227"/>
      <c r="L480" s="232"/>
      <c r="M480" s="232"/>
      <c r="N480" s="227"/>
      <c r="O480" s="227"/>
      <c r="P480" s="231"/>
      <c r="Q480" s="227"/>
      <c r="R480" s="231"/>
      <c r="S480" s="231"/>
      <c r="T480" s="231"/>
      <c r="U480" s="231"/>
      <c r="V480" s="231"/>
      <c r="W480" s="231"/>
      <c r="X480" s="227"/>
      <c r="Y480" s="232"/>
      <c r="Z480" s="232"/>
      <c r="AA480" s="232"/>
      <c r="AB480" s="232"/>
      <c r="AC480" s="227"/>
      <c r="AD480" s="227"/>
      <c r="AE480" s="231"/>
      <c r="AF480" s="227"/>
      <c r="AG480" s="232"/>
      <c r="AH480" s="232"/>
      <c r="AI480" s="232"/>
      <c r="AJ480" s="232"/>
      <c r="AK480" s="232"/>
      <c r="AL480" s="232"/>
      <c r="AM480" s="232"/>
      <c r="AN480" s="232"/>
      <c r="AO480" s="231"/>
      <c r="AP480" s="231"/>
      <c r="AQ480" s="227"/>
      <c r="AR480" s="231"/>
      <c r="AS480" s="227"/>
      <c r="AT480" s="227"/>
      <c r="AU480" s="227"/>
      <c r="AV480" s="227"/>
    </row>
    <row r="481">
      <c r="A481" s="227"/>
      <c r="B481" s="232"/>
      <c r="C481" s="227"/>
      <c r="D481" s="227"/>
      <c r="E481" s="231"/>
      <c r="F481" s="232"/>
      <c r="G481" s="227"/>
      <c r="H481" s="227"/>
      <c r="I481" s="227"/>
      <c r="J481" s="227"/>
      <c r="K481" s="227"/>
      <c r="L481" s="232"/>
      <c r="M481" s="232"/>
      <c r="N481" s="227"/>
      <c r="O481" s="227"/>
      <c r="P481" s="231"/>
      <c r="Q481" s="227"/>
      <c r="R481" s="231"/>
      <c r="S481" s="231"/>
      <c r="T481" s="231"/>
      <c r="U481" s="231"/>
      <c r="V481" s="231"/>
      <c r="W481" s="231"/>
      <c r="X481" s="227"/>
      <c r="Y481" s="232"/>
      <c r="Z481" s="232"/>
      <c r="AA481" s="232"/>
      <c r="AB481" s="232"/>
      <c r="AC481" s="227"/>
      <c r="AD481" s="227"/>
      <c r="AE481" s="231"/>
      <c r="AF481" s="227"/>
      <c r="AG481" s="232"/>
      <c r="AH481" s="232"/>
      <c r="AI481" s="232"/>
      <c r="AJ481" s="232"/>
      <c r="AK481" s="232"/>
      <c r="AL481" s="232"/>
      <c r="AM481" s="232"/>
      <c r="AN481" s="232"/>
      <c r="AO481" s="231"/>
      <c r="AP481" s="231"/>
      <c r="AQ481" s="227"/>
      <c r="AR481" s="231"/>
      <c r="AS481" s="227"/>
      <c r="AT481" s="227"/>
      <c r="AU481" s="227"/>
      <c r="AV481" s="227"/>
    </row>
    <row r="482">
      <c r="A482" s="227"/>
      <c r="B482" s="232"/>
      <c r="C482" s="227"/>
      <c r="D482" s="227"/>
      <c r="E482" s="231"/>
      <c r="F482" s="232"/>
      <c r="G482" s="227"/>
      <c r="H482" s="227"/>
      <c r="I482" s="227"/>
      <c r="J482" s="227"/>
      <c r="K482" s="227"/>
      <c r="L482" s="232"/>
      <c r="M482" s="232"/>
      <c r="N482" s="227"/>
      <c r="O482" s="227"/>
      <c r="P482" s="231"/>
      <c r="Q482" s="227"/>
      <c r="R482" s="231"/>
      <c r="S482" s="231"/>
      <c r="T482" s="231"/>
      <c r="U482" s="231"/>
      <c r="V482" s="231"/>
      <c r="W482" s="231"/>
      <c r="X482" s="227"/>
      <c r="Y482" s="232"/>
      <c r="Z482" s="232"/>
      <c r="AA482" s="232"/>
      <c r="AB482" s="232"/>
      <c r="AC482" s="227"/>
      <c r="AD482" s="227"/>
      <c r="AE482" s="231"/>
      <c r="AF482" s="227"/>
      <c r="AG482" s="232"/>
      <c r="AH482" s="232"/>
      <c r="AI482" s="232"/>
      <c r="AJ482" s="232"/>
      <c r="AK482" s="232"/>
      <c r="AL482" s="232"/>
      <c r="AM482" s="232"/>
      <c r="AN482" s="232"/>
      <c r="AO482" s="231"/>
      <c r="AP482" s="231"/>
      <c r="AQ482" s="227"/>
      <c r="AR482" s="231"/>
      <c r="AS482" s="227"/>
      <c r="AT482" s="227"/>
      <c r="AU482" s="227"/>
      <c r="AV482" s="227"/>
    </row>
    <row r="483">
      <c r="A483" s="227"/>
      <c r="B483" s="232"/>
      <c r="C483" s="227"/>
      <c r="D483" s="227"/>
      <c r="E483" s="231"/>
      <c r="F483" s="232"/>
      <c r="G483" s="227"/>
      <c r="H483" s="227"/>
      <c r="I483" s="227"/>
      <c r="J483" s="227"/>
      <c r="K483" s="227"/>
      <c r="L483" s="232"/>
      <c r="M483" s="232"/>
      <c r="N483" s="227"/>
      <c r="O483" s="227"/>
      <c r="P483" s="231"/>
      <c r="Q483" s="227"/>
      <c r="R483" s="231"/>
      <c r="S483" s="231"/>
      <c r="T483" s="231"/>
      <c r="U483" s="231"/>
      <c r="V483" s="231"/>
      <c r="W483" s="231"/>
      <c r="X483" s="227"/>
      <c r="Y483" s="232"/>
      <c r="Z483" s="232"/>
      <c r="AA483" s="232"/>
      <c r="AB483" s="232"/>
      <c r="AC483" s="227"/>
      <c r="AD483" s="227"/>
      <c r="AE483" s="231"/>
      <c r="AF483" s="227"/>
      <c r="AG483" s="232"/>
      <c r="AH483" s="232"/>
      <c r="AI483" s="232"/>
      <c r="AJ483" s="232"/>
      <c r="AK483" s="232"/>
      <c r="AL483" s="232"/>
      <c r="AM483" s="232"/>
      <c r="AN483" s="232"/>
      <c r="AO483" s="231"/>
      <c r="AP483" s="231"/>
      <c r="AQ483" s="227"/>
      <c r="AR483" s="231"/>
      <c r="AS483" s="227"/>
      <c r="AT483" s="227"/>
      <c r="AU483" s="227"/>
      <c r="AV483" s="227"/>
    </row>
    <row r="484">
      <c r="A484" s="227"/>
      <c r="B484" s="232"/>
      <c r="C484" s="227"/>
      <c r="D484" s="227"/>
      <c r="E484" s="231"/>
      <c r="F484" s="232"/>
      <c r="G484" s="227"/>
      <c r="H484" s="227"/>
      <c r="I484" s="227"/>
      <c r="J484" s="227"/>
      <c r="K484" s="227"/>
      <c r="L484" s="232"/>
      <c r="M484" s="232"/>
      <c r="N484" s="227"/>
      <c r="O484" s="227"/>
      <c r="P484" s="231"/>
      <c r="Q484" s="227"/>
      <c r="R484" s="231"/>
      <c r="S484" s="231"/>
      <c r="T484" s="231"/>
      <c r="U484" s="231"/>
      <c r="V484" s="231"/>
      <c r="W484" s="231"/>
      <c r="X484" s="227"/>
      <c r="Y484" s="232"/>
      <c r="Z484" s="232"/>
      <c r="AA484" s="232"/>
      <c r="AB484" s="232"/>
      <c r="AC484" s="227"/>
      <c r="AD484" s="227"/>
      <c r="AE484" s="231"/>
      <c r="AF484" s="227"/>
      <c r="AG484" s="232"/>
      <c r="AH484" s="232"/>
      <c r="AI484" s="232"/>
      <c r="AJ484" s="232"/>
      <c r="AK484" s="232"/>
      <c r="AL484" s="232"/>
      <c r="AM484" s="232"/>
      <c r="AN484" s="232"/>
      <c r="AO484" s="231"/>
      <c r="AP484" s="231"/>
      <c r="AQ484" s="227"/>
      <c r="AR484" s="231"/>
      <c r="AS484" s="227"/>
      <c r="AT484" s="227"/>
      <c r="AU484" s="227"/>
      <c r="AV484" s="227"/>
    </row>
    <row r="485">
      <c r="A485" s="227"/>
      <c r="B485" s="232"/>
      <c r="C485" s="227"/>
      <c r="D485" s="227"/>
      <c r="E485" s="231"/>
      <c r="F485" s="232"/>
      <c r="G485" s="227"/>
      <c r="H485" s="227"/>
      <c r="I485" s="227"/>
      <c r="J485" s="227"/>
      <c r="K485" s="227"/>
      <c r="L485" s="232"/>
      <c r="M485" s="232"/>
      <c r="N485" s="227"/>
      <c r="O485" s="227"/>
      <c r="P485" s="231"/>
      <c r="Q485" s="227"/>
      <c r="R485" s="231"/>
      <c r="S485" s="231"/>
      <c r="T485" s="231"/>
      <c r="U485" s="231"/>
      <c r="V485" s="231"/>
      <c r="W485" s="231"/>
      <c r="X485" s="227"/>
      <c r="Y485" s="232"/>
      <c r="Z485" s="232"/>
      <c r="AA485" s="232"/>
      <c r="AB485" s="232"/>
      <c r="AC485" s="227"/>
      <c r="AD485" s="227"/>
      <c r="AE485" s="231"/>
      <c r="AF485" s="227"/>
      <c r="AG485" s="232"/>
      <c r="AH485" s="232"/>
      <c r="AI485" s="232"/>
      <c r="AJ485" s="232"/>
      <c r="AK485" s="232"/>
      <c r="AL485" s="232"/>
      <c r="AM485" s="232"/>
      <c r="AN485" s="232"/>
      <c r="AO485" s="231"/>
      <c r="AP485" s="231"/>
      <c r="AQ485" s="227"/>
      <c r="AR485" s="231"/>
      <c r="AS485" s="227"/>
      <c r="AT485" s="227"/>
      <c r="AU485" s="227"/>
      <c r="AV485" s="227"/>
    </row>
    <row r="486">
      <c r="A486" s="227"/>
      <c r="B486" s="232"/>
      <c r="C486" s="227"/>
      <c r="D486" s="227"/>
      <c r="E486" s="231"/>
      <c r="F486" s="232"/>
      <c r="G486" s="227"/>
      <c r="H486" s="227"/>
      <c r="I486" s="227"/>
      <c r="J486" s="227"/>
      <c r="K486" s="227"/>
      <c r="L486" s="232"/>
      <c r="M486" s="232"/>
      <c r="N486" s="227"/>
      <c r="O486" s="227"/>
      <c r="P486" s="231"/>
      <c r="Q486" s="227"/>
      <c r="R486" s="231"/>
      <c r="S486" s="231"/>
      <c r="T486" s="231"/>
      <c r="U486" s="231"/>
      <c r="V486" s="231"/>
      <c r="W486" s="231"/>
      <c r="X486" s="227"/>
      <c r="Y486" s="232"/>
      <c r="Z486" s="232"/>
      <c r="AA486" s="232"/>
      <c r="AB486" s="232"/>
      <c r="AC486" s="227"/>
      <c r="AD486" s="227"/>
      <c r="AE486" s="231"/>
      <c r="AF486" s="227"/>
      <c r="AG486" s="232"/>
      <c r="AH486" s="232"/>
      <c r="AI486" s="232"/>
      <c r="AJ486" s="232"/>
      <c r="AK486" s="232"/>
      <c r="AL486" s="232"/>
      <c r="AM486" s="232"/>
      <c r="AN486" s="232"/>
      <c r="AO486" s="231"/>
      <c r="AP486" s="231"/>
      <c r="AQ486" s="227"/>
      <c r="AR486" s="231"/>
      <c r="AS486" s="227"/>
      <c r="AT486" s="227"/>
      <c r="AU486" s="227"/>
      <c r="AV486" s="227"/>
    </row>
    <row r="487">
      <c r="A487" s="227"/>
      <c r="B487" s="232"/>
      <c r="C487" s="227"/>
      <c r="D487" s="227"/>
      <c r="E487" s="231"/>
      <c r="F487" s="232"/>
      <c r="G487" s="227"/>
      <c r="H487" s="227"/>
      <c r="I487" s="227"/>
      <c r="J487" s="227"/>
      <c r="K487" s="227"/>
      <c r="L487" s="232"/>
      <c r="M487" s="232"/>
      <c r="N487" s="227"/>
      <c r="O487" s="227"/>
      <c r="P487" s="231"/>
      <c r="Q487" s="227"/>
      <c r="R487" s="231"/>
      <c r="S487" s="231"/>
      <c r="T487" s="231"/>
      <c r="U487" s="231"/>
      <c r="V487" s="231"/>
      <c r="W487" s="231"/>
      <c r="X487" s="227"/>
      <c r="Y487" s="232"/>
      <c r="Z487" s="232"/>
      <c r="AA487" s="232"/>
      <c r="AB487" s="232"/>
      <c r="AC487" s="227"/>
      <c r="AD487" s="227"/>
      <c r="AE487" s="231"/>
      <c r="AF487" s="227"/>
      <c r="AG487" s="232"/>
      <c r="AH487" s="232"/>
      <c r="AI487" s="232"/>
      <c r="AJ487" s="232"/>
      <c r="AK487" s="232"/>
      <c r="AL487" s="232"/>
      <c r="AM487" s="232"/>
      <c r="AN487" s="232"/>
      <c r="AO487" s="231"/>
      <c r="AP487" s="231"/>
      <c r="AQ487" s="227"/>
      <c r="AR487" s="231"/>
      <c r="AS487" s="227"/>
      <c r="AT487" s="227"/>
      <c r="AU487" s="227"/>
      <c r="AV487" s="227"/>
    </row>
    <row r="488">
      <c r="A488" s="227"/>
      <c r="B488" s="232"/>
      <c r="C488" s="227"/>
      <c r="D488" s="227"/>
      <c r="E488" s="231"/>
      <c r="F488" s="232"/>
      <c r="G488" s="227"/>
      <c r="H488" s="227"/>
      <c r="I488" s="227"/>
      <c r="J488" s="227"/>
      <c r="K488" s="227"/>
      <c r="L488" s="232"/>
      <c r="M488" s="232"/>
      <c r="N488" s="227"/>
      <c r="O488" s="227"/>
      <c r="P488" s="231"/>
      <c r="Q488" s="227"/>
      <c r="R488" s="231"/>
      <c r="S488" s="231"/>
      <c r="T488" s="231"/>
      <c r="U488" s="231"/>
      <c r="V488" s="231"/>
      <c r="W488" s="231"/>
      <c r="X488" s="227"/>
      <c r="Y488" s="232"/>
      <c r="Z488" s="232"/>
      <c r="AA488" s="232"/>
      <c r="AB488" s="232"/>
      <c r="AC488" s="227"/>
      <c r="AD488" s="227"/>
      <c r="AE488" s="231"/>
      <c r="AF488" s="227"/>
      <c r="AG488" s="232"/>
      <c r="AH488" s="232"/>
      <c r="AI488" s="232"/>
      <c r="AJ488" s="232"/>
      <c r="AK488" s="232"/>
      <c r="AL488" s="232"/>
      <c r="AM488" s="232"/>
      <c r="AN488" s="232"/>
      <c r="AO488" s="231"/>
      <c r="AP488" s="231"/>
      <c r="AQ488" s="227"/>
      <c r="AR488" s="231"/>
      <c r="AS488" s="227"/>
      <c r="AT488" s="227"/>
      <c r="AU488" s="227"/>
      <c r="AV488" s="227"/>
    </row>
    <row r="489">
      <c r="A489" s="227"/>
      <c r="B489" s="232"/>
      <c r="C489" s="227"/>
      <c r="D489" s="227"/>
      <c r="E489" s="231"/>
      <c r="F489" s="232"/>
      <c r="G489" s="227"/>
      <c r="H489" s="227"/>
      <c r="I489" s="227"/>
      <c r="J489" s="227"/>
      <c r="K489" s="227"/>
      <c r="L489" s="232"/>
      <c r="M489" s="232"/>
      <c r="N489" s="227"/>
      <c r="O489" s="227"/>
      <c r="P489" s="231"/>
      <c r="Q489" s="227"/>
      <c r="R489" s="231"/>
      <c r="S489" s="231"/>
      <c r="T489" s="231"/>
      <c r="U489" s="231"/>
      <c r="V489" s="231"/>
      <c r="W489" s="231"/>
      <c r="X489" s="227"/>
      <c r="Y489" s="232"/>
      <c r="Z489" s="232"/>
      <c r="AA489" s="232"/>
      <c r="AB489" s="232"/>
      <c r="AC489" s="227"/>
      <c r="AD489" s="227"/>
      <c r="AE489" s="231"/>
      <c r="AF489" s="227"/>
      <c r="AG489" s="232"/>
      <c r="AH489" s="232"/>
      <c r="AI489" s="232"/>
      <c r="AJ489" s="232"/>
      <c r="AK489" s="232"/>
      <c r="AL489" s="232"/>
      <c r="AM489" s="232"/>
      <c r="AN489" s="232"/>
      <c r="AO489" s="231"/>
      <c r="AP489" s="231"/>
      <c r="AQ489" s="227"/>
      <c r="AR489" s="231"/>
      <c r="AS489" s="227"/>
      <c r="AT489" s="227"/>
      <c r="AU489" s="227"/>
      <c r="AV489" s="227"/>
    </row>
    <row r="490">
      <c r="A490" s="227"/>
      <c r="B490" s="232"/>
      <c r="C490" s="227"/>
      <c r="D490" s="227"/>
      <c r="E490" s="231"/>
      <c r="F490" s="232"/>
      <c r="G490" s="227"/>
      <c r="H490" s="227"/>
      <c r="I490" s="227"/>
      <c r="J490" s="227"/>
      <c r="K490" s="227"/>
      <c r="L490" s="232"/>
      <c r="M490" s="232"/>
      <c r="N490" s="227"/>
      <c r="O490" s="227"/>
      <c r="P490" s="231"/>
      <c r="Q490" s="227"/>
      <c r="R490" s="231"/>
      <c r="S490" s="231"/>
      <c r="T490" s="231"/>
      <c r="U490" s="231"/>
      <c r="V490" s="231"/>
      <c r="W490" s="231"/>
      <c r="X490" s="227"/>
      <c r="Y490" s="232"/>
      <c r="Z490" s="232"/>
      <c r="AA490" s="232"/>
      <c r="AB490" s="232"/>
      <c r="AC490" s="227"/>
      <c r="AD490" s="227"/>
      <c r="AE490" s="231"/>
      <c r="AF490" s="227"/>
      <c r="AG490" s="232"/>
      <c r="AH490" s="232"/>
      <c r="AI490" s="232"/>
      <c r="AJ490" s="232"/>
      <c r="AK490" s="232"/>
      <c r="AL490" s="232"/>
      <c r="AM490" s="232"/>
      <c r="AN490" s="232"/>
      <c r="AO490" s="231"/>
      <c r="AP490" s="231"/>
      <c r="AQ490" s="227"/>
      <c r="AR490" s="231"/>
      <c r="AS490" s="227"/>
      <c r="AT490" s="227"/>
      <c r="AU490" s="227"/>
      <c r="AV490" s="227"/>
    </row>
    <row r="491">
      <c r="A491" s="227"/>
      <c r="B491" s="232"/>
      <c r="C491" s="227"/>
      <c r="D491" s="227"/>
      <c r="E491" s="231"/>
      <c r="F491" s="232"/>
      <c r="G491" s="227"/>
      <c r="H491" s="227"/>
      <c r="I491" s="227"/>
      <c r="J491" s="227"/>
      <c r="K491" s="227"/>
      <c r="L491" s="232"/>
      <c r="M491" s="232"/>
      <c r="N491" s="227"/>
      <c r="O491" s="227"/>
      <c r="P491" s="231"/>
      <c r="Q491" s="227"/>
      <c r="R491" s="231"/>
      <c r="S491" s="231"/>
      <c r="T491" s="231"/>
      <c r="U491" s="231"/>
      <c r="V491" s="231"/>
      <c r="W491" s="231"/>
      <c r="X491" s="227"/>
      <c r="Y491" s="232"/>
      <c r="Z491" s="232"/>
      <c r="AA491" s="232"/>
      <c r="AB491" s="232"/>
      <c r="AC491" s="227"/>
      <c r="AD491" s="227"/>
      <c r="AE491" s="231"/>
      <c r="AF491" s="227"/>
      <c r="AG491" s="232"/>
      <c r="AH491" s="232"/>
      <c r="AI491" s="232"/>
      <c r="AJ491" s="232"/>
      <c r="AK491" s="232"/>
      <c r="AL491" s="232"/>
      <c r="AM491" s="232"/>
      <c r="AN491" s="232"/>
      <c r="AO491" s="231"/>
      <c r="AP491" s="231"/>
      <c r="AQ491" s="227"/>
      <c r="AR491" s="231"/>
      <c r="AS491" s="227"/>
      <c r="AT491" s="227"/>
      <c r="AU491" s="227"/>
      <c r="AV491" s="227"/>
    </row>
    <row r="492">
      <c r="A492" s="227"/>
      <c r="B492" s="232"/>
      <c r="C492" s="227"/>
      <c r="D492" s="227"/>
      <c r="E492" s="231"/>
      <c r="F492" s="232"/>
      <c r="G492" s="227"/>
      <c r="H492" s="227"/>
      <c r="I492" s="227"/>
      <c r="J492" s="227"/>
      <c r="K492" s="227"/>
      <c r="L492" s="232"/>
      <c r="M492" s="232"/>
      <c r="N492" s="227"/>
      <c r="O492" s="227"/>
      <c r="P492" s="231"/>
      <c r="Q492" s="227"/>
      <c r="R492" s="231"/>
      <c r="S492" s="231"/>
      <c r="T492" s="231"/>
      <c r="U492" s="231"/>
      <c r="V492" s="231"/>
      <c r="W492" s="231"/>
      <c r="X492" s="227"/>
      <c r="Y492" s="232"/>
      <c r="Z492" s="232"/>
      <c r="AA492" s="232"/>
      <c r="AB492" s="232"/>
      <c r="AC492" s="227"/>
      <c r="AD492" s="227"/>
      <c r="AE492" s="231"/>
      <c r="AF492" s="227"/>
      <c r="AG492" s="232"/>
      <c r="AH492" s="232"/>
      <c r="AI492" s="232"/>
      <c r="AJ492" s="232"/>
      <c r="AK492" s="232"/>
      <c r="AL492" s="232"/>
      <c r="AM492" s="232"/>
      <c r="AN492" s="232"/>
      <c r="AO492" s="231"/>
      <c r="AP492" s="231"/>
      <c r="AQ492" s="227"/>
      <c r="AR492" s="231"/>
      <c r="AS492" s="227"/>
      <c r="AT492" s="227"/>
      <c r="AU492" s="227"/>
      <c r="AV492" s="227"/>
    </row>
    <row r="493">
      <c r="A493" s="227"/>
      <c r="B493" s="232"/>
      <c r="C493" s="227"/>
      <c r="D493" s="227"/>
      <c r="E493" s="231"/>
      <c r="F493" s="232"/>
      <c r="G493" s="227"/>
      <c r="H493" s="227"/>
      <c r="I493" s="227"/>
      <c r="J493" s="227"/>
      <c r="K493" s="227"/>
      <c r="L493" s="232"/>
      <c r="M493" s="232"/>
      <c r="N493" s="227"/>
      <c r="O493" s="227"/>
      <c r="P493" s="231"/>
      <c r="Q493" s="227"/>
      <c r="R493" s="231"/>
      <c r="S493" s="231"/>
      <c r="T493" s="231"/>
      <c r="U493" s="231"/>
      <c r="V493" s="231"/>
      <c r="W493" s="231"/>
      <c r="X493" s="227"/>
      <c r="Y493" s="232"/>
      <c r="Z493" s="232"/>
      <c r="AA493" s="232"/>
      <c r="AB493" s="232"/>
      <c r="AC493" s="227"/>
      <c r="AD493" s="227"/>
      <c r="AE493" s="231"/>
      <c r="AF493" s="227"/>
      <c r="AG493" s="232"/>
      <c r="AH493" s="232"/>
      <c r="AI493" s="232"/>
      <c r="AJ493" s="232"/>
      <c r="AK493" s="232"/>
      <c r="AL493" s="232"/>
      <c r="AM493" s="232"/>
      <c r="AN493" s="232"/>
      <c r="AO493" s="231"/>
      <c r="AP493" s="231"/>
      <c r="AQ493" s="227"/>
      <c r="AR493" s="231"/>
      <c r="AS493" s="227"/>
      <c r="AT493" s="227"/>
      <c r="AU493" s="227"/>
      <c r="AV493" s="227"/>
    </row>
    <row r="494">
      <c r="A494" s="227"/>
      <c r="B494" s="232"/>
      <c r="C494" s="227"/>
      <c r="D494" s="227"/>
      <c r="E494" s="231"/>
      <c r="F494" s="232"/>
      <c r="G494" s="227"/>
      <c r="H494" s="227"/>
      <c r="I494" s="227"/>
      <c r="J494" s="227"/>
      <c r="K494" s="227"/>
      <c r="L494" s="232"/>
      <c r="M494" s="232"/>
      <c r="N494" s="227"/>
      <c r="O494" s="227"/>
      <c r="P494" s="231"/>
      <c r="Q494" s="227"/>
      <c r="R494" s="231"/>
      <c r="S494" s="231"/>
      <c r="T494" s="231"/>
      <c r="U494" s="231"/>
      <c r="V494" s="231"/>
      <c r="W494" s="231"/>
      <c r="X494" s="227"/>
      <c r="Y494" s="232"/>
      <c r="Z494" s="232"/>
      <c r="AA494" s="232"/>
      <c r="AB494" s="232"/>
      <c r="AC494" s="227"/>
      <c r="AD494" s="227"/>
      <c r="AE494" s="231"/>
      <c r="AF494" s="227"/>
      <c r="AG494" s="232"/>
      <c r="AH494" s="232"/>
      <c r="AI494" s="232"/>
      <c r="AJ494" s="232"/>
      <c r="AK494" s="232"/>
      <c r="AL494" s="232"/>
      <c r="AM494" s="232"/>
      <c r="AN494" s="232"/>
      <c r="AO494" s="231"/>
      <c r="AP494" s="231"/>
      <c r="AQ494" s="227"/>
      <c r="AR494" s="231"/>
      <c r="AS494" s="227"/>
      <c r="AT494" s="227"/>
      <c r="AU494" s="227"/>
      <c r="AV494" s="227"/>
    </row>
    <row r="495">
      <c r="A495" s="227"/>
      <c r="B495" s="232"/>
      <c r="C495" s="227"/>
      <c r="D495" s="227"/>
      <c r="E495" s="231"/>
      <c r="F495" s="232"/>
      <c r="G495" s="227"/>
      <c r="H495" s="227"/>
      <c r="I495" s="227"/>
      <c r="J495" s="227"/>
      <c r="K495" s="227"/>
      <c r="L495" s="232"/>
      <c r="M495" s="232"/>
      <c r="N495" s="227"/>
      <c r="O495" s="227"/>
      <c r="P495" s="231"/>
      <c r="Q495" s="227"/>
      <c r="R495" s="231"/>
      <c r="S495" s="231"/>
      <c r="T495" s="231"/>
      <c r="U495" s="231"/>
      <c r="V495" s="231"/>
      <c r="W495" s="231"/>
      <c r="X495" s="227"/>
      <c r="Y495" s="232"/>
      <c r="Z495" s="232"/>
      <c r="AA495" s="232"/>
      <c r="AB495" s="232"/>
      <c r="AC495" s="227"/>
      <c r="AD495" s="227"/>
      <c r="AE495" s="231"/>
      <c r="AF495" s="227"/>
      <c r="AG495" s="232"/>
      <c r="AH495" s="232"/>
      <c r="AI495" s="232"/>
      <c r="AJ495" s="232"/>
      <c r="AK495" s="232"/>
      <c r="AL495" s="232"/>
      <c r="AM495" s="232"/>
      <c r="AN495" s="232"/>
      <c r="AO495" s="231"/>
      <c r="AP495" s="231"/>
      <c r="AQ495" s="227"/>
      <c r="AR495" s="231"/>
      <c r="AS495" s="227"/>
      <c r="AT495" s="227"/>
      <c r="AU495" s="227"/>
      <c r="AV495" s="227"/>
    </row>
    <row r="496">
      <c r="A496" s="227"/>
      <c r="B496" s="232"/>
      <c r="C496" s="227"/>
      <c r="D496" s="227"/>
      <c r="E496" s="231"/>
      <c r="F496" s="232"/>
      <c r="G496" s="227"/>
      <c r="H496" s="227"/>
      <c r="I496" s="227"/>
      <c r="J496" s="227"/>
      <c r="K496" s="227"/>
      <c r="L496" s="232"/>
      <c r="M496" s="232"/>
      <c r="N496" s="227"/>
      <c r="O496" s="227"/>
      <c r="P496" s="231"/>
      <c r="Q496" s="227"/>
      <c r="R496" s="231"/>
      <c r="S496" s="231"/>
      <c r="T496" s="231"/>
      <c r="U496" s="231"/>
      <c r="V496" s="231"/>
      <c r="W496" s="231"/>
      <c r="X496" s="227"/>
      <c r="Y496" s="232"/>
      <c r="Z496" s="232"/>
      <c r="AA496" s="232"/>
      <c r="AB496" s="232"/>
      <c r="AC496" s="227"/>
      <c r="AD496" s="227"/>
      <c r="AE496" s="231"/>
      <c r="AF496" s="227"/>
      <c r="AG496" s="232"/>
      <c r="AH496" s="232"/>
      <c r="AI496" s="232"/>
      <c r="AJ496" s="232"/>
      <c r="AK496" s="232"/>
      <c r="AL496" s="232"/>
      <c r="AM496" s="232"/>
      <c r="AN496" s="232"/>
      <c r="AO496" s="231"/>
      <c r="AP496" s="231"/>
      <c r="AQ496" s="227"/>
      <c r="AR496" s="231"/>
      <c r="AS496" s="227"/>
      <c r="AT496" s="227"/>
      <c r="AU496" s="227"/>
      <c r="AV496" s="227"/>
    </row>
    <row r="497">
      <c r="A497" s="227"/>
      <c r="B497" s="232"/>
      <c r="C497" s="227"/>
      <c r="D497" s="227"/>
      <c r="E497" s="231"/>
      <c r="F497" s="232"/>
      <c r="G497" s="227"/>
      <c r="H497" s="227"/>
      <c r="I497" s="227"/>
      <c r="J497" s="227"/>
      <c r="K497" s="227"/>
      <c r="L497" s="232"/>
      <c r="M497" s="232"/>
      <c r="N497" s="227"/>
      <c r="O497" s="227"/>
      <c r="P497" s="231"/>
      <c r="Q497" s="227"/>
      <c r="R497" s="231"/>
      <c r="S497" s="231"/>
      <c r="T497" s="231"/>
      <c r="U497" s="231"/>
      <c r="V497" s="231"/>
      <c r="W497" s="231"/>
      <c r="X497" s="227"/>
      <c r="Y497" s="232"/>
      <c r="Z497" s="232"/>
      <c r="AA497" s="232"/>
      <c r="AB497" s="232"/>
      <c r="AC497" s="227"/>
      <c r="AD497" s="227"/>
      <c r="AE497" s="231"/>
      <c r="AF497" s="227"/>
      <c r="AG497" s="232"/>
      <c r="AH497" s="232"/>
      <c r="AI497" s="232"/>
      <c r="AJ497" s="232"/>
      <c r="AK497" s="232"/>
      <c r="AL497" s="232"/>
      <c r="AM497" s="232"/>
      <c r="AN497" s="232"/>
      <c r="AO497" s="231"/>
      <c r="AP497" s="231"/>
      <c r="AQ497" s="227"/>
      <c r="AR497" s="231"/>
      <c r="AS497" s="227"/>
      <c r="AT497" s="227"/>
      <c r="AU497" s="227"/>
      <c r="AV497" s="227"/>
    </row>
    <row r="498">
      <c r="A498" s="227"/>
      <c r="B498" s="232"/>
      <c r="C498" s="227"/>
      <c r="D498" s="227"/>
      <c r="E498" s="231"/>
      <c r="F498" s="232"/>
      <c r="G498" s="227"/>
      <c r="H498" s="227"/>
      <c r="I498" s="227"/>
      <c r="J498" s="227"/>
      <c r="K498" s="227"/>
      <c r="L498" s="232"/>
      <c r="M498" s="232"/>
      <c r="N498" s="227"/>
      <c r="O498" s="227"/>
      <c r="P498" s="231"/>
      <c r="Q498" s="227"/>
      <c r="R498" s="231"/>
      <c r="S498" s="231"/>
      <c r="T498" s="231"/>
      <c r="U498" s="231"/>
      <c r="V498" s="231"/>
      <c r="W498" s="231"/>
      <c r="X498" s="227"/>
      <c r="Y498" s="232"/>
      <c r="Z498" s="232"/>
      <c r="AA498" s="232"/>
      <c r="AB498" s="232"/>
      <c r="AC498" s="227"/>
      <c r="AD498" s="227"/>
      <c r="AE498" s="231"/>
      <c r="AF498" s="227"/>
      <c r="AG498" s="232"/>
      <c r="AH498" s="232"/>
      <c r="AI498" s="232"/>
      <c r="AJ498" s="232"/>
      <c r="AK498" s="232"/>
      <c r="AL498" s="232"/>
      <c r="AM498" s="232"/>
      <c r="AN498" s="232"/>
      <c r="AO498" s="231"/>
      <c r="AP498" s="231"/>
      <c r="AQ498" s="227"/>
      <c r="AR498" s="231"/>
      <c r="AS498" s="227"/>
      <c r="AT498" s="227"/>
      <c r="AU498" s="227"/>
      <c r="AV498" s="227"/>
    </row>
    <row r="499">
      <c r="A499" s="227"/>
      <c r="B499" s="232"/>
      <c r="C499" s="227"/>
      <c r="D499" s="227"/>
      <c r="E499" s="231"/>
      <c r="F499" s="232"/>
      <c r="G499" s="227"/>
      <c r="H499" s="227"/>
      <c r="I499" s="227"/>
      <c r="J499" s="227"/>
      <c r="K499" s="227"/>
      <c r="L499" s="232"/>
      <c r="M499" s="232"/>
      <c r="N499" s="227"/>
      <c r="O499" s="227"/>
      <c r="P499" s="231"/>
      <c r="Q499" s="227"/>
      <c r="R499" s="231"/>
      <c r="S499" s="231"/>
      <c r="T499" s="231"/>
      <c r="U499" s="231"/>
      <c r="V499" s="231"/>
      <c r="W499" s="231"/>
      <c r="X499" s="227"/>
      <c r="Y499" s="232"/>
      <c r="Z499" s="232"/>
      <c r="AA499" s="232"/>
      <c r="AB499" s="232"/>
      <c r="AC499" s="227"/>
      <c r="AD499" s="227"/>
      <c r="AE499" s="231"/>
      <c r="AF499" s="227"/>
      <c r="AG499" s="232"/>
      <c r="AH499" s="232"/>
      <c r="AI499" s="232"/>
      <c r="AJ499" s="232"/>
      <c r="AK499" s="232"/>
      <c r="AL499" s="232"/>
      <c r="AM499" s="232"/>
      <c r="AN499" s="232"/>
      <c r="AO499" s="231"/>
      <c r="AP499" s="231"/>
      <c r="AQ499" s="227"/>
      <c r="AR499" s="231"/>
      <c r="AS499" s="227"/>
      <c r="AT499" s="227"/>
      <c r="AU499" s="227"/>
      <c r="AV499" s="227"/>
    </row>
    <row r="500">
      <c r="A500" s="227"/>
      <c r="B500" s="232"/>
      <c r="C500" s="227"/>
      <c r="D500" s="227"/>
      <c r="E500" s="231"/>
      <c r="F500" s="232"/>
      <c r="G500" s="227"/>
      <c r="H500" s="227"/>
      <c r="I500" s="227"/>
      <c r="J500" s="227"/>
      <c r="K500" s="227"/>
      <c r="L500" s="232"/>
      <c r="M500" s="232"/>
      <c r="N500" s="227"/>
      <c r="O500" s="227"/>
      <c r="P500" s="231"/>
      <c r="Q500" s="227"/>
      <c r="R500" s="231"/>
      <c r="S500" s="231"/>
      <c r="T500" s="231"/>
      <c r="U500" s="231"/>
      <c r="V500" s="231"/>
      <c r="W500" s="231"/>
      <c r="X500" s="227"/>
      <c r="Y500" s="232"/>
      <c r="Z500" s="232"/>
      <c r="AA500" s="232"/>
      <c r="AB500" s="232"/>
      <c r="AC500" s="227"/>
      <c r="AD500" s="227"/>
      <c r="AE500" s="231"/>
      <c r="AF500" s="227"/>
      <c r="AG500" s="232"/>
      <c r="AH500" s="232"/>
      <c r="AI500" s="232"/>
      <c r="AJ500" s="232"/>
      <c r="AK500" s="232"/>
      <c r="AL500" s="232"/>
      <c r="AM500" s="232"/>
      <c r="AN500" s="232"/>
      <c r="AO500" s="231"/>
      <c r="AP500" s="231"/>
      <c r="AQ500" s="227"/>
      <c r="AR500" s="231"/>
      <c r="AS500" s="227"/>
      <c r="AT500" s="227"/>
      <c r="AU500" s="227"/>
      <c r="AV500" s="227"/>
    </row>
    <row r="501">
      <c r="A501" s="227"/>
      <c r="B501" s="232"/>
      <c r="C501" s="227"/>
      <c r="D501" s="227"/>
      <c r="E501" s="231"/>
      <c r="F501" s="232"/>
      <c r="G501" s="227"/>
      <c r="H501" s="227"/>
      <c r="I501" s="227"/>
      <c r="J501" s="227"/>
      <c r="K501" s="227"/>
      <c r="L501" s="232"/>
      <c r="M501" s="232"/>
      <c r="N501" s="227"/>
      <c r="O501" s="227"/>
      <c r="P501" s="231"/>
      <c r="Q501" s="227"/>
      <c r="R501" s="231"/>
      <c r="S501" s="231"/>
      <c r="T501" s="231"/>
      <c r="U501" s="231"/>
      <c r="V501" s="231"/>
      <c r="W501" s="231"/>
      <c r="X501" s="227"/>
      <c r="Y501" s="232"/>
      <c r="Z501" s="232"/>
      <c r="AA501" s="232"/>
      <c r="AB501" s="232"/>
      <c r="AC501" s="227"/>
      <c r="AD501" s="227"/>
      <c r="AE501" s="231"/>
      <c r="AF501" s="227"/>
      <c r="AG501" s="232"/>
      <c r="AH501" s="232"/>
      <c r="AI501" s="232"/>
      <c r="AJ501" s="232"/>
      <c r="AK501" s="232"/>
      <c r="AL501" s="232"/>
      <c r="AM501" s="232"/>
      <c r="AN501" s="232"/>
      <c r="AO501" s="231"/>
      <c r="AP501" s="231"/>
      <c r="AQ501" s="227"/>
      <c r="AR501" s="231"/>
      <c r="AS501" s="227"/>
      <c r="AT501" s="227"/>
      <c r="AU501" s="227"/>
      <c r="AV501" s="227"/>
    </row>
    <row r="502">
      <c r="A502" s="227"/>
      <c r="B502" s="232"/>
      <c r="C502" s="227"/>
      <c r="D502" s="227"/>
      <c r="E502" s="231"/>
      <c r="F502" s="232"/>
      <c r="G502" s="227"/>
      <c r="H502" s="227"/>
      <c r="I502" s="227"/>
      <c r="J502" s="227"/>
      <c r="K502" s="227"/>
      <c r="L502" s="232"/>
      <c r="M502" s="232"/>
      <c r="N502" s="227"/>
      <c r="O502" s="227"/>
      <c r="P502" s="231"/>
      <c r="Q502" s="227"/>
      <c r="R502" s="231"/>
      <c r="S502" s="231"/>
      <c r="T502" s="231"/>
      <c r="U502" s="231"/>
      <c r="V502" s="231"/>
      <c r="W502" s="231"/>
      <c r="X502" s="227"/>
      <c r="Y502" s="232"/>
      <c r="Z502" s="232"/>
      <c r="AA502" s="232"/>
      <c r="AB502" s="232"/>
      <c r="AC502" s="227"/>
      <c r="AD502" s="227"/>
      <c r="AE502" s="231"/>
      <c r="AF502" s="227"/>
      <c r="AG502" s="232"/>
      <c r="AH502" s="232"/>
      <c r="AI502" s="232"/>
      <c r="AJ502" s="232"/>
      <c r="AK502" s="232"/>
      <c r="AL502" s="232"/>
      <c r="AM502" s="232"/>
      <c r="AN502" s="232"/>
      <c r="AO502" s="231"/>
      <c r="AP502" s="231"/>
      <c r="AQ502" s="227"/>
      <c r="AR502" s="231"/>
      <c r="AS502" s="227"/>
      <c r="AT502" s="227"/>
      <c r="AU502" s="227"/>
      <c r="AV502" s="227"/>
    </row>
    <row r="503">
      <c r="A503" s="227"/>
      <c r="B503" s="232"/>
      <c r="C503" s="227"/>
      <c r="D503" s="227"/>
      <c r="E503" s="231"/>
      <c r="F503" s="232"/>
      <c r="G503" s="227"/>
      <c r="H503" s="227"/>
      <c r="I503" s="227"/>
      <c r="J503" s="227"/>
      <c r="K503" s="227"/>
      <c r="L503" s="232"/>
      <c r="M503" s="232"/>
      <c r="N503" s="227"/>
      <c r="O503" s="227"/>
      <c r="P503" s="231"/>
      <c r="Q503" s="227"/>
      <c r="R503" s="231"/>
      <c r="S503" s="231"/>
      <c r="T503" s="231"/>
      <c r="U503" s="231"/>
      <c r="V503" s="231"/>
      <c r="W503" s="231"/>
      <c r="X503" s="227"/>
      <c r="Y503" s="232"/>
      <c r="Z503" s="232"/>
      <c r="AA503" s="232"/>
      <c r="AB503" s="232"/>
      <c r="AC503" s="227"/>
      <c r="AD503" s="227"/>
      <c r="AE503" s="231"/>
      <c r="AF503" s="227"/>
      <c r="AG503" s="232"/>
      <c r="AH503" s="232"/>
      <c r="AI503" s="232"/>
      <c r="AJ503" s="232"/>
      <c r="AK503" s="232"/>
      <c r="AL503" s="232"/>
      <c r="AM503" s="232"/>
      <c r="AN503" s="232"/>
      <c r="AO503" s="231"/>
      <c r="AP503" s="231"/>
      <c r="AQ503" s="227"/>
      <c r="AR503" s="231"/>
      <c r="AS503" s="227"/>
      <c r="AT503" s="227"/>
      <c r="AU503" s="227"/>
      <c r="AV503" s="227"/>
    </row>
    <row r="504">
      <c r="A504" s="227"/>
      <c r="B504" s="232"/>
      <c r="C504" s="227"/>
      <c r="D504" s="227"/>
      <c r="E504" s="231"/>
      <c r="F504" s="232"/>
      <c r="G504" s="227"/>
      <c r="H504" s="227"/>
      <c r="I504" s="227"/>
      <c r="J504" s="227"/>
      <c r="K504" s="227"/>
      <c r="L504" s="232"/>
      <c r="M504" s="232"/>
      <c r="N504" s="227"/>
      <c r="O504" s="227"/>
      <c r="P504" s="231"/>
      <c r="Q504" s="227"/>
      <c r="R504" s="231"/>
      <c r="S504" s="231"/>
      <c r="T504" s="231"/>
      <c r="U504" s="231"/>
      <c r="V504" s="231"/>
      <c r="W504" s="231"/>
      <c r="X504" s="227"/>
      <c r="Y504" s="232"/>
      <c r="Z504" s="232"/>
      <c r="AA504" s="232"/>
      <c r="AB504" s="232"/>
      <c r="AC504" s="227"/>
      <c r="AD504" s="227"/>
      <c r="AE504" s="231"/>
      <c r="AF504" s="227"/>
      <c r="AG504" s="232"/>
      <c r="AH504" s="232"/>
      <c r="AI504" s="232"/>
      <c r="AJ504" s="232"/>
      <c r="AK504" s="232"/>
      <c r="AL504" s="232"/>
      <c r="AM504" s="232"/>
      <c r="AN504" s="232"/>
      <c r="AO504" s="231"/>
      <c r="AP504" s="231"/>
      <c r="AQ504" s="227"/>
      <c r="AR504" s="231"/>
      <c r="AS504" s="227"/>
      <c r="AT504" s="227"/>
      <c r="AU504" s="227"/>
      <c r="AV504" s="227"/>
    </row>
    <row r="505">
      <c r="A505" s="227"/>
      <c r="B505" s="232"/>
      <c r="C505" s="227"/>
      <c r="D505" s="227"/>
      <c r="E505" s="231"/>
      <c r="F505" s="232"/>
      <c r="G505" s="227"/>
      <c r="H505" s="227"/>
      <c r="I505" s="227"/>
      <c r="J505" s="227"/>
      <c r="K505" s="227"/>
      <c r="L505" s="232"/>
      <c r="M505" s="232"/>
      <c r="N505" s="227"/>
      <c r="O505" s="227"/>
      <c r="P505" s="231"/>
      <c r="Q505" s="227"/>
      <c r="R505" s="231"/>
      <c r="S505" s="231"/>
      <c r="T505" s="231"/>
      <c r="U505" s="231"/>
      <c r="V505" s="231"/>
      <c r="W505" s="231"/>
      <c r="X505" s="227"/>
      <c r="Y505" s="232"/>
      <c r="Z505" s="232"/>
      <c r="AA505" s="232"/>
      <c r="AB505" s="232"/>
      <c r="AC505" s="227"/>
      <c r="AD505" s="227"/>
      <c r="AE505" s="231"/>
      <c r="AF505" s="227"/>
      <c r="AG505" s="232"/>
      <c r="AH505" s="232"/>
      <c r="AI505" s="232"/>
      <c r="AJ505" s="232"/>
      <c r="AK505" s="232"/>
      <c r="AL505" s="232"/>
      <c r="AM505" s="232"/>
      <c r="AN505" s="232"/>
      <c r="AO505" s="231"/>
      <c r="AP505" s="231"/>
      <c r="AQ505" s="227"/>
      <c r="AR505" s="231"/>
      <c r="AS505" s="227"/>
      <c r="AT505" s="227"/>
      <c r="AU505" s="227"/>
      <c r="AV505" s="227"/>
    </row>
    <row r="506">
      <c r="A506" s="227"/>
      <c r="B506" s="232"/>
      <c r="C506" s="227"/>
      <c r="D506" s="227"/>
      <c r="E506" s="231"/>
      <c r="F506" s="232"/>
      <c r="G506" s="227"/>
      <c r="H506" s="227"/>
      <c r="I506" s="227"/>
      <c r="J506" s="227"/>
      <c r="K506" s="227"/>
      <c r="L506" s="232"/>
      <c r="M506" s="232"/>
      <c r="N506" s="227"/>
      <c r="O506" s="227"/>
      <c r="P506" s="231"/>
      <c r="Q506" s="227"/>
      <c r="R506" s="231"/>
      <c r="S506" s="231"/>
      <c r="T506" s="231"/>
      <c r="U506" s="231"/>
      <c r="V506" s="231"/>
      <c r="W506" s="231"/>
      <c r="X506" s="227"/>
      <c r="Y506" s="232"/>
      <c r="Z506" s="232"/>
      <c r="AA506" s="232"/>
      <c r="AB506" s="232"/>
      <c r="AC506" s="227"/>
      <c r="AD506" s="227"/>
      <c r="AE506" s="231"/>
      <c r="AF506" s="227"/>
      <c r="AG506" s="232"/>
      <c r="AH506" s="232"/>
      <c r="AI506" s="232"/>
      <c r="AJ506" s="232"/>
      <c r="AK506" s="232"/>
      <c r="AL506" s="232"/>
      <c r="AM506" s="232"/>
      <c r="AN506" s="232"/>
      <c r="AO506" s="231"/>
      <c r="AP506" s="231"/>
      <c r="AQ506" s="227"/>
      <c r="AR506" s="231"/>
      <c r="AS506" s="227"/>
      <c r="AT506" s="227"/>
      <c r="AU506" s="227"/>
      <c r="AV506" s="227"/>
    </row>
    <row r="507">
      <c r="A507" s="227"/>
      <c r="B507" s="232"/>
      <c r="C507" s="227"/>
      <c r="D507" s="227"/>
      <c r="E507" s="231"/>
      <c r="F507" s="232"/>
      <c r="G507" s="227"/>
      <c r="H507" s="227"/>
      <c r="I507" s="227"/>
      <c r="J507" s="227"/>
      <c r="K507" s="227"/>
      <c r="L507" s="232"/>
      <c r="M507" s="232"/>
      <c r="N507" s="227"/>
      <c r="O507" s="227"/>
      <c r="P507" s="231"/>
      <c r="Q507" s="227"/>
      <c r="R507" s="231"/>
      <c r="S507" s="231"/>
      <c r="T507" s="231"/>
      <c r="U507" s="231"/>
      <c r="V507" s="231"/>
      <c r="W507" s="231"/>
      <c r="X507" s="227"/>
      <c r="Y507" s="232"/>
      <c r="Z507" s="232"/>
      <c r="AA507" s="232"/>
      <c r="AB507" s="232"/>
      <c r="AC507" s="227"/>
      <c r="AD507" s="227"/>
      <c r="AE507" s="231"/>
      <c r="AF507" s="227"/>
      <c r="AG507" s="232"/>
      <c r="AH507" s="232"/>
      <c r="AI507" s="232"/>
      <c r="AJ507" s="232"/>
      <c r="AK507" s="232"/>
      <c r="AL507" s="232"/>
      <c r="AM507" s="232"/>
      <c r="AN507" s="232"/>
      <c r="AO507" s="231"/>
      <c r="AP507" s="231"/>
      <c r="AQ507" s="227"/>
      <c r="AR507" s="231"/>
      <c r="AS507" s="227"/>
      <c r="AT507" s="227"/>
      <c r="AU507" s="227"/>
      <c r="AV507" s="227"/>
    </row>
    <row r="508">
      <c r="A508" s="227"/>
      <c r="B508" s="232"/>
      <c r="C508" s="227"/>
      <c r="D508" s="227"/>
      <c r="E508" s="231"/>
      <c r="F508" s="232"/>
      <c r="G508" s="227"/>
      <c r="H508" s="227"/>
      <c r="I508" s="227"/>
      <c r="J508" s="227"/>
      <c r="K508" s="227"/>
      <c r="L508" s="232"/>
      <c r="M508" s="232"/>
      <c r="N508" s="227"/>
      <c r="O508" s="227"/>
      <c r="P508" s="231"/>
      <c r="Q508" s="227"/>
      <c r="R508" s="231"/>
      <c r="S508" s="231"/>
      <c r="T508" s="231"/>
      <c r="U508" s="231"/>
      <c r="V508" s="231"/>
      <c r="W508" s="231"/>
      <c r="X508" s="227"/>
      <c r="Y508" s="232"/>
      <c r="Z508" s="232"/>
      <c r="AA508" s="232"/>
      <c r="AB508" s="232"/>
      <c r="AC508" s="227"/>
      <c r="AD508" s="227"/>
      <c r="AE508" s="231"/>
      <c r="AF508" s="227"/>
      <c r="AG508" s="232"/>
      <c r="AH508" s="232"/>
      <c r="AI508" s="232"/>
      <c r="AJ508" s="232"/>
      <c r="AK508" s="232"/>
      <c r="AL508" s="232"/>
      <c r="AM508" s="232"/>
      <c r="AN508" s="232"/>
      <c r="AO508" s="231"/>
      <c r="AP508" s="231"/>
      <c r="AQ508" s="227"/>
      <c r="AR508" s="231"/>
      <c r="AS508" s="227"/>
      <c r="AT508" s="227"/>
      <c r="AU508" s="227"/>
      <c r="AV508" s="227"/>
    </row>
    <row r="509">
      <c r="A509" s="227"/>
      <c r="B509" s="232"/>
      <c r="C509" s="227"/>
      <c r="D509" s="227"/>
      <c r="E509" s="231"/>
      <c r="F509" s="232"/>
      <c r="G509" s="227"/>
      <c r="H509" s="227"/>
      <c r="I509" s="227"/>
      <c r="J509" s="227"/>
      <c r="K509" s="227"/>
      <c r="L509" s="232"/>
      <c r="M509" s="232"/>
      <c r="N509" s="227"/>
      <c r="O509" s="227"/>
      <c r="P509" s="231"/>
      <c r="Q509" s="227"/>
      <c r="R509" s="231"/>
      <c r="S509" s="231"/>
      <c r="T509" s="231"/>
      <c r="U509" s="231"/>
      <c r="V509" s="231"/>
      <c r="W509" s="231"/>
      <c r="X509" s="227"/>
      <c r="Y509" s="232"/>
      <c r="Z509" s="232"/>
      <c r="AA509" s="232"/>
      <c r="AB509" s="232"/>
      <c r="AC509" s="227"/>
      <c r="AD509" s="227"/>
      <c r="AE509" s="231"/>
      <c r="AF509" s="227"/>
      <c r="AG509" s="232"/>
      <c r="AH509" s="232"/>
      <c r="AI509" s="232"/>
      <c r="AJ509" s="232"/>
      <c r="AK509" s="232"/>
      <c r="AL509" s="232"/>
      <c r="AM509" s="232"/>
      <c r="AN509" s="232"/>
      <c r="AO509" s="231"/>
      <c r="AP509" s="231"/>
      <c r="AQ509" s="227"/>
      <c r="AR509" s="231"/>
      <c r="AS509" s="227"/>
      <c r="AT509" s="227"/>
      <c r="AU509" s="227"/>
      <c r="AV509" s="227"/>
    </row>
    <row r="510">
      <c r="A510" s="227"/>
      <c r="B510" s="232"/>
      <c r="C510" s="227"/>
      <c r="D510" s="227"/>
      <c r="E510" s="231"/>
      <c r="F510" s="232"/>
      <c r="G510" s="227"/>
      <c r="H510" s="227"/>
      <c r="I510" s="227"/>
      <c r="J510" s="227"/>
      <c r="K510" s="227"/>
      <c r="L510" s="232"/>
      <c r="M510" s="232"/>
      <c r="N510" s="227"/>
      <c r="O510" s="227"/>
      <c r="P510" s="231"/>
      <c r="Q510" s="227"/>
      <c r="R510" s="231"/>
      <c r="S510" s="231"/>
      <c r="T510" s="231"/>
      <c r="U510" s="231"/>
      <c r="V510" s="231"/>
      <c r="W510" s="231"/>
      <c r="X510" s="227"/>
      <c r="Y510" s="232"/>
      <c r="Z510" s="232"/>
      <c r="AA510" s="232"/>
      <c r="AB510" s="232"/>
      <c r="AC510" s="227"/>
      <c r="AD510" s="227"/>
      <c r="AE510" s="231"/>
      <c r="AF510" s="227"/>
      <c r="AG510" s="232"/>
      <c r="AH510" s="232"/>
      <c r="AI510" s="232"/>
      <c r="AJ510" s="232"/>
      <c r="AK510" s="232"/>
      <c r="AL510" s="232"/>
      <c r="AM510" s="232"/>
      <c r="AN510" s="232"/>
      <c r="AO510" s="231"/>
      <c r="AP510" s="231"/>
      <c r="AQ510" s="227"/>
      <c r="AR510" s="231"/>
      <c r="AS510" s="227"/>
      <c r="AT510" s="227"/>
      <c r="AU510" s="227"/>
      <c r="AV510" s="227"/>
    </row>
    <row r="511">
      <c r="A511" s="227"/>
      <c r="B511" s="232"/>
      <c r="C511" s="227"/>
      <c r="D511" s="227"/>
      <c r="E511" s="231"/>
      <c r="F511" s="232"/>
      <c r="G511" s="227"/>
      <c r="H511" s="227"/>
      <c r="I511" s="227"/>
      <c r="J511" s="227"/>
      <c r="K511" s="227"/>
      <c r="L511" s="232"/>
      <c r="M511" s="232"/>
      <c r="N511" s="227"/>
      <c r="O511" s="227"/>
      <c r="P511" s="231"/>
      <c r="Q511" s="227"/>
      <c r="R511" s="231"/>
      <c r="S511" s="231"/>
      <c r="T511" s="231"/>
      <c r="U511" s="231"/>
      <c r="V511" s="231"/>
      <c r="W511" s="231"/>
      <c r="X511" s="227"/>
      <c r="Y511" s="232"/>
      <c r="Z511" s="232"/>
      <c r="AA511" s="232"/>
      <c r="AB511" s="232"/>
      <c r="AC511" s="227"/>
      <c r="AD511" s="227"/>
      <c r="AE511" s="231"/>
      <c r="AF511" s="227"/>
      <c r="AG511" s="232"/>
      <c r="AH511" s="232"/>
      <c r="AI511" s="232"/>
      <c r="AJ511" s="232"/>
      <c r="AK511" s="232"/>
      <c r="AL511" s="232"/>
      <c r="AM511" s="232"/>
      <c r="AN511" s="232"/>
      <c r="AO511" s="231"/>
      <c r="AP511" s="231"/>
      <c r="AQ511" s="227"/>
      <c r="AR511" s="231"/>
      <c r="AS511" s="227"/>
      <c r="AT511" s="227"/>
      <c r="AU511" s="227"/>
      <c r="AV511" s="227"/>
    </row>
    <row r="512">
      <c r="A512" s="227"/>
      <c r="B512" s="232"/>
      <c r="C512" s="227"/>
      <c r="D512" s="227"/>
      <c r="E512" s="231"/>
      <c r="F512" s="232"/>
      <c r="G512" s="227"/>
      <c r="H512" s="227"/>
      <c r="I512" s="227"/>
      <c r="J512" s="227"/>
      <c r="K512" s="227"/>
      <c r="L512" s="232"/>
      <c r="M512" s="232"/>
      <c r="N512" s="227"/>
      <c r="O512" s="227"/>
      <c r="P512" s="231"/>
      <c r="Q512" s="227"/>
      <c r="R512" s="231"/>
      <c r="S512" s="231"/>
      <c r="T512" s="231"/>
      <c r="U512" s="231"/>
      <c r="V512" s="231"/>
      <c r="W512" s="231"/>
      <c r="X512" s="227"/>
      <c r="Y512" s="232"/>
      <c r="Z512" s="232"/>
      <c r="AA512" s="232"/>
      <c r="AB512" s="232"/>
      <c r="AC512" s="227"/>
      <c r="AD512" s="227"/>
      <c r="AE512" s="231"/>
      <c r="AF512" s="227"/>
      <c r="AG512" s="232"/>
      <c r="AH512" s="232"/>
      <c r="AI512" s="232"/>
      <c r="AJ512" s="232"/>
      <c r="AK512" s="232"/>
      <c r="AL512" s="232"/>
      <c r="AM512" s="232"/>
      <c r="AN512" s="232"/>
      <c r="AO512" s="231"/>
      <c r="AP512" s="231"/>
      <c r="AQ512" s="227"/>
      <c r="AR512" s="231"/>
      <c r="AS512" s="227"/>
      <c r="AT512" s="227"/>
      <c r="AU512" s="227"/>
      <c r="AV512" s="227"/>
    </row>
    <row r="513">
      <c r="A513" s="227"/>
      <c r="B513" s="232"/>
      <c r="C513" s="227"/>
      <c r="D513" s="227"/>
      <c r="E513" s="231"/>
      <c r="F513" s="232"/>
      <c r="G513" s="227"/>
      <c r="H513" s="227"/>
      <c r="I513" s="227"/>
      <c r="J513" s="227"/>
      <c r="K513" s="227"/>
      <c r="L513" s="232"/>
      <c r="M513" s="232"/>
      <c r="N513" s="227"/>
      <c r="O513" s="227"/>
      <c r="P513" s="231"/>
      <c r="Q513" s="227"/>
      <c r="R513" s="231"/>
      <c r="S513" s="231"/>
      <c r="T513" s="231"/>
      <c r="U513" s="231"/>
      <c r="V513" s="231"/>
      <c r="W513" s="231"/>
      <c r="X513" s="227"/>
      <c r="Y513" s="232"/>
      <c r="Z513" s="232"/>
      <c r="AA513" s="232"/>
      <c r="AB513" s="232"/>
      <c r="AC513" s="227"/>
      <c r="AD513" s="227"/>
      <c r="AE513" s="231"/>
      <c r="AF513" s="227"/>
      <c r="AG513" s="232"/>
      <c r="AH513" s="232"/>
      <c r="AI513" s="232"/>
      <c r="AJ513" s="232"/>
      <c r="AK513" s="232"/>
      <c r="AL513" s="232"/>
      <c r="AM513" s="232"/>
      <c r="AN513" s="232"/>
      <c r="AO513" s="231"/>
      <c r="AP513" s="231"/>
      <c r="AQ513" s="227"/>
      <c r="AR513" s="231"/>
      <c r="AS513" s="227"/>
      <c r="AT513" s="227"/>
      <c r="AU513" s="227"/>
      <c r="AV513" s="227"/>
    </row>
    <row r="514">
      <c r="A514" s="227"/>
      <c r="B514" s="232"/>
      <c r="C514" s="227"/>
      <c r="D514" s="227"/>
      <c r="E514" s="231"/>
      <c r="F514" s="232"/>
      <c r="G514" s="227"/>
      <c r="H514" s="227"/>
      <c r="I514" s="227"/>
      <c r="J514" s="227"/>
      <c r="K514" s="227"/>
      <c r="L514" s="232"/>
      <c r="M514" s="232"/>
      <c r="N514" s="227"/>
      <c r="O514" s="227"/>
      <c r="P514" s="231"/>
      <c r="Q514" s="227"/>
      <c r="R514" s="231"/>
      <c r="S514" s="231"/>
      <c r="T514" s="231"/>
      <c r="U514" s="231"/>
      <c r="V514" s="231"/>
      <c r="W514" s="231"/>
      <c r="X514" s="227"/>
      <c r="Y514" s="232"/>
      <c r="Z514" s="232"/>
      <c r="AA514" s="232"/>
      <c r="AB514" s="232"/>
      <c r="AC514" s="227"/>
      <c r="AD514" s="227"/>
      <c r="AE514" s="231"/>
      <c r="AF514" s="227"/>
      <c r="AG514" s="232"/>
      <c r="AH514" s="232"/>
      <c r="AI514" s="232"/>
      <c r="AJ514" s="232"/>
      <c r="AK514" s="232"/>
      <c r="AL514" s="232"/>
      <c r="AM514" s="232"/>
      <c r="AN514" s="232"/>
      <c r="AO514" s="231"/>
      <c r="AP514" s="231"/>
      <c r="AQ514" s="227"/>
      <c r="AR514" s="231"/>
      <c r="AS514" s="227"/>
      <c r="AT514" s="227"/>
      <c r="AU514" s="227"/>
      <c r="AV514" s="227"/>
    </row>
    <row r="515">
      <c r="A515" s="227"/>
      <c r="B515" s="232"/>
      <c r="C515" s="227"/>
      <c r="D515" s="227"/>
      <c r="E515" s="231"/>
      <c r="F515" s="232"/>
      <c r="G515" s="227"/>
      <c r="H515" s="227"/>
      <c r="I515" s="227"/>
      <c r="J515" s="227"/>
      <c r="K515" s="227"/>
      <c r="L515" s="232"/>
      <c r="M515" s="232"/>
      <c r="N515" s="227"/>
      <c r="O515" s="227"/>
      <c r="P515" s="231"/>
      <c r="Q515" s="227"/>
      <c r="R515" s="231"/>
      <c r="S515" s="231"/>
      <c r="T515" s="231"/>
      <c r="U515" s="231"/>
      <c r="V515" s="231"/>
      <c r="W515" s="231"/>
      <c r="X515" s="227"/>
      <c r="Y515" s="232"/>
      <c r="Z515" s="232"/>
      <c r="AA515" s="232"/>
      <c r="AB515" s="232"/>
      <c r="AC515" s="227"/>
      <c r="AD515" s="227"/>
      <c r="AE515" s="231"/>
      <c r="AF515" s="227"/>
      <c r="AG515" s="232"/>
      <c r="AH515" s="232"/>
      <c r="AI515" s="232"/>
      <c r="AJ515" s="232"/>
      <c r="AK515" s="232"/>
      <c r="AL515" s="232"/>
      <c r="AM515" s="232"/>
      <c r="AN515" s="232"/>
      <c r="AO515" s="231"/>
      <c r="AP515" s="231"/>
      <c r="AQ515" s="227"/>
      <c r="AR515" s="231"/>
      <c r="AS515" s="227"/>
      <c r="AT515" s="227"/>
      <c r="AU515" s="227"/>
      <c r="AV515" s="227"/>
    </row>
    <row r="516">
      <c r="A516" s="227"/>
      <c r="B516" s="232"/>
      <c r="C516" s="227"/>
      <c r="D516" s="227"/>
      <c r="E516" s="231"/>
      <c r="F516" s="232"/>
      <c r="G516" s="227"/>
      <c r="H516" s="227"/>
      <c r="I516" s="227"/>
      <c r="J516" s="227"/>
      <c r="K516" s="227"/>
      <c r="L516" s="232"/>
      <c r="M516" s="232"/>
      <c r="N516" s="227"/>
      <c r="O516" s="227"/>
      <c r="P516" s="231"/>
      <c r="Q516" s="227"/>
      <c r="R516" s="231"/>
      <c r="S516" s="231"/>
      <c r="T516" s="231"/>
      <c r="U516" s="231"/>
      <c r="V516" s="231"/>
      <c r="W516" s="231"/>
      <c r="X516" s="227"/>
      <c r="Y516" s="232"/>
      <c r="Z516" s="232"/>
      <c r="AA516" s="232"/>
      <c r="AB516" s="232"/>
      <c r="AC516" s="227"/>
      <c r="AD516" s="227"/>
      <c r="AE516" s="231"/>
      <c r="AF516" s="227"/>
      <c r="AG516" s="232"/>
      <c r="AH516" s="232"/>
      <c r="AI516" s="232"/>
      <c r="AJ516" s="232"/>
      <c r="AK516" s="232"/>
      <c r="AL516" s="232"/>
      <c r="AM516" s="232"/>
      <c r="AN516" s="232"/>
      <c r="AO516" s="231"/>
      <c r="AP516" s="231"/>
      <c r="AQ516" s="227"/>
      <c r="AR516" s="231"/>
      <c r="AS516" s="227"/>
      <c r="AT516" s="227"/>
      <c r="AU516" s="227"/>
      <c r="AV516" s="227"/>
    </row>
    <row r="517">
      <c r="A517" s="227"/>
      <c r="B517" s="232"/>
      <c r="C517" s="227"/>
      <c r="D517" s="227"/>
      <c r="E517" s="231"/>
      <c r="F517" s="232"/>
      <c r="G517" s="227"/>
      <c r="H517" s="227"/>
      <c r="I517" s="227"/>
      <c r="J517" s="227"/>
      <c r="K517" s="227"/>
      <c r="L517" s="232"/>
      <c r="M517" s="232"/>
      <c r="N517" s="227"/>
      <c r="O517" s="227"/>
      <c r="P517" s="231"/>
      <c r="Q517" s="227"/>
      <c r="R517" s="231"/>
      <c r="S517" s="231"/>
      <c r="T517" s="231"/>
      <c r="U517" s="231"/>
      <c r="V517" s="231"/>
      <c r="W517" s="231"/>
      <c r="X517" s="227"/>
      <c r="Y517" s="232"/>
      <c r="Z517" s="232"/>
      <c r="AA517" s="232"/>
      <c r="AB517" s="232"/>
      <c r="AC517" s="227"/>
      <c r="AD517" s="227"/>
      <c r="AE517" s="231"/>
      <c r="AF517" s="227"/>
      <c r="AG517" s="232"/>
      <c r="AH517" s="232"/>
      <c r="AI517" s="232"/>
      <c r="AJ517" s="232"/>
      <c r="AK517" s="232"/>
      <c r="AL517" s="232"/>
      <c r="AM517" s="232"/>
      <c r="AN517" s="232"/>
      <c r="AO517" s="231"/>
      <c r="AP517" s="231"/>
      <c r="AQ517" s="227"/>
      <c r="AR517" s="231"/>
      <c r="AS517" s="227"/>
      <c r="AT517" s="227"/>
      <c r="AU517" s="227"/>
      <c r="AV517" s="227"/>
    </row>
    <row r="518">
      <c r="A518" s="227"/>
      <c r="B518" s="232"/>
      <c r="C518" s="227"/>
      <c r="D518" s="227"/>
      <c r="E518" s="231"/>
      <c r="F518" s="232"/>
      <c r="G518" s="227"/>
      <c r="H518" s="227"/>
      <c r="I518" s="227"/>
      <c r="J518" s="227"/>
      <c r="K518" s="227"/>
      <c r="L518" s="232"/>
      <c r="M518" s="232"/>
      <c r="N518" s="227"/>
      <c r="O518" s="227"/>
      <c r="P518" s="231"/>
      <c r="Q518" s="227"/>
      <c r="R518" s="231"/>
      <c r="S518" s="231"/>
      <c r="T518" s="231"/>
      <c r="U518" s="231"/>
      <c r="V518" s="231"/>
      <c r="W518" s="231"/>
      <c r="X518" s="227"/>
      <c r="Y518" s="232"/>
      <c r="Z518" s="232"/>
      <c r="AA518" s="232"/>
      <c r="AB518" s="232"/>
      <c r="AC518" s="227"/>
      <c r="AD518" s="227"/>
      <c r="AE518" s="231"/>
      <c r="AF518" s="227"/>
      <c r="AG518" s="232"/>
      <c r="AH518" s="232"/>
      <c r="AI518" s="232"/>
      <c r="AJ518" s="232"/>
      <c r="AK518" s="232"/>
      <c r="AL518" s="232"/>
      <c r="AM518" s="232"/>
      <c r="AN518" s="232"/>
      <c r="AO518" s="231"/>
      <c r="AP518" s="231"/>
      <c r="AQ518" s="227"/>
      <c r="AR518" s="231"/>
      <c r="AS518" s="227"/>
      <c r="AT518" s="227"/>
      <c r="AU518" s="227"/>
      <c r="AV518" s="227"/>
    </row>
    <row r="519">
      <c r="A519" s="227"/>
      <c r="B519" s="232"/>
      <c r="C519" s="227"/>
      <c r="D519" s="227"/>
      <c r="E519" s="231"/>
      <c r="F519" s="232"/>
      <c r="G519" s="227"/>
      <c r="H519" s="227"/>
      <c r="I519" s="227"/>
      <c r="J519" s="227"/>
      <c r="K519" s="227"/>
      <c r="L519" s="232"/>
      <c r="M519" s="232"/>
      <c r="N519" s="227"/>
      <c r="O519" s="227"/>
      <c r="P519" s="231"/>
      <c r="Q519" s="227"/>
      <c r="R519" s="231"/>
      <c r="S519" s="231"/>
      <c r="T519" s="231"/>
      <c r="U519" s="231"/>
      <c r="V519" s="231"/>
      <c r="W519" s="231"/>
      <c r="X519" s="227"/>
      <c r="Y519" s="232"/>
      <c r="Z519" s="232"/>
      <c r="AA519" s="232"/>
      <c r="AB519" s="232"/>
      <c r="AC519" s="227"/>
      <c r="AD519" s="227"/>
      <c r="AE519" s="231"/>
      <c r="AF519" s="227"/>
      <c r="AG519" s="232"/>
      <c r="AH519" s="232"/>
      <c r="AI519" s="232"/>
      <c r="AJ519" s="232"/>
      <c r="AK519" s="232"/>
      <c r="AL519" s="232"/>
      <c r="AM519" s="232"/>
      <c r="AN519" s="232"/>
      <c r="AO519" s="231"/>
      <c r="AP519" s="231"/>
      <c r="AQ519" s="227"/>
      <c r="AR519" s="231"/>
      <c r="AS519" s="227"/>
      <c r="AT519" s="227"/>
      <c r="AU519" s="227"/>
      <c r="AV519" s="227"/>
    </row>
    <row r="520">
      <c r="A520" s="227"/>
      <c r="B520" s="232"/>
      <c r="C520" s="227"/>
      <c r="D520" s="227"/>
      <c r="E520" s="231"/>
      <c r="F520" s="232"/>
      <c r="G520" s="227"/>
      <c r="H520" s="227"/>
      <c r="I520" s="227"/>
      <c r="J520" s="227"/>
      <c r="K520" s="227"/>
      <c r="L520" s="232"/>
      <c r="M520" s="232"/>
      <c r="N520" s="227"/>
      <c r="O520" s="227"/>
      <c r="P520" s="231"/>
      <c r="Q520" s="227"/>
      <c r="R520" s="231"/>
      <c r="S520" s="231"/>
      <c r="T520" s="231"/>
      <c r="U520" s="231"/>
      <c r="V520" s="231"/>
      <c r="W520" s="231"/>
      <c r="X520" s="227"/>
      <c r="Y520" s="232"/>
      <c r="Z520" s="232"/>
      <c r="AA520" s="232"/>
      <c r="AB520" s="232"/>
      <c r="AC520" s="227"/>
      <c r="AD520" s="227"/>
      <c r="AE520" s="231"/>
      <c r="AF520" s="227"/>
      <c r="AG520" s="232"/>
      <c r="AH520" s="232"/>
      <c r="AI520" s="232"/>
      <c r="AJ520" s="232"/>
      <c r="AK520" s="232"/>
      <c r="AL520" s="232"/>
      <c r="AM520" s="232"/>
      <c r="AN520" s="232"/>
      <c r="AO520" s="231"/>
      <c r="AP520" s="231"/>
      <c r="AQ520" s="227"/>
      <c r="AR520" s="231"/>
      <c r="AS520" s="227"/>
      <c r="AT520" s="227"/>
      <c r="AU520" s="227"/>
      <c r="AV520" s="227"/>
    </row>
    <row r="521">
      <c r="A521" s="227"/>
      <c r="B521" s="232"/>
      <c r="C521" s="227"/>
      <c r="D521" s="227"/>
      <c r="E521" s="231"/>
      <c r="F521" s="232"/>
      <c r="G521" s="227"/>
      <c r="H521" s="227"/>
      <c r="I521" s="227"/>
      <c r="J521" s="227"/>
      <c r="K521" s="227"/>
      <c r="L521" s="232"/>
      <c r="M521" s="232"/>
      <c r="N521" s="227"/>
      <c r="O521" s="227"/>
      <c r="P521" s="231"/>
      <c r="Q521" s="227"/>
      <c r="R521" s="231"/>
      <c r="S521" s="231"/>
      <c r="T521" s="231"/>
      <c r="U521" s="231"/>
      <c r="V521" s="231"/>
      <c r="W521" s="231"/>
      <c r="X521" s="227"/>
      <c r="Y521" s="232"/>
      <c r="Z521" s="232"/>
      <c r="AA521" s="232"/>
      <c r="AB521" s="232"/>
      <c r="AC521" s="227"/>
      <c r="AD521" s="227"/>
      <c r="AE521" s="231"/>
      <c r="AF521" s="227"/>
      <c r="AG521" s="232"/>
      <c r="AH521" s="232"/>
      <c r="AI521" s="232"/>
      <c r="AJ521" s="232"/>
      <c r="AK521" s="232"/>
      <c r="AL521" s="232"/>
      <c r="AM521" s="232"/>
      <c r="AN521" s="232"/>
      <c r="AO521" s="231"/>
      <c r="AP521" s="231"/>
      <c r="AQ521" s="227"/>
      <c r="AR521" s="231"/>
      <c r="AS521" s="227"/>
      <c r="AT521" s="227"/>
      <c r="AU521" s="227"/>
      <c r="AV521" s="227"/>
    </row>
    <row r="522">
      <c r="A522" s="227"/>
      <c r="B522" s="232"/>
      <c r="C522" s="227"/>
      <c r="D522" s="227"/>
      <c r="E522" s="231"/>
      <c r="F522" s="232"/>
      <c r="G522" s="227"/>
      <c r="H522" s="227"/>
      <c r="I522" s="227"/>
      <c r="J522" s="227"/>
      <c r="K522" s="227"/>
      <c r="L522" s="232"/>
      <c r="M522" s="232"/>
      <c r="N522" s="227"/>
      <c r="O522" s="227"/>
      <c r="P522" s="231"/>
      <c r="Q522" s="227"/>
      <c r="R522" s="231"/>
      <c r="S522" s="231"/>
      <c r="T522" s="231"/>
      <c r="U522" s="231"/>
      <c r="V522" s="231"/>
      <c r="W522" s="231"/>
      <c r="X522" s="227"/>
      <c r="Y522" s="232"/>
      <c r="Z522" s="232"/>
      <c r="AA522" s="232"/>
      <c r="AB522" s="232"/>
      <c r="AC522" s="227"/>
      <c r="AD522" s="227"/>
      <c r="AE522" s="231"/>
      <c r="AF522" s="227"/>
      <c r="AG522" s="232"/>
      <c r="AH522" s="232"/>
      <c r="AI522" s="232"/>
      <c r="AJ522" s="232"/>
      <c r="AK522" s="232"/>
      <c r="AL522" s="232"/>
      <c r="AM522" s="232"/>
      <c r="AN522" s="232"/>
      <c r="AO522" s="231"/>
      <c r="AP522" s="231"/>
      <c r="AQ522" s="227"/>
      <c r="AR522" s="231"/>
      <c r="AS522" s="227"/>
      <c r="AT522" s="227"/>
      <c r="AU522" s="227"/>
      <c r="AV522" s="227"/>
    </row>
    <row r="523">
      <c r="A523" s="227"/>
      <c r="B523" s="232"/>
      <c r="C523" s="227"/>
      <c r="D523" s="227"/>
      <c r="E523" s="231"/>
      <c r="F523" s="232"/>
      <c r="G523" s="227"/>
      <c r="H523" s="227"/>
      <c r="I523" s="227"/>
      <c r="J523" s="227"/>
      <c r="K523" s="227"/>
      <c r="L523" s="232"/>
      <c r="M523" s="232"/>
      <c r="N523" s="227"/>
      <c r="O523" s="227"/>
      <c r="P523" s="231"/>
      <c r="Q523" s="227"/>
      <c r="R523" s="231"/>
      <c r="S523" s="231"/>
      <c r="T523" s="231"/>
      <c r="U523" s="231"/>
      <c r="V523" s="231"/>
      <c r="W523" s="231"/>
      <c r="X523" s="227"/>
      <c r="Y523" s="232"/>
      <c r="Z523" s="232"/>
      <c r="AA523" s="232"/>
      <c r="AB523" s="232"/>
      <c r="AC523" s="227"/>
      <c r="AD523" s="227"/>
      <c r="AE523" s="231"/>
      <c r="AF523" s="227"/>
      <c r="AG523" s="232"/>
      <c r="AH523" s="232"/>
      <c r="AI523" s="232"/>
      <c r="AJ523" s="232"/>
      <c r="AK523" s="232"/>
      <c r="AL523" s="232"/>
      <c r="AM523" s="232"/>
      <c r="AN523" s="232"/>
      <c r="AO523" s="231"/>
      <c r="AP523" s="231"/>
      <c r="AQ523" s="227"/>
      <c r="AR523" s="231"/>
      <c r="AS523" s="227"/>
      <c r="AT523" s="227"/>
      <c r="AU523" s="227"/>
      <c r="AV523" s="227"/>
    </row>
    <row r="524">
      <c r="A524" s="227"/>
      <c r="B524" s="232"/>
      <c r="C524" s="227"/>
      <c r="D524" s="227"/>
      <c r="E524" s="231"/>
      <c r="F524" s="232"/>
      <c r="G524" s="227"/>
      <c r="H524" s="227"/>
      <c r="I524" s="227"/>
      <c r="J524" s="227"/>
      <c r="K524" s="227"/>
      <c r="L524" s="232"/>
      <c r="M524" s="232"/>
      <c r="N524" s="227"/>
      <c r="O524" s="227"/>
      <c r="P524" s="231"/>
      <c r="Q524" s="227"/>
      <c r="R524" s="231"/>
      <c r="S524" s="231"/>
      <c r="T524" s="231"/>
      <c r="U524" s="231"/>
      <c r="V524" s="231"/>
      <c r="W524" s="231"/>
      <c r="X524" s="227"/>
      <c r="Y524" s="232"/>
      <c r="Z524" s="232"/>
      <c r="AA524" s="232"/>
      <c r="AB524" s="232"/>
      <c r="AC524" s="227"/>
      <c r="AD524" s="227"/>
      <c r="AE524" s="231"/>
      <c r="AF524" s="227"/>
      <c r="AG524" s="232"/>
      <c r="AH524" s="232"/>
      <c r="AI524" s="232"/>
      <c r="AJ524" s="232"/>
      <c r="AK524" s="232"/>
      <c r="AL524" s="232"/>
      <c r="AM524" s="232"/>
      <c r="AN524" s="232"/>
      <c r="AO524" s="231"/>
      <c r="AP524" s="231"/>
      <c r="AQ524" s="227"/>
      <c r="AR524" s="231"/>
      <c r="AS524" s="227"/>
      <c r="AT524" s="227"/>
      <c r="AU524" s="227"/>
      <c r="AV524" s="227"/>
    </row>
    <row r="525">
      <c r="A525" s="227"/>
      <c r="B525" s="232"/>
      <c r="C525" s="227"/>
      <c r="D525" s="227"/>
      <c r="E525" s="231"/>
      <c r="F525" s="232"/>
      <c r="G525" s="227"/>
      <c r="H525" s="227"/>
      <c r="I525" s="227"/>
      <c r="J525" s="227"/>
      <c r="K525" s="227"/>
      <c r="L525" s="232"/>
      <c r="M525" s="232"/>
      <c r="N525" s="227"/>
      <c r="O525" s="227"/>
      <c r="P525" s="231"/>
      <c r="Q525" s="227"/>
      <c r="R525" s="231"/>
      <c r="S525" s="231"/>
      <c r="T525" s="231"/>
      <c r="U525" s="231"/>
      <c r="V525" s="231"/>
      <c r="W525" s="231"/>
      <c r="X525" s="227"/>
      <c r="Y525" s="232"/>
      <c r="Z525" s="232"/>
      <c r="AA525" s="232"/>
      <c r="AB525" s="232"/>
      <c r="AC525" s="227"/>
      <c r="AD525" s="227"/>
      <c r="AE525" s="231"/>
      <c r="AF525" s="227"/>
      <c r="AG525" s="232"/>
      <c r="AH525" s="232"/>
      <c r="AI525" s="232"/>
      <c r="AJ525" s="232"/>
      <c r="AK525" s="232"/>
      <c r="AL525" s="232"/>
      <c r="AM525" s="232"/>
      <c r="AN525" s="232"/>
      <c r="AO525" s="231"/>
      <c r="AP525" s="231"/>
      <c r="AQ525" s="227"/>
      <c r="AR525" s="231"/>
      <c r="AS525" s="227"/>
      <c r="AT525" s="227"/>
      <c r="AU525" s="227"/>
      <c r="AV525" s="227"/>
    </row>
    <row r="526">
      <c r="A526" s="227"/>
      <c r="B526" s="232"/>
      <c r="C526" s="227"/>
      <c r="D526" s="227"/>
      <c r="E526" s="231"/>
      <c r="F526" s="232"/>
      <c r="G526" s="227"/>
      <c r="H526" s="227"/>
      <c r="I526" s="227"/>
      <c r="J526" s="227"/>
      <c r="K526" s="227"/>
      <c r="L526" s="232"/>
      <c r="M526" s="232"/>
      <c r="N526" s="227"/>
      <c r="O526" s="227"/>
      <c r="P526" s="231"/>
      <c r="Q526" s="227"/>
      <c r="R526" s="231"/>
      <c r="S526" s="231"/>
      <c r="T526" s="231"/>
      <c r="U526" s="231"/>
      <c r="V526" s="231"/>
      <c r="W526" s="231"/>
      <c r="X526" s="227"/>
      <c r="Y526" s="232"/>
      <c r="Z526" s="232"/>
      <c r="AA526" s="232"/>
      <c r="AB526" s="232"/>
      <c r="AC526" s="227"/>
      <c r="AD526" s="227"/>
      <c r="AE526" s="231"/>
      <c r="AF526" s="227"/>
      <c r="AG526" s="232"/>
      <c r="AH526" s="232"/>
      <c r="AI526" s="232"/>
      <c r="AJ526" s="232"/>
      <c r="AK526" s="232"/>
      <c r="AL526" s="232"/>
      <c r="AM526" s="232"/>
      <c r="AN526" s="232"/>
      <c r="AO526" s="231"/>
      <c r="AP526" s="231"/>
      <c r="AQ526" s="227"/>
      <c r="AR526" s="231"/>
      <c r="AS526" s="227"/>
      <c r="AT526" s="227"/>
      <c r="AU526" s="227"/>
      <c r="AV526" s="227"/>
    </row>
    <row r="527">
      <c r="A527" s="227"/>
      <c r="B527" s="232"/>
      <c r="C527" s="227"/>
      <c r="D527" s="227"/>
      <c r="E527" s="231"/>
      <c r="F527" s="232"/>
      <c r="G527" s="227"/>
      <c r="H527" s="227"/>
      <c r="I527" s="227"/>
      <c r="J527" s="227"/>
      <c r="K527" s="227"/>
      <c r="L527" s="232"/>
      <c r="M527" s="232"/>
      <c r="N527" s="227"/>
      <c r="O527" s="227"/>
      <c r="P527" s="231"/>
      <c r="Q527" s="227"/>
      <c r="R527" s="231"/>
      <c r="S527" s="231"/>
      <c r="T527" s="231"/>
      <c r="U527" s="231"/>
      <c r="V527" s="231"/>
      <c r="W527" s="231"/>
      <c r="X527" s="227"/>
      <c r="Y527" s="232"/>
      <c r="Z527" s="232"/>
      <c r="AA527" s="232"/>
      <c r="AB527" s="232"/>
      <c r="AC527" s="227"/>
      <c r="AD527" s="227"/>
      <c r="AE527" s="231"/>
      <c r="AF527" s="227"/>
      <c r="AG527" s="232"/>
      <c r="AH527" s="232"/>
      <c r="AI527" s="232"/>
      <c r="AJ527" s="232"/>
      <c r="AK527" s="232"/>
      <c r="AL527" s="232"/>
      <c r="AM527" s="232"/>
      <c r="AN527" s="232"/>
      <c r="AO527" s="231"/>
      <c r="AP527" s="231"/>
      <c r="AQ527" s="227"/>
      <c r="AR527" s="231"/>
      <c r="AS527" s="227"/>
      <c r="AT527" s="227"/>
      <c r="AU527" s="227"/>
      <c r="AV527" s="227"/>
    </row>
    <row r="528">
      <c r="A528" s="227"/>
      <c r="B528" s="232"/>
      <c r="C528" s="227"/>
      <c r="D528" s="227"/>
      <c r="E528" s="231"/>
      <c r="F528" s="232"/>
      <c r="G528" s="227"/>
      <c r="H528" s="227"/>
      <c r="I528" s="227"/>
      <c r="J528" s="227"/>
      <c r="K528" s="227"/>
      <c r="L528" s="232"/>
      <c r="M528" s="232"/>
      <c r="N528" s="227"/>
      <c r="O528" s="227"/>
      <c r="P528" s="231"/>
      <c r="Q528" s="227"/>
      <c r="R528" s="231"/>
      <c r="S528" s="231"/>
      <c r="T528" s="231"/>
      <c r="U528" s="231"/>
      <c r="V528" s="231"/>
      <c r="W528" s="231"/>
      <c r="X528" s="227"/>
      <c r="Y528" s="232"/>
      <c r="Z528" s="232"/>
      <c r="AA528" s="232"/>
      <c r="AB528" s="232"/>
      <c r="AC528" s="227"/>
      <c r="AD528" s="227"/>
      <c r="AE528" s="231"/>
      <c r="AF528" s="227"/>
      <c r="AG528" s="232"/>
      <c r="AH528" s="232"/>
      <c r="AI528" s="232"/>
      <c r="AJ528" s="232"/>
      <c r="AK528" s="232"/>
      <c r="AL528" s="232"/>
      <c r="AM528" s="232"/>
      <c r="AN528" s="232"/>
      <c r="AO528" s="231"/>
      <c r="AP528" s="231"/>
      <c r="AQ528" s="227"/>
      <c r="AR528" s="231"/>
      <c r="AS528" s="227"/>
      <c r="AT528" s="227"/>
      <c r="AU528" s="227"/>
      <c r="AV528" s="227"/>
    </row>
    <row r="529">
      <c r="A529" s="227"/>
      <c r="B529" s="232"/>
      <c r="C529" s="227"/>
      <c r="D529" s="227"/>
      <c r="E529" s="231"/>
      <c r="F529" s="232"/>
      <c r="G529" s="227"/>
      <c r="H529" s="227"/>
      <c r="I529" s="227"/>
      <c r="J529" s="227"/>
      <c r="K529" s="227"/>
      <c r="L529" s="232"/>
      <c r="M529" s="232"/>
      <c r="N529" s="227"/>
      <c r="O529" s="227"/>
      <c r="P529" s="231"/>
      <c r="Q529" s="227"/>
      <c r="R529" s="231"/>
      <c r="S529" s="231"/>
      <c r="T529" s="231"/>
      <c r="U529" s="231"/>
      <c r="V529" s="231"/>
      <c r="W529" s="231"/>
      <c r="X529" s="227"/>
      <c r="Y529" s="232"/>
      <c r="Z529" s="232"/>
      <c r="AA529" s="232"/>
      <c r="AB529" s="232"/>
      <c r="AC529" s="227"/>
      <c r="AD529" s="227"/>
      <c r="AE529" s="231"/>
      <c r="AF529" s="227"/>
      <c r="AG529" s="232"/>
      <c r="AH529" s="232"/>
      <c r="AI529" s="232"/>
      <c r="AJ529" s="232"/>
      <c r="AK529" s="232"/>
      <c r="AL529" s="232"/>
      <c r="AM529" s="232"/>
      <c r="AN529" s="232"/>
      <c r="AO529" s="231"/>
      <c r="AP529" s="231"/>
      <c r="AQ529" s="227"/>
      <c r="AR529" s="231"/>
      <c r="AS529" s="227"/>
      <c r="AT529" s="227"/>
      <c r="AU529" s="227"/>
      <c r="AV529" s="227"/>
    </row>
    <row r="530">
      <c r="A530" s="227"/>
      <c r="B530" s="232"/>
      <c r="C530" s="227"/>
      <c r="D530" s="227"/>
      <c r="E530" s="231"/>
      <c r="F530" s="232"/>
      <c r="G530" s="227"/>
      <c r="H530" s="227"/>
      <c r="I530" s="227"/>
      <c r="J530" s="227"/>
      <c r="K530" s="227"/>
      <c r="L530" s="232"/>
      <c r="M530" s="232"/>
      <c r="N530" s="227"/>
      <c r="O530" s="227"/>
      <c r="P530" s="231"/>
      <c r="Q530" s="227"/>
      <c r="R530" s="231"/>
      <c r="S530" s="231"/>
      <c r="T530" s="231"/>
      <c r="U530" s="231"/>
      <c r="V530" s="231"/>
      <c r="W530" s="231"/>
      <c r="X530" s="227"/>
      <c r="Y530" s="232"/>
      <c r="Z530" s="232"/>
      <c r="AA530" s="232"/>
      <c r="AB530" s="232"/>
      <c r="AC530" s="227"/>
      <c r="AD530" s="227"/>
      <c r="AE530" s="231"/>
      <c r="AF530" s="227"/>
      <c r="AG530" s="232"/>
      <c r="AH530" s="232"/>
      <c r="AI530" s="232"/>
      <c r="AJ530" s="232"/>
      <c r="AK530" s="232"/>
      <c r="AL530" s="232"/>
      <c r="AM530" s="232"/>
      <c r="AN530" s="232"/>
      <c r="AO530" s="231"/>
      <c r="AP530" s="231"/>
      <c r="AQ530" s="227"/>
      <c r="AR530" s="231"/>
      <c r="AS530" s="227"/>
      <c r="AT530" s="227"/>
      <c r="AU530" s="227"/>
      <c r="AV530" s="227"/>
    </row>
    <row r="531">
      <c r="A531" s="227"/>
      <c r="B531" s="232"/>
      <c r="C531" s="227"/>
      <c r="D531" s="227"/>
      <c r="E531" s="231"/>
      <c r="F531" s="232"/>
      <c r="G531" s="227"/>
      <c r="H531" s="227"/>
      <c r="I531" s="227"/>
      <c r="J531" s="227"/>
      <c r="K531" s="227"/>
      <c r="L531" s="232"/>
      <c r="M531" s="232"/>
      <c r="N531" s="227"/>
      <c r="O531" s="227"/>
      <c r="P531" s="231"/>
      <c r="Q531" s="227"/>
      <c r="R531" s="231"/>
      <c r="S531" s="231"/>
      <c r="T531" s="231"/>
      <c r="U531" s="231"/>
      <c r="V531" s="231"/>
      <c r="W531" s="231"/>
      <c r="X531" s="227"/>
      <c r="Y531" s="232"/>
      <c r="Z531" s="232"/>
      <c r="AA531" s="232"/>
      <c r="AB531" s="232"/>
      <c r="AC531" s="227"/>
      <c r="AD531" s="227"/>
      <c r="AE531" s="231"/>
      <c r="AF531" s="227"/>
      <c r="AG531" s="232"/>
      <c r="AH531" s="232"/>
      <c r="AI531" s="232"/>
      <c r="AJ531" s="232"/>
      <c r="AK531" s="232"/>
      <c r="AL531" s="232"/>
      <c r="AM531" s="232"/>
      <c r="AN531" s="232"/>
      <c r="AO531" s="231"/>
      <c r="AP531" s="231"/>
      <c r="AQ531" s="227"/>
      <c r="AR531" s="231"/>
      <c r="AS531" s="227"/>
      <c r="AT531" s="227"/>
      <c r="AU531" s="227"/>
      <c r="AV531" s="227"/>
    </row>
    <row r="532">
      <c r="A532" s="227"/>
      <c r="B532" s="232"/>
      <c r="C532" s="227"/>
      <c r="D532" s="227"/>
      <c r="E532" s="231"/>
      <c r="F532" s="232"/>
      <c r="G532" s="227"/>
      <c r="H532" s="227"/>
      <c r="I532" s="227"/>
      <c r="J532" s="227"/>
      <c r="K532" s="227"/>
      <c r="L532" s="232"/>
      <c r="M532" s="232"/>
      <c r="N532" s="227"/>
      <c r="O532" s="227"/>
      <c r="P532" s="231"/>
      <c r="Q532" s="227"/>
      <c r="R532" s="231"/>
      <c r="S532" s="231"/>
      <c r="T532" s="231"/>
      <c r="U532" s="231"/>
      <c r="V532" s="231"/>
      <c r="W532" s="231"/>
      <c r="X532" s="227"/>
      <c r="Y532" s="232"/>
      <c r="Z532" s="232"/>
      <c r="AA532" s="232"/>
      <c r="AB532" s="232"/>
      <c r="AC532" s="227"/>
      <c r="AD532" s="227"/>
      <c r="AE532" s="231"/>
      <c r="AF532" s="227"/>
      <c r="AG532" s="232"/>
      <c r="AH532" s="232"/>
      <c r="AI532" s="232"/>
      <c r="AJ532" s="232"/>
      <c r="AK532" s="232"/>
      <c r="AL532" s="232"/>
      <c r="AM532" s="232"/>
      <c r="AN532" s="232"/>
      <c r="AO532" s="231"/>
      <c r="AP532" s="231"/>
      <c r="AQ532" s="227"/>
      <c r="AR532" s="231"/>
      <c r="AS532" s="227"/>
      <c r="AT532" s="227"/>
      <c r="AU532" s="227"/>
      <c r="AV532" s="227"/>
    </row>
    <row r="533">
      <c r="A533" s="227"/>
      <c r="B533" s="232"/>
      <c r="C533" s="227"/>
      <c r="D533" s="227"/>
      <c r="E533" s="231"/>
      <c r="F533" s="232"/>
      <c r="G533" s="227"/>
      <c r="H533" s="227"/>
      <c r="I533" s="227"/>
      <c r="J533" s="227"/>
      <c r="K533" s="227"/>
      <c r="L533" s="232"/>
      <c r="M533" s="232"/>
      <c r="N533" s="227"/>
      <c r="O533" s="227"/>
      <c r="P533" s="231"/>
      <c r="Q533" s="227"/>
      <c r="R533" s="231"/>
      <c r="S533" s="231"/>
      <c r="T533" s="231"/>
      <c r="U533" s="231"/>
      <c r="V533" s="231"/>
      <c r="W533" s="231"/>
      <c r="X533" s="227"/>
      <c r="Y533" s="232"/>
      <c r="Z533" s="232"/>
      <c r="AA533" s="232"/>
      <c r="AB533" s="232"/>
      <c r="AC533" s="227"/>
      <c r="AD533" s="227"/>
      <c r="AE533" s="231"/>
      <c r="AF533" s="227"/>
      <c r="AG533" s="232"/>
      <c r="AH533" s="232"/>
      <c r="AI533" s="232"/>
      <c r="AJ533" s="232"/>
      <c r="AK533" s="232"/>
      <c r="AL533" s="232"/>
      <c r="AM533" s="232"/>
      <c r="AN533" s="232"/>
      <c r="AO533" s="231"/>
      <c r="AP533" s="231"/>
      <c r="AQ533" s="227"/>
      <c r="AR533" s="231"/>
      <c r="AS533" s="227"/>
      <c r="AT533" s="227"/>
      <c r="AU533" s="227"/>
      <c r="AV533" s="227"/>
    </row>
    <row r="534">
      <c r="A534" s="227"/>
      <c r="B534" s="232"/>
      <c r="C534" s="227"/>
      <c r="D534" s="227"/>
      <c r="E534" s="231"/>
      <c r="F534" s="232"/>
      <c r="G534" s="227"/>
      <c r="H534" s="227"/>
      <c r="I534" s="227"/>
      <c r="J534" s="227"/>
      <c r="K534" s="227"/>
      <c r="L534" s="232"/>
      <c r="M534" s="232"/>
      <c r="N534" s="227"/>
      <c r="O534" s="227"/>
      <c r="P534" s="231"/>
      <c r="Q534" s="227"/>
      <c r="R534" s="231"/>
      <c r="S534" s="231"/>
      <c r="T534" s="231"/>
      <c r="U534" s="231"/>
      <c r="V534" s="231"/>
      <c r="W534" s="231"/>
      <c r="X534" s="227"/>
      <c r="Y534" s="232"/>
      <c r="Z534" s="232"/>
      <c r="AA534" s="232"/>
      <c r="AB534" s="232"/>
      <c r="AC534" s="227"/>
      <c r="AD534" s="227"/>
      <c r="AE534" s="231"/>
      <c r="AF534" s="227"/>
      <c r="AG534" s="232"/>
      <c r="AH534" s="232"/>
      <c r="AI534" s="232"/>
      <c r="AJ534" s="232"/>
      <c r="AK534" s="232"/>
      <c r="AL534" s="232"/>
      <c r="AM534" s="232"/>
      <c r="AN534" s="232"/>
      <c r="AO534" s="231"/>
      <c r="AP534" s="231"/>
      <c r="AQ534" s="227"/>
      <c r="AR534" s="231"/>
      <c r="AS534" s="227"/>
      <c r="AT534" s="227"/>
      <c r="AU534" s="227"/>
      <c r="AV534" s="227"/>
    </row>
    <row r="535">
      <c r="A535" s="227"/>
      <c r="B535" s="232"/>
      <c r="C535" s="227"/>
      <c r="D535" s="227"/>
      <c r="E535" s="231"/>
      <c r="F535" s="232"/>
      <c r="G535" s="227"/>
      <c r="H535" s="227"/>
      <c r="I535" s="227"/>
      <c r="J535" s="227"/>
      <c r="K535" s="227"/>
      <c r="L535" s="232"/>
      <c r="M535" s="232"/>
      <c r="N535" s="227"/>
      <c r="O535" s="227"/>
      <c r="P535" s="231"/>
      <c r="Q535" s="227"/>
      <c r="R535" s="231"/>
      <c r="S535" s="231"/>
      <c r="T535" s="231"/>
      <c r="U535" s="231"/>
      <c r="V535" s="231"/>
      <c r="W535" s="231"/>
      <c r="X535" s="227"/>
      <c r="Y535" s="232"/>
      <c r="Z535" s="232"/>
      <c r="AA535" s="232"/>
      <c r="AB535" s="232"/>
      <c r="AC535" s="227"/>
      <c r="AD535" s="227"/>
      <c r="AE535" s="231"/>
      <c r="AF535" s="227"/>
      <c r="AG535" s="232"/>
      <c r="AH535" s="232"/>
      <c r="AI535" s="232"/>
      <c r="AJ535" s="232"/>
      <c r="AK535" s="232"/>
      <c r="AL535" s="232"/>
      <c r="AM535" s="232"/>
      <c r="AN535" s="232"/>
      <c r="AO535" s="231"/>
      <c r="AP535" s="231"/>
      <c r="AQ535" s="227"/>
      <c r="AR535" s="231"/>
      <c r="AS535" s="227"/>
      <c r="AT535" s="227"/>
      <c r="AU535" s="227"/>
      <c r="AV535" s="227"/>
    </row>
    <row r="536">
      <c r="A536" s="227"/>
      <c r="B536" s="232"/>
      <c r="C536" s="227"/>
      <c r="D536" s="227"/>
      <c r="E536" s="231"/>
      <c r="F536" s="232"/>
      <c r="G536" s="227"/>
      <c r="H536" s="227"/>
      <c r="I536" s="227"/>
      <c r="J536" s="227"/>
      <c r="K536" s="227"/>
      <c r="L536" s="232"/>
      <c r="M536" s="232"/>
      <c r="N536" s="227"/>
      <c r="O536" s="227"/>
      <c r="P536" s="231"/>
      <c r="Q536" s="227"/>
      <c r="R536" s="231"/>
      <c r="S536" s="231"/>
      <c r="T536" s="231"/>
      <c r="U536" s="231"/>
      <c r="V536" s="231"/>
      <c r="W536" s="231"/>
      <c r="X536" s="227"/>
      <c r="Y536" s="232"/>
      <c r="Z536" s="232"/>
      <c r="AA536" s="232"/>
      <c r="AB536" s="232"/>
      <c r="AC536" s="227"/>
      <c r="AD536" s="227"/>
      <c r="AE536" s="231"/>
      <c r="AF536" s="227"/>
      <c r="AG536" s="232"/>
      <c r="AH536" s="232"/>
      <c r="AI536" s="232"/>
      <c r="AJ536" s="232"/>
      <c r="AK536" s="232"/>
      <c r="AL536" s="232"/>
      <c r="AM536" s="232"/>
      <c r="AN536" s="232"/>
      <c r="AO536" s="231"/>
      <c r="AP536" s="231"/>
      <c r="AQ536" s="227"/>
      <c r="AR536" s="231"/>
      <c r="AS536" s="227"/>
      <c r="AT536" s="227"/>
      <c r="AU536" s="227"/>
      <c r="AV536" s="227"/>
    </row>
    <row r="537">
      <c r="A537" s="227"/>
      <c r="B537" s="232"/>
      <c r="C537" s="227"/>
      <c r="D537" s="227"/>
      <c r="E537" s="231"/>
      <c r="F537" s="232"/>
      <c r="G537" s="227"/>
      <c r="H537" s="227"/>
      <c r="I537" s="227"/>
      <c r="J537" s="227"/>
      <c r="K537" s="227"/>
      <c r="L537" s="232"/>
      <c r="M537" s="232"/>
      <c r="N537" s="227"/>
      <c r="O537" s="227"/>
      <c r="P537" s="231"/>
      <c r="Q537" s="227"/>
      <c r="R537" s="231"/>
      <c r="S537" s="231"/>
      <c r="T537" s="231"/>
      <c r="U537" s="231"/>
      <c r="V537" s="231"/>
      <c r="W537" s="231"/>
      <c r="X537" s="227"/>
      <c r="Y537" s="232"/>
      <c r="Z537" s="232"/>
      <c r="AA537" s="232"/>
      <c r="AB537" s="232"/>
      <c r="AC537" s="227"/>
      <c r="AD537" s="227"/>
      <c r="AE537" s="231"/>
      <c r="AF537" s="227"/>
      <c r="AG537" s="232"/>
      <c r="AH537" s="232"/>
      <c r="AI537" s="232"/>
      <c r="AJ537" s="232"/>
      <c r="AK537" s="232"/>
      <c r="AL537" s="232"/>
      <c r="AM537" s="232"/>
      <c r="AN537" s="232"/>
      <c r="AO537" s="231"/>
      <c r="AP537" s="231"/>
      <c r="AQ537" s="227"/>
      <c r="AR537" s="231"/>
      <c r="AS537" s="227"/>
      <c r="AT537" s="227"/>
      <c r="AU537" s="227"/>
      <c r="AV537" s="227"/>
    </row>
    <row r="538">
      <c r="A538" s="227"/>
      <c r="B538" s="232"/>
      <c r="C538" s="227"/>
      <c r="D538" s="227"/>
      <c r="E538" s="231"/>
      <c r="F538" s="232"/>
      <c r="G538" s="227"/>
      <c r="H538" s="227"/>
      <c r="I538" s="227"/>
      <c r="J538" s="227"/>
      <c r="K538" s="227"/>
      <c r="L538" s="232"/>
      <c r="M538" s="232"/>
      <c r="N538" s="227"/>
      <c r="O538" s="227"/>
      <c r="P538" s="231"/>
      <c r="Q538" s="227"/>
      <c r="R538" s="231"/>
      <c r="S538" s="231"/>
      <c r="T538" s="231"/>
      <c r="U538" s="231"/>
      <c r="V538" s="231"/>
      <c r="W538" s="231"/>
      <c r="X538" s="227"/>
      <c r="Y538" s="232"/>
      <c r="Z538" s="232"/>
      <c r="AA538" s="232"/>
      <c r="AB538" s="232"/>
      <c r="AC538" s="227"/>
      <c r="AD538" s="227"/>
      <c r="AE538" s="231"/>
      <c r="AF538" s="227"/>
      <c r="AG538" s="232"/>
      <c r="AH538" s="232"/>
      <c r="AI538" s="232"/>
      <c r="AJ538" s="232"/>
      <c r="AK538" s="232"/>
      <c r="AL538" s="232"/>
      <c r="AM538" s="232"/>
      <c r="AN538" s="232"/>
      <c r="AO538" s="231"/>
      <c r="AP538" s="231"/>
      <c r="AQ538" s="227"/>
      <c r="AR538" s="231"/>
      <c r="AS538" s="227"/>
      <c r="AT538" s="227"/>
      <c r="AU538" s="227"/>
      <c r="AV538" s="227"/>
    </row>
    <row r="539">
      <c r="A539" s="227"/>
      <c r="B539" s="232"/>
      <c r="C539" s="227"/>
      <c r="D539" s="227"/>
      <c r="E539" s="231"/>
      <c r="F539" s="232"/>
      <c r="G539" s="227"/>
      <c r="H539" s="227"/>
      <c r="I539" s="227"/>
      <c r="J539" s="227"/>
      <c r="K539" s="227"/>
      <c r="L539" s="232"/>
      <c r="M539" s="232"/>
      <c r="N539" s="227"/>
      <c r="O539" s="227"/>
      <c r="P539" s="231"/>
      <c r="Q539" s="227"/>
      <c r="R539" s="231"/>
      <c r="S539" s="231"/>
      <c r="T539" s="231"/>
      <c r="U539" s="231"/>
      <c r="V539" s="231"/>
      <c r="W539" s="231"/>
      <c r="X539" s="227"/>
      <c r="Y539" s="232"/>
      <c r="Z539" s="232"/>
      <c r="AA539" s="232"/>
      <c r="AB539" s="232"/>
      <c r="AC539" s="227"/>
      <c r="AD539" s="227"/>
      <c r="AE539" s="231"/>
      <c r="AF539" s="227"/>
      <c r="AG539" s="232"/>
      <c r="AH539" s="232"/>
      <c r="AI539" s="232"/>
      <c r="AJ539" s="232"/>
      <c r="AK539" s="232"/>
      <c r="AL539" s="232"/>
      <c r="AM539" s="232"/>
      <c r="AN539" s="232"/>
      <c r="AO539" s="231"/>
      <c r="AP539" s="231"/>
      <c r="AQ539" s="227"/>
      <c r="AR539" s="231"/>
      <c r="AS539" s="227"/>
      <c r="AT539" s="227"/>
      <c r="AU539" s="227"/>
      <c r="AV539" s="227"/>
    </row>
    <row r="540">
      <c r="A540" s="227"/>
      <c r="B540" s="232"/>
      <c r="C540" s="227"/>
      <c r="D540" s="227"/>
      <c r="E540" s="231"/>
      <c r="F540" s="232"/>
      <c r="G540" s="227"/>
      <c r="H540" s="227"/>
      <c r="I540" s="227"/>
      <c r="J540" s="227"/>
      <c r="K540" s="227"/>
      <c r="L540" s="232"/>
      <c r="M540" s="232"/>
      <c r="N540" s="227"/>
      <c r="O540" s="227"/>
      <c r="P540" s="231"/>
      <c r="Q540" s="227"/>
      <c r="R540" s="231"/>
      <c r="S540" s="231"/>
      <c r="T540" s="231"/>
      <c r="U540" s="231"/>
      <c r="V540" s="231"/>
      <c r="W540" s="231"/>
      <c r="X540" s="227"/>
      <c r="Y540" s="232"/>
      <c r="Z540" s="232"/>
      <c r="AA540" s="232"/>
      <c r="AB540" s="232"/>
      <c r="AC540" s="227"/>
      <c r="AD540" s="227"/>
      <c r="AE540" s="231"/>
      <c r="AF540" s="227"/>
      <c r="AG540" s="232"/>
      <c r="AH540" s="232"/>
      <c r="AI540" s="232"/>
      <c r="AJ540" s="232"/>
      <c r="AK540" s="232"/>
      <c r="AL540" s="232"/>
      <c r="AM540" s="232"/>
      <c r="AN540" s="232"/>
      <c r="AO540" s="231"/>
      <c r="AP540" s="231"/>
      <c r="AQ540" s="227"/>
      <c r="AR540" s="231"/>
      <c r="AS540" s="227"/>
      <c r="AT540" s="227"/>
      <c r="AU540" s="227"/>
      <c r="AV540" s="227"/>
    </row>
    <row r="541">
      <c r="A541" s="227"/>
      <c r="B541" s="232"/>
      <c r="C541" s="227"/>
      <c r="D541" s="227"/>
      <c r="E541" s="231"/>
      <c r="F541" s="232"/>
      <c r="G541" s="227"/>
      <c r="H541" s="227"/>
      <c r="I541" s="227"/>
      <c r="J541" s="227"/>
      <c r="K541" s="227"/>
      <c r="L541" s="232"/>
      <c r="M541" s="232"/>
      <c r="N541" s="227"/>
      <c r="O541" s="227"/>
      <c r="P541" s="231"/>
      <c r="Q541" s="227"/>
      <c r="R541" s="231"/>
      <c r="S541" s="231"/>
      <c r="T541" s="231"/>
      <c r="U541" s="231"/>
      <c r="V541" s="231"/>
      <c r="W541" s="231"/>
      <c r="X541" s="227"/>
      <c r="Y541" s="232"/>
      <c r="Z541" s="232"/>
      <c r="AA541" s="232"/>
      <c r="AB541" s="232"/>
      <c r="AC541" s="227"/>
      <c r="AD541" s="227"/>
      <c r="AE541" s="231"/>
      <c r="AF541" s="227"/>
      <c r="AG541" s="232"/>
      <c r="AH541" s="232"/>
      <c r="AI541" s="232"/>
      <c r="AJ541" s="232"/>
      <c r="AK541" s="232"/>
      <c r="AL541" s="232"/>
      <c r="AM541" s="232"/>
      <c r="AN541" s="232"/>
      <c r="AO541" s="231"/>
      <c r="AP541" s="231"/>
      <c r="AQ541" s="227"/>
      <c r="AR541" s="231"/>
      <c r="AS541" s="227"/>
      <c r="AT541" s="227"/>
      <c r="AU541" s="227"/>
      <c r="AV541" s="227"/>
    </row>
    <row r="542">
      <c r="A542" s="227"/>
      <c r="B542" s="232"/>
      <c r="C542" s="227"/>
      <c r="D542" s="227"/>
      <c r="E542" s="231"/>
      <c r="F542" s="232"/>
      <c r="G542" s="227"/>
      <c r="H542" s="227"/>
      <c r="I542" s="227"/>
      <c r="J542" s="227"/>
      <c r="K542" s="227"/>
      <c r="L542" s="232"/>
      <c r="M542" s="232"/>
      <c r="N542" s="227"/>
      <c r="O542" s="227"/>
      <c r="P542" s="231"/>
      <c r="Q542" s="227"/>
      <c r="R542" s="231"/>
      <c r="S542" s="231"/>
      <c r="T542" s="231"/>
      <c r="U542" s="231"/>
      <c r="V542" s="231"/>
      <c r="W542" s="231"/>
      <c r="X542" s="227"/>
      <c r="Y542" s="232"/>
      <c r="Z542" s="232"/>
      <c r="AA542" s="232"/>
      <c r="AB542" s="232"/>
      <c r="AC542" s="227"/>
      <c r="AD542" s="227"/>
      <c r="AE542" s="231"/>
      <c r="AF542" s="227"/>
      <c r="AG542" s="232"/>
      <c r="AH542" s="232"/>
      <c r="AI542" s="232"/>
      <c r="AJ542" s="232"/>
      <c r="AK542" s="232"/>
      <c r="AL542" s="232"/>
      <c r="AM542" s="232"/>
      <c r="AN542" s="232"/>
      <c r="AO542" s="231"/>
      <c r="AP542" s="231"/>
      <c r="AQ542" s="227"/>
      <c r="AR542" s="231"/>
      <c r="AS542" s="227"/>
      <c r="AT542" s="227"/>
      <c r="AU542" s="227"/>
      <c r="AV542" s="227"/>
    </row>
    <row r="543">
      <c r="A543" s="227"/>
      <c r="B543" s="232"/>
      <c r="C543" s="227"/>
      <c r="D543" s="227"/>
      <c r="E543" s="231"/>
      <c r="F543" s="232"/>
      <c r="G543" s="227"/>
      <c r="H543" s="227"/>
      <c r="I543" s="227"/>
      <c r="J543" s="227"/>
      <c r="K543" s="227"/>
      <c r="L543" s="232"/>
      <c r="M543" s="232"/>
      <c r="N543" s="227"/>
      <c r="O543" s="227"/>
      <c r="P543" s="231"/>
      <c r="Q543" s="227"/>
      <c r="R543" s="231"/>
      <c r="S543" s="231"/>
      <c r="T543" s="231"/>
      <c r="U543" s="231"/>
      <c r="V543" s="231"/>
      <c r="W543" s="231"/>
      <c r="X543" s="227"/>
      <c r="Y543" s="232"/>
      <c r="Z543" s="232"/>
      <c r="AA543" s="232"/>
      <c r="AB543" s="232"/>
      <c r="AC543" s="227"/>
      <c r="AD543" s="227"/>
      <c r="AE543" s="231"/>
      <c r="AF543" s="227"/>
      <c r="AG543" s="232"/>
      <c r="AH543" s="232"/>
      <c r="AI543" s="232"/>
      <c r="AJ543" s="232"/>
      <c r="AK543" s="232"/>
      <c r="AL543" s="232"/>
      <c r="AM543" s="232"/>
      <c r="AN543" s="232"/>
      <c r="AO543" s="231"/>
      <c r="AP543" s="231"/>
      <c r="AQ543" s="227"/>
      <c r="AR543" s="231"/>
      <c r="AS543" s="227"/>
      <c r="AT543" s="227"/>
      <c r="AU543" s="227"/>
      <c r="AV543" s="227"/>
    </row>
    <row r="544">
      <c r="A544" s="227"/>
      <c r="B544" s="232"/>
      <c r="C544" s="227"/>
      <c r="D544" s="227"/>
      <c r="E544" s="231"/>
      <c r="F544" s="232"/>
      <c r="G544" s="227"/>
      <c r="H544" s="227"/>
      <c r="I544" s="227"/>
      <c r="J544" s="227"/>
      <c r="K544" s="227"/>
      <c r="L544" s="232"/>
      <c r="M544" s="232"/>
      <c r="N544" s="227"/>
      <c r="O544" s="227"/>
      <c r="P544" s="231"/>
      <c r="Q544" s="227"/>
      <c r="R544" s="231"/>
      <c r="S544" s="231"/>
      <c r="T544" s="231"/>
      <c r="U544" s="231"/>
      <c r="V544" s="231"/>
      <c r="W544" s="231"/>
      <c r="X544" s="227"/>
      <c r="Y544" s="232"/>
      <c r="Z544" s="232"/>
      <c r="AA544" s="232"/>
      <c r="AB544" s="232"/>
      <c r="AC544" s="227"/>
      <c r="AD544" s="227"/>
      <c r="AE544" s="231"/>
      <c r="AF544" s="227"/>
      <c r="AG544" s="232"/>
      <c r="AH544" s="232"/>
      <c r="AI544" s="232"/>
      <c r="AJ544" s="232"/>
      <c r="AK544" s="232"/>
      <c r="AL544" s="232"/>
      <c r="AM544" s="232"/>
      <c r="AN544" s="232"/>
      <c r="AO544" s="231"/>
      <c r="AP544" s="231"/>
      <c r="AQ544" s="227"/>
      <c r="AR544" s="231"/>
      <c r="AS544" s="227"/>
      <c r="AT544" s="227"/>
      <c r="AU544" s="227"/>
      <c r="AV544" s="227"/>
    </row>
    <row r="545">
      <c r="A545" s="227"/>
      <c r="B545" s="232"/>
      <c r="C545" s="227"/>
      <c r="D545" s="227"/>
      <c r="E545" s="231"/>
      <c r="F545" s="232"/>
      <c r="G545" s="227"/>
      <c r="H545" s="227"/>
      <c r="I545" s="227"/>
      <c r="J545" s="227"/>
      <c r="K545" s="227"/>
      <c r="L545" s="232"/>
      <c r="M545" s="232"/>
      <c r="N545" s="227"/>
      <c r="O545" s="227"/>
      <c r="P545" s="231"/>
      <c r="Q545" s="227"/>
      <c r="R545" s="231"/>
      <c r="S545" s="231"/>
      <c r="T545" s="231"/>
      <c r="U545" s="231"/>
      <c r="V545" s="231"/>
      <c r="W545" s="231"/>
      <c r="X545" s="227"/>
      <c r="Y545" s="232"/>
      <c r="Z545" s="232"/>
      <c r="AA545" s="232"/>
      <c r="AB545" s="232"/>
      <c r="AC545" s="227"/>
      <c r="AD545" s="227"/>
      <c r="AE545" s="231"/>
      <c r="AF545" s="227"/>
      <c r="AG545" s="232"/>
      <c r="AH545" s="232"/>
      <c r="AI545" s="232"/>
      <c r="AJ545" s="232"/>
      <c r="AK545" s="232"/>
      <c r="AL545" s="232"/>
      <c r="AM545" s="232"/>
      <c r="AN545" s="232"/>
      <c r="AO545" s="231"/>
      <c r="AP545" s="231"/>
      <c r="AQ545" s="227"/>
      <c r="AR545" s="231"/>
      <c r="AS545" s="227"/>
      <c r="AT545" s="227"/>
      <c r="AU545" s="227"/>
      <c r="AV545" s="227"/>
    </row>
    <row r="546">
      <c r="A546" s="227"/>
      <c r="B546" s="232"/>
      <c r="C546" s="227"/>
      <c r="D546" s="227"/>
      <c r="E546" s="231"/>
      <c r="F546" s="232"/>
      <c r="G546" s="227"/>
      <c r="H546" s="227"/>
      <c r="I546" s="227"/>
      <c r="J546" s="227"/>
      <c r="K546" s="227"/>
      <c r="L546" s="232"/>
      <c r="M546" s="232"/>
      <c r="N546" s="227"/>
      <c r="O546" s="227"/>
      <c r="P546" s="231"/>
      <c r="Q546" s="227"/>
      <c r="R546" s="231"/>
      <c r="S546" s="231"/>
      <c r="T546" s="231"/>
      <c r="U546" s="231"/>
      <c r="V546" s="231"/>
      <c r="W546" s="231"/>
      <c r="X546" s="227"/>
      <c r="Y546" s="232"/>
      <c r="Z546" s="232"/>
      <c r="AA546" s="232"/>
      <c r="AB546" s="232"/>
      <c r="AC546" s="227"/>
      <c r="AD546" s="227"/>
      <c r="AE546" s="231"/>
      <c r="AF546" s="227"/>
      <c r="AG546" s="232"/>
      <c r="AH546" s="232"/>
      <c r="AI546" s="232"/>
      <c r="AJ546" s="232"/>
      <c r="AK546" s="232"/>
      <c r="AL546" s="232"/>
      <c r="AM546" s="232"/>
      <c r="AN546" s="232"/>
      <c r="AO546" s="231"/>
      <c r="AP546" s="231"/>
      <c r="AQ546" s="227"/>
      <c r="AR546" s="231"/>
      <c r="AS546" s="227"/>
      <c r="AT546" s="227"/>
      <c r="AU546" s="227"/>
      <c r="AV546" s="227"/>
    </row>
    <row r="547">
      <c r="A547" s="227"/>
      <c r="B547" s="232"/>
      <c r="C547" s="227"/>
      <c r="D547" s="227"/>
      <c r="E547" s="231"/>
      <c r="F547" s="232"/>
      <c r="G547" s="227"/>
      <c r="H547" s="227"/>
      <c r="I547" s="227"/>
      <c r="J547" s="227"/>
      <c r="K547" s="227"/>
      <c r="L547" s="232"/>
      <c r="M547" s="232"/>
      <c r="N547" s="227"/>
      <c r="O547" s="227"/>
      <c r="P547" s="231"/>
      <c r="Q547" s="227"/>
      <c r="R547" s="231"/>
      <c r="S547" s="231"/>
      <c r="T547" s="231"/>
      <c r="U547" s="231"/>
      <c r="V547" s="231"/>
      <c r="W547" s="231"/>
      <c r="X547" s="227"/>
      <c r="Y547" s="232"/>
      <c r="Z547" s="232"/>
      <c r="AA547" s="232"/>
      <c r="AB547" s="232"/>
      <c r="AC547" s="227"/>
      <c r="AD547" s="227"/>
      <c r="AE547" s="231"/>
      <c r="AF547" s="227"/>
      <c r="AG547" s="232"/>
      <c r="AH547" s="232"/>
      <c r="AI547" s="232"/>
      <c r="AJ547" s="232"/>
      <c r="AK547" s="232"/>
      <c r="AL547" s="232"/>
      <c r="AM547" s="232"/>
      <c r="AN547" s="232"/>
      <c r="AO547" s="231"/>
      <c r="AP547" s="231"/>
      <c r="AQ547" s="227"/>
      <c r="AR547" s="231"/>
      <c r="AS547" s="227"/>
      <c r="AT547" s="227"/>
      <c r="AU547" s="227"/>
      <c r="AV547" s="227"/>
    </row>
    <row r="548">
      <c r="A548" s="227"/>
      <c r="B548" s="232"/>
      <c r="C548" s="227"/>
      <c r="D548" s="227"/>
      <c r="E548" s="231"/>
      <c r="F548" s="232"/>
      <c r="G548" s="227"/>
      <c r="H548" s="227"/>
      <c r="I548" s="227"/>
      <c r="J548" s="227"/>
      <c r="K548" s="227"/>
      <c r="L548" s="232"/>
      <c r="M548" s="232"/>
      <c r="N548" s="227"/>
      <c r="O548" s="227"/>
      <c r="P548" s="231"/>
      <c r="Q548" s="227"/>
      <c r="R548" s="231"/>
      <c r="S548" s="231"/>
      <c r="T548" s="231"/>
      <c r="U548" s="231"/>
      <c r="V548" s="231"/>
      <c r="W548" s="231"/>
      <c r="X548" s="227"/>
      <c r="Y548" s="232"/>
      <c r="Z548" s="232"/>
      <c r="AA548" s="232"/>
      <c r="AB548" s="232"/>
      <c r="AC548" s="227"/>
      <c r="AD548" s="227"/>
      <c r="AE548" s="231"/>
      <c r="AF548" s="227"/>
      <c r="AG548" s="232"/>
      <c r="AH548" s="232"/>
      <c r="AI548" s="232"/>
      <c r="AJ548" s="232"/>
      <c r="AK548" s="232"/>
      <c r="AL548" s="232"/>
      <c r="AM548" s="232"/>
      <c r="AN548" s="232"/>
      <c r="AO548" s="231"/>
      <c r="AP548" s="231"/>
      <c r="AQ548" s="227"/>
      <c r="AR548" s="231"/>
      <c r="AS548" s="227"/>
      <c r="AT548" s="227"/>
      <c r="AU548" s="227"/>
      <c r="AV548" s="227"/>
    </row>
    <row r="549">
      <c r="A549" s="227"/>
      <c r="B549" s="232"/>
      <c r="C549" s="227"/>
      <c r="D549" s="227"/>
      <c r="E549" s="231"/>
      <c r="F549" s="232"/>
      <c r="G549" s="227"/>
      <c r="H549" s="227"/>
      <c r="I549" s="227"/>
      <c r="J549" s="227"/>
      <c r="K549" s="227"/>
      <c r="L549" s="232"/>
      <c r="M549" s="232"/>
      <c r="N549" s="227"/>
      <c r="O549" s="227"/>
      <c r="P549" s="231"/>
      <c r="Q549" s="227"/>
      <c r="R549" s="231"/>
      <c r="S549" s="231"/>
      <c r="T549" s="231"/>
      <c r="U549" s="231"/>
      <c r="V549" s="231"/>
      <c r="W549" s="231"/>
      <c r="X549" s="227"/>
      <c r="Y549" s="232"/>
      <c r="Z549" s="232"/>
      <c r="AA549" s="232"/>
      <c r="AB549" s="232"/>
      <c r="AC549" s="227"/>
      <c r="AD549" s="227"/>
      <c r="AE549" s="231"/>
      <c r="AF549" s="227"/>
      <c r="AG549" s="232"/>
      <c r="AH549" s="232"/>
      <c r="AI549" s="232"/>
      <c r="AJ549" s="232"/>
      <c r="AK549" s="232"/>
      <c r="AL549" s="232"/>
      <c r="AM549" s="232"/>
      <c r="AN549" s="232"/>
      <c r="AO549" s="231"/>
      <c r="AP549" s="231"/>
      <c r="AQ549" s="227"/>
      <c r="AR549" s="231"/>
      <c r="AS549" s="227"/>
      <c r="AT549" s="227"/>
      <c r="AU549" s="227"/>
      <c r="AV549" s="227"/>
    </row>
    <row r="550">
      <c r="A550" s="227"/>
      <c r="B550" s="232"/>
      <c r="C550" s="227"/>
      <c r="D550" s="227"/>
      <c r="E550" s="231"/>
      <c r="F550" s="232"/>
      <c r="G550" s="227"/>
      <c r="H550" s="227"/>
      <c r="I550" s="227"/>
      <c r="J550" s="227"/>
      <c r="K550" s="227"/>
      <c r="L550" s="232"/>
      <c r="M550" s="232"/>
      <c r="N550" s="227"/>
      <c r="O550" s="227"/>
      <c r="P550" s="231"/>
      <c r="Q550" s="227"/>
      <c r="R550" s="231"/>
      <c r="S550" s="231"/>
      <c r="T550" s="231"/>
      <c r="U550" s="231"/>
      <c r="V550" s="231"/>
      <c r="W550" s="231"/>
      <c r="X550" s="227"/>
      <c r="Y550" s="232"/>
      <c r="Z550" s="232"/>
      <c r="AA550" s="232"/>
      <c r="AB550" s="232"/>
      <c r="AC550" s="227"/>
      <c r="AD550" s="227"/>
      <c r="AE550" s="231"/>
      <c r="AF550" s="227"/>
      <c r="AG550" s="232"/>
      <c r="AH550" s="232"/>
      <c r="AI550" s="232"/>
      <c r="AJ550" s="232"/>
      <c r="AK550" s="232"/>
      <c r="AL550" s="232"/>
      <c r="AM550" s="232"/>
      <c r="AN550" s="232"/>
      <c r="AO550" s="231"/>
      <c r="AP550" s="231"/>
      <c r="AQ550" s="227"/>
      <c r="AR550" s="231"/>
      <c r="AS550" s="227"/>
      <c r="AT550" s="227"/>
      <c r="AU550" s="227"/>
      <c r="AV550" s="227"/>
    </row>
    <row r="551">
      <c r="A551" s="227"/>
      <c r="B551" s="232"/>
      <c r="C551" s="227"/>
      <c r="D551" s="227"/>
      <c r="E551" s="231"/>
      <c r="F551" s="232"/>
      <c r="G551" s="227"/>
      <c r="H551" s="227"/>
      <c r="I551" s="227"/>
      <c r="J551" s="227"/>
      <c r="K551" s="227"/>
      <c r="L551" s="232"/>
      <c r="M551" s="232"/>
      <c r="N551" s="227"/>
      <c r="O551" s="227"/>
      <c r="P551" s="231"/>
      <c r="Q551" s="227"/>
      <c r="R551" s="231"/>
      <c r="S551" s="231"/>
      <c r="T551" s="231"/>
      <c r="U551" s="231"/>
      <c r="V551" s="231"/>
      <c r="W551" s="231"/>
      <c r="X551" s="227"/>
      <c r="Y551" s="232"/>
      <c r="Z551" s="232"/>
      <c r="AA551" s="232"/>
      <c r="AB551" s="232"/>
      <c r="AC551" s="227"/>
      <c r="AD551" s="227"/>
      <c r="AE551" s="231"/>
      <c r="AF551" s="227"/>
      <c r="AG551" s="232"/>
      <c r="AH551" s="232"/>
      <c r="AI551" s="232"/>
      <c r="AJ551" s="232"/>
      <c r="AK551" s="232"/>
      <c r="AL551" s="232"/>
      <c r="AM551" s="232"/>
      <c r="AN551" s="232"/>
      <c r="AO551" s="231"/>
      <c r="AP551" s="231"/>
      <c r="AQ551" s="227"/>
      <c r="AR551" s="231"/>
      <c r="AS551" s="227"/>
      <c r="AT551" s="227"/>
      <c r="AU551" s="227"/>
      <c r="AV551" s="227"/>
    </row>
    <row r="552">
      <c r="A552" s="227"/>
      <c r="B552" s="232"/>
      <c r="C552" s="227"/>
      <c r="D552" s="227"/>
      <c r="E552" s="231"/>
      <c r="F552" s="232"/>
      <c r="G552" s="227"/>
      <c r="H552" s="227"/>
      <c r="I552" s="227"/>
      <c r="J552" s="227"/>
      <c r="K552" s="227"/>
      <c r="L552" s="232"/>
      <c r="M552" s="232"/>
      <c r="N552" s="227"/>
      <c r="O552" s="227"/>
      <c r="P552" s="231"/>
      <c r="Q552" s="227"/>
      <c r="R552" s="231"/>
      <c r="S552" s="231"/>
      <c r="T552" s="231"/>
      <c r="U552" s="231"/>
      <c r="V552" s="231"/>
      <c r="W552" s="231"/>
      <c r="X552" s="227"/>
      <c r="Y552" s="232"/>
      <c r="Z552" s="232"/>
      <c r="AA552" s="232"/>
      <c r="AB552" s="232"/>
      <c r="AC552" s="227"/>
      <c r="AD552" s="227"/>
      <c r="AE552" s="231"/>
      <c r="AF552" s="227"/>
      <c r="AG552" s="232"/>
      <c r="AH552" s="232"/>
      <c r="AI552" s="232"/>
      <c r="AJ552" s="232"/>
      <c r="AK552" s="232"/>
      <c r="AL552" s="232"/>
      <c r="AM552" s="232"/>
      <c r="AN552" s="232"/>
      <c r="AO552" s="231"/>
      <c r="AP552" s="231"/>
      <c r="AQ552" s="227"/>
      <c r="AR552" s="231"/>
      <c r="AS552" s="227"/>
      <c r="AT552" s="227"/>
      <c r="AU552" s="227"/>
      <c r="AV552" s="227"/>
    </row>
    <row r="553">
      <c r="A553" s="227"/>
      <c r="B553" s="232"/>
      <c r="C553" s="227"/>
      <c r="D553" s="227"/>
      <c r="E553" s="231"/>
      <c r="F553" s="232"/>
      <c r="G553" s="227"/>
      <c r="H553" s="227"/>
      <c r="I553" s="227"/>
      <c r="J553" s="227"/>
      <c r="K553" s="227"/>
      <c r="L553" s="232"/>
      <c r="M553" s="232"/>
      <c r="N553" s="227"/>
      <c r="O553" s="227"/>
      <c r="P553" s="231"/>
      <c r="Q553" s="227"/>
      <c r="R553" s="231"/>
      <c r="S553" s="231"/>
      <c r="T553" s="231"/>
      <c r="U553" s="231"/>
      <c r="V553" s="231"/>
      <c r="W553" s="231"/>
      <c r="X553" s="227"/>
      <c r="Y553" s="232"/>
      <c r="Z553" s="232"/>
      <c r="AA553" s="232"/>
      <c r="AB553" s="232"/>
      <c r="AC553" s="227"/>
      <c r="AD553" s="227"/>
      <c r="AE553" s="231"/>
      <c r="AF553" s="227"/>
      <c r="AG553" s="232"/>
      <c r="AH553" s="232"/>
      <c r="AI553" s="232"/>
      <c r="AJ553" s="232"/>
      <c r="AK553" s="232"/>
      <c r="AL553" s="232"/>
      <c r="AM553" s="232"/>
      <c r="AN553" s="232"/>
      <c r="AO553" s="231"/>
      <c r="AP553" s="231"/>
      <c r="AQ553" s="227"/>
      <c r="AR553" s="231"/>
      <c r="AS553" s="227"/>
      <c r="AT553" s="227"/>
      <c r="AU553" s="227"/>
      <c r="AV553" s="227"/>
    </row>
    <row r="554">
      <c r="A554" s="227"/>
      <c r="B554" s="232"/>
      <c r="C554" s="227"/>
      <c r="D554" s="227"/>
      <c r="E554" s="231"/>
      <c r="F554" s="232"/>
      <c r="G554" s="227"/>
      <c r="H554" s="227"/>
      <c r="I554" s="227"/>
      <c r="J554" s="227"/>
      <c r="K554" s="227"/>
      <c r="L554" s="232"/>
      <c r="M554" s="232"/>
      <c r="N554" s="227"/>
      <c r="O554" s="227"/>
      <c r="P554" s="231"/>
      <c r="Q554" s="227"/>
      <c r="R554" s="231"/>
      <c r="S554" s="231"/>
      <c r="T554" s="231"/>
      <c r="U554" s="231"/>
      <c r="V554" s="231"/>
      <c r="W554" s="231"/>
      <c r="X554" s="227"/>
      <c r="Y554" s="232"/>
      <c r="Z554" s="232"/>
      <c r="AA554" s="232"/>
      <c r="AB554" s="232"/>
      <c r="AC554" s="227"/>
      <c r="AD554" s="227"/>
      <c r="AE554" s="231"/>
      <c r="AF554" s="227"/>
      <c r="AG554" s="232"/>
      <c r="AH554" s="232"/>
      <c r="AI554" s="232"/>
      <c r="AJ554" s="232"/>
      <c r="AK554" s="232"/>
      <c r="AL554" s="232"/>
      <c r="AM554" s="232"/>
      <c r="AN554" s="232"/>
      <c r="AO554" s="231"/>
      <c r="AP554" s="231"/>
      <c r="AQ554" s="227"/>
      <c r="AR554" s="231"/>
      <c r="AS554" s="227"/>
      <c r="AT554" s="227"/>
      <c r="AU554" s="227"/>
      <c r="AV554" s="227"/>
    </row>
    <row r="555">
      <c r="A555" s="227"/>
      <c r="B555" s="232"/>
      <c r="C555" s="227"/>
      <c r="D555" s="227"/>
      <c r="E555" s="231"/>
      <c r="F555" s="232"/>
      <c r="G555" s="227"/>
      <c r="H555" s="227"/>
      <c r="I555" s="227"/>
      <c r="J555" s="227"/>
      <c r="K555" s="227"/>
      <c r="L555" s="232"/>
      <c r="M555" s="232"/>
      <c r="N555" s="227"/>
      <c r="O555" s="227"/>
      <c r="P555" s="231"/>
      <c r="Q555" s="227"/>
      <c r="R555" s="231"/>
      <c r="S555" s="231"/>
      <c r="T555" s="231"/>
      <c r="U555" s="231"/>
      <c r="V555" s="231"/>
      <c r="W555" s="231"/>
      <c r="X555" s="227"/>
      <c r="Y555" s="232"/>
      <c r="Z555" s="232"/>
      <c r="AA555" s="232"/>
      <c r="AB555" s="232"/>
      <c r="AC555" s="227"/>
      <c r="AD555" s="227"/>
      <c r="AE555" s="231"/>
      <c r="AF555" s="227"/>
      <c r="AG555" s="232"/>
      <c r="AH555" s="232"/>
      <c r="AI555" s="232"/>
      <c r="AJ555" s="232"/>
      <c r="AK555" s="232"/>
      <c r="AL555" s="232"/>
      <c r="AM555" s="232"/>
      <c r="AN555" s="232"/>
      <c r="AO555" s="231"/>
      <c r="AP555" s="231"/>
      <c r="AQ555" s="227"/>
      <c r="AR555" s="231"/>
      <c r="AS555" s="227"/>
      <c r="AT555" s="227"/>
      <c r="AU555" s="227"/>
      <c r="AV555" s="227"/>
    </row>
    <row r="556">
      <c r="A556" s="227"/>
      <c r="B556" s="232"/>
      <c r="C556" s="227"/>
      <c r="D556" s="227"/>
      <c r="E556" s="231"/>
      <c r="F556" s="232"/>
      <c r="G556" s="227"/>
      <c r="H556" s="227"/>
      <c r="I556" s="227"/>
      <c r="J556" s="227"/>
      <c r="K556" s="227"/>
      <c r="L556" s="232"/>
      <c r="M556" s="232"/>
      <c r="N556" s="227"/>
      <c r="O556" s="227"/>
      <c r="P556" s="231"/>
      <c r="Q556" s="227"/>
      <c r="R556" s="231"/>
      <c r="S556" s="231"/>
      <c r="T556" s="231"/>
      <c r="U556" s="231"/>
      <c r="V556" s="231"/>
      <c r="W556" s="231"/>
      <c r="X556" s="227"/>
      <c r="Y556" s="232"/>
      <c r="Z556" s="232"/>
      <c r="AA556" s="232"/>
      <c r="AB556" s="232"/>
      <c r="AC556" s="227"/>
      <c r="AD556" s="227"/>
      <c r="AE556" s="231"/>
      <c r="AF556" s="227"/>
      <c r="AG556" s="232"/>
      <c r="AH556" s="232"/>
      <c r="AI556" s="232"/>
      <c r="AJ556" s="232"/>
      <c r="AK556" s="232"/>
      <c r="AL556" s="232"/>
      <c r="AM556" s="232"/>
      <c r="AN556" s="232"/>
      <c r="AO556" s="231"/>
      <c r="AP556" s="231"/>
      <c r="AQ556" s="227"/>
      <c r="AR556" s="231"/>
      <c r="AS556" s="227"/>
      <c r="AT556" s="227"/>
      <c r="AU556" s="227"/>
      <c r="AV556" s="227"/>
    </row>
    <row r="557">
      <c r="A557" s="227"/>
      <c r="B557" s="232"/>
      <c r="C557" s="227"/>
      <c r="D557" s="227"/>
      <c r="E557" s="231"/>
      <c r="F557" s="232"/>
      <c r="G557" s="227"/>
      <c r="H557" s="227"/>
      <c r="I557" s="227"/>
      <c r="J557" s="227"/>
      <c r="K557" s="227"/>
      <c r="L557" s="232"/>
      <c r="M557" s="232"/>
      <c r="N557" s="227"/>
      <c r="O557" s="227"/>
      <c r="P557" s="231"/>
      <c r="Q557" s="227"/>
      <c r="R557" s="231"/>
      <c r="S557" s="231"/>
      <c r="T557" s="231"/>
      <c r="U557" s="231"/>
      <c r="V557" s="231"/>
      <c r="W557" s="231"/>
      <c r="X557" s="227"/>
      <c r="Y557" s="232"/>
      <c r="Z557" s="232"/>
      <c r="AA557" s="232"/>
      <c r="AB557" s="232"/>
      <c r="AC557" s="227"/>
      <c r="AD557" s="227"/>
      <c r="AE557" s="231"/>
      <c r="AF557" s="227"/>
      <c r="AG557" s="232"/>
      <c r="AH557" s="232"/>
      <c r="AI557" s="232"/>
      <c r="AJ557" s="232"/>
      <c r="AK557" s="232"/>
      <c r="AL557" s="232"/>
      <c r="AM557" s="232"/>
      <c r="AN557" s="232"/>
      <c r="AO557" s="231"/>
      <c r="AP557" s="231"/>
      <c r="AQ557" s="227"/>
      <c r="AR557" s="231"/>
      <c r="AS557" s="227"/>
      <c r="AT557" s="227"/>
      <c r="AU557" s="227"/>
      <c r="AV557" s="227"/>
    </row>
    <row r="558">
      <c r="A558" s="227"/>
      <c r="B558" s="232"/>
      <c r="C558" s="227"/>
      <c r="D558" s="227"/>
      <c r="E558" s="231"/>
      <c r="F558" s="232"/>
      <c r="G558" s="227"/>
      <c r="H558" s="227"/>
      <c r="I558" s="227"/>
      <c r="J558" s="227"/>
      <c r="K558" s="227"/>
      <c r="L558" s="232"/>
      <c r="M558" s="232"/>
      <c r="N558" s="227"/>
      <c r="O558" s="227"/>
      <c r="P558" s="231"/>
      <c r="Q558" s="227"/>
      <c r="R558" s="231"/>
      <c r="S558" s="231"/>
      <c r="T558" s="231"/>
      <c r="U558" s="231"/>
      <c r="V558" s="231"/>
      <c r="W558" s="231"/>
      <c r="X558" s="227"/>
      <c r="Y558" s="232"/>
      <c r="Z558" s="232"/>
      <c r="AA558" s="232"/>
      <c r="AB558" s="232"/>
      <c r="AC558" s="227"/>
      <c r="AD558" s="227"/>
      <c r="AE558" s="231"/>
      <c r="AF558" s="227"/>
      <c r="AG558" s="232"/>
      <c r="AH558" s="232"/>
      <c r="AI558" s="232"/>
      <c r="AJ558" s="232"/>
      <c r="AK558" s="232"/>
      <c r="AL558" s="232"/>
      <c r="AM558" s="232"/>
      <c r="AN558" s="232"/>
      <c r="AO558" s="231"/>
      <c r="AP558" s="231"/>
      <c r="AQ558" s="227"/>
      <c r="AR558" s="231"/>
      <c r="AS558" s="227"/>
      <c r="AT558" s="227"/>
      <c r="AU558" s="227"/>
      <c r="AV558" s="227"/>
    </row>
    <row r="559">
      <c r="A559" s="227"/>
      <c r="B559" s="232"/>
      <c r="C559" s="227"/>
      <c r="D559" s="227"/>
      <c r="E559" s="231"/>
      <c r="F559" s="232"/>
      <c r="G559" s="227"/>
      <c r="H559" s="227"/>
      <c r="I559" s="227"/>
      <c r="J559" s="227"/>
      <c r="K559" s="227"/>
      <c r="L559" s="232"/>
      <c r="M559" s="232"/>
      <c r="N559" s="227"/>
      <c r="O559" s="227"/>
      <c r="P559" s="231"/>
      <c r="Q559" s="227"/>
      <c r="R559" s="231"/>
      <c r="S559" s="231"/>
      <c r="T559" s="231"/>
      <c r="U559" s="231"/>
      <c r="V559" s="231"/>
      <c r="W559" s="231"/>
      <c r="X559" s="227"/>
      <c r="Y559" s="232"/>
      <c r="Z559" s="232"/>
      <c r="AA559" s="232"/>
      <c r="AB559" s="232"/>
      <c r="AC559" s="227"/>
      <c r="AD559" s="227"/>
      <c r="AE559" s="231"/>
      <c r="AF559" s="227"/>
      <c r="AG559" s="232"/>
      <c r="AH559" s="232"/>
      <c r="AI559" s="232"/>
      <c r="AJ559" s="232"/>
      <c r="AK559" s="232"/>
      <c r="AL559" s="232"/>
      <c r="AM559" s="232"/>
      <c r="AN559" s="232"/>
      <c r="AO559" s="231"/>
      <c r="AP559" s="231"/>
      <c r="AQ559" s="227"/>
      <c r="AR559" s="231"/>
      <c r="AS559" s="227"/>
      <c r="AT559" s="227"/>
      <c r="AU559" s="227"/>
      <c r="AV559" s="227"/>
    </row>
    <row r="560">
      <c r="A560" s="227"/>
      <c r="B560" s="232"/>
      <c r="C560" s="227"/>
      <c r="D560" s="227"/>
      <c r="E560" s="231"/>
      <c r="F560" s="232"/>
      <c r="G560" s="227"/>
      <c r="H560" s="227"/>
      <c r="I560" s="227"/>
      <c r="J560" s="227"/>
      <c r="K560" s="227"/>
      <c r="L560" s="232"/>
      <c r="M560" s="232"/>
      <c r="N560" s="227"/>
      <c r="O560" s="227"/>
      <c r="P560" s="231"/>
      <c r="Q560" s="227"/>
      <c r="R560" s="231"/>
      <c r="S560" s="231"/>
      <c r="T560" s="231"/>
      <c r="U560" s="231"/>
      <c r="V560" s="231"/>
      <c r="W560" s="231"/>
      <c r="X560" s="227"/>
      <c r="Y560" s="232"/>
      <c r="Z560" s="232"/>
      <c r="AA560" s="232"/>
      <c r="AB560" s="232"/>
      <c r="AC560" s="227"/>
      <c r="AD560" s="227"/>
      <c r="AE560" s="231"/>
      <c r="AF560" s="227"/>
      <c r="AG560" s="232"/>
      <c r="AH560" s="232"/>
      <c r="AI560" s="232"/>
      <c r="AJ560" s="232"/>
      <c r="AK560" s="232"/>
      <c r="AL560" s="232"/>
      <c r="AM560" s="232"/>
      <c r="AN560" s="232"/>
      <c r="AO560" s="231"/>
      <c r="AP560" s="231"/>
      <c r="AQ560" s="227"/>
      <c r="AR560" s="231"/>
      <c r="AS560" s="227"/>
      <c r="AT560" s="227"/>
      <c r="AU560" s="227"/>
      <c r="AV560" s="227"/>
    </row>
    <row r="561">
      <c r="A561" s="227"/>
      <c r="B561" s="232"/>
      <c r="C561" s="227"/>
      <c r="D561" s="227"/>
      <c r="E561" s="231"/>
      <c r="F561" s="232"/>
      <c r="G561" s="227"/>
      <c r="H561" s="227"/>
      <c r="I561" s="227"/>
      <c r="J561" s="227"/>
      <c r="K561" s="227"/>
      <c r="L561" s="232"/>
      <c r="M561" s="232"/>
      <c r="N561" s="227"/>
      <c r="O561" s="227"/>
      <c r="P561" s="231"/>
      <c r="Q561" s="227"/>
      <c r="R561" s="231"/>
      <c r="S561" s="231"/>
      <c r="T561" s="231"/>
      <c r="U561" s="231"/>
      <c r="V561" s="231"/>
      <c r="W561" s="231"/>
      <c r="X561" s="227"/>
      <c r="Y561" s="232"/>
      <c r="Z561" s="232"/>
      <c r="AA561" s="232"/>
      <c r="AB561" s="232"/>
      <c r="AC561" s="227"/>
      <c r="AD561" s="227"/>
      <c r="AE561" s="231"/>
      <c r="AF561" s="227"/>
      <c r="AG561" s="232"/>
      <c r="AH561" s="232"/>
      <c r="AI561" s="232"/>
      <c r="AJ561" s="232"/>
      <c r="AK561" s="232"/>
      <c r="AL561" s="232"/>
      <c r="AM561" s="232"/>
      <c r="AN561" s="232"/>
      <c r="AO561" s="231"/>
      <c r="AP561" s="231"/>
      <c r="AQ561" s="227"/>
      <c r="AR561" s="231"/>
      <c r="AS561" s="227"/>
      <c r="AT561" s="227"/>
      <c r="AU561" s="227"/>
      <c r="AV561" s="227"/>
    </row>
    <row r="562">
      <c r="A562" s="227"/>
      <c r="B562" s="232"/>
      <c r="C562" s="227"/>
      <c r="D562" s="227"/>
      <c r="E562" s="231"/>
      <c r="F562" s="232"/>
      <c r="G562" s="227"/>
      <c r="H562" s="227"/>
      <c r="I562" s="227"/>
      <c r="J562" s="227"/>
      <c r="K562" s="227"/>
      <c r="L562" s="232"/>
      <c r="M562" s="232"/>
      <c r="N562" s="227"/>
      <c r="O562" s="227"/>
      <c r="P562" s="231"/>
      <c r="Q562" s="227"/>
      <c r="R562" s="231"/>
      <c r="S562" s="231"/>
      <c r="T562" s="231"/>
      <c r="U562" s="231"/>
      <c r="V562" s="231"/>
      <c r="W562" s="231"/>
      <c r="X562" s="227"/>
      <c r="Y562" s="232"/>
      <c r="Z562" s="232"/>
      <c r="AA562" s="232"/>
      <c r="AB562" s="232"/>
      <c r="AC562" s="227"/>
      <c r="AD562" s="227"/>
      <c r="AE562" s="231"/>
      <c r="AF562" s="227"/>
      <c r="AG562" s="232"/>
      <c r="AH562" s="232"/>
      <c r="AI562" s="232"/>
      <c r="AJ562" s="232"/>
      <c r="AK562" s="232"/>
      <c r="AL562" s="232"/>
      <c r="AM562" s="232"/>
      <c r="AN562" s="232"/>
      <c r="AO562" s="231"/>
      <c r="AP562" s="231"/>
      <c r="AQ562" s="227"/>
      <c r="AR562" s="231"/>
      <c r="AS562" s="227"/>
      <c r="AT562" s="227"/>
      <c r="AU562" s="227"/>
      <c r="AV562" s="227"/>
    </row>
    <row r="563">
      <c r="A563" s="227"/>
      <c r="B563" s="232"/>
      <c r="C563" s="227"/>
      <c r="D563" s="227"/>
      <c r="E563" s="231"/>
      <c r="F563" s="232"/>
      <c r="G563" s="227"/>
      <c r="H563" s="227"/>
      <c r="I563" s="227"/>
      <c r="J563" s="227"/>
      <c r="K563" s="227"/>
      <c r="L563" s="232"/>
      <c r="M563" s="232"/>
      <c r="N563" s="227"/>
      <c r="O563" s="227"/>
      <c r="P563" s="231"/>
      <c r="Q563" s="227"/>
      <c r="R563" s="231"/>
      <c r="S563" s="231"/>
      <c r="T563" s="231"/>
      <c r="U563" s="231"/>
      <c r="V563" s="231"/>
      <c r="W563" s="231"/>
      <c r="X563" s="227"/>
      <c r="Y563" s="232"/>
      <c r="Z563" s="232"/>
      <c r="AA563" s="232"/>
      <c r="AB563" s="232"/>
      <c r="AC563" s="227"/>
      <c r="AD563" s="227"/>
      <c r="AE563" s="231"/>
      <c r="AF563" s="227"/>
      <c r="AG563" s="232"/>
      <c r="AH563" s="232"/>
      <c r="AI563" s="232"/>
      <c r="AJ563" s="232"/>
      <c r="AK563" s="232"/>
      <c r="AL563" s="232"/>
      <c r="AM563" s="232"/>
      <c r="AN563" s="232"/>
      <c r="AO563" s="231"/>
      <c r="AP563" s="231"/>
      <c r="AQ563" s="227"/>
      <c r="AR563" s="231"/>
      <c r="AS563" s="227"/>
      <c r="AT563" s="227"/>
      <c r="AU563" s="227"/>
      <c r="AV563" s="227"/>
    </row>
    <row r="564">
      <c r="A564" s="227"/>
      <c r="B564" s="232"/>
      <c r="C564" s="227"/>
      <c r="D564" s="227"/>
      <c r="E564" s="231"/>
      <c r="F564" s="232"/>
      <c r="G564" s="227"/>
      <c r="H564" s="227"/>
      <c r="I564" s="227"/>
      <c r="J564" s="227"/>
      <c r="K564" s="227"/>
      <c r="L564" s="232"/>
      <c r="M564" s="232"/>
      <c r="N564" s="227"/>
      <c r="O564" s="227"/>
      <c r="P564" s="231"/>
      <c r="Q564" s="227"/>
      <c r="R564" s="231"/>
      <c r="S564" s="231"/>
      <c r="T564" s="231"/>
      <c r="U564" s="231"/>
      <c r="V564" s="231"/>
      <c r="W564" s="231"/>
      <c r="X564" s="227"/>
      <c r="Y564" s="232"/>
      <c r="Z564" s="232"/>
      <c r="AA564" s="232"/>
      <c r="AB564" s="232"/>
      <c r="AC564" s="227"/>
      <c r="AD564" s="227"/>
      <c r="AE564" s="231"/>
      <c r="AF564" s="227"/>
      <c r="AG564" s="232"/>
      <c r="AH564" s="232"/>
      <c r="AI564" s="232"/>
      <c r="AJ564" s="232"/>
      <c r="AK564" s="232"/>
      <c r="AL564" s="232"/>
      <c r="AM564" s="232"/>
      <c r="AN564" s="232"/>
      <c r="AO564" s="231"/>
      <c r="AP564" s="231"/>
      <c r="AQ564" s="227"/>
      <c r="AR564" s="231"/>
      <c r="AS564" s="227"/>
      <c r="AT564" s="227"/>
      <c r="AU564" s="227"/>
      <c r="AV564" s="227"/>
    </row>
    <row r="565">
      <c r="A565" s="227"/>
      <c r="B565" s="232"/>
      <c r="C565" s="227"/>
      <c r="D565" s="227"/>
      <c r="E565" s="231"/>
      <c r="F565" s="232"/>
      <c r="G565" s="227"/>
      <c r="H565" s="227"/>
      <c r="I565" s="227"/>
      <c r="J565" s="227"/>
      <c r="K565" s="227"/>
      <c r="L565" s="232"/>
      <c r="M565" s="232"/>
      <c r="N565" s="227"/>
      <c r="O565" s="227"/>
      <c r="P565" s="231"/>
      <c r="Q565" s="227"/>
      <c r="R565" s="231"/>
      <c r="S565" s="231"/>
      <c r="T565" s="231"/>
      <c r="U565" s="231"/>
      <c r="V565" s="231"/>
      <c r="W565" s="231"/>
      <c r="X565" s="227"/>
      <c r="Y565" s="232"/>
      <c r="Z565" s="232"/>
      <c r="AA565" s="232"/>
      <c r="AB565" s="232"/>
      <c r="AC565" s="227"/>
      <c r="AD565" s="227"/>
      <c r="AE565" s="231"/>
      <c r="AF565" s="227"/>
      <c r="AG565" s="232"/>
      <c r="AH565" s="232"/>
      <c r="AI565" s="232"/>
      <c r="AJ565" s="232"/>
      <c r="AK565" s="232"/>
      <c r="AL565" s="232"/>
      <c r="AM565" s="232"/>
      <c r="AN565" s="232"/>
      <c r="AO565" s="231"/>
      <c r="AP565" s="231"/>
      <c r="AQ565" s="227"/>
      <c r="AR565" s="231"/>
      <c r="AS565" s="227"/>
      <c r="AT565" s="227"/>
      <c r="AU565" s="227"/>
      <c r="AV565" s="227"/>
    </row>
    <row r="566">
      <c r="A566" s="227"/>
      <c r="B566" s="232"/>
      <c r="C566" s="227"/>
      <c r="D566" s="227"/>
      <c r="E566" s="231"/>
      <c r="F566" s="232"/>
      <c r="G566" s="227"/>
      <c r="H566" s="227"/>
      <c r="I566" s="227"/>
      <c r="J566" s="227"/>
      <c r="K566" s="227"/>
      <c r="L566" s="232"/>
      <c r="M566" s="232"/>
      <c r="N566" s="227"/>
      <c r="O566" s="227"/>
      <c r="P566" s="231"/>
      <c r="Q566" s="227"/>
      <c r="R566" s="231"/>
      <c r="S566" s="231"/>
      <c r="T566" s="231"/>
      <c r="U566" s="231"/>
      <c r="V566" s="231"/>
      <c r="W566" s="231"/>
      <c r="X566" s="227"/>
      <c r="Y566" s="232"/>
      <c r="Z566" s="232"/>
      <c r="AA566" s="232"/>
      <c r="AB566" s="232"/>
      <c r="AC566" s="227"/>
      <c r="AD566" s="227"/>
      <c r="AE566" s="231"/>
      <c r="AF566" s="227"/>
      <c r="AG566" s="232"/>
      <c r="AH566" s="232"/>
      <c r="AI566" s="232"/>
      <c r="AJ566" s="232"/>
      <c r="AK566" s="232"/>
      <c r="AL566" s="232"/>
      <c r="AM566" s="232"/>
      <c r="AN566" s="232"/>
      <c r="AO566" s="231"/>
      <c r="AP566" s="231"/>
      <c r="AQ566" s="227"/>
      <c r="AR566" s="231"/>
      <c r="AS566" s="227"/>
      <c r="AT566" s="227"/>
      <c r="AU566" s="227"/>
      <c r="AV566" s="227"/>
    </row>
    <row r="567">
      <c r="A567" s="227"/>
      <c r="B567" s="232"/>
      <c r="C567" s="227"/>
      <c r="D567" s="227"/>
      <c r="E567" s="231"/>
      <c r="F567" s="232"/>
      <c r="G567" s="227"/>
      <c r="H567" s="227"/>
      <c r="I567" s="227"/>
      <c r="J567" s="227"/>
      <c r="K567" s="227"/>
      <c r="L567" s="232"/>
      <c r="M567" s="232"/>
      <c r="N567" s="227"/>
      <c r="O567" s="227"/>
      <c r="P567" s="231"/>
      <c r="Q567" s="227"/>
      <c r="R567" s="231"/>
      <c r="S567" s="231"/>
      <c r="T567" s="231"/>
      <c r="U567" s="231"/>
      <c r="V567" s="231"/>
      <c r="W567" s="231"/>
      <c r="X567" s="227"/>
      <c r="Y567" s="232"/>
      <c r="Z567" s="232"/>
      <c r="AA567" s="232"/>
      <c r="AB567" s="232"/>
      <c r="AC567" s="227"/>
      <c r="AD567" s="227"/>
      <c r="AE567" s="231"/>
      <c r="AF567" s="227"/>
      <c r="AG567" s="232"/>
      <c r="AH567" s="232"/>
      <c r="AI567" s="232"/>
      <c r="AJ567" s="232"/>
      <c r="AK567" s="232"/>
      <c r="AL567" s="232"/>
      <c r="AM567" s="232"/>
      <c r="AN567" s="232"/>
      <c r="AO567" s="231"/>
      <c r="AP567" s="231"/>
      <c r="AQ567" s="227"/>
      <c r="AR567" s="231"/>
      <c r="AS567" s="227"/>
      <c r="AT567" s="227"/>
      <c r="AU567" s="227"/>
      <c r="AV567" s="227"/>
    </row>
    <row r="568">
      <c r="A568" s="227"/>
      <c r="B568" s="232"/>
      <c r="C568" s="227"/>
      <c r="D568" s="227"/>
      <c r="E568" s="231"/>
      <c r="F568" s="232"/>
      <c r="G568" s="227"/>
      <c r="H568" s="227"/>
      <c r="I568" s="227"/>
      <c r="J568" s="227"/>
      <c r="K568" s="227"/>
      <c r="L568" s="232"/>
      <c r="M568" s="232"/>
      <c r="N568" s="227"/>
      <c r="O568" s="227"/>
      <c r="P568" s="231"/>
      <c r="Q568" s="227"/>
      <c r="R568" s="231"/>
      <c r="S568" s="231"/>
      <c r="T568" s="231"/>
      <c r="U568" s="231"/>
      <c r="V568" s="231"/>
      <c r="W568" s="231"/>
      <c r="X568" s="227"/>
      <c r="Y568" s="232"/>
      <c r="Z568" s="232"/>
      <c r="AA568" s="232"/>
      <c r="AB568" s="232"/>
      <c r="AC568" s="227"/>
      <c r="AD568" s="227"/>
      <c r="AE568" s="231"/>
      <c r="AF568" s="227"/>
      <c r="AG568" s="232"/>
      <c r="AH568" s="232"/>
      <c r="AI568" s="232"/>
      <c r="AJ568" s="232"/>
      <c r="AK568" s="232"/>
      <c r="AL568" s="232"/>
      <c r="AM568" s="232"/>
      <c r="AN568" s="232"/>
      <c r="AO568" s="231"/>
      <c r="AP568" s="231"/>
      <c r="AQ568" s="227"/>
      <c r="AR568" s="231"/>
      <c r="AS568" s="227"/>
      <c r="AT568" s="227"/>
      <c r="AU568" s="227"/>
      <c r="AV568" s="227"/>
    </row>
    <row r="569">
      <c r="A569" s="227"/>
      <c r="B569" s="232"/>
      <c r="C569" s="227"/>
      <c r="D569" s="227"/>
      <c r="E569" s="231"/>
      <c r="F569" s="232"/>
      <c r="G569" s="227"/>
      <c r="H569" s="227"/>
      <c r="I569" s="227"/>
      <c r="J569" s="227"/>
      <c r="K569" s="227"/>
      <c r="L569" s="232"/>
      <c r="M569" s="232"/>
      <c r="N569" s="227"/>
      <c r="O569" s="227"/>
      <c r="P569" s="231"/>
      <c r="Q569" s="227"/>
      <c r="R569" s="231"/>
      <c r="S569" s="231"/>
      <c r="T569" s="231"/>
      <c r="U569" s="231"/>
      <c r="V569" s="231"/>
      <c r="W569" s="231"/>
      <c r="X569" s="227"/>
      <c r="Y569" s="232"/>
      <c r="Z569" s="232"/>
      <c r="AA569" s="232"/>
      <c r="AB569" s="232"/>
      <c r="AC569" s="227"/>
      <c r="AD569" s="227"/>
      <c r="AE569" s="231"/>
      <c r="AF569" s="227"/>
      <c r="AG569" s="232"/>
      <c r="AH569" s="232"/>
      <c r="AI569" s="232"/>
      <c r="AJ569" s="232"/>
      <c r="AK569" s="232"/>
      <c r="AL569" s="232"/>
      <c r="AM569" s="232"/>
      <c r="AN569" s="232"/>
      <c r="AO569" s="231"/>
      <c r="AP569" s="231"/>
      <c r="AQ569" s="227"/>
      <c r="AR569" s="231"/>
      <c r="AS569" s="227"/>
      <c r="AT569" s="227"/>
      <c r="AU569" s="227"/>
      <c r="AV569" s="227"/>
    </row>
    <row r="570">
      <c r="A570" s="227"/>
      <c r="B570" s="232"/>
      <c r="C570" s="227"/>
      <c r="D570" s="227"/>
      <c r="E570" s="231"/>
      <c r="F570" s="232"/>
      <c r="G570" s="227"/>
      <c r="H570" s="227"/>
      <c r="I570" s="227"/>
      <c r="J570" s="227"/>
      <c r="K570" s="227"/>
      <c r="L570" s="232"/>
      <c r="M570" s="232"/>
      <c r="N570" s="227"/>
      <c r="O570" s="227"/>
      <c r="P570" s="231"/>
      <c r="Q570" s="227"/>
      <c r="R570" s="231"/>
      <c r="S570" s="231"/>
      <c r="T570" s="231"/>
      <c r="U570" s="231"/>
      <c r="V570" s="231"/>
      <c r="W570" s="231"/>
      <c r="X570" s="227"/>
      <c r="Y570" s="232"/>
      <c r="Z570" s="232"/>
      <c r="AA570" s="232"/>
      <c r="AB570" s="232"/>
      <c r="AC570" s="227"/>
      <c r="AD570" s="227"/>
      <c r="AE570" s="231"/>
      <c r="AF570" s="227"/>
      <c r="AG570" s="232"/>
      <c r="AH570" s="232"/>
      <c r="AI570" s="232"/>
      <c r="AJ570" s="232"/>
      <c r="AK570" s="232"/>
      <c r="AL570" s="232"/>
      <c r="AM570" s="232"/>
      <c r="AN570" s="232"/>
      <c r="AO570" s="231"/>
      <c r="AP570" s="231"/>
      <c r="AQ570" s="227"/>
      <c r="AR570" s="231"/>
      <c r="AS570" s="227"/>
      <c r="AT570" s="227"/>
      <c r="AU570" s="227"/>
      <c r="AV570" s="227"/>
    </row>
    <row r="571">
      <c r="A571" s="227"/>
      <c r="B571" s="232"/>
      <c r="C571" s="227"/>
      <c r="D571" s="227"/>
      <c r="E571" s="231"/>
      <c r="F571" s="232"/>
      <c r="G571" s="227"/>
      <c r="H571" s="227"/>
      <c r="I571" s="227"/>
      <c r="J571" s="227"/>
      <c r="K571" s="227"/>
      <c r="L571" s="232"/>
      <c r="M571" s="232"/>
      <c r="N571" s="227"/>
      <c r="O571" s="227"/>
      <c r="P571" s="231"/>
      <c r="Q571" s="227"/>
      <c r="R571" s="231"/>
      <c r="S571" s="231"/>
      <c r="T571" s="231"/>
      <c r="U571" s="231"/>
      <c r="V571" s="231"/>
      <c r="W571" s="231"/>
      <c r="X571" s="227"/>
      <c r="Y571" s="232"/>
      <c r="Z571" s="232"/>
      <c r="AA571" s="232"/>
      <c r="AB571" s="232"/>
      <c r="AC571" s="227"/>
      <c r="AD571" s="227"/>
      <c r="AE571" s="231"/>
      <c r="AF571" s="227"/>
      <c r="AG571" s="232"/>
      <c r="AH571" s="232"/>
      <c r="AI571" s="232"/>
      <c r="AJ571" s="232"/>
      <c r="AK571" s="232"/>
      <c r="AL571" s="232"/>
      <c r="AM571" s="232"/>
      <c r="AN571" s="232"/>
      <c r="AO571" s="231"/>
      <c r="AP571" s="231"/>
      <c r="AQ571" s="227"/>
      <c r="AR571" s="231"/>
      <c r="AS571" s="227"/>
      <c r="AT571" s="227"/>
      <c r="AU571" s="227"/>
      <c r="AV571" s="227"/>
    </row>
    <row r="572">
      <c r="A572" s="227"/>
      <c r="B572" s="232"/>
      <c r="C572" s="227"/>
      <c r="D572" s="227"/>
      <c r="E572" s="231"/>
      <c r="F572" s="232"/>
      <c r="G572" s="227"/>
      <c r="H572" s="227"/>
      <c r="I572" s="227"/>
      <c r="J572" s="227"/>
      <c r="K572" s="227"/>
      <c r="L572" s="232"/>
      <c r="M572" s="232"/>
      <c r="N572" s="227"/>
      <c r="O572" s="227"/>
      <c r="P572" s="231"/>
      <c r="Q572" s="227"/>
      <c r="R572" s="231"/>
      <c r="S572" s="231"/>
      <c r="T572" s="231"/>
      <c r="U572" s="231"/>
      <c r="V572" s="231"/>
      <c r="W572" s="231"/>
      <c r="X572" s="227"/>
      <c r="Y572" s="232"/>
      <c r="Z572" s="232"/>
      <c r="AA572" s="232"/>
      <c r="AB572" s="232"/>
      <c r="AC572" s="227"/>
      <c r="AD572" s="227"/>
      <c r="AE572" s="231"/>
      <c r="AF572" s="227"/>
      <c r="AG572" s="232"/>
      <c r="AH572" s="232"/>
      <c r="AI572" s="232"/>
      <c r="AJ572" s="232"/>
      <c r="AK572" s="232"/>
      <c r="AL572" s="232"/>
      <c r="AM572" s="232"/>
      <c r="AN572" s="232"/>
      <c r="AO572" s="231"/>
      <c r="AP572" s="231"/>
      <c r="AQ572" s="227"/>
      <c r="AR572" s="231"/>
      <c r="AS572" s="227"/>
      <c r="AT572" s="227"/>
      <c r="AU572" s="227"/>
      <c r="AV572" s="227"/>
    </row>
    <row r="573">
      <c r="A573" s="227"/>
      <c r="B573" s="232"/>
      <c r="C573" s="227"/>
      <c r="D573" s="227"/>
      <c r="E573" s="231"/>
      <c r="F573" s="232"/>
      <c r="G573" s="227"/>
      <c r="H573" s="227"/>
      <c r="I573" s="227"/>
      <c r="J573" s="227"/>
      <c r="K573" s="227"/>
      <c r="L573" s="232"/>
      <c r="M573" s="232"/>
      <c r="N573" s="227"/>
      <c r="O573" s="227"/>
      <c r="P573" s="231"/>
      <c r="Q573" s="227"/>
      <c r="R573" s="231"/>
      <c r="S573" s="231"/>
      <c r="T573" s="231"/>
      <c r="U573" s="231"/>
      <c r="V573" s="231"/>
      <c r="W573" s="231"/>
      <c r="X573" s="227"/>
      <c r="Y573" s="232"/>
      <c r="Z573" s="232"/>
      <c r="AA573" s="232"/>
      <c r="AB573" s="232"/>
      <c r="AC573" s="227"/>
      <c r="AD573" s="227"/>
      <c r="AE573" s="231"/>
      <c r="AF573" s="227"/>
      <c r="AG573" s="232"/>
      <c r="AH573" s="232"/>
      <c r="AI573" s="232"/>
      <c r="AJ573" s="232"/>
      <c r="AK573" s="232"/>
      <c r="AL573" s="232"/>
      <c r="AM573" s="232"/>
      <c r="AN573" s="232"/>
      <c r="AO573" s="231"/>
      <c r="AP573" s="231"/>
      <c r="AQ573" s="227"/>
      <c r="AR573" s="231"/>
      <c r="AS573" s="227"/>
      <c r="AT573" s="227"/>
      <c r="AU573" s="227"/>
      <c r="AV573" s="227"/>
    </row>
    <row r="574">
      <c r="A574" s="227"/>
      <c r="B574" s="232"/>
      <c r="C574" s="227"/>
      <c r="D574" s="227"/>
      <c r="E574" s="231"/>
      <c r="F574" s="232"/>
      <c r="G574" s="227"/>
      <c r="H574" s="227"/>
      <c r="I574" s="227"/>
      <c r="J574" s="227"/>
      <c r="K574" s="227"/>
      <c r="L574" s="232"/>
      <c r="M574" s="232"/>
      <c r="N574" s="227"/>
      <c r="O574" s="227"/>
      <c r="P574" s="231"/>
      <c r="Q574" s="227"/>
      <c r="R574" s="231"/>
      <c r="S574" s="231"/>
      <c r="T574" s="231"/>
      <c r="U574" s="231"/>
      <c r="V574" s="231"/>
      <c r="W574" s="231"/>
      <c r="X574" s="227"/>
      <c r="Y574" s="232"/>
      <c r="Z574" s="232"/>
      <c r="AA574" s="232"/>
      <c r="AB574" s="232"/>
      <c r="AC574" s="227"/>
      <c r="AD574" s="227"/>
      <c r="AE574" s="231"/>
      <c r="AF574" s="227"/>
      <c r="AG574" s="232"/>
      <c r="AH574" s="232"/>
      <c r="AI574" s="232"/>
      <c r="AJ574" s="232"/>
      <c r="AK574" s="232"/>
      <c r="AL574" s="232"/>
      <c r="AM574" s="232"/>
      <c r="AN574" s="232"/>
      <c r="AO574" s="231"/>
      <c r="AP574" s="231"/>
      <c r="AQ574" s="227"/>
      <c r="AR574" s="231"/>
      <c r="AS574" s="227"/>
      <c r="AT574" s="227"/>
      <c r="AU574" s="227"/>
      <c r="AV574" s="227"/>
    </row>
    <row r="575">
      <c r="A575" s="227"/>
      <c r="B575" s="232"/>
      <c r="C575" s="227"/>
      <c r="D575" s="227"/>
      <c r="E575" s="231"/>
      <c r="F575" s="232"/>
      <c r="G575" s="227"/>
      <c r="H575" s="227"/>
      <c r="I575" s="227"/>
      <c r="J575" s="227"/>
      <c r="K575" s="227"/>
      <c r="L575" s="232"/>
      <c r="M575" s="232"/>
      <c r="N575" s="227"/>
      <c r="O575" s="227"/>
      <c r="P575" s="231"/>
      <c r="Q575" s="227"/>
      <c r="R575" s="231"/>
      <c r="S575" s="231"/>
      <c r="T575" s="231"/>
      <c r="U575" s="231"/>
      <c r="V575" s="231"/>
      <c r="W575" s="231"/>
      <c r="X575" s="227"/>
      <c r="Y575" s="232"/>
      <c r="Z575" s="232"/>
      <c r="AA575" s="232"/>
      <c r="AB575" s="232"/>
      <c r="AC575" s="227"/>
      <c r="AD575" s="227"/>
      <c r="AE575" s="231"/>
      <c r="AF575" s="227"/>
      <c r="AG575" s="232"/>
      <c r="AH575" s="232"/>
      <c r="AI575" s="232"/>
      <c r="AJ575" s="232"/>
      <c r="AK575" s="232"/>
      <c r="AL575" s="232"/>
      <c r="AM575" s="232"/>
      <c r="AN575" s="232"/>
      <c r="AO575" s="231"/>
      <c r="AP575" s="231"/>
      <c r="AQ575" s="227"/>
      <c r="AR575" s="231"/>
      <c r="AS575" s="227"/>
      <c r="AT575" s="227"/>
      <c r="AU575" s="227"/>
      <c r="AV575" s="227"/>
    </row>
    <row r="576">
      <c r="A576" s="227"/>
      <c r="B576" s="232"/>
      <c r="C576" s="227"/>
      <c r="D576" s="227"/>
      <c r="E576" s="231"/>
      <c r="F576" s="232"/>
      <c r="G576" s="227"/>
      <c r="H576" s="227"/>
      <c r="I576" s="227"/>
      <c r="J576" s="227"/>
      <c r="K576" s="227"/>
      <c r="L576" s="232"/>
      <c r="M576" s="232"/>
      <c r="N576" s="227"/>
      <c r="O576" s="227"/>
      <c r="P576" s="231"/>
      <c r="Q576" s="227"/>
      <c r="R576" s="231"/>
      <c r="S576" s="231"/>
      <c r="T576" s="231"/>
      <c r="U576" s="231"/>
      <c r="V576" s="231"/>
      <c r="W576" s="231"/>
      <c r="X576" s="227"/>
      <c r="Y576" s="232"/>
      <c r="Z576" s="232"/>
      <c r="AA576" s="232"/>
      <c r="AB576" s="232"/>
      <c r="AC576" s="227"/>
      <c r="AD576" s="227"/>
      <c r="AE576" s="231"/>
      <c r="AF576" s="227"/>
      <c r="AG576" s="232"/>
      <c r="AH576" s="232"/>
      <c r="AI576" s="232"/>
      <c r="AJ576" s="232"/>
      <c r="AK576" s="232"/>
      <c r="AL576" s="232"/>
      <c r="AM576" s="232"/>
      <c r="AN576" s="232"/>
      <c r="AO576" s="231"/>
      <c r="AP576" s="231"/>
      <c r="AQ576" s="227"/>
      <c r="AR576" s="231"/>
      <c r="AS576" s="227"/>
      <c r="AT576" s="227"/>
      <c r="AU576" s="227"/>
      <c r="AV576" s="227"/>
    </row>
    <row r="577">
      <c r="A577" s="227"/>
      <c r="B577" s="232"/>
      <c r="C577" s="227"/>
      <c r="D577" s="227"/>
      <c r="E577" s="231"/>
      <c r="F577" s="232"/>
      <c r="G577" s="227"/>
      <c r="H577" s="227"/>
      <c r="I577" s="227"/>
      <c r="J577" s="227"/>
      <c r="K577" s="227"/>
      <c r="L577" s="232"/>
      <c r="M577" s="232"/>
      <c r="N577" s="227"/>
      <c r="O577" s="227"/>
      <c r="P577" s="231"/>
      <c r="Q577" s="227"/>
      <c r="R577" s="231"/>
      <c r="S577" s="231"/>
      <c r="T577" s="231"/>
      <c r="U577" s="231"/>
      <c r="V577" s="231"/>
      <c r="W577" s="231"/>
      <c r="X577" s="227"/>
      <c r="Y577" s="232"/>
      <c r="Z577" s="232"/>
      <c r="AA577" s="232"/>
      <c r="AB577" s="232"/>
      <c r="AC577" s="227"/>
      <c r="AD577" s="227"/>
      <c r="AE577" s="231"/>
      <c r="AF577" s="227"/>
      <c r="AG577" s="232"/>
      <c r="AH577" s="232"/>
      <c r="AI577" s="232"/>
      <c r="AJ577" s="232"/>
      <c r="AK577" s="232"/>
      <c r="AL577" s="232"/>
      <c r="AM577" s="232"/>
      <c r="AN577" s="232"/>
      <c r="AO577" s="231"/>
      <c r="AP577" s="231"/>
      <c r="AQ577" s="227"/>
      <c r="AR577" s="231"/>
      <c r="AS577" s="227"/>
      <c r="AT577" s="227"/>
      <c r="AU577" s="227"/>
      <c r="AV577" s="227"/>
    </row>
    <row r="578">
      <c r="A578" s="227"/>
      <c r="B578" s="232"/>
      <c r="C578" s="227"/>
      <c r="D578" s="227"/>
      <c r="E578" s="231"/>
      <c r="F578" s="232"/>
      <c r="G578" s="227"/>
      <c r="H578" s="227"/>
      <c r="I578" s="227"/>
      <c r="J578" s="227"/>
      <c r="K578" s="227"/>
      <c r="L578" s="232"/>
      <c r="M578" s="232"/>
      <c r="N578" s="227"/>
      <c r="O578" s="227"/>
      <c r="P578" s="231"/>
      <c r="Q578" s="227"/>
      <c r="R578" s="231"/>
      <c r="S578" s="231"/>
      <c r="T578" s="231"/>
      <c r="U578" s="231"/>
      <c r="V578" s="231"/>
      <c r="W578" s="231"/>
      <c r="X578" s="227"/>
      <c r="Y578" s="232"/>
      <c r="Z578" s="232"/>
      <c r="AA578" s="232"/>
      <c r="AB578" s="232"/>
      <c r="AC578" s="227"/>
      <c r="AD578" s="227"/>
      <c r="AE578" s="231"/>
      <c r="AF578" s="227"/>
      <c r="AG578" s="232"/>
      <c r="AH578" s="232"/>
      <c r="AI578" s="232"/>
      <c r="AJ578" s="232"/>
      <c r="AK578" s="232"/>
      <c r="AL578" s="232"/>
      <c r="AM578" s="232"/>
      <c r="AN578" s="232"/>
      <c r="AO578" s="231"/>
      <c r="AP578" s="231"/>
      <c r="AQ578" s="227"/>
      <c r="AR578" s="227"/>
      <c r="AS578" s="227"/>
      <c r="AT578" s="227"/>
      <c r="AU578" s="227"/>
      <c r="AV578" s="227"/>
    </row>
    <row r="579">
      <c r="A579" s="227"/>
      <c r="B579" s="232"/>
      <c r="C579" s="227"/>
      <c r="D579" s="227"/>
      <c r="E579" s="231"/>
      <c r="F579" s="232"/>
      <c r="G579" s="227"/>
      <c r="H579" s="227"/>
      <c r="I579" s="227"/>
      <c r="J579" s="227"/>
      <c r="K579" s="227"/>
      <c r="L579" s="232"/>
      <c r="M579" s="232"/>
      <c r="N579" s="227"/>
      <c r="O579" s="227"/>
      <c r="P579" s="231"/>
      <c r="Q579" s="227"/>
      <c r="R579" s="231"/>
      <c r="S579" s="231"/>
      <c r="T579" s="231"/>
      <c r="U579" s="231"/>
      <c r="V579" s="231"/>
      <c r="W579" s="231"/>
      <c r="X579" s="227"/>
      <c r="Y579" s="232"/>
      <c r="Z579" s="232"/>
      <c r="AA579" s="232"/>
      <c r="AB579" s="232"/>
      <c r="AC579" s="227"/>
      <c r="AD579" s="227"/>
      <c r="AE579" s="231"/>
      <c r="AF579" s="227"/>
      <c r="AG579" s="232"/>
      <c r="AH579" s="232"/>
      <c r="AI579" s="232"/>
      <c r="AJ579" s="232"/>
      <c r="AK579" s="232"/>
      <c r="AL579" s="232"/>
      <c r="AM579" s="232"/>
      <c r="AN579" s="232"/>
      <c r="AO579" s="231"/>
      <c r="AP579" s="231"/>
      <c r="AQ579" s="227"/>
      <c r="AR579" s="231"/>
      <c r="AS579" s="227"/>
      <c r="AT579" s="227"/>
      <c r="AU579" s="227"/>
      <c r="AV579" s="227"/>
    </row>
    <row r="580">
      <c r="A580" s="227"/>
      <c r="B580" s="232"/>
      <c r="C580" s="227"/>
      <c r="D580" s="227"/>
      <c r="E580" s="231"/>
      <c r="F580" s="232"/>
      <c r="G580" s="227"/>
      <c r="H580" s="227"/>
      <c r="I580" s="227"/>
      <c r="J580" s="227"/>
      <c r="K580" s="227"/>
      <c r="L580" s="232"/>
      <c r="M580" s="232"/>
      <c r="N580" s="227"/>
      <c r="O580" s="227"/>
      <c r="P580" s="231"/>
      <c r="Q580" s="227"/>
      <c r="R580" s="231"/>
      <c r="S580" s="231"/>
      <c r="T580" s="231"/>
      <c r="U580" s="231"/>
      <c r="V580" s="231"/>
      <c r="W580" s="231"/>
      <c r="X580" s="227"/>
      <c r="Y580" s="232"/>
      <c r="Z580" s="232"/>
      <c r="AA580" s="232"/>
      <c r="AB580" s="232"/>
      <c r="AC580" s="227"/>
      <c r="AD580" s="227"/>
      <c r="AE580" s="231"/>
      <c r="AF580" s="227"/>
      <c r="AG580" s="232"/>
      <c r="AH580" s="232"/>
      <c r="AI580" s="232"/>
      <c r="AJ580" s="232"/>
      <c r="AK580" s="232"/>
      <c r="AL580" s="232"/>
      <c r="AM580" s="232"/>
      <c r="AN580" s="232"/>
      <c r="AO580" s="231"/>
      <c r="AP580" s="231"/>
      <c r="AQ580" s="227"/>
      <c r="AR580" s="231"/>
      <c r="AS580" s="227"/>
      <c r="AT580" s="227"/>
      <c r="AU580" s="227"/>
      <c r="AV580" s="227"/>
    </row>
    <row r="581">
      <c r="A581" s="227"/>
      <c r="B581" s="232"/>
      <c r="C581" s="227"/>
      <c r="D581" s="227"/>
      <c r="E581" s="231"/>
      <c r="F581" s="232"/>
      <c r="G581" s="227"/>
      <c r="H581" s="227"/>
      <c r="I581" s="227"/>
      <c r="J581" s="227"/>
      <c r="K581" s="227"/>
      <c r="L581" s="232"/>
      <c r="M581" s="232"/>
      <c r="N581" s="227"/>
      <c r="O581" s="227"/>
      <c r="P581" s="231"/>
      <c r="Q581" s="227"/>
      <c r="R581" s="231"/>
      <c r="S581" s="231"/>
      <c r="T581" s="231"/>
      <c r="U581" s="231"/>
      <c r="V581" s="231"/>
      <c r="W581" s="231"/>
      <c r="X581" s="227"/>
      <c r="Y581" s="232"/>
      <c r="Z581" s="232"/>
      <c r="AA581" s="232"/>
      <c r="AB581" s="232"/>
      <c r="AC581" s="227"/>
      <c r="AD581" s="227"/>
      <c r="AE581" s="231"/>
      <c r="AF581" s="227"/>
      <c r="AG581" s="232"/>
      <c r="AH581" s="232"/>
      <c r="AI581" s="232"/>
      <c r="AJ581" s="232"/>
      <c r="AK581" s="232"/>
      <c r="AL581" s="232"/>
      <c r="AM581" s="232"/>
      <c r="AN581" s="232"/>
      <c r="AO581" s="231"/>
      <c r="AP581" s="231"/>
      <c r="AQ581" s="227"/>
      <c r="AR581" s="231"/>
      <c r="AS581" s="227"/>
      <c r="AT581" s="227"/>
      <c r="AU581" s="227"/>
      <c r="AV581" s="227"/>
    </row>
    <row r="582">
      <c r="A582" s="227"/>
      <c r="B582" s="232"/>
      <c r="C582" s="227"/>
      <c r="D582" s="227"/>
      <c r="E582" s="231"/>
      <c r="F582" s="232"/>
      <c r="G582" s="227"/>
      <c r="H582" s="227"/>
      <c r="I582" s="227"/>
      <c r="J582" s="227"/>
      <c r="K582" s="227"/>
      <c r="L582" s="232"/>
      <c r="M582" s="232"/>
      <c r="N582" s="227"/>
      <c r="O582" s="227"/>
      <c r="P582" s="231"/>
      <c r="Q582" s="227"/>
      <c r="R582" s="231"/>
      <c r="S582" s="231"/>
      <c r="T582" s="231"/>
      <c r="U582" s="231"/>
      <c r="V582" s="231"/>
      <c r="W582" s="231"/>
      <c r="X582" s="227"/>
      <c r="Y582" s="232"/>
      <c r="Z582" s="232"/>
      <c r="AA582" s="232"/>
      <c r="AB582" s="232"/>
      <c r="AC582" s="227"/>
      <c r="AD582" s="227"/>
      <c r="AE582" s="231"/>
      <c r="AF582" s="227"/>
      <c r="AG582" s="232"/>
      <c r="AH582" s="232"/>
      <c r="AI582" s="232"/>
      <c r="AJ582" s="232"/>
      <c r="AK582" s="232"/>
      <c r="AL582" s="232"/>
      <c r="AM582" s="232"/>
      <c r="AN582" s="232"/>
      <c r="AO582" s="231"/>
      <c r="AP582" s="231"/>
      <c r="AQ582" s="227"/>
      <c r="AR582" s="231"/>
      <c r="AS582" s="227"/>
      <c r="AT582" s="227"/>
      <c r="AU582" s="227"/>
      <c r="AV582" s="227"/>
    </row>
    <row r="583">
      <c r="A583" s="227"/>
      <c r="B583" s="232"/>
      <c r="C583" s="227"/>
      <c r="D583" s="227"/>
      <c r="E583" s="231"/>
      <c r="F583" s="232"/>
      <c r="G583" s="227"/>
      <c r="H583" s="227"/>
      <c r="I583" s="227"/>
      <c r="J583" s="227"/>
      <c r="K583" s="227"/>
      <c r="L583" s="232"/>
      <c r="M583" s="232"/>
      <c r="N583" s="227"/>
      <c r="O583" s="227"/>
      <c r="P583" s="231"/>
      <c r="Q583" s="227"/>
      <c r="R583" s="231"/>
      <c r="S583" s="231"/>
      <c r="T583" s="231"/>
      <c r="U583" s="231"/>
      <c r="V583" s="231"/>
      <c r="W583" s="231"/>
      <c r="X583" s="227"/>
      <c r="Y583" s="232"/>
      <c r="Z583" s="232"/>
      <c r="AA583" s="232"/>
      <c r="AB583" s="232"/>
      <c r="AC583" s="227"/>
      <c r="AD583" s="227"/>
      <c r="AE583" s="231"/>
      <c r="AF583" s="227"/>
      <c r="AG583" s="232"/>
      <c r="AH583" s="232"/>
      <c r="AI583" s="232"/>
      <c r="AJ583" s="232"/>
      <c r="AK583" s="232"/>
      <c r="AL583" s="232"/>
      <c r="AM583" s="232"/>
      <c r="AN583" s="232"/>
      <c r="AO583" s="231"/>
      <c r="AP583" s="231"/>
      <c r="AQ583" s="227"/>
      <c r="AR583" s="231"/>
      <c r="AS583" s="227"/>
      <c r="AT583" s="227"/>
      <c r="AU583" s="227"/>
      <c r="AV583" s="227"/>
    </row>
    <row r="584">
      <c r="A584" s="227"/>
      <c r="B584" s="232"/>
      <c r="C584" s="227"/>
      <c r="D584" s="227"/>
      <c r="E584" s="231"/>
      <c r="F584" s="232"/>
      <c r="G584" s="227"/>
      <c r="H584" s="227"/>
      <c r="I584" s="227"/>
      <c r="J584" s="227"/>
      <c r="K584" s="227"/>
      <c r="L584" s="232"/>
      <c r="M584" s="232"/>
      <c r="N584" s="227"/>
      <c r="O584" s="227"/>
      <c r="P584" s="231"/>
      <c r="Q584" s="227"/>
      <c r="R584" s="231"/>
      <c r="S584" s="231"/>
      <c r="T584" s="231"/>
      <c r="U584" s="231"/>
      <c r="V584" s="231"/>
      <c r="W584" s="231"/>
      <c r="X584" s="227"/>
      <c r="Y584" s="232"/>
      <c r="Z584" s="232"/>
      <c r="AA584" s="232"/>
      <c r="AB584" s="232"/>
      <c r="AC584" s="227"/>
      <c r="AD584" s="227"/>
      <c r="AE584" s="231"/>
      <c r="AF584" s="227"/>
      <c r="AG584" s="232"/>
      <c r="AH584" s="232"/>
      <c r="AI584" s="232"/>
      <c r="AJ584" s="232"/>
      <c r="AK584" s="232"/>
      <c r="AL584" s="232"/>
      <c r="AM584" s="232"/>
      <c r="AN584" s="232"/>
      <c r="AO584" s="231"/>
      <c r="AP584" s="231"/>
      <c r="AQ584" s="227"/>
      <c r="AR584" s="231"/>
      <c r="AS584" s="227"/>
      <c r="AT584" s="227"/>
      <c r="AU584" s="227"/>
      <c r="AV584" s="227"/>
    </row>
    <row r="585">
      <c r="A585" s="227"/>
      <c r="B585" s="232"/>
      <c r="C585" s="227"/>
      <c r="D585" s="227"/>
      <c r="E585" s="231"/>
      <c r="F585" s="232"/>
      <c r="G585" s="227"/>
      <c r="H585" s="227"/>
      <c r="I585" s="227"/>
      <c r="J585" s="227"/>
      <c r="K585" s="227"/>
      <c r="L585" s="232"/>
      <c r="M585" s="232"/>
      <c r="N585" s="227"/>
      <c r="O585" s="227"/>
      <c r="P585" s="231"/>
      <c r="Q585" s="227"/>
      <c r="R585" s="231"/>
      <c r="S585" s="231"/>
      <c r="T585" s="231"/>
      <c r="U585" s="231"/>
      <c r="V585" s="231"/>
      <c r="W585" s="231"/>
      <c r="X585" s="227"/>
      <c r="Y585" s="232"/>
      <c r="Z585" s="232"/>
      <c r="AA585" s="232"/>
      <c r="AB585" s="232"/>
      <c r="AC585" s="227"/>
      <c r="AD585" s="227"/>
      <c r="AE585" s="231"/>
      <c r="AF585" s="227"/>
      <c r="AG585" s="232"/>
      <c r="AH585" s="232"/>
      <c r="AI585" s="232"/>
      <c r="AJ585" s="232"/>
      <c r="AK585" s="232"/>
      <c r="AL585" s="232"/>
      <c r="AM585" s="232"/>
      <c r="AN585" s="232"/>
      <c r="AO585" s="231"/>
      <c r="AP585" s="231"/>
      <c r="AQ585" s="227"/>
      <c r="AR585" s="231"/>
      <c r="AS585" s="227"/>
      <c r="AT585" s="227"/>
      <c r="AU585" s="227"/>
      <c r="AV585" s="227"/>
    </row>
    <row r="586">
      <c r="A586" s="227"/>
      <c r="B586" s="232"/>
      <c r="C586" s="227"/>
      <c r="D586" s="227"/>
      <c r="E586" s="231"/>
      <c r="F586" s="232"/>
      <c r="G586" s="227"/>
      <c r="H586" s="227"/>
      <c r="I586" s="227"/>
      <c r="J586" s="227"/>
      <c r="K586" s="227"/>
      <c r="L586" s="232"/>
      <c r="M586" s="232"/>
      <c r="N586" s="227"/>
      <c r="O586" s="227"/>
      <c r="P586" s="231"/>
      <c r="Q586" s="227"/>
      <c r="R586" s="231"/>
      <c r="S586" s="231"/>
      <c r="T586" s="231"/>
      <c r="U586" s="231"/>
      <c r="V586" s="231"/>
      <c r="W586" s="231"/>
      <c r="X586" s="227"/>
      <c r="Y586" s="232"/>
      <c r="Z586" s="232"/>
      <c r="AA586" s="232"/>
      <c r="AB586" s="232"/>
      <c r="AC586" s="227"/>
      <c r="AD586" s="227"/>
      <c r="AE586" s="231"/>
      <c r="AF586" s="227"/>
      <c r="AG586" s="232"/>
      <c r="AH586" s="232"/>
      <c r="AI586" s="232"/>
      <c r="AJ586" s="232"/>
      <c r="AK586" s="232"/>
      <c r="AL586" s="232"/>
      <c r="AM586" s="232"/>
      <c r="AN586" s="232"/>
      <c r="AO586" s="231"/>
      <c r="AP586" s="231"/>
      <c r="AQ586" s="227"/>
      <c r="AR586" s="231"/>
      <c r="AS586" s="227"/>
      <c r="AT586" s="227"/>
      <c r="AU586" s="227"/>
      <c r="AV586" s="227"/>
    </row>
    <row r="587">
      <c r="A587" s="227"/>
      <c r="B587" s="232"/>
      <c r="C587" s="227"/>
      <c r="D587" s="227"/>
      <c r="E587" s="231"/>
      <c r="F587" s="232"/>
      <c r="G587" s="227"/>
      <c r="H587" s="227"/>
      <c r="I587" s="227"/>
      <c r="J587" s="227"/>
      <c r="K587" s="227"/>
      <c r="L587" s="232"/>
      <c r="M587" s="232"/>
      <c r="N587" s="227"/>
      <c r="O587" s="227"/>
      <c r="P587" s="231"/>
      <c r="Q587" s="227"/>
      <c r="R587" s="231"/>
      <c r="S587" s="231"/>
      <c r="T587" s="231"/>
      <c r="U587" s="231"/>
      <c r="V587" s="231"/>
      <c r="W587" s="231"/>
      <c r="X587" s="227"/>
      <c r="Y587" s="232"/>
      <c r="Z587" s="232"/>
      <c r="AA587" s="232"/>
      <c r="AB587" s="232"/>
      <c r="AC587" s="227"/>
      <c r="AD587" s="227"/>
      <c r="AE587" s="231"/>
      <c r="AF587" s="227"/>
      <c r="AG587" s="232"/>
      <c r="AH587" s="232"/>
      <c r="AI587" s="232"/>
      <c r="AJ587" s="232"/>
      <c r="AK587" s="232"/>
      <c r="AL587" s="232"/>
      <c r="AM587" s="232"/>
      <c r="AN587" s="232"/>
      <c r="AO587" s="231"/>
      <c r="AP587" s="231"/>
      <c r="AQ587" s="227"/>
      <c r="AR587" s="231"/>
      <c r="AS587" s="227"/>
      <c r="AT587" s="227"/>
      <c r="AU587" s="227"/>
      <c r="AV587" s="227"/>
    </row>
    <row r="588">
      <c r="A588" s="227"/>
      <c r="B588" s="232"/>
      <c r="C588" s="227"/>
      <c r="D588" s="227"/>
      <c r="E588" s="231"/>
      <c r="F588" s="232"/>
      <c r="G588" s="227"/>
      <c r="H588" s="227"/>
      <c r="I588" s="227"/>
      <c r="J588" s="227"/>
      <c r="K588" s="227"/>
      <c r="L588" s="232"/>
      <c r="M588" s="232"/>
      <c r="N588" s="227"/>
      <c r="O588" s="227"/>
      <c r="P588" s="231"/>
      <c r="Q588" s="227"/>
      <c r="R588" s="231"/>
      <c r="S588" s="231"/>
      <c r="T588" s="231"/>
      <c r="U588" s="231"/>
      <c r="V588" s="231"/>
      <c r="W588" s="231"/>
      <c r="X588" s="227"/>
      <c r="Y588" s="232"/>
      <c r="Z588" s="232"/>
      <c r="AA588" s="232"/>
      <c r="AB588" s="232"/>
      <c r="AC588" s="227"/>
      <c r="AD588" s="227"/>
      <c r="AE588" s="231"/>
      <c r="AF588" s="227"/>
      <c r="AG588" s="232"/>
      <c r="AH588" s="232"/>
      <c r="AI588" s="232"/>
      <c r="AJ588" s="232"/>
      <c r="AK588" s="232"/>
      <c r="AL588" s="232"/>
      <c r="AM588" s="232"/>
      <c r="AN588" s="232"/>
      <c r="AO588" s="231"/>
      <c r="AP588" s="231"/>
      <c r="AQ588" s="227"/>
      <c r="AR588" s="231"/>
      <c r="AS588" s="227"/>
      <c r="AT588" s="227"/>
      <c r="AU588" s="227"/>
      <c r="AV588" s="227"/>
    </row>
    <row r="589">
      <c r="A589" s="227"/>
      <c r="B589" s="232"/>
      <c r="C589" s="227"/>
      <c r="D589" s="227"/>
      <c r="E589" s="231"/>
      <c r="F589" s="232"/>
      <c r="G589" s="227"/>
      <c r="H589" s="227"/>
      <c r="I589" s="227"/>
      <c r="J589" s="227"/>
      <c r="K589" s="227"/>
      <c r="L589" s="232"/>
      <c r="M589" s="232"/>
      <c r="N589" s="227"/>
      <c r="O589" s="227"/>
      <c r="P589" s="231"/>
      <c r="Q589" s="227"/>
      <c r="R589" s="231"/>
      <c r="S589" s="231"/>
      <c r="T589" s="231"/>
      <c r="U589" s="231"/>
      <c r="V589" s="231"/>
      <c r="W589" s="231"/>
      <c r="X589" s="227"/>
      <c r="Y589" s="232"/>
      <c r="Z589" s="232"/>
      <c r="AA589" s="232"/>
      <c r="AB589" s="232"/>
      <c r="AC589" s="227"/>
      <c r="AD589" s="227"/>
      <c r="AE589" s="231"/>
      <c r="AF589" s="227"/>
      <c r="AG589" s="232"/>
      <c r="AH589" s="232"/>
      <c r="AI589" s="232"/>
      <c r="AJ589" s="232"/>
      <c r="AK589" s="232"/>
      <c r="AL589" s="232"/>
      <c r="AM589" s="232"/>
      <c r="AN589" s="232"/>
      <c r="AO589" s="231"/>
      <c r="AP589" s="231"/>
      <c r="AQ589" s="227"/>
      <c r="AR589" s="231"/>
      <c r="AS589" s="227"/>
      <c r="AT589" s="227"/>
      <c r="AU589" s="227"/>
      <c r="AV589" s="227"/>
    </row>
    <row r="590">
      <c r="A590" s="227"/>
      <c r="B590" s="232"/>
      <c r="C590" s="227"/>
      <c r="D590" s="227"/>
      <c r="E590" s="231"/>
      <c r="F590" s="232"/>
      <c r="G590" s="227"/>
      <c r="H590" s="227"/>
      <c r="I590" s="227"/>
      <c r="J590" s="227"/>
      <c r="K590" s="227"/>
      <c r="L590" s="232"/>
      <c r="M590" s="232"/>
      <c r="N590" s="227"/>
      <c r="O590" s="227"/>
      <c r="P590" s="231"/>
      <c r="Q590" s="227"/>
      <c r="R590" s="231"/>
      <c r="S590" s="231"/>
      <c r="T590" s="231"/>
      <c r="U590" s="231"/>
      <c r="V590" s="231"/>
      <c r="W590" s="231"/>
      <c r="X590" s="227"/>
      <c r="Y590" s="232"/>
      <c r="Z590" s="232"/>
      <c r="AA590" s="232"/>
      <c r="AB590" s="232"/>
      <c r="AC590" s="227"/>
      <c r="AD590" s="227"/>
      <c r="AE590" s="231"/>
      <c r="AF590" s="227"/>
      <c r="AG590" s="232"/>
      <c r="AH590" s="232"/>
      <c r="AI590" s="232"/>
      <c r="AJ590" s="232"/>
      <c r="AK590" s="232"/>
      <c r="AL590" s="232"/>
      <c r="AM590" s="232"/>
      <c r="AN590" s="232"/>
      <c r="AO590" s="231"/>
      <c r="AP590" s="231"/>
      <c r="AQ590" s="227"/>
      <c r="AR590" s="231"/>
      <c r="AS590" s="227"/>
      <c r="AT590" s="227"/>
      <c r="AU590" s="227"/>
      <c r="AV590" s="227"/>
    </row>
    <row r="591">
      <c r="A591" s="227"/>
      <c r="B591" s="232"/>
      <c r="C591" s="227"/>
      <c r="D591" s="227"/>
      <c r="E591" s="231"/>
      <c r="F591" s="232"/>
      <c r="G591" s="227"/>
      <c r="H591" s="227"/>
      <c r="I591" s="227"/>
      <c r="J591" s="227"/>
      <c r="K591" s="227"/>
      <c r="L591" s="232"/>
      <c r="M591" s="232"/>
      <c r="N591" s="227"/>
      <c r="O591" s="227"/>
      <c r="P591" s="231"/>
      <c r="Q591" s="227"/>
      <c r="R591" s="231"/>
      <c r="S591" s="231"/>
      <c r="T591" s="231"/>
      <c r="U591" s="231"/>
      <c r="V591" s="231"/>
      <c r="W591" s="231"/>
      <c r="X591" s="227"/>
      <c r="Y591" s="232"/>
      <c r="Z591" s="232"/>
      <c r="AA591" s="232"/>
      <c r="AB591" s="232"/>
      <c r="AC591" s="227"/>
      <c r="AD591" s="227"/>
      <c r="AE591" s="231"/>
      <c r="AF591" s="227"/>
      <c r="AG591" s="232"/>
      <c r="AH591" s="232"/>
      <c r="AI591" s="232"/>
      <c r="AJ591" s="232"/>
      <c r="AK591" s="232"/>
      <c r="AL591" s="232"/>
      <c r="AM591" s="232"/>
      <c r="AN591" s="232"/>
      <c r="AO591" s="231"/>
      <c r="AP591" s="231"/>
      <c r="AQ591" s="227"/>
      <c r="AR591" s="231"/>
      <c r="AS591" s="227"/>
      <c r="AT591" s="227"/>
      <c r="AU591" s="227"/>
      <c r="AV591" s="227"/>
    </row>
    <row r="592">
      <c r="A592" s="227"/>
      <c r="B592" s="232"/>
      <c r="C592" s="227"/>
      <c r="D592" s="227"/>
      <c r="E592" s="231"/>
      <c r="F592" s="232"/>
      <c r="G592" s="227"/>
      <c r="H592" s="227"/>
      <c r="I592" s="227"/>
      <c r="J592" s="227"/>
      <c r="K592" s="227"/>
      <c r="L592" s="232"/>
      <c r="M592" s="232"/>
      <c r="N592" s="227"/>
      <c r="O592" s="227"/>
      <c r="P592" s="231"/>
      <c r="Q592" s="227"/>
      <c r="R592" s="231"/>
      <c r="S592" s="231"/>
      <c r="T592" s="231"/>
      <c r="U592" s="231"/>
      <c r="V592" s="231"/>
      <c r="W592" s="231"/>
      <c r="X592" s="227"/>
      <c r="Y592" s="232"/>
      <c r="Z592" s="232"/>
      <c r="AA592" s="232"/>
      <c r="AB592" s="232"/>
      <c r="AC592" s="227"/>
      <c r="AD592" s="227"/>
      <c r="AE592" s="231"/>
      <c r="AF592" s="227"/>
      <c r="AG592" s="232"/>
      <c r="AH592" s="232"/>
      <c r="AI592" s="232"/>
      <c r="AJ592" s="232"/>
      <c r="AK592" s="232"/>
      <c r="AL592" s="232"/>
      <c r="AM592" s="232"/>
      <c r="AN592" s="232"/>
      <c r="AO592" s="231"/>
      <c r="AP592" s="231"/>
      <c r="AQ592" s="227"/>
      <c r="AR592" s="231"/>
      <c r="AS592" s="227"/>
      <c r="AT592" s="227"/>
      <c r="AU592" s="227"/>
      <c r="AV592" s="227"/>
    </row>
    <row r="593">
      <c r="A593" s="227"/>
      <c r="B593" s="232"/>
      <c r="C593" s="227"/>
      <c r="D593" s="227"/>
      <c r="E593" s="231"/>
      <c r="F593" s="232"/>
      <c r="G593" s="227"/>
      <c r="H593" s="227"/>
      <c r="I593" s="227"/>
      <c r="J593" s="227"/>
      <c r="K593" s="227"/>
      <c r="L593" s="232"/>
      <c r="M593" s="232"/>
      <c r="N593" s="227"/>
      <c r="O593" s="227"/>
      <c r="P593" s="231"/>
      <c r="Q593" s="227"/>
      <c r="R593" s="231"/>
      <c r="S593" s="231"/>
      <c r="T593" s="231"/>
      <c r="U593" s="231"/>
      <c r="V593" s="231"/>
      <c r="W593" s="231"/>
      <c r="X593" s="227"/>
      <c r="Y593" s="232"/>
      <c r="Z593" s="232"/>
      <c r="AA593" s="232"/>
      <c r="AB593" s="232"/>
      <c r="AC593" s="227"/>
      <c r="AD593" s="227"/>
      <c r="AE593" s="231"/>
      <c r="AF593" s="227"/>
      <c r="AG593" s="232"/>
      <c r="AH593" s="232"/>
      <c r="AI593" s="232"/>
      <c r="AJ593" s="232"/>
      <c r="AK593" s="232"/>
      <c r="AL593" s="232"/>
      <c r="AM593" s="232"/>
      <c r="AN593" s="232"/>
      <c r="AO593" s="231"/>
      <c r="AP593" s="231"/>
      <c r="AQ593" s="227"/>
      <c r="AR593" s="231"/>
      <c r="AS593" s="227"/>
      <c r="AT593" s="227"/>
      <c r="AU593" s="227"/>
      <c r="AV593" s="227"/>
    </row>
    <row r="594">
      <c r="A594" s="227"/>
      <c r="B594" s="232"/>
      <c r="C594" s="227"/>
      <c r="D594" s="227"/>
      <c r="E594" s="231"/>
      <c r="F594" s="232"/>
      <c r="G594" s="227"/>
      <c r="H594" s="227"/>
      <c r="I594" s="227"/>
      <c r="J594" s="227"/>
      <c r="K594" s="227"/>
      <c r="L594" s="232"/>
      <c r="M594" s="232"/>
      <c r="N594" s="227"/>
      <c r="O594" s="227"/>
      <c r="P594" s="231"/>
      <c r="Q594" s="227"/>
      <c r="R594" s="231"/>
      <c r="S594" s="231"/>
      <c r="T594" s="231"/>
      <c r="U594" s="231"/>
      <c r="V594" s="231"/>
      <c r="W594" s="231"/>
      <c r="X594" s="227"/>
      <c r="Y594" s="232"/>
      <c r="Z594" s="232"/>
      <c r="AA594" s="232"/>
      <c r="AB594" s="232"/>
      <c r="AC594" s="227"/>
      <c r="AD594" s="227"/>
      <c r="AE594" s="231"/>
      <c r="AF594" s="227"/>
      <c r="AG594" s="232"/>
      <c r="AH594" s="232"/>
      <c r="AI594" s="232"/>
      <c r="AJ594" s="232"/>
      <c r="AK594" s="232"/>
      <c r="AL594" s="232"/>
      <c r="AM594" s="232"/>
      <c r="AN594" s="232"/>
      <c r="AO594" s="231"/>
      <c r="AP594" s="231"/>
      <c r="AQ594" s="227"/>
      <c r="AR594" s="231"/>
      <c r="AS594" s="227"/>
      <c r="AT594" s="227"/>
      <c r="AU594" s="227"/>
      <c r="AV594" s="227"/>
    </row>
    <row r="595">
      <c r="A595" s="227"/>
      <c r="B595" s="232"/>
      <c r="C595" s="227"/>
      <c r="D595" s="227"/>
      <c r="E595" s="231"/>
      <c r="F595" s="232"/>
      <c r="G595" s="227"/>
      <c r="H595" s="227"/>
      <c r="I595" s="227"/>
      <c r="J595" s="227"/>
      <c r="K595" s="227"/>
      <c r="L595" s="232"/>
      <c r="M595" s="232"/>
      <c r="N595" s="227"/>
      <c r="O595" s="227"/>
      <c r="P595" s="231"/>
      <c r="Q595" s="227"/>
      <c r="R595" s="231"/>
      <c r="S595" s="231"/>
      <c r="T595" s="231"/>
      <c r="U595" s="231"/>
      <c r="V595" s="231"/>
      <c r="W595" s="231"/>
      <c r="X595" s="227"/>
      <c r="Y595" s="232"/>
      <c r="Z595" s="232"/>
      <c r="AA595" s="232"/>
      <c r="AB595" s="232"/>
      <c r="AC595" s="227"/>
      <c r="AD595" s="227"/>
      <c r="AE595" s="231"/>
      <c r="AF595" s="227"/>
      <c r="AG595" s="232"/>
      <c r="AH595" s="232"/>
      <c r="AI595" s="232"/>
      <c r="AJ595" s="232"/>
      <c r="AK595" s="232"/>
      <c r="AL595" s="232"/>
      <c r="AM595" s="232"/>
      <c r="AN595" s="232"/>
      <c r="AO595" s="231"/>
      <c r="AP595" s="231"/>
      <c r="AQ595" s="227"/>
      <c r="AR595" s="231"/>
      <c r="AS595" s="227"/>
      <c r="AT595" s="227"/>
      <c r="AU595" s="227"/>
      <c r="AV595" s="227"/>
    </row>
    <row r="596">
      <c r="A596" s="227"/>
      <c r="B596" s="232"/>
      <c r="C596" s="227"/>
      <c r="D596" s="227"/>
      <c r="E596" s="231"/>
      <c r="F596" s="232"/>
      <c r="G596" s="227"/>
      <c r="H596" s="227"/>
      <c r="I596" s="227"/>
      <c r="J596" s="227"/>
      <c r="K596" s="227"/>
      <c r="L596" s="232"/>
      <c r="M596" s="232"/>
      <c r="N596" s="227"/>
      <c r="O596" s="227"/>
      <c r="P596" s="231"/>
      <c r="Q596" s="227"/>
      <c r="R596" s="231"/>
      <c r="S596" s="231"/>
      <c r="T596" s="231"/>
      <c r="U596" s="231"/>
      <c r="V596" s="231"/>
      <c r="W596" s="231"/>
      <c r="X596" s="227"/>
      <c r="Y596" s="232"/>
      <c r="Z596" s="232"/>
      <c r="AA596" s="232"/>
      <c r="AB596" s="232"/>
      <c r="AC596" s="227"/>
      <c r="AD596" s="227"/>
      <c r="AE596" s="231"/>
      <c r="AF596" s="227"/>
      <c r="AG596" s="232"/>
      <c r="AH596" s="232"/>
      <c r="AI596" s="232"/>
      <c r="AJ596" s="232"/>
      <c r="AK596" s="232"/>
      <c r="AL596" s="232"/>
      <c r="AM596" s="232"/>
      <c r="AN596" s="232"/>
      <c r="AO596" s="231"/>
      <c r="AP596" s="231"/>
      <c r="AQ596" s="227"/>
      <c r="AR596" s="231"/>
      <c r="AS596" s="227"/>
      <c r="AT596" s="227"/>
      <c r="AU596" s="227"/>
      <c r="AV596" s="227"/>
    </row>
    <row r="597">
      <c r="A597" s="227"/>
      <c r="B597" s="232"/>
      <c r="C597" s="227"/>
      <c r="D597" s="227"/>
      <c r="E597" s="231"/>
      <c r="F597" s="232"/>
      <c r="G597" s="227"/>
      <c r="H597" s="227"/>
      <c r="I597" s="227"/>
      <c r="J597" s="227"/>
      <c r="K597" s="227"/>
      <c r="L597" s="232"/>
      <c r="M597" s="232"/>
      <c r="N597" s="227"/>
      <c r="O597" s="227"/>
      <c r="P597" s="231"/>
      <c r="Q597" s="227"/>
      <c r="R597" s="231"/>
      <c r="S597" s="231"/>
      <c r="T597" s="231"/>
      <c r="U597" s="231"/>
      <c r="V597" s="231"/>
      <c r="W597" s="231"/>
      <c r="X597" s="227"/>
      <c r="Y597" s="232"/>
      <c r="Z597" s="232"/>
      <c r="AA597" s="232"/>
      <c r="AB597" s="232"/>
      <c r="AC597" s="227"/>
      <c r="AD597" s="227"/>
      <c r="AE597" s="231"/>
      <c r="AF597" s="227"/>
      <c r="AG597" s="232"/>
      <c r="AH597" s="232"/>
      <c r="AI597" s="232"/>
      <c r="AJ597" s="232"/>
      <c r="AK597" s="232"/>
      <c r="AL597" s="232"/>
      <c r="AM597" s="232"/>
      <c r="AN597" s="232"/>
      <c r="AO597" s="231"/>
      <c r="AP597" s="231"/>
      <c r="AQ597" s="227"/>
      <c r="AR597" s="231"/>
      <c r="AS597" s="227"/>
      <c r="AT597" s="227"/>
      <c r="AU597" s="227"/>
      <c r="AV597" s="227"/>
    </row>
    <row r="598">
      <c r="A598" s="227"/>
      <c r="B598" s="232"/>
      <c r="C598" s="227"/>
      <c r="D598" s="227"/>
      <c r="E598" s="231"/>
      <c r="F598" s="232"/>
      <c r="G598" s="227"/>
      <c r="H598" s="227"/>
      <c r="I598" s="227"/>
      <c r="J598" s="227"/>
      <c r="K598" s="227"/>
      <c r="L598" s="232"/>
      <c r="M598" s="232"/>
      <c r="N598" s="227"/>
      <c r="O598" s="227"/>
      <c r="P598" s="231"/>
      <c r="Q598" s="227"/>
      <c r="R598" s="231"/>
      <c r="S598" s="231"/>
      <c r="T598" s="231"/>
      <c r="U598" s="231"/>
      <c r="V598" s="231"/>
      <c r="W598" s="231"/>
      <c r="X598" s="227"/>
      <c r="Y598" s="232"/>
      <c r="Z598" s="232"/>
      <c r="AA598" s="232"/>
      <c r="AB598" s="232"/>
      <c r="AC598" s="227"/>
      <c r="AD598" s="227"/>
      <c r="AE598" s="231"/>
      <c r="AF598" s="227"/>
      <c r="AG598" s="232"/>
      <c r="AH598" s="232"/>
      <c r="AI598" s="232"/>
      <c r="AJ598" s="232"/>
      <c r="AK598" s="232"/>
      <c r="AL598" s="232"/>
      <c r="AM598" s="232"/>
      <c r="AN598" s="232"/>
      <c r="AO598" s="231"/>
      <c r="AP598" s="231"/>
      <c r="AQ598" s="227"/>
      <c r="AR598" s="231"/>
      <c r="AS598" s="227"/>
      <c r="AT598" s="227"/>
      <c r="AU598" s="227"/>
      <c r="AV598" s="227"/>
    </row>
    <row r="599">
      <c r="A599" s="227"/>
      <c r="B599" s="232"/>
      <c r="C599" s="227"/>
      <c r="D599" s="227"/>
      <c r="E599" s="231"/>
      <c r="F599" s="232"/>
      <c r="G599" s="227"/>
      <c r="H599" s="227"/>
      <c r="I599" s="227"/>
      <c r="J599" s="227"/>
      <c r="K599" s="227"/>
      <c r="L599" s="232"/>
      <c r="M599" s="232"/>
      <c r="N599" s="227"/>
      <c r="O599" s="227"/>
      <c r="P599" s="231"/>
      <c r="Q599" s="227"/>
      <c r="R599" s="231"/>
      <c r="S599" s="231"/>
      <c r="T599" s="231"/>
      <c r="U599" s="231"/>
      <c r="V599" s="231"/>
      <c r="W599" s="231"/>
      <c r="X599" s="227"/>
      <c r="Y599" s="232"/>
      <c r="Z599" s="232"/>
      <c r="AA599" s="232"/>
      <c r="AB599" s="232"/>
      <c r="AC599" s="227"/>
      <c r="AD599" s="227"/>
      <c r="AE599" s="231"/>
      <c r="AF599" s="227"/>
      <c r="AG599" s="232"/>
      <c r="AH599" s="232"/>
      <c r="AI599" s="232"/>
      <c r="AJ599" s="232"/>
      <c r="AK599" s="232"/>
      <c r="AL599" s="232"/>
      <c r="AM599" s="232"/>
      <c r="AN599" s="232"/>
      <c r="AO599" s="231"/>
      <c r="AP599" s="231"/>
      <c r="AQ599" s="227"/>
      <c r="AR599" s="231"/>
      <c r="AS599" s="227"/>
      <c r="AT599" s="227"/>
      <c r="AU599" s="227"/>
      <c r="AV599" s="227"/>
    </row>
    <row r="600">
      <c r="A600" s="227"/>
      <c r="B600" s="232"/>
      <c r="C600" s="227"/>
      <c r="D600" s="227"/>
      <c r="E600" s="231"/>
      <c r="F600" s="232"/>
      <c r="G600" s="227"/>
      <c r="H600" s="227"/>
      <c r="I600" s="227"/>
      <c r="J600" s="227"/>
      <c r="K600" s="227"/>
      <c r="L600" s="232"/>
      <c r="M600" s="232"/>
      <c r="N600" s="227"/>
      <c r="O600" s="227"/>
      <c r="P600" s="231"/>
      <c r="Q600" s="227"/>
      <c r="R600" s="231"/>
      <c r="S600" s="231"/>
      <c r="T600" s="231"/>
      <c r="U600" s="231"/>
      <c r="V600" s="231"/>
      <c r="W600" s="231"/>
      <c r="X600" s="227"/>
      <c r="Y600" s="232"/>
      <c r="Z600" s="232"/>
      <c r="AA600" s="232"/>
      <c r="AB600" s="232"/>
      <c r="AC600" s="227"/>
      <c r="AD600" s="227"/>
      <c r="AE600" s="231"/>
      <c r="AF600" s="227"/>
      <c r="AG600" s="232"/>
      <c r="AH600" s="232"/>
      <c r="AI600" s="232"/>
      <c r="AJ600" s="232"/>
      <c r="AK600" s="232"/>
      <c r="AL600" s="232"/>
      <c r="AM600" s="232"/>
      <c r="AN600" s="232"/>
      <c r="AO600" s="231"/>
      <c r="AP600" s="231"/>
      <c r="AQ600" s="227"/>
      <c r="AR600" s="231"/>
      <c r="AS600" s="227"/>
      <c r="AT600" s="227"/>
      <c r="AU600" s="227"/>
      <c r="AV600" s="227"/>
    </row>
    <row r="601">
      <c r="A601" s="227"/>
      <c r="B601" s="232"/>
      <c r="C601" s="227"/>
      <c r="D601" s="227"/>
      <c r="E601" s="231"/>
      <c r="F601" s="232"/>
      <c r="G601" s="227"/>
      <c r="H601" s="227"/>
      <c r="I601" s="227"/>
      <c r="J601" s="227"/>
      <c r="K601" s="227"/>
      <c r="L601" s="232"/>
      <c r="M601" s="232"/>
      <c r="N601" s="227"/>
      <c r="O601" s="227"/>
      <c r="P601" s="231"/>
      <c r="Q601" s="227"/>
      <c r="R601" s="231"/>
      <c r="S601" s="231"/>
      <c r="T601" s="231"/>
      <c r="U601" s="231"/>
      <c r="V601" s="231"/>
      <c r="W601" s="231"/>
      <c r="X601" s="227"/>
      <c r="Y601" s="232"/>
      <c r="Z601" s="232"/>
      <c r="AA601" s="232"/>
      <c r="AB601" s="232"/>
      <c r="AC601" s="227"/>
      <c r="AD601" s="227"/>
      <c r="AE601" s="231"/>
      <c r="AF601" s="227"/>
      <c r="AG601" s="232"/>
      <c r="AH601" s="232"/>
      <c r="AI601" s="232"/>
      <c r="AJ601" s="232"/>
      <c r="AK601" s="232"/>
      <c r="AL601" s="232"/>
      <c r="AM601" s="232"/>
      <c r="AN601" s="232"/>
      <c r="AO601" s="231"/>
      <c r="AP601" s="231"/>
      <c r="AQ601" s="227"/>
      <c r="AR601" s="231"/>
      <c r="AS601" s="227"/>
      <c r="AT601" s="227"/>
      <c r="AU601" s="227"/>
      <c r="AV601" s="227"/>
    </row>
    <row r="602">
      <c r="A602" s="227"/>
      <c r="B602" s="232"/>
      <c r="C602" s="227"/>
      <c r="D602" s="227"/>
      <c r="E602" s="231"/>
      <c r="F602" s="232"/>
      <c r="G602" s="227"/>
      <c r="H602" s="227"/>
      <c r="I602" s="227"/>
      <c r="J602" s="227"/>
      <c r="K602" s="227"/>
      <c r="L602" s="232"/>
      <c r="M602" s="232"/>
      <c r="N602" s="227"/>
      <c r="O602" s="227"/>
      <c r="P602" s="231"/>
      <c r="Q602" s="227"/>
      <c r="R602" s="231"/>
      <c r="S602" s="231"/>
      <c r="T602" s="231"/>
      <c r="U602" s="231"/>
      <c r="V602" s="231"/>
      <c r="W602" s="231"/>
      <c r="X602" s="227"/>
      <c r="Y602" s="232"/>
      <c r="Z602" s="232"/>
      <c r="AA602" s="232"/>
      <c r="AB602" s="232"/>
      <c r="AC602" s="227"/>
      <c r="AD602" s="227"/>
      <c r="AE602" s="231"/>
      <c r="AF602" s="227"/>
      <c r="AG602" s="232"/>
      <c r="AH602" s="232"/>
      <c r="AI602" s="232"/>
      <c r="AJ602" s="232"/>
      <c r="AK602" s="232"/>
      <c r="AL602" s="232"/>
      <c r="AM602" s="232"/>
      <c r="AN602" s="232"/>
      <c r="AO602" s="231"/>
      <c r="AP602" s="231"/>
      <c r="AQ602" s="227"/>
      <c r="AR602" s="231"/>
      <c r="AS602" s="227"/>
      <c r="AT602" s="227"/>
      <c r="AU602" s="227"/>
      <c r="AV602" s="227"/>
    </row>
    <row r="603">
      <c r="A603" s="227"/>
      <c r="B603" s="232"/>
      <c r="C603" s="227"/>
      <c r="D603" s="227"/>
      <c r="E603" s="231"/>
      <c r="F603" s="232"/>
      <c r="G603" s="227"/>
      <c r="H603" s="227"/>
      <c r="I603" s="227"/>
      <c r="J603" s="227"/>
      <c r="K603" s="227"/>
      <c r="L603" s="232"/>
      <c r="M603" s="232"/>
      <c r="N603" s="227"/>
      <c r="O603" s="227"/>
      <c r="P603" s="231"/>
      <c r="Q603" s="227"/>
      <c r="R603" s="231"/>
      <c r="S603" s="231"/>
      <c r="T603" s="231"/>
      <c r="U603" s="231"/>
      <c r="V603" s="231"/>
      <c r="W603" s="231"/>
      <c r="X603" s="227"/>
      <c r="Y603" s="232"/>
      <c r="Z603" s="232"/>
      <c r="AA603" s="232"/>
      <c r="AB603" s="232"/>
      <c r="AC603" s="227"/>
      <c r="AD603" s="227"/>
      <c r="AE603" s="231"/>
      <c r="AF603" s="227"/>
      <c r="AG603" s="232"/>
      <c r="AH603" s="232"/>
      <c r="AI603" s="232"/>
      <c r="AJ603" s="232"/>
      <c r="AK603" s="232"/>
      <c r="AL603" s="232"/>
      <c r="AM603" s="232"/>
      <c r="AN603" s="232"/>
      <c r="AO603" s="231"/>
      <c r="AP603" s="231"/>
      <c r="AQ603" s="227"/>
      <c r="AR603" s="231"/>
      <c r="AS603" s="227"/>
      <c r="AT603" s="227"/>
      <c r="AU603" s="227"/>
      <c r="AV603" s="227"/>
    </row>
    <row r="604">
      <c r="A604" s="227"/>
      <c r="B604" s="232"/>
      <c r="C604" s="227"/>
      <c r="D604" s="227"/>
      <c r="E604" s="231"/>
      <c r="F604" s="232"/>
      <c r="G604" s="227"/>
      <c r="H604" s="227"/>
      <c r="I604" s="227"/>
      <c r="J604" s="227"/>
      <c r="K604" s="227"/>
      <c r="L604" s="232"/>
      <c r="M604" s="232"/>
      <c r="N604" s="227"/>
      <c r="O604" s="227"/>
      <c r="P604" s="231"/>
      <c r="Q604" s="227"/>
      <c r="R604" s="231"/>
      <c r="S604" s="231"/>
      <c r="T604" s="231"/>
      <c r="U604" s="231"/>
      <c r="V604" s="231"/>
      <c r="W604" s="231"/>
      <c r="X604" s="227"/>
      <c r="Y604" s="232"/>
      <c r="Z604" s="232"/>
      <c r="AA604" s="232"/>
      <c r="AB604" s="232"/>
      <c r="AC604" s="227"/>
      <c r="AD604" s="227"/>
      <c r="AE604" s="231"/>
      <c r="AF604" s="227"/>
      <c r="AG604" s="232"/>
      <c r="AH604" s="232"/>
      <c r="AI604" s="232"/>
      <c r="AJ604" s="232"/>
      <c r="AK604" s="232"/>
      <c r="AL604" s="232"/>
      <c r="AM604" s="232"/>
      <c r="AN604" s="232"/>
      <c r="AO604" s="231"/>
      <c r="AP604" s="231"/>
      <c r="AQ604" s="227"/>
      <c r="AR604" s="231"/>
      <c r="AS604" s="227"/>
      <c r="AT604" s="227"/>
      <c r="AU604" s="227"/>
      <c r="AV604" s="227"/>
    </row>
    <row r="605">
      <c r="A605" s="227"/>
      <c r="B605" s="232"/>
      <c r="C605" s="227"/>
      <c r="D605" s="227"/>
      <c r="E605" s="231"/>
      <c r="F605" s="232"/>
      <c r="G605" s="227"/>
      <c r="H605" s="227"/>
      <c r="I605" s="227"/>
      <c r="J605" s="227"/>
      <c r="K605" s="227"/>
      <c r="L605" s="232"/>
      <c r="M605" s="232"/>
      <c r="N605" s="227"/>
      <c r="O605" s="227"/>
      <c r="P605" s="231"/>
      <c r="Q605" s="227"/>
      <c r="R605" s="231"/>
      <c r="S605" s="231"/>
      <c r="T605" s="231"/>
      <c r="U605" s="231"/>
      <c r="V605" s="231"/>
      <c r="W605" s="231"/>
      <c r="X605" s="227"/>
      <c r="Y605" s="232"/>
      <c r="Z605" s="232"/>
      <c r="AA605" s="232"/>
      <c r="AB605" s="232"/>
      <c r="AC605" s="227"/>
      <c r="AD605" s="227"/>
      <c r="AE605" s="231"/>
      <c r="AF605" s="227"/>
      <c r="AG605" s="232"/>
      <c r="AH605" s="232"/>
      <c r="AI605" s="232"/>
      <c r="AJ605" s="232"/>
      <c r="AK605" s="232"/>
      <c r="AL605" s="232"/>
      <c r="AM605" s="232"/>
      <c r="AN605" s="232"/>
      <c r="AO605" s="231"/>
      <c r="AP605" s="231"/>
      <c r="AQ605" s="227"/>
      <c r="AR605" s="231"/>
      <c r="AS605" s="227"/>
      <c r="AT605" s="227"/>
      <c r="AU605" s="227"/>
      <c r="AV605" s="227"/>
    </row>
    <row r="606">
      <c r="A606" s="227"/>
      <c r="B606" s="232"/>
      <c r="C606" s="227"/>
      <c r="D606" s="227"/>
      <c r="E606" s="231"/>
      <c r="F606" s="232"/>
      <c r="G606" s="227"/>
      <c r="H606" s="227"/>
      <c r="I606" s="227"/>
      <c r="J606" s="227"/>
      <c r="K606" s="227"/>
      <c r="L606" s="232"/>
      <c r="M606" s="232"/>
      <c r="N606" s="227"/>
      <c r="O606" s="227"/>
      <c r="P606" s="231"/>
      <c r="Q606" s="227"/>
      <c r="R606" s="231"/>
      <c r="S606" s="231"/>
      <c r="T606" s="231"/>
      <c r="U606" s="231"/>
      <c r="V606" s="231"/>
      <c r="W606" s="231"/>
      <c r="X606" s="227"/>
      <c r="Y606" s="232"/>
      <c r="Z606" s="232"/>
      <c r="AA606" s="232"/>
      <c r="AB606" s="232"/>
      <c r="AC606" s="227"/>
      <c r="AD606" s="227"/>
      <c r="AE606" s="231"/>
      <c r="AF606" s="227"/>
      <c r="AG606" s="232"/>
      <c r="AH606" s="232"/>
      <c r="AI606" s="232"/>
      <c r="AJ606" s="232"/>
      <c r="AK606" s="232"/>
      <c r="AL606" s="232"/>
      <c r="AM606" s="232"/>
      <c r="AN606" s="232"/>
      <c r="AO606" s="231"/>
      <c r="AP606" s="231"/>
      <c r="AQ606" s="227"/>
      <c r="AR606" s="231"/>
      <c r="AS606" s="227"/>
      <c r="AT606" s="227"/>
      <c r="AU606" s="227"/>
      <c r="AV606" s="227"/>
    </row>
    <row r="607">
      <c r="A607" s="227"/>
      <c r="B607" s="232"/>
      <c r="C607" s="227"/>
      <c r="D607" s="227"/>
      <c r="E607" s="231"/>
      <c r="F607" s="232"/>
      <c r="G607" s="227"/>
      <c r="H607" s="227"/>
      <c r="I607" s="227"/>
      <c r="J607" s="227"/>
      <c r="K607" s="227"/>
      <c r="L607" s="232"/>
      <c r="M607" s="232"/>
      <c r="N607" s="227"/>
      <c r="O607" s="227"/>
      <c r="P607" s="231"/>
      <c r="Q607" s="227"/>
      <c r="R607" s="231"/>
      <c r="S607" s="231"/>
      <c r="T607" s="231"/>
      <c r="U607" s="231"/>
      <c r="V607" s="231"/>
      <c r="W607" s="231"/>
      <c r="X607" s="227"/>
      <c r="Y607" s="232"/>
      <c r="Z607" s="232"/>
      <c r="AA607" s="232"/>
      <c r="AB607" s="232"/>
      <c r="AC607" s="227"/>
      <c r="AD607" s="227"/>
      <c r="AE607" s="231"/>
      <c r="AF607" s="227"/>
      <c r="AG607" s="232"/>
      <c r="AH607" s="232"/>
      <c r="AI607" s="232"/>
      <c r="AJ607" s="232"/>
      <c r="AK607" s="232"/>
      <c r="AL607" s="232"/>
      <c r="AM607" s="232"/>
      <c r="AN607" s="232"/>
      <c r="AO607" s="231"/>
      <c r="AP607" s="231"/>
      <c r="AQ607" s="227"/>
      <c r="AR607" s="231"/>
      <c r="AS607" s="227"/>
      <c r="AT607" s="227"/>
      <c r="AU607" s="227"/>
      <c r="AV607" s="227"/>
    </row>
    <row r="608">
      <c r="A608" s="227"/>
      <c r="B608" s="232"/>
      <c r="C608" s="227"/>
      <c r="D608" s="227"/>
      <c r="E608" s="231"/>
      <c r="F608" s="232"/>
      <c r="G608" s="227"/>
      <c r="H608" s="227"/>
      <c r="I608" s="227"/>
      <c r="J608" s="227"/>
      <c r="K608" s="227"/>
      <c r="L608" s="232"/>
      <c r="M608" s="232"/>
      <c r="N608" s="227"/>
      <c r="O608" s="227"/>
      <c r="P608" s="231"/>
      <c r="Q608" s="227"/>
      <c r="R608" s="231"/>
      <c r="S608" s="231"/>
      <c r="T608" s="231"/>
      <c r="U608" s="231"/>
      <c r="V608" s="231"/>
      <c r="W608" s="231"/>
      <c r="X608" s="227"/>
      <c r="Y608" s="232"/>
      <c r="Z608" s="232"/>
      <c r="AA608" s="232"/>
      <c r="AB608" s="232"/>
      <c r="AC608" s="227"/>
      <c r="AD608" s="227"/>
      <c r="AE608" s="231"/>
      <c r="AF608" s="227"/>
      <c r="AG608" s="232"/>
      <c r="AH608" s="232"/>
      <c r="AI608" s="232"/>
      <c r="AJ608" s="232"/>
      <c r="AK608" s="232"/>
      <c r="AL608" s="232"/>
      <c r="AM608" s="232"/>
      <c r="AN608" s="232"/>
      <c r="AO608" s="231"/>
      <c r="AP608" s="231"/>
      <c r="AQ608" s="227"/>
      <c r="AR608" s="231"/>
      <c r="AS608" s="227"/>
      <c r="AT608" s="227"/>
      <c r="AU608" s="227"/>
      <c r="AV608" s="227"/>
    </row>
    <row r="609">
      <c r="A609" s="227"/>
      <c r="B609" s="232"/>
      <c r="C609" s="227"/>
      <c r="D609" s="227"/>
      <c r="E609" s="231"/>
      <c r="F609" s="232"/>
      <c r="G609" s="227"/>
      <c r="H609" s="227"/>
      <c r="I609" s="227"/>
      <c r="J609" s="227"/>
      <c r="K609" s="227"/>
      <c r="L609" s="232"/>
      <c r="M609" s="232"/>
      <c r="N609" s="227"/>
      <c r="O609" s="227"/>
      <c r="P609" s="231"/>
      <c r="Q609" s="227"/>
      <c r="R609" s="231"/>
      <c r="S609" s="231"/>
      <c r="T609" s="231"/>
      <c r="U609" s="231"/>
      <c r="V609" s="231"/>
      <c r="W609" s="231"/>
      <c r="X609" s="227"/>
      <c r="Y609" s="232"/>
      <c r="Z609" s="232"/>
      <c r="AA609" s="232"/>
      <c r="AB609" s="232"/>
      <c r="AC609" s="227"/>
      <c r="AD609" s="227"/>
      <c r="AE609" s="231"/>
      <c r="AF609" s="227"/>
      <c r="AG609" s="232"/>
      <c r="AH609" s="232"/>
      <c r="AI609" s="232"/>
      <c r="AJ609" s="232"/>
      <c r="AK609" s="232"/>
      <c r="AL609" s="232"/>
      <c r="AM609" s="232"/>
      <c r="AN609" s="232"/>
      <c r="AO609" s="231"/>
      <c r="AP609" s="231"/>
      <c r="AQ609" s="227"/>
      <c r="AR609" s="231"/>
      <c r="AS609" s="227"/>
      <c r="AT609" s="227"/>
      <c r="AU609" s="227"/>
      <c r="AV609" s="227"/>
    </row>
    <row r="610">
      <c r="A610" s="227"/>
      <c r="B610" s="232"/>
      <c r="C610" s="227"/>
      <c r="D610" s="227"/>
      <c r="E610" s="231"/>
      <c r="F610" s="232"/>
      <c r="G610" s="227"/>
      <c r="H610" s="227"/>
      <c r="I610" s="227"/>
      <c r="J610" s="227"/>
      <c r="K610" s="227"/>
      <c r="L610" s="232"/>
      <c r="M610" s="232"/>
      <c r="N610" s="227"/>
      <c r="O610" s="227"/>
      <c r="P610" s="231"/>
      <c r="Q610" s="227"/>
      <c r="R610" s="231"/>
      <c r="S610" s="231"/>
      <c r="T610" s="231"/>
      <c r="U610" s="231"/>
      <c r="V610" s="231"/>
      <c r="W610" s="231"/>
      <c r="X610" s="227"/>
      <c r="Y610" s="232"/>
      <c r="Z610" s="232"/>
      <c r="AA610" s="232"/>
      <c r="AB610" s="232"/>
      <c r="AC610" s="227"/>
      <c r="AD610" s="227"/>
      <c r="AE610" s="231"/>
      <c r="AF610" s="227"/>
      <c r="AG610" s="232"/>
      <c r="AH610" s="232"/>
      <c r="AI610" s="232"/>
      <c r="AJ610" s="232"/>
      <c r="AK610" s="232"/>
      <c r="AL610" s="232"/>
      <c r="AM610" s="232"/>
      <c r="AN610" s="232"/>
      <c r="AO610" s="231"/>
      <c r="AP610" s="231"/>
      <c r="AQ610" s="227"/>
      <c r="AR610" s="231"/>
      <c r="AS610" s="227"/>
      <c r="AT610" s="227"/>
      <c r="AU610" s="227"/>
      <c r="AV610" s="227"/>
    </row>
    <row r="611">
      <c r="A611" s="227"/>
      <c r="B611" s="232"/>
      <c r="C611" s="227"/>
      <c r="D611" s="227"/>
      <c r="E611" s="231"/>
      <c r="F611" s="232"/>
      <c r="G611" s="227"/>
      <c r="H611" s="227"/>
      <c r="I611" s="227"/>
      <c r="J611" s="227"/>
      <c r="K611" s="227"/>
      <c r="L611" s="232"/>
      <c r="M611" s="232"/>
      <c r="N611" s="227"/>
      <c r="O611" s="227"/>
      <c r="P611" s="231"/>
      <c r="Q611" s="227"/>
      <c r="R611" s="231"/>
      <c r="S611" s="231"/>
      <c r="T611" s="231"/>
      <c r="U611" s="231"/>
      <c r="V611" s="231"/>
      <c r="W611" s="231"/>
      <c r="X611" s="227"/>
      <c r="Y611" s="232"/>
      <c r="Z611" s="232"/>
      <c r="AA611" s="232"/>
      <c r="AB611" s="232"/>
      <c r="AC611" s="227"/>
      <c r="AD611" s="227"/>
      <c r="AE611" s="231"/>
      <c r="AF611" s="227"/>
      <c r="AG611" s="232"/>
      <c r="AH611" s="232"/>
      <c r="AI611" s="232"/>
      <c r="AJ611" s="232"/>
      <c r="AK611" s="232"/>
      <c r="AL611" s="232"/>
      <c r="AM611" s="232"/>
      <c r="AN611" s="232"/>
      <c r="AO611" s="231"/>
      <c r="AP611" s="231"/>
      <c r="AQ611" s="227"/>
      <c r="AR611" s="231"/>
      <c r="AS611" s="227"/>
      <c r="AT611" s="227"/>
      <c r="AU611" s="227"/>
      <c r="AV611" s="227"/>
    </row>
    <row r="612">
      <c r="A612" s="227"/>
      <c r="B612" s="232"/>
      <c r="C612" s="227"/>
      <c r="D612" s="227"/>
      <c r="E612" s="231"/>
      <c r="F612" s="232"/>
      <c r="G612" s="227"/>
      <c r="H612" s="227"/>
      <c r="I612" s="227"/>
      <c r="J612" s="227"/>
      <c r="K612" s="227"/>
      <c r="L612" s="232"/>
      <c r="M612" s="232"/>
      <c r="N612" s="227"/>
      <c r="O612" s="227"/>
      <c r="P612" s="231"/>
      <c r="Q612" s="227"/>
      <c r="R612" s="231"/>
      <c r="S612" s="231"/>
      <c r="T612" s="231"/>
      <c r="U612" s="231"/>
      <c r="V612" s="231"/>
      <c r="W612" s="231"/>
      <c r="X612" s="227"/>
      <c r="Y612" s="232"/>
      <c r="Z612" s="232"/>
      <c r="AA612" s="232"/>
      <c r="AB612" s="232"/>
      <c r="AC612" s="227"/>
      <c r="AD612" s="227"/>
      <c r="AE612" s="231"/>
      <c r="AF612" s="227"/>
      <c r="AG612" s="232"/>
      <c r="AH612" s="232"/>
      <c r="AI612" s="232"/>
      <c r="AJ612" s="232"/>
      <c r="AK612" s="232"/>
      <c r="AL612" s="232"/>
      <c r="AM612" s="232"/>
      <c r="AN612" s="232"/>
      <c r="AO612" s="231"/>
      <c r="AP612" s="231"/>
      <c r="AQ612" s="227"/>
      <c r="AR612" s="231"/>
      <c r="AS612" s="227"/>
      <c r="AT612" s="227"/>
      <c r="AU612" s="227"/>
      <c r="AV612" s="227"/>
    </row>
    <row r="613">
      <c r="A613" s="227"/>
      <c r="B613" s="232"/>
      <c r="C613" s="227"/>
      <c r="D613" s="227"/>
      <c r="E613" s="231"/>
      <c r="F613" s="232"/>
      <c r="G613" s="227"/>
      <c r="H613" s="227"/>
      <c r="I613" s="227"/>
      <c r="J613" s="227"/>
      <c r="K613" s="227"/>
      <c r="L613" s="232"/>
      <c r="M613" s="232"/>
      <c r="N613" s="227"/>
      <c r="O613" s="227"/>
      <c r="P613" s="231"/>
      <c r="Q613" s="227"/>
      <c r="R613" s="231"/>
      <c r="S613" s="231"/>
      <c r="T613" s="231"/>
      <c r="U613" s="231"/>
      <c r="V613" s="231"/>
      <c r="W613" s="231"/>
      <c r="X613" s="227"/>
      <c r="Y613" s="232"/>
      <c r="Z613" s="232"/>
      <c r="AA613" s="232"/>
      <c r="AB613" s="232"/>
      <c r="AC613" s="227"/>
      <c r="AD613" s="227"/>
      <c r="AE613" s="231"/>
      <c r="AF613" s="227"/>
      <c r="AG613" s="232"/>
      <c r="AH613" s="232"/>
      <c r="AI613" s="232"/>
      <c r="AJ613" s="232"/>
      <c r="AK613" s="232"/>
      <c r="AL613" s="232"/>
      <c r="AM613" s="232"/>
      <c r="AN613" s="232"/>
      <c r="AO613" s="231"/>
      <c r="AP613" s="231"/>
      <c r="AQ613" s="227"/>
      <c r="AR613" s="231"/>
      <c r="AS613" s="227"/>
      <c r="AT613" s="227"/>
      <c r="AU613" s="227"/>
      <c r="AV613" s="227"/>
    </row>
    <row r="614">
      <c r="A614" s="227"/>
      <c r="B614" s="232"/>
      <c r="C614" s="227"/>
      <c r="D614" s="227"/>
      <c r="E614" s="231"/>
      <c r="F614" s="232"/>
      <c r="G614" s="227"/>
      <c r="H614" s="227"/>
      <c r="I614" s="227"/>
      <c r="J614" s="227"/>
      <c r="K614" s="227"/>
      <c r="L614" s="232"/>
      <c r="M614" s="232"/>
      <c r="N614" s="227"/>
      <c r="O614" s="227"/>
      <c r="P614" s="231"/>
      <c r="Q614" s="227"/>
      <c r="R614" s="231"/>
      <c r="S614" s="231"/>
      <c r="T614" s="231"/>
      <c r="U614" s="231"/>
      <c r="V614" s="231"/>
      <c r="W614" s="231"/>
      <c r="X614" s="227"/>
      <c r="Y614" s="232"/>
      <c r="Z614" s="232"/>
      <c r="AA614" s="232"/>
      <c r="AB614" s="232"/>
      <c r="AC614" s="227"/>
      <c r="AD614" s="227"/>
      <c r="AE614" s="231"/>
      <c r="AF614" s="227"/>
      <c r="AG614" s="232"/>
      <c r="AH614" s="232"/>
      <c r="AI614" s="232"/>
      <c r="AJ614" s="232"/>
      <c r="AK614" s="232"/>
      <c r="AL614" s="232"/>
      <c r="AM614" s="232"/>
      <c r="AN614" s="232"/>
      <c r="AO614" s="231"/>
      <c r="AP614" s="231"/>
      <c r="AQ614" s="227"/>
      <c r="AR614" s="231"/>
      <c r="AS614" s="227"/>
      <c r="AT614" s="227"/>
      <c r="AU614" s="227"/>
      <c r="AV614" s="227"/>
    </row>
    <row r="615">
      <c r="A615" s="227"/>
      <c r="B615" s="232"/>
      <c r="C615" s="227"/>
      <c r="D615" s="227"/>
      <c r="E615" s="231"/>
      <c r="F615" s="232"/>
      <c r="G615" s="227"/>
      <c r="H615" s="227"/>
      <c r="I615" s="227"/>
      <c r="J615" s="227"/>
      <c r="K615" s="227"/>
      <c r="L615" s="232"/>
      <c r="M615" s="232"/>
      <c r="N615" s="227"/>
      <c r="O615" s="227"/>
      <c r="P615" s="231"/>
      <c r="Q615" s="227"/>
      <c r="R615" s="231"/>
      <c r="S615" s="231"/>
      <c r="T615" s="231"/>
      <c r="U615" s="231"/>
      <c r="V615" s="231"/>
      <c r="W615" s="231"/>
      <c r="X615" s="227"/>
      <c r="Y615" s="232"/>
      <c r="Z615" s="232"/>
      <c r="AA615" s="232"/>
      <c r="AB615" s="232"/>
      <c r="AC615" s="227"/>
      <c r="AD615" s="227"/>
      <c r="AE615" s="231"/>
      <c r="AF615" s="227"/>
      <c r="AG615" s="232"/>
      <c r="AH615" s="232"/>
      <c r="AI615" s="232"/>
      <c r="AJ615" s="232"/>
      <c r="AK615" s="232"/>
      <c r="AL615" s="232"/>
      <c r="AM615" s="232"/>
      <c r="AN615" s="232"/>
      <c r="AO615" s="231"/>
      <c r="AP615" s="231"/>
      <c r="AQ615" s="227"/>
      <c r="AR615" s="231"/>
      <c r="AS615" s="227"/>
      <c r="AT615" s="227"/>
      <c r="AU615" s="227"/>
      <c r="AV615" s="227"/>
    </row>
    <row r="616">
      <c r="A616" s="227"/>
      <c r="B616" s="232"/>
      <c r="C616" s="227"/>
      <c r="D616" s="227"/>
      <c r="E616" s="231"/>
      <c r="F616" s="232"/>
      <c r="G616" s="227"/>
      <c r="H616" s="227"/>
      <c r="I616" s="227"/>
      <c r="J616" s="227"/>
      <c r="K616" s="227"/>
      <c r="L616" s="232"/>
      <c r="M616" s="232"/>
      <c r="N616" s="227"/>
      <c r="O616" s="227"/>
      <c r="P616" s="231"/>
      <c r="Q616" s="227"/>
      <c r="R616" s="231"/>
      <c r="S616" s="231"/>
      <c r="T616" s="231"/>
      <c r="U616" s="231"/>
      <c r="V616" s="231"/>
      <c r="W616" s="231"/>
      <c r="X616" s="227"/>
      <c r="Y616" s="232"/>
      <c r="Z616" s="232"/>
      <c r="AA616" s="232"/>
      <c r="AB616" s="232"/>
      <c r="AC616" s="227"/>
      <c r="AD616" s="227"/>
      <c r="AE616" s="231"/>
      <c r="AF616" s="227"/>
      <c r="AG616" s="232"/>
      <c r="AH616" s="232"/>
      <c r="AI616" s="232"/>
      <c r="AJ616" s="232"/>
      <c r="AK616" s="232"/>
      <c r="AL616" s="232"/>
      <c r="AM616" s="232"/>
      <c r="AN616" s="232"/>
      <c r="AO616" s="231"/>
      <c r="AP616" s="231"/>
      <c r="AQ616" s="227"/>
      <c r="AR616" s="231"/>
      <c r="AS616" s="227"/>
      <c r="AT616" s="227"/>
      <c r="AU616" s="227"/>
      <c r="AV616" s="227"/>
    </row>
    <row r="617">
      <c r="A617" s="227"/>
      <c r="B617" s="232"/>
      <c r="C617" s="227"/>
      <c r="D617" s="227"/>
      <c r="E617" s="231"/>
      <c r="F617" s="232"/>
      <c r="G617" s="227"/>
      <c r="H617" s="227"/>
      <c r="I617" s="227"/>
      <c r="J617" s="227"/>
      <c r="K617" s="227"/>
      <c r="L617" s="232"/>
      <c r="M617" s="232"/>
      <c r="N617" s="227"/>
      <c r="O617" s="227"/>
      <c r="P617" s="231"/>
      <c r="Q617" s="227"/>
      <c r="R617" s="231"/>
      <c r="S617" s="231"/>
      <c r="T617" s="231"/>
      <c r="U617" s="231"/>
      <c r="V617" s="231"/>
      <c r="W617" s="231"/>
      <c r="X617" s="227"/>
      <c r="Y617" s="232"/>
      <c r="Z617" s="232"/>
      <c r="AA617" s="232"/>
      <c r="AB617" s="232"/>
      <c r="AC617" s="227"/>
      <c r="AD617" s="227"/>
      <c r="AE617" s="231"/>
      <c r="AF617" s="227"/>
      <c r="AG617" s="232"/>
      <c r="AH617" s="232"/>
      <c r="AI617" s="232"/>
      <c r="AJ617" s="232"/>
      <c r="AK617" s="232"/>
      <c r="AL617" s="232"/>
      <c r="AM617" s="232"/>
      <c r="AN617" s="232"/>
      <c r="AO617" s="231"/>
      <c r="AP617" s="231"/>
      <c r="AQ617" s="227"/>
      <c r="AR617" s="231"/>
      <c r="AS617" s="227"/>
      <c r="AT617" s="227"/>
      <c r="AU617" s="227"/>
      <c r="AV617" s="227"/>
    </row>
    <row r="618">
      <c r="A618" s="227"/>
      <c r="B618" s="232"/>
      <c r="C618" s="227"/>
      <c r="D618" s="227"/>
      <c r="E618" s="231"/>
      <c r="F618" s="232"/>
      <c r="G618" s="227"/>
      <c r="H618" s="227"/>
      <c r="I618" s="227"/>
      <c r="J618" s="227"/>
      <c r="K618" s="227"/>
      <c r="L618" s="232"/>
      <c r="M618" s="232"/>
      <c r="N618" s="227"/>
      <c r="O618" s="227"/>
      <c r="P618" s="231"/>
      <c r="Q618" s="227"/>
      <c r="R618" s="231"/>
      <c r="S618" s="231"/>
      <c r="T618" s="231"/>
      <c r="U618" s="231"/>
      <c r="V618" s="231"/>
      <c r="W618" s="231"/>
      <c r="X618" s="227"/>
      <c r="Y618" s="232"/>
      <c r="Z618" s="232"/>
      <c r="AA618" s="232"/>
      <c r="AB618" s="232"/>
      <c r="AC618" s="227"/>
      <c r="AD618" s="227"/>
      <c r="AE618" s="231"/>
      <c r="AF618" s="227"/>
      <c r="AG618" s="232"/>
      <c r="AH618" s="232"/>
      <c r="AI618" s="232"/>
      <c r="AJ618" s="232"/>
      <c r="AK618" s="232"/>
      <c r="AL618" s="232"/>
      <c r="AM618" s="232"/>
      <c r="AN618" s="232"/>
      <c r="AO618" s="231"/>
      <c r="AP618" s="231"/>
      <c r="AQ618" s="227"/>
      <c r="AR618" s="231"/>
      <c r="AS618" s="227"/>
      <c r="AT618" s="227"/>
      <c r="AU618" s="227"/>
      <c r="AV618" s="227"/>
    </row>
    <row r="619">
      <c r="A619" s="227"/>
      <c r="B619" s="232"/>
      <c r="C619" s="227"/>
      <c r="D619" s="227"/>
      <c r="E619" s="231"/>
      <c r="F619" s="232"/>
      <c r="G619" s="227"/>
      <c r="H619" s="227"/>
      <c r="I619" s="227"/>
      <c r="J619" s="227"/>
      <c r="K619" s="227"/>
      <c r="L619" s="232"/>
      <c r="M619" s="232"/>
      <c r="N619" s="227"/>
      <c r="O619" s="227"/>
      <c r="P619" s="231"/>
      <c r="Q619" s="227"/>
      <c r="R619" s="231"/>
      <c r="S619" s="231"/>
      <c r="T619" s="231"/>
      <c r="U619" s="231"/>
      <c r="V619" s="231"/>
      <c r="W619" s="231"/>
      <c r="X619" s="227"/>
      <c r="Y619" s="232"/>
      <c r="Z619" s="232"/>
      <c r="AA619" s="232"/>
      <c r="AB619" s="232"/>
      <c r="AC619" s="227"/>
      <c r="AD619" s="227"/>
      <c r="AE619" s="231"/>
      <c r="AF619" s="227"/>
      <c r="AG619" s="232"/>
      <c r="AH619" s="232"/>
      <c r="AI619" s="232"/>
      <c r="AJ619" s="232"/>
      <c r="AK619" s="232"/>
      <c r="AL619" s="232"/>
      <c r="AM619" s="232"/>
      <c r="AN619" s="232"/>
      <c r="AO619" s="231"/>
      <c r="AP619" s="231"/>
      <c r="AQ619" s="227"/>
      <c r="AR619" s="231"/>
      <c r="AS619" s="227"/>
      <c r="AT619" s="227"/>
      <c r="AU619" s="227"/>
      <c r="AV619" s="227"/>
    </row>
    <row r="620">
      <c r="A620" s="227"/>
      <c r="B620" s="232"/>
      <c r="C620" s="227"/>
      <c r="D620" s="227"/>
      <c r="E620" s="231"/>
      <c r="F620" s="232"/>
      <c r="G620" s="227"/>
      <c r="H620" s="227"/>
      <c r="I620" s="227"/>
      <c r="J620" s="227"/>
      <c r="K620" s="227"/>
      <c r="L620" s="232"/>
      <c r="M620" s="232"/>
      <c r="N620" s="227"/>
      <c r="O620" s="227"/>
      <c r="P620" s="231"/>
      <c r="Q620" s="227"/>
      <c r="R620" s="231"/>
      <c r="S620" s="231"/>
      <c r="T620" s="231"/>
      <c r="U620" s="231"/>
      <c r="V620" s="231"/>
      <c r="W620" s="231"/>
      <c r="X620" s="227"/>
      <c r="Y620" s="232"/>
      <c r="Z620" s="232"/>
      <c r="AA620" s="232"/>
      <c r="AB620" s="232"/>
      <c r="AC620" s="227"/>
      <c r="AD620" s="227"/>
      <c r="AE620" s="231"/>
      <c r="AF620" s="227"/>
      <c r="AG620" s="232"/>
      <c r="AH620" s="232"/>
      <c r="AI620" s="232"/>
      <c r="AJ620" s="232"/>
      <c r="AK620" s="232"/>
      <c r="AL620" s="232"/>
      <c r="AM620" s="232"/>
      <c r="AN620" s="232"/>
      <c r="AO620" s="231"/>
      <c r="AP620" s="231"/>
      <c r="AQ620" s="227"/>
      <c r="AR620" s="231"/>
      <c r="AS620" s="227"/>
      <c r="AT620" s="227"/>
      <c r="AU620" s="227"/>
      <c r="AV620" s="227"/>
    </row>
    <row r="621">
      <c r="A621" s="227"/>
      <c r="B621" s="232"/>
      <c r="C621" s="227"/>
      <c r="D621" s="227"/>
      <c r="E621" s="231"/>
      <c r="F621" s="232"/>
      <c r="G621" s="227"/>
      <c r="H621" s="227"/>
      <c r="I621" s="227"/>
      <c r="J621" s="227"/>
      <c r="K621" s="227"/>
      <c r="L621" s="232"/>
      <c r="M621" s="232"/>
      <c r="N621" s="227"/>
      <c r="O621" s="227"/>
      <c r="P621" s="231"/>
      <c r="Q621" s="227"/>
      <c r="R621" s="231"/>
      <c r="S621" s="231"/>
      <c r="T621" s="231"/>
      <c r="U621" s="231"/>
      <c r="V621" s="231"/>
      <c r="W621" s="231"/>
      <c r="X621" s="227"/>
      <c r="Y621" s="232"/>
      <c r="Z621" s="232"/>
      <c r="AA621" s="232"/>
      <c r="AB621" s="232"/>
      <c r="AC621" s="227"/>
      <c r="AD621" s="227"/>
      <c r="AE621" s="231"/>
      <c r="AF621" s="227"/>
      <c r="AG621" s="232"/>
      <c r="AH621" s="232"/>
      <c r="AI621" s="232"/>
      <c r="AJ621" s="232"/>
      <c r="AK621" s="232"/>
      <c r="AL621" s="232"/>
      <c r="AM621" s="232"/>
      <c r="AN621" s="232"/>
      <c r="AO621" s="231"/>
      <c r="AP621" s="231"/>
      <c r="AQ621" s="227"/>
      <c r="AR621" s="231"/>
      <c r="AS621" s="227"/>
      <c r="AT621" s="227"/>
      <c r="AU621" s="227"/>
      <c r="AV621" s="227"/>
    </row>
    <row r="622">
      <c r="A622" s="227"/>
      <c r="B622" s="232"/>
      <c r="C622" s="227"/>
      <c r="D622" s="227"/>
      <c r="E622" s="231"/>
      <c r="F622" s="232"/>
      <c r="G622" s="227"/>
      <c r="H622" s="227"/>
      <c r="I622" s="227"/>
      <c r="J622" s="227"/>
      <c r="K622" s="227"/>
      <c r="L622" s="232"/>
      <c r="M622" s="232"/>
      <c r="N622" s="227"/>
      <c r="O622" s="227"/>
      <c r="P622" s="231"/>
      <c r="Q622" s="227"/>
      <c r="R622" s="231"/>
      <c r="S622" s="231"/>
      <c r="T622" s="231"/>
      <c r="U622" s="231"/>
      <c r="V622" s="231"/>
      <c r="W622" s="231"/>
      <c r="X622" s="227"/>
      <c r="Y622" s="232"/>
      <c r="Z622" s="232"/>
      <c r="AA622" s="232"/>
      <c r="AB622" s="232"/>
      <c r="AC622" s="227"/>
      <c r="AD622" s="227"/>
      <c r="AE622" s="231"/>
      <c r="AF622" s="227"/>
      <c r="AG622" s="232"/>
      <c r="AH622" s="232"/>
      <c r="AI622" s="232"/>
      <c r="AJ622" s="232"/>
      <c r="AK622" s="232"/>
      <c r="AL622" s="232"/>
      <c r="AM622" s="232"/>
      <c r="AN622" s="232"/>
      <c r="AO622" s="231"/>
      <c r="AP622" s="231"/>
      <c r="AQ622" s="227"/>
      <c r="AR622" s="231"/>
      <c r="AS622" s="227"/>
      <c r="AT622" s="227"/>
      <c r="AU622" s="227"/>
      <c r="AV622" s="227"/>
    </row>
    <row r="623">
      <c r="A623" s="227"/>
      <c r="B623" s="232"/>
      <c r="C623" s="227"/>
      <c r="D623" s="227"/>
      <c r="E623" s="231"/>
      <c r="F623" s="232"/>
      <c r="G623" s="227"/>
      <c r="H623" s="227"/>
      <c r="I623" s="227"/>
      <c r="J623" s="227"/>
      <c r="K623" s="227"/>
      <c r="L623" s="232"/>
      <c r="M623" s="232"/>
      <c r="N623" s="227"/>
      <c r="O623" s="227"/>
      <c r="P623" s="231"/>
      <c r="Q623" s="227"/>
      <c r="R623" s="231"/>
      <c r="S623" s="231"/>
      <c r="T623" s="231"/>
      <c r="U623" s="231"/>
      <c r="V623" s="231"/>
      <c r="W623" s="231"/>
      <c r="X623" s="227"/>
      <c r="Y623" s="232"/>
      <c r="Z623" s="232"/>
      <c r="AA623" s="232"/>
      <c r="AB623" s="232"/>
      <c r="AC623" s="227"/>
      <c r="AD623" s="227"/>
      <c r="AE623" s="231"/>
      <c r="AF623" s="227"/>
      <c r="AG623" s="232"/>
      <c r="AH623" s="232"/>
      <c r="AI623" s="232"/>
      <c r="AJ623" s="232"/>
      <c r="AK623" s="232"/>
      <c r="AL623" s="232"/>
      <c r="AM623" s="232"/>
      <c r="AN623" s="232"/>
      <c r="AO623" s="231"/>
      <c r="AP623" s="231"/>
      <c r="AQ623" s="227"/>
      <c r="AR623" s="231"/>
      <c r="AS623" s="227"/>
      <c r="AT623" s="227"/>
      <c r="AU623" s="227"/>
      <c r="AV623" s="227"/>
    </row>
    <row r="624">
      <c r="A624" s="227"/>
      <c r="B624" s="232"/>
      <c r="C624" s="227"/>
      <c r="D624" s="227"/>
      <c r="E624" s="231"/>
      <c r="F624" s="232"/>
      <c r="G624" s="227"/>
      <c r="H624" s="227"/>
      <c r="I624" s="227"/>
      <c r="J624" s="227"/>
      <c r="K624" s="227"/>
      <c r="L624" s="232"/>
      <c r="M624" s="232"/>
      <c r="N624" s="227"/>
      <c r="O624" s="227"/>
      <c r="P624" s="231"/>
      <c r="Q624" s="227"/>
      <c r="R624" s="231"/>
      <c r="S624" s="231"/>
      <c r="T624" s="231"/>
      <c r="U624" s="231"/>
      <c r="V624" s="231"/>
      <c r="W624" s="231"/>
      <c r="X624" s="227"/>
      <c r="Y624" s="232"/>
      <c r="Z624" s="232"/>
      <c r="AA624" s="232"/>
      <c r="AB624" s="232"/>
      <c r="AC624" s="227"/>
      <c r="AD624" s="227"/>
      <c r="AE624" s="231"/>
      <c r="AF624" s="227"/>
      <c r="AG624" s="232"/>
      <c r="AH624" s="232"/>
      <c r="AI624" s="232"/>
      <c r="AJ624" s="232"/>
      <c r="AK624" s="232"/>
      <c r="AL624" s="232"/>
      <c r="AM624" s="232"/>
      <c r="AN624" s="232"/>
      <c r="AO624" s="231"/>
      <c r="AP624" s="231"/>
      <c r="AQ624" s="227"/>
      <c r="AR624" s="231"/>
      <c r="AS624" s="227"/>
      <c r="AT624" s="227"/>
      <c r="AU624" s="227"/>
      <c r="AV624" s="227"/>
    </row>
    <row r="625">
      <c r="A625" s="227"/>
      <c r="B625" s="232"/>
      <c r="C625" s="227"/>
      <c r="D625" s="227"/>
      <c r="E625" s="231"/>
      <c r="F625" s="232"/>
      <c r="G625" s="227"/>
      <c r="H625" s="227"/>
      <c r="I625" s="227"/>
      <c r="J625" s="227"/>
      <c r="K625" s="227"/>
      <c r="L625" s="232"/>
      <c r="M625" s="232"/>
      <c r="N625" s="227"/>
      <c r="O625" s="227"/>
      <c r="P625" s="231"/>
      <c r="Q625" s="227"/>
      <c r="R625" s="231"/>
      <c r="S625" s="231"/>
      <c r="T625" s="231"/>
      <c r="U625" s="231"/>
      <c r="V625" s="231"/>
      <c r="W625" s="231"/>
      <c r="X625" s="227"/>
      <c r="Y625" s="232"/>
      <c r="Z625" s="232"/>
      <c r="AA625" s="232"/>
      <c r="AB625" s="232"/>
      <c r="AC625" s="227"/>
      <c r="AD625" s="227"/>
      <c r="AE625" s="231"/>
      <c r="AF625" s="227"/>
      <c r="AG625" s="232"/>
      <c r="AH625" s="232"/>
      <c r="AI625" s="232"/>
      <c r="AJ625" s="232"/>
      <c r="AK625" s="232"/>
      <c r="AL625" s="232"/>
      <c r="AM625" s="232"/>
      <c r="AN625" s="232"/>
      <c r="AO625" s="231"/>
      <c r="AP625" s="231"/>
      <c r="AQ625" s="227"/>
      <c r="AR625" s="231"/>
      <c r="AS625" s="227"/>
      <c r="AT625" s="227"/>
      <c r="AU625" s="227"/>
      <c r="AV625" s="227"/>
    </row>
    <row r="626">
      <c r="A626" s="227"/>
      <c r="B626" s="232"/>
      <c r="C626" s="227"/>
      <c r="D626" s="227"/>
      <c r="E626" s="231"/>
      <c r="F626" s="232"/>
      <c r="G626" s="227"/>
      <c r="H626" s="227"/>
      <c r="I626" s="227"/>
      <c r="J626" s="227"/>
      <c r="K626" s="227"/>
      <c r="L626" s="232"/>
      <c r="M626" s="232"/>
      <c r="N626" s="227"/>
      <c r="O626" s="227"/>
      <c r="P626" s="231"/>
      <c r="Q626" s="227"/>
      <c r="R626" s="231"/>
      <c r="S626" s="231"/>
      <c r="T626" s="231"/>
      <c r="U626" s="231"/>
      <c r="V626" s="231"/>
      <c r="W626" s="231"/>
      <c r="X626" s="227"/>
      <c r="Y626" s="232"/>
      <c r="Z626" s="232"/>
      <c r="AA626" s="232"/>
      <c r="AB626" s="232"/>
      <c r="AC626" s="227"/>
      <c r="AD626" s="227"/>
      <c r="AE626" s="231"/>
      <c r="AF626" s="227"/>
      <c r="AG626" s="232"/>
      <c r="AH626" s="232"/>
      <c r="AI626" s="232"/>
      <c r="AJ626" s="232"/>
      <c r="AK626" s="232"/>
      <c r="AL626" s="232"/>
      <c r="AM626" s="232"/>
      <c r="AN626" s="232"/>
      <c r="AO626" s="231"/>
      <c r="AP626" s="231"/>
      <c r="AQ626" s="227"/>
      <c r="AR626" s="231"/>
      <c r="AS626" s="227"/>
      <c r="AT626" s="227"/>
      <c r="AU626" s="227"/>
      <c r="AV626" s="227"/>
    </row>
    <row r="627">
      <c r="A627" s="227"/>
      <c r="B627" s="232"/>
      <c r="C627" s="227"/>
      <c r="D627" s="227"/>
      <c r="E627" s="231"/>
      <c r="F627" s="232"/>
      <c r="G627" s="227"/>
      <c r="H627" s="227"/>
      <c r="I627" s="227"/>
      <c r="J627" s="227"/>
      <c r="K627" s="227"/>
      <c r="L627" s="232"/>
      <c r="M627" s="232"/>
      <c r="N627" s="227"/>
      <c r="O627" s="227"/>
      <c r="P627" s="231"/>
      <c r="Q627" s="227"/>
      <c r="R627" s="231"/>
      <c r="S627" s="231"/>
      <c r="T627" s="231"/>
      <c r="U627" s="231"/>
      <c r="V627" s="231"/>
      <c r="W627" s="231"/>
      <c r="X627" s="227"/>
      <c r="Y627" s="232"/>
      <c r="Z627" s="232"/>
      <c r="AA627" s="232"/>
      <c r="AB627" s="232"/>
      <c r="AC627" s="227"/>
      <c r="AD627" s="227"/>
      <c r="AE627" s="231"/>
      <c r="AF627" s="227"/>
      <c r="AG627" s="232"/>
      <c r="AH627" s="232"/>
      <c r="AI627" s="232"/>
      <c r="AJ627" s="232"/>
      <c r="AK627" s="232"/>
      <c r="AL627" s="232"/>
      <c r="AM627" s="232"/>
      <c r="AN627" s="232"/>
      <c r="AO627" s="231"/>
      <c r="AP627" s="231"/>
      <c r="AQ627" s="227"/>
      <c r="AR627" s="231"/>
      <c r="AS627" s="227"/>
      <c r="AT627" s="227"/>
      <c r="AU627" s="227"/>
      <c r="AV627" s="227"/>
    </row>
    <row r="628">
      <c r="A628" s="227"/>
      <c r="B628" s="232"/>
      <c r="C628" s="227"/>
      <c r="D628" s="227"/>
      <c r="E628" s="231"/>
      <c r="F628" s="232"/>
      <c r="G628" s="227"/>
      <c r="H628" s="227"/>
      <c r="I628" s="227"/>
      <c r="J628" s="227"/>
      <c r="K628" s="227"/>
      <c r="L628" s="232"/>
      <c r="M628" s="232"/>
      <c r="N628" s="227"/>
      <c r="O628" s="227"/>
      <c r="P628" s="231"/>
      <c r="Q628" s="227"/>
      <c r="R628" s="231"/>
      <c r="S628" s="231"/>
      <c r="T628" s="231"/>
      <c r="U628" s="231"/>
      <c r="V628" s="231"/>
      <c r="W628" s="231"/>
      <c r="X628" s="227"/>
      <c r="Y628" s="232"/>
      <c r="Z628" s="232"/>
      <c r="AA628" s="232"/>
      <c r="AB628" s="232"/>
      <c r="AC628" s="227"/>
      <c r="AD628" s="227"/>
      <c r="AE628" s="231"/>
      <c r="AF628" s="227"/>
      <c r="AG628" s="232"/>
      <c r="AH628" s="232"/>
      <c r="AI628" s="232"/>
      <c r="AJ628" s="232"/>
      <c r="AK628" s="232"/>
      <c r="AL628" s="232"/>
      <c r="AM628" s="232"/>
      <c r="AN628" s="232"/>
      <c r="AO628" s="231"/>
      <c r="AP628" s="231"/>
      <c r="AQ628" s="227"/>
      <c r="AR628" s="231"/>
      <c r="AS628" s="227"/>
      <c r="AT628" s="227"/>
      <c r="AU628" s="227"/>
      <c r="AV628" s="227"/>
    </row>
    <row r="629">
      <c r="A629" s="227"/>
      <c r="B629" s="232"/>
      <c r="C629" s="227"/>
      <c r="D629" s="227"/>
      <c r="E629" s="231"/>
      <c r="F629" s="232"/>
      <c r="G629" s="227"/>
      <c r="H629" s="227"/>
      <c r="I629" s="227"/>
      <c r="J629" s="227"/>
      <c r="K629" s="227"/>
      <c r="L629" s="232"/>
      <c r="M629" s="232"/>
      <c r="N629" s="227"/>
      <c r="O629" s="227"/>
      <c r="P629" s="231"/>
      <c r="Q629" s="227"/>
      <c r="R629" s="231"/>
      <c r="S629" s="231"/>
      <c r="T629" s="231"/>
      <c r="U629" s="231"/>
      <c r="V629" s="231"/>
      <c r="W629" s="231"/>
      <c r="X629" s="227"/>
      <c r="Y629" s="232"/>
      <c r="Z629" s="232"/>
      <c r="AA629" s="232"/>
      <c r="AB629" s="232"/>
      <c r="AC629" s="227"/>
      <c r="AD629" s="227"/>
      <c r="AE629" s="231"/>
      <c r="AF629" s="227"/>
      <c r="AG629" s="232"/>
      <c r="AH629" s="232"/>
      <c r="AI629" s="232"/>
      <c r="AJ629" s="232"/>
      <c r="AK629" s="232"/>
      <c r="AL629" s="232"/>
      <c r="AM629" s="232"/>
      <c r="AN629" s="232"/>
      <c r="AO629" s="231"/>
      <c r="AP629" s="231"/>
      <c r="AQ629" s="227"/>
      <c r="AR629" s="231"/>
      <c r="AS629" s="227"/>
      <c r="AT629" s="227"/>
      <c r="AU629" s="227"/>
      <c r="AV629" s="227"/>
    </row>
    <row r="630">
      <c r="A630" s="227"/>
      <c r="B630" s="232"/>
      <c r="C630" s="227"/>
      <c r="D630" s="227"/>
      <c r="E630" s="231"/>
      <c r="F630" s="232"/>
      <c r="G630" s="227"/>
      <c r="H630" s="227"/>
      <c r="I630" s="227"/>
      <c r="J630" s="227"/>
      <c r="K630" s="227"/>
      <c r="L630" s="232"/>
      <c r="M630" s="232"/>
      <c r="N630" s="227"/>
      <c r="O630" s="227"/>
      <c r="P630" s="231"/>
      <c r="Q630" s="227"/>
      <c r="R630" s="231"/>
      <c r="S630" s="231"/>
      <c r="T630" s="231"/>
      <c r="U630" s="231"/>
      <c r="V630" s="231"/>
      <c r="W630" s="231"/>
      <c r="X630" s="227"/>
      <c r="Y630" s="232"/>
      <c r="Z630" s="232"/>
      <c r="AA630" s="232"/>
      <c r="AB630" s="232"/>
      <c r="AC630" s="227"/>
      <c r="AD630" s="227"/>
      <c r="AE630" s="231"/>
      <c r="AF630" s="227"/>
      <c r="AG630" s="232"/>
      <c r="AH630" s="232"/>
      <c r="AI630" s="232"/>
      <c r="AJ630" s="232"/>
      <c r="AK630" s="232"/>
      <c r="AL630" s="232"/>
      <c r="AM630" s="232"/>
      <c r="AN630" s="232"/>
      <c r="AO630" s="231"/>
      <c r="AP630" s="231"/>
      <c r="AQ630" s="227"/>
      <c r="AR630" s="231"/>
      <c r="AS630" s="227"/>
      <c r="AT630" s="227"/>
      <c r="AU630" s="227"/>
      <c r="AV630" s="227"/>
    </row>
    <row r="631">
      <c r="A631" s="227"/>
      <c r="B631" s="232"/>
      <c r="C631" s="227"/>
      <c r="D631" s="227"/>
      <c r="E631" s="231"/>
      <c r="F631" s="232"/>
      <c r="G631" s="227"/>
      <c r="H631" s="227"/>
      <c r="I631" s="227"/>
      <c r="J631" s="227"/>
      <c r="K631" s="227"/>
      <c r="L631" s="232"/>
      <c r="M631" s="232"/>
      <c r="N631" s="227"/>
      <c r="O631" s="227"/>
      <c r="P631" s="231"/>
      <c r="Q631" s="227"/>
      <c r="R631" s="231"/>
      <c r="S631" s="231"/>
      <c r="T631" s="231"/>
      <c r="U631" s="231"/>
      <c r="V631" s="231"/>
      <c r="W631" s="231"/>
      <c r="X631" s="227"/>
      <c r="Y631" s="232"/>
      <c r="Z631" s="232"/>
      <c r="AA631" s="232"/>
      <c r="AB631" s="232"/>
      <c r="AC631" s="227"/>
      <c r="AD631" s="227"/>
      <c r="AE631" s="231"/>
      <c r="AF631" s="227"/>
      <c r="AG631" s="232"/>
      <c r="AH631" s="232"/>
      <c r="AI631" s="232"/>
      <c r="AJ631" s="232"/>
      <c r="AK631" s="232"/>
      <c r="AL631" s="232"/>
      <c r="AM631" s="232"/>
      <c r="AN631" s="232"/>
      <c r="AO631" s="231"/>
      <c r="AP631" s="231"/>
      <c r="AQ631" s="227"/>
      <c r="AR631" s="231"/>
      <c r="AS631" s="227"/>
      <c r="AT631" s="227"/>
      <c r="AU631" s="227"/>
      <c r="AV631" s="227"/>
    </row>
    <row r="632">
      <c r="A632" s="227"/>
      <c r="B632" s="232"/>
      <c r="C632" s="227"/>
      <c r="D632" s="227"/>
      <c r="E632" s="231"/>
      <c r="F632" s="232"/>
      <c r="G632" s="227"/>
      <c r="H632" s="227"/>
      <c r="I632" s="227"/>
      <c r="J632" s="227"/>
      <c r="K632" s="227"/>
      <c r="L632" s="232"/>
      <c r="M632" s="232"/>
      <c r="N632" s="227"/>
      <c r="O632" s="227"/>
      <c r="P632" s="231"/>
      <c r="Q632" s="227"/>
      <c r="R632" s="231"/>
      <c r="S632" s="231"/>
      <c r="T632" s="231"/>
      <c r="U632" s="231"/>
      <c r="V632" s="231"/>
      <c r="W632" s="231"/>
      <c r="X632" s="227"/>
      <c r="Y632" s="232"/>
      <c r="Z632" s="232"/>
      <c r="AA632" s="232"/>
      <c r="AB632" s="232"/>
      <c r="AC632" s="227"/>
      <c r="AD632" s="227"/>
      <c r="AE632" s="231"/>
      <c r="AF632" s="227"/>
      <c r="AG632" s="232"/>
      <c r="AH632" s="232"/>
      <c r="AI632" s="232"/>
      <c r="AJ632" s="232"/>
      <c r="AK632" s="232"/>
      <c r="AL632" s="232"/>
      <c r="AM632" s="232"/>
      <c r="AN632" s="232"/>
      <c r="AO632" s="231"/>
      <c r="AP632" s="231"/>
      <c r="AQ632" s="227"/>
      <c r="AR632" s="231"/>
      <c r="AS632" s="227"/>
      <c r="AT632" s="227"/>
      <c r="AU632" s="227"/>
      <c r="AV632" s="227"/>
    </row>
    <row r="633">
      <c r="A633" s="227"/>
      <c r="B633" s="232"/>
      <c r="C633" s="227"/>
      <c r="D633" s="227"/>
      <c r="E633" s="231"/>
      <c r="F633" s="232"/>
      <c r="G633" s="227"/>
      <c r="H633" s="227"/>
      <c r="I633" s="227"/>
      <c r="J633" s="227"/>
      <c r="K633" s="227"/>
      <c r="L633" s="232"/>
      <c r="M633" s="232"/>
      <c r="N633" s="227"/>
      <c r="O633" s="227"/>
      <c r="P633" s="231"/>
      <c r="Q633" s="227"/>
      <c r="R633" s="231"/>
      <c r="S633" s="231"/>
      <c r="T633" s="231"/>
      <c r="U633" s="231"/>
      <c r="V633" s="231"/>
      <c r="W633" s="231"/>
      <c r="X633" s="227"/>
      <c r="Y633" s="232"/>
      <c r="Z633" s="232"/>
      <c r="AA633" s="232"/>
      <c r="AB633" s="232"/>
      <c r="AC633" s="227"/>
      <c r="AD633" s="227"/>
      <c r="AE633" s="231"/>
      <c r="AF633" s="227"/>
      <c r="AG633" s="232"/>
      <c r="AH633" s="232"/>
      <c r="AI633" s="232"/>
      <c r="AJ633" s="232"/>
      <c r="AK633" s="232"/>
      <c r="AL633" s="232"/>
      <c r="AM633" s="232"/>
      <c r="AN633" s="232"/>
      <c r="AO633" s="231"/>
      <c r="AP633" s="231"/>
      <c r="AQ633" s="227"/>
      <c r="AR633" s="231"/>
      <c r="AS633" s="227"/>
      <c r="AT633" s="227"/>
      <c r="AU633" s="227"/>
      <c r="AV633" s="227"/>
    </row>
    <row r="634">
      <c r="A634" s="227"/>
      <c r="B634" s="232"/>
      <c r="C634" s="227"/>
      <c r="D634" s="227"/>
      <c r="E634" s="231"/>
      <c r="F634" s="232"/>
      <c r="G634" s="227"/>
      <c r="H634" s="227"/>
      <c r="I634" s="227"/>
      <c r="J634" s="227"/>
      <c r="K634" s="227"/>
      <c r="L634" s="232"/>
      <c r="M634" s="232"/>
      <c r="N634" s="227"/>
      <c r="O634" s="227"/>
      <c r="P634" s="231"/>
      <c r="Q634" s="227"/>
      <c r="R634" s="231"/>
      <c r="S634" s="231"/>
      <c r="T634" s="231"/>
      <c r="U634" s="231"/>
      <c r="V634" s="231"/>
      <c r="W634" s="231"/>
      <c r="X634" s="227"/>
      <c r="Y634" s="232"/>
      <c r="Z634" s="232"/>
      <c r="AA634" s="232"/>
      <c r="AB634" s="232"/>
      <c r="AC634" s="227"/>
      <c r="AD634" s="227"/>
      <c r="AE634" s="231"/>
      <c r="AF634" s="227"/>
      <c r="AG634" s="232"/>
      <c r="AH634" s="232"/>
      <c r="AI634" s="232"/>
      <c r="AJ634" s="232"/>
      <c r="AK634" s="232"/>
      <c r="AL634" s="232"/>
      <c r="AM634" s="232"/>
      <c r="AN634" s="232"/>
      <c r="AO634" s="231"/>
      <c r="AP634" s="231"/>
      <c r="AQ634" s="227"/>
      <c r="AR634" s="231"/>
      <c r="AS634" s="227"/>
      <c r="AT634" s="227"/>
      <c r="AU634" s="227"/>
      <c r="AV634" s="227"/>
    </row>
    <row r="635">
      <c r="A635" s="227"/>
      <c r="B635" s="232"/>
      <c r="C635" s="227"/>
      <c r="D635" s="227"/>
      <c r="E635" s="231"/>
      <c r="F635" s="232"/>
      <c r="G635" s="227"/>
      <c r="H635" s="227"/>
      <c r="I635" s="227"/>
      <c r="J635" s="227"/>
      <c r="K635" s="227"/>
      <c r="L635" s="232"/>
      <c r="M635" s="232"/>
      <c r="N635" s="227"/>
      <c r="O635" s="227"/>
      <c r="P635" s="231"/>
      <c r="Q635" s="227"/>
      <c r="R635" s="231"/>
      <c r="S635" s="231"/>
      <c r="T635" s="231"/>
      <c r="U635" s="231"/>
      <c r="V635" s="231"/>
      <c r="W635" s="231"/>
      <c r="X635" s="227"/>
      <c r="Y635" s="232"/>
      <c r="Z635" s="232"/>
      <c r="AA635" s="232"/>
      <c r="AB635" s="232"/>
      <c r="AC635" s="227"/>
      <c r="AD635" s="227"/>
      <c r="AE635" s="231"/>
      <c r="AF635" s="227"/>
      <c r="AG635" s="232"/>
      <c r="AH635" s="232"/>
      <c r="AI635" s="232"/>
      <c r="AJ635" s="232"/>
      <c r="AK635" s="232"/>
      <c r="AL635" s="232"/>
      <c r="AM635" s="232"/>
      <c r="AN635" s="232"/>
      <c r="AO635" s="231"/>
      <c r="AP635" s="231"/>
      <c r="AQ635" s="227"/>
      <c r="AR635" s="231"/>
      <c r="AS635" s="227"/>
      <c r="AT635" s="227"/>
      <c r="AU635" s="227"/>
      <c r="AV635" s="227"/>
    </row>
    <row r="636">
      <c r="A636" s="227"/>
      <c r="B636" s="232"/>
      <c r="C636" s="227"/>
      <c r="D636" s="227"/>
      <c r="E636" s="231"/>
      <c r="F636" s="232"/>
      <c r="G636" s="227"/>
      <c r="H636" s="227"/>
      <c r="I636" s="227"/>
      <c r="J636" s="227"/>
      <c r="K636" s="227"/>
      <c r="L636" s="232"/>
      <c r="M636" s="232"/>
      <c r="N636" s="227"/>
      <c r="O636" s="227"/>
      <c r="P636" s="231"/>
      <c r="Q636" s="227"/>
      <c r="R636" s="231"/>
      <c r="S636" s="231"/>
      <c r="T636" s="231"/>
      <c r="U636" s="231"/>
      <c r="V636" s="231"/>
      <c r="W636" s="231"/>
      <c r="X636" s="227"/>
      <c r="Y636" s="232"/>
      <c r="Z636" s="232"/>
      <c r="AA636" s="232"/>
      <c r="AB636" s="232"/>
      <c r="AC636" s="227"/>
      <c r="AD636" s="227"/>
      <c r="AE636" s="231"/>
      <c r="AF636" s="227"/>
      <c r="AG636" s="232"/>
      <c r="AH636" s="232"/>
      <c r="AI636" s="232"/>
      <c r="AJ636" s="232"/>
      <c r="AK636" s="232"/>
      <c r="AL636" s="232"/>
      <c r="AM636" s="232"/>
      <c r="AN636" s="232"/>
      <c r="AO636" s="231"/>
      <c r="AP636" s="231"/>
      <c r="AQ636" s="227"/>
      <c r="AR636" s="231"/>
      <c r="AS636" s="227"/>
      <c r="AT636" s="227"/>
      <c r="AU636" s="227"/>
      <c r="AV636" s="227"/>
    </row>
    <row r="637">
      <c r="A637" s="227"/>
      <c r="B637" s="232"/>
      <c r="C637" s="227"/>
      <c r="D637" s="227"/>
      <c r="E637" s="231"/>
      <c r="F637" s="232"/>
      <c r="G637" s="227"/>
      <c r="H637" s="227"/>
      <c r="I637" s="227"/>
      <c r="J637" s="227"/>
      <c r="K637" s="227"/>
      <c r="L637" s="232"/>
      <c r="M637" s="232"/>
      <c r="N637" s="227"/>
      <c r="O637" s="227"/>
      <c r="P637" s="231"/>
      <c r="Q637" s="227"/>
      <c r="R637" s="231"/>
      <c r="S637" s="231"/>
      <c r="T637" s="231"/>
      <c r="U637" s="231"/>
      <c r="V637" s="231"/>
      <c r="W637" s="231"/>
      <c r="X637" s="227"/>
      <c r="Y637" s="232"/>
      <c r="Z637" s="232"/>
      <c r="AA637" s="232"/>
      <c r="AB637" s="232"/>
      <c r="AC637" s="227"/>
      <c r="AD637" s="227"/>
      <c r="AE637" s="231"/>
      <c r="AF637" s="227"/>
      <c r="AG637" s="232"/>
      <c r="AH637" s="232"/>
      <c r="AI637" s="232"/>
      <c r="AJ637" s="232"/>
      <c r="AK637" s="232"/>
      <c r="AL637" s="232"/>
      <c r="AM637" s="232"/>
      <c r="AN637" s="232"/>
      <c r="AO637" s="231"/>
      <c r="AP637" s="231"/>
      <c r="AQ637" s="227"/>
      <c r="AR637" s="231"/>
      <c r="AS637" s="227"/>
      <c r="AT637" s="227"/>
      <c r="AU637" s="227"/>
      <c r="AV637" s="227"/>
    </row>
    <row r="638">
      <c r="A638" s="227"/>
      <c r="B638" s="232"/>
      <c r="C638" s="227"/>
      <c r="D638" s="227"/>
      <c r="E638" s="231"/>
      <c r="F638" s="232"/>
      <c r="G638" s="227"/>
      <c r="H638" s="227"/>
      <c r="I638" s="227"/>
      <c r="J638" s="227"/>
      <c r="K638" s="227"/>
      <c r="L638" s="232"/>
      <c r="M638" s="232"/>
      <c r="N638" s="227"/>
      <c r="O638" s="227"/>
      <c r="P638" s="231"/>
      <c r="Q638" s="227"/>
      <c r="R638" s="231"/>
      <c r="S638" s="231"/>
      <c r="T638" s="231"/>
      <c r="U638" s="231"/>
      <c r="V638" s="231"/>
      <c r="W638" s="231"/>
      <c r="X638" s="227"/>
      <c r="Y638" s="232"/>
      <c r="Z638" s="232"/>
      <c r="AA638" s="232"/>
      <c r="AB638" s="232"/>
      <c r="AC638" s="227"/>
      <c r="AD638" s="227"/>
      <c r="AE638" s="231"/>
      <c r="AF638" s="227"/>
      <c r="AG638" s="232"/>
      <c r="AH638" s="232"/>
      <c r="AI638" s="232"/>
      <c r="AJ638" s="232"/>
      <c r="AK638" s="232"/>
      <c r="AL638" s="232"/>
      <c r="AM638" s="232"/>
      <c r="AN638" s="232"/>
      <c r="AO638" s="231"/>
      <c r="AP638" s="231"/>
      <c r="AQ638" s="227"/>
      <c r="AR638" s="231"/>
      <c r="AS638" s="227"/>
      <c r="AT638" s="227"/>
      <c r="AU638" s="227"/>
      <c r="AV638" s="227"/>
    </row>
    <row r="639">
      <c r="A639" s="227"/>
      <c r="B639" s="232"/>
      <c r="C639" s="227"/>
      <c r="D639" s="227"/>
      <c r="E639" s="231"/>
      <c r="F639" s="232"/>
      <c r="G639" s="227"/>
      <c r="H639" s="227"/>
      <c r="I639" s="227"/>
      <c r="J639" s="227"/>
      <c r="K639" s="227"/>
      <c r="L639" s="232"/>
      <c r="M639" s="232"/>
      <c r="N639" s="227"/>
      <c r="O639" s="227"/>
      <c r="P639" s="231"/>
      <c r="Q639" s="227"/>
      <c r="R639" s="231"/>
      <c r="S639" s="231"/>
      <c r="T639" s="231"/>
      <c r="U639" s="231"/>
      <c r="V639" s="231"/>
      <c r="W639" s="231"/>
      <c r="X639" s="227"/>
      <c r="Y639" s="232"/>
      <c r="Z639" s="232"/>
      <c r="AA639" s="232"/>
      <c r="AB639" s="232"/>
      <c r="AC639" s="227"/>
      <c r="AD639" s="227"/>
      <c r="AE639" s="231"/>
      <c r="AF639" s="227"/>
      <c r="AG639" s="232"/>
      <c r="AH639" s="232"/>
      <c r="AI639" s="232"/>
      <c r="AJ639" s="232"/>
      <c r="AK639" s="232"/>
      <c r="AL639" s="232"/>
      <c r="AM639" s="232"/>
      <c r="AN639" s="232"/>
      <c r="AO639" s="231"/>
      <c r="AP639" s="231"/>
      <c r="AQ639" s="227"/>
      <c r="AR639" s="231"/>
      <c r="AS639" s="227"/>
      <c r="AT639" s="227"/>
      <c r="AU639" s="227"/>
      <c r="AV639" s="227"/>
    </row>
    <row r="640">
      <c r="A640" s="227"/>
      <c r="B640" s="232"/>
      <c r="C640" s="227"/>
      <c r="D640" s="227"/>
      <c r="E640" s="231"/>
      <c r="F640" s="232"/>
      <c r="G640" s="227"/>
      <c r="H640" s="227"/>
      <c r="I640" s="227"/>
      <c r="J640" s="227"/>
      <c r="K640" s="227"/>
      <c r="L640" s="232"/>
      <c r="M640" s="232"/>
      <c r="N640" s="227"/>
      <c r="O640" s="227"/>
      <c r="P640" s="231"/>
      <c r="Q640" s="227"/>
      <c r="R640" s="231"/>
      <c r="S640" s="231"/>
      <c r="T640" s="231"/>
      <c r="U640" s="231"/>
      <c r="V640" s="231"/>
      <c r="W640" s="231"/>
      <c r="X640" s="227"/>
      <c r="Y640" s="232"/>
      <c r="Z640" s="232"/>
      <c r="AA640" s="232"/>
      <c r="AB640" s="232"/>
      <c r="AC640" s="227"/>
      <c r="AD640" s="227"/>
      <c r="AE640" s="231"/>
      <c r="AF640" s="227"/>
      <c r="AG640" s="232"/>
      <c r="AH640" s="232"/>
      <c r="AI640" s="232"/>
      <c r="AJ640" s="232"/>
      <c r="AK640" s="232"/>
      <c r="AL640" s="232"/>
      <c r="AM640" s="232"/>
      <c r="AN640" s="232"/>
      <c r="AO640" s="231"/>
      <c r="AP640" s="231"/>
      <c r="AQ640" s="227"/>
      <c r="AR640" s="231"/>
      <c r="AS640" s="227"/>
      <c r="AT640" s="227"/>
      <c r="AU640" s="227"/>
      <c r="AV640" s="227"/>
    </row>
    <row r="641">
      <c r="A641" s="227"/>
      <c r="B641" s="232"/>
      <c r="C641" s="227"/>
      <c r="D641" s="227"/>
      <c r="E641" s="231"/>
      <c r="F641" s="232"/>
      <c r="G641" s="227"/>
      <c r="H641" s="227"/>
      <c r="I641" s="227"/>
      <c r="J641" s="227"/>
      <c r="K641" s="227"/>
      <c r="L641" s="232"/>
      <c r="M641" s="232"/>
      <c r="N641" s="227"/>
      <c r="O641" s="227"/>
      <c r="P641" s="231"/>
      <c r="Q641" s="227"/>
      <c r="R641" s="231"/>
      <c r="S641" s="231"/>
      <c r="T641" s="231"/>
      <c r="U641" s="231"/>
      <c r="V641" s="231"/>
      <c r="W641" s="231"/>
      <c r="X641" s="227"/>
      <c r="Y641" s="232"/>
      <c r="Z641" s="232"/>
      <c r="AA641" s="232"/>
      <c r="AB641" s="232"/>
      <c r="AC641" s="227"/>
      <c r="AD641" s="227"/>
      <c r="AE641" s="231"/>
      <c r="AF641" s="227"/>
      <c r="AG641" s="232"/>
      <c r="AH641" s="232"/>
      <c r="AI641" s="232"/>
      <c r="AJ641" s="232"/>
      <c r="AK641" s="232"/>
      <c r="AL641" s="232"/>
      <c r="AM641" s="232"/>
      <c r="AN641" s="232"/>
      <c r="AO641" s="231"/>
      <c r="AP641" s="231"/>
      <c r="AQ641" s="227"/>
      <c r="AR641" s="231"/>
      <c r="AS641" s="227"/>
      <c r="AT641" s="227"/>
      <c r="AU641" s="227"/>
      <c r="AV641" s="227"/>
    </row>
    <row r="642">
      <c r="A642" s="227"/>
      <c r="B642" s="232"/>
      <c r="C642" s="227"/>
      <c r="D642" s="227"/>
      <c r="E642" s="231"/>
      <c r="F642" s="232"/>
      <c r="G642" s="227"/>
      <c r="H642" s="227"/>
      <c r="I642" s="227"/>
      <c r="J642" s="227"/>
      <c r="K642" s="227"/>
      <c r="L642" s="232"/>
      <c r="M642" s="232"/>
      <c r="N642" s="227"/>
      <c r="O642" s="227"/>
      <c r="P642" s="231"/>
      <c r="Q642" s="227"/>
      <c r="R642" s="231"/>
      <c r="S642" s="231"/>
      <c r="T642" s="231"/>
      <c r="U642" s="231"/>
      <c r="V642" s="231"/>
      <c r="W642" s="231"/>
      <c r="X642" s="227"/>
      <c r="Y642" s="232"/>
      <c r="Z642" s="232"/>
      <c r="AA642" s="232"/>
      <c r="AB642" s="232"/>
      <c r="AC642" s="227"/>
      <c r="AD642" s="227"/>
      <c r="AE642" s="231"/>
      <c r="AF642" s="227"/>
      <c r="AG642" s="232"/>
      <c r="AH642" s="232"/>
      <c r="AI642" s="232"/>
      <c r="AJ642" s="232"/>
      <c r="AK642" s="232"/>
      <c r="AL642" s="232"/>
      <c r="AM642" s="232"/>
      <c r="AN642" s="232"/>
      <c r="AO642" s="231"/>
      <c r="AP642" s="231"/>
      <c r="AQ642" s="227"/>
      <c r="AR642" s="231"/>
      <c r="AS642" s="227"/>
      <c r="AT642" s="227"/>
      <c r="AU642" s="227"/>
      <c r="AV642" s="227"/>
    </row>
    <row r="643">
      <c r="A643" s="227"/>
      <c r="B643" s="232"/>
      <c r="C643" s="227"/>
      <c r="D643" s="227"/>
      <c r="E643" s="231"/>
      <c r="F643" s="232"/>
      <c r="G643" s="227"/>
      <c r="H643" s="227"/>
      <c r="I643" s="227"/>
      <c r="J643" s="227"/>
      <c r="K643" s="227"/>
      <c r="L643" s="232"/>
      <c r="M643" s="232"/>
      <c r="N643" s="227"/>
      <c r="O643" s="227"/>
      <c r="P643" s="231"/>
      <c r="Q643" s="227"/>
      <c r="R643" s="231"/>
      <c r="S643" s="231"/>
      <c r="T643" s="231"/>
      <c r="U643" s="231"/>
      <c r="V643" s="231"/>
      <c r="W643" s="231"/>
      <c r="X643" s="227"/>
      <c r="Y643" s="232"/>
      <c r="Z643" s="232"/>
      <c r="AA643" s="232"/>
      <c r="AB643" s="232"/>
      <c r="AC643" s="227"/>
      <c r="AD643" s="227"/>
      <c r="AE643" s="231"/>
      <c r="AF643" s="227"/>
      <c r="AG643" s="232"/>
      <c r="AH643" s="232"/>
      <c r="AI643" s="232"/>
      <c r="AJ643" s="232"/>
      <c r="AK643" s="232"/>
      <c r="AL643" s="232"/>
      <c r="AM643" s="232"/>
      <c r="AN643" s="232"/>
      <c r="AO643" s="231"/>
      <c r="AP643" s="231"/>
      <c r="AQ643" s="227"/>
      <c r="AR643" s="231"/>
      <c r="AS643" s="227"/>
      <c r="AT643" s="227"/>
      <c r="AU643" s="227"/>
      <c r="AV643" s="227"/>
    </row>
    <row r="644">
      <c r="A644" s="227"/>
      <c r="B644" s="232"/>
      <c r="C644" s="227"/>
      <c r="D644" s="227"/>
      <c r="E644" s="231"/>
      <c r="F644" s="232"/>
      <c r="G644" s="227"/>
      <c r="H644" s="227"/>
      <c r="I644" s="227"/>
      <c r="J644" s="227"/>
      <c r="K644" s="227"/>
      <c r="L644" s="232"/>
      <c r="M644" s="232"/>
      <c r="N644" s="227"/>
      <c r="O644" s="227"/>
      <c r="P644" s="231"/>
      <c r="Q644" s="227"/>
      <c r="R644" s="231"/>
      <c r="S644" s="231"/>
      <c r="T644" s="231"/>
      <c r="U644" s="231"/>
      <c r="V644" s="231"/>
      <c r="W644" s="231"/>
      <c r="X644" s="227"/>
      <c r="Y644" s="232"/>
      <c r="Z644" s="232"/>
      <c r="AA644" s="232"/>
      <c r="AB644" s="232"/>
      <c r="AC644" s="227"/>
      <c r="AD644" s="227"/>
      <c r="AE644" s="231"/>
      <c r="AF644" s="227"/>
      <c r="AG644" s="232"/>
      <c r="AH644" s="232"/>
      <c r="AI644" s="232"/>
      <c r="AJ644" s="232"/>
      <c r="AK644" s="232"/>
      <c r="AL644" s="232"/>
      <c r="AM644" s="232"/>
      <c r="AN644" s="232"/>
      <c r="AO644" s="231"/>
      <c r="AP644" s="231"/>
      <c r="AQ644" s="227"/>
      <c r="AR644" s="231"/>
      <c r="AS644" s="227"/>
      <c r="AT644" s="227"/>
      <c r="AU644" s="227"/>
      <c r="AV644" s="227"/>
    </row>
    <row r="645">
      <c r="A645" s="227"/>
      <c r="B645" s="232"/>
      <c r="C645" s="227"/>
      <c r="D645" s="227"/>
      <c r="E645" s="231"/>
      <c r="F645" s="232"/>
      <c r="G645" s="227"/>
      <c r="H645" s="227"/>
      <c r="I645" s="227"/>
      <c r="J645" s="227"/>
      <c r="K645" s="227"/>
      <c r="L645" s="232"/>
      <c r="M645" s="232"/>
      <c r="N645" s="227"/>
      <c r="O645" s="227"/>
      <c r="P645" s="231"/>
      <c r="Q645" s="227"/>
      <c r="R645" s="231"/>
      <c r="S645" s="231"/>
      <c r="T645" s="231"/>
      <c r="U645" s="231"/>
      <c r="V645" s="231"/>
      <c r="W645" s="231"/>
      <c r="X645" s="227"/>
      <c r="Y645" s="232"/>
      <c r="Z645" s="232"/>
      <c r="AA645" s="232"/>
      <c r="AB645" s="232"/>
      <c r="AC645" s="227"/>
      <c r="AD645" s="227"/>
      <c r="AE645" s="231"/>
      <c r="AF645" s="227"/>
      <c r="AG645" s="232"/>
      <c r="AH645" s="232"/>
      <c r="AI645" s="232"/>
      <c r="AJ645" s="232"/>
      <c r="AK645" s="232"/>
      <c r="AL645" s="232"/>
      <c r="AM645" s="232"/>
      <c r="AN645" s="232"/>
      <c r="AO645" s="231"/>
      <c r="AP645" s="231"/>
      <c r="AQ645" s="227"/>
      <c r="AR645" s="231"/>
      <c r="AS645" s="227"/>
      <c r="AT645" s="227"/>
      <c r="AU645" s="227"/>
      <c r="AV645" s="227"/>
    </row>
    <row r="646">
      <c r="A646" s="227"/>
      <c r="B646" s="232"/>
      <c r="C646" s="227"/>
      <c r="D646" s="227"/>
      <c r="E646" s="231"/>
      <c r="F646" s="232"/>
      <c r="G646" s="227"/>
      <c r="H646" s="227"/>
      <c r="I646" s="227"/>
      <c r="J646" s="227"/>
      <c r="K646" s="227"/>
      <c r="L646" s="232"/>
      <c r="M646" s="232"/>
      <c r="N646" s="227"/>
      <c r="O646" s="227"/>
      <c r="P646" s="231"/>
      <c r="Q646" s="227"/>
      <c r="R646" s="231"/>
      <c r="S646" s="231"/>
      <c r="T646" s="231"/>
      <c r="U646" s="231"/>
      <c r="V646" s="231"/>
      <c r="W646" s="231"/>
      <c r="X646" s="227"/>
      <c r="Y646" s="232"/>
      <c r="Z646" s="232"/>
      <c r="AA646" s="232"/>
      <c r="AB646" s="232"/>
      <c r="AC646" s="227"/>
      <c r="AD646" s="227"/>
      <c r="AE646" s="231"/>
      <c r="AF646" s="227"/>
      <c r="AG646" s="232"/>
      <c r="AH646" s="232"/>
      <c r="AI646" s="232"/>
      <c r="AJ646" s="232"/>
      <c r="AK646" s="232"/>
      <c r="AL646" s="232"/>
      <c r="AM646" s="232"/>
      <c r="AN646" s="232"/>
      <c r="AO646" s="231"/>
      <c r="AP646" s="231"/>
      <c r="AQ646" s="227"/>
      <c r="AR646" s="231"/>
      <c r="AS646" s="227"/>
      <c r="AT646" s="227"/>
      <c r="AU646" s="227"/>
      <c r="AV646" s="227"/>
    </row>
    <row r="647">
      <c r="A647" s="227"/>
      <c r="B647" s="232"/>
      <c r="C647" s="227"/>
      <c r="D647" s="227"/>
      <c r="E647" s="231"/>
      <c r="F647" s="232"/>
      <c r="G647" s="227"/>
      <c r="H647" s="227"/>
      <c r="I647" s="227"/>
      <c r="J647" s="227"/>
      <c r="K647" s="227"/>
      <c r="L647" s="232"/>
      <c r="M647" s="232"/>
      <c r="N647" s="227"/>
      <c r="O647" s="227"/>
      <c r="P647" s="231"/>
      <c r="Q647" s="227"/>
      <c r="R647" s="231"/>
      <c r="S647" s="231"/>
      <c r="T647" s="231"/>
      <c r="U647" s="231"/>
      <c r="V647" s="231"/>
      <c r="W647" s="231"/>
      <c r="X647" s="227"/>
      <c r="Y647" s="232"/>
      <c r="Z647" s="232"/>
      <c r="AA647" s="232"/>
      <c r="AB647" s="232"/>
      <c r="AC647" s="227"/>
      <c r="AD647" s="227"/>
      <c r="AE647" s="231"/>
      <c r="AF647" s="227"/>
      <c r="AG647" s="232"/>
      <c r="AH647" s="232"/>
      <c r="AI647" s="232"/>
      <c r="AJ647" s="232"/>
      <c r="AK647" s="232"/>
      <c r="AL647" s="232"/>
      <c r="AM647" s="232"/>
      <c r="AN647" s="232"/>
      <c r="AO647" s="231"/>
      <c r="AP647" s="231"/>
      <c r="AQ647" s="227"/>
      <c r="AR647" s="231"/>
      <c r="AS647" s="227"/>
      <c r="AT647" s="227"/>
      <c r="AU647" s="227"/>
      <c r="AV647" s="227"/>
    </row>
    <row r="648">
      <c r="A648" s="227"/>
      <c r="B648" s="232"/>
      <c r="C648" s="227"/>
      <c r="D648" s="227"/>
      <c r="E648" s="231"/>
      <c r="F648" s="232"/>
      <c r="G648" s="227"/>
      <c r="H648" s="227"/>
      <c r="I648" s="227"/>
      <c r="J648" s="227"/>
      <c r="K648" s="227"/>
      <c r="L648" s="232"/>
      <c r="M648" s="232"/>
      <c r="N648" s="227"/>
      <c r="O648" s="227"/>
      <c r="P648" s="231"/>
      <c r="Q648" s="227"/>
      <c r="R648" s="231"/>
      <c r="S648" s="231"/>
      <c r="T648" s="231"/>
      <c r="U648" s="231"/>
      <c r="V648" s="231"/>
      <c r="W648" s="231"/>
      <c r="X648" s="227"/>
      <c r="Y648" s="232"/>
      <c r="Z648" s="232"/>
      <c r="AA648" s="232"/>
      <c r="AB648" s="232"/>
      <c r="AC648" s="227"/>
      <c r="AD648" s="227"/>
      <c r="AE648" s="231"/>
      <c r="AF648" s="227"/>
      <c r="AG648" s="232"/>
      <c r="AH648" s="232"/>
      <c r="AI648" s="232"/>
      <c r="AJ648" s="232"/>
      <c r="AK648" s="232"/>
      <c r="AL648" s="232"/>
      <c r="AM648" s="232"/>
      <c r="AN648" s="232"/>
      <c r="AO648" s="231"/>
      <c r="AP648" s="231"/>
      <c r="AQ648" s="227"/>
      <c r="AR648" s="231"/>
      <c r="AS648" s="227"/>
      <c r="AT648" s="227"/>
      <c r="AU648" s="227"/>
      <c r="AV648" s="227"/>
    </row>
    <row r="649">
      <c r="A649" s="227"/>
      <c r="B649" s="232"/>
      <c r="C649" s="227"/>
      <c r="D649" s="227"/>
      <c r="E649" s="231"/>
      <c r="F649" s="232"/>
      <c r="G649" s="227"/>
      <c r="H649" s="227"/>
      <c r="I649" s="227"/>
      <c r="J649" s="227"/>
      <c r="K649" s="227"/>
      <c r="L649" s="232"/>
      <c r="M649" s="232"/>
      <c r="N649" s="227"/>
      <c r="O649" s="227"/>
      <c r="P649" s="231"/>
      <c r="Q649" s="227"/>
      <c r="R649" s="231"/>
      <c r="S649" s="231"/>
      <c r="T649" s="231"/>
      <c r="U649" s="231"/>
      <c r="V649" s="231"/>
      <c r="W649" s="231"/>
      <c r="X649" s="227"/>
      <c r="Y649" s="232"/>
      <c r="Z649" s="232"/>
      <c r="AA649" s="232"/>
      <c r="AB649" s="232"/>
      <c r="AC649" s="227"/>
      <c r="AD649" s="227"/>
      <c r="AE649" s="231"/>
      <c r="AF649" s="227"/>
      <c r="AG649" s="232"/>
      <c r="AH649" s="232"/>
      <c r="AI649" s="232"/>
      <c r="AJ649" s="232"/>
      <c r="AK649" s="232"/>
      <c r="AL649" s="232"/>
      <c r="AM649" s="232"/>
      <c r="AN649" s="232"/>
      <c r="AO649" s="231"/>
      <c r="AP649" s="231"/>
      <c r="AQ649" s="227"/>
      <c r="AR649" s="231"/>
      <c r="AS649" s="227"/>
      <c r="AT649" s="227"/>
      <c r="AU649" s="227"/>
      <c r="AV649" s="227"/>
    </row>
    <row r="650">
      <c r="A650" s="227"/>
      <c r="B650" s="232"/>
      <c r="C650" s="227"/>
      <c r="D650" s="227"/>
      <c r="E650" s="231"/>
      <c r="F650" s="232"/>
      <c r="G650" s="227"/>
      <c r="H650" s="227"/>
      <c r="I650" s="227"/>
      <c r="J650" s="227"/>
      <c r="K650" s="227"/>
      <c r="L650" s="232"/>
      <c r="M650" s="232"/>
      <c r="N650" s="227"/>
      <c r="O650" s="227"/>
      <c r="P650" s="231"/>
      <c r="Q650" s="227"/>
      <c r="R650" s="231"/>
      <c r="S650" s="231"/>
      <c r="T650" s="231"/>
      <c r="U650" s="231"/>
      <c r="V650" s="231"/>
      <c r="W650" s="231"/>
      <c r="X650" s="227"/>
      <c r="Y650" s="232"/>
      <c r="Z650" s="232"/>
      <c r="AA650" s="232"/>
      <c r="AB650" s="232"/>
      <c r="AC650" s="227"/>
      <c r="AD650" s="227"/>
      <c r="AE650" s="231"/>
      <c r="AF650" s="227"/>
      <c r="AG650" s="232"/>
      <c r="AH650" s="232"/>
      <c r="AI650" s="232"/>
      <c r="AJ650" s="232"/>
      <c r="AK650" s="232"/>
      <c r="AL650" s="232"/>
      <c r="AM650" s="232"/>
      <c r="AN650" s="232"/>
      <c r="AO650" s="231"/>
      <c r="AP650" s="231"/>
      <c r="AQ650" s="227"/>
      <c r="AR650" s="231"/>
      <c r="AS650" s="227"/>
      <c r="AT650" s="227"/>
      <c r="AU650" s="227"/>
      <c r="AV650" s="227"/>
    </row>
    <row r="651">
      <c r="A651" s="227"/>
      <c r="B651" s="232"/>
      <c r="C651" s="227"/>
      <c r="D651" s="227"/>
      <c r="E651" s="231"/>
      <c r="F651" s="232"/>
      <c r="G651" s="227"/>
      <c r="H651" s="227"/>
      <c r="I651" s="227"/>
      <c r="J651" s="227"/>
      <c r="K651" s="227"/>
      <c r="L651" s="232"/>
      <c r="M651" s="232"/>
      <c r="N651" s="227"/>
      <c r="O651" s="227"/>
      <c r="P651" s="231"/>
      <c r="Q651" s="227"/>
      <c r="R651" s="231"/>
      <c r="S651" s="231"/>
      <c r="T651" s="231"/>
      <c r="U651" s="231"/>
      <c r="V651" s="231"/>
      <c r="W651" s="231"/>
      <c r="X651" s="227"/>
      <c r="Y651" s="232"/>
      <c r="Z651" s="232"/>
      <c r="AA651" s="232"/>
      <c r="AB651" s="232"/>
      <c r="AC651" s="227"/>
      <c r="AD651" s="227"/>
      <c r="AE651" s="231"/>
      <c r="AF651" s="227"/>
      <c r="AG651" s="232"/>
      <c r="AH651" s="232"/>
      <c r="AI651" s="232"/>
      <c r="AJ651" s="232"/>
      <c r="AK651" s="232"/>
      <c r="AL651" s="232"/>
      <c r="AM651" s="232"/>
      <c r="AN651" s="232"/>
      <c r="AO651" s="231"/>
      <c r="AP651" s="231"/>
      <c r="AQ651" s="227"/>
      <c r="AR651" s="231"/>
      <c r="AS651" s="227"/>
      <c r="AT651" s="227"/>
      <c r="AU651" s="227"/>
      <c r="AV651" s="227"/>
    </row>
    <row r="652">
      <c r="A652" s="227"/>
      <c r="B652" s="232"/>
      <c r="C652" s="227"/>
      <c r="D652" s="227"/>
      <c r="E652" s="231"/>
      <c r="F652" s="232"/>
      <c r="G652" s="227"/>
      <c r="H652" s="227"/>
      <c r="I652" s="227"/>
      <c r="J652" s="227"/>
      <c r="K652" s="227"/>
      <c r="L652" s="232"/>
      <c r="M652" s="232"/>
      <c r="N652" s="227"/>
      <c r="O652" s="227"/>
      <c r="P652" s="231"/>
      <c r="Q652" s="227"/>
      <c r="R652" s="231"/>
      <c r="S652" s="231"/>
      <c r="T652" s="231"/>
      <c r="U652" s="231"/>
      <c r="V652" s="231"/>
      <c r="W652" s="231"/>
      <c r="X652" s="227"/>
      <c r="Y652" s="232"/>
      <c r="Z652" s="232"/>
      <c r="AA652" s="232"/>
      <c r="AB652" s="232"/>
      <c r="AC652" s="227"/>
      <c r="AD652" s="227"/>
      <c r="AE652" s="231"/>
      <c r="AF652" s="227"/>
      <c r="AG652" s="232"/>
      <c r="AH652" s="232"/>
      <c r="AI652" s="232"/>
      <c r="AJ652" s="232"/>
      <c r="AK652" s="232"/>
      <c r="AL652" s="232"/>
      <c r="AM652" s="232"/>
      <c r="AN652" s="232"/>
      <c r="AO652" s="231"/>
      <c r="AP652" s="231"/>
      <c r="AQ652" s="227"/>
      <c r="AR652" s="231"/>
      <c r="AS652" s="227"/>
      <c r="AT652" s="227"/>
      <c r="AU652" s="227"/>
      <c r="AV652" s="227"/>
    </row>
    <row r="653">
      <c r="A653" s="227"/>
      <c r="B653" s="232"/>
      <c r="C653" s="227"/>
      <c r="D653" s="227"/>
      <c r="E653" s="231"/>
      <c r="F653" s="232"/>
      <c r="G653" s="227"/>
      <c r="H653" s="227"/>
      <c r="I653" s="227"/>
      <c r="J653" s="227"/>
      <c r="K653" s="227"/>
      <c r="L653" s="232"/>
      <c r="M653" s="232"/>
      <c r="N653" s="227"/>
      <c r="O653" s="227"/>
      <c r="P653" s="231"/>
      <c r="Q653" s="227"/>
      <c r="R653" s="231"/>
      <c r="S653" s="231"/>
      <c r="T653" s="231"/>
      <c r="U653" s="231"/>
      <c r="V653" s="231"/>
      <c r="W653" s="231"/>
      <c r="X653" s="227"/>
      <c r="Y653" s="232"/>
      <c r="Z653" s="232"/>
      <c r="AA653" s="232"/>
      <c r="AB653" s="232"/>
      <c r="AC653" s="227"/>
      <c r="AD653" s="227"/>
      <c r="AE653" s="231"/>
      <c r="AF653" s="227"/>
      <c r="AG653" s="232"/>
      <c r="AH653" s="232"/>
      <c r="AI653" s="232"/>
      <c r="AJ653" s="232"/>
      <c r="AK653" s="232"/>
      <c r="AL653" s="232"/>
      <c r="AM653" s="232"/>
      <c r="AN653" s="232"/>
      <c r="AO653" s="231"/>
      <c r="AP653" s="231"/>
      <c r="AQ653" s="227"/>
      <c r="AR653" s="231"/>
      <c r="AS653" s="227"/>
      <c r="AT653" s="227"/>
      <c r="AU653" s="227"/>
      <c r="AV653" s="227"/>
    </row>
    <row r="654">
      <c r="A654" s="227"/>
      <c r="B654" s="232"/>
      <c r="C654" s="227"/>
      <c r="D654" s="227"/>
      <c r="E654" s="231"/>
      <c r="F654" s="232"/>
      <c r="G654" s="227"/>
      <c r="H654" s="227"/>
      <c r="I654" s="227"/>
      <c r="J654" s="227"/>
      <c r="K654" s="227"/>
      <c r="L654" s="232"/>
      <c r="M654" s="232"/>
      <c r="N654" s="227"/>
      <c r="O654" s="227"/>
      <c r="P654" s="231"/>
      <c r="Q654" s="227"/>
      <c r="R654" s="231"/>
      <c r="S654" s="231"/>
      <c r="T654" s="231"/>
      <c r="U654" s="231"/>
      <c r="V654" s="231"/>
      <c r="W654" s="231"/>
      <c r="X654" s="227"/>
      <c r="Y654" s="232"/>
      <c r="Z654" s="232"/>
      <c r="AA654" s="232"/>
      <c r="AB654" s="232"/>
      <c r="AC654" s="227"/>
      <c r="AD654" s="227"/>
      <c r="AE654" s="231"/>
      <c r="AF654" s="227"/>
      <c r="AG654" s="232"/>
      <c r="AH654" s="232"/>
      <c r="AI654" s="232"/>
      <c r="AJ654" s="232"/>
      <c r="AK654" s="232"/>
      <c r="AL654" s="232"/>
      <c r="AM654" s="232"/>
      <c r="AN654" s="232"/>
      <c r="AO654" s="231"/>
      <c r="AP654" s="231"/>
      <c r="AQ654" s="227"/>
      <c r="AR654" s="231"/>
      <c r="AS654" s="227"/>
      <c r="AT654" s="227"/>
      <c r="AU654" s="227"/>
      <c r="AV654" s="227"/>
    </row>
    <row r="655">
      <c r="A655" s="227"/>
      <c r="B655" s="232"/>
      <c r="C655" s="227"/>
      <c r="D655" s="227"/>
      <c r="E655" s="231"/>
      <c r="F655" s="232"/>
      <c r="G655" s="227"/>
      <c r="H655" s="227"/>
      <c r="I655" s="227"/>
      <c r="J655" s="227"/>
      <c r="K655" s="227"/>
      <c r="L655" s="232"/>
      <c r="M655" s="232"/>
      <c r="N655" s="227"/>
      <c r="O655" s="227"/>
      <c r="P655" s="231"/>
      <c r="Q655" s="227"/>
      <c r="R655" s="231"/>
      <c r="S655" s="231"/>
      <c r="T655" s="231"/>
      <c r="U655" s="231"/>
      <c r="V655" s="231"/>
      <c r="W655" s="231"/>
      <c r="X655" s="227"/>
      <c r="Y655" s="232"/>
      <c r="Z655" s="232"/>
      <c r="AA655" s="232"/>
      <c r="AB655" s="232"/>
      <c r="AC655" s="227"/>
      <c r="AD655" s="227"/>
      <c r="AE655" s="231"/>
      <c r="AF655" s="227"/>
      <c r="AG655" s="232"/>
      <c r="AH655" s="232"/>
      <c r="AI655" s="232"/>
      <c r="AJ655" s="232"/>
      <c r="AK655" s="232"/>
      <c r="AL655" s="232"/>
      <c r="AM655" s="232"/>
      <c r="AN655" s="232"/>
      <c r="AO655" s="231"/>
      <c r="AP655" s="231"/>
      <c r="AQ655" s="227"/>
      <c r="AR655" s="231"/>
      <c r="AS655" s="227"/>
      <c r="AT655" s="227"/>
      <c r="AU655" s="227"/>
      <c r="AV655" s="227"/>
    </row>
    <row r="656">
      <c r="A656" s="227"/>
      <c r="B656" s="232"/>
      <c r="C656" s="227"/>
      <c r="D656" s="227"/>
      <c r="E656" s="231"/>
      <c r="F656" s="232"/>
      <c r="G656" s="227"/>
      <c r="H656" s="227"/>
      <c r="I656" s="227"/>
      <c r="J656" s="227"/>
      <c r="K656" s="227"/>
      <c r="L656" s="232"/>
      <c r="M656" s="232"/>
      <c r="N656" s="227"/>
      <c r="O656" s="227"/>
      <c r="P656" s="231"/>
      <c r="Q656" s="227"/>
      <c r="R656" s="231"/>
      <c r="S656" s="231"/>
      <c r="T656" s="231"/>
      <c r="U656" s="231"/>
      <c r="V656" s="231"/>
      <c r="W656" s="231"/>
      <c r="X656" s="227"/>
      <c r="Y656" s="232"/>
      <c r="Z656" s="232"/>
      <c r="AA656" s="232"/>
      <c r="AB656" s="232"/>
      <c r="AC656" s="227"/>
      <c r="AD656" s="227"/>
      <c r="AE656" s="231"/>
      <c r="AF656" s="227"/>
      <c r="AG656" s="232"/>
      <c r="AH656" s="232"/>
      <c r="AI656" s="232"/>
      <c r="AJ656" s="232"/>
      <c r="AK656" s="232"/>
      <c r="AL656" s="232"/>
      <c r="AM656" s="232"/>
      <c r="AN656" s="232"/>
      <c r="AO656" s="231"/>
      <c r="AP656" s="231"/>
      <c r="AQ656" s="227"/>
      <c r="AR656" s="231"/>
      <c r="AS656" s="227"/>
      <c r="AT656" s="227"/>
      <c r="AU656" s="227"/>
      <c r="AV656" s="227"/>
    </row>
    <row r="657">
      <c r="A657" s="227"/>
      <c r="B657" s="232"/>
      <c r="C657" s="227"/>
      <c r="D657" s="227"/>
      <c r="E657" s="231"/>
      <c r="F657" s="232"/>
      <c r="G657" s="227"/>
      <c r="H657" s="227"/>
      <c r="I657" s="227"/>
      <c r="J657" s="227"/>
      <c r="K657" s="227"/>
      <c r="L657" s="232"/>
      <c r="M657" s="232"/>
      <c r="N657" s="227"/>
      <c r="O657" s="227"/>
      <c r="P657" s="231"/>
      <c r="Q657" s="227"/>
      <c r="R657" s="231"/>
      <c r="S657" s="231"/>
      <c r="T657" s="231"/>
      <c r="U657" s="231"/>
      <c r="V657" s="231"/>
      <c r="W657" s="231"/>
      <c r="X657" s="227"/>
      <c r="Y657" s="232"/>
      <c r="Z657" s="232"/>
      <c r="AA657" s="232"/>
      <c r="AB657" s="232"/>
      <c r="AC657" s="227"/>
      <c r="AD657" s="227"/>
      <c r="AE657" s="231"/>
      <c r="AF657" s="227"/>
      <c r="AG657" s="232"/>
      <c r="AH657" s="232"/>
      <c r="AI657" s="232"/>
      <c r="AJ657" s="232"/>
      <c r="AK657" s="232"/>
      <c r="AL657" s="232"/>
      <c r="AM657" s="232"/>
      <c r="AN657" s="232"/>
      <c r="AO657" s="231"/>
      <c r="AP657" s="231"/>
      <c r="AQ657" s="227"/>
      <c r="AR657" s="231"/>
      <c r="AS657" s="227"/>
      <c r="AT657" s="227"/>
      <c r="AU657" s="227"/>
      <c r="AV657" s="227"/>
    </row>
    <row r="658">
      <c r="A658" s="227"/>
      <c r="B658" s="232"/>
      <c r="C658" s="227"/>
      <c r="D658" s="227"/>
      <c r="E658" s="231"/>
      <c r="F658" s="232"/>
      <c r="G658" s="227"/>
      <c r="H658" s="227"/>
      <c r="I658" s="227"/>
      <c r="J658" s="227"/>
      <c r="K658" s="227"/>
      <c r="L658" s="232"/>
      <c r="M658" s="232"/>
      <c r="N658" s="227"/>
      <c r="O658" s="227"/>
      <c r="P658" s="231"/>
      <c r="Q658" s="227"/>
      <c r="R658" s="231"/>
      <c r="S658" s="231"/>
      <c r="T658" s="231"/>
      <c r="U658" s="231"/>
      <c r="V658" s="231"/>
      <c r="W658" s="231"/>
      <c r="X658" s="227"/>
      <c r="Y658" s="232"/>
      <c r="Z658" s="232"/>
      <c r="AA658" s="232"/>
      <c r="AB658" s="232"/>
      <c r="AC658" s="227"/>
      <c r="AD658" s="227"/>
      <c r="AE658" s="231"/>
      <c r="AF658" s="227"/>
      <c r="AG658" s="232"/>
      <c r="AH658" s="232"/>
      <c r="AI658" s="232"/>
      <c r="AJ658" s="232"/>
      <c r="AK658" s="232"/>
      <c r="AL658" s="232"/>
      <c r="AM658" s="232"/>
      <c r="AN658" s="232"/>
      <c r="AO658" s="231"/>
      <c r="AP658" s="231"/>
      <c r="AQ658" s="227"/>
      <c r="AR658" s="231"/>
      <c r="AS658" s="227"/>
      <c r="AT658" s="227"/>
      <c r="AU658" s="227"/>
      <c r="AV658" s="227"/>
    </row>
    <row r="659">
      <c r="A659" s="227"/>
      <c r="B659" s="232"/>
      <c r="C659" s="227"/>
      <c r="D659" s="227"/>
      <c r="E659" s="231"/>
      <c r="F659" s="232"/>
      <c r="G659" s="227"/>
      <c r="H659" s="227"/>
      <c r="I659" s="227"/>
      <c r="J659" s="227"/>
      <c r="K659" s="227"/>
      <c r="L659" s="232"/>
      <c r="M659" s="232"/>
      <c r="N659" s="227"/>
      <c r="O659" s="227"/>
      <c r="P659" s="231"/>
      <c r="Q659" s="227"/>
      <c r="R659" s="231"/>
      <c r="S659" s="231"/>
      <c r="T659" s="231"/>
      <c r="U659" s="231"/>
      <c r="V659" s="231"/>
      <c r="W659" s="231"/>
      <c r="X659" s="227"/>
      <c r="Y659" s="232"/>
      <c r="Z659" s="232"/>
      <c r="AA659" s="232"/>
      <c r="AB659" s="232"/>
      <c r="AC659" s="227"/>
      <c r="AD659" s="227"/>
      <c r="AE659" s="231"/>
      <c r="AF659" s="227"/>
      <c r="AG659" s="232"/>
      <c r="AH659" s="232"/>
      <c r="AI659" s="232"/>
      <c r="AJ659" s="232"/>
      <c r="AK659" s="232"/>
      <c r="AL659" s="232"/>
      <c r="AM659" s="232"/>
      <c r="AN659" s="232"/>
      <c r="AO659" s="231"/>
      <c r="AP659" s="231"/>
      <c r="AQ659" s="227"/>
      <c r="AR659" s="231"/>
      <c r="AS659" s="227"/>
      <c r="AT659" s="227"/>
      <c r="AU659" s="227"/>
      <c r="AV659" s="227"/>
    </row>
    <row r="660">
      <c r="A660" s="227"/>
      <c r="B660" s="232"/>
      <c r="C660" s="227"/>
      <c r="D660" s="227"/>
      <c r="E660" s="231"/>
      <c r="F660" s="232"/>
      <c r="G660" s="227"/>
      <c r="H660" s="227"/>
      <c r="I660" s="227"/>
      <c r="J660" s="227"/>
      <c r="K660" s="227"/>
      <c r="L660" s="232"/>
      <c r="M660" s="232"/>
      <c r="N660" s="227"/>
      <c r="O660" s="227"/>
      <c r="P660" s="231"/>
      <c r="Q660" s="227"/>
      <c r="R660" s="231"/>
      <c r="S660" s="231"/>
      <c r="T660" s="231"/>
      <c r="U660" s="231"/>
      <c r="V660" s="231"/>
      <c r="W660" s="231"/>
      <c r="X660" s="227"/>
      <c r="Y660" s="232"/>
      <c r="Z660" s="232"/>
      <c r="AA660" s="232"/>
      <c r="AB660" s="232"/>
      <c r="AC660" s="227"/>
      <c r="AD660" s="227"/>
      <c r="AE660" s="231"/>
      <c r="AF660" s="227"/>
      <c r="AG660" s="232"/>
      <c r="AH660" s="232"/>
      <c r="AI660" s="232"/>
      <c r="AJ660" s="232"/>
      <c r="AK660" s="232"/>
      <c r="AL660" s="232"/>
      <c r="AM660" s="232"/>
      <c r="AN660" s="232"/>
      <c r="AO660" s="231"/>
      <c r="AP660" s="231"/>
      <c r="AQ660" s="227"/>
      <c r="AR660" s="231"/>
      <c r="AS660" s="227"/>
      <c r="AT660" s="227"/>
      <c r="AU660" s="227"/>
      <c r="AV660" s="227"/>
    </row>
    <row r="661">
      <c r="A661" s="227"/>
      <c r="B661" s="232"/>
      <c r="C661" s="227"/>
      <c r="D661" s="227"/>
      <c r="E661" s="231"/>
      <c r="F661" s="232"/>
      <c r="G661" s="227"/>
      <c r="H661" s="227"/>
      <c r="I661" s="227"/>
      <c r="J661" s="227"/>
      <c r="K661" s="227"/>
      <c r="L661" s="232"/>
      <c r="M661" s="232"/>
      <c r="N661" s="227"/>
      <c r="O661" s="227"/>
      <c r="P661" s="231"/>
      <c r="Q661" s="227"/>
      <c r="R661" s="231"/>
      <c r="S661" s="231"/>
      <c r="T661" s="231"/>
      <c r="U661" s="231"/>
      <c r="V661" s="231"/>
      <c r="W661" s="231"/>
      <c r="X661" s="227"/>
      <c r="Y661" s="232"/>
      <c r="Z661" s="232"/>
      <c r="AA661" s="232"/>
      <c r="AB661" s="232"/>
      <c r="AC661" s="227"/>
      <c r="AD661" s="227"/>
      <c r="AE661" s="231"/>
      <c r="AF661" s="227"/>
      <c r="AG661" s="232"/>
      <c r="AH661" s="232"/>
      <c r="AI661" s="232"/>
      <c r="AJ661" s="232"/>
      <c r="AK661" s="232"/>
      <c r="AL661" s="232"/>
      <c r="AM661" s="232"/>
      <c r="AN661" s="232"/>
      <c r="AO661" s="231"/>
      <c r="AP661" s="231"/>
      <c r="AQ661" s="227"/>
      <c r="AR661" s="231"/>
      <c r="AS661" s="227"/>
      <c r="AT661" s="227"/>
      <c r="AU661" s="227"/>
      <c r="AV661" s="227"/>
    </row>
    <row r="662">
      <c r="A662" s="227"/>
      <c r="B662" s="232"/>
      <c r="C662" s="227"/>
      <c r="D662" s="227"/>
      <c r="E662" s="231"/>
      <c r="F662" s="232"/>
      <c r="G662" s="227"/>
      <c r="H662" s="227"/>
      <c r="I662" s="227"/>
      <c r="J662" s="227"/>
      <c r="K662" s="227"/>
      <c r="L662" s="232"/>
      <c r="M662" s="232"/>
      <c r="N662" s="227"/>
      <c r="O662" s="227"/>
      <c r="P662" s="231"/>
      <c r="Q662" s="227"/>
      <c r="R662" s="231"/>
      <c r="S662" s="231"/>
      <c r="T662" s="231"/>
      <c r="U662" s="231"/>
      <c r="V662" s="231"/>
      <c r="W662" s="231"/>
      <c r="X662" s="227"/>
      <c r="Y662" s="232"/>
      <c r="Z662" s="232"/>
      <c r="AA662" s="232"/>
      <c r="AB662" s="232"/>
      <c r="AC662" s="227"/>
      <c r="AD662" s="227"/>
      <c r="AE662" s="231"/>
      <c r="AF662" s="227"/>
      <c r="AG662" s="232"/>
      <c r="AH662" s="232"/>
      <c r="AI662" s="232"/>
      <c r="AJ662" s="232"/>
      <c r="AK662" s="232"/>
      <c r="AL662" s="232"/>
      <c r="AM662" s="232"/>
      <c r="AN662" s="232"/>
      <c r="AO662" s="231"/>
      <c r="AP662" s="231"/>
      <c r="AQ662" s="227"/>
      <c r="AR662" s="231"/>
      <c r="AS662" s="227"/>
      <c r="AT662" s="227"/>
      <c r="AU662" s="227"/>
      <c r="AV662" s="227"/>
    </row>
    <row r="663">
      <c r="A663" s="227"/>
      <c r="B663" s="232"/>
      <c r="C663" s="227"/>
      <c r="D663" s="227"/>
      <c r="E663" s="231"/>
      <c r="F663" s="232"/>
      <c r="G663" s="227"/>
      <c r="H663" s="227"/>
      <c r="I663" s="227"/>
      <c r="J663" s="227"/>
      <c r="K663" s="227"/>
      <c r="L663" s="232"/>
      <c r="M663" s="232"/>
      <c r="N663" s="227"/>
      <c r="O663" s="227"/>
      <c r="P663" s="231"/>
      <c r="Q663" s="227"/>
      <c r="R663" s="231"/>
      <c r="S663" s="231"/>
      <c r="T663" s="231"/>
      <c r="U663" s="231"/>
      <c r="V663" s="231"/>
      <c r="W663" s="231"/>
      <c r="X663" s="227"/>
      <c r="Y663" s="232"/>
      <c r="Z663" s="232"/>
      <c r="AA663" s="232"/>
      <c r="AB663" s="232"/>
      <c r="AC663" s="227"/>
      <c r="AD663" s="227"/>
      <c r="AE663" s="231"/>
      <c r="AF663" s="227"/>
      <c r="AG663" s="232"/>
      <c r="AH663" s="232"/>
      <c r="AI663" s="232"/>
      <c r="AJ663" s="232"/>
      <c r="AK663" s="232"/>
      <c r="AL663" s="232"/>
      <c r="AM663" s="232"/>
      <c r="AN663" s="232"/>
      <c r="AO663" s="231"/>
      <c r="AP663" s="231"/>
      <c r="AQ663" s="227"/>
      <c r="AR663" s="231"/>
      <c r="AS663" s="227"/>
      <c r="AT663" s="227"/>
      <c r="AU663" s="227"/>
      <c r="AV663" s="227"/>
    </row>
    <row r="664">
      <c r="A664" s="227"/>
      <c r="B664" s="232"/>
      <c r="C664" s="227"/>
      <c r="D664" s="227"/>
      <c r="E664" s="231"/>
      <c r="F664" s="232"/>
      <c r="G664" s="227"/>
      <c r="H664" s="227"/>
      <c r="I664" s="227"/>
      <c r="J664" s="227"/>
      <c r="K664" s="227"/>
      <c r="L664" s="232"/>
      <c r="M664" s="232"/>
      <c r="N664" s="227"/>
      <c r="O664" s="227"/>
      <c r="P664" s="231"/>
      <c r="Q664" s="227"/>
      <c r="R664" s="231"/>
      <c r="S664" s="231"/>
      <c r="T664" s="231"/>
      <c r="U664" s="231"/>
      <c r="V664" s="231"/>
      <c r="W664" s="231"/>
      <c r="X664" s="227"/>
      <c r="Y664" s="232"/>
      <c r="Z664" s="232"/>
      <c r="AA664" s="232"/>
      <c r="AB664" s="232"/>
      <c r="AC664" s="227"/>
      <c r="AD664" s="227"/>
      <c r="AE664" s="231"/>
      <c r="AF664" s="227"/>
      <c r="AG664" s="232"/>
      <c r="AH664" s="232"/>
      <c r="AI664" s="232"/>
      <c r="AJ664" s="232"/>
      <c r="AK664" s="232"/>
      <c r="AL664" s="232"/>
      <c r="AM664" s="232"/>
      <c r="AN664" s="232"/>
      <c r="AO664" s="231"/>
      <c r="AP664" s="231"/>
      <c r="AQ664" s="227"/>
      <c r="AR664" s="231"/>
      <c r="AS664" s="227"/>
      <c r="AT664" s="227"/>
      <c r="AU664" s="227"/>
      <c r="AV664" s="227"/>
    </row>
    <row r="665">
      <c r="A665" s="227"/>
      <c r="B665" s="232"/>
      <c r="C665" s="227"/>
      <c r="D665" s="227"/>
      <c r="E665" s="231"/>
      <c r="F665" s="232"/>
      <c r="G665" s="227"/>
      <c r="H665" s="227"/>
      <c r="I665" s="227"/>
      <c r="J665" s="227"/>
      <c r="K665" s="227"/>
      <c r="L665" s="232"/>
      <c r="M665" s="232"/>
      <c r="N665" s="227"/>
      <c r="O665" s="227"/>
      <c r="P665" s="231"/>
      <c r="Q665" s="227"/>
      <c r="R665" s="231"/>
      <c r="S665" s="231"/>
      <c r="T665" s="231"/>
      <c r="U665" s="231"/>
      <c r="V665" s="231"/>
      <c r="W665" s="231"/>
      <c r="X665" s="227"/>
      <c r="Y665" s="232"/>
      <c r="Z665" s="232"/>
      <c r="AA665" s="232"/>
      <c r="AB665" s="232"/>
      <c r="AC665" s="227"/>
      <c r="AD665" s="227"/>
      <c r="AE665" s="231"/>
      <c r="AF665" s="227"/>
      <c r="AG665" s="232"/>
      <c r="AH665" s="232"/>
      <c r="AI665" s="232"/>
      <c r="AJ665" s="232"/>
      <c r="AK665" s="232"/>
      <c r="AL665" s="232"/>
      <c r="AM665" s="232"/>
      <c r="AN665" s="232"/>
      <c r="AO665" s="231"/>
      <c r="AP665" s="231"/>
      <c r="AQ665" s="227"/>
      <c r="AR665" s="231"/>
      <c r="AS665" s="227"/>
      <c r="AT665" s="227"/>
      <c r="AU665" s="227"/>
      <c r="AV665" s="227"/>
    </row>
    <row r="666">
      <c r="A666" s="227"/>
      <c r="B666" s="232"/>
      <c r="C666" s="227"/>
      <c r="D666" s="227"/>
      <c r="E666" s="231"/>
      <c r="F666" s="232"/>
      <c r="G666" s="227"/>
      <c r="H666" s="227"/>
      <c r="I666" s="227"/>
      <c r="J666" s="227"/>
      <c r="K666" s="227"/>
      <c r="L666" s="232"/>
      <c r="M666" s="232"/>
      <c r="N666" s="227"/>
      <c r="O666" s="227"/>
      <c r="P666" s="231"/>
      <c r="Q666" s="227"/>
      <c r="R666" s="231"/>
      <c r="S666" s="231"/>
      <c r="T666" s="231"/>
      <c r="U666" s="231"/>
      <c r="V666" s="231"/>
      <c r="W666" s="231"/>
      <c r="X666" s="227"/>
      <c r="Y666" s="232"/>
      <c r="Z666" s="232"/>
      <c r="AA666" s="232"/>
      <c r="AB666" s="232"/>
      <c r="AC666" s="227"/>
      <c r="AD666" s="227"/>
      <c r="AE666" s="231"/>
      <c r="AF666" s="227"/>
      <c r="AG666" s="232"/>
      <c r="AH666" s="232"/>
      <c r="AI666" s="232"/>
      <c r="AJ666" s="232"/>
      <c r="AK666" s="232"/>
      <c r="AL666" s="232"/>
      <c r="AM666" s="232"/>
      <c r="AN666" s="232"/>
      <c r="AO666" s="231"/>
      <c r="AP666" s="231"/>
      <c r="AQ666" s="227"/>
      <c r="AR666" s="231"/>
      <c r="AS666" s="227"/>
      <c r="AT666" s="227"/>
      <c r="AU666" s="227"/>
      <c r="AV666" s="227"/>
    </row>
    <row r="667">
      <c r="A667" s="227"/>
      <c r="B667" s="232"/>
      <c r="C667" s="227"/>
      <c r="D667" s="227"/>
      <c r="E667" s="231"/>
      <c r="F667" s="232"/>
      <c r="G667" s="227"/>
      <c r="H667" s="227"/>
      <c r="I667" s="227"/>
      <c r="J667" s="227"/>
      <c r="K667" s="227"/>
      <c r="L667" s="232"/>
      <c r="M667" s="232"/>
      <c r="N667" s="227"/>
      <c r="O667" s="227"/>
      <c r="P667" s="231"/>
      <c r="Q667" s="227"/>
      <c r="R667" s="231"/>
      <c r="S667" s="231"/>
      <c r="T667" s="231"/>
      <c r="U667" s="231"/>
      <c r="V667" s="231"/>
      <c r="W667" s="231"/>
      <c r="X667" s="227"/>
      <c r="Y667" s="232"/>
      <c r="Z667" s="232"/>
      <c r="AA667" s="232"/>
      <c r="AB667" s="232"/>
      <c r="AC667" s="227"/>
      <c r="AD667" s="227"/>
      <c r="AE667" s="231"/>
      <c r="AF667" s="227"/>
      <c r="AG667" s="232"/>
      <c r="AH667" s="232"/>
      <c r="AI667" s="232"/>
      <c r="AJ667" s="232"/>
      <c r="AK667" s="232"/>
      <c r="AL667" s="232"/>
      <c r="AM667" s="232"/>
      <c r="AN667" s="232"/>
      <c r="AO667" s="231"/>
      <c r="AP667" s="231"/>
      <c r="AQ667" s="227"/>
      <c r="AR667" s="227"/>
      <c r="AS667" s="227"/>
      <c r="AT667" s="227"/>
      <c r="AU667" s="227"/>
      <c r="AV667" s="227"/>
    </row>
    <row r="668">
      <c r="A668" s="227"/>
      <c r="B668" s="232"/>
      <c r="C668" s="227"/>
      <c r="D668" s="227"/>
      <c r="E668" s="231"/>
      <c r="F668" s="232"/>
      <c r="G668" s="227"/>
      <c r="H668" s="227"/>
      <c r="I668" s="227"/>
      <c r="J668" s="227"/>
      <c r="K668" s="227"/>
      <c r="L668" s="232"/>
      <c r="M668" s="232"/>
      <c r="N668" s="227"/>
      <c r="O668" s="227"/>
      <c r="P668" s="231"/>
      <c r="Q668" s="227"/>
      <c r="R668" s="231"/>
      <c r="S668" s="231"/>
      <c r="T668" s="231"/>
      <c r="U668" s="231"/>
      <c r="V668" s="231"/>
      <c r="W668" s="231"/>
      <c r="X668" s="227"/>
      <c r="Y668" s="232"/>
      <c r="Z668" s="232"/>
      <c r="AA668" s="232"/>
      <c r="AB668" s="232"/>
      <c r="AC668" s="227"/>
      <c r="AD668" s="227"/>
      <c r="AE668" s="231"/>
      <c r="AF668" s="227"/>
      <c r="AG668" s="232"/>
      <c r="AH668" s="232"/>
      <c r="AI668" s="232"/>
      <c r="AJ668" s="232"/>
      <c r="AK668" s="232"/>
      <c r="AL668" s="232"/>
      <c r="AM668" s="232"/>
      <c r="AN668" s="232"/>
      <c r="AO668" s="231"/>
      <c r="AP668" s="231"/>
      <c r="AQ668" s="227"/>
      <c r="AR668" s="231"/>
      <c r="AS668" s="227"/>
      <c r="AT668" s="227"/>
      <c r="AU668" s="227"/>
      <c r="AV668" s="227"/>
    </row>
    <row r="669">
      <c r="A669" s="227"/>
      <c r="B669" s="232"/>
      <c r="C669" s="227"/>
      <c r="D669" s="227"/>
      <c r="E669" s="231"/>
      <c r="F669" s="232"/>
      <c r="G669" s="227"/>
      <c r="H669" s="227"/>
      <c r="I669" s="227"/>
      <c r="J669" s="227"/>
      <c r="K669" s="227"/>
      <c r="L669" s="232"/>
      <c r="M669" s="232"/>
      <c r="N669" s="227"/>
      <c r="O669" s="227"/>
      <c r="P669" s="231"/>
      <c r="Q669" s="227"/>
      <c r="R669" s="231"/>
      <c r="S669" s="231"/>
      <c r="T669" s="231"/>
      <c r="U669" s="231"/>
      <c r="V669" s="231"/>
      <c r="W669" s="231"/>
      <c r="X669" s="227"/>
      <c r="Y669" s="232"/>
      <c r="Z669" s="232"/>
      <c r="AA669" s="232"/>
      <c r="AB669" s="232"/>
      <c r="AC669" s="227"/>
      <c r="AD669" s="227"/>
      <c r="AE669" s="231"/>
      <c r="AF669" s="227"/>
      <c r="AG669" s="232"/>
      <c r="AH669" s="232"/>
      <c r="AI669" s="232"/>
      <c r="AJ669" s="232"/>
      <c r="AK669" s="232"/>
      <c r="AL669" s="232"/>
      <c r="AM669" s="232"/>
      <c r="AN669" s="232"/>
      <c r="AO669" s="231"/>
      <c r="AP669" s="231"/>
      <c r="AQ669" s="227"/>
      <c r="AR669" s="231"/>
      <c r="AS669" s="227"/>
      <c r="AT669" s="227"/>
      <c r="AU669" s="227"/>
      <c r="AV669" s="227"/>
    </row>
    <row r="670">
      <c r="A670" s="227"/>
      <c r="B670" s="232"/>
      <c r="C670" s="227"/>
      <c r="D670" s="227"/>
      <c r="E670" s="231"/>
      <c r="F670" s="232"/>
      <c r="G670" s="227"/>
      <c r="H670" s="227"/>
      <c r="I670" s="227"/>
      <c r="J670" s="227"/>
      <c r="K670" s="227"/>
      <c r="L670" s="232"/>
      <c r="M670" s="232"/>
      <c r="N670" s="227"/>
      <c r="O670" s="227"/>
      <c r="P670" s="231"/>
      <c r="Q670" s="227"/>
      <c r="R670" s="231"/>
      <c r="S670" s="231"/>
      <c r="T670" s="231"/>
      <c r="U670" s="231"/>
      <c r="V670" s="231"/>
      <c r="W670" s="231"/>
      <c r="X670" s="227"/>
      <c r="Y670" s="232"/>
      <c r="Z670" s="232"/>
      <c r="AA670" s="232"/>
      <c r="AB670" s="232"/>
      <c r="AC670" s="227"/>
      <c r="AD670" s="227"/>
      <c r="AE670" s="231"/>
      <c r="AF670" s="227"/>
      <c r="AG670" s="232"/>
      <c r="AH670" s="232"/>
      <c r="AI670" s="232"/>
      <c r="AJ670" s="232"/>
      <c r="AK670" s="232"/>
      <c r="AL670" s="232"/>
      <c r="AM670" s="232"/>
      <c r="AN670" s="232"/>
      <c r="AO670" s="231"/>
      <c r="AP670" s="231"/>
      <c r="AQ670" s="227"/>
      <c r="AR670" s="231"/>
      <c r="AS670" s="227"/>
      <c r="AT670" s="227"/>
      <c r="AU670" s="227"/>
      <c r="AV670" s="227"/>
    </row>
    <row r="671">
      <c r="A671" s="227"/>
      <c r="B671" s="232"/>
      <c r="C671" s="227"/>
      <c r="D671" s="227"/>
      <c r="E671" s="231"/>
      <c r="F671" s="232"/>
      <c r="G671" s="227"/>
      <c r="H671" s="227"/>
      <c r="I671" s="227"/>
      <c r="J671" s="227"/>
      <c r="K671" s="227"/>
      <c r="L671" s="232"/>
      <c r="M671" s="232"/>
      <c r="N671" s="227"/>
      <c r="O671" s="227"/>
      <c r="P671" s="231"/>
      <c r="Q671" s="227"/>
      <c r="R671" s="231"/>
      <c r="S671" s="231"/>
      <c r="T671" s="231"/>
      <c r="U671" s="231"/>
      <c r="V671" s="231"/>
      <c r="W671" s="231"/>
      <c r="X671" s="227"/>
      <c r="Y671" s="232"/>
      <c r="Z671" s="232"/>
      <c r="AA671" s="232"/>
      <c r="AB671" s="232"/>
      <c r="AC671" s="227"/>
      <c r="AD671" s="227"/>
      <c r="AE671" s="231"/>
      <c r="AF671" s="227"/>
      <c r="AG671" s="232"/>
      <c r="AH671" s="232"/>
      <c r="AI671" s="232"/>
      <c r="AJ671" s="232"/>
      <c r="AK671" s="232"/>
      <c r="AL671" s="232"/>
      <c r="AM671" s="232"/>
      <c r="AN671" s="232"/>
      <c r="AO671" s="231"/>
      <c r="AP671" s="231"/>
      <c r="AQ671" s="227"/>
      <c r="AR671" s="231"/>
      <c r="AS671" s="227"/>
      <c r="AT671" s="227"/>
      <c r="AU671" s="227"/>
      <c r="AV671" s="227"/>
    </row>
    <row r="672">
      <c r="A672" s="227"/>
      <c r="B672" s="232"/>
      <c r="C672" s="227"/>
      <c r="D672" s="227"/>
      <c r="E672" s="231"/>
      <c r="F672" s="232"/>
      <c r="G672" s="227"/>
      <c r="H672" s="227"/>
      <c r="I672" s="227"/>
      <c r="J672" s="227"/>
      <c r="K672" s="227"/>
      <c r="L672" s="232"/>
      <c r="M672" s="232"/>
      <c r="N672" s="227"/>
      <c r="O672" s="227"/>
      <c r="P672" s="231"/>
      <c r="Q672" s="227"/>
      <c r="R672" s="231"/>
      <c r="S672" s="231"/>
      <c r="T672" s="231"/>
      <c r="U672" s="231"/>
      <c r="V672" s="231"/>
      <c r="W672" s="231"/>
      <c r="X672" s="227"/>
      <c r="Y672" s="232"/>
      <c r="Z672" s="232"/>
      <c r="AA672" s="232"/>
      <c r="AB672" s="232"/>
      <c r="AC672" s="227"/>
      <c r="AD672" s="227"/>
      <c r="AE672" s="231"/>
      <c r="AF672" s="227"/>
      <c r="AG672" s="232"/>
      <c r="AH672" s="232"/>
      <c r="AI672" s="232"/>
      <c r="AJ672" s="232"/>
      <c r="AK672" s="232"/>
      <c r="AL672" s="232"/>
      <c r="AM672" s="232"/>
      <c r="AN672" s="232"/>
      <c r="AO672" s="231"/>
      <c r="AP672" s="231"/>
      <c r="AQ672" s="227"/>
      <c r="AR672" s="231"/>
      <c r="AS672" s="227"/>
      <c r="AT672" s="227"/>
      <c r="AU672" s="227"/>
      <c r="AV672" s="227"/>
    </row>
    <row r="673">
      <c r="A673" s="227"/>
      <c r="B673" s="232"/>
      <c r="C673" s="227"/>
      <c r="D673" s="227"/>
      <c r="E673" s="231"/>
      <c r="F673" s="232"/>
      <c r="G673" s="227"/>
      <c r="H673" s="227"/>
      <c r="I673" s="227"/>
      <c r="J673" s="227"/>
      <c r="K673" s="227"/>
      <c r="L673" s="232"/>
      <c r="M673" s="232"/>
      <c r="N673" s="227"/>
      <c r="O673" s="227"/>
      <c r="P673" s="231"/>
      <c r="Q673" s="227"/>
      <c r="R673" s="231"/>
      <c r="S673" s="231"/>
      <c r="T673" s="231"/>
      <c r="U673" s="231"/>
      <c r="V673" s="231"/>
      <c r="W673" s="231"/>
      <c r="X673" s="227"/>
      <c r="Y673" s="232"/>
      <c r="Z673" s="232"/>
      <c r="AA673" s="232"/>
      <c r="AB673" s="232"/>
      <c r="AC673" s="227"/>
      <c r="AD673" s="227"/>
      <c r="AE673" s="231"/>
      <c r="AF673" s="227"/>
      <c r="AG673" s="232"/>
      <c r="AH673" s="232"/>
      <c r="AI673" s="232"/>
      <c r="AJ673" s="232"/>
      <c r="AK673" s="232"/>
      <c r="AL673" s="232"/>
      <c r="AM673" s="232"/>
      <c r="AN673" s="232"/>
      <c r="AO673" s="231"/>
      <c r="AP673" s="231"/>
      <c r="AQ673" s="227"/>
      <c r="AR673" s="231"/>
      <c r="AS673" s="227"/>
      <c r="AT673" s="227"/>
      <c r="AU673" s="227"/>
      <c r="AV673" s="227"/>
    </row>
    <row r="674">
      <c r="A674" s="227"/>
      <c r="B674" s="232"/>
      <c r="C674" s="227"/>
      <c r="D674" s="227"/>
      <c r="E674" s="231"/>
      <c r="F674" s="232"/>
      <c r="G674" s="227"/>
      <c r="H674" s="227"/>
      <c r="I674" s="227"/>
      <c r="J674" s="227"/>
      <c r="K674" s="227"/>
      <c r="L674" s="232"/>
      <c r="M674" s="232"/>
      <c r="N674" s="227"/>
      <c r="O674" s="227"/>
      <c r="P674" s="231"/>
      <c r="Q674" s="227"/>
      <c r="R674" s="231"/>
      <c r="S674" s="231"/>
      <c r="T674" s="231"/>
      <c r="U674" s="231"/>
      <c r="V674" s="231"/>
      <c r="W674" s="231"/>
      <c r="X674" s="227"/>
      <c r="Y674" s="232"/>
      <c r="Z674" s="232"/>
      <c r="AA674" s="232"/>
      <c r="AB674" s="232"/>
      <c r="AC674" s="227"/>
      <c r="AD674" s="227"/>
      <c r="AE674" s="231"/>
      <c r="AF674" s="227"/>
      <c r="AG674" s="232"/>
      <c r="AH674" s="232"/>
      <c r="AI674" s="232"/>
      <c r="AJ674" s="232"/>
      <c r="AK674" s="232"/>
      <c r="AL674" s="232"/>
      <c r="AM674" s="232"/>
      <c r="AN674" s="232"/>
      <c r="AO674" s="231"/>
      <c r="AP674" s="231"/>
      <c r="AQ674" s="227"/>
      <c r="AR674" s="231"/>
      <c r="AS674" s="227"/>
      <c r="AT674" s="227"/>
      <c r="AU674" s="227"/>
      <c r="AV674" s="227"/>
    </row>
    <row r="675">
      <c r="A675" s="227"/>
      <c r="B675" s="232"/>
      <c r="C675" s="227"/>
      <c r="D675" s="227"/>
      <c r="E675" s="231"/>
      <c r="F675" s="232"/>
      <c r="G675" s="227"/>
      <c r="H675" s="227"/>
      <c r="I675" s="227"/>
      <c r="J675" s="227"/>
      <c r="K675" s="227"/>
      <c r="L675" s="232"/>
      <c r="M675" s="232"/>
      <c r="N675" s="227"/>
      <c r="O675" s="227"/>
      <c r="P675" s="231"/>
      <c r="Q675" s="227"/>
      <c r="R675" s="231"/>
      <c r="S675" s="231"/>
      <c r="T675" s="231"/>
      <c r="U675" s="231"/>
      <c r="V675" s="231"/>
      <c r="W675" s="231"/>
      <c r="X675" s="227"/>
      <c r="Y675" s="232"/>
      <c r="Z675" s="232"/>
      <c r="AA675" s="232"/>
      <c r="AB675" s="232"/>
      <c r="AC675" s="227"/>
      <c r="AD675" s="227"/>
      <c r="AE675" s="231"/>
      <c r="AF675" s="227"/>
      <c r="AG675" s="232"/>
      <c r="AH675" s="232"/>
      <c r="AI675" s="232"/>
      <c r="AJ675" s="232"/>
      <c r="AK675" s="232"/>
      <c r="AL675" s="232"/>
      <c r="AM675" s="232"/>
      <c r="AN675" s="232"/>
      <c r="AO675" s="231"/>
      <c r="AP675" s="231"/>
      <c r="AQ675" s="227"/>
      <c r="AR675" s="231"/>
      <c r="AS675" s="227"/>
      <c r="AT675" s="227"/>
      <c r="AU675" s="227"/>
      <c r="AV675" s="227"/>
    </row>
    <row r="676">
      <c r="A676" s="227"/>
      <c r="B676" s="232"/>
      <c r="C676" s="227"/>
      <c r="D676" s="227"/>
      <c r="E676" s="231"/>
      <c r="F676" s="232"/>
      <c r="G676" s="227"/>
      <c r="H676" s="227"/>
      <c r="I676" s="227"/>
      <c r="J676" s="227"/>
      <c r="K676" s="227"/>
      <c r="L676" s="232"/>
      <c r="M676" s="232"/>
      <c r="N676" s="227"/>
      <c r="O676" s="227"/>
      <c r="P676" s="231"/>
      <c r="Q676" s="227"/>
      <c r="R676" s="231"/>
      <c r="S676" s="231"/>
      <c r="T676" s="231"/>
      <c r="U676" s="231"/>
      <c r="V676" s="231"/>
      <c r="W676" s="231"/>
      <c r="X676" s="227"/>
      <c r="Y676" s="232"/>
      <c r="Z676" s="232"/>
      <c r="AA676" s="232"/>
      <c r="AB676" s="232"/>
      <c r="AC676" s="227"/>
      <c r="AD676" s="227"/>
      <c r="AE676" s="231"/>
      <c r="AF676" s="227"/>
      <c r="AG676" s="232"/>
      <c r="AH676" s="232"/>
      <c r="AI676" s="232"/>
      <c r="AJ676" s="232"/>
      <c r="AK676" s="232"/>
      <c r="AL676" s="232"/>
      <c r="AM676" s="232"/>
      <c r="AN676" s="232"/>
      <c r="AO676" s="231"/>
      <c r="AP676" s="231"/>
      <c r="AQ676" s="227"/>
      <c r="AR676" s="231"/>
      <c r="AS676" s="227"/>
      <c r="AT676" s="227"/>
      <c r="AU676" s="227"/>
      <c r="AV676" s="227"/>
    </row>
    <row r="677">
      <c r="A677" s="227"/>
      <c r="B677" s="232"/>
      <c r="C677" s="227"/>
      <c r="D677" s="227"/>
      <c r="E677" s="231"/>
      <c r="F677" s="232"/>
      <c r="G677" s="227"/>
      <c r="H677" s="227"/>
      <c r="I677" s="227"/>
      <c r="J677" s="227"/>
      <c r="K677" s="227"/>
      <c r="L677" s="232"/>
      <c r="M677" s="232"/>
      <c r="N677" s="227"/>
      <c r="O677" s="227"/>
      <c r="P677" s="231"/>
      <c r="Q677" s="227"/>
      <c r="R677" s="231"/>
      <c r="S677" s="231"/>
      <c r="T677" s="231"/>
      <c r="U677" s="231"/>
      <c r="V677" s="231"/>
      <c r="W677" s="231"/>
      <c r="X677" s="227"/>
      <c r="Y677" s="232"/>
      <c r="Z677" s="232"/>
      <c r="AA677" s="232"/>
      <c r="AB677" s="232"/>
      <c r="AC677" s="227"/>
      <c r="AD677" s="227"/>
      <c r="AE677" s="231"/>
      <c r="AF677" s="227"/>
      <c r="AG677" s="232"/>
      <c r="AH677" s="232"/>
      <c r="AI677" s="232"/>
      <c r="AJ677" s="232"/>
      <c r="AK677" s="232"/>
      <c r="AL677" s="232"/>
      <c r="AM677" s="232"/>
      <c r="AN677" s="232"/>
      <c r="AO677" s="231"/>
      <c r="AP677" s="231"/>
      <c r="AQ677" s="227"/>
      <c r="AR677" s="231"/>
      <c r="AS677" s="227"/>
      <c r="AT677" s="227"/>
      <c r="AU677" s="227"/>
      <c r="AV677" s="227"/>
    </row>
    <row r="678">
      <c r="A678" s="227"/>
      <c r="B678" s="232"/>
      <c r="C678" s="227"/>
      <c r="D678" s="227"/>
      <c r="E678" s="231"/>
      <c r="F678" s="232"/>
      <c r="G678" s="227"/>
      <c r="H678" s="227"/>
      <c r="I678" s="227"/>
      <c r="J678" s="227"/>
      <c r="K678" s="227"/>
      <c r="L678" s="232"/>
      <c r="M678" s="232"/>
      <c r="N678" s="227"/>
      <c r="O678" s="227"/>
      <c r="P678" s="231"/>
      <c r="Q678" s="227"/>
      <c r="R678" s="231"/>
      <c r="S678" s="231"/>
      <c r="T678" s="231"/>
      <c r="U678" s="231"/>
      <c r="V678" s="231"/>
      <c r="W678" s="231"/>
      <c r="X678" s="227"/>
      <c r="Y678" s="232"/>
      <c r="Z678" s="232"/>
      <c r="AA678" s="232"/>
      <c r="AB678" s="232"/>
      <c r="AC678" s="227"/>
      <c r="AD678" s="227"/>
      <c r="AE678" s="231"/>
      <c r="AF678" s="227"/>
      <c r="AG678" s="232"/>
      <c r="AH678" s="232"/>
      <c r="AI678" s="232"/>
      <c r="AJ678" s="232"/>
      <c r="AK678" s="232"/>
      <c r="AL678" s="232"/>
      <c r="AM678" s="232"/>
      <c r="AN678" s="232"/>
      <c r="AO678" s="231"/>
      <c r="AP678" s="231"/>
      <c r="AQ678" s="227"/>
      <c r="AR678" s="231"/>
      <c r="AS678" s="227"/>
      <c r="AT678" s="227"/>
      <c r="AU678" s="227"/>
      <c r="AV678" s="227"/>
    </row>
    <row r="679">
      <c r="A679" s="227"/>
      <c r="B679" s="232"/>
      <c r="C679" s="227"/>
      <c r="D679" s="227"/>
      <c r="E679" s="231"/>
      <c r="F679" s="232"/>
      <c r="G679" s="227"/>
      <c r="H679" s="227"/>
      <c r="I679" s="227"/>
      <c r="J679" s="227"/>
      <c r="K679" s="227"/>
      <c r="L679" s="232"/>
      <c r="M679" s="232"/>
      <c r="N679" s="227"/>
      <c r="O679" s="227"/>
      <c r="P679" s="231"/>
      <c r="Q679" s="227"/>
      <c r="R679" s="231"/>
      <c r="S679" s="231"/>
      <c r="T679" s="231"/>
      <c r="U679" s="231"/>
      <c r="V679" s="231"/>
      <c r="W679" s="231"/>
      <c r="X679" s="227"/>
      <c r="Y679" s="232"/>
      <c r="Z679" s="232"/>
      <c r="AA679" s="232"/>
      <c r="AB679" s="232"/>
      <c r="AC679" s="227"/>
      <c r="AD679" s="227"/>
      <c r="AE679" s="231"/>
      <c r="AF679" s="227"/>
      <c r="AG679" s="232"/>
      <c r="AH679" s="232"/>
      <c r="AI679" s="232"/>
      <c r="AJ679" s="232"/>
      <c r="AK679" s="232"/>
      <c r="AL679" s="232"/>
      <c r="AM679" s="232"/>
      <c r="AN679" s="232"/>
      <c r="AO679" s="231"/>
      <c r="AP679" s="231"/>
      <c r="AQ679" s="227"/>
      <c r="AR679" s="231"/>
      <c r="AS679" s="227"/>
      <c r="AT679" s="227"/>
      <c r="AU679" s="227"/>
      <c r="AV679" s="227"/>
    </row>
    <row r="680">
      <c r="A680" s="227"/>
      <c r="B680" s="232"/>
      <c r="C680" s="227"/>
      <c r="D680" s="227"/>
      <c r="E680" s="231"/>
      <c r="F680" s="232"/>
      <c r="G680" s="227"/>
      <c r="H680" s="227"/>
      <c r="I680" s="227"/>
      <c r="J680" s="227"/>
      <c r="K680" s="227"/>
      <c r="L680" s="232"/>
      <c r="M680" s="232"/>
      <c r="N680" s="227"/>
      <c r="O680" s="227"/>
      <c r="P680" s="231"/>
      <c r="Q680" s="227"/>
      <c r="R680" s="231"/>
      <c r="S680" s="231"/>
      <c r="T680" s="231"/>
      <c r="U680" s="231"/>
      <c r="V680" s="231"/>
      <c r="W680" s="231"/>
      <c r="X680" s="227"/>
      <c r="Y680" s="232"/>
      <c r="Z680" s="232"/>
      <c r="AA680" s="232"/>
      <c r="AB680" s="232"/>
      <c r="AC680" s="227"/>
      <c r="AD680" s="227"/>
      <c r="AE680" s="231"/>
      <c r="AF680" s="227"/>
      <c r="AG680" s="232"/>
      <c r="AH680" s="232"/>
      <c r="AI680" s="232"/>
      <c r="AJ680" s="232"/>
      <c r="AK680" s="232"/>
      <c r="AL680" s="232"/>
      <c r="AM680" s="232"/>
      <c r="AN680" s="232"/>
      <c r="AO680" s="231"/>
      <c r="AP680" s="231"/>
      <c r="AQ680" s="227"/>
      <c r="AR680" s="231"/>
      <c r="AS680" s="227"/>
      <c r="AT680" s="227"/>
      <c r="AU680" s="227"/>
      <c r="AV680" s="227"/>
    </row>
    <row r="681">
      <c r="A681" s="227"/>
      <c r="B681" s="232"/>
      <c r="C681" s="227"/>
      <c r="D681" s="227"/>
      <c r="E681" s="231"/>
      <c r="F681" s="232"/>
      <c r="G681" s="227"/>
      <c r="H681" s="227"/>
      <c r="I681" s="227"/>
      <c r="J681" s="227"/>
      <c r="K681" s="227"/>
      <c r="L681" s="232"/>
      <c r="M681" s="232"/>
      <c r="N681" s="227"/>
      <c r="O681" s="227"/>
      <c r="P681" s="231"/>
      <c r="Q681" s="227"/>
      <c r="R681" s="231"/>
      <c r="S681" s="231"/>
      <c r="T681" s="231"/>
      <c r="U681" s="231"/>
      <c r="V681" s="231"/>
      <c r="W681" s="231"/>
      <c r="X681" s="227"/>
      <c r="Y681" s="232"/>
      <c r="Z681" s="232"/>
      <c r="AA681" s="232"/>
      <c r="AB681" s="232"/>
      <c r="AC681" s="227"/>
      <c r="AD681" s="227"/>
      <c r="AE681" s="231"/>
      <c r="AF681" s="227"/>
      <c r="AG681" s="232"/>
      <c r="AH681" s="232"/>
      <c r="AI681" s="232"/>
      <c r="AJ681" s="232"/>
      <c r="AK681" s="232"/>
      <c r="AL681" s="232"/>
      <c r="AM681" s="232"/>
      <c r="AN681" s="232"/>
      <c r="AO681" s="231"/>
      <c r="AP681" s="231"/>
      <c r="AQ681" s="227"/>
      <c r="AR681" s="231"/>
      <c r="AS681" s="227"/>
      <c r="AT681" s="227"/>
      <c r="AU681" s="227"/>
      <c r="AV681" s="227"/>
    </row>
    <row r="682">
      <c r="A682" s="227"/>
      <c r="B682" s="232"/>
      <c r="C682" s="227"/>
      <c r="D682" s="227"/>
      <c r="E682" s="231"/>
      <c r="F682" s="232"/>
      <c r="G682" s="227"/>
      <c r="H682" s="227"/>
      <c r="I682" s="227"/>
      <c r="J682" s="227"/>
      <c r="K682" s="227"/>
      <c r="L682" s="232"/>
      <c r="M682" s="232"/>
      <c r="N682" s="227"/>
      <c r="O682" s="227"/>
      <c r="P682" s="231"/>
      <c r="Q682" s="227"/>
      <c r="R682" s="231"/>
      <c r="S682" s="231"/>
      <c r="T682" s="231"/>
      <c r="U682" s="231"/>
      <c r="V682" s="231"/>
      <c r="W682" s="231"/>
      <c r="X682" s="227"/>
      <c r="Y682" s="232"/>
      <c r="Z682" s="232"/>
      <c r="AA682" s="232"/>
      <c r="AB682" s="232"/>
      <c r="AC682" s="227"/>
      <c r="AD682" s="227"/>
      <c r="AE682" s="231"/>
      <c r="AF682" s="227"/>
      <c r="AG682" s="232"/>
      <c r="AH682" s="232"/>
      <c r="AI682" s="232"/>
      <c r="AJ682" s="232"/>
      <c r="AK682" s="232"/>
      <c r="AL682" s="232"/>
      <c r="AM682" s="232"/>
      <c r="AN682" s="232"/>
      <c r="AO682" s="231"/>
      <c r="AP682" s="231"/>
      <c r="AQ682" s="227"/>
      <c r="AR682" s="231"/>
      <c r="AS682" s="227"/>
      <c r="AT682" s="227"/>
      <c r="AU682" s="227"/>
      <c r="AV682" s="227"/>
    </row>
    <row r="683">
      <c r="A683" s="227"/>
      <c r="B683" s="232"/>
      <c r="C683" s="227"/>
      <c r="D683" s="227"/>
      <c r="E683" s="231"/>
      <c r="F683" s="232"/>
      <c r="G683" s="227"/>
      <c r="H683" s="227"/>
      <c r="I683" s="227"/>
      <c r="J683" s="227"/>
      <c r="K683" s="227"/>
      <c r="L683" s="232"/>
      <c r="M683" s="232"/>
      <c r="N683" s="227"/>
      <c r="O683" s="227"/>
      <c r="P683" s="231"/>
      <c r="Q683" s="227"/>
      <c r="R683" s="231"/>
      <c r="S683" s="231"/>
      <c r="T683" s="231"/>
      <c r="U683" s="231"/>
      <c r="V683" s="231"/>
      <c r="W683" s="231"/>
      <c r="X683" s="227"/>
      <c r="Y683" s="232"/>
      <c r="Z683" s="232"/>
      <c r="AA683" s="232"/>
      <c r="AB683" s="232"/>
      <c r="AC683" s="227"/>
      <c r="AD683" s="227"/>
      <c r="AE683" s="231"/>
      <c r="AF683" s="227"/>
      <c r="AG683" s="232"/>
      <c r="AH683" s="232"/>
      <c r="AI683" s="232"/>
      <c r="AJ683" s="232"/>
      <c r="AK683" s="232"/>
      <c r="AL683" s="232"/>
      <c r="AM683" s="232"/>
      <c r="AN683" s="232"/>
      <c r="AO683" s="231"/>
      <c r="AP683" s="231"/>
      <c r="AQ683" s="227"/>
      <c r="AR683" s="231"/>
      <c r="AS683" s="227"/>
      <c r="AT683" s="227"/>
      <c r="AU683" s="227"/>
      <c r="AV683" s="227"/>
    </row>
    <row r="684">
      <c r="A684" s="227"/>
      <c r="B684" s="232"/>
      <c r="C684" s="227"/>
      <c r="D684" s="227"/>
      <c r="E684" s="231"/>
      <c r="F684" s="232"/>
      <c r="G684" s="227"/>
      <c r="H684" s="227"/>
      <c r="I684" s="227"/>
      <c r="J684" s="227"/>
      <c r="K684" s="227"/>
      <c r="L684" s="232"/>
      <c r="M684" s="232"/>
      <c r="N684" s="227"/>
      <c r="O684" s="227"/>
      <c r="P684" s="231"/>
      <c r="Q684" s="227"/>
      <c r="R684" s="231"/>
      <c r="S684" s="231"/>
      <c r="T684" s="231"/>
      <c r="U684" s="231"/>
      <c r="V684" s="231"/>
      <c r="W684" s="231"/>
      <c r="X684" s="227"/>
      <c r="Y684" s="232"/>
      <c r="Z684" s="232"/>
      <c r="AA684" s="232"/>
      <c r="AB684" s="232"/>
      <c r="AC684" s="227"/>
      <c r="AD684" s="227"/>
      <c r="AE684" s="231"/>
      <c r="AF684" s="227"/>
      <c r="AG684" s="232"/>
      <c r="AH684" s="232"/>
      <c r="AI684" s="232"/>
      <c r="AJ684" s="232"/>
      <c r="AK684" s="232"/>
      <c r="AL684" s="232"/>
      <c r="AM684" s="232"/>
      <c r="AN684" s="232"/>
      <c r="AO684" s="231"/>
      <c r="AP684" s="231"/>
      <c r="AQ684" s="227"/>
      <c r="AR684" s="231"/>
      <c r="AS684" s="227"/>
      <c r="AT684" s="227"/>
      <c r="AU684" s="227"/>
      <c r="AV684" s="227"/>
    </row>
    <row r="685">
      <c r="A685" s="227"/>
      <c r="B685" s="232"/>
      <c r="C685" s="227"/>
      <c r="D685" s="227"/>
      <c r="E685" s="231"/>
      <c r="F685" s="232"/>
      <c r="G685" s="227"/>
      <c r="H685" s="227"/>
      <c r="I685" s="227"/>
      <c r="J685" s="227"/>
      <c r="K685" s="227"/>
      <c r="L685" s="232"/>
      <c r="M685" s="232"/>
      <c r="N685" s="227"/>
      <c r="O685" s="227"/>
      <c r="P685" s="231"/>
      <c r="Q685" s="227"/>
      <c r="R685" s="231"/>
      <c r="S685" s="231"/>
      <c r="T685" s="231"/>
      <c r="U685" s="231"/>
      <c r="V685" s="231"/>
      <c r="W685" s="231"/>
      <c r="X685" s="227"/>
      <c r="Y685" s="232"/>
      <c r="Z685" s="232"/>
      <c r="AA685" s="232"/>
      <c r="AB685" s="232"/>
      <c r="AC685" s="227"/>
      <c r="AD685" s="227"/>
      <c r="AE685" s="231"/>
      <c r="AF685" s="227"/>
      <c r="AG685" s="232"/>
      <c r="AH685" s="232"/>
      <c r="AI685" s="232"/>
      <c r="AJ685" s="232"/>
      <c r="AK685" s="232"/>
      <c r="AL685" s="232"/>
      <c r="AM685" s="232"/>
      <c r="AN685" s="232"/>
      <c r="AO685" s="231"/>
      <c r="AP685" s="231"/>
      <c r="AQ685" s="227"/>
      <c r="AR685" s="231"/>
      <c r="AS685" s="227"/>
      <c r="AT685" s="227"/>
      <c r="AU685" s="227"/>
      <c r="AV685" s="227"/>
    </row>
    <row r="686">
      <c r="A686" s="227"/>
      <c r="B686" s="232"/>
      <c r="C686" s="227"/>
      <c r="D686" s="227"/>
      <c r="E686" s="231"/>
      <c r="F686" s="232"/>
      <c r="G686" s="227"/>
      <c r="H686" s="227"/>
      <c r="I686" s="227"/>
      <c r="J686" s="227"/>
      <c r="K686" s="227"/>
      <c r="L686" s="232"/>
      <c r="M686" s="232"/>
      <c r="N686" s="227"/>
      <c r="O686" s="227"/>
      <c r="P686" s="231"/>
      <c r="Q686" s="227"/>
      <c r="R686" s="231"/>
      <c r="S686" s="231"/>
      <c r="T686" s="231"/>
      <c r="U686" s="231"/>
      <c r="V686" s="231"/>
      <c r="W686" s="231"/>
      <c r="X686" s="227"/>
      <c r="Y686" s="232"/>
      <c r="Z686" s="232"/>
      <c r="AA686" s="232"/>
      <c r="AB686" s="232"/>
      <c r="AC686" s="227"/>
      <c r="AD686" s="227"/>
      <c r="AE686" s="231"/>
      <c r="AF686" s="227"/>
      <c r="AG686" s="232"/>
      <c r="AH686" s="232"/>
      <c r="AI686" s="232"/>
      <c r="AJ686" s="232"/>
      <c r="AK686" s="232"/>
      <c r="AL686" s="232"/>
      <c r="AM686" s="232"/>
      <c r="AN686" s="232"/>
      <c r="AO686" s="231"/>
      <c r="AP686" s="231"/>
      <c r="AQ686" s="227"/>
      <c r="AR686" s="231"/>
      <c r="AS686" s="227"/>
      <c r="AT686" s="227"/>
      <c r="AU686" s="227"/>
      <c r="AV686" s="227"/>
    </row>
    <row r="687">
      <c r="A687" s="227"/>
      <c r="B687" s="232"/>
      <c r="C687" s="227"/>
      <c r="D687" s="227"/>
      <c r="E687" s="231"/>
      <c r="F687" s="232"/>
      <c r="G687" s="227"/>
      <c r="H687" s="227"/>
      <c r="I687" s="227"/>
      <c r="J687" s="227"/>
      <c r="K687" s="227"/>
      <c r="L687" s="232"/>
      <c r="M687" s="232"/>
      <c r="N687" s="227"/>
      <c r="O687" s="227"/>
      <c r="P687" s="231"/>
      <c r="Q687" s="227"/>
      <c r="R687" s="231"/>
      <c r="S687" s="231"/>
      <c r="T687" s="231"/>
      <c r="U687" s="231"/>
      <c r="V687" s="231"/>
      <c r="W687" s="231"/>
      <c r="X687" s="227"/>
      <c r="Y687" s="232"/>
      <c r="Z687" s="232"/>
      <c r="AA687" s="232"/>
      <c r="AB687" s="232"/>
      <c r="AC687" s="227"/>
      <c r="AD687" s="227"/>
      <c r="AE687" s="231"/>
      <c r="AF687" s="227"/>
      <c r="AG687" s="232"/>
      <c r="AH687" s="232"/>
      <c r="AI687" s="232"/>
      <c r="AJ687" s="232"/>
      <c r="AK687" s="232"/>
      <c r="AL687" s="232"/>
      <c r="AM687" s="232"/>
      <c r="AN687" s="232"/>
      <c r="AO687" s="231"/>
      <c r="AP687" s="231"/>
      <c r="AQ687" s="227"/>
      <c r="AR687" s="231"/>
      <c r="AS687" s="227"/>
      <c r="AT687" s="227"/>
      <c r="AU687" s="227"/>
      <c r="AV687" s="227"/>
    </row>
    <row r="688">
      <c r="A688" s="227"/>
      <c r="B688" s="232"/>
      <c r="C688" s="227"/>
      <c r="D688" s="227"/>
      <c r="E688" s="231"/>
      <c r="F688" s="232"/>
      <c r="G688" s="227"/>
      <c r="H688" s="227"/>
      <c r="I688" s="227"/>
      <c r="J688" s="227"/>
      <c r="K688" s="227"/>
      <c r="L688" s="232"/>
      <c r="M688" s="232"/>
      <c r="N688" s="227"/>
      <c r="O688" s="227"/>
      <c r="P688" s="231"/>
      <c r="Q688" s="227"/>
      <c r="R688" s="231"/>
      <c r="S688" s="231"/>
      <c r="T688" s="231"/>
      <c r="U688" s="231"/>
      <c r="V688" s="231"/>
      <c r="W688" s="231"/>
      <c r="X688" s="227"/>
      <c r="Y688" s="232"/>
      <c r="Z688" s="232"/>
      <c r="AA688" s="232"/>
      <c r="AB688" s="232"/>
      <c r="AC688" s="227"/>
      <c r="AD688" s="227"/>
      <c r="AE688" s="231"/>
      <c r="AF688" s="227"/>
      <c r="AG688" s="232"/>
      <c r="AH688" s="232"/>
      <c r="AI688" s="232"/>
      <c r="AJ688" s="232"/>
      <c r="AK688" s="232"/>
      <c r="AL688" s="232"/>
      <c r="AM688" s="232"/>
      <c r="AN688" s="232"/>
      <c r="AO688" s="231"/>
      <c r="AP688" s="231"/>
      <c r="AQ688" s="227"/>
      <c r="AR688" s="231"/>
      <c r="AS688" s="227"/>
      <c r="AT688" s="227"/>
      <c r="AU688" s="227"/>
      <c r="AV688" s="227"/>
    </row>
    <row r="689">
      <c r="A689" s="227"/>
      <c r="B689" s="232"/>
      <c r="C689" s="227"/>
      <c r="D689" s="227"/>
      <c r="E689" s="231"/>
      <c r="F689" s="232"/>
      <c r="G689" s="227"/>
      <c r="H689" s="227"/>
      <c r="I689" s="227"/>
      <c r="J689" s="227"/>
      <c r="K689" s="227"/>
      <c r="L689" s="232"/>
      <c r="M689" s="232"/>
      <c r="N689" s="227"/>
      <c r="O689" s="227"/>
      <c r="P689" s="231"/>
      <c r="Q689" s="227"/>
      <c r="R689" s="231"/>
      <c r="S689" s="231"/>
      <c r="T689" s="231"/>
      <c r="U689" s="231"/>
      <c r="V689" s="231"/>
      <c r="W689" s="231"/>
      <c r="X689" s="227"/>
      <c r="Y689" s="232"/>
      <c r="Z689" s="232"/>
      <c r="AA689" s="232"/>
      <c r="AB689" s="232"/>
      <c r="AC689" s="227"/>
      <c r="AD689" s="227"/>
      <c r="AE689" s="231"/>
      <c r="AF689" s="227"/>
      <c r="AG689" s="232"/>
      <c r="AH689" s="232"/>
      <c r="AI689" s="232"/>
      <c r="AJ689" s="232"/>
      <c r="AK689" s="232"/>
      <c r="AL689" s="232"/>
      <c r="AM689" s="232"/>
      <c r="AN689" s="232"/>
      <c r="AO689" s="231"/>
      <c r="AP689" s="231"/>
      <c r="AQ689" s="227"/>
      <c r="AR689" s="231"/>
      <c r="AS689" s="227"/>
      <c r="AT689" s="227"/>
      <c r="AU689" s="227"/>
      <c r="AV689" s="227"/>
    </row>
    <row r="690">
      <c r="A690" s="227"/>
      <c r="B690" s="232"/>
      <c r="C690" s="227"/>
      <c r="D690" s="227"/>
      <c r="E690" s="231"/>
      <c r="F690" s="232"/>
      <c r="G690" s="227"/>
      <c r="H690" s="227"/>
      <c r="I690" s="227"/>
      <c r="J690" s="227"/>
      <c r="K690" s="227"/>
      <c r="L690" s="232"/>
      <c r="M690" s="232"/>
      <c r="N690" s="227"/>
      <c r="O690" s="227"/>
      <c r="P690" s="231"/>
      <c r="Q690" s="227"/>
      <c r="R690" s="231"/>
      <c r="S690" s="231"/>
      <c r="T690" s="231"/>
      <c r="U690" s="231"/>
      <c r="V690" s="231"/>
      <c r="W690" s="231"/>
      <c r="X690" s="227"/>
      <c r="Y690" s="232"/>
      <c r="Z690" s="232"/>
      <c r="AA690" s="232"/>
      <c r="AB690" s="232"/>
      <c r="AC690" s="227"/>
      <c r="AD690" s="227"/>
      <c r="AE690" s="231"/>
      <c r="AF690" s="227"/>
      <c r="AG690" s="232"/>
      <c r="AH690" s="232"/>
      <c r="AI690" s="232"/>
      <c r="AJ690" s="232"/>
      <c r="AK690" s="232"/>
      <c r="AL690" s="232"/>
      <c r="AM690" s="232"/>
      <c r="AN690" s="232"/>
      <c r="AO690" s="231"/>
      <c r="AP690" s="231"/>
      <c r="AQ690" s="227"/>
      <c r="AR690" s="231"/>
      <c r="AS690" s="227"/>
      <c r="AT690" s="227"/>
      <c r="AU690" s="227"/>
      <c r="AV690" s="227"/>
    </row>
    <row r="691">
      <c r="A691" s="227"/>
      <c r="B691" s="232"/>
      <c r="C691" s="227"/>
      <c r="D691" s="227"/>
      <c r="E691" s="231"/>
      <c r="F691" s="232"/>
      <c r="G691" s="227"/>
      <c r="H691" s="227"/>
      <c r="I691" s="227"/>
      <c r="J691" s="227"/>
      <c r="K691" s="227"/>
      <c r="L691" s="232"/>
      <c r="M691" s="232"/>
      <c r="N691" s="227"/>
      <c r="O691" s="227"/>
      <c r="P691" s="231"/>
      <c r="Q691" s="227"/>
      <c r="R691" s="231"/>
      <c r="S691" s="231"/>
      <c r="T691" s="231"/>
      <c r="U691" s="231"/>
      <c r="V691" s="231"/>
      <c r="W691" s="231"/>
      <c r="X691" s="227"/>
      <c r="Y691" s="232"/>
      <c r="Z691" s="232"/>
      <c r="AA691" s="232"/>
      <c r="AB691" s="232"/>
      <c r="AC691" s="227"/>
      <c r="AD691" s="227"/>
      <c r="AE691" s="231"/>
      <c r="AF691" s="227"/>
      <c r="AG691" s="232"/>
      <c r="AH691" s="232"/>
      <c r="AI691" s="232"/>
      <c r="AJ691" s="232"/>
      <c r="AK691" s="232"/>
      <c r="AL691" s="232"/>
      <c r="AM691" s="232"/>
      <c r="AN691" s="232"/>
      <c r="AO691" s="231"/>
      <c r="AP691" s="231"/>
      <c r="AQ691" s="227"/>
      <c r="AR691" s="231"/>
      <c r="AS691" s="227"/>
      <c r="AT691" s="227"/>
      <c r="AU691" s="227"/>
      <c r="AV691" s="227"/>
    </row>
    <row r="692">
      <c r="A692" s="227"/>
      <c r="B692" s="232"/>
      <c r="C692" s="227"/>
      <c r="D692" s="227"/>
      <c r="E692" s="231"/>
      <c r="F692" s="232"/>
      <c r="G692" s="227"/>
      <c r="H692" s="227"/>
      <c r="I692" s="227"/>
      <c r="J692" s="227"/>
      <c r="K692" s="227"/>
      <c r="L692" s="232"/>
      <c r="M692" s="232"/>
      <c r="N692" s="227"/>
      <c r="O692" s="227"/>
      <c r="P692" s="231"/>
      <c r="Q692" s="227"/>
      <c r="R692" s="231"/>
      <c r="S692" s="231"/>
      <c r="T692" s="231"/>
      <c r="U692" s="231"/>
      <c r="V692" s="231"/>
      <c r="W692" s="231"/>
      <c r="X692" s="227"/>
      <c r="Y692" s="232"/>
      <c r="Z692" s="232"/>
      <c r="AA692" s="232"/>
      <c r="AB692" s="232"/>
      <c r="AC692" s="227"/>
      <c r="AD692" s="227"/>
      <c r="AE692" s="231"/>
      <c r="AF692" s="227"/>
      <c r="AG692" s="232"/>
      <c r="AH692" s="232"/>
      <c r="AI692" s="232"/>
      <c r="AJ692" s="232"/>
      <c r="AK692" s="232"/>
      <c r="AL692" s="232"/>
      <c r="AM692" s="232"/>
      <c r="AN692" s="232"/>
      <c r="AO692" s="231"/>
      <c r="AP692" s="231"/>
      <c r="AQ692" s="227"/>
      <c r="AR692" s="231"/>
      <c r="AS692" s="227"/>
      <c r="AT692" s="227"/>
      <c r="AU692" s="227"/>
      <c r="AV692" s="227"/>
    </row>
    <row r="693">
      <c r="A693" s="227"/>
      <c r="B693" s="232"/>
      <c r="C693" s="227"/>
      <c r="D693" s="227"/>
      <c r="E693" s="231"/>
      <c r="F693" s="232"/>
      <c r="G693" s="227"/>
      <c r="H693" s="227"/>
      <c r="I693" s="227"/>
      <c r="J693" s="227"/>
      <c r="K693" s="227"/>
      <c r="L693" s="232"/>
      <c r="M693" s="232"/>
      <c r="N693" s="227"/>
      <c r="O693" s="227"/>
      <c r="P693" s="231"/>
      <c r="Q693" s="227"/>
      <c r="R693" s="231"/>
      <c r="S693" s="231"/>
      <c r="T693" s="231"/>
      <c r="U693" s="231"/>
      <c r="V693" s="231"/>
      <c r="W693" s="231"/>
      <c r="X693" s="227"/>
      <c r="Y693" s="232"/>
      <c r="Z693" s="232"/>
      <c r="AA693" s="232"/>
      <c r="AB693" s="232"/>
      <c r="AC693" s="227"/>
      <c r="AD693" s="227"/>
      <c r="AE693" s="231"/>
      <c r="AF693" s="227"/>
      <c r="AG693" s="232"/>
      <c r="AH693" s="232"/>
      <c r="AI693" s="232"/>
      <c r="AJ693" s="232"/>
      <c r="AK693" s="232"/>
      <c r="AL693" s="232"/>
      <c r="AM693" s="232"/>
      <c r="AN693" s="232"/>
      <c r="AO693" s="231"/>
      <c r="AP693" s="231"/>
      <c r="AQ693" s="227"/>
      <c r="AR693" s="231"/>
      <c r="AS693" s="227"/>
      <c r="AT693" s="227"/>
      <c r="AU693" s="227"/>
      <c r="AV693" s="227"/>
    </row>
    <row r="694">
      <c r="A694" s="227"/>
      <c r="B694" s="232"/>
      <c r="C694" s="227"/>
      <c r="D694" s="227"/>
      <c r="E694" s="231"/>
      <c r="F694" s="232"/>
      <c r="G694" s="227"/>
      <c r="H694" s="227"/>
      <c r="I694" s="227"/>
      <c r="J694" s="227"/>
      <c r="K694" s="227"/>
      <c r="L694" s="232"/>
      <c r="M694" s="232"/>
      <c r="N694" s="227"/>
      <c r="O694" s="227"/>
      <c r="P694" s="231"/>
      <c r="Q694" s="227"/>
      <c r="R694" s="231"/>
      <c r="S694" s="231"/>
      <c r="T694" s="231"/>
      <c r="U694" s="231"/>
      <c r="V694" s="231"/>
      <c r="W694" s="231"/>
      <c r="X694" s="227"/>
      <c r="Y694" s="232"/>
      <c r="Z694" s="232"/>
      <c r="AA694" s="232"/>
      <c r="AB694" s="232"/>
      <c r="AC694" s="227"/>
      <c r="AD694" s="227"/>
      <c r="AE694" s="231"/>
      <c r="AF694" s="227"/>
      <c r="AG694" s="232"/>
      <c r="AH694" s="232"/>
      <c r="AI694" s="232"/>
      <c r="AJ694" s="232"/>
      <c r="AK694" s="232"/>
      <c r="AL694" s="232"/>
      <c r="AM694" s="232"/>
      <c r="AN694" s="232"/>
      <c r="AO694" s="231"/>
      <c r="AP694" s="231"/>
      <c r="AQ694" s="227"/>
      <c r="AR694" s="231"/>
      <c r="AS694" s="227"/>
      <c r="AT694" s="227"/>
      <c r="AU694" s="227"/>
      <c r="AV694" s="227"/>
    </row>
    <row r="695">
      <c r="A695" s="227"/>
      <c r="B695" s="232"/>
      <c r="C695" s="227"/>
      <c r="D695" s="227"/>
      <c r="E695" s="231"/>
      <c r="F695" s="232"/>
      <c r="G695" s="227"/>
      <c r="H695" s="227"/>
      <c r="I695" s="227"/>
      <c r="J695" s="227"/>
      <c r="K695" s="227"/>
      <c r="L695" s="232"/>
      <c r="M695" s="232"/>
      <c r="N695" s="227"/>
      <c r="O695" s="227"/>
      <c r="P695" s="231"/>
      <c r="Q695" s="227"/>
      <c r="R695" s="231"/>
      <c r="S695" s="231"/>
      <c r="T695" s="231"/>
      <c r="U695" s="231"/>
      <c r="V695" s="231"/>
      <c r="W695" s="231"/>
      <c r="X695" s="227"/>
      <c r="Y695" s="232"/>
      <c r="Z695" s="232"/>
      <c r="AA695" s="232"/>
      <c r="AB695" s="232"/>
      <c r="AC695" s="227"/>
      <c r="AD695" s="227"/>
      <c r="AE695" s="231"/>
      <c r="AF695" s="227"/>
      <c r="AG695" s="232"/>
      <c r="AH695" s="232"/>
      <c r="AI695" s="232"/>
      <c r="AJ695" s="232"/>
      <c r="AK695" s="232"/>
      <c r="AL695" s="232"/>
      <c r="AM695" s="232"/>
      <c r="AN695" s="232"/>
      <c r="AO695" s="231"/>
      <c r="AP695" s="231"/>
      <c r="AQ695" s="227"/>
      <c r="AR695" s="231"/>
      <c r="AS695" s="227"/>
      <c r="AT695" s="227"/>
      <c r="AU695" s="227"/>
      <c r="AV695" s="227"/>
    </row>
    <row r="696">
      <c r="A696" s="227"/>
      <c r="B696" s="232"/>
      <c r="C696" s="227"/>
      <c r="D696" s="227"/>
      <c r="E696" s="231"/>
      <c r="F696" s="232"/>
      <c r="G696" s="227"/>
      <c r="H696" s="227"/>
      <c r="I696" s="227"/>
      <c r="J696" s="227"/>
      <c r="K696" s="227"/>
      <c r="L696" s="232"/>
      <c r="M696" s="232"/>
      <c r="N696" s="227"/>
      <c r="O696" s="227"/>
      <c r="P696" s="231"/>
      <c r="Q696" s="227"/>
      <c r="R696" s="231"/>
      <c r="S696" s="231"/>
      <c r="T696" s="231"/>
      <c r="U696" s="231"/>
      <c r="V696" s="231"/>
      <c r="W696" s="231"/>
      <c r="X696" s="227"/>
      <c r="Y696" s="232"/>
      <c r="Z696" s="232"/>
      <c r="AA696" s="232"/>
      <c r="AB696" s="232"/>
      <c r="AC696" s="227"/>
      <c r="AD696" s="227"/>
      <c r="AE696" s="231"/>
      <c r="AF696" s="227"/>
      <c r="AG696" s="232"/>
      <c r="AH696" s="232"/>
      <c r="AI696" s="232"/>
      <c r="AJ696" s="232"/>
      <c r="AK696" s="232"/>
      <c r="AL696" s="232"/>
      <c r="AM696" s="232"/>
      <c r="AN696" s="232"/>
      <c r="AO696" s="231"/>
      <c r="AP696" s="231"/>
      <c r="AQ696" s="227"/>
      <c r="AR696" s="231"/>
      <c r="AS696" s="227"/>
      <c r="AT696" s="227"/>
      <c r="AU696" s="227"/>
      <c r="AV696" s="227"/>
    </row>
    <row r="697">
      <c r="A697" s="227"/>
      <c r="B697" s="232"/>
      <c r="C697" s="227"/>
      <c r="D697" s="227"/>
      <c r="E697" s="231"/>
      <c r="F697" s="232"/>
      <c r="G697" s="227"/>
      <c r="H697" s="227"/>
      <c r="I697" s="227"/>
      <c r="J697" s="227"/>
      <c r="K697" s="227"/>
      <c r="L697" s="232"/>
      <c r="M697" s="232"/>
      <c r="N697" s="227"/>
      <c r="O697" s="227"/>
      <c r="P697" s="231"/>
      <c r="Q697" s="227"/>
      <c r="R697" s="231"/>
      <c r="S697" s="231"/>
      <c r="T697" s="231"/>
      <c r="U697" s="231"/>
      <c r="V697" s="231"/>
      <c r="W697" s="231"/>
      <c r="X697" s="227"/>
      <c r="Y697" s="232"/>
      <c r="Z697" s="232"/>
      <c r="AA697" s="232"/>
      <c r="AB697" s="232"/>
      <c r="AC697" s="227"/>
      <c r="AD697" s="227"/>
      <c r="AE697" s="231"/>
      <c r="AF697" s="227"/>
      <c r="AG697" s="232"/>
      <c r="AH697" s="232"/>
      <c r="AI697" s="232"/>
      <c r="AJ697" s="232"/>
      <c r="AK697" s="232"/>
      <c r="AL697" s="232"/>
      <c r="AM697" s="232"/>
      <c r="AN697" s="232"/>
      <c r="AO697" s="231"/>
      <c r="AP697" s="231"/>
      <c r="AQ697" s="227"/>
      <c r="AR697" s="231"/>
      <c r="AS697" s="227"/>
      <c r="AT697" s="227"/>
      <c r="AU697" s="227"/>
      <c r="AV697" s="227"/>
    </row>
    <row r="698">
      <c r="A698" s="227"/>
      <c r="B698" s="232"/>
      <c r="C698" s="227"/>
      <c r="D698" s="227"/>
      <c r="E698" s="231"/>
      <c r="F698" s="232"/>
      <c r="G698" s="227"/>
      <c r="H698" s="227"/>
      <c r="I698" s="227"/>
      <c r="J698" s="227"/>
      <c r="K698" s="227"/>
      <c r="L698" s="232"/>
      <c r="M698" s="232"/>
      <c r="N698" s="227"/>
      <c r="O698" s="227"/>
      <c r="P698" s="231"/>
      <c r="Q698" s="227"/>
      <c r="R698" s="231"/>
      <c r="S698" s="231"/>
      <c r="T698" s="231"/>
      <c r="U698" s="231"/>
      <c r="V698" s="231"/>
      <c r="W698" s="231"/>
      <c r="X698" s="227"/>
      <c r="Y698" s="232"/>
      <c r="Z698" s="232"/>
      <c r="AA698" s="232"/>
      <c r="AB698" s="232"/>
      <c r="AC698" s="227"/>
      <c r="AD698" s="227"/>
      <c r="AE698" s="231"/>
      <c r="AF698" s="227"/>
      <c r="AG698" s="232"/>
      <c r="AH698" s="232"/>
      <c r="AI698" s="232"/>
      <c r="AJ698" s="232"/>
      <c r="AK698" s="232"/>
      <c r="AL698" s="232"/>
      <c r="AM698" s="232"/>
      <c r="AN698" s="232"/>
      <c r="AO698" s="231"/>
      <c r="AP698" s="231"/>
      <c r="AQ698" s="227"/>
      <c r="AR698" s="231"/>
      <c r="AS698" s="227"/>
      <c r="AT698" s="227"/>
      <c r="AU698" s="227"/>
      <c r="AV698" s="227"/>
    </row>
    <row r="699">
      <c r="A699" s="227"/>
      <c r="B699" s="232"/>
      <c r="C699" s="227"/>
      <c r="D699" s="227"/>
      <c r="E699" s="231"/>
      <c r="F699" s="232"/>
      <c r="G699" s="227"/>
      <c r="H699" s="227"/>
      <c r="I699" s="227"/>
      <c r="J699" s="227"/>
      <c r="K699" s="227"/>
      <c r="L699" s="232"/>
      <c r="M699" s="232"/>
      <c r="N699" s="227"/>
      <c r="O699" s="227"/>
      <c r="P699" s="231"/>
      <c r="Q699" s="227"/>
      <c r="R699" s="231"/>
      <c r="S699" s="231"/>
      <c r="T699" s="231"/>
      <c r="U699" s="231"/>
      <c r="V699" s="231"/>
      <c r="W699" s="231"/>
      <c r="X699" s="227"/>
      <c r="Y699" s="232"/>
      <c r="Z699" s="232"/>
      <c r="AA699" s="232"/>
      <c r="AB699" s="232"/>
      <c r="AC699" s="227"/>
      <c r="AD699" s="227"/>
      <c r="AE699" s="231"/>
      <c r="AF699" s="227"/>
      <c r="AG699" s="232"/>
      <c r="AH699" s="232"/>
      <c r="AI699" s="232"/>
      <c r="AJ699" s="232"/>
      <c r="AK699" s="232"/>
      <c r="AL699" s="232"/>
      <c r="AM699" s="232"/>
      <c r="AN699" s="232"/>
      <c r="AO699" s="231"/>
      <c r="AP699" s="231"/>
      <c r="AQ699" s="227"/>
      <c r="AR699" s="231"/>
      <c r="AS699" s="227"/>
      <c r="AT699" s="227"/>
      <c r="AU699" s="227"/>
      <c r="AV699" s="227"/>
    </row>
    <row r="700">
      <c r="A700" s="227"/>
      <c r="B700" s="232"/>
      <c r="C700" s="227"/>
      <c r="D700" s="227"/>
      <c r="E700" s="231"/>
      <c r="F700" s="232"/>
      <c r="G700" s="227"/>
      <c r="H700" s="227"/>
      <c r="I700" s="227"/>
      <c r="J700" s="227"/>
      <c r="K700" s="227"/>
      <c r="L700" s="232"/>
      <c r="M700" s="232"/>
      <c r="N700" s="227"/>
      <c r="O700" s="227"/>
      <c r="P700" s="231"/>
      <c r="Q700" s="227"/>
      <c r="R700" s="231"/>
      <c r="S700" s="231"/>
      <c r="T700" s="231"/>
      <c r="U700" s="231"/>
      <c r="V700" s="231"/>
      <c r="W700" s="231"/>
      <c r="X700" s="227"/>
      <c r="Y700" s="232"/>
      <c r="Z700" s="232"/>
      <c r="AA700" s="232"/>
      <c r="AB700" s="232"/>
      <c r="AC700" s="227"/>
      <c r="AD700" s="227"/>
      <c r="AE700" s="231"/>
      <c r="AF700" s="227"/>
      <c r="AG700" s="232"/>
      <c r="AH700" s="232"/>
      <c r="AI700" s="232"/>
      <c r="AJ700" s="232"/>
      <c r="AK700" s="232"/>
      <c r="AL700" s="232"/>
      <c r="AM700" s="232"/>
      <c r="AN700" s="232"/>
      <c r="AO700" s="231"/>
      <c r="AP700" s="231"/>
      <c r="AQ700" s="227"/>
      <c r="AR700" s="231"/>
      <c r="AS700" s="227"/>
      <c r="AT700" s="227"/>
      <c r="AU700" s="227"/>
      <c r="AV700" s="227"/>
    </row>
    <row r="701">
      <c r="A701" s="227"/>
      <c r="B701" s="232"/>
      <c r="C701" s="227"/>
      <c r="D701" s="227"/>
      <c r="E701" s="231"/>
      <c r="F701" s="232"/>
      <c r="G701" s="227"/>
      <c r="H701" s="227"/>
      <c r="I701" s="227"/>
      <c r="J701" s="227"/>
      <c r="K701" s="227"/>
      <c r="L701" s="232"/>
      <c r="M701" s="232"/>
      <c r="N701" s="227"/>
      <c r="O701" s="227"/>
      <c r="P701" s="231"/>
      <c r="Q701" s="227"/>
      <c r="R701" s="231"/>
      <c r="S701" s="231"/>
      <c r="T701" s="231"/>
      <c r="U701" s="231"/>
      <c r="V701" s="231"/>
      <c r="W701" s="231"/>
      <c r="X701" s="227"/>
      <c r="Y701" s="232"/>
      <c r="Z701" s="232"/>
      <c r="AA701" s="232"/>
      <c r="AB701" s="232"/>
      <c r="AC701" s="227"/>
      <c r="AD701" s="227"/>
      <c r="AE701" s="231"/>
      <c r="AF701" s="227"/>
      <c r="AG701" s="232"/>
      <c r="AH701" s="232"/>
      <c r="AI701" s="232"/>
      <c r="AJ701" s="232"/>
      <c r="AK701" s="232"/>
      <c r="AL701" s="232"/>
      <c r="AM701" s="232"/>
      <c r="AN701" s="232"/>
      <c r="AO701" s="231"/>
      <c r="AP701" s="231"/>
      <c r="AQ701" s="227"/>
      <c r="AR701" s="231"/>
      <c r="AS701" s="227"/>
      <c r="AT701" s="227"/>
      <c r="AU701" s="227"/>
      <c r="AV701" s="227"/>
    </row>
    <row r="702">
      <c r="A702" s="227"/>
      <c r="B702" s="232"/>
      <c r="C702" s="227"/>
      <c r="D702" s="227"/>
      <c r="E702" s="231"/>
      <c r="F702" s="232"/>
      <c r="G702" s="227"/>
      <c r="H702" s="227"/>
      <c r="I702" s="227"/>
      <c r="J702" s="227"/>
      <c r="K702" s="227"/>
      <c r="L702" s="232"/>
      <c r="M702" s="232"/>
      <c r="N702" s="227"/>
      <c r="O702" s="227"/>
      <c r="P702" s="231"/>
      <c r="Q702" s="227"/>
      <c r="R702" s="231"/>
      <c r="S702" s="231"/>
      <c r="T702" s="231"/>
      <c r="U702" s="231"/>
      <c r="V702" s="231"/>
      <c r="W702" s="231"/>
      <c r="X702" s="227"/>
      <c r="Y702" s="232"/>
      <c r="Z702" s="232"/>
      <c r="AA702" s="232"/>
      <c r="AB702" s="232"/>
      <c r="AC702" s="227"/>
      <c r="AD702" s="227"/>
      <c r="AE702" s="231"/>
      <c r="AF702" s="227"/>
      <c r="AG702" s="232"/>
      <c r="AH702" s="232"/>
      <c r="AI702" s="232"/>
      <c r="AJ702" s="232"/>
      <c r="AK702" s="232"/>
      <c r="AL702" s="232"/>
      <c r="AM702" s="232"/>
      <c r="AN702" s="232"/>
      <c r="AO702" s="231"/>
      <c r="AP702" s="231"/>
      <c r="AQ702" s="227"/>
      <c r="AR702" s="231"/>
      <c r="AS702" s="227"/>
      <c r="AT702" s="227"/>
      <c r="AU702" s="227"/>
      <c r="AV702" s="227"/>
    </row>
    <row r="703">
      <c r="A703" s="227"/>
      <c r="B703" s="232"/>
      <c r="C703" s="227"/>
      <c r="D703" s="227"/>
      <c r="E703" s="231"/>
      <c r="F703" s="232"/>
      <c r="G703" s="227"/>
      <c r="H703" s="227"/>
      <c r="I703" s="227"/>
      <c r="J703" s="227"/>
      <c r="K703" s="227"/>
      <c r="L703" s="232"/>
      <c r="M703" s="232"/>
      <c r="N703" s="227"/>
      <c r="O703" s="227"/>
      <c r="P703" s="231"/>
      <c r="Q703" s="227"/>
      <c r="R703" s="231"/>
      <c r="S703" s="231"/>
      <c r="T703" s="231"/>
      <c r="U703" s="231"/>
      <c r="V703" s="231"/>
      <c r="W703" s="231"/>
      <c r="X703" s="227"/>
      <c r="Y703" s="232"/>
      <c r="Z703" s="232"/>
      <c r="AA703" s="232"/>
      <c r="AB703" s="232"/>
      <c r="AC703" s="227"/>
      <c r="AD703" s="227"/>
      <c r="AE703" s="231"/>
      <c r="AF703" s="227"/>
      <c r="AG703" s="232"/>
      <c r="AH703" s="232"/>
      <c r="AI703" s="232"/>
      <c r="AJ703" s="232"/>
      <c r="AK703" s="232"/>
      <c r="AL703" s="232"/>
      <c r="AM703" s="232"/>
      <c r="AN703" s="232"/>
      <c r="AO703" s="231"/>
      <c r="AP703" s="231"/>
      <c r="AQ703" s="227"/>
      <c r="AR703" s="231"/>
      <c r="AS703" s="227"/>
      <c r="AT703" s="227"/>
      <c r="AU703" s="227"/>
      <c r="AV703" s="227"/>
    </row>
    <row r="704">
      <c r="A704" s="227"/>
      <c r="B704" s="232"/>
      <c r="C704" s="227"/>
      <c r="D704" s="227"/>
      <c r="E704" s="231"/>
      <c r="F704" s="232"/>
      <c r="G704" s="227"/>
      <c r="H704" s="227"/>
      <c r="I704" s="227"/>
      <c r="J704" s="227"/>
      <c r="K704" s="227"/>
      <c r="L704" s="232"/>
      <c r="M704" s="232"/>
      <c r="N704" s="227"/>
      <c r="O704" s="227"/>
      <c r="P704" s="231"/>
      <c r="Q704" s="227"/>
      <c r="R704" s="231"/>
      <c r="S704" s="231"/>
      <c r="T704" s="231"/>
      <c r="U704" s="231"/>
      <c r="V704" s="231"/>
      <c r="W704" s="231"/>
      <c r="X704" s="227"/>
      <c r="Y704" s="232"/>
      <c r="Z704" s="232"/>
      <c r="AA704" s="232"/>
      <c r="AB704" s="232"/>
      <c r="AC704" s="227"/>
      <c r="AD704" s="227"/>
      <c r="AE704" s="231"/>
      <c r="AF704" s="227"/>
      <c r="AG704" s="232"/>
      <c r="AH704" s="232"/>
      <c r="AI704" s="232"/>
      <c r="AJ704" s="232"/>
      <c r="AK704" s="232"/>
      <c r="AL704" s="232"/>
      <c r="AM704" s="232"/>
      <c r="AN704" s="232"/>
      <c r="AO704" s="231"/>
      <c r="AP704" s="231"/>
      <c r="AQ704" s="227"/>
      <c r="AR704" s="231"/>
      <c r="AS704" s="227"/>
      <c r="AT704" s="227"/>
      <c r="AU704" s="227"/>
      <c r="AV704" s="227"/>
    </row>
    <row r="705">
      <c r="A705" s="227"/>
      <c r="B705" s="232"/>
      <c r="C705" s="227"/>
      <c r="D705" s="227"/>
      <c r="E705" s="231"/>
      <c r="F705" s="232"/>
      <c r="G705" s="227"/>
      <c r="H705" s="227"/>
      <c r="I705" s="227"/>
      <c r="J705" s="227"/>
      <c r="K705" s="227"/>
      <c r="L705" s="232"/>
      <c r="M705" s="232"/>
      <c r="N705" s="227"/>
      <c r="O705" s="227"/>
      <c r="P705" s="231"/>
      <c r="Q705" s="227"/>
      <c r="R705" s="231"/>
      <c r="S705" s="231"/>
      <c r="T705" s="231"/>
      <c r="U705" s="231"/>
      <c r="V705" s="231"/>
      <c r="W705" s="231"/>
      <c r="X705" s="227"/>
      <c r="Y705" s="232"/>
      <c r="Z705" s="232"/>
      <c r="AA705" s="232"/>
      <c r="AB705" s="232"/>
      <c r="AC705" s="227"/>
      <c r="AD705" s="227"/>
      <c r="AE705" s="231"/>
      <c r="AF705" s="227"/>
      <c r="AG705" s="232"/>
      <c r="AH705" s="232"/>
      <c r="AI705" s="232"/>
      <c r="AJ705" s="232"/>
      <c r="AK705" s="232"/>
      <c r="AL705" s="232"/>
      <c r="AM705" s="232"/>
      <c r="AN705" s="232"/>
      <c r="AO705" s="231"/>
      <c r="AP705" s="231"/>
      <c r="AQ705" s="227"/>
      <c r="AR705" s="231"/>
      <c r="AS705" s="227"/>
      <c r="AT705" s="227"/>
      <c r="AU705" s="227"/>
      <c r="AV705" s="227"/>
    </row>
    <row r="706">
      <c r="A706" s="227"/>
      <c r="B706" s="232"/>
      <c r="C706" s="227"/>
      <c r="D706" s="227"/>
      <c r="E706" s="231"/>
      <c r="F706" s="232"/>
      <c r="G706" s="227"/>
      <c r="H706" s="227"/>
      <c r="I706" s="227"/>
      <c r="J706" s="227"/>
      <c r="K706" s="227"/>
      <c r="L706" s="232"/>
      <c r="M706" s="232"/>
      <c r="N706" s="227"/>
      <c r="O706" s="227"/>
      <c r="P706" s="231"/>
      <c r="Q706" s="227"/>
      <c r="R706" s="231"/>
      <c r="S706" s="231"/>
      <c r="T706" s="231"/>
      <c r="U706" s="231"/>
      <c r="V706" s="231"/>
      <c r="W706" s="231"/>
      <c r="X706" s="227"/>
      <c r="Y706" s="232"/>
      <c r="Z706" s="232"/>
      <c r="AA706" s="232"/>
      <c r="AB706" s="232"/>
      <c r="AC706" s="227"/>
      <c r="AD706" s="227"/>
      <c r="AE706" s="231"/>
      <c r="AF706" s="227"/>
      <c r="AG706" s="232"/>
      <c r="AH706" s="232"/>
      <c r="AI706" s="232"/>
      <c r="AJ706" s="232"/>
      <c r="AK706" s="232"/>
      <c r="AL706" s="232"/>
      <c r="AM706" s="232"/>
      <c r="AN706" s="232"/>
      <c r="AO706" s="231"/>
      <c r="AP706" s="231"/>
      <c r="AQ706" s="227"/>
      <c r="AR706" s="231"/>
      <c r="AS706" s="227"/>
      <c r="AT706" s="227"/>
      <c r="AU706" s="227"/>
      <c r="AV706" s="227"/>
    </row>
    <row r="707">
      <c r="A707" s="227"/>
      <c r="B707" s="232"/>
      <c r="C707" s="227"/>
      <c r="D707" s="227"/>
      <c r="E707" s="231"/>
      <c r="F707" s="232"/>
      <c r="G707" s="227"/>
      <c r="H707" s="227"/>
      <c r="I707" s="227"/>
      <c r="J707" s="227"/>
      <c r="K707" s="227"/>
      <c r="L707" s="232"/>
      <c r="M707" s="232"/>
      <c r="N707" s="227"/>
      <c r="O707" s="227"/>
      <c r="P707" s="231"/>
      <c r="Q707" s="227"/>
      <c r="R707" s="231"/>
      <c r="S707" s="231"/>
      <c r="T707" s="231"/>
      <c r="U707" s="231"/>
      <c r="V707" s="231"/>
      <c r="W707" s="231"/>
      <c r="X707" s="227"/>
      <c r="Y707" s="232"/>
      <c r="Z707" s="232"/>
      <c r="AA707" s="232"/>
      <c r="AB707" s="232"/>
      <c r="AC707" s="227"/>
      <c r="AD707" s="227"/>
      <c r="AE707" s="231"/>
      <c r="AF707" s="227"/>
      <c r="AG707" s="232"/>
      <c r="AH707" s="232"/>
      <c r="AI707" s="232"/>
      <c r="AJ707" s="232"/>
      <c r="AK707" s="232"/>
      <c r="AL707" s="232"/>
      <c r="AM707" s="232"/>
      <c r="AN707" s="232"/>
      <c r="AO707" s="231"/>
      <c r="AP707" s="231"/>
      <c r="AQ707" s="227"/>
      <c r="AR707" s="231"/>
      <c r="AS707" s="227"/>
      <c r="AT707" s="227"/>
      <c r="AU707" s="227"/>
      <c r="AV707" s="227"/>
    </row>
    <row r="708">
      <c r="A708" s="227"/>
      <c r="B708" s="232"/>
      <c r="C708" s="227"/>
      <c r="D708" s="227"/>
      <c r="E708" s="231"/>
      <c r="F708" s="232"/>
      <c r="G708" s="227"/>
      <c r="H708" s="227"/>
      <c r="I708" s="227"/>
      <c r="J708" s="227"/>
      <c r="K708" s="227"/>
      <c r="L708" s="232"/>
      <c r="M708" s="232"/>
      <c r="N708" s="227"/>
      <c r="O708" s="227"/>
      <c r="P708" s="231"/>
      <c r="Q708" s="227"/>
      <c r="R708" s="231"/>
      <c r="S708" s="231"/>
      <c r="T708" s="231"/>
      <c r="U708" s="231"/>
      <c r="V708" s="231"/>
      <c r="W708" s="231"/>
      <c r="X708" s="227"/>
      <c r="Y708" s="232"/>
      <c r="Z708" s="232"/>
      <c r="AA708" s="232"/>
      <c r="AB708" s="232"/>
      <c r="AC708" s="227"/>
      <c r="AD708" s="227"/>
      <c r="AE708" s="231"/>
      <c r="AF708" s="227"/>
      <c r="AG708" s="232"/>
      <c r="AH708" s="232"/>
      <c r="AI708" s="232"/>
      <c r="AJ708" s="232"/>
      <c r="AK708" s="232"/>
      <c r="AL708" s="232"/>
      <c r="AM708" s="232"/>
      <c r="AN708" s="232"/>
      <c r="AO708" s="231"/>
      <c r="AP708" s="231"/>
      <c r="AQ708" s="227"/>
      <c r="AR708" s="231"/>
      <c r="AS708" s="227"/>
      <c r="AT708" s="227"/>
      <c r="AU708" s="227"/>
      <c r="AV708" s="227"/>
    </row>
    <row r="709">
      <c r="A709" s="227"/>
      <c r="B709" s="232"/>
      <c r="C709" s="227"/>
      <c r="D709" s="227"/>
      <c r="E709" s="231"/>
      <c r="F709" s="232"/>
      <c r="G709" s="227"/>
      <c r="H709" s="227"/>
      <c r="I709" s="227"/>
      <c r="J709" s="227"/>
      <c r="K709" s="227"/>
      <c r="L709" s="232"/>
      <c r="M709" s="232"/>
      <c r="N709" s="227"/>
      <c r="O709" s="227"/>
      <c r="P709" s="231"/>
      <c r="Q709" s="227"/>
      <c r="R709" s="231"/>
      <c r="S709" s="231"/>
      <c r="T709" s="231"/>
      <c r="U709" s="231"/>
      <c r="V709" s="231"/>
      <c r="W709" s="231"/>
      <c r="X709" s="227"/>
      <c r="Y709" s="232"/>
      <c r="Z709" s="232"/>
      <c r="AA709" s="232"/>
      <c r="AB709" s="232"/>
      <c r="AC709" s="227"/>
      <c r="AD709" s="227"/>
      <c r="AE709" s="231"/>
      <c r="AF709" s="227"/>
      <c r="AG709" s="232"/>
      <c r="AH709" s="232"/>
      <c r="AI709" s="232"/>
      <c r="AJ709" s="232"/>
      <c r="AK709" s="232"/>
      <c r="AL709" s="232"/>
      <c r="AM709" s="232"/>
      <c r="AN709" s="232"/>
      <c r="AO709" s="231"/>
      <c r="AP709" s="231"/>
      <c r="AQ709" s="227"/>
      <c r="AR709" s="231"/>
      <c r="AS709" s="227"/>
      <c r="AT709" s="227"/>
      <c r="AU709" s="227"/>
      <c r="AV709" s="227"/>
    </row>
    <row r="710">
      <c r="A710" s="227"/>
      <c r="B710" s="232"/>
      <c r="C710" s="227"/>
      <c r="D710" s="227"/>
      <c r="E710" s="231"/>
      <c r="F710" s="232"/>
      <c r="G710" s="227"/>
      <c r="H710" s="227"/>
      <c r="I710" s="227"/>
      <c r="J710" s="227"/>
      <c r="K710" s="227"/>
      <c r="L710" s="232"/>
      <c r="M710" s="232"/>
      <c r="N710" s="227"/>
      <c r="O710" s="227"/>
      <c r="P710" s="231"/>
      <c r="Q710" s="227"/>
      <c r="R710" s="231"/>
      <c r="S710" s="231"/>
      <c r="T710" s="231"/>
      <c r="U710" s="231"/>
      <c r="V710" s="231"/>
      <c r="W710" s="231"/>
      <c r="X710" s="227"/>
      <c r="Y710" s="232"/>
      <c r="Z710" s="232"/>
      <c r="AA710" s="232"/>
      <c r="AB710" s="232"/>
      <c r="AC710" s="227"/>
      <c r="AD710" s="227"/>
      <c r="AE710" s="231"/>
      <c r="AF710" s="227"/>
      <c r="AG710" s="232"/>
      <c r="AH710" s="232"/>
      <c r="AI710" s="232"/>
      <c r="AJ710" s="232"/>
      <c r="AK710" s="232"/>
      <c r="AL710" s="232"/>
      <c r="AM710" s="232"/>
      <c r="AN710" s="232"/>
      <c r="AO710" s="231"/>
      <c r="AP710" s="231"/>
      <c r="AQ710" s="227"/>
      <c r="AR710" s="231"/>
      <c r="AS710" s="227"/>
      <c r="AT710" s="227"/>
      <c r="AU710" s="227"/>
      <c r="AV710" s="227"/>
    </row>
    <row r="711">
      <c r="A711" s="227"/>
      <c r="B711" s="232"/>
      <c r="C711" s="227"/>
      <c r="D711" s="227"/>
      <c r="E711" s="231"/>
      <c r="F711" s="232"/>
      <c r="G711" s="227"/>
      <c r="H711" s="227"/>
      <c r="I711" s="227"/>
      <c r="J711" s="227"/>
      <c r="K711" s="227"/>
      <c r="L711" s="232"/>
      <c r="M711" s="232"/>
      <c r="N711" s="227"/>
      <c r="O711" s="227"/>
      <c r="P711" s="231"/>
      <c r="Q711" s="227"/>
      <c r="R711" s="231"/>
      <c r="S711" s="231"/>
      <c r="T711" s="231"/>
      <c r="U711" s="231"/>
      <c r="V711" s="231"/>
      <c r="W711" s="231"/>
      <c r="X711" s="227"/>
      <c r="Y711" s="232"/>
      <c r="Z711" s="232"/>
      <c r="AA711" s="232"/>
      <c r="AB711" s="232"/>
      <c r="AC711" s="227"/>
      <c r="AD711" s="227"/>
      <c r="AE711" s="231"/>
      <c r="AF711" s="227"/>
      <c r="AG711" s="232"/>
      <c r="AH711" s="232"/>
      <c r="AI711" s="232"/>
      <c r="AJ711" s="232"/>
      <c r="AK711" s="232"/>
      <c r="AL711" s="232"/>
      <c r="AM711" s="232"/>
      <c r="AN711" s="232"/>
      <c r="AO711" s="231"/>
      <c r="AP711" s="231"/>
      <c r="AQ711" s="227"/>
      <c r="AR711" s="231"/>
      <c r="AS711" s="227"/>
      <c r="AT711" s="227"/>
      <c r="AU711" s="227"/>
      <c r="AV711" s="227"/>
    </row>
    <row r="712">
      <c r="A712" s="227"/>
      <c r="B712" s="232"/>
      <c r="C712" s="227"/>
      <c r="D712" s="227"/>
      <c r="E712" s="231"/>
      <c r="F712" s="232"/>
      <c r="G712" s="227"/>
      <c r="H712" s="227"/>
      <c r="I712" s="227"/>
      <c r="J712" s="227"/>
      <c r="K712" s="227"/>
      <c r="L712" s="232"/>
      <c r="M712" s="232"/>
      <c r="N712" s="227"/>
      <c r="O712" s="227"/>
      <c r="P712" s="231"/>
      <c r="Q712" s="227"/>
      <c r="R712" s="231"/>
      <c r="S712" s="231"/>
      <c r="T712" s="231"/>
      <c r="U712" s="231"/>
      <c r="V712" s="231"/>
      <c r="W712" s="231"/>
      <c r="X712" s="227"/>
      <c r="Y712" s="232"/>
      <c r="Z712" s="232"/>
      <c r="AA712" s="232"/>
      <c r="AB712" s="232"/>
      <c r="AC712" s="227"/>
      <c r="AD712" s="227"/>
      <c r="AE712" s="231"/>
      <c r="AF712" s="227"/>
      <c r="AG712" s="232"/>
      <c r="AH712" s="232"/>
      <c r="AI712" s="232"/>
      <c r="AJ712" s="232"/>
      <c r="AK712" s="232"/>
      <c r="AL712" s="232"/>
      <c r="AM712" s="232"/>
      <c r="AN712" s="232"/>
      <c r="AO712" s="231"/>
      <c r="AP712" s="231"/>
      <c r="AQ712" s="227"/>
      <c r="AR712" s="231"/>
      <c r="AS712" s="227"/>
      <c r="AT712" s="227"/>
      <c r="AU712" s="227"/>
      <c r="AV712" s="227"/>
    </row>
    <row r="713">
      <c r="A713" s="227"/>
      <c r="B713" s="232"/>
      <c r="C713" s="227"/>
      <c r="D713" s="227"/>
      <c r="E713" s="231"/>
      <c r="F713" s="232"/>
      <c r="G713" s="227"/>
      <c r="H713" s="227"/>
      <c r="I713" s="227"/>
      <c r="J713" s="227"/>
      <c r="K713" s="227"/>
      <c r="L713" s="232"/>
      <c r="M713" s="232"/>
      <c r="N713" s="227"/>
      <c r="O713" s="227"/>
      <c r="P713" s="231"/>
      <c r="Q713" s="227"/>
      <c r="R713" s="231"/>
      <c r="S713" s="231"/>
      <c r="T713" s="231"/>
      <c r="U713" s="231"/>
      <c r="V713" s="231"/>
      <c r="W713" s="231"/>
      <c r="X713" s="227"/>
      <c r="Y713" s="232"/>
      <c r="Z713" s="232"/>
      <c r="AA713" s="232"/>
      <c r="AB713" s="232"/>
      <c r="AC713" s="227"/>
      <c r="AD713" s="227"/>
      <c r="AE713" s="231"/>
      <c r="AF713" s="227"/>
      <c r="AG713" s="232"/>
      <c r="AH713" s="232"/>
      <c r="AI713" s="232"/>
      <c r="AJ713" s="232"/>
      <c r="AK713" s="232"/>
      <c r="AL713" s="232"/>
      <c r="AM713" s="232"/>
      <c r="AN713" s="232"/>
      <c r="AO713" s="231"/>
      <c r="AP713" s="231"/>
      <c r="AQ713" s="227"/>
      <c r="AR713" s="231"/>
      <c r="AS713" s="227"/>
      <c r="AT713" s="227"/>
      <c r="AU713" s="227"/>
      <c r="AV713" s="227"/>
    </row>
    <row r="714">
      <c r="A714" s="227"/>
      <c r="B714" s="232"/>
      <c r="C714" s="227"/>
      <c r="D714" s="227"/>
      <c r="E714" s="231"/>
      <c r="F714" s="232"/>
      <c r="G714" s="227"/>
      <c r="H714" s="227"/>
      <c r="I714" s="227"/>
      <c r="J714" s="227"/>
      <c r="K714" s="227"/>
      <c r="L714" s="232"/>
      <c r="M714" s="232"/>
      <c r="N714" s="227"/>
      <c r="O714" s="227"/>
      <c r="P714" s="231"/>
      <c r="Q714" s="227"/>
      <c r="R714" s="231"/>
      <c r="S714" s="231"/>
      <c r="T714" s="231"/>
      <c r="U714" s="231"/>
      <c r="V714" s="231"/>
      <c r="W714" s="231"/>
      <c r="X714" s="227"/>
      <c r="Y714" s="232"/>
      <c r="Z714" s="232"/>
      <c r="AA714" s="232"/>
      <c r="AB714" s="232"/>
      <c r="AC714" s="227"/>
      <c r="AD714" s="227"/>
      <c r="AE714" s="231"/>
      <c r="AF714" s="227"/>
      <c r="AG714" s="232"/>
      <c r="AH714" s="232"/>
      <c r="AI714" s="232"/>
      <c r="AJ714" s="232"/>
      <c r="AK714" s="232"/>
      <c r="AL714" s="232"/>
      <c r="AM714" s="232"/>
      <c r="AN714" s="232"/>
      <c r="AO714" s="231"/>
      <c r="AP714" s="231"/>
      <c r="AQ714" s="227"/>
      <c r="AR714" s="231"/>
      <c r="AS714" s="227"/>
      <c r="AT714" s="227"/>
      <c r="AU714" s="227"/>
      <c r="AV714" s="227"/>
    </row>
    <row r="715">
      <c r="A715" s="227"/>
      <c r="B715" s="232"/>
      <c r="C715" s="227"/>
      <c r="D715" s="227"/>
      <c r="E715" s="231"/>
      <c r="F715" s="232"/>
      <c r="G715" s="227"/>
      <c r="H715" s="227"/>
      <c r="I715" s="227"/>
      <c r="J715" s="227"/>
      <c r="K715" s="227"/>
      <c r="L715" s="232"/>
      <c r="M715" s="232"/>
      <c r="N715" s="227"/>
      <c r="O715" s="227"/>
      <c r="P715" s="231"/>
      <c r="Q715" s="227"/>
      <c r="R715" s="231"/>
      <c r="S715" s="231"/>
      <c r="T715" s="231"/>
      <c r="U715" s="231"/>
      <c r="V715" s="231"/>
      <c r="W715" s="231"/>
      <c r="X715" s="227"/>
      <c r="Y715" s="232"/>
      <c r="Z715" s="232"/>
      <c r="AA715" s="232"/>
      <c r="AB715" s="232"/>
      <c r="AC715" s="227"/>
      <c r="AD715" s="227"/>
      <c r="AE715" s="231"/>
      <c r="AF715" s="227"/>
      <c r="AG715" s="232"/>
      <c r="AH715" s="232"/>
      <c r="AI715" s="232"/>
      <c r="AJ715" s="232"/>
      <c r="AK715" s="232"/>
      <c r="AL715" s="232"/>
      <c r="AM715" s="232"/>
      <c r="AN715" s="232"/>
      <c r="AO715" s="231"/>
      <c r="AP715" s="231"/>
      <c r="AQ715" s="227"/>
      <c r="AR715" s="231"/>
      <c r="AS715" s="227"/>
      <c r="AT715" s="227"/>
      <c r="AU715" s="227"/>
      <c r="AV715" s="227"/>
    </row>
    <row r="716">
      <c r="A716" s="227"/>
      <c r="B716" s="232"/>
      <c r="C716" s="227"/>
      <c r="D716" s="227"/>
      <c r="E716" s="231"/>
      <c r="F716" s="232"/>
      <c r="G716" s="227"/>
      <c r="H716" s="227"/>
      <c r="I716" s="227"/>
      <c r="J716" s="227"/>
      <c r="K716" s="227"/>
      <c r="L716" s="232"/>
      <c r="M716" s="232"/>
      <c r="N716" s="227"/>
      <c r="O716" s="227"/>
      <c r="P716" s="231"/>
      <c r="Q716" s="227"/>
      <c r="R716" s="231"/>
      <c r="S716" s="231"/>
      <c r="T716" s="231"/>
      <c r="U716" s="231"/>
      <c r="V716" s="231"/>
      <c r="W716" s="231"/>
      <c r="X716" s="227"/>
      <c r="Y716" s="232"/>
      <c r="Z716" s="232"/>
      <c r="AA716" s="232"/>
      <c r="AB716" s="232"/>
      <c r="AC716" s="227"/>
      <c r="AD716" s="227"/>
      <c r="AE716" s="231"/>
      <c r="AF716" s="227"/>
      <c r="AG716" s="232"/>
      <c r="AH716" s="232"/>
      <c r="AI716" s="232"/>
      <c r="AJ716" s="232"/>
      <c r="AK716" s="232"/>
      <c r="AL716" s="232"/>
      <c r="AM716" s="232"/>
      <c r="AN716" s="232"/>
      <c r="AO716" s="231"/>
      <c r="AP716" s="231"/>
      <c r="AQ716" s="227"/>
      <c r="AR716" s="231"/>
      <c r="AS716" s="227"/>
      <c r="AT716" s="227"/>
      <c r="AU716" s="227"/>
      <c r="AV716" s="227"/>
    </row>
    <row r="717">
      <c r="A717" s="227"/>
      <c r="B717" s="232"/>
      <c r="C717" s="227"/>
      <c r="D717" s="227"/>
      <c r="E717" s="231"/>
      <c r="F717" s="232"/>
      <c r="G717" s="227"/>
      <c r="H717" s="227"/>
      <c r="I717" s="227"/>
      <c r="J717" s="227"/>
      <c r="K717" s="227"/>
      <c r="L717" s="232"/>
      <c r="M717" s="232"/>
      <c r="N717" s="227"/>
      <c r="O717" s="227"/>
      <c r="P717" s="231"/>
      <c r="Q717" s="227"/>
      <c r="R717" s="231"/>
      <c r="S717" s="231"/>
      <c r="T717" s="231"/>
      <c r="U717" s="231"/>
      <c r="V717" s="231"/>
      <c r="W717" s="231"/>
      <c r="X717" s="227"/>
      <c r="Y717" s="232"/>
      <c r="Z717" s="232"/>
      <c r="AA717" s="232"/>
      <c r="AB717" s="232"/>
      <c r="AC717" s="227"/>
      <c r="AD717" s="227"/>
      <c r="AE717" s="231"/>
      <c r="AF717" s="227"/>
      <c r="AG717" s="232"/>
      <c r="AH717" s="232"/>
      <c r="AI717" s="232"/>
      <c r="AJ717" s="232"/>
      <c r="AK717" s="232"/>
      <c r="AL717" s="232"/>
      <c r="AM717" s="232"/>
      <c r="AN717" s="232"/>
      <c r="AO717" s="231"/>
      <c r="AP717" s="231"/>
      <c r="AQ717" s="227"/>
      <c r="AR717" s="231"/>
      <c r="AS717" s="227"/>
      <c r="AT717" s="227"/>
      <c r="AU717" s="227"/>
      <c r="AV717" s="227"/>
    </row>
    <row r="718">
      <c r="A718" s="227"/>
      <c r="B718" s="232"/>
      <c r="C718" s="227"/>
      <c r="D718" s="227"/>
      <c r="E718" s="231"/>
      <c r="F718" s="232"/>
      <c r="G718" s="227"/>
      <c r="H718" s="227"/>
      <c r="I718" s="227"/>
      <c r="J718" s="227"/>
      <c r="K718" s="227"/>
      <c r="L718" s="232"/>
      <c r="M718" s="232"/>
      <c r="N718" s="227"/>
      <c r="O718" s="227"/>
      <c r="P718" s="231"/>
      <c r="Q718" s="227"/>
      <c r="R718" s="231"/>
      <c r="S718" s="231"/>
      <c r="T718" s="231"/>
      <c r="U718" s="231"/>
      <c r="V718" s="231"/>
      <c r="W718" s="231"/>
      <c r="X718" s="227"/>
      <c r="Y718" s="232"/>
      <c r="Z718" s="232"/>
      <c r="AA718" s="232"/>
      <c r="AB718" s="232"/>
      <c r="AC718" s="227"/>
      <c r="AD718" s="227"/>
      <c r="AE718" s="231"/>
      <c r="AF718" s="227"/>
      <c r="AG718" s="232"/>
      <c r="AH718" s="232"/>
      <c r="AI718" s="232"/>
      <c r="AJ718" s="232"/>
      <c r="AK718" s="232"/>
      <c r="AL718" s="232"/>
      <c r="AM718" s="232"/>
      <c r="AN718" s="232"/>
      <c r="AO718" s="231"/>
      <c r="AP718" s="231"/>
      <c r="AQ718" s="227"/>
      <c r="AR718" s="231"/>
      <c r="AS718" s="227"/>
      <c r="AT718" s="227"/>
      <c r="AU718" s="227"/>
      <c r="AV718" s="227"/>
    </row>
    <row r="719">
      <c r="A719" s="227"/>
      <c r="B719" s="232"/>
      <c r="C719" s="227"/>
      <c r="D719" s="227"/>
      <c r="E719" s="231"/>
      <c r="F719" s="232"/>
      <c r="G719" s="227"/>
      <c r="H719" s="227"/>
      <c r="I719" s="227"/>
      <c r="J719" s="227"/>
      <c r="K719" s="227"/>
      <c r="L719" s="232"/>
      <c r="M719" s="232"/>
      <c r="N719" s="227"/>
      <c r="O719" s="227"/>
      <c r="P719" s="231"/>
      <c r="Q719" s="227"/>
      <c r="R719" s="231"/>
      <c r="S719" s="231"/>
      <c r="T719" s="231"/>
      <c r="U719" s="231"/>
      <c r="V719" s="231"/>
      <c r="W719" s="231"/>
      <c r="X719" s="227"/>
      <c r="Y719" s="232"/>
      <c r="Z719" s="232"/>
      <c r="AA719" s="232"/>
      <c r="AB719" s="232"/>
      <c r="AC719" s="227"/>
      <c r="AD719" s="227"/>
      <c r="AE719" s="231"/>
      <c r="AF719" s="227"/>
      <c r="AG719" s="232"/>
      <c r="AH719" s="232"/>
      <c r="AI719" s="232"/>
      <c r="AJ719" s="232"/>
      <c r="AK719" s="232"/>
      <c r="AL719" s="232"/>
      <c r="AM719" s="232"/>
      <c r="AN719" s="232"/>
      <c r="AO719" s="231"/>
      <c r="AP719" s="231"/>
      <c r="AQ719" s="227"/>
      <c r="AR719" s="231"/>
      <c r="AS719" s="227"/>
      <c r="AT719" s="227"/>
      <c r="AU719" s="227"/>
      <c r="AV719" s="227"/>
    </row>
    <row r="720">
      <c r="A720" s="227"/>
      <c r="B720" s="232"/>
      <c r="C720" s="227"/>
      <c r="D720" s="227"/>
      <c r="E720" s="231"/>
      <c r="F720" s="232"/>
      <c r="G720" s="227"/>
      <c r="H720" s="227"/>
      <c r="I720" s="227"/>
      <c r="J720" s="227"/>
      <c r="K720" s="227"/>
      <c r="L720" s="232"/>
      <c r="M720" s="232"/>
      <c r="N720" s="227"/>
      <c r="O720" s="227"/>
      <c r="P720" s="231"/>
      <c r="Q720" s="227"/>
      <c r="R720" s="231"/>
      <c r="S720" s="231"/>
      <c r="T720" s="231"/>
      <c r="U720" s="231"/>
      <c r="V720" s="231"/>
      <c r="W720" s="231"/>
      <c r="X720" s="227"/>
      <c r="Y720" s="232"/>
      <c r="Z720" s="232"/>
      <c r="AA720" s="232"/>
      <c r="AB720" s="232"/>
      <c r="AC720" s="227"/>
      <c r="AD720" s="227"/>
      <c r="AE720" s="231"/>
      <c r="AF720" s="227"/>
      <c r="AG720" s="232"/>
      <c r="AH720" s="232"/>
      <c r="AI720" s="232"/>
      <c r="AJ720" s="232"/>
      <c r="AK720" s="232"/>
      <c r="AL720" s="232"/>
      <c r="AM720" s="232"/>
      <c r="AN720" s="232"/>
      <c r="AO720" s="231"/>
      <c r="AP720" s="231"/>
      <c r="AQ720" s="227"/>
      <c r="AR720" s="231"/>
      <c r="AS720" s="227"/>
      <c r="AT720" s="227"/>
      <c r="AU720" s="227"/>
      <c r="AV720" s="227"/>
    </row>
    <row r="721">
      <c r="A721" s="227"/>
      <c r="B721" s="232"/>
      <c r="C721" s="227"/>
      <c r="D721" s="227"/>
      <c r="E721" s="231"/>
      <c r="F721" s="232"/>
      <c r="G721" s="227"/>
      <c r="H721" s="227"/>
      <c r="I721" s="227"/>
      <c r="J721" s="227"/>
      <c r="K721" s="227"/>
      <c r="L721" s="232"/>
      <c r="M721" s="232"/>
      <c r="N721" s="227"/>
      <c r="O721" s="227"/>
      <c r="P721" s="231"/>
      <c r="Q721" s="227"/>
      <c r="R721" s="231"/>
      <c r="S721" s="231"/>
      <c r="T721" s="231"/>
      <c r="U721" s="231"/>
      <c r="V721" s="231"/>
      <c r="W721" s="231"/>
      <c r="X721" s="227"/>
      <c r="Y721" s="232"/>
      <c r="Z721" s="232"/>
      <c r="AA721" s="232"/>
      <c r="AB721" s="232"/>
      <c r="AC721" s="227"/>
      <c r="AD721" s="227"/>
      <c r="AE721" s="231"/>
      <c r="AF721" s="227"/>
      <c r="AG721" s="232"/>
      <c r="AH721" s="232"/>
      <c r="AI721" s="232"/>
      <c r="AJ721" s="232"/>
      <c r="AK721" s="232"/>
      <c r="AL721" s="232"/>
      <c r="AM721" s="232"/>
      <c r="AN721" s="232"/>
      <c r="AO721" s="231"/>
      <c r="AP721" s="231"/>
      <c r="AQ721" s="227"/>
      <c r="AR721" s="231"/>
      <c r="AS721" s="227"/>
      <c r="AT721" s="227"/>
      <c r="AU721" s="227"/>
      <c r="AV721" s="227"/>
    </row>
    <row r="722">
      <c r="A722" s="227"/>
      <c r="B722" s="232"/>
      <c r="C722" s="227"/>
      <c r="D722" s="227"/>
      <c r="E722" s="231"/>
      <c r="F722" s="232"/>
      <c r="G722" s="227"/>
      <c r="H722" s="227"/>
      <c r="I722" s="227"/>
      <c r="J722" s="227"/>
      <c r="K722" s="227"/>
      <c r="L722" s="232"/>
      <c r="M722" s="232"/>
      <c r="N722" s="227"/>
      <c r="O722" s="227"/>
      <c r="P722" s="231"/>
      <c r="Q722" s="227"/>
      <c r="R722" s="231"/>
      <c r="S722" s="231"/>
      <c r="T722" s="231"/>
      <c r="U722" s="231"/>
      <c r="V722" s="231"/>
      <c r="W722" s="231"/>
      <c r="X722" s="227"/>
      <c r="Y722" s="232"/>
      <c r="Z722" s="232"/>
      <c r="AA722" s="232"/>
      <c r="AB722" s="232"/>
      <c r="AC722" s="227"/>
      <c r="AD722" s="227"/>
      <c r="AE722" s="231"/>
      <c r="AF722" s="227"/>
      <c r="AG722" s="232"/>
      <c r="AH722" s="232"/>
      <c r="AI722" s="232"/>
      <c r="AJ722" s="232"/>
      <c r="AK722" s="232"/>
      <c r="AL722" s="232"/>
      <c r="AM722" s="232"/>
      <c r="AN722" s="232"/>
      <c r="AO722" s="231"/>
      <c r="AP722" s="231"/>
      <c r="AQ722" s="227"/>
      <c r="AR722" s="231"/>
      <c r="AS722" s="227"/>
      <c r="AT722" s="227"/>
      <c r="AU722" s="227"/>
      <c r="AV722" s="227"/>
    </row>
    <row r="723">
      <c r="A723" s="227"/>
      <c r="B723" s="232"/>
      <c r="C723" s="227"/>
      <c r="D723" s="227"/>
      <c r="E723" s="231"/>
      <c r="F723" s="232"/>
      <c r="G723" s="227"/>
      <c r="H723" s="227"/>
      <c r="I723" s="227"/>
      <c r="J723" s="227"/>
      <c r="K723" s="227"/>
      <c r="L723" s="232"/>
      <c r="M723" s="232"/>
      <c r="N723" s="227"/>
      <c r="O723" s="227"/>
      <c r="P723" s="231"/>
      <c r="Q723" s="227"/>
      <c r="R723" s="231"/>
      <c r="S723" s="231"/>
      <c r="T723" s="231"/>
      <c r="U723" s="231"/>
      <c r="V723" s="231"/>
      <c r="W723" s="231"/>
      <c r="X723" s="227"/>
      <c r="Y723" s="232"/>
      <c r="Z723" s="232"/>
      <c r="AA723" s="232"/>
      <c r="AB723" s="232"/>
      <c r="AC723" s="227"/>
      <c r="AD723" s="227"/>
      <c r="AE723" s="231"/>
      <c r="AF723" s="227"/>
      <c r="AG723" s="232"/>
      <c r="AH723" s="232"/>
      <c r="AI723" s="232"/>
      <c r="AJ723" s="232"/>
      <c r="AK723" s="232"/>
      <c r="AL723" s="232"/>
      <c r="AM723" s="232"/>
      <c r="AN723" s="232"/>
      <c r="AO723" s="231"/>
      <c r="AP723" s="231"/>
      <c r="AQ723" s="227"/>
      <c r="AR723" s="231"/>
      <c r="AS723" s="227"/>
      <c r="AT723" s="227"/>
      <c r="AU723" s="227"/>
      <c r="AV723" s="227"/>
    </row>
    <row r="724">
      <c r="A724" s="227"/>
      <c r="B724" s="232"/>
      <c r="C724" s="227"/>
      <c r="D724" s="227"/>
      <c r="E724" s="231"/>
      <c r="F724" s="232"/>
      <c r="G724" s="227"/>
      <c r="H724" s="227"/>
      <c r="I724" s="227"/>
      <c r="J724" s="227"/>
      <c r="K724" s="227"/>
      <c r="L724" s="232"/>
      <c r="M724" s="232"/>
      <c r="N724" s="227"/>
      <c r="O724" s="227"/>
      <c r="P724" s="231"/>
      <c r="Q724" s="227"/>
      <c r="R724" s="231"/>
      <c r="S724" s="231"/>
      <c r="T724" s="231"/>
      <c r="U724" s="231"/>
      <c r="V724" s="231"/>
      <c r="W724" s="231"/>
      <c r="X724" s="227"/>
      <c r="Y724" s="232"/>
      <c r="Z724" s="232"/>
      <c r="AA724" s="232"/>
      <c r="AB724" s="232"/>
      <c r="AC724" s="227"/>
      <c r="AD724" s="227"/>
      <c r="AE724" s="231"/>
      <c r="AF724" s="227"/>
      <c r="AG724" s="232"/>
      <c r="AH724" s="232"/>
      <c r="AI724" s="232"/>
      <c r="AJ724" s="232"/>
      <c r="AK724" s="232"/>
      <c r="AL724" s="232"/>
      <c r="AM724" s="232"/>
      <c r="AN724" s="232"/>
      <c r="AO724" s="231"/>
      <c r="AP724" s="231"/>
      <c r="AQ724" s="227"/>
      <c r="AR724" s="231"/>
      <c r="AS724" s="227"/>
      <c r="AT724" s="227"/>
      <c r="AU724" s="227"/>
      <c r="AV724" s="227"/>
    </row>
    <row r="725">
      <c r="A725" s="227"/>
      <c r="B725" s="232"/>
      <c r="C725" s="227"/>
      <c r="D725" s="227"/>
      <c r="E725" s="231"/>
      <c r="F725" s="232"/>
      <c r="G725" s="227"/>
      <c r="H725" s="227"/>
      <c r="I725" s="227"/>
      <c r="J725" s="227"/>
      <c r="K725" s="227"/>
      <c r="L725" s="232"/>
      <c r="M725" s="232"/>
      <c r="N725" s="227"/>
      <c r="O725" s="227"/>
      <c r="P725" s="231"/>
      <c r="Q725" s="227"/>
      <c r="R725" s="231"/>
      <c r="S725" s="231"/>
      <c r="T725" s="231"/>
      <c r="U725" s="231"/>
      <c r="V725" s="231"/>
      <c r="W725" s="231"/>
      <c r="X725" s="227"/>
      <c r="Y725" s="232"/>
      <c r="Z725" s="232"/>
      <c r="AA725" s="232"/>
      <c r="AB725" s="232"/>
      <c r="AC725" s="227"/>
      <c r="AD725" s="227"/>
      <c r="AE725" s="231"/>
      <c r="AF725" s="227"/>
      <c r="AG725" s="232"/>
      <c r="AH725" s="232"/>
      <c r="AI725" s="232"/>
      <c r="AJ725" s="232"/>
      <c r="AK725" s="232"/>
      <c r="AL725" s="232"/>
      <c r="AM725" s="232"/>
      <c r="AN725" s="232"/>
      <c r="AO725" s="231"/>
      <c r="AP725" s="231"/>
      <c r="AQ725" s="227"/>
      <c r="AR725" s="231"/>
      <c r="AS725" s="227"/>
      <c r="AT725" s="227"/>
      <c r="AU725" s="227"/>
      <c r="AV725" s="227"/>
    </row>
    <row r="726">
      <c r="A726" s="227"/>
      <c r="B726" s="232"/>
      <c r="C726" s="227"/>
      <c r="D726" s="227"/>
      <c r="E726" s="231"/>
      <c r="F726" s="232"/>
      <c r="G726" s="227"/>
      <c r="H726" s="227"/>
      <c r="I726" s="227"/>
      <c r="J726" s="227"/>
      <c r="K726" s="227"/>
      <c r="L726" s="232"/>
      <c r="M726" s="232"/>
      <c r="N726" s="227"/>
      <c r="O726" s="227"/>
      <c r="P726" s="231"/>
      <c r="Q726" s="227"/>
      <c r="R726" s="231"/>
      <c r="S726" s="231"/>
      <c r="T726" s="231"/>
      <c r="U726" s="231"/>
      <c r="V726" s="231"/>
      <c r="W726" s="231"/>
      <c r="X726" s="227"/>
      <c r="Y726" s="232"/>
      <c r="Z726" s="232"/>
      <c r="AA726" s="232"/>
      <c r="AB726" s="232"/>
      <c r="AC726" s="227"/>
      <c r="AD726" s="227"/>
      <c r="AE726" s="231"/>
      <c r="AF726" s="227"/>
      <c r="AG726" s="232"/>
      <c r="AH726" s="232"/>
      <c r="AI726" s="232"/>
      <c r="AJ726" s="232"/>
      <c r="AK726" s="232"/>
      <c r="AL726" s="232"/>
      <c r="AM726" s="232"/>
      <c r="AN726" s="232"/>
      <c r="AO726" s="231"/>
      <c r="AP726" s="231"/>
      <c r="AQ726" s="227"/>
      <c r="AR726" s="231"/>
      <c r="AS726" s="227"/>
      <c r="AT726" s="227"/>
      <c r="AU726" s="227"/>
      <c r="AV726" s="227"/>
    </row>
    <row r="727">
      <c r="A727" s="227"/>
      <c r="B727" s="232"/>
      <c r="C727" s="227"/>
      <c r="D727" s="227"/>
      <c r="E727" s="231"/>
      <c r="F727" s="232"/>
      <c r="G727" s="227"/>
      <c r="H727" s="227"/>
      <c r="I727" s="227"/>
      <c r="J727" s="227"/>
      <c r="K727" s="227"/>
      <c r="L727" s="232"/>
      <c r="M727" s="232"/>
      <c r="N727" s="227"/>
      <c r="O727" s="227"/>
      <c r="P727" s="231"/>
      <c r="Q727" s="227"/>
      <c r="R727" s="231"/>
      <c r="S727" s="231"/>
      <c r="T727" s="231"/>
      <c r="U727" s="231"/>
      <c r="V727" s="231"/>
      <c r="W727" s="231"/>
      <c r="X727" s="227"/>
      <c r="Y727" s="232"/>
      <c r="Z727" s="232"/>
      <c r="AA727" s="232"/>
      <c r="AB727" s="232"/>
      <c r="AC727" s="227"/>
      <c r="AD727" s="227"/>
      <c r="AE727" s="231"/>
      <c r="AF727" s="227"/>
      <c r="AG727" s="232"/>
      <c r="AH727" s="232"/>
      <c r="AI727" s="232"/>
      <c r="AJ727" s="232"/>
      <c r="AK727" s="232"/>
      <c r="AL727" s="232"/>
      <c r="AM727" s="232"/>
      <c r="AN727" s="232"/>
      <c r="AO727" s="231"/>
      <c r="AP727" s="231"/>
      <c r="AQ727" s="227"/>
      <c r="AR727" s="231"/>
      <c r="AS727" s="227"/>
      <c r="AT727" s="227"/>
      <c r="AU727" s="227"/>
      <c r="AV727" s="227"/>
    </row>
    <row r="728">
      <c r="A728" s="227"/>
      <c r="B728" s="232"/>
      <c r="C728" s="227"/>
      <c r="D728" s="227"/>
      <c r="E728" s="231"/>
      <c r="F728" s="232"/>
      <c r="G728" s="227"/>
      <c r="H728" s="227"/>
      <c r="I728" s="227"/>
      <c r="J728" s="227"/>
      <c r="K728" s="227"/>
      <c r="L728" s="232"/>
      <c r="M728" s="232"/>
      <c r="N728" s="227"/>
      <c r="O728" s="227"/>
      <c r="P728" s="231"/>
      <c r="Q728" s="227"/>
      <c r="R728" s="231"/>
      <c r="S728" s="231"/>
      <c r="T728" s="231"/>
      <c r="U728" s="231"/>
      <c r="V728" s="231"/>
      <c r="W728" s="231"/>
      <c r="X728" s="227"/>
      <c r="Y728" s="232"/>
      <c r="Z728" s="232"/>
      <c r="AA728" s="232"/>
      <c r="AB728" s="232"/>
      <c r="AC728" s="227"/>
      <c r="AD728" s="227"/>
      <c r="AE728" s="231"/>
      <c r="AF728" s="227"/>
      <c r="AG728" s="232"/>
      <c r="AH728" s="232"/>
      <c r="AI728" s="232"/>
      <c r="AJ728" s="232"/>
      <c r="AK728" s="232"/>
      <c r="AL728" s="232"/>
      <c r="AM728" s="232"/>
      <c r="AN728" s="232"/>
      <c r="AO728" s="231"/>
      <c r="AP728" s="231"/>
      <c r="AQ728" s="227"/>
      <c r="AR728" s="231"/>
      <c r="AS728" s="227"/>
      <c r="AT728" s="227"/>
      <c r="AU728" s="227"/>
      <c r="AV728" s="227"/>
    </row>
    <row r="729">
      <c r="A729" s="227"/>
      <c r="B729" s="232"/>
      <c r="C729" s="227"/>
      <c r="D729" s="227"/>
      <c r="E729" s="231"/>
      <c r="F729" s="232"/>
      <c r="G729" s="227"/>
      <c r="H729" s="227"/>
      <c r="I729" s="227"/>
      <c r="J729" s="227"/>
      <c r="K729" s="227"/>
      <c r="L729" s="232"/>
      <c r="M729" s="232"/>
      <c r="N729" s="227"/>
      <c r="O729" s="227"/>
      <c r="P729" s="231"/>
      <c r="Q729" s="227"/>
      <c r="R729" s="231"/>
      <c r="S729" s="231"/>
      <c r="T729" s="231"/>
      <c r="U729" s="231"/>
      <c r="V729" s="231"/>
      <c r="W729" s="231"/>
      <c r="X729" s="227"/>
      <c r="Y729" s="232"/>
      <c r="Z729" s="232"/>
      <c r="AA729" s="232"/>
      <c r="AB729" s="232"/>
      <c r="AC729" s="227"/>
      <c r="AD729" s="227"/>
      <c r="AE729" s="231"/>
      <c r="AF729" s="227"/>
      <c r="AG729" s="232"/>
      <c r="AH729" s="232"/>
      <c r="AI729" s="232"/>
      <c r="AJ729" s="232"/>
      <c r="AK729" s="232"/>
      <c r="AL729" s="232"/>
      <c r="AM729" s="232"/>
      <c r="AN729" s="232"/>
      <c r="AO729" s="231"/>
      <c r="AP729" s="231"/>
      <c r="AQ729" s="227"/>
      <c r="AR729" s="231"/>
      <c r="AS729" s="227"/>
      <c r="AT729" s="227"/>
      <c r="AU729" s="227"/>
      <c r="AV729" s="227"/>
    </row>
    <row r="730">
      <c r="A730" s="227"/>
      <c r="B730" s="232"/>
      <c r="C730" s="227"/>
      <c r="D730" s="227"/>
      <c r="E730" s="231"/>
      <c r="F730" s="232"/>
      <c r="G730" s="227"/>
      <c r="H730" s="227"/>
      <c r="I730" s="227"/>
      <c r="J730" s="227"/>
      <c r="K730" s="227"/>
      <c r="L730" s="232"/>
      <c r="M730" s="232"/>
      <c r="N730" s="227"/>
      <c r="O730" s="227"/>
      <c r="P730" s="231"/>
      <c r="Q730" s="227"/>
      <c r="R730" s="231"/>
      <c r="S730" s="231"/>
      <c r="T730" s="231"/>
      <c r="U730" s="231"/>
      <c r="V730" s="231"/>
      <c r="W730" s="231"/>
      <c r="X730" s="227"/>
      <c r="Y730" s="232"/>
      <c r="Z730" s="232"/>
      <c r="AA730" s="232"/>
      <c r="AB730" s="232"/>
      <c r="AC730" s="227"/>
      <c r="AD730" s="227"/>
      <c r="AE730" s="231"/>
      <c r="AF730" s="227"/>
      <c r="AG730" s="232"/>
      <c r="AH730" s="232"/>
      <c r="AI730" s="232"/>
      <c r="AJ730" s="232"/>
      <c r="AK730" s="232"/>
      <c r="AL730" s="232"/>
      <c r="AM730" s="232"/>
      <c r="AN730" s="232"/>
      <c r="AO730" s="231"/>
      <c r="AP730" s="231"/>
      <c r="AQ730" s="227"/>
      <c r="AR730" s="231"/>
      <c r="AS730" s="227"/>
      <c r="AT730" s="227"/>
      <c r="AU730" s="227"/>
      <c r="AV730" s="227"/>
    </row>
    <row r="731">
      <c r="A731" s="227"/>
      <c r="B731" s="232"/>
      <c r="C731" s="227"/>
      <c r="D731" s="227"/>
      <c r="E731" s="231"/>
      <c r="F731" s="232"/>
      <c r="G731" s="227"/>
      <c r="H731" s="227"/>
      <c r="I731" s="227"/>
      <c r="J731" s="227"/>
      <c r="K731" s="227"/>
      <c r="L731" s="232"/>
      <c r="M731" s="232"/>
      <c r="N731" s="227"/>
      <c r="O731" s="227"/>
      <c r="P731" s="231"/>
      <c r="Q731" s="227"/>
      <c r="R731" s="231"/>
      <c r="S731" s="231"/>
      <c r="T731" s="231"/>
      <c r="U731" s="231"/>
      <c r="V731" s="231"/>
      <c r="W731" s="231"/>
      <c r="X731" s="227"/>
      <c r="Y731" s="232"/>
      <c r="Z731" s="232"/>
      <c r="AA731" s="232"/>
      <c r="AB731" s="232"/>
      <c r="AC731" s="227"/>
      <c r="AD731" s="227"/>
      <c r="AE731" s="231"/>
      <c r="AF731" s="227"/>
      <c r="AG731" s="232"/>
      <c r="AH731" s="232"/>
      <c r="AI731" s="232"/>
      <c r="AJ731" s="232"/>
      <c r="AK731" s="232"/>
      <c r="AL731" s="232"/>
      <c r="AM731" s="232"/>
      <c r="AN731" s="232"/>
      <c r="AO731" s="231"/>
      <c r="AP731" s="231"/>
      <c r="AQ731" s="227"/>
      <c r="AR731" s="231"/>
      <c r="AS731" s="227"/>
      <c r="AT731" s="227"/>
      <c r="AU731" s="227"/>
      <c r="AV731" s="227"/>
    </row>
    <row r="732">
      <c r="A732" s="227"/>
      <c r="B732" s="232"/>
      <c r="C732" s="227"/>
      <c r="D732" s="227"/>
      <c r="E732" s="231"/>
      <c r="F732" s="232"/>
      <c r="G732" s="227"/>
      <c r="H732" s="227"/>
      <c r="I732" s="227"/>
      <c r="J732" s="227"/>
      <c r="K732" s="227"/>
      <c r="L732" s="232"/>
      <c r="M732" s="232"/>
      <c r="N732" s="227"/>
      <c r="O732" s="227"/>
      <c r="P732" s="231"/>
      <c r="Q732" s="227"/>
      <c r="R732" s="231"/>
      <c r="S732" s="231"/>
      <c r="T732" s="231"/>
      <c r="U732" s="231"/>
      <c r="V732" s="231"/>
      <c r="W732" s="231"/>
      <c r="X732" s="227"/>
      <c r="Y732" s="232"/>
      <c r="Z732" s="232"/>
      <c r="AA732" s="232"/>
      <c r="AB732" s="232"/>
      <c r="AC732" s="227"/>
      <c r="AD732" s="227"/>
      <c r="AE732" s="231"/>
      <c r="AF732" s="227"/>
      <c r="AG732" s="232"/>
      <c r="AH732" s="232"/>
      <c r="AI732" s="232"/>
      <c r="AJ732" s="232"/>
      <c r="AK732" s="232"/>
      <c r="AL732" s="232"/>
      <c r="AM732" s="232"/>
      <c r="AN732" s="232"/>
      <c r="AO732" s="231"/>
      <c r="AP732" s="231"/>
      <c r="AQ732" s="227"/>
      <c r="AR732" s="231"/>
      <c r="AS732" s="227"/>
      <c r="AT732" s="227"/>
      <c r="AU732" s="227"/>
      <c r="AV732" s="227"/>
    </row>
    <row r="733">
      <c r="A733" s="227"/>
      <c r="B733" s="232"/>
      <c r="C733" s="227"/>
      <c r="D733" s="227"/>
      <c r="E733" s="231"/>
      <c r="F733" s="232"/>
      <c r="G733" s="227"/>
      <c r="H733" s="227"/>
      <c r="I733" s="227"/>
      <c r="J733" s="227"/>
      <c r="K733" s="227"/>
      <c r="L733" s="232"/>
      <c r="M733" s="232"/>
      <c r="N733" s="227"/>
      <c r="O733" s="227"/>
      <c r="P733" s="231"/>
      <c r="Q733" s="227"/>
      <c r="R733" s="231"/>
      <c r="S733" s="231"/>
      <c r="T733" s="231"/>
      <c r="U733" s="231"/>
      <c r="V733" s="231"/>
      <c r="W733" s="231"/>
      <c r="X733" s="227"/>
      <c r="Y733" s="232"/>
      <c r="Z733" s="232"/>
      <c r="AA733" s="232"/>
      <c r="AB733" s="232"/>
      <c r="AC733" s="227"/>
      <c r="AD733" s="227"/>
      <c r="AE733" s="231"/>
      <c r="AF733" s="227"/>
      <c r="AG733" s="232"/>
      <c r="AH733" s="232"/>
      <c r="AI733" s="232"/>
      <c r="AJ733" s="232"/>
      <c r="AK733" s="232"/>
      <c r="AL733" s="232"/>
      <c r="AM733" s="232"/>
      <c r="AN733" s="232"/>
      <c r="AO733" s="231"/>
      <c r="AP733" s="231"/>
      <c r="AQ733" s="227"/>
      <c r="AR733" s="231"/>
      <c r="AS733" s="227"/>
      <c r="AT733" s="227"/>
      <c r="AU733" s="227"/>
      <c r="AV733" s="227"/>
    </row>
    <row r="734">
      <c r="A734" s="227"/>
      <c r="B734" s="232"/>
      <c r="C734" s="227"/>
      <c r="D734" s="227"/>
      <c r="E734" s="231"/>
      <c r="F734" s="232"/>
      <c r="G734" s="227"/>
      <c r="H734" s="227"/>
      <c r="I734" s="227"/>
      <c r="J734" s="227"/>
      <c r="K734" s="227"/>
      <c r="L734" s="232"/>
      <c r="M734" s="232"/>
      <c r="N734" s="227"/>
      <c r="O734" s="227"/>
      <c r="P734" s="231"/>
      <c r="Q734" s="227"/>
      <c r="R734" s="231"/>
      <c r="S734" s="231"/>
      <c r="T734" s="231"/>
      <c r="U734" s="231"/>
      <c r="V734" s="231"/>
      <c r="W734" s="231"/>
      <c r="X734" s="227"/>
      <c r="Y734" s="232"/>
      <c r="Z734" s="232"/>
      <c r="AA734" s="232"/>
      <c r="AB734" s="232"/>
      <c r="AC734" s="227"/>
      <c r="AD734" s="227"/>
      <c r="AE734" s="231"/>
      <c r="AF734" s="227"/>
      <c r="AG734" s="232"/>
      <c r="AH734" s="232"/>
      <c r="AI734" s="232"/>
      <c r="AJ734" s="232"/>
      <c r="AK734" s="232"/>
      <c r="AL734" s="232"/>
      <c r="AM734" s="232"/>
      <c r="AN734" s="232"/>
      <c r="AO734" s="231"/>
      <c r="AP734" s="231"/>
      <c r="AQ734" s="227"/>
      <c r="AR734" s="231"/>
      <c r="AS734" s="227"/>
      <c r="AT734" s="227"/>
      <c r="AU734" s="227"/>
      <c r="AV734" s="227"/>
    </row>
    <row r="735">
      <c r="A735" s="227"/>
      <c r="B735" s="232"/>
      <c r="C735" s="227"/>
      <c r="D735" s="227"/>
      <c r="E735" s="231"/>
      <c r="F735" s="232"/>
      <c r="G735" s="227"/>
      <c r="H735" s="227"/>
      <c r="I735" s="227"/>
      <c r="J735" s="227"/>
      <c r="K735" s="227"/>
      <c r="L735" s="232"/>
      <c r="M735" s="232"/>
      <c r="N735" s="227"/>
      <c r="O735" s="227"/>
      <c r="P735" s="231"/>
      <c r="Q735" s="227"/>
      <c r="R735" s="231"/>
      <c r="S735" s="231"/>
      <c r="T735" s="231"/>
      <c r="U735" s="231"/>
      <c r="V735" s="231"/>
      <c r="W735" s="231"/>
      <c r="X735" s="227"/>
      <c r="Y735" s="232"/>
      <c r="Z735" s="232"/>
      <c r="AA735" s="232"/>
      <c r="AB735" s="232"/>
      <c r="AC735" s="227"/>
      <c r="AD735" s="227"/>
      <c r="AE735" s="231"/>
      <c r="AF735" s="227"/>
      <c r="AG735" s="232"/>
      <c r="AH735" s="232"/>
      <c r="AI735" s="232"/>
      <c r="AJ735" s="232"/>
      <c r="AK735" s="232"/>
      <c r="AL735" s="232"/>
      <c r="AM735" s="232"/>
      <c r="AN735" s="232"/>
      <c r="AO735" s="231"/>
      <c r="AP735" s="231"/>
      <c r="AQ735" s="227"/>
      <c r="AR735" s="231"/>
      <c r="AS735" s="227"/>
      <c r="AT735" s="227"/>
      <c r="AU735" s="227"/>
      <c r="AV735" s="227"/>
    </row>
    <row r="736">
      <c r="A736" s="227"/>
      <c r="B736" s="232"/>
      <c r="C736" s="227"/>
      <c r="D736" s="227"/>
      <c r="E736" s="231"/>
      <c r="F736" s="232"/>
      <c r="G736" s="227"/>
      <c r="H736" s="227"/>
      <c r="I736" s="227"/>
      <c r="J736" s="227"/>
      <c r="K736" s="227"/>
      <c r="L736" s="232"/>
      <c r="M736" s="232"/>
      <c r="N736" s="227"/>
      <c r="O736" s="227"/>
      <c r="P736" s="231"/>
      <c r="Q736" s="227"/>
      <c r="R736" s="231"/>
      <c r="S736" s="231"/>
      <c r="T736" s="231"/>
      <c r="U736" s="231"/>
      <c r="V736" s="231"/>
      <c r="W736" s="231"/>
      <c r="X736" s="227"/>
      <c r="Y736" s="232"/>
      <c r="Z736" s="232"/>
      <c r="AA736" s="232"/>
      <c r="AB736" s="232"/>
      <c r="AC736" s="227"/>
      <c r="AD736" s="227"/>
      <c r="AE736" s="231"/>
      <c r="AF736" s="227"/>
      <c r="AG736" s="232"/>
      <c r="AH736" s="232"/>
      <c r="AI736" s="232"/>
      <c r="AJ736" s="232"/>
      <c r="AK736" s="232"/>
      <c r="AL736" s="232"/>
      <c r="AM736" s="232"/>
      <c r="AN736" s="232"/>
      <c r="AO736" s="231"/>
      <c r="AP736" s="231"/>
      <c r="AQ736" s="227"/>
      <c r="AR736" s="231"/>
      <c r="AS736" s="227"/>
      <c r="AT736" s="227"/>
      <c r="AU736" s="227"/>
      <c r="AV736" s="227"/>
    </row>
    <row r="737">
      <c r="A737" s="227"/>
      <c r="B737" s="232"/>
      <c r="C737" s="227"/>
      <c r="D737" s="227"/>
      <c r="E737" s="231"/>
      <c r="F737" s="232"/>
      <c r="G737" s="227"/>
      <c r="H737" s="227"/>
      <c r="I737" s="227"/>
      <c r="J737" s="227"/>
      <c r="K737" s="227"/>
      <c r="L737" s="232"/>
      <c r="M737" s="232"/>
      <c r="N737" s="227"/>
      <c r="O737" s="227"/>
      <c r="P737" s="231"/>
      <c r="Q737" s="227"/>
      <c r="R737" s="231"/>
      <c r="S737" s="231"/>
      <c r="T737" s="231"/>
      <c r="U737" s="231"/>
      <c r="V737" s="231"/>
      <c r="W737" s="231"/>
      <c r="X737" s="227"/>
      <c r="Y737" s="232"/>
      <c r="Z737" s="232"/>
      <c r="AA737" s="232"/>
      <c r="AB737" s="232"/>
      <c r="AC737" s="227"/>
      <c r="AD737" s="227"/>
      <c r="AE737" s="231"/>
      <c r="AF737" s="227"/>
      <c r="AG737" s="232"/>
      <c r="AH737" s="232"/>
      <c r="AI737" s="232"/>
      <c r="AJ737" s="232"/>
      <c r="AK737" s="232"/>
      <c r="AL737" s="232"/>
      <c r="AM737" s="232"/>
      <c r="AN737" s="232"/>
      <c r="AO737" s="231"/>
      <c r="AP737" s="231"/>
      <c r="AQ737" s="227"/>
      <c r="AR737" s="231"/>
      <c r="AS737" s="227"/>
      <c r="AT737" s="227"/>
      <c r="AU737" s="227"/>
      <c r="AV737" s="227"/>
    </row>
    <row r="738">
      <c r="A738" s="227"/>
      <c r="B738" s="232"/>
      <c r="C738" s="227"/>
      <c r="D738" s="227"/>
      <c r="E738" s="231"/>
      <c r="F738" s="232"/>
      <c r="G738" s="227"/>
      <c r="H738" s="227"/>
      <c r="I738" s="227"/>
      <c r="J738" s="227"/>
      <c r="K738" s="227"/>
      <c r="L738" s="232"/>
      <c r="M738" s="232"/>
      <c r="N738" s="227"/>
      <c r="O738" s="227"/>
      <c r="P738" s="231"/>
      <c r="Q738" s="227"/>
      <c r="R738" s="231"/>
      <c r="S738" s="231"/>
      <c r="T738" s="231"/>
      <c r="U738" s="231"/>
      <c r="V738" s="231"/>
      <c r="W738" s="231"/>
      <c r="X738" s="227"/>
      <c r="Y738" s="232"/>
      <c r="Z738" s="232"/>
      <c r="AA738" s="232"/>
      <c r="AB738" s="232"/>
      <c r="AC738" s="227"/>
      <c r="AD738" s="227"/>
      <c r="AE738" s="231"/>
      <c r="AF738" s="227"/>
      <c r="AG738" s="232"/>
      <c r="AH738" s="232"/>
      <c r="AI738" s="232"/>
      <c r="AJ738" s="232"/>
      <c r="AK738" s="232"/>
      <c r="AL738" s="232"/>
      <c r="AM738" s="232"/>
      <c r="AN738" s="232"/>
      <c r="AO738" s="231"/>
      <c r="AP738" s="231"/>
      <c r="AQ738" s="227"/>
      <c r="AR738" s="231"/>
      <c r="AS738" s="227"/>
      <c r="AT738" s="227"/>
      <c r="AU738" s="227"/>
      <c r="AV738" s="227"/>
    </row>
    <row r="739">
      <c r="A739" s="227"/>
      <c r="B739" s="232"/>
      <c r="C739" s="227"/>
      <c r="D739" s="227"/>
      <c r="E739" s="231"/>
      <c r="F739" s="232"/>
      <c r="G739" s="227"/>
      <c r="H739" s="227"/>
      <c r="I739" s="227"/>
      <c r="J739" s="227"/>
      <c r="K739" s="227"/>
      <c r="L739" s="232"/>
      <c r="M739" s="232"/>
      <c r="N739" s="227"/>
      <c r="O739" s="227"/>
      <c r="P739" s="231"/>
      <c r="Q739" s="227"/>
      <c r="R739" s="231"/>
      <c r="S739" s="231"/>
      <c r="T739" s="231"/>
      <c r="U739" s="231"/>
      <c r="V739" s="231"/>
      <c r="W739" s="231"/>
      <c r="X739" s="227"/>
      <c r="Y739" s="232"/>
      <c r="Z739" s="232"/>
      <c r="AA739" s="232"/>
      <c r="AB739" s="232"/>
      <c r="AC739" s="227"/>
      <c r="AD739" s="227"/>
      <c r="AE739" s="231"/>
      <c r="AF739" s="227"/>
      <c r="AG739" s="232"/>
      <c r="AH739" s="232"/>
      <c r="AI739" s="232"/>
      <c r="AJ739" s="232"/>
      <c r="AK739" s="232"/>
      <c r="AL739" s="232"/>
      <c r="AM739" s="232"/>
      <c r="AN739" s="232"/>
      <c r="AO739" s="231"/>
      <c r="AP739" s="231"/>
      <c r="AQ739" s="227"/>
      <c r="AR739" s="231"/>
      <c r="AS739" s="227"/>
      <c r="AT739" s="227"/>
      <c r="AU739" s="227"/>
      <c r="AV739" s="227"/>
    </row>
    <row r="740">
      <c r="A740" s="227"/>
      <c r="B740" s="232"/>
      <c r="C740" s="227"/>
      <c r="D740" s="227"/>
      <c r="E740" s="231"/>
      <c r="F740" s="232"/>
      <c r="G740" s="227"/>
      <c r="H740" s="227"/>
      <c r="I740" s="227"/>
      <c r="J740" s="227"/>
      <c r="K740" s="227"/>
      <c r="L740" s="232"/>
      <c r="M740" s="232"/>
      <c r="N740" s="227"/>
      <c r="O740" s="227"/>
      <c r="P740" s="231"/>
      <c r="Q740" s="227"/>
      <c r="R740" s="231"/>
      <c r="S740" s="231"/>
      <c r="T740" s="231"/>
      <c r="U740" s="231"/>
      <c r="V740" s="231"/>
      <c r="W740" s="231"/>
      <c r="X740" s="227"/>
      <c r="Y740" s="232"/>
      <c r="Z740" s="232"/>
      <c r="AA740" s="232"/>
      <c r="AB740" s="232"/>
      <c r="AC740" s="227"/>
      <c r="AD740" s="227"/>
      <c r="AE740" s="231"/>
      <c r="AF740" s="227"/>
      <c r="AG740" s="232"/>
      <c r="AH740" s="232"/>
      <c r="AI740" s="232"/>
      <c r="AJ740" s="232"/>
      <c r="AK740" s="232"/>
      <c r="AL740" s="232"/>
      <c r="AM740" s="232"/>
      <c r="AN740" s="232"/>
      <c r="AO740" s="231"/>
      <c r="AP740" s="231"/>
      <c r="AQ740" s="227"/>
      <c r="AR740" s="231"/>
      <c r="AS740" s="227"/>
      <c r="AT740" s="227"/>
      <c r="AU740" s="227"/>
      <c r="AV740" s="227"/>
    </row>
    <row r="741">
      <c r="A741" s="227"/>
      <c r="B741" s="232"/>
      <c r="C741" s="227"/>
      <c r="D741" s="227"/>
      <c r="E741" s="231"/>
      <c r="F741" s="232"/>
      <c r="G741" s="227"/>
      <c r="H741" s="227"/>
      <c r="I741" s="227"/>
      <c r="J741" s="227"/>
      <c r="K741" s="227"/>
      <c r="L741" s="232"/>
      <c r="M741" s="232"/>
      <c r="N741" s="227"/>
      <c r="O741" s="227"/>
      <c r="P741" s="231"/>
      <c r="Q741" s="227"/>
      <c r="R741" s="231"/>
      <c r="S741" s="231"/>
      <c r="T741" s="231"/>
      <c r="U741" s="231"/>
      <c r="V741" s="231"/>
      <c r="W741" s="231"/>
      <c r="X741" s="227"/>
      <c r="Y741" s="232"/>
      <c r="Z741" s="232"/>
      <c r="AA741" s="232"/>
      <c r="AB741" s="232"/>
      <c r="AC741" s="227"/>
      <c r="AD741" s="227"/>
      <c r="AE741" s="231"/>
      <c r="AF741" s="227"/>
      <c r="AG741" s="232"/>
      <c r="AH741" s="232"/>
      <c r="AI741" s="232"/>
      <c r="AJ741" s="232"/>
      <c r="AK741" s="232"/>
      <c r="AL741" s="232"/>
      <c r="AM741" s="232"/>
      <c r="AN741" s="232"/>
      <c r="AO741" s="231"/>
      <c r="AP741" s="231"/>
      <c r="AQ741" s="227"/>
      <c r="AR741" s="231"/>
      <c r="AS741" s="227"/>
      <c r="AT741" s="227"/>
      <c r="AU741" s="227"/>
      <c r="AV741" s="227"/>
    </row>
    <row r="742">
      <c r="A742" s="227"/>
      <c r="B742" s="232"/>
      <c r="C742" s="227"/>
      <c r="D742" s="227"/>
      <c r="E742" s="231"/>
      <c r="F742" s="232"/>
      <c r="G742" s="227"/>
      <c r="H742" s="227"/>
      <c r="I742" s="227"/>
      <c r="J742" s="227"/>
      <c r="K742" s="227"/>
      <c r="L742" s="232"/>
      <c r="M742" s="232"/>
      <c r="N742" s="227"/>
      <c r="O742" s="227"/>
      <c r="P742" s="231"/>
      <c r="Q742" s="227"/>
      <c r="R742" s="231"/>
      <c r="S742" s="231"/>
      <c r="T742" s="231"/>
      <c r="U742" s="231"/>
      <c r="V742" s="231"/>
      <c r="W742" s="231"/>
      <c r="X742" s="227"/>
      <c r="Y742" s="232"/>
      <c r="Z742" s="232"/>
      <c r="AA742" s="232"/>
      <c r="AB742" s="232"/>
      <c r="AC742" s="227"/>
      <c r="AD742" s="227"/>
      <c r="AE742" s="231"/>
      <c r="AF742" s="227"/>
      <c r="AG742" s="232"/>
      <c r="AH742" s="232"/>
      <c r="AI742" s="232"/>
      <c r="AJ742" s="232"/>
      <c r="AK742" s="232"/>
      <c r="AL742" s="232"/>
      <c r="AM742" s="232"/>
      <c r="AN742" s="232"/>
      <c r="AO742" s="231"/>
      <c r="AP742" s="231"/>
      <c r="AQ742" s="227"/>
      <c r="AR742" s="231"/>
      <c r="AS742" s="227"/>
      <c r="AT742" s="227"/>
      <c r="AU742" s="227"/>
      <c r="AV742" s="227"/>
    </row>
    <row r="743">
      <c r="A743" s="227"/>
      <c r="B743" s="232"/>
      <c r="C743" s="227"/>
      <c r="D743" s="227"/>
      <c r="E743" s="231"/>
      <c r="F743" s="232"/>
      <c r="G743" s="227"/>
      <c r="H743" s="227"/>
      <c r="I743" s="227"/>
      <c r="J743" s="227"/>
      <c r="K743" s="227"/>
      <c r="L743" s="232"/>
      <c r="M743" s="232"/>
      <c r="N743" s="227"/>
      <c r="O743" s="227"/>
      <c r="P743" s="231"/>
      <c r="Q743" s="227"/>
      <c r="R743" s="231"/>
      <c r="S743" s="231"/>
      <c r="T743" s="231"/>
      <c r="U743" s="231"/>
      <c r="V743" s="231"/>
      <c r="W743" s="231"/>
      <c r="X743" s="227"/>
      <c r="Y743" s="232"/>
      <c r="Z743" s="232"/>
      <c r="AA743" s="232"/>
      <c r="AB743" s="232"/>
      <c r="AC743" s="227"/>
      <c r="AD743" s="227"/>
      <c r="AE743" s="231"/>
      <c r="AF743" s="227"/>
      <c r="AG743" s="232"/>
      <c r="AH743" s="232"/>
      <c r="AI743" s="232"/>
      <c r="AJ743" s="232"/>
      <c r="AK743" s="232"/>
      <c r="AL743" s="232"/>
      <c r="AM743" s="232"/>
      <c r="AN743" s="232"/>
      <c r="AO743" s="231"/>
      <c r="AP743" s="231"/>
      <c r="AQ743" s="227"/>
      <c r="AR743" s="231"/>
      <c r="AS743" s="227"/>
      <c r="AT743" s="227"/>
      <c r="AU743" s="227"/>
      <c r="AV743" s="227"/>
    </row>
    <row r="744">
      <c r="A744" s="227"/>
      <c r="B744" s="232"/>
      <c r="C744" s="227"/>
      <c r="D744" s="227"/>
      <c r="E744" s="231"/>
      <c r="F744" s="232"/>
      <c r="G744" s="227"/>
      <c r="H744" s="227"/>
      <c r="I744" s="227"/>
      <c r="J744" s="227"/>
      <c r="K744" s="227"/>
      <c r="L744" s="232"/>
      <c r="M744" s="232"/>
      <c r="N744" s="227"/>
      <c r="O744" s="227"/>
      <c r="P744" s="231"/>
      <c r="Q744" s="227"/>
      <c r="R744" s="231"/>
      <c r="S744" s="231"/>
      <c r="T744" s="231"/>
      <c r="U744" s="231"/>
      <c r="V744" s="231"/>
      <c r="W744" s="231"/>
      <c r="X744" s="227"/>
      <c r="Y744" s="232"/>
      <c r="Z744" s="232"/>
      <c r="AA744" s="232"/>
      <c r="AB744" s="232"/>
      <c r="AC744" s="227"/>
      <c r="AD744" s="227"/>
      <c r="AE744" s="231"/>
      <c r="AF744" s="227"/>
      <c r="AG744" s="232"/>
      <c r="AH744" s="232"/>
      <c r="AI744" s="232"/>
      <c r="AJ744" s="232"/>
      <c r="AK744" s="232"/>
      <c r="AL744" s="232"/>
      <c r="AM744" s="232"/>
      <c r="AN744" s="232"/>
      <c r="AO744" s="231"/>
      <c r="AP744" s="231"/>
      <c r="AQ744" s="227"/>
      <c r="AR744" s="231"/>
      <c r="AS744" s="227"/>
      <c r="AT744" s="227"/>
      <c r="AU744" s="227"/>
      <c r="AV744" s="227"/>
    </row>
    <row r="745">
      <c r="A745" s="227"/>
      <c r="B745" s="232"/>
      <c r="C745" s="227"/>
      <c r="D745" s="227"/>
      <c r="E745" s="231"/>
      <c r="F745" s="232"/>
      <c r="G745" s="227"/>
      <c r="H745" s="227"/>
      <c r="I745" s="227"/>
      <c r="J745" s="227"/>
      <c r="K745" s="227"/>
      <c r="L745" s="232"/>
      <c r="M745" s="232"/>
      <c r="N745" s="227"/>
      <c r="O745" s="227"/>
      <c r="P745" s="231"/>
      <c r="Q745" s="227"/>
      <c r="R745" s="231"/>
      <c r="S745" s="231"/>
      <c r="T745" s="231"/>
      <c r="U745" s="231"/>
      <c r="V745" s="231"/>
      <c r="W745" s="231"/>
      <c r="X745" s="227"/>
      <c r="Y745" s="232"/>
      <c r="Z745" s="232"/>
      <c r="AA745" s="232"/>
      <c r="AB745" s="232"/>
      <c r="AC745" s="227"/>
      <c r="AD745" s="227"/>
      <c r="AE745" s="231"/>
      <c r="AF745" s="227"/>
      <c r="AG745" s="232"/>
      <c r="AH745" s="232"/>
      <c r="AI745" s="232"/>
      <c r="AJ745" s="232"/>
      <c r="AK745" s="232"/>
      <c r="AL745" s="232"/>
      <c r="AM745" s="232"/>
      <c r="AN745" s="232"/>
      <c r="AO745" s="231"/>
      <c r="AP745" s="231"/>
      <c r="AQ745" s="227"/>
      <c r="AR745" s="231"/>
      <c r="AS745" s="227"/>
      <c r="AT745" s="227"/>
      <c r="AU745" s="227"/>
      <c r="AV745" s="227"/>
    </row>
    <row r="746">
      <c r="A746" s="227"/>
      <c r="B746" s="232"/>
      <c r="C746" s="227"/>
      <c r="D746" s="227"/>
      <c r="E746" s="231"/>
      <c r="F746" s="232"/>
      <c r="G746" s="227"/>
      <c r="H746" s="227"/>
      <c r="I746" s="227"/>
      <c r="J746" s="227"/>
      <c r="K746" s="227"/>
      <c r="L746" s="232"/>
      <c r="M746" s="232"/>
      <c r="N746" s="227"/>
      <c r="O746" s="227"/>
      <c r="P746" s="231"/>
      <c r="Q746" s="227"/>
      <c r="R746" s="231"/>
      <c r="S746" s="231"/>
      <c r="T746" s="231"/>
      <c r="U746" s="231"/>
      <c r="V746" s="231"/>
      <c r="W746" s="231"/>
      <c r="X746" s="227"/>
      <c r="Y746" s="232"/>
      <c r="Z746" s="232"/>
      <c r="AA746" s="232"/>
      <c r="AB746" s="232"/>
      <c r="AC746" s="227"/>
      <c r="AD746" s="227"/>
      <c r="AE746" s="231"/>
      <c r="AF746" s="227"/>
      <c r="AG746" s="232"/>
      <c r="AH746" s="232"/>
      <c r="AI746" s="232"/>
      <c r="AJ746" s="232"/>
      <c r="AK746" s="232"/>
      <c r="AL746" s="232"/>
      <c r="AM746" s="232"/>
      <c r="AN746" s="232"/>
      <c r="AO746" s="231"/>
      <c r="AP746" s="231"/>
      <c r="AQ746" s="227"/>
      <c r="AR746" s="231"/>
      <c r="AS746" s="227"/>
      <c r="AT746" s="227"/>
      <c r="AU746" s="227"/>
      <c r="AV746" s="227"/>
    </row>
    <row r="747">
      <c r="A747" s="227"/>
      <c r="B747" s="232"/>
      <c r="C747" s="227"/>
      <c r="D747" s="227"/>
      <c r="E747" s="231"/>
      <c r="F747" s="232"/>
      <c r="G747" s="227"/>
      <c r="H747" s="227"/>
      <c r="I747" s="227"/>
      <c r="J747" s="227"/>
      <c r="K747" s="227"/>
      <c r="L747" s="232"/>
      <c r="M747" s="232"/>
      <c r="N747" s="227"/>
      <c r="O747" s="227"/>
      <c r="P747" s="231"/>
      <c r="Q747" s="227"/>
      <c r="R747" s="231"/>
      <c r="S747" s="231"/>
      <c r="T747" s="231"/>
      <c r="U747" s="231"/>
      <c r="V747" s="231"/>
      <c r="W747" s="231"/>
      <c r="X747" s="227"/>
      <c r="Y747" s="232"/>
      <c r="Z747" s="232"/>
      <c r="AA747" s="232"/>
      <c r="AB747" s="232"/>
      <c r="AC747" s="227"/>
      <c r="AD747" s="227"/>
      <c r="AE747" s="231"/>
      <c r="AF747" s="227"/>
      <c r="AG747" s="232"/>
      <c r="AH747" s="232"/>
      <c r="AI747" s="232"/>
      <c r="AJ747" s="232"/>
      <c r="AK747" s="232"/>
      <c r="AL747" s="232"/>
      <c r="AM747" s="232"/>
      <c r="AN747" s="232"/>
      <c r="AO747" s="231"/>
      <c r="AP747" s="231"/>
      <c r="AQ747" s="227"/>
      <c r="AR747" s="231"/>
      <c r="AS747" s="227"/>
      <c r="AT747" s="227"/>
      <c r="AU747" s="227"/>
      <c r="AV747" s="227"/>
    </row>
    <row r="748">
      <c r="A748" s="227"/>
      <c r="B748" s="232"/>
      <c r="C748" s="227"/>
      <c r="D748" s="227"/>
      <c r="E748" s="231"/>
      <c r="F748" s="232"/>
      <c r="G748" s="227"/>
      <c r="H748" s="227"/>
      <c r="I748" s="227"/>
      <c r="J748" s="227"/>
      <c r="K748" s="227"/>
      <c r="L748" s="232"/>
      <c r="M748" s="232"/>
      <c r="N748" s="227"/>
      <c r="O748" s="227"/>
      <c r="P748" s="231"/>
      <c r="Q748" s="227"/>
      <c r="R748" s="231"/>
      <c r="S748" s="231"/>
      <c r="T748" s="231"/>
      <c r="U748" s="231"/>
      <c r="V748" s="231"/>
      <c r="W748" s="231"/>
      <c r="X748" s="227"/>
      <c r="Y748" s="232"/>
      <c r="Z748" s="232"/>
      <c r="AA748" s="232"/>
      <c r="AB748" s="232"/>
      <c r="AC748" s="227"/>
      <c r="AD748" s="227"/>
      <c r="AE748" s="231"/>
      <c r="AF748" s="227"/>
      <c r="AG748" s="232"/>
      <c r="AH748" s="232"/>
      <c r="AI748" s="232"/>
      <c r="AJ748" s="232"/>
      <c r="AK748" s="232"/>
      <c r="AL748" s="232"/>
      <c r="AM748" s="232"/>
      <c r="AN748" s="232"/>
      <c r="AO748" s="231"/>
      <c r="AP748" s="231"/>
      <c r="AQ748" s="227"/>
      <c r="AR748" s="231"/>
      <c r="AS748" s="227"/>
      <c r="AT748" s="227"/>
      <c r="AU748" s="227"/>
      <c r="AV748" s="227"/>
    </row>
    <row r="749">
      <c r="A749" s="227"/>
      <c r="B749" s="232"/>
      <c r="C749" s="227"/>
      <c r="D749" s="227"/>
      <c r="E749" s="231"/>
      <c r="F749" s="232"/>
      <c r="G749" s="227"/>
      <c r="H749" s="227"/>
      <c r="I749" s="227"/>
      <c r="J749" s="227"/>
      <c r="K749" s="227"/>
      <c r="L749" s="232"/>
      <c r="M749" s="232"/>
      <c r="N749" s="227"/>
      <c r="O749" s="227"/>
      <c r="P749" s="231"/>
      <c r="Q749" s="227"/>
      <c r="R749" s="231"/>
      <c r="S749" s="231"/>
      <c r="T749" s="231"/>
      <c r="U749" s="231"/>
      <c r="V749" s="231"/>
      <c r="W749" s="231"/>
      <c r="X749" s="227"/>
      <c r="Y749" s="232"/>
      <c r="Z749" s="232"/>
      <c r="AA749" s="232"/>
      <c r="AB749" s="232"/>
      <c r="AC749" s="227"/>
      <c r="AD749" s="227"/>
      <c r="AE749" s="231"/>
      <c r="AF749" s="227"/>
      <c r="AG749" s="232"/>
      <c r="AH749" s="232"/>
      <c r="AI749" s="232"/>
      <c r="AJ749" s="232"/>
      <c r="AK749" s="232"/>
      <c r="AL749" s="232"/>
      <c r="AM749" s="232"/>
      <c r="AN749" s="232"/>
      <c r="AO749" s="231"/>
      <c r="AP749" s="231"/>
      <c r="AQ749" s="227"/>
      <c r="AR749" s="231"/>
      <c r="AS749" s="227"/>
      <c r="AT749" s="227"/>
      <c r="AU749" s="227"/>
      <c r="AV749" s="227"/>
    </row>
    <row r="750">
      <c r="A750" s="227"/>
      <c r="B750" s="232"/>
      <c r="C750" s="227"/>
      <c r="D750" s="227"/>
      <c r="E750" s="231"/>
      <c r="F750" s="232"/>
      <c r="G750" s="227"/>
      <c r="H750" s="227"/>
      <c r="I750" s="227"/>
      <c r="J750" s="227"/>
      <c r="K750" s="227"/>
      <c r="L750" s="232"/>
      <c r="M750" s="232"/>
      <c r="N750" s="227"/>
      <c r="O750" s="227"/>
      <c r="P750" s="231"/>
      <c r="Q750" s="227"/>
      <c r="R750" s="231"/>
      <c r="S750" s="231"/>
      <c r="T750" s="231"/>
      <c r="U750" s="231"/>
      <c r="V750" s="231"/>
      <c r="W750" s="231"/>
      <c r="X750" s="227"/>
      <c r="Y750" s="232"/>
      <c r="Z750" s="232"/>
      <c r="AA750" s="232"/>
      <c r="AB750" s="232"/>
      <c r="AC750" s="227"/>
      <c r="AD750" s="227"/>
      <c r="AE750" s="231"/>
      <c r="AF750" s="227"/>
      <c r="AG750" s="232"/>
      <c r="AH750" s="232"/>
      <c r="AI750" s="232"/>
      <c r="AJ750" s="232"/>
      <c r="AK750" s="232"/>
      <c r="AL750" s="232"/>
      <c r="AM750" s="232"/>
      <c r="AN750" s="232"/>
      <c r="AO750" s="231"/>
      <c r="AP750" s="231"/>
      <c r="AQ750" s="227"/>
      <c r="AR750" s="231"/>
      <c r="AS750" s="227"/>
      <c r="AT750" s="227"/>
      <c r="AU750" s="227"/>
      <c r="AV750" s="227"/>
    </row>
    <row r="751">
      <c r="A751" s="227"/>
      <c r="B751" s="232"/>
      <c r="C751" s="227"/>
      <c r="D751" s="227"/>
      <c r="E751" s="231"/>
      <c r="F751" s="232"/>
      <c r="G751" s="227"/>
      <c r="H751" s="227"/>
      <c r="I751" s="227"/>
      <c r="J751" s="227"/>
      <c r="K751" s="227"/>
      <c r="L751" s="232"/>
      <c r="M751" s="232"/>
      <c r="N751" s="227"/>
      <c r="O751" s="227"/>
      <c r="P751" s="231"/>
      <c r="Q751" s="227"/>
      <c r="R751" s="231"/>
      <c r="S751" s="231"/>
      <c r="T751" s="231"/>
      <c r="U751" s="231"/>
      <c r="V751" s="231"/>
      <c r="W751" s="231"/>
      <c r="X751" s="227"/>
      <c r="Y751" s="232"/>
      <c r="Z751" s="232"/>
      <c r="AA751" s="232"/>
      <c r="AB751" s="232"/>
      <c r="AC751" s="227"/>
      <c r="AD751" s="227"/>
      <c r="AE751" s="231"/>
      <c r="AF751" s="227"/>
      <c r="AG751" s="232"/>
      <c r="AH751" s="232"/>
      <c r="AI751" s="232"/>
      <c r="AJ751" s="232"/>
      <c r="AK751" s="232"/>
      <c r="AL751" s="232"/>
      <c r="AM751" s="232"/>
      <c r="AN751" s="232"/>
      <c r="AO751" s="231"/>
      <c r="AP751" s="231"/>
      <c r="AQ751" s="227"/>
      <c r="AR751" s="231"/>
      <c r="AS751" s="227"/>
      <c r="AT751" s="227"/>
      <c r="AU751" s="227"/>
      <c r="AV751" s="227"/>
    </row>
    <row r="752">
      <c r="A752" s="227"/>
      <c r="B752" s="232"/>
      <c r="C752" s="227"/>
      <c r="D752" s="227"/>
      <c r="E752" s="231"/>
      <c r="F752" s="232"/>
      <c r="G752" s="227"/>
      <c r="H752" s="227"/>
      <c r="I752" s="227"/>
      <c r="J752" s="227"/>
      <c r="K752" s="227"/>
      <c r="L752" s="232"/>
      <c r="M752" s="232"/>
      <c r="N752" s="227"/>
      <c r="O752" s="227"/>
      <c r="P752" s="231"/>
      <c r="Q752" s="227"/>
      <c r="R752" s="231"/>
      <c r="S752" s="231"/>
      <c r="T752" s="231"/>
      <c r="U752" s="231"/>
      <c r="V752" s="231"/>
      <c r="W752" s="231"/>
      <c r="X752" s="227"/>
      <c r="Y752" s="232"/>
      <c r="Z752" s="232"/>
      <c r="AA752" s="232"/>
      <c r="AB752" s="232"/>
      <c r="AC752" s="227"/>
      <c r="AD752" s="227"/>
      <c r="AE752" s="231"/>
      <c r="AF752" s="227"/>
      <c r="AG752" s="232"/>
      <c r="AH752" s="232"/>
      <c r="AI752" s="232"/>
      <c r="AJ752" s="232"/>
      <c r="AK752" s="232"/>
      <c r="AL752" s="232"/>
      <c r="AM752" s="232"/>
      <c r="AN752" s="232"/>
      <c r="AO752" s="231"/>
      <c r="AP752" s="231"/>
      <c r="AQ752" s="227"/>
      <c r="AR752" s="231"/>
      <c r="AS752" s="227"/>
      <c r="AT752" s="227"/>
      <c r="AU752" s="227"/>
      <c r="AV752" s="227"/>
    </row>
    <row r="753">
      <c r="A753" s="227"/>
      <c r="B753" s="232"/>
      <c r="C753" s="227"/>
      <c r="D753" s="227"/>
      <c r="E753" s="231"/>
      <c r="F753" s="232"/>
      <c r="G753" s="227"/>
      <c r="H753" s="227"/>
      <c r="I753" s="227"/>
      <c r="J753" s="227"/>
      <c r="K753" s="227"/>
      <c r="L753" s="232"/>
      <c r="M753" s="232"/>
      <c r="N753" s="227"/>
      <c r="O753" s="227"/>
      <c r="P753" s="231"/>
      <c r="Q753" s="227"/>
      <c r="R753" s="231"/>
      <c r="S753" s="231"/>
      <c r="T753" s="231"/>
      <c r="U753" s="231"/>
      <c r="V753" s="231"/>
      <c r="W753" s="231"/>
      <c r="X753" s="227"/>
      <c r="Y753" s="232"/>
      <c r="Z753" s="232"/>
      <c r="AA753" s="232"/>
      <c r="AB753" s="232"/>
      <c r="AC753" s="227"/>
      <c r="AD753" s="227"/>
      <c r="AE753" s="231"/>
      <c r="AF753" s="227"/>
      <c r="AG753" s="232"/>
      <c r="AH753" s="232"/>
      <c r="AI753" s="232"/>
      <c r="AJ753" s="232"/>
      <c r="AK753" s="232"/>
      <c r="AL753" s="232"/>
      <c r="AM753" s="232"/>
      <c r="AN753" s="232"/>
      <c r="AO753" s="231"/>
      <c r="AP753" s="231"/>
      <c r="AQ753" s="227"/>
      <c r="AR753" s="231"/>
      <c r="AS753" s="227"/>
      <c r="AT753" s="227"/>
      <c r="AU753" s="227"/>
      <c r="AV753" s="227"/>
    </row>
    <row r="754">
      <c r="A754" s="227"/>
      <c r="B754" s="232"/>
      <c r="C754" s="227"/>
      <c r="D754" s="227"/>
      <c r="E754" s="231"/>
      <c r="F754" s="232"/>
      <c r="G754" s="227"/>
      <c r="H754" s="227"/>
      <c r="I754" s="227"/>
      <c r="J754" s="227"/>
      <c r="K754" s="227"/>
      <c r="L754" s="232"/>
      <c r="M754" s="232"/>
      <c r="N754" s="227"/>
      <c r="O754" s="227"/>
      <c r="P754" s="231"/>
      <c r="Q754" s="227"/>
      <c r="R754" s="231"/>
      <c r="S754" s="231"/>
      <c r="T754" s="231"/>
      <c r="U754" s="231"/>
      <c r="V754" s="231"/>
      <c r="W754" s="231"/>
      <c r="X754" s="227"/>
      <c r="Y754" s="232"/>
      <c r="Z754" s="232"/>
      <c r="AA754" s="232"/>
      <c r="AB754" s="232"/>
      <c r="AC754" s="227"/>
      <c r="AD754" s="227"/>
      <c r="AE754" s="231"/>
      <c r="AF754" s="227"/>
      <c r="AG754" s="232"/>
      <c r="AH754" s="232"/>
      <c r="AI754" s="232"/>
      <c r="AJ754" s="232"/>
      <c r="AK754" s="232"/>
      <c r="AL754" s="232"/>
      <c r="AM754" s="232"/>
      <c r="AN754" s="232"/>
      <c r="AO754" s="231"/>
      <c r="AP754" s="231"/>
      <c r="AQ754" s="227"/>
      <c r="AR754" s="231"/>
      <c r="AS754" s="227"/>
      <c r="AT754" s="227"/>
      <c r="AU754" s="227"/>
      <c r="AV754" s="227"/>
    </row>
    <row r="755">
      <c r="A755" s="227"/>
      <c r="B755" s="232"/>
      <c r="C755" s="227"/>
      <c r="D755" s="227"/>
      <c r="E755" s="231"/>
      <c r="F755" s="232"/>
      <c r="G755" s="227"/>
      <c r="H755" s="227"/>
      <c r="I755" s="227"/>
      <c r="J755" s="227"/>
      <c r="K755" s="227"/>
      <c r="L755" s="232"/>
      <c r="M755" s="232"/>
      <c r="N755" s="227"/>
      <c r="O755" s="227"/>
      <c r="P755" s="231"/>
      <c r="Q755" s="227"/>
      <c r="R755" s="231"/>
      <c r="S755" s="231"/>
      <c r="T755" s="231"/>
      <c r="U755" s="231"/>
      <c r="V755" s="231"/>
      <c r="W755" s="231"/>
      <c r="X755" s="227"/>
      <c r="Y755" s="232"/>
      <c r="Z755" s="232"/>
      <c r="AA755" s="232"/>
      <c r="AB755" s="232"/>
      <c r="AC755" s="227"/>
      <c r="AD755" s="227"/>
      <c r="AE755" s="231"/>
      <c r="AF755" s="227"/>
      <c r="AG755" s="232"/>
      <c r="AH755" s="232"/>
      <c r="AI755" s="232"/>
      <c r="AJ755" s="232"/>
      <c r="AK755" s="232"/>
      <c r="AL755" s="232"/>
      <c r="AM755" s="232"/>
      <c r="AN755" s="232"/>
      <c r="AO755" s="231"/>
      <c r="AP755" s="231"/>
      <c r="AQ755" s="227"/>
      <c r="AR755" s="231"/>
      <c r="AS755" s="227"/>
      <c r="AT755" s="227"/>
      <c r="AU755" s="227"/>
      <c r="AV755" s="227"/>
    </row>
    <row r="756">
      <c r="A756" s="227"/>
      <c r="B756" s="232"/>
      <c r="C756" s="227"/>
      <c r="D756" s="227"/>
      <c r="E756" s="231"/>
      <c r="F756" s="232"/>
      <c r="G756" s="227"/>
      <c r="H756" s="227"/>
      <c r="I756" s="227"/>
      <c r="J756" s="227"/>
      <c r="K756" s="227"/>
      <c r="L756" s="232"/>
      <c r="M756" s="232"/>
      <c r="N756" s="227"/>
      <c r="O756" s="227"/>
      <c r="P756" s="231"/>
      <c r="Q756" s="227"/>
      <c r="R756" s="231"/>
      <c r="S756" s="231"/>
      <c r="T756" s="231"/>
      <c r="U756" s="231"/>
      <c r="V756" s="231"/>
      <c r="W756" s="231"/>
      <c r="X756" s="227"/>
      <c r="Y756" s="232"/>
      <c r="Z756" s="232"/>
      <c r="AA756" s="232"/>
      <c r="AB756" s="232"/>
      <c r="AC756" s="227"/>
      <c r="AD756" s="227"/>
      <c r="AE756" s="231"/>
      <c r="AF756" s="227"/>
      <c r="AG756" s="232"/>
      <c r="AH756" s="232"/>
      <c r="AI756" s="232"/>
      <c r="AJ756" s="232"/>
      <c r="AK756" s="232"/>
      <c r="AL756" s="232"/>
      <c r="AM756" s="232"/>
      <c r="AN756" s="232"/>
      <c r="AO756" s="231"/>
      <c r="AP756" s="231"/>
      <c r="AQ756" s="227"/>
      <c r="AR756" s="231"/>
      <c r="AS756" s="227"/>
      <c r="AT756" s="227"/>
      <c r="AU756" s="227"/>
      <c r="AV756" s="227"/>
    </row>
    <row r="757">
      <c r="A757" s="227"/>
      <c r="B757" s="232"/>
      <c r="C757" s="227"/>
      <c r="D757" s="227"/>
      <c r="E757" s="231"/>
      <c r="F757" s="232"/>
      <c r="G757" s="227"/>
      <c r="H757" s="227"/>
      <c r="I757" s="227"/>
      <c r="J757" s="227"/>
      <c r="K757" s="227"/>
      <c r="L757" s="232"/>
      <c r="M757" s="232"/>
      <c r="N757" s="227"/>
      <c r="O757" s="227"/>
      <c r="P757" s="231"/>
      <c r="Q757" s="227"/>
      <c r="R757" s="231"/>
      <c r="S757" s="231"/>
      <c r="T757" s="231"/>
      <c r="U757" s="231"/>
      <c r="V757" s="231"/>
      <c r="W757" s="231"/>
      <c r="X757" s="227"/>
      <c r="Y757" s="232"/>
      <c r="Z757" s="232"/>
      <c r="AA757" s="232"/>
      <c r="AB757" s="232"/>
      <c r="AC757" s="227"/>
      <c r="AD757" s="227"/>
      <c r="AE757" s="231"/>
      <c r="AF757" s="227"/>
      <c r="AG757" s="232"/>
      <c r="AH757" s="232"/>
      <c r="AI757" s="232"/>
      <c r="AJ757" s="232"/>
      <c r="AK757" s="232"/>
      <c r="AL757" s="232"/>
      <c r="AM757" s="232"/>
      <c r="AN757" s="232"/>
      <c r="AO757" s="231"/>
      <c r="AP757" s="231"/>
      <c r="AQ757" s="227"/>
      <c r="AR757" s="231"/>
      <c r="AS757" s="227"/>
      <c r="AT757" s="227"/>
      <c r="AU757" s="227"/>
      <c r="AV757" s="227"/>
    </row>
    <row r="758">
      <c r="A758" s="227"/>
      <c r="B758" s="232"/>
      <c r="C758" s="227"/>
      <c r="D758" s="227"/>
      <c r="E758" s="231"/>
      <c r="F758" s="232"/>
      <c r="G758" s="227"/>
      <c r="H758" s="227"/>
      <c r="I758" s="227"/>
      <c r="J758" s="227"/>
      <c r="K758" s="227"/>
      <c r="L758" s="232"/>
      <c r="M758" s="232"/>
      <c r="N758" s="227"/>
      <c r="O758" s="227"/>
      <c r="P758" s="231"/>
      <c r="Q758" s="227"/>
      <c r="R758" s="231"/>
      <c r="S758" s="231"/>
      <c r="T758" s="231"/>
      <c r="U758" s="231"/>
      <c r="V758" s="231"/>
      <c r="W758" s="231"/>
      <c r="X758" s="227"/>
      <c r="Y758" s="232"/>
      <c r="Z758" s="232"/>
      <c r="AA758" s="232"/>
      <c r="AB758" s="232"/>
      <c r="AC758" s="227"/>
      <c r="AD758" s="227"/>
      <c r="AE758" s="231"/>
      <c r="AF758" s="227"/>
      <c r="AG758" s="232"/>
      <c r="AH758" s="232"/>
      <c r="AI758" s="232"/>
      <c r="AJ758" s="232"/>
      <c r="AK758" s="232"/>
      <c r="AL758" s="232"/>
      <c r="AM758" s="232"/>
      <c r="AN758" s="232"/>
      <c r="AO758" s="231"/>
      <c r="AP758" s="231"/>
      <c r="AQ758" s="227"/>
      <c r="AR758" s="231"/>
      <c r="AS758" s="227"/>
      <c r="AT758" s="227"/>
      <c r="AU758" s="227"/>
      <c r="AV758" s="227"/>
    </row>
    <row r="759">
      <c r="A759" s="227"/>
      <c r="B759" s="232"/>
      <c r="C759" s="227"/>
      <c r="D759" s="227"/>
      <c r="E759" s="231"/>
      <c r="F759" s="232"/>
      <c r="G759" s="227"/>
      <c r="H759" s="227"/>
      <c r="I759" s="227"/>
      <c r="J759" s="227"/>
      <c r="K759" s="227"/>
      <c r="L759" s="232"/>
      <c r="M759" s="232"/>
      <c r="N759" s="227"/>
      <c r="O759" s="227"/>
      <c r="P759" s="231"/>
      <c r="Q759" s="227"/>
      <c r="R759" s="231"/>
      <c r="S759" s="231"/>
      <c r="T759" s="231"/>
      <c r="U759" s="231"/>
      <c r="V759" s="231"/>
      <c r="W759" s="231"/>
      <c r="X759" s="227"/>
      <c r="Y759" s="232"/>
      <c r="Z759" s="232"/>
      <c r="AA759" s="232"/>
      <c r="AB759" s="232"/>
      <c r="AC759" s="227"/>
      <c r="AD759" s="227"/>
      <c r="AE759" s="231"/>
      <c r="AF759" s="227"/>
      <c r="AG759" s="232"/>
      <c r="AH759" s="232"/>
      <c r="AI759" s="232"/>
      <c r="AJ759" s="232"/>
      <c r="AK759" s="232"/>
      <c r="AL759" s="232"/>
      <c r="AM759" s="232"/>
      <c r="AN759" s="232"/>
      <c r="AO759" s="231"/>
      <c r="AP759" s="231"/>
      <c r="AQ759" s="227"/>
      <c r="AR759" s="231"/>
      <c r="AS759" s="227"/>
      <c r="AT759" s="227"/>
      <c r="AU759" s="227"/>
      <c r="AV759" s="227"/>
    </row>
    <row r="760">
      <c r="A760" s="227"/>
      <c r="B760" s="232"/>
      <c r="C760" s="227"/>
      <c r="D760" s="227"/>
      <c r="E760" s="231"/>
      <c r="F760" s="232"/>
      <c r="G760" s="227"/>
      <c r="H760" s="227"/>
      <c r="I760" s="227"/>
      <c r="J760" s="227"/>
      <c r="K760" s="227"/>
      <c r="L760" s="232"/>
      <c r="M760" s="232"/>
      <c r="N760" s="227"/>
      <c r="O760" s="227"/>
      <c r="P760" s="231"/>
      <c r="Q760" s="227"/>
      <c r="R760" s="231"/>
      <c r="S760" s="231"/>
      <c r="T760" s="231"/>
      <c r="U760" s="231"/>
      <c r="V760" s="231"/>
      <c r="W760" s="231"/>
      <c r="X760" s="227"/>
      <c r="Y760" s="232"/>
      <c r="Z760" s="232"/>
      <c r="AA760" s="232"/>
      <c r="AB760" s="232"/>
      <c r="AC760" s="227"/>
      <c r="AD760" s="227"/>
      <c r="AE760" s="231"/>
      <c r="AF760" s="227"/>
      <c r="AG760" s="232"/>
      <c r="AH760" s="232"/>
      <c r="AI760" s="232"/>
      <c r="AJ760" s="232"/>
      <c r="AK760" s="232"/>
      <c r="AL760" s="232"/>
      <c r="AM760" s="232"/>
      <c r="AN760" s="232"/>
      <c r="AO760" s="231"/>
      <c r="AP760" s="231"/>
      <c r="AQ760" s="227"/>
      <c r="AR760" s="231"/>
      <c r="AS760" s="227"/>
      <c r="AT760" s="227"/>
      <c r="AU760" s="227"/>
      <c r="AV760" s="227"/>
    </row>
    <row r="761">
      <c r="A761" s="227"/>
      <c r="B761" s="232"/>
      <c r="C761" s="227"/>
      <c r="D761" s="227"/>
      <c r="E761" s="231"/>
      <c r="F761" s="232"/>
      <c r="G761" s="227"/>
      <c r="H761" s="227"/>
      <c r="I761" s="227"/>
      <c r="J761" s="227"/>
      <c r="K761" s="227"/>
      <c r="L761" s="232"/>
      <c r="M761" s="232"/>
      <c r="N761" s="227"/>
      <c r="O761" s="227"/>
      <c r="P761" s="231"/>
      <c r="Q761" s="227"/>
      <c r="R761" s="231"/>
      <c r="S761" s="231"/>
      <c r="T761" s="231"/>
      <c r="U761" s="231"/>
      <c r="V761" s="231"/>
      <c r="W761" s="231"/>
      <c r="X761" s="227"/>
      <c r="Y761" s="232"/>
      <c r="Z761" s="232"/>
      <c r="AA761" s="232"/>
      <c r="AB761" s="232"/>
      <c r="AC761" s="227"/>
      <c r="AD761" s="227"/>
      <c r="AE761" s="231"/>
      <c r="AF761" s="227"/>
      <c r="AG761" s="232"/>
      <c r="AH761" s="232"/>
      <c r="AI761" s="232"/>
      <c r="AJ761" s="232"/>
      <c r="AK761" s="232"/>
      <c r="AL761" s="232"/>
      <c r="AM761" s="232"/>
      <c r="AN761" s="232"/>
      <c r="AO761" s="231"/>
      <c r="AP761" s="231"/>
      <c r="AQ761" s="227"/>
      <c r="AR761" s="231"/>
      <c r="AS761" s="227"/>
      <c r="AT761" s="227"/>
      <c r="AU761" s="227"/>
      <c r="AV761" s="227"/>
    </row>
    <row r="762">
      <c r="A762" s="227"/>
      <c r="B762" s="232"/>
      <c r="C762" s="227"/>
      <c r="D762" s="227"/>
      <c r="E762" s="231"/>
      <c r="F762" s="232"/>
      <c r="G762" s="227"/>
      <c r="H762" s="227"/>
      <c r="I762" s="227"/>
      <c r="J762" s="227"/>
      <c r="K762" s="227"/>
      <c r="L762" s="232"/>
      <c r="M762" s="232"/>
      <c r="N762" s="227"/>
      <c r="O762" s="227"/>
      <c r="P762" s="231"/>
      <c r="Q762" s="227"/>
      <c r="R762" s="231"/>
      <c r="S762" s="231"/>
      <c r="T762" s="231"/>
      <c r="U762" s="231"/>
      <c r="V762" s="231"/>
      <c r="W762" s="231"/>
      <c r="X762" s="227"/>
      <c r="Y762" s="232"/>
      <c r="Z762" s="232"/>
      <c r="AA762" s="232"/>
      <c r="AB762" s="232"/>
      <c r="AC762" s="227"/>
      <c r="AD762" s="227"/>
      <c r="AE762" s="231"/>
      <c r="AF762" s="227"/>
      <c r="AG762" s="232"/>
      <c r="AH762" s="232"/>
      <c r="AI762" s="232"/>
      <c r="AJ762" s="232"/>
      <c r="AK762" s="232"/>
      <c r="AL762" s="232"/>
      <c r="AM762" s="232"/>
      <c r="AN762" s="232"/>
      <c r="AO762" s="231"/>
      <c r="AP762" s="231"/>
      <c r="AQ762" s="227"/>
      <c r="AR762" s="231"/>
      <c r="AS762" s="227"/>
      <c r="AT762" s="227"/>
      <c r="AU762" s="227"/>
      <c r="AV762" s="227"/>
    </row>
    <row r="763">
      <c r="A763" s="227"/>
      <c r="B763" s="232"/>
      <c r="C763" s="227"/>
      <c r="D763" s="227"/>
      <c r="E763" s="231"/>
      <c r="F763" s="232"/>
      <c r="G763" s="227"/>
      <c r="H763" s="227"/>
      <c r="I763" s="227"/>
      <c r="J763" s="227"/>
      <c r="K763" s="227"/>
      <c r="L763" s="232"/>
      <c r="M763" s="232"/>
      <c r="N763" s="227"/>
      <c r="O763" s="227"/>
      <c r="P763" s="231"/>
      <c r="Q763" s="227"/>
      <c r="R763" s="231"/>
      <c r="S763" s="231"/>
      <c r="T763" s="231"/>
      <c r="U763" s="231"/>
      <c r="V763" s="231"/>
      <c r="W763" s="231"/>
      <c r="X763" s="227"/>
      <c r="Y763" s="232"/>
      <c r="Z763" s="232"/>
      <c r="AA763" s="232"/>
      <c r="AB763" s="232"/>
      <c r="AC763" s="227"/>
      <c r="AD763" s="227"/>
      <c r="AE763" s="231"/>
      <c r="AF763" s="227"/>
      <c r="AG763" s="232"/>
      <c r="AH763" s="232"/>
      <c r="AI763" s="232"/>
      <c r="AJ763" s="232"/>
      <c r="AK763" s="232"/>
      <c r="AL763" s="232"/>
      <c r="AM763" s="232"/>
      <c r="AN763" s="232"/>
      <c r="AO763" s="231"/>
      <c r="AP763" s="231"/>
      <c r="AQ763" s="227"/>
      <c r="AR763" s="231"/>
      <c r="AS763" s="227"/>
      <c r="AT763" s="227"/>
      <c r="AU763" s="227"/>
      <c r="AV763" s="227"/>
    </row>
    <row r="764">
      <c r="A764" s="227"/>
      <c r="B764" s="232"/>
      <c r="C764" s="227"/>
      <c r="D764" s="227"/>
      <c r="E764" s="231"/>
      <c r="F764" s="232"/>
      <c r="G764" s="227"/>
      <c r="H764" s="227"/>
      <c r="I764" s="227"/>
      <c r="J764" s="227"/>
      <c r="K764" s="227"/>
      <c r="L764" s="232"/>
      <c r="M764" s="232"/>
      <c r="N764" s="227"/>
      <c r="O764" s="227"/>
      <c r="P764" s="231"/>
      <c r="Q764" s="227"/>
      <c r="R764" s="231"/>
      <c r="S764" s="231"/>
      <c r="T764" s="231"/>
      <c r="U764" s="231"/>
      <c r="V764" s="231"/>
      <c r="W764" s="231"/>
      <c r="X764" s="227"/>
      <c r="Y764" s="232"/>
      <c r="Z764" s="232"/>
      <c r="AA764" s="232"/>
      <c r="AB764" s="232"/>
      <c r="AC764" s="227"/>
      <c r="AD764" s="227"/>
      <c r="AE764" s="231"/>
      <c r="AF764" s="227"/>
      <c r="AG764" s="232"/>
      <c r="AH764" s="232"/>
      <c r="AI764" s="232"/>
      <c r="AJ764" s="232"/>
      <c r="AK764" s="232"/>
      <c r="AL764" s="232"/>
      <c r="AM764" s="232"/>
      <c r="AN764" s="232"/>
      <c r="AO764" s="231"/>
      <c r="AP764" s="231"/>
      <c r="AQ764" s="227"/>
      <c r="AR764" s="231"/>
      <c r="AS764" s="227"/>
      <c r="AT764" s="227"/>
      <c r="AU764" s="227"/>
      <c r="AV764" s="227"/>
    </row>
    <row r="765">
      <c r="A765" s="227"/>
      <c r="B765" s="232"/>
      <c r="C765" s="227"/>
      <c r="D765" s="227"/>
      <c r="E765" s="231"/>
      <c r="F765" s="232"/>
      <c r="G765" s="227"/>
      <c r="H765" s="227"/>
      <c r="I765" s="227"/>
      <c r="J765" s="227"/>
      <c r="K765" s="227"/>
      <c r="L765" s="232"/>
      <c r="M765" s="232"/>
      <c r="N765" s="227"/>
      <c r="O765" s="227"/>
      <c r="P765" s="231"/>
      <c r="Q765" s="227"/>
      <c r="R765" s="231"/>
      <c r="S765" s="231"/>
      <c r="T765" s="231"/>
      <c r="U765" s="231"/>
      <c r="V765" s="231"/>
      <c r="W765" s="231"/>
      <c r="X765" s="227"/>
      <c r="Y765" s="232"/>
      <c r="Z765" s="232"/>
      <c r="AA765" s="232"/>
      <c r="AB765" s="232"/>
      <c r="AC765" s="227"/>
      <c r="AD765" s="227"/>
      <c r="AE765" s="231"/>
      <c r="AF765" s="227"/>
      <c r="AG765" s="232"/>
      <c r="AH765" s="232"/>
      <c r="AI765" s="232"/>
      <c r="AJ765" s="232"/>
      <c r="AK765" s="232"/>
      <c r="AL765" s="232"/>
      <c r="AM765" s="232"/>
      <c r="AN765" s="232"/>
      <c r="AO765" s="231"/>
      <c r="AP765" s="231"/>
      <c r="AQ765" s="227"/>
      <c r="AR765" s="231"/>
      <c r="AS765" s="227"/>
      <c r="AT765" s="227"/>
      <c r="AU765" s="227"/>
      <c r="AV765" s="227"/>
    </row>
    <row r="766">
      <c r="A766" s="227"/>
      <c r="B766" s="232"/>
      <c r="C766" s="227"/>
      <c r="D766" s="227"/>
      <c r="E766" s="231"/>
      <c r="F766" s="232"/>
      <c r="G766" s="227"/>
      <c r="H766" s="227"/>
      <c r="I766" s="227"/>
      <c r="J766" s="227"/>
      <c r="K766" s="227"/>
      <c r="L766" s="232"/>
      <c r="M766" s="232"/>
      <c r="N766" s="227"/>
      <c r="O766" s="227"/>
      <c r="P766" s="231"/>
      <c r="Q766" s="227"/>
      <c r="R766" s="231"/>
      <c r="S766" s="231"/>
      <c r="T766" s="231"/>
      <c r="U766" s="231"/>
      <c r="V766" s="231"/>
      <c r="W766" s="231"/>
      <c r="X766" s="227"/>
      <c r="Y766" s="232"/>
      <c r="Z766" s="232"/>
      <c r="AA766" s="232"/>
      <c r="AB766" s="232"/>
      <c r="AC766" s="227"/>
      <c r="AD766" s="227"/>
      <c r="AE766" s="231"/>
      <c r="AF766" s="227"/>
      <c r="AG766" s="232"/>
      <c r="AH766" s="232"/>
      <c r="AI766" s="232"/>
      <c r="AJ766" s="232"/>
      <c r="AK766" s="232"/>
      <c r="AL766" s="232"/>
      <c r="AM766" s="232"/>
      <c r="AN766" s="232"/>
      <c r="AO766" s="231"/>
      <c r="AP766" s="231"/>
      <c r="AQ766" s="227"/>
      <c r="AR766" s="231"/>
      <c r="AS766" s="227"/>
      <c r="AT766" s="227"/>
      <c r="AU766" s="227"/>
      <c r="AV766" s="227"/>
    </row>
    <row r="767">
      <c r="A767" s="227"/>
      <c r="B767" s="232"/>
      <c r="C767" s="227"/>
      <c r="D767" s="227"/>
      <c r="E767" s="231"/>
      <c r="F767" s="232"/>
      <c r="G767" s="227"/>
      <c r="H767" s="227"/>
      <c r="I767" s="227"/>
      <c r="J767" s="227"/>
      <c r="K767" s="227"/>
      <c r="L767" s="232"/>
      <c r="M767" s="232"/>
      <c r="N767" s="227"/>
      <c r="O767" s="227"/>
      <c r="P767" s="231"/>
      <c r="Q767" s="227"/>
      <c r="R767" s="231"/>
      <c r="S767" s="231"/>
      <c r="T767" s="231"/>
      <c r="U767" s="231"/>
      <c r="V767" s="231"/>
      <c r="W767" s="231"/>
      <c r="X767" s="227"/>
      <c r="Y767" s="232"/>
      <c r="Z767" s="232"/>
      <c r="AA767" s="232"/>
      <c r="AB767" s="232"/>
      <c r="AC767" s="227"/>
      <c r="AD767" s="227"/>
      <c r="AE767" s="231"/>
      <c r="AF767" s="227"/>
      <c r="AG767" s="232"/>
      <c r="AH767" s="232"/>
      <c r="AI767" s="232"/>
      <c r="AJ767" s="232"/>
      <c r="AK767" s="232"/>
      <c r="AL767" s="232"/>
      <c r="AM767" s="232"/>
      <c r="AN767" s="232"/>
      <c r="AO767" s="231"/>
      <c r="AP767" s="231"/>
      <c r="AQ767" s="227"/>
      <c r="AR767" s="231"/>
      <c r="AS767" s="227"/>
      <c r="AT767" s="227"/>
      <c r="AU767" s="227"/>
      <c r="AV767" s="227"/>
    </row>
    <row r="768">
      <c r="A768" s="227"/>
      <c r="B768" s="232"/>
      <c r="C768" s="227"/>
      <c r="D768" s="227"/>
      <c r="E768" s="231"/>
      <c r="F768" s="232"/>
      <c r="G768" s="227"/>
      <c r="H768" s="227"/>
      <c r="I768" s="227"/>
      <c r="J768" s="227"/>
      <c r="K768" s="227"/>
      <c r="L768" s="232"/>
      <c r="M768" s="232"/>
      <c r="N768" s="227"/>
      <c r="O768" s="227"/>
      <c r="P768" s="231"/>
      <c r="Q768" s="227"/>
      <c r="R768" s="231"/>
      <c r="S768" s="231"/>
      <c r="T768" s="231"/>
      <c r="U768" s="231"/>
      <c r="V768" s="231"/>
      <c r="W768" s="231"/>
      <c r="X768" s="227"/>
      <c r="Y768" s="232"/>
      <c r="Z768" s="232"/>
      <c r="AA768" s="232"/>
      <c r="AB768" s="232"/>
      <c r="AC768" s="227"/>
      <c r="AD768" s="227"/>
      <c r="AE768" s="231"/>
      <c r="AF768" s="227"/>
      <c r="AG768" s="232"/>
      <c r="AH768" s="232"/>
      <c r="AI768" s="232"/>
      <c r="AJ768" s="232"/>
      <c r="AK768" s="232"/>
      <c r="AL768" s="232"/>
      <c r="AM768" s="232"/>
      <c r="AN768" s="232"/>
      <c r="AO768" s="231"/>
      <c r="AP768" s="231"/>
      <c r="AQ768" s="227"/>
      <c r="AR768" s="231"/>
      <c r="AS768" s="227"/>
      <c r="AT768" s="227"/>
      <c r="AU768" s="227"/>
      <c r="AV768" s="227"/>
    </row>
    <row r="769">
      <c r="A769" s="227"/>
      <c r="B769" s="232"/>
      <c r="C769" s="227"/>
      <c r="D769" s="227"/>
      <c r="E769" s="231"/>
      <c r="F769" s="232"/>
      <c r="G769" s="227"/>
      <c r="H769" s="227"/>
      <c r="I769" s="227"/>
      <c r="J769" s="227"/>
      <c r="K769" s="227"/>
      <c r="L769" s="232"/>
      <c r="M769" s="232"/>
      <c r="N769" s="227"/>
      <c r="O769" s="227"/>
      <c r="P769" s="231"/>
      <c r="Q769" s="227"/>
      <c r="R769" s="231"/>
      <c r="S769" s="231"/>
      <c r="T769" s="231"/>
      <c r="U769" s="231"/>
      <c r="V769" s="231"/>
      <c r="W769" s="231"/>
      <c r="X769" s="227"/>
      <c r="Y769" s="232"/>
      <c r="Z769" s="232"/>
      <c r="AA769" s="232"/>
      <c r="AB769" s="232"/>
      <c r="AC769" s="227"/>
      <c r="AD769" s="227"/>
      <c r="AE769" s="231"/>
      <c r="AF769" s="227"/>
      <c r="AG769" s="232"/>
      <c r="AH769" s="232"/>
      <c r="AI769" s="232"/>
      <c r="AJ769" s="232"/>
      <c r="AK769" s="232"/>
      <c r="AL769" s="232"/>
      <c r="AM769" s="232"/>
      <c r="AN769" s="232"/>
      <c r="AO769" s="231"/>
      <c r="AP769" s="231"/>
      <c r="AQ769" s="227"/>
      <c r="AR769" s="231"/>
      <c r="AS769" s="227"/>
      <c r="AT769" s="227"/>
      <c r="AU769" s="227"/>
      <c r="AV769" s="227"/>
    </row>
    <row r="770">
      <c r="A770" s="227"/>
      <c r="B770" s="232"/>
      <c r="C770" s="227"/>
      <c r="D770" s="227"/>
      <c r="E770" s="231"/>
      <c r="F770" s="232"/>
      <c r="G770" s="227"/>
      <c r="H770" s="227"/>
      <c r="I770" s="227"/>
      <c r="J770" s="227"/>
      <c r="K770" s="227"/>
      <c r="L770" s="232"/>
      <c r="M770" s="232"/>
      <c r="N770" s="227"/>
      <c r="O770" s="227"/>
      <c r="P770" s="231"/>
      <c r="Q770" s="227"/>
      <c r="R770" s="231"/>
      <c r="S770" s="231"/>
      <c r="T770" s="231"/>
      <c r="U770" s="231"/>
      <c r="V770" s="231"/>
      <c r="W770" s="231"/>
      <c r="X770" s="227"/>
      <c r="Y770" s="232"/>
      <c r="Z770" s="232"/>
      <c r="AA770" s="232"/>
      <c r="AB770" s="232"/>
      <c r="AC770" s="227"/>
      <c r="AD770" s="227"/>
      <c r="AE770" s="231"/>
      <c r="AF770" s="227"/>
      <c r="AG770" s="232"/>
      <c r="AH770" s="232"/>
      <c r="AI770" s="232"/>
      <c r="AJ770" s="232"/>
      <c r="AK770" s="232"/>
      <c r="AL770" s="232"/>
      <c r="AM770" s="232"/>
      <c r="AN770" s="232"/>
      <c r="AO770" s="231"/>
      <c r="AP770" s="231"/>
      <c r="AQ770" s="227"/>
      <c r="AR770" s="231"/>
      <c r="AS770" s="227"/>
      <c r="AT770" s="227"/>
      <c r="AU770" s="227"/>
      <c r="AV770" s="227"/>
    </row>
    <row r="771">
      <c r="A771" s="227"/>
      <c r="B771" s="232"/>
      <c r="C771" s="227"/>
      <c r="D771" s="227"/>
      <c r="E771" s="231"/>
      <c r="F771" s="232"/>
      <c r="G771" s="227"/>
      <c r="H771" s="227"/>
      <c r="I771" s="227"/>
      <c r="J771" s="227"/>
      <c r="K771" s="227"/>
      <c r="L771" s="232"/>
      <c r="M771" s="232"/>
      <c r="N771" s="227"/>
      <c r="O771" s="227"/>
      <c r="P771" s="231"/>
      <c r="Q771" s="227"/>
      <c r="R771" s="231"/>
      <c r="S771" s="231"/>
      <c r="T771" s="231"/>
      <c r="U771" s="231"/>
      <c r="V771" s="231"/>
      <c r="W771" s="231"/>
      <c r="X771" s="227"/>
      <c r="Y771" s="232"/>
      <c r="Z771" s="232"/>
      <c r="AA771" s="232"/>
      <c r="AB771" s="232"/>
      <c r="AC771" s="227"/>
      <c r="AD771" s="227"/>
      <c r="AE771" s="231"/>
      <c r="AF771" s="227"/>
      <c r="AG771" s="232"/>
      <c r="AH771" s="232"/>
      <c r="AI771" s="232"/>
      <c r="AJ771" s="232"/>
      <c r="AK771" s="232"/>
      <c r="AL771" s="232"/>
      <c r="AM771" s="232"/>
      <c r="AN771" s="232"/>
      <c r="AO771" s="231"/>
      <c r="AP771" s="231"/>
      <c r="AQ771" s="227"/>
      <c r="AR771" s="231"/>
      <c r="AS771" s="227"/>
      <c r="AT771" s="227"/>
      <c r="AU771" s="227"/>
      <c r="AV771" s="227"/>
    </row>
    <row r="772">
      <c r="A772" s="227"/>
      <c r="B772" s="232"/>
      <c r="C772" s="227"/>
      <c r="D772" s="227"/>
      <c r="E772" s="231"/>
      <c r="F772" s="232"/>
      <c r="G772" s="227"/>
      <c r="H772" s="227"/>
      <c r="I772" s="227"/>
      <c r="J772" s="227"/>
      <c r="K772" s="227"/>
      <c r="L772" s="232"/>
      <c r="M772" s="232"/>
      <c r="N772" s="227"/>
      <c r="O772" s="227"/>
      <c r="P772" s="231"/>
      <c r="Q772" s="227"/>
      <c r="R772" s="231"/>
      <c r="S772" s="231"/>
      <c r="T772" s="231"/>
      <c r="U772" s="231"/>
      <c r="V772" s="231"/>
      <c r="W772" s="231"/>
      <c r="X772" s="227"/>
      <c r="Y772" s="232"/>
      <c r="Z772" s="232"/>
      <c r="AA772" s="232"/>
      <c r="AB772" s="232"/>
      <c r="AC772" s="227"/>
      <c r="AD772" s="227"/>
      <c r="AE772" s="231"/>
      <c r="AF772" s="227"/>
      <c r="AG772" s="232"/>
      <c r="AH772" s="232"/>
      <c r="AI772" s="232"/>
      <c r="AJ772" s="232"/>
      <c r="AK772" s="232"/>
      <c r="AL772" s="232"/>
      <c r="AM772" s="232"/>
      <c r="AN772" s="232"/>
      <c r="AO772" s="231"/>
      <c r="AP772" s="231"/>
      <c r="AQ772" s="227"/>
      <c r="AR772" s="231"/>
      <c r="AS772" s="227"/>
      <c r="AT772" s="227"/>
      <c r="AU772" s="227"/>
      <c r="AV772" s="227"/>
    </row>
    <row r="773">
      <c r="A773" s="227"/>
      <c r="B773" s="232"/>
      <c r="C773" s="227"/>
      <c r="D773" s="227"/>
      <c r="E773" s="231"/>
      <c r="F773" s="232"/>
      <c r="G773" s="227"/>
      <c r="H773" s="227"/>
      <c r="I773" s="227"/>
      <c r="J773" s="227"/>
      <c r="K773" s="227"/>
      <c r="L773" s="232"/>
      <c r="M773" s="232"/>
      <c r="N773" s="227"/>
      <c r="O773" s="227"/>
      <c r="P773" s="231"/>
      <c r="Q773" s="227"/>
      <c r="R773" s="231"/>
      <c r="S773" s="231"/>
      <c r="T773" s="231"/>
      <c r="U773" s="231"/>
      <c r="V773" s="231"/>
      <c r="W773" s="231"/>
      <c r="X773" s="227"/>
      <c r="Y773" s="232"/>
      <c r="Z773" s="232"/>
      <c r="AA773" s="232"/>
      <c r="AB773" s="232"/>
      <c r="AC773" s="227"/>
      <c r="AD773" s="227"/>
      <c r="AE773" s="231"/>
      <c r="AF773" s="227"/>
      <c r="AG773" s="232"/>
      <c r="AH773" s="232"/>
      <c r="AI773" s="232"/>
      <c r="AJ773" s="232"/>
      <c r="AK773" s="232"/>
      <c r="AL773" s="232"/>
      <c r="AM773" s="232"/>
      <c r="AN773" s="232"/>
      <c r="AO773" s="231"/>
      <c r="AP773" s="231"/>
      <c r="AQ773" s="227"/>
      <c r="AR773" s="231"/>
      <c r="AS773" s="227"/>
      <c r="AT773" s="227"/>
      <c r="AU773" s="227"/>
      <c r="AV773" s="227"/>
    </row>
    <row r="774">
      <c r="A774" s="227"/>
      <c r="B774" s="232"/>
      <c r="C774" s="227"/>
      <c r="D774" s="227"/>
      <c r="E774" s="231"/>
      <c r="F774" s="232"/>
      <c r="G774" s="227"/>
      <c r="H774" s="227"/>
      <c r="I774" s="227"/>
      <c r="J774" s="227"/>
      <c r="K774" s="227"/>
      <c r="L774" s="232"/>
      <c r="M774" s="232"/>
      <c r="N774" s="227"/>
      <c r="O774" s="227"/>
      <c r="P774" s="231"/>
      <c r="Q774" s="227"/>
      <c r="R774" s="231"/>
      <c r="S774" s="231"/>
      <c r="T774" s="231"/>
      <c r="U774" s="231"/>
      <c r="V774" s="231"/>
      <c r="W774" s="231"/>
      <c r="X774" s="227"/>
      <c r="Y774" s="232"/>
      <c r="Z774" s="232"/>
      <c r="AA774" s="232"/>
      <c r="AB774" s="232"/>
      <c r="AC774" s="227"/>
      <c r="AD774" s="227"/>
      <c r="AE774" s="231"/>
      <c r="AF774" s="227"/>
      <c r="AG774" s="232"/>
      <c r="AH774" s="232"/>
      <c r="AI774" s="232"/>
      <c r="AJ774" s="232"/>
      <c r="AK774" s="232"/>
      <c r="AL774" s="232"/>
      <c r="AM774" s="232"/>
      <c r="AN774" s="232"/>
      <c r="AO774" s="231"/>
      <c r="AP774" s="231"/>
      <c r="AQ774" s="227"/>
      <c r="AR774" s="231"/>
      <c r="AS774" s="227"/>
      <c r="AT774" s="227"/>
      <c r="AU774" s="227"/>
      <c r="AV774" s="227"/>
    </row>
    <row r="775">
      <c r="A775" s="227"/>
      <c r="B775" s="232"/>
      <c r="C775" s="227"/>
      <c r="D775" s="227"/>
      <c r="E775" s="231"/>
      <c r="F775" s="232"/>
      <c r="G775" s="227"/>
      <c r="H775" s="227"/>
      <c r="I775" s="227"/>
      <c r="J775" s="227"/>
      <c r="K775" s="227"/>
      <c r="L775" s="232"/>
      <c r="M775" s="232"/>
      <c r="N775" s="227"/>
      <c r="O775" s="227"/>
      <c r="P775" s="231"/>
      <c r="Q775" s="227"/>
      <c r="R775" s="231"/>
      <c r="S775" s="231"/>
      <c r="T775" s="231"/>
      <c r="U775" s="231"/>
      <c r="V775" s="231"/>
      <c r="W775" s="231"/>
      <c r="X775" s="227"/>
      <c r="Y775" s="232"/>
      <c r="Z775" s="232"/>
      <c r="AA775" s="232"/>
      <c r="AB775" s="232"/>
      <c r="AC775" s="227"/>
      <c r="AD775" s="227"/>
      <c r="AE775" s="231"/>
      <c r="AF775" s="227"/>
      <c r="AG775" s="232"/>
      <c r="AH775" s="232"/>
      <c r="AI775" s="232"/>
      <c r="AJ775" s="232"/>
      <c r="AK775" s="232"/>
      <c r="AL775" s="232"/>
      <c r="AM775" s="232"/>
      <c r="AN775" s="232"/>
      <c r="AO775" s="231"/>
      <c r="AP775" s="231"/>
      <c r="AQ775" s="227"/>
      <c r="AR775" s="231"/>
      <c r="AS775" s="227"/>
      <c r="AT775" s="227"/>
      <c r="AU775" s="227"/>
      <c r="AV775" s="227"/>
    </row>
    <row r="776">
      <c r="A776" s="227"/>
      <c r="B776" s="232"/>
      <c r="C776" s="227"/>
      <c r="D776" s="227"/>
      <c r="E776" s="231"/>
      <c r="F776" s="232"/>
      <c r="G776" s="227"/>
      <c r="H776" s="227"/>
      <c r="I776" s="227"/>
      <c r="J776" s="227"/>
      <c r="K776" s="227"/>
      <c r="L776" s="232"/>
      <c r="M776" s="232"/>
      <c r="N776" s="227"/>
      <c r="O776" s="227"/>
      <c r="P776" s="231"/>
      <c r="Q776" s="227"/>
      <c r="R776" s="231"/>
      <c r="S776" s="231"/>
      <c r="T776" s="231"/>
      <c r="U776" s="231"/>
      <c r="V776" s="231"/>
      <c r="W776" s="231"/>
      <c r="X776" s="227"/>
      <c r="Y776" s="232"/>
      <c r="Z776" s="232"/>
      <c r="AA776" s="232"/>
      <c r="AB776" s="232"/>
      <c r="AC776" s="227"/>
      <c r="AD776" s="227"/>
      <c r="AE776" s="231"/>
      <c r="AF776" s="227"/>
      <c r="AG776" s="232"/>
      <c r="AH776" s="232"/>
      <c r="AI776" s="232"/>
      <c r="AJ776" s="232"/>
      <c r="AK776" s="232"/>
      <c r="AL776" s="232"/>
      <c r="AM776" s="232"/>
      <c r="AN776" s="232"/>
      <c r="AO776" s="231"/>
      <c r="AP776" s="231"/>
      <c r="AQ776" s="227"/>
      <c r="AR776" s="231"/>
      <c r="AS776" s="227"/>
      <c r="AT776" s="227"/>
      <c r="AU776" s="227"/>
      <c r="AV776" s="227"/>
    </row>
    <row r="777">
      <c r="A777" s="227"/>
      <c r="B777" s="232"/>
      <c r="C777" s="227"/>
      <c r="D777" s="227"/>
      <c r="E777" s="231"/>
      <c r="F777" s="232"/>
      <c r="G777" s="227"/>
      <c r="H777" s="227"/>
      <c r="I777" s="227"/>
      <c r="J777" s="227"/>
      <c r="K777" s="227"/>
      <c r="L777" s="232"/>
      <c r="M777" s="232"/>
      <c r="N777" s="227"/>
      <c r="O777" s="227"/>
      <c r="P777" s="231"/>
      <c r="Q777" s="227"/>
      <c r="R777" s="231"/>
      <c r="S777" s="231"/>
      <c r="T777" s="231"/>
      <c r="U777" s="231"/>
      <c r="V777" s="231"/>
      <c r="W777" s="231"/>
      <c r="X777" s="227"/>
      <c r="Y777" s="232"/>
      <c r="Z777" s="232"/>
      <c r="AA777" s="232"/>
      <c r="AB777" s="232"/>
      <c r="AC777" s="227"/>
      <c r="AD777" s="227"/>
      <c r="AE777" s="231"/>
      <c r="AF777" s="227"/>
      <c r="AG777" s="232"/>
      <c r="AH777" s="232"/>
      <c r="AI777" s="232"/>
      <c r="AJ777" s="232"/>
      <c r="AK777" s="232"/>
      <c r="AL777" s="232"/>
      <c r="AM777" s="232"/>
      <c r="AN777" s="232"/>
      <c r="AO777" s="231"/>
      <c r="AP777" s="231"/>
      <c r="AQ777" s="227"/>
      <c r="AR777" s="231"/>
      <c r="AS777" s="227"/>
      <c r="AT777" s="227"/>
      <c r="AU777" s="227"/>
      <c r="AV777" s="227"/>
    </row>
    <row r="778">
      <c r="A778" s="227"/>
      <c r="B778" s="232"/>
      <c r="C778" s="227"/>
      <c r="D778" s="227"/>
      <c r="E778" s="231"/>
      <c r="F778" s="232"/>
      <c r="G778" s="227"/>
      <c r="H778" s="227"/>
      <c r="I778" s="227"/>
      <c r="J778" s="227"/>
      <c r="K778" s="227"/>
      <c r="L778" s="232"/>
      <c r="M778" s="232"/>
      <c r="N778" s="227"/>
      <c r="O778" s="227"/>
      <c r="P778" s="231"/>
      <c r="Q778" s="227"/>
      <c r="R778" s="231"/>
      <c r="S778" s="231"/>
      <c r="T778" s="231"/>
      <c r="U778" s="231"/>
      <c r="V778" s="231"/>
      <c r="W778" s="231"/>
      <c r="X778" s="227"/>
      <c r="Y778" s="232"/>
      <c r="Z778" s="232"/>
      <c r="AA778" s="232"/>
      <c r="AB778" s="232"/>
      <c r="AC778" s="227"/>
      <c r="AD778" s="227"/>
      <c r="AE778" s="231"/>
      <c r="AF778" s="227"/>
      <c r="AG778" s="232"/>
      <c r="AH778" s="232"/>
      <c r="AI778" s="232"/>
      <c r="AJ778" s="232"/>
      <c r="AK778" s="232"/>
      <c r="AL778" s="232"/>
      <c r="AM778" s="232"/>
      <c r="AN778" s="232"/>
      <c r="AO778" s="231"/>
      <c r="AP778" s="231"/>
      <c r="AQ778" s="227"/>
      <c r="AR778" s="231"/>
      <c r="AS778" s="227"/>
      <c r="AT778" s="227"/>
      <c r="AU778" s="227"/>
      <c r="AV778" s="227"/>
    </row>
    <row r="779">
      <c r="A779" s="227"/>
      <c r="B779" s="232"/>
      <c r="C779" s="227"/>
      <c r="D779" s="227"/>
      <c r="E779" s="231"/>
      <c r="F779" s="232"/>
      <c r="G779" s="227"/>
      <c r="H779" s="227"/>
      <c r="I779" s="227"/>
      <c r="J779" s="227"/>
      <c r="K779" s="227"/>
      <c r="L779" s="232"/>
      <c r="M779" s="232"/>
      <c r="N779" s="227"/>
      <c r="O779" s="227"/>
      <c r="P779" s="231"/>
      <c r="Q779" s="227"/>
      <c r="R779" s="231"/>
      <c r="S779" s="231"/>
      <c r="T779" s="231"/>
      <c r="U779" s="231"/>
      <c r="V779" s="231"/>
      <c r="W779" s="231"/>
      <c r="X779" s="227"/>
      <c r="Y779" s="232"/>
      <c r="Z779" s="232"/>
      <c r="AA779" s="232"/>
      <c r="AB779" s="232"/>
      <c r="AC779" s="227"/>
      <c r="AD779" s="227"/>
      <c r="AE779" s="231"/>
      <c r="AF779" s="227"/>
      <c r="AG779" s="232"/>
      <c r="AH779" s="232"/>
      <c r="AI779" s="232"/>
      <c r="AJ779" s="232"/>
      <c r="AK779" s="232"/>
      <c r="AL779" s="232"/>
      <c r="AM779" s="232"/>
      <c r="AN779" s="232"/>
      <c r="AO779" s="231"/>
      <c r="AP779" s="231"/>
      <c r="AQ779" s="227"/>
      <c r="AR779" s="231"/>
      <c r="AS779" s="227"/>
      <c r="AT779" s="227"/>
      <c r="AU779" s="227"/>
      <c r="AV779" s="227"/>
    </row>
    <row r="780">
      <c r="A780" s="227"/>
      <c r="B780" s="232"/>
      <c r="C780" s="227"/>
      <c r="D780" s="227"/>
      <c r="E780" s="231"/>
      <c r="F780" s="232"/>
      <c r="G780" s="227"/>
      <c r="H780" s="227"/>
      <c r="I780" s="227"/>
      <c r="J780" s="227"/>
      <c r="K780" s="227"/>
      <c r="L780" s="232"/>
      <c r="M780" s="232"/>
      <c r="N780" s="227"/>
      <c r="O780" s="227"/>
      <c r="P780" s="231"/>
      <c r="Q780" s="227"/>
      <c r="R780" s="231"/>
      <c r="S780" s="231"/>
      <c r="T780" s="231"/>
      <c r="U780" s="231"/>
      <c r="V780" s="231"/>
      <c r="W780" s="231"/>
      <c r="X780" s="227"/>
      <c r="Y780" s="232"/>
      <c r="Z780" s="232"/>
      <c r="AA780" s="232"/>
      <c r="AB780" s="232"/>
      <c r="AC780" s="227"/>
      <c r="AD780" s="227"/>
      <c r="AE780" s="231"/>
      <c r="AF780" s="227"/>
      <c r="AG780" s="232"/>
      <c r="AH780" s="232"/>
      <c r="AI780" s="232"/>
      <c r="AJ780" s="232"/>
      <c r="AK780" s="232"/>
      <c r="AL780" s="232"/>
      <c r="AM780" s="232"/>
      <c r="AN780" s="232"/>
      <c r="AO780" s="231"/>
      <c r="AP780" s="231"/>
      <c r="AQ780" s="227"/>
      <c r="AR780" s="231"/>
      <c r="AS780" s="227"/>
      <c r="AT780" s="227"/>
      <c r="AU780" s="227"/>
      <c r="AV780" s="227"/>
    </row>
    <row r="781">
      <c r="A781" s="227"/>
      <c r="B781" s="232"/>
      <c r="C781" s="227"/>
      <c r="D781" s="227"/>
      <c r="E781" s="231"/>
      <c r="F781" s="232"/>
      <c r="G781" s="227"/>
      <c r="H781" s="227"/>
      <c r="I781" s="227"/>
      <c r="J781" s="227"/>
      <c r="K781" s="227"/>
      <c r="L781" s="232"/>
      <c r="M781" s="232"/>
      <c r="N781" s="227"/>
      <c r="O781" s="227"/>
      <c r="P781" s="231"/>
      <c r="Q781" s="227"/>
      <c r="R781" s="231"/>
      <c r="S781" s="231"/>
      <c r="T781" s="231"/>
      <c r="U781" s="231"/>
      <c r="V781" s="231"/>
      <c r="W781" s="231"/>
      <c r="X781" s="227"/>
      <c r="Y781" s="232"/>
      <c r="Z781" s="232"/>
      <c r="AA781" s="232"/>
      <c r="AB781" s="232"/>
      <c r="AC781" s="227"/>
      <c r="AD781" s="227"/>
      <c r="AE781" s="231"/>
      <c r="AF781" s="227"/>
      <c r="AG781" s="232"/>
      <c r="AH781" s="232"/>
      <c r="AI781" s="232"/>
      <c r="AJ781" s="232"/>
      <c r="AK781" s="232"/>
      <c r="AL781" s="232"/>
      <c r="AM781" s="232"/>
      <c r="AN781" s="232"/>
      <c r="AO781" s="231"/>
      <c r="AP781" s="231"/>
      <c r="AQ781" s="227"/>
      <c r="AR781" s="231"/>
      <c r="AS781" s="227"/>
      <c r="AT781" s="227"/>
      <c r="AU781" s="227"/>
      <c r="AV781" s="227"/>
    </row>
    <row r="782">
      <c r="A782" s="227"/>
      <c r="B782" s="232"/>
      <c r="C782" s="227"/>
      <c r="D782" s="227"/>
      <c r="E782" s="231"/>
      <c r="F782" s="232"/>
      <c r="G782" s="227"/>
      <c r="H782" s="227"/>
      <c r="I782" s="227"/>
      <c r="J782" s="227"/>
      <c r="K782" s="227"/>
      <c r="L782" s="232"/>
      <c r="M782" s="232"/>
      <c r="N782" s="227"/>
      <c r="O782" s="227"/>
      <c r="P782" s="231"/>
      <c r="Q782" s="227"/>
      <c r="R782" s="231"/>
      <c r="S782" s="231"/>
      <c r="T782" s="231"/>
      <c r="U782" s="231"/>
      <c r="V782" s="231"/>
      <c r="W782" s="231"/>
      <c r="X782" s="227"/>
      <c r="Y782" s="232"/>
      <c r="Z782" s="232"/>
      <c r="AA782" s="232"/>
      <c r="AB782" s="232"/>
      <c r="AC782" s="227"/>
      <c r="AD782" s="227"/>
      <c r="AE782" s="231"/>
      <c r="AF782" s="227"/>
      <c r="AG782" s="232"/>
      <c r="AH782" s="232"/>
      <c r="AI782" s="232"/>
      <c r="AJ782" s="232"/>
      <c r="AK782" s="232"/>
      <c r="AL782" s="232"/>
      <c r="AM782" s="232"/>
      <c r="AN782" s="232"/>
      <c r="AO782" s="231"/>
      <c r="AP782" s="231"/>
      <c r="AQ782" s="227"/>
      <c r="AR782" s="231"/>
      <c r="AS782" s="227"/>
      <c r="AT782" s="227"/>
      <c r="AU782" s="227"/>
      <c r="AV782" s="227"/>
    </row>
    <row r="783">
      <c r="A783" s="227"/>
      <c r="B783" s="232"/>
      <c r="C783" s="227"/>
      <c r="D783" s="227"/>
      <c r="E783" s="231"/>
      <c r="F783" s="232"/>
      <c r="G783" s="227"/>
      <c r="H783" s="227"/>
      <c r="I783" s="227"/>
      <c r="J783" s="227"/>
      <c r="K783" s="227"/>
      <c r="L783" s="232"/>
      <c r="M783" s="232"/>
      <c r="N783" s="227"/>
      <c r="O783" s="227"/>
      <c r="P783" s="231"/>
      <c r="Q783" s="227"/>
      <c r="R783" s="231"/>
      <c r="S783" s="231"/>
      <c r="T783" s="231"/>
      <c r="U783" s="231"/>
      <c r="V783" s="231"/>
      <c r="W783" s="231"/>
      <c r="X783" s="227"/>
      <c r="Y783" s="232"/>
      <c r="Z783" s="232"/>
      <c r="AA783" s="232"/>
      <c r="AB783" s="232"/>
      <c r="AC783" s="227"/>
      <c r="AD783" s="227"/>
      <c r="AE783" s="231"/>
      <c r="AF783" s="227"/>
      <c r="AG783" s="232"/>
      <c r="AH783" s="232"/>
      <c r="AI783" s="232"/>
      <c r="AJ783" s="232"/>
      <c r="AK783" s="232"/>
      <c r="AL783" s="232"/>
      <c r="AM783" s="232"/>
      <c r="AN783" s="232"/>
      <c r="AO783" s="231"/>
      <c r="AP783" s="231"/>
      <c r="AQ783" s="227"/>
      <c r="AR783" s="231"/>
      <c r="AS783" s="227"/>
      <c r="AT783" s="227"/>
      <c r="AU783" s="227"/>
      <c r="AV783" s="227"/>
    </row>
    <row r="784">
      <c r="A784" s="227"/>
      <c r="B784" s="232"/>
      <c r="C784" s="227"/>
      <c r="D784" s="227"/>
      <c r="E784" s="231"/>
      <c r="F784" s="232"/>
      <c r="G784" s="227"/>
      <c r="H784" s="227"/>
      <c r="I784" s="227"/>
      <c r="J784" s="227"/>
      <c r="K784" s="227"/>
      <c r="L784" s="232"/>
      <c r="M784" s="232"/>
      <c r="N784" s="227"/>
      <c r="O784" s="227"/>
      <c r="P784" s="231"/>
      <c r="Q784" s="227"/>
      <c r="R784" s="231"/>
      <c r="S784" s="231"/>
      <c r="T784" s="231"/>
      <c r="U784" s="231"/>
      <c r="V784" s="231"/>
      <c r="W784" s="231"/>
      <c r="X784" s="227"/>
      <c r="Y784" s="232"/>
      <c r="Z784" s="232"/>
      <c r="AA784" s="232"/>
      <c r="AB784" s="232"/>
      <c r="AC784" s="227"/>
      <c r="AD784" s="227"/>
      <c r="AE784" s="231"/>
      <c r="AF784" s="227"/>
      <c r="AG784" s="232"/>
      <c r="AH784" s="232"/>
      <c r="AI784" s="232"/>
      <c r="AJ784" s="232"/>
      <c r="AK784" s="232"/>
      <c r="AL784" s="232"/>
      <c r="AM784" s="232"/>
      <c r="AN784" s="232"/>
      <c r="AO784" s="231"/>
      <c r="AP784" s="231"/>
      <c r="AQ784" s="227"/>
      <c r="AR784" s="231"/>
      <c r="AS784" s="227"/>
      <c r="AT784" s="227"/>
      <c r="AU784" s="227"/>
      <c r="AV784" s="227"/>
    </row>
    <row r="785">
      <c r="A785" s="227"/>
      <c r="B785" s="232"/>
      <c r="C785" s="227"/>
      <c r="D785" s="227"/>
      <c r="E785" s="231"/>
      <c r="F785" s="232"/>
      <c r="G785" s="227"/>
      <c r="H785" s="227"/>
      <c r="I785" s="227"/>
      <c r="J785" s="227"/>
      <c r="K785" s="227"/>
      <c r="L785" s="232"/>
      <c r="M785" s="232"/>
      <c r="N785" s="227"/>
      <c r="O785" s="227"/>
      <c r="P785" s="231"/>
      <c r="Q785" s="227"/>
      <c r="R785" s="231"/>
      <c r="S785" s="231"/>
      <c r="T785" s="231"/>
      <c r="U785" s="231"/>
      <c r="V785" s="231"/>
      <c r="W785" s="231"/>
      <c r="X785" s="227"/>
      <c r="Y785" s="232"/>
      <c r="Z785" s="232"/>
      <c r="AA785" s="232"/>
      <c r="AB785" s="232"/>
      <c r="AC785" s="227"/>
      <c r="AD785" s="227"/>
      <c r="AE785" s="231"/>
      <c r="AF785" s="227"/>
      <c r="AG785" s="232"/>
      <c r="AH785" s="232"/>
      <c r="AI785" s="232"/>
      <c r="AJ785" s="232"/>
      <c r="AK785" s="232"/>
      <c r="AL785" s="232"/>
      <c r="AM785" s="232"/>
      <c r="AN785" s="232"/>
      <c r="AO785" s="231"/>
      <c r="AP785" s="231"/>
      <c r="AQ785" s="227"/>
      <c r="AR785" s="231"/>
      <c r="AS785" s="227"/>
      <c r="AT785" s="227"/>
      <c r="AU785" s="227"/>
      <c r="AV785" s="227"/>
    </row>
    <row r="786">
      <c r="A786" s="227"/>
      <c r="B786" s="232"/>
      <c r="C786" s="227"/>
      <c r="D786" s="227"/>
      <c r="E786" s="231"/>
      <c r="F786" s="232"/>
      <c r="G786" s="227"/>
      <c r="H786" s="227"/>
      <c r="I786" s="227"/>
      <c r="J786" s="227"/>
      <c r="K786" s="227"/>
      <c r="L786" s="232"/>
      <c r="M786" s="232"/>
      <c r="N786" s="227"/>
      <c r="O786" s="227"/>
      <c r="P786" s="231"/>
      <c r="Q786" s="227"/>
      <c r="R786" s="231"/>
      <c r="S786" s="231"/>
      <c r="T786" s="231"/>
      <c r="U786" s="231"/>
      <c r="V786" s="231"/>
      <c r="W786" s="231"/>
      <c r="X786" s="227"/>
      <c r="Y786" s="232"/>
      <c r="Z786" s="232"/>
      <c r="AA786" s="232"/>
      <c r="AB786" s="232"/>
      <c r="AC786" s="227"/>
      <c r="AD786" s="227"/>
      <c r="AE786" s="231"/>
      <c r="AF786" s="227"/>
      <c r="AG786" s="232"/>
      <c r="AH786" s="232"/>
      <c r="AI786" s="232"/>
      <c r="AJ786" s="232"/>
      <c r="AK786" s="232"/>
      <c r="AL786" s="232"/>
      <c r="AM786" s="232"/>
      <c r="AN786" s="232"/>
      <c r="AO786" s="231"/>
      <c r="AP786" s="231"/>
      <c r="AQ786" s="227"/>
      <c r="AR786" s="231"/>
      <c r="AS786" s="227"/>
      <c r="AT786" s="227"/>
      <c r="AU786" s="227"/>
      <c r="AV786" s="227"/>
    </row>
    <row r="787">
      <c r="A787" s="227"/>
      <c r="B787" s="232"/>
      <c r="C787" s="227"/>
      <c r="D787" s="227"/>
      <c r="E787" s="231"/>
      <c r="F787" s="232"/>
      <c r="G787" s="227"/>
      <c r="H787" s="227"/>
      <c r="I787" s="227"/>
      <c r="J787" s="227"/>
      <c r="K787" s="227"/>
      <c r="L787" s="232"/>
      <c r="M787" s="232"/>
      <c r="N787" s="227"/>
      <c r="O787" s="227"/>
      <c r="P787" s="231"/>
      <c r="Q787" s="227"/>
      <c r="R787" s="231"/>
      <c r="S787" s="231"/>
      <c r="T787" s="231"/>
      <c r="U787" s="231"/>
      <c r="V787" s="231"/>
      <c r="W787" s="231"/>
      <c r="X787" s="227"/>
      <c r="Y787" s="232"/>
      <c r="Z787" s="232"/>
      <c r="AA787" s="232"/>
      <c r="AB787" s="232"/>
      <c r="AC787" s="227"/>
      <c r="AD787" s="227"/>
      <c r="AE787" s="231"/>
      <c r="AF787" s="227"/>
      <c r="AG787" s="232"/>
      <c r="AH787" s="232"/>
      <c r="AI787" s="232"/>
      <c r="AJ787" s="232"/>
      <c r="AK787" s="232"/>
      <c r="AL787" s="232"/>
      <c r="AM787" s="232"/>
      <c r="AN787" s="232"/>
      <c r="AO787" s="231"/>
      <c r="AP787" s="231"/>
      <c r="AQ787" s="227"/>
      <c r="AR787" s="231"/>
      <c r="AS787" s="227"/>
      <c r="AT787" s="227"/>
      <c r="AU787" s="227"/>
      <c r="AV787" s="227"/>
    </row>
    <row r="788">
      <c r="A788" s="227"/>
      <c r="B788" s="232"/>
      <c r="C788" s="227"/>
      <c r="D788" s="227"/>
      <c r="E788" s="231"/>
      <c r="F788" s="232"/>
      <c r="G788" s="227"/>
      <c r="H788" s="227"/>
      <c r="I788" s="227"/>
      <c r="J788" s="227"/>
      <c r="K788" s="227"/>
      <c r="L788" s="232"/>
      <c r="M788" s="232"/>
      <c r="N788" s="227"/>
      <c r="O788" s="227"/>
      <c r="P788" s="231"/>
      <c r="Q788" s="227"/>
      <c r="R788" s="231"/>
      <c r="S788" s="231"/>
      <c r="T788" s="231"/>
      <c r="U788" s="231"/>
      <c r="V788" s="231"/>
      <c r="W788" s="231"/>
      <c r="X788" s="227"/>
      <c r="Y788" s="232"/>
      <c r="Z788" s="232"/>
      <c r="AA788" s="232"/>
      <c r="AB788" s="232"/>
      <c r="AC788" s="227"/>
      <c r="AD788" s="227"/>
      <c r="AE788" s="231"/>
      <c r="AF788" s="227"/>
      <c r="AG788" s="232"/>
      <c r="AH788" s="232"/>
      <c r="AI788" s="232"/>
      <c r="AJ788" s="232"/>
      <c r="AK788" s="232"/>
      <c r="AL788" s="232"/>
      <c r="AM788" s="232"/>
      <c r="AN788" s="232"/>
      <c r="AO788" s="231"/>
      <c r="AP788" s="231"/>
      <c r="AQ788" s="227"/>
      <c r="AR788" s="231"/>
      <c r="AS788" s="227"/>
      <c r="AT788" s="227"/>
      <c r="AU788" s="227"/>
      <c r="AV788" s="227"/>
    </row>
    <row r="789">
      <c r="A789" s="227"/>
      <c r="B789" s="232"/>
      <c r="C789" s="227"/>
      <c r="D789" s="227"/>
      <c r="E789" s="231"/>
      <c r="F789" s="232"/>
      <c r="G789" s="227"/>
      <c r="H789" s="227"/>
      <c r="I789" s="227"/>
      <c r="J789" s="227"/>
      <c r="K789" s="227"/>
      <c r="L789" s="232"/>
      <c r="M789" s="232"/>
      <c r="N789" s="227"/>
      <c r="O789" s="227"/>
      <c r="P789" s="231"/>
      <c r="Q789" s="227"/>
      <c r="R789" s="231"/>
      <c r="S789" s="231"/>
      <c r="T789" s="231"/>
      <c r="U789" s="231"/>
      <c r="V789" s="231"/>
      <c r="W789" s="231"/>
      <c r="X789" s="227"/>
      <c r="Y789" s="232"/>
      <c r="Z789" s="232"/>
      <c r="AA789" s="232"/>
      <c r="AB789" s="232"/>
      <c r="AC789" s="227"/>
      <c r="AD789" s="227"/>
      <c r="AE789" s="231"/>
      <c r="AF789" s="227"/>
      <c r="AG789" s="232"/>
      <c r="AH789" s="232"/>
      <c r="AI789" s="232"/>
      <c r="AJ789" s="232"/>
      <c r="AK789" s="232"/>
      <c r="AL789" s="232"/>
      <c r="AM789" s="232"/>
      <c r="AN789" s="232"/>
      <c r="AO789" s="231"/>
      <c r="AP789" s="231"/>
      <c r="AQ789" s="227"/>
      <c r="AR789" s="231"/>
      <c r="AS789" s="227"/>
      <c r="AT789" s="227"/>
      <c r="AU789" s="227"/>
      <c r="AV789" s="227"/>
    </row>
    <row r="790">
      <c r="A790" s="227"/>
      <c r="B790" s="232"/>
      <c r="C790" s="227"/>
      <c r="D790" s="227"/>
      <c r="E790" s="231"/>
      <c r="F790" s="232"/>
      <c r="G790" s="227"/>
      <c r="H790" s="227"/>
      <c r="I790" s="227"/>
      <c r="J790" s="227"/>
      <c r="K790" s="227"/>
      <c r="L790" s="232"/>
      <c r="M790" s="232"/>
      <c r="N790" s="227"/>
      <c r="O790" s="227"/>
      <c r="P790" s="231"/>
      <c r="Q790" s="227"/>
      <c r="R790" s="231"/>
      <c r="S790" s="231"/>
      <c r="T790" s="231"/>
      <c r="U790" s="231"/>
      <c r="V790" s="231"/>
      <c r="W790" s="231"/>
      <c r="X790" s="227"/>
      <c r="Y790" s="232"/>
      <c r="Z790" s="232"/>
      <c r="AA790" s="232"/>
      <c r="AB790" s="232"/>
      <c r="AC790" s="227"/>
      <c r="AD790" s="227"/>
      <c r="AE790" s="231"/>
      <c r="AF790" s="227"/>
      <c r="AG790" s="232"/>
      <c r="AH790" s="232"/>
      <c r="AI790" s="232"/>
      <c r="AJ790" s="232"/>
      <c r="AK790" s="232"/>
      <c r="AL790" s="232"/>
      <c r="AM790" s="232"/>
      <c r="AN790" s="232"/>
      <c r="AO790" s="231"/>
      <c r="AP790" s="231"/>
      <c r="AQ790" s="227"/>
      <c r="AR790" s="231"/>
      <c r="AS790" s="227"/>
      <c r="AT790" s="227"/>
      <c r="AU790" s="227"/>
      <c r="AV790" s="227"/>
    </row>
    <row r="791">
      <c r="A791" s="227"/>
      <c r="B791" s="232"/>
      <c r="C791" s="227"/>
      <c r="D791" s="227"/>
      <c r="E791" s="231"/>
      <c r="F791" s="232"/>
      <c r="G791" s="227"/>
      <c r="H791" s="227"/>
      <c r="I791" s="227"/>
      <c r="J791" s="227"/>
      <c r="K791" s="227"/>
      <c r="L791" s="232"/>
      <c r="M791" s="232"/>
      <c r="N791" s="227"/>
      <c r="O791" s="227"/>
      <c r="P791" s="231"/>
      <c r="Q791" s="227"/>
      <c r="R791" s="231"/>
      <c r="S791" s="231"/>
      <c r="T791" s="231"/>
      <c r="U791" s="231"/>
      <c r="V791" s="231"/>
      <c r="W791" s="231"/>
      <c r="X791" s="227"/>
      <c r="Y791" s="232"/>
      <c r="Z791" s="232"/>
      <c r="AA791" s="232"/>
      <c r="AB791" s="232"/>
      <c r="AC791" s="227"/>
      <c r="AD791" s="227"/>
      <c r="AE791" s="231"/>
      <c r="AF791" s="227"/>
      <c r="AG791" s="232"/>
      <c r="AH791" s="232"/>
      <c r="AI791" s="232"/>
      <c r="AJ791" s="232"/>
      <c r="AK791" s="232"/>
      <c r="AL791" s="232"/>
      <c r="AM791" s="232"/>
      <c r="AN791" s="232"/>
      <c r="AO791" s="231"/>
      <c r="AP791" s="231"/>
      <c r="AQ791" s="227"/>
      <c r="AR791" s="231"/>
      <c r="AS791" s="227"/>
      <c r="AT791" s="227"/>
      <c r="AU791" s="227"/>
      <c r="AV791" s="227"/>
    </row>
    <row r="792">
      <c r="A792" s="227"/>
      <c r="B792" s="232"/>
      <c r="C792" s="227"/>
      <c r="D792" s="227"/>
      <c r="E792" s="231"/>
      <c r="F792" s="232"/>
      <c r="G792" s="227"/>
      <c r="H792" s="227"/>
      <c r="I792" s="227"/>
      <c r="J792" s="227"/>
      <c r="K792" s="227"/>
      <c r="L792" s="232"/>
      <c r="M792" s="232"/>
      <c r="N792" s="227"/>
      <c r="O792" s="227"/>
      <c r="P792" s="231"/>
      <c r="Q792" s="227"/>
      <c r="R792" s="231"/>
      <c r="S792" s="231"/>
      <c r="T792" s="231"/>
      <c r="U792" s="231"/>
      <c r="V792" s="231"/>
      <c r="W792" s="231"/>
      <c r="X792" s="227"/>
      <c r="Y792" s="232"/>
      <c r="Z792" s="232"/>
      <c r="AA792" s="232"/>
      <c r="AB792" s="232"/>
      <c r="AC792" s="227"/>
      <c r="AD792" s="227"/>
      <c r="AE792" s="231"/>
      <c r="AF792" s="227"/>
      <c r="AG792" s="232"/>
      <c r="AH792" s="232"/>
      <c r="AI792" s="232"/>
      <c r="AJ792" s="232"/>
      <c r="AK792" s="232"/>
      <c r="AL792" s="232"/>
      <c r="AM792" s="232"/>
      <c r="AN792" s="232"/>
      <c r="AO792" s="231"/>
      <c r="AP792" s="231"/>
      <c r="AQ792" s="227"/>
      <c r="AR792" s="231"/>
      <c r="AS792" s="227"/>
      <c r="AT792" s="227"/>
      <c r="AU792" s="227"/>
      <c r="AV792" s="227"/>
    </row>
    <row r="793">
      <c r="A793" s="227"/>
      <c r="B793" s="232"/>
      <c r="C793" s="227"/>
      <c r="D793" s="227"/>
      <c r="E793" s="231"/>
      <c r="F793" s="232"/>
      <c r="G793" s="227"/>
      <c r="H793" s="227"/>
      <c r="I793" s="227"/>
      <c r="J793" s="227"/>
      <c r="K793" s="227"/>
      <c r="L793" s="232"/>
      <c r="M793" s="232"/>
      <c r="N793" s="227"/>
      <c r="O793" s="227"/>
      <c r="P793" s="231"/>
      <c r="Q793" s="227"/>
      <c r="R793" s="231"/>
      <c r="S793" s="231"/>
      <c r="T793" s="231"/>
      <c r="U793" s="231"/>
      <c r="V793" s="231"/>
      <c r="W793" s="231"/>
      <c r="X793" s="227"/>
      <c r="Y793" s="232"/>
      <c r="Z793" s="232"/>
      <c r="AA793" s="232"/>
      <c r="AB793" s="232"/>
      <c r="AC793" s="227"/>
      <c r="AD793" s="227"/>
      <c r="AE793" s="231"/>
      <c r="AF793" s="227"/>
      <c r="AG793" s="232"/>
      <c r="AH793" s="232"/>
      <c r="AI793" s="232"/>
      <c r="AJ793" s="232"/>
      <c r="AK793" s="232"/>
      <c r="AL793" s="232"/>
      <c r="AM793" s="232"/>
      <c r="AN793" s="232"/>
      <c r="AO793" s="231"/>
      <c r="AP793" s="231"/>
      <c r="AQ793" s="227"/>
      <c r="AR793" s="231"/>
      <c r="AS793" s="227"/>
      <c r="AT793" s="227"/>
      <c r="AU793" s="227"/>
      <c r="AV793" s="227"/>
    </row>
    <row r="794">
      <c r="A794" s="227"/>
      <c r="B794" s="232"/>
      <c r="C794" s="227"/>
      <c r="D794" s="227"/>
      <c r="E794" s="231"/>
      <c r="F794" s="232"/>
      <c r="G794" s="227"/>
      <c r="H794" s="227"/>
      <c r="I794" s="227"/>
      <c r="J794" s="227"/>
      <c r="K794" s="227"/>
      <c r="L794" s="232"/>
      <c r="M794" s="232"/>
      <c r="N794" s="227"/>
      <c r="O794" s="227"/>
      <c r="P794" s="231"/>
      <c r="Q794" s="227"/>
      <c r="R794" s="231"/>
      <c r="S794" s="231"/>
      <c r="T794" s="231"/>
      <c r="U794" s="231"/>
      <c r="V794" s="231"/>
      <c r="W794" s="231"/>
      <c r="X794" s="227"/>
      <c r="Y794" s="232"/>
      <c r="Z794" s="232"/>
      <c r="AA794" s="232"/>
      <c r="AB794" s="232"/>
      <c r="AC794" s="227"/>
      <c r="AD794" s="227"/>
      <c r="AE794" s="231"/>
      <c r="AF794" s="227"/>
      <c r="AG794" s="232"/>
      <c r="AH794" s="232"/>
      <c r="AI794" s="232"/>
      <c r="AJ794" s="232"/>
      <c r="AK794" s="232"/>
      <c r="AL794" s="232"/>
      <c r="AM794" s="232"/>
      <c r="AN794" s="232"/>
      <c r="AO794" s="231"/>
      <c r="AP794" s="231"/>
      <c r="AQ794" s="227"/>
      <c r="AR794" s="231"/>
      <c r="AS794" s="227"/>
      <c r="AT794" s="227"/>
      <c r="AU794" s="227"/>
      <c r="AV794" s="227"/>
    </row>
    <row r="795">
      <c r="A795" s="227"/>
      <c r="B795" s="232"/>
      <c r="C795" s="227"/>
      <c r="D795" s="227"/>
      <c r="E795" s="231"/>
      <c r="F795" s="232"/>
      <c r="G795" s="227"/>
      <c r="H795" s="227"/>
      <c r="I795" s="227"/>
      <c r="J795" s="227"/>
      <c r="K795" s="227"/>
      <c r="L795" s="232"/>
      <c r="M795" s="232"/>
      <c r="N795" s="227"/>
      <c r="O795" s="227"/>
      <c r="P795" s="231"/>
      <c r="Q795" s="227"/>
      <c r="R795" s="231"/>
      <c r="S795" s="231"/>
      <c r="T795" s="231"/>
      <c r="U795" s="231"/>
      <c r="V795" s="231"/>
      <c r="W795" s="231"/>
      <c r="X795" s="227"/>
      <c r="Y795" s="232"/>
      <c r="Z795" s="232"/>
      <c r="AA795" s="232"/>
      <c r="AB795" s="232"/>
      <c r="AC795" s="227"/>
      <c r="AD795" s="227"/>
      <c r="AE795" s="231"/>
      <c r="AF795" s="227"/>
      <c r="AG795" s="232"/>
      <c r="AH795" s="232"/>
      <c r="AI795" s="232"/>
      <c r="AJ795" s="232"/>
      <c r="AK795" s="232"/>
      <c r="AL795" s="232"/>
      <c r="AM795" s="232"/>
      <c r="AN795" s="232"/>
      <c r="AO795" s="231"/>
      <c r="AP795" s="231"/>
      <c r="AQ795" s="227"/>
      <c r="AR795" s="231"/>
      <c r="AS795" s="227"/>
      <c r="AT795" s="227"/>
      <c r="AU795" s="227"/>
      <c r="AV795" s="227"/>
    </row>
    <row r="796">
      <c r="A796" s="227"/>
      <c r="B796" s="232"/>
      <c r="C796" s="227"/>
      <c r="D796" s="227"/>
      <c r="E796" s="231"/>
      <c r="F796" s="232"/>
      <c r="G796" s="227"/>
      <c r="H796" s="227"/>
      <c r="I796" s="227"/>
      <c r="J796" s="227"/>
      <c r="K796" s="227"/>
      <c r="L796" s="232"/>
      <c r="M796" s="232"/>
      <c r="N796" s="227"/>
      <c r="O796" s="227"/>
      <c r="P796" s="231"/>
      <c r="Q796" s="227"/>
      <c r="R796" s="231"/>
      <c r="S796" s="231"/>
      <c r="T796" s="231"/>
      <c r="U796" s="231"/>
      <c r="V796" s="231"/>
      <c r="W796" s="231"/>
      <c r="X796" s="227"/>
      <c r="Y796" s="232"/>
      <c r="Z796" s="232"/>
      <c r="AA796" s="232"/>
      <c r="AB796" s="232"/>
      <c r="AC796" s="227"/>
      <c r="AD796" s="227"/>
      <c r="AE796" s="231"/>
      <c r="AF796" s="227"/>
      <c r="AG796" s="232"/>
      <c r="AH796" s="232"/>
      <c r="AI796" s="232"/>
      <c r="AJ796" s="232"/>
      <c r="AK796" s="232"/>
      <c r="AL796" s="232"/>
      <c r="AM796" s="232"/>
      <c r="AN796" s="232"/>
      <c r="AO796" s="231"/>
      <c r="AP796" s="231"/>
      <c r="AQ796" s="227"/>
      <c r="AR796" s="231"/>
      <c r="AS796" s="227"/>
      <c r="AT796" s="227"/>
      <c r="AU796" s="227"/>
      <c r="AV796" s="227"/>
    </row>
    <row r="797">
      <c r="A797" s="227"/>
      <c r="B797" s="232"/>
      <c r="C797" s="227"/>
      <c r="D797" s="227"/>
      <c r="E797" s="231"/>
      <c r="F797" s="232"/>
      <c r="G797" s="227"/>
      <c r="H797" s="227"/>
      <c r="I797" s="227"/>
      <c r="J797" s="227"/>
      <c r="K797" s="227"/>
      <c r="L797" s="232"/>
      <c r="M797" s="232"/>
      <c r="N797" s="227"/>
      <c r="O797" s="227"/>
      <c r="P797" s="231"/>
      <c r="Q797" s="227"/>
      <c r="R797" s="231"/>
      <c r="S797" s="231"/>
      <c r="T797" s="231"/>
      <c r="U797" s="231"/>
      <c r="V797" s="231"/>
      <c r="W797" s="231"/>
      <c r="X797" s="227"/>
      <c r="Y797" s="232"/>
      <c r="Z797" s="232"/>
      <c r="AA797" s="232"/>
      <c r="AB797" s="232"/>
      <c r="AC797" s="227"/>
      <c r="AD797" s="227"/>
      <c r="AE797" s="231"/>
      <c r="AF797" s="227"/>
      <c r="AG797" s="232"/>
      <c r="AH797" s="232"/>
      <c r="AI797" s="232"/>
      <c r="AJ797" s="232"/>
      <c r="AK797" s="232"/>
      <c r="AL797" s="232"/>
      <c r="AM797" s="232"/>
      <c r="AN797" s="232"/>
      <c r="AO797" s="231"/>
      <c r="AP797" s="231"/>
      <c r="AQ797" s="227"/>
      <c r="AR797" s="231"/>
      <c r="AS797" s="227"/>
      <c r="AT797" s="227"/>
      <c r="AU797" s="227"/>
      <c r="AV797" s="227"/>
    </row>
    <row r="798">
      <c r="A798" s="227"/>
      <c r="B798" s="232"/>
      <c r="C798" s="227"/>
      <c r="D798" s="227"/>
      <c r="E798" s="231"/>
      <c r="F798" s="232"/>
      <c r="G798" s="227"/>
      <c r="H798" s="227"/>
      <c r="I798" s="227"/>
      <c r="J798" s="227"/>
      <c r="K798" s="227"/>
      <c r="L798" s="232"/>
      <c r="M798" s="232"/>
      <c r="N798" s="227"/>
      <c r="O798" s="227"/>
      <c r="P798" s="231"/>
      <c r="Q798" s="227"/>
      <c r="R798" s="231"/>
      <c r="S798" s="231"/>
      <c r="T798" s="231"/>
      <c r="U798" s="231"/>
      <c r="V798" s="231"/>
      <c r="W798" s="231"/>
      <c r="X798" s="227"/>
      <c r="Y798" s="232"/>
      <c r="Z798" s="232"/>
      <c r="AA798" s="232"/>
      <c r="AB798" s="232"/>
      <c r="AC798" s="227"/>
      <c r="AD798" s="227"/>
      <c r="AE798" s="231"/>
      <c r="AF798" s="227"/>
      <c r="AG798" s="232"/>
      <c r="AH798" s="232"/>
      <c r="AI798" s="232"/>
      <c r="AJ798" s="232"/>
      <c r="AK798" s="232"/>
      <c r="AL798" s="232"/>
      <c r="AM798" s="232"/>
      <c r="AN798" s="232"/>
      <c r="AO798" s="231"/>
      <c r="AP798" s="231"/>
      <c r="AQ798" s="227"/>
      <c r="AR798" s="231"/>
      <c r="AS798" s="227"/>
      <c r="AT798" s="227"/>
      <c r="AU798" s="227"/>
      <c r="AV798" s="227"/>
    </row>
    <row r="799">
      <c r="A799" s="227"/>
      <c r="B799" s="232"/>
      <c r="C799" s="227"/>
      <c r="D799" s="227"/>
      <c r="E799" s="231"/>
      <c r="F799" s="232"/>
      <c r="G799" s="227"/>
      <c r="H799" s="227"/>
      <c r="I799" s="227"/>
      <c r="J799" s="227"/>
      <c r="K799" s="227"/>
      <c r="L799" s="232"/>
      <c r="M799" s="232"/>
      <c r="N799" s="227"/>
      <c r="O799" s="227"/>
      <c r="P799" s="231"/>
      <c r="Q799" s="227"/>
      <c r="R799" s="231"/>
      <c r="S799" s="231"/>
      <c r="T799" s="231"/>
      <c r="U799" s="231"/>
      <c r="V799" s="231"/>
      <c r="W799" s="231"/>
      <c r="X799" s="227"/>
      <c r="Y799" s="232"/>
      <c r="Z799" s="232"/>
      <c r="AA799" s="232"/>
      <c r="AB799" s="232"/>
      <c r="AC799" s="227"/>
      <c r="AD799" s="227"/>
      <c r="AE799" s="231"/>
      <c r="AF799" s="227"/>
      <c r="AG799" s="232"/>
      <c r="AH799" s="232"/>
      <c r="AI799" s="232"/>
      <c r="AJ799" s="232"/>
      <c r="AK799" s="232"/>
      <c r="AL799" s="232"/>
      <c r="AM799" s="232"/>
      <c r="AN799" s="232"/>
      <c r="AO799" s="231"/>
      <c r="AP799" s="231"/>
      <c r="AQ799" s="227"/>
      <c r="AR799" s="231"/>
      <c r="AS799" s="227"/>
      <c r="AT799" s="227"/>
      <c r="AU799" s="227"/>
      <c r="AV799" s="227"/>
    </row>
    <row r="800">
      <c r="A800" s="227"/>
      <c r="B800" s="232"/>
      <c r="C800" s="227"/>
      <c r="D800" s="227"/>
      <c r="E800" s="231"/>
      <c r="F800" s="232"/>
      <c r="G800" s="227"/>
      <c r="H800" s="227"/>
      <c r="I800" s="227"/>
      <c r="J800" s="227"/>
      <c r="K800" s="227"/>
      <c r="L800" s="232"/>
      <c r="M800" s="232"/>
      <c r="N800" s="227"/>
      <c r="O800" s="227"/>
      <c r="P800" s="231"/>
      <c r="Q800" s="227"/>
      <c r="R800" s="231"/>
      <c r="S800" s="231"/>
      <c r="T800" s="231"/>
      <c r="U800" s="231"/>
      <c r="V800" s="231"/>
      <c r="W800" s="231"/>
      <c r="X800" s="227"/>
      <c r="Y800" s="232"/>
      <c r="Z800" s="232"/>
      <c r="AA800" s="232"/>
      <c r="AB800" s="232"/>
      <c r="AC800" s="227"/>
      <c r="AD800" s="227"/>
      <c r="AE800" s="231"/>
      <c r="AF800" s="227"/>
      <c r="AG800" s="232"/>
      <c r="AH800" s="232"/>
      <c r="AI800" s="232"/>
      <c r="AJ800" s="232"/>
      <c r="AK800" s="232"/>
      <c r="AL800" s="232"/>
      <c r="AM800" s="232"/>
      <c r="AN800" s="232"/>
      <c r="AO800" s="231"/>
      <c r="AP800" s="231"/>
      <c r="AQ800" s="227"/>
      <c r="AR800" s="231"/>
      <c r="AS800" s="227"/>
      <c r="AT800" s="227"/>
      <c r="AU800" s="227"/>
      <c r="AV800" s="227"/>
    </row>
    <row r="801">
      <c r="A801" s="227"/>
      <c r="B801" s="232"/>
      <c r="C801" s="227"/>
      <c r="D801" s="227"/>
      <c r="E801" s="231"/>
      <c r="F801" s="232"/>
      <c r="G801" s="227"/>
      <c r="H801" s="227"/>
      <c r="I801" s="227"/>
      <c r="J801" s="227"/>
      <c r="K801" s="227"/>
      <c r="L801" s="232"/>
      <c r="M801" s="232"/>
      <c r="N801" s="227"/>
      <c r="O801" s="227"/>
      <c r="P801" s="231"/>
      <c r="Q801" s="227"/>
      <c r="R801" s="231"/>
      <c r="S801" s="231"/>
      <c r="T801" s="231"/>
      <c r="U801" s="231"/>
      <c r="V801" s="231"/>
      <c r="W801" s="231"/>
      <c r="X801" s="227"/>
      <c r="Y801" s="232"/>
      <c r="Z801" s="232"/>
      <c r="AA801" s="232"/>
      <c r="AB801" s="232"/>
      <c r="AC801" s="227"/>
      <c r="AD801" s="227"/>
      <c r="AE801" s="231"/>
      <c r="AF801" s="227"/>
      <c r="AG801" s="232"/>
      <c r="AH801" s="232"/>
      <c r="AI801" s="232"/>
      <c r="AJ801" s="232"/>
      <c r="AK801" s="232"/>
      <c r="AL801" s="232"/>
      <c r="AM801" s="232"/>
      <c r="AN801" s="232"/>
      <c r="AO801" s="231"/>
      <c r="AP801" s="231"/>
      <c r="AQ801" s="227"/>
      <c r="AR801" s="231"/>
      <c r="AS801" s="227"/>
      <c r="AT801" s="227"/>
      <c r="AU801" s="227"/>
      <c r="AV801" s="227"/>
    </row>
    <row r="802">
      <c r="A802" s="227"/>
      <c r="B802" s="232"/>
      <c r="C802" s="227"/>
      <c r="D802" s="227"/>
      <c r="E802" s="231"/>
      <c r="F802" s="232"/>
      <c r="G802" s="227"/>
      <c r="H802" s="227"/>
      <c r="I802" s="227"/>
      <c r="J802" s="227"/>
      <c r="K802" s="227"/>
      <c r="L802" s="232"/>
      <c r="M802" s="232"/>
      <c r="N802" s="227"/>
      <c r="O802" s="227"/>
      <c r="P802" s="231"/>
      <c r="Q802" s="227"/>
      <c r="R802" s="231"/>
      <c r="S802" s="231"/>
      <c r="T802" s="231"/>
      <c r="U802" s="231"/>
      <c r="V802" s="231"/>
      <c r="W802" s="231"/>
      <c r="X802" s="227"/>
      <c r="Y802" s="232"/>
      <c r="Z802" s="232"/>
      <c r="AA802" s="232"/>
      <c r="AB802" s="232"/>
      <c r="AC802" s="227"/>
      <c r="AD802" s="227"/>
      <c r="AE802" s="231"/>
      <c r="AF802" s="227"/>
      <c r="AG802" s="232"/>
      <c r="AH802" s="232"/>
      <c r="AI802" s="232"/>
      <c r="AJ802" s="232"/>
      <c r="AK802" s="232"/>
      <c r="AL802" s="232"/>
      <c r="AM802" s="232"/>
      <c r="AN802" s="232"/>
      <c r="AO802" s="231"/>
      <c r="AP802" s="231"/>
      <c r="AQ802" s="227"/>
      <c r="AR802" s="231"/>
      <c r="AS802" s="227"/>
      <c r="AT802" s="227"/>
      <c r="AU802" s="227"/>
      <c r="AV802" s="227"/>
    </row>
    <row r="803">
      <c r="A803" s="227"/>
      <c r="B803" s="232"/>
      <c r="C803" s="227"/>
      <c r="D803" s="227"/>
      <c r="E803" s="231"/>
      <c r="F803" s="232"/>
      <c r="G803" s="227"/>
      <c r="H803" s="227"/>
      <c r="I803" s="227"/>
      <c r="J803" s="227"/>
      <c r="K803" s="227"/>
      <c r="L803" s="232"/>
      <c r="M803" s="232"/>
      <c r="N803" s="227"/>
      <c r="O803" s="227"/>
      <c r="P803" s="231"/>
      <c r="Q803" s="227"/>
      <c r="R803" s="231"/>
      <c r="S803" s="231"/>
      <c r="T803" s="231"/>
      <c r="U803" s="231"/>
      <c r="V803" s="231"/>
      <c r="W803" s="231"/>
      <c r="X803" s="227"/>
      <c r="Y803" s="232"/>
      <c r="Z803" s="232"/>
      <c r="AA803" s="232"/>
      <c r="AB803" s="232"/>
      <c r="AC803" s="227"/>
      <c r="AD803" s="227"/>
      <c r="AE803" s="231"/>
      <c r="AF803" s="227"/>
      <c r="AG803" s="232"/>
      <c r="AH803" s="232"/>
      <c r="AI803" s="232"/>
      <c r="AJ803" s="232"/>
      <c r="AK803" s="232"/>
      <c r="AL803" s="232"/>
      <c r="AM803" s="232"/>
      <c r="AN803" s="232"/>
      <c r="AO803" s="231"/>
      <c r="AP803" s="231"/>
      <c r="AQ803" s="227"/>
      <c r="AR803" s="231"/>
      <c r="AS803" s="227"/>
      <c r="AT803" s="227"/>
      <c r="AU803" s="227"/>
      <c r="AV803" s="227"/>
    </row>
    <row r="804">
      <c r="A804" s="227"/>
      <c r="B804" s="232"/>
      <c r="C804" s="227"/>
      <c r="D804" s="227"/>
      <c r="E804" s="231"/>
      <c r="F804" s="232"/>
      <c r="G804" s="227"/>
      <c r="H804" s="227"/>
      <c r="I804" s="227"/>
      <c r="J804" s="227"/>
      <c r="K804" s="227"/>
      <c r="L804" s="232"/>
      <c r="M804" s="232"/>
      <c r="N804" s="227"/>
      <c r="O804" s="227"/>
      <c r="P804" s="231"/>
      <c r="Q804" s="227"/>
      <c r="R804" s="231"/>
      <c r="S804" s="231"/>
      <c r="T804" s="231"/>
      <c r="U804" s="231"/>
      <c r="V804" s="231"/>
      <c r="W804" s="231"/>
      <c r="X804" s="227"/>
      <c r="Y804" s="232"/>
      <c r="Z804" s="232"/>
      <c r="AA804" s="232"/>
      <c r="AB804" s="232"/>
      <c r="AC804" s="227"/>
      <c r="AD804" s="227"/>
      <c r="AE804" s="231"/>
      <c r="AF804" s="227"/>
      <c r="AG804" s="232"/>
      <c r="AH804" s="232"/>
      <c r="AI804" s="232"/>
      <c r="AJ804" s="232"/>
      <c r="AK804" s="232"/>
      <c r="AL804" s="232"/>
      <c r="AM804" s="232"/>
      <c r="AN804" s="232"/>
      <c r="AO804" s="231"/>
      <c r="AP804" s="231"/>
      <c r="AQ804" s="227"/>
      <c r="AR804" s="231"/>
      <c r="AS804" s="227"/>
      <c r="AT804" s="227"/>
      <c r="AU804" s="227"/>
      <c r="AV804" s="227"/>
    </row>
    <row r="805">
      <c r="A805" s="227"/>
      <c r="B805" s="232"/>
      <c r="C805" s="227"/>
      <c r="D805" s="227"/>
      <c r="E805" s="231"/>
      <c r="F805" s="232"/>
      <c r="G805" s="227"/>
      <c r="H805" s="227"/>
      <c r="I805" s="227"/>
      <c r="J805" s="227"/>
      <c r="K805" s="227"/>
      <c r="L805" s="232"/>
      <c r="M805" s="232"/>
      <c r="N805" s="227"/>
      <c r="O805" s="227"/>
      <c r="P805" s="231"/>
      <c r="Q805" s="227"/>
      <c r="R805" s="231"/>
      <c r="S805" s="231"/>
      <c r="T805" s="231"/>
      <c r="U805" s="231"/>
      <c r="V805" s="231"/>
      <c r="W805" s="231"/>
      <c r="X805" s="227"/>
      <c r="Y805" s="232"/>
      <c r="Z805" s="232"/>
      <c r="AA805" s="232"/>
      <c r="AB805" s="232"/>
      <c r="AC805" s="227"/>
      <c r="AD805" s="227"/>
      <c r="AE805" s="231"/>
      <c r="AF805" s="227"/>
      <c r="AG805" s="232"/>
      <c r="AH805" s="232"/>
      <c r="AI805" s="232"/>
      <c r="AJ805" s="232"/>
      <c r="AK805" s="232"/>
      <c r="AL805" s="232"/>
      <c r="AM805" s="232"/>
      <c r="AN805" s="232"/>
      <c r="AO805" s="231"/>
      <c r="AP805" s="231"/>
      <c r="AQ805" s="227"/>
      <c r="AR805" s="231"/>
      <c r="AS805" s="227"/>
      <c r="AT805" s="227"/>
      <c r="AU805" s="227"/>
      <c r="AV805" s="227"/>
    </row>
    <row r="806">
      <c r="A806" s="227"/>
      <c r="B806" s="232"/>
      <c r="C806" s="227"/>
      <c r="D806" s="227"/>
      <c r="E806" s="231"/>
      <c r="F806" s="232"/>
      <c r="G806" s="227"/>
      <c r="H806" s="227"/>
      <c r="I806" s="227"/>
      <c r="J806" s="227"/>
      <c r="K806" s="227"/>
      <c r="L806" s="232"/>
      <c r="M806" s="232"/>
      <c r="N806" s="227"/>
      <c r="O806" s="227"/>
      <c r="P806" s="231"/>
      <c r="Q806" s="227"/>
      <c r="R806" s="231"/>
      <c r="S806" s="231"/>
      <c r="T806" s="231"/>
      <c r="U806" s="231"/>
      <c r="V806" s="231"/>
      <c r="W806" s="231"/>
      <c r="X806" s="227"/>
      <c r="Y806" s="232"/>
      <c r="Z806" s="232"/>
      <c r="AA806" s="232"/>
      <c r="AB806" s="232"/>
      <c r="AC806" s="227"/>
      <c r="AD806" s="227"/>
      <c r="AE806" s="231"/>
      <c r="AF806" s="227"/>
      <c r="AG806" s="232"/>
      <c r="AH806" s="232"/>
      <c r="AI806" s="232"/>
      <c r="AJ806" s="232"/>
      <c r="AK806" s="232"/>
      <c r="AL806" s="232"/>
      <c r="AM806" s="232"/>
      <c r="AN806" s="232"/>
      <c r="AO806" s="231"/>
      <c r="AP806" s="231"/>
      <c r="AQ806" s="227"/>
      <c r="AR806" s="227"/>
      <c r="AS806" s="227"/>
      <c r="AT806" s="227"/>
      <c r="AU806" s="227"/>
      <c r="AV806" s="227"/>
    </row>
    <row r="807">
      <c r="A807" s="227"/>
      <c r="B807" s="232"/>
      <c r="C807" s="227"/>
      <c r="D807" s="227"/>
      <c r="E807" s="231"/>
      <c r="F807" s="232"/>
      <c r="G807" s="227"/>
      <c r="H807" s="227"/>
      <c r="I807" s="227"/>
      <c r="J807" s="227"/>
      <c r="K807" s="227"/>
      <c r="L807" s="232"/>
      <c r="M807" s="232"/>
      <c r="N807" s="227"/>
      <c r="O807" s="227"/>
      <c r="P807" s="231"/>
      <c r="Q807" s="227"/>
      <c r="R807" s="231"/>
      <c r="S807" s="231"/>
      <c r="T807" s="231"/>
      <c r="U807" s="231"/>
      <c r="V807" s="231"/>
      <c r="W807" s="231"/>
      <c r="X807" s="227"/>
      <c r="Y807" s="232"/>
      <c r="Z807" s="232"/>
      <c r="AA807" s="232"/>
      <c r="AB807" s="232"/>
      <c r="AC807" s="227"/>
      <c r="AD807" s="227"/>
      <c r="AE807" s="231"/>
      <c r="AF807" s="227"/>
      <c r="AG807" s="232"/>
      <c r="AH807" s="232"/>
      <c r="AI807" s="232"/>
      <c r="AJ807" s="232"/>
      <c r="AK807" s="232"/>
      <c r="AL807" s="232"/>
      <c r="AM807" s="232"/>
      <c r="AN807" s="232"/>
      <c r="AO807" s="231"/>
      <c r="AP807" s="231"/>
      <c r="AQ807" s="227"/>
      <c r="AR807" s="231"/>
      <c r="AS807" s="227"/>
      <c r="AT807" s="227"/>
      <c r="AU807" s="227"/>
      <c r="AV807" s="227"/>
    </row>
    <row r="808">
      <c r="A808" s="227"/>
      <c r="B808" s="232"/>
      <c r="C808" s="227"/>
      <c r="D808" s="227"/>
      <c r="E808" s="231"/>
      <c r="F808" s="232"/>
      <c r="G808" s="227"/>
      <c r="H808" s="227"/>
      <c r="I808" s="227"/>
      <c r="J808" s="227"/>
      <c r="K808" s="227"/>
      <c r="L808" s="232"/>
      <c r="M808" s="232"/>
      <c r="N808" s="227"/>
      <c r="O808" s="227"/>
      <c r="P808" s="231"/>
      <c r="Q808" s="227"/>
      <c r="R808" s="231"/>
      <c r="S808" s="231"/>
      <c r="T808" s="231"/>
      <c r="U808" s="231"/>
      <c r="V808" s="231"/>
      <c r="W808" s="231"/>
      <c r="X808" s="227"/>
      <c r="Y808" s="232"/>
      <c r="Z808" s="232"/>
      <c r="AA808" s="232"/>
      <c r="AB808" s="232"/>
      <c r="AC808" s="227"/>
      <c r="AD808" s="227"/>
      <c r="AE808" s="231"/>
      <c r="AF808" s="227"/>
      <c r="AG808" s="232"/>
      <c r="AH808" s="232"/>
      <c r="AI808" s="232"/>
      <c r="AJ808" s="232"/>
      <c r="AK808" s="232"/>
      <c r="AL808" s="232"/>
      <c r="AM808" s="232"/>
      <c r="AN808" s="232"/>
      <c r="AO808" s="231"/>
      <c r="AP808" s="231"/>
      <c r="AQ808" s="227"/>
      <c r="AR808" s="231"/>
      <c r="AS808" s="227"/>
      <c r="AT808" s="227"/>
      <c r="AU808" s="227"/>
      <c r="AV808" s="227"/>
    </row>
    <row r="809">
      <c r="A809" s="227"/>
      <c r="B809" s="232"/>
      <c r="C809" s="227"/>
      <c r="D809" s="227"/>
      <c r="E809" s="231"/>
      <c r="F809" s="232"/>
      <c r="G809" s="227"/>
      <c r="H809" s="227"/>
      <c r="I809" s="227"/>
      <c r="J809" s="227"/>
      <c r="K809" s="227"/>
      <c r="L809" s="232"/>
      <c r="M809" s="232"/>
      <c r="N809" s="227"/>
      <c r="O809" s="227"/>
      <c r="P809" s="231"/>
      <c r="Q809" s="227"/>
      <c r="R809" s="231"/>
      <c r="S809" s="231"/>
      <c r="T809" s="231"/>
      <c r="U809" s="231"/>
      <c r="V809" s="231"/>
      <c r="W809" s="231"/>
      <c r="X809" s="227"/>
      <c r="Y809" s="232"/>
      <c r="Z809" s="232"/>
      <c r="AA809" s="232"/>
      <c r="AB809" s="232"/>
      <c r="AC809" s="227"/>
      <c r="AD809" s="227"/>
      <c r="AE809" s="231"/>
      <c r="AF809" s="227"/>
      <c r="AG809" s="232"/>
      <c r="AH809" s="232"/>
      <c r="AI809" s="232"/>
      <c r="AJ809" s="232"/>
      <c r="AK809" s="232"/>
      <c r="AL809" s="232"/>
      <c r="AM809" s="232"/>
      <c r="AN809" s="232"/>
      <c r="AO809" s="231"/>
      <c r="AP809" s="231"/>
      <c r="AQ809" s="227"/>
      <c r="AR809" s="231"/>
      <c r="AS809" s="227"/>
      <c r="AT809" s="227"/>
      <c r="AU809" s="227"/>
      <c r="AV809" s="227"/>
    </row>
    <row r="810">
      <c r="A810" s="227"/>
      <c r="B810" s="232"/>
      <c r="C810" s="227"/>
      <c r="D810" s="227"/>
      <c r="E810" s="231"/>
      <c r="F810" s="232"/>
      <c r="G810" s="227"/>
      <c r="H810" s="227"/>
      <c r="I810" s="227"/>
      <c r="J810" s="227"/>
      <c r="K810" s="227"/>
      <c r="L810" s="232"/>
      <c r="M810" s="232"/>
      <c r="N810" s="227"/>
      <c r="O810" s="227"/>
      <c r="P810" s="231"/>
      <c r="Q810" s="227"/>
      <c r="R810" s="231"/>
      <c r="S810" s="231"/>
      <c r="T810" s="231"/>
      <c r="U810" s="231"/>
      <c r="V810" s="231"/>
      <c r="W810" s="231"/>
      <c r="X810" s="227"/>
      <c r="Y810" s="232"/>
      <c r="Z810" s="232"/>
      <c r="AA810" s="232"/>
      <c r="AB810" s="232"/>
      <c r="AC810" s="227"/>
      <c r="AD810" s="227"/>
      <c r="AE810" s="231"/>
      <c r="AF810" s="227"/>
      <c r="AG810" s="232"/>
      <c r="AH810" s="232"/>
      <c r="AI810" s="232"/>
      <c r="AJ810" s="232"/>
      <c r="AK810" s="232"/>
      <c r="AL810" s="232"/>
      <c r="AM810" s="232"/>
      <c r="AN810" s="232"/>
      <c r="AO810" s="231"/>
      <c r="AP810" s="231"/>
      <c r="AQ810" s="227"/>
      <c r="AR810" s="231"/>
      <c r="AS810" s="227"/>
      <c r="AT810" s="227"/>
      <c r="AU810" s="227"/>
      <c r="AV810" s="227"/>
    </row>
    <row r="811">
      <c r="A811" s="227"/>
      <c r="B811" s="232"/>
      <c r="C811" s="227"/>
      <c r="D811" s="227"/>
      <c r="E811" s="231"/>
      <c r="F811" s="232"/>
      <c r="G811" s="227"/>
      <c r="H811" s="227"/>
      <c r="I811" s="227"/>
      <c r="J811" s="227"/>
      <c r="K811" s="227"/>
      <c r="L811" s="232"/>
      <c r="M811" s="232"/>
      <c r="N811" s="227"/>
      <c r="O811" s="227"/>
      <c r="P811" s="231"/>
      <c r="Q811" s="227"/>
      <c r="R811" s="231"/>
      <c r="S811" s="231"/>
      <c r="T811" s="231"/>
      <c r="U811" s="231"/>
      <c r="V811" s="231"/>
      <c r="W811" s="231"/>
      <c r="X811" s="227"/>
      <c r="Y811" s="232"/>
      <c r="Z811" s="232"/>
      <c r="AA811" s="232"/>
      <c r="AB811" s="232"/>
      <c r="AC811" s="227"/>
      <c r="AD811" s="227"/>
      <c r="AE811" s="231"/>
      <c r="AF811" s="227"/>
      <c r="AG811" s="232"/>
      <c r="AH811" s="232"/>
      <c r="AI811" s="232"/>
      <c r="AJ811" s="232"/>
      <c r="AK811" s="232"/>
      <c r="AL811" s="232"/>
      <c r="AM811" s="232"/>
      <c r="AN811" s="232"/>
      <c r="AO811" s="231"/>
      <c r="AP811" s="231"/>
      <c r="AQ811" s="227"/>
      <c r="AR811" s="231"/>
      <c r="AS811" s="227"/>
      <c r="AT811" s="227"/>
      <c r="AU811" s="227"/>
      <c r="AV811" s="227"/>
    </row>
    <row r="812">
      <c r="A812" s="227"/>
      <c r="B812" s="232"/>
      <c r="C812" s="227"/>
      <c r="D812" s="227"/>
      <c r="E812" s="231"/>
      <c r="F812" s="232"/>
      <c r="G812" s="227"/>
      <c r="H812" s="227"/>
      <c r="I812" s="227"/>
      <c r="J812" s="227"/>
      <c r="K812" s="227"/>
      <c r="L812" s="232"/>
      <c r="M812" s="232"/>
      <c r="N812" s="227"/>
      <c r="O812" s="227"/>
      <c r="P812" s="231"/>
      <c r="Q812" s="227"/>
      <c r="R812" s="231"/>
      <c r="S812" s="231"/>
      <c r="T812" s="231"/>
      <c r="U812" s="231"/>
      <c r="V812" s="231"/>
      <c r="W812" s="231"/>
      <c r="X812" s="227"/>
      <c r="Y812" s="232"/>
      <c r="Z812" s="232"/>
      <c r="AA812" s="232"/>
      <c r="AB812" s="232"/>
      <c r="AC812" s="227"/>
      <c r="AD812" s="227"/>
      <c r="AE812" s="231"/>
      <c r="AF812" s="227"/>
      <c r="AG812" s="232"/>
      <c r="AH812" s="232"/>
      <c r="AI812" s="232"/>
      <c r="AJ812" s="232"/>
      <c r="AK812" s="232"/>
      <c r="AL812" s="232"/>
      <c r="AM812" s="232"/>
      <c r="AN812" s="232"/>
      <c r="AO812" s="231"/>
      <c r="AP812" s="231"/>
      <c r="AQ812" s="227"/>
      <c r="AR812" s="231"/>
      <c r="AS812" s="227"/>
      <c r="AT812" s="227"/>
      <c r="AU812" s="227"/>
      <c r="AV812" s="227"/>
    </row>
    <row r="813">
      <c r="A813" s="227"/>
      <c r="B813" s="232"/>
      <c r="C813" s="227"/>
      <c r="D813" s="227"/>
      <c r="E813" s="231"/>
      <c r="F813" s="232"/>
      <c r="G813" s="227"/>
      <c r="H813" s="227"/>
      <c r="I813" s="227"/>
      <c r="J813" s="227"/>
      <c r="K813" s="227"/>
      <c r="L813" s="232"/>
      <c r="M813" s="232"/>
      <c r="N813" s="227"/>
      <c r="O813" s="227"/>
      <c r="P813" s="231"/>
      <c r="Q813" s="227"/>
      <c r="R813" s="231"/>
      <c r="S813" s="231"/>
      <c r="T813" s="231"/>
      <c r="U813" s="231"/>
      <c r="V813" s="231"/>
      <c r="W813" s="231"/>
      <c r="X813" s="227"/>
      <c r="Y813" s="232"/>
      <c r="Z813" s="232"/>
      <c r="AA813" s="232"/>
      <c r="AB813" s="232"/>
      <c r="AC813" s="227"/>
      <c r="AD813" s="227"/>
      <c r="AE813" s="231"/>
      <c r="AF813" s="227"/>
      <c r="AG813" s="232"/>
      <c r="AH813" s="232"/>
      <c r="AI813" s="232"/>
      <c r="AJ813" s="232"/>
      <c r="AK813" s="232"/>
      <c r="AL813" s="232"/>
      <c r="AM813" s="232"/>
      <c r="AN813" s="232"/>
      <c r="AO813" s="231"/>
      <c r="AP813" s="231"/>
      <c r="AQ813" s="227"/>
      <c r="AR813" s="231"/>
      <c r="AS813" s="227"/>
      <c r="AT813" s="227"/>
      <c r="AU813" s="227"/>
      <c r="AV813" s="227"/>
    </row>
    <row r="814">
      <c r="A814" s="227"/>
      <c r="B814" s="232"/>
      <c r="C814" s="227"/>
      <c r="D814" s="227"/>
      <c r="E814" s="231"/>
      <c r="F814" s="232"/>
      <c r="G814" s="227"/>
      <c r="H814" s="227"/>
      <c r="I814" s="227"/>
      <c r="J814" s="227"/>
      <c r="K814" s="227"/>
      <c r="L814" s="232"/>
      <c r="M814" s="232"/>
      <c r="N814" s="227"/>
      <c r="O814" s="227"/>
      <c r="P814" s="231"/>
      <c r="Q814" s="227"/>
      <c r="R814" s="231"/>
      <c r="S814" s="231"/>
      <c r="T814" s="231"/>
      <c r="U814" s="231"/>
      <c r="V814" s="231"/>
      <c r="W814" s="231"/>
      <c r="X814" s="227"/>
      <c r="Y814" s="232"/>
      <c r="Z814" s="232"/>
      <c r="AA814" s="232"/>
      <c r="AB814" s="232"/>
      <c r="AC814" s="227"/>
      <c r="AD814" s="227"/>
      <c r="AE814" s="231"/>
      <c r="AF814" s="227"/>
      <c r="AG814" s="232"/>
      <c r="AH814" s="232"/>
      <c r="AI814" s="232"/>
      <c r="AJ814" s="232"/>
      <c r="AK814" s="232"/>
      <c r="AL814" s="232"/>
      <c r="AM814" s="232"/>
      <c r="AN814" s="232"/>
      <c r="AO814" s="231"/>
      <c r="AP814" s="231"/>
      <c r="AQ814" s="227"/>
      <c r="AR814" s="231"/>
      <c r="AS814" s="227"/>
      <c r="AT814" s="227"/>
      <c r="AU814" s="227"/>
      <c r="AV814" s="227"/>
    </row>
    <row r="815">
      <c r="A815" s="227"/>
      <c r="B815" s="232"/>
      <c r="C815" s="227"/>
      <c r="D815" s="227"/>
      <c r="E815" s="231"/>
      <c r="F815" s="232"/>
      <c r="G815" s="227"/>
      <c r="H815" s="227"/>
      <c r="I815" s="227"/>
      <c r="J815" s="227"/>
      <c r="K815" s="227"/>
      <c r="L815" s="232"/>
      <c r="M815" s="232"/>
      <c r="N815" s="227"/>
      <c r="O815" s="227"/>
      <c r="P815" s="231"/>
      <c r="Q815" s="227"/>
      <c r="R815" s="231"/>
      <c r="S815" s="231"/>
      <c r="T815" s="231"/>
      <c r="U815" s="231"/>
      <c r="V815" s="231"/>
      <c r="W815" s="231"/>
      <c r="X815" s="227"/>
      <c r="Y815" s="232"/>
      <c r="Z815" s="232"/>
      <c r="AA815" s="232"/>
      <c r="AB815" s="232"/>
      <c r="AC815" s="227"/>
      <c r="AD815" s="227"/>
      <c r="AE815" s="231"/>
      <c r="AF815" s="227"/>
      <c r="AG815" s="232"/>
      <c r="AH815" s="232"/>
      <c r="AI815" s="232"/>
      <c r="AJ815" s="232"/>
      <c r="AK815" s="232"/>
      <c r="AL815" s="232"/>
      <c r="AM815" s="232"/>
      <c r="AN815" s="232"/>
      <c r="AO815" s="231"/>
      <c r="AP815" s="231"/>
      <c r="AQ815" s="227"/>
      <c r="AR815" s="231"/>
      <c r="AS815" s="227"/>
      <c r="AT815" s="227"/>
      <c r="AU815" s="227"/>
      <c r="AV815" s="227"/>
    </row>
    <row r="816">
      <c r="A816" s="227"/>
      <c r="B816" s="232"/>
      <c r="C816" s="227"/>
      <c r="D816" s="227"/>
      <c r="E816" s="231"/>
      <c r="F816" s="232"/>
      <c r="G816" s="227"/>
      <c r="H816" s="227"/>
      <c r="I816" s="227"/>
      <c r="J816" s="227"/>
      <c r="K816" s="227"/>
      <c r="L816" s="232"/>
      <c r="M816" s="232"/>
      <c r="N816" s="227"/>
      <c r="O816" s="227"/>
      <c r="P816" s="231"/>
      <c r="Q816" s="227"/>
      <c r="R816" s="231"/>
      <c r="S816" s="231"/>
      <c r="T816" s="231"/>
      <c r="U816" s="231"/>
      <c r="V816" s="231"/>
      <c r="W816" s="231"/>
      <c r="X816" s="227"/>
      <c r="Y816" s="232"/>
      <c r="Z816" s="232"/>
      <c r="AA816" s="232"/>
      <c r="AB816" s="232"/>
      <c r="AC816" s="227"/>
      <c r="AD816" s="227"/>
      <c r="AE816" s="231"/>
      <c r="AF816" s="227"/>
      <c r="AG816" s="232"/>
      <c r="AH816" s="232"/>
      <c r="AI816" s="232"/>
      <c r="AJ816" s="232"/>
      <c r="AK816" s="232"/>
      <c r="AL816" s="232"/>
      <c r="AM816" s="232"/>
      <c r="AN816" s="232"/>
      <c r="AO816" s="231"/>
      <c r="AP816" s="231"/>
      <c r="AQ816" s="227"/>
      <c r="AR816" s="231"/>
      <c r="AS816" s="227"/>
      <c r="AT816" s="227"/>
      <c r="AU816" s="227"/>
      <c r="AV816" s="227"/>
    </row>
    <row r="817">
      <c r="A817" s="227"/>
      <c r="B817" s="232"/>
      <c r="C817" s="227"/>
      <c r="D817" s="227"/>
      <c r="E817" s="231"/>
      <c r="F817" s="232"/>
      <c r="G817" s="227"/>
      <c r="H817" s="227"/>
      <c r="I817" s="227"/>
      <c r="J817" s="227"/>
      <c r="K817" s="227"/>
      <c r="L817" s="232"/>
      <c r="M817" s="232"/>
      <c r="N817" s="227"/>
      <c r="O817" s="227"/>
      <c r="P817" s="231"/>
      <c r="Q817" s="227"/>
      <c r="R817" s="231"/>
      <c r="S817" s="231"/>
      <c r="T817" s="231"/>
      <c r="U817" s="231"/>
      <c r="V817" s="231"/>
      <c r="W817" s="231"/>
      <c r="X817" s="227"/>
      <c r="Y817" s="232"/>
      <c r="Z817" s="232"/>
      <c r="AA817" s="232"/>
      <c r="AB817" s="232"/>
      <c r="AC817" s="227"/>
      <c r="AD817" s="227"/>
      <c r="AE817" s="231"/>
      <c r="AF817" s="227"/>
      <c r="AG817" s="232"/>
      <c r="AH817" s="232"/>
      <c r="AI817" s="232"/>
      <c r="AJ817" s="232"/>
      <c r="AK817" s="232"/>
      <c r="AL817" s="232"/>
      <c r="AM817" s="232"/>
      <c r="AN817" s="232"/>
      <c r="AO817" s="231"/>
      <c r="AP817" s="231"/>
      <c r="AQ817" s="227"/>
      <c r="AR817" s="231"/>
      <c r="AS817" s="227"/>
      <c r="AT817" s="227"/>
      <c r="AU817" s="227"/>
      <c r="AV817" s="227"/>
    </row>
    <row r="818">
      <c r="A818" s="227"/>
      <c r="B818" s="232"/>
      <c r="C818" s="227"/>
      <c r="D818" s="227"/>
      <c r="E818" s="231"/>
      <c r="F818" s="232"/>
      <c r="G818" s="227"/>
      <c r="H818" s="227"/>
      <c r="I818" s="227"/>
      <c r="J818" s="227"/>
      <c r="K818" s="227"/>
      <c r="L818" s="232"/>
      <c r="M818" s="232"/>
      <c r="N818" s="227"/>
      <c r="O818" s="227"/>
      <c r="P818" s="231"/>
      <c r="Q818" s="227"/>
      <c r="R818" s="231"/>
      <c r="S818" s="231"/>
      <c r="T818" s="231"/>
      <c r="U818" s="231"/>
      <c r="V818" s="231"/>
      <c r="W818" s="231"/>
      <c r="X818" s="227"/>
      <c r="Y818" s="232"/>
      <c r="Z818" s="232"/>
      <c r="AA818" s="232"/>
      <c r="AB818" s="232"/>
      <c r="AC818" s="227"/>
      <c r="AD818" s="227"/>
      <c r="AE818" s="231"/>
      <c r="AF818" s="227"/>
      <c r="AG818" s="232"/>
      <c r="AH818" s="232"/>
      <c r="AI818" s="232"/>
      <c r="AJ818" s="232"/>
      <c r="AK818" s="232"/>
      <c r="AL818" s="232"/>
      <c r="AM818" s="232"/>
      <c r="AN818" s="232"/>
      <c r="AO818" s="231"/>
      <c r="AP818" s="231"/>
      <c r="AQ818" s="227"/>
      <c r="AR818" s="231"/>
      <c r="AS818" s="227"/>
      <c r="AT818" s="227"/>
      <c r="AU818" s="227"/>
      <c r="AV818" s="227"/>
    </row>
    <row r="819">
      <c r="A819" s="227"/>
      <c r="B819" s="232"/>
      <c r="C819" s="227"/>
      <c r="D819" s="227"/>
      <c r="E819" s="231"/>
      <c r="F819" s="232"/>
      <c r="G819" s="227"/>
      <c r="H819" s="227"/>
      <c r="I819" s="227"/>
      <c r="J819" s="227"/>
      <c r="K819" s="227"/>
      <c r="L819" s="232"/>
      <c r="M819" s="232"/>
      <c r="N819" s="227"/>
      <c r="O819" s="227"/>
      <c r="P819" s="231"/>
      <c r="Q819" s="227"/>
      <c r="R819" s="231"/>
      <c r="S819" s="231"/>
      <c r="T819" s="231"/>
      <c r="U819" s="231"/>
      <c r="V819" s="231"/>
      <c r="W819" s="231"/>
      <c r="X819" s="227"/>
      <c r="Y819" s="232"/>
      <c r="Z819" s="232"/>
      <c r="AA819" s="232"/>
      <c r="AB819" s="232"/>
      <c r="AC819" s="227"/>
      <c r="AD819" s="227"/>
      <c r="AE819" s="231"/>
      <c r="AF819" s="227"/>
      <c r="AG819" s="232"/>
      <c r="AH819" s="232"/>
      <c r="AI819" s="232"/>
      <c r="AJ819" s="232"/>
      <c r="AK819" s="232"/>
      <c r="AL819" s="232"/>
      <c r="AM819" s="232"/>
      <c r="AN819" s="232"/>
      <c r="AO819" s="231"/>
      <c r="AP819" s="231"/>
      <c r="AQ819" s="227"/>
      <c r="AR819" s="231"/>
      <c r="AS819" s="227"/>
      <c r="AT819" s="227"/>
      <c r="AU819" s="227"/>
      <c r="AV819" s="227"/>
    </row>
    <row r="820">
      <c r="A820" s="227"/>
      <c r="B820" s="232"/>
      <c r="C820" s="227"/>
      <c r="D820" s="227"/>
      <c r="E820" s="231"/>
      <c r="F820" s="232"/>
      <c r="G820" s="227"/>
      <c r="H820" s="227"/>
      <c r="I820" s="227"/>
      <c r="J820" s="227"/>
      <c r="K820" s="227"/>
      <c r="L820" s="232"/>
      <c r="M820" s="232"/>
      <c r="N820" s="227"/>
      <c r="O820" s="227"/>
      <c r="P820" s="231"/>
      <c r="Q820" s="227"/>
      <c r="R820" s="231"/>
      <c r="S820" s="231"/>
      <c r="T820" s="231"/>
      <c r="U820" s="231"/>
      <c r="V820" s="231"/>
      <c r="W820" s="231"/>
      <c r="X820" s="227"/>
      <c r="Y820" s="232"/>
      <c r="Z820" s="232"/>
      <c r="AA820" s="232"/>
      <c r="AB820" s="232"/>
      <c r="AC820" s="227"/>
      <c r="AD820" s="227"/>
      <c r="AE820" s="231"/>
      <c r="AF820" s="227"/>
      <c r="AG820" s="232"/>
      <c r="AH820" s="232"/>
      <c r="AI820" s="232"/>
      <c r="AJ820" s="232"/>
      <c r="AK820" s="232"/>
      <c r="AL820" s="232"/>
      <c r="AM820" s="232"/>
      <c r="AN820" s="232"/>
      <c r="AO820" s="231"/>
      <c r="AP820" s="231"/>
      <c r="AQ820" s="227"/>
      <c r="AR820" s="231"/>
      <c r="AS820" s="227"/>
      <c r="AT820" s="227"/>
      <c r="AU820" s="227"/>
      <c r="AV820" s="227"/>
    </row>
    <row r="821">
      <c r="A821" s="227"/>
      <c r="B821" s="232"/>
      <c r="C821" s="227"/>
      <c r="D821" s="227"/>
      <c r="E821" s="231"/>
      <c r="F821" s="232"/>
      <c r="G821" s="227"/>
      <c r="H821" s="227"/>
      <c r="I821" s="227"/>
      <c r="J821" s="227"/>
      <c r="K821" s="227"/>
      <c r="L821" s="232"/>
      <c r="M821" s="232"/>
      <c r="N821" s="227"/>
      <c r="O821" s="227"/>
      <c r="P821" s="231"/>
      <c r="Q821" s="227"/>
      <c r="R821" s="231"/>
      <c r="S821" s="231"/>
      <c r="T821" s="231"/>
      <c r="U821" s="231"/>
      <c r="V821" s="231"/>
      <c r="W821" s="231"/>
      <c r="X821" s="227"/>
      <c r="Y821" s="232"/>
      <c r="Z821" s="232"/>
      <c r="AA821" s="232"/>
      <c r="AB821" s="232"/>
      <c r="AC821" s="227"/>
      <c r="AD821" s="227"/>
      <c r="AE821" s="231"/>
      <c r="AF821" s="227"/>
      <c r="AG821" s="232"/>
      <c r="AH821" s="232"/>
      <c r="AI821" s="232"/>
      <c r="AJ821" s="232"/>
      <c r="AK821" s="232"/>
      <c r="AL821" s="232"/>
      <c r="AM821" s="232"/>
      <c r="AN821" s="232"/>
      <c r="AO821" s="231"/>
      <c r="AP821" s="231"/>
      <c r="AQ821" s="227"/>
      <c r="AR821" s="231"/>
      <c r="AS821" s="227"/>
      <c r="AT821" s="227"/>
      <c r="AU821" s="227"/>
      <c r="AV821" s="227"/>
    </row>
    <row r="822">
      <c r="A822" s="227"/>
      <c r="B822" s="232"/>
      <c r="C822" s="227"/>
      <c r="D822" s="227"/>
      <c r="E822" s="231"/>
      <c r="F822" s="232"/>
      <c r="G822" s="227"/>
      <c r="H822" s="227"/>
      <c r="I822" s="227"/>
      <c r="J822" s="227"/>
      <c r="K822" s="227"/>
      <c r="L822" s="232"/>
      <c r="M822" s="232"/>
      <c r="N822" s="227"/>
      <c r="O822" s="227"/>
      <c r="P822" s="231"/>
      <c r="Q822" s="227"/>
      <c r="R822" s="231"/>
      <c r="S822" s="231"/>
      <c r="T822" s="231"/>
      <c r="U822" s="231"/>
      <c r="V822" s="231"/>
      <c r="W822" s="231"/>
      <c r="X822" s="227"/>
      <c r="Y822" s="232"/>
      <c r="Z822" s="232"/>
      <c r="AA822" s="232"/>
      <c r="AB822" s="232"/>
      <c r="AC822" s="227"/>
      <c r="AD822" s="227"/>
      <c r="AE822" s="231"/>
      <c r="AF822" s="227"/>
      <c r="AG822" s="232"/>
      <c r="AH822" s="232"/>
      <c r="AI822" s="232"/>
      <c r="AJ822" s="232"/>
      <c r="AK822" s="232"/>
      <c r="AL822" s="232"/>
      <c r="AM822" s="232"/>
      <c r="AN822" s="232"/>
      <c r="AO822" s="231"/>
      <c r="AP822" s="231"/>
      <c r="AQ822" s="227"/>
      <c r="AR822" s="227"/>
      <c r="AS822" s="227"/>
      <c r="AT822" s="227"/>
      <c r="AU822" s="227"/>
      <c r="AV822" s="227"/>
    </row>
    <row r="823">
      <c r="A823" s="227"/>
      <c r="B823" s="232"/>
      <c r="C823" s="227"/>
      <c r="D823" s="227"/>
      <c r="E823" s="231"/>
      <c r="F823" s="232"/>
      <c r="G823" s="227"/>
      <c r="H823" s="227"/>
      <c r="I823" s="227"/>
      <c r="J823" s="227"/>
      <c r="K823" s="227"/>
      <c r="L823" s="232"/>
      <c r="M823" s="232"/>
      <c r="N823" s="227"/>
      <c r="O823" s="227"/>
      <c r="P823" s="231"/>
      <c r="Q823" s="227"/>
      <c r="R823" s="231"/>
      <c r="S823" s="231"/>
      <c r="T823" s="231"/>
      <c r="U823" s="231"/>
      <c r="V823" s="231"/>
      <c r="W823" s="231"/>
      <c r="X823" s="227"/>
      <c r="Y823" s="232"/>
      <c r="Z823" s="232"/>
      <c r="AA823" s="232"/>
      <c r="AB823" s="232"/>
      <c r="AC823" s="227"/>
      <c r="AD823" s="227"/>
      <c r="AE823" s="231"/>
      <c r="AF823" s="227"/>
      <c r="AG823" s="232"/>
      <c r="AH823" s="232"/>
      <c r="AI823" s="232"/>
      <c r="AJ823" s="232"/>
      <c r="AK823" s="232"/>
      <c r="AL823" s="232"/>
      <c r="AM823" s="232"/>
      <c r="AN823" s="232"/>
      <c r="AO823" s="231"/>
      <c r="AP823" s="231"/>
      <c r="AQ823" s="227"/>
      <c r="AR823" s="231"/>
      <c r="AS823" s="227"/>
      <c r="AT823" s="227"/>
      <c r="AU823" s="227"/>
      <c r="AV823" s="227"/>
    </row>
    <row r="824">
      <c r="A824" s="227"/>
      <c r="B824" s="232"/>
      <c r="C824" s="227"/>
      <c r="D824" s="227"/>
      <c r="E824" s="231"/>
      <c r="F824" s="232"/>
      <c r="G824" s="227"/>
      <c r="H824" s="227"/>
      <c r="I824" s="227"/>
      <c r="J824" s="227"/>
      <c r="K824" s="227"/>
      <c r="L824" s="232"/>
      <c r="M824" s="232"/>
      <c r="N824" s="227"/>
      <c r="O824" s="227"/>
      <c r="P824" s="231"/>
      <c r="Q824" s="227"/>
      <c r="R824" s="231"/>
      <c r="S824" s="231"/>
      <c r="T824" s="231"/>
      <c r="U824" s="231"/>
      <c r="V824" s="231"/>
      <c r="W824" s="231"/>
      <c r="X824" s="227"/>
      <c r="Y824" s="232"/>
      <c r="Z824" s="232"/>
      <c r="AA824" s="232"/>
      <c r="AB824" s="232"/>
      <c r="AC824" s="227"/>
      <c r="AD824" s="227"/>
      <c r="AE824" s="231"/>
      <c r="AF824" s="227"/>
      <c r="AG824" s="232"/>
      <c r="AH824" s="232"/>
      <c r="AI824" s="232"/>
      <c r="AJ824" s="232"/>
      <c r="AK824" s="232"/>
      <c r="AL824" s="232"/>
      <c r="AM824" s="232"/>
      <c r="AN824" s="232"/>
      <c r="AO824" s="231"/>
      <c r="AP824" s="231"/>
      <c r="AQ824" s="227"/>
      <c r="AR824" s="231"/>
      <c r="AS824" s="227"/>
      <c r="AT824" s="227"/>
      <c r="AU824" s="227"/>
      <c r="AV824" s="227"/>
    </row>
    <row r="825">
      <c r="A825" s="227"/>
      <c r="B825" s="232"/>
      <c r="C825" s="227"/>
      <c r="D825" s="227"/>
      <c r="E825" s="231"/>
      <c r="F825" s="232"/>
      <c r="G825" s="227"/>
      <c r="H825" s="227"/>
      <c r="I825" s="227"/>
      <c r="J825" s="227"/>
      <c r="K825" s="227"/>
      <c r="L825" s="232"/>
      <c r="M825" s="232"/>
      <c r="N825" s="227"/>
      <c r="O825" s="227"/>
      <c r="P825" s="231"/>
      <c r="Q825" s="227"/>
      <c r="R825" s="231"/>
      <c r="S825" s="231"/>
      <c r="T825" s="231"/>
      <c r="U825" s="231"/>
      <c r="V825" s="231"/>
      <c r="W825" s="231"/>
      <c r="X825" s="227"/>
      <c r="Y825" s="232"/>
      <c r="Z825" s="232"/>
      <c r="AA825" s="232"/>
      <c r="AB825" s="232"/>
      <c r="AC825" s="227"/>
      <c r="AD825" s="227"/>
      <c r="AE825" s="231"/>
      <c r="AF825" s="227"/>
      <c r="AG825" s="232"/>
      <c r="AH825" s="232"/>
      <c r="AI825" s="232"/>
      <c r="AJ825" s="232"/>
      <c r="AK825" s="232"/>
      <c r="AL825" s="232"/>
      <c r="AM825" s="232"/>
      <c r="AN825" s="232"/>
      <c r="AO825" s="231"/>
      <c r="AP825" s="231"/>
      <c r="AQ825" s="227"/>
      <c r="AR825" s="231"/>
      <c r="AS825" s="227"/>
      <c r="AT825" s="227"/>
      <c r="AU825" s="227"/>
      <c r="AV825" s="227"/>
    </row>
    <row r="826">
      <c r="A826" s="227"/>
      <c r="B826" s="232"/>
      <c r="C826" s="227"/>
      <c r="D826" s="227"/>
      <c r="E826" s="231"/>
      <c r="F826" s="232"/>
      <c r="G826" s="227"/>
      <c r="H826" s="227"/>
      <c r="I826" s="227"/>
      <c r="J826" s="227"/>
      <c r="K826" s="227"/>
      <c r="L826" s="232"/>
      <c r="M826" s="232"/>
      <c r="N826" s="227"/>
      <c r="O826" s="227"/>
      <c r="P826" s="231"/>
      <c r="Q826" s="227"/>
      <c r="R826" s="231"/>
      <c r="S826" s="231"/>
      <c r="T826" s="231"/>
      <c r="U826" s="231"/>
      <c r="V826" s="231"/>
      <c r="W826" s="231"/>
      <c r="X826" s="227"/>
      <c r="Y826" s="232"/>
      <c r="Z826" s="232"/>
      <c r="AA826" s="232"/>
      <c r="AB826" s="232"/>
      <c r="AC826" s="227"/>
      <c r="AD826" s="227"/>
      <c r="AE826" s="231"/>
      <c r="AF826" s="227"/>
      <c r="AG826" s="232"/>
      <c r="AH826" s="232"/>
      <c r="AI826" s="232"/>
      <c r="AJ826" s="232"/>
      <c r="AK826" s="232"/>
      <c r="AL826" s="232"/>
      <c r="AM826" s="232"/>
      <c r="AN826" s="232"/>
      <c r="AO826" s="231"/>
      <c r="AP826" s="231"/>
      <c r="AQ826" s="227"/>
      <c r="AR826" s="231"/>
      <c r="AS826" s="227"/>
      <c r="AT826" s="227"/>
      <c r="AU826" s="227"/>
      <c r="AV826" s="227"/>
    </row>
    <row r="827">
      <c r="A827" s="227"/>
      <c r="B827" s="232"/>
      <c r="C827" s="227"/>
      <c r="D827" s="227"/>
      <c r="E827" s="231"/>
      <c r="F827" s="232"/>
      <c r="G827" s="227"/>
      <c r="H827" s="227"/>
      <c r="I827" s="227"/>
      <c r="J827" s="227"/>
      <c r="K827" s="227"/>
      <c r="L827" s="232"/>
      <c r="M827" s="232"/>
      <c r="N827" s="227"/>
      <c r="O827" s="227"/>
      <c r="P827" s="231"/>
      <c r="Q827" s="227"/>
      <c r="R827" s="231"/>
      <c r="S827" s="231"/>
      <c r="T827" s="231"/>
      <c r="U827" s="231"/>
      <c r="V827" s="231"/>
      <c r="W827" s="231"/>
      <c r="X827" s="227"/>
      <c r="Y827" s="232"/>
      <c r="Z827" s="232"/>
      <c r="AA827" s="232"/>
      <c r="AB827" s="232"/>
      <c r="AC827" s="227"/>
      <c r="AD827" s="227"/>
      <c r="AE827" s="231"/>
      <c r="AF827" s="227"/>
      <c r="AG827" s="232"/>
      <c r="AH827" s="232"/>
      <c r="AI827" s="232"/>
      <c r="AJ827" s="232"/>
      <c r="AK827" s="232"/>
      <c r="AL827" s="232"/>
      <c r="AM827" s="232"/>
      <c r="AN827" s="232"/>
      <c r="AO827" s="231"/>
      <c r="AP827" s="231"/>
      <c r="AQ827" s="227"/>
      <c r="AR827" s="231"/>
      <c r="AS827" s="227"/>
      <c r="AT827" s="227"/>
      <c r="AU827" s="227"/>
      <c r="AV827" s="227"/>
    </row>
    <row r="828">
      <c r="A828" s="227"/>
      <c r="B828" s="232"/>
      <c r="C828" s="227"/>
      <c r="D828" s="227"/>
      <c r="E828" s="231"/>
      <c r="F828" s="232"/>
      <c r="G828" s="227"/>
      <c r="H828" s="227"/>
      <c r="I828" s="227"/>
      <c r="J828" s="227"/>
      <c r="K828" s="227"/>
      <c r="L828" s="232"/>
      <c r="M828" s="232"/>
      <c r="N828" s="227"/>
      <c r="O828" s="227"/>
      <c r="P828" s="231"/>
      <c r="Q828" s="227"/>
      <c r="R828" s="231"/>
      <c r="S828" s="231"/>
      <c r="T828" s="231"/>
      <c r="U828" s="231"/>
      <c r="V828" s="231"/>
      <c r="W828" s="231"/>
      <c r="X828" s="227"/>
      <c r="Y828" s="232"/>
      <c r="Z828" s="232"/>
      <c r="AA828" s="232"/>
      <c r="AB828" s="232"/>
      <c r="AC828" s="227"/>
      <c r="AD828" s="227"/>
      <c r="AE828" s="231"/>
      <c r="AF828" s="227"/>
      <c r="AG828" s="232"/>
      <c r="AH828" s="232"/>
      <c r="AI828" s="232"/>
      <c r="AJ828" s="232"/>
      <c r="AK828" s="232"/>
      <c r="AL828" s="232"/>
      <c r="AM828" s="232"/>
      <c r="AN828" s="232"/>
      <c r="AO828" s="231"/>
      <c r="AP828" s="231"/>
      <c r="AQ828" s="227"/>
      <c r="AR828" s="231"/>
      <c r="AS828" s="227"/>
      <c r="AT828" s="227"/>
      <c r="AU828" s="227"/>
      <c r="AV828" s="227"/>
    </row>
    <row r="829">
      <c r="A829" s="227"/>
      <c r="B829" s="232"/>
      <c r="C829" s="227"/>
      <c r="D829" s="227"/>
      <c r="E829" s="231"/>
      <c r="F829" s="232"/>
      <c r="G829" s="227"/>
      <c r="H829" s="227"/>
      <c r="I829" s="227"/>
      <c r="J829" s="227"/>
      <c r="K829" s="227"/>
      <c r="L829" s="232"/>
      <c r="M829" s="232"/>
      <c r="N829" s="227"/>
      <c r="O829" s="227"/>
      <c r="P829" s="231"/>
      <c r="Q829" s="227"/>
      <c r="R829" s="231"/>
      <c r="S829" s="231"/>
      <c r="T829" s="231"/>
      <c r="U829" s="231"/>
      <c r="V829" s="231"/>
      <c r="W829" s="231"/>
      <c r="X829" s="227"/>
      <c r="Y829" s="232"/>
      <c r="Z829" s="232"/>
      <c r="AA829" s="232"/>
      <c r="AB829" s="232"/>
      <c r="AC829" s="227"/>
      <c r="AD829" s="227"/>
      <c r="AE829" s="231"/>
      <c r="AF829" s="227"/>
      <c r="AG829" s="232"/>
      <c r="AH829" s="232"/>
      <c r="AI829" s="232"/>
      <c r="AJ829" s="232"/>
      <c r="AK829" s="232"/>
      <c r="AL829" s="232"/>
      <c r="AM829" s="232"/>
      <c r="AN829" s="232"/>
      <c r="AO829" s="231"/>
      <c r="AP829" s="231"/>
      <c r="AQ829" s="227"/>
      <c r="AR829" s="231"/>
      <c r="AS829" s="227"/>
      <c r="AT829" s="227"/>
      <c r="AU829" s="227"/>
      <c r="AV829" s="227"/>
    </row>
    <row r="830">
      <c r="A830" s="227"/>
      <c r="B830" s="232"/>
      <c r="C830" s="227"/>
      <c r="D830" s="227"/>
      <c r="E830" s="231"/>
      <c r="F830" s="232"/>
      <c r="G830" s="227"/>
      <c r="H830" s="227"/>
      <c r="I830" s="227"/>
      <c r="J830" s="227"/>
      <c r="K830" s="227"/>
      <c r="L830" s="232"/>
      <c r="M830" s="232"/>
      <c r="N830" s="227"/>
      <c r="O830" s="227"/>
      <c r="P830" s="231"/>
      <c r="Q830" s="227"/>
      <c r="R830" s="231"/>
      <c r="S830" s="231"/>
      <c r="T830" s="231"/>
      <c r="U830" s="231"/>
      <c r="V830" s="231"/>
      <c r="W830" s="231"/>
      <c r="X830" s="227"/>
      <c r="Y830" s="232"/>
      <c r="Z830" s="232"/>
      <c r="AA830" s="232"/>
      <c r="AB830" s="232"/>
      <c r="AC830" s="227"/>
      <c r="AD830" s="227"/>
      <c r="AE830" s="231"/>
      <c r="AF830" s="227"/>
      <c r="AG830" s="232"/>
      <c r="AH830" s="232"/>
      <c r="AI830" s="232"/>
      <c r="AJ830" s="232"/>
      <c r="AK830" s="232"/>
      <c r="AL830" s="232"/>
      <c r="AM830" s="232"/>
      <c r="AN830" s="232"/>
      <c r="AO830" s="231"/>
      <c r="AP830" s="231"/>
      <c r="AQ830" s="227"/>
      <c r="AR830" s="231"/>
      <c r="AS830" s="227"/>
      <c r="AT830" s="227"/>
      <c r="AU830" s="227"/>
      <c r="AV830" s="227"/>
    </row>
    <row r="831">
      <c r="A831" s="227"/>
      <c r="B831" s="232"/>
      <c r="C831" s="227"/>
      <c r="D831" s="227"/>
      <c r="E831" s="231"/>
      <c r="F831" s="232"/>
      <c r="G831" s="227"/>
      <c r="H831" s="227"/>
      <c r="I831" s="227"/>
      <c r="J831" s="227"/>
      <c r="K831" s="227"/>
      <c r="L831" s="232"/>
      <c r="M831" s="232"/>
      <c r="N831" s="227"/>
      <c r="O831" s="227"/>
      <c r="P831" s="231"/>
      <c r="Q831" s="227"/>
      <c r="R831" s="231"/>
      <c r="S831" s="231"/>
      <c r="T831" s="231"/>
      <c r="U831" s="231"/>
      <c r="V831" s="231"/>
      <c r="W831" s="231"/>
      <c r="X831" s="227"/>
      <c r="Y831" s="232"/>
      <c r="Z831" s="232"/>
      <c r="AA831" s="232"/>
      <c r="AB831" s="232"/>
      <c r="AC831" s="227"/>
      <c r="AD831" s="227"/>
      <c r="AE831" s="231"/>
      <c r="AF831" s="227"/>
      <c r="AG831" s="232"/>
      <c r="AH831" s="232"/>
      <c r="AI831" s="232"/>
      <c r="AJ831" s="232"/>
      <c r="AK831" s="232"/>
      <c r="AL831" s="232"/>
      <c r="AM831" s="232"/>
      <c r="AN831" s="232"/>
      <c r="AO831" s="231"/>
      <c r="AP831" s="231"/>
      <c r="AQ831" s="227"/>
      <c r="AR831" s="231"/>
      <c r="AS831" s="227"/>
      <c r="AT831" s="227"/>
      <c r="AU831" s="227"/>
      <c r="AV831" s="227"/>
    </row>
    <row r="832">
      <c r="A832" s="227"/>
      <c r="B832" s="232"/>
      <c r="C832" s="227"/>
      <c r="D832" s="227"/>
      <c r="E832" s="231"/>
      <c r="F832" s="232"/>
      <c r="G832" s="227"/>
      <c r="H832" s="227"/>
      <c r="I832" s="227"/>
      <c r="J832" s="227"/>
      <c r="K832" s="227"/>
      <c r="L832" s="232"/>
      <c r="M832" s="232"/>
      <c r="N832" s="227"/>
      <c r="O832" s="227"/>
      <c r="P832" s="231"/>
      <c r="Q832" s="227"/>
      <c r="R832" s="231"/>
      <c r="S832" s="231"/>
      <c r="T832" s="231"/>
      <c r="U832" s="231"/>
      <c r="V832" s="231"/>
      <c r="W832" s="231"/>
      <c r="X832" s="227"/>
      <c r="Y832" s="232"/>
      <c r="Z832" s="232"/>
      <c r="AA832" s="232"/>
      <c r="AB832" s="232"/>
      <c r="AC832" s="227"/>
      <c r="AD832" s="227"/>
      <c r="AE832" s="231"/>
      <c r="AF832" s="227"/>
      <c r="AG832" s="232"/>
      <c r="AH832" s="232"/>
      <c r="AI832" s="232"/>
      <c r="AJ832" s="232"/>
      <c r="AK832" s="232"/>
      <c r="AL832" s="232"/>
      <c r="AM832" s="232"/>
      <c r="AN832" s="232"/>
      <c r="AO832" s="231"/>
      <c r="AP832" s="231"/>
      <c r="AQ832" s="227"/>
      <c r="AR832" s="231"/>
      <c r="AS832" s="227"/>
      <c r="AT832" s="227"/>
      <c r="AU832" s="227"/>
      <c r="AV832" s="227"/>
    </row>
    <row r="833">
      <c r="A833" s="227"/>
      <c r="B833" s="232"/>
      <c r="C833" s="227"/>
      <c r="D833" s="227"/>
      <c r="E833" s="231"/>
      <c r="F833" s="232"/>
      <c r="G833" s="227"/>
      <c r="H833" s="227"/>
      <c r="I833" s="227"/>
      <c r="J833" s="227"/>
      <c r="K833" s="227"/>
      <c r="L833" s="232"/>
      <c r="M833" s="232"/>
      <c r="N833" s="227"/>
      <c r="O833" s="227"/>
      <c r="P833" s="231"/>
      <c r="Q833" s="227"/>
      <c r="R833" s="231"/>
      <c r="S833" s="231"/>
      <c r="T833" s="231"/>
      <c r="U833" s="231"/>
      <c r="V833" s="231"/>
      <c r="W833" s="231"/>
      <c r="X833" s="227"/>
      <c r="Y833" s="232"/>
      <c r="Z833" s="232"/>
      <c r="AA833" s="232"/>
      <c r="AB833" s="232"/>
      <c r="AC833" s="227"/>
      <c r="AD833" s="227"/>
      <c r="AE833" s="231"/>
      <c r="AF833" s="227"/>
      <c r="AG833" s="232"/>
      <c r="AH833" s="232"/>
      <c r="AI833" s="232"/>
      <c r="AJ833" s="232"/>
      <c r="AK833" s="232"/>
      <c r="AL833" s="232"/>
      <c r="AM833" s="232"/>
      <c r="AN833" s="232"/>
      <c r="AO833" s="231"/>
      <c r="AP833" s="231"/>
      <c r="AQ833" s="227"/>
      <c r="AR833" s="231"/>
      <c r="AS833" s="227"/>
      <c r="AT833" s="227"/>
      <c r="AU833" s="227"/>
      <c r="AV833" s="227"/>
    </row>
    <row r="834">
      <c r="A834" s="227"/>
      <c r="B834" s="232"/>
      <c r="C834" s="227"/>
      <c r="D834" s="227"/>
      <c r="E834" s="231"/>
      <c r="F834" s="232"/>
      <c r="G834" s="227"/>
      <c r="H834" s="227"/>
      <c r="I834" s="227"/>
      <c r="J834" s="227"/>
      <c r="K834" s="227"/>
      <c r="L834" s="232"/>
      <c r="M834" s="232"/>
      <c r="N834" s="227"/>
      <c r="O834" s="227"/>
      <c r="P834" s="231"/>
      <c r="Q834" s="227"/>
      <c r="R834" s="231"/>
      <c r="S834" s="231"/>
      <c r="T834" s="231"/>
      <c r="U834" s="231"/>
      <c r="V834" s="231"/>
      <c r="W834" s="231"/>
      <c r="X834" s="227"/>
      <c r="Y834" s="232"/>
      <c r="Z834" s="232"/>
      <c r="AA834" s="232"/>
      <c r="AB834" s="232"/>
      <c r="AC834" s="227"/>
      <c r="AD834" s="227"/>
      <c r="AE834" s="231"/>
      <c r="AF834" s="227"/>
      <c r="AG834" s="232"/>
      <c r="AH834" s="232"/>
      <c r="AI834" s="232"/>
      <c r="AJ834" s="232"/>
      <c r="AK834" s="232"/>
      <c r="AL834" s="232"/>
      <c r="AM834" s="232"/>
      <c r="AN834" s="232"/>
      <c r="AO834" s="231"/>
      <c r="AP834" s="231"/>
      <c r="AQ834" s="227"/>
      <c r="AR834" s="231"/>
      <c r="AS834" s="227"/>
      <c r="AT834" s="227"/>
      <c r="AU834" s="227"/>
      <c r="AV834" s="227"/>
    </row>
    <row r="835">
      <c r="A835" s="227"/>
      <c r="B835" s="232"/>
      <c r="C835" s="227"/>
      <c r="D835" s="227"/>
      <c r="E835" s="231"/>
      <c r="F835" s="232"/>
      <c r="G835" s="227"/>
      <c r="H835" s="227"/>
      <c r="I835" s="227"/>
      <c r="J835" s="227"/>
      <c r="K835" s="227"/>
      <c r="L835" s="232"/>
      <c r="M835" s="232"/>
      <c r="N835" s="227"/>
      <c r="O835" s="227"/>
      <c r="P835" s="231"/>
      <c r="Q835" s="227"/>
      <c r="R835" s="231"/>
      <c r="S835" s="231"/>
      <c r="T835" s="231"/>
      <c r="U835" s="231"/>
      <c r="V835" s="231"/>
      <c r="W835" s="231"/>
      <c r="X835" s="227"/>
      <c r="Y835" s="232"/>
      <c r="Z835" s="232"/>
      <c r="AA835" s="232"/>
      <c r="AB835" s="232"/>
      <c r="AC835" s="227"/>
      <c r="AD835" s="227"/>
      <c r="AE835" s="231"/>
      <c r="AF835" s="227"/>
      <c r="AG835" s="232"/>
      <c r="AH835" s="232"/>
      <c r="AI835" s="232"/>
      <c r="AJ835" s="232"/>
      <c r="AK835" s="232"/>
      <c r="AL835" s="232"/>
      <c r="AM835" s="232"/>
      <c r="AN835" s="232"/>
      <c r="AO835" s="231"/>
      <c r="AP835" s="231"/>
      <c r="AQ835" s="227"/>
      <c r="AR835" s="231"/>
      <c r="AS835" s="227"/>
      <c r="AT835" s="227"/>
      <c r="AU835" s="227"/>
      <c r="AV835" s="227"/>
    </row>
    <row r="836">
      <c r="A836" s="227"/>
      <c r="B836" s="232"/>
      <c r="C836" s="227"/>
      <c r="D836" s="227"/>
      <c r="E836" s="231"/>
      <c r="F836" s="232"/>
      <c r="G836" s="227"/>
      <c r="H836" s="227"/>
      <c r="I836" s="227"/>
      <c r="J836" s="227"/>
      <c r="K836" s="227"/>
      <c r="L836" s="232"/>
      <c r="M836" s="232"/>
      <c r="N836" s="227"/>
      <c r="O836" s="227"/>
      <c r="P836" s="231"/>
      <c r="Q836" s="227"/>
      <c r="R836" s="231"/>
      <c r="S836" s="231"/>
      <c r="T836" s="231"/>
      <c r="U836" s="231"/>
      <c r="V836" s="231"/>
      <c r="W836" s="231"/>
      <c r="X836" s="227"/>
      <c r="Y836" s="232"/>
      <c r="Z836" s="232"/>
      <c r="AA836" s="232"/>
      <c r="AB836" s="232"/>
      <c r="AC836" s="227"/>
      <c r="AD836" s="227"/>
      <c r="AE836" s="231"/>
      <c r="AF836" s="227"/>
      <c r="AG836" s="232"/>
      <c r="AH836" s="232"/>
      <c r="AI836" s="232"/>
      <c r="AJ836" s="232"/>
      <c r="AK836" s="232"/>
      <c r="AL836" s="232"/>
      <c r="AM836" s="232"/>
      <c r="AN836" s="232"/>
      <c r="AO836" s="231"/>
      <c r="AP836" s="231"/>
      <c r="AQ836" s="227"/>
      <c r="AR836" s="231"/>
      <c r="AS836" s="227"/>
      <c r="AT836" s="227"/>
      <c r="AU836" s="227"/>
      <c r="AV836" s="227"/>
    </row>
    <row r="837">
      <c r="A837" s="227"/>
      <c r="B837" s="232"/>
      <c r="C837" s="227"/>
      <c r="D837" s="227"/>
      <c r="E837" s="231"/>
      <c r="F837" s="232"/>
      <c r="G837" s="227"/>
      <c r="H837" s="227"/>
      <c r="I837" s="227"/>
      <c r="J837" s="227"/>
      <c r="K837" s="227"/>
      <c r="L837" s="232"/>
      <c r="M837" s="232"/>
      <c r="N837" s="227"/>
      <c r="O837" s="227"/>
      <c r="P837" s="231"/>
      <c r="Q837" s="227"/>
      <c r="R837" s="231"/>
      <c r="S837" s="231"/>
      <c r="T837" s="231"/>
      <c r="U837" s="231"/>
      <c r="V837" s="231"/>
      <c r="W837" s="231"/>
      <c r="X837" s="227"/>
      <c r="Y837" s="232"/>
      <c r="Z837" s="232"/>
      <c r="AA837" s="232"/>
      <c r="AB837" s="232"/>
      <c r="AC837" s="227"/>
      <c r="AD837" s="227"/>
      <c r="AE837" s="231"/>
      <c r="AF837" s="227"/>
      <c r="AG837" s="232"/>
      <c r="AH837" s="232"/>
      <c r="AI837" s="232"/>
      <c r="AJ837" s="232"/>
      <c r="AK837" s="232"/>
      <c r="AL837" s="232"/>
      <c r="AM837" s="232"/>
      <c r="AN837" s="232"/>
      <c r="AO837" s="231"/>
      <c r="AP837" s="231"/>
      <c r="AQ837" s="227"/>
      <c r="AR837" s="231"/>
      <c r="AS837" s="227"/>
      <c r="AT837" s="227"/>
      <c r="AU837" s="227"/>
      <c r="AV837" s="227"/>
    </row>
    <row r="838">
      <c r="A838" s="227"/>
      <c r="B838" s="232"/>
      <c r="C838" s="227"/>
      <c r="D838" s="227"/>
      <c r="E838" s="231"/>
      <c r="F838" s="232"/>
      <c r="G838" s="227"/>
      <c r="H838" s="227"/>
      <c r="I838" s="227"/>
      <c r="J838" s="227"/>
      <c r="K838" s="227"/>
      <c r="L838" s="232"/>
      <c r="M838" s="232"/>
      <c r="N838" s="227"/>
      <c r="O838" s="227"/>
      <c r="P838" s="231"/>
      <c r="Q838" s="227"/>
      <c r="R838" s="231"/>
      <c r="S838" s="231"/>
      <c r="T838" s="231"/>
      <c r="U838" s="231"/>
      <c r="V838" s="231"/>
      <c r="W838" s="231"/>
      <c r="X838" s="227"/>
      <c r="Y838" s="232"/>
      <c r="Z838" s="232"/>
      <c r="AA838" s="232"/>
      <c r="AB838" s="232"/>
      <c r="AC838" s="227"/>
      <c r="AD838" s="227"/>
      <c r="AE838" s="231"/>
      <c r="AF838" s="227"/>
      <c r="AG838" s="232"/>
      <c r="AH838" s="232"/>
      <c r="AI838" s="232"/>
      <c r="AJ838" s="232"/>
      <c r="AK838" s="232"/>
      <c r="AL838" s="232"/>
      <c r="AM838" s="232"/>
      <c r="AN838" s="232"/>
      <c r="AO838" s="231"/>
      <c r="AP838" s="231"/>
      <c r="AQ838" s="227"/>
      <c r="AR838" s="231"/>
      <c r="AS838" s="227"/>
      <c r="AT838" s="227"/>
      <c r="AU838" s="227"/>
      <c r="AV838" s="227"/>
    </row>
    <row r="839">
      <c r="A839" s="227"/>
      <c r="B839" s="232"/>
      <c r="C839" s="227"/>
      <c r="D839" s="227"/>
      <c r="E839" s="231"/>
      <c r="F839" s="232"/>
      <c r="G839" s="227"/>
      <c r="H839" s="227"/>
      <c r="I839" s="227"/>
      <c r="J839" s="227"/>
      <c r="K839" s="227"/>
      <c r="L839" s="232"/>
      <c r="M839" s="232"/>
      <c r="N839" s="227"/>
      <c r="O839" s="227"/>
      <c r="P839" s="231"/>
      <c r="Q839" s="227"/>
      <c r="R839" s="231"/>
      <c r="S839" s="231"/>
      <c r="T839" s="231"/>
      <c r="U839" s="231"/>
      <c r="V839" s="231"/>
      <c r="W839" s="231"/>
      <c r="X839" s="227"/>
      <c r="Y839" s="232"/>
      <c r="Z839" s="232"/>
      <c r="AA839" s="232"/>
      <c r="AB839" s="232"/>
      <c r="AC839" s="227"/>
      <c r="AD839" s="227"/>
      <c r="AE839" s="231"/>
      <c r="AF839" s="227"/>
      <c r="AG839" s="232"/>
      <c r="AH839" s="232"/>
      <c r="AI839" s="232"/>
      <c r="AJ839" s="232"/>
      <c r="AK839" s="232"/>
      <c r="AL839" s="232"/>
      <c r="AM839" s="232"/>
      <c r="AN839" s="232"/>
      <c r="AO839" s="231"/>
      <c r="AP839" s="231"/>
      <c r="AQ839" s="227"/>
      <c r="AR839" s="231"/>
      <c r="AS839" s="227"/>
      <c r="AT839" s="227"/>
      <c r="AU839" s="227"/>
      <c r="AV839" s="227"/>
    </row>
    <row r="840">
      <c r="A840" s="227"/>
      <c r="B840" s="232"/>
      <c r="C840" s="227"/>
      <c r="D840" s="227"/>
      <c r="E840" s="231"/>
      <c r="F840" s="232"/>
      <c r="G840" s="227"/>
      <c r="H840" s="227"/>
      <c r="I840" s="227"/>
      <c r="J840" s="227"/>
      <c r="K840" s="227"/>
      <c r="L840" s="232"/>
      <c r="M840" s="232"/>
      <c r="N840" s="227"/>
      <c r="O840" s="227"/>
      <c r="P840" s="231"/>
      <c r="Q840" s="227"/>
      <c r="R840" s="231"/>
      <c r="S840" s="231"/>
      <c r="T840" s="231"/>
      <c r="U840" s="231"/>
      <c r="V840" s="231"/>
      <c r="W840" s="231"/>
      <c r="X840" s="227"/>
      <c r="Y840" s="232"/>
      <c r="Z840" s="232"/>
      <c r="AA840" s="232"/>
      <c r="AB840" s="232"/>
      <c r="AC840" s="227"/>
      <c r="AD840" s="227"/>
      <c r="AE840" s="231"/>
      <c r="AF840" s="227"/>
      <c r="AG840" s="232"/>
      <c r="AH840" s="232"/>
      <c r="AI840" s="232"/>
      <c r="AJ840" s="232"/>
      <c r="AK840" s="232"/>
      <c r="AL840" s="232"/>
      <c r="AM840" s="232"/>
      <c r="AN840" s="232"/>
      <c r="AO840" s="231"/>
      <c r="AP840" s="231"/>
      <c r="AQ840" s="227"/>
      <c r="AR840" s="231"/>
      <c r="AS840" s="227"/>
      <c r="AT840" s="227"/>
      <c r="AU840" s="227"/>
      <c r="AV840" s="227"/>
    </row>
    <row r="841">
      <c r="A841" s="227"/>
      <c r="B841" s="232"/>
      <c r="C841" s="227"/>
      <c r="D841" s="227"/>
      <c r="E841" s="231"/>
      <c r="F841" s="232"/>
      <c r="G841" s="227"/>
      <c r="H841" s="227"/>
      <c r="I841" s="227"/>
      <c r="J841" s="227"/>
      <c r="K841" s="227"/>
      <c r="L841" s="232"/>
      <c r="M841" s="232"/>
      <c r="N841" s="227"/>
      <c r="O841" s="227"/>
      <c r="P841" s="231"/>
      <c r="Q841" s="227"/>
      <c r="R841" s="231"/>
      <c r="S841" s="231"/>
      <c r="T841" s="231"/>
      <c r="U841" s="231"/>
      <c r="V841" s="231"/>
      <c r="W841" s="231"/>
      <c r="X841" s="227"/>
      <c r="Y841" s="232"/>
      <c r="Z841" s="232"/>
      <c r="AA841" s="232"/>
      <c r="AB841" s="232"/>
      <c r="AC841" s="227"/>
      <c r="AD841" s="227"/>
      <c r="AE841" s="231"/>
      <c r="AF841" s="227"/>
      <c r="AG841" s="232"/>
      <c r="AH841" s="232"/>
      <c r="AI841" s="232"/>
      <c r="AJ841" s="232"/>
      <c r="AK841" s="232"/>
      <c r="AL841" s="232"/>
      <c r="AM841" s="232"/>
      <c r="AN841" s="232"/>
      <c r="AO841" s="231"/>
      <c r="AP841" s="231"/>
      <c r="AQ841" s="227"/>
      <c r="AR841" s="231"/>
      <c r="AS841" s="227"/>
      <c r="AT841" s="227"/>
      <c r="AU841" s="227"/>
      <c r="AV841" s="227"/>
    </row>
    <row r="842">
      <c r="A842" s="227"/>
      <c r="B842" s="232"/>
      <c r="C842" s="227"/>
      <c r="D842" s="227"/>
      <c r="E842" s="231"/>
      <c r="F842" s="232"/>
      <c r="G842" s="227"/>
      <c r="H842" s="227"/>
      <c r="I842" s="227"/>
      <c r="J842" s="227"/>
      <c r="K842" s="227"/>
      <c r="L842" s="232"/>
      <c r="M842" s="232"/>
      <c r="N842" s="227"/>
      <c r="O842" s="227"/>
      <c r="P842" s="231"/>
      <c r="Q842" s="227"/>
      <c r="R842" s="231"/>
      <c r="S842" s="231"/>
      <c r="T842" s="231"/>
      <c r="U842" s="231"/>
      <c r="V842" s="231"/>
      <c r="W842" s="231"/>
      <c r="X842" s="227"/>
      <c r="Y842" s="232"/>
      <c r="Z842" s="232"/>
      <c r="AA842" s="232"/>
      <c r="AB842" s="232"/>
      <c r="AC842" s="227"/>
      <c r="AD842" s="227"/>
      <c r="AE842" s="231"/>
      <c r="AF842" s="227"/>
      <c r="AG842" s="232"/>
      <c r="AH842" s="232"/>
      <c r="AI842" s="232"/>
      <c r="AJ842" s="232"/>
      <c r="AK842" s="232"/>
      <c r="AL842" s="232"/>
      <c r="AM842" s="232"/>
      <c r="AN842" s="232"/>
      <c r="AO842" s="231"/>
      <c r="AP842" s="231"/>
      <c r="AQ842" s="227"/>
      <c r="AR842" s="231"/>
      <c r="AS842" s="227"/>
      <c r="AT842" s="227"/>
      <c r="AU842" s="227"/>
      <c r="AV842" s="227"/>
    </row>
    <row r="843">
      <c r="A843" s="227"/>
      <c r="B843" s="232"/>
      <c r="C843" s="227"/>
      <c r="D843" s="227"/>
      <c r="E843" s="231"/>
      <c r="F843" s="232"/>
      <c r="G843" s="227"/>
      <c r="H843" s="227"/>
      <c r="I843" s="227"/>
      <c r="J843" s="227"/>
      <c r="K843" s="227"/>
      <c r="L843" s="232"/>
      <c r="M843" s="232"/>
      <c r="N843" s="227"/>
      <c r="O843" s="227"/>
      <c r="P843" s="231"/>
      <c r="Q843" s="227"/>
      <c r="R843" s="231"/>
      <c r="S843" s="231"/>
      <c r="T843" s="231"/>
      <c r="U843" s="231"/>
      <c r="V843" s="231"/>
      <c r="W843" s="231"/>
      <c r="X843" s="227"/>
      <c r="Y843" s="232"/>
      <c r="Z843" s="232"/>
      <c r="AA843" s="232"/>
      <c r="AB843" s="232"/>
      <c r="AC843" s="227"/>
      <c r="AD843" s="227"/>
      <c r="AE843" s="231"/>
      <c r="AF843" s="227"/>
      <c r="AG843" s="232"/>
      <c r="AH843" s="232"/>
      <c r="AI843" s="232"/>
      <c r="AJ843" s="232"/>
      <c r="AK843" s="232"/>
      <c r="AL843" s="232"/>
      <c r="AM843" s="232"/>
      <c r="AN843" s="232"/>
      <c r="AO843" s="231"/>
      <c r="AP843" s="231"/>
      <c r="AQ843" s="227"/>
      <c r="AR843" s="231"/>
      <c r="AS843" s="227"/>
      <c r="AT843" s="227"/>
      <c r="AU843" s="227"/>
      <c r="AV843" s="227"/>
    </row>
    <row r="844">
      <c r="A844" s="227"/>
      <c r="B844" s="232"/>
      <c r="C844" s="227"/>
      <c r="D844" s="227"/>
      <c r="E844" s="231"/>
      <c r="F844" s="232"/>
      <c r="G844" s="227"/>
      <c r="H844" s="227"/>
      <c r="I844" s="227"/>
      <c r="J844" s="227"/>
      <c r="K844" s="227"/>
      <c r="L844" s="232"/>
      <c r="M844" s="232"/>
      <c r="N844" s="227"/>
      <c r="O844" s="227"/>
      <c r="P844" s="231"/>
      <c r="Q844" s="227"/>
      <c r="R844" s="231"/>
      <c r="S844" s="231"/>
      <c r="T844" s="231"/>
      <c r="U844" s="231"/>
      <c r="V844" s="231"/>
      <c r="W844" s="231"/>
      <c r="X844" s="227"/>
      <c r="Y844" s="232"/>
      <c r="Z844" s="232"/>
      <c r="AA844" s="232"/>
      <c r="AB844" s="232"/>
      <c r="AC844" s="227"/>
      <c r="AD844" s="227"/>
      <c r="AE844" s="231"/>
      <c r="AF844" s="227"/>
      <c r="AG844" s="232"/>
      <c r="AH844" s="232"/>
      <c r="AI844" s="232"/>
      <c r="AJ844" s="232"/>
      <c r="AK844" s="232"/>
      <c r="AL844" s="232"/>
      <c r="AM844" s="232"/>
      <c r="AN844" s="232"/>
      <c r="AO844" s="231"/>
      <c r="AP844" s="231"/>
      <c r="AQ844" s="227"/>
      <c r="AR844" s="231"/>
      <c r="AS844" s="227"/>
      <c r="AT844" s="227"/>
      <c r="AU844" s="227"/>
      <c r="AV844" s="227"/>
    </row>
    <row r="845">
      <c r="A845" s="227"/>
      <c r="B845" s="232"/>
      <c r="C845" s="227"/>
      <c r="D845" s="227"/>
      <c r="E845" s="231"/>
      <c r="F845" s="232"/>
      <c r="G845" s="227"/>
      <c r="H845" s="227"/>
      <c r="I845" s="227"/>
      <c r="J845" s="227"/>
      <c r="K845" s="227"/>
      <c r="L845" s="232"/>
      <c r="M845" s="232"/>
      <c r="N845" s="227"/>
      <c r="O845" s="227"/>
      <c r="P845" s="231"/>
      <c r="Q845" s="227"/>
      <c r="R845" s="231"/>
      <c r="S845" s="231"/>
      <c r="T845" s="231"/>
      <c r="U845" s="231"/>
      <c r="V845" s="231"/>
      <c r="W845" s="231"/>
      <c r="X845" s="227"/>
      <c r="Y845" s="232"/>
      <c r="Z845" s="232"/>
      <c r="AA845" s="232"/>
      <c r="AB845" s="232"/>
      <c r="AC845" s="227"/>
      <c r="AD845" s="227"/>
      <c r="AE845" s="231"/>
      <c r="AF845" s="227"/>
      <c r="AG845" s="232"/>
      <c r="AH845" s="232"/>
      <c r="AI845" s="232"/>
      <c r="AJ845" s="232"/>
      <c r="AK845" s="232"/>
      <c r="AL845" s="232"/>
      <c r="AM845" s="232"/>
      <c r="AN845" s="232"/>
      <c r="AO845" s="231"/>
      <c r="AP845" s="231"/>
      <c r="AQ845" s="227"/>
      <c r="AR845" s="231"/>
      <c r="AS845" s="227"/>
      <c r="AT845" s="227"/>
      <c r="AU845" s="227"/>
      <c r="AV845" s="227"/>
    </row>
    <row r="846">
      <c r="A846" s="227"/>
      <c r="B846" s="232"/>
      <c r="C846" s="227"/>
      <c r="D846" s="227"/>
      <c r="E846" s="231"/>
      <c r="F846" s="232"/>
      <c r="G846" s="227"/>
      <c r="H846" s="227"/>
      <c r="I846" s="227"/>
      <c r="J846" s="227"/>
      <c r="K846" s="227"/>
      <c r="L846" s="232"/>
      <c r="M846" s="232"/>
      <c r="N846" s="227"/>
      <c r="O846" s="227"/>
      <c r="P846" s="231"/>
      <c r="Q846" s="227"/>
      <c r="R846" s="231"/>
      <c r="S846" s="231"/>
      <c r="T846" s="231"/>
      <c r="U846" s="231"/>
      <c r="V846" s="231"/>
      <c r="W846" s="231"/>
      <c r="X846" s="227"/>
      <c r="Y846" s="232"/>
      <c r="Z846" s="232"/>
      <c r="AA846" s="232"/>
      <c r="AB846" s="232"/>
      <c r="AC846" s="227"/>
      <c r="AD846" s="227"/>
      <c r="AE846" s="231"/>
      <c r="AF846" s="227"/>
      <c r="AG846" s="232"/>
      <c r="AH846" s="232"/>
      <c r="AI846" s="232"/>
      <c r="AJ846" s="232"/>
      <c r="AK846" s="232"/>
      <c r="AL846" s="232"/>
      <c r="AM846" s="232"/>
      <c r="AN846" s="232"/>
      <c r="AO846" s="231"/>
      <c r="AP846" s="231"/>
      <c r="AQ846" s="227"/>
      <c r="AR846" s="231"/>
      <c r="AS846" s="227"/>
      <c r="AT846" s="227"/>
      <c r="AU846" s="227"/>
      <c r="AV846" s="227"/>
    </row>
    <row r="847">
      <c r="A847" s="227"/>
      <c r="B847" s="232"/>
      <c r="C847" s="227"/>
      <c r="D847" s="227"/>
      <c r="E847" s="231"/>
      <c r="F847" s="232"/>
      <c r="G847" s="227"/>
      <c r="H847" s="227"/>
      <c r="I847" s="227"/>
      <c r="J847" s="227"/>
      <c r="K847" s="227"/>
      <c r="L847" s="232"/>
      <c r="M847" s="232"/>
      <c r="N847" s="227"/>
      <c r="O847" s="227"/>
      <c r="P847" s="231"/>
      <c r="Q847" s="227"/>
      <c r="R847" s="231"/>
      <c r="S847" s="231"/>
      <c r="T847" s="231"/>
      <c r="U847" s="231"/>
      <c r="V847" s="231"/>
      <c r="W847" s="231"/>
      <c r="X847" s="227"/>
      <c r="Y847" s="232"/>
      <c r="Z847" s="232"/>
      <c r="AA847" s="232"/>
      <c r="AB847" s="232"/>
      <c r="AC847" s="227"/>
      <c r="AD847" s="227"/>
      <c r="AE847" s="231"/>
      <c r="AF847" s="227"/>
      <c r="AG847" s="232"/>
      <c r="AH847" s="232"/>
      <c r="AI847" s="232"/>
      <c r="AJ847" s="232"/>
      <c r="AK847" s="232"/>
      <c r="AL847" s="232"/>
      <c r="AM847" s="232"/>
      <c r="AN847" s="232"/>
      <c r="AO847" s="231"/>
      <c r="AP847" s="231"/>
      <c r="AQ847" s="227"/>
      <c r="AR847" s="231"/>
      <c r="AS847" s="227"/>
      <c r="AT847" s="227"/>
      <c r="AU847" s="227"/>
      <c r="AV847" s="227"/>
    </row>
    <row r="848">
      <c r="A848" s="227"/>
      <c r="B848" s="232"/>
      <c r="C848" s="227"/>
      <c r="D848" s="227"/>
      <c r="E848" s="231"/>
      <c r="F848" s="232"/>
      <c r="G848" s="227"/>
      <c r="H848" s="227"/>
      <c r="I848" s="227"/>
      <c r="J848" s="227"/>
      <c r="K848" s="227"/>
      <c r="L848" s="232"/>
      <c r="M848" s="232"/>
      <c r="N848" s="227"/>
      <c r="O848" s="227"/>
      <c r="P848" s="231"/>
      <c r="Q848" s="227"/>
      <c r="R848" s="231"/>
      <c r="S848" s="231"/>
      <c r="T848" s="231"/>
      <c r="U848" s="231"/>
      <c r="V848" s="231"/>
      <c r="W848" s="231"/>
      <c r="X848" s="227"/>
      <c r="Y848" s="232"/>
      <c r="Z848" s="232"/>
      <c r="AA848" s="232"/>
      <c r="AB848" s="232"/>
      <c r="AC848" s="227"/>
      <c r="AD848" s="227"/>
      <c r="AE848" s="231"/>
      <c r="AF848" s="227"/>
      <c r="AG848" s="232"/>
      <c r="AH848" s="232"/>
      <c r="AI848" s="232"/>
      <c r="AJ848" s="232"/>
      <c r="AK848" s="232"/>
      <c r="AL848" s="232"/>
      <c r="AM848" s="232"/>
      <c r="AN848" s="232"/>
      <c r="AO848" s="231"/>
      <c r="AP848" s="231"/>
      <c r="AQ848" s="227"/>
      <c r="AR848" s="231"/>
      <c r="AS848" s="227"/>
      <c r="AT848" s="227"/>
      <c r="AU848" s="227"/>
      <c r="AV848" s="227"/>
    </row>
    <row r="849">
      <c r="A849" s="227"/>
      <c r="B849" s="232"/>
      <c r="C849" s="227"/>
      <c r="D849" s="227"/>
      <c r="E849" s="231"/>
      <c r="F849" s="232"/>
      <c r="G849" s="227"/>
      <c r="H849" s="227"/>
      <c r="I849" s="227"/>
      <c r="J849" s="227"/>
      <c r="K849" s="227"/>
      <c r="L849" s="232"/>
      <c r="M849" s="232"/>
      <c r="N849" s="227"/>
      <c r="O849" s="227"/>
      <c r="P849" s="231"/>
      <c r="Q849" s="227"/>
      <c r="R849" s="231"/>
      <c r="S849" s="231"/>
      <c r="T849" s="231"/>
      <c r="U849" s="231"/>
      <c r="V849" s="231"/>
      <c r="W849" s="231"/>
      <c r="X849" s="227"/>
      <c r="Y849" s="232"/>
      <c r="Z849" s="232"/>
      <c r="AA849" s="232"/>
      <c r="AB849" s="232"/>
      <c r="AC849" s="227"/>
      <c r="AD849" s="227"/>
      <c r="AE849" s="231"/>
      <c r="AF849" s="227"/>
      <c r="AG849" s="232"/>
      <c r="AH849" s="232"/>
      <c r="AI849" s="232"/>
      <c r="AJ849" s="232"/>
      <c r="AK849" s="232"/>
      <c r="AL849" s="232"/>
      <c r="AM849" s="232"/>
      <c r="AN849" s="232"/>
      <c r="AO849" s="231"/>
      <c r="AP849" s="231"/>
      <c r="AQ849" s="227"/>
      <c r="AR849" s="231"/>
      <c r="AS849" s="227"/>
      <c r="AT849" s="227"/>
      <c r="AU849" s="227"/>
      <c r="AV849" s="227"/>
    </row>
    <row r="850">
      <c r="A850" s="227"/>
      <c r="B850" s="232"/>
      <c r="C850" s="227"/>
      <c r="D850" s="227"/>
      <c r="E850" s="231"/>
      <c r="F850" s="232"/>
      <c r="G850" s="227"/>
      <c r="H850" s="227"/>
      <c r="I850" s="227"/>
      <c r="J850" s="227"/>
      <c r="K850" s="227"/>
      <c r="L850" s="232"/>
      <c r="M850" s="232"/>
      <c r="N850" s="227"/>
      <c r="O850" s="227"/>
      <c r="P850" s="231"/>
      <c r="Q850" s="227"/>
      <c r="R850" s="231"/>
      <c r="S850" s="231"/>
      <c r="T850" s="231"/>
      <c r="U850" s="231"/>
      <c r="V850" s="231"/>
      <c r="W850" s="231"/>
      <c r="X850" s="227"/>
      <c r="Y850" s="232"/>
      <c r="Z850" s="232"/>
      <c r="AA850" s="232"/>
      <c r="AB850" s="232"/>
      <c r="AC850" s="227"/>
      <c r="AD850" s="227"/>
      <c r="AE850" s="231"/>
      <c r="AF850" s="227"/>
      <c r="AG850" s="232"/>
      <c r="AH850" s="232"/>
      <c r="AI850" s="232"/>
      <c r="AJ850" s="232"/>
      <c r="AK850" s="232"/>
      <c r="AL850" s="232"/>
      <c r="AM850" s="232"/>
      <c r="AN850" s="232"/>
      <c r="AO850" s="231"/>
      <c r="AP850" s="231"/>
      <c r="AQ850" s="227"/>
      <c r="AR850" s="231"/>
      <c r="AS850" s="227"/>
      <c r="AT850" s="227"/>
      <c r="AU850" s="227"/>
      <c r="AV850" s="227"/>
    </row>
    <row r="851">
      <c r="A851" s="227"/>
      <c r="B851" s="232"/>
      <c r="C851" s="227"/>
      <c r="D851" s="227"/>
      <c r="E851" s="231"/>
      <c r="F851" s="232"/>
      <c r="G851" s="227"/>
      <c r="H851" s="227"/>
      <c r="I851" s="227"/>
      <c r="J851" s="227"/>
      <c r="K851" s="227"/>
      <c r="L851" s="232"/>
      <c r="M851" s="232"/>
      <c r="N851" s="227"/>
      <c r="O851" s="227"/>
      <c r="P851" s="231"/>
      <c r="Q851" s="227"/>
      <c r="R851" s="231"/>
      <c r="S851" s="231"/>
      <c r="T851" s="231"/>
      <c r="U851" s="231"/>
      <c r="V851" s="231"/>
      <c r="W851" s="231"/>
      <c r="X851" s="227"/>
      <c r="Y851" s="232"/>
      <c r="Z851" s="232"/>
      <c r="AA851" s="232"/>
      <c r="AB851" s="232"/>
      <c r="AC851" s="227"/>
      <c r="AD851" s="227"/>
      <c r="AE851" s="231"/>
      <c r="AF851" s="227"/>
      <c r="AG851" s="232"/>
      <c r="AH851" s="232"/>
      <c r="AI851" s="232"/>
      <c r="AJ851" s="232"/>
      <c r="AK851" s="232"/>
      <c r="AL851" s="232"/>
      <c r="AM851" s="232"/>
      <c r="AN851" s="232"/>
      <c r="AO851" s="231"/>
      <c r="AP851" s="231"/>
      <c r="AQ851" s="227"/>
      <c r="AR851" s="231"/>
      <c r="AS851" s="227"/>
      <c r="AT851" s="227"/>
      <c r="AU851" s="227"/>
      <c r="AV851" s="227"/>
    </row>
    <row r="852">
      <c r="A852" s="227"/>
      <c r="B852" s="232"/>
      <c r="C852" s="227"/>
      <c r="D852" s="227"/>
      <c r="E852" s="231"/>
      <c r="F852" s="232"/>
      <c r="G852" s="227"/>
      <c r="H852" s="227"/>
      <c r="I852" s="227"/>
      <c r="J852" s="227"/>
      <c r="K852" s="227"/>
      <c r="L852" s="232"/>
      <c r="M852" s="232"/>
      <c r="N852" s="227"/>
      <c r="O852" s="227"/>
      <c r="P852" s="231"/>
      <c r="Q852" s="227"/>
      <c r="R852" s="231"/>
      <c r="S852" s="231"/>
      <c r="T852" s="231"/>
      <c r="U852" s="231"/>
      <c r="V852" s="231"/>
      <c r="W852" s="231"/>
      <c r="X852" s="227"/>
      <c r="Y852" s="232"/>
      <c r="Z852" s="232"/>
      <c r="AA852" s="232"/>
      <c r="AB852" s="232"/>
      <c r="AC852" s="227"/>
      <c r="AD852" s="227"/>
      <c r="AE852" s="231"/>
      <c r="AF852" s="227"/>
      <c r="AG852" s="232"/>
      <c r="AH852" s="232"/>
      <c r="AI852" s="232"/>
      <c r="AJ852" s="232"/>
      <c r="AK852" s="232"/>
      <c r="AL852" s="232"/>
      <c r="AM852" s="232"/>
      <c r="AN852" s="232"/>
      <c r="AO852" s="231"/>
      <c r="AP852" s="231"/>
      <c r="AQ852" s="227"/>
      <c r="AR852" s="231"/>
      <c r="AS852" s="227"/>
      <c r="AT852" s="227"/>
      <c r="AU852" s="227"/>
      <c r="AV852" s="227"/>
    </row>
    <row r="853">
      <c r="A853" s="227"/>
      <c r="B853" s="232"/>
      <c r="C853" s="227"/>
      <c r="D853" s="227"/>
      <c r="E853" s="231"/>
      <c r="F853" s="232"/>
      <c r="G853" s="227"/>
      <c r="H853" s="227"/>
      <c r="I853" s="227"/>
      <c r="J853" s="227"/>
      <c r="K853" s="227"/>
      <c r="L853" s="232"/>
      <c r="M853" s="232"/>
      <c r="N853" s="227"/>
      <c r="O853" s="227"/>
      <c r="P853" s="231"/>
      <c r="Q853" s="227"/>
      <c r="R853" s="231"/>
      <c r="S853" s="231"/>
      <c r="T853" s="231"/>
      <c r="U853" s="231"/>
      <c r="V853" s="231"/>
      <c r="W853" s="231"/>
      <c r="X853" s="227"/>
      <c r="Y853" s="232"/>
      <c r="Z853" s="232"/>
      <c r="AA853" s="232"/>
      <c r="AB853" s="232"/>
      <c r="AC853" s="227"/>
      <c r="AD853" s="227"/>
      <c r="AE853" s="231"/>
      <c r="AF853" s="227"/>
      <c r="AG853" s="232"/>
      <c r="AH853" s="232"/>
      <c r="AI853" s="232"/>
      <c r="AJ853" s="232"/>
      <c r="AK853" s="232"/>
      <c r="AL853" s="232"/>
      <c r="AM853" s="232"/>
      <c r="AN853" s="232"/>
      <c r="AO853" s="231"/>
      <c r="AP853" s="231"/>
      <c r="AQ853" s="227"/>
      <c r="AR853" s="231"/>
      <c r="AS853" s="227"/>
      <c r="AT853" s="227"/>
      <c r="AU853" s="227"/>
      <c r="AV853" s="227"/>
    </row>
    <row r="854">
      <c r="A854" s="227"/>
      <c r="B854" s="232"/>
      <c r="C854" s="227"/>
      <c r="D854" s="227"/>
      <c r="E854" s="231"/>
      <c r="F854" s="232"/>
      <c r="G854" s="227"/>
      <c r="H854" s="227"/>
      <c r="I854" s="227"/>
      <c r="J854" s="227"/>
      <c r="K854" s="227"/>
      <c r="L854" s="232"/>
      <c r="M854" s="232"/>
      <c r="N854" s="227"/>
      <c r="O854" s="227"/>
      <c r="P854" s="231"/>
      <c r="Q854" s="227"/>
      <c r="R854" s="231"/>
      <c r="S854" s="231"/>
      <c r="T854" s="231"/>
      <c r="U854" s="231"/>
      <c r="V854" s="231"/>
      <c r="W854" s="231"/>
      <c r="X854" s="227"/>
      <c r="Y854" s="232"/>
      <c r="Z854" s="232"/>
      <c r="AA854" s="232"/>
      <c r="AB854" s="232"/>
      <c r="AC854" s="227"/>
      <c r="AD854" s="227"/>
      <c r="AE854" s="231"/>
      <c r="AF854" s="227"/>
      <c r="AG854" s="232"/>
      <c r="AH854" s="232"/>
      <c r="AI854" s="232"/>
      <c r="AJ854" s="232"/>
      <c r="AK854" s="232"/>
      <c r="AL854" s="232"/>
      <c r="AM854" s="232"/>
      <c r="AN854" s="232"/>
      <c r="AO854" s="231"/>
      <c r="AP854" s="231"/>
      <c r="AQ854" s="227"/>
      <c r="AR854" s="231"/>
      <c r="AS854" s="227"/>
      <c r="AT854" s="227"/>
      <c r="AU854" s="227"/>
      <c r="AV854" s="227"/>
    </row>
    <row r="855">
      <c r="A855" s="227"/>
      <c r="B855" s="232"/>
      <c r="C855" s="227"/>
      <c r="D855" s="227"/>
      <c r="E855" s="231"/>
      <c r="F855" s="232"/>
      <c r="G855" s="227"/>
      <c r="H855" s="227"/>
      <c r="I855" s="227"/>
      <c r="J855" s="227"/>
      <c r="K855" s="227"/>
      <c r="L855" s="232"/>
      <c r="M855" s="232"/>
      <c r="N855" s="227"/>
      <c r="O855" s="227"/>
      <c r="P855" s="231"/>
      <c r="Q855" s="227"/>
      <c r="R855" s="231"/>
      <c r="S855" s="231"/>
      <c r="T855" s="231"/>
      <c r="U855" s="231"/>
      <c r="V855" s="231"/>
      <c r="W855" s="231"/>
      <c r="X855" s="227"/>
      <c r="Y855" s="232"/>
      <c r="Z855" s="232"/>
      <c r="AA855" s="232"/>
      <c r="AB855" s="232"/>
      <c r="AC855" s="227"/>
      <c r="AD855" s="227"/>
      <c r="AE855" s="231"/>
      <c r="AF855" s="227"/>
      <c r="AG855" s="232"/>
      <c r="AH855" s="232"/>
      <c r="AI855" s="232"/>
      <c r="AJ855" s="232"/>
      <c r="AK855" s="232"/>
      <c r="AL855" s="232"/>
      <c r="AM855" s="232"/>
      <c r="AN855" s="232"/>
      <c r="AO855" s="231"/>
      <c r="AP855" s="231"/>
      <c r="AQ855" s="227"/>
      <c r="AR855" s="231"/>
      <c r="AS855" s="227"/>
      <c r="AT855" s="227"/>
      <c r="AU855" s="227"/>
      <c r="AV855" s="227"/>
    </row>
    <row r="856">
      <c r="A856" s="227"/>
      <c r="B856" s="232"/>
      <c r="C856" s="227"/>
      <c r="D856" s="227"/>
      <c r="E856" s="231"/>
      <c r="F856" s="232"/>
      <c r="G856" s="227"/>
      <c r="H856" s="227"/>
      <c r="I856" s="227"/>
      <c r="J856" s="227"/>
      <c r="K856" s="227"/>
      <c r="L856" s="232"/>
      <c r="M856" s="232"/>
      <c r="N856" s="227"/>
      <c r="O856" s="227"/>
      <c r="P856" s="231"/>
      <c r="Q856" s="227"/>
      <c r="R856" s="231"/>
      <c r="S856" s="231"/>
      <c r="T856" s="231"/>
      <c r="U856" s="231"/>
      <c r="V856" s="231"/>
      <c r="W856" s="231"/>
      <c r="X856" s="227"/>
      <c r="Y856" s="232"/>
      <c r="Z856" s="232"/>
      <c r="AA856" s="232"/>
      <c r="AB856" s="232"/>
      <c r="AC856" s="227"/>
      <c r="AD856" s="227"/>
      <c r="AE856" s="231"/>
      <c r="AF856" s="227"/>
      <c r="AG856" s="232"/>
      <c r="AH856" s="232"/>
      <c r="AI856" s="232"/>
      <c r="AJ856" s="232"/>
      <c r="AK856" s="232"/>
      <c r="AL856" s="232"/>
      <c r="AM856" s="232"/>
      <c r="AN856" s="232"/>
      <c r="AO856" s="231"/>
      <c r="AP856" s="231"/>
      <c r="AQ856" s="227"/>
      <c r="AR856" s="231"/>
      <c r="AS856" s="227"/>
      <c r="AT856" s="227"/>
      <c r="AU856" s="227"/>
      <c r="AV856" s="227"/>
    </row>
    <row r="857">
      <c r="A857" s="227"/>
      <c r="B857" s="232"/>
      <c r="C857" s="227"/>
      <c r="D857" s="227"/>
      <c r="E857" s="231"/>
      <c r="F857" s="232"/>
      <c r="G857" s="227"/>
      <c r="H857" s="227"/>
      <c r="I857" s="227"/>
      <c r="J857" s="227"/>
      <c r="K857" s="227"/>
      <c r="L857" s="232"/>
      <c r="M857" s="232"/>
      <c r="N857" s="227"/>
      <c r="O857" s="227"/>
      <c r="P857" s="231"/>
      <c r="Q857" s="227"/>
      <c r="R857" s="231"/>
      <c r="S857" s="231"/>
      <c r="T857" s="231"/>
      <c r="U857" s="231"/>
      <c r="V857" s="231"/>
      <c r="W857" s="231"/>
      <c r="X857" s="227"/>
      <c r="Y857" s="232"/>
      <c r="Z857" s="232"/>
      <c r="AA857" s="232"/>
      <c r="AB857" s="232"/>
      <c r="AC857" s="227"/>
      <c r="AD857" s="227"/>
      <c r="AE857" s="231"/>
      <c r="AF857" s="227"/>
      <c r="AG857" s="232"/>
      <c r="AH857" s="232"/>
      <c r="AI857" s="232"/>
      <c r="AJ857" s="232"/>
      <c r="AK857" s="232"/>
      <c r="AL857" s="232"/>
      <c r="AM857" s="232"/>
      <c r="AN857" s="232"/>
      <c r="AO857" s="231"/>
      <c r="AP857" s="231"/>
      <c r="AQ857" s="227"/>
      <c r="AR857" s="231"/>
      <c r="AS857" s="227"/>
      <c r="AT857" s="227"/>
      <c r="AU857" s="227"/>
      <c r="AV857" s="227"/>
    </row>
    <row r="858">
      <c r="A858" s="227"/>
      <c r="B858" s="232"/>
      <c r="C858" s="227"/>
      <c r="D858" s="227"/>
      <c r="E858" s="231"/>
      <c r="F858" s="232"/>
      <c r="G858" s="227"/>
      <c r="H858" s="227"/>
      <c r="I858" s="227"/>
      <c r="J858" s="227"/>
      <c r="K858" s="227"/>
      <c r="L858" s="232"/>
      <c r="M858" s="232"/>
      <c r="N858" s="227"/>
      <c r="O858" s="227"/>
      <c r="P858" s="231"/>
      <c r="Q858" s="227"/>
      <c r="R858" s="231"/>
      <c r="S858" s="231"/>
      <c r="T858" s="231"/>
      <c r="U858" s="231"/>
      <c r="V858" s="231"/>
      <c r="W858" s="231"/>
      <c r="X858" s="227"/>
      <c r="Y858" s="232"/>
      <c r="Z858" s="232"/>
      <c r="AA858" s="232"/>
      <c r="AB858" s="232"/>
      <c r="AC858" s="227"/>
      <c r="AD858" s="227"/>
      <c r="AE858" s="231"/>
      <c r="AF858" s="227"/>
      <c r="AG858" s="232"/>
      <c r="AH858" s="232"/>
      <c r="AI858" s="232"/>
      <c r="AJ858" s="232"/>
      <c r="AK858" s="232"/>
      <c r="AL858" s="232"/>
      <c r="AM858" s="232"/>
      <c r="AN858" s="232"/>
      <c r="AO858" s="231"/>
      <c r="AP858" s="231"/>
      <c r="AQ858" s="227"/>
      <c r="AR858" s="231"/>
      <c r="AS858" s="227"/>
      <c r="AT858" s="227"/>
      <c r="AU858" s="227"/>
      <c r="AV858" s="227"/>
    </row>
    <row r="859">
      <c r="A859" s="227"/>
      <c r="B859" s="232"/>
      <c r="C859" s="227"/>
      <c r="D859" s="227"/>
      <c r="E859" s="231"/>
      <c r="F859" s="232"/>
      <c r="G859" s="227"/>
      <c r="H859" s="227"/>
      <c r="I859" s="227"/>
      <c r="J859" s="227"/>
      <c r="K859" s="227"/>
      <c r="L859" s="232"/>
      <c r="M859" s="232"/>
      <c r="N859" s="227"/>
      <c r="O859" s="227"/>
      <c r="P859" s="231"/>
      <c r="Q859" s="227"/>
      <c r="R859" s="231"/>
      <c r="S859" s="231"/>
      <c r="T859" s="231"/>
      <c r="U859" s="231"/>
      <c r="V859" s="231"/>
      <c r="W859" s="231"/>
      <c r="X859" s="227"/>
      <c r="Y859" s="232"/>
      <c r="Z859" s="232"/>
      <c r="AA859" s="232"/>
      <c r="AB859" s="232"/>
      <c r="AC859" s="227"/>
      <c r="AD859" s="227"/>
      <c r="AE859" s="231"/>
      <c r="AF859" s="227"/>
      <c r="AG859" s="232"/>
      <c r="AH859" s="232"/>
      <c r="AI859" s="232"/>
      <c r="AJ859" s="232"/>
      <c r="AK859" s="232"/>
      <c r="AL859" s="232"/>
      <c r="AM859" s="232"/>
      <c r="AN859" s="232"/>
      <c r="AO859" s="231"/>
      <c r="AP859" s="231"/>
      <c r="AQ859" s="227"/>
      <c r="AR859" s="231"/>
      <c r="AS859" s="227"/>
      <c r="AT859" s="227"/>
      <c r="AU859" s="227"/>
      <c r="AV859" s="227"/>
    </row>
    <row r="860">
      <c r="A860" s="227"/>
      <c r="B860" s="232"/>
      <c r="C860" s="227"/>
      <c r="D860" s="227"/>
      <c r="E860" s="231"/>
      <c r="F860" s="232"/>
      <c r="G860" s="227"/>
      <c r="H860" s="227"/>
      <c r="I860" s="227"/>
      <c r="J860" s="227"/>
      <c r="K860" s="227"/>
      <c r="L860" s="232"/>
      <c r="M860" s="232"/>
      <c r="N860" s="227"/>
      <c r="O860" s="227"/>
      <c r="P860" s="231"/>
      <c r="Q860" s="227"/>
      <c r="R860" s="231"/>
      <c r="S860" s="231"/>
      <c r="T860" s="231"/>
      <c r="U860" s="231"/>
      <c r="V860" s="231"/>
      <c r="W860" s="231"/>
      <c r="X860" s="227"/>
      <c r="Y860" s="232"/>
      <c r="Z860" s="232"/>
      <c r="AA860" s="232"/>
      <c r="AB860" s="232"/>
      <c r="AC860" s="227"/>
      <c r="AD860" s="227"/>
      <c r="AE860" s="231"/>
      <c r="AF860" s="227"/>
      <c r="AG860" s="232"/>
      <c r="AH860" s="232"/>
      <c r="AI860" s="232"/>
      <c r="AJ860" s="232"/>
      <c r="AK860" s="232"/>
      <c r="AL860" s="232"/>
      <c r="AM860" s="232"/>
      <c r="AN860" s="232"/>
      <c r="AO860" s="231"/>
      <c r="AP860" s="231"/>
      <c r="AQ860" s="227"/>
      <c r="AR860" s="231"/>
      <c r="AS860" s="227"/>
      <c r="AT860" s="227"/>
      <c r="AU860" s="227"/>
      <c r="AV860" s="227"/>
    </row>
    <row r="861">
      <c r="A861" s="227"/>
      <c r="B861" s="232"/>
      <c r="C861" s="227"/>
      <c r="D861" s="227"/>
      <c r="E861" s="231"/>
      <c r="F861" s="232"/>
      <c r="G861" s="227"/>
      <c r="H861" s="227"/>
      <c r="I861" s="227"/>
      <c r="J861" s="227"/>
      <c r="K861" s="227"/>
      <c r="L861" s="232"/>
      <c r="M861" s="232"/>
      <c r="N861" s="227"/>
      <c r="O861" s="227"/>
      <c r="P861" s="231"/>
      <c r="Q861" s="227"/>
      <c r="R861" s="231"/>
      <c r="S861" s="231"/>
      <c r="T861" s="231"/>
      <c r="U861" s="231"/>
      <c r="V861" s="231"/>
      <c r="W861" s="231"/>
      <c r="X861" s="227"/>
      <c r="Y861" s="232"/>
      <c r="Z861" s="232"/>
      <c r="AA861" s="232"/>
      <c r="AB861" s="232"/>
      <c r="AC861" s="227"/>
      <c r="AD861" s="227"/>
      <c r="AE861" s="231"/>
      <c r="AF861" s="227"/>
      <c r="AG861" s="232"/>
      <c r="AH861" s="232"/>
      <c r="AI861" s="232"/>
      <c r="AJ861" s="232"/>
      <c r="AK861" s="232"/>
      <c r="AL861" s="232"/>
      <c r="AM861" s="232"/>
      <c r="AN861" s="232"/>
      <c r="AO861" s="231"/>
      <c r="AP861" s="231"/>
      <c r="AQ861" s="227"/>
      <c r="AR861" s="231"/>
      <c r="AS861" s="227"/>
      <c r="AT861" s="227"/>
      <c r="AU861" s="227"/>
      <c r="AV861" s="227"/>
    </row>
    <row r="862">
      <c r="A862" s="227"/>
      <c r="B862" s="232"/>
      <c r="C862" s="227"/>
      <c r="D862" s="227"/>
      <c r="E862" s="231"/>
      <c r="F862" s="232"/>
      <c r="G862" s="227"/>
      <c r="H862" s="227"/>
      <c r="I862" s="227"/>
      <c r="J862" s="227"/>
      <c r="K862" s="227"/>
      <c r="L862" s="232"/>
      <c r="M862" s="232"/>
      <c r="N862" s="227"/>
      <c r="O862" s="227"/>
      <c r="P862" s="231"/>
      <c r="Q862" s="227"/>
      <c r="R862" s="231"/>
      <c r="S862" s="231"/>
      <c r="T862" s="231"/>
      <c r="U862" s="231"/>
      <c r="V862" s="231"/>
      <c r="W862" s="231"/>
      <c r="X862" s="227"/>
      <c r="Y862" s="232"/>
      <c r="Z862" s="232"/>
      <c r="AA862" s="232"/>
      <c r="AB862" s="232"/>
      <c r="AC862" s="227"/>
      <c r="AD862" s="227"/>
      <c r="AE862" s="231"/>
      <c r="AF862" s="227"/>
      <c r="AG862" s="232"/>
      <c r="AH862" s="232"/>
      <c r="AI862" s="232"/>
      <c r="AJ862" s="232"/>
      <c r="AK862" s="232"/>
      <c r="AL862" s="232"/>
      <c r="AM862" s="232"/>
      <c r="AN862" s="232"/>
      <c r="AO862" s="231"/>
      <c r="AP862" s="231"/>
      <c r="AQ862" s="227"/>
      <c r="AR862" s="231"/>
      <c r="AS862" s="227"/>
      <c r="AT862" s="227"/>
      <c r="AU862" s="227"/>
      <c r="AV862" s="227"/>
    </row>
    <row r="863">
      <c r="A863" s="227"/>
      <c r="B863" s="232"/>
      <c r="C863" s="227"/>
      <c r="D863" s="227"/>
      <c r="E863" s="231"/>
      <c r="F863" s="232"/>
      <c r="G863" s="227"/>
      <c r="H863" s="227"/>
      <c r="I863" s="227"/>
      <c r="J863" s="227"/>
      <c r="K863" s="227"/>
      <c r="L863" s="232"/>
      <c r="M863" s="232"/>
      <c r="N863" s="227"/>
      <c r="O863" s="227"/>
      <c r="P863" s="231"/>
      <c r="Q863" s="227"/>
      <c r="R863" s="231"/>
      <c r="S863" s="231"/>
      <c r="T863" s="231"/>
      <c r="U863" s="231"/>
      <c r="V863" s="231"/>
      <c r="W863" s="231"/>
      <c r="X863" s="227"/>
      <c r="Y863" s="232"/>
      <c r="Z863" s="232"/>
      <c r="AA863" s="232"/>
      <c r="AB863" s="232"/>
      <c r="AC863" s="227"/>
      <c r="AD863" s="227"/>
      <c r="AE863" s="231"/>
      <c r="AF863" s="227"/>
      <c r="AG863" s="232"/>
      <c r="AH863" s="232"/>
      <c r="AI863" s="232"/>
      <c r="AJ863" s="232"/>
      <c r="AK863" s="232"/>
      <c r="AL863" s="232"/>
      <c r="AM863" s="232"/>
      <c r="AN863" s="232"/>
      <c r="AO863" s="231"/>
      <c r="AP863" s="231"/>
      <c r="AQ863" s="227"/>
      <c r="AR863" s="231"/>
      <c r="AS863" s="227"/>
      <c r="AT863" s="227"/>
      <c r="AU863" s="227"/>
      <c r="AV863" s="227"/>
    </row>
    <row r="864">
      <c r="A864" s="227"/>
      <c r="B864" s="232"/>
      <c r="C864" s="227"/>
      <c r="D864" s="227"/>
      <c r="E864" s="231"/>
      <c r="F864" s="232"/>
      <c r="G864" s="227"/>
      <c r="H864" s="227"/>
      <c r="I864" s="227"/>
      <c r="J864" s="227"/>
      <c r="K864" s="227"/>
      <c r="L864" s="232"/>
      <c r="M864" s="232"/>
      <c r="N864" s="227"/>
      <c r="O864" s="227"/>
      <c r="P864" s="231"/>
      <c r="Q864" s="227"/>
      <c r="R864" s="231"/>
      <c r="S864" s="231"/>
      <c r="T864" s="231"/>
      <c r="U864" s="231"/>
      <c r="V864" s="231"/>
      <c r="W864" s="231"/>
      <c r="X864" s="227"/>
      <c r="Y864" s="232"/>
      <c r="Z864" s="232"/>
      <c r="AA864" s="232"/>
      <c r="AB864" s="232"/>
      <c r="AC864" s="227"/>
      <c r="AD864" s="227"/>
      <c r="AE864" s="231"/>
      <c r="AF864" s="227"/>
      <c r="AG864" s="232"/>
      <c r="AH864" s="232"/>
      <c r="AI864" s="232"/>
      <c r="AJ864" s="232"/>
      <c r="AK864" s="232"/>
      <c r="AL864" s="232"/>
      <c r="AM864" s="232"/>
      <c r="AN864" s="232"/>
      <c r="AO864" s="231"/>
      <c r="AP864" s="231"/>
      <c r="AQ864" s="227"/>
      <c r="AR864" s="231"/>
      <c r="AS864" s="227"/>
      <c r="AT864" s="227"/>
      <c r="AU864" s="227"/>
      <c r="AV864" s="227"/>
    </row>
    <row r="865">
      <c r="A865" s="227"/>
      <c r="B865" s="232"/>
      <c r="C865" s="227"/>
      <c r="D865" s="227"/>
      <c r="E865" s="231"/>
      <c r="F865" s="232"/>
      <c r="G865" s="227"/>
      <c r="H865" s="227"/>
      <c r="I865" s="227"/>
      <c r="J865" s="227"/>
      <c r="K865" s="227"/>
      <c r="L865" s="232"/>
      <c r="M865" s="232"/>
      <c r="N865" s="227"/>
      <c r="O865" s="227"/>
      <c r="P865" s="231"/>
      <c r="Q865" s="227"/>
      <c r="R865" s="231"/>
      <c r="S865" s="231"/>
      <c r="T865" s="231"/>
      <c r="U865" s="231"/>
      <c r="V865" s="231"/>
      <c r="W865" s="231"/>
      <c r="X865" s="227"/>
      <c r="Y865" s="232"/>
      <c r="Z865" s="232"/>
      <c r="AA865" s="232"/>
      <c r="AB865" s="232"/>
      <c r="AC865" s="227"/>
      <c r="AD865" s="227"/>
      <c r="AE865" s="231"/>
      <c r="AF865" s="227"/>
      <c r="AG865" s="232"/>
      <c r="AH865" s="232"/>
      <c r="AI865" s="232"/>
      <c r="AJ865" s="232"/>
      <c r="AK865" s="232"/>
      <c r="AL865" s="232"/>
      <c r="AM865" s="232"/>
      <c r="AN865" s="232"/>
      <c r="AO865" s="231"/>
      <c r="AP865" s="231"/>
      <c r="AQ865" s="227"/>
      <c r="AR865" s="231"/>
      <c r="AS865" s="227"/>
      <c r="AT865" s="227"/>
      <c r="AU865" s="227"/>
      <c r="AV865" s="227"/>
    </row>
    <row r="866">
      <c r="A866" s="227"/>
      <c r="B866" s="232"/>
      <c r="C866" s="227"/>
      <c r="D866" s="227"/>
      <c r="E866" s="231"/>
      <c r="F866" s="232"/>
      <c r="G866" s="227"/>
      <c r="H866" s="227"/>
      <c r="I866" s="227"/>
      <c r="J866" s="227"/>
      <c r="K866" s="227"/>
      <c r="L866" s="232"/>
      <c r="M866" s="232"/>
      <c r="N866" s="227"/>
      <c r="O866" s="227"/>
      <c r="P866" s="231"/>
      <c r="Q866" s="227"/>
      <c r="R866" s="231"/>
      <c r="S866" s="231"/>
      <c r="T866" s="231"/>
      <c r="U866" s="231"/>
      <c r="V866" s="231"/>
      <c r="W866" s="231"/>
      <c r="X866" s="227"/>
      <c r="Y866" s="232"/>
      <c r="Z866" s="232"/>
      <c r="AA866" s="232"/>
      <c r="AB866" s="232"/>
      <c r="AC866" s="227"/>
      <c r="AD866" s="227"/>
      <c r="AE866" s="231"/>
      <c r="AF866" s="227"/>
      <c r="AG866" s="232"/>
      <c r="AH866" s="232"/>
      <c r="AI866" s="232"/>
      <c r="AJ866" s="232"/>
      <c r="AK866" s="232"/>
      <c r="AL866" s="232"/>
      <c r="AM866" s="232"/>
      <c r="AN866" s="232"/>
      <c r="AO866" s="231"/>
      <c r="AP866" s="231"/>
      <c r="AQ866" s="227"/>
      <c r="AR866" s="231"/>
      <c r="AS866" s="227"/>
      <c r="AT866" s="227"/>
      <c r="AU866" s="227"/>
      <c r="AV866" s="227"/>
    </row>
    <row r="867">
      <c r="A867" s="227"/>
      <c r="B867" s="232"/>
      <c r="C867" s="227"/>
      <c r="D867" s="227"/>
      <c r="E867" s="231"/>
      <c r="F867" s="232"/>
      <c r="G867" s="227"/>
      <c r="H867" s="227"/>
      <c r="I867" s="227"/>
      <c r="J867" s="227"/>
      <c r="K867" s="227"/>
      <c r="L867" s="232"/>
      <c r="M867" s="232"/>
      <c r="N867" s="227"/>
      <c r="O867" s="227"/>
      <c r="P867" s="231"/>
      <c r="Q867" s="227"/>
      <c r="R867" s="231"/>
      <c r="S867" s="231"/>
      <c r="T867" s="231"/>
      <c r="U867" s="231"/>
      <c r="V867" s="231"/>
      <c r="W867" s="231"/>
      <c r="X867" s="227"/>
      <c r="Y867" s="232"/>
      <c r="Z867" s="232"/>
      <c r="AA867" s="232"/>
      <c r="AB867" s="232"/>
      <c r="AC867" s="227"/>
      <c r="AD867" s="227"/>
      <c r="AE867" s="231"/>
      <c r="AF867" s="227"/>
      <c r="AG867" s="232"/>
      <c r="AH867" s="232"/>
      <c r="AI867" s="232"/>
      <c r="AJ867" s="232"/>
      <c r="AK867" s="232"/>
      <c r="AL867" s="232"/>
      <c r="AM867" s="232"/>
      <c r="AN867" s="232"/>
      <c r="AO867" s="231"/>
      <c r="AP867" s="231"/>
      <c r="AQ867" s="227"/>
      <c r="AR867" s="231"/>
      <c r="AS867" s="227"/>
      <c r="AT867" s="227"/>
      <c r="AU867" s="227"/>
      <c r="AV867" s="227"/>
    </row>
    <row r="868">
      <c r="A868" s="227"/>
      <c r="B868" s="232"/>
      <c r="C868" s="227"/>
      <c r="D868" s="227"/>
      <c r="E868" s="231"/>
      <c r="F868" s="232"/>
      <c r="G868" s="227"/>
      <c r="H868" s="227"/>
      <c r="I868" s="227"/>
      <c r="J868" s="227"/>
      <c r="K868" s="227"/>
      <c r="L868" s="232"/>
      <c r="M868" s="232"/>
      <c r="N868" s="227"/>
      <c r="O868" s="227"/>
      <c r="P868" s="231"/>
      <c r="Q868" s="227"/>
      <c r="R868" s="231"/>
      <c r="S868" s="231"/>
      <c r="T868" s="231"/>
      <c r="U868" s="231"/>
      <c r="V868" s="231"/>
      <c r="W868" s="231"/>
      <c r="X868" s="227"/>
      <c r="Y868" s="232"/>
      <c r="Z868" s="232"/>
      <c r="AA868" s="232"/>
      <c r="AB868" s="232"/>
      <c r="AC868" s="227"/>
      <c r="AD868" s="227"/>
      <c r="AE868" s="231"/>
      <c r="AF868" s="227"/>
      <c r="AG868" s="232"/>
      <c r="AH868" s="232"/>
      <c r="AI868" s="232"/>
      <c r="AJ868" s="232"/>
      <c r="AK868" s="232"/>
      <c r="AL868" s="232"/>
      <c r="AM868" s="232"/>
      <c r="AN868" s="232"/>
      <c r="AO868" s="231"/>
      <c r="AP868" s="231"/>
      <c r="AQ868" s="227"/>
      <c r="AR868" s="231"/>
      <c r="AS868" s="227"/>
      <c r="AT868" s="227"/>
      <c r="AU868" s="227"/>
      <c r="AV868" s="227"/>
    </row>
    <row r="869">
      <c r="A869" s="227"/>
      <c r="B869" s="232"/>
      <c r="C869" s="227"/>
      <c r="D869" s="227"/>
      <c r="E869" s="231"/>
      <c r="F869" s="232"/>
      <c r="G869" s="227"/>
      <c r="H869" s="227"/>
      <c r="I869" s="227"/>
      <c r="J869" s="227"/>
      <c r="K869" s="227"/>
      <c r="L869" s="232"/>
      <c r="M869" s="232"/>
      <c r="N869" s="227"/>
      <c r="O869" s="227"/>
      <c r="P869" s="231"/>
      <c r="Q869" s="227"/>
      <c r="R869" s="231"/>
      <c r="S869" s="231"/>
      <c r="T869" s="231"/>
      <c r="U869" s="231"/>
      <c r="V869" s="231"/>
      <c r="W869" s="231"/>
      <c r="X869" s="227"/>
      <c r="Y869" s="232"/>
      <c r="Z869" s="232"/>
      <c r="AA869" s="232"/>
      <c r="AB869" s="232"/>
      <c r="AC869" s="227"/>
      <c r="AD869" s="227"/>
      <c r="AE869" s="231"/>
      <c r="AF869" s="227"/>
      <c r="AG869" s="232"/>
      <c r="AH869" s="232"/>
      <c r="AI869" s="232"/>
      <c r="AJ869" s="232"/>
      <c r="AK869" s="232"/>
      <c r="AL869" s="232"/>
      <c r="AM869" s="232"/>
      <c r="AN869" s="232"/>
      <c r="AO869" s="231"/>
      <c r="AP869" s="231"/>
      <c r="AQ869" s="227"/>
      <c r="AR869" s="231"/>
      <c r="AS869" s="227"/>
      <c r="AT869" s="227"/>
      <c r="AU869" s="227"/>
      <c r="AV869" s="227"/>
    </row>
    <row r="870">
      <c r="A870" s="227"/>
      <c r="B870" s="232"/>
      <c r="C870" s="227"/>
      <c r="D870" s="227"/>
      <c r="E870" s="231"/>
      <c r="F870" s="232"/>
      <c r="G870" s="227"/>
      <c r="H870" s="227"/>
      <c r="I870" s="227"/>
      <c r="J870" s="227"/>
      <c r="K870" s="227"/>
      <c r="L870" s="232"/>
      <c r="M870" s="232"/>
      <c r="N870" s="227"/>
      <c r="O870" s="227"/>
      <c r="P870" s="231"/>
      <c r="Q870" s="227"/>
      <c r="R870" s="231"/>
      <c r="S870" s="231"/>
      <c r="T870" s="231"/>
      <c r="U870" s="231"/>
      <c r="V870" s="231"/>
      <c r="W870" s="231"/>
      <c r="X870" s="227"/>
      <c r="Y870" s="232"/>
      <c r="Z870" s="232"/>
      <c r="AA870" s="232"/>
      <c r="AB870" s="232"/>
      <c r="AC870" s="227"/>
      <c r="AD870" s="227"/>
      <c r="AE870" s="231"/>
      <c r="AF870" s="227"/>
      <c r="AG870" s="232"/>
      <c r="AH870" s="232"/>
      <c r="AI870" s="232"/>
      <c r="AJ870" s="232"/>
      <c r="AK870" s="232"/>
      <c r="AL870" s="232"/>
      <c r="AM870" s="232"/>
      <c r="AN870" s="232"/>
      <c r="AO870" s="231"/>
      <c r="AP870" s="231"/>
      <c r="AQ870" s="227"/>
      <c r="AR870" s="231"/>
      <c r="AS870" s="227"/>
      <c r="AT870" s="227"/>
      <c r="AU870" s="227"/>
      <c r="AV870" s="227"/>
    </row>
    <row r="871">
      <c r="A871" s="227"/>
      <c r="B871" s="232"/>
      <c r="C871" s="227"/>
      <c r="D871" s="227"/>
      <c r="E871" s="231"/>
      <c r="F871" s="232"/>
      <c r="G871" s="227"/>
      <c r="H871" s="227"/>
      <c r="I871" s="227"/>
      <c r="J871" s="227"/>
      <c r="K871" s="227"/>
      <c r="L871" s="232"/>
      <c r="M871" s="232"/>
      <c r="N871" s="227"/>
      <c r="O871" s="227"/>
      <c r="P871" s="231"/>
      <c r="Q871" s="227"/>
      <c r="R871" s="231"/>
      <c r="S871" s="231"/>
      <c r="T871" s="231"/>
      <c r="U871" s="231"/>
      <c r="V871" s="231"/>
      <c r="W871" s="231"/>
      <c r="X871" s="227"/>
      <c r="Y871" s="232"/>
      <c r="Z871" s="232"/>
      <c r="AA871" s="232"/>
      <c r="AB871" s="232"/>
      <c r="AC871" s="227"/>
      <c r="AD871" s="227"/>
      <c r="AE871" s="231"/>
      <c r="AF871" s="227"/>
      <c r="AG871" s="232"/>
      <c r="AH871" s="232"/>
      <c r="AI871" s="232"/>
      <c r="AJ871" s="232"/>
      <c r="AK871" s="232"/>
      <c r="AL871" s="232"/>
      <c r="AM871" s="232"/>
      <c r="AN871" s="232"/>
      <c r="AO871" s="231"/>
      <c r="AP871" s="231"/>
      <c r="AQ871" s="227"/>
      <c r="AR871" s="231"/>
      <c r="AS871" s="227"/>
      <c r="AT871" s="227"/>
      <c r="AU871" s="227"/>
      <c r="AV871" s="227"/>
    </row>
    <row r="872">
      <c r="A872" s="227"/>
      <c r="B872" s="232"/>
      <c r="C872" s="227"/>
      <c r="D872" s="227"/>
      <c r="E872" s="231"/>
      <c r="F872" s="232"/>
      <c r="G872" s="227"/>
      <c r="H872" s="227"/>
      <c r="I872" s="227"/>
      <c r="J872" s="227"/>
      <c r="K872" s="227"/>
      <c r="L872" s="232"/>
      <c r="M872" s="232"/>
      <c r="N872" s="227"/>
      <c r="O872" s="227"/>
      <c r="P872" s="231"/>
      <c r="Q872" s="227"/>
      <c r="R872" s="231"/>
      <c r="S872" s="231"/>
      <c r="T872" s="231"/>
      <c r="U872" s="231"/>
      <c r="V872" s="231"/>
      <c r="W872" s="231"/>
      <c r="X872" s="227"/>
      <c r="Y872" s="232"/>
      <c r="Z872" s="232"/>
      <c r="AA872" s="232"/>
      <c r="AB872" s="232"/>
      <c r="AC872" s="227"/>
      <c r="AD872" s="227"/>
      <c r="AE872" s="231"/>
      <c r="AF872" s="227"/>
      <c r="AG872" s="232"/>
      <c r="AH872" s="232"/>
      <c r="AI872" s="232"/>
      <c r="AJ872" s="232"/>
      <c r="AK872" s="232"/>
      <c r="AL872" s="232"/>
      <c r="AM872" s="232"/>
      <c r="AN872" s="232"/>
      <c r="AO872" s="231"/>
      <c r="AP872" s="231"/>
      <c r="AQ872" s="227"/>
      <c r="AR872" s="231"/>
      <c r="AS872" s="227"/>
      <c r="AT872" s="227"/>
      <c r="AU872" s="227"/>
      <c r="AV872" s="227"/>
    </row>
    <row r="873">
      <c r="A873" s="227"/>
      <c r="B873" s="232"/>
      <c r="C873" s="227"/>
      <c r="D873" s="227"/>
      <c r="E873" s="231"/>
      <c r="F873" s="232"/>
      <c r="G873" s="227"/>
      <c r="H873" s="227"/>
      <c r="I873" s="227"/>
      <c r="J873" s="227"/>
      <c r="K873" s="227"/>
      <c r="L873" s="232"/>
      <c r="M873" s="232"/>
      <c r="N873" s="227"/>
      <c r="O873" s="227"/>
      <c r="P873" s="231"/>
      <c r="Q873" s="227"/>
      <c r="R873" s="231"/>
      <c r="S873" s="231"/>
      <c r="T873" s="231"/>
      <c r="U873" s="231"/>
      <c r="V873" s="231"/>
      <c r="W873" s="231"/>
      <c r="X873" s="227"/>
      <c r="Y873" s="232"/>
      <c r="Z873" s="232"/>
      <c r="AA873" s="232"/>
      <c r="AB873" s="232"/>
      <c r="AC873" s="227"/>
      <c r="AD873" s="227"/>
      <c r="AE873" s="231"/>
      <c r="AF873" s="227"/>
      <c r="AG873" s="232"/>
      <c r="AH873" s="232"/>
      <c r="AI873" s="232"/>
      <c r="AJ873" s="232"/>
      <c r="AK873" s="232"/>
      <c r="AL873" s="232"/>
      <c r="AM873" s="232"/>
      <c r="AN873" s="232"/>
      <c r="AO873" s="231"/>
      <c r="AP873" s="231"/>
      <c r="AQ873" s="227"/>
      <c r="AR873" s="231"/>
      <c r="AS873" s="227"/>
      <c r="AT873" s="227"/>
      <c r="AU873" s="227"/>
      <c r="AV873" s="227"/>
    </row>
    <row r="874">
      <c r="A874" s="227"/>
      <c r="B874" s="232"/>
      <c r="C874" s="227"/>
      <c r="D874" s="227"/>
      <c r="E874" s="231"/>
      <c r="F874" s="232"/>
      <c r="G874" s="227"/>
      <c r="H874" s="227"/>
      <c r="I874" s="227"/>
      <c r="J874" s="227"/>
      <c r="K874" s="227"/>
      <c r="L874" s="232"/>
      <c r="M874" s="232"/>
      <c r="N874" s="227"/>
      <c r="O874" s="227"/>
      <c r="P874" s="231"/>
      <c r="Q874" s="227"/>
      <c r="R874" s="231"/>
      <c r="S874" s="231"/>
      <c r="T874" s="231"/>
      <c r="U874" s="231"/>
      <c r="V874" s="231"/>
      <c r="W874" s="231"/>
      <c r="X874" s="227"/>
      <c r="Y874" s="232"/>
      <c r="Z874" s="232"/>
      <c r="AA874" s="232"/>
      <c r="AB874" s="232"/>
      <c r="AC874" s="227"/>
      <c r="AD874" s="227"/>
      <c r="AE874" s="231"/>
      <c r="AF874" s="227"/>
      <c r="AG874" s="232"/>
      <c r="AH874" s="232"/>
      <c r="AI874" s="232"/>
      <c r="AJ874" s="232"/>
      <c r="AK874" s="232"/>
      <c r="AL874" s="232"/>
      <c r="AM874" s="232"/>
      <c r="AN874" s="232"/>
      <c r="AO874" s="231"/>
      <c r="AP874" s="231"/>
      <c r="AQ874" s="227"/>
      <c r="AR874" s="231"/>
      <c r="AS874" s="227"/>
      <c r="AT874" s="227"/>
      <c r="AU874" s="227"/>
      <c r="AV874" s="227"/>
    </row>
    <row r="875">
      <c r="A875" s="227"/>
      <c r="B875" s="232"/>
      <c r="C875" s="227"/>
      <c r="D875" s="227"/>
      <c r="E875" s="231"/>
      <c r="F875" s="232"/>
      <c r="G875" s="227"/>
      <c r="H875" s="227"/>
      <c r="I875" s="227"/>
      <c r="J875" s="227"/>
      <c r="K875" s="227"/>
      <c r="L875" s="232"/>
      <c r="M875" s="232"/>
      <c r="N875" s="227"/>
      <c r="O875" s="227"/>
      <c r="P875" s="231"/>
      <c r="Q875" s="227"/>
      <c r="R875" s="231"/>
      <c r="S875" s="231"/>
      <c r="T875" s="231"/>
      <c r="U875" s="231"/>
      <c r="V875" s="231"/>
      <c r="W875" s="231"/>
      <c r="X875" s="227"/>
      <c r="Y875" s="232"/>
      <c r="Z875" s="232"/>
      <c r="AA875" s="232"/>
      <c r="AB875" s="232"/>
      <c r="AC875" s="227"/>
      <c r="AD875" s="227"/>
      <c r="AE875" s="231"/>
      <c r="AF875" s="227"/>
      <c r="AG875" s="232"/>
      <c r="AH875" s="232"/>
      <c r="AI875" s="232"/>
      <c r="AJ875" s="232"/>
      <c r="AK875" s="232"/>
      <c r="AL875" s="232"/>
      <c r="AM875" s="232"/>
      <c r="AN875" s="232"/>
      <c r="AO875" s="231"/>
      <c r="AP875" s="231"/>
      <c r="AQ875" s="227"/>
      <c r="AR875" s="231"/>
      <c r="AS875" s="227"/>
      <c r="AT875" s="227"/>
      <c r="AU875" s="227"/>
      <c r="AV875" s="227"/>
    </row>
    <row r="876">
      <c r="A876" s="227"/>
      <c r="B876" s="232"/>
      <c r="C876" s="227"/>
      <c r="D876" s="227"/>
      <c r="E876" s="231"/>
      <c r="F876" s="232"/>
      <c r="G876" s="227"/>
      <c r="H876" s="227"/>
      <c r="I876" s="227"/>
      <c r="J876" s="227"/>
      <c r="K876" s="227"/>
      <c r="L876" s="232"/>
      <c r="M876" s="232"/>
      <c r="N876" s="227"/>
      <c r="O876" s="227"/>
      <c r="P876" s="231"/>
      <c r="Q876" s="227"/>
      <c r="R876" s="231"/>
      <c r="S876" s="231"/>
      <c r="T876" s="231"/>
      <c r="U876" s="231"/>
      <c r="V876" s="231"/>
      <c r="W876" s="231"/>
      <c r="X876" s="227"/>
      <c r="Y876" s="232"/>
      <c r="Z876" s="232"/>
      <c r="AA876" s="232"/>
      <c r="AB876" s="232"/>
      <c r="AC876" s="227"/>
      <c r="AD876" s="227"/>
      <c r="AE876" s="231"/>
      <c r="AF876" s="227"/>
      <c r="AG876" s="232"/>
      <c r="AH876" s="232"/>
      <c r="AI876" s="232"/>
      <c r="AJ876" s="232"/>
      <c r="AK876" s="232"/>
      <c r="AL876" s="232"/>
      <c r="AM876" s="232"/>
      <c r="AN876" s="232"/>
      <c r="AO876" s="231"/>
      <c r="AP876" s="231"/>
      <c r="AQ876" s="227"/>
      <c r="AR876" s="231"/>
      <c r="AS876" s="227"/>
      <c r="AT876" s="227"/>
      <c r="AU876" s="227"/>
      <c r="AV876" s="227"/>
    </row>
    <row r="877">
      <c r="A877" s="227"/>
      <c r="B877" s="232"/>
      <c r="C877" s="227"/>
      <c r="D877" s="227"/>
      <c r="E877" s="231"/>
      <c r="F877" s="232"/>
      <c r="G877" s="227"/>
      <c r="H877" s="227"/>
      <c r="I877" s="227"/>
      <c r="J877" s="227"/>
      <c r="K877" s="227"/>
      <c r="L877" s="232"/>
      <c r="M877" s="232"/>
      <c r="N877" s="227"/>
      <c r="O877" s="227"/>
      <c r="P877" s="231"/>
      <c r="Q877" s="227"/>
      <c r="R877" s="231"/>
      <c r="S877" s="231"/>
      <c r="T877" s="231"/>
      <c r="U877" s="231"/>
      <c r="V877" s="231"/>
      <c r="W877" s="231"/>
      <c r="X877" s="227"/>
      <c r="Y877" s="232"/>
      <c r="Z877" s="232"/>
      <c r="AA877" s="232"/>
      <c r="AB877" s="232"/>
      <c r="AC877" s="227"/>
      <c r="AD877" s="227"/>
      <c r="AE877" s="231"/>
      <c r="AF877" s="227"/>
      <c r="AG877" s="232"/>
      <c r="AH877" s="232"/>
      <c r="AI877" s="232"/>
      <c r="AJ877" s="232"/>
      <c r="AK877" s="232"/>
      <c r="AL877" s="232"/>
      <c r="AM877" s="232"/>
      <c r="AN877" s="232"/>
      <c r="AO877" s="231"/>
      <c r="AP877" s="231"/>
      <c r="AQ877" s="227"/>
      <c r="AR877" s="231"/>
      <c r="AS877" s="227"/>
      <c r="AT877" s="227"/>
      <c r="AU877" s="227"/>
      <c r="AV877" s="227"/>
    </row>
    <row r="878">
      <c r="A878" s="227"/>
      <c r="B878" s="232"/>
      <c r="C878" s="227"/>
      <c r="D878" s="227"/>
      <c r="E878" s="231"/>
      <c r="F878" s="232"/>
      <c r="G878" s="227"/>
      <c r="H878" s="227"/>
      <c r="I878" s="227"/>
      <c r="J878" s="227"/>
      <c r="K878" s="227"/>
      <c r="L878" s="232"/>
      <c r="M878" s="232"/>
      <c r="N878" s="227"/>
      <c r="O878" s="227"/>
      <c r="P878" s="231"/>
      <c r="Q878" s="227"/>
      <c r="R878" s="231"/>
      <c r="S878" s="231"/>
      <c r="T878" s="231"/>
      <c r="U878" s="231"/>
      <c r="V878" s="231"/>
      <c r="W878" s="231"/>
      <c r="X878" s="227"/>
      <c r="Y878" s="232"/>
      <c r="Z878" s="232"/>
      <c r="AA878" s="232"/>
      <c r="AB878" s="232"/>
      <c r="AC878" s="227"/>
      <c r="AD878" s="227"/>
      <c r="AE878" s="231"/>
      <c r="AF878" s="227"/>
      <c r="AG878" s="232"/>
      <c r="AH878" s="232"/>
      <c r="AI878" s="232"/>
      <c r="AJ878" s="232"/>
      <c r="AK878" s="232"/>
      <c r="AL878" s="232"/>
      <c r="AM878" s="232"/>
      <c r="AN878" s="232"/>
      <c r="AO878" s="231"/>
      <c r="AP878" s="231"/>
      <c r="AQ878" s="227"/>
      <c r="AR878" s="231"/>
      <c r="AS878" s="227"/>
      <c r="AT878" s="227"/>
      <c r="AU878" s="227"/>
      <c r="AV878" s="227"/>
    </row>
    <row r="879">
      <c r="A879" s="227"/>
      <c r="B879" s="232"/>
      <c r="C879" s="227"/>
      <c r="D879" s="227"/>
      <c r="E879" s="231"/>
      <c r="F879" s="232"/>
      <c r="G879" s="227"/>
      <c r="H879" s="227"/>
      <c r="I879" s="227"/>
      <c r="J879" s="227"/>
      <c r="K879" s="227"/>
      <c r="L879" s="232"/>
      <c r="M879" s="232"/>
      <c r="N879" s="227"/>
      <c r="O879" s="227"/>
      <c r="P879" s="231"/>
      <c r="Q879" s="227"/>
      <c r="R879" s="231"/>
      <c r="S879" s="231"/>
      <c r="T879" s="231"/>
      <c r="U879" s="231"/>
      <c r="V879" s="231"/>
      <c r="W879" s="231"/>
      <c r="X879" s="227"/>
      <c r="Y879" s="232"/>
      <c r="Z879" s="232"/>
      <c r="AA879" s="232"/>
      <c r="AB879" s="232"/>
      <c r="AC879" s="227"/>
      <c r="AD879" s="227"/>
      <c r="AE879" s="231"/>
      <c r="AF879" s="227"/>
      <c r="AG879" s="232"/>
      <c r="AH879" s="232"/>
      <c r="AI879" s="232"/>
      <c r="AJ879" s="232"/>
      <c r="AK879" s="232"/>
      <c r="AL879" s="232"/>
      <c r="AM879" s="232"/>
      <c r="AN879" s="232"/>
      <c r="AO879" s="231"/>
      <c r="AP879" s="231"/>
      <c r="AQ879" s="227"/>
      <c r="AR879" s="231"/>
      <c r="AS879" s="227"/>
      <c r="AT879" s="227"/>
      <c r="AU879" s="227"/>
      <c r="AV879" s="227"/>
    </row>
    <row r="880">
      <c r="A880" s="227"/>
      <c r="B880" s="232"/>
      <c r="C880" s="227"/>
      <c r="D880" s="227"/>
      <c r="E880" s="231"/>
      <c r="F880" s="232"/>
      <c r="G880" s="227"/>
      <c r="H880" s="227"/>
      <c r="I880" s="227"/>
      <c r="J880" s="227"/>
      <c r="K880" s="227"/>
      <c r="L880" s="232"/>
      <c r="M880" s="232"/>
      <c r="N880" s="227"/>
      <c r="O880" s="227"/>
      <c r="P880" s="231"/>
      <c r="Q880" s="227"/>
      <c r="R880" s="231"/>
      <c r="S880" s="231"/>
      <c r="T880" s="231"/>
      <c r="U880" s="231"/>
      <c r="V880" s="231"/>
      <c r="W880" s="231"/>
      <c r="X880" s="227"/>
      <c r="Y880" s="232"/>
      <c r="Z880" s="232"/>
      <c r="AA880" s="232"/>
      <c r="AB880" s="232"/>
      <c r="AC880" s="227"/>
      <c r="AD880" s="227"/>
      <c r="AE880" s="231"/>
      <c r="AF880" s="227"/>
      <c r="AG880" s="232"/>
      <c r="AH880" s="232"/>
      <c r="AI880" s="232"/>
      <c r="AJ880" s="232"/>
      <c r="AK880" s="232"/>
      <c r="AL880" s="232"/>
      <c r="AM880" s="232"/>
      <c r="AN880" s="232"/>
      <c r="AO880" s="231"/>
      <c r="AP880" s="231"/>
      <c r="AQ880" s="227"/>
      <c r="AR880" s="231"/>
      <c r="AS880" s="227"/>
      <c r="AT880" s="227"/>
      <c r="AU880" s="227"/>
      <c r="AV880" s="227"/>
    </row>
    <row r="881">
      <c r="A881" s="227"/>
      <c r="B881" s="232"/>
      <c r="C881" s="227"/>
      <c r="D881" s="227"/>
      <c r="E881" s="231"/>
      <c r="F881" s="232"/>
      <c r="G881" s="227"/>
      <c r="H881" s="227"/>
      <c r="I881" s="227"/>
      <c r="J881" s="227"/>
      <c r="K881" s="227"/>
      <c r="L881" s="232"/>
      <c r="M881" s="232"/>
      <c r="N881" s="227"/>
      <c r="O881" s="227"/>
      <c r="P881" s="231"/>
      <c r="Q881" s="227"/>
      <c r="R881" s="231"/>
      <c r="S881" s="231"/>
      <c r="T881" s="231"/>
      <c r="U881" s="231"/>
      <c r="V881" s="231"/>
      <c r="W881" s="231"/>
      <c r="X881" s="227"/>
      <c r="Y881" s="232"/>
      <c r="Z881" s="232"/>
      <c r="AA881" s="232"/>
      <c r="AB881" s="232"/>
      <c r="AC881" s="227"/>
      <c r="AD881" s="227"/>
      <c r="AE881" s="231"/>
      <c r="AF881" s="227"/>
      <c r="AG881" s="232"/>
      <c r="AH881" s="232"/>
      <c r="AI881" s="232"/>
      <c r="AJ881" s="232"/>
      <c r="AK881" s="232"/>
      <c r="AL881" s="232"/>
      <c r="AM881" s="232"/>
      <c r="AN881" s="232"/>
      <c r="AO881" s="231"/>
      <c r="AP881" s="231"/>
      <c r="AQ881" s="227"/>
      <c r="AR881" s="231"/>
      <c r="AS881" s="227"/>
      <c r="AT881" s="227"/>
      <c r="AU881" s="227"/>
      <c r="AV881" s="227"/>
    </row>
    <row r="882">
      <c r="A882" s="227"/>
      <c r="B882" s="232"/>
      <c r="C882" s="227"/>
      <c r="D882" s="227"/>
      <c r="E882" s="231"/>
      <c r="F882" s="232"/>
      <c r="G882" s="227"/>
      <c r="H882" s="227"/>
      <c r="I882" s="227"/>
      <c r="J882" s="227"/>
      <c r="K882" s="227"/>
      <c r="L882" s="232"/>
      <c r="M882" s="232"/>
      <c r="N882" s="227"/>
      <c r="O882" s="227"/>
      <c r="P882" s="231"/>
      <c r="Q882" s="227"/>
      <c r="R882" s="231"/>
      <c r="S882" s="231"/>
      <c r="T882" s="231"/>
      <c r="U882" s="231"/>
      <c r="V882" s="231"/>
      <c r="W882" s="231"/>
      <c r="X882" s="227"/>
      <c r="Y882" s="232"/>
      <c r="Z882" s="232"/>
      <c r="AA882" s="232"/>
      <c r="AB882" s="232"/>
      <c r="AC882" s="227"/>
      <c r="AD882" s="227"/>
      <c r="AE882" s="231"/>
      <c r="AF882" s="227"/>
      <c r="AG882" s="232"/>
      <c r="AH882" s="232"/>
      <c r="AI882" s="232"/>
      <c r="AJ882" s="232"/>
      <c r="AK882" s="232"/>
      <c r="AL882" s="232"/>
      <c r="AM882" s="232"/>
      <c r="AN882" s="232"/>
      <c r="AO882" s="231"/>
      <c r="AP882" s="231"/>
      <c r="AQ882" s="227"/>
      <c r="AR882" s="231"/>
      <c r="AS882" s="227"/>
      <c r="AT882" s="227"/>
      <c r="AU882" s="227"/>
      <c r="AV882" s="227"/>
    </row>
    <row r="883">
      <c r="A883" s="227"/>
      <c r="B883" s="232"/>
      <c r="C883" s="227"/>
      <c r="D883" s="227"/>
      <c r="E883" s="231"/>
      <c r="F883" s="232"/>
      <c r="G883" s="227"/>
      <c r="H883" s="227"/>
      <c r="I883" s="227"/>
      <c r="J883" s="227"/>
      <c r="K883" s="227"/>
      <c r="L883" s="232"/>
      <c r="M883" s="232"/>
      <c r="N883" s="227"/>
      <c r="O883" s="227"/>
      <c r="P883" s="231"/>
      <c r="Q883" s="227"/>
      <c r="R883" s="231"/>
      <c r="S883" s="231"/>
      <c r="T883" s="231"/>
      <c r="U883" s="231"/>
      <c r="V883" s="231"/>
      <c r="W883" s="231"/>
      <c r="X883" s="227"/>
      <c r="Y883" s="232"/>
      <c r="Z883" s="232"/>
      <c r="AA883" s="232"/>
      <c r="AB883" s="232"/>
      <c r="AC883" s="227"/>
      <c r="AD883" s="227"/>
      <c r="AE883" s="231"/>
      <c r="AF883" s="227"/>
      <c r="AG883" s="232"/>
      <c r="AH883" s="232"/>
      <c r="AI883" s="232"/>
      <c r="AJ883" s="232"/>
      <c r="AK883" s="232"/>
      <c r="AL883" s="232"/>
      <c r="AM883" s="232"/>
      <c r="AN883" s="232"/>
      <c r="AO883" s="231"/>
      <c r="AP883" s="231"/>
      <c r="AQ883" s="227"/>
      <c r="AR883" s="231"/>
      <c r="AS883" s="227"/>
      <c r="AT883" s="227"/>
      <c r="AU883" s="227"/>
      <c r="AV883" s="227"/>
    </row>
    <row r="884">
      <c r="A884" s="227"/>
      <c r="B884" s="232"/>
      <c r="C884" s="227"/>
      <c r="D884" s="227"/>
      <c r="E884" s="231"/>
      <c r="F884" s="232"/>
      <c r="G884" s="227"/>
      <c r="H884" s="227"/>
      <c r="I884" s="227"/>
      <c r="J884" s="227"/>
      <c r="K884" s="227"/>
      <c r="L884" s="232"/>
      <c r="M884" s="232"/>
      <c r="N884" s="227"/>
      <c r="O884" s="227"/>
      <c r="P884" s="231"/>
      <c r="Q884" s="227"/>
      <c r="R884" s="231"/>
      <c r="S884" s="231"/>
      <c r="T884" s="231"/>
      <c r="U884" s="231"/>
      <c r="V884" s="231"/>
      <c r="W884" s="231"/>
      <c r="X884" s="227"/>
      <c r="Y884" s="232"/>
      <c r="Z884" s="232"/>
      <c r="AA884" s="232"/>
      <c r="AB884" s="232"/>
      <c r="AC884" s="227"/>
      <c r="AD884" s="227"/>
      <c r="AE884" s="231"/>
      <c r="AF884" s="227"/>
      <c r="AG884" s="232"/>
      <c r="AH884" s="232"/>
      <c r="AI884" s="232"/>
      <c r="AJ884" s="232"/>
      <c r="AK884" s="232"/>
      <c r="AL884" s="232"/>
      <c r="AM884" s="232"/>
      <c r="AN884" s="232"/>
      <c r="AO884" s="231"/>
      <c r="AP884" s="231"/>
      <c r="AQ884" s="227"/>
      <c r="AR884" s="231"/>
      <c r="AS884" s="227"/>
      <c r="AT884" s="227"/>
      <c r="AU884" s="227"/>
      <c r="AV884" s="227"/>
    </row>
    <row r="885">
      <c r="A885" s="227"/>
      <c r="B885" s="232"/>
      <c r="C885" s="227"/>
      <c r="D885" s="227"/>
      <c r="E885" s="231"/>
      <c r="F885" s="232"/>
      <c r="G885" s="227"/>
      <c r="H885" s="227"/>
      <c r="I885" s="227"/>
      <c r="J885" s="227"/>
      <c r="K885" s="227"/>
      <c r="L885" s="232"/>
      <c r="M885" s="232"/>
      <c r="N885" s="227"/>
      <c r="O885" s="227"/>
      <c r="P885" s="231"/>
      <c r="Q885" s="227"/>
      <c r="R885" s="231"/>
      <c r="S885" s="231"/>
      <c r="T885" s="231"/>
      <c r="U885" s="231"/>
      <c r="V885" s="231"/>
      <c r="W885" s="231"/>
      <c r="X885" s="227"/>
      <c r="Y885" s="232"/>
      <c r="Z885" s="232"/>
      <c r="AA885" s="232"/>
      <c r="AB885" s="232"/>
      <c r="AC885" s="227"/>
      <c r="AD885" s="227"/>
      <c r="AE885" s="231"/>
      <c r="AF885" s="227"/>
      <c r="AG885" s="232"/>
      <c r="AH885" s="232"/>
      <c r="AI885" s="232"/>
      <c r="AJ885" s="232"/>
      <c r="AK885" s="232"/>
      <c r="AL885" s="232"/>
      <c r="AM885" s="232"/>
      <c r="AN885" s="232"/>
      <c r="AO885" s="231"/>
      <c r="AP885" s="231"/>
      <c r="AQ885" s="227"/>
      <c r="AR885" s="231"/>
      <c r="AS885" s="227"/>
      <c r="AT885" s="227"/>
      <c r="AU885" s="227"/>
      <c r="AV885" s="227"/>
    </row>
    <row r="886">
      <c r="A886" s="227"/>
      <c r="B886" s="232"/>
      <c r="C886" s="227"/>
      <c r="D886" s="227"/>
      <c r="E886" s="231"/>
      <c r="F886" s="232"/>
      <c r="G886" s="227"/>
      <c r="H886" s="227"/>
      <c r="I886" s="227"/>
      <c r="J886" s="227"/>
      <c r="K886" s="227"/>
      <c r="L886" s="232"/>
      <c r="M886" s="232"/>
      <c r="N886" s="227"/>
      <c r="O886" s="227"/>
      <c r="P886" s="231"/>
      <c r="Q886" s="227"/>
      <c r="R886" s="231"/>
      <c r="S886" s="231"/>
      <c r="T886" s="231"/>
      <c r="U886" s="231"/>
      <c r="V886" s="231"/>
      <c r="W886" s="231"/>
      <c r="X886" s="227"/>
      <c r="Y886" s="232"/>
      <c r="Z886" s="232"/>
      <c r="AA886" s="232"/>
      <c r="AB886" s="232"/>
      <c r="AC886" s="227"/>
      <c r="AD886" s="227"/>
      <c r="AE886" s="231"/>
      <c r="AF886" s="227"/>
      <c r="AG886" s="232"/>
      <c r="AH886" s="232"/>
      <c r="AI886" s="232"/>
      <c r="AJ886" s="232"/>
      <c r="AK886" s="232"/>
      <c r="AL886" s="232"/>
      <c r="AM886" s="232"/>
      <c r="AN886" s="232"/>
      <c r="AO886" s="231"/>
      <c r="AP886" s="231"/>
      <c r="AQ886" s="227"/>
      <c r="AR886" s="231"/>
      <c r="AS886" s="227"/>
      <c r="AT886" s="227"/>
      <c r="AU886" s="227"/>
      <c r="AV886" s="227"/>
    </row>
    <row r="887">
      <c r="A887" s="227"/>
      <c r="B887" s="232"/>
      <c r="C887" s="227"/>
      <c r="D887" s="227"/>
      <c r="E887" s="231"/>
      <c r="F887" s="232"/>
      <c r="G887" s="227"/>
      <c r="H887" s="227"/>
      <c r="I887" s="227"/>
      <c r="J887" s="227"/>
      <c r="K887" s="227"/>
      <c r="L887" s="232"/>
      <c r="M887" s="232"/>
      <c r="N887" s="227"/>
      <c r="O887" s="227"/>
      <c r="P887" s="231"/>
      <c r="Q887" s="227"/>
      <c r="R887" s="231"/>
      <c r="S887" s="231"/>
      <c r="T887" s="231"/>
      <c r="U887" s="231"/>
      <c r="V887" s="231"/>
      <c r="W887" s="231"/>
      <c r="X887" s="227"/>
      <c r="Y887" s="232"/>
      <c r="Z887" s="232"/>
      <c r="AA887" s="232"/>
      <c r="AB887" s="232"/>
      <c r="AC887" s="227"/>
      <c r="AD887" s="227"/>
      <c r="AE887" s="231"/>
      <c r="AF887" s="227"/>
      <c r="AG887" s="232"/>
      <c r="AH887" s="232"/>
      <c r="AI887" s="232"/>
      <c r="AJ887" s="232"/>
      <c r="AK887" s="232"/>
      <c r="AL887" s="232"/>
      <c r="AM887" s="232"/>
      <c r="AN887" s="232"/>
      <c r="AO887" s="231"/>
      <c r="AP887" s="231"/>
      <c r="AQ887" s="227"/>
      <c r="AR887" s="231"/>
      <c r="AS887" s="227"/>
      <c r="AT887" s="227"/>
      <c r="AU887" s="227"/>
      <c r="AV887" s="227"/>
    </row>
    <row r="888">
      <c r="A888" s="227"/>
      <c r="B888" s="232"/>
      <c r="C888" s="227"/>
      <c r="D888" s="227"/>
      <c r="E888" s="231"/>
      <c r="F888" s="232"/>
      <c r="G888" s="227"/>
      <c r="H888" s="227"/>
      <c r="I888" s="227"/>
      <c r="J888" s="227"/>
      <c r="K888" s="227"/>
      <c r="L888" s="232"/>
      <c r="M888" s="232"/>
      <c r="N888" s="227"/>
      <c r="O888" s="227"/>
      <c r="P888" s="231"/>
      <c r="Q888" s="227"/>
      <c r="R888" s="231"/>
      <c r="S888" s="231"/>
      <c r="T888" s="231"/>
      <c r="U888" s="231"/>
      <c r="V888" s="231"/>
      <c r="W888" s="231"/>
      <c r="X888" s="227"/>
      <c r="Y888" s="232"/>
      <c r="Z888" s="232"/>
      <c r="AA888" s="232"/>
      <c r="AB888" s="232"/>
      <c r="AC888" s="227"/>
      <c r="AD888" s="227"/>
      <c r="AE888" s="231"/>
      <c r="AF888" s="227"/>
      <c r="AG888" s="232"/>
      <c r="AH888" s="232"/>
      <c r="AI888" s="232"/>
      <c r="AJ888" s="232"/>
      <c r="AK888" s="232"/>
      <c r="AL888" s="232"/>
      <c r="AM888" s="232"/>
      <c r="AN888" s="232"/>
      <c r="AO888" s="231"/>
      <c r="AP888" s="231"/>
      <c r="AQ888" s="227"/>
      <c r="AR888" s="231"/>
      <c r="AS888" s="227"/>
      <c r="AT888" s="227"/>
      <c r="AU888" s="227"/>
      <c r="AV888" s="227"/>
    </row>
    <row r="889">
      <c r="A889" s="227"/>
      <c r="B889" s="232"/>
      <c r="C889" s="227"/>
      <c r="D889" s="227"/>
      <c r="E889" s="231"/>
      <c r="F889" s="232"/>
      <c r="G889" s="227"/>
      <c r="H889" s="227"/>
      <c r="I889" s="227"/>
      <c r="J889" s="227"/>
      <c r="K889" s="227"/>
      <c r="L889" s="232"/>
      <c r="M889" s="232"/>
      <c r="N889" s="227"/>
      <c r="O889" s="227"/>
      <c r="P889" s="231"/>
      <c r="Q889" s="227"/>
      <c r="R889" s="231"/>
      <c r="S889" s="231"/>
      <c r="T889" s="231"/>
      <c r="U889" s="231"/>
      <c r="V889" s="231"/>
      <c r="W889" s="231"/>
      <c r="X889" s="227"/>
      <c r="Y889" s="232"/>
      <c r="Z889" s="232"/>
      <c r="AA889" s="232"/>
      <c r="AB889" s="232"/>
      <c r="AC889" s="227"/>
      <c r="AD889" s="227"/>
      <c r="AE889" s="231"/>
      <c r="AF889" s="227"/>
      <c r="AG889" s="232"/>
      <c r="AH889" s="232"/>
      <c r="AI889" s="232"/>
      <c r="AJ889" s="232"/>
      <c r="AK889" s="232"/>
      <c r="AL889" s="232"/>
      <c r="AM889" s="232"/>
      <c r="AN889" s="232"/>
      <c r="AO889" s="231"/>
      <c r="AP889" s="231"/>
      <c r="AQ889" s="227"/>
      <c r="AR889" s="231"/>
      <c r="AS889" s="227"/>
      <c r="AT889" s="227"/>
      <c r="AU889" s="227"/>
      <c r="AV889" s="227"/>
    </row>
    <row r="890">
      <c r="A890" s="227"/>
      <c r="B890" s="232"/>
      <c r="C890" s="227"/>
      <c r="D890" s="227"/>
      <c r="E890" s="231"/>
      <c r="F890" s="232"/>
      <c r="G890" s="227"/>
      <c r="H890" s="227"/>
      <c r="I890" s="227"/>
      <c r="J890" s="227"/>
      <c r="K890" s="227"/>
      <c r="L890" s="232"/>
      <c r="M890" s="232"/>
      <c r="N890" s="227"/>
      <c r="O890" s="227"/>
      <c r="P890" s="231"/>
      <c r="Q890" s="227"/>
      <c r="R890" s="231"/>
      <c r="S890" s="231"/>
      <c r="T890" s="231"/>
      <c r="U890" s="231"/>
      <c r="V890" s="231"/>
      <c r="W890" s="231"/>
      <c r="X890" s="227"/>
      <c r="Y890" s="232"/>
      <c r="Z890" s="232"/>
      <c r="AA890" s="232"/>
      <c r="AB890" s="232"/>
      <c r="AC890" s="227"/>
      <c r="AD890" s="227"/>
      <c r="AE890" s="231"/>
      <c r="AF890" s="227"/>
      <c r="AG890" s="232"/>
      <c r="AH890" s="232"/>
      <c r="AI890" s="232"/>
      <c r="AJ890" s="232"/>
      <c r="AK890" s="232"/>
      <c r="AL890" s="232"/>
      <c r="AM890" s="232"/>
      <c r="AN890" s="232"/>
      <c r="AO890" s="231"/>
      <c r="AP890" s="231"/>
      <c r="AQ890" s="227"/>
      <c r="AR890" s="231"/>
      <c r="AS890" s="227"/>
      <c r="AT890" s="227"/>
      <c r="AU890" s="227"/>
      <c r="AV890" s="227"/>
    </row>
    <row r="891">
      <c r="A891" s="227"/>
      <c r="B891" s="232"/>
      <c r="C891" s="227"/>
      <c r="D891" s="227"/>
      <c r="E891" s="231"/>
      <c r="F891" s="232"/>
      <c r="G891" s="227"/>
      <c r="H891" s="227"/>
      <c r="I891" s="227"/>
      <c r="J891" s="227"/>
      <c r="K891" s="227"/>
      <c r="L891" s="232"/>
      <c r="M891" s="232"/>
      <c r="N891" s="227"/>
      <c r="O891" s="227"/>
      <c r="P891" s="231"/>
      <c r="Q891" s="227"/>
      <c r="R891" s="231"/>
      <c r="S891" s="231"/>
      <c r="T891" s="231"/>
      <c r="U891" s="231"/>
      <c r="V891" s="231"/>
      <c r="W891" s="231"/>
      <c r="X891" s="227"/>
      <c r="Y891" s="232"/>
      <c r="Z891" s="232"/>
      <c r="AA891" s="232"/>
      <c r="AB891" s="232"/>
      <c r="AC891" s="227"/>
      <c r="AD891" s="227"/>
      <c r="AE891" s="231"/>
      <c r="AF891" s="227"/>
      <c r="AG891" s="232"/>
      <c r="AH891" s="232"/>
      <c r="AI891" s="232"/>
      <c r="AJ891" s="232"/>
      <c r="AK891" s="232"/>
      <c r="AL891" s="232"/>
      <c r="AM891" s="232"/>
      <c r="AN891" s="232"/>
      <c r="AO891" s="231"/>
      <c r="AP891" s="231"/>
      <c r="AQ891" s="227"/>
      <c r="AR891" s="231"/>
      <c r="AS891" s="227"/>
      <c r="AT891" s="227"/>
      <c r="AU891" s="227"/>
      <c r="AV891" s="227"/>
    </row>
    <row r="892">
      <c r="A892" s="227"/>
      <c r="B892" s="232"/>
      <c r="C892" s="227"/>
      <c r="D892" s="227"/>
      <c r="E892" s="231"/>
      <c r="F892" s="232"/>
      <c r="G892" s="227"/>
      <c r="H892" s="227"/>
      <c r="I892" s="227"/>
      <c r="J892" s="227"/>
      <c r="K892" s="227"/>
      <c r="L892" s="232"/>
      <c r="M892" s="232"/>
      <c r="N892" s="227"/>
      <c r="O892" s="227"/>
      <c r="P892" s="231"/>
      <c r="Q892" s="227"/>
      <c r="R892" s="231"/>
      <c r="S892" s="231"/>
      <c r="T892" s="231"/>
      <c r="U892" s="231"/>
      <c r="V892" s="231"/>
      <c r="W892" s="231"/>
      <c r="X892" s="227"/>
      <c r="Y892" s="232"/>
      <c r="Z892" s="232"/>
      <c r="AA892" s="232"/>
      <c r="AB892" s="232"/>
      <c r="AC892" s="227"/>
      <c r="AD892" s="227"/>
      <c r="AE892" s="231"/>
      <c r="AF892" s="227"/>
      <c r="AG892" s="232"/>
      <c r="AH892" s="232"/>
      <c r="AI892" s="232"/>
      <c r="AJ892" s="232"/>
      <c r="AK892" s="232"/>
      <c r="AL892" s="232"/>
      <c r="AM892" s="232"/>
      <c r="AN892" s="232"/>
      <c r="AO892" s="231"/>
      <c r="AP892" s="231"/>
      <c r="AQ892" s="227"/>
      <c r="AR892" s="231"/>
      <c r="AS892" s="227"/>
      <c r="AT892" s="227"/>
      <c r="AU892" s="227"/>
      <c r="AV892" s="227"/>
    </row>
    <row r="893">
      <c r="A893" s="227"/>
      <c r="B893" s="232"/>
      <c r="C893" s="227"/>
      <c r="D893" s="227"/>
      <c r="E893" s="231"/>
      <c r="F893" s="232"/>
      <c r="G893" s="227"/>
      <c r="H893" s="227"/>
      <c r="I893" s="227"/>
      <c r="J893" s="227"/>
      <c r="K893" s="227"/>
      <c r="L893" s="232"/>
      <c r="M893" s="232"/>
      <c r="N893" s="227"/>
      <c r="O893" s="227"/>
      <c r="P893" s="231"/>
      <c r="Q893" s="227"/>
      <c r="R893" s="231"/>
      <c r="S893" s="231"/>
      <c r="T893" s="231"/>
      <c r="U893" s="231"/>
      <c r="V893" s="231"/>
      <c r="W893" s="231"/>
      <c r="X893" s="227"/>
      <c r="Y893" s="232"/>
      <c r="Z893" s="232"/>
      <c r="AA893" s="232"/>
      <c r="AB893" s="232"/>
      <c r="AC893" s="227"/>
      <c r="AD893" s="227"/>
      <c r="AE893" s="231"/>
      <c r="AF893" s="227"/>
      <c r="AG893" s="232"/>
      <c r="AH893" s="232"/>
      <c r="AI893" s="232"/>
      <c r="AJ893" s="232"/>
      <c r="AK893" s="232"/>
      <c r="AL893" s="232"/>
      <c r="AM893" s="232"/>
      <c r="AN893" s="232"/>
      <c r="AO893" s="231"/>
      <c r="AP893" s="231"/>
      <c r="AQ893" s="227"/>
      <c r="AR893" s="227"/>
      <c r="AS893" s="227"/>
      <c r="AT893" s="227"/>
      <c r="AU893" s="227"/>
      <c r="AV893" s="227"/>
    </row>
    <row r="894">
      <c r="A894" s="227"/>
      <c r="B894" s="232"/>
      <c r="C894" s="227"/>
      <c r="D894" s="227"/>
      <c r="E894" s="231"/>
      <c r="F894" s="232"/>
      <c r="G894" s="227"/>
      <c r="H894" s="227"/>
      <c r="I894" s="227"/>
      <c r="J894" s="227"/>
      <c r="K894" s="227"/>
      <c r="L894" s="232"/>
      <c r="M894" s="232"/>
      <c r="N894" s="227"/>
      <c r="O894" s="227"/>
      <c r="P894" s="231"/>
      <c r="Q894" s="227"/>
      <c r="R894" s="231"/>
      <c r="S894" s="231"/>
      <c r="T894" s="231"/>
      <c r="U894" s="231"/>
      <c r="V894" s="231"/>
      <c r="W894" s="231"/>
      <c r="X894" s="227"/>
      <c r="Y894" s="232"/>
      <c r="Z894" s="232"/>
      <c r="AA894" s="232"/>
      <c r="AB894" s="232"/>
      <c r="AC894" s="227"/>
      <c r="AD894" s="227"/>
      <c r="AE894" s="231"/>
      <c r="AF894" s="227"/>
      <c r="AG894" s="232"/>
      <c r="AH894" s="232"/>
      <c r="AI894" s="232"/>
      <c r="AJ894" s="232"/>
      <c r="AK894" s="232"/>
      <c r="AL894" s="232"/>
      <c r="AM894" s="232"/>
      <c r="AN894" s="232"/>
      <c r="AO894" s="231"/>
      <c r="AP894" s="231"/>
      <c r="AQ894" s="227"/>
      <c r="AR894" s="231"/>
      <c r="AS894" s="227"/>
      <c r="AT894" s="227"/>
      <c r="AU894" s="227"/>
      <c r="AV894" s="227"/>
    </row>
    <row r="895">
      <c r="A895" s="227"/>
      <c r="B895" s="232"/>
      <c r="C895" s="227"/>
      <c r="D895" s="227"/>
      <c r="E895" s="231"/>
      <c r="F895" s="232"/>
      <c r="G895" s="227"/>
      <c r="H895" s="227"/>
      <c r="I895" s="227"/>
      <c r="J895" s="227"/>
      <c r="K895" s="227"/>
      <c r="L895" s="232"/>
      <c r="M895" s="232"/>
      <c r="N895" s="227"/>
      <c r="O895" s="227"/>
      <c r="P895" s="231"/>
      <c r="Q895" s="227"/>
      <c r="R895" s="231"/>
      <c r="S895" s="231"/>
      <c r="T895" s="231"/>
      <c r="U895" s="231"/>
      <c r="V895" s="231"/>
      <c r="W895" s="231"/>
      <c r="X895" s="227"/>
      <c r="Y895" s="232"/>
      <c r="Z895" s="232"/>
      <c r="AA895" s="232"/>
      <c r="AB895" s="232"/>
      <c r="AC895" s="227"/>
      <c r="AD895" s="227"/>
      <c r="AE895" s="231"/>
      <c r="AF895" s="227"/>
      <c r="AG895" s="232"/>
      <c r="AH895" s="232"/>
      <c r="AI895" s="232"/>
      <c r="AJ895" s="232"/>
      <c r="AK895" s="232"/>
      <c r="AL895" s="232"/>
      <c r="AM895" s="232"/>
      <c r="AN895" s="232"/>
      <c r="AO895" s="231"/>
      <c r="AP895" s="231"/>
      <c r="AQ895" s="227"/>
      <c r="AR895" s="231"/>
      <c r="AS895" s="227"/>
      <c r="AT895" s="227"/>
      <c r="AU895" s="227"/>
      <c r="AV895" s="227"/>
    </row>
    <row r="896">
      <c r="A896" s="227"/>
      <c r="B896" s="232"/>
      <c r="C896" s="227"/>
      <c r="D896" s="227"/>
      <c r="E896" s="231"/>
      <c r="F896" s="232"/>
      <c r="G896" s="227"/>
      <c r="H896" s="227"/>
      <c r="I896" s="227"/>
      <c r="J896" s="227"/>
      <c r="K896" s="227"/>
      <c r="L896" s="232"/>
      <c r="M896" s="232"/>
      <c r="N896" s="227"/>
      <c r="O896" s="227"/>
      <c r="P896" s="231"/>
      <c r="Q896" s="227"/>
      <c r="R896" s="231"/>
      <c r="S896" s="231"/>
      <c r="T896" s="231"/>
      <c r="U896" s="231"/>
      <c r="V896" s="231"/>
      <c r="W896" s="231"/>
      <c r="X896" s="227"/>
      <c r="Y896" s="232"/>
      <c r="Z896" s="232"/>
      <c r="AA896" s="232"/>
      <c r="AB896" s="232"/>
      <c r="AC896" s="227"/>
      <c r="AD896" s="227"/>
      <c r="AE896" s="231"/>
      <c r="AF896" s="227"/>
      <c r="AG896" s="232"/>
      <c r="AH896" s="232"/>
      <c r="AI896" s="232"/>
      <c r="AJ896" s="232"/>
      <c r="AK896" s="232"/>
      <c r="AL896" s="232"/>
      <c r="AM896" s="232"/>
      <c r="AN896" s="232"/>
      <c r="AO896" s="231"/>
      <c r="AP896" s="231"/>
      <c r="AQ896" s="227"/>
      <c r="AR896" s="231"/>
      <c r="AS896" s="227"/>
      <c r="AT896" s="227"/>
      <c r="AU896" s="227"/>
      <c r="AV896" s="227"/>
    </row>
    <row r="897">
      <c r="A897" s="227"/>
      <c r="B897" s="232"/>
      <c r="C897" s="227"/>
      <c r="D897" s="227"/>
      <c r="E897" s="231"/>
      <c r="F897" s="232"/>
      <c r="G897" s="227"/>
      <c r="H897" s="227"/>
      <c r="I897" s="227"/>
      <c r="J897" s="227"/>
      <c r="K897" s="227"/>
      <c r="L897" s="232"/>
      <c r="M897" s="232"/>
      <c r="N897" s="227"/>
      <c r="O897" s="227"/>
      <c r="P897" s="231"/>
      <c r="Q897" s="227"/>
      <c r="R897" s="231"/>
      <c r="S897" s="231"/>
      <c r="T897" s="231"/>
      <c r="U897" s="231"/>
      <c r="V897" s="231"/>
      <c r="W897" s="231"/>
      <c r="X897" s="227"/>
      <c r="Y897" s="232"/>
      <c r="Z897" s="232"/>
      <c r="AA897" s="232"/>
      <c r="AB897" s="232"/>
      <c r="AC897" s="227"/>
      <c r="AD897" s="227"/>
      <c r="AE897" s="231"/>
      <c r="AF897" s="227"/>
      <c r="AG897" s="232"/>
      <c r="AH897" s="232"/>
      <c r="AI897" s="232"/>
      <c r="AJ897" s="232"/>
      <c r="AK897" s="232"/>
      <c r="AL897" s="232"/>
      <c r="AM897" s="232"/>
      <c r="AN897" s="232"/>
      <c r="AO897" s="231"/>
      <c r="AP897" s="231"/>
      <c r="AQ897" s="227"/>
      <c r="AR897" s="231"/>
      <c r="AS897" s="227"/>
      <c r="AT897" s="227"/>
      <c r="AU897" s="227"/>
      <c r="AV897" s="227"/>
    </row>
    <row r="898">
      <c r="A898" s="227"/>
      <c r="B898" s="232"/>
      <c r="C898" s="227"/>
      <c r="D898" s="227"/>
      <c r="E898" s="231"/>
      <c r="F898" s="232"/>
      <c r="G898" s="227"/>
      <c r="H898" s="227"/>
      <c r="I898" s="227"/>
      <c r="J898" s="227"/>
      <c r="K898" s="227"/>
      <c r="L898" s="232"/>
      <c r="M898" s="232"/>
      <c r="N898" s="227"/>
      <c r="O898" s="227"/>
      <c r="P898" s="231"/>
      <c r="Q898" s="227"/>
      <c r="R898" s="231"/>
      <c r="S898" s="231"/>
      <c r="T898" s="231"/>
      <c r="U898" s="231"/>
      <c r="V898" s="231"/>
      <c r="W898" s="231"/>
      <c r="X898" s="227"/>
      <c r="Y898" s="232"/>
      <c r="Z898" s="232"/>
      <c r="AA898" s="232"/>
      <c r="AB898" s="232"/>
      <c r="AC898" s="227"/>
      <c r="AD898" s="227"/>
      <c r="AE898" s="231"/>
      <c r="AF898" s="227"/>
      <c r="AG898" s="232"/>
      <c r="AH898" s="232"/>
      <c r="AI898" s="232"/>
      <c r="AJ898" s="232"/>
      <c r="AK898" s="232"/>
      <c r="AL898" s="232"/>
      <c r="AM898" s="232"/>
      <c r="AN898" s="232"/>
      <c r="AO898" s="231"/>
      <c r="AP898" s="231"/>
      <c r="AQ898" s="227"/>
      <c r="AR898" s="231"/>
      <c r="AS898" s="227"/>
      <c r="AT898" s="227"/>
      <c r="AU898" s="227"/>
      <c r="AV898" s="227"/>
    </row>
    <row r="899">
      <c r="A899" s="227"/>
      <c r="B899" s="232"/>
      <c r="C899" s="227"/>
      <c r="D899" s="227"/>
      <c r="E899" s="231"/>
      <c r="F899" s="232"/>
      <c r="G899" s="227"/>
      <c r="H899" s="227"/>
      <c r="I899" s="227"/>
      <c r="J899" s="227"/>
      <c r="K899" s="227"/>
      <c r="L899" s="232"/>
      <c r="M899" s="232"/>
      <c r="N899" s="227"/>
      <c r="O899" s="227"/>
      <c r="P899" s="231"/>
      <c r="Q899" s="227"/>
      <c r="R899" s="231"/>
      <c r="S899" s="231"/>
      <c r="T899" s="231"/>
      <c r="U899" s="231"/>
      <c r="V899" s="231"/>
      <c r="W899" s="231"/>
      <c r="X899" s="227"/>
      <c r="Y899" s="232"/>
      <c r="Z899" s="232"/>
      <c r="AA899" s="232"/>
      <c r="AB899" s="232"/>
      <c r="AC899" s="227"/>
      <c r="AD899" s="227"/>
      <c r="AE899" s="231"/>
      <c r="AF899" s="227"/>
      <c r="AG899" s="232"/>
      <c r="AH899" s="232"/>
      <c r="AI899" s="232"/>
      <c r="AJ899" s="232"/>
      <c r="AK899" s="232"/>
      <c r="AL899" s="232"/>
      <c r="AM899" s="232"/>
      <c r="AN899" s="232"/>
      <c r="AO899" s="231"/>
      <c r="AP899" s="231"/>
      <c r="AQ899" s="227"/>
      <c r="AR899" s="231"/>
      <c r="AS899" s="227"/>
      <c r="AT899" s="227"/>
      <c r="AU899" s="227"/>
      <c r="AV899" s="227"/>
    </row>
    <row r="900">
      <c r="A900" s="227"/>
      <c r="B900" s="232"/>
      <c r="C900" s="227"/>
      <c r="D900" s="227"/>
      <c r="E900" s="231"/>
      <c r="F900" s="232"/>
      <c r="G900" s="227"/>
      <c r="H900" s="227"/>
      <c r="I900" s="227"/>
      <c r="J900" s="227"/>
      <c r="K900" s="227"/>
      <c r="L900" s="232"/>
      <c r="M900" s="232"/>
      <c r="N900" s="227"/>
      <c r="O900" s="227"/>
      <c r="P900" s="231"/>
      <c r="Q900" s="227"/>
      <c r="R900" s="231"/>
      <c r="S900" s="231"/>
      <c r="T900" s="231"/>
      <c r="U900" s="231"/>
      <c r="V900" s="231"/>
      <c r="W900" s="231"/>
      <c r="X900" s="227"/>
      <c r="Y900" s="232"/>
      <c r="Z900" s="232"/>
      <c r="AA900" s="232"/>
      <c r="AB900" s="232"/>
      <c r="AC900" s="227"/>
      <c r="AD900" s="227"/>
      <c r="AE900" s="231"/>
      <c r="AF900" s="227"/>
      <c r="AG900" s="232"/>
      <c r="AH900" s="232"/>
      <c r="AI900" s="232"/>
      <c r="AJ900" s="232"/>
      <c r="AK900" s="232"/>
      <c r="AL900" s="232"/>
      <c r="AM900" s="232"/>
      <c r="AN900" s="232"/>
      <c r="AO900" s="231"/>
      <c r="AP900" s="231"/>
      <c r="AQ900" s="227"/>
      <c r="AR900" s="231"/>
      <c r="AS900" s="227"/>
      <c r="AT900" s="227"/>
      <c r="AU900" s="227"/>
      <c r="AV900" s="227"/>
    </row>
    <row r="901">
      <c r="A901" s="227"/>
      <c r="B901" s="232"/>
      <c r="C901" s="227"/>
      <c r="D901" s="227"/>
      <c r="E901" s="231"/>
      <c r="F901" s="232"/>
      <c r="G901" s="227"/>
      <c r="H901" s="227"/>
      <c r="I901" s="227"/>
      <c r="J901" s="227"/>
      <c r="K901" s="227"/>
      <c r="L901" s="232"/>
      <c r="M901" s="232"/>
      <c r="N901" s="227"/>
      <c r="O901" s="227"/>
      <c r="P901" s="231"/>
      <c r="Q901" s="227"/>
      <c r="R901" s="231"/>
      <c r="S901" s="231"/>
      <c r="T901" s="231"/>
      <c r="U901" s="231"/>
      <c r="V901" s="231"/>
      <c r="W901" s="231"/>
      <c r="X901" s="227"/>
      <c r="Y901" s="232"/>
      <c r="Z901" s="232"/>
      <c r="AA901" s="232"/>
      <c r="AB901" s="232"/>
      <c r="AC901" s="227"/>
      <c r="AD901" s="227"/>
      <c r="AE901" s="231"/>
      <c r="AF901" s="227"/>
      <c r="AG901" s="232"/>
      <c r="AH901" s="232"/>
      <c r="AI901" s="232"/>
      <c r="AJ901" s="232"/>
      <c r="AK901" s="232"/>
      <c r="AL901" s="232"/>
      <c r="AM901" s="232"/>
      <c r="AN901" s="232"/>
      <c r="AO901" s="231"/>
      <c r="AP901" s="231"/>
      <c r="AQ901" s="227"/>
      <c r="AR901" s="231"/>
      <c r="AS901" s="227"/>
      <c r="AT901" s="227"/>
      <c r="AU901" s="227"/>
      <c r="AV901" s="227"/>
    </row>
    <row r="902">
      <c r="A902" s="227"/>
      <c r="B902" s="232"/>
      <c r="C902" s="227"/>
      <c r="D902" s="227"/>
      <c r="E902" s="231"/>
      <c r="F902" s="232"/>
      <c r="G902" s="227"/>
      <c r="H902" s="227"/>
      <c r="I902" s="227"/>
      <c r="J902" s="227"/>
      <c r="K902" s="227"/>
      <c r="L902" s="232"/>
      <c r="M902" s="232"/>
      <c r="N902" s="227"/>
      <c r="O902" s="227"/>
      <c r="P902" s="231"/>
      <c r="Q902" s="227"/>
      <c r="R902" s="231"/>
      <c r="S902" s="231"/>
      <c r="T902" s="231"/>
      <c r="U902" s="231"/>
      <c r="V902" s="231"/>
      <c r="W902" s="231"/>
      <c r="X902" s="227"/>
      <c r="Y902" s="232"/>
      <c r="Z902" s="232"/>
      <c r="AA902" s="232"/>
      <c r="AB902" s="232"/>
      <c r="AC902" s="227"/>
      <c r="AD902" s="227"/>
      <c r="AE902" s="231"/>
      <c r="AF902" s="227"/>
      <c r="AG902" s="232"/>
      <c r="AH902" s="232"/>
      <c r="AI902" s="232"/>
      <c r="AJ902" s="232"/>
      <c r="AK902" s="232"/>
      <c r="AL902" s="232"/>
      <c r="AM902" s="232"/>
      <c r="AN902" s="232"/>
      <c r="AO902" s="231"/>
      <c r="AP902" s="231"/>
      <c r="AQ902" s="227"/>
      <c r="AR902" s="231"/>
      <c r="AS902" s="227"/>
      <c r="AT902" s="227"/>
      <c r="AU902" s="227"/>
      <c r="AV902" s="227"/>
    </row>
    <row r="903">
      <c r="A903" s="227"/>
      <c r="B903" s="232"/>
      <c r="C903" s="227"/>
      <c r="D903" s="227"/>
      <c r="E903" s="231"/>
      <c r="F903" s="232"/>
      <c r="G903" s="227"/>
      <c r="H903" s="227"/>
      <c r="I903" s="227"/>
      <c r="J903" s="227"/>
      <c r="K903" s="227"/>
      <c r="L903" s="232"/>
      <c r="M903" s="232"/>
      <c r="N903" s="227"/>
      <c r="O903" s="227"/>
      <c r="P903" s="231"/>
      <c r="Q903" s="227"/>
      <c r="R903" s="231"/>
      <c r="S903" s="231"/>
      <c r="T903" s="231"/>
      <c r="U903" s="231"/>
      <c r="V903" s="231"/>
      <c r="W903" s="231"/>
      <c r="X903" s="227"/>
      <c r="Y903" s="232"/>
      <c r="Z903" s="232"/>
      <c r="AA903" s="232"/>
      <c r="AB903" s="232"/>
      <c r="AC903" s="227"/>
      <c r="AD903" s="227"/>
      <c r="AE903" s="231"/>
      <c r="AF903" s="227"/>
      <c r="AG903" s="232"/>
      <c r="AH903" s="232"/>
      <c r="AI903" s="232"/>
      <c r="AJ903" s="232"/>
      <c r="AK903" s="232"/>
      <c r="AL903" s="232"/>
      <c r="AM903" s="232"/>
      <c r="AN903" s="232"/>
      <c r="AO903" s="231"/>
      <c r="AP903" s="231"/>
      <c r="AQ903" s="227"/>
      <c r="AR903" s="231"/>
      <c r="AS903" s="227"/>
      <c r="AT903" s="227"/>
      <c r="AU903" s="227"/>
      <c r="AV903" s="227"/>
    </row>
    <row r="904">
      <c r="A904" s="227"/>
      <c r="B904" s="232"/>
      <c r="C904" s="227"/>
      <c r="D904" s="227"/>
      <c r="E904" s="231"/>
      <c r="F904" s="232"/>
      <c r="G904" s="227"/>
      <c r="H904" s="227"/>
      <c r="I904" s="227"/>
      <c r="J904" s="227"/>
      <c r="K904" s="227"/>
      <c r="L904" s="232"/>
      <c r="M904" s="232"/>
      <c r="N904" s="227"/>
      <c r="O904" s="227"/>
      <c r="P904" s="231"/>
      <c r="Q904" s="227"/>
      <c r="R904" s="231"/>
      <c r="S904" s="231"/>
      <c r="T904" s="231"/>
      <c r="U904" s="231"/>
      <c r="V904" s="231"/>
      <c r="W904" s="231"/>
      <c r="X904" s="227"/>
      <c r="Y904" s="232"/>
      <c r="Z904" s="232"/>
      <c r="AA904" s="232"/>
      <c r="AB904" s="232"/>
      <c r="AC904" s="227"/>
      <c r="AD904" s="227"/>
      <c r="AE904" s="231"/>
      <c r="AF904" s="227"/>
      <c r="AG904" s="232"/>
      <c r="AH904" s="232"/>
      <c r="AI904" s="232"/>
      <c r="AJ904" s="232"/>
      <c r="AK904" s="232"/>
      <c r="AL904" s="232"/>
      <c r="AM904" s="232"/>
      <c r="AN904" s="232"/>
      <c r="AO904" s="231"/>
      <c r="AP904" s="231"/>
      <c r="AQ904" s="227"/>
      <c r="AR904" s="231"/>
      <c r="AS904" s="227"/>
      <c r="AT904" s="227"/>
      <c r="AU904" s="227"/>
      <c r="AV904" s="227"/>
    </row>
    <row r="905">
      <c r="A905" s="227"/>
      <c r="B905" s="232"/>
      <c r="C905" s="227"/>
      <c r="D905" s="227"/>
      <c r="E905" s="231"/>
      <c r="F905" s="232"/>
      <c r="G905" s="227"/>
      <c r="H905" s="227"/>
      <c r="I905" s="227"/>
      <c r="J905" s="227"/>
      <c r="K905" s="227"/>
      <c r="L905" s="232"/>
      <c r="M905" s="232"/>
      <c r="N905" s="227"/>
      <c r="O905" s="227"/>
      <c r="P905" s="231"/>
      <c r="Q905" s="227"/>
      <c r="R905" s="231"/>
      <c r="S905" s="231"/>
      <c r="T905" s="231"/>
      <c r="U905" s="231"/>
      <c r="V905" s="231"/>
      <c r="W905" s="231"/>
      <c r="X905" s="227"/>
      <c r="Y905" s="232"/>
      <c r="Z905" s="232"/>
      <c r="AA905" s="232"/>
      <c r="AB905" s="232"/>
      <c r="AC905" s="227"/>
      <c r="AD905" s="227"/>
      <c r="AE905" s="231"/>
      <c r="AF905" s="227"/>
      <c r="AG905" s="232"/>
      <c r="AH905" s="232"/>
      <c r="AI905" s="232"/>
      <c r="AJ905" s="232"/>
      <c r="AK905" s="232"/>
      <c r="AL905" s="232"/>
      <c r="AM905" s="232"/>
      <c r="AN905" s="232"/>
      <c r="AO905" s="231"/>
      <c r="AP905" s="231"/>
      <c r="AQ905" s="227"/>
      <c r="AR905" s="231"/>
      <c r="AS905" s="227"/>
      <c r="AT905" s="227"/>
      <c r="AU905" s="227"/>
      <c r="AV905" s="227"/>
    </row>
    <row r="906">
      <c r="A906" s="227"/>
      <c r="B906" s="232"/>
      <c r="C906" s="227"/>
      <c r="D906" s="227"/>
      <c r="E906" s="231"/>
      <c r="F906" s="232"/>
      <c r="G906" s="227"/>
      <c r="H906" s="227"/>
      <c r="I906" s="227"/>
      <c r="J906" s="227"/>
      <c r="K906" s="227"/>
      <c r="L906" s="232"/>
      <c r="M906" s="232"/>
      <c r="N906" s="227"/>
      <c r="O906" s="227"/>
      <c r="P906" s="231"/>
      <c r="Q906" s="227"/>
      <c r="R906" s="231"/>
      <c r="S906" s="231"/>
      <c r="T906" s="231"/>
      <c r="U906" s="231"/>
      <c r="V906" s="231"/>
      <c r="W906" s="231"/>
      <c r="X906" s="227"/>
      <c r="Y906" s="232"/>
      <c r="Z906" s="232"/>
      <c r="AA906" s="232"/>
      <c r="AB906" s="232"/>
      <c r="AC906" s="227"/>
      <c r="AD906" s="227"/>
      <c r="AE906" s="231"/>
      <c r="AF906" s="227"/>
      <c r="AG906" s="232"/>
      <c r="AH906" s="232"/>
      <c r="AI906" s="232"/>
      <c r="AJ906" s="232"/>
      <c r="AK906" s="232"/>
      <c r="AL906" s="232"/>
      <c r="AM906" s="232"/>
      <c r="AN906" s="232"/>
      <c r="AO906" s="231"/>
      <c r="AP906" s="231"/>
      <c r="AQ906" s="227"/>
      <c r="AR906" s="231"/>
      <c r="AS906" s="227"/>
      <c r="AT906" s="227"/>
      <c r="AU906" s="227"/>
      <c r="AV906" s="227"/>
    </row>
    <row r="907">
      <c r="A907" s="227"/>
      <c r="B907" s="232"/>
      <c r="C907" s="227"/>
      <c r="D907" s="227"/>
      <c r="E907" s="231"/>
      <c r="F907" s="232"/>
      <c r="G907" s="227"/>
      <c r="H907" s="227"/>
      <c r="I907" s="227"/>
      <c r="J907" s="227"/>
      <c r="K907" s="227"/>
      <c r="L907" s="232"/>
      <c r="M907" s="232"/>
      <c r="N907" s="227"/>
      <c r="O907" s="227"/>
      <c r="P907" s="231"/>
      <c r="Q907" s="227"/>
      <c r="R907" s="231"/>
      <c r="S907" s="231"/>
      <c r="T907" s="231"/>
      <c r="U907" s="231"/>
      <c r="V907" s="231"/>
      <c r="W907" s="231"/>
      <c r="X907" s="227"/>
      <c r="Y907" s="232"/>
      <c r="Z907" s="232"/>
      <c r="AA907" s="232"/>
      <c r="AB907" s="232"/>
      <c r="AC907" s="227"/>
      <c r="AD907" s="227"/>
      <c r="AE907" s="231"/>
      <c r="AF907" s="227"/>
      <c r="AG907" s="232"/>
      <c r="AH907" s="232"/>
      <c r="AI907" s="232"/>
      <c r="AJ907" s="232"/>
      <c r="AK907" s="232"/>
      <c r="AL907" s="232"/>
      <c r="AM907" s="232"/>
      <c r="AN907" s="232"/>
      <c r="AO907" s="231"/>
      <c r="AP907" s="231"/>
      <c r="AQ907" s="227"/>
      <c r="AR907" s="231"/>
      <c r="AS907" s="227"/>
      <c r="AT907" s="227"/>
      <c r="AU907" s="227"/>
      <c r="AV907" s="227"/>
    </row>
    <row r="908">
      <c r="A908" s="227"/>
      <c r="B908" s="232"/>
      <c r="C908" s="227"/>
      <c r="D908" s="227"/>
      <c r="E908" s="231"/>
      <c r="F908" s="232"/>
      <c r="G908" s="227"/>
      <c r="H908" s="227"/>
      <c r="I908" s="227"/>
      <c r="J908" s="227"/>
      <c r="K908" s="227"/>
      <c r="L908" s="232"/>
      <c r="M908" s="232"/>
      <c r="N908" s="227"/>
      <c r="O908" s="227"/>
      <c r="P908" s="231"/>
      <c r="Q908" s="227"/>
      <c r="R908" s="231"/>
      <c r="S908" s="231"/>
      <c r="T908" s="231"/>
      <c r="U908" s="231"/>
      <c r="V908" s="231"/>
      <c r="W908" s="231"/>
      <c r="X908" s="227"/>
      <c r="Y908" s="232"/>
      <c r="Z908" s="232"/>
      <c r="AA908" s="232"/>
      <c r="AB908" s="232"/>
      <c r="AC908" s="227"/>
      <c r="AD908" s="227"/>
      <c r="AE908" s="231"/>
      <c r="AF908" s="227"/>
      <c r="AG908" s="232"/>
      <c r="AH908" s="232"/>
      <c r="AI908" s="232"/>
      <c r="AJ908" s="232"/>
      <c r="AK908" s="232"/>
      <c r="AL908" s="232"/>
      <c r="AM908" s="232"/>
      <c r="AN908" s="232"/>
      <c r="AO908" s="231"/>
      <c r="AP908" s="231"/>
      <c r="AQ908" s="227"/>
      <c r="AR908" s="231"/>
      <c r="AS908" s="227"/>
      <c r="AT908" s="227"/>
      <c r="AU908" s="227"/>
      <c r="AV908" s="227"/>
    </row>
    <row r="909">
      <c r="A909" s="227"/>
      <c r="B909" s="232"/>
      <c r="C909" s="227"/>
      <c r="D909" s="227"/>
      <c r="E909" s="231"/>
      <c r="F909" s="232"/>
      <c r="G909" s="227"/>
      <c r="H909" s="227"/>
      <c r="I909" s="227"/>
      <c r="J909" s="227"/>
      <c r="K909" s="227"/>
      <c r="L909" s="232"/>
      <c r="M909" s="232"/>
      <c r="N909" s="227"/>
      <c r="O909" s="227"/>
      <c r="P909" s="231"/>
      <c r="Q909" s="227"/>
      <c r="R909" s="231"/>
      <c r="S909" s="231"/>
      <c r="T909" s="231"/>
      <c r="U909" s="231"/>
      <c r="V909" s="231"/>
      <c r="W909" s="231"/>
      <c r="X909" s="227"/>
      <c r="Y909" s="232"/>
      <c r="Z909" s="232"/>
      <c r="AA909" s="232"/>
      <c r="AB909" s="232"/>
      <c r="AC909" s="227"/>
      <c r="AD909" s="227"/>
      <c r="AE909" s="231"/>
      <c r="AF909" s="227"/>
      <c r="AG909" s="232"/>
      <c r="AH909" s="232"/>
      <c r="AI909" s="232"/>
      <c r="AJ909" s="232"/>
      <c r="AK909" s="232"/>
      <c r="AL909" s="232"/>
      <c r="AM909" s="232"/>
      <c r="AN909" s="232"/>
      <c r="AO909" s="231"/>
      <c r="AP909" s="231"/>
      <c r="AQ909" s="227"/>
      <c r="AR909" s="231"/>
      <c r="AS909" s="227"/>
      <c r="AT909" s="227"/>
      <c r="AU909" s="227"/>
      <c r="AV909" s="227"/>
    </row>
    <row r="910">
      <c r="A910" s="227"/>
      <c r="B910" s="232"/>
      <c r="C910" s="227"/>
      <c r="D910" s="227"/>
      <c r="E910" s="231"/>
      <c r="F910" s="232"/>
      <c r="G910" s="227"/>
      <c r="H910" s="227"/>
      <c r="I910" s="227"/>
      <c r="J910" s="227"/>
      <c r="K910" s="227"/>
      <c r="L910" s="232"/>
      <c r="M910" s="232"/>
      <c r="N910" s="227"/>
      <c r="O910" s="227"/>
      <c r="P910" s="231"/>
      <c r="Q910" s="227"/>
      <c r="R910" s="231"/>
      <c r="S910" s="231"/>
      <c r="T910" s="231"/>
      <c r="U910" s="231"/>
      <c r="V910" s="231"/>
      <c r="W910" s="231"/>
      <c r="X910" s="227"/>
      <c r="Y910" s="232"/>
      <c r="Z910" s="232"/>
      <c r="AA910" s="232"/>
      <c r="AB910" s="232"/>
      <c r="AC910" s="227"/>
      <c r="AD910" s="227"/>
      <c r="AE910" s="231"/>
      <c r="AF910" s="227"/>
      <c r="AG910" s="232"/>
      <c r="AH910" s="232"/>
      <c r="AI910" s="232"/>
      <c r="AJ910" s="232"/>
      <c r="AK910" s="232"/>
      <c r="AL910" s="232"/>
      <c r="AM910" s="232"/>
      <c r="AN910" s="232"/>
      <c r="AO910" s="231"/>
      <c r="AP910" s="231"/>
      <c r="AQ910" s="227"/>
      <c r="AR910" s="231"/>
      <c r="AS910" s="227"/>
      <c r="AT910" s="227"/>
      <c r="AU910" s="227"/>
      <c r="AV910" s="227"/>
    </row>
    <row r="911">
      <c r="A911" s="227"/>
      <c r="B911" s="232"/>
      <c r="C911" s="227"/>
      <c r="D911" s="227"/>
      <c r="E911" s="231"/>
      <c r="F911" s="232"/>
      <c r="G911" s="227"/>
      <c r="H911" s="227"/>
      <c r="I911" s="227"/>
      <c r="J911" s="227"/>
      <c r="K911" s="227"/>
      <c r="L911" s="232"/>
      <c r="M911" s="232"/>
      <c r="N911" s="227"/>
      <c r="O911" s="227"/>
      <c r="P911" s="231"/>
      <c r="Q911" s="227"/>
      <c r="R911" s="231"/>
      <c r="S911" s="231"/>
      <c r="T911" s="231"/>
      <c r="U911" s="231"/>
      <c r="V911" s="231"/>
      <c r="W911" s="231"/>
      <c r="X911" s="227"/>
      <c r="Y911" s="232"/>
      <c r="Z911" s="232"/>
      <c r="AA911" s="232"/>
      <c r="AB911" s="232"/>
      <c r="AC911" s="227"/>
      <c r="AD911" s="227"/>
      <c r="AE911" s="231"/>
      <c r="AF911" s="227"/>
      <c r="AG911" s="232"/>
      <c r="AH911" s="232"/>
      <c r="AI911" s="232"/>
      <c r="AJ911" s="232"/>
      <c r="AK911" s="232"/>
      <c r="AL911" s="232"/>
      <c r="AM911" s="232"/>
      <c r="AN911" s="232"/>
      <c r="AO911" s="231"/>
      <c r="AP911" s="231"/>
      <c r="AQ911" s="227"/>
      <c r="AR911" s="231"/>
      <c r="AS911" s="227"/>
      <c r="AT911" s="227"/>
      <c r="AU911" s="227"/>
      <c r="AV911" s="227"/>
    </row>
    <row r="912">
      <c r="A912" s="227"/>
      <c r="B912" s="232"/>
      <c r="C912" s="227"/>
      <c r="D912" s="227"/>
      <c r="E912" s="231"/>
      <c r="F912" s="232"/>
      <c r="G912" s="227"/>
      <c r="H912" s="227"/>
      <c r="I912" s="227"/>
      <c r="J912" s="227"/>
      <c r="K912" s="227"/>
      <c r="L912" s="232"/>
      <c r="M912" s="232"/>
      <c r="N912" s="227"/>
      <c r="O912" s="227"/>
      <c r="P912" s="231"/>
      <c r="Q912" s="227"/>
      <c r="R912" s="231"/>
      <c r="S912" s="231"/>
      <c r="T912" s="231"/>
      <c r="U912" s="231"/>
      <c r="V912" s="231"/>
      <c r="W912" s="231"/>
      <c r="X912" s="227"/>
      <c r="Y912" s="232"/>
      <c r="Z912" s="232"/>
      <c r="AA912" s="232"/>
      <c r="AB912" s="232"/>
      <c r="AC912" s="227"/>
      <c r="AD912" s="227"/>
      <c r="AE912" s="231"/>
      <c r="AF912" s="227"/>
      <c r="AG912" s="232"/>
      <c r="AH912" s="232"/>
      <c r="AI912" s="232"/>
      <c r="AJ912" s="232"/>
      <c r="AK912" s="232"/>
      <c r="AL912" s="232"/>
      <c r="AM912" s="232"/>
      <c r="AN912" s="232"/>
      <c r="AO912" s="231"/>
      <c r="AP912" s="231"/>
      <c r="AQ912" s="227"/>
      <c r="AR912" s="231"/>
      <c r="AS912" s="227"/>
      <c r="AT912" s="227"/>
      <c r="AU912" s="227"/>
      <c r="AV912" s="227"/>
    </row>
    <row r="913">
      <c r="A913" s="227"/>
      <c r="B913" s="232"/>
      <c r="C913" s="227"/>
      <c r="D913" s="227"/>
      <c r="E913" s="231"/>
      <c r="F913" s="232"/>
      <c r="G913" s="227"/>
      <c r="H913" s="227"/>
      <c r="I913" s="227"/>
      <c r="J913" s="227"/>
      <c r="K913" s="227"/>
      <c r="L913" s="232"/>
      <c r="M913" s="232"/>
      <c r="N913" s="227"/>
      <c r="O913" s="227"/>
      <c r="P913" s="231"/>
      <c r="Q913" s="227"/>
      <c r="R913" s="231"/>
      <c r="S913" s="231"/>
      <c r="T913" s="231"/>
      <c r="U913" s="231"/>
      <c r="V913" s="231"/>
      <c r="W913" s="231"/>
      <c r="X913" s="227"/>
      <c r="Y913" s="232"/>
      <c r="Z913" s="232"/>
      <c r="AA913" s="232"/>
      <c r="AB913" s="232"/>
      <c r="AC913" s="227"/>
      <c r="AD913" s="227"/>
      <c r="AE913" s="231"/>
      <c r="AF913" s="227"/>
      <c r="AG913" s="232"/>
      <c r="AH913" s="232"/>
      <c r="AI913" s="232"/>
      <c r="AJ913" s="232"/>
      <c r="AK913" s="232"/>
      <c r="AL913" s="232"/>
      <c r="AM913" s="232"/>
      <c r="AN913" s="232"/>
      <c r="AO913" s="231"/>
      <c r="AP913" s="231"/>
      <c r="AQ913" s="227"/>
      <c r="AR913" s="231"/>
      <c r="AS913" s="227"/>
      <c r="AT913" s="227"/>
      <c r="AU913" s="227"/>
      <c r="AV913" s="227"/>
    </row>
    <row r="914">
      <c r="A914" s="227"/>
      <c r="B914" s="232"/>
      <c r="C914" s="227"/>
      <c r="D914" s="227"/>
      <c r="E914" s="231"/>
      <c r="F914" s="232"/>
      <c r="G914" s="227"/>
      <c r="H914" s="227"/>
      <c r="I914" s="227"/>
      <c r="J914" s="227"/>
      <c r="K914" s="227"/>
      <c r="L914" s="232"/>
      <c r="M914" s="232"/>
      <c r="N914" s="227"/>
      <c r="O914" s="227"/>
      <c r="P914" s="231"/>
      <c r="Q914" s="227"/>
      <c r="R914" s="231"/>
      <c r="S914" s="231"/>
      <c r="T914" s="231"/>
      <c r="U914" s="231"/>
      <c r="V914" s="231"/>
      <c r="W914" s="231"/>
      <c r="X914" s="227"/>
      <c r="Y914" s="232"/>
      <c r="Z914" s="232"/>
      <c r="AA914" s="232"/>
      <c r="AB914" s="232"/>
      <c r="AC914" s="227"/>
      <c r="AD914" s="227"/>
      <c r="AE914" s="231"/>
      <c r="AF914" s="227"/>
      <c r="AG914" s="232"/>
      <c r="AH914" s="232"/>
      <c r="AI914" s="232"/>
      <c r="AJ914" s="232"/>
      <c r="AK914" s="232"/>
      <c r="AL914" s="232"/>
      <c r="AM914" s="232"/>
      <c r="AN914" s="232"/>
      <c r="AO914" s="231"/>
      <c r="AP914" s="231"/>
      <c r="AQ914" s="227"/>
      <c r="AR914" s="231"/>
      <c r="AS914" s="227"/>
      <c r="AT914" s="227"/>
      <c r="AU914" s="227"/>
      <c r="AV914" s="227"/>
    </row>
    <row r="915">
      <c r="A915" s="227"/>
      <c r="B915" s="232"/>
      <c r="C915" s="227"/>
      <c r="D915" s="227"/>
      <c r="E915" s="231"/>
      <c r="F915" s="232"/>
      <c r="G915" s="227"/>
      <c r="H915" s="227"/>
      <c r="I915" s="227"/>
      <c r="J915" s="227"/>
      <c r="K915" s="227"/>
      <c r="L915" s="232"/>
      <c r="M915" s="232"/>
      <c r="N915" s="227"/>
      <c r="O915" s="227"/>
      <c r="P915" s="231"/>
      <c r="Q915" s="227"/>
      <c r="R915" s="231"/>
      <c r="S915" s="231"/>
      <c r="T915" s="231"/>
      <c r="U915" s="231"/>
      <c r="V915" s="231"/>
      <c r="W915" s="231"/>
      <c r="X915" s="227"/>
      <c r="Y915" s="232"/>
      <c r="Z915" s="232"/>
      <c r="AA915" s="232"/>
      <c r="AB915" s="232"/>
      <c r="AC915" s="227"/>
      <c r="AD915" s="227"/>
      <c r="AE915" s="231"/>
      <c r="AF915" s="227"/>
      <c r="AG915" s="232"/>
      <c r="AH915" s="232"/>
      <c r="AI915" s="232"/>
      <c r="AJ915" s="232"/>
      <c r="AK915" s="232"/>
      <c r="AL915" s="232"/>
      <c r="AM915" s="232"/>
      <c r="AN915" s="232"/>
      <c r="AO915" s="231"/>
      <c r="AP915" s="231"/>
      <c r="AQ915" s="227"/>
      <c r="AR915" s="231"/>
      <c r="AS915" s="227"/>
      <c r="AT915" s="227"/>
      <c r="AU915" s="227"/>
      <c r="AV915" s="227"/>
    </row>
    <row r="916">
      <c r="A916" s="227"/>
      <c r="B916" s="232"/>
      <c r="C916" s="227"/>
      <c r="D916" s="227"/>
      <c r="E916" s="231"/>
      <c r="F916" s="232"/>
      <c r="G916" s="227"/>
      <c r="H916" s="227"/>
      <c r="I916" s="227"/>
      <c r="J916" s="227"/>
      <c r="K916" s="227"/>
      <c r="L916" s="232"/>
      <c r="M916" s="232"/>
      <c r="N916" s="227"/>
      <c r="O916" s="227"/>
      <c r="P916" s="231"/>
      <c r="Q916" s="227"/>
      <c r="R916" s="231"/>
      <c r="S916" s="231"/>
      <c r="T916" s="231"/>
      <c r="U916" s="231"/>
      <c r="V916" s="231"/>
      <c r="W916" s="231"/>
      <c r="X916" s="227"/>
      <c r="Y916" s="232"/>
      <c r="Z916" s="232"/>
      <c r="AA916" s="232"/>
      <c r="AB916" s="232"/>
      <c r="AC916" s="227"/>
      <c r="AD916" s="227"/>
      <c r="AE916" s="231"/>
      <c r="AF916" s="227"/>
      <c r="AG916" s="232"/>
      <c r="AH916" s="232"/>
      <c r="AI916" s="232"/>
      <c r="AJ916" s="232"/>
      <c r="AK916" s="232"/>
      <c r="AL916" s="232"/>
      <c r="AM916" s="232"/>
      <c r="AN916" s="232"/>
      <c r="AO916" s="231"/>
      <c r="AP916" s="231"/>
      <c r="AQ916" s="227"/>
      <c r="AR916" s="231"/>
      <c r="AS916" s="227"/>
      <c r="AT916" s="227"/>
      <c r="AU916" s="227"/>
      <c r="AV916" s="227"/>
    </row>
    <row r="917">
      <c r="A917" s="227"/>
      <c r="B917" s="232"/>
      <c r="C917" s="227"/>
      <c r="D917" s="227"/>
      <c r="E917" s="231"/>
      <c r="F917" s="232"/>
      <c r="G917" s="227"/>
      <c r="H917" s="227"/>
      <c r="I917" s="227"/>
      <c r="J917" s="227"/>
      <c r="K917" s="227"/>
      <c r="L917" s="232"/>
      <c r="M917" s="232"/>
      <c r="N917" s="227"/>
      <c r="O917" s="227"/>
      <c r="P917" s="231"/>
      <c r="Q917" s="227"/>
      <c r="R917" s="231"/>
      <c r="S917" s="231"/>
      <c r="T917" s="231"/>
      <c r="U917" s="231"/>
      <c r="V917" s="231"/>
      <c r="W917" s="231"/>
      <c r="X917" s="227"/>
      <c r="Y917" s="232"/>
      <c r="Z917" s="232"/>
      <c r="AA917" s="232"/>
      <c r="AB917" s="232"/>
      <c r="AC917" s="227"/>
      <c r="AD917" s="227"/>
      <c r="AE917" s="231"/>
      <c r="AF917" s="227"/>
      <c r="AG917" s="232"/>
      <c r="AH917" s="232"/>
      <c r="AI917" s="232"/>
      <c r="AJ917" s="232"/>
      <c r="AK917" s="232"/>
      <c r="AL917" s="232"/>
      <c r="AM917" s="232"/>
      <c r="AN917" s="232"/>
      <c r="AO917" s="231"/>
      <c r="AP917" s="231"/>
      <c r="AQ917" s="227"/>
      <c r="AR917" s="231"/>
      <c r="AS917" s="227"/>
      <c r="AT917" s="227"/>
      <c r="AU917" s="227"/>
      <c r="AV917" s="227"/>
    </row>
    <row r="918">
      <c r="A918" s="227"/>
      <c r="B918" s="232"/>
      <c r="C918" s="227"/>
      <c r="D918" s="227"/>
      <c r="E918" s="231"/>
      <c r="F918" s="232"/>
      <c r="G918" s="227"/>
      <c r="H918" s="227"/>
      <c r="I918" s="227"/>
      <c r="J918" s="227"/>
      <c r="K918" s="227"/>
      <c r="L918" s="232"/>
      <c r="M918" s="232"/>
      <c r="N918" s="227"/>
      <c r="O918" s="227"/>
      <c r="P918" s="231"/>
      <c r="Q918" s="227"/>
      <c r="R918" s="231"/>
      <c r="S918" s="231"/>
      <c r="T918" s="231"/>
      <c r="U918" s="231"/>
      <c r="V918" s="231"/>
      <c r="W918" s="231"/>
      <c r="X918" s="227"/>
      <c r="Y918" s="232"/>
      <c r="Z918" s="232"/>
      <c r="AA918" s="232"/>
      <c r="AB918" s="232"/>
      <c r="AC918" s="227"/>
      <c r="AD918" s="227"/>
      <c r="AE918" s="231"/>
      <c r="AF918" s="227"/>
      <c r="AG918" s="232"/>
      <c r="AH918" s="232"/>
      <c r="AI918" s="232"/>
      <c r="AJ918" s="232"/>
      <c r="AK918" s="232"/>
      <c r="AL918" s="232"/>
      <c r="AM918" s="232"/>
      <c r="AN918" s="232"/>
      <c r="AO918" s="231"/>
      <c r="AP918" s="231"/>
      <c r="AQ918" s="227"/>
      <c r="AR918" s="231"/>
      <c r="AS918" s="227"/>
      <c r="AT918" s="227"/>
      <c r="AU918" s="227"/>
      <c r="AV918" s="227"/>
    </row>
    <row r="919">
      <c r="A919" s="227"/>
      <c r="B919" s="232"/>
      <c r="C919" s="227"/>
      <c r="D919" s="227"/>
      <c r="E919" s="231"/>
      <c r="F919" s="232"/>
      <c r="G919" s="227"/>
      <c r="H919" s="227"/>
      <c r="I919" s="227"/>
      <c r="J919" s="227"/>
      <c r="K919" s="227"/>
      <c r="L919" s="232"/>
      <c r="M919" s="232"/>
      <c r="N919" s="227"/>
      <c r="O919" s="227"/>
      <c r="P919" s="231"/>
      <c r="Q919" s="227"/>
      <c r="R919" s="231"/>
      <c r="S919" s="231"/>
      <c r="T919" s="231"/>
      <c r="U919" s="231"/>
      <c r="V919" s="231"/>
      <c r="W919" s="231"/>
      <c r="X919" s="227"/>
      <c r="Y919" s="232"/>
      <c r="Z919" s="232"/>
      <c r="AA919" s="232"/>
      <c r="AB919" s="232"/>
      <c r="AC919" s="227"/>
      <c r="AD919" s="227"/>
      <c r="AE919" s="231"/>
      <c r="AF919" s="227"/>
      <c r="AG919" s="232"/>
      <c r="AH919" s="232"/>
      <c r="AI919" s="232"/>
      <c r="AJ919" s="232"/>
      <c r="AK919" s="232"/>
      <c r="AL919" s="232"/>
      <c r="AM919" s="232"/>
      <c r="AN919" s="232"/>
      <c r="AO919" s="231"/>
      <c r="AP919" s="231"/>
      <c r="AQ919" s="227"/>
      <c r="AR919" s="231"/>
      <c r="AS919" s="227"/>
      <c r="AT919" s="227"/>
      <c r="AU919" s="227"/>
      <c r="AV919" s="227"/>
    </row>
    <row r="920">
      <c r="A920" s="227"/>
      <c r="B920" s="232"/>
      <c r="C920" s="227"/>
      <c r="D920" s="227"/>
      <c r="E920" s="231"/>
      <c r="F920" s="232"/>
      <c r="G920" s="227"/>
      <c r="H920" s="227"/>
      <c r="I920" s="227"/>
      <c r="J920" s="227"/>
      <c r="K920" s="227"/>
      <c r="L920" s="232"/>
      <c r="M920" s="232"/>
      <c r="N920" s="227"/>
      <c r="O920" s="227"/>
      <c r="P920" s="231"/>
      <c r="Q920" s="227"/>
      <c r="R920" s="231"/>
      <c r="S920" s="231"/>
      <c r="T920" s="231"/>
      <c r="U920" s="231"/>
      <c r="V920" s="231"/>
      <c r="W920" s="231"/>
      <c r="X920" s="227"/>
      <c r="Y920" s="232"/>
      <c r="Z920" s="232"/>
      <c r="AA920" s="232"/>
      <c r="AB920" s="232"/>
      <c r="AC920" s="227"/>
      <c r="AD920" s="227"/>
      <c r="AE920" s="231"/>
      <c r="AF920" s="227"/>
      <c r="AG920" s="232"/>
      <c r="AH920" s="232"/>
      <c r="AI920" s="232"/>
      <c r="AJ920" s="232"/>
      <c r="AK920" s="232"/>
      <c r="AL920" s="232"/>
      <c r="AM920" s="232"/>
      <c r="AN920" s="232"/>
      <c r="AO920" s="231"/>
      <c r="AP920" s="231"/>
      <c r="AQ920" s="227"/>
      <c r="AR920" s="231"/>
      <c r="AS920" s="227"/>
      <c r="AT920" s="227"/>
      <c r="AU920" s="227"/>
      <c r="AV920" s="227"/>
    </row>
    <row r="921">
      <c r="A921" s="227"/>
      <c r="B921" s="232"/>
      <c r="C921" s="227"/>
      <c r="D921" s="227"/>
      <c r="E921" s="231"/>
      <c r="F921" s="232"/>
      <c r="G921" s="227"/>
      <c r="H921" s="227"/>
      <c r="I921" s="227"/>
      <c r="J921" s="227"/>
      <c r="K921" s="227"/>
      <c r="L921" s="232"/>
      <c r="M921" s="232"/>
      <c r="N921" s="227"/>
      <c r="O921" s="227"/>
      <c r="P921" s="231"/>
      <c r="Q921" s="227"/>
      <c r="R921" s="231"/>
      <c r="S921" s="231"/>
      <c r="T921" s="231"/>
      <c r="U921" s="231"/>
      <c r="V921" s="231"/>
      <c r="W921" s="231"/>
      <c r="X921" s="227"/>
      <c r="Y921" s="232"/>
      <c r="Z921" s="232"/>
      <c r="AA921" s="232"/>
      <c r="AB921" s="232"/>
      <c r="AC921" s="227"/>
      <c r="AD921" s="227"/>
      <c r="AE921" s="231"/>
      <c r="AF921" s="227"/>
      <c r="AG921" s="232"/>
      <c r="AH921" s="232"/>
      <c r="AI921" s="232"/>
      <c r="AJ921" s="232"/>
      <c r="AK921" s="232"/>
      <c r="AL921" s="232"/>
      <c r="AM921" s="232"/>
      <c r="AN921" s="232"/>
      <c r="AO921" s="231"/>
      <c r="AP921" s="231"/>
      <c r="AQ921" s="227"/>
      <c r="AR921" s="231"/>
      <c r="AS921" s="227"/>
      <c r="AT921" s="227"/>
      <c r="AU921" s="227"/>
      <c r="AV921" s="227"/>
    </row>
    <row r="922">
      <c r="A922" s="227"/>
      <c r="B922" s="232"/>
      <c r="C922" s="227"/>
      <c r="D922" s="227"/>
      <c r="E922" s="231"/>
      <c r="F922" s="232"/>
      <c r="G922" s="227"/>
      <c r="H922" s="227"/>
      <c r="I922" s="227"/>
      <c r="J922" s="227"/>
      <c r="K922" s="227"/>
      <c r="L922" s="232"/>
      <c r="M922" s="232"/>
      <c r="N922" s="227"/>
      <c r="O922" s="227"/>
      <c r="P922" s="231"/>
      <c r="Q922" s="227"/>
      <c r="R922" s="231"/>
      <c r="S922" s="231"/>
      <c r="T922" s="231"/>
      <c r="U922" s="231"/>
      <c r="V922" s="231"/>
      <c r="W922" s="231"/>
      <c r="X922" s="227"/>
      <c r="Y922" s="232"/>
      <c r="Z922" s="232"/>
      <c r="AA922" s="232"/>
      <c r="AB922" s="232"/>
      <c r="AC922" s="227"/>
      <c r="AD922" s="227"/>
      <c r="AE922" s="231"/>
      <c r="AF922" s="227"/>
      <c r="AG922" s="232"/>
      <c r="AH922" s="232"/>
      <c r="AI922" s="232"/>
      <c r="AJ922" s="232"/>
      <c r="AK922" s="232"/>
      <c r="AL922" s="232"/>
      <c r="AM922" s="232"/>
      <c r="AN922" s="232"/>
      <c r="AO922" s="231"/>
      <c r="AP922" s="231"/>
      <c r="AQ922" s="227"/>
      <c r="AR922" s="231"/>
      <c r="AS922" s="227"/>
      <c r="AT922" s="227"/>
      <c r="AU922" s="227"/>
      <c r="AV922" s="227"/>
    </row>
    <row r="923">
      <c r="A923" s="227"/>
      <c r="B923" s="232"/>
      <c r="C923" s="227"/>
      <c r="D923" s="227"/>
      <c r="E923" s="231"/>
      <c r="F923" s="232"/>
      <c r="G923" s="227"/>
      <c r="H923" s="227"/>
      <c r="I923" s="227"/>
      <c r="J923" s="227"/>
      <c r="K923" s="227"/>
      <c r="L923" s="232"/>
      <c r="M923" s="232"/>
      <c r="N923" s="227"/>
      <c r="O923" s="227"/>
      <c r="P923" s="231"/>
      <c r="Q923" s="227"/>
      <c r="R923" s="231"/>
      <c r="S923" s="231"/>
      <c r="T923" s="231"/>
      <c r="U923" s="231"/>
      <c r="V923" s="231"/>
      <c r="W923" s="231"/>
      <c r="X923" s="227"/>
      <c r="Y923" s="232"/>
      <c r="Z923" s="232"/>
      <c r="AA923" s="232"/>
      <c r="AB923" s="232"/>
      <c r="AC923" s="227"/>
      <c r="AD923" s="227"/>
      <c r="AE923" s="231"/>
      <c r="AF923" s="227"/>
      <c r="AG923" s="232"/>
      <c r="AH923" s="232"/>
      <c r="AI923" s="232"/>
      <c r="AJ923" s="232"/>
      <c r="AK923" s="232"/>
      <c r="AL923" s="232"/>
      <c r="AM923" s="232"/>
      <c r="AN923" s="232"/>
      <c r="AO923" s="231"/>
      <c r="AP923" s="231"/>
      <c r="AQ923" s="227"/>
      <c r="AR923" s="231"/>
      <c r="AS923" s="227"/>
      <c r="AT923" s="227"/>
      <c r="AU923" s="227"/>
      <c r="AV923" s="227"/>
    </row>
    <row r="924">
      <c r="A924" s="227"/>
      <c r="B924" s="232"/>
      <c r="C924" s="227"/>
      <c r="D924" s="227"/>
      <c r="E924" s="231"/>
      <c r="F924" s="232"/>
      <c r="G924" s="227"/>
      <c r="H924" s="227"/>
      <c r="I924" s="227"/>
      <c r="J924" s="227"/>
      <c r="K924" s="227"/>
      <c r="L924" s="232"/>
      <c r="M924" s="232"/>
      <c r="N924" s="227"/>
      <c r="O924" s="227"/>
      <c r="P924" s="231"/>
      <c r="Q924" s="227"/>
      <c r="R924" s="231"/>
      <c r="S924" s="231"/>
      <c r="T924" s="231"/>
      <c r="U924" s="231"/>
      <c r="V924" s="231"/>
      <c r="W924" s="231"/>
      <c r="X924" s="227"/>
      <c r="Y924" s="232"/>
      <c r="Z924" s="232"/>
      <c r="AA924" s="232"/>
      <c r="AB924" s="232"/>
      <c r="AC924" s="227"/>
      <c r="AD924" s="227"/>
      <c r="AE924" s="231"/>
      <c r="AF924" s="227"/>
      <c r="AG924" s="232"/>
      <c r="AH924" s="232"/>
      <c r="AI924" s="232"/>
      <c r="AJ924" s="232"/>
      <c r="AK924" s="232"/>
      <c r="AL924" s="232"/>
      <c r="AM924" s="232"/>
      <c r="AN924" s="232"/>
      <c r="AO924" s="231"/>
      <c r="AP924" s="231"/>
      <c r="AQ924" s="227"/>
      <c r="AR924" s="231"/>
      <c r="AS924" s="227"/>
      <c r="AT924" s="227"/>
      <c r="AU924" s="227"/>
      <c r="AV924" s="227"/>
    </row>
    <row r="925">
      <c r="A925" s="227"/>
      <c r="B925" s="232"/>
      <c r="C925" s="227"/>
      <c r="D925" s="227"/>
      <c r="E925" s="231"/>
      <c r="F925" s="232"/>
      <c r="G925" s="227"/>
      <c r="H925" s="227"/>
      <c r="I925" s="227"/>
      <c r="J925" s="227"/>
      <c r="K925" s="227"/>
      <c r="L925" s="232"/>
      <c r="M925" s="232"/>
      <c r="N925" s="227"/>
      <c r="O925" s="227"/>
      <c r="P925" s="231"/>
      <c r="Q925" s="227"/>
      <c r="R925" s="231"/>
      <c r="S925" s="231"/>
      <c r="T925" s="231"/>
      <c r="U925" s="231"/>
      <c r="V925" s="231"/>
      <c r="W925" s="231"/>
      <c r="X925" s="227"/>
      <c r="Y925" s="232"/>
      <c r="Z925" s="232"/>
      <c r="AA925" s="232"/>
      <c r="AB925" s="232"/>
      <c r="AC925" s="227"/>
      <c r="AD925" s="227"/>
      <c r="AE925" s="231"/>
      <c r="AF925" s="227"/>
      <c r="AG925" s="232"/>
      <c r="AH925" s="232"/>
      <c r="AI925" s="232"/>
      <c r="AJ925" s="232"/>
      <c r="AK925" s="232"/>
      <c r="AL925" s="232"/>
      <c r="AM925" s="232"/>
      <c r="AN925" s="232"/>
      <c r="AO925" s="231"/>
      <c r="AP925" s="231"/>
      <c r="AQ925" s="227"/>
      <c r="AR925" s="231"/>
      <c r="AS925" s="227"/>
      <c r="AT925" s="227"/>
      <c r="AU925" s="227"/>
      <c r="AV925" s="227"/>
    </row>
    <row r="926">
      <c r="A926" s="227"/>
      <c r="B926" s="232"/>
      <c r="C926" s="227"/>
      <c r="D926" s="227"/>
      <c r="E926" s="231"/>
      <c r="F926" s="232"/>
      <c r="G926" s="227"/>
      <c r="H926" s="227"/>
      <c r="I926" s="227"/>
      <c r="J926" s="227"/>
      <c r="K926" s="227"/>
      <c r="L926" s="232"/>
      <c r="M926" s="232"/>
      <c r="N926" s="227"/>
      <c r="O926" s="227"/>
      <c r="P926" s="231"/>
      <c r="Q926" s="227"/>
      <c r="R926" s="231"/>
      <c r="S926" s="231"/>
      <c r="T926" s="231"/>
      <c r="U926" s="231"/>
      <c r="V926" s="231"/>
      <c r="W926" s="231"/>
      <c r="X926" s="227"/>
      <c r="Y926" s="232"/>
      <c r="Z926" s="232"/>
      <c r="AA926" s="232"/>
      <c r="AB926" s="232"/>
      <c r="AC926" s="227"/>
      <c r="AD926" s="227"/>
      <c r="AE926" s="231"/>
      <c r="AF926" s="227"/>
      <c r="AG926" s="232"/>
      <c r="AH926" s="232"/>
      <c r="AI926" s="232"/>
      <c r="AJ926" s="232"/>
      <c r="AK926" s="232"/>
      <c r="AL926" s="232"/>
      <c r="AM926" s="232"/>
      <c r="AN926" s="232"/>
      <c r="AO926" s="231"/>
      <c r="AP926" s="231"/>
      <c r="AQ926" s="227"/>
      <c r="AR926" s="231"/>
      <c r="AS926" s="227"/>
      <c r="AT926" s="227"/>
      <c r="AU926" s="227"/>
      <c r="AV926" s="227"/>
    </row>
    <row r="927">
      <c r="A927" s="227"/>
      <c r="B927" s="232"/>
      <c r="C927" s="227"/>
      <c r="D927" s="227"/>
      <c r="E927" s="231"/>
      <c r="F927" s="232"/>
      <c r="G927" s="227"/>
      <c r="H927" s="227"/>
      <c r="I927" s="227"/>
      <c r="J927" s="227"/>
      <c r="K927" s="227"/>
      <c r="L927" s="232"/>
      <c r="M927" s="232"/>
      <c r="N927" s="227"/>
      <c r="O927" s="227"/>
      <c r="P927" s="231"/>
      <c r="Q927" s="227"/>
      <c r="R927" s="231"/>
      <c r="S927" s="231"/>
      <c r="T927" s="231"/>
      <c r="U927" s="231"/>
      <c r="V927" s="231"/>
      <c r="W927" s="231"/>
      <c r="X927" s="227"/>
      <c r="Y927" s="232"/>
      <c r="Z927" s="232"/>
      <c r="AA927" s="232"/>
      <c r="AB927" s="232"/>
      <c r="AC927" s="227"/>
      <c r="AD927" s="227"/>
      <c r="AE927" s="231"/>
      <c r="AF927" s="227"/>
      <c r="AG927" s="232"/>
      <c r="AH927" s="232"/>
      <c r="AI927" s="232"/>
      <c r="AJ927" s="232"/>
      <c r="AK927" s="232"/>
      <c r="AL927" s="232"/>
      <c r="AM927" s="232"/>
      <c r="AN927" s="232"/>
      <c r="AO927" s="231"/>
      <c r="AP927" s="231"/>
      <c r="AQ927" s="227"/>
      <c r="AR927" s="231"/>
      <c r="AS927" s="227"/>
      <c r="AT927" s="227"/>
      <c r="AU927" s="227"/>
      <c r="AV927" s="227"/>
    </row>
    <row r="928">
      <c r="A928" s="227"/>
      <c r="B928" s="232"/>
      <c r="C928" s="227"/>
      <c r="D928" s="227"/>
      <c r="E928" s="231"/>
      <c r="F928" s="232"/>
      <c r="G928" s="227"/>
      <c r="H928" s="227"/>
      <c r="I928" s="227"/>
      <c r="J928" s="227"/>
      <c r="K928" s="227"/>
      <c r="L928" s="232"/>
      <c r="M928" s="232"/>
      <c r="N928" s="227"/>
      <c r="O928" s="227"/>
      <c r="P928" s="231"/>
      <c r="Q928" s="227"/>
      <c r="R928" s="231"/>
      <c r="S928" s="231"/>
      <c r="T928" s="231"/>
      <c r="U928" s="231"/>
      <c r="V928" s="231"/>
      <c r="W928" s="231"/>
      <c r="X928" s="227"/>
      <c r="Y928" s="232"/>
      <c r="Z928" s="232"/>
      <c r="AA928" s="232"/>
      <c r="AB928" s="232"/>
      <c r="AC928" s="227"/>
      <c r="AD928" s="227"/>
      <c r="AE928" s="231"/>
      <c r="AF928" s="227"/>
      <c r="AG928" s="232"/>
      <c r="AH928" s="232"/>
      <c r="AI928" s="232"/>
      <c r="AJ928" s="232"/>
      <c r="AK928" s="232"/>
      <c r="AL928" s="232"/>
      <c r="AM928" s="232"/>
      <c r="AN928" s="232"/>
      <c r="AO928" s="231"/>
      <c r="AP928" s="231"/>
      <c r="AQ928" s="227"/>
      <c r="AR928" s="231"/>
      <c r="AS928" s="227"/>
      <c r="AT928" s="227"/>
      <c r="AU928" s="227"/>
      <c r="AV928" s="227"/>
    </row>
    <row r="929">
      <c r="A929" s="227"/>
      <c r="B929" s="232"/>
      <c r="C929" s="227"/>
      <c r="D929" s="227"/>
      <c r="E929" s="231"/>
      <c r="F929" s="232"/>
      <c r="G929" s="227"/>
      <c r="H929" s="227"/>
      <c r="I929" s="227"/>
      <c r="J929" s="227"/>
      <c r="K929" s="227"/>
      <c r="L929" s="232"/>
      <c r="M929" s="232"/>
      <c r="N929" s="227"/>
      <c r="O929" s="227"/>
      <c r="P929" s="231"/>
      <c r="Q929" s="227"/>
      <c r="R929" s="231"/>
      <c r="S929" s="231"/>
      <c r="T929" s="231"/>
      <c r="U929" s="231"/>
      <c r="V929" s="231"/>
      <c r="W929" s="231"/>
      <c r="X929" s="227"/>
      <c r="Y929" s="232"/>
      <c r="Z929" s="232"/>
      <c r="AA929" s="232"/>
      <c r="AB929" s="232"/>
      <c r="AC929" s="227"/>
      <c r="AD929" s="227"/>
      <c r="AE929" s="231"/>
      <c r="AF929" s="227"/>
      <c r="AG929" s="232"/>
      <c r="AH929" s="232"/>
      <c r="AI929" s="232"/>
      <c r="AJ929" s="232"/>
      <c r="AK929" s="232"/>
      <c r="AL929" s="232"/>
      <c r="AM929" s="232"/>
      <c r="AN929" s="232"/>
      <c r="AO929" s="231"/>
      <c r="AP929" s="231"/>
      <c r="AQ929" s="227"/>
      <c r="AR929" s="231"/>
      <c r="AS929" s="227"/>
      <c r="AT929" s="227"/>
      <c r="AU929" s="227"/>
      <c r="AV929" s="227"/>
    </row>
    <row r="930">
      <c r="A930" s="227"/>
      <c r="B930" s="232"/>
      <c r="C930" s="227"/>
      <c r="D930" s="227"/>
      <c r="E930" s="231"/>
      <c r="F930" s="232"/>
      <c r="G930" s="227"/>
      <c r="H930" s="227"/>
      <c r="I930" s="227"/>
      <c r="J930" s="227"/>
      <c r="K930" s="227"/>
      <c r="L930" s="232"/>
      <c r="M930" s="232"/>
      <c r="N930" s="227"/>
      <c r="O930" s="227"/>
      <c r="P930" s="231"/>
      <c r="Q930" s="227"/>
      <c r="R930" s="231"/>
      <c r="S930" s="231"/>
      <c r="T930" s="231"/>
      <c r="U930" s="231"/>
      <c r="V930" s="231"/>
      <c r="W930" s="231"/>
      <c r="X930" s="227"/>
      <c r="Y930" s="232"/>
      <c r="Z930" s="232"/>
      <c r="AA930" s="232"/>
      <c r="AB930" s="232"/>
      <c r="AC930" s="227"/>
      <c r="AD930" s="227"/>
      <c r="AE930" s="231"/>
      <c r="AF930" s="227"/>
      <c r="AG930" s="232"/>
      <c r="AH930" s="232"/>
      <c r="AI930" s="232"/>
      <c r="AJ930" s="232"/>
      <c r="AK930" s="232"/>
      <c r="AL930" s="232"/>
      <c r="AM930" s="232"/>
      <c r="AN930" s="232"/>
      <c r="AO930" s="231"/>
      <c r="AP930" s="231"/>
      <c r="AQ930" s="227"/>
      <c r="AR930" s="231"/>
      <c r="AS930" s="227"/>
      <c r="AT930" s="227"/>
      <c r="AU930" s="227"/>
      <c r="AV930" s="227"/>
    </row>
    <row r="931">
      <c r="A931" s="227"/>
      <c r="B931" s="232"/>
      <c r="C931" s="227"/>
      <c r="D931" s="227"/>
      <c r="E931" s="231"/>
      <c r="F931" s="232"/>
      <c r="G931" s="227"/>
      <c r="H931" s="227"/>
      <c r="I931" s="227"/>
      <c r="J931" s="227"/>
      <c r="K931" s="227"/>
      <c r="L931" s="232"/>
      <c r="M931" s="232"/>
      <c r="N931" s="227"/>
      <c r="O931" s="227"/>
      <c r="P931" s="231"/>
      <c r="Q931" s="227"/>
      <c r="R931" s="231"/>
      <c r="S931" s="231"/>
      <c r="T931" s="231"/>
      <c r="U931" s="231"/>
      <c r="V931" s="231"/>
      <c r="W931" s="231"/>
      <c r="X931" s="227"/>
      <c r="Y931" s="232"/>
      <c r="Z931" s="232"/>
      <c r="AA931" s="232"/>
      <c r="AB931" s="232"/>
      <c r="AC931" s="227"/>
      <c r="AD931" s="227"/>
      <c r="AE931" s="231"/>
      <c r="AF931" s="227"/>
      <c r="AG931" s="232"/>
      <c r="AH931" s="232"/>
      <c r="AI931" s="232"/>
      <c r="AJ931" s="232"/>
      <c r="AK931" s="232"/>
      <c r="AL931" s="232"/>
      <c r="AM931" s="232"/>
      <c r="AN931" s="232"/>
      <c r="AO931" s="231"/>
      <c r="AP931" s="231"/>
      <c r="AQ931" s="227"/>
      <c r="AR931" s="231"/>
      <c r="AS931" s="227"/>
      <c r="AT931" s="227"/>
      <c r="AU931" s="227"/>
      <c r="AV931" s="227"/>
    </row>
    <row r="932">
      <c r="A932" s="227"/>
      <c r="B932" s="232"/>
      <c r="C932" s="227"/>
      <c r="D932" s="227"/>
      <c r="E932" s="231"/>
      <c r="F932" s="232"/>
      <c r="G932" s="227"/>
      <c r="H932" s="227"/>
      <c r="I932" s="227"/>
      <c r="J932" s="227"/>
      <c r="K932" s="227"/>
      <c r="L932" s="232"/>
      <c r="M932" s="232"/>
      <c r="N932" s="227"/>
      <c r="O932" s="227"/>
      <c r="P932" s="231"/>
      <c r="Q932" s="227"/>
      <c r="R932" s="231"/>
      <c r="S932" s="231"/>
      <c r="T932" s="231"/>
      <c r="U932" s="231"/>
      <c r="V932" s="231"/>
      <c r="W932" s="231"/>
      <c r="X932" s="227"/>
      <c r="Y932" s="232"/>
      <c r="Z932" s="232"/>
      <c r="AA932" s="232"/>
      <c r="AB932" s="232"/>
      <c r="AC932" s="227"/>
      <c r="AD932" s="227"/>
      <c r="AE932" s="231"/>
      <c r="AF932" s="227"/>
      <c r="AG932" s="232"/>
      <c r="AH932" s="232"/>
      <c r="AI932" s="232"/>
      <c r="AJ932" s="232"/>
      <c r="AK932" s="232"/>
      <c r="AL932" s="232"/>
      <c r="AM932" s="232"/>
      <c r="AN932" s="232"/>
      <c r="AO932" s="231"/>
      <c r="AP932" s="231"/>
      <c r="AQ932" s="227"/>
      <c r="AR932" s="231"/>
      <c r="AS932" s="227"/>
      <c r="AT932" s="227"/>
      <c r="AU932" s="227"/>
      <c r="AV932" s="227"/>
    </row>
    <row r="933">
      <c r="A933" s="227"/>
      <c r="B933" s="232"/>
      <c r="C933" s="227"/>
      <c r="D933" s="227"/>
      <c r="E933" s="231"/>
      <c r="F933" s="232"/>
      <c r="G933" s="227"/>
      <c r="H933" s="227"/>
      <c r="I933" s="227"/>
      <c r="J933" s="227"/>
      <c r="K933" s="227"/>
      <c r="L933" s="232"/>
      <c r="M933" s="232"/>
      <c r="N933" s="227"/>
      <c r="O933" s="227"/>
      <c r="P933" s="231"/>
      <c r="Q933" s="227"/>
      <c r="R933" s="231"/>
      <c r="S933" s="231"/>
      <c r="T933" s="231"/>
      <c r="U933" s="231"/>
      <c r="V933" s="231"/>
      <c r="W933" s="231"/>
      <c r="X933" s="227"/>
      <c r="Y933" s="232"/>
      <c r="Z933" s="232"/>
      <c r="AA933" s="232"/>
      <c r="AB933" s="232"/>
      <c r="AC933" s="227"/>
      <c r="AD933" s="227"/>
      <c r="AE933" s="231"/>
      <c r="AF933" s="227"/>
      <c r="AG933" s="232"/>
      <c r="AH933" s="232"/>
      <c r="AI933" s="232"/>
      <c r="AJ933" s="232"/>
      <c r="AK933" s="232"/>
      <c r="AL933" s="232"/>
      <c r="AM933" s="232"/>
      <c r="AN933" s="232"/>
      <c r="AO933" s="231"/>
      <c r="AP933" s="231"/>
      <c r="AQ933" s="227"/>
      <c r="AR933" s="231"/>
      <c r="AS933" s="227"/>
      <c r="AT933" s="227"/>
      <c r="AU933" s="227"/>
      <c r="AV933" s="227"/>
    </row>
    <row r="934">
      <c r="A934" s="227"/>
      <c r="B934" s="232"/>
      <c r="C934" s="227"/>
      <c r="D934" s="227"/>
      <c r="E934" s="231"/>
      <c r="F934" s="232"/>
      <c r="G934" s="227"/>
      <c r="H934" s="227"/>
      <c r="I934" s="227"/>
      <c r="J934" s="227"/>
      <c r="K934" s="227"/>
      <c r="L934" s="232"/>
      <c r="M934" s="232"/>
      <c r="N934" s="227"/>
      <c r="O934" s="227"/>
      <c r="P934" s="231"/>
      <c r="Q934" s="227"/>
      <c r="R934" s="231"/>
      <c r="S934" s="231"/>
      <c r="T934" s="231"/>
      <c r="U934" s="231"/>
      <c r="V934" s="231"/>
      <c r="W934" s="231"/>
      <c r="X934" s="227"/>
      <c r="Y934" s="232"/>
      <c r="Z934" s="232"/>
      <c r="AA934" s="232"/>
      <c r="AB934" s="232"/>
      <c r="AC934" s="227"/>
      <c r="AD934" s="227"/>
      <c r="AE934" s="231"/>
      <c r="AF934" s="227"/>
      <c r="AG934" s="232"/>
      <c r="AH934" s="232"/>
      <c r="AI934" s="232"/>
      <c r="AJ934" s="232"/>
      <c r="AK934" s="232"/>
      <c r="AL934" s="232"/>
      <c r="AM934" s="232"/>
      <c r="AN934" s="232"/>
      <c r="AO934" s="231"/>
      <c r="AP934" s="231"/>
      <c r="AQ934" s="227"/>
      <c r="AR934" s="231"/>
      <c r="AS934" s="227"/>
      <c r="AT934" s="227"/>
      <c r="AU934" s="227"/>
      <c r="AV934" s="227"/>
    </row>
    <row r="935">
      <c r="A935" s="227"/>
      <c r="B935" s="232"/>
      <c r="C935" s="227"/>
      <c r="D935" s="227"/>
      <c r="E935" s="231"/>
      <c r="F935" s="232"/>
      <c r="G935" s="227"/>
      <c r="H935" s="227"/>
      <c r="I935" s="227"/>
      <c r="J935" s="227"/>
      <c r="K935" s="227"/>
      <c r="L935" s="232"/>
      <c r="M935" s="232"/>
      <c r="N935" s="227"/>
      <c r="O935" s="227"/>
      <c r="P935" s="231"/>
      <c r="Q935" s="227"/>
      <c r="R935" s="231"/>
      <c r="S935" s="231"/>
      <c r="T935" s="231"/>
      <c r="U935" s="231"/>
      <c r="V935" s="231"/>
      <c r="W935" s="231"/>
      <c r="X935" s="227"/>
      <c r="Y935" s="232"/>
      <c r="Z935" s="232"/>
      <c r="AA935" s="232"/>
      <c r="AB935" s="232"/>
      <c r="AC935" s="227"/>
      <c r="AD935" s="227"/>
      <c r="AE935" s="231"/>
      <c r="AF935" s="227"/>
      <c r="AG935" s="232"/>
      <c r="AH935" s="232"/>
      <c r="AI935" s="232"/>
      <c r="AJ935" s="232"/>
      <c r="AK935" s="232"/>
      <c r="AL935" s="232"/>
      <c r="AM935" s="232"/>
      <c r="AN935" s="232"/>
      <c r="AO935" s="231"/>
      <c r="AP935" s="231"/>
      <c r="AQ935" s="227"/>
      <c r="AR935" s="231"/>
      <c r="AS935" s="227"/>
      <c r="AT935" s="227"/>
      <c r="AU935" s="227"/>
      <c r="AV935" s="227"/>
    </row>
    <row r="936">
      <c r="A936" s="227"/>
      <c r="B936" s="232"/>
      <c r="C936" s="227"/>
      <c r="D936" s="227"/>
      <c r="E936" s="231"/>
      <c r="F936" s="232"/>
      <c r="G936" s="227"/>
      <c r="H936" s="227"/>
      <c r="I936" s="227"/>
      <c r="J936" s="227"/>
      <c r="K936" s="227"/>
      <c r="L936" s="232"/>
      <c r="M936" s="232"/>
      <c r="N936" s="227"/>
      <c r="O936" s="227"/>
      <c r="P936" s="231"/>
      <c r="Q936" s="227"/>
      <c r="R936" s="231"/>
      <c r="S936" s="231"/>
      <c r="T936" s="231"/>
      <c r="U936" s="231"/>
      <c r="V936" s="231"/>
      <c r="W936" s="231"/>
      <c r="X936" s="227"/>
      <c r="Y936" s="232"/>
      <c r="Z936" s="232"/>
      <c r="AA936" s="232"/>
      <c r="AB936" s="232"/>
      <c r="AC936" s="227"/>
      <c r="AD936" s="227"/>
      <c r="AE936" s="231"/>
      <c r="AF936" s="227"/>
      <c r="AG936" s="232"/>
      <c r="AH936" s="232"/>
      <c r="AI936" s="232"/>
      <c r="AJ936" s="232"/>
      <c r="AK936" s="232"/>
      <c r="AL936" s="232"/>
      <c r="AM936" s="232"/>
      <c r="AN936" s="232"/>
      <c r="AO936" s="231"/>
      <c r="AP936" s="231"/>
      <c r="AQ936" s="227"/>
      <c r="AR936" s="231"/>
      <c r="AS936" s="227"/>
      <c r="AT936" s="227"/>
      <c r="AU936" s="227"/>
      <c r="AV936" s="227"/>
    </row>
    <row r="937">
      <c r="A937" s="227"/>
      <c r="B937" s="232"/>
      <c r="C937" s="227"/>
      <c r="D937" s="227"/>
      <c r="E937" s="231"/>
      <c r="F937" s="232"/>
      <c r="G937" s="227"/>
      <c r="H937" s="227"/>
      <c r="I937" s="227"/>
      <c r="J937" s="227"/>
      <c r="K937" s="227"/>
      <c r="L937" s="232"/>
      <c r="M937" s="232"/>
      <c r="N937" s="227"/>
      <c r="O937" s="227"/>
      <c r="P937" s="231"/>
      <c r="Q937" s="227"/>
      <c r="R937" s="231"/>
      <c r="S937" s="231"/>
      <c r="T937" s="231"/>
      <c r="U937" s="231"/>
      <c r="V937" s="231"/>
      <c r="W937" s="231"/>
      <c r="X937" s="227"/>
      <c r="Y937" s="232"/>
      <c r="Z937" s="232"/>
      <c r="AA937" s="232"/>
      <c r="AB937" s="232"/>
      <c r="AC937" s="227"/>
      <c r="AD937" s="227"/>
      <c r="AE937" s="231"/>
      <c r="AF937" s="227"/>
      <c r="AG937" s="232"/>
      <c r="AH937" s="232"/>
      <c r="AI937" s="232"/>
      <c r="AJ937" s="232"/>
      <c r="AK937" s="232"/>
      <c r="AL937" s="232"/>
      <c r="AM937" s="232"/>
      <c r="AN937" s="232"/>
      <c r="AO937" s="231"/>
      <c r="AP937" s="231"/>
      <c r="AQ937" s="227"/>
      <c r="AR937" s="231"/>
      <c r="AS937" s="227"/>
      <c r="AT937" s="227"/>
      <c r="AU937" s="227"/>
      <c r="AV937" s="227"/>
    </row>
    <row r="938">
      <c r="A938" s="227"/>
      <c r="B938" s="232"/>
      <c r="C938" s="227"/>
      <c r="D938" s="227"/>
      <c r="E938" s="231"/>
      <c r="F938" s="232"/>
      <c r="G938" s="227"/>
      <c r="H938" s="227"/>
      <c r="I938" s="227"/>
      <c r="J938" s="227"/>
      <c r="K938" s="227"/>
      <c r="L938" s="232"/>
      <c r="M938" s="232"/>
      <c r="N938" s="227"/>
      <c r="O938" s="227"/>
      <c r="P938" s="231"/>
      <c r="Q938" s="227"/>
      <c r="R938" s="231"/>
      <c r="S938" s="231"/>
      <c r="T938" s="231"/>
      <c r="U938" s="231"/>
      <c r="V938" s="231"/>
      <c r="W938" s="231"/>
      <c r="X938" s="227"/>
      <c r="Y938" s="232"/>
      <c r="Z938" s="232"/>
      <c r="AA938" s="232"/>
      <c r="AB938" s="232"/>
      <c r="AC938" s="227"/>
      <c r="AD938" s="227"/>
      <c r="AE938" s="231"/>
      <c r="AF938" s="227"/>
      <c r="AG938" s="232"/>
      <c r="AH938" s="232"/>
      <c r="AI938" s="232"/>
      <c r="AJ938" s="232"/>
      <c r="AK938" s="232"/>
      <c r="AL938" s="232"/>
      <c r="AM938" s="232"/>
      <c r="AN938" s="232"/>
      <c r="AO938" s="231"/>
      <c r="AP938" s="231"/>
      <c r="AQ938" s="227"/>
      <c r="AR938" s="231"/>
      <c r="AS938" s="227"/>
      <c r="AT938" s="227"/>
      <c r="AU938" s="227"/>
      <c r="AV938" s="227"/>
    </row>
    <row r="939">
      <c r="A939" s="227"/>
      <c r="B939" s="232"/>
      <c r="C939" s="227"/>
      <c r="D939" s="227"/>
      <c r="E939" s="231"/>
      <c r="F939" s="232"/>
      <c r="G939" s="227"/>
      <c r="H939" s="227"/>
      <c r="I939" s="227"/>
      <c r="J939" s="227"/>
      <c r="K939" s="227"/>
      <c r="L939" s="232"/>
      <c r="M939" s="232"/>
      <c r="N939" s="227"/>
      <c r="O939" s="227"/>
      <c r="P939" s="231"/>
      <c r="Q939" s="227"/>
      <c r="R939" s="231"/>
      <c r="S939" s="231"/>
      <c r="T939" s="231"/>
      <c r="U939" s="231"/>
      <c r="V939" s="231"/>
      <c r="W939" s="231"/>
      <c r="X939" s="227"/>
      <c r="Y939" s="232"/>
      <c r="Z939" s="232"/>
      <c r="AA939" s="232"/>
      <c r="AB939" s="232"/>
      <c r="AC939" s="227"/>
      <c r="AD939" s="227"/>
      <c r="AE939" s="231"/>
      <c r="AF939" s="227"/>
      <c r="AG939" s="232"/>
      <c r="AH939" s="232"/>
      <c r="AI939" s="232"/>
      <c r="AJ939" s="232"/>
      <c r="AK939" s="232"/>
      <c r="AL939" s="232"/>
      <c r="AM939" s="232"/>
      <c r="AN939" s="232"/>
      <c r="AO939" s="231"/>
      <c r="AP939" s="231"/>
      <c r="AQ939" s="227"/>
      <c r="AR939" s="231"/>
      <c r="AS939" s="227"/>
      <c r="AT939" s="227"/>
      <c r="AU939" s="227"/>
      <c r="AV939" s="227"/>
    </row>
    <row r="940">
      <c r="A940" s="227"/>
      <c r="B940" s="232"/>
      <c r="C940" s="227"/>
      <c r="D940" s="227"/>
      <c r="E940" s="231"/>
      <c r="F940" s="232"/>
      <c r="G940" s="227"/>
      <c r="H940" s="227"/>
      <c r="I940" s="227"/>
      <c r="J940" s="227"/>
      <c r="K940" s="227"/>
      <c r="L940" s="232"/>
      <c r="M940" s="232"/>
      <c r="N940" s="227"/>
      <c r="O940" s="227"/>
      <c r="P940" s="231"/>
      <c r="Q940" s="227"/>
      <c r="R940" s="231"/>
      <c r="S940" s="231"/>
      <c r="T940" s="231"/>
      <c r="U940" s="231"/>
      <c r="V940" s="231"/>
      <c r="W940" s="231"/>
      <c r="X940" s="227"/>
      <c r="Y940" s="232"/>
      <c r="Z940" s="232"/>
      <c r="AA940" s="232"/>
      <c r="AB940" s="232"/>
      <c r="AC940" s="227"/>
      <c r="AD940" s="227"/>
      <c r="AE940" s="231"/>
      <c r="AF940" s="227"/>
      <c r="AG940" s="232"/>
      <c r="AH940" s="232"/>
      <c r="AI940" s="232"/>
      <c r="AJ940" s="232"/>
      <c r="AK940" s="232"/>
      <c r="AL940" s="232"/>
      <c r="AM940" s="232"/>
      <c r="AN940" s="232"/>
      <c r="AO940" s="231"/>
      <c r="AP940" s="231"/>
      <c r="AQ940" s="227"/>
      <c r="AR940" s="231"/>
      <c r="AS940" s="227"/>
      <c r="AT940" s="227"/>
      <c r="AU940" s="227"/>
      <c r="AV940" s="227"/>
    </row>
    <row r="941">
      <c r="A941" s="227"/>
      <c r="B941" s="232"/>
      <c r="C941" s="227"/>
      <c r="D941" s="227"/>
      <c r="E941" s="231"/>
      <c r="F941" s="232"/>
      <c r="G941" s="227"/>
      <c r="H941" s="227"/>
      <c r="I941" s="227"/>
      <c r="J941" s="227"/>
      <c r="K941" s="227"/>
      <c r="L941" s="232"/>
      <c r="M941" s="232"/>
      <c r="N941" s="227"/>
      <c r="O941" s="227"/>
      <c r="P941" s="231"/>
      <c r="Q941" s="227"/>
      <c r="R941" s="231"/>
      <c r="S941" s="231"/>
      <c r="T941" s="231"/>
      <c r="U941" s="231"/>
      <c r="V941" s="231"/>
      <c r="W941" s="231"/>
      <c r="X941" s="227"/>
      <c r="Y941" s="232"/>
      <c r="Z941" s="232"/>
      <c r="AA941" s="232"/>
      <c r="AB941" s="232"/>
      <c r="AC941" s="227"/>
      <c r="AD941" s="227"/>
      <c r="AE941" s="231"/>
      <c r="AF941" s="227"/>
      <c r="AG941" s="232"/>
      <c r="AH941" s="232"/>
      <c r="AI941" s="232"/>
      <c r="AJ941" s="232"/>
      <c r="AK941" s="232"/>
      <c r="AL941" s="232"/>
      <c r="AM941" s="232"/>
      <c r="AN941" s="232"/>
      <c r="AO941" s="231"/>
      <c r="AP941" s="231"/>
      <c r="AQ941" s="227"/>
      <c r="AR941" s="231"/>
      <c r="AS941" s="227"/>
      <c r="AT941" s="227"/>
      <c r="AU941" s="227"/>
      <c r="AV941" s="227"/>
    </row>
    <row r="942">
      <c r="A942" s="227"/>
      <c r="B942" s="232"/>
      <c r="C942" s="227"/>
      <c r="D942" s="227"/>
      <c r="E942" s="231"/>
      <c r="F942" s="232"/>
      <c r="G942" s="227"/>
      <c r="H942" s="227"/>
      <c r="I942" s="227"/>
      <c r="J942" s="227"/>
      <c r="K942" s="227"/>
      <c r="L942" s="232"/>
      <c r="M942" s="232"/>
      <c r="N942" s="227"/>
      <c r="O942" s="227"/>
      <c r="P942" s="231"/>
      <c r="Q942" s="227"/>
      <c r="R942" s="231"/>
      <c r="S942" s="231"/>
      <c r="T942" s="231"/>
      <c r="U942" s="231"/>
      <c r="V942" s="231"/>
      <c r="W942" s="231"/>
      <c r="X942" s="227"/>
      <c r="Y942" s="232"/>
      <c r="Z942" s="232"/>
      <c r="AA942" s="232"/>
      <c r="AB942" s="232"/>
      <c r="AC942" s="227"/>
      <c r="AD942" s="227"/>
      <c r="AE942" s="231"/>
      <c r="AF942" s="227"/>
      <c r="AG942" s="232"/>
      <c r="AH942" s="232"/>
      <c r="AI942" s="232"/>
      <c r="AJ942" s="232"/>
      <c r="AK942" s="232"/>
      <c r="AL942" s="232"/>
      <c r="AM942" s="232"/>
      <c r="AN942" s="232"/>
      <c r="AO942" s="231"/>
      <c r="AP942" s="231"/>
      <c r="AQ942" s="227"/>
      <c r="AR942" s="231"/>
      <c r="AS942" s="227"/>
      <c r="AT942" s="227"/>
      <c r="AU942" s="227"/>
      <c r="AV942" s="227"/>
    </row>
    <row r="943">
      <c r="A943" s="227"/>
      <c r="B943" s="232"/>
      <c r="C943" s="227"/>
      <c r="D943" s="227"/>
      <c r="E943" s="231"/>
      <c r="F943" s="232"/>
      <c r="G943" s="227"/>
      <c r="H943" s="227"/>
      <c r="I943" s="227"/>
      <c r="J943" s="227"/>
      <c r="K943" s="227"/>
      <c r="L943" s="232"/>
      <c r="M943" s="232"/>
      <c r="N943" s="227"/>
      <c r="O943" s="227"/>
      <c r="P943" s="231"/>
      <c r="Q943" s="227"/>
      <c r="R943" s="231"/>
      <c r="S943" s="231"/>
      <c r="T943" s="231"/>
      <c r="U943" s="231"/>
      <c r="V943" s="231"/>
      <c r="W943" s="231"/>
      <c r="X943" s="227"/>
      <c r="Y943" s="232"/>
      <c r="Z943" s="232"/>
      <c r="AA943" s="232"/>
      <c r="AB943" s="232"/>
      <c r="AC943" s="227"/>
      <c r="AD943" s="227"/>
      <c r="AE943" s="231"/>
      <c r="AF943" s="227"/>
      <c r="AG943" s="232"/>
      <c r="AH943" s="232"/>
      <c r="AI943" s="232"/>
      <c r="AJ943" s="232"/>
      <c r="AK943" s="232"/>
      <c r="AL943" s="232"/>
      <c r="AM943" s="232"/>
      <c r="AN943" s="232"/>
      <c r="AO943" s="231"/>
      <c r="AP943" s="231"/>
      <c r="AQ943" s="227"/>
      <c r="AR943" s="231"/>
      <c r="AS943" s="227"/>
      <c r="AT943" s="227"/>
      <c r="AU943" s="227"/>
      <c r="AV943" s="227"/>
    </row>
    <row r="944">
      <c r="A944" s="227"/>
      <c r="B944" s="232"/>
      <c r="C944" s="227"/>
      <c r="D944" s="227"/>
      <c r="E944" s="231"/>
      <c r="F944" s="232"/>
      <c r="G944" s="227"/>
      <c r="H944" s="227"/>
      <c r="I944" s="227"/>
      <c r="J944" s="227"/>
      <c r="K944" s="227"/>
      <c r="L944" s="232"/>
      <c r="M944" s="232"/>
      <c r="N944" s="227"/>
      <c r="O944" s="227"/>
      <c r="P944" s="231"/>
      <c r="Q944" s="227"/>
      <c r="R944" s="231"/>
      <c r="S944" s="231"/>
      <c r="T944" s="231"/>
      <c r="U944" s="231"/>
      <c r="V944" s="231"/>
      <c r="W944" s="231"/>
      <c r="X944" s="227"/>
      <c r="Y944" s="232"/>
      <c r="Z944" s="232"/>
      <c r="AA944" s="232"/>
      <c r="AB944" s="232"/>
      <c r="AC944" s="227"/>
      <c r="AD944" s="227"/>
      <c r="AE944" s="231"/>
      <c r="AF944" s="227"/>
      <c r="AG944" s="232"/>
      <c r="AH944" s="232"/>
      <c r="AI944" s="232"/>
      <c r="AJ944" s="232"/>
      <c r="AK944" s="232"/>
      <c r="AL944" s="232"/>
      <c r="AM944" s="232"/>
      <c r="AN944" s="232"/>
      <c r="AO944" s="231"/>
      <c r="AP944" s="231"/>
      <c r="AQ944" s="227"/>
      <c r="AR944" s="231"/>
      <c r="AS944" s="227"/>
      <c r="AT944" s="227"/>
      <c r="AU944" s="227"/>
      <c r="AV944" s="227"/>
    </row>
    <row r="945">
      <c r="A945" s="227"/>
      <c r="B945" s="232"/>
      <c r="C945" s="227"/>
      <c r="D945" s="227"/>
      <c r="E945" s="231"/>
      <c r="F945" s="232"/>
      <c r="G945" s="227"/>
      <c r="H945" s="227"/>
      <c r="I945" s="227"/>
      <c r="J945" s="227"/>
      <c r="K945" s="227"/>
      <c r="L945" s="232"/>
      <c r="M945" s="232"/>
      <c r="N945" s="227"/>
      <c r="O945" s="227"/>
      <c r="P945" s="231"/>
      <c r="Q945" s="227"/>
      <c r="R945" s="231"/>
      <c r="S945" s="231"/>
      <c r="T945" s="231"/>
      <c r="U945" s="231"/>
      <c r="V945" s="231"/>
      <c r="W945" s="231"/>
      <c r="X945" s="227"/>
      <c r="Y945" s="232"/>
      <c r="Z945" s="232"/>
      <c r="AA945" s="232"/>
      <c r="AB945" s="232"/>
      <c r="AC945" s="227"/>
      <c r="AD945" s="227"/>
      <c r="AE945" s="231"/>
      <c r="AF945" s="227"/>
      <c r="AG945" s="232"/>
      <c r="AH945" s="232"/>
      <c r="AI945" s="232"/>
      <c r="AJ945" s="232"/>
      <c r="AK945" s="232"/>
      <c r="AL945" s="232"/>
      <c r="AM945" s="232"/>
      <c r="AN945" s="232"/>
      <c r="AO945" s="231"/>
      <c r="AP945" s="231"/>
      <c r="AQ945" s="227"/>
      <c r="AR945" s="227"/>
      <c r="AS945" s="227"/>
      <c r="AT945" s="227"/>
      <c r="AU945" s="227"/>
      <c r="AV945" s="227"/>
    </row>
    <row r="946">
      <c r="A946" s="227"/>
      <c r="B946" s="232"/>
      <c r="C946" s="227"/>
      <c r="D946" s="227"/>
      <c r="E946" s="231"/>
      <c r="F946" s="232"/>
      <c r="G946" s="227"/>
      <c r="H946" s="227"/>
      <c r="I946" s="227"/>
      <c r="J946" s="227"/>
      <c r="K946" s="227"/>
      <c r="L946" s="232"/>
      <c r="M946" s="232"/>
      <c r="N946" s="227"/>
      <c r="O946" s="227"/>
      <c r="P946" s="231"/>
      <c r="Q946" s="227"/>
      <c r="R946" s="231"/>
      <c r="S946" s="231"/>
      <c r="T946" s="231"/>
      <c r="U946" s="231"/>
      <c r="V946" s="231"/>
      <c r="W946" s="231"/>
      <c r="X946" s="227"/>
      <c r="Y946" s="232"/>
      <c r="Z946" s="232"/>
      <c r="AA946" s="232"/>
      <c r="AB946" s="232"/>
      <c r="AC946" s="227"/>
      <c r="AD946" s="227"/>
      <c r="AE946" s="231"/>
      <c r="AF946" s="227"/>
      <c r="AG946" s="232"/>
      <c r="AH946" s="232"/>
      <c r="AI946" s="232"/>
      <c r="AJ946" s="232"/>
      <c r="AK946" s="232"/>
      <c r="AL946" s="232"/>
      <c r="AM946" s="232"/>
      <c r="AN946" s="232"/>
      <c r="AO946" s="231"/>
      <c r="AP946" s="231"/>
      <c r="AQ946" s="227"/>
      <c r="AR946" s="231"/>
      <c r="AS946" s="227"/>
      <c r="AT946" s="227"/>
      <c r="AU946" s="227"/>
      <c r="AV946" s="227"/>
    </row>
    <row r="947">
      <c r="A947" s="227"/>
      <c r="B947" s="232"/>
      <c r="C947" s="227"/>
      <c r="D947" s="227"/>
      <c r="E947" s="231"/>
      <c r="F947" s="232"/>
      <c r="G947" s="227"/>
      <c r="H947" s="227"/>
      <c r="I947" s="227"/>
      <c r="J947" s="227"/>
      <c r="K947" s="227"/>
      <c r="L947" s="232"/>
      <c r="M947" s="232"/>
      <c r="N947" s="227"/>
      <c r="O947" s="227"/>
      <c r="P947" s="231"/>
      <c r="Q947" s="227"/>
      <c r="R947" s="231"/>
      <c r="S947" s="231"/>
      <c r="T947" s="231"/>
      <c r="U947" s="231"/>
      <c r="V947" s="231"/>
      <c r="W947" s="231"/>
      <c r="X947" s="227"/>
      <c r="Y947" s="232"/>
      <c r="Z947" s="232"/>
      <c r="AA947" s="232"/>
      <c r="AB947" s="232"/>
      <c r="AC947" s="227"/>
      <c r="AD947" s="227"/>
      <c r="AE947" s="231"/>
      <c r="AF947" s="227"/>
      <c r="AG947" s="232"/>
      <c r="AH947" s="232"/>
      <c r="AI947" s="232"/>
      <c r="AJ947" s="232"/>
      <c r="AK947" s="232"/>
      <c r="AL947" s="232"/>
      <c r="AM947" s="232"/>
      <c r="AN947" s="232"/>
      <c r="AO947" s="231"/>
      <c r="AP947" s="231"/>
      <c r="AQ947" s="227"/>
      <c r="AR947" s="231"/>
      <c r="AS947" s="227"/>
      <c r="AT947" s="227"/>
      <c r="AU947" s="227"/>
      <c r="AV947" s="227"/>
    </row>
    <row r="948">
      <c r="A948" s="227"/>
      <c r="B948" s="232"/>
      <c r="C948" s="227"/>
      <c r="D948" s="227"/>
      <c r="E948" s="231"/>
      <c r="F948" s="232"/>
      <c r="G948" s="227"/>
      <c r="H948" s="227"/>
      <c r="I948" s="227"/>
      <c r="J948" s="227"/>
      <c r="K948" s="227"/>
      <c r="L948" s="232"/>
      <c r="M948" s="232"/>
      <c r="N948" s="227"/>
      <c r="O948" s="227"/>
      <c r="P948" s="231"/>
      <c r="Q948" s="227"/>
      <c r="R948" s="231"/>
      <c r="S948" s="231"/>
      <c r="T948" s="231"/>
      <c r="U948" s="231"/>
      <c r="V948" s="231"/>
      <c r="W948" s="231"/>
      <c r="X948" s="227"/>
      <c r="Y948" s="232"/>
      <c r="Z948" s="232"/>
      <c r="AA948" s="232"/>
      <c r="AB948" s="232"/>
      <c r="AC948" s="227"/>
      <c r="AD948" s="227"/>
      <c r="AE948" s="231"/>
      <c r="AF948" s="227"/>
      <c r="AG948" s="232"/>
      <c r="AH948" s="232"/>
      <c r="AI948" s="232"/>
      <c r="AJ948" s="232"/>
      <c r="AK948" s="232"/>
      <c r="AL948" s="232"/>
      <c r="AM948" s="232"/>
      <c r="AN948" s="232"/>
      <c r="AO948" s="231"/>
      <c r="AP948" s="231"/>
      <c r="AQ948" s="227"/>
      <c r="AR948" s="231"/>
      <c r="AS948" s="227"/>
      <c r="AT948" s="227"/>
      <c r="AU948" s="227"/>
      <c r="AV948" s="227"/>
    </row>
    <row r="949">
      <c r="A949" s="227"/>
      <c r="B949" s="232"/>
      <c r="C949" s="227"/>
      <c r="D949" s="227"/>
      <c r="E949" s="231"/>
      <c r="F949" s="232"/>
      <c r="G949" s="227"/>
      <c r="H949" s="227"/>
      <c r="I949" s="227"/>
      <c r="J949" s="227"/>
      <c r="K949" s="227"/>
      <c r="L949" s="232"/>
      <c r="M949" s="232"/>
      <c r="N949" s="227"/>
      <c r="O949" s="227"/>
      <c r="P949" s="231"/>
      <c r="Q949" s="227"/>
      <c r="R949" s="231"/>
      <c r="S949" s="231"/>
      <c r="T949" s="231"/>
      <c r="U949" s="231"/>
      <c r="V949" s="231"/>
      <c r="W949" s="231"/>
      <c r="X949" s="227"/>
      <c r="Y949" s="232"/>
      <c r="Z949" s="232"/>
      <c r="AA949" s="232"/>
      <c r="AB949" s="232"/>
      <c r="AC949" s="227"/>
      <c r="AD949" s="227"/>
      <c r="AE949" s="231"/>
      <c r="AF949" s="227"/>
      <c r="AG949" s="232"/>
      <c r="AH949" s="232"/>
      <c r="AI949" s="232"/>
      <c r="AJ949" s="232"/>
      <c r="AK949" s="232"/>
      <c r="AL949" s="232"/>
      <c r="AM949" s="232"/>
      <c r="AN949" s="232"/>
      <c r="AO949" s="231"/>
      <c r="AP949" s="231"/>
      <c r="AQ949" s="227"/>
      <c r="AR949" s="231"/>
      <c r="AS949" s="227"/>
      <c r="AT949" s="227"/>
      <c r="AU949" s="227"/>
      <c r="AV949" s="227"/>
    </row>
    <row r="950">
      <c r="A950" s="227"/>
      <c r="B950" s="232"/>
      <c r="C950" s="227"/>
      <c r="D950" s="227"/>
      <c r="E950" s="231"/>
      <c r="F950" s="232"/>
      <c r="G950" s="227"/>
      <c r="H950" s="227"/>
      <c r="I950" s="227"/>
      <c r="J950" s="227"/>
      <c r="K950" s="227"/>
      <c r="L950" s="232"/>
      <c r="M950" s="232"/>
      <c r="N950" s="227"/>
      <c r="O950" s="227"/>
      <c r="P950" s="231"/>
      <c r="Q950" s="227"/>
      <c r="R950" s="231"/>
      <c r="S950" s="231"/>
      <c r="T950" s="231"/>
      <c r="U950" s="231"/>
      <c r="V950" s="231"/>
      <c r="W950" s="231"/>
      <c r="X950" s="227"/>
      <c r="Y950" s="232"/>
      <c r="Z950" s="232"/>
      <c r="AA950" s="232"/>
      <c r="AB950" s="232"/>
      <c r="AC950" s="227"/>
      <c r="AD950" s="227"/>
      <c r="AE950" s="231"/>
      <c r="AF950" s="227"/>
      <c r="AG950" s="232"/>
      <c r="AH950" s="232"/>
      <c r="AI950" s="232"/>
      <c r="AJ950" s="232"/>
      <c r="AK950" s="232"/>
      <c r="AL950" s="232"/>
      <c r="AM950" s="232"/>
      <c r="AN950" s="232"/>
      <c r="AO950" s="231"/>
      <c r="AP950" s="231"/>
      <c r="AQ950" s="227"/>
      <c r="AR950" s="231"/>
      <c r="AS950" s="227"/>
      <c r="AT950" s="227"/>
      <c r="AU950" s="227"/>
      <c r="AV950" s="227"/>
    </row>
    <row r="951">
      <c r="A951" s="227"/>
      <c r="B951" s="232"/>
      <c r="C951" s="227"/>
      <c r="D951" s="227"/>
      <c r="E951" s="231"/>
      <c r="F951" s="232"/>
      <c r="G951" s="227"/>
      <c r="H951" s="227"/>
      <c r="I951" s="227"/>
      <c r="J951" s="227"/>
      <c r="K951" s="227"/>
      <c r="L951" s="232"/>
      <c r="M951" s="232"/>
      <c r="N951" s="227"/>
      <c r="O951" s="227"/>
      <c r="P951" s="231"/>
      <c r="Q951" s="227"/>
      <c r="R951" s="231"/>
      <c r="S951" s="231"/>
      <c r="T951" s="231"/>
      <c r="U951" s="231"/>
      <c r="V951" s="231"/>
      <c r="W951" s="231"/>
      <c r="X951" s="227"/>
      <c r="Y951" s="232"/>
      <c r="Z951" s="232"/>
      <c r="AA951" s="232"/>
      <c r="AB951" s="232"/>
      <c r="AC951" s="227"/>
      <c r="AD951" s="227"/>
      <c r="AE951" s="231"/>
      <c r="AF951" s="227"/>
      <c r="AG951" s="232"/>
      <c r="AH951" s="232"/>
      <c r="AI951" s="232"/>
      <c r="AJ951" s="232"/>
      <c r="AK951" s="232"/>
      <c r="AL951" s="232"/>
      <c r="AM951" s="232"/>
      <c r="AN951" s="232"/>
      <c r="AO951" s="231"/>
      <c r="AP951" s="231"/>
      <c r="AQ951" s="227"/>
      <c r="AR951" s="231"/>
      <c r="AS951" s="227"/>
      <c r="AT951" s="227"/>
      <c r="AU951" s="227"/>
      <c r="AV951" s="227"/>
    </row>
    <row r="952">
      <c r="A952" s="227"/>
      <c r="B952" s="232"/>
      <c r="C952" s="227"/>
      <c r="D952" s="227"/>
      <c r="E952" s="231"/>
      <c r="F952" s="232"/>
      <c r="G952" s="227"/>
      <c r="H952" s="227"/>
      <c r="I952" s="227"/>
      <c r="J952" s="227"/>
      <c r="K952" s="227"/>
      <c r="L952" s="232"/>
      <c r="M952" s="232"/>
      <c r="N952" s="227"/>
      <c r="O952" s="227"/>
      <c r="P952" s="231"/>
      <c r="Q952" s="227"/>
      <c r="R952" s="231"/>
      <c r="S952" s="231"/>
      <c r="T952" s="231"/>
      <c r="U952" s="231"/>
      <c r="V952" s="231"/>
      <c r="W952" s="231"/>
      <c r="X952" s="227"/>
      <c r="Y952" s="232"/>
      <c r="Z952" s="232"/>
      <c r="AA952" s="232"/>
      <c r="AB952" s="232"/>
      <c r="AC952" s="227"/>
      <c r="AD952" s="227"/>
      <c r="AE952" s="231"/>
      <c r="AF952" s="227"/>
      <c r="AG952" s="232"/>
      <c r="AH952" s="232"/>
      <c r="AI952" s="232"/>
      <c r="AJ952" s="232"/>
      <c r="AK952" s="232"/>
      <c r="AL952" s="232"/>
      <c r="AM952" s="232"/>
      <c r="AN952" s="232"/>
      <c r="AO952" s="231"/>
      <c r="AP952" s="231"/>
      <c r="AQ952" s="227"/>
      <c r="AR952" s="231"/>
      <c r="AS952" s="227"/>
      <c r="AT952" s="227"/>
      <c r="AU952" s="227"/>
      <c r="AV952" s="227"/>
    </row>
    <row r="953">
      <c r="A953" s="227"/>
      <c r="B953" s="232"/>
      <c r="C953" s="227"/>
      <c r="D953" s="227"/>
      <c r="E953" s="231"/>
      <c r="F953" s="232"/>
      <c r="G953" s="227"/>
      <c r="H953" s="227"/>
      <c r="I953" s="227"/>
      <c r="J953" s="227"/>
      <c r="K953" s="227"/>
      <c r="L953" s="232"/>
      <c r="M953" s="232"/>
      <c r="N953" s="227"/>
      <c r="O953" s="227"/>
      <c r="P953" s="231"/>
      <c r="Q953" s="227"/>
      <c r="R953" s="231"/>
      <c r="S953" s="231"/>
      <c r="T953" s="231"/>
      <c r="U953" s="231"/>
      <c r="V953" s="231"/>
      <c r="W953" s="231"/>
      <c r="X953" s="227"/>
      <c r="Y953" s="232"/>
      <c r="Z953" s="232"/>
      <c r="AA953" s="232"/>
      <c r="AB953" s="232"/>
      <c r="AC953" s="227"/>
      <c r="AD953" s="227"/>
      <c r="AE953" s="231"/>
      <c r="AF953" s="227"/>
      <c r="AG953" s="232"/>
      <c r="AH953" s="232"/>
      <c r="AI953" s="232"/>
      <c r="AJ953" s="232"/>
      <c r="AK953" s="232"/>
      <c r="AL953" s="232"/>
      <c r="AM953" s="232"/>
      <c r="AN953" s="232"/>
      <c r="AO953" s="231"/>
      <c r="AP953" s="231"/>
      <c r="AQ953" s="227"/>
      <c r="AR953" s="231"/>
      <c r="AS953" s="227"/>
      <c r="AT953" s="227"/>
      <c r="AU953" s="227"/>
      <c r="AV953" s="227"/>
    </row>
    <row r="954">
      <c r="A954" s="227"/>
      <c r="B954" s="232"/>
      <c r="C954" s="227"/>
      <c r="D954" s="227"/>
      <c r="E954" s="231"/>
      <c r="F954" s="232"/>
      <c r="G954" s="227"/>
      <c r="H954" s="227"/>
      <c r="I954" s="227"/>
      <c r="J954" s="227"/>
      <c r="K954" s="227"/>
      <c r="L954" s="232"/>
      <c r="M954" s="232"/>
      <c r="N954" s="227"/>
      <c r="O954" s="227"/>
      <c r="P954" s="231"/>
      <c r="Q954" s="227"/>
      <c r="R954" s="231"/>
      <c r="S954" s="231"/>
      <c r="T954" s="231"/>
      <c r="U954" s="231"/>
      <c r="V954" s="231"/>
      <c r="W954" s="231"/>
      <c r="X954" s="227"/>
      <c r="Y954" s="232"/>
      <c r="Z954" s="232"/>
      <c r="AA954" s="232"/>
      <c r="AB954" s="232"/>
      <c r="AC954" s="227"/>
      <c r="AD954" s="227"/>
      <c r="AE954" s="231"/>
      <c r="AF954" s="227"/>
      <c r="AG954" s="232"/>
      <c r="AH954" s="232"/>
      <c r="AI954" s="232"/>
      <c r="AJ954" s="232"/>
      <c r="AK954" s="232"/>
      <c r="AL954" s="232"/>
      <c r="AM954" s="232"/>
      <c r="AN954" s="232"/>
      <c r="AO954" s="231"/>
      <c r="AP954" s="231"/>
      <c r="AQ954" s="227"/>
      <c r="AR954" s="231"/>
      <c r="AS954" s="227"/>
      <c r="AT954" s="227"/>
      <c r="AU954" s="227"/>
      <c r="AV954" s="227"/>
    </row>
    <row r="955">
      <c r="A955" s="227"/>
      <c r="B955" s="232"/>
      <c r="C955" s="227"/>
      <c r="D955" s="227"/>
      <c r="E955" s="231"/>
      <c r="F955" s="232"/>
      <c r="G955" s="227"/>
      <c r="H955" s="227"/>
      <c r="I955" s="227"/>
      <c r="J955" s="227"/>
      <c r="K955" s="227"/>
      <c r="L955" s="232"/>
      <c r="M955" s="232"/>
      <c r="N955" s="227"/>
      <c r="O955" s="227"/>
      <c r="P955" s="231"/>
      <c r="Q955" s="227"/>
      <c r="R955" s="231"/>
      <c r="S955" s="231"/>
      <c r="T955" s="231"/>
      <c r="U955" s="231"/>
      <c r="V955" s="231"/>
      <c r="W955" s="231"/>
      <c r="X955" s="227"/>
      <c r="Y955" s="232"/>
      <c r="Z955" s="232"/>
      <c r="AA955" s="232"/>
      <c r="AB955" s="232"/>
      <c r="AC955" s="227"/>
      <c r="AD955" s="227"/>
      <c r="AE955" s="231"/>
      <c r="AF955" s="227"/>
      <c r="AG955" s="232"/>
      <c r="AH955" s="232"/>
      <c r="AI955" s="232"/>
      <c r="AJ955" s="232"/>
      <c r="AK955" s="232"/>
      <c r="AL955" s="232"/>
      <c r="AM955" s="232"/>
      <c r="AN955" s="232"/>
      <c r="AO955" s="231"/>
      <c r="AP955" s="231"/>
      <c r="AQ955" s="227"/>
      <c r="AR955" s="231"/>
      <c r="AS955" s="227"/>
      <c r="AT955" s="227"/>
      <c r="AU955" s="227"/>
      <c r="AV955" s="227"/>
    </row>
    <row r="956">
      <c r="A956" s="227"/>
      <c r="B956" s="232"/>
      <c r="C956" s="227"/>
      <c r="D956" s="227"/>
      <c r="E956" s="231"/>
      <c r="F956" s="232"/>
      <c r="G956" s="227"/>
      <c r="H956" s="227"/>
      <c r="I956" s="227"/>
      <c r="J956" s="227"/>
      <c r="K956" s="227"/>
      <c r="L956" s="232"/>
      <c r="M956" s="232"/>
      <c r="N956" s="227"/>
      <c r="O956" s="227"/>
      <c r="P956" s="231"/>
      <c r="Q956" s="227"/>
      <c r="R956" s="231"/>
      <c r="S956" s="231"/>
      <c r="T956" s="231"/>
      <c r="U956" s="231"/>
      <c r="V956" s="231"/>
      <c r="W956" s="231"/>
      <c r="X956" s="227"/>
      <c r="Y956" s="232"/>
      <c r="Z956" s="232"/>
      <c r="AA956" s="232"/>
      <c r="AB956" s="232"/>
      <c r="AC956" s="227"/>
      <c r="AD956" s="227"/>
      <c r="AE956" s="231"/>
      <c r="AF956" s="227"/>
      <c r="AG956" s="232"/>
      <c r="AH956" s="232"/>
      <c r="AI956" s="232"/>
      <c r="AJ956" s="232"/>
      <c r="AK956" s="232"/>
      <c r="AL956" s="232"/>
      <c r="AM956" s="232"/>
      <c r="AN956" s="232"/>
      <c r="AO956" s="231"/>
      <c r="AP956" s="231"/>
      <c r="AQ956" s="227"/>
      <c r="AR956" s="231"/>
      <c r="AS956" s="227"/>
      <c r="AT956" s="227"/>
      <c r="AU956" s="227"/>
      <c r="AV956" s="227"/>
    </row>
    <row r="957">
      <c r="A957" s="227"/>
      <c r="B957" s="232"/>
      <c r="C957" s="227"/>
      <c r="D957" s="227"/>
      <c r="E957" s="231"/>
      <c r="F957" s="232"/>
      <c r="G957" s="227"/>
      <c r="H957" s="227"/>
      <c r="I957" s="227"/>
      <c r="J957" s="227"/>
      <c r="K957" s="227"/>
      <c r="L957" s="232"/>
      <c r="M957" s="232"/>
      <c r="N957" s="227"/>
      <c r="O957" s="227"/>
      <c r="P957" s="231"/>
      <c r="Q957" s="227"/>
      <c r="R957" s="231"/>
      <c r="S957" s="231"/>
      <c r="T957" s="231"/>
      <c r="U957" s="231"/>
      <c r="V957" s="231"/>
      <c r="W957" s="231"/>
      <c r="X957" s="227"/>
      <c r="Y957" s="232"/>
      <c r="Z957" s="232"/>
      <c r="AA957" s="232"/>
      <c r="AB957" s="232"/>
      <c r="AC957" s="227"/>
      <c r="AD957" s="227"/>
      <c r="AE957" s="231"/>
      <c r="AF957" s="227"/>
      <c r="AG957" s="232"/>
      <c r="AH957" s="232"/>
      <c r="AI957" s="232"/>
      <c r="AJ957" s="232"/>
      <c r="AK957" s="232"/>
      <c r="AL957" s="232"/>
      <c r="AM957" s="232"/>
      <c r="AN957" s="232"/>
      <c r="AO957" s="231"/>
      <c r="AP957" s="231"/>
      <c r="AQ957" s="227"/>
      <c r="AR957" s="231"/>
      <c r="AS957" s="227"/>
      <c r="AT957" s="227"/>
      <c r="AU957" s="227"/>
      <c r="AV957" s="227"/>
    </row>
    <row r="958">
      <c r="A958" s="227"/>
      <c r="B958" s="232"/>
      <c r="C958" s="227"/>
      <c r="D958" s="227"/>
      <c r="E958" s="231"/>
      <c r="F958" s="232"/>
      <c r="G958" s="227"/>
      <c r="H958" s="227"/>
      <c r="I958" s="227"/>
      <c r="J958" s="227"/>
      <c r="K958" s="227"/>
      <c r="L958" s="232"/>
      <c r="M958" s="232"/>
      <c r="N958" s="227"/>
      <c r="O958" s="227"/>
      <c r="P958" s="231"/>
      <c r="Q958" s="227"/>
      <c r="R958" s="231"/>
      <c r="S958" s="231"/>
      <c r="T958" s="231"/>
      <c r="U958" s="231"/>
      <c r="V958" s="231"/>
      <c r="W958" s="231"/>
      <c r="X958" s="227"/>
      <c r="Y958" s="232"/>
      <c r="Z958" s="232"/>
      <c r="AA958" s="232"/>
      <c r="AB958" s="232"/>
      <c r="AC958" s="227"/>
      <c r="AD958" s="227"/>
      <c r="AE958" s="231"/>
      <c r="AF958" s="227"/>
      <c r="AG958" s="232"/>
      <c r="AH958" s="232"/>
      <c r="AI958" s="232"/>
      <c r="AJ958" s="232"/>
      <c r="AK958" s="232"/>
      <c r="AL958" s="232"/>
      <c r="AM958" s="232"/>
      <c r="AN958" s="232"/>
      <c r="AO958" s="231"/>
      <c r="AP958" s="231"/>
      <c r="AQ958" s="227"/>
      <c r="AR958" s="231"/>
      <c r="AS958" s="227"/>
      <c r="AT958" s="227"/>
      <c r="AU958" s="227"/>
      <c r="AV958" s="227"/>
    </row>
    <row r="959">
      <c r="A959" s="227"/>
      <c r="B959" s="232"/>
      <c r="C959" s="227"/>
      <c r="D959" s="227"/>
      <c r="E959" s="231"/>
      <c r="F959" s="232"/>
      <c r="G959" s="227"/>
      <c r="H959" s="227"/>
      <c r="I959" s="227"/>
      <c r="J959" s="227"/>
      <c r="K959" s="227"/>
      <c r="L959" s="232"/>
      <c r="M959" s="232"/>
      <c r="N959" s="227"/>
      <c r="O959" s="227"/>
      <c r="P959" s="231"/>
      <c r="Q959" s="227"/>
      <c r="R959" s="231"/>
      <c r="S959" s="231"/>
      <c r="T959" s="231"/>
      <c r="U959" s="231"/>
      <c r="V959" s="231"/>
      <c r="W959" s="231"/>
      <c r="X959" s="227"/>
      <c r="Y959" s="232"/>
      <c r="Z959" s="232"/>
      <c r="AA959" s="232"/>
      <c r="AB959" s="232"/>
      <c r="AC959" s="227"/>
      <c r="AD959" s="227"/>
      <c r="AE959" s="231"/>
      <c r="AF959" s="227"/>
      <c r="AG959" s="232"/>
      <c r="AH959" s="232"/>
      <c r="AI959" s="232"/>
      <c r="AJ959" s="232"/>
      <c r="AK959" s="232"/>
      <c r="AL959" s="232"/>
      <c r="AM959" s="232"/>
      <c r="AN959" s="232"/>
      <c r="AO959" s="231"/>
      <c r="AP959" s="231"/>
      <c r="AQ959" s="227"/>
      <c r="AR959" s="231"/>
      <c r="AS959" s="227"/>
      <c r="AT959" s="227"/>
      <c r="AU959" s="227"/>
      <c r="AV959" s="227"/>
    </row>
    <row r="960">
      <c r="A960" s="227"/>
      <c r="B960" s="232"/>
      <c r="C960" s="227"/>
      <c r="D960" s="227"/>
      <c r="E960" s="231"/>
      <c r="F960" s="232"/>
      <c r="G960" s="227"/>
      <c r="H960" s="227"/>
      <c r="I960" s="227"/>
      <c r="J960" s="227"/>
      <c r="K960" s="227"/>
      <c r="L960" s="232"/>
      <c r="M960" s="232"/>
      <c r="N960" s="227"/>
      <c r="O960" s="227"/>
      <c r="P960" s="231"/>
      <c r="Q960" s="227"/>
      <c r="R960" s="231"/>
      <c r="S960" s="231"/>
      <c r="T960" s="231"/>
      <c r="U960" s="231"/>
      <c r="V960" s="231"/>
      <c r="W960" s="231"/>
      <c r="X960" s="227"/>
      <c r="Y960" s="232"/>
      <c r="Z960" s="232"/>
      <c r="AA960" s="232"/>
      <c r="AB960" s="232"/>
      <c r="AC960" s="227"/>
      <c r="AD960" s="227"/>
      <c r="AE960" s="231"/>
      <c r="AF960" s="227"/>
      <c r="AG960" s="232"/>
      <c r="AH960" s="232"/>
      <c r="AI960" s="232"/>
      <c r="AJ960" s="232"/>
      <c r="AK960" s="232"/>
      <c r="AL960" s="232"/>
      <c r="AM960" s="232"/>
      <c r="AN960" s="232"/>
      <c r="AO960" s="231"/>
      <c r="AP960" s="231"/>
      <c r="AQ960" s="227"/>
      <c r="AR960" s="231"/>
      <c r="AS960" s="227"/>
      <c r="AT960" s="227"/>
      <c r="AU960" s="227"/>
      <c r="AV960" s="227"/>
    </row>
    <row r="961">
      <c r="A961" s="227"/>
      <c r="B961" s="232"/>
      <c r="C961" s="227"/>
      <c r="D961" s="227"/>
      <c r="E961" s="231"/>
      <c r="F961" s="232"/>
      <c r="G961" s="227"/>
      <c r="H961" s="227"/>
      <c r="I961" s="227"/>
      <c r="J961" s="227"/>
      <c r="K961" s="227"/>
      <c r="L961" s="232"/>
      <c r="M961" s="232"/>
      <c r="N961" s="227"/>
      <c r="O961" s="227"/>
      <c r="P961" s="231"/>
      <c r="Q961" s="227"/>
      <c r="R961" s="231"/>
      <c r="S961" s="231"/>
      <c r="T961" s="231"/>
      <c r="U961" s="231"/>
      <c r="V961" s="231"/>
      <c r="W961" s="231"/>
      <c r="X961" s="227"/>
      <c r="Y961" s="232"/>
      <c r="Z961" s="232"/>
      <c r="AA961" s="232"/>
      <c r="AB961" s="232"/>
      <c r="AC961" s="227"/>
      <c r="AD961" s="227"/>
      <c r="AE961" s="231"/>
      <c r="AF961" s="227"/>
      <c r="AG961" s="232"/>
      <c r="AH961" s="232"/>
      <c r="AI961" s="232"/>
      <c r="AJ961" s="232"/>
      <c r="AK961" s="232"/>
      <c r="AL961" s="232"/>
      <c r="AM961" s="232"/>
      <c r="AN961" s="232"/>
      <c r="AO961" s="231"/>
      <c r="AP961" s="231"/>
      <c r="AQ961" s="227"/>
      <c r="AR961" s="231"/>
      <c r="AS961" s="227"/>
      <c r="AT961" s="227"/>
      <c r="AU961" s="227"/>
      <c r="AV961" s="227"/>
    </row>
    <row r="962">
      <c r="A962" s="227"/>
      <c r="B962" s="232"/>
      <c r="C962" s="227"/>
      <c r="D962" s="227"/>
      <c r="E962" s="231"/>
      <c r="F962" s="232"/>
      <c r="G962" s="227"/>
      <c r="H962" s="227"/>
      <c r="I962" s="227"/>
      <c r="J962" s="227"/>
      <c r="K962" s="227"/>
      <c r="L962" s="232"/>
      <c r="M962" s="232"/>
      <c r="N962" s="227"/>
      <c r="O962" s="227"/>
      <c r="P962" s="231"/>
      <c r="Q962" s="227"/>
      <c r="R962" s="231"/>
      <c r="S962" s="231"/>
      <c r="T962" s="231"/>
      <c r="U962" s="231"/>
      <c r="V962" s="231"/>
      <c r="W962" s="231"/>
      <c r="X962" s="227"/>
      <c r="Y962" s="232"/>
      <c r="Z962" s="232"/>
      <c r="AA962" s="232"/>
      <c r="AB962" s="232"/>
      <c r="AC962" s="227"/>
      <c r="AD962" s="227"/>
      <c r="AE962" s="231"/>
      <c r="AF962" s="227"/>
      <c r="AG962" s="232"/>
      <c r="AH962" s="232"/>
      <c r="AI962" s="232"/>
      <c r="AJ962" s="232"/>
      <c r="AK962" s="232"/>
      <c r="AL962" s="232"/>
      <c r="AM962" s="232"/>
      <c r="AN962" s="232"/>
      <c r="AO962" s="231"/>
      <c r="AP962" s="231"/>
      <c r="AQ962" s="227"/>
      <c r="AR962" s="231"/>
      <c r="AS962" s="227"/>
      <c r="AT962" s="227"/>
      <c r="AU962" s="227"/>
      <c r="AV962" s="227"/>
    </row>
    <row r="963">
      <c r="A963" s="227"/>
      <c r="B963" s="232"/>
      <c r="C963" s="227"/>
      <c r="D963" s="227"/>
      <c r="E963" s="231"/>
      <c r="F963" s="232"/>
      <c r="G963" s="227"/>
      <c r="H963" s="227"/>
      <c r="I963" s="227"/>
      <c r="J963" s="227"/>
      <c r="K963" s="227"/>
      <c r="L963" s="232"/>
      <c r="M963" s="232"/>
      <c r="N963" s="227"/>
      <c r="O963" s="227"/>
      <c r="P963" s="231"/>
      <c r="Q963" s="227"/>
      <c r="R963" s="231"/>
      <c r="S963" s="231"/>
      <c r="T963" s="231"/>
      <c r="U963" s="231"/>
      <c r="V963" s="231"/>
      <c r="W963" s="231"/>
      <c r="X963" s="227"/>
      <c r="Y963" s="232"/>
      <c r="Z963" s="232"/>
      <c r="AA963" s="232"/>
      <c r="AB963" s="232"/>
      <c r="AC963" s="227"/>
      <c r="AD963" s="227"/>
      <c r="AE963" s="231"/>
      <c r="AF963" s="227"/>
      <c r="AG963" s="232"/>
      <c r="AH963" s="232"/>
      <c r="AI963" s="232"/>
      <c r="AJ963" s="232"/>
      <c r="AK963" s="232"/>
      <c r="AL963" s="232"/>
      <c r="AM963" s="232"/>
      <c r="AN963" s="232"/>
      <c r="AO963" s="231"/>
      <c r="AP963" s="231"/>
      <c r="AQ963" s="227"/>
      <c r="AR963" s="231"/>
      <c r="AS963" s="227"/>
      <c r="AT963" s="227"/>
      <c r="AU963" s="227"/>
      <c r="AV963" s="227"/>
    </row>
    <row r="964">
      <c r="A964" s="227"/>
      <c r="B964" s="232"/>
      <c r="C964" s="227"/>
      <c r="D964" s="227"/>
      <c r="E964" s="231"/>
      <c r="F964" s="232"/>
      <c r="G964" s="227"/>
      <c r="H964" s="227"/>
      <c r="I964" s="227"/>
      <c r="J964" s="227"/>
      <c r="K964" s="227"/>
      <c r="L964" s="232"/>
      <c r="M964" s="232"/>
      <c r="N964" s="227"/>
      <c r="O964" s="227"/>
      <c r="P964" s="231"/>
      <c r="Q964" s="227"/>
      <c r="R964" s="231"/>
      <c r="S964" s="231"/>
      <c r="T964" s="231"/>
      <c r="U964" s="231"/>
      <c r="V964" s="231"/>
      <c r="W964" s="231"/>
      <c r="X964" s="227"/>
      <c r="Y964" s="232"/>
      <c r="Z964" s="232"/>
      <c r="AA964" s="232"/>
      <c r="AB964" s="232"/>
      <c r="AC964" s="227"/>
      <c r="AD964" s="227"/>
      <c r="AE964" s="231"/>
      <c r="AF964" s="227"/>
      <c r="AG964" s="232"/>
      <c r="AH964" s="232"/>
      <c r="AI964" s="232"/>
      <c r="AJ964" s="232"/>
      <c r="AK964" s="232"/>
      <c r="AL964" s="232"/>
      <c r="AM964" s="232"/>
      <c r="AN964" s="232"/>
      <c r="AO964" s="231"/>
      <c r="AP964" s="231"/>
      <c r="AQ964" s="227"/>
      <c r="AR964" s="231"/>
      <c r="AS964" s="227"/>
      <c r="AT964" s="227"/>
      <c r="AU964" s="227"/>
      <c r="AV964" s="227"/>
    </row>
    <row r="965">
      <c r="A965" s="227"/>
      <c r="B965" s="232"/>
      <c r="C965" s="227"/>
      <c r="D965" s="227"/>
      <c r="E965" s="231"/>
      <c r="F965" s="232"/>
      <c r="G965" s="227"/>
      <c r="H965" s="227"/>
      <c r="I965" s="227"/>
      <c r="J965" s="227"/>
      <c r="K965" s="227"/>
      <c r="L965" s="232"/>
      <c r="M965" s="232"/>
      <c r="N965" s="227"/>
      <c r="O965" s="227"/>
      <c r="P965" s="231"/>
      <c r="Q965" s="227"/>
      <c r="R965" s="231"/>
      <c r="S965" s="231"/>
      <c r="T965" s="231"/>
      <c r="U965" s="231"/>
      <c r="V965" s="231"/>
      <c r="W965" s="231"/>
      <c r="X965" s="227"/>
      <c r="Y965" s="232"/>
      <c r="Z965" s="232"/>
      <c r="AA965" s="232"/>
      <c r="AB965" s="232"/>
      <c r="AC965" s="227"/>
      <c r="AD965" s="227"/>
      <c r="AE965" s="231"/>
      <c r="AF965" s="227"/>
      <c r="AG965" s="232"/>
      <c r="AH965" s="232"/>
      <c r="AI965" s="232"/>
      <c r="AJ965" s="232"/>
      <c r="AK965" s="232"/>
      <c r="AL965" s="232"/>
      <c r="AM965" s="232"/>
      <c r="AN965" s="232"/>
      <c r="AO965" s="231"/>
      <c r="AP965" s="231"/>
      <c r="AQ965" s="227"/>
      <c r="AR965" s="231"/>
      <c r="AS965" s="227"/>
      <c r="AT965" s="227"/>
      <c r="AU965" s="227"/>
      <c r="AV965" s="227"/>
    </row>
    <row r="966">
      <c r="A966" s="227"/>
      <c r="B966" s="232"/>
      <c r="C966" s="227"/>
      <c r="D966" s="227"/>
      <c r="E966" s="231"/>
      <c r="F966" s="232"/>
      <c r="G966" s="227"/>
      <c r="H966" s="227"/>
      <c r="I966" s="227"/>
      <c r="J966" s="227"/>
      <c r="K966" s="227"/>
      <c r="L966" s="232"/>
      <c r="M966" s="232"/>
      <c r="N966" s="227"/>
      <c r="O966" s="227"/>
      <c r="P966" s="231"/>
      <c r="Q966" s="227"/>
      <c r="R966" s="231"/>
      <c r="S966" s="231"/>
      <c r="T966" s="231"/>
      <c r="U966" s="231"/>
      <c r="V966" s="231"/>
      <c r="W966" s="231"/>
      <c r="X966" s="227"/>
      <c r="Y966" s="232"/>
      <c r="Z966" s="232"/>
      <c r="AA966" s="232"/>
      <c r="AB966" s="232"/>
      <c r="AC966" s="227"/>
      <c r="AD966" s="227"/>
      <c r="AE966" s="231"/>
      <c r="AF966" s="227"/>
      <c r="AG966" s="232"/>
      <c r="AH966" s="232"/>
      <c r="AI966" s="232"/>
      <c r="AJ966" s="232"/>
      <c r="AK966" s="232"/>
      <c r="AL966" s="232"/>
      <c r="AM966" s="232"/>
      <c r="AN966" s="232"/>
      <c r="AO966" s="231"/>
      <c r="AP966" s="231"/>
      <c r="AQ966" s="227"/>
      <c r="AR966" s="231"/>
      <c r="AS966" s="227"/>
      <c r="AT966" s="227"/>
      <c r="AU966" s="227"/>
      <c r="AV966" s="227"/>
    </row>
    <row r="967">
      <c r="A967" s="227"/>
      <c r="B967" s="232"/>
      <c r="C967" s="227"/>
      <c r="D967" s="227"/>
      <c r="E967" s="231"/>
      <c r="F967" s="232"/>
      <c r="G967" s="227"/>
      <c r="H967" s="227"/>
      <c r="I967" s="227"/>
      <c r="J967" s="227"/>
      <c r="K967" s="227"/>
      <c r="L967" s="232"/>
      <c r="M967" s="232"/>
      <c r="N967" s="227"/>
      <c r="O967" s="227"/>
      <c r="P967" s="231"/>
      <c r="Q967" s="227"/>
      <c r="R967" s="231"/>
      <c r="S967" s="231"/>
      <c r="T967" s="231"/>
      <c r="U967" s="231"/>
      <c r="V967" s="231"/>
      <c r="W967" s="231"/>
      <c r="X967" s="227"/>
      <c r="Y967" s="232"/>
      <c r="Z967" s="232"/>
      <c r="AA967" s="232"/>
      <c r="AB967" s="232"/>
      <c r="AC967" s="227"/>
      <c r="AD967" s="227"/>
      <c r="AE967" s="231"/>
      <c r="AF967" s="227"/>
      <c r="AG967" s="232"/>
      <c r="AH967" s="232"/>
      <c r="AI967" s="232"/>
      <c r="AJ967" s="232"/>
      <c r="AK967" s="232"/>
      <c r="AL967" s="232"/>
      <c r="AM967" s="232"/>
      <c r="AN967" s="232"/>
      <c r="AO967" s="231"/>
      <c r="AP967" s="231"/>
      <c r="AQ967" s="227"/>
      <c r="AR967" s="231"/>
      <c r="AS967" s="227"/>
      <c r="AT967" s="227"/>
      <c r="AU967" s="227"/>
      <c r="AV967" s="227"/>
    </row>
    <row r="968">
      <c r="A968" s="227"/>
      <c r="B968" s="232"/>
      <c r="C968" s="227"/>
      <c r="D968" s="227"/>
      <c r="E968" s="231"/>
      <c r="F968" s="232"/>
      <c r="G968" s="227"/>
      <c r="H968" s="227"/>
      <c r="I968" s="227"/>
      <c r="J968" s="227"/>
      <c r="K968" s="227"/>
      <c r="L968" s="232"/>
      <c r="M968" s="232"/>
      <c r="N968" s="227"/>
      <c r="O968" s="227"/>
      <c r="P968" s="231"/>
      <c r="Q968" s="227"/>
      <c r="R968" s="231"/>
      <c r="S968" s="231"/>
      <c r="T968" s="231"/>
      <c r="U968" s="231"/>
      <c r="V968" s="231"/>
      <c r="W968" s="231"/>
      <c r="X968" s="227"/>
      <c r="Y968" s="232"/>
      <c r="Z968" s="232"/>
      <c r="AA968" s="232"/>
      <c r="AB968" s="232"/>
      <c r="AC968" s="227"/>
      <c r="AD968" s="227"/>
      <c r="AE968" s="231"/>
      <c r="AF968" s="227"/>
      <c r="AG968" s="232"/>
      <c r="AH968" s="232"/>
      <c r="AI968" s="232"/>
      <c r="AJ968" s="232"/>
      <c r="AK968" s="232"/>
      <c r="AL968" s="232"/>
      <c r="AM968" s="232"/>
      <c r="AN968" s="232"/>
      <c r="AO968" s="231"/>
      <c r="AP968" s="231"/>
      <c r="AQ968" s="227"/>
      <c r="AR968" s="231"/>
      <c r="AS968" s="227"/>
      <c r="AT968" s="227"/>
      <c r="AU968" s="227"/>
      <c r="AV968" s="227"/>
    </row>
    <row r="969">
      <c r="A969" s="227"/>
      <c r="B969" s="232"/>
      <c r="C969" s="227"/>
      <c r="D969" s="227"/>
      <c r="E969" s="231"/>
      <c r="F969" s="232"/>
      <c r="G969" s="227"/>
      <c r="H969" s="227"/>
      <c r="I969" s="227"/>
      <c r="J969" s="227"/>
      <c r="K969" s="227"/>
      <c r="L969" s="232"/>
      <c r="M969" s="232"/>
      <c r="N969" s="227"/>
      <c r="O969" s="227"/>
      <c r="P969" s="231"/>
      <c r="Q969" s="227"/>
      <c r="R969" s="231"/>
      <c r="S969" s="231"/>
      <c r="T969" s="231"/>
      <c r="U969" s="231"/>
      <c r="V969" s="231"/>
      <c r="W969" s="231"/>
      <c r="X969" s="227"/>
      <c r="Y969" s="232"/>
      <c r="Z969" s="232"/>
      <c r="AA969" s="232"/>
      <c r="AB969" s="232"/>
      <c r="AC969" s="227"/>
      <c r="AD969" s="227"/>
      <c r="AE969" s="231"/>
      <c r="AF969" s="227"/>
      <c r="AG969" s="232"/>
      <c r="AH969" s="232"/>
      <c r="AI969" s="232"/>
      <c r="AJ969" s="232"/>
      <c r="AK969" s="232"/>
      <c r="AL969" s="232"/>
      <c r="AM969" s="232"/>
      <c r="AN969" s="232"/>
      <c r="AO969" s="231"/>
      <c r="AP969" s="231"/>
      <c r="AQ969" s="227"/>
      <c r="AR969" s="231"/>
      <c r="AS969" s="227"/>
      <c r="AT969" s="227"/>
      <c r="AU969" s="227"/>
      <c r="AV969" s="227"/>
    </row>
    <row r="970">
      <c r="A970" s="227"/>
      <c r="B970" s="232"/>
      <c r="C970" s="227"/>
      <c r="D970" s="227"/>
      <c r="E970" s="231"/>
      <c r="F970" s="232"/>
      <c r="G970" s="227"/>
      <c r="H970" s="227"/>
      <c r="I970" s="227"/>
      <c r="J970" s="227"/>
      <c r="K970" s="227"/>
      <c r="L970" s="232"/>
      <c r="M970" s="232"/>
      <c r="N970" s="227"/>
      <c r="O970" s="227"/>
      <c r="P970" s="231"/>
      <c r="Q970" s="227"/>
      <c r="R970" s="231"/>
      <c r="S970" s="231"/>
      <c r="T970" s="231"/>
      <c r="U970" s="231"/>
      <c r="V970" s="231"/>
      <c r="W970" s="231"/>
      <c r="X970" s="227"/>
      <c r="Y970" s="232"/>
      <c r="Z970" s="232"/>
      <c r="AA970" s="232"/>
      <c r="AB970" s="232"/>
      <c r="AC970" s="227"/>
      <c r="AD970" s="227"/>
      <c r="AE970" s="231"/>
      <c r="AF970" s="227"/>
      <c r="AG970" s="232"/>
      <c r="AH970" s="232"/>
      <c r="AI970" s="232"/>
      <c r="AJ970" s="232"/>
      <c r="AK970" s="232"/>
      <c r="AL970" s="232"/>
      <c r="AM970" s="232"/>
      <c r="AN970" s="232"/>
      <c r="AO970" s="231"/>
      <c r="AP970" s="231"/>
      <c r="AQ970" s="227"/>
      <c r="AR970" s="231"/>
      <c r="AS970" s="227"/>
      <c r="AT970" s="227"/>
      <c r="AU970" s="227"/>
      <c r="AV970" s="227"/>
    </row>
    <row r="971">
      <c r="A971" s="227"/>
      <c r="B971" s="232"/>
      <c r="C971" s="227"/>
      <c r="D971" s="227"/>
      <c r="E971" s="231"/>
      <c r="F971" s="232"/>
      <c r="G971" s="227"/>
      <c r="H971" s="227"/>
      <c r="I971" s="227"/>
      <c r="J971" s="227"/>
      <c r="K971" s="227"/>
      <c r="L971" s="232"/>
      <c r="M971" s="232"/>
      <c r="N971" s="227"/>
      <c r="O971" s="227"/>
      <c r="P971" s="231"/>
      <c r="Q971" s="227"/>
      <c r="R971" s="231"/>
      <c r="S971" s="231"/>
      <c r="T971" s="231"/>
      <c r="U971" s="231"/>
      <c r="V971" s="231"/>
      <c r="W971" s="231"/>
      <c r="X971" s="227"/>
      <c r="Y971" s="232"/>
      <c r="Z971" s="232"/>
      <c r="AA971" s="232"/>
      <c r="AB971" s="232"/>
      <c r="AC971" s="227"/>
      <c r="AD971" s="227"/>
      <c r="AE971" s="231"/>
      <c r="AF971" s="227"/>
      <c r="AG971" s="232"/>
      <c r="AH971" s="232"/>
      <c r="AI971" s="232"/>
      <c r="AJ971" s="232"/>
      <c r="AK971" s="232"/>
      <c r="AL971" s="232"/>
      <c r="AM971" s="232"/>
      <c r="AN971" s="232"/>
      <c r="AO971" s="231"/>
      <c r="AP971" s="231"/>
      <c r="AQ971" s="227"/>
      <c r="AR971" s="231"/>
      <c r="AS971" s="227"/>
      <c r="AT971" s="227"/>
      <c r="AU971" s="227"/>
      <c r="AV971" s="227"/>
    </row>
    <row r="972">
      <c r="A972" s="227"/>
      <c r="B972" s="232"/>
      <c r="C972" s="227"/>
      <c r="D972" s="227"/>
      <c r="E972" s="231"/>
      <c r="F972" s="232"/>
      <c r="G972" s="227"/>
      <c r="H972" s="227"/>
      <c r="I972" s="227"/>
      <c r="J972" s="227"/>
      <c r="K972" s="227"/>
      <c r="L972" s="232"/>
      <c r="M972" s="232"/>
      <c r="N972" s="227"/>
      <c r="O972" s="227"/>
      <c r="P972" s="231"/>
      <c r="Q972" s="227"/>
      <c r="R972" s="231"/>
      <c r="S972" s="231"/>
      <c r="T972" s="231"/>
      <c r="U972" s="231"/>
      <c r="V972" s="231"/>
      <c r="W972" s="231"/>
      <c r="X972" s="227"/>
      <c r="Y972" s="232"/>
      <c r="Z972" s="232"/>
      <c r="AA972" s="232"/>
      <c r="AB972" s="232"/>
      <c r="AC972" s="227"/>
      <c r="AD972" s="227"/>
      <c r="AE972" s="231"/>
      <c r="AF972" s="227"/>
      <c r="AG972" s="232"/>
      <c r="AH972" s="232"/>
      <c r="AI972" s="232"/>
      <c r="AJ972" s="232"/>
      <c r="AK972" s="232"/>
      <c r="AL972" s="232"/>
      <c r="AM972" s="232"/>
      <c r="AN972" s="232"/>
      <c r="AO972" s="231"/>
      <c r="AP972" s="231"/>
      <c r="AQ972" s="227"/>
      <c r="AR972" s="231"/>
      <c r="AS972" s="227"/>
      <c r="AT972" s="227"/>
      <c r="AU972" s="227"/>
      <c r="AV972" s="227"/>
    </row>
    <row r="973">
      <c r="A973" s="227"/>
      <c r="B973" s="232"/>
      <c r="C973" s="227"/>
      <c r="D973" s="227"/>
      <c r="E973" s="231"/>
      <c r="F973" s="232"/>
      <c r="G973" s="227"/>
      <c r="H973" s="227"/>
      <c r="I973" s="227"/>
      <c r="J973" s="227"/>
      <c r="K973" s="227"/>
      <c r="L973" s="232"/>
      <c r="M973" s="232"/>
      <c r="N973" s="227"/>
      <c r="O973" s="227"/>
      <c r="P973" s="231"/>
      <c r="Q973" s="227"/>
      <c r="R973" s="231"/>
      <c r="S973" s="231"/>
      <c r="T973" s="231"/>
      <c r="U973" s="231"/>
      <c r="V973" s="231"/>
      <c r="W973" s="231"/>
      <c r="X973" s="227"/>
      <c r="Y973" s="232"/>
      <c r="Z973" s="232"/>
      <c r="AA973" s="232"/>
      <c r="AB973" s="232"/>
      <c r="AC973" s="227"/>
      <c r="AD973" s="227"/>
      <c r="AE973" s="231"/>
      <c r="AF973" s="227"/>
      <c r="AG973" s="232"/>
      <c r="AH973" s="232"/>
      <c r="AI973" s="232"/>
      <c r="AJ973" s="232"/>
      <c r="AK973" s="232"/>
      <c r="AL973" s="232"/>
      <c r="AM973" s="232"/>
      <c r="AN973" s="232"/>
      <c r="AO973" s="231"/>
      <c r="AP973" s="231"/>
      <c r="AQ973" s="227"/>
      <c r="AR973" s="231"/>
      <c r="AS973" s="227"/>
      <c r="AT973" s="227"/>
      <c r="AU973" s="227"/>
      <c r="AV973" s="227"/>
    </row>
    <row r="974">
      <c r="A974" s="227"/>
      <c r="B974" s="232"/>
      <c r="C974" s="227"/>
      <c r="D974" s="227"/>
      <c r="E974" s="231"/>
      <c r="F974" s="232"/>
      <c r="G974" s="227"/>
      <c r="H974" s="227"/>
      <c r="I974" s="227"/>
      <c r="J974" s="227"/>
      <c r="K974" s="227"/>
      <c r="L974" s="232"/>
      <c r="M974" s="232"/>
      <c r="N974" s="227"/>
      <c r="O974" s="227"/>
      <c r="P974" s="231"/>
      <c r="Q974" s="227"/>
      <c r="R974" s="231"/>
      <c r="S974" s="231"/>
      <c r="T974" s="231"/>
      <c r="U974" s="231"/>
      <c r="V974" s="231"/>
      <c r="W974" s="231"/>
      <c r="X974" s="227"/>
      <c r="Y974" s="232"/>
      <c r="Z974" s="232"/>
      <c r="AA974" s="232"/>
      <c r="AB974" s="232"/>
      <c r="AC974" s="227"/>
      <c r="AD974" s="227"/>
      <c r="AE974" s="231"/>
      <c r="AF974" s="227"/>
      <c r="AG974" s="232"/>
      <c r="AH974" s="232"/>
      <c r="AI974" s="232"/>
      <c r="AJ974" s="232"/>
      <c r="AK974" s="232"/>
      <c r="AL974" s="232"/>
      <c r="AM974" s="232"/>
      <c r="AN974" s="232"/>
      <c r="AO974" s="231"/>
      <c r="AP974" s="231"/>
      <c r="AQ974" s="227"/>
      <c r="AR974" s="231"/>
      <c r="AS974" s="227"/>
      <c r="AT974" s="227"/>
      <c r="AU974" s="227"/>
      <c r="AV974" s="227"/>
    </row>
    <row r="975">
      <c r="A975" s="227"/>
      <c r="B975" s="232"/>
      <c r="C975" s="227"/>
      <c r="D975" s="227"/>
      <c r="E975" s="231"/>
      <c r="F975" s="232"/>
      <c r="G975" s="227"/>
      <c r="H975" s="227"/>
      <c r="I975" s="227"/>
      <c r="J975" s="227"/>
      <c r="K975" s="227"/>
      <c r="L975" s="232"/>
      <c r="M975" s="232"/>
      <c r="N975" s="227"/>
      <c r="O975" s="227"/>
      <c r="P975" s="231"/>
      <c r="Q975" s="227"/>
      <c r="R975" s="231"/>
      <c r="S975" s="231"/>
      <c r="T975" s="231"/>
      <c r="U975" s="231"/>
      <c r="V975" s="231"/>
      <c r="W975" s="231"/>
      <c r="X975" s="227"/>
      <c r="Y975" s="232"/>
      <c r="Z975" s="232"/>
      <c r="AA975" s="232"/>
      <c r="AB975" s="232"/>
      <c r="AC975" s="227"/>
      <c r="AD975" s="227"/>
      <c r="AE975" s="231"/>
      <c r="AF975" s="227"/>
      <c r="AG975" s="232"/>
      <c r="AH975" s="232"/>
      <c r="AI975" s="232"/>
      <c r="AJ975" s="232"/>
      <c r="AK975" s="232"/>
      <c r="AL975" s="232"/>
      <c r="AM975" s="232"/>
      <c r="AN975" s="232"/>
      <c r="AO975" s="231"/>
      <c r="AP975" s="231"/>
      <c r="AQ975" s="227"/>
      <c r="AR975" s="231"/>
      <c r="AS975" s="227"/>
      <c r="AT975" s="227"/>
      <c r="AU975" s="227"/>
      <c r="AV975" s="227"/>
    </row>
    <row r="976">
      <c r="A976" s="227"/>
      <c r="B976" s="232"/>
      <c r="C976" s="227"/>
      <c r="D976" s="227"/>
      <c r="E976" s="231"/>
      <c r="F976" s="232"/>
      <c r="G976" s="227"/>
      <c r="H976" s="227"/>
      <c r="I976" s="227"/>
      <c r="J976" s="227"/>
      <c r="K976" s="227"/>
      <c r="L976" s="232"/>
      <c r="M976" s="232"/>
      <c r="N976" s="227"/>
      <c r="O976" s="227"/>
      <c r="P976" s="231"/>
      <c r="Q976" s="227"/>
      <c r="R976" s="231"/>
      <c r="S976" s="231"/>
      <c r="T976" s="231"/>
      <c r="U976" s="231"/>
      <c r="V976" s="231"/>
      <c r="W976" s="231"/>
      <c r="X976" s="227"/>
      <c r="Y976" s="232"/>
      <c r="Z976" s="232"/>
      <c r="AA976" s="232"/>
      <c r="AB976" s="232"/>
      <c r="AC976" s="227"/>
      <c r="AD976" s="227"/>
      <c r="AE976" s="231"/>
      <c r="AF976" s="227"/>
      <c r="AG976" s="232"/>
      <c r="AH976" s="232"/>
      <c r="AI976" s="232"/>
      <c r="AJ976" s="232"/>
      <c r="AK976" s="232"/>
      <c r="AL976" s="232"/>
      <c r="AM976" s="232"/>
      <c r="AN976" s="232"/>
      <c r="AO976" s="231"/>
      <c r="AP976" s="231"/>
      <c r="AQ976" s="227"/>
      <c r="AR976" s="231"/>
      <c r="AS976" s="227"/>
      <c r="AT976" s="227"/>
      <c r="AU976" s="227"/>
      <c r="AV976" s="227"/>
    </row>
    <row r="977">
      <c r="A977" s="227"/>
      <c r="B977" s="232"/>
      <c r="C977" s="227"/>
      <c r="D977" s="227"/>
      <c r="E977" s="231"/>
      <c r="F977" s="232"/>
      <c r="G977" s="227"/>
      <c r="H977" s="227"/>
      <c r="I977" s="227"/>
      <c r="J977" s="227"/>
      <c r="K977" s="227"/>
      <c r="L977" s="232"/>
      <c r="M977" s="232"/>
      <c r="N977" s="227"/>
      <c r="O977" s="227"/>
      <c r="P977" s="231"/>
      <c r="Q977" s="227"/>
      <c r="R977" s="231"/>
      <c r="S977" s="231"/>
      <c r="T977" s="231"/>
      <c r="U977" s="231"/>
      <c r="V977" s="231"/>
      <c r="W977" s="231"/>
      <c r="X977" s="227"/>
      <c r="Y977" s="232"/>
      <c r="Z977" s="232"/>
      <c r="AA977" s="232"/>
      <c r="AB977" s="232"/>
      <c r="AC977" s="227"/>
      <c r="AD977" s="227"/>
      <c r="AE977" s="231"/>
      <c r="AF977" s="227"/>
      <c r="AG977" s="232"/>
      <c r="AH977" s="232"/>
      <c r="AI977" s="232"/>
      <c r="AJ977" s="232"/>
      <c r="AK977" s="232"/>
      <c r="AL977" s="232"/>
      <c r="AM977" s="232"/>
      <c r="AN977" s="232"/>
      <c r="AO977" s="231"/>
      <c r="AP977" s="231"/>
      <c r="AQ977" s="227"/>
      <c r="AR977" s="231"/>
      <c r="AS977" s="227"/>
      <c r="AT977" s="227"/>
      <c r="AU977" s="227"/>
      <c r="AV977" s="227"/>
    </row>
    <row r="978">
      <c r="A978" s="227"/>
      <c r="B978" s="232"/>
      <c r="C978" s="227"/>
      <c r="D978" s="227"/>
      <c r="E978" s="231"/>
      <c r="F978" s="232"/>
      <c r="G978" s="227"/>
      <c r="H978" s="227"/>
      <c r="I978" s="227"/>
      <c r="J978" s="227"/>
      <c r="K978" s="227"/>
      <c r="L978" s="232"/>
      <c r="M978" s="232"/>
      <c r="N978" s="227"/>
      <c r="O978" s="227"/>
      <c r="P978" s="231"/>
      <c r="Q978" s="227"/>
      <c r="R978" s="231"/>
      <c r="S978" s="231"/>
      <c r="T978" s="231"/>
      <c r="U978" s="231"/>
      <c r="V978" s="231"/>
      <c r="W978" s="231"/>
      <c r="X978" s="227"/>
      <c r="Y978" s="232"/>
      <c r="Z978" s="232"/>
      <c r="AA978" s="232"/>
      <c r="AB978" s="232"/>
      <c r="AC978" s="227"/>
      <c r="AD978" s="227"/>
      <c r="AE978" s="231"/>
      <c r="AF978" s="227"/>
      <c r="AG978" s="232"/>
      <c r="AH978" s="232"/>
      <c r="AI978" s="232"/>
      <c r="AJ978" s="232"/>
      <c r="AK978" s="232"/>
      <c r="AL978" s="232"/>
      <c r="AM978" s="232"/>
      <c r="AN978" s="232"/>
      <c r="AO978" s="231"/>
      <c r="AP978" s="231"/>
      <c r="AQ978" s="227"/>
      <c r="AR978" s="231"/>
      <c r="AS978" s="227"/>
      <c r="AT978" s="227"/>
      <c r="AU978" s="227"/>
      <c r="AV978" s="227"/>
    </row>
    <row r="979">
      <c r="A979" s="227"/>
      <c r="B979" s="232"/>
      <c r="C979" s="227"/>
      <c r="D979" s="227"/>
      <c r="E979" s="231"/>
      <c r="F979" s="232"/>
      <c r="G979" s="227"/>
      <c r="H979" s="227"/>
      <c r="I979" s="227"/>
      <c r="J979" s="227"/>
      <c r="K979" s="227"/>
      <c r="L979" s="232"/>
      <c r="M979" s="232"/>
      <c r="N979" s="227"/>
      <c r="O979" s="227"/>
      <c r="P979" s="231"/>
      <c r="Q979" s="227"/>
      <c r="R979" s="231"/>
      <c r="S979" s="231"/>
      <c r="T979" s="231"/>
      <c r="U979" s="231"/>
      <c r="V979" s="231"/>
      <c r="W979" s="231"/>
      <c r="X979" s="227"/>
      <c r="Y979" s="232"/>
      <c r="Z979" s="232"/>
      <c r="AA979" s="232"/>
      <c r="AB979" s="232"/>
      <c r="AC979" s="227"/>
      <c r="AD979" s="227"/>
      <c r="AE979" s="231"/>
      <c r="AF979" s="227"/>
      <c r="AG979" s="232"/>
      <c r="AH979" s="232"/>
      <c r="AI979" s="232"/>
      <c r="AJ979" s="232"/>
      <c r="AK979" s="232"/>
      <c r="AL979" s="232"/>
      <c r="AM979" s="232"/>
      <c r="AN979" s="232"/>
      <c r="AO979" s="231"/>
      <c r="AP979" s="231"/>
      <c r="AQ979" s="227"/>
      <c r="AR979" s="231"/>
      <c r="AS979" s="227"/>
      <c r="AT979" s="227"/>
      <c r="AU979" s="227"/>
      <c r="AV979" s="227"/>
    </row>
    <row r="980">
      <c r="A980" s="227"/>
      <c r="B980" s="232"/>
      <c r="C980" s="227"/>
      <c r="D980" s="227"/>
      <c r="E980" s="231"/>
      <c r="F980" s="232"/>
      <c r="G980" s="227"/>
      <c r="H980" s="227"/>
      <c r="I980" s="227"/>
      <c r="J980" s="227"/>
      <c r="K980" s="227"/>
      <c r="L980" s="232"/>
      <c r="M980" s="232"/>
      <c r="N980" s="227"/>
      <c r="O980" s="227"/>
      <c r="P980" s="231"/>
      <c r="Q980" s="227"/>
      <c r="R980" s="231"/>
      <c r="S980" s="231"/>
      <c r="T980" s="231"/>
      <c r="U980" s="231"/>
      <c r="V980" s="231"/>
      <c r="W980" s="231"/>
      <c r="X980" s="227"/>
      <c r="Y980" s="232"/>
      <c r="Z980" s="232"/>
      <c r="AA980" s="232"/>
      <c r="AB980" s="232"/>
      <c r="AC980" s="227"/>
      <c r="AD980" s="227"/>
      <c r="AE980" s="231"/>
      <c r="AF980" s="227"/>
      <c r="AG980" s="232"/>
      <c r="AH980" s="232"/>
      <c r="AI980" s="232"/>
      <c r="AJ980" s="232"/>
      <c r="AK980" s="232"/>
      <c r="AL980" s="232"/>
      <c r="AM980" s="232"/>
      <c r="AN980" s="232"/>
      <c r="AO980" s="231"/>
      <c r="AP980" s="231"/>
      <c r="AQ980" s="227"/>
      <c r="AR980" s="231"/>
      <c r="AS980" s="227"/>
      <c r="AT980" s="227"/>
      <c r="AU980" s="227"/>
      <c r="AV980" s="227"/>
    </row>
    <row r="981">
      <c r="A981" s="227"/>
      <c r="B981" s="232"/>
      <c r="C981" s="227"/>
      <c r="D981" s="227"/>
      <c r="E981" s="231"/>
      <c r="F981" s="232"/>
      <c r="G981" s="227"/>
      <c r="H981" s="227"/>
      <c r="I981" s="227"/>
      <c r="J981" s="227"/>
      <c r="K981" s="227"/>
      <c r="L981" s="232"/>
      <c r="M981" s="232"/>
      <c r="N981" s="227"/>
      <c r="O981" s="227"/>
      <c r="P981" s="231"/>
      <c r="Q981" s="227"/>
      <c r="R981" s="231"/>
      <c r="S981" s="231"/>
      <c r="T981" s="231"/>
      <c r="U981" s="231"/>
      <c r="V981" s="231"/>
      <c r="W981" s="231"/>
      <c r="X981" s="227"/>
      <c r="Y981" s="232"/>
      <c r="Z981" s="232"/>
      <c r="AA981" s="232"/>
      <c r="AB981" s="232"/>
      <c r="AC981" s="227"/>
      <c r="AD981" s="227"/>
      <c r="AE981" s="231"/>
      <c r="AF981" s="227"/>
      <c r="AG981" s="232"/>
      <c r="AH981" s="232"/>
      <c r="AI981" s="232"/>
      <c r="AJ981" s="232"/>
      <c r="AK981" s="232"/>
      <c r="AL981" s="232"/>
      <c r="AM981" s="232"/>
      <c r="AN981" s="232"/>
      <c r="AO981" s="231"/>
      <c r="AP981" s="231"/>
      <c r="AQ981" s="227"/>
      <c r="AR981" s="231"/>
      <c r="AS981" s="227"/>
      <c r="AT981" s="227"/>
      <c r="AU981" s="227"/>
      <c r="AV981" s="227"/>
    </row>
    <row r="982">
      <c r="A982" s="227"/>
      <c r="B982" s="232"/>
      <c r="C982" s="227"/>
      <c r="D982" s="227"/>
      <c r="E982" s="231"/>
      <c r="F982" s="232"/>
      <c r="G982" s="227"/>
      <c r="H982" s="227"/>
      <c r="I982" s="227"/>
      <c r="J982" s="227"/>
      <c r="K982" s="227"/>
      <c r="L982" s="232"/>
      <c r="M982" s="232"/>
      <c r="N982" s="227"/>
      <c r="O982" s="227"/>
      <c r="P982" s="231"/>
      <c r="Q982" s="227"/>
      <c r="R982" s="231"/>
      <c r="S982" s="231"/>
      <c r="T982" s="231"/>
      <c r="U982" s="231"/>
      <c r="V982" s="231"/>
      <c r="W982" s="231"/>
      <c r="X982" s="227"/>
      <c r="Y982" s="232"/>
      <c r="Z982" s="232"/>
      <c r="AA982" s="232"/>
      <c r="AB982" s="232"/>
      <c r="AC982" s="227"/>
      <c r="AD982" s="227"/>
      <c r="AE982" s="231"/>
      <c r="AF982" s="227"/>
      <c r="AG982" s="232"/>
      <c r="AH982" s="232"/>
      <c r="AI982" s="232"/>
      <c r="AJ982" s="232"/>
      <c r="AK982" s="232"/>
      <c r="AL982" s="232"/>
      <c r="AM982" s="232"/>
      <c r="AN982" s="232"/>
      <c r="AO982" s="231"/>
      <c r="AP982" s="231"/>
      <c r="AQ982" s="227"/>
      <c r="AR982" s="231"/>
      <c r="AS982" s="227"/>
      <c r="AT982" s="227"/>
      <c r="AU982" s="227"/>
      <c r="AV982" s="227"/>
    </row>
    <row r="983">
      <c r="A983" s="227"/>
      <c r="B983" s="232"/>
      <c r="C983" s="227"/>
      <c r="D983" s="227"/>
      <c r="E983" s="231"/>
      <c r="F983" s="232"/>
      <c r="G983" s="227"/>
      <c r="H983" s="227"/>
      <c r="I983" s="227"/>
      <c r="J983" s="227"/>
      <c r="K983" s="227"/>
      <c r="L983" s="232"/>
      <c r="M983" s="232"/>
      <c r="N983" s="227"/>
      <c r="O983" s="227"/>
      <c r="P983" s="231"/>
      <c r="Q983" s="227"/>
      <c r="R983" s="231"/>
      <c r="S983" s="231"/>
      <c r="T983" s="231"/>
      <c r="U983" s="231"/>
      <c r="V983" s="231"/>
      <c r="W983" s="231"/>
      <c r="X983" s="227"/>
      <c r="Y983" s="232"/>
      <c r="Z983" s="232"/>
      <c r="AA983" s="232"/>
      <c r="AB983" s="232"/>
      <c r="AC983" s="227"/>
      <c r="AD983" s="227"/>
      <c r="AE983" s="231"/>
      <c r="AF983" s="227"/>
      <c r="AG983" s="232"/>
      <c r="AH983" s="232"/>
      <c r="AI983" s="232"/>
      <c r="AJ983" s="232"/>
      <c r="AK983" s="232"/>
      <c r="AL983" s="232"/>
      <c r="AM983" s="232"/>
      <c r="AN983" s="232"/>
      <c r="AO983" s="231"/>
      <c r="AP983" s="231"/>
      <c r="AQ983" s="227"/>
      <c r="AR983" s="231"/>
      <c r="AS983" s="227"/>
      <c r="AT983" s="227"/>
      <c r="AU983" s="227"/>
      <c r="AV983" s="227"/>
    </row>
    <row r="984">
      <c r="A984" s="227"/>
      <c r="B984" s="232"/>
      <c r="C984" s="227"/>
      <c r="D984" s="227"/>
      <c r="E984" s="231"/>
      <c r="F984" s="232"/>
      <c r="G984" s="227"/>
      <c r="H984" s="227"/>
      <c r="I984" s="227"/>
      <c r="J984" s="227"/>
      <c r="K984" s="227"/>
      <c r="L984" s="232"/>
      <c r="M984" s="232"/>
      <c r="N984" s="227"/>
      <c r="O984" s="227"/>
      <c r="P984" s="231"/>
      <c r="Q984" s="227"/>
      <c r="R984" s="231"/>
      <c r="S984" s="231"/>
      <c r="T984" s="231"/>
      <c r="U984" s="231"/>
      <c r="V984" s="231"/>
      <c r="W984" s="231"/>
      <c r="X984" s="227"/>
      <c r="Y984" s="232"/>
      <c r="Z984" s="232"/>
      <c r="AA984" s="232"/>
      <c r="AB984" s="232"/>
      <c r="AC984" s="227"/>
      <c r="AD984" s="227"/>
      <c r="AE984" s="231"/>
      <c r="AF984" s="227"/>
      <c r="AG984" s="232"/>
      <c r="AH984" s="232"/>
      <c r="AI984" s="232"/>
      <c r="AJ984" s="232"/>
      <c r="AK984" s="232"/>
      <c r="AL984" s="232"/>
      <c r="AM984" s="232"/>
      <c r="AN984" s="232"/>
      <c r="AO984" s="231"/>
      <c r="AP984" s="231"/>
      <c r="AQ984" s="227"/>
      <c r="AR984" s="231"/>
      <c r="AS984" s="227"/>
      <c r="AT984" s="227"/>
      <c r="AU984" s="227"/>
      <c r="AV984" s="227"/>
    </row>
    <row r="985">
      <c r="A985" s="227"/>
      <c r="B985" s="232"/>
      <c r="C985" s="227"/>
      <c r="D985" s="227"/>
      <c r="E985" s="231"/>
      <c r="F985" s="232"/>
      <c r="G985" s="227"/>
      <c r="H985" s="227"/>
      <c r="I985" s="227"/>
      <c r="J985" s="227"/>
      <c r="K985" s="227"/>
      <c r="L985" s="232"/>
      <c r="M985" s="232"/>
      <c r="N985" s="227"/>
      <c r="O985" s="227"/>
      <c r="P985" s="231"/>
      <c r="Q985" s="227"/>
      <c r="R985" s="231"/>
      <c r="S985" s="231"/>
      <c r="T985" s="231"/>
      <c r="U985" s="231"/>
      <c r="V985" s="231"/>
      <c r="W985" s="231"/>
      <c r="X985" s="227"/>
      <c r="Y985" s="232"/>
      <c r="Z985" s="232"/>
      <c r="AA985" s="232"/>
      <c r="AB985" s="232"/>
      <c r="AC985" s="227"/>
      <c r="AD985" s="227"/>
      <c r="AE985" s="231"/>
      <c r="AF985" s="227"/>
      <c r="AG985" s="232"/>
      <c r="AH985" s="232"/>
      <c r="AI985" s="232"/>
      <c r="AJ985" s="232"/>
      <c r="AK985" s="232"/>
      <c r="AL985" s="232"/>
      <c r="AM985" s="232"/>
      <c r="AN985" s="232"/>
      <c r="AO985" s="231"/>
      <c r="AP985" s="231"/>
      <c r="AQ985" s="227"/>
      <c r="AR985" s="231"/>
      <c r="AS985" s="227"/>
      <c r="AT985" s="227"/>
      <c r="AU985" s="227"/>
      <c r="AV985" s="227"/>
    </row>
    <row r="986">
      <c r="A986" s="227"/>
      <c r="B986" s="232"/>
      <c r="C986" s="227"/>
      <c r="D986" s="227"/>
      <c r="E986" s="231"/>
      <c r="F986" s="232"/>
      <c r="G986" s="227"/>
      <c r="H986" s="227"/>
      <c r="I986" s="227"/>
      <c r="J986" s="227"/>
      <c r="K986" s="227"/>
      <c r="L986" s="232"/>
      <c r="M986" s="232"/>
      <c r="N986" s="227"/>
      <c r="O986" s="227"/>
      <c r="P986" s="231"/>
      <c r="Q986" s="227"/>
      <c r="R986" s="231"/>
      <c r="S986" s="231"/>
      <c r="T986" s="231"/>
      <c r="U986" s="231"/>
      <c r="V986" s="231"/>
      <c r="W986" s="231"/>
      <c r="X986" s="227"/>
      <c r="Y986" s="232"/>
      <c r="Z986" s="232"/>
      <c r="AA986" s="232"/>
      <c r="AB986" s="232"/>
      <c r="AC986" s="227"/>
      <c r="AD986" s="227"/>
      <c r="AE986" s="231"/>
      <c r="AF986" s="227"/>
      <c r="AG986" s="232"/>
      <c r="AH986" s="232"/>
      <c r="AI986" s="232"/>
      <c r="AJ986" s="232"/>
      <c r="AK986" s="232"/>
      <c r="AL986" s="232"/>
      <c r="AM986" s="232"/>
      <c r="AN986" s="232"/>
      <c r="AO986" s="231"/>
      <c r="AP986" s="231"/>
      <c r="AQ986" s="227"/>
      <c r="AR986" s="231"/>
      <c r="AS986" s="227"/>
      <c r="AT986" s="227"/>
      <c r="AU986" s="227"/>
      <c r="AV986" s="227"/>
    </row>
    <row r="987">
      <c r="A987" s="227"/>
      <c r="B987" s="232"/>
      <c r="C987" s="227"/>
      <c r="D987" s="227"/>
      <c r="E987" s="231"/>
      <c r="F987" s="232"/>
      <c r="G987" s="227"/>
      <c r="H987" s="227"/>
      <c r="I987" s="227"/>
      <c r="J987" s="227"/>
      <c r="K987" s="227"/>
      <c r="L987" s="232"/>
      <c r="M987" s="232"/>
      <c r="N987" s="227"/>
      <c r="O987" s="227"/>
      <c r="P987" s="231"/>
      <c r="Q987" s="227"/>
      <c r="R987" s="231"/>
      <c r="S987" s="231"/>
      <c r="T987" s="231"/>
      <c r="U987" s="231"/>
      <c r="V987" s="231"/>
      <c r="W987" s="231"/>
      <c r="X987" s="227"/>
      <c r="Y987" s="232"/>
      <c r="Z987" s="232"/>
      <c r="AA987" s="232"/>
      <c r="AB987" s="232"/>
      <c r="AC987" s="227"/>
      <c r="AD987" s="227"/>
      <c r="AE987" s="231"/>
      <c r="AF987" s="227"/>
      <c r="AG987" s="232"/>
      <c r="AH987" s="232"/>
      <c r="AI987" s="232"/>
      <c r="AJ987" s="232"/>
      <c r="AK987" s="232"/>
      <c r="AL987" s="232"/>
      <c r="AM987" s="232"/>
      <c r="AN987" s="232"/>
      <c r="AO987" s="231"/>
      <c r="AP987" s="231"/>
      <c r="AQ987" s="227"/>
      <c r="AR987" s="231"/>
      <c r="AS987" s="227"/>
      <c r="AT987" s="227"/>
      <c r="AU987" s="227"/>
      <c r="AV987" s="227"/>
    </row>
    <row r="988">
      <c r="A988" s="227"/>
      <c r="B988" s="232"/>
      <c r="C988" s="227"/>
      <c r="D988" s="227"/>
      <c r="E988" s="231"/>
      <c r="F988" s="232"/>
      <c r="G988" s="227"/>
      <c r="H988" s="227"/>
      <c r="I988" s="227"/>
      <c r="J988" s="227"/>
      <c r="K988" s="227"/>
      <c r="L988" s="232"/>
      <c r="M988" s="232"/>
      <c r="N988" s="227"/>
      <c r="O988" s="227"/>
      <c r="P988" s="231"/>
      <c r="Q988" s="227"/>
      <c r="R988" s="231"/>
      <c r="S988" s="231"/>
      <c r="T988" s="231"/>
      <c r="U988" s="231"/>
      <c r="V988" s="231"/>
      <c r="W988" s="231"/>
      <c r="X988" s="227"/>
      <c r="Y988" s="232"/>
      <c r="Z988" s="232"/>
      <c r="AA988" s="232"/>
      <c r="AB988" s="232"/>
      <c r="AC988" s="227"/>
      <c r="AD988" s="227"/>
      <c r="AE988" s="231"/>
      <c r="AF988" s="227"/>
      <c r="AG988" s="232"/>
      <c r="AH988" s="232"/>
      <c r="AI988" s="232"/>
      <c r="AJ988" s="232"/>
      <c r="AK988" s="232"/>
      <c r="AL988" s="232"/>
      <c r="AM988" s="232"/>
      <c r="AN988" s="232"/>
      <c r="AO988" s="231"/>
      <c r="AP988" s="231"/>
      <c r="AQ988" s="227"/>
      <c r="AR988" s="231"/>
      <c r="AS988" s="227"/>
      <c r="AT988" s="227"/>
      <c r="AU988" s="227"/>
      <c r="AV988" s="227"/>
    </row>
    <row r="989">
      <c r="A989" s="227"/>
      <c r="B989" s="232"/>
      <c r="C989" s="227"/>
      <c r="D989" s="227"/>
      <c r="E989" s="231"/>
      <c r="F989" s="232"/>
      <c r="G989" s="227"/>
      <c r="H989" s="227"/>
      <c r="I989" s="227"/>
      <c r="J989" s="227"/>
      <c r="K989" s="227"/>
      <c r="L989" s="232"/>
      <c r="M989" s="232"/>
      <c r="N989" s="227"/>
      <c r="O989" s="227"/>
      <c r="P989" s="231"/>
      <c r="Q989" s="227"/>
      <c r="R989" s="231"/>
      <c r="S989" s="231"/>
      <c r="T989" s="231"/>
      <c r="U989" s="231"/>
      <c r="V989" s="231"/>
      <c r="W989" s="231"/>
      <c r="X989" s="227"/>
      <c r="Y989" s="232"/>
      <c r="Z989" s="232"/>
      <c r="AA989" s="232"/>
      <c r="AB989" s="232"/>
      <c r="AC989" s="227"/>
      <c r="AD989" s="227"/>
      <c r="AE989" s="231"/>
      <c r="AF989" s="227"/>
      <c r="AG989" s="232"/>
      <c r="AH989" s="232"/>
      <c r="AI989" s="232"/>
      <c r="AJ989" s="232"/>
      <c r="AK989" s="232"/>
      <c r="AL989" s="232"/>
      <c r="AM989" s="232"/>
      <c r="AN989" s="232"/>
      <c r="AO989" s="231"/>
      <c r="AP989" s="231"/>
      <c r="AQ989" s="227"/>
      <c r="AR989" s="231"/>
      <c r="AS989" s="227"/>
      <c r="AT989" s="227"/>
      <c r="AU989" s="227"/>
      <c r="AV989" s="227"/>
    </row>
    <row r="990">
      <c r="A990" s="227"/>
      <c r="B990" s="232"/>
      <c r="C990" s="227"/>
      <c r="D990" s="227"/>
      <c r="E990" s="231"/>
      <c r="F990" s="232"/>
      <c r="G990" s="227"/>
      <c r="H990" s="227"/>
      <c r="I990" s="227"/>
      <c r="J990" s="227"/>
      <c r="K990" s="227"/>
      <c r="L990" s="232"/>
      <c r="M990" s="232"/>
      <c r="N990" s="227"/>
      <c r="O990" s="227"/>
      <c r="P990" s="231"/>
      <c r="Q990" s="227"/>
      <c r="R990" s="231"/>
      <c r="S990" s="231"/>
      <c r="T990" s="231"/>
      <c r="U990" s="231"/>
      <c r="V990" s="231"/>
      <c r="W990" s="231"/>
      <c r="X990" s="227"/>
      <c r="Y990" s="232"/>
      <c r="Z990" s="232"/>
      <c r="AA990" s="232"/>
      <c r="AB990" s="232"/>
      <c r="AC990" s="227"/>
      <c r="AD990" s="227"/>
      <c r="AE990" s="231"/>
      <c r="AF990" s="227"/>
      <c r="AG990" s="232"/>
      <c r="AH990" s="232"/>
      <c r="AI990" s="232"/>
      <c r="AJ990" s="232"/>
      <c r="AK990" s="232"/>
      <c r="AL990" s="232"/>
      <c r="AM990" s="232"/>
      <c r="AN990" s="232"/>
      <c r="AO990" s="231"/>
      <c r="AP990" s="231"/>
      <c r="AQ990" s="227"/>
      <c r="AR990" s="231"/>
      <c r="AS990" s="227"/>
      <c r="AT990" s="227"/>
      <c r="AU990" s="227"/>
      <c r="AV990" s="227"/>
    </row>
    <row r="991">
      <c r="A991" s="227"/>
      <c r="B991" s="232"/>
      <c r="C991" s="227"/>
      <c r="D991" s="227"/>
      <c r="E991" s="231"/>
      <c r="F991" s="232"/>
      <c r="G991" s="227"/>
      <c r="H991" s="227"/>
      <c r="I991" s="227"/>
      <c r="J991" s="227"/>
      <c r="K991" s="227"/>
      <c r="L991" s="232"/>
      <c r="M991" s="232"/>
      <c r="N991" s="227"/>
      <c r="O991" s="227"/>
      <c r="P991" s="231"/>
      <c r="Q991" s="227"/>
      <c r="R991" s="231"/>
      <c r="S991" s="231"/>
      <c r="T991" s="231"/>
      <c r="U991" s="231"/>
      <c r="V991" s="231"/>
      <c r="W991" s="231"/>
      <c r="X991" s="227"/>
      <c r="Y991" s="232"/>
      <c r="Z991" s="232"/>
      <c r="AA991" s="232"/>
      <c r="AB991" s="232"/>
      <c r="AC991" s="227"/>
      <c r="AD991" s="227"/>
      <c r="AE991" s="231"/>
      <c r="AF991" s="227"/>
      <c r="AG991" s="232"/>
      <c r="AH991" s="232"/>
      <c r="AI991" s="232"/>
      <c r="AJ991" s="232"/>
      <c r="AK991" s="232"/>
      <c r="AL991" s="232"/>
      <c r="AM991" s="232"/>
      <c r="AN991" s="232"/>
      <c r="AO991" s="231"/>
      <c r="AP991" s="231"/>
      <c r="AQ991" s="227"/>
      <c r="AR991" s="231"/>
      <c r="AS991" s="227"/>
      <c r="AT991" s="227"/>
      <c r="AU991" s="227"/>
      <c r="AV991" s="227"/>
    </row>
    <row r="992">
      <c r="A992" s="227"/>
      <c r="B992" s="232"/>
      <c r="C992" s="227"/>
      <c r="D992" s="227"/>
      <c r="E992" s="231"/>
      <c r="F992" s="232"/>
      <c r="G992" s="227"/>
      <c r="H992" s="227"/>
      <c r="I992" s="227"/>
      <c r="J992" s="227"/>
      <c r="K992" s="227"/>
      <c r="L992" s="232"/>
      <c r="M992" s="232"/>
      <c r="N992" s="227"/>
      <c r="O992" s="227"/>
      <c r="P992" s="231"/>
      <c r="Q992" s="227"/>
      <c r="R992" s="231"/>
      <c r="S992" s="231"/>
      <c r="T992" s="231"/>
      <c r="U992" s="231"/>
      <c r="V992" s="231"/>
      <c r="W992" s="231"/>
      <c r="X992" s="227"/>
      <c r="Y992" s="232"/>
      <c r="Z992" s="232"/>
      <c r="AA992" s="232"/>
      <c r="AB992" s="232"/>
      <c r="AC992" s="227"/>
      <c r="AD992" s="227"/>
      <c r="AE992" s="231"/>
      <c r="AF992" s="227"/>
      <c r="AG992" s="232"/>
      <c r="AH992" s="232"/>
      <c r="AI992" s="232"/>
      <c r="AJ992" s="232"/>
      <c r="AK992" s="232"/>
      <c r="AL992" s="232"/>
      <c r="AM992" s="232"/>
      <c r="AN992" s="232"/>
      <c r="AO992" s="231"/>
      <c r="AP992" s="231"/>
      <c r="AQ992" s="227"/>
      <c r="AR992" s="231"/>
      <c r="AS992" s="227"/>
      <c r="AT992" s="227"/>
      <c r="AU992" s="227"/>
      <c r="AV992" s="227"/>
    </row>
    <row r="993">
      <c r="A993" s="227"/>
      <c r="B993" s="232"/>
      <c r="C993" s="227"/>
      <c r="D993" s="227"/>
      <c r="E993" s="231"/>
      <c r="F993" s="232"/>
      <c r="G993" s="227"/>
      <c r="H993" s="227"/>
      <c r="I993" s="227"/>
      <c r="J993" s="227"/>
      <c r="K993" s="227"/>
      <c r="L993" s="232"/>
      <c r="M993" s="232"/>
      <c r="N993" s="227"/>
      <c r="O993" s="227"/>
      <c r="P993" s="231"/>
      <c r="Q993" s="227"/>
      <c r="R993" s="231"/>
      <c r="S993" s="231"/>
      <c r="T993" s="231"/>
      <c r="U993" s="231"/>
      <c r="V993" s="231"/>
      <c r="W993" s="231"/>
      <c r="X993" s="227"/>
      <c r="Y993" s="232"/>
      <c r="Z993" s="232"/>
      <c r="AA993" s="232"/>
      <c r="AB993" s="232"/>
      <c r="AC993" s="227"/>
      <c r="AD993" s="227"/>
      <c r="AE993" s="231"/>
      <c r="AF993" s="227"/>
      <c r="AG993" s="232"/>
      <c r="AH993" s="232"/>
      <c r="AI993" s="232"/>
      <c r="AJ993" s="232"/>
      <c r="AK993" s="232"/>
      <c r="AL993" s="232"/>
      <c r="AM993" s="232"/>
      <c r="AN993" s="232"/>
      <c r="AO993" s="231"/>
      <c r="AP993" s="231"/>
      <c r="AQ993" s="227"/>
      <c r="AR993" s="231"/>
      <c r="AS993" s="227"/>
      <c r="AT993" s="227"/>
      <c r="AU993" s="227"/>
      <c r="AV993" s="227"/>
    </row>
    <row r="994">
      <c r="A994" s="227"/>
      <c r="B994" s="232"/>
      <c r="C994" s="227"/>
      <c r="D994" s="227"/>
      <c r="E994" s="231"/>
      <c r="F994" s="232"/>
      <c r="G994" s="227"/>
      <c r="H994" s="227"/>
      <c r="I994" s="227"/>
      <c r="J994" s="227"/>
      <c r="K994" s="227"/>
      <c r="L994" s="232"/>
      <c r="M994" s="232"/>
      <c r="N994" s="227"/>
      <c r="O994" s="227"/>
      <c r="P994" s="231"/>
      <c r="Q994" s="227"/>
      <c r="R994" s="231"/>
      <c r="S994" s="231"/>
      <c r="T994" s="231"/>
      <c r="U994" s="231"/>
      <c r="V994" s="231"/>
      <c r="W994" s="231"/>
      <c r="X994" s="227"/>
      <c r="Y994" s="232"/>
      <c r="Z994" s="232"/>
      <c r="AA994" s="232"/>
      <c r="AB994" s="232"/>
      <c r="AC994" s="227"/>
      <c r="AD994" s="227"/>
      <c r="AE994" s="231"/>
      <c r="AF994" s="227"/>
      <c r="AG994" s="232"/>
      <c r="AH994" s="232"/>
      <c r="AI994" s="232"/>
      <c r="AJ994" s="232"/>
      <c r="AK994" s="232"/>
      <c r="AL994" s="232"/>
      <c r="AM994" s="232"/>
      <c r="AN994" s="232"/>
      <c r="AO994" s="231"/>
      <c r="AP994" s="231"/>
      <c r="AQ994" s="227"/>
      <c r="AR994" s="231"/>
      <c r="AS994" s="227"/>
      <c r="AT994" s="227"/>
      <c r="AU994" s="227"/>
      <c r="AV994" s="227"/>
    </row>
    <row r="995">
      <c r="A995" s="227"/>
      <c r="B995" s="232"/>
      <c r="C995" s="227"/>
      <c r="D995" s="227"/>
      <c r="E995" s="231"/>
      <c r="F995" s="232"/>
      <c r="G995" s="227"/>
      <c r="H995" s="227"/>
      <c r="I995" s="227"/>
      <c r="J995" s="227"/>
      <c r="K995" s="227"/>
      <c r="L995" s="232"/>
      <c r="M995" s="232"/>
      <c r="N995" s="227"/>
      <c r="O995" s="227"/>
      <c r="P995" s="231"/>
      <c r="Q995" s="227"/>
      <c r="R995" s="231"/>
      <c r="S995" s="231"/>
      <c r="T995" s="231"/>
      <c r="U995" s="231"/>
      <c r="V995" s="231"/>
      <c r="W995" s="231"/>
      <c r="X995" s="227"/>
      <c r="Y995" s="232"/>
      <c r="Z995" s="232"/>
      <c r="AA995" s="232"/>
      <c r="AB995" s="232"/>
      <c r="AC995" s="227"/>
      <c r="AD995" s="227"/>
      <c r="AE995" s="231"/>
      <c r="AF995" s="227"/>
      <c r="AG995" s="232"/>
      <c r="AH995" s="232"/>
      <c r="AI995" s="232"/>
      <c r="AJ995" s="232"/>
      <c r="AK995" s="232"/>
      <c r="AL995" s="232"/>
      <c r="AM995" s="232"/>
      <c r="AN995" s="232"/>
      <c r="AO995" s="231"/>
      <c r="AP995" s="231"/>
      <c r="AQ995" s="227"/>
      <c r="AR995" s="231"/>
      <c r="AS995" s="227"/>
      <c r="AT995" s="227"/>
      <c r="AU995" s="227"/>
      <c r="AV995" s="227"/>
    </row>
    <row r="996">
      <c r="A996" s="227"/>
      <c r="B996" s="232"/>
      <c r="C996" s="227"/>
      <c r="D996" s="227"/>
      <c r="E996" s="231"/>
      <c r="F996" s="232"/>
      <c r="G996" s="227"/>
      <c r="H996" s="227"/>
      <c r="I996" s="227"/>
      <c r="J996" s="227"/>
      <c r="K996" s="227"/>
      <c r="L996" s="232"/>
      <c r="M996" s="232"/>
      <c r="N996" s="227"/>
      <c r="O996" s="227"/>
      <c r="P996" s="231"/>
      <c r="Q996" s="227"/>
      <c r="R996" s="231"/>
      <c r="S996" s="231"/>
      <c r="T996" s="231"/>
      <c r="U996" s="231"/>
      <c r="V996" s="231"/>
      <c r="W996" s="231"/>
      <c r="X996" s="227"/>
      <c r="Y996" s="232"/>
      <c r="Z996" s="232"/>
      <c r="AA996" s="232"/>
      <c r="AB996" s="232"/>
      <c r="AC996" s="227"/>
      <c r="AD996" s="227"/>
      <c r="AE996" s="231"/>
      <c r="AF996" s="227"/>
      <c r="AG996" s="232"/>
      <c r="AH996" s="232"/>
      <c r="AI996" s="232"/>
      <c r="AJ996" s="232"/>
      <c r="AK996" s="232"/>
      <c r="AL996" s="232"/>
      <c r="AM996" s="232"/>
      <c r="AN996" s="232"/>
      <c r="AO996" s="231"/>
      <c r="AP996" s="231"/>
      <c r="AQ996" s="227"/>
      <c r="AR996" s="231"/>
      <c r="AS996" s="227"/>
      <c r="AT996" s="227"/>
      <c r="AU996" s="227"/>
      <c r="AV996" s="227"/>
    </row>
    <row r="997">
      <c r="A997" s="227"/>
      <c r="B997" s="232"/>
      <c r="C997" s="227"/>
      <c r="D997" s="227"/>
      <c r="E997" s="231"/>
      <c r="F997" s="232"/>
      <c r="G997" s="227"/>
      <c r="H997" s="227"/>
      <c r="I997" s="227"/>
      <c r="J997" s="227"/>
      <c r="K997" s="227"/>
      <c r="L997" s="232"/>
      <c r="M997" s="232"/>
      <c r="N997" s="227"/>
      <c r="O997" s="227"/>
      <c r="P997" s="231"/>
      <c r="Q997" s="227"/>
      <c r="R997" s="231"/>
      <c r="S997" s="231"/>
      <c r="T997" s="231"/>
      <c r="U997" s="231"/>
      <c r="V997" s="231"/>
      <c r="W997" s="231"/>
      <c r="X997" s="227"/>
      <c r="Y997" s="232"/>
      <c r="Z997" s="232"/>
      <c r="AA997" s="232"/>
      <c r="AB997" s="232"/>
      <c r="AC997" s="227"/>
      <c r="AD997" s="227"/>
      <c r="AE997" s="231"/>
      <c r="AF997" s="227"/>
      <c r="AG997" s="232"/>
      <c r="AH997" s="232"/>
      <c r="AI997" s="232"/>
      <c r="AJ997" s="232"/>
      <c r="AK997" s="232"/>
      <c r="AL997" s="232"/>
      <c r="AM997" s="232"/>
      <c r="AN997" s="232"/>
      <c r="AO997" s="231"/>
      <c r="AP997" s="231"/>
      <c r="AQ997" s="227"/>
      <c r="AR997" s="231"/>
      <c r="AS997" s="227"/>
      <c r="AT997" s="227"/>
      <c r="AU997" s="227"/>
      <c r="AV997" s="227"/>
    </row>
    <row r="998">
      <c r="A998" s="227"/>
      <c r="B998" s="232"/>
      <c r="C998" s="227"/>
      <c r="D998" s="227"/>
      <c r="E998" s="231"/>
      <c r="F998" s="232"/>
      <c r="G998" s="227"/>
      <c r="H998" s="227"/>
      <c r="I998" s="227"/>
      <c r="J998" s="227"/>
      <c r="K998" s="227"/>
      <c r="L998" s="232"/>
      <c r="M998" s="232"/>
      <c r="N998" s="227"/>
      <c r="O998" s="227"/>
      <c r="P998" s="231"/>
      <c r="Q998" s="227"/>
      <c r="R998" s="231"/>
      <c r="S998" s="231"/>
      <c r="T998" s="231"/>
      <c r="U998" s="231"/>
      <c r="V998" s="231"/>
      <c r="W998" s="231"/>
      <c r="X998" s="227"/>
      <c r="Y998" s="232"/>
      <c r="Z998" s="232"/>
      <c r="AA998" s="232"/>
      <c r="AB998" s="232"/>
      <c r="AC998" s="227"/>
      <c r="AD998" s="227"/>
      <c r="AE998" s="231"/>
      <c r="AF998" s="227"/>
      <c r="AG998" s="232"/>
      <c r="AH998" s="232"/>
      <c r="AI998" s="232"/>
      <c r="AJ998" s="232"/>
      <c r="AK998" s="232"/>
      <c r="AL998" s="232"/>
      <c r="AM998" s="232"/>
      <c r="AN998" s="232"/>
      <c r="AO998" s="231"/>
      <c r="AP998" s="231"/>
      <c r="AQ998" s="227"/>
      <c r="AR998" s="231"/>
      <c r="AS998" s="227"/>
      <c r="AT998" s="227"/>
      <c r="AU998" s="227"/>
      <c r="AV998" s="227"/>
    </row>
    <row r="999">
      <c r="A999" s="227"/>
      <c r="B999" s="232"/>
      <c r="C999" s="227"/>
      <c r="D999" s="227"/>
      <c r="E999" s="231"/>
      <c r="F999" s="232"/>
      <c r="G999" s="227"/>
      <c r="H999" s="227"/>
      <c r="I999" s="227"/>
      <c r="J999" s="227"/>
      <c r="K999" s="227"/>
      <c r="L999" s="232"/>
      <c r="M999" s="232"/>
      <c r="N999" s="227"/>
      <c r="O999" s="227"/>
      <c r="P999" s="231"/>
      <c r="Q999" s="227"/>
      <c r="R999" s="231"/>
      <c r="S999" s="231"/>
      <c r="T999" s="231"/>
      <c r="U999" s="231"/>
      <c r="V999" s="231"/>
      <c r="W999" s="231"/>
      <c r="X999" s="227"/>
      <c r="Y999" s="232"/>
      <c r="Z999" s="232"/>
      <c r="AA999" s="232"/>
      <c r="AB999" s="232"/>
      <c r="AC999" s="227"/>
      <c r="AD999" s="227"/>
      <c r="AE999" s="231"/>
      <c r="AF999" s="227"/>
      <c r="AG999" s="232"/>
      <c r="AH999" s="232"/>
      <c r="AI999" s="232"/>
      <c r="AJ999" s="232"/>
      <c r="AK999" s="232"/>
      <c r="AL999" s="232"/>
      <c r="AM999" s="232"/>
      <c r="AN999" s="232"/>
      <c r="AO999" s="231"/>
      <c r="AP999" s="231"/>
      <c r="AQ999" s="227"/>
      <c r="AR999" s="231"/>
      <c r="AS999" s="227"/>
      <c r="AT999" s="227"/>
      <c r="AU999" s="227"/>
      <c r="AV999" s="227"/>
    </row>
    <row r="1000">
      <c r="A1000" s="227"/>
      <c r="B1000" s="232"/>
      <c r="C1000" s="227"/>
      <c r="D1000" s="227"/>
      <c r="E1000" s="231"/>
      <c r="F1000" s="232"/>
      <c r="G1000" s="227"/>
      <c r="H1000" s="227"/>
      <c r="I1000" s="227"/>
      <c r="J1000" s="227"/>
      <c r="K1000" s="227"/>
      <c r="L1000" s="232"/>
      <c r="M1000" s="232"/>
      <c r="N1000" s="227"/>
      <c r="O1000" s="227"/>
      <c r="P1000" s="231"/>
      <c r="Q1000" s="227"/>
      <c r="R1000" s="231"/>
      <c r="S1000" s="231"/>
      <c r="T1000" s="231"/>
      <c r="U1000" s="231"/>
      <c r="V1000" s="231"/>
      <c r="W1000" s="231"/>
      <c r="X1000" s="227"/>
      <c r="Y1000" s="232"/>
      <c r="Z1000" s="232"/>
      <c r="AA1000" s="232"/>
      <c r="AB1000" s="232"/>
      <c r="AC1000" s="227"/>
      <c r="AD1000" s="227"/>
      <c r="AE1000" s="231"/>
      <c r="AF1000" s="227"/>
      <c r="AG1000" s="232"/>
      <c r="AH1000" s="232"/>
      <c r="AI1000" s="232"/>
      <c r="AJ1000" s="232"/>
      <c r="AK1000" s="232"/>
      <c r="AL1000" s="232"/>
      <c r="AM1000" s="232"/>
      <c r="AN1000" s="232"/>
      <c r="AO1000" s="231"/>
      <c r="AP1000" s="231"/>
      <c r="AQ1000" s="227"/>
      <c r="AR1000" s="231"/>
      <c r="AS1000" s="227"/>
      <c r="AT1000" s="227"/>
      <c r="AU1000" s="227"/>
      <c r="AV1000" s="227"/>
    </row>
    <row r="1001">
      <c r="A1001" s="227"/>
      <c r="B1001" s="232"/>
      <c r="C1001" s="227"/>
      <c r="D1001" s="227"/>
      <c r="E1001" s="231"/>
      <c r="F1001" s="232"/>
      <c r="G1001" s="227"/>
      <c r="H1001" s="227"/>
      <c r="I1001" s="227"/>
      <c r="J1001" s="227"/>
      <c r="K1001" s="227"/>
      <c r="L1001" s="232"/>
      <c r="M1001" s="232"/>
      <c r="N1001" s="227"/>
      <c r="O1001" s="227"/>
      <c r="P1001" s="231"/>
      <c r="Q1001" s="227"/>
      <c r="R1001" s="231"/>
      <c r="S1001" s="231"/>
      <c r="T1001" s="231"/>
      <c r="U1001" s="231"/>
      <c r="V1001" s="231"/>
      <c r="W1001" s="231"/>
      <c r="X1001" s="227"/>
      <c r="Y1001" s="232"/>
      <c r="Z1001" s="232"/>
      <c r="AA1001" s="232"/>
      <c r="AB1001" s="232"/>
      <c r="AC1001" s="227"/>
      <c r="AD1001" s="227"/>
      <c r="AE1001" s="231"/>
      <c r="AF1001" s="227"/>
      <c r="AG1001" s="232"/>
      <c r="AH1001" s="232"/>
      <c r="AI1001" s="232"/>
      <c r="AJ1001" s="232"/>
      <c r="AK1001" s="232"/>
      <c r="AL1001" s="232"/>
      <c r="AM1001" s="232"/>
      <c r="AN1001" s="232"/>
      <c r="AO1001" s="231"/>
      <c r="AP1001" s="231"/>
      <c r="AQ1001" s="227"/>
      <c r="AR1001" s="231"/>
      <c r="AS1001" s="227"/>
      <c r="AT1001" s="227"/>
      <c r="AU1001" s="227"/>
      <c r="AV1001" s="227"/>
    </row>
    <row r="1002">
      <c r="A1002" s="227"/>
      <c r="B1002" s="232"/>
      <c r="C1002" s="227"/>
      <c r="D1002" s="227"/>
      <c r="E1002" s="231"/>
      <c r="F1002" s="232"/>
      <c r="G1002" s="227"/>
      <c r="H1002" s="227"/>
      <c r="I1002" s="227"/>
      <c r="J1002" s="227"/>
      <c r="K1002" s="227"/>
      <c r="L1002" s="232"/>
      <c r="M1002" s="232"/>
      <c r="N1002" s="227"/>
      <c r="O1002" s="227"/>
      <c r="P1002" s="231"/>
      <c r="Q1002" s="227"/>
      <c r="R1002" s="231"/>
      <c r="S1002" s="231"/>
      <c r="T1002" s="231"/>
      <c r="U1002" s="231"/>
      <c r="V1002" s="231"/>
      <c r="W1002" s="231"/>
      <c r="X1002" s="227"/>
      <c r="Y1002" s="232"/>
      <c r="Z1002" s="232"/>
      <c r="AA1002" s="232"/>
      <c r="AB1002" s="232"/>
      <c r="AC1002" s="227"/>
      <c r="AD1002" s="227"/>
      <c r="AE1002" s="231"/>
      <c r="AF1002" s="227"/>
      <c r="AG1002" s="232"/>
      <c r="AH1002" s="232"/>
      <c r="AI1002" s="232"/>
      <c r="AJ1002" s="232"/>
      <c r="AK1002" s="232"/>
      <c r="AL1002" s="232"/>
      <c r="AM1002" s="232"/>
      <c r="AN1002" s="232"/>
      <c r="AO1002" s="231"/>
      <c r="AP1002" s="231"/>
      <c r="AQ1002" s="227"/>
      <c r="AR1002" s="231"/>
      <c r="AS1002" s="227"/>
      <c r="AT1002" s="227"/>
      <c r="AU1002" s="227"/>
      <c r="AV1002" s="227"/>
    </row>
    <row r="1003">
      <c r="A1003" s="227"/>
      <c r="B1003" s="232"/>
      <c r="C1003" s="227"/>
      <c r="D1003" s="227"/>
      <c r="E1003" s="231"/>
      <c r="F1003" s="232"/>
      <c r="G1003" s="227"/>
      <c r="H1003" s="227"/>
      <c r="I1003" s="227"/>
      <c r="J1003" s="227"/>
      <c r="K1003" s="227"/>
      <c r="L1003" s="232"/>
      <c r="M1003" s="232"/>
      <c r="N1003" s="227"/>
      <c r="O1003" s="227"/>
      <c r="P1003" s="231"/>
      <c r="Q1003" s="227"/>
      <c r="R1003" s="231"/>
      <c r="S1003" s="231"/>
      <c r="T1003" s="231"/>
      <c r="U1003" s="231"/>
      <c r="V1003" s="231"/>
      <c r="W1003" s="231"/>
      <c r="X1003" s="227"/>
      <c r="Y1003" s="232"/>
      <c r="Z1003" s="232"/>
      <c r="AA1003" s="232"/>
      <c r="AB1003" s="232"/>
      <c r="AC1003" s="227"/>
      <c r="AD1003" s="227"/>
      <c r="AE1003" s="231"/>
      <c r="AF1003" s="227"/>
      <c r="AG1003" s="232"/>
      <c r="AH1003" s="232"/>
      <c r="AI1003" s="232"/>
      <c r="AJ1003" s="232"/>
      <c r="AK1003" s="232"/>
      <c r="AL1003" s="232"/>
      <c r="AM1003" s="232"/>
      <c r="AN1003" s="232"/>
      <c r="AO1003" s="231"/>
      <c r="AP1003" s="231"/>
      <c r="AQ1003" s="227"/>
      <c r="AR1003" s="231"/>
      <c r="AS1003" s="227"/>
      <c r="AT1003" s="227"/>
      <c r="AU1003" s="227"/>
      <c r="AV1003" s="227"/>
    </row>
    <row r="1004">
      <c r="A1004" s="227"/>
      <c r="B1004" s="232"/>
      <c r="C1004" s="227"/>
      <c r="D1004" s="227"/>
      <c r="E1004" s="231"/>
      <c r="F1004" s="232"/>
      <c r="G1004" s="227"/>
      <c r="H1004" s="227"/>
      <c r="I1004" s="227"/>
      <c r="J1004" s="227"/>
      <c r="K1004" s="227"/>
      <c r="L1004" s="232"/>
      <c r="M1004" s="232"/>
      <c r="N1004" s="227"/>
      <c r="O1004" s="227"/>
      <c r="P1004" s="231"/>
      <c r="Q1004" s="227"/>
      <c r="R1004" s="231"/>
      <c r="S1004" s="231"/>
      <c r="T1004" s="231"/>
      <c r="U1004" s="231"/>
      <c r="V1004" s="231"/>
      <c r="W1004" s="231"/>
      <c r="X1004" s="227"/>
      <c r="Y1004" s="232"/>
      <c r="Z1004" s="232"/>
      <c r="AA1004" s="232"/>
      <c r="AB1004" s="232"/>
      <c r="AC1004" s="227"/>
      <c r="AD1004" s="227"/>
      <c r="AE1004" s="231"/>
      <c r="AF1004" s="227"/>
      <c r="AG1004" s="232"/>
      <c r="AH1004" s="232"/>
      <c r="AI1004" s="232"/>
      <c r="AJ1004" s="232"/>
      <c r="AK1004" s="232"/>
      <c r="AL1004" s="232"/>
      <c r="AM1004" s="232"/>
      <c r="AN1004" s="232"/>
      <c r="AO1004" s="231"/>
      <c r="AP1004" s="231"/>
      <c r="AQ1004" s="227"/>
      <c r="AR1004" s="231"/>
      <c r="AS1004" s="227"/>
      <c r="AT1004" s="227"/>
      <c r="AU1004" s="227"/>
      <c r="AV1004" s="227"/>
    </row>
    <row r="1005">
      <c r="A1005" s="227"/>
      <c r="B1005" s="232"/>
      <c r="C1005" s="227"/>
      <c r="D1005" s="227"/>
      <c r="E1005" s="231"/>
      <c r="F1005" s="232"/>
      <c r="G1005" s="227"/>
      <c r="H1005" s="227"/>
      <c r="I1005" s="227"/>
      <c r="J1005" s="227"/>
      <c r="K1005" s="227"/>
      <c r="L1005" s="232"/>
      <c r="M1005" s="232"/>
      <c r="N1005" s="227"/>
      <c r="O1005" s="227"/>
      <c r="P1005" s="231"/>
      <c r="Q1005" s="227"/>
      <c r="R1005" s="231"/>
      <c r="S1005" s="231"/>
      <c r="T1005" s="231"/>
      <c r="U1005" s="231"/>
      <c r="V1005" s="231"/>
      <c r="W1005" s="231"/>
      <c r="X1005" s="227"/>
      <c r="Y1005" s="232"/>
      <c r="Z1005" s="232"/>
      <c r="AA1005" s="232"/>
      <c r="AB1005" s="232"/>
      <c r="AC1005" s="227"/>
      <c r="AD1005" s="227"/>
      <c r="AE1005" s="231"/>
      <c r="AF1005" s="227"/>
      <c r="AG1005" s="232"/>
      <c r="AH1005" s="232"/>
      <c r="AI1005" s="232"/>
      <c r="AJ1005" s="232"/>
      <c r="AK1005" s="232"/>
      <c r="AL1005" s="232"/>
      <c r="AM1005" s="232"/>
      <c r="AN1005" s="232"/>
      <c r="AO1005" s="231"/>
      <c r="AP1005" s="231"/>
      <c r="AQ1005" s="227"/>
      <c r="AR1005" s="231"/>
      <c r="AS1005" s="227"/>
      <c r="AT1005" s="227"/>
      <c r="AU1005" s="227"/>
      <c r="AV1005" s="227"/>
    </row>
    <row r="1006">
      <c r="A1006" s="227"/>
      <c r="B1006" s="232"/>
      <c r="C1006" s="227"/>
      <c r="D1006" s="227"/>
      <c r="E1006" s="231"/>
      <c r="F1006" s="232"/>
      <c r="G1006" s="227"/>
      <c r="H1006" s="227"/>
      <c r="I1006" s="227"/>
      <c r="J1006" s="227"/>
      <c r="K1006" s="227"/>
      <c r="L1006" s="232"/>
      <c r="M1006" s="232"/>
      <c r="N1006" s="227"/>
      <c r="O1006" s="227"/>
      <c r="P1006" s="231"/>
      <c r="Q1006" s="227"/>
      <c r="R1006" s="231"/>
      <c r="S1006" s="231"/>
      <c r="T1006" s="231"/>
      <c r="U1006" s="231"/>
      <c r="V1006" s="231"/>
      <c r="W1006" s="231"/>
      <c r="X1006" s="227"/>
      <c r="Y1006" s="232"/>
      <c r="Z1006" s="232"/>
      <c r="AA1006" s="232"/>
      <c r="AB1006" s="232"/>
      <c r="AC1006" s="227"/>
      <c r="AD1006" s="227"/>
      <c r="AE1006" s="231"/>
      <c r="AF1006" s="227"/>
      <c r="AG1006" s="232"/>
      <c r="AH1006" s="232"/>
      <c r="AI1006" s="232"/>
      <c r="AJ1006" s="232"/>
      <c r="AK1006" s="232"/>
      <c r="AL1006" s="232"/>
      <c r="AM1006" s="232"/>
      <c r="AN1006" s="232"/>
      <c r="AO1006" s="231"/>
      <c r="AP1006" s="231"/>
      <c r="AQ1006" s="227"/>
      <c r="AR1006" s="231"/>
      <c r="AS1006" s="227"/>
      <c r="AT1006" s="227"/>
      <c r="AU1006" s="227"/>
      <c r="AV1006" s="227"/>
    </row>
    <row r="1007">
      <c r="A1007" s="227"/>
      <c r="B1007" s="232"/>
      <c r="C1007" s="227"/>
      <c r="D1007" s="227"/>
      <c r="E1007" s="231"/>
      <c r="F1007" s="232"/>
      <c r="G1007" s="227"/>
      <c r="H1007" s="227"/>
      <c r="I1007" s="227"/>
      <c r="J1007" s="227"/>
      <c r="K1007" s="227"/>
      <c r="L1007" s="232"/>
      <c r="M1007" s="232"/>
      <c r="N1007" s="227"/>
      <c r="O1007" s="227"/>
      <c r="P1007" s="231"/>
      <c r="Q1007" s="227"/>
      <c r="R1007" s="231"/>
      <c r="S1007" s="231"/>
      <c r="T1007" s="231"/>
      <c r="U1007" s="231"/>
      <c r="V1007" s="231"/>
      <c r="W1007" s="231"/>
      <c r="X1007" s="227"/>
      <c r="Y1007" s="232"/>
      <c r="Z1007" s="232"/>
      <c r="AA1007" s="232"/>
      <c r="AB1007" s="232"/>
      <c r="AC1007" s="227"/>
      <c r="AD1007" s="227"/>
      <c r="AE1007" s="231"/>
      <c r="AF1007" s="227"/>
      <c r="AG1007" s="232"/>
      <c r="AH1007" s="232"/>
      <c r="AI1007" s="232"/>
      <c r="AJ1007" s="232"/>
      <c r="AK1007" s="232"/>
      <c r="AL1007" s="232"/>
      <c r="AM1007" s="232"/>
      <c r="AN1007" s="232"/>
      <c r="AO1007" s="231"/>
      <c r="AP1007" s="231"/>
      <c r="AQ1007" s="227"/>
      <c r="AR1007" s="231"/>
      <c r="AS1007" s="227"/>
      <c r="AT1007" s="227"/>
      <c r="AU1007" s="227"/>
      <c r="AV1007" s="227"/>
    </row>
    <row r="1008">
      <c r="A1008" s="227"/>
      <c r="B1008" s="232"/>
      <c r="C1008" s="227"/>
      <c r="D1008" s="227"/>
      <c r="E1008" s="231"/>
      <c r="F1008" s="232"/>
      <c r="G1008" s="227"/>
      <c r="H1008" s="227"/>
      <c r="I1008" s="227"/>
      <c r="J1008" s="227"/>
      <c r="K1008" s="227"/>
      <c r="L1008" s="232"/>
      <c r="M1008" s="232"/>
      <c r="N1008" s="227"/>
      <c r="O1008" s="227"/>
      <c r="P1008" s="231"/>
      <c r="Q1008" s="227"/>
      <c r="R1008" s="231"/>
      <c r="S1008" s="231"/>
      <c r="T1008" s="231"/>
      <c r="U1008" s="231"/>
      <c r="V1008" s="231"/>
      <c r="W1008" s="231"/>
      <c r="X1008" s="227"/>
      <c r="Y1008" s="232"/>
      <c r="Z1008" s="232"/>
      <c r="AA1008" s="232"/>
      <c r="AB1008" s="232"/>
      <c r="AC1008" s="227"/>
      <c r="AD1008" s="227"/>
      <c r="AE1008" s="231"/>
      <c r="AF1008" s="227"/>
      <c r="AG1008" s="232"/>
      <c r="AH1008" s="232"/>
      <c r="AI1008" s="232"/>
      <c r="AJ1008" s="232"/>
      <c r="AK1008" s="232"/>
      <c r="AL1008" s="232"/>
      <c r="AM1008" s="232"/>
      <c r="AN1008" s="232"/>
      <c r="AO1008" s="231"/>
      <c r="AP1008" s="231"/>
      <c r="AQ1008" s="227"/>
      <c r="AR1008" s="231"/>
      <c r="AS1008" s="227"/>
      <c r="AT1008" s="227"/>
      <c r="AU1008" s="227"/>
      <c r="AV1008" s="227"/>
    </row>
    <row r="1009">
      <c r="A1009" s="227"/>
      <c r="B1009" s="232"/>
      <c r="C1009" s="227"/>
      <c r="D1009" s="227"/>
      <c r="E1009" s="231"/>
      <c r="F1009" s="232"/>
      <c r="G1009" s="227"/>
      <c r="H1009" s="227"/>
      <c r="I1009" s="227"/>
      <c r="J1009" s="227"/>
      <c r="K1009" s="227"/>
      <c r="L1009" s="232"/>
      <c r="M1009" s="232"/>
      <c r="N1009" s="227"/>
      <c r="O1009" s="227"/>
      <c r="P1009" s="231"/>
      <c r="Q1009" s="227"/>
      <c r="R1009" s="231"/>
      <c r="S1009" s="231"/>
      <c r="T1009" s="231"/>
      <c r="U1009" s="231"/>
      <c r="V1009" s="231"/>
      <c r="W1009" s="231"/>
      <c r="X1009" s="227"/>
      <c r="Y1009" s="232"/>
      <c r="Z1009" s="232"/>
      <c r="AA1009" s="232"/>
      <c r="AB1009" s="232"/>
      <c r="AC1009" s="227"/>
      <c r="AD1009" s="227"/>
      <c r="AE1009" s="231"/>
      <c r="AF1009" s="227"/>
      <c r="AG1009" s="232"/>
      <c r="AH1009" s="232"/>
      <c r="AI1009" s="232"/>
      <c r="AJ1009" s="232"/>
      <c r="AK1009" s="232"/>
      <c r="AL1009" s="232"/>
      <c r="AM1009" s="232"/>
      <c r="AN1009" s="232"/>
      <c r="AO1009" s="231"/>
      <c r="AP1009" s="231"/>
      <c r="AQ1009" s="227"/>
      <c r="AR1009" s="231"/>
      <c r="AS1009" s="227"/>
      <c r="AT1009" s="227"/>
      <c r="AU1009" s="227"/>
      <c r="AV1009" s="227"/>
    </row>
    <row r="1010">
      <c r="A1010" s="227"/>
      <c r="B1010" s="232"/>
      <c r="C1010" s="227"/>
      <c r="D1010" s="227"/>
      <c r="E1010" s="231"/>
      <c r="F1010" s="232"/>
      <c r="G1010" s="227"/>
      <c r="H1010" s="227"/>
      <c r="I1010" s="227"/>
      <c r="J1010" s="227"/>
      <c r="K1010" s="227"/>
      <c r="L1010" s="232"/>
      <c r="M1010" s="232"/>
      <c r="N1010" s="227"/>
      <c r="O1010" s="227"/>
      <c r="P1010" s="231"/>
      <c r="Q1010" s="227"/>
      <c r="R1010" s="231"/>
      <c r="S1010" s="231"/>
      <c r="T1010" s="231"/>
      <c r="U1010" s="231"/>
      <c r="V1010" s="231"/>
      <c r="W1010" s="231"/>
      <c r="X1010" s="227"/>
      <c r="Y1010" s="232"/>
      <c r="Z1010" s="232"/>
      <c r="AA1010" s="232"/>
      <c r="AB1010" s="232"/>
      <c r="AC1010" s="227"/>
      <c r="AD1010" s="227"/>
      <c r="AE1010" s="231"/>
      <c r="AF1010" s="227"/>
      <c r="AG1010" s="232"/>
      <c r="AH1010" s="232"/>
      <c r="AI1010" s="232"/>
      <c r="AJ1010" s="232"/>
      <c r="AK1010" s="232"/>
      <c r="AL1010" s="232"/>
      <c r="AM1010" s="232"/>
      <c r="AN1010" s="232"/>
      <c r="AO1010" s="231"/>
      <c r="AP1010" s="231"/>
      <c r="AQ1010" s="227"/>
      <c r="AR1010" s="231"/>
      <c r="AS1010" s="227"/>
      <c r="AT1010" s="227"/>
      <c r="AU1010" s="227"/>
      <c r="AV1010" s="227"/>
    </row>
    <row r="1011">
      <c r="A1011" s="227"/>
      <c r="B1011" s="232"/>
      <c r="C1011" s="227"/>
      <c r="D1011" s="227"/>
      <c r="E1011" s="231"/>
      <c r="F1011" s="232"/>
      <c r="G1011" s="227"/>
      <c r="H1011" s="227"/>
      <c r="I1011" s="227"/>
      <c r="J1011" s="227"/>
      <c r="K1011" s="227"/>
      <c r="L1011" s="232"/>
      <c r="M1011" s="232"/>
      <c r="N1011" s="227"/>
      <c r="O1011" s="227"/>
      <c r="P1011" s="231"/>
      <c r="Q1011" s="227"/>
      <c r="R1011" s="231"/>
      <c r="S1011" s="231"/>
      <c r="T1011" s="231"/>
      <c r="U1011" s="231"/>
      <c r="V1011" s="231"/>
      <c r="W1011" s="231"/>
      <c r="X1011" s="227"/>
      <c r="Y1011" s="232"/>
      <c r="Z1011" s="232"/>
      <c r="AA1011" s="232"/>
      <c r="AB1011" s="232"/>
      <c r="AC1011" s="227"/>
      <c r="AD1011" s="227"/>
      <c r="AE1011" s="231"/>
      <c r="AF1011" s="227"/>
      <c r="AG1011" s="232"/>
      <c r="AH1011" s="232"/>
      <c r="AI1011" s="232"/>
      <c r="AJ1011" s="232"/>
      <c r="AK1011" s="232"/>
      <c r="AL1011" s="232"/>
      <c r="AM1011" s="232"/>
      <c r="AN1011" s="232"/>
      <c r="AO1011" s="231"/>
      <c r="AP1011" s="231"/>
      <c r="AQ1011" s="227"/>
      <c r="AR1011" s="231"/>
      <c r="AS1011" s="227"/>
      <c r="AT1011" s="227"/>
      <c r="AU1011" s="227"/>
      <c r="AV1011" s="227"/>
    </row>
    <row r="1012">
      <c r="A1012" s="227"/>
      <c r="B1012" s="232"/>
      <c r="C1012" s="227"/>
      <c r="D1012" s="227"/>
      <c r="E1012" s="231"/>
      <c r="F1012" s="232"/>
      <c r="G1012" s="227"/>
      <c r="H1012" s="227"/>
      <c r="I1012" s="227"/>
      <c r="J1012" s="227"/>
      <c r="K1012" s="227"/>
      <c r="L1012" s="232"/>
      <c r="M1012" s="232"/>
      <c r="N1012" s="227"/>
      <c r="O1012" s="227"/>
      <c r="P1012" s="231"/>
      <c r="Q1012" s="227"/>
      <c r="R1012" s="231"/>
      <c r="S1012" s="231"/>
      <c r="T1012" s="231"/>
      <c r="U1012" s="231"/>
      <c r="V1012" s="231"/>
      <c r="W1012" s="231"/>
      <c r="X1012" s="227"/>
      <c r="Y1012" s="232"/>
      <c r="Z1012" s="232"/>
      <c r="AA1012" s="232"/>
      <c r="AB1012" s="232"/>
      <c r="AC1012" s="227"/>
      <c r="AD1012" s="227"/>
      <c r="AE1012" s="231"/>
      <c r="AF1012" s="227"/>
      <c r="AG1012" s="232"/>
      <c r="AH1012" s="232"/>
      <c r="AI1012" s="232"/>
      <c r="AJ1012" s="232"/>
      <c r="AK1012" s="232"/>
      <c r="AL1012" s="232"/>
      <c r="AM1012" s="232"/>
      <c r="AN1012" s="232"/>
      <c r="AO1012" s="231"/>
      <c r="AP1012" s="231"/>
      <c r="AQ1012" s="227"/>
      <c r="AR1012" s="231"/>
      <c r="AS1012" s="227"/>
      <c r="AT1012" s="227"/>
      <c r="AU1012" s="227"/>
      <c r="AV1012" s="227"/>
    </row>
    <row r="1013">
      <c r="A1013" s="227"/>
      <c r="B1013" s="232"/>
      <c r="C1013" s="227"/>
      <c r="D1013" s="227"/>
      <c r="E1013" s="231"/>
      <c r="F1013" s="232"/>
      <c r="G1013" s="227"/>
      <c r="H1013" s="227"/>
      <c r="I1013" s="227"/>
      <c r="J1013" s="227"/>
      <c r="K1013" s="227"/>
      <c r="L1013" s="232"/>
      <c r="M1013" s="232"/>
      <c r="N1013" s="227"/>
      <c r="O1013" s="227"/>
      <c r="P1013" s="231"/>
      <c r="Q1013" s="227"/>
      <c r="R1013" s="231"/>
      <c r="S1013" s="231"/>
      <c r="T1013" s="231"/>
      <c r="U1013" s="231"/>
      <c r="V1013" s="231"/>
      <c r="W1013" s="231"/>
      <c r="X1013" s="227"/>
      <c r="Y1013" s="232"/>
      <c r="Z1013" s="232"/>
      <c r="AA1013" s="232"/>
      <c r="AB1013" s="232"/>
      <c r="AC1013" s="227"/>
      <c r="AD1013" s="227"/>
      <c r="AE1013" s="231"/>
      <c r="AF1013" s="227"/>
      <c r="AG1013" s="232"/>
      <c r="AH1013" s="232"/>
      <c r="AI1013" s="232"/>
      <c r="AJ1013" s="232"/>
      <c r="AK1013" s="232"/>
      <c r="AL1013" s="232"/>
      <c r="AM1013" s="232"/>
      <c r="AN1013" s="232"/>
      <c r="AO1013" s="231"/>
      <c r="AP1013" s="231"/>
      <c r="AQ1013" s="227"/>
      <c r="AR1013" s="231"/>
      <c r="AS1013" s="227"/>
      <c r="AT1013" s="227"/>
      <c r="AU1013" s="227"/>
      <c r="AV1013" s="227"/>
    </row>
    <row r="1014">
      <c r="A1014" s="227"/>
      <c r="B1014" s="232"/>
      <c r="C1014" s="227"/>
      <c r="D1014" s="227"/>
      <c r="E1014" s="231"/>
      <c r="F1014" s="232"/>
      <c r="G1014" s="227"/>
      <c r="H1014" s="227"/>
      <c r="I1014" s="227"/>
      <c r="J1014" s="227"/>
      <c r="K1014" s="227"/>
      <c r="L1014" s="232"/>
      <c r="M1014" s="232"/>
      <c r="N1014" s="227"/>
      <c r="O1014" s="227"/>
      <c r="P1014" s="231"/>
      <c r="Q1014" s="227"/>
      <c r="R1014" s="231"/>
      <c r="S1014" s="231"/>
      <c r="T1014" s="231"/>
      <c r="U1014" s="231"/>
      <c r="V1014" s="231"/>
      <c r="W1014" s="231"/>
      <c r="X1014" s="227"/>
      <c r="Y1014" s="232"/>
      <c r="Z1014" s="232"/>
      <c r="AA1014" s="232"/>
      <c r="AB1014" s="232"/>
      <c r="AC1014" s="227"/>
      <c r="AD1014" s="227"/>
      <c r="AE1014" s="231"/>
      <c r="AF1014" s="227"/>
      <c r="AG1014" s="232"/>
      <c r="AH1014" s="232"/>
      <c r="AI1014" s="232"/>
      <c r="AJ1014" s="232"/>
      <c r="AK1014" s="232"/>
      <c r="AL1014" s="232"/>
      <c r="AM1014" s="232"/>
      <c r="AN1014" s="232"/>
      <c r="AO1014" s="231"/>
      <c r="AP1014" s="231"/>
      <c r="AQ1014" s="227"/>
      <c r="AR1014" s="231"/>
      <c r="AS1014" s="227"/>
      <c r="AT1014" s="227"/>
      <c r="AU1014" s="227"/>
      <c r="AV1014" s="227"/>
    </row>
    <row r="1015">
      <c r="A1015" s="227"/>
      <c r="B1015" s="232"/>
      <c r="C1015" s="227"/>
      <c r="D1015" s="227"/>
      <c r="E1015" s="231"/>
      <c r="F1015" s="232"/>
      <c r="G1015" s="227"/>
      <c r="H1015" s="227"/>
      <c r="I1015" s="227"/>
      <c r="J1015" s="227"/>
      <c r="K1015" s="227"/>
      <c r="L1015" s="232"/>
      <c r="M1015" s="232"/>
      <c r="N1015" s="227"/>
      <c r="O1015" s="227"/>
      <c r="P1015" s="231"/>
      <c r="Q1015" s="227"/>
      <c r="R1015" s="231"/>
      <c r="S1015" s="231"/>
      <c r="T1015" s="231"/>
      <c r="U1015" s="231"/>
      <c r="V1015" s="231"/>
      <c r="W1015" s="231"/>
      <c r="X1015" s="227"/>
      <c r="Y1015" s="232"/>
      <c r="Z1015" s="232"/>
      <c r="AA1015" s="232"/>
      <c r="AB1015" s="232"/>
      <c r="AC1015" s="227"/>
      <c r="AD1015" s="227"/>
      <c r="AE1015" s="231"/>
      <c r="AF1015" s="227"/>
      <c r="AG1015" s="232"/>
      <c r="AH1015" s="232"/>
      <c r="AI1015" s="232"/>
      <c r="AJ1015" s="232"/>
      <c r="AK1015" s="232"/>
      <c r="AL1015" s="232"/>
      <c r="AM1015" s="232"/>
      <c r="AN1015" s="232"/>
      <c r="AO1015" s="231"/>
      <c r="AP1015" s="231"/>
      <c r="AQ1015" s="227"/>
      <c r="AR1015" s="231"/>
      <c r="AS1015" s="227"/>
      <c r="AT1015" s="227"/>
      <c r="AU1015" s="227"/>
      <c r="AV1015" s="227"/>
    </row>
    <row r="1016">
      <c r="A1016" s="227"/>
      <c r="B1016" s="232"/>
      <c r="C1016" s="227"/>
      <c r="D1016" s="227"/>
      <c r="E1016" s="231"/>
      <c r="F1016" s="232"/>
      <c r="G1016" s="227"/>
      <c r="H1016" s="227"/>
      <c r="I1016" s="227"/>
      <c r="J1016" s="227"/>
      <c r="K1016" s="227"/>
      <c r="L1016" s="232"/>
      <c r="M1016" s="232"/>
      <c r="N1016" s="227"/>
      <c r="O1016" s="227"/>
      <c r="P1016" s="231"/>
      <c r="Q1016" s="227"/>
      <c r="R1016" s="231"/>
      <c r="S1016" s="231"/>
      <c r="T1016" s="231"/>
      <c r="U1016" s="231"/>
      <c r="V1016" s="231"/>
      <c r="W1016" s="231"/>
      <c r="X1016" s="227"/>
      <c r="Y1016" s="232"/>
      <c r="Z1016" s="232"/>
      <c r="AA1016" s="232"/>
      <c r="AB1016" s="232"/>
      <c r="AC1016" s="227"/>
      <c r="AD1016" s="227"/>
      <c r="AE1016" s="231"/>
      <c r="AF1016" s="227"/>
      <c r="AG1016" s="232"/>
      <c r="AH1016" s="232"/>
      <c r="AI1016" s="232"/>
      <c r="AJ1016" s="232"/>
      <c r="AK1016" s="232"/>
      <c r="AL1016" s="232"/>
      <c r="AM1016" s="232"/>
      <c r="AN1016" s="232"/>
      <c r="AO1016" s="231"/>
      <c r="AP1016" s="231"/>
      <c r="AQ1016" s="227"/>
      <c r="AR1016" s="231"/>
      <c r="AS1016" s="227"/>
      <c r="AT1016" s="227"/>
      <c r="AU1016" s="227"/>
      <c r="AV1016" s="227"/>
    </row>
    <row r="1017">
      <c r="A1017" s="227"/>
      <c r="B1017" s="232"/>
      <c r="C1017" s="227"/>
      <c r="D1017" s="227"/>
      <c r="E1017" s="231"/>
      <c r="F1017" s="232"/>
      <c r="G1017" s="227"/>
      <c r="H1017" s="227"/>
      <c r="I1017" s="227"/>
      <c r="J1017" s="227"/>
      <c r="K1017" s="227"/>
      <c r="L1017" s="232"/>
      <c r="M1017" s="232"/>
      <c r="N1017" s="227"/>
      <c r="O1017" s="227"/>
      <c r="P1017" s="231"/>
      <c r="Q1017" s="227"/>
      <c r="R1017" s="231"/>
      <c r="S1017" s="231"/>
      <c r="T1017" s="231"/>
      <c r="U1017" s="231"/>
      <c r="V1017" s="231"/>
      <c r="W1017" s="231"/>
      <c r="X1017" s="227"/>
      <c r="Y1017" s="232"/>
      <c r="Z1017" s="232"/>
      <c r="AA1017" s="232"/>
      <c r="AB1017" s="232"/>
      <c r="AC1017" s="227"/>
      <c r="AD1017" s="227"/>
      <c r="AE1017" s="231"/>
      <c r="AF1017" s="227"/>
      <c r="AG1017" s="232"/>
      <c r="AH1017" s="232"/>
      <c r="AI1017" s="232"/>
      <c r="AJ1017" s="232"/>
      <c r="AK1017" s="232"/>
      <c r="AL1017" s="232"/>
      <c r="AM1017" s="232"/>
      <c r="AN1017" s="232"/>
      <c r="AO1017" s="231"/>
      <c r="AP1017" s="231"/>
      <c r="AQ1017" s="227"/>
      <c r="AR1017" s="231"/>
      <c r="AS1017" s="227"/>
      <c r="AT1017" s="227"/>
      <c r="AU1017" s="227"/>
      <c r="AV1017" s="227"/>
    </row>
    <row r="1018">
      <c r="A1018" s="227"/>
      <c r="B1018" s="232"/>
      <c r="C1018" s="227"/>
      <c r="D1018" s="227"/>
      <c r="E1018" s="231"/>
      <c r="F1018" s="232"/>
      <c r="G1018" s="227"/>
      <c r="H1018" s="227"/>
      <c r="I1018" s="227"/>
      <c r="J1018" s="227"/>
      <c r="K1018" s="227"/>
      <c r="L1018" s="232"/>
      <c r="M1018" s="232"/>
      <c r="N1018" s="227"/>
      <c r="O1018" s="227"/>
      <c r="P1018" s="231"/>
      <c r="Q1018" s="227"/>
      <c r="R1018" s="231"/>
      <c r="S1018" s="231"/>
      <c r="T1018" s="231"/>
      <c r="U1018" s="231"/>
      <c r="V1018" s="231"/>
      <c r="W1018" s="231"/>
      <c r="X1018" s="227"/>
      <c r="Y1018" s="232"/>
      <c r="Z1018" s="232"/>
      <c r="AA1018" s="232"/>
      <c r="AB1018" s="232"/>
      <c r="AC1018" s="227"/>
      <c r="AD1018" s="227"/>
      <c r="AE1018" s="231"/>
      <c r="AF1018" s="227"/>
      <c r="AG1018" s="232"/>
      <c r="AH1018" s="232"/>
      <c r="AI1018" s="232"/>
      <c r="AJ1018" s="232"/>
      <c r="AK1018" s="232"/>
      <c r="AL1018" s="232"/>
      <c r="AM1018" s="232"/>
      <c r="AN1018" s="232"/>
      <c r="AO1018" s="231"/>
      <c r="AP1018" s="231"/>
      <c r="AQ1018" s="227"/>
      <c r="AR1018" s="231"/>
      <c r="AS1018" s="227"/>
      <c r="AT1018" s="227"/>
      <c r="AU1018" s="227"/>
      <c r="AV1018" s="227"/>
    </row>
    <row r="1019">
      <c r="A1019" s="227"/>
      <c r="B1019" s="232"/>
      <c r="C1019" s="227"/>
      <c r="D1019" s="227"/>
      <c r="E1019" s="231"/>
      <c r="F1019" s="232"/>
      <c r="G1019" s="227"/>
      <c r="H1019" s="227"/>
      <c r="I1019" s="227"/>
      <c r="J1019" s="227"/>
      <c r="K1019" s="227"/>
      <c r="L1019" s="232"/>
      <c r="M1019" s="232"/>
      <c r="N1019" s="227"/>
      <c r="O1019" s="227"/>
      <c r="P1019" s="231"/>
      <c r="Q1019" s="227"/>
      <c r="R1019" s="231"/>
      <c r="S1019" s="231"/>
      <c r="T1019" s="231"/>
      <c r="U1019" s="231"/>
      <c r="V1019" s="231"/>
      <c r="W1019" s="231"/>
      <c r="X1019" s="227"/>
      <c r="Y1019" s="232"/>
      <c r="Z1019" s="232"/>
      <c r="AA1019" s="232"/>
      <c r="AB1019" s="232"/>
      <c r="AC1019" s="227"/>
      <c r="AD1019" s="227"/>
      <c r="AE1019" s="231"/>
      <c r="AF1019" s="227"/>
      <c r="AG1019" s="232"/>
      <c r="AH1019" s="232"/>
      <c r="AI1019" s="232"/>
      <c r="AJ1019" s="232"/>
      <c r="AK1019" s="232"/>
      <c r="AL1019" s="232"/>
      <c r="AM1019" s="232"/>
      <c r="AN1019" s="232"/>
      <c r="AO1019" s="231"/>
      <c r="AP1019" s="231"/>
      <c r="AQ1019" s="227"/>
      <c r="AR1019" s="231"/>
      <c r="AS1019" s="227"/>
      <c r="AT1019" s="227"/>
      <c r="AU1019" s="227"/>
      <c r="AV1019" s="227"/>
    </row>
    <row r="1020">
      <c r="A1020" s="227"/>
      <c r="B1020" s="232"/>
      <c r="C1020" s="227"/>
      <c r="D1020" s="227"/>
      <c r="E1020" s="231"/>
      <c r="F1020" s="232"/>
      <c r="G1020" s="227"/>
      <c r="H1020" s="227"/>
      <c r="I1020" s="227"/>
      <c r="J1020" s="227"/>
      <c r="K1020" s="227"/>
      <c r="L1020" s="232"/>
      <c r="M1020" s="232"/>
      <c r="N1020" s="227"/>
      <c r="O1020" s="227"/>
      <c r="P1020" s="231"/>
      <c r="Q1020" s="227"/>
      <c r="R1020" s="231"/>
      <c r="S1020" s="231"/>
      <c r="T1020" s="231"/>
      <c r="U1020" s="231"/>
      <c r="V1020" s="231"/>
      <c r="W1020" s="231"/>
      <c r="X1020" s="227"/>
      <c r="Y1020" s="232"/>
      <c r="Z1020" s="232"/>
      <c r="AA1020" s="232"/>
      <c r="AB1020" s="232"/>
      <c r="AC1020" s="227"/>
      <c r="AD1020" s="227"/>
      <c r="AE1020" s="231"/>
      <c r="AF1020" s="227"/>
      <c r="AG1020" s="232"/>
      <c r="AH1020" s="232"/>
      <c r="AI1020" s="232"/>
      <c r="AJ1020" s="232"/>
      <c r="AK1020" s="232"/>
      <c r="AL1020" s="232"/>
      <c r="AM1020" s="232"/>
      <c r="AN1020" s="232"/>
      <c r="AO1020" s="231"/>
      <c r="AP1020" s="231"/>
      <c r="AQ1020" s="227"/>
      <c r="AR1020" s="231"/>
      <c r="AS1020" s="227"/>
      <c r="AT1020" s="227"/>
      <c r="AU1020" s="227"/>
      <c r="AV1020" s="227"/>
    </row>
    <row r="1021">
      <c r="A1021" s="227"/>
      <c r="B1021" s="232"/>
      <c r="C1021" s="227"/>
      <c r="D1021" s="227"/>
      <c r="E1021" s="231"/>
      <c r="F1021" s="232"/>
      <c r="G1021" s="227"/>
      <c r="H1021" s="227"/>
      <c r="I1021" s="227"/>
      <c r="J1021" s="227"/>
      <c r="K1021" s="227"/>
      <c r="L1021" s="232"/>
      <c r="M1021" s="232"/>
      <c r="N1021" s="227"/>
      <c r="O1021" s="227"/>
      <c r="P1021" s="231"/>
      <c r="Q1021" s="227"/>
      <c r="R1021" s="231"/>
      <c r="S1021" s="231"/>
      <c r="T1021" s="231"/>
      <c r="U1021" s="231"/>
      <c r="V1021" s="231"/>
      <c r="W1021" s="231"/>
      <c r="X1021" s="227"/>
      <c r="Y1021" s="232"/>
      <c r="Z1021" s="232"/>
      <c r="AA1021" s="232"/>
      <c r="AB1021" s="232"/>
      <c r="AC1021" s="227"/>
      <c r="AD1021" s="227"/>
      <c r="AE1021" s="231"/>
      <c r="AF1021" s="227"/>
      <c r="AG1021" s="232"/>
      <c r="AH1021" s="232"/>
      <c r="AI1021" s="232"/>
      <c r="AJ1021" s="232"/>
      <c r="AK1021" s="232"/>
      <c r="AL1021" s="232"/>
      <c r="AM1021" s="232"/>
      <c r="AN1021" s="232"/>
      <c r="AO1021" s="231"/>
      <c r="AP1021" s="231"/>
      <c r="AQ1021" s="227"/>
      <c r="AR1021" s="231"/>
      <c r="AS1021" s="227"/>
      <c r="AT1021" s="227"/>
      <c r="AU1021" s="227"/>
      <c r="AV1021" s="227"/>
    </row>
    <row r="1022">
      <c r="A1022" s="227"/>
      <c r="B1022" s="232"/>
      <c r="C1022" s="227"/>
      <c r="D1022" s="227"/>
      <c r="E1022" s="231"/>
      <c r="F1022" s="232"/>
      <c r="G1022" s="227"/>
      <c r="H1022" s="227"/>
      <c r="I1022" s="227"/>
      <c r="J1022" s="227"/>
      <c r="K1022" s="227"/>
      <c r="L1022" s="232"/>
      <c r="M1022" s="232"/>
      <c r="N1022" s="227"/>
      <c r="O1022" s="227"/>
      <c r="P1022" s="231"/>
      <c r="Q1022" s="227"/>
      <c r="R1022" s="231"/>
      <c r="S1022" s="231"/>
      <c r="T1022" s="231"/>
      <c r="U1022" s="231"/>
      <c r="V1022" s="231"/>
      <c r="W1022" s="231"/>
      <c r="X1022" s="227"/>
      <c r="Y1022" s="232"/>
      <c r="Z1022" s="232"/>
      <c r="AA1022" s="232"/>
      <c r="AB1022" s="232"/>
      <c r="AC1022" s="227"/>
      <c r="AD1022" s="227"/>
      <c r="AE1022" s="231"/>
      <c r="AF1022" s="227"/>
      <c r="AG1022" s="232"/>
      <c r="AH1022" s="232"/>
      <c r="AI1022" s="232"/>
      <c r="AJ1022" s="232"/>
      <c r="AK1022" s="232"/>
      <c r="AL1022" s="232"/>
      <c r="AM1022" s="232"/>
      <c r="AN1022" s="232"/>
      <c r="AO1022" s="231"/>
      <c r="AP1022" s="231"/>
      <c r="AQ1022" s="227"/>
      <c r="AR1022" s="231"/>
      <c r="AS1022" s="227"/>
      <c r="AT1022" s="227"/>
      <c r="AU1022" s="227"/>
      <c r="AV1022" s="227"/>
    </row>
    <row r="1023">
      <c r="A1023" s="227"/>
      <c r="B1023" s="232"/>
      <c r="C1023" s="227"/>
      <c r="D1023" s="227"/>
      <c r="E1023" s="231"/>
      <c r="F1023" s="232"/>
      <c r="G1023" s="227"/>
      <c r="H1023" s="227"/>
      <c r="I1023" s="227"/>
      <c r="J1023" s="227"/>
      <c r="K1023" s="227"/>
      <c r="L1023" s="232"/>
      <c r="M1023" s="232"/>
      <c r="N1023" s="227"/>
      <c r="O1023" s="227"/>
      <c r="P1023" s="231"/>
      <c r="Q1023" s="227"/>
      <c r="R1023" s="231"/>
      <c r="S1023" s="231"/>
      <c r="T1023" s="231"/>
      <c r="U1023" s="231"/>
      <c r="V1023" s="231"/>
      <c r="W1023" s="231"/>
      <c r="X1023" s="227"/>
      <c r="Y1023" s="232"/>
      <c r="Z1023" s="232"/>
      <c r="AA1023" s="232"/>
      <c r="AB1023" s="232"/>
      <c r="AC1023" s="227"/>
      <c r="AD1023" s="227"/>
      <c r="AE1023" s="231"/>
      <c r="AF1023" s="227"/>
      <c r="AG1023" s="232"/>
      <c r="AH1023" s="232"/>
      <c r="AI1023" s="232"/>
      <c r="AJ1023" s="232"/>
      <c r="AK1023" s="232"/>
      <c r="AL1023" s="232"/>
      <c r="AM1023" s="232"/>
      <c r="AN1023" s="232"/>
      <c r="AO1023" s="231"/>
      <c r="AP1023" s="231"/>
      <c r="AQ1023" s="227"/>
      <c r="AR1023" s="231"/>
      <c r="AS1023" s="227"/>
      <c r="AT1023" s="227"/>
      <c r="AU1023" s="227"/>
      <c r="AV1023" s="227"/>
    </row>
    <row r="1024">
      <c r="A1024" s="227"/>
      <c r="B1024" s="232"/>
      <c r="C1024" s="227"/>
      <c r="D1024" s="227"/>
      <c r="E1024" s="231"/>
      <c r="F1024" s="232"/>
      <c r="G1024" s="227"/>
      <c r="H1024" s="227"/>
      <c r="I1024" s="227"/>
      <c r="J1024" s="227"/>
      <c r="K1024" s="227"/>
      <c r="L1024" s="232"/>
      <c r="M1024" s="232"/>
      <c r="N1024" s="227"/>
      <c r="O1024" s="227"/>
      <c r="P1024" s="231"/>
      <c r="Q1024" s="227"/>
      <c r="R1024" s="231"/>
      <c r="S1024" s="231"/>
      <c r="T1024" s="231"/>
      <c r="U1024" s="231"/>
      <c r="V1024" s="231"/>
      <c r="W1024" s="231"/>
      <c r="X1024" s="227"/>
      <c r="Y1024" s="232"/>
      <c r="Z1024" s="232"/>
      <c r="AA1024" s="232"/>
      <c r="AB1024" s="232"/>
      <c r="AC1024" s="227"/>
      <c r="AD1024" s="227"/>
      <c r="AE1024" s="231"/>
      <c r="AF1024" s="227"/>
      <c r="AG1024" s="232"/>
      <c r="AH1024" s="232"/>
      <c r="AI1024" s="232"/>
      <c r="AJ1024" s="232"/>
      <c r="AK1024" s="232"/>
      <c r="AL1024" s="232"/>
      <c r="AM1024" s="232"/>
      <c r="AN1024" s="232"/>
      <c r="AO1024" s="231"/>
      <c r="AP1024" s="231"/>
      <c r="AQ1024" s="227"/>
      <c r="AR1024" s="231"/>
      <c r="AS1024" s="227"/>
      <c r="AT1024" s="227"/>
      <c r="AU1024" s="227"/>
      <c r="AV1024" s="227"/>
    </row>
    <row r="1025">
      <c r="A1025" s="227"/>
      <c r="B1025" s="232"/>
      <c r="C1025" s="227"/>
      <c r="D1025" s="227"/>
      <c r="E1025" s="231"/>
      <c r="F1025" s="232"/>
      <c r="G1025" s="227"/>
      <c r="H1025" s="227"/>
      <c r="I1025" s="227"/>
      <c r="J1025" s="227"/>
      <c r="K1025" s="227"/>
      <c r="L1025" s="232"/>
      <c r="M1025" s="232"/>
      <c r="N1025" s="227"/>
      <c r="O1025" s="227"/>
      <c r="P1025" s="231"/>
      <c r="Q1025" s="227"/>
      <c r="R1025" s="231"/>
      <c r="S1025" s="231"/>
      <c r="T1025" s="231"/>
      <c r="U1025" s="231"/>
      <c r="V1025" s="231"/>
      <c r="W1025" s="231"/>
      <c r="X1025" s="227"/>
      <c r="Y1025" s="232"/>
      <c r="Z1025" s="232"/>
      <c r="AA1025" s="232"/>
      <c r="AB1025" s="232"/>
      <c r="AC1025" s="227"/>
      <c r="AD1025" s="227"/>
      <c r="AE1025" s="231"/>
      <c r="AF1025" s="227"/>
      <c r="AG1025" s="232"/>
      <c r="AH1025" s="232"/>
      <c r="AI1025" s="232"/>
      <c r="AJ1025" s="232"/>
      <c r="AK1025" s="232"/>
      <c r="AL1025" s="232"/>
      <c r="AM1025" s="232"/>
      <c r="AN1025" s="232"/>
      <c r="AO1025" s="231"/>
      <c r="AP1025" s="231"/>
      <c r="AQ1025" s="227"/>
      <c r="AR1025" s="231"/>
      <c r="AS1025" s="227"/>
      <c r="AT1025" s="227"/>
      <c r="AU1025" s="227"/>
      <c r="AV1025" s="227"/>
    </row>
    <row r="1026">
      <c r="A1026" s="227"/>
      <c r="B1026" s="232"/>
      <c r="C1026" s="227"/>
      <c r="D1026" s="227"/>
      <c r="E1026" s="231"/>
      <c r="F1026" s="232"/>
      <c r="G1026" s="227"/>
      <c r="H1026" s="227"/>
      <c r="I1026" s="227"/>
      <c r="J1026" s="227"/>
      <c r="K1026" s="227"/>
      <c r="L1026" s="232"/>
      <c r="M1026" s="232"/>
      <c r="N1026" s="227"/>
      <c r="O1026" s="227"/>
      <c r="P1026" s="231"/>
      <c r="Q1026" s="227"/>
      <c r="R1026" s="231"/>
      <c r="S1026" s="231"/>
      <c r="T1026" s="231"/>
      <c r="U1026" s="231"/>
      <c r="V1026" s="231"/>
      <c r="W1026" s="231"/>
      <c r="X1026" s="227"/>
      <c r="Y1026" s="232"/>
      <c r="Z1026" s="232"/>
      <c r="AA1026" s="232"/>
      <c r="AB1026" s="232"/>
      <c r="AC1026" s="227"/>
      <c r="AD1026" s="227"/>
      <c r="AE1026" s="231"/>
      <c r="AF1026" s="227"/>
      <c r="AG1026" s="232"/>
      <c r="AH1026" s="232"/>
      <c r="AI1026" s="232"/>
      <c r="AJ1026" s="232"/>
      <c r="AK1026" s="232"/>
      <c r="AL1026" s="232"/>
      <c r="AM1026" s="232"/>
      <c r="AN1026" s="232"/>
      <c r="AO1026" s="231"/>
      <c r="AP1026" s="231"/>
      <c r="AQ1026" s="227"/>
      <c r="AR1026" s="231"/>
      <c r="AS1026" s="227"/>
      <c r="AT1026" s="227"/>
      <c r="AU1026" s="227"/>
      <c r="AV1026" s="227"/>
    </row>
    <row r="1027">
      <c r="A1027" s="227"/>
      <c r="B1027" s="232"/>
      <c r="C1027" s="227"/>
      <c r="D1027" s="227"/>
      <c r="E1027" s="231"/>
      <c r="F1027" s="232"/>
      <c r="G1027" s="227"/>
      <c r="H1027" s="227"/>
      <c r="I1027" s="227"/>
      <c r="J1027" s="227"/>
      <c r="K1027" s="227"/>
      <c r="L1027" s="232"/>
      <c r="M1027" s="232"/>
      <c r="N1027" s="227"/>
      <c r="O1027" s="227"/>
      <c r="P1027" s="231"/>
      <c r="Q1027" s="227"/>
      <c r="R1027" s="231"/>
      <c r="S1027" s="231"/>
      <c r="T1027" s="231"/>
      <c r="U1027" s="231"/>
      <c r="V1027" s="231"/>
      <c r="W1027" s="231"/>
      <c r="X1027" s="227"/>
      <c r="Y1027" s="232"/>
      <c r="Z1027" s="232"/>
      <c r="AA1027" s="232"/>
      <c r="AB1027" s="232"/>
      <c r="AC1027" s="227"/>
      <c r="AD1027" s="227"/>
      <c r="AE1027" s="231"/>
      <c r="AF1027" s="227"/>
      <c r="AG1027" s="232"/>
      <c r="AH1027" s="232"/>
      <c r="AI1027" s="232"/>
      <c r="AJ1027" s="232"/>
      <c r="AK1027" s="232"/>
      <c r="AL1027" s="232"/>
      <c r="AM1027" s="232"/>
      <c r="AN1027" s="232"/>
      <c r="AO1027" s="231"/>
      <c r="AP1027" s="231"/>
      <c r="AQ1027" s="227"/>
      <c r="AR1027" s="231"/>
      <c r="AS1027" s="227"/>
      <c r="AT1027" s="227"/>
      <c r="AU1027" s="227"/>
      <c r="AV1027" s="227"/>
    </row>
    <row r="1028">
      <c r="A1028" s="227"/>
      <c r="B1028" s="232"/>
      <c r="C1028" s="227"/>
      <c r="D1028" s="227"/>
      <c r="E1028" s="231"/>
      <c r="F1028" s="232"/>
      <c r="G1028" s="227"/>
      <c r="H1028" s="227"/>
      <c r="I1028" s="227"/>
      <c r="J1028" s="227"/>
      <c r="K1028" s="227"/>
      <c r="L1028" s="232"/>
      <c r="M1028" s="232"/>
      <c r="N1028" s="227"/>
      <c r="O1028" s="227"/>
      <c r="P1028" s="231"/>
      <c r="Q1028" s="227"/>
      <c r="R1028" s="231"/>
      <c r="S1028" s="231"/>
      <c r="T1028" s="231"/>
      <c r="U1028" s="231"/>
      <c r="V1028" s="231"/>
      <c r="W1028" s="231"/>
      <c r="X1028" s="227"/>
      <c r="Y1028" s="232"/>
      <c r="Z1028" s="232"/>
      <c r="AA1028" s="232"/>
      <c r="AB1028" s="232"/>
      <c r="AC1028" s="227"/>
      <c r="AD1028" s="227"/>
      <c r="AE1028" s="231"/>
      <c r="AF1028" s="227"/>
      <c r="AG1028" s="232"/>
      <c r="AH1028" s="232"/>
      <c r="AI1028" s="232"/>
      <c r="AJ1028" s="232"/>
      <c r="AK1028" s="232"/>
      <c r="AL1028" s="232"/>
      <c r="AM1028" s="232"/>
      <c r="AN1028" s="232"/>
      <c r="AO1028" s="231"/>
      <c r="AP1028" s="231"/>
      <c r="AQ1028" s="227"/>
      <c r="AR1028" s="231"/>
      <c r="AS1028" s="227"/>
      <c r="AT1028" s="227"/>
      <c r="AU1028" s="227"/>
      <c r="AV1028" s="227"/>
    </row>
    <row r="1029">
      <c r="A1029" s="227"/>
      <c r="B1029" s="232"/>
      <c r="C1029" s="227"/>
      <c r="D1029" s="227"/>
      <c r="E1029" s="231"/>
      <c r="F1029" s="232"/>
      <c r="G1029" s="227"/>
      <c r="H1029" s="227"/>
      <c r="I1029" s="227"/>
      <c r="J1029" s="227"/>
      <c r="K1029" s="227"/>
      <c r="L1029" s="232"/>
      <c r="M1029" s="232"/>
      <c r="N1029" s="227"/>
      <c r="O1029" s="227"/>
      <c r="P1029" s="231"/>
      <c r="Q1029" s="227"/>
      <c r="R1029" s="231"/>
      <c r="S1029" s="231"/>
      <c r="T1029" s="231"/>
      <c r="U1029" s="231"/>
      <c r="V1029" s="231"/>
      <c r="W1029" s="231"/>
      <c r="X1029" s="227"/>
      <c r="Y1029" s="232"/>
      <c r="Z1029" s="232"/>
      <c r="AA1029" s="232"/>
      <c r="AB1029" s="232"/>
      <c r="AC1029" s="227"/>
      <c r="AD1029" s="227"/>
      <c r="AE1029" s="231"/>
      <c r="AF1029" s="227"/>
      <c r="AG1029" s="232"/>
      <c r="AH1029" s="232"/>
      <c r="AI1029" s="232"/>
      <c r="AJ1029" s="232"/>
      <c r="AK1029" s="232"/>
      <c r="AL1029" s="232"/>
      <c r="AM1029" s="232"/>
      <c r="AN1029" s="232"/>
      <c r="AO1029" s="231"/>
      <c r="AP1029" s="231"/>
      <c r="AQ1029" s="227"/>
      <c r="AR1029" s="231"/>
      <c r="AS1029" s="227"/>
      <c r="AT1029" s="227"/>
      <c r="AU1029" s="227"/>
      <c r="AV1029" s="227"/>
    </row>
    <row r="1030">
      <c r="A1030" s="227"/>
      <c r="B1030" s="232"/>
      <c r="C1030" s="227"/>
      <c r="D1030" s="227"/>
      <c r="E1030" s="231"/>
      <c r="F1030" s="232"/>
      <c r="G1030" s="227"/>
      <c r="H1030" s="227"/>
      <c r="I1030" s="227"/>
      <c r="J1030" s="227"/>
      <c r="K1030" s="227"/>
      <c r="L1030" s="232"/>
      <c r="M1030" s="232"/>
      <c r="N1030" s="227"/>
      <c r="O1030" s="227"/>
      <c r="P1030" s="231"/>
      <c r="Q1030" s="227"/>
      <c r="R1030" s="231"/>
      <c r="S1030" s="231"/>
      <c r="T1030" s="231"/>
      <c r="U1030" s="231"/>
      <c r="V1030" s="231"/>
      <c r="W1030" s="231"/>
      <c r="X1030" s="227"/>
      <c r="Y1030" s="232"/>
      <c r="Z1030" s="232"/>
      <c r="AA1030" s="232"/>
      <c r="AB1030" s="232"/>
      <c r="AC1030" s="227"/>
      <c r="AD1030" s="227"/>
      <c r="AE1030" s="231"/>
      <c r="AF1030" s="227"/>
      <c r="AG1030" s="232"/>
      <c r="AH1030" s="232"/>
      <c r="AI1030" s="232"/>
      <c r="AJ1030" s="232"/>
      <c r="AK1030" s="232"/>
      <c r="AL1030" s="232"/>
      <c r="AM1030" s="232"/>
      <c r="AN1030" s="232"/>
      <c r="AO1030" s="231"/>
      <c r="AP1030" s="231"/>
      <c r="AQ1030" s="227"/>
      <c r="AR1030" s="231"/>
      <c r="AS1030" s="227"/>
      <c r="AT1030" s="227"/>
      <c r="AU1030" s="227"/>
      <c r="AV1030" s="227"/>
    </row>
    <row r="1031">
      <c r="A1031" s="227"/>
      <c r="B1031" s="232"/>
      <c r="C1031" s="227"/>
      <c r="D1031" s="227"/>
      <c r="E1031" s="231"/>
      <c r="F1031" s="232"/>
      <c r="G1031" s="227"/>
      <c r="H1031" s="227"/>
      <c r="I1031" s="227"/>
      <c r="J1031" s="227"/>
      <c r="K1031" s="227"/>
      <c r="L1031" s="232"/>
      <c r="M1031" s="232"/>
      <c r="N1031" s="227"/>
      <c r="O1031" s="227"/>
      <c r="P1031" s="231"/>
      <c r="Q1031" s="227"/>
      <c r="R1031" s="231"/>
      <c r="S1031" s="231"/>
      <c r="T1031" s="231"/>
      <c r="U1031" s="231"/>
      <c r="V1031" s="231"/>
      <c r="W1031" s="231"/>
      <c r="X1031" s="227"/>
      <c r="Y1031" s="232"/>
      <c r="Z1031" s="232"/>
      <c r="AA1031" s="232"/>
      <c r="AB1031" s="232"/>
      <c r="AC1031" s="227"/>
      <c r="AD1031" s="227"/>
      <c r="AE1031" s="231"/>
      <c r="AF1031" s="227"/>
      <c r="AG1031" s="232"/>
      <c r="AH1031" s="232"/>
      <c r="AI1031" s="232"/>
      <c r="AJ1031" s="232"/>
      <c r="AK1031" s="232"/>
      <c r="AL1031" s="232"/>
      <c r="AM1031" s="232"/>
      <c r="AN1031" s="232"/>
      <c r="AO1031" s="231"/>
      <c r="AP1031" s="231"/>
      <c r="AQ1031" s="227"/>
      <c r="AR1031" s="231"/>
      <c r="AS1031" s="227"/>
      <c r="AT1031" s="227"/>
      <c r="AU1031" s="227"/>
      <c r="AV1031" s="227"/>
    </row>
    <row r="1032">
      <c r="A1032" s="227"/>
      <c r="B1032" s="232"/>
      <c r="C1032" s="227"/>
      <c r="D1032" s="227"/>
      <c r="E1032" s="231"/>
      <c r="F1032" s="232"/>
      <c r="G1032" s="227"/>
      <c r="H1032" s="227"/>
      <c r="I1032" s="227"/>
      <c r="J1032" s="227"/>
      <c r="K1032" s="227"/>
      <c r="L1032" s="232"/>
      <c r="M1032" s="232"/>
      <c r="N1032" s="227"/>
      <c r="O1032" s="227"/>
      <c r="P1032" s="231"/>
      <c r="Q1032" s="227"/>
      <c r="R1032" s="231"/>
      <c r="S1032" s="231"/>
      <c r="T1032" s="231"/>
      <c r="U1032" s="231"/>
      <c r="V1032" s="231"/>
      <c r="W1032" s="231"/>
      <c r="X1032" s="227"/>
      <c r="Y1032" s="232"/>
      <c r="Z1032" s="232"/>
      <c r="AA1032" s="232"/>
      <c r="AB1032" s="232"/>
      <c r="AC1032" s="227"/>
      <c r="AD1032" s="227"/>
      <c r="AE1032" s="231"/>
      <c r="AF1032" s="227"/>
      <c r="AG1032" s="232"/>
      <c r="AH1032" s="232"/>
      <c r="AI1032" s="232"/>
      <c r="AJ1032" s="232"/>
      <c r="AK1032" s="232"/>
      <c r="AL1032" s="232"/>
      <c r="AM1032" s="232"/>
      <c r="AN1032" s="232"/>
      <c r="AO1032" s="231"/>
      <c r="AP1032" s="231"/>
      <c r="AQ1032" s="227"/>
      <c r="AR1032" s="231"/>
      <c r="AS1032" s="227"/>
      <c r="AT1032" s="227"/>
      <c r="AU1032" s="227"/>
      <c r="AV1032" s="227"/>
    </row>
    <row r="1033">
      <c r="A1033" s="227"/>
      <c r="B1033" s="232"/>
      <c r="C1033" s="227"/>
      <c r="D1033" s="227"/>
      <c r="E1033" s="231"/>
      <c r="F1033" s="232"/>
      <c r="G1033" s="227"/>
      <c r="H1033" s="227"/>
      <c r="I1033" s="227"/>
      <c r="J1033" s="227"/>
      <c r="K1033" s="227"/>
      <c r="L1033" s="232"/>
      <c r="M1033" s="232"/>
      <c r="N1033" s="227"/>
      <c r="O1033" s="227"/>
      <c r="P1033" s="231"/>
      <c r="Q1033" s="227"/>
      <c r="R1033" s="231"/>
      <c r="S1033" s="231"/>
      <c r="T1033" s="231"/>
      <c r="U1033" s="231"/>
      <c r="V1033" s="231"/>
      <c r="W1033" s="231"/>
      <c r="X1033" s="227"/>
      <c r="Y1033" s="232"/>
      <c r="Z1033" s="232"/>
      <c r="AA1033" s="232"/>
      <c r="AB1033" s="232"/>
      <c r="AC1033" s="227"/>
      <c r="AD1033" s="227"/>
      <c r="AE1033" s="231"/>
      <c r="AF1033" s="227"/>
      <c r="AG1033" s="232"/>
      <c r="AH1033" s="232"/>
      <c r="AI1033" s="232"/>
      <c r="AJ1033" s="232"/>
      <c r="AK1033" s="232"/>
      <c r="AL1033" s="232"/>
      <c r="AM1033" s="232"/>
      <c r="AN1033" s="232"/>
      <c r="AO1033" s="231"/>
      <c r="AP1033" s="231"/>
      <c r="AQ1033" s="227"/>
      <c r="AR1033" s="231"/>
      <c r="AS1033" s="227"/>
      <c r="AT1033" s="227"/>
      <c r="AU1033" s="227"/>
      <c r="AV1033" s="227"/>
    </row>
    <row r="1034">
      <c r="A1034" s="227"/>
      <c r="B1034" s="232"/>
      <c r="C1034" s="227"/>
      <c r="D1034" s="227"/>
      <c r="E1034" s="231"/>
      <c r="F1034" s="232"/>
      <c r="G1034" s="227"/>
      <c r="H1034" s="227"/>
      <c r="I1034" s="227"/>
      <c r="J1034" s="227"/>
      <c r="K1034" s="227"/>
      <c r="L1034" s="232"/>
      <c r="M1034" s="232"/>
      <c r="N1034" s="227"/>
      <c r="O1034" s="227"/>
      <c r="P1034" s="231"/>
      <c r="Q1034" s="227"/>
      <c r="R1034" s="231"/>
      <c r="S1034" s="231"/>
      <c r="T1034" s="231"/>
      <c r="U1034" s="231"/>
      <c r="V1034" s="231"/>
      <c r="W1034" s="231"/>
      <c r="X1034" s="227"/>
      <c r="Y1034" s="232"/>
      <c r="Z1034" s="232"/>
      <c r="AA1034" s="232"/>
      <c r="AB1034" s="232"/>
      <c r="AC1034" s="227"/>
      <c r="AD1034" s="227"/>
      <c r="AE1034" s="231"/>
      <c r="AF1034" s="227"/>
      <c r="AG1034" s="232"/>
      <c r="AH1034" s="232"/>
      <c r="AI1034" s="232"/>
      <c r="AJ1034" s="232"/>
      <c r="AK1034" s="232"/>
      <c r="AL1034" s="232"/>
      <c r="AM1034" s="232"/>
      <c r="AN1034" s="232"/>
      <c r="AO1034" s="231"/>
      <c r="AP1034" s="231"/>
      <c r="AQ1034" s="227"/>
      <c r="AR1034" s="231"/>
      <c r="AS1034" s="227"/>
      <c r="AT1034" s="227"/>
      <c r="AU1034" s="227"/>
      <c r="AV1034" s="227"/>
    </row>
    <row r="1035">
      <c r="A1035" s="227"/>
      <c r="B1035" s="232"/>
      <c r="C1035" s="227"/>
      <c r="D1035" s="227"/>
      <c r="E1035" s="231"/>
      <c r="F1035" s="232"/>
      <c r="G1035" s="227"/>
      <c r="H1035" s="227"/>
      <c r="I1035" s="227"/>
      <c r="J1035" s="227"/>
      <c r="K1035" s="227"/>
      <c r="L1035" s="232"/>
      <c r="M1035" s="232"/>
      <c r="N1035" s="227"/>
      <c r="O1035" s="227"/>
      <c r="P1035" s="231"/>
      <c r="Q1035" s="227"/>
      <c r="R1035" s="231"/>
      <c r="S1035" s="231"/>
      <c r="T1035" s="231"/>
      <c r="U1035" s="231"/>
      <c r="V1035" s="231"/>
      <c r="W1035" s="231"/>
      <c r="X1035" s="227"/>
      <c r="Y1035" s="232"/>
      <c r="Z1035" s="232"/>
      <c r="AA1035" s="232"/>
      <c r="AB1035" s="232"/>
      <c r="AC1035" s="227"/>
      <c r="AD1035" s="227"/>
      <c r="AE1035" s="231"/>
      <c r="AF1035" s="227"/>
      <c r="AG1035" s="232"/>
      <c r="AH1035" s="232"/>
      <c r="AI1035" s="232"/>
      <c r="AJ1035" s="232"/>
      <c r="AK1035" s="232"/>
      <c r="AL1035" s="232"/>
      <c r="AM1035" s="232"/>
      <c r="AN1035" s="232"/>
      <c r="AO1035" s="231"/>
      <c r="AP1035" s="231"/>
      <c r="AQ1035" s="227"/>
      <c r="AR1035" s="231"/>
      <c r="AS1035" s="227"/>
      <c r="AT1035" s="227"/>
      <c r="AU1035" s="227"/>
      <c r="AV1035" s="227"/>
    </row>
    <row r="1036">
      <c r="A1036" s="227"/>
      <c r="B1036" s="232"/>
      <c r="C1036" s="227"/>
      <c r="D1036" s="227"/>
      <c r="E1036" s="231"/>
      <c r="F1036" s="232"/>
      <c r="G1036" s="227"/>
      <c r="H1036" s="227"/>
      <c r="I1036" s="227"/>
      <c r="J1036" s="227"/>
      <c r="K1036" s="227"/>
      <c r="L1036" s="232"/>
      <c r="M1036" s="232"/>
      <c r="N1036" s="227"/>
      <c r="O1036" s="227"/>
      <c r="P1036" s="231"/>
      <c r="Q1036" s="227"/>
      <c r="R1036" s="231"/>
      <c r="S1036" s="231"/>
      <c r="T1036" s="231"/>
      <c r="U1036" s="231"/>
      <c r="V1036" s="231"/>
      <c r="W1036" s="231"/>
      <c r="X1036" s="227"/>
      <c r="Y1036" s="232"/>
      <c r="Z1036" s="232"/>
      <c r="AA1036" s="232"/>
      <c r="AB1036" s="232"/>
      <c r="AC1036" s="227"/>
      <c r="AD1036" s="227"/>
      <c r="AE1036" s="231"/>
      <c r="AF1036" s="227"/>
      <c r="AG1036" s="232"/>
      <c r="AH1036" s="232"/>
      <c r="AI1036" s="232"/>
      <c r="AJ1036" s="232"/>
      <c r="AK1036" s="232"/>
      <c r="AL1036" s="232"/>
      <c r="AM1036" s="232"/>
      <c r="AN1036" s="232"/>
      <c r="AO1036" s="231"/>
      <c r="AP1036" s="231"/>
      <c r="AQ1036" s="227"/>
      <c r="AR1036" s="231"/>
      <c r="AS1036" s="227"/>
      <c r="AT1036" s="227"/>
      <c r="AU1036" s="227"/>
      <c r="AV1036" s="227"/>
    </row>
    <row r="1037">
      <c r="A1037" s="227"/>
      <c r="B1037" s="232"/>
      <c r="C1037" s="227"/>
      <c r="D1037" s="227"/>
      <c r="E1037" s="231"/>
      <c r="F1037" s="232"/>
      <c r="G1037" s="227"/>
      <c r="H1037" s="227"/>
      <c r="I1037" s="227"/>
      <c r="J1037" s="227"/>
      <c r="K1037" s="227"/>
      <c r="L1037" s="232"/>
      <c r="M1037" s="232"/>
      <c r="N1037" s="227"/>
      <c r="O1037" s="227"/>
      <c r="P1037" s="231"/>
      <c r="Q1037" s="227"/>
      <c r="R1037" s="231"/>
      <c r="S1037" s="231"/>
      <c r="T1037" s="231"/>
      <c r="U1037" s="231"/>
      <c r="V1037" s="231"/>
      <c r="W1037" s="231"/>
      <c r="X1037" s="227"/>
      <c r="Y1037" s="232"/>
      <c r="Z1037" s="232"/>
      <c r="AA1037" s="232"/>
      <c r="AB1037" s="232"/>
      <c r="AC1037" s="227"/>
      <c r="AD1037" s="227"/>
      <c r="AE1037" s="231"/>
      <c r="AF1037" s="227"/>
      <c r="AG1037" s="232"/>
      <c r="AH1037" s="232"/>
      <c r="AI1037" s="232"/>
      <c r="AJ1037" s="232"/>
      <c r="AK1037" s="232"/>
      <c r="AL1037" s="232"/>
      <c r="AM1037" s="232"/>
      <c r="AN1037" s="232"/>
      <c r="AO1037" s="231"/>
      <c r="AP1037" s="231"/>
      <c r="AQ1037" s="227"/>
      <c r="AR1037" s="231"/>
      <c r="AS1037" s="227"/>
      <c r="AT1037" s="227"/>
      <c r="AU1037" s="227"/>
      <c r="AV1037" s="227"/>
    </row>
    <row r="1038">
      <c r="A1038" s="227"/>
      <c r="B1038" s="232"/>
      <c r="C1038" s="227"/>
      <c r="D1038" s="227"/>
      <c r="E1038" s="231"/>
      <c r="F1038" s="232"/>
      <c r="G1038" s="227"/>
      <c r="H1038" s="227"/>
      <c r="I1038" s="227"/>
      <c r="J1038" s="227"/>
      <c r="K1038" s="227"/>
      <c r="L1038" s="232"/>
      <c r="M1038" s="232"/>
      <c r="N1038" s="227"/>
      <c r="O1038" s="227"/>
      <c r="P1038" s="231"/>
      <c r="Q1038" s="227"/>
      <c r="R1038" s="231"/>
      <c r="S1038" s="231"/>
      <c r="T1038" s="231"/>
      <c r="U1038" s="231"/>
      <c r="V1038" s="231"/>
      <c r="W1038" s="231"/>
      <c r="X1038" s="227"/>
      <c r="Y1038" s="232"/>
      <c r="Z1038" s="232"/>
      <c r="AA1038" s="232"/>
      <c r="AB1038" s="232"/>
      <c r="AC1038" s="227"/>
      <c r="AD1038" s="227"/>
      <c r="AE1038" s="231"/>
      <c r="AF1038" s="227"/>
      <c r="AG1038" s="232"/>
      <c r="AH1038" s="232"/>
      <c r="AI1038" s="232"/>
      <c r="AJ1038" s="232"/>
      <c r="AK1038" s="232"/>
      <c r="AL1038" s="232"/>
      <c r="AM1038" s="232"/>
      <c r="AN1038" s="232"/>
      <c r="AO1038" s="231"/>
      <c r="AP1038" s="231"/>
      <c r="AQ1038" s="227"/>
      <c r="AR1038" s="231"/>
      <c r="AS1038" s="227"/>
      <c r="AT1038" s="227"/>
      <c r="AU1038" s="227"/>
      <c r="AV1038" s="227"/>
    </row>
    <row r="1039">
      <c r="A1039" s="227"/>
      <c r="B1039" s="232"/>
      <c r="C1039" s="227"/>
      <c r="D1039" s="227"/>
      <c r="E1039" s="231"/>
      <c r="F1039" s="232"/>
      <c r="G1039" s="227"/>
      <c r="H1039" s="227"/>
      <c r="I1039" s="227"/>
      <c r="J1039" s="227"/>
      <c r="K1039" s="227"/>
      <c r="L1039" s="232"/>
      <c r="M1039" s="232"/>
      <c r="N1039" s="227"/>
      <c r="O1039" s="227"/>
      <c r="P1039" s="231"/>
      <c r="Q1039" s="227"/>
      <c r="R1039" s="231"/>
      <c r="S1039" s="231"/>
      <c r="T1039" s="231"/>
      <c r="U1039" s="231"/>
      <c r="V1039" s="231"/>
      <c r="W1039" s="231"/>
      <c r="X1039" s="227"/>
      <c r="Y1039" s="232"/>
      <c r="Z1039" s="232"/>
      <c r="AA1039" s="232"/>
      <c r="AB1039" s="232"/>
      <c r="AC1039" s="227"/>
      <c r="AD1039" s="227"/>
      <c r="AE1039" s="231"/>
      <c r="AF1039" s="227"/>
      <c r="AG1039" s="232"/>
      <c r="AH1039" s="232"/>
      <c r="AI1039" s="232"/>
      <c r="AJ1039" s="232"/>
      <c r="AK1039" s="232"/>
      <c r="AL1039" s="232"/>
      <c r="AM1039" s="232"/>
      <c r="AN1039" s="232"/>
      <c r="AO1039" s="231"/>
      <c r="AP1039" s="231"/>
      <c r="AQ1039" s="227"/>
      <c r="AR1039" s="231"/>
      <c r="AS1039" s="227"/>
      <c r="AT1039" s="227"/>
      <c r="AU1039" s="227"/>
      <c r="AV1039" s="227"/>
    </row>
    <row r="1040">
      <c r="A1040" s="227"/>
      <c r="B1040" s="232"/>
      <c r="C1040" s="227"/>
      <c r="D1040" s="227"/>
      <c r="E1040" s="231"/>
      <c r="F1040" s="232"/>
      <c r="G1040" s="227"/>
      <c r="H1040" s="227"/>
      <c r="I1040" s="227"/>
      <c r="J1040" s="227"/>
      <c r="K1040" s="227"/>
      <c r="L1040" s="232"/>
      <c r="M1040" s="232"/>
      <c r="N1040" s="227"/>
      <c r="O1040" s="227"/>
      <c r="P1040" s="231"/>
      <c r="Q1040" s="227"/>
      <c r="R1040" s="231"/>
      <c r="S1040" s="231"/>
      <c r="T1040" s="231"/>
      <c r="U1040" s="231"/>
      <c r="V1040" s="231"/>
      <c r="W1040" s="231"/>
      <c r="X1040" s="227"/>
      <c r="Y1040" s="232"/>
      <c r="Z1040" s="232"/>
      <c r="AA1040" s="232"/>
      <c r="AB1040" s="232"/>
      <c r="AC1040" s="227"/>
      <c r="AD1040" s="227"/>
      <c r="AE1040" s="231"/>
      <c r="AF1040" s="227"/>
      <c r="AG1040" s="232"/>
      <c r="AH1040" s="232"/>
      <c r="AI1040" s="232"/>
      <c r="AJ1040" s="232"/>
      <c r="AK1040" s="232"/>
      <c r="AL1040" s="232"/>
      <c r="AM1040" s="232"/>
      <c r="AN1040" s="232"/>
      <c r="AO1040" s="231"/>
      <c r="AP1040" s="231"/>
      <c r="AQ1040" s="227"/>
      <c r="AR1040" s="231"/>
      <c r="AS1040" s="227"/>
      <c r="AT1040" s="227"/>
      <c r="AU1040" s="227"/>
      <c r="AV1040" s="227"/>
    </row>
    <row r="1041">
      <c r="A1041" s="227"/>
      <c r="B1041" s="232"/>
      <c r="C1041" s="227"/>
      <c r="D1041" s="227"/>
      <c r="E1041" s="231"/>
      <c r="F1041" s="232"/>
      <c r="G1041" s="227"/>
      <c r="H1041" s="227"/>
      <c r="I1041" s="227"/>
      <c r="J1041" s="227"/>
      <c r="K1041" s="227"/>
      <c r="L1041" s="232"/>
      <c r="M1041" s="232"/>
      <c r="N1041" s="227"/>
      <c r="O1041" s="227"/>
      <c r="P1041" s="231"/>
      <c r="Q1041" s="227"/>
      <c r="R1041" s="231"/>
      <c r="S1041" s="231"/>
      <c r="T1041" s="231"/>
      <c r="U1041" s="231"/>
      <c r="V1041" s="231"/>
      <c r="W1041" s="231"/>
      <c r="X1041" s="227"/>
      <c r="Y1041" s="232"/>
      <c r="Z1041" s="232"/>
      <c r="AA1041" s="232"/>
      <c r="AB1041" s="232"/>
      <c r="AC1041" s="227"/>
      <c r="AD1041" s="227"/>
      <c r="AE1041" s="231"/>
      <c r="AF1041" s="227"/>
      <c r="AG1041" s="232"/>
      <c r="AH1041" s="232"/>
      <c r="AI1041" s="232"/>
      <c r="AJ1041" s="232"/>
      <c r="AK1041" s="232"/>
      <c r="AL1041" s="232"/>
      <c r="AM1041" s="232"/>
      <c r="AN1041" s="232"/>
      <c r="AO1041" s="231"/>
      <c r="AP1041" s="231"/>
      <c r="AQ1041" s="227"/>
      <c r="AR1041" s="231"/>
      <c r="AS1041" s="227"/>
      <c r="AT1041" s="227"/>
      <c r="AU1041" s="227"/>
      <c r="AV1041" s="227"/>
    </row>
    <row r="1042">
      <c r="A1042" s="227"/>
      <c r="B1042" s="232"/>
      <c r="C1042" s="227"/>
      <c r="D1042" s="227"/>
      <c r="E1042" s="231"/>
      <c r="F1042" s="232"/>
      <c r="G1042" s="227"/>
      <c r="H1042" s="227"/>
      <c r="I1042" s="227"/>
      <c r="J1042" s="227"/>
      <c r="K1042" s="227"/>
      <c r="L1042" s="232"/>
      <c r="M1042" s="232"/>
      <c r="N1042" s="227"/>
      <c r="O1042" s="227"/>
      <c r="P1042" s="231"/>
      <c r="Q1042" s="227"/>
      <c r="R1042" s="231"/>
      <c r="S1042" s="231"/>
      <c r="T1042" s="231"/>
      <c r="U1042" s="231"/>
      <c r="V1042" s="231"/>
      <c r="W1042" s="231"/>
      <c r="X1042" s="227"/>
      <c r="Y1042" s="232"/>
      <c r="Z1042" s="232"/>
      <c r="AA1042" s="232"/>
      <c r="AB1042" s="232"/>
      <c r="AC1042" s="227"/>
      <c r="AD1042" s="227"/>
      <c r="AE1042" s="231"/>
      <c r="AF1042" s="227"/>
      <c r="AG1042" s="232"/>
      <c r="AH1042" s="232"/>
      <c r="AI1042" s="232"/>
      <c r="AJ1042" s="232"/>
      <c r="AK1042" s="232"/>
      <c r="AL1042" s="232"/>
      <c r="AM1042" s="232"/>
      <c r="AN1042" s="232"/>
      <c r="AO1042" s="231"/>
      <c r="AP1042" s="231"/>
      <c r="AQ1042" s="227"/>
      <c r="AR1042" s="231"/>
      <c r="AS1042" s="227"/>
      <c r="AT1042" s="227"/>
      <c r="AU1042" s="227"/>
      <c r="AV1042" s="227"/>
    </row>
    <row r="1043">
      <c r="A1043" s="227"/>
      <c r="B1043" s="232"/>
      <c r="C1043" s="227"/>
      <c r="D1043" s="227"/>
      <c r="E1043" s="231"/>
      <c r="F1043" s="232"/>
      <c r="G1043" s="227"/>
      <c r="H1043" s="227"/>
      <c r="I1043" s="227"/>
      <c r="J1043" s="227"/>
      <c r="K1043" s="227"/>
      <c r="L1043" s="232"/>
      <c r="M1043" s="232"/>
      <c r="N1043" s="227"/>
      <c r="O1043" s="227"/>
      <c r="P1043" s="231"/>
      <c r="Q1043" s="227"/>
      <c r="R1043" s="231"/>
      <c r="S1043" s="231"/>
      <c r="T1043" s="231"/>
      <c r="U1043" s="231"/>
      <c r="V1043" s="231"/>
      <c r="W1043" s="231"/>
      <c r="X1043" s="227"/>
      <c r="Y1043" s="232"/>
      <c r="Z1043" s="232"/>
      <c r="AA1043" s="232"/>
      <c r="AB1043" s="232"/>
      <c r="AC1043" s="227"/>
      <c r="AD1043" s="227"/>
      <c r="AE1043" s="231"/>
      <c r="AF1043" s="227"/>
      <c r="AG1043" s="232"/>
      <c r="AH1043" s="232"/>
      <c r="AI1043" s="232"/>
      <c r="AJ1043" s="232"/>
      <c r="AK1043" s="232"/>
      <c r="AL1043" s="232"/>
      <c r="AM1043" s="232"/>
      <c r="AN1043" s="232"/>
      <c r="AO1043" s="231"/>
      <c r="AP1043" s="231"/>
      <c r="AQ1043" s="227"/>
      <c r="AR1043" s="231"/>
      <c r="AS1043" s="227"/>
      <c r="AT1043" s="227"/>
      <c r="AU1043" s="227"/>
      <c r="AV1043" s="227"/>
    </row>
    <row r="1044">
      <c r="A1044" s="227"/>
      <c r="B1044" s="232"/>
      <c r="C1044" s="227"/>
      <c r="D1044" s="227"/>
      <c r="E1044" s="231"/>
      <c r="F1044" s="232"/>
      <c r="G1044" s="227"/>
      <c r="H1044" s="227"/>
      <c r="I1044" s="227"/>
      <c r="J1044" s="227"/>
      <c r="K1044" s="227"/>
      <c r="L1044" s="232"/>
      <c r="M1044" s="232"/>
      <c r="N1044" s="227"/>
      <c r="O1044" s="227"/>
      <c r="P1044" s="231"/>
      <c r="Q1044" s="227"/>
      <c r="R1044" s="231"/>
      <c r="S1044" s="231"/>
      <c r="T1044" s="231"/>
      <c r="U1044" s="231"/>
      <c r="V1044" s="231"/>
      <c r="W1044" s="231"/>
      <c r="X1044" s="227"/>
      <c r="Y1044" s="232"/>
      <c r="Z1044" s="232"/>
      <c r="AA1044" s="232"/>
      <c r="AB1044" s="232"/>
      <c r="AC1044" s="227"/>
      <c r="AD1044" s="227"/>
      <c r="AE1044" s="231"/>
      <c r="AF1044" s="227"/>
      <c r="AG1044" s="232"/>
      <c r="AH1044" s="232"/>
      <c r="AI1044" s="232"/>
      <c r="AJ1044" s="232"/>
      <c r="AK1044" s="232"/>
      <c r="AL1044" s="232"/>
      <c r="AM1044" s="232"/>
      <c r="AN1044" s="232"/>
      <c r="AO1044" s="231"/>
      <c r="AP1044" s="231"/>
      <c r="AQ1044" s="227"/>
      <c r="AR1044" s="227"/>
      <c r="AS1044" s="227"/>
      <c r="AT1044" s="227"/>
      <c r="AU1044" s="227"/>
      <c r="AV1044" s="227"/>
    </row>
    <row r="1045">
      <c r="A1045" s="227"/>
      <c r="B1045" s="232"/>
      <c r="C1045" s="227"/>
      <c r="D1045" s="227"/>
      <c r="E1045" s="231"/>
      <c r="F1045" s="232"/>
      <c r="G1045" s="227"/>
      <c r="H1045" s="227"/>
      <c r="I1045" s="227"/>
      <c r="J1045" s="227"/>
      <c r="K1045" s="227"/>
      <c r="L1045" s="232"/>
      <c r="M1045" s="232"/>
      <c r="N1045" s="227"/>
      <c r="O1045" s="227"/>
      <c r="P1045" s="231"/>
      <c r="Q1045" s="227"/>
      <c r="R1045" s="231"/>
      <c r="S1045" s="231"/>
      <c r="T1045" s="231"/>
      <c r="U1045" s="231"/>
      <c r="V1045" s="231"/>
      <c r="W1045" s="231"/>
      <c r="X1045" s="227"/>
      <c r="Y1045" s="232"/>
      <c r="Z1045" s="232"/>
      <c r="AA1045" s="232"/>
      <c r="AB1045" s="232"/>
      <c r="AC1045" s="227"/>
      <c r="AD1045" s="227"/>
      <c r="AE1045" s="231"/>
      <c r="AF1045" s="227"/>
      <c r="AG1045" s="232"/>
      <c r="AH1045" s="232"/>
      <c r="AI1045" s="232"/>
      <c r="AJ1045" s="232"/>
      <c r="AK1045" s="232"/>
      <c r="AL1045" s="232"/>
      <c r="AM1045" s="232"/>
      <c r="AN1045" s="232"/>
      <c r="AO1045" s="231"/>
      <c r="AP1045" s="231"/>
      <c r="AQ1045" s="227"/>
      <c r="AR1045" s="231"/>
      <c r="AS1045" s="227"/>
      <c r="AT1045" s="227"/>
      <c r="AU1045" s="227"/>
      <c r="AV1045" s="227"/>
    </row>
    <row r="1046">
      <c r="A1046" s="227"/>
      <c r="B1046" s="232"/>
      <c r="C1046" s="227"/>
      <c r="D1046" s="227"/>
      <c r="E1046" s="231"/>
      <c r="F1046" s="232"/>
      <c r="G1046" s="227"/>
      <c r="H1046" s="227"/>
      <c r="I1046" s="227"/>
      <c r="J1046" s="227"/>
      <c r="K1046" s="227"/>
      <c r="L1046" s="232"/>
      <c r="M1046" s="232"/>
      <c r="N1046" s="227"/>
      <c r="O1046" s="227"/>
      <c r="P1046" s="231"/>
      <c r="Q1046" s="227"/>
      <c r="R1046" s="231"/>
      <c r="S1046" s="231"/>
      <c r="T1046" s="231"/>
      <c r="U1046" s="231"/>
      <c r="V1046" s="231"/>
      <c r="W1046" s="231"/>
      <c r="X1046" s="227"/>
      <c r="Y1046" s="232"/>
      <c r="Z1046" s="232"/>
      <c r="AA1046" s="232"/>
      <c r="AB1046" s="232"/>
      <c r="AC1046" s="227"/>
      <c r="AD1046" s="227"/>
      <c r="AE1046" s="231"/>
      <c r="AF1046" s="227"/>
      <c r="AG1046" s="232"/>
      <c r="AH1046" s="232"/>
      <c r="AI1046" s="232"/>
      <c r="AJ1046" s="232"/>
      <c r="AK1046" s="232"/>
      <c r="AL1046" s="232"/>
      <c r="AM1046" s="232"/>
      <c r="AN1046" s="232"/>
      <c r="AO1046" s="231"/>
      <c r="AP1046" s="231"/>
      <c r="AQ1046" s="227"/>
      <c r="AR1046" s="231"/>
      <c r="AS1046" s="227"/>
      <c r="AT1046" s="227"/>
      <c r="AU1046" s="227"/>
      <c r="AV1046" s="227"/>
    </row>
    <row r="1047">
      <c r="A1047" s="227"/>
      <c r="B1047" s="232"/>
      <c r="C1047" s="227"/>
      <c r="D1047" s="227"/>
      <c r="E1047" s="231"/>
      <c r="F1047" s="232"/>
      <c r="G1047" s="227"/>
      <c r="H1047" s="227"/>
      <c r="I1047" s="227"/>
      <c r="J1047" s="227"/>
      <c r="K1047" s="227"/>
      <c r="L1047" s="232"/>
      <c r="M1047" s="232"/>
      <c r="N1047" s="227"/>
      <c r="O1047" s="227"/>
      <c r="P1047" s="231"/>
      <c r="Q1047" s="227"/>
      <c r="R1047" s="231"/>
      <c r="S1047" s="231"/>
      <c r="T1047" s="231"/>
      <c r="U1047" s="231"/>
      <c r="V1047" s="231"/>
      <c r="W1047" s="231"/>
      <c r="X1047" s="227"/>
      <c r="Y1047" s="232"/>
      <c r="Z1047" s="232"/>
      <c r="AA1047" s="232"/>
      <c r="AB1047" s="232"/>
      <c r="AC1047" s="227"/>
      <c r="AD1047" s="227"/>
      <c r="AE1047" s="231"/>
      <c r="AF1047" s="227"/>
      <c r="AG1047" s="232"/>
      <c r="AH1047" s="232"/>
      <c r="AI1047" s="232"/>
      <c r="AJ1047" s="232"/>
      <c r="AK1047" s="232"/>
      <c r="AL1047" s="232"/>
      <c r="AM1047" s="232"/>
      <c r="AN1047" s="232"/>
      <c r="AO1047" s="231"/>
      <c r="AP1047" s="231"/>
      <c r="AQ1047" s="227"/>
      <c r="AR1047" s="231"/>
      <c r="AS1047" s="227"/>
      <c r="AT1047" s="227"/>
      <c r="AU1047" s="227"/>
      <c r="AV1047" s="227"/>
    </row>
    <row r="1048">
      <c r="A1048" s="227"/>
      <c r="B1048" s="232"/>
      <c r="C1048" s="227"/>
      <c r="D1048" s="227"/>
      <c r="E1048" s="231"/>
      <c r="F1048" s="232"/>
      <c r="G1048" s="227"/>
      <c r="H1048" s="227"/>
      <c r="I1048" s="227"/>
      <c r="J1048" s="227"/>
      <c r="K1048" s="227"/>
      <c r="L1048" s="232"/>
      <c r="M1048" s="232"/>
      <c r="N1048" s="227"/>
      <c r="O1048" s="227"/>
      <c r="P1048" s="231"/>
      <c r="Q1048" s="227"/>
      <c r="R1048" s="231"/>
      <c r="S1048" s="231"/>
      <c r="T1048" s="231"/>
      <c r="U1048" s="231"/>
      <c r="V1048" s="231"/>
      <c r="W1048" s="231"/>
      <c r="X1048" s="227"/>
      <c r="Y1048" s="232"/>
      <c r="Z1048" s="232"/>
      <c r="AA1048" s="232"/>
      <c r="AB1048" s="232"/>
      <c r="AC1048" s="227"/>
      <c r="AD1048" s="227"/>
      <c r="AE1048" s="231"/>
      <c r="AF1048" s="227"/>
      <c r="AG1048" s="232"/>
      <c r="AH1048" s="232"/>
      <c r="AI1048" s="232"/>
      <c r="AJ1048" s="232"/>
      <c r="AK1048" s="232"/>
      <c r="AL1048" s="232"/>
      <c r="AM1048" s="232"/>
      <c r="AN1048" s="232"/>
      <c r="AO1048" s="231"/>
      <c r="AP1048" s="231"/>
      <c r="AQ1048" s="227"/>
      <c r="AR1048" s="231"/>
      <c r="AS1048" s="227"/>
      <c r="AT1048" s="227"/>
      <c r="AU1048" s="227"/>
      <c r="AV1048" s="227"/>
    </row>
    <row r="1049">
      <c r="A1049" s="227"/>
      <c r="B1049" s="232"/>
      <c r="C1049" s="227"/>
      <c r="D1049" s="227"/>
      <c r="E1049" s="231"/>
      <c r="F1049" s="232"/>
      <c r="G1049" s="227"/>
      <c r="H1049" s="227"/>
      <c r="I1049" s="227"/>
      <c r="J1049" s="227"/>
      <c r="K1049" s="227"/>
      <c r="L1049" s="232"/>
      <c r="M1049" s="232"/>
      <c r="N1049" s="227"/>
      <c r="O1049" s="227"/>
      <c r="P1049" s="231"/>
      <c r="Q1049" s="227"/>
      <c r="R1049" s="231"/>
      <c r="S1049" s="231"/>
      <c r="T1049" s="231"/>
      <c r="U1049" s="231"/>
      <c r="V1049" s="231"/>
      <c r="W1049" s="231"/>
      <c r="X1049" s="227"/>
      <c r="Y1049" s="232"/>
      <c r="Z1049" s="232"/>
      <c r="AA1049" s="232"/>
      <c r="AB1049" s="232"/>
      <c r="AC1049" s="227"/>
      <c r="AD1049" s="227"/>
      <c r="AE1049" s="231"/>
      <c r="AF1049" s="227"/>
      <c r="AG1049" s="232"/>
      <c r="AH1049" s="232"/>
      <c r="AI1049" s="232"/>
      <c r="AJ1049" s="232"/>
      <c r="AK1049" s="232"/>
      <c r="AL1049" s="232"/>
      <c r="AM1049" s="232"/>
      <c r="AN1049" s="232"/>
      <c r="AO1049" s="231"/>
      <c r="AP1049" s="231"/>
      <c r="AQ1049" s="227"/>
      <c r="AR1049" s="231"/>
      <c r="AS1049" s="227"/>
      <c r="AT1049" s="227"/>
      <c r="AU1049" s="227"/>
      <c r="AV1049" s="227"/>
    </row>
    <row r="1050">
      <c r="A1050" s="227"/>
      <c r="B1050" s="232"/>
      <c r="C1050" s="227"/>
      <c r="D1050" s="227"/>
      <c r="E1050" s="231"/>
      <c r="F1050" s="232"/>
      <c r="G1050" s="227"/>
      <c r="H1050" s="227"/>
      <c r="I1050" s="227"/>
      <c r="J1050" s="227"/>
      <c r="K1050" s="227"/>
      <c r="L1050" s="232"/>
      <c r="M1050" s="232"/>
      <c r="N1050" s="227"/>
      <c r="O1050" s="227"/>
      <c r="P1050" s="231"/>
      <c r="Q1050" s="227"/>
      <c r="R1050" s="231"/>
      <c r="S1050" s="231"/>
      <c r="T1050" s="231"/>
      <c r="U1050" s="231"/>
      <c r="V1050" s="231"/>
      <c r="W1050" s="231"/>
      <c r="X1050" s="227"/>
      <c r="Y1050" s="232"/>
      <c r="Z1050" s="232"/>
      <c r="AA1050" s="232"/>
      <c r="AB1050" s="232"/>
      <c r="AC1050" s="227"/>
      <c r="AD1050" s="227"/>
      <c r="AE1050" s="231"/>
      <c r="AF1050" s="227"/>
      <c r="AG1050" s="232"/>
      <c r="AH1050" s="232"/>
      <c r="AI1050" s="232"/>
      <c r="AJ1050" s="232"/>
      <c r="AK1050" s="232"/>
      <c r="AL1050" s="232"/>
      <c r="AM1050" s="232"/>
      <c r="AN1050" s="232"/>
      <c r="AO1050" s="231"/>
      <c r="AP1050" s="231"/>
      <c r="AQ1050" s="227"/>
      <c r="AR1050" s="231"/>
      <c r="AS1050" s="227"/>
      <c r="AT1050" s="227"/>
      <c r="AU1050" s="227"/>
      <c r="AV1050" s="227"/>
    </row>
    <row r="1051">
      <c r="A1051" s="227"/>
      <c r="B1051" s="232"/>
      <c r="C1051" s="227"/>
      <c r="D1051" s="227"/>
      <c r="E1051" s="231"/>
      <c r="F1051" s="232"/>
      <c r="G1051" s="227"/>
      <c r="H1051" s="227"/>
      <c r="I1051" s="227"/>
      <c r="J1051" s="227"/>
      <c r="K1051" s="227"/>
      <c r="L1051" s="232"/>
      <c r="M1051" s="232"/>
      <c r="N1051" s="227"/>
      <c r="O1051" s="227"/>
      <c r="P1051" s="231"/>
      <c r="Q1051" s="227"/>
      <c r="R1051" s="231"/>
      <c r="S1051" s="231"/>
      <c r="T1051" s="231"/>
      <c r="U1051" s="231"/>
      <c r="V1051" s="231"/>
      <c r="W1051" s="231"/>
      <c r="X1051" s="227"/>
      <c r="Y1051" s="232"/>
      <c r="Z1051" s="232"/>
      <c r="AA1051" s="232"/>
      <c r="AB1051" s="232"/>
      <c r="AC1051" s="227"/>
      <c r="AD1051" s="227"/>
      <c r="AE1051" s="231"/>
      <c r="AF1051" s="227"/>
      <c r="AG1051" s="232"/>
      <c r="AH1051" s="232"/>
      <c r="AI1051" s="232"/>
      <c r="AJ1051" s="232"/>
      <c r="AK1051" s="232"/>
      <c r="AL1051" s="232"/>
      <c r="AM1051" s="232"/>
      <c r="AN1051" s="232"/>
      <c r="AO1051" s="231"/>
      <c r="AP1051" s="231"/>
      <c r="AQ1051" s="227"/>
      <c r="AR1051" s="231"/>
      <c r="AS1051" s="227"/>
      <c r="AT1051" s="227"/>
      <c r="AU1051" s="227"/>
      <c r="AV1051" s="227"/>
    </row>
    <row r="1052">
      <c r="A1052" s="227"/>
      <c r="B1052" s="232"/>
      <c r="C1052" s="227"/>
      <c r="D1052" s="227"/>
      <c r="E1052" s="231"/>
      <c r="F1052" s="232"/>
      <c r="G1052" s="227"/>
      <c r="H1052" s="227"/>
      <c r="I1052" s="227"/>
      <c r="J1052" s="227"/>
      <c r="K1052" s="227"/>
      <c r="L1052" s="232"/>
      <c r="M1052" s="232"/>
      <c r="N1052" s="227"/>
      <c r="O1052" s="227"/>
      <c r="P1052" s="231"/>
      <c r="Q1052" s="227"/>
      <c r="R1052" s="231"/>
      <c r="S1052" s="231"/>
      <c r="T1052" s="231"/>
      <c r="U1052" s="231"/>
      <c r="V1052" s="231"/>
      <c r="W1052" s="231"/>
      <c r="X1052" s="227"/>
      <c r="Y1052" s="232"/>
      <c r="Z1052" s="232"/>
      <c r="AA1052" s="232"/>
      <c r="AB1052" s="232"/>
      <c r="AC1052" s="227"/>
      <c r="AD1052" s="227"/>
      <c r="AE1052" s="231"/>
      <c r="AF1052" s="227"/>
      <c r="AG1052" s="232"/>
      <c r="AH1052" s="232"/>
      <c r="AI1052" s="232"/>
      <c r="AJ1052" s="232"/>
      <c r="AK1052" s="232"/>
      <c r="AL1052" s="232"/>
      <c r="AM1052" s="232"/>
      <c r="AN1052" s="232"/>
      <c r="AO1052" s="231"/>
      <c r="AP1052" s="231"/>
      <c r="AQ1052" s="227"/>
      <c r="AR1052" s="231"/>
      <c r="AS1052" s="227"/>
      <c r="AT1052" s="227"/>
      <c r="AU1052" s="227"/>
      <c r="AV1052" s="227"/>
    </row>
    <row r="1053">
      <c r="A1053" s="227"/>
      <c r="B1053" s="232"/>
      <c r="C1053" s="227"/>
      <c r="D1053" s="227"/>
      <c r="E1053" s="231"/>
      <c r="F1053" s="232"/>
      <c r="G1053" s="227"/>
      <c r="H1053" s="227"/>
      <c r="I1053" s="227"/>
      <c r="J1053" s="227"/>
      <c r="K1053" s="227"/>
      <c r="L1053" s="232"/>
      <c r="M1053" s="232"/>
      <c r="N1053" s="227"/>
      <c r="O1053" s="227"/>
      <c r="P1053" s="231"/>
      <c r="Q1053" s="227"/>
      <c r="R1053" s="231"/>
      <c r="S1053" s="231"/>
      <c r="T1053" s="231"/>
      <c r="U1053" s="231"/>
      <c r="V1053" s="231"/>
      <c r="W1053" s="231"/>
      <c r="X1053" s="227"/>
      <c r="Y1053" s="232"/>
      <c r="Z1053" s="232"/>
      <c r="AA1053" s="232"/>
      <c r="AB1053" s="232"/>
      <c r="AC1053" s="227"/>
      <c r="AD1053" s="227"/>
      <c r="AE1053" s="231"/>
      <c r="AF1053" s="227"/>
      <c r="AG1053" s="232"/>
      <c r="AH1053" s="232"/>
      <c r="AI1053" s="232"/>
      <c r="AJ1053" s="232"/>
      <c r="AK1053" s="232"/>
      <c r="AL1053" s="232"/>
      <c r="AM1053" s="232"/>
      <c r="AN1053" s="232"/>
      <c r="AO1053" s="231"/>
      <c r="AP1053" s="231"/>
      <c r="AQ1053" s="227"/>
      <c r="AR1053" s="231"/>
      <c r="AS1053" s="227"/>
      <c r="AT1053" s="227"/>
      <c r="AU1053" s="227"/>
      <c r="AV1053" s="227"/>
    </row>
    <row r="1054">
      <c r="A1054" s="227"/>
      <c r="B1054" s="232"/>
      <c r="C1054" s="227"/>
      <c r="D1054" s="227"/>
      <c r="E1054" s="231"/>
      <c r="F1054" s="232"/>
      <c r="G1054" s="227"/>
      <c r="H1054" s="227"/>
      <c r="I1054" s="227"/>
      <c r="J1054" s="227"/>
      <c r="K1054" s="227"/>
      <c r="L1054" s="232"/>
      <c r="M1054" s="232"/>
      <c r="N1054" s="227"/>
      <c r="O1054" s="227"/>
      <c r="P1054" s="231"/>
      <c r="Q1054" s="227"/>
      <c r="R1054" s="231"/>
      <c r="S1054" s="231"/>
      <c r="T1054" s="231"/>
      <c r="U1054" s="231"/>
      <c r="V1054" s="231"/>
      <c r="W1054" s="231"/>
      <c r="X1054" s="227"/>
      <c r="Y1054" s="232"/>
      <c r="Z1054" s="232"/>
      <c r="AA1054" s="232"/>
      <c r="AB1054" s="232"/>
      <c r="AC1054" s="227"/>
      <c r="AD1054" s="227"/>
      <c r="AE1054" s="231"/>
      <c r="AF1054" s="227"/>
      <c r="AG1054" s="232"/>
      <c r="AH1054" s="232"/>
      <c r="AI1054" s="232"/>
      <c r="AJ1054" s="232"/>
      <c r="AK1054" s="232"/>
      <c r="AL1054" s="232"/>
      <c r="AM1054" s="232"/>
      <c r="AN1054" s="232"/>
      <c r="AO1054" s="231"/>
      <c r="AP1054" s="231"/>
      <c r="AQ1054" s="227"/>
      <c r="AR1054" s="231"/>
      <c r="AS1054" s="227"/>
      <c r="AT1054" s="227"/>
      <c r="AU1054" s="227"/>
      <c r="AV1054" s="227"/>
    </row>
    <row r="1055">
      <c r="A1055" s="227"/>
      <c r="B1055" s="232"/>
      <c r="C1055" s="227"/>
      <c r="D1055" s="227"/>
      <c r="E1055" s="231"/>
      <c r="F1055" s="232"/>
      <c r="G1055" s="227"/>
      <c r="H1055" s="227"/>
      <c r="I1055" s="227"/>
      <c r="J1055" s="227"/>
      <c r="K1055" s="227"/>
      <c r="L1055" s="232"/>
      <c r="M1055" s="232"/>
      <c r="N1055" s="227"/>
      <c r="O1055" s="227"/>
      <c r="P1055" s="231"/>
      <c r="Q1055" s="227"/>
      <c r="R1055" s="231"/>
      <c r="S1055" s="231"/>
      <c r="T1055" s="231"/>
      <c r="U1055" s="231"/>
      <c r="V1055" s="231"/>
      <c r="W1055" s="231"/>
      <c r="X1055" s="227"/>
      <c r="Y1055" s="232"/>
      <c r="Z1055" s="232"/>
      <c r="AA1055" s="232"/>
      <c r="AB1055" s="232"/>
      <c r="AC1055" s="227"/>
      <c r="AD1055" s="227"/>
      <c r="AE1055" s="231"/>
      <c r="AF1055" s="227"/>
      <c r="AG1055" s="232"/>
      <c r="AH1055" s="232"/>
      <c r="AI1055" s="232"/>
      <c r="AJ1055" s="232"/>
      <c r="AK1055" s="232"/>
      <c r="AL1055" s="232"/>
      <c r="AM1055" s="232"/>
      <c r="AN1055" s="232"/>
      <c r="AO1055" s="231"/>
      <c r="AP1055" s="231"/>
      <c r="AQ1055" s="227"/>
      <c r="AR1055" s="231"/>
      <c r="AS1055" s="227"/>
      <c r="AT1055" s="227"/>
      <c r="AU1055" s="227"/>
      <c r="AV1055" s="227"/>
    </row>
    <row r="1056">
      <c r="A1056" s="227"/>
      <c r="B1056" s="232"/>
      <c r="C1056" s="227"/>
      <c r="D1056" s="227"/>
      <c r="E1056" s="231"/>
      <c r="F1056" s="232"/>
      <c r="G1056" s="227"/>
      <c r="H1056" s="227"/>
      <c r="I1056" s="227"/>
      <c r="J1056" s="227"/>
      <c r="K1056" s="227"/>
      <c r="L1056" s="232"/>
      <c r="M1056" s="232"/>
      <c r="N1056" s="227"/>
      <c r="O1056" s="227"/>
      <c r="P1056" s="231"/>
      <c r="Q1056" s="227"/>
      <c r="R1056" s="231"/>
      <c r="S1056" s="231"/>
      <c r="T1056" s="231"/>
      <c r="U1056" s="231"/>
      <c r="V1056" s="231"/>
      <c r="W1056" s="231"/>
      <c r="X1056" s="227"/>
      <c r="Y1056" s="232"/>
      <c r="Z1056" s="232"/>
      <c r="AA1056" s="232"/>
      <c r="AB1056" s="232"/>
      <c r="AC1056" s="227"/>
      <c r="AD1056" s="227"/>
      <c r="AE1056" s="231"/>
      <c r="AF1056" s="227"/>
      <c r="AG1056" s="232"/>
      <c r="AH1056" s="232"/>
      <c r="AI1056" s="232"/>
      <c r="AJ1056" s="232"/>
      <c r="AK1056" s="232"/>
      <c r="AL1056" s="232"/>
      <c r="AM1056" s="232"/>
      <c r="AN1056" s="232"/>
      <c r="AO1056" s="231"/>
      <c r="AP1056" s="231"/>
      <c r="AQ1056" s="227"/>
      <c r="AR1056" s="231"/>
      <c r="AS1056" s="227"/>
      <c r="AT1056" s="227"/>
      <c r="AU1056" s="227"/>
      <c r="AV1056" s="227"/>
    </row>
    <row r="1057">
      <c r="A1057" s="227"/>
      <c r="B1057" s="232"/>
      <c r="C1057" s="227"/>
      <c r="D1057" s="227"/>
      <c r="E1057" s="231"/>
      <c r="F1057" s="232"/>
      <c r="G1057" s="227"/>
      <c r="H1057" s="227"/>
      <c r="I1057" s="227"/>
      <c r="J1057" s="227"/>
      <c r="K1057" s="227"/>
      <c r="L1057" s="232"/>
      <c r="M1057" s="232"/>
      <c r="N1057" s="227"/>
      <c r="O1057" s="227"/>
      <c r="P1057" s="231"/>
      <c r="Q1057" s="227"/>
      <c r="R1057" s="231"/>
      <c r="S1057" s="231"/>
      <c r="T1057" s="231"/>
      <c r="U1057" s="231"/>
      <c r="V1057" s="231"/>
      <c r="W1057" s="231"/>
      <c r="X1057" s="227"/>
      <c r="Y1057" s="232"/>
      <c r="Z1057" s="232"/>
      <c r="AA1057" s="232"/>
      <c r="AB1057" s="232"/>
      <c r="AC1057" s="227"/>
      <c r="AD1057" s="227"/>
      <c r="AE1057" s="231"/>
      <c r="AF1057" s="227"/>
      <c r="AG1057" s="232"/>
      <c r="AH1057" s="232"/>
      <c r="AI1057" s="232"/>
      <c r="AJ1057" s="232"/>
      <c r="AK1057" s="232"/>
      <c r="AL1057" s="232"/>
      <c r="AM1057" s="232"/>
      <c r="AN1057" s="232"/>
      <c r="AO1057" s="231"/>
      <c r="AP1057" s="231"/>
      <c r="AQ1057" s="227"/>
      <c r="AR1057" s="231"/>
      <c r="AS1057" s="227"/>
      <c r="AT1057" s="227"/>
      <c r="AU1057" s="227"/>
      <c r="AV1057" s="227"/>
    </row>
    <row r="1058">
      <c r="A1058" s="227"/>
      <c r="B1058" s="232"/>
      <c r="C1058" s="227"/>
      <c r="D1058" s="227"/>
      <c r="E1058" s="231"/>
      <c r="F1058" s="232"/>
      <c r="G1058" s="227"/>
      <c r="H1058" s="227"/>
      <c r="I1058" s="227"/>
      <c r="J1058" s="227"/>
      <c r="K1058" s="227"/>
      <c r="L1058" s="232"/>
      <c r="M1058" s="232"/>
      <c r="N1058" s="227"/>
      <c r="O1058" s="227"/>
      <c r="P1058" s="231"/>
      <c r="Q1058" s="227"/>
      <c r="R1058" s="231"/>
      <c r="S1058" s="231"/>
      <c r="T1058" s="231"/>
      <c r="U1058" s="231"/>
      <c r="V1058" s="231"/>
      <c r="W1058" s="231"/>
      <c r="X1058" s="227"/>
      <c r="Y1058" s="232"/>
      <c r="Z1058" s="232"/>
      <c r="AA1058" s="232"/>
      <c r="AB1058" s="232"/>
      <c r="AC1058" s="227"/>
      <c r="AD1058" s="227"/>
      <c r="AE1058" s="231"/>
      <c r="AF1058" s="227"/>
      <c r="AG1058" s="232"/>
      <c r="AH1058" s="232"/>
      <c r="AI1058" s="232"/>
      <c r="AJ1058" s="232"/>
      <c r="AK1058" s="232"/>
      <c r="AL1058" s="232"/>
      <c r="AM1058" s="232"/>
      <c r="AN1058" s="232"/>
      <c r="AO1058" s="231"/>
      <c r="AP1058" s="231"/>
      <c r="AQ1058" s="227"/>
      <c r="AR1058" s="231"/>
      <c r="AS1058" s="227"/>
      <c r="AT1058" s="227"/>
      <c r="AU1058" s="227"/>
      <c r="AV1058" s="227"/>
    </row>
    <row r="1059">
      <c r="A1059" s="227"/>
      <c r="B1059" s="232"/>
      <c r="C1059" s="227"/>
      <c r="D1059" s="227"/>
      <c r="E1059" s="231"/>
      <c r="F1059" s="232"/>
      <c r="G1059" s="227"/>
      <c r="H1059" s="227"/>
      <c r="I1059" s="227"/>
      <c r="J1059" s="227"/>
      <c r="K1059" s="227"/>
      <c r="L1059" s="232"/>
      <c r="M1059" s="232"/>
      <c r="N1059" s="227"/>
      <c r="O1059" s="227"/>
      <c r="P1059" s="231"/>
      <c r="Q1059" s="227"/>
      <c r="R1059" s="231"/>
      <c r="S1059" s="231"/>
      <c r="T1059" s="231"/>
      <c r="U1059" s="231"/>
      <c r="V1059" s="231"/>
      <c r="W1059" s="231"/>
      <c r="X1059" s="227"/>
      <c r="Y1059" s="232"/>
      <c r="Z1059" s="232"/>
      <c r="AA1059" s="232"/>
      <c r="AB1059" s="232"/>
      <c r="AC1059" s="227"/>
      <c r="AD1059" s="227"/>
      <c r="AE1059" s="231"/>
      <c r="AF1059" s="227"/>
      <c r="AG1059" s="232"/>
      <c r="AH1059" s="232"/>
      <c r="AI1059" s="232"/>
      <c r="AJ1059" s="232"/>
      <c r="AK1059" s="232"/>
      <c r="AL1059" s="232"/>
      <c r="AM1059" s="232"/>
      <c r="AN1059" s="232"/>
      <c r="AO1059" s="231"/>
      <c r="AP1059" s="231"/>
      <c r="AQ1059" s="227"/>
      <c r="AR1059" s="231"/>
      <c r="AS1059" s="227"/>
      <c r="AT1059" s="227"/>
      <c r="AU1059" s="227"/>
      <c r="AV1059" s="227"/>
    </row>
    <row r="1060">
      <c r="A1060" s="227"/>
      <c r="B1060" s="232"/>
      <c r="C1060" s="227"/>
      <c r="D1060" s="227"/>
      <c r="E1060" s="231"/>
      <c r="F1060" s="232"/>
      <c r="G1060" s="227"/>
      <c r="H1060" s="227"/>
      <c r="I1060" s="227"/>
      <c r="J1060" s="227"/>
      <c r="K1060" s="227"/>
      <c r="L1060" s="232"/>
      <c r="M1060" s="232"/>
      <c r="N1060" s="227"/>
      <c r="O1060" s="227"/>
      <c r="P1060" s="231"/>
      <c r="Q1060" s="227"/>
      <c r="R1060" s="231"/>
      <c r="S1060" s="231"/>
      <c r="T1060" s="231"/>
      <c r="U1060" s="231"/>
      <c r="V1060" s="231"/>
      <c r="W1060" s="231"/>
      <c r="X1060" s="227"/>
      <c r="Y1060" s="232"/>
      <c r="Z1060" s="232"/>
      <c r="AA1060" s="232"/>
      <c r="AB1060" s="232"/>
      <c r="AC1060" s="227"/>
      <c r="AD1060" s="227"/>
      <c r="AE1060" s="231"/>
      <c r="AF1060" s="227"/>
      <c r="AG1060" s="232"/>
      <c r="AH1060" s="232"/>
      <c r="AI1060" s="232"/>
      <c r="AJ1060" s="232"/>
      <c r="AK1060" s="232"/>
      <c r="AL1060" s="232"/>
      <c r="AM1060" s="232"/>
      <c r="AN1060" s="232"/>
      <c r="AO1060" s="231"/>
      <c r="AP1060" s="231"/>
      <c r="AQ1060" s="227"/>
      <c r="AR1060" s="231"/>
      <c r="AS1060" s="227"/>
      <c r="AT1060" s="227"/>
      <c r="AU1060" s="227"/>
      <c r="AV1060" s="227"/>
    </row>
    <row r="1061">
      <c r="A1061" s="227"/>
      <c r="B1061" s="232"/>
      <c r="C1061" s="227"/>
      <c r="D1061" s="227"/>
      <c r="E1061" s="231"/>
      <c r="F1061" s="232"/>
      <c r="G1061" s="227"/>
      <c r="H1061" s="227"/>
      <c r="I1061" s="227"/>
      <c r="J1061" s="227"/>
      <c r="K1061" s="227"/>
      <c r="L1061" s="232"/>
      <c r="M1061" s="232"/>
      <c r="N1061" s="227"/>
      <c r="O1061" s="227"/>
      <c r="P1061" s="231"/>
      <c r="Q1061" s="227"/>
      <c r="R1061" s="231"/>
      <c r="S1061" s="231"/>
      <c r="T1061" s="231"/>
      <c r="U1061" s="231"/>
      <c r="V1061" s="231"/>
      <c r="W1061" s="231"/>
      <c r="X1061" s="227"/>
      <c r="Y1061" s="232"/>
      <c r="Z1061" s="232"/>
      <c r="AA1061" s="232"/>
      <c r="AB1061" s="232"/>
      <c r="AC1061" s="227"/>
      <c r="AD1061" s="227"/>
      <c r="AE1061" s="231"/>
      <c r="AF1061" s="227"/>
      <c r="AG1061" s="232"/>
      <c r="AH1061" s="232"/>
      <c r="AI1061" s="232"/>
      <c r="AJ1061" s="232"/>
      <c r="AK1061" s="232"/>
      <c r="AL1061" s="232"/>
      <c r="AM1061" s="232"/>
      <c r="AN1061" s="232"/>
      <c r="AO1061" s="231"/>
      <c r="AP1061" s="231"/>
      <c r="AQ1061" s="227"/>
      <c r="AR1061" s="231"/>
      <c r="AS1061" s="227"/>
      <c r="AT1061" s="227"/>
      <c r="AU1061" s="227"/>
      <c r="AV1061" s="227"/>
    </row>
    <row r="1062">
      <c r="A1062" s="227"/>
      <c r="B1062" s="232"/>
      <c r="C1062" s="227"/>
      <c r="D1062" s="227"/>
      <c r="E1062" s="231"/>
      <c r="F1062" s="232"/>
      <c r="G1062" s="227"/>
      <c r="H1062" s="227"/>
      <c r="I1062" s="227"/>
      <c r="J1062" s="227"/>
      <c r="K1062" s="227"/>
      <c r="L1062" s="232"/>
      <c r="M1062" s="232"/>
      <c r="N1062" s="227"/>
      <c r="O1062" s="227"/>
      <c r="P1062" s="231"/>
      <c r="Q1062" s="227"/>
      <c r="R1062" s="231"/>
      <c r="S1062" s="231"/>
      <c r="T1062" s="231"/>
      <c r="U1062" s="231"/>
      <c r="V1062" s="231"/>
      <c r="W1062" s="231"/>
      <c r="X1062" s="227"/>
      <c r="Y1062" s="232"/>
      <c r="Z1062" s="232"/>
      <c r="AA1062" s="232"/>
      <c r="AB1062" s="232"/>
      <c r="AC1062" s="227"/>
      <c r="AD1062" s="227"/>
      <c r="AE1062" s="231"/>
      <c r="AF1062" s="227"/>
      <c r="AG1062" s="232"/>
      <c r="AH1062" s="232"/>
      <c r="AI1062" s="232"/>
      <c r="AJ1062" s="232"/>
      <c r="AK1062" s="232"/>
      <c r="AL1062" s="232"/>
      <c r="AM1062" s="232"/>
      <c r="AN1062" s="232"/>
      <c r="AO1062" s="231"/>
      <c r="AP1062" s="231"/>
      <c r="AQ1062" s="227"/>
      <c r="AR1062" s="231"/>
      <c r="AS1062" s="227"/>
      <c r="AT1062" s="227"/>
      <c r="AU1062" s="227"/>
      <c r="AV1062" s="227"/>
    </row>
    <row r="1063">
      <c r="A1063" s="227"/>
      <c r="B1063" s="232"/>
      <c r="C1063" s="227"/>
      <c r="D1063" s="227"/>
      <c r="E1063" s="231"/>
      <c r="F1063" s="232"/>
      <c r="G1063" s="227"/>
      <c r="H1063" s="227"/>
      <c r="I1063" s="227"/>
      <c r="J1063" s="227"/>
      <c r="K1063" s="227"/>
      <c r="L1063" s="232"/>
      <c r="M1063" s="232"/>
      <c r="N1063" s="227"/>
      <c r="O1063" s="227"/>
      <c r="P1063" s="231"/>
      <c r="Q1063" s="227"/>
      <c r="R1063" s="231"/>
      <c r="S1063" s="231"/>
      <c r="T1063" s="231"/>
      <c r="U1063" s="231"/>
      <c r="V1063" s="231"/>
      <c r="W1063" s="231"/>
      <c r="X1063" s="227"/>
      <c r="Y1063" s="232"/>
      <c r="Z1063" s="232"/>
      <c r="AA1063" s="232"/>
      <c r="AB1063" s="232"/>
      <c r="AC1063" s="227"/>
      <c r="AD1063" s="227"/>
      <c r="AE1063" s="231"/>
      <c r="AF1063" s="227"/>
      <c r="AG1063" s="232"/>
      <c r="AH1063" s="232"/>
      <c r="AI1063" s="232"/>
      <c r="AJ1063" s="232"/>
      <c r="AK1063" s="232"/>
      <c r="AL1063" s="232"/>
      <c r="AM1063" s="232"/>
      <c r="AN1063" s="232"/>
      <c r="AO1063" s="231"/>
      <c r="AP1063" s="231"/>
      <c r="AQ1063" s="227"/>
      <c r="AR1063" s="231"/>
      <c r="AS1063" s="227"/>
      <c r="AT1063" s="227"/>
      <c r="AU1063" s="227"/>
      <c r="AV1063" s="227"/>
    </row>
    <row r="1064">
      <c r="A1064" s="227"/>
      <c r="B1064" s="232"/>
      <c r="C1064" s="227"/>
      <c r="D1064" s="227"/>
      <c r="E1064" s="231"/>
      <c r="F1064" s="232"/>
      <c r="G1064" s="227"/>
      <c r="H1064" s="227"/>
      <c r="I1064" s="227"/>
      <c r="J1064" s="227"/>
      <c r="K1064" s="227"/>
      <c r="L1064" s="232"/>
      <c r="M1064" s="232"/>
      <c r="N1064" s="227"/>
      <c r="O1064" s="227"/>
      <c r="P1064" s="231"/>
      <c r="Q1064" s="227"/>
      <c r="R1064" s="231"/>
      <c r="S1064" s="231"/>
      <c r="T1064" s="231"/>
      <c r="U1064" s="231"/>
      <c r="V1064" s="231"/>
      <c r="W1064" s="231"/>
      <c r="X1064" s="227"/>
      <c r="Y1064" s="232"/>
      <c r="Z1064" s="232"/>
      <c r="AA1064" s="232"/>
      <c r="AB1064" s="232"/>
      <c r="AC1064" s="227"/>
      <c r="AD1064" s="227"/>
      <c r="AE1064" s="231"/>
      <c r="AF1064" s="227"/>
      <c r="AG1064" s="232"/>
      <c r="AH1064" s="232"/>
      <c r="AI1064" s="232"/>
      <c r="AJ1064" s="232"/>
      <c r="AK1064" s="232"/>
      <c r="AL1064" s="232"/>
      <c r="AM1064" s="232"/>
      <c r="AN1064" s="232"/>
      <c r="AO1064" s="231"/>
      <c r="AP1064" s="231"/>
      <c r="AQ1064" s="227"/>
      <c r="AR1064" s="231"/>
      <c r="AS1064" s="227"/>
      <c r="AT1064" s="227"/>
      <c r="AU1064" s="227"/>
      <c r="AV1064" s="227"/>
    </row>
    <row r="1065">
      <c r="A1065" s="227"/>
      <c r="B1065" s="232"/>
      <c r="C1065" s="227"/>
      <c r="D1065" s="227"/>
      <c r="E1065" s="231"/>
      <c r="F1065" s="232"/>
      <c r="G1065" s="227"/>
      <c r="H1065" s="227"/>
      <c r="I1065" s="227"/>
      <c r="J1065" s="227"/>
      <c r="K1065" s="227"/>
      <c r="L1065" s="232"/>
      <c r="M1065" s="232"/>
      <c r="N1065" s="227"/>
      <c r="O1065" s="227"/>
      <c r="P1065" s="231"/>
      <c r="Q1065" s="227"/>
      <c r="R1065" s="231"/>
      <c r="S1065" s="231"/>
      <c r="T1065" s="231"/>
      <c r="U1065" s="231"/>
      <c r="V1065" s="231"/>
      <c r="W1065" s="231"/>
      <c r="X1065" s="227"/>
      <c r="Y1065" s="232"/>
      <c r="Z1065" s="232"/>
      <c r="AA1065" s="232"/>
      <c r="AB1065" s="232"/>
      <c r="AC1065" s="227"/>
      <c r="AD1065" s="227"/>
      <c r="AE1065" s="231"/>
      <c r="AF1065" s="227"/>
      <c r="AG1065" s="232"/>
      <c r="AH1065" s="232"/>
      <c r="AI1065" s="232"/>
      <c r="AJ1065" s="232"/>
      <c r="AK1065" s="232"/>
      <c r="AL1065" s="232"/>
      <c r="AM1065" s="232"/>
      <c r="AN1065" s="232"/>
      <c r="AO1065" s="231"/>
      <c r="AP1065" s="231"/>
      <c r="AQ1065" s="227"/>
      <c r="AR1065" s="231"/>
      <c r="AS1065" s="227"/>
      <c r="AT1065" s="227"/>
      <c r="AU1065" s="227"/>
      <c r="AV1065" s="227"/>
    </row>
    <row r="1066">
      <c r="A1066" s="227"/>
      <c r="B1066" s="232"/>
      <c r="C1066" s="227"/>
      <c r="D1066" s="227"/>
      <c r="E1066" s="231"/>
      <c r="F1066" s="232"/>
      <c r="G1066" s="227"/>
      <c r="H1066" s="227"/>
      <c r="I1066" s="227"/>
      <c r="J1066" s="227"/>
      <c r="K1066" s="227"/>
      <c r="L1066" s="232"/>
      <c r="M1066" s="232"/>
      <c r="N1066" s="227"/>
      <c r="O1066" s="227"/>
      <c r="P1066" s="231"/>
      <c r="Q1066" s="227"/>
      <c r="R1066" s="231"/>
      <c r="S1066" s="231"/>
      <c r="T1066" s="231"/>
      <c r="U1066" s="231"/>
      <c r="V1066" s="231"/>
      <c r="W1066" s="231"/>
      <c r="X1066" s="227"/>
      <c r="Y1066" s="232"/>
      <c r="Z1066" s="232"/>
      <c r="AA1066" s="232"/>
      <c r="AB1066" s="232"/>
      <c r="AC1066" s="227"/>
      <c r="AD1066" s="227"/>
      <c r="AE1066" s="231"/>
      <c r="AF1066" s="227"/>
      <c r="AG1066" s="232"/>
      <c r="AH1066" s="232"/>
      <c r="AI1066" s="232"/>
      <c r="AJ1066" s="232"/>
      <c r="AK1066" s="232"/>
      <c r="AL1066" s="232"/>
      <c r="AM1066" s="232"/>
      <c r="AN1066" s="232"/>
      <c r="AO1066" s="231"/>
      <c r="AP1066" s="231"/>
      <c r="AQ1066" s="227"/>
      <c r="AR1066" s="231"/>
      <c r="AS1066" s="227"/>
      <c r="AT1066" s="227"/>
      <c r="AU1066" s="227"/>
      <c r="AV1066" s="227"/>
    </row>
    <row r="1067">
      <c r="A1067" s="227"/>
      <c r="B1067" s="232"/>
      <c r="C1067" s="227"/>
      <c r="D1067" s="227"/>
      <c r="E1067" s="231"/>
      <c r="F1067" s="232"/>
      <c r="G1067" s="227"/>
      <c r="H1067" s="227"/>
      <c r="I1067" s="227"/>
      <c r="J1067" s="227"/>
      <c r="K1067" s="227"/>
      <c r="L1067" s="232"/>
      <c r="M1067" s="232"/>
      <c r="N1067" s="227"/>
      <c r="O1067" s="227"/>
      <c r="P1067" s="231"/>
      <c r="Q1067" s="227"/>
      <c r="R1067" s="231"/>
      <c r="S1067" s="231"/>
      <c r="T1067" s="231"/>
      <c r="U1067" s="231"/>
      <c r="V1067" s="231"/>
      <c r="W1067" s="231"/>
      <c r="X1067" s="227"/>
      <c r="Y1067" s="232"/>
      <c r="Z1067" s="232"/>
      <c r="AA1067" s="232"/>
      <c r="AB1067" s="232"/>
      <c r="AC1067" s="227"/>
      <c r="AD1067" s="227"/>
      <c r="AE1067" s="231"/>
      <c r="AF1067" s="227"/>
      <c r="AG1067" s="232"/>
      <c r="AH1067" s="232"/>
      <c r="AI1067" s="232"/>
      <c r="AJ1067" s="232"/>
      <c r="AK1067" s="232"/>
      <c r="AL1067" s="232"/>
      <c r="AM1067" s="232"/>
      <c r="AN1067" s="232"/>
      <c r="AO1067" s="231"/>
      <c r="AP1067" s="231"/>
      <c r="AQ1067" s="227"/>
      <c r="AR1067" s="231"/>
      <c r="AS1067" s="227"/>
      <c r="AT1067" s="227"/>
      <c r="AU1067" s="227"/>
      <c r="AV1067" s="227"/>
    </row>
    <row r="1068">
      <c r="A1068" s="227"/>
      <c r="B1068" s="232"/>
      <c r="C1068" s="227"/>
      <c r="D1068" s="227"/>
      <c r="E1068" s="231"/>
      <c r="F1068" s="232"/>
      <c r="G1068" s="227"/>
      <c r="H1068" s="227"/>
      <c r="I1068" s="227"/>
      <c r="J1068" s="227"/>
      <c r="K1068" s="227"/>
      <c r="L1068" s="232"/>
      <c r="M1068" s="232"/>
      <c r="N1068" s="227"/>
      <c r="O1068" s="227"/>
      <c r="P1068" s="231"/>
      <c r="Q1068" s="227"/>
      <c r="R1068" s="231"/>
      <c r="S1068" s="231"/>
      <c r="T1068" s="231"/>
      <c r="U1068" s="231"/>
      <c r="V1068" s="231"/>
      <c r="W1068" s="231"/>
      <c r="X1068" s="227"/>
      <c r="Y1068" s="232"/>
      <c r="Z1068" s="232"/>
      <c r="AA1068" s="232"/>
      <c r="AB1068" s="232"/>
      <c r="AC1068" s="227"/>
      <c r="AD1068" s="227"/>
      <c r="AE1068" s="231"/>
      <c r="AF1068" s="227"/>
      <c r="AG1068" s="232"/>
      <c r="AH1068" s="232"/>
      <c r="AI1068" s="232"/>
      <c r="AJ1068" s="232"/>
      <c r="AK1068" s="232"/>
      <c r="AL1068" s="232"/>
      <c r="AM1068" s="232"/>
      <c r="AN1068" s="232"/>
      <c r="AO1068" s="231"/>
      <c r="AP1068" s="231"/>
      <c r="AQ1068" s="227"/>
      <c r="AR1068" s="231"/>
      <c r="AS1068" s="227"/>
      <c r="AT1068" s="227"/>
      <c r="AU1068" s="227"/>
      <c r="AV1068" s="227"/>
    </row>
    <row r="1069">
      <c r="A1069" s="227"/>
      <c r="B1069" s="232"/>
      <c r="C1069" s="227"/>
      <c r="D1069" s="227"/>
      <c r="E1069" s="231"/>
      <c r="F1069" s="232"/>
      <c r="G1069" s="227"/>
      <c r="H1069" s="227"/>
      <c r="I1069" s="227"/>
      <c r="J1069" s="227"/>
      <c r="K1069" s="227"/>
      <c r="L1069" s="232"/>
      <c r="M1069" s="232"/>
      <c r="N1069" s="227"/>
      <c r="O1069" s="227"/>
      <c r="P1069" s="231"/>
      <c r="Q1069" s="227"/>
      <c r="R1069" s="231"/>
      <c r="S1069" s="231"/>
      <c r="T1069" s="231"/>
      <c r="U1069" s="231"/>
      <c r="V1069" s="231"/>
      <c r="W1069" s="231"/>
      <c r="X1069" s="227"/>
      <c r="Y1069" s="232"/>
      <c r="Z1069" s="232"/>
      <c r="AA1069" s="232"/>
      <c r="AB1069" s="232"/>
      <c r="AC1069" s="227"/>
      <c r="AD1069" s="227"/>
      <c r="AE1069" s="231"/>
      <c r="AF1069" s="227"/>
      <c r="AG1069" s="232"/>
      <c r="AH1069" s="232"/>
      <c r="AI1069" s="232"/>
      <c r="AJ1069" s="232"/>
      <c r="AK1069" s="232"/>
      <c r="AL1069" s="232"/>
      <c r="AM1069" s="232"/>
      <c r="AN1069" s="232"/>
      <c r="AO1069" s="231"/>
      <c r="AP1069" s="231"/>
      <c r="AQ1069" s="227"/>
      <c r="AR1069" s="231"/>
      <c r="AS1069" s="227"/>
      <c r="AT1069" s="227"/>
      <c r="AU1069" s="227"/>
      <c r="AV1069" s="227"/>
    </row>
    <row r="1070">
      <c r="A1070" s="227"/>
      <c r="B1070" s="232"/>
      <c r="C1070" s="227"/>
      <c r="D1070" s="227"/>
      <c r="E1070" s="231"/>
      <c r="F1070" s="232"/>
      <c r="G1070" s="227"/>
      <c r="H1070" s="227"/>
      <c r="I1070" s="227"/>
      <c r="J1070" s="227"/>
      <c r="K1070" s="227"/>
      <c r="L1070" s="232"/>
      <c r="M1070" s="232"/>
      <c r="N1070" s="227"/>
      <c r="O1070" s="227"/>
      <c r="P1070" s="231"/>
      <c r="Q1070" s="227"/>
      <c r="R1070" s="231"/>
      <c r="S1070" s="231"/>
      <c r="T1070" s="231"/>
      <c r="U1070" s="231"/>
      <c r="V1070" s="231"/>
      <c r="W1070" s="231"/>
      <c r="X1070" s="227"/>
      <c r="Y1070" s="232"/>
      <c r="Z1070" s="232"/>
      <c r="AA1070" s="232"/>
      <c r="AB1070" s="232"/>
      <c r="AC1070" s="227"/>
      <c r="AD1070" s="227"/>
      <c r="AE1070" s="231"/>
      <c r="AF1070" s="227"/>
      <c r="AG1070" s="232"/>
      <c r="AH1070" s="232"/>
      <c r="AI1070" s="232"/>
      <c r="AJ1070" s="232"/>
      <c r="AK1070" s="232"/>
      <c r="AL1070" s="232"/>
      <c r="AM1070" s="232"/>
      <c r="AN1070" s="232"/>
      <c r="AO1070" s="231"/>
      <c r="AP1070" s="231"/>
      <c r="AQ1070" s="227"/>
      <c r="AR1070" s="231"/>
      <c r="AS1070" s="227"/>
      <c r="AT1070" s="227"/>
      <c r="AU1070" s="227"/>
      <c r="AV1070" s="227"/>
    </row>
    <row r="1071">
      <c r="A1071" s="227"/>
      <c r="B1071" s="232"/>
      <c r="C1071" s="227"/>
      <c r="D1071" s="227"/>
      <c r="E1071" s="231"/>
      <c r="F1071" s="232"/>
      <c r="G1071" s="227"/>
      <c r="H1071" s="227"/>
      <c r="I1071" s="227"/>
      <c r="J1071" s="227"/>
      <c r="K1071" s="227"/>
      <c r="L1071" s="232"/>
      <c r="M1071" s="232"/>
      <c r="N1071" s="227"/>
      <c r="O1071" s="227"/>
      <c r="P1071" s="231"/>
      <c r="Q1071" s="227"/>
      <c r="R1071" s="231"/>
      <c r="S1071" s="231"/>
      <c r="T1071" s="231"/>
      <c r="U1071" s="231"/>
      <c r="V1071" s="231"/>
      <c r="W1071" s="231"/>
      <c r="X1071" s="227"/>
      <c r="Y1071" s="232"/>
      <c r="Z1071" s="232"/>
      <c r="AA1071" s="232"/>
      <c r="AB1071" s="232"/>
      <c r="AC1071" s="227"/>
      <c r="AD1071" s="227"/>
      <c r="AE1071" s="231"/>
      <c r="AF1071" s="227"/>
      <c r="AG1071" s="232"/>
      <c r="AH1071" s="232"/>
      <c r="AI1071" s="232"/>
      <c r="AJ1071" s="232"/>
      <c r="AK1071" s="232"/>
      <c r="AL1071" s="232"/>
      <c r="AM1071" s="232"/>
      <c r="AN1071" s="232"/>
      <c r="AO1071" s="231"/>
      <c r="AP1071" s="231"/>
      <c r="AQ1071" s="227"/>
      <c r="AR1071" s="231"/>
      <c r="AS1071" s="227"/>
      <c r="AT1071" s="227"/>
      <c r="AU1071" s="227"/>
      <c r="AV1071" s="227"/>
    </row>
    <row r="1072">
      <c r="A1072" s="227"/>
      <c r="B1072" s="232"/>
      <c r="C1072" s="227"/>
      <c r="D1072" s="227"/>
      <c r="E1072" s="231"/>
      <c r="F1072" s="232"/>
      <c r="G1072" s="227"/>
      <c r="H1072" s="227"/>
      <c r="I1072" s="227"/>
      <c r="J1072" s="227"/>
      <c r="K1072" s="227"/>
      <c r="L1072" s="232"/>
      <c r="M1072" s="232"/>
      <c r="N1072" s="227"/>
      <c r="O1072" s="227"/>
      <c r="P1072" s="231"/>
      <c r="Q1072" s="227"/>
      <c r="R1072" s="231"/>
      <c r="S1072" s="231"/>
      <c r="T1072" s="231"/>
      <c r="U1072" s="231"/>
      <c r="V1072" s="231"/>
      <c r="W1072" s="231"/>
      <c r="X1072" s="227"/>
      <c r="Y1072" s="232"/>
      <c r="Z1072" s="232"/>
      <c r="AA1072" s="232"/>
      <c r="AB1072" s="232"/>
      <c r="AC1072" s="227"/>
      <c r="AD1072" s="227"/>
      <c r="AE1072" s="231"/>
      <c r="AF1072" s="227"/>
      <c r="AG1072" s="232"/>
      <c r="AH1072" s="232"/>
      <c r="AI1072" s="232"/>
      <c r="AJ1072" s="232"/>
      <c r="AK1072" s="232"/>
      <c r="AL1072" s="232"/>
      <c r="AM1072" s="232"/>
      <c r="AN1072" s="232"/>
      <c r="AO1072" s="231"/>
      <c r="AP1072" s="231"/>
      <c r="AQ1072" s="227"/>
      <c r="AR1072" s="231"/>
      <c r="AS1072" s="227"/>
      <c r="AT1072" s="227"/>
      <c r="AU1072" s="227"/>
      <c r="AV1072" s="227"/>
    </row>
    <row r="1073">
      <c r="A1073" s="227"/>
      <c r="B1073" s="232"/>
      <c r="C1073" s="227"/>
      <c r="D1073" s="227"/>
      <c r="E1073" s="231"/>
      <c r="F1073" s="232"/>
      <c r="G1073" s="227"/>
      <c r="H1073" s="227"/>
      <c r="I1073" s="227"/>
      <c r="J1073" s="227"/>
      <c r="K1073" s="227"/>
      <c r="L1073" s="232"/>
      <c r="M1073" s="232"/>
      <c r="N1073" s="227"/>
      <c r="O1073" s="227"/>
      <c r="P1073" s="231"/>
      <c r="Q1073" s="227"/>
      <c r="R1073" s="231"/>
      <c r="S1073" s="231"/>
      <c r="T1073" s="231"/>
      <c r="U1073" s="231"/>
      <c r="V1073" s="231"/>
      <c r="W1073" s="231"/>
      <c r="X1073" s="227"/>
      <c r="Y1073" s="232"/>
      <c r="Z1073" s="232"/>
      <c r="AA1073" s="232"/>
      <c r="AB1073" s="232"/>
      <c r="AC1073" s="227"/>
      <c r="AD1073" s="227"/>
      <c r="AE1073" s="231"/>
      <c r="AF1073" s="227"/>
      <c r="AG1073" s="232"/>
      <c r="AH1073" s="232"/>
      <c r="AI1073" s="232"/>
      <c r="AJ1073" s="232"/>
      <c r="AK1073" s="232"/>
      <c r="AL1073" s="232"/>
      <c r="AM1073" s="232"/>
      <c r="AN1073" s="232"/>
      <c r="AO1073" s="231"/>
      <c r="AP1073" s="231"/>
      <c r="AQ1073" s="227"/>
      <c r="AR1073" s="231"/>
      <c r="AS1073" s="227"/>
      <c r="AT1073" s="227"/>
      <c r="AU1073" s="227"/>
      <c r="AV1073" s="227"/>
    </row>
    <row r="1074">
      <c r="A1074" s="227"/>
      <c r="B1074" s="232"/>
      <c r="C1074" s="227"/>
      <c r="D1074" s="227"/>
      <c r="E1074" s="231"/>
      <c r="F1074" s="232"/>
      <c r="G1074" s="227"/>
      <c r="H1074" s="227"/>
      <c r="I1074" s="227"/>
      <c r="J1074" s="227"/>
      <c r="K1074" s="227"/>
      <c r="L1074" s="232"/>
      <c r="M1074" s="232"/>
      <c r="N1074" s="227"/>
      <c r="O1074" s="227"/>
      <c r="P1074" s="231"/>
      <c r="Q1074" s="227"/>
      <c r="R1074" s="231"/>
      <c r="S1074" s="231"/>
      <c r="T1074" s="231"/>
      <c r="U1074" s="231"/>
      <c r="V1074" s="231"/>
      <c r="W1074" s="231"/>
      <c r="X1074" s="227"/>
      <c r="Y1074" s="232"/>
      <c r="Z1074" s="232"/>
      <c r="AA1074" s="232"/>
      <c r="AB1074" s="232"/>
      <c r="AC1074" s="227"/>
      <c r="AD1074" s="227"/>
      <c r="AE1074" s="231"/>
      <c r="AF1074" s="227"/>
      <c r="AG1074" s="232"/>
      <c r="AH1074" s="232"/>
      <c r="AI1074" s="232"/>
      <c r="AJ1074" s="232"/>
      <c r="AK1074" s="232"/>
      <c r="AL1074" s="232"/>
      <c r="AM1074" s="232"/>
      <c r="AN1074" s="232"/>
      <c r="AO1074" s="231"/>
      <c r="AP1074" s="231"/>
      <c r="AQ1074" s="227"/>
      <c r="AR1074" s="231"/>
      <c r="AS1074" s="227"/>
      <c r="AT1074" s="227"/>
      <c r="AU1074" s="227"/>
      <c r="AV1074" s="227"/>
    </row>
    <row r="1075">
      <c r="A1075" s="227"/>
      <c r="B1075" s="232"/>
      <c r="C1075" s="227"/>
      <c r="D1075" s="227"/>
      <c r="E1075" s="231"/>
      <c r="F1075" s="232"/>
      <c r="G1075" s="227"/>
      <c r="H1075" s="227"/>
      <c r="I1075" s="227"/>
      <c r="J1075" s="227"/>
      <c r="K1075" s="227"/>
      <c r="L1075" s="232"/>
      <c r="M1075" s="232"/>
      <c r="N1075" s="227"/>
      <c r="O1075" s="227"/>
      <c r="P1075" s="231"/>
      <c r="Q1075" s="227"/>
      <c r="R1075" s="231"/>
      <c r="S1075" s="231"/>
      <c r="T1075" s="231"/>
      <c r="U1075" s="231"/>
      <c r="V1075" s="231"/>
      <c r="W1075" s="231"/>
      <c r="X1075" s="227"/>
      <c r="Y1075" s="232"/>
      <c r="Z1075" s="232"/>
      <c r="AA1075" s="232"/>
      <c r="AB1075" s="232"/>
      <c r="AC1075" s="227"/>
      <c r="AD1075" s="227"/>
      <c r="AE1075" s="231"/>
      <c r="AF1075" s="227"/>
      <c r="AG1075" s="232"/>
      <c r="AH1075" s="232"/>
      <c r="AI1075" s="232"/>
      <c r="AJ1075" s="232"/>
      <c r="AK1075" s="232"/>
      <c r="AL1075" s="232"/>
      <c r="AM1075" s="232"/>
      <c r="AN1075" s="232"/>
      <c r="AO1075" s="231"/>
      <c r="AP1075" s="231"/>
      <c r="AQ1075" s="227"/>
      <c r="AR1075" s="231"/>
      <c r="AS1075" s="227"/>
      <c r="AT1075" s="227"/>
      <c r="AU1075" s="227"/>
      <c r="AV1075" s="227"/>
    </row>
    <row r="1076">
      <c r="A1076" s="227"/>
      <c r="B1076" s="232"/>
      <c r="C1076" s="227"/>
      <c r="D1076" s="227"/>
      <c r="E1076" s="231"/>
      <c r="F1076" s="232"/>
      <c r="G1076" s="227"/>
      <c r="H1076" s="227"/>
      <c r="I1076" s="227"/>
      <c r="J1076" s="227"/>
      <c r="K1076" s="227"/>
      <c r="L1076" s="232"/>
      <c r="M1076" s="232"/>
      <c r="N1076" s="227"/>
      <c r="O1076" s="227"/>
      <c r="P1076" s="231"/>
      <c r="Q1076" s="227"/>
      <c r="R1076" s="231"/>
      <c r="S1076" s="231"/>
      <c r="T1076" s="231"/>
      <c r="U1076" s="231"/>
      <c r="V1076" s="231"/>
      <c r="W1076" s="231"/>
      <c r="X1076" s="227"/>
      <c r="Y1076" s="232"/>
      <c r="Z1076" s="232"/>
      <c r="AA1076" s="232"/>
      <c r="AB1076" s="232"/>
      <c r="AC1076" s="227"/>
      <c r="AD1076" s="227"/>
      <c r="AE1076" s="231"/>
      <c r="AF1076" s="227"/>
      <c r="AG1076" s="232"/>
      <c r="AH1076" s="232"/>
      <c r="AI1076" s="232"/>
      <c r="AJ1076" s="232"/>
      <c r="AK1076" s="232"/>
      <c r="AL1076" s="232"/>
      <c r="AM1076" s="232"/>
      <c r="AN1076" s="232"/>
      <c r="AO1076" s="231"/>
      <c r="AP1076" s="231"/>
      <c r="AQ1076" s="227"/>
      <c r="AR1076" s="231"/>
      <c r="AS1076" s="227"/>
      <c r="AT1076" s="227"/>
      <c r="AU1076" s="227"/>
      <c r="AV1076" s="227"/>
    </row>
    <row r="1077">
      <c r="A1077" s="227"/>
      <c r="B1077" s="232"/>
      <c r="C1077" s="227"/>
      <c r="D1077" s="227"/>
      <c r="E1077" s="231"/>
      <c r="F1077" s="232"/>
      <c r="G1077" s="227"/>
      <c r="H1077" s="227"/>
      <c r="I1077" s="227"/>
      <c r="J1077" s="227"/>
      <c r="K1077" s="227"/>
      <c r="L1077" s="232"/>
      <c r="M1077" s="232"/>
      <c r="N1077" s="227"/>
      <c r="O1077" s="227"/>
      <c r="P1077" s="231"/>
      <c r="Q1077" s="227"/>
      <c r="R1077" s="231"/>
      <c r="S1077" s="231"/>
      <c r="T1077" s="231"/>
      <c r="U1077" s="231"/>
      <c r="V1077" s="231"/>
      <c r="W1077" s="231"/>
      <c r="X1077" s="227"/>
      <c r="Y1077" s="232"/>
      <c r="Z1077" s="232"/>
      <c r="AA1077" s="232"/>
      <c r="AB1077" s="232"/>
      <c r="AC1077" s="227"/>
      <c r="AD1077" s="227"/>
      <c r="AE1077" s="231"/>
      <c r="AF1077" s="227"/>
      <c r="AG1077" s="232"/>
      <c r="AH1077" s="232"/>
      <c r="AI1077" s="232"/>
      <c r="AJ1077" s="232"/>
      <c r="AK1077" s="232"/>
      <c r="AL1077" s="232"/>
      <c r="AM1077" s="232"/>
      <c r="AN1077" s="232"/>
      <c r="AO1077" s="231"/>
      <c r="AP1077" s="231"/>
      <c r="AQ1077" s="227"/>
      <c r="AR1077" s="231"/>
      <c r="AS1077" s="227"/>
      <c r="AT1077" s="227"/>
      <c r="AU1077" s="227"/>
      <c r="AV1077" s="227"/>
    </row>
    <row r="1078">
      <c r="A1078" s="227"/>
      <c r="B1078" s="232"/>
      <c r="C1078" s="227"/>
      <c r="D1078" s="227"/>
      <c r="E1078" s="231"/>
      <c r="F1078" s="232"/>
      <c r="G1078" s="227"/>
      <c r="H1078" s="227"/>
      <c r="I1078" s="227"/>
      <c r="J1078" s="227"/>
      <c r="K1078" s="227"/>
      <c r="L1078" s="232"/>
      <c r="M1078" s="232"/>
      <c r="N1078" s="227"/>
      <c r="O1078" s="227"/>
      <c r="P1078" s="231"/>
      <c r="Q1078" s="227"/>
      <c r="R1078" s="231"/>
      <c r="S1078" s="231"/>
      <c r="T1078" s="231"/>
      <c r="U1078" s="231"/>
      <c r="V1078" s="231"/>
      <c r="W1078" s="231"/>
      <c r="X1078" s="227"/>
      <c r="Y1078" s="232"/>
      <c r="Z1078" s="232"/>
      <c r="AA1078" s="232"/>
      <c r="AB1078" s="232"/>
      <c r="AC1078" s="227"/>
      <c r="AD1078" s="227"/>
      <c r="AE1078" s="231"/>
      <c r="AF1078" s="227"/>
      <c r="AG1078" s="232"/>
      <c r="AH1078" s="232"/>
      <c r="AI1078" s="232"/>
      <c r="AJ1078" s="232"/>
      <c r="AK1078" s="232"/>
      <c r="AL1078" s="232"/>
      <c r="AM1078" s="232"/>
      <c r="AN1078" s="232"/>
      <c r="AO1078" s="231"/>
      <c r="AP1078" s="231"/>
      <c r="AQ1078" s="227"/>
      <c r="AR1078" s="231"/>
      <c r="AS1078" s="227"/>
      <c r="AT1078" s="227"/>
      <c r="AU1078" s="227"/>
      <c r="AV1078" s="227"/>
    </row>
    <row r="1079">
      <c r="A1079" s="227"/>
      <c r="B1079" s="232"/>
      <c r="C1079" s="227"/>
      <c r="D1079" s="227"/>
      <c r="E1079" s="231"/>
      <c r="F1079" s="232"/>
      <c r="G1079" s="227"/>
      <c r="H1079" s="227"/>
      <c r="I1079" s="227"/>
      <c r="J1079" s="227"/>
      <c r="K1079" s="227"/>
      <c r="L1079" s="232"/>
      <c r="M1079" s="232"/>
      <c r="N1079" s="227"/>
      <c r="O1079" s="227"/>
      <c r="P1079" s="231"/>
      <c r="Q1079" s="227"/>
      <c r="R1079" s="231"/>
      <c r="S1079" s="231"/>
      <c r="T1079" s="231"/>
      <c r="U1079" s="231"/>
      <c r="V1079" s="231"/>
      <c r="W1079" s="231"/>
      <c r="X1079" s="227"/>
      <c r="Y1079" s="232"/>
      <c r="Z1079" s="232"/>
      <c r="AA1079" s="232"/>
      <c r="AB1079" s="232"/>
      <c r="AC1079" s="227"/>
      <c r="AD1079" s="227"/>
      <c r="AE1079" s="231"/>
      <c r="AF1079" s="227"/>
      <c r="AG1079" s="232"/>
      <c r="AH1079" s="232"/>
      <c r="AI1079" s="232"/>
      <c r="AJ1079" s="232"/>
      <c r="AK1079" s="232"/>
      <c r="AL1079" s="232"/>
      <c r="AM1079" s="232"/>
      <c r="AN1079" s="232"/>
      <c r="AO1079" s="231"/>
      <c r="AP1079" s="231"/>
      <c r="AQ1079" s="227"/>
      <c r="AR1079" s="231"/>
      <c r="AS1079" s="227"/>
      <c r="AT1079" s="227"/>
      <c r="AU1079" s="227"/>
      <c r="AV1079" s="227"/>
    </row>
    <row r="1080">
      <c r="A1080" s="227"/>
      <c r="B1080" s="232"/>
      <c r="C1080" s="227"/>
      <c r="D1080" s="227"/>
      <c r="E1080" s="231"/>
      <c r="F1080" s="232"/>
      <c r="G1080" s="227"/>
      <c r="H1080" s="227"/>
      <c r="I1080" s="227"/>
      <c r="J1080" s="227"/>
      <c r="K1080" s="227"/>
      <c r="L1080" s="232"/>
      <c r="M1080" s="232"/>
      <c r="N1080" s="227"/>
      <c r="O1080" s="227"/>
      <c r="P1080" s="231"/>
      <c r="Q1080" s="227"/>
      <c r="R1080" s="231"/>
      <c r="S1080" s="231"/>
      <c r="T1080" s="231"/>
      <c r="U1080" s="231"/>
      <c r="V1080" s="231"/>
      <c r="W1080" s="231"/>
      <c r="X1080" s="227"/>
      <c r="Y1080" s="232"/>
      <c r="Z1080" s="232"/>
      <c r="AA1080" s="232"/>
      <c r="AB1080" s="232"/>
      <c r="AC1080" s="227"/>
      <c r="AD1080" s="227"/>
      <c r="AE1080" s="231"/>
      <c r="AF1080" s="227"/>
      <c r="AG1080" s="232"/>
      <c r="AH1080" s="232"/>
      <c r="AI1080" s="232"/>
      <c r="AJ1080" s="232"/>
      <c r="AK1080" s="232"/>
      <c r="AL1080" s="232"/>
      <c r="AM1080" s="232"/>
      <c r="AN1080" s="232"/>
      <c r="AO1080" s="231"/>
      <c r="AP1080" s="231"/>
      <c r="AQ1080" s="227"/>
      <c r="AR1080" s="231"/>
      <c r="AS1080" s="227"/>
      <c r="AT1080" s="227"/>
      <c r="AU1080" s="227"/>
      <c r="AV1080" s="227"/>
    </row>
    <row r="1081">
      <c r="A1081" s="227"/>
      <c r="B1081" s="232"/>
      <c r="C1081" s="227"/>
      <c r="D1081" s="227"/>
      <c r="E1081" s="231"/>
      <c r="F1081" s="232"/>
      <c r="G1081" s="227"/>
      <c r="H1081" s="227"/>
      <c r="I1081" s="227"/>
      <c r="J1081" s="227"/>
      <c r="K1081" s="227"/>
      <c r="L1081" s="232"/>
      <c r="M1081" s="232"/>
      <c r="N1081" s="227"/>
      <c r="O1081" s="227"/>
      <c r="P1081" s="231"/>
      <c r="Q1081" s="227"/>
      <c r="R1081" s="231"/>
      <c r="S1081" s="231"/>
      <c r="T1081" s="231"/>
      <c r="U1081" s="231"/>
      <c r="V1081" s="231"/>
      <c r="W1081" s="231"/>
      <c r="X1081" s="227"/>
      <c r="Y1081" s="232"/>
      <c r="Z1081" s="232"/>
      <c r="AA1081" s="232"/>
      <c r="AB1081" s="232"/>
      <c r="AC1081" s="227"/>
      <c r="AD1081" s="227"/>
      <c r="AE1081" s="231"/>
      <c r="AF1081" s="227"/>
      <c r="AG1081" s="232"/>
      <c r="AH1081" s="232"/>
      <c r="AI1081" s="232"/>
      <c r="AJ1081" s="232"/>
      <c r="AK1081" s="232"/>
      <c r="AL1081" s="232"/>
      <c r="AM1081" s="232"/>
      <c r="AN1081" s="232"/>
      <c r="AO1081" s="231"/>
      <c r="AP1081" s="231"/>
      <c r="AQ1081" s="227"/>
      <c r="AR1081" s="231"/>
      <c r="AS1081" s="227"/>
      <c r="AT1081" s="227"/>
      <c r="AU1081" s="227"/>
      <c r="AV1081" s="227"/>
    </row>
    <row r="1082">
      <c r="A1082" s="227"/>
      <c r="B1082" s="232"/>
      <c r="C1082" s="227"/>
      <c r="D1082" s="227"/>
      <c r="E1082" s="231"/>
      <c r="F1082" s="232"/>
      <c r="G1082" s="227"/>
      <c r="H1082" s="227"/>
      <c r="I1082" s="227"/>
      <c r="J1082" s="227"/>
      <c r="K1082" s="227"/>
      <c r="L1082" s="232"/>
      <c r="M1082" s="232"/>
      <c r="N1082" s="227"/>
      <c r="O1082" s="227"/>
      <c r="P1082" s="231"/>
      <c r="Q1082" s="227"/>
      <c r="R1082" s="231"/>
      <c r="S1082" s="231"/>
      <c r="T1082" s="231"/>
      <c r="U1082" s="231"/>
      <c r="V1082" s="231"/>
      <c r="W1082" s="231"/>
      <c r="X1082" s="227"/>
      <c r="Y1082" s="232"/>
      <c r="Z1082" s="232"/>
      <c r="AA1082" s="232"/>
      <c r="AB1082" s="232"/>
      <c r="AC1082" s="227"/>
      <c r="AD1082" s="227"/>
      <c r="AE1082" s="231"/>
      <c r="AF1082" s="227"/>
      <c r="AG1082" s="232"/>
      <c r="AH1082" s="232"/>
      <c r="AI1082" s="232"/>
      <c r="AJ1082" s="232"/>
      <c r="AK1082" s="232"/>
      <c r="AL1082" s="232"/>
      <c r="AM1082" s="232"/>
      <c r="AN1082" s="232"/>
      <c r="AO1082" s="231"/>
      <c r="AP1082" s="231"/>
      <c r="AQ1082" s="227"/>
      <c r="AR1082" s="231"/>
      <c r="AS1082" s="227"/>
      <c r="AT1082" s="227"/>
      <c r="AU1082" s="227"/>
      <c r="AV1082" s="227"/>
    </row>
    <row r="1083">
      <c r="A1083" s="227"/>
      <c r="B1083" s="232"/>
      <c r="C1083" s="227"/>
      <c r="D1083" s="227"/>
      <c r="E1083" s="231"/>
      <c r="F1083" s="232"/>
      <c r="G1083" s="227"/>
      <c r="H1083" s="227"/>
      <c r="I1083" s="227"/>
      <c r="J1083" s="227"/>
      <c r="K1083" s="227"/>
      <c r="L1083" s="232"/>
      <c r="M1083" s="232"/>
      <c r="N1083" s="227"/>
      <c r="O1083" s="227"/>
      <c r="P1083" s="231"/>
      <c r="Q1083" s="227"/>
      <c r="R1083" s="231"/>
      <c r="S1083" s="231"/>
      <c r="T1083" s="231"/>
      <c r="U1083" s="231"/>
      <c r="V1083" s="231"/>
      <c r="W1083" s="231"/>
      <c r="X1083" s="227"/>
      <c r="Y1083" s="232"/>
      <c r="Z1083" s="232"/>
      <c r="AA1083" s="232"/>
      <c r="AB1083" s="232"/>
      <c r="AC1083" s="227"/>
      <c r="AD1083" s="227"/>
      <c r="AE1083" s="231"/>
      <c r="AF1083" s="227"/>
      <c r="AG1083" s="232"/>
      <c r="AH1083" s="232"/>
      <c r="AI1083" s="232"/>
      <c r="AJ1083" s="232"/>
      <c r="AK1083" s="232"/>
      <c r="AL1083" s="232"/>
      <c r="AM1083" s="232"/>
      <c r="AN1083" s="232"/>
      <c r="AO1083" s="231"/>
      <c r="AP1083" s="231"/>
      <c r="AQ1083" s="227"/>
      <c r="AR1083" s="231"/>
      <c r="AS1083" s="227"/>
      <c r="AT1083" s="227"/>
      <c r="AU1083" s="227"/>
      <c r="AV1083" s="227"/>
    </row>
    <row r="1084">
      <c r="A1084" s="227"/>
      <c r="B1084" s="232"/>
      <c r="C1084" s="227"/>
      <c r="D1084" s="227"/>
      <c r="E1084" s="231"/>
      <c r="F1084" s="232"/>
      <c r="G1084" s="227"/>
      <c r="H1084" s="227"/>
      <c r="I1084" s="227"/>
      <c r="J1084" s="227"/>
      <c r="K1084" s="227"/>
      <c r="L1084" s="232"/>
      <c r="M1084" s="232"/>
      <c r="N1084" s="227"/>
      <c r="O1084" s="227"/>
      <c r="P1084" s="231"/>
      <c r="Q1084" s="227"/>
      <c r="R1084" s="231"/>
      <c r="S1084" s="231"/>
      <c r="T1084" s="231"/>
      <c r="U1084" s="231"/>
      <c r="V1084" s="231"/>
      <c r="W1084" s="231"/>
      <c r="X1084" s="227"/>
      <c r="Y1084" s="232"/>
      <c r="Z1084" s="232"/>
      <c r="AA1084" s="232"/>
      <c r="AB1084" s="232"/>
      <c r="AC1084" s="227"/>
      <c r="AD1084" s="227"/>
      <c r="AE1084" s="231"/>
      <c r="AF1084" s="227"/>
      <c r="AG1084" s="232"/>
      <c r="AH1084" s="232"/>
      <c r="AI1084" s="232"/>
      <c r="AJ1084" s="232"/>
      <c r="AK1084" s="232"/>
      <c r="AL1084" s="232"/>
      <c r="AM1084" s="232"/>
      <c r="AN1084" s="232"/>
      <c r="AO1084" s="231"/>
      <c r="AP1084" s="231"/>
      <c r="AQ1084" s="227"/>
      <c r="AR1084" s="231"/>
      <c r="AS1084" s="227"/>
      <c r="AT1084" s="227"/>
      <c r="AU1084" s="227"/>
      <c r="AV1084" s="227"/>
    </row>
    <row r="1085">
      <c r="A1085" s="227"/>
      <c r="B1085" s="232"/>
      <c r="C1085" s="227"/>
      <c r="D1085" s="227"/>
      <c r="E1085" s="231"/>
      <c r="F1085" s="232"/>
      <c r="G1085" s="227"/>
      <c r="H1085" s="227"/>
      <c r="I1085" s="227"/>
      <c r="J1085" s="227"/>
      <c r="K1085" s="227"/>
      <c r="L1085" s="232"/>
      <c r="M1085" s="232"/>
      <c r="N1085" s="227"/>
      <c r="O1085" s="227"/>
      <c r="P1085" s="231"/>
      <c r="Q1085" s="227"/>
      <c r="R1085" s="231"/>
      <c r="S1085" s="231"/>
      <c r="T1085" s="231"/>
      <c r="U1085" s="231"/>
      <c r="V1085" s="231"/>
      <c r="W1085" s="231"/>
      <c r="X1085" s="227"/>
      <c r="Y1085" s="232"/>
      <c r="Z1085" s="232"/>
      <c r="AA1085" s="232"/>
      <c r="AB1085" s="232"/>
      <c r="AC1085" s="227"/>
      <c r="AD1085" s="227"/>
      <c r="AE1085" s="231"/>
      <c r="AF1085" s="227"/>
      <c r="AG1085" s="232"/>
      <c r="AH1085" s="232"/>
      <c r="AI1085" s="232"/>
      <c r="AJ1085" s="232"/>
      <c r="AK1085" s="232"/>
      <c r="AL1085" s="232"/>
      <c r="AM1085" s="232"/>
      <c r="AN1085" s="232"/>
      <c r="AO1085" s="231"/>
      <c r="AP1085" s="231"/>
      <c r="AQ1085" s="227"/>
      <c r="AR1085" s="231"/>
      <c r="AS1085" s="227"/>
      <c r="AT1085" s="227"/>
      <c r="AU1085" s="227"/>
      <c r="AV1085" s="227"/>
    </row>
    <row r="1086">
      <c r="A1086" s="227"/>
      <c r="B1086" s="232"/>
      <c r="C1086" s="227"/>
      <c r="D1086" s="227"/>
      <c r="E1086" s="231"/>
      <c r="F1086" s="232"/>
      <c r="G1086" s="227"/>
      <c r="H1086" s="227"/>
      <c r="I1086" s="227"/>
      <c r="J1086" s="227"/>
      <c r="K1086" s="227"/>
      <c r="L1086" s="232"/>
      <c r="M1086" s="232"/>
      <c r="N1086" s="227"/>
      <c r="O1086" s="227"/>
      <c r="P1086" s="231"/>
      <c r="Q1086" s="227"/>
      <c r="R1086" s="231"/>
      <c r="S1086" s="231"/>
      <c r="T1086" s="231"/>
      <c r="U1086" s="231"/>
      <c r="V1086" s="231"/>
      <c r="W1086" s="231"/>
      <c r="X1086" s="227"/>
      <c r="Y1086" s="232"/>
      <c r="Z1086" s="232"/>
      <c r="AA1086" s="232"/>
      <c r="AB1086" s="232"/>
      <c r="AC1086" s="227"/>
      <c r="AD1086" s="227"/>
      <c r="AE1086" s="231"/>
      <c r="AF1086" s="227"/>
      <c r="AG1086" s="232"/>
      <c r="AH1086" s="232"/>
      <c r="AI1086" s="232"/>
      <c r="AJ1086" s="232"/>
      <c r="AK1086" s="232"/>
      <c r="AL1086" s="232"/>
      <c r="AM1086" s="232"/>
      <c r="AN1086" s="232"/>
      <c r="AO1086" s="231"/>
      <c r="AP1086" s="231"/>
      <c r="AQ1086" s="227"/>
      <c r="AR1086" s="231"/>
      <c r="AS1086" s="227"/>
      <c r="AT1086" s="227"/>
      <c r="AU1086" s="227"/>
      <c r="AV1086" s="227"/>
    </row>
    <row r="1087">
      <c r="A1087" s="227"/>
      <c r="B1087" s="232"/>
      <c r="C1087" s="227"/>
      <c r="D1087" s="227"/>
      <c r="E1087" s="231"/>
      <c r="F1087" s="232"/>
      <c r="G1087" s="227"/>
      <c r="H1087" s="227"/>
      <c r="I1087" s="227"/>
      <c r="J1087" s="227"/>
      <c r="K1087" s="227"/>
      <c r="L1087" s="232"/>
      <c r="M1087" s="232"/>
      <c r="N1087" s="227"/>
      <c r="O1087" s="227"/>
      <c r="P1087" s="231"/>
      <c r="Q1087" s="227"/>
      <c r="R1087" s="231"/>
      <c r="S1087" s="231"/>
      <c r="T1087" s="231"/>
      <c r="U1087" s="231"/>
      <c r="V1087" s="231"/>
      <c r="W1087" s="231"/>
      <c r="X1087" s="227"/>
      <c r="Y1087" s="232"/>
      <c r="Z1087" s="232"/>
      <c r="AA1087" s="232"/>
      <c r="AB1087" s="232"/>
      <c r="AC1087" s="227"/>
      <c r="AD1087" s="227"/>
      <c r="AE1087" s="231"/>
      <c r="AF1087" s="227"/>
      <c r="AG1087" s="232"/>
      <c r="AH1087" s="232"/>
      <c r="AI1087" s="232"/>
      <c r="AJ1087" s="232"/>
      <c r="AK1087" s="232"/>
      <c r="AL1087" s="232"/>
      <c r="AM1087" s="232"/>
      <c r="AN1087" s="232"/>
      <c r="AO1087" s="231"/>
      <c r="AP1087" s="231"/>
      <c r="AQ1087" s="227"/>
      <c r="AR1087" s="231"/>
      <c r="AS1087" s="227"/>
      <c r="AT1087" s="227"/>
      <c r="AU1087" s="227"/>
      <c r="AV1087" s="227"/>
    </row>
    <row r="1088">
      <c r="A1088" s="227"/>
      <c r="B1088" s="232"/>
      <c r="C1088" s="227"/>
      <c r="D1088" s="227"/>
      <c r="E1088" s="231"/>
      <c r="F1088" s="232"/>
      <c r="G1088" s="227"/>
      <c r="H1088" s="227"/>
      <c r="I1088" s="227"/>
      <c r="J1088" s="227"/>
      <c r="K1088" s="227"/>
      <c r="L1088" s="232"/>
      <c r="M1088" s="232"/>
      <c r="N1088" s="227"/>
      <c r="O1088" s="227"/>
      <c r="P1088" s="231"/>
      <c r="Q1088" s="227"/>
      <c r="R1088" s="231"/>
      <c r="S1088" s="231"/>
      <c r="T1088" s="231"/>
      <c r="U1088" s="231"/>
      <c r="V1088" s="231"/>
      <c r="W1088" s="231"/>
      <c r="X1088" s="227"/>
      <c r="Y1088" s="232"/>
      <c r="Z1088" s="232"/>
      <c r="AA1088" s="232"/>
      <c r="AB1088" s="232"/>
      <c r="AC1088" s="227"/>
      <c r="AD1088" s="227"/>
      <c r="AE1088" s="231"/>
      <c r="AF1088" s="227"/>
      <c r="AG1088" s="232"/>
      <c r="AH1088" s="232"/>
      <c r="AI1088" s="232"/>
      <c r="AJ1088" s="232"/>
      <c r="AK1088" s="232"/>
      <c r="AL1088" s="232"/>
      <c r="AM1088" s="232"/>
      <c r="AN1088" s="232"/>
      <c r="AO1088" s="231"/>
      <c r="AP1088" s="231"/>
      <c r="AQ1088" s="227"/>
      <c r="AR1088" s="231"/>
      <c r="AS1088" s="227"/>
      <c r="AT1088" s="227"/>
      <c r="AU1088" s="227"/>
      <c r="AV1088" s="227"/>
    </row>
    <row r="1089">
      <c r="A1089" s="227"/>
      <c r="B1089" s="232"/>
      <c r="C1089" s="227"/>
      <c r="D1089" s="227"/>
      <c r="E1089" s="231"/>
      <c r="F1089" s="232"/>
      <c r="G1089" s="227"/>
      <c r="H1089" s="227"/>
      <c r="I1089" s="227"/>
      <c r="J1089" s="227"/>
      <c r="K1089" s="227"/>
      <c r="L1089" s="232"/>
      <c r="M1089" s="232"/>
      <c r="N1089" s="227"/>
      <c r="O1089" s="227"/>
      <c r="P1089" s="231"/>
      <c r="Q1089" s="227"/>
      <c r="R1089" s="231"/>
      <c r="S1089" s="231"/>
      <c r="T1089" s="231"/>
      <c r="U1089" s="231"/>
      <c r="V1089" s="231"/>
      <c r="W1089" s="231"/>
      <c r="X1089" s="227"/>
      <c r="Y1089" s="232"/>
      <c r="Z1089" s="232"/>
      <c r="AA1089" s="232"/>
      <c r="AB1089" s="232"/>
      <c r="AC1089" s="227"/>
      <c r="AD1089" s="227"/>
      <c r="AE1089" s="231"/>
      <c r="AF1089" s="227"/>
      <c r="AG1089" s="232"/>
      <c r="AH1089" s="232"/>
      <c r="AI1089" s="232"/>
      <c r="AJ1089" s="232"/>
      <c r="AK1089" s="232"/>
      <c r="AL1089" s="232"/>
      <c r="AM1089" s="232"/>
      <c r="AN1089" s="232"/>
      <c r="AO1089" s="231"/>
      <c r="AP1089" s="231"/>
      <c r="AQ1089" s="227"/>
      <c r="AR1089" s="231"/>
      <c r="AS1089" s="227"/>
      <c r="AT1089" s="227"/>
      <c r="AU1089" s="227"/>
      <c r="AV1089" s="227"/>
    </row>
    <row r="1090">
      <c r="A1090" s="227"/>
      <c r="B1090" s="232"/>
      <c r="C1090" s="227"/>
      <c r="D1090" s="227"/>
      <c r="E1090" s="231"/>
      <c r="F1090" s="232"/>
      <c r="G1090" s="227"/>
      <c r="H1090" s="227"/>
      <c r="I1090" s="227"/>
      <c r="J1090" s="227"/>
      <c r="K1090" s="227"/>
      <c r="L1090" s="232"/>
      <c r="M1090" s="232"/>
      <c r="N1090" s="227"/>
      <c r="O1090" s="227"/>
      <c r="P1090" s="231"/>
      <c r="Q1090" s="227"/>
      <c r="R1090" s="231"/>
      <c r="S1090" s="231"/>
      <c r="T1090" s="231"/>
      <c r="U1090" s="231"/>
      <c r="V1090" s="231"/>
      <c r="W1090" s="231"/>
      <c r="X1090" s="227"/>
      <c r="Y1090" s="232"/>
      <c r="Z1090" s="232"/>
      <c r="AA1090" s="232"/>
      <c r="AB1090" s="232"/>
      <c r="AC1090" s="227"/>
      <c r="AD1090" s="227"/>
      <c r="AE1090" s="231"/>
      <c r="AF1090" s="227"/>
      <c r="AG1090" s="232"/>
      <c r="AH1090" s="232"/>
      <c r="AI1090" s="232"/>
      <c r="AJ1090" s="232"/>
      <c r="AK1090" s="232"/>
      <c r="AL1090" s="232"/>
      <c r="AM1090" s="232"/>
      <c r="AN1090" s="232"/>
      <c r="AO1090" s="231"/>
      <c r="AP1090" s="231"/>
      <c r="AQ1090" s="227"/>
      <c r="AR1090" s="231"/>
      <c r="AS1090" s="227"/>
      <c r="AT1090" s="227"/>
      <c r="AU1090" s="227"/>
      <c r="AV1090" s="227"/>
    </row>
    <row r="1091">
      <c r="A1091" s="227"/>
      <c r="B1091" s="232"/>
      <c r="C1091" s="227"/>
      <c r="D1091" s="227"/>
      <c r="E1091" s="231"/>
      <c r="F1091" s="232"/>
      <c r="G1091" s="227"/>
      <c r="H1091" s="227"/>
      <c r="I1091" s="227"/>
      <c r="J1091" s="227"/>
      <c r="K1091" s="227"/>
      <c r="L1091" s="232"/>
      <c r="M1091" s="232"/>
      <c r="N1091" s="227"/>
      <c r="O1091" s="227"/>
      <c r="P1091" s="231"/>
      <c r="Q1091" s="227"/>
      <c r="R1091" s="231"/>
      <c r="S1091" s="231"/>
      <c r="T1091" s="231"/>
      <c r="U1091" s="231"/>
      <c r="V1091" s="231"/>
      <c r="W1091" s="231"/>
      <c r="X1091" s="227"/>
      <c r="Y1091" s="232"/>
      <c r="Z1091" s="232"/>
      <c r="AA1091" s="232"/>
      <c r="AB1091" s="232"/>
      <c r="AC1091" s="227"/>
      <c r="AD1091" s="227"/>
      <c r="AE1091" s="231"/>
      <c r="AF1091" s="227"/>
      <c r="AG1091" s="232"/>
      <c r="AH1091" s="232"/>
      <c r="AI1091" s="232"/>
      <c r="AJ1091" s="232"/>
      <c r="AK1091" s="232"/>
      <c r="AL1091" s="232"/>
      <c r="AM1091" s="232"/>
      <c r="AN1091" s="232"/>
      <c r="AO1091" s="231"/>
      <c r="AP1091" s="231"/>
      <c r="AQ1091" s="227"/>
      <c r="AR1091" s="231"/>
      <c r="AS1091" s="227"/>
      <c r="AT1091" s="227"/>
      <c r="AU1091" s="227"/>
      <c r="AV1091" s="227"/>
    </row>
    <row r="1092">
      <c r="A1092" s="227"/>
      <c r="B1092" s="232"/>
      <c r="C1092" s="227"/>
      <c r="D1092" s="227"/>
      <c r="E1092" s="231"/>
      <c r="F1092" s="232"/>
      <c r="G1092" s="227"/>
      <c r="H1092" s="227"/>
      <c r="I1092" s="227"/>
      <c r="J1092" s="227"/>
      <c r="K1092" s="227"/>
      <c r="L1092" s="232"/>
      <c r="M1092" s="232"/>
      <c r="N1092" s="227"/>
      <c r="O1092" s="227"/>
      <c r="P1092" s="231"/>
      <c r="Q1092" s="227"/>
      <c r="R1092" s="231"/>
      <c r="S1092" s="231"/>
      <c r="T1092" s="231"/>
      <c r="U1092" s="231"/>
      <c r="V1092" s="231"/>
      <c r="W1092" s="231"/>
      <c r="X1092" s="227"/>
      <c r="Y1092" s="232"/>
      <c r="Z1092" s="232"/>
      <c r="AA1092" s="232"/>
      <c r="AB1092" s="232"/>
      <c r="AC1092" s="227"/>
      <c r="AD1092" s="227"/>
      <c r="AE1092" s="231"/>
      <c r="AF1092" s="227"/>
      <c r="AG1092" s="232"/>
      <c r="AH1092" s="232"/>
      <c r="AI1092" s="232"/>
      <c r="AJ1092" s="232"/>
      <c r="AK1092" s="232"/>
      <c r="AL1092" s="232"/>
      <c r="AM1092" s="232"/>
      <c r="AN1092" s="232"/>
      <c r="AO1092" s="231"/>
      <c r="AP1092" s="231"/>
      <c r="AQ1092" s="227"/>
      <c r="AR1092" s="231"/>
      <c r="AS1092" s="227"/>
      <c r="AT1092" s="227"/>
      <c r="AU1092" s="227"/>
      <c r="AV1092" s="227"/>
    </row>
    <row r="1093">
      <c r="A1093" s="227"/>
      <c r="B1093" s="232"/>
      <c r="C1093" s="227"/>
      <c r="D1093" s="227"/>
      <c r="E1093" s="231"/>
      <c r="F1093" s="232"/>
      <c r="G1093" s="227"/>
      <c r="H1093" s="227"/>
      <c r="I1093" s="227"/>
      <c r="J1093" s="227"/>
      <c r="K1093" s="227"/>
      <c r="L1093" s="232"/>
      <c r="M1093" s="232"/>
      <c r="N1093" s="227"/>
      <c r="O1093" s="227"/>
      <c r="P1093" s="231"/>
      <c r="Q1093" s="227"/>
      <c r="R1093" s="231"/>
      <c r="S1093" s="231"/>
      <c r="T1093" s="231"/>
      <c r="U1093" s="231"/>
      <c r="V1093" s="231"/>
      <c r="W1093" s="231"/>
      <c r="X1093" s="227"/>
      <c r="Y1093" s="232"/>
      <c r="Z1093" s="232"/>
      <c r="AA1093" s="232"/>
      <c r="AB1093" s="232"/>
      <c r="AC1093" s="227"/>
      <c r="AD1093" s="227"/>
      <c r="AE1093" s="231"/>
      <c r="AF1093" s="227"/>
      <c r="AG1093" s="232"/>
      <c r="AH1093" s="232"/>
      <c r="AI1093" s="232"/>
      <c r="AJ1093" s="232"/>
      <c r="AK1093" s="232"/>
      <c r="AL1093" s="232"/>
      <c r="AM1093" s="232"/>
      <c r="AN1093" s="232"/>
      <c r="AO1093" s="231"/>
      <c r="AP1093" s="231"/>
      <c r="AQ1093" s="227"/>
      <c r="AR1093" s="231"/>
      <c r="AS1093" s="227"/>
      <c r="AT1093" s="227"/>
      <c r="AU1093" s="227"/>
      <c r="AV1093" s="227"/>
    </row>
    <row r="1094">
      <c r="A1094" s="227"/>
      <c r="B1094" s="232"/>
      <c r="C1094" s="227"/>
      <c r="D1094" s="227"/>
      <c r="E1094" s="231"/>
      <c r="F1094" s="232"/>
      <c r="G1094" s="227"/>
      <c r="H1094" s="227"/>
      <c r="I1094" s="227"/>
      <c r="J1094" s="227"/>
      <c r="K1094" s="227"/>
      <c r="L1094" s="232"/>
      <c r="M1094" s="232"/>
      <c r="N1094" s="227"/>
      <c r="O1094" s="227"/>
      <c r="P1094" s="231"/>
      <c r="Q1094" s="227"/>
      <c r="R1094" s="231"/>
      <c r="S1094" s="231"/>
      <c r="T1094" s="231"/>
      <c r="U1094" s="231"/>
      <c r="V1094" s="231"/>
      <c r="W1094" s="231"/>
      <c r="X1094" s="227"/>
      <c r="Y1094" s="232"/>
      <c r="Z1094" s="232"/>
      <c r="AA1094" s="232"/>
      <c r="AB1094" s="232"/>
      <c r="AC1094" s="227"/>
      <c r="AD1094" s="227"/>
      <c r="AE1094" s="231"/>
      <c r="AF1094" s="227"/>
      <c r="AG1094" s="232"/>
      <c r="AH1094" s="232"/>
      <c r="AI1094" s="232"/>
      <c r="AJ1094" s="232"/>
      <c r="AK1094" s="232"/>
      <c r="AL1094" s="232"/>
      <c r="AM1094" s="232"/>
      <c r="AN1094" s="232"/>
      <c r="AO1094" s="231"/>
      <c r="AP1094" s="231"/>
      <c r="AQ1094" s="227"/>
      <c r="AR1094" s="231"/>
      <c r="AS1094" s="227"/>
      <c r="AT1094" s="227"/>
      <c r="AU1094" s="227"/>
      <c r="AV1094" s="227"/>
    </row>
    <row r="1095">
      <c r="A1095" s="227"/>
      <c r="B1095" s="232"/>
      <c r="C1095" s="227"/>
      <c r="D1095" s="227"/>
      <c r="E1095" s="231"/>
      <c r="F1095" s="232"/>
      <c r="G1095" s="227"/>
      <c r="H1095" s="227"/>
      <c r="I1095" s="227"/>
      <c r="J1095" s="227"/>
      <c r="K1095" s="227"/>
      <c r="L1095" s="232"/>
      <c r="M1095" s="232"/>
      <c r="N1095" s="227"/>
      <c r="O1095" s="227"/>
      <c r="P1095" s="231"/>
      <c r="Q1095" s="227"/>
      <c r="R1095" s="231"/>
      <c r="S1095" s="231"/>
      <c r="T1095" s="231"/>
      <c r="U1095" s="231"/>
      <c r="V1095" s="231"/>
      <c r="W1095" s="231"/>
      <c r="X1095" s="227"/>
      <c r="Y1095" s="232"/>
      <c r="Z1095" s="232"/>
      <c r="AA1095" s="232"/>
      <c r="AB1095" s="232"/>
      <c r="AC1095" s="227"/>
      <c r="AD1095" s="227"/>
      <c r="AE1095" s="231"/>
      <c r="AF1095" s="227"/>
      <c r="AG1095" s="232"/>
      <c r="AH1095" s="232"/>
      <c r="AI1095" s="232"/>
      <c r="AJ1095" s="232"/>
      <c r="AK1095" s="232"/>
      <c r="AL1095" s="232"/>
      <c r="AM1095" s="232"/>
      <c r="AN1095" s="232"/>
      <c r="AO1095" s="231"/>
      <c r="AP1095" s="231"/>
      <c r="AQ1095" s="227"/>
      <c r="AR1095" s="231"/>
      <c r="AS1095" s="227"/>
      <c r="AT1095" s="227"/>
      <c r="AU1095" s="227"/>
      <c r="AV1095" s="227"/>
    </row>
    <row r="1096">
      <c r="A1096" s="227"/>
      <c r="B1096" s="232"/>
      <c r="C1096" s="227"/>
      <c r="D1096" s="227"/>
      <c r="E1096" s="231"/>
      <c r="F1096" s="232"/>
      <c r="G1096" s="227"/>
      <c r="H1096" s="227"/>
      <c r="I1096" s="227"/>
      <c r="J1096" s="227"/>
      <c r="K1096" s="227"/>
      <c r="L1096" s="232"/>
      <c r="M1096" s="232"/>
      <c r="N1096" s="227"/>
      <c r="O1096" s="227"/>
      <c r="P1096" s="231"/>
      <c r="Q1096" s="227"/>
      <c r="R1096" s="231"/>
      <c r="S1096" s="231"/>
      <c r="T1096" s="231"/>
      <c r="U1096" s="231"/>
      <c r="V1096" s="231"/>
      <c r="W1096" s="231"/>
      <c r="X1096" s="227"/>
      <c r="Y1096" s="232"/>
      <c r="Z1096" s="232"/>
      <c r="AA1096" s="232"/>
      <c r="AB1096" s="232"/>
      <c r="AC1096" s="227"/>
      <c r="AD1096" s="227"/>
      <c r="AE1096" s="231"/>
      <c r="AF1096" s="227"/>
      <c r="AG1096" s="232"/>
      <c r="AH1096" s="232"/>
      <c r="AI1096" s="232"/>
      <c r="AJ1096" s="232"/>
      <c r="AK1096" s="232"/>
      <c r="AL1096" s="232"/>
      <c r="AM1096" s="232"/>
      <c r="AN1096" s="232"/>
      <c r="AO1096" s="231"/>
      <c r="AP1096" s="231"/>
      <c r="AQ1096" s="227"/>
      <c r="AR1096" s="231"/>
      <c r="AS1096" s="227"/>
      <c r="AT1096" s="227"/>
      <c r="AU1096" s="227"/>
      <c r="AV1096" s="227"/>
    </row>
    <row r="1097">
      <c r="A1097" s="227"/>
      <c r="B1097" s="232"/>
      <c r="C1097" s="227"/>
      <c r="D1097" s="227"/>
      <c r="E1097" s="231"/>
      <c r="F1097" s="232"/>
      <c r="G1097" s="227"/>
      <c r="H1097" s="227"/>
      <c r="I1097" s="227"/>
      <c r="J1097" s="227"/>
      <c r="K1097" s="227"/>
      <c r="L1097" s="232"/>
      <c r="M1097" s="232"/>
      <c r="N1097" s="227"/>
      <c r="O1097" s="227"/>
      <c r="P1097" s="231"/>
      <c r="Q1097" s="227"/>
      <c r="R1097" s="231"/>
      <c r="S1097" s="231"/>
      <c r="T1097" s="231"/>
      <c r="U1097" s="231"/>
      <c r="V1097" s="231"/>
      <c r="W1097" s="231"/>
      <c r="X1097" s="227"/>
      <c r="Y1097" s="232"/>
      <c r="Z1097" s="232"/>
      <c r="AA1097" s="232"/>
      <c r="AB1097" s="232"/>
      <c r="AC1097" s="227"/>
      <c r="AD1097" s="227"/>
      <c r="AE1097" s="231"/>
      <c r="AF1097" s="227"/>
      <c r="AG1097" s="232"/>
      <c r="AH1097" s="232"/>
      <c r="AI1097" s="232"/>
      <c r="AJ1097" s="232"/>
      <c r="AK1097" s="232"/>
      <c r="AL1097" s="232"/>
      <c r="AM1097" s="232"/>
      <c r="AN1097" s="232"/>
      <c r="AO1097" s="231"/>
      <c r="AP1097" s="231"/>
      <c r="AQ1097" s="227"/>
      <c r="AR1097" s="231"/>
      <c r="AS1097" s="227"/>
      <c r="AT1097" s="227"/>
      <c r="AU1097" s="227"/>
      <c r="AV1097" s="227"/>
    </row>
    <row r="1098">
      <c r="A1098" s="227"/>
      <c r="B1098" s="232"/>
      <c r="C1098" s="227"/>
      <c r="D1098" s="227"/>
      <c r="E1098" s="231"/>
      <c r="F1098" s="232"/>
      <c r="G1098" s="227"/>
      <c r="H1098" s="227"/>
      <c r="I1098" s="227"/>
      <c r="J1098" s="227"/>
      <c r="K1098" s="227"/>
      <c r="L1098" s="232"/>
      <c r="M1098" s="232"/>
      <c r="N1098" s="227"/>
      <c r="O1098" s="227"/>
      <c r="P1098" s="231"/>
      <c r="Q1098" s="227"/>
      <c r="R1098" s="231"/>
      <c r="S1098" s="231"/>
      <c r="T1098" s="231"/>
      <c r="U1098" s="231"/>
      <c r="V1098" s="231"/>
      <c r="W1098" s="231"/>
      <c r="X1098" s="227"/>
      <c r="Y1098" s="232"/>
      <c r="Z1098" s="232"/>
      <c r="AA1098" s="232"/>
      <c r="AB1098" s="232"/>
      <c r="AC1098" s="227"/>
      <c r="AD1098" s="227"/>
      <c r="AE1098" s="231"/>
      <c r="AF1098" s="227"/>
      <c r="AG1098" s="232"/>
      <c r="AH1098" s="232"/>
      <c r="AI1098" s="232"/>
      <c r="AJ1098" s="232"/>
      <c r="AK1098" s="232"/>
      <c r="AL1098" s="232"/>
      <c r="AM1098" s="232"/>
      <c r="AN1098" s="232"/>
      <c r="AO1098" s="231"/>
      <c r="AP1098" s="231"/>
      <c r="AQ1098" s="227"/>
      <c r="AR1098" s="231"/>
      <c r="AS1098" s="227"/>
      <c r="AT1098" s="227"/>
      <c r="AU1098" s="227"/>
      <c r="AV1098" s="227"/>
    </row>
    <row r="1099">
      <c r="A1099" s="227"/>
      <c r="B1099" s="232"/>
      <c r="C1099" s="227"/>
      <c r="D1099" s="227"/>
      <c r="E1099" s="231"/>
      <c r="F1099" s="232"/>
      <c r="G1099" s="227"/>
      <c r="H1099" s="227"/>
      <c r="I1099" s="227"/>
      <c r="J1099" s="227"/>
      <c r="K1099" s="227"/>
      <c r="L1099" s="232"/>
      <c r="M1099" s="232"/>
      <c r="N1099" s="227"/>
      <c r="O1099" s="227"/>
      <c r="P1099" s="231"/>
      <c r="Q1099" s="227"/>
      <c r="R1099" s="231"/>
      <c r="S1099" s="231"/>
      <c r="T1099" s="231"/>
      <c r="U1099" s="231"/>
      <c r="V1099" s="231"/>
      <c r="W1099" s="231"/>
      <c r="X1099" s="227"/>
      <c r="Y1099" s="232"/>
      <c r="Z1099" s="232"/>
      <c r="AA1099" s="232"/>
      <c r="AB1099" s="232"/>
      <c r="AC1099" s="227"/>
      <c r="AD1099" s="227"/>
      <c r="AE1099" s="231"/>
      <c r="AF1099" s="227"/>
      <c r="AG1099" s="232"/>
      <c r="AH1099" s="232"/>
      <c r="AI1099" s="232"/>
      <c r="AJ1099" s="232"/>
      <c r="AK1099" s="232"/>
      <c r="AL1099" s="232"/>
      <c r="AM1099" s="232"/>
      <c r="AN1099" s="232"/>
      <c r="AO1099" s="231"/>
      <c r="AP1099" s="231"/>
      <c r="AQ1099" s="227"/>
      <c r="AR1099" s="231"/>
      <c r="AS1099" s="227"/>
      <c r="AT1099" s="227"/>
      <c r="AU1099" s="227"/>
      <c r="AV1099" s="227"/>
    </row>
    <row r="1100">
      <c r="A1100" s="227"/>
      <c r="B1100" s="232"/>
      <c r="C1100" s="227"/>
      <c r="D1100" s="227"/>
      <c r="E1100" s="231"/>
      <c r="F1100" s="232"/>
      <c r="G1100" s="227"/>
      <c r="H1100" s="227"/>
      <c r="I1100" s="227"/>
      <c r="J1100" s="227"/>
      <c r="K1100" s="227"/>
      <c r="L1100" s="232"/>
      <c r="M1100" s="232"/>
      <c r="N1100" s="227"/>
      <c r="O1100" s="227"/>
      <c r="P1100" s="231"/>
      <c r="Q1100" s="227"/>
      <c r="R1100" s="231"/>
      <c r="S1100" s="231"/>
      <c r="T1100" s="231"/>
      <c r="U1100" s="231"/>
      <c r="V1100" s="231"/>
      <c r="W1100" s="231"/>
      <c r="X1100" s="227"/>
      <c r="Y1100" s="232"/>
      <c r="Z1100" s="232"/>
      <c r="AA1100" s="232"/>
      <c r="AB1100" s="232"/>
      <c r="AC1100" s="227"/>
      <c r="AD1100" s="227"/>
      <c r="AE1100" s="231"/>
      <c r="AF1100" s="227"/>
      <c r="AG1100" s="232"/>
      <c r="AH1100" s="232"/>
      <c r="AI1100" s="232"/>
      <c r="AJ1100" s="232"/>
      <c r="AK1100" s="232"/>
      <c r="AL1100" s="232"/>
      <c r="AM1100" s="232"/>
      <c r="AN1100" s="232"/>
      <c r="AO1100" s="231"/>
      <c r="AP1100" s="231"/>
      <c r="AQ1100" s="227"/>
      <c r="AR1100" s="231"/>
      <c r="AS1100" s="227"/>
      <c r="AT1100" s="227"/>
      <c r="AU1100" s="227"/>
      <c r="AV1100" s="227"/>
    </row>
    <row r="1101">
      <c r="A1101" s="227"/>
      <c r="B1101" s="232"/>
      <c r="C1101" s="227"/>
      <c r="D1101" s="227"/>
      <c r="E1101" s="231"/>
      <c r="F1101" s="232"/>
      <c r="G1101" s="227"/>
      <c r="H1101" s="227"/>
      <c r="I1101" s="227"/>
      <c r="J1101" s="227"/>
      <c r="K1101" s="227"/>
      <c r="L1101" s="232"/>
      <c r="M1101" s="232"/>
      <c r="N1101" s="227"/>
      <c r="O1101" s="227"/>
      <c r="P1101" s="231"/>
      <c r="Q1101" s="227"/>
      <c r="R1101" s="231"/>
      <c r="S1101" s="231"/>
      <c r="T1101" s="231"/>
      <c r="U1101" s="231"/>
      <c r="V1101" s="231"/>
      <c r="W1101" s="231"/>
      <c r="X1101" s="227"/>
      <c r="Y1101" s="232"/>
      <c r="Z1101" s="232"/>
      <c r="AA1101" s="232"/>
      <c r="AB1101" s="232"/>
      <c r="AC1101" s="227"/>
      <c r="AD1101" s="227"/>
      <c r="AE1101" s="231"/>
      <c r="AF1101" s="227"/>
      <c r="AG1101" s="232"/>
      <c r="AH1101" s="232"/>
      <c r="AI1101" s="232"/>
      <c r="AJ1101" s="232"/>
      <c r="AK1101" s="232"/>
      <c r="AL1101" s="232"/>
      <c r="AM1101" s="232"/>
      <c r="AN1101" s="232"/>
      <c r="AO1101" s="231"/>
      <c r="AP1101" s="231"/>
      <c r="AQ1101" s="227"/>
      <c r="AR1101" s="231"/>
      <c r="AS1101" s="227"/>
      <c r="AT1101" s="227"/>
      <c r="AU1101" s="227"/>
      <c r="AV1101" s="227"/>
    </row>
    <row r="1102">
      <c r="A1102" s="227"/>
      <c r="B1102" s="232"/>
      <c r="C1102" s="227"/>
      <c r="D1102" s="227"/>
      <c r="E1102" s="231"/>
      <c r="F1102" s="232"/>
      <c r="G1102" s="227"/>
      <c r="H1102" s="227"/>
      <c r="I1102" s="227"/>
      <c r="J1102" s="227"/>
      <c r="K1102" s="227"/>
      <c r="L1102" s="232"/>
      <c r="M1102" s="232"/>
      <c r="N1102" s="227"/>
      <c r="O1102" s="227"/>
      <c r="P1102" s="231"/>
      <c r="Q1102" s="227"/>
      <c r="R1102" s="231"/>
      <c r="S1102" s="231"/>
      <c r="T1102" s="231"/>
      <c r="U1102" s="231"/>
      <c r="V1102" s="231"/>
      <c r="W1102" s="231"/>
      <c r="X1102" s="227"/>
      <c r="Y1102" s="232"/>
      <c r="Z1102" s="232"/>
      <c r="AA1102" s="232"/>
      <c r="AB1102" s="232"/>
      <c r="AC1102" s="227"/>
      <c r="AD1102" s="227"/>
      <c r="AE1102" s="231"/>
      <c r="AF1102" s="227"/>
      <c r="AG1102" s="232"/>
      <c r="AH1102" s="232"/>
      <c r="AI1102" s="232"/>
      <c r="AJ1102" s="232"/>
      <c r="AK1102" s="232"/>
      <c r="AL1102" s="232"/>
      <c r="AM1102" s="232"/>
      <c r="AN1102" s="232"/>
      <c r="AO1102" s="231"/>
      <c r="AP1102" s="231"/>
      <c r="AQ1102" s="227"/>
      <c r="AR1102" s="231"/>
      <c r="AS1102" s="227"/>
      <c r="AT1102" s="227"/>
      <c r="AU1102" s="227"/>
      <c r="AV1102" s="227"/>
    </row>
    <row r="1103">
      <c r="A1103" s="227"/>
      <c r="B1103" s="232"/>
      <c r="C1103" s="227"/>
      <c r="D1103" s="227"/>
      <c r="E1103" s="231"/>
      <c r="F1103" s="232"/>
      <c r="G1103" s="227"/>
      <c r="H1103" s="227"/>
      <c r="I1103" s="227"/>
      <c r="J1103" s="227"/>
      <c r="K1103" s="227"/>
      <c r="L1103" s="232"/>
      <c r="M1103" s="232"/>
      <c r="N1103" s="227"/>
      <c r="O1103" s="227"/>
      <c r="P1103" s="231"/>
      <c r="Q1103" s="227"/>
      <c r="R1103" s="231"/>
      <c r="S1103" s="231"/>
      <c r="T1103" s="231"/>
      <c r="U1103" s="231"/>
      <c r="V1103" s="231"/>
      <c r="W1103" s="231"/>
      <c r="X1103" s="227"/>
      <c r="Y1103" s="232"/>
      <c r="Z1103" s="232"/>
      <c r="AA1103" s="232"/>
      <c r="AB1103" s="232"/>
      <c r="AC1103" s="227"/>
      <c r="AD1103" s="227"/>
      <c r="AE1103" s="231"/>
      <c r="AF1103" s="227"/>
      <c r="AG1103" s="232"/>
      <c r="AH1103" s="232"/>
      <c r="AI1103" s="232"/>
      <c r="AJ1103" s="232"/>
      <c r="AK1103" s="232"/>
      <c r="AL1103" s="232"/>
      <c r="AM1103" s="232"/>
      <c r="AN1103" s="232"/>
      <c r="AO1103" s="231"/>
      <c r="AP1103" s="231"/>
      <c r="AQ1103" s="227"/>
      <c r="AR1103" s="231"/>
      <c r="AS1103" s="227"/>
      <c r="AT1103" s="227"/>
      <c r="AU1103" s="227"/>
      <c r="AV1103" s="227"/>
    </row>
    <row r="1104">
      <c r="A1104" s="227"/>
      <c r="B1104" s="232"/>
      <c r="C1104" s="227"/>
      <c r="D1104" s="227"/>
      <c r="E1104" s="231"/>
      <c r="F1104" s="232"/>
      <c r="G1104" s="227"/>
      <c r="H1104" s="227"/>
      <c r="I1104" s="227"/>
      <c r="J1104" s="227"/>
      <c r="K1104" s="227"/>
      <c r="L1104" s="232"/>
      <c r="M1104" s="232"/>
      <c r="N1104" s="227"/>
      <c r="O1104" s="227"/>
      <c r="P1104" s="231"/>
      <c r="Q1104" s="227"/>
      <c r="R1104" s="231"/>
      <c r="S1104" s="231"/>
      <c r="T1104" s="231"/>
      <c r="U1104" s="231"/>
      <c r="V1104" s="231"/>
      <c r="W1104" s="231"/>
      <c r="X1104" s="227"/>
      <c r="Y1104" s="232"/>
      <c r="Z1104" s="232"/>
      <c r="AA1104" s="232"/>
      <c r="AB1104" s="232"/>
      <c r="AC1104" s="227"/>
      <c r="AD1104" s="227"/>
      <c r="AE1104" s="231"/>
      <c r="AF1104" s="227"/>
      <c r="AG1104" s="232"/>
      <c r="AH1104" s="232"/>
      <c r="AI1104" s="232"/>
      <c r="AJ1104" s="232"/>
      <c r="AK1104" s="232"/>
      <c r="AL1104" s="232"/>
      <c r="AM1104" s="232"/>
      <c r="AN1104" s="232"/>
      <c r="AO1104" s="231"/>
      <c r="AP1104" s="231"/>
      <c r="AQ1104" s="227"/>
      <c r="AR1104" s="231"/>
      <c r="AS1104" s="227"/>
      <c r="AT1104" s="227"/>
      <c r="AU1104" s="227"/>
      <c r="AV1104" s="227"/>
    </row>
    <row r="1105">
      <c r="A1105" s="227"/>
      <c r="B1105" s="232"/>
      <c r="C1105" s="227"/>
      <c r="D1105" s="227"/>
      <c r="E1105" s="231"/>
      <c r="F1105" s="232"/>
      <c r="G1105" s="227"/>
      <c r="H1105" s="227"/>
      <c r="I1105" s="227"/>
      <c r="J1105" s="227"/>
      <c r="K1105" s="227"/>
      <c r="L1105" s="232"/>
      <c r="M1105" s="232"/>
      <c r="N1105" s="227"/>
      <c r="O1105" s="227"/>
      <c r="P1105" s="231"/>
      <c r="Q1105" s="227"/>
      <c r="R1105" s="231"/>
      <c r="S1105" s="231"/>
      <c r="T1105" s="231"/>
      <c r="U1105" s="231"/>
      <c r="V1105" s="231"/>
      <c r="W1105" s="231"/>
      <c r="X1105" s="227"/>
      <c r="Y1105" s="232"/>
      <c r="Z1105" s="232"/>
      <c r="AA1105" s="232"/>
      <c r="AB1105" s="232"/>
      <c r="AC1105" s="227"/>
      <c r="AD1105" s="227"/>
      <c r="AE1105" s="231"/>
      <c r="AF1105" s="227"/>
      <c r="AG1105" s="232"/>
      <c r="AH1105" s="232"/>
      <c r="AI1105" s="232"/>
      <c r="AJ1105" s="232"/>
      <c r="AK1105" s="232"/>
      <c r="AL1105" s="232"/>
      <c r="AM1105" s="232"/>
      <c r="AN1105" s="232"/>
      <c r="AO1105" s="231"/>
      <c r="AP1105" s="231"/>
      <c r="AQ1105" s="227"/>
      <c r="AR1105" s="231"/>
      <c r="AS1105" s="227"/>
      <c r="AT1105" s="227"/>
      <c r="AU1105" s="227"/>
      <c r="AV1105" s="227"/>
    </row>
    <row r="1106">
      <c r="A1106" s="227"/>
      <c r="B1106" s="232"/>
      <c r="C1106" s="227"/>
      <c r="D1106" s="227"/>
      <c r="E1106" s="231"/>
      <c r="F1106" s="232"/>
      <c r="G1106" s="227"/>
      <c r="H1106" s="227"/>
      <c r="I1106" s="227"/>
      <c r="J1106" s="227"/>
      <c r="K1106" s="227"/>
      <c r="L1106" s="232"/>
      <c r="M1106" s="232"/>
      <c r="N1106" s="227"/>
      <c r="O1106" s="227"/>
      <c r="P1106" s="231"/>
      <c r="Q1106" s="227"/>
      <c r="R1106" s="231"/>
      <c r="S1106" s="231"/>
      <c r="T1106" s="231"/>
      <c r="U1106" s="231"/>
      <c r="V1106" s="231"/>
      <c r="W1106" s="231"/>
      <c r="X1106" s="227"/>
      <c r="Y1106" s="232"/>
      <c r="Z1106" s="232"/>
      <c r="AA1106" s="232"/>
      <c r="AB1106" s="232"/>
      <c r="AC1106" s="227"/>
      <c r="AD1106" s="227"/>
      <c r="AE1106" s="231"/>
      <c r="AF1106" s="227"/>
      <c r="AG1106" s="232"/>
      <c r="AH1106" s="232"/>
      <c r="AI1106" s="232"/>
      <c r="AJ1106" s="232"/>
      <c r="AK1106" s="232"/>
      <c r="AL1106" s="232"/>
      <c r="AM1106" s="232"/>
      <c r="AN1106" s="232"/>
      <c r="AO1106" s="231"/>
      <c r="AP1106" s="231"/>
      <c r="AQ1106" s="227"/>
      <c r="AR1106" s="231"/>
      <c r="AS1106" s="227"/>
      <c r="AT1106" s="227"/>
      <c r="AU1106" s="227"/>
      <c r="AV1106" s="227"/>
    </row>
    <row r="1107">
      <c r="A1107" s="227"/>
      <c r="B1107" s="232"/>
      <c r="C1107" s="227"/>
      <c r="D1107" s="227"/>
      <c r="E1107" s="231"/>
      <c r="F1107" s="232"/>
      <c r="G1107" s="227"/>
      <c r="H1107" s="227"/>
      <c r="I1107" s="227"/>
      <c r="J1107" s="227"/>
      <c r="K1107" s="227"/>
      <c r="L1107" s="232"/>
      <c r="M1107" s="232"/>
      <c r="N1107" s="227"/>
      <c r="O1107" s="227"/>
      <c r="P1107" s="231"/>
      <c r="Q1107" s="227"/>
      <c r="R1107" s="231"/>
      <c r="S1107" s="231"/>
      <c r="T1107" s="231"/>
      <c r="U1107" s="231"/>
      <c r="V1107" s="231"/>
      <c r="W1107" s="231"/>
      <c r="X1107" s="227"/>
      <c r="Y1107" s="232"/>
      <c r="Z1107" s="232"/>
      <c r="AA1107" s="232"/>
      <c r="AB1107" s="232"/>
      <c r="AC1107" s="227"/>
      <c r="AD1107" s="227"/>
      <c r="AE1107" s="231"/>
      <c r="AF1107" s="227"/>
      <c r="AG1107" s="232"/>
      <c r="AH1107" s="232"/>
      <c r="AI1107" s="232"/>
      <c r="AJ1107" s="232"/>
      <c r="AK1107" s="232"/>
      <c r="AL1107" s="232"/>
      <c r="AM1107" s="232"/>
      <c r="AN1107" s="232"/>
      <c r="AO1107" s="231"/>
      <c r="AP1107" s="231"/>
      <c r="AQ1107" s="227"/>
      <c r="AR1107" s="231"/>
      <c r="AS1107" s="227"/>
      <c r="AT1107" s="227"/>
      <c r="AU1107" s="227"/>
      <c r="AV1107" s="227"/>
    </row>
    <row r="1108">
      <c r="A1108" s="227"/>
      <c r="B1108" s="232"/>
      <c r="C1108" s="227"/>
      <c r="D1108" s="227"/>
      <c r="E1108" s="231"/>
      <c r="F1108" s="232"/>
      <c r="G1108" s="227"/>
      <c r="H1108" s="227"/>
      <c r="I1108" s="227"/>
      <c r="J1108" s="227"/>
      <c r="K1108" s="227"/>
      <c r="L1108" s="232"/>
      <c r="M1108" s="232"/>
      <c r="N1108" s="227"/>
      <c r="O1108" s="227"/>
      <c r="P1108" s="231"/>
      <c r="Q1108" s="227"/>
      <c r="R1108" s="231"/>
      <c r="S1108" s="231"/>
      <c r="T1108" s="231"/>
      <c r="U1108" s="231"/>
      <c r="V1108" s="231"/>
      <c r="W1108" s="231"/>
      <c r="X1108" s="227"/>
      <c r="Y1108" s="232"/>
      <c r="Z1108" s="232"/>
      <c r="AA1108" s="232"/>
      <c r="AB1108" s="232"/>
      <c r="AC1108" s="227"/>
      <c r="AD1108" s="227"/>
      <c r="AE1108" s="231"/>
      <c r="AF1108" s="227"/>
      <c r="AG1108" s="232"/>
      <c r="AH1108" s="232"/>
      <c r="AI1108" s="232"/>
      <c r="AJ1108" s="232"/>
      <c r="AK1108" s="232"/>
      <c r="AL1108" s="232"/>
      <c r="AM1108" s="232"/>
      <c r="AN1108" s="232"/>
      <c r="AO1108" s="231"/>
      <c r="AP1108" s="231"/>
      <c r="AQ1108" s="227"/>
      <c r="AR1108" s="231"/>
      <c r="AS1108" s="227"/>
      <c r="AT1108" s="227"/>
      <c r="AU1108" s="227"/>
      <c r="AV1108" s="227"/>
    </row>
    <row r="1109">
      <c r="A1109" s="227"/>
      <c r="B1109" s="232"/>
      <c r="C1109" s="227"/>
      <c r="D1109" s="227"/>
      <c r="E1109" s="231"/>
      <c r="F1109" s="232"/>
      <c r="G1109" s="227"/>
      <c r="H1109" s="227"/>
      <c r="I1109" s="227"/>
      <c r="J1109" s="227"/>
      <c r="K1109" s="227"/>
      <c r="L1109" s="232"/>
      <c r="M1109" s="232"/>
      <c r="N1109" s="227"/>
      <c r="O1109" s="227"/>
      <c r="P1109" s="231"/>
      <c r="Q1109" s="227"/>
      <c r="R1109" s="231"/>
      <c r="S1109" s="231"/>
      <c r="T1109" s="231"/>
      <c r="U1109" s="231"/>
      <c r="V1109" s="231"/>
      <c r="W1109" s="231"/>
      <c r="X1109" s="227"/>
      <c r="Y1109" s="232"/>
      <c r="Z1109" s="232"/>
      <c r="AA1109" s="232"/>
      <c r="AB1109" s="232"/>
      <c r="AC1109" s="227"/>
      <c r="AD1109" s="227"/>
      <c r="AE1109" s="231"/>
      <c r="AF1109" s="227"/>
      <c r="AG1109" s="232"/>
      <c r="AH1109" s="232"/>
      <c r="AI1109" s="232"/>
      <c r="AJ1109" s="232"/>
      <c r="AK1109" s="232"/>
      <c r="AL1109" s="232"/>
      <c r="AM1109" s="232"/>
      <c r="AN1109" s="232"/>
      <c r="AO1109" s="231"/>
      <c r="AP1109" s="231"/>
      <c r="AQ1109" s="227"/>
      <c r="AR1109" s="231"/>
      <c r="AS1109" s="227"/>
      <c r="AT1109" s="227"/>
      <c r="AU1109" s="227"/>
      <c r="AV1109" s="227"/>
    </row>
    <row r="1110">
      <c r="A1110" s="227"/>
      <c r="B1110" s="232"/>
      <c r="C1110" s="227"/>
      <c r="D1110" s="227"/>
      <c r="E1110" s="231"/>
      <c r="F1110" s="232"/>
      <c r="G1110" s="227"/>
      <c r="H1110" s="227"/>
      <c r="I1110" s="227"/>
      <c r="J1110" s="227"/>
      <c r="K1110" s="227"/>
      <c r="L1110" s="232"/>
      <c r="M1110" s="232"/>
      <c r="N1110" s="227"/>
      <c r="O1110" s="227"/>
      <c r="P1110" s="231"/>
      <c r="Q1110" s="227"/>
      <c r="R1110" s="231"/>
      <c r="S1110" s="231"/>
      <c r="T1110" s="231"/>
      <c r="U1110" s="231"/>
      <c r="V1110" s="231"/>
      <c r="W1110" s="231"/>
      <c r="X1110" s="227"/>
      <c r="Y1110" s="232"/>
      <c r="Z1110" s="232"/>
      <c r="AA1110" s="232"/>
      <c r="AB1110" s="232"/>
      <c r="AC1110" s="227"/>
      <c r="AD1110" s="227"/>
      <c r="AE1110" s="231"/>
      <c r="AF1110" s="227"/>
      <c r="AG1110" s="232"/>
      <c r="AH1110" s="232"/>
      <c r="AI1110" s="232"/>
      <c r="AJ1110" s="232"/>
      <c r="AK1110" s="232"/>
      <c r="AL1110" s="232"/>
      <c r="AM1110" s="232"/>
      <c r="AN1110" s="232"/>
      <c r="AO1110" s="231"/>
      <c r="AP1110" s="231"/>
      <c r="AQ1110" s="227"/>
      <c r="AR1110" s="231"/>
      <c r="AS1110" s="227"/>
      <c r="AT1110" s="227"/>
      <c r="AU1110" s="227"/>
      <c r="AV1110" s="227"/>
    </row>
    <row r="1111">
      <c r="A1111" s="227"/>
      <c r="B1111" s="232"/>
      <c r="C1111" s="227"/>
      <c r="D1111" s="227"/>
      <c r="E1111" s="231"/>
      <c r="F1111" s="232"/>
      <c r="G1111" s="227"/>
      <c r="H1111" s="227"/>
      <c r="I1111" s="227"/>
      <c r="J1111" s="227"/>
      <c r="K1111" s="227"/>
      <c r="L1111" s="232"/>
      <c r="M1111" s="232"/>
      <c r="N1111" s="227"/>
      <c r="O1111" s="227"/>
      <c r="P1111" s="231"/>
      <c r="Q1111" s="227"/>
      <c r="R1111" s="231"/>
      <c r="S1111" s="231"/>
      <c r="T1111" s="231"/>
      <c r="U1111" s="231"/>
      <c r="V1111" s="231"/>
      <c r="W1111" s="231"/>
      <c r="X1111" s="227"/>
      <c r="Y1111" s="232"/>
      <c r="Z1111" s="232"/>
      <c r="AA1111" s="232"/>
      <c r="AB1111" s="232"/>
      <c r="AC1111" s="227"/>
      <c r="AD1111" s="227"/>
      <c r="AE1111" s="231"/>
      <c r="AF1111" s="227"/>
      <c r="AG1111" s="232"/>
      <c r="AH1111" s="232"/>
      <c r="AI1111" s="232"/>
      <c r="AJ1111" s="232"/>
      <c r="AK1111" s="232"/>
      <c r="AL1111" s="232"/>
      <c r="AM1111" s="232"/>
      <c r="AN1111" s="232"/>
      <c r="AO1111" s="231"/>
      <c r="AP1111" s="231"/>
      <c r="AQ1111" s="227"/>
      <c r="AR1111" s="231"/>
      <c r="AS1111" s="227"/>
      <c r="AT1111" s="227"/>
      <c r="AU1111" s="227"/>
      <c r="AV1111" s="227"/>
    </row>
    <row r="1112">
      <c r="A1112" s="227"/>
      <c r="B1112" s="232"/>
      <c r="C1112" s="227"/>
      <c r="D1112" s="227"/>
      <c r="E1112" s="231"/>
      <c r="F1112" s="232"/>
      <c r="G1112" s="227"/>
      <c r="H1112" s="227"/>
      <c r="I1112" s="227"/>
      <c r="J1112" s="227"/>
      <c r="K1112" s="227"/>
      <c r="L1112" s="232"/>
      <c r="M1112" s="232"/>
      <c r="N1112" s="227"/>
      <c r="O1112" s="227"/>
      <c r="P1112" s="231"/>
      <c r="Q1112" s="227"/>
      <c r="R1112" s="231"/>
      <c r="S1112" s="231"/>
      <c r="T1112" s="231"/>
      <c r="U1112" s="231"/>
      <c r="V1112" s="231"/>
      <c r="W1112" s="231"/>
      <c r="X1112" s="227"/>
      <c r="Y1112" s="232"/>
      <c r="Z1112" s="232"/>
      <c r="AA1112" s="232"/>
      <c r="AB1112" s="232"/>
      <c r="AC1112" s="227"/>
      <c r="AD1112" s="227"/>
      <c r="AE1112" s="231"/>
      <c r="AF1112" s="227"/>
      <c r="AG1112" s="232"/>
      <c r="AH1112" s="232"/>
      <c r="AI1112" s="232"/>
      <c r="AJ1112" s="232"/>
      <c r="AK1112" s="232"/>
      <c r="AL1112" s="232"/>
      <c r="AM1112" s="232"/>
      <c r="AN1112" s="232"/>
      <c r="AO1112" s="231"/>
      <c r="AP1112" s="231"/>
      <c r="AQ1112" s="227"/>
      <c r="AR1112" s="231"/>
      <c r="AS1112" s="227"/>
      <c r="AT1112" s="227"/>
      <c r="AU1112" s="227"/>
      <c r="AV1112" s="227"/>
    </row>
    <row r="1113">
      <c r="A1113" s="227"/>
      <c r="B1113" s="232"/>
      <c r="C1113" s="227"/>
      <c r="D1113" s="227"/>
      <c r="E1113" s="231"/>
      <c r="F1113" s="232"/>
      <c r="G1113" s="227"/>
      <c r="H1113" s="227"/>
      <c r="I1113" s="227"/>
      <c r="J1113" s="227"/>
      <c r="K1113" s="227"/>
      <c r="L1113" s="232"/>
      <c r="M1113" s="232"/>
      <c r="N1113" s="227"/>
      <c r="O1113" s="227"/>
      <c r="P1113" s="231"/>
      <c r="Q1113" s="227"/>
      <c r="R1113" s="231"/>
      <c r="S1113" s="231"/>
      <c r="T1113" s="231"/>
      <c r="U1113" s="231"/>
      <c r="V1113" s="231"/>
      <c r="W1113" s="231"/>
      <c r="X1113" s="227"/>
      <c r="Y1113" s="232"/>
      <c r="Z1113" s="232"/>
      <c r="AA1113" s="232"/>
      <c r="AB1113" s="232"/>
      <c r="AC1113" s="227"/>
      <c r="AD1113" s="227"/>
      <c r="AE1113" s="231"/>
      <c r="AF1113" s="227"/>
      <c r="AG1113" s="232"/>
      <c r="AH1113" s="232"/>
      <c r="AI1113" s="232"/>
      <c r="AJ1113" s="232"/>
      <c r="AK1113" s="232"/>
      <c r="AL1113" s="232"/>
      <c r="AM1113" s="232"/>
      <c r="AN1113" s="232"/>
      <c r="AO1113" s="231"/>
      <c r="AP1113" s="231"/>
      <c r="AQ1113" s="227"/>
      <c r="AR1113" s="231"/>
      <c r="AS1113" s="227"/>
      <c r="AT1113" s="227"/>
      <c r="AU1113" s="227"/>
      <c r="AV1113" s="227"/>
    </row>
    <row r="1114">
      <c r="A1114" s="227"/>
      <c r="B1114" s="232"/>
      <c r="C1114" s="227"/>
      <c r="D1114" s="227"/>
      <c r="E1114" s="231"/>
      <c r="F1114" s="232"/>
      <c r="G1114" s="227"/>
      <c r="H1114" s="227"/>
      <c r="I1114" s="227"/>
      <c r="J1114" s="227"/>
      <c r="K1114" s="227"/>
      <c r="L1114" s="232"/>
      <c r="M1114" s="232"/>
      <c r="N1114" s="227"/>
      <c r="O1114" s="227"/>
      <c r="P1114" s="231"/>
      <c r="Q1114" s="227"/>
      <c r="R1114" s="231"/>
      <c r="S1114" s="231"/>
      <c r="T1114" s="231"/>
      <c r="U1114" s="231"/>
      <c r="V1114" s="231"/>
      <c r="W1114" s="231"/>
      <c r="X1114" s="227"/>
      <c r="Y1114" s="232"/>
      <c r="Z1114" s="232"/>
      <c r="AA1114" s="232"/>
      <c r="AB1114" s="232"/>
      <c r="AC1114" s="227"/>
      <c r="AD1114" s="227"/>
      <c r="AE1114" s="231"/>
      <c r="AF1114" s="227"/>
      <c r="AG1114" s="232"/>
      <c r="AH1114" s="232"/>
      <c r="AI1114" s="232"/>
      <c r="AJ1114" s="232"/>
      <c r="AK1114" s="232"/>
      <c r="AL1114" s="232"/>
      <c r="AM1114" s="232"/>
      <c r="AN1114" s="232"/>
      <c r="AO1114" s="231"/>
      <c r="AP1114" s="231"/>
      <c r="AQ1114" s="227"/>
      <c r="AR1114" s="231"/>
      <c r="AS1114" s="227"/>
      <c r="AT1114" s="227"/>
      <c r="AU1114" s="227"/>
      <c r="AV1114" s="227"/>
    </row>
    <row r="1115">
      <c r="A1115" s="227"/>
      <c r="B1115" s="232"/>
      <c r="C1115" s="227"/>
      <c r="D1115" s="227"/>
      <c r="E1115" s="231"/>
      <c r="F1115" s="232"/>
      <c r="G1115" s="227"/>
      <c r="H1115" s="227"/>
      <c r="I1115" s="227"/>
      <c r="J1115" s="227"/>
      <c r="K1115" s="227"/>
      <c r="L1115" s="232"/>
      <c r="M1115" s="232"/>
      <c r="N1115" s="227"/>
      <c r="O1115" s="227"/>
      <c r="P1115" s="231"/>
      <c r="Q1115" s="227"/>
      <c r="R1115" s="231"/>
      <c r="S1115" s="231"/>
      <c r="T1115" s="231"/>
      <c r="U1115" s="231"/>
      <c r="V1115" s="231"/>
      <c r="W1115" s="231"/>
      <c r="X1115" s="227"/>
      <c r="Y1115" s="232"/>
      <c r="Z1115" s="232"/>
      <c r="AA1115" s="232"/>
      <c r="AB1115" s="232"/>
      <c r="AC1115" s="227"/>
      <c r="AD1115" s="227"/>
      <c r="AE1115" s="231"/>
      <c r="AF1115" s="227"/>
      <c r="AG1115" s="232"/>
      <c r="AH1115" s="232"/>
      <c r="AI1115" s="232"/>
      <c r="AJ1115" s="232"/>
      <c r="AK1115" s="232"/>
      <c r="AL1115" s="232"/>
      <c r="AM1115" s="232"/>
      <c r="AN1115" s="232"/>
      <c r="AO1115" s="231"/>
      <c r="AP1115" s="231"/>
      <c r="AQ1115" s="227"/>
      <c r="AR1115" s="231"/>
      <c r="AS1115" s="227"/>
      <c r="AT1115" s="227"/>
      <c r="AU1115" s="227"/>
      <c r="AV1115" s="227"/>
    </row>
    <row r="1116">
      <c r="A1116" s="227"/>
      <c r="B1116" s="232"/>
      <c r="C1116" s="227"/>
      <c r="D1116" s="227"/>
      <c r="E1116" s="231"/>
      <c r="F1116" s="232"/>
      <c r="G1116" s="227"/>
      <c r="H1116" s="227"/>
      <c r="I1116" s="227"/>
      <c r="J1116" s="227"/>
      <c r="K1116" s="227"/>
      <c r="L1116" s="232"/>
      <c r="M1116" s="232"/>
      <c r="N1116" s="227"/>
      <c r="O1116" s="227"/>
      <c r="P1116" s="231"/>
      <c r="Q1116" s="227"/>
      <c r="R1116" s="231"/>
      <c r="S1116" s="231"/>
      <c r="T1116" s="231"/>
      <c r="U1116" s="231"/>
      <c r="V1116" s="231"/>
      <c r="W1116" s="231"/>
      <c r="X1116" s="227"/>
      <c r="Y1116" s="232"/>
      <c r="Z1116" s="232"/>
      <c r="AA1116" s="232"/>
      <c r="AB1116" s="232"/>
      <c r="AC1116" s="227"/>
      <c r="AD1116" s="227"/>
      <c r="AE1116" s="231"/>
      <c r="AF1116" s="227"/>
      <c r="AG1116" s="232"/>
      <c r="AH1116" s="232"/>
      <c r="AI1116" s="232"/>
      <c r="AJ1116" s="232"/>
      <c r="AK1116" s="232"/>
      <c r="AL1116" s="232"/>
      <c r="AM1116" s="232"/>
      <c r="AN1116" s="232"/>
      <c r="AO1116" s="231"/>
      <c r="AP1116" s="231"/>
      <c r="AQ1116" s="227"/>
      <c r="AR1116" s="231"/>
      <c r="AS1116" s="227"/>
      <c r="AT1116" s="227"/>
      <c r="AU1116" s="227"/>
      <c r="AV1116" s="227"/>
    </row>
    <row r="1117">
      <c r="A1117" s="227"/>
      <c r="B1117" s="232"/>
      <c r="C1117" s="227"/>
      <c r="D1117" s="227"/>
      <c r="E1117" s="231"/>
      <c r="F1117" s="232"/>
      <c r="G1117" s="227"/>
      <c r="H1117" s="227"/>
      <c r="I1117" s="227"/>
      <c r="J1117" s="227"/>
      <c r="K1117" s="227"/>
      <c r="L1117" s="232"/>
      <c r="M1117" s="232"/>
      <c r="N1117" s="227"/>
      <c r="O1117" s="227"/>
      <c r="P1117" s="231"/>
      <c r="Q1117" s="227"/>
      <c r="R1117" s="231"/>
      <c r="S1117" s="231"/>
      <c r="T1117" s="231"/>
      <c r="U1117" s="231"/>
      <c r="V1117" s="231"/>
      <c r="W1117" s="231"/>
      <c r="X1117" s="227"/>
      <c r="Y1117" s="232"/>
      <c r="Z1117" s="232"/>
      <c r="AA1117" s="232"/>
      <c r="AB1117" s="232"/>
      <c r="AC1117" s="227"/>
      <c r="AD1117" s="227"/>
      <c r="AE1117" s="231"/>
      <c r="AF1117" s="227"/>
      <c r="AG1117" s="232"/>
      <c r="AH1117" s="232"/>
      <c r="AI1117" s="232"/>
      <c r="AJ1117" s="232"/>
      <c r="AK1117" s="232"/>
      <c r="AL1117" s="232"/>
      <c r="AM1117" s="232"/>
      <c r="AN1117" s="232"/>
      <c r="AO1117" s="231"/>
      <c r="AP1117" s="231"/>
      <c r="AQ1117" s="227"/>
      <c r="AR1117" s="231"/>
      <c r="AS1117" s="227"/>
      <c r="AT1117" s="227"/>
      <c r="AU1117" s="227"/>
      <c r="AV1117" s="227"/>
    </row>
    <row r="1118">
      <c r="A1118" s="227"/>
      <c r="B1118" s="232"/>
      <c r="C1118" s="227"/>
      <c r="D1118" s="227"/>
      <c r="E1118" s="231"/>
      <c r="F1118" s="232"/>
      <c r="G1118" s="227"/>
      <c r="H1118" s="227"/>
      <c r="I1118" s="227"/>
      <c r="J1118" s="227"/>
      <c r="K1118" s="227"/>
      <c r="L1118" s="232"/>
      <c r="M1118" s="232"/>
      <c r="N1118" s="227"/>
      <c r="O1118" s="227"/>
      <c r="P1118" s="231"/>
      <c r="Q1118" s="227"/>
      <c r="R1118" s="231"/>
      <c r="S1118" s="231"/>
      <c r="T1118" s="231"/>
      <c r="U1118" s="231"/>
      <c r="V1118" s="231"/>
      <c r="W1118" s="231"/>
      <c r="X1118" s="227"/>
      <c r="Y1118" s="232"/>
      <c r="Z1118" s="232"/>
      <c r="AA1118" s="232"/>
      <c r="AB1118" s="232"/>
      <c r="AC1118" s="227"/>
      <c r="AD1118" s="227"/>
      <c r="AE1118" s="231"/>
      <c r="AF1118" s="227"/>
      <c r="AG1118" s="232"/>
      <c r="AH1118" s="232"/>
      <c r="AI1118" s="232"/>
      <c r="AJ1118" s="232"/>
      <c r="AK1118" s="232"/>
      <c r="AL1118" s="232"/>
      <c r="AM1118" s="232"/>
      <c r="AN1118" s="232"/>
      <c r="AO1118" s="231"/>
      <c r="AP1118" s="231"/>
      <c r="AQ1118" s="227"/>
      <c r="AR1118" s="231"/>
      <c r="AS1118" s="227"/>
      <c r="AT1118" s="227"/>
      <c r="AU1118" s="227"/>
      <c r="AV1118" s="227"/>
    </row>
    <row r="1119">
      <c r="A1119" s="227"/>
      <c r="B1119" s="232"/>
      <c r="C1119" s="227"/>
      <c r="D1119" s="227"/>
      <c r="E1119" s="231"/>
      <c r="F1119" s="232"/>
      <c r="G1119" s="227"/>
      <c r="H1119" s="227"/>
      <c r="I1119" s="227"/>
      <c r="J1119" s="227"/>
      <c r="K1119" s="227"/>
      <c r="L1119" s="232"/>
      <c r="M1119" s="232"/>
      <c r="N1119" s="227"/>
      <c r="O1119" s="227"/>
      <c r="P1119" s="231"/>
      <c r="Q1119" s="227"/>
      <c r="R1119" s="231"/>
      <c r="S1119" s="231"/>
      <c r="T1119" s="231"/>
      <c r="U1119" s="231"/>
      <c r="V1119" s="231"/>
      <c r="W1119" s="231"/>
      <c r="X1119" s="227"/>
      <c r="Y1119" s="232"/>
      <c r="Z1119" s="232"/>
      <c r="AA1119" s="232"/>
      <c r="AB1119" s="232"/>
      <c r="AC1119" s="227"/>
      <c r="AD1119" s="227"/>
      <c r="AE1119" s="231"/>
      <c r="AF1119" s="227"/>
      <c r="AG1119" s="232"/>
      <c r="AH1119" s="232"/>
      <c r="AI1119" s="232"/>
      <c r="AJ1119" s="232"/>
      <c r="AK1119" s="232"/>
      <c r="AL1119" s="232"/>
      <c r="AM1119" s="232"/>
      <c r="AN1119" s="232"/>
      <c r="AO1119" s="231"/>
      <c r="AP1119" s="231"/>
      <c r="AQ1119" s="227"/>
      <c r="AR1119" s="231"/>
      <c r="AS1119" s="227"/>
      <c r="AT1119" s="227"/>
      <c r="AU1119" s="227"/>
      <c r="AV1119" s="227"/>
    </row>
    <row r="1120">
      <c r="A1120" s="227"/>
      <c r="B1120" s="232"/>
      <c r="C1120" s="227"/>
      <c r="D1120" s="227"/>
      <c r="E1120" s="231"/>
      <c r="F1120" s="232"/>
      <c r="G1120" s="227"/>
      <c r="H1120" s="227"/>
      <c r="I1120" s="227"/>
      <c r="J1120" s="227"/>
      <c r="K1120" s="227"/>
      <c r="L1120" s="232"/>
      <c r="M1120" s="232"/>
      <c r="N1120" s="227"/>
      <c r="O1120" s="227"/>
      <c r="P1120" s="231"/>
      <c r="Q1120" s="227"/>
      <c r="R1120" s="231"/>
      <c r="S1120" s="231"/>
      <c r="T1120" s="231"/>
      <c r="U1120" s="231"/>
      <c r="V1120" s="231"/>
      <c r="W1120" s="231"/>
      <c r="X1120" s="227"/>
      <c r="Y1120" s="232"/>
      <c r="Z1120" s="232"/>
      <c r="AA1120" s="232"/>
      <c r="AB1120" s="232"/>
      <c r="AC1120" s="227"/>
      <c r="AD1120" s="227"/>
      <c r="AE1120" s="231"/>
      <c r="AF1120" s="227"/>
      <c r="AG1120" s="232"/>
      <c r="AH1120" s="232"/>
      <c r="AI1120" s="232"/>
      <c r="AJ1120" s="232"/>
      <c r="AK1120" s="232"/>
      <c r="AL1120" s="232"/>
      <c r="AM1120" s="232"/>
      <c r="AN1120" s="232"/>
      <c r="AO1120" s="231"/>
      <c r="AP1120" s="231"/>
      <c r="AQ1120" s="227"/>
      <c r="AR1120" s="231"/>
      <c r="AS1120" s="227"/>
      <c r="AT1120" s="227"/>
      <c r="AU1120" s="227"/>
      <c r="AV1120" s="227"/>
    </row>
    <row r="1121">
      <c r="A1121" s="227"/>
      <c r="B1121" s="232"/>
      <c r="C1121" s="227"/>
      <c r="D1121" s="227"/>
      <c r="E1121" s="231"/>
      <c r="F1121" s="232"/>
      <c r="G1121" s="227"/>
      <c r="H1121" s="227"/>
      <c r="I1121" s="227"/>
      <c r="J1121" s="227"/>
      <c r="K1121" s="227"/>
      <c r="L1121" s="232"/>
      <c r="M1121" s="232"/>
      <c r="N1121" s="227"/>
      <c r="O1121" s="227"/>
      <c r="P1121" s="231"/>
      <c r="Q1121" s="227"/>
      <c r="R1121" s="231"/>
      <c r="S1121" s="231"/>
      <c r="T1121" s="231"/>
      <c r="U1121" s="231"/>
      <c r="V1121" s="231"/>
      <c r="W1121" s="231"/>
      <c r="X1121" s="227"/>
      <c r="Y1121" s="232"/>
      <c r="Z1121" s="232"/>
      <c r="AA1121" s="232"/>
      <c r="AB1121" s="232"/>
      <c r="AC1121" s="227"/>
      <c r="AD1121" s="227"/>
      <c r="AE1121" s="231"/>
      <c r="AF1121" s="227"/>
      <c r="AG1121" s="232"/>
      <c r="AH1121" s="232"/>
      <c r="AI1121" s="232"/>
      <c r="AJ1121" s="232"/>
      <c r="AK1121" s="232"/>
      <c r="AL1121" s="232"/>
      <c r="AM1121" s="232"/>
      <c r="AN1121" s="232"/>
      <c r="AO1121" s="231"/>
      <c r="AP1121" s="231"/>
      <c r="AQ1121" s="227"/>
      <c r="AR1121" s="231"/>
      <c r="AS1121" s="227"/>
      <c r="AT1121" s="227"/>
      <c r="AU1121" s="227"/>
      <c r="AV1121" s="227"/>
    </row>
    <row r="1122">
      <c r="A1122" s="227"/>
      <c r="B1122" s="232"/>
      <c r="C1122" s="227"/>
      <c r="D1122" s="227"/>
      <c r="E1122" s="231"/>
      <c r="F1122" s="232"/>
      <c r="G1122" s="227"/>
      <c r="H1122" s="227"/>
      <c r="I1122" s="227"/>
      <c r="J1122" s="227"/>
      <c r="K1122" s="227"/>
      <c r="L1122" s="232"/>
      <c r="M1122" s="232"/>
      <c r="N1122" s="227"/>
      <c r="O1122" s="227"/>
      <c r="P1122" s="231"/>
      <c r="Q1122" s="227"/>
      <c r="R1122" s="231"/>
      <c r="S1122" s="231"/>
      <c r="T1122" s="231"/>
      <c r="U1122" s="231"/>
      <c r="V1122" s="231"/>
      <c r="W1122" s="231"/>
      <c r="X1122" s="227"/>
      <c r="Y1122" s="232"/>
      <c r="Z1122" s="232"/>
      <c r="AA1122" s="232"/>
      <c r="AB1122" s="232"/>
      <c r="AC1122" s="227"/>
      <c r="AD1122" s="227"/>
      <c r="AE1122" s="231"/>
      <c r="AF1122" s="227"/>
      <c r="AG1122" s="232"/>
      <c r="AH1122" s="232"/>
      <c r="AI1122" s="232"/>
      <c r="AJ1122" s="232"/>
      <c r="AK1122" s="232"/>
      <c r="AL1122" s="232"/>
      <c r="AM1122" s="232"/>
      <c r="AN1122" s="232"/>
      <c r="AO1122" s="231"/>
      <c r="AP1122" s="231"/>
      <c r="AQ1122" s="227"/>
      <c r="AR1122" s="231"/>
      <c r="AS1122" s="227"/>
      <c r="AT1122" s="227"/>
      <c r="AU1122" s="227"/>
      <c r="AV1122" s="227"/>
    </row>
    <row r="1123">
      <c r="A1123" s="227"/>
      <c r="B1123" s="232"/>
      <c r="C1123" s="227"/>
      <c r="D1123" s="227"/>
      <c r="E1123" s="231"/>
      <c r="F1123" s="232"/>
      <c r="G1123" s="227"/>
      <c r="H1123" s="227"/>
      <c r="I1123" s="227"/>
      <c r="J1123" s="227"/>
      <c r="K1123" s="227"/>
      <c r="L1123" s="232"/>
      <c r="M1123" s="232"/>
      <c r="N1123" s="227"/>
      <c r="O1123" s="227"/>
      <c r="P1123" s="231"/>
      <c r="Q1123" s="227"/>
      <c r="R1123" s="231"/>
      <c r="S1123" s="231"/>
      <c r="T1123" s="231"/>
      <c r="U1123" s="231"/>
      <c r="V1123" s="231"/>
      <c r="W1123" s="231"/>
      <c r="X1123" s="227"/>
      <c r="Y1123" s="232"/>
      <c r="Z1123" s="232"/>
      <c r="AA1123" s="232"/>
      <c r="AB1123" s="232"/>
      <c r="AC1123" s="227"/>
      <c r="AD1123" s="227"/>
      <c r="AE1123" s="231"/>
      <c r="AF1123" s="227"/>
      <c r="AG1123" s="232"/>
      <c r="AH1123" s="232"/>
      <c r="AI1123" s="232"/>
      <c r="AJ1123" s="232"/>
      <c r="AK1123" s="232"/>
      <c r="AL1123" s="232"/>
      <c r="AM1123" s="232"/>
      <c r="AN1123" s="232"/>
      <c r="AO1123" s="231"/>
      <c r="AP1123" s="231"/>
      <c r="AQ1123" s="227"/>
      <c r="AR1123" s="231"/>
      <c r="AS1123" s="227"/>
      <c r="AT1123" s="227"/>
      <c r="AU1123" s="227"/>
      <c r="AV1123" s="227"/>
    </row>
    <row r="1124">
      <c r="A1124" s="227"/>
      <c r="B1124" s="232"/>
      <c r="C1124" s="227"/>
      <c r="D1124" s="227"/>
      <c r="E1124" s="231"/>
      <c r="F1124" s="232"/>
      <c r="G1124" s="227"/>
      <c r="H1124" s="227"/>
      <c r="I1124" s="227"/>
      <c r="J1124" s="227"/>
      <c r="K1124" s="227"/>
      <c r="L1124" s="232"/>
      <c r="M1124" s="232"/>
      <c r="N1124" s="227"/>
      <c r="O1124" s="227"/>
      <c r="P1124" s="231"/>
      <c r="Q1124" s="227"/>
      <c r="R1124" s="231"/>
      <c r="S1124" s="231"/>
      <c r="T1124" s="231"/>
      <c r="U1124" s="231"/>
      <c r="V1124" s="231"/>
      <c r="W1124" s="231"/>
      <c r="X1124" s="227"/>
      <c r="Y1124" s="232"/>
      <c r="Z1124" s="232"/>
      <c r="AA1124" s="232"/>
      <c r="AB1124" s="232"/>
      <c r="AC1124" s="227"/>
      <c r="AD1124" s="227"/>
      <c r="AE1124" s="231"/>
      <c r="AF1124" s="227"/>
      <c r="AG1124" s="232"/>
      <c r="AH1124" s="232"/>
      <c r="AI1124" s="232"/>
      <c r="AJ1124" s="232"/>
      <c r="AK1124" s="232"/>
      <c r="AL1124" s="232"/>
      <c r="AM1124" s="232"/>
      <c r="AN1124" s="232"/>
      <c r="AO1124" s="231"/>
      <c r="AP1124" s="231"/>
      <c r="AQ1124" s="227"/>
      <c r="AR1124" s="231"/>
      <c r="AS1124" s="227"/>
      <c r="AT1124" s="227"/>
      <c r="AU1124" s="227"/>
      <c r="AV1124" s="227"/>
    </row>
    <row r="1125">
      <c r="A1125" s="227"/>
      <c r="B1125" s="232"/>
      <c r="C1125" s="227"/>
      <c r="D1125" s="227"/>
      <c r="E1125" s="231"/>
      <c r="F1125" s="232"/>
      <c r="G1125" s="227"/>
      <c r="H1125" s="227"/>
      <c r="I1125" s="227"/>
      <c r="J1125" s="227"/>
      <c r="K1125" s="227"/>
      <c r="L1125" s="232"/>
      <c r="M1125" s="232"/>
      <c r="N1125" s="227"/>
      <c r="O1125" s="227"/>
      <c r="P1125" s="231"/>
      <c r="Q1125" s="227"/>
      <c r="R1125" s="231"/>
      <c r="S1125" s="231"/>
      <c r="T1125" s="231"/>
      <c r="U1125" s="231"/>
      <c r="V1125" s="231"/>
      <c r="W1125" s="231"/>
      <c r="X1125" s="227"/>
      <c r="Y1125" s="232"/>
      <c r="Z1125" s="232"/>
      <c r="AA1125" s="232"/>
      <c r="AB1125" s="232"/>
      <c r="AC1125" s="227"/>
      <c r="AD1125" s="227"/>
      <c r="AE1125" s="231"/>
      <c r="AF1125" s="227"/>
      <c r="AG1125" s="232"/>
      <c r="AH1125" s="232"/>
      <c r="AI1125" s="232"/>
      <c r="AJ1125" s="232"/>
      <c r="AK1125" s="232"/>
      <c r="AL1125" s="232"/>
      <c r="AM1125" s="232"/>
      <c r="AN1125" s="232"/>
      <c r="AO1125" s="231"/>
      <c r="AP1125" s="231"/>
      <c r="AQ1125" s="227"/>
      <c r="AR1125" s="231"/>
      <c r="AS1125" s="227"/>
      <c r="AT1125" s="227"/>
      <c r="AU1125" s="227"/>
      <c r="AV1125" s="227"/>
    </row>
    <row r="1126">
      <c r="A1126" s="227"/>
      <c r="B1126" s="232"/>
      <c r="C1126" s="227"/>
      <c r="D1126" s="227"/>
      <c r="E1126" s="231"/>
      <c r="F1126" s="232"/>
      <c r="G1126" s="227"/>
      <c r="H1126" s="227"/>
      <c r="I1126" s="227"/>
      <c r="J1126" s="227"/>
      <c r="K1126" s="227"/>
      <c r="L1126" s="232"/>
      <c r="M1126" s="232"/>
      <c r="N1126" s="227"/>
      <c r="O1126" s="227"/>
      <c r="P1126" s="231"/>
      <c r="Q1126" s="227"/>
      <c r="R1126" s="231"/>
      <c r="S1126" s="231"/>
      <c r="T1126" s="231"/>
      <c r="U1126" s="231"/>
      <c r="V1126" s="231"/>
      <c r="W1126" s="231"/>
      <c r="X1126" s="227"/>
      <c r="Y1126" s="232"/>
      <c r="Z1126" s="232"/>
      <c r="AA1126" s="232"/>
      <c r="AB1126" s="232"/>
      <c r="AC1126" s="227"/>
      <c r="AD1126" s="227"/>
      <c r="AE1126" s="231"/>
      <c r="AF1126" s="227"/>
      <c r="AG1126" s="232"/>
      <c r="AH1126" s="232"/>
      <c r="AI1126" s="232"/>
      <c r="AJ1126" s="232"/>
      <c r="AK1126" s="232"/>
      <c r="AL1126" s="232"/>
      <c r="AM1126" s="232"/>
      <c r="AN1126" s="232"/>
      <c r="AO1126" s="231"/>
      <c r="AP1126" s="231"/>
      <c r="AQ1126" s="227"/>
      <c r="AR1126" s="231"/>
      <c r="AS1126" s="227"/>
      <c r="AT1126" s="227"/>
      <c r="AU1126" s="227"/>
      <c r="AV1126" s="227"/>
    </row>
    <row r="1127">
      <c r="A1127" s="227"/>
      <c r="B1127" s="232"/>
      <c r="C1127" s="227"/>
      <c r="D1127" s="227"/>
      <c r="E1127" s="231"/>
      <c r="F1127" s="232"/>
      <c r="G1127" s="227"/>
      <c r="H1127" s="227"/>
      <c r="I1127" s="227"/>
      <c r="J1127" s="227"/>
      <c r="K1127" s="227"/>
      <c r="L1127" s="232"/>
      <c r="M1127" s="232"/>
      <c r="N1127" s="227"/>
      <c r="O1127" s="227"/>
      <c r="P1127" s="231"/>
      <c r="Q1127" s="227"/>
      <c r="R1127" s="231"/>
      <c r="S1127" s="231"/>
      <c r="T1127" s="231"/>
      <c r="U1127" s="231"/>
      <c r="V1127" s="231"/>
      <c r="W1127" s="231"/>
      <c r="X1127" s="227"/>
      <c r="Y1127" s="232"/>
      <c r="Z1127" s="232"/>
      <c r="AA1127" s="232"/>
      <c r="AB1127" s="232"/>
      <c r="AC1127" s="227"/>
      <c r="AD1127" s="227"/>
      <c r="AE1127" s="231"/>
      <c r="AF1127" s="227"/>
      <c r="AG1127" s="232"/>
      <c r="AH1127" s="232"/>
      <c r="AI1127" s="232"/>
      <c r="AJ1127" s="232"/>
      <c r="AK1127" s="232"/>
      <c r="AL1127" s="232"/>
      <c r="AM1127" s="232"/>
      <c r="AN1127" s="232"/>
      <c r="AO1127" s="231"/>
      <c r="AP1127" s="231"/>
      <c r="AQ1127" s="227"/>
      <c r="AR1127" s="231"/>
      <c r="AS1127" s="227"/>
      <c r="AT1127" s="227"/>
      <c r="AU1127" s="227"/>
      <c r="AV1127" s="227"/>
    </row>
    <row r="1128">
      <c r="A1128" s="227"/>
      <c r="B1128" s="232"/>
      <c r="C1128" s="227"/>
      <c r="D1128" s="227"/>
      <c r="E1128" s="231"/>
      <c r="F1128" s="232"/>
      <c r="G1128" s="227"/>
      <c r="H1128" s="227"/>
      <c r="I1128" s="227"/>
      <c r="J1128" s="227"/>
      <c r="K1128" s="227"/>
      <c r="L1128" s="232"/>
      <c r="M1128" s="232"/>
      <c r="N1128" s="227"/>
      <c r="O1128" s="227"/>
      <c r="P1128" s="231"/>
      <c r="Q1128" s="227"/>
      <c r="R1128" s="231"/>
      <c r="S1128" s="231"/>
      <c r="T1128" s="231"/>
      <c r="U1128" s="231"/>
      <c r="V1128" s="231"/>
      <c r="W1128" s="231"/>
      <c r="X1128" s="227"/>
      <c r="Y1128" s="232"/>
      <c r="Z1128" s="232"/>
      <c r="AA1128" s="232"/>
      <c r="AB1128" s="232"/>
      <c r="AC1128" s="227"/>
      <c r="AD1128" s="227"/>
      <c r="AE1128" s="231"/>
      <c r="AF1128" s="227"/>
      <c r="AG1128" s="232"/>
      <c r="AH1128" s="232"/>
      <c r="AI1128" s="232"/>
      <c r="AJ1128" s="232"/>
      <c r="AK1128" s="232"/>
      <c r="AL1128" s="232"/>
      <c r="AM1128" s="232"/>
      <c r="AN1128" s="232"/>
      <c r="AO1128" s="231"/>
      <c r="AP1128" s="231"/>
      <c r="AQ1128" s="227"/>
      <c r="AR1128" s="231"/>
      <c r="AS1128" s="227"/>
      <c r="AT1128" s="227"/>
      <c r="AU1128" s="227"/>
      <c r="AV1128" s="227"/>
    </row>
    <row r="1129">
      <c r="A1129" s="227"/>
      <c r="B1129" s="232"/>
      <c r="C1129" s="227"/>
      <c r="D1129" s="227"/>
      <c r="E1129" s="231"/>
      <c r="F1129" s="232"/>
      <c r="G1129" s="227"/>
      <c r="H1129" s="227"/>
      <c r="I1129" s="227"/>
      <c r="J1129" s="227"/>
      <c r="K1129" s="227"/>
      <c r="L1129" s="232"/>
      <c r="M1129" s="232"/>
      <c r="N1129" s="227"/>
      <c r="O1129" s="227"/>
      <c r="P1129" s="231"/>
      <c r="Q1129" s="227"/>
      <c r="R1129" s="231"/>
      <c r="S1129" s="231"/>
      <c r="T1129" s="231"/>
      <c r="U1129" s="231"/>
      <c r="V1129" s="231"/>
      <c r="W1129" s="231"/>
      <c r="X1129" s="227"/>
      <c r="Y1129" s="232"/>
      <c r="Z1129" s="232"/>
      <c r="AA1129" s="232"/>
      <c r="AB1129" s="232"/>
      <c r="AC1129" s="227"/>
      <c r="AD1129" s="227"/>
      <c r="AE1129" s="231"/>
      <c r="AF1129" s="227"/>
      <c r="AG1129" s="232"/>
      <c r="AH1129" s="232"/>
      <c r="AI1129" s="232"/>
      <c r="AJ1129" s="232"/>
      <c r="AK1129" s="232"/>
      <c r="AL1129" s="232"/>
      <c r="AM1129" s="232"/>
      <c r="AN1129" s="232"/>
      <c r="AO1129" s="231"/>
      <c r="AP1129" s="231"/>
      <c r="AQ1129" s="227"/>
      <c r="AR1129" s="231"/>
      <c r="AS1129" s="227"/>
      <c r="AT1129" s="227"/>
      <c r="AU1129" s="227"/>
      <c r="AV1129" s="227"/>
    </row>
    <row r="1130">
      <c r="A1130" s="227"/>
      <c r="B1130" s="232"/>
      <c r="C1130" s="227"/>
      <c r="D1130" s="227"/>
      <c r="E1130" s="231"/>
      <c r="F1130" s="232"/>
      <c r="G1130" s="227"/>
      <c r="H1130" s="227"/>
      <c r="I1130" s="227"/>
      <c r="J1130" s="227"/>
      <c r="K1130" s="227"/>
      <c r="L1130" s="232"/>
      <c r="M1130" s="232"/>
      <c r="N1130" s="227"/>
      <c r="O1130" s="227"/>
      <c r="P1130" s="231"/>
      <c r="Q1130" s="227"/>
      <c r="R1130" s="231"/>
      <c r="S1130" s="231"/>
      <c r="T1130" s="231"/>
      <c r="U1130" s="231"/>
      <c r="V1130" s="231"/>
      <c r="W1130" s="231"/>
      <c r="X1130" s="227"/>
      <c r="Y1130" s="232"/>
      <c r="Z1130" s="232"/>
      <c r="AA1130" s="232"/>
      <c r="AB1130" s="232"/>
      <c r="AC1130" s="227"/>
      <c r="AD1130" s="227"/>
      <c r="AE1130" s="231"/>
      <c r="AF1130" s="227"/>
      <c r="AG1130" s="232"/>
      <c r="AH1130" s="232"/>
      <c r="AI1130" s="232"/>
      <c r="AJ1130" s="232"/>
      <c r="AK1130" s="232"/>
      <c r="AL1130" s="232"/>
      <c r="AM1130" s="232"/>
      <c r="AN1130" s="232"/>
      <c r="AO1130" s="231"/>
      <c r="AP1130" s="231"/>
      <c r="AQ1130" s="227"/>
      <c r="AR1130" s="231"/>
      <c r="AS1130" s="227"/>
      <c r="AT1130" s="227"/>
      <c r="AU1130" s="227"/>
      <c r="AV1130" s="227"/>
    </row>
    <row r="1131">
      <c r="A1131" s="227"/>
      <c r="B1131" s="232"/>
      <c r="C1131" s="227"/>
      <c r="D1131" s="227"/>
      <c r="E1131" s="231"/>
      <c r="F1131" s="232"/>
      <c r="G1131" s="227"/>
      <c r="H1131" s="227"/>
      <c r="I1131" s="227"/>
      <c r="J1131" s="227"/>
      <c r="K1131" s="227"/>
      <c r="L1131" s="232"/>
      <c r="M1131" s="232"/>
      <c r="N1131" s="227"/>
      <c r="O1131" s="227"/>
      <c r="P1131" s="231"/>
      <c r="Q1131" s="227"/>
      <c r="R1131" s="231"/>
      <c r="S1131" s="231"/>
      <c r="T1131" s="231"/>
      <c r="U1131" s="231"/>
      <c r="V1131" s="231"/>
      <c r="W1131" s="231"/>
      <c r="X1131" s="227"/>
      <c r="Y1131" s="232"/>
      <c r="Z1131" s="232"/>
      <c r="AA1131" s="232"/>
      <c r="AB1131" s="232"/>
      <c r="AC1131" s="227"/>
      <c r="AD1131" s="227"/>
      <c r="AE1131" s="231"/>
      <c r="AF1131" s="227"/>
      <c r="AG1131" s="232"/>
      <c r="AH1131" s="232"/>
      <c r="AI1131" s="232"/>
      <c r="AJ1131" s="232"/>
      <c r="AK1131" s="232"/>
      <c r="AL1131" s="232"/>
      <c r="AM1131" s="232"/>
      <c r="AN1131" s="232"/>
      <c r="AO1131" s="231"/>
      <c r="AP1131" s="231"/>
      <c r="AQ1131" s="227"/>
      <c r="AR1131" s="231"/>
      <c r="AS1131" s="227"/>
      <c r="AT1131" s="227"/>
      <c r="AU1131" s="227"/>
      <c r="AV1131" s="227"/>
    </row>
    <row r="1132">
      <c r="A1132" s="227"/>
      <c r="B1132" s="232"/>
      <c r="C1132" s="227"/>
      <c r="D1132" s="227"/>
      <c r="E1132" s="231"/>
      <c r="F1132" s="232"/>
      <c r="G1132" s="227"/>
      <c r="H1132" s="227"/>
      <c r="I1132" s="227"/>
      <c r="J1132" s="227"/>
      <c r="K1132" s="227"/>
      <c r="L1132" s="232"/>
      <c r="M1132" s="232"/>
      <c r="N1132" s="227"/>
      <c r="O1132" s="227"/>
      <c r="P1132" s="231"/>
      <c r="Q1132" s="227"/>
      <c r="R1132" s="231"/>
      <c r="S1132" s="231"/>
      <c r="T1132" s="231"/>
      <c r="U1132" s="231"/>
      <c r="V1132" s="231"/>
      <c r="W1132" s="231"/>
      <c r="X1132" s="227"/>
      <c r="Y1132" s="232"/>
      <c r="Z1132" s="232"/>
      <c r="AA1132" s="232"/>
      <c r="AB1132" s="232"/>
      <c r="AC1132" s="227"/>
      <c r="AD1132" s="227"/>
      <c r="AE1132" s="231"/>
      <c r="AF1132" s="227"/>
      <c r="AG1132" s="232"/>
      <c r="AH1132" s="232"/>
      <c r="AI1132" s="232"/>
      <c r="AJ1132" s="232"/>
      <c r="AK1132" s="232"/>
      <c r="AL1132" s="232"/>
      <c r="AM1132" s="232"/>
      <c r="AN1132" s="232"/>
      <c r="AO1132" s="231"/>
      <c r="AP1132" s="231"/>
      <c r="AQ1132" s="227"/>
      <c r="AR1132" s="231"/>
      <c r="AS1132" s="227"/>
      <c r="AT1132" s="227"/>
      <c r="AU1132" s="227"/>
      <c r="AV1132" s="227"/>
    </row>
    <row r="1133">
      <c r="A1133" s="227"/>
      <c r="B1133" s="232"/>
      <c r="C1133" s="227"/>
      <c r="D1133" s="227"/>
      <c r="E1133" s="231"/>
      <c r="F1133" s="232"/>
      <c r="G1133" s="227"/>
      <c r="H1133" s="227"/>
      <c r="I1133" s="227"/>
      <c r="J1133" s="227"/>
      <c r="K1133" s="227"/>
      <c r="L1133" s="232"/>
      <c r="M1133" s="232"/>
      <c r="N1133" s="227"/>
      <c r="O1133" s="227"/>
      <c r="P1133" s="231"/>
      <c r="Q1133" s="227"/>
      <c r="R1133" s="231"/>
      <c r="S1133" s="231"/>
      <c r="T1133" s="231"/>
      <c r="U1133" s="231"/>
      <c r="V1133" s="231"/>
      <c r="W1133" s="231"/>
      <c r="X1133" s="227"/>
      <c r="Y1133" s="232"/>
      <c r="Z1133" s="232"/>
      <c r="AA1133" s="232"/>
      <c r="AB1133" s="232"/>
      <c r="AC1133" s="227"/>
      <c r="AD1133" s="227"/>
      <c r="AE1133" s="231"/>
      <c r="AF1133" s="227"/>
      <c r="AG1133" s="232"/>
      <c r="AH1133" s="232"/>
      <c r="AI1133" s="232"/>
      <c r="AJ1133" s="232"/>
      <c r="AK1133" s="232"/>
      <c r="AL1133" s="232"/>
      <c r="AM1133" s="232"/>
      <c r="AN1133" s="232"/>
      <c r="AO1133" s="231"/>
      <c r="AP1133" s="231"/>
      <c r="AQ1133" s="227"/>
      <c r="AR1133" s="231"/>
      <c r="AS1133" s="227"/>
      <c r="AT1133" s="227"/>
      <c r="AU1133" s="227"/>
      <c r="AV1133" s="227"/>
    </row>
    <row r="1134">
      <c r="A1134" s="227"/>
      <c r="B1134" s="232"/>
      <c r="C1134" s="227"/>
      <c r="D1134" s="227"/>
      <c r="E1134" s="231"/>
      <c r="F1134" s="232"/>
      <c r="G1134" s="227"/>
      <c r="H1134" s="227"/>
      <c r="I1134" s="227"/>
      <c r="J1134" s="227"/>
      <c r="K1134" s="227"/>
      <c r="L1134" s="232"/>
      <c r="M1134" s="232"/>
      <c r="N1134" s="227"/>
      <c r="O1134" s="227"/>
      <c r="P1134" s="231"/>
      <c r="Q1134" s="227"/>
      <c r="R1134" s="231"/>
      <c r="S1134" s="231"/>
      <c r="T1134" s="231"/>
      <c r="U1134" s="231"/>
      <c r="V1134" s="231"/>
      <c r="W1134" s="231"/>
      <c r="X1134" s="227"/>
      <c r="Y1134" s="232"/>
      <c r="Z1134" s="232"/>
      <c r="AA1134" s="232"/>
      <c r="AB1134" s="232"/>
      <c r="AC1134" s="227"/>
      <c r="AD1134" s="227"/>
      <c r="AE1134" s="231"/>
      <c r="AF1134" s="227"/>
      <c r="AG1134" s="232"/>
      <c r="AH1134" s="232"/>
      <c r="AI1134" s="232"/>
      <c r="AJ1134" s="232"/>
      <c r="AK1134" s="232"/>
      <c r="AL1134" s="232"/>
      <c r="AM1134" s="232"/>
      <c r="AN1134" s="232"/>
      <c r="AO1134" s="231"/>
      <c r="AP1134" s="231"/>
      <c r="AQ1134" s="227"/>
      <c r="AR1134" s="231"/>
      <c r="AS1134" s="227"/>
      <c r="AT1134" s="227"/>
      <c r="AU1134" s="227"/>
      <c r="AV1134" s="227"/>
    </row>
    <row r="1135">
      <c r="A1135" s="227"/>
      <c r="B1135" s="232"/>
      <c r="C1135" s="227"/>
      <c r="D1135" s="227"/>
      <c r="E1135" s="231"/>
      <c r="F1135" s="232"/>
      <c r="G1135" s="227"/>
      <c r="H1135" s="227"/>
      <c r="I1135" s="227"/>
      <c r="J1135" s="227"/>
      <c r="K1135" s="227"/>
      <c r="L1135" s="232"/>
      <c r="M1135" s="232"/>
      <c r="N1135" s="227"/>
      <c r="O1135" s="227"/>
      <c r="P1135" s="231"/>
      <c r="Q1135" s="227"/>
      <c r="R1135" s="231"/>
      <c r="S1135" s="231"/>
      <c r="T1135" s="231"/>
      <c r="U1135" s="231"/>
      <c r="V1135" s="231"/>
      <c r="W1135" s="231"/>
      <c r="X1135" s="227"/>
      <c r="Y1135" s="232"/>
      <c r="Z1135" s="232"/>
      <c r="AA1135" s="232"/>
      <c r="AB1135" s="232"/>
      <c r="AC1135" s="227"/>
      <c r="AD1135" s="227"/>
      <c r="AE1135" s="231"/>
      <c r="AF1135" s="227"/>
      <c r="AG1135" s="232"/>
      <c r="AH1135" s="232"/>
      <c r="AI1135" s="232"/>
      <c r="AJ1135" s="232"/>
      <c r="AK1135" s="232"/>
      <c r="AL1135" s="232"/>
      <c r="AM1135" s="232"/>
      <c r="AN1135" s="232"/>
      <c r="AO1135" s="231"/>
      <c r="AP1135" s="231"/>
      <c r="AQ1135" s="227"/>
      <c r="AR1135" s="231"/>
      <c r="AS1135" s="227"/>
      <c r="AT1135" s="227"/>
      <c r="AU1135" s="227"/>
      <c r="AV1135" s="227"/>
    </row>
    <row r="1136">
      <c r="A1136" s="227"/>
      <c r="B1136" s="232"/>
      <c r="C1136" s="227"/>
      <c r="D1136" s="227"/>
      <c r="E1136" s="231"/>
      <c r="F1136" s="232"/>
      <c r="G1136" s="227"/>
      <c r="H1136" s="227"/>
      <c r="I1136" s="227"/>
      <c r="J1136" s="227"/>
      <c r="K1136" s="227"/>
      <c r="L1136" s="232"/>
      <c r="M1136" s="232"/>
      <c r="N1136" s="227"/>
      <c r="O1136" s="227"/>
      <c r="P1136" s="231"/>
      <c r="Q1136" s="227"/>
      <c r="R1136" s="231"/>
      <c r="S1136" s="231"/>
      <c r="T1136" s="231"/>
      <c r="U1136" s="231"/>
      <c r="V1136" s="231"/>
      <c r="W1136" s="231"/>
      <c r="X1136" s="227"/>
      <c r="Y1136" s="232"/>
      <c r="Z1136" s="232"/>
      <c r="AA1136" s="232"/>
      <c r="AB1136" s="232"/>
      <c r="AC1136" s="227"/>
      <c r="AD1136" s="227"/>
      <c r="AE1136" s="231"/>
      <c r="AF1136" s="227"/>
      <c r="AG1136" s="232"/>
      <c r="AH1136" s="232"/>
      <c r="AI1136" s="232"/>
      <c r="AJ1136" s="232"/>
      <c r="AK1136" s="232"/>
      <c r="AL1136" s="232"/>
      <c r="AM1136" s="232"/>
      <c r="AN1136" s="232"/>
      <c r="AO1136" s="231"/>
      <c r="AP1136" s="231"/>
      <c r="AQ1136" s="227"/>
      <c r="AR1136" s="231"/>
      <c r="AS1136" s="227"/>
      <c r="AT1136" s="227"/>
      <c r="AU1136" s="227"/>
      <c r="AV1136" s="227"/>
    </row>
    <row r="1137">
      <c r="A1137" s="227"/>
      <c r="B1137" s="232"/>
      <c r="C1137" s="227"/>
      <c r="D1137" s="227"/>
      <c r="E1137" s="231"/>
      <c r="F1137" s="232"/>
      <c r="G1137" s="227"/>
      <c r="H1137" s="227"/>
      <c r="I1137" s="227"/>
      <c r="J1137" s="227"/>
      <c r="K1137" s="227"/>
      <c r="L1137" s="232"/>
      <c r="M1137" s="232"/>
      <c r="N1137" s="227"/>
      <c r="O1137" s="227"/>
      <c r="P1137" s="231"/>
      <c r="Q1137" s="227"/>
      <c r="R1137" s="231"/>
      <c r="S1137" s="231"/>
      <c r="T1137" s="231"/>
      <c r="U1137" s="231"/>
      <c r="V1137" s="231"/>
      <c r="W1137" s="231"/>
      <c r="X1137" s="227"/>
      <c r="Y1137" s="232"/>
      <c r="Z1137" s="232"/>
      <c r="AA1137" s="232"/>
      <c r="AB1137" s="232"/>
      <c r="AC1137" s="227"/>
      <c r="AD1137" s="227"/>
      <c r="AE1137" s="231"/>
      <c r="AF1137" s="227"/>
      <c r="AG1137" s="232"/>
      <c r="AH1137" s="232"/>
      <c r="AI1137" s="232"/>
      <c r="AJ1137" s="232"/>
      <c r="AK1137" s="232"/>
      <c r="AL1137" s="232"/>
      <c r="AM1137" s="232"/>
      <c r="AN1137" s="232"/>
      <c r="AO1137" s="231"/>
      <c r="AP1137" s="231"/>
      <c r="AQ1137" s="227"/>
      <c r="AR1137" s="231"/>
      <c r="AS1137" s="227"/>
      <c r="AT1137" s="227"/>
      <c r="AU1137" s="227"/>
      <c r="AV1137" s="227"/>
    </row>
    <row r="1138">
      <c r="A1138" s="227"/>
      <c r="B1138" s="232"/>
      <c r="C1138" s="227"/>
      <c r="D1138" s="227"/>
      <c r="E1138" s="231"/>
      <c r="F1138" s="232"/>
      <c r="G1138" s="227"/>
      <c r="H1138" s="227"/>
      <c r="I1138" s="227"/>
      <c r="J1138" s="227"/>
      <c r="K1138" s="227"/>
      <c r="L1138" s="232"/>
      <c r="M1138" s="232"/>
      <c r="N1138" s="227"/>
      <c r="O1138" s="227"/>
      <c r="P1138" s="231"/>
      <c r="Q1138" s="227"/>
      <c r="R1138" s="231"/>
      <c r="S1138" s="231"/>
      <c r="T1138" s="231"/>
      <c r="U1138" s="231"/>
      <c r="V1138" s="231"/>
      <c r="W1138" s="231"/>
      <c r="X1138" s="227"/>
      <c r="Y1138" s="232"/>
      <c r="Z1138" s="232"/>
      <c r="AA1138" s="232"/>
      <c r="AB1138" s="232"/>
      <c r="AC1138" s="227"/>
      <c r="AD1138" s="227"/>
      <c r="AE1138" s="231"/>
      <c r="AF1138" s="227"/>
      <c r="AG1138" s="232"/>
      <c r="AH1138" s="232"/>
      <c r="AI1138" s="232"/>
      <c r="AJ1138" s="232"/>
      <c r="AK1138" s="232"/>
      <c r="AL1138" s="232"/>
      <c r="AM1138" s="232"/>
      <c r="AN1138" s="232"/>
      <c r="AO1138" s="231"/>
      <c r="AP1138" s="231"/>
      <c r="AQ1138" s="227"/>
      <c r="AR1138" s="231"/>
      <c r="AS1138" s="227"/>
      <c r="AT1138" s="227"/>
      <c r="AU1138" s="227"/>
      <c r="AV1138" s="227"/>
    </row>
    <row r="1139">
      <c r="A1139" s="227"/>
      <c r="B1139" s="232"/>
      <c r="C1139" s="227"/>
      <c r="D1139" s="227"/>
      <c r="E1139" s="231"/>
      <c r="F1139" s="232"/>
      <c r="G1139" s="227"/>
      <c r="H1139" s="227"/>
      <c r="I1139" s="227"/>
      <c r="J1139" s="227"/>
      <c r="K1139" s="227"/>
      <c r="L1139" s="232"/>
      <c r="M1139" s="232"/>
      <c r="N1139" s="227"/>
      <c r="O1139" s="227"/>
      <c r="P1139" s="231"/>
      <c r="Q1139" s="227"/>
      <c r="R1139" s="231"/>
      <c r="S1139" s="231"/>
      <c r="T1139" s="231"/>
      <c r="U1139" s="231"/>
      <c r="V1139" s="231"/>
      <c r="W1139" s="231"/>
      <c r="X1139" s="227"/>
      <c r="Y1139" s="232"/>
      <c r="Z1139" s="232"/>
      <c r="AA1139" s="232"/>
      <c r="AB1139" s="232"/>
      <c r="AC1139" s="227"/>
      <c r="AD1139" s="227"/>
      <c r="AE1139" s="231"/>
      <c r="AF1139" s="227"/>
      <c r="AG1139" s="232"/>
      <c r="AH1139" s="232"/>
      <c r="AI1139" s="232"/>
      <c r="AJ1139" s="232"/>
      <c r="AK1139" s="232"/>
      <c r="AL1139" s="232"/>
      <c r="AM1139" s="232"/>
      <c r="AN1139" s="232"/>
      <c r="AO1139" s="231"/>
      <c r="AP1139" s="231"/>
      <c r="AQ1139" s="227"/>
      <c r="AR1139" s="231"/>
      <c r="AS1139" s="227"/>
      <c r="AT1139" s="227"/>
      <c r="AU1139" s="227"/>
      <c r="AV1139" s="227"/>
    </row>
    <row r="1140">
      <c r="A1140" s="227"/>
      <c r="B1140" s="232"/>
      <c r="C1140" s="227"/>
      <c r="D1140" s="227"/>
      <c r="E1140" s="231"/>
      <c r="F1140" s="232"/>
      <c r="G1140" s="227"/>
      <c r="H1140" s="227"/>
      <c r="I1140" s="227"/>
      <c r="J1140" s="227"/>
      <c r="K1140" s="227"/>
      <c r="L1140" s="232"/>
      <c r="M1140" s="232"/>
      <c r="N1140" s="227"/>
      <c r="O1140" s="227"/>
      <c r="P1140" s="231"/>
      <c r="Q1140" s="227"/>
      <c r="R1140" s="231"/>
      <c r="S1140" s="231"/>
      <c r="T1140" s="231"/>
      <c r="U1140" s="231"/>
      <c r="V1140" s="231"/>
      <c r="W1140" s="231"/>
      <c r="X1140" s="227"/>
      <c r="Y1140" s="232"/>
      <c r="Z1140" s="232"/>
      <c r="AA1140" s="232"/>
      <c r="AB1140" s="232"/>
      <c r="AC1140" s="227"/>
      <c r="AD1140" s="227"/>
      <c r="AE1140" s="231"/>
      <c r="AF1140" s="227"/>
      <c r="AG1140" s="232"/>
      <c r="AH1140" s="232"/>
      <c r="AI1140" s="232"/>
      <c r="AJ1140" s="232"/>
      <c r="AK1140" s="232"/>
      <c r="AL1140" s="232"/>
      <c r="AM1140" s="232"/>
      <c r="AN1140" s="232"/>
      <c r="AO1140" s="231"/>
      <c r="AP1140" s="231"/>
      <c r="AQ1140" s="227"/>
      <c r="AR1140" s="231"/>
      <c r="AS1140" s="227"/>
      <c r="AT1140" s="227"/>
      <c r="AU1140" s="227"/>
      <c r="AV1140" s="227"/>
    </row>
    <row r="1141">
      <c r="A1141" s="227"/>
      <c r="B1141" s="232"/>
      <c r="C1141" s="227"/>
      <c r="D1141" s="227"/>
      <c r="E1141" s="231"/>
      <c r="F1141" s="232"/>
      <c r="G1141" s="227"/>
      <c r="H1141" s="227"/>
      <c r="I1141" s="227"/>
      <c r="J1141" s="227"/>
      <c r="K1141" s="227"/>
      <c r="L1141" s="232"/>
      <c r="M1141" s="232"/>
      <c r="N1141" s="227"/>
      <c r="O1141" s="227"/>
      <c r="P1141" s="231"/>
      <c r="Q1141" s="227"/>
      <c r="R1141" s="231"/>
      <c r="S1141" s="231"/>
      <c r="T1141" s="231"/>
      <c r="U1141" s="231"/>
      <c r="V1141" s="231"/>
      <c r="W1141" s="231"/>
      <c r="X1141" s="227"/>
      <c r="Y1141" s="232"/>
      <c r="Z1141" s="232"/>
      <c r="AA1141" s="232"/>
      <c r="AB1141" s="232"/>
      <c r="AC1141" s="227"/>
      <c r="AD1141" s="227"/>
      <c r="AE1141" s="231"/>
      <c r="AF1141" s="227"/>
      <c r="AG1141" s="232"/>
      <c r="AH1141" s="232"/>
      <c r="AI1141" s="232"/>
      <c r="AJ1141" s="232"/>
      <c r="AK1141" s="232"/>
      <c r="AL1141" s="232"/>
      <c r="AM1141" s="232"/>
      <c r="AN1141" s="232"/>
      <c r="AO1141" s="231"/>
      <c r="AP1141" s="231"/>
      <c r="AQ1141" s="227"/>
      <c r="AR1141" s="231"/>
      <c r="AS1141" s="227"/>
      <c r="AT1141" s="227"/>
      <c r="AU1141" s="227"/>
      <c r="AV1141" s="227"/>
    </row>
    <row r="1142">
      <c r="A1142" s="227"/>
      <c r="B1142" s="232"/>
      <c r="C1142" s="227"/>
      <c r="D1142" s="227"/>
      <c r="E1142" s="231"/>
      <c r="F1142" s="232"/>
      <c r="G1142" s="227"/>
      <c r="H1142" s="227"/>
      <c r="I1142" s="227"/>
      <c r="J1142" s="227"/>
      <c r="K1142" s="227"/>
      <c r="L1142" s="232"/>
      <c r="M1142" s="232"/>
      <c r="N1142" s="227"/>
      <c r="O1142" s="227"/>
      <c r="P1142" s="231"/>
      <c r="Q1142" s="227"/>
      <c r="R1142" s="231"/>
      <c r="S1142" s="231"/>
      <c r="T1142" s="231"/>
      <c r="U1142" s="231"/>
      <c r="V1142" s="231"/>
      <c r="W1142" s="231"/>
      <c r="X1142" s="227"/>
      <c r="Y1142" s="232"/>
      <c r="Z1142" s="232"/>
      <c r="AA1142" s="232"/>
      <c r="AB1142" s="232"/>
      <c r="AC1142" s="227"/>
      <c r="AD1142" s="227"/>
      <c r="AE1142" s="231"/>
      <c r="AF1142" s="227"/>
      <c r="AG1142" s="232"/>
      <c r="AH1142" s="232"/>
      <c r="AI1142" s="232"/>
      <c r="AJ1142" s="232"/>
      <c r="AK1142" s="232"/>
      <c r="AL1142" s="232"/>
      <c r="AM1142" s="232"/>
      <c r="AN1142" s="232"/>
      <c r="AO1142" s="231"/>
      <c r="AP1142" s="231"/>
      <c r="AQ1142" s="227"/>
      <c r="AR1142" s="231"/>
      <c r="AS1142" s="227"/>
      <c r="AT1142" s="227"/>
      <c r="AU1142" s="227"/>
      <c r="AV1142" s="227"/>
    </row>
    <row r="1143">
      <c r="A1143" s="227"/>
      <c r="B1143" s="232"/>
      <c r="C1143" s="227"/>
      <c r="D1143" s="227"/>
      <c r="E1143" s="231"/>
      <c r="F1143" s="232"/>
      <c r="G1143" s="227"/>
      <c r="H1143" s="227"/>
      <c r="I1143" s="227"/>
      <c r="J1143" s="227"/>
      <c r="K1143" s="227"/>
      <c r="L1143" s="232"/>
      <c r="M1143" s="232"/>
      <c r="N1143" s="227"/>
      <c r="O1143" s="227"/>
      <c r="P1143" s="231"/>
      <c r="Q1143" s="227"/>
      <c r="R1143" s="231"/>
      <c r="S1143" s="231"/>
      <c r="T1143" s="231"/>
      <c r="U1143" s="231"/>
      <c r="V1143" s="231"/>
      <c r="W1143" s="231"/>
      <c r="X1143" s="227"/>
      <c r="Y1143" s="232"/>
      <c r="Z1143" s="232"/>
      <c r="AA1143" s="232"/>
      <c r="AB1143" s="232"/>
      <c r="AC1143" s="227"/>
      <c r="AD1143" s="227"/>
      <c r="AE1143" s="231"/>
      <c r="AF1143" s="227"/>
      <c r="AG1143" s="232"/>
      <c r="AH1143" s="232"/>
      <c r="AI1143" s="232"/>
      <c r="AJ1143" s="232"/>
      <c r="AK1143" s="232"/>
      <c r="AL1143" s="232"/>
      <c r="AM1143" s="232"/>
      <c r="AN1143" s="232"/>
      <c r="AO1143" s="231"/>
      <c r="AP1143" s="231"/>
      <c r="AQ1143" s="227"/>
      <c r="AR1143" s="231"/>
      <c r="AS1143" s="227"/>
      <c r="AT1143" s="227"/>
      <c r="AU1143" s="227"/>
      <c r="AV1143" s="227"/>
    </row>
    <row r="1144">
      <c r="A1144" s="227"/>
      <c r="B1144" s="232"/>
      <c r="C1144" s="227"/>
      <c r="D1144" s="227"/>
      <c r="E1144" s="231"/>
      <c r="F1144" s="232"/>
      <c r="G1144" s="227"/>
      <c r="H1144" s="227"/>
      <c r="I1144" s="227"/>
      <c r="J1144" s="227"/>
      <c r="K1144" s="227"/>
      <c r="L1144" s="232"/>
      <c r="M1144" s="232"/>
      <c r="N1144" s="227"/>
      <c r="O1144" s="227"/>
      <c r="P1144" s="231"/>
      <c r="Q1144" s="227"/>
      <c r="R1144" s="231"/>
      <c r="S1144" s="231"/>
      <c r="T1144" s="231"/>
      <c r="U1144" s="231"/>
      <c r="V1144" s="231"/>
      <c r="W1144" s="231"/>
      <c r="X1144" s="227"/>
      <c r="Y1144" s="232"/>
      <c r="Z1144" s="232"/>
      <c r="AA1144" s="232"/>
      <c r="AB1144" s="232"/>
      <c r="AC1144" s="227"/>
      <c r="AD1144" s="227"/>
      <c r="AE1144" s="231"/>
      <c r="AF1144" s="227"/>
      <c r="AG1144" s="232"/>
      <c r="AH1144" s="232"/>
      <c r="AI1144" s="232"/>
      <c r="AJ1144" s="232"/>
      <c r="AK1144" s="232"/>
      <c r="AL1144" s="232"/>
      <c r="AM1144" s="232"/>
      <c r="AN1144" s="232"/>
      <c r="AO1144" s="231"/>
      <c r="AP1144" s="231"/>
      <c r="AQ1144" s="227"/>
      <c r="AR1144" s="231"/>
      <c r="AS1144" s="227"/>
      <c r="AT1144" s="227"/>
      <c r="AU1144" s="227"/>
      <c r="AV1144" s="227"/>
    </row>
    <row r="1145">
      <c r="A1145" s="227"/>
      <c r="B1145" s="232"/>
      <c r="C1145" s="227"/>
      <c r="D1145" s="227"/>
      <c r="E1145" s="231"/>
      <c r="F1145" s="232"/>
      <c r="G1145" s="227"/>
      <c r="H1145" s="227"/>
      <c r="I1145" s="227"/>
      <c r="J1145" s="227"/>
      <c r="K1145" s="227"/>
      <c r="L1145" s="232"/>
      <c r="M1145" s="232"/>
      <c r="N1145" s="227"/>
      <c r="O1145" s="227"/>
      <c r="P1145" s="231"/>
      <c r="Q1145" s="227"/>
      <c r="R1145" s="231"/>
      <c r="S1145" s="231"/>
      <c r="T1145" s="231"/>
      <c r="U1145" s="231"/>
      <c r="V1145" s="231"/>
      <c r="W1145" s="231"/>
      <c r="X1145" s="227"/>
      <c r="Y1145" s="232"/>
      <c r="Z1145" s="232"/>
      <c r="AA1145" s="232"/>
      <c r="AB1145" s="232"/>
      <c r="AC1145" s="227"/>
      <c r="AD1145" s="227"/>
      <c r="AE1145" s="231"/>
      <c r="AF1145" s="227"/>
      <c r="AG1145" s="232"/>
      <c r="AH1145" s="232"/>
      <c r="AI1145" s="232"/>
      <c r="AJ1145" s="232"/>
      <c r="AK1145" s="232"/>
      <c r="AL1145" s="232"/>
      <c r="AM1145" s="232"/>
      <c r="AN1145" s="232"/>
      <c r="AO1145" s="231"/>
      <c r="AP1145" s="231"/>
      <c r="AQ1145" s="227"/>
      <c r="AR1145" s="231"/>
      <c r="AS1145" s="227"/>
      <c r="AT1145" s="227"/>
      <c r="AU1145" s="227"/>
      <c r="AV1145" s="227"/>
    </row>
    <row r="1146">
      <c r="A1146" s="227"/>
      <c r="B1146" s="232"/>
      <c r="C1146" s="227"/>
      <c r="D1146" s="227"/>
      <c r="E1146" s="231"/>
      <c r="F1146" s="232"/>
      <c r="G1146" s="227"/>
      <c r="H1146" s="227"/>
      <c r="I1146" s="227"/>
      <c r="J1146" s="227"/>
      <c r="K1146" s="227"/>
      <c r="L1146" s="232"/>
      <c r="M1146" s="232"/>
      <c r="N1146" s="227"/>
      <c r="O1146" s="227"/>
      <c r="P1146" s="231"/>
      <c r="Q1146" s="227"/>
      <c r="R1146" s="231"/>
      <c r="S1146" s="231"/>
      <c r="T1146" s="231"/>
      <c r="U1146" s="231"/>
      <c r="V1146" s="231"/>
      <c r="W1146" s="231"/>
      <c r="X1146" s="227"/>
      <c r="Y1146" s="232"/>
      <c r="Z1146" s="232"/>
      <c r="AA1146" s="232"/>
      <c r="AB1146" s="232"/>
      <c r="AC1146" s="227"/>
      <c r="AD1146" s="227"/>
      <c r="AE1146" s="231"/>
      <c r="AF1146" s="227"/>
      <c r="AG1146" s="232"/>
      <c r="AH1146" s="232"/>
      <c r="AI1146" s="232"/>
      <c r="AJ1146" s="232"/>
      <c r="AK1146" s="232"/>
      <c r="AL1146" s="232"/>
      <c r="AM1146" s="232"/>
      <c r="AN1146" s="232"/>
      <c r="AO1146" s="231"/>
      <c r="AP1146" s="231"/>
      <c r="AQ1146" s="227"/>
      <c r="AR1146" s="231"/>
      <c r="AS1146" s="227"/>
      <c r="AT1146" s="227"/>
      <c r="AU1146" s="227"/>
      <c r="AV1146" s="227"/>
    </row>
    <row r="1147">
      <c r="A1147" s="227"/>
      <c r="B1147" s="232"/>
      <c r="C1147" s="227"/>
      <c r="D1147" s="227"/>
      <c r="E1147" s="231"/>
      <c r="F1147" s="232"/>
      <c r="G1147" s="227"/>
      <c r="H1147" s="227"/>
      <c r="I1147" s="227"/>
      <c r="J1147" s="227"/>
      <c r="K1147" s="227"/>
      <c r="L1147" s="232"/>
      <c r="M1147" s="232"/>
      <c r="N1147" s="227"/>
      <c r="O1147" s="227"/>
      <c r="P1147" s="231"/>
      <c r="Q1147" s="227"/>
      <c r="R1147" s="231"/>
      <c r="S1147" s="231"/>
      <c r="T1147" s="231"/>
      <c r="U1147" s="231"/>
      <c r="V1147" s="231"/>
      <c r="W1147" s="231"/>
      <c r="X1147" s="227"/>
      <c r="Y1147" s="232"/>
      <c r="Z1147" s="232"/>
      <c r="AA1147" s="232"/>
      <c r="AB1147" s="232"/>
      <c r="AC1147" s="227"/>
      <c r="AD1147" s="227"/>
      <c r="AE1147" s="231"/>
      <c r="AF1147" s="227"/>
      <c r="AG1147" s="232"/>
      <c r="AH1147" s="232"/>
      <c r="AI1147" s="232"/>
      <c r="AJ1147" s="232"/>
      <c r="AK1147" s="232"/>
      <c r="AL1147" s="232"/>
      <c r="AM1147" s="232"/>
      <c r="AN1147" s="232"/>
      <c r="AO1147" s="231"/>
      <c r="AP1147" s="231"/>
      <c r="AQ1147" s="227"/>
      <c r="AR1147" s="231"/>
      <c r="AS1147" s="227"/>
      <c r="AT1147" s="227"/>
      <c r="AU1147" s="227"/>
      <c r="AV1147" s="227"/>
    </row>
    <row r="1148">
      <c r="A1148" s="227"/>
      <c r="B1148" s="232"/>
      <c r="C1148" s="227"/>
      <c r="D1148" s="227"/>
      <c r="E1148" s="231"/>
      <c r="F1148" s="232"/>
      <c r="G1148" s="227"/>
      <c r="H1148" s="227"/>
      <c r="I1148" s="227"/>
      <c r="J1148" s="227"/>
      <c r="K1148" s="227"/>
      <c r="L1148" s="232"/>
      <c r="M1148" s="232"/>
      <c r="N1148" s="227"/>
      <c r="O1148" s="227"/>
      <c r="P1148" s="231"/>
      <c r="Q1148" s="227"/>
      <c r="R1148" s="231"/>
      <c r="S1148" s="231"/>
      <c r="T1148" s="231"/>
      <c r="U1148" s="231"/>
      <c r="V1148" s="231"/>
      <c r="W1148" s="231"/>
      <c r="X1148" s="227"/>
      <c r="Y1148" s="232"/>
      <c r="Z1148" s="232"/>
      <c r="AA1148" s="232"/>
      <c r="AB1148" s="232"/>
      <c r="AC1148" s="227"/>
      <c r="AD1148" s="227"/>
      <c r="AE1148" s="231"/>
      <c r="AF1148" s="227"/>
      <c r="AG1148" s="232"/>
      <c r="AH1148" s="232"/>
      <c r="AI1148" s="232"/>
      <c r="AJ1148" s="232"/>
      <c r="AK1148" s="232"/>
      <c r="AL1148" s="232"/>
      <c r="AM1148" s="232"/>
      <c r="AN1148" s="232"/>
      <c r="AO1148" s="231"/>
      <c r="AP1148" s="231"/>
      <c r="AQ1148" s="227"/>
      <c r="AR1148" s="231"/>
      <c r="AS1148" s="227"/>
      <c r="AT1148" s="227"/>
      <c r="AU1148" s="227"/>
      <c r="AV1148" s="227"/>
    </row>
    <row r="1149">
      <c r="A1149" s="227"/>
      <c r="B1149" s="232"/>
      <c r="C1149" s="227"/>
      <c r="D1149" s="227"/>
      <c r="E1149" s="231"/>
      <c r="F1149" s="232"/>
      <c r="G1149" s="227"/>
      <c r="H1149" s="227"/>
      <c r="I1149" s="227"/>
      <c r="J1149" s="227"/>
      <c r="K1149" s="227"/>
      <c r="L1149" s="232"/>
      <c r="M1149" s="232"/>
      <c r="N1149" s="227"/>
      <c r="O1149" s="227"/>
      <c r="P1149" s="231"/>
      <c r="Q1149" s="227"/>
      <c r="R1149" s="231"/>
      <c r="S1149" s="231"/>
      <c r="T1149" s="231"/>
      <c r="U1149" s="231"/>
      <c r="V1149" s="231"/>
      <c r="W1149" s="231"/>
      <c r="X1149" s="227"/>
      <c r="Y1149" s="232"/>
      <c r="Z1149" s="232"/>
      <c r="AA1149" s="232"/>
      <c r="AB1149" s="232"/>
      <c r="AC1149" s="227"/>
      <c r="AD1149" s="227"/>
      <c r="AE1149" s="231"/>
      <c r="AF1149" s="227"/>
      <c r="AG1149" s="232"/>
      <c r="AH1149" s="232"/>
      <c r="AI1149" s="232"/>
      <c r="AJ1149" s="232"/>
      <c r="AK1149" s="232"/>
      <c r="AL1149" s="232"/>
      <c r="AM1149" s="232"/>
      <c r="AN1149" s="232"/>
      <c r="AO1149" s="231"/>
      <c r="AP1149" s="231"/>
      <c r="AQ1149" s="227"/>
      <c r="AR1149" s="231"/>
      <c r="AS1149" s="227"/>
      <c r="AT1149" s="227"/>
      <c r="AU1149" s="227"/>
      <c r="AV1149" s="227"/>
    </row>
    <row r="1150">
      <c r="A1150" s="227"/>
      <c r="B1150" s="232"/>
      <c r="C1150" s="227"/>
      <c r="D1150" s="227"/>
      <c r="E1150" s="231"/>
      <c r="F1150" s="232"/>
      <c r="G1150" s="227"/>
      <c r="H1150" s="227"/>
      <c r="I1150" s="227"/>
      <c r="J1150" s="227"/>
      <c r="K1150" s="227"/>
      <c r="L1150" s="232"/>
      <c r="M1150" s="232"/>
      <c r="N1150" s="227"/>
      <c r="O1150" s="227"/>
      <c r="P1150" s="231"/>
      <c r="Q1150" s="227"/>
      <c r="R1150" s="231"/>
      <c r="S1150" s="231"/>
      <c r="T1150" s="231"/>
      <c r="U1150" s="231"/>
      <c r="V1150" s="231"/>
      <c r="W1150" s="231"/>
      <c r="X1150" s="227"/>
      <c r="Y1150" s="232"/>
      <c r="Z1150" s="232"/>
      <c r="AA1150" s="232"/>
      <c r="AB1150" s="232"/>
      <c r="AC1150" s="227"/>
      <c r="AD1150" s="227"/>
      <c r="AE1150" s="231"/>
      <c r="AF1150" s="227"/>
      <c r="AG1150" s="232"/>
      <c r="AH1150" s="232"/>
      <c r="AI1150" s="232"/>
      <c r="AJ1150" s="232"/>
      <c r="AK1150" s="232"/>
      <c r="AL1150" s="232"/>
      <c r="AM1150" s="232"/>
      <c r="AN1150" s="232"/>
      <c r="AO1150" s="231"/>
      <c r="AP1150" s="231"/>
      <c r="AQ1150" s="227"/>
      <c r="AR1150" s="231"/>
      <c r="AS1150" s="227"/>
      <c r="AT1150" s="227"/>
      <c r="AU1150" s="227"/>
      <c r="AV1150" s="227"/>
    </row>
    <row r="1151">
      <c r="A1151" s="227"/>
      <c r="B1151" s="232"/>
      <c r="C1151" s="227"/>
      <c r="D1151" s="227"/>
      <c r="E1151" s="231"/>
      <c r="F1151" s="232"/>
      <c r="G1151" s="227"/>
      <c r="H1151" s="227"/>
      <c r="I1151" s="227"/>
      <c r="J1151" s="227"/>
      <c r="K1151" s="227"/>
      <c r="L1151" s="232"/>
      <c r="M1151" s="232"/>
      <c r="N1151" s="227"/>
      <c r="O1151" s="227"/>
      <c r="P1151" s="231"/>
      <c r="Q1151" s="227"/>
      <c r="R1151" s="231"/>
      <c r="S1151" s="231"/>
      <c r="T1151" s="231"/>
      <c r="U1151" s="231"/>
      <c r="V1151" s="231"/>
      <c r="W1151" s="231"/>
      <c r="X1151" s="227"/>
      <c r="Y1151" s="232"/>
      <c r="Z1151" s="232"/>
      <c r="AA1151" s="232"/>
      <c r="AB1151" s="232"/>
      <c r="AC1151" s="227"/>
      <c r="AD1151" s="227"/>
      <c r="AE1151" s="231"/>
      <c r="AF1151" s="227"/>
      <c r="AG1151" s="232"/>
      <c r="AH1151" s="232"/>
      <c r="AI1151" s="232"/>
      <c r="AJ1151" s="232"/>
      <c r="AK1151" s="232"/>
      <c r="AL1151" s="232"/>
      <c r="AM1151" s="232"/>
      <c r="AN1151" s="232"/>
      <c r="AO1151" s="231"/>
      <c r="AP1151" s="231"/>
      <c r="AQ1151" s="227"/>
      <c r="AR1151" s="231"/>
      <c r="AS1151" s="227"/>
      <c r="AT1151" s="227"/>
      <c r="AU1151" s="227"/>
      <c r="AV1151" s="227"/>
    </row>
    <row r="1152">
      <c r="A1152" s="227"/>
      <c r="B1152" s="232"/>
      <c r="C1152" s="227"/>
      <c r="D1152" s="227"/>
      <c r="E1152" s="231"/>
      <c r="F1152" s="232"/>
      <c r="G1152" s="227"/>
      <c r="H1152" s="227"/>
      <c r="I1152" s="227"/>
      <c r="J1152" s="227"/>
      <c r="K1152" s="227"/>
      <c r="L1152" s="232"/>
      <c r="M1152" s="232"/>
      <c r="N1152" s="227"/>
      <c r="O1152" s="227"/>
      <c r="P1152" s="231"/>
      <c r="Q1152" s="227"/>
      <c r="R1152" s="231"/>
      <c r="S1152" s="231"/>
      <c r="T1152" s="231"/>
      <c r="U1152" s="231"/>
      <c r="V1152" s="231"/>
      <c r="W1152" s="231"/>
      <c r="X1152" s="227"/>
      <c r="Y1152" s="232"/>
      <c r="Z1152" s="232"/>
      <c r="AA1152" s="232"/>
      <c r="AB1152" s="232"/>
      <c r="AC1152" s="227"/>
      <c r="AD1152" s="227"/>
      <c r="AE1152" s="231"/>
      <c r="AF1152" s="227"/>
      <c r="AG1152" s="232"/>
      <c r="AH1152" s="232"/>
      <c r="AI1152" s="232"/>
      <c r="AJ1152" s="232"/>
      <c r="AK1152" s="232"/>
      <c r="AL1152" s="232"/>
      <c r="AM1152" s="232"/>
      <c r="AN1152" s="232"/>
      <c r="AO1152" s="231"/>
      <c r="AP1152" s="231"/>
      <c r="AQ1152" s="227"/>
      <c r="AR1152" s="231"/>
      <c r="AS1152" s="227"/>
      <c r="AT1152" s="227"/>
      <c r="AU1152" s="227"/>
      <c r="AV1152" s="227"/>
    </row>
    <row r="1153">
      <c r="A1153" s="227"/>
      <c r="B1153" s="232"/>
      <c r="C1153" s="227"/>
      <c r="D1153" s="227"/>
      <c r="E1153" s="231"/>
      <c r="F1153" s="232"/>
      <c r="G1153" s="227"/>
      <c r="H1153" s="227"/>
      <c r="I1153" s="227"/>
      <c r="J1153" s="227"/>
      <c r="K1153" s="227"/>
      <c r="L1153" s="232"/>
      <c r="M1153" s="232"/>
      <c r="N1153" s="227"/>
      <c r="O1153" s="227"/>
      <c r="P1153" s="231"/>
      <c r="Q1153" s="227"/>
      <c r="R1153" s="231"/>
      <c r="S1153" s="231"/>
      <c r="T1153" s="231"/>
      <c r="U1153" s="231"/>
      <c r="V1153" s="231"/>
      <c r="W1153" s="231"/>
      <c r="X1153" s="227"/>
      <c r="Y1153" s="232"/>
      <c r="Z1153" s="232"/>
      <c r="AA1153" s="232"/>
      <c r="AB1153" s="232"/>
      <c r="AC1153" s="227"/>
      <c r="AD1153" s="227"/>
      <c r="AE1153" s="231"/>
      <c r="AF1153" s="227"/>
      <c r="AG1153" s="232"/>
      <c r="AH1153" s="232"/>
      <c r="AI1153" s="232"/>
      <c r="AJ1153" s="232"/>
      <c r="AK1153" s="232"/>
      <c r="AL1153" s="232"/>
      <c r="AM1153" s="232"/>
      <c r="AN1153" s="232"/>
      <c r="AO1153" s="231"/>
      <c r="AP1153" s="231"/>
      <c r="AQ1153" s="227"/>
      <c r="AR1153" s="231"/>
      <c r="AS1153" s="227"/>
      <c r="AT1153" s="227"/>
      <c r="AU1153" s="227"/>
      <c r="AV1153" s="227"/>
    </row>
    <row r="1154">
      <c r="A1154" s="227"/>
      <c r="B1154" s="232"/>
      <c r="C1154" s="227"/>
      <c r="D1154" s="227"/>
      <c r="E1154" s="231"/>
      <c r="F1154" s="232"/>
      <c r="G1154" s="227"/>
      <c r="H1154" s="227"/>
      <c r="I1154" s="227"/>
      <c r="J1154" s="227"/>
      <c r="K1154" s="227"/>
      <c r="L1154" s="232"/>
      <c r="M1154" s="232"/>
      <c r="N1154" s="227"/>
      <c r="O1154" s="227"/>
      <c r="P1154" s="231"/>
      <c r="Q1154" s="227"/>
      <c r="R1154" s="231"/>
      <c r="S1154" s="231"/>
      <c r="T1154" s="231"/>
      <c r="U1154" s="231"/>
      <c r="V1154" s="231"/>
      <c r="W1154" s="231"/>
      <c r="X1154" s="227"/>
      <c r="Y1154" s="232"/>
      <c r="Z1154" s="232"/>
      <c r="AA1154" s="232"/>
      <c r="AB1154" s="232"/>
      <c r="AC1154" s="227"/>
      <c r="AD1154" s="227"/>
      <c r="AE1154" s="231"/>
      <c r="AF1154" s="227"/>
      <c r="AG1154" s="232"/>
      <c r="AH1154" s="232"/>
      <c r="AI1154" s="232"/>
      <c r="AJ1154" s="232"/>
      <c r="AK1154" s="232"/>
      <c r="AL1154" s="232"/>
      <c r="AM1154" s="232"/>
      <c r="AN1154" s="232"/>
      <c r="AO1154" s="231"/>
      <c r="AP1154" s="231"/>
      <c r="AQ1154" s="227"/>
      <c r="AR1154" s="231"/>
      <c r="AS1154" s="227"/>
      <c r="AT1154" s="227"/>
      <c r="AU1154" s="227"/>
      <c r="AV1154" s="227"/>
    </row>
    <row r="1155">
      <c r="A1155" s="227"/>
      <c r="B1155" s="232"/>
      <c r="C1155" s="227"/>
      <c r="D1155" s="227"/>
      <c r="E1155" s="231"/>
      <c r="F1155" s="232"/>
      <c r="G1155" s="227"/>
      <c r="H1155" s="227"/>
      <c r="I1155" s="227"/>
      <c r="J1155" s="227"/>
      <c r="K1155" s="227"/>
      <c r="L1155" s="232"/>
      <c r="M1155" s="232"/>
      <c r="N1155" s="227"/>
      <c r="O1155" s="227"/>
      <c r="P1155" s="231"/>
      <c r="Q1155" s="227"/>
      <c r="R1155" s="231"/>
      <c r="S1155" s="231"/>
      <c r="T1155" s="231"/>
      <c r="U1155" s="231"/>
      <c r="V1155" s="231"/>
      <c r="W1155" s="231"/>
      <c r="X1155" s="227"/>
      <c r="Y1155" s="232"/>
      <c r="Z1155" s="232"/>
      <c r="AA1155" s="232"/>
      <c r="AB1155" s="232"/>
      <c r="AC1155" s="227"/>
      <c r="AD1155" s="227"/>
      <c r="AE1155" s="231"/>
      <c r="AF1155" s="227"/>
      <c r="AG1155" s="232"/>
      <c r="AH1155" s="232"/>
      <c r="AI1155" s="232"/>
      <c r="AJ1155" s="232"/>
      <c r="AK1155" s="232"/>
      <c r="AL1155" s="232"/>
      <c r="AM1155" s="232"/>
      <c r="AN1155" s="232"/>
      <c r="AO1155" s="231"/>
      <c r="AP1155" s="231"/>
      <c r="AQ1155" s="227"/>
      <c r="AR1155" s="231"/>
      <c r="AS1155" s="227"/>
      <c r="AT1155" s="227"/>
      <c r="AU1155" s="227"/>
      <c r="AV1155" s="227"/>
    </row>
    <row r="1156">
      <c r="A1156" s="227"/>
      <c r="B1156" s="232"/>
      <c r="C1156" s="227"/>
      <c r="D1156" s="227"/>
      <c r="E1156" s="231"/>
      <c r="F1156" s="232"/>
      <c r="G1156" s="227"/>
      <c r="H1156" s="227"/>
      <c r="I1156" s="227"/>
      <c r="J1156" s="227"/>
      <c r="K1156" s="227"/>
      <c r="L1156" s="232"/>
      <c r="M1156" s="232"/>
      <c r="N1156" s="227"/>
      <c r="O1156" s="227"/>
      <c r="P1156" s="231"/>
      <c r="Q1156" s="227"/>
      <c r="R1156" s="231"/>
      <c r="S1156" s="231"/>
      <c r="T1156" s="231"/>
      <c r="U1156" s="231"/>
      <c r="V1156" s="231"/>
      <c r="W1156" s="231"/>
      <c r="X1156" s="227"/>
      <c r="Y1156" s="232"/>
      <c r="Z1156" s="232"/>
      <c r="AA1156" s="232"/>
      <c r="AB1156" s="232"/>
      <c r="AC1156" s="227"/>
      <c r="AD1156" s="227"/>
      <c r="AE1156" s="231"/>
      <c r="AF1156" s="227"/>
      <c r="AG1156" s="232"/>
      <c r="AH1156" s="232"/>
      <c r="AI1156" s="232"/>
      <c r="AJ1156" s="232"/>
      <c r="AK1156" s="232"/>
      <c r="AL1156" s="232"/>
      <c r="AM1156" s="232"/>
      <c r="AN1156" s="232"/>
      <c r="AO1156" s="231"/>
      <c r="AP1156" s="231"/>
      <c r="AQ1156" s="227"/>
      <c r="AR1156" s="231"/>
      <c r="AS1156" s="227"/>
      <c r="AT1156" s="227"/>
      <c r="AU1156" s="227"/>
      <c r="AV1156" s="227"/>
    </row>
    <row r="1157">
      <c r="A1157" s="227"/>
      <c r="B1157" s="232"/>
      <c r="C1157" s="227"/>
      <c r="D1157" s="227"/>
      <c r="E1157" s="231"/>
      <c r="F1157" s="232"/>
      <c r="G1157" s="227"/>
      <c r="H1157" s="227"/>
      <c r="I1157" s="227"/>
      <c r="J1157" s="227"/>
      <c r="K1157" s="227"/>
      <c r="L1157" s="232"/>
      <c r="M1157" s="232"/>
      <c r="N1157" s="227"/>
      <c r="O1157" s="227"/>
      <c r="P1157" s="231"/>
      <c r="Q1157" s="227"/>
      <c r="R1157" s="231"/>
      <c r="S1157" s="231"/>
      <c r="T1157" s="231"/>
      <c r="U1157" s="231"/>
      <c r="V1157" s="231"/>
      <c r="W1157" s="231"/>
      <c r="X1157" s="227"/>
      <c r="Y1157" s="232"/>
      <c r="Z1157" s="232"/>
      <c r="AA1157" s="232"/>
      <c r="AB1157" s="232"/>
      <c r="AC1157" s="227"/>
      <c r="AD1157" s="227"/>
      <c r="AE1157" s="231"/>
      <c r="AF1157" s="227"/>
      <c r="AG1157" s="232"/>
      <c r="AH1157" s="232"/>
      <c r="AI1157" s="232"/>
      <c r="AJ1157" s="232"/>
      <c r="AK1157" s="232"/>
      <c r="AL1157" s="232"/>
      <c r="AM1157" s="232"/>
      <c r="AN1157" s="232"/>
      <c r="AO1157" s="231"/>
      <c r="AP1157" s="231"/>
      <c r="AQ1157" s="227"/>
      <c r="AR1157" s="231"/>
      <c r="AS1157" s="227"/>
      <c r="AT1157" s="227"/>
      <c r="AU1157" s="227"/>
      <c r="AV1157" s="227"/>
    </row>
    <row r="1158">
      <c r="A1158" s="227"/>
      <c r="B1158" s="232"/>
      <c r="C1158" s="227"/>
      <c r="D1158" s="227"/>
      <c r="E1158" s="231"/>
      <c r="F1158" s="232"/>
      <c r="G1158" s="227"/>
      <c r="H1158" s="227"/>
      <c r="I1158" s="227"/>
      <c r="J1158" s="227"/>
      <c r="K1158" s="227"/>
      <c r="L1158" s="232"/>
      <c r="M1158" s="232"/>
      <c r="N1158" s="227"/>
      <c r="O1158" s="227"/>
      <c r="P1158" s="231"/>
      <c r="Q1158" s="227"/>
      <c r="R1158" s="231"/>
      <c r="S1158" s="231"/>
      <c r="T1158" s="231"/>
      <c r="U1158" s="231"/>
      <c r="V1158" s="231"/>
      <c r="W1158" s="231"/>
      <c r="X1158" s="227"/>
      <c r="Y1158" s="232"/>
      <c r="Z1158" s="232"/>
      <c r="AA1158" s="232"/>
      <c r="AB1158" s="232"/>
      <c r="AC1158" s="227"/>
      <c r="AD1158" s="227"/>
      <c r="AE1158" s="231"/>
      <c r="AF1158" s="227"/>
      <c r="AG1158" s="232"/>
      <c r="AH1158" s="232"/>
      <c r="AI1158" s="232"/>
      <c r="AJ1158" s="232"/>
      <c r="AK1158" s="232"/>
      <c r="AL1158" s="232"/>
      <c r="AM1158" s="232"/>
      <c r="AN1158" s="232"/>
      <c r="AO1158" s="231"/>
      <c r="AP1158" s="231"/>
      <c r="AQ1158" s="227"/>
      <c r="AR1158" s="231"/>
      <c r="AS1158" s="227"/>
      <c r="AT1158" s="227"/>
      <c r="AU1158" s="227"/>
      <c r="AV1158" s="227"/>
    </row>
    <row r="1159">
      <c r="A1159" s="227"/>
      <c r="B1159" s="232"/>
      <c r="C1159" s="227"/>
      <c r="D1159" s="227"/>
      <c r="E1159" s="231"/>
      <c r="F1159" s="232"/>
      <c r="G1159" s="227"/>
      <c r="H1159" s="227"/>
      <c r="I1159" s="227"/>
      <c r="J1159" s="227"/>
      <c r="K1159" s="227"/>
      <c r="L1159" s="232"/>
      <c r="M1159" s="232"/>
      <c r="N1159" s="227"/>
      <c r="O1159" s="227"/>
      <c r="P1159" s="231"/>
      <c r="Q1159" s="227"/>
      <c r="R1159" s="231"/>
      <c r="S1159" s="231"/>
      <c r="T1159" s="231"/>
      <c r="U1159" s="231"/>
      <c r="V1159" s="231"/>
      <c r="W1159" s="231"/>
      <c r="X1159" s="227"/>
      <c r="Y1159" s="232"/>
      <c r="Z1159" s="232"/>
      <c r="AA1159" s="232"/>
      <c r="AB1159" s="232"/>
      <c r="AC1159" s="227"/>
      <c r="AD1159" s="227"/>
      <c r="AE1159" s="231"/>
      <c r="AF1159" s="227"/>
      <c r="AG1159" s="232"/>
      <c r="AH1159" s="232"/>
      <c r="AI1159" s="232"/>
      <c r="AJ1159" s="232"/>
      <c r="AK1159" s="232"/>
      <c r="AL1159" s="232"/>
      <c r="AM1159" s="232"/>
      <c r="AN1159" s="232"/>
      <c r="AO1159" s="231"/>
      <c r="AP1159" s="231"/>
      <c r="AQ1159" s="227"/>
      <c r="AR1159" s="231"/>
      <c r="AS1159" s="227"/>
      <c r="AT1159" s="227"/>
      <c r="AU1159" s="227"/>
      <c r="AV1159" s="227"/>
    </row>
    <row r="1160">
      <c r="A1160" s="227"/>
      <c r="B1160" s="232"/>
      <c r="C1160" s="227"/>
      <c r="D1160" s="227"/>
      <c r="E1160" s="231"/>
      <c r="F1160" s="232"/>
      <c r="G1160" s="227"/>
      <c r="H1160" s="227"/>
      <c r="I1160" s="227"/>
      <c r="J1160" s="227"/>
      <c r="K1160" s="227"/>
      <c r="L1160" s="232"/>
      <c r="M1160" s="232"/>
      <c r="N1160" s="227"/>
      <c r="O1160" s="227"/>
      <c r="P1160" s="231"/>
      <c r="Q1160" s="227"/>
      <c r="R1160" s="231"/>
      <c r="S1160" s="231"/>
      <c r="T1160" s="231"/>
      <c r="U1160" s="231"/>
      <c r="V1160" s="231"/>
      <c r="W1160" s="231"/>
      <c r="X1160" s="227"/>
      <c r="Y1160" s="232"/>
      <c r="Z1160" s="232"/>
      <c r="AA1160" s="232"/>
      <c r="AB1160" s="232"/>
      <c r="AC1160" s="227"/>
      <c r="AD1160" s="227"/>
      <c r="AE1160" s="231"/>
      <c r="AF1160" s="227"/>
      <c r="AG1160" s="232"/>
      <c r="AH1160" s="232"/>
      <c r="AI1160" s="232"/>
      <c r="AJ1160" s="232"/>
      <c r="AK1160" s="232"/>
      <c r="AL1160" s="232"/>
      <c r="AM1160" s="232"/>
      <c r="AN1160" s="232"/>
      <c r="AO1160" s="231"/>
      <c r="AP1160" s="231"/>
      <c r="AQ1160" s="227"/>
      <c r="AR1160" s="231"/>
      <c r="AS1160" s="227"/>
      <c r="AT1160" s="227"/>
      <c r="AU1160" s="227"/>
      <c r="AV1160" s="227"/>
    </row>
    <row r="1161">
      <c r="A1161" s="227"/>
      <c r="B1161" s="232"/>
      <c r="C1161" s="227"/>
      <c r="D1161" s="227"/>
      <c r="E1161" s="231"/>
      <c r="F1161" s="232"/>
      <c r="G1161" s="227"/>
      <c r="H1161" s="227"/>
      <c r="I1161" s="227"/>
      <c r="J1161" s="227"/>
      <c r="K1161" s="227"/>
      <c r="L1161" s="232"/>
      <c r="M1161" s="232"/>
      <c r="N1161" s="227"/>
      <c r="O1161" s="227"/>
      <c r="P1161" s="231"/>
      <c r="Q1161" s="227"/>
      <c r="R1161" s="231"/>
      <c r="S1161" s="231"/>
      <c r="T1161" s="231"/>
      <c r="U1161" s="231"/>
      <c r="V1161" s="231"/>
      <c r="W1161" s="231"/>
      <c r="X1161" s="227"/>
      <c r="Y1161" s="232"/>
      <c r="Z1161" s="232"/>
      <c r="AA1161" s="232"/>
      <c r="AB1161" s="232"/>
      <c r="AC1161" s="227"/>
      <c r="AD1161" s="227"/>
      <c r="AE1161" s="231"/>
      <c r="AF1161" s="227"/>
      <c r="AG1161" s="232"/>
      <c r="AH1161" s="232"/>
      <c r="AI1161" s="232"/>
      <c r="AJ1161" s="232"/>
      <c r="AK1161" s="232"/>
      <c r="AL1161" s="232"/>
      <c r="AM1161" s="232"/>
      <c r="AN1161" s="232"/>
      <c r="AO1161" s="231"/>
      <c r="AP1161" s="231"/>
      <c r="AQ1161" s="227"/>
      <c r="AR1161" s="231"/>
      <c r="AS1161" s="227"/>
      <c r="AT1161" s="227"/>
      <c r="AU1161" s="227"/>
      <c r="AV1161" s="227"/>
    </row>
    <row r="1162">
      <c r="A1162" s="227"/>
      <c r="B1162" s="232"/>
      <c r="C1162" s="227"/>
      <c r="D1162" s="227"/>
      <c r="E1162" s="231"/>
      <c r="F1162" s="232"/>
      <c r="G1162" s="227"/>
      <c r="H1162" s="227"/>
      <c r="I1162" s="227"/>
      <c r="J1162" s="227"/>
      <c r="K1162" s="227"/>
      <c r="L1162" s="232"/>
      <c r="M1162" s="232"/>
      <c r="N1162" s="227"/>
      <c r="O1162" s="227"/>
      <c r="P1162" s="231"/>
      <c r="Q1162" s="227"/>
      <c r="R1162" s="231"/>
      <c r="S1162" s="231"/>
      <c r="T1162" s="231"/>
      <c r="U1162" s="231"/>
      <c r="V1162" s="231"/>
      <c r="W1162" s="231"/>
      <c r="X1162" s="227"/>
      <c r="Y1162" s="232"/>
      <c r="Z1162" s="232"/>
      <c r="AA1162" s="232"/>
      <c r="AB1162" s="232"/>
      <c r="AC1162" s="227"/>
      <c r="AD1162" s="227"/>
      <c r="AE1162" s="231"/>
      <c r="AF1162" s="227"/>
      <c r="AG1162" s="232"/>
      <c r="AH1162" s="232"/>
      <c r="AI1162" s="232"/>
      <c r="AJ1162" s="232"/>
      <c r="AK1162" s="232"/>
      <c r="AL1162" s="232"/>
      <c r="AM1162" s="232"/>
      <c r="AN1162" s="232"/>
      <c r="AO1162" s="231"/>
      <c r="AP1162" s="231"/>
      <c r="AQ1162" s="227"/>
      <c r="AR1162" s="231"/>
      <c r="AS1162" s="227"/>
      <c r="AT1162" s="227"/>
      <c r="AU1162" s="227"/>
      <c r="AV1162" s="227"/>
    </row>
    <row r="1163">
      <c r="A1163" s="227"/>
      <c r="B1163" s="232"/>
      <c r="C1163" s="227"/>
      <c r="D1163" s="227"/>
      <c r="E1163" s="231"/>
      <c r="F1163" s="232"/>
      <c r="G1163" s="227"/>
      <c r="H1163" s="227"/>
      <c r="I1163" s="227"/>
      <c r="J1163" s="227"/>
      <c r="K1163" s="227"/>
      <c r="L1163" s="232"/>
      <c r="M1163" s="232"/>
      <c r="N1163" s="227"/>
      <c r="O1163" s="227"/>
      <c r="P1163" s="231"/>
      <c r="Q1163" s="227"/>
      <c r="R1163" s="231"/>
      <c r="S1163" s="231"/>
      <c r="T1163" s="231"/>
      <c r="U1163" s="231"/>
      <c r="V1163" s="231"/>
      <c r="W1163" s="231"/>
      <c r="X1163" s="227"/>
      <c r="Y1163" s="232"/>
      <c r="Z1163" s="232"/>
      <c r="AA1163" s="232"/>
      <c r="AB1163" s="232"/>
      <c r="AC1163" s="227"/>
      <c r="AD1163" s="227"/>
      <c r="AE1163" s="231"/>
      <c r="AF1163" s="227"/>
      <c r="AG1163" s="232"/>
      <c r="AH1163" s="232"/>
      <c r="AI1163" s="232"/>
      <c r="AJ1163" s="232"/>
      <c r="AK1163" s="232"/>
      <c r="AL1163" s="232"/>
      <c r="AM1163" s="232"/>
      <c r="AN1163" s="232"/>
      <c r="AO1163" s="231"/>
      <c r="AP1163" s="231"/>
      <c r="AQ1163" s="227"/>
      <c r="AR1163" s="231"/>
      <c r="AS1163" s="227"/>
      <c r="AT1163" s="227"/>
      <c r="AU1163" s="227"/>
      <c r="AV1163" s="227"/>
    </row>
    <row r="1164">
      <c r="A1164" s="227"/>
      <c r="B1164" s="232"/>
      <c r="C1164" s="227"/>
      <c r="D1164" s="227"/>
      <c r="E1164" s="231"/>
      <c r="F1164" s="232"/>
      <c r="G1164" s="227"/>
      <c r="H1164" s="227"/>
      <c r="I1164" s="227"/>
      <c r="J1164" s="227"/>
      <c r="K1164" s="227"/>
      <c r="L1164" s="232"/>
      <c r="M1164" s="232"/>
      <c r="N1164" s="227"/>
      <c r="O1164" s="227"/>
      <c r="P1164" s="231"/>
      <c r="Q1164" s="227"/>
      <c r="R1164" s="231"/>
      <c r="S1164" s="231"/>
      <c r="T1164" s="231"/>
      <c r="U1164" s="231"/>
      <c r="V1164" s="231"/>
      <c r="W1164" s="231"/>
      <c r="X1164" s="227"/>
      <c r="Y1164" s="232"/>
      <c r="Z1164" s="232"/>
      <c r="AA1164" s="232"/>
      <c r="AB1164" s="232"/>
      <c r="AC1164" s="227"/>
      <c r="AD1164" s="227"/>
      <c r="AE1164" s="231"/>
      <c r="AF1164" s="227"/>
      <c r="AG1164" s="232"/>
      <c r="AH1164" s="232"/>
      <c r="AI1164" s="232"/>
      <c r="AJ1164" s="232"/>
      <c r="AK1164" s="232"/>
      <c r="AL1164" s="232"/>
      <c r="AM1164" s="232"/>
      <c r="AN1164" s="232"/>
      <c r="AO1164" s="231"/>
      <c r="AP1164" s="231"/>
      <c r="AQ1164" s="227"/>
      <c r="AR1164" s="231"/>
      <c r="AS1164" s="227"/>
      <c r="AT1164" s="227"/>
      <c r="AU1164" s="227"/>
      <c r="AV1164" s="227"/>
    </row>
    <row r="1165">
      <c r="A1165" s="227"/>
      <c r="B1165" s="232"/>
      <c r="C1165" s="227"/>
      <c r="D1165" s="227"/>
      <c r="E1165" s="231"/>
      <c r="F1165" s="232"/>
      <c r="G1165" s="227"/>
      <c r="H1165" s="227"/>
      <c r="I1165" s="227"/>
      <c r="J1165" s="227"/>
      <c r="K1165" s="227"/>
      <c r="L1165" s="232"/>
      <c r="M1165" s="232"/>
      <c r="N1165" s="227"/>
      <c r="O1165" s="227"/>
      <c r="P1165" s="231"/>
      <c r="Q1165" s="227"/>
      <c r="R1165" s="231"/>
      <c r="S1165" s="231"/>
      <c r="T1165" s="231"/>
      <c r="U1165" s="231"/>
      <c r="V1165" s="231"/>
      <c r="W1165" s="231"/>
      <c r="X1165" s="227"/>
      <c r="Y1165" s="232"/>
      <c r="Z1165" s="232"/>
      <c r="AA1165" s="232"/>
      <c r="AB1165" s="232"/>
      <c r="AC1165" s="227"/>
      <c r="AD1165" s="227"/>
      <c r="AE1165" s="231"/>
      <c r="AF1165" s="227"/>
      <c r="AG1165" s="232"/>
      <c r="AH1165" s="232"/>
      <c r="AI1165" s="232"/>
      <c r="AJ1165" s="232"/>
      <c r="AK1165" s="232"/>
      <c r="AL1165" s="232"/>
      <c r="AM1165" s="232"/>
      <c r="AN1165" s="232"/>
      <c r="AO1165" s="231"/>
      <c r="AP1165" s="231"/>
      <c r="AQ1165" s="227"/>
      <c r="AR1165" s="231"/>
      <c r="AS1165" s="227"/>
      <c r="AT1165" s="227"/>
      <c r="AU1165" s="227"/>
      <c r="AV1165" s="227"/>
    </row>
    <row r="1166">
      <c r="A1166" s="227"/>
      <c r="B1166" s="232"/>
      <c r="C1166" s="227"/>
      <c r="D1166" s="227"/>
      <c r="E1166" s="231"/>
      <c r="F1166" s="232"/>
      <c r="G1166" s="227"/>
      <c r="H1166" s="227"/>
      <c r="I1166" s="227"/>
      <c r="J1166" s="227"/>
      <c r="K1166" s="227"/>
      <c r="L1166" s="232"/>
      <c r="M1166" s="232"/>
      <c r="N1166" s="227"/>
      <c r="O1166" s="227"/>
      <c r="P1166" s="231"/>
      <c r="Q1166" s="227"/>
      <c r="R1166" s="231"/>
      <c r="S1166" s="231"/>
      <c r="T1166" s="231"/>
      <c r="U1166" s="231"/>
      <c r="V1166" s="231"/>
      <c r="W1166" s="231"/>
      <c r="X1166" s="227"/>
      <c r="Y1166" s="232"/>
      <c r="Z1166" s="232"/>
      <c r="AA1166" s="232"/>
      <c r="AB1166" s="232"/>
      <c r="AC1166" s="227"/>
      <c r="AD1166" s="227"/>
      <c r="AE1166" s="231"/>
      <c r="AF1166" s="227"/>
      <c r="AG1166" s="232"/>
      <c r="AH1166" s="232"/>
      <c r="AI1166" s="232"/>
      <c r="AJ1166" s="232"/>
      <c r="AK1166" s="232"/>
      <c r="AL1166" s="232"/>
      <c r="AM1166" s="232"/>
      <c r="AN1166" s="232"/>
      <c r="AO1166" s="231"/>
      <c r="AP1166" s="231"/>
      <c r="AQ1166" s="227"/>
      <c r="AR1166" s="231"/>
      <c r="AS1166" s="227"/>
      <c r="AT1166" s="227"/>
      <c r="AU1166" s="227"/>
      <c r="AV1166" s="227"/>
    </row>
    <row r="1167">
      <c r="A1167" s="227"/>
      <c r="B1167" s="232"/>
      <c r="C1167" s="227"/>
      <c r="D1167" s="227"/>
      <c r="E1167" s="231"/>
      <c r="F1167" s="232"/>
      <c r="G1167" s="227"/>
      <c r="H1167" s="227"/>
      <c r="I1167" s="227"/>
      <c r="J1167" s="227"/>
      <c r="K1167" s="227"/>
      <c r="L1167" s="232"/>
      <c r="M1167" s="232"/>
      <c r="N1167" s="227"/>
      <c r="O1167" s="227"/>
      <c r="P1167" s="231"/>
      <c r="Q1167" s="227"/>
      <c r="R1167" s="231"/>
      <c r="S1167" s="231"/>
      <c r="T1167" s="231"/>
      <c r="U1167" s="231"/>
      <c r="V1167" s="231"/>
      <c r="W1167" s="231"/>
      <c r="X1167" s="227"/>
      <c r="Y1167" s="232"/>
      <c r="Z1167" s="232"/>
      <c r="AA1167" s="232"/>
      <c r="AB1167" s="232"/>
      <c r="AC1167" s="227"/>
      <c r="AD1167" s="227"/>
      <c r="AE1167" s="231"/>
      <c r="AF1167" s="227"/>
      <c r="AG1167" s="232"/>
      <c r="AH1167" s="232"/>
      <c r="AI1167" s="232"/>
      <c r="AJ1167" s="232"/>
      <c r="AK1167" s="232"/>
      <c r="AL1167" s="232"/>
      <c r="AM1167" s="232"/>
      <c r="AN1167" s="232"/>
      <c r="AO1167" s="231"/>
      <c r="AP1167" s="231"/>
      <c r="AQ1167" s="227"/>
      <c r="AR1167" s="231"/>
      <c r="AS1167" s="227"/>
      <c r="AT1167" s="227"/>
      <c r="AU1167" s="227"/>
      <c r="AV1167" s="227"/>
    </row>
    <row r="1168">
      <c r="A1168" s="227"/>
      <c r="B1168" s="232"/>
      <c r="C1168" s="227"/>
      <c r="D1168" s="227"/>
      <c r="E1168" s="231"/>
      <c r="F1168" s="232"/>
      <c r="G1168" s="227"/>
      <c r="H1168" s="227"/>
      <c r="I1168" s="227"/>
      <c r="J1168" s="227"/>
      <c r="K1168" s="227"/>
      <c r="L1168" s="232"/>
      <c r="M1168" s="232"/>
      <c r="N1168" s="227"/>
      <c r="O1168" s="227"/>
      <c r="P1168" s="231"/>
      <c r="Q1168" s="227"/>
      <c r="R1168" s="231"/>
      <c r="S1168" s="231"/>
      <c r="T1168" s="231"/>
      <c r="U1168" s="231"/>
      <c r="V1168" s="231"/>
      <c r="W1168" s="231"/>
      <c r="X1168" s="227"/>
      <c r="Y1168" s="232"/>
      <c r="Z1168" s="232"/>
      <c r="AA1168" s="232"/>
      <c r="AB1168" s="232"/>
      <c r="AC1168" s="227"/>
      <c r="AD1168" s="227"/>
      <c r="AE1168" s="231"/>
      <c r="AF1168" s="227"/>
      <c r="AG1168" s="232"/>
      <c r="AH1168" s="232"/>
      <c r="AI1168" s="232"/>
      <c r="AJ1168" s="232"/>
      <c r="AK1168" s="232"/>
      <c r="AL1168" s="232"/>
      <c r="AM1168" s="232"/>
      <c r="AN1168" s="232"/>
      <c r="AO1168" s="231"/>
      <c r="AP1168" s="231"/>
      <c r="AQ1168" s="227"/>
      <c r="AR1168" s="231"/>
      <c r="AS1168" s="227"/>
      <c r="AT1168" s="227"/>
      <c r="AU1168" s="227"/>
      <c r="AV1168" s="227"/>
    </row>
    <row r="1169">
      <c r="A1169" s="227"/>
      <c r="B1169" s="232"/>
      <c r="C1169" s="227"/>
      <c r="D1169" s="227"/>
      <c r="E1169" s="231"/>
      <c r="F1169" s="232"/>
      <c r="G1169" s="227"/>
      <c r="H1169" s="227"/>
      <c r="I1169" s="227"/>
      <c r="J1169" s="227"/>
      <c r="K1169" s="227"/>
      <c r="L1169" s="232"/>
      <c r="M1169" s="232"/>
      <c r="N1169" s="227"/>
      <c r="O1169" s="227"/>
      <c r="P1169" s="231"/>
      <c r="Q1169" s="227"/>
      <c r="R1169" s="231"/>
      <c r="S1169" s="231"/>
      <c r="T1169" s="231"/>
      <c r="U1169" s="231"/>
      <c r="V1169" s="231"/>
      <c r="W1169" s="231"/>
      <c r="X1169" s="227"/>
      <c r="Y1169" s="232"/>
      <c r="Z1169" s="232"/>
      <c r="AA1169" s="232"/>
      <c r="AB1169" s="232"/>
      <c r="AC1169" s="227"/>
      <c r="AD1169" s="227"/>
      <c r="AE1169" s="231"/>
      <c r="AF1169" s="227"/>
      <c r="AG1169" s="232"/>
      <c r="AH1169" s="232"/>
      <c r="AI1169" s="232"/>
      <c r="AJ1169" s="232"/>
      <c r="AK1169" s="232"/>
      <c r="AL1169" s="232"/>
      <c r="AM1169" s="232"/>
      <c r="AN1169" s="232"/>
      <c r="AO1169" s="231"/>
      <c r="AP1169" s="231"/>
      <c r="AQ1169" s="227"/>
      <c r="AR1169" s="231"/>
      <c r="AS1169" s="227"/>
      <c r="AT1169" s="227"/>
      <c r="AU1169" s="227"/>
      <c r="AV1169" s="227"/>
    </row>
    <row r="1170">
      <c r="A1170" s="227"/>
      <c r="B1170" s="232"/>
      <c r="C1170" s="227"/>
      <c r="D1170" s="227"/>
      <c r="E1170" s="231"/>
      <c r="F1170" s="232"/>
      <c r="G1170" s="227"/>
      <c r="H1170" s="227"/>
      <c r="I1170" s="227"/>
      <c r="J1170" s="227"/>
      <c r="K1170" s="227"/>
      <c r="L1170" s="232"/>
      <c r="M1170" s="232"/>
      <c r="N1170" s="227"/>
      <c r="O1170" s="227"/>
      <c r="P1170" s="231"/>
      <c r="Q1170" s="227"/>
      <c r="R1170" s="231"/>
      <c r="S1170" s="231"/>
      <c r="T1170" s="231"/>
      <c r="U1170" s="231"/>
      <c r="V1170" s="231"/>
      <c r="W1170" s="231"/>
      <c r="X1170" s="227"/>
      <c r="Y1170" s="232"/>
      <c r="Z1170" s="232"/>
      <c r="AA1170" s="232"/>
      <c r="AB1170" s="232"/>
      <c r="AC1170" s="227"/>
      <c r="AD1170" s="227"/>
      <c r="AE1170" s="231"/>
      <c r="AF1170" s="227"/>
      <c r="AG1170" s="232"/>
      <c r="AH1170" s="232"/>
      <c r="AI1170" s="232"/>
      <c r="AJ1170" s="232"/>
      <c r="AK1170" s="232"/>
      <c r="AL1170" s="232"/>
      <c r="AM1170" s="232"/>
      <c r="AN1170" s="232"/>
      <c r="AO1170" s="231"/>
      <c r="AP1170" s="231"/>
      <c r="AQ1170" s="227"/>
      <c r="AR1170" s="231"/>
      <c r="AS1170" s="227"/>
      <c r="AT1170" s="227"/>
      <c r="AU1170" s="227"/>
      <c r="AV1170" s="227"/>
    </row>
    <row r="1171">
      <c r="A1171" s="227"/>
      <c r="B1171" s="232"/>
      <c r="C1171" s="227"/>
      <c r="D1171" s="227"/>
      <c r="E1171" s="231"/>
      <c r="F1171" s="232"/>
      <c r="G1171" s="227"/>
      <c r="H1171" s="227"/>
      <c r="I1171" s="227"/>
      <c r="J1171" s="227"/>
      <c r="K1171" s="227"/>
      <c r="L1171" s="232"/>
      <c r="M1171" s="232"/>
      <c r="N1171" s="227"/>
      <c r="O1171" s="227"/>
      <c r="P1171" s="231"/>
      <c r="Q1171" s="227"/>
      <c r="R1171" s="231"/>
      <c r="S1171" s="231"/>
      <c r="T1171" s="231"/>
      <c r="U1171" s="231"/>
      <c r="V1171" s="231"/>
      <c r="W1171" s="231"/>
      <c r="X1171" s="227"/>
      <c r="Y1171" s="232"/>
      <c r="Z1171" s="232"/>
      <c r="AA1171" s="232"/>
      <c r="AB1171" s="232"/>
      <c r="AC1171" s="227"/>
      <c r="AD1171" s="227"/>
      <c r="AE1171" s="231"/>
      <c r="AF1171" s="227"/>
      <c r="AG1171" s="232"/>
      <c r="AH1171" s="232"/>
      <c r="AI1171" s="232"/>
      <c r="AJ1171" s="232"/>
      <c r="AK1171" s="232"/>
      <c r="AL1171" s="232"/>
      <c r="AM1171" s="232"/>
      <c r="AN1171" s="232"/>
      <c r="AO1171" s="231"/>
      <c r="AP1171" s="231"/>
      <c r="AQ1171" s="227"/>
      <c r="AR1171" s="231"/>
      <c r="AS1171" s="227"/>
      <c r="AT1171" s="227"/>
      <c r="AU1171" s="227"/>
      <c r="AV1171" s="227"/>
    </row>
    <row r="1172">
      <c r="A1172" s="227"/>
      <c r="B1172" s="232"/>
      <c r="C1172" s="227"/>
      <c r="D1172" s="227"/>
      <c r="E1172" s="231"/>
      <c r="F1172" s="232"/>
      <c r="G1172" s="227"/>
      <c r="H1172" s="227"/>
      <c r="I1172" s="227"/>
      <c r="J1172" s="227"/>
      <c r="K1172" s="227"/>
      <c r="L1172" s="232"/>
      <c r="M1172" s="232"/>
      <c r="N1172" s="227"/>
      <c r="O1172" s="227"/>
      <c r="P1172" s="231"/>
      <c r="Q1172" s="227"/>
      <c r="R1172" s="231"/>
      <c r="S1172" s="231"/>
      <c r="T1172" s="231"/>
      <c r="U1172" s="231"/>
      <c r="V1172" s="231"/>
      <c r="W1172" s="231"/>
      <c r="X1172" s="227"/>
      <c r="Y1172" s="232"/>
      <c r="Z1172" s="232"/>
      <c r="AA1172" s="232"/>
      <c r="AB1172" s="232"/>
      <c r="AC1172" s="227"/>
      <c r="AD1172" s="227"/>
      <c r="AE1172" s="231"/>
      <c r="AF1172" s="227"/>
      <c r="AG1172" s="232"/>
      <c r="AH1172" s="232"/>
      <c r="AI1172" s="232"/>
      <c r="AJ1172" s="232"/>
      <c r="AK1172" s="232"/>
      <c r="AL1172" s="232"/>
      <c r="AM1172" s="232"/>
      <c r="AN1172" s="232"/>
      <c r="AO1172" s="231"/>
      <c r="AP1172" s="231"/>
      <c r="AQ1172" s="227"/>
      <c r="AR1172" s="231"/>
      <c r="AS1172" s="227"/>
      <c r="AT1172" s="227"/>
      <c r="AU1172" s="227"/>
      <c r="AV1172" s="227"/>
    </row>
    <row r="1173">
      <c r="A1173" s="227"/>
      <c r="B1173" s="232"/>
      <c r="C1173" s="227"/>
      <c r="D1173" s="227"/>
      <c r="E1173" s="231"/>
      <c r="F1173" s="232"/>
      <c r="G1173" s="227"/>
      <c r="H1173" s="227"/>
      <c r="I1173" s="227"/>
      <c r="J1173" s="227"/>
      <c r="K1173" s="227"/>
      <c r="L1173" s="232"/>
      <c r="M1173" s="232"/>
      <c r="N1173" s="227"/>
      <c r="O1173" s="227"/>
      <c r="P1173" s="231"/>
      <c r="Q1173" s="227"/>
      <c r="R1173" s="231"/>
      <c r="S1173" s="231"/>
      <c r="T1173" s="231"/>
      <c r="U1173" s="231"/>
      <c r="V1173" s="231"/>
      <c r="W1173" s="231"/>
      <c r="X1173" s="227"/>
      <c r="Y1173" s="232"/>
      <c r="Z1173" s="232"/>
      <c r="AA1173" s="232"/>
      <c r="AB1173" s="232"/>
      <c r="AC1173" s="227"/>
      <c r="AD1173" s="227"/>
      <c r="AE1173" s="231"/>
      <c r="AF1173" s="227"/>
      <c r="AG1173" s="232"/>
      <c r="AH1173" s="232"/>
      <c r="AI1173" s="232"/>
      <c r="AJ1173" s="232"/>
      <c r="AK1173" s="232"/>
      <c r="AL1173" s="232"/>
      <c r="AM1173" s="232"/>
      <c r="AN1173" s="232"/>
      <c r="AO1173" s="231"/>
      <c r="AP1173" s="231"/>
      <c r="AQ1173" s="227"/>
      <c r="AR1173" s="231"/>
      <c r="AS1173" s="227"/>
      <c r="AT1173" s="227"/>
      <c r="AU1173" s="227"/>
      <c r="AV1173" s="227"/>
    </row>
    <row r="1174">
      <c r="A1174" s="227"/>
      <c r="B1174" s="232"/>
      <c r="C1174" s="227"/>
      <c r="D1174" s="227"/>
      <c r="E1174" s="231"/>
      <c r="F1174" s="232"/>
      <c r="G1174" s="227"/>
      <c r="H1174" s="227"/>
      <c r="I1174" s="227"/>
      <c r="J1174" s="227"/>
      <c r="K1174" s="227"/>
      <c r="L1174" s="232"/>
      <c r="M1174" s="232"/>
      <c r="N1174" s="227"/>
      <c r="O1174" s="227"/>
      <c r="P1174" s="231"/>
      <c r="Q1174" s="227"/>
      <c r="R1174" s="231"/>
      <c r="S1174" s="231"/>
      <c r="T1174" s="231"/>
      <c r="U1174" s="231"/>
      <c r="V1174" s="231"/>
      <c r="W1174" s="231"/>
      <c r="X1174" s="227"/>
      <c r="Y1174" s="232"/>
      <c r="Z1174" s="232"/>
      <c r="AA1174" s="232"/>
      <c r="AB1174" s="232"/>
      <c r="AC1174" s="227"/>
      <c r="AD1174" s="227"/>
      <c r="AE1174" s="231"/>
      <c r="AF1174" s="227"/>
      <c r="AG1174" s="232"/>
      <c r="AH1174" s="232"/>
      <c r="AI1174" s="232"/>
      <c r="AJ1174" s="232"/>
      <c r="AK1174" s="232"/>
      <c r="AL1174" s="232"/>
      <c r="AM1174" s="232"/>
      <c r="AN1174" s="232"/>
      <c r="AO1174" s="231"/>
      <c r="AP1174" s="231"/>
      <c r="AQ1174" s="227"/>
      <c r="AR1174" s="231"/>
      <c r="AS1174" s="227"/>
      <c r="AT1174" s="227"/>
      <c r="AU1174" s="227"/>
      <c r="AV1174" s="227"/>
    </row>
    <row r="1175">
      <c r="A1175" s="227"/>
      <c r="B1175" s="232"/>
      <c r="C1175" s="227"/>
      <c r="D1175" s="227"/>
      <c r="E1175" s="231"/>
      <c r="F1175" s="232"/>
      <c r="G1175" s="227"/>
      <c r="H1175" s="227"/>
      <c r="I1175" s="227"/>
      <c r="J1175" s="227"/>
      <c r="K1175" s="227"/>
      <c r="L1175" s="232"/>
      <c r="M1175" s="232"/>
      <c r="N1175" s="227"/>
      <c r="O1175" s="227"/>
      <c r="P1175" s="231"/>
      <c r="Q1175" s="227"/>
      <c r="R1175" s="231"/>
      <c r="S1175" s="231"/>
      <c r="T1175" s="231"/>
      <c r="U1175" s="231"/>
      <c r="V1175" s="231"/>
      <c r="W1175" s="231"/>
      <c r="X1175" s="227"/>
      <c r="Y1175" s="232"/>
      <c r="Z1175" s="232"/>
      <c r="AA1175" s="232"/>
      <c r="AB1175" s="232"/>
      <c r="AC1175" s="227"/>
      <c r="AD1175" s="227"/>
      <c r="AE1175" s="231"/>
      <c r="AF1175" s="227"/>
      <c r="AG1175" s="232"/>
      <c r="AH1175" s="232"/>
      <c r="AI1175" s="232"/>
      <c r="AJ1175" s="232"/>
      <c r="AK1175" s="232"/>
      <c r="AL1175" s="232"/>
      <c r="AM1175" s="232"/>
      <c r="AN1175" s="232"/>
      <c r="AO1175" s="231"/>
      <c r="AP1175" s="231"/>
      <c r="AQ1175" s="227"/>
      <c r="AR1175" s="231"/>
      <c r="AS1175" s="227"/>
      <c r="AT1175" s="227"/>
      <c r="AU1175" s="227"/>
      <c r="AV1175" s="227"/>
    </row>
    <row r="1176">
      <c r="A1176" s="227"/>
      <c r="B1176" s="232"/>
      <c r="C1176" s="227"/>
      <c r="D1176" s="227"/>
      <c r="E1176" s="231"/>
      <c r="F1176" s="232"/>
      <c r="G1176" s="227"/>
      <c r="H1176" s="227"/>
      <c r="I1176" s="227"/>
      <c r="J1176" s="227"/>
      <c r="K1176" s="227"/>
      <c r="L1176" s="232"/>
      <c r="M1176" s="232"/>
      <c r="N1176" s="227"/>
      <c r="O1176" s="227"/>
      <c r="P1176" s="231"/>
      <c r="Q1176" s="227"/>
      <c r="R1176" s="231"/>
      <c r="S1176" s="231"/>
      <c r="T1176" s="231"/>
      <c r="U1176" s="231"/>
      <c r="V1176" s="231"/>
      <c r="W1176" s="231"/>
      <c r="X1176" s="227"/>
      <c r="Y1176" s="232"/>
      <c r="Z1176" s="232"/>
      <c r="AA1176" s="232"/>
      <c r="AB1176" s="232"/>
      <c r="AC1176" s="227"/>
      <c r="AD1176" s="227"/>
      <c r="AE1176" s="231"/>
      <c r="AF1176" s="227"/>
      <c r="AG1176" s="232"/>
      <c r="AH1176" s="232"/>
      <c r="AI1176" s="232"/>
      <c r="AJ1176" s="232"/>
      <c r="AK1176" s="232"/>
      <c r="AL1176" s="232"/>
      <c r="AM1176" s="232"/>
      <c r="AN1176" s="232"/>
      <c r="AO1176" s="231"/>
      <c r="AP1176" s="231"/>
      <c r="AQ1176" s="227"/>
      <c r="AR1176" s="231"/>
      <c r="AS1176" s="227"/>
      <c r="AT1176" s="227"/>
      <c r="AU1176" s="227"/>
      <c r="AV1176" s="227"/>
    </row>
    <row r="1177">
      <c r="A1177" s="227"/>
      <c r="B1177" s="232"/>
      <c r="C1177" s="227"/>
      <c r="D1177" s="227"/>
      <c r="E1177" s="231"/>
      <c r="F1177" s="232"/>
      <c r="G1177" s="227"/>
      <c r="H1177" s="227"/>
      <c r="I1177" s="227"/>
      <c r="J1177" s="227"/>
      <c r="K1177" s="227"/>
      <c r="L1177" s="232"/>
      <c r="M1177" s="232"/>
      <c r="N1177" s="227"/>
      <c r="O1177" s="227"/>
      <c r="P1177" s="231"/>
      <c r="Q1177" s="227"/>
      <c r="R1177" s="231"/>
      <c r="S1177" s="231"/>
      <c r="T1177" s="231"/>
      <c r="U1177" s="231"/>
      <c r="V1177" s="231"/>
      <c r="W1177" s="231"/>
      <c r="X1177" s="227"/>
      <c r="Y1177" s="232"/>
      <c r="Z1177" s="232"/>
      <c r="AA1177" s="232"/>
      <c r="AB1177" s="232"/>
      <c r="AC1177" s="227"/>
      <c r="AD1177" s="227"/>
      <c r="AE1177" s="231"/>
      <c r="AF1177" s="227"/>
      <c r="AG1177" s="232"/>
      <c r="AH1177" s="232"/>
      <c r="AI1177" s="232"/>
      <c r="AJ1177" s="232"/>
      <c r="AK1177" s="232"/>
      <c r="AL1177" s="232"/>
      <c r="AM1177" s="232"/>
      <c r="AN1177" s="232"/>
      <c r="AO1177" s="231"/>
      <c r="AP1177" s="231"/>
      <c r="AQ1177" s="227"/>
      <c r="AR1177" s="231"/>
      <c r="AS1177" s="227"/>
      <c r="AT1177" s="227"/>
      <c r="AU1177" s="227"/>
      <c r="AV1177" s="227"/>
    </row>
    <row r="1178">
      <c r="A1178" s="227"/>
      <c r="B1178" s="232"/>
      <c r="C1178" s="227"/>
      <c r="D1178" s="227"/>
      <c r="E1178" s="231"/>
      <c r="F1178" s="232"/>
      <c r="G1178" s="227"/>
      <c r="H1178" s="227"/>
      <c r="I1178" s="227"/>
      <c r="J1178" s="227"/>
      <c r="K1178" s="227"/>
      <c r="L1178" s="232"/>
      <c r="M1178" s="232"/>
      <c r="N1178" s="227"/>
      <c r="O1178" s="227"/>
      <c r="P1178" s="231"/>
      <c r="Q1178" s="227"/>
      <c r="R1178" s="231"/>
      <c r="S1178" s="231"/>
      <c r="T1178" s="231"/>
      <c r="U1178" s="231"/>
      <c r="V1178" s="231"/>
      <c r="W1178" s="231"/>
      <c r="X1178" s="227"/>
      <c r="Y1178" s="232"/>
      <c r="Z1178" s="232"/>
      <c r="AA1178" s="232"/>
      <c r="AB1178" s="232"/>
      <c r="AC1178" s="227"/>
      <c r="AD1178" s="227"/>
      <c r="AE1178" s="231"/>
      <c r="AF1178" s="227"/>
      <c r="AG1178" s="232"/>
      <c r="AH1178" s="232"/>
      <c r="AI1178" s="232"/>
      <c r="AJ1178" s="232"/>
      <c r="AK1178" s="232"/>
      <c r="AL1178" s="232"/>
      <c r="AM1178" s="232"/>
      <c r="AN1178" s="232"/>
      <c r="AO1178" s="231"/>
      <c r="AP1178" s="231"/>
      <c r="AQ1178" s="227"/>
      <c r="AR1178" s="231"/>
      <c r="AS1178" s="227"/>
      <c r="AT1178" s="227"/>
      <c r="AU1178" s="227"/>
      <c r="AV1178" s="227"/>
    </row>
    <row r="1179">
      <c r="A1179" s="227"/>
      <c r="B1179" s="232"/>
      <c r="C1179" s="227"/>
      <c r="D1179" s="227"/>
      <c r="E1179" s="231"/>
      <c r="F1179" s="232"/>
      <c r="G1179" s="227"/>
      <c r="H1179" s="227"/>
      <c r="I1179" s="227"/>
      <c r="J1179" s="227"/>
      <c r="K1179" s="227"/>
      <c r="L1179" s="232"/>
      <c r="M1179" s="232"/>
      <c r="N1179" s="227"/>
      <c r="O1179" s="227"/>
      <c r="P1179" s="231"/>
      <c r="Q1179" s="227"/>
      <c r="R1179" s="231"/>
      <c r="S1179" s="231"/>
      <c r="T1179" s="231"/>
      <c r="U1179" s="231"/>
      <c r="V1179" s="231"/>
      <c r="W1179" s="231"/>
      <c r="X1179" s="227"/>
      <c r="Y1179" s="232"/>
      <c r="Z1179" s="232"/>
      <c r="AA1179" s="232"/>
      <c r="AB1179" s="232"/>
      <c r="AC1179" s="227"/>
      <c r="AD1179" s="227"/>
      <c r="AE1179" s="231"/>
      <c r="AF1179" s="227"/>
      <c r="AG1179" s="232"/>
      <c r="AH1179" s="232"/>
      <c r="AI1179" s="232"/>
      <c r="AJ1179" s="232"/>
      <c r="AK1179" s="232"/>
      <c r="AL1179" s="232"/>
      <c r="AM1179" s="232"/>
      <c r="AN1179" s="232"/>
      <c r="AO1179" s="231"/>
      <c r="AP1179" s="231"/>
      <c r="AQ1179" s="227"/>
      <c r="AR1179" s="231"/>
      <c r="AS1179" s="227"/>
      <c r="AT1179" s="227"/>
      <c r="AU1179" s="227"/>
      <c r="AV1179" s="227"/>
    </row>
    <row r="1180">
      <c r="A1180" s="227"/>
      <c r="B1180" s="232"/>
      <c r="C1180" s="227"/>
      <c r="D1180" s="227"/>
      <c r="E1180" s="231"/>
      <c r="F1180" s="232"/>
      <c r="G1180" s="227"/>
      <c r="H1180" s="227"/>
      <c r="I1180" s="227"/>
      <c r="J1180" s="227"/>
      <c r="K1180" s="227"/>
      <c r="L1180" s="232"/>
      <c r="M1180" s="232"/>
      <c r="N1180" s="227"/>
      <c r="O1180" s="227"/>
      <c r="P1180" s="231"/>
      <c r="Q1180" s="227"/>
      <c r="R1180" s="231"/>
      <c r="S1180" s="231"/>
      <c r="T1180" s="231"/>
      <c r="U1180" s="231"/>
      <c r="V1180" s="231"/>
      <c r="W1180" s="231"/>
      <c r="X1180" s="227"/>
      <c r="Y1180" s="232"/>
      <c r="Z1180" s="232"/>
      <c r="AA1180" s="232"/>
      <c r="AB1180" s="232"/>
      <c r="AC1180" s="227"/>
      <c r="AD1180" s="227"/>
      <c r="AE1180" s="231"/>
      <c r="AF1180" s="227"/>
      <c r="AG1180" s="232"/>
      <c r="AH1180" s="232"/>
      <c r="AI1180" s="232"/>
      <c r="AJ1180" s="232"/>
      <c r="AK1180" s="232"/>
      <c r="AL1180" s="232"/>
      <c r="AM1180" s="232"/>
      <c r="AN1180" s="232"/>
      <c r="AO1180" s="231"/>
      <c r="AP1180" s="231"/>
      <c r="AQ1180" s="227"/>
      <c r="AR1180" s="231"/>
      <c r="AS1180" s="227"/>
      <c r="AT1180" s="227"/>
      <c r="AU1180" s="227"/>
      <c r="AV1180" s="227"/>
    </row>
    <row r="1181">
      <c r="A1181" s="227"/>
      <c r="B1181" s="232"/>
      <c r="C1181" s="227"/>
      <c r="D1181" s="227"/>
      <c r="E1181" s="231"/>
      <c r="F1181" s="232"/>
      <c r="G1181" s="227"/>
      <c r="H1181" s="227"/>
      <c r="I1181" s="227"/>
      <c r="J1181" s="227"/>
      <c r="K1181" s="227"/>
      <c r="L1181" s="232"/>
      <c r="M1181" s="232"/>
      <c r="N1181" s="227"/>
      <c r="O1181" s="227"/>
      <c r="P1181" s="231"/>
      <c r="Q1181" s="227"/>
      <c r="R1181" s="231"/>
      <c r="S1181" s="231"/>
      <c r="T1181" s="231"/>
      <c r="U1181" s="231"/>
      <c r="V1181" s="231"/>
      <c r="W1181" s="231"/>
      <c r="X1181" s="227"/>
      <c r="Y1181" s="232"/>
      <c r="Z1181" s="232"/>
      <c r="AA1181" s="232"/>
      <c r="AB1181" s="232"/>
      <c r="AC1181" s="227"/>
      <c r="AD1181" s="227"/>
      <c r="AE1181" s="231"/>
      <c r="AF1181" s="227"/>
      <c r="AG1181" s="232"/>
      <c r="AH1181" s="232"/>
      <c r="AI1181" s="232"/>
      <c r="AJ1181" s="232"/>
      <c r="AK1181" s="232"/>
      <c r="AL1181" s="232"/>
      <c r="AM1181" s="232"/>
      <c r="AN1181" s="232"/>
      <c r="AO1181" s="231"/>
      <c r="AP1181" s="231"/>
      <c r="AQ1181" s="227"/>
      <c r="AR1181" s="231"/>
      <c r="AS1181" s="227"/>
      <c r="AT1181" s="227"/>
      <c r="AU1181" s="227"/>
      <c r="AV1181" s="227"/>
    </row>
    <row r="1182">
      <c r="A1182" s="227"/>
      <c r="B1182" s="232"/>
      <c r="C1182" s="227"/>
      <c r="D1182" s="227"/>
      <c r="E1182" s="231"/>
      <c r="F1182" s="232"/>
      <c r="G1182" s="227"/>
      <c r="H1182" s="227"/>
      <c r="I1182" s="227"/>
      <c r="J1182" s="227"/>
      <c r="K1182" s="227"/>
      <c r="L1182" s="232"/>
      <c r="M1182" s="232"/>
      <c r="N1182" s="227"/>
      <c r="O1182" s="227"/>
      <c r="P1182" s="231"/>
      <c r="Q1182" s="227"/>
      <c r="R1182" s="231"/>
      <c r="S1182" s="231"/>
      <c r="T1182" s="231"/>
      <c r="U1182" s="231"/>
      <c r="V1182" s="231"/>
      <c r="W1182" s="231"/>
      <c r="X1182" s="227"/>
      <c r="Y1182" s="232"/>
      <c r="Z1182" s="232"/>
      <c r="AA1182" s="232"/>
      <c r="AB1182" s="232"/>
      <c r="AC1182" s="227"/>
      <c r="AD1182" s="227"/>
      <c r="AE1182" s="231"/>
      <c r="AF1182" s="227"/>
      <c r="AG1182" s="232"/>
      <c r="AH1182" s="232"/>
      <c r="AI1182" s="232"/>
      <c r="AJ1182" s="232"/>
      <c r="AK1182" s="232"/>
      <c r="AL1182" s="232"/>
      <c r="AM1182" s="232"/>
      <c r="AN1182" s="232"/>
      <c r="AO1182" s="231"/>
      <c r="AP1182" s="231"/>
      <c r="AQ1182" s="227"/>
      <c r="AR1182" s="231"/>
      <c r="AS1182" s="227"/>
      <c r="AT1182" s="227"/>
      <c r="AU1182" s="227"/>
      <c r="AV1182" s="227"/>
    </row>
    <row r="1183">
      <c r="A1183" s="227"/>
      <c r="B1183" s="232"/>
      <c r="C1183" s="227"/>
      <c r="D1183" s="227"/>
      <c r="E1183" s="231"/>
      <c r="F1183" s="232"/>
      <c r="G1183" s="227"/>
      <c r="H1183" s="227"/>
      <c r="I1183" s="227"/>
      <c r="J1183" s="227"/>
      <c r="K1183" s="227"/>
      <c r="L1183" s="232"/>
      <c r="M1183" s="232"/>
      <c r="N1183" s="227"/>
      <c r="O1183" s="227"/>
      <c r="P1183" s="231"/>
      <c r="Q1183" s="227"/>
      <c r="R1183" s="231"/>
      <c r="S1183" s="231"/>
      <c r="T1183" s="231"/>
      <c r="U1183" s="231"/>
      <c r="V1183" s="231"/>
      <c r="W1183" s="231"/>
      <c r="X1183" s="227"/>
      <c r="Y1183" s="232"/>
      <c r="Z1183" s="232"/>
      <c r="AA1183" s="232"/>
      <c r="AB1183" s="232"/>
      <c r="AC1183" s="227"/>
      <c r="AD1183" s="227"/>
      <c r="AE1183" s="231"/>
      <c r="AF1183" s="227"/>
      <c r="AG1183" s="232"/>
      <c r="AH1183" s="232"/>
      <c r="AI1183" s="232"/>
      <c r="AJ1183" s="232"/>
      <c r="AK1183" s="232"/>
      <c r="AL1183" s="232"/>
      <c r="AM1183" s="232"/>
      <c r="AN1183" s="232"/>
      <c r="AO1183" s="231"/>
      <c r="AP1183" s="231"/>
      <c r="AQ1183" s="227"/>
      <c r="AR1183" s="231"/>
      <c r="AS1183" s="227"/>
      <c r="AT1183" s="227"/>
      <c r="AU1183" s="227"/>
      <c r="AV1183" s="227"/>
    </row>
    <row r="1184">
      <c r="A1184" s="227"/>
      <c r="B1184" s="232"/>
      <c r="C1184" s="227"/>
      <c r="D1184" s="227"/>
      <c r="E1184" s="231"/>
      <c r="F1184" s="232"/>
      <c r="G1184" s="227"/>
      <c r="H1184" s="227"/>
      <c r="I1184" s="227"/>
      <c r="J1184" s="227"/>
      <c r="K1184" s="227"/>
      <c r="L1184" s="232"/>
      <c r="M1184" s="232"/>
      <c r="N1184" s="227"/>
      <c r="O1184" s="227"/>
      <c r="P1184" s="231"/>
      <c r="Q1184" s="227"/>
      <c r="R1184" s="231"/>
      <c r="S1184" s="231"/>
      <c r="T1184" s="231"/>
      <c r="U1184" s="231"/>
      <c r="V1184" s="231"/>
      <c r="W1184" s="231"/>
      <c r="X1184" s="227"/>
      <c r="Y1184" s="232"/>
      <c r="Z1184" s="232"/>
      <c r="AA1184" s="232"/>
      <c r="AB1184" s="232"/>
      <c r="AC1184" s="227"/>
      <c r="AD1184" s="227"/>
      <c r="AE1184" s="231"/>
      <c r="AF1184" s="227"/>
      <c r="AG1184" s="232"/>
      <c r="AH1184" s="232"/>
      <c r="AI1184" s="232"/>
      <c r="AJ1184" s="232"/>
      <c r="AK1184" s="232"/>
      <c r="AL1184" s="232"/>
      <c r="AM1184" s="232"/>
      <c r="AN1184" s="232"/>
      <c r="AO1184" s="231"/>
      <c r="AP1184" s="231"/>
      <c r="AQ1184" s="227"/>
      <c r="AR1184" s="231"/>
      <c r="AS1184" s="227"/>
      <c r="AT1184" s="227"/>
      <c r="AU1184" s="227"/>
      <c r="AV1184" s="227"/>
    </row>
    <row r="1185">
      <c r="A1185" s="227"/>
      <c r="B1185" s="232"/>
      <c r="C1185" s="227"/>
      <c r="D1185" s="227"/>
      <c r="E1185" s="231"/>
      <c r="F1185" s="232"/>
      <c r="G1185" s="227"/>
      <c r="H1185" s="227"/>
      <c r="I1185" s="227"/>
      <c r="J1185" s="227"/>
      <c r="K1185" s="227"/>
      <c r="L1185" s="232"/>
      <c r="M1185" s="232"/>
      <c r="N1185" s="227"/>
      <c r="O1185" s="227"/>
      <c r="P1185" s="231"/>
      <c r="Q1185" s="227"/>
      <c r="R1185" s="231"/>
      <c r="S1185" s="231"/>
      <c r="T1185" s="231"/>
      <c r="U1185" s="231"/>
      <c r="V1185" s="231"/>
      <c r="W1185" s="231"/>
      <c r="X1185" s="227"/>
      <c r="Y1185" s="232"/>
      <c r="Z1185" s="232"/>
      <c r="AA1185" s="232"/>
      <c r="AB1185" s="232"/>
      <c r="AC1185" s="227"/>
      <c r="AD1185" s="227"/>
      <c r="AE1185" s="231"/>
      <c r="AF1185" s="227"/>
      <c r="AG1185" s="232"/>
      <c r="AH1185" s="232"/>
      <c r="AI1185" s="232"/>
      <c r="AJ1185" s="232"/>
      <c r="AK1185" s="232"/>
      <c r="AL1185" s="232"/>
      <c r="AM1185" s="232"/>
      <c r="AN1185" s="232"/>
      <c r="AO1185" s="231"/>
      <c r="AP1185" s="231"/>
      <c r="AQ1185" s="227"/>
      <c r="AR1185" s="231"/>
      <c r="AS1185" s="227"/>
      <c r="AT1185" s="227"/>
      <c r="AU1185" s="227"/>
      <c r="AV1185" s="227"/>
    </row>
    <row r="1186">
      <c r="A1186" s="227"/>
      <c r="B1186" s="232"/>
      <c r="C1186" s="227"/>
      <c r="D1186" s="227"/>
      <c r="E1186" s="231"/>
      <c r="F1186" s="232"/>
      <c r="G1186" s="227"/>
      <c r="H1186" s="227"/>
      <c r="I1186" s="227"/>
      <c r="J1186" s="227"/>
      <c r="K1186" s="227"/>
      <c r="L1186" s="232"/>
      <c r="M1186" s="232"/>
      <c r="N1186" s="227"/>
      <c r="O1186" s="227"/>
      <c r="P1186" s="231"/>
      <c r="Q1186" s="227"/>
      <c r="R1186" s="231"/>
      <c r="S1186" s="231"/>
      <c r="T1186" s="231"/>
      <c r="U1186" s="231"/>
      <c r="V1186" s="231"/>
      <c r="W1186" s="231"/>
      <c r="X1186" s="227"/>
      <c r="Y1186" s="232"/>
      <c r="Z1186" s="232"/>
      <c r="AA1186" s="232"/>
      <c r="AB1186" s="232"/>
      <c r="AC1186" s="227"/>
      <c r="AD1186" s="227"/>
      <c r="AE1186" s="231"/>
      <c r="AF1186" s="227"/>
      <c r="AG1186" s="232"/>
      <c r="AH1186" s="232"/>
      <c r="AI1186" s="232"/>
      <c r="AJ1186" s="232"/>
      <c r="AK1186" s="232"/>
      <c r="AL1186" s="232"/>
      <c r="AM1186" s="232"/>
      <c r="AN1186" s="232"/>
      <c r="AO1186" s="231"/>
      <c r="AP1186" s="231"/>
      <c r="AQ1186" s="227"/>
      <c r="AR1186" s="231"/>
      <c r="AS1186" s="227"/>
      <c r="AT1186" s="227"/>
      <c r="AU1186" s="227"/>
      <c r="AV1186" s="227"/>
    </row>
    <row r="1187">
      <c r="A1187" s="227"/>
      <c r="B1187" s="232"/>
      <c r="C1187" s="227"/>
      <c r="D1187" s="227"/>
      <c r="E1187" s="231"/>
      <c r="F1187" s="232"/>
      <c r="G1187" s="227"/>
      <c r="H1187" s="227"/>
      <c r="I1187" s="227"/>
      <c r="J1187" s="227"/>
      <c r="K1187" s="227"/>
      <c r="L1187" s="232"/>
      <c r="M1187" s="232"/>
      <c r="N1187" s="227"/>
      <c r="O1187" s="227"/>
      <c r="P1187" s="231"/>
      <c r="Q1187" s="227"/>
      <c r="R1187" s="231"/>
      <c r="S1187" s="231"/>
      <c r="T1187" s="231"/>
      <c r="U1187" s="231"/>
      <c r="V1187" s="231"/>
      <c r="W1187" s="231"/>
      <c r="X1187" s="227"/>
      <c r="Y1187" s="232"/>
      <c r="Z1187" s="232"/>
      <c r="AA1187" s="232"/>
      <c r="AB1187" s="232"/>
      <c r="AC1187" s="227"/>
      <c r="AD1187" s="227"/>
      <c r="AE1187" s="231"/>
      <c r="AF1187" s="227"/>
      <c r="AG1187" s="232"/>
      <c r="AH1187" s="232"/>
      <c r="AI1187" s="232"/>
      <c r="AJ1187" s="232"/>
      <c r="AK1187" s="232"/>
      <c r="AL1187" s="232"/>
      <c r="AM1187" s="232"/>
      <c r="AN1187" s="232"/>
      <c r="AO1187" s="231"/>
      <c r="AP1187" s="231"/>
      <c r="AQ1187" s="227"/>
      <c r="AR1187" s="231"/>
      <c r="AS1187" s="227"/>
      <c r="AT1187" s="227"/>
      <c r="AU1187" s="227"/>
      <c r="AV1187" s="227"/>
    </row>
    <row r="1188">
      <c r="A1188" s="227"/>
      <c r="B1188" s="232"/>
      <c r="C1188" s="227"/>
      <c r="D1188" s="227"/>
      <c r="E1188" s="231"/>
      <c r="F1188" s="232"/>
      <c r="G1188" s="227"/>
      <c r="H1188" s="227"/>
      <c r="I1188" s="227"/>
      <c r="J1188" s="227"/>
      <c r="K1188" s="227"/>
      <c r="L1188" s="232"/>
      <c r="M1188" s="232"/>
      <c r="N1188" s="227"/>
      <c r="O1188" s="227"/>
      <c r="P1188" s="231"/>
      <c r="Q1188" s="227"/>
      <c r="R1188" s="231"/>
      <c r="S1188" s="231"/>
      <c r="T1188" s="231"/>
      <c r="U1188" s="231"/>
      <c r="V1188" s="231"/>
      <c r="W1188" s="231"/>
      <c r="X1188" s="227"/>
      <c r="Y1188" s="232"/>
      <c r="Z1188" s="232"/>
      <c r="AA1188" s="232"/>
      <c r="AB1188" s="232"/>
      <c r="AC1188" s="227"/>
      <c r="AD1188" s="227"/>
      <c r="AE1188" s="231"/>
      <c r="AF1188" s="227"/>
      <c r="AG1188" s="232"/>
      <c r="AH1188" s="232"/>
      <c r="AI1188" s="232"/>
      <c r="AJ1188" s="232"/>
      <c r="AK1188" s="232"/>
      <c r="AL1188" s="232"/>
      <c r="AM1188" s="232"/>
      <c r="AN1188" s="232"/>
      <c r="AO1188" s="231"/>
      <c r="AP1188" s="231"/>
      <c r="AQ1188" s="227"/>
      <c r="AR1188" s="231"/>
      <c r="AS1188" s="227"/>
      <c r="AT1188" s="227"/>
      <c r="AU1188" s="227"/>
      <c r="AV1188" s="227"/>
    </row>
    <row r="1189">
      <c r="A1189" s="227"/>
      <c r="B1189" s="232"/>
      <c r="C1189" s="227"/>
      <c r="D1189" s="227"/>
      <c r="E1189" s="231"/>
      <c r="F1189" s="232"/>
      <c r="G1189" s="227"/>
      <c r="H1189" s="227"/>
      <c r="I1189" s="227"/>
      <c r="J1189" s="227"/>
      <c r="K1189" s="227"/>
      <c r="L1189" s="232"/>
      <c r="M1189" s="232"/>
      <c r="N1189" s="227"/>
      <c r="O1189" s="227"/>
      <c r="P1189" s="231"/>
      <c r="Q1189" s="227"/>
      <c r="R1189" s="231"/>
      <c r="S1189" s="231"/>
      <c r="T1189" s="231"/>
      <c r="U1189" s="231"/>
      <c r="V1189" s="231"/>
      <c r="W1189" s="231"/>
      <c r="X1189" s="227"/>
      <c r="Y1189" s="232"/>
      <c r="Z1189" s="232"/>
      <c r="AA1189" s="232"/>
      <c r="AB1189" s="232"/>
      <c r="AC1189" s="227"/>
      <c r="AD1189" s="227"/>
      <c r="AE1189" s="231"/>
      <c r="AF1189" s="227"/>
      <c r="AG1189" s="232"/>
      <c r="AH1189" s="232"/>
      <c r="AI1189" s="232"/>
      <c r="AJ1189" s="232"/>
      <c r="AK1189" s="232"/>
      <c r="AL1189" s="232"/>
      <c r="AM1189" s="232"/>
      <c r="AN1189" s="232"/>
      <c r="AO1189" s="231"/>
      <c r="AP1189" s="231"/>
      <c r="AQ1189" s="227"/>
      <c r="AR1189" s="231"/>
      <c r="AS1189" s="227"/>
      <c r="AT1189" s="227"/>
      <c r="AU1189" s="227"/>
      <c r="AV1189" s="227"/>
    </row>
    <row r="1190">
      <c r="A1190" s="227"/>
      <c r="B1190" s="232"/>
      <c r="C1190" s="227"/>
      <c r="D1190" s="227"/>
      <c r="E1190" s="231"/>
      <c r="F1190" s="232"/>
      <c r="G1190" s="227"/>
      <c r="H1190" s="227"/>
      <c r="I1190" s="227"/>
      <c r="J1190" s="227"/>
      <c r="K1190" s="227"/>
      <c r="L1190" s="232"/>
      <c r="M1190" s="232"/>
      <c r="N1190" s="227"/>
      <c r="O1190" s="227"/>
      <c r="P1190" s="231"/>
      <c r="Q1190" s="227"/>
      <c r="R1190" s="231"/>
      <c r="S1190" s="231"/>
      <c r="T1190" s="231"/>
      <c r="U1190" s="231"/>
      <c r="V1190" s="231"/>
      <c r="W1190" s="231"/>
      <c r="X1190" s="227"/>
      <c r="Y1190" s="232"/>
      <c r="Z1190" s="232"/>
      <c r="AA1190" s="232"/>
      <c r="AB1190" s="232"/>
      <c r="AC1190" s="227"/>
      <c r="AD1190" s="227"/>
      <c r="AE1190" s="231"/>
      <c r="AF1190" s="227"/>
      <c r="AG1190" s="232"/>
      <c r="AH1190" s="232"/>
      <c r="AI1190" s="232"/>
      <c r="AJ1190" s="232"/>
      <c r="AK1190" s="232"/>
      <c r="AL1190" s="232"/>
      <c r="AM1190" s="232"/>
      <c r="AN1190" s="232"/>
      <c r="AO1190" s="231"/>
      <c r="AP1190" s="231"/>
      <c r="AQ1190" s="227"/>
      <c r="AR1190" s="231"/>
      <c r="AS1190" s="227"/>
      <c r="AT1190" s="227"/>
      <c r="AU1190" s="227"/>
      <c r="AV1190" s="227"/>
    </row>
    <row r="1191">
      <c r="A1191" s="227"/>
      <c r="B1191" s="232"/>
      <c r="C1191" s="227"/>
      <c r="D1191" s="227"/>
      <c r="E1191" s="231"/>
      <c r="F1191" s="232"/>
      <c r="G1191" s="227"/>
      <c r="H1191" s="227"/>
      <c r="I1191" s="227"/>
      <c r="J1191" s="227"/>
      <c r="K1191" s="227"/>
      <c r="L1191" s="232"/>
      <c r="M1191" s="232"/>
      <c r="N1191" s="227"/>
      <c r="O1191" s="227"/>
      <c r="P1191" s="231"/>
      <c r="Q1191" s="227"/>
      <c r="R1191" s="231"/>
      <c r="S1191" s="231"/>
      <c r="T1191" s="231"/>
      <c r="U1191" s="231"/>
      <c r="V1191" s="231"/>
      <c r="W1191" s="231"/>
      <c r="X1191" s="227"/>
      <c r="Y1191" s="232"/>
      <c r="Z1191" s="232"/>
      <c r="AA1191" s="232"/>
      <c r="AB1191" s="232"/>
      <c r="AC1191" s="227"/>
      <c r="AD1191" s="227"/>
      <c r="AE1191" s="231"/>
      <c r="AF1191" s="227"/>
      <c r="AG1191" s="232"/>
      <c r="AH1191" s="232"/>
      <c r="AI1191" s="232"/>
      <c r="AJ1191" s="232"/>
      <c r="AK1191" s="232"/>
      <c r="AL1191" s="232"/>
      <c r="AM1191" s="232"/>
      <c r="AN1191" s="232"/>
      <c r="AO1191" s="231"/>
      <c r="AP1191" s="231"/>
      <c r="AQ1191" s="227"/>
      <c r="AR1191" s="231"/>
      <c r="AS1191" s="227"/>
      <c r="AT1191" s="227"/>
      <c r="AU1191" s="227"/>
      <c r="AV1191" s="227"/>
    </row>
    <row r="1192">
      <c r="A1192" s="227"/>
      <c r="B1192" s="232"/>
      <c r="C1192" s="227"/>
      <c r="D1192" s="227"/>
      <c r="E1192" s="231"/>
      <c r="F1192" s="232"/>
      <c r="G1192" s="227"/>
      <c r="H1192" s="227"/>
      <c r="I1192" s="227"/>
      <c r="J1192" s="227"/>
      <c r="K1192" s="227"/>
      <c r="L1192" s="232"/>
      <c r="M1192" s="232"/>
      <c r="N1192" s="227"/>
      <c r="O1192" s="227"/>
      <c r="P1192" s="231"/>
      <c r="Q1192" s="227"/>
      <c r="R1192" s="231"/>
      <c r="S1192" s="231"/>
      <c r="T1192" s="231"/>
      <c r="U1192" s="231"/>
      <c r="V1192" s="231"/>
      <c r="W1192" s="231"/>
      <c r="X1192" s="227"/>
      <c r="Y1192" s="232"/>
      <c r="Z1192" s="232"/>
      <c r="AA1192" s="232"/>
      <c r="AB1192" s="232"/>
      <c r="AC1192" s="227"/>
      <c r="AD1192" s="227"/>
      <c r="AE1192" s="231"/>
      <c r="AF1192" s="227"/>
      <c r="AG1192" s="232"/>
      <c r="AH1192" s="232"/>
      <c r="AI1192" s="232"/>
      <c r="AJ1192" s="232"/>
      <c r="AK1192" s="232"/>
      <c r="AL1192" s="232"/>
      <c r="AM1192" s="232"/>
      <c r="AN1192" s="232"/>
      <c r="AO1192" s="231"/>
      <c r="AP1192" s="231"/>
      <c r="AQ1192" s="227"/>
      <c r="AR1192" s="231"/>
      <c r="AS1192" s="227"/>
      <c r="AT1192" s="227"/>
      <c r="AU1192" s="227"/>
      <c r="AV1192" s="227"/>
    </row>
    <row r="1193">
      <c r="A1193" s="227"/>
      <c r="B1193" s="232"/>
      <c r="C1193" s="227"/>
      <c r="D1193" s="227"/>
      <c r="E1193" s="231"/>
      <c r="F1193" s="232"/>
      <c r="G1193" s="227"/>
      <c r="H1193" s="227"/>
      <c r="I1193" s="227"/>
      <c r="J1193" s="227"/>
      <c r="K1193" s="227"/>
      <c r="L1193" s="232"/>
      <c r="M1193" s="232"/>
      <c r="N1193" s="227"/>
      <c r="O1193" s="227"/>
      <c r="P1193" s="231"/>
      <c r="Q1193" s="227"/>
      <c r="R1193" s="231"/>
      <c r="S1193" s="231"/>
      <c r="T1193" s="231"/>
      <c r="U1193" s="231"/>
      <c r="V1193" s="231"/>
      <c r="W1193" s="231"/>
      <c r="X1193" s="227"/>
      <c r="Y1193" s="232"/>
      <c r="Z1193" s="232"/>
      <c r="AA1193" s="232"/>
      <c r="AB1193" s="232"/>
      <c r="AC1193" s="227"/>
      <c r="AD1193" s="227"/>
      <c r="AE1193" s="231"/>
      <c r="AF1193" s="227"/>
      <c r="AG1193" s="232"/>
      <c r="AH1193" s="232"/>
      <c r="AI1193" s="232"/>
      <c r="AJ1193" s="232"/>
      <c r="AK1193" s="232"/>
      <c r="AL1193" s="232"/>
      <c r="AM1193" s="232"/>
      <c r="AN1193" s="232"/>
      <c r="AO1193" s="231"/>
      <c r="AP1193" s="231"/>
      <c r="AQ1193" s="227"/>
      <c r="AR1193" s="231"/>
      <c r="AS1193" s="227"/>
      <c r="AT1193" s="227"/>
      <c r="AU1193" s="227"/>
      <c r="AV1193" s="227"/>
    </row>
    <row r="1194">
      <c r="A1194" s="227"/>
      <c r="B1194" s="232"/>
      <c r="C1194" s="227"/>
      <c r="D1194" s="227"/>
      <c r="E1194" s="231"/>
      <c r="F1194" s="232"/>
      <c r="G1194" s="227"/>
      <c r="H1194" s="227"/>
      <c r="I1194" s="227"/>
      <c r="J1194" s="227"/>
      <c r="K1194" s="227"/>
      <c r="L1194" s="232"/>
      <c r="M1194" s="232"/>
      <c r="N1194" s="227"/>
      <c r="O1194" s="227"/>
      <c r="P1194" s="231"/>
      <c r="Q1194" s="227"/>
      <c r="R1194" s="231"/>
      <c r="S1194" s="231"/>
      <c r="T1194" s="231"/>
      <c r="U1194" s="231"/>
      <c r="V1194" s="231"/>
      <c r="W1194" s="231"/>
      <c r="X1194" s="227"/>
      <c r="Y1194" s="232"/>
      <c r="Z1194" s="232"/>
      <c r="AA1194" s="232"/>
      <c r="AB1194" s="232"/>
      <c r="AC1194" s="227"/>
      <c r="AD1194" s="227"/>
      <c r="AE1194" s="231"/>
      <c r="AF1194" s="227"/>
      <c r="AG1194" s="232"/>
      <c r="AH1194" s="232"/>
      <c r="AI1194" s="232"/>
      <c r="AJ1194" s="232"/>
      <c r="AK1194" s="232"/>
      <c r="AL1194" s="232"/>
      <c r="AM1194" s="232"/>
      <c r="AN1194" s="232"/>
      <c r="AO1194" s="231"/>
      <c r="AP1194" s="231"/>
      <c r="AQ1194" s="227"/>
      <c r="AR1194" s="231"/>
      <c r="AS1194" s="227"/>
      <c r="AT1194" s="227"/>
      <c r="AU1194" s="227"/>
      <c r="AV1194" s="227"/>
    </row>
    <row r="1195">
      <c r="A1195" s="227"/>
      <c r="B1195" s="232"/>
      <c r="C1195" s="227"/>
      <c r="D1195" s="227"/>
      <c r="E1195" s="231"/>
      <c r="F1195" s="232"/>
      <c r="G1195" s="227"/>
      <c r="H1195" s="227"/>
      <c r="I1195" s="227"/>
      <c r="J1195" s="227"/>
      <c r="K1195" s="227"/>
      <c r="L1195" s="232"/>
      <c r="M1195" s="232"/>
      <c r="N1195" s="227"/>
      <c r="O1195" s="227"/>
      <c r="P1195" s="231"/>
      <c r="Q1195" s="227"/>
      <c r="R1195" s="231"/>
      <c r="S1195" s="231"/>
      <c r="T1195" s="231"/>
      <c r="U1195" s="231"/>
      <c r="V1195" s="231"/>
      <c r="W1195" s="231"/>
      <c r="X1195" s="227"/>
      <c r="Y1195" s="232"/>
      <c r="Z1195" s="232"/>
      <c r="AA1195" s="232"/>
      <c r="AB1195" s="232"/>
      <c r="AC1195" s="227"/>
      <c r="AD1195" s="227"/>
      <c r="AE1195" s="231"/>
      <c r="AF1195" s="227"/>
      <c r="AG1195" s="232"/>
      <c r="AH1195" s="232"/>
      <c r="AI1195" s="232"/>
      <c r="AJ1195" s="232"/>
      <c r="AK1195" s="232"/>
      <c r="AL1195" s="232"/>
      <c r="AM1195" s="232"/>
      <c r="AN1195" s="232"/>
      <c r="AO1195" s="231"/>
      <c r="AP1195" s="231"/>
      <c r="AQ1195" s="227"/>
      <c r="AR1195" s="231"/>
      <c r="AS1195" s="227"/>
      <c r="AT1195" s="227"/>
      <c r="AU1195" s="227"/>
      <c r="AV1195" s="227"/>
    </row>
    <row r="1196">
      <c r="A1196" s="227"/>
      <c r="B1196" s="232"/>
      <c r="C1196" s="227"/>
      <c r="D1196" s="227"/>
      <c r="E1196" s="231"/>
      <c r="F1196" s="232"/>
      <c r="G1196" s="227"/>
      <c r="H1196" s="227"/>
      <c r="I1196" s="227"/>
      <c r="J1196" s="227"/>
      <c r="K1196" s="227"/>
      <c r="L1196" s="232"/>
      <c r="M1196" s="232"/>
      <c r="N1196" s="227"/>
      <c r="O1196" s="227"/>
      <c r="P1196" s="231"/>
      <c r="Q1196" s="227"/>
      <c r="R1196" s="231"/>
      <c r="S1196" s="231"/>
      <c r="T1196" s="231"/>
      <c r="U1196" s="231"/>
      <c r="V1196" s="231"/>
      <c r="W1196" s="231"/>
      <c r="X1196" s="227"/>
      <c r="Y1196" s="232"/>
      <c r="Z1196" s="232"/>
      <c r="AA1196" s="232"/>
      <c r="AB1196" s="232"/>
      <c r="AC1196" s="227"/>
      <c r="AD1196" s="227"/>
      <c r="AE1196" s="231"/>
      <c r="AF1196" s="227"/>
      <c r="AG1196" s="232"/>
      <c r="AH1196" s="232"/>
      <c r="AI1196" s="232"/>
      <c r="AJ1196" s="232"/>
      <c r="AK1196" s="232"/>
      <c r="AL1196" s="232"/>
      <c r="AM1196" s="232"/>
      <c r="AN1196" s="232"/>
      <c r="AO1196" s="231"/>
      <c r="AP1196" s="231"/>
      <c r="AQ1196" s="227"/>
      <c r="AR1196" s="231"/>
      <c r="AS1196" s="227"/>
      <c r="AT1196" s="227"/>
      <c r="AU1196" s="227"/>
      <c r="AV1196" s="227"/>
    </row>
    <row r="1197">
      <c r="A1197" s="227"/>
      <c r="B1197" s="232"/>
      <c r="C1197" s="227"/>
      <c r="D1197" s="227"/>
      <c r="E1197" s="231"/>
      <c r="F1197" s="232"/>
      <c r="G1197" s="227"/>
      <c r="H1197" s="227"/>
      <c r="I1197" s="227"/>
      <c r="J1197" s="227"/>
      <c r="K1197" s="227"/>
      <c r="L1197" s="232"/>
      <c r="M1197" s="232"/>
      <c r="N1197" s="227"/>
      <c r="O1197" s="227"/>
      <c r="P1197" s="231"/>
      <c r="Q1197" s="227"/>
      <c r="R1197" s="231"/>
      <c r="S1197" s="231"/>
      <c r="T1197" s="231"/>
      <c r="U1197" s="231"/>
      <c r="V1197" s="231"/>
      <c r="W1197" s="231"/>
      <c r="X1197" s="227"/>
      <c r="Y1197" s="232"/>
      <c r="Z1197" s="232"/>
      <c r="AA1197" s="232"/>
      <c r="AB1197" s="232"/>
      <c r="AC1197" s="227"/>
      <c r="AD1197" s="227"/>
      <c r="AE1197" s="231"/>
      <c r="AF1197" s="227"/>
      <c r="AG1197" s="232"/>
      <c r="AH1197" s="232"/>
      <c r="AI1197" s="232"/>
      <c r="AJ1197" s="232"/>
      <c r="AK1197" s="232"/>
      <c r="AL1197" s="232"/>
      <c r="AM1197" s="232"/>
      <c r="AN1197" s="232"/>
      <c r="AO1197" s="231"/>
      <c r="AP1197" s="231"/>
      <c r="AQ1197" s="227"/>
      <c r="AR1197" s="231"/>
      <c r="AS1197" s="227"/>
      <c r="AT1197" s="227"/>
      <c r="AU1197" s="227"/>
      <c r="AV1197" s="227"/>
    </row>
    <row r="1198">
      <c r="A1198" s="227"/>
      <c r="B1198" s="232"/>
      <c r="C1198" s="227"/>
      <c r="D1198" s="227"/>
      <c r="E1198" s="231"/>
      <c r="F1198" s="232"/>
      <c r="G1198" s="227"/>
      <c r="H1198" s="227"/>
      <c r="I1198" s="227"/>
      <c r="J1198" s="227"/>
      <c r="K1198" s="227"/>
      <c r="L1198" s="232"/>
      <c r="M1198" s="232"/>
      <c r="N1198" s="227"/>
      <c r="O1198" s="227"/>
      <c r="P1198" s="231"/>
      <c r="Q1198" s="227"/>
      <c r="R1198" s="231"/>
      <c r="S1198" s="231"/>
      <c r="T1198" s="231"/>
      <c r="U1198" s="231"/>
      <c r="V1198" s="231"/>
      <c r="W1198" s="231"/>
      <c r="X1198" s="227"/>
      <c r="Y1198" s="232"/>
      <c r="Z1198" s="232"/>
      <c r="AA1198" s="232"/>
      <c r="AB1198" s="232"/>
      <c r="AC1198" s="227"/>
      <c r="AD1198" s="227"/>
      <c r="AE1198" s="231"/>
      <c r="AF1198" s="227"/>
      <c r="AG1198" s="232"/>
      <c r="AH1198" s="232"/>
      <c r="AI1198" s="232"/>
      <c r="AJ1198" s="232"/>
      <c r="AK1198" s="232"/>
      <c r="AL1198" s="232"/>
      <c r="AM1198" s="232"/>
      <c r="AN1198" s="232"/>
      <c r="AO1198" s="231"/>
      <c r="AP1198" s="231"/>
      <c r="AQ1198" s="227"/>
      <c r="AR1198" s="231"/>
      <c r="AS1198" s="227"/>
      <c r="AT1198" s="227"/>
      <c r="AU1198" s="227"/>
      <c r="AV1198" s="227"/>
    </row>
    <row r="1199">
      <c r="A1199" s="227"/>
      <c r="B1199" s="232"/>
      <c r="C1199" s="227"/>
      <c r="D1199" s="227"/>
      <c r="E1199" s="231"/>
      <c r="F1199" s="232"/>
      <c r="G1199" s="227"/>
      <c r="H1199" s="227"/>
      <c r="I1199" s="227"/>
      <c r="J1199" s="227"/>
      <c r="K1199" s="227"/>
      <c r="L1199" s="232"/>
      <c r="M1199" s="232"/>
      <c r="N1199" s="227"/>
      <c r="O1199" s="227"/>
      <c r="P1199" s="231"/>
      <c r="Q1199" s="227"/>
      <c r="R1199" s="231"/>
      <c r="S1199" s="231"/>
      <c r="T1199" s="231"/>
      <c r="U1199" s="231"/>
      <c r="V1199" s="231"/>
      <c r="W1199" s="231"/>
      <c r="X1199" s="227"/>
      <c r="Y1199" s="232"/>
      <c r="Z1199" s="232"/>
      <c r="AA1199" s="232"/>
      <c r="AB1199" s="232"/>
      <c r="AC1199" s="227"/>
      <c r="AD1199" s="227"/>
      <c r="AE1199" s="231"/>
      <c r="AF1199" s="227"/>
      <c r="AG1199" s="232"/>
      <c r="AH1199" s="232"/>
      <c r="AI1199" s="232"/>
      <c r="AJ1199" s="232"/>
      <c r="AK1199" s="232"/>
      <c r="AL1199" s="232"/>
      <c r="AM1199" s="232"/>
      <c r="AN1199" s="232"/>
      <c r="AO1199" s="231"/>
      <c r="AP1199" s="231"/>
      <c r="AQ1199" s="227"/>
      <c r="AR1199" s="231"/>
      <c r="AS1199" s="227"/>
      <c r="AT1199" s="227"/>
      <c r="AU1199" s="227"/>
      <c r="AV1199" s="227"/>
    </row>
    <row r="1200">
      <c r="A1200" s="227"/>
      <c r="B1200" s="232"/>
      <c r="C1200" s="227"/>
      <c r="D1200" s="227"/>
      <c r="E1200" s="231"/>
      <c r="F1200" s="232"/>
      <c r="G1200" s="227"/>
      <c r="H1200" s="227"/>
      <c r="I1200" s="227"/>
      <c r="J1200" s="227"/>
      <c r="K1200" s="227"/>
      <c r="L1200" s="232"/>
      <c r="M1200" s="232"/>
      <c r="N1200" s="227"/>
      <c r="O1200" s="227"/>
      <c r="P1200" s="231"/>
      <c r="Q1200" s="227"/>
      <c r="R1200" s="231"/>
      <c r="S1200" s="231"/>
      <c r="T1200" s="231"/>
      <c r="U1200" s="231"/>
      <c r="V1200" s="231"/>
      <c r="W1200" s="231"/>
      <c r="X1200" s="227"/>
      <c r="Y1200" s="232"/>
      <c r="Z1200" s="232"/>
      <c r="AA1200" s="232"/>
      <c r="AB1200" s="232"/>
      <c r="AC1200" s="227"/>
      <c r="AD1200" s="227"/>
      <c r="AE1200" s="231"/>
      <c r="AF1200" s="227"/>
      <c r="AG1200" s="232"/>
      <c r="AH1200" s="232"/>
      <c r="AI1200" s="232"/>
      <c r="AJ1200" s="232"/>
      <c r="AK1200" s="232"/>
      <c r="AL1200" s="232"/>
      <c r="AM1200" s="232"/>
      <c r="AN1200" s="232"/>
      <c r="AO1200" s="231"/>
      <c r="AP1200" s="231"/>
      <c r="AQ1200" s="227"/>
      <c r="AR1200" s="231"/>
      <c r="AS1200" s="227"/>
      <c r="AT1200" s="227"/>
      <c r="AU1200" s="227"/>
      <c r="AV1200" s="227"/>
    </row>
    <row r="1201">
      <c r="A1201" s="227"/>
      <c r="B1201" s="232"/>
      <c r="C1201" s="227"/>
      <c r="D1201" s="227"/>
      <c r="E1201" s="231"/>
      <c r="F1201" s="232"/>
      <c r="G1201" s="227"/>
      <c r="H1201" s="227"/>
      <c r="I1201" s="227"/>
      <c r="J1201" s="227"/>
      <c r="K1201" s="227"/>
      <c r="L1201" s="232"/>
      <c r="M1201" s="232"/>
      <c r="N1201" s="227"/>
      <c r="O1201" s="227"/>
      <c r="P1201" s="231"/>
      <c r="Q1201" s="227"/>
      <c r="R1201" s="231"/>
      <c r="S1201" s="231"/>
      <c r="T1201" s="231"/>
      <c r="U1201" s="231"/>
      <c r="V1201" s="231"/>
      <c r="W1201" s="231"/>
      <c r="X1201" s="227"/>
      <c r="Y1201" s="232"/>
      <c r="Z1201" s="232"/>
      <c r="AA1201" s="232"/>
      <c r="AB1201" s="232"/>
      <c r="AC1201" s="227"/>
      <c r="AD1201" s="227"/>
      <c r="AE1201" s="231"/>
      <c r="AF1201" s="227"/>
      <c r="AG1201" s="232"/>
      <c r="AH1201" s="232"/>
      <c r="AI1201" s="232"/>
      <c r="AJ1201" s="232"/>
      <c r="AK1201" s="232"/>
      <c r="AL1201" s="232"/>
      <c r="AM1201" s="232"/>
      <c r="AN1201" s="232"/>
      <c r="AO1201" s="231"/>
      <c r="AP1201" s="231"/>
      <c r="AQ1201" s="227"/>
      <c r="AR1201" s="231"/>
      <c r="AS1201" s="227"/>
      <c r="AT1201" s="227"/>
      <c r="AU1201" s="227"/>
      <c r="AV1201" s="227"/>
    </row>
    <row r="1202">
      <c r="A1202" s="227"/>
      <c r="B1202" s="232"/>
      <c r="C1202" s="227"/>
      <c r="D1202" s="227"/>
      <c r="E1202" s="231"/>
      <c r="F1202" s="232"/>
      <c r="G1202" s="227"/>
      <c r="H1202" s="227"/>
      <c r="I1202" s="227"/>
      <c r="J1202" s="227"/>
      <c r="K1202" s="227"/>
      <c r="L1202" s="232"/>
      <c r="M1202" s="232"/>
      <c r="N1202" s="227"/>
      <c r="O1202" s="227"/>
      <c r="P1202" s="231"/>
      <c r="Q1202" s="227"/>
      <c r="R1202" s="231"/>
      <c r="S1202" s="231"/>
      <c r="T1202" s="231"/>
      <c r="U1202" s="231"/>
      <c r="V1202" s="231"/>
      <c r="W1202" s="231"/>
      <c r="X1202" s="227"/>
      <c r="Y1202" s="232"/>
      <c r="Z1202" s="232"/>
      <c r="AA1202" s="232"/>
      <c r="AB1202" s="232"/>
      <c r="AC1202" s="227"/>
      <c r="AD1202" s="227"/>
      <c r="AE1202" s="231"/>
      <c r="AF1202" s="227"/>
      <c r="AG1202" s="232"/>
      <c r="AH1202" s="232"/>
      <c r="AI1202" s="232"/>
      <c r="AJ1202" s="232"/>
      <c r="AK1202" s="232"/>
      <c r="AL1202" s="232"/>
      <c r="AM1202" s="232"/>
      <c r="AN1202" s="232"/>
      <c r="AO1202" s="231"/>
      <c r="AP1202" s="231"/>
      <c r="AQ1202" s="227"/>
      <c r="AR1202" s="231"/>
      <c r="AS1202" s="227"/>
      <c r="AT1202" s="227"/>
      <c r="AU1202" s="227"/>
      <c r="AV1202" s="227"/>
    </row>
    <row r="1203">
      <c r="A1203" s="227"/>
      <c r="B1203" s="232"/>
      <c r="C1203" s="227"/>
      <c r="D1203" s="227"/>
      <c r="E1203" s="231"/>
      <c r="F1203" s="232"/>
      <c r="G1203" s="227"/>
      <c r="H1203" s="227"/>
      <c r="I1203" s="227"/>
      <c r="J1203" s="227"/>
      <c r="K1203" s="227"/>
      <c r="L1203" s="232"/>
      <c r="M1203" s="232"/>
      <c r="N1203" s="227"/>
      <c r="O1203" s="227"/>
      <c r="P1203" s="231"/>
      <c r="Q1203" s="227"/>
      <c r="R1203" s="231"/>
      <c r="S1203" s="231"/>
      <c r="T1203" s="231"/>
      <c r="U1203" s="231"/>
      <c r="V1203" s="231"/>
      <c r="W1203" s="231"/>
      <c r="X1203" s="227"/>
      <c r="Y1203" s="232"/>
      <c r="Z1203" s="232"/>
      <c r="AA1203" s="232"/>
      <c r="AB1203" s="232"/>
      <c r="AC1203" s="227"/>
      <c r="AD1203" s="227"/>
      <c r="AE1203" s="231"/>
      <c r="AF1203" s="227"/>
      <c r="AG1203" s="232"/>
      <c r="AH1203" s="232"/>
      <c r="AI1203" s="232"/>
      <c r="AJ1203" s="232"/>
      <c r="AK1203" s="232"/>
      <c r="AL1203" s="232"/>
      <c r="AM1203" s="232"/>
      <c r="AN1203" s="232"/>
      <c r="AO1203" s="231"/>
      <c r="AP1203" s="231"/>
      <c r="AQ1203" s="227"/>
      <c r="AR1203" s="231"/>
      <c r="AS1203" s="227"/>
      <c r="AT1203" s="227"/>
      <c r="AU1203" s="227"/>
      <c r="AV1203" s="227"/>
    </row>
    <row r="1204">
      <c r="A1204" s="227"/>
      <c r="B1204" s="232"/>
      <c r="C1204" s="227"/>
      <c r="D1204" s="227"/>
      <c r="E1204" s="231"/>
      <c r="F1204" s="232"/>
      <c r="G1204" s="227"/>
      <c r="H1204" s="227"/>
      <c r="I1204" s="227"/>
      <c r="J1204" s="227"/>
      <c r="K1204" s="227"/>
      <c r="L1204" s="232"/>
      <c r="M1204" s="232"/>
      <c r="N1204" s="227"/>
      <c r="O1204" s="227"/>
      <c r="P1204" s="231"/>
      <c r="Q1204" s="227"/>
      <c r="R1204" s="231"/>
      <c r="S1204" s="231"/>
      <c r="T1204" s="231"/>
      <c r="U1204" s="231"/>
      <c r="V1204" s="231"/>
      <c r="W1204" s="231"/>
      <c r="X1204" s="227"/>
      <c r="Y1204" s="232"/>
      <c r="Z1204" s="232"/>
      <c r="AA1204" s="232"/>
      <c r="AB1204" s="232"/>
      <c r="AC1204" s="227"/>
      <c r="AD1204" s="227"/>
      <c r="AE1204" s="231"/>
      <c r="AF1204" s="227"/>
      <c r="AG1204" s="232"/>
      <c r="AH1204" s="232"/>
      <c r="AI1204" s="232"/>
      <c r="AJ1204" s="232"/>
      <c r="AK1204" s="232"/>
      <c r="AL1204" s="232"/>
      <c r="AM1204" s="232"/>
      <c r="AN1204" s="232"/>
      <c r="AO1204" s="231"/>
      <c r="AP1204" s="231"/>
      <c r="AQ1204" s="227"/>
      <c r="AR1204" s="231"/>
      <c r="AS1204" s="227"/>
      <c r="AT1204" s="227"/>
      <c r="AU1204" s="227"/>
      <c r="AV1204" s="227"/>
    </row>
    <row r="1205">
      <c r="A1205" s="227"/>
      <c r="B1205" s="232"/>
      <c r="C1205" s="227"/>
      <c r="D1205" s="227"/>
      <c r="E1205" s="231"/>
      <c r="F1205" s="232"/>
      <c r="G1205" s="227"/>
      <c r="H1205" s="227"/>
      <c r="I1205" s="227"/>
      <c r="J1205" s="227"/>
      <c r="K1205" s="227"/>
      <c r="L1205" s="232"/>
      <c r="M1205" s="232"/>
      <c r="N1205" s="227"/>
      <c r="O1205" s="227"/>
      <c r="P1205" s="231"/>
      <c r="Q1205" s="227"/>
      <c r="R1205" s="231"/>
      <c r="S1205" s="231"/>
      <c r="T1205" s="231"/>
      <c r="U1205" s="231"/>
      <c r="V1205" s="231"/>
      <c r="W1205" s="231"/>
      <c r="X1205" s="227"/>
      <c r="Y1205" s="232"/>
      <c r="Z1205" s="232"/>
      <c r="AA1205" s="232"/>
      <c r="AB1205" s="232"/>
      <c r="AC1205" s="227"/>
      <c r="AD1205" s="227"/>
      <c r="AE1205" s="231"/>
      <c r="AF1205" s="227"/>
      <c r="AG1205" s="232"/>
      <c r="AH1205" s="232"/>
      <c r="AI1205" s="232"/>
      <c r="AJ1205" s="232"/>
      <c r="AK1205" s="232"/>
      <c r="AL1205" s="232"/>
      <c r="AM1205" s="232"/>
      <c r="AN1205" s="232"/>
      <c r="AO1205" s="231"/>
      <c r="AP1205" s="231"/>
      <c r="AQ1205" s="227"/>
      <c r="AR1205" s="231"/>
      <c r="AS1205" s="227"/>
      <c r="AT1205" s="227"/>
      <c r="AU1205" s="227"/>
      <c r="AV1205" s="227"/>
    </row>
    <row r="1206">
      <c r="A1206" s="227"/>
      <c r="B1206" s="232"/>
      <c r="C1206" s="227"/>
      <c r="D1206" s="227"/>
      <c r="E1206" s="231"/>
      <c r="F1206" s="232"/>
      <c r="G1206" s="227"/>
      <c r="H1206" s="227"/>
      <c r="I1206" s="227"/>
      <c r="J1206" s="227"/>
      <c r="K1206" s="227"/>
      <c r="L1206" s="232"/>
      <c r="M1206" s="232"/>
      <c r="N1206" s="227"/>
      <c r="O1206" s="227"/>
      <c r="P1206" s="231"/>
      <c r="Q1206" s="227"/>
      <c r="R1206" s="231"/>
      <c r="S1206" s="231"/>
      <c r="T1206" s="231"/>
      <c r="U1206" s="231"/>
      <c r="V1206" s="231"/>
      <c r="W1206" s="231"/>
      <c r="X1206" s="227"/>
      <c r="Y1206" s="232"/>
      <c r="Z1206" s="232"/>
      <c r="AA1206" s="232"/>
      <c r="AB1206" s="232"/>
      <c r="AC1206" s="227"/>
      <c r="AD1206" s="227"/>
      <c r="AE1206" s="231"/>
      <c r="AF1206" s="227"/>
      <c r="AG1206" s="232"/>
      <c r="AH1206" s="232"/>
      <c r="AI1206" s="232"/>
      <c r="AJ1206" s="232"/>
      <c r="AK1206" s="232"/>
      <c r="AL1206" s="232"/>
      <c r="AM1206" s="232"/>
      <c r="AN1206" s="232"/>
      <c r="AO1206" s="231"/>
      <c r="AP1206" s="231"/>
      <c r="AQ1206" s="227"/>
      <c r="AR1206" s="231"/>
      <c r="AS1206" s="227"/>
      <c r="AT1206" s="227"/>
      <c r="AU1206" s="227"/>
      <c r="AV1206" s="227"/>
    </row>
    <row r="1207">
      <c r="A1207" s="227"/>
      <c r="B1207" s="232"/>
      <c r="C1207" s="227"/>
      <c r="D1207" s="227"/>
      <c r="E1207" s="231"/>
      <c r="F1207" s="232"/>
      <c r="G1207" s="227"/>
      <c r="H1207" s="227"/>
      <c r="I1207" s="227"/>
      <c r="J1207" s="227"/>
      <c r="K1207" s="227"/>
      <c r="L1207" s="232"/>
      <c r="M1207" s="232"/>
      <c r="N1207" s="227"/>
      <c r="O1207" s="227"/>
      <c r="P1207" s="231"/>
      <c r="Q1207" s="227"/>
      <c r="R1207" s="231"/>
      <c r="S1207" s="231"/>
      <c r="T1207" s="231"/>
      <c r="U1207" s="231"/>
      <c r="V1207" s="231"/>
      <c r="W1207" s="231"/>
      <c r="X1207" s="227"/>
      <c r="Y1207" s="232"/>
      <c r="Z1207" s="232"/>
      <c r="AA1207" s="232"/>
      <c r="AB1207" s="232"/>
      <c r="AC1207" s="227"/>
      <c r="AD1207" s="227"/>
      <c r="AE1207" s="231"/>
      <c r="AF1207" s="227"/>
      <c r="AG1207" s="232"/>
      <c r="AH1207" s="232"/>
      <c r="AI1207" s="232"/>
      <c r="AJ1207" s="232"/>
      <c r="AK1207" s="232"/>
      <c r="AL1207" s="232"/>
      <c r="AM1207" s="232"/>
      <c r="AN1207" s="232"/>
      <c r="AO1207" s="231"/>
      <c r="AP1207" s="231"/>
      <c r="AQ1207" s="227"/>
      <c r="AR1207" s="231"/>
      <c r="AS1207" s="227"/>
      <c r="AT1207" s="227"/>
      <c r="AU1207" s="227"/>
      <c r="AV1207" s="227"/>
    </row>
    <row r="1208">
      <c r="A1208" s="227"/>
      <c r="B1208" s="232"/>
      <c r="C1208" s="227"/>
      <c r="D1208" s="227"/>
      <c r="E1208" s="231"/>
      <c r="F1208" s="232"/>
      <c r="G1208" s="227"/>
      <c r="H1208" s="227"/>
      <c r="I1208" s="227"/>
      <c r="J1208" s="227"/>
      <c r="K1208" s="227"/>
      <c r="L1208" s="232"/>
      <c r="M1208" s="232"/>
      <c r="N1208" s="227"/>
      <c r="O1208" s="227"/>
      <c r="P1208" s="231"/>
      <c r="Q1208" s="227"/>
      <c r="R1208" s="231"/>
      <c r="S1208" s="231"/>
      <c r="T1208" s="231"/>
      <c r="U1208" s="231"/>
      <c r="V1208" s="231"/>
      <c r="W1208" s="231"/>
      <c r="X1208" s="227"/>
      <c r="Y1208" s="232"/>
      <c r="Z1208" s="232"/>
      <c r="AA1208" s="232"/>
      <c r="AB1208" s="232"/>
      <c r="AC1208" s="227"/>
      <c r="AD1208" s="227"/>
      <c r="AE1208" s="231"/>
      <c r="AF1208" s="227"/>
      <c r="AG1208" s="232"/>
      <c r="AH1208" s="232"/>
      <c r="AI1208" s="232"/>
      <c r="AJ1208" s="232"/>
      <c r="AK1208" s="232"/>
      <c r="AL1208" s="232"/>
      <c r="AM1208" s="232"/>
      <c r="AN1208" s="232"/>
      <c r="AO1208" s="231"/>
      <c r="AP1208" s="231"/>
      <c r="AQ1208" s="227"/>
      <c r="AR1208" s="231"/>
      <c r="AS1208" s="227"/>
      <c r="AT1208" s="227"/>
      <c r="AU1208" s="227"/>
      <c r="AV1208" s="227"/>
    </row>
    <row r="1209">
      <c r="A1209" s="227"/>
      <c r="B1209" s="232"/>
      <c r="C1209" s="227"/>
      <c r="D1209" s="227"/>
      <c r="E1209" s="231"/>
      <c r="F1209" s="232"/>
      <c r="G1209" s="227"/>
      <c r="H1209" s="227"/>
      <c r="I1209" s="227"/>
      <c r="J1209" s="227"/>
      <c r="K1209" s="227"/>
      <c r="L1209" s="232"/>
      <c r="M1209" s="232"/>
      <c r="N1209" s="227"/>
      <c r="O1209" s="227"/>
      <c r="P1209" s="231"/>
      <c r="Q1209" s="227"/>
      <c r="R1209" s="231"/>
      <c r="S1209" s="231"/>
      <c r="T1209" s="231"/>
      <c r="U1209" s="231"/>
      <c r="V1209" s="231"/>
      <c r="W1209" s="231"/>
      <c r="X1209" s="227"/>
      <c r="Y1209" s="232"/>
      <c r="Z1209" s="232"/>
      <c r="AA1209" s="232"/>
      <c r="AB1209" s="232"/>
      <c r="AC1209" s="227"/>
      <c r="AD1209" s="227"/>
      <c r="AE1209" s="231"/>
      <c r="AF1209" s="227"/>
      <c r="AG1209" s="232"/>
      <c r="AH1209" s="232"/>
      <c r="AI1209" s="232"/>
      <c r="AJ1209" s="232"/>
      <c r="AK1209" s="232"/>
      <c r="AL1209" s="232"/>
      <c r="AM1209" s="232"/>
      <c r="AN1209" s="232"/>
      <c r="AO1209" s="231"/>
      <c r="AP1209" s="231"/>
      <c r="AQ1209" s="227"/>
      <c r="AR1209" s="231"/>
      <c r="AS1209" s="227"/>
      <c r="AT1209" s="227"/>
      <c r="AU1209" s="227"/>
      <c r="AV1209" s="227"/>
    </row>
    <row r="1210">
      <c r="A1210" s="227"/>
      <c r="B1210" s="232"/>
      <c r="C1210" s="227"/>
      <c r="D1210" s="227"/>
      <c r="E1210" s="231"/>
      <c r="F1210" s="232"/>
      <c r="G1210" s="227"/>
      <c r="H1210" s="227"/>
      <c r="I1210" s="227"/>
      <c r="J1210" s="227"/>
      <c r="K1210" s="227"/>
      <c r="L1210" s="232"/>
      <c r="M1210" s="232"/>
      <c r="N1210" s="227"/>
      <c r="O1210" s="227"/>
      <c r="P1210" s="231"/>
      <c r="Q1210" s="227"/>
      <c r="R1210" s="231"/>
      <c r="S1210" s="231"/>
      <c r="T1210" s="231"/>
      <c r="U1210" s="231"/>
      <c r="V1210" s="231"/>
      <c r="W1210" s="231"/>
      <c r="X1210" s="227"/>
      <c r="Y1210" s="232"/>
      <c r="Z1210" s="232"/>
      <c r="AA1210" s="232"/>
      <c r="AB1210" s="232"/>
      <c r="AC1210" s="227"/>
      <c r="AD1210" s="227"/>
      <c r="AE1210" s="231"/>
      <c r="AF1210" s="227"/>
      <c r="AG1210" s="232"/>
      <c r="AH1210" s="232"/>
      <c r="AI1210" s="232"/>
      <c r="AJ1210" s="232"/>
      <c r="AK1210" s="232"/>
      <c r="AL1210" s="232"/>
      <c r="AM1210" s="232"/>
      <c r="AN1210" s="232"/>
      <c r="AO1210" s="231"/>
      <c r="AP1210" s="231"/>
      <c r="AQ1210" s="227"/>
      <c r="AR1210" s="231"/>
      <c r="AS1210" s="227"/>
      <c r="AT1210" s="227"/>
      <c r="AU1210" s="227"/>
      <c r="AV1210" s="227"/>
    </row>
    <row r="1211">
      <c r="A1211" s="227"/>
      <c r="B1211" s="232"/>
      <c r="C1211" s="227"/>
      <c r="D1211" s="227"/>
      <c r="E1211" s="231"/>
      <c r="F1211" s="232"/>
      <c r="G1211" s="227"/>
      <c r="H1211" s="227"/>
      <c r="I1211" s="227"/>
      <c r="J1211" s="227"/>
      <c r="K1211" s="227"/>
      <c r="L1211" s="232"/>
      <c r="M1211" s="232"/>
      <c r="N1211" s="227"/>
      <c r="O1211" s="227"/>
      <c r="P1211" s="231"/>
      <c r="Q1211" s="227"/>
      <c r="R1211" s="231"/>
      <c r="S1211" s="231"/>
      <c r="T1211" s="231"/>
      <c r="U1211" s="231"/>
      <c r="V1211" s="231"/>
      <c r="W1211" s="231"/>
      <c r="X1211" s="227"/>
      <c r="Y1211" s="232"/>
      <c r="Z1211" s="232"/>
      <c r="AA1211" s="232"/>
      <c r="AB1211" s="232"/>
      <c r="AC1211" s="227"/>
      <c r="AD1211" s="227"/>
      <c r="AE1211" s="231"/>
      <c r="AF1211" s="227"/>
      <c r="AG1211" s="232"/>
      <c r="AH1211" s="232"/>
      <c r="AI1211" s="232"/>
      <c r="AJ1211" s="232"/>
      <c r="AK1211" s="232"/>
      <c r="AL1211" s="232"/>
      <c r="AM1211" s="232"/>
      <c r="AN1211" s="232"/>
      <c r="AO1211" s="231"/>
      <c r="AP1211" s="231"/>
      <c r="AQ1211" s="227"/>
      <c r="AR1211" s="231"/>
      <c r="AS1211" s="227"/>
      <c r="AT1211" s="227"/>
      <c r="AU1211" s="227"/>
      <c r="AV1211" s="227"/>
    </row>
    <row r="1212">
      <c r="A1212" s="227"/>
      <c r="B1212" s="232"/>
      <c r="C1212" s="227"/>
      <c r="D1212" s="227"/>
      <c r="E1212" s="231"/>
      <c r="F1212" s="232"/>
      <c r="G1212" s="227"/>
      <c r="H1212" s="227"/>
      <c r="I1212" s="227"/>
      <c r="J1212" s="227"/>
      <c r="K1212" s="227"/>
      <c r="L1212" s="232"/>
      <c r="M1212" s="232"/>
      <c r="N1212" s="227"/>
      <c r="O1212" s="227"/>
      <c r="P1212" s="231"/>
      <c r="Q1212" s="227"/>
      <c r="R1212" s="231"/>
      <c r="S1212" s="231"/>
      <c r="T1212" s="231"/>
      <c r="U1212" s="231"/>
      <c r="V1212" s="231"/>
      <c r="W1212" s="231"/>
      <c r="X1212" s="227"/>
      <c r="Y1212" s="232"/>
      <c r="Z1212" s="232"/>
      <c r="AA1212" s="232"/>
      <c r="AB1212" s="232"/>
      <c r="AC1212" s="227"/>
      <c r="AD1212" s="227"/>
      <c r="AE1212" s="231"/>
      <c r="AF1212" s="227"/>
      <c r="AG1212" s="232"/>
      <c r="AH1212" s="232"/>
      <c r="AI1212" s="232"/>
      <c r="AJ1212" s="232"/>
      <c r="AK1212" s="232"/>
      <c r="AL1212" s="232"/>
      <c r="AM1212" s="232"/>
      <c r="AN1212" s="232"/>
      <c r="AO1212" s="231"/>
      <c r="AP1212" s="231"/>
      <c r="AQ1212" s="227"/>
      <c r="AR1212" s="231"/>
      <c r="AS1212" s="227"/>
      <c r="AT1212" s="227"/>
      <c r="AU1212" s="227"/>
      <c r="AV1212" s="227"/>
    </row>
    <row r="1213">
      <c r="A1213" s="227"/>
      <c r="B1213" s="232"/>
      <c r="C1213" s="227"/>
      <c r="D1213" s="227"/>
      <c r="E1213" s="231"/>
      <c r="F1213" s="232"/>
      <c r="G1213" s="227"/>
      <c r="H1213" s="227"/>
      <c r="I1213" s="227"/>
      <c r="J1213" s="227"/>
      <c r="K1213" s="227"/>
      <c r="L1213" s="232"/>
      <c r="M1213" s="232"/>
      <c r="N1213" s="227"/>
      <c r="O1213" s="227"/>
      <c r="P1213" s="231"/>
      <c r="Q1213" s="227"/>
      <c r="R1213" s="231"/>
      <c r="S1213" s="231"/>
      <c r="T1213" s="231"/>
      <c r="U1213" s="231"/>
      <c r="V1213" s="231"/>
      <c r="W1213" s="231"/>
      <c r="X1213" s="227"/>
      <c r="Y1213" s="232"/>
      <c r="Z1213" s="232"/>
      <c r="AA1213" s="232"/>
      <c r="AB1213" s="232"/>
      <c r="AC1213" s="227"/>
      <c r="AD1213" s="227"/>
      <c r="AE1213" s="231"/>
      <c r="AF1213" s="227"/>
      <c r="AG1213" s="232"/>
      <c r="AH1213" s="232"/>
      <c r="AI1213" s="232"/>
      <c r="AJ1213" s="232"/>
      <c r="AK1213" s="232"/>
      <c r="AL1213" s="232"/>
      <c r="AM1213" s="232"/>
      <c r="AN1213" s="232"/>
      <c r="AO1213" s="231"/>
      <c r="AP1213" s="231"/>
      <c r="AQ1213" s="227"/>
      <c r="AR1213" s="231"/>
      <c r="AS1213" s="227"/>
      <c r="AT1213" s="227"/>
      <c r="AU1213" s="227"/>
      <c r="AV1213" s="227"/>
    </row>
    <row r="1214">
      <c r="A1214" s="227"/>
      <c r="B1214" s="232"/>
      <c r="C1214" s="227"/>
      <c r="D1214" s="227"/>
      <c r="E1214" s="231"/>
      <c r="F1214" s="232"/>
      <c r="G1214" s="227"/>
      <c r="H1214" s="227"/>
      <c r="I1214" s="227"/>
      <c r="J1214" s="227"/>
      <c r="K1214" s="227"/>
      <c r="L1214" s="232"/>
      <c r="M1214" s="232"/>
      <c r="N1214" s="227"/>
      <c r="O1214" s="227"/>
      <c r="P1214" s="231"/>
      <c r="Q1214" s="227"/>
      <c r="R1214" s="231"/>
      <c r="S1214" s="231"/>
      <c r="T1214" s="231"/>
      <c r="U1214" s="231"/>
      <c r="V1214" s="231"/>
      <c r="W1214" s="231"/>
      <c r="X1214" s="227"/>
      <c r="Y1214" s="232"/>
      <c r="Z1214" s="232"/>
      <c r="AA1214" s="232"/>
      <c r="AB1214" s="232"/>
      <c r="AC1214" s="227"/>
      <c r="AD1214" s="227"/>
      <c r="AE1214" s="231"/>
      <c r="AF1214" s="227"/>
      <c r="AG1214" s="232"/>
      <c r="AH1214" s="232"/>
      <c r="AI1214" s="232"/>
      <c r="AJ1214" s="232"/>
      <c r="AK1214" s="232"/>
      <c r="AL1214" s="232"/>
      <c r="AM1214" s="232"/>
      <c r="AN1214" s="232"/>
      <c r="AO1214" s="231"/>
      <c r="AP1214" s="231"/>
      <c r="AQ1214" s="227"/>
      <c r="AR1214" s="231"/>
      <c r="AS1214" s="227"/>
      <c r="AT1214" s="227"/>
      <c r="AU1214" s="227"/>
      <c r="AV1214" s="227"/>
    </row>
    <row r="1215">
      <c r="A1215" s="227"/>
      <c r="B1215" s="232"/>
      <c r="C1215" s="227"/>
      <c r="D1215" s="227"/>
      <c r="E1215" s="231"/>
      <c r="F1215" s="232"/>
      <c r="G1215" s="227"/>
      <c r="H1215" s="227"/>
      <c r="I1215" s="227"/>
      <c r="J1215" s="227"/>
      <c r="K1215" s="227"/>
      <c r="L1215" s="232"/>
      <c r="M1215" s="232"/>
      <c r="N1215" s="227"/>
      <c r="O1215" s="227"/>
      <c r="P1215" s="231"/>
      <c r="Q1215" s="227"/>
      <c r="R1215" s="231"/>
      <c r="S1215" s="231"/>
      <c r="T1215" s="231"/>
      <c r="U1215" s="231"/>
      <c r="V1215" s="231"/>
      <c r="W1215" s="231"/>
      <c r="X1215" s="227"/>
      <c r="Y1215" s="232"/>
      <c r="Z1215" s="232"/>
      <c r="AA1215" s="232"/>
      <c r="AB1215" s="232"/>
      <c r="AC1215" s="227"/>
      <c r="AD1215" s="227"/>
      <c r="AE1215" s="231"/>
      <c r="AF1215" s="227"/>
      <c r="AG1215" s="232"/>
      <c r="AH1215" s="232"/>
      <c r="AI1215" s="232"/>
      <c r="AJ1215" s="232"/>
      <c r="AK1215" s="232"/>
      <c r="AL1215" s="232"/>
      <c r="AM1215" s="232"/>
      <c r="AN1215" s="232"/>
      <c r="AO1215" s="231"/>
      <c r="AP1215" s="231"/>
      <c r="AQ1215" s="227"/>
      <c r="AR1215" s="231"/>
      <c r="AS1215" s="227"/>
      <c r="AT1215" s="227"/>
      <c r="AU1215" s="227"/>
      <c r="AV1215" s="227"/>
    </row>
    <row r="1216">
      <c r="A1216" s="227"/>
      <c r="B1216" s="232"/>
      <c r="C1216" s="227"/>
      <c r="D1216" s="227"/>
      <c r="E1216" s="231"/>
      <c r="F1216" s="232"/>
      <c r="G1216" s="227"/>
      <c r="H1216" s="227"/>
      <c r="I1216" s="227"/>
      <c r="J1216" s="227"/>
      <c r="K1216" s="227"/>
      <c r="L1216" s="232"/>
      <c r="M1216" s="232"/>
      <c r="N1216" s="227"/>
      <c r="O1216" s="227"/>
      <c r="P1216" s="231"/>
      <c r="Q1216" s="227"/>
      <c r="R1216" s="231"/>
      <c r="S1216" s="231"/>
      <c r="T1216" s="231"/>
      <c r="U1216" s="231"/>
      <c r="V1216" s="231"/>
      <c r="W1216" s="231"/>
      <c r="X1216" s="227"/>
      <c r="Y1216" s="232"/>
      <c r="Z1216" s="232"/>
      <c r="AA1216" s="232"/>
      <c r="AB1216" s="232"/>
      <c r="AC1216" s="227"/>
      <c r="AD1216" s="227"/>
      <c r="AE1216" s="231"/>
      <c r="AF1216" s="227"/>
      <c r="AG1216" s="232"/>
      <c r="AH1216" s="232"/>
      <c r="AI1216" s="232"/>
      <c r="AJ1216" s="232"/>
      <c r="AK1216" s="232"/>
      <c r="AL1216" s="232"/>
      <c r="AM1216" s="232"/>
      <c r="AN1216" s="232"/>
      <c r="AO1216" s="231"/>
      <c r="AP1216" s="231"/>
      <c r="AQ1216" s="227"/>
      <c r="AR1216" s="231"/>
      <c r="AS1216" s="227"/>
      <c r="AT1216" s="227"/>
      <c r="AU1216" s="227"/>
      <c r="AV1216" s="227"/>
    </row>
    <row r="1217">
      <c r="A1217" s="227"/>
      <c r="B1217" s="232"/>
      <c r="C1217" s="227"/>
      <c r="D1217" s="227"/>
      <c r="E1217" s="231"/>
      <c r="F1217" s="232"/>
      <c r="G1217" s="227"/>
      <c r="H1217" s="227"/>
      <c r="I1217" s="227"/>
      <c r="J1217" s="227"/>
      <c r="K1217" s="227"/>
      <c r="L1217" s="232"/>
      <c r="M1217" s="232"/>
      <c r="N1217" s="227"/>
      <c r="O1217" s="227"/>
      <c r="P1217" s="231"/>
      <c r="Q1217" s="227"/>
      <c r="R1217" s="231"/>
      <c r="S1217" s="231"/>
      <c r="T1217" s="231"/>
      <c r="U1217" s="231"/>
      <c r="V1217" s="231"/>
      <c r="W1217" s="231"/>
      <c r="X1217" s="227"/>
      <c r="Y1217" s="232"/>
      <c r="Z1217" s="232"/>
      <c r="AA1217" s="232"/>
      <c r="AB1217" s="232"/>
      <c r="AC1217" s="227"/>
      <c r="AD1217" s="227"/>
      <c r="AE1217" s="231"/>
      <c r="AF1217" s="227"/>
      <c r="AG1217" s="232"/>
      <c r="AH1217" s="232"/>
      <c r="AI1217" s="232"/>
      <c r="AJ1217" s="232"/>
      <c r="AK1217" s="232"/>
      <c r="AL1217" s="232"/>
      <c r="AM1217" s="232"/>
      <c r="AN1217" s="232"/>
      <c r="AO1217" s="231"/>
      <c r="AP1217" s="231"/>
      <c r="AQ1217" s="227"/>
      <c r="AR1217" s="231"/>
      <c r="AS1217" s="227"/>
      <c r="AT1217" s="227"/>
      <c r="AU1217" s="227"/>
      <c r="AV1217" s="227"/>
    </row>
    <row r="1218">
      <c r="A1218" s="227"/>
      <c r="B1218" s="232"/>
      <c r="C1218" s="227"/>
      <c r="D1218" s="227"/>
      <c r="E1218" s="231"/>
      <c r="F1218" s="232"/>
      <c r="G1218" s="227"/>
      <c r="H1218" s="227"/>
      <c r="I1218" s="227"/>
      <c r="J1218" s="227"/>
      <c r="K1218" s="227"/>
      <c r="L1218" s="232"/>
      <c r="M1218" s="232"/>
      <c r="N1218" s="227"/>
      <c r="O1218" s="227"/>
      <c r="P1218" s="231"/>
      <c r="Q1218" s="227"/>
      <c r="R1218" s="231"/>
      <c r="S1218" s="231"/>
      <c r="T1218" s="231"/>
      <c r="U1218" s="231"/>
      <c r="V1218" s="231"/>
      <c r="W1218" s="231"/>
      <c r="X1218" s="227"/>
      <c r="Y1218" s="232"/>
      <c r="Z1218" s="232"/>
      <c r="AA1218" s="232"/>
      <c r="AB1218" s="232"/>
      <c r="AC1218" s="227"/>
      <c r="AD1218" s="227"/>
      <c r="AE1218" s="231"/>
      <c r="AF1218" s="227"/>
      <c r="AG1218" s="232"/>
      <c r="AH1218" s="232"/>
      <c r="AI1218" s="232"/>
      <c r="AJ1218" s="232"/>
      <c r="AK1218" s="232"/>
      <c r="AL1218" s="232"/>
      <c r="AM1218" s="232"/>
      <c r="AN1218" s="232"/>
      <c r="AO1218" s="231"/>
      <c r="AP1218" s="231"/>
      <c r="AQ1218" s="227"/>
      <c r="AR1218" s="231"/>
      <c r="AS1218" s="227"/>
      <c r="AT1218" s="227"/>
      <c r="AU1218" s="227"/>
      <c r="AV1218" s="227"/>
    </row>
    <row r="1219">
      <c r="A1219" s="227"/>
      <c r="B1219" s="232"/>
      <c r="C1219" s="227"/>
      <c r="D1219" s="227"/>
      <c r="E1219" s="231"/>
      <c r="F1219" s="232"/>
      <c r="G1219" s="227"/>
      <c r="H1219" s="227"/>
      <c r="I1219" s="227"/>
      <c r="J1219" s="227"/>
      <c r="K1219" s="227"/>
      <c r="L1219" s="232"/>
      <c r="M1219" s="232"/>
      <c r="N1219" s="227"/>
      <c r="O1219" s="227"/>
      <c r="P1219" s="231"/>
      <c r="Q1219" s="227"/>
      <c r="R1219" s="231"/>
      <c r="S1219" s="231"/>
      <c r="T1219" s="231"/>
      <c r="U1219" s="231"/>
      <c r="V1219" s="231"/>
      <c r="W1219" s="231"/>
      <c r="X1219" s="227"/>
      <c r="Y1219" s="232"/>
      <c r="Z1219" s="232"/>
      <c r="AA1219" s="232"/>
      <c r="AB1219" s="232"/>
      <c r="AC1219" s="227"/>
      <c r="AD1219" s="227"/>
      <c r="AE1219" s="231"/>
      <c r="AF1219" s="227"/>
      <c r="AG1219" s="232"/>
      <c r="AH1219" s="232"/>
      <c r="AI1219" s="232"/>
      <c r="AJ1219" s="232"/>
      <c r="AK1219" s="232"/>
      <c r="AL1219" s="232"/>
      <c r="AM1219" s="232"/>
      <c r="AN1219" s="232"/>
      <c r="AO1219" s="231"/>
      <c r="AP1219" s="231"/>
      <c r="AQ1219" s="227"/>
      <c r="AR1219" s="231"/>
      <c r="AS1219" s="227"/>
      <c r="AT1219" s="227"/>
      <c r="AU1219" s="227"/>
      <c r="AV1219" s="227"/>
    </row>
    <row r="1220">
      <c r="A1220" s="227"/>
      <c r="B1220" s="232"/>
      <c r="C1220" s="227"/>
      <c r="D1220" s="227"/>
      <c r="E1220" s="231"/>
      <c r="F1220" s="232"/>
      <c r="G1220" s="227"/>
      <c r="H1220" s="227"/>
      <c r="I1220" s="227"/>
      <c r="J1220" s="227"/>
      <c r="K1220" s="227"/>
      <c r="L1220" s="232"/>
      <c r="M1220" s="232"/>
      <c r="N1220" s="227"/>
      <c r="O1220" s="227"/>
      <c r="P1220" s="231"/>
      <c r="Q1220" s="227"/>
      <c r="R1220" s="231"/>
      <c r="S1220" s="231"/>
      <c r="T1220" s="231"/>
      <c r="U1220" s="231"/>
      <c r="V1220" s="231"/>
      <c r="W1220" s="231"/>
      <c r="X1220" s="227"/>
      <c r="Y1220" s="232"/>
      <c r="Z1220" s="232"/>
      <c r="AA1220" s="232"/>
      <c r="AB1220" s="232"/>
      <c r="AC1220" s="227"/>
      <c r="AD1220" s="227"/>
      <c r="AE1220" s="231"/>
      <c r="AF1220" s="227"/>
      <c r="AG1220" s="232"/>
      <c r="AH1220" s="232"/>
      <c r="AI1220" s="232"/>
      <c r="AJ1220" s="232"/>
      <c r="AK1220" s="232"/>
      <c r="AL1220" s="232"/>
      <c r="AM1220" s="232"/>
      <c r="AN1220" s="232"/>
      <c r="AO1220" s="231"/>
      <c r="AP1220" s="231"/>
      <c r="AQ1220" s="227"/>
      <c r="AR1220" s="231"/>
      <c r="AS1220" s="227"/>
      <c r="AT1220" s="227"/>
      <c r="AU1220" s="227"/>
      <c r="AV1220" s="227"/>
    </row>
    <row r="1221">
      <c r="A1221" s="227"/>
      <c r="B1221" s="232"/>
      <c r="C1221" s="227"/>
      <c r="D1221" s="227"/>
      <c r="E1221" s="231"/>
      <c r="F1221" s="232"/>
      <c r="G1221" s="227"/>
      <c r="H1221" s="227"/>
      <c r="I1221" s="227"/>
      <c r="J1221" s="227"/>
      <c r="K1221" s="227"/>
      <c r="L1221" s="232"/>
      <c r="M1221" s="232"/>
      <c r="N1221" s="227"/>
      <c r="O1221" s="227"/>
      <c r="P1221" s="231"/>
      <c r="Q1221" s="227"/>
      <c r="R1221" s="231"/>
      <c r="S1221" s="231"/>
      <c r="T1221" s="231"/>
      <c r="U1221" s="231"/>
      <c r="V1221" s="231"/>
      <c r="W1221" s="231"/>
      <c r="X1221" s="227"/>
      <c r="Y1221" s="232"/>
      <c r="Z1221" s="232"/>
      <c r="AA1221" s="232"/>
      <c r="AB1221" s="232"/>
      <c r="AC1221" s="227"/>
      <c r="AD1221" s="227"/>
      <c r="AE1221" s="231"/>
      <c r="AF1221" s="227"/>
      <c r="AG1221" s="232"/>
      <c r="AH1221" s="232"/>
      <c r="AI1221" s="232"/>
      <c r="AJ1221" s="232"/>
      <c r="AK1221" s="232"/>
      <c r="AL1221" s="232"/>
      <c r="AM1221" s="232"/>
      <c r="AN1221" s="232"/>
      <c r="AO1221" s="231"/>
      <c r="AP1221" s="231"/>
      <c r="AQ1221" s="227"/>
      <c r="AR1221" s="231"/>
      <c r="AS1221" s="227"/>
      <c r="AT1221" s="227"/>
      <c r="AU1221" s="227"/>
      <c r="AV1221" s="227"/>
    </row>
    <row r="1222">
      <c r="A1222" s="227"/>
      <c r="B1222" s="232"/>
      <c r="C1222" s="227"/>
      <c r="D1222" s="227"/>
      <c r="E1222" s="231"/>
      <c r="F1222" s="232"/>
      <c r="G1222" s="227"/>
      <c r="H1222" s="227"/>
      <c r="I1222" s="227"/>
      <c r="J1222" s="227"/>
      <c r="K1222" s="227"/>
      <c r="L1222" s="232"/>
      <c r="M1222" s="232"/>
      <c r="N1222" s="227"/>
      <c r="O1222" s="227"/>
      <c r="P1222" s="231"/>
      <c r="Q1222" s="227"/>
      <c r="R1222" s="231"/>
      <c r="S1222" s="231"/>
      <c r="T1222" s="231"/>
      <c r="U1222" s="231"/>
      <c r="V1222" s="231"/>
      <c r="W1222" s="231"/>
      <c r="X1222" s="227"/>
      <c r="Y1222" s="232"/>
      <c r="Z1222" s="232"/>
      <c r="AA1222" s="232"/>
      <c r="AB1222" s="232"/>
      <c r="AC1222" s="227"/>
      <c r="AD1222" s="227"/>
      <c r="AE1222" s="231"/>
      <c r="AF1222" s="227"/>
      <c r="AG1222" s="232"/>
      <c r="AH1222" s="232"/>
      <c r="AI1222" s="232"/>
      <c r="AJ1222" s="232"/>
      <c r="AK1222" s="232"/>
      <c r="AL1222" s="232"/>
      <c r="AM1222" s="232"/>
      <c r="AN1222" s="232"/>
      <c r="AO1222" s="231"/>
      <c r="AP1222" s="231"/>
      <c r="AQ1222" s="227"/>
      <c r="AR1222" s="231"/>
      <c r="AS1222" s="227"/>
      <c r="AT1222" s="227"/>
      <c r="AU1222" s="227"/>
      <c r="AV1222" s="227"/>
    </row>
    <row r="1223">
      <c r="A1223" s="227"/>
      <c r="B1223" s="232"/>
      <c r="C1223" s="227"/>
      <c r="D1223" s="227"/>
      <c r="E1223" s="231"/>
      <c r="F1223" s="232"/>
      <c r="G1223" s="227"/>
      <c r="H1223" s="227"/>
      <c r="I1223" s="227"/>
      <c r="J1223" s="227"/>
      <c r="K1223" s="227"/>
      <c r="L1223" s="232"/>
      <c r="M1223" s="232"/>
      <c r="N1223" s="227"/>
      <c r="O1223" s="227"/>
      <c r="P1223" s="231"/>
      <c r="Q1223" s="227"/>
      <c r="R1223" s="231"/>
      <c r="S1223" s="231"/>
      <c r="T1223" s="231"/>
      <c r="U1223" s="231"/>
      <c r="V1223" s="231"/>
      <c r="W1223" s="231"/>
      <c r="X1223" s="227"/>
      <c r="Y1223" s="232"/>
      <c r="Z1223" s="232"/>
      <c r="AA1223" s="232"/>
      <c r="AB1223" s="232"/>
      <c r="AC1223" s="227"/>
      <c r="AD1223" s="227"/>
      <c r="AE1223" s="231"/>
      <c r="AF1223" s="227"/>
      <c r="AG1223" s="232"/>
      <c r="AH1223" s="232"/>
      <c r="AI1223" s="232"/>
      <c r="AJ1223" s="232"/>
      <c r="AK1223" s="232"/>
      <c r="AL1223" s="232"/>
      <c r="AM1223" s="232"/>
      <c r="AN1223" s="232"/>
      <c r="AO1223" s="231"/>
      <c r="AP1223" s="231"/>
      <c r="AQ1223" s="227"/>
      <c r="AR1223" s="231"/>
      <c r="AS1223" s="227"/>
      <c r="AT1223" s="227"/>
      <c r="AU1223" s="227"/>
      <c r="AV1223" s="227"/>
    </row>
    <row r="1224">
      <c r="A1224" s="227"/>
      <c r="B1224" s="232"/>
      <c r="C1224" s="227"/>
      <c r="D1224" s="227"/>
      <c r="E1224" s="231"/>
      <c r="F1224" s="232"/>
      <c r="G1224" s="227"/>
      <c r="H1224" s="227"/>
      <c r="I1224" s="227"/>
      <c r="J1224" s="227"/>
      <c r="K1224" s="227"/>
      <c r="L1224" s="232"/>
      <c r="M1224" s="232"/>
      <c r="N1224" s="227"/>
      <c r="O1224" s="227"/>
      <c r="P1224" s="231"/>
      <c r="Q1224" s="227"/>
      <c r="R1224" s="231"/>
      <c r="S1224" s="231"/>
      <c r="T1224" s="231"/>
      <c r="U1224" s="231"/>
      <c r="V1224" s="231"/>
      <c r="W1224" s="231"/>
      <c r="X1224" s="227"/>
      <c r="Y1224" s="232"/>
      <c r="Z1224" s="232"/>
      <c r="AA1224" s="232"/>
      <c r="AB1224" s="232"/>
      <c r="AC1224" s="227"/>
      <c r="AD1224" s="227"/>
      <c r="AE1224" s="231"/>
      <c r="AF1224" s="227"/>
      <c r="AG1224" s="232"/>
      <c r="AH1224" s="232"/>
      <c r="AI1224" s="232"/>
      <c r="AJ1224" s="232"/>
      <c r="AK1224" s="232"/>
      <c r="AL1224" s="232"/>
      <c r="AM1224" s="232"/>
      <c r="AN1224" s="232"/>
      <c r="AO1224" s="231"/>
      <c r="AP1224" s="231"/>
      <c r="AQ1224" s="227"/>
      <c r="AR1224" s="231"/>
      <c r="AS1224" s="227"/>
      <c r="AT1224" s="227"/>
      <c r="AU1224" s="227"/>
      <c r="AV1224" s="227"/>
    </row>
    <row r="1225">
      <c r="A1225" s="227"/>
      <c r="B1225" s="232"/>
      <c r="C1225" s="227"/>
      <c r="D1225" s="227"/>
      <c r="E1225" s="231"/>
      <c r="F1225" s="232"/>
      <c r="G1225" s="227"/>
      <c r="H1225" s="227"/>
      <c r="I1225" s="227"/>
      <c r="J1225" s="227"/>
      <c r="K1225" s="227"/>
      <c r="L1225" s="232"/>
      <c r="M1225" s="232"/>
      <c r="N1225" s="227"/>
      <c r="O1225" s="227"/>
      <c r="P1225" s="231"/>
      <c r="Q1225" s="227"/>
      <c r="R1225" s="231"/>
      <c r="S1225" s="231"/>
      <c r="T1225" s="231"/>
      <c r="U1225" s="231"/>
      <c r="V1225" s="231"/>
      <c r="W1225" s="231"/>
      <c r="X1225" s="227"/>
      <c r="Y1225" s="232"/>
      <c r="Z1225" s="232"/>
      <c r="AA1225" s="232"/>
      <c r="AB1225" s="232"/>
      <c r="AC1225" s="227"/>
      <c r="AD1225" s="227"/>
      <c r="AE1225" s="231"/>
      <c r="AF1225" s="227"/>
      <c r="AG1225" s="232"/>
      <c r="AH1225" s="232"/>
      <c r="AI1225" s="232"/>
      <c r="AJ1225" s="232"/>
      <c r="AK1225" s="232"/>
      <c r="AL1225" s="232"/>
      <c r="AM1225" s="232"/>
      <c r="AN1225" s="232"/>
      <c r="AO1225" s="231"/>
      <c r="AP1225" s="231"/>
      <c r="AQ1225" s="227"/>
      <c r="AR1225" s="231"/>
      <c r="AS1225" s="227"/>
      <c r="AT1225" s="227"/>
      <c r="AU1225" s="227"/>
      <c r="AV1225" s="227"/>
    </row>
    <row r="1226">
      <c r="A1226" s="227"/>
      <c r="B1226" s="232"/>
      <c r="C1226" s="227"/>
      <c r="D1226" s="227"/>
      <c r="E1226" s="231"/>
      <c r="F1226" s="232"/>
      <c r="G1226" s="227"/>
      <c r="H1226" s="227"/>
      <c r="I1226" s="227"/>
      <c r="J1226" s="227"/>
      <c r="K1226" s="227"/>
      <c r="L1226" s="232"/>
      <c r="M1226" s="232"/>
      <c r="N1226" s="227"/>
      <c r="O1226" s="227"/>
      <c r="P1226" s="231"/>
      <c r="Q1226" s="227"/>
      <c r="R1226" s="231"/>
      <c r="S1226" s="231"/>
      <c r="T1226" s="231"/>
      <c r="U1226" s="231"/>
      <c r="V1226" s="231"/>
      <c r="W1226" s="231"/>
      <c r="X1226" s="227"/>
      <c r="Y1226" s="232"/>
      <c r="Z1226" s="232"/>
      <c r="AA1226" s="232"/>
      <c r="AB1226" s="232"/>
      <c r="AC1226" s="227"/>
      <c r="AD1226" s="227"/>
      <c r="AE1226" s="231"/>
      <c r="AF1226" s="227"/>
      <c r="AG1226" s="232"/>
      <c r="AH1226" s="232"/>
      <c r="AI1226" s="232"/>
      <c r="AJ1226" s="232"/>
      <c r="AK1226" s="232"/>
      <c r="AL1226" s="232"/>
      <c r="AM1226" s="232"/>
      <c r="AN1226" s="232"/>
      <c r="AO1226" s="231"/>
      <c r="AP1226" s="231"/>
      <c r="AQ1226" s="227"/>
      <c r="AR1226" s="231"/>
      <c r="AS1226" s="227"/>
      <c r="AT1226" s="227"/>
      <c r="AU1226" s="227"/>
      <c r="AV1226" s="227"/>
    </row>
    <row r="1227">
      <c r="A1227" s="227"/>
      <c r="B1227" s="232"/>
      <c r="C1227" s="227"/>
      <c r="D1227" s="227"/>
      <c r="E1227" s="231"/>
      <c r="F1227" s="232"/>
      <c r="G1227" s="227"/>
      <c r="H1227" s="227"/>
      <c r="I1227" s="227"/>
      <c r="J1227" s="227"/>
      <c r="K1227" s="227"/>
      <c r="L1227" s="232"/>
      <c r="M1227" s="232"/>
      <c r="N1227" s="227"/>
      <c r="O1227" s="227"/>
      <c r="P1227" s="231"/>
      <c r="Q1227" s="227"/>
      <c r="R1227" s="231"/>
      <c r="S1227" s="231"/>
      <c r="T1227" s="231"/>
      <c r="U1227" s="231"/>
      <c r="V1227" s="231"/>
      <c r="W1227" s="231"/>
      <c r="X1227" s="227"/>
      <c r="Y1227" s="232"/>
      <c r="Z1227" s="232"/>
      <c r="AA1227" s="232"/>
      <c r="AB1227" s="232"/>
      <c r="AC1227" s="227"/>
      <c r="AD1227" s="227"/>
      <c r="AE1227" s="231"/>
      <c r="AF1227" s="227"/>
      <c r="AG1227" s="232"/>
      <c r="AH1227" s="232"/>
      <c r="AI1227" s="232"/>
      <c r="AJ1227" s="232"/>
      <c r="AK1227" s="232"/>
      <c r="AL1227" s="232"/>
      <c r="AM1227" s="232"/>
      <c r="AN1227" s="232"/>
      <c r="AO1227" s="231"/>
      <c r="AP1227" s="231"/>
      <c r="AQ1227" s="227"/>
      <c r="AR1227" s="231"/>
      <c r="AS1227" s="227"/>
      <c r="AT1227" s="227"/>
      <c r="AU1227" s="227"/>
      <c r="AV1227" s="227"/>
    </row>
    <row r="1228">
      <c r="A1228" s="227"/>
      <c r="B1228" s="232"/>
      <c r="C1228" s="227"/>
      <c r="D1228" s="227"/>
      <c r="E1228" s="231"/>
      <c r="F1228" s="232"/>
      <c r="G1228" s="227"/>
      <c r="H1228" s="227"/>
      <c r="I1228" s="227"/>
      <c r="J1228" s="227"/>
      <c r="K1228" s="227"/>
      <c r="L1228" s="232"/>
      <c r="M1228" s="232"/>
      <c r="N1228" s="227"/>
      <c r="O1228" s="227"/>
      <c r="P1228" s="231"/>
      <c r="Q1228" s="227"/>
      <c r="R1228" s="231"/>
      <c r="S1228" s="231"/>
      <c r="T1228" s="231"/>
      <c r="U1228" s="231"/>
      <c r="V1228" s="231"/>
      <c r="W1228" s="231"/>
      <c r="X1228" s="227"/>
      <c r="Y1228" s="232"/>
      <c r="Z1228" s="232"/>
      <c r="AA1228" s="232"/>
      <c r="AB1228" s="232"/>
      <c r="AC1228" s="227"/>
      <c r="AD1228" s="227"/>
      <c r="AE1228" s="231"/>
      <c r="AF1228" s="227"/>
      <c r="AG1228" s="232"/>
      <c r="AH1228" s="232"/>
      <c r="AI1228" s="232"/>
      <c r="AJ1228" s="232"/>
      <c r="AK1228" s="232"/>
      <c r="AL1228" s="232"/>
      <c r="AM1228" s="232"/>
      <c r="AN1228" s="232"/>
      <c r="AO1228" s="231"/>
      <c r="AP1228" s="231"/>
      <c r="AQ1228" s="227"/>
      <c r="AR1228" s="231"/>
      <c r="AS1228" s="227"/>
      <c r="AT1228" s="227"/>
      <c r="AU1228" s="227"/>
      <c r="AV1228" s="227"/>
    </row>
    <row r="1229">
      <c r="A1229" s="227"/>
      <c r="B1229" s="232"/>
      <c r="C1229" s="227"/>
      <c r="D1229" s="227"/>
      <c r="E1229" s="231"/>
      <c r="F1229" s="232"/>
      <c r="G1229" s="227"/>
      <c r="H1229" s="227"/>
      <c r="I1229" s="227"/>
      <c r="J1229" s="227"/>
      <c r="K1229" s="227"/>
      <c r="L1229" s="232"/>
      <c r="M1229" s="232"/>
      <c r="N1229" s="227"/>
      <c r="O1229" s="227"/>
      <c r="P1229" s="231"/>
      <c r="Q1229" s="227"/>
      <c r="R1229" s="231"/>
      <c r="S1229" s="231"/>
      <c r="T1229" s="231"/>
      <c r="U1229" s="231"/>
      <c r="V1229" s="231"/>
      <c r="W1229" s="231"/>
      <c r="X1229" s="227"/>
      <c r="Y1229" s="232"/>
      <c r="Z1229" s="232"/>
      <c r="AA1229" s="232"/>
      <c r="AB1229" s="232"/>
      <c r="AC1229" s="227"/>
      <c r="AD1229" s="227"/>
      <c r="AE1229" s="231"/>
      <c r="AF1229" s="227"/>
      <c r="AG1229" s="232"/>
      <c r="AH1229" s="232"/>
      <c r="AI1229" s="232"/>
      <c r="AJ1229" s="232"/>
      <c r="AK1229" s="232"/>
      <c r="AL1229" s="232"/>
      <c r="AM1229" s="232"/>
      <c r="AN1229" s="232"/>
      <c r="AO1229" s="231"/>
      <c r="AP1229" s="231"/>
      <c r="AQ1229" s="227"/>
      <c r="AR1229" s="231"/>
      <c r="AS1229" s="227"/>
      <c r="AT1229" s="227"/>
      <c r="AU1229" s="227"/>
      <c r="AV1229" s="227"/>
    </row>
    <row r="1230">
      <c r="A1230" s="227"/>
      <c r="B1230" s="232"/>
      <c r="C1230" s="227"/>
      <c r="D1230" s="227"/>
      <c r="E1230" s="231"/>
      <c r="F1230" s="232"/>
      <c r="G1230" s="227"/>
      <c r="H1230" s="227"/>
      <c r="I1230" s="227"/>
      <c r="J1230" s="227"/>
      <c r="K1230" s="227"/>
      <c r="L1230" s="232"/>
      <c r="M1230" s="232"/>
      <c r="N1230" s="227"/>
      <c r="O1230" s="227"/>
      <c r="P1230" s="231"/>
      <c r="Q1230" s="227"/>
      <c r="R1230" s="231"/>
      <c r="S1230" s="231"/>
      <c r="T1230" s="231"/>
      <c r="U1230" s="231"/>
      <c r="V1230" s="231"/>
      <c r="W1230" s="231"/>
      <c r="X1230" s="227"/>
      <c r="Y1230" s="232"/>
      <c r="Z1230" s="232"/>
      <c r="AA1230" s="232"/>
      <c r="AB1230" s="232"/>
      <c r="AC1230" s="227"/>
      <c r="AD1230" s="227"/>
      <c r="AE1230" s="231"/>
      <c r="AF1230" s="227"/>
      <c r="AG1230" s="232"/>
      <c r="AH1230" s="232"/>
      <c r="AI1230" s="232"/>
      <c r="AJ1230" s="232"/>
      <c r="AK1230" s="232"/>
      <c r="AL1230" s="232"/>
      <c r="AM1230" s="232"/>
      <c r="AN1230" s="232"/>
      <c r="AO1230" s="231"/>
      <c r="AP1230" s="231"/>
      <c r="AQ1230" s="227"/>
      <c r="AR1230" s="231"/>
      <c r="AS1230" s="227"/>
      <c r="AT1230" s="227"/>
      <c r="AU1230" s="227"/>
      <c r="AV1230" s="227"/>
    </row>
    <row r="1231">
      <c r="A1231" s="227"/>
      <c r="B1231" s="232"/>
      <c r="C1231" s="227"/>
      <c r="D1231" s="227"/>
      <c r="E1231" s="231"/>
      <c r="F1231" s="232"/>
      <c r="G1231" s="227"/>
      <c r="H1231" s="227"/>
      <c r="I1231" s="227"/>
      <c r="J1231" s="227"/>
      <c r="K1231" s="227"/>
      <c r="L1231" s="232"/>
      <c r="M1231" s="232"/>
      <c r="N1231" s="227"/>
      <c r="O1231" s="227"/>
      <c r="P1231" s="231"/>
      <c r="Q1231" s="227"/>
      <c r="R1231" s="231"/>
      <c r="S1231" s="231"/>
      <c r="T1231" s="231"/>
      <c r="U1231" s="231"/>
      <c r="V1231" s="231"/>
      <c r="W1231" s="231"/>
      <c r="X1231" s="227"/>
      <c r="Y1231" s="232"/>
      <c r="Z1231" s="232"/>
      <c r="AA1231" s="232"/>
      <c r="AB1231" s="232"/>
      <c r="AC1231" s="227"/>
      <c r="AD1231" s="227"/>
      <c r="AE1231" s="231"/>
      <c r="AF1231" s="227"/>
      <c r="AG1231" s="232"/>
      <c r="AH1231" s="232"/>
      <c r="AI1231" s="232"/>
      <c r="AJ1231" s="232"/>
      <c r="AK1231" s="232"/>
      <c r="AL1231" s="232"/>
      <c r="AM1231" s="232"/>
      <c r="AN1231" s="232"/>
      <c r="AO1231" s="231"/>
      <c r="AP1231" s="231"/>
      <c r="AQ1231" s="227"/>
      <c r="AR1231" s="231"/>
      <c r="AS1231" s="227"/>
      <c r="AT1231" s="227"/>
      <c r="AU1231" s="227"/>
      <c r="AV1231" s="227"/>
    </row>
    <row r="1232">
      <c r="A1232" s="227"/>
      <c r="B1232" s="232"/>
      <c r="C1232" s="227"/>
      <c r="D1232" s="227"/>
      <c r="E1232" s="231"/>
      <c r="F1232" s="232"/>
      <c r="G1232" s="227"/>
      <c r="H1232" s="227"/>
      <c r="I1232" s="227"/>
      <c r="J1232" s="227"/>
      <c r="K1232" s="227"/>
      <c r="L1232" s="232"/>
      <c r="M1232" s="232"/>
      <c r="N1232" s="227"/>
      <c r="O1232" s="227"/>
      <c r="P1232" s="231"/>
      <c r="Q1232" s="227"/>
      <c r="R1232" s="231"/>
      <c r="S1232" s="231"/>
      <c r="T1232" s="231"/>
      <c r="U1232" s="231"/>
      <c r="V1232" s="231"/>
      <c r="W1232" s="231"/>
      <c r="X1232" s="227"/>
      <c r="Y1232" s="232"/>
      <c r="Z1232" s="232"/>
      <c r="AA1232" s="232"/>
      <c r="AB1232" s="232"/>
      <c r="AC1232" s="227"/>
      <c r="AD1232" s="227"/>
      <c r="AE1232" s="231"/>
      <c r="AF1232" s="227"/>
      <c r="AG1232" s="232"/>
      <c r="AH1232" s="232"/>
      <c r="AI1232" s="232"/>
      <c r="AJ1232" s="232"/>
      <c r="AK1232" s="232"/>
      <c r="AL1232" s="232"/>
      <c r="AM1232" s="232"/>
      <c r="AN1232" s="232"/>
      <c r="AO1232" s="231"/>
      <c r="AP1232" s="231"/>
      <c r="AQ1232" s="227"/>
      <c r="AR1232" s="231"/>
      <c r="AS1232" s="227"/>
      <c r="AT1232" s="227"/>
      <c r="AU1232" s="227"/>
      <c r="AV1232" s="227"/>
    </row>
    <row r="1233">
      <c r="A1233" s="227"/>
      <c r="B1233" s="232"/>
      <c r="C1233" s="227"/>
      <c r="D1233" s="227"/>
      <c r="E1233" s="231"/>
      <c r="F1233" s="232"/>
      <c r="G1233" s="227"/>
      <c r="H1233" s="227"/>
      <c r="I1233" s="227"/>
      <c r="J1233" s="227"/>
      <c r="K1233" s="227"/>
      <c r="L1233" s="232"/>
      <c r="M1233" s="232"/>
      <c r="N1233" s="227"/>
      <c r="O1233" s="227"/>
      <c r="P1233" s="231"/>
      <c r="Q1233" s="227"/>
      <c r="R1233" s="231"/>
      <c r="S1233" s="231"/>
      <c r="T1233" s="231"/>
      <c r="U1233" s="231"/>
      <c r="V1233" s="231"/>
      <c r="W1233" s="231"/>
      <c r="X1233" s="227"/>
      <c r="Y1233" s="232"/>
      <c r="Z1233" s="232"/>
      <c r="AA1233" s="232"/>
      <c r="AB1233" s="232"/>
      <c r="AC1233" s="227"/>
      <c r="AD1233" s="227"/>
      <c r="AE1233" s="231"/>
      <c r="AF1233" s="227"/>
      <c r="AG1233" s="232"/>
      <c r="AH1233" s="232"/>
      <c r="AI1233" s="232"/>
      <c r="AJ1233" s="232"/>
      <c r="AK1233" s="232"/>
      <c r="AL1233" s="232"/>
      <c r="AM1233" s="232"/>
      <c r="AN1233" s="232"/>
      <c r="AO1233" s="231"/>
      <c r="AP1233" s="231"/>
      <c r="AQ1233" s="227"/>
      <c r="AR1233" s="231"/>
      <c r="AS1233" s="227"/>
      <c r="AT1233" s="227"/>
      <c r="AU1233" s="227"/>
      <c r="AV1233" s="227"/>
    </row>
    <row r="1234">
      <c r="A1234" s="227"/>
      <c r="B1234" s="232"/>
      <c r="C1234" s="227"/>
      <c r="D1234" s="227"/>
      <c r="E1234" s="231"/>
      <c r="F1234" s="232"/>
      <c r="G1234" s="227"/>
      <c r="H1234" s="227"/>
      <c r="I1234" s="227"/>
      <c r="J1234" s="227"/>
      <c r="K1234" s="227"/>
      <c r="L1234" s="232"/>
      <c r="M1234" s="232"/>
      <c r="N1234" s="227"/>
      <c r="O1234" s="227"/>
      <c r="P1234" s="231"/>
      <c r="Q1234" s="227"/>
      <c r="R1234" s="231"/>
      <c r="S1234" s="231"/>
      <c r="T1234" s="231"/>
      <c r="U1234" s="231"/>
      <c r="V1234" s="231"/>
      <c r="W1234" s="231"/>
      <c r="X1234" s="227"/>
      <c r="Y1234" s="232"/>
      <c r="Z1234" s="232"/>
      <c r="AA1234" s="232"/>
      <c r="AB1234" s="232"/>
      <c r="AC1234" s="227"/>
      <c r="AD1234" s="227"/>
      <c r="AE1234" s="231"/>
      <c r="AF1234" s="227"/>
      <c r="AG1234" s="232"/>
      <c r="AH1234" s="232"/>
      <c r="AI1234" s="232"/>
      <c r="AJ1234" s="232"/>
      <c r="AK1234" s="232"/>
      <c r="AL1234" s="232"/>
      <c r="AM1234" s="232"/>
      <c r="AN1234" s="232"/>
      <c r="AO1234" s="231"/>
      <c r="AP1234" s="231"/>
      <c r="AQ1234" s="227"/>
      <c r="AR1234" s="231"/>
      <c r="AS1234" s="227"/>
      <c r="AT1234" s="227"/>
      <c r="AU1234" s="227"/>
      <c r="AV1234" s="227"/>
    </row>
    <row r="1235">
      <c r="A1235" s="227"/>
      <c r="B1235" s="232"/>
      <c r="C1235" s="227"/>
      <c r="D1235" s="227"/>
      <c r="E1235" s="231"/>
      <c r="F1235" s="232"/>
      <c r="G1235" s="227"/>
      <c r="H1235" s="227"/>
      <c r="I1235" s="227"/>
      <c r="J1235" s="227"/>
      <c r="K1235" s="227"/>
      <c r="L1235" s="232"/>
      <c r="M1235" s="232"/>
      <c r="N1235" s="227"/>
      <c r="O1235" s="227"/>
      <c r="P1235" s="231"/>
      <c r="Q1235" s="227"/>
      <c r="R1235" s="231"/>
      <c r="S1235" s="231"/>
      <c r="T1235" s="231"/>
      <c r="U1235" s="231"/>
      <c r="V1235" s="231"/>
      <c r="W1235" s="231"/>
      <c r="X1235" s="227"/>
      <c r="Y1235" s="232"/>
      <c r="Z1235" s="232"/>
      <c r="AA1235" s="232"/>
      <c r="AB1235" s="232"/>
      <c r="AC1235" s="227"/>
      <c r="AD1235" s="227"/>
      <c r="AE1235" s="231"/>
      <c r="AF1235" s="227"/>
      <c r="AG1235" s="232"/>
      <c r="AH1235" s="232"/>
      <c r="AI1235" s="232"/>
      <c r="AJ1235" s="232"/>
      <c r="AK1235" s="232"/>
      <c r="AL1235" s="232"/>
      <c r="AM1235" s="232"/>
      <c r="AN1235" s="232"/>
      <c r="AO1235" s="231"/>
      <c r="AP1235" s="231"/>
      <c r="AQ1235" s="227"/>
      <c r="AR1235" s="231"/>
      <c r="AS1235" s="227"/>
      <c r="AT1235" s="227"/>
      <c r="AU1235" s="227"/>
      <c r="AV1235" s="227"/>
    </row>
    <row r="1236">
      <c r="A1236" s="227"/>
      <c r="B1236" s="232"/>
      <c r="C1236" s="227"/>
      <c r="D1236" s="227"/>
      <c r="E1236" s="231"/>
      <c r="F1236" s="232"/>
      <c r="G1236" s="227"/>
      <c r="H1236" s="227"/>
      <c r="I1236" s="227"/>
      <c r="J1236" s="227"/>
      <c r="K1236" s="227"/>
      <c r="L1236" s="232"/>
      <c r="M1236" s="232"/>
      <c r="N1236" s="227"/>
      <c r="O1236" s="227"/>
      <c r="P1236" s="231"/>
      <c r="Q1236" s="227"/>
      <c r="R1236" s="231"/>
      <c r="S1236" s="231"/>
      <c r="T1236" s="231"/>
      <c r="U1236" s="231"/>
      <c r="V1236" s="231"/>
      <c r="W1236" s="231"/>
      <c r="X1236" s="227"/>
      <c r="Y1236" s="232"/>
      <c r="Z1236" s="232"/>
      <c r="AA1236" s="232"/>
      <c r="AB1236" s="232"/>
      <c r="AC1236" s="227"/>
      <c r="AD1236" s="227"/>
      <c r="AE1236" s="231"/>
      <c r="AF1236" s="227"/>
      <c r="AG1236" s="232"/>
      <c r="AH1236" s="232"/>
      <c r="AI1236" s="232"/>
      <c r="AJ1236" s="232"/>
      <c r="AK1236" s="232"/>
      <c r="AL1236" s="232"/>
      <c r="AM1236" s="232"/>
      <c r="AN1236" s="232"/>
      <c r="AO1236" s="231"/>
      <c r="AP1236" s="231"/>
      <c r="AQ1236" s="227"/>
      <c r="AR1236" s="231"/>
      <c r="AS1236" s="227"/>
      <c r="AT1236" s="227"/>
      <c r="AU1236" s="227"/>
      <c r="AV1236" s="227"/>
    </row>
    <row r="1237">
      <c r="A1237" s="227"/>
      <c r="B1237" s="232"/>
      <c r="C1237" s="227"/>
      <c r="D1237" s="227"/>
      <c r="E1237" s="231"/>
      <c r="F1237" s="232"/>
      <c r="G1237" s="227"/>
      <c r="H1237" s="227"/>
      <c r="I1237" s="227"/>
      <c r="J1237" s="227"/>
      <c r="K1237" s="227"/>
      <c r="L1237" s="232"/>
      <c r="M1237" s="232"/>
      <c r="N1237" s="227"/>
      <c r="O1237" s="227"/>
      <c r="P1237" s="231"/>
      <c r="Q1237" s="227"/>
      <c r="R1237" s="231"/>
      <c r="S1237" s="231"/>
      <c r="T1237" s="231"/>
      <c r="U1237" s="231"/>
      <c r="V1237" s="231"/>
      <c r="W1237" s="231"/>
      <c r="X1237" s="227"/>
      <c r="Y1237" s="232"/>
      <c r="Z1237" s="232"/>
      <c r="AA1237" s="232"/>
      <c r="AB1237" s="232"/>
      <c r="AC1237" s="227"/>
      <c r="AD1237" s="227"/>
      <c r="AE1237" s="231"/>
      <c r="AF1237" s="227"/>
      <c r="AG1237" s="232"/>
      <c r="AH1237" s="232"/>
      <c r="AI1237" s="232"/>
      <c r="AJ1237" s="232"/>
      <c r="AK1237" s="232"/>
      <c r="AL1237" s="232"/>
      <c r="AM1237" s="232"/>
      <c r="AN1237" s="232"/>
      <c r="AO1237" s="231"/>
      <c r="AP1237" s="231"/>
      <c r="AQ1237" s="227"/>
      <c r="AR1237" s="227"/>
      <c r="AS1237" s="227"/>
      <c r="AT1237" s="227"/>
      <c r="AU1237" s="227"/>
      <c r="AV1237" s="227"/>
    </row>
    <row r="1238">
      <c r="A1238" s="227"/>
      <c r="B1238" s="232"/>
      <c r="C1238" s="227"/>
      <c r="D1238" s="227"/>
      <c r="E1238" s="231"/>
      <c r="F1238" s="232"/>
      <c r="G1238" s="227"/>
      <c r="H1238" s="227"/>
      <c r="I1238" s="227"/>
      <c r="J1238" s="227"/>
      <c r="K1238" s="227"/>
      <c r="L1238" s="232"/>
      <c r="M1238" s="232"/>
      <c r="N1238" s="227"/>
      <c r="O1238" s="227"/>
      <c r="P1238" s="231"/>
      <c r="Q1238" s="227"/>
      <c r="R1238" s="231"/>
      <c r="S1238" s="231"/>
      <c r="T1238" s="231"/>
      <c r="U1238" s="231"/>
      <c r="V1238" s="231"/>
      <c r="W1238" s="231"/>
      <c r="X1238" s="227"/>
      <c r="Y1238" s="232"/>
      <c r="Z1238" s="232"/>
      <c r="AA1238" s="232"/>
      <c r="AB1238" s="232"/>
      <c r="AC1238" s="227"/>
      <c r="AD1238" s="227"/>
      <c r="AE1238" s="231"/>
      <c r="AF1238" s="227"/>
      <c r="AG1238" s="232"/>
      <c r="AH1238" s="232"/>
      <c r="AI1238" s="232"/>
      <c r="AJ1238" s="232"/>
      <c r="AK1238" s="232"/>
      <c r="AL1238" s="232"/>
      <c r="AM1238" s="232"/>
      <c r="AN1238" s="232"/>
      <c r="AO1238" s="231"/>
      <c r="AP1238" s="231"/>
      <c r="AQ1238" s="227"/>
      <c r="AR1238" s="231"/>
      <c r="AS1238" s="227"/>
      <c r="AT1238" s="227"/>
      <c r="AU1238" s="227"/>
      <c r="AV1238" s="227"/>
    </row>
    <row r="1239">
      <c r="A1239" s="227"/>
      <c r="B1239" s="232"/>
      <c r="C1239" s="227"/>
      <c r="D1239" s="227"/>
      <c r="E1239" s="231"/>
      <c r="F1239" s="232"/>
      <c r="G1239" s="227"/>
      <c r="H1239" s="227"/>
      <c r="I1239" s="227"/>
      <c r="J1239" s="227"/>
      <c r="K1239" s="227"/>
      <c r="L1239" s="232"/>
      <c r="M1239" s="232"/>
      <c r="N1239" s="227"/>
      <c r="O1239" s="227"/>
      <c r="P1239" s="231"/>
      <c r="Q1239" s="227"/>
      <c r="R1239" s="231"/>
      <c r="S1239" s="231"/>
      <c r="T1239" s="231"/>
      <c r="U1239" s="231"/>
      <c r="V1239" s="231"/>
      <c r="W1239" s="231"/>
      <c r="X1239" s="227"/>
      <c r="Y1239" s="232"/>
      <c r="Z1239" s="232"/>
      <c r="AA1239" s="232"/>
      <c r="AB1239" s="232"/>
      <c r="AC1239" s="227"/>
      <c r="AD1239" s="227"/>
      <c r="AE1239" s="231"/>
      <c r="AF1239" s="227"/>
      <c r="AG1239" s="232"/>
      <c r="AH1239" s="232"/>
      <c r="AI1239" s="232"/>
      <c r="AJ1239" s="232"/>
      <c r="AK1239" s="232"/>
      <c r="AL1239" s="232"/>
      <c r="AM1239" s="232"/>
      <c r="AN1239" s="232"/>
      <c r="AO1239" s="231"/>
      <c r="AP1239" s="231"/>
      <c r="AQ1239" s="227"/>
      <c r="AR1239" s="231"/>
      <c r="AS1239" s="227"/>
      <c r="AT1239" s="227"/>
      <c r="AU1239" s="227"/>
      <c r="AV1239" s="227"/>
    </row>
    <row r="1240">
      <c r="A1240" s="227"/>
      <c r="B1240" s="232"/>
      <c r="C1240" s="227"/>
      <c r="D1240" s="227"/>
      <c r="E1240" s="231"/>
      <c r="F1240" s="232"/>
      <c r="G1240" s="227"/>
      <c r="H1240" s="227"/>
      <c r="I1240" s="227"/>
      <c r="J1240" s="227"/>
      <c r="K1240" s="227"/>
      <c r="L1240" s="232"/>
      <c r="M1240" s="232"/>
      <c r="N1240" s="227"/>
      <c r="O1240" s="227"/>
      <c r="P1240" s="231"/>
      <c r="Q1240" s="227"/>
      <c r="R1240" s="231"/>
      <c r="S1240" s="231"/>
      <c r="T1240" s="231"/>
      <c r="U1240" s="231"/>
      <c r="V1240" s="231"/>
      <c r="W1240" s="231"/>
      <c r="X1240" s="227"/>
      <c r="Y1240" s="232"/>
      <c r="Z1240" s="232"/>
      <c r="AA1240" s="232"/>
      <c r="AB1240" s="232"/>
      <c r="AC1240" s="227"/>
      <c r="AD1240" s="227"/>
      <c r="AE1240" s="231"/>
      <c r="AF1240" s="227"/>
      <c r="AG1240" s="232"/>
      <c r="AH1240" s="232"/>
      <c r="AI1240" s="232"/>
      <c r="AJ1240" s="232"/>
      <c r="AK1240" s="232"/>
      <c r="AL1240" s="232"/>
      <c r="AM1240" s="232"/>
      <c r="AN1240" s="232"/>
      <c r="AO1240" s="231"/>
      <c r="AP1240" s="231"/>
      <c r="AQ1240" s="227"/>
      <c r="AR1240" s="231"/>
      <c r="AS1240" s="227"/>
      <c r="AT1240" s="227"/>
      <c r="AU1240" s="227"/>
      <c r="AV1240" s="227"/>
    </row>
    <row r="1241">
      <c r="A1241" s="227"/>
      <c r="B1241" s="232"/>
      <c r="C1241" s="227"/>
      <c r="D1241" s="227"/>
      <c r="E1241" s="231"/>
      <c r="F1241" s="232"/>
      <c r="G1241" s="227"/>
      <c r="H1241" s="227"/>
      <c r="I1241" s="227"/>
      <c r="J1241" s="227"/>
      <c r="K1241" s="227"/>
      <c r="L1241" s="232"/>
      <c r="M1241" s="232"/>
      <c r="N1241" s="227"/>
      <c r="O1241" s="227"/>
      <c r="P1241" s="231"/>
      <c r="Q1241" s="227"/>
      <c r="R1241" s="231"/>
      <c r="S1241" s="231"/>
      <c r="T1241" s="231"/>
      <c r="U1241" s="231"/>
      <c r="V1241" s="231"/>
      <c r="W1241" s="231"/>
      <c r="X1241" s="227"/>
      <c r="Y1241" s="232"/>
      <c r="Z1241" s="232"/>
      <c r="AA1241" s="232"/>
      <c r="AB1241" s="232"/>
      <c r="AC1241" s="227"/>
      <c r="AD1241" s="227"/>
      <c r="AE1241" s="231"/>
      <c r="AF1241" s="227"/>
      <c r="AG1241" s="232"/>
      <c r="AH1241" s="232"/>
      <c r="AI1241" s="232"/>
      <c r="AJ1241" s="232"/>
      <c r="AK1241" s="232"/>
      <c r="AL1241" s="232"/>
      <c r="AM1241" s="232"/>
      <c r="AN1241" s="232"/>
      <c r="AO1241" s="231"/>
      <c r="AP1241" s="231"/>
      <c r="AQ1241" s="227"/>
      <c r="AR1241" s="231"/>
      <c r="AS1241" s="227"/>
      <c r="AT1241" s="227"/>
      <c r="AU1241" s="227"/>
      <c r="AV1241" s="227"/>
    </row>
    <row r="1242">
      <c r="A1242" s="227"/>
      <c r="B1242" s="232"/>
      <c r="C1242" s="227"/>
      <c r="D1242" s="227"/>
      <c r="E1242" s="231"/>
      <c r="F1242" s="232"/>
      <c r="G1242" s="227"/>
      <c r="H1242" s="227"/>
      <c r="I1242" s="227"/>
      <c r="J1242" s="227"/>
      <c r="K1242" s="227"/>
      <c r="L1242" s="232"/>
      <c r="M1242" s="232"/>
      <c r="N1242" s="227"/>
      <c r="O1242" s="227"/>
      <c r="P1242" s="231"/>
      <c r="Q1242" s="227"/>
      <c r="R1242" s="231"/>
      <c r="S1242" s="231"/>
      <c r="T1242" s="231"/>
      <c r="U1242" s="231"/>
      <c r="V1242" s="231"/>
      <c r="W1242" s="231"/>
      <c r="X1242" s="227"/>
      <c r="Y1242" s="232"/>
      <c r="Z1242" s="232"/>
      <c r="AA1242" s="232"/>
      <c r="AB1242" s="232"/>
      <c r="AC1242" s="227"/>
      <c r="AD1242" s="227"/>
      <c r="AE1242" s="231"/>
      <c r="AF1242" s="227"/>
      <c r="AG1242" s="232"/>
      <c r="AH1242" s="232"/>
      <c r="AI1242" s="232"/>
      <c r="AJ1242" s="232"/>
      <c r="AK1242" s="232"/>
      <c r="AL1242" s="232"/>
      <c r="AM1242" s="232"/>
      <c r="AN1242" s="232"/>
      <c r="AO1242" s="231"/>
      <c r="AP1242" s="231"/>
      <c r="AQ1242" s="227"/>
      <c r="AR1242" s="231"/>
      <c r="AS1242" s="227"/>
      <c r="AT1242" s="227"/>
      <c r="AU1242" s="227"/>
      <c r="AV1242" s="227"/>
    </row>
    <row r="1243">
      <c r="A1243" s="227"/>
      <c r="B1243" s="232"/>
      <c r="C1243" s="227"/>
      <c r="D1243" s="227"/>
      <c r="E1243" s="231"/>
      <c r="F1243" s="232"/>
      <c r="G1243" s="227"/>
      <c r="H1243" s="227"/>
      <c r="I1243" s="227"/>
      <c r="J1243" s="227"/>
      <c r="K1243" s="227"/>
      <c r="L1243" s="232"/>
      <c r="M1243" s="232"/>
      <c r="N1243" s="227"/>
      <c r="O1243" s="227"/>
      <c r="P1243" s="231"/>
      <c r="Q1243" s="227"/>
      <c r="R1243" s="231"/>
      <c r="S1243" s="231"/>
      <c r="T1243" s="231"/>
      <c r="U1243" s="231"/>
      <c r="V1243" s="231"/>
      <c r="W1243" s="231"/>
      <c r="X1243" s="227"/>
      <c r="Y1243" s="232"/>
      <c r="Z1243" s="232"/>
      <c r="AA1243" s="232"/>
      <c r="AB1243" s="232"/>
      <c r="AC1243" s="227"/>
      <c r="AD1243" s="227"/>
      <c r="AE1243" s="231"/>
      <c r="AF1243" s="227"/>
      <c r="AG1243" s="232"/>
      <c r="AH1243" s="232"/>
      <c r="AI1243" s="232"/>
      <c r="AJ1243" s="232"/>
      <c r="AK1243" s="232"/>
      <c r="AL1243" s="232"/>
      <c r="AM1243" s="232"/>
      <c r="AN1243" s="232"/>
      <c r="AO1243" s="231"/>
      <c r="AP1243" s="231"/>
      <c r="AQ1243" s="227"/>
      <c r="AR1243" s="231"/>
      <c r="AS1243" s="227"/>
      <c r="AT1243" s="227"/>
      <c r="AU1243" s="227"/>
      <c r="AV1243" s="227"/>
    </row>
    <row r="1244">
      <c r="A1244" s="227"/>
      <c r="B1244" s="232"/>
      <c r="C1244" s="227"/>
      <c r="D1244" s="227"/>
      <c r="E1244" s="231"/>
      <c r="F1244" s="232"/>
      <c r="G1244" s="227"/>
      <c r="H1244" s="227"/>
      <c r="I1244" s="227"/>
      <c r="J1244" s="227"/>
      <c r="K1244" s="227"/>
      <c r="L1244" s="232"/>
      <c r="M1244" s="232"/>
      <c r="N1244" s="227"/>
      <c r="O1244" s="227"/>
      <c r="P1244" s="231"/>
      <c r="Q1244" s="227"/>
      <c r="R1244" s="231"/>
      <c r="S1244" s="231"/>
      <c r="T1244" s="231"/>
      <c r="U1244" s="231"/>
      <c r="V1244" s="231"/>
      <c r="W1244" s="231"/>
      <c r="X1244" s="227"/>
      <c r="Y1244" s="232"/>
      <c r="Z1244" s="232"/>
      <c r="AA1244" s="232"/>
      <c r="AB1244" s="232"/>
      <c r="AC1244" s="227"/>
      <c r="AD1244" s="227"/>
      <c r="AE1244" s="231"/>
      <c r="AF1244" s="227"/>
      <c r="AG1244" s="232"/>
      <c r="AH1244" s="232"/>
      <c r="AI1244" s="232"/>
      <c r="AJ1244" s="232"/>
      <c r="AK1244" s="232"/>
      <c r="AL1244" s="232"/>
      <c r="AM1244" s="232"/>
      <c r="AN1244" s="232"/>
      <c r="AO1244" s="231"/>
      <c r="AP1244" s="231"/>
      <c r="AQ1244" s="227"/>
      <c r="AR1244" s="231"/>
      <c r="AS1244" s="227"/>
      <c r="AT1244" s="227"/>
      <c r="AU1244" s="227"/>
      <c r="AV1244" s="227"/>
    </row>
    <row r="1245">
      <c r="A1245" s="227"/>
      <c r="B1245" s="232"/>
      <c r="C1245" s="227"/>
      <c r="D1245" s="227"/>
      <c r="E1245" s="231"/>
      <c r="F1245" s="232"/>
      <c r="G1245" s="227"/>
      <c r="H1245" s="227"/>
      <c r="I1245" s="227"/>
      <c r="J1245" s="227"/>
      <c r="K1245" s="227"/>
      <c r="L1245" s="232"/>
      <c r="M1245" s="232"/>
      <c r="N1245" s="227"/>
      <c r="O1245" s="227"/>
      <c r="P1245" s="231"/>
      <c r="Q1245" s="227"/>
      <c r="R1245" s="231"/>
      <c r="S1245" s="231"/>
      <c r="T1245" s="231"/>
      <c r="U1245" s="231"/>
      <c r="V1245" s="231"/>
      <c r="W1245" s="231"/>
      <c r="X1245" s="227"/>
      <c r="Y1245" s="232"/>
      <c r="Z1245" s="232"/>
      <c r="AA1245" s="232"/>
      <c r="AB1245" s="232"/>
      <c r="AC1245" s="227"/>
      <c r="AD1245" s="227"/>
      <c r="AE1245" s="231"/>
      <c r="AF1245" s="227"/>
      <c r="AG1245" s="232"/>
      <c r="AH1245" s="232"/>
      <c r="AI1245" s="232"/>
      <c r="AJ1245" s="232"/>
      <c r="AK1245" s="232"/>
      <c r="AL1245" s="232"/>
      <c r="AM1245" s="232"/>
      <c r="AN1245" s="232"/>
      <c r="AO1245" s="231"/>
      <c r="AP1245" s="231"/>
      <c r="AQ1245" s="227"/>
      <c r="AR1245" s="231"/>
      <c r="AS1245" s="227"/>
      <c r="AT1245" s="227"/>
      <c r="AU1245" s="227"/>
      <c r="AV1245" s="227"/>
    </row>
    <row r="1246">
      <c r="A1246" s="227"/>
      <c r="B1246" s="232"/>
      <c r="C1246" s="227"/>
      <c r="D1246" s="227"/>
      <c r="E1246" s="231"/>
      <c r="F1246" s="232"/>
      <c r="G1246" s="227"/>
      <c r="H1246" s="227"/>
      <c r="I1246" s="227"/>
      <c r="J1246" s="227"/>
      <c r="K1246" s="227"/>
      <c r="L1246" s="232"/>
      <c r="M1246" s="232"/>
      <c r="N1246" s="227"/>
      <c r="O1246" s="227"/>
      <c r="P1246" s="231"/>
      <c r="Q1246" s="227"/>
      <c r="R1246" s="231"/>
      <c r="S1246" s="231"/>
      <c r="T1246" s="231"/>
      <c r="U1246" s="231"/>
      <c r="V1246" s="231"/>
      <c r="W1246" s="231"/>
      <c r="X1246" s="227"/>
      <c r="Y1246" s="232"/>
      <c r="Z1246" s="232"/>
      <c r="AA1246" s="232"/>
      <c r="AB1246" s="232"/>
      <c r="AC1246" s="227"/>
      <c r="AD1246" s="227"/>
      <c r="AE1246" s="231"/>
      <c r="AF1246" s="227"/>
      <c r="AG1246" s="232"/>
      <c r="AH1246" s="232"/>
      <c r="AI1246" s="232"/>
      <c r="AJ1246" s="232"/>
      <c r="AK1246" s="232"/>
      <c r="AL1246" s="232"/>
      <c r="AM1246" s="232"/>
      <c r="AN1246" s="232"/>
      <c r="AO1246" s="231"/>
      <c r="AP1246" s="231"/>
      <c r="AQ1246" s="227"/>
      <c r="AR1246" s="231"/>
      <c r="AS1246" s="227"/>
      <c r="AT1246" s="227"/>
      <c r="AU1246" s="227"/>
      <c r="AV1246" s="227"/>
    </row>
    <row r="1247">
      <c r="A1247" s="227"/>
      <c r="B1247" s="232"/>
      <c r="C1247" s="227"/>
      <c r="D1247" s="227"/>
      <c r="E1247" s="231"/>
      <c r="F1247" s="232"/>
      <c r="G1247" s="227"/>
      <c r="H1247" s="227"/>
      <c r="I1247" s="227"/>
      <c r="J1247" s="227"/>
      <c r="K1247" s="227"/>
      <c r="L1247" s="232"/>
      <c r="M1247" s="232"/>
      <c r="N1247" s="227"/>
      <c r="O1247" s="227"/>
      <c r="P1247" s="231"/>
      <c r="Q1247" s="227"/>
      <c r="R1247" s="231"/>
      <c r="S1247" s="231"/>
      <c r="T1247" s="231"/>
      <c r="U1247" s="231"/>
      <c r="V1247" s="231"/>
      <c r="W1247" s="231"/>
      <c r="X1247" s="227"/>
      <c r="Y1247" s="232"/>
      <c r="Z1247" s="232"/>
      <c r="AA1247" s="232"/>
      <c r="AB1247" s="232"/>
      <c r="AC1247" s="227"/>
      <c r="AD1247" s="227"/>
      <c r="AE1247" s="231"/>
      <c r="AF1247" s="227"/>
      <c r="AG1247" s="232"/>
      <c r="AH1247" s="232"/>
      <c r="AI1247" s="232"/>
      <c r="AJ1247" s="232"/>
      <c r="AK1247" s="232"/>
      <c r="AL1247" s="232"/>
      <c r="AM1247" s="232"/>
      <c r="AN1247" s="232"/>
      <c r="AO1247" s="231"/>
      <c r="AP1247" s="231"/>
      <c r="AQ1247" s="227"/>
      <c r="AR1247" s="231"/>
      <c r="AS1247" s="227"/>
      <c r="AT1247" s="227"/>
      <c r="AU1247" s="227"/>
      <c r="AV1247" s="227"/>
    </row>
    <row r="1248">
      <c r="A1248" s="227"/>
      <c r="B1248" s="232"/>
      <c r="C1248" s="227"/>
      <c r="D1248" s="227"/>
      <c r="E1248" s="231"/>
      <c r="F1248" s="232"/>
      <c r="G1248" s="227"/>
      <c r="H1248" s="227"/>
      <c r="I1248" s="227"/>
      <c r="J1248" s="227"/>
      <c r="K1248" s="227"/>
      <c r="L1248" s="232"/>
      <c r="M1248" s="232"/>
      <c r="N1248" s="227"/>
      <c r="O1248" s="227"/>
      <c r="P1248" s="231"/>
      <c r="Q1248" s="227"/>
      <c r="R1248" s="231"/>
      <c r="S1248" s="231"/>
      <c r="T1248" s="231"/>
      <c r="U1248" s="231"/>
      <c r="V1248" s="231"/>
      <c r="W1248" s="231"/>
      <c r="X1248" s="227"/>
      <c r="Y1248" s="232"/>
      <c r="Z1248" s="232"/>
      <c r="AA1248" s="232"/>
      <c r="AB1248" s="232"/>
      <c r="AC1248" s="227"/>
      <c r="AD1248" s="227"/>
      <c r="AE1248" s="231"/>
      <c r="AF1248" s="227"/>
      <c r="AG1248" s="232"/>
      <c r="AH1248" s="232"/>
      <c r="AI1248" s="232"/>
      <c r="AJ1248" s="232"/>
      <c r="AK1248" s="232"/>
      <c r="AL1248" s="232"/>
      <c r="AM1248" s="232"/>
      <c r="AN1248" s="232"/>
      <c r="AO1248" s="231"/>
      <c r="AP1248" s="231"/>
      <c r="AQ1248" s="227"/>
      <c r="AR1248" s="231"/>
      <c r="AS1248" s="227"/>
      <c r="AT1248" s="227"/>
      <c r="AU1248" s="227"/>
      <c r="AV1248" s="227"/>
    </row>
    <row r="1249">
      <c r="A1249" s="227"/>
      <c r="B1249" s="232"/>
      <c r="C1249" s="227"/>
      <c r="D1249" s="227"/>
      <c r="E1249" s="231"/>
      <c r="F1249" s="232"/>
      <c r="G1249" s="227"/>
      <c r="H1249" s="227"/>
      <c r="I1249" s="227"/>
      <c r="J1249" s="227"/>
      <c r="K1249" s="227"/>
      <c r="L1249" s="232"/>
      <c r="M1249" s="232"/>
      <c r="N1249" s="227"/>
      <c r="O1249" s="227"/>
      <c r="P1249" s="231"/>
      <c r="Q1249" s="227"/>
      <c r="R1249" s="231"/>
      <c r="S1249" s="231"/>
      <c r="T1249" s="231"/>
      <c r="U1249" s="231"/>
      <c r="V1249" s="231"/>
      <c r="W1249" s="231"/>
      <c r="X1249" s="227"/>
      <c r="Y1249" s="232"/>
      <c r="Z1249" s="232"/>
      <c r="AA1249" s="232"/>
      <c r="AB1249" s="232"/>
      <c r="AC1249" s="227"/>
      <c r="AD1249" s="227"/>
      <c r="AE1249" s="231"/>
      <c r="AF1249" s="227"/>
      <c r="AG1249" s="232"/>
      <c r="AH1249" s="232"/>
      <c r="AI1249" s="232"/>
      <c r="AJ1249" s="232"/>
      <c r="AK1249" s="232"/>
      <c r="AL1249" s="232"/>
      <c r="AM1249" s="232"/>
      <c r="AN1249" s="232"/>
      <c r="AO1249" s="231"/>
      <c r="AP1249" s="231"/>
      <c r="AQ1249" s="227"/>
      <c r="AR1249" s="231"/>
      <c r="AS1249" s="227"/>
      <c r="AT1249" s="227"/>
      <c r="AU1249" s="227"/>
      <c r="AV1249" s="227"/>
    </row>
    <row r="1250">
      <c r="A1250" s="227"/>
      <c r="B1250" s="232"/>
      <c r="C1250" s="227"/>
      <c r="D1250" s="227"/>
      <c r="E1250" s="231"/>
      <c r="F1250" s="232"/>
      <c r="G1250" s="227"/>
      <c r="H1250" s="227"/>
      <c r="I1250" s="227"/>
      <c r="J1250" s="227"/>
      <c r="K1250" s="227"/>
      <c r="L1250" s="232"/>
      <c r="M1250" s="232"/>
      <c r="N1250" s="227"/>
      <c r="O1250" s="227"/>
      <c r="P1250" s="231"/>
      <c r="Q1250" s="227"/>
      <c r="R1250" s="231"/>
      <c r="S1250" s="231"/>
      <c r="T1250" s="231"/>
      <c r="U1250" s="231"/>
      <c r="V1250" s="231"/>
      <c r="W1250" s="231"/>
      <c r="X1250" s="227"/>
      <c r="Y1250" s="232"/>
      <c r="Z1250" s="232"/>
      <c r="AA1250" s="232"/>
      <c r="AB1250" s="232"/>
      <c r="AC1250" s="227"/>
      <c r="AD1250" s="227"/>
      <c r="AE1250" s="231"/>
      <c r="AF1250" s="227"/>
      <c r="AG1250" s="232"/>
      <c r="AH1250" s="232"/>
      <c r="AI1250" s="232"/>
      <c r="AJ1250" s="232"/>
      <c r="AK1250" s="232"/>
      <c r="AL1250" s="232"/>
      <c r="AM1250" s="232"/>
      <c r="AN1250" s="232"/>
      <c r="AO1250" s="231"/>
      <c r="AP1250" s="231"/>
      <c r="AQ1250" s="227"/>
      <c r="AR1250" s="231"/>
      <c r="AS1250" s="227"/>
      <c r="AT1250" s="227"/>
      <c r="AU1250" s="227"/>
      <c r="AV1250" s="227"/>
    </row>
    <row r="1251">
      <c r="A1251" s="227"/>
      <c r="B1251" s="232"/>
      <c r="C1251" s="227"/>
      <c r="D1251" s="227"/>
      <c r="E1251" s="231"/>
      <c r="F1251" s="232"/>
      <c r="G1251" s="227"/>
      <c r="H1251" s="227"/>
      <c r="I1251" s="227"/>
      <c r="J1251" s="227"/>
      <c r="K1251" s="227"/>
      <c r="L1251" s="232"/>
      <c r="M1251" s="232"/>
      <c r="N1251" s="227"/>
      <c r="O1251" s="227"/>
      <c r="P1251" s="231"/>
      <c r="Q1251" s="227"/>
      <c r="R1251" s="231"/>
      <c r="S1251" s="231"/>
      <c r="T1251" s="231"/>
      <c r="U1251" s="231"/>
      <c r="V1251" s="231"/>
      <c r="W1251" s="231"/>
      <c r="X1251" s="227"/>
      <c r="Y1251" s="232"/>
      <c r="Z1251" s="232"/>
      <c r="AA1251" s="232"/>
      <c r="AB1251" s="232"/>
      <c r="AC1251" s="227"/>
      <c r="AD1251" s="227"/>
      <c r="AE1251" s="231"/>
      <c r="AF1251" s="227"/>
      <c r="AG1251" s="232"/>
      <c r="AH1251" s="232"/>
      <c r="AI1251" s="232"/>
      <c r="AJ1251" s="232"/>
      <c r="AK1251" s="232"/>
      <c r="AL1251" s="232"/>
      <c r="AM1251" s="232"/>
      <c r="AN1251" s="232"/>
      <c r="AO1251" s="231"/>
      <c r="AP1251" s="231"/>
      <c r="AQ1251" s="227"/>
      <c r="AR1251" s="231"/>
      <c r="AS1251" s="227"/>
      <c r="AT1251" s="227"/>
      <c r="AU1251" s="227"/>
      <c r="AV1251" s="227"/>
    </row>
    <row r="1252">
      <c r="A1252" s="227"/>
      <c r="B1252" s="232"/>
      <c r="C1252" s="227"/>
      <c r="D1252" s="227"/>
      <c r="E1252" s="231"/>
      <c r="F1252" s="232"/>
      <c r="G1252" s="227"/>
      <c r="H1252" s="227"/>
      <c r="I1252" s="227"/>
      <c r="J1252" s="227"/>
      <c r="K1252" s="227"/>
      <c r="L1252" s="232"/>
      <c r="M1252" s="232"/>
      <c r="N1252" s="227"/>
      <c r="O1252" s="227"/>
      <c r="P1252" s="231"/>
      <c r="Q1252" s="227"/>
      <c r="R1252" s="231"/>
      <c r="S1252" s="231"/>
      <c r="T1252" s="231"/>
      <c r="U1252" s="231"/>
      <c r="V1252" s="231"/>
      <c r="W1252" s="231"/>
      <c r="X1252" s="227"/>
      <c r="Y1252" s="232"/>
      <c r="Z1252" s="232"/>
      <c r="AA1252" s="232"/>
      <c r="AB1252" s="232"/>
      <c r="AC1252" s="227"/>
      <c r="AD1252" s="227"/>
      <c r="AE1252" s="231"/>
      <c r="AF1252" s="227"/>
      <c r="AG1252" s="232"/>
      <c r="AH1252" s="232"/>
      <c r="AI1252" s="232"/>
      <c r="AJ1252" s="232"/>
      <c r="AK1252" s="232"/>
      <c r="AL1252" s="232"/>
      <c r="AM1252" s="232"/>
      <c r="AN1252" s="232"/>
      <c r="AO1252" s="231"/>
      <c r="AP1252" s="231"/>
      <c r="AQ1252" s="227"/>
      <c r="AR1252" s="231"/>
      <c r="AS1252" s="227"/>
      <c r="AT1252" s="227"/>
      <c r="AU1252" s="227"/>
      <c r="AV1252" s="227"/>
    </row>
    <row r="1253">
      <c r="A1253" s="227"/>
      <c r="B1253" s="232"/>
      <c r="C1253" s="227"/>
      <c r="D1253" s="227"/>
      <c r="E1253" s="231"/>
      <c r="F1253" s="232"/>
      <c r="G1253" s="227"/>
      <c r="H1253" s="227"/>
      <c r="I1253" s="227"/>
      <c r="J1253" s="227"/>
      <c r="K1253" s="227"/>
      <c r="L1253" s="232"/>
      <c r="M1253" s="232"/>
      <c r="N1253" s="227"/>
      <c r="O1253" s="227"/>
      <c r="P1253" s="231"/>
      <c r="Q1253" s="227"/>
      <c r="R1253" s="231"/>
      <c r="S1253" s="231"/>
      <c r="T1253" s="231"/>
      <c r="U1253" s="231"/>
      <c r="V1253" s="231"/>
      <c r="W1253" s="231"/>
      <c r="X1253" s="227"/>
      <c r="Y1253" s="232"/>
      <c r="Z1253" s="232"/>
      <c r="AA1253" s="232"/>
      <c r="AB1253" s="232"/>
      <c r="AC1253" s="227"/>
      <c r="AD1253" s="227"/>
      <c r="AE1253" s="231"/>
      <c r="AF1253" s="227"/>
      <c r="AG1253" s="232"/>
      <c r="AH1253" s="232"/>
      <c r="AI1253" s="232"/>
      <c r="AJ1253" s="232"/>
      <c r="AK1253" s="232"/>
      <c r="AL1253" s="232"/>
      <c r="AM1253" s="232"/>
      <c r="AN1253" s="232"/>
      <c r="AO1253" s="231"/>
      <c r="AP1253" s="231"/>
      <c r="AQ1253" s="227"/>
      <c r="AR1253" s="231"/>
      <c r="AS1253" s="227"/>
      <c r="AT1253" s="227"/>
      <c r="AU1253" s="227"/>
      <c r="AV1253" s="227"/>
    </row>
    <row r="1254">
      <c r="A1254" s="227"/>
      <c r="B1254" s="232"/>
      <c r="C1254" s="227"/>
      <c r="D1254" s="227"/>
      <c r="E1254" s="231"/>
      <c r="F1254" s="232"/>
      <c r="G1254" s="227"/>
      <c r="H1254" s="227"/>
      <c r="I1254" s="227"/>
      <c r="J1254" s="227"/>
      <c r="K1254" s="227"/>
      <c r="L1254" s="232"/>
      <c r="M1254" s="232"/>
      <c r="N1254" s="227"/>
      <c r="O1254" s="227"/>
      <c r="P1254" s="231"/>
      <c r="Q1254" s="227"/>
      <c r="R1254" s="231"/>
      <c r="S1254" s="231"/>
      <c r="T1254" s="231"/>
      <c r="U1254" s="231"/>
      <c r="V1254" s="231"/>
      <c r="W1254" s="231"/>
      <c r="X1254" s="227"/>
      <c r="Y1254" s="232"/>
      <c r="Z1254" s="232"/>
      <c r="AA1254" s="232"/>
      <c r="AB1254" s="232"/>
      <c r="AC1254" s="227"/>
      <c r="AD1254" s="227"/>
      <c r="AE1254" s="231"/>
      <c r="AF1254" s="227"/>
      <c r="AG1254" s="232"/>
      <c r="AH1254" s="232"/>
      <c r="AI1254" s="232"/>
      <c r="AJ1254" s="232"/>
      <c r="AK1254" s="232"/>
      <c r="AL1254" s="232"/>
      <c r="AM1254" s="232"/>
      <c r="AN1254" s="232"/>
      <c r="AO1254" s="231"/>
      <c r="AP1254" s="231"/>
      <c r="AQ1254" s="227"/>
      <c r="AR1254" s="231"/>
      <c r="AS1254" s="227"/>
      <c r="AT1254" s="227"/>
      <c r="AU1254" s="227"/>
      <c r="AV1254" s="227"/>
    </row>
    <row r="1255">
      <c r="A1255" s="227"/>
      <c r="B1255" s="232"/>
      <c r="C1255" s="227"/>
      <c r="D1255" s="227"/>
      <c r="E1255" s="231"/>
      <c r="F1255" s="232"/>
      <c r="G1255" s="227"/>
      <c r="H1255" s="227"/>
      <c r="I1255" s="227"/>
      <c r="J1255" s="227"/>
      <c r="K1255" s="227"/>
      <c r="L1255" s="232"/>
      <c r="M1255" s="232"/>
      <c r="N1255" s="227"/>
      <c r="O1255" s="227"/>
      <c r="P1255" s="231"/>
      <c r="Q1255" s="227"/>
      <c r="R1255" s="231"/>
      <c r="S1255" s="231"/>
      <c r="T1255" s="231"/>
      <c r="U1255" s="231"/>
      <c r="V1255" s="231"/>
      <c r="W1255" s="231"/>
      <c r="X1255" s="227"/>
      <c r="Y1255" s="232"/>
      <c r="Z1255" s="232"/>
      <c r="AA1255" s="232"/>
      <c r="AB1255" s="232"/>
      <c r="AC1255" s="227"/>
      <c r="AD1255" s="227"/>
      <c r="AE1255" s="231"/>
      <c r="AF1255" s="227"/>
      <c r="AG1255" s="232"/>
      <c r="AH1255" s="232"/>
      <c r="AI1255" s="232"/>
      <c r="AJ1255" s="232"/>
      <c r="AK1255" s="232"/>
      <c r="AL1255" s="232"/>
      <c r="AM1255" s="232"/>
      <c r="AN1255" s="232"/>
      <c r="AO1255" s="231"/>
      <c r="AP1255" s="231"/>
      <c r="AQ1255" s="227"/>
      <c r="AR1255" s="231"/>
      <c r="AS1255" s="227"/>
      <c r="AT1255" s="227"/>
      <c r="AU1255" s="227"/>
      <c r="AV1255" s="227"/>
    </row>
    <row r="1256">
      <c r="A1256" s="227"/>
      <c r="B1256" s="232"/>
      <c r="C1256" s="227"/>
      <c r="D1256" s="227"/>
      <c r="E1256" s="231"/>
      <c r="F1256" s="232"/>
      <c r="G1256" s="227"/>
      <c r="H1256" s="227"/>
      <c r="I1256" s="227"/>
      <c r="J1256" s="227"/>
      <c r="K1256" s="227"/>
      <c r="L1256" s="232"/>
      <c r="M1256" s="232"/>
      <c r="N1256" s="227"/>
      <c r="O1256" s="227"/>
      <c r="P1256" s="231"/>
      <c r="Q1256" s="227"/>
      <c r="R1256" s="231"/>
      <c r="S1256" s="231"/>
      <c r="T1256" s="231"/>
      <c r="U1256" s="231"/>
      <c r="V1256" s="231"/>
      <c r="W1256" s="231"/>
      <c r="X1256" s="227"/>
      <c r="Y1256" s="232"/>
      <c r="Z1256" s="232"/>
      <c r="AA1256" s="232"/>
      <c r="AB1256" s="232"/>
      <c r="AC1256" s="227"/>
      <c r="AD1256" s="227"/>
      <c r="AE1256" s="231"/>
      <c r="AF1256" s="227"/>
      <c r="AG1256" s="232"/>
      <c r="AH1256" s="232"/>
      <c r="AI1256" s="232"/>
      <c r="AJ1256" s="232"/>
      <c r="AK1256" s="232"/>
      <c r="AL1256" s="232"/>
      <c r="AM1256" s="232"/>
      <c r="AN1256" s="232"/>
      <c r="AO1256" s="231"/>
      <c r="AP1256" s="231"/>
      <c r="AQ1256" s="227"/>
      <c r="AR1256" s="231"/>
      <c r="AS1256" s="227"/>
      <c r="AT1256" s="227"/>
      <c r="AU1256" s="227"/>
      <c r="AV1256" s="227"/>
    </row>
    <row r="1257">
      <c r="A1257" s="227"/>
      <c r="B1257" s="232"/>
      <c r="C1257" s="227"/>
      <c r="D1257" s="227"/>
      <c r="E1257" s="231"/>
      <c r="F1257" s="232"/>
      <c r="G1257" s="227"/>
      <c r="H1257" s="227"/>
      <c r="I1257" s="227"/>
      <c r="J1257" s="227"/>
      <c r="K1257" s="227"/>
      <c r="L1257" s="232"/>
      <c r="M1257" s="232"/>
      <c r="N1257" s="227"/>
      <c r="O1257" s="227"/>
      <c r="P1257" s="231"/>
      <c r="Q1257" s="227"/>
      <c r="R1257" s="231"/>
      <c r="S1257" s="231"/>
      <c r="T1257" s="231"/>
      <c r="U1257" s="231"/>
      <c r="V1257" s="231"/>
      <c r="W1257" s="231"/>
      <c r="X1257" s="227"/>
      <c r="Y1257" s="232"/>
      <c r="Z1257" s="232"/>
      <c r="AA1257" s="232"/>
      <c r="AB1257" s="232"/>
      <c r="AC1257" s="227"/>
      <c r="AD1257" s="227"/>
      <c r="AE1257" s="231"/>
      <c r="AF1257" s="227"/>
      <c r="AG1257" s="232"/>
      <c r="AH1257" s="232"/>
      <c r="AI1257" s="232"/>
      <c r="AJ1257" s="232"/>
      <c r="AK1257" s="232"/>
      <c r="AL1257" s="232"/>
      <c r="AM1257" s="232"/>
      <c r="AN1257" s="232"/>
      <c r="AO1257" s="231"/>
      <c r="AP1257" s="231"/>
      <c r="AQ1257" s="227"/>
      <c r="AR1257" s="231"/>
      <c r="AS1257" s="227"/>
      <c r="AT1257" s="227"/>
      <c r="AU1257" s="227"/>
      <c r="AV1257" s="227"/>
    </row>
    <row r="1258">
      <c r="A1258" s="227"/>
      <c r="B1258" s="232"/>
      <c r="C1258" s="227"/>
      <c r="D1258" s="227"/>
      <c r="E1258" s="231"/>
      <c r="F1258" s="232"/>
      <c r="G1258" s="227"/>
      <c r="H1258" s="227"/>
      <c r="I1258" s="227"/>
      <c r="J1258" s="227"/>
      <c r="K1258" s="227"/>
      <c r="L1258" s="232"/>
      <c r="M1258" s="232"/>
      <c r="N1258" s="227"/>
      <c r="O1258" s="227"/>
      <c r="P1258" s="231"/>
      <c r="Q1258" s="227"/>
      <c r="R1258" s="231"/>
      <c r="S1258" s="231"/>
      <c r="T1258" s="231"/>
      <c r="U1258" s="231"/>
      <c r="V1258" s="231"/>
      <c r="W1258" s="231"/>
      <c r="X1258" s="227"/>
      <c r="Y1258" s="232"/>
      <c r="Z1258" s="232"/>
      <c r="AA1258" s="232"/>
      <c r="AB1258" s="232"/>
      <c r="AC1258" s="227"/>
      <c r="AD1258" s="227"/>
      <c r="AE1258" s="231"/>
      <c r="AF1258" s="227"/>
      <c r="AG1258" s="232"/>
      <c r="AH1258" s="232"/>
      <c r="AI1258" s="232"/>
      <c r="AJ1258" s="232"/>
      <c r="AK1258" s="232"/>
      <c r="AL1258" s="232"/>
      <c r="AM1258" s="232"/>
      <c r="AN1258" s="232"/>
      <c r="AO1258" s="231"/>
      <c r="AP1258" s="231"/>
      <c r="AQ1258" s="227"/>
      <c r="AR1258" s="231"/>
      <c r="AS1258" s="227"/>
      <c r="AT1258" s="227"/>
      <c r="AU1258" s="227"/>
      <c r="AV1258" s="227"/>
    </row>
    <row r="1259">
      <c r="A1259" s="227"/>
      <c r="B1259" s="232"/>
      <c r="C1259" s="227"/>
      <c r="D1259" s="227"/>
      <c r="E1259" s="231"/>
      <c r="F1259" s="232"/>
      <c r="G1259" s="227"/>
      <c r="H1259" s="227"/>
      <c r="I1259" s="227"/>
      <c r="J1259" s="227"/>
      <c r="K1259" s="227"/>
      <c r="L1259" s="232"/>
      <c r="M1259" s="232"/>
      <c r="N1259" s="227"/>
      <c r="O1259" s="227"/>
      <c r="P1259" s="231"/>
      <c r="Q1259" s="227"/>
      <c r="R1259" s="231"/>
      <c r="S1259" s="231"/>
      <c r="T1259" s="231"/>
      <c r="U1259" s="231"/>
      <c r="V1259" s="231"/>
      <c r="W1259" s="231"/>
      <c r="X1259" s="227"/>
      <c r="Y1259" s="232"/>
      <c r="Z1259" s="232"/>
      <c r="AA1259" s="232"/>
      <c r="AB1259" s="232"/>
      <c r="AC1259" s="227"/>
      <c r="AD1259" s="227"/>
      <c r="AE1259" s="231"/>
      <c r="AF1259" s="227"/>
      <c r="AG1259" s="232"/>
      <c r="AH1259" s="232"/>
      <c r="AI1259" s="232"/>
      <c r="AJ1259" s="232"/>
      <c r="AK1259" s="232"/>
      <c r="AL1259" s="232"/>
      <c r="AM1259" s="232"/>
      <c r="AN1259" s="232"/>
      <c r="AO1259" s="231"/>
      <c r="AP1259" s="231"/>
      <c r="AQ1259" s="227"/>
      <c r="AR1259" s="231"/>
      <c r="AS1259" s="227"/>
      <c r="AT1259" s="227"/>
      <c r="AU1259" s="227"/>
      <c r="AV1259" s="227"/>
    </row>
    <row r="1260">
      <c r="A1260" s="227"/>
      <c r="B1260" s="232"/>
      <c r="C1260" s="227"/>
      <c r="D1260" s="227"/>
      <c r="E1260" s="231"/>
      <c r="F1260" s="232"/>
      <c r="G1260" s="227"/>
      <c r="H1260" s="227"/>
      <c r="I1260" s="227"/>
      <c r="J1260" s="227"/>
      <c r="K1260" s="227"/>
      <c r="L1260" s="232"/>
      <c r="M1260" s="232"/>
      <c r="N1260" s="227"/>
      <c r="O1260" s="227"/>
      <c r="P1260" s="231"/>
      <c r="Q1260" s="227"/>
      <c r="R1260" s="231"/>
      <c r="S1260" s="231"/>
      <c r="T1260" s="231"/>
      <c r="U1260" s="231"/>
      <c r="V1260" s="231"/>
      <c r="W1260" s="231"/>
      <c r="X1260" s="227"/>
      <c r="Y1260" s="232"/>
      <c r="Z1260" s="232"/>
      <c r="AA1260" s="232"/>
      <c r="AB1260" s="232"/>
      <c r="AC1260" s="227"/>
      <c r="AD1260" s="227"/>
      <c r="AE1260" s="231"/>
      <c r="AF1260" s="227"/>
      <c r="AG1260" s="232"/>
      <c r="AH1260" s="232"/>
      <c r="AI1260" s="232"/>
      <c r="AJ1260" s="232"/>
      <c r="AK1260" s="232"/>
      <c r="AL1260" s="232"/>
      <c r="AM1260" s="232"/>
      <c r="AN1260" s="232"/>
      <c r="AO1260" s="231"/>
      <c r="AP1260" s="231"/>
      <c r="AQ1260" s="227"/>
      <c r="AR1260" s="231"/>
      <c r="AS1260" s="227"/>
      <c r="AT1260" s="227"/>
      <c r="AU1260" s="227"/>
      <c r="AV1260" s="227"/>
    </row>
    <row r="1261">
      <c r="A1261" s="227"/>
      <c r="B1261" s="232"/>
      <c r="C1261" s="227"/>
      <c r="D1261" s="227"/>
      <c r="E1261" s="231"/>
      <c r="F1261" s="232"/>
      <c r="G1261" s="227"/>
      <c r="H1261" s="227"/>
      <c r="I1261" s="227"/>
      <c r="J1261" s="227"/>
      <c r="K1261" s="227"/>
      <c r="L1261" s="232"/>
      <c r="M1261" s="232"/>
      <c r="N1261" s="227"/>
      <c r="O1261" s="227"/>
      <c r="P1261" s="231"/>
      <c r="Q1261" s="227"/>
      <c r="R1261" s="231"/>
      <c r="S1261" s="231"/>
      <c r="T1261" s="231"/>
      <c r="U1261" s="231"/>
      <c r="V1261" s="231"/>
      <c r="W1261" s="231"/>
      <c r="X1261" s="227"/>
      <c r="Y1261" s="232"/>
      <c r="Z1261" s="232"/>
      <c r="AA1261" s="232"/>
      <c r="AB1261" s="232"/>
      <c r="AC1261" s="227"/>
      <c r="AD1261" s="227"/>
      <c r="AE1261" s="231"/>
      <c r="AF1261" s="227"/>
      <c r="AG1261" s="232"/>
      <c r="AH1261" s="232"/>
      <c r="AI1261" s="232"/>
      <c r="AJ1261" s="232"/>
      <c r="AK1261" s="232"/>
      <c r="AL1261" s="232"/>
      <c r="AM1261" s="232"/>
      <c r="AN1261" s="232"/>
      <c r="AO1261" s="231"/>
      <c r="AP1261" s="231"/>
      <c r="AQ1261" s="227"/>
      <c r="AR1261" s="231"/>
      <c r="AS1261" s="227"/>
      <c r="AT1261" s="227"/>
      <c r="AU1261" s="227"/>
      <c r="AV1261" s="227"/>
    </row>
    <row r="1262">
      <c r="A1262" s="227"/>
      <c r="B1262" s="232"/>
      <c r="C1262" s="227"/>
      <c r="D1262" s="227"/>
      <c r="E1262" s="231"/>
      <c r="F1262" s="232"/>
      <c r="G1262" s="227"/>
      <c r="H1262" s="227"/>
      <c r="I1262" s="227"/>
      <c r="J1262" s="227"/>
      <c r="K1262" s="227"/>
      <c r="L1262" s="232"/>
      <c r="M1262" s="232"/>
      <c r="N1262" s="227"/>
      <c r="O1262" s="227"/>
      <c r="P1262" s="231"/>
      <c r="Q1262" s="227"/>
      <c r="R1262" s="231"/>
      <c r="S1262" s="231"/>
      <c r="T1262" s="231"/>
      <c r="U1262" s="231"/>
      <c r="V1262" s="231"/>
      <c r="W1262" s="231"/>
      <c r="X1262" s="227"/>
      <c r="Y1262" s="232"/>
      <c r="Z1262" s="232"/>
      <c r="AA1262" s="232"/>
      <c r="AB1262" s="232"/>
      <c r="AC1262" s="227"/>
      <c r="AD1262" s="227"/>
      <c r="AE1262" s="231"/>
      <c r="AF1262" s="227"/>
      <c r="AG1262" s="232"/>
      <c r="AH1262" s="232"/>
      <c r="AI1262" s="232"/>
      <c r="AJ1262" s="232"/>
      <c r="AK1262" s="232"/>
      <c r="AL1262" s="232"/>
      <c r="AM1262" s="232"/>
      <c r="AN1262" s="232"/>
      <c r="AO1262" s="231"/>
      <c r="AP1262" s="231"/>
      <c r="AQ1262" s="227"/>
      <c r="AR1262" s="231"/>
      <c r="AS1262" s="227"/>
      <c r="AT1262" s="227"/>
      <c r="AU1262" s="227"/>
      <c r="AV1262" s="227"/>
    </row>
    <row r="1263">
      <c r="A1263" s="227"/>
      <c r="B1263" s="232"/>
      <c r="C1263" s="227"/>
      <c r="D1263" s="227"/>
      <c r="E1263" s="231"/>
      <c r="F1263" s="232"/>
      <c r="G1263" s="227"/>
      <c r="H1263" s="227"/>
      <c r="I1263" s="227"/>
      <c r="J1263" s="227"/>
      <c r="K1263" s="227"/>
      <c r="L1263" s="232"/>
      <c r="M1263" s="232"/>
      <c r="N1263" s="227"/>
      <c r="O1263" s="227"/>
      <c r="P1263" s="231"/>
      <c r="Q1263" s="227"/>
      <c r="R1263" s="231"/>
      <c r="S1263" s="231"/>
      <c r="T1263" s="231"/>
      <c r="U1263" s="231"/>
      <c r="V1263" s="231"/>
      <c r="W1263" s="231"/>
      <c r="X1263" s="227"/>
      <c r="Y1263" s="232"/>
      <c r="Z1263" s="232"/>
      <c r="AA1263" s="232"/>
      <c r="AB1263" s="232"/>
      <c r="AC1263" s="227"/>
      <c r="AD1263" s="227"/>
      <c r="AE1263" s="231"/>
      <c r="AF1263" s="227"/>
      <c r="AG1263" s="232"/>
      <c r="AH1263" s="232"/>
      <c r="AI1263" s="232"/>
      <c r="AJ1263" s="232"/>
      <c r="AK1263" s="232"/>
      <c r="AL1263" s="232"/>
      <c r="AM1263" s="232"/>
      <c r="AN1263" s="232"/>
      <c r="AO1263" s="231"/>
      <c r="AP1263" s="231"/>
      <c r="AQ1263" s="227"/>
      <c r="AR1263" s="231"/>
      <c r="AS1263" s="227"/>
      <c r="AT1263" s="227"/>
      <c r="AU1263" s="227"/>
      <c r="AV1263" s="227"/>
    </row>
    <row r="1264">
      <c r="A1264" s="227"/>
      <c r="B1264" s="232"/>
      <c r="C1264" s="227"/>
      <c r="D1264" s="227"/>
      <c r="E1264" s="231"/>
      <c r="F1264" s="232"/>
      <c r="G1264" s="227"/>
      <c r="H1264" s="227"/>
      <c r="I1264" s="227"/>
      <c r="J1264" s="227"/>
      <c r="K1264" s="227"/>
      <c r="L1264" s="232"/>
      <c r="M1264" s="232"/>
      <c r="N1264" s="227"/>
      <c r="O1264" s="227"/>
      <c r="P1264" s="231"/>
      <c r="Q1264" s="227"/>
      <c r="R1264" s="231"/>
      <c r="S1264" s="231"/>
      <c r="T1264" s="231"/>
      <c r="U1264" s="231"/>
      <c r="V1264" s="231"/>
      <c r="W1264" s="231"/>
      <c r="X1264" s="227"/>
      <c r="Y1264" s="232"/>
      <c r="Z1264" s="232"/>
      <c r="AA1264" s="232"/>
      <c r="AB1264" s="232"/>
      <c r="AC1264" s="227"/>
      <c r="AD1264" s="227"/>
      <c r="AE1264" s="231"/>
      <c r="AF1264" s="227"/>
      <c r="AG1264" s="232"/>
      <c r="AH1264" s="232"/>
      <c r="AI1264" s="232"/>
      <c r="AJ1264" s="232"/>
      <c r="AK1264" s="232"/>
      <c r="AL1264" s="232"/>
      <c r="AM1264" s="232"/>
      <c r="AN1264" s="232"/>
      <c r="AO1264" s="231"/>
      <c r="AP1264" s="231"/>
      <c r="AQ1264" s="227"/>
      <c r="AR1264" s="231"/>
      <c r="AS1264" s="227"/>
      <c r="AT1264" s="227"/>
      <c r="AU1264" s="227"/>
      <c r="AV1264" s="227"/>
    </row>
    <row r="1265">
      <c r="A1265" s="227"/>
      <c r="B1265" s="232"/>
      <c r="C1265" s="227"/>
      <c r="D1265" s="227"/>
      <c r="E1265" s="231"/>
      <c r="F1265" s="232"/>
      <c r="G1265" s="227"/>
      <c r="H1265" s="227"/>
      <c r="I1265" s="227"/>
      <c r="J1265" s="227"/>
      <c r="K1265" s="227"/>
      <c r="L1265" s="232"/>
      <c r="M1265" s="232"/>
      <c r="N1265" s="227"/>
      <c r="O1265" s="227"/>
      <c r="P1265" s="231"/>
      <c r="Q1265" s="227"/>
      <c r="R1265" s="231"/>
      <c r="S1265" s="231"/>
      <c r="T1265" s="231"/>
      <c r="U1265" s="231"/>
      <c r="V1265" s="231"/>
      <c r="W1265" s="231"/>
      <c r="X1265" s="227"/>
      <c r="Y1265" s="232"/>
      <c r="Z1265" s="232"/>
      <c r="AA1265" s="232"/>
      <c r="AB1265" s="232"/>
      <c r="AC1265" s="227"/>
      <c r="AD1265" s="227"/>
      <c r="AE1265" s="231"/>
      <c r="AF1265" s="227"/>
      <c r="AG1265" s="232"/>
      <c r="AH1265" s="232"/>
      <c r="AI1265" s="232"/>
      <c r="AJ1265" s="232"/>
      <c r="AK1265" s="232"/>
      <c r="AL1265" s="232"/>
      <c r="AM1265" s="232"/>
      <c r="AN1265" s="232"/>
      <c r="AO1265" s="231"/>
      <c r="AP1265" s="231"/>
      <c r="AQ1265" s="227"/>
      <c r="AR1265" s="231"/>
      <c r="AS1265" s="227"/>
      <c r="AT1265" s="227"/>
      <c r="AU1265" s="227"/>
      <c r="AV1265" s="227"/>
    </row>
    <row r="1266">
      <c r="A1266" s="227"/>
      <c r="B1266" s="232"/>
      <c r="C1266" s="227"/>
      <c r="D1266" s="227"/>
      <c r="E1266" s="231"/>
      <c r="F1266" s="232"/>
      <c r="G1266" s="227"/>
      <c r="H1266" s="227"/>
      <c r="I1266" s="227"/>
      <c r="J1266" s="227"/>
      <c r="K1266" s="227"/>
      <c r="L1266" s="232"/>
      <c r="M1266" s="232"/>
      <c r="N1266" s="227"/>
      <c r="O1266" s="227"/>
      <c r="P1266" s="231"/>
      <c r="Q1266" s="227"/>
      <c r="R1266" s="231"/>
      <c r="S1266" s="231"/>
      <c r="T1266" s="231"/>
      <c r="U1266" s="231"/>
      <c r="V1266" s="231"/>
      <c r="W1266" s="231"/>
      <c r="X1266" s="227"/>
      <c r="Y1266" s="232"/>
      <c r="Z1266" s="232"/>
      <c r="AA1266" s="232"/>
      <c r="AB1266" s="232"/>
      <c r="AC1266" s="227"/>
      <c r="AD1266" s="227"/>
      <c r="AE1266" s="231"/>
      <c r="AF1266" s="227"/>
      <c r="AG1266" s="232"/>
      <c r="AH1266" s="232"/>
      <c r="AI1266" s="232"/>
      <c r="AJ1266" s="232"/>
      <c r="AK1266" s="232"/>
      <c r="AL1266" s="232"/>
      <c r="AM1266" s="232"/>
      <c r="AN1266" s="232"/>
      <c r="AO1266" s="231"/>
      <c r="AP1266" s="231"/>
      <c r="AQ1266" s="227"/>
      <c r="AR1266" s="231"/>
      <c r="AS1266" s="227"/>
      <c r="AT1266" s="227"/>
      <c r="AU1266" s="227"/>
      <c r="AV1266" s="227"/>
    </row>
    <row r="1267">
      <c r="A1267" s="227"/>
      <c r="B1267" s="232"/>
      <c r="C1267" s="227"/>
      <c r="D1267" s="227"/>
      <c r="E1267" s="231"/>
      <c r="F1267" s="232"/>
      <c r="G1267" s="227"/>
      <c r="H1267" s="227"/>
      <c r="I1267" s="227"/>
      <c r="J1267" s="227"/>
      <c r="K1267" s="227"/>
      <c r="L1267" s="232"/>
      <c r="M1267" s="232"/>
      <c r="N1267" s="227"/>
      <c r="O1267" s="227"/>
      <c r="P1267" s="231"/>
      <c r="Q1267" s="227"/>
      <c r="R1267" s="231"/>
      <c r="S1267" s="231"/>
      <c r="T1267" s="231"/>
      <c r="U1267" s="231"/>
      <c r="V1267" s="231"/>
      <c r="W1267" s="231"/>
      <c r="X1267" s="227"/>
      <c r="Y1267" s="232"/>
      <c r="Z1267" s="232"/>
      <c r="AA1267" s="232"/>
      <c r="AB1267" s="232"/>
      <c r="AC1267" s="227"/>
      <c r="AD1267" s="227"/>
      <c r="AE1267" s="231"/>
      <c r="AF1267" s="227"/>
      <c r="AG1267" s="232"/>
      <c r="AH1267" s="232"/>
      <c r="AI1267" s="232"/>
      <c r="AJ1267" s="232"/>
      <c r="AK1267" s="232"/>
      <c r="AL1267" s="232"/>
      <c r="AM1267" s="232"/>
      <c r="AN1267" s="232"/>
      <c r="AO1267" s="231"/>
      <c r="AP1267" s="231"/>
      <c r="AQ1267" s="227"/>
      <c r="AR1267" s="231"/>
      <c r="AS1267" s="227"/>
      <c r="AT1267" s="227"/>
      <c r="AU1267" s="227"/>
      <c r="AV1267" s="227"/>
    </row>
    <row r="1268">
      <c r="A1268" s="227"/>
      <c r="B1268" s="232"/>
      <c r="C1268" s="227"/>
      <c r="D1268" s="227"/>
      <c r="E1268" s="231"/>
      <c r="F1268" s="232"/>
      <c r="G1268" s="227"/>
      <c r="H1268" s="227"/>
      <c r="I1268" s="227"/>
      <c r="J1268" s="227"/>
      <c r="K1268" s="227"/>
      <c r="L1268" s="232"/>
      <c r="M1268" s="232"/>
      <c r="N1268" s="227"/>
      <c r="O1268" s="227"/>
      <c r="P1268" s="231"/>
      <c r="Q1268" s="227"/>
      <c r="R1268" s="231"/>
      <c r="S1268" s="231"/>
      <c r="T1268" s="231"/>
      <c r="U1268" s="231"/>
      <c r="V1268" s="231"/>
      <c r="W1268" s="231"/>
      <c r="X1268" s="227"/>
      <c r="Y1268" s="232"/>
      <c r="Z1268" s="232"/>
      <c r="AA1268" s="232"/>
      <c r="AB1268" s="232"/>
      <c r="AC1268" s="227"/>
      <c r="AD1268" s="227"/>
      <c r="AE1268" s="231"/>
      <c r="AF1268" s="227"/>
      <c r="AG1268" s="232"/>
      <c r="AH1268" s="232"/>
      <c r="AI1268" s="232"/>
      <c r="AJ1268" s="232"/>
      <c r="AK1268" s="232"/>
      <c r="AL1268" s="232"/>
      <c r="AM1268" s="232"/>
      <c r="AN1268" s="232"/>
      <c r="AO1268" s="231"/>
      <c r="AP1268" s="231"/>
      <c r="AQ1268" s="227"/>
      <c r="AR1268" s="231"/>
      <c r="AS1268" s="227"/>
      <c r="AT1268" s="227"/>
      <c r="AU1268" s="227"/>
      <c r="AV1268" s="227"/>
    </row>
    <row r="1269">
      <c r="A1269" s="227"/>
      <c r="B1269" s="232"/>
      <c r="C1269" s="227"/>
      <c r="D1269" s="227"/>
      <c r="E1269" s="231"/>
      <c r="F1269" s="232"/>
      <c r="G1269" s="227"/>
      <c r="H1269" s="227"/>
      <c r="I1269" s="227"/>
      <c r="J1269" s="227"/>
      <c r="K1269" s="227"/>
      <c r="L1269" s="232"/>
      <c r="M1269" s="232"/>
      <c r="N1269" s="227"/>
      <c r="O1269" s="227"/>
      <c r="P1269" s="231"/>
      <c r="Q1269" s="227"/>
      <c r="R1269" s="231"/>
      <c r="S1269" s="231"/>
      <c r="T1269" s="231"/>
      <c r="U1269" s="231"/>
      <c r="V1269" s="231"/>
      <c r="W1269" s="231"/>
      <c r="X1269" s="227"/>
      <c r="Y1269" s="232"/>
      <c r="Z1269" s="232"/>
      <c r="AA1269" s="232"/>
      <c r="AB1269" s="232"/>
      <c r="AC1269" s="227"/>
      <c r="AD1269" s="227"/>
      <c r="AE1269" s="231"/>
      <c r="AF1269" s="227"/>
      <c r="AG1269" s="232"/>
      <c r="AH1269" s="232"/>
      <c r="AI1269" s="232"/>
      <c r="AJ1269" s="232"/>
      <c r="AK1269" s="232"/>
      <c r="AL1269" s="232"/>
      <c r="AM1269" s="232"/>
      <c r="AN1269" s="232"/>
      <c r="AO1269" s="231"/>
      <c r="AP1269" s="231"/>
      <c r="AQ1269" s="227"/>
      <c r="AR1269" s="231"/>
      <c r="AS1269" s="227"/>
      <c r="AT1269" s="227"/>
      <c r="AU1269" s="227"/>
      <c r="AV1269" s="227"/>
    </row>
    <row r="1270">
      <c r="A1270" s="227"/>
      <c r="B1270" s="232"/>
      <c r="C1270" s="227"/>
      <c r="D1270" s="227"/>
      <c r="E1270" s="231"/>
      <c r="F1270" s="232"/>
      <c r="G1270" s="227"/>
      <c r="H1270" s="227"/>
      <c r="I1270" s="227"/>
      <c r="J1270" s="227"/>
      <c r="K1270" s="227"/>
      <c r="L1270" s="232"/>
      <c r="M1270" s="232"/>
      <c r="N1270" s="227"/>
      <c r="O1270" s="227"/>
      <c r="P1270" s="231"/>
      <c r="Q1270" s="227"/>
      <c r="R1270" s="231"/>
      <c r="S1270" s="231"/>
      <c r="T1270" s="231"/>
      <c r="U1270" s="231"/>
      <c r="V1270" s="231"/>
      <c r="W1270" s="231"/>
      <c r="X1270" s="227"/>
      <c r="Y1270" s="232"/>
      <c r="Z1270" s="232"/>
      <c r="AA1270" s="232"/>
      <c r="AB1270" s="232"/>
      <c r="AC1270" s="227"/>
      <c r="AD1270" s="227"/>
      <c r="AE1270" s="231"/>
      <c r="AF1270" s="227"/>
      <c r="AG1270" s="232"/>
      <c r="AH1270" s="232"/>
      <c r="AI1270" s="232"/>
      <c r="AJ1270" s="232"/>
      <c r="AK1270" s="232"/>
      <c r="AL1270" s="232"/>
      <c r="AM1270" s="232"/>
      <c r="AN1270" s="232"/>
      <c r="AO1270" s="231"/>
      <c r="AP1270" s="231"/>
      <c r="AQ1270" s="227"/>
      <c r="AR1270" s="231"/>
      <c r="AS1270" s="227"/>
      <c r="AT1270" s="227"/>
      <c r="AU1270" s="227"/>
      <c r="AV1270" s="227"/>
    </row>
    <row r="1271">
      <c r="A1271" s="227"/>
      <c r="B1271" s="232"/>
      <c r="C1271" s="227"/>
      <c r="D1271" s="227"/>
      <c r="E1271" s="231"/>
      <c r="F1271" s="232"/>
      <c r="G1271" s="227"/>
      <c r="H1271" s="227"/>
      <c r="I1271" s="227"/>
      <c r="J1271" s="227"/>
      <c r="K1271" s="227"/>
      <c r="L1271" s="232"/>
      <c r="M1271" s="232"/>
      <c r="N1271" s="227"/>
      <c r="O1271" s="227"/>
      <c r="P1271" s="231"/>
      <c r="Q1271" s="227"/>
      <c r="R1271" s="231"/>
      <c r="S1271" s="231"/>
      <c r="T1271" s="231"/>
      <c r="U1271" s="231"/>
      <c r="V1271" s="231"/>
      <c r="W1271" s="231"/>
      <c r="X1271" s="227"/>
      <c r="Y1271" s="232"/>
      <c r="Z1271" s="232"/>
      <c r="AA1271" s="232"/>
      <c r="AB1271" s="232"/>
      <c r="AC1271" s="227"/>
      <c r="AD1271" s="227"/>
      <c r="AE1271" s="231"/>
      <c r="AF1271" s="227"/>
      <c r="AG1271" s="232"/>
      <c r="AH1271" s="232"/>
      <c r="AI1271" s="232"/>
      <c r="AJ1271" s="232"/>
      <c r="AK1271" s="232"/>
      <c r="AL1271" s="232"/>
      <c r="AM1271" s="232"/>
      <c r="AN1271" s="232"/>
      <c r="AO1271" s="231"/>
      <c r="AP1271" s="231"/>
      <c r="AQ1271" s="227"/>
      <c r="AR1271" s="231"/>
      <c r="AS1271" s="227"/>
      <c r="AT1271" s="227"/>
      <c r="AU1271" s="227"/>
      <c r="AV1271" s="227"/>
    </row>
    <row r="1272">
      <c r="A1272" s="227"/>
      <c r="B1272" s="232"/>
      <c r="C1272" s="227"/>
      <c r="D1272" s="227"/>
      <c r="E1272" s="231"/>
      <c r="F1272" s="232"/>
      <c r="G1272" s="227"/>
      <c r="H1272" s="227"/>
      <c r="I1272" s="227"/>
      <c r="J1272" s="227"/>
      <c r="K1272" s="227"/>
      <c r="L1272" s="232"/>
      <c r="M1272" s="232"/>
      <c r="N1272" s="227"/>
      <c r="O1272" s="227"/>
      <c r="P1272" s="231"/>
      <c r="Q1272" s="227"/>
      <c r="R1272" s="231"/>
      <c r="S1272" s="231"/>
      <c r="T1272" s="231"/>
      <c r="U1272" s="231"/>
      <c r="V1272" s="231"/>
      <c r="W1272" s="231"/>
      <c r="X1272" s="227"/>
      <c r="Y1272" s="232"/>
      <c r="Z1272" s="232"/>
      <c r="AA1272" s="232"/>
      <c r="AB1272" s="232"/>
      <c r="AC1272" s="227"/>
      <c r="AD1272" s="227"/>
      <c r="AE1272" s="231"/>
      <c r="AF1272" s="227"/>
      <c r="AG1272" s="232"/>
      <c r="AH1272" s="232"/>
      <c r="AI1272" s="232"/>
      <c r="AJ1272" s="232"/>
      <c r="AK1272" s="232"/>
      <c r="AL1272" s="232"/>
      <c r="AM1272" s="232"/>
      <c r="AN1272" s="232"/>
      <c r="AO1272" s="231"/>
      <c r="AP1272" s="231"/>
      <c r="AQ1272" s="227"/>
      <c r="AR1272" s="231"/>
      <c r="AS1272" s="227"/>
      <c r="AT1272" s="227"/>
      <c r="AU1272" s="227"/>
      <c r="AV1272" s="227"/>
    </row>
    <row r="1273">
      <c r="A1273" s="227"/>
      <c r="B1273" s="232"/>
      <c r="C1273" s="227"/>
      <c r="D1273" s="227"/>
      <c r="E1273" s="231"/>
      <c r="F1273" s="232"/>
      <c r="G1273" s="227"/>
      <c r="H1273" s="227"/>
      <c r="I1273" s="227"/>
      <c r="J1273" s="227"/>
      <c r="K1273" s="227"/>
      <c r="L1273" s="232"/>
      <c r="M1273" s="232"/>
      <c r="N1273" s="227"/>
      <c r="O1273" s="227"/>
      <c r="P1273" s="231"/>
      <c r="Q1273" s="227"/>
      <c r="R1273" s="231"/>
      <c r="S1273" s="231"/>
      <c r="T1273" s="231"/>
      <c r="U1273" s="231"/>
      <c r="V1273" s="231"/>
      <c r="W1273" s="231"/>
      <c r="X1273" s="227"/>
      <c r="Y1273" s="232"/>
      <c r="Z1273" s="232"/>
      <c r="AA1273" s="232"/>
      <c r="AB1273" s="232"/>
      <c r="AC1273" s="227"/>
      <c r="AD1273" s="227"/>
      <c r="AE1273" s="231"/>
      <c r="AF1273" s="227"/>
      <c r="AG1273" s="232"/>
      <c r="AH1273" s="232"/>
      <c r="AI1273" s="232"/>
      <c r="AJ1273" s="232"/>
      <c r="AK1273" s="232"/>
      <c r="AL1273" s="232"/>
      <c r="AM1273" s="232"/>
      <c r="AN1273" s="232"/>
      <c r="AO1273" s="231"/>
      <c r="AP1273" s="231"/>
      <c r="AQ1273" s="227"/>
      <c r="AR1273" s="231"/>
      <c r="AS1273" s="227"/>
      <c r="AT1273" s="227"/>
      <c r="AU1273" s="227"/>
      <c r="AV1273" s="227"/>
    </row>
    <row r="1274">
      <c r="A1274" s="227"/>
      <c r="B1274" s="232"/>
      <c r="C1274" s="227"/>
      <c r="D1274" s="227"/>
      <c r="E1274" s="231"/>
      <c r="F1274" s="232"/>
      <c r="G1274" s="227"/>
      <c r="H1274" s="227"/>
      <c r="I1274" s="227"/>
      <c r="J1274" s="227"/>
      <c r="K1274" s="227"/>
      <c r="L1274" s="232"/>
      <c r="M1274" s="232"/>
      <c r="N1274" s="227"/>
      <c r="O1274" s="227"/>
      <c r="P1274" s="231"/>
      <c r="Q1274" s="227"/>
      <c r="R1274" s="231"/>
      <c r="S1274" s="231"/>
      <c r="T1274" s="231"/>
      <c r="U1274" s="231"/>
      <c r="V1274" s="231"/>
      <c r="W1274" s="231"/>
      <c r="X1274" s="227"/>
      <c r="Y1274" s="232"/>
      <c r="Z1274" s="232"/>
      <c r="AA1274" s="232"/>
      <c r="AB1274" s="232"/>
      <c r="AC1274" s="227"/>
      <c r="AD1274" s="227"/>
      <c r="AE1274" s="231"/>
      <c r="AF1274" s="227"/>
      <c r="AG1274" s="232"/>
      <c r="AH1274" s="232"/>
      <c r="AI1274" s="232"/>
      <c r="AJ1274" s="232"/>
      <c r="AK1274" s="232"/>
      <c r="AL1274" s="232"/>
      <c r="AM1274" s="232"/>
      <c r="AN1274" s="232"/>
      <c r="AO1274" s="231"/>
      <c r="AP1274" s="231"/>
      <c r="AQ1274" s="227"/>
      <c r="AR1274" s="231"/>
      <c r="AS1274" s="227"/>
      <c r="AT1274" s="227"/>
      <c r="AU1274" s="227"/>
      <c r="AV1274" s="227"/>
    </row>
    <row r="1275">
      <c r="A1275" s="227"/>
      <c r="B1275" s="232"/>
      <c r="C1275" s="227"/>
      <c r="D1275" s="227"/>
      <c r="E1275" s="231"/>
      <c r="F1275" s="232"/>
      <c r="G1275" s="227"/>
      <c r="H1275" s="227"/>
      <c r="I1275" s="227"/>
      <c r="J1275" s="227"/>
      <c r="K1275" s="227"/>
      <c r="L1275" s="232"/>
      <c r="M1275" s="232"/>
      <c r="N1275" s="227"/>
      <c r="O1275" s="227"/>
      <c r="P1275" s="231"/>
      <c r="Q1275" s="227"/>
      <c r="R1275" s="231"/>
      <c r="S1275" s="231"/>
      <c r="T1275" s="231"/>
      <c r="U1275" s="231"/>
      <c r="V1275" s="231"/>
      <c r="W1275" s="231"/>
      <c r="X1275" s="227"/>
      <c r="Y1275" s="232"/>
      <c r="Z1275" s="232"/>
      <c r="AA1275" s="232"/>
      <c r="AB1275" s="232"/>
      <c r="AC1275" s="227"/>
      <c r="AD1275" s="227"/>
      <c r="AE1275" s="231"/>
      <c r="AF1275" s="227"/>
      <c r="AG1275" s="232"/>
      <c r="AH1275" s="232"/>
      <c r="AI1275" s="232"/>
      <c r="AJ1275" s="232"/>
      <c r="AK1275" s="232"/>
      <c r="AL1275" s="232"/>
      <c r="AM1275" s="232"/>
      <c r="AN1275" s="232"/>
      <c r="AO1275" s="231"/>
      <c r="AP1275" s="231"/>
      <c r="AQ1275" s="227"/>
      <c r="AR1275" s="231"/>
      <c r="AS1275" s="227"/>
      <c r="AT1275" s="227"/>
      <c r="AU1275" s="227"/>
      <c r="AV1275" s="227"/>
    </row>
    <row r="1276">
      <c r="A1276" s="227"/>
      <c r="B1276" s="232"/>
      <c r="C1276" s="227"/>
      <c r="D1276" s="227"/>
      <c r="E1276" s="231"/>
      <c r="F1276" s="232"/>
      <c r="G1276" s="227"/>
      <c r="H1276" s="227"/>
      <c r="I1276" s="227"/>
      <c r="J1276" s="227"/>
      <c r="K1276" s="227"/>
      <c r="L1276" s="232"/>
      <c r="M1276" s="232"/>
      <c r="N1276" s="227"/>
      <c r="O1276" s="227"/>
      <c r="P1276" s="231"/>
      <c r="Q1276" s="227"/>
      <c r="R1276" s="231"/>
      <c r="S1276" s="231"/>
      <c r="T1276" s="231"/>
      <c r="U1276" s="231"/>
      <c r="V1276" s="231"/>
      <c r="W1276" s="231"/>
      <c r="X1276" s="227"/>
      <c r="Y1276" s="232"/>
      <c r="Z1276" s="232"/>
      <c r="AA1276" s="232"/>
      <c r="AB1276" s="232"/>
      <c r="AC1276" s="227"/>
      <c r="AD1276" s="227"/>
      <c r="AE1276" s="231"/>
      <c r="AF1276" s="227"/>
      <c r="AG1276" s="232"/>
      <c r="AH1276" s="232"/>
      <c r="AI1276" s="232"/>
      <c r="AJ1276" s="232"/>
      <c r="AK1276" s="232"/>
      <c r="AL1276" s="232"/>
      <c r="AM1276" s="232"/>
      <c r="AN1276" s="232"/>
      <c r="AO1276" s="231"/>
      <c r="AP1276" s="231"/>
      <c r="AQ1276" s="227"/>
      <c r="AR1276" s="231"/>
      <c r="AS1276" s="227"/>
      <c r="AT1276" s="227"/>
      <c r="AU1276" s="227"/>
      <c r="AV1276" s="227"/>
    </row>
    <row r="1277">
      <c r="A1277" s="227"/>
      <c r="B1277" s="232"/>
      <c r="C1277" s="227"/>
      <c r="D1277" s="227"/>
      <c r="E1277" s="231"/>
      <c r="F1277" s="232"/>
      <c r="G1277" s="227"/>
      <c r="H1277" s="227"/>
      <c r="I1277" s="227"/>
      <c r="J1277" s="227"/>
      <c r="K1277" s="227"/>
      <c r="L1277" s="232"/>
      <c r="M1277" s="232"/>
      <c r="N1277" s="227"/>
      <c r="O1277" s="227"/>
      <c r="P1277" s="231"/>
      <c r="Q1277" s="227"/>
      <c r="R1277" s="231"/>
      <c r="S1277" s="231"/>
      <c r="T1277" s="231"/>
      <c r="U1277" s="231"/>
      <c r="V1277" s="231"/>
      <c r="W1277" s="231"/>
      <c r="X1277" s="227"/>
      <c r="Y1277" s="232"/>
      <c r="Z1277" s="232"/>
      <c r="AA1277" s="232"/>
      <c r="AB1277" s="232"/>
      <c r="AC1277" s="227"/>
      <c r="AD1277" s="227"/>
      <c r="AE1277" s="231"/>
      <c r="AF1277" s="227"/>
      <c r="AG1277" s="232"/>
      <c r="AH1277" s="232"/>
      <c r="AI1277" s="232"/>
      <c r="AJ1277" s="232"/>
      <c r="AK1277" s="232"/>
      <c r="AL1277" s="232"/>
      <c r="AM1277" s="232"/>
      <c r="AN1277" s="232"/>
      <c r="AO1277" s="231"/>
      <c r="AP1277" s="231"/>
      <c r="AQ1277" s="227"/>
      <c r="AR1277" s="231"/>
      <c r="AS1277" s="227"/>
      <c r="AT1277" s="227"/>
      <c r="AU1277" s="227"/>
      <c r="AV1277" s="227"/>
    </row>
    <row r="1278">
      <c r="A1278" s="227"/>
      <c r="B1278" s="232"/>
      <c r="C1278" s="227"/>
      <c r="D1278" s="227"/>
      <c r="E1278" s="231"/>
      <c r="F1278" s="232"/>
      <c r="G1278" s="227"/>
      <c r="H1278" s="227"/>
      <c r="I1278" s="227"/>
      <c r="J1278" s="227"/>
      <c r="K1278" s="227"/>
      <c r="L1278" s="232"/>
      <c r="M1278" s="232"/>
      <c r="N1278" s="227"/>
      <c r="O1278" s="227"/>
      <c r="P1278" s="231"/>
      <c r="Q1278" s="227"/>
      <c r="R1278" s="231"/>
      <c r="S1278" s="231"/>
      <c r="T1278" s="231"/>
      <c r="U1278" s="231"/>
      <c r="V1278" s="231"/>
      <c r="W1278" s="231"/>
      <c r="X1278" s="227"/>
      <c r="Y1278" s="232"/>
      <c r="Z1278" s="232"/>
      <c r="AA1278" s="232"/>
      <c r="AB1278" s="232"/>
      <c r="AC1278" s="227"/>
      <c r="AD1278" s="227"/>
      <c r="AE1278" s="231"/>
      <c r="AF1278" s="227"/>
      <c r="AG1278" s="232"/>
      <c r="AH1278" s="232"/>
      <c r="AI1278" s="232"/>
      <c r="AJ1278" s="232"/>
      <c r="AK1278" s="232"/>
      <c r="AL1278" s="232"/>
      <c r="AM1278" s="232"/>
      <c r="AN1278" s="232"/>
      <c r="AO1278" s="231"/>
      <c r="AP1278" s="231"/>
      <c r="AQ1278" s="227"/>
      <c r="AR1278" s="231"/>
      <c r="AS1278" s="227"/>
      <c r="AT1278" s="227"/>
      <c r="AU1278" s="227"/>
      <c r="AV1278" s="227"/>
    </row>
    <row r="1279">
      <c r="A1279" s="227"/>
      <c r="B1279" s="232"/>
      <c r="C1279" s="227"/>
      <c r="D1279" s="227"/>
      <c r="E1279" s="231"/>
      <c r="F1279" s="232"/>
      <c r="G1279" s="227"/>
      <c r="H1279" s="227"/>
      <c r="I1279" s="227"/>
      <c r="J1279" s="227"/>
      <c r="K1279" s="227"/>
      <c r="L1279" s="232"/>
      <c r="M1279" s="232"/>
      <c r="N1279" s="227"/>
      <c r="O1279" s="227"/>
      <c r="P1279" s="231"/>
      <c r="Q1279" s="227"/>
      <c r="R1279" s="231"/>
      <c r="S1279" s="231"/>
      <c r="T1279" s="231"/>
      <c r="U1279" s="231"/>
      <c r="V1279" s="231"/>
      <c r="W1279" s="231"/>
      <c r="X1279" s="227"/>
      <c r="Y1279" s="232"/>
      <c r="Z1279" s="232"/>
      <c r="AA1279" s="232"/>
      <c r="AB1279" s="232"/>
      <c r="AC1279" s="227"/>
      <c r="AD1279" s="227"/>
      <c r="AE1279" s="231"/>
      <c r="AF1279" s="227"/>
      <c r="AG1279" s="232"/>
      <c r="AH1279" s="232"/>
      <c r="AI1279" s="232"/>
      <c r="AJ1279" s="232"/>
      <c r="AK1279" s="232"/>
      <c r="AL1279" s="232"/>
      <c r="AM1279" s="232"/>
      <c r="AN1279" s="232"/>
      <c r="AO1279" s="231"/>
      <c r="AP1279" s="231"/>
      <c r="AQ1279" s="227"/>
      <c r="AR1279" s="231"/>
      <c r="AS1279" s="227"/>
      <c r="AT1279" s="227"/>
      <c r="AU1279" s="227"/>
      <c r="AV1279" s="227"/>
    </row>
    <row r="1280">
      <c r="A1280" s="227"/>
      <c r="B1280" s="232"/>
      <c r="C1280" s="227"/>
      <c r="D1280" s="227"/>
      <c r="E1280" s="231"/>
      <c r="F1280" s="232"/>
      <c r="G1280" s="227"/>
      <c r="H1280" s="227"/>
      <c r="I1280" s="227"/>
      <c r="J1280" s="227"/>
      <c r="K1280" s="227"/>
      <c r="L1280" s="232"/>
      <c r="M1280" s="232"/>
      <c r="N1280" s="227"/>
      <c r="O1280" s="227"/>
      <c r="P1280" s="231"/>
      <c r="Q1280" s="227"/>
      <c r="R1280" s="231"/>
      <c r="S1280" s="231"/>
      <c r="T1280" s="231"/>
      <c r="U1280" s="231"/>
      <c r="V1280" s="231"/>
      <c r="W1280" s="231"/>
      <c r="X1280" s="227"/>
      <c r="Y1280" s="232"/>
      <c r="Z1280" s="232"/>
      <c r="AA1280" s="232"/>
      <c r="AB1280" s="232"/>
      <c r="AC1280" s="227"/>
      <c r="AD1280" s="227"/>
      <c r="AE1280" s="231"/>
      <c r="AF1280" s="227"/>
      <c r="AG1280" s="232"/>
      <c r="AH1280" s="232"/>
      <c r="AI1280" s="232"/>
      <c r="AJ1280" s="232"/>
      <c r="AK1280" s="232"/>
      <c r="AL1280" s="232"/>
      <c r="AM1280" s="232"/>
      <c r="AN1280" s="232"/>
      <c r="AO1280" s="231"/>
      <c r="AP1280" s="231"/>
      <c r="AQ1280" s="227"/>
      <c r="AR1280" s="231"/>
      <c r="AS1280" s="227"/>
      <c r="AT1280" s="227"/>
      <c r="AU1280" s="227"/>
      <c r="AV1280" s="227"/>
    </row>
    <row r="1281">
      <c r="A1281" s="227"/>
      <c r="B1281" s="232"/>
      <c r="C1281" s="227"/>
      <c r="D1281" s="227"/>
      <c r="E1281" s="231"/>
      <c r="F1281" s="232"/>
      <c r="G1281" s="227"/>
      <c r="H1281" s="227"/>
      <c r="I1281" s="227"/>
      <c r="J1281" s="227"/>
      <c r="K1281" s="227"/>
      <c r="L1281" s="232"/>
      <c r="M1281" s="232"/>
      <c r="N1281" s="227"/>
      <c r="O1281" s="227"/>
      <c r="P1281" s="231"/>
      <c r="Q1281" s="227"/>
      <c r="R1281" s="231"/>
      <c r="S1281" s="231"/>
      <c r="T1281" s="231"/>
      <c r="U1281" s="231"/>
      <c r="V1281" s="231"/>
      <c r="W1281" s="231"/>
      <c r="X1281" s="227"/>
      <c r="Y1281" s="232"/>
      <c r="Z1281" s="232"/>
      <c r="AA1281" s="232"/>
      <c r="AB1281" s="232"/>
      <c r="AC1281" s="227"/>
      <c r="AD1281" s="227"/>
      <c r="AE1281" s="231"/>
      <c r="AF1281" s="227"/>
      <c r="AG1281" s="232"/>
      <c r="AH1281" s="232"/>
      <c r="AI1281" s="232"/>
      <c r="AJ1281" s="232"/>
      <c r="AK1281" s="232"/>
      <c r="AL1281" s="232"/>
      <c r="AM1281" s="232"/>
      <c r="AN1281" s="232"/>
      <c r="AO1281" s="231"/>
      <c r="AP1281" s="231"/>
      <c r="AQ1281" s="227"/>
      <c r="AR1281" s="231"/>
      <c r="AS1281" s="227"/>
      <c r="AT1281" s="227"/>
      <c r="AU1281" s="227"/>
      <c r="AV1281" s="227"/>
    </row>
    <row r="1282">
      <c r="A1282" s="227"/>
      <c r="B1282" s="232"/>
      <c r="C1282" s="227"/>
      <c r="D1282" s="227"/>
      <c r="E1282" s="231"/>
      <c r="F1282" s="232"/>
      <c r="G1282" s="227"/>
      <c r="H1282" s="227"/>
      <c r="I1282" s="227"/>
      <c r="J1282" s="227"/>
      <c r="K1282" s="227"/>
      <c r="L1282" s="232"/>
      <c r="M1282" s="232"/>
      <c r="N1282" s="227"/>
      <c r="O1282" s="227"/>
      <c r="P1282" s="231"/>
      <c r="Q1282" s="227"/>
      <c r="R1282" s="231"/>
      <c r="S1282" s="231"/>
      <c r="T1282" s="231"/>
      <c r="U1282" s="231"/>
      <c r="V1282" s="231"/>
      <c r="W1282" s="231"/>
      <c r="X1282" s="227"/>
      <c r="Y1282" s="232"/>
      <c r="Z1282" s="232"/>
      <c r="AA1282" s="232"/>
      <c r="AB1282" s="232"/>
      <c r="AC1282" s="227"/>
      <c r="AD1282" s="227"/>
      <c r="AE1282" s="231"/>
      <c r="AF1282" s="227"/>
      <c r="AG1282" s="232"/>
      <c r="AH1282" s="232"/>
      <c r="AI1282" s="232"/>
      <c r="AJ1282" s="232"/>
      <c r="AK1282" s="232"/>
      <c r="AL1282" s="232"/>
      <c r="AM1282" s="232"/>
      <c r="AN1282" s="232"/>
      <c r="AO1282" s="231"/>
      <c r="AP1282" s="231"/>
      <c r="AQ1282" s="227"/>
      <c r="AR1282" s="231"/>
      <c r="AS1282" s="227"/>
      <c r="AT1282" s="227"/>
      <c r="AU1282" s="227"/>
      <c r="AV1282" s="227"/>
    </row>
    <row r="1283">
      <c r="A1283" s="227"/>
      <c r="B1283" s="232"/>
      <c r="C1283" s="227"/>
      <c r="D1283" s="227"/>
      <c r="E1283" s="231"/>
      <c r="F1283" s="232"/>
      <c r="G1283" s="227"/>
      <c r="H1283" s="227"/>
      <c r="I1283" s="227"/>
      <c r="J1283" s="227"/>
      <c r="K1283" s="227"/>
      <c r="L1283" s="232"/>
      <c r="M1283" s="232"/>
      <c r="N1283" s="227"/>
      <c r="O1283" s="227"/>
      <c r="P1283" s="231"/>
      <c r="Q1283" s="227"/>
      <c r="R1283" s="231"/>
      <c r="S1283" s="231"/>
      <c r="T1283" s="231"/>
      <c r="U1283" s="231"/>
      <c r="V1283" s="231"/>
      <c r="W1283" s="231"/>
      <c r="X1283" s="227"/>
      <c r="Y1283" s="232"/>
      <c r="Z1283" s="232"/>
      <c r="AA1283" s="232"/>
      <c r="AB1283" s="232"/>
      <c r="AC1283" s="227"/>
      <c r="AD1283" s="227"/>
      <c r="AE1283" s="231"/>
      <c r="AF1283" s="227"/>
      <c r="AG1283" s="232"/>
      <c r="AH1283" s="232"/>
      <c r="AI1283" s="232"/>
      <c r="AJ1283" s="232"/>
      <c r="AK1283" s="232"/>
      <c r="AL1283" s="232"/>
      <c r="AM1283" s="232"/>
      <c r="AN1283" s="232"/>
      <c r="AO1283" s="231"/>
      <c r="AP1283" s="231"/>
      <c r="AQ1283" s="227"/>
      <c r="AR1283" s="231"/>
      <c r="AS1283" s="227"/>
      <c r="AT1283" s="227"/>
      <c r="AU1283" s="227"/>
      <c r="AV1283" s="227"/>
    </row>
    <row r="1284">
      <c r="A1284" s="227"/>
      <c r="B1284" s="232"/>
      <c r="C1284" s="227"/>
      <c r="D1284" s="227"/>
      <c r="E1284" s="231"/>
      <c r="F1284" s="232"/>
      <c r="G1284" s="227"/>
      <c r="H1284" s="227"/>
      <c r="I1284" s="227"/>
      <c r="J1284" s="227"/>
      <c r="K1284" s="227"/>
      <c r="L1284" s="232"/>
      <c r="M1284" s="232"/>
      <c r="N1284" s="227"/>
      <c r="O1284" s="227"/>
      <c r="P1284" s="231"/>
      <c r="Q1284" s="227"/>
      <c r="R1284" s="231"/>
      <c r="S1284" s="231"/>
      <c r="T1284" s="231"/>
      <c r="U1284" s="231"/>
      <c r="V1284" s="231"/>
      <c r="W1284" s="231"/>
      <c r="X1284" s="227"/>
      <c r="Y1284" s="232"/>
      <c r="Z1284" s="232"/>
      <c r="AA1284" s="232"/>
      <c r="AB1284" s="232"/>
      <c r="AC1284" s="227"/>
      <c r="AD1284" s="227"/>
      <c r="AE1284" s="231"/>
      <c r="AF1284" s="227"/>
      <c r="AG1284" s="232"/>
      <c r="AH1284" s="232"/>
      <c r="AI1284" s="232"/>
      <c r="AJ1284" s="232"/>
      <c r="AK1284" s="232"/>
      <c r="AL1284" s="232"/>
      <c r="AM1284" s="232"/>
      <c r="AN1284" s="232"/>
      <c r="AO1284" s="231"/>
      <c r="AP1284" s="231"/>
      <c r="AQ1284" s="227"/>
      <c r="AR1284" s="231"/>
      <c r="AS1284" s="227"/>
      <c r="AT1284" s="227"/>
      <c r="AU1284" s="227"/>
      <c r="AV1284" s="227"/>
    </row>
    <row r="1285">
      <c r="A1285" s="227"/>
      <c r="B1285" s="232"/>
      <c r="C1285" s="227"/>
      <c r="D1285" s="227"/>
      <c r="E1285" s="231"/>
      <c r="F1285" s="232"/>
      <c r="G1285" s="227"/>
      <c r="H1285" s="227"/>
      <c r="I1285" s="227"/>
      <c r="J1285" s="227"/>
      <c r="K1285" s="227"/>
      <c r="L1285" s="232"/>
      <c r="M1285" s="232"/>
      <c r="N1285" s="227"/>
      <c r="O1285" s="227"/>
      <c r="P1285" s="231"/>
      <c r="Q1285" s="227"/>
      <c r="R1285" s="231"/>
      <c r="S1285" s="231"/>
      <c r="T1285" s="231"/>
      <c r="U1285" s="231"/>
      <c r="V1285" s="231"/>
      <c r="W1285" s="231"/>
      <c r="X1285" s="227"/>
      <c r="Y1285" s="232"/>
      <c r="Z1285" s="232"/>
      <c r="AA1285" s="232"/>
      <c r="AB1285" s="232"/>
      <c r="AC1285" s="227"/>
      <c r="AD1285" s="227"/>
      <c r="AE1285" s="231"/>
      <c r="AF1285" s="227"/>
      <c r="AG1285" s="232"/>
      <c r="AH1285" s="232"/>
      <c r="AI1285" s="232"/>
      <c r="AJ1285" s="232"/>
      <c r="AK1285" s="232"/>
      <c r="AL1285" s="232"/>
      <c r="AM1285" s="232"/>
      <c r="AN1285" s="232"/>
      <c r="AO1285" s="231"/>
      <c r="AP1285" s="231"/>
      <c r="AQ1285" s="227"/>
      <c r="AR1285" s="231"/>
      <c r="AS1285" s="227"/>
      <c r="AT1285" s="227"/>
      <c r="AU1285" s="227"/>
      <c r="AV1285" s="227"/>
    </row>
    <row r="1286">
      <c r="A1286" s="227"/>
      <c r="B1286" s="232"/>
      <c r="C1286" s="227"/>
      <c r="D1286" s="227"/>
      <c r="E1286" s="231"/>
      <c r="F1286" s="232"/>
      <c r="G1286" s="227"/>
      <c r="H1286" s="227"/>
      <c r="I1286" s="227"/>
      <c r="J1286" s="227"/>
      <c r="K1286" s="227"/>
      <c r="L1286" s="232"/>
      <c r="M1286" s="232"/>
      <c r="N1286" s="227"/>
      <c r="O1286" s="227"/>
      <c r="P1286" s="231"/>
      <c r="Q1286" s="227"/>
      <c r="R1286" s="231"/>
      <c r="S1286" s="231"/>
      <c r="T1286" s="231"/>
      <c r="U1286" s="231"/>
      <c r="V1286" s="231"/>
      <c r="W1286" s="231"/>
      <c r="X1286" s="227"/>
      <c r="Y1286" s="232"/>
      <c r="Z1286" s="232"/>
      <c r="AA1286" s="232"/>
      <c r="AB1286" s="232"/>
      <c r="AC1286" s="227"/>
      <c r="AD1286" s="227"/>
      <c r="AE1286" s="231"/>
      <c r="AF1286" s="227"/>
      <c r="AG1286" s="232"/>
      <c r="AH1286" s="232"/>
      <c r="AI1286" s="232"/>
      <c r="AJ1286" s="232"/>
      <c r="AK1286" s="232"/>
      <c r="AL1286" s="232"/>
      <c r="AM1286" s="232"/>
      <c r="AN1286" s="232"/>
      <c r="AO1286" s="231"/>
      <c r="AP1286" s="231"/>
      <c r="AQ1286" s="227"/>
      <c r="AR1286" s="231"/>
      <c r="AS1286" s="227"/>
      <c r="AT1286" s="227"/>
      <c r="AU1286" s="227"/>
      <c r="AV1286" s="227"/>
    </row>
    <row r="1287">
      <c r="A1287" s="227"/>
      <c r="B1287" s="232"/>
      <c r="C1287" s="227"/>
      <c r="D1287" s="227"/>
      <c r="E1287" s="231"/>
      <c r="F1287" s="232"/>
      <c r="G1287" s="227"/>
      <c r="H1287" s="227"/>
      <c r="I1287" s="227"/>
      <c r="J1287" s="227"/>
      <c r="K1287" s="227"/>
      <c r="L1287" s="232"/>
      <c r="M1287" s="232"/>
      <c r="N1287" s="227"/>
      <c r="O1287" s="227"/>
      <c r="P1287" s="231"/>
      <c r="Q1287" s="227"/>
      <c r="R1287" s="231"/>
      <c r="S1287" s="231"/>
      <c r="T1287" s="231"/>
      <c r="U1287" s="231"/>
      <c r="V1287" s="231"/>
      <c r="W1287" s="231"/>
      <c r="X1287" s="227"/>
      <c r="Y1287" s="232"/>
      <c r="Z1287" s="232"/>
      <c r="AA1287" s="232"/>
      <c r="AB1287" s="232"/>
      <c r="AC1287" s="227"/>
      <c r="AD1287" s="227"/>
      <c r="AE1287" s="231"/>
      <c r="AF1287" s="227"/>
      <c r="AG1287" s="232"/>
      <c r="AH1287" s="232"/>
      <c r="AI1287" s="232"/>
      <c r="AJ1287" s="232"/>
      <c r="AK1287" s="232"/>
      <c r="AL1287" s="232"/>
      <c r="AM1287" s="232"/>
      <c r="AN1287" s="232"/>
      <c r="AO1287" s="231"/>
      <c r="AP1287" s="231"/>
      <c r="AQ1287" s="227"/>
      <c r="AR1287" s="231"/>
      <c r="AS1287" s="227"/>
      <c r="AT1287" s="227"/>
      <c r="AU1287" s="227"/>
      <c r="AV1287" s="227"/>
    </row>
    <row r="1288">
      <c r="A1288" s="227"/>
      <c r="B1288" s="232"/>
      <c r="C1288" s="227"/>
      <c r="D1288" s="227"/>
      <c r="E1288" s="231"/>
      <c r="F1288" s="232"/>
      <c r="G1288" s="227"/>
      <c r="H1288" s="227"/>
      <c r="I1288" s="227"/>
      <c r="J1288" s="227"/>
      <c r="K1288" s="227"/>
      <c r="L1288" s="232"/>
      <c r="M1288" s="232"/>
      <c r="N1288" s="227"/>
      <c r="O1288" s="227"/>
      <c r="P1288" s="231"/>
      <c r="Q1288" s="227"/>
      <c r="R1288" s="231"/>
      <c r="S1288" s="231"/>
      <c r="T1288" s="231"/>
      <c r="U1288" s="231"/>
      <c r="V1288" s="231"/>
      <c r="W1288" s="231"/>
      <c r="X1288" s="227"/>
      <c r="Y1288" s="232"/>
      <c r="Z1288" s="232"/>
      <c r="AA1288" s="232"/>
      <c r="AB1288" s="232"/>
      <c r="AC1288" s="227"/>
      <c r="AD1288" s="227"/>
      <c r="AE1288" s="231"/>
      <c r="AF1288" s="227"/>
      <c r="AG1288" s="232"/>
      <c r="AH1288" s="232"/>
      <c r="AI1288" s="232"/>
      <c r="AJ1288" s="232"/>
      <c r="AK1288" s="232"/>
      <c r="AL1288" s="232"/>
      <c r="AM1288" s="232"/>
      <c r="AN1288" s="232"/>
      <c r="AO1288" s="231"/>
      <c r="AP1288" s="231"/>
      <c r="AQ1288" s="227"/>
      <c r="AR1288" s="231"/>
      <c r="AS1288" s="227"/>
      <c r="AT1288" s="227"/>
      <c r="AU1288" s="227"/>
      <c r="AV1288" s="227"/>
    </row>
    <row r="1289">
      <c r="A1289" s="227"/>
      <c r="B1289" s="232"/>
      <c r="C1289" s="227"/>
      <c r="D1289" s="227"/>
      <c r="E1289" s="231"/>
      <c r="F1289" s="232"/>
      <c r="G1289" s="227"/>
      <c r="H1289" s="227"/>
      <c r="I1289" s="227"/>
      <c r="J1289" s="227"/>
      <c r="K1289" s="227"/>
      <c r="L1289" s="232"/>
      <c r="M1289" s="232"/>
      <c r="N1289" s="227"/>
      <c r="O1289" s="227"/>
      <c r="P1289" s="231"/>
      <c r="Q1289" s="227"/>
      <c r="R1289" s="231"/>
      <c r="S1289" s="231"/>
      <c r="T1289" s="231"/>
      <c r="U1289" s="231"/>
      <c r="V1289" s="231"/>
      <c r="W1289" s="231"/>
      <c r="X1289" s="227"/>
      <c r="Y1289" s="232"/>
      <c r="Z1289" s="232"/>
      <c r="AA1289" s="232"/>
      <c r="AB1289" s="232"/>
      <c r="AC1289" s="227"/>
      <c r="AD1289" s="227"/>
      <c r="AE1289" s="231"/>
      <c r="AF1289" s="227"/>
      <c r="AG1289" s="232"/>
      <c r="AH1289" s="232"/>
      <c r="AI1289" s="232"/>
      <c r="AJ1289" s="232"/>
      <c r="AK1289" s="232"/>
      <c r="AL1289" s="232"/>
      <c r="AM1289" s="232"/>
      <c r="AN1289" s="232"/>
      <c r="AO1289" s="231"/>
      <c r="AP1289" s="231"/>
      <c r="AQ1289" s="227"/>
      <c r="AR1289" s="231"/>
      <c r="AS1289" s="227"/>
      <c r="AT1289" s="227"/>
      <c r="AU1289" s="227"/>
      <c r="AV1289" s="227"/>
    </row>
    <row r="1290">
      <c r="A1290" s="227"/>
      <c r="B1290" s="232"/>
      <c r="C1290" s="227"/>
      <c r="D1290" s="227"/>
      <c r="E1290" s="231"/>
      <c r="F1290" s="232"/>
      <c r="G1290" s="227"/>
      <c r="H1290" s="227"/>
      <c r="I1290" s="227"/>
      <c r="J1290" s="227"/>
      <c r="K1290" s="227"/>
      <c r="L1290" s="232"/>
      <c r="M1290" s="232"/>
      <c r="N1290" s="227"/>
      <c r="O1290" s="227"/>
      <c r="P1290" s="231"/>
      <c r="Q1290" s="227"/>
      <c r="R1290" s="231"/>
      <c r="S1290" s="231"/>
      <c r="T1290" s="231"/>
      <c r="U1290" s="231"/>
      <c r="V1290" s="231"/>
      <c r="W1290" s="231"/>
      <c r="X1290" s="227"/>
      <c r="Y1290" s="232"/>
      <c r="Z1290" s="232"/>
      <c r="AA1290" s="232"/>
      <c r="AB1290" s="232"/>
      <c r="AC1290" s="227"/>
      <c r="AD1290" s="227"/>
      <c r="AE1290" s="231"/>
      <c r="AF1290" s="227"/>
      <c r="AG1290" s="232"/>
      <c r="AH1290" s="232"/>
      <c r="AI1290" s="232"/>
      <c r="AJ1290" s="232"/>
      <c r="AK1290" s="232"/>
      <c r="AL1290" s="232"/>
      <c r="AM1290" s="232"/>
      <c r="AN1290" s="232"/>
      <c r="AO1290" s="231"/>
      <c r="AP1290" s="231"/>
      <c r="AQ1290" s="227"/>
      <c r="AR1290" s="231"/>
      <c r="AS1290" s="227"/>
      <c r="AT1290" s="227"/>
      <c r="AU1290" s="227"/>
      <c r="AV1290" s="227"/>
    </row>
    <row r="1291">
      <c r="A1291" s="227"/>
      <c r="B1291" s="232"/>
      <c r="C1291" s="227"/>
      <c r="D1291" s="227"/>
      <c r="E1291" s="231"/>
      <c r="F1291" s="232"/>
      <c r="G1291" s="227"/>
      <c r="H1291" s="227"/>
      <c r="I1291" s="227"/>
      <c r="J1291" s="227"/>
      <c r="K1291" s="227"/>
      <c r="L1291" s="232"/>
      <c r="M1291" s="232"/>
      <c r="N1291" s="227"/>
      <c r="O1291" s="227"/>
      <c r="P1291" s="231"/>
      <c r="Q1291" s="227"/>
      <c r="R1291" s="231"/>
      <c r="S1291" s="231"/>
      <c r="T1291" s="231"/>
      <c r="U1291" s="231"/>
      <c r="V1291" s="231"/>
      <c r="W1291" s="231"/>
      <c r="X1291" s="227"/>
      <c r="Y1291" s="232"/>
      <c r="Z1291" s="232"/>
      <c r="AA1291" s="232"/>
      <c r="AB1291" s="232"/>
      <c r="AC1291" s="227"/>
      <c r="AD1291" s="227"/>
      <c r="AE1291" s="231"/>
      <c r="AF1291" s="227"/>
      <c r="AG1291" s="232"/>
      <c r="AH1291" s="232"/>
      <c r="AI1291" s="232"/>
      <c r="AJ1291" s="232"/>
      <c r="AK1291" s="232"/>
      <c r="AL1291" s="232"/>
      <c r="AM1291" s="232"/>
      <c r="AN1291" s="232"/>
      <c r="AO1291" s="231"/>
      <c r="AP1291" s="231"/>
      <c r="AQ1291" s="227"/>
      <c r="AR1291" s="231"/>
      <c r="AS1291" s="227"/>
      <c r="AT1291" s="227"/>
      <c r="AU1291" s="227"/>
      <c r="AV1291" s="227"/>
    </row>
    <row r="1292">
      <c r="A1292" s="227"/>
      <c r="B1292" s="232"/>
      <c r="C1292" s="227"/>
      <c r="D1292" s="227"/>
      <c r="E1292" s="231"/>
      <c r="F1292" s="232"/>
      <c r="G1292" s="227"/>
      <c r="H1292" s="227"/>
      <c r="I1292" s="227"/>
      <c r="J1292" s="227"/>
      <c r="K1292" s="227"/>
      <c r="L1292" s="232"/>
      <c r="M1292" s="232"/>
      <c r="N1292" s="227"/>
      <c r="O1292" s="227"/>
      <c r="P1292" s="231"/>
      <c r="Q1292" s="227"/>
      <c r="R1292" s="231"/>
      <c r="S1292" s="231"/>
      <c r="T1292" s="231"/>
      <c r="U1292" s="231"/>
      <c r="V1292" s="231"/>
      <c r="W1292" s="231"/>
      <c r="X1292" s="227"/>
      <c r="Y1292" s="232"/>
      <c r="Z1292" s="232"/>
      <c r="AA1292" s="232"/>
      <c r="AB1292" s="232"/>
      <c r="AC1292" s="227"/>
      <c r="AD1292" s="227"/>
      <c r="AE1292" s="231"/>
      <c r="AF1292" s="227"/>
      <c r="AG1292" s="232"/>
      <c r="AH1292" s="232"/>
      <c r="AI1292" s="232"/>
      <c r="AJ1292" s="232"/>
      <c r="AK1292" s="232"/>
      <c r="AL1292" s="232"/>
      <c r="AM1292" s="232"/>
      <c r="AN1292" s="232"/>
      <c r="AO1292" s="231"/>
      <c r="AP1292" s="231"/>
      <c r="AQ1292" s="227"/>
      <c r="AR1292" s="231"/>
      <c r="AS1292" s="227"/>
      <c r="AT1292" s="227"/>
      <c r="AU1292" s="227"/>
      <c r="AV1292" s="227"/>
    </row>
    <row r="1293">
      <c r="A1293" s="227"/>
      <c r="B1293" s="232"/>
      <c r="C1293" s="227"/>
      <c r="D1293" s="227"/>
      <c r="E1293" s="231"/>
      <c r="F1293" s="232"/>
      <c r="G1293" s="227"/>
      <c r="H1293" s="227"/>
      <c r="I1293" s="227"/>
      <c r="J1293" s="227"/>
      <c r="K1293" s="227"/>
      <c r="L1293" s="232"/>
      <c r="M1293" s="232"/>
      <c r="N1293" s="227"/>
      <c r="O1293" s="227"/>
      <c r="P1293" s="231"/>
      <c r="Q1293" s="227"/>
      <c r="R1293" s="231"/>
      <c r="S1293" s="231"/>
      <c r="T1293" s="231"/>
      <c r="U1293" s="231"/>
      <c r="V1293" s="231"/>
      <c r="W1293" s="231"/>
      <c r="X1293" s="227"/>
      <c r="Y1293" s="232"/>
      <c r="Z1293" s="232"/>
      <c r="AA1293" s="232"/>
      <c r="AB1293" s="232"/>
      <c r="AC1293" s="227"/>
      <c r="AD1293" s="227"/>
      <c r="AE1293" s="231"/>
      <c r="AF1293" s="227"/>
      <c r="AG1293" s="232"/>
      <c r="AH1293" s="232"/>
      <c r="AI1293" s="232"/>
      <c r="AJ1293" s="232"/>
      <c r="AK1293" s="232"/>
      <c r="AL1293" s="232"/>
      <c r="AM1293" s="232"/>
      <c r="AN1293" s="232"/>
      <c r="AO1293" s="231"/>
      <c r="AP1293" s="231"/>
      <c r="AQ1293" s="227"/>
      <c r="AR1293" s="231"/>
      <c r="AS1293" s="227"/>
      <c r="AT1293" s="227"/>
      <c r="AU1293" s="227"/>
      <c r="AV1293" s="227"/>
    </row>
    <row r="1294">
      <c r="A1294" s="227"/>
      <c r="B1294" s="232"/>
      <c r="C1294" s="227"/>
      <c r="D1294" s="227"/>
      <c r="E1294" s="231"/>
      <c r="F1294" s="232"/>
      <c r="G1294" s="227"/>
      <c r="H1294" s="227"/>
      <c r="I1294" s="227"/>
      <c r="J1294" s="227"/>
      <c r="K1294" s="227"/>
      <c r="L1294" s="232"/>
      <c r="M1294" s="232"/>
      <c r="N1294" s="227"/>
      <c r="O1294" s="227"/>
      <c r="P1294" s="231"/>
      <c r="Q1294" s="227"/>
      <c r="R1294" s="231"/>
      <c r="S1294" s="231"/>
      <c r="T1294" s="231"/>
      <c r="U1294" s="231"/>
      <c r="V1294" s="231"/>
      <c r="W1294" s="231"/>
      <c r="X1294" s="227"/>
      <c r="Y1294" s="232"/>
      <c r="Z1294" s="232"/>
      <c r="AA1294" s="232"/>
      <c r="AB1294" s="232"/>
      <c r="AC1294" s="227"/>
      <c r="AD1294" s="227"/>
      <c r="AE1294" s="231"/>
      <c r="AF1294" s="227"/>
      <c r="AG1294" s="232"/>
      <c r="AH1294" s="232"/>
      <c r="AI1294" s="232"/>
      <c r="AJ1294" s="232"/>
      <c r="AK1294" s="232"/>
      <c r="AL1294" s="232"/>
      <c r="AM1294" s="232"/>
      <c r="AN1294" s="232"/>
      <c r="AO1294" s="231"/>
      <c r="AP1294" s="231"/>
      <c r="AQ1294" s="227"/>
      <c r="AR1294" s="231"/>
      <c r="AS1294" s="227"/>
      <c r="AT1294" s="227"/>
      <c r="AU1294" s="227"/>
      <c r="AV1294" s="227"/>
    </row>
    <row r="1295">
      <c r="A1295" s="227"/>
      <c r="B1295" s="232"/>
      <c r="C1295" s="227"/>
      <c r="D1295" s="227"/>
      <c r="E1295" s="231"/>
      <c r="F1295" s="232"/>
      <c r="G1295" s="227"/>
      <c r="H1295" s="227"/>
      <c r="I1295" s="227"/>
      <c r="J1295" s="227"/>
      <c r="K1295" s="227"/>
      <c r="L1295" s="232"/>
      <c r="M1295" s="232"/>
      <c r="N1295" s="227"/>
      <c r="O1295" s="227"/>
      <c r="P1295" s="231"/>
      <c r="Q1295" s="227"/>
      <c r="R1295" s="231"/>
      <c r="S1295" s="231"/>
      <c r="T1295" s="231"/>
      <c r="U1295" s="231"/>
      <c r="V1295" s="231"/>
      <c r="W1295" s="231"/>
      <c r="X1295" s="227"/>
      <c r="Y1295" s="232"/>
      <c r="Z1295" s="232"/>
      <c r="AA1295" s="232"/>
      <c r="AB1295" s="232"/>
      <c r="AC1295" s="227"/>
      <c r="AD1295" s="227"/>
      <c r="AE1295" s="231"/>
      <c r="AF1295" s="227"/>
      <c r="AG1295" s="232"/>
      <c r="AH1295" s="232"/>
      <c r="AI1295" s="232"/>
      <c r="AJ1295" s="232"/>
      <c r="AK1295" s="232"/>
      <c r="AL1295" s="232"/>
      <c r="AM1295" s="232"/>
      <c r="AN1295" s="232"/>
      <c r="AO1295" s="231"/>
      <c r="AP1295" s="231"/>
      <c r="AQ1295" s="227"/>
      <c r="AR1295" s="231"/>
      <c r="AS1295" s="227"/>
      <c r="AT1295" s="227"/>
      <c r="AU1295" s="227"/>
      <c r="AV1295" s="227"/>
    </row>
    <row r="1296">
      <c r="A1296" s="227"/>
      <c r="B1296" s="232"/>
      <c r="C1296" s="227"/>
      <c r="D1296" s="227"/>
      <c r="E1296" s="231"/>
      <c r="F1296" s="232"/>
      <c r="G1296" s="227"/>
      <c r="H1296" s="227"/>
      <c r="I1296" s="227"/>
      <c r="J1296" s="227"/>
      <c r="K1296" s="227"/>
      <c r="L1296" s="232"/>
      <c r="M1296" s="232"/>
      <c r="N1296" s="227"/>
      <c r="O1296" s="227"/>
      <c r="P1296" s="231"/>
      <c r="Q1296" s="227"/>
      <c r="R1296" s="231"/>
      <c r="S1296" s="231"/>
      <c r="T1296" s="231"/>
      <c r="U1296" s="231"/>
      <c r="V1296" s="231"/>
      <c r="W1296" s="231"/>
      <c r="X1296" s="227"/>
      <c r="Y1296" s="232"/>
      <c r="Z1296" s="232"/>
      <c r="AA1296" s="232"/>
      <c r="AB1296" s="232"/>
      <c r="AC1296" s="227"/>
      <c r="AD1296" s="227"/>
      <c r="AE1296" s="231"/>
      <c r="AF1296" s="227"/>
      <c r="AG1296" s="232"/>
      <c r="AH1296" s="232"/>
      <c r="AI1296" s="232"/>
      <c r="AJ1296" s="232"/>
      <c r="AK1296" s="232"/>
      <c r="AL1296" s="232"/>
      <c r="AM1296" s="232"/>
      <c r="AN1296" s="232"/>
      <c r="AO1296" s="231"/>
      <c r="AP1296" s="231"/>
      <c r="AQ1296" s="227"/>
      <c r="AR1296" s="231"/>
      <c r="AS1296" s="227"/>
      <c r="AT1296" s="227"/>
      <c r="AU1296" s="227"/>
      <c r="AV1296" s="227"/>
    </row>
    <row r="1297">
      <c r="A1297" s="227"/>
      <c r="B1297" s="232"/>
      <c r="C1297" s="227"/>
      <c r="D1297" s="227"/>
      <c r="E1297" s="231"/>
      <c r="F1297" s="232"/>
      <c r="G1297" s="227"/>
      <c r="H1297" s="227"/>
      <c r="I1297" s="227"/>
      <c r="J1297" s="227"/>
      <c r="K1297" s="227"/>
      <c r="L1297" s="232"/>
      <c r="M1297" s="232"/>
      <c r="N1297" s="227"/>
      <c r="O1297" s="227"/>
      <c r="P1297" s="231"/>
      <c r="Q1297" s="227"/>
      <c r="R1297" s="231"/>
      <c r="S1297" s="231"/>
      <c r="T1297" s="231"/>
      <c r="U1297" s="231"/>
      <c r="V1297" s="231"/>
      <c r="W1297" s="231"/>
      <c r="X1297" s="227"/>
      <c r="Y1297" s="232"/>
      <c r="Z1297" s="232"/>
      <c r="AA1297" s="232"/>
      <c r="AB1297" s="232"/>
      <c r="AC1297" s="227"/>
      <c r="AD1297" s="227"/>
      <c r="AE1297" s="231"/>
      <c r="AF1297" s="227"/>
      <c r="AG1297" s="232"/>
      <c r="AH1297" s="232"/>
      <c r="AI1297" s="232"/>
      <c r="AJ1297" s="232"/>
      <c r="AK1297" s="232"/>
      <c r="AL1297" s="232"/>
      <c r="AM1297" s="232"/>
      <c r="AN1297" s="232"/>
      <c r="AO1297" s="231"/>
      <c r="AP1297" s="231"/>
      <c r="AQ1297" s="227"/>
      <c r="AR1297" s="231"/>
      <c r="AS1297" s="227"/>
      <c r="AT1297" s="227"/>
      <c r="AU1297" s="227"/>
      <c r="AV1297" s="227"/>
    </row>
    <row r="1298">
      <c r="A1298" s="227"/>
      <c r="B1298" s="232"/>
      <c r="C1298" s="227"/>
      <c r="D1298" s="227"/>
      <c r="E1298" s="231"/>
      <c r="F1298" s="232"/>
      <c r="G1298" s="227"/>
      <c r="H1298" s="227"/>
      <c r="I1298" s="227"/>
      <c r="J1298" s="227"/>
      <c r="K1298" s="227"/>
      <c r="L1298" s="232"/>
      <c r="M1298" s="232"/>
      <c r="N1298" s="227"/>
      <c r="O1298" s="227"/>
      <c r="P1298" s="231"/>
      <c r="Q1298" s="227"/>
      <c r="R1298" s="231"/>
      <c r="S1298" s="231"/>
      <c r="T1298" s="231"/>
      <c r="U1298" s="231"/>
      <c r="V1298" s="231"/>
      <c r="W1298" s="231"/>
      <c r="X1298" s="227"/>
      <c r="Y1298" s="232"/>
      <c r="Z1298" s="232"/>
      <c r="AA1298" s="232"/>
      <c r="AB1298" s="232"/>
      <c r="AC1298" s="227"/>
      <c r="AD1298" s="227"/>
      <c r="AE1298" s="231"/>
      <c r="AF1298" s="227"/>
      <c r="AG1298" s="232"/>
      <c r="AH1298" s="232"/>
      <c r="AI1298" s="232"/>
      <c r="AJ1298" s="232"/>
      <c r="AK1298" s="232"/>
      <c r="AL1298" s="232"/>
      <c r="AM1298" s="232"/>
      <c r="AN1298" s="232"/>
      <c r="AO1298" s="231"/>
      <c r="AP1298" s="231"/>
      <c r="AQ1298" s="227"/>
      <c r="AR1298" s="231"/>
      <c r="AS1298" s="227"/>
      <c r="AT1298" s="227"/>
      <c r="AU1298" s="227"/>
      <c r="AV1298" s="227"/>
    </row>
    <row r="1299">
      <c r="A1299" s="227"/>
      <c r="B1299" s="232"/>
      <c r="C1299" s="227"/>
      <c r="D1299" s="227"/>
      <c r="E1299" s="231"/>
      <c r="F1299" s="232"/>
      <c r="G1299" s="227"/>
      <c r="H1299" s="227"/>
      <c r="I1299" s="227"/>
      <c r="J1299" s="227"/>
      <c r="K1299" s="227"/>
      <c r="L1299" s="232"/>
      <c r="M1299" s="232"/>
      <c r="N1299" s="227"/>
      <c r="O1299" s="227"/>
      <c r="P1299" s="231"/>
      <c r="Q1299" s="227"/>
      <c r="R1299" s="231"/>
      <c r="S1299" s="231"/>
      <c r="T1299" s="231"/>
      <c r="U1299" s="231"/>
      <c r="V1299" s="231"/>
      <c r="W1299" s="231"/>
      <c r="X1299" s="227"/>
      <c r="Y1299" s="232"/>
      <c r="Z1299" s="232"/>
      <c r="AA1299" s="232"/>
      <c r="AB1299" s="232"/>
      <c r="AC1299" s="227"/>
      <c r="AD1299" s="227"/>
      <c r="AE1299" s="231"/>
      <c r="AF1299" s="227"/>
      <c r="AG1299" s="232"/>
      <c r="AH1299" s="232"/>
      <c r="AI1299" s="232"/>
      <c r="AJ1299" s="232"/>
      <c r="AK1299" s="232"/>
      <c r="AL1299" s="232"/>
      <c r="AM1299" s="232"/>
      <c r="AN1299" s="232"/>
      <c r="AO1299" s="231"/>
      <c r="AP1299" s="231"/>
      <c r="AQ1299" s="227"/>
      <c r="AR1299" s="231"/>
      <c r="AS1299" s="227"/>
      <c r="AT1299" s="227"/>
      <c r="AU1299" s="227"/>
      <c r="AV1299" s="227"/>
    </row>
    <row r="1300">
      <c r="A1300" s="227"/>
      <c r="B1300" s="232"/>
      <c r="C1300" s="227"/>
      <c r="D1300" s="227"/>
      <c r="E1300" s="231"/>
      <c r="F1300" s="232"/>
      <c r="G1300" s="227"/>
      <c r="H1300" s="227"/>
      <c r="I1300" s="227"/>
      <c r="J1300" s="227"/>
      <c r="K1300" s="227"/>
      <c r="L1300" s="232"/>
      <c r="M1300" s="232"/>
      <c r="N1300" s="227"/>
      <c r="O1300" s="227"/>
      <c r="P1300" s="231"/>
      <c r="Q1300" s="227"/>
      <c r="R1300" s="231"/>
      <c r="S1300" s="231"/>
      <c r="T1300" s="231"/>
      <c r="U1300" s="231"/>
      <c r="V1300" s="231"/>
      <c r="W1300" s="231"/>
      <c r="X1300" s="227"/>
      <c r="Y1300" s="232"/>
      <c r="Z1300" s="232"/>
      <c r="AA1300" s="232"/>
      <c r="AB1300" s="232"/>
      <c r="AC1300" s="227"/>
      <c r="AD1300" s="227"/>
      <c r="AE1300" s="231"/>
      <c r="AF1300" s="227"/>
      <c r="AG1300" s="232"/>
      <c r="AH1300" s="232"/>
      <c r="AI1300" s="232"/>
      <c r="AJ1300" s="232"/>
      <c r="AK1300" s="232"/>
      <c r="AL1300" s="232"/>
      <c r="AM1300" s="232"/>
      <c r="AN1300" s="232"/>
      <c r="AO1300" s="231"/>
      <c r="AP1300" s="231"/>
      <c r="AQ1300" s="227"/>
      <c r="AR1300" s="231"/>
      <c r="AS1300" s="227"/>
      <c r="AT1300" s="227"/>
      <c r="AU1300" s="227"/>
      <c r="AV1300" s="227"/>
    </row>
    <row r="1301">
      <c r="A1301" s="227"/>
      <c r="B1301" s="232"/>
      <c r="C1301" s="227"/>
      <c r="D1301" s="227"/>
      <c r="E1301" s="231"/>
      <c r="F1301" s="232"/>
      <c r="G1301" s="227"/>
      <c r="H1301" s="227"/>
      <c r="I1301" s="227"/>
      <c r="J1301" s="227"/>
      <c r="K1301" s="227"/>
      <c r="L1301" s="232"/>
      <c r="M1301" s="232"/>
      <c r="N1301" s="227"/>
      <c r="O1301" s="227"/>
      <c r="P1301" s="231"/>
      <c r="Q1301" s="227"/>
      <c r="R1301" s="231"/>
      <c r="S1301" s="231"/>
      <c r="T1301" s="231"/>
      <c r="U1301" s="231"/>
      <c r="V1301" s="231"/>
      <c r="W1301" s="231"/>
      <c r="X1301" s="227"/>
      <c r="Y1301" s="232"/>
      <c r="Z1301" s="232"/>
      <c r="AA1301" s="232"/>
      <c r="AB1301" s="232"/>
      <c r="AC1301" s="227"/>
      <c r="AD1301" s="227"/>
      <c r="AE1301" s="231"/>
      <c r="AF1301" s="227"/>
      <c r="AG1301" s="232"/>
      <c r="AH1301" s="232"/>
      <c r="AI1301" s="232"/>
      <c r="AJ1301" s="232"/>
      <c r="AK1301" s="232"/>
      <c r="AL1301" s="232"/>
      <c r="AM1301" s="232"/>
      <c r="AN1301" s="232"/>
      <c r="AO1301" s="231"/>
      <c r="AP1301" s="231"/>
      <c r="AQ1301" s="227"/>
      <c r="AR1301" s="231"/>
      <c r="AS1301" s="227"/>
      <c r="AT1301" s="227"/>
      <c r="AU1301" s="227"/>
      <c r="AV1301" s="227"/>
    </row>
    <row r="1302">
      <c r="A1302" s="227"/>
      <c r="B1302" s="232"/>
      <c r="C1302" s="227"/>
      <c r="D1302" s="227"/>
      <c r="E1302" s="231"/>
      <c r="F1302" s="232"/>
      <c r="G1302" s="227"/>
      <c r="H1302" s="227"/>
      <c r="I1302" s="227"/>
      <c r="J1302" s="227"/>
      <c r="K1302" s="227"/>
      <c r="L1302" s="232"/>
      <c r="M1302" s="232"/>
      <c r="N1302" s="227"/>
      <c r="O1302" s="227"/>
      <c r="P1302" s="231"/>
      <c r="Q1302" s="227"/>
      <c r="R1302" s="231"/>
      <c r="S1302" s="231"/>
      <c r="T1302" s="231"/>
      <c r="U1302" s="231"/>
      <c r="V1302" s="231"/>
      <c r="W1302" s="231"/>
      <c r="X1302" s="227"/>
      <c r="Y1302" s="232"/>
      <c r="Z1302" s="232"/>
      <c r="AA1302" s="232"/>
      <c r="AB1302" s="232"/>
      <c r="AC1302" s="227"/>
      <c r="AD1302" s="227"/>
      <c r="AE1302" s="231"/>
      <c r="AF1302" s="227"/>
      <c r="AG1302" s="232"/>
      <c r="AH1302" s="232"/>
      <c r="AI1302" s="232"/>
      <c r="AJ1302" s="232"/>
      <c r="AK1302" s="232"/>
      <c r="AL1302" s="232"/>
      <c r="AM1302" s="232"/>
      <c r="AN1302" s="232"/>
      <c r="AO1302" s="231"/>
      <c r="AP1302" s="231"/>
      <c r="AQ1302" s="227"/>
      <c r="AR1302" s="231"/>
      <c r="AS1302" s="227"/>
      <c r="AT1302" s="227"/>
      <c r="AU1302" s="227"/>
      <c r="AV1302" s="227"/>
    </row>
    <row r="1303">
      <c r="A1303" s="227"/>
      <c r="B1303" s="232"/>
      <c r="C1303" s="227"/>
      <c r="D1303" s="227"/>
      <c r="E1303" s="231"/>
      <c r="F1303" s="232"/>
      <c r="G1303" s="227"/>
      <c r="H1303" s="227"/>
      <c r="I1303" s="227"/>
      <c r="J1303" s="227"/>
      <c r="K1303" s="227"/>
      <c r="L1303" s="232"/>
      <c r="M1303" s="232"/>
      <c r="N1303" s="227"/>
      <c r="O1303" s="227"/>
      <c r="P1303" s="231"/>
      <c r="Q1303" s="227"/>
      <c r="R1303" s="231"/>
      <c r="S1303" s="231"/>
      <c r="T1303" s="231"/>
      <c r="U1303" s="231"/>
      <c r="V1303" s="231"/>
      <c r="W1303" s="231"/>
      <c r="X1303" s="227"/>
      <c r="Y1303" s="232"/>
      <c r="Z1303" s="232"/>
      <c r="AA1303" s="232"/>
      <c r="AB1303" s="232"/>
      <c r="AC1303" s="227"/>
      <c r="AD1303" s="227"/>
      <c r="AE1303" s="231"/>
      <c r="AF1303" s="227"/>
      <c r="AG1303" s="232"/>
      <c r="AH1303" s="232"/>
      <c r="AI1303" s="232"/>
      <c r="AJ1303" s="232"/>
      <c r="AK1303" s="232"/>
      <c r="AL1303" s="232"/>
      <c r="AM1303" s="232"/>
      <c r="AN1303" s="232"/>
      <c r="AO1303" s="231"/>
      <c r="AP1303" s="231"/>
      <c r="AQ1303" s="227"/>
      <c r="AR1303" s="231"/>
      <c r="AS1303" s="227"/>
      <c r="AT1303" s="227"/>
      <c r="AU1303" s="227"/>
      <c r="AV1303" s="227"/>
    </row>
    <row r="1304">
      <c r="A1304" s="227"/>
      <c r="B1304" s="232"/>
      <c r="C1304" s="227"/>
      <c r="D1304" s="227"/>
      <c r="E1304" s="231"/>
      <c r="F1304" s="232"/>
      <c r="G1304" s="227"/>
      <c r="H1304" s="227"/>
      <c r="I1304" s="227"/>
      <c r="J1304" s="227"/>
      <c r="K1304" s="227"/>
      <c r="L1304" s="232"/>
      <c r="M1304" s="232"/>
      <c r="N1304" s="227"/>
      <c r="O1304" s="227"/>
      <c r="P1304" s="231"/>
      <c r="Q1304" s="227"/>
      <c r="R1304" s="231"/>
      <c r="S1304" s="231"/>
      <c r="T1304" s="231"/>
      <c r="U1304" s="231"/>
      <c r="V1304" s="231"/>
      <c r="W1304" s="231"/>
      <c r="X1304" s="227"/>
      <c r="Y1304" s="232"/>
      <c r="Z1304" s="232"/>
      <c r="AA1304" s="232"/>
      <c r="AB1304" s="232"/>
      <c r="AC1304" s="227"/>
      <c r="AD1304" s="227"/>
      <c r="AE1304" s="231"/>
      <c r="AF1304" s="227"/>
      <c r="AG1304" s="232"/>
      <c r="AH1304" s="232"/>
      <c r="AI1304" s="232"/>
      <c r="AJ1304" s="232"/>
      <c r="AK1304" s="232"/>
      <c r="AL1304" s="232"/>
      <c r="AM1304" s="232"/>
      <c r="AN1304" s="232"/>
      <c r="AO1304" s="231"/>
      <c r="AP1304" s="231"/>
      <c r="AQ1304" s="227"/>
      <c r="AR1304" s="231"/>
      <c r="AS1304" s="227"/>
      <c r="AT1304" s="227"/>
      <c r="AU1304" s="227"/>
      <c r="AV1304" s="227"/>
    </row>
    <row r="1305">
      <c r="A1305" s="227"/>
      <c r="B1305" s="232"/>
      <c r="C1305" s="227"/>
      <c r="D1305" s="227"/>
      <c r="E1305" s="231"/>
      <c r="F1305" s="232"/>
      <c r="G1305" s="227"/>
      <c r="H1305" s="227"/>
      <c r="I1305" s="227"/>
      <c r="J1305" s="227"/>
      <c r="K1305" s="227"/>
      <c r="L1305" s="232"/>
      <c r="M1305" s="232"/>
      <c r="N1305" s="227"/>
      <c r="O1305" s="227"/>
      <c r="P1305" s="231"/>
      <c r="Q1305" s="227"/>
      <c r="R1305" s="231"/>
      <c r="S1305" s="231"/>
      <c r="T1305" s="231"/>
      <c r="U1305" s="231"/>
      <c r="V1305" s="231"/>
      <c r="W1305" s="231"/>
      <c r="X1305" s="227"/>
      <c r="Y1305" s="232"/>
      <c r="Z1305" s="232"/>
      <c r="AA1305" s="232"/>
      <c r="AB1305" s="232"/>
      <c r="AC1305" s="227"/>
      <c r="AD1305" s="227"/>
      <c r="AE1305" s="231"/>
      <c r="AF1305" s="227"/>
      <c r="AG1305" s="232"/>
      <c r="AH1305" s="232"/>
      <c r="AI1305" s="232"/>
      <c r="AJ1305" s="232"/>
      <c r="AK1305" s="232"/>
      <c r="AL1305" s="232"/>
      <c r="AM1305" s="232"/>
      <c r="AN1305" s="232"/>
      <c r="AO1305" s="231"/>
      <c r="AP1305" s="231"/>
      <c r="AQ1305" s="227"/>
      <c r="AR1305" s="231"/>
      <c r="AS1305" s="227"/>
      <c r="AT1305" s="227"/>
      <c r="AU1305" s="227"/>
      <c r="AV1305" s="227"/>
    </row>
    <row r="1306">
      <c r="A1306" s="227"/>
      <c r="B1306" s="232"/>
      <c r="C1306" s="227"/>
      <c r="D1306" s="227"/>
      <c r="E1306" s="231"/>
      <c r="F1306" s="232"/>
      <c r="G1306" s="227"/>
      <c r="H1306" s="227"/>
      <c r="I1306" s="227"/>
      <c r="J1306" s="227"/>
      <c r="K1306" s="227"/>
      <c r="L1306" s="232"/>
      <c r="M1306" s="232"/>
      <c r="N1306" s="227"/>
      <c r="O1306" s="227"/>
      <c r="P1306" s="231"/>
      <c r="Q1306" s="227"/>
      <c r="R1306" s="231"/>
      <c r="S1306" s="231"/>
      <c r="T1306" s="231"/>
      <c r="U1306" s="231"/>
      <c r="V1306" s="231"/>
      <c r="W1306" s="231"/>
      <c r="X1306" s="227"/>
      <c r="Y1306" s="232"/>
      <c r="Z1306" s="232"/>
      <c r="AA1306" s="232"/>
      <c r="AB1306" s="232"/>
      <c r="AC1306" s="227"/>
      <c r="AD1306" s="227"/>
      <c r="AE1306" s="231"/>
      <c r="AF1306" s="227"/>
      <c r="AG1306" s="232"/>
      <c r="AH1306" s="232"/>
      <c r="AI1306" s="232"/>
      <c r="AJ1306" s="232"/>
      <c r="AK1306" s="232"/>
      <c r="AL1306" s="232"/>
      <c r="AM1306" s="232"/>
      <c r="AN1306" s="232"/>
      <c r="AO1306" s="231"/>
      <c r="AP1306" s="231"/>
      <c r="AQ1306" s="227"/>
      <c r="AR1306" s="231"/>
      <c r="AS1306" s="227"/>
      <c r="AT1306" s="227"/>
      <c r="AU1306" s="227"/>
      <c r="AV1306" s="227"/>
    </row>
    <row r="1307">
      <c r="A1307" s="227"/>
      <c r="B1307" s="232"/>
      <c r="C1307" s="227"/>
      <c r="D1307" s="227"/>
      <c r="E1307" s="231"/>
      <c r="F1307" s="232"/>
      <c r="G1307" s="227"/>
      <c r="H1307" s="227"/>
      <c r="I1307" s="227"/>
      <c r="J1307" s="227"/>
      <c r="K1307" s="227"/>
      <c r="L1307" s="232"/>
      <c r="M1307" s="232"/>
      <c r="N1307" s="227"/>
      <c r="O1307" s="227"/>
      <c r="P1307" s="231"/>
      <c r="Q1307" s="227"/>
      <c r="R1307" s="231"/>
      <c r="S1307" s="231"/>
      <c r="T1307" s="231"/>
      <c r="U1307" s="231"/>
      <c r="V1307" s="231"/>
      <c r="W1307" s="231"/>
      <c r="X1307" s="227"/>
      <c r="Y1307" s="232"/>
      <c r="Z1307" s="232"/>
      <c r="AA1307" s="232"/>
      <c r="AB1307" s="232"/>
      <c r="AC1307" s="227"/>
      <c r="AD1307" s="227"/>
      <c r="AE1307" s="231"/>
      <c r="AF1307" s="227"/>
      <c r="AG1307" s="232"/>
      <c r="AH1307" s="232"/>
      <c r="AI1307" s="232"/>
      <c r="AJ1307" s="232"/>
      <c r="AK1307" s="232"/>
      <c r="AL1307" s="232"/>
      <c r="AM1307" s="232"/>
      <c r="AN1307" s="232"/>
      <c r="AO1307" s="231"/>
      <c r="AP1307" s="231"/>
      <c r="AQ1307" s="227"/>
      <c r="AR1307" s="231"/>
      <c r="AS1307" s="227"/>
      <c r="AT1307" s="227"/>
      <c r="AU1307" s="227"/>
      <c r="AV1307" s="227"/>
    </row>
    <row r="1308">
      <c r="A1308" s="227"/>
      <c r="B1308" s="232"/>
      <c r="C1308" s="227"/>
      <c r="D1308" s="227"/>
      <c r="E1308" s="231"/>
      <c r="F1308" s="232"/>
      <c r="G1308" s="227"/>
      <c r="H1308" s="227"/>
      <c r="I1308" s="227"/>
      <c r="J1308" s="227"/>
      <c r="K1308" s="227"/>
      <c r="L1308" s="232"/>
      <c r="M1308" s="232"/>
      <c r="N1308" s="227"/>
      <c r="O1308" s="227"/>
      <c r="P1308" s="231"/>
      <c r="Q1308" s="227"/>
      <c r="R1308" s="231"/>
      <c r="S1308" s="231"/>
      <c r="T1308" s="231"/>
      <c r="U1308" s="231"/>
      <c r="V1308" s="231"/>
      <c r="W1308" s="231"/>
      <c r="X1308" s="227"/>
      <c r="Y1308" s="232"/>
      <c r="Z1308" s="232"/>
      <c r="AA1308" s="232"/>
      <c r="AB1308" s="232"/>
      <c r="AC1308" s="227"/>
      <c r="AD1308" s="227"/>
      <c r="AE1308" s="231"/>
      <c r="AF1308" s="227"/>
      <c r="AG1308" s="232"/>
      <c r="AH1308" s="232"/>
      <c r="AI1308" s="232"/>
      <c r="AJ1308" s="232"/>
      <c r="AK1308" s="232"/>
      <c r="AL1308" s="232"/>
      <c r="AM1308" s="232"/>
      <c r="AN1308" s="232"/>
      <c r="AO1308" s="231"/>
      <c r="AP1308" s="231"/>
      <c r="AQ1308" s="227"/>
      <c r="AR1308" s="231"/>
      <c r="AS1308" s="227"/>
      <c r="AT1308" s="227"/>
      <c r="AU1308" s="227"/>
      <c r="AV1308" s="227"/>
    </row>
    <row r="1309">
      <c r="A1309" s="227"/>
      <c r="B1309" s="232"/>
      <c r="C1309" s="227"/>
      <c r="D1309" s="227"/>
      <c r="E1309" s="231"/>
      <c r="F1309" s="232"/>
      <c r="G1309" s="227"/>
      <c r="H1309" s="227"/>
      <c r="I1309" s="227"/>
      <c r="J1309" s="227"/>
      <c r="K1309" s="227"/>
      <c r="L1309" s="232"/>
      <c r="M1309" s="232"/>
      <c r="N1309" s="227"/>
      <c r="O1309" s="227"/>
      <c r="P1309" s="231"/>
      <c r="Q1309" s="227"/>
      <c r="R1309" s="231"/>
      <c r="S1309" s="231"/>
      <c r="T1309" s="231"/>
      <c r="U1309" s="231"/>
      <c r="V1309" s="231"/>
      <c r="W1309" s="231"/>
      <c r="X1309" s="227"/>
      <c r="Y1309" s="232"/>
      <c r="Z1309" s="232"/>
      <c r="AA1309" s="232"/>
      <c r="AB1309" s="232"/>
      <c r="AC1309" s="227"/>
      <c r="AD1309" s="227"/>
      <c r="AE1309" s="231"/>
      <c r="AF1309" s="227"/>
      <c r="AG1309" s="232"/>
      <c r="AH1309" s="232"/>
      <c r="AI1309" s="232"/>
      <c r="AJ1309" s="232"/>
      <c r="AK1309" s="232"/>
      <c r="AL1309" s="232"/>
      <c r="AM1309" s="232"/>
      <c r="AN1309" s="232"/>
      <c r="AO1309" s="231"/>
      <c r="AP1309" s="231"/>
      <c r="AQ1309" s="227"/>
      <c r="AR1309" s="231"/>
      <c r="AS1309" s="227"/>
      <c r="AT1309" s="227"/>
      <c r="AU1309" s="227"/>
      <c r="AV1309" s="227"/>
    </row>
    <row r="1310">
      <c r="A1310" s="227"/>
      <c r="B1310" s="232"/>
      <c r="C1310" s="227"/>
      <c r="D1310" s="227"/>
      <c r="E1310" s="231"/>
      <c r="F1310" s="232"/>
      <c r="G1310" s="227"/>
      <c r="H1310" s="227"/>
      <c r="I1310" s="227"/>
      <c r="J1310" s="227"/>
      <c r="K1310" s="227"/>
      <c r="L1310" s="232"/>
      <c r="M1310" s="232"/>
      <c r="N1310" s="227"/>
      <c r="O1310" s="227"/>
      <c r="P1310" s="231"/>
      <c r="Q1310" s="227"/>
      <c r="R1310" s="231"/>
      <c r="S1310" s="231"/>
      <c r="T1310" s="231"/>
      <c r="U1310" s="231"/>
      <c r="V1310" s="231"/>
      <c r="W1310" s="231"/>
      <c r="X1310" s="227"/>
      <c r="Y1310" s="232"/>
      <c r="Z1310" s="232"/>
      <c r="AA1310" s="232"/>
      <c r="AB1310" s="232"/>
      <c r="AC1310" s="227"/>
      <c r="AD1310" s="227"/>
      <c r="AE1310" s="231"/>
      <c r="AF1310" s="227"/>
      <c r="AG1310" s="232"/>
      <c r="AH1310" s="232"/>
      <c r="AI1310" s="232"/>
      <c r="AJ1310" s="232"/>
      <c r="AK1310" s="232"/>
      <c r="AL1310" s="232"/>
      <c r="AM1310" s="232"/>
      <c r="AN1310" s="232"/>
      <c r="AO1310" s="231"/>
      <c r="AP1310" s="231"/>
      <c r="AQ1310" s="227"/>
      <c r="AR1310" s="231"/>
      <c r="AS1310" s="227"/>
      <c r="AT1310" s="227"/>
      <c r="AU1310" s="227"/>
      <c r="AV1310" s="227"/>
    </row>
    <row r="1311">
      <c r="A1311" s="227"/>
      <c r="B1311" s="232"/>
      <c r="C1311" s="227"/>
      <c r="D1311" s="227"/>
      <c r="E1311" s="231"/>
      <c r="F1311" s="232"/>
      <c r="G1311" s="227"/>
      <c r="H1311" s="227"/>
      <c r="I1311" s="227"/>
      <c r="J1311" s="227"/>
      <c r="K1311" s="227"/>
      <c r="L1311" s="232"/>
      <c r="M1311" s="232"/>
      <c r="N1311" s="227"/>
      <c r="O1311" s="227"/>
      <c r="P1311" s="231"/>
      <c r="Q1311" s="227"/>
      <c r="R1311" s="231"/>
      <c r="S1311" s="231"/>
      <c r="T1311" s="231"/>
      <c r="U1311" s="231"/>
      <c r="V1311" s="231"/>
      <c r="W1311" s="231"/>
      <c r="X1311" s="227"/>
      <c r="Y1311" s="232"/>
      <c r="Z1311" s="232"/>
      <c r="AA1311" s="232"/>
      <c r="AB1311" s="232"/>
      <c r="AC1311" s="227"/>
      <c r="AD1311" s="227"/>
      <c r="AE1311" s="231"/>
      <c r="AF1311" s="227"/>
      <c r="AG1311" s="232"/>
      <c r="AH1311" s="232"/>
      <c r="AI1311" s="232"/>
      <c r="AJ1311" s="232"/>
      <c r="AK1311" s="232"/>
      <c r="AL1311" s="232"/>
      <c r="AM1311" s="232"/>
      <c r="AN1311" s="232"/>
      <c r="AO1311" s="231"/>
      <c r="AP1311" s="231"/>
      <c r="AQ1311" s="227"/>
      <c r="AR1311" s="231"/>
      <c r="AS1311" s="227"/>
      <c r="AT1311" s="227"/>
      <c r="AU1311" s="227"/>
      <c r="AV1311" s="227"/>
    </row>
    <row r="1312">
      <c r="A1312" s="227"/>
      <c r="B1312" s="232"/>
      <c r="C1312" s="227"/>
      <c r="D1312" s="227"/>
      <c r="E1312" s="231"/>
      <c r="F1312" s="232"/>
      <c r="G1312" s="227"/>
      <c r="H1312" s="227"/>
      <c r="I1312" s="227"/>
      <c r="J1312" s="227"/>
      <c r="K1312" s="227"/>
      <c r="L1312" s="232"/>
      <c r="M1312" s="232"/>
      <c r="N1312" s="227"/>
      <c r="O1312" s="227"/>
      <c r="P1312" s="231"/>
      <c r="Q1312" s="227"/>
      <c r="R1312" s="231"/>
      <c r="S1312" s="231"/>
      <c r="T1312" s="231"/>
      <c r="U1312" s="231"/>
      <c r="V1312" s="231"/>
      <c r="W1312" s="231"/>
      <c r="X1312" s="227"/>
      <c r="Y1312" s="232"/>
      <c r="Z1312" s="232"/>
      <c r="AA1312" s="232"/>
      <c r="AB1312" s="232"/>
      <c r="AC1312" s="227"/>
      <c r="AD1312" s="227"/>
      <c r="AE1312" s="231"/>
      <c r="AF1312" s="227"/>
      <c r="AG1312" s="232"/>
      <c r="AH1312" s="232"/>
      <c r="AI1312" s="232"/>
      <c r="AJ1312" s="232"/>
      <c r="AK1312" s="232"/>
      <c r="AL1312" s="232"/>
      <c r="AM1312" s="232"/>
      <c r="AN1312" s="232"/>
      <c r="AO1312" s="231"/>
      <c r="AP1312" s="231"/>
      <c r="AQ1312" s="227"/>
      <c r="AR1312" s="231"/>
      <c r="AS1312" s="227"/>
      <c r="AT1312" s="227"/>
      <c r="AU1312" s="227"/>
      <c r="AV1312" s="227"/>
    </row>
    <row r="1313">
      <c r="A1313" s="227"/>
      <c r="B1313" s="232"/>
      <c r="C1313" s="227"/>
      <c r="D1313" s="227"/>
      <c r="E1313" s="231"/>
      <c r="F1313" s="232"/>
      <c r="G1313" s="227"/>
      <c r="H1313" s="227"/>
      <c r="I1313" s="227"/>
      <c r="J1313" s="227"/>
      <c r="K1313" s="227"/>
      <c r="L1313" s="232"/>
      <c r="M1313" s="232"/>
      <c r="N1313" s="227"/>
      <c r="O1313" s="227"/>
      <c r="P1313" s="231"/>
      <c r="Q1313" s="227"/>
      <c r="R1313" s="231"/>
      <c r="S1313" s="231"/>
      <c r="T1313" s="231"/>
      <c r="U1313" s="231"/>
      <c r="V1313" s="231"/>
      <c r="W1313" s="231"/>
      <c r="X1313" s="227"/>
      <c r="Y1313" s="232"/>
      <c r="Z1313" s="232"/>
      <c r="AA1313" s="232"/>
      <c r="AB1313" s="232"/>
      <c r="AC1313" s="227"/>
      <c r="AD1313" s="227"/>
      <c r="AE1313" s="231"/>
      <c r="AF1313" s="227"/>
      <c r="AG1313" s="232"/>
      <c r="AH1313" s="232"/>
      <c r="AI1313" s="232"/>
      <c r="AJ1313" s="232"/>
      <c r="AK1313" s="232"/>
      <c r="AL1313" s="232"/>
      <c r="AM1313" s="232"/>
      <c r="AN1313" s="232"/>
      <c r="AO1313" s="231"/>
      <c r="AP1313" s="231"/>
      <c r="AQ1313" s="227"/>
      <c r="AR1313" s="231"/>
      <c r="AS1313" s="227"/>
      <c r="AT1313" s="227"/>
      <c r="AU1313" s="227"/>
      <c r="AV1313" s="227"/>
    </row>
    <row r="1314">
      <c r="A1314" s="227"/>
      <c r="B1314" s="232"/>
      <c r="C1314" s="227"/>
      <c r="D1314" s="227"/>
      <c r="E1314" s="231"/>
      <c r="F1314" s="232"/>
      <c r="G1314" s="227"/>
      <c r="H1314" s="227"/>
      <c r="I1314" s="227"/>
      <c r="J1314" s="227"/>
      <c r="K1314" s="227"/>
      <c r="L1314" s="232"/>
      <c r="M1314" s="232"/>
      <c r="N1314" s="227"/>
      <c r="O1314" s="227"/>
      <c r="P1314" s="231"/>
      <c r="Q1314" s="227"/>
      <c r="R1314" s="231"/>
      <c r="S1314" s="231"/>
      <c r="T1314" s="231"/>
      <c r="U1314" s="231"/>
      <c r="V1314" s="231"/>
      <c r="W1314" s="231"/>
      <c r="X1314" s="227"/>
      <c r="Y1314" s="232"/>
      <c r="Z1314" s="232"/>
      <c r="AA1314" s="232"/>
      <c r="AB1314" s="232"/>
      <c r="AC1314" s="227"/>
      <c r="AD1314" s="227"/>
      <c r="AE1314" s="231"/>
      <c r="AF1314" s="227"/>
      <c r="AG1314" s="232"/>
      <c r="AH1314" s="232"/>
      <c r="AI1314" s="232"/>
      <c r="AJ1314" s="232"/>
      <c r="AK1314" s="232"/>
      <c r="AL1314" s="232"/>
      <c r="AM1314" s="232"/>
      <c r="AN1314" s="232"/>
      <c r="AO1314" s="231"/>
      <c r="AP1314" s="231"/>
      <c r="AQ1314" s="227"/>
      <c r="AR1314" s="231"/>
      <c r="AS1314" s="227"/>
      <c r="AT1314" s="227"/>
      <c r="AU1314" s="227"/>
      <c r="AV1314" s="227"/>
    </row>
    <row r="1315">
      <c r="A1315" s="227"/>
      <c r="B1315" s="232"/>
      <c r="C1315" s="227"/>
      <c r="D1315" s="227"/>
      <c r="E1315" s="231"/>
      <c r="F1315" s="232"/>
      <c r="G1315" s="227"/>
      <c r="H1315" s="227"/>
      <c r="I1315" s="227"/>
      <c r="J1315" s="227"/>
      <c r="K1315" s="227"/>
      <c r="L1315" s="232"/>
      <c r="M1315" s="232"/>
      <c r="N1315" s="227"/>
      <c r="O1315" s="227"/>
      <c r="P1315" s="231"/>
      <c r="Q1315" s="227"/>
      <c r="R1315" s="231"/>
      <c r="S1315" s="231"/>
      <c r="T1315" s="231"/>
      <c r="U1315" s="231"/>
      <c r="V1315" s="231"/>
      <c r="W1315" s="231"/>
      <c r="X1315" s="227"/>
      <c r="Y1315" s="232"/>
      <c r="Z1315" s="232"/>
      <c r="AA1315" s="232"/>
      <c r="AB1315" s="232"/>
      <c r="AC1315" s="227"/>
      <c r="AD1315" s="227"/>
      <c r="AE1315" s="231"/>
      <c r="AF1315" s="227"/>
      <c r="AG1315" s="232"/>
      <c r="AH1315" s="232"/>
      <c r="AI1315" s="232"/>
      <c r="AJ1315" s="232"/>
      <c r="AK1315" s="232"/>
      <c r="AL1315" s="232"/>
      <c r="AM1315" s="232"/>
      <c r="AN1315" s="232"/>
      <c r="AO1315" s="231"/>
      <c r="AP1315" s="231"/>
      <c r="AQ1315" s="227"/>
      <c r="AR1315" s="231"/>
      <c r="AS1315" s="227"/>
      <c r="AT1315" s="227"/>
      <c r="AU1315" s="227"/>
      <c r="AV1315" s="227"/>
    </row>
    <row r="1316">
      <c r="A1316" s="227"/>
      <c r="B1316" s="232"/>
      <c r="C1316" s="227"/>
      <c r="D1316" s="227"/>
      <c r="E1316" s="231"/>
      <c r="F1316" s="232"/>
      <c r="G1316" s="227"/>
      <c r="H1316" s="227"/>
      <c r="I1316" s="227"/>
      <c r="J1316" s="227"/>
      <c r="K1316" s="227"/>
      <c r="L1316" s="232"/>
      <c r="M1316" s="232"/>
      <c r="N1316" s="227"/>
      <c r="O1316" s="227"/>
      <c r="P1316" s="231"/>
      <c r="Q1316" s="227"/>
      <c r="R1316" s="231"/>
      <c r="S1316" s="231"/>
      <c r="T1316" s="231"/>
      <c r="U1316" s="231"/>
      <c r="V1316" s="231"/>
      <c r="W1316" s="231"/>
      <c r="X1316" s="227"/>
      <c r="Y1316" s="232"/>
      <c r="Z1316" s="232"/>
      <c r="AA1316" s="232"/>
      <c r="AB1316" s="232"/>
      <c r="AC1316" s="227"/>
      <c r="AD1316" s="227"/>
      <c r="AE1316" s="231"/>
      <c r="AF1316" s="227"/>
      <c r="AG1316" s="232"/>
      <c r="AH1316" s="232"/>
      <c r="AI1316" s="232"/>
      <c r="AJ1316" s="232"/>
      <c r="AK1316" s="232"/>
      <c r="AL1316" s="232"/>
      <c r="AM1316" s="232"/>
      <c r="AN1316" s="232"/>
      <c r="AO1316" s="231"/>
      <c r="AP1316" s="231"/>
      <c r="AQ1316" s="227"/>
      <c r="AR1316" s="231"/>
      <c r="AS1316" s="227"/>
      <c r="AT1316" s="227"/>
      <c r="AU1316" s="227"/>
      <c r="AV1316" s="227"/>
    </row>
    <row r="1317">
      <c r="A1317" s="227"/>
      <c r="B1317" s="232"/>
      <c r="C1317" s="227"/>
      <c r="D1317" s="227"/>
      <c r="E1317" s="231"/>
      <c r="F1317" s="232"/>
      <c r="G1317" s="227"/>
      <c r="H1317" s="227"/>
      <c r="I1317" s="227"/>
      <c r="J1317" s="227"/>
      <c r="K1317" s="227"/>
      <c r="L1317" s="232"/>
      <c r="M1317" s="232"/>
      <c r="N1317" s="227"/>
      <c r="O1317" s="227"/>
      <c r="P1317" s="231"/>
      <c r="Q1317" s="227"/>
      <c r="R1317" s="231"/>
      <c r="S1317" s="231"/>
      <c r="T1317" s="231"/>
      <c r="U1317" s="231"/>
      <c r="V1317" s="231"/>
      <c r="W1317" s="231"/>
      <c r="X1317" s="227"/>
      <c r="Y1317" s="232"/>
      <c r="Z1317" s="232"/>
      <c r="AA1317" s="232"/>
      <c r="AB1317" s="232"/>
      <c r="AC1317" s="227"/>
      <c r="AD1317" s="227"/>
      <c r="AE1317" s="231"/>
      <c r="AF1317" s="227"/>
      <c r="AG1317" s="232"/>
      <c r="AH1317" s="232"/>
      <c r="AI1317" s="232"/>
      <c r="AJ1317" s="232"/>
      <c r="AK1317" s="232"/>
      <c r="AL1317" s="232"/>
      <c r="AM1317" s="232"/>
      <c r="AN1317" s="232"/>
      <c r="AO1317" s="231"/>
      <c r="AP1317" s="231"/>
      <c r="AQ1317" s="227"/>
      <c r="AR1317" s="231"/>
      <c r="AS1317" s="227"/>
      <c r="AT1317" s="227"/>
      <c r="AU1317" s="227"/>
      <c r="AV1317" s="227"/>
    </row>
    <row r="1318">
      <c r="A1318" s="227"/>
      <c r="B1318" s="232"/>
      <c r="C1318" s="227"/>
      <c r="D1318" s="227"/>
      <c r="E1318" s="231"/>
      <c r="F1318" s="232"/>
      <c r="G1318" s="227"/>
      <c r="H1318" s="227"/>
      <c r="I1318" s="227"/>
      <c r="J1318" s="227"/>
      <c r="K1318" s="227"/>
      <c r="L1318" s="232"/>
      <c r="M1318" s="232"/>
      <c r="N1318" s="227"/>
      <c r="O1318" s="227"/>
      <c r="P1318" s="231"/>
      <c r="Q1318" s="227"/>
      <c r="R1318" s="231"/>
      <c r="S1318" s="231"/>
      <c r="T1318" s="231"/>
      <c r="U1318" s="231"/>
      <c r="V1318" s="231"/>
      <c r="W1318" s="231"/>
      <c r="X1318" s="227"/>
      <c r="Y1318" s="232"/>
      <c r="Z1318" s="232"/>
      <c r="AA1318" s="232"/>
      <c r="AB1318" s="232"/>
      <c r="AC1318" s="227"/>
      <c r="AD1318" s="227"/>
      <c r="AE1318" s="231"/>
      <c r="AF1318" s="227"/>
      <c r="AG1318" s="232"/>
      <c r="AH1318" s="232"/>
      <c r="AI1318" s="232"/>
      <c r="AJ1318" s="232"/>
      <c r="AK1318" s="232"/>
      <c r="AL1318" s="232"/>
      <c r="AM1318" s="232"/>
      <c r="AN1318" s="232"/>
      <c r="AO1318" s="231"/>
      <c r="AP1318" s="231"/>
      <c r="AQ1318" s="227"/>
      <c r="AR1318" s="231"/>
      <c r="AS1318" s="227"/>
      <c r="AT1318" s="227"/>
      <c r="AU1318" s="227"/>
      <c r="AV1318" s="227"/>
    </row>
    <row r="1319">
      <c r="A1319" s="227"/>
      <c r="B1319" s="232"/>
      <c r="C1319" s="227"/>
      <c r="D1319" s="227"/>
      <c r="E1319" s="231"/>
      <c r="F1319" s="232"/>
      <c r="G1319" s="227"/>
      <c r="H1319" s="227"/>
      <c r="I1319" s="227"/>
      <c r="J1319" s="227"/>
      <c r="K1319" s="227"/>
      <c r="L1319" s="232"/>
      <c r="M1319" s="232"/>
      <c r="N1319" s="227"/>
      <c r="O1319" s="227"/>
      <c r="P1319" s="231"/>
      <c r="Q1319" s="227"/>
      <c r="R1319" s="231"/>
      <c r="S1319" s="231"/>
      <c r="T1319" s="231"/>
      <c r="U1319" s="231"/>
      <c r="V1319" s="231"/>
      <c r="W1319" s="231"/>
      <c r="X1319" s="227"/>
      <c r="Y1319" s="232"/>
      <c r="Z1319" s="232"/>
      <c r="AA1319" s="232"/>
      <c r="AB1319" s="232"/>
      <c r="AC1319" s="227"/>
      <c r="AD1319" s="227"/>
      <c r="AE1319" s="231"/>
      <c r="AF1319" s="227"/>
      <c r="AG1319" s="232"/>
      <c r="AH1319" s="232"/>
      <c r="AI1319" s="232"/>
      <c r="AJ1319" s="232"/>
      <c r="AK1319" s="232"/>
      <c r="AL1319" s="232"/>
      <c r="AM1319" s="232"/>
      <c r="AN1319" s="232"/>
      <c r="AO1319" s="231"/>
      <c r="AP1319" s="231"/>
      <c r="AQ1319" s="227"/>
      <c r="AR1319" s="231"/>
      <c r="AS1319" s="227"/>
      <c r="AT1319" s="227"/>
      <c r="AU1319" s="227"/>
      <c r="AV1319" s="227"/>
    </row>
    <row r="1320">
      <c r="A1320" s="227"/>
      <c r="B1320" s="232"/>
      <c r="C1320" s="227"/>
      <c r="D1320" s="227"/>
      <c r="E1320" s="231"/>
      <c r="F1320" s="232"/>
      <c r="G1320" s="227"/>
      <c r="H1320" s="227"/>
      <c r="I1320" s="227"/>
      <c r="J1320" s="227"/>
      <c r="K1320" s="227"/>
      <c r="L1320" s="232"/>
      <c r="M1320" s="232"/>
      <c r="N1320" s="227"/>
      <c r="O1320" s="227"/>
      <c r="P1320" s="231"/>
      <c r="Q1320" s="227"/>
      <c r="R1320" s="231"/>
      <c r="S1320" s="231"/>
      <c r="T1320" s="231"/>
      <c r="U1320" s="231"/>
      <c r="V1320" s="231"/>
      <c r="W1320" s="231"/>
      <c r="X1320" s="227"/>
      <c r="Y1320" s="232"/>
      <c r="Z1320" s="232"/>
      <c r="AA1320" s="232"/>
      <c r="AB1320" s="232"/>
      <c r="AC1320" s="227"/>
      <c r="AD1320" s="227"/>
      <c r="AE1320" s="231"/>
      <c r="AF1320" s="227"/>
      <c r="AG1320" s="232"/>
      <c r="AH1320" s="232"/>
      <c r="AI1320" s="232"/>
      <c r="AJ1320" s="232"/>
      <c r="AK1320" s="232"/>
      <c r="AL1320" s="232"/>
      <c r="AM1320" s="232"/>
      <c r="AN1320" s="232"/>
      <c r="AO1320" s="231"/>
      <c r="AP1320" s="231"/>
      <c r="AQ1320" s="227"/>
      <c r="AR1320" s="231"/>
      <c r="AS1320" s="227"/>
      <c r="AT1320" s="227"/>
      <c r="AU1320" s="227"/>
      <c r="AV1320" s="227"/>
    </row>
    <row r="1321">
      <c r="A1321" s="227"/>
      <c r="B1321" s="232"/>
      <c r="C1321" s="227"/>
      <c r="D1321" s="227"/>
      <c r="E1321" s="231"/>
      <c r="F1321" s="232"/>
      <c r="G1321" s="227"/>
      <c r="H1321" s="227"/>
      <c r="I1321" s="227"/>
      <c r="J1321" s="227"/>
      <c r="K1321" s="227"/>
      <c r="L1321" s="232"/>
      <c r="M1321" s="232"/>
      <c r="N1321" s="227"/>
      <c r="O1321" s="227"/>
      <c r="P1321" s="231"/>
      <c r="Q1321" s="227"/>
      <c r="R1321" s="231"/>
      <c r="S1321" s="231"/>
      <c r="T1321" s="231"/>
      <c r="U1321" s="231"/>
      <c r="V1321" s="231"/>
      <c r="W1321" s="231"/>
      <c r="X1321" s="227"/>
      <c r="Y1321" s="232"/>
      <c r="Z1321" s="232"/>
      <c r="AA1321" s="232"/>
      <c r="AB1321" s="232"/>
      <c r="AC1321" s="227"/>
      <c r="AD1321" s="227"/>
      <c r="AE1321" s="231"/>
      <c r="AF1321" s="227"/>
      <c r="AG1321" s="232"/>
      <c r="AH1321" s="232"/>
      <c r="AI1321" s="232"/>
      <c r="AJ1321" s="232"/>
      <c r="AK1321" s="232"/>
      <c r="AL1321" s="232"/>
      <c r="AM1321" s="232"/>
      <c r="AN1321" s="232"/>
      <c r="AO1321" s="231"/>
      <c r="AP1321" s="231"/>
      <c r="AQ1321" s="227"/>
      <c r="AR1321" s="231"/>
      <c r="AS1321" s="227"/>
      <c r="AT1321" s="227"/>
      <c r="AU1321" s="227"/>
      <c r="AV1321" s="227"/>
    </row>
    <row r="1322">
      <c r="A1322" s="227"/>
      <c r="B1322" s="232"/>
      <c r="C1322" s="227"/>
      <c r="D1322" s="227"/>
      <c r="E1322" s="231"/>
      <c r="F1322" s="232"/>
      <c r="G1322" s="227"/>
      <c r="H1322" s="227"/>
      <c r="I1322" s="227"/>
      <c r="J1322" s="227"/>
      <c r="K1322" s="227"/>
      <c r="L1322" s="232"/>
      <c r="M1322" s="232"/>
      <c r="N1322" s="227"/>
      <c r="O1322" s="227"/>
      <c r="P1322" s="231"/>
      <c r="Q1322" s="227"/>
      <c r="R1322" s="231"/>
      <c r="S1322" s="231"/>
      <c r="T1322" s="231"/>
      <c r="U1322" s="231"/>
      <c r="V1322" s="231"/>
      <c r="W1322" s="231"/>
      <c r="X1322" s="227"/>
      <c r="Y1322" s="232"/>
      <c r="Z1322" s="232"/>
      <c r="AA1322" s="232"/>
      <c r="AB1322" s="232"/>
      <c r="AC1322" s="227"/>
      <c r="AD1322" s="227"/>
      <c r="AE1322" s="231"/>
      <c r="AF1322" s="227"/>
      <c r="AG1322" s="232"/>
      <c r="AH1322" s="232"/>
      <c r="AI1322" s="232"/>
      <c r="AJ1322" s="232"/>
      <c r="AK1322" s="232"/>
      <c r="AL1322" s="232"/>
      <c r="AM1322" s="232"/>
      <c r="AN1322" s="232"/>
      <c r="AO1322" s="231"/>
      <c r="AP1322" s="231"/>
      <c r="AQ1322" s="227"/>
      <c r="AR1322" s="231"/>
      <c r="AS1322" s="227"/>
      <c r="AT1322" s="227"/>
      <c r="AU1322" s="227"/>
      <c r="AV1322" s="227"/>
    </row>
    <row r="1323">
      <c r="A1323" s="227"/>
      <c r="B1323" s="232"/>
      <c r="C1323" s="227"/>
      <c r="D1323" s="227"/>
      <c r="E1323" s="231"/>
      <c r="F1323" s="232"/>
      <c r="G1323" s="227"/>
      <c r="H1323" s="227"/>
      <c r="I1323" s="227"/>
      <c r="J1323" s="227"/>
      <c r="K1323" s="227"/>
      <c r="L1323" s="232"/>
      <c r="M1323" s="232"/>
      <c r="N1323" s="227"/>
      <c r="O1323" s="227"/>
      <c r="P1323" s="231"/>
      <c r="Q1323" s="227"/>
      <c r="R1323" s="231"/>
      <c r="S1323" s="231"/>
      <c r="T1323" s="231"/>
      <c r="U1323" s="231"/>
      <c r="V1323" s="231"/>
      <c r="W1323" s="231"/>
      <c r="X1323" s="227"/>
      <c r="Y1323" s="232"/>
      <c r="Z1323" s="232"/>
      <c r="AA1323" s="232"/>
      <c r="AB1323" s="232"/>
      <c r="AC1323" s="227"/>
      <c r="AD1323" s="227"/>
      <c r="AE1323" s="231"/>
      <c r="AF1323" s="227"/>
      <c r="AG1323" s="232"/>
      <c r="AH1323" s="232"/>
      <c r="AI1323" s="232"/>
      <c r="AJ1323" s="232"/>
      <c r="AK1323" s="232"/>
      <c r="AL1323" s="232"/>
      <c r="AM1323" s="232"/>
      <c r="AN1323" s="232"/>
      <c r="AO1323" s="231"/>
      <c r="AP1323" s="231"/>
      <c r="AQ1323" s="227"/>
      <c r="AR1323" s="231"/>
      <c r="AS1323" s="227"/>
      <c r="AT1323" s="227"/>
      <c r="AU1323" s="227"/>
      <c r="AV1323" s="227"/>
    </row>
    <row r="1324">
      <c r="A1324" s="227"/>
      <c r="B1324" s="232"/>
      <c r="C1324" s="227"/>
      <c r="D1324" s="227"/>
      <c r="E1324" s="231"/>
      <c r="F1324" s="232"/>
      <c r="G1324" s="227"/>
      <c r="H1324" s="227"/>
      <c r="I1324" s="227"/>
      <c r="J1324" s="227"/>
      <c r="K1324" s="227"/>
      <c r="L1324" s="232"/>
      <c r="M1324" s="232"/>
      <c r="N1324" s="227"/>
      <c r="O1324" s="227"/>
      <c r="P1324" s="231"/>
      <c r="Q1324" s="227"/>
      <c r="R1324" s="231"/>
      <c r="S1324" s="231"/>
      <c r="T1324" s="231"/>
      <c r="U1324" s="231"/>
      <c r="V1324" s="231"/>
      <c r="W1324" s="231"/>
      <c r="X1324" s="227"/>
      <c r="Y1324" s="232"/>
      <c r="Z1324" s="232"/>
      <c r="AA1324" s="232"/>
      <c r="AB1324" s="232"/>
      <c r="AC1324" s="227"/>
      <c r="AD1324" s="227"/>
      <c r="AE1324" s="231"/>
      <c r="AF1324" s="227"/>
      <c r="AG1324" s="232"/>
      <c r="AH1324" s="232"/>
      <c r="AI1324" s="232"/>
      <c r="AJ1324" s="232"/>
      <c r="AK1324" s="232"/>
      <c r="AL1324" s="232"/>
      <c r="AM1324" s="232"/>
      <c r="AN1324" s="232"/>
      <c r="AO1324" s="231"/>
      <c r="AP1324" s="231"/>
      <c r="AQ1324" s="227"/>
      <c r="AR1324" s="231"/>
      <c r="AS1324" s="227"/>
      <c r="AT1324" s="227"/>
      <c r="AU1324" s="227"/>
      <c r="AV1324" s="227"/>
    </row>
    <row r="1325">
      <c r="A1325" s="227"/>
      <c r="B1325" s="232"/>
      <c r="C1325" s="227"/>
      <c r="D1325" s="227"/>
      <c r="E1325" s="231"/>
      <c r="F1325" s="232"/>
      <c r="G1325" s="227"/>
      <c r="H1325" s="227"/>
      <c r="I1325" s="227"/>
      <c r="J1325" s="227"/>
      <c r="K1325" s="227"/>
      <c r="L1325" s="232"/>
      <c r="M1325" s="232"/>
      <c r="N1325" s="227"/>
      <c r="O1325" s="227"/>
      <c r="P1325" s="231"/>
      <c r="Q1325" s="227"/>
      <c r="R1325" s="231"/>
      <c r="S1325" s="231"/>
      <c r="T1325" s="231"/>
      <c r="U1325" s="231"/>
      <c r="V1325" s="231"/>
      <c r="W1325" s="231"/>
      <c r="X1325" s="227"/>
      <c r="Y1325" s="232"/>
      <c r="Z1325" s="232"/>
      <c r="AA1325" s="232"/>
      <c r="AB1325" s="232"/>
      <c r="AC1325" s="227"/>
      <c r="AD1325" s="227"/>
      <c r="AE1325" s="231"/>
      <c r="AF1325" s="227"/>
      <c r="AG1325" s="232"/>
      <c r="AH1325" s="232"/>
      <c r="AI1325" s="232"/>
      <c r="AJ1325" s="232"/>
      <c r="AK1325" s="232"/>
      <c r="AL1325" s="232"/>
      <c r="AM1325" s="232"/>
      <c r="AN1325" s="232"/>
      <c r="AO1325" s="231"/>
      <c r="AP1325" s="231"/>
      <c r="AQ1325" s="227"/>
      <c r="AR1325" s="231"/>
      <c r="AS1325" s="227"/>
      <c r="AT1325" s="227"/>
      <c r="AU1325" s="227"/>
      <c r="AV1325" s="227"/>
    </row>
    <row r="1326">
      <c r="A1326" s="227"/>
      <c r="B1326" s="232"/>
      <c r="C1326" s="227"/>
      <c r="D1326" s="227"/>
      <c r="E1326" s="231"/>
      <c r="F1326" s="232"/>
      <c r="G1326" s="227"/>
      <c r="H1326" s="227"/>
      <c r="I1326" s="227"/>
      <c r="J1326" s="227"/>
      <c r="K1326" s="227"/>
      <c r="L1326" s="232"/>
      <c r="M1326" s="232"/>
      <c r="N1326" s="227"/>
      <c r="O1326" s="227"/>
      <c r="P1326" s="231"/>
      <c r="Q1326" s="227"/>
      <c r="R1326" s="231"/>
      <c r="S1326" s="231"/>
      <c r="T1326" s="231"/>
      <c r="U1326" s="231"/>
      <c r="V1326" s="231"/>
      <c r="W1326" s="231"/>
      <c r="X1326" s="227"/>
      <c r="Y1326" s="232"/>
      <c r="Z1326" s="232"/>
      <c r="AA1326" s="232"/>
      <c r="AB1326" s="232"/>
      <c r="AC1326" s="227"/>
      <c r="AD1326" s="227"/>
      <c r="AE1326" s="231"/>
      <c r="AF1326" s="227"/>
      <c r="AG1326" s="232"/>
      <c r="AH1326" s="232"/>
      <c r="AI1326" s="232"/>
      <c r="AJ1326" s="232"/>
      <c r="AK1326" s="232"/>
      <c r="AL1326" s="232"/>
      <c r="AM1326" s="232"/>
      <c r="AN1326" s="232"/>
      <c r="AO1326" s="231"/>
      <c r="AP1326" s="231"/>
      <c r="AQ1326" s="227"/>
      <c r="AR1326" s="231"/>
      <c r="AS1326" s="227"/>
      <c r="AT1326" s="227"/>
      <c r="AU1326" s="227"/>
      <c r="AV1326" s="227"/>
    </row>
    <row r="1327">
      <c r="A1327" s="227"/>
      <c r="B1327" s="232"/>
      <c r="C1327" s="227"/>
      <c r="D1327" s="227"/>
      <c r="E1327" s="231"/>
      <c r="F1327" s="232"/>
      <c r="G1327" s="227"/>
      <c r="H1327" s="227"/>
      <c r="I1327" s="227"/>
      <c r="J1327" s="227"/>
      <c r="K1327" s="227"/>
      <c r="L1327" s="232"/>
      <c r="M1327" s="232"/>
      <c r="N1327" s="227"/>
      <c r="O1327" s="227"/>
      <c r="P1327" s="231"/>
      <c r="Q1327" s="227"/>
      <c r="R1327" s="231"/>
      <c r="S1327" s="231"/>
      <c r="T1327" s="231"/>
      <c r="U1327" s="231"/>
      <c r="V1327" s="231"/>
      <c r="W1327" s="231"/>
      <c r="X1327" s="227"/>
      <c r="Y1327" s="232"/>
      <c r="Z1327" s="232"/>
      <c r="AA1327" s="232"/>
      <c r="AB1327" s="232"/>
      <c r="AC1327" s="227"/>
      <c r="AD1327" s="227"/>
      <c r="AE1327" s="231"/>
      <c r="AF1327" s="227"/>
      <c r="AG1327" s="232"/>
      <c r="AH1327" s="232"/>
      <c r="AI1327" s="232"/>
      <c r="AJ1327" s="232"/>
      <c r="AK1327" s="232"/>
      <c r="AL1327" s="232"/>
      <c r="AM1327" s="232"/>
      <c r="AN1327" s="232"/>
      <c r="AO1327" s="231"/>
      <c r="AP1327" s="231"/>
      <c r="AQ1327" s="227"/>
      <c r="AR1327" s="231"/>
      <c r="AS1327" s="227"/>
      <c r="AT1327" s="227"/>
      <c r="AU1327" s="227"/>
      <c r="AV1327" s="227"/>
    </row>
    <row r="1328">
      <c r="A1328" s="227"/>
      <c r="B1328" s="232"/>
      <c r="C1328" s="227"/>
      <c r="D1328" s="227"/>
      <c r="E1328" s="231"/>
      <c r="F1328" s="232"/>
      <c r="G1328" s="227"/>
      <c r="H1328" s="227"/>
      <c r="I1328" s="227"/>
      <c r="J1328" s="227"/>
      <c r="K1328" s="227"/>
      <c r="L1328" s="232"/>
      <c r="M1328" s="232"/>
      <c r="N1328" s="227"/>
      <c r="O1328" s="227"/>
      <c r="P1328" s="231"/>
      <c r="Q1328" s="227"/>
      <c r="R1328" s="231"/>
      <c r="S1328" s="231"/>
      <c r="T1328" s="231"/>
      <c r="U1328" s="231"/>
      <c r="V1328" s="231"/>
      <c r="W1328" s="231"/>
      <c r="X1328" s="227"/>
      <c r="Y1328" s="232"/>
      <c r="Z1328" s="232"/>
      <c r="AA1328" s="232"/>
      <c r="AB1328" s="232"/>
      <c r="AC1328" s="227"/>
      <c r="AD1328" s="227"/>
      <c r="AE1328" s="231"/>
      <c r="AF1328" s="227"/>
      <c r="AG1328" s="232"/>
      <c r="AH1328" s="232"/>
      <c r="AI1328" s="232"/>
      <c r="AJ1328" s="232"/>
      <c r="AK1328" s="232"/>
      <c r="AL1328" s="232"/>
      <c r="AM1328" s="232"/>
      <c r="AN1328" s="232"/>
      <c r="AO1328" s="231"/>
      <c r="AP1328" s="231"/>
      <c r="AQ1328" s="227"/>
      <c r="AR1328" s="231"/>
      <c r="AS1328" s="227"/>
      <c r="AT1328" s="227"/>
      <c r="AU1328" s="227"/>
      <c r="AV1328" s="227"/>
    </row>
    <row r="1329">
      <c r="A1329" s="227"/>
      <c r="B1329" s="232"/>
      <c r="C1329" s="227"/>
      <c r="D1329" s="227"/>
      <c r="E1329" s="231"/>
      <c r="F1329" s="232"/>
      <c r="G1329" s="227"/>
      <c r="H1329" s="227"/>
      <c r="I1329" s="227"/>
      <c r="J1329" s="227"/>
      <c r="K1329" s="227"/>
      <c r="L1329" s="232"/>
      <c r="M1329" s="232"/>
      <c r="N1329" s="227"/>
      <c r="O1329" s="227"/>
      <c r="P1329" s="231"/>
      <c r="Q1329" s="227"/>
      <c r="R1329" s="231"/>
      <c r="S1329" s="231"/>
      <c r="T1329" s="231"/>
      <c r="U1329" s="231"/>
      <c r="V1329" s="231"/>
      <c r="W1329" s="231"/>
      <c r="X1329" s="227"/>
      <c r="Y1329" s="232"/>
      <c r="Z1329" s="232"/>
      <c r="AA1329" s="232"/>
      <c r="AB1329" s="232"/>
      <c r="AC1329" s="227"/>
      <c r="AD1329" s="227"/>
      <c r="AE1329" s="231"/>
      <c r="AF1329" s="227"/>
      <c r="AG1329" s="232"/>
      <c r="AH1329" s="232"/>
      <c r="AI1329" s="232"/>
      <c r="AJ1329" s="232"/>
      <c r="AK1329" s="232"/>
      <c r="AL1329" s="232"/>
      <c r="AM1329" s="232"/>
      <c r="AN1329" s="232"/>
      <c r="AO1329" s="231"/>
      <c r="AP1329" s="231"/>
      <c r="AQ1329" s="227"/>
      <c r="AR1329" s="231"/>
      <c r="AS1329" s="227"/>
      <c r="AT1329" s="227"/>
      <c r="AU1329" s="227"/>
      <c r="AV1329" s="227"/>
    </row>
    <row r="1330">
      <c r="A1330" s="227"/>
      <c r="B1330" s="232"/>
      <c r="C1330" s="227"/>
      <c r="D1330" s="227"/>
      <c r="E1330" s="231"/>
      <c r="F1330" s="232"/>
      <c r="G1330" s="227"/>
      <c r="H1330" s="227"/>
      <c r="I1330" s="227"/>
      <c r="J1330" s="227"/>
      <c r="K1330" s="227"/>
      <c r="L1330" s="232"/>
      <c r="M1330" s="232"/>
      <c r="N1330" s="227"/>
      <c r="O1330" s="227"/>
      <c r="P1330" s="231"/>
      <c r="Q1330" s="227"/>
      <c r="R1330" s="231"/>
      <c r="S1330" s="231"/>
      <c r="T1330" s="231"/>
      <c r="U1330" s="231"/>
      <c r="V1330" s="231"/>
      <c r="W1330" s="231"/>
      <c r="X1330" s="227"/>
      <c r="Y1330" s="232"/>
      <c r="Z1330" s="232"/>
      <c r="AA1330" s="232"/>
      <c r="AB1330" s="232"/>
      <c r="AC1330" s="227"/>
      <c r="AD1330" s="227"/>
      <c r="AE1330" s="231"/>
      <c r="AF1330" s="227"/>
      <c r="AG1330" s="232"/>
      <c r="AH1330" s="232"/>
      <c r="AI1330" s="232"/>
      <c r="AJ1330" s="232"/>
      <c r="AK1330" s="232"/>
      <c r="AL1330" s="232"/>
      <c r="AM1330" s="232"/>
      <c r="AN1330" s="232"/>
      <c r="AO1330" s="231"/>
      <c r="AP1330" s="231"/>
      <c r="AQ1330" s="227"/>
      <c r="AR1330" s="231"/>
      <c r="AS1330" s="227"/>
      <c r="AT1330" s="227"/>
      <c r="AU1330" s="227"/>
      <c r="AV1330" s="227"/>
    </row>
    <row r="1331">
      <c r="A1331" s="227"/>
      <c r="B1331" s="232"/>
      <c r="C1331" s="227"/>
      <c r="D1331" s="227"/>
      <c r="E1331" s="231"/>
      <c r="F1331" s="232"/>
      <c r="G1331" s="227"/>
      <c r="H1331" s="227"/>
      <c r="I1331" s="227"/>
      <c r="J1331" s="227"/>
      <c r="K1331" s="227"/>
      <c r="L1331" s="232"/>
      <c r="M1331" s="232"/>
      <c r="N1331" s="227"/>
      <c r="O1331" s="227"/>
      <c r="P1331" s="231"/>
      <c r="Q1331" s="227"/>
      <c r="R1331" s="231"/>
      <c r="S1331" s="231"/>
      <c r="T1331" s="231"/>
      <c r="U1331" s="231"/>
      <c r="V1331" s="231"/>
      <c r="W1331" s="231"/>
      <c r="X1331" s="227"/>
      <c r="Y1331" s="232"/>
      <c r="Z1331" s="232"/>
      <c r="AA1331" s="232"/>
      <c r="AB1331" s="232"/>
      <c r="AC1331" s="227"/>
      <c r="AD1331" s="227"/>
      <c r="AE1331" s="231"/>
      <c r="AF1331" s="227"/>
      <c r="AG1331" s="232"/>
      <c r="AH1331" s="232"/>
      <c r="AI1331" s="232"/>
      <c r="AJ1331" s="232"/>
      <c r="AK1331" s="232"/>
      <c r="AL1331" s="232"/>
      <c r="AM1331" s="232"/>
      <c r="AN1331" s="232"/>
      <c r="AO1331" s="231"/>
      <c r="AP1331" s="231"/>
      <c r="AQ1331" s="227"/>
      <c r="AR1331" s="231"/>
      <c r="AS1331" s="227"/>
      <c r="AT1331" s="227"/>
      <c r="AU1331" s="227"/>
      <c r="AV1331" s="227"/>
    </row>
    <row r="1332">
      <c r="A1332" s="227"/>
      <c r="B1332" s="232"/>
      <c r="C1332" s="227"/>
      <c r="D1332" s="227"/>
      <c r="E1332" s="231"/>
      <c r="F1332" s="232"/>
      <c r="G1332" s="227"/>
      <c r="H1332" s="227"/>
      <c r="I1332" s="227"/>
      <c r="J1332" s="227"/>
      <c r="K1332" s="227"/>
      <c r="L1332" s="232"/>
      <c r="M1332" s="232"/>
      <c r="N1332" s="227"/>
      <c r="O1332" s="227"/>
      <c r="P1332" s="231"/>
      <c r="Q1332" s="227"/>
      <c r="R1332" s="231"/>
      <c r="S1332" s="231"/>
      <c r="T1332" s="231"/>
      <c r="U1332" s="231"/>
      <c r="V1332" s="231"/>
      <c r="W1332" s="231"/>
      <c r="X1332" s="227"/>
      <c r="Y1332" s="232"/>
      <c r="Z1332" s="232"/>
      <c r="AA1332" s="232"/>
      <c r="AB1332" s="232"/>
      <c r="AC1332" s="227"/>
      <c r="AD1332" s="227"/>
      <c r="AE1332" s="231"/>
      <c r="AF1332" s="227"/>
      <c r="AG1332" s="232"/>
      <c r="AH1332" s="232"/>
      <c r="AI1332" s="232"/>
      <c r="AJ1332" s="232"/>
      <c r="AK1332" s="232"/>
      <c r="AL1332" s="232"/>
      <c r="AM1332" s="232"/>
      <c r="AN1332" s="232"/>
      <c r="AO1332" s="231"/>
      <c r="AP1332" s="231"/>
      <c r="AQ1332" s="227"/>
      <c r="AR1332" s="231"/>
      <c r="AS1332" s="227"/>
      <c r="AT1332" s="227"/>
      <c r="AU1332" s="227"/>
      <c r="AV1332" s="227"/>
    </row>
    <row r="1333">
      <c r="A1333" s="227"/>
      <c r="B1333" s="232"/>
      <c r="C1333" s="227"/>
      <c r="D1333" s="227"/>
      <c r="E1333" s="231"/>
      <c r="F1333" s="232"/>
      <c r="G1333" s="227"/>
      <c r="H1333" s="227"/>
      <c r="I1333" s="227"/>
      <c r="J1333" s="227"/>
      <c r="K1333" s="227"/>
      <c r="L1333" s="232"/>
      <c r="M1333" s="232"/>
      <c r="N1333" s="227"/>
      <c r="O1333" s="227"/>
      <c r="P1333" s="231"/>
      <c r="Q1333" s="227"/>
      <c r="R1333" s="231"/>
      <c r="S1333" s="231"/>
      <c r="T1333" s="231"/>
      <c r="U1333" s="231"/>
      <c r="V1333" s="231"/>
      <c r="W1333" s="231"/>
      <c r="X1333" s="227"/>
      <c r="Y1333" s="232"/>
      <c r="Z1333" s="232"/>
      <c r="AA1333" s="232"/>
      <c r="AB1333" s="232"/>
      <c r="AC1333" s="227"/>
      <c r="AD1333" s="227"/>
      <c r="AE1333" s="231"/>
      <c r="AF1333" s="227"/>
      <c r="AG1333" s="232"/>
      <c r="AH1333" s="232"/>
      <c r="AI1333" s="232"/>
      <c r="AJ1333" s="232"/>
      <c r="AK1333" s="232"/>
      <c r="AL1333" s="232"/>
      <c r="AM1333" s="232"/>
      <c r="AN1333" s="232"/>
      <c r="AO1333" s="231"/>
      <c r="AP1333" s="231"/>
      <c r="AQ1333" s="227"/>
      <c r="AR1333" s="231"/>
      <c r="AS1333" s="227"/>
      <c r="AT1333" s="227"/>
      <c r="AU1333" s="227"/>
      <c r="AV1333" s="227"/>
    </row>
    <row r="1334">
      <c r="A1334" s="227"/>
      <c r="B1334" s="232"/>
      <c r="C1334" s="227"/>
      <c r="D1334" s="227"/>
      <c r="E1334" s="231"/>
      <c r="F1334" s="232"/>
      <c r="G1334" s="227"/>
      <c r="H1334" s="227"/>
      <c r="I1334" s="227"/>
      <c r="J1334" s="227"/>
      <c r="K1334" s="227"/>
      <c r="L1334" s="232"/>
      <c r="M1334" s="232"/>
      <c r="N1334" s="227"/>
      <c r="O1334" s="227"/>
      <c r="P1334" s="231"/>
      <c r="Q1334" s="227"/>
      <c r="R1334" s="231"/>
      <c r="S1334" s="231"/>
      <c r="T1334" s="231"/>
      <c r="U1334" s="231"/>
      <c r="V1334" s="231"/>
      <c r="W1334" s="231"/>
      <c r="X1334" s="227"/>
      <c r="Y1334" s="232"/>
      <c r="Z1334" s="232"/>
      <c r="AA1334" s="232"/>
      <c r="AB1334" s="232"/>
      <c r="AC1334" s="227"/>
      <c r="AD1334" s="227"/>
      <c r="AE1334" s="231"/>
      <c r="AF1334" s="227"/>
      <c r="AG1334" s="232"/>
      <c r="AH1334" s="232"/>
      <c r="AI1334" s="232"/>
      <c r="AJ1334" s="232"/>
      <c r="AK1334" s="232"/>
      <c r="AL1334" s="232"/>
      <c r="AM1334" s="232"/>
      <c r="AN1334" s="232"/>
      <c r="AO1334" s="231"/>
      <c r="AP1334" s="231"/>
      <c r="AQ1334" s="227"/>
      <c r="AR1334" s="231"/>
      <c r="AS1334" s="227"/>
      <c r="AT1334" s="227"/>
      <c r="AU1334" s="227"/>
      <c r="AV1334" s="227"/>
    </row>
    <row r="1335">
      <c r="A1335" s="227"/>
      <c r="B1335" s="232"/>
      <c r="C1335" s="227"/>
      <c r="D1335" s="227"/>
      <c r="E1335" s="231"/>
      <c r="F1335" s="232"/>
      <c r="G1335" s="227"/>
      <c r="H1335" s="227"/>
      <c r="I1335" s="227"/>
      <c r="J1335" s="227"/>
      <c r="K1335" s="227"/>
      <c r="L1335" s="232"/>
      <c r="M1335" s="232"/>
      <c r="N1335" s="227"/>
      <c r="O1335" s="227"/>
      <c r="P1335" s="231"/>
      <c r="Q1335" s="227"/>
      <c r="R1335" s="231"/>
      <c r="S1335" s="231"/>
      <c r="T1335" s="231"/>
      <c r="U1335" s="231"/>
      <c r="V1335" s="231"/>
      <c r="W1335" s="231"/>
      <c r="X1335" s="227"/>
      <c r="Y1335" s="232"/>
      <c r="Z1335" s="232"/>
      <c r="AA1335" s="232"/>
      <c r="AB1335" s="232"/>
      <c r="AC1335" s="227"/>
      <c r="AD1335" s="227"/>
      <c r="AE1335" s="231"/>
      <c r="AF1335" s="227"/>
      <c r="AG1335" s="232"/>
      <c r="AH1335" s="232"/>
      <c r="AI1335" s="232"/>
      <c r="AJ1335" s="232"/>
      <c r="AK1335" s="232"/>
      <c r="AL1335" s="232"/>
      <c r="AM1335" s="232"/>
      <c r="AN1335" s="232"/>
      <c r="AO1335" s="231"/>
      <c r="AP1335" s="231"/>
      <c r="AQ1335" s="227"/>
      <c r="AR1335" s="231"/>
      <c r="AS1335" s="227"/>
      <c r="AT1335" s="227"/>
      <c r="AU1335" s="227"/>
      <c r="AV1335" s="227"/>
    </row>
    <row r="1336">
      <c r="A1336" s="227"/>
      <c r="B1336" s="232"/>
      <c r="C1336" s="227"/>
      <c r="D1336" s="227"/>
      <c r="E1336" s="231"/>
      <c r="F1336" s="232"/>
      <c r="G1336" s="227"/>
      <c r="H1336" s="227"/>
      <c r="I1336" s="227"/>
      <c r="J1336" s="227"/>
      <c r="K1336" s="227"/>
      <c r="L1336" s="232"/>
      <c r="M1336" s="232"/>
      <c r="N1336" s="227"/>
      <c r="O1336" s="227"/>
      <c r="P1336" s="231"/>
      <c r="Q1336" s="227"/>
      <c r="R1336" s="231"/>
      <c r="S1336" s="231"/>
      <c r="T1336" s="231"/>
      <c r="U1336" s="231"/>
      <c r="V1336" s="231"/>
      <c r="W1336" s="231"/>
      <c r="X1336" s="227"/>
      <c r="Y1336" s="232"/>
      <c r="Z1336" s="232"/>
      <c r="AA1336" s="232"/>
      <c r="AB1336" s="232"/>
      <c r="AC1336" s="227"/>
      <c r="AD1336" s="227"/>
      <c r="AE1336" s="231"/>
      <c r="AF1336" s="227"/>
      <c r="AG1336" s="232"/>
      <c r="AH1336" s="232"/>
      <c r="AI1336" s="232"/>
      <c r="AJ1336" s="232"/>
      <c r="AK1336" s="232"/>
      <c r="AL1336" s="232"/>
      <c r="AM1336" s="232"/>
      <c r="AN1336" s="232"/>
      <c r="AO1336" s="231"/>
      <c r="AP1336" s="231"/>
      <c r="AQ1336" s="227"/>
      <c r="AR1336" s="231"/>
      <c r="AS1336" s="227"/>
      <c r="AT1336" s="227"/>
      <c r="AU1336" s="227"/>
      <c r="AV1336" s="227"/>
    </row>
    <row r="1337">
      <c r="A1337" s="227"/>
      <c r="B1337" s="232"/>
      <c r="C1337" s="227"/>
      <c r="D1337" s="227"/>
      <c r="E1337" s="231"/>
      <c r="F1337" s="232"/>
      <c r="G1337" s="227"/>
      <c r="H1337" s="227"/>
      <c r="I1337" s="227"/>
      <c r="J1337" s="227"/>
      <c r="K1337" s="227"/>
      <c r="L1337" s="232"/>
      <c r="M1337" s="232"/>
      <c r="N1337" s="227"/>
      <c r="O1337" s="227"/>
      <c r="P1337" s="231"/>
      <c r="Q1337" s="227"/>
      <c r="R1337" s="231"/>
      <c r="S1337" s="231"/>
      <c r="T1337" s="231"/>
      <c r="U1337" s="231"/>
      <c r="V1337" s="231"/>
      <c r="W1337" s="231"/>
      <c r="X1337" s="227"/>
      <c r="Y1337" s="232"/>
      <c r="Z1337" s="232"/>
      <c r="AA1337" s="232"/>
      <c r="AB1337" s="232"/>
      <c r="AC1337" s="227"/>
      <c r="AD1337" s="227"/>
      <c r="AE1337" s="231"/>
      <c r="AF1337" s="227"/>
      <c r="AG1337" s="232"/>
      <c r="AH1337" s="232"/>
      <c r="AI1337" s="232"/>
      <c r="AJ1337" s="232"/>
      <c r="AK1337" s="232"/>
      <c r="AL1337" s="232"/>
      <c r="AM1337" s="232"/>
      <c r="AN1337" s="232"/>
      <c r="AO1337" s="231"/>
      <c r="AP1337" s="231"/>
      <c r="AQ1337" s="227"/>
      <c r="AR1337" s="231"/>
      <c r="AS1337" s="227"/>
      <c r="AT1337" s="227"/>
      <c r="AU1337" s="227"/>
      <c r="AV1337" s="227"/>
    </row>
    <row r="1338">
      <c r="A1338" s="227"/>
      <c r="B1338" s="232"/>
      <c r="C1338" s="227"/>
      <c r="D1338" s="227"/>
      <c r="E1338" s="231"/>
      <c r="F1338" s="232"/>
      <c r="G1338" s="227"/>
      <c r="H1338" s="227"/>
      <c r="I1338" s="227"/>
      <c r="J1338" s="227"/>
      <c r="K1338" s="227"/>
      <c r="L1338" s="232"/>
      <c r="M1338" s="232"/>
      <c r="N1338" s="227"/>
      <c r="O1338" s="227"/>
      <c r="P1338" s="231"/>
      <c r="Q1338" s="227"/>
      <c r="R1338" s="231"/>
      <c r="S1338" s="231"/>
      <c r="T1338" s="231"/>
      <c r="U1338" s="231"/>
      <c r="V1338" s="231"/>
      <c r="W1338" s="231"/>
      <c r="X1338" s="227"/>
      <c r="Y1338" s="232"/>
      <c r="Z1338" s="232"/>
      <c r="AA1338" s="232"/>
      <c r="AB1338" s="232"/>
      <c r="AC1338" s="227"/>
      <c r="AD1338" s="227"/>
      <c r="AE1338" s="231"/>
      <c r="AF1338" s="227"/>
      <c r="AG1338" s="232"/>
      <c r="AH1338" s="232"/>
      <c r="AI1338" s="232"/>
      <c r="AJ1338" s="232"/>
      <c r="AK1338" s="232"/>
      <c r="AL1338" s="232"/>
      <c r="AM1338" s="232"/>
      <c r="AN1338" s="232"/>
      <c r="AO1338" s="231"/>
      <c r="AP1338" s="231"/>
      <c r="AQ1338" s="227"/>
      <c r="AR1338" s="231"/>
      <c r="AS1338" s="227"/>
      <c r="AT1338" s="227"/>
      <c r="AU1338" s="227"/>
      <c r="AV1338" s="227"/>
    </row>
    <row r="1339">
      <c r="A1339" s="227"/>
      <c r="B1339" s="232"/>
      <c r="C1339" s="227"/>
      <c r="D1339" s="227"/>
      <c r="E1339" s="231"/>
      <c r="F1339" s="232"/>
      <c r="G1339" s="227"/>
      <c r="H1339" s="227"/>
      <c r="I1339" s="227"/>
      <c r="J1339" s="227"/>
      <c r="K1339" s="227"/>
      <c r="L1339" s="232"/>
      <c r="M1339" s="232"/>
      <c r="N1339" s="227"/>
      <c r="O1339" s="227"/>
      <c r="P1339" s="231"/>
      <c r="Q1339" s="227"/>
      <c r="R1339" s="231"/>
      <c r="S1339" s="231"/>
      <c r="T1339" s="231"/>
      <c r="U1339" s="231"/>
      <c r="V1339" s="231"/>
      <c r="W1339" s="231"/>
      <c r="X1339" s="227"/>
      <c r="Y1339" s="232"/>
      <c r="Z1339" s="232"/>
      <c r="AA1339" s="232"/>
      <c r="AB1339" s="232"/>
      <c r="AC1339" s="227"/>
      <c r="AD1339" s="227"/>
      <c r="AE1339" s="231"/>
      <c r="AF1339" s="227"/>
      <c r="AG1339" s="232"/>
      <c r="AH1339" s="232"/>
      <c r="AI1339" s="232"/>
      <c r="AJ1339" s="232"/>
      <c r="AK1339" s="232"/>
      <c r="AL1339" s="232"/>
      <c r="AM1339" s="232"/>
      <c r="AN1339" s="232"/>
      <c r="AO1339" s="231"/>
      <c r="AP1339" s="231"/>
      <c r="AQ1339" s="227"/>
      <c r="AR1339" s="231"/>
      <c r="AS1339" s="227"/>
      <c r="AT1339" s="227"/>
      <c r="AU1339" s="227"/>
      <c r="AV1339" s="227"/>
    </row>
    <row r="1340">
      <c r="A1340" s="227"/>
      <c r="B1340" s="232"/>
      <c r="C1340" s="227"/>
      <c r="D1340" s="227"/>
      <c r="E1340" s="231"/>
      <c r="F1340" s="232"/>
      <c r="G1340" s="227"/>
      <c r="H1340" s="227"/>
      <c r="I1340" s="227"/>
      <c r="J1340" s="227"/>
      <c r="K1340" s="227"/>
      <c r="L1340" s="232"/>
      <c r="M1340" s="232"/>
      <c r="N1340" s="227"/>
      <c r="O1340" s="227"/>
      <c r="P1340" s="231"/>
      <c r="Q1340" s="227"/>
      <c r="R1340" s="231"/>
      <c r="S1340" s="231"/>
      <c r="T1340" s="231"/>
      <c r="U1340" s="231"/>
      <c r="V1340" s="231"/>
      <c r="W1340" s="231"/>
      <c r="X1340" s="227"/>
      <c r="Y1340" s="232"/>
      <c r="Z1340" s="232"/>
      <c r="AA1340" s="232"/>
      <c r="AB1340" s="232"/>
      <c r="AC1340" s="227"/>
      <c r="AD1340" s="227"/>
      <c r="AE1340" s="231"/>
      <c r="AF1340" s="227"/>
      <c r="AG1340" s="232"/>
      <c r="AH1340" s="232"/>
      <c r="AI1340" s="232"/>
      <c r="AJ1340" s="232"/>
      <c r="AK1340" s="232"/>
      <c r="AL1340" s="232"/>
      <c r="AM1340" s="232"/>
      <c r="AN1340" s="232"/>
      <c r="AO1340" s="231"/>
      <c r="AP1340" s="231"/>
      <c r="AQ1340" s="227"/>
      <c r="AR1340" s="231"/>
      <c r="AS1340" s="227"/>
      <c r="AT1340" s="227"/>
      <c r="AU1340" s="227"/>
      <c r="AV1340" s="227"/>
    </row>
    <row r="1341">
      <c r="A1341" s="227"/>
      <c r="B1341" s="232"/>
      <c r="C1341" s="227"/>
      <c r="D1341" s="227"/>
      <c r="E1341" s="231"/>
      <c r="F1341" s="232"/>
      <c r="G1341" s="227"/>
      <c r="H1341" s="227"/>
      <c r="I1341" s="227"/>
      <c r="J1341" s="227"/>
      <c r="K1341" s="227"/>
      <c r="L1341" s="232"/>
      <c r="M1341" s="232"/>
      <c r="N1341" s="227"/>
      <c r="O1341" s="227"/>
      <c r="P1341" s="231"/>
      <c r="Q1341" s="227"/>
      <c r="R1341" s="231"/>
      <c r="S1341" s="231"/>
      <c r="T1341" s="231"/>
      <c r="U1341" s="231"/>
      <c r="V1341" s="231"/>
      <c r="W1341" s="231"/>
      <c r="X1341" s="227"/>
      <c r="Y1341" s="232"/>
      <c r="Z1341" s="232"/>
      <c r="AA1341" s="232"/>
      <c r="AB1341" s="232"/>
      <c r="AC1341" s="227"/>
      <c r="AD1341" s="227"/>
      <c r="AE1341" s="231"/>
      <c r="AF1341" s="227"/>
      <c r="AG1341" s="232"/>
      <c r="AH1341" s="232"/>
      <c r="AI1341" s="232"/>
      <c r="AJ1341" s="232"/>
      <c r="AK1341" s="232"/>
      <c r="AL1341" s="232"/>
      <c r="AM1341" s="232"/>
      <c r="AN1341" s="232"/>
      <c r="AO1341" s="231"/>
      <c r="AP1341" s="231"/>
      <c r="AQ1341" s="227"/>
      <c r="AR1341" s="231"/>
      <c r="AS1341" s="227"/>
      <c r="AT1341" s="227"/>
      <c r="AU1341" s="227"/>
      <c r="AV1341" s="227"/>
    </row>
    <row r="1342">
      <c r="A1342" s="227"/>
      <c r="B1342" s="232"/>
      <c r="C1342" s="227"/>
      <c r="D1342" s="227"/>
      <c r="E1342" s="231"/>
      <c r="F1342" s="232"/>
      <c r="G1342" s="227"/>
      <c r="H1342" s="227"/>
      <c r="I1342" s="227"/>
      <c r="J1342" s="227"/>
      <c r="K1342" s="227"/>
      <c r="L1342" s="232"/>
      <c r="M1342" s="232"/>
      <c r="N1342" s="227"/>
      <c r="O1342" s="227"/>
      <c r="P1342" s="231"/>
      <c r="Q1342" s="227"/>
      <c r="R1342" s="231"/>
      <c r="S1342" s="231"/>
      <c r="T1342" s="231"/>
      <c r="U1342" s="231"/>
      <c r="V1342" s="231"/>
      <c r="W1342" s="231"/>
      <c r="X1342" s="227"/>
      <c r="Y1342" s="232"/>
      <c r="Z1342" s="232"/>
      <c r="AA1342" s="232"/>
      <c r="AB1342" s="232"/>
      <c r="AC1342" s="227"/>
      <c r="AD1342" s="227"/>
      <c r="AE1342" s="231"/>
      <c r="AF1342" s="227"/>
      <c r="AG1342" s="232"/>
      <c r="AH1342" s="232"/>
      <c r="AI1342" s="232"/>
      <c r="AJ1342" s="232"/>
      <c r="AK1342" s="232"/>
      <c r="AL1342" s="232"/>
      <c r="AM1342" s="232"/>
      <c r="AN1342" s="232"/>
      <c r="AO1342" s="231"/>
      <c r="AP1342" s="231"/>
      <c r="AQ1342" s="227"/>
      <c r="AR1342" s="231"/>
      <c r="AS1342" s="227"/>
      <c r="AT1342" s="227"/>
      <c r="AU1342" s="227"/>
      <c r="AV1342" s="227"/>
    </row>
    <row r="1343">
      <c r="A1343" s="227"/>
      <c r="B1343" s="232"/>
      <c r="C1343" s="227"/>
      <c r="D1343" s="227"/>
      <c r="E1343" s="231"/>
      <c r="F1343" s="232"/>
      <c r="G1343" s="227"/>
      <c r="H1343" s="227"/>
      <c r="I1343" s="227"/>
      <c r="J1343" s="227"/>
      <c r="K1343" s="227"/>
      <c r="L1343" s="232"/>
      <c r="M1343" s="232"/>
      <c r="N1343" s="227"/>
      <c r="O1343" s="227"/>
      <c r="P1343" s="231"/>
      <c r="Q1343" s="227"/>
      <c r="R1343" s="231"/>
      <c r="S1343" s="231"/>
      <c r="T1343" s="231"/>
      <c r="U1343" s="231"/>
      <c r="V1343" s="231"/>
      <c r="W1343" s="231"/>
      <c r="X1343" s="227"/>
      <c r="Y1343" s="232"/>
      <c r="Z1343" s="232"/>
      <c r="AA1343" s="232"/>
      <c r="AB1343" s="232"/>
      <c r="AC1343" s="227"/>
      <c r="AD1343" s="227"/>
      <c r="AE1343" s="231"/>
      <c r="AF1343" s="227"/>
      <c r="AG1343" s="232"/>
      <c r="AH1343" s="232"/>
      <c r="AI1343" s="232"/>
      <c r="AJ1343" s="232"/>
      <c r="AK1343" s="232"/>
      <c r="AL1343" s="232"/>
      <c r="AM1343" s="232"/>
      <c r="AN1343" s="232"/>
      <c r="AO1343" s="231"/>
      <c r="AP1343" s="231"/>
      <c r="AQ1343" s="227"/>
      <c r="AR1343" s="231"/>
      <c r="AS1343" s="227"/>
      <c r="AT1343" s="227"/>
      <c r="AU1343" s="227"/>
      <c r="AV1343" s="227"/>
    </row>
    <row r="1344">
      <c r="A1344" s="227"/>
      <c r="B1344" s="232"/>
      <c r="C1344" s="227"/>
      <c r="D1344" s="227"/>
      <c r="E1344" s="231"/>
      <c r="F1344" s="232"/>
      <c r="G1344" s="227"/>
      <c r="H1344" s="227"/>
      <c r="I1344" s="227"/>
      <c r="J1344" s="227"/>
      <c r="K1344" s="227"/>
      <c r="L1344" s="232"/>
      <c r="M1344" s="232"/>
      <c r="N1344" s="227"/>
      <c r="O1344" s="227"/>
      <c r="P1344" s="231"/>
      <c r="Q1344" s="227"/>
      <c r="R1344" s="231"/>
      <c r="S1344" s="231"/>
      <c r="T1344" s="231"/>
      <c r="U1344" s="231"/>
      <c r="V1344" s="231"/>
      <c r="W1344" s="231"/>
      <c r="X1344" s="227"/>
      <c r="Y1344" s="232"/>
      <c r="Z1344" s="232"/>
      <c r="AA1344" s="232"/>
      <c r="AB1344" s="232"/>
      <c r="AC1344" s="227"/>
      <c r="AD1344" s="227"/>
      <c r="AE1344" s="231"/>
      <c r="AF1344" s="227"/>
      <c r="AG1344" s="232"/>
      <c r="AH1344" s="232"/>
      <c r="AI1344" s="232"/>
      <c r="AJ1344" s="232"/>
      <c r="AK1344" s="232"/>
      <c r="AL1344" s="232"/>
      <c r="AM1344" s="232"/>
      <c r="AN1344" s="232"/>
      <c r="AO1344" s="231"/>
      <c r="AP1344" s="231"/>
      <c r="AQ1344" s="227"/>
      <c r="AR1344" s="231"/>
      <c r="AS1344" s="227"/>
      <c r="AT1344" s="227"/>
      <c r="AU1344" s="227"/>
      <c r="AV1344" s="227"/>
    </row>
    <row r="1345">
      <c r="A1345" s="227"/>
      <c r="B1345" s="232"/>
      <c r="C1345" s="227"/>
      <c r="D1345" s="227"/>
      <c r="E1345" s="231"/>
      <c r="F1345" s="232"/>
      <c r="G1345" s="227"/>
      <c r="H1345" s="227"/>
      <c r="I1345" s="227"/>
      <c r="J1345" s="227"/>
      <c r="K1345" s="227"/>
      <c r="L1345" s="232"/>
      <c r="M1345" s="232"/>
      <c r="N1345" s="227"/>
      <c r="O1345" s="227"/>
      <c r="P1345" s="231"/>
      <c r="Q1345" s="227"/>
      <c r="R1345" s="231"/>
      <c r="S1345" s="231"/>
      <c r="T1345" s="231"/>
      <c r="U1345" s="231"/>
      <c r="V1345" s="231"/>
      <c r="W1345" s="231"/>
      <c r="X1345" s="227"/>
      <c r="Y1345" s="232"/>
      <c r="Z1345" s="232"/>
      <c r="AA1345" s="232"/>
      <c r="AB1345" s="232"/>
      <c r="AC1345" s="227"/>
      <c r="AD1345" s="227"/>
      <c r="AE1345" s="231"/>
      <c r="AF1345" s="227"/>
      <c r="AG1345" s="232"/>
      <c r="AH1345" s="232"/>
      <c r="AI1345" s="232"/>
      <c r="AJ1345" s="232"/>
      <c r="AK1345" s="232"/>
      <c r="AL1345" s="232"/>
      <c r="AM1345" s="232"/>
      <c r="AN1345" s="232"/>
      <c r="AO1345" s="231"/>
      <c r="AP1345" s="231"/>
      <c r="AQ1345" s="227"/>
      <c r="AR1345" s="231"/>
      <c r="AS1345" s="227"/>
      <c r="AT1345" s="227"/>
      <c r="AU1345" s="227"/>
      <c r="AV1345" s="227"/>
    </row>
    <row r="1346">
      <c r="A1346" s="227"/>
      <c r="B1346" s="232"/>
      <c r="C1346" s="227"/>
      <c r="D1346" s="227"/>
      <c r="E1346" s="231"/>
      <c r="F1346" s="232"/>
      <c r="G1346" s="227"/>
      <c r="H1346" s="227"/>
      <c r="I1346" s="227"/>
      <c r="J1346" s="227"/>
      <c r="K1346" s="227"/>
      <c r="L1346" s="232"/>
      <c r="M1346" s="232"/>
      <c r="N1346" s="227"/>
      <c r="O1346" s="227"/>
      <c r="P1346" s="231"/>
      <c r="Q1346" s="227"/>
      <c r="R1346" s="231"/>
      <c r="S1346" s="231"/>
      <c r="T1346" s="231"/>
      <c r="U1346" s="231"/>
      <c r="V1346" s="231"/>
      <c r="W1346" s="231"/>
      <c r="X1346" s="227"/>
      <c r="Y1346" s="232"/>
      <c r="Z1346" s="232"/>
      <c r="AA1346" s="232"/>
      <c r="AB1346" s="232"/>
      <c r="AC1346" s="227"/>
      <c r="AD1346" s="227"/>
      <c r="AE1346" s="231"/>
      <c r="AF1346" s="227"/>
      <c r="AG1346" s="232"/>
      <c r="AH1346" s="232"/>
      <c r="AI1346" s="232"/>
      <c r="AJ1346" s="232"/>
      <c r="AK1346" s="232"/>
      <c r="AL1346" s="232"/>
      <c r="AM1346" s="232"/>
      <c r="AN1346" s="232"/>
      <c r="AO1346" s="231"/>
      <c r="AP1346" s="231"/>
      <c r="AQ1346" s="227"/>
      <c r="AR1346" s="231"/>
      <c r="AS1346" s="227"/>
      <c r="AT1346" s="227"/>
      <c r="AU1346" s="227"/>
      <c r="AV1346" s="227"/>
    </row>
    <row r="1347">
      <c r="A1347" s="227"/>
      <c r="B1347" s="232"/>
      <c r="C1347" s="227"/>
      <c r="D1347" s="227"/>
      <c r="E1347" s="231"/>
      <c r="F1347" s="232"/>
      <c r="G1347" s="227"/>
      <c r="H1347" s="227"/>
      <c r="I1347" s="227"/>
      <c r="J1347" s="227"/>
      <c r="K1347" s="227"/>
      <c r="L1347" s="232"/>
      <c r="M1347" s="232"/>
      <c r="N1347" s="227"/>
      <c r="O1347" s="227"/>
      <c r="P1347" s="231"/>
      <c r="Q1347" s="227"/>
      <c r="R1347" s="231"/>
      <c r="S1347" s="231"/>
      <c r="T1347" s="231"/>
      <c r="U1347" s="231"/>
      <c r="V1347" s="231"/>
      <c r="W1347" s="231"/>
      <c r="X1347" s="227"/>
      <c r="Y1347" s="232"/>
      <c r="Z1347" s="232"/>
      <c r="AA1347" s="232"/>
      <c r="AB1347" s="232"/>
      <c r="AC1347" s="227"/>
      <c r="AD1347" s="227"/>
      <c r="AE1347" s="231"/>
      <c r="AF1347" s="227"/>
      <c r="AG1347" s="232"/>
      <c r="AH1347" s="232"/>
      <c r="AI1347" s="232"/>
      <c r="AJ1347" s="232"/>
      <c r="AK1347" s="232"/>
      <c r="AL1347" s="232"/>
      <c r="AM1347" s="232"/>
      <c r="AN1347" s="232"/>
      <c r="AO1347" s="231"/>
      <c r="AP1347" s="231"/>
      <c r="AQ1347" s="227"/>
      <c r="AR1347" s="231"/>
      <c r="AS1347" s="227"/>
      <c r="AT1347" s="227"/>
      <c r="AU1347" s="227"/>
      <c r="AV1347" s="227"/>
    </row>
    <row r="1348">
      <c r="A1348" s="227"/>
      <c r="B1348" s="232"/>
      <c r="C1348" s="227"/>
      <c r="D1348" s="227"/>
      <c r="E1348" s="231"/>
      <c r="F1348" s="232"/>
      <c r="G1348" s="227"/>
      <c r="H1348" s="227"/>
      <c r="I1348" s="227"/>
      <c r="J1348" s="227"/>
      <c r="K1348" s="227"/>
      <c r="L1348" s="232"/>
      <c r="M1348" s="232"/>
      <c r="N1348" s="227"/>
      <c r="O1348" s="227"/>
      <c r="P1348" s="231"/>
      <c r="Q1348" s="227"/>
      <c r="R1348" s="231"/>
      <c r="S1348" s="231"/>
      <c r="T1348" s="231"/>
      <c r="U1348" s="231"/>
      <c r="V1348" s="231"/>
      <c r="W1348" s="231"/>
      <c r="X1348" s="227"/>
      <c r="Y1348" s="232"/>
      <c r="Z1348" s="232"/>
      <c r="AA1348" s="232"/>
      <c r="AB1348" s="232"/>
      <c r="AC1348" s="227"/>
      <c r="AD1348" s="227"/>
      <c r="AE1348" s="231"/>
      <c r="AF1348" s="227"/>
      <c r="AG1348" s="232"/>
      <c r="AH1348" s="232"/>
      <c r="AI1348" s="232"/>
      <c r="AJ1348" s="232"/>
      <c r="AK1348" s="232"/>
      <c r="AL1348" s="232"/>
      <c r="AM1348" s="232"/>
      <c r="AN1348" s="232"/>
      <c r="AO1348" s="231"/>
      <c r="AP1348" s="231"/>
      <c r="AQ1348" s="227"/>
      <c r="AR1348" s="231"/>
      <c r="AS1348" s="227"/>
      <c r="AT1348" s="227"/>
      <c r="AU1348" s="227"/>
      <c r="AV1348" s="227"/>
    </row>
    <row r="1349">
      <c r="A1349" s="227"/>
      <c r="B1349" s="232"/>
      <c r="C1349" s="227"/>
      <c r="D1349" s="227"/>
      <c r="E1349" s="231"/>
      <c r="F1349" s="232"/>
      <c r="G1349" s="227"/>
      <c r="H1349" s="227"/>
      <c r="I1349" s="227"/>
      <c r="J1349" s="227"/>
      <c r="K1349" s="227"/>
      <c r="L1349" s="232"/>
      <c r="M1349" s="232"/>
      <c r="N1349" s="227"/>
      <c r="O1349" s="227"/>
      <c r="P1349" s="231"/>
      <c r="Q1349" s="227"/>
      <c r="R1349" s="231"/>
      <c r="S1349" s="231"/>
      <c r="T1349" s="231"/>
      <c r="U1349" s="231"/>
      <c r="V1349" s="231"/>
      <c r="W1349" s="231"/>
      <c r="X1349" s="227"/>
      <c r="Y1349" s="232"/>
      <c r="Z1349" s="232"/>
      <c r="AA1349" s="232"/>
      <c r="AB1349" s="232"/>
      <c r="AC1349" s="227"/>
      <c r="AD1349" s="227"/>
      <c r="AE1349" s="231"/>
      <c r="AF1349" s="227"/>
      <c r="AG1349" s="232"/>
      <c r="AH1349" s="232"/>
      <c r="AI1349" s="232"/>
      <c r="AJ1349" s="232"/>
      <c r="AK1349" s="232"/>
      <c r="AL1349" s="232"/>
      <c r="AM1349" s="232"/>
      <c r="AN1349" s="232"/>
      <c r="AO1349" s="231"/>
      <c r="AP1349" s="231"/>
      <c r="AQ1349" s="227"/>
      <c r="AR1349" s="231"/>
      <c r="AS1349" s="227"/>
      <c r="AT1349" s="227"/>
      <c r="AU1349" s="227"/>
      <c r="AV1349" s="227"/>
    </row>
    <row r="1350">
      <c r="A1350" s="227"/>
      <c r="B1350" s="232"/>
      <c r="C1350" s="227"/>
      <c r="D1350" s="227"/>
      <c r="E1350" s="231"/>
      <c r="F1350" s="232"/>
      <c r="G1350" s="227"/>
      <c r="H1350" s="227"/>
      <c r="I1350" s="227"/>
      <c r="J1350" s="227"/>
      <c r="K1350" s="227"/>
      <c r="L1350" s="232"/>
      <c r="M1350" s="232"/>
      <c r="N1350" s="227"/>
      <c r="O1350" s="227"/>
      <c r="P1350" s="231"/>
      <c r="Q1350" s="227"/>
      <c r="R1350" s="231"/>
      <c r="S1350" s="231"/>
      <c r="T1350" s="231"/>
      <c r="U1350" s="231"/>
      <c r="V1350" s="231"/>
      <c r="W1350" s="231"/>
      <c r="X1350" s="227"/>
      <c r="Y1350" s="232"/>
      <c r="Z1350" s="232"/>
      <c r="AA1350" s="232"/>
      <c r="AB1350" s="232"/>
      <c r="AC1350" s="227"/>
      <c r="AD1350" s="227"/>
      <c r="AE1350" s="231"/>
      <c r="AF1350" s="227"/>
      <c r="AG1350" s="232"/>
      <c r="AH1350" s="232"/>
      <c r="AI1350" s="232"/>
      <c r="AJ1350" s="232"/>
      <c r="AK1350" s="232"/>
      <c r="AL1350" s="232"/>
      <c r="AM1350" s="232"/>
      <c r="AN1350" s="232"/>
      <c r="AO1350" s="231"/>
      <c r="AP1350" s="231"/>
      <c r="AQ1350" s="227"/>
      <c r="AR1350" s="231"/>
      <c r="AS1350" s="227"/>
      <c r="AT1350" s="227"/>
      <c r="AU1350" s="227"/>
      <c r="AV1350" s="227"/>
    </row>
    <row r="1351">
      <c r="A1351" s="227"/>
      <c r="B1351" s="232"/>
      <c r="C1351" s="227"/>
      <c r="D1351" s="227"/>
      <c r="E1351" s="231"/>
      <c r="F1351" s="232"/>
      <c r="G1351" s="227"/>
      <c r="H1351" s="227"/>
      <c r="I1351" s="227"/>
      <c r="J1351" s="227"/>
      <c r="K1351" s="227"/>
      <c r="L1351" s="232"/>
      <c r="M1351" s="232"/>
      <c r="N1351" s="227"/>
      <c r="O1351" s="227"/>
      <c r="P1351" s="231"/>
      <c r="Q1351" s="227"/>
      <c r="R1351" s="231"/>
      <c r="S1351" s="231"/>
      <c r="T1351" s="231"/>
      <c r="U1351" s="231"/>
      <c r="V1351" s="231"/>
      <c r="W1351" s="231"/>
      <c r="X1351" s="227"/>
      <c r="Y1351" s="232"/>
      <c r="Z1351" s="232"/>
      <c r="AA1351" s="232"/>
      <c r="AB1351" s="232"/>
      <c r="AC1351" s="227"/>
      <c r="AD1351" s="227"/>
      <c r="AE1351" s="231"/>
      <c r="AF1351" s="227"/>
      <c r="AG1351" s="232"/>
      <c r="AH1351" s="232"/>
      <c r="AI1351" s="232"/>
      <c r="AJ1351" s="232"/>
      <c r="AK1351" s="232"/>
      <c r="AL1351" s="232"/>
      <c r="AM1351" s="232"/>
      <c r="AN1351" s="232"/>
      <c r="AO1351" s="231"/>
      <c r="AP1351" s="231"/>
      <c r="AQ1351" s="227"/>
      <c r="AR1351" s="231"/>
      <c r="AS1351" s="227"/>
      <c r="AT1351" s="227"/>
      <c r="AU1351" s="227"/>
      <c r="AV1351" s="227"/>
    </row>
    <row r="1352">
      <c r="A1352" s="227"/>
      <c r="B1352" s="232"/>
      <c r="C1352" s="227"/>
      <c r="D1352" s="227"/>
      <c r="E1352" s="231"/>
      <c r="F1352" s="232"/>
      <c r="G1352" s="227"/>
      <c r="H1352" s="227"/>
      <c r="I1352" s="227"/>
      <c r="J1352" s="227"/>
      <c r="K1352" s="227"/>
      <c r="L1352" s="232"/>
      <c r="M1352" s="232"/>
      <c r="N1352" s="227"/>
      <c r="O1352" s="227"/>
      <c r="P1352" s="231"/>
      <c r="Q1352" s="227"/>
      <c r="R1352" s="231"/>
      <c r="S1352" s="231"/>
      <c r="T1352" s="231"/>
      <c r="U1352" s="231"/>
      <c r="V1352" s="231"/>
      <c r="W1352" s="231"/>
      <c r="X1352" s="227"/>
      <c r="Y1352" s="232"/>
      <c r="Z1352" s="232"/>
      <c r="AA1352" s="232"/>
      <c r="AB1352" s="232"/>
      <c r="AC1352" s="227"/>
      <c r="AD1352" s="227"/>
      <c r="AE1352" s="231"/>
      <c r="AF1352" s="227"/>
      <c r="AG1352" s="232"/>
      <c r="AH1352" s="232"/>
      <c r="AI1352" s="232"/>
      <c r="AJ1352" s="232"/>
      <c r="AK1352" s="232"/>
      <c r="AL1352" s="232"/>
      <c r="AM1352" s="232"/>
      <c r="AN1352" s="232"/>
      <c r="AO1352" s="231"/>
      <c r="AP1352" s="231"/>
      <c r="AQ1352" s="227"/>
      <c r="AR1352" s="231"/>
      <c r="AS1352" s="227"/>
      <c r="AT1352" s="227"/>
      <c r="AU1352" s="227"/>
      <c r="AV1352" s="227"/>
    </row>
    <row r="1353">
      <c r="A1353" s="227"/>
      <c r="B1353" s="232"/>
      <c r="C1353" s="227"/>
      <c r="D1353" s="227"/>
      <c r="E1353" s="231"/>
      <c r="F1353" s="232"/>
      <c r="G1353" s="227"/>
      <c r="H1353" s="227"/>
      <c r="I1353" s="227"/>
      <c r="J1353" s="227"/>
      <c r="K1353" s="227"/>
      <c r="L1353" s="232"/>
      <c r="M1353" s="232"/>
      <c r="N1353" s="227"/>
      <c r="O1353" s="227"/>
      <c r="P1353" s="231"/>
      <c r="Q1353" s="227"/>
      <c r="R1353" s="231"/>
      <c r="S1353" s="231"/>
      <c r="T1353" s="231"/>
      <c r="U1353" s="231"/>
      <c r="V1353" s="231"/>
      <c r="W1353" s="231"/>
      <c r="X1353" s="227"/>
      <c r="Y1353" s="232"/>
      <c r="Z1353" s="232"/>
      <c r="AA1353" s="232"/>
      <c r="AB1353" s="232"/>
      <c r="AC1353" s="227"/>
      <c r="AD1353" s="227"/>
      <c r="AE1353" s="231"/>
      <c r="AF1353" s="227"/>
      <c r="AG1353" s="232"/>
      <c r="AH1353" s="232"/>
      <c r="AI1353" s="232"/>
      <c r="AJ1353" s="232"/>
      <c r="AK1353" s="232"/>
      <c r="AL1353" s="232"/>
      <c r="AM1353" s="232"/>
      <c r="AN1353" s="232"/>
      <c r="AO1353" s="231"/>
      <c r="AP1353" s="231"/>
      <c r="AQ1353" s="227"/>
      <c r="AR1353" s="231"/>
      <c r="AS1353" s="227"/>
      <c r="AT1353" s="227"/>
      <c r="AU1353" s="227"/>
      <c r="AV1353" s="227"/>
    </row>
    <row r="1354">
      <c r="A1354" s="227"/>
      <c r="B1354" s="232"/>
      <c r="C1354" s="227"/>
      <c r="D1354" s="227"/>
      <c r="E1354" s="231"/>
      <c r="F1354" s="232"/>
      <c r="G1354" s="227"/>
      <c r="H1354" s="227"/>
      <c r="I1354" s="227"/>
      <c r="J1354" s="227"/>
      <c r="K1354" s="227"/>
      <c r="L1354" s="232"/>
      <c r="M1354" s="232"/>
      <c r="N1354" s="227"/>
      <c r="O1354" s="227"/>
      <c r="P1354" s="231"/>
      <c r="Q1354" s="227"/>
      <c r="R1354" s="231"/>
      <c r="S1354" s="231"/>
      <c r="T1354" s="231"/>
      <c r="U1354" s="231"/>
      <c r="V1354" s="231"/>
      <c r="W1354" s="231"/>
      <c r="X1354" s="227"/>
      <c r="Y1354" s="232"/>
      <c r="Z1354" s="232"/>
      <c r="AA1354" s="232"/>
      <c r="AB1354" s="232"/>
      <c r="AC1354" s="227"/>
      <c r="AD1354" s="227"/>
      <c r="AE1354" s="231"/>
      <c r="AF1354" s="227"/>
      <c r="AG1354" s="232"/>
      <c r="AH1354" s="232"/>
      <c r="AI1354" s="232"/>
      <c r="AJ1354" s="232"/>
      <c r="AK1354" s="232"/>
      <c r="AL1354" s="232"/>
      <c r="AM1354" s="232"/>
      <c r="AN1354" s="232"/>
      <c r="AO1354" s="231"/>
      <c r="AP1354" s="231"/>
      <c r="AQ1354" s="227"/>
      <c r="AR1354" s="227"/>
      <c r="AS1354" s="227"/>
      <c r="AT1354" s="227"/>
      <c r="AU1354" s="227"/>
      <c r="AV1354" s="227"/>
    </row>
    <row r="1355">
      <c r="A1355" s="227"/>
      <c r="B1355" s="232"/>
      <c r="C1355" s="227"/>
      <c r="D1355" s="227"/>
      <c r="E1355" s="231"/>
      <c r="F1355" s="232"/>
      <c r="G1355" s="227"/>
      <c r="H1355" s="227"/>
      <c r="I1355" s="227"/>
      <c r="J1355" s="227"/>
      <c r="K1355" s="227"/>
      <c r="L1355" s="232"/>
      <c r="M1355" s="232"/>
      <c r="N1355" s="227"/>
      <c r="O1355" s="227"/>
      <c r="P1355" s="231"/>
      <c r="Q1355" s="227"/>
      <c r="R1355" s="231"/>
      <c r="S1355" s="231"/>
      <c r="T1355" s="231"/>
      <c r="U1355" s="231"/>
      <c r="V1355" s="231"/>
      <c r="W1355" s="231"/>
      <c r="X1355" s="227"/>
      <c r="Y1355" s="232"/>
      <c r="Z1355" s="232"/>
      <c r="AA1355" s="232"/>
      <c r="AB1355" s="232"/>
      <c r="AC1355" s="227"/>
      <c r="AD1355" s="227"/>
      <c r="AE1355" s="231"/>
      <c r="AF1355" s="227"/>
      <c r="AG1355" s="232"/>
      <c r="AH1355" s="232"/>
      <c r="AI1355" s="232"/>
      <c r="AJ1355" s="232"/>
      <c r="AK1355" s="232"/>
      <c r="AL1355" s="232"/>
      <c r="AM1355" s="232"/>
      <c r="AN1355" s="232"/>
      <c r="AO1355" s="231"/>
      <c r="AP1355" s="231"/>
      <c r="AQ1355" s="227"/>
      <c r="AR1355" s="231"/>
      <c r="AS1355" s="227"/>
      <c r="AT1355" s="227"/>
      <c r="AU1355" s="227"/>
      <c r="AV1355" s="227"/>
    </row>
    <row r="1356">
      <c r="A1356" s="227"/>
      <c r="B1356" s="232"/>
      <c r="C1356" s="227"/>
      <c r="D1356" s="227"/>
      <c r="E1356" s="231"/>
      <c r="F1356" s="232"/>
      <c r="G1356" s="227"/>
      <c r="H1356" s="227"/>
      <c r="I1356" s="227"/>
      <c r="J1356" s="227"/>
      <c r="K1356" s="227"/>
      <c r="L1356" s="232"/>
      <c r="M1356" s="232"/>
      <c r="N1356" s="227"/>
      <c r="O1356" s="227"/>
      <c r="P1356" s="231"/>
      <c r="Q1356" s="227"/>
      <c r="R1356" s="231"/>
      <c r="S1356" s="231"/>
      <c r="T1356" s="231"/>
      <c r="U1356" s="231"/>
      <c r="V1356" s="231"/>
      <c r="W1356" s="231"/>
      <c r="X1356" s="227"/>
      <c r="Y1356" s="232"/>
      <c r="Z1356" s="232"/>
      <c r="AA1356" s="232"/>
      <c r="AB1356" s="232"/>
      <c r="AC1356" s="227"/>
      <c r="AD1356" s="227"/>
      <c r="AE1356" s="231"/>
      <c r="AF1356" s="227"/>
      <c r="AG1356" s="232"/>
      <c r="AH1356" s="232"/>
      <c r="AI1356" s="232"/>
      <c r="AJ1356" s="232"/>
      <c r="AK1356" s="232"/>
      <c r="AL1356" s="232"/>
      <c r="AM1356" s="232"/>
      <c r="AN1356" s="232"/>
      <c r="AO1356" s="231"/>
      <c r="AP1356" s="231"/>
      <c r="AQ1356" s="227"/>
      <c r="AR1356" s="231"/>
      <c r="AS1356" s="227"/>
      <c r="AT1356" s="227"/>
      <c r="AU1356" s="227"/>
      <c r="AV1356" s="227"/>
    </row>
    <row r="1357">
      <c r="A1357" s="227"/>
      <c r="B1357" s="232"/>
      <c r="C1357" s="227"/>
      <c r="D1357" s="227"/>
      <c r="E1357" s="231"/>
      <c r="F1357" s="232"/>
      <c r="G1357" s="227"/>
      <c r="H1357" s="227"/>
      <c r="I1357" s="227"/>
      <c r="J1357" s="227"/>
      <c r="K1357" s="227"/>
      <c r="L1357" s="232"/>
      <c r="M1357" s="232"/>
      <c r="N1357" s="227"/>
      <c r="O1357" s="227"/>
      <c r="P1357" s="231"/>
      <c r="Q1357" s="227"/>
      <c r="R1357" s="231"/>
      <c r="S1357" s="231"/>
      <c r="T1357" s="231"/>
      <c r="U1357" s="231"/>
      <c r="V1357" s="231"/>
      <c r="W1357" s="231"/>
      <c r="X1357" s="227"/>
      <c r="Y1357" s="232"/>
      <c r="Z1357" s="232"/>
      <c r="AA1357" s="232"/>
      <c r="AB1357" s="232"/>
      <c r="AC1357" s="227"/>
      <c r="AD1357" s="227"/>
      <c r="AE1357" s="231"/>
      <c r="AF1357" s="227"/>
      <c r="AG1357" s="232"/>
      <c r="AH1357" s="232"/>
      <c r="AI1357" s="232"/>
      <c r="AJ1357" s="232"/>
      <c r="AK1357" s="232"/>
      <c r="AL1357" s="232"/>
      <c r="AM1357" s="232"/>
      <c r="AN1357" s="232"/>
      <c r="AO1357" s="231"/>
      <c r="AP1357" s="231"/>
      <c r="AQ1357" s="227"/>
      <c r="AR1357" s="231"/>
      <c r="AS1357" s="227"/>
      <c r="AT1357" s="227"/>
      <c r="AU1357" s="227"/>
      <c r="AV1357" s="227"/>
    </row>
    <row r="1358">
      <c r="A1358" s="227"/>
      <c r="B1358" s="232"/>
      <c r="C1358" s="227"/>
      <c r="D1358" s="227"/>
      <c r="E1358" s="231"/>
      <c r="F1358" s="232"/>
      <c r="G1358" s="227"/>
      <c r="H1358" s="227"/>
      <c r="I1358" s="227"/>
      <c r="J1358" s="227"/>
      <c r="K1358" s="227"/>
      <c r="L1358" s="232"/>
      <c r="M1358" s="232"/>
      <c r="N1358" s="227"/>
      <c r="O1358" s="227"/>
      <c r="P1358" s="231"/>
      <c r="Q1358" s="227"/>
      <c r="R1358" s="231"/>
      <c r="S1358" s="231"/>
      <c r="T1358" s="231"/>
      <c r="U1358" s="231"/>
      <c r="V1358" s="231"/>
      <c r="W1358" s="231"/>
      <c r="X1358" s="227"/>
      <c r="Y1358" s="232"/>
      <c r="Z1358" s="232"/>
      <c r="AA1358" s="232"/>
      <c r="AB1358" s="232"/>
      <c r="AC1358" s="227"/>
      <c r="AD1358" s="227"/>
      <c r="AE1358" s="231"/>
      <c r="AF1358" s="227"/>
      <c r="AG1358" s="232"/>
      <c r="AH1358" s="232"/>
      <c r="AI1358" s="232"/>
      <c r="AJ1358" s="232"/>
      <c r="AK1358" s="232"/>
      <c r="AL1358" s="232"/>
      <c r="AM1358" s="232"/>
      <c r="AN1358" s="232"/>
      <c r="AO1358" s="231"/>
      <c r="AP1358" s="231"/>
      <c r="AQ1358" s="227"/>
      <c r="AR1358" s="231"/>
      <c r="AS1358" s="227"/>
      <c r="AT1358" s="227"/>
      <c r="AU1358" s="227"/>
      <c r="AV1358" s="227"/>
    </row>
    <row r="1359">
      <c r="A1359" s="227"/>
      <c r="B1359" s="232"/>
      <c r="C1359" s="227"/>
      <c r="D1359" s="227"/>
      <c r="E1359" s="231"/>
      <c r="F1359" s="232"/>
      <c r="G1359" s="227"/>
      <c r="H1359" s="227"/>
      <c r="I1359" s="227"/>
      <c r="J1359" s="227"/>
      <c r="K1359" s="227"/>
      <c r="L1359" s="232"/>
      <c r="M1359" s="232"/>
      <c r="N1359" s="227"/>
      <c r="O1359" s="227"/>
      <c r="P1359" s="231"/>
      <c r="Q1359" s="227"/>
      <c r="R1359" s="231"/>
      <c r="S1359" s="231"/>
      <c r="T1359" s="231"/>
      <c r="U1359" s="231"/>
      <c r="V1359" s="231"/>
      <c r="W1359" s="231"/>
      <c r="X1359" s="227"/>
      <c r="Y1359" s="232"/>
      <c r="Z1359" s="232"/>
      <c r="AA1359" s="232"/>
      <c r="AB1359" s="232"/>
      <c r="AC1359" s="227"/>
      <c r="AD1359" s="227"/>
      <c r="AE1359" s="231"/>
      <c r="AF1359" s="227"/>
      <c r="AG1359" s="232"/>
      <c r="AH1359" s="232"/>
      <c r="AI1359" s="232"/>
      <c r="AJ1359" s="232"/>
      <c r="AK1359" s="232"/>
      <c r="AL1359" s="232"/>
      <c r="AM1359" s="232"/>
      <c r="AN1359" s="232"/>
      <c r="AO1359" s="231"/>
      <c r="AP1359" s="231"/>
      <c r="AQ1359" s="227"/>
      <c r="AR1359" s="231"/>
      <c r="AS1359" s="227"/>
      <c r="AT1359" s="227"/>
      <c r="AU1359" s="227"/>
      <c r="AV1359" s="227"/>
    </row>
    <row r="1360">
      <c r="A1360" s="227"/>
      <c r="B1360" s="232"/>
      <c r="C1360" s="227"/>
      <c r="D1360" s="227"/>
      <c r="E1360" s="231"/>
      <c r="F1360" s="232"/>
      <c r="G1360" s="227"/>
      <c r="H1360" s="227"/>
      <c r="I1360" s="227"/>
      <c r="J1360" s="227"/>
      <c r="K1360" s="227"/>
      <c r="L1360" s="232"/>
      <c r="M1360" s="232"/>
      <c r="N1360" s="227"/>
      <c r="O1360" s="227"/>
      <c r="P1360" s="231"/>
      <c r="Q1360" s="227"/>
      <c r="R1360" s="231"/>
      <c r="S1360" s="231"/>
      <c r="T1360" s="231"/>
      <c r="U1360" s="231"/>
      <c r="V1360" s="231"/>
      <c r="W1360" s="231"/>
      <c r="X1360" s="227"/>
      <c r="Y1360" s="232"/>
      <c r="Z1360" s="232"/>
      <c r="AA1360" s="232"/>
      <c r="AB1360" s="232"/>
      <c r="AC1360" s="227"/>
      <c r="AD1360" s="227"/>
      <c r="AE1360" s="231"/>
      <c r="AF1360" s="227"/>
      <c r="AG1360" s="232"/>
      <c r="AH1360" s="232"/>
      <c r="AI1360" s="232"/>
      <c r="AJ1360" s="232"/>
      <c r="AK1360" s="232"/>
      <c r="AL1360" s="232"/>
      <c r="AM1360" s="232"/>
      <c r="AN1360" s="232"/>
      <c r="AO1360" s="231"/>
      <c r="AP1360" s="231"/>
      <c r="AQ1360" s="227"/>
      <c r="AR1360" s="231"/>
      <c r="AS1360" s="227"/>
      <c r="AT1360" s="227"/>
      <c r="AU1360" s="227"/>
      <c r="AV1360" s="227"/>
    </row>
    <row r="1361">
      <c r="A1361" s="227"/>
      <c r="B1361" s="232"/>
      <c r="C1361" s="227"/>
      <c r="D1361" s="227"/>
      <c r="E1361" s="231"/>
      <c r="F1361" s="232"/>
      <c r="G1361" s="227"/>
      <c r="H1361" s="227"/>
      <c r="I1361" s="227"/>
      <c r="J1361" s="227"/>
      <c r="K1361" s="227"/>
      <c r="L1361" s="232"/>
      <c r="M1361" s="232"/>
      <c r="N1361" s="227"/>
      <c r="O1361" s="227"/>
      <c r="P1361" s="231"/>
      <c r="Q1361" s="227"/>
      <c r="R1361" s="231"/>
      <c r="S1361" s="231"/>
      <c r="T1361" s="231"/>
      <c r="U1361" s="231"/>
      <c r="V1361" s="231"/>
      <c r="W1361" s="231"/>
      <c r="X1361" s="227"/>
      <c r="Y1361" s="232"/>
      <c r="Z1361" s="232"/>
      <c r="AA1361" s="232"/>
      <c r="AB1361" s="232"/>
      <c r="AC1361" s="227"/>
      <c r="AD1361" s="227"/>
      <c r="AE1361" s="231"/>
      <c r="AF1361" s="227"/>
      <c r="AG1361" s="232"/>
      <c r="AH1361" s="232"/>
      <c r="AI1361" s="232"/>
      <c r="AJ1361" s="232"/>
      <c r="AK1361" s="232"/>
      <c r="AL1361" s="232"/>
      <c r="AM1361" s="232"/>
      <c r="AN1361" s="232"/>
      <c r="AO1361" s="231"/>
      <c r="AP1361" s="231"/>
      <c r="AQ1361" s="227"/>
      <c r="AR1361" s="231"/>
      <c r="AS1361" s="227"/>
      <c r="AT1361" s="227"/>
      <c r="AU1361" s="227"/>
      <c r="AV1361" s="227"/>
    </row>
    <row r="1362">
      <c r="A1362" s="227"/>
      <c r="B1362" s="232"/>
      <c r="C1362" s="227"/>
      <c r="D1362" s="227"/>
      <c r="E1362" s="231"/>
      <c r="F1362" s="232"/>
      <c r="G1362" s="227"/>
      <c r="H1362" s="227"/>
      <c r="I1362" s="227"/>
      <c r="J1362" s="227"/>
      <c r="K1362" s="227"/>
      <c r="L1362" s="232"/>
      <c r="M1362" s="232"/>
      <c r="N1362" s="227"/>
      <c r="O1362" s="227"/>
      <c r="P1362" s="231"/>
      <c r="Q1362" s="227"/>
      <c r="R1362" s="231"/>
      <c r="S1362" s="231"/>
      <c r="T1362" s="231"/>
      <c r="U1362" s="231"/>
      <c r="V1362" s="231"/>
      <c r="W1362" s="231"/>
      <c r="X1362" s="227"/>
      <c r="Y1362" s="232"/>
      <c r="Z1362" s="232"/>
      <c r="AA1362" s="232"/>
      <c r="AB1362" s="232"/>
      <c r="AC1362" s="227"/>
      <c r="AD1362" s="227"/>
      <c r="AE1362" s="231"/>
      <c r="AF1362" s="227"/>
      <c r="AG1362" s="232"/>
      <c r="AH1362" s="232"/>
      <c r="AI1362" s="232"/>
      <c r="AJ1362" s="232"/>
      <c r="AK1362" s="232"/>
      <c r="AL1362" s="232"/>
      <c r="AM1362" s="232"/>
      <c r="AN1362" s="232"/>
      <c r="AO1362" s="231"/>
      <c r="AP1362" s="231"/>
      <c r="AQ1362" s="227"/>
      <c r="AR1362" s="231"/>
      <c r="AS1362" s="227"/>
      <c r="AT1362" s="227"/>
      <c r="AU1362" s="227"/>
      <c r="AV1362" s="227"/>
    </row>
    <row r="1363">
      <c r="A1363" s="227"/>
      <c r="B1363" s="232"/>
      <c r="C1363" s="227"/>
      <c r="D1363" s="227"/>
      <c r="E1363" s="231"/>
      <c r="F1363" s="232"/>
      <c r="G1363" s="227"/>
      <c r="H1363" s="227"/>
      <c r="I1363" s="227"/>
      <c r="J1363" s="227"/>
      <c r="K1363" s="227"/>
      <c r="L1363" s="232"/>
      <c r="M1363" s="232"/>
      <c r="N1363" s="227"/>
      <c r="O1363" s="227"/>
      <c r="P1363" s="231"/>
      <c r="Q1363" s="227"/>
      <c r="R1363" s="231"/>
      <c r="S1363" s="231"/>
      <c r="T1363" s="231"/>
      <c r="U1363" s="231"/>
      <c r="V1363" s="231"/>
      <c r="W1363" s="231"/>
      <c r="X1363" s="227"/>
      <c r="Y1363" s="232"/>
      <c r="Z1363" s="232"/>
      <c r="AA1363" s="232"/>
      <c r="AB1363" s="232"/>
      <c r="AC1363" s="227"/>
      <c r="AD1363" s="227"/>
      <c r="AE1363" s="231"/>
      <c r="AF1363" s="227"/>
      <c r="AG1363" s="232"/>
      <c r="AH1363" s="232"/>
      <c r="AI1363" s="232"/>
      <c r="AJ1363" s="232"/>
      <c r="AK1363" s="232"/>
      <c r="AL1363" s="232"/>
      <c r="AM1363" s="232"/>
      <c r="AN1363" s="232"/>
      <c r="AO1363" s="231"/>
      <c r="AP1363" s="231"/>
      <c r="AQ1363" s="227"/>
      <c r="AR1363" s="231"/>
      <c r="AS1363" s="227"/>
      <c r="AT1363" s="227"/>
      <c r="AU1363" s="227"/>
      <c r="AV1363" s="227"/>
    </row>
    <row r="1364">
      <c r="A1364" s="227"/>
      <c r="B1364" s="232"/>
      <c r="C1364" s="227"/>
      <c r="D1364" s="227"/>
      <c r="E1364" s="231"/>
      <c r="F1364" s="232"/>
      <c r="G1364" s="227"/>
      <c r="H1364" s="227"/>
      <c r="I1364" s="227"/>
      <c r="J1364" s="227"/>
      <c r="K1364" s="227"/>
      <c r="L1364" s="232"/>
      <c r="M1364" s="232"/>
      <c r="N1364" s="227"/>
      <c r="O1364" s="227"/>
      <c r="P1364" s="231"/>
      <c r="Q1364" s="227"/>
      <c r="R1364" s="231"/>
      <c r="S1364" s="231"/>
      <c r="T1364" s="231"/>
      <c r="U1364" s="231"/>
      <c r="V1364" s="231"/>
      <c r="W1364" s="231"/>
      <c r="X1364" s="227"/>
      <c r="Y1364" s="232"/>
      <c r="Z1364" s="232"/>
      <c r="AA1364" s="232"/>
      <c r="AB1364" s="232"/>
      <c r="AC1364" s="227"/>
      <c r="AD1364" s="227"/>
      <c r="AE1364" s="231"/>
      <c r="AF1364" s="227"/>
      <c r="AG1364" s="232"/>
      <c r="AH1364" s="232"/>
      <c r="AI1364" s="232"/>
      <c r="AJ1364" s="232"/>
      <c r="AK1364" s="232"/>
      <c r="AL1364" s="232"/>
      <c r="AM1364" s="232"/>
      <c r="AN1364" s="232"/>
      <c r="AO1364" s="231"/>
      <c r="AP1364" s="231"/>
      <c r="AQ1364" s="227"/>
      <c r="AR1364" s="231"/>
      <c r="AS1364" s="227"/>
      <c r="AT1364" s="227"/>
      <c r="AU1364" s="227"/>
      <c r="AV1364" s="227"/>
    </row>
    <row r="1365">
      <c r="A1365" s="227"/>
      <c r="B1365" s="232"/>
      <c r="C1365" s="227"/>
      <c r="D1365" s="227"/>
      <c r="E1365" s="231"/>
      <c r="F1365" s="232"/>
      <c r="G1365" s="227"/>
      <c r="H1365" s="227"/>
      <c r="I1365" s="227"/>
      <c r="J1365" s="227"/>
      <c r="K1365" s="227"/>
      <c r="L1365" s="232"/>
      <c r="M1365" s="232"/>
      <c r="N1365" s="227"/>
      <c r="O1365" s="227"/>
      <c r="P1365" s="231"/>
      <c r="Q1365" s="227"/>
      <c r="R1365" s="231"/>
      <c r="S1365" s="231"/>
      <c r="T1365" s="231"/>
      <c r="U1365" s="231"/>
      <c r="V1365" s="231"/>
      <c r="W1365" s="231"/>
      <c r="X1365" s="227"/>
      <c r="Y1365" s="232"/>
      <c r="Z1365" s="232"/>
      <c r="AA1365" s="232"/>
      <c r="AB1365" s="232"/>
      <c r="AC1365" s="227"/>
      <c r="AD1365" s="227"/>
      <c r="AE1365" s="231"/>
      <c r="AF1365" s="227"/>
      <c r="AG1365" s="232"/>
      <c r="AH1365" s="232"/>
      <c r="AI1365" s="232"/>
      <c r="AJ1365" s="232"/>
      <c r="AK1365" s="232"/>
      <c r="AL1365" s="232"/>
      <c r="AM1365" s="232"/>
      <c r="AN1365" s="232"/>
      <c r="AO1365" s="231"/>
      <c r="AP1365" s="231"/>
      <c r="AQ1365" s="227"/>
      <c r="AR1365" s="231"/>
      <c r="AS1365" s="227"/>
      <c r="AT1365" s="227"/>
      <c r="AU1365" s="227"/>
      <c r="AV1365" s="227"/>
    </row>
    <row r="1366">
      <c r="A1366" s="227"/>
      <c r="B1366" s="232"/>
      <c r="C1366" s="227"/>
      <c r="D1366" s="227"/>
      <c r="E1366" s="231"/>
      <c r="F1366" s="232"/>
      <c r="G1366" s="227"/>
      <c r="H1366" s="227"/>
      <c r="I1366" s="227"/>
      <c r="J1366" s="227"/>
      <c r="K1366" s="227"/>
      <c r="L1366" s="232"/>
      <c r="M1366" s="232"/>
      <c r="N1366" s="227"/>
      <c r="O1366" s="227"/>
      <c r="P1366" s="231"/>
      <c r="Q1366" s="227"/>
      <c r="R1366" s="231"/>
      <c r="S1366" s="231"/>
      <c r="T1366" s="231"/>
      <c r="U1366" s="231"/>
      <c r="V1366" s="231"/>
      <c r="W1366" s="231"/>
      <c r="X1366" s="227"/>
      <c r="Y1366" s="232"/>
      <c r="Z1366" s="232"/>
      <c r="AA1366" s="232"/>
      <c r="AB1366" s="232"/>
      <c r="AC1366" s="227"/>
      <c r="AD1366" s="227"/>
      <c r="AE1366" s="231"/>
      <c r="AF1366" s="227"/>
      <c r="AG1366" s="232"/>
      <c r="AH1366" s="232"/>
      <c r="AI1366" s="232"/>
      <c r="AJ1366" s="232"/>
      <c r="AK1366" s="232"/>
      <c r="AL1366" s="232"/>
      <c r="AM1366" s="232"/>
      <c r="AN1366" s="232"/>
      <c r="AO1366" s="231"/>
      <c r="AP1366" s="231"/>
      <c r="AQ1366" s="227"/>
      <c r="AR1366" s="231"/>
      <c r="AS1366" s="227"/>
      <c r="AT1366" s="227"/>
      <c r="AU1366" s="227"/>
      <c r="AV1366" s="227"/>
    </row>
    <row r="1367">
      <c r="A1367" s="227"/>
      <c r="B1367" s="232"/>
      <c r="C1367" s="227"/>
      <c r="D1367" s="227"/>
      <c r="E1367" s="231"/>
      <c r="F1367" s="232"/>
      <c r="G1367" s="227"/>
      <c r="H1367" s="227"/>
      <c r="I1367" s="227"/>
      <c r="J1367" s="227"/>
      <c r="K1367" s="227"/>
      <c r="L1367" s="232"/>
      <c r="M1367" s="232"/>
      <c r="N1367" s="227"/>
      <c r="O1367" s="227"/>
      <c r="P1367" s="231"/>
      <c r="Q1367" s="227"/>
      <c r="R1367" s="231"/>
      <c r="S1367" s="231"/>
      <c r="T1367" s="231"/>
      <c r="U1367" s="231"/>
      <c r="V1367" s="231"/>
      <c r="W1367" s="231"/>
      <c r="X1367" s="227"/>
      <c r="Y1367" s="232"/>
      <c r="Z1367" s="232"/>
      <c r="AA1367" s="232"/>
      <c r="AB1367" s="232"/>
      <c r="AC1367" s="227"/>
      <c r="AD1367" s="227"/>
      <c r="AE1367" s="231"/>
      <c r="AF1367" s="227"/>
      <c r="AG1367" s="232"/>
      <c r="AH1367" s="232"/>
      <c r="AI1367" s="232"/>
      <c r="AJ1367" s="232"/>
      <c r="AK1367" s="232"/>
      <c r="AL1367" s="232"/>
      <c r="AM1367" s="232"/>
      <c r="AN1367" s="232"/>
      <c r="AO1367" s="231"/>
      <c r="AP1367" s="231"/>
      <c r="AQ1367" s="227"/>
      <c r="AR1367" s="231"/>
      <c r="AS1367" s="227"/>
      <c r="AT1367" s="227"/>
      <c r="AU1367" s="227"/>
      <c r="AV1367" s="227"/>
    </row>
    <row r="1368">
      <c r="A1368" s="227"/>
      <c r="B1368" s="232"/>
      <c r="C1368" s="227"/>
      <c r="D1368" s="227"/>
      <c r="E1368" s="231"/>
      <c r="F1368" s="232"/>
      <c r="G1368" s="227"/>
      <c r="H1368" s="227"/>
      <c r="I1368" s="227"/>
      <c r="J1368" s="227"/>
      <c r="K1368" s="227"/>
      <c r="L1368" s="232"/>
      <c r="M1368" s="232"/>
      <c r="N1368" s="227"/>
      <c r="O1368" s="227"/>
      <c r="P1368" s="231"/>
      <c r="Q1368" s="227"/>
      <c r="R1368" s="231"/>
      <c r="S1368" s="231"/>
      <c r="T1368" s="231"/>
      <c r="U1368" s="231"/>
      <c r="V1368" s="231"/>
      <c r="W1368" s="231"/>
      <c r="X1368" s="227"/>
      <c r="Y1368" s="232"/>
      <c r="Z1368" s="232"/>
      <c r="AA1368" s="232"/>
      <c r="AB1368" s="232"/>
      <c r="AC1368" s="227"/>
      <c r="AD1368" s="227"/>
      <c r="AE1368" s="231"/>
      <c r="AF1368" s="227"/>
      <c r="AG1368" s="232"/>
      <c r="AH1368" s="232"/>
      <c r="AI1368" s="232"/>
      <c r="AJ1368" s="232"/>
      <c r="AK1368" s="232"/>
      <c r="AL1368" s="232"/>
      <c r="AM1368" s="232"/>
      <c r="AN1368" s="232"/>
      <c r="AO1368" s="231"/>
      <c r="AP1368" s="231"/>
      <c r="AQ1368" s="227"/>
      <c r="AR1368" s="231"/>
      <c r="AS1368" s="227"/>
      <c r="AT1368" s="227"/>
      <c r="AU1368" s="227"/>
      <c r="AV1368" s="227"/>
    </row>
    <row r="1369">
      <c r="A1369" s="227"/>
      <c r="B1369" s="232"/>
      <c r="C1369" s="227"/>
      <c r="D1369" s="227"/>
      <c r="E1369" s="231"/>
      <c r="F1369" s="232"/>
      <c r="G1369" s="227"/>
      <c r="H1369" s="227"/>
      <c r="I1369" s="227"/>
      <c r="J1369" s="227"/>
      <c r="K1369" s="227"/>
      <c r="L1369" s="232"/>
      <c r="M1369" s="232"/>
      <c r="N1369" s="227"/>
      <c r="O1369" s="227"/>
      <c r="P1369" s="231"/>
      <c r="Q1369" s="227"/>
      <c r="R1369" s="231"/>
      <c r="S1369" s="231"/>
      <c r="T1369" s="231"/>
      <c r="U1369" s="231"/>
      <c r="V1369" s="231"/>
      <c r="W1369" s="231"/>
      <c r="X1369" s="227"/>
      <c r="Y1369" s="232"/>
      <c r="Z1369" s="232"/>
      <c r="AA1369" s="232"/>
      <c r="AB1369" s="232"/>
      <c r="AC1369" s="227"/>
      <c r="AD1369" s="227"/>
      <c r="AE1369" s="231"/>
      <c r="AF1369" s="227"/>
      <c r="AG1369" s="232"/>
      <c r="AH1369" s="232"/>
      <c r="AI1369" s="232"/>
      <c r="AJ1369" s="232"/>
      <c r="AK1369" s="232"/>
      <c r="AL1369" s="232"/>
      <c r="AM1369" s="232"/>
      <c r="AN1369" s="232"/>
      <c r="AO1369" s="231"/>
      <c r="AP1369" s="231"/>
      <c r="AQ1369" s="227"/>
      <c r="AR1369" s="231"/>
      <c r="AS1369" s="227"/>
      <c r="AT1369" s="227"/>
      <c r="AU1369" s="227"/>
      <c r="AV1369" s="227"/>
    </row>
    <row r="1370">
      <c r="A1370" s="227"/>
      <c r="B1370" s="232"/>
      <c r="C1370" s="227"/>
      <c r="D1370" s="227"/>
      <c r="E1370" s="231"/>
      <c r="F1370" s="232"/>
      <c r="G1370" s="227"/>
      <c r="H1370" s="227"/>
      <c r="I1370" s="227"/>
      <c r="J1370" s="227"/>
      <c r="K1370" s="227"/>
      <c r="L1370" s="232"/>
      <c r="M1370" s="232"/>
      <c r="N1370" s="227"/>
      <c r="O1370" s="227"/>
      <c r="P1370" s="231"/>
      <c r="Q1370" s="227"/>
      <c r="R1370" s="231"/>
      <c r="S1370" s="231"/>
      <c r="T1370" s="231"/>
      <c r="U1370" s="231"/>
      <c r="V1370" s="231"/>
      <c r="W1370" s="231"/>
      <c r="X1370" s="227"/>
      <c r="Y1370" s="232"/>
      <c r="Z1370" s="232"/>
      <c r="AA1370" s="232"/>
      <c r="AB1370" s="232"/>
      <c r="AC1370" s="227"/>
      <c r="AD1370" s="227"/>
      <c r="AE1370" s="231"/>
      <c r="AF1370" s="227"/>
      <c r="AG1370" s="232"/>
      <c r="AH1370" s="232"/>
      <c r="AI1370" s="232"/>
      <c r="AJ1370" s="232"/>
      <c r="AK1370" s="232"/>
      <c r="AL1370" s="232"/>
      <c r="AM1370" s="232"/>
      <c r="AN1370" s="232"/>
      <c r="AO1370" s="231"/>
      <c r="AP1370" s="231"/>
      <c r="AQ1370" s="227"/>
      <c r="AR1370" s="231"/>
      <c r="AS1370" s="227"/>
      <c r="AT1370" s="227"/>
      <c r="AU1370" s="227"/>
      <c r="AV1370" s="227"/>
    </row>
    <row r="1371">
      <c r="A1371" s="227"/>
      <c r="B1371" s="232"/>
      <c r="C1371" s="227"/>
      <c r="D1371" s="227"/>
      <c r="E1371" s="231"/>
      <c r="F1371" s="232"/>
      <c r="G1371" s="227"/>
      <c r="H1371" s="227"/>
      <c r="I1371" s="227"/>
      <c r="J1371" s="227"/>
      <c r="K1371" s="227"/>
      <c r="L1371" s="232"/>
      <c r="M1371" s="232"/>
      <c r="N1371" s="227"/>
      <c r="O1371" s="227"/>
      <c r="P1371" s="231"/>
      <c r="Q1371" s="227"/>
      <c r="R1371" s="231"/>
      <c r="S1371" s="231"/>
      <c r="T1371" s="231"/>
      <c r="U1371" s="231"/>
      <c r="V1371" s="231"/>
      <c r="W1371" s="231"/>
      <c r="X1371" s="227"/>
      <c r="Y1371" s="232"/>
      <c r="Z1371" s="232"/>
      <c r="AA1371" s="232"/>
      <c r="AB1371" s="232"/>
      <c r="AC1371" s="227"/>
      <c r="AD1371" s="227"/>
      <c r="AE1371" s="231"/>
      <c r="AF1371" s="227"/>
      <c r="AG1371" s="232"/>
      <c r="AH1371" s="232"/>
      <c r="AI1371" s="232"/>
      <c r="AJ1371" s="232"/>
      <c r="AK1371" s="232"/>
      <c r="AL1371" s="232"/>
      <c r="AM1371" s="232"/>
      <c r="AN1371" s="232"/>
      <c r="AO1371" s="231"/>
      <c r="AP1371" s="231"/>
      <c r="AQ1371" s="227"/>
      <c r="AR1371" s="231"/>
      <c r="AS1371" s="227"/>
      <c r="AT1371" s="227"/>
      <c r="AU1371" s="227"/>
      <c r="AV1371" s="227"/>
    </row>
    <row r="1372">
      <c r="A1372" s="227"/>
      <c r="B1372" s="232"/>
      <c r="C1372" s="227"/>
      <c r="D1372" s="227"/>
      <c r="E1372" s="231"/>
      <c r="F1372" s="232"/>
      <c r="G1372" s="227"/>
      <c r="H1372" s="227"/>
      <c r="I1372" s="227"/>
      <c r="J1372" s="227"/>
      <c r="K1372" s="227"/>
      <c r="L1372" s="232"/>
      <c r="M1372" s="232"/>
      <c r="N1372" s="227"/>
      <c r="O1372" s="227"/>
      <c r="P1372" s="231"/>
      <c r="Q1372" s="227"/>
      <c r="R1372" s="231"/>
      <c r="S1372" s="231"/>
      <c r="T1372" s="231"/>
      <c r="U1372" s="231"/>
      <c r="V1372" s="231"/>
      <c r="W1372" s="231"/>
      <c r="X1372" s="227"/>
      <c r="Y1372" s="232"/>
      <c r="Z1372" s="232"/>
      <c r="AA1372" s="232"/>
      <c r="AB1372" s="232"/>
      <c r="AC1372" s="227"/>
      <c r="AD1372" s="227"/>
      <c r="AE1372" s="231"/>
      <c r="AF1372" s="227"/>
      <c r="AG1372" s="232"/>
      <c r="AH1372" s="232"/>
      <c r="AI1372" s="232"/>
      <c r="AJ1372" s="232"/>
      <c r="AK1372" s="232"/>
      <c r="AL1372" s="232"/>
      <c r="AM1372" s="232"/>
      <c r="AN1372" s="232"/>
      <c r="AO1372" s="231"/>
      <c r="AP1372" s="231"/>
      <c r="AQ1372" s="227"/>
      <c r="AR1372" s="231"/>
      <c r="AS1372" s="227"/>
      <c r="AT1372" s="227"/>
      <c r="AU1372" s="227"/>
      <c r="AV1372" s="227"/>
    </row>
    <row r="1373">
      <c r="A1373" s="227"/>
      <c r="B1373" s="232"/>
      <c r="C1373" s="227"/>
      <c r="D1373" s="227"/>
      <c r="E1373" s="231"/>
      <c r="F1373" s="232"/>
      <c r="G1373" s="227"/>
      <c r="H1373" s="227"/>
      <c r="I1373" s="227"/>
      <c r="J1373" s="227"/>
      <c r="K1373" s="227"/>
      <c r="L1373" s="232"/>
      <c r="M1373" s="232"/>
      <c r="N1373" s="227"/>
      <c r="O1373" s="227"/>
      <c r="P1373" s="231"/>
      <c r="Q1373" s="227"/>
      <c r="R1373" s="231"/>
      <c r="S1373" s="231"/>
      <c r="T1373" s="231"/>
      <c r="U1373" s="231"/>
      <c r="V1373" s="231"/>
      <c r="W1373" s="231"/>
      <c r="X1373" s="227"/>
      <c r="Y1373" s="232"/>
      <c r="Z1373" s="232"/>
      <c r="AA1373" s="232"/>
      <c r="AB1373" s="232"/>
      <c r="AC1373" s="227"/>
      <c r="AD1373" s="227"/>
      <c r="AE1373" s="231"/>
      <c r="AF1373" s="227"/>
      <c r="AG1373" s="232"/>
      <c r="AH1373" s="232"/>
      <c r="AI1373" s="232"/>
      <c r="AJ1373" s="232"/>
      <c r="AK1373" s="232"/>
      <c r="AL1373" s="232"/>
      <c r="AM1373" s="232"/>
      <c r="AN1373" s="232"/>
      <c r="AO1373" s="231"/>
      <c r="AP1373" s="231"/>
      <c r="AQ1373" s="227"/>
      <c r="AR1373" s="231"/>
      <c r="AS1373" s="227"/>
      <c r="AT1373" s="227"/>
      <c r="AU1373" s="227"/>
      <c r="AV1373" s="227"/>
    </row>
    <row r="1374">
      <c r="A1374" s="227"/>
      <c r="B1374" s="232"/>
      <c r="C1374" s="227"/>
      <c r="D1374" s="227"/>
      <c r="E1374" s="231"/>
      <c r="F1374" s="232"/>
      <c r="G1374" s="227"/>
      <c r="H1374" s="227"/>
      <c r="I1374" s="227"/>
      <c r="J1374" s="227"/>
      <c r="K1374" s="227"/>
      <c r="L1374" s="232"/>
      <c r="M1374" s="232"/>
      <c r="N1374" s="227"/>
      <c r="O1374" s="227"/>
      <c r="P1374" s="231"/>
      <c r="Q1374" s="227"/>
      <c r="R1374" s="231"/>
      <c r="S1374" s="231"/>
      <c r="T1374" s="231"/>
      <c r="U1374" s="231"/>
      <c r="V1374" s="231"/>
      <c r="W1374" s="231"/>
      <c r="X1374" s="227"/>
      <c r="Y1374" s="232"/>
      <c r="Z1374" s="232"/>
      <c r="AA1374" s="232"/>
      <c r="AB1374" s="232"/>
      <c r="AC1374" s="227"/>
      <c r="AD1374" s="227"/>
      <c r="AE1374" s="231"/>
      <c r="AF1374" s="227"/>
      <c r="AG1374" s="232"/>
      <c r="AH1374" s="232"/>
      <c r="AI1374" s="232"/>
      <c r="AJ1374" s="232"/>
      <c r="AK1374" s="232"/>
      <c r="AL1374" s="232"/>
      <c r="AM1374" s="232"/>
      <c r="AN1374" s="232"/>
      <c r="AO1374" s="231"/>
      <c r="AP1374" s="231"/>
      <c r="AQ1374" s="227"/>
      <c r="AR1374" s="231"/>
      <c r="AS1374" s="227"/>
      <c r="AT1374" s="227"/>
      <c r="AU1374" s="227"/>
      <c r="AV1374" s="227"/>
    </row>
    <row r="1375">
      <c r="A1375" s="227"/>
      <c r="B1375" s="232"/>
      <c r="C1375" s="227"/>
      <c r="D1375" s="227"/>
      <c r="E1375" s="231"/>
      <c r="F1375" s="232"/>
      <c r="G1375" s="227"/>
      <c r="H1375" s="227"/>
      <c r="I1375" s="227"/>
      <c r="J1375" s="227"/>
      <c r="K1375" s="227"/>
      <c r="L1375" s="232"/>
      <c r="M1375" s="232"/>
      <c r="N1375" s="227"/>
      <c r="O1375" s="227"/>
      <c r="P1375" s="231"/>
      <c r="Q1375" s="227"/>
      <c r="R1375" s="231"/>
      <c r="S1375" s="231"/>
      <c r="T1375" s="231"/>
      <c r="U1375" s="231"/>
      <c r="V1375" s="231"/>
      <c r="W1375" s="231"/>
      <c r="X1375" s="227"/>
      <c r="Y1375" s="232"/>
      <c r="Z1375" s="232"/>
      <c r="AA1375" s="232"/>
      <c r="AB1375" s="232"/>
      <c r="AC1375" s="227"/>
      <c r="AD1375" s="227"/>
      <c r="AE1375" s="231"/>
      <c r="AF1375" s="227"/>
      <c r="AG1375" s="232"/>
      <c r="AH1375" s="232"/>
      <c r="AI1375" s="232"/>
      <c r="AJ1375" s="232"/>
      <c r="AK1375" s="232"/>
      <c r="AL1375" s="232"/>
      <c r="AM1375" s="232"/>
      <c r="AN1375" s="232"/>
      <c r="AO1375" s="231"/>
      <c r="AP1375" s="231"/>
      <c r="AQ1375" s="227"/>
      <c r="AR1375" s="231"/>
      <c r="AS1375" s="227"/>
      <c r="AT1375" s="227"/>
      <c r="AU1375" s="227"/>
      <c r="AV1375" s="227"/>
    </row>
    <row r="1376">
      <c r="A1376" s="227"/>
      <c r="B1376" s="232"/>
      <c r="C1376" s="227"/>
      <c r="D1376" s="227"/>
      <c r="E1376" s="231"/>
      <c r="F1376" s="232"/>
      <c r="G1376" s="227"/>
      <c r="H1376" s="227"/>
      <c r="I1376" s="227"/>
      <c r="J1376" s="227"/>
      <c r="K1376" s="227"/>
      <c r="L1376" s="232"/>
      <c r="M1376" s="232"/>
      <c r="N1376" s="227"/>
      <c r="O1376" s="227"/>
      <c r="P1376" s="231"/>
      <c r="Q1376" s="227"/>
      <c r="R1376" s="231"/>
      <c r="S1376" s="231"/>
      <c r="T1376" s="231"/>
      <c r="U1376" s="231"/>
      <c r="V1376" s="231"/>
      <c r="W1376" s="231"/>
      <c r="X1376" s="227"/>
      <c r="Y1376" s="232"/>
      <c r="Z1376" s="232"/>
      <c r="AA1376" s="232"/>
      <c r="AB1376" s="232"/>
      <c r="AC1376" s="227"/>
      <c r="AD1376" s="227"/>
      <c r="AE1376" s="231"/>
      <c r="AF1376" s="227"/>
      <c r="AG1376" s="232"/>
      <c r="AH1376" s="232"/>
      <c r="AI1376" s="232"/>
      <c r="AJ1376" s="232"/>
      <c r="AK1376" s="232"/>
      <c r="AL1376" s="232"/>
      <c r="AM1376" s="232"/>
      <c r="AN1376" s="232"/>
      <c r="AO1376" s="231"/>
      <c r="AP1376" s="231"/>
      <c r="AQ1376" s="227"/>
      <c r="AR1376" s="231"/>
      <c r="AS1376" s="227"/>
      <c r="AT1376" s="227"/>
      <c r="AU1376" s="227"/>
      <c r="AV1376" s="227"/>
    </row>
    <row r="1377">
      <c r="A1377" s="227"/>
      <c r="B1377" s="232"/>
      <c r="C1377" s="227"/>
      <c r="D1377" s="227"/>
      <c r="E1377" s="231"/>
      <c r="F1377" s="232"/>
      <c r="G1377" s="227"/>
      <c r="H1377" s="227"/>
      <c r="I1377" s="227"/>
      <c r="J1377" s="227"/>
      <c r="K1377" s="227"/>
      <c r="L1377" s="232"/>
      <c r="M1377" s="232"/>
      <c r="N1377" s="227"/>
      <c r="O1377" s="227"/>
      <c r="P1377" s="231"/>
      <c r="Q1377" s="227"/>
      <c r="R1377" s="231"/>
      <c r="S1377" s="231"/>
      <c r="T1377" s="231"/>
      <c r="U1377" s="231"/>
      <c r="V1377" s="231"/>
      <c r="W1377" s="231"/>
      <c r="X1377" s="227"/>
      <c r="Y1377" s="232"/>
      <c r="Z1377" s="232"/>
      <c r="AA1377" s="232"/>
      <c r="AB1377" s="232"/>
      <c r="AC1377" s="227"/>
      <c r="AD1377" s="227"/>
      <c r="AE1377" s="231"/>
      <c r="AF1377" s="227"/>
      <c r="AG1377" s="232"/>
      <c r="AH1377" s="232"/>
      <c r="AI1377" s="232"/>
      <c r="AJ1377" s="232"/>
      <c r="AK1377" s="232"/>
      <c r="AL1377" s="232"/>
      <c r="AM1377" s="232"/>
      <c r="AN1377" s="232"/>
      <c r="AO1377" s="231"/>
      <c r="AP1377" s="231"/>
      <c r="AQ1377" s="227"/>
      <c r="AR1377" s="231"/>
      <c r="AS1377" s="227"/>
      <c r="AT1377" s="227"/>
      <c r="AU1377" s="227"/>
      <c r="AV1377" s="227"/>
    </row>
    <row r="1378">
      <c r="A1378" s="227"/>
      <c r="B1378" s="232"/>
      <c r="C1378" s="227"/>
      <c r="D1378" s="227"/>
      <c r="E1378" s="231"/>
      <c r="F1378" s="232"/>
      <c r="G1378" s="227"/>
      <c r="H1378" s="227"/>
      <c r="I1378" s="227"/>
      <c r="J1378" s="227"/>
      <c r="K1378" s="227"/>
      <c r="L1378" s="232"/>
      <c r="M1378" s="232"/>
      <c r="N1378" s="227"/>
      <c r="O1378" s="227"/>
      <c r="P1378" s="231"/>
      <c r="Q1378" s="227"/>
      <c r="R1378" s="231"/>
      <c r="S1378" s="231"/>
      <c r="T1378" s="231"/>
      <c r="U1378" s="231"/>
      <c r="V1378" s="231"/>
      <c r="W1378" s="231"/>
      <c r="X1378" s="227"/>
      <c r="Y1378" s="232"/>
      <c r="Z1378" s="232"/>
      <c r="AA1378" s="232"/>
      <c r="AB1378" s="232"/>
      <c r="AC1378" s="227"/>
      <c r="AD1378" s="227"/>
      <c r="AE1378" s="231"/>
      <c r="AF1378" s="227"/>
      <c r="AG1378" s="232"/>
      <c r="AH1378" s="232"/>
      <c r="AI1378" s="232"/>
      <c r="AJ1378" s="232"/>
      <c r="AK1378" s="232"/>
      <c r="AL1378" s="232"/>
      <c r="AM1378" s="232"/>
      <c r="AN1378" s="232"/>
      <c r="AO1378" s="231"/>
      <c r="AP1378" s="231"/>
      <c r="AQ1378" s="227"/>
      <c r="AR1378" s="231"/>
      <c r="AS1378" s="227"/>
      <c r="AT1378" s="227"/>
      <c r="AU1378" s="227"/>
      <c r="AV1378" s="227"/>
    </row>
    <row r="1379">
      <c r="A1379" s="227"/>
      <c r="B1379" s="232"/>
      <c r="C1379" s="227"/>
      <c r="D1379" s="227"/>
      <c r="E1379" s="231"/>
      <c r="F1379" s="232"/>
      <c r="G1379" s="227"/>
      <c r="H1379" s="227"/>
      <c r="I1379" s="227"/>
      <c r="J1379" s="227"/>
      <c r="K1379" s="227"/>
      <c r="L1379" s="232"/>
      <c r="M1379" s="232"/>
      <c r="N1379" s="227"/>
      <c r="O1379" s="227"/>
      <c r="P1379" s="231"/>
      <c r="Q1379" s="227"/>
      <c r="R1379" s="231"/>
      <c r="S1379" s="231"/>
      <c r="T1379" s="231"/>
      <c r="U1379" s="231"/>
      <c r="V1379" s="231"/>
      <c r="W1379" s="231"/>
      <c r="X1379" s="227"/>
      <c r="Y1379" s="232"/>
      <c r="Z1379" s="232"/>
      <c r="AA1379" s="232"/>
      <c r="AB1379" s="232"/>
      <c r="AC1379" s="227"/>
      <c r="AD1379" s="227"/>
      <c r="AE1379" s="231"/>
      <c r="AF1379" s="227"/>
      <c r="AG1379" s="232"/>
      <c r="AH1379" s="232"/>
      <c r="AI1379" s="232"/>
      <c r="AJ1379" s="232"/>
      <c r="AK1379" s="232"/>
      <c r="AL1379" s="232"/>
      <c r="AM1379" s="232"/>
      <c r="AN1379" s="232"/>
      <c r="AO1379" s="231"/>
      <c r="AP1379" s="231"/>
      <c r="AQ1379" s="227"/>
      <c r="AR1379" s="231"/>
      <c r="AS1379" s="227"/>
      <c r="AT1379" s="227"/>
      <c r="AU1379" s="227"/>
      <c r="AV1379" s="227"/>
    </row>
    <row r="1380">
      <c r="A1380" s="227"/>
      <c r="B1380" s="232"/>
      <c r="C1380" s="227"/>
      <c r="D1380" s="227"/>
      <c r="E1380" s="231"/>
      <c r="F1380" s="232"/>
      <c r="G1380" s="227"/>
      <c r="H1380" s="227"/>
      <c r="I1380" s="227"/>
      <c r="J1380" s="227"/>
      <c r="K1380" s="227"/>
      <c r="L1380" s="232"/>
      <c r="M1380" s="232"/>
      <c r="N1380" s="227"/>
      <c r="O1380" s="227"/>
      <c r="P1380" s="231"/>
      <c r="Q1380" s="227"/>
      <c r="R1380" s="231"/>
      <c r="S1380" s="231"/>
      <c r="T1380" s="231"/>
      <c r="U1380" s="231"/>
      <c r="V1380" s="231"/>
      <c r="W1380" s="231"/>
      <c r="X1380" s="227"/>
      <c r="Y1380" s="232"/>
      <c r="Z1380" s="232"/>
      <c r="AA1380" s="232"/>
      <c r="AB1380" s="232"/>
      <c r="AC1380" s="227"/>
      <c r="AD1380" s="227"/>
      <c r="AE1380" s="231"/>
      <c r="AF1380" s="227"/>
      <c r="AG1380" s="232"/>
      <c r="AH1380" s="232"/>
      <c r="AI1380" s="232"/>
      <c r="AJ1380" s="232"/>
      <c r="AK1380" s="232"/>
      <c r="AL1380" s="232"/>
      <c r="AM1380" s="232"/>
      <c r="AN1380" s="232"/>
      <c r="AO1380" s="231"/>
      <c r="AP1380" s="231"/>
      <c r="AQ1380" s="227"/>
      <c r="AR1380" s="231"/>
      <c r="AS1380" s="227"/>
      <c r="AT1380" s="227"/>
      <c r="AU1380" s="227"/>
      <c r="AV1380" s="227"/>
    </row>
    <row r="1381">
      <c r="A1381" s="227"/>
      <c r="B1381" s="232"/>
      <c r="C1381" s="227"/>
      <c r="D1381" s="227"/>
      <c r="E1381" s="231"/>
      <c r="F1381" s="232"/>
      <c r="G1381" s="227"/>
      <c r="H1381" s="227"/>
      <c r="I1381" s="227"/>
      <c r="J1381" s="227"/>
      <c r="K1381" s="227"/>
      <c r="L1381" s="232"/>
      <c r="M1381" s="232"/>
      <c r="N1381" s="227"/>
      <c r="O1381" s="227"/>
      <c r="P1381" s="231"/>
      <c r="Q1381" s="227"/>
      <c r="R1381" s="231"/>
      <c r="S1381" s="231"/>
      <c r="T1381" s="231"/>
      <c r="U1381" s="231"/>
      <c r="V1381" s="231"/>
      <c r="W1381" s="231"/>
      <c r="X1381" s="227"/>
      <c r="Y1381" s="232"/>
      <c r="Z1381" s="232"/>
      <c r="AA1381" s="232"/>
      <c r="AB1381" s="232"/>
      <c r="AC1381" s="227"/>
      <c r="AD1381" s="227"/>
      <c r="AE1381" s="231"/>
      <c r="AF1381" s="227"/>
      <c r="AG1381" s="232"/>
      <c r="AH1381" s="232"/>
      <c r="AI1381" s="232"/>
      <c r="AJ1381" s="232"/>
      <c r="AK1381" s="232"/>
      <c r="AL1381" s="232"/>
      <c r="AM1381" s="232"/>
      <c r="AN1381" s="232"/>
      <c r="AO1381" s="231"/>
      <c r="AP1381" s="231"/>
      <c r="AQ1381" s="227"/>
      <c r="AR1381" s="231"/>
      <c r="AS1381" s="227"/>
      <c r="AT1381" s="227"/>
      <c r="AU1381" s="227"/>
      <c r="AV1381" s="227"/>
    </row>
    <row r="1382">
      <c r="A1382" s="227"/>
      <c r="B1382" s="232"/>
      <c r="C1382" s="227"/>
      <c r="D1382" s="227"/>
      <c r="E1382" s="231"/>
      <c r="F1382" s="232"/>
      <c r="G1382" s="227"/>
      <c r="H1382" s="227"/>
      <c r="I1382" s="227"/>
      <c r="J1382" s="227"/>
      <c r="K1382" s="227"/>
      <c r="L1382" s="232"/>
      <c r="M1382" s="232"/>
      <c r="N1382" s="227"/>
      <c r="O1382" s="227"/>
      <c r="P1382" s="231"/>
      <c r="Q1382" s="227"/>
      <c r="R1382" s="231"/>
      <c r="S1382" s="231"/>
      <c r="T1382" s="231"/>
      <c r="U1382" s="231"/>
      <c r="V1382" s="231"/>
      <c r="W1382" s="231"/>
      <c r="X1382" s="227"/>
      <c r="Y1382" s="232"/>
      <c r="Z1382" s="232"/>
      <c r="AA1382" s="232"/>
      <c r="AB1382" s="232"/>
      <c r="AC1382" s="227"/>
      <c r="AD1382" s="227"/>
      <c r="AE1382" s="231"/>
      <c r="AF1382" s="227"/>
      <c r="AG1382" s="232"/>
      <c r="AH1382" s="232"/>
      <c r="AI1382" s="232"/>
      <c r="AJ1382" s="232"/>
      <c r="AK1382" s="232"/>
      <c r="AL1382" s="232"/>
      <c r="AM1382" s="232"/>
      <c r="AN1382" s="232"/>
      <c r="AO1382" s="231"/>
      <c r="AP1382" s="231"/>
      <c r="AQ1382" s="227"/>
      <c r="AR1382" s="231"/>
      <c r="AS1382" s="227"/>
      <c r="AT1382" s="227"/>
      <c r="AU1382" s="227"/>
      <c r="AV1382" s="227"/>
    </row>
    <row r="1383">
      <c r="A1383" s="227"/>
      <c r="B1383" s="232"/>
      <c r="C1383" s="227"/>
      <c r="D1383" s="227"/>
      <c r="E1383" s="231"/>
      <c r="F1383" s="232"/>
      <c r="G1383" s="227"/>
      <c r="H1383" s="227"/>
      <c r="I1383" s="227"/>
      <c r="J1383" s="227"/>
      <c r="K1383" s="227"/>
      <c r="L1383" s="232"/>
      <c r="M1383" s="232"/>
      <c r="N1383" s="227"/>
      <c r="O1383" s="227"/>
      <c r="P1383" s="231"/>
      <c r="Q1383" s="227"/>
      <c r="R1383" s="231"/>
      <c r="S1383" s="231"/>
      <c r="T1383" s="231"/>
      <c r="U1383" s="231"/>
      <c r="V1383" s="231"/>
      <c r="W1383" s="231"/>
      <c r="X1383" s="227"/>
      <c r="Y1383" s="232"/>
      <c r="Z1383" s="232"/>
      <c r="AA1383" s="232"/>
      <c r="AB1383" s="232"/>
      <c r="AC1383" s="227"/>
      <c r="AD1383" s="227"/>
      <c r="AE1383" s="231"/>
      <c r="AF1383" s="227"/>
      <c r="AG1383" s="232"/>
      <c r="AH1383" s="232"/>
      <c r="AI1383" s="232"/>
      <c r="AJ1383" s="232"/>
      <c r="AK1383" s="232"/>
      <c r="AL1383" s="232"/>
      <c r="AM1383" s="232"/>
      <c r="AN1383" s="232"/>
      <c r="AO1383" s="231"/>
      <c r="AP1383" s="231"/>
      <c r="AQ1383" s="227"/>
      <c r="AR1383" s="231"/>
      <c r="AS1383" s="227"/>
      <c r="AT1383" s="227"/>
      <c r="AU1383" s="227"/>
      <c r="AV1383" s="227"/>
    </row>
    <row r="1384">
      <c r="A1384" s="227"/>
      <c r="B1384" s="232"/>
      <c r="C1384" s="227"/>
      <c r="D1384" s="227"/>
      <c r="E1384" s="231"/>
      <c r="F1384" s="232"/>
      <c r="G1384" s="227"/>
      <c r="H1384" s="227"/>
      <c r="I1384" s="227"/>
      <c r="J1384" s="227"/>
      <c r="K1384" s="227"/>
      <c r="L1384" s="232"/>
      <c r="M1384" s="232"/>
      <c r="N1384" s="227"/>
      <c r="O1384" s="227"/>
      <c r="P1384" s="231"/>
      <c r="Q1384" s="227"/>
      <c r="R1384" s="231"/>
      <c r="S1384" s="231"/>
      <c r="T1384" s="231"/>
      <c r="U1384" s="231"/>
      <c r="V1384" s="231"/>
      <c r="W1384" s="231"/>
      <c r="X1384" s="227"/>
      <c r="Y1384" s="232"/>
      <c r="Z1384" s="232"/>
      <c r="AA1384" s="232"/>
      <c r="AB1384" s="232"/>
      <c r="AC1384" s="227"/>
      <c r="AD1384" s="227"/>
      <c r="AE1384" s="231"/>
      <c r="AF1384" s="227"/>
      <c r="AG1384" s="232"/>
      <c r="AH1384" s="232"/>
      <c r="AI1384" s="232"/>
      <c r="AJ1384" s="232"/>
      <c r="AK1384" s="232"/>
      <c r="AL1384" s="232"/>
      <c r="AM1384" s="232"/>
      <c r="AN1384" s="232"/>
      <c r="AO1384" s="231"/>
      <c r="AP1384" s="231"/>
      <c r="AQ1384" s="227"/>
      <c r="AR1384" s="231"/>
      <c r="AS1384" s="227"/>
      <c r="AT1384" s="227"/>
      <c r="AU1384" s="227"/>
      <c r="AV1384" s="227"/>
    </row>
    <row r="1385">
      <c r="A1385" s="227"/>
      <c r="B1385" s="232"/>
      <c r="C1385" s="227"/>
      <c r="D1385" s="227"/>
      <c r="E1385" s="231"/>
      <c r="F1385" s="232"/>
      <c r="G1385" s="227"/>
      <c r="H1385" s="227"/>
      <c r="I1385" s="227"/>
      <c r="J1385" s="227"/>
      <c r="K1385" s="227"/>
      <c r="L1385" s="232"/>
      <c r="M1385" s="232"/>
      <c r="N1385" s="227"/>
      <c r="O1385" s="227"/>
      <c r="P1385" s="231"/>
      <c r="Q1385" s="227"/>
      <c r="R1385" s="231"/>
      <c r="S1385" s="231"/>
      <c r="T1385" s="231"/>
      <c r="U1385" s="231"/>
      <c r="V1385" s="231"/>
      <c r="W1385" s="231"/>
      <c r="X1385" s="227"/>
      <c r="Y1385" s="232"/>
      <c r="Z1385" s="232"/>
      <c r="AA1385" s="232"/>
      <c r="AB1385" s="232"/>
      <c r="AC1385" s="227"/>
      <c r="AD1385" s="227"/>
      <c r="AE1385" s="231"/>
      <c r="AF1385" s="227"/>
      <c r="AG1385" s="232"/>
      <c r="AH1385" s="232"/>
      <c r="AI1385" s="232"/>
      <c r="AJ1385" s="232"/>
      <c r="AK1385" s="232"/>
      <c r="AL1385" s="232"/>
      <c r="AM1385" s="232"/>
      <c r="AN1385" s="232"/>
      <c r="AO1385" s="231"/>
      <c r="AP1385" s="231"/>
      <c r="AQ1385" s="227"/>
      <c r="AR1385" s="231"/>
      <c r="AS1385" s="227"/>
      <c r="AT1385" s="227"/>
      <c r="AU1385" s="227"/>
      <c r="AV1385" s="227"/>
    </row>
    <row r="1386">
      <c r="A1386" s="227"/>
      <c r="B1386" s="232"/>
      <c r="C1386" s="227"/>
      <c r="D1386" s="227"/>
      <c r="E1386" s="231"/>
      <c r="F1386" s="232"/>
      <c r="G1386" s="227"/>
      <c r="H1386" s="227"/>
      <c r="I1386" s="227"/>
      <c r="J1386" s="227"/>
      <c r="K1386" s="227"/>
      <c r="L1386" s="232"/>
      <c r="M1386" s="232"/>
      <c r="N1386" s="227"/>
      <c r="O1386" s="227"/>
      <c r="P1386" s="231"/>
      <c r="Q1386" s="227"/>
      <c r="R1386" s="231"/>
      <c r="S1386" s="231"/>
      <c r="T1386" s="231"/>
      <c r="U1386" s="231"/>
      <c r="V1386" s="231"/>
      <c r="W1386" s="231"/>
      <c r="X1386" s="227"/>
      <c r="Y1386" s="232"/>
      <c r="Z1386" s="232"/>
      <c r="AA1386" s="232"/>
      <c r="AB1386" s="232"/>
      <c r="AC1386" s="227"/>
      <c r="AD1386" s="227"/>
      <c r="AE1386" s="231"/>
      <c r="AF1386" s="227"/>
      <c r="AG1386" s="232"/>
      <c r="AH1386" s="232"/>
      <c r="AI1386" s="232"/>
      <c r="AJ1386" s="232"/>
      <c r="AK1386" s="232"/>
      <c r="AL1386" s="232"/>
      <c r="AM1386" s="232"/>
      <c r="AN1386" s="232"/>
      <c r="AO1386" s="231"/>
      <c r="AP1386" s="231"/>
      <c r="AQ1386" s="227"/>
      <c r="AR1386" s="231"/>
      <c r="AS1386" s="227"/>
      <c r="AT1386" s="227"/>
      <c r="AU1386" s="227"/>
      <c r="AV1386" s="227"/>
    </row>
    <row r="1387">
      <c r="A1387" s="227"/>
      <c r="B1387" s="232"/>
      <c r="C1387" s="227"/>
      <c r="D1387" s="227"/>
      <c r="E1387" s="231"/>
      <c r="F1387" s="232"/>
      <c r="G1387" s="227"/>
      <c r="H1387" s="227"/>
      <c r="I1387" s="227"/>
      <c r="J1387" s="227"/>
      <c r="K1387" s="227"/>
      <c r="L1387" s="232"/>
      <c r="M1387" s="232"/>
      <c r="N1387" s="227"/>
      <c r="O1387" s="227"/>
      <c r="P1387" s="231"/>
      <c r="Q1387" s="227"/>
      <c r="R1387" s="231"/>
      <c r="S1387" s="231"/>
      <c r="T1387" s="231"/>
      <c r="U1387" s="231"/>
      <c r="V1387" s="231"/>
      <c r="W1387" s="231"/>
      <c r="X1387" s="227"/>
      <c r="Y1387" s="232"/>
      <c r="Z1387" s="232"/>
      <c r="AA1387" s="232"/>
      <c r="AB1387" s="232"/>
      <c r="AC1387" s="227"/>
      <c r="AD1387" s="227"/>
      <c r="AE1387" s="231"/>
      <c r="AF1387" s="227"/>
      <c r="AG1387" s="232"/>
      <c r="AH1387" s="232"/>
      <c r="AI1387" s="232"/>
      <c r="AJ1387" s="232"/>
      <c r="AK1387" s="232"/>
      <c r="AL1387" s="232"/>
      <c r="AM1387" s="232"/>
      <c r="AN1387" s="232"/>
      <c r="AO1387" s="231"/>
      <c r="AP1387" s="231"/>
      <c r="AQ1387" s="227"/>
      <c r="AR1387" s="231"/>
      <c r="AS1387" s="227"/>
      <c r="AT1387" s="227"/>
      <c r="AU1387" s="227"/>
      <c r="AV1387" s="227"/>
    </row>
    <row r="1388">
      <c r="A1388" s="227"/>
      <c r="B1388" s="232"/>
      <c r="C1388" s="227"/>
      <c r="D1388" s="227"/>
      <c r="E1388" s="231"/>
      <c r="F1388" s="232"/>
      <c r="G1388" s="227"/>
      <c r="H1388" s="227"/>
      <c r="I1388" s="227"/>
      <c r="J1388" s="227"/>
      <c r="K1388" s="227"/>
      <c r="L1388" s="232"/>
      <c r="M1388" s="232"/>
      <c r="N1388" s="227"/>
      <c r="O1388" s="227"/>
      <c r="P1388" s="231"/>
      <c r="Q1388" s="227"/>
      <c r="R1388" s="231"/>
      <c r="S1388" s="231"/>
      <c r="T1388" s="231"/>
      <c r="U1388" s="231"/>
      <c r="V1388" s="231"/>
      <c r="W1388" s="231"/>
      <c r="X1388" s="227"/>
      <c r="Y1388" s="232"/>
      <c r="Z1388" s="232"/>
      <c r="AA1388" s="232"/>
      <c r="AB1388" s="232"/>
      <c r="AC1388" s="227"/>
      <c r="AD1388" s="227"/>
      <c r="AE1388" s="231"/>
      <c r="AF1388" s="227"/>
      <c r="AG1388" s="232"/>
      <c r="AH1388" s="232"/>
      <c r="AI1388" s="232"/>
      <c r="AJ1388" s="232"/>
      <c r="AK1388" s="232"/>
      <c r="AL1388" s="232"/>
      <c r="AM1388" s="232"/>
      <c r="AN1388" s="232"/>
      <c r="AO1388" s="231"/>
      <c r="AP1388" s="231"/>
      <c r="AQ1388" s="227"/>
      <c r="AR1388" s="231"/>
      <c r="AS1388" s="227"/>
      <c r="AT1388" s="227"/>
      <c r="AU1388" s="227"/>
      <c r="AV1388" s="227"/>
    </row>
    <row r="1389">
      <c r="A1389" s="227"/>
      <c r="B1389" s="232"/>
      <c r="C1389" s="227"/>
      <c r="D1389" s="227"/>
      <c r="E1389" s="231"/>
      <c r="F1389" s="232"/>
      <c r="G1389" s="227"/>
      <c r="H1389" s="227"/>
      <c r="I1389" s="227"/>
      <c r="J1389" s="227"/>
      <c r="K1389" s="227"/>
      <c r="L1389" s="232"/>
      <c r="M1389" s="232"/>
      <c r="N1389" s="227"/>
      <c r="O1389" s="227"/>
      <c r="P1389" s="231"/>
      <c r="Q1389" s="227"/>
      <c r="R1389" s="231"/>
      <c r="S1389" s="231"/>
      <c r="T1389" s="231"/>
      <c r="U1389" s="231"/>
      <c r="V1389" s="231"/>
      <c r="W1389" s="231"/>
      <c r="X1389" s="227"/>
      <c r="Y1389" s="232"/>
      <c r="Z1389" s="232"/>
      <c r="AA1389" s="232"/>
      <c r="AB1389" s="232"/>
      <c r="AC1389" s="227"/>
      <c r="AD1389" s="227"/>
      <c r="AE1389" s="231"/>
      <c r="AF1389" s="227"/>
      <c r="AG1389" s="232"/>
      <c r="AH1389" s="232"/>
      <c r="AI1389" s="232"/>
      <c r="AJ1389" s="232"/>
      <c r="AK1389" s="232"/>
      <c r="AL1389" s="232"/>
      <c r="AM1389" s="232"/>
      <c r="AN1389" s="232"/>
      <c r="AO1389" s="231"/>
      <c r="AP1389" s="231"/>
      <c r="AQ1389" s="227"/>
      <c r="AR1389" s="231"/>
      <c r="AS1389" s="227"/>
      <c r="AT1389" s="227"/>
      <c r="AU1389" s="227"/>
      <c r="AV1389" s="227"/>
    </row>
    <row r="1390">
      <c r="A1390" s="227"/>
      <c r="B1390" s="232"/>
      <c r="C1390" s="227"/>
      <c r="D1390" s="227"/>
      <c r="E1390" s="231"/>
      <c r="F1390" s="232"/>
      <c r="G1390" s="227"/>
      <c r="H1390" s="227"/>
      <c r="I1390" s="227"/>
      <c r="J1390" s="227"/>
      <c r="K1390" s="227"/>
      <c r="L1390" s="232"/>
      <c r="M1390" s="232"/>
      <c r="N1390" s="227"/>
      <c r="O1390" s="227"/>
      <c r="P1390" s="231"/>
      <c r="Q1390" s="227"/>
      <c r="R1390" s="231"/>
      <c r="S1390" s="231"/>
      <c r="T1390" s="231"/>
      <c r="U1390" s="231"/>
      <c r="V1390" s="231"/>
      <c r="W1390" s="231"/>
      <c r="X1390" s="227"/>
      <c r="Y1390" s="232"/>
      <c r="Z1390" s="232"/>
      <c r="AA1390" s="232"/>
      <c r="AB1390" s="232"/>
      <c r="AC1390" s="227"/>
      <c r="AD1390" s="227"/>
      <c r="AE1390" s="231"/>
      <c r="AF1390" s="227"/>
      <c r="AG1390" s="232"/>
      <c r="AH1390" s="232"/>
      <c r="AI1390" s="232"/>
      <c r="AJ1390" s="232"/>
      <c r="AK1390" s="232"/>
      <c r="AL1390" s="232"/>
      <c r="AM1390" s="232"/>
      <c r="AN1390" s="232"/>
      <c r="AO1390" s="231"/>
      <c r="AP1390" s="231"/>
      <c r="AQ1390" s="227"/>
      <c r="AR1390" s="231"/>
      <c r="AS1390" s="227"/>
      <c r="AT1390" s="227"/>
      <c r="AU1390" s="227"/>
      <c r="AV1390" s="227"/>
    </row>
    <row r="1391">
      <c r="A1391" s="227"/>
      <c r="B1391" s="232"/>
      <c r="C1391" s="227"/>
      <c r="D1391" s="227"/>
      <c r="E1391" s="231"/>
      <c r="F1391" s="232"/>
      <c r="G1391" s="227"/>
      <c r="H1391" s="227"/>
      <c r="I1391" s="227"/>
      <c r="J1391" s="227"/>
      <c r="K1391" s="227"/>
      <c r="L1391" s="232"/>
      <c r="M1391" s="232"/>
      <c r="N1391" s="227"/>
      <c r="O1391" s="227"/>
      <c r="P1391" s="231"/>
      <c r="Q1391" s="227"/>
      <c r="R1391" s="231"/>
      <c r="S1391" s="231"/>
      <c r="T1391" s="231"/>
      <c r="U1391" s="231"/>
      <c r="V1391" s="231"/>
      <c r="W1391" s="231"/>
      <c r="X1391" s="227"/>
      <c r="Y1391" s="232"/>
      <c r="Z1391" s="232"/>
      <c r="AA1391" s="232"/>
      <c r="AB1391" s="232"/>
      <c r="AC1391" s="227"/>
      <c r="AD1391" s="227"/>
      <c r="AE1391" s="231"/>
      <c r="AF1391" s="227"/>
      <c r="AG1391" s="232"/>
      <c r="AH1391" s="232"/>
      <c r="AI1391" s="232"/>
      <c r="AJ1391" s="232"/>
      <c r="AK1391" s="232"/>
      <c r="AL1391" s="232"/>
      <c r="AM1391" s="232"/>
      <c r="AN1391" s="232"/>
      <c r="AO1391" s="231"/>
      <c r="AP1391" s="231"/>
      <c r="AQ1391" s="227"/>
      <c r="AR1391" s="231"/>
      <c r="AS1391" s="227"/>
      <c r="AT1391" s="227"/>
      <c r="AU1391" s="227"/>
      <c r="AV1391" s="227"/>
    </row>
    <row r="1392">
      <c r="A1392" s="227"/>
      <c r="B1392" s="232"/>
      <c r="C1392" s="227"/>
      <c r="D1392" s="227"/>
      <c r="E1392" s="231"/>
      <c r="F1392" s="232"/>
      <c r="G1392" s="227"/>
      <c r="H1392" s="227"/>
      <c r="I1392" s="227"/>
      <c r="J1392" s="227"/>
      <c r="K1392" s="227"/>
      <c r="L1392" s="232"/>
      <c r="M1392" s="232"/>
      <c r="N1392" s="227"/>
      <c r="O1392" s="227"/>
      <c r="P1392" s="231"/>
      <c r="Q1392" s="227"/>
      <c r="R1392" s="231"/>
      <c r="S1392" s="231"/>
      <c r="T1392" s="231"/>
      <c r="U1392" s="231"/>
      <c r="V1392" s="231"/>
      <c r="W1392" s="231"/>
      <c r="X1392" s="227"/>
      <c r="Y1392" s="232"/>
      <c r="Z1392" s="232"/>
      <c r="AA1392" s="232"/>
      <c r="AB1392" s="232"/>
      <c r="AC1392" s="227"/>
      <c r="AD1392" s="227"/>
      <c r="AE1392" s="231"/>
      <c r="AF1392" s="227"/>
      <c r="AG1392" s="232"/>
      <c r="AH1392" s="232"/>
      <c r="AI1392" s="232"/>
      <c r="AJ1392" s="232"/>
      <c r="AK1392" s="232"/>
      <c r="AL1392" s="232"/>
      <c r="AM1392" s="232"/>
      <c r="AN1392" s="232"/>
      <c r="AO1392" s="231"/>
      <c r="AP1392" s="231"/>
      <c r="AQ1392" s="227"/>
      <c r="AR1392" s="231"/>
      <c r="AS1392" s="227"/>
      <c r="AT1392" s="227"/>
      <c r="AU1392" s="227"/>
      <c r="AV1392" s="227"/>
    </row>
    <row r="1393">
      <c r="A1393" s="227"/>
      <c r="B1393" s="232"/>
      <c r="C1393" s="227"/>
      <c r="D1393" s="227"/>
      <c r="E1393" s="231"/>
      <c r="F1393" s="232"/>
      <c r="G1393" s="227"/>
      <c r="H1393" s="227"/>
      <c r="I1393" s="227"/>
      <c r="J1393" s="227"/>
      <c r="K1393" s="227"/>
      <c r="L1393" s="232"/>
      <c r="M1393" s="232"/>
      <c r="N1393" s="227"/>
      <c r="O1393" s="227"/>
      <c r="P1393" s="231"/>
      <c r="Q1393" s="227"/>
      <c r="R1393" s="231"/>
      <c r="S1393" s="231"/>
      <c r="T1393" s="231"/>
      <c r="U1393" s="231"/>
      <c r="V1393" s="231"/>
      <c r="W1393" s="231"/>
      <c r="X1393" s="227"/>
      <c r="Y1393" s="232"/>
      <c r="Z1393" s="232"/>
      <c r="AA1393" s="232"/>
      <c r="AB1393" s="232"/>
      <c r="AC1393" s="227"/>
      <c r="AD1393" s="227"/>
      <c r="AE1393" s="231"/>
      <c r="AF1393" s="227"/>
      <c r="AG1393" s="232"/>
      <c r="AH1393" s="232"/>
      <c r="AI1393" s="232"/>
      <c r="AJ1393" s="232"/>
      <c r="AK1393" s="232"/>
      <c r="AL1393" s="232"/>
      <c r="AM1393" s="232"/>
      <c r="AN1393" s="232"/>
      <c r="AO1393" s="231"/>
      <c r="AP1393" s="231"/>
      <c r="AQ1393" s="227"/>
      <c r="AR1393" s="231"/>
      <c r="AS1393" s="227"/>
      <c r="AT1393" s="227"/>
      <c r="AU1393" s="227"/>
      <c r="AV1393" s="227"/>
    </row>
    <row r="1394">
      <c r="A1394" s="227"/>
      <c r="B1394" s="232"/>
      <c r="C1394" s="227"/>
      <c r="D1394" s="227"/>
      <c r="E1394" s="231"/>
      <c r="F1394" s="232"/>
      <c r="G1394" s="227"/>
      <c r="H1394" s="227"/>
      <c r="I1394" s="227"/>
      <c r="J1394" s="227"/>
      <c r="K1394" s="227"/>
      <c r="L1394" s="232"/>
      <c r="M1394" s="232"/>
      <c r="N1394" s="227"/>
      <c r="O1394" s="227"/>
      <c r="P1394" s="231"/>
      <c r="Q1394" s="227"/>
      <c r="R1394" s="231"/>
      <c r="S1394" s="231"/>
      <c r="T1394" s="231"/>
      <c r="U1394" s="231"/>
      <c r="V1394" s="231"/>
      <c r="W1394" s="231"/>
      <c r="X1394" s="227"/>
      <c r="Y1394" s="232"/>
      <c r="Z1394" s="232"/>
      <c r="AA1394" s="232"/>
      <c r="AB1394" s="232"/>
      <c r="AC1394" s="227"/>
      <c r="AD1394" s="227"/>
      <c r="AE1394" s="231"/>
      <c r="AF1394" s="227"/>
      <c r="AG1394" s="232"/>
      <c r="AH1394" s="232"/>
      <c r="AI1394" s="232"/>
      <c r="AJ1394" s="232"/>
      <c r="AK1394" s="232"/>
      <c r="AL1394" s="232"/>
      <c r="AM1394" s="232"/>
      <c r="AN1394" s="232"/>
      <c r="AO1394" s="231"/>
      <c r="AP1394" s="231"/>
      <c r="AQ1394" s="227"/>
      <c r="AR1394" s="231"/>
      <c r="AS1394" s="227"/>
      <c r="AT1394" s="227"/>
      <c r="AU1394" s="227"/>
      <c r="AV1394" s="227"/>
    </row>
    <row r="1395">
      <c r="A1395" s="227"/>
      <c r="B1395" s="232"/>
      <c r="C1395" s="227"/>
      <c r="D1395" s="227"/>
      <c r="E1395" s="231"/>
      <c r="F1395" s="232"/>
      <c r="G1395" s="227"/>
      <c r="H1395" s="227"/>
      <c r="I1395" s="227"/>
      <c r="J1395" s="227"/>
      <c r="K1395" s="227"/>
      <c r="L1395" s="232"/>
      <c r="M1395" s="232"/>
      <c r="N1395" s="227"/>
      <c r="O1395" s="227"/>
      <c r="P1395" s="231"/>
      <c r="Q1395" s="227"/>
      <c r="R1395" s="231"/>
      <c r="S1395" s="231"/>
      <c r="T1395" s="231"/>
      <c r="U1395" s="231"/>
      <c r="V1395" s="231"/>
      <c r="W1395" s="231"/>
      <c r="X1395" s="227"/>
      <c r="Y1395" s="232"/>
      <c r="Z1395" s="232"/>
      <c r="AA1395" s="232"/>
      <c r="AB1395" s="232"/>
      <c r="AC1395" s="227"/>
      <c r="AD1395" s="227"/>
      <c r="AE1395" s="231"/>
      <c r="AF1395" s="227"/>
      <c r="AG1395" s="232"/>
      <c r="AH1395" s="232"/>
      <c r="AI1395" s="232"/>
      <c r="AJ1395" s="232"/>
      <c r="AK1395" s="232"/>
      <c r="AL1395" s="232"/>
      <c r="AM1395" s="232"/>
      <c r="AN1395" s="232"/>
      <c r="AO1395" s="231"/>
      <c r="AP1395" s="231"/>
      <c r="AQ1395" s="227"/>
      <c r="AR1395" s="231"/>
      <c r="AS1395" s="227"/>
      <c r="AT1395" s="227"/>
      <c r="AU1395" s="227"/>
      <c r="AV1395" s="227"/>
    </row>
    <row r="1396">
      <c r="A1396" s="227"/>
      <c r="B1396" s="232"/>
      <c r="C1396" s="227"/>
      <c r="D1396" s="227"/>
      <c r="E1396" s="231"/>
      <c r="F1396" s="232"/>
      <c r="G1396" s="227"/>
      <c r="H1396" s="227"/>
      <c r="I1396" s="227"/>
      <c r="J1396" s="227"/>
      <c r="K1396" s="227"/>
      <c r="L1396" s="232"/>
      <c r="M1396" s="232"/>
      <c r="N1396" s="227"/>
      <c r="O1396" s="227"/>
      <c r="P1396" s="231"/>
      <c r="Q1396" s="227"/>
      <c r="R1396" s="231"/>
      <c r="S1396" s="231"/>
      <c r="T1396" s="231"/>
      <c r="U1396" s="231"/>
      <c r="V1396" s="231"/>
      <c r="W1396" s="231"/>
      <c r="X1396" s="227"/>
      <c r="Y1396" s="232"/>
      <c r="Z1396" s="232"/>
      <c r="AA1396" s="232"/>
      <c r="AB1396" s="232"/>
      <c r="AC1396" s="227"/>
      <c r="AD1396" s="227"/>
      <c r="AE1396" s="231"/>
      <c r="AF1396" s="227"/>
      <c r="AG1396" s="232"/>
      <c r="AH1396" s="232"/>
      <c r="AI1396" s="232"/>
      <c r="AJ1396" s="232"/>
      <c r="AK1396" s="232"/>
      <c r="AL1396" s="232"/>
      <c r="AM1396" s="232"/>
      <c r="AN1396" s="232"/>
      <c r="AO1396" s="231"/>
      <c r="AP1396" s="231"/>
      <c r="AQ1396" s="227"/>
      <c r="AR1396" s="231"/>
      <c r="AS1396" s="227"/>
      <c r="AT1396" s="227"/>
      <c r="AU1396" s="227"/>
      <c r="AV1396" s="227"/>
    </row>
    <row r="1397">
      <c r="A1397" s="227"/>
      <c r="B1397" s="232"/>
      <c r="C1397" s="227"/>
      <c r="D1397" s="227"/>
      <c r="E1397" s="231"/>
      <c r="F1397" s="232"/>
      <c r="G1397" s="227"/>
      <c r="H1397" s="227"/>
      <c r="I1397" s="227"/>
      <c r="J1397" s="227"/>
      <c r="K1397" s="227"/>
      <c r="L1397" s="232"/>
      <c r="M1397" s="232"/>
      <c r="N1397" s="227"/>
      <c r="O1397" s="227"/>
      <c r="P1397" s="231"/>
      <c r="Q1397" s="227"/>
      <c r="R1397" s="231"/>
      <c r="S1397" s="231"/>
      <c r="T1397" s="231"/>
      <c r="U1397" s="231"/>
      <c r="V1397" s="231"/>
      <c r="W1397" s="231"/>
      <c r="X1397" s="227"/>
      <c r="Y1397" s="232"/>
      <c r="Z1397" s="232"/>
      <c r="AA1397" s="232"/>
      <c r="AB1397" s="232"/>
      <c r="AC1397" s="227"/>
      <c r="AD1397" s="227"/>
      <c r="AE1397" s="231"/>
      <c r="AF1397" s="227"/>
      <c r="AG1397" s="232"/>
      <c r="AH1397" s="232"/>
      <c r="AI1397" s="232"/>
      <c r="AJ1397" s="232"/>
      <c r="AK1397" s="232"/>
      <c r="AL1397" s="232"/>
      <c r="AM1397" s="232"/>
      <c r="AN1397" s="232"/>
      <c r="AO1397" s="231"/>
      <c r="AP1397" s="231"/>
      <c r="AQ1397" s="227"/>
      <c r="AR1397" s="231"/>
      <c r="AS1397" s="227"/>
      <c r="AT1397" s="227"/>
      <c r="AU1397" s="227"/>
      <c r="AV1397" s="227"/>
    </row>
    <row r="1398">
      <c r="A1398" s="227"/>
      <c r="B1398" s="232"/>
      <c r="C1398" s="227"/>
      <c r="D1398" s="227"/>
      <c r="E1398" s="231"/>
      <c r="F1398" s="232"/>
      <c r="G1398" s="227"/>
      <c r="H1398" s="227"/>
      <c r="I1398" s="227"/>
      <c r="J1398" s="227"/>
      <c r="K1398" s="227"/>
      <c r="L1398" s="232"/>
      <c r="M1398" s="232"/>
      <c r="N1398" s="227"/>
      <c r="O1398" s="227"/>
      <c r="P1398" s="231"/>
      <c r="Q1398" s="227"/>
      <c r="R1398" s="231"/>
      <c r="S1398" s="231"/>
      <c r="T1398" s="231"/>
      <c r="U1398" s="231"/>
      <c r="V1398" s="231"/>
      <c r="W1398" s="231"/>
      <c r="X1398" s="227"/>
      <c r="Y1398" s="232"/>
      <c r="Z1398" s="232"/>
      <c r="AA1398" s="232"/>
      <c r="AB1398" s="232"/>
      <c r="AC1398" s="227"/>
      <c r="AD1398" s="227"/>
      <c r="AE1398" s="231"/>
      <c r="AF1398" s="227"/>
      <c r="AG1398" s="232"/>
      <c r="AH1398" s="232"/>
      <c r="AI1398" s="232"/>
      <c r="AJ1398" s="232"/>
      <c r="AK1398" s="232"/>
      <c r="AL1398" s="232"/>
      <c r="AM1398" s="232"/>
      <c r="AN1398" s="232"/>
      <c r="AO1398" s="231"/>
      <c r="AP1398" s="231"/>
      <c r="AQ1398" s="227"/>
      <c r="AR1398" s="231"/>
      <c r="AS1398" s="227"/>
      <c r="AT1398" s="227"/>
      <c r="AU1398" s="227"/>
      <c r="AV1398" s="227"/>
    </row>
    <row r="1399">
      <c r="A1399" s="227"/>
      <c r="B1399" s="232"/>
      <c r="C1399" s="227"/>
      <c r="D1399" s="227"/>
      <c r="E1399" s="231"/>
      <c r="F1399" s="232"/>
      <c r="G1399" s="227"/>
      <c r="H1399" s="227"/>
      <c r="I1399" s="227"/>
      <c r="J1399" s="227"/>
      <c r="K1399" s="227"/>
      <c r="L1399" s="232"/>
      <c r="M1399" s="232"/>
      <c r="N1399" s="227"/>
      <c r="O1399" s="227"/>
      <c r="P1399" s="231"/>
      <c r="Q1399" s="227"/>
      <c r="R1399" s="231"/>
      <c r="S1399" s="231"/>
      <c r="T1399" s="231"/>
      <c r="U1399" s="231"/>
      <c r="V1399" s="231"/>
      <c r="W1399" s="231"/>
      <c r="X1399" s="227"/>
      <c r="Y1399" s="232"/>
      <c r="Z1399" s="232"/>
      <c r="AA1399" s="232"/>
      <c r="AB1399" s="232"/>
      <c r="AC1399" s="227"/>
      <c r="AD1399" s="227"/>
      <c r="AE1399" s="231"/>
      <c r="AF1399" s="227"/>
      <c r="AG1399" s="232"/>
      <c r="AH1399" s="232"/>
      <c r="AI1399" s="232"/>
      <c r="AJ1399" s="232"/>
      <c r="AK1399" s="232"/>
      <c r="AL1399" s="232"/>
      <c r="AM1399" s="232"/>
      <c r="AN1399" s="232"/>
      <c r="AO1399" s="231"/>
      <c r="AP1399" s="231"/>
      <c r="AQ1399" s="227"/>
      <c r="AR1399" s="231"/>
      <c r="AS1399" s="227"/>
      <c r="AT1399" s="227"/>
      <c r="AU1399" s="227"/>
      <c r="AV1399" s="227"/>
    </row>
    <row r="1400">
      <c r="A1400" s="227"/>
      <c r="B1400" s="232"/>
      <c r="C1400" s="227"/>
      <c r="D1400" s="227"/>
      <c r="E1400" s="231"/>
      <c r="F1400" s="232"/>
      <c r="G1400" s="227"/>
      <c r="H1400" s="227"/>
      <c r="I1400" s="227"/>
      <c r="J1400" s="227"/>
      <c r="K1400" s="227"/>
      <c r="L1400" s="232"/>
      <c r="M1400" s="232"/>
      <c r="N1400" s="227"/>
      <c r="O1400" s="227"/>
      <c r="P1400" s="231"/>
      <c r="Q1400" s="227"/>
      <c r="R1400" s="231"/>
      <c r="S1400" s="231"/>
      <c r="T1400" s="231"/>
      <c r="U1400" s="231"/>
      <c r="V1400" s="231"/>
      <c r="W1400" s="231"/>
      <c r="X1400" s="227"/>
      <c r="Y1400" s="232"/>
      <c r="Z1400" s="232"/>
      <c r="AA1400" s="232"/>
      <c r="AB1400" s="232"/>
      <c r="AC1400" s="227"/>
      <c r="AD1400" s="227"/>
      <c r="AE1400" s="231"/>
      <c r="AF1400" s="227"/>
      <c r="AG1400" s="232"/>
      <c r="AH1400" s="232"/>
      <c r="AI1400" s="232"/>
      <c r="AJ1400" s="232"/>
      <c r="AK1400" s="232"/>
      <c r="AL1400" s="232"/>
      <c r="AM1400" s="232"/>
      <c r="AN1400" s="232"/>
      <c r="AO1400" s="231"/>
      <c r="AP1400" s="231"/>
      <c r="AQ1400" s="227"/>
      <c r="AR1400" s="231"/>
      <c r="AS1400" s="227"/>
      <c r="AT1400" s="227"/>
      <c r="AU1400" s="227"/>
      <c r="AV1400" s="227"/>
    </row>
    <row r="1401">
      <c r="A1401" s="227"/>
      <c r="B1401" s="232"/>
      <c r="C1401" s="227"/>
      <c r="D1401" s="227"/>
      <c r="E1401" s="231"/>
      <c r="F1401" s="232"/>
      <c r="G1401" s="227"/>
      <c r="H1401" s="227"/>
      <c r="I1401" s="227"/>
      <c r="J1401" s="227"/>
      <c r="K1401" s="227"/>
      <c r="L1401" s="232"/>
      <c r="M1401" s="232"/>
      <c r="N1401" s="227"/>
      <c r="O1401" s="227"/>
      <c r="P1401" s="231"/>
      <c r="Q1401" s="227"/>
      <c r="R1401" s="231"/>
      <c r="S1401" s="231"/>
      <c r="T1401" s="231"/>
      <c r="U1401" s="231"/>
      <c r="V1401" s="231"/>
      <c r="W1401" s="231"/>
      <c r="X1401" s="227"/>
      <c r="Y1401" s="232"/>
      <c r="Z1401" s="232"/>
      <c r="AA1401" s="232"/>
      <c r="AB1401" s="232"/>
      <c r="AC1401" s="227"/>
      <c r="AD1401" s="227"/>
      <c r="AE1401" s="231"/>
      <c r="AF1401" s="227"/>
      <c r="AG1401" s="232"/>
      <c r="AH1401" s="232"/>
      <c r="AI1401" s="232"/>
      <c r="AJ1401" s="232"/>
      <c r="AK1401" s="232"/>
      <c r="AL1401" s="232"/>
      <c r="AM1401" s="232"/>
      <c r="AN1401" s="232"/>
      <c r="AO1401" s="231"/>
      <c r="AP1401" s="231"/>
      <c r="AQ1401" s="227"/>
      <c r="AR1401" s="231"/>
      <c r="AS1401" s="227"/>
      <c r="AT1401" s="227"/>
      <c r="AU1401" s="227"/>
      <c r="AV1401" s="227"/>
    </row>
    <row r="1402">
      <c r="A1402" s="227"/>
      <c r="B1402" s="232"/>
      <c r="C1402" s="227"/>
      <c r="D1402" s="227"/>
      <c r="E1402" s="231"/>
      <c r="F1402" s="232"/>
      <c r="G1402" s="227"/>
      <c r="H1402" s="227"/>
      <c r="I1402" s="227"/>
      <c r="J1402" s="227"/>
      <c r="K1402" s="227"/>
      <c r="L1402" s="232"/>
      <c r="M1402" s="232"/>
      <c r="N1402" s="227"/>
      <c r="O1402" s="227"/>
      <c r="P1402" s="231"/>
      <c r="Q1402" s="227"/>
      <c r="R1402" s="231"/>
      <c r="S1402" s="231"/>
      <c r="T1402" s="231"/>
      <c r="U1402" s="231"/>
      <c r="V1402" s="231"/>
      <c r="W1402" s="231"/>
      <c r="X1402" s="227"/>
      <c r="Y1402" s="232"/>
      <c r="Z1402" s="232"/>
      <c r="AA1402" s="232"/>
      <c r="AB1402" s="232"/>
      <c r="AC1402" s="227"/>
      <c r="AD1402" s="227"/>
      <c r="AE1402" s="231"/>
      <c r="AF1402" s="227"/>
      <c r="AG1402" s="232"/>
      <c r="AH1402" s="232"/>
      <c r="AI1402" s="232"/>
      <c r="AJ1402" s="232"/>
      <c r="AK1402" s="232"/>
      <c r="AL1402" s="232"/>
      <c r="AM1402" s="232"/>
      <c r="AN1402" s="232"/>
      <c r="AO1402" s="231"/>
      <c r="AP1402" s="231"/>
      <c r="AQ1402" s="227"/>
      <c r="AR1402" s="231"/>
      <c r="AS1402" s="227"/>
      <c r="AT1402" s="227"/>
      <c r="AU1402" s="227"/>
      <c r="AV1402" s="227"/>
    </row>
    <row r="1403">
      <c r="A1403" s="227"/>
      <c r="B1403" s="232"/>
      <c r="C1403" s="227"/>
      <c r="D1403" s="227"/>
      <c r="E1403" s="231"/>
      <c r="F1403" s="232"/>
      <c r="G1403" s="227"/>
      <c r="H1403" s="227"/>
      <c r="I1403" s="227"/>
      <c r="J1403" s="227"/>
      <c r="K1403" s="227"/>
      <c r="L1403" s="232"/>
      <c r="M1403" s="232"/>
      <c r="N1403" s="227"/>
      <c r="O1403" s="227"/>
      <c r="P1403" s="231"/>
      <c r="Q1403" s="227"/>
      <c r="R1403" s="231"/>
      <c r="S1403" s="231"/>
      <c r="T1403" s="231"/>
      <c r="U1403" s="231"/>
      <c r="V1403" s="231"/>
      <c r="W1403" s="231"/>
      <c r="X1403" s="227"/>
      <c r="Y1403" s="232"/>
      <c r="Z1403" s="232"/>
      <c r="AA1403" s="232"/>
      <c r="AB1403" s="232"/>
      <c r="AC1403" s="227"/>
      <c r="AD1403" s="227"/>
      <c r="AE1403" s="231"/>
      <c r="AF1403" s="227"/>
      <c r="AG1403" s="232"/>
      <c r="AH1403" s="232"/>
      <c r="AI1403" s="232"/>
      <c r="AJ1403" s="232"/>
      <c r="AK1403" s="232"/>
      <c r="AL1403" s="232"/>
      <c r="AM1403" s="232"/>
      <c r="AN1403" s="232"/>
      <c r="AO1403" s="231"/>
      <c r="AP1403" s="231"/>
      <c r="AQ1403" s="227"/>
      <c r="AR1403" s="231"/>
      <c r="AS1403" s="227"/>
      <c r="AT1403" s="227"/>
      <c r="AU1403" s="227"/>
      <c r="AV1403" s="227"/>
    </row>
    <row r="1404">
      <c r="A1404" s="227"/>
      <c r="B1404" s="232"/>
      <c r="C1404" s="227"/>
      <c r="D1404" s="227"/>
      <c r="E1404" s="231"/>
      <c r="F1404" s="232"/>
      <c r="G1404" s="227"/>
      <c r="H1404" s="227"/>
      <c r="I1404" s="227"/>
      <c r="J1404" s="227"/>
      <c r="K1404" s="227"/>
      <c r="L1404" s="232"/>
      <c r="M1404" s="232"/>
      <c r="N1404" s="227"/>
      <c r="O1404" s="227"/>
      <c r="P1404" s="231"/>
      <c r="Q1404" s="227"/>
      <c r="R1404" s="231"/>
      <c r="S1404" s="231"/>
      <c r="T1404" s="231"/>
      <c r="U1404" s="231"/>
      <c r="V1404" s="231"/>
      <c r="W1404" s="231"/>
      <c r="X1404" s="227"/>
      <c r="Y1404" s="232"/>
      <c r="Z1404" s="232"/>
      <c r="AA1404" s="232"/>
      <c r="AB1404" s="232"/>
      <c r="AC1404" s="227"/>
      <c r="AD1404" s="227"/>
      <c r="AE1404" s="231"/>
      <c r="AF1404" s="227"/>
      <c r="AG1404" s="232"/>
      <c r="AH1404" s="232"/>
      <c r="AI1404" s="232"/>
      <c r="AJ1404" s="232"/>
      <c r="AK1404" s="232"/>
      <c r="AL1404" s="232"/>
      <c r="AM1404" s="232"/>
      <c r="AN1404" s="232"/>
      <c r="AO1404" s="231"/>
      <c r="AP1404" s="231"/>
      <c r="AQ1404" s="227"/>
      <c r="AR1404" s="231"/>
      <c r="AS1404" s="227"/>
      <c r="AT1404" s="227"/>
      <c r="AU1404" s="227"/>
      <c r="AV1404" s="227"/>
    </row>
    <row r="1405">
      <c r="A1405" s="227"/>
      <c r="B1405" s="232"/>
      <c r="C1405" s="227"/>
      <c r="D1405" s="227"/>
      <c r="E1405" s="231"/>
      <c r="F1405" s="232"/>
      <c r="G1405" s="227"/>
      <c r="H1405" s="227"/>
      <c r="I1405" s="227"/>
      <c r="J1405" s="227"/>
      <c r="K1405" s="227"/>
      <c r="L1405" s="232"/>
      <c r="M1405" s="232"/>
      <c r="N1405" s="227"/>
      <c r="O1405" s="227"/>
      <c r="P1405" s="231"/>
      <c r="Q1405" s="227"/>
      <c r="R1405" s="231"/>
      <c r="S1405" s="231"/>
      <c r="T1405" s="231"/>
      <c r="U1405" s="231"/>
      <c r="V1405" s="231"/>
      <c r="W1405" s="231"/>
      <c r="X1405" s="227"/>
      <c r="Y1405" s="232"/>
      <c r="Z1405" s="232"/>
      <c r="AA1405" s="232"/>
      <c r="AB1405" s="232"/>
      <c r="AC1405" s="227"/>
      <c r="AD1405" s="227"/>
      <c r="AE1405" s="231"/>
      <c r="AF1405" s="227"/>
      <c r="AG1405" s="232"/>
      <c r="AH1405" s="232"/>
      <c r="AI1405" s="232"/>
      <c r="AJ1405" s="232"/>
      <c r="AK1405" s="232"/>
      <c r="AL1405" s="232"/>
      <c r="AM1405" s="232"/>
      <c r="AN1405" s="232"/>
      <c r="AO1405" s="231"/>
      <c r="AP1405" s="231"/>
      <c r="AQ1405" s="227"/>
      <c r="AR1405" s="231"/>
      <c r="AS1405" s="227"/>
      <c r="AT1405" s="227"/>
      <c r="AU1405" s="227"/>
      <c r="AV1405" s="227"/>
    </row>
    <row r="1406">
      <c r="A1406" s="227"/>
      <c r="B1406" s="232"/>
      <c r="C1406" s="227"/>
      <c r="D1406" s="227"/>
      <c r="E1406" s="231"/>
      <c r="F1406" s="232"/>
      <c r="G1406" s="227"/>
      <c r="H1406" s="227"/>
      <c r="I1406" s="227"/>
      <c r="J1406" s="227"/>
      <c r="K1406" s="227"/>
      <c r="L1406" s="232"/>
      <c r="M1406" s="232"/>
      <c r="N1406" s="227"/>
      <c r="O1406" s="227"/>
      <c r="P1406" s="231"/>
      <c r="Q1406" s="227"/>
      <c r="R1406" s="231"/>
      <c r="S1406" s="231"/>
      <c r="T1406" s="231"/>
      <c r="U1406" s="231"/>
      <c r="V1406" s="231"/>
      <c r="W1406" s="231"/>
      <c r="X1406" s="227"/>
      <c r="Y1406" s="232"/>
      <c r="Z1406" s="232"/>
      <c r="AA1406" s="232"/>
      <c r="AB1406" s="232"/>
      <c r="AC1406" s="227"/>
      <c r="AD1406" s="227"/>
      <c r="AE1406" s="231"/>
      <c r="AF1406" s="227"/>
      <c r="AG1406" s="232"/>
      <c r="AH1406" s="232"/>
      <c r="AI1406" s="232"/>
      <c r="AJ1406" s="232"/>
      <c r="AK1406" s="232"/>
      <c r="AL1406" s="232"/>
      <c r="AM1406" s="232"/>
      <c r="AN1406" s="232"/>
      <c r="AO1406" s="231"/>
      <c r="AP1406" s="231"/>
      <c r="AQ1406" s="227"/>
      <c r="AR1406" s="231"/>
      <c r="AS1406" s="227"/>
      <c r="AT1406" s="227"/>
      <c r="AU1406" s="227"/>
      <c r="AV1406" s="227"/>
    </row>
    <row r="1407">
      <c r="A1407" s="227"/>
      <c r="B1407" s="232"/>
      <c r="C1407" s="227"/>
      <c r="D1407" s="227"/>
      <c r="E1407" s="231"/>
      <c r="F1407" s="232"/>
      <c r="G1407" s="227"/>
      <c r="H1407" s="227"/>
      <c r="I1407" s="227"/>
      <c r="J1407" s="227"/>
      <c r="K1407" s="227"/>
      <c r="L1407" s="232"/>
      <c r="M1407" s="232"/>
      <c r="N1407" s="227"/>
      <c r="O1407" s="227"/>
      <c r="P1407" s="231"/>
      <c r="Q1407" s="227"/>
      <c r="R1407" s="231"/>
      <c r="S1407" s="231"/>
      <c r="T1407" s="231"/>
      <c r="U1407" s="231"/>
      <c r="V1407" s="231"/>
      <c r="W1407" s="231"/>
      <c r="X1407" s="227"/>
      <c r="Y1407" s="232"/>
      <c r="Z1407" s="232"/>
      <c r="AA1407" s="232"/>
      <c r="AB1407" s="232"/>
      <c r="AC1407" s="227"/>
      <c r="AD1407" s="227"/>
      <c r="AE1407" s="231"/>
      <c r="AF1407" s="227"/>
      <c r="AG1407" s="232"/>
      <c r="AH1407" s="232"/>
      <c r="AI1407" s="232"/>
      <c r="AJ1407" s="232"/>
      <c r="AK1407" s="232"/>
      <c r="AL1407" s="232"/>
      <c r="AM1407" s="232"/>
      <c r="AN1407" s="232"/>
      <c r="AO1407" s="231"/>
      <c r="AP1407" s="231"/>
      <c r="AQ1407" s="227"/>
      <c r="AR1407" s="231"/>
      <c r="AS1407" s="227"/>
      <c r="AT1407" s="227"/>
      <c r="AU1407" s="227"/>
      <c r="AV1407" s="227"/>
    </row>
    <row r="1408">
      <c r="A1408" s="227"/>
      <c r="B1408" s="232"/>
      <c r="C1408" s="227"/>
      <c r="D1408" s="227"/>
      <c r="E1408" s="231"/>
      <c r="F1408" s="232"/>
      <c r="G1408" s="227"/>
      <c r="H1408" s="227"/>
      <c r="I1408" s="227"/>
      <c r="J1408" s="227"/>
      <c r="K1408" s="227"/>
      <c r="L1408" s="232"/>
      <c r="M1408" s="232"/>
      <c r="N1408" s="227"/>
      <c r="O1408" s="227"/>
      <c r="P1408" s="231"/>
      <c r="Q1408" s="227"/>
      <c r="R1408" s="231"/>
      <c r="S1408" s="231"/>
      <c r="T1408" s="231"/>
      <c r="U1408" s="231"/>
      <c r="V1408" s="231"/>
      <c r="W1408" s="231"/>
      <c r="X1408" s="227"/>
      <c r="Y1408" s="232"/>
      <c r="Z1408" s="232"/>
      <c r="AA1408" s="232"/>
      <c r="AB1408" s="232"/>
      <c r="AC1408" s="227"/>
      <c r="AD1408" s="227"/>
      <c r="AE1408" s="231"/>
      <c r="AF1408" s="227"/>
      <c r="AG1408" s="232"/>
      <c r="AH1408" s="232"/>
      <c r="AI1408" s="232"/>
      <c r="AJ1408" s="232"/>
      <c r="AK1408" s="232"/>
      <c r="AL1408" s="232"/>
      <c r="AM1408" s="232"/>
      <c r="AN1408" s="232"/>
      <c r="AO1408" s="231"/>
      <c r="AP1408" s="231"/>
      <c r="AQ1408" s="227"/>
      <c r="AR1408" s="231"/>
      <c r="AS1408" s="227"/>
      <c r="AT1408" s="227"/>
      <c r="AU1408" s="227"/>
      <c r="AV1408" s="227"/>
    </row>
    <row r="1409">
      <c r="A1409" s="227"/>
      <c r="B1409" s="232"/>
      <c r="C1409" s="227"/>
      <c r="D1409" s="227"/>
      <c r="E1409" s="231"/>
      <c r="F1409" s="232"/>
      <c r="G1409" s="227"/>
      <c r="H1409" s="227"/>
      <c r="I1409" s="227"/>
      <c r="J1409" s="227"/>
      <c r="K1409" s="227"/>
      <c r="L1409" s="232"/>
      <c r="M1409" s="232"/>
      <c r="N1409" s="227"/>
      <c r="O1409" s="227"/>
      <c r="P1409" s="231"/>
      <c r="Q1409" s="227"/>
      <c r="R1409" s="231"/>
      <c r="S1409" s="231"/>
      <c r="T1409" s="231"/>
      <c r="U1409" s="231"/>
      <c r="V1409" s="231"/>
      <c r="W1409" s="231"/>
      <c r="X1409" s="227"/>
      <c r="Y1409" s="232"/>
      <c r="Z1409" s="232"/>
      <c r="AA1409" s="232"/>
      <c r="AB1409" s="232"/>
      <c r="AC1409" s="227"/>
      <c r="AD1409" s="227"/>
      <c r="AE1409" s="231"/>
      <c r="AF1409" s="227"/>
      <c r="AG1409" s="232"/>
      <c r="AH1409" s="232"/>
      <c r="AI1409" s="232"/>
      <c r="AJ1409" s="232"/>
      <c r="AK1409" s="232"/>
      <c r="AL1409" s="232"/>
      <c r="AM1409" s="232"/>
      <c r="AN1409" s="232"/>
      <c r="AO1409" s="231"/>
      <c r="AP1409" s="231"/>
      <c r="AQ1409" s="227"/>
      <c r="AR1409" s="231"/>
      <c r="AS1409" s="227"/>
      <c r="AT1409" s="227"/>
      <c r="AU1409" s="227"/>
      <c r="AV1409" s="227"/>
    </row>
    <row r="1410">
      <c r="A1410" s="227"/>
      <c r="B1410" s="232"/>
      <c r="C1410" s="227"/>
      <c r="D1410" s="227"/>
      <c r="E1410" s="231"/>
      <c r="F1410" s="232"/>
      <c r="G1410" s="227"/>
      <c r="H1410" s="227"/>
      <c r="I1410" s="227"/>
      <c r="J1410" s="227"/>
      <c r="K1410" s="227"/>
      <c r="L1410" s="232"/>
      <c r="M1410" s="232"/>
      <c r="N1410" s="227"/>
      <c r="O1410" s="227"/>
      <c r="P1410" s="231"/>
      <c r="Q1410" s="227"/>
      <c r="R1410" s="231"/>
      <c r="S1410" s="231"/>
      <c r="T1410" s="231"/>
      <c r="U1410" s="231"/>
      <c r="V1410" s="231"/>
      <c r="W1410" s="231"/>
      <c r="X1410" s="227"/>
      <c r="Y1410" s="232"/>
      <c r="Z1410" s="232"/>
      <c r="AA1410" s="232"/>
      <c r="AB1410" s="232"/>
      <c r="AC1410" s="227"/>
      <c r="AD1410" s="227"/>
      <c r="AE1410" s="231"/>
      <c r="AF1410" s="227"/>
      <c r="AG1410" s="232"/>
      <c r="AH1410" s="232"/>
      <c r="AI1410" s="232"/>
      <c r="AJ1410" s="232"/>
      <c r="AK1410" s="232"/>
      <c r="AL1410" s="232"/>
      <c r="AM1410" s="232"/>
      <c r="AN1410" s="232"/>
      <c r="AO1410" s="231"/>
      <c r="AP1410" s="231"/>
      <c r="AQ1410" s="227"/>
      <c r="AR1410" s="231"/>
      <c r="AS1410" s="227"/>
      <c r="AT1410" s="227"/>
      <c r="AU1410" s="227"/>
      <c r="AV1410" s="227"/>
    </row>
    <row r="1411">
      <c r="A1411" s="227"/>
      <c r="B1411" s="232"/>
      <c r="C1411" s="227"/>
      <c r="D1411" s="227"/>
      <c r="E1411" s="231"/>
      <c r="F1411" s="232"/>
      <c r="G1411" s="227"/>
      <c r="H1411" s="227"/>
      <c r="I1411" s="227"/>
      <c r="J1411" s="227"/>
      <c r="K1411" s="227"/>
      <c r="L1411" s="232"/>
      <c r="M1411" s="232"/>
      <c r="N1411" s="227"/>
      <c r="O1411" s="227"/>
      <c r="P1411" s="231"/>
      <c r="Q1411" s="227"/>
      <c r="R1411" s="231"/>
      <c r="S1411" s="231"/>
      <c r="T1411" s="231"/>
      <c r="U1411" s="231"/>
      <c r="V1411" s="231"/>
      <c r="W1411" s="231"/>
      <c r="X1411" s="227"/>
      <c r="Y1411" s="232"/>
      <c r="Z1411" s="232"/>
      <c r="AA1411" s="232"/>
      <c r="AB1411" s="232"/>
      <c r="AC1411" s="227"/>
      <c r="AD1411" s="227"/>
      <c r="AE1411" s="231"/>
      <c r="AF1411" s="227"/>
      <c r="AG1411" s="232"/>
      <c r="AH1411" s="232"/>
      <c r="AI1411" s="232"/>
      <c r="AJ1411" s="232"/>
      <c r="AK1411" s="232"/>
      <c r="AL1411" s="232"/>
      <c r="AM1411" s="232"/>
      <c r="AN1411" s="232"/>
      <c r="AO1411" s="231"/>
      <c r="AP1411" s="231"/>
      <c r="AQ1411" s="227"/>
      <c r="AR1411" s="231"/>
      <c r="AS1411" s="227"/>
      <c r="AT1411" s="227"/>
      <c r="AU1411" s="227"/>
      <c r="AV1411" s="227"/>
    </row>
    <row r="1412">
      <c r="A1412" s="227"/>
      <c r="B1412" s="232"/>
      <c r="C1412" s="227"/>
      <c r="D1412" s="227"/>
      <c r="E1412" s="231"/>
      <c r="F1412" s="232"/>
      <c r="G1412" s="227"/>
      <c r="H1412" s="227"/>
      <c r="I1412" s="227"/>
      <c r="J1412" s="227"/>
      <c r="K1412" s="227"/>
      <c r="L1412" s="232"/>
      <c r="M1412" s="232"/>
      <c r="N1412" s="227"/>
      <c r="O1412" s="227"/>
      <c r="P1412" s="231"/>
      <c r="Q1412" s="227"/>
      <c r="R1412" s="231"/>
      <c r="S1412" s="231"/>
      <c r="T1412" s="231"/>
      <c r="U1412" s="231"/>
      <c r="V1412" s="231"/>
      <c r="W1412" s="231"/>
      <c r="X1412" s="227"/>
      <c r="Y1412" s="232"/>
      <c r="Z1412" s="232"/>
      <c r="AA1412" s="232"/>
      <c r="AB1412" s="232"/>
      <c r="AC1412" s="227"/>
      <c r="AD1412" s="227"/>
      <c r="AE1412" s="231"/>
      <c r="AF1412" s="227"/>
      <c r="AG1412" s="232"/>
      <c r="AH1412" s="232"/>
      <c r="AI1412" s="232"/>
      <c r="AJ1412" s="232"/>
      <c r="AK1412" s="232"/>
      <c r="AL1412" s="232"/>
      <c r="AM1412" s="232"/>
      <c r="AN1412" s="232"/>
      <c r="AO1412" s="231"/>
      <c r="AP1412" s="231"/>
      <c r="AQ1412" s="227"/>
      <c r="AR1412" s="231"/>
      <c r="AS1412" s="227"/>
      <c r="AT1412" s="227"/>
      <c r="AU1412" s="227"/>
      <c r="AV1412" s="227"/>
    </row>
    <row r="1413">
      <c r="A1413" s="227"/>
      <c r="B1413" s="232"/>
      <c r="C1413" s="227"/>
      <c r="D1413" s="227"/>
      <c r="E1413" s="231"/>
      <c r="F1413" s="232"/>
      <c r="G1413" s="227"/>
      <c r="H1413" s="227"/>
      <c r="I1413" s="227"/>
      <c r="J1413" s="227"/>
      <c r="K1413" s="227"/>
      <c r="L1413" s="232"/>
      <c r="M1413" s="232"/>
      <c r="N1413" s="227"/>
      <c r="O1413" s="227"/>
      <c r="P1413" s="231"/>
      <c r="Q1413" s="227"/>
      <c r="R1413" s="231"/>
      <c r="S1413" s="231"/>
      <c r="T1413" s="231"/>
      <c r="U1413" s="231"/>
      <c r="V1413" s="231"/>
      <c r="W1413" s="231"/>
      <c r="X1413" s="227"/>
      <c r="Y1413" s="232"/>
      <c r="Z1413" s="232"/>
      <c r="AA1413" s="232"/>
      <c r="AB1413" s="232"/>
      <c r="AC1413" s="227"/>
      <c r="AD1413" s="227"/>
      <c r="AE1413" s="231"/>
      <c r="AF1413" s="227"/>
      <c r="AG1413" s="232"/>
      <c r="AH1413" s="232"/>
      <c r="AI1413" s="232"/>
      <c r="AJ1413" s="232"/>
      <c r="AK1413" s="232"/>
      <c r="AL1413" s="232"/>
      <c r="AM1413" s="232"/>
      <c r="AN1413" s="232"/>
      <c r="AO1413" s="231"/>
      <c r="AP1413" s="231"/>
      <c r="AQ1413" s="227"/>
      <c r="AR1413" s="231"/>
      <c r="AS1413" s="227"/>
      <c r="AT1413" s="227"/>
      <c r="AU1413" s="227"/>
      <c r="AV1413" s="227"/>
    </row>
    <row r="1414">
      <c r="A1414" s="227"/>
      <c r="B1414" s="232"/>
      <c r="C1414" s="227"/>
      <c r="D1414" s="227"/>
      <c r="E1414" s="231"/>
      <c r="F1414" s="232"/>
      <c r="G1414" s="227"/>
      <c r="H1414" s="227"/>
      <c r="I1414" s="227"/>
      <c r="J1414" s="227"/>
      <c r="K1414" s="227"/>
      <c r="L1414" s="232"/>
      <c r="M1414" s="232"/>
      <c r="N1414" s="227"/>
      <c r="O1414" s="227"/>
      <c r="P1414" s="231"/>
      <c r="Q1414" s="227"/>
      <c r="R1414" s="231"/>
      <c r="S1414" s="231"/>
      <c r="T1414" s="231"/>
      <c r="U1414" s="231"/>
      <c r="V1414" s="231"/>
      <c r="W1414" s="231"/>
      <c r="X1414" s="227"/>
      <c r="Y1414" s="232"/>
      <c r="Z1414" s="232"/>
      <c r="AA1414" s="232"/>
      <c r="AB1414" s="232"/>
      <c r="AC1414" s="227"/>
      <c r="AD1414" s="227"/>
      <c r="AE1414" s="231"/>
      <c r="AF1414" s="227"/>
      <c r="AG1414" s="232"/>
      <c r="AH1414" s="232"/>
      <c r="AI1414" s="232"/>
      <c r="AJ1414" s="232"/>
      <c r="AK1414" s="232"/>
      <c r="AL1414" s="232"/>
      <c r="AM1414" s="232"/>
      <c r="AN1414" s="232"/>
      <c r="AO1414" s="231"/>
      <c r="AP1414" s="231"/>
      <c r="AQ1414" s="227"/>
      <c r="AR1414" s="231"/>
      <c r="AS1414" s="227"/>
      <c r="AT1414" s="227"/>
      <c r="AU1414" s="227"/>
      <c r="AV1414" s="227"/>
    </row>
    <row r="1415">
      <c r="A1415" s="227"/>
      <c r="B1415" s="232"/>
      <c r="C1415" s="227"/>
      <c r="D1415" s="227"/>
      <c r="E1415" s="231"/>
      <c r="F1415" s="232"/>
      <c r="G1415" s="227"/>
      <c r="H1415" s="227"/>
      <c r="I1415" s="227"/>
      <c r="J1415" s="227"/>
      <c r="K1415" s="227"/>
      <c r="L1415" s="232"/>
      <c r="M1415" s="232"/>
      <c r="N1415" s="227"/>
      <c r="O1415" s="227"/>
      <c r="P1415" s="231"/>
      <c r="Q1415" s="227"/>
      <c r="R1415" s="231"/>
      <c r="S1415" s="231"/>
      <c r="T1415" s="231"/>
      <c r="U1415" s="231"/>
      <c r="V1415" s="231"/>
      <c r="W1415" s="231"/>
      <c r="X1415" s="227"/>
      <c r="Y1415" s="232"/>
      <c r="Z1415" s="232"/>
      <c r="AA1415" s="232"/>
      <c r="AB1415" s="232"/>
      <c r="AC1415" s="227"/>
      <c r="AD1415" s="227"/>
      <c r="AE1415" s="231"/>
      <c r="AF1415" s="227"/>
      <c r="AG1415" s="232"/>
      <c r="AH1415" s="232"/>
      <c r="AI1415" s="232"/>
      <c r="AJ1415" s="232"/>
      <c r="AK1415" s="232"/>
      <c r="AL1415" s="232"/>
      <c r="AM1415" s="232"/>
      <c r="AN1415" s="232"/>
      <c r="AO1415" s="231"/>
      <c r="AP1415" s="231"/>
      <c r="AQ1415" s="227"/>
      <c r="AR1415" s="231"/>
      <c r="AS1415" s="227"/>
      <c r="AT1415" s="227"/>
      <c r="AU1415" s="227"/>
      <c r="AV1415" s="227"/>
    </row>
    <row r="1416">
      <c r="A1416" s="227"/>
      <c r="B1416" s="232"/>
      <c r="C1416" s="227"/>
      <c r="D1416" s="227"/>
      <c r="E1416" s="231"/>
      <c r="F1416" s="232"/>
      <c r="G1416" s="227"/>
      <c r="H1416" s="227"/>
      <c r="I1416" s="227"/>
      <c r="J1416" s="227"/>
      <c r="K1416" s="227"/>
      <c r="L1416" s="232"/>
      <c r="M1416" s="232"/>
      <c r="N1416" s="227"/>
      <c r="O1416" s="227"/>
      <c r="P1416" s="231"/>
      <c r="Q1416" s="227"/>
      <c r="R1416" s="231"/>
      <c r="S1416" s="231"/>
      <c r="T1416" s="231"/>
      <c r="U1416" s="231"/>
      <c r="V1416" s="231"/>
      <c r="W1416" s="231"/>
      <c r="X1416" s="227"/>
      <c r="Y1416" s="232"/>
      <c r="Z1416" s="232"/>
      <c r="AA1416" s="232"/>
      <c r="AB1416" s="232"/>
      <c r="AC1416" s="227"/>
      <c r="AD1416" s="227"/>
      <c r="AE1416" s="231"/>
      <c r="AF1416" s="227"/>
      <c r="AG1416" s="232"/>
      <c r="AH1416" s="232"/>
      <c r="AI1416" s="232"/>
      <c r="AJ1416" s="232"/>
      <c r="AK1416" s="232"/>
      <c r="AL1416" s="232"/>
      <c r="AM1416" s="232"/>
      <c r="AN1416" s="232"/>
      <c r="AO1416" s="231"/>
      <c r="AP1416" s="231"/>
      <c r="AQ1416" s="227"/>
      <c r="AR1416" s="231"/>
      <c r="AS1416" s="227"/>
      <c r="AT1416" s="227"/>
      <c r="AU1416" s="227"/>
      <c r="AV1416" s="227"/>
    </row>
    <row r="1417">
      <c r="A1417" s="227"/>
      <c r="B1417" s="232"/>
      <c r="C1417" s="227"/>
      <c r="D1417" s="227"/>
      <c r="E1417" s="231"/>
      <c r="F1417" s="232"/>
      <c r="G1417" s="227"/>
      <c r="H1417" s="227"/>
      <c r="I1417" s="227"/>
      <c r="J1417" s="227"/>
      <c r="K1417" s="227"/>
      <c r="L1417" s="232"/>
      <c r="M1417" s="232"/>
      <c r="N1417" s="227"/>
      <c r="O1417" s="227"/>
      <c r="P1417" s="231"/>
      <c r="Q1417" s="227"/>
      <c r="R1417" s="231"/>
      <c r="S1417" s="231"/>
      <c r="T1417" s="231"/>
      <c r="U1417" s="231"/>
      <c r="V1417" s="231"/>
      <c r="W1417" s="231"/>
      <c r="X1417" s="227"/>
      <c r="Y1417" s="232"/>
      <c r="Z1417" s="232"/>
      <c r="AA1417" s="232"/>
      <c r="AB1417" s="232"/>
      <c r="AC1417" s="227"/>
      <c r="AD1417" s="227"/>
      <c r="AE1417" s="231"/>
      <c r="AF1417" s="227"/>
      <c r="AG1417" s="232"/>
      <c r="AH1417" s="232"/>
      <c r="AI1417" s="232"/>
      <c r="AJ1417" s="232"/>
      <c r="AK1417" s="232"/>
      <c r="AL1417" s="232"/>
      <c r="AM1417" s="232"/>
      <c r="AN1417" s="232"/>
      <c r="AO1417" s="231"/>
      <c r="AP1417" s="231"/>
      <c r="AQ1417" s="227"/>
      <c r="AR1417" s="231"/>
      <c r="AS1417" s="227"/>
      <c r="AT1417" s="227"/>
      <c r="AU1417" s="227"/>
      <c r="AV1417" s="227"/>
    </row>
    <row r="1418">
      <c r="A1418" s="227"/>
      <c r="B1418" s="232"/>
      <c r="C1418" s="227"/>
      <c r="D1418" s="227"/>
      <c r="E1418" s="231"/>
      <c r="F1418" s="232"/>
      <c r="G1418" s="227"/>
      <c r="H1418" s="227"/>
      <c r="I1418" s="227"/>
      <c r="J1418" s="227"/>
      <c r="K1418" s="227"/>
      <c r="L1418" s="232"/>
      <c r="M1418" s="232"/>
      <c r="N1418" s="227"/>
      <c r="O1418" s="227"/>
      <c r="P1418" s="231"/>
      <c r="Q1418" s="227"/>
      <c r="R1418" s="231"/>
      <c r="S1418" s="231"/>
      <c r="T1418" s="231"/>
      <c r="U1418" s="231"/>
      <c r="V1418" s="231"/>
      <c r="W1418" s="231"/>
      <c r="X1418" s="227"/>
      <c r="Y1418" s="232"/>
      <c r="Z1418" s="232"/>
      <c r="AA1418" s="232"/>
      <c r="AB1418" s="232"/>
      <c r="AC1418" s="227"/>
      <c r="AD1418" s="227"/>
      <c r="AE1418" s="231"/>
      <c r="AF1418" s="227"/>
      <c r="AG1418" s="232"/>
      <c r="AH1418" s="232"/>
      <c r="AI1418" s="232"/>
      <c r="AJ1418" s="232"/>
      <c r="AK1418" s="232"/>
      <c r="AL1418" s="232"/>
      <c r="AM1418" s="232"/>
      <c r="AN1418" s="232"/>
      <c r="AO1418" s="231"/>
      <c r="AP1418" s="231"/>
      <c r="AQ1418" s="227"/>
      <c r="AR1418" s="231"/>
      <c r="AS1418" s="227"/>
      <c r="AT1418" s="227"/>
      <c r="AU1418" s="227"/>
      <c r="AV1418" s="227"/>
    </row>
    <row r="1419">
      <c r="A1419" s="227"/>
      <c r="B1419" s="232"/>
      <c r="C1419" s="227"/>
      <c r="D1419" s="227"/>
      <c r="E1419" s="231"/>
      <c r="F1419" s="232"/>
      <c r="G1419" s="227"/>
      <c r="H1419" s="227"/>
      <c r="I1419" s="227"/>
      <c r="J1419" s="227"/>
      <c r="K1419" s="227"/>
      <c r="L1419" s="232"/>
      <c r="M1419" s="232"/>
      <c r="N1419" s="227"/>
      <c r="O1419" s="227"/>
      <c r="P1419" s="231"/>
      <c r="Q1419" s="227"/>
      <c r="R1419" s="231"/>
      <c r="S1419" s="231"/>
      <c r="T1419" s="231"/>
      <c r="U1419" s="231"/>
      <c r="V1419" s="231"/>
      <c r="W1419" s="231"/>
      <c r="X1419" s="227"/>
      <c r="Y1419" s="232"/>
      <c r="Z1419" s="232"/>
      <c r="AA1419" s="232"/>
      <c r="AB1419" s="232"/>
      <c r="AC1419" s="227"/>
      <c r="AD1419" s="227"/>
      <c r="AE1419" s="231"/>
      <c r="AF1419" s="227"/>
      <c r="AG1419" s="232"/>
      <c r="AH1419" s="232"/>
      <c r="AI1419" s="232"/>
      <c r="AJ1419" s="232"/>
      <c r="AK1419" s="232"/>
      <c r="AL1419" s="232"/>
      <c r="AM1419" s="232"/>
      <c r="AN1419" s="232"/>
      <c r="AO1419" s="231"/>
      <c r="AP1419" s="231"/>
      <c r="AQ1419" s="227"/>
      <c r="AR1419" s="231"/>
      <c r="AS1419" s="227"/>
      <c r="AT1419" s="227"/>
      <c r="AU1419" s="227"/>
      <c r="AV1419" s="227"/>
    </row>
    <row r="1420">
      <c r="A1420" s="227"/>
      <c r="B1420" s="232"/>
      <c r="C1420" s="227"/>
      <c r="D1420" s="227"/>
      <c r="E1420" s="231"/>
      <c r="F1420" s="232"/>
      <c r="G1420" s="227"/>
      <c r="H1420" s="227"/>
      <c r="I1420" s="227"/>
      <c r="J1420" s="227"/>
      <c r="K1420" s="227"/>
      <c r="L1420" s="232"/>
      <c r="M1420" s="232"/>
      <c r="N1420" s="227"/>
      <c r="O1420" s="227"/>
      <c r="P1420" s="231"/>
      <c r="Q1420" s="227"/>
      <c r="R1420" s="231"/>
      <c r="S1420" s="231"/>
      <c r="T1420" s="231"/>
      <c r="U1420" s="231"/>
      <c r="V1420" s="231"/>
      <c r="W1420" s="231"/>
      <c r="X1420" s="227"/>
      <c r="Y1420" s="232"/>
      <c r="Z1420" s="232"/>
      <c r="AA1420" s="232"/>
      <c r="AB1420" s="232"/>
      <c r="AC1420" s="227"/>
      <c r="AD1420" s="227"/>
      <c r="AE1420" s="231"/>
      <c r="AF1420" s="227"/>
      <c r="AG1420" s="232"/>
      <c r="AH1420" s="232"/>
      <c r="AI1420" s="232"/>
      <c r="AJ1420" s="232"/>
      <c r="AK1420" s="232"/>
      <c r="AL1420" s="232"/>
      <c r="AM1420" s="232"/>
      <c r="AN1420" s="232"/>
      <c r="AO1420" s="231"/>
      <c r="AP1420" s="231"/>
      <c r="AQ1420" s="227"/>
      <c r="AR1420" s="231"/>
      <c r="AS1420" s="227"/>
      <c r="AT1420" s="227"/>
      <c r="AU1420" s="227"/>
      <c r="AV1420" s="227"/>
    </row>
    <row r="1421">
      <c r="A1421" s="227"/>
      <c r="B1421" s="232"/>
      <c r="C1421" s="227"/>
      <c r="D1421" s="227"/>
      <c r="E1421" s="231"/>
      <c r="F1421" s="232"/>
      <c r="G1421" s="227"/>
      <c r="H1421" s="227"/>
      <c r="I1421" s="227"/>
      <c r="J1421" s="227"/>
      <c r="K1421" s="227"/>
      <c r="L1421" s="232"/>
      <c r="M1421" s="232"/>
      <c r="N1421" s="227"/>
      <c r="O1421" s="227"/>
      <c r="P1421" s="231"/>
      <c r="Q1421" s="227"/>
      <c r="R1421" s="231"/>
      <c r="S1421" s="231"/>
      <c r="T1421" s="231"/>
      <c r="U1421" s="231"/>
      <c r="V1421" s="231"/>
      <c r="W1421" s="231"/>
      <c r="X1421" s="227"/>
      <c r="Y1421" s="232"/>
      <c r="Z1421" s="232"/>
      <c r="AA1421" s="232"/>
      <c r="AB1421" s="232"/>
      <c r="AC1421" s="227"/>
      <c r="AD1421" s="227"/>
      <c r="AE1421" s="231"/>
      <c r="AF1421" s="227"/>
      <c r="AG1421" s="232"/>
      <c r="AH1421" s="232"/>
      <c r="AI1421" s="232"/>
      <c r="AJ1421" s="232"/>
      <c r="AK1421" s="232"/>
      <c r="AL1421" s="232"/>
      <c r="AM1421" s="232"/>
      <c r="AN1421" s="232"/>
      <c r="AO1421" s="231"/>
      <c r="AP1421" s="231"/>
      <c r="AQ1421" s="227"/>
      <c r="AR1421" s="231"/>
      <c r="AS1421" s="227"/>
      <c r="AT1421" s="227"/>
      <c r="AU1421" s="227"/>
      <c r="AV1421" s="227"/>
    </row>
    <row r="1422">
      <c r="A1422" s="227"/>
      <c r="B1422" s="232"/>
      <c r="C1422" s="227"/>
      <c r="D1422" s="227"/>
      <c r="E1422" s="231"/>
      <c r="F1422" s="232"/>
      <c r="G1422" s="227"/>
      <c r="H1422" s="227"/>
      <c r="I1422" s="227"/>
      <c r="J1422" s="227"/>
      <c r="K1422" s="227"/>
      <c r="L1422" s="232"/>
      <c r="M1422" s="232"/>
      <c r="N1422" s="227"/>
      <c r="O1422" s="227"/>
      <c r="P1422" s="231"/>
      <c r="Q1422" s="227"/>
      <c r="R1422" s="231"/>
      <c r="S1422" s="231"/>
      <c r="T1422" s="231"/>
      <c r="U1422" s="231"/>
      <c r="V1422" s="231"/>
      <c r="W1422" s="231"/>
      <c r="X1422" s="227"/>
      <c r="Y1422" s="232"/>
      <c r="Z1422" s="232"/>
      <c r="AA1422" s="232"/>
      <c r="AB1422" s="232"/>
      <c r="AC1422" s="227"/>
      <c r="AD1422" s="227"/>
      <c r="AE1422" s="231"/>
      <c r="AF1422" s="227"/>
      <c r="AG1422" s="232"/>
      <c r="AH1422" s="232"/>
      <c r="AI1422" s="232"/>
      <c r="AJ1422" s="232"/>
      <c r="AK1422" s="232"/>
      <c r="AL1422" s="232"/>
      <c r="AM1422" s="232"/>
      <c r="AN1422" s="232"/>
      <c r="AO1422" s="231"/>
      <c r="AP1422" s="231"/>
      <c r="AQ1422" s="227"/>
      <c r="AR1422" s="227"/>
      <c r="AS1422" s="227"/>
      <c r="AT1422" s="227"/>
      <c r="AU1422" s="227"/>
      <c r="AV1422" s="227"/>
    </row>
    <row r="1423">
      <c r="A1423" s="227"/>
      <c r="B1423" s="232"/>
      <c r="C1423" s="227"/>
      <c r="D1423" s="227"/>
      <c r="E1423" s="231"/>
      <c r="F1423" s="232"/>
      <c r="G1423" s="227"/>
      <c r="H1423" s="227"/>
      <c r="I1423" s="227"/>
      <c r="J1423" s="227"/>
      <c r="K1423" s="227"/>
      <c r="L1423" s="232"/>
      <c r="M1423" s="232"/>
      <c r="N1423" s="227"/>
      <c r="O1423" s="227"/>
      <c r="P1423" s="231"/>
      <c r="Q1423" s="227"/>
      <c r="R1423" s="231"/>
      <c r="S1423" s="231"/>
      <c r="T1423" s="231"/>
      <c r="U1423" s="231"/>
      <c r="V1423" s="231"/>
      <c r="W1423" s="231"/>
      <c r="X1423" s="227"/>
      <c r="Y1423" s="232"/>
      <c r="Z1423" s="232"/>
      <c r="AA1423" s="232"/>
      <c r="AB1423" s="232"/>
      <c r="AC1423" s="227"/>
      <c r="AD1423" s="227"/>
      <c r="AE1423" s="231"/>
      <c r="AF1423" s="227"/>
      <c r="AG1423" s="232"/>
      <c r="AH1423" s="232"/>
      <c r="AI1423" s="232"/>
      <c r="AJ1423" s="232"/>
      <c r="AK1423" s="232"/>
      <c r="AL1423" s="232"/>
      <c r="AM1423" s="232"/>
      <c r="AN1423" s="232"/>
      <c r="AO1423" s="231"/>
      <c r="AP1423" s="231"/>
      <c r="AQ1423" s="227"/>
      <c r="AR1423" s="231"/>
      <c r="AS1423" s="227"/>
      <c r="AT1423" s="227"/>
      <c r="AU1423" s="227"/>
      <c r="AV1423" s="227"/>
    </row>
    <row r="1424">
      <c r="A1424" s="227"/>
      <c r="B1424" s="232"/>
      <c r="C1424" s="227"/>
      <c r="D1424" s="227"/>
      <c r="E1424" s="231"/>
      <c r="F1424" s="232"/>
      <c r="G1424" s="227"/>
      <c r="H1424" s="227"/>
      <c r="I1424" s="227"/>
      <c r="J1424" s="227"/>
      <c r="K1424" s="227"/>
      <c r="L1424" s="232"/>
      <c r="M1424" s="232"/>
      <c r="N1424" s="227"/>
      <c r="O1424" s="227"/>
      <c r="P1424" s="231"/>
      <c r="Q1424" s="227"/>
      <c r="R1424" s="231"/>
      <c r="S1424" s="231"/>
      <c r="T1424" s="231"/>
      <c r="U1424" s="231"/>
      <c r="V1424" s="231"/>
      <c r="W1424" s="231"/>
      <c r="X1424" s="227"/>
      <c r="Y1424" s="232"/>
      <c r="Z1424" s="232"/>
      <c r="AA1424" s="232"/>
      <c r="AB1424" s="232"/>
      <c r="AC1424" s="227"/>
      <c r="AD1424" s="227"/>
      <c r="AE1424" s="231"/>
      <c r="AF1424" s="227"/>
      <c r="AG1424" s="232"/>
      <c r="AH1424" s="232"/>
      <c r="AI1424" s="232"/>
      <c r="AJ1424" s="232"/>
      <c r="AK1424" s="232"/>
      <c r="AL1424" s="232"/>
      <c r="AM1424" s="232"/>
      <c r="AN1424" s="232"/>
      <c r="AO1424" s="231"/>
      <c r="AP1424" s="231"/>
      <c r="AQ1424" s="227"/>
      <c r="AR1424" s="231"/>
      <c r="AS1424" s="227"/>
      <c r="AT1424" s="227"/>
      <c r="AU1424" s="227"/>
      <c r="AV1424" s="227"/>
    </row>
    <row r="1425">
      <c r="A1425" s="227"/>
      <c r="B1425" s="232"/>
      <c r="C1425" s="227"/>
      <c r="D1425" s="227"/>
      <c r="E1425" s="231"/>
      <c r="F1425" s="232"/>
      <c r="G1425" s="227"/>
      <c r="H1425" s="227"/>
      <c r="I1425" s="227"/>
      <c r="J1425" s="227"/>
      <c r="K1425" s="227"/>
      <c r="L1425" s="232"/>
      <c r="M1425" s="232"/>
      <c r="N1425" s="227"/>
      <c r="O1425" s="227"/>
      <c r="P1425" s="231"/>
      <c r="Q1425" s="227"/>
      <c r="R1425" s="231"/>
      <c r="S1425" s="231"/>
      <c r="T1425" s="231"/>
      <c r="U1425" s="231"/>
      <c r="V1425" s="231"/>
      <c r="W1425" s="231"/>
      <c r="X1425" s="227"/>
      <c r="Y1425" s="232"/>
      <c r="Z1425" s="232"/>
      <c r="AA1425" s="232"/>
      <c r="AB1425" s="232"/>
      <c r="AC1425" s="227"/>
      <c r="AD1425" s="227"/>
      <c r="AE1425" s="231"/>
      <c r="AF1425" s="227"/>
      <c r="AG1425" s="232"/>
      <c r="AH1425" s="232"/>
      <c r="AI1425" s="232"/>
      <c r="AJ1425" s="232"/>
      <c r="AK1425" s="232"/>
      <c r="AL1425" s="232"/>
      <c r="AM1425" s="232"/>
      <c r="AN1425" s="232"/>
      <c r="AO1425" s="231"/>
      <c r="AP1425" s="231"/>
      <c r="AQ1425" s="227"/>
      <c r="AR1425" s="231"/>
      <c r="AS1425" s="227"/>
      <c r="AT1425" s="227"/>
      <c r="AU1425" s="227"/>
      <c r="AV1425" s="227"/>
    </row>
    <row r="1426">
      <c r="A1426" s="227"/>
      <c r="B1426" s="232"/>
      <c r="C1426" s="227"/>
      <c r="D1426" s="227"/>
      <c r="E1426" s="231"/>
      <c r="F1426" s="232"/>
      <c r="G1426" s="227"/>
      <c r="H1426" s="227"/>
      <c r="I1426" s="227"/>
      <c r="J1426" s="227"/>
      <c r="K1426" s="227"/>
      <c r="L1426" s="232"/>
      <c r="M1426" s="232"/>
      <c r="N1426" s="227"/>
      <c r="O1426" s="227"/>
      <c r="P1426" s="231"/>
      <c r="Q1426" s="227"/>
      <c r="R1426" s="231"/>
      <c r="S1426" s="231"/>
      <c r="T1426" s="231"/>
      <c r="U1426" s="231"/>
      <c r="V1426" s="231"/>
      <c r="W1426" s="231"/>
      <c r="X1426" s="227"/>
      <c r="Y1426" s="232"/>
      <c r="Z1426" s="232"/>
      <c r="AA1426" s="232"/>
      <c r="AB1426" s="232"/>
      <c r="AC1426" s="227"/>
      <c r="AD1426" s="227"/>
      <c r="AE1426" s="231"/>
      <c r="AF1426" s="227"/>
      <c r="AG1426" s="232"/>
      <c r="AH1426" s="232"/>
      <c r="AI1426" s="232"/>
      <c r="AJ1426" s="232"/>
      <c r="AK1426" s="232"/>
      <c r="AL1426" s="232"/>
      <c r="AM1426" s="232"/>
      <c r="AN1426" s="232"/>
      <c r="AO1426" s="231"/>
      <c r="AP1426" s="231"/>
      <c r="AQ1426" s="227"/>
      <c r="AR1426" s="231"/>
      <c r="AS1426" s="227"/>
      <c r="AT1426" s="227"/>
      <c r="AU1426" s="227"/>
      <c r="AV1426" s="227"/>
    </row>
    <row r="1427">
      <c r="A1427" s="227"/>
      <c r="B1427" s="232"/>
      <c r="C1427" s="227"/>
      <c r="D1427" s="227"/>
      <c r="E1427" s="231"/>
      <c r="F1427" s="232"/>
      <c r="G1427" s="227"/>
      <c r="H1427" s="227"/>
      <c r="I1427" s="227"/>
      <c r="J1427" s="227"/>
      <c r="K1427" s="227"/>
      <c r="L1427" s="232"/>
      <c r="M1427" s="232"/>
      <c r="N1427" s="227"/>
      <c r="O1427" s="227"/>
      <c r="P1427" s="231"/>
      <c r="Q1427" s="227"/>
      <c r="R1427" s="231"/>
      <c r="S1427" s="231"/>
      <c r="T1427" s="231"/>
      <c r="U1427" s="231"/>
      <c r="V1427" s="231"/>
      <c r="W1427" s="231"/>
      <c r="X1427" s="227"/>
      <c r="Y1427" s="232"/>
      <c r="Z1427" s="232"/>
      <c r="AA1427" s="232"/>
      <c r="AB1427" s="232"/>
      <c r="AC1427" s="227"/>
      <c r="AD1427" s="227"/>
      <c r="AE1427" s="231"/>
      <c r="AF1427" s="227"/>
      <c r="AG1427" s="232"/>
      <c r="AH1427" s="232"/>
      <c r="AI1427" s="232"/>
      <c r="AJ1427" s="232"/>
      <c r="AK1427" s="232"/>
      <c r="AL1427" s="232"/>
      <c r="AM1427" s="232"/>
      <c r="AN1427" s="232"/>
      <c r="AO1427" s="231"/>
      <c r="AP1427" s="231"/>
      <c r="AQ1427" s="227"/>
      <c r="AR1427" s="231"/>
      <c r="AS1427" s="227"/>
      <c r="AT1427" s="227"/>
      <c r="AU1427" s="227"/>
      <c r="AV1427" s="227"/>
    </row>
    <row r="1428">
      <c r="A1428" s="227"/>
      <c r="B1428" s="232"/>
      <c r="C1428" s="227"/>
      <c r="D1428" s="227"/>
      <c r="E1428" s="231"/>
      <c r="F1428" s="232"/>
      <c r="G1428" s="227"/>
      <c r="H1428" s="227"/>
      <c r="I1428" s="227"/>
      <c r="J1428" s="227"/>
      <c r="K1428" s="227"/>
      <c r="L1428" s="232"/>
      <c r="M1428" s="232"/>
      <c r="N1428" s="227"/>
      <c r="O1428" s="227"/>
      <c r="P1428" s="231"/>
      <c r="Q1428" s="227"/>
      <c r="R1428" s="231"/>
      <c r="S1428" s="231"/>
      <c r="T1428" s="231"/>
      <c r="U1428" s="231"/>
      <c r="V1428" s="231"/>
      <c r="W1428" s="231"/>
      <c r="X1428" s="227"/>
      <c r="Y1428" s="232"/>
      <c r="Z1428" s="232"/>
      <c r="AA1428" s="232"/>
      <c r="AB1428" s="232"/>
      <c r="AC1428" s="227"/>
      <c r="AD1428" s="227"/>
      <c r="AE1428" s="231"/>
      <c r="AF1428" s="227"/>
      <c r="AG1428" s="232"/>
      <c r="AH1428" s="232"/>
      <c r="AI1428" s="232"/>
      <c r="AJ1428" s="232"/>
      <c r="AK1428" s="232"/>
      <c r="AL1428" s="232"/>
      <c r="AM1428" s="232"/>
      <c r="AN1428" s="232"/>
      <c r="AO1428" s="231"/>
      <c r="AP1428" s="231"/>
      <c r="AQ1428" s="227"/>
      <c r="AR1428" s="231"/>
      <c r="AS1428" s="227"/>
      <c r="AT1428" s="227"/>
      <c r="AU1428" s="227"/>
      <c r="AV1428" s="227"/>
    </row>
    <row r="1429">
      <c r="A1429" s="227"/>
      <c r="B1429" s="232"/>
      <c r="C1429" s="227"/>
      <c r="D1429" s="227"/>
      <c r="E1429" s="231"/>
      <c r="F1429" s="232"/>
      <c r="G1429" s="227"/>
      <c r="H1429" s="227"/>
      <c r="I1429" s="227"/>
      <c r="J1429" s="227"/>
      <c r="K1429" s="227"/>
      <c r="L1429" s="232"/>
      <c r="M1429" s="232"/>
      <c r="N1429" s="227"/>
      <c r="O1429" s="227"/>
      <c r="P1429" s="231"/>
      <c r="Q1429" s="227"/>
      <c r="R1429" s="231"/>
      <c r="S1429" s="231"/>
      <c r="T1429" s="231"/>
      <c r="U1429" s="231"/>
      <c r="V1429" s="231"/>
      <c r="W1429" s="231"/>
      <c r="X1429" s="227"/>
      <c r="Y1429" s="232"/>
      <c r="Z1429" s="232"/>
      <c r="AA1429" s="232"/>
      <c r="AB1429" s="232"/>
      <c r="AC1429" s="227"/>
      <c r="AD1429" s="227"/>
      <c r="AE1429" s="231"/>
      <c r="AF1429" s="227"/>
      <c r="AG1429" s="232"/>
      <c r="AH1429" s="232"/>
      <c r="AI1429" s="232"/>
      <c r="AJ1429" s="232"/>
      <c r="AK1429" s="232"/>
      <c r="AL1429" s="232"/>
      <c r="AM1429" s="232"/>
      <c r="AN1429" s="232"/>
      <c r="AO1429" s="231"/>
      <c r="AP1429" s="231"/>
      <c r="AQ1429" s="227"/>
      <c r="AR1429" s="231"/>
      <c r="AS1429" s="227"/>
      <c r="AT1429" s="227"/>
      <c r="AU1429" s="227"/>
      <c r="AV1429" s="227"/>
    </row>
    <row r="1430">
      <c r="A1430" s="227"/>
      <c r="B1430" s="232"/>
      <c r="C1430" s="227"/>
      <c r="D1430" s="227"/>
      <c r="E1430" s="231"/>
      <c r="F1430" s="232"/>
      <c r="G1430" s="227"/>
      <c r="H1430" s="227"/>
      <c r="I1430" s="227"/>
      <c r="J1430" s="227"/>
      <c r="K1430" s="227"/>
      <c r="L1430" s="232"/>
      <c r="M1430" s="232"/>
      <c r="N1430" s="227"/>
      <c r="O1430" s="227"/>
      <c r="P1430" s="231"/>
      <c r="Q1430" s="227"/>
      <c r="R1430" s="231"/>
      <c r="S1430" s="231"/>
      <c r="T1430" s="231"/>
      <c r="U1430" s="231"/>
      <c r="V1430" s="231"/>
      <c r="W1430" s="231"/>
      <c r="X1430" s="227"/>
      <c r="Y1430" s="232"/>
      <c r="Z1430" s="232"/>
      <c r="AA1430" s="232"/>
      <c r="AB1430" s="232"/>
      <c r="AC1430" s="227"/>
      <c r="AD1430" s="227"/>
      <c r="AE1430" s="231"/>
      <c r="AF1430" s="227"/>
      <c r="AG1430" s="232"/>
      <c r="AH1430" s="232"/>
      <c r="AI1430" s="232"/>
      <c r="AJ1430" s="232"/>
      <c r="AK1430" s="232"/>
      <c r="AL1430" s="232"/>
      <c r="AM1430" s="232"/>
      <c r="AN1430" s="232"/>
      <c r="AO1430" s="231"/>
      <c r="AP1430" s="231"/>
      <c r="AQ1430" s="227"/>
      <c r="AR1430" s="231"/>
      <c r="AS1430" s="227"/>
      <c r="AT1430" s="227"/>
      <c r="AU1430" s="227"/>
      <c r="AV1430" s="227"/>
    </row>
    <row r="1431">
      <c r="A1431" s="227"/>
      <c r="B1431" s="232"/>
      <c r="C1431" s="227"/>
      <c r="D1431" s="227"/>
      <c r="E1431" s="231"/>
      <c r="F1431" s="232"/>
      <c r="G1431" s="227"/>
      <c r="H1431" s="227"/>
      <c r="I1431" s="227"/>
      <c r="J1431" s="227"/>
      <c r="K1431" s="227"/>
      <c r="L1431" s="232"/>
      <c r="M1431" s="232"/>
      <c r="N1431" s="227"/>
      <c r="O1431" s="227"/>
      <c r="P1431" s="231"/>
      <c r="Q1431" s="227"/>
      <c r="R1431" s="231"/>
      <c r="S1431" s="231"/>
      <c r="T1431" s="231"/>
      <c r="U1431" s="231"/>
      <c r="V1431" s="231"/>
      <c r="W1431" s="231"/>
      <c r="X1431" s="227"/>
      <c r="Y1431" s="232"/>
      <c r="Z1431" s="232"/>
      <c r="AA1431" s="232"/>
      <c r="AB1431" s="232"/>
      <c r="AC1431" s="227"/>
      <c r="AD1431" s="227"/>
      <c r="AE1431" s="231"/>
      <c r="AF1431" s="227"/>
      <c r="AG1431" s="232"/>
      <c r="AH1431" s="232"/>
      <c r="AI1431" s="232"/>
      <c r="AJ1431" s="232"/>
      <c r="AK1431" s="232"/>
      <c r="AL1431" s="232"/>
      <c r="AM1431" s="232"/>
      <c r="AN1431" s="232"/>
      <c r="AO1431" s="231"/>
      <c r="AP1431" s="231"/>
      <c r="AQ1431" s="227"/>
      <c r="AR1431" s="231"/>
      <c r="AS1431" s="227"/>
      <c r="AT1431" s="227"/>
      <c r="AU1431" s="227"/>
      <c r="AV1431" s="227"/>
    </row>
    <row r="1432">
      <c r="A1432" s="227"/>
      <c r="B1432" s="232"/>
      <c r="C1432" s="227"/>
      <c r="D1432" s="227"/>
      <c r="E1432" s="231"/>
      <c r="F1432" s="232"/>
      <c r="G1432" s="227"/>
      <c r="H1432" s="227"/>
      <c r="I1432" s="227"/>
      <c r="J1432" s="227"/>
      <c r="K1432" s="227"/>
      <c r="L1432" s="232"/>
      <c r="M1432" s="232"/>
      <c r="N1432" s="227"/>
      <c r="O1432" s="227"/>
      <c r="P1432" s="231"/>
      <c r="Q1432" s="227"/>
      <c r="R1432" s="231"/>
      <c r="S1432" s="231"/>
      <c r="T1432" s="231"/>
      <c r="U1432" s="231"/>
      <c r="V1432" s="231"/>
      <c r="W1432" s="231"/>
      <c r="X1432" s="227"/>
      <c r="Y1432" s="232"/>
      <c r="Z1432" s="232"/>
      <c r="AA1432" s="232"/>
      <c r="AB1432" s="232"/>
      <c r="AC1432" s="227"/>
      <c r="AD1432" s="227"/>
      <c r="AE1432" s="231"/>
      <c r="AF1432" s="227"/>
      <c r="AG1432" s="232"/>
      <c r="AH1432" s="232"/>
      <c r="AI1432" s="232"/>
      <c r="AJ1432" s="232"/>
      <c r="AK1432" s="232"/>
      <c r="AL1432" s="232"/>
      <c r="AM1432" s="232"/>
      <c r="AN1432" s="232"/>
      <c r="AO1432" s="231"/>
      <c r="AP1432" s="231"/>
      <c r="AQ1432" s="227"/>
      <c r="AR1432" s="231"/>
      <c r="AS1432" s="227"/>
      <c r="AT1432" s="227"/>
      <c r="AU1432" s="227"/>
      <c r="AV1432" s="227"/>
    </row>
    <row r="1433">
      <c r="A1433" s="227"/>
      <c r="B1433" s="232"/>
      <c r="C1433" s="227"/>
      <c r="D1433" s="227"/>
      <c r="E1433" s="231"/>
      <c r="F1433" s="232"/>
      <c r="G1433" s="227"/>
      <c r="H1433" s="227"/>
      <c r="I1433" s="227"/>
      <c r="J1433" s="227"/>
      <c r="K1433" s="227"/>
      <c r="L1433" s="232"/>
      <c r="M1433" s="232"/>
      <c r="N1433" s="227"/>
      <c r="O1433" s="227"/>
      <c r="P1433" s="231"/>
      <c r="Q1433" s="227"/>
      <c r="R1433" s="231"/>
      <c r="S1433" s="231"/>
      <c r="T1433" s="231"/>
      <c r="U1433" s="231"/>
      <c r="V1433" s="231"/>
      <c r="W1433" s="231"/>
      <c r="X1433" s="227"/>
      <c r="Y1433" s="232"/>
      <c r="Z1433" s="232"/>
      <c r="AA1433" s="232"/>
      <c r="AB1433" s="232"/>
      <c r="AC1433" s="227"/>
      <c r="AD1433" s="227"/>
      <c r="AE1433" s="231"/>
      <c r="AF1433" s="227"/>
      <c r="AG1433" s="232"/>
      <c r="AH1433" s="232"/>
      <c r="AI1433" s="232"/>
      <c r="AJ1433" s="232"/>
      <c r="AK1433" s="232"/>
      <c r="AL1433" s="232"/>
      <c r="AM1433" s="232"/>
      <c r="AN1433" s="232"/>
      <c r="AO1433" s="231"/>
      <c r="AP1433" s="231"/>
      <c r="AQ1433" s="227"/>
      <c r="AR1433" s="231"/>
      <c r="AS1433" s="227"/>
      <c r="AT1433" s="227"/>
      <c r="AU1433" s="227"/>
      <c r="AV1433" s="227"/>
    </row>
    <row r="1434">
      <c r="A1434" s="227"/>
      <c r="B1434" s="232"/>
      <c r="C1434" s="227"/>
      <c r="D1434" s="227"/>
      <c r="E1434" s="231"/>
      <c r="F1434" s="232"/>
      <c r="G1434" s="227"/>
      <c r="H1434" s="227"/>
      <c r="I1434" s="227"/>
      <c r="J1434" s="227"/>
      <c r="K1434" s="227"/>
      <c r="L1434" s="232"/>
      <c r="M1434" s="232"/>
      <c r="N1434" s="227"/>
      <c r="O1434" s="227"/>
      <c r="P1434" s="231"/>
      <c r="Q1434" s="227"/>
      <c r="R1434" s="231"/>
      <c r="S1434" s="231"/>
      <c r="T1434" s="231"/>
      <c r="U1434" s="231"/>
      <c r="V1434" s="231"/>
      <c r="W1434" s="231"/>
      <c r="X1434" s="227"/>
      <c r="Y1434" s="232"/>
      <c r="Z1434" s="232"/>
      <c r="AA1434" s="232"/>
      <c r="AB1434" s="232"/>
      <c r="AC1434" s="227"/>
      <c r="AD1434" s="227"/>
      <c r="AE1434" s="231"/>
      <c r="AF1434" s="227"/>
      <c r="AG1434" s="232"/>
      <c r="AH1434" s="232"/>
      <c r="AI1434" s="232"/>
      <c r="AJ1434" s="232"/>
      <c r="AK1434" s="232"/>
      <c r="AL1434" s="232"/>
      <c r="AM1434" s="232"/>
      <c r="AN1434" s="232"/>
      <c r="AO1434" s="231"/>
      <c r="AP1434" s="231"/>
      <c r="AQ1434" s="227"/>
      <c r="AR1434" s="231"/>
      <c r="AS1434" s="227"/>
      <c r="AT1434" s="227"/>
      <c r="AU1434" s="227"/>
      <c r="AV1434" s="227"/>
    </row>
    <row r="1435">
      <c r="A1435" s="227"/>
      <c r="B1435" s="232"/>
      <c r="C1435" s="227"/>
      <c r="D1435" s="227"/>
      <c r="E1435" s="231"/>
      <c r="F1435" s="232"/>
      <c r="G1435" s="227"/>
      <c r="H1435" s="227"/>
      <c r="I1435" s="227"/>
      <c r="J1435" s="227"/>
      <c r="K1435" s="227"/>
      <c r="L1435" s="232"/>
      <c r="M1435" s="232"/>
      <c r="N1435" s="227"/>
      <c r="O1435" s="227"/>
      <c r="P1435" s="231"/>
      <c r="Q1435" s="227"/>
      <c r="R1435" s="231"/>
      <c r="S1435" s="231"/>
      <c r="T1435" s="231"/>
      <c r="U1435" s="231"/>
      <c r="V1435" s="231"/>
      <c r="W1435" s="231"/>
      <c r="X1435" s="227"/>
      <c r="Y1435" s="232"/>
      <c r="Z1435" s="232"/>
      <c r="AA1435" s="232"/>
      <c r="AB1435" s="232"/>
      <c r="AC1435" s="227"/>
      <c r="AD1435" s="227"/>
      <c r="AE1435" s="231"/>
      <c r="AF1435" s="227"/>
      <c r="AG1435" s="232"/>
      <c r="AH1435" s="232"/>
      <c r="AI1435" s="232"/>
      <c r="AJ1435" s="232"/>
      <c r="AK1435" s="232"/>
      <c r="AL1435" s="232"/>
      <c r="AM1435" s="232"/>
      <c r="AN1435" s="232"/>
      <c r="AO1435" s="231"/>
      <c r="AP1435" s="231"/>
      <c r="AQ1435" s="227"/>
      <c r="AR1435" s="231"/>
      <c r="AS1435" s="227"/>
      <c r="AT1435" s="227"/>
      <c r="AU1435" s="227"/>
      <c r="AV1435" s="227"/>
    </row>
    <row r="1436">
      <c r="A1436" s="227"/>
      <c r="B1436" s="232"/>
      <c r="C1436" s="227"/>
      <c r="D1436" s="227"/>
      <c r="E1436" s="231"/>
      <c r="F1436" s="232"/>
      <c r="G1436" s="227"/>
      <c r="H1436" s="227"/>
      <c r="I1436" s="227"/>
      <c r="J1436" s="227"/>
      <c r="K1436" s="227"/>
      <c r="L1436" s="232"/>
      <c r="M1436" s="232"/>
      <c r="N1436" s="227"/>
      <c r="O1436" s="227"/>
      <c r="P1436" s="231"/>
      <c r="Q1436" s="227"/>
      <c r="R1436" s="231"/>
      <c r="S1436" s="231"/>
      <c r="T1436" s="231"/>
      <c r="U1436" s="231"/>
      <c r="V1436" s="231"/>
      <c r="W1436" s="231"/>
      <c r="X1436" s="227"/>
      <c r="Y1436" s="232"/>
      <c r="Z1436" s="232"/>
      <c r="AA1436" s="232"/>
      <c r="AB1436" s="232"/>
      <c r="AC1436" s="227"/>
      <c r="AD1436" s="227"/>
      <c r="AE1436" s="231"/>
      <c r="AF1436" s="227"/>
      <c r="AG1436" s="232"/>
      <c r="AH1436" s="232"/>
      <c r="AI1436" s="232"/>
      <c r="AJ1436" s="232"/>
      <c r="AK1436" s="232"/>
      <c r="AL1436" s="232"/>
      <c r="AM1436" s="232"/>
      <c r="AN1436" s="232"/>
      <c r="AO1436" s="231"/>
      <c r="AP1436" s="231"/>
      <c r="AQ1436" s="227"/>
      <c r="AR1436" s="231"/>
      <c r="AS1436" s="227"/>
      <c r="AT1436" s="227"/>
      <c r="AU1436" s="227"/>
      <c r="AV1436" s="227"/>
    </row>
    <row r="1437">
      <c r="A1437" s="227"/>
      <c r="B1437" s="232"/>
      <c r="C1437" s="227"/>
      <c r="D1437" s="227"/>
      <c r="E1437" s="231"/>
      <c r="F1437" s="232"/>
      <c r="G1437" s="227"/>
      <c r="H1437" s="227"/>
      <c r="I1437" s="227"/>
      <c r="J1437" s="227"/>
      <c r="K1437" s="227"/>
      <c r="L1437" s="232"/>
      <c r="M1437" s="232"/>
      <c r="N1437" s="227"/>
      <c r="O1437" s="227"/>
      <c r="P1437" s="231"/>
      <c r="Q1437" s="227"/>
      <c r="R1437" s="231"/>
      <c r="S1437" s="231"/>
      <c r="T1437" s="231"/>
      <c r="U1437" s="231"/>
      <c r="V1437" s="231"/>
      <c r="W1437" s="231"/>
      <c r="X1437" s="227"/>
      <c r="Y1437" s="232"/>
      <c r="Z1437" s="232"/>
      <c r="AA1437" s="232"/>
      <c r="AB1437" s="232"/>
      <c r="AC1437" s="227"/>
      <c r="AD1437" s="227"/>
      <c r="AE1437" s="231"/>
      <c r="AF1437" s="227"/>
      <c r="AG1437" s="232"/>
      <c r="AH1437" s="232"/>
      <c r="AI1437" s="232"/>
      <c r="AJ1437" s="232"/>
      <c r="AK1437" s="232"/>
      <c r="AL1437" s="232"/>
      <c r="AM1437" s="232"/>
      <c r="AN1437" s="232"/>
      <c r="AO1437" s="231"/>
      <c r="AP1437" s="231"/>
      <c r="AQ1437" s="227"/>
      <c r="AR1437" s="231"/>
      <c r="AS1437" s="227"/>
      <c r="AT1437" s="227"/>
      <c r="AU1437" s="227"/>
      <c r="AV1437" s="227"/>
    </row>
    <row r="1438">
      <c r="A1438" s="227"/>
      <c r="B1438" s="232"/>
      <c r="C1438" s="227"/>
      <c r="D1438" s="227"/>
      <c r="E1438" s="231"/>
      <c r="F1438" s="232"/>
      <c r="G1438" s="227"/>
      <c r="H1438" s="227"/>
      <c r="I1438" s="227"/>
      <c r="J1438" s="227"/>
      <c r="K1438" s="227"/>
      <c r="L1438" s="232"/>
      <c r="M1438" s="232"/>
      <c r="N1438" s="227"/>
      <c r="O1438" s="227"/>
      <c r="P1438" s="231"/>
      <c r="Q1438" s="227"/>
      <c r="R1438" s="231"/>
      <c r="S1438" s="231"/>
      <c r="T1438" s="231"/>
      <c r="U1438" s="231"/>
      <c r="V1438" s="231"/>
      <c r="W1438" s="231"/>
      <c r="X1438" s="227"/>
      <c r="Y1438" s="232"/>
      <c r="Z1438" s="232"/>
      <c r="AA1438" s="232"/>
      <c r="AB1438" s="232"/>
      <c r="AC1438" s="227"/>
      <c r="AD1438" s="227"/>
      <c r="AE1438" s="231"/>
      <c r="AF1438" s="227"/>
      <c r="AG1438" s="232"/>
      <c r="AH1438" s="232"/>
      <c r="AI1438" s="232"/>
      <c r="AJ1438" s="232"/>
      <c r="AK1438" s="232"/>
      <c r="AL1438" s="232"/>
      <c r="AM1438" s="232"/>
      <c r="AN1438" s="232"/>
      <c r="AO1438" s="231"/>
      <c r="AP1438" s="231"/>
      <c r="AQ1438" s="227"/>
      <c r="AR1438" s="231"/>
      <c r="AS1438" s="227"/>
      <c r="AT1438" s="227"/>
      <c r="AU1438" s="227"/>
      <c r="AV1438" s="227"/>
    </row>
    <row r="1439">
      <c r="A1439" s="227"/>
      <c r="B1439" s="232"/>
      <c r="C1439" s="227"/>
      <c r="D1439" s="227"/>
      <c r="E1439" s="231"/>
      <c r="F1439" s="232"/>
      <c r="G1439" s="227"/>
      <c r="H1439" s="227"/>
      <c r="I1439" s="227"/>
      <c r="J1439" s="227"/>
      <c r="K1439" s="227"/>
      <c r="L1439" s="232"/>
      <c r="M1439" s="232"/>
      <c r="N1439" s="227"/>
      <c r="O1439" s="227"/>
      <c r="P1439" s="231"/>
      <c r="Q1439" s="227"/>
      <c r="R1439" s="231"/>
      <c r="S1439" s="231"/>
      <c r="T1439" s="231"/>
      <c r="U1439" s="231"/>
      <c r="V1439" s="231"/>
      <c r="W1439" s="231"/>
      <c r="X1439" s="227"/>
      <c r="Y1439" s="232"/>
      <c r="Z1439" s="232"/>
      <c r="AA1439" s="232"/>
      <c r="AB1439" s="232"/>
      <c r="AC1439" s="227"/>
      <c r="AD1439" s="227"/>
      <c r="AE1439" s="231"/>
      <c r="AF1439" s="227"/>
      <c r="AG1439" s="232"/>
      <c r="AH1439" s="232"/>
      <c r="AI1439" s="232"/>
      <c r="AJ1439" s="232"/>
      <c r="AK1439" s="232"/>
      <c r="AL1439" s="232"/>
      <c r="AM1439" s="232"/>
      <c r="AN1439" s="232"/>
      <c r="AO1439" s="231"/>
      <c r="AP1439" s="231"/>
      <c r="AQ1439" s="227"/>
      <c r="AR1439" s="231"/>
      <c r="AS1439" s="227"/>
      <c r="AT1439" s="227"/>
      <c r="AU1439" s="227"/>
      <c r="AV1439" s="227"/>
    </row>
    <row r="1440">
      <c r="A1440" s="227"/>
      <c r="B1440" s="232"/>
      <c r="C1440" s="227"/>
      <c r="D1440" s="227"/>
      <c r="E1440" s="231"/>
      <c r="F1440" s="232"/>
      <c r="G1440" s="227"/>
      <c r="H1440" s="227"/>
      <c r="I1440" s="227"/>
      <c r="J1440" s="227"/>
      <c r="K1440" s="227"/>
      <c r="L1440" s="232"/>
      <c r="M1440" s="232"/>
      <c r="N1440" s="227"/>
      <c r="O1440" s="227"/>
      <c r="P1440" s="231"/>
      <c r="Q1440" s="227"/>
      <c r="R1440" s="231"/>
      <c r="S1440" s="231"/>
      <c r="T1440" s="231"/>
      <c r="U1440" s="231"/>
      <c r="V1440" s="231"/>
      <c r="W1440" s="231"/>
      <c r="X1440" s="227"/>
      <c r="Y1440" s="232"/>
      <c r="Z1440" s="232"/>
      <c r="AA1440" s="232"/>
      <c r="AB1440" s="232"/>
      <c r="AC1440" s="227"/>
      <c r="AD1440" s="227"/>
      <c r="AE1440" s="231"/>
      <c r="AF1440" s="227"/>
      <c r="AG1440" s="232"/>
      <c r="AH1440" s="232"/>
      <c r="AI1440" s="232"/>
      <c r="AJ1440" s="232"/>
      <c r="AK1440" s="232"/>
      <c r="AL1440" s="232"/>
      <c r="AM1440" s="232"/>
      <c r="AN1440" s="232"/>
      <c r="AO1440" s="231"/>
      <c r="AP1440" s="231"/>
      <c r="AQ1440" s="227"/>
      <c r="AR1440" s="231"/>
      <c r="AS1440" s="227"/>
      <c r="AT1440" s="227"/>
      <c r="AU1440" s="227"/>
      <c r="AV1440" s="227"/>
    </row>
    <row r="1441">
      <c r="A1441" s="227"/>
      <c r="B1441" s="232"/>
      <c r="C1441" s="227"/>
      <c r="D1441" s="227"/>
      <c r="E1441" s="231"/>
      <c r="F1441" s="232"/>
      <c r="G1441" s="227"/>
      <c r="H1441" s="227"/>
      <c r="I1441" s="227"/>
      <c r="J1441" s="227"/>
      <c r="K1441" s="227"/>
      <c r="L1441" s="232"/>
      <c r="M1441" s="232"/>
      <c r="N1441" s="227"/>
      <c r="O1441" s="227"/>
      <c r="P1441" s="231"/>
      <c r="Q1441" s="227"/>
      <c r="R1441" s="231"/>
      <c r="S1441" s="231"/>
      <c r="T1441" s="231"/>
      <c r="U1441" s="231"/>
      <c r="V1441" s="231"/>
      <c r="W1441" s="231"/>
      <c r="X1441" s="227"/>
      <c r="Y1441" s="232"/>
      <c r="Z1441" s="232"/>
      <c r="AA1441" s="232"/>
      <c r="AB1441" s="232"/>
      <c r="AC1441" s="227"/>
      <c r="AD1441" s="227"/>
      <c r="AE1441" s="231"/>
      <c r="AF1441" s="227"/>
      <c r="AG1441" s="232"/>
      <c r="AH1441" s="232"/>
      <c r="AI1441" s="232"/>
      <c r="AJ1441" s="232"/>
      <c r="AK1441" s="232"/>
      <c r="AL1441" s="232"/>
      <c r="AM1441" s="232"/>
      <c r="AN1441" s="232"/>
      <c r="AO1441" s="231"/>
      <c r="AP1441" s="231"/>
      <c r="AQ1441" s="227"/>
      <c r="AR1441" s="231"/>
      <c r="AS1441" s="227"/>
      <c r="AT1441" s="227"/>
      <c r="AU1441" s="227"/>
      <c r="AV1441" s="227"/>
    </row>
    <row r="1442">
      <c r="A1442" s="227"/>
      <c r="B1442" s="232"/>
      <c r="C1442" s="227"/>
      <c r="D1442" s="227"/>
      <c r="E1442" s="231"/>
      <c r="F1442" s="232"/>
      <c r="G1442" s="227"/>
      <c r="H1442" s="227"/>
      <c r="I1442" s="227"/>
      <c r="J1442" s="227"/>
      <c r="K1442" s="227"/>
      <c r="L1442" s="232"/>
      <c r="M1442" s="232"/>
      <c r="N1442" s="227"/>
      <c r="O1442" s="227"/>
      <c r="P1442" s="231"/>
      <c r="Q1442" s="227"/>
      <c r="R1442" s="231"/>
      <c r="S1442" s="231"/>
      <c r="T1442" s="231"/>
      <c r="U1442" s="231"/>
      <c r="V1442" s="231"/>
      <c r="W1442" s="231"/>
      <c r="X1442" s="227"/>
      <c r="Y1442" s="232"/>
      <c r="Z1442" s="232"/>
      <c r="AA1442" s="232"/>
      <c r="AB1442" s="232"/>
      <c r="AC1442" s="227"/>
      <c r="AD1442" s="227"/>
      <c r="AE1442" s="231"/>
      <c r="AF1442" s="227"/>
      <c r="AG1442" s="232"/>
      <c r="AH1442" s="232"/>
      <c r="AI1442" s="232"/>
      <c r="AJ1442" s="232"/>
      <c r="AK1442" s="232"/>
      <c r="AL1442" s="232"/>
      <c r="AM1442" s="232"/>
      <c r="AN1442" s="232"/>
      <c r="AO1442" s="231"/>
      <c r="AP1442" s="231"/>
      <c r="AQ1442" s="227"/>
      <c r="AR1442" s="231"/>
      <c r="AS1442" s="227"/>
      <c r="AT1442" s="227"/>
      <c r="AU1442" s="227"/>
      <c r="AV1442" s="227"/>
    </row>
    <row r="1443">
      <c r="A1443" s="227"/>
      <c r="B1443" s="232"/>
      <c r="C1443" s="227"/>
      <c r="D1443" s="227"/>
      <c r="E1443" s="231"/>
      <c r="F1443" s="232"/>
      <c r="G1443" s="227"/>
      <c r="H1443" s="227"/>
      <c r="I1443" s="227"/>
      <c r="J1443" s="227"/>
      <c r="K1443" s="227"/>
      <c r="L1443" s="232"/>
      <c r="M1443" s="232"/>
      <c r="N1443" s="227"/>
      <c r="O1443" s="227"/>
      <c r="P1443" s="231"/>
      <c r="Q1443" s="227"/>
      <c r="R1443" s="231"/>
      <c r="S1443" s="231"/>
      <c r="T1443" s="231"/>
      <c r="U1443" s="231"/>
      <c r="V1443" s="231"/>
      <c r="W1443" s="231"/>
      <c r="X1443" s="227"/>
      <c r="Y1443" s="232"/>
      <c r="Z1443" s="232"/>
      <c r="AA1443" s="232"/>
      <c r="AB1443" s="232"/>
      <c r="AC1443" s="227"/>
      <c r="AD1443" s="227"/>
      <c r="AE1443" s="231"/>
      <c r="AF1443" s="227"/>
      <c r="AG1443" s="232"/>
      <c r="AH1443" s="232"/>
      <c r="AI1443" s="232"/>
      <c r="AJ1443" s="232"/>
      <c r="AK1443" s="232"/>
      <c r="AL1443" s="232"/>
      <c r="AM1443" s="232"/>
      <c r="AN1443" s="232"/>
      <c r="AO1443" s="231"/>
      <c r="AP1443" s="231"/>
      <c r="AQ1443" s="227"/>
      <c r="AR1443" s="227"/>
      <c r="AS1443" s="227"/>
      <c r="AT1443" s="227"/>
      <c r="AU1443" s="227"/>
      <c r="AV1443" s="227"/>
    </row>
    <row r="1444">
      <c r="A1444" s="227"/>
      <c r="B1444" s="232"/>
      <c r="C1444" s="227"/>
      <c r="D1444" s="227"/>
      <c r="E1444" s="231"/>
      <c r="F1444" s="232"/>
      <c r="G1444" s="227"/>
      <c r="H1444" s="227"/>
      <c r="I1444" s="227"/>
      <c r="J1444" s="227"/>
      <c r="K1444" s="227"/>
      <c r="L1444" s="232"/>
      <c r="M1444" s="232"/>
      <c r="N1444" s="227"/>
      <c r="O1444" s="227"/>
      <c r="P1444" s="231"/>
      <c r="Q1444" s="227"/>
      <c r="R1444" s="231"/>
      <c r="S1444" s="231"/>
      <c r="T1444" s="231"/>
      <c r="U1444" s="231"/>
      <c r="V1444" s="231"/>
      <c r="W1444" s="231"/>
      <c r="X1444" s="227"/>
      <c r="Y1444" s="232"/>
      <c r="Z1444" s="232"/>
      <c r="AA1444" s="232"/>
      <c r="AB1444" s="232"/>
      <c r="AC1444" s="227"/>
      <c r="AD1444" s="227"/>
      <c r="AE1444" s="231"/>
      <c r="AF1444" s="227"/>
      <c r="AG1444" s="232"/>
      <c r="AH1444" s="232"/>
      <c r="AI1444" s="232"/>
      <c r="AJ1444" s="232"/>
      <c r="AK1444" s="232"/>
      <c r="AL1444" s="232"/>
      <c r="AM1444" s="232"/>
      <c r="AN1444" s="232"/>
      <c r="AO1444" s="231"/>
      <c r="AP1444" s="231"/>
      <c r="AQ1444" s="227"/>
      <c r="AR1444" s="231"/>
      <c r="AS1444" s="227"/>
      <c r="AT1444" s="227"/>
      <c r="AU1444" s="227"/>
      <c r="AV1444" s="227"/>
    </row>
    <row r="1445">
      <c r="A1445" s="227"/>
      <c r="B1445" s="232"/>
      <c r="C1445" s="227"/>
      <c r="D1445" s="227"/>
      <c r="E1445" s="231"/>
      <c r="F1445" s="232"/>
      <c r="G1445" s="227"/>
      <c r="H1445" s="227"/>
      <c r="I1445" s="227"/>
      <c r="J1445" s="227"/>
      <c r="K1445" s="227"/>
      <c r="L1445" s="232"/>
      <c r="M1445" s="232"/>
      <c r="N1445" s="227"/>
      <c r="O1445" s="227"/>
      <c r="P1445" s="231"/>
      <c r="Q1445" s="227"/>
      <c r="R1445" s="231"/>
      <c r="S1445" s="231"/>
      <c r="T1445" s="231"/>
      <c r="U1445" s="231"/>
      <c r="V1445" s="231"/>
      <c r="W1445" s="231"/>
      <c r="X1445" s="227"/>
      <c r="Y1445" s="232"/>
      <c r="Z1445" s="232"/>
      <c r="AA1445" s="232"/>
      <c r="AB1445" s="232"/>
      <c r="AC1445" s="227"/>
      <c r="AD1445" s="227"/>
      <c r="AE1445" s="231"/>
      <c r="AF1445" s="227"/>
      <c r="AG1445" s="232"/>
      <c r="AH1445" s="232"/>
      <c r="AI1445" s="232"/>
      <c r="AJ1445" s="232"/>
      <c r="AK1445" s="232"/>
      <c r="AL1445" s="232"/>
      <c r="AM1445" s="232"/>
      <c r="AN1445" s="232"/>
      <c r="AO1445" s="231"/>
      <c r="AP1445" s="231"/>
      <c r="AQ1445" s="227"/>
      <c r="AR1445" s="231"/>
      <c r="AS1445" s="227"/>
      <c r="AT1445" s="227"/>
      <c r="AU1445" s="227"/>
      <c r="AV1445" s="227"/>
    </row>
    <row r="1446">
      <c r="A1446" s="227"/>
      <c r="B1446" s="232"/>
      <c r="C1446" s="227"/>
      <c r="D1446" s="227"/>
      <c r="E1446" s="231"/>
      <c r="F1446" s="232"/>
      <c r="G1446" s="227"/>
      <c r="H1446" s="227"/>
      <c r="I1446" s="227"/>
      <c r="J1446" s="227"/>
      <c r="K1446" s="227"/>
      <c r="L1446" s="232"/>
      <c r="M1446" s="232"/>
      <c r="N1446" s="227"/>
      <c r="O1446" s="227"/>
      <c r="P1446" s="231"/>
      <c r="Q1446" s="227"/>
      <c r="R1446" s="231"/>
      <c r="S1446" s="231"/>
      <c r="T1446" s="231"/>
      <c r="U1446" s="231"/>
      <c r="V1446" s="231"/>
      <c r="W1446" s="231"/>
      <c r="X1446" s="227"/>
      <c r="Y1446" s="232"/>
      <c r="Z1446" s="232"/>
      <c r="AA1446" s="232"/>
      <c r="AB1446" s="232"/>
      <c r="AC1446" s="227"/>
      <c r="AD1446" s="227"/>
      <c r="AE1446" s="231"/>
      <c r="AF1446" s="227"/>
      <c r="AG1446" s="232"/>
      <c r="AH1446" s="232"/>
      <c r="AI1446" s="232"/>
      <c r="AJ1446" s="232"/>
      <c r="AK1446" s="232"/>
      <c r="AL1446" s="232"/>
      <c r="AM1446" s="232"/>
      <c r="AN1446" s="232"/>
      <c r="AO1446" s="231"/>
      <c r="AP1446" s="231"/>
      <c r="AQ1446" s="227"/>
      <c r="AR1446" s="231"/>
      <c r="AS1446" s="227"/>
      <c r="AT1446" s="227"/>
      <c r="AU1446" s="227"/>
      <c r="AV1446" s="227"/>
    </row>
    <row r="1447">
      <c r="A1447" s="227"/>
      <c r="B1447" s="232"/>
      <c r="C1447" s="227"/>
      <c r="D1447" s="227"/>
      <c r="E1447" s="231"/>
      <c r="F1447" s="232"/>
      <c r="G1447" s="227"/>
      <c r="H1447" s="227"/>
      <c r="I1447" s="227"/>
      <c r="J1447" s="227"/>
      <c r="K1447" s="227"/>
      <c r="L1447" s="232"/>
      <c r="M1447" s="232"/>
      <c r="N1447" s="227"/>
      <c r="O1447" s="227"/>
      <c r="P1447" s="231"/>
      <c r="Q1447" s="227"/>
      <c r="R1447" s="231"/>
      <c r="S1447" s="231"/>
      <c r="T1447" s="231"/>
      <c r="U1447" s="231"/>
      <c r="V1447" s="231"/>
      <c r="W1447" s="231"/>
      <c r="X1447" s="227"/>
      <c r="Y1447" s="232"/>
      <c r="Z1447" s="232"/>
      <c r="AA1447" s="232"/>
      <c r="AB1447" s="232"/>
      <c r="AC1447" s="227"/>
      <c r="AD1447" s="227"/>
      <c r="AE1447" s="231"/>
      <c r="AF1447" s="227"/>
      <c r="AG1447" s="232"/>
      <c r="AH1447" s="232"/>
      <c r="AI1447" s="232"/>
      <c r="AJ1447" s="232"/>
      <c r="AK1447" s="232"/>
      <c r="AL1447" s="232"/>
      <c r="AM1447" s="232"/>
      <c r="AN1447" s="232"/>
      <c r="AO1447" s="231"/>
      <c r="AP1447" s="231"/>
      <c r="AQ1447" s="227"/>
      <c r="AR1447" s="231"/>
      <c r="AS1447" s="227"/>
      <c r="AT1447" s="227"/>
      <c r="AU1447" s="227"/>
      <c r="AV1447" s="227"/>
    </row>
    <row r="1448">
      <c r="A1448" s="227"/>
      <c r="B1448" s="232"/>
      <c r="C1448" s="227"/>
      <c r="D1448" s="227"/>
      <c r="E1448" s="231"/>
      <c r="F1448" s="232"/>
      <c r="G1448" s="227"/>
      <c r="H1448" s="227"/>
      <c r="I1448" s="227"/>
      <c r="J1448" s="227"/>
      <c r="K1448" s="227"/>
      <c r="L1448" s="232"/>
      <c r="M1448" s="232"/>
      <c r="N1448" s="227"/>
      <c r="O1448" s="227"/>
      <c r="P1448" s="231"/>
      <c r="Q1448" s="227"/>
      <c r="R1448" s="231"/>
      <c r="S1448" s="231"/>
      <c r="T1448" s="231"/>
      <c r="U1448" s="231"/>
      <c r="V1448" s="231"/>
      <c r="W1448" s="231"/>
      <c r="X1448" s="227"/>
      <c r="Y1448" s="232"/>
      <c r="Z1448" s="232"/>
      <c r="AA1448" s="232"/>
      <c r="AB1448" s="232"/>
      <c r="AC1448" s="227"/>
      <c r="AD1448" s="227"/>
      <c r="AE1448" s="231"/>
      <c r="AF1448" s="227"/>
      <c r="AG1448" s="232"/>
      <c r="AH1448" s="232"/>
      <c r="AI1448" s="232"/>
      <c r="AJ1448" s="232"/>
      <c r="AK1448" s="232"/>
      <c r="AL1448" s="232"/>
      <c r="AM1448" s="232"/>
      <c r="AN1448" s="232"/>
      <c r="AO1448" s="231"/>
      <c r="AP1448" s="231"/>
      <c r="AQ1448" s="227"/>
      <c r="AR1448" s="231"/>
      <c r="AS1448" s="227"/>
      <c r="AT1448" s="227"/>
      <c r="AU1448" s="227"/>
      <c r="AV1448" s="227"/>
    </row>
    <row r="1449">
      <c r="A1449" s="227"/>
      <c r="B1449" s="232"/>
      <c r="C1449" s="227"/>
      <c r="D1449" s="227"/>
      <c r="E1449" s="231"/>
      <c r="F1449" s="232"/>
      <c r="G1449" s="227"/>
      <c r="H1449" s="227"/>
      <c r="I1449" s="227"/>
      <c r="J1449" s="227"/>
      <c r="K1449" s="227"/>
      <c r="L1449" s="232"/>
      <c r="M1449" s="232"/>
      <c r="N1449" s="227"/>
      <c r="O1449" s="227"/>
      <c r="P1449" s="231"/>
      <c r="Q1449" s="227"/>
      <c r="R1449" s="231"/>
      <c r="S1449" s="231"/>
      <c r="T1449" s="231"/>
      <c r="U1449" s="231"/>
      <c r="V1449" s="231"/>
      <c r="W1449" s="231"/>
      <c r="X1449" s="227"/>
      <c r="Y1449" s="232"/>
      <c r="Z1449" s="232"/>
      <c r="AA1449" s="232"/>
      <c r="AB1449" s="232"/>
      <c r="AC1449" s="227"/>
      <c r="AD1449" s="227"/>
      <c r="AE1449" s="231"/>
      <c r="AF1449" s="227"/>
      <c r="AG1449" s="232"/>
      <c r="AH1449" s="232"/>
      <c r="AI1449" s="232"/>
      <c r="AJ1449" s="232"/>
      <c r="AK1449" s="232"/>
      <c r="AL1449" s="232"/>
      <c r="AM1449" s="232"/>
      <c r="AN1449" s="232"/>
      <c r="AO1449" s="231"/>
      <c r="AP1449" s="231"/>
      <c r="AQ1449" s="227"/>
      <c r="AR1449" s="231"/>
      <c r="AS1449" s="227"/>
      <c r="AT1449" s="227"/>
      <c r="AU1449" s="227"/>
      <c r="AV1449" s="227"/>
    </row>
    <row r="1450">
      <c r="A1450" s="227"/>
      <c r="B1450" s="232"/>
      <c r="C1450" s="227"/>
      <c r="D1450" s="227"/>
      <c r="E1450" s="231"/>
      <c r="F1450" s="232"/>
      <c r="G1450" s="227"/>
      <c r="H1450" s="227"/>
      <c r="I1450" s="227"/>
      <c r="J1450" s="227"/>
      <c r="K1450" s="227"/>
      <c r="L1450" s="232"/>
      <c r="M1450" s="232"/>
      <c r="N1450" s="227"/>
      <c r="O1450" s="227"/>
      <c r="P1450" s="231"/>
      <c r="Q1450" s="227"/>
      <c r="R1450" s="231"/>
      <c r="S1450" s="231"/>
      <c r="T1450" s="231"/>
      <c r="U1450" s="231"/>
      <c r="V1450" s="231"/>
      <c r="W1450" s="231"/>
      <c r="X1450" s="227"/>
      <c r="Y1450" s="232"/>
      <c r="Z1450" s="232"/>
      <c r="AA1450" s="232"/>
      <c r="AB1450" s="232"/>
      <c r="AC1450" s="227"/>
      <c r="AD1450" s="227"/>
      <c r="AE1450" s="231"/>
      <c r="AF1450" s="227"/>
      <c r="AG1450" s="232"/>
      <c r="AH1450" s="232"/>
      <c r="AI1450" s="232"/>
      <c r="AJ1450" s="232"/>
      <c r="AK1450" s="232"/>
      <c r="AL1450" s="232"/>
      <c r="AM1450" s="232"/>
      <c r="AN1450" s="232"/>
      <c r="AO1450" s="231"/>
      <c r="AP1450" s="231"/>
      <c r="AQ1450" s="227"/>
      <c r="AR1450" s="231"/>
      <c r="AS1450" s="227"/>
      <c r="AT1450" s="227"/>
      <c r="AU1450" s="227"/>
      <c r="AV1450" s="227"/>
    </row>
    <row r="1451">
      <c r="A1451" s="227"/>
      <c r="B1451" s="232"/>
      <c r="C1451" s="227"/>
      <c r="D1451" s="227"/>
      <c r="E1451" s="231"/>
      <c r="F1451" s="232"/>
      <c r="G1451" s="227"/>
      <c r="H1451" s="227"/>
      <c r="I1451" s="227"/>
      <c r="J1451" s="227"/>
      <c r="K1451" s="227"/>
      <c r="L1451" s="232"/>
      <c r="M1451" s="232"/>
      <c r="N1451" s="227"/>
      <c r="O1451" s="227"/>
      <c r="P1451" s="231"/>
      <c r="Q1451" s="227"/>
      <c r="R1451" s="231"/>
      <c r="S1451" s="231"/>
      <c r="T1451" s="231"/>
      <c r="U1451" s="231"/>
      <c r="V1451" s="231"/>
      <c r="W1451" s="231"/>
      <c r="X1451" s="227"/>
      <c r="Y1451" s="232"/>
      <c r="Z1451" s="232"/>
      <c r="AA1451" s="232"/>
      <c r="AB1451" s="232"/>
      <c r="AC1451" s="227"/>
      <c r="AD1451" s="227"/>
      <c r="AE1451" s="231"/>
      <c r="AF1451" s="227"/>
      <c r="AG1451" s="232"/>
      <c r="AH1451" s="232"/>
      <c r="AI1451" s="232"/>
      <c r="AJ1451" s="232"/>
      <c r="AK1451" s="232"/>
      <c r="AL1451" s="232"/>
      <c r="AM1451" s="232"/>
      <c r="AN1451" s="232"/>
      <c r="AO1451" s="231"/>
      <c r="AP1451" s="231"/>
      <c r="AQ1451" s="227"/>
      <c r="AR1451" s="231"/>
      <c r="AS1451" s="227"/>
      <c r="AT1451" s="227"/>
      <c r="AU1451" s="227"/>
      <c r="AV1451" s="227"/>
    </row>
    <row r="1452">
      <c r="A1452" s="227"/>
      <c r="B1452" s="232"/>
      <c r="C1452" s="227"/>
      <c r="D1452" s="227"/>
      <c r="E1452" s="231"/>
      <c r="F1452" s="232"/>
      <c r="G1452" s="227"/>
      <c r="H1452" s="227"/>
      <c r="I1452" s="227"/>
      <c r="J1452" s="227"/>
      <c r="K1452" s="227"/>
      <c r="L1452" s="232"/>
      <c r="M1452" s="232"/>
      <c r="N1452" s="227"/>
      <c r="O1452" s="227"/>
      <c r="P1452" s="231"/>
      <c r="Q1452" s="227"/>
      <c r="R1452" s="231"/>
      <c r="S1452" s="231"/>
      <c r="T1452" s="231"/>
      <c r="U1452" s="231"/>
      <c r="V1452" s="231"/>
      <c r="W1452" s="231"/>
      <c r="X1452" s="227"/>
      <c r="Y1452" s="232"/>
      <c r="Z1452" s="232"/>
      <c r="AA1452" s="232"/>
      <c r="AB1452" s="232"/>
      <c r="AC1452" s="227"/>
      <c r="AD1452" s="227"/>
      <c r="AE1452" s="231"/>
      <c r="AF1452" s="227"/>
      <c r="AG1452" s="232"/>
      <c r="AH1452" s="232"/>
      <c r="AI1452" s="232"/>
      <c r="AJ1452" s="232"/>
      <c r="AK1452" s="232"/>
      <c r="AL1452" s="232"/>
      <c r="AM1452" s="232"/>
      <c r="AN1452" s="232"/>
      <c r="AO1452" s="231"/>
      <c r="AP1452" s="231"/>
      <c r="AQ1452" s="227"/>
      <c r="AR1452" s="231"/>
      <c r="AS1452" s="227"/>
      <c r="AT1452" s="227"/>
      <c r="AU1452" s="227"/>
      <c r="AV1452" s="227"/>
    </row>
    <row r="1453">
      <c r="A1453" s="227"/>
      <c r="B1453" s="232"/>
      <c r="C1453" s="227"/>
      <c r="D1453" s="227"/>
      <c r="E1453" s="231"/>
      <c r="F1453" s="232"/>
      <c r="G1453" s="227"/>
      <c r="H1453" s="227"/>
      <c r="I1453" s="227"/>
      <c r="J1453" s="227"/>
      <c r="K1453" s="227"/>
      <c r="L1453" s="232"/>
      <c r="M1453" s="232"/>
      <c r="N1453" s="227"/>
      <c r="O1453" s="227"/>
      <c r="P1453" s="231"/>
      <c r="Q1453" s="227"/>
      <c r="R1453" s="231"/>
      <c r="S1453" s="231"/>
      <c r="T1453" s="231"/>
      <c r="U1453" s="231"/>
      <c r="V1453" s="231"/>
      <c r="W1453" s="231"/>
      <c r="X1453" s="227"/>
      <c r="Y1453" s="232"/>
      <c r="Z1453" s="232"/>
      <c r="AA1453" s="232"/>
      <c r="AB1453" s="232"/>
      <c r="AC1453" s="227"/>
      <c r="AD1453" s="227"/>
      <c r="AE1453" s="231"/>
      <c r="AF1453" s="227"/>
      <c r="AG1453" s="232"/>
      <c r="AH1453" s="232"/>
      <c r="AI1453" s="232"/>
      <c r="AJ1453" s="232"/>
      <c r="AK1453" s="232"/>
      <c r="AL1453" s="232"/>
      <c r="AM1453" s="232"/>
      <c r="AN1453" s="232"/>
      <c r="AO1453" s="231"/>
      <c r="AP1453" s="231"/>
      <c r="AQ1453" s="227"/>
      <c r="AR1453" s="231"/>
      <c r="AS1453" s="227"/>
      <c r="AT1453" s="227"/>
      <c r="AU1453" s="227"/>
      <c r="AV1453" s="227"/>
    </row>
    <row r="1454">
      <c r="A1454" s="227"/>
      <c r="B1454" s="232"/>
      <c r="C1454" s="227"/>
      <c r="D1454" s="227"/>
      <c r="E1454" s="231"/>
      <c r="F1454" s="232"/>
      <c r="G1454" s="227"/>
      <c r="H1454" s="227"/>
      <c r="I1454" s="227"/>
      <c r="J1454" s="227"/>
      <c r="K1454" s="227"/>
      <c r="L1454" s="232"/>
      <c r="M1454" s="232"/>
      <c r="N1454" s="227"/>
      <c r="O1454" s="227"/>
      <c r="P1454" s="231"/>
      <c r="Q1454" s="227"/>
      <c r="R1454" s="231"/>
      <c r="S1454" s="231"/>
      <c r="T1454" s="231"/>
      <c r="U1454" s="231"/>
      <c r="V1454" s="231"/>
      <c r="W1454" s="231"/>
      <c r="X1454" s="227"/>
      <c r="Y1454" s="232"/>
      <c r="Z1454" s="232"/>
      <c r="AA1454" s="232"/>
      <c r="AB1454" s="232"/>
      <c r="AC1454" s="227"/>
      <c r="AD1454" s="227"/>
      <c r="AE1454" s="231"/>
      <c r="AF1454" s="227"/>
      <c r="AG1454" s="232"/>
      <c r="AH1454" s="232"/>
      <c r="AI1454" s="232"/>
      <c r="AJ1454" s="232"/>
      <c r="AK1454" s="232"/>
      <c r="AL1454" s="232"/>
      <c r="AM1454" s="232"/>
      <c r="AN1454" s="232"/>
      <c r="AO1454" s="231"/>
      <c r="AP1454" s="231"/>
      <c r="AQ1454" s="227"/>
      <c r="AR1454" s="231"/>
      <c r="AS1454" s="227"/>
      <c r="AT1454" s="227"/>
      <c r="AU1454" s="227"/>
      <c r="AV1454" s="227"/>
    </row>
    <row r="1455">
      <c r="A1455" s="227"/>
      <c r="B1455" s="232"/>
      <c r="C1455" s="227"/>
      <c r="D1455" s="227"/>
      <c r="E1455" s="231"/>
      <c r="F1455" s="232"/>
      <c r="G1455" s="227"/>
      <c r="H1455" s="227"/>
      <c r="I1455" s="227"/>
      <c r="J1455" s="227"/>
      <c r="K1455" s="227"/>
      <c r="L1455" s="232"/>
      <c r="M1455" s="232"/>
      <c r="N1455" s="227"/>
      <c r="O1455" s="227"/>
      <c r="P1455" s="231"/>
      <c r="Q1455" s="227"/>
      <c r="R1455" s="231"/>
      <c r="S1455" s="231"/>
      <c r="T1455" s="231"/>
      <c r="U1455" s="231"/>
      <c r="V1455" s="231"/>
      <c r="W1455" s="231"/>
      <c r="X1455" s="227"/>
      <c r="Y1455" s="232"/>
      <c r="Z1455" s="232"/>
      <c r="AA1455" s="232"/>
      <c r="AB1455" s="232"/>
      <c r="AC1455" s="227"/>
      <c r="AD1455" s="227"/>
      <c r="AE1455" s="231"/>
      <c r="AF1455" s="227"/>
      <c r="AG1455" s="232"/>
      <c r="AH1455" s="232"/>
      <c r="AI1455" s="232"/>
      <c r="AJ1455" s="232"/>
      <c r="AK1455" s="232"/>
      <c r="AL1455" s="232"/>
      <c r="AM1455" s="232"/>
      <c r="AN1455" s="232"/>
      <c r="AO1455" s="231"/>
      <c r="AP1455" s="231"/>
      <c r="AQ1455" s="227"/>
      <c r="AR1455" s="231"/>
      <c r="AS1455" s="227"/>
      <c r="AT1455" s="227"/>
      <c r="AU1455" s="227"/>
      <c r="AV1455" s="227"/>
    </row>
    <row r="1456">
      <c r="A1456" s="227"/>
      <c r="B1456" s="232"/>
      <c r="C1456" s="227"/>
      <c r="D1456" s="227"/>
      <c r="E1456" s="231"/>
      <c r="F1456" s="232"/>
      <c r="G1456" s="227"/>
      <c r="H1456" s="227"/>
      <c r="I1456" s="227"/>
      <c r="J1456" s="227"/>
      <c r="K1456" s="227"/>
      <c r="L1456" s="232"/>
      <c r="M1456" s="232"/>
      <c r="N1456" s="227"/>
      <c r="O1456" s="227"/>
      <c r="P1456" s="231"/>
      <c r="Q1456" s="227"/>
      <c r="R1456" s="231"/>
      <c r="S1456" s="231"/>
      <c r="T1456" s="231"/>
      <c r="U1456" s="231"/>
      <c r="V1456" s="231"/>
      <c r="W1456" s="231"/>
      <c r="X1456" s="227"/>
      <c r="Y1456" s="232"/>
      <c r="Z1456" s="232"/>
      <c r="AA1456" s="232"/>
      <c r="AB1456" s="232"/>
      <c r="AC1456" s="227"/>
      <c r="AD1456" s="227"/>
      <c r="AE1456" s="231"/>
      <c r="AF1456" s="227"/>
      <c r="AG1456" s="232"/>
      <c r="AH1456" s="232"/>
      <c r="AI1456" s="232"/>
      <c r="AJ1456" s="232"/>
      <c r="AK1456" s="232"/>
      <c r="AL1456" s="232"/>
      <c r="AM1456" s="232"/>
      <c r="AN1456" s="232"/>
      <c r="AO1456" s="231"/>
      <c r="AP1456" s="231"/>
      <c r="AQ1456" s="227"/>
      <c r="AR1456" s="231"/>
      <c r="AS1456" s="227"/>
      <c r="AT1456" s="227"/>
      <c r="AU1456" s="227"/>
      <c r="AV1456" s="227"/>
    </row>
    <row r="1457">
      <c r="A1457" s="227"/>
      <c r="B1457" s="232"/>
      <c r="C1457" s="227"/>
      <c r="D1457" s="227"/>
      <c r="E1457" s="231"/>
      <c r="F1457" s="232"/>
      <c r="G1457" s="227"/>
      <c r="H1457" s="227"/>
      <c r="I1457" s="227"/>
      <c r="J1457" s="227"/>
      <c r="K1457" s="227"/>
      <c r="L1457" s="232"/>
      <c r="M1457" s="232"/>
      <c r="N1457" s="227"/>
      <c r="O1457" s="227"/>
      <c r="P1457" s="231"/>
      <c r="Q1457" s="227"/>
      <c r="R1457" s="231"/>
      <c r="S1457" s="231"/>
      <c r="T1457" s="231"/>
      <c r="U1457" s="231"/>
      <c r="V1457" s="231"/>
      <c r="W1457" s="231"/>
      <c r="X1457" s="227"/>
      <c r="Y1457" s="232"/>
      <c r="Z1457" s="232"/>
      <c r="AA1457" s="232"/>
      <c r="AB1457" s="232"/>
      <c r="AC1457" s="227"/>
      <c r="AD1457" s="227"/>
      <c r="AE1457" s="231"/>
      <c r="AF1457" s="227"/>
      <c r="AG1457" s="232"/>
      <c r="AH1457" s="232"/>
      <c r="AI1457" s="232"/>
      <c r="AJ1457" s="232"/>
      <c r="AK1457" s="232"/>
      <c r="AL1457" s="232"/>
      <c r="AM1457" s="232"/>
      <c r="AN1457" s="232"/>
      <c r="AO1457" s="231"/>
      <c r="AP1457" s="231"/>
      <c r="AQ1457" s="227"/>
      <c r="AR1457" s="231"/>
      <c r="AS1457" s="227"/>
      <c r="AT1457" s="227"/>
      <c r="AU1457" s="227"/>
      <c r="AV1457" s="227"/>
    </row>
    <row r="1458">
      <c r="A1458" s="227"/>
      <c r="B1458" s="232"/>
      <c r="C1458" s="227"/>
      <c r="D1458" s="227"/>
      <c r="E1458" s="231"/>
      <c r="F1458" s="232"/>
      <c r="G1458" s="227"/>
      <c r="H1458" s="227"/>
      <c r="I1458" s="227"/>
      <c r="J1458" s="227"/>
      <c r="K1458" s="227"/>
      <c r="L1458" s="232"/>
      <c r="M1458" s="232"/>
      <c r="N1458" s="227"/>
      <c r="O1458" s="227"/>
      <c r="P1458" s="231"/>
      <c r="Q1458" s="227"/>
      <c r="R1458" s="231"/>
      <c r="S1458" s="231"/>
      <c r="T1458" s="231"/>
      <c r="U1458" s="231"/>
      <c r="V1458" s="231"/>
      <c r="W1458" s="231"/>
      <c r="X1458" s="227"/>
      <c r="Y1458" s="232"/>
      <c r="Z1458" s="232"/>
      <c r="AA1458" s="232"/>
      <c r="AB1458" s="232"/>
      <c r="AC1458" s="227"/>
      <c r="AD1458" s="227"/>
      <c r="AE1458" s="231"/>
      <c r="AF1458" s="227"/>
      <c r="AG1458" s="232"/>
      <c r="AH1458" s="232"/>
      <c r="AI1458" s="232"/>
      <c r="AJ1458" s="232"/>
      <c r="AK1458" s="232"/>
      <c r="AL1458" s="232"/>
      <c r="AM1458" s="232"/>
      <c r="AN1458" s="232"/>
      <c r="AO1458" s="231"/>
      <c r="AP1458" s="231"/>
      <c r="AQ1458" s="227"/>
      <c r="AR1458" s="231"/>
      <c r="AS1458" s="227"/>
      <c r="AT1458" s="227"/>
      <c r="AU1458" s="227"/>
      <c r="AV1458" s="227"/>
    </row>
    <row r="1459">
      <c r="A1459" s="227"/>
      <c r="B1459" s="232"/>
      <c r="C1459" s="227"/>
      <c r="D1459" s="227"/>
      <c r="E1459" s="231"/>
      <c r="F1459" s="232"/>
      <c r="G1459" s="227"/>
      <c r="H1459" s="227"/>
      <c r="I1459" s="227"/>
      <c r="J1459" s="227"/>
      <c r="K1459" s="227"/>
      <c r="L1459" s="232"/>
      <c r="M1459" s="232"/>
      <c r="N1459" s="227"/>
      <c r="O1459" s="227"/>
      <c r="P1459" s="231"/>
      <c r="Q1459" s="227"/>
      <c r="R1459" s="231"/>
      <c r="S1459" s="231"/>
      <c r="T1459" s="231"/>
      <c r="U1459" s="231"/>
      <c r="V1459" s="231"/>
      <c r="W1459" s="231"/>
      <c r="X1459" s="227"/>
      <c r="Y1459" s="232"/>
      <c r="Z1459" s="232"/>
      <c r="AA1459" s="232"/>
      <c r="AB1459" s="232"/>
      <c r="AC1459" s="227"/>
      <c r="AD1459" s="227"/>
      <c r="AE1459" s="231"/>
      <c r="AF1459" s="227"/>
      <c r="AG1459" s="232"/>
      <c r="AH1459" s="232"/>
      <c r="AI1459" s="232"/>
      <c r="AJ1459" s="232"/>
      <c r="AK1459" s="232"/>
      <c r="AL1459" s="232"/>
      <c r="AM1459" s="232"/>
      <c r="AN1459" s="232"/>
      <c r="AO1459" s="231"/>
      <c r="AP1459" s="231"/>
      <c r="AQ1459" s="227"/>
      <c r="AR1459" s="231"/>
      <c r="AS1459" s="227"/>
      <c r="AT1459" s="227"/>
      <c r="AU1459" s="227"/>
      <c r="AV1459" s="227"/>
    </row>
    <row r="1460">
      <c r="A1460" s="227"/>
      <c r="B1460" s="232"/>
      <c r="C1460" s="227"/>
      <c r="D1460" s="227"/>
      <c r="E1460" s="231"/>
      <c r="F1460" s="232"/>
      <c r="G1460" s="227"/>
      <c r="H1460" s="227"/>
      <c r="I1460" s="227"/>
      <c r="J1460" s="227"/>
      <c r="K1460" s="227"/>
      <c r="L1460" s="232"/>
      <c r="M1460" s="232"/>
      <c r="N1460" s="227"/>
      <c r="O1460" s="227"/>
      <c r="P1460" s="231"/>
      <c r="Q1460" s="227"/>
      <c r="R1460" s="231"/>
      <c r="S1460" s="231"/>
      <c r="T1460" s="231"/>
      <c r="U1460" s="231"/>
      <c r="V1460" s="231"/>
      <c r="W1460" s="231"/>
      <c r="X1460" s="227"/>
      <c r="Y1460" s="232"/>
      <c r="Z1460" s="232"/>
      <c r="AA1460" s="232"/>
      <c r="AB1460" s="232"/>
      <c r="AC1460" s="227"/>
      <c r="AD1460" s="227"/>
      <c r="AE1460" s="231"/>
      <c r="AF1460" s="227"/>
      <c r="AG1460" s="232"/>
      <c r="AH1460" s="232"/>
      <c r="AI1460" s="232"/>
      <c r="AJ1460" s="232"/>
      <c r="AK1460" s="232"/>
      <c r="AL1460" s="232"/>
      <c r="AM1460" s="232"/>
      <c r="AN1460" s="232"/>
      <c r="AO1460" s="231"/>
      <c r="AP1460" s="231"/>
      <c r="AQ1460" s="227"/>
      <c r="AR1460" s="231"/>
      <c r="AS1460" s="227"/>
      <c r="AT1460" s="227"/>
      <c r="AU1460" s="227"/>
      <c r="AV1460" s="227"/>
    </row>
    <row r="1461">
      <c r="A1461" s="227"/>
      <c r="B1461" s="232"/>
      <c r="C1461" s="227"/>
      <c r="D1461" s="227"/>
      <c r="E1461" s="231"/>
      <c r="F1461" s="232"/>
      <c r="G1461" s="227"/>
      <c r="H1461" s="227"/>
      <c r="I1461" s="227"/>
      <c r="J1461" s="227"/>
      <c r="K1461" s="227"/>
      <c r="L1461" s="232"/>
      <c r="M1461" s="232"/>
      <c r="N1461" s="227"/>
      <c r="O1461" s="227"/>
      <c r="P1461" s="231"/>
      <c r="Q1461" s="227"/>
      <c r="R1461" s="231"/>
      <c r="S1461" s="231"/>
      <c r="T1461" s="231"/>
      <c r="U1461" s="231"/>
      <c r="V1461" s="231"/>
      <c r="W1461" s="231"/>
      <c r="X1461" s="227"/>
      <c r="Y1461" s="232"/>
      <c r="Z1461" s="232"/>
      <c r="AA1461" s="232"/>
      <c r="AB1461" s="232"/>
      <c r="AC1461" s="227"/>
      <c r="AD1461" s="227"/>
      <c r="AE1461" s="231"/>
      <c r="AF1461" s="227"/>
      <c r="AG1461" s="232"/>
      <c r="AH1461" s="232"/>
      <c r="AI1461" s="232"/>
      <c r="AJ1461" s="232"/>
      <c r="AK1461" s="232"/>
      <c r="AL1461" s="232"/>
      <c r="AM1461" s="232"/>
      <c r="AN1461" s="232"/>
      <c r="AO1461" s="231"/>
      <c r="AP1461" s="231"/>
      <c r="AQ1461" s="227"/>
      <c r="AR1461" s="231"/>
      <c r="AS1461" s="227"/>
      <c r="AT1461" s="227"/>
      <c r="AU1461" s="227"/>
      <c r="AV1461" s="227"/>
    </row>
    <row r="1462">
      <c r="A1462" s="227"/>
      <c r="B1462" s="232"/>
      <c r="C1462" s="227"/>
      <c r="D1462" s="227"/>
      <c r="E1462" s="231"/>
      <c r="F1462" s="232"/>
      <c r="G1462" s="227"/>
      <c r="H1462" s="227"/>
      <c r="I1462" s="227"/>
      <c r="J1462" s="227"/>
      <c r="K1462" s="227"/>
      <c r="L1462" s="232"/>
      <c r="M1462" s="232"/>
      <c r="N1462" s="227"/>
      <c r="O1462" s="227"/>
      <c r="P1462" s="231"/>
      <c r="Q1462" s="227"/>
      <c r="R1462" s="231"/>
      <c r="S1462" s="231"/>
      <c r="T1462" s="231"/>
      <c r="U1462" s="231"/>
      <c r="V1462" s="231"/>
      <c r="W1462" s="231"/>
      <c r="X1462" s="227"/>
      <c r="Y1462" s="232"/>
      <c r="Z1462" s="232"/>
      <c r="AA1462" s="232"/>
      <c r="AB1462" s="232"/>
      <c r="AC1462" s="227"/>
      <c r="AD1462" s="227"/>
      <c r="AE1462" s="231"/>
      <c r="AF1462" s="227"/>
      <c r="AG1462" s="232"/>
      <c r="AH1462" s="232"/>
      <c r="AI1462" s="232"/>
      <c r="AJ1462" s="232"/>
      <c r="AK1462" s="232"/>
      <c r="AL1462" s="232"/>
      <c r="AM1462" s="232"/>
      <c r="AN1462" s="232"/>
      <c r="AO1462" s="231"/>
      <c r="AP1462" s="231"/>
      <c r="AQ1462" s="227"/>
      <c r="AR1462" s="231"/>
      <c r="AS1462" s="227"/>
      <c r="AT1462" s="227"/>
      <c r="AU1462" s="227"/>
      <c r="AV1462" s="227"/>
    </row>
    <row r="1463">
      <c r="A1463" s="227"/>
      <c r="B1463" s="232"/>
      <c r="C1463" s="227"/>
      <c r="D1463" s="227"/>
      <c r="E1463" s="231"/>
      <c r="F1463" s="232"/>
      <c r="G1463" s="227"/>
      <c r="H1463" s="227"/>
      <c r="I1463" s="227"/>
      <c r="J1463" s="227"/>
      <c r="K1463" s="227"/>
      <c r="L1463" s="232"/>
      <c r="M1463" s="232"/>
      <c r="N1463" s="227"/>
      <c r="O1463" s="227"/>
      <c r="P1463" s="231"/>
      <c r="Q1463" s="227"/>
      <c r="R1463" s="231"/>
      <c r="S1463" s="231"/>
      <c r="T1463" s="231"/>
      <c r="U1463" s="231"/>
      <c r="V1463" s="231"/>
      <c r="W1463" s="231"/>
      <c r="X1463" s="227"/>
      <c r="Y1463" s="232"/>
      <c r="Z1463" s="232"/>
      <c r="AA1463" s="232"/>
      <c r="AB1463" s="232"/>
      <c r="AC1463" s="227"/>
      <c r="AD1463" s="227"/>
      <c r="AE1463" s="231"/>
      <c r="AF1463" s="227"/>
      <c r="AG1463" s="232"/>
      <c r="AH1463" s="232"/>
      <c r="AI1463" s="232"/>
      <c r="AJ1463" s="232"/>
      <c r="AK1463" s="232"/>
      <c r="AL1463" s="232"/>
      <c r="AM1463" s="232"/>
      <c r="AN1463" s="232"/>
      <c r="AO1463" s="231"/>
      <c r="AP1463" s="231"/>
      <c r="AQ1463" s="227"/>
      <c r="AR1463" s="231"/>
      <c r="AS1463" s="227"/>
      <c r="AT1463" s="227"/>
      <c r="AU1463" s="227"/>
      <c r="AV1463" s="227"/>
    </row>
    <row r="1464">
      <c r="A1464" s="227"/>
      <c r="B1464" s="232"/>
      <c r="C1464" s="227"/>
      <c r="D1464" s="227"/>
      <c r="E1464" s="231"/>
      <c r="F1464" s="232"/>
      <c r="G1464" s="227"/>
      <c r="H1464" s="227"/>
      <c r="I1464" s="227"/>
      <c r="J1464" s="227"/>
      <c r="K1464" s="227"/>
      <c r="L1464" s="232"/>
      <c r="M1464" s="232"/>
      <c r="N1464" s="227"/>
      <c r="O1464" s="227"/>
      <c r="P1464" s="231"/>
      <c r="Q1464" s="227"/>
      <c r="R1464" s="231"/>
      <c r="S1464" s="231"/>
      <c r="T1464" s="231"/>
      <c r="U1464" s="231"/>
      <c r="V1464" s="231"/>
      <c r="W1464" s="231"/>
      <c r="X1464" s="227"/>
      <c r="Y1464" s="232"/>
      <c r="Z1464" s="232"/>
      <c r="AA1464" s="232"/>
      <c r="AB1464" s="232"/>
      <c r="AC1464" s="227"/>
      <c r="AD1464" s="227"/>
      <c r="AE1464" s="231"/>
      <c r="AF1464" s="227"/>
      <c r="AG1464" s="232"/>
      <c r="AH1464" s="232"/>
      <c r="AI1464" s="232"/>
      <c r="AJ1464" s="232"/>
      <c r="AK1464" s="232"/>
      <c r="AL1464" s="232"/>
      <c r="AM1464" s="232"/>
      <c r="AN1464" s="232"/>
      <c r="AO1464" s="231"/>
      <c r="AP1464" s="231"/>
      <c r="AQ1464" s="227"/>
      <c r="AR1464" s="231"/>
      <c r="AS1464" s="227"/>
      <c r="AT1464" s="227"/>
      <c r="AU1464" s="227"/>
      <c r="AV1464" s="227"/>
    </row>
    <row r="1465">
      <c r="A1465" s="227"/>
      <c r="B1465" s="232"/>
      <c r="C1465" s="227"/>
      <c r="D1465" s="227"/>
      <c r="E1465" s="231"/>
      <c r="F1465" s="232"/>
      <c r="G1465" s="227"/>
      <c r="H1465" s="227"/>
      <c r="I1465" s="227"/>
      <c r="J1465" s="227"/>
      <c r="K1465" s="227"/>
      <c r="L1465" s="232"/>
      <c r="M1465" s="232"/>
      <c r="N1465" s="227"/>
      <c r="O1465" s="227"/>
      <c r="P1465" s="231"/>
      <c r="Q1465" s="227"/>
      <c r="R1465" s="231"/>
      <c r="S1465" s="231"/>
      <c r="T1465" s="231"/>
      <c r="U1465" s="231"/>
      <c r="V1465" s="231"/>
      <c r="W1465" s="231"/>
      <c r="X1465" s="227"/>
      <c r="Y1465" s="232"/>
      <c r="Z1465" s="232"/>
      <c r="AA1465" s="232"/>
      <c r="AB1465" s="232"/>
      <c r="AC1465" s="227"/>
      <c r="AD1465" s="227"/>
      <c r="AE1465" s="231"/>
      <c r="AF1465" s="227"/>
      <c r="AG1465" s="232"/>
      <c r="AH1465" s="232"/>
      <c r="AI1465" s="232"/>
      <c r="AJ1465" s="232"/>
      <c r="AK1465" s="232"/>
      <c r="AL1465" s="232"/>
      <c r="AM1465" s="232"/>
      <c r="AN1465" s="232"/>
      <c r="AO1465" s="231"/>
      <c r="AP1465" s="231"/>
      <c r="AQ1465" s="227"/>
      <c r="AR1465" s="231"/>
      <c r="AS1465" s="227"/>
      <c r="AT1465" s="227"/>
      <c r="AU1465" s="227"/>
      <c r="AV1465" s="227"/>
    </row>
    <row r="1466">
      <c r="A1466" s="227"/>
      <c r="B1466" s="232"/>
      <c r="C1466" s="227"/>
      <c r="D1466" s="227"/>
      <c r="E1466" s="231"/>
      <c r="F1466" s="232"/>
      <c r="G1466" s="227"/>
      <c r="H1466" s="227"/>
      <c r="I1466" s="227"/>
      <c r="J1466" s="227"/>
      <c r="K1466" s="227"/>
      <c r="L1466" s="232"/>
      <c r="M1466" s="232"/>
      <c r="N1466" s="227"/>
      <c r="O1466" s="227"/>
      <c r="P1466" s="231"/>
      <c r="Q1466" s="227"/>
      <c r="R1466" s="231"/>
      <c r="S1466" s="231"/>
      <c r="T1466" s="231"/>
      <c r="U1466" s="231"/>
      <c r="V1466" s="231"/>
      <c r="W1466" s="231"/>
      <c r="X1466" s="227"/>
      <c r="Y1466" s="232"/>
      <c r="Z1466" s="232"/>
      <c r="AA1466" s="232"/>
      <c r="AB1466" s="232"/>
      <c r="AC1466" s="227"/>
      <c r="AD1466" s="227"/>
      <c r="AE1466" s="231"/>
      <c r="AF1466" s="227"/>
      <c r="AG1466" s="232"/>
      <c r="AH1466" s="232"/>
      <c r="AI1466" s="232"/>
      <c r="AJ1466" s="232"/>
      <c r="AK1466" s="232"/>
      <c r="AL1466" s="232"/>
      <c r="AM1466" s="232"/>
      <c r="AN1466" s="232"/>
      <c r="AO1466" s="231"/>
      <c r="AP1466" s="231"/>
      <c r="AQ1466" s="227"/>
      <c r="AR1466" s="231"/>
      <c r="AS1466" s="227"/>
      <c r="AT1466" s="227"/>
      <c r="AU1466" s="227"/>
      <c r="AV1466" s="227"/>
    </row>
    <row r="1467">
      <c r="A1467" s="227"/>
      <c r="B1467" s="232"/>
      <c r="C1467" s="227"/>
      <c r="D1467" s="227"/>
      <c r="E1467" s="231"/>
      <c r="F1467" s="232"/>
      <c r="G1467" s="227"/>
      <c r="H1467" s="227"/>
      <c r="I1467" s="227"/>
      <c r="J1467" s="227"/>
      <c r="K1467" s="227"/>
      <c r="L1467" s="232"/>
      <c r="M1467" s="232"/>
      <c r="N1467" s="227"/>
      <c r="O1467" s="227"/>
      <c r="P1467" s="231"/>
      <c r="Q1467" s="227"/>
      <c r="R1467" s="231"/>
      <c r="S1467" s="231"/>
      <c r="T1467" s="231"/>
      <c r="U1467" s="231"/>
      <c r="V1467" s="231"/>
      <c r="W1467" s="231"/>
      <c r="X1467" s="227"/>
      <c r="Y1467" s="232"/>
      <c r="Z1467" s="232"/>
      <c r="AA1467" s="232"/>
      <c r="AB1467" s="232"/>
      <c r="AC1467" s="227"/>
      <c r="AD1467" s="227"/>
      <c r="AE1467" s="231"/>
      <c r="AF1467" s="227"/>
      <c r="AG1467" s="232"/>
      <c r="AH1467" s="232"/>
      <c r="AI1467" s="232"/>
      <c r="AJ1467" s="232"/>
      <c r="AK1467" s="232"/>
      <c r="AL1467" s="232"/>
      <c r="AM1467" s="232"/>
      <c r="AN1467" s="232"/>
      <c r="AO1467" s="231"/>
      <c r="AP1467" s="231"/>
      <c r="AQ1467" s="227"/>
      <c r="AR1467" s="231"/>
      <c r="AS1467" s="227"/>
      <c r="AT1467" s="227"/>
      <c r="AU1467" s="227"/>
      <c r="AV1467" s="227"/>
    </row>
    <row r="1468">
      <c r="A1468" s="227"/>
      <c r="B1468" s="232"/>
      <c r="C1468" s="227"/>
      <c r="D1468" s="227"/>
      <c r="E1468" s="231"/>
      <c r="F1468" s="232"/>
      <c r="G1468" s="227"/>
      <c r="H1468" s="227"/>
      <c r="I1468" s="227"/>
      <c r="J1468" s="227"/>
      <c r="K1468" s="227"/>
      <c r="L1468" s="232"/>
      <c r="M1468" s="232"/>
      <c r="N1468" s="227"/>
      <c r="O1468" s="227"/>
      <c r="P1468" s="231"/>
      <c r="Q1468" s="227"/>
      <c r="R1468" s="231"/>
      <c r="S1468" s="231"/>
      <c r="T1468" s="231"/>
      <c r="U1468" s="231"/>
      <c r="V1468" s="231"/>
      <c r="W1468" s="231"/>
      <c r="X1468" s="227"/>
      <c r="Y1468" s="232"/>
      <c r="Z1468" s="232"/>
      <c r="AA1468" s="232"/>
      <c r="AB1468" s="232"/>
      <c r="AC1468" s="227"/>
      <c r="AD1468" s="227"/>
      <c r="AE1468" s="231"/>
      <c r="AF1468" s="227"/>
      <c r="AG1468" s="232"/>
      <c r="AH1468" s="232"/>
      <c r="AI1468" s="232"/>
      <c r="AJ1468" s="232"/>
      <c r="AK1468" s="232"/>
      <c r="AL1468" s="232"/>
      <c r="AM1468" s="232"/>
      <c r="AN1468" s="232"/>
      <c r="AO1468" s="231"/>
      <c r="AP1468" s="231"/>
      <c r="AQ1468" s="227"/>
      <c r="AR1468" s="231"/>
      <c r="AS1468" s="227"/>
      <c r="AT1468" s="227"/>
      <c r="AU1468" s="227"/>
      <c r="AV1468" s="227"/>
    </row>
    <row r="1469">
      <c r="A1469" s="227"/>
      <c r="B1469" s="232"/>
      <c r="C1469" s="227"/>
      <c r="D1469" s="227"/>
      <c r="E1469" s="231"/>
      <c r="F1469" s="232"/>
      <c r="G1469" s="227"/>
      <c r="H1469" s="227"/>
      <c r="I1469" s="227"/>
      <c r="J1469" s="227"/>
      <c r="K1469" s="227"/>
      <c r="L1469" s="232"/>
      <c r="M1469" s="232"/>
      <c r="N1469" s="227"/>
      <c r="O1469" s="227"/>
      <c r="P1469" s="231"/>
      <c r="Q1469" s="227"/>
      <c r="R1469" s="231"/>
      <c r="S1469" s="231"/>
      <c r="T1469" s="231"/>
      <c r="U1469" s="231"/>
      <c r="V1469" s="231"/>
      <c r="W1469" s="231"/>
      <c r="X1469" s="227"/>
      <c r="Y1469" s="232"/>
      <c r="Z1469" s="232"/>
      <c r="AA1469" s="232"/>
      <c r="AB1469" s="232"/>
      <c r="AC1469" s="227"/>
      <c r="AD1469" s="227"/>
      <c r="AE1469" s="231"/>
      <c r="AF1469" s="227"/>
      <c r="AG1469" s="232"/>
      <c r="AH1469" s="232"/>
      <c r="AI1469" s="232"/>
      <c r="AJ1469" s="232"/>
      <c r="AK1469" s="232"/>
      <c r="AL1469" s="232"/>
      <c r="AM1469" s="232"/>
      <c r="AN1469" s="232"/>
      <c r="AO1469" s="231"/>
      <c r="AP1469" s="231"/>
      <c r="AQ1469" s="227"/>
      <c r="AR1469" s="231"/>
      <c r="AS1469" s="227"/>
      <c r="AT1469" s="227"/>
      <c r="AU1469" s="227"/>
      <c r="AV1469" s="227"/>
    </row>
    <row r="1470">
      <c r="A1470" s="227"/>
      <c r="B1470" s="232"/>
      <c r="C1470" s="227"/>
      <c r="D1470" s="227"/>
      <c r="E1470" s="231"/>
      <c r="F1470" s="232"/>
      <c r="G1470" s="227"/>
      <c r="H1470" s="227"/>
      <c r="I1470" s="227"/>
      <c r="J1470" s="227"/>
      <c r="K1470" s="227"/>
      <c r="L1470" s="232"/>
      <c r="M1470" s="232"/>
      <c r="N1470" s="227"/>
      <c r="O1470" s="227"/>
      <c r="P1470" s="231"/>
      <c r="Q1470" s="227"/>
      <c r="R1470" s="231"/>
      <c r="S1470" s="231"/>
      <c r="T1470" s="231"/>
      <c r="U1470" s="231"/>
      <c r="V1470" s="231"/>
      <c r="W1470" s="231"/>
      <c r="X1470" s="227"/>
      <c r="Y1470" s="232"/>
      <c r="Z1470" s="232"/>
      <c r="AA1470" s="232"/>
      <c r="AB1470" s="232"/>
      <c r="AC1470" s="227"/>
      <c r="AD1470" s="227"/>
      <c r="AE1470" s="231"/>
      <c r="AF1470" s="227"/>
      <c r="AG1470" s="232"/>
      <c r="AH1470" s="232"/>
      <c r="AI1470" s="232"/>
      <c r="AJ1470" s="232"/>
      <c r="AK1470" s="232"/>
      <c r="AL1470" s="232"/>
      <c r="AM1470" s="232"/>
      <c r="AN1470" s="232"/>
      <c r="AO1470" s="231"/>
      <c r="AP1470" s="231"/>
      <c r="AQ1470" s="227"/>
      <c r="AR1470" s="231"/>
      <c r="AS1470" s="227"/>
      <c r="AT1470" s="227"/>
      <c r="AU1470" s="227"/>
      <c r="AV1470" s="227"/>
    </row>
    <row r="1471">
      <c r="A1471" s="227"/>
      <c r="B1471" s="232"/>
      <c r="C1471" s="227"/>
      <c r="D1471" s="227"/>
      <c r="E1471" s="231"/>
      <c r="F1471" s="232"/>
      <c r="G1471" s="227"/>
      <c r="H1471" s="227"/>
      <c r="I1471" s="227"/>
      <c r="J1471" s="227"/>
      <c r="K1471" s="227"/>
      <c r="L1471" s="232"/>
      <c r="M1471" s="232"/>
      <c r="N1471" s="227"/>
      <c r="O1471" s="227"/>
      <c r="P1471" s="231"/>
      <c r="Q1471" s="227"/>
      <c r="R1471" s="231"/>
      <c r="S1471" s="231"/>
      <c r="T1471" s="231"/>
      <c r="U1471" s="231"/>
      <c r="V1471" s="231"/>
      <c r="W1471" s="231"/>
      <c r="X1471" s="227"/>
      <c r="Y1471" s="232"/>
      <c r="Z1471" s="232"/>
      <c r="AA1471" s="232"/>
      <c r="AB1471" s="232"/>
      <c r="AC1471" s="227"/>
      <c r="AD1471" s="227"/>
      <c r="AE1471" s="231"/>
      <c r="AF1471" s="227"/>
      <c r="AG1471" s="232"/>
      <c r="AH1471" s="232"/>
      <c r="AI1471" s="232"/>
      <c r="AJ1471" s="232"/>
      <c r="AK1471" s="232"/>
      <c r="AL1471" s="232"/>
      <c r="AM1471" s="232"/>
      <c r="AN1471" s="232"/>
      <c r="AO1471" s="231"/>
      <c r="AP1471" s="231"/>
      <c r="AQ1471" s="227"/>
      <c r="AR1471" s="227"/>
      <c r="AS1471" s="227"/>
      <c r="AT1471" s="227"/>
      <c r="AU1471" s="227"/>
      <c r="AV1471" s="227"/>
    </row>
    <row r="1472">
      <c r="A1472" s="227"/>
      <c r="B1472" s="232"/>
      <c r="C1472" s="227"/>
      <c r="D1472" s="227"/>
      <c r="E1472" s="231"/>
      <c r="F1472" s="232"/>
      <c r="G1472" s="227"/>
      <c r="H1472" s="227"/>
      <c r="I1472" s="227"/>
      <c r="J1472" s="227"/>
      <c r="K1472" s="227"/>
      <c r="L1472" s="232"/>
      <c r="M1472" s="232"/>
      <c r="N1472" s="227"/>
      <c r="O1472" s="227"/>
      <c r="P1472" s="231"/>
      <c r="Q1472" s="227"/>
      <c r="R1472" s="231"/>
      <c r="S1472" s="231"/>
      <c r="T1472" s="231"/>
      <c r="U1472" s="231"/>
      <c r="V1472" s="231"/>
      <c r="W1472" s="231"/>
      <c r="X1472" s="227"/>
      <c r="Y1472" s="232"/>
      <c r="Z1472" s="232"/>
      <c r="AA1472" s="232"/>
      <c r="AB1472" s="232"/>
      <c r="AC1472" s="227"/>
      <c r="AD1472" s="227"/>
      <c r="AE1472" s="231"/>
      <c r="AF1472" s="227"/>
      <c r="AG1472" s="232"/>
      <c r="AH1472" s="232"/>
      <c r="AI1472" s="232"/>
      <c r="AJ1472" s="232"/>
      <c r="AK1472" s="232"/>
      <c r="AL1472" s="232"/>
      <c r="AM1472" s="232"/>
      <c r="AN1472" s="232"/>
      <c r="AO1472" s="231"/>
      <c r="AP1472" s="231"/>
      <c r="AQ1472" s="227"/>
      <c r="AR1472" s="231"/>
      <c r="AS1472" s="227"/>
      <c r="AT1472" s="227"/>
      <c r="AU1472" s="227"/>
      <c r="AV1472" s="227"/>
    </row>
    <row r="1473">
      <c r="A1473" s="227"/>
      <c r="B1473" s="232"/>
      <c r="C1473" s="227"/>
      <c r="D1473" s="227"/>
      <c r="E1473" s="231"/>
      <c r="F1473" s="232"/>
      <c r="G1473" s="227"/>
      <c r="H1473" s="227"/>
      <c r="I1473" s="227"/>
      <c r="J1473" s="227"/>
      <c r="K1473" s="227"/>
      <c r="L1473" s="232"/>
      <c r="M1473" s="232"/>
      <c r="N1473" s="227"/>
      <c r="O1473" s="227"/>
      <c r="P1473" s="231"/>
      <c r="Q1473" s="227"/>
      <c r="R1473" s="231"/>
      <c r="S1473" s="231"/>
      <c r="T1473" s="231"/>
      <c r="U1473" s="231"/>
      <c r="V1473" s="231"/>
      <c r="W1473" s="231"/>
      <c r="X1473" s="227"/>
      <c r="Y1473" s="232"/>
      <c r="Z1473" s="232"/>
      <c r="AA1473" s="232"/>
      <c r="AB1473" s="232"/>
      <c r="AC1473" s="227"/>
      <c r="AD1473" s="227"/>
      <c r="AE1473" s="231"/>
      <c r="AF1473" s="227"/>
      <c r="AG1473" s="232"/>
      <c r="AH1473" s="232"/>
      <c r="AI1473" s="232"/>
      <c r="AJ1473" s="232"/>
      <c r="AK1473" s="232"/>
      <c r="AL1473" s="232"/>
      <c r="AM1473" s="232"/>
      <c r="AN1473" s="232"/>
      <c r="AO1473" s="231"/>
      <c r="AP1473" s="231"/>
      <c r="AQ1473" s="227"/>
      <c r="AR1473" s="231"/>
      <c r="AS1473" s="227"/>
      <c r="AT1473" s="227"/>
      <c r="AU1473" s="227"/>
      <c r="AV1473" s="227"/>
    </row>
    <row r="1474">
      <c r="A1474" s="227"/>
      <c r="B1474" s="232"/>
      <c r="C1474" s="227"/>
      <c r="D1474" s="227"/>
      <c r="E1474" s="231"/>
      <c r="F1474" s="232"/>
      <c r="G1474" s="227"/>
      <c r="H1474" s="227"/>
      <c r="I1474" s="227"/>
      <c r="J1474" s="227"/>
      <c r="K1474" s="227"/>
      <c r="L1474" s="232"/>
      <c r="M1474" s="232"/>
      <c r="N1474" s="227"/>
      <c r="O1474" s="227"/>
      <c r="P1474" s="231"/>
      <c r="Q1474" s="227"/>
      <c r="R1474" s="231"/>
      <c r="S1474" s="231"/>
      <c r="T1474" s="231"/>
      <c r="U1474" s="231"/>
      <c r="V1474" s="231"/>
      <c r="W1474" s="231"/>
      <c r="X1474" s="227"/>
      <c r="Y1474" s="232"/>
      <c r="Z1474" s="232"/>
      <c r="AA1474" s="232"/>
      <c r="AB1474" s="232"/>
      <c r="AC1474" s="227"/>
      <c r="AD1474" s="227"/>
      <c r="AE1474" s="231"/>
      <c r="AF1474" s="227"/>
      <c r="AG1474" s="232"/>
      <c r="AH1474" s="232"/>
      <c r="AI1474" s="232"/>
      <c r="AJ1474" s="232"/>
      <c r="AK1474" s="232"/>
      <c r="AL1474" s="232"/>
      <c r="AM1474" s="232"/>
      <c r="AN1474" s="232"/>
      <c r="AO1474" s="231"/>
      <c r="AP1474" s="231"/>
      <c r="AQ1474" s="227"/>
      <c r="AR1474" s="231"/>
      <c r="AS1474" s="227"/>
      <c r="AT1474" s="227"/>
      <c r="AU1474" s="227"/>
      <c r="AV1474" s="227"/>
    </row>
    <row r="1475">
      <c r="A1475" s="227"/>
      <c r="B1475" s="232"/>
      <c r="C1475" s="227"/>
      <c r="D1475" s="227"/>
      <c r="E1475" s="231"/>
      <c r="F1475" s="232"/>
      <c r="G1475" s="227"/>
      <c r="H1475" s="227"/>
      <c r="I1475" s="227"/>
      <c r="J1475" s="227"/>
      <c r="K1475" s="227"/>
      <c r="L1475" s="232"/>
      <c r="M1475" s="232"/>
      <c r="N1475" s="227"/>
      <c r="O1475" s="227"/>
      <c r="P1475" s="231"/>
      <c r="Q1475" s="227"/>
      <c r="R1475" s="231"/>
      <c r="S1475" s="231"/>
      <c r="T1475" s="231"/>
      <c r="U1475" s="231"/>
      <c r="V1475" s="231"/>
      <c r="W1475" s="231"/>
      <c r="X1475" s="227"/>
      <c r="Y1475" s="232"/>
      <c r="Z1475" s="232"/>
      <c r="AA1475" s="232"/>
      <c r="AB1475" s="232"/>
      <c r="AC1475" s="227"/>
      <c r="AD1475" s="227"/>
      <c r="AE1475" s="231"/>
      <c r="AF1475" s="227"/>
      <c r="AG1475" s="232"/>
      <c r="AH1475" s="232"/>
      <c r="AI1475" s="232"/>
      <c r="AJ1475" s="232"/>
      <c r="AK1475" s="232"/>
      <c r="AL1475" s="232"/>
      <c r="AM1475" s="232"/>
      <c r="AN1475" s="232"/>
      <c r="AO1475" s="231"/>
      <c r="AP1475" s="231"/>
      <c r="AQ1475" s="227"/>
      <c r="AR1475" s="231"/>
      <c r="AS1475" s="227"/>
      <c r="AT1475" s="227"/>
      <c r="AU1475" s="227"/>
      <c r="AV1475" s="227"/>
    </row>
    <row r="1476">
      <c r="A1476" s="227"/>
      <c r="B1476" s="232"/>
      <c r="C1476" s="227"/>
      <c r="D1476" s="227"/>
      <c r="E1476" s="231"/>
      <c r="F1476" s="232"/>
      <c r="G1476" s="227"/>
      <c r="H1476" s="227"/>
      <c r="I1476" s="227"/>
      <c r="J1476" s="227"/>
      <c r="K1476" s="227"/>
      <c r="L1476" s="232"/>
      <c r="M1476" s="232"/>
      <c r="N1476" s="227"/>
      <c r="O1476" s="227"/>
      <c r="P1476" s="231"/>
      <c r="Q1476" s="227"/>
      <c r="R1476" s="231"/>
      <c r="S1476" s="231"/>
      <c r="T1476" s="231"/>
      <c r="U1476" s="231"/>
      <c r="V1476" s="231"/>
      <c r="W1476" s="231"/>
      <c r="X1476" s="227"/>
      <c r="Y1476" s="232"/>
      <c r="Z1476" s="232"/>
      <c r="AA1476" s="232"/>
      <c r="AB1476" s="232"/>
      <c r="AC1476" s="227"/>
      <c r="AD1476" s="227"/>
      <c r="AE1476" s="231"/>
      <c r="AF1476" s="227"/>
      <c r="AG1476" s="232"/>
      <c r="AH1476" s="232"/>
      <c r="AI1476" s="232"/>
      <c r="AJ1476" s="232"/>
      <c r="AK1476" s="232"/>
      <c r="AL1476" s="232"/>
      <c r="AM1476" s="232"/>
      <c r="AN1476" s="232"/>
      <c r="AO1476" s="231"/>
      <c r="AP1476" s="231"/>
      <c r="AQ1476" s="227"/>
      <c r="AR1476" s="227"/>
      <c r="AS1476" s="227"/>
      <c r="AT1476" s="227"/>
      <c r="AU1476" s="227"/>
      <c r="AV1476" s="227"/>
    </row>
    <row r="1477">
      <c r="A1477" s="227"/>
      <c r="B1477" s="232"/>
      <c r="C1477" s="227"/>
      <c r="D1477" s="227"/>
      <c r="E1477" s="231"/>
      <c r="F1477" s="232"/>
      <c r="G1477" s="227"/>
      <c r="H1477" s="227"/>
      <c r="I1477" s="227"/>
      <c r="J1477" s="227"/>
      <c r="K1477" s="227"/>
      <c r="L1477" s="232"/>
      <c r="M1477" s="232"/>
      <c r="N1477" s="227"/>
      <c r="O1477" s="227"/>
      <c r="P1477" s="231"/>
      <c r="Q1477" s="227"/>
      <c r="R1477" s="231"/>
      <c r="S1477" s="231"/>
      <c r="T1477" s="231"/>
      <c r="U1477" s="231"/>
      <c r="V1477" s="231"/>
      <c r="W1477" s="231"/>
      <c r="X1477" s="227"/>
      <c r="Y1477" s="232"/>
      <c r="Z1477" s="232"/>
      <c r="AA1477" s="232"/>
      <c r="AB1477" s="232"/>
      <c r="AC1477" s="227"/>
      <c r="AD1477" s="227"/>
      <c r="AE1477" s="231"/>
      <c r="AF1477" s="227"/>
      <c r="AG1477" s="232"/>
      <c r="AH1477" s="232"/>
      <c r="AI1477" s="232"/>
      <c r="AJ1477" s="232"/>
      <c r="AK1477" s="232"/>
      <c r="AL1477" s="232"/>
      <c r="AM1477" s="232"/>
      <c r="AN1477" s="232"/>
      <c r="AO1477" s="231"/>
      <c r="AP1477" s="231"/>
      <c r="AQ1477" s="227"/>
      <c r="AR1477" s="231"/>
      <c r="AS1477" s="227"/>
      <c r="AT1477" s="227"/>
      <c r="AU1477" s="227"/>
      <c r="AV1477" s="227"/>
    </row>
    <row r="1478">
      <c r="A1478" s="227"/>
      <c r="B1478" s="232"/>
      <c r="C1478" s="227"/>
      <c r="D1478" s="227"/>
      <c r="E1478" s="231"/>
      <c r="F1478" s="232"/>
      <c r="G1478" s="227"/>
      <c r="H1478" s="227"/>
      <c r="I1478" s="227"/>
      <c r="J1478" s="227"/>
      <c r="K1478" s="227"/>
      <c r="L1478" s="232"/>
      <c r="M1478" s="232"/>
      <c r="N1478" s="227"/>
      <c r="O1478" s="227"/>
      <c r="P1478" s="231"/>
      <c r="Q1478" s="227"/>
      <c r="R1478" s="231"/>
      <c r="S1478" s="231"/>
      <c r="T1478" s="231"/>
      <c r="U1478" s="231"/>
      <c r="V1478" s="231"/>
      <c r="W1478" s="231"/>
      <c r="X1478" s="227"/>
      <c r="Y1478" s="232"/>
      <c r="Z1478" s="232"/>
      <c r="AA1478" s="232"/>
      <c r="AB1478" s="232"/>
      <c r="AC1478" s="227"/>
      <c r="AD1478" s="227"/>
      <c r="AE1478" s="231"/>
      <c r="AF1478" s="227"/>
      <c r="AG1478" s="232"/>
      <c r="AH1478" s="232"/>
      <c r="AI1478" s="232"/>
      <c r="AJ1478" s="232"/>
      <c r="AK1478" s="232"/>
      <c r="AL1478" s="232"/>
      <c r="AM1478" s="232"/>
      <c r="AN1478" s="232"/>
      <c r="AO1478" s="231"/>
      <c r="AP1478" s="231"/>
      <c r="AQ1478" s="227"/>
      <c r="AR1478" s="231"/>
      <c r="AS1478" s="227"/>
      <c r="AT1478" s="227"/>
      <c r="AU1478" s="227"/>
      <c r="AV1478" s="227"/>
    </row>
    <row r="1479">
      <c r="A1479" s="227"/>
      <c r="B1479" s="232"/>
      <c r="C1479" s="227"/>
      <c r="D1479" s="227"/>
      <c r="E1479" s="231"/>
      <c r="F1479" s="232"/>
      <c r="G1479" s="227"/>
      <c r="H1479" s="227"/>
      <c r="I1479" s="227"/>
      <c r="J1479" s="227"/>
      <c r="K1479" s="227"/>
      <c r="L1479" s="232"/>
      <c r="M1479" s="232"/>
      <c r="N1479" s="227"/>
      <c r="O1479" s="227"/>
      <c r="P1479" s="231"/>
      <c r="Q1479" s="227"/>
      <c r="R1479" s="231"/>
      <c r="S1479" s="231"/>
      <c r="T1479" s="231"/>
      <c r="U1479" s="231"/>
      <c r="V1479" s="231"/>
      <c r="W1479" s="231"/>
      <c r="X1479" s="227"/>
      <c r="Y1479" s="232"/>
      <c r="Z1479" s="232"/>
      <c r="AA1479" s="232"/>
      <c r="AB1479" s="232"/>
      <c r="AC1479" s="227"/>
      <c r="AD1479" s="227"/>
      <c r="AE1479" s="231"/>
      <c r="AF1479" s="227"/>
      <c r="AG1479" s="232"/>
      <c r="AH1479" s="232"/>
      <c r="AI1479" s="232"/>
      <c r="AJ1479" s="232"/>
      <c r="AK1479" s="232"/>
      <c r="AL1479" s="232"/>
      <c r="AM1479" s="232"/>
      <c r="AN1479" s="232"/>
      <c r="AO1479" s="231"/>
      <c r="AP1479" s="231"/>
      <c r="AQ1479" s="227"/>
      <c r="AR1479" s="231"/>
      <c r="AS1479" s="227"/>
      <c r="AT1479" s="227"/>
      <c r="AU1479" s="227"/>
      <c r="AV1479" s="227"/>
    </row>
    <row r="1480">
      <c r="A1480" s="227"/>
      <c r="B1480" s="232"/>
      <c r="C1480" s="227"/>
      <c r="D1480" s="227"/>
      <c r="E1480" s="231"/>
      <c r="F1480" s="232"/>
      <c r="G1480" s="227"/>
      <c r="H1480" s="227"/>
      <c r="I1480" s="227"/>
      <c r="J1480" s="227"/>
      <c r="K1480" s="227"/>
      <c r="L1480" s="232"/>
      <c r="M1480" s="232"/>
      <c r="N1480" s="227"/>
      <c r="O1480" s="227"/>
      <c r="P1480" s="231"/>
      <c r="Q1480" s="227"/>
      <c r="R1480" s="231"/>
      <c r="S1480" s="231"/>
      <c r="T1480" s="231"/>
      <c r="U1480" s="231"/>
      <c r="V1480" s="231"/>
      <c r="W1480" s="231"/>
      <c r="X1480" s="227"/>
      <c r="Y1480" s="232"/>
      <c r="Z1480" s="232"/>
      <c r="AA1480" s="232"/>
      <c r="AB1480" s="232"/>
      <c r="AC1480" s="227"/>
      <c r="AD1480" s="227"/>
      <c r="AE1480" s="231"/>
      <c r="AF1480" s="227"/>
      <c r="AG1480" s="232"/>
      <c r="AH1480" s="232"/>
      <c r="AI1480" s="232"/>
      <c r="AJ1480" s="232"/>
      <c r="AK1480" s="232"/>
      <c r="AL1480" s="232"/>
      <c r="AM1480" s="232"/>
      <c r="AN1480" s="232"/>
      <c r="AO1480" s="231"/>
      <c r="AP1480" s="231"/>
      <c r="AQ1480" s="227"/>
      <c r="AR1480" s="231"/>
      <c r="AS1480" s="227"/>
      <c r="AT1480" s="227"/>
      <c r="AU1480" s="227"/>
      <c r="AV1480" s="227"/>
    </row>
    <row r="1481">
      <c r="A1481" s="227"/>
      <c r="B1481" s="232"/>
      <c r="C1481" s="227"/>
      <c r="D1481" s="227"/>
      <c r="E1481" s="231"/>
      <c r="F1481" s="232"/>
      <c r="G1481" s="227"/>
      <c r="H1481" s="227"/>
      <c r="I1481" s="227"/>
      <c r="J1481" s="227"/>
      <c r="K1481" s="227"/>
      <c r="L1481" s="232"/>
      <c r="M1481" s="232"/>
      <c r="N1481" s="227"/>
      <c r="O1481" s="227"/>
      <c r="P1481" s="231"/>
      <c r="Q1481" s="227"/>
      <c r="R1481" s="231"/>
      <c r="S1481" s="231"/>
      <c r="T1481" s="231"/>
      <c r="U1481" s="231"/>
      <c r="V1481" s="231"/>
      <c r="W1481" s="231"/>
      <c r="X1481" s="227"/>
      <c r="Y1481" s="232"/>
      <c r="Z1481" s="232"/>
      <c r="AA1481" s="232"/>
      <c r="AB1481" s="232"/>
      <c r="AC1481" s="227"/>
      <c r="AD1481" s="227"/>
      <c r="AE1481" s="231"/>
      <c r="AF1481" s="227"/>
      <c r="AG1481" s="232"/>
      <c r="AH1481" s="232"/>
      <c r="AI1481" s="232"/>
      <c r="AJ1481" s="232"/>
      <c r="AK1481" s="232"/>
      <c r="AL1481" s="232"/>
      <c r="AM1481" s="232"/>
      <c r="AN1481" s="232"/>
      <c r="AO1481" s="231"/>
      <c r="AP1481" s="231"/>
      <c r="AQ1481" s="227"/>
      <c r="AR1481" s="231"/>
      <c r="AS1481" s="227"/>
      <c r="AT1481" s="227"/>
      <c r="AU1481" s="227"/>
      <c r="AV1481" s="227"/>
    </row>
    <row r="1482">
      <c r="A1482" s="227"/>
      <c r="B1482" s="232"/>
      <c r="C1482" s="227"/>
      <c r="D1482" s="227"/>
      <c r="E1482" s="231"/>
      <c r="F1482" s="232"/>
      <c r="G1482" s="227"/>
      <c r="H1482" s="227"/>
      <c r="I1482" s="227"/>
      <c r="J1482" s="227"/>
      <c r="K1482" s="227"/>
      <c r="L1482" s="232"/>
      <c r="M1482" s="232"/>
      <c r="N1482" s="227"/>
      <c r="O1482" s="227"/>
      <c r="P1482" s="231"/>
      <c r="Q1482" s="227"/>
      <c r="R1482" s="231"/>
      <c r="S1482" s="231"/>
      <c r="T1482" s="231"/>
      <c r="U1482" s="231"/>
      <c r="V1482" s="231"/>
      <c r="W1482" s="231"/>
      <c r="X1482" s="227"/>
      <c r="Y1482" s="232"/>
      <c r="Z1482" s="232"/>
      <c r="AA1482" s="232"/>
      <c r="AB1482" s="232"/>
      <c r="AC1482" s="227"/>
      <c r="AD1482" s="227"/>
      <c r="AE1482" s="231"/>
      <c r="AF1482" s="227"/>
      <c r="AG1482" s="232"/>
      <c r="AH1482" s="232"/>
      <c r="AI1482" s="232"/>
      <c r="AJ1482" s="232"/>
      <c r="AK1482" s="232"/>
      <c r="AL1482" s="232"/>
      <c r="AM1482" s="232"/>
      <c r="AN1482" s="232"/>
      <c r="AO1482" s="231"/>
      <c r="AP1482" s="231"/>
      <c r="AQ1482" s="227"/>
      <c r="AR1482" s="231"/>
      <c r="AS1482" s="227"/>
      <c r="AT1482" s="227"/>
      <c r="AU1482" s="227"/>
      <c r="AV1482" s="227"/>
    </row>
    <row r="1483">
      <c r="A1483" s="227"/>
      <c r="B1483" s="232"/>
      <c r="C1483" s="227"/>
      <c r="D1483" s="227"/>
      <c r="E1483" s="231"/>
      <c r="F1483" s="232"/>
      <c r="G1483" s="227"/>
      <c r="H1483" s="227"/>
      <c r="I1483" s="227"/>
      <c r="J1483" s="227"/>
      <c r="K1483" s="227"/>
      <c r="L1483" s="232"/>
      <c r="M1483" s="232"/>
      <c r="N1483" s="227"/>
      <c r="O1483" s="227"/>
      <c r="P1483" s="231"/>
      <c r="Q1483" s="227"/>
      <c r="R1483" s="231"/>
      <c r="S1483" s="231"/>
      <c r="T1483" s="231"/>
      <c r="U1483" s="231"/>
      <c r="V1483" s="231"/>
      <c r="W1483" s="231"/>
      <c r="X1483" s="227"/>
      <c r="Y1483" s="232"/>
      <c r="Z1483" s="232"/>
      <c r="AA1483" s="232"/>
      <c r="AB1483" s="232"/>
      <c r="AC1483" s="227"/>
      <c r="AD1483" s="227"/>
      <c r="AE1483" s="231"/>
      <c r="AF1483" s="227"/>
      <c r="AG1483" s="232"/>
      <c r="AH1483" s="232"/>
      <c r="AI1483" s="232"/>
      <c r="AJ1483" s="232"/>
      <c r="AK1483" s="232"/>
      <c r="AL1483" s="232"/>
      <c r="AM1483" s="232"/>
      <c r="AN1483" s="232"/>
      <c r="AO1483" s="231"/>
      <c r="AP1483" s="231"/>
      <c r="AQ1483" s="227"/>
      <c r="AR1483" s="231"/>
      <c r="AS1483" s="227"/>
      <c r="AT1483" s="227"/>
      <c r="AU1483" s="227"/>
      <c r="AV1483" s="227"/>
    </row>
    <row r="1484">
      <c r="A1484" s="227"/>
      <c r="B1484" s="232"/>
      <c r="C1484" s="227"/>
      <c r="D1484" s="227"/>
      <c r="E1484" s="231"/>
      <c r="F1484" s="232"/>
      <c r="G1484" s="227"/>
      <c r="H1484" s="227"/>
      <c r="I1484" s="227"/>
      <c r="J1484" s="227"/>
      <c r="K1484" s="227"/>
      <c r="L1484" s="232"/>
      <c r="M1484" s="232"/>
      <c r="N1484" s="227"/>
      <c r="O1484" s="227"/>
      <c r="P1484" s="231"/>
      <c r="Q1484" s="227"/>
      <c r="R1484" s="231"/>
      <c r="S1484" s="231"/>
      <c r="T1484" s="231"/>
      <c r="U1484" s="231"/>
      <c r="V1484" s="231"/>
      <c r="W1484" s="231"/>
      <c r="X1484" s="227"/>
      <c r="Y1484" s="232"/>
      <c r="Z1484" s="232"/>
      <c r="AA1484" s="232"/>
      <c r="AB1484" s="232"/>
      <c r="AC1484" s="227"/>
      <c r="AD1484" s="227"/>
      <c r="AE1484" s="231"/>
      <c r="AF1484" s="227"/>
      <c r="AG1484" s="232"/>
      <c r="AH1484" s="232"/>
      <c r="AI1484" s="232"/>
      <c r="AJ1484" s="232"/>
      <c r="AK1484" s="232"/>
      <c r="AL1484" s="232"/>
      <c r="AM1484" s="232"/>
      <c r="AN1484" s="232"/>
      <c r="AO1484" s="231"/>
      <c r="AP1484" s="231"/>
      <c r="AQ1484" s="227"/>
      <c r="AR1484" s="231"/>
      <c r="AS1484" s="227"/>
      <c r="AT1484" s="227"/>
      <c r="AU1484" s="227"/>
      <c r="AV1484" s="227"/>
    </row>
    <row r="1485">
      <c r="A1485" s="227"/>
      <c r="B1485" s="232"/>
      <c r="C1485" s="227"/>
      <c r="D1485" s="227"/>
      <c r="E1485" s="231"/>
      <c r="F1485" s="232"/>
      <c r="G1485" s="227"/>
      <c r="H1485" s="227"/>
      <c r="I1485" s="227"/>
      <c r="J1485" s="227"/>
      <c r="K1485" s="227"/>
      <c r="L1485" s="232"/>
      <c r="M1485" s="232"/>
      <c r="N1485" s="227"/>
      <c r="O1485" s="227"/>
      <c r="P1485" s="231"/>
      <c r="Q1485" s="227"/>
      <c r="R1485" s="231"/>
      <c r="S1485" s="231"/>
      <c r="T1485" s="231"/>
      <c r="U1485" s="231"/>
      <c r="V1485" s="231"/>
      <c r="W1485" s="231"/>
      <c r="X1485" s="227"/>
      <c r="Y1485" s="232"/>
      <c r="Z1485" s="232"/>
      <c r="AA1485" s="232"/>
      <c r="AB1485" s="232"/>
      <c r="AC1485" s="227"/>
      <c r="AD1485" s="227"/>
      <c r="AE1485" s="231"/>
      <c r="AF1485" s="227"/>
      <c r="AG1485" s="232"/>
      <c r="AH1485" s="232"/>
      <c r="AI1485" s="232"/>
      <c r="AJ1485" s="232"/>
      <c r="AK1485" s="232"/>
      <c r="AL1485" s="232"/>
      <c r="AM1485" s="232"/>
      <c r="AN1485" s="232"/>
      <c r="AO1485" s="231"/>
      <c r="AP1485" s="231"/>
      <c r="AQ1485" s="227"/>
      <c r="AR1485" s="231"/>
      <c r="AS1485" s="227"/>
      <c r="AT1485" s="227"/>
      <c r="AU1485" s="227"/>
      <c r="AV1485" s="227"/>
    </row>
    <row r="1486">
      <c r="A1486" s="227"/>
      <c r="B1486" s="232"/>
      <c r="C1486" s="227"/>
      <c r="D1486" s="227"/>
      <c r="E1486" s="231"/>
      <c r="F1486" s="232"/>
      <c r="G1486" s="227"/>
      <c r="H1486" s="227"/>
      <c r="I1486" s="227"/>
      <c r="J1486" s="227"/>
      <c r="K1486" s="227"/>
      <c r="L1486" s="232"/>
      <c r="M1486" s="232"/>
      <c r="N1486" s="227"/>
      <c r="O1486" s="227"/>
      <c r="P1486" s="231"/>
      <c r="Q1486" s="227"/>
      <c r="R1486" s="231"/>
      <c r="S1486" s="231"/>
      <c r="T1486" s="231"/>
      <c r="U1486" s="231"/>
      <c r="V1486" s="231"/>
      <c r="W1486" s="231"/>
      <c r="X1486" s="227"/>
      <c r="Y1486" s="232"/>
      <c r="Z1486" s="232"/>
      <c r="AA1486" s="232"/>
      <c r="AB1486" s="232"/>
      <c r="AC1486" s="227"/>
      <c r="AD1486" s="227"/>
      <c r="AE1486" s="231"/>
      <c r="AF1486" s="227"/>
      <c r="AG1486" s="232"/>
      <c r="AH1486" s="232"/>
      <c r="AI1486" s="232"/>
      <c r="AJ1486" s="232"/>
      <c r="AK1486" s="232"/>
      <c r="AL1486" s="232"/>
      <c r="AM1486" s="232"/>
      <c r="AN1486" s="232"/>
      <c r="AO1486" s="231"/>
      <c r="AP1486" s="231"/>
      <c r="AQ1486" s="227"/>
      <c r="AR1486" s="231"/>
      <c r="AS1486" s="227"/>
      <c r="AT1486" s="227"/>
      <c r="AU1486" s="227"/>
      <c r="AV1486" s="227"/>
    </row>
    <row r="1487">
      <c r="A1487" s="227"/>
      <c r="B1487" s="232"/>
      <c r="C1487" s="227"/>
      <c r="D1487" s="227"/>
      <c r="E1487" s="231"/>
      <c r="F1487" s="232"/>
      <c r="G1487" s="227"/>
      <c r="H1487" s="227"/>
      <c r="I1487" s="227"/>
      <c r="J1487" s="227"/>
      <c r="K1487" s="227"/>
      <c r="L1487" s="232"/>
      <c r="M1487" s="232"/>
      <c r="N1487" s="227"/>
      <c r="O1487" s="227"/>
      <c r="P1487" s="231"/>
      <c r="Q1487" s="227"/>
      <c r="R1487" s="231"/>
      <c r="S1487" s="231"/>
      <c r="T1487" s="231"/>
      <c r="U1487" s="231"/>
      <c r="V1487" s="231"/>
      <c r="W1487" s="231"/>
      <c r="X1487" s="227"/>
      <c r="Y1487" s="232"/>
      <c r="Z1487" s="232"/>
      <c r="AA1487" s="232"/>
      <c r="AB1487" s="232"/>
      <c r="AC1487" s="227"/>
      <c r="AD1487" s="227"/>
      <c r="AE1487" s="231"/>
      <c r="AF1487" s="227"/>
      <c r="AG1487" s="232"/>
      <c r="AH1487" s="232"/>
      <c r="AI1487" s="232"/>
      <c r="AJ1487" s="232"/>
      <c r="AK1487" s="232"/>
      <c r="AL1487" s="232"/>
      <c r="AM1487" s="232"/>
      <c r="AN1487" s="232"/>
      <c r="AO1487" s="231"/>
      <c r="AP1487" s="231"/>
      <c r="AQ1487" s="227"/>
      <c r="AR1487" s="231"/>
      <c r="AS1487" s="227"/>
      <c r="AT1487" s="227"/>
      <c r="AU1487" s="227"/>
      <c r="AV1487" s="227"/>
    </row>
    <row r="1488">
      <c r="A1488" s="227"/>
      <c r="B1488" s="232"/>
      <c r="C1488" s="227"/>
      <c r="D1488" s="227"/>
      <c r="E1488" s="231"/>
      <c r="F1488" s="232"/>
      <c r="G1488" s="227"/>
      <c r="H1488" s="227"/>
      <c r="I1488" s="227"/>
      <c r="J1488" s="227"/>
      <c r="K1488" s="227"/>
      <c r="L1488" s="232"/>
      <c r="M1488" s="232"/>
      <c r="N1488" s="227"/>
      <c r="O1488" s="227"/>
      <c r="P1488" s="231"/>
      <c r="Q1488" s="227"/>
      <c r="R1488" s="231"/>
      <c r="S1488" s="231"/>
      <c r="T1488" s="231"/>
      <c r="U1488" s="231"/>
      <c r="V1488" s="231"/>
      <c r="W1488" s="231"/>
      <c r="X1488" s="227"/>
      <c r="Y1488" s="232"/>
      <c r="Z1488" s="232"/>
      <c r="AA1488" s="232"/>
      <c r="AB1488" s="232"/>
      <c r="AC1488" s="227"/>
      <c r="AD1488" s="227"/>
      <c r="AE1488" s="231"/>
      <c r="AF1488" s="227"/>
      <c r="AG1488" s="232"/>
      <c r="AH1488" s="232"/>
      <c r="AI1488" s="232"/>
      <c r="AJ1488" s="232"/>
      <c r="AK1488" s="232"/>
      <c r="AL1488" s="232"/>
      <c r="AM1488" s="232"/>
      <c r="AN1488" s="232"/>
      <c r="AO1488" s="231"/>
      <c r="AP1488" s="231"/>
      <c r="AQ1488" s="227"/>
      <c r="AR1488" s="231"/>
      <c r="AS1488" s="227"/>
      <c r="AT1488" s="227"/>
      <c r="AU1488" s="227"/>
      <c r="AV1488" s="227"/>
    </row>
    <row r="1489">
      <c r="A1489" s="227"/>
      <c r="B1489" s="232"/>
      <c r="C1489" s="227"/>
      <c r="D1489" s="227"/>
      <c r="E1489" s="231"/>
      <c r="F1489" s="232"/>
      <c r="G1489" s="227"/>
      <c r="H1489" s="227"/>
      <c r="I1489" s="227"/>
      <c r="J1489" s="227"/>
      <c r="K1489" s="227"/>
      <c r="L1489" s="232"/>
      <c r="M1489" s="232"/>
      <c r="N1489" s="227"/>
      <c r="O1489" s="227"/>
      <c r="P1489" s="231"/>
      <c r="Q1489" s="227"/>
      <c r="R1489" s="231"/>
      <c r="S1489" s="231"/>
      <c r="T1489" s="231"/>
      <c r="U1489" s="231"/>
      <c r="V1489" s="231"/>
      <c r="W1489" s="231"/>
      <c r="X1489" s="227"/>
      <c r="Y1489" s="232"/>
      <c r="Z1489" s="232"/>
      <c r="AA1489" s="232"/>
      <c r="AB1489" s="232"/>
      <c r="AC1489" s="227"/>
      <c r="AD1489" s="227"/>
      <c r="AE1489" s="231"/>
      <c r="AF1489" s="227"/>
      <c r="AG1489" s="232"/>
      <c r="AH1489" s="232"/>
      <c r="AI1489" s="232"/>
      <c r="AJ1489" s="232"/>
      <c r="AK1489" s="232"/>
      <c r="AL1489" s="232"/>
      <c r="AM1489" s="232"/>
      <c r="AN1489" s="232"/>
      <c r="AO1489" s="231"/>
      <c r="AP1489" s="231"/>
      <c r="AQ1489" s="227"/>
      <c r="AR1489" s="231"/>
      <c r="AS1489" s="227"/>
      <c r="AT1489" s="227"/>
      <c r="AU1489" s="227"/>
      <c r="AV1489" s="227"/>
    </row>
    <row r="1490">
      <c r="A1490" s="227"/>
      <c r="B1490" s="232"/>
      <c r="C1490" s="227"/>
      <c r="D1490" s="227"/>
      <c r="E1490" s="231"/>
      <c r="F1490" s="232"/>
      <c r="G1490" s="227"/>
      <c r="H1490" s="227"/>
      <c r="I1490" s="227"/>
      <c r="J1490" s="227"/>
      <c r="K1490" s="227"/>
      <c r="L1490" s="232"/>
      <c r="M1490" s="232"/>
      <c r="N1490" s="227"/>
      <c r="O1490" s="227"/>
      <c r="P1490" s="231"/>
      <c r="Q1490" s="227"/>
      <c r="R1490" s="231"/>
      <c r="S1490" s="231"/>
      <c r="T1490" s="231"/>
      <c r="U1490" s="231"/>
      <c r="V1490" s="231"/>
      <c r="W1490" s="231"/>
      <c r="X1490" s="227"/>
      <c r="Y1490" s="232"/>
      <c r="Z1490" s="232"/>
      <c r="AA1490" s="232"/>
      <c r="AB1490" s="232"/>
      <c r="AC1490" s="227"/>
      <c r="AD1490" s="227"/>
      <c r="AE1490" s="231"/>
      <c r="AF1490" s="227"/>
      <c r="AG1490" s="232"/>
      <c r="AH1490" s="232"/>
      <c r="AI1490" s="232"/>
      <c r="AJ1490" s="232"/>
      <c r="AK1490" s="232"/>
      <c r="AL1490" s="232"/>
      <c r="AM1490" s="232"/>
      <c r="AN1490" s="232"/>
      <c r="AO1490" s="231"/>
      <c r="AP1490" s="231"/>
      <c r="AQ1490" s="227"/>
      <c r="AR1490" s="231"/>
      <c r="AS1490" s="227"/>
      <c r="AT1490" s="227"/>
      <c r="AU1490" s="227"/>
      <c r="AV1490" s="227"/>
    </row>
    <row r="1491">
      <c r="A1491" s="227"/>
      <c r="B1491" s="232"/>
      <c r="C1491" s="227"/>
      <c r="D1491" s="227"/>
      <c r="E1491" s="231"/>
      <c r="F1491" s="232"/>
      <c r="G1491" s="227"/>
      <c r="H1491" s="227"/>
      <c r="I1491" s="227"/>
      <c r="J1491" s="227"/>
      <c r="K1491" s="227"/>
      <c r="L1491" s="232"/>
      <c r="M1491" s="232"/>
      <c r="N1491" s="227"/>
      <c r="O1491" s="227"/>
      <c r="P1491" s="231"/>
      <c r="Q1491" s="227"/>
      <c r="R1491" s="231"/>
      <c r="S1491" s="231"/>
      <c r="T1491" s="231"/>
      <c r="U1491" s="231"/>
      <c r="V1491" s="231"/>
      <c r="W1491" s="231"/>
      <c r="X1491" s="227"/>
      <c r="Y1491" s="232"/>
      <c r="Z1491" s="232"/>
      <c r="AA1491" s="232"/>
      <c r="AB1491" s="232"/>
      <c r="AC1491" s="227"/>
      <c r="AD1491" s="227"/>
      <c r="AE1491" s="231"/>
      <c r="AF1491" s="227"/>
      <c r="AG1491" s="232"/>
      <c r="AH1491" s="232"/>
      <c r="AI1491" s="232"/>
      <c r="AJ1491" s="232"/>
      <c r="AK1491" s="232"/>
      <c r="AL1491" s="232"/>
      <c r="AM1491" s="232"/>
      <c r="AN1491" s="232"/>
      <c r="AO1491" s="231"/>
      <c r="AP1491" s="231"/>
      <c r="AQ1491" s="227"/>
      <c r="AR1491" s="231"/>
      <c r="AS1491" s="227"/>
      <c r="AT1491" s="227"/>
      <c r="AU1491" s="227"/>
      <c r="AV1491" s="227"/>
    </row>
    <row r="1492">
      <c r="A1492" s="227"/>
      <c r="B1492" s="232"/>
      <c r="C1492" s="227"/>
      <c r="D1492" s="227"/>
      <c r="E1492" s="231"/>
      <c r="F1492" s="232"/>
      <c r="G1492" s="227"/>
      <c r="H1492" s="227"/>
      <c r="I1492" s="227"/>
      <c r="J1492" s="227"/>
      <c r="K1492" s="227"/>
      <c r="L1492" s="232"/>
      <c r="M1492" s="232"/>
      <c r="N1492" s="227"/>
      <c r="O1492" s="227"/>
      <c r="P1492" s="231"/>
      <c r="Q1492" s="227"/>
      <c r="R1492" s="231"/>
      <c r="S1492" s="231"/>
      <c r="T1492" s="231"/>
      <c r="U1492" s="231"/>
      <c r="V1492" s="231"/>
      <c r="W1492" s="231"/>
      <c r="X1492" s="227"/>
      <c r="Y1492" s="232"/>
      <c r="Z1492" s="232"/>
      <c r="AA1492" s="232"/>
      <c r="AB1492" s="232"/>
      <c r="AC1492" s="227"/>
      <c r="AD1492" s="227"/>
      <c r="AE1492" s="231"/>
      <c r="AF1492" s="227"/>
      <c r="AG1492" s="232"/>
      <c r="AH1492" s="232"/>
      <c r="AI1492" s="232"/>
      <c r="AJ1492" s="232"/>
      <c r="AK1492" s="232"/>
      <c r="AL1492" s="232"/>
      <c r="AM1492" s="232"/>
      <c r="AN1492" s="232"/>
      <c r="AO1492" s="231"/>
      <c r="AP1492" s="231"/>
      <c r="AQ1492" s="227"/>
      <c r="AR1492" s="231"/>
      <c r="AS1492" s="227"/>
      <c r="AT1492" s="227"/>
      <c r="AU1492" s="227"/>
      <c r="AV1492" s="227"/>
    </row>
    <row r="1493">
      <c r="A1493" s="227"/>
      <c r="B1493" s="232"/>
      <c r="C1493" s="227"/>
      <c r="D1493" s="227"/>
      <c r="E1493" s="231"/>
      <c r="F1493" s="232"/>
      <c r="G1493" s="227"/>
      <c r="H1493" s="227"/>
      <c r="I1493" s="227"/>
      <c r="J1493" s="227"/>
      <c r="K1493" s="227"/>
      <c r="L1493" s="232"/>
      <c r="M1493" s="232"/>
      <c r="N1493" s="227"/>
      <c r="O1493" s="227"/>
      <c r="P1493" s="231"/>
      <c r="Q1493" s="227"/>
      <c r="R1493" s="231"/>
      <c r="S1493" s="231"/>
      <c r="T1493" s="231"/>
      <c r="U1493" s="231"/>
      <c r="V1493" s="231"/>
      <c r="W1493" s="231"/>
      <c r="X1493" s="227"/>
      <c r="Y1493" s="232"/>
      <c r="Z1493" s="232"/>
      <c r="AA1493" s="232"/>
      <c r="AB1493" s="232"/>
      <c r="AC1493" s="227"/>
      <c r="AD1493" s="227"/>
      <c r="AE1493" s="231"/>
      <c r="AF1493" s="227"/>
      <c r="AG1493" s="232"/>
      <c r="AH1493" s="232"/>
      <c r="AI1493" s="232"/>
      <c r="AJ1493" s="232"/>
      <c r="AK1493" s="232"/>
      <c r="AL1493" s="232"/>
      <c r="AM1493" s="232"/>
      <c r="AN1493" s="232"/>
      <c r="AO1493" s="231"/>
      <c r="AP1493" s="231"/>
      <c r="AQ1493" s="227"/>
      <c r="AR1493" s="231"/>
      <c r="AS1493" s="227"/>
      <c r="AT1493" s="227"/>
      <c r="AU1493" s="227"/>
      <c r="AV1493" s="227"/>
    </row>
    <row r="1494">
      <c r="A1494" s="227"/>
      <c r="B1494" s="232"/>
      <c r="C1494" s="227"/>
      <c r="D1494" s="227"/>
      <c r="E1494" s="231"/>
      <c r="F1494" s="232"/>
      <c r="G1494" s="227"/>
      <c r="H1494" s="227"/>
      <c r="I1494" s="227"/>
      <c r="J1494" s="227"/>
      <c r="K1494" s="227"/>
      <c r="L1494" s="232"/>
      <c r="M1494" s="232"/>
      <c r="N1494" s="227"/>
      <c r="O1494" s="227"/>
      <c r="P1494" s="231"/>
      <c r="Q1494" s="227"/>
      <c r="R1494" s="231"/>
      <c r="S1494" s="231"/>
      <c r="T1494" s="231"/>
      <c r="U1494" s="231"/>
      <c r="V1494" s="231"/>
      <c r="W1494" s="231"/>
      <c r="X1494" s="227"/>
      <c r="Y1494" s="232"/>
      <c r="Z1494" s="232"/>
      <c r="AA1494" s="232"/>
      <c r="AB1494" s="232"/>
      <c r="AC1494" s="227"/>
      <c r="AD1494" s="227"/>
      <c r="AE1494" s="231"/>
      <c r="AF1494" s="227"/>
      <c r="AG1494" s="232"/>
      <c r="AH1494" s="232"/>
      <c r="AI1494" s="232"/>
      <c r="AJ1494" s="232"/>
      <c r="AK1494" s="232"/>
      <c r="AL1494" s="232"/>
      <c r="AM1494" s="232"/>
      <c r="AN1494" s="232"/>
      <c r="AO1494" s="231"/>
      <c r="AP1494" s="231"/>
      <c r="AQ1494" s="227"/>
      <c r="AR1494" s="231"/>
      <c r="AS1494" s="227"/>
      <c r="AT1494" s="227"/>
      <c r="AU1494" s="227"/>
      <c r="AV1494" s="227"/>
    </row>
    <row r="1495">
      <c r="A1495" s="227"/>
      <c r="B1495" s="232"/>
      <c r="C1495" s="227"/>
      <c r="D1495" s="227"/>
      <c r="E1495" s="231"/>
      <c r="F1495" s="232"/>
      <c r="G1495" s="227"/>
      <c r="H1495" s="227"/>
      <c r="I1495" s="227"/>
      <c r="J1495" s="227"/>
      <c r="K1495" s="227"/>
      <c r="L1495" s="232"/>
      <c r="M1495" s="232"/>
      <c r="N1495" s="227"/>
      <c r="O1495" s="227"/>
      <c r="P1495" s="231"/>
      <c r="Q1495" s="227"/>
      <c r="R1495" s="231"/>
      <c r="S1495" s="231"/>
      <c r="T1495" s="231"/>
      <c r="U1495" s="231"/>
      <c r="V1495" s="231"/>
      <c r="W1495" s="231"/>
      <c r="X1495" s="227"/>
      <c r="Y1495" s="232"/>
      <c r="Z1495" s="232"/>
      <c r="AA1495" s="232"/>
      <c r="AB1495" s="232"/>
      <c r="AC1495" s="227"/>
      <c r="AD1495" s="227"/>
      <c r="AE1495" s="231"/>
      <c r="AF1495" s="227"/>
      <c r="AG1495" s="232"/>
      <c r="AH1495" s="232"/>
      <c r="AI1495" s="232"/>
      <c r="AJ1495" s="232"/>
      <c r="AK1495" s="232"/>
      <c r="AL1495" s="232"/>
      <c r="AM1495" s="232"/>
      <c r="AN1495" s="232"/>
      <c r="AO1495" s="231"/>
      <c r="AP1495" s="231"/>
      <c r="AQ1495" s="227"/>
      <c r="AR1495" s="231"/>
      <c r="AS1495" s="227"/>
      <c r="AT1495" s="227"/>
      <c r="AU1495" s="227"/>
      <c r="AV1495" s="227"/>
    </row>
    <row r="1496">
      <c r="A1496" s="227"/>
      <c r="B1496" s="232"/>
      <c r="C1496" s="227"/>
      <c r="D1496" s="227"/>
      <c r="E1496" s="231"/>
      <c r="F1496" s="232"/>
      <c r="G1496" s="227"/>
      <c r="H1496" s="227"/>
      <c r="I1496" s="227"/>
      <c r="J1496" s="227"/>
      <c r="K1496" s="227"/>
      <c r="L1496" s="232"/>
      <c r="M1496" s="232"/>
      <c r="N1496" s="227"/>
      <c r="O1496" s="227"/>
      <c r="P1496" s="231"/>
      <c r="Q1496" s="227"/>
      <c r="R1496" s="231"/>
      <c r="S1496" s="231"/>
      <c r="T1496" s="231"/>
      <c r="U1496" s="231"/>
      <c r="V1496" s="231"/>
      <c r="W1496" s="231"/>
      <c r="X1496" s="227"/>
      <c r="Y1496" s="232"/>
      <c r="Z1496" s="232"/>
      <c r="AA1496" s="232"/>
      <c r="AB1496" s="232"/>
      <c r="AC1496" s="227"/>
      <c r="AD1496" s="227"/>
      <c r="AE1496" s="231"/>
      <c r="AF1496" s="227"/>
      <c r="AG1496" s="232"/>
      <c r="AH1496" s="232"/>
      <c r="AI1496" s="232"/>
      <c r="AJ1496" s="232"/>
      <c r="AK1496" s="232"/>
      <c r="AL1496" s="232"/>
      <c r="AM1496" s="232"/>
      <c r="AN1496" s="232"/>
      <c r="AO1496" s="231"/>
      <c r="AP1496" s="231"/>
      <c r="AQ1496" s="227"/>
      <c r="AR1496" s="231"/>
      <c r="AS1496" s="227"/>
      <c r="AT1496" s="227"/>
      <c r="AU1496" s="227"/>
      <c r="AV1496" s="227"/>
    </row>
    <row r="1497">
      <c r="A1497" s="227"/>
      <c r="B1497" s="232"/>
      <c r="C1497" s="227"/>
      <c r="D1497" s="227"/>
      <c r="E1497" s="231"/>
      <c r="F1497" s="232"/>
      <c r="G1497" s="227"/>
      <c r="H1497" s="227"/>
      <c r="I1497" s="227"/>
      <c r="J1497" s="227"/>
      <c r="K1497" s="227"/>
      <c r="L1497" s="232"/>
      <c r="M1497" s="232"/>
      <c r="N1497" s="227"/>
      <c r="O1497" s="227"/>
      <c r="P1497" s="231"/>
      <c r="Q1497" s="227"/>
      <c r="R1497" s="231"/>
      <c r="S1497" s="231"/>
      <c r="T1497" s="231"/>
      <c r="U1497" s="231"/>
      <c r="V1497" s="231"/>
      <c r="W1497" s="231"/>
      <c r="X1497" s="227"/>
      <c r="Y1497" s="232"/>
      <c r="Z1497" s="232"/>
      <c r="AA1497" s="232"/>
      <c r="AB1497" s="232"/>
      <c r="AC1497" s="227"/>
      <c r="AD1497" s="227"/>
      <c r="AE1497" s="231"/>
      <c r="AF1497" s="227"/>
      <c r="AG1497" s="232"/>
      <c r="AH1497" s="232"/>
      <c r="AI1497" s="232"/>
      <c r="AJ1497" s="232"/>
      <c r="AK1497" s="232"/>
      <c r="AL1497" s="232"/>
      <c r="AM1497" s="232"/>
      <c r="AN1497" s="232"/>
      <c r="AO1497" s="231"/>
      <c r="AP1497" s="231"/>
      <c r="AQ1497" s="227"/>
      <c r="AR1497" s="231"/>
      <c r="AS1497" s="227"/>
      <c r="AT1497" s="227"/>
      <c r="AU1497" s="227"/>
      <c r="AV1497" s="227"/>
    </row>
    <row r="1498">
      <c r="A1498" s="227"/>
      <c r="B1498" s="232"/>
      <c r="C1498" s="227"/>
      <c r="D1498" s="227"/>
      <c r="E1498" s="231"/>
      <c r="F1498" s="232"/>
      <c r="G1498" s="227"/>
      <c r="H1498" s="227"/>
      <c r="I1498" s="227"/>
      <c r="J1498" s="227"/>
      <c r="K1498" s="227"/>
      <c r="L1498" s="232"/>
      <c r="M1498" s="232"/>
      <c r="N1498" s="227"/>
      <c r="O1498" s="227"/>
      <c r="P1498" s="231"/>
      <c r="Q1498" s="227"/>
      <c r="R1498" s="231"/>
      <c r="S1498" s="231"/>
      <c r="T1498" s="231"/>
      <c r="U1498" s="231"/>
      <c r="V1498" s="231"/>
      <c r="W1498" s="231"/>
      <c r="X1498" s="227"/>
      <c r="Y1498" s="232"/>
      <c r="Z1498" s="232"/>
      <c r="AA1498" s="232"/>
      <c r="AB1498" s="232"/>
      <c r="AC1498" s="227"/>
      <c r="AD1498" s="227"/>
      <c r="AE1498" s="231"/>
      <c r="AF1498" s="227"/>
      <c r="AG1498" s="232"/>
      <c r="AH1498" s="232"/>
      <c r="AI1498" s="232"/>
      <c r="AJ1498" s="232"/>
      <c r="AK1498" s="232"/>
      <c r="AL1498" s="232"/>
      <c r="AM1498" s="232"/>
      <c r="AN1498" s="232"/>
      <c r="AO1498" s="231"/>
      <c r="AP1498" s="231"/>
      <c r="AQ1498" s="227"/>
      <c r="AR1498" s="231"/>
      <c r="AS1498" s="227"/>
      <c r="AT1498" s="227"/>
      <c r="AU1498" s="227"/>
      <c r="AV1498" s="227"/>
    </row>
    <row r="1499">
      <c r="A1499" s="227"/>
      <c r="B1499" s="232"/>
      <c r="C1499" s="227"/>
      <c r="D1499" s="227"/>
      <c r="E1499" s="231"/>
      <c r="F1499" s="232"/>
      <c r="G1499" s="227"/>
      <c r="H1499" s="227"/>
      <c r="I1499" s="227"/>
      <c r="J1499" s="227"/>
      <c r="K1499" s="227"/>
      <c r="L1499" s="232"/>
      <c r="M1499" s="232"/>
      <c r="N1499" s="227"/>
      <c r="O1499" s="227"/>
      <c r="P1499" s="231"/>
      <c r="Q1499" s="227"/>
      <c r="R1499" s="231"/>
      <c r="S1499" s="231"/>
      <c r="T1499" s="231"/>
      <c r="U1499" s="231"/>
      <c r="V1499" s="231"/>
      <c r="W1499" s="231"/>
      <c r="X1499" s="227"/>
      <c r="Y1499" s="232"/>
      <c r="Z1499" s="232"/>
      <c r="AA1499" s="232"/>
      <c r="AB1499" s="232"/>
      <c r="AC1499" s="227"/>
      <c r="AD1499" s="227"/>
      <c r="AE1499" s="231"/>
      <c r="AF1499" s="227"/>
      <c r="AG1499" s="232"/>
      <c r="AH1499" s="232"/>
      <c r="AI1499" s="232"/>
      <c r="AJ1499" s="232"/>
      <c r="AK1499" s="232"/>
      <c r="AL1499" s="232"/>
      <c r="AM1499" s="232"/>
      <c r="AN1499" s="232"/>
      <c r="AO1499" s="231"/>
      <c r="AP1499" s="231"/>
      <c r="AQ1499" s="227"/>
      <c r="AR1499" s="231"/>
      <c r="AS1499" s="227"/>
      <c r="AT1499" s="227"/>
      <c r="AU1499" s="227"/>
      <c r="AV1499" s="227"/>
    </row>
    <row r="1500">
      <c r="A1500" s="227"/>
      <c r="B1500" s="232"/>
      <c r="C1500" s="227"/>
      <c r="D1500" s="227"/>
      <c r="E1500" s="231"/>
      <c r="F1500" s="232"/>
      <c r="G1500" s="227"/>
      <c r="H1500" s="227"/>
      <c r="I1500" s="227"/>
      <c r="J1500" s="227"/>
      <c r="K1500" s="227"/>
      <c r="L1500" s="232"/>
      <c r="M1500" s="232"/>
      <c r="N1500" s="227"/>
      <c r="O1500" s="227"/>
      <c r="P1500" s="231"/>
      <c r="Q1500" s="227"/>
      <c r="R1500" s="231"/>
      <c r="S1500" s="231"/>
      <c r="T1500" s="231"/>
      <c r="U1500" s="231"/>
      <c r="V1500" s="231"/>
      <c r="W1500" s="231"/>
      <c r="X1500" s="227"/>
      <c r="Y1500" s="232"/>
      <c r="Z1500" s="232"/>
      <c r="AA1500" s="232"/>
      <c r="AB1500" s="232"/>
      <c r="AC1500" s="227"/>
      <c r="AD1500" s="227"/>
      <c r="AE1500" s="231"/>
      <c r="AF1500" s="227"/>
      <c r="AG1500" s="232"/>
      <c r="AH1500" s="232"/>
      <c r="AI1500" s="232"/>
      <c r="AJ1500" s="232"/>
      <c r="AK1500" s="232"/>
      <c r="AL1500" s="232"/>
      <c r="AM1500" s="232"/>
      <c r="AN1500" s="232"/>
      <c r="AO1500" s="231"/>
      <c r="AP1500" s="231"/>
      <c r="AQ1500" s="227"/>
      <c r="AR1500" s="231"/>
      <c r="AS1500" s="227"/>
      <c r="AT1500" s="227"/>
      <c r="AU1500" s="227"/>
      <c r="AV1500" s="227"/>
    </row>
    <row r="1501">
      <c r="A1501" s="227"/>
      <c r="B1501" s="232"/>
      <c r="C1501" s="227"/>
      <c r="D1501" s="227"/>
      <c r="E1501" s="231"/>
      <c r="F1501" s="232"/>
      <c r="G1501" s="227"/>
      <c r="H1501" s="227"/>
      <c r="I1501" s="227"/>
      <c r="J1501" s="227"/>
      <c r="K1501" s="227"/>
      <c r="L1501" s="232"/>
      <c r="M1501" s="232"/>
      <c r="N1501" s="227"/>
      <c r="O1501" s="227"/>
      <c r="P1501" s="231"/>
      <c r="Q1501" s="227"/>
      <c r="R1501" s="231"/>
      <c r="S1501" s="231"/>
      <c r="T1501" s="231"/>
      <c r="U1501" s="231"/>
      <c r="V1501" s="231"/>
      <c r="W1501" s="231"/>
      <c r="X1501" s="227"/>
      <c r="Y1501" s="232"/>
      <c r="Z1501" s="232"/>
      <c r="AA1501" s="232"/>
      <c r="AB1501" s="232"/>
      <c r="AC1501" s="227"/>
      <c r="AD1501" s="227"/>
      <c r="AE1501" s="231"/>
      <c r="AF1501" s="227"/>
      <c r="AG1501" s="232"/>
      <c r="AH1501" s="232"/>
      <c r="AI1501" s="232"/>
      <c r="AJ1501" s="232"/>
      <c r="AK1501" s="232"/>
      <c r="AL1501" s="232"/>
      <c r="AM1501" s="232"/>
      <c r="AN1501" s="232"/>
      <c r="AO1501" s="231"/>
      <c r="AP1501" s="231"/>
      <c r="AQ1501" s="227"/>
      <c r="AR1501" s="231"/>
      <c r="AS1501" s="227"/>
      <c r="AT1501" s="227"/>
      <c r="AU1501" s="227"/>
      <c r="AV1501" s="227"/>
    </row>
    <row r="1502">
      <c r="A1502" s="227"/>
      <c r="B1502" s="232"/>
      <c r="C1502" s="227"/>
      <c r="D1502" s="227"/>
      <c r="E1502" s="231"/>
      <c r="F1502" s="232"/>
      <c r="G1502" s="227"/>
      <c r="H1502" s="227"/>
      <c r="I1502" s="227"/>
      <c r="J1502" s="227"/>
      <c r="K1502" s="227"/>
      <c r="L1502" s="232"/>
      <c r="M1502" s="232"/>
      <c r="N1502" s="227"/>
      <c r="O1502" s="227"/>
      <c r="P1502" s="231"/>
      <c r="Q1502" s="227"/>
      <c r="R1502" s="231"/>
      <c r="S1502" s="231"/>
      <c r="T1502" s="231"/>
      <c r="U1502" s="231"/>
      <c r="V1502" s="231"/>
      <c r="W1502" s="231"/>
      <c r="X1502" s="227"/>
      <c r="Y1502" s="232"/>
      <c r="Z1502" s="232"/>
      <c r="AA1502" s="232"/>
      <c r="AB1502" s="232"/>
      <c r="AC1502" s="227"/>
      <c r="AD1502" s="227"/>
      <c r="AE1502" s="231"/>
      <c r="AF1502" s="227"/>
      <c r="AG1502" s="232"/>
      <c r="AH1502" s="232"/>
      <c r="AI1502" s="232"/>
      <c r="AJ1502" s="232"/>
      <c r="AK1502" s="232"/>
      <c r="AL1502" s="232"/>
      <c r="AM1502" s="232"/>
      <c r="AN1502" s="232"/>
      <c r="AO1502" s="231"/>
      <c r="AP1502" s="231"/>
      <c r="AQ1502" s="227"/>
      <c r="AR1502" s="231"/>
      <c r="AS1502" s="227"/>
      <c r="AT1502" s="227"/>
      <c r="AU1502" s="227"/>
      <c r="AV1502" s="227"/>
    </row>
    <row r="1503">
      <c r="A1503" s="227"/>
      <c r="B1503" s="232"/>
      <c r="C1503" s="227"/>
      <c r="D1503" s="227"/>
      <c r="E1503" s="231"/>
      <c r="F1503" s="232"/>
      <c r="G1503" s="227"/>
      <c r="H1503" s="227"/>
      <c r="I1503" s="227"/>
      <c r="J1503" s="227"/>
      <c r="K1503" s="227"/>
      <c r="L1503" s="232"/>
      <c r="M1503" s="232"/>
      <c r="N1503" s="227"/>
      <c r="O1503" s="227"/>
      <c r="P1503" s="231"/>
      <c r="Q1503" s="227"/>
      <c r="R1503" s="231"/>
      <c r="S1503" s="231"/>
      <c r="T1503" s="231"/>
      <c r="U1503" s="231"/>
      <c r="V1503" s="231"/>
      <c r="W1503" s="231"/>
      <c r="X1503" s="227"/>
      <c r="Y1503" s="232"/>
      <c r="Z1503" s="232"/>
      <c r="AA1503" s="232"/>
      <c r="AB1503" s="232"/>
      <c r="AC1503" s="227"/>
      <c r="AD1503" s="227"/>
      <c r="AE1503" s="231"/>
      <c r="AF1503" s="227"/>
      <c r="AG1503" s="232"/>
      <c r="AH1503" s="232"/>
      <c r="AI1503" s="232"/>
      <c r="AJ1503" s="232"/>
      <c r="AK1503" s="232"/>
      <c r="AL1503" s="232"/>
      <c r="AM1503" s="232"/>
      <c r="AN1503" s="232"/>
      <c r="AO1503" s="231"/>
      <c r="AP1503" s="231"/>
      <c r="AQ1503" s="227"/>
      <c r="AR1503" s="231"/>
      <c r="AS1503" s="227"/>
      <c r="AT1503" s="227"/>
      <c r="AU1503" s="227"/>
      <c r="AV1503" s="227"/>
    </row>
    <row r="1504">
      <c r="A1504" s="227"/>
      <c r="B1504" s="232"/>
      <c r="C1504" s="227"/>
      <c r="D1504" s="227"/>
      <c r="E1504" s="231"/>
      <c r="F1504" s="232"/>
      <c r="G1504" s="227"/>
      <c r="H1504" s="227"/>
      <c r="I1504" s="227"/>
      <c r="J1504" s="227"/>
      <c r="K1504" s="227"/>
      <c r="L1504" s="232"/>
      <c r="M1504" s="232"/>
      <c r="N1504" s="227"/>
      <c r="O1504" s="227"/>
      <c r="P1504" s="231"/>
      <c r="Q1504" s="227"/>
      <c r="R1504" s="231"/>
      <c r="S1504" s="231"/>
      <c r="T1504" s="231"/>
      <c r="U1504" s="231"/>
      <c r="V1504" s="231"/>
      <c r="W1504" s="231"/>
      <c r="X1504" s="227"/>
      <c r="Y1504" s="232"/>
      <c r="Z1504" s="232"/>
      <c r="AA1504" s="232"/>
      <c r="AB1504" s="232"/>
      <c r="AC1504" s="227"/>
      <c r="AD1504" s="227"/>
      <c r="AE1504" s="231"/>
      <c r="AF1504" s="227"/>
      <c r="AG1504" s="232"/>
      <c r="AH1504" s="232"/>
      <c r="AI1504" s="232"/>
      <c r="AJ1504" s="232"/>
      <c r="AK1504" s="232"/>
      <c r="AL1504" s="232"/>
      <c r="AM1504" s="232"/>
      <c r="AN1504" s="232"/>
      <c r="AO1504" s="231"/>
      <c r="AP1504" s="231"/>
      <c r="AQ1504" s="227"/>
      <c r="AR1504" s="231"/>
      <c r="AS1504" s="227"/>
      <c r="AT1504" s="227"/>
      <c r="AU1504" s="227"/>
      <c r="AV1504" s="227"/>
    </row>
    <row r="1505">
      <c r="A1505" s="227"/>
      <c r="B1505" s="232"/>
      <c r="C1505" s="227"/>
      <c r="D1505" s="227"/>
      <c r="E1505" s="231"/>
      <c r="F1505" s="232"/>
      <c r="G1505" s="227"/>
      <c r="H1505" s="227"/>
      <c r="I1505" s="227"/>
      <c r="J1505" s="227"/>
      <c r="K1505" s="227"/>
      <c r="L1505" s="232"/>
      <c r="M1505" s="232"/>
      <c r="N1505" s="227"/>
      <c r="O1505" s="227"/>
      <c r="P1505" s="231"/>
      <c r="Q1505" s="227"/>
      <c r="R1505" s="231"/>
      <c r="S1505" s="231"/>
      <c r="T1505" s="231"/>
      <c r="U1505" s="231"/>
      <c r="V1505" s="231"/>
      <c r="W1505" s="231"/>
      <c r="X1505" s="227"/>
      <c r="Y1505" s="232"/>
      <c r="Z1505" s="232"/>
      <c r="AA1505" s="232"/>
      <c r="AB1505" s="232"/>
      <c r="AC1505" s="227"/>
      <c r="AD1505" s="227"/>
      <c r="AE1505" s="231"/>
      <c r="AF1505" s="227"/>
      <c r="AG1505" s="232"/>
      <c r="AH1505" s="232"/>
      <c r="AI1505" s="232"/>
      <c r="AJ1505" s="232"/>
      <c r="AK1505" s="232"/>
      <c r="AL1505" s="232"/>
      <c r="AM1505" s="232"/>
      <c r="AN1505" s="232"/>
      <c r="AO1505" s="231"/>
      <c r="AP1505" s="231"/>
      <c r="AQ1505" s="227"/>
      <c r="AR1505" s="231"/>
      <c r="AS1505" s="227"/>
      <c r="AT1505" s="227"/>
      <c r="AU1505" s="227"/>
      <c r="AV1505" s="227"/>
    </row>
    <row r="1506">
      <c r="A1506" s="227"/>
      <c r="B1506" s="232"/>
      <c r="C1506" s="227"/>
      <c r="D1506" s="227"/>
      <c r="E1506" s="231"/>
      <c r="F1506" s="232"/>
      <c r="G1506" s="227"/>
      <c r="H1506" s="227"/>
      <c r="I1506" s="227"/>
      <c r="J1506" s="227"/>
      <c r="K1506" s="227"/>
      <c r="L1506" s="232"/>
      <c r="M1506" s="232"/>
      <c r="N1506" s="227"/>
      <c r="O1506" s="227"/>
      <c r="P1506" s="231"/>
      <c r="Q1506" s="227"/>
      <c r="R1506" s="231"/>
      <c r="S1506" s="231"/>
      <c r="T1506" s="231"/>
      <c r="U1506" s="231"/>
      <c r="V1506" s="231"/>
      <c r="W1506" s="231"/>
      <c r="X1506" s="227"/>
      <c r="Y1506" s="232"/>
      <c r="Z1506" s="232"/>
      <c r="AA1506" s="232"/>
      <c r="AB1506" s="232"/>
      <c r="AC1506" s="227"/>
      <c r="AD1506" s="227"/>
      <c r="AE1506" s="231"/>
      <c r="AF1506" s="227"/>
      <c r="AG1506" s="232"/>
      <c r="AH1506" s="232"/>
      <c r="AI1506" s="232"/>
      <c r="AJ1506" s="232"/>
      <c r="AK1506" s="232"/>
      <c r="AL1506" s="232"/>
      <c r="AM1506" s="232"/>
      <c r="AN1506" s="232"/>
      <c r="AO1506" s="231"/>
      <c r="AP1506" s="231"/>
      <c r="AQ1506" s="227"/>
      <c r="AR1506" s="231"/>
      <c r="AS1506" s="227"/>
      <c r="AT1506" s="227"/>
      <c r="AU1506" s="227"/>
      <c r="AV1506" s="227"/>
    </row>
    <row r="1507">
      <c r="A1507" s="227"/>
      <c r="B1507" s="232"/>
      <c r="C1507" s="227"/>
      <c r="D1507" s="227"/>
      <c r="E1507" s="231"/>
      <c r="F1507" s="232"/>
      <c r="G1507" s="227"/>
      <c r="H1507" s="227"/>
      <c r="I1507" s="227"/>
      <c r="J1507" s="227"/>
      <c r="K1507" s="227"/>
      <c r="L1507" s="232"/>
      <c r="M1507" s="232"/>
      <c r="N1507" s="227"/>
      <c r="O1507" s="227"/>
      <c r="P1507" s="231"/>
      <c r="Q1507" s="227"/>
      <c r="R1507" s="231"/>
      <c r="S1507" s="231"/>
      <c r="T1507" s="231"/>
      <c r="U1507" s="231"/>
      <c r="V1507" s="231"/>
      <c r="W1507" s="231"/>
      <c r="X1507" s="227"/>
      <c r="Y1507" s="232"/>
      <c r="Z1507" s="232"/>
      <c r="AA1507" s="232"/>
      <c r="AB1507" s="232"/>
      <c r="AC1507" s="227"/>
      <c r="AD1507" s="227"/>
      <c r="AE1507" s="231"/>
      <c r="AF1507" s="227"/>
      <c r="AG1507" s="232"/>
      <c r="AH1507" s="232"/>
      <c r="AI1507" s="232"/>
      <c r="AJ1507" s="232"/>
      <c r="AK1507" s="232"/>
      <c r="AL1507" s="232"/>
      <c r="AM1507" s="232"/>
      <c r="AN1507" s="232"/>
      <c r="AO1507" s="231"/>
      <c r="AP1507" s="231"/>
      <c r="AQ1507" s="227"/>
      <c r="AR1507" s="231"/>
      <c r="AS1507" s="227"/>
      <c r="AT1507" s="227"/>
      <c r="AU1507" s="227"/>
      <c r="AV1507" s="227"/>
    </row>
    <row r="1508">
      <c r="A1508" s="227"/>
      <c r="B1508" s="232"/>
      <c r="C1508" s="227"/>
      <c r="D1508" s="227"/>
      <c r="E1508" s="231"/>
      <c r="F1508" s="232"/>
      <c r="G1508" s="227"/>
      <c r="H1508" s="227"/>
      <c r="I1508" s="227"/>
      <c r="J1508" s="227"/>
      <c r="K1508" s="227"/>
      <c r="L1508" s="232"/>
      <c r="M1508" s="232"/>
      <c r="N1508" s="227"/>
      <c r="O1508" s="227"/>
      <c r="P1508" s="231"/>
      <c r="Q1508" s="227"/>
      <c r="R1508" s="231"/>
      <c r="S1508" s="231"/>
      <c r="T1508" s="231"/>
      <c r="U1508" s="231"/>
      <c r="V1508" s="231"/>
      <c r="W1508" s="231"/>
      <c r="X1508" s="227"/>
      <c r="Y1508" s="232"/>
      <c r="Z1508" s="232"/>
      <c r="AA1508" s="232"/>
      <c r="AB1508" s="232"/>
      <c r="AC1508" s="227"/>
      <c r="AD1508" s="227"/>
      <c r="AE1508" s="231"/>
      <c r="AF1508" s="227"/>
      <c r="AG1508" s="232"/>
      <c r="AH1508" s="232"/>
      <c r="AI1508" s="232"/>
      <c r="AJ1508" s="232"/>
      <c r="AK1508" s="232"/>
      <c r="AL1508" s="232"/>
      <c r="AM1508" s="232"/>
      <c r="AN1508" s="232"/>
      <c r="AO1508" s="231"/>
      <c r="AP1508" s="231"/>
      <c r="AQ1508" s="227"/>
      <c r="AR1508" s="231"/>
      <c r="AS1508" s="227"/>
      <c r="AT1508" s="227"/>
      <c r="AU1508" s="227"/>
      <c r="AV1508" s="227"/>
    </row>
    <row r="1509">
      <c r="A1509" s="227"/>
      <c r="B1509" s="232"/>
      <c r="C1509" s="227"/>
      <c r="D1509" s="227"/>
      <c r="E1509" s="231"/>
      <c r="F1509" s="232"/>
      <c r="G1509" s="227"/>
      <c r="H1509" s="227"/>
      <c r="I1509" s="227"/>
      <c r="J1509" s="227"/>
      <c r="K1509" s="227"/>
      <c r="L1509" s="232"/>
      <c r="M1509" s="232"/>
      <c r="N1509" s="227"/>
      <c r="O1509" s="227"/>
      <c r="P1509" s="231"/>
      <c r="Q1509" s="227"/>
      <c r="R1509" s="231"/>
      <c r="S1509" s="231"/>
      <c r="T1509" s="231"/>
      <c r="U1509" s="231"/>
      <c r="V1509" s="231"/>
      <c r="W1509" s="231"/>
      <c r="X1509" s="227"/>
      <c r="Y1509" s="232"/>
      <c r="Z1509" s="232"/>
      <c r="AA1509" s="232"/>
      <c r="AB1509" s="232"/>
      <c r="AC1509" s="227"/>
      <c r="AD1509" s="227"/>
      <c r="AE1509" s="231"/>
      <c r="AF1509" s="227"/>
      <c r="AG1509" s="232"/>
      <c r="AH1509" s="232"/>
      <c r="AI1509" s="232"/>
      <c r="AJ1509" s="232"/>
      <c r="AK1509" s="232"/>
      <c r="AL1509" s="232"/>
      <c r="AM1509" s="232"/>
      <c r="AN1509" s="232"/>
      <c r="AO1509" s="231"/>
      <c r="AP1509" s="231"/>
      <c r="AQ1509" s="227"/>
      <c r="AR1509" s="231"/>
      <c r="AS1509" s="227"/>
      <c r="AT1509" s="227"/>
      <c r="AU1509" s="227"/>
      <c r="AV1509" s="227"/>
    </row>
    <row r="1510">
      <c r="A1510" s="227"/>
      <c r="B1510" s="232"/>
      <c r="C1510" s="227"/>
      <c r="D1510" s="227"/>
      <c r="E1510" s="231"/>
      <c r="F1510" s="232"/>
      <c r="G1510" s="227"/>
      <c r="H1510" s="227"/>
      <c r="I1510" s="227"/>
      <c r="J1510" s="227"/>
      <c r="K1510" s="227"/>
      <c r="L1510" s="232"/>
      <c r="M1510" s="232"/>
      <c r="N1510" s="227"/>
      <c r="O1510" s="227"/>
      <c r="P1510" s="231"/>
      <c r="Q1510" s="227"/>
      <c r="R1510" s="231"/>
      <c r="S1510" s="231"/>
      <c r="T1510" s="231"/>
      <c r="U1510" s="231"/>
      <c r="V1510" s="231"/>
      <c r="W1510" s="231"/>
      <c r="X1510" s="227"/>
      <c r="Y1510" s="232"/>
      <c r="Z1510" s="232"/>
      <c r="AA1510" s="232"/>
      <c r="AB1510" s="232"/>
      <c r="AC1510" s="227"/>
      <c r="AD1510" s="227"/>
      <c r="AE1510" s="231"/>
      <c r="AF1510" s="227"/>
      <c r="AG1510" s="232"/>
      <c r="AH1510" s="232"/>
      <c r="AI1510" s="232"/>
      <c r="AJ1510" s="232"/>
      <c r="AK1510" s="232"/>
      <c r="AL1510" s="232"/>
      <c r="AM1510" s="232"/>
      <c r="AN1510" s="232"/>
      <c r="AO1510" s="231"/>
      <c r="AP1510" s="231"/>
      <c r="AQ1510" s="227"/>
      <c r="AR1510" s="231"/>
      <c r="AS1510" s="227"/>
      <c r="AT1510" s="227"/>
      <c r="AU1510" s="227"/>
      <c r="AV1510" s="227"/>
    </row>
    <row r="1511">
      <c r="A1511" s="227"/>
      <c r="B1511" s="232"/>
      <c r="C1511" s="227"/>
      <c r="D1511" s="227"/>
      <c r="E1511" s="231"/>
      <c r="F1511" s="232"/>
      <c r="G1511" s="227"/>
      <c r="H1511" s="227"/>
      <c r="I1511" s="227"/>
      <c r="J1511" s="227"/>
      <c r="K1511" s="227"/>
      <c r="L1511" s="232"/>
      <c r="M1511" s="232"/>
      <c r="N1511" s="227"/>
      <c r="O1511" s="227"/>
      <c r="P1511" s="231"/>
      <c r="Q1511" s="227"/>
      <c r="R1511" s="231"/>
      <c r="S1511" s="231"/>
      <c r="T1511" s="231"/>
      <c r="U1511" s="231"/>
      <c r="V1511" s="231"/>
      <c r="W1511" s="231"/>
      <c r="X1511" s="227"/>
      <c r="Y1511" s="232"/>
      <c r="Z1511" s="232"/>
      <c r="AA1511" s="232"/>
      <c r="AB1511" s="232"/>
      <c r="AC1511" s="227"/>
      <c r="AD1511" s="227"/>
      <c r="AE1511" s="231"/>
      <c r="AF1511" s="227"/>
      <c r="AG1511" s="232"/>
      <c r="AH1511" s="232"/>
      <c r="AI1511" s="232"/>
      <c r="AJ1511" s="232"/>
      <c r="AK1511" s="232"/>
      <c r="AL1511" s="232"/>
      <c r="AM1511" s="232"/>
      <c r="AN1511" s="232"/>
      <c r="AO1511" s="231"/>
      <c r="AP1511" s="231"/>
      <c r="AQ1511" s="227"/>
      <c r="AR1511" s="231"/>
      <c r="AS1511" s="227"/>
      <c r="AT1511" s="227"/>
      <c r="AU1511" s="227"/>
      <c r="AV1511" s="227"/>
    </row>
    <row r="1512">
      <c r="A1512" s="227"/>
      <c r="B1512" s="232"/>
      <c r="C1512" s="227"/>
      <c r="D1512" s="227"/>
      <c r="E1512" s="231"/>
      <c r="F1512" s="232"/>
      <c r="G1512" s="227"/>
      <c r="H1512" s="227"/>
      <c r="I1512" s="227"/>
      <c r="J1512" s="227"/>
      <c r="K1512" s="227"/>
      <c r="L1512" s="232"/>
      <c r="M1512" s="232"/>
      <c r="N1512" s="227"/>
      <c r="O1512" s="227"/>
      <c r="P1512" s="231"/>
      <c r="Q1512" s="227"/>
      <c r="R1512" s="231"/>
      <c r="S1512" s="231"/>
      <c r="T1512" s="231"/>
      <c r="U1512" s="231"/>
      <c r="V1512" s="231"/>
      <c r="W1512" s="231"/>
      <c r="X1512" s="227"/>
      <c r="Y1512" s="232"/>
      <c r="Z1512" s="232"/>
      <c r="AA1512" s="232"/>
      <c r="AB1512" s="232"/>
      <c r="AC1512" s="227"/>
      <c r="AD1512" s="227"/>
      <c r="AE1512" s="231"/>
      <c r="AF1512" s="227"/>
      <c r="AG1512" s="232"/>
      <c r="AH1512" s="232"/>
      <c r="AI1512" s="232"/>
      <c r="AJ1512" s="232"/>
      <c r="AK1512" s="232"/>
      <c r="AL1512" s="232"/>
      <c r="AM1512" s="232"/>
      <c r="AN1512" s="232"/>
      <c r="AO1512" s="231"/>
      <c r="AP1512" s="231"/>
      <c r="AQ1512" s="227"/>
      <c r="AR1512" s="231"/>
      <c r="AS1512" s="227"/>
      <c r="AT1512" s="227"/>
      <c r="AU1512" s="227"/>
      <c r="AV1512" s="227"/>
    </row>
    <row r="1513">
      <c r="A1513" s="227"/>
      <c r="B1513" s="232"/>
      <c r="C1513" s="227"/>
      <c r="D1513" s="227"/>
      <c r="E1513" s="231"/>
      <c r="F1513" s="232"/>
      <c r="G1513" s="227"/>
      <c r="H1513" s="227"/>
      <c r="I1513" s="227"/>
      <c r="J1513" s="227"/>
      <c r="K1513" s="227"/>
      <c r="L1513" s="232"/>
      <c r="M1513" s="232"/>
      <c r="N1513" s="227"/>
      <c r="O1513" s="227"/>
      <c r="P1513" s="231"/>
      <c r="Q1513" s="227"/>
      <c r="R1513" s="231"/>
      <c r="S1513" s="231"/>
      <c r="T1513" s="231"/>
      <c r="U1513" s="231"/>
      <c r="V1513" s="231"/>
      <c r="W1513" s="231"/>
      <c r="X1513" s="227"/>
      <c r="Y1513" s="232"/>
      <c r="Z1513" s="232"/>
      <c r="AA1513" s="232"/>
      <c r="AB1513" s="232"/>
      <c r="AC1513" s="227"/>
      <c r="AD1513" s="227"/>
      <c r="AE1513" s="231"/>
      <c r="AF1513" s="227"/>
      <c r="AG1513" s="232"/>
      <c r="AH1513" s="232"/>
      <c r="AI1513" s="232"/>
      <c r="AJ1513" s="232"/>
      <c r="AK1513" s="232"/>
      <c r="AL1513" s="232"/>
      <c r="AM1513" s="232"/>
      <c r="AN1513" s="232"/>
      <c r="AO1513" s="231"/>
      <c r="AP1513" s="231"/>
      <c r="AQ1513" s="227"/>
      <c r="AR1513" s="231"/>
      <c r="AS1513" s="227"/>
      <c r="AT1513" s="227"/>
      <c r="AU1513" s="227"/>
      <c r="AV1513" s="227"/>
    </row>
    <row r="1514">
      <c r="A1514" s="227"/>
      <c r="B1514" s="232"/>
      <c r="C1514" s="227"/>
      <c r="D1514" s="227"/>
      <c r="E1514" s="231"/>
      <c r="F1514" s="232"/>
      <c r="G1514" s="227"/>
      <c r="H1514" s="227"/>
      <c r="I1514" s="227"/>
      <c r="J1514" s="227"/>
      <c r="K1514" s="227"/>
      <c r="L1514" s="232"/>
      <c r="M1514" s="232"/>
      <c r="N1514" s="227"/>
      <c r="O1514" s="227"/>
      <c r="P1514" s="231"/>
      <c r="Q1514" s="227"/>
      <c r="R1514" s="231"/>
      <c r="S1514" s="231"/>
      <c r="T1514" s="231"/>
      <c r="U1514" s="231"/>
      <c r="V1514" s="231"/>
      <c r="W1514" s="231"/>
      <c r="X1514" s="227"/>
      <c r="Y1514" s="232"/>
      <c r="Z1514" s="232"/>
      <c r="AA1514" s="232"/>
      <c r="AB1514" s="232"/>
      <c r="AC1514" s="227"/>
      <c r="AD1514" s="227"/>
      <c r="AE1514" s="231"/>
      <c r="AF1514" s="227"/>
      <c r="AG1514" s="232"/>
      <c r="AH1514" s="232"/>
      <c r="AI1514" s="232"/>
      <c r="AJ1514" s="232"/>
      <c r="AK1514" s="232"/>
      <c r="AL1514" s="232"/>
      <c r="AM1514" s="232"/>
      <c r="AN1514" s="232"/>
      <c r="AO1514" s="231"/>
      <c r="AP1514" s="231"/>
      <c r="AQ1514" s="227"/>
      <c r="AR1514" s="227"/>
      <c r="AS1514" s="227"/>
      <c r="AT1514" s="227"/>
      <c r="AU1514" s="227"/>
      <c r="AV1514" s="227"/>
    </row>
    <row r="1515">
      <c r="A1515" s="227"/>
      <c r="B1515" s="232"/>
      <c r="C1515" s="227"/>
      <c r="D1515" s="227"/>
      <c r="E1515" s="231"/>
      <c r="F1515" s="232"/>
      <c r="G1515" s="227"/>
      <c r="H1515" s="227"/>
      <c r="I1515" s="227"/>
      <c r="J1515" s="227"/>
      <c r="K1515" s="227"/>
      <c r="L1515" s="232"/>
      <c r="M1515" s="232"/>
      <c r="N1515" s="227"/>
      <c r="O1515" s="227"/>
      <c r="P1515" s="231"/>
      <c r="Q1515" s="227"/>
      <c r="R1515" s="231"/>
      <c r="S1515" s="231"/>
      <c r="T1515" s="231"/>
      <c r="U1515" s="231"/>
      <c r="V1515" s="231"/>
      <c r="W1515" s="231"/>
      <c r="X1515" s="227"/>
      <c r="Y1515" s="232"/>
      <c r="Z1515" s="232"/>
      <c r="AA1515" s="232"/>
      <c r="AB1515" s="232"/>
      <c r="AC1515" s="227"/>
      <c r="AD1515" s="227"/>
      <c r="AE1515" s="231"/>
      <c r="AF1515" s="227"/>
      <c r="AG1515" s="232"/>
      <c r="AH1515" s="232"/>
      <c r="AI1515" s="232"/>
      <c r="AJ1515" s="232"/>
      <c r="AK1515" s="232"/>
      <c r="AL1515" s="232"/>
      <c r="AM1515" s="232"/>
      <c r="AN1515" s="232"/>
      <c r="AO1515" s="231"/>
      <c r="AP1515" s="231"/>
      <c r="AQ1515" s="227"/>
      <c r="AR1515" s="231"/>
      <c r="AS1515" s="227"/>
      <c r="AT1515" s="227"/>
      <c r="AU1515" s="227"/>
      <c r="AV1515" s="227"/>
    </row>
    <row r="1516">
      <c r="A1516" s="227"/>
      <c r="B1516" s="232"/>
      <c r="C1516" s="227"/>
      <c r="D1516" s="227"/>
      <c r="E1516" s="231"/>
      <c r="F1516" s="232"/>
      <c r="G1516" s="227"/>
      <c r="H1516" s="227"/>
      <c r="I1516" s="227"/>
      <c r="J1516" s="227"/>
      <c r="K1516" s="227"/>
      <c r="L1516" s="232"/>
      <c r="M1516" s="232"/>
      <c r="N1516" s="227"/>
      <c r="O1516" s="227"/>
      <c r="P1516" s="231"/>
      <c r="Q1516" s="227"/>
      <c r="R1516" s="231"/>
      <c r="S1516" s="231"/>
      <c r="T1516" s="231"/>
      <c r="U1516" s="231"/>
      <c r="V1516" s="231"/>
      <c r="W1516" s="231"/>
      <c r="X1516" s="227"/>
      <c r="Y1516" s="232"/>
      <c r="Z1516" s="232"/>
      <c r="AA1516" s="232"/>
      <c r="AB1516" s="232"/>
      <c r="AC1516" s="227"/>
      <c r="AD1516" s="227"/>
      <c r="AE1516" s="231"/>
      <c r="AF1516" s="227"/>
      <c r="AG1516" s="232"/>
      <c r="AH1516" s="232"/>
      <c r="AI1516" s="232"/>
      <c r="AJ1516" s="232"/>
      <c r="AK1516" s="232"/>
      <c r="AL1516" s="232"/>
      <c r="AM1516" s="232"/>
      <c r="AN1516" s="232"/>
      <c r="AO1516" s="231"/>
      <c r="AP1516" s="231"/>
      <c r="AQ1516" s="227"/>
      <c r="AR1516" s="231"/>
      <c r="AS1516" s="227"/>
      <c r="AT1516" s="227"/>
      <c r="AU1516" s="227"/>
      <c r="AV1516" s="227"/>
    </row>
    <row r="1517">
      <c r="A1517" s="227"/>
      <c r="B1517" s="232"/>
      <c r="C1517" s="227"/>
      <c r="D1517" s="227"/>
      <c r="E1517" s="231"/>
      <c r="F1517" s="232"/>
      <c r="G1517" s="227"/>
      <c r="H1517" s="227"/>
      <c r="I1517" s="227"/>
      <c r="J1517" s="227"/>
      <c r="K1517" s="227"/>
      <c r="L1517" s="232"/>
      <c r="M1517" s="232"/>
      <c r="N1517" s="227"/>
      <c r="O1517" s="227"/>
      <c r="P1517" s="231"/>
      <c r="Q1517" s="227"/>
      <c r="R1517" s="231"/>
      <c r="S1517" s="231"/>
      <c r="T1517" s="231"/>
      <c r="U1517" s="231"/>
      <c r="V1517" s="231"/>
      <c r="W1517" s="231"/>
      <c r="X1517" s="227"/>
      <c r="Y1517" s="232"/>
      <c r="Z1517" s="232"/>
      <c r="AA1517" s="232"/>
      <c r="AB1517" s="232"/>
      <c r="AC1517" s="227"/>
      <c r="AD1517" s="227"/>
      <c r="AE1517" s="231"/>
      <c r="AF1517" s="227"/>
      <c r="AG1517" s="232"/>
      <c r="AH1517" s="232"/>
      <c r="AI1517" s="232"/>
      <c r="AJ1517" s="232"/>
      <c r="AK1517" s="232"/>
      <c r="AL1517" s="232"/>
      <c r="AM1517" s="232"/>
      <c r="AN1517" s="232"/>
      <c r="AO1517" s="231"/>
      <c r="AP1517" s="231"/>
      <c r="AQ1517" s="227"/>
      <c r="AR1517" s="231"/>
      <c r="AS1517" s="227"/>
      <c r="AT1517" s="227"/>
      <c r="AU1517" s="227"/>
      <c r="AV1517" s="227"/>
    </row>
    <row r="1518">
      <c r="A1518" s="227"/>
      <c r="B1518" s="232"/>
      <c r="C1518" s="227"/>
      <c r="D1518" s="227"/>
      <c r="E1518" s="231"/>
      <c r="F1518" s="232"/>
      <c r="G1518" s="227"/>
      <c r="H1518" s="227"/>
      <c r="I1518" s="227"/>
      <c r="J1518" s="227"/>
      <c r="K1518" s="227"/>
      <c r="L1518" s="232"/>
      <c r="M1518" s="232"/>
      <c r="N1518" s="227"/>
      <c r="O1518" s="227"/>
      <c r="P1518" s="231"/>
      <c r="Q1518" s="227"/>
      <c r="R1518" s="231"/>
      <c r="S1518" s="231"/>
      <c r="T1518" s="231"/>
      <c r="U1518" s="231"/>
      <c r="V1518" s="231"/>
      <c r="W1518" s="231"/>
      <c r="X1518" s="227"/>
      <c r="Y1518" s="232"/>
      <c r="Z1518" s="232"/>
      <c r="AA1518" s="232"/>
      <c r="AB1518" s="232"/>
      <c r="AC1518" s="227"/>
      <c r="AD1518" s="227"/>
      <c r="AE1518" s="231"/>
      <c r="AF1518" s="227"/>
      <c r="AG1518" s="232"/>
      <c r="AH1518" s="232"/>
      <c r="AI1518" s="232"/>
      <c r="AJ1518" s="232"/>
      <c r="AK1518" s="232"/>
      <c r="AL1518" s="232"/>
      <c r="AM1518" s="232"/>
      <c r="AN1518" s="232"/>
      <c r="AO1518" s="231"/>
      <c r="AP1518" s="231"/>
      <c r="AQ1518" s="227"/>
      <c r="AR1518" s="231"/>
      <c r="AS1518" s="227"/>
      <c r="AT1518" s="227"/>
      <c r="AU1518" s="227"/>
      <c r="AV1518" s="227"/>
    </row>
    <row r="1519">
      <c r="A1519" s="227"/>
      <c r="B1519" s="232"/>
      <c r="C1519" s="227"/>
      <c r="D1519" s="227"/>
      <c r="E1519" s="231"/>
      <c r="F1519" s="232"/>
      <c r="G1519" s="227"/>
      <c r="H1519" s="227"/>
      <c r="I1519" s="227"/>
      <c r="J1519" s="227"/>
      <c r="K1519" s="227"/>
      <c r="L1519" s="232"/>
      <c r="M1519" s="232"/>
      <c r="N1519" s="227"/>
      <c r="O1519" s="227"/>
      <c r="P1519" s="231"/>
      <c r="Q1519" s="227"/>
      <c r="R1519" s="231"/>
      <c r="S1519" s="231"/>
      <c r="T1519" s="231"/>
      <c r="U1519" s="231"/>
      <c r="V1519" s="231"/>
      <c r="W1519" s="231"/>
      <c r="X1519" s="227"/>
      <c r="Y1519" s="232"/>
      <c r="Z1519" s="232"/>
      <c r="AA1519" s="232"/>
      <c r="AB1519" s="232"/>
      <c r="AC1519" s="227"/>
      <c r="AD1519" s="227"/>
      <c r="AE1519" s="231"/>
      <c r="AF1519" s="227"/>
      <c r="AG1519" s="232"/>
      <c r="AH1519" s="232"/>
      <c r="AI1519" s="232"/>
      <c r="AJ1519" s="232"/>
      <c r="AK1519" s="232"/>
      <c r="AL1519" s="232"/>
      <c r="AM1519" s="232"/>
      <c r="AN1519" s="232"/>
      <c r="AO1519" s="231"/>
      <c r="AP1519" s="231"/>
      <c r="AQ1519" s="227"/>
      <c r="AR1519" s="231"/>
      <c r="AS1519" s="227"/>
      <c r="AT1519" s="227"/>
      <c r="AU1519" s="227"/>
      <c r="AV1519" s="227"/>
    </row>
    <row r="1520">
      <c r="A1520" s="227"/>
      <c r="B1520" s="232"/>
      <c r="C1520" s="227"/>
      <c r="D1520" s="227"/>
      <c r="E1520" s="231"/>
      <c r="F1520" s="232"/>
      <c r="G1520" s="227"/>
      <c r="H1520" s="227"/>
      <c r="I1520" s="227"/>
      <c r="J1520" s="227"/>
      <c r="K1520" s="227"/>
      <c r="L1520" s="232"/>
      <c r="M1520" s="232"/>
      <c r="N1520" s="227"/>
      <c r="O1520" s="227"/>
      <c r="P1520" s="231"/>
      <c r="Q1520" s="227"/>
      <c r="R1520" s="231"/>
      <c r="S1520" s="231"/>
      <c r="T1520" s="231"/>
      <c r="U1520" s="231"/>
      <c r="V1520" s="231"/>
      <c r="W1520" s="231"/>
      <c r="X1520" s="227"/>
      <c r="Y1520" s="232"/>
      <c r="Z1520" s="232"/>
      <c r="AA1520" s="232"/>
      <c r="AB1520" s="232"/>
      <c r="AC1520" s="227"/>
      <c r="AD1520" s="227"/>
      <c r="AE1520" s="231"/>
      <c r="AF1520" s="227"/>
      <c r="AG1520" s="232"/>
      <c r="AH1520" s="232"/>
      <c r="AI1520" s="232"/>
      <c r="AJ1520" s="232"/>
      <c r="AK1520" s="232"/>
      <c r="AL1520" s="232"/>
      <c r="AM1520" s="232"/>
      <c r="AN1520" s="232"/>
      <c r="AO1520" s="231"/>
      <c r="AP1520" s="231"/>
      <c r="AQ1520" s="227"/>
      <c r="AR1520" s="231"/>
      <c r="AS1520" s="227"/>
      <c r="AT1520" s="227"/>
      <c r="AU1520" s="227"/>
      <c r="AV1520" s="227"/>
    </row>
    <row r="1521">
      <c r="A1521" s="227"/>
      <c r="B1521" s="232"/>
      <c r="C1521" s="227"/>
      <c r="D1521" s="227"/>
      <c r="E1521" s="231"/>
      <c r="F1521" s="232"/>
      <c r="G1521" s="227"/>
      <c r="H1521" s="227"/>
      <c r="I1521" s="227"/>
      <c r="J1521" s="227"/>
      <c r="K1521" s="227"/>
      <c r="L1521" s="232"/>
      <c r="M1521" s="232"/>
      <c r="N1521" s="227"/>
      <c r="O1521" s="227"/>
      <c r="P1521" s="231"/>
      <c r="Q1521" s="227"/>
      <c r="R1521" s="231"/>
      <c r="S1521" s="231"/>
      <c r="T1521" s="231"/>
      <c r="U1521" s="231"/>
      <c r="V1521" s="231"/>
      <c r="W1521" s="231"/>
      <c r="X1521" s="227"/>
      <c r="Y1521" s="232"/>
      <c r="Z1521" s="232"/>
      <c r="AA1521" s="232"/>
      <c r="AB1521" s="232"/>
      <c r="AC1521" s="227"/>
      <c r="AD1521" s="227"/>
      <c r="AE1521" s="231"/>
      <c r="AF1521" s="227"/>
      <c r="AG1521" s="232"/>
      <c r="AH1521" s="232"/>
      <c r="AI1521" s="232"/>
      <c r="AJ1521" s="232"/>
      <c r="AK1521" s="232"/>
      <c r="AL1521" s="232"/>
      <c r="AM1521" s="232"/>
      <c r="AN1521" s="232"/>
      <c r="AO1521" s="231"/>
      <c r="AP1521" s="231"/>
      <c r="AQ1521" s="227"/>
      <c r="AR1521" s="231"/>
      <c r="AS1521" s="227"/>
      <c r="AT1521" s="227"/>
      <c r="AU1521" s="227"/>
      <c r="AV1521" s="227"/>
    </row>
    <row r="1522">
      <c r="A1522" s="227"/>
      <c r="B1522" s="232"/>
      <c r="C1522" s="227"/>
      <c r="D1522" s="227"/>
      <c r="E1522" s="231"/>
      <c r="F1522" s="232"/>
      <c r="G1522" s="227"/>
      <c r="H1522" s="227"/>
      <c r="I1522" s="227"/>
      <c r="J1522" s="227"/>
      <c r="K1522" s="227"/>
      <c r="L1522" s="232"/>
      <c r="M1522" s="232"/>
      <c r="N1522" s="227"/>
      <c r="O1522" s="227"/>
      <c r="P1522" s="231"/>
      <c r="Q1522" s="227"/>
      <c r="R1522" s="231"/>
      <c r="S1522" s="231"/>
      <c r="T1522" s="231"/>
      <c r="U1522" s="231"/>
      <c r="V1522" s="231"/>
      <c r="W1522" s="231"/>
      <c r="X1522" s="227"/>
      <c r="Y1522" s="232"/>
      <c r="Z1522" s="232"/>
      <c r="AA1522" s="232"/>
      <c r="AB1522" s="232"/>
      <c r="AC1522" s="227"/>
      <c r="AD1522" s="227"/>
      <c r="AE1522" s="231"/>
      <c r="AF1522" s="227"/>
      <c r="AG1522" s="232"/>
      <c r="AH1522" s="232"/>
      <c r="AI1522" s="232"/>
      <c r="AJ1522" s="232"/>
      <c r="AK1522" s="232"/>
      <c r="AL1522" s="232"/>
      <c r="AM1522" s="232"/>
      <c r="AN1522" s="232"/>
      <c r="AO1522" s="231"/>
      <c r="AP1522" s="231"/>
      <c r="AQ1522" s="227"/>
      <c r="AR1522" s="231"/>
      <c r="AS1522" s="227"/>
      <c r="AT1522" s="227"/>
      <c r="AU1522" s="227"/>
      <c r="AV1522" s="227"/>
    </row>
    <row r="1523">
      <c r="A1523" s="227"/>
      <c r="B1523" s="232"/>
      <c r="C1523" s="227"/>
      <c r="D1523" s="227"/>
      <c r="E1523" s="231"/>
      <c r="F1523" s="232"/>
      <c r="G1523" s="227"/>
      <c r="H1523" s="227"/>
      <c r="I1523" s="227"/>
      <c r="J1523" s="227"/>
      <c r="K1523" s="227"/>
      <c r="L1523" s="232"/>
      <c r="M1523" s="232"/>
      <c r="N1523" s="227"/>
      <c r="O1523" s="227"/>
      <c r="P1523" s="231"/>
      <c r="Q1523" s="227"/>
      <c r="R1523" s="231"/>
      <c r="S1523" s="231"/>
      <c r="T1523" s="231"/>
      <c r="U1523" s="231"/>
      <c r="V1523" s="231"/>
      <c r="W1523" s="231"/>
      <c r="X1523" s="227"/>
      <c r="Y1523" s="232"/>
      <c r="Z1523" s="232"/>
      <c r="AA1523" s="232"/>
      <c r="AB1523" s="232"/>
      <c r="AC1523" s="227"/>
      <c r="AD1523" s="227"/>
      <c r="AE1523" s="231"/>
      <c r="AF1523" s="227"/>
      <c r="AG1523" s="232"/>
      <c r="AH1523" s="232"/>
      <c r="AI1523" s="232"/>
      <c r="AJ1523" s="232"/>
      <c r="AK1523" s="232"/>
      <c r="AL1523" s="232"/>
      <c r="AM1523" s="232"/>
      <c r="AN1523" s="232"/>
      <c r="AO1523" s="231"/>
      <c r="AP1523" s="231"/>
      <c r="AQ1523" s="227"/>
      <c r="AR1523" s="231"/>
      <c r="AS1523" s="227"/>
      <c r="AT1523" s="227"/>
      <c r="AU1523" s="227"/>
      <c r="AV1523" s="227"/>
    </row>
    <row r="1524">
      <c r="A1524" s="227"/>
      <c r="B1524" s="232"/>
      <c r="C1524" s="227"/>
      <c r="D1524" s="227"/>
      <c r="E1524" s="231"/>
      <c r="F1524" s="232"/>
      <c r="G1524" s="227"/>
      <c r="H1524" s="227"/>
      <c r="I1524" s="227"/>
      <c r="J1524" s="227"/>
      <c r="K1524" s="227"/>
      <c r="L1524" s="232"/>
      <c r="M1524" s="232"/>
      <c r="N1524" s="227"/>
      <c r="O1524" s="227"/>
      <c r="P1524" s="231"/>
      <c r="Q1524" s="227"/>
      <c r="R1524" s="231"/>
      <c r="S1524" s="231"/>
      <c r="T1524" s="231"/>
      <c r="U1524" s="231"/>
      <c r="V1524" s="231"/>
      <c r="W1524" s="231"/>
      <c r="X1524" s="227"/>
      <c r="Y1524" s="232"/>
      <c r="Z1524" s="232"/>
      <c r="AA1524" s="232"/>
      <c r="AB1524" s="232"/>
      <c r="AC1524" s="227"/>
      <c r="AD1524" s="227"/>
      <c r="AE1524" s="231"/>
      <c r="AF1524" s="227"/>
      <c r="AG1524" s="232"/>
      <c r="AH1524" s="232"/>
      <c r="AI1524" s="232"/>
      <c r="AJ1524" s="232"/>
      <c r="AK1524" s="232"/>
      <c r="AL1524" s="232"/>
      <c r="AM1524" s="232"/>
      <c r="AN1524" s="232"/>
      <c r="AO1524" s="231"/>
      <c r="AP1524" s="231"/>
      <c r="AQ1524" s="227"/>
      <c r="AR1524" s="231"/>
      <c r="AS1524" s="227"/>
      <c r="AT1524" s="227"/>
      <c r="AU1524" s="227"/>
      <c r="AV1524" s="227"/>
    </row>
    <row r="1525">
      <c r="A1525" s="227"/>
      <c r="B1525" s="232"/>
      <c r="C1525" s="227"/>
      <c r="D1525" s="227"/>
      <c r="E1525" s="231"/>
      <c r="F1525" s="232"/>
      <c r="G1525" s="227"/>
      <c r="H1525" s="227"/>
      <c r="I1525" s="227"/>
      <c r="J1525" s="227"/>
      <c r="K1525" s="227"/>
      <c r="L1525" s="232"/>
      <c r="M1525" s="232"/>
      <c r="N1525" s="227"/>
      <c r="O1525" s="227"/>
      <c r="P1525" s="231"/>
      <c r="Q1525" s="227"/>
      <c r="R1525" s="231"/>
      <c r="S1525" s="231"/>
      <c r="T1525" s="231"/>
      <c r="U1525" s="231"/>
      <c r="V1525" s="231"/>
      <c r="W1525" s="231"/>
      <c r="X1525" s="227"/>
      <c r="Y1525" s="232"/>
      <c r="Z1525" s="232"/>
      <c r="AA1525" s="232"/>
      <c r="AB1525" s="232"/>
      <c r="AC1525" s="227"/>
      <c r="AD1525" s="227"/>
      <c r="AE1525" s="231"/>
      <c r="AF1525" s="227"/>
      <c r="AG1525" s="232"/>
      <c r="AH1525" s="232"/>
      <c r="AI1525" s="232"/>
      <c r="AJ1525" s="232"/>
      <c r="AK1525" s="232"/>
      <c r="AL1525" s="232"/>
      <c r="AM1525" s="232"/>
      <c r="AN1525" s="232"/>
      <c r="AO1525" s="231"/>
      <c r="AP1525" s="231"/>
      <c r="AQ1525" s="227"/>
      <c r="AR1525" s="231"/>
      <c r="AS1525" s="227"/>
      <c r="AT1525" s="227"/>
      <c r="AU1525" s="227"/>
      <c r="AV1525" s="227"/>
    </row>
    <row r="1526">
      <c r="A1526" s="227"/>
      <c r="B1526" s="232"/>
      <c r="C1526" s="227"/>
      <c r="D1526" s="227"/>
      <c r="E1526" s="231"/>
      <c r="F1526" s="232"/>
      <c r="G1526" s="227"/>
      <c r="H1526" s="227"/>
      <c r="I1526" s="227"/>
      <c r="J1526" s="227"/>
      <c r="K1526" s="227"/>
      <c r="L1526" s="232"/>
      <c r="M1526" s="232"/>
      <c r="N1526" s="227"/>
      <c r="O1526" s="227"/>
      <c r="P1526" s="231"/>
      <c r="Q1526" s="227"/>
      <c r="R1526" s="231"/>
      <c r="S1526" s="231"/>
      <c r="T1526" s="231"/>
      <c r="U1526" s="231"/>
      <c r="V1526" s="231"/>
      <c r="W1526" s="231"/>
      <c r="X1526" s="227"/>
      <c r="Y1526" s="232"/>
      <c r="Z1526" s="232"/>
      <c r="AA1526" s="232"/>
      <c r="AB1526" s="232"/>
      <c r="AC1526" s="227"/>
      <c r="AD1526" s="227"/>
      <c r="AE1526" s="231"/>
      <c r="AF1526" s="227"/>
      <c r="AG1526" s="232"/>
      <c r="AH1526" s="232"/>
      <c r="AI1526" s="232"/>
      <c r="AJ1526" s="232"/>
      <c r="AK1526" s="232"/>
      <c r="AL1526" s="232"/>
      <c r="AM1526" s="232"/>
      <c r="AN1526" s="232"/>
      <c r="AO1526" s="231"/>
      <c r="AP1526" s="231"/>
      <c r="AQ1526" s="227"/>
      <c r="AR1526" s="231"/>
      <c r="AS1526" s="227"/>
      <c r="AT1526" s="227"/>
      <c r="AU1526" s="227"/>
      <c r="AV1526" s="227"/>
    </row>
    <row r="1527">
      <c r="A1527" s="227"/>
      <c r="B1527" s="232"/>
      <c r="C1527" s="227"/>
      <c r="D1527" s="227"/>
      <c r="E1527" s="231"/>
      <c r="F1527" s="232"/>
      <c r="G1527" s="227"/>
      <c r="H1527" s="227"/>
      <c r="I1527" s="227"/>
      <c r="J1527" s="227"/>
      <c r="K1527" s="227"/>
      <c r="L1527" s="232"/>
      <c r="M1527" s="232"/>
      <c r="N1527" s="227"/>
      <c r="O1527" s="227"/>
      <c r="P1527" s="231"/>
      <c r="Q1527" s="227"/>
      <c r="R1527" s="231"/>
      <c r="S1527" s="231"/>
      <c r="T1527" s="231"/>
      <c r="U1527" s="231"/>
      <c r="V1527" s="231"/>
      <c r="W1527" s="231"/>
      <c r="X1527" s="227"/>
      <c r="Y1527" s="232"/>
      <c r="Z1527" s="232"/>
      <c r="AA1527" s="232"/>
      <c r="AB1527" s="232"/>
      <c r="AC1527" s="227"/>
      <c r="AD1527" s="227"/>
      <c r="AE1527" s="231"/>
      <c r="AF1527" s="227"/>
      <c r="AG1527" s="232"/>
      <c r="AH1527" s="232"/>
      <c r="AI1527" s="232"/>
      <c r="AJ1527" s="232"/>
      <c r="AK1527" s="232"/>
      <c r="AL1527" s="232"/>
      <c r="AM1527" s="232"/>
      <c r="AN1527" s="232"/>
      <c r="AO1527" s="231"/>
      <c r="AP1527" s="231"/>
      <c r="AQ1527" s="227"/>
      <c r="AR1527" s="231"/>
      <c r="AS1527" s="227"/>
      <c r="AT1527" s="227"/>
      <c r="AU1527" s="227"/>
      <c r="AV1527" s="227"/>
    </row>
    <row r="1528">
      <c r="A1528" s="227"/>
      <c r="B1528" s="232"/>
      <c r="C1528" s="227"/>
      <c r="D1528" s="227"/>
      <c r="E1528" s="231"/>
      <c r="F1528" s="232"/>
      <c r="G1528" s="227"/>
      <c r="H1528" s="227"/>
      <c r="I1528" s="227"/>
      <c r="J1528" s="227"/>
      <c r="K1528" s="227"/>
      <c r="L1528" s="232"/>
      <c r="M1528" s="232"/>
      <c r="N1528" s="227"/>
      <c r="O1528" s="227"/>
      <c r="P1528" s="231"/>
      <c r="Q1528" s="227"/>
      <c r="R1528" s="231"/>
      <c r="S1528" s="231"/>
      <c r="T1528" s="231"/>
      <c r="U1528" s="231"/>
      <c r="V1528" s="231"/>
      <c r="W1528" s="231"/>
      <c r="X1528" s="227"/>
      <c r="Y1528" s="232"/>
      <c r="Z1528" s="232"/>
      <c r="AA1528" s="232"/>
      <c r="AB1528" s="232"/>
      <c r="AC1528" s="227"/>
      <c r="AD1528" s="227"/>
      <c r="AE1528" s="231"/>
      <c r="AF1528" s="227"/>
      <c r="AG1528" s="232"/>
      <c r="AH1528" s="232"/>
      <c r="AI1528" s="232"/>
      <c r="AJ1528" s="232"/>
      <c r="AK1528" s="232"/>
      <c r="AL1528" s="232"/>
      <c r="AM1528" s="232"/>
      <c r="AN1528" s="232"/>
      <c r="AO1528" s="231"/>
      <c r="AP1528" s="231"/>
      <c r="AQ1528" s="227"/>
      <c r="AR1528" s="231"/>
      <c r="AS1528" s="227"/>
      <c r="AT1528" s="227"/>
      <c r="AU1528" s="227"/>
      <c r="AV1528" s="227"/>
    </row>
    <row r="1529">
      <c r="A1529" s="227"/>
      <c r="B1529" s="232"/>
      <c r="C1529" s="227"/>
      <c r="D1529" s="227"/>
      <c r="E1529" s="231"/>
      <c r="F1529" s="232"/>
      <c r="G1529" s="227"/>
      <c r="H1529" s="227"/>
      <c r="I1529" s="227"/>
      <c r="J1529" s="227"/>
      <c r="K1529" s="227"/>
      <c r="L1529" s="232"/>
      <c r="M1529" s="232"/>
      <c r="N1529" s="227"/>
      <c r="O1529" s="227"/>
      <c r="P1529" s="231"/>
      <c r="Q1529" s="227"/>
      <c r="R1529" s="231"/>
      <c r="S1529" s="231"/>
      <c r="T1529" s="231"/>
      <c r="U1529" s="231"/>
      <c r="V1529" s="231"/>
      <c r="W1529" s="231"/>
      <c r="X1529" s="227"/>
      <c r="Y1529" s="232"/>
      <c r="Z1529" s="232"/>
      <c r="AA1529" s="232"/>
      <c r="AB1529" s="232"/>
      <c r="AC1529" s="227"/>
      <c r="AD1529" s="227"/>
      <c r="AE1529" s="231"/>
      <c r="AF1529" s="227"/>
      <c r="AG1529" s="232"/>
      <c r="AH1529" s="232"/>
      <c r="AI1529" s="232"/>
      <c r="AJ1529" s="232"/>
      <c r="AK1529" s="232"/>
      <c r="AL1529" s="232"/>
      <c r="AM1529" s="232"/>
      <c r="AN1529" s="232"/>
      <c r="AO1529" s="231"/>
      <c r="AP1529" s="231"/>
      <c r="AQ1529" s="227"/>
      <c r="AR1529" s="231"/>
      <c r="AS1529" s="227"/>
      <c r="AT1529" s="227"/>
      <c r="AU1529" s="227"/>
      <c r="AV1529" s="227"/>
    </row>
    <row r="1530">
      <c r="A1530" s="227"/>
      <c r="B1530" s="232"/>
      <c r="C1530" s="227"/>
      <c r="D1530" s="227"/>
      <c r="E1530" s="231"/>
      <c r="F1530" s="232"/>
      <c r="G1530" s="227"/>
      <c r="H1530" s="227"/>
      <c r="I1530" s="227"/>
      <c r="J1530" s="227"/>
      <c r="K1530" s="227"/>
      <c r="L1530" s="232"/>
      <c r="M1530" s="232"/>
      <c r="N1530" s="227"/>
      <c r="O1530" s="227"/>
      <c r="P1530" s="231"/>
      <c r="Q1530" s="227"/>
      <c r="R1530" s="231"/>
      <c r="S1530" s="231"/>
      <c r="T1530" s="231"/>
      <c r="U1530" s="231"/>
      <c r="V1530" s="231"/>
      <c r="W1530" s="231"/>
      <c r="X1530" s="227"/>
      <c r="Y1530" s="232"/>
      <c r="Z1530" s="232"/>
      <c r="AA1530" s="232"/>
      <c r="AB1530" s="232"/>
      <c r="AC1530" s="227"/>
      <c r="AD1530" s="227"/>
      <c r="AE1530" s="231"/>
      <c r="AF1530" s="227"/>
      <c r="AG1530" s="232"/>
      <c r="AH1530" s="232"/>
      <c r="AI1530" s="232"/>
      <c r="AJ1530" s="232"/>
      <c r="AK1530" s="232"/>
      <c r="AL1530" s="232"/>
      <c r="AM1530" s="232"/>
      <c r="AN1530" s="232"/>
      <c r="AO1530" s="231"/>
      <c r="AP1530" s="231"/>
      <c r="AQ1530" s="227"/>
      <c r="AR1530" s="231"/>
      <c r="AS1530" s="227"/>
      <c r="AT1530" s="227"/>
      <c r="AU1530" s="227"/>
      <c r="AV1530" s="227"/>
    </row>
    <row r="1531">
      <c r="A1531" s="227"/>
      <c r="B1531" s="232"/>
      <c r="C1531" s="227"/>
      <c r="D1531" s="227"/>
      <c r="E1531" s="231"/>
      <c r="F1531" s="232"/>
      <c r="G1531" s="227"/>
      <c r="H1531" s="227"/>
      <c r="I1531" s="227"/>
      <c r="J1531" s="227"/>
      <c r="K1531" s="227"/>
      <c r="L1531" s="232"/>
      <c r="M1531" s="232"/>
      <c r="N1531" s="227"/>
      <c r="O1531" s="227"/>
      <c r="P1531" s="231"/>
      <c r="Q1531" s="227"/>
      <c r="R1531" s="231"/>
      <c r="S1531" s="231"/>
      <c r="T1531" s="231"/>
      <c r="U1531" s="231"/>
      <c r="V1531" s="231"/>
      <c r="W1531" s="231"/>
      <c r="X1531" s="227"/>
      <c r="Y1531" s="232"/>
      <c r="Z1531" s="232"/>
      <c r="AA1531" s="232"/>
      <c r="AB1531" s="232"/>
      <c r="AC1531" s="227"/>
      <c r="AD1531" s="227"/>
      <c r="AE1531" s="231"/>
      <c r="AF1531" s="227"/>
      <c r="AG1531" s="232"/>
      <c r="AH1531" s="232"/>
      <c r="AI1531" s="232"/>
      <c r="AJ1531" s="232"/>
      <c r="AK1531" s="232"/>
      <c r="AL1531" s="232"/>
      <c r="AM1531" s="232"/>
      <c r="AN1531" s="232"/>
      <c r="AO1531" s="231"/>
      <c r="AP1531" s="231"/>
      <c r="AQ1531" s="227"/>
      <c r="AR1531" s="231"/>
      <c r="AS1531" s="227"/>
      <c r="AT1531" s="227"/>
      <c r="AU1531" s="227"/>
      <c r="AV1531" s="227"/>
    </row>
    <row r="1532">
      <c r="A1532" s="227"/>
      <c r="B1532" s="232"/>
      <c r="C1532" s="227"/>
      <c r="D1532" s="227"/>
      <c r="E1532" s="231"/>
      <c r="F1532" s="232"/>
      <c r="G1532" s="227"/>
      <c r="H1532" s="227"/>
      <c r="I1532" s="227"/>
      <c r="J1532" s="227"/>
      <c r="K1532" s="227"/>
      <c r="L1532" s="232"/>
      <c r="M1532" s="232"/>
      <c r="N1532" s="227"/>
      <c r="O1532" s="227"/>
      <c r="P1532" s="231"/>
      <c r="Q1532" s="227"/>
      <c r="R1532" s="231"/>
      <c r="S1532" s="231"/>
      <c r="T1532" s="231"/>
      <c r="U1532" s="231"/>
      <c r="V1532" s="231"/>
      <c r="W1532" s="231"/>
      <c r="X1532" s="227"/>
      <c r="Y1532" s="232"/>
      <c r="Z1532" s="232"/>
      <c r="AA1532" s="232"/>
      <c r="AB1532" s="232"/>
      <c r="AC1532" s="227"/>
      <c r="AD1532" s="227"/>
      <c r="AE1532" s="231"/>
      <c r="AF1532" s="227"/>
      <c r="AG1532" s="232"/>
      <c r="AH1532" s="232"/>
      <c r="AI1532" s="232"/>
      <c r="AJ1532" s="232"/>
      <c r="AK1532" s="232"/>
      <c r="AL1532" s="232"/>
      <c r="AM1532" s="232"/>
      <c r="AN1532" s="232"/>
      <c r="AO1532" s="231"/>
      <c r="AP1532" s="231"/>
      <c r="AQ1532" s="227"/>
      <c r="AR1532" s="231"/>
      <c r="AS1532" s="227"/>
      <c r="AT1532" s="227"/>
      <c r="AU1532" s="227"/>
      <c r="AV1532" s="227"/>
    </row>
    <row r="1533">
      <c r="A1533" s="227"/>
      <c r="B1533" s="232"/>
      <c r="C1533" s="227"/>
      <c r="D1533" s="227"/>
      <c r="E1533" s="231"/>
      <c r="F1533" s="232"/>
      <c r="G1533" s="227"/>
      <c r="H1533" s="227"/>
      <c r="I1533" s="227"/>
      <c r="J1533" s="227"/>
      <c r="K1533" s="227"/>
      <c r="L1533" s="232"/>
      <c r="M1533" s="232"/>
      <c r="N1533" s="227"/>
      <c r="O1533" s="227"/>
      <c r="P1533" s="231"/>
      <c r="Q1533" s="227"/>
      <c r="R1533" s="231"/>
      <c r="S1533" s="231"/>
      <c r="T1533" s="231"/>
      <c r="U1533" s="231"/>
      <c r="V1533" s="231"/>
      <c r="W1533" s="231"/>
      <c r="X1533" s="227"/>
      <c r="Y1533" s="232"/>
      <c r="Z1533" s="232"/>
      <c r="AA1533" s="232"/>
      <c r="AB1533" s="232"/>
      <c r="AC1533" s="227"/>
      <c r="AD1533" s="227"/>
      <c r="AE1533" s="231"/>
      <c r="AF1533" s="227"/>
      <c r="AG1533" s="232"/>
      <c r="AH1533" s="232"/>
      <c r="AI1533" s="232"/>
      <c r="AJ1533" s="232"/>
      <c r="AK1533" s="232"/>
      <c r="AL1533" s="232"/>
      <c r="AM1533" s="232"/>
      <c r="AN1533" s="232"/>
      <c r="AO1533" s="231"/>
      <c r="AP1533" s="231"/>
      <c r="AQ1533" s="227"/>
      <c r="AR1533" s="231"/>
      <c r="AS1533" s="227"/>
      <c r="AT1533" s="227"/>
      <c r="AU1533" s="227"/>
      <c r="AV1533" s="227"/>
    </row>
    <row r="1534">
      <c r="A1534" s="227"/>
      <c r="B1534" s="232"/>
      <c r="C1534" s="227"/>
      <c r="D1534" s="227"/>
      <c r="E1534" s="231"/>
      <c r="F1534" s="232"/>
      <c r="G1534" s="227"/>
      <c r="H1534" s="227"/>
      <c r="I1534" s="227"/>
      <c r="J1534" s="227"/>
      <c r="K1534" s="227"/>
      <c r="L1534" s="232"/>
      <c r="M1534" s="232"/>
      <c r="N1534" s="227"/>
      <c r="O1534" s="227"/>
      <c r="P1534" s="231"/>
      <c r="Q1534" s="227"/>
      <c r="R1534" s="231"/>
      <c r="S1534" s="231"/>
      <c r="T1534" s="231"/>
      <c r="U1534" s="231"/>
      <c r="V1534" s="231"/>
      <c r="W1534" s="231"/>
      <c r="X1534" s="227"/>
      <c r="Y1534" s="232"/>
      <c r="Z1534" s="232"/>
      <c r="AA1534" s="232"/>
      <c r="AB1534" s="232"/>
      <c r="AC1534" s="227"/>
      <c r="AD1534" s="227"/>
      <c r="AE1534" s="231"/>
      <c r="AF1534" s="227"/>
      <c r="AG1534" s="232"/>
      <c r="AH1534" s="232"/>
      <c r="AI1534" s="232"/>
      <c r="AJ1534" s="232"/>
      <c r="AK1534" s="232"/>
      <c r="AL1534" s="232"/>
      <c r="AM1534" s="232"/>
      <c r="AN1534" s="232"/>
      <c r="AO1534" s="231"/>
      <c r="AP1534" s="231"/>
      <c r="AQ1534" s="227"/>
      <c r="AR1534" s="231"/>
      <c r="AS1534" s="227"/>
      <c r="AT1534" s="227"/>
      <c r="AU1534" s="227"/>
      <c r="AV1534" s="227"/>
    </row>
    <row r="1535">
      <c r="A1535" s="227"/>
      <c r="B1535" s="232"/>
      <c r="C1535" s="227"/>
      <c r="D1535" s="227"/>
      <c r="E1535" s="231"/>
      <c r="F1535" s="232"/>
      <c r="G1535" s="227"/>
      <c r="H1535" s="227"/>
      <c r="I1535" s="227"/>
      <c r="J1535" s="227"/>
      <c r="K1535" s="227"/>
      <c r="L1535" s="232"/>
      <c r="M1535" s="232"/>
      <c r="N1535" s="227"/>
      <c r="O1535" s="227"/>
      <c r="P1535" s="231"/>
      <c r="Q1535" s="227"/>
      <c r="R1535" s="231"/>
      <c r="S1535" s="231"/>
      <c r="T1535" s="231"/>
      <c r="U1535" s="231"/>
      <c r="V1535" s="231"/>
      <c r="W1535" s="231"/>
      <c r="X1535" s="227"/>
      <c r="Y1535" s="232"/>
      <c r="Z1535" s="232"/>
      <c r="AA1535" s="232"/>
      <c r="AB1535" s="232"/>
      <c r="AC1535" s="227"/>
      <c r="AD1535" s="227"/>
      <c r="AE1535" s="231"/>
      <c r="AF1535" s="227"/>
      <c r="AG1535" s="232"/>
      <c r="AH1535" s="232"/>
      <c r="AI1535" s="232"/>
      <c r="AJ1535" s="232"/>
      <c r="AK1535" s="232"/>
      <c r="AL1535" s="232"/>
      <c r="AM1535" s="232"/>
      <c r="AN1535" s="232"/>
      <c r="AO1535" s="231"/>
      <c r="AP1535" s="231"/>
      <c r="AQ1535" s="227"/>
      <c r="AR1535" s="231"/>
      <c r="AS1535" s="227"/>
      <c r="AT1535" s="227"/>
      <c r="AU1535" s="227"/>
      <c r="AV1535" s="227"/>
    </row>
    <row r="1536">
      <c r="A1536" s="227"/>
      <c r="B1536" s="232"/>
      <c r="C1536" s="227"/>
      <c r="D1536" s="227"/>
      <c r="E1536" s="231"/>
      <c r="F1536" s="232"/>
      <c r="G1536" s="227"/>
      <c r="H1536" s="227"/>
      <c r="I1536" s="227"/>
      <c r="J1536" s="227"/>
      <c r="K1536" s="227"/>
      <c r="L1536" s="232"/>
      <c r="M1536" s="232"/>
      <c r="N1536" s="227"/>
      <c r="O1536" s="227"/>
      <c r="P1536" s="231"/>
      <c r="Q1536" s="227"/>
      <c r="R1536" s="231"/>
      <c r="S1536" s="231"/>
      <c r="T1536" s="231"/>
      <c r="U1536" s="231"/>
      <c r="V1536" s="231"/>
      <c r="W1536" s="231"/>
      <c r="X1536" s="227"/>
      <c r="Y1536" s="232"/>
      <c r="Z1536" s="232"/>
      <c r="AA1536" s="232"/>
      <c r="AB1536" s="232"/>
      <c r="AC1536" s="227"/>
      <c r="AD1536" s="227"/>
      <c r="AE1536" s="231"/>
      <c r="AF1536" s="227"/>
      <c r="AG1536" s="232"/>
      <c r="AH1536" s="232"/>
      <c r="AI1536" s="232"/>
      <c r="AJ1536" s="232"/>
      <c r="AK1536" s="232"/>
      <c r="AL1536" s="232"/>
      <c r="AM1536" s="232"/>
      <c r="AN1536" s="232"/>
      <c r="AO1536" s="231"/>
      <c r="AP1536" s="231"/>
      <c r="AQ1536" s="227"/>
      <c r="AR1536" s="231"/>
      <c r="AS1536" s="227"/>
      <c r="AT1536" s="227"/>
      <c r="AU1536" s="227"/>
      <c r="AV1536" s="227"/>
    </row>
    <row r="1537">
      <c r="A1537" s="227"/>
      <c r="B1537" s="232"/>
      <c r="C1537" s="227"/>
      <c r="D1537" s="227"/>
      <c r="E1537" s="231"/>
      <c r="F1537" s="232"/>
      <c r="G1537" s="227"/>
      <c r="H1537" s="227"/>
      <c r="I1537" s="227"/>
      <c r="J1537" s="227"/>
      <c r="K1537" s="227"/>
      <c r="L1537" s="232"/>
      <c r="M1537" s="232"/>
      <c r="N1537" s="227"/>
      <c r="O1537" s="227"/>
      <c r="P1537" s="231"/>
      <c r="Q1537" s="227"/>
      <c r="R1537" s="231"/>
      <c r="S1537" s="231"/>
      <c r="T1537" s="231"/>
      <c r="U1537" s="231"/>
      <c r="V1537" s="231"/>
      <c r="W1537" s="231"/>
      <c r="X1537" s="227"/>
      <c r="Y1537" s="232"/>
      <c r="Z1537" s="232"/>
      <c r="AA1537" s="232"/>
      <c r="AB1537" s="232"/>
      <c r="AC1537" s="227"/>
      <c r="AD1537" s="227"/>
      <c r="AE1537" s="231"/>
      <c r="AF1537" s="227"/>
      <c r="AG1537" s="232"/>
      <c r="AH1537" s="232"/>
      <c r="AI1537" s="232"/>
      <c r="AJ1537" s="232"/>
      <c r="AK1537" s="232"/>
      <c r="AL1537" s="232"/>
      <c r="AM1537" s="232"/>
      <c r="AN1537" s="232"/>
      <c r="AO1537" s="231"/>
      <c r="AP1537" s="231"/>
      <c r="AQ1537" s="227"/>
      <c r="AR1537" s="231"/>
      <c r="AS1537" s="227"/>
      <c r="AT1537" s="227"/>
      <c r="AU1537" s="227"/>
      <c r="AV1537" s="227"/>
    </row>
    <row r="1538">
      <c r="A1538" s="227"/>
      <c r="B1538" s="232"/>
      <c r="C1538" s="227"/>
      <c r="D1538" s="227"/>
      <c r="E1538" s="231"/>
      <c r="F1538" s="232"/>
      <c r="G1538" s="227"/>
      <c r="H1538" s="227"/>
      <c r="I1538" s="227"/>
      <c r="J1538" s="227"/>
      <c r="K1538" s="227"/>
      <c r="L1538" s="232"/>
      <c r="M1538" s="232"/>
      <c r="N1538" s="227"/>
      <c r="O1538" s="227"/>
      <c r="P1538" s="231"/>
      <c r="Q1538" s="227"/>
      <c r="R1538" s="231"/>
      <c r="S1538" s="231"/>
      <c r="T1538" s="231"/>
      <c r="U1538" s="231"/>
      <c r="V1538" s="231"/>
      <c r="W1538" s="231"/>
      <c r="X1538" s="227"/>
      <c r="Y1538" s="232"/>
      <c r="Z1538" s="232"/>
      <c r="AA1538" s="232"/>
      <c r="AB1538" s="232"/>
      <c r="AC1538" s="227"/>
      <c r="AD1538" s="227"/>
      <c r="AE1538" s="231"/>
      <c r="AF1538" s="227"/>
      <c r="AG1538" s="232"/>
      <c r="AH1538" s="232"/>
      <c r="AI1538" s="232"/>
      <c r="AJ1538" s="232"/>
      <c r="AK1538" s="232"/>
      <c r="AL1538" s="232"/>
      <c r="AM1538" s="232"/>
      <c r="AN1538" s="232"/>
      <c r="AO1538" s="231"/>
      <c r="AP1538" s="231"/>
      <c r="AQ1538" s="227"/>
      <c r="AR1538" s="231"/>
      <c r="AS1538" s="227"/>
      <c r="AT1538" s="227"/>
      <c r="AU1538" s="227"/>
      <c r="AV1538" s="227"/>
    </row>
    <row r="1539">
      <c r="A1539" s="227"/>
      <c r="B1539" s="232"/>
      <c r="C1539" s="227"/>
      <c r="D1539" s="227"/>
      <c r="E1539" s="231"/>
      <c r="F1539" s="232"/>
      <c r="G1539" s="227"/>
      <c r="H1539" s="227"/>
      <c r="I1539" s="227"/>
      <c r="J1539" s="227"/>
      <c r="K1539" s="227"/>
      <c r="L1539" s="232"/>
      <c r="M1539" s="232"/>
      <c r="N1539" s="227"/>
      <c r="O1539" s="227"/>
      <c r="P1539" s="231"/>
      <c r="Q1539" s="227"/>
      <c r="R1539" s="231"/>
      <c r="S1539" s="231"/>
      <c r="T1539" s="231"/>
      <c r="U1539" s="231"/>
      <c r="V1539" s="231"/>
      <c r="W1539" s="231"/>
      <c r="X1539" s="227"/>
      <c r="Y1539" s="232"/>
      <c r="Z1539" s="232"/>
      <c r="AA1539" s="232"/>
      <c r="AB1539" s="232"/>
      <c r="AC1539" s="227"/>
      <c r="AD1539" s="227"/>
      <c r="AE1539" s="231"/>
      <c r="AF1539" s="227"/>
      <c r="AG1539" s="232"/>
      <c r="AH1539" s="232"/>
      <c r="AI1539" s="232"/>
      <c r="AJ1539" s="232"/>
      <c r="AK1539" s="232"/>
      <c r="AL1539" s="232"/>
      <c r="AM1539" s="232"/>
      <c r="AN1539" s="232"/>
      <c r="AO1539" s="231"/>
      <c r="AP1539" s="231"/>
      <c r="AQ1539" s="227"/>
      <c r="AR1539" s="231"/>
      <c r="AS1539" s="227"/>
      <c r="AT1539" s="227"/>
      <c r="AU1539" s="227"/>
      <c r="AV1539" s="227"/>
    </row>
    <row r="1540">
      <c r="A1540" s="227"/>
      <c r="B1540" s="232"/>
      <c r="C1540" s="227"/>
      <c r="D1540" s="227"/>
      <c r="E1540" s="231"/>
      <c r="F1540" s="232"/>
      <c r="G1540" s="227"/>
      <c r="H1540" s="227"/>
      <c r="I1540" s="227"/>
      <c r="J1540" s="227"/>
      <c r="K1540" s="227"/>
      <c r="L1540" s="232"/>
      <c r="M1540" s="232"/>
      <c r="N1540" s="227"/>
      <c r="O1540" s="227"/>
      <c r="P1540" s="231"/>
      <c r="Q1540" s="227"/>
      <c r="R1540" s="231"/>
      <c r="S1540" s="231"/>
      <c r="T1540" s="231"/>
      <c r="U1540" s="231"/>
      <c r="V1540" s="231"/>
      <c r="W1540" s="231"/>
      <c r="X1540" s="227"/>
      <c r="Y1540" s="232"/>
      <c r="Z1540" s="232"/>
      <c r="AA1540" s="232"/>
      <c r="AB1540" s="232"/>
      <c r="AC1540" s="227"/>
      <c r="AD1540" s="227"/>
      <c r="AE1540" s="231"/>
      <c r="AF1540" s="227"/>
      <c r="AG1540" s="232"/>
      <c r="AH1540" s="232"/>
      <c r="AI1540" s="232"/>
      <c r="AJ1540" s="232"/>
      <c r="AK1540" s="232"/>
      <c r="AL1540" s="232"/>
      <c r="AM1540" s="232"/>
      <c r="AN1540" s="232"/>
      <c r="AO1540" s="231"/>
      <c r="AP1540" s="231"/>
      <c r="AQ1540" s="227"/>
      <c r="AR1540" s="231"/>
      <c r="AS1540" s="227"/>
      <c r="AT1540" s="227"/>
      <c r="AU1540" s="227"/>
      <c r="AV1540" s="227"/>
    </row>
    <row r="1541">
      <c r="A1541" s="227"/>
      <c r="B1541" s="232"/>
      <c r="C1541" s="227"/>
      <c r="D1541" s="227"/>
      <c r="E1541" s="231"/>
      <c r="F1541" s="232"/>
      <c r="G1541" s="227"/>
      <c r="H1541" s="227"/>
      <c r="I1541" s="227"/>
      <c r="J1541" s="227"/>
      <c r="K1541" s="227"/>
      <c r="L1541" s="232"/>
      <c r="M1541" s="232"/>
      <c r="N1541" s="227"/>
      <c r="O1541" s="227"/>
      <c r="P1541" s="231"/>
      <c r="Q1541" s="227"/>
      <c r="R1541" s="231"/>
      <c r="S1541" s="231"/>
      <c r="T1541" s="231"/>
      <c r="U1541" s="231"/>
      <c r="V1541" s="231"/>
      <c r="W1541" s="231"/>
      <c r="X1541" s="227"/>
      <c r="Y1541" s="232"/>
      <c r="Z1541" s="232"/>
      <c r="AA1541" s="232"/>
      <c r="AB1541" s="232"/>
      <c r="AC1541" s="227"/>
      <c r="AD1541" s="227"/>
      <c r="AE1541" s="231"/>
      <c r="AF1541" s="227"/>
      <c r="AG1541" s="232"/>
      <c r="AH1541" s="232"/>
      <c r="AI1541" s="232"/>
      <c r="AJ1541" s="232"/>
      <c r="AK1541" s="232"/>
      <c r="AL1541" s="232"/>
      <c r="AM1541" s="232"/>
      <c r="AN1541" s="232"/>
      <c r="AO1541" s="231"/>
      <c r="AP1541" s="231"/>
      <c r="AQ1541" s="227"/>
      <c r="AR1541" s="231"/>
      <c r="AS1541" s="227"/>
      <c r="AT1541" s="227"/>
      <c r="AU1541" s="227"/>
      <c r="AV1541" s="227"/>
    </row>
    <row r="1542">
      <c r="A1542" s="227"/>
      <c r="B1542" s="232"/>
      <c r="C1542" s="227"/>
      <c r="D1542" s="227"/>
      <c r="E1542" s="231"/>
      <c r="F1542" s="232"/>
      <c r="G1542" s="227"/>
      <c r="H1542" s="227"/>
      <c r="I1542" s="227"/>
      <c r="J1542" s="227"/>
      <c r="K1542" s="227"/>
      <c r="L1542" s="232"/>
      <c r="M1542" s="232"/>
      <c r="N1542" s="227"/>
      <c r="O1542" s="227"/>
      <c r="P1542" s="231"/>
      <c r="Q1542" s="227"/>
      <c r="R1542" s="231"/>
      <c r="S1542" s="231"/>
      <c r="T1542" s="231"/>
      <c r="U1542" s="231"/>
      <c r="V1542" s="231"/>
      <c r="W1542" s="231"/>
      <c r="X1542" s="227"/>
      <c r="Y1542" s="232"/>
      <c r="Z1542" s="232"/>
      <c r="AA1542" s="232"/>
      <c r="AB1542" s="232"/>
      <c r="AC1542" s="227"/>
      <c r="AD1542" s="227"/>
      <c r="AE1542" s="231"/>
      <c r="AF1542" s="227"/>
      <c r="AG1542" s="232"/>
      <c r="AH1542" s="232"/>
      <c r="AI1542" s="232"/>
      <c r="AJ1542" s="232"/>
      <c r="AK1542" s="232"/>
      <c r="AL1542" s="232"/>
      <c r="AM1542" s="232"/>
      <c r="AN1542" s="232"/>
      <c r="AO1542" s="231"/>
      <c r="AP1542" s="231"/>
      <c r="AQ1542" s="227"/>
      <c r="AR1542" s="231"/>
      <c r="AS1542" s="227"/>
      <c r="AT1542" s="227"/>
      <c r="AU1542" s="227"/>
      <c r="AV1542" s="227"/>
    </row>
    <row r="1543">
      <c r="A1543" s="227"/>
      <c r="B1543" s="232"/>
      <c r="C1543" s="227"/>
      <c r="D1543" s="227"/>
      <c r="E1543" s="231"/>
      <c r="F1543" s="232"/>
      <c r="G1543" s="227"/>
      <c r="H1543" s="227"/>
      <c r="I1543" s="227"/>
      <c r="J1543" s="227"/>
      <c r="K1543" s="227"/>
      <c r="L1543" s="232"/>
      <c r="M1543" s="232"/>
      <c r="N1543" s="227"/>
      <c r="O1543" s="227"/>
      <c r="P1543" s="231"/>
      <c r="Q1543" s="227"/>
      <c r="R1543" s="231"/>
      <c r="S1543" s="231"/>
      <c r="T1543" s="231"/>
      <c r="U1543" s="231"/>
      <c r="V1543" s="231"/>
      <c r="W1543" s="231"/>
      <c r="X1543" s="227"/>
      <c r="Y1543" s="232"/>
      <c r="Z1543" s="232"/>
      <c r="AA1543" s="232"/>
      <c r="AB1543" s="232"/>
      <c r="AC1543" s="227"/>
      <c r="AD1543" s="227"/>
      <c r="AE1543" s="231"/>
      <c r="AF1543" s="227"/>
      <c r="AG1543" s="232"/>
      <c r="AH1543" s="232"/>
      <c r="AI1543" s="232"/>
      <c r="AJ1543" s="232"/>
      <c r="AK1543" s="232"/>
      <c r="AL1543" s="232"/>
      <c r="AM1543" s="232"/>
      <c r="AN1543" s="232"/>
      <c r="AO1543" s="231"/>
      <c r="AP1543" s="231"/>
      <c r="AQ1543" s="227"/>
      <c r="AR1543" s="231"/>
      <c r="AS1543" s="227"/>
      <c r="AT1543" s="227"/>
      <c r="AU1543" s="227"/>
      <c r="AV1543" s="227"/>
    </row>
    <row r="1544">
      <c r="A1544" s="227"/>
      <c r="B1544" s="232"/>
      <c r="C1544" s="227"/>
      <c r="D1544" s="227"/>
      <c r="E1544" s="231"/>
      <c r="F1544" s="232"/>
      <c r="G1544" s="227"/>
      <c r="H1544" s="227"/>
      <c r="I1544" s="227"/>
      <c r="J1544" s="227"/>
      <c r="K1544" s="227"/>
      <c r="L1544" s="232"/>
      <c r="M1544" s="232"/>
      <c r="N1544" s="227"/>
      <c r="O1544" s="227"/>
      <c r="P1544" s="231"/>
      <c r="Q1544" s="227"/>
      <c r="R1544" s="231"/>
      <c r="S1544" s="231"/>
      <c r="T1544" s="231"/>
      <c r="U1544" s="231"/>
      <c r="V1544" s="231"/>
      <c r="W1544" s="231"/>
      <c r="X1544" s="227"/>
      <c r="Y1544" s="232"/>
      <c r="Z1544" s="232"/>
      <c r="AA1544" s="232"/>
      <c r="AB1544" s="232"/>
      <c r="AC1544" s="227"/>
      <c r="AD1544" s="227"/>
      <c r="AE1544" s="231"/>
      <c r="AF1544" s="227"/>
      <c r="AG1544" s="232"/>
      <c r="AH1544" s="232"/>
      <c r="AI1544" s="232"/>
      <c r="AJ1544" s="232"/>
      <c r="AK1544" s="232"/>
      <c r="AL1544" s="232"/>
      <c r="AM1544" s="232"/>
      <c r="AN1544" s="232"/>
      <c r="AO1544" s="231"/>
      <c r="AP1544" s="231"/>
      <c r="AQ1544" s="227"/>
      <c r="AR1544" s="231"/>
      <c r="AS1544" s="227"/>
      <c r="AT1544" s="227"/>
      <c r="AU1544" s="227"/>
      <c r="AV1544" s="227"/>
    </row>
    <row r="1545">
      <c r="A1545" s="227"/>
      <c r="B1545" s="232"/>
      <c r="C1545" s="227"/>
      <c r="D1545" s="227"/>
      <c r="E1545" s="231"/>
      <c r="F1545" s="232"/>
      <c r="G1545" s="227"/>
      <c r="H1545" s="227"/>
      <c r="I1545" s="227"/>
      <c r="J1545" s="227"/>
      <c r="K1545" s="227"/>
      <c r="L1545" s="232"/>
      <c r="M1545" s="232"/>
      <c r="N1545" s="227"/>
      <c r="O1545" s="227"/>
      <c r="P1545" s="231"/>
      <c r="Q1545" s="227"/>
      <c r="R1545" s="231"/>
      <c r="S1545" s="231"/>
      <c r="T1545" s="231"/>
      <c r="U1545" s="231"/>
      <c r="V1545" s="231"/>
      <c r="W1545" s="231"/>
      <c r="X1545" s="227"/>
      <c r="Y1545" s="232"/>
      <c r="Z1545" s="232"/>
      <c r="AA1545" s="232"/>
      <c r="AB1545" s="232"/>
      <c r="AC1545" s="227"/>
      <c r="AD1545" s="227"/>
      <c r="AE1545" s="231"/>
      <c r="AF1545" s="227"/>
      <c r="AG1545" s="232"/>
      <c r="AH1545" s="232"/>
      <c r="AI1545" s="232"/>
      <c r="AJ1545" s="232"/>
      <c r="AK1545" s="232"/>
      <c r="AL1545" s="232"/>
      <c r="AM1545" s="232"/>
      <c r="AN1545" s="232"/>
      <c r="AO1545" s="231"/>
      <c r="AP1545" s="231"/>
      <c r="AQ1545" s="227"/>
      <c r="AR1545" s="231"/>
      <c r="AS1545" s="227"/>
      <c r="AT1545" s="227"/>
      <c r="AU1545" s="227"/>
      <c r="AV1545" s="227"/>
    </row>
    <row r="1546">
      <c r="A1546" s="227"/>
      <c r="B1546" s="232"/>
      <c r="C1546" s="227"/>
      <c r="D1546" s="227"/>
      <c r="E1546" s="231"/>
      <c r="F1546" s="232"/>
      <c r="G1546" s="227"/>
      <c r="H1546" s="227"/>
      <c r="I1546" s="227"/>
      <c r="J1546" s="227"/>
      <c r="K1546" s="227"/>
      <c r="L1546" s="232"/>
      <c r="M1546" s="232"/>
      <c r="N1546" s="227"/>
      <c r="O1546" s="227"/>
      <c r="P1546" s="231"/>
      <c r="Q1546" s="227"/>
      <c r="R1546" s="231"/>
      <c r="S1546" s="231"/>
      <c r="T1546" s="231"/>
      <c r="U1546" s="231"/>
      <c r="V1546" s="231"/>
      <c r="W1546" s="231"/>
      <c r="X1546" s="227"/>
      <c r="Y1546" s="232"/>
      <c r="Z1546" s="232"/>
      <c r="AA1546" s="232"/>
      <c r="AB1546" s="232"/>
      <c r="AC1546" s="227"/>
      <c r="AD1546" s="227"/>
      <c r="AE1546" s="231"/>
      <c r="AF1546" s="227"/>
      <c r="AG1546" s="232"/>
      <c r="AH1546" s="232"/>
      <c r="AI1546" s="232"/>
      <c r="AJ1546" s="232"/>
      <c r="AK1546" s="232"/>
      <c r="AL1546" s="232"/>
      <c r="AM1546" s="232"/>
      <c r="AN1546" s="232"/>
      <c r="AO1546" s="231"/>
      <c r="AP1546" s="231"/>
      <c r="AQ1546" s="227"/>
      <c r="AR1546" s="231"/>
      <c r="AS1546" s="227"/>
      <c r="AT1546" s="227"/>
      <c r="AU1546" s="227"/>
      <c r="AV1546" s="227"/>
    </row>
    <row r="1547">
      <c r="A1547" s="227"/>
      <c r="B1547" s="232"/>
      <c r="C1547" s="227"/>
      <c r="D1547" s="227"/>
      <c r="E1547" s="231"/>
      <c r="F1547" s="232"/>
      <c r="G1547" s="227"/>
      <c r="H1547" s="227"/>
      <c r="I1547" s="227"/>
      <c r="J1547" s="227"/>
      <c r="K1547" s="227"/>
      <c r="L1547" s="232"/>
      <c r="M1547" s="232"/>
      <c r="N1547" s="227"/>
      <c r="O1547" s="227"/>
      <c r="P1547" s="231"/>
      <c r="Q1547" s="227"/>
      <c r="R1547" s="231"/>
      <c r="S1547" s="231"/>
      <c r="T1547" s="231"/>
      <c r="U1547" s="231"/>
      <c r="V1547" s="231"/>
      <c r="W1547" s="231"/>
      <c r="X1547" s="227"/>
      <c r="Y1547" s="232"/>
      <c r="Z1547" s="232"/>
      <c r="AA1547" s="232"/>
      <c r="AB1547" s="232"/>
      <c r="AC1547" s="227"/>
      <c r="AD1547" s="227"/>
      <c r="AE1547" s="231"/>
      <c r="AF1547" s="227"/>
      <c r="AG1547" s="232"/>
      <c r="AH1547" s="232"/>
      <c r="AI1547" s="232"/>
      <c r="AJ1547" s="232"/>
      <c r="AK1547" s="232"/>
      <c r="AL1547" s="232"/>
      <c r="AM1547" s="232"/>
      <c r="AN1547" s="232"/>
      <c r="AO1547" s="231"/>
      <c r="AP1547" s="231"/>
      <c r="AQ1547" s="227"/>
      <c r="AR1547" s="231"/>
      <c r="AS1547" s="227"/>
      <c r="AT1547" s="227"/>
      <c r="AU1547" s="227"/>
      <c r="AV1547" s="227"/>
    </row>
    <row r="1548">
      <c r="A1548" s="227"/>
      <c r="B1548" s="232"/>
      <c r="C1548" s="227"/>
      <c r="D1548" s="227"/>
      <c r="E1548" s="231"/>
      <c r="F1548" s="232"/>
      <c r="G1548" s="227"/>
      <c r="H1548" s="227"/>
      <c r="I1548" s="227"/>
      <c r="J1548" s="227"/>
      <c r="K1548" s="227"/>
      <c r="L1548" s="232"/>
      <c r="M1548" s="232"/>
      <c r="N1548" s="227"/>
      <c r="O1548" s="227"/>
      <c r="P1548" s="231"/>
      <c r="Q1548" s="227"/>
      <c r="R1548" s="231"/>
      <c r="S1548" s="231"/>
      <c r="T1548" s="231"/>
      <c r="U1548" s="231"/>
      <c r="V1548" s="231"/>
      <c r="W1548" s="231"/>
      <c r="X1548" s="227"/>
      <c r="Y1548" s="232"/>
      <c r="Z1548" s="232"/>
      <c r="AA1548" s="232"/>
      <c r="AB1548" s="232"/>
      <c r="AC1548" s="227"/>
      <c r="AD1548" s="227"/>
      <c r="AE1548" s="231"/>
      <c r="AF1548" s="227"/>
      <c r="AG1548" s="232"/>
      <c r="AH1548" s="232"/>
      <c r="AI1548" s="232"/>
      <c r="AJ1548" s="232"/>
      <c r="AK1548" s="232"/>
      <c r="AL1548" s="232"/>
      <c r="AM1548" s="232"/>
      <c r="AN1548" s="232"/>
      <c r="AO1548" s="231"/>
      <c r="AP1548" s="231"/>
      <c r="AQ1548" s="227"/>
      <c r="AR1548" s="231"/>
      <c r="AS1548" s="227"/>
      <c r="AT1548" s="227"/>
      <c r="AU1548" s="227"/>
      <c r="AV1548" s="227"/>
    </row>
    <row r="1549">
      <c r="A1549" s="227"/>
      <c r="B1549" s="232"/>
      <c r="C1549" s="227"/>
      <c r="D1549" s="227"/>
      <c r="E1549" s="231"/>
      <c r="F1549" s="232"/>
      <c r="G1549" s="227"/>
      <c r="H1549" s="227"/>
      <c r="I1549" s="227"/>
      <c r="J1549" s="227"/>
      <c r="K1549" s="227"/>
      <c r="L1549" s="232"/>
      <c r="M1549" s="232"/>
      <c r="N1549" s="227"/>
      <c r="O1549" s="227"/>
      <c r="P1549" s="231"/>
      <c r="Q1549" s="227"/>
      <c r="R1549" s="231"/>
      <c r="S1549" s="231"/>
      <c r="T1549" s="231"/>
      <c r="U1549" s="231"/>
      <c r="V1549" s="231"/>
      <c r="W1549" s="231"/>
      <c r="X1549" s="227"/>
      <c r="Y1549" s="232"/>
      <c r="Z1549" s="232"/>
      <c r="AA1549" s="232"/>
      <c r="AB1549" s="232"/>
      <c r="AC1549" s="227"/>
      <c r="AD1549" s="227"/>
      <c r="AE1549" s="231"/>
      <c r="AF1549" s="227"/>
      <c r="AG1549" s="232"/>
      <c r="AH1549" s="232"/>
      <c r="AI1549" s="232"/>
      <c r="AJ1549" s="232"/>
      <c r="AK1549" s="232"/>
      <c r="AL1549" s="232"/>
      <c r="AM1549" s="232"/>
      <c r="AN1549" s="232"/>
      <c r="AO1549" s="231"/>
      <c r="AP1549" s="231"/>
      <c r="AQ1549" s="227"/>
      <c r="AR1549" s="231"/>
      <c r="AS1549" s="227"/>
      <c r="AT1549" s="227"/>
      <c r="AU1549" s="227"/>
      <c r="AV1549" s="227"/>
    </row>
    <row r="1550">
      <c r="A1550" s="227"/>
      <c r="B1550" s="232"/>
      <c r="C1550" s="227"/>
      <c r="D1550" s="227"/>
      <c r="E1550" s="231"/>
      <c r="F1550" s="232"/>
      <c r="G1550" s="227"/>
      <c r="H1550" s="227"/>
      <c r="I1550" s="227"/>
      <c r="J1550" s="227"/>
      <c r="K1550" s="227"/>
      <c r="L1550" s="232"/>
      <c r="M1550" s="232"/>
      <c r="N1550" s="227"/>
      <c r="O1550" s="227"/>
      <c r="P1550" s="231"/>
      <c r="Q1550" s="227"/>
      <c r="R1550" s="231"/>
      <c r="S1550" s="231"/>
      <c r="T1550" s="231"/>
      <c r="U1550" s="231"/>
      <c r="V1550" s="231"/>
      <c r="W1550" s="231"/>
      <c r="X1550" s="227"/>
      <c r="Y1550" s="232"/>
      <c r="Z1550" s="232"/>
      <c r="AA1550" s="232"/>
      <c r="AB1550" s="232"/>
      <c r="AC1550" s="227"/>
      <c r="AD1550" s="227"/>
      <c r="AE1550" s="231"/>
      <c r="AF1550" s="227"/>
      <c r="AG1550" s="232"/>
      <c r="AH1550" s="232"/>
      <c r="AI1550" s="232"/>
      <c r="AJ1550" s="232"/>
      <c r="AK1550" s="232"/>
      <c r="AL1550" s="232"/>
      <c r="AM1550" s="232"/>
      <c r="AN1550" s="232"/>
      <c r="AO1550" s="231"/>
      <c r="AP1550" s="231"/>
      <c r="AQ1550" s="227"/>
      <c r="AR1550" s="231"/>
      <c r="AS1550" s="227"/>
      <c r="AT1550" s="227"/>
      <c r="AU1550" s="227"/>
      <c r="AV1550" s="227"/>
    </row>
    <row r="1551">
      <c r="A1551" s="227"/>
      <c r="B1551" s="232"/>
      <c r="C1551" s="227"/>
      <c r="D1551" s="227"/>
      <c r="E1551" s="231"/>
      <c r="F1551" s="232"/>
      <c r="G1551" s="227"/>
      <c r="H1551" s="227"/>
      <c r="I1551" s="227"/>
      <c r="J1551" s="227"/>
      <c r="K1551" s="227"/>
      <c r="L1551" s="232"/>
      <c r="M1551" s="232"/>
      <c r="N1551" s="227"/>
      <c r="O1551" s="227"/>
      <c r="P1551" s="231"/>
      <c r="Q1551" s="227"/>
      <c r="R1551" s="231"/>
      <c r="S1551" s="231"/>
      <c r="T1551" s="231"/>
      <c r="U1551" s="231"/>
      <c r="V1551" s="231"/>
      <c r="W1551" s="231"/>
      <c r="X1551" s="227"/>
      <c r="Y1551" s="232"/>
      <c r="Z1551" s="232"/>
      <c r="AA1551" s="232"/>
      <c r="AB1551" s="232"/>
      <c r="AC1551" s="227"/>
      <c r="AD1551" s="227"/>
      <c r="AE1551" s="231"/>
      <c r="AF1551" s="227"/>
      <c r="AG1551" s="232"/>
      <c r="AH1551" s="232"/>
      <c r="AI1551" s="232"/>
      <c r="AJ1551" s="232"/>
      <c r="AK1551" s="232"/>
      <c r="AL1551" s="232"/>
      <c r="AM1551" s="232"/>
      <c r="AN1551" s="232"/>
      <c r="AO1551" s="231"/>
      <c r="AP1551" s="231"/>
      <c r="AQ1551" s="227"/>
      <c r="AR1551" s="231"/>
      <c r="AS1551" s="227"/>
      <c r="AT1551" s="227"/>
      <c r="AU1551" s="227"/>
      <c r="AV1551" s="227"/>
    </row>
    <row r="1552">
      <c r="A1552" s="227"/>
      <c r="B1552" s="232"/>
      <c r="C1552" s="227"/>
      <c r="D1552" s="227"/>
      <c r="E1552" s="231"/>
      <c r="F1552" s="232"/>
      <c r="G1552" s="227"/>
      <c r="H1552" s="227"/>
      <c r="I1552" s="227"/>
      <c r="J1552" s="227"/>
      <c r="K1552" s="227"/>
      <c r="L1552" s="232"/>
      <c r="M1552" s="232"/>
      <c r="N1552" s="227"/>
      <c r="O1552" s="227"/>
      <c r="P1552" s="231"/>
      <c r="Q1552" s="227"/>
      <c r="R1552" s="231"/>
      <c r="S1552" s="231"/>
      <c r="T1552" s="231"/>
      <c r="U1552" s="231"/>
      <c r="V1552" s="231"/>
      <c r="W1552" s="231"/>
      <c r="X1552" s="227"/>
      <c r="Y1552" s="232"/>
      <c r="Z1552" s="232"/>
      <c r="AA1552" s="232"/>
      <c r="AB1552" s="232"/>
      <c r="AC1552" s="227"/>
      <c r="AD1552" s="227"/>
      <c r="AE1552" s="231"/>
      <c r="AF1552" s="227"/>
      <c r="AG1552" s="232"/>
      <c r="AH1552" s="232"/>
      <c r="AI1552" s="232"/>
      <c r="AJ1552" s="232"/>
      <c r="AK1552" s="232"/>
      <c r="AL1552" s="232"/>
      <c r="AM1552" s="232"/>
      <c r="AN1552" s="232"/>
      <c r="AO1552" s="231"/>
      <c r="AP1552" s="231"/>
      <c r="AQ1552" s="227"/>
      <c r="AR1552" s="231"/>
      <c r="AS1552" s="227"/>
      <c r="AT1552" s="227"/>
      <c r="AU1552" s="227"/>
      <c r="AV1552" s="227"/>
    </row>
    <row r="1553">
      <c r="A1553" s="227"/>
      <c r="B1553" s="232"/>
      <c r="C1553" s="227"/>
      <c r="D1553" s="227"/>
      <c r="E1553" s="231"/>
      <c r="F1553" s="232"/>
      <c r="G1553" s="227"/>
      <c r="H1553" s="227"/>
      <c r="I1553" s="227"/>
      <c r="J1553" s="227"/>
      <c r="K1553" s="227"/>
      <c r="L1553" s="232"/>
      <c r="M1553" s="232"/>
      <c r="N1553" s="227"/>
      <c r="O1553" s="227"/>
      <c r="P1553" s="231"/>
      <c r="Q1553" s="227"/>
      <c r="R1553" s="231"/>
      <c r="S1553" s="231"/>
      <c r="T1553" s="231"/>
      <c r="U1553" s="231"/>
      <c r="V1553" s="231"/>
      <c r="W1553" s="231"/>
      <c r="X1553" s="227"/>
      <c r="Y1553" s="232"/>
      <c r="Z1553" s="232"/>
      <c r="AA1553" s="232"/>
      <c r="AB1553" s="232"/>
      <c r="AC1553" s="227"/>
      <c r="AD1553" s="227"/>
      <c r="AE1553" s="231"/>
      <c r="AF1553" s="227"/>
      <c r="AG1553" s="232"/>
      <c r="AH1553" s="232"/>
      <c r="AI1553" s="232"/>
      <c r="AJ1553" s="232"/>
      <c r="AK1553" s="232"/>
      <c r="AL1553" s="232"/>
      <c r="AM1553" s="232"/>
      <c r="AN1553" s="232"/>
      <c r="AO1553" s="231"/>
      <c r="AP1553" s="231"/>
      <c r="AQ1553" s="227"/>
      <c r="AR1553" s="231"/>
      <c r="AS1553" s="227"/>
      <c r="AT1553" s="227"/>
      <c r="AU1553" s="227"/>
      <c r="AV1553" s="227"/>
    </row>
    <row r="1554">
      <c r="A1554" s="227"/>
      <c r="B1554" s="232"/>
      <c r="C1554" s="227"/>
      <c r="D1554" s="227"/>
      <c r="E1554" s="231"/>
      <c r="F1554" s="232"/>
      <c r="G1554" s="227"/>
      <c r="H1554" s="227"/>
      <c r="I1554" s="227"/>
      <c r="J1554" s="227"/>
      <c r="K1554" s="227"/>
      <c r="L1554" s="232"/>
      <c r="M1554" s="232"/>
      <c r="N1554" s="227"/>
      <c r="O1554" s="227"/>
      <c r="P1554" s="231"/>
      <c r="Q1554" s="227"/>
      <c r="R1554" s="231"/>
      <c r="S1554" s="231"/>
      <c r="T1554" s="231"/>
      <c r="U1554" s="231"/>
      <c r="V1554" s="231"/>
      <c r="W1554" s="231"/>
      <c r="X1554" s="227"/>
      <c r="Y1554" s="232"/>
      <c r="Z1554" s="232"/>
      <c r="AA1554" s="232"/>
      <c r="AB1554" s="232"/>
      <c r="AC1554" s="227"/>
      <c r="AD1554" s="227"/>
      <c r="AE1554" s="231"/>
      <c r="AF1554" s="227"/>
      <c r="AG1554" s="232"/>
      <c r="AH1554" s="232"/>
      <c r="AI1554" s="232"/>
      <c r="AJ1554" s="232"/>
      <c r="AK1554" s="232"/>
      <c r="AL1554" s="232"/>
      <c r="AM1554" s="232"/>
      <c r="AN1554" s="232"/>
      <c r="AO1554" s="231"/>
      <c r="AP1554" s="231"/>
      <c r="AQ1554" s="227"/>
      <c r="AR1554" s="231"/>
      <c r="AS1554" s="227"/>
      <c r="AT1554" s="227"/>
      <c r="AU1554" s="227"/>
      <c r="AV1554" s="227"/>
    </row>
    <row r="1555">
      <c r="A1555" s="227"/>
      <c r="B1555" s="232"/>
      <c r="C1555" s="227"/>
      <c r="D1555" s="227"/>
      <c r="E1555" s="231"/>
      <c r="F1555" s="232"/>
      <c r="G1555" s="227"/>
      <c r="H1555" s="227"/>
      <c r="I1555" s="227"/>
      <c r="J1555" s="227"/>
      <c r="K1555" s="227"/>
      <c r="L1555" s="232"/>
      <c r="M1555" s="232"/>
      <c r="N1555" s="227"/>
      <c r="O1555" s="227"/>
      <c r="P1555" s="231"/>
      <c r="Q1555" s="227"/>
      <c r="R1555" s="231"/>
      <c r="S1555" s="231"/>
      <c r="T1555" s="231"/>
      <c r="U1555" s="231"/>
      <c r="V1555" s="231"/>
      <c r="W1555" s="231"/>
      <c r="X1555" s="227"/>
      <c r="Y1555" s="232"/>
      <c r="Z1555" s="232"/>
      <c r="AA1555" s="232"/>
      <c r="AB1555" s="232"/>
      <c r="AC1555" s="227"/>
      <c r="AD1555" s="227"/>
      <c r="AE1555" s="231"/>
      <c r="AF1555" s="227"/>
      <c r="AG1555" s="232"/>
      <c r="AH1555" s="232"/>
      <c r="AI1555" s="232"/>
      <c r="AJ1555" s="232"/>
      <c r="AK1555" s="232"/>
      <c r="AL1555" s="232"/>
      <c r="AM1555" s="232"/>
      <c r="AN1555" s="232"/>
      <c r="AO1555" s="231"/>
      <c r="AP1555" s="231"/>
      <c r="AQ1555" s="227"/>
      <c r="AR1555" s="231"/>
      <c r="AS1555" s="227"/>
      <c r="AT1555" s="227"/>
      <c r="AU1555" s="227"/>
      <c r="AV1555" s="227"/>
    </row>
    <row r="1556">
      <c r="A1556" s="227"/>
      <c r="B1556" s="232"/>
      <c r="C1556" s="227"/>
      <c r="D1556" s="227"/>
      <c r="E1556" s="231"/>
      <c r="F1556" s="232"/>
      <c r="G1556" s="227"/>
      <c r="H1556" s="227"/>
      <c r="I1556" s="227"/>
      <c r="J1556" s="227"/>
      <c r="K1556" s="227"/>
      <c r="L1556" s="232"/>
      <c r="M1556" s="232"/>
      <c r="N1556" s="227"/>
      <c r="O1556" s="227"/>
      <c r="P1556" s="231"/>
      <c r="Q1556" s="227"/>
      <c r="R1556" s="231"/>
      <c r="S1556" s="231"/>
      <c r="T1556" s="231"/>
      <c r="U1556" s="231"/>
      <c r="V1556" s="231"/>
      <c r="W1556" s="231"/>
      <c r="X1556" s="227"/>
      <c r="Y1556" s="232"/>
      <c r="Z1556" s="232"/>
      <c r="AA1556" s="232"/>
      <c r="AB1556" s="232"/>
      <c r="AC1556" s="227"/>
      <c r="AD1556" s="227"/>
      <c r="AE1556" s="231"/>
      <c r="AF1556" s="227"/>
      <c r="AG1556" s="232"/>
      <c r="AH1556" s="232"/>
      <c r="AI1556" s="232"/>
      <c r="AJ1556" s="232"/>
      <c r="AK1556" s="232"/>
      <c r="AL1556" s="232"/>
      <c r="AM1556" s="232"/>
      <c r="AN1556" s="232"/>
      <c r="AO1556" s="231"/>
      <c r="AP1556" s="231"/>
      <c r="AQ1556" s="227"/>
      <c r="AR1556" s="231"/>
      <c r="AS1556" s="227"/>
      <c r="AT1556" s="227"/>
      <c r="AU1556" s="227"/>
      <c r="AV1556" s="227"/>
    </row>
    <row r="1557">
      <c r="A1557" s="227"/>
      <c r="B1557" s="232"/>
      <c r="C1557" s="227"/>
      <c r="D1557" s="227"/>
      <c r="E1557" s="231"/>
      <c r="F1557" s="232"/>
      <c r="G1557" s="227"/>
      <c r="H1557" s="227"/>
      <c r="I1557" s="227"/>
      <c r="J1557" s="227"/>
      <c r="K1557" s="227"/>
      <c r="L1557" s="232"/>
      <c r="M1557" s="232"/>
      <c r="N1557" s="227"/>
      <c r="O1557" s="227"/>
      <c r="P1557" s="231"/>
      <c r="Q1557" s="227"/>
      <c r="R1557" s="231"/>
      <c r="S1557" s="231"/>
      <c r="T1557" s="231"/>
      <c r="U1557" s="231"/>
      <c r="V1557" s="231"/>
      <c r="W1557" s="231"/>
      <c r="X1557" s="227"/>
      <c r="Y1557" s="232"/>
      <c r="Z1557" s="232"/>
      <c r="AA1557" s="232"/>
      <c r="AB1557" s="232"/>
      <c r="AC1557" s="227"/>
      <c r="AD1557" s="227"/>
      <c r="AE1557" s="231"/>
      <c r="AF1557" s="227"/>
      <c r="AG1557" s="232"/>
      <c r="AH1557" s="232"/>
      <c r="AI1557" s="232"/>
      <c r="AJ1557" s="232"/>
      <c r="AK1557" s="232"/>
      <c r="AL1557" s="232"/>
      <c r="AM1557" s="232"/>
      <c r="AN1557" s="232"/>
      <c r="AO1557" s="231"/>
      <c r="AP1557" s="231"/>
      <c r="AQ1557" s="227"/>
      <c r="AR1557" s="231"/>
      <c r="AS1557" s="227"/>
      <c r="AT1557" s="227"/>
      <c r="AU1557" s="227"/>
      <c r="AV1557" s="227"/>
    </row>
    <row r="1558">
      <c r="A1558" s="227"/>
      <c r="B1558" s="232"/>
      <c r="C1558" s="227"/>
      <c r="D1558" s="227"/>
      <c r="E1558" s="231"/>
      <c r="F1558" s="232"/>
      <c r="G1558" s="227"/>
      <c r="H1558" s="227"/>
      <c r="I1558" s="227"/>
      <c r="J1558" s="227"/>
      <c r="K1558" s="227"/>
      <c r="L1558" s="232"/>
      <c r="M1558" s="232"/>
      <c r="N1558" s="227"/>
      <c r="O1558" s="227"/>
      <c r="P1558" s="231"/>
      <c r="Q1558" s="227"/>
      <c r="R1558" s="231"/>
      <c r="S1558" s="231"/>
      <c r="T1558" s="231"/>
      <c r="U1558" s="231"/>
      <c r="V1558" s="231"/>
      <c r="W1558" s="231"/>
      <c r="X1558" s="227"/>
      <c r="Y1558" s="232"/>
      <c r="Z1558" s="232"/>
      <c r="AA1558" s="232"/>
      <c r="AB1558" s="232"/>
      <c r="AC1558" s="227"/>
      <c r="AD1558" s="227"/>
      <c r="AE1558" s="231"/>
      <c r="AF1558" s="227"/>
      <c r="AG1558" s="232"/>
      <c r="AH1558" s="232"/>
      <c r="AI1558" s="232"/>
      <c r="AJ1558" s="232"/>
      <c r="AK1558" s="232"/>
      <c r="AL1558" s="232"/>
      <c r="AM1558" s="232"/>
      <c r="AN1558" s="232"/>
      <c r="AO1558" s="231"/>
      <c r="AP1558" s="231"/>
      <c r="AQ1558" s="227"/>
      <c r="AR1558" s="231"/>
      <c r="AS1558" s="227"/>
      <c r="AT1558" s="227"/>
      <c r="AU1558" s="227"/>
      <c r="AV1558" s="227"/>
    </row>
    <row r="1559">
      <c r="A1559" s="227"/>
      <c r="B1559" s="232"/>
      <c r="C1559" s="227"/>
      <c r="D1559" s="227"/>
      <c r="E1559" s="231"/>
      <c r="F1559" s="232"/>
      <c r="G1559" s="227"/>
      <c r="H1559" s="227"/>
      <c r="I1559" s="227"/>
      <c r="J1559" s="227"/>
      <c r="K1559" s="227"/>
      <c r="L1559" s="232"/>
      <c r="M1559" s="232"/>
      <c r="N1559" s="227"/>
      <c r="O1559" s="227"/>
      <c r="P1559" s="231"/>
      <c r="Q1559" s="227"/>
      <c r="R1559" s="231"/>
      <c r="S1559" s="231"/>
      <c r="T1559" s="231"/>
      <c r="U1559" s="231"/>
      <c r="V1559" s="231"/>
      <c r="W1559" s="231"/>
      <c r="X1559" s="227"/>
      <c r="Y1559" s="232"/>
      <c r="Z1559" s="232"/>
      <c r="AA1559" s="232"/>
      <c r="AB1559" s="232"/>
      <c r="AC1559" s="227"/>
      <c r="AD1559" s="227"/>
      <c r="AE1559" s="231"/>
      <c r="AF1559" s="227"/>
      <c r="AG1559" s="232"/>
      <c r="AH1559" s="232"/>
      <c r="AI1559" s="232"/>
      <c r="AJ1559" s="232"/>
      <c r="AK1559" s="232"/>
      <c r="AL1559" s="232"/>
      <c r="AM1559" s="232"/>
      <c r="AN1559" s="232"/>
      <c r="AO1559" s="231"/>
      <c r="AP1559" s="231"/>
      <c r="AQ1559" s="227"/>
      <c r="AR1559" s="231"/>
      <c r="AS1559" s="227"/>
      <c r="AT1559" s="227"/>
      <c r="AU1559" s="227"/>
      <c r="AV1559" s="227"/>
    </row>
    <row r="1560">
      <c r="A1560" s="227"/>
      <c r="B1560" s="232"/>
      <c r="C1560" s="227"/>
      <c r="D1560" s="227"/>
      <c r="E1560" s="231"/>
      <c r="F1560" s="232"/>
      <c r="G1560" s="227"/>
      <c r="H1560" s="227"/>
      <c r="I1560" s="227"/>
      <c r="J1560" s="227"/>
      <c r="K1560" s="227"/>
      <c r="L1560" s="232"/>
      <c r="M1560" s="232"/>
      <c r="N1560" s="227"/>
      <c r="O1560" s="227"/>
      <c r="P1560" s="231"/>
      <c r="Q1560" s="227"/>
      <c r="R1560" s="231"/>
      <c r="S1560" s="231"/>
      <c r="T1560" s="231"/>
      <c r="U1560" s="231"/>
      <c r="V1560" s="231"/>
      <c r="W1560" s="231"/>
      <c r="X1560" s="227"/>
      <c r="Y1560" s="232"/>
      <c r="Z1560" s="232"/>
      <c r="AA1560" s="232"/>
      <c r="AB1560" s="232"/>
      <c r="AC1560" s="227"/>
      <c r="AD1560" s="227"/>
      <c r="AE1560" s="231"/>
      <c r="AF1560" s="227"/>
      <c r="AG1560" s="232"/>
      <c r="AH1560" s="232"/>
      <c r="AI1560" s="232"/>
      <c r="AJ1560" s="232"/>
      <c r="AK1560" s="232"/>
      <c r="AL1560" s="232"/>
      <c r="AM1560" s="232"/>
      <c r="AN1560" s="232"/>
      <c r="AO1560" s="231"/>
      <c r="AP1560" s="231"/>
      <c r="AQ1560" s="227"/>
      <c r="AR1560" s="231"/>
      <c r="AS1560" s="227"/>
      <c r="AT1560" s="227"/>
      <c r="AU1560" s="227"/>
      <c r="AV1560" s="227"/>
    </row>
    <row r="1561">
      <c r="A1561" s="227"/>
      <c r="B1561" s="232"/>
      <c r="C1561" s="227"/>
      <c r="D1561" s="227"/>
      <c r="E1561" s="231"/>
      <c r="F1561" s="232"/>
      <c r="G1561" s="227"/>
      <c r="H1561" s="227"/>
      <c r="I1561" s="227"/>
      <c r="J1561" s="227"/>
      <c r="K1561" s="227"/>
      <c r="L1561" s="232"/>
      <c r="M1561" s="232"/>
      <c r="N1561" s="227"/>
      <c r="O1561" s="227"/>
      <c r="P1561" s="231"/>
      <c r="Q1561" s="227"/>
      <c r="R1561" s="231"/>
      <c r="S1561" s="231"/>
      <c r="T1561" s="231"/>
      <c r="U1561" s="231"/>
      <c r="V1561" s="231"/>
      <c r="W1561" s="231"/>
      <c r="X1561" s="227"/>
      <c r="Y1561" s="232"/>
      <c r="Z1561" s="232"/>
      <c r="AA1561" s="232"/>
      <c r="AB1561" s="232"/>
      <c r="AC1561" s="227"/>
      <c r="AD1561" s="227"/>
      <c r="AE1561" s="231"/>
      <c r="AF1561" s="227"/>
      <c r="AG1561" s="232"/>
      <c r="AH1561" s="232"/>
      <c r="AI1561" s="232"/>
      <c r="AJ1561" s="232"/>
      <c r="AK1561" s="232"/>
      <c r="AL1561" s="232"/>
      <c r="AM1561" s="232"/>
      <c r="AN1561" s="232"/>
      <c r="AO1561" s="231"/>
      <c r="AP1561" s="231"/>
      <c r="AQ1561" s="227"/>
      <c r="AR1561" s="231"/>
      <c r="AS1561" s="227"/>
      <c r="AT1561" s="227"/>
      <c r="AU1561" s="227"/>
      <c r="AV1561" s="227"/>
    </row>
    <row r="1562">
      <c r="A1562" s="227"/>
      <c r="B1562" s="232"/>
      <c r="C1562" s="227"/>
      <c r="D1562" s="227"/>
      <c r="E1562" s="231"/>
      <c r="F1562" s="232"/>
      <c r="G1562" s="227"/>
      <c r="H1562" s="227"/>
      <c r="I1562" s="227"/>
      <c r="J1562" s="227"/>
      <c r="K1562" s="227"/>
      <c r="L1562" s="232"/>
      <c r="M1562" s="232"/>
      <c r="N1562" s="227"/>
      <c r="O1562" s="227"/>
      <c r="P1562" s="231"/>
      <c r="Q1562" s="227"/>
      <c r="R1562" s="231"/>
      <c r="S1562" s="231"/>
      <c r="T1562" s="231"/>
      <c r="U1562" s="231"/>
      <c r="V1562" s="231"/>
      <c r="W1562" s="231"/>
      <c r="X1562" s="227"/>
      <c r="Y1562" s="232"/>
      <c r="Z1562" s="232"/>
      <c r="AA1562" s="232"/>
      <c r="AB1562" s="232"/>
      <c r="AC1562" s="227"/>
      <c r="AD1562" s="227"/>
      <c r="AE1562" s="231"/>
      <c r="AF1562" s="227"/>
      <c r="AG1562" s="232"/>
      <c r="AH1562" s="232"/>
      <c r="AI1562" s="232"/>
      <c r="AJ1562" s="232"/>
      <c r="AK1562" s="232"/>
      <c r="AL1562" s="232"/>
      <c r="AM1562" s="232"/>
      <c r="AN1562" s="232"/>
      <c r="AO1562" s="231"/>
      <c r="AP1562" s="231"/>
      <c r="AQ1562" s="227"/>
      <c r="AR1562" s="231"/>
      <c r="AS1562" s="227"/>
      <c r="AT1562" s="227"/>
      <c r="AU1562" s="227"/>
      <c r="AV1562" s="227"/>
    </row>
    <row r="1563">
      <c r="A1563" s="227"/>
      <c r="B1563" s="232"/>
      <c r="C1563" s="227"/>
      <c r="D1563" s="227"/>
      <c r="E1563" s="231"/>
      <c r="F1563" s="232"/>
      <c r="G1563" s="227"/>
      <c r="H1563" s="227"/>
      <c r="I1563" s="227"/>
      <c r="J1563" s="227"/>
      <c r="K1563" s="227"/>
      <c r="L1563" s="232"/>
      <c r="M1563" s="232"/>
      <c r="N1563" s="227"/>
      <c r="O1563" s="227"/>
      <c r="P1563" s="231"/>
      <c r="Q1563" s="227"/>
      <c r="R1563" s="231"/>
      <c r="S1563" s="231"/>
      <c r="T1563" s="231"/>
      <c r="U1563" s="231"/>
      <c r="V1563" s="231"/>
      <c r="W1563" s="231"/>
      <c r="X1563" s="227"/>
      <c r="Y1563" s="232"/>
      <c r="Z1563" s="232"/>
      <c r="AA1563" s="232"/>
      <c r="AB1563" s="232"/>
      <c r="AC1563" s="227"/>
      <c r="AD1563" s="227"/>
      <c r="AE1563" s="231"/>
      <c r="AF1563" s="227"/>
      <c r="AG1563" s="232"/>
      <c r="AH1563" s="232"/>
      <c r="AI1563" s="232"/>
      <c r="AJ1563" s="232"/>
      <c r="AK1563" s="232"/>
      <c r="AL1563" s="232"/>
      <c r="AM1563" s="232"/>
      <c r="AN1563" s="232"/>
      <c r="AO1563" s="231"/>
      <c r="AP1563" s="231"/>
      <c r="AQ1563" s="227"/>
      <c r="AR1563" s="231"/>
      <c r="AS1563" s="227"/>
      <c r="AT1563" s="227"/>
      <c r="AU1563" s="227"/>
      <c r="AV1563" s="227"/>
    </row>
    <row r="1564">
      <c r="A1564" s="227"/>
      <c r="B1564" s="232"/>
      <c r="C1564" s="227"/>
      <c r="D1564" s="227"/>
      <c r="E1564" s="231"/>
      <c r="F1564" s="232"/>
      <c r="G1564" s="227"/>
      <c r="H1564" s="227"/>
      <c r="I1564" s="227"/>
      <c r="J1564" s="227"/>
      <c r="K1564" s="227"/>
      <c r="L1564" s="232"/>
      <c r="M1564" s="232"/>
      <c r="N1564" s="227"/>
      <c r="O1564" s="227"/>
      <c r="P1564" s="231"/>
      <c r="Q1564" s="227"/>
      <c r="R1564" s="231"/>
      <c r="S1564" s="231"/>
      <c r="T1564" s="231"/>
      <c r="U1564" s="231"/>
      <c r="V1564" s="231"/>
      <c r="W1564" s="231"/>
      <c r="X1564" s="227"/>
      <c r="Y1564" s="232"/>
      <c r="Z1564" s="232"/>
      <c r="AA1564" s="232"/>
      <c r="AB1564" s="232"/>
      <c r="AC1564" s="227"/>
      <c r="AD1564" s="227"/>
      <c r="AE1564" s="231"/>
      <c r="AF1564" s="227"/>
      <c r="AG1564" s="232"/>
      <c r="AH1564" s="232"/>
      <c r="AI1564" s="232"/>
      <c r="AJ1564" s="232"/>
      <c r="AK1564" s="232"/>
      <c r="AL1564" s="232"/>
      <c r="AM1564" s="232"/>
      <c r="AN1564" s="232"/>
      <c r="AO1564" s="231"/>
      <c r="AP1564" s="231"/>
      <c r="AQ1564" s="227"/>
      <c r="AR1564" s="231"/>
      <c r="AS1564" s="227"/>
      <c r="AT1564" s="227"/>
      <c r="AU1564" s="227"/>
      <c r="AV1564" s="227"/>
    </row>
    <row r="1565">
      <c r="A1565" s="227"/>
      <c r="B1565" s="232"/>
      <c r="C1565" s="227"/>
      <c r="D1565" s="227"/>
      <c r="E1565" s="231"/>
      <c r="F1565" s="232"/>
      <c r="G1565" s="227"/>
      <c r="H1565" s="227"/>
      <c r="I1565" s="227"/>
      <c r="J1565" s="227"/>
      <c r="K1565" s="227"/>
      <c r="L1565" s="232"/>
      <c r="M1565" s="232"/>
      <c r="N1565" s="227"/>
      <c r="O1565" s="227"/>
      <c r="P1565" s="231"/>
      <c r="Q1565" s="227"/>
      <c r="R1565" s="231"/>
      <c r="S1565" s="231"/>
      <c r="T1565" s="231"/>
      <c r="U1565" s="231"/>
      <c r="V1565" s="231"/>
      <c r="W1565" s="231"/>
      <c r="X1565" s="227"/>
      <c r="Y1565" s="232"/>
      <c r="Z1565" s="232"/>
      <c r="AA1565" s="232"/>
      <c r="AB1565" s="232"/>
      <c r="AC1565" s="227"/>
      <c r="AD1565" s="227"/>
      <c r="AE1565" s="231"/>
      <c r="AF1565" s="227"/>
      <c r="AG1565" s="232"/>
      <c r="AH1565" s="232"/>
      <c r="AI1565" s="232"/>
      <c r="AJ1565" s="232"/>
      <c r="AK1565" s="232"/>
      <c r="AL1565" s="232"/>
      <c r="AM1565" s="232"/>
      <c r="AN1565" s="232"/>
      <c r="AO1565" s="231"/>
      <c r="AP1565" s="231"/>
      <c r="AQ1565" s="227"/>
      <c r="AR1565" s="231"/>
      <c r="AS1565" s="227"/>
      <c r="AT1565" s="227"/>
      <c r="AU1565" s="227"/>
      <c r="AV1565" s="227"/>
    </row>
    <row r="1566">
      <c r="A1566" s="227"/>
      <c r="B1566" s="232"/>
      <c r="C1566" s="227"/>
      <c r="D1566" s="227"/>
      <c r="E1566" s="231"/>
      <c r="F1566" s="232"/>
      <c r="G1566" s="227"/>
      <c r="H1566" s="227"/>
      <c r="I1566" s="227"/>
      <c r="J1566" s="227"/>
      <c r="K1566" s="227"/>
      <c r="L1566" s="232"/>
      <c r="M1566" s="232"/>
      <c r="N1566" s="227"/>
      <c r="O1566" s="227"/>
      <c r="P1566" s="231"/>
      <c r="Q1566" s="227"/>
      <c r="R1566" s="231"/>
      <c r="S1566" s="231"/>
      <c r="T1566" s="231"/>
      <c r="U1566" s="231"/>
      <c r="V1566" s="231"/>
      <c r="W1566" s="231"/>
      <c r="X1566" s="227"/>
      <c r="Y1566" s="232"/>
      <c r="Z1566" s="232"/>
      <c r="AA1566" s="232"/>
      <c r="AB1566" s="232"/>
      <c r="AC1566" s="227"/>
      <c r="AD1566" s="227"/>
      <c r="AE1566" s="231"/>
      <c r="AF1566" s="227"/>
      <c r="AG1566" s="232"/>
      <c r="AH1566" s="232"/>
      <c r="AI1566" s="232"/>
      <c r="AJ1566" s="232"/>
      <c r="AK1566" s="232"/>
      <c r="AL1566" s="232"/>
      <c r="AM1566" s="232"/>
      <c r="AN1566" s="232"/>
      <c r="AO1566" s="231"/>
      <c r="AP1566" s="231"/>
      <c r="AQ1566" s="227"/>
      <c r="AR1566" s="231"/>
      <c r="AS1566" s="227"/>
      <c r="AT1566" s="227"/>
      <c r="AU1566" s="227"/>
      <c r="AV1566" s="227"/>
    </row>
    <row r="1567">
      <c r="A1567" s="227"/>
      <c r="B1567" s="232"/>
      <c r="C1567" s="227"/>
      <c r="D1567" s="227"/>
      <c r="E1567" s="231"/>
      <c r="F1567" s="232"/>
      <c r="G1567" s="227"/>
      <c r="H1567" s="227"/>
      <c r="I1567" s="227"/>
      <c r="J1567" s="227"/>
      <c r="K1567" s="227"/>
      <c r="L1567" s="232"/>
      <c r="M1567" s="232"/>
      <c r="N1567" s="227"/>
      <c r="O1567" s="227"/>
      <c r="P1567" s="231"/>
      <c r="Q1567" s="227"/>
      <c r="R1567" s="231"/>
      <c r="S1567" s="231"/>
      <c r="T1567" s="231"/>
      <c r="U1567" s="231"/>
      <c r="V1567" s="231"/>
      <c r="W1567" s="231"/>
      <c r="X1567" s="227"/>
      <c r="Y1567" s="232"/>
      <c r="Z1567" s="232"/>
      <c r="AA1567" s="232"/>
      <c r="AB1567" s="232"/>
      <c r="AC1567" s="227"/>
      <c r="AD1567" s="227"/>
      <c r="AE1567" s="231"/>
      <c r="AF1567" s="227"/>
      <c r="AG1567" s="232"/>
      <c r="AH1567" s="232"/>
      <c r="AI1567" s="232"/>
      <c r="AJ1567" s="232"/>
      <c r="AK1567" s="232"/>
      <c r="AL1567" s="232"/>
      <c r="AM1567" s="232"/>
      <c r="AN1567" s="232"/>
      <c r="AO1567" s="231"/>
      <c r="AP1567" s="231"/>
      <c r="AQ1567" s="227"/>
      <c r="AR1567" s="231"/>
      <c r="AS1567" s="227"/>
      <c r="AT1567" s="227"/>
      <c r="AU1567" s="227"/>
      <c r="AV1567" s="227"/>
    </row>
    <row r="1568">
      <c r="A1568" s="227"/>
      <c r="B1568" s="232"/>
      <c r="C1568" s="227"/>
      <c r="D1568" s="227"/>
      <c r="E1568" s="231"/>
      <c r="F1568" s="232"/>
      <c r="G1568" s="227"/>
      <c r="H1568" s="227"/>
      <c r="I1568" s="227"/>
      <c r="J1568" s="227"/>
      <c r="K1568" s="227"/>
      <c r="L1568" s="232"/>
      <c r="M1568" s="232"/>
      <c r="N1568" s="227"/>
      <c r="O1568" s="227"/>
      <c r="P1568" s="231"/>
      <c r="Q1568" s="227"/>
      <c r="R1568" s="231"/>
      <c r="S1568" s="231"/>
      <c r="T1568" s="231"/>
      <c r="U1568" s="231"/>
      <c r="V1568" s="231"/>
      <c r="W1568" s="231"/>
      <c r="X1568" s="227"/>
      <c r="Y1568" s="232"/>
      <c r="Z1568" s="232"/>
      <c r="AA1568" s="232"/>
      <c r="AB1568" s="232"/>
      <c r="AC1568" s="227"/>
      <c r="AD1568" s="227"/>
      <c r="AE1568" s="231"/>
      <c r="AF1568" s="227"/>
      <c r="AG1568" s="232"/>
      <c r="AH1568" s="232"/>
      <c r="AI1568" s="232"/>
      <c r="AJ1568" s="232"/>
      <c r="AK1568" s="232"/>
      <c r="AL1568" s="232"/>
      <c r="AM1568" s="232"/>
      <c r="AN1568" s="232"/>
      <c r="AO1568" s="231"/>
      <c r="AP1568" s="231"/>
      <c r="AQ1568" s="227"/>
      <c r="AR1568" s="231"/>
      <c r="AS1568" s="227"/>
      <c r="AT1568" s="227"/>
      <c r="AU1568" s="227"/>
      <c r="AV1568" s="227"/>
    </row>
    <row r="1569">
      <c r="A1569" s="227"/>
      <c r="B1569" s="232"/>
      <c r="C1569" s="227"/>
      <c r="D1569" s="227"/>
      <c r="E1569" s="231"/>
      <c r="F1569" s="232"/>
      <c r="G1569" s="227"/>
      <c r="H1569" s="227"/>
      <c r="I1569" s="227"/>
      <c r="J1569" s="227"/>
      <c r="K1569" s="227"/>
      <c r="L1569" s="232"/>
      <c r="M1569" s="232"/>
      <c r="N1569" s="227"/>
      <c r="O1569" s="227"/>
      <c r="P1569" s="231"/>
      <c r="Q1569" s="227"/>
      <c r="R1569" s="231"/>
      <c r="S1569" s="231"/>
      <c r="T1569" s="231"/>
      <c r="U1569" s="231"/>
      <c r="V1569" s="231"/>
      <c r="W1569" s="231"/>
      <c r="X1569" s="227"/>
      <c r="Y1569" s="232"/>
      <c r="Z1569" s="232"/>
      <c r="AA1569" s="232"/>
      <c r="AB1569" s="232"/>
      <c r="AC1569" s="227"/>
      <c r="AD1569" s="227"/>
      <c r="AE1569" s="231"/>
      <c r="AF1569" s="227"/>
      <c r="AG1569" s="232"/>
      <c r="AH1569" s="232"/>
      <c r="AI1569" s="232"/>
      <c r="AJ1569" s="232"/>
      <c r="AK1569" s="232"/>
      <c r="AL1569" s="232"/>
      <c r="AM1569" s="232"/>
      <c r="AN1569" s="232"/>
      <c r="AO1569" s="231"/>
      <c r="AP1569" s="231"/>
      <c r="AQ1569" s="227"/>
      <c r="AR1569" s="231"/>
      <c r="AS1569" s="227"/>
      <c r="AT1569" s="227"/>
      <c r="AU1569" s="227"/>
      <c r="AV1569" s="227"/>
    </row>
    <row r="1570">
      <c r="A1570" s="227"/>
      <c r="B1570" s="232"/>
      <c r="C1570" s="227"/>
      <c r="D1570" s="227"/>
      <c r="E1570" s="231"/>
      <c r="F1570" s="232"/>
      <c r="G1570" s="227"/>
      <c r="H1570" s="227"/>
      <c r="I1570" s="227"/>
      <c r="J1570" s="227"/>
      <c r="K1570" s="227"/>
      <c r="L1570" s="232"/>
      <c r="M1570" s="232"/>
      <c r="N1570" s="227"/>
      <c r="O1570" s="227"/>
      <c r="P1570" s="231"/>
      <c r="Q1570" s="227"/>
      <c r="R1570" s="231"/>
      <c r="S1570" s="231"/>
      <c r="T1570" s="231"/>
      <c r="U1570" s="231"/>
      <c r="V1570" s="231"/>
      <c r="W1570" s="231"/>
      <c r="X1570" s="227"/>
      <c r="Y1570" s="232"/>
      <c r="Z1570" s="232"/>
      <c r="AA1570" s="232"/>
      <c r="AB1570" s="232"/>
      <c r="AC1570" s="227"/>
      <c r="AD1570" s="227"/>
      <c r="AE1570" s="231"/>
      <c r="AF1570" s="227"/>
      <c r="AG1570" s="232"/>
      <c r="AH1570" s="232"/>
      <c r="AI1570" s="232"/>
      <c r="AJ1570" s="232"/>
      <c r="AK1570" s="232"/>
      <c r="AL1570" s="232"/>
      <c r="AM1570" s="232"/>
      <c r="AN1570" s="232"/>
      <c r="AO1570" s="231"/>
      <c r="AP1570" s="231"/>
      <c r="AQ1570" s="227"/>
      <c r="AR1570" s="231"/>
      <c r="AS1570" s="227"/>
      <c r="AT1570" s="227"/>
      <c r="AU1570" s="227"/>
      <c r="AV1570" s="227"/>
    </row>
    <row r="1571">
      <c r="A1571" s="227"/>
      <c r="B1571" s="232"/>
      <c r="C1571" s="227"/>
      <c r="D1571" s="227"/>
      <c r="E1571" s="231"/>
      <c r="F1571" s="232"/>
      <c r="G1571" s="227"/>
      <c r="H1571" s="227"/>
      <c r="I1571" s="227"/>
      <c r="J1571" s="227"/>
      <c r="K1571" s="227"/>
      <c r="L1571" s="232"/>
      <c r="M1571" s="232"/>
      <c r="N1571" s="227"/>
      <c r="O1571" s="227"/>
      <c r="P1571" s="231"/>
      <c r="Q1571" s="227"/>
      <c r="R1571" s="231"/>
      <c r="S1571" s="231"/>
      <c r="T1571" s="231"/>
      <c r="U1571" s="231"/>
      <c r="V1571" s="231"/>
      <c r="W1571" s="231"/>
      <c r="X1571" s="227"/>
      <c r="Y1571" s="232"/>
      <c r="Z1571" s="232"/>
      <c r="AA1571" s="232"/>
      <c r="AB1571" s="232"/>
      <c r="AC1571" s="227"/>
      <c r="AD1571" s="227"/>
      <c r="AE1571" s="231"/>
      <c r="AF1571" s="227"/>
      <c r="AG1571" s="232"/>
      <c r="AH1571" s="232"/>
      <c r="AI1571" s="232"/>
      <c r="AJ1571" s="232"/>
      <c r="AK1571" s="232"/>
      <c r="AL1571" s="232"/>
      <c r="AM1571" s="232"/>
      <c r="AN1571" s="232"/>
      <c r="AO1571" s="231"/>
      <c r="AP1571" s="231"/>
      <c r="AQ1571" s="227"/>
      <c r="AR1571" s="231"/>
      <c r="AS1571" s="227"/>
      <c r="AT1571" s="227"/>
      <c r="AU1571" s="227"/>
      <c r="AV1571" s="227"/>
    </row>
    <row r="1572">
      <c r="A1572" s="227"/>
      <c r="B1572" s="232"/>
      <c r="C1572" s="227"/>
      <c r="D1572" s="227"/>
      <c r="E1572" s="231"/>
      <c r="F1572" s="232"/>
      <c r="G1572" s="227"/>
      <c r="H1572" s="227"/>
      <c r="I1572" s="227"/>
      <c r="J1572" s="227"/>
      <c r="K1572" s="227"/>
      <c r="L1572" s="232"/>
      <c r="M1572" s="232"/>
      <c r="N1572" s="227"/>
      <c r="O1572" s="227"/>
      <c r="P1572" s="231"/>
      <c r="Q1572" s="227"/>
      <c r="R1572" s="231"/>
      <c r="S1572" s="231"/>
      <c r="T1572" s="231"/>
      <c r="U1572" s="231"/>
      <c r="V1572" s="231"/>
      <c r="W1572" s="231"/>
      <c r="X1572" s="227"/>
      <c r="Y1572" s="232"/>
      <c r="Z1572" s="232"/>
      <c r="AA1572" s="232"/>
      <c r="AB1572" s="232"/>
      <c r="AC1572" s="227"/>
      <c r="AD1572" s="227"/>
      <c r="AE1572" s="231"/>
      <c r="AF1572" s="227"/>
      <c r="AG1572" s="232"/>
      <c r="AH1572" s="232"/>
      <c r="AI1572" s="232"/>
      <c r="AJ1572" s="232"/>
      <c r="AK1572" s="232"/>
      <c r="AL1572" s="232"/>
      <c r="AM1572" s="232"/>
      <c r="AN1572" s="232"/>
      <c r="AO1572" s="231"/>
      <c r="AP1572" s="231"/>
      <c r="AQ1572" s="227"/>
      <c r="AR1572" s="231"/>
      <c r="AS1572" s="227"/>
      <c r="AT1572" s="227"/>
      <c r="AU1572" s="227"/>
      <c r="AV1572" s="227"/>
    </row>
    <row r="1573">
      <c r="A1573" s="227"/>
      <c r="B1573" s="232"/>
      <c r="C1573" s="227"/>
      <c r="D1573" s="227"/>
      <c r="E1573" s="231"/>
      <c r="F1573" s="232"/>
      <c r="G1573" s="227"/>
      <c r="H1573" s="227"/>
      <c r="I1573" s="227"/>
      <c r="J1573" s="227"/>
      <c r="K1573" s="227"/>
      <c r="L1573" s="232"/>
      <c r="M1573" s="232"/>
      <c r="N1573" s="227"/>
      <c r="O1573" s="227"/>
      <c r="P1573" s="231"/>
      <c r="Q1573" s="227"/>
      <c r="R1573" s="231"/>
      <c r="S1573" s="231"/>
      <c r="T1573" s="231"/>
      <c r="U1573" s="231"/>
      <c r="V1573" s="231"/>
      <c r="W1573" s="231"/>
      <c r="X1573" s="227"/>
      <c r="Y1573" s="232"/>
      <c r="Z1573" s="232"/>
      <c r="AA1573" s="232"/>
      <c r="AB1573" s="232"/>
      <c r="AC1573" s="227"/>
      <c r="AD1573" s="227"/>
      <c r="AE1573" s="231"/>
      <c r="AF1573" s="227"/>
      <c r="AG1573" s="232"/>
      <c r="AH1573" s="232"/>
      <c r="AI1573" s="232"/>
      <c r="AJ1573" s="232"/>
      <c r="AK1573" s="232"/>
      <c r="AL1573" s="232"/>
      <c r="AM1573" s="232"/>
      <c r="AN1573" s="232"/>
      <c r="AO1573" s="231"/>
      <c r="AP1573" s="231"/>
      <c r="AQ1573" s="227"/>
      <c r="AR1573" s="231"/>
      <c r="AS1573" s="227"/>
      <c r="AT1573" s="227"/>
      <c r="AU1573" s="227"/>
      <c r="AV1573" s="227"/>
    </row>
    <row r="1574">
      <c r="A1574" s="227"/>
      <c r="B1574" s="232"/>
      <c r="C1574" s="227"/>
      <c r="D1574" s="227"/>
      <c r="E1574" s="231"/>
      <c r="F1574" s="232"/>
      <c r="G1574" s="227"/>
      <c r="H1574" s="227"/>
      <c r="I1574" s="227"/>
      <c r="J1574" s="227"/>
      <c r="K1574" s="227"/>
      <c r="L1574" s="232"/>
      <c r="M1574" s="232"/>
      <c r="N1574" s="227"/>
      <c r="O1574" s="227"/>
      <c r="P1574" s="231"/>
      <c r="Q1574" s="227"/>
      <c r="R1574" s="231"/>
      <c r="S1574" s="231"/>
      <c r="T1574" s="231"/>
      <c r="U1574" s="231"/>
      <c r="V1574" s="231"/>
      <c r="W1574" s="231"/>
      <c r="X1574" s="227"/>
      <c r="Y1574" s="232"/>
      <c r="Z1574" s="232"/>
      <c r="AA1574" s="232"/>
      <c r="AB1574" s="232"/>
      <c r="AC1574" s="227"/>
      <c r="AD1574" s="227"/>
      <c r="AE1574" s="231"/>
      <c r="AF1574" s="227"/>
      <c r="AG1574" s="232"/>
      <c r="AH1574" s="232"/>
      <c r="AI1574" s="232"/>
      <c r="AJ1574" s="232"/>
      <c r="AK1574" s="232"/>
      <c r="AL1574" s="232"/>
      <c r="AM1574" s="232"/>
      <c r="AN1574" s="232"/>
      <c r="AO1574" s="231"/>
      <c r="AP1574" s="231"/>
      <c r="AQ1574" s="227"/>
      <c r="AR1574" s="231"/>
      <c r="AS1574" s="227"/>
      <c r="AT1574" s="227"/>
      <c r="AU1574" s="227"/>
      <c r="AV1574" s="227"/>
    </row>
    <row r="1575">
      <c r="A1575" s="227"/>
      <c r="B1575" s="232"/>
      <c r="C1575" s="227"/>
      <c r="D1575" s="227"/>
      <c r="E1575" s="231"/>
      <c r="F1575" s="232"/>
      <c r="G1575" s="227"/>
      <c r="H1575" s="227"/>
      <c r="I1575" s="227"/>
      <c r="J1575" s="227"/>
      <c r="K1575" s="227"/>
      <c r="L1575" s="232"/>
      <c r="M1575" s="232"/>
      <c r="N1575" s="227"/>
      <c r="O1575" s="227"/>
      <c r="P1575" s="231"/>
      <c r="Q1575" s="227"/>
      <c r="R1575" s="231"/>
      <c r="S1575" s="231"/>
      <c r="T1575" s="231"/>
      <c r="U1575" s="231"/>
      <c r="V1575" s="231"/>
      <c r="W1575" s="231"/>
      <c r="X1575" s="227"/>
      <c r="Y1575" s="232"/>
      <c r="Z1575" s="232"/>
      <c r="AA1575" s="232"/>
      <c r="AB1575" s="232"/>
      <c r="AC1575" s="227"/>
      <c r="AD1575" s="227"/>
      <c r="AE1575" s="231"/>
      <c r="AF1575" s="227"/>
      <c r="AG1575" s="232"/>
      <c r="AH1575" s="232"/>
      <c r="AI1575" s="232"/>
      <c r="AJ1575" s="232"/>
      <c r="AK1575" s="232"/>
      <c r="AL1575" s="232"/>
      <c r="AM1575" s="232"/>
      <c r="AN1575" s="232"/>
      <c r="AO1575" s="231"/>
      <c r="AP1575" s="231"/>
      <c r="AQ1575" s="227"/>
      <c r="AR1575" s="231"/>
      <c r="AS1575" s="227"/>
      <c r="AT1575" s="227"/>
      <c r="AU1575" s="227"/>
      <c r="AV1575" s="227"/>
    </row>
    <row r="1576">
      <c r="A1576" s="227"/>
      <c r="B1576" s="232"/>
      <c r="C1576" s="227"/>
      <c r="D1576" s="227"/>
      <c r="E1576" s="231"/>
      <c r="F1576" s="232"/>
      <c r="G1576" s="227"/>
      <c r="H1576" s="227"/>
      <c r="I1576" s="227"/>
      <c r="J1576" s="227"/>
      <c r="K1576" s="227"/>
      <c r="L1576" s="232"/>
      <c r="M1576" s="232"/>
      <c r="N1576" s="227"/>
      <c r="O1576" s="227"/>
      <c r="P1576" s="231"/>
      <c r="Q1576" s="227"/>
      <c r="R1576" s="231"/>
      <c r="S1576" s="231"/>
      <c r="T1576" s="231"/>
      <c r="U1576" s="231"/>
      <c r="V1576" s="231"/>
      <c r="W1576" s="231"/>
      <c r="X1576" s="227"/>
      <c r="Y1576" s="232"/>
      <c r="Z1576" s="232"/>
      <c r="AA1576" s="232"/>
      <c r="AB1576" s="232"/>
      <c r="AC1576" s="227"/>
      <c r="AD1576" s="227"/>
      <c r="AE1576" s="231"/>
      <c r="AF1576" s="227"/>
      <c r="AG1576" s="232"/>
      <c r="AH1576" s="232"/>
      <c r="AI1576" s="232"/>
      <c r="AJ1576" s="232"/>
      <c r="AK1576" s="232"/>
      <c r="AL1576" s="232"/>
      <c r="AM1576" s="232"/>
      <c r="AN1576" s="232"/>
      <c r="AO1576" s="231"/>
      <c r="AP1576" s="231"/>
      <c r="AQ1576" s="227"/>
      <c r="AR1576" s="231"/>
      <c r="AS1576" s="227"/>
      <c r="AT1576" s="227"/>
      <c r="AU1576" s="227"/>
      <c r="AV1576" s="227"/>
    </row>
    <row r="1577">
      <c r="A1577" s="227"/>
      <c r="B1577" s="232"/>
      <c r="C1577" s="227"/>
      <c r="D1577" s="227"/>
      <c r="E1577" s="231"/>
      <c r="F1577" s="232"/>
      <c r="G1577" s="227"/>
      <c r="H1577" s="227"/>
      <c r="I1577" s="227"/>
      <c r="J1577" s="227"/>
      <c r="K1577" s="227"/>
      <c r="L1577" s="232"/>
      <c r="M1577" s="232"/>
      <c r="N1577" s="227"/>
      <c r="O1577" s="227"/>
      <c r="P1577" s="231"/>
      <c r="Q1577" s="227"/>
      <c r="R1577" s="231"/>
      <c r="S1577" s="231"/>
      <c r="T1577" s="231"/>
      <c r="U1577" s="231"/>
      <c r="V1577" s="231"/>
      <c r="W1577" s="231"/>
      <c r="X1577" s="227"/>
      <c r="Y1577" s="232"/>
      <c r="Z1577" s="232"/>
      <c r="AA1577" s="232"/>
      <c r="AB1577" s="232"/>
      <c r="AC1577" s="227"/>
      <c r="AD1577" s="227"/>
      <c r="AE1577" s="231"/>
      <c r="AF1577" s="227"/>
      <c r="AG1577" s="232"/>
      <c r="AH1577" s="232"/>
      <c r="AI1577" s="232"/>
      <c r="AJ1577" s="232"/>
      <c r="AK1577" s="232"/>
      <c r="AL1577" s="232"/>
      <c r="AM1577" s="232"/>
      <c r="AN1577" s="232"/>
      <c r="AO1577" s="231"/>
      <c r="AP1577" s="231"/>
      <c r="AQ1577" s="227"/>
      <c r="AR1577" s="231"/>
      <c r="AS1577" s="227"/>
      <c r="AT1577" s="227"/>
      <c r="AU1577" s="227"/>
      <c r="AV1577" s="227"/>
    </row>
    <row r="1578">
      <c r="A1578" s="227"/>
      <c r="B1578" s="232"/>
      <c r="C1578" s="227"/>
      <c r="D1578" s="227"/>
      <c r="E1578" s="231"/>
      <c r="F1578" s="232"/>
      <c r="G1578" s="227"/>
      <c r="H1578" s="227"/>
      <c r="I1578" s="227"/>
      <c r="J1578" s="227"/>
      <c r="K1578" s="227"/>
      <c r="L1578" s="232"/>
      <c r="M1578" s="232"/>
      <c r="N1578" s="227"/>
      <c r="O1578" s="227"/>
      <c r="P1578" s="231"/>
      <c r="Q1578" s="227"/>
      <c r="R1578" s="231"/>
      <c r="S1578" s="231"/>
      <c r="T1578" s="231"/>
      <c r="U1578" s="231"/>
      <c r="V1578" s="231"/>
      <c r="W1578" s="231"/>
      <c r="X1578" s="227"/>
      <c r="Y1578" s="232"/>
      <c r="Z1578" s="232"/>
      <c r="AA1578" s="232"/>
      <c r="AB1578" s="232"/>
      <c r="AC1578" s="227"/>
      <c r="AD1578" s="227"/>
      <c r="AE1578" s="231"/>
      <c r="AF1578" s="227"/>
      <c r="AG1578" s="232"/>
      <c r="AH1578" s="232"/>
      <c r="AI1578" s="232"/>
      <c r="AJ1578" s="232"/>
      <c r="AK1578" s="232"/>
      <c r="AL1578" s="232"/>
      <c r="AM1578" s="232"/>
      <c r="AN1578" s="232"/>
      <c r="AO1578" s="231"/>
      <c r="AP1578" s="231"/>
      <c r="AQ1578" s="227"/>
      <c r="AR1578" s="231"/>
      <c r="AS1578" s="227"/>
      <c r="AT1578" s="227"/>
      <c r="AU1578" s="227"/>
      <c r="AV1578" s="227"/>
    </row>
    <row r="1579">
      <c r="A1579" s="227"/>
      <c r="B1579" s="232"/>
      <c r="C1579" s="227"/>
      <c r="D1579" s="227"/>
      <c r="E1579" s="231"/>
      <c r="F1579" s="232"/>
      <c r="G1579" s="227"/>
      <c r="H1579" s="227"/>
      <c r="I1579" s="227"/>
      <c r="J1579" s="227"/>
      <c r="K1579" s="227"/>
      <c r="L1579" s="232"/>
      <c r="M1579" s="232"/>
      <c r="N1579" s="227"/>
      <c r="O1579" s="227"/>
      <c r="P1579" s="231"/>
      <c r="Q1579" s="227"/>
      <c r="R1579" s="231"/>
      <c r="S1579" s="231"/>
      <c r="T1579" s="231"/>
      <c r="U1579" s="231"/>
      <c r="V1579" s="231"/>
      <c r="W1579" s="231"/>
      <c r="X1579" s="227"/>
      <c r="Y1579" s="232"/>
      <c r="Z1579" s="232"/>
      <c r="AA1579" s="232"/>
      <c r="AB1579" s="232"/>
      <c r="AC1579" s="227"/>
      <c r="AD1579" s="227"/>
      <c r="AE1579" s="231"/>
      <c r="AF1579" s="227"/>
      <c r="AG1579" s="232"/>
      <c r="AH1579" s="232"/>
      <c r="AI1579" s="232"/>
      <c r="AJ1579" s="232"/>
      <c r="AK1579" s="232"/>
      <c r="AL1579" s="232"/>
      <c r="AM1579" s="232"/>
      <c r="AN1579" s="232"/>
      <c r="AO1579" s="231"/>
      <c r="AP1579" s="231"/>
      <c r="AQ1579" s="227"/>
      <c r="AR1579" s="231"/>
      <c r="AS1579" s="227"/>
      <c r="AT1579" s="227"/>
      <c r="AU1579" s="227"/>
      <c r="AV1579" s="227"/>
    </row>
    <row r="1580">
      <c r="A1580" s="227"/>
      <c r="B1580" s="232"/>
      <c r="C1580" s="227"/>
      <c r="D1580" s="227"/>
      <c r="E1580" s="231"/>
      <c r="F1580" s="232"/>
      <c r="G1580" s="227"/>
      <c r="H1580" s="227"/>
      <c r="I1580" s="227"/>
      <c r="J1580" s="227"/>
      <c r="K1580" s="227"/>
      <c r="L1580" s="232"/>
      <c r="M1580" s="232"/>
      <c r="N1580" s="227"/>
      <c r="O1580" s="227"/>
      <c r="P1580" s="231"/>
      <c r="Q1580" s="227"/>
      <c r="R1580" s="231"/>
      <c r="S1580" s="231"/>
      <c r="T1580" s="231"/>
      <c r="U1580" s="231"/>
      <c r="V1580" s="231"/>
      <c r="W1580" s="231"/>
      <c r="X1580" s="227"/>
      <c r="Y1580" s="232"/>
      <c r="Z1580" s="232"/>
      <c r="AA1580" s="232"/>
      <c r="AB1580" s="232"/>
      <c r="AC1580" s="227"/>
      <c r="AD1580" s="227"/>
      <c r="AE1580" s="231"/>
      <c r="AF1580" s="227"/>
      <c r="AG1580" s="232"/>
      <c r="AH1580" s="232"/>
      <c r="AI1580" s="232"/>
      <c r="AJ1580" s="232"/>
      <c r="AK1580" s="232"/>
      <c r="AL1580" s="232"/>
      <c r="AM1580" s="232"/>
      <c r="AN1580" s="232"/>
      <c r="AO1580" s="231"/>
      <c r="AP1580" s="231"/>
      <c r="AQ1580" s="227"/>
      <c r="AR1580" s="231"/>
      <c r="AS1580" s="227"/>
      <c r="AT1580" s="227"/>
      <c r="AU1580" s="227"/>
      <c r="AV1580" s="227"/>
    </row>
    <row r="1581">
      <c r="A1581" s="227"/>
      <c r="B1581" s="232"/>
      <c r="C1581" s="227"/>
      <c r="D1581" s="227"/>
      <c r="E1581" s="231"/>
      <c r="F1581" s="232"/>
      <c r="G1581" s="227"/>
      <c r="H1581" s="227"/>
      <c r="I1581" s="227"/>
      <c r="J1581" s="227"/>
      <c r="K1581" s="227"/>
      <c r="L1581" s="232"/>
      <c r="M1581" s="232"/>
      <c r="N1581" s="227"/>
      <c r="O1581" s="227"/>
      <c r="P1581" s="231"/>
      <c r="Q1581" s="227"/>
      <c r="R1581" s="231"/>
      <c r="S1581" s="231"/>
      <c r="T1581" s="231"/>
      <c r="U1581" s="231"/>
      <c r="V1581" s="231"/>
      <c r="W1581" s="231"/>
      <c r="X1581" s="227"/>
      <c r="Y1581" s="232"/>
      <c r="Z1581" s="232"/>
      <c r="AA1581" s="232"/>
      <c r="AB1581" s="232"/>
      <c r="AC1581" s="227"/>
      <c r="AD1581" s="227"/>
      <c r="AE1581" s="231"/>
      <c r="AF1581" s="227"/>
      <c r="AG1581" s="232"/>
      <c r="AH1581" s="232"/>
      <c r="AI1581" s="232"/>
      <c r="AJ1581" s="232"/>
      <c r="AK1581" s="232"/>
      <c r="AL1581" s="232"/>
      <c r="AM1581" s="232"/>
      <c r="AN1581" s="232"/>
      <c r="AO1581" s="231"/>
      <c r="AP1581" s="231"/>
      <c r="AQ1581" s="227"/>
      <c r="AR1581" s="231"/>
      <c r="AS1581" s="227"/>
      <c r="AT1581" s="227"/>
      <c r="AU1581" s="227"/>
      <c r="AV1581" s="227"/>
    </row>
    <row r="1582">
      <c r="A1582" s="227"/>
      <c r="B1582" s="232"/>
      <c r="C1582" s="227"/>
      <c r="D1582" s="227"/>
      <c r="E1582" s="231"/>
      <c r="F1582" s="232"/>
      <c r="G1582" s="227"/>
      <c r="H1582" s="227"/>
      <c r="I1582" s="227"/>
      <c r="J1582" s="227"/>
      <c r="K1582" s="227"/>
      <c r="L1582" s="232"/>
      <c r="M1582" s="232"/>
      <c r="N1582" s="227"/>
      <c r="O1582" s="227"/>
      <c r="P1582" s="231"/>
      <c r="Q1582" s="227"/>
      <c r="R1582" s="231"/>
      <c r="S1582" s="231"/>
      <c r="T1582" s="231"/>
      <c r="U1582" s="231"/>
      <c r="V1582" s="231"/>
      <c r="W1582" s="231"/>
      <c r="X1582" s="227"/>
      <c r="Y1582" s="232"/>
      <c r="Z1582" s="232"/>
      <c r="AA1582" s="232"/>
      <c r="AB1582" s="232"/>
      <c r="AC1582" s="227"/>
      <c r="AD1582" s="227"/>
      <c r="AE1582" s="231"/>
      <c r="AF1582" s="227"/>
      <c r="AG1582" s="232"/>
      <c r="AH1582" s="232"/>
      <c r="AI1582" s="232"/>
      <c r="AJ1582" s="232"/>
      <c r="AK1582" s="232"/>
      <c r="AL1582" s="232"/>
      <c r="AM1582" s="232"/>
      <c r="AN1582" s="232"/>
      <c r="AO1582" s="231"/>
      <c r="AP1582" s="231"/>
      <c r="AQ1582" s="227"/>
      <c r="AR1582" s="231"/>
      <c r="AS1582" s="227"/>
      <c r="AT1582" s="227"/>
      <c r="AU1582" s="227"/>
      <c r="AV1582" s="227"/>
    </row>
    <row r="1583">
      <c r="A1583" s="227"/>
      <c r="B1583" s="232"/>
      <c r="C1583" s="227"/>
      <c r="D1583" s="227"/>
      <c r="E1583" s="231"/>
      <c r="F1583" s="232"/>
      <c r="G1583" s="227"/>
      <c r="H1583" s="227"/>
      <c r="I1583" s="227"/>
      <c r="J1583" s="227"/>
      <c r="K1583" s="227"/>
      <c r="L1583" s="232"/>
      <c r="M1583" s="232"/>
      <c r="N1583" s="227"/>
      <c r="O1583" s="227"/>
      <c r="P1583" s="231"/>
      <c r="Q1583" s="227"/>
      <c r="R1583" s="231"/>
      <c r="S1583" s="231"/>
      <c r="T1583" s="231"/>
      <c r="U1583" s="231"/>
      <c r="V1583" s="231"/>
      <c r="W1583" s="231"/>
      <c r="X1583" s="227"/>
      <c r="Y1583" s="232"/>
      <c r="Z1583" s="232"/>
      <c r="AA1583" s="232"/>
      <c r="AB1583" s="232"/>
      <c r="AC1583" s="227"/>
      <c r="AD1583" s="227"/>
      <c r="AE1583" s="231"/>
      <c r="AF1583" s="227"/>
      <c r="AG1583" s="232"/>
      <c r="AH1583" s="232"/>
      <c r="AI1583" s="232"/>
      <c r="AJ1583" s="232"/>
      <c r="AK1583" s="232"/>
      <c r="AL1583" s="232"/>
      <c r="AM1583" s="232"/>
      <c r="AN1583" s="232"/>
      <c r="AO1583" s="231"/>
      <c r="AP1583" s="231"/>
      <c r="AQ1583" s="227"/>
      <c r="AR1583" s="231"/>
      <c r="AS1583" s="227"/>
      <c r="AT1583" s="227"/>
      <c r="AU1583" s="227"/>
      <c r="AV1583" s="227"/>
    </row>
    <row r="1584">
      <c r="A1584" s="227"/>
      <c r="B1584" s="232"/>
      <c r="C1584" s="227"/>
      <c r="D1584" s="227"/>
      <c r="E1584" s="231"/>
      <c r="F1584" s="232"/>
      <c r="G1584" s="227"/>
      <c r="H1584" s="227"/>
      <c r="I1584" s="227"/>
      <c r="J1584" s="227"/>
      <c r="K1584" s="227"/>
      <c r="L1584" s="232"/>
      <c r="M1584" s="232"/>
      <c r="N1584" s="227"/>
      <c r="O1584" s="227"/>
      <c r="P1584" s="231"/>
      <c r="Q1584" s="227"/>
      <c r="R1584" s="231"/>
      <c r="S1584" s="231"/>
      <c r="T1584" s="231"/>
      <c r="U1584" s="231"/>
      <c r="V1584" s="231"/>
      <c r="W1584" s="231"/>
      <c r="X1584" s="227"/>
      <c r="Y1584" s="232"/>
      <c r="Z1584" s="232"/>
      <c r="AA1584" s="232"/>
      <c r="AB1584" s="232"/>
      <c r="AC1584" s="227"/>
      <c r="AD1584" s="227"/>
      <c r="AE1584" s="231"/>
      <c r="AF1584" s="227"/>
      <c r="AG1584" s="232"/>
      <c r="AH1584" s="232"/>
      <c r="AI1584" s="232"/>
      <c r="AJ1584" s="232"/>
      <c r="AK1584" s="232"/>
      <c r="AL1584" s="232"/>
      <c r="AM1584" s="232"/>
      <c r="AN1584" s="232"/>
      <c r="AO1584" s="231"/>
      <c r="AP1584" s="231"/>
      <c r="AQ1584" s="227"/>
      <c r="AR1584" s="231"/>
      <c r="AS1584" s="227"/>
      <c r="AT1584" s="227"/>
      <c r="AU1584" s="227"/>
      <c r="AV1584" s="227"/>
    </row>
    <row r="1585">
      <c r="A1585" s="227"/>
      <c r="B1585" s="232"/>
      <c r="C1585" s="227"/>
      <c r="D1585" s="227"/>
      <c r="E1585" s="231"/>
      <c r="F1585" s="232"/>
      <c r="G1585" s="227"/>
      <c r="H1585" s="227"/>
      <c r="I1585" s="227"/>
      <c r="J1585" s="227"/>
      <c r="K1585" s="227"/>
      <c r="L1585" s="232"/>
      <c r="M1585" s="232"/>
      <c r="N1585" s="227"/>
      <c r="O1585" s="227"/>
      <c r="P1585" s="231"/>
      <c r="Q1585" s="227"/>
      <c r="R1585" s="231"/>
      <c r="S1585" s="231"/>
      <c r="T1585" s="231"/>
      <c r="U1585" s="231"/>
      <c r="V1585" s="231"/>
      <c r="W1585" s="231"/>
      <c r="X1585" s="227"/>
      <c r="Y1585" s="232"/>
      <c r="Z1585" s="232"/>
      <c r="AA1585" s="232"/>
      <c r="AB1585" s="232"/>
      <c r="AC1585" s="227"/>
      <c r="AD1585" s="227"/>
      <c r="AE1585" s="231"/>
      <c r="AF1585" s="227"/>
      <c r="AG1585" s="232"/>
      <c r="AH1585" s="232"/>
      <c r="AI1585" s="232"/>
      <c r="AJ1585" s="232"/>
      <c r="AK1585" s="232"/>
      <c r="AL1585" s="232"/>
      <c r="AM1585" s="232"/>
      <c r="AN1585" s="232"/>
      <c r="AO1585" s="231"/>
      <c r="AP1585" s="231"/>
      <c r="AQ1585" s="227"/>
      <c r="AR1585" s="231"/>
      <c r="AS1585" s="227"/>
      <c r="AT1585" s="227"/>
      <c r="AU1585" s="227"/>
      <c r="AV1585" s="227"/>
    </row>
    <row r="1586">
      <c r="A1586" s="227"/>
      <c r="B1586" s="232"/>
      <c r="C1586" s="227"/>
      <c r="D1586" s="227"/>
      <c r="E1586" s="231"/>
      <c r="F1586" s="232"/>
      <c r="G1586" s="227"/>
      <c r="H1586" s="227"/>
      <c r="I1586" s="227"/>
      <c r="J1586" s="227"/>
      <c r="K1586" s="227"/>
      <c r="L1586" s="232"/>
      <c r="M1586" s="232"/>
      <c r="N1586" s="227"/>
      <c r="O1586" s="227"/>
      <c r="P1586" s="231"/>
      <c r="Q1586" s="227"/>
      <c r="R1586" s="231"/>
      <c r="S1586" s="231"/>
      <c r="T1586" s="231"/>
      <c r="U1586" s="231"/>
      <c r="V1586" s="231"/>
      <c r="W1586" s="231"/>
      <c r="X1586" s="227"/>
      <c r="Y1586" s="232"/>
      <c r="Z1586" s="232"/>
      <c r="AA1586" s="232"/>
      <c r="AB1586" s="232"/>
      <c r="AC1586" s="227"/>
      <c r="AD1586" s="227"/>
      <c r="AE1586" s="231"/>
      <c r="AF1586" s="227"/>
      <c r="AG1586" s="232"/>
      <c r="AH1586" s="232"/>
      <c r="AI1586" s="232"/>
      <c r="AJ1586" s="232"/>
      <c r="AK1586" s="232"/>
      <c r="AL1586" s="232"/>
      <c r="AM1586" s="232"/>
      <c r="AN1586" s="232"/>
      <c r="AO1586" s="231"/>
      <c r="AP1586" s="231"/>
      <c r="AQ1586" s="227"/>
      <c r="AR1586" s="231"/>
      <c r="AS1586" s="227"/>
      <c r="AT1586" s="227"/>
      <c r="AU1586" s="227"/>
      <c r="AV1586" s="227"/>
    </row>
    <row r="1587">
      <c r="A1587" s="227"/>
      <c r="B1587" s="232"/>
      <c r="C1587" s="227"/>
      <c r="D1587" s="227"/>
      <c r="E1587" s="231"/>
      <c r="F1587" s="232"/>
      <c r="G1587" s="227"/>
      <c r="H1587" s="227"/>
      <c r="I1587" s="227"/>
      <c r="J1587" s="227"/>
      <c r="K1587" s="227"/>
      <c r="L1587" s="232"/>
      <c r="M1587" s="232"/>
      <c r="N1587" s="227"/>
      <c r="O1587" s="227"/>
      <c r="P1587" s="231"/>
      <c r="Q1587" s="227"/>
      <c r="R1587" s="231"/>
      <c r="S1587" s="231"/>
      <c r="T1587" s="231"/>
      <c r="U1587" s="231"/>
      <c r="V1587" s="231"/>
      <c r="W1587" s="231"/>
      <c r="X1587" s="227"/>
      <c r="Y1587" s="232"/>
      <c r="Z1587" s="232"/>
      <c r="AA1587" s="232"/>
      <c r="AB1587" s="232"/>
      <c r="AC1587" s="227"/>
      <c r="AD1587" s="227"/>
      <c r="AE1587" s="231"/>
      <c r="AF1587" s="227"/>
      <c r="AG1587" s="232"/>
      <c r="AH1587" s="232"/>
      <c r="AI1587" s="232"/>
      <c r="AJ1587" s="232"/>
      <c r="AK1587" s="232"/>
      <c r="AL1587" s="232"/>
      <c r="AM1587" s="232"/>
      <c r="AN1587" s="232"/>
      <c r="AO1587" s="231"/>
      <c r="AP1587" s="231"/>
      <c r="AQ1587" s="227"/>
      <c r="AR1587" s="231"/>
      <c r="AS1587" s="227"/>
      <c r="AT1587" s="227"/>
      <c r="AU1587" s="227"/>
      <c r="AV1587" s="227"/>
    </row>
    <row r="1588">
      <c r="A1588" s="227"/>
      <c r="B1588" s="232"/>
      <c r="C1588" s="227"/>
      <c r="D1588" s="227"/>
      <c r="E1588" s="231"/>
      <c r="F1588" s="232"/>
      <c r="G1588" s="227"/>
      <c r="H1588" s="227"/>
      <c r="I1588" s="227"/>
      <c r="J1588" s="227"/>
      <c r="K1588" s="227"/>
      <c r="L1588" s="232"/>
      <c r="M1588" s="232"/>
      <c r="N1588" s="227"/>
      <c r="O1588" s="227"/>
      <c r="P1588" s="231"/>
      <c r="Q1588" s="227"/>
      <c r="R1588" s="231"/>
      <c r="S1588" s="231"/>
      <c r="T1588" s="231"/>
      <c r="U1588" s="231"/>
      <c r="V1588" s="231"/>
      <c r="W1588" s="231"/>
      <c r="X1588" s="227"/>
      <c r="Y1588" s="232"/>
      <c r="Z1588" s="232"/>
      <c r="AA1588" s="232"/>
      <c r="AB1588" s="232"/>
      <c r="AC1588" s="227"/>
      <c r="AD1588" s="227"/>
      <c r="AE1588" s="231"/>
      <c r="AF1588" s="227"/>
      <c r="AG1588" s="232"/>
      <c r="AH1588" s="232"/>
      <c r="AI1588" s="232"/>
      <c r="AJ1588" s="232"/>
      <c r="AK1588" s="232"/>
      <c r="AL1588" s="232"/>
      <c r="AM1588" s="232"/>
      <c r="AN1588" s="232"/>
      <c r="AO1588" s="231"/>
      <c r="AP1588" s="231"/>
      <c r="AQ1588" s="227"/>
      <c r="AR1588" s="231"/>
      <c r="AS1588" s="227"/>
      <c r="AT1588" s="227"/>
      <c r="AU1588" s="227"/>
      <c r="AV1588" s="227"/>
    </row>
    <row r="1589">
      <c r="A1589" s="227"/>
      <c r="B1589" s="232"/>
      <c r="C1589" s="227"/>
      <c r="D1589" s="227"/>
      <c r="E1589" s="231"/>
      <c r="F1589" s="232"/>
      <c r="G1589" s="227"/>
      <c r="H1589" s="227"/>
      <c r="I1589" s="227"/>
      <c r="J1589" s="227"/>
      <c r="K1589" s="227"/>
      <c r="L1589" s="232"/>
      <c r="M1589" s="232"/>
      <c r="N1589" s="227"/>
      <c r="O1589" s="227"/>
      <c r="P1589" s="231"/>
      <c r="Q1589" s="227"/>
      <c r="R1589" s="231"/>
      <c r="S1589" s="231"/>
      <c r="T1589" s="231"/>
      <c r="U1589" s="231"/>
      <c r="V1589" s="231"/>
      <c r="W1589" s="231"/>
      <c r="X1589" s="227"/>
      <c r="Y1589" s="232"/>
      <c r="Z1589" s="232"/>
      <c r="AA1589" s="232"/>
      <c r="AB1589" s="232"/>
      <c r="AC1589" s="227"/>
      <c r="AD1589" s="227"/>
      <c r="AE1589" s="231"/>
      <c r="AF1589" s="227"/>
      <c r="AG1589" s="232"/>
      <c r="AH1589" s="232"/>
      <c r="AI1589" s="232"/>
      <c r="AJ1589" s="232"/>
      <c r="AK1589" s="232"/>
      <c r="AL1589" s="232"/>
      <c r="AM1589" s="232"/>
      <c r="AN1589" s="232"/>
      <c r="AO1589" s="231"/>
      <c r="AP1589" s="231"/>
      <c r="AQ1589" s="227"/>
      <c r="AR1589" s="231"/>
      <c r="AS1589" s="227"/>
      <c r="AT1589" s="227"/>
      <c r="AU1589" s="227"/>
      <c r="AV1589" s="227"/>
    </row>
    <row r="1590">
      <c r="A1590" s="227"/>
      <c r="B1590" s="232"/>
      <c r="C1590" s="227"/>
      <c r="D1590" s="227"/>
      <c r="E1590" s="231"/>
      <c r="F1590" s="232"/>
      <c r="G1590" s="227"/>
      <c r="H1590" s="227"/>
      <c r="I1590" s="227"/>
      <c r="J1590" s="227"/>
      <c r="K1590" s="227"/>
      <c r="L1590" s="232"/>
      <c r="M1590" s="232"/>
      <c r="N1590" s="227"/>
      <c r="O1590" s="227"/>
      <c r="P1590" s="231"/>
      <c r="Q1590" s="227"/>
      <c r="R1590" s="231"/>
      <c r="S1590" s="231"/>
      <c r="T1590" s="231"/>
      <c r="U1590" s="231"/>
      <c r="V1590" s="231"/>
      <c r="W1590" s="231"/>
      <c r="X1590" s="227"/>
      <c r="Y1590" s="232"/>
      <c r="Z1590" s="232"/>
      <c r="AA1590" s="232"/>
      <c r="AB1590" s="232"/>
      <c r="AC1590" s="227"/>
      <c r="AD1590" s="227"/>
      <c r="AE1590" s="231"/>
      <c r="AF1590" s="227"/>
      <c r="AG1590" s="232"/>
      <c r="AH1590" s="232"/>
      <c r="AI1590" s="232"/>
      <c r="AJ1590" s="232"/>
      <c r="AK1590" s="232"/>
      <c r="AL1590" s="232"/>
      <c r="AM1590" s="232"/>
      <c r="AN1590" s="232"/>
      <c r="AO1590" s="231"/>
      <c r="AP1590" s="231"/>
      <c r="AQ1590" s="227"/>
      <c r="AR1590" s="231"/>
      <c r="AS1590" s="227"/>
      <c r="AT1590" s="227"/>
      <c r="AU1590" s="227"/>
      <c r="AV1590" s="227"/>
    </row>
    <row r="1591">
      <c r="A1591" s="227"/>
      <c r="B1591" s="232"/>
      <c r="C1591" s="227"/>
      <c r="D1591" s="227"/>
      <c r="E1591" s="231"/>
      <c r="F1591" s="232"/>
      <c r="G1591" s="227"/>
      <c r="H1591" s="227"/>
      <c r="I1591" s="227"/>
      <c r="J1591" s="227"/>
      <c r="K1591" s="227"/>
      <c r="L1591" s="232"/>
      <c r="M1591" s="232"/>
      <c r="N1591" s="227"/>
      <c r="O1591" s="227"/>
      <c r="P1591" s="231"/>
      <c r="Q1591" s="227"/>
      <c r="R1591" s="231"/>
      <c r="S1591" s="231"/>
      <c r="T1591" s="231"/>
      <c r="U1591" s="231"/>
      <c r="V1591" s="231"/>
      <c r="W1591" s="231"/>
      <c r="X1591" s="227"/>
      <c r="Y1591" s="232"/>
      <c r="Z1591" s="232"/>
      <c r="AA1591" s="232"/>
      <c r="AB1591" s="232"/>
      <c r="AC1591" s="227"/>
      <c r="AD1591" s="227"/>
      <c r="AE1591" s="231"/>
      <c r="AF1591" s="227"/>
      <c r="AG1591" s="232"/>
      <c r="AH1591" s="232"/>
      <c r="AI1591" s="232"/>
      <c r="AJ1591" s="232"/>
      <c r="AK1591" s="232"/>
      <c r="AL1591" s="232"/>
      <c r="AM1591" s="232"/>
      <c r="AN1591" s="232"/>
      <c r="AO1591" s="231"/>
      <c r="AP1591" s="231"/>
      <c r="AQ1591" s="227"/>
      <c r="AR1591" s="231"/>
      <c r="AS1591" s="227"/>
      <c r="AT1591" s="227"/>
      <c r="AU1591" s="227"/>
      <c r="AV1591" s="227"/>
    </row>
    <row r="1592">
      <c r="A1592" s="227"/>
      <c r="B1592" s="232"/>
      <c r="C1592" s="227"/>
      <c r="D1592" s="227"/>
      <c r="E1592" s="231"/>
      <c r="F1592" s="232"/>
      <c r="G1592" s="227"/>
      <c r="H1592" s="227"/>
      <c r="I1592" s="227"/>
      <c r="J1592" s="227"/>
      <c r="K1592" s="227"/>
      <c r="L1592" s="232"/>
      <c r="M1592" s="232"/>
      <c r="N1592" s="227"/>
      <c r="O1592" s="227"/>
      <c r="P1592" s="231"/>
      <c r="Q1592" s="227"/>
      <c r="R1592" s="231"/>
      <c r="S1592" s="231"/>
      <c r="T1592" s="231"/>
      <c r="U1592" s="231"/>
      <c r="V1592" s="231"/>
      <c r="W1592" s="231"/>
      <c r="X1592" s="227"/>
      <c r="Y1592" s="232"/>
      <c r="Z1592" s="232"/>
      <c r="AA1592" s="232"/>
      <c r="AB1592" s="232"/>
      <c r="AC1592" s="227"/>
      <c r="AD1592" s="227"/>
      <c r="AE1592" s="231"/>
      <c r="AF1592" s="227"/>
      <c r="AG1592" s="232"/>
      <c r="AH1592" s="232"/>
      <c r="AI1592" s="232"/>
      <c r="AJ1592" s="232"/>
      <c r="AK1592" s="232"/>
      <c r="AL1592" s="232"/>
      <c r="AM1592" s="232"/>
      <c r="AN1592" s="232"/>
      <c r="AO1592" s="231"/>
      <c r="AP1592" s="231"/>
      <c r="AQ1592" s="227"/>
      <c r="AR1592" s="231"/>
      <c r="AS1592" s="227"/>
      <c r="AT1592" s="227"/>
      <c r="AU1592" s="227"/>
      <c r="AV1592" s="227"/>
    </row>
    <row r="1593">
      <c r="A1593" s="227"/>
      <c r="B1593" s="232"/>
      <c r="C1593" s="227"/>
      <c r="D1593" s="227"/>
      <c r="E1593" s="231"/>
      <c r="F1593" s="232"/>
      <c r="G1593" s="227"/>
      <c r="H1593" s="227"/>
      <c r="I1593" s="227"/>
      <c r="J1593" s="227"/>
      <c r="K1593" s="227"/>
      <c r="L1593" s="232"/>
      <c r="M1593" s="232"/>
      <c r="N1593" s="227"/>
      <c r="O1593" s="227"/>
      <c r="P1593" s="231"/>
      <c r="Q1593" s="227"/>
      <c r="R1593" s="231"/>
      <c r="S1593" s="231"/>
      <c r="T1593" s="231"/>
      <c r="U1593" s="231"/>
      <c r="V1593" s="231"/>
      <c r="W1593" s="231"/>
      <c r="X1593" s="227"/>
      <c r="Y1593" s="232"/>
      <c r="Z1593" s="232"/>
      <c r="AA1593" s="232"/>
      <c r="AB1593" s="232"/>
      <c r="AC1593" s="227"/>
      <c r="AD1593" s="227"/>
      <c r="AE1593" s="231"/>
      <c r="AF1593" s="227"/>
      <c r="AG1593" s="232"/>
      <c r="AH1593" s="232"/>
      <c r="AI1593" s="232"/>
      <c r="AJ1593" s="232"/>
      <c r="AK1593" s="232"/>
      <c r="AL1593" s="232"/>
      <c r="AM1593" s="232"/>
      <c r="AN1593" s="232"/>
      <c r="AO1593" s="231"/>
      <c r="AP1593" s="231"/>
      <c r="AQ1593" s="227"/>
      <c r="AR1593" s="231"/>
      <c r="AS1593" s="227"/>
      <c r="AT1593" s="227"/>
      <c r="AU1593" s="227"/>
      <c r="AV1593" s="227"/>
    </row>
    <row r="1594">
      <c r="A1594" s="227"/>
      <c r="B1594" s="232"/>
      <c r="C1594" s="227"/>
      <c r="D1594" s="227"/>
      <c r="E1594" s="231"/>
      <c r="F1594" s="232"/>
      <c r="G1594" s="227"/>
      <c r="H1594" s="227"/>
      <c r="I1594" s="227"/>
      <c r="J1594" s="227"/>
      <c r="K1594" s="227"/>
      <c r="L1594" s="232"/>
      <c r="M1594" s="232"/>
      <c r="N1594" s="227"/>
      <c r="O1594" s="227"/>
      <c r="P1594" s="231"/>
      <c r="Q1594" s="227"/>
      <c r="R1594" s="231"/>
      <c r="S1594" s="231"/>
      <c r="T1594" s="231"/>
      <c r="U1594" s="231"/>
      <c r="V1594" s="231"/>
      <c r="W1594" s="231"/>
      <c r="X1594" s="227"/>
      <c r="Y1594" s="232"/>
      <c r="Z1594" s="232"/>
      <c r="AA1594" s="232"/>
      <c r="AB1594" s="232"/>
      <c r="AC1594" s="227"/>
      <c r="AD1594" s="227"/>
      <c r="AE1594" s="231"/>
      <c r="AF1594" s="227"/>
      <c r="AG1594" s="232"/>
      <c r="AH1594" s="232"/>
      <c r="AI1594" s="232"/>
      <c r="AJ1594" s="232"/>
      <c r="AK1594" s="232"/>
      <c r="AL1594" s="232"/>
      <c r="AM1594" s="232"/>
      <c r="AN1594" s="232"/>
      <c r="AO1594" s="231"/>
      <c r="AP1594" s="231"/>
      <c r="AQ1594" s="227"/>
      <c r="AR1594" s="231"/>
      <c r="AS1594" s="227"/>
      <c r="AT1594" s="227"/>
      <c r="AU1594" s="227"/>
      <c r="AV1594" s="227"/>
    </row>
    <row r="1595">
      <c r="A1595" s="227"/>
      <c r="B1595" s="232"/>
      <c r="C1595" s="227"/>
      <c r="D1595" s="227"/>
      <c r="E1595" s="231"/>
      <c r="F1595" s="232"/>
      <c r="G1595" s="227"/>
      <c r="H1595" s="227"/>
      <c r="I1595" s="227"/>
      <c r="J1595" s="227"/>
      <c r="K1595" s="227"/>
      <c r="L1595" s="232"/>
      <c r="M1595" s="232"/>
      <c r="N1595" s="227"/>
      <c r="O1595" s="227"/>
      <c r="P1595" s="231"/>
      <c r="Q1595" s="227"/>
      <c r="R1595" s="231"/>
      <c r="S1595" s="231"/>
      <c r="T1595" s="231"/>
      <c r="U1595" s="231"/>
      <c r="V1595" s="231"/>
      <c r="W1595" s="231"/>
      <c r="X1595" s="227"/>
      <c r="Y1595" s="232"/>
      <c r="Z1595" s="232"/>
      <c r="AA1595" s="232"/>
      <c r="AB1595" s="232"/>
      <c r="AC1595" s="227"/>
      <c r="AD1595" s="227"/>
      <c r="AE1595" s="231"/>
      <c r="AF1595" s="227"/>
      <c r="AG1595" s="232"/>
      <c r="AH1595" s="232"/>
      <c r="AI1595" s="232"/>
      <c r="AJ1595" s="232"/>
      <c r="AK1595" s="232"/>
      <c r="AL1595" s="232"/>
      <c r="AM1595" s="232"/>
      <c r="AN1595" s="232"/>
      <c r="AO1595" s="231"/>
      <c r="AP1595" s="231"/>
      <c r="AQ1595" s="227"/>
      <c r="AR1595" s="231"/>
      <c r="AS1595" s="227"/>
      <c r="AT1595" s="227"/>
      <c r="AU1595" s="227"/>
      <c r="AV1595" s="227"/>
    </row>
    <row r="1596">
      <c r="A1596" s="227"/>
      <c r="B1596" s="232"/>
      <c r="C1596" s="227"/>
      <c r="D1596" s="227"/>
      <c r="E1596" s="231"/>
      <c r="F1596" s="232"/>
      <c r="G1596" s="227"/>
      <c r="H1596" s="227"/>
      <c r="I1596" s="227"/>
      <c r="J1596" s="227"/>
      <c r="K1596" s="227"/>
      <c r="L1596" s="232"/>
      <c r="M1596" s="232"/>
      <c r="N1596" s="227"/>
      <c r="O1596" s="227"/>
      <c r="P1596" s="231"/>
      <c r="Q1596" s="227"/>
      <c r="R1596" s="231"/>
      <c r="S1596" s="231"/>
      <c r="T1596" s="231"/>
      <c r="U1596" s="231"/>
      <c r="V1596" s="231"/>
      <c r="W1596" s="231"/>
      <c r="X1596" s="227"/>
      <c r="Y1596" s="232"/>
      <c r="Z1596" s="232"/>
      <c r="AA1596" s="232"/>
      <c r="AB1596" s="232"/>
      <c r="AC1596" s="227"/>
      <c r="AD1596" s="227"/>
      <c r="AE1596" s="231"/>
      <c r="AF1596" s="227"/>
      <c r="AG1596" s="232"/>
      <c r="AH1596" s="232"/>
      <c r="AI1596" s="232"/>
      <c r="AJ1596" s="232"/>
      <c r="AK1596" s="232"/>
      <c r="AL1596" s="232"/>
      <c r="AM1596" s="232"/>
      <c r="AN1596" s="232"/>
      <c r="AO1596" s="231"/>
      <c r="AP1596" s="231"/>
      <c r="AQ1596" s="227"/>
      <c r="AR1596" s="231"/>
      <c r="AS1596" s="227"/>
      <c r="AT1596" s="227"/>
      <c r="AU1596" s="227"/>
      <c r="AV1596" s="227"/>
    </row>
    <row r="1597">
      <c r="A1597" s="227"/>
      <c r="B1597" s="232"/>
      <c r="C1597" s="227"/>
      <c r="D1597" s="227"/>
      <c r="E1597" s="231"/>
      <c r="F1597" s="232"/>
      <c r="G1597" s="227"/>
      <c r="H1597" s="227"/>
      <c r="I1597" s="227"/>
      <c r="J1597" s="227"/>
      <c r="K1597" s="227"/>
      <c r="L1597" s="232"/>
      <c r="M1597" s="232"/>
      <c r="N1597" s="227"/>
      <c r="O1597" s="227"/>
      <c r="P1597" s="231"/>
      <c r="Q1597" s="227"/>
      <c r="R1597" s="231"/>
      <c r="S1597" s="231"/>
      <c r="T1597" s="231"/>
      <c r="U1597" s="231"/>
      <c r="V1597" s="231"/>
      <c r="W1597" s="231"/>
      <c r="X1597" s="227"/>
      <c r="Y1597" s="232"/>
      <c r="Z1597" s="232"/>
      <c r="AA1597" s="232"/>
      <c r="AB1597" s="232"/>
      <c r="AC1597" s="227"/>
      <c r="AD1597" s="227"/>
      <c r="AE1597" s="231"/>
      <c r="AF1597" s="227"/>
      <c r="AG1597" s="232"/>
      <c r="AH1597" s="232"/>
      <c r="AI1597" s="232"/>
      <c r="AJ1597" s="232"/>
      <c r="AK1597" s="232"/>
      <c r="AL1597" s="232"/>
      <c r="AM1597" s="232"/>
      <c r="AN1597" s="232"/>
      <c r="AO1597" s="231"/>
      <c r="AP1597" s="231"/>
      <c r="AQ1597" s="227"/>
      <c r="AR1597" s="231"/>
      <c r="AS1597" s="227"/>
      <c r="AT1597" s="227"/>
      <c r="AU1597" s="227"/>
      <c r="AV1597" s="227"/>
    </row>
    <row r="1598">
      <c r="A1598" s="227"/>
      <c r="B1598" s="232"/>
      <c r="C1598" s="227"/>
      <c r="D1598" s="227"/>
      <c r="E1598" s="231"/>
      <c r="F1598" s="232"/>
      <c r="G1598" s="227"/>
      <c r="H1598" s="227"/>
      <c r="I1598" s="227"/>
      <c r="J1598" s="227"/>
      <c r="K1598" s="227"/>
      <c r="L1598" s="232"/>
      <c r="M1598" s="232"/>
      <c r="N1598" s="227"/>
      <c r="O1598" s="227"/>
      <c r="P1598" s="231"/>
      <c r="Q1598" s="227"/>
      <c r="R1598" s="231"/>
      <c r="S1598" s="231"/>
      <c r="T1598" s="231"/>
      <c r="U1598" s="231"/>
      <c r="V1598" s="231"/>
      <c r="W1598" s="231"/>
      <c r="X1598" s="227"/>
      <c r="Y1598" s="232"/>
      <c r="Z1598" s="232"/>
      <c r="AA1598" s="232"/>
      <c r="AB1598" s="232"/>
      <c r="AC1598" s="227"/>
      <c r="AD1598" s="227"/>
      <c r="AE1598" s="231"/>
      <c r="AF1598" s="227"/>
      <c r="AG1598" s="232"/>
      <c r="AH1598" s="232"/>
      <c r="AI1598" s="232"/>
      <c r="AJ1598" s="232"/>
      <c r="AK1598" s="232"/>
      <c r="AL1598" s="232"/>
      <c r="AM1598" s="232"/>
      <c r="AN1598" s="232"/>
      <c r="AO1598" s="231"/>
      <c r="AP1598" s="231"/>
      <c r="AQ1598" s="227"/>
      <c r="AR1598" s="231"/>
      <c r="AS1598" s="227"/>
      <c r="AT1598" s="227"/>
      <c r="AU1598" s="227"/>
      <c r="AV1598" s="227"/>
    </row>
    <row r="1599">
      <c r="A1599" s="227"/>
      <c r="B1599" s="232"/>
      <c r="C1599" s="227"/>
      <c r="D1599" s="227"/>
      <c r="E1599" s="231"/>
      <c r="F1599" s="232"/>
      <c r="G1599" s="227"/>
      <c r="H1599" s="227"/>
      <c r="I1599" s="227"/>
      <c r="J1599" s="227"/>
      <c r="K1599" s="227"/>
      <c r="L1599" s="232"/>
      <c r="M1599" s="232"/>
      <c r="N1599" s="227"/>
      <c r="O1599" s="227"/>
      <c r="P1599" s="231"/>
      <c r="Q1599" s="227"/>
      <c r="R1599" s="231"/>
      <c r="S1599" s="231"/>
      <c r="T1599" s="231"/>
      <c r="U1599" s="231"/>
      <c r="V1599" s="231"/>
      <c r="W1599" s="231"/>
      <c r="X1599" s="227"/>
      <c r="Y1599" s="232"/>
      <c r="Z1599" s="232"/>
      <c r="AA1599" s="232"/>
      <c r="AB1599" s="232"/>
      <c r="AC1599" s="227"/>
      <c r="AD1599" s="227"/>
      <c r="AE1599" s="231"/>
      <c r="AF1599" s="227"/>
      <c r="AG1599" s="232"/>
      <c r="AH1599" s="232"/>
      <c r="AI1599" s="232"/>
      <c r="AJ1599" s="232"/>
      <c r="AK1599" s="232"/>
      <c r="AL1599" s="232"/>
      <c r="AM1599" s="232"/>
      <c r="AN1599" s="232"/>
      <c r="AO1599" s="231"/>
      <c r="AP1599" s="231"/>
      <c r="AQ1599" s="227"/>
      <c r="AR1599" s="231"/>
      <c r="AS1599" s="227"/>
      <c r="AT1599" s="227"/>
      <c r="AU1599" s="227"/>
      <c r="AV1599" s="227"/>
    </row>
    <row r="1600">
      <c r="A1600" s="227"/>
      <c r="B1600" s="232"/>
      <c r="C1600" s="227"/>
      <c r="D1600" s="227"/>
      <c r="E1600" s="231"/>
      <c r="F1600" s="232"/>
      <c r="G1600" s="227"/>
      <c r="H1600" s="227"/>
      <c r="I1600" s="227"/>
      <c r="J1600" s="227"/>
      <c r="K1600" s="227"/>
      <c r="L1600" s="232"/>
      <c r="M1600" s="232"/>
      <c r="N1600" s="227"/>
      <c r="O1600" s="227"/>
      <c r="P1600" s="231"/>
      <c r="Q1600" s="227"/>
      <c r="R1600" s="231"/>
      <c r="S1600" s="231"/>
      <c r="T1600" s="231"/>
      <c r="U1600" s="231"/>
      <c r="V1600" s="231"/>
      <c r="W1600" s="231"/>
      <c r="X1600" s="227"/>
      <c r="Y1600" s="232"/>
      <c r="Z1600" s="232"/>
      <c r="AA1600" s="232"/>
      <c r="AB1600" s="232"/>
      <c r="AC1600" s="227"/>
      <c r="AD1600" s="227"/>
      <c r="AE1600" s="231"/>
      <c r="AF1600" s="227"/>
      <c r="AG1600" s="232"/>
      <c r="AH1600" s="232"/>
      <c r="AI1600" s="232"/>
      <c r="AJ1600" s="232"/>
      <c r="AK1600" s="232"/>
      <c r="AL1600" s="232"/>
      <c r="AM1600" s="232"/>
      <c r="AN1600" s="232"/>
      <c r="AO1600" s="231"/>
      <c r="AP1600" s="231"/>
      <c r="AQ1600" s="227"/>
      <c r="AR1600" s="231"/>
      <c r="AS1600" s="227"/>
      <c r="AT1600" s="227"/>
      <c r="AU1600" s="227"/>
      <c r="AV1600" s="227"/>
    </row>
    <row r="1601">
      <c r="A1601" s="227"/>
      <c r="B1601" s="232"/>
      <c r="C1601" s="227"/>
      <c r="D1601" s="227"/>
      <c r="E1601" s="231"/>
      <c r="F1601" s="232"/>
      <c r="G1601" s="227"/>
      <c r="H1601" s="227"/>
      <c r="I1601" s="227"/>
      <c r="J1601" s="227"/>
      <c r="K1601" s="227"/>
      <c r="L1601" s="232"/>
      <c r="M1601" s="232"/>
      <c r="N1601" s="227"/>
      <c r="O1601" s="227"/>
      <c r="P1601" s="231"/>
      <c r="Q1601" s="227"/>
      <c r="R1601" s="231"/>
      <c r="S1601" s="231"/>
      <c r="T1601" s="231"/>
      <c r="U1601" s="231"/>
      <c r="V1601" s="231"/>
      <c r="W1601" s="231"/>
      <c r="X1601" s="227"/>
      <c r="Y1601" s="232"/>
      <c r="Z1601" s="232"/>
      <c r="AA1601" s="232"/>
      <c r="AB1601" s="232"/>
      <c r="AC1601" s="227"/>
      <c r="AD1601" s="227"/>
      <c r="AE1601" s="231"/>
      <c r="AF1601" s="227"/>
      <c r="AG1601" s="232"/>
      <c r="AH1601" s="232"/>
      <c r="AI1601" s="232"/>
      <c r="AJ1601" s="232"/>
      <c r="AK1601" s="232"/>
      <c r="AL1601" s="232"/>
      <c r="AM1601" s="232"/>
      <c r="AN1601" s="232"/>
      <c r="AO1601" s="231"/>
      <c r="AP1601" s="231"/>
      <c r="AQ1601" s="227"/>
      <c r="AR1601" s="231"/>
      <c r="AS1601" s="227"/>
      <c r="AT1601" s="227"/>
      <c r="AU1601" s="227"/>
      <c r="AV1601" s="227"/>
    </row>
    <row r="1602">
      <c r="A1602" s="227"/>
      <c r="B1602" s="232"/>
      <c r="C1602" s="227"/>
      <c r="D1602" s="227"/>
      <c r="E1602" s="231"/>
      <c r="F1602" s="232"/>
      <c r="G1602" s="227"/>
      <c r="H1602" s="227"/>
      <c r="I1602" s="227"/>
      <c r="J1602" s="227"/>
      <c r="K1602" s="227"/>
      <c r="L1602" s="232"/>
      <c r="M1602" s="232"/>
      <c r="N1602" s="227"/>
      <c r="O1602" s="227"/>
      <c r="P1602" s="231"/>
      <c r="Q1602" s="227"/>
      <c r="R1602" s="231"/>
      <c r="S1602" s="231"/>
      <c r="T1602" s="231"/>
      <c r="U1602" s="231"/>
      <c r="V1602" s="231"/>
      <c r="W1602" s="231"/>
      <c r="X1602" s="227"/>
      <c r="Y1602" s="232"/>
      <c r="Z1602" s="232"/>
      <c r="AA1602" s="232"/>
      <c r="AB1602" s="232"/>
      <c r="AC1602" s="227"/>
      <c r="AD1602" s="227"/>
      <c r="AE1602" s="231"/>
      <c r="AF1602" s="227"/>
      <c r="AG1602" s="232"/>
      <c r="AH1602" s="232"/>
      <c r="AI1602" s="232"/>
      <c r="AJ1602" s="232"/>
      <c r="AK1602" s="232"/>
      <c r="AL1602" s="232"/>
      <c r="AM1602" s="232"/>
      <c r="AN1602" s="232"/>
      <c r="AO1602" s="231"/>
      <c r="AP1602" s="231"/>
      <c r="AQ1602" s="227"/>
      <c r="AR1602" s="231"/>
      <c r="AS1602" s="227"/>
      <c r="AT1602" s="227"/>
      <c r="AU1602" s="227"/>
      <c r="AV1602" s="227"/>
    </row>
    <row r="1603">
      <c r="A1603" s="227"/>
      <c r="B1603" s="232"/>
      <c r="C1603" s="227"/>
      <c r="D1603" s="227"/>
      <c r="E1603" s="231"/>
      <c r="F1603" s="232"/>
      <c r="G1603" s="227"/>
      <c r="H1603" s="227"/>
      <c r="I1603" s="227"/>
      <c r="J1603" s="227"/>
      <c r="K1603" s="227"/>
      <c r="L1603" s="232"/>
      <c r="M1603" s="232"/>
      <c r="N1603" s="227"/>
      <c r="O1603" s="227"/>
      <c r="P1603" s="231"/>
      <c r="Q1603" s="227"/>
      <c r="R1603" s="231"/>
      <c r="S1603" s="231"/>
      <c r="T1603" s="231"/>
      <c r="U1603" s="231"/>
      <c r="V1603" s="231"/>
      <c r="W1603" s="231"/>
      <c r="X1603" s="227"/>
      <c r="Y1603" s="232"/>
      <c r="Z1603" s="232"/>
      <c r="AA1603" s="232"/>
      <c r="AB1603" s="232"/>
      <c r="AC1603" s="227"/>
      <c r="AD1603" s="227"/>
      <c r="AE1603" s="231"/>
      <c r="AF1603" s="227"/>
      <c r="AG1603" s="232"/>
      <c r="AH1603" s="232"/>
      <c r="AI1603" s="232"/>
      <c r="AJ1603" s="232"/>
      <c r="AK1603" s="232"/>
      <c r="AL1603" s="232"/>
      <c r="AM1603" s="232"/>
      <c r="AN1603" s="232"/>
      <c r="AO1603" s="231"/>
      <c r="AP1603" s="231"/>
      <c r="AQ1603" s="227"/>
      <c r="AR1603" s="231"/>
      <c r="AS1603" s="227"/>
      <c r="AT1603" s="227"/>
      <c r="AU1603" s="227"/>
      <c r="AV1603" s="227"/>
    </row>
    <row r="1604">
      <c r="A1604" s="227"/>
      <c r="B1604" s="232"/>
      <c r="C1604" s="227"/>
      <c r="D1604" s="227"/>
      <c r="E1604" s="231"/>
      <c r="F1604" s="232"/>
      <c r="G1604" s="227"/>
      <c r="H1604" s="227"/>
      <c r="I1604" s="227"/>
      <c r="J1604" s="227"/>
      <c r="K1604" s="227"/>
      <c r="L1604" s="232"/>
      <c r="M1604" s="232"/>
      <c r="N1604" s="227"/>
      <c r="O1604" s="227"/>
      <c r="P1604" s="231"/>
      <c r="Q1604" s="227"/>
      <c r="R1604" s="231"/>
      <c r="S1604" s="231"/>
      <c r="T1604" s="231"/>
      <c r="U1604" s="231"/>
      <c r="V1604" s="231"/>
      <c r="W1604" s="231"/>
      <c r="X1604" s="227"/>
      <c r="Y1604" s="232"/>
      <c r="Z1604" s="232"/>
      <c r="AA1604" s="232"/>
      <c r="AB1604" s="232"/>
      <c r="AC1604" s="227"/>
      <c r="AD1604" s="227"/>
      <c r="AE1604" s="231"/>
      <c r="AF1604" s="227"/>
      <c r="AG1604" s="232"/>
      <c r="AH1604" s="232"/>
      <c r="AI1604" s="232"/>
      <c r="AJ1604" s="232"/>
      <c r="AK1604" s="232"/>
      <c r="AL1604" s="232"/>
      <c r="AM1604" s="232"/>
      <c r="AN1604" s="232"/>
      <c r="AO1604" s="231"/>
      <c r="AP1604" s="231"/>
      <c r="AQ1604" s="227"/>
      <c r="AR1604" s="231"/>
      <c r="AS1604" s="227"/>
      <c r="AT1604" s="227"/>
      <c r="AU1604" s="227"/>
      <c r="AV1604" s="227"/>
    </row>
    <row r="1605">
      <c r="A1605" s="227"/>
      <c r="B1605" s="232"/>
      <c r="C1605" s="227"/>
      <c r="D1605" s="227"/>
      <c r="E1605" s="231"/>
      <c r="F1605" s="232"/>
      <c r="G1605" s="227"/>
      <c r="H1605" s="227"/>
      <c r="I1605" s="227"/>
      <c r="J1605" s="227"/>
      <c r="K1605" s="227"/>
      <c r="L1605" s="232"/>
      <c r="M1605" s="232"/>
      <c r="N1605" s="227"/>
      <c r="O1605" s="227"/>
      <c r="P1605" s="231"/>
      <c r="Q1605" s="227"/>
      <c r="R1605" s="231"/>
      <c r="S1605" s="231"/>
      <c r="T1605" s="231"/>
      <c r="U1605" s="231"/>
      <c r="V1605" s="231"/>
      <c r="W1605" s="231"/>
      <c r="X1605" s="227"/>
      <c r="Y1605" s="232"/>
      <c r="Z1605" s="232"/>
      <c r="AA1605" s="232"/>
      <c r="AB1605" s="232"/>
      <c r="AC1605" s="227"/>
      <c r="AD1605" s="227"/>
      <c r="AE1605" s="231"/>
      <c r="AF1605" s="227"/>
      <c r="AG1605" s="232"/>
      <c r="AH1605" s="232"/>
      <c r="AI1605" s="232"/>
      <c r="AJ1605" s="232"/>
      <c r="AK1605" s="232"/>
      <c r="AL1605" s="232"/>
      <c r="AM1605" s="232"/>
      <c r="AN1605" s="232"/>
      <c r="AO1605" s="231"/>
      <c r="AP1605" s="231"/>
      <c r="AQ1605" s="227"/>
      <c r="AR1605" s="231"/>
      <c r="AS1605" s="227"/>
      <c r="AT1605" s="227"/>
      <c r="AU1605" s="227"/>
      <c r="AV1605" s="227"/>
    </row>
    <row r="1606">
      <c r="A1606" s="227"/>
      <c r="B1606" s="232"/>
      <c r="C1606" s="227"/>
      <c r="D1606" s="227"/>
      <c r="E1606" s="231"/>
      <c r="F1606" s="232"/>
      <c r="G1606" s="227"/>
      <c r="H1606" s="227"/>
      <c r="I1606" s="227"/>
      <c r="J1606" s="227"/>
      <c r="K1606" s="227"/>
      <c r="L1606" s="232"/>
      <c r="M1606" s="232"/>
      <c r="N1606" s="227"/>
      <c r="O1606" s="227"/>
      <c r="P1606" s="231"/>
      <c r="Q1606" s="227"/>
      <c r="R1606" s="231"/>
      <c r="S1606" s="231"/>
      <c r="T1606" s="231"/>
      <c r="U1606" s="231"/>
      <c r="V1606" s="231"/>
      <c r="W1606" s="231"/>
      <c r="X1606" s="227"/>
      <c r="Y1606" s="232"/>
      <c r="Z1606" s="232"/>
      <c r="AA1606" s="232"/>
      <c r="AB1606" s="232"/>
      <c r="AC1606" s="227"/>
      <c r="AD1606" s="227"/>
      <c r="AE1606" s="231"/>
      <c r="AF1606" s="227"/>
      <c r="AG1606" s="232"/>
      <c r="AH1606" s="232"/>
      <c r="AI1606" s="232"/>
      <c r="AJ1606" s="232"/>
      <c r="AK1606" s="232"/>
      <c r="AL1606" s="232"/>
      <c r="AM1606" s="232"/>
      <c r="AN1606" s="232"/>
      <c r="AO1606" s="231"/>
      <c r="AP1606" s="231"/>
      <c r="AQ1606" s="227"/>
      <c r="AR1606" s="231"/>
      <c r="AS1606" s="227"/>
      <c r="AT1606" s="227"/>
      <c r="AU1606" s="227"/>
      <c r="AV1606" s="227"/>
    </row>
    <row r="1607">
      <c r="A1607" s="227"/>
      <c r="B1607" s="232"/>
      <c r="C1607" s="227"/>
      <c r="D1607" s="227"/>
      <c r="E1607" s="231"/>
      <c r="F1607" s="232"/>
      <c r="G1607" s="227"/>
      <c r="H1607" s="227"/>
      <c r="I1607" s="227"/>
      <c r="J1607" s="227"/>
      <c r="K1607" s="227"/>
      <c r="L1607" s="232"/>
      <c r="M1607" s="232"/>
      <c r="N1607" s="227"/>
      <c r="O1607" s="227"/>
      <c r="P1607" s="231"/>
      <c r="Q1607" s="227"/>
      <c r="R1607" s="231"/>
      <c r="S1607" s="231"/>
      <c r="T1607" s="231"/>
      <c r="U1607" s="231"/>
      <c r="V1607" s="231"/>
      <c r="W1607" s="231"/>
      <c r="X1607" s="227"/>
      <c r="Y1607" s="232"/>
      <c r="Z1607" s="232"/>
      <c r="AA1607" s="232"/>
      <c r="AB1607" s="232"/>
      <c r="AC1607" s="227"/>
      <c r="AD1607" s="227"/>
      <c r="AE1607" s="231"/>
      <c r="AF1607" s="227"/>
      <c r="AG1607" s="232"/>
      <c r="AH1607" s="232"/>
      <c r="AI1607" s="232"/>
      <c r="AJ1607" s="232"/>
      <c r="AK1607" s="232"/>
      <c r="AL1607" s="232"/>
      <c r="AM1607" s="232"/>
      <c r="AN1607" s="232"/>
      <c r="AO1607" s="231"/>
      <c r="AP1607" s="231"/>
      <c r="AQ1607" s="227"/>
      <c r="AR1607" s="231"/>
      <c r="AS1607" s="227"/>
      <c r="AT1607" s="227"/>
      <c r="AU1607" s="227"/>
      <c r="AV1607" s="227"/>
    </row>
    <row r="1608">
      <c r="A1608" s="227"/>
      <c r="B1608" s="232"/>
      <c r="C1608" s="227"/>
      <c r="D1608" s="227"/>
      <c r="E1608" s="231"/>
      <c r="F1608" s="232"/>
      <c r="G1608" s="227"/>
      <c r="H1608" s="227"/>
      <c r="I1608" s="227"/>
      <c r="J1608" s="227"/>
      <c r="K1608" s="227"/>
      <c r="L1608" s="232"/>
      <c r="M1608" s="232"/>
      <c r="N1608" s="227"/>
      <c r="O1608" s="227"/>
      <c r="P1608" s="231"/>
      <c r="Q1608" s="227"/>
      <c r="R1608" s="231"/>
      <c r="S1608" s="231"/>
      <c r="T1608" s="231"/>
      <c r="U1608" s="231"/>
      <c r="V1608" s="231"/>
      <c r="W1608" s="231"/>
      <c r="X1608" s="227"/>
      <c r="Y1608" s="232"/>
      <c r="Z1608" s="232"/>
      <c r="AA1608" s="232"/>
      <c r="AB1608" s="232"/>
      <c r="AC1608" s="227"/>
      <c r="AD1608" s="227"/>
      <c r="AE1608" s="231"/>
      <c r="AF1608" s="227"/>
      <c r="AG1608" s="232"/>
      <c r="AH1608" s="232"/>
      <c r="AI1608" s="232"/>
      <c r="AJ1608" s="232"/>
      <c r="AK1608" s="232"/>
      <c r="AL1608" s="232"/>
      <c r="AM1608" s="232"/>
      <c r="AN1608" s="232"/>
      <c r="AO1608" s="231"/>
      <c r="AP1608" s="231"/>
      <c r="AQ1608" s="227"/>
      <c r="AR1608" s="231"/>
      <c r="AS1608" s="227"/>
      <c r="AT1608" s="227"/>
      <c r="AU1608" s="227"/>
      <c r="AV1608" s="227"/>
    </row>
    <row r="1609">
      <c r="A1609" s="227"/>
      <c r="B1609" s="232"/>
      <c r="C1609" s="227"/>
      <c r="D1609" s="227"/>
      <c r="E1609" s="231"/>
      <c r="F1609" s="232"/>
      <c r="G1609" s="227"/>
      <c r="H1609" s="227"/>
      <c r="I1609" s="227"/>
      <c r="J1609" s="227"/>
      <c r="K1609" s="227"/>
      <c r="L1609" s="232"/>
      <c r="M1609" s="232"/>
      <c r="N1609" s="227"/>
      <c r="O1609" s="227"/>
      <c r="P1609" s="231"/>
      <c r="Q1609" s="227"/>
      <c r="R1609" s="231"/>
      <c r="S1609" s="231"/>
      <c r="T1609" s="231"/>
      <c r="U1609" s="231"/>
      <c r="V1609" s="231"/>
      <c r="W1609" s="231"/>
      <c r="X1609" s="227"/>
      <c r="Y1609" s="232"/>
      <c r="Z1609" s="232"/>
      <c r="AA1609" s="232"/>
      <c r="AB1609" s="232"/>
      <c r="AC1609" s="227"/>
      <c r="AD1609" s="227"/>
      <c r="AE1609" s="231"/>
      <c r="AF1609" s="227"/>
      <c r="AG1609" s="232"/>
      <c r="AH1609" s="232"/>
      <c r="AI1609" s="232"/>
      <c r="AJ1609" s="232"/>
      <c r="AK1609" s="232"/>
      <c r="AL1609" s="232"/>
      <c r="AM1609" s="232"/>
      <c r="AN1609" s="232"/>
      <c r="AO1609" s="231"/>
      <c r="AP1609" s="231"/>
      <c r="AQ1609" s="227"/>
      <c r="AR1609" s="231"/>
      <c r="AS1609" s="227"/>
      <c r="AT1609" s="227"/>
      <c r="AU1609" s="227"/>
      <c r="AV1609" s="227"/>
    </row>
    <row r="1610">
      <c r="A1610" s="227"/>
      <c r="B1610" s="232"/>
      <c r="C1610" s="227"/>
      <c r="D1610" s="227"/>
      <c r="E1610" s="231"/>
      <c r="F1610" s="232"/>
      <c r="G1610" s="227"/>
      <c r="H1610" s="227"/>
      <c r="I1610" s="227"/>
      <c r="J1610" s="227"/>
      <c r="K1610" s="227"/>
      <c r="L1610" s="232"/>
      <c r="M1610" s="232"/>
      <c r="N1610" s="227"/>
      <c r="O1610" s="227"/>
      <c r="P1610" s="231"/>
      <c r="Q1610" s="227"/>
      <c r="R1610" s="231"/>
      <c r="S1610" s="231"/>
      <c r="T1610" s="231"/>
      <c r="U1610" s="231"/>
      <c r="V1610" s="231"/>
      <c r="W1610" s="231"/>
      <c r="X1610" s="227"/>
      <c r="Y1610" s="232"/>
      <c r="Z1610" s="232"/>
      <c r="AA1610" s="232"/>
      <c r="AB1610" s="232"/>
      <c r="AC1610" s="227"/>
      <c r="AD1610" s="227"/>
      <c r="AE1610" s="231"/>
      <c r="AF1610" s="227"/>
      <c r="AG1610" s="232"/>
      <c r="AH1610" s="232"/>
      <c r="AI1610" s="232"/>
      <c r="AJ1610" s="232"/>
      <c r="AK1610" s="232"/>
      <c r="AL1610" s="232"/>
      <c r="AM1610" s="232"/>
      <c r="AN1610" s="232"/>
      <c r="AO1610" s="231"/>
      <c r="AP1610" s="231"/>
      <c r="AQ1610" s="227"/>
      <c r="AR1610" s="231"/>
      <c r="AS1610" s="227"/>
      <c r="AT1610" s="227"/>
      <c r="AU1610" s="227"/>
      <c r="AV1610" s="227"/>
    </row>
    <row r="1611">
      <c r="A1611" s="227"/>
      <c r="B1611" s="232"/>
      <c r="C1611" s="227"/>
      <c r="D1611" s="227"/>
      <c r="E1611" s="231"/>
      <c r="F1611" s="232"/>
      <c r="G1611" s="227"/>
      <c r="H1611" s="227"/>
      <c r="I1611" s="227"/>
      <c r="J1611" s="227"/>
      <c r="K1611" s="227"/>
      <c r="L1611" s="232"/>
      <c r="M1611" s="232"/>
      <c r="N1611" s="227"/>
      <c r="O1611" s="227"/>
      <c r="P1611" s="231"/>
      <c r="Q1611" s="227"/>
      <c r="R1611" s="231"/>
      <c r="S1611" s="231"/>
      <c r="T1611" s="231"/>
      <c r="U1611" s="231"/>
      <c r="V1611" s="231"/>
      <c r="W1611" s="231"/>
      <c r="X1611" s="227"/>
      <c r="Y1611" s="232"/>
      <c r="Z1611" s="232"/>
      <c r="AA1611" s="232"/>
      <c r="AB1611" s="232"/>
      <c r="AC1611" s="227"/>
      <c r="AD1611" s="227"/>
      <c r="AE1611" s="231"/>
      <c r="AF1611" s="227"/>
      <c r="AG1611" s="232"/>
      <c r="AH1611" s="232"/>
      <c r="AI1611" s="232"/>
      <c r="AJ1611" s="232"/>
      <c r="AK1611" s="232"/>
      <c r="AL1611" s="232"/>
      <c r="AM1611" s="232"/>
      <c r="AN1611" s="232"/>
      <c r="AO1611" s="231"/>
      <c r="AP1611" s="231"/>
      <c r="AQ1611" s="227"/>
      <c r="AR1611" s="231"/>
      <c r="AS1611" s="227"/>
      <c r="AT1611" s="227"/>
      <c r="AU1611" s="227"/>
      <c r="AV1611" s="227"/>
    </row>
    <row r="1612">
      <c r="A1612" s="227"/>
      <c r="B1612" s="232"/>
      <c r="C1612" s="227"/>
      <c r="D1612" s="227"/>
      <c r="E1612" s="231"/>
      <c r="F1612" s="232"/>
      <c r="G1612" s="227"/>
      <c r="H1612" s="227"/>
      <c r="I1612" s="227"/>
      <c r="J1612" s="227"/>
      <c r="K1612" s="227"/>
      <c r="L1612" s="232"/>
      <c r="M1612" s="232"/>
      <c r="N1612" s="227"/>
      <c r="O1612" s="227"/>
      <c r="P1612" s="231"/>
      <c r="Q1612" s="227"/>
      <c r="R1612" s="231"/>
      <c r="S1612" s="231"/>
      <c r="T1612" s="231"/>
      <c r="U1612" s="231"/>
      <c r="V1612" s="231"/>
      <c r="W1612" s="231"/>
      <c r="X1612" s="227"/>
      <c r="Y1612" s="232"/>
      <c r="Z1612" s="232"/>
      <c r="AA1612" s="232"/>
      <c r="AB1612" s="232"/>
      <c r="AC1612" s="227"/>
      <c r="AD1612" s="227"/>
      <c r="AE1612" s="231"/>
      <c r="AF1612" s="227"/>
      <c r="AG1612" s="232"/>
      <c r="AH1612" s="232"/>
      <c r="AI1612" s="232"/>
      <c r="AJ1612" s="232"/>
      <c r="AK1612" s="232"/>
      <c r="AL1612" s="232"/>
      <c r="AM1612" s="232"/>
      <c r="AN1612" s="232"/>
      <c r="AO1612" s="231"/>
      <c r="AP1612" s="231"/>
      <c r="AQ1612" s="227"/>
      <c r="AR1612" s="231"/>
      <c r="AS1612" s="227"/>
      <c r="AT1612" s="227"/>
      <c r="AU1612" s="227"/>
      <c r="AV1612" s="227"/>
    </row>
    <row r="1613">
      <c r="A1613" s="227"/>
      <c r="B1613" s="232"/>
      <c r="C1613" s="227"/>
      <c r="D1613" s="227"/>
      <c r="E1613" s="231"/>
      <c r="F1613" s="232"/>
      <c r="G1613" s="227"/>
      <c r="H1613" s="227"/>
      <c r="I1613" s="227"/>
      <c r="J1613" s="227"/>
      <c r="K1613" s="227"/>
      <c r="L1613" s="232"/>
      <c r="M1613" s="232"/>
      <c r="N1613" s="227"/>
      <c r="O1613" s="227"/>
      <c r="P1613" s="231"/>
      <c r="Q1613" s="227"/>
      <c r="R1613" s="231"/>
      <c r="S1613" s="231"/>
      <c r="T1613" s="231"/>
      <c r="U1613" s="231"/>
      <c r="V1613" s="231"/>
      <c r="W1613" s="231"/>
      <c r="X1613" s="227"/>
      <c r="Y1613" s="232"/>
      <c r="Z1613" s="232"/>
      <c r="AA1613" s="232"/>
      <c r="AB1613" s="232"/>
      <c r="AC1613" s="227"/>
      <c r="AD1613" s="227"/>
      <c r="AE1613" s="231"/>
      <c r="AF1613" s="227"/>
      <c r="AG1613" s="232"/>
      <c r="AH1613" s="232"/>
      <c r="AI1613" s="232"/>
      <c r="AJ1613" s="232"/>
      <c r="AK1613" s="232"/>
      <c r="AL1613" s="232"/>
      <c r="AM1613" s="232"/>
      <c r="AN1613" s="232"/>
      <c r="AO1613" s="231"/>
      <c r="AP1613" s="231"/>
      <c r="AQ1613" s="227"/>
      <c r="AR1613" s="231"/>
      <c r="AS1613" s="227"/>
      <c r="AT1613" s="227"/>
      <c r="AU1613" s="227"/>
      <c r="AV1613" s="227"/>
    </row>
    <row r="1614">
      <c r="A1614" s="227"/>
      <c r="B1614" s="232"/>
      <c r="C1614" s="227"/>
      <c r="D1614" s="227"/>
      <c r="E1614" s="231"/>
      <c r="F1614" s="232"/>
      <c r="G1614" s="227"/>
      <c r="H1614" s="227"/>
      <c r="I1614" s="227"/>
      <c r="J1614" s="227"/>
      <c r="K1614" s="227"/>
      <c r="L1614" s="232"/>
      <c r="M1614" s="232"/>
      <c r="N1614" s="227"/>
      <c r="O1614" s="227"/>
      <c r="P1614" s="231"/>
      <c r="Q1614" s="227"/>
      <c r="R1614" s="231"/>
      <c r="S1614" s="231"/>
      <c r="T1614" s="231"/>
      <c r="U1614" s="231"/>
      <c r="V1614" s="231"/>
      <c r="W1614" s="231"/>
      <c r="X1614" s="227"/>
      <c r="Y1614" s="232"/>
      <c r="Z1614" s="232"/>
      <c r="AA1614" s="232"/>
      <c r="AB1614" s="232"/>
      <c r="AC1614" s="227"/>
      <c r="AD1614" s="227"/>
      <c r="AE1614" s="231"/>
      <c r="AF1614" s="227"/>
      <c r="AG1614" s="232"/>
      <c r="AH1614" s="232"/>
      <c r="AI1614" s="232"/>
      <c r="AJ1614" s="232"/>
      <c r="AK1614" s="232"/>
      <c r="AL1614" s="232"/>
      <c r="AM1614" s="232"/>
      <c r="AN1614" s="232"/>
      <c r="AO1614" s="231"/>
      <c r="AP1614" s="231"/>
      <c r="AQ1614" s="227"/>
      <c r="AR1614" s="231"/>
      <c r="AS1614" s="227"/>
      <c r="AT1614" s="227"/>
      <c r="AU1614" s="227"/>
      <c r="AV1614" s="227"/>
    </row>
    <row r="1615">
      <c r="A1615" s="227"/>
      <c r="B1615" s="232"/>
      <c r="C1615" s="227"/>
      <c r="D1615" s="227"/>
      <c r="E1615" s="231"/>
      <c r="F1615" s="232"/>
      <c r="G1615" s="227"/>
      <c r="H1615" s="227"/>
      <c r="I1615" s="227"/>
      <c r="J1615" s="227"/>
      <c r="K1615" s="227"/>
      <c r="L1615" s="232"/>
      <c r="M1615" s="232"/>
      <c r="N1615" s="227"/>
      <c r="O1615" s="227"/>
      <c r="P1615" s="231"/>
      <c r="Q1615" s="227"/>
      <c r="R1615" s="231"/>
      <c r="S1615" s="231"/>
      <c r="T1615" s="231"/>
      <c r="U1615" s="231"/>
      <c r="V1615" s="231"/>
      <c r="W1615" s="231"/>
      <c r="X1615" s="227"/>
      <c r="Y1615" s="232"/>
      <c r="Z1615" s="232"/>
      <c r="AA1615" s="232"/>
      <c r="AB1615" s="232"/>
      <c r="AC1615" s="227"/>
      <c r="AD1615" s="227"/>
      <c r="AE1615" s="231"/>
      <c r="AF1615" s="227"/>
      <c r="AG1615" s="232"/>
      <c r="AH1615" s="232"/>
      <c r="AI1615" s="232"/>
      <c r="AJ1615" s="232"/>
      <c r="AK1615" s="232"/>
      <c r="AL1615" s="232"/>
      <c r="AM1615" s="232"/>
      <c r="AN1615" s="232"/>
      <c r="AO1615" s="231"/>
      <c r="AP1615" s="231"/>
      <c r="AQ1615" s="227"/>
      <c r="AR1615" s="231"/>
      <c r="AS1615" s="227"/>
      <c r="AT1615" s="227"/>
      <c r="AU1615" s="227"/>
      <c r="AV1615" s="227"/>
    </row>
    <row r="1616">
      <c r="A1616" s="227"/>
      <c r="B1616" s="232"/>
      <c r="C1616" s="227"/>
      <c r="D1616" s="227"/>
      <c r="E1616" s="231"/>
      <c r="F1616" s="232"/>
      <c r="G1616" s="227"/>
      <c r="H1616" s="227"/>
      <c r="I1616" s="227"/>
      <c r="J1616" s="227"/>
      <c r="K1616" s="227"/>
      <c r="L1616" s="232"/>
      <c r="M1616" s="232"/>
      <c r="N1616" s="227"/>
      <c r="O1616" s="227"/>
      <c r="P1616" s="231"/>
      <c r="Q1616" s="227"/>
      <c r="R1616" s="231"/>
      <c r="S1616" s="231"/>
      <c r="T1616" s="231"/>
      <c r="U1616" s="231"/>
      <c r="V1616" s="231"/>
      <c r="W1616" s="231"/>
      <c r="X1616" s="227"/>
      <c r="Y1616" s="232"/>
      <c r="Z1616" s="232"/>
      <c r="AA1616" s="232"/>
      <c r="AB1616" s="232"/>
      <c r="AC1616" s="227"/>
      <c r="AD1616" s="227"/>
      <c r="AE1616" s="231"/>
      <c r="AF1616" s="227"/>
      <c r="AG1616" s="232"/>
      <c r="AH1616" s="232"/>
      <c r="AI1616" s="232"/>
      <c r="AJ1616" s="232"/>
      <c r="AK1616" s="232"/>
      <c r="AL1616" s="232"/>
      <c r="AM1616" s="232"/>
      <c r="AN1616" s="232"/>
      <c r="AO1616" s="231"/>
      <c r="AP1616" s="231"/>
      <c r="AQ1616" s="227"/>
      <c r="AR1616" s="231"/>
      <c r="AS1616" s="227"/>
      <c r="AT1616" s="227"/>
      <c r="AU1616" s="227"/>
      <c r="AV1616" s="227"/>
    </row>
    <row r="1617">
      <c r="A1617" s="227"/>
      <c r="B1617" s="232"/>
      <c r="C1617" s="227"/>
      <c r="D1617" s="227"/>
      <c r="E1617" s="231"/>
      <c r="F1617" s="232"/>
      <c r="G1617" s="227"/>
      <c r="H1617" s="227"/>
      <c r="I1617" s="227"/>
      <c r="J1617" s="227"/>
      <c r="K1617" s="227"/>
      <c r="L1617" s="232"/>
      <c r="M1617" s="232"/>
      <c r="N1617" s="227"/>
      <c r="O1617" s="227"/>
      <c r="P1617" s="231"/>
      <c r="Q1617" s="227"/>
      <c r="R1617" s="231"/>
      <c r="S1617" s="231"/>
      <c r="T1617" s="231"/>
      <c r="U1617" s="231"/>
      <c r="V1617" s="231"/>
      <c r="W1617" s="231"/>
      <c r="X1617" s="227"/>
      <c r="Y1617" s="232"/>
      <c r="Z1617" s="232"/>
      <c r="AA1617" s="232"/>
      <c r="AB1617" s="232"/>
      <c r="AC1617" s="227"/>
      <c r="AD1617" s="227"/>
      <c r="AE1617" s="231"/>
      <c r="AF1617" s="227"/>
      <c r="AG1617" s="232"/>
      <c r="AH1617" s="232"/>
      <c r="AI1617" s="232"/>
      <c r="AJ1617" s="232"/>
      <c r="AK1617" s="232"/>
      <c r="AL1617" s="232"/>
      <c r="AM1617" s="232"/>
      <c r="AN1617" s="232"/>
      <c r="AO1617" s="231"/>
      <c r="AP1617" s="231"/>
      <c r="AQ1617" s="227"/>
      <c r="AR1617" s="231"/>
      <c r="AS1617" s="227"/>
      <c r="AT1617" s="227"/>
      <c r="AU1617" s="227"/>
      <c r="AV1617" s="227"/>
    </row>
    <row r="1618">
      <c r="A1618" s="227"/>
      <c r="B1618" s="232"/>
      <c r="C1618" s="227"/>
      <c r="D1618" s="227"/>
      <c r="E1618" s="231"/>
      <c r="F1618" s="232"/>
      <c r="G1618" s="227"/>
      <c r="H1618" s="227"/>
      <c r="I1618" s="227"/>
      <c r="J1618" s="227"/>
      <c r="K1618" s="227"/>
      <c r="L1618" s="232"/>
      <c r="M1618" s="232"/>
      <c r="N1618" s="227"/>
      <c r="O1618" s="227"/>
      <c r="P1618" s="231"/>
      <c r="Q1618" s="227"/>
      <c r="R1618" s="231"/>
      <c r="S1618" s="231"/>
      <c r="T1618" s="231"/>
      <c r="U1618" s="231"/>
      <c r="V1618" s="231"/>
      <c r="W1618" s="231"/>
      <c r="X1618" s="227"/>
      <c r="Y1618" s="232"/>
      <c r="Z1618" s="232"/>
      <c r="AA1618" s="232"/>
      <c r="AB1618" s="232"/>
      <c r="AC1618" s="227"/>
      <c r="AD1618" s="227"/>
      <c r="AE1618" s="231"/>
      <c r="AF1618" s="227"/>
      <c r="AG1618" s="232"/>
      <c r="AH1618" s="232"/>
      <c r="AI1618" s="232"/>
      <c r="AJ1618" s="232"/>
      <c r="AK1618" s="232"/>
      <c r="AL1618" s="232"/>
      <c r="AM1618" s="232"/>
      <c r="AN1618" s="232"/>
      <c r="AO1618" s="231"/>
      <c r="AP1618" s="231"/>
      <c r="AQ1618" s="227"/>
      <c r="AR1618" s="231"/>
      <c r="AS1618" s="227"/>
      <c r="AT1618" s="227"/>
      <c r="AU1618" s="227"/>
      <c r="AV1618" s="227"/>
    </row>
    <row r="1619">
      <c r="A1619" s="227"/>
      <c r="B1619" s="232"/>
      <c r="C1619" s="227"/>
      <c r="D1619" s="227"/>
      <c r="E1619" s="231"/>
      <c r="F1619" s="232"/>
      <c r="G1619" s="227"/>
      <c r="H1619" s="227"/>
      <c r="I1619" s="227"/>
      <c r="J1619" s="227"/>
      <c r="K1619" s="227"/>
      <c r="L1619" s="232"/>
      <c r="M1619" s="232"/>
      <c r="N1619" s="227"/>
      <c r="O1619" s="227"/>
      <c r="P1619" s="231"/>
      <c r="Q1619" s="227"/>
      <c r="R1619" s="231"/>
      <c r="S1619" s="231"/>
      <c r="T1619" s="231"/>
      <c r="U1619" s="231"/>
      <c r="V1619" s="231"/>
      <c r="W1619" s="231"/>
      <c r="X1619" s="227"/>
      <c r="Y1619" s="232"/>
      <c r="Z1619" s="232"/>
      <c r="AA1619" s="232"/>
      <c r="AB1619" s="232"/>
      <c r="AC1619" s="227"/>
      <c r="AD1619" s="227"/>
      <c r="AE1619" s="231"/>
      <c r="AF1619" s="227"/>
      <c r="AG1619" s="232"/>
      <c r="AH1619" s="232"/>
      <c r="AI1619" s="232"/>
      <c r="AJ1619" s="232"/>
      <c r="AK1619" s="232"/>
      <c r="AL1619" s="232"/>
      <c r="AM1619" s="232"/>
      <c r="AN1619" s="232"/>
      <c r="AO1619" s="231"/>
      <c r="AP1619" s="231"/>
      <c r="AQ1619" s="227"/>
      <c r="AR1619" s="231"/>
      <c r="AS1619" s="227"/>
      <c r="AT1619" s="227"/>
      <c r="AU1619" s="227"/>
      <c r="AV1619" s="227"/>
    </row>
    <row r="1620">
      <c r="A1620" s="227"/>
      <c r="B1620" s="232"/>
      <c r="C1620" s="227"/>
      <c r="D1620" s="227"/>
      <c r="E1620" s="231"/>
      <c r="F1620" s="232"/>
      <c r="G1620" s="227"/>
      <c r="H1620" s="227"/>
      <c r="I1620" s="227"/>
      <c r="J1620" s="227"/>
      <c r="K1620" s="227"/>
      <c r="L1620" s="232"/>
      <c r="M1620" s="232"/>
      <c r="N1620" s="227"/>
      <c r="O1620" s="227"/>
      <c r="P1620" s="231"/>
      <c r="Q1620" s="227"/>
      <c r="R1620" s="231"/>
      <c r="S1620" s="231"/>
      <c r="T1620" s="231"/>
      <c r="U1620" s="231"/>
      <c r="V1620" s="231"/>
      <c r="W1620" s="231"/>
      <c r="X1620" s="227"/>
      <c r="Y1620" s="232"/>
      <c r="Z1620" s="232"/>
      <c r="AA1620" s="232"/>
      <c r="AB1620" s="232"/>
      <c r="AC1620" s="227"/>
      <c r="AD1620" s="227"/>
      <c r="AE1620" s="231"/>
      <c r="AF1620" s="227"/>
      <c r="AG1620" s="232"/>
      <c r="AH1620" s="232"/>
      <c r="AI1620" s="232"/>
      <c r="AJ1620" s="232"/>
      <c r="AK1620" s="232"/>
      <c r="AL1620" s="232"/>
      <c r="AM1620" s="232"/>
      <c r="AN1620" s="232"/>
      <c r="AO1620" s="231"/>
      <c r="AP1620" s="231"/>
      <c r="AQ1620" s="227"/>
      <c r="AR1620" s="231"/>
      <c r="AS1620" s="227"/>
      <c r="AT1620" s="227"/>
      <c r="AU1620" s="227"/>
      <c r="AV1620" s="227"/>
    </row>
    <row r="1621">
      <c r="A1621" s="227"/>
      <c r="B1621" s="232"/>
      <c r="C1621" s="227"/>
      <c r="D1621" s="227"/>
      <c r="E1621" s="231"/>
      <c r="F1621" s="232"/>
      <c r="G1621" s="227"/>
      <c r="H1621" s="227"/>
      <c r="I1621" s="227"/>
      <c r="J1621" s="227"/>
      <c r="K1621" s="227"/>
      <c r="L1621" s="232"/>
      <c r="M1621" s="232"/>
      <c r="N1621" s="227"/>
      <c r="O1621" s="227"/>
      <c r="P1621" s="231"/>
      <c r="Q1621" s="227"/>
      <c r="R1621" s="231"/>
      <c r="S1621" s="231"/>
      <c r="T1621" s="231"/>
      <c r="U1621" s="231"/>
      <c r="V1621" s="231"/>
      <c r="W1621" s="231"/>
      <c r="X1621" s="227"/>
      <c r="Y1621" s="232"/>
      <c r="Z1621" s="232"/>
      <c r="AA1621" s="232"/>
      <c r="AB1621" s="232"/>
      <c r="AC1621" s="227"/>
      <c r="AD1621" s="227"/>
      <c r="AE1621" s="231"/>
      <c r="AF1621" s="227"/>
      <c r="AG1621" s="232"/>
      <c r="AH1621" s="232"/>
      <c r="AI1621" s="232"/>
      <c r="AJ1621" s="232"/>
      <c r="AK1621" s="232"/>
      <c r="AL1621" s="232"/>
      <c r="AM1621" s="232"/>
      <c r="AN1621" s="232"/>
      <c r="AO1621" s="231"/>
      <c r="AP1621" s="231"/>
      <c r="AQ1621" s="227"/>
      <c r="AR1621" s="231"/>
      <c r="AS1621" s="227"/>
      <c r="AT1621" s="227"/>
      <c r="AU1621" s="227"/>
      <c r="AV1621" s="227"/>
    </row>
    <row r="1622">
      <c r="A1622" s="227"/>
      <c r="B1622" s="232"/>
      <c r="C1622" s="227"/>
      <c r="D1622" s="227"/>
      <c r="E1622" s="231"/>
      <c r="F1622" s="232"/>
      <c r="G1622" s="227"/>
      <c r="H1622" s="227"/>
      <c r="I1622" s="227"/>
      <c r="J1622" s="227"/>
      <c r="K1622" s="227"/>
      <c r="L1622" s="232"/>
      <c r="M1622" s="232"/>
      <c r="N1622" s="227"/>
      <c r="O1622" s="227"/>
      <c r="P1622" s="231"/>
      <c r="Q1622" s="227"/>
      <c r="R1622" s="231"/>
      <c r="S1622" s="231"/>
      <c r="T1622" s="231"/>
      <c r="U1622" s="231"/>
      <c r="V1622" s="231"/>
      <c r="W1622" s="231"/>
      <c r="X1622" s="227"/>
      <c r="Y1622" s="232"/>
      <c r="Z1622" s="232"/>
      <c r="AA1622" s="232"/>
      <c r="AB1622" s="232"/>
      <c r="AC1622" s="227"/>
      <c r="AD1622" s="227"/>
      <c r="AE1622" s="231"/>
      <c r="AF1622" s="227"/>
      <c r="AG1622" s="232"/>
      <c r="AH1622" s="232"/>
      <c r="AI1622" s="232"/>
      <c r="AJ1622" s="232"/>
      <c r="AK1622" s="232"/>
      <c r="AL1622" s="232"/>
      <c r="AM1622" s="232"/>
      <c r="AN1622" s="232"/>
      <c r="AO1622" s="231"/>
      <c r="AP1622" s="231"/>
      <c r="AQ1622" s="227"/>
      <c r="AR1622" s="231"/>
      <c r="AS1622" s="227"/>
      <c r="AT1622" s="227"/>
      <c r="AU1622" s="227"/>
      <c r="AV1622" s="227"/>
    </row>
    <row r="1623">
      <c r="A1623" s="227"/>
      <c r="B1623" s="232"/>
      <c r="C1623" s="227"/>
      <c r="D1623" s="227"/>
      <c r="E1623" s="231"/>
      <c r="F1623" s="232"/>
      <c r="G1623" s="227"/>
      <c r="H1623" s="227"/>
      <c r="I1623" s="227"/>
      <c r="J1623" s="227"/>
      <c r="K1623" s="227"/>
      <c r="L1623" s="232"/>
      <c r="M1623" s="232"/>
      <c r="N1623" s="227"/>
      <c r="O1623" s="227"/>
      <c r="P1623" s="231"/>
      <c r="Q1623" s="227"/>
      <c r="R1623" s="231"/>
      <c r="S1623" s="231"/>
      <c r="T1623" s="231"/>
      <c r="U1623" s="231"/>
      <c r="V1623" s="231"/>
      <c r="W1623" s="231"/>
      <c r="X1623" s="227"/>
      <c r="Y1623" s="232"/>
      <c r="Z1623" s="232"/>
      <c r="AA1623" s="232"/>
      <c r="AB1623" s="232"/>
      <c r="AC1623" s="227"/>
      <c r="AD1623" s="227"/>
      <c r="AE1623" s="231"/>
      <c r="AF1623" s="227"/>
      <c r="AG1623" s="232"/>
      <c r="AH1623" s="232"/>
      <c r="AI1623" s="232"/>
      <c r="AJ1623" s="232"/>
      <c r="AK1623" s="232"/>
      <c r="AL1623" s="232"/>
      <c r="AM1623" s="232"/>
      <c r="AN1623" s="232"/>
      <c r="AO1623" s="231"/>
      <c r="AP1623" s="231"/>
      <c r="AQ1623" s="227"/>
      <c r="AR1623" s="231"/>
      <c r="AS1623" s="227"/>
      <c r="AT1623" s="227"/>
      <c r="AU1623" s="227"/>
      <c r="AV1623" s="227"/>
    </row>
    <row r="1624">
      <c r="A1624" s="227"/>
      <c r="B1624" s="232"/>
      <c r="C1624" s="227"/>
      <c r="D1624" s="227"/>
      <c r="E1624" s="231"/>
      <c r="F1624" s="232"/>
      <c r="G1624" s="227"/>
      <c r="H1624" s="227"/>
      <c r="I1624" s="227"/>
      <c r="J1624" s="227"/>
      <c r="K1624" s="227"/>
      <c r="L1624" s="232"/>
      <c r="M1624" s="232"/>
      <c r="N1624" s="227"/>
      <c r="O1624" s="227"/>
      <c r="P1624" s="231"/>
      <c r="Q1624" s="227"/>
      <c r="R1624" s="231"/>
      <c r="S1624" s="231"/>
      <c r="T1624" s="231"/>
      <c r="U1624" s="231"/>
      <c r="V1624" s="231"/>
      <c r="W1624" s="231"/>
      <c r="X1624" s="227"/>
      <c r="Y1624" s="232"/>
      <c r="Z1624" s="232"/>
      <c r="AA1624" s="232"/>
      <c r="AB1624" s="232"/>
      <c r="AC1624" s="227"/>
      <c r="AD1624" s="227"/>
      <c r="AE1624" s="231"/>
      <c r="AF1624" s="227"/>
      <c r="AG1624" s="232"/>
      <c r="AH1624" s="232"/>
      <c r="AI1624" s="232"/>
      <c r="AJ1624" s="232"/>
      <c r="AK1624" s="232"/>
      <c r="AL1624" s="232"/>
      <c r="AM1624" s="232"/>
      <c r="AN1624" s="232"/>
      <c r="AO1624" s="231"/>
      <c r="AP1624" s="231"/>
      <c r="AQ1624" s="227"/>
      <c r="AR1624" s="231"/>
      <c r="AS1624" s="227"/>
      <c r="AT1624" s="227"/>
      <c r="AU1624" s="227"/>
      <c r="AV1624" s="227"/>
    </row>
    <row r="1625">
      <c r="A1625" s="227"/>
      <c r="B1625" s="232"/>
      <c r="C1625" s="227"/>
      <c r="D1625" s="227"/>
      <c r="E1625" s="231"/>
      <c r="F1625" s="232"/>
      <c r="G1625" s="227"/>
      <c r="H1625" s="227"/>
      <c r="I1625" s="227"/>
      <c r="J1625" s="227"/>
      <c r="K1625" s="227"/>
      <c r="L1625" s="232"/>
      <c r="M1625" s="232"/>
      <c r="N1625" s="227"/>
      <c r="O1625" s="227"/>
      <c r="P1625" s="231"/>
      <c r="Q1625" s="227"/>
      <c r="R1625" s="231"/>
      <c r="S1625" s="231"/>
      <c r="T1625" s="231"/>
      <c r="U1625" s="231"/>
      <c r="V1625" s="231"/>
      <c r="W1625" s="231"/>
      <c r="X1625" s="227"/>
      <c r="Y1625" s="232"/>
      <c r="Z1625" s="232"/>
      <c r="AA1625" s="232"/>
      <c r="AB1625" s="232"/>
      <c r="AC1625" s="227"/>
      <c r="AD1625" s="227"/>
      <c r="AE1625" s="231"/>
      <c r="AF1625" s="227"/>
      <c r="AG1625" s="232"/>
      <c r="AH1625" s="232"/>
      <c r="AI1625" s="232"/>
      <c r="AJ1625" s="232"/>
      <c r="AK1625" s="232"/>
      <c r="AL1625" s="232"/>
      <c r="AM1625" s="232"/>
      <c r="AN1625" s="232"/>
      <c r="AO1625" s="231"/>
      <c r="AP1625" s="231"/>
      <c r="AQ1625" s="227"/>
      <c r="AR1625" s="231"/>
      <c r="AS1625" s="227"/>
      <c r="AT1625" s="227"/>
      <c r="AU1625" s="227"/>
      <c r="AV1625" s="227"/>
    </row>
    <row r="1626">
      <c r="A1626" s="227"/>
      <c r="B1626" s="232"/>
      <c r="C1626" s="227"/>
      <c r="D1626" s="227"/>
      <c r="E1626" s="231"/>
      <c r="F1626" s="232"/>
      <c r="G1626" s="227"/>
      <c r="H1626" s="227"/>
      <c r="I1626" s="227"/>
      <c r="J1626" s="227"/>
      <c r="K1626" s="227"/>
      <c r="L1626" s="232"/>
      <c r="M1626" s="232"/>
      <c r="N1626" s="227"/>
      <c r="O1626" s="227"/>
      <c r="P1626" s="231"/>
      <c r="Q1626" s="227"/>
      <c r="R1626" s="231"/>
      <c r="S1626" s="231"/>
      <c r="T1626" s="231"/>
      <c r="U1626" s="231"/>
      <c r="V1626" s="231"/>
      <c r="W1626" s="231"/>
      <c r="X1626" s="227"/>
      <c r="Y1626" s="232"/>
      <c r="Z1626" s="232"/>
      <c r="AA1626" s="232"/>
      <c r="AB1626" s="232"/>
      <c r="AC1626" s="227"/>
      <c r="AD1626" s="227"/>
      <c r="AE1626" s="231"/>
      <c r="AF1626" s="227"/>
      <c r="AG1626" s="232"/>
      <c r="AH1626" s="232"/>
      <c r="AI1626" s="232"/>
      <c r="AJ1626" s="232"/>
      <c r="AK1626" s="232"/>
      <c r="AL1626" s="232"/>
      <c r="AM1626" s="232"/>
      <c r="AN1626" s="232"/>
      <c r="AO1626" s="231"/>
      <c r="AP1626" s="231"/>
      <c r="AQ1626" s="227"/>
      <c r="AR1626" s="231"/>
      <c r="AS1626" s="227"/>
      <c r="AT1626" s="227"/>
      <c r="AU1626" s="227"/>
      <c r="AV1626" s="227"/>
    </row>
    <row r="1627">
      <c r="A1627" s="227"/>
      <c r="B1627" s="232"/>
      <c r="C1627" s="227"/>
      <c r="D1627" s="227"/>
      <c r="E1627" s="231"/>
      <c r="F1627" s="232"/>
      <c r="G1627" s="227"/>
      <c r="H1627" s="227"/>
      <c r="I1627" s="227"/>
      <c r="J1627" s="227"/>
      <c r="K1627" s="227"/>
      <c r="L1627" s="232"/>
      <c r="M1627" s="232"/>
      <c r="N1627" s="227"/>
      <c r="O1627" s="227"/>
      <c r="P1627" s="231"/>
      <c r="Q1627" s="227"/>
      <c r="R1627" s="231"/>
      <c r="S1627" s="231"/>
      <c r="T1627" s="231"/>
      <c r="U1627" s="231"/>
      <c r="V1627" s="231"/>
      <c r="W1627" s="231"/>
      <c r="X1627" s="227"/>
      <c r="Y1627" s="232"/>
      <c r="Z1627" s="232"/>
      <c r="AA1627" s="232"/>
      <c r="AB1627" s="232"/>
      <c r="AC1627" s="227"/>
      <c r="AD1627" s="227"/>
      <c r="AE1627" s="231"/>
      <c r="AF1627" s="227"/>
      <c r="AG1627" s="232"/>
      <c r="AH1627" s="232"/>
      <c r="AI1627" s="232"/>
      <c r="AJ1627" s="232"/>
      <c r="AK1627" s="232"/>
      <c r="AL1627" s="232"/>
      <c r="AM1627" s="232"/>
      <c r="AN1627" s="232"/>
      <c r="AO1627" s="231"/>
      <c r="AP1627" s="231"/>
      <c r="AQ1627" s="227"/>
      <c r="AR1627" s="231"/>
      <c r="AS1627" s="227"/>
      <c r="AT1627" s="227"/>
      <c r="AU1627" s="227"/>
      <c r="AV1627" s="227"/>
    </row>
    <row r="1628">
      <c r="A1628" s="227"/>
      <c r="B1628" s="232"/>
      <c r="C1628" s="227"/>
      <c r="D1628" s="227"/>
      <c r="E1628" s="231"/>
      <c r="F1628" s="232"/>
      <c r="G1628" s="227"/>
      <c r="H1628" s="227"/>
      <c r="I1628" s="227"/>
      <c r="J1628" s="227"/>
      <c r="K1628" s="227"/>
      <c r="L1628" s="232"/>
      <c r="M1628" s="232"/>
      <c r="N1628" s="227"/>
      <c r="O1628" s="227"/>
      <c r="P1628" s="231"/>
      <c r="Q1628" s="227"/>
      <c r="R1628" s="231"/>
      <c r="S1628" s="231"/>
      <c r="T1628" s="231"/>
      <c r="U1628" s="231"/>
      <c r="V1628" s="231"/>
      <c r="W1628" s="231"/>
      <c r="X1628" s="227"/>
      <c r="Y1628" s="232"/>
      <c r="Z1628" s="232"/>
      <c r="AA1628" s="232"/>
      <c r="AB1628" s="232"/>
      <c r="AC1628" s="227"/>
      <c r="AD1628" s="227"/>
      <c r="AE1628" s="231"/>
      <c r="AF1628" s="227"/>
      <c r="AG1628" s="232"/>
      <c r="AH1628" s="232"/>
      <c r="AI1628" s="232"/>
      <c r="AJ1628" s="232"/>
      <c r="AK1628" s="232"/>
      <c r="AL1628" s="232"/>
      <c r="AM1628" s="232"/>
      <c r="AN1628" s="232"/>
      <c r="AO1628" s="231"/>
      <c r="AP1628" s="231"/>
      <c r="AQ1628" s="227"/>
      <c r="AR1628" s="231"/>
      <c r="AS1628" s="227"/>
      <c r="AT1628" s="227"/>
      <c r="AU1628" s="227"/>
      <c r="AV1628" s="227"/>
    </row>
    <row r="1629">
      <c r="A1629" s="227"/>
      <c r="B1629" s="232"/>
      <c r="C1629" s="227"/>
      <c r="D1629" s="227"/>
      <c r="E1629" s="231"/>
      <c r="F1629" s="232"/>
      <c r="G1629" s="227"/>
      <c r="H1629" s="227"/>
      <c r="I1629" s="227"/>
      <c r="J1629" s="227"/>
      <c r="K1629" s="227"/>
      <c r="L1629" s="232"/>
      <c r="M1629" s="232"/>
      <c r="N1629" s="227"/>
      <c r="O1629" s="227"/>
      <c r="P1629" s="231"/>
      <c r="Q1629" s="227"/>
      <c r="R1629" s="231"/>
      <c r="S1629" s="231"/>
      <c r="T1629" s="231"/>
      <c r="U1629" s="231"/>
      <c r="V1629" s="231"/>
      <c r="W1629" s="231"/>
      <c r="X1629" s="227"/>
      <c r="Y1629" s="232"/>
      <c r="Z1629" s="232"/>
      <c r="AA1629" s="232"/>
      <c r="AB1629" s="232"/>
      <c r="AC1629" s="227"/>
      <c r="AD1629" s="227"/>
      <c r="AE1629" s="231"/>
      <c r="AF1629" s="227"/>
      <c r="AG1629" s="232"/>
      <c r="AH1629" s="232"/>
      <c r="AI1629" s="232"/>
      <c r="AJ1629" s="232"/>
      <c r="AK1629" s="232"/>
      <c r="AL1629" s="232"/>
      <c r="AM1629" s="232"/>
      <c r="AN1629" s="232"/>
      <c r="AO1629" s="231"/>
      <c r="AP1629" s="231"/>
      <c r="AQ1629" s="227"/>
      <c r="AR1629" s="231"/>
      <c r="AS1629" s="227"/>
      <c r="AT1629" s="227"/>
      <c r="AU1629" s="227"/>
      <c r="AV1629" s="227"/>
    </row>
    <row r="1630">
      <c r="A1630" s="227"/>
      <c r="B1630" s="232"/>
      <c r="C1630" s="227"/>
      <c r="D1630" s="227"/>
      <c r="E1630" s="231"/>
      <c r="F1630" s="232"/>
      <c r="G1630" s="227"/>
      <c r="H1630" s="227"/>
      <c r="I1630" s="227"/>
      <c r="J1630" s="227"/>
      <c r="K1630" s="227"/>
      <c r="L1630" s="232"/>
      <c r="M1630" s="232"/>
      <c r="N1630" s="227"/>
      <c r="O1630" s="227"/>
      <c r="P1630" s="231"/>
      <c r="Q1630" s="227"/>
      <c r="R1630" s="231"/>
      <c r="S1630" s="231"/>
      <c r="T1630" s="231"/>
      <c r="U1630" s="231"/>
      <c r="V1630" s="231"/>
      <c r="W1630" s="231"/>
      <c r="X1630" s="227"/>
      <c r="Y1630" s="232"/>
      <c r="Z1630" s="232"/>
      <c r="AA1630" s="232"/>
      <c r="AB1630" s="232"/>
      <c r="AC1630" s="227"/>
      <c r="AD1630" s="227"/>
      <c r="AE1630" s="231"/>
      <c r="AF1630" s="227"/>
      <c r="AG1630" s="232"/>
      <c r="AH1630" s="232"/>
      <c r="AI1630" s="232"/>
      <c r="AJ1630" s="232"/>
      <c r="AK1630" s="232"/>
      <c r="AL1630" s="232"/>
      <c r="AM1630" s="232"/>
      <c r="AN1630" s="232"/>
      <c r="AO1630" s="231"/>
      <c r="AP1630" s="231"/>
      <c r="AQ1630" s="227"/>
      <c r="AR1630" s="231"/>
      <c r="AS1630" s="227"/>
      <c r="AT1630" s="227"/>
      <c r="AU1630" s="227"/>
      <c r="AV1630" s="227"/>
    </row>
    <row r="1631">
      <c r="A1631" s="227"/>
      <c r="B1631" s="232"/>
      <c r="C1631" s="227"/>
      <c r="D1631" s="227"/>
      <c r="E1631" s="231"/>
      <c r="F1631" s="232"/>
      <c r="G1631" s="227"/>
      <c r="H1631" s="227"/>
      <c r="I1631" s="227"/>
      <c r="J1631" s="227"/>
      <c r="K1631" s="227"/>
      <c r="L1631" s="232"/>
      <c r="M1631" s="232"/>
      <c r="N1631" s="227"/>
      <c r="O1631" s="227"/>
      <c r="P1631" s="231"/>
      <c r="Q1631" s="227"/>
      <c r="R1631" s="231"/>
      <c r="S1631" s="231"/>
      <c r="T1631" s="231"/>
      <c r="U1631" s="231"/>
      <c r="V1631" s="231"/>
      <c r="W1631" s="231"/>
      <c r="X1631" s="227"/>
      <c r="Y1631" s="232"/>
      <c r="Z1631" s="232"/>
      <c r="AA1631" s="232"/>
      <c r="AB1631" s="232"/>
      <c r="AC1631" s="227"/>
      <c r="AD1631" s="227"/>
      <c r="AE1631" s="231"/>
      <c r="AF1631" s="227"/>
      <c r="AG1631" s="232"/>
      <c r="AH1631" s="232"/>
      <c r="AI1631" s="232"/>
      <c r="AJ1631" s="232"/>
      <c r="AK1631" s="232"/>
      <c r="AL1631" s="232"/>
      <c r="AM1631" s="232"/>
      <c r="AN1631" s="232"/>
      <c r="AO1631" s="231"/>
      <c r="AP1631" s="231"/>
      <c r="AQ1631" s="227"/>
      <c r="AR1631" s="231"/>
      <c r="AS1631" s="227"/>
      <c r="AT1631" s="227"/>
      <c r="AU1631" s="227"/>
      <c r="AV1631" s="227"/>
    </row>
    <row r="1632">
      <c r="A1632" s="227"/>
      <c r="B1632" s="232"/>
      <c r="C1632" s="227"/>
      <c r="D1632" s="227"/>
      <c r="E1632" s="231"/>
      <c r="F1632" s="232"/>
      <c r="G1632" s="227"/>
      <c r="H1632" s="227"/>
      <c r="I1632" s="227"/>
      <c r="J1632" s="227"/>
      <c r="K1632" s="227"/>
      <c r="L1632" s="232"/>
      <c r="M1632" s="232"/>
      <c r="N1632" s="227"/>
      <c r="O1632" s="227"/>
      <c r="P1632" s="231"/>
      <c r="Q1632" s="227"/>
      <c r="R1632" s="231"/>
      <c r="S1632" s="231"/>
      <c r="T1632" s="231"/>
      <c r="U1632" s="231"/>
      <c r="V1632" s="231"/>
      <c r="W1632" s="231"/>
      <c r="X1632" s="227"/>
      <c r="Y1632" s="232"/>
      <c r="Z1632" s="232"/>
      <c r="AA1632" s="232"/>
      <c r="AB1632" s="232"/>
      <c r="AC1632" s="227"/>
      <c r="AD1632" s="227"/>
      <c r="AE1632" s="231"/>
      <c r="AF1632" s="227"/>
      <c r="AG1632" s="232"/>
      <c r="AH1632" s="232"/>
      <c r="AI1632" s="232"/>
      <c r="AJ1632" s="232"/>
      <c r="AK1632" s="232"/>
      <c r="AL1632" s="232"/>
      <c r="AM1632" s="232"/>
      <c r="AN1632" s="232"/>
      <c r="AO1632" s="231"/>
      <c r="AP1632" s="231"/>
      <c r="AQ1632" s="227"/>
      <c r="AR1632" s="231"/>
      <c r="AS1632" s="227"/>
      <c r="AT1632" s="227"/>
      <c r="AU1632" s="227"/>
      <c r="AV1632" s="227"/>
    </row>
    <row r="1633">
      <c r="A1633" s="227"/>
      <c r="B1633" s="232"/>
      <c r="C1633" s="227"/>
      <c r="D1633" s="227"/>
      <c r="E1633" s="231"/>
      <c r="F1633" s="232"/>
      <c r="G1633" s="227"/>
      <c r="H1633" s="227"/>
      <c r="I1633" s="227"/>
      <c r="J1633" s="227"/>
      <c r="K1633" s="227"/>
      <c r="L1633" s="232"/>
      <c r="M1633" s="232"/>
      <c r="N1633" s="227"/>
      <c r="O1633" s="227"/>
      <c r="P1633" s="231"/>
      <c r="Q1633" s="227"/>
      <c r="R1633" s="231"/>
      <c r="S1633" s="231"/>
      <c r="T1633" s="231"/>
      <c r="U1633" s="231"/>
      <c r="V1633" s="231"/>
      <c r="W1633" s="231"/>
      <c r="X1633" s="227"/>
      <c r="Y1633" s="232"/>
      <c r="Z1633" s="232"/>
      <c r="AA1633" s="232"/>
      <c r="AB1633" s="232"/>
      <c r="AC1633" s="227"/>
      <c r="AD1633" s="227"/>
      <c r="AE1633" s="231"/>
      <c r="AF1633" s="227"/>
      <c r="AG1633" s="232"/>
      <c r="AH1633" s="232"/>
      <c r="AI1633" s="232"/>
      <c r="AJ1633" s="232"/>
      <c r="AK1633" s="232"/>
      <c r="AL1633" s="232"/>
      <c r="AM1633" s="232"/>
      <c r="AN1633" s="232"/>
      <c r="AO1633" s="231"/>
      <c r="AP1633" s="231"/>
      <c r="AQ1633" s="227"/>
      <c r="AR1633" s="231"/>
      <c r="AS1633" s="227"/>
      <c r="AT1633" s="227"/>
      <c r="AU1633" s="227"/>
      <c r="AV1633" s="227"/>
    </row>
    <row r="1634">
      <c r="A1634" s="227"/>
      <c r="B1634" s="232"/>
      <c r="C1634" s="227"/>
      <c r="D1634" s="227"/>
      <c r="E1634" s="231"/>
      <c r="F1634" s="232"/>
      <c r="G1634" s="227"/>
      <c r="H1634" s="227"/>
      <c r="I1634" s="227"/>
      <c r="J1634" s="227"/>
      <c r="K1634" s="227"/>
      <c r="L1634" s="232"/>
      <c r="M1634" s="232"/>
      <c r="N1634" s="227"/>
      <c r="O1634" s="227"/>
      <c r="P1634" s="231"/>
      <c r="Q1634" s="227"/>
      <c r="R1634" s="231"/>
      <c r="S1634" s="231"/>
      <c r="T1634" s="231"/>
      <c r="U1634" s="231"/>
      <c r="V1634" s="231"/>
      <c r="W1634" s="231"/>
      <c r="X1634" s="227"/>
      <c r="Y1634" s="232"/>
      <c r="Z1634" s="232"/>
      <c r="AA1634" s="232"/>
      <c r="AB1634" s="232"/>
      <c r="AC1634" s="227"/>
      <c r="AD1634" s="227"/>
      <c r="AE1634" s="231"/>
      <c r="AF1634" s="227"/>
      <c r="AG1634" s="232"/>
      <c r="AH1634" s="232"/>
      <c r="AI1634" s="232"/>
      <c r="AJ1634" s="232"/>
      <c r="AK1634" s="232"/>
      <c r="AL1634" s="232"/>
      <c r="AM1634" s="232"/>
      <c r="AN1634" s="232"/>
      <c r="AO1634" s="231"/>
      <c r="AP1634" s="231"/>
      <c r="AQ1634" s="227"/>
      <c r="AR1634" s="231"/>
      <c r="AS1634" s="227"/>
      <c r="AT1634" s="227"/>
      <c r="AU1634" s="227"/>
      <c r="AV1634" s="227"/>
    </row>
    <row r="1635">
      <c r="A1635" s="227"/>
      <c r="B1635" s="232"/>
      <c r="C1635" s="227"/>
      <c r="D1635" s="227"/>
      <c r="E1635" s="231"/>
      <c r="F1635" s="232"/>
      <c r="G1635" s="227"/>
      <c r="H1635" s="227"/>
      <c r="I1635" s="227"/>
      <c r="J1635" s="227"/>
      <c r="K1635" s="227"/>
      <c r="L1635" s="232"/>
      <c r="M1635" s="232"/>
      <c r="N1635" s="227"/>
      <c r="O1635" s="227"/>
      <c r="P1635" s="231"/>
      <c r="Q1635" s="227"/>
      <c r="R1635" s="231"/>
      <c r="S1635" s="231"/>
      <c r="T1635" s="231"/>
      <c r="U1635" s="231"/>
      <c r="V1635" s="231"/>
      <c r="W1635" s="231"/>
      <c r="X1635" s="227"/>
      <c r="Y1635" s="232"/>
      <c r="Z1635" s="232"/>
      <c r="AA1635" s="232"/>
      <c r="AB1635" s="232"/>
      <c r="AC1635" s="227"/>
      <c r="AD1635" s="227"/>
      <c r="AE1635" s="231"/>
      <c r="AF1635" s="227"/>
      <c r="AG1635" s="232"/>
      <c r="AH1635" s="232"/>
      <c r="AI1635" s="232"/>
      <c r="AJ1635" s="232"/>
      <c r="AK1635" s="232"/>
      <c r="AL1635" s="232"/>
      <c r="AM1635" s="232"/>
      <c r="AN1635" s="232"/>
      <c r="AO1635" s="231"/>
      <c r="AP1635" s="231"/>
      <c r="AQ1635" s="227"/>
      <c r="AR1635" s="227"/>
      <c r="AS1635" s="227"/>
      <c r="AT1635" s="227"/>
      <c r="AU1635" s="227"/>
      <c r="AV1635" s="227"/>
    </row>
    <row r="1636">
      <c r="A1636" s="227"/>
      <c r="B1636" s="232"/>
      <c r="C1636" s="227"/>
      <c r="D1636" s="227"/>
      <c r="E1636" s="231"/>
      <c r="F1636" s="232"/>
      <c r="G1636" s="227"/>
      <c r="H1636" s="227"/>
      <c r="I1636" s="227"/>
      <c r="J1636" s="227"/>
      <c r="K1636" s="227"/>
      <c r="L1636" s="232"/>
      <c r="M1636" s="232"/>
      <c r="N1636" s="227"/>
      <c r="O1636" s="227"/>
      <c r="P1636" s="231"/>
      <c r="Q1636" s="227"/>
      <c r="R1636" s="231"/>
      <c r="S1636" s="231"/>
      <c r="T1636" s="231"/>
      <c r="U1636" s="231"/>
      <c r="V1636" s="231"/>
      <c r="W1636" s="231"/>
      <c r="X1636" s="227"/>
      <c r="Y1636" s="232"/>
      <c r="Z1636" s="232"/>
      <c r="AA1636" s="232"/>
      <c r="AB1636" s="232"/>
      <c r="AC1636" s="227"/>
      <c r="AD1636" s="227"/>
      <c r="AE1636" s="231"/>
      <c r="AF1636" s="227"/>
      <c r="AG1636" s="232"/>
      <c r="AH1636" s="232"/>
      <c r="AI1636" s="232"/>
      <c r="AJ1636" s="232"/>
      <c r="AK1636" s="232"/>
      <c r="AL1636" s="232"/>
      <c r="AM1636" s="232"/>
      <c r="AN1636" s="232"/>
      <c r="AO1636" s="231"/>
      <c r="AP1636" s="231"/>
      <c r="AQ1636" s="227"/>
      <c r="AR1636" s="231"/>
      <c r="AS1636" s="227"/>
      <c r="AT1636" s="227"/>
      <c r="AU1636" s="227"/>
      <c r="AV1636" s="227"/>
    </row>
    <row r="1637">
      <c r="A1637" s="227"/>
      <c r="B1637" s="232"/>
      <c r="C1637" s="227"/>
      <c r="D1637" s="227"/>
      <c r="E1637" s="231"/>
      <c r="F1637" s="232"/>
      <c r="G1637" s="227"/>
      <c r="H1637" s="227"/>
      <c r="I1637" s="227"/>
      <c r="J1637" s="227"/>
      <c r="K1637" s="227"/>
      <c r="L1637" s="232"/>
      <c r="M1637" s="232"/>
      <c r="N1637" s="227"/>
      <c r="O1637" s="227"/>
      <c r="P1637" s="231"/>
      <c r="Q1637" s="227"/>
      <c r="R1637" s="231"/>
      <c r="S1637" s="231"/>
      <c r="T1637" s="231"/>
      <c r="U1637" s="231"/>
      <c r="V1637" s="231"/>
      <c r="W1637" s="231"/>
      <c r="X1637" s="227"/>
      <c r="Y1637" s="232"/>
      <c r="Z1637" s="232"/>
      <c r="AA1637" s="232"/>
      <c r="AB1637" s="232"/>
      <c r="AC1637" s="227"/>
      <c r="AD1637" s="227"/>
      <c r="AE1637" s="231"/>
      <c r="AF1637" s="227"/>
      <c r="AG1637" s="232"/>
      <c r="AH1637" s="232"/>
      <c r="AI1637" s="232"/>
      <c r="AJ1637" s="232"/>
      <c r="AK1637" s="232"/>
      <c r="AL1637" s="232"/>
      <c r="AM1637" s="232"/>
      <c r="AN1637" s="232"/>
      <c r="AO1637" s="231"/>
      <c r="AP1637" s="231"/>
      <c r="AQ1637" s="227"/>
      <c r="AR1637" s="231"/>
      <c r="AS1637" s="227"/>
      <c r="AT1637" s="227"/>
      <c r="AU1637" s="227"/>
      <c r="AV1637" s="227"/>
    </row>
    <row r="1638">
      <c r="A1638" s="227"/>
      <c r="B1638" s="232"/>
      <c r="C1638" s="227"/>
      <c r="D1638" s="227"/>
      <c r="E1638" s="231"/>
      <c r="F1638" s="232"/>
      <c r="G1638" s="227"/>
      <c r="H1638" s="227"/>
      <c r="I1638" s="227"/>
      <c r="J1638" s="227"/>
      <c r="K1638" s="227"/>
      <c r="L1638" s="232"/>
      <c r="M1638" s="232"/>
      <c r="N1638" s="227"/>
      <c r="O1638" s="227"/>
      <c r="P1638" s="231"/>
      <c r="Q1638" s="227"/>
      <c r="R1638" s="231"/>
      <c r="S1638" s="231"/>
      <c r="T1638" s="231"/>
      <c r="U1638" s="231"/>
      <c r="V1638" s="231"/>
      <c r="W1638" s="231"/>
      <c r="X1638" s="227"/>
      <c r="Y1638" s="232"/>
      <c r="Z1638" s="232"/>
      <c r="AA1638" s="232"/>
      <c r="AB1638" s="232"/>
      <c r="AC1638" s="227"/>
      <c r="AD1638" s="227"/>
      <c r="AE1638" s="231"/>
      <c r="AF1638" s="227"/>
      <c r="AG1638" s="232"/>
      <c r="AH1638" s="232"/>
      <c r="AI1638" s="232"/>
      <c r="AJ1638" s="232"/>
      <c r="AK1638" s="232"/>
      <c r="AL1638" s="232"/>
      <c r="AM1638" s="232"/>
      <c r="AN1638" s="232"/>
      <c r="AO1638" s="231"/>
      <c r="AP1638" s="231"/>
      <c r="AQ1638" s="227"/>
      <c r="AR1638" s="231"/>
      <c r="AS1638" s="227"/>
      <c r="AT1638" s="227"/>
      <c r="AU1638" s="227"/>
      <c r="AV1638" s="227"/>
    </row>
    <row r="1639">
      <c r="A1639" s="227"/>
      <c r="B1639" s="232"/>
      <c r="C1639" s="227"/>
      <c r="D1639" s="227"/>
      <c r="E1639" s="231"/>
      <c r="F1639" s="232"/>
      <c r="G1639" s="227"/>
      <c r="H1639" s="227"/>
      <c r="I1639" s="227"/>
      <c r="J1639" s="227"/>
      <c r="K1639" s="227"/>
      <c r="L1639" s="232"/>
      <c r="M1639" s="232"/>
      <c r="N1639" s="227"/>
      <c r="O1639" s="227"/>
      <c r="P1639" s="231"/>
      <c r="Q1639" s="227"/>
      <c r="R1639" s="231"/>
      <c r="S1639" s="231"/>
      <c r="T1639" s="231"/>
      <c r="U1639" s="231"/>
      <c r="V1639" s="231"/>
      <c r="W1639" s="231"/>
      <c r="X1639" s="227"/>
      <c r="Y1639" s="232"/>
      <c r="Z1639" s="232"/>
      <c r="AA1639" s="232"/>
      <c r="AB1639" s="232"/>
      <c r="AC1639" s="227"/>
      <c r="AD1639" s="227"/>
      <c r="AE1639" s="231"/>
      <c r="AF1639" s="227"/>
      <c r="AG1639" s="232"/>
      <c r="AH1639" s="232"/>
      <c r="AI1639" s="232"/>
      <c r="AJ1639" s="232"/>
      <c r="AK1639" s="232"/>
      <c r="AL1639" s="232"/>
      <c r="AM1639" s="232"/>
      <c r="AN1639" s="232"/>
      <c r="AO1639" s="231"/>
      <c r="AP1639" s="231"/>
      <c r="AQ1639" s="227"/>
      <c r="AR1639" s="231"/>
      <c r="AS1639" s="227"/>
      <c r="AT1639" s="227"/>
      <c r="AU1639" s="227"/>
      <c r="AV1639" s="227"/>
    </row>
    <row r="1640">
      <c r="A1640" s="227"/>
      <c r="B1640" s="232"/>
      <c r="C1640" s="227"/>
      <c r="D1640" s="227"/>
      <c r="E1640" s="231"/>
      <c r="F1640" s="232"/>
      <c r="G1640" s="227"/>
      <c r="H1640" s="227"/>
      <c r="I1640" s="227"/>
      <c r="J1640" s="227"/>
      <c r="K1640" s="227"/>
      <c r="L1640" s="232"/>
      <c r="M1640" s="232"/>
      <c r="N1640" s="227"/>
      <c r="O1640" s="227"/>
      <c r="P1640" s="231"/>
      <c r="Q1640" s="227"/>
      <c r="R1640" s="231"/>
      <c r="S1640" s="231"/>
      <c r="T1640" s="231"/>
      <c r="U1640" s="231"/>
      <c r="V1640" s="231"/>
      <c r="W1640" s="231"/>
      <c r="X1640" s="227"/>
      <c r="Y1640" s="232"/>
      <c r="Z1640" s="232"/>
      <c r="AA1640" s="232"/>
      <c r="AB1640" s="232"/>
      <c r="AC1640" s="227"/>
      <c r="AD1640" s="227"/>
      <c r="AE1640" s="231"/>
      <c r="AF1640" s="227"/>
      <c r="AG1640" s="232"/>
      <c r="AH1640" s="232"/>
      <c r="AI1640" s="232"/>
      <c r="AJ1640" s="232"/>
      <c r="AK1640" s="232"/>
      <c r="AL1640" s="232"/>
      <c r="AM1640" s="232"/>
      <c r="AN1640" s="232"/>
      <c r="AO1640" s="231"/>
      <c r="AP1640" s="231"/>
      <c r="AQ1640" s="227"/>
      <c r="AR1640" s="231"/>
      <c r="AS1640" s="227"/>
      <c r="AT1640" s="227"/>
      <c r="AU1640" s="227"/>
      <c r="AV1640" s="227"/>
    </row>
    <row r="1641">
      <c r="A1641" s="227"/>
      <c r="B1641" s="232"/>
      <c r="C1641" s="227"/>
      <c r="D1641" s="227"/>
      <c r="E1641" s="231"/>
      <c r="F1641" s="232"/>
      <c r="G1641" s="227"/>
      <c r="H1641" s="227"/>
      <c r="I1641" s="227"/>
      <c r="J1641" s="227"/>
      <c r="K1641" s="227"/>
      <c r="L1641" s="232"/>
      <c r="M1641" s="232"/>
      <c r="N1641" s="227"/>
      <c r="O1641" s="227"/>
      <c r="P1641" s="231"/>
      <c r="Q1641" s="227"/>
      <c r="R1641" s="231"/>
      <c r="S1641" s="231"/>
      <c r="T1641" s="231"/>
      <c r="U1641" s="231"/>
      <c r="V1641" s="231"/>
      <c r="W1641" s="231"/>
      <c r="X1641" s="227"/>
      <c r="Y1641" s="232"/>
      <c r="Z1641" s="232"/>
      <c r="AA1641" s="232"/>
      <c r="AB1641" s="232"/>
      <c r="AC1641" s="227"/>
      <c r="AD1641" s="227"/>
      <c r="AE1641" s="231"/>
      <c r="AF1641" s="227"/>
      <c r="AG1641" s="232"/>
      <c r="AH1641" s="232"/>
      <c r="AI1641" s="232"/>
      <c r="AJ1641" s="232"/>
      <c r="AK1641" s="232"/>
      <c r="AL1641" s="232"/>
      <c r="AM1641" s="232"/>
      <c r="AN1641" s="232"/>
      <c r="AO1641" s="231"/>
      <c r="AP1641" s="231"/>
      <c r="AQ1641" s="227"/>
      <c r="AR1641" s="231"/>
      <c r="AS1641" s="227"/>
      <c r="AT1641" s="227"/>
      <c r="AU1641" s="227"/>
      <c r="AV1641" s="227"/>
    </row>
    <row r="1642">
      <c r="A1642" s="227"/>
      <c r="B1642" s="232"/>
      <c r="C1642" s="227"/>
      <c r="D1642" s="227"/>
      <c r="E1642" s="231"/>
      <c r="F1642" s="232"/>
      <c r="G1642" s="227"/>
      <c r="H1642" s="227"/>
      <c r="I1642" s="227"/>
      <c r="J1642" s="227"/>
      <c r="K1642" s="227"/>
      <c r="L1642" s="232"/>
      <c r="M1642" s="232"/>
      <c r="N1642" s="227"/>
      <c r="O1642" s="227"/>
      <c r="P1642" s="231"/>
      <c r="Q1642" s="227"/>
      <c r="R1642" s="231"/>
      <c r="S1642" s="231"/>
      <c r="T1642" s="231"/>
      <c r="U1642" s="231"/>
      <c r="V1642" s="231"/>
      <c r="W1642" s="231"/>
      <c r="X1642" s="227"/>
      <c r="Y1642" s="232"/>
      <c r="Z1642" s="232"/>
      <c r="AA1642" s="232"/>
      <c r="AB1642" s="232"/>
      <c r="AC1642" s="227"/>
      <c r="AD1642" s="227"/>
      <c r="AE1642" s="231"/>
      <c r="AF1642" s="227"/>
      <c r="AG1642" s="232"/>
      <c r="AH1642" s="232"/>
      <c r="AI1642" s="232"/>
      <c r="AJ1642" s="232"/>
      <c r="AK1642" s="232"/>
      <c r="AL1642" s="232"/>
      <c r="AM1642" s="232"/>
      <c r="AN1642" s="232"/>
      <c r="AO1642" s="231"/>
      <c r="AP1642" s="231"/>
      <c r="AQ1642" s="227"/>
      <c r="AR1642" s="231"/>
      <c r="AS1642" s="227"/>
      <c r="AT1642" s="227"/>
      <c r="AU1642" s="227"/>
      <c r="AV1642" s="227"/>
    </row>
    <row r="1643">
      <c r="A1643" s="227"/>
      <c r="B1643" s="232"/>
      <c r="C1643" s="227"/>
      <c r="D1643" s="227"/>
      <c r="E1643" s="231"/>
      <c r="F1643" s="232"/>
      <c r="G1643" s="227"/>
      <c r="H1643" s="227"/>
      <c r="I1643" s="227"/>
      <c r="J1643" s="227"/>
      <c r="K1643" s="227"/>
      <c r="L1643" s="232"/>
      <c r="M1643" s="232"/>
      <c r="N1643" s="227"/>
      <c r="O1643" s="227"/>
      <c r="P1643" s="231"/>
      <c r="Q1643" s="227"/>
      <c r="R1643" s="231"/>
      <c r="S1643" s="231"/>
      <c r="T1643" s="231"/>
      <c r="U1643" s="231"/>
      <c r="V1643" s="231"/>
      <c r="W1643" s="231"/>
      <c r="X1643" s="227"/>
      <c r="Y1643" s="232"/>
      <c r="Z1643" s="232"/>
      <c r="AA1643" s="232"/>
      <c r="AB1643" s="232"/>
      <c r="AC1643" s="227"/>
      <c r="AD1643" s="227"/>
      <c r="AE1643" s="231"/>
      <c r="AF1643" s="227"/>
      <c r="AG1643" s="232"/>
      <c r="AH1643" s="232"/>
      <c r="AI1643" s="232"/>
      <c r="AJ1643" s="232"/>
      <c r="AK1643" s="232"/>
      <c r="AL1643" s="232"/>
      <c r="AM1643" s="232"/>
      <c r="AN1643" s="232"/>
      <c r="AO1643" s="231"/>
      <c r="AP1643" s="231"/>
      <c r="AQ1643" s="227"/>
      <c r="AR1643" s="231"/>
      <c r="AS1643" s="227"/>
      <c r="AT1643" s="227"/>
      <c r="AU1643" s="227"/>
      <c r="AV1643" s="227"/>
    </row>
    <row r="1644">
      <c r="A1644" s="227"/>
      <c r="B1644" s="232"/>
      <c r="C1644" s="227"/>
      <c r="D1644" s="227"/>
      <c r="E1644" s="231"/>
      <c r="F1644" s="232"/>
      <c r="G1644" s="227"/>
      <c r="H1644" s="227"/>
      <c r="I1644" s="227"/>
      <c r="J1644" s="227"/>
      <c r="K1644" s="227"/>
      <c r="L1644" s="232"/>
      <c r="M1644" s="232"/>
      <c r="N1644" s="227"/>
      <c r="O1644" s="227"/>
      <c r="P1644" s="231"/>
      <c r="Q1644" s="227"/>
      <c r="R1644" s="231"/>
      <c r="S1644" s="231"/>
      <c r="T1644" s="231"/>
      <c r="U1644" s="231"/>
      <c r="V1644" s="231"/>
      <c r="W1644" s="231"/>
      <c r="X1644" s="227"/>
      <c r="Y1644" s="232"/>
      <c r="Z1644" s="232"/>
      <c r="AA1644" s="232"/>
      <c r="AB1644" s="232"/>
      <c r="AC1644" s="227"/>
      <c r="AD1644" s="227"/>
      <c r="AE1644" s="231"/>
      <c r="AF1644" s="227"/>
      <c r="AG1644" s="232"/>
      <c r="AH1644" s="232"/>
      <c r="AI1644" s="232"/>
      <c r="AJ1644" s="232"/>
      <c r="AK1644" s="232"/>
      <c r="AL1644" s="232"/>
      <c r="AM1644" s="232"/>
      <c r="AN1644" s="232"/>
      <c r="AO1644" s="231"/>
      <c r="AP1644" s="231"/>
      <c r="AQ1644" s="227"/>
      <c r="AR1644" s="231"/>
      <c r="AS1644" s="227"/>
      <c r="AT1644" s="227"/>
      <c r="AU1644" s="227"/>
      <c r="AV1644" s="227"/>
    </row>
    <row r="1645">
      <c r="A1645" s="227"/>
      <c r="B1645" s="232"/>
      <c r="C1645" s="227"/>
      <c r="D1645" s="227"/>
      <c r="E1645" s="231"/>
      <c r="F1645" s="232"/>
      <c r="G1645" s="227"/>
      <c r="H1645" s="227"/>
      <c r="I1645" s="227"/>
      <c r="J1645" s="227"/>
      <c r="K1645" s="227"/>
      <c r="L1645" s="232"/>
      <c r="M1645" s="232"/>
      <c r="N1645" s="227"/>
      <c r="O1645" s="227"/>
      <c r="P1645" s="231"/>
      <c r="Q1645" s="227"/>
      <c r="R1645" s="231"/>
      <c r="S1645" s="231"/>
      <c r="T1645" s="231"/>
      <c r="U1645" s="231"/>
      <c r="V1645" s="231"/>
      <c r="W1645" s="231"/>
      <c r="X1645" s="227"/>
      <c r="Y1645" s="232"/>
      <c r="Z1645" s="232"/>
      <c r="AA1645" s="232"/>
      <c r="AB1645" s="232"/>
      <c r="AC1645" s="227"/>
      <c r="AD1645" s="227"/>
      <c r="AE1645" s="231"/>
      <c r="AF1645" s="227"/>
      <c r="AG1645" s="232"/>
      <c r="AH1645" s="232"/>
      <c r="AI1645" s="232"/>
      <c r="AJ1645" s="232"/>
      <c r="AK1645" s="232"/>
      <c r="AL1645" s="232"/>
      <c r="AM1645" s="232"/>
      <c r="AN1645" s="232"/>
      <c r="AO1645" s="231"/>
      <c r="AP1645" s="231"/>
      <c r="AQ1645" s="227"/>
      <c r="AR1645" s="231"/>
      <c r="AS1645" s="227"/>
      <c r="AT1645" s="227"/>
      <c r="AU1645" s="227"/>
      <c r="AV1645" s="227"/>
    </row>
    <row r="1646">
      <c r="A1646" s="227"/>
      <c r="B1646" s="232"/>
      <c r="C1646" s="227"/>
      <c r="D1646" s="227"/>
      <c r="E1646" s="231"/>
      <c r="F1646" s="232"/>
      <c r="G1646" s="227"/>
      <c r="H1646" s="227"/>
      <c r="I1646" s="227"/>
      <c r="J1646" s="227"/>
      <c r="K1646" s="227"/>
      <c r="L1646" s="232"/>
      <c r="M1646" s="232"/>
      <c r="N1646" s="227"/>
      <c r="O1646" s="227"/>
      <c r="P1646" s="231"/>
      <c r="Q1646" s="227"/>
      <c r="R1646" s="231"/>
      <c r="S1646" s="231"/>
      <c r="T1646" s="231"/>
      <c r="U1646" s="231"/>
      <c r="V1646" s="231"/>
      <c r="W1646" s="231"/>
      <c r="X1646" s="227"/>
      <c r="Y1646" s="232"/>
      <c r="Z1646" s="232"/>
      <c r="AA1646" s="232"/>
      <c r="AB1646" s="232"/>
      <c r="AC1646" s="227"/>
      <c r="AD1646" s="227"/>
      <c r="AE1646" s="231"/>
      <c r="AF1646" s="227"/>
      <c r="AG1646" s="232"/>
      <c r="AH1646" s="232"/>
      <c r="AI1646" s="232"/>
      <c r="AJ1646" s="232"/>
      <c r="AK1646" s="232"/>
      <c r="AL1646" s="232"/>
      <c r="AM1646" s="232"/>
      <c r="AN1646" s="232"/>
      <c r="AO1646" s="231"/>
      <c r="AP1646" s="231"/>
      <c r="AQ1646" s="227"/>
      <c r="AR1646" s="231"/>
      <c r="AS1646" s="227"/>
      <c r="AT1646" s="227"/>
      <c r="AU1646" s="227"/>
      <c r="AV1646" s="227"/>
    </row>
    <row r="1647">
      <c r="A1647" s="227"/>
      <c r="B1647" s="232"/>
      <c r="C1647" s="227"/>
      <c r="D1647" s="227"/>
      <c r="E1647" s="231"/>
      <c r="F1647" s="232"/>
      <c r="G1647" s="227"/>
      <c r="H1647" s="227"/>
      <c r="I1647" s="227"/>
      <c r="J1647" s="227"/>
      <c r="K1647" s="227"/>
      <c r="L1647" s="232"/>
      <c r="M1647" s="232"/>
      <c r="N1647" s="227"/>
      <c r="O1647" s="227"/>
      <c r="P1647" s="231"/>
      <c r="Q1647" s="227"/>
      <c r="R1647" s="231"/>
      <c r="S1647" s="231"/>
      <c r="T1647" s="231"/>
      <c r="U1647" s="231"/>
      <c r="V1647" s="231"/>
      <c r="W1647" s="231"/>
      <c r="X1647" s="227"/>
      <c r="Y1647" s="232"/>
      <c r="Z1647" s="232"/>
      <c r="AA1647" s="232"/>
      <c r="AB1647" s="232"/>
      <c r="AC1647" s="227"/>
      <c r="AD1647" s="227"/>
      <c r="AE1647" s="231"/>
      <c r="AF1647" s="227"/>
      <c r="AG1647" s="232"/>
      <c r="AH1647" s="232"/>
      <c r="AI1647" s="232"/>
      <c r="AJ1647" s="232"/>
      <c r="AK1647" s="232"/>
      <c r="AL1647" s="232"/>
      <c r="AM1647" s="232"/>
      <c r="AN1647" s="232"/>
      <c r="AO1647" s="231"/>
      <c r="AP1647" s="231"/>
      <c r="AQ1647" s="227"/>
      <c r="AR1647" s="231"/>
      <c r="AS1647" s="227"/>
      <c r="AT1647" s="227"/>
      <c r="AU1647" s="227"/>
      <c r="AV1647" s="227"/>
    </row>
    <row r="1648">
      <c r="A1648" s="227"/>
      <c r="B1648" s="232"/>
      <c r="C1648" s="227"/>
      <c r="D1648" s="227"/>
      <c r="E1648" s="231"/>
      <c r="F1648" s="232"/>
      <c r="G1648" s="227"/>
      <c r="H1648" s="227"/>
      <c r="I1648" s="227"/>
      <c r="J1648" s="227"/>
      <c r="K1648" s="227"/>
      <c r="L1648" s="232"/>
      <c r="M1648" s="232"/>
      <c r="N1648" s="227"/>
      <c r="O1648" s="227"/>
      <c r="P1648" s="231"/>
      <c r="Q1648" s="227"/>
      <c r="R1648" s="231"/>
      <c r="S1648" s="231"/>
      <c r="T1648" s="231"/>
      <c r="U1648" s="231"/>
      <c r="V1648" s="231"/>
      <c r="W1648" s="231"/>
      <c r="X1648" s="227"/>
      <c r="Y1648" s="232"/>
      <c r="Z1648" s="232"/>
      <c r="AA1648" s="232"/>
      <c r="AB1648" s="232"/>
      <c r="AC1648" s="227"/>
      <c r="AD1648" s="227"/>
      <c r="AE1648" s="231"/>
      <c r="AF1648" s="227"/>
      <c r="AG1648" s="232"/>
      <c r="AH1648" s="232"/>
      <c r="AI1648" s="232"/>
      <c r="AJ1648" s="232"/>
      <c r="AK1648" s="232"/>
      <c r="AL1648" s="232"/>
      <c r="AM1648" s="232"/>
      <c r="AN1648" s="232"/>
      <c r="AO1648" s="231"/>
      <c r="AP1648" s="231"/>
      <c r="AQ1648" s="227"/>
      <c r="AR1648" s="231"/>
      <c r="AS1648" s="227"/>
      <c r="AT1648" s="227"/>
      <c r="AU1648" s="227"/>
      <c r="AV1648" s="227"/>
    </row>
    <row r="1649">
      <c r="A1649" s="227"/>
      <c r="B1649" s="232"/>
      <c r="C1649" s="227"/>
      <c r="D1649" s="227"/>
      <c r="E1649" s="231"/>
      <c r="F1649" s="232"/>
      <c r="G1649" s="227"/>
      <c r="H1649" s="227"/>
      <c r="I1649" s="227"/>
      <c r="J1649" s="227"/>
      <c r="K1649" s="227"/>
      <c r="L1649" s="232"/>
      <c r="M1649" s="232"/>
      <c r="N1649" s="227"/>
      <c r="O1649" s="227"/>
      <c r="P1649" s="231"/>
      <c r="Q1649" s="227"/>
      <c r="R1649" s="231"/>
      <c r="S1649" s="231"/>
      <c r="T1649" s="231"/>
      <c r="U1649" s="231"/>
      <c r="V1649" s="231"/>
      <c r="W1649" s="231"/>
      <c r="X1649" s="227"/>
      <c r="Y1649" s="232"/>
      <c r="Z1649" s="232"/>
      <c r="AA1649" s="232"/>
      <c r="AB1649" s="232"/>
      <c r="AC1649" s="227"/>
      <c r="AD1649" s="227"/>
      <c r="AE1649" s="231"/>
      <c r="AF1649" s="227"/>
      <c r="AG1649" s="232"/>
      <c r="AH1649" s="232"/>
      <c r="AI1649" s="232"/>
      <c r="AJ1649" s="232"/>
      <c r="AK1649" s="232"/>
      <c r="AL1649" s="232"/>
      <c r="AM1649" s="232"/>
      <c r="AN1649" s="232"/>
      <c r="AO1649" s="231"/>
      <c r="AP1649" s="231"/>
      <c r="AQ1649" s="227"/>
      <c r="AR1649" s="231"/>
      <c r="AS1649" s="227"/>
      <c r="AT1649" s="227"/>
      <c r="AU1649" s="227"/>
      <c r="AV1649" s="227"/>
    </row>
    <row r="1650">
      <c r="A1650" s="227"/>
      <c r="B1650" s="232"/>
      <c r="C1650" s="227"/>
      <c r="D1650" s="227"/>
      <c r="E1650" s="231"/>
      <c r="F1650" s="232"/>
      <c r="G1650" s="227"/>
      <c r="H1650" s="227"/>
      <c r="I1650" s="227"/>
      <c r="J1650" s="227"/>
      <c r="K1650" s="227"/>
      <c r="L1650" s="232"/>
      <c r="M1650" s="232"/>
      <c r="N1650" s="227"/>
      <c r="O1650" s="227"/>
      <c r="P1650" s="231"/>
      <c r="Q1650" s="227"/>
      <c r="R1650" s="231"/>
      <c r="S1650" s="231"/>
      <c r="T1650" s="231"/>
      <c r="U1650" s="231"/>
      <c r="V1650" s="231"/>
      <c r="W1650" s="231"/>
      <c r="X1650" s="227"/>
      <c r="Y1650" s="232"/>
      <c r="Z1650" s="232"/>
      <c r="AA1650" s="232"/>
      <c r="AB1650" s="232"/>
      <c r="AC1650" s="227"/>
      <c r="AD1650" s="227"/>
      <c r="AE1650" s="231"/>
      <c r="AF1650" s="227"/>
      <c r="AG1650" s="232"/>
      <c r="AH1650" s="232"/>
      <c r="AI1650" s="232"/>
      <c r="AJ1650" s="232"/>
      <c r="AK1650" s="232"/>
      <c r="AL1650" s="232"/>
      <c r="AM1650" s="232"/>
      <c r="AN1650" s="232"/>
      <c r="AO1650" s="231"/>
      <c r="AP1650" s="231"/>
      <c r="AQ1650" s="227"/>
      <c r="AR1650" s="231"/>
      <c r="AS1650" s="227"/>
      <c r="AT1650" s="227"/>
      <c r="AU1650" s="227"/>
      <c r="AV1650" s="227"/>
    </row>
    <row r="1651">
      <c r="A1651" s="227"/>
      <c r="B1651" s="232"/>
      <c r="C1651" s="227"/>
      <c r="D1651" s="227"/>
      <c r="E1651" s="231"/>
      <c r="F1651" s="232"/>
      <c r="G1651" s="227"/>
      <c r="H1651" s="227"/>
      <c r="I1651" s="227"/>
      <c r="J1651" s="227"/>
      <c r="K1651" s="227"/>
      <c r="L1651" s="232"/>
      <c r="M1651" s="232"/>
      <c r="N1651" s="227"/>
      <c r="O1651" s="227"/>
      <c r="P1651" s="231"/>
      <c r="Q1651" s="227"/>
      <c r="R1651" s="231"/>
      <c r="S1651" s="231"/>
      <c r="T1651" s="231"/>
      <c r="U1651" s="231"/>
      <c r="V1651" s="231"/>
      <c r="W1651" s="231"/>
      <c r="X1651" s="227"/>
      <c r="Y1651" s="232"/>
      <c r="Z1651" s="232"/>
      <c r="AA1651" s="232"/>
      <c r="AB1651" s="232"/>
      <c r="AC1651" s="227"/>
      <c r="AD1651" s="227"/>
      <c r="AE1651" s="231"/>
      <c r="AF1651" s="227"/>
      <c r="AG1651" s="232"/>
      <c r="AH1651" s="232"/>
      <c r="AI1651" s="232"/>
      <c r="AJ1651" s="232"/>
      <c r="AK1651" s="232"/>
      <c r="AL1651" s="232"/>
      <c r="AM1651" s="232"/>
      <c r="AN1651" s="232"/>
      <c r="AO1651" s="231"/>
      <c r="AP1651" s="231"/>
      <c r="AQ1651" s="227"/>
      <c r="AR1651" s="231"/>
      <c r="AS1651" s="227"/>
      <c r="AT1651" s="227"/>
      <c r="AU1651" s="227"/>
      <c r="AV1651" s="227"/>
    </row>
    <row r="1652">
      <c r="A1652" s="227"/>
      <c r="B1652" s="232"/>
      <c r="C1652" s="227"/>
      <c r="D1652" s="227"/>
      <c r="E1652" s="231"/>
      <c r="F1652" s="232"/>
      <c r="G1652" s="227"/>
      <c r="H1652" s="227"/>
      <c r="I1652" s="227"/>
      <c r="J1652" s="227"/>
      <c r="K1652" s="227"/>
      <c r="L1652" s="232"/>
      <c r="M1652" s="232"/>
      <c r="N1652" s="227"/>
      <c r="O1652" s="227"/>
      <c r="P1652" s="231"/>
      <c r="Q1652" s="227"/>
      <c r="R1652" s="231"/>
      <c r="S1652" s="231"/>
      <c r="T1652" s="231"/>
      <c r="U1652" s="231"/>
      <c r="V1652" s="231"/>
      <c r="W1652" s="231"/>
      <c r="X1652" s="227"/>
      <c r="Y1652" s="232"/>
      <c r="Z1652" s="232"/>
      <c r="AA1652" s="232"/>
      <c r="AB1652" s="232"/>
      <c r="AC1652" s="227"/>
      <c r="AD1652" s="227"/>
      <c r="AE1652" s="231"/>
      <c r="AF1652" s="227"/>
      <c r="AG1652" s="232"/>
      <c r="AH1652" s="232"/>
      <c r="AI1652" s="232"/>
      <c r="AJ1652" s="232"/>
      <c r="AK1652" s="232"/>
      <c r="AL1652" s="232"/>
      <c r="AM1652" s="232"/>
      <c r="AN1652" s="232"/>
      <c r="AO1652" s="231"/>
      <c r="AP1652" s="231"/>
      <c r="AQ1652" s="227"/>
      <c r="AR1652" s="231"/>
      <c r="AS1652" s="227"/>
      <c r="AT1652" s="227"/>
      <c r="AU1652" s="227"/>
      <c r="AV1652" s="227"/>
    </row>
    <row r="1653">
      <c r="A1653" s="227"/>
      <c r="B1653" s="232"/>
      <c r="C1653" s="227"/>
      <c r="D1653" s="227"/>
      <c r="E1653" s="231"/>
      <c r="F1653" s="232"/>
      <c r="G1653" s="227"/>
      <c r="H1653" s="227"/>
      <c r="I1653" s="227"/>
      <c r="J1653" s="227"/>
      <c r="K1653" s="227"/>
      <c r="L1653" s="232"/>
      <c r="M1653" s="232"/>
      <c r="N1653" s="227"/>
      <c r="O1653" s="227"/>
      <c r="P1653" s="231"/>
      <c r="Q1653" s="227"/>
      <c r="R1653" s="231"/>
      <c r="S1653" s="231"/>
      <c r="T1653" s="231"/>
      <c r="U1653" s="231"/>
      <c r="V1653" s="231"/>
      <c r="W1653" s="231"/>
      <c r="X1653" s="227"/>
      <c r="Y1653" s="232"/>
      <c r="Z1653" s="232"/>
      <c r="AA1653" s="232"/>
      <c r="AB1653" s="232"/>
      <c r="AC1653" s="227"/>
      <c r="AD1653" s="227"/>
      <c r="AE1653" s="231"/>
      <c r="AF1653" s="227"/>
      <c r="AG1653" s="232"/>
      <c r="AH1653" s="232"/>
      <c r="AI1653" s="232"/>
      <c r="AJ1653" s="232"/>
      <c r="AK1653" s="232"/>
      <c r="AL1653" s="232"/>
      <c r="AM1653" s="232"/>
      <c r="AN1653" s="232"/>
      <c r="AO1653" s="231"/>
      <c r="AP1653" s="231"/>
      <c r="AQ1653" s="227"/>
      <c r="AR1653" s="231"/>
      <c r="AS1653" s="227"/>
      <c r="AT1653" s="227"/>
      <c r="AU1653" s="227"/>
      <c r="AV1653" s="227"/>
    </row>
    <row r="1654">
      <c r="A1654" s="227"/>
      <c r="B1654" s="232"/>
      <c r="C1654" s="227"/>
      <c r="D1654" s="227"/>
      <c r="E1654" s="231"/>
      <c r="F1654" s="232"/>
      <c r="G1654" s="227"/>
      <c r="H1654" s="227"/>
      <c r="I1654" s="227"/>
      <c r="J1654" s="227"/>
      <c r="K1654" s="227"/>
      <c r="L1654" s="232"/>
      <c r="M1654" s="232"/>
      <c r="N1654" s="227"/>
      <c r="O1654" s="227"/>
      <c r="P1654" s="231"/>
      <c r="Q1654" s="227"/>
      <c r="R1654" s="231"/>
      <c r="S1654" s="231"/>
      <c r="T1654" s="231"/>
      <c r="U1654" s="231"/>
      <c r="V1654" s="231"/>
      <c r="W1654" s="231"/>
      <c r="X1654" s="227"/>
      <c r="Y1654" s="232"/>
      <c r="Z1654" s="232"/>
      <c r="AA1654" s="232"/>
      <c r="AB1654" s="232"/>
      <c r="AC1654" s="227"/>
      <c r="AD1654" s="227"/>
      <c r="AE1654" s="231"/>
      <c r="AF1654" s="227"/>
      <c r="AG1654" s="232"/>
      <c r="AH1654" s="232"/>
      <c r="AI1654" s="232"/>
      <c r="AJ1654" s="232"/>
      <c r="AK1654" s="232"/>
      <c r="AL1654" s="232"/>
      <c r="AM1654" s="232"/>
      <c r="AN1654" s="232"/>
      <c r="AO1654" s="231"/>
      <c r="AP1654" s="231"/>
      <c r="AQ1654" s="227"/>
      <c r="AR1654" s="231"/>
      <c r="AS1654" s="227"/>
      <c r="AT1654" s="227"/>
      <c r="AU1654" s="227"/>
      <c r="AV1654" s="227"/>
    </row>
    <row r="1655">
      <c r="A1655" s="227"/>
      <c r="B1655" s="232"/>
      <c r="C1655" s="227"/>
      <c r="D1655" s="227"/>
      <c r="E1655" s="231"/>
      <c r="F1655" s="232"/>
      <c r="G1655" s="227"/>
      <c r="H1655" s="227"/>
      <c r="I1655" s="227"/>
      <c r="J1655" s="227"/>
      <c r="K1655" s="227"/>
      <c r="L1655" s="232"/>
      <c r="M1655" s="232"/>
      <c r="N1655" s="227"/>
      <c r="O1655" s="227"/>
      <c r="P1655" s="231"/>
      <c r="Q1655" s="227"/>
      <c r="R1655" s="231"/>
      <c r="S1655" s="231"/>
      <c r="T1655" s="231"/>
      <c r="U1655" s="231"/>
      <c r="V1655" s="231"/>
      <c r="W1655" s="231"/>
      <c r="X1655" s="227"/>
      <c r="Y1655" s="232"/>
      <c r="Z1655" s="232"/>
      <c r="AA1655" s="232"/>
      <c r="AB1655" s="232"/>
      <c r="AC1655" s="227"/>
      <c r="AD1655" s="227"/>
      <c r="AE1655" s="231"/>
      <c r="AF1655" s="227"/>
      <c r="AG1655" s="232"/>
      <c r="AH1655" s="232"/>
      <c r="AI1655" s="232"/>
      <c r="AJ1655" s="232"/>
      <c r="AK1655" s="232"/>
      <c r="AL1655" s="232"/>
      <c r="AM1655" s="232"/>
      <c r="AN1655" s="232"/>
      <c r="AO1655" s="231"/>
      <c r="AP1655" s="231"/>
      <c r="AQ1655" s="227"/>
      <c r="AR1655" s="227"/>
      <c r="AS1655" s="227"/>
      <c r="AT1655" s="227"/>
      <c r="AU1655" s="227"/>
      <c r="AV1655" s="227"/>
    </row>
    <row r="1656">
      <c r="A1656" s="227"/>
      <c r="B1656" s="232"/>
      <c r="C1656" s="227"/>
      <c r="D1656" s="227"/>
      <c r="E1656" s="231"/>
      <c r="F1656" s="232"/>
      <c r="G1656" s="227"/>
      <c r="H1656" s="227"/>
      <c r="I1656" s="227"/>
      <c r="J1656" s="227"/>
      <c r="K1656" s="227"/>
      <c r="L1656" s="232"/>
      <c r="M1656" s="232"/>
      <c r="N1656" s="227"/>
      <c r="O1656" s="227"/>
      <c r="P1656" s="231"/>
      <c r="Q1656" s="227"/>
      <c r="R1656" s="231"/>
      <c r="S1656" s="231"/>
      <c r="T1656" s="231"/>
      <c r="U1656" s="231"/>
      <c r="V1656" s="231"/>
      <c r="W1656" s="231"/>
      <c r="X1656" s="227"/>
      <c r="Y1656" s="232"/>
      <c r="Z1656" s="232"/>
      <c r="AA1656" s="232"/>
      <c r="AB1656" s="232"/>
      <c r="AC1656" s="227"/>
      <c r="AD1656" s="227"/>
      <c r="AE1656" s="231"/>
      <c r="AF1656" s="227"/>
      <c r="AG1656" s="232"/>
      <c r="AH1656" s="232"/>
      <c r="AI1656" s="232"/>
      <c r="AJ1656" s="232"/>
      <c r="AK1656" s="232"/>
      <c r="AL1656" s="232"/>
      <c r="AM1656" s="232"/>
      <c r="AN1656" s="232"/>
      <c r="AO1656" s="231"/>
      <c r="AP1656" s="231"/>
      <c r="AQ1656" s="227"/>
      <c r="AR1656" s="231"/>
      <c r="AS1656" s="227"/>
      <c r="AT1656" s="227"/>
      <c r="AU1656" s="227"/>
      <c r="AV1656" s="227"/>
    </row>
    <row r="1657">
      <c r="A1657" s="227"/>
      <c r="B1657" s="232"/>
      <c r="C1657" s="227"/>
      <c r="D1657" s="227"/>
      <c r="E1657" s="231"/>
      <c r="F1657" s="232"/>
      <c r="G1657" s="227"/>
      <c r="H1657" s="227"/>
      <c r="I1657" s="227"/>
      <c r="J1657" s="227"/>
      <c r="K1657" s="227"/>
      <c r="L1657" s="232"/>
      <c r="M1657" s="232"/>
      <c r="N1657" s="227"/>
      <c r="O1657" s="227"/>
      <c r="P1657" s="231"/>
      <c r="Q1657" s="227"/>
      <c r="R1657" s="231"/>
      <c r="S1657" s="231"/>
      <c r="T1657" s="231"/>
      <c r="U1657" s="231"/>
      <c r="V1657" s="231"/>
      <c r="W1657" s="231"/>
      <c r="X1657" s="227"/>
      <c r="Y1657" s="232"/>
      <c r="Z1657" s="232"/>
      <c r="AA1657" s="232"/>
      <c r="AB1657" s="232"/>
      <c r="AC1657" s="227"/>
      <c r="AD1657" s="227"/>
      <c r="AE1657" s="231"/>
      <c r="AF1657" s="227"/>
      <c r="AG1657" s="232"/>
      <c r="AH1657" s="232"/>
      <c r="AI1657" s="232"/>
      <c r="AJ1657" s="232"/>
      <c r="AK1657" s="232"/>
      <c r="AL1657" s="232"/>
      <c r="AM1657" s="232"/>
      <c r="AN1657" s="232"/>
      <c r="AO1657" s="231"/>
      <c r="AP1657" s="231"/>
      <c r="AQ1657" s="227"/>
      <c r="AR1657" s="231"/>
      <c r="AS1657" s="227"/>
      <c r="AT1657" s="227"/>
      <c r="AU1657" s="227"/>
      <c r="AV1657" s="227"/>
    </row>
    <row r="1658">
      <c r="A1658" s="227"/>
      <c r="B1658" s="232"/>
      <c r="C1658" s="227"/>
      <c r="D1658" s="227"/>
      <c r="E1658" s="231"/>
      <c r="F1658" s="232"/>
      <c r="G1658" s="227"/>
      <c r="H1658" s="227"/>
      <c r="I1658" s="227"/>
      <c r="J1658" s="227"/>
      <c r="K1658" s="227"/>
      <c r="L1658" s="232"/>
      <c r="M1658" s="232"/>
      <c r="N1658" s="227"/>
      <c r="O1658" s="227"/>
      <c r="P1658" s="231"/>
      <c r="Q1658" s="227"/>
      <c r="R1658" s="231"/>
      <c r="S1658" s="231"/>
      <c r="T1658" s="231"/>
      <c r="U1658" s="231"/>
      <c r="V1658" s="231"/>
      <c r="W1658" s="231"/>
      <c r="X1658" s="227"/>
      <c r="Y1658" s="232"/>
      <c r="Z1658" s="232"/>
      <c r="AA1658" s="232"/>
      <c r="AB1658" s="232"/>
      <c r="AC1658" s="227"/>
      <c r="AD1658" s="227"/>
      <c r="AE1658" s="231"/>
      <c r="AF1658" s="227"/>
      <c r="AG1658" s="232"/>
      <c r="AH1658" s="232"/>
      <c r="AI1658" s="232"/>
      <c r="AJ1658" s="232"/>
      <c r="AK1658" s="232"/>
      <c r="AL1658" s="232"/>
      <c r="AM1658" s="232"/>
      <c r="AN1658" s="232"/>
      <c r="AO1658" s="231"/>
      <c r="AP1658" s="231"/>
      <c r="AQ1658" s="227"/>
      <c r="AR1658" s="231"/>
      <c r="AS1658" s="227"/>
      <c r="AT1658" s="227"/>
      <c r="AU1658" s="227"/>
      <c r="AV1658" s="227"/>
    </row>
    <row r="1659">
      <c r="A1659" s="227"/>
      <c r="B1659" s="232"/>
      <c r="C1659" s="227"/>
      <c r="D1659" s="227"/>
      <c r="E1659" s="231"/>
      <c r="F1659" s="232"/>
      <c r="G1659" s="227"/>
      <c r="H1659" s="227"/>
      <c r="I1659" s="227"/>
      <c r="J1659" s="227"/>
      <c r="K1659" s="227"/>
      <c r="L1659" s="232"/>
      <c r="M1659" s="232"/>
      <c r="N1659" s="227"/>
      <c r="O1659" s="227"/>
      <c r="P1659" s="231"/>
      <c r="Q1659" s="227"/>
      <c r="R1659" s="231"/>
      <c r="S1659" s="231"/>
      <c r="T1659" s="231"/>
      <c r="U1659" s="231"/>
      <c r="V1659" s="231"/>
      <c r="W1659" s="231"/>
      <c r="X1659" s="227"/>
      <c r="Y1659" s="232"/>
      <c r="Z1659" s="232"/>
      <c r="AA1659" s="232"/>
      <c r="AB1659" s="232"/>
      <c r="AC1659" s="227"/>
      <c r="AD1659" s="227"/>
      <c r="AE1659" s="231"/>
      <c r="AF1659" s="227"/>
      <c r="AG1659" s="232"/>
      <c r="AH1659" s="232"/>
      <c r="AI1659" s="232"/>
      <c r="AJ1659" s="232"/>
      <c r="AK1659" s="232"/>
      <c r="AL1659" s="232"/>
      <c r="AM1659" s="232"/>
      <c r="AN1659" s="232"/>
      <c r="AO1659" s="231"/>
      <c r="AP1659" s="231"/>
      <c r="AQ1659" s="227"/>
      <c r="AR1659" s="231"/>
      <c r="AS1659" s="227"/>
      <c r="AT1659" s="227"/>
      <c r="AU1659" s="227"/>
      <c r="AV1659" s="227"/>
    </row>
    <row r="1660">
      <c r="A1660" s="227"/>
      <c r="B1660" s="232"/>
      <c r="C1660" s="227"/>
      <c r="D1660" s="227"/>
      <c r="E1660" s="231"/>
      <c r="F1660" s="232"/>
      <c r="G1660" s="227"/>
      <c r="H1660" s="227"/>
      <c r="I1660" s="227"/>
      <c r="J1660" s="227"/>
      <c r="K1660" s="227"/>
      <c r="L1660" s="232"/>
      <c r="M1660" s="232"/>
      <c r="N1660" s="227"/>
      <c r="O1660" s="227"/>
      <c r="P1660" s="231"/>
      <c r="Q1660" s="227"/>
      <c r="R1660" s="231"/>
      <c r="S1660" s="231"/>
      <c r="T1660" s="231"/>
      <c r="U1660" s="231"/>
      <c r="V1660" s="231"/>
      <c r="W1660" s="231"/>
      <c r="X1660" s="227"/>
      <c r="Y1660" s="232"/>
      <c r="Z1660" s="232"/>
      <c r="AA1660" s="232"/>
      <c r="AB1660" s="232"/>
      <c r="AC1660" s="227"/>
      <c r="AD1660" s="227"/>
      <c r="AE1660" s="231"/>
      <c r="AF1660" s="227"/>
      <c r="AG1660" s="232"/>
      <c r="AH1660" s="232"/>
      <c r="AI1660" s="232"/>
      <c r="AJ1660" s="232"/>
      <c r="AK1660" s="232"/>
      <c r="AL1660" s="232"/>
      <c r="AM1660" s="232"/>
      <c r="AN1660" s="232"/>
      <c r="AO1660" s="231"/>
      <c r="AP1660" s="231"/>
      <c r="AQ1660" s="227"/>
      <c r="AR1660" s="231"/>
      <c r="AS1660" s="227"/>
      <c r="AT1660" s="227"/>
      <c r="AU1660" s="227"/>
      <c r="AV1660" s="227"/>
    </row>
    <row r="1661">
      <c r="A1661" s="227"/>
      <c r="B1661" s="232"/>
      <c r="C1661" s="227"/>
      <c r="D1661" s="227"/>
      <c r="E1661" s="231"/>
      <c r="F1661" s="232"/>
      <c r="G1661" s="227"/>
      <c r="H1661" s="227"/>
      <c r="I1661" s="227"/>
      <c r="J1661" s="227"/>
      <c r="K1661" s="227"/>
      <c r="L1661" s="232"/>
      <c r="M1661" s="232"/>
      <c r="N1661" s="227"/>
      <c r="O1661" s="227"/>
      <c r="P1661" s="231"/>
      <c r="Q1661" s="227"/>
      <c r="R1661" s="231"/>
      <c r="S1661" s="231"/>
      <c r="T1661" s="231"/>
      <c r="U1661" s="231"/>
      <c r="V1661" s="231"/>
      <c r="W1661" s="231"/>
      <c r="X1661" s="227"/>
      <c r="Y1661" s="232"/>
      <c r="Z1661" s="232"/>
      <c r="AA1661" s="232"/>
      <c r="AB1661" s="232"/>
      <c r="AC1661" s="227"/>
      <c r="AD1661" s="227"/>
      <c r="AE1661" s="231"/>
      <c r="AF1661" s="227"/>
      <c r="AG1661" s="232"/>
      <c r="AH1661" s="232"/>
      <c r="AI1661" s="232"/>
      <c r="AJ1661" s="232"/>
      <c r="AK1661" s="232"/>
      <c r="AL1661" s="232"/>
      <c r="AM1661" s="232"/>
      <c r="AN1661" s="232"/>
      <c r="AO1661" s="231"/>
      <c r="AP1661" s="231"/>
      <c r="AQ1661" s="227"/>
      <c r="AR1661" s="231"/>
      <c r="AS1661" s="227"/>
      <c r="AT1661" s="227"/>
      <c r="AU1661" s="227"/>
      <c r="AV1661" s="227"/>
    </row>
    <row r="1662">
      <c r="A1662" s="227"/>
      <c r="B1662" s="232"/>
      <c r="C1662" s="227"/>
      <c r="D1662" s="227"/>
      <c r="E1662" s="231"/>
      <c r="F1662" s="232"/>
      <c r="G1662" s="227"/>
      <c r="H1662" s="227"/>
      <c r="I1662" s="227"/>
      <c r="J1662" s="227"/>
      <c r="K1662" s="227"/>
      <c r="L1662" s="232"/>
      <c r="M1662" s="232"/>
      <c r="N1662" s="227"/>
      <c r="O1662" s="227"/>
      <c r="P1662" s="231"/>
      <c r="Q1662" s="227"/>
      <c r="R1662" s="231"/>
      <c r="S1662" s="231"/>
      <c r="T1662" s="231"/>
      <c r="U1662" s="231"/>
      <c r="V1662" s="231"/>
      <c r="W1662" s="231"/>
      <c r="X1662" s="227"/>
      <c r="Y1662" s="232"/>
      <c r="Z1662" s="232"/>
      <c r="AA1662" s="232"/>
      <c r="AB1662" s="232"/>
      <c r="AC1662" s="227"/>
      <c r="AD1662" s="227"/>
      <c r="AE1662" s="231"/>
      <c r="AF1662" s="227"/>
      <c r="AG1662" s="232"/>
      <c r="AH1662" s="232"/>
      <c r="AI1662" s="232"/>
      <c r="AJ1662" s="232"/>
      <c r="AK1662" s="232"/>
      <c r="AL1662" s="232"/>
      <c r="AM1662" s="232"/>
      <c r="AN1662" s="232"/>
      <c r="AO1662" s="231"/>
      <c r="AP1662" s="231"/>
      <c r="AQ1662" s="227"/>
      <c r="AR1662" s="231"/>
      <c r="AS1662" s="227"/>
      <c r="AT1662" s="227"/>
      <c r="AU1662" s="227"/>
      <c r="AV1662" s="227"/>
    </row>
    <row r="1663">
      <c r="A1663" s="227"/>
      <c r="B1663" s="232"/>
      <c r="C1663" s="227"/>
      <c r="D1663" s="227"/>
      <c r="E1663" s="231"/>
      <c r="F1663" s="232"/>
      <c r="G1663" s="227"/>
      <c r="H1663" s="227"/>
      <c r="I1663" s="227"/>
      <c r="J1663" s="227"/>
      <c r="K1663" s="227"/>
      <c r="L1663" s="232"/>
      <c r="M1663" s="232"/>
      <c r="N1663" s="227"/>
      <c r="O1663" s="227"/>
      <c r="P1663" s="231"/>
      <c r="Q1663" s="227"/>
      <c r="R1663" s="231"/>
      <c r="S1663" s="231"/>
      <c r="T1663" s="231"/>
      <c r="U1663" s="231"/>
      <c r="V1663" s="231"/>
      <c r="W1663" s="231"/>
      <c r="X1663" s="227"/>
      <c r="Y1663" s="232"/>
      <c r="Z1663" s="232"/>
      <c r="AA1663" s="232"/>
      <c r="AB1663" s="232"/>
      <c r="AC1663" s="227"/>
      <c r="AD1663" s="227"/>
      <c r="AE1663" s="231"/>
      <c r="AF1663" s="227"/>
      <c r="AG1663" s="232"/>
      <c r="AH1663" s="232"/>
      <c r="AI1663" s="232"/>
      <c r="AJ1663" s="232"/>
      <c r="AK1663" s="232"/>
      <c r="AL1663" s="232"/>
      <c r="AM1663" s="232"/>
      <c r="AN1663" s="232"/>
      <c r="AO1663" s="231"/>
      <c r="AP1663" s="231"/>
      <c r="AQ1663" s="227"/>
      <c r="AR1663" s="231"/>
      <c r="AS1663" s="227"/>
      <c r="AT1663" s="227"/>
      <c r="AU1663" s="227"/>
      <c r="AV1663" s="227"/>
    </row>
    <row r="1664">
      <c r="A1664" s="227"/>
      <c r="B1664" s="232"/>
      <c r="C1664" s="227"/>
      <c r="D1664" s="227"/>
      <c r="E1664" s="231"/>
      <c r="F1664" s="232"/>
      <c r="G1664" s="227"/>
      <c r="H1664" s="227"/>
      <c r="I1664" s="227"/>
      <c r="J1664" s="227"/>
      <c r="K1664" s="227"/>
      <c r="L1664" s="232"/>
      <c r="M1664" s="232"/>
      <c r="N1664" s="227"/>
      <c r="O1664" s="227"/>
      <c r="P1664" s="231"/>
      <c r="Q1664" s="227"/>
      <c r="R1664" s="231"/>
      <c r="S1664" s="231"/>
      <c r="T1664" s="231"/>
      <c r="U1664" s="231"/>
      <c r="V1664" s="231"/>
      <c r="W1664" s="231"/>
      <c r="X1664" s="227"/>
      <c r="Y1664" s="232"/>
      <c r="Z1664" s="232"/>
      <c r="AA1664" s="232"/>
      <c r="AB1664" s="232"/>
      <c r="AC1664" s="227"/>
      <c r="AD1664" s="227"/>
      <c r="AE1664" s="231"/>
      <c r="AF1664" s="227"/>
      <c r="AG1664" s="232"/>
      <c r="AH1664" s="232"/>
      <c r="AI1664" s="232"/>
      <c r="AJ1664" s="232"/>
      <c r="AK1664" s="232"/>
      <c r="AL1664" s="232"/>
      <c r="AM1664" s="232"/>
      <c r="AN1664" s="232"/>
      <c r="AO1664" s="231"/>
      <c r="AP1664" s="231"/>
      <c r="AQ1664" s="227"/>
      <c r="AR1664" s="231"/>
      <c r="AS1664" s="227"/>
      <c r="AT1664" s="227"/>
      <c r="AU1664" s="227"/>
      <c r="AV1664" s="227"/>
    </row>
    <row r="1665">
      <c r="A1665" s="227"/>
      <c r="B1665" s="232"/>
      <c r="C1665" s="227"/>
      <c r="D1665" s="227"/>
      <c r="E1665" s="231"/>
      <c r="F1665" s="232"/>
      <c r="G1665" s="227"/>
      <c r="H1665" s="227"/>
      <c r="I1665" s="227"/>
      <c r="J1665" s="227"/>
      <c r="K1665" s="227"/>
      <c r="L1665" s="232"/>
      <c r="M1665" s="232"/>
      <c r="N1665" s="227"/>
      <c r="O1665" s="227"/>
      <c r="P1665" s="231"/>
      <c r="Q1665" s="227"/>
      <c r="R1665" s="231"/>
      <c r="S1665" s="231"/>
      <c r="T1665" s="231"/>
      <c r="U1665" s="231"/>
      <c r="V1665" s="231"/>
      <c r="W1665" s="231"/>
      <c r="X1665" s="227"/>
      <c r="Y1665" s="232"/>
      <c r="Z1665" s="232"/>
      <c r="AA1665" s="232"/>
      <c r="AB1665" s="232"/>
      <c r="AC1665" s="227"/>
      <c r="AD1665" s="227"/>
      <c r="AE1665" s="231"/>
      <c r="AF1665" s="227"/>
      <c r="AG1665" s="232"/>
      <c r="AH1665" s="232"/>
      <c r="AI1665" s="232"/>
      <c r="AJ1665" s="232"/>
      <c r="AK1665" s="232"/>
      <c r="AL1665" s="232"/>
      <c r="AM1665" s="232"/>
      <c r="AN1665" s="232"/>
      <c r="AO1665" s="231"/>
      <c r="AP1665" s="231"/>
      <c r="AQ1665" s="227"/>
      <c r="AR1665" s="231"/>
      <c r="AS1665" s="227"/>
      <c r="AT1665" s="227"/>
      <c r="AU1665" s="227"/>
      <c r="AV1665" s="227"/>
    </row>
    <row r="1666">
      <c r="A1666" s="227"/>
      <c r="B1666" s="232"/>
      <c r="C1666" s="227"/>
      <c r="D1666" s="227"/>
      <c r="E1666" s="231"/>
      <c r="F1666" s="232"/>
      <c r="G1666" s="227"/>
      <c r="H1666" s="227"/>
      <c r="I1666" s="227"/>
      <c r="J1666" s="227"/>
      <c r="K1666" s="227"/>
      <c r="L1666" s="232"/>
      <c r="M1666" s="232"/>
      <c r="N1666" s="227"/>
      <c r="O1666" s="227"/>
      <c r="P1666" s="231"/>
      <c r="Q1666" s="227"/>
      <c r="R1666" s="231"/>
      <c r="S1666" s="231"/>
      <c r="T1666" s="231"/>
      <c r="U1666" s="231"/>
      <c r="V1666" s="231"/>
      <c r="W1666" s="231"/>
      <c r="X1666" s="227"/>
      <c r="Y1666" s="232"/>
      <c r="Z1666" s="232"/>
      <c r="AA1666" s="232"/>
      <c r="AB1666" s="232"/>
      <c r="AC1666" s="227"/>
      <c r="AD1666" s="227"/>
      <c r="AE1666" s="231"/>
      <c r="AF1666" s="227"/>
      <c r="AG1666" s="232"/>
      <c r="AH1666" s="232"/>
      <c r="AI1666" s="232"/>
      <c r="AJ1666" s="232"/>
      <c r="AK1666" s="232"/>
      <c r="AL1666" s="232"/>
      <c r="AM1666" s="232"/>
      <c r="AN1666" s="232"/>
      <c r="AO1666" s="231"/>
      <c r="AP1666" s="231"/>
      <c r="AQ1666" s="227"/>
      <c r="AR1666" s="231"/>
      <c r="AS1666" s="227"/>
      <c r="AT1666" s="227"/>
      <c r="AU1666" s="227"/>
      <c r="AV1666" s="227"/>
    </row>
    <row r="1667">
      <c r="A1667" s="227"/>
      <c r="B1667" s="232"/>
      <c r="C1667" s="227"/>
      <c r="D1667" s="227"/>
      <c r="E1667" s="231"/>
      <c r="F1667" s="232"/>
      <c r="G1667" s="227"/>
      <c r="H1667" s="227"/>
      <c r="I1667" s="227"/>
      <c r="J1667" s="227"/>
      <c r="K1667" s="227"/>
      <c r="L1667" s="232"/>
      <c r="M1667" s="232"/>
      <c r="N1667" s="227"/>
      <c r="O1667" s="227"/>
      <c r="P1667" s="231"/>
      <c r="Q1667" s="227"/>
      <c r="R1667" s="231"/>
      <c r="S1667" s="231"/>
      <c r="T1667" s="231"/>
      <c r="U1667" s="231"/>
      <c r="V1667" s="231"/>
      <c r="W1667" s="231"/>
      <c r="X1667" s="227"/>
      <c r="Y1667" s="232"/>
      <c r="Z1667" s="232"/>
      <c r="AA1667" s="232"/>
      <c r="AB1667" s="232"/>
      <c r="AC1667" s="227"/>
      <c r="AD1667" s="227"/>
      <c r="AE1667" s="231"/>
      <c r="AF1667" s="227"/>
      <c r="AG1667" s="232"/>
      <c r="AH1667" s="232"/>
      <c r="AI1667" s="232"/>
      <c r="AJ1667" s="232"/>
      <c r="AK1667" s="232"/>
      <c r="AL1667" s="232"/>
      <c r="AM1667" s="232"/>
      <c r="AN1667" s="232"/>
      <c r="AO1667" s="231"/>
      <c r="AP1667" s="231"/>
      <c r="AQ1667" s="227"/>
      <c r="AR1667" s="231"/>
      <c r="AS1667" s="227"/>
      <c r="AT1667" s="227"/>
      <c r="AU1667" s="227"/>
      <c r="AV1667" s="227"/>
    </row>
    <row r="1668">
      <c r="A1668" s="227"/>
      <c r="B1668" s="232"/>
      <c r="C1668" s="227"/>
      <c r="D1668" s="227"/>
      <c r="E1668" s="231"/>
      <c r="F1668" s="232"/>
      <c r="G1668" s="227"/>
      <c r="H1668" s="227"/>
      <c r="I1668" s="227"/>
      <c r="J1668" s="227"/>
      <c r="K1668" s="227"/>
      <c r="L1668" s="232"/>
      <c r="M1668" s="232"/>
      <c r="N1668" s="227"/>
      <c r="O1668" s="227"/>
      <c r="P1668" s="231"/>
      <c r="Q1668" s="227"/>
      <c r="R1668" s="231"/>
      <c r="S1668" s="231"/>
      <c r="T1668" s="231"/>
      <c r="U1668" s="231"/>
      <c r="V1668" s="231"/>
      <c r="W1668" s="231"/>
      <c r="X1668" s="227"/>
      <c r="Y1668" s="232"/>
      <c r="Z1668" s="232"/>
      <c r="AA1668" s="232"/>
      <c r="AB1668" s="232"/>
      <c r="AC1668" s="227"/>
      <c r="AD1668" s="227"/>
      <c r="AE1668" s="231"/>
      <c r="AF1668" s="227"/>
      <c r="AG1668" s="232"/>
      <c r="AH1668" s="232"/>
      <c r="AI1668" s="232"/>
      <c r="AJ1668" s="232"/>
      <c r="AK1668" s="232"/>
      <c r="AL1668" s="232"/>
      <c r="AM1668" s="232"/>
      <c r="AN1668" s="232"/>
      <c r="AO1668" s="231"/>
      <c r="AP1668" s="231"/>
      <c r="AQ1668" s="227"/>
      <c r="AR1668" s="231"/>
      <c r="AS1668" s="227"/>
      <c r="AT1668" s="227"/>
      <c r="AU1668" s="227"/>
      <c r="AV1668" s="227"/>
    </row>
    <row r="1669">
      <c r="A1669" s="227"/>
      <c r="B1669" s="232"/>
      <c r="C1669" s="227"/>
      <c r="D1669" s="227"/>
      <c r="E1669" s="231"/>
      <c r="F1669" s="232"/>
      <c r="G1669" s="227"/>
      <c r="H1669" s="227"/>
      <c r="I1669" s="227"/>
      <c r="J1669" s="227"/>
      <c r="K1669" s="227"/>
      <c r="L1669" s="232"/>
      <c r="M1669" s="232"/>
      <c r="N1669" s="227"/>
      <c r="O1669" s="227"/>
      <c r="P1669" s="231"/>
      <c r="Q1669" s="227"/>
      <c r="R1669" s="231"/>
      <c r="S1669" s="231"/>
      <c r="T1669" s="231"/>
      <c r="U1669" s="231"/>
      <c r="V1669" s="231"/>
      <c r="W1669" s="231"/>
      <c r="X1669" s="227"/>
      <c r="Y1669" s="232"/>
      <c r="Z1669" s="232"/>
      <c r="AA1669" s="232"/>
      <c r="AB1669" s="232"/>
      <c r="AC1669" s="227"/>
      <c r="AD1669" s="227"/>
      <c r="AE1669" s="231"/>
      <c r="AF1669" s="227"/>
      <c r="AG1669" s="232"/>
      <c r="AH1669" s="232"/>
      <c r="AI1669" s="232"/>
      <c r="AJ1669" s="232"/>
      <c r="AK1669" s="232"/>
      <c r="AL1669" s="232"/>
      <c r="AM1669" s="232"/>
      <c r="AN1669" s="232"/>
      <c r="AO1669" s="231"/>
      <c r="AP1669" s="231"/>
      <c r="AQ1669" s="227"/>
      <c r="AR1669" s="231"/>
      <c r="AS1669" s="227"/>
      <c r="AT1669" s="227"/>
      <c r="AU1669" s="227"/>
      <c r="AV1669" s="227"/>
    </row>
    <row r="1670">
      <c r="A1670" s="227"/>
      <c r="B1670" s="232"/>
      <c r="C1670" s="227"/>
      <c r="D1670" s="227"/>
      <c r="E1670" s="231"/>
      <c r="F1670" s="232"/>
      <c r="G1670" s="227"/>
      <c r="H1670" s="227"/>
      <c r="I1670" s="227"/>
      <c r="J1670" s="227"/>
      <c r="K1670" s="227"/>
      <c r="L1670" s="232"/>
      <c r="M1670" s="232"/>
      <c r="N1670" s="227"/>
      <c r="O1670" s="227"/>
      <c r="P1670" s="231"/>
      <c r="Q1670" s="227"/>
      <c r="R1670" s="231"/>
      <c r="S1670" s="231"/>
      <c r="T1670" s="231"/>
      <c r="U1670" s="231"/>
      <c r="V1670" s="231"/>
      <c r="W1670" s="231"/>
      <c r="X1670" s="227"/>
      <c r="Y1670" s="232"/>
      <c r="Z1670" s="232"/>
      <c r="AA1670" s="232"/>
      <c r="AB1670" s="232"/>
      <c r="AC1670" s="227"/>
      <c r="AD1670" s="227"/>
      <c r="AE1670" s="231"/>
      <c r="AF1670" s="227"/>
      <c r="AG1670" s="232"/>
      <c r="AH1670" s="232"/>
      <c r="AI1670" s="232"/>
      <c r="AJ1670" s="232"/>
      <c r="AK1670" s="232"/>
      <c r="AL1670" s="232"/>
      <c r="AM1670" s="232"/>
      <c r="AN1670" s="232"/>
      <c r="AO1670" s="231"/>
      <c r="AP1670" s="231"/>
      <c r="AQ1670" s="227"/>
      <c r="AR1670" s="231"/>
      <c r="AS1670" s="227"/>
      <c r="AT1670" s="227"/>
      <c r="AU1670" s="227"/>
      <c r="AV1670" s="227"/>
    </row>
    <row r="1671">
      <c r="A1671" s="227"/>
      <c r="B1671" s="232"/>
      <c r="C1671" s="227"/>
      <c r="D1671" s="227"/>
      <c r="E1671" s="231"/>
      <c r="F1671" s="232"/>
      <c r="G1671" s="227"/>
      <c r="H1671" s="227"/>
      <c r="I1671" s="227"/>
      <c r="J1671" s="227"/>
      <c r="K1671" s="227"/>
      <c r="L1671" s="232"/>
      <c r="M1671" s="232"/>
      <c r="N1671" s="227"/>
      <c r="O1671" s="227"/>
      <c r="P1671" s="231"/>
      <c r="Q1671" s="227"/>
      <c r="R1671" s="231"/>
      <c r="S1671" s="231"/>
      <c r="T1671" s="231"/>
      <c r="U1671" s="231"/>
      <c r="V1671" s="231"/>
      <c r="W1671" s="231"/>
      <c r="X1671" s="227"/>
      <c r="Y1671" s="232"/>
      <c r="Z1671" s="232"/>
      <c r="AA1671" s="232"/>
      <c r="AB1671" s="232"/>
      <c r="AC1671" s="227"/>
      <c r="AD1671" s="227"/>
      <c r="AE1671" s="231"/>
      <c r="AF1671" s="227"/>
      <c r="AG1671" s="232"/>
      <c r="AH1671" s="232"/>
      <c r="AI1671" s="232"/>
      <c r="AJ1671" s="232"/>
      <c r="AK1671" s="232"/>
      <c r="AL1671" s="232"/>
      <c r="AM1671" s="232"/>
      <c r="AN1671" s="232"/>
      <c r="AO1671" s="231"/>
      <c r="AP1671" s="231"/>
      <c r="AQ1671" s="227"/>
      <c r="AR1671" s="231"/>
      <c r="AS1671" s="227"/>
      <c r="AT1671" s="227"/>
      <c r="AU1671" s="227"/>
      <c r="AV1671" s="227"/>
    </row>
    <row r="1672">
      <c r="A1672" s="227"/>
      <c r="B1672" s="232"/>
      <c r="C1672" s="227"/>
      <c r="D1672" s="227"/>
      <c r="E1672" s="231"/>
      <c r="F1672" s="232"/>
      <c r="G1672" s="227"/>
      <c r="H1672" s="227"/>
      <c r="I1672" s="227"/>
      <c r="J1672" s="227"/>
      <c r="K1672" s="227"/>
      <c r="L1672" s="232"/>
      <c r="M1672" s="232"/>
      <c r="N1672" s="227"/>
      <c r="O1672" s="227"/>
      <c r="P1672" s="231"/>
      <c r="Q1672" s="227"/>
      <c r="R1672" s="231"/>
      <c r="S1672" s="231"/>
      <c r="T1672" s="231"/>
      <c r="U1672" s="231"/>
      <c r="V1672" s="231"/>
      <c r="W1672" s="231"/>
      <c r="X1672" s="227"/>
      <c r="Y1672" s="232"/>
      <c r="Z1672" s="232"/>
      <c r="AA1672" s="232"/>
      <c r="AB1672" s="232"/>
      <c r="AC1672" s="227"/>
      <c r="AD1672" s="227"/>
      <c r="AE1672" s="231"/>
      <c r="AF1672" s="227"/>
      <c r="AG1672" s="232"/>
      <c r="AH1672" s="232"/>
      <c r="AI1672" s="232"/>
      <c r="AJ1672" s="232"/>
      <c r="AK1672" s="232"/>
      <c r="AL1672" s="232"/>
      <c r="AM1672" s="232"/>
      <c r="AN1672" s="232"/>
      <c r="AO1672" s="231"/>
      <c r="AP1672" s="231"/>
      <c r="AQ1672" s="227"/>
      <c r="AR1672" s="231"/>
      <c r="AS1672" s="227"/>
      <c r="AT1672" s="227"/>
      <c r="AU1672" s="227"/>
      <c r="AV1672" s="227"/>
    </row>
    <row r="1673">
      <c r="A1673" s="227"/>
      <c r="B1673" s="232"/>
      <c r="C1673" s="227"/>
      <c r="D1673" s="227"/>
      <c r="E1673" s="231"/>
      <c r="F1673" s="232"/>
      <c r="G1673" s="227"/>
      <c r="H1673" s="227"/>
      <c r="I1673" s="227"/>
      <c r="J1673" s="227"/>
      <c r="K1673" s="227"/>
      <c r="L1673" s="232"/>
      <c r="M1673" s="232"/>
      <c r="N1673" s="227"/>
      <c r="O1673" s="227"/>
      <c r="P1673" s="231"/>
      <c r="Q1673" s="227"/>
      <c r="R1673" s="231"/>
      <c r="S1673" s="231"/>
      <c r="T1673" s="231"/>
      <c r="U1673" s="231"/>
      <c r="V1673" s="231"/>
      <c r="W1673" s="231"/>
      <c r="X1673" s="227"/>
      <c r="Y1673" s="232"/>
      <c r="Z1673" s="232"/>
      <c r="AA1673" s="232"/>
      <c r="AB1673" s="232"/>
      <c r="AC1673" s="227"/>
      <c r="AD1673" s="227"/>
      <c r="AE1673" s="231"/>
      <c r="AF1673" s="227"/>
      <c r="AG1673" s="232"/>
      <c r="AH1673" s="232"/>
      <c r="AI1673" s="232"/>
      <c r="AJ1673" s="232"/>
      <c r="AK1673" s="232"/>
      <c r="AL1673" s="232"/>
      <c r="AM1673" s="232"/>
      <c r="AN1673" s="232"/>
      <c r="AO1673" s="231"/>
      <c r="AP1673" s="231"/>
      <c r="AQ1673" s="227"/>
      <c r="AR1673" s="231"/>
      <c r="AS1673" s="227"/>
      <c r="AT1673" s="227"/>
      <c r="AU1673" s="227"/>
      <c r="AV1673" s="227"/>
    </row>
    <row r="1674">
      <c r="A1674" s="227"/>
      <c r="B1674" s="232"/>
      <c r="C1674" s="227"/>
      <c r="D1674" s="227"/>
      <c r="E1674" s="231"/>
      <c r="F1674" s="232"/>
      <c r="G1674" s="227"/>
      <c r="H1674" s="227"/>
      <c r="I1674" s="227"/>
      <c r="J1674" s="227"/>
      <c r="K1674" s="227"/>
      <c r="L1674" s="232"/>
      <c r="M1674" s="232"/>
      <c r="N1674" s="227"/>
      <c r="O1674" s="227"/>
      <c r="P1674" s="231"/>
      <c r="Q1674" s="227"/>
      <c r="R1674" s="231"/>
      <c r="S1674" s="231"/>
      <c r="T1674" s="231"/>
      <c r="U1674" s="231"/>
      <c r="V1674" s="231"/>
      <c r="W1674" s="231"/>
      <c r="X1674" s="227"/>
      <c r="Y1674" s="232"/>
      <c r="Z1674" s="232"/>
      <c r="AA1674" s="232"/>
      <c r="AB1674" s="232"/>
      <c r="AC1674" s="227"/>
      <c r="AD1674" s="227"/>
      <c r="AE1674" s="231"/>
      <c r="AF1674" s="227"/>
      <c r="AG1674" s="232"/>
      <c r="AH1674" s="232"/>
      <c r="AI1674" s="232"/>
      <c r="AJ1674" s="232"/>
      <c r="AK1674" s="232"/>
      <c r="AL1674" s="232"/>
      <c r="AM1674" s="232"/>
      <c r="AN1674" s="232"/>
      <c r="AO1674" s="231"/>
      <c r="AP1674" s="231"/>
      <c r="AQ1674" s="227"/>
      <c r="AR1674" s="231"/>
      <c r="AS1674" s="227"/>
      <c r="AT1674" s="227"/>
      <c r="AU1674" s="227"/>
      <c r="AV1674" s="227"/>
    </row>
    <row r="1675">
      <c r="A1675" s="227"/>
      <c r="B1675" s="232"/>
      <c r="C1675" s="227"/>
      <c r="D1675" s="227"/>
      <c r="E1675" s="231"/>
      <c r="F1675" s="232"/>
      <c r="G1675" s="227"/>
      <c r="H1675" s="227"/>
      <c r="I1675" s="227"/>
      <c r="J1675" s="227"/>
      <c r="K1675" s="227"/>
      <c r="L1675" s="232"/>
      <c r="M1675" s="232"/>
      <c r="N1675" s="227"/>
      <c r="O1675" s="227"/>
      <c r="P1675" s="231"/>
      <c r="Q1675" s="227"/>
      <c r="R1675" s="231"/>
      <c r="S1675" s="231"/>
      <c r="T1675" s="231"/>
      <c r="U1675" s="231"/>
      <c r="V1675" s="231"/>
      <c r="W1675" s="231"/>
      <c r="X1675" s="227"/>
      <c r="Y1675" s="232"/>
      <c r="Z1675" s="232"/>
      <c r="AA1675" s="232"/>
      <c r="AB1675" s="232"/>
      <c r="AC1675" s="227"/>
      <c r="AD1675" s="227"/>
      <c r="AE1675" s="231"/>
      <c r="AF1675" s="227"/>
      <c r="AG1675" s="232"/>
      <c r="AH1675" s="232"/>
      <c r="AI1675" s="232"/>
      <c r="AJ1675" s="232"/>
      <c r="AK1675" s="232"/>
      <c r="AL1675" s="232"/>
      <c r="AM1675" s="232"/>
      <c r="AN1675" s="232"/>
      <c r="AO1675" s="231"/>
      <c r="AP1675" s="231"/>
      <c r="AQ1675" s="227"/>
      <c r="AR1675" s="231"/>
      <c r="AS1675" s="227"/>
      <c r="AT1675" s="227"/>
      <c r="AU1675" s="227"/>
      <c r="AV1675" s="227"/>
    </row>
    <row r="1676">
      <c r="A1676" s="227"/>
      <c r="B1676" s="232"/>
      <c r="C1676" s="227"/>
      <c r="D1676" s="227"/>
      <c r="E1676" s="231"/>
      <c r="F1676" s="232"/>
      <c r="G1676" s="227"/>
      <c r="H1676" s="227"/>
      <c r="I1676" s="227"/>
      <c r="J1676" s="227"/>
      <c r="K1676" s="227"/>
      <c r="L1676" s="232"/>
      <c r="M1676" s="232"/>
      <c r="N1676" s="227"/>
      <c r="O1676" s="227"/>
      <c r="P1676" s="231"/>
      <c r="Q1676" s="227"/>
      <c r="R1676" s="231"/>
      <c r="S1676" s="231"/>
      <c r="T1676" s="231"/>
      <c r="U1676" s="231"/>
      <c r="V1676" s="231"/>
      <c r="W1676" s="231"/>
      <c r="X1676" s="227"/>
      <c r="Y1676" s="232"/>
      <c r="Z1676" s="232"/>
      <c r="AA1676" s="232"/>
      <c r="AB1676" s="232"/>
      <c r="AC1676" s="227"/>
      <c r="AD1676" s="227"/>
      <c r="AE1676" s="231"/>
      <c r="AF1676" s="227"/>
      <c r="AG1676" s="232"/>
      <c r="AH1676" s="232"/>
      <c r="AI1676" s="232"/>
      <c r="AJ1676" s="232"/>
      <c r="AK1676" s="232"/>
      <c r="AL1676" s="232"/>
      <c r="AM1676" s="232"/>
      <c r="AN1676" s="232"/>
      <c r="AO1676" s="231"/>
      <c r="AP1676" s="231"/>
      <c r="AQ1676" s="227"/>
      <c r="AR1676" s="231"/>
      <c r="AS1676" s="227"/>
      <c r="AT1676" s="227"/>
      <c r="AU1676" s="227"/>
      <c r="AV1676" s="227"/>
    </row>
    <row r="1677">
      <c r="A1677" s="227"/>
      <c r="B1677" s="232"/>
      <c r="C1677" s="227"/>
      <c r="D1677" s="227"/>
      <c r="E1677" s="231"/>
      <c r="F1677" s="232"/>
      <c r="G1677" s="227"/>
      <c r="H1677" s="227"/>
      <c r="I1677" s="227"/>
      <c r="J1677" s="227"/>
      <c r="K1677" s="227"/>
      <c r="L1677" s="232"/>
      <c r="M1677" s="232"/>
      <c r="N1677" s="227"/>
      <c r="O1677" s="227"/>
      <c r="P1677" s="231"/>
      <c r="Q1677" s="227"/>
      <c r="R1677" s="231"/>
      <c r="S1677" s="231"/>
      <c r="T1677" s="231"/>
      <c r="U1677" s="231"/>
      <c r="V1677" s="231"/>
      <c r="W1677" s="231"/>
      <c r="X1677" s="227"/>
      <c r="Y1677" s="232"/>
      <c r="Z1677" s="232"/>
      <c r="AA1677" s="232"/>
      <c r="AB1677" s="232"/>
      <c r="AC1677" s="227"/>
      <c r="AD1677" s="227"/>
      <c r="AE1677" s="231"/>
      <c r="AF1677" s="227"/>
      <c r="AG1677" s="232"/>
      <c r="AH1677" s="232"/>
      <c r="AI1677" s="232"/>
      <c r="AJ1677" s="232"/>
      <c r="AK1677" s="232"/>
      <c r="AL1677" s="232"/>
      <c r="AM1677" s="232"/>
      <c r="AN1677" s="232"/>
      <c r="AO1677" s="231"/>
      <c r="AP1677" s="231"/>
      <c r="AQ1677" s="227"/>
      <c r="AR1677" s="231"/>
      <c r="AS1677" s="227"/>
      <c r="AT1677" s="227"/>
      <c r="AU1677" s="227"/>
      <c r="AV1677" s="227"/>
    </row>
    <row r="1678">
      <c r="A1678" s="227"/>
      <c r="B1678" s="232"/>
      <c r="C1678" s="227"/>
      <c r="D1678" s="227"/>
      <c r="E1678" s="231"/>
      <c r="F1678" s="232"/>
      <c r="G1678" s="227"/>
      <c r="H1678" s="227"/>
      <c r="I1678" s="227"/>
      <c r="J1678" s="227"/>
      <c r="K1678" s="227"/>
      <c r="L1678" s="232"/>
      <c r="M1678" s="232"/>
      <c r="N1678" s="227"/>
      <c r="O1678" s="227"/>
      <c r="P1678" s="231"/>
      <c r="Q1678" s="227"/>
      <c r="R1678" s="231"/>
      <c r="S1678" s="231"/>
      <c r="T1678" s="231"/>
      <c r="U1678" s="231"/>
      <c r="V1678" s="231"/>
      <c r="W1678" s="231"/>
      <c r="X1678" s="227"/>
      <c r="Y1678" s="232"/>
      <c r="Z1678" s="232"/>
      <c r="AA1678" s="232"/>
      <c r="AB1678" s="232"/>
      <c r="AC1678" s="227"/>
      <c r="AD1678" s="227"/>
      <c r="AE1678" s="231"/>
      <c r="AF1678" s="227"/>
      <c r="AG1678" s="232"/>
      <c r="AH1678" s="232"/>
      <c r="AI1678" s="232"/>
      <c r="AJ1678" s="232"/>
      <c r="AK1678" s="232"/>
      <c r="AL1678" s="232"/>
      <c r="AM1678" s="232"/>
      <c r="AN1678" s="232"/>
      <c r="AO1678" s="231"/>
      <c r="AP1678" s="231"/>
      <c r="AQ1678" s="227"/>
      <c r="AR1678" s="231"/>
      <c r="AS1678" s="227"/>
      <c r="AT1678" s="227"/>
      <c r="AU1678" s="227"/>
      <c r="AV1678" s="227"/>
    </row>
    <row r="1679">
      <c r="A1679" s="227"/>
      <c r="B1679" s="232"/>
      <c r="C1679" s="227"/>
      <c r="D1679" s="227"/>
      <c r="E1679" s="231"/>
      <c r="F1679" s="232"/>
      <c r="G1679" s="227"/>
      <c r="H1679" s="227"/>
      <c r="I1679" s="227"/>
      <c r="J1679" s="227"/>
      <c r="K1679" s="227"/>
      <c r="L1679" s="232"/>
      <c r="M1679" s="232"/>
      <c r="N1679" s="227"/>
      <c r="O1679" s="227"/>
      <c r="P1679" s="231"/>
      <c r="Q1679" s="227"/>
      <c r="R1679" s="231"/>
      <c r="S1679" s="231"/>
      <c r="T1679" s="231"/>
      <c r="U1679" s="231"/>
      <c r="V1679" s="231"/>
      <c r="W1679" s="231"/>
      <c r="X1679" s="227"/>
      <c r="Y1679" s="232"/>
      <c r="Z1679" s="232"/>
      <c r="AA1679" s="232"/>
      <c r="AB1679" s="232"/>
      <c r="AC1679" s="227"/>
      <c r="AD1679" s="227"/>
      <c r="AE1679" s="231"/>
      <c r="AF1679" s="227"/>
      <c r="AG1679" s="232"/>
      <c r="AH1679" s="232"/>
      <c r="AI1679" s="232"/>
      <c r="AJ1679" s="232"/>
      <c r="AK1679" s="232"/>
      <c r="AL1679" s="232"/>
      <c r="AM1679" s="232"/>
      <c r="AN1679" s="232"/>
      <c r="AO1679" s="231"/>
      <c r="AP1679" s="231"/>
      <c r="AQ1679" s="227"/>
      <c r="AR1679" s="231"/>
      <c r="AS1679" s="227"/>
      <c r="AT1679" s="227"/>
      <c r="AU1679" s="227"/>
      <c r="AV1679" s="227"/>
    </row>
    <row r="1680">
      <c r="A1680" s="227"/>
      <c r="B1680" s="232"/>
      <c r="C1680" s="227"/>
      <c r="D1680" s="227"/>
      <c r="E1680" s="231"/>
      <c r="F1680" s="232"/>
      <c r="G1680" s="227"/>
      <c r="H1680" s="227"/>
      <c r="I1680" s="227"/>
      <c r="J1680" s="227"/>
      <c r="K1680" s="227"/>
      <c r="L1680" s="232"/>
      <c r="M1680" s="232"/>
      <c r="N1680" s="227"/>
      <c r="O1680" s="227"/>
      <c r="P1680" s="231"/>
      <c r="Q1680" s="227"/>
      <c r="R1680" s="231"/>
      <c r="S1680" s="231"/>
      <c r="T1680" s="231"/>
      <c r="U1680" s="231"/>
      <c r="V1680" s="231"/>
      <c r="W1680" s="231"/>
      <c r="X1680" s="227"/>
      <c r="Y1680" s="232"/>
      <c r="Z1680" s="232"/>
      <c r="AA1680" s="232"/>
      <c r="AB1680" s="232"/>
      <c r="AC1680" s="227"/>
      <c r="AD1680" s="227"/>
      <c r="AE1680" s="231"/>
      <c r="AF1680" s="227"/>
      <c r="AG1680" s="232"/>
      <c r="AH1680" s="232"/>
      <c r="AI1680" s="232"/>
      <c r="AJ1680" s="232"/>
      <c r="AK1680" s="232"/>
      <c r="AL1680" s="232"/>
      <c r="AM1680" s="232"/>
      <c r="AN1680" s="232"/>
      <c r="AO1680" s="231"/>
      <c r="AP1680" s="231"/>
      <c r="AQ1680" s="227"/>
      <c r="AR1680" s="231"/>
      <c r="AS1680" s="227"/>
      <c r="AT1680" s="227"/>
      <c r="AU1680" s="227"/>
      <c r="AV1680" s="227"/>
    </row>
    <row r="1681">
      <c r="A1681" s="227"/>
      <c r="B1681" s="232"/>
      <c r="C1681" s="227"/>
      <c r="D1681" s="227"/>
      <c r="E1681" s="231"/>
      <c r="F1681" s="232"/>
      <c r="G1681" s="227"/>
      <c r="H1681" s="227"/>
      <c r="I1681" s="227"/>
      <c r="J1681" s="227"/>
      <c r="K1681" s="227"/>
      <c r="L1681" s="232"/>
      <c r="M1681" s="232"/>
      <c r="N1681" s="227"/>
      <c r="O1681" s="227"/>
      <c r="P1681" s="231"/>
      <c r="Q1681" s="227"/>
      <c r="R1681" s="231"/>
      <c r="S1681" s="231"/>
      <c r="T1681" s="231"/>
      <c r="U1681" s="231"/>
      <c r="V1681" s="231"/>
      <c r="W1681" s="231"/>
      <c r="X1681" s="227"/>
      <c r="Y1681" s="232"/>
      <c r="Z1681" s="232"/>
      <c r="AA1681" s="232"/>
      <c r="AB1681" s="232"/>
      <c r="AC1681" s="227"/>
      <c r="AD1681" s="227"/>
      <c r="AE1681" s="231"/>
      <c r="AF1681" s="227"/>
      <c r="AG1681" s="232"/>
      <c r="AH1681" s="232"/>
      <c r="AI1681" s="232"/>
      <c r="AJ1681" s="232"/>
      <c r="AK1681" s="232"/>
      <c r="AL1681" s="232"/>
      <c r="AM1681" s="232"/>
      <c r="AN1681" s="232"/>
      <c r="AO1681" s="231"/>
      <c r="AP1681" s="231"/>
      <c r="AQ1681" s="227"/>
      <c r="AR1681" s="231"/>
      <c r="AS1681" s="227"/>
      <c r="AT1681" s="227"/>
      <c r="AU1681" s="227"/>
      <c r="AV1681" s="227"/>
    </row>
    <row r="1682">
      <c r="A1682" s="227"/>
      <c r="B1682" s="232"/>
      <c r="C1682" s="227"/>
      <c r="D1682" s="227"/>
      <c r="E1682" s="231"/>
      <c r="F1682" s="232"/>
      <c r="G1682" s="227"/>
      <c r="H1682" s="227"/>
      <c r="I1682" s="227"/>
      <c r="J1682" s="227"/>
      <c r="K1682" s="227"/>
      <c r="L1682" s="232"/>
      <c r="M1682" s="232"/>
      <c r="N1682" s="227"/>
      <c r="O1682" s="227"/>
      <c r="P1682" s="231"/>
      <c r="Q1682" s="227"/>
      <c r="R1682" s="231"/>
      <c r="S1682" s="231"/>
      <c r="T1682" s="231"/>
      <c r="U1682" s="231"/>
      <c r="V1682" s="231"/>
      <c r="W1682" s="231"/>
      <c r="X1682" s="227"/>
      <c r="Y1682" s="232"/>
      <c r="Z1682" s="232"/>
      <c r="AA1682" s="232"/>
      <c r="AB1682" s="232"/>
      <c r="AC1682" s="227"/>
      <c r="AD1682" s="227"/>
      <c r="AE1682" s="231"/>
      <c r="AF1682" s="227"/>
      <c r="AG1682" s="232"/>
      <c r="AH1682" s="232"/>
      <c r="AI1682" s="232"/>
      <c r="AJ1682" s="232"/>
      <c r="AK1682" s="232"/>
      <c r="AL1682" s="232"/>
      <c r="AM1682" s="232"/>
      <c r="AN1682" s="232"/>
      <c r="AO1682" s="231"/>
      <c r="AP1682" s="231"/>
      <c r="AQ1682" s="227"/>
      <c r="AR1682" s="231"/>
      <c r="AS1682" s="227"/>
      <c r="AT1682" s="227"/>
      <c r="AU1682" s="227"/>
      <c r="AV1682" s="227"/>
    </row>
    <row r="1683">
      <c r="A1683" s="227"/>
      <c r="B1683" s="232"/>
      <c r="C1683" s="227"/>
      <c r="D1683" s="227"/>
      <c r="E1683" s="231"/>
      <c r="F1683" s="232"/>
      <c r="G1683" s="227"/>
      <c r="H1683" s="227"/>
      <c r="I1683" s="227"/>
      <c r="J1683" s="227"/>
      <c r="K1683" s="227"/>
      <c r="L1683" s="232"/>
      <c r="M1683" s="232"/>
      <c r="N1683" s="227"/>
      <c r="O1683" s="227"/>
      <c r="P1683" s="231"/>
      <c r="Q1683" s="227"/>
      <c r="R1683" s="231"/>
      <c r="S1683" s="231"/>
      <c r="T1683" s="231"/>
      <c r="U1683" s="231"/>
      <c r="V1683" s="231"/>
      <c r="W1683" s="231"/>
      <c r="X1683" s="227"/>
      <c r="Y1683" s="232"/>
      <c r="Z1683" s="232"/>
      <c r="AA1683" s="232"/>
      <c r="AB1683" s="232"/>
      <c r="AC1683" s="227"/>
      <c r="AD1683" s="227"/>
      <c r="AE1683" s="231"/>
      <c r="AF1683" s="227"/>
      <c r="AG1683" s="232"/>
      <c r="AH1683" s="232"/>
      <c r="AI1683" s="232"/>
      <c r="AJ1683" s="232"/>
      <c r="AK1683" s="232"/>
      <c r="AL1683" s="232"/>
      <c r="AM1683" s="232"/>
      <c r="AN1683" s="232"/>
      <c r="AO1683" s="231"/>
      <c r="AP1683" s="231"/>
      <c r="AQ1683" s="227"/>
      <c r="AR1683" s="231"/>
      <c r="AS1683" s="227"/>
      <c r="AT1683" s="227"/>
      <c r="AU1683" s="227"/>
      <c r="AV1683" s="227"/>
    </row>
    <row r="1684">
      <c r="A1684" s="227"/>
      <c r="B1684" s="232"/>
      <c r="C1684" s="227"/>
      <c r="D1684" s="227"/>
      <c r="E1684" s="231"/>
      <c r="F1684" s="232"/>
      <c r="G1684" s="227"/>
      <c r="H1684" s="227"/>
      <c r="I1684" s="227"/>
      <c r="J1684" s="227"/>
      <c r="K1684" s="227"/>
      <c r="L1684" s="232"/>
      <c r="M1684" s="232"/>
      <c r="N1684" s="227"/>
      <c r="O1684" s="227"/>
      <c r="P1684" s="231"/>
      <c r="Q1684" s="227"/>
      <c r="R1684" s="231"/>
      <c r="S1684" s="231"/>
      <c r="T1684" s="231"/>
      <c r="U1684" s="231"/>
      <c r="V1684" s="231"/>
      <c r="W1684" s="231"/>
      <c r="X1684" s="227"/>
      <c r="Y1684" s="232"/>
      <c r="Z1684" s="232"/>
      <c r="AA1684" s="232"/>
      <c r="AB1684" s="232"/>
      <c r="AC1684" s="227"/>
      <c r="AD1684" s="227"/>
      <c r="AE1684" s="231"/>
      <c r="AF1684" s="227"/>
      <c r="AG1684" s="232"/>
      <c r="AH1684" s="232"/>
      <c r="AI1684" s="232"/>
      <c r="AJ1684" s="232"/>
      <c r="AK1684" s="232"/>
      <c r="AL1684" s="232"/>
      <c r="AM1684" s="232"/>
      <c r="AN1684" s="232"/>
      <c r="AO1684" s="231"/>
      <c r="AP1684" s="231"/>
      <c r="AQ1684" s="227"/>
      <c r="AR1684" s="231"/>
      <c r="AS1684" s="227"/>
      <c r="AT1684" s="227"/>
      <c r="AU1684" s="227"/>
      <c r="AV1684" s="227"/>
    </row>
    <row r="1685">
      <c r="A1685" s="227"/>
      <c r="B1685" s="232"/>
      <c r="C1685" s="227"/>
      <c r="D1685" s="227"/>
      <c r="E1685" s="231"/>
      <c r="F1685" s="232"/>
      <c r="G1685" s="227"/>
      <c r="H1685" s="227"/>
      <c r="I1685" s="227"/>
      <c r="J1685" s="227"/>
      <c r="K1685" s="227"/>
      <c r="L1685" s="232"/>
      <c r="M1685" s="232"/>
      <c r="N1685" s="227"/>
      <c r="O1685" s="227"/>
      <c r="P1685" s="231"/>
      <c r="Q1685" s="227"/>
      <c r="R1685" s="231"/>
      <c r="S1685" s="231"/>
      <c r="T1685" s="231"/>
      <c r="U1685" s="231"/>
      <c r="V1685" s="231"/>
      <c r="W1685" s="231"/>
      <c r="X1685" s="227"/>
      <c r="Y1685" s="232"/>
      <c r="Z1685" s="232"/>
      <c r="AA1685" s="232"/>
      <c r="AB1685" s="232"/>
      <c r="AC1685" s="227"/>
      <c r="AD1685" s="227"/>
      <c r="AE1685" s="231"/>
      <c r="AF1685" s="227"/>
      <c r="AG1685" s="232"/>
      <c r="AH1685" s="232"/>
      <c r="AI1685" s="232"/>
      <c r="AJ1685" s="232"/>
      <c r="AK1685" s="232"/>
      <c r="AL1685" s="232"/>
      <c r="AM1685" s="232"/>
      <c r="AN1685" s="232"/>
      <c r="AO1685" s="231"/>
      <c r="AP1685" s="231"/>
      <c r="AQ1685" s="227"/>
      <c r="AR1685" s="231"/>
      <c r="AS1685" s="227"/>
      <c r="AT1685" s="227"/>
      <c r="AU1685" s="227"/>
      <c r="AV1685" s="227"/>
    </row>
    <row r="1686">
      <c r="A1686" s="227"/>
      <c r="B1686" s="232"/>
      <c r="C1686" s="227"/>
      <c r="D1686" s="227"/>
      <c r="E1686" s="231"/>
      <c r="F1686" s="232"/>
      <c r="G1686" s="227"/>
      <c r="H1686" s="227"/>
      <c r="I1686" s="227"/>
      <c r="J1686" s="227"/>
      <c r="K1686" s="227"/>
      <c r="L1686" s="232"/>
      <c r="M1686" s="232"/>
      <c r="N1686" s="227"/>
      <c r="O1686" s="227"/>
      <c r="P1686" s="231"/>
      <c r="Q1686" s="227"/>
      <c r="R1686" s="231"/>
      <c r="S1686" s="231"/>
      <c r="T1686" s="231"/>
      <c r="U1686" s="231"/>
      <c r="V1686" s="231"/>
      <c r="W1686" s="231"/>
      <c r="X1686" s="227"/>
      <c r="Y1686" s="232"/>
      <c r="Z1686" s="232"/>
      <c r="AA1686" s="232"/>
      <c r="AB1686" s="232"/>
      <c r="AC1686" s="227"/>
      <c r="AD1686" s="227"/>
      <c r="AE1686" s="231"/>
      <c r="AF1686" s="227"/>
      <c r="AG1686" s="232"/>
      <c r="AH1686" s="232"/>
      <c r="AI1686" s="232"/>
      <c r="AJ1686" s="232"/>
      <c r="AK1686" s="232"/>
      <c r="AL1686" s="232"/>
      <c r="AM1686" s="232"/>
      <c r="AN1686" s="232"/>
      <c r="AO1686" s="231"/>
      <c r="AP1686" s="231"/>
      <c r="AQ1686" s="227"/>
      <c r="AR1686" s="231"/>
      <c r="AS1686" s="227"/>
      <c r="AT1686" s="227"/>
      <c r="AU1686" s="227"/>
      <c r="AV1686" s="227"/>
    </row>
    <row r="1687">
      <c r="A1687" s="227"/>
      <c r="B1687" s="232"/>
      <c r="C1687" s="227"/>
      <c r="D1687" s="227"/>
      <c r="E1687" s="231"/>
      <c r="F1687" s="232"/>
      <c r="G1687" s="227"/>
      <c r="H1687" s="227"/>
      <c r="I1687" s="227"/>
      <c r="J1687" s="227"/>
      <c r="K1687" s="227"/>
      <c r="L1687" s="232"/>
      <c r="M1687" s="232"/>
      <c r="N1687" s="227"/>
      <c r="O1687" s="227"/>
      <c r="P1687" s="231"/>
      <c r="Q1687" s="227"/>
      <c r="R1687" s="231"/>
      <c r="S1687" s="231"/>
      <c r="T1687" s="231"/>
      <c r="U1687" s="231"/>
      <c r="V1687" s="231"/>
      <c r="W1687" s="231"/>
      <c r="X1687" s="227"/>
      <c r="Y1687" s="232"/>
      <c r="Z1687" s="232"/>
      <c r="AA1687" s="232"/>
      <c r="AB1687" s="232"/>
      <c r="AC1687" s="227"/>
      <c r="AD1687" s="227"/>
      <c r="AE1687" s="231"/>
      <c r="AF1687" s="227"/>
      <c r="AG1687" s="232"/>
      <c r="AH1687" s="232"/>
      <c r="AI1687" s="232"/>
      <c r="AJ1687" s="232"/>
      <c r="AK1687" s="232"/>
      <c r="AL1687" s="232"/>
      <c r="AM1687" s="232"/>
      <c r="AN1687" s="232"/>
      <c r="AO1687" s="231"/>
      <c r="AP1687" s="231"/>
      <c r="AQ1687" s="227"/>
      <c r="AR1687" s="231"/>
      <c r="AS1687" s="227"/>
      <c r="AT1687" s="227"/>
      <c r="AU1687" s="227"/>
      <c r="AV1687" s="227"/>
    </row>
    <row r="1688">
      <c r="A1688" s="227"/>
      <c r="B1688" s="232"/>
      <c r="C1688" s="227"/>
      <c r="D1688" s="227"/>
      <c r="E1688" s="231"/>
      <c r="F1688" s="232"/>
      <c r="G1688" s="227"/>
      <c r="H1688" s="227"/>
      <c r="I1688" s="227"/>
      <c r="J1688" s="227"/>
      <c r="K1688" s="227"/>
      <c r="L1688" s="232"/>
      <c r="M1688" s="232"/>
      <c r="N1688" s="227"/>
      <c r="O1688" s="227"/>
      <c r="P1688" s="231"/>
      <c r="Q1688" s="227"/>
      <c r="R1688" s="231"/>
      <c r="S1688" s="231"/>
      <c r="T1688" s="231"/>
      <c r="U1688" s="231"/>
      <c r="V1688" s="231"/>
      <c r="W1688" s="231"/>
      <c r="X1688" s="227"/>
      <c r="Y1688" s="232"/>
      <c r="Z1688" s="232"/>
      <c r="AA1688" s="232"/>
      <c r="AB1688" s="232"/>
      <c r="AC1688" s="227"/>
      <c r="AD1688" s="227"/>
      <c r="AE1688" s="231"/>
      <c r="AF1688" s="227"/>
      <c r="AG1688" s="232"/>
      <c r="AH1688" s="232"/>
      <c r="AI1688" s="232"/>
      <c r="AJ1688" s="232"/>
      <c r="AK1688" s="232"/>
      <c r="AL1688" s="232"/>
      <c r="AM1688" s="232"/>
      <c r="AN1688" s="232"/>
      <c r="AO1688" s="231"/>
      <c r="AP1688" s="231"/>
      <c r="AQ1688" s="227"/>
      <c r="AR1688" s="231"/>
      <c r="AS1688" s="227"/>
      <c r="AT1688" s="227"/>
      <c r="AU1688" s="227"/>
      <c r="AV1688" s="227"/>
    </row>
    <row r="1689">
      <c r="A1689" s="227"/>
      <c r="B1689" s="232"/>
      <c r="C1689" s="227"/>
      <c r="D1689" s="227"/>
      <c r="E1689" s="231"/>
      <c r="F1689" s="232"/>
      <c r="G1689" s="227"/>
      <c r="H1689" s="227"/>
      <c r="I1689" s="227"/>
      <c r="J1689" s="227"/>
      <c r="K1689" s="227"/>
      <c r="L1689" s="232"/>
      <c r="M1689" s="232"/>
      <c r="N1689" s="227"/>
      <c r="O1689" s="227"/>
      <c r="P1689" s="231"/>
      <c r="Q1689" s="227"/>
      <c r="R1689" s="231"/>
      <c r="S1689" s="231"/>
      <c r="T1689" s="231"/>
      <c r="U1689" s="231"/>
      <c r="V1689" s="231"/>
      <c r="W1689" s="231"/>
      <c r="X1689" s="227"/>
      <c r="Y1689" s="232"/>
      <c r="Z1689" s="232"/>
      <c r="AA1689" s="232"/>
      <c r="AB1689" s="232"/>
      <c r="AC1689" s="227"/>
      <c r="AD1689" s="227"/>
      <c r="AE1689" s="231"/>
      <c r="AF1689" s="227"/>
      <c r="AG1689" s="232"/>
      <c r="AH1689" s="232"/>
      <c r="AI1689" s="232"/>
      <c r="AJ1689" s="232"/>
      <c r="AK1689" s="232"/>
      <c r="AL1689" s="232"/>
      <c r="AM1689" s="232"/>
      <c r="AN1689" s="232"/>
      <c r="AO1689" s="231"/>
      <c r="AP1689" s="231"/>
      <c r="AQ1689" s="227"/>
      <c r="AR1689" s="231"/>
      <c r="AS1689" s="227"/>
      <c r="AT1689" s="227"/>
      <c r="AU1689" s="227"/>
      <c r="AV1689" s="227"/>
    </row>
    <row r="1690">
      <c r="A1690" s="227"/>
      <c r="B1690" s="232"/>
      <c r="C1690" s="227"/>
      <c r="D1690" s="227"/>
      <c r="E1690" s="231"/>
      <c r="F1690" s="232"/>
      <c r="G1690" s="227"/>
      <c r="H1690" s="227"/>
      <c r="I1690" s="227"/>
      <c r="J1690" s="227"/>
      <c r="K1690" s="227"/>
      <c r="L1690" s="232"/>
      <c r="M1690" s="232"/>
      <c r="N1690" s="227"/>
      <c r="O1690" s="227"/>
      <c r="P1690" s="231"/>
      <c r="Q1690" s="227"/>
      <c r="R1690" s="231"/>
      <c r="S1690" s="231"/>
      <c r="T1690" s="231"/>
      <c r="U1690" s="231"/>
      <c r="V1690" s="231"/>
      <c r="W1690" s="231"/>
      <c r="X1690" s="227"/>
      <c r="Y1690" s="232"/>
      <c r="Z1690" s="232"/>
      <c r="AA1690" s="232"/>
      <c r="AB1690" s="232"/>
      <c r="AC1690" s="227"/>
      <c r="AD1690" s="227"/>
      <c r="AE1690" s="231"/>
      <c r="AF1690" s="227"/>
      <c r="AG1690" s="232"/>
      <c r="AH1690" s="232"/>
      <c r="AI1690" s="232"/>
      <c r="AJ1690" s="232"/>
      <c r="AK1690" s="232"/>
      <c r="AL1690" s="232"/>
      <c r="AM1690" s="232"/>
      <c r="AN1690" s="232"/>
      <c r="AO1690" s="231"/>
      <c r="AP1690" s="231"/>
      <c r="AQ1690" s="227"/>
      <c r="AR1690" s="231"/>
      <c r="AS1690" s="227"/>
      <c r="AT1690" s="227"/>
      <c r="AU1690" s="227"/>
      <c r="AV1690" s="227"/>
    </row>
    <row r="1691">
      <c r="A1691" s="227"/>
      <c r="B1691" s="232"/>
      <c r="C1691" s="227"/>
      <c r="D1691" s="227"/>
      <c r="E1691" s="231"/>
      <c r="F1691" s="232"/>
      <c r="G1691" s="227"/>
      <c r="H1691" s="227"/>
      <c r="I1691" s="227"/>
      <c r="J1691" s="227"/>
      <c r="K1691" s="227"/>
      <c r="L1691" s="232"/>
      <c r="M1691" s="232"/>
      <c r="N1691" s="227"/>
      <c r="O1691" s="227"/>
      <c r="P1691" s="231"/>
      <c r="Q1691" s="227"/>
      <c r="R1691" s="231"/>
      <c r="S1691" s="231"/>
      <c r="T1691" s="231"/>
      <c r="U1691" s="231"/>
      <c r="V1691" s="231"/>
      <c r="W1691" s="231"/>
      <c r="X1691" s="227"/>
      <c r="Y1691" s="232"/>
      <c r="Z1691" s="232"/>
      <c r="AA1691" s="232"/>
      <c r="AB1691" s="232"/>
      <c r="AC1691" s="227"/>
      <c r="AD1691" s="227"/>
      <c r="AE1691" s="231"/>
      <c r="AF1691" s="227"/>
      <c r="AG1691" s="232"/>
      <c r="AH1691" s="232"/>
      <c r="AI1691" s="232"/>
      <c r="AJ1691" s="232"/>
      <c r="AK1691" s="232"/>
      <c r="AL1691" s="232"/>
      <c r="AM1691" s="232"/>
      <c r="AN1691" s="232"/>
      <c r="AO1691" s="231"/>
      <c r="AP1691" s="231"/>
      <c r="AQ1691" s="227"/>
      <c r="AR1691" s="231"/>
      <c r="AS1691" s="227"/>
      <c r="AT1691" s="227"/>
      <c r="AU1691" s="227"/>
      <c r="AV1691" s="227"/>
    </row>
    <row r="1692">
      <c r="A1692" s="227"/>
      <c r="B1692" s="232"/>
      <c r="C1692" s="227"/>
      <c r="D1692" s="227"/>
      <c r="E1692" s="231"/>
      <c r="F1692" s="232"/>
      <c r="G1692" s="227"/>
      <c r="H1692" s="227"/>
      <c r="I1692" s="227"/>
      <c r="J1692" s="227"/>
      <c r="K1692" s="227"/>
      <c r="L1692" s="232"/>
      <c r="M1692" s="232"/>
      <c r="N1692" s="227"/>
      <c r="O1692" s="227"/>
      <c r="P1692" s="231"/>
      <c r="Q1692" s="227"/>
      <c r="R1692" s="231"/>
      <c r="S1692" s="231"/>
      <c r="T1692" s="231"/>
      <c r="U1692" s="231"/>
      <c r="V1692" s="231"/>
      <c r="W1692" s="231"/>
      <c r="X1692" s="227"/>
      <c r="Y1692" s="232"/>
      <c r="Z1692" s="232"/>
      <c r="AA1692" s="232"/>
      <c r="AB1692" s="232"/>
      <c r="AC1692" s="227"/>
      <c r="AD1692" s="227"/>
      <c r="AE1692" s="231"/>
      <c r="AF1692" s="227"/>
      <c r="AG1692" s="232"/>
      <c r="AH1692" s="232"/>
      <c r="AI1692" s="232"/>
      <c r="AJ1692" s="232"/>
      <c r="AK1692" s="232"/>
      <c r="AL1692" s="232"/>
      <c r="AM1692" s="232"/>
      <c r="AN1692" s="232"/>
      <c r="AO1692" s="231"/>
      <c r="AP1692" s="231"/>
      <c r="AQ1692" s="227"/>
      <c r="AR1692" s="231"/>
      <c r="AS1692" s="227"/>
      <c r="AT1692" s="227"/>
      <c r="AU1692" s="227"/>
      <c r="AV1692" s="227"/>
    </row>
    <row r="1693">
      <c r="A1693" s="227"/>
      <c r="B1693" s="232"/>
      <c r="C1693" s="227"/>
      <c r="D1693" s="227"/>
      <c r="E1693" s="231"/>
      <c r="F1693" s="232"/>
      <c r="G1693" s="227"/>
      <c r="H1693" s="227"/>
      <c r="I1693" s="227"/>
      <c r="J1693" s="227"/>
      <c r="K1693" s="227"/>
      <c r="L1693" s="232"/>
      <c r="M1693" s="232"/>
      <c r="N1693" s="227"/>
      <c r="O1693" s="227"/>
      <c r="P1693" s="231"/>
      <c r="Q1693" s="227"/>
      <c r="R1693" s="231"/>
      <c r="S1693" s="231"/>
      <c r="T1693" s="231"/>
      <c r="U1693" s="231"/>
      <c r="V1693" s="231"/>
      <c r="W1693" s="231"/>
      <c r="X1693" s="227"/>
      <c r="Y1693" s="232"/>
      <c r="Z1693" s="232"/>
      <c r="AA1693" s="232"/>
      <c r="AB1693" s="232"/>
      <c r="AC1693" s="227"/>
      <c r="AD1693" s="227"/>
      <c r="AE1693" s="231"/>
      <c r="AF1693" s="227"/>
      <c r="AG1693" s="232"/>
      <c r="AH1693" s="232"/>
      <c r="AI1693" s="232"/>
      <c r="AJ1693" s="232"/>
      <c r="AK1693" s="232"/>
      <c r="AL1693" s="232"/>
      <c r="AM1693" s="232"/>
      <c r="AN1693" s="232"/>
      <c r="AO1693" s="231"/>
      <c r="AP1693" s="231"/>
      <c r="AQ1693" s="227"/>
      <c r="AR1693" s="231"/>
      <c r="AS1693" s="227"/>
      <c r="AT1693" s="227"/>
      <c r="AU1693" s="227"/>
      <c r="AV1693" s="227"/>
    </row>
    <row r="1694">
      <c r="A1694" s="227"/>
      <c r="B1694" s="232"/>
      <c r="C1694" s="227"/>
      <c r="D1694" s="227"/>
      <c r="E1694" s="231"/>
      <c r="F1694" s="232"/>
      <c r="G1694" s="227"/>
      <c r="H1694" s="227"/>
      <c r="I1694" s="227"/>
      <c r="J1694" s="227"/>
      <c r="K1694" s="227"/>
      <c r="L1694" s="232"/>
      <c r="M1694" s="232"/>
      <c r="N1694" s="227"/>
      <c r="O1694" s="227"/>
      <c r="P1694" s="231"/>
      <c r="Q1694" s="227"/>
      <c r="R1694" s="231"/>
      <c r="S1694" s="231"/>
      <c r="T1694" s="231"/>
      <c r="U1694" s="231"/>
      <c r="V1694" s="231"/>
      <c r="W1694" s="231"/>
      <c r="X1694" s="227"/>
      <c r="Y1694" s="232"/>
      <c r="Z1694" s="232"/>
      <c r="AA1694" s="232"/>
      <c r="AB1694" s="232"/>
      <c r="AC1694" s="227"/>
      <c r="AD1694" s="227"/>
      <c r="AE1694" s="231"/>
      <c r="AF1694" s="227"/>
      <c r="AG1694" s="232"/>
      <c r="AH1694" s="232"/>
      <c r="AI1694" s="232"/>
      <c r="AJ1694" s="232"/>
      <c r="AK1694" s="232"/>
      <c r="AL1694" s="232"/>
      <c r="AM1694" s="232"/>
      <c r="AN1694" s="232"/>
      <c r="AO1694" s="231"/>
      <c r="AP1694" s="231"/>
      <c r="AQ1694" s="227"/>
      <c r="AR1694" s="231"/>
      <c r="AS1694" s="227"/>
      <c r="AT1694" s="227"/>
      <c r="AU1694" s="227"/>
      <c r="AV1694" s="227"/>
    </row>
    <row r="1695">
      <c r="A1695" s="227"/>
      <c r="B1695" s="232"/>
      <c r="C1695" s="227"/>
      <c r="D1695" s="227"/>
      <c r="E1695" s="231"/>
      <c r="F1695" s="232"/>
      <c r="G1695" s="227"/>
      <c r="H1695" s="227"/>
      <c r="I1695" s="227"/>
      <c r="J1695" s="227"/>
      <c r="K1695" s="227"/>
      <c r="L1695" s="232"/>
      <c r="M1695" s="232"/>
      <c r="N1695" s="227"/>
      <c r="O1695" s="227"/>
      <c r="P1695" s="231"/>
      <c r="Q1695" s="227"/>
      <c r="R1695" s="231"/>
      <c r="S1695" s="231"/>
      <c r="T1695" s="231"/>
      <c r="U1695" s="231"/>
      <c r="V1695" s="231"/>
      <c r="W1695" s="231"/>
      <c r="X1695" s="227"/>
      <c r="Y1695" s="232"/>
      <c r="Z1695" s="232"/>
      <c r="AA1695" s="232"/>
      <c r="AB1695" s="232"/>
      <c r="AC1695" s="227"/>
      <c r="AD1695" s="227"/>
      <c r="AE1695" s="231"/>
      <c r="AF1695" s="227"/>
      <c r="AG1695" s="232"/>
      <c r="AH1695" s="232"/>
      <c r="AI1695" s="232"/>
      <c r="AJ1695" s="232"/>
      <c r="AK1695" s="232"/>
      <c r="AL1695" s="232"/>
      <c r="AM1695" s="232"/>
      <c r="AN1695" s="232"/>
      <c r="AO1695" s="231"/>
      <c r="AP1695" s="231"/>
      <c r="AQ1695" s="227"/>
      <c r="AR1695" s="231"/>
      <c r="AS1695" s="227"/>
      <c r="AT1695" s="227"/>
      <c r="AU1695" s="227"/>
      <c r="AV1695" s="227"/>
    </row>
    <row r="1696">
      <c r="A1696" s="227"/>
      <c r="B1696" s="232"/>
      <c r="C1696" s="227"/>
      <c r="D1696" s="227"/>
      <c r="E1696" s="231"/>
      <c r="F1696" s="232"/>
      <c r="G1696" s="227"/>
      <c r="H1696" s="227"/>
      <c r="I1696" s="227"/>
      <c r="J1696" s="227"/>
      <c r="K1696" s="227"/>
      <c r="L1696" s="232"/>
      <c r="M1696" s="232"/>
      <c r="N1696" s="227"/>
      <c r="O1696" s="227"/>
      <c r="P1696" s="231"/>
      <c r="Q1696" s="227"/>
      <c r="R1696" s="231"/>
      <c r="S1696" s="231"/>
      <c r="T1696" s="231"/>
      <c r="U1696" s="231"/>
      <c r="V1696" s="231"/>
      <c r="W1696" s="231"/>
      <c r="X1696" s="227"/>
      <c r="Y1696" s="232"/>
      <c r="Z1696" s="232"/>
      <c r="AA1696" s="232"/>
      <c r="AB1696" s="232"/>
      <c r="AC1696" s="227"/>
      <c r="AD1696" s="227"/>
      <c r="AE1696" s="231"/>
      <c r="AF1696" s="227"/>
      <c r="AG1696" s="232"/>
      <c r="AH1696" s="232"/>
      <c r="AI1696" s="232"/>
      <c r="AJ1696" s="232"/>
      <c r="AK1696" s="232"/>
      <c r="AL1696" s="232"/>
      <c r="AM1696" s="232"/>
      <c r="AN1696" s="232"/>
      <c r="AO1696" s="231"/>
      <c r="AP1696" s="231"/>
      <c r="AQ1696" s="227"/>
      <c r="AR1696" s="231"/>
      <c r="AS1696" s="227"/>
      <c r="AT1696" s="227"/>
      <c r="AU1696" s="227"/>
      <c r="AV1696" s="227"/>
    </row>
    <row r="1697">
      <c r="A1697" s="227"/>
      <c r="B1697" s="232"/>
      <c r="C1697" s="227"/>
      <c r="D1697" s="227"/>
      <c r="E1697" s="231"/>
      <c r="F1697" s="232"/>
      <c r="G1697" s="227"/>
      <c r="H1697" s="227"/>
      <c r="I1697" s="227"/>
      <c r="J1697" s="227"/>
      <c r="K1697" s="227"/>
      <c r="L1697" s="232"/>
      <c r="M1697" s="232"/>
      <c r="N1697" s="227"/>
      <c r="O1697" s="227"/>
      <c r="P1697" s="231"/>
      <c r="Q1697" s="227"/>
      <c r="R1697" s="231"/>
      <c r="S1697" s="231"/>
      <c r="T1697" s="231"/>
      <c r="U1697" s="231"/>
      <c r="V1697" s="231"/>
      <c r="W1697" s="231"/>
      <c r="X1697" s="227"/>
      <c r="Y1697" s="232"/>
      <c r="Z1697" s="232"/>
      <c r="AA1697" s="232"/>
      <c r="AB1697" s="232"/>
      <c r="AC1697" s="227"/>
      <c r="AD1697" s="227"/>
      <c r="AE1697" s="231"/>
      <c r="AF1697" s="227"/>
      <c r="AG1697" s="232"/>
      <c r="AH1697" s="232"/>
      <c r="AI1697" s="232"/>
      <c r="AJ1697" s="232"/>
      <c r="AK1697" s="232"/>
      <c r="AL1697" s="232"/>
      <c r="AM1697" s="232"/>
      <c r="AN1697" s="232"/>
      <c r="AO1697" s="231"/>
      <c r="AP1697" s="231"/>
      <c r="AQ1697" s="227"/>
      <c r="AR1697" s="231"/>
      <c r="AS1697" s="227"/>
      <c r="AT1697" s="227"/>
      <c r="AU1697" s="227"/>
      <c r="AV1697" s="227"/>
    </row>
    <row r="1698">
      <c r="A1698" s="227"/>
      <c r="B1698" s="232"/>
      <c r="C1698" s="227"/>
      <c r="D1698" s="227"/>
      <c r="E1698" s="231"/>
      <c r="F1698" s="232"/>
      <c r="G1698" s="227"/>
      <c r="H1698" s="227"/>
      <c r="I1698" s="227"/>
      <c r="J1698" s="227"/>
      <c r="K1698" s="227"/>
      <c r="L1698" s="232"/>
      <c r="M1698" s="232"/>
      <c r="N1698" s="227"/>
      <c r="O1698" s="227"/>
      <c r="P1698" s="231"/>
      <c r="Q1698" s="227"/>
      <c r="R1698" s="231"/>
      <c r="S1698" s="231"/>
      <c r="T1698" s="231"/>
      <c r="U1698" s="231"/>
      <c r="V1698" s="231"/>
      <c r="W1698" s="231"/>
      <c r="X1698" s="227"/>
      <c r="Y1698" s="232"/>
      <c r="Z1698" s="232"/>
      <c r="AA1698" s="232"/>
      <c r="AB1698" s="232"/>
      <c r="AC1698" s="227"/>
      <c r="AD1698" s="227"/>
      <c r="AE1698" s="231"/>
      <c r="AF1698" s="227"/>
      <c r="AG1698" s="232"/>
      <c r="AH1698" s="232"/>
      <c r="AI1698" s="232"/>
      <c r="AJ1698" s="232"/>
      <c r="AK1698" s="232"/>
      <c r="AL1698" s="232"/>
      <c r="AM1698" s="232"/>
      <c r="AN1698" s="232"/>
      <c r="AO1698" s="231"/>
      <c r="AP1698" s="231"/>
      <c r="AQ1698" s="227"/>
      <c r="AR1698" s="231"/>
      <c r="AS1698" s="227"/>
      <c r="AT1698" s="227"/>
      <c r="AU1698" s="227"/>
      <c r="AV1698" s="227"/>
    </row>
    <row r="1699">
      <c r="A1699" s="227"/>
      <c r="B1699" s="232"/>
      <c r="C1699" s="227"/>
      <c r="D1699" s="227"/>
      <c r="E1699" s="231"/>
      <c r="F1699" s="232"/>
      <c r="G1699" s="227"/>
      <c r="H1699" s="227"/>
      <c r="I1699" s="227"/>
      <c r="J1699" s="227"/>
      <c r="K1699" s="227"/>
      <c r="L1699" s="232"/>
      <c r="M1699" s="232"/>
      <c r="N1699" s="227"/>
      <c r="O1699" s="227"/>
      <c r="P1699" s="231"/>
      <c r="Q1699" s="227"/>
      <c r="R1699" s="231"/>
      <c r="S1699" s="231"/>
      <c r="T1699" s="231"/>
      <c r="U1699" s="231"/>
      <c r="V1699" s="231"/>
      <c r="W1699" s="231"/>
      <c r="X1699" s="227"/>
      <c r="Y1699" s="232"/>
      <c r="Z1699" s="232"/>
      <c r="AA1699" s="232"/>
      <c r="AB1699" s="232"/>
      <c r="AC1699" s="227"/>
      <c r="AD1699" s="227"/>
      <c r="AE1699" s="231"/>
      <c r="AF1699" s="227"/>
      <c r="AG1699" s="232"/>
      <c r="AH1699" s="232"/>
      <c r="AI1699" s="232"/>
      <c r="AJ1699" s="232"/>
      <c r="AK1699" s="232"/>
      <c r="AL1699" s="232"/>
      <c r="AM1699" s="232"/>
      <c r="AN1699" s="232"/>
      <c r="AO1699" s="231"/>
      <c r="AP1699" s="231"/>
      <c r="AQ1699" s="227"/>
      <c r="AR1699" s="231"/>
      <c r="AS1699" s="227"/>
      <c r="AT1699" s="227"/>
      <c r="AU1699" s="227"/>
      <c r="AV1699" s="227"/>
    </row>
    <row r="1700">
      <c r="A1700" s="227"/>
      <c r="B1700" s="232"/>
      <c r="C1700" s="227"/>
      <c r="D1700" s="227"/>
      <c r="E1700" s="231"/>
      <c r="F1700" s="232"/>
      <c r="G1700" s="227"/>
      <c r="H1700" s="227"/>
      <c r="I1700" s="227"/>
      <c r="J1700" s="227"/>
      <c r="K1700" s="227"/>
      <c r="L1700" s="232"/>
      <c r="M1700" s="232"/>
      <c r="N1700" s="227"/>
      <c r="O1700" s="227"/>
      <c r="P1700" s="231"/>
      <c r="Q1700" s="227"/>
      <c r="R1700" s="231"/>
      <c r="S1700" s="231"/>
      <c r="T1700" s="231"/>
      <c r="U1700" s="231"/>
      <c r="V1700" s="231"/>
      <c r="W1700" s="231"/>
      <c r="X1700" s="227"/>
      <c r="Y1700" s="232"/>
      <c r="Z1700" s="232"/>
      <c r="AA1700" s="232"/>
      <c r="AB1700" s="232"/>
      <c r="AC1700" s="227"/>
      <c r="AD1700" s="227"/>
      <c r="AE1700" s="231"/>
      <c r="AF1700" s="227"/>
      <c r="AG1700" s="232"/>
      <c r="AH1700" s="232"/>
      <c r="AI1700" s="232"/>
      <c r="AJ1700" s="232"/>
      <c r="AK1700" s="232"/>
      <c r="AL1700" s="232"/>
      <c r="AM1700" s="232"/>
      <c r="AN1700" s="232"/>
      <c r="AO1700" s="231"/>
      <c r="AP1700" s="231"/>
      <c r="AQ1700" s="227"/>
      <c r="AR1700" s="231"/>
      <c r="AS1700" s="227"/>
      <c r="AT1700" s="227"/>
      <c r="AU1700" s="227"/>
      <c r="AV1700" s="227"/>
    </row>
    <row r="1701">
      <c r="A1701" s="227"/>
      <c r="B1701" s="232"/>
      <c r="C1701" s="227"/>
      <c r="D1701" s="227"/>
      <c r="E1701" s="231"/>
      <c r="F1701" s="232"/>
      <c r="G1701" s="227"/>
      <c r="H1701" s="227"/>
      <c r="I1701" s="227"/>
      <c r="J1701" s="227"/>
      <c r="K1701" s="227"/>
      <c r="L1701" s="232"/>
      <c r="M1701" s="232"/>
      <c r="N1701" s="227"/>
      <c r="O1701" s="227"/>
      <c r="P1701" s="231"/>
      <c r="Q1701" s="227"/>
      <c r="R1701" s="231"/>
      <c r="S1701" s="231"/>
      <c r="T1701" s="231"/>
      <c r="U1701" s="231"/>
      <c r="V1701" s="231"/>
      <c r="W1701" s="231"/>
      <c r="X1701" s="227"/>
      <c r="Y1701" s="232"/>
      <c r="Z1701" s="232"/>
      <c r="AA1701" s="232"/>
      <c r="AB1701" s="232"/>
      <c r="AC1701" s="227"/>
      <c r="AD1701" s="227"/>
      <c r="AE1701" s="231"/>
      <c r="AF1701" s="227"/>
      <c r="AG1701" s="232"/>
      <c r="AH1701" s="232"/>
      <c r="AI1701" s="232"/>
      <c r="AJ1701" s="232"/>
      <c r="AK1701" s="232"/>
      <c r="AL1701" s="232"/>
      <c r="AM1701" s="232"/>
      <c r="AN1701" s="232"/>
      <c r="AO1701" s="231"/>
      <c r="AP1701" s="231"/>
      <c r="AQ1701" s="227"/>
      <c r="AR1701" s="231"/>
      <c r="AS1701" s="227"/>
      <c r="AT1701" s="227"/>
      <c r="AU1701" s="227"/>
      <c r="AV1701" s="227"/>
    </row>
    <row r="1702">
      <c r="A1702" s="227"/>
      <c r="B1702" s="232"/>
      <c r="C1702" s="227"/>
      <c r="D1702" s="227"/>
      <c r="E1702" s="231"/>
      <c r="F1702" s="232"/>
      <c r="G1702" s="227"/>
      <c r="H1702" s="227"/>
      <c r="I1702" s="227"/>
      <c r="J1702" s="227"/>
      <c r="K1702" s="227"/>
      <c r="L1702" s="232"/>
      <c r="M1702" s="232"/>
      <c r="N1702" s="227"/>
      <c r="O1702" s="227"/>
      <c r="P1702" s="231"/>
      <c r="Q1702" s="227"/>
      <c r="R1702" s="231"/>
      <c r="S1702" s="231"/>
      <c r="T1702" s="231"/>
      <c r="U1702" s="231"/>
      <c r="V1702" s="231"/>
      <c r="W1702" s="231"/>
      <c r="X1702" s="227"/>
      <c r="Y1702" s="232"/>
      <c r="Z1702" s="232"/>
      <c r="AA1702" s="232"/>
      <c r="AB1702" s="232"/>
      <c r="AC1702" s="227"/>
      <c r="AD1702" s="227"/>
      <c r="AE1702" s="231"/>
      <c r="AF1702" s="227"/>
      <c r="AG1702" s="232"/>
      <c r="AH1702" s="232"/>
      <c r="AI1702" s="232"/>
      <c r="AJ1702" s="232"/>
      <c r="AK1702" s="232"/>
      <c r="AL1702" s="232"/>
      <c r="AM1702" s="232"/>
      <c r="AN1702" s="232"/>
      <c r="AO1702" s="231"/>
      <c r="AP1702" s="231"/>
      <c r="AQ1702" s="227"/>
      <c r="AR1702" s="231"/>
      <c r="AS1702" s="227"/>
      <c r="AT1702" s="227"/>
      <c r="AU1702" s="227"/>
      <c r="AV1702" s="227"/>
    </row>
    <row r="1703">
      <c r="A1703" s="227"/>
      <c r="B1703" s="232"/>
      <c r="C1703" s="227"/>
      <c r="D1703" s="227"/>
      <c r="E1703" s="231"/>
      <c r="F1703" s="232"/>
      <c r="G1703" s="227"/>
      <c r="H1703" s="227"/>
      <c r="I1703" s="227"/>
      <c r="J1703" s="227"/>
      <c r="K1703" s="227"/>
      <c r="L1703" s="232"/>
      <c r="M1703" s="232"/>
      <c r="N1703" s="227"/>
      <c r="O1703" s="227"/>
      <c r="P1703" s="231"/>
      <c r="Q1703" s="227"/>
      <c r="R1703" s="231"/>
      <c r="S1703" s="231"/>
      <c r="T1703" s="231"/>
      <c r="U1703" s="231"/>
      <c r="V1703" s="231"/>
      <c r="W1703" s="231"/>
      <c r="X1703" s="227"/>
      <c r="Y1703" s="232"/>
      <c r="Z1703" s="232"/>
      <c r="AA1703" s="232"/>
      <c r="AB1703" s="232"/>
      <c r="AC1703" s="227"/>
      <c r="AD1703" s="227"/>
      <c r="AE1703" s="231"/>
      <c r="AF1703" s="227"/>
      <c r="AG1703" s="232"/>
      <c r="AH1703" s="232"/>
      <c r="AI1703" s="232"/>
      <c r="AJ1703" s="232"/>
      <c r="AK1703" s="232"/>
      <c r="AL1703" s="232"/>
      <c r="AM1703" s="232"/>
      <c r="AN1703" s="232"/>
      <c r="AO1703" s="231"/>
      <c r="AP1703" s="231"/>
      <c r="AQ1703" s="227"/>
      <c r="AR1703" s="231"/>
      <c r="AS1703" s="227"/>
      <c r="AT1703" s="227"/>
      <c r="AU1703" s="227"/>
      <c r="AV1703" s="227"/>
    </row>
    <row r="1704">
      <c r="A1704" s="227"/>
      <c r="B1704" s="232"/>
      <c r="C1704" s="227"/>
      <c r="D1704" s="227"/>
      <c r="E1704" s="231"/>
      <c r="F1704" s="232"/>
      <c r="G1704" s="227"/>
      <c r="H1704" s="227"/>
      <c r="I1704" s="227"/>
      <c r="J1704" s="227"/>
      <c r="K1704" s="227"/>
      <c r="L1704" s="232"/>
      <c r="M1704" s="232"/>
      <c r="N1704" s="227"/>
      <c r="O1704" s="227"/>
      <c r="P1704" s="231"/>
      <c r="Q1704" s="227"/>
      <c r="R1704" s="231"/>
      <c r="S1704" s="231"/>
      <c r="T1704" s="231"/>
      <c r="U1704" s="231"/>
      <c r="V1704" s="231"/>
      <c r="W1704" s="231"/>
      <c r="X1704" s="227"/>
      <c r="Y1704" s="232"/>
      <c r="Z1704" s="232"/>
      <c r="AA1704" s="232"/>
      <c r="AB1704" s="232"/>
      <c r="AC1704" s="227"/>
      <c r="AD1704" s="227"/>
      <c r="AE1704" s="231"/>
      <c r="AF1704" s="227"/>
      <c r="AG1704" s="232"/>
      <c r="AH1704" s="232"/>
      <c r="AI1704" s="232"/>
      <c r="AJ1704" s="232"/>
      <c r="AK1704" s="232"/>
      <c r="AL1704" s="232"/>
      <c r="AM1704" s="232"/>
      <c r="AN1704" s="232"/>
      <c r="AO1704" s="231"/>
      <c r="AP1704" s="231"/>
      <c r="AQ1704" s="227"/>
      <c r="AR1704" s="231"/>
      <c r="AS1704" s="227"/>
      <c r="AT1704" s="227"/>
      <c r="AU1704" s="227"/>
      <c r="AV1704" s="227"/>
    </row>
    <row r="1705">
      <c r="A1705" s="227"/>
      <c r="B1705" s="232"/>
      <c r="C1705" s="227"/>
      <c r="D1705" s="227"/>
      <c r="E1705" s="231"/>
      <c r="F1705" s="232"/>
      <c r="G1705" s="227"/>
      <c r="H1705" s="227"/>
      <c r="I1705" s="227"/>
      <c r="J1705" s="227"/>
      <c r="K1705" s="227"/>
      <c r="L1705" s="232"/>
      <c r="M1705" s="232"/>
      <c r="N1705" s="227"/>
      <c r="O1705" s="227"/>
      <c r="P1705" s="231"/>
      <c r="Q1705" s="227"/>
      <c r="R1705" s="231"/>
      <c r="S1705" s="231"/>
      <c r="T1705" s="231"/>
      <c r="U1705" s="231"/>
      <c r="V1705" s="231"/>
      <c r="W1705" s="231"/>
      <c r="X1705" s="227"/>
      <c r="Y1705" s="232"/>
      <c r="Z1705" s="232"/>
      <c r="AA1705" s="232"/>
      <c r="AB1705" s="232"/>
      <c r="AC1705" s="227"/>
      <c r="AD1705" s="227"/>
      <c r="AE1705" s="231"/>
      <c r="AF1705" s="227"/>
      <c r="AG1705" s="232"/>
      <c r="AH1705" s="232"/>
      <c r="AI1705" s="232"/>
      <c r="AJ1705" s="232"/>
      <c r="AK1705" s="232"/>
      <c r="AL1705" s="232"/>
      <c r="AM1705" s="232"/>
      <c r="AN1705" s="232"/>
      <c r="AO1705" s="231"/>
      <c r="AP1705" s="231"/>
      <c r="AQ1705" s="227"/>
      <c r="AR1705" s="231"/>
      <c r="AS1705" s="227"/>
      <c r="AT1705" s="227"/>
      <c r="AU1705" s="227"/>
      <c r="AV1705" s="227"/>
    </row>
    <row r="1706">
      <c r="A1706" s="227"/>
      <c r="B1706" s="232"/>
      <c r="C1706" s="227"/>
      <c r="D1706" s="227"/>
      <c r="E1706" s="231"/>
      <c r="F1706" s="232"/>
      <c r="G1706" s="227"/>
      <c r="H1706" s="227"/>
      <c r="I1706" s="227"/>
      <c r="J1706" s="227"/>
      <c r="K1706" s="227"/>
      <c r="L1706" s="232"/>
      <c r="M1706" s="232"/>
      <c r="N1706" s="227"/>
      <c r="O1706" s="227"/>
      <c r="P1706" s="231"/>
      <c r="Q1706" s="227"/>
      <c r="R1706" s="231"/>
      <c r="S1706" s="231"/>
      <c r="T1706" s="231"/>
      <c r="U1706" s="231"/>
      <c r="V1706" s="231"/>
      <c r="W1706" s="231"/>
      <c r="X1706" s="227"/>
      <c r="Y1706" s="232"/>
      <c r="Z1706" s="232"/>
      <c r="AA1706" s="232"/>
      <c r="AB1706" s="232"/>
      <c r="AC1706" s="227"/>
      <c r="AD1706" s="227"/>
      <c r="AE1706" s="231"/>
      <c r="AF1706" s="227"/>
      <c r="AG1706" s="232"/>
      <c r="AH1706" s="232"/>
      <c r="AI1706" s="232"/>
      <c r="AJ1706" s="232"/>
      <c r="AK1706" s="232"/>
      <c r="AL1706" s="232"/>
      <c r="AM1706" s="232"/>
      <c r="AN1706" s="232"/>
      <c r="AO1706" s="231"/>
      <c r="AP1706" s="231"/>
      <c r="AQ1706" s="227"/>
      <c r="AR1706" s="231"/>
      <c r="AS1706" s="227"/>
      <c r="AT1706" s="227"/>
      <c r="AU1706" s="227"/>
      <c r="AV1706" s="227"/>
    </row>
    <row r="1707">
      <c r="A1707" s="227"/>
      <c r="B1707" s="232"/>
      <c r="C1707" s="227"/>
      <c r="D1707" s="227"/>
      <c r="E1707" s="231"/>
      <c r="F1707" s="232"/>
      <c r="G1707" s="227"/>
      <c r="H1707" s="227"/>
      <c r="I1707" s="227"/>
      <c r="J1707" s="227"/>
      <c r="K1707" s="227"/>
      <c r="L1707" s="232"/>
      <c r="M1707" s="232"/>
      <c r="N1707" s="227"/>
      <c r="O1707" s="227"/>
      <c r="P1707" s="231"/>
      <c r="Q1707" s="227"/>
      <c r="R1707" s="231"/>
      <c r="S1707" s="231"/>
      <c r="T1707" s="231"/>
      <c r="U1707" s="231"/>
      <c r="V1707" s="231"/>
      <c r="W1707" s="231"/>
      <c r="X1707" s="227"/>
      <c r="Y1707" s="232"/>
      <c r="Z1707" s="232"/>
      <c r="AA1707" s="232"/>
      <c r="AB1707" s="232"/>
      <c r="AC1707" s="227"/>
      <c r="AD1707" s="227"/>
      <c r="AE1707" s="231"/>
      <c r="AF1707" s="227"/>
      <c r="AG1707" s="232"/>
      <c r="AH1707" s="232"/>
      <c r="AI1707" s="232"/>
      <c r="AJ1707" s="232"/>
      <c r="AK1707" s="232"/>
      <c r="AL1707" s="232"/>
      <c r="AM1707" s="232"/>
      <c r="AN1707" s="232"/>
      <c r="AO1707" s="231"/>
      <c r="AP1707" s="231"/>
      <c r="AQ1707" s="227"/>
      <c r="AR1707" s="231"/>
      <c r="AS1707" s="227"/>
      <c r="AT1707" s="227"/>
      <c r="AU1707" s="227"/>
      <c r="AV1707" s="227"/>
    </row>
    <row r="1708">
      <c r="A1708" s="227"/>
      <c r="B1708" s="232"/>
      <c r="C1708" s="227"/>
      <c r="D1708" s="227"/>
      <c r="E1708" s="231"/>
      <c r="F1708" s="232"/>
      <c r="G1708" s="227"/>
      <c r="H1708" s="227"/>
      <c r="I1708" s="227"/>
      <c r="J1708" s="227"/>
      <c r="K1708" s="227"/>
      <c r="L1708" s="232"/>
      <c r="M1708" s="232"/>
      <c r="N1708" s="227"/>
      <c r="O1708" s="227"/>
      <c r="P1708" s="231"/>
      <c r="Q1708" s="227"/>
      <c r="R1708" s="231"/>
      <c r="S1708" s="231"/>
      <c r="T1708" s="231"/>
      <c r="U1708" s="231"/>
      <c r="V1708" s="231"/>
      <c r="W1708" s="231"/>
      <c r="X1708" s="227"/>
      <c r="Y1708" s="232"/>
      <c r="Z1708" s="232"/>
      <c r="AA1708" s="232"/>
      <c r="AB1708" s="232"/>
      <c r="AC1708" s="227"/>
      <c r="AD1708" s="227"/>
      <c r="AE1708" s="231"/>
      <c r="AF1708" s="227"/>
      <c r="AG1708" s="232"/>
      <c r="AH1708" s="232"/>
      <c r="AI1708" s="232"/>
      <c r="AJ1708" s="232"/>
      <c r="AK1708" s="232"/>
      <c r="AL1708" s="232"/>
      <c r="AM1708" s="232"/>
      <c r="AN1708" s="232"/>
      <c r="AO1708" s="231"/>
      <c r="AP1708" s="231"/>
      <c r="AQ1708" s="227"/>
      <c r="AR1708" s="231"/>
      <c r="AS1708" s="227"/>
      <c r="AT1708" s="227"/>
      <c r="AU1708" s="227"/>
      <c r="AV1708" s="227"/>
    </row>
    <row r="1709">
      <c r="A1709" s="227"/>
      <c r="B1709" s="232"/>
      <c r="C1709" s="227"/>
      <c r="D1709" s="227"/>
      <c r="E1709" s="231"/>
      <c r="F1709" s="232"/>
      <c r="G1709" s="227"/>
      <c r="H1709" s="227"/>
      <c r="I1709" s="227"/>
      <c r="J1709" s="227"/>
      <c r="K1709" s="227"/>
      <c r="L1709" s="232"/>
      <c r="M1709" s="232"/>
      <c r="N1709" s="227"/>
      <c r="O1709" s="227"/>
      <c r="P1709" s="231"/>
      <c r="Q1709" s="227"/>
      <c r="R1709" s="231"/>
      <c r="S1709" s="231"/>
      <c r="T1709" s="231"/>
      <c r="U1709" s="231"/>
      <c r="V1709" s="231"/>
      <c r="W1709" s="231"/>
      <c r="X1709" s="227"/>
      <c r="Y1709" s="232"/>
      <c r="Z1709" s="232"/>
      <c r="AA1709" s="232"/>
      <c r="AB1709" s="232"/>
      <c r="AC1709" s="227"/>
      <c r="AD1709" s="227"/>
      <c r="AE1709" s="231"/>
      <c r="AF1709" s="227"/>
      <c r="AG1709" s="232"/>
      <c r="AH1709" s="232"/>
      <c r="AI1709" s="232"/>
      <c r="AJ1709" s="232"/>
      <c r="AK1709" s="232"/>
      <c r="AL1709" s="232"/>
      <c r="AM1709" s="232"/>
      <c r="AN1709" s="232"/>
      <c r="AO1709" s="231"/>
      <c r="AP1709" s="231"/>
      <c r="AQ1709" s="227"/>
      <c r="AR1709" s="231"/>
      <c r="AS1709" s="227"/>
      <c r="AT1709" s="227"/>
      <c r="AU1709" s="227"/>
      <c r="AV1709" s="227"/>
    </row>
    <row r="1710">
      <c r="A1710" s="227"/>
      <c r="B1710" s="232"/>
      <c r="C1710" s="227"/>
      <c r="D1710" s="227"/>
      <c r="E1710" s="231"/>
      <c r="F1710" s="232"/>
      <c r="G1710" s="227"/>
      <c r="H1710" s="227"/>
      <c r="I1710" s="227"/>
      <c r="J1710" s="227"/>
      <c r="K1710" s="227"/>
      <c r="L1710" s="232"/>
      <c r="M1710" s="232"/>
      <c r="N1710" s="227"/>
      <c r="O1710" s="227"/>
      <c r="P1710" s="231"/>
      <c r="Q1710" s="227"/>
      <c r="R1710" s="231"/>
      <c r="S1710" s="231"/>
      <c r="T1710" s="231"/>
      <c r="U1710" s="231"/>
      <c r="V1710" s="231"/>
      <c r="W1710" s="231"/>
      <c r="X1710" s="227"/>
      <c r="Y1710" s="232"/>
      <c r="Z1710" s="232"/>
      <c r="AA1710" s="232"/>
      <c r="AB1710" s="232"/>
      <c r="AC1710" s="227"/>
      <c r="AD1710" s="227"/>
      <c r="AE1710" s="231"/>
      <c r="AF1710" s="227"/>
      <c r="AG1710" s="232"/>
      <c r="AH1710" s="232"/>
      <c r="AI1710" s="232"/>
      <c r="AJ1710" s="232"/>
      <c r="AK1710" s="232"/>
      <c r="AL1710" s="232"/>
      <c r="AM1710" s="232"/>
      <c r="AN1710" s="232"/>
      <c r="AO1710" s="231"/>
      <c r="AP1710" s="231"/>
      <c r="AQ1710" s="227"/>
      <c r="AR1710" s="231"/>
      <c r="AS1710" s="227"/>
      <c r="AT1710" s="227"/>
      <c r="AU1710" s="227"/>
      <c r="AV1710" s="227"/>
    </row>
    <row r="1711">
      <c r="A1711" s="227"/>
      <c r="B1711" s="232"/>
      <c r="C1711" s="227"/>
      <c r="D1711" s="227"/>
      <c r="E1711" s="231"/>
      <c r="F1711" s="232"/>
      <c r="G1711" s="227"/>
      <c r="H1711" s="227"/>
      <c r="I1711" s="227"/>
      <c r="J1711" s="227"/>
      <c r="K1711" s="227"/>
      <c r="L1711" s="232"/>
      <c r="M1711" s="232"/>
      <c r="N1711" s="227"/>
      <c r="O1711" s="227"/>
      <c r="P1711" s="231"/>
      <c r="Q1711" s="227"/>
      <c r="R1711" s="231"/>
      <c r="S1711" s="231"/>
      <c r="T1711" s="231"/>
      <c r="U1711" s="231"/>
      <c r="V1711" s="231"/>
      <c r="W1711" s="231"/>
      <c r="X1711" s="227"/>
      <c r="Y1711" s="232"/>
      <c r="Z1711" s="232"/>
      <c r="AA1711" s="232"/>
      <c r="AB1711" s="232"/>
      <c r="AC1711" s="227"/>
      <c r="AD1711" s="227"/>
      <c r="AE1711" s="231"/>
      <c r="AF1711" s="227"/>
      <c r="AG1711" s="232"/>
      <c r="AH1711" s="232"/>
      <c r="AI1711" s="232"/>
      <c r="AJ1711" s="232"/>
      <c r="AK1711" s="232"/>
      <c r="AL1711" s="232"/>
      <c r="AM1711" s="232"/>
      <c r="AN1711" s="232"/>
      <c r="AO1711" s="231"/>
      <c r="AP1711" s="231"/>
      <c r="AQ1711" s="227"/>
      <c r="AR1711" s="231"/>
      <c r="AS1711" s="227"/>
      <c r="AT1711" s="227"/>
      <c r="AU1711" s="227"/>
      <c r="AV1711" s="227"/>
    </row>
    <row r="1712">
      <c r="A1712" s="227"/>
      <c r="B1712" s="232"/>
      <c r="C1712" s="227"/>
      <c r="D1712" s="227"/>
      <c r="E1712" s="231"/>
      <c r="F1712" s="232"/>
      <c r="G1712" s="227"/>
      <c r="H1712" s="227"/>
      <c r="I1712" s="227"/>
      <c r="J1712" s="227"/>
      <c r="K1712" s="227"/>
      <c r="L1712" s="232"/>
      <c r="M1712" s="232"/>
      <c r="N1712" s="227"/>
      <c r="O1712" s="227"/>
      <c r="P1712" s="231"/>
      <c r="Q1712" s="227"/>
      <c r="R1712" s="231"/>
      <c r="S1712" s="231"/>
      <c r="T1712" s="231"/>
      <c r="U1712" s="231"/>
      <c r="V1712" s="231"/>
      <c r="W1712" s="231"/>
      <c r="X1712" s="227"/>
      <c r="Y1712" s="232"/>
      <c r="Z1712" s="232"/>
      <c r="AA1712" s="232"/>
      <c r="AB1712" s="232"/>
      <c r="AC1712" s="227"/>
      <c r="AD1712" s="227"/>
      <c r="AE1712" s="231"/>
      <c r="AF1712" s="227"/>
      <c r="AG1712" s="232"/>
      <c r="AH1712" s="232"/>
      <c r="AI1712" s="232"/>
      <c r="AJ1712" s="232"/>
      <c r="AK1712" s="232"/>
      <c r="AL1712" s="232"/>
      <c r="AM1712" s="232"/>
      <c r="AN1712" s="232"/>
      <c r="AO1712" s="231"/>
      <c r="AP1712" s="231"/>
      <c r="AQ1712" s="227"/>
      <c r="AR1712" s="231"/>
      <c r="AS1712" s="227"/>
      <c r="AT1712" s="227"/>
      <c r="AU1712" s="227"/>
      <c r="AV1712" s="227"/>
    </row>
    <row r="1713">
      <c r="A1713" s="227"/>
      <c r="B1713" s="232"/>
      <c r="C1713" s="227"/>
      <c r="D1713" s="227"/>
      <c r="E1713" s="231"/>
      <c r="F1713" s="232"/>
      <c r="G1713" s="227"/>
      <c r="H1713" s="227"/>
      <c r="I1713" s="227"/>
      <c r="J1713" s="227"/>
      <c r="K1713" s="227"/>
      <c r="L1713" s="232"/>
      <c r="M1713" s="232"/>
      <c r="N1713" s="227"/>
      <c r="O1713" s="227"/>
      <c r="P1713" s="231"/>
      <c r="Q1713" s="227"/>
      <c r="R1713" s="231"/>
      <c r="S1713" s="231"/>
      <c r="T1713" s="231"/>
      <c r="U1713" s="231"/>
      <c r="V1713" s="231"/>
      <c r="W1713" s="231"/>
      <c r="X1713" s="227"/>
      <c r="Y1713" s="232"/>
      <c r="Z1713" s="232"/>
      <c r="AA1713" s="232"/>
      <c r="AB1713" s="232"/>
      <c r="AC1713" s="227"/>
      <c r="AD1713" s="227"/>
      <c r="AE1713" s="231"/>
      <c r="AF1713" s="227"/>
      <c r="AG1713" s="232"/>
      <c r="AH1713" s="232"/>
      <c r="AI1713" s="232"/>
      <c r="AJ1713" s="232"/>
      <c r="AK1713" s="232"/>
      <c r="AL1713" s="232"/>
      <c r="AM1713" s="232"/>
      <c r="AN1713" s="232"/>
      <c r="AO1713" s="231"/>
      <c r="AP1713" s="231"/>
      <c r="AQ1713" s="227"/>
      <c r="AR1713" s="231"/>
      <c r="AS1713" s="227"/>
      <c r="AT1713" s="227"/>
      <c r="AU1713" s="227"/>
      <c r="AV1713" s="227"/>
    </row>
    <row r="1714">
      <c r="A1714" s="227"/>
      <c r="B1714" s="232"/>
      <c r="C1714" s="227"/>
      <c r="D1714" s="227"/>
      <c r="E1714" s="231"/>
      <c r="F1714" s="232"/>
      <c r="G1714" s="227"/>
      <c r="H1714" s="227"/>
      <c r="I1714" s="227"/>
      <c r="J1714" s="227"/>
      <c r="K1714" s="227"/>
      <c r="L1714" s="232"/>
      <c r="M1714" s="232"/>
      <c r="N1714" s="227"/>
      <c r="O1714" s="227"/>
      <c r="P1714" s="231"/>
      <c r="Q1714" s="227"/>
      <c r="R1714" s="231"/>
      <c r="S1714" s="231"/>
      <c r="T1714" s="231"/>
      <c r="U1714" s="231"/>
      <c r="V1714" s="231"/>
      <c r="W1714" s="231"/>
      <c r="X1714" s="227"/>
      <c r="Y1714" s="232"/>
      <c r="Z1714" s="232"/>
      <c r="AA1714" s="232"/>
      <c r="AB1714" s="232"/>
      <c r="AC1714" s="227"/>
      <c r="AD1714" s="227"/>
      <c r="AE1714" s="231"/>
      <c r="AF1714" s="227"/>
      <c r="AG1714" s="232"/>
      <c r="AH1714" s="232"/>
      <c r="AI1714" s="232"/>
      <c r="AJ1714" s="232"/>
      <c r="AK1714" s="232"/>
      <c r="AL1714" s="232"/>
      <c r="AM1714" s="232"/>
      <c r="AN1714" s="232"/>
      <c r="AO1714" s="231"/>
      <c r="AP1714" s="231"/>
      <c r="AQ1714" s="227"/>
      <c r="AR1714" s="231"/>
      <c r="AS1714" s="227"/>
      <c r="AT1714" s="227"/>
      <c r="AU1714" s="227"/>
      <c r="AV1714" s="227"/>
    </row>
    <row r="1715">
      <c r="A1715" s="227"/>
      <c r="B1715" s="232"/>
      <c r="C1715" s="227"/>
      <c r="D1715" s="227"/>
      <c r="E1715" s="231"/>
      <c r="F1715" s="232"/>
      <c r="G1715" s="227"/>
      <c r="H1715" s="227"/>
      <c r="I1715" s="227"/>
      <c r="J1715" s="227"/>
      <c r="K1715" s="227"/>
      <c r="L1715" s="232"/>
      <c r="M1715" s="232"/>
      <c r="N1715" s="227"/>
      <c r="O1715" s="227"/>
      <c r="P1715" s="231"/>
      <c r="Q1715" s="227"/>
      <c r="R1715" s="231"/>
      <c r="S1715" s="231"/>
      <c r="T1715" s="231"/>
      <c r="U1715" s="231"/>
      <c r="V1715" s="231"/>
      <c r="W1715" s="231"/>
      <c r="X1715" s="227"/>
      <c r="Y1715" s="232"/>
      <c r="Z1715" s="232"/>
      <c r="AA1715" s="232"/>
      <c r="AB1715" s="232"/>
      <c r="AC1715" s="227"/>
      <c r="AD1715" s="227"/>
      <c r="AE1715" s="231"/>
      <c r="AF1715" s="227"/>
      <c r="AG1715" s="232"/>
      <c r="AH1715" s="232"/>
      <c r="AI1715" s="232"/>
      <c r="AJ1715" s="232"/>
      <c r="AK1715" s="232"/>
      <c r="AL1715" s="232"/>
      <c r="AM1715" s="232"/>
      <c r="AN1715" s="232"/>
      <c r="AO1715" s="231"/>
      <c r="AP1715" s="231"/>
      <c r="AQ1715" s="227"/>
      <c r="AR1715" s="231"/>
      <c r="AS1715" s="227"/>
      <c r="AT1715" s="227"/>
      <c r="AU1715" s="227"/>
      <c r="AV1715" s="227"/>
    </row>
    <row r="1716">
      <c r="A1716" s="227"/>
      <c r="B1716" s="232"/>
      <c r="C1716" s="227"/>
      <c r="D1716" s="227"/>
      <c r="E1716" s="231"/>
      <c r="F1716" s="232"/>
      <c r="G1716" s="227"/>
      <c r="H1716" s="227"/>
      <c r="I1716" s="227"/>
      <c r="J1716" s="227"/>
      <c r="K1716" s="227"/>
      <c r="L1716" s="232"/>
      <c r="M1716" s="232"/>
      <c r="N1716" s="227"/>
      <c r="O1716" s="227"/>
      <c r="P1716" s="231"/>
      <c r="Q1716" s="227"/>
      <c r="R1716" s="231"/>
      <c r="S1716" s="231"/>
      <c r="T1716" s="231"/>
      <c r="U1716" s="231"/>
      <c r="V1716" s="231"/>
      <c r="W1716" s="231"/>
      <c r="X1716" s="227"/>
      <c r="Y1716" s="232"/>
      <c r="Z1716" s="232"/>
      <c r="AA1716" s="232"/>
      <c r="AB1716" s="232"/>
      <c r="AC1716" s="227"/>
      <c r="AD1716" s="227"/>
      <c r="AE1716" s="231"/>
      <c r="AF1716" s="227"/>
      <c r="AG1716" s="232"/>
      <c r="AH1716" s="232"/>
      <c r="AI1716" s="232"/>
      <c r="AJ1716" s="232"/>
      <c r="AK1716" s="232"/>
      <c r="AL1716" s="232"/>
      <c r="AM1716" s="232"/>
      <c r="AN1716" s="232"/>
      <c r="AO1716" s="231"/>
      <c r="AP1716" s="231"/>
      <c r="AQ1716" s="227"/>
      <c r="AR1716" s="231"/>
      <c r="AS1716" s="227"/>
      <c r="AT1716" s="227"/>
      <c r="AU1716" s="227"/>
      <c r="AV1716" s="227"/>
    </row>
    <row r="1717">
      <c r="A1717" s="227"/>
      <c r="B1717" s="232"/>
      <c r="C1717" s="227"/>
      <c r="D1717" s="227"/>
      <c r="E1717" s="231"/>
      <c r="F1717" s="232"/>
      <c r="G1717" s="227"/>
      <c r="H1717" s="227"/>
      <c r="I1717" s="227"/>
      <c r="J1717" s="227"/>
      <c r="K1717" s="227"/>
      <c r="L1717" s="232"/>
      <c r="M1717" s="232"/>
      <c r="N1717" s="227"/>
      <c r="O1717" s="227"/>
      <c r="P1717" s="231"/>
      <c r="Q1717" s="227"/>
      <c r="R1717" s="231"/>
      <c r="S1717" s="231"/>
      <c r="T1717" s="231"/>
      <c r="U1717" s="231"/>
      <c r="V1717" s="231"/>
      <c r="W1717" s="231"/>
      <c r="X1717" s="227"/>
      <c r="Y1717" s="232"/>
      <c r="Z1717" s="232"/>
      <c r="AA1717" s="232"/>
      <c r="AB1717" s="232"/>
      <c r="AC1717" s="227"/>
      <c r="AD1717" s="227"/>
      <c r="AE1717" s="231"/>
      <c r="AF1717" s="227"/>
      <c r="AG1717" s="232"/>
      <c r="AH1717" s="232"/>
      <c r="AI1717" s="232"/>
      <c r="AJ1717" s="232"/>
      <c r="AK1717" s="232"/>
      <c r="AL1717" s="232"/>
      <c r="AM1717" s="232"/>
      <c r="AN1717" s="232"/>
      <c r="AO1717" s="231"/>
      <c r="AP1717" s="231"/>
      <c r="AQ1717" s="227"/>
      <c r="AR1717" s="231"/>
      <c r="AS1717" s="227"/>
      <c r="AT1717" s="227"/>
      <c r="AU1717" s="227"/>
      <c r="AV1717" s="227"/>
    </row>
    <row r="1718">
      <c r="A1718" s="227"/>
      <c r="B1718" s="232"/>
      <c r="C1718" s="227"/>
      <c r="D1718" s="227"/>
      <c r="E1718" s="231"/>
      <c r="F1718" s="232"/>
      <c r="G1718" s="227"/>
      <c r="H1718" s="227"/>
      <c r="I1718" s="227"/>
      <c r="J1718" s="227"/>
      <c r="K1718" s="227"/>
      <c r="L1718" s="232"/>
      <c r="M1718" s="232"/>
      <c r="N1718" s="227"/>
      <c r="O1718" s="227"/>
      <c r="P1718" s="231"/>
      <c r="Q1718" s="227"/>
      <c r="R1718" s="231"/>
      <c r="S1718" s="231"/>
      <c r="T1718" s="231"/>
      <c r="U1718" s="231"/>
      <c r="V1718" s="231"/>
      <c r="W1718" s="231"/>
      <c r="X1718" s="227"/>
      <c r="Y1718" s="232"/>
      <c r="Z1718" s="232"/>
      <c r="AA1718" s="232"/>
      <c r="AB1718" s="232"/>
      <c r="AC1718" s="227"/>
      <c r="AD1718" s="227"/>
      <c r="AE1718" s="231"/>
      <c r="AF1718" s="227"/>
      <c r="AG1718" s="232"/>
      <c r="AH1718" s="232"/>
      <c r="AI1718" s="232"/>
      <c r="AJ1718" s="232"/>
      <c r="AK1718" s="232"/>
      <c r="AL1718" s="232"/>
      <c r="AM1718" s="232"/>
      <c r="AN1718" s="232"/>
      <c r="AO1718" s="231"/>
      <c r="AP1718" s="231"/>
      <c r="AQ1718" s="227"/>
      <c r="AR1718" s="231"/>
      <c r="AS1718" s="227"/>
      <c r="AT1718" s="227"/>
      <c r="AU1718" s="227"/>
      <c r="AV1718" s="227"/>
    </row>
    <row r="1719">
      <c r="A1719" s="227"/>
      <c r="B1719" s="232"/>
      <c r="C1719" s="227"/>
      <c r="D1719" s="227"/>
      <c r="E1719" s="231"/>
      <c r="F1719" s="232"/>
      <c r="G1719" s="227"/>
      <c r="H1719" s="227"/>
      <c r="I1719" s="227"/>
      <c r="J1719" s="227"/>
      <c r="K1719" s="227"/>
      <c r="L1719" s="232"/>
      <c r="M1719" s="232"/>
      <c r="N1719" s="227"/>
      <c r="O1719" s="227"/>
      <c r="P1719" s="231"/>
      <c r="Q1719" s="227"/>
      <c r="R1719" s="231"/>
      <c r="S1719" s="231"/>
      <c r="T1719" s="231"/>
      <c r="U1719" s="231"/>
      <c r="V1719" s="231"/>
      <c r="W1719" s="231"/>
      <c r="X1719" s="227"/>
      <c r="Y1719" s="232"/>
      <c r="Z1719" s="232"/>
      <c r="AA1719" s="232"/>
      <c r="AB1719" s="232"/>
      <c r="AC1719" s="227"/>
      <c r="AD1719" s="227"/>
      <c r="AE1719" s="231"/>
      <c r="AF1719" s="227"/>
      <c r="AG1719" s="232"/>
      <c r="AH1719" s="232"/>
      <c r="AI1719" s="232"/>
      <c r="AJ1719" s="232"/>
      <c r="AK1719" s="232"/>
      <c r="AL1719" s="232"/>
      <c r="AM1719" s="232"/>
      <c r="AN1719" s="232"/>
      <c r="AO1719" s="231"/>
      <c r="AP1719" s="231"/>
      <c r="AQ1719" s="227"/>
      <c r="AR1719" s="231"/>
      <c r="AS1719" s="227"/>
      <c r="AT1719" s="227"/>
      <c r="AU1719" s="227"/>
      <c r="AV1719" s="227"/>
    </row>
    <row r="1720">
      <c r="A1720" s="227"/>
      <c r="B1720" s="232"/>
      <c r="C1720" s="227"/>
      <c r="D1720" s="227"/>
      <c r="E1720" s="231"/>
      <c r="F1720" s="232"/>
      <c r="G1720" s="227"/>
      <c r="H1720" s="227"/>
      <c r="I1720" s="227"/>
      <c r="J1720" s="227"/>
      <c r="K1720" s="227"/>
      <c r="L1720" s="232"/>
      <c r="M1720" s="232"/>
      <c r="N1720" s="227"/>
      <c r="O1720" s="227"/>
      <c r="P1720" s="231"/>
      <c r="Q1720" s="227"/>
      <c r="R1720" s="231"/>
      <c r="S1720" s="231"/>
      <c r="T1720" s="231"/>
      <c r="U1720" s="231"/>
      <c r="V1720" s="231"/>
      <c r="W1720" s="231"/>
      <c r="X1720" s="227"/>
      <c r="Y1720" s="232"/>
      <c r="Z1720" s="232"/>
      <c r="AA1720" s="232"/>
      <c r="AB1720" s="232"/>
      <c r="AC1720" s="227"/>
      <c r="AD1720" s="227"/>
      <c r="AE1720" s="231"/>
      <c r="AF1720" s="227"/>
      <c r="AG1720" s="232"/>
      <c r="AH1720" s="232"/>
      <c r="AI1720" s="232"/>
      <c r="AJ1720" s="232"/>
      <c r="AK1720" s="232"/>
      <c r="AL1720" s="232"/>
      <c r="AM1720" s="232"/>
      <c r="AN1720" s="232"/>
      <c r="AO1720" s="231"/>
      <c r="AP1720" s="231"/>
      <c r="AQ1720" s="227"/>
      <c r="AR1720" s="231"/>
      <c r="AS1720" s="227"/>
      <c r="AT1720" s="227"/>
      <c r="AU1720" s="227"/>
      <c r="AV1720" s="227"/>
    </row>
    <row r="1721">
      <c r="A1721" s="227"/>
      <c r="B1721" s="232"/>
      <c r="C1721" s="227"/>
      <c r="D1721" s="227"/>
      <c r="E1721" s="231"/>
      <c r="F1721" s="232"/>
      <c r="G1721" s="227"/>
      <c r="H1721" s="227"/>
      <c r="I1721" s="227"/>
      <c r="J1721" s="227"/>
      <c r="K1721" s="227"/>
      <c r="L1721" s="232"/>
      <c r="M1721" s="232"/>
      <c r="N1721" s="227"/>
      <c r="O1721" s="227"/>
      <c r="P1721" s="231"/>
      <c r="Q1721" s="227"/>
      <c r="R1721" s="231"/>
      <c r="S1721" s="231"/>
      <c r="T1721" s="231"/>
      <c r="U1721" s="231"/>
      <c r="V1721" s="231"/>
      <c r="W1721" s="231"/>
      <c r="X1721" s="227"/>
      <c r="Y1721" s="232"/>
      <c r="Z1721" s="232"/>
      <c r="AA1721" s="232"/>
      <c r="AB1721" s="232"/>
      <c r="AC1721" s="227"/>
      <c r="AD1721" s="227"/>
      <c r="AE1721" s="231"/>
      <c r="AF1721" s="227"/>
      <c r="AG1721" s="232"/>
      <c r="AH1721" s="232"/>
      <c r="AI1721" s="232"/>
      <c r="AJ1721" s="232"/>
      <c r="AK1721" s="232"/>
      <c r="AL1721" s="232"/>
      <c r="AM1721" s="232"/>
      <c r="AN1721" s="232"/>
      <c r="AO1721" s="231"/>
      <c r="AP1721" s="231"/>
      <c r="AQ1721" s="227"/>
      <c r="AR1721" s="231"/>
      <c r="AS1721" s="227"/>
      <c r="AT1721" s="227"/>
      <c r="AU1721" s="227"/>
      <c r="AV1721" s="227"/>
    </row>
    <row r="1722">
      <c r="A1722" s="227"/>
      <c r="B1722" s="232"/>
      <c r="C1722" s="227"/>
      <c r="D1722" s="227"/>
      <c r="E1722" s="231"/>
      <c r="F1722" s="232"/>
      <c r="G1722" s="227"/>
      <c r="H1722" s="227"/>
      <c r="I1722" s="227"/>
      <c r="J1722" s="227"/>
      <c r="K1722" s="227"/>
      <c r="L1722" s="232"/>
      <c r="M1722" s="232"/>
      <c r="N1722" s="227"/>
      <c r="O1722" s="227"/>
      <c r="P1722" s="231"/>
      <c r="Q1722" s="227"/>
      <c r="R1722" s="231"/>
      <c r="S1722" s="231"/>
      <c r="T1722" s="231"/>
      <c r="U1722" s="231"/>
      <c r="V1722" s="231"/>
      <c r="W1722" s="231"/>
      <c r="X1722" s="227"/>
      <c r="Y1722" s="232"/>
      <c r="Z1722" s="232"/>
      <c r="AA1722" s="232"/>
      <c r="AB1722" s="232"/>
      <c r="AC1722" s="227"/>
      <c r="AD1722" s="227"/>
      <c r="AE1722" s="231"/>
      <c r="AF1722" s="227"/>
      <c r="AG1722" s="232"/>
      <c r="AH1722" s="232"/>
      <c r="AI1722" s="232"/>
      <c r="AJ1722" s="232"/>
      <c r="AK1722" s="232"/>
      <c r="AL1722" s="232"/>
      <c r="AM1722" s="232"/>
      <c r="AN1722" s="232"/>
      <c r="AO1722" s="231"/>
      <c r="AP1722" s="231"/>
      <c r="AQ1722" s="227"/>
      <c r="AR1722" s="231"/>
      <c r="AS1722" s="227"/>
      <c r="AT1722" s="227"/>
      <c r="AU1722" s="227"/>
      <c r="AV1722" s="227"/>
    </row>
    <row r="1723">
      <c r="A1723" s="227"/>
      <c r="B1723" s="232"/>
      <c r="C1723" s="227"/>
      <c r="D1723" s="227"/>
      <c r="E1723" s="231"/>
      <c r="F1723" s="232"/>
      <c r="G1723" s="227"/>
      <c r="H1723" s="227"/>
      <c r="I1723" s="227"/>
      <c r="J1723" s="227"/>
      <c r="K1723" s="227"/>
      <c r="L1723" s="232"/>
      <c r="M1723" s="232"/>
      <c r="N1723" s="227"/>
      <c r="O1723" s="227"/>
      <c r="P1723" s="231"/>
      <c r="Q1723" s="227"/>
      <c r="R1723" s="231"/>
      <c r="S1723" s="231"/>
      <c r="T1723" s="231"/>
      <c r="U1723" s="231"/>
      <c r="V1723" s="231"/>
      <c r="W1723" s="231"/>
      <c r="X1723" s="227"/>
      <c r="Y1723" s="232"/>
      <c r="Z1723" s="232"/>
      <c r="AA1723" s="232"/>
      <c r="AB1723" s="232"/>
      <c r="AC1723" s="227"/>
      <c r="AD1723" s="227"/>
      <c r="AE1723" s="231"/>
      <c r="AF1723" s="227"/>
      <c r="AG1723" s="232"/>
      <c r="AH1723" s="232"/>
      <c r="AI1723" s="232"/>
      <c r="AJ1723" s="232"/>
      <c r="AK1723" s="232"/>
      <c r="AL1723" s="232"/>
      <c r="AM1723" s="232"/>
      <c r="AN1723" s="232"/>
      <c r="AO1723" s="231"/>
      <c r="AP1723" s="231"/>
      <c r="AQ1723" s="227"/>
      <c r="AR1723" s="231"/>
      <c r="AS1723" s="227"/>
      <c r="AT1723" s="227"/>
      <c r="AU1723" s="227"/>
      <c r="AV1723" s="227"/>
    </row>
    <row r="1724">
      <c r="A1724" s="227"/>
      <c r="B1724" s="232"/>
      <c r="C1724" s="227"/>
      <c r="D1724" s="227"/>
      <c r="E1724" s="231"/>
      <c r="F1724" s="232"/>
      <c r="G1724" s="227"/>
      <c r="H1724" s="227"/>
      <c r="I1724" s="227"/>
      <c r="J1724" s="227"/>
      <c r="K1724" s="227"/>
      <c r="L1724" s="232"/>
      <c r="M1724" s="232"/>
      <c r="N1724" s="227"/>
      <c r="O1724" s="227"/>
      <c r="P1724" s="231"/>
      <c r="Q1724" s="227"/>
      <c r="R1724" s="231"/>
      <c r="S1724" s="231"/>
      <c r="T1724" s="231"/>
      <c r="U1724" s="231"/>
      <c r="V1724" s="231"/>
      <c r="W1724" s="231"/>
      <c r="X1724" s="227"/>
      <c r="Y1724" s="232"/>
      <c r="Z1724" s="232"/>
      <c r="AA1724" s="232"/>
      <c r="AB1724" s="232"/>
      <c r="AC1724" s="227"/>
      <c r="AD1724" s="227"/>
      <c r="AE1724" s="231"/>
      <c r="AF1724" s="227"/>
      <c r="AG1724" s="232"/>
      <c r="AH1724" s="232"/>
      <c r="AI1724" s="232"/>
      <c r="AJ1724" s="232"/>
      <c r="AK1724" s="232"/>
      <c r="AL1724" s="232"/>
      <c r="AM1724" s="232"/>
      <c r="AN1724" s="232"/>
      <c r="AO1724" s="231"/>
      <c r="AP1724" s="231"/>
      <c r="AQ1724" s="227"/>
      <c r="AR1724" s="231"/>
      <c r="AS1724" s="227"/>
      <c r="AT1724" s="227"/>
      <c r="AU1724" s="227"/>
      <c r="AV1724" s="227"/>
    </row>
    <row r="1725">
      <c r="A1725" s="227"/>
      <c r="B1725" s="232"/>
      <c r="C1725" s="227"/>
      <c r="D1725" s="227"/>
      <c r="E1725" s="231"/>
      <c r="F1725" s="232"/>
      <c r="G1725" s="227"/>
      <c r="H1725" s="227"/>
      <c r="I1725" s="227"/>
      <c r="J1725" s="227"/>
      <c r="K1725" s="227"/>
      <c r="L1725" s="232"/>
      <c r="M1725" s="232"/>
      <c r="N1725" s="227"/>
      <c r="O1725" s="227"/>
      <c r="P1725" s="231"/>
      <c r="Q1725" s="227"/>
      <c r="R1725" s="231"/>
      <c r="S1725" s="231"/>
      <c r="T1725" s="231"/>
      <c r="U1725" s="231"/>
      <c r="V1725" s="231"/>
      <c r="W1725" s="231"/>
      <c r="X1725" s="227"/>
      <c r="Y1725" s="232"/>
      <c r="Z1725" s="232"/>
      <c r="AA1725" s="232"/>
      <c r="AB1725" s="232"/>
      <c r="AC1725" s="227"/>
      <c r="AD1725" s="227"/>
      <c r="AE1725" s="231"/>
      <c r="AF1725" s="227"/>
      <c r="AG1725" s="232"/>
      <c r="AH1725" s="232"/>
      <c r="AI1725" s="232"/>
      <c r="AJ1725" s="232"/>
      <c r="AK1725" s="232"/>
      <c r="AL1725" s="232"/>
      <c r="AM1725" s="232"/>
      <c r="AN1725" s="232"/>
      <c r="AO1725" s="231"/>
      <c r="AP1725" s="231"/>
      <c r="AQ1725" s="227"/>
      <c r="AR1725" s="231"/>
      <c r="AS1725" s="227"/>
      <c r="AT1725" s="227"/>
      <c r="AU1725" s="227"/>
      <c r="AV1725" s="227"/>
    </row>
    <row r="1726">
      <c r="A1726" s="227"/>
      <c r="B1726" s="232"/>
      <c r="C1726" s="227"/>
      <c r="D1726" s="227"/>
      <c r="E1726" s="231"/>
      <c r="F1726" s="232"/>
      <c r="G1726" s="227"/>
      <c r="H1726" s="227"/>
      <c r="I1726" s="227"/>
      <c r="J1726" s="227"/>
      <c r="K1726" s="227"/>
      <c r="L1726" s="232"/>
      <c r="M1726" s="232"/>
      <c r="N1726" s="227"/>
      <c r="O1726" s="227"/>
      <c r="P1726" s="231"/>
      <c r="Q1726" s="227"/>
      <c r="R1726" s="231"/>
      <c r="S1726" s="231"/>
      <c r="T1726" s="231"/>
      <c r="U1726" s="231"/>
      <c r="V1726" s="231"/>
      <c r="W1726" s="231"/>
      <c r="X1726" s="227"/>
      <c r="Y1726" s="232"/>
      <c r="Z1726" s="232"/>
      <c r="AA1726" s="232"/>
      <c r="AB1726" s="232"/>
      <c r="AC1726" s="227"/>
      <c r="AD1726" s="227"/>
      <c r="AE1726" s="231"/>
      <c r="AF1726" s="227"/>
      <c r="AG1726" s="232"/>
      <c r="AH1726" s="232"/>
      <c r="AI1726" s="232"/>
      <c r="AJ1726" s="232"/>
      <c r="AK1726" s="232"/>
      <c r="AL1726" s="232"/>
      <c r="AM1726" s="232"/>
      <c r="AN1726" s="232"/>
      <c r="AO1726" s="231"/>
      <c r="AP1726" s="231"/>
      <c r="AQ1726" s="227"/>
      <c r="AR1726" s="231"/>
      <c r="AS1726" s="227"/>
      <c r="AT1726" s="227"/>
      <c r="AU1726" s="227"/>
      <c r="AV1726" s="227"/>
    </row>
    <row r="1727">
      <c r="A1727" s="227"/>
      <c r="B1727" s="232"/>
      <c r="C1727" s="227"/>
      <c r="D1727" s="227"/>
      <c r="E1727" s="231"/>
      <c r="F1727" s="232"/>
      <c r="G1727" s="227"/>
      <c r="H1727" s="227"/>
      <c r="I1727" s="227"/>
      <c r="J1727" s="227"/>
      <c r="K1727" s="227"/>
      <c r="L1727" s="232"/>
      <c r="M1727" s="232"/>
      <c r="N1727" s="227"/>
      <c r="O1727" s="227"/>
      <c r="P1727" s="231"/>
      <c r="Q1727" s="227"/>
      <c r="R1727" s="231"/>
      <c r="S1727" s="231"/>
      <c r="T1727" s="231"/>
      <c r="U1727" s="231"/>
      <c r="V1727" s="231"/>
      <c r="W1727" s="231"/>
      <c r="X1727" s="227"/>
      <c r="Y1727" s="232"/>
      <c r="Z1727" s="232"/>
      <c r="AA1727" s="232"/>
      <c r="AB1727" s="232"/>
      <c r="AC1727" s="227"/>
      <c r="AD1727" s="227"/>
      <c r="AE1727" s="231"/>
      <c r="AF1727" s="227"/>
      <c r="AG1727" s="232"/>
      <c r="AH1727" s="232"/>
      <c r="AI1727" s="232"/>
      <c r="AJ1727" s="232"/>
      <c r="AK1727" s="232"/>
      <c r="AL1727" s="232"/>
      <c r="AM1727" s="232"/>
      <c r="AN1727" s="232"/>
      <c r="AO1727" s="231"/>
      <c r="AP1727" s="231"/>
      <c r="AQ1727" s="227"/>
      <c r="AR1727" s="231"/>
      <c r="AS1727" s="227"/>
      <c r="AT1727" s="227"/>
      <c r="AU1727" s="227"/>
      <c r="AV1727" s="227"/>
    </row>
    <row r="1728">
      <c r="A1728" s="227"/>
      <c r="B1728" s="232"/>
      <c r="C1728" s="227"/>
      <c r="D1728" s="227"/>
      <c r="E1728" s="231"/>
      <c r="F1728" s="232"/>
      <c r="G1728" s="227"/>
      <c r="H1728" s="227"/>
      <c r="I1728" s="227"/>
      <c r="J1728" s="227"/>
      <c r="K1728" s="227"/>
      <c r="L1728" s="232"/>
      <c r="M1728" s="232"/>
      <c r="N1728" s="227"/>
      <c r="O1728" s="227"/>
      <c r="P1728" s="231"/>
      <c r="Q1728" s="227"/>
      <c r="R1728" s="231"/>
      <c r="S1728" s="231"/>
      <c r="T1728" s="231"/>
      <c r="U1728" s="231"/>
      <c r="V1728" s="231"/>
      <c r="W1728" s="231"/>
      <c r="X1728" s="227"/>
      <c r="Y1728" s="232"/>
      <c r="Z1728" s="232"/>
      <c r="AA1728" s="232"/>
      <c r="AB1728" s="232"/>
      <c r="AC1728" s="227"/>
      <c r="AD1728" s="227"/>
      <c r="AE1728" s="231"/>
      <c r="AF1728" s="227"/>
      <c r="AG1728" s="232"/>
      <c r="AH1728" s="232"/>
      <c r="AI1728" s="232"/>
      <c r="AJ1728" s="232"/>
      <c r="AK1728" s="232"/>
      <c r="AL1728" s="232"/>
      <c r="AM1728" s="232"/>
      <c r="AN1728" s="232"/>
      <c r="AO1728" s="231"/>
      <c r="AP1728" s="231"/>
      <c r="AQ1728" s="227"/>
      <c r="AR1728" s="231"/>
      <c r="AS1728" s="227"/>
      <c r="AT1728" s="227"/>
      <c r="AU1728" s="227"/>
      <c r="AV1728" s="227"/>
    </row>
    <row r="1729">
      <c r="A1729" s="227"/>
      <c r="B1729" s="232"/>
      <c r="C1729" s="227"/>
      <c r="D1729" s="227"/>
      <c r="E1729" s="231"/>
      <c r="F1729" s="232"/>
      <c r="G1729" s="227"/>
      <c r="H1729" s="227"/>
      <c r="I1729" s="227"/>
      <c r="J1729" s="227"/>
      <c r="K1729" s="227"/>
      <c r="L1729" s="232"/>
      <c r="M1729" s="232"/>
      <c r="N1729" s="227"/>
      <c r="O1729" s="227"/>
      <c r="P1729" s="231"/>
      <c r="Q1729" s="227"/>
      <c r="R1729" s="231"/>
      <c r="S1729" s="231"/>
      <c r="T1729" s="231"/>
      <c r="U1729" s="231"/>
      <c r="V1729" s="231"/>
      <c r="W1729" s="231"/>
      <c r="X1729" s="227"/>
      <c r="Y1729" s="232"/>
      <c r="Z1729" s="232"/>
      <c r="AA1729" s="232"/>
      <c r="AB1729" s="232"/>
      <c r="AC1729" s="227"/>
      <c r="AD1729" s="227"/>
      <c r="AE1729" s="231"/>
      <c r="AF1729" s="227"/>
      <c r="AG1729" s="232"/>
      <c r="AH1729" s="232"/>
      <c r="AI1729" s="232"/>
      <c r="AJ1729" s="232"/>
      <c r="AK1729" s="232"/>
      <c r="AL1729" s="232"/>
      <c r="AM1729" s="232"/>
      <c r="AN1729" s="232"/>
      <c r="AO1729" s="231"/>
      <c r="AP1729" s="231"/>
      <c r="AQ1729" s="227"/>
      <c r="AR1729" s="231"/>
      <c r="AS1729" s="227"/>
      <c r="AT1729" s="227"/>
      <c r="AU1729" s="227"/>
      <c r="AV1729" s="227"/>
    </row>
    <row r="1730">
      <c r="A1730" s="227"/>
      <c r="B1730" s="232"/>
      <c r="C1730" s="227"/>
      <c r="D1730" s="227"/>
      <c r="E1730" s="231"/>
      <c r="F1730" s="232"/>
      <c r="G1730" s="227"/>
      <c r="H1730" s="227"/>
      <c r="I1730" s="227"/>
      <c r="J1730" s="227"/>
      <c r="K1730" s="227"/>
      <c r="L1730" s="232"/>
      <c r="M1730" s="232"/>
      <c r="N1730" s="227"/>
      <c r="O1730" s="227"/>
      <c r="P1730" s="231"/>
      <c r="Q1730" s="227"/>
      <c r="R1730" s="231"/>
      <c r="S1730" s="231"/>
      <c r="T1730" s="231"/>
      <c r="U1730" s="231"/>
      <c r="V1730" s="231"/>
      <c r="W1730" s="231"/>
      <c r="X1730" s="227"/>
      <c r="Y1730" s="232"/>
      <c r="Z1730" s="232"/>
      <c r="AA1730" s="232"/>
      <c r="AB1730" s="232"/>
      <c r="AC1730" s="227"/>
      <c r="AD1730" s="227"/>
      <c r="AE1730" s="231"/>
      <c r="AF1730" s="227"/>
      <c r="AG1730" s="232"/>
      <c r="AH1730" s="232"/>
      <c r="AI1730" s="232"/>
      <c r="AJ1730" s="232"/>
      <c r="AK1730" s="232"/>
      <c r="AL1730" s="232"/>
      <c r="AM1730" s="232"/>
      <c r="AN1730" s="232"/>
      <c r="AO1730" s="231"/>
      <c r="AP1730" s="231"/>
      <c r="AQ1730" s="227"/>
      <c r="AR1730" s="231"/>
      <c r="AS1730" s="227"/>
      <c r="AT1730" s="227"/>
      <c r="AU1730" s="227"/>
      <c r="AV1730" s="227"/>
    </row>
    <row r="1731">
      <c r="A1731" s="227"/>
      <c r="B1731" s="232"/>
      <c r="C1731" s="227"/>
      <c r="D1731" s="227"/>
      <c r="E1731" s="231"/>
      <c r="F1731" s="232"/>
      <c r="G1731" s="227"/>
      <c r="H1731" s="227"/>
      <c r="I1731" s="227"/>
      <c r="J1731" s="227"/>
      <c r="K1731" s="227"/>
      <c r="L1731" s="232"/>
      <c r="M1731" s="232"/>
      <c r="N1731" s="227"/>
      <c r="O1731" s="227"/>
      <c r="P1731" s="231"/>
      <c r="Q1731" s="227"/>
      <c r="R1731" s="231"/>
      <c r="S1731" s="231"/>
      <c r="T1731" s="231"/>
      <c r="U1731" s="231"/>
      <c r="V1731" s="231"/>
      <c r="W1731" s="231"/>
      <c r="X1731" s="227"/>
      <c r="Y1731" s="232"/>
      <c r="Z1731" s="232"/>
      <c r="AA1731" s="232"/>
      <c r="AB1731" s="232"/>
      <c r="AC1731" s="227"/>
      <c r="AD1731" s="227"/>
      <c r="AE1731" s="231"/>
      <c r="AF1731" s="227"/>
      <c r="AG1731" s="232"/>
      <c r="AH1731" s="232"/>
      <c r="AI1731" s="232"/>
      <c r="AJ1731" s="232"/>
      <c r="AK1731" s="232"/>
      <c r="AL1731" s="232"/>
      <c r="AM1731" s="232"/>
      <c r="AN1731" s="232"/>
      <c r="AO1731" s="231"/>
      <c r="AP1731" s="231"/>
      <c r="AQ1731" s="227"/>
      <c r="AR1731" s="231"/>
      <c r="AS1731" s="227"/>
      <c r="AT1731" s="227"/>
      <c r="AU1731" s="227"/>
      <c r="AV1731" s="227"/>
    </row>
    <row r="1732">
      <c r="A1732" s="227"/>
      <c r="B1732" s="232"/>
      <c r="C1732" s="227"/>
      <c r="D1732" s="227"/>
      <c r="E1732" s="231"/>
      <c r="F1732" s="232"/>
      <c r="G1732" s="227"/>
      <c r="H1732" s="227"/>
      <c r="I1732" s="227"/>
      <c r="J1732" s="227"/>
      <c r="K1732" s="227"/>
      <c r="L1732" s="232"/>
      <c r="M1732" s="232"/>
      <c r="N1732" s="227"/>
      <c r="O1732" s="227"/>
      <c r="P1732" s="231"/>
      <c r="Q1732" s="227"/>
      <c r="R1732" s="231"/>
      <c r="S1732" s="231"/>
      <c r="T1732" s="231"/>
      <c r="U1732" s="231"/>
      <c r="V1732" s="231"/>
      <c r="W1732" s="231"/>
      <c r="X1732" s="227"/>
      <c r="Y1732" s="232"/>
      <c r="Z1732" s="232"/>
      <c r="AA1732" s="232"/>
      <c r="AB1732" s="232"/>
      <c r="AC1732" s="227"/>
      <c r="AD1732" s="227"/>
      <c r="AE1732" s="231"/>
      <c r="AF1732" s="227"/>
      <c r="AG1732" s="232"/>
      <c r="AH1732" s="232"/>
      <c r="AI1732" s="232"/>
      <c r="AJ1732" s="232"/>
      <c r="AK1732" s="232"/>
      <c r="AL1732" s="232"/>
      <c r="AM1732" s="232"/>
      <c r="AN1732" s="232"/>
      <c r="AO1732" s="231"/>
      <c r="AP1732" s="231"/>
      <c r="AQ1732" s="227"/>
      <c r="AR1732" s="231"/>
      <c r="AS1732" s="227"/>
      <c r="AT1732" s="227"/>
      <c r="AU1732" s="227"/>
      <c r="AV1732" s="227"/>
    </row>
    <row r="1733">
      <c r="A1733" s="227"/>
      <c r="B1733" s="232"/>
      <c r="C1733" s="227"/>
      <c r="D1733" s="227"/>
      <c r="E1733" s="231"/>
      <c r="F1733" s="232"/>
      <c r="G1733" s="227"/>
      <c r="H1733" s="227"/>
      <c r="I1733" s="227"/>
      <c r="J1733" s="227"/>
      <c r="K1733" s="227"/>
      <c r="L1733" s="232"/>
      <c r="M1733" s="232"/>
      <c r="N1733" s="227"/>
      <c r="O1733" s="227"/>
      <c r="P1733" s="231"/>
      <c r="Q1733" s="227"/>
      <c r="R1733" s="231"/>
      <c r="S1733" s="231"/>
      <c r="T1733" s="231"/>
      <c r="U1733" s="231"/>
      <c r="V1733" s="231"/>
      <c r="W1733" s="231"/>
      <c r="X1733" s="227"/>
      <c r="Y1733" s="232"/>
      <c r="Z1733" s="232"/>
      <c r="AA1733" s="232"/>
      <c r="AB1733" s="232"/>
      <c r="AC1733" s="227"/>
      <c r="AD1733" s="227"/>
      <c r="AE1733" s="231"/>
      <c r="AF1733" s="227"/>
      <c r="AG1733" s="232"/>
      <c r="AH1733" s="232"/>
      <c r="AI1733" s="232"/>
      <c r="AJ1733" s="232"/>
      <c r="AK1733" s="232"/>
      <c r="AL1733" s="232"/>
      <c r="AM1733" s="232"/>
      <c r="AN1733" s="232"/>
      <c r="AO1733" s="231"/>
      <c r="AP1733" s="231"/>
      <c r="AQ1733" s="227"/>
      <c r="AR1733" s="231"/>
      <c r="AS1733" s="227"/>
      <c r="AT1733" s="227"/>
      <c r="AU1733" s="227"/>
      <c r="AV1733" s="227"/>
    </row>
    <row r="1734">
      <c r="A1734" s="227"/>
      <c r="B1734" s="232"/>
      <c r="C1734" s="227"/>
      <c r="D1734" s="227"/>
      <c r="E1734" s="231"/>
      <c r="F1734" s="232"/>
      <c r="G1734" s="227"/>
      <c r="H1734" s="227"/>
      <c r="I1734" s="227"/>
      <c r="J1734" s="227"/>
      <c r="K1734" s="227"/>
      <c r="L1734" s="232"/>
      <c r="M1734" s="232"/>
      <c r="N1734" s="227"/>
      <c r="O1734" s="227"/>
      <c r="P1734" s="231"/>
      <c r="Q1734" s="227"/>
      <c r="R1734" s="231"/>
      <c r="S1734" s="231"/>
      <c r="T1734" s="231"/>
      <c r="U1734" s="231"/>
      <c r="V1734" s="231"/>
      <c r="W1734" s="231"/>
      <c r="X1734" s="227"/>
      <c r="Y1734" s="232"/>
      <c r="Z1734" s="232"/>
      <c r="AA1734" s="232"/>
      <c r="AB1734" s="232"/>
      <c r="AC1734" s="227"/>
      <c r="AD1734" s="227"/>
      <c r="AE1734" s="231"/>
      <c r="AF1734" s="227"/>
      <c r="AG1734" s="232"/>
      <c r="AH1734" s="232"/>
      <c r="AI1734" s="232"/>
      <c r="AJ1734" s="232"/>
      <c r="AK1734" s="232"/>
      <c r="AL1734" s="232"/>
      <c r="AM1734" s="232"/>
      <c r="AN1734" s="232"/>
      <c r="AO1734" s="231"/>
      <c r="AP1734" s="231"/>
      <c r="AQ1734" s="227"/>
      <c r="AR1734" s="231"/>
      <c r="AS1734" s="227"/>
      <c r="AT1734" s="227"/>
      <c r="AU1734" s="227"/>
      <c r="AV1734" s="227"/>
    </row>
    <row r="1735">
      <c r="A1735" s="227"/>
      <c r="B1735" s="232"/>
      <c r="C1735" s="227"/>
      <c r="D1735" s="227"/>
      <c r="E1735" s="231"/>
      <c r="F1735" s="232"/>
      <c r="G1735" s="227"/>
      <c r="H1735" s="227"/>
      <c r="I1735" s="227"/>
      <c r="J1735" s="227"/>
      <c r="K1735" s="227"/>
      <c r="L1735" s="232"/>
      <c r="M1735" s="232"/>
      <c r="N1735" s="227"/>
      <c r="O1735" s="227"/>
      <c r="P1735" s="231"/>
      <c r="Q1735" s="227"/>
      <c r="R1735" s="231"/>
      <c r="S1735" s="231"/>
      <c r="T1735" s="231"/>
      <c r="U1735" s="231"/>
      <c r="V1735" s="231"/>
      <c r="W1735" s="231"/>
      <c r="X1735" s="227"/>
      <c r="Y1735" s="232"/>
      <c r="Z1735" s="232"/>
      <c r="AA1735" s="232"/>
      <c r="AB1735" s="232"/>
      <c r="AC1735" s="227"/>
      <c r="AD1735" s="227"/>
      <c r="AE1735" s="231"/>
      <c r="AF1735" s="227"/>
      <c r="AG1735" s="232"/>
      <c r="AH1735" s="232"/>
      <c r="AI1735" s="232"/>
      <c r="AJ1735" s="232"/>
      <c r="AK1735" s="232"/>
      <c r="AL1735" s="232"/>
      <c r="AM1735" s="232"/>
      <c r="AN1735" s="232"/>
      <c r="AO1735" s="231"/>
      <c r="AP1735" s="231"/>
      <c r="AQ1735" s="227"/>
      <c r="AR1735" s="231"/>
      <c r="AS1735" s="227"/>
      <c r="AT1735" s="227"/>
      <c r="AU1735" s="227"/>
      <c r="AV1735" s="227"/>
    </row>
    <row r="1736">
      <c r="A1736" s="227"/>
      <c r="B1736" s="232"/>
      <c r="C1736" s="227"/>
      <c r="D1736" s="227"/>
      <c r="E1736" s="231"/>
      <c r="F1736" s="232"/>
      <c r="G1736" s="227"/>
      <c r="H1736" s="227"/>
      <c r="I1736" s="227"/>
      <c r="J1736" s="227"/>
      <c r="K1736" s="227"/>
      <c r="L1736" s="232"/>
      <c r="M1736" s="232"/>
      <c r="N1736" s="227"/>
      <c r="O1736" s="227"/>
      <c r="P1736" s="231"/>
      <c r="Q1736" s="227"/>
      <c r="R1736" s="231"/>
      <c r="S1736" s="231"/>
      <c r="T1736" s="231"/>
      <c r="U1736" s="231"/>
      <c r="V1736" s="231"/>
      <c r="W1736" s="231"/>
      <c r="X1736" s="227"/>
      <c r="Y1736" s="232"/>
      <c r="Z1736" s="232"/>
      <c r="AA1736" s="232"/>
      <c r="AB1736" s="232"/>
      <c r="AC1736" s="227"/>
      <c r="AD1736" s="227"/>
      <c r="AE1736" s="231"/>
      <c r="AF1736" s="227"/>
      <c r="AG1736" s="232"/>
      <c r="AH1736" s="232"/>
      <c r="AI1736" s="232"/>
      <c r="AJ1736" s="232"/>
      <c r="AK1736" s="232"/>
      <c r="AL1736" s="232"/>
      <c r="AM1736" s="232"/>
      <c r="AN1736" s="232"/>
      <c r="AO1736" s="231"/>
      <c r="AP1736" s="231"/>
      <c r="AQ1736" s="227"/>
      <c r="AR1736" s="231"/>
      <c r="AS1736" s="227"/>
      <c r="AT1736" s="227"/>
      <c r="AU1736" s="227"/>
      <c r="AV1736" s="227"/>
    </row>
    <row r="1737">
      <c r="A1737" s="227"/>
      <c r="B1737" s="232"/>
      <c r="C1737" s="227"/>
      <c r="D1737" s="227"/>
      <c r="E1737" s="231"/>
      <c r="F1737" s="232"/>
      <c r="G1737" s="227"/>
      <c r="H1737" s="227"/>
      <c r="I1737" s="227"/>
      <c r="J1737" s="227"/>
      <c r="K1737" s="227"/>
      <c r="L1737" s="232"/>
      <c r="M1737" s="232"/>
      <c r="N1737" s="227"/>
      <c r="O1737" s="227"/>
      <c r="P1737" s="231"/>
      <c r="Q1737" s="227"/>
      <c r="R1737" s="231"/>
      <c r="S1737" s="231"/>
      <c r="T1737" s="231"/>
      <c r="U1737" s="231"/>
      <c r="V1737" s="231"/>
      <c r="W1737" s="231"/>
      <c r="X1737" s="227"/>
      <c r="Y1737" s="232"/>
      <c r="Z1737" s="232"/>
      <c r="AA1737" s="232"/>
      <c r="AB1737" s="232"/>
      <c r="AC1737" s="227"/>
      <c r="AD1737" s="227"/>
      <c r="AE1737" s="231"/>
      <c r="AF1737" s="227"/>
      <c r="AG1737" s="232"/>
      <c r="AH1737" s="232"/>
      <c r="AI1737" s="232"/>
      <c r="AJ1737" s="232"/>
      <c r="AK1737" s="232"/>
      <c r="AL1737" s="232"/>
      <c r="AM1737" s="232"/>
      <c r="AN1737" s="232"/>
      <c r="AO1737" s="231"/>
      <c r="AP1737" s="231"/>
      <c r="AQ1737" s="227"/>
      <c r="AR1737" s="231"/>
      <c r="AS1737" s="227"/>
      <c r="AT1737" s="227"/>
      <c r="AU1737" s="227"/>
      <c r="AV1737" s="227"/>
    </row>
    <row r="1738">
      <c r="A1738" s="227"/>
      <c r="B1738" s="232"/>
      <c r="C1738" s="227"/>
      <c r="D1738" s="227"/>
      <c r="E1738" s="231"/>
      <c r="F1738" s="232"/>
      <c r="G1738" s="227"/>
      <c r="H1738" s="227"/>
      <c r="I1738" s="227"/>
      <c r="J1738" s="227"/>
      <c r="K1738" s="227"/>
      <c r="L1738" s="232"/>
      <c r="M1738" s="232"/>
      <c r="N1738" s="227"/>
      <c r="O1738" s="227"/>
      <c r="P1738" s="231"/>
      <c r="Q1738" s="227"/>
      <c r="R1738" s="231"/>
      <c r="S1738" s="231"/>
      <c r="T1738" s="231"/>
      <c r="U1738" s="231"/>
      <c r="V1738" s="231"/>
      <c r="W1738" s="231"/>
      <c r="X1738" s="227"/>
      <c r="Y1738" s="232"/>
      <c r="Z1738" s="232"/>
      <c r="AA1738" s="232"/>
      <c r="AB1738" s="232"/>
      <c r="AC1738" s="227"/>
      <c r="AD1738" s="227"/>
      <c r="AE1738" s="231"/>
      <c r="AF1738" s="227"/>
      <c r="AG1738" s="232"/>
      <c r="AH1738" s="232"/>
      <c r="AI1738" s="232"/>
      <c r="AJ1738" s="232"/>
      <c r="AK1738" s="232"/>
      <c r="AL1738" s="232"/>
      <c r="AM1738" s="232"/>
      <c r="AN1738" s="232"/>
      <c r="AO1738" s="231"/>
      <c r="AP1738" s="231"/>
      <c r="AQ1738" s="227"/>
      <c r="AR1738" s="231"/>
      <c r="AS1738" s="227"/>
      <c r="AT1738" s="227"/>
      <c r="AU1738" s="227"/>
      <c r="AV1738" s="227"/>
    </row>
    <row r="1739">
      <c r="A1739" s="227"/>
      <c r="B1739" s="232"/>
      <c r="C1739" s="227"/>
      <c r="D1739" s="227"/>
      <c r="E1739" s="231"/>
      <c r="F1739" s="232"/>
      <c r="G1739" s="227"/>
      <c r="H1739" s="227"/>
      <c r="I1739" s="227"/>
      <c r="J1739" s="227"/>
      <c r="K1739" s="227"/>
      <c r="L1739" s="232"/>
      <c r="M1739" s="232"/>
      <c r="N1739" s="227"/>
      <c r="O1739" s="227"/>
      <c r="P1739" s="231"/>
      <c r="Q1739" s="227"/>
      <c r="R1739" s="231"/>
      <c r="S1739" s="231"/>
      <c r="T1739" s="231"/>
      <c r="U1739" s="231"/>
      <c r="V1739" s="231"/>
      <c r="W1739" s="231"/>
      <c r="X1739" s="227"/>
      <c r="Y1739" s="232"/>
      <c r="Z1739" s="232"/>
      <c r="AA1739" s="232"/>
      <c r="AB1739" s="232"/>
      <c r="AC1739" s="227"/>
      <c r="AD1739" s="227"/>
      <c r="AE1739" s="231"/>
      <c r="AF1739" s="227"/>
      <c r="AG1739" s="232"/>
      <c r="AH1739" s="232"/>
      <c r="AI1739" s="232"/>
      <c r="AJ1739" s="232"/>
      <c r="AK1739" s="232"/>
      <c r="AL1739" s="232"/>
      <c r="AM1739" s="232"/>
      <c r="AN1739" s="232"/>
      <c r="AO1739" s="231"/>
      <c r="AP1739" s="231"/>
      <c r="AQ1739" s="227"/>
      <c r="AR1739" s="231"/>
      <c r="AS1739" s="227"/>
      <c r="AT1739" s="227"/>
      <c r="AU1739" s="227"/>
      <c r="AV1739" s="227"/>
    </row>
    <row r="1740">
      <c r="A1740" s="227"/>
      <c r="B1740" s="232"/>
      <c r="C1740" s="227"/>
      <c r="D1740" s="227"/>
      <c r="E1740" s="231"/>
      <c r="F1740" s="232"/>
      <c r="G1740" s="227"/>
      <c r="H1740" s="227"/>
      <c r="I1740" s="227"/>
      <c r="J1740" s="227"/>
      <c r="K1740" s="227"/>
      <c r="L1740" s="232"/>
      <c r="M1740" s="232"/>
      <c r="N1740" s="227"/>
      <c r="O1740" s="227"/>
      <c r="P1740" s="231"/>
      <c r="Q1740" s="227"/>
      <c r="R1740" s="231"/>
      <c r="S1740" s="231"/>
      <c r="T1740" s="231"/>
      <c r="U1740" s="231"/>
      <c r="V1740" s="231"/>
      <c r="W1740" s="231"/>
      <c r="X1740" s="227"/>
      <c r="Y1740" s="232"/>
      <c r="Z1740" s="232"/>
      <c r="AA1740" s="232"/>
      <c r="AB1740" s="232"/>
      <c r="AC1740" s="227"/>
      <c r="AD1740" s="227"/>
      <c r="AE1740" s="231"/>
      <c r="AF1740" s="227"/>
      <c r="AG1740" s="232"/>
      <c r="AH1740" s="232"/>
      <c r="AI1740" s="232"/>
      <c r="AJ1740" s="232"/>
      <c r="AK1740" s="232"/>
      <c r="AL1740" s="232"/>
      <c r="AM1740" s="232"/>
      <c r="AN1740" s="232"/>
      <c r="AO1740" s="231"/>
      <c r="AP1740" s="231"/>
      <c r="AQ1740" s="227"/>
      <c r="AR1740" s="231"/>
      <c r="AS1740" s="227"/>
      <c r="AT1740" s="227"/>
      <c r="AU1740" s="227"/>
      <c r="AV1740" s="227"/>
    </row>
    <row r="1741">
      <c r="A1741" s="227"/>
      <c r="B1741" s="232"/>
      <c r="C1741" s="227"/>
      <c r="D1741" s="227"/>
      <c r="E1741" s="231"/>
      <c r="F1741" s="232"/>
      <c r="G1741" s="227"/>
      <c r="H1741" s="227"/>
      <c r="I1741" s="227"/>
      <c r="J1741" s="227"/>
      <c r="K1741" s="227"/>
      <c r="L1741" s="232"/>
      <c r="M1741" s="232"/>
      <c r="N1741" s="227"/>
      <c r="O1741" s="227"/>
      <c r="P1741" s="231"/>
      <c r="Q1741" s="227"/>
      <c r="R1741" s="231"/>
      <c r="S1741" s="231"/>
      <c r="T1741" s="231"/>
      <c r="U1741" s="231"/>
      <c r="V1741" s="231"/>
      <c r="W1741" s="231"/>
      <c r="X1741" s="227"/>
      <c r="Y1741" s="232"/>
      <c r="Z1741" s="232"/>
      <c r="AA1741" s="232"/>
      <c r="AB1741" s="232"/>
      <c r="AC1741" s="227"/>
      <c r="AD1741" s="227"/>
      <c r="AE1741" s="231"/>
      <c r="AF1741" s="227"/>
      <c r="AG1741" s="232"/>
      <c r="AH1741" s="232"/>
      <c r="AI1741" s="232"/>
      <c r="AJ1741" s="232"/>
      <c r="AK1741" s="232"/>
      <c r="AL1741" s="232"/>
      <c r="AM1741" s="232"/>
      <c r="AN1741" s="232"/>
      <c r="AO1741" s="231"/>
      <c r="AP1741" s="231"/>
      <c r="AQ1741" s="227"/>
      <c r="AR1741" s="231"/>
      <c r="AS1741" s="227"/>
      <c r="AT1741" s="227"/>
      <c r="AU1741" s="227"/>
      <c r="AV1741" s="227"/>
    </row>
    <row r="1742">
      <c r="A1742" s="227"/>
      <c r="B1742" s="232"/>
      <c r="C1742" s="227"/>
      <c r="D1742" s="227"/>
      <c r="E1742" s="231"/>
      <c r="F1742" s="232"/>
      <c r="G1742" s="227"/>
      <c r="H1742" s="227"/>
      <c r="I1742" s="227"/>
      <c r="J1742" s="227"/>
      <c r="K1742" s="227"/>
      <c r="L1742" s="232"/>
      <c r="M1742" s="232"/>
      <c r="N1742" s="227"/>
      <c r="O1742" s="227"/>
      <c r="P1742" s="231"/>
      <c r="Q1742" s="227"/>
      <c r="R1742" s="231"/>
      <c r="S1742" s="231"/>
      <c r="T1742" s="231"/>
      <c r="U1742" s="231"/>
      <c r="V1742" s="231"/>
      <c r="W1742" s="231"/>
      <c r="X1742" s="227"/>
      <c r="Y1742" s="232"/>
      <c r="Z1742" s="232"/>
      <c r="AA1742" s="232"/>
      <c r="AB1742" s="232"/>
      <c r="AC1742" s="227"/>
      <c r="AD1742" s="227"/>
      <c r="AE1742" s="231"/>
      <c r="AF1742" s="227"/>
      <c r="AG1742" s="232"/>
      <c r="AH1742" s="232"/>
      <c r="AI1742" s="232"/>
      <c r="AJ1742" s="232"/>
      <c r="AK1742" s="232"/>
      <c r="AL1742" s="232"/>
      <c r="AM1742" s="232"/>
      <c r="AN1742" s="232"/>
      <c r="AO1742" s="231"/>
      <c r="AP1742" s="231"/>
      <c r="AQ1742" s="227"/>
      <c r="AR1742" s="231"/>
      <c r="AS1742" s="227"/>
      <c r="AT1742" s="227"/>
      <c r="AU1742" s="227"/>
      <c r="AV1742" s="227"/>
    </row>
    <row r="1743">
      <c r="A1743" s="227"/>
      <c r="B1743" s="232"/>
      <c r="C1743" s="227"/>
      <c r="D1743" s="227"/>
      <c r="E1743" s="231"/>
      <c r="F1743" s="232"/>
      <c r="G1743" s="227"/>
      <c r="H1743" s="227"/>
      <c r="I1743" s="227"/>
      <c r="J1743" s="227"/>
      <c r="K1743" s="227"/>
      <c r="L1743" s="232"/>
      <c r="M1743" s="232"/>
      <c r="N1743" s="227"/>
      <c r="O1743" s="227"/>
      <c r="P1743" s="231"/>
      <c r="Q1743" s="227"/>
      <c r="R1743" s="231"/>
      <c r="S1743" s="231"/>
      <c r="T1743" s="231"/>
      <c r="U1743" s="231"/>
      <c r="V1743" s="231"/>
      <c r="W1743" s="231"/>
      <c r="X1743" s="227"/>
      <c r="Y1743" s="232"/>
      <c r="Z1743" s="232"/>
      <c r="AA1743" s="232"/>
      <c r="AB1743" s="232"/>
      <c r="AC1743" s="227"/>
      <c r="AD1743" s="227"/>
      <c r="AE1743" s="231"/>
      <c r="AF1743" s="227"/>
      <c r="AG1743" s="232"/>
      <c r="AH1743" s="232"/>
      <c r="AI1743" s="232"/>
      <c r="AJ1743" s="232"/>
      <c r="AK1743" s="232"/>
      <c r="AL1743" s="232"/>
      <c r="AM1743" s="232"/>
      <c r="AN1743" s="232"/>
      <c r="AO1743" s="231"/>
      <c r="AP1743" s="231"/>
      <c r="AQ1743" s="227"/>
      <c r="AR1743" s="231"/>
      <c r="AS1743" s="227"/>
      <c r="AT1743" s="227"/>
      <c r="AU1743" s="227"/>
      <c r="AV1743" s="227"/>
    </row>
    <row r="1744">
      <c r="A1744" s="227"/>
      <c r="B1744" s="232"/>
      <c r="C1744" s="227"/>
      <c r="D1744" s="227"/>
      <c r="E1744" s="231"/>
      <c r="F1744" s="232"/>
      <c r="G1744" s="227"/>
      <c r="H1744" s="227"/>
      <c r="I1744" s="227"/>
      <c r="J1744" s="227"/>
      <c r="K1744" s="227"/>
      <c r="L1744" s="232"/>
      <c r="M1744" s="232"/>
      <c r="N1744" s="227"/>
      <c r="O1744" s="227"/>
      <c r="P1744" s="231"/>
      <c r="Q1744" s="227"/>
      <c r="R1744" s="231"/>
      <c r="S1744" s="231"/>
      <c r="T1744" s="231"/>
      <c r="U1744" s="231"/>
      <c r="V1744" s="231"/>
      <c r="W1744" s="231"/>
      <c r="X1744" s="227"/>
      <c r="Y1744" s="232"/>
      <c r="Z1744" s="232"/>
      <c r="AA1744" s="232"/>
      <c r="AB1744" s="232"/>
      <c r="AC1744" s="227"/>
      <c r="AD1744" s="227"/>
      <c r="AE1744" s="231"/>
      <c r="AF1744" s="227"/>
      <c r="AG1744" s="232"/>
      <c r="AH1744" s="232"/>
      <c r="AI1744" s="232"/>
      <c r="AJ1744" s="232"/>
      <c r="AK1744" s="232"/>
      <c r="AL1744" s="232"/>
      <c r="AM1744" s="232"/>
      <c r="AN1744" s="232"/>
      <c r="AO1744" s="231"/>
      <c r="AP1744" s="231"/>
      <c r="AQ1744" s="227"/>
      <c r="AR1744" s="231"/>
      <c r="AS1744" s="227"/>
      <c r="AT1744" s="227"/>
      <c r="AU1744" s="227"/>
      <c r="AV1744" s="227"/>
    </row>
    <row r="1745">
      <c r="A1745" s="227"/>
      <c r="B1745" s="232"/>
      <c r="C1745" s="227"/>
      <c r="D1745" s="227"/>
      <c r="E1745" s="231"/>
      <c r="F1745" s="232"/>
      <c r="G1745" s="227"/>
      <c r="H1745" s="227"/>
      <c r="I1745" s="227"/>
      <c r="J1745" s="227"/>
      <c r="K1745" s="227"/>
      <c r="L1745" s="232"/>
      <c r="M1745" s="232"/>
      <c r="N1745" s="227"/>
      <c r="O1745" s="227"/>
      <c r="P1745" s="231"/>
      <c r="Q1745" s="227"/>
      <c r="R1745" s="231"/>
      <c r="S1745" s="231"/>
      <c r="T1745" s="231"/>
      <c r="U1745" s="231"/>
      <c r="V1745" s="231"/>
      <c r="W1745" s="231"/>
      <c r="X1745" s="227"/>
      <c r="Y1745" s="232"/>
      <c r="Z1745" s="232"/>
      <c r="AA1745" s="232"/>
      <c r="AB1745" s="232"/>
      <c r="AC1745" s="227"/>
      <c r="AD1745" s="227"/>
      <c r="AE1745" s="231"/>
      <c r="AF1745" s="227"/>
      <c r="AG1745" s="232"/>
      <c r="AH1745" s="232"/>
      <c r="AI1745" s="232"/>
      <c r="AJ1745" s="232"/>
      <c r="AK1745" s="232"/>
      <c r="AL1745" s="232"/>
      <c r="AM1745" s="232"/>
      <c r="AN1745" s="232"/>
      <c r="AO1745" s="231"/>
      <c r="AP1745" s="231"/>
      <c r="AQ1745" s="227"/>
      <c r="AR1745" s="231"/>
      <c r="AS1745" s="227"/>
      <c r="AT1745" s="227"/>
      <c r="AU1745" s="227"/>
      <c r="AV1745" s="227"/>
    </row>
    <row r="1746">
      <c r="A1746" s="227"/>
      <c r="B1746" s="232"/>
      <c r="C1746" s="227"/>
      <c r="D1746" s="227"/>
      <c r="E1746" s="231"/>
      <c r="F1746" s="232"/>
      <c r="G1746" s="227"/>
      <c r="H1746" s="227"/>
      <c r="I1746" s="227"/>
      <c r="J1746" s="227"/>
      <c r="K1746" s="227"/>
      <c r="L1746" s="232"/>
      <c r="M1746" s="232"/>
      <c r="N1746" s="227"/>
      <c r="O1746" s="227"/>
      <c r="P1746" s="231"/>
      <c r="Q1746" s="227"/>
      <c r="R1746" s="231"/>
      <c r="S1746" s="231"/>
      <c r="T1746" s="231"/>
      <c r="U1746" s="231"/>
      <c r="V1746" s="231"/>
      <c r="W1746" s="231"/>
      <c r="X1746" s="227"/>
      <c r="Y1746" s="232"/>
      <c r="Z1746" s="232"/>
      <c r="AA1746" s="232"/>
      <c r="AB1746" s="232"/>
      <c r="AC1746" s="227"/>
      <c r="AD1746" s="227"/>
      <c r="AE1746" s="231"/>
      <c r="AF1746" s="227"/>
      <c r="AG1746" s="232"/>
      <c r="AH1746" s="232"/>
      <c r="AI1746" s="232"/>
      <c r="AJ1746" s="232"/>
      <c r="AK1746" s="232"/>
      <c r="AL1746" s="232"/>
      <c r="AM1746" s="232"/>
      <c r="AN1746" s="232"/>
      <c r="AO1746" s="231"/>
      <c r="AP1746" s="231"/>
      <c r="AQ1746" s="227"/>
      <c r="AR1746" s="231"/>
      <c r="AS1746" s="227"/>
      <c r="AT1746" s="227"/>
      <c r="AU1746" s="227"/>
      <c r="AV1746" s="227"/>
    </row>
    <row r="1747">
      <c r="A1747" s="227"/>
      <c r="B1747" s="232"/>
      <c r="C1747" s="227"/>
      <c r="D1747" s="227"/>
      <c r="E1747" s="231"/>
      <c r="F1747" s="232"/>
      <c r="G1747" s="227"/>
      <c r="H1747" s="227"/>
      <c r="I1747" s="227"/>
      <c r="J1747" s="227"/>
      <c r="K1747" s="227"/>
      <c r="L1747" s="232"/>
      <c r="M1747" s="232"/>
      <c r="N1747" s="227"/>
      <c r="O1747" s="227"/>
      <c r="P1747" s="231"/>
      <c r="Q1747" s="227"/>
      <c r="R1747" s="231"/>
      <c r="S1747" s="231"/>
      <c r="T1747" s="231"/>
      <c r="U1747" s="231"/>
      <c r="V1747" s="231"/>
      <c r="W1747" s="231"/>
      <c r="X1747" s="227"/>
      <c r="Y1747" s="232"/>
      <c r="Z1747" s="232"/>
      <c r="AA1747" s="232"/>
      <c r="AB1747" s="232"/>
      <c r="AC1747" s="227"/>
      <c r="AD1747" s="227"/>
      <c r="AE1747" s="231"/>
      <c r="AF1747" s="227"/>
      <c r="AG1747" s="232"/>
      <c r="AH1747" s="232"/>
      <c r="AI1747" s="232"/>
      <c r="AJ1747" s="232"/>
      <c r="AK1747" s="232"/>
      <c r="AL1747" s="232"/>
      <c r="AM1747" s="232"/>
      <c r="AN1747" s="232"/>
      <c r="AO1747" s="231"/>
      <c r="AP1747" s="231"/>
      <c r="AQ1747" s="227"/>
      <c r="AR1747" s="231"/>
      <c r="AS1747" s="227"/>
      <c r="AT1747" s="227"/>
      <c r="AU1747" s="227"/>
      <c r="AV1747" s="227"/>
    </row>
    <row r="1748">
      <c r="A1748" s="227"/>
      <c r="B1748" s="232"/>
      <c r="C1748" s="227"/>
      <c r="D1748" s="227"/>
      <c r="E1748" s="231"/>
      <c r="F1748" s="232"/>
      <c r="G1748" s="227"/>
      <c r="H1748" s="227"/>
      <c r="I1748" s="227"/>
      <c r="J1748" s="227"/>
      <c r="K1748" s="227"/>
      <c r="L1748" s="232"/>
      <c r="M1748" s="232"/>
      <c r="N1748" s="227"/>
      <c r="O1748" s="227"/>
      <c r="P1748" s="231"/>
      <c r="Q1748" s="227"/>
      <c r="R1748" s="231"/>
      <c r="S1748" s="231"/>
      <c r="T1748" s="231"/>
      <c r="U1748" s="231"/>
      <c r="V1748" s="231"/>
      <c r="W1748" s="231"/>
      <c r="X1748" s="227"/>
      <c r="Y1748" s="232"/>
      <c r="Z1748" s="232"/>
      <c r="AA1748" s="232"/>
      <c r="AB1748" s="232"/>
      <c r="AC1748" s="227"/>
      <c r="AD1748" s="227"/>
      <c r="AE1748" s="231"/>
      <c r="AF1748" s="227"/>
      <c r="AG1748" s="232"/>
      <c r="AH1748" s="232"/>
      <c r="AI1748" s="232"/>
      <c r="AJ1748" s="232"/>
      <c r="AK1748" s="232"/>
      <c r="AL1748" s="232"/>
      <c r="AM1748" s="232"/>
      <c r="AN1748" s="232"/>
      <c r="AO1748" s="231"/>
      <c r="AP1748" s="231"/>
      <c r="AQ1748" s="227"/>
      <c r="AR1748" s="231"/>
      <c r="AS1748" s="227"/>
      <c r="AT1748" s="227"/>
      <c r="AU1748" s="227"/>
      <c r="AV1748" s="227"/>
    </row>
    <row r="1749">
      <c r="A1749" s="227"/>
      <c r="B1749" s="232"/>
      <c r="C1749" s="227"/>
      <c r="D1749" s="227"/>
      <c r="E1749" s="231"/>
      <c r="F1749" s="232"/>
      <c r="G1749" s="227"/>
      <c r="H1749" s="227"/>
      <c r="I1749" s="227"/>
      <c r="J1749" s="227"/>
      <c r="K1749" s="227"/>
      <c r="L1749" s="232"/>
      <c r="M1749" s="232"/>
      <c r="N1749" s="227"/>
      <c r="O1749" s="227"/>
      <c r="P1749" s="231"/>
      <c r="Q1749" s="227"/>
      <c r="R1749" s="231"/>
      <c r="S1749" s="231"/>
      <c r="T1749" s="231"/>
      <c r="U1749" s="231"/>
      <c r="V1749" s="231"/>
      <c r="W1749" s="231"/>
      <c r="X1749" s="227"/>
      <c r="Y1749" s="232"/>
      <c r="Z1749" s="232"/>
      <c r="AA1749" s="232"/>
      <c r="AB1749" s="232"/>
      <c r="AC1749" s="227"/>
      <c r="AD1749" s="227"/>
      <c r="AE1749" s="231"/>
      <c r="AF1749" s="227"/>
      <c r="AG1749" s="232"/>
      <c r="AH1749" s="232"/>
      <c r="AI1749" s="232"/>
      <c r="AJ1749" s="232"/>
      <c r="AK1749" s="232"/>
      <c r="AL1749" s="232"/>
      <c r="AM1749" s="232"/>
      <c r="AN1749" s="232"/>
      <c r="AO1749" s="231"/>
      <c r="AP1749" s="231"/>
      <c r="AQ1749" s="227"/>
      <c r="AR1749" s="231"/>
      <c r="AS1749" s="227"/>
      <c r="AT1749" s="227"/>
      <c r="AU1749" s="227"/>
      <c r="AV1749" s="227"/>
    </row>
    <row r="1750">
      <c r="A1750" s="227"/>
      <c r="B1750" s="232"/>
      <c r="C1750" s="227"/>
      <c r="D1750" s="227"/>
      <c r="E1750" s="231"/>
      <c r="F1750" s="232"/>
      <c r="G1750" s="227"/>
      <c r="H1750" s="227"/>
      <c r="I1750" s="227"/>
      <c r="J1750" s="227"/>
      <c r="K1750" s="227"/>
      <c r="L1750" s="232"/>
      <c r="M1750" s="232"/>
      <c r="N1750" s="227"/>
      <c r="O1750" s="227"/>
      <c r="P1750" s="231"/>
      <c r="Q1750" s="227"/>
      <c r="R1750" s="231"/>
      <c r="S1750" s="231"/>
      <c r="T1750" s="231"/>
      <c r="U1750" s="231"/>
      <c r="V1750" s="231"/>
      <c r="W1750" s="231"/>
      <c r="X1750" s="227"/>
      <c r="Y1750" s="232"/>
      <c r="Z1750" s="232"/>
      <c r="AA1750" s="232"/>
      <c r="AB1750" s="232"/>
      <c r="AC1750" s="227"/>
      <c r="AD1750" s="227"/>
      <c r="AE1750" s="231"/>
      <c r="AF1750" s="227"/>
      <c r="AG1750" s="232"/>
      <c r="AH1750" s="232"/>
      <c r="AI1750" s="232"/>
      <c r="AJ1750" s="232"/>
      <c r="AK1750" s="232"/>
      <c r="AL1750" s="232"/>
      <c r="AM1750" s="232"/>
      <c r="AN1750" s="232"/>
      <c r="AO1750" s="231"/>
      <c r="AP1750" s="231"/>
      <c r="AQ1750" s="227"/>
      <c r="AR1750" s="231"/>
      <c r="AS1750" s="227"/>
      <c r="AT1750" s="227"/>
      <c r="AU1750" s="227"/>
      <c r="AV1750" s="227"/>
    </row>
    <row r="1751">
      <c r="A1751" s="227"/>
      <c r="B1751" s="232"/>
      <c r="C1751" s="227"/>
      <c r="D1751" s="227"/>
      <c r="E1751" s="231"/>
      <c r="F1751" s="232"/>
      <c r="G1751" s="227"/>
      <c r="H1751" s="227"/>
      <c r="I1751" s="227"/>
      <c r="J1751" s="227"/>
      <c r="K1751" s="227"/>
      <c r="L1751" s="232"/>
      <c r="M1751" s="232"/>
      <c r="N1751" s="227"/>
      <c r="O1751" s="227"/>
      <c r="P1751" s="231"/>
      <c r="Q1751" s="227"/>
      <c r="R1751" s="231"/>
      <c r="S1751" s="231"/>
      <c r="T1751" s="231"/>
      <c r="U1751" s="231"/>
      <c r="V1751" s="231"/>
      <c r="W1751" s="231"/>
      <c r="X1751" s="227"/>
      <c r="Y1751" s="232"/>
      <c r="Z1751" s="232"/>
      <c r="AA1751" s="232"/>
      <c r="AB1751" s="232"/>
      <c r="AC1751" s="227"/>
      <c r="AD1751" s="227"/>
      <c r="AE1751" s="231"/>
      <c r="AF1751" s="227"/>
      <c r="AG1751" s="232"/>
      <c r="AH1751" s="232"/>
      <c r="AI1751" s="232"/>
      <c r="AJ1751" s="232"/>
      <c r="AK1751" s="232"/>
      <c r="AL1751" s="232"/>
      <c r="AM1751" s="232"/>
      <c r="AN1751" s="232"/>
      <c r="AO1751" s="231"/>
      <c r="AP1751" s="231"/>
      <c r="AQ1751" s="227"/>
      <c r="AR1751" s="231"/>
      <c r="AS1751" s="227"/>
      <c r="AT1751" s="227"/>
      <c r="AU1751" s="227"/>
      <c r="AV1751" s="227"/>
    </row>
    <row r="1752">
      <c r="A1752" s="227"/>
      <c r="B1752" s="232"/>
      <c r="C1752" s="227"/>
      <c r="D1752" s="227"/>
      <c r="E1752" s="231"/>
      <c r="F1752" s="232"/>
      <c r="G1752" s="227"/>
      <c r="H1752" s="227"/>
      <c r="I1752" s="227"/>
      <c r="J1752" s="227"/>
      <c r="K1752" s="227"/>
      <c r="L1752" s="232"/>
      <c r="M1752" s="232"/>
      <c r="N1752" s="227"/>
      <c r="O1752" s="227"/>
      <c r="P1752" s="231"/>
      <c r="Q1752" s="227"/>
      <c r="R1752" s="231"/>
      <c r="S1752" s="231"/>
      <c r="T1752" s="231"/>
      <c r="U1752" s="231"/>
      <c r="V1752" s="231"/>
      <c r="W1752" s="231"/>
      <c r="X1752" s="227"/>
      <c r="Y1752" s="232"/>
      <c r="Z1752" s="232"/>
      <c r="AA1752" s="232"/>
      <c r="AB1752" s="232"/>
      <c r="AC1752" s="227"/>
      <c r="AD1752" s="227"/>
      <c r="AE1752" s="231"/>
      <c r="AF1752" s="227"/>
      <c r="AG1752" s="232"/>
      <c r="AH1752" s="232"/>
      <c r="AI1752" s="232"/>
      <c r="AJ1752" s="232"/>
      <c r="AK1752" s="232"/>
      <c r="AL1752" s="232"/>
      <c r="AM1752" s="232"/>
      <c r="AN1752" s="232"/>
      <c r="AO1752" s="231"/>
      <c r="AP1752" s="231"/>
      <c r="AQ1752" s="227"/>
      <c r="AR1752" s="231"/>
      <c r="AS1752" s="227"/>
      <c r="AT1752" s="227"/>
      <c r="AU1752" s="227"/>
      <c r="AV1752" s="227"/>
    </row>
    <row r="1753">
      <c r="A1753" s="227"/>
      <c r="B1753" s="232"/>
      <c r="C1753" s="227"/>
      <c r="D1753" s="227"/>
      <c r="E1753" s="231"/>
      <c r="F1753" s="232"/>
      <c r="G1753" s="227"/>
      <c r="H1753" s="227"/>
      <c r="I1753" s="227"/>
      <c r="J1753" s="227"/>
      <c r="K1753" s="227"/>
      <c r="L1753" s="232"/>
      <c r="M1753" s="232"/>
      <c r="N1753" s="227"/>
      <c r="O1753" s="227"/>
      <c r="P1753" s="231"/>
      <c r="Q1753" s="227"/>
      <c r="R1753" s="231"/>
      <c r="S1753" s="231"/>
      <c r="T1753" s="231"/>
      <c r="U1753" s="231"/>
      <c r="V1753" s="231"/>
      <c r="W1753" s="231"/>
      <c r="X1753" s="227"/>
      <c r="Y1753" s="232"/>
      <c r="Z1753" s="232"/>
      <c r="AA1753" s="232"/>
      <c r="AB1753" s="232"/>
      <c r="AC1753" s="227"/>
      <c r="AD1753" s="227"/>
      <c r="AE1753" s="231"/>
      <c r="AF1753" s="227"/>
      <c r="AG1753" s="232"/>
      <c r="AH1753" s="232"/>
      <c r="AI1753" s="232"/>
      <c r="AJ1753" s="232"/>
      <c r="AK1753" s="232"/>
      <c r="AL1753" s="232"/>
      <c r="AM1753" s="232"/>
      <c r="AN1753" s="232"/>
      <c r="AO1753" s="231"/>
      <c r="AP1753" s="231"/>
      <c r="AQ1753" s="227"/>
      <c r="AR1753" s="231"/>
      <c r="AS1753" s="227"/>
      <c r="AT1753" s="227"/>
      <c r="AU1753" s="227"/>
      <c r="AV1753" s="227"/>
    </row>
    <row r="1754">
      <c r="A1754" s="227"/>
      <c r="B1754" s="232"/>
      <c r="C1754" s="227"/>
      <c r="D1754" s="227"/>
      <c r="E1754" s="231"/>
      <c r="F1754" s="232"/>
      <c r="G1754" s="227"/>
      <c r="H1754" s="227"/>
      <c r="I1754" s="227"/>
      <c r="J1754" s="227"/>
      <c r="K1754" s="227"/>
      <c r="L1754" s="232"/>
      <c r="M1754" s="232"/>
      <c r="N1754" s="227"/>
      <c r="O1754" s="227"/>
      <c r="P1754" s="231"/>
      <c r="Q1754" s="227"/>
      <c r="R1754" s="231"/>
      <c r="S1754" s="231"/>
      <c r="T1754" s="231"/>
      <c r="U1754" s="231"/>
      <c r="V1754" s="231"/>
      <c r="W1754" s="231"/>
      <c r="X1754" s="227"/>
      <c r="Y1754" s="232"/>
      <c r="Z1754" s="232"/>
      <c r="AA1754" s="232"/>
      <c r="AB1754" s="232"/>
      <c r="AC1754" s="227"/>
      <c r="AD1754" s="227"/>
      <c r="AE1754" s="231"/>
      <c r="AF1754" s="227"/>
      <c r="AG1754" s="232"/>
      <c r="AH1754" s="232"/>
      <c r="AI1754" s="232"/>
      <c r="AJ1754" s="232"/>
      <c r="AK1754" s="232"/>
      <c r="AL1754" s="232"/>
      <c r="AM1754" s="232"/>
      <c r="AN1754" s="232"/>
      <c r="AO1754" s="231"/>
      <c r="AP1754" s="231"/>
      <c r="AQ1754" s="227"/>
      <c r="AR1754" s="231"/>
      <c r="AS1754" s="227"/>
      <c r="AT1754" s="227"/>
      <c r="AU1754" s="227"/>
      <c r="AV1754" s="227"/>
    </row>
    <row r="1755">
      <c r="A1755" s="227"/>
      <c r="B1755" s="232"/>
      <c r="C1755" s="227"/>
      <c r="D1755" s="227"/>
      <c r="E1755" s="231"/>
      <c r="F1755" s="232"/>
      <c r="G1755" s="227"/>
      <c r="H1755" s="227"/>
      <c r="I1755" s="227"/>
      <c r="J1755" s="227"/>
      <c r="K1755" s="227"/>
      <c r="L1755" s="232"/>
      <c r="M1755" s="232"/>
      <c r="N1755" s="227"/>
      <c r="O1755" s="227"/>
      <c r="P1755" s="231"/>
      <c r="Q1755" s="227"/>
      <c r="R1755" s="231"/>
      <c r="S1755" s="231"/>
      <c r="T1755" s="231"/>
      <c r="U1755" s="231"/>
      <c r="V1755" s="231"/>
      <c r="W1755" s="231"/>
      <c r="X1755" s="227"/>
      <c r="Y1755" s="232"/>
      <c r="Z1755" s="232"/>
      <c r="AA1755" s="232"/>
      <c r="AB1755" s="232"/>
      <c r="AC1755" s="227"/>
      <c r="AD1755" s="227"/>
      <c r="AE1755" s="231"/>
      <c r="AF1755" s="227"/>
      <c r="AG1755" s="232"/>
      <c r="AH1755" s="232"/>
      <c r="AI1755" s="232"/>
      <c r="AJ1755" s="232"/>
      <c r="AK1755" s="232"/>
      <c r="AL1755" s="232"/>
      <c r="AM1755" s="232"/>
      <c r="AN1755" s="232"/>
      <c r="AO1755" s="231"/>
      <c r="AP1755" s="231"/>
      <c r="AQ1755" s="227"/>
      <c r="AR1755" s="231"/>
      <c r="AS1755" s="227"/>
      <c r="AT1755" s="227"/>
      <c r="AU1755" s="227"/>
      <c r="AV1755" s="227"/>
    </row>
    <row r="1756">
      <c r="A1756" s="227"/>
      <c r="B1756" s="232"/>
      <c r="C1756" s="227"/>
      <c r="D1756" s="227"/>
      <c r="E1756" s="231"/>
      <c r="F1756" s="232"/>
      <c r="G1756" s="227"/>
      <c r="H1756" s="227"/>
      <c r="I1756" s="227"/>
      <c r="J1756" s="227"/>
      <c r="K1756" s="227"/>
      <c r="L1756" s="232"/>
      <c r="M1756" s="232"/>
      <c r="N1756" s="227"/>
      <c r="O1756" s="227"/>
      <c r="P1756" s="231"/>
      <c r="Q1756" s="227"/>
      <c r="R1756" s="231"/>
      <c r="S1756" s="231"/>
      <c r="T1756" s="231"/>
      <c r="U1756" s="231"/>
      <c r="V1756" s="231"/>
      <c r="W1756" s="231"/>
      <c r="X1756" s="227"/>
      <c r="Y1756" s="232"/>
      <c r="Z1756" s="232"/>
      <c r="AA1756" s="232"/>
      <c r="AB1756" s="232"/>
      <c r="AC1756" s="227"/>
      <c r="AD1756" s="227"/>
      <c r="AE1756" s="231"/>
      <c r="AF1756" s="227"/>
      <c r="AG1756" s="232"/>
      <c r="AH1756" s="232"/>
      <c r="AI1756" s="232"/>
      <c r="AJ1756" s="232"/>
      <c r="AK1756" s="232"/>
      <c r="AL1756" s="232"/>
      <c r="AM1756" s="232"/>
      <c r="AN1756" s="232"/>
      <c r="AO1756" s="231"/>
      <c r="AP1756" s="231"/>
      <c r="AQ1756" s="227"/>
      <c r="AR1756" s="231"/>
      <c r="AS1756" s="227"/>
      <c r="AT1756" s="227"/>
      <c r="AU1756" s="227"/>
      <c r="AV1756" s="227"/>
    </row>
    <row r="1757">
      <c r="A1757" s="227"/>
      <c r="B1757" s="232"/>
      <c r="C1757" s="227"/>
      <c r="D1757" s="227"/>
      <c r="E1757" s="231"/>
      <c r="F1757" s="232"/>
      <c r="G1757" s="227"/>
      <c r="H1757" s="227"/>
      <c r="I1757" s="227"/>
      <c r="J1757" s="227"/>
      <c r="K1757" s="227"/>
      <c r="L1757" s="232"/>
      <c r="M1757" s="232"/>
      <c r="N1757" s="227"/>
      <c r="O1757" s="227"/>
      <c r="P1757" s="231"/>
      <c r="Q1757" s="227"/>
      <c r="R1757" s="231"/>
      <c r="S1757" s="231"/>
      <c r="T1757" s="231"/>
      <c r="U1757" s="231"/>
      <c r="V1757" s="231"/>
      <c r="W1757" s="231"/>
      <c r="X1757" s="227"/>
      <c r="Y1757" s="232"/>
      <c r="Z1757" s="232"/>
      <c r="AA1757" s="232"/>
      <c r="AB1757" s="232"/>
      <c r="AC1757" s="227"/>
      <c r="AD1757" s="227"/>
      <c r="AE1757" s="231"/>
      <c r="AF1757" s="227"/>
      <c r="AG1757" s="232"/>
      <c r="AH1757" s="232"/>
      <c r="AI1757" s="232"/>
      <c r="AJ1757" s="232"/>
      <c r="AK1757" s="232"/>
      <c r="AL1757" s="232"/>
      <c r="AM1757" s="232"/>
      <c r="AN1757" s="232"/>
      <c r="AO1757" s="231"/>
      <c r="AP1757" s="231"/>
      <c r="AQ1757" s="227"/>
      <c r="AR1757" s="231"/>
      <c r="AS1757" s="227"/>
      <c r="AT1757" s="227"/>
      <c r="AU1757" s="227"/>
      <c r="AV1757" s="227"/>
    </row>
    <row r="1758">
      <c r="A1758" s="227"/>
      <c r="B1758" s="232"/>
      <c r="C1758" s="227"/>
      <c r="D1758" s="227"/>
      <c r="E1758" s="231"/>
      <c r="F1758" s="232"/>
      <c r="G1758" s="227"/>
      <c r="H1758" s="227"/>
      <c r="I1758" s="227"/>
      <c r="J1758" s="227"/>
      <c r="K1758" s="227"/>
      <c r="L1758" s="232"/>
      <c r="M1758" s="232"/>
      <c r="N1758" s="227"/>
      <c r="O1758" s="227"/>
      <c r="P1758" s="231"/>
      <c r="Q1758" s="227"/>
      <c r="R1758" s="231"/>
      <c r="S1758" s="231"/>
      <c r="T1758" s="231"/>
      <c r="U1758" s="231"/>
      <c r="V1758" s="231"/>
      <c r="W1758" s="231"/>
      <c r="X1758" s="227"/>
      <c r="Y1758" s="232"/>
      <c r="Z1758" s="232"/>
      <c r="AA1758" s="232"/>
      <c r="AB1758" s="232"/>
      <c r="AC1758" s="227"/>
      <c r="AD1758" s="227"/>
      <c r="AE1758" s="231"/>
      <c r="AF1758" s="227"/>
      <c r="AG1758" s="232"/>
      <c r="AH1758" s="232"/>
      <c r="AI1758" s="232"/>
      <c r="AJ1758" s="232"/>
      <c r="AK1758" s="232"/>
      <c r="AL1758" s="232"/>
      <c r="AM1758" s="232"/>
      <c r="AN1758" s="232"/>
      <c r="AO1758" s="231"/>
      <c r="AP1758" s="231"/>
      <c r="AQ1758" s="227"/>
      <c r="AR1758" s="231"/>
      <c r="AS1758" s="227"/>
      <c r="AT1758" s="227"/>
      <c r="AU1758" s="227"/>
      <c r="AV1758" s="227"/>
    </row>
    <row r="1759">
      <c r="A1759" s="227"/>
      <c r="B1759" s="232"/>
      <c r="C1759" s="227"/>
      <c r="D1759" s="227"/>
      <c r="E1759" s="231"/>
      <c r="F1759" s="232"/>
      <c r="G1759" s="227"/>
      <c r="H1759" s="227"/>
      <c r="I1759" s="227"/>
      <c r="J1759" s="227"/>
      <c r="K1759" s="227"/>
      <c r="L1759" s="232"/>
      <c r="M1759" s="232"/>
      <c r="N1759" s="227"/>
      <c r="O1759" s="227"/>
      <c r="P1759" s="231"/>
      <c r="Q1759" s="227"/>
      <c r="R1759" s="231"/>
      <c r="S1759" s="231"/>
      <c r="T1759" s="231"/>
      <c r="U1759" s="231"/>
      <c r="V1759" s="231"/>
      <c r="W1759" s="231"/>
      <c r="X1759" s="227"/>
      <c r="Y1759" s="232"/>
      <c r="Z1759" s="232"/>
      <c r="AA1759" s="232"/>
      <c r="AB1759" s="232"/>
      <c r="AC1759" s="227"/>
      <c r="AD1759" s="227"/>
      <c r="AE1759" s="231"/>
      <c r="AF1759" s="227"/>
      <c r="AG1759" s="232"/>
      <c r="AH1759" s="232"/>
      <c r="AI1759" s="232"/>
      <c r="AJ1759" s="232"/>
      <c r="AK1759" s="232"/>
      <c r="AL1759" s="232"/>
      <c r="AM1759" s="232"/>
      <c r="AN1759" s="232"/>
      <c r="AO1759" s="231"/>
      <c r="AP1759" s="231"/>
      <c r="AQ1759" s="227"/>
      <c r="AR1759" s="231"/>
      <c r="AS1759" s="227"/>
      <c r="AT1759" s="227"/>
      <c r="AU1759" s="227"/>
      <c r="AV1759" s="227"/>
    </row>
    <row r="1760">
      <c r="A1760" s="227"/>
      <c r="B1760" s="232"/>
      <c r="C1760" s="227"/>
      <c r="D1760" s="227"/>
      <c r="E1760" s="231"/>
      <c r="F1760" s="232"/>
      <c r="G1760" s="227"/>
      <c r="H1760" s="227"/>
      <c r="I1760" s="227"/>
      <c r="J1760" s="227"/>
      <c r="K1760" s="227"/>
      <c r="L1760" s="232"/>
      <c r="M1760" s="232"/>
      <c r="N1760" s="227"/>
      <c r="O1760" s="227"/>
      <c r="P1760" s="231"/>
      <c r="Q1760" s="227"/>
      <c r="R1760" s="231"/>
      <c r="S1760" s="231"/>
      <c r="T1760" s="231"/>
      <c r="U1760" s="231"/>
      <c r="V1760" s="231"/>
      <c r="W1760" s="231"/>
      <c r="X1760" s="227"/>
      <c r="Y1760" s="232"/>
      <c r="Z1760" s="232"/>
      <c r="AA1760" s="232"/>
      <c r="AB1760" s="232"/>
      <c r="AC1760" s="227"/>
      <c r="AD1760" s="227"/>
      <c r="AE1760" s="231"/>
      <c r="AF1760" s="227"/>
      <c r="AG1760" s="232"/>
      <c r="AH1760" s="232"/>
      <c r="AI1760" s="232"/>
      <c r="AJ1760" s="232"/>
      <c r="AK1760" s="232"/>
      <c r="AL1760" s="232"/>
      <c r="AM1760" s="232"/>
      <c r="AN1760" s="232"/>
      <c r="AO1760" s="231"/>
      <c r="AP1760" s="231"/>
      <c r="AQ1760" s="227"/>
      <c r="AR1760" s="231"/>
      <c r="AS1760" s="227"/>
      <c r="AT1760" s="227"/>
      <c r="AU1760" s="227"/>
      <c r="AV1760" s="227"/>
    </row>
    <row r="1761">
      <c r="A1761" s="227"/>
      <c r="B1761" s="232"/>
      <c r="C1761" s="227"/>
      <c r="D1761" s="227"/>
      <c r="E1761" s="231"/>
      <c r="F1761" s="232"/>
      <c r="G1761" s="227"/>
      <c r="H1761" s="227"/>
      <c r="I1761" s="227"/>
      <c r="J1761" s="227"/>
      <c r="K1761" s="227"/>
      <c r="L1761" s="232"/>
      <c r="M1761" s="232"/>
      <c r="N1761" s="227"/>
      <c r="O1761" s="227"/>
      <c r="P1761" s="231"/>
      <c r="Q1761" s="227"/>
      <c r="R1761" s="231"/>
      <c r="S1761" s="231"/>
      <c r="T1761" s="231"/>
      <c r="U1761" s="231"/>
      <c r="V1761" s="231"/>
      <c r="W1761" s="231"/>
      <c r="X1761" s="227"/>
      <c r="Y1761" s="232"/>
      <c r="Z1761" s="232"/>
      <c r="AA1761" s="232"/>
      <c r="AB1761" s="232"/>
      <c r="AC1761" s="227"/>
      <c r="AD1761" s="227"/>
      <c r="AE1761" s="231"/>
      <c r="AF1761" s="227"/>
      <c r="AG1761" s="232"/>
      <c r="AH1761" s="232"/>
      <c r="AI1761" s="232"/>
      <c r="AJ1761" s="232"/>
      <c r="AK1761" s="232"/>
      <c r="AL1761" s="232"/>
      <c r="AM1761" s="232"/>
      <c r="AN1761" s="232"/>
      <c r="AO1761" s="231"/>
      <c r="AP1761" s="231"/>
      <c r="AQ1761" s="227"/>
      <c r="AR1761" s="231"/>
      <c r="AS1761" s="227"/>
      <c r="AT1761" s="227"/>
      <c r="AU1761" s="227"/>
      <c r="AV1761" s="227"/>
    </row>
    <row r="1762">
      <c r="A1762" s="227"/>
      <c r="B1762" s="232"/>
      <c r="C1762" s="227"/>
      <c r="D1762" s="227"/>
      <c r="E1762" s="231"/>
      <c r="F1762" s="232"/>
      <c r="G1762" s="227"/>
      <c r="H1762" s="227"/>
      <c r="I1762" s="227"/>
      <c r="J1762" s="227"/>
      <c r="K1762" s="227"/>
      <c r="L1762" s="232"/>
      <c r="M1762" s="232"/>
      <c r="N1762" s="227"/>
      <c r="O1762" s="227"/>
      <c r="P1762" s="231"/>
      <c r="Q1762" s="227"/>
      <c r="R1762" s="231"/>
      <c r="S1762" s="231"/>
      <c r="T1762" s="231"/>
      <c r="U1762" s="231"/>
      <c r="V1762" s="231"/>
      <c r="W1762" s="231"/>
      <c r="X1762" s="227"/>
      <c r="Y1762" s="232"/>
      <c r="Z1762" s="232"/>
      <c r="AA1762" s="232"/>
      <c r="AB1762" s="232"/>
      <c r="AC1762" s="227"/>
      <c r="AD1762" s="227"/>
      <c r="AE1762" s="231"/>
      <c r="AF1762" s="227"/>
      <c r="AG1762" s="232"/>
      <c r="AH1762" s="232"/>
      <c r="AI1762" s="232"/>
      <c r="AJ1762" s="232"/>
      <c r="AK1762" s="232"/>
      <c r="AL1762" s="232"/>
      <c r="AM1762" s="232"/>
      <c r="AN1762" s="232"/>
      <c r="AO1762" s="231"/>
      <c r="AP1762" s="231"/>
      <c r="AQ1762" s="227"/>
      <c r="AR1762" s="231"/>
      <c r="AS1762" s="227"/>
      <c r="AT1762" s="227"/>
      <c r="AU1762" s="227"/>
      <c r="AV1762" s="227"/>
    </row>
    <row r="1763">
      <c r="A1763" s="227"/>
      <c r="B1763" s="232"/>
      <c r="C1763" s="227"/>
      <c r="D1763" s="227"/>
      <c r="E1763" s="231"/>
      <c r="F1763" s="232"/>
      <c r="G1763" s="227"/>
      <c r="H1763" s="227"/>
      <c r="I1763" s="227"/>
      <c r="J1763" s="227"/>
      <c r="K1763" s="227"/>
      <c r="L1763" s="232"/>
      <c r="M1763" s="232"/>
      <c r="N1763" s="227"/>
      <c r="O1763" s="227"/>
      <c r="P1763" s="231"/>
      <c r="Q1763" s="227"/>
      <c r="R1763" s="231"/>
      <c r="S1763" s="231"/>
      <c r="T1763" s="231"/>
      <c r="U1763" s="231"/>
      <c r="V1763" s="231"/>
      <c r="W1763" s="231"/>
      <c r="X1763" s="227"/>
      <c r="Y1763" s="232"/>
      <c r="Z1763" s="232"/>
      <c r="AA1763" s="232"/>
      <c r="AB1763" s="232"/>
      <c r="AC1763" s="227"/>
      <c r="AD1763" s="227"/>
      <c r="AE1763" s="231"/>
      <c r="AF1763" s="227"/>
      <c r="AG1763" s="232"/>
      <c r="AH1763" s="232"/>
      <c r="AI1763" s="232"/>
      <c r="AJ1763" s="232"/>
      <c r="AK1763" s="232"/>
      <c r="AL1763" s="232"/>
      <c r="AM1763" s="232"/>
      <c r="AN1763" s="232"/>
      <c r="AO1763" s="231"/>
      <c r="AP1763" s="231"/>
      <c r="AQ1763" s="227"/>
      <c r="AR1763" s="231"/>
      <c r="AS1763" s="227"/>
      <c r="AT1763" s="227"/>
      <c r="AU1763" s="227"/>
      <c r="AV1763" s="227"/>
    </row>
    <row r="1764">
      <c r="A1764" s="227"/>
      <c r="B1764" s="232"/>
      <c r="C1764" s="227"/>
      <c r="D1764" s="227"/>
      <c r="E1764" s="231"/>
      <c r="F1764" s="232"/>
      <c r="G1764" s="227"/>
      <c r="H1764" s="227"/>
      <c r="I1764" s="227"/>
      <c r="J1764" s="227"/>
      <c r="K1764" s="227"/>
      <c r="L1764" s="232"/>
      <c r="M1764" s="232"/>
      <c r="N1764" s="227"/>
      <c r="O1764" s="227"/>
      <c r="P1764" s="231"/>
      <c r="Q1764" s="227"/>
      <c r="R1764" s="231"/>
      <c r="S1764" s="231"/>
      <c r="T1764" s="231"/>
      <c r="U1764" s="231"/>
      <c r="V1764" s="231"/>
      <c r="W1764" s="231"/>
      <c r="X1764" s="227"/>
      <c r="Y1764" s="232"/>
      <c r="Z1764" s="232"/>
      <c r="AA1764" s="232"/>
      <c r="AB1764" s="232"/>
      <c r="AC1764" s="227"/>
      <c r="AD1764" s="227"/>
      <c r="AE1764" s="231"/>
      <c r="AF1764" s="227"/>
      <c r="AG1764" s="232"/>
      <c r="AH1764" s="232"/>
      <c r="AI1764" s="232"/>
      <c r="AJ1764" s="232"/>
      <c r="AK1764" s="232"/>
      <c r="AL1764" s="232"/>
      <c r="AM1764" s="232"/>
      <c r="AN1764" s="232"/>
      <c r="AO1764" s="231"/>
      <c r="AP1764" s="231"/>
      <c r="AQ1764" s="227"/>
      <c r="AR1764" s="231"/>
      <c r="AS1764" s="227"/>
      <c r="AT1764" s="227"/>
      <c r="AU1764" s="227"/>
      <c r="AV1764" s="227"/>
    </row>
    <row r="1765">
      <c r="A1765" s="227"/>
      <c r="B1765" s="232"/>
      <c r="C1765" s="227"/>
      <c r="D1765" s="227"/>
      <c r="E1765" s="231"/>
      <c r="F1765" s="232"/>
      <c r="G1765" s="227"/>
      <c r="H1765" s="227"/>
      <c r="I1765" s="227"/>
      <c r="J1765" s="227"/>
      <c r="K1765" s="227"/>
      <c r="L1765" s="232"/>
      <c r="M1765" s="232"/>
      <c r="N1765" s="227"/>
      <c r="O1765" s="227"/>
      <c r="P1765" s="231"/>
      <c r="Q1765" s="227"/>
      <c r="R1765" s="231"/>
      <c r="S1765" s="231"/>
      <c r="T1765" s="231"/>
      <c r="U1765" s="231"/>
      <c r="V1765" s="231"/>
      <c r="W1765" s="231"/>
      <c r="X1765" s="227"/>
      <c r="Y1765" s="232"/>
      <c r="Z1765" s="232"/>
      <c r="AA1765" s="232"/>
      <c r="AB1765" s="232"/>
      <c r="AC1765" s="227"/>
      <c r="AD1765" s="227"/>
      <c r="AE1765" s="231"/>
      <c r="AF1765" s="227"/>
      <c r="AG1765" s="232"/>
      <c r="AH1765" s="232"/>
      <c r="AI1765" s="232"/>
      <c r="AJ1765" s="232"/>
      <c r="AK1765" s="232"/>
      <c r="AL1765" s="232"/>
      <c r="AM1765" s="232"/>
      <c r="AN1765" s="232"/>
      <c r="AO1765" s="231"/>
      <c r="AP1765" s="231"/>
      <c r="AQ1765" s="227"/>
      <c r="AR1765" s="231"/>
      <c r="AS1765" s="227"/>
      <c r="AT1765" s="227"/>
      <c r="AU1765" s="227"/>
      <c r="AV1765" s="227"/>
    </row>
    <row r="1766">
      <c r="A1766" s="227"/>
      <c r="B1766" s="232"/>
      <c r="C1766" s="227"/>
      <c r="D1766" s="227"/>
      <c r="E1766" s="231"/>
      <c r="F1766" s="232"/>
      <c r="G1766" s="227"/>
      <c r="H1766" s="227"/>
      <c r="I1766" s="227"/>
      <c r="J1766" s="227"/>
      <c r="K1766" s="227"/>
      <c r="L1766" s="232"/>
      <c r="M1766" s="232"/>
      <c r="N1766" s="227"/>
      <c r="O1766" s="227"/>
      <c r="P1766" s="231"/>
      <c r="Q1766" s="227"/>
      <c r="R1766" s="231"/>
      <c r="S1766" s="231"/>
      <c r="T1766" s="231"/>
      <c r="U1766" s="231"/>
      <c r="V1766" s="231"/>
      <c r="W1766" s="231"/>
      <c r="X1766" s="227"/>
      <c r="Y1766" s="232"/>
      <c r="Z1766" s="232"/>
      <c r="AA1766" s="232"/>
      <c r="AB1766" s="232"/>
      <c r="AC1766" s="227"/>
      <c r="AD1766" s="227"/>
      <c r="AE1766" s="231"/>
      <c r="AF1766" s="227"/>
      <c r="AG1766" s="232"/>
      <c r="AH1766" s="232"/>
      <c r="AI1766" s="232"/>
      <c r="AJ1766" s="232"/>
      <c r="AK1766" s="232"/>
      <c r="AL1766" s="232"/>
      <c r="AM1766" s="232"/>
      <c r="AN1766" s="232"/>
      <c r="AO1766" s="231"/>
      <c r="AP1766" s="231"/>
      <c r="AQ1766" s="227"/>
      <c r="AR1766" s="231"/>
      <c r="AS1766" s="227"/>
      <c r="AT1766" s="227"/>
      <c r="AU1766" s="227"/>
      <c r="AV1766" s="227"/>
    </row>
    <row r="1767">
      <c r="A1767" s="227"/>
      <c r="B1767" s="232"/>
      <c r="C1767" s="227"/>
      <c r="D1767" s="227"/>
      <c r="E1767" s="231"/>
      <c r="F1767" s="232"/>
      <c r="G1767" s="227"/>
      <c r="H1767" s="227"/>
      <c r="I1767" s="227"/>
      <c r="J1767" s="227"/>
      <c r="K1767" s="227"/>
      <c r="L1767" s="232"/>
      <c r="M1767" s="232"/>
      <c r="N1767" s="227"/>
      <c r="O1767" s="227"/>
      <c r="P1767" s="231"/>
      <c r="Q1767" s="227"/>
      <c r="R1767" s="231"/>
      <c r="S1767" s="231"/>
      <c r="T1767" s="231"/>
      <c r="U1767" s="231"/>
      <c r="V1767" s="231"/>
      <c r="W1767" s="231"/>
      <c r="X1767" s="227"/>
      <c r="Y1767" s="232"/>
      <c r="Z1767" s="232"/>
      <c r="AA1767" s="232"/>
      <c r="AB1767" s="232"/>
      <c r="AC1767" s="227"/>
      <c r="AD1767" s="227"/>
      <c r="AE1767" s="231"/>
      <c r="AF1767" s="227"/>
      <c r="AG1767" s="232"/>
      <c r="AH1767" s="232"/>
      <c r="AI1767" s="232"/>
      <c r="AJ1767" s="232"/>
      <c r="AK1767" s="232"/>
      <c r="AL1767" s="232"/>
      <c r="AM1767" s="232"/>
      <c r="AN1767" s="232"/>
      <c r="AO1767" s="231"/>
      <c r="AP1767" s="231"/>
      <c r="AQ1767" s="227"/>
      <c r="AR1767" s="231"/>
      <c r="AS1767" s="227"/>
      <c r="AT1767" s="227"/>
      <c r="AU1767" s="227"/>
      <c r="AV1767" s="227"/>
    </row>
    <row r="1768">
      <c r="A1768" s="227"/>
      <c r="B1768" s="232"/>
      <c r="C1768" s="227"/>
      <c r="D1768" s="227"/>
      <c r="E1768" s="231"/>
      <c r="F1768" s="232"/>
      <c r="G1768" s="227"/>
      <c r="H1768" s="227"/>
      <c r="I1768" s="227"/>
      <c r="J1768" s="227"/>
      <c r="K1768" s="227"/>
      <c r="L1768" s="232"/>
      <c r="M1768" s="232"/>
      <c r="N1768" s="227"/>
      <c r="O1768" s="227"/>
      <c r="P1768" s="231"/>
      <c r="Q1768" s="227"/>
      <c r="R1768" s="231"/>
      <c r="S1768" s="231"/>
      <c r="T1768" s="231"/>
      <c r="U1768" s="231"/>
      <c r="V1768" s="231"/>
      <c r="W1768" s="231"/>
      <c r="X1768" s="227"/>
      <c r="Y1768" s="232"/>
      <c r="Z1768" s="232"/>
      <c r="AA1768" s="232"/>
      <c r="AB1768" s="232"/>
      <c r="AC1768" s="227"/>
      <c r="AD1768" s="227"/>
      <c r="AE1768" s="231"/>
      <c r="AF1768" s="227"/>
      <c r="AG1768" s="232"/>
      <c r="AH1768" s="232"/>
      <c r="AI1768" s="232"/>
      <c r="AJ1768" s="232"/>
      <c r="AK1768" s="232"/>
      <c r="AL1768" s="232"/>
      <c r="AM1768" s="232"/>
      <c r="AN1768" s="232"/>
      <c r="AO1768" s="231"/>
      <c r="AP1768" s="231"/>
      <c r="AQ1768" s="227"/>
      <c r="AR1768" s="231"/>
      <c r="AS1768" s="227"/>
      <c r="AT1768" s="227"/>
      <c r="AU1768" s="227"/>
      <c r="AV1768" s="227"/>
    </row>
    <row r="1769">
      <c r="A1769" s="227"/>
      <c r="B1769" s="232"/>
      <c r="C1769" s="227"/>
      <c r="D1769" s="227"/>
      <c r="E1769" s="231"/>
      <c r="F1769" s="232"/>
      <c r="G1769" s="227"/>
      <c r="H1769" s="227"/>
      <c r="I1769" s="227"/>
      <c r="J1769" s="227"/>
      <c r="K1769" s="227"/>
      <c r="L1769" s="232"/>
      <c r="M1769" s="232"/>
      <c r="N1769" s="227"/>
      <c r="O1769" s="227"/>
      <c r="P1769" s="231"/>
      <c r="Q1769" s="227"/>
      <c r="R1769" s="231"/>
      <c r="S1769" s="231"/>
      <c r="T1769" s="231"/>
      <c r="U1769" s="231"/>
      <c r="V1769" s="231"/>
      <c r="W1769" s="231"/>
      <c r="X1769" s="227"/>
      <c r="Y1769" s="232"/>
      <c r="Z1769" s="232"/>
      <c r="AA1769" s="232"/>
      <c r="AB1769" s="232"/>
      <c r="AC1769" s="227"/>
      <c r="AD1769" s="227"/>
      <c r="AE1769" s="231"/>
      <c r="AF1769" s="227"/>
      <c r="AG1769" s="232"/>
      <c r="AH1769" s="232"/>
      <c r="AI1769" s="232"/>
      <c r="AJ1769" s="232"/>
      <c r="AK1769" s="232"/>
      <c r="AL1769" s="232"/>
      <c r="AM1769" s="232"/>
      <c r="AN1769" s="232"/>
      <c r="AO1769" s="231"/>
      <c r="AP1769" s="231"/>
      <c r="AQ1769" s="227"/>
      <c r="AR1769" s="231"/>
      <c r="AS1769" s="227"/>
      <c r="AT1769" s="227"/>
      <c r="AU1769" s="227"/>
      <c r="AV1769" s="227"/>
    </row>
    <row r="1770">
      <c r="A1770" s="227"/>
      <c r="B1770" s="232"/>
      <c r="C1770" s="227"/>
      <c r="D1770" s="227"/>
      <c r="E1770" s="231"/>
      <c r="F1770" s="232"/>
      <c r="G1770" s="227"/>
      <c r="H1770" s="227"/>
      <c r="I1770" s="227"/>
      <c r="J1770" s="227"/>
      <c r="K1770" s="227"/>
      <c r="L1770" s="232"/>
      <c r="M1770" s="232"/>
      <c r="N1770" s="227"/>
      <c r="O1770" s="227"/>
      <c r="P1770" s="231"/>
      <c r="Q1770" s="227"/>
      <c r="R1770" s="231"/>
      <c r="S1770" s="231"/>
      <c r="T1770" s="231"/>
      <c r="U1770" s="231"/>
      <c r="V1770" s="231"/>
      <c r="W1770" s="231"/>
      <c r="X1770" s="227"/>
      <c r="Y1770" s="232"/>
      <c r="Z1770" s="232"/>
      <c r="AA1770" s="232"/>
      <c r="AB1770" s="232"/>
      <c r="AC1770" s="227"/>
      <c r="AD1770" s="227"/>
      <c r="AE1770" s="231"/>
      <c r="AF1770" s="227"/>
      <c r="AG1770" s="232"/>
      <c r="AH1770" s="232"/>
      <c r="AI1770" s="232"/>
      <c r="AJ1770" s="232"/>
      <c r="AK1770" s="232"/>
      <c r="AL1770" s="232"/>
      <c r="AM1770" s="232"/>
      <c r="AN1770" s="232"/>
      <c r="AO1770" s="231"/>
      <c r="AP1770" s="231"/>
      <c r="AQ1770" s="227"/>
      <c r="AR1770" s="231"/>
      <c r="AS1770" s="227"/>
      <c r="AT1770" s="227"/>
      <c r="AU1770" s="227"/>
      <c r="AV1770" s="227"/>
    </row>
    <row r="1771">
      <c r="A1771" s="227"/>
      <c r="B1771" s="232"/>
      <c r="C1771" s="227"/>
      <c r="D1771" s="227"/>
      <c r="E1771" s="231"/>
      <c r="F1771" s="232"/>
      <c r="G1771" s="227"/>
      <c r="H1771" s="227"/>
      <c r="I1771" s="227"/>
      <c r="J1771" s="227"/>
      <c r="K1771" s="227"/>
      <c r="L1771" s="232"/>
      <c r="M1771" s="232"/>
      <c r="N1771" s="227"/>
      <c r="O1771" s="227"/>
      <c r="P1771" s="231"/>
      <c r="Q1771" s="227"/>
      <c r="R1771" s="231"/>
      <c r="S1771" s="231"/>
      <c r="T1771" s="231"/>
      <c r="U1771" s="231"/>
      <c r="V1771" s="231"/>
      <c r="W1771" s="231"/>
      <c r="X1771" s="227"/>
      <c r="Y1771" s="232"/>
      <c r="Z1771" s="232"/>
      <c r="AA1771" s="232"/>
      <c r="AB1771" s="232"/>
      <c r="AC1771" s="227"/>
      <c r="AD1771" s="227"/>
      <c r="AE1771" s="231"/>
      <c r="AF1771" s="227"/>
      <c r="AG1771" s="232"/>
      <c r="AH1771" s="232"/>
      <c r="AI1771" s="232"/>
      <c r="AJ1771" s="232"/>
      <c r="AK1771" s="232"/>
      <c r="AL1771" s="232"/>
      <c r="AM1771" s="232"/>
      <c r="AN1771" s="232"/>
      <c r="AO1771" s="231"/>
      <c r="AP1771" s="231"/>
      <c r="AQ1771" s="227"/>
      <c r="AR1771" s="231"/>
      <c r="AS1771" s="227"/>
      <c r="AT1771" s="227"/>
      <c r="AU1771" s="227"/>
      <c r="AV1771" s="227"/>
    </row>
    <row r="1772">
      <c r="A1772" s="227"/>
      <c r="B1772" s="232"/>
      <c r="C1772" s="227"/>
      <c r="D1772" s="227"/>
      <c r="E1772" s="231"/>
      <c r="F1772" s="232"/>
      <c r="G1772" s="227"/>
      <c r="H1772" s="227"/>
      <c r="I1772" s="227"/>
      <c r="J1772" s="227"/>
      <c r="K1772" s="227"/>
      <c r="L1772" s="232"/>
      <c r="M1772" s="232"/>
      <c r="N1772" s="227"/>
      <c r="O1772" s="227"/>
      <c r="P1772" s="231"/>
      <c r="Q1772" s="227"/>
      <c r="R1772" s="231"/>
      <c r="S1772" s="231"/>
      <c r="T1772" s="231"/>
      <c r="U1772" s="231"/>
      <c r="V1772" s="231"/>
      <c r="W1772" s="231"/>
      <c r="X1772" s="227"/>
      <c r="Y1772" s="232"/>
      <c r="Z1772" s="232"/>
      <c r="AA1772" s="232"/>
      <c r="AB1772" s="232"/>
      <c r="AC1772" s="227"/>
      <c r="AD1772" s="227"/>
      <c r="AE1772" s="231"/>
      <c r="AF1772" s="227"/>
      <c r="AG1772" s="232"/>
      <c r="AH1772" s="232"/>
      <c r="AI1772" s="232"/>
      <c r="AJ1772" s="232"/>
      <c r="AK1772" s="232"/>
      <c r="AL1772" s="232"/>
      <c r="AM1772" s="232"/>
      <c r="AN1772" s="232"/>
      <c r="AO1772" s="231"/>
      <c r="AP1772" s="231"/>
      <c r="AQ1772" s="227"/>
      <c r="AR1772" s="231"/>
      <c r="AS1772" s="227"/>
      <c r="AT1772" s="227"/>
      <c r="AU1772" s="227"/>
      <c r="AV1772" s="227"/>
    </row>
    <row r="1773">
      <c r="A1773" s="227"/>
      <c r="B1773" s="232"/>
      <c r="C1773" s="227"/>
      <c r="D1773" s="227"/>
      <c r="E1773" s="231"/>
      <c r="F1773" s="232"/>
      <c r="G1773" s="227"/>
      <c r="H1773" s="227"/>
      <c r="I1773" s="227"/>
      <c r="J1773" s="227"/>
      <c r="K1773" s="227"/>
      <c r="L1773" s="232"/>
      <c r="M1773" s="232"/>
      <c r="N1773" s="227"/>
      <c r="O1773" s="227"/>
      <c r="P1773" s="231"/>
      <c r="Q1773" s="227"/>
      <c r="R1773" s="231"/>
      <c r="S1773" s="231"/>
      <c r="T1773" s="231"/>
      <c r="U1773" s="231"/>
      <c r="V1773" s="231"/>
      <c r="W1773" s="231"/>
      <c r="X1773" s="227"/>
      <c r="Y1773" s="232"/>
      <c r="Z1773" s="232"/>
      <c r="AA1773" s="232"/>
      <c r="AB1773" s="232"/>
      <c r="AC1773" s="227"/>
      <c r="AD1773" s="227"/>
      <c r="AE1773" s="231"/>
      <c r="AF1773" s="227"/>
      <c r="AG1773" s="232"/>
      <c r="AH1773" s="232"/>
      <c r="AI1773" s="232"/>
      <c r="AJ1773" s="232"/>
      <c r="AK1773" s="232"/>
      <c r="AL1773" s="232"/>
      <c r="AM1773" s="232"/>
      <c r="AN1773" s="232"/>
      <c r="AO1773" s="231"/>
      <c r="AP1773" s="231"/>
      <c r="AQ1773" s="227"/>
      <c r="AR1773" s="231"/>
      <c r="AS1773" s="227"/>
      <c r="AT1773" s="227"/>
      <c r="AU1773" s="227"/>
      <c r="AV1773" s="227"/>
    </row>
    <row r="1774">
      <c r="A1774" s="227"/>
      <c r="B1774" s="232"/>
      <c r="C1774" s="227"/>
      <c r="D1774" s="227"/>
      <c r="E1774" s="231"/>
      <c r="F1774" s="232"/>
      <c r="G1774" s="227"/>
      <c r="H1774" s="227"/>
      <c r="I1774" s="227"/>
      <c r="J1774" s="227"/>
      <c r="K1774" s="227"/>
      <c r="L1774" s="232"/>
      <c r="M1774" s="232"/>
      <c r="N1774" s="227"/>
      <c r="O1774" s="227"/>
      <c r="P1774" s="231"/>
      <c r="Q1774" s="227"/>
      <c r="R1774" s="231"/>
      <c r="S1774" s="231"/>
      <c r="T1774" s="231"/>
      <c r="U1774" s="231"/>
      <c r="V1774" s="231"/>
      <c r="W1774" s="231"/>
      <c r="X1774" s="227"/>
      <c r="Y1774" s="232"/>
      <c r="Z1774" s="232"/>
      <c r="AA1774" s="232"/>
      <c r="AB1774" s="232"/>
      <c r="AC1774" s="227"/>
      <c r="AD1774" s="227"/>
      <c r="AE1774" s="231"/>
      <c r="AF1774" s="227"/>
      <c r="AG1774" s="232"/>
      <c r="AH1774" s="232"/>
      <c r="AI1774" s="232"/>
      <c r="AJ1774" s="232"/>
      <c r="AK1774" s="232"/>
      <c r="AL1774" s="232"/>
      <c r="AM1774" s="232"/>
      <c r="AN1774" s="232"/>
      <c r="AO1774" s="231"/>
      <c r="AP1774" s="231"/>
      <c r="AQ1774" s="227"/>
      <c r="AR1774" s="231"/>
      <c r="AS1774" s="227"/>
      <c r="AT1774" s="227"/>
      <c r="AU1774" s="227"/>
      <c r="AV1774" s="227"/>
    </row>
    <row r="1775">
      <c r="A1775" s="227"/>
      <c r="B1775" s="232"/>
      <c r="C1775" s="227"/>
      <c r="D1775" s="227"/>
      <c r="E1775" s="231"/>
      <c r="F1775" s="232"/>
      <c r="G1775" s="227"/>
      <c r="H1775" s="227"/>
      <c r="I1775" s="227"/>
      <c r="J1775" s="227"/>
      <c r="K1775" s="227"/>
      <c r="L1775" s="232"/>
      <c r="M1775" s="232"/>
      <c r="N1775" s="227"/>
      <c r="O1775" s="227"/>
      <c r="P1775" s="231"/>
      <c r="Q1775" s="227"/>
      <c r="R1775" s="231"/>
      <c r="S1775" s="231"/>
      <c r="T1775" s="231"/>
      <c r="U1775" s="231"/>
      <c r="V1775" s="231"/>
      <c r="W1775" s="231"/>
      <c r="X1775" s="227"/>
      <c r="Y1775" s="232"/>
      <c r="Z1775" s="232"/>
      <c r="AA1775" s="232"/>
      <c r="AB1775" s="232"/>
      <c r="AC1775" s="227"/>
      <c r="AD1775" s="227"/>
      <c r="AE1775" s="231"/>
      <c r="AF1775" s="227"/>
      <c r="AG1775" s="232"/>
      <c r="AH1775" s="232"/>
      <c r="AI1775" s="232"/>
      <c r="AJ1775" s="232"/>
      <c r="AK1775" s="232"/>
      <c r="AL1775" s="232"/>
      <c r="AM1775" s="232"/>
      <c r="AN1775" s="232"/>
      <c r="AO1775" s="231"/>
      <c r="AP1775" s="231"/>
      <c r="AQ1775" s="227"/>
      <c r="AR1775" s="231"/>
      <c r="AS1775" s="227"/>
      <c r="AT1775" s="227"/>
      <c r="AU1775" s="227"/>
      <c r="AV1775" s="227"/>
    </row>
    <row r="1776">
      <c r="A1776" s="227"/>
      <c r="B1776" s="232"/>
      <c r="C1776" s="227"/>
      <c r="D1776" s="227"/>
      <c r="E1776" s="231"/>
      <c r="F1776" s="232"/>
      <c r="G1776" s="227"/>
      <c r="H1776" s="227"/>
      <c r="I1776" s="227"/>
      <c r="J1776" s="227"/>
      <c r="K1776" s="227"/>
      <c r="L1776" s="232"/>
      <c r="M1776" s="232"/>
      <c r="N1776" s="227"/>
      <c r="O1776" s="227"/>
      <c r="P1776" s="231"/>
      <c r="Q1776" s="227"/>
      <c r="R1776" s="231"/>
      <c r="S1776" s="231"/>
      <c r="T1776" s="231"/>
      <c r="U1776" s="231"/>
      <c r="V1776" s="231"/>
      <c r="W1776" s="231"/>
      <c r="X1776" s="227"/>
      <c r="Y1776" s="232"/>
      <c r="Z1776" s="232"/>
      <c r="AA1776" s="232"/>
      <c r="AB1776" s="232"/>
      <c r="AC1776" s="227"/>
      <c r="AD1776" s="227"/>
      <c r="AE1776" s="231"/>
      <c r="AF1776" s="227"/>
      <c r="AG1776" s="232"/>
      <c r="AH1776" s="232"/>
      <c r="AI1776" s="232"/>
      <c r="AJ1776" s="232"/>
      <c r="AK1776" s="232"/>
      <c r="AL1776" s="232"/>
      <c r="AM1776" s="232"/>
      <c r="AN1776" s="232"/>
      <c r="AO1776" s="231"/>
      <c r="AP1776" s="231"/>
      <c r="AQ1776" s="227"/>
      <c r="AR1776" s="231"/>
      <c r="AS1776" s="227"/>
      <c r="AT1776" s="227"/>
      <c r="AU1776" s="227"/>
      <c r="AV1776" s="227"/>
    </row>
    <row r="1777">
      <c r="A1777" s="227"/>
      <c r="B1777" s="232"/>
      <c r="C1777" s="227"/>
      <c r="D1777" s="227"/>
      <c r="E1777" s="231"/>
      <c r="F1777" s="232"/>
      <c r="G1777" s="227"/>
      <c r="H1777" s="227"/>
      <c r="I1777" s="227"/>
      <c r="J1777" s="227"/>
      <c r="K1777" s="227"/>
      <c r="L1777" s="232"/>
      <c r="M1777" s="232"/>
      <c r="N1777" s="227"/>
      <c r="O1777" s="227"/>
      <c r="P1777" s="231"/>
      <c r="Q1777" s="227"/>
      <c r="R1777" s="231"/>
      <c r="S1777" s="231"/>
      <c r="T1777" s="231"/>
      <c r="U1777" s="231"/>
      <c r="V1777" s="231"/>
      <c r="W1777" s="231"/>
      <c r="X1777" s="227"/>
      <c r="Y1777" s="232"/>
      <c r="Z1777" s="232"/>
      <c r="AA1777" s="232"/>
      <c r="AB1777" s="232"/>
      <c r="AC1777" s="227"/>
      <c r="AD1777" s="227"/>
      <c r="AE1777" s="231"/>
      <c r="AF1777" s="227"/>
      <c r="AG1777" s="232"/>
      <c r="AH1777" s="232"/>
      <c r="AI1777" s="232"/>
      <c r="AJ1777" s="232"/>
      <c r="AK1777" s="232"/>
      <c r="AL1777" s="232"/>
      <c r="AM1777" s="232"/>
      <c r="AN1777" s="232"/>
      <c r="AO1777" s="231"/>
      <c r="AP1777" s="231"/>
      <c r="AQ1777" s="227"/>
      <c r="AR1777" s="231"/>
      <c r="AS1777" s="227"/>
      <c r="AT1777" s="227"/>
      <c r="AU1777" s="227"/>
      <c r="AV1777" s="227"/>
    </row>
    <row r="1778">
      <c r="A1778" s="227"/>
      <c r="B1778" s="232"/>
      <c r="C1778" s="227"/>
      <c r="D1778" s="227"/>
      <c r="E1778" s="231"/>
      <c r="F1778" s="232"/>
      <c r="G1778" s="227"/>
      <c r="H1778" s="227"/>
      <c r="I1778" s="227"/>
      <c r="J1778" s="227"/>
      <c r="K1778" s="227"/>
      <c r="L1778" s="232"/>
      <c r="M1778" s="232"/>
      <c r="N1778" s="227"/>
      <c r="O1778" s="227"/>
      <c r="P1778" s="231"/>
      <c r="Q1778" s="227"/>
      <c r="R1778" s="231"/>
      <c r="S1778" s="231"/>
      <c r="T1778" s="231"/>
      <c r="U1778" s="231"/>
      <c r="V1778" s="231"/>
      <c r="W1778" s="231"/>
      <c r="X1778" s="227"/>
      <c r="Y1778" s="232"/>
      <c r="Z1778" s="232"/>
      <c r="AA1778" s="232"/>
      <c r="AB1778" s="232"/>
      <c r="AC1778" s="227"/>
      <c r="AD1778" s="227"/>
      <c r="AE1778" s="231"/>
      <c r="AF1778" s="227"/>
      <c r="AG1778" s="232"/>
      <c r="AH1778" s="232"/>
      <c r="AI1778" s="232"/>
      <c r="AJ1778" s="232"/>
      <c r="AK1778" s="232"/>
      <c r="AL1778" s="232"/>
      <c r="AM1778" s="232"/>
      <c r="AN1778" s="232"/>
      <c r="AO1778" s="231"/>
      <c r="AP1778" s="231"/>
      <c r="AQ1778" s="227"/>
      <c r="AR1778" s="231"/>
      <c r="AS1778" s="227"/>
      <c r="AT1778" s="227"/>
      <c r="AU1778" s="227"/>
      <c r="AV1778" s="227"/>
    </row>
    <row r="1779">
      <c r="A1779" s="227"/>
      <c r="B1779" s="232"/>
      <c r="C1779" s="227"/>
      <c r="D1779" s="227"/>
      <c r="E1779" s="231"/>
      <c r="F1779" s="232"/>
      <c r="G1779" s="227"/>
      <c r="H1779" s="227"/>
      <c r="I1779" s="227"/>
      <c r="J1779" s="227"/>
      <c r="K1779" s="227"/>
      <c r="L1779" s="232"/>
      <c r="M1779" s="232"/>
      <c r="N1779" s="227"/>
      <c r="O1779" s="227"/>
      <c r="P1779" s="231"/>
      <c r="Q1779" s="227"/>
      <c r="R1779" s="231"/>
      <c r="S1779" s="231"/>
      <c r="T1779" s="231"/>
      <c r="U1779" s="231"/>
      <c r="V1779" s="231"/>
      <c r="W1779" s="231"/>
      <c r="X1779" s="227"/>
      <c r="Y1779" s="232"/>
      <c r="Z1779" s="232"/>
      <c r="AA1779" s="232"/>
      <c r="AB1779" s="232"/>
      <c r="AC1779" s="227"/>
      <c r="AD1779" s="227"/>
      <c r="AE1779" s="231"/>
      <c r="AF1779" s="227"/>
      <c r="AG1779" s="232"/>
      <c r="AH1779" s="232"/>
      <c r="AI1779" s="232"/>
      <c r="AJ1779" s="232"/>
      <c r="AK1779" s="232"/>
      <c r="AL1779" s="232"/>
      <c r="AM1779" s="232"/>
      <c r="AN1779" s="232"/>
      <c r="AO1779" s="231"/>
      <c r="AP1779" s="231"/>
      <c r="AQ1779" s="227"/>
      <c r="AR1779" s="231"/>
      <c r="AS1779" s="227"/>
      <c r="AT1779" s="227"/>
      <c r="AU1779" s="227"/>
      <c r="AV1779" s="227"/>
    </row>
    <row r="1780">
      <c r="A1780" s="227"/>
      <c r="B1780" s="232"/>
      <c r="C1780" s="227"/>
      <c r="D1780" s="227"/>
      <c r="E1780" s="231"/>
      <c r="F1780" s="232"/>
      <c r="G1780" s="227"/>
      <c r="H1780" s="227"/>
      <c r="I1780" s="227"/>
      <c r="J1780" s="227"/>
      <c r="K1780" s="227"/>
      <c r="L1780" s="232"/>
      <c r="M1780" s="232"/>
      <c r="N1780" s="227"/>
      <c r="O1780" s="227"/>
      <c r="P1780" s="231"/>
      <c r="Q1780" s="227"/>
      <c r="R1780" s="231"/>
      <c r="S1780" s="231"/>
      <c r="T1780" s="231"/>
      <c r="U1780" s="231"/>
      <c r="V1780" s="231"/>
      <c r="W1780" s="231"/>
      <c r="X1780" s="227"/>
      <c r="Y1780" s="232"/>
      <c r="Z1780" s="232"/>
      <c r="AA1780" s="232"/>
      <c r="AB1780" s="232"/>
      <c r="AC1780" s="227"/>
      <c r="AD1780" s="227"/>
      <c r="AE1780" s="231"/>
      <c r="AF1780" s="227"/>
      <c r="AG1780" s="232"/>
      <c r="AH1780" s="232"/>
      <c r="AI1780" s="232"/>
      <c r="AJ1780" s="232"/>
      <c r="AK1780" s="232"/>
      <c r="AL1780" s="232"/>
      <c r="AM1780" s="232"/>
      <c r="AN1780" s="232"/>
      <c r="AO1780" s="231"/>
      <c r="AP1780" s="231"/>
      <c r="AQ1780" s="227"/>
      <c r="AR1780" s="231"/>
      <c r="AS1780" s="227"/>
      <c r="AT1780" s="227"/>
      <c r="AU1780" s="227"/>
      <c r="AV1780" s="227"/>
    </row>
    <row r="1781">
      <c r="A1781" s="227"/>
      <c r="B1781" s="232"/>
      <c r="C1781" s="227"/>
      <c r="D1781" s="227"/>
      <c r="E1781" s="231"/>
      <c r="F1781" s="232"/>
      <c r="G1781" s="227"/>
      <c r="H1781" s="227"/>
      <c r="I1781" s="227"/>
      <c r="J1781" s="227"/>
      <c r="K1781" s="227"/>
      <c r="L1781" s="232"/>
      <c r="M1781" s="232"/>
      <c r="N1781" s="227"/>
      <c r="O1781" s="227"/>
      <c r="P1781" s="231"/>
      <c r="Q1781" s="227"/>
      <c r="R1781" s="231"/>
      <c r="S1781" s="231"/>
      <c r="T1781" s="231"/>
      <c r="U1781" s="231"/>
      <c r="V1781" s="231"/>
      <c r="W1781" s="231"/>
      <c r="X1781" s="227"/>
      <c r="Y1781" s="232"/>
      <c r="Z1781" s="232"/>
      <c r="AA1781" s="232"/>
      <c r="AB1781" s="232"/>
      <c r="AC1781" s="227"/>
      <c r="AD1781" s="227"/>
      <c r="AE1781" s="231"/>
      <c r="AF1781" s="227"/>
      <c r="AG1781" s="232"/>
      <c r="AH1781" s="232"/>
      <c r="AI1781" s="232"/>
      <c r="AJ1781" s="232"/>
      <c r="AK1781" s="232"/>
      <c r="AL1781" s="232"/>
      <c r="AM1781" s="232"/>
      <c r="AN1781" s="232"/>
      <c r="AO1781" s="231"/>
      <c r="AP1781" s="231"/>
      <c r="AQ1781" s="227"/>
      <c r="AR1781" s="231"/>
      <c r="AS1781" s="227"/>
      <c r="AT1781" s="227"/>
      <c r="AU1781" s="227"/>
      <c r="AV1781" s="227"/>
    </row>
    <row r="1782">
      <c r="A1782" s="227"/>
      <c r="B1782" s="232"/>
      <c r="C1782" s="227"/>
      <c r="D1782" s="227"/>
      <c r="E1782" s="231"/>
      <c r="F1782" s="232"/>
      <c r="G1782" s="227"/>
      <c r="H1782" s="227"/>
      <c r="I1782" s="227"/>
      <c r="J1782" s="227"/>
      <c r="K1782" s="227"/>
      <c r="L1782" s="232"/>
      <c r="M1782" s="232"/>
      <c r="N1782" s="227"/>
      <c r="O1782" s="227"/>
      <c r="P1782" s="231"/>
      <c r="Q1782" s="227"/>
      <c r="R1782" s="231"/>
      <c r="S1782" s="231"/>
      <c r="T1782" s="231"/>
      <c r="U1782" s="231"/>
      <c r="V1782" s="231"/>
      <c r="W1782" s="231"/>
      <c r="X1782" s="227"/>
      <c r="Y1782" s="232"/>
      <c r="Z1782" s="232"/>
      <c r="AA1782" s="232"/>
      <c r="AB1782" s="232"/>
      <c r="AC1782" s="227"/>
      <c r="AD1782" s="227"/>
      <c r="AE1782" s="231"/>
      <c r="AF1782" s="227"/>
      <c r="AG1782" s="232"/>
      <c r="AH1782" s="232"/>
      <c r="AI1782" s="232"/>
      <c r="AJ1782" s="232"/>
      <c r="AK1782" s="232"/>
      <c r="AL1782" s="232"/>
      <c r="AM1782" s="232"/>
      <c r="AN1782" s="232"/>
      <c r="AO1782" s="231"/>
      <c r="AP1782" s="231"/>
      <c r="AQ1782" s="227"/>
      <c r="AR1782" s="231"/>
      <c r="AS1782" s="227"/>
      <c r="AT1782" s="227"/>
      <c r="AU1782" s="227"/>
      <c r="AV1782" s="227"/>
    </row>
    <row r="1783">
      <c r="A1783" s="227"/>
      <c r="B1783" s="232"/>
      <c r="C1783" s="227"/>
      <c r="D1783" s="227"/>
      <c r="E1783" s="231"/>
      <c r="F1783" s="232"/>
      <c r="G1783" s="227"/>
      <c r="H1783" s="227"/>
      <c r="I1783" s="227"/>
      <c r="J1783" s="227"/>
      <c r="K1783" s="227"/>
      <c r="L1783" s="232"/>
      <c r="M1783" s="232"/>
      <c r="N1783" s="227"/>
      <c r="O1783" s="227"/>
      <c r="P1783" s="231"/>
      <c r="Q1783" s="227"/>
      <c r="R1783" s="231"/>
      <c r="S1783" s="231"/>
      <c r="T1783" s="231"/>
      <c r="U1783" s="231"/>
      <c r="V1783" s="231"/>
      <c r="W1783" s="231"/>
      <c r="X1783" s="227"/>
      <c r="Y1783" s="232"/>
      <c r="Z1783" s="232"/>
      <c r="AA1783" s="232"/>
      <c r="AB1783" s="232"/>
      <c r="AC1783" s="227"/>
      <c r="AD1783" s="227"/>
      <c r="AE1783" s="231"/>
      <c r="AF1783" s="227"/>
      <c r="AG1783" s="232"/>
      <c r="AH1783" s="232"/>
      <c r="AI1783" s="232"/>
      <c r="AJ1783" s="232"/>
      <c r="AK1783" s="232"/>
      <c r="AL1783" s="232"/>
      <c r="AM1783" s="232"/>
      <c r="AN1783" s="232"/>
      <c r="AO1783" s="231"/>
      <c r="AP1783" s="231"/>
      <c r="AQ1783" s="227"/>
      <c r="AR1783" s="231"/>
      <c r="AS1783" s="227"/>
      <c r="AT1783" s="227"/>
      <c r="AU1783" s="227"/>
      <c r="AV1783" s="227"/>
    </row>
    <row r="1784">
      <c r="A1784" s="227"/>
      <c r="B1784" s="232"/>
      <c r="C1784" s="227"/>
      <c r="D1784" s="227"/>
      <c r="E1784" s="231"/>
      <c r="F1784" s="232"/>
      <c r="G1784" s="227"/>
      <c r="H1784" s="227"/>
      <c r="I1784" s="227"/>
      <c r="J1784" s="227"/>
      <c r="K1784" s="227"/>
      <c r="L1784" s="232"/>
      <c r="M1784" s="232"/>
      <c r="N1784" s="227"/>
      <c r="O1784" s="227"/>
      <c r="P1784" s="231"/>
      <c r="Q1784" s="227"/>
      <c r="R1784" s="231"/>
      <c r="S1784" s="231"/>
      <c r="T1784" s="231"/>
      <c r="U1784" s="231"/>
      <c r="V1784" s="231"/>
      <c r="W1784" s="231"/>
      <c r="X1784" s="227"/>
      <c r="Y1784" s="232"/>
      <c r="Z1784" s="232"/>
      <c r="AA1784" s="232"/>
      <c r="AB1784" s="232"/>
      <c r="AC1784" s="227"/>
      <c r="AD1784" s="227"/>
      <c r="AE1784" s="231"/>
      <c r="AF1784" s="227"/>
      <c r="AG1784" s="232"/>
      <c r="AH1784" s="232"/>
      <c r="AI1784" s="232"/>
      <c r="AJ1784" s="232"/>
      <c r="AK1784" s="232"/>
      <c r="AL1784" s="232"/>
      <c r="AM1784" s="232"/>
      <c r="AN1784" s="232"/>
      <c r="AO1784" s="231"/>
      <c r="AP1784" s="231"/>
      <c r="AQ1784" s="227"/>
      <c r="AR1784" s="231"/>
      <c r="AS1784" s="227"/>
      <c r="AT1784" s="227"/>
      <c r="AU1784" s="227"/>
      <c r="AV1784" s="227"/>
    </row>
    <row r="1785">
      <c r="A1785" s="227"/>
      <c r="B1785" s="232"/>
      <c r="C1785" s="227"/>
      <c r="D1785" s="227"/>
      <c r="E1785" s="231"/>
      <c r="F1785" s="232"/>
      <c r="G1785" s="227"/>
      <c r="H1785" s="227"/>
      <c r="I1785" s="227"/>
      <c r="J1785" s="227"/>
      <c r="K1785" s="227"/>
      <c r="L1785" s="232"/>
      <c r="M1785" s="232"/>
      <c r="N1785" s="227"/>
      <c r="O1785" s="227"/>
      <c r="P1785" s="231"/>
      <c r="Q1785" s="227"/>
      <c r="R1785" s="231"/>
      <c r="S1785" s="231"/>
      <c r="T1785" s="231"/>
      <c r="U1785" s="231"/>
      <c r="V1785" s="231"/>
      <c r="W1785" s="231"/>
      <c r="X1785" s="227"/>
      <c r="Y1785" s="232"/>
      <c r="Z1785" s="232"/>
      <c r="AA1785" s="232"/>
      <c r="AB1785" s="232"/>
      <c r="AC1785" s="227"/>
      <c r="AD1785" s="227"/>
      <c r="AE1785" s="231"/>
      <c r="AF1785" s="227"/>
      <c r="AG1785" s="232"/>
      <c r="AH1785" s="232"/>
      <c r="AI1785" s="232"/>
      <c r="AJ1785" s="232"/>
      <c r="AK1785" s="232"/>
      <c r="AL1785" s="232"/>
      <c r="AM1785" s="232"/>
      <c r="AN1785" s="232"/>
      <c r="AO1785" s="231"/>
      <c r="AP1785" s="231"/>
      <c r="AQ1785" s="227"/>
      <c r="AR1785" s="231"/>
      <c r="AS1785" s="227"/>
      <c r="AT1785" s="227"/>
      <c r="AU1785" s="227"/>
      <c r="AV1785" s="227"/>
    </row>
    <row r="1786">
      <c r="A1786" s="227"/>
      <c r="B1786" s="232"/>
      <c r="C1786" s="227"/>
      <c r="D1786" s="227"/>
      <c r="E1786" s="231"/>
      <c r="F1786" s="232"/>
      <c r="G1786" s="227"/>
      <c r="H1786" s="227"/>
      <c r="I1786" s="227"/>
      <c r="J1786" s="227"/>
      <c r="K1786" s="227"/>
      <c r="L1786" s="232"/>
      <c r="M1786" s="232"/>
      <c r="N1786" s="227"/>
      <c r="O1786" s="227"/>
      <c r="P1786" s="231"/>
      <c r="Q1786" s="227"/>
      <c r="R1786" s="231"/>
      <c r="S1786" s="231"/>
      <c r="T1786" s="231"/>
      <c r="U1786" s="231"/>
      <c r="V1786" s="231"/>
      <c r="W1786" s="231"/>
      <c r="X1786" s="227"/>
      <c r="Y1786" s="232"/>
      <c r="Z1786" s="232"/>
      <c r="AA1786" s="232"/>
      <c r="AB1786" s="232"/>
      <c r="AC1786" s="227"/>
      <c r="AD1786" s="227"/>
      <c r="AE1786" s="231"/>
      <c r="AF1786" s="227"/>
      <c r="AG1786" s="232"/>
      <c r="AH1786" s="232"/>
      <c r="AI1786" s="232"/>
      <c r="AJ1786" s="232"/>
      <c r="AK1786" s="232"/>
      <c r="AL1786" s="232"/>
      <c r="AM1786" s="232"/>
      <c r="AN1786" s="232"/>
      <c r="AO1786" s="231"/>
      <c r="AP1786" s="231"/>
      <c r="AQ1786" s="227"/>
      <c r="AR1786" s="231"/>
      <c r="AS1786" s="227"/>
      <c r="AT1786" s="227"/>
      <c r="AU1786" s="227"/>
      <c r="AV1786" s="227"/>
    </row>
    <row r="1787">
      <c r="A1787" s="227"/>
      <c r="B1787" s="232"/>
      <c r="C1787" s="227"/>
      <c r="D1787" s="227"/>
      <c r="E1787" s="231"/>
      <c r="F1787" s="232"/>
      <c r="G1787" s="227"/>
      <c r="H1787" s="227"/>
      <c r="I1787" s="227"/>
      <c r="J1787" s="227"/>
      <c r="K1787" s="227"/>
      <c r="L1787" s="232"/>
      <c r="M1787" s="232"/>
      <c r="N1787" s="227"/>
      <c r="O1787" s="227"/>
      <c r="P1787" s="231"/>
      <c r="Q1787" s="227"/>
      <c r="R1787" s="231"/>
      <c r="S1787" s="231"/>
      <c r="T1787" s="231"/>
      <c r="U1787" s="231"/>
      <c r="V1787" s="231"/>
      <c r="W1787" s="231"/>
      <c r="X1787" s="227"/>
      <c r="Y1787" s="232"/>
      <c r="Z1787" s="232"/>
      <c r="AA1787" s="232"/>
      <c r="AB1787" s="232"/>
      <c r="AC1787" s="227"/>
      <c r="AD1787" s="227"/>
      <c r="AE1787" s="231"/>
      <c r="AF1787" s="227"/>
      <c r="AG1787" s="232"/>
      <c r="AH1787" s="232"/>
      <c r="AI1787" s="232"/>
      <c r="AJ1787" s="232"/>
      <c r="AK1787" s="232"/>
      <c r="AL1787" s="232"/>
      <c r="AM1787" s="232"/>
      <c r="AN1787" s="232"/>
      <c r="AO1787" s="231"/>
      <c r="AP1787" s="231"/>
      <c r="AQ1787" s="227"/>
      <c r="AR1787" s="231"/>
      <c r="AS1787" s="227"/>
      <c r="AT1787" s="227"/>
      <c r="AU1787" s="227"/>
      <c r="AV1787" s="227"/>
    </row>
    <row r="1788">
      <c r="A1788" s="227"/>
      <c r="B1788" s="232"/>
      <c r="C1788" s="227"/>
      <c r="D1788" s="227"/>
      <c r="E1788" s="231"/>
      <c r="F1788" s="232"/>
      <c r="G1788" s="227"/>
      <c r="H1788" s="227"/>
      <c r="I1788" s="227"/>
      <c r="J1788" s="227"/>
      <c r="K1788" s="227"/>
      <c r="L1788" s="232"/>
      <c r="M1788" s="232"/>
      <c r="N1788" s="227"/>
      <c r="O1788" s="227"/>
      <c r="P1788" s="231"/>
      <c r="Q1788" s="227"/>
      <c r="R1788" s="231"/>
      <c r="S1788" s="231"/>
      <c r="T1788" s="231"/>
      <c r="U1788" s="231"/>
      <c r="V1788" s="231"/>
      <c r="W1788" s="231"/>
      <c r="X1788" s="227"/>
      <c r="Y1788" s="232"/>
      <c r="Z1788" s="232"/>
      <c r="AA1788" s="232"/>
      <c r="AB1788" s="232"/>
      <c r="AC1788" s="227"/>
      <c r="AD1788" s="227"/>
      <c r="AE1788" s="231"/>
      <c r="AF1788" s="227"/>
      <c r="AG1788" s="232"/>
      <c r="AH1788" s="232"/>
      <c r="AI1788" s="232"/>
      <c r="AJ1788" s="232"/>
      <c r="AK1788" s="232"/>
      <c r="AL1788" s="232"/>
      <c r="AM1788" s="232"/>
      <c r="AN1788" s="232"/>
      <c r="AO1788" s="231"/>
      <c r="AP1788" s="231"/>
      <c r="AQ1788" s="227"/>
      <c r="AR1788" s="231"/>
      <c r="AS1788" s="227"/>
      <c r="AT1788" s="227"/>
      <c r="AU1788" s="227"/>
      <c r="AV1788" s="227"/>
    </row>
    <row r="1789">
      <c r="A1789" s="227"/>
      <c r="B1789" s="232"/>
      <c r="C1789" s="227"/>
      <c r="D1789" s="227"/>
      <c r="E1789" s="231"/>
      <c r="F1789" s="232"/>
      <c r="G1789" s="227"/>
      <c r="H1789" s="227"/>
      <c r="I1789" s="227"/>
      <c r="J1789" s="227"/>
      <c r="K1789" s="227"/>
      <c r="L1789" s="232"/>
      <c r="M1789" s="232"/>
      <c r="N1789" s="227"/>
      <c r="O1789" s="227"/>
      <c r="P1789" s="231"/>
      <c r="Q1789" s="227"/>
      <c r="R1789" s="231"/>
      <c r="S1789" s="231"/>
      <c r="T1789" s="231"/>
      <c r="U1789" s="231"/>
      <c r="V1789" s="231"/>
      <c r="W1789" s="231"/>
      <c r="X1789" s="227"/>
      <c r="Y1789" s="232"/>
      <c r="Z1789" s="232"/>
      <c r="AA1789" s="232"/>
      <c r="AB1789" s="232"/>
      <c r="AC1789" s="227"/>
      <c r="AD1789" s="227"/>
      <c r="AE1789" s="231"/>
      <c r="AF1789" s="227"/>
      <c r="AG1789" s="232"/>
      <c r="AH1789" s="232"/>
      <c r="AI1789" s="232"/>
      <c r="AJ1789" s="232"/>
      <c r="AK1789" s="232"/>
      <c r="AL1789" s="232"/>
      <c r="AM1789" s="232"/>
      <c r="AN1789" s="232"/>
      <c r="AO1789" s="231"/>
      <c r="AP1789" s="231"/>
      <c r="AQ1789" s="227"/>
      <c r="AR1789" s="231"/>
      <c r="AS1789" s="227"/>
      <c r="AT1789" s="227"/>
      <c r="AU1789" s="227"/>
      <c r="AV1789" s="227"/>
    </row>
    <row r="1790">
      <c r="A1790" s="227"/>
      <c r="B1790" s="232"/>
      <c r="C1790" s="227"/>
      <c r="D1790" s="227"/>
      <c r="E1790" s="231"/>
      <c r="F1790" s="232"/>
      <c r="G1790" s="227"/>
      <c r="H1790" s="227"/>
      <c r="I1790" s="227"/>
      <c r="J1790" s="227"/>
      <c r="K1790" s="227"/>
      <c r="L1790" s="232"/>
      <c r="M1790" s="232"/>
      <c r="N1790" s="227"/>
      <c r="O1790" s="227"/>
      <c r="P1790" s="231"/>
      <c r="Q1790" s="227"/>
      <c r="R1790" s="231"/>
      <c r="S1790" s="231"/>
      <c r="T1790" s="231"/>
      <c r="U1790" s="231"/>
      <c r="V1790" s="231"/>
      <c r="W1790" s="231"/>
      <c r="X1790" s="227"/>
      <c r="Y1790" s="232"/>
      <c r="Z1790" s="232"/>
      <c r="AA1790" s="232"/>
      <c r="AB1790" s="232"/>
      <c r="AC1790" s="227"/>
      <c r="AD1790" s="227"/>
      <c r="AE1790" s="231"/>
      <c r="AF1790" s="227"/>
      <c r="AG1790" s="232"/>
      <c r="AH1790" s="232"/>
      <c r="AI1790" s="232"/>
      <c r="AJ1790" s="232"/>
      <c r="AK1790" s="232"/>
      <c r="AL1790" s="232"/>
      <c r="AM1790" s="232"/>
      <c r="AN1790" s="232"/>
      <c r="AO1790" s="231"/>
      <c r="AP1790" s="231"/>
      <c r="AQ1790" s="227"/>
      <c r="AR1790" s="231"/>
      <c r="AS1790" s="227"/>
      <c r="AT1790" s="227"/>
      <c r="AU1790" s="227"/>
      <c r="AV1790" s="227"/>
    </row>
    <row r="1791">
      <c r="A1791" s="227"/>
      <c r="B1791" s="232"/>
      <c r="C1791" s="227"/>
      <c r="D1791" s="227"/>
      <c r="E1791" s="231"/>
      <c r="F1791" s="232"/>
      <c r="G1791" s="227"/>
      <c r="H1791" s="227"/>
      <c r="I1791" s="227"/>
      <c r="J1791" s="227"/>
      <c r="K1791" s="227"/>
      <c r="L1791" s="232"/>
      <c r="M1791" s="232"/>
      <c r="N1791" s="227"/>
      <c r="O1791" s="227"/>
      <c r="P1791" s="231"/>
      <c r="Q1791" s="227"/>
      <c r="R1791" s="231"/>
      <c r="S1791" s="231"/>
      <c r="T1791" s="231"/>
      <c r="U1791" s="231"/>
      <c r="V1791" s="231"/>
      <c r="W1791" s="231"/>
      <c r="X1791" s="227"/>
      <c r="Y1791" s="232"/>
      <c r="Z1791" s="232"/>
      <c r="AA1791" s="232"/>
      <c r="AB1791" s="232"/>
      <c r="AC1791" s="227"/>
      <c r="AD1791" s="227"/>
      <c r="AE1791" s="231"/>
      <c r="AF1791" s="227"/>
      <c r="AG1791" s="232"/>
      <c r="AH1791" s="232"/>
      <c r="AI1791" s="232"/>
      <c r="AJ1791" s="232"/>
      <c r="AK1791" s="232"/>
      <c r="AL1791" s="232"/>
      <c r="AM1791" s="232"/>
      <c r="AN1791" s="232"/>
      <c r="AO1791" s="231"/>
      <c r="AP1791" s="231"/>
      <c r="AQ1791" s="227"/>
      <c r="AR1791" s="231"/>
      <c r="AS1791" s="227"/>
      <c r="AT1791" s="227"/>
      <c r="AU1791" s="227"/>
      <c r="AV1791" s="227"/>
    </row>
    <row r="1792">
      <c r="A1792" s="227"/>
      <c r="B1792" s="232"/>
      <c r="C1792" s="227"/>
      <c r="D1792" s="227"/>
      <c r="E1792" s="231"/>
      <c r="F1792" s="232"/>
      <c r="G1792" s="227"/>
      <c r="H1792" s="227"/>
      <c r="I1792" s="227"/>
      <c r="J1792" s="227"/>
      <c r="K1792" s="227"/>
      <c r="L1792" s="232"/>
      <c r="M1792" s="232"/>
      <c r="N1792" s="227"/>
      <c r="O1792" s="227"/>
      <c r="P1792" s="231"/>
      <c r="Q1792" s="227"/>
      <c r="R1792" s="231"/>
      <c r="S1792" s="231"/>
      <c r="T1792" s="231"/>
      <c r="U1792" s="231"/>
      <c r="V1792" s="231"/>
      <c r="W1792" s="231"/>
      <c r="X1792" s="227"/>
      <c r="Y1792" s="232"/>
      <c r="Z1792" s="232"/>
      <c r="AA1792" s="232"/>
      <c r="AB1792" s="232"/>
      <c r="AC1792" s="227"/>
      <c r="AD1792" s="227"/>
      <c r="AE1792" s="231"/>
      <c r="AF1792" s="227"/>
      <c r="AG1792" s="232"/>
      <c r="AH1792" s="232"/>
      <c r="AI1792" s="232"/>
      <c r="AJ1792" s="232"/>
      <c r="AK1792" s="232"/>
      <c r="AL1792" s="232"/>
      <c r="AM1792" s="232"/>
      <c r="AN1792" s="232"/>
      <c r="AO1792" s="231"/>
      <c r="AP1792" s="231"/>
      <c r="AQ1792" s="227"/>
      <c r="AR1792" s="231"/>
      <c r="AS1792" s="227"/>
      <c r="AT1792" s="227"/>
      <c r="AU1792" s="227"/>
      <c r="AV1792" s="227"/>
    </row>
    <row r="1793">
      <c r="A1793" s="227"/>
      <c r="B1793" s="232"/>
      <c r="C1793" s="227"/>
      <c r="D1793" s="227"/>
      <c r="E1793" s="231"/>
      <c r="F1793" s="232"/>
      <c r="G1793" s="227"/>
      <c r="H1793" s="227"/>
      <c r="I1793" s="227"/>
      <c r="J1793" s="227"/>
      <c r="K1793" s="227"/>
      <c r="L1793" s="232"/>
      <c r="M1793" s="232"/>
      <c r="N1793" s="227"/>
      <c r="O1793" s="227"/>
      <c r="P1793" s="231"/>
      <c r="Q1793" s="227"/>
      <c r="R1793" s="231"/>
      <c r="S1793" s="231"/>
      <c r="T1793" s="231"/>
      <c r="U1793" s="231"/>
      <c r="V1793" s="231"/>
      <c r="W1793" s="231"/>
      <c r="X1793" s="227"/>
      <c r="Y1793" s="232"/>
      <c r="Z1793" s="232"/>
      <c r="AA1793" s="232"/>
      <c r="AB1793" s="232"/>
      <c r="AC1793" s="227"/>
      <c r="AD1793" s="227"/>
      <c r="AE1793" s="231"/>
      <c r="AF1793" s="227"/>
      <c r="AG1793" s="232"/>
      <c r="AH1793" s="232"/>
      <c r="AI1793" s="232"/>
      <c r="AJ1793" s="232"/>
      <c r="AK1793" s="232"/>
      <c r="AL1793" s="232"/>
      <c r="AM1793" s="232"/>
      <c r="AN1793" s="232"/>
      <c r="AO1793" s="231"/>
      <c r="AP1793" s="231"/>
      <c r="AQ1793" s="227"/>
      <c r="AR1793" s="231"/>
      <c r="AS1793" s="227"/>
      <c r="AT1793" s="227"/>
      <c r="AU1793" s="227"/>
      <c r="AV1793" s="227"/>
    </row>
    <row r="1794">
      <c r="A1794" s="227"/>
      <c r="B1794" s="232"/>
      <c r="C1794" s="227"/>
      <c r="D1794" s="227"/>
      <c r="E1794" s="231"/>
      <c r="F1794" s="232"/>
      <c r="G1794" s="227"/>
      <c r="H1794" s="227"/>
      <c r="I1794" s="227"/>
      <c r="J1794" s="227"/>
      <c r="K1794" s="227"/>
      <c r="L1794" s="232"/>
      <c r="M1794" s="232"/>
      <c r="N1794" s="227"/>
      <c r="O1794" s="227"/>
      <c r="P1794" s="231"/>
      <c r="Q1794" s="227"/>
      <c r="R1794" s="231"/>
      <c r="S1794" s="231"/>
      <c r="T1794" s="231"/>
      <c r="U1794" s="231"/>
      <c r="V1794" s="231"/>
      <c r="W1794" s="231"/>
      <c r="X1794" s="227"/>
      <c r="Y1794" s="232"/>
      <c r="Z1794" s="232"/>
      <c r="AA1794" s="232"/>
      <c r="AB1794" s="232"/>
      <c r="AC1794" s="227"/>
      <c r="AD1794" s="227"/>
      <c r="AE1794" s="231"/>
      <c r="AF1794" s="227"/>
      <c r="AG1794" s="232"/>
      <c r="AH1794" s="232"/>
      <c r="AI1794" s="232"/>
      <c r="AJ1794" s="232"/>
      <c r="AK1794" s="232"/>
      <c r="AL1794" s="232"/>
      <c r="AM1794" s="232"/>
      <c r="AN1794" s="232"/>
      <c r="AO1794" s="231"/>
      <c r="AP1794" s="231"/>
      <c r="AQ1794" s="227"/>
      <c r="AR1794" s="231"/>
      <c r="AS1794" s="227"/>
      <c r="AT1794" s="227"/>
      <c r="AU1794" s="227"/>
      <c r="AV1794" s="227"/>
    </row>
    <row r="1795">
      <c r="A1795" s="227"/>
      <c r="B1795" s="232"/>
      <c r="C1795" s="227"/>
      <c r="D1795" s="227"/>
      <c r="E1795" s="231"/>
      <c r="F1795" s="232"/>
      <c r="G1795" s="227"/>
      <c r="H1795" s="227"/>
      <c r="I1795" s="227"/>
      <c r="J1795" s="227"/>
      <c r="K1795" s="227"/>
      <c r="L1795" s="232"/>
      <c r="M1795" s="232"/>
      <c r="N1795" s="227"/>
      <c r="O1795" s="227"/>
      <c r="P1795" s="231"/>
      <c r="Q1795" s="227"/>
      <c r="R1795" s="231"/>
      <c r="S1795" s="231"/>
      <c r="T1795" s="231"/>
      <c r="U1795" s="231"/>
      <c r="V1795" s="231"/>
      <c r="W1795" s="231"/>
      <c r="X1795" s="227"/>
      <c r="Y1795" s="232"/>
      <c r="Z1795" s="232"/>
      <c r="AA1795" s="232"/>
      <c r="AB1795" s="232"/>
      <c r="AC1795" s="227"/>
      <c r="AD1795" s="227"/>
      <c r="AE1795" s="231"/>
      <c r="AF1795" s="227"/>
      <c r="AG1795" s="232"/>
      <c r="AH1795" s="232"/>
      <c r="AI1795" s="232"/>
      <c r="AJ1795" s="232"/>
      <c r="AK1795" s="232"/>
      <c r="AL1795" s="232"/>
      <c r="AM1795" s="232"/>
      <c r="AN1795" s="232"/>
      <c r="AO1795" s="231"/>
      <c r="AP1795" s="231"/>
      <c r="AQ1795" s="227"/>
      <c r="AR1795" s="231"/>
      <c r="AS1795" s="227"/>
      <c r="AT1795" s="227"/>
      <c r="AU1795" s="227"/>
      <c r="AV1795" s="227"/>
    </row>
    <row r="1796">
      <c r="A1796" s="227"/>
      <c r="B1796" s="232"/>
      <c r="C1796" s="227"/>
      <c r="D1796" s="227"/>
      <c r="E1796" s="231"/>
      <c r="F1796" s="232"/>
      <c r="G1796" s="227"/>
      <c r="H1796" s="227"/>
      <c r="I1796" s="227"/>
      <c r="J1796" s="227"/>
      <c r="K1796" s="227"/>
      <c r="L1796" s="232"/>
      <c r="M1796" s="232"/>
      <c r="N1796" s="227"/>
      <c r="O1796" s="227"/>
      <c r="P1796" s="231"/>
      <c r="Q1796" s="227"/>
      <c r="R1796" s="231"/>
      <c r="S1796" s="231"/>
      <c r="T1796" s="231"/>
      <c r="U1796" s="231"/>
      <c r="V1796" s="231"/>
      <c r="W1796" s="231"/>
      <c r="X1796" s="227"/>
      <c r="Y1796" s="232"/>
      <c r="Z1796" s="232"/>
      <c r="AA1796" s="232"/>
      <c r="AB1796" s="232"/>
      <c r="AC1796" s="227"/>
      <c r="AD1796" s="227"/>
      <c r="AE1796" s="231"/>
      <c r="AF1796" s="227"/>
      <c r="AG1796" s="232"/>
      <c r="AH1796" s="232"/>
      <c r="AI1796" s="232"/>
      <c r="AJ1796" s="232"/>
      <c r="AK1796" s="232"/>
      <c r="AL1796" s="232"/>
      <c r="AM1796" s="232"/>
      <c r="AN1796" s="232"/>
      <c r="AO1796" s="231"/>
      <c r="AP1796" s="231"/>
      <c r="AQ1796" s="227"/>
      <c r="AR1796" s="231"/>
      <c r="AS1796" s="227"/>
      <c r="AT1796" s="227"/>
      <c r="AU1796" s="227"/>
      <c r="AV1796" s="227"/>
    </row>
    <row r="1797">
      <c r="A1797" s="227"/>
      <c r="B1797" s="232"/>
      <c r="C1797" s="227"/>
      <c r="D1797" s="227"/>
      <c r="E1797" s="231"/>
      <c r="F1797" s="232"/>
      <c r="G1797" s="227"/>
      <c r="H1797" s="227"/>
      <c r="I1797" s="227"/>
      <c r="J1797" s="227"/>
      <c r="K1797" s="227"/>
      <c r="L1797" s="232"/>
      <c r="M1797" s="232"/>
      <c r="N1797" s="227"/>
      <c r="O1797" s="227"/>
      <c r="P1797" s="231"/>
      <c r="Q1797" s="227"/>
      <c r="R1797" s="231"/>
      <c r="S1797" s="231"/>
      <c r="T1797" s="231"/>
      <c r="U1797" s="231"/>
      <c r="V1797" s="231"/>
      <c r="W1797" s="231"/>
      <c r="X1797" s="227"/>
      <c r="Y1797" s="232"/>
      <c r="Z1797" s="232"/>
      <c r="AA1797" s="232"/>
      <c r="AB1797" s="232"/>
      <c r="AC1797" s="227"/>
      <c r="AD1797" s="227"/>
      <c r="AE1797" s="231"/>
      <c r="AF1797" s="227"/>
      <c r="AG1797" s="232"/>
      <c r="AH1797" s="232"/>
      <c r="AI1797" s="232"/>
      <c r="AJ1797" s="232"/>
      <c r="AK1797" s="232"/>
      <c r="AL1797" s="232"/>
      <c r="AM1797" s="232"/>
      <c r="AN1797" s="232"/>
      <c r="AO1797" s="231"/>
      <c r="AP1797" s="231"/>
      <c r="AQ1797" s="227"/>
      <c r="AR1797" s="231"/>
      <c r="AS1797" s="227"/>
      <c r="AT1797" s="227"/>
      <c r="AU1797" s="227"/>
      <c r="AV1797" s="227"/>
    </row>
    <row r="1798">
      <c r="A1798" s="227"/>
      <c r="B1798" s="232"/>
      <c r="C1798" s="227"/>
      <c r="D1798" s="227"/>
      <c r="E1798" s="231"/>
      <c r="F1798" s="232"/>
      <c r="G1798" s="227"/>
      <c r="H1798" s="227"/>
      <c r="I1798" s="227"/>
      <c r="J1798" s="227"/>
      <c r="K1798" s="227"/>
      <c r="L1798" s="232"/>
      <c r="M1798" s="232"/>
      <c r="N1798" s="227"/>
      <c r="O1798" s="227"/>
      <c r="P1798" s="231"/>
      <c r="Q1798" s="227"/>
      <c r="R1798" s="231"/>
      <c r="S1798" s="231"/>
      <c r="T1798" s="231"/>
      <c r="U1798" s="231"/>
      <c r="V1798" s="231"/>
      <c r="W1798" s="231"/>
      <c r="X1798" s="227"/>
      <c r="Y1798" s="232"/>
      <c r="Z1798" s="232"/>
      <c r="AA1798" s="232"/>
      <c r="AB1798" s="232"/>
      <c r="AC1798" s="227"/>
      <c r="AD1798" s="227"/>
      <c r="AE1798" s="231"/>
      <c r="AF1798" s="227"/>
      <c r="AG1798" s="232"/>
      <c r="AH1798" s="232"/>
      <c r="AI1798" s="232"/>
      <c r="AJ1798" s="232"/>
      <c r="AK1798" s="232"/>
      <c r="AL1798" s="232"/>
      <c r="AM1798" s="232"/>
      <c r="AN1798" s="232"/>
      <c r="AO1798" s="231"/>
      <c r="AP1798" s="231"/>
      <c r="AQ1798" s="227"/>
      <c r="AR1798" s="231"/>
      <c r="AS1798" s="227"/>
      <c r="AT1798" s="227"/>
      <c r="AU1798" s="227"/>
      <c r="AV1798" s="227"/>
    </row>
    <row r="1799">
      <c r="A1799" s="227"/>
      <c r="B1799" s="232"/>
      <c r="C1799" s="227"/>
      <c r="D1799" s="227"/>
      <c r="E1799" s="231"/>
      <c r="F1799" s="232"/>
      <c r="G1799" s="227"/>
      <c r="H1799" s="227"/>
      <c r="I1799" s="227"/>
      <c r="J1799" s="227"/>
      <c r="K1799" s="227"/>
      <c r="L1799" s="232"/>
      <c r="M1799" s="232"/>
      <c r="N1799" s="227"/>
      <c r="O1799" s="227"/>
      <c r="P1799" s="231"/>
      <c r="Q1799" s="227"/>
      <c r="R1799" s="231"/>
      <c r="S1799" s="231"/>
      <c r="T1799" s="231"/>
      <c r="U1799" s="231"/>
      <c r="V1799" s="231"/>
      <c r="W1799" s="231"/>
      <c r="X1799" s="227"/>
      <c r="Y1799" s="232"/>
      <c r="Z1799" s="232"/>
      <c r="AA1799" s="232"/>
      <c r="AB1799" s="232"/>
      <c r="AC1799" s="227"/>
      <c r="AD1799" s="227"/>
      <c r="AE1799" s="231"/>
      <c r="AF1799" s="227"/>
      <c r="AG1799" s="232"/>
      <c r="AH1799" s="232"/>
      <c r="AI1799" s="232"/>
      <c r="AJ1799" s="232"/>
      <c r="AK1799" s="232"/>
      <c r="AL1799" s="232"/>
      <c r="AM1799" s="232"/>
      <c r="AN1799" s="232"/>
      <c r="AO1799" s="231"/>
      <c r="AP1799" s="231"/>
      <c r="AQ1799" s="227"/>
      <c r="AR1799" s="231"/>
      <c r="AS1799" s="227"/>
      <c r="AT1799" s="227"/>
      <c r="AU1799" s="227"/>
      <c r="AV1799" s="227"/>
    </row>
    <row r="1800">
      <c r="A1800" s="227"/>
      <c r="B1800" s="232"/>
      <c r="C1800" s="227"/>
      <c r="D1800" s="227"/>
      <c r="E1800" s="231"/>
      <c r="F1800" s="232"/>
      <c r="G1800" s="227"/>
      <c r="H1800" s="227"/>
      <c r="I1800" s="227"/>
      <c r="J1800" s="227"/>
      <c r="K1800" s="227"/>
      <c r="L1800" s="232"/>
      <c r="M1800" s="232"/>
      <c r="N1800" s="227"/>
      <c r="O1800" s="227"/>
      <c r="P1800" s="231"/>
      <c r="Q1800" s="227"/>
      <c r="R1800" s="231"/>
      <c r="S1800" s="231"/>
      <c r="T1800" s="231"/>
      <c r="U1800" s="231"/>
      <c r="V1800" s="231"/>
      <c r="W1800" s="231"/>
      <c r="X1800" s="227"/>
      <c r="Y1800" s="232"/>
      <c r="Z1800" s="232"/>
      <c r="AA1800" s="232"/>
      <c r="AB1800" s="232"/>
      <c r="AC1800" s="227"/>
      <c r="AD1800" s="227"/>
      <c r="AE1800" s="231"/>
      <c r="AF1800" s="227"/>
      <c r="AG1800" s="232"/>
      <c r="AH1800" s="232"/>
      <c r="AI1800" s="232"/>
      <c r="AJ1800" s="232"/>
      <c r="AK1800" s="232"/>
      <c r="AL1800" s="232"/>
      <c r="AM1800" s="232"/>
      <c r="AN1800" s="232"/>
      <c r="AO1800" s="231"/>
      <c r="AP1800" s="231"/>
      <c r="AQ1800" s="227"/>
      <c r="AR1800" s="231"/>
      <c r="AS1800" s="227"/>
      <c r="AT1800" s="227"/>
      <c r="AU1800" s="227"/>
      <c r="AV1800" s="227"/>
    </row>
    <row r="1801">
      <c r="A1801" s="227"/>
      <c r="B1801" s="232"/>
      <c r="C1801" s="227"/>
      <c r="D1801" s="227"/>
      <c r="E1801" s="231"/>
      <c r="F1801" s="232"/>
      <c r="G1801" s="227"/>
      <c r="H1801" s="227"/>
      <c r="I1801" s="227"/>
      <c r="J1801" s="227"/>
      <c r="K1801" s="227"/>
      <c r="L1801" s="232"/>
      <c r="M1801" s="232"/>
      <c r="N1801" s="227"/>
      <c r="O1801" s="227"/>
      <c r="P1801" s="231"/>
      <c r="Q1801" s="227"/>
      <c r="R1801" s="231"/>
      <c r="S1801" s="231"/>
      <c r="T1801" s="231"/>
      <c r="U1801" s="231"/>
      <c r="V1801" s="231"/>
      <c r="W1801" s="231"/>
      <c r="X1801" s="227"/>
      <c r="Y1801" s="232"/>
      <c r="Z1801" s="232"/>
      <c r="AA1801" s="232"/>
      <c r="AB1801" s="232"/>
      <c r="AC1801" s="227"/>
      <c r="AD1801" s="227"/>
      <c r="AE1801" s="231"/>
      <c r="AF1801" s="227"/>
      <c r="AG1801" s="232"/>
      <c r="AH1801" s="232"/>
      <c r="AI1801" s="232"/>
      <c r="AJ1801" s="232"/>
      <c r="AK1801" s="232"/>
      <c r="AL1801" s="232"/>
      <c r="AM1801" s="232"/>
      <c r="AN1801" s="232"/>
      <c r="AO1801" s="231"/>
      <c r="AP1801" s="231"/>
      <c r="AQ1801" s="227"/>
      <c r="AR1801" s="231"/>
      <c r="AS1801" s="227"/>
      <c r="AT1801" s="227"/>
      <c r="AU1801" s="227"/>
      <c r="AV1801" s="227"/>
    </row>
    <row r="1802">
      <c r="A1802" s="227"/>
      <c r="B1802" s="232"/>
      <c r="C1802" s="227"/>
      <c r="D1802" s="227"/>
      <c r="E1802" s="231"/>
      <c r="F1802" s="232"/>
      <c r="G1802" s="227"/>
      <c r="H1802" s="227"/>
      <c r="I1802" s="227"/>
      <c r="J1802" s="227"/>
      <c r="K1802" s="227"/>
      <c r="L1802" s="232"/>
      <c r="M1802" s="232"/>
      <c r="N1802" s="227"/>
      <c r="O1802" s="227"/>
      <c r="P1802" s="231"/>
      <c r="Q1802" s="227"/>
      <c r="R1802" s="231"/>
      <c r="S1802" s="231"/>
      <c r="T1802" s="231"/>
      <c r="U1802" s="231"/>
      <c r="V1802" s="231"/>
      <c r="W1802" s="231"/>
      <c r="X1802" s="227"/>
      <c r="Y1802" s="232"/>
      <c r="Z1802" s="232"/>
      <c r="AA1802" s="232"/>
      <c r="AB1802" s="232"/>
      <c r="AC1802" s="227"/>
      <c r="AD1802" s="227"/>
      <c r="AE1802" s="231"/>
      <c r="AF1802" s="227"/>
      <c r="AG1802" s="232"/>
      <c r="AH1802" s="232"/>
      <c r="AI1802" s="232"/>
      <c r="AJ1802" s="232"/>
      <c r="AK1802" s="232"/>
      <c r="AL1802" s="232"/>
      <c r="AM1802" s="232"/>
      <c r="AN1802" s="232"/>
      <c r="AO1802" s="231"/>
      <c r="AP1802" s="231"/>
      <c r="AQ1802" s="227"/>
      <c r="AR1802" s="231"/>
      <c r="AS1802" s="227"/>
      <c r="AT1802" s="227"/>
      <c r="AU1802" s="227"/>
      <c r="AV1802" s="227"/>
    </row>
    <row r="1803">
      <c r="A1803" s="227"/>
      <c r="B1803" s="232"/>
      <c r="C1803" s="227"/>
      <c r="D1803" s="227"/>
      <c r="E1803" s="231"/>
      <c r="F1803" s="232"/>
      <c r="G1803" s="227"/>
      <c r="H1803" s="227"/>
      <c r="I1803" s="227"/>
      <c r="J1803" s="227"/>
      <c r="K1803" s="227"/>
      <c r="L1803" s="232"/>
      <c r="M1803" s="232"/>
      <c r="N1803" s="227"/>
      <c r="O1803" s="227"/>
      <c r="P1803" s="231"/>
      <c r="Q1803" s="227"/>
      <c r="R1803" s="231"/>
      <c r="S1803" s="231"/>
      <c r="T1803" s="231"/>
      <c r="U1803" s="231"/>
      <c r="V1803" s="231"/>
      <c r="W1803" s="231"/>
      <c r="X1803" s="227"/>
      <c r="Y1803" s="232"/>
      <c r="Z1803" s="232"/>
      <c r="AA1803" s="232"/>
      <c r="AB1803" s="232"/>
      <c r="AC1803" s="227"/>
      <c r="AD1803" s="227"/>
      <c r="AE1803" s="231"/>
      <c r="AF1803" s="227"/>
      <c r="AG1803" s="232"/>
      <c r="AH1803" s="232"/>
      <c r="AI1803" s="232"/>
      <c r="AJ1803" s="232"/>
      <c r="AK1803" s="232"/>
      <c r="AL1803" s="232"/>
      <c r="AM1803" s="232"/>
      <c r="AN1803" s="232"/>
      <c r="AO1803" s="231"/>
      <c r="AP1803" s="231"/>
      <c r="AQ1803" s="227"/>
      <c r="AR1803" s="231"/>
      <c r="AS1803" s="227"/>
      <c r="AT1803" s="227"/>
      <c r="AU1803" s="227"/>
      <c r="AV1803" s="227"/>
    </row>
    <row r="1804">
      <c r="A1804" s="227"/>
      <c r="B1804" s="232"/>
      <c r="C1804" s="227"/>
      <c r="D1804" s="227"/>
      <c r="E1804" s="231"/>
      <c r="F1804" s="232"/>
      <c r="G1804" s="227"/>
      <c r="H1804" s="227"/>
      <c r="I1804" s="227"/>
      <c r="J1804" s="227"/>
      <c r="K1804" s="227"/>
      <c r="L1804" s="232"/>
      <c r="M1804" s="232"/>
      <c r="N1804" s="227"/>
      <c r="O1804" s="227"/>
      <c r="P1804" s="231"/>
      <c r="Q1804" s="227"/>
      <c r="R1804" s="231"/>
      <c r="S1804" s="231"/>
      <c r="T1804" s="231"/>
      <c r="U1804" s="231"/>
      <c r="V1804" s="231"/>
      <c r="W1804" s="231"/>
      <c r="X1804" s="227"/>
      <c r="Y1804" s="232"/>
      <c r="Z1804" s="232"/>
      <c r="AA1804" s="232"/>
      <c r="AB1804" s="232"/>
      <c r="AC1804" s="227"/>
      <c r="AD1804" s="227"/>
      <c r="AE1804" s="231"/>
      <c r="AF1804" s="227"/>
      <c r="AG1804" s="232"/>
      <c r="AH1804" s="232"/>
      <c r="AI1804" s="232"/>
      <c r="AJ1804" s="232"/>
      <c r="AK1804" s="232"/>
      <c r="AL1804" s="232"/>
      <c r="AM1804" s="232"/>
      <c r="AN1804" s="232"/>
      <c r="AO1804" s="231"/>
      <c r="AP1804" s="231"/>
      <c r="AQ1804" s="227"/>
      <c r="AR1804" s="231"/>
      <c r="AS1804" s="227"/>
      <c r="AT1804" s="227"/>
      <c r="AU1804" s="227"/>
      <c r="AV1804" s="227"/>
    </row>
    <row r="1805">
      <c r="A1805" s="227"/>
      <c r="B1805" s="232"/>
      <c r="C1805" s="227"/>
      <c r="D1805" s="227"/>
      <c r="E1805" s="231"/>
      <c r="F1805" s="232"/>
      <c r="G1805" s="227"/>
      <c r="H1805" s="227"/>
      <c r="I1805" s="227"/>
      <c r="J1805" s="227"/>
      <c r="K1805" s="227"/>
      <c r="L1805" s="232"/>
      <c r="M1805" s="232"/>
      <c r="N1805" s="227"/>
      <c r="O1805" s="227"/>
      <c r="P1805" s="231"/>
      <c r="Q1805" s="227"/>
      <c r="R1805" s="231"/>
      <c r="S1805" s="231"/>
      <c r="T1805" s="231"/>
      <c r="U1805" s="231"/>
      <c r="V1805" s="231"/>
      <c r="W1805" s="231"/>
      <c r="X1805" s="227"/>
      <c r="Y1805" s="232"/>
      <c r="Z1805" s="232"/>
      <c r="AA1805" s="232"/>
      <c r="AB1805" s="232"/>
      <c r="AC1805" s="227"/>
      <c r="AD1805" s="227"/>
      <c r="AE1805" s="231"/>
      <c r="AF1805" s="227"/>
      <c r="AG1805" s="232"/>
      <c r="AH1805" s="232"/>
      <c r="AI1805" s="232"/>
      <c r="AJ1805" s="232"/>
      <c r="AK1805" s="232"/>
      <c r="AL1805" s="232"/>
      <c r="AM1805" s="232"/>
      <c r="AN1805" s="232"/>
      <c r="AO1805" s="231"/>
      <c r="AP1805" s="231"/>
      <c r="AQ1805" s="227"/>
      <c r="AR1805" s="231"/>
      <c r="AS1805" s="227"/>
      <c r="AT1805" s="227"/>
      <c r="AU1805" s="227"/>
      <c r="AV1805" s="227"/>
    </row>
    <row r="1806">
      <c r="A1806" s="227"/>
      <c r="B1806" s="232"/>
      <c r="C1806" s="227"/>
      <c r="D1806" s="227"/>
      <c r="E1806" s="231"/>
      <c r="F1806" s="232"/>
      <c r="G1806" s="227"/>
      <c r="H1806" s="227"/>
      <c r="I1806" s="227"/>
      <c r="J1806" s="227"/>
      <c r="K1806" s="227"/>
      <c r="L1806" s="232"/>
      <c r="M1806" s="232"/>
      <c r="N1806" s="227"/>
      <c r="O1806" s="227"/>
      <c r="P1806" s="231"/>
      <c r="Q1806" s="227"/>
      <c r="R1806" s="231"/>
      <c r="S1806" s="231"/>
      <c r="T1806" s="231"/>
      <c r="U1806" s="231"/>
      <c r="V1806" s="231"/>
      <c r="W1806" s="231"/>
      <c r="X1806" s="227"/>
      <c r="Y1806" s="232"/>
      <c r="Z1806" s="232"/>
      <c r="AA1806" s="232"/>
      <c r="AB1806" s="232"/>
      <c r="AC1806" s="227"/>
      <c r="AD1806" s="227"/>
      <c r="AE1806" s="231"/>
      <c r="AF1806" s="227"/>
      <c r="AG1806" s="232"/>
      <c r="AH1806" s="232"/>
      <c r="AI1806" s="232"/>
      <c r="AJ1806" s="232"/>
      <c r="AK1806" s="232"/>
      <c r="AL1806" s="232"/>
      <c r="AM1806" s="232"/>
      <c r="AN1806" s="232"/>
      <c r="AO1806" s="231"/>
      <c r="AP1806" s="231"/>
      <c r="AQ1806" s="227"/>
      <c r="AR1806" s="231"/>
      <c r="AS1806" s="227"/>
      <c r="AT1806" s="227"/>
      <c r="AU1806" s="227"/>
      <c r="AV1806" s="227"/>
    </row>
    <row r="1807">
      <c r="A1807" s="227"/>
      <c r="B1807" s="232"/>
      <c r="C1807" s="227"/>
      <c r="D1807" s="227"/>
      <c r="E1807" s="231"/>
      <c r="F1807" s="232"/>
      <c r="G1807" s="227"/>
      <c r="H1807" s="227"/>
      <c r="I1807" s="227"/>
      <c r="J1807" s="227"/>
      <c r="K1807" s="227"/>
      <c r="L1807" s="232"/>
      <c r="M1807" s="232"/>
      <c r="N1807" s="227"/>
      <c r="O1807" s="227"/>
      <c r="P1807" s="231"/>
      <c r="Q1807" s="227"/>
      <c r="R1807" s="231"/>
      <c r="S1807" s="231"/>
      <c r="T1807" s="231"/>
      <c r="U1807" s="231"/>
      <c r="V1807" s="231"/>
      <c r="W1807" s="231"/>
      <c r="X1807" s="227"/>
      <c r="Y1807" s="232"/>
      <c r="Z1807" s="232"/>
      <c r="AA1807" s="232"/>
      <c r="AB1807" s="232"/>
      <c r="AC1807" s="227"/>
      <c r="AD1807" s="227"/>
      <c r="AE1807" s="231"/>
      <c r="AF1807" s="227"/>
      <c r="AG1807" s="232"/>
      <c r="AH1807" s="232"/>
      <c r="AI1807" s="232"/>
      <c r="AJ1807" s="232"/>
      <c r="AK1807" s="232"/>
      <c r="AL1807" s="232"/>
      <c r="AM1807" s="232"/>
      <c r="AN1807" s="232"/>
      <c r="AO1807" s="231"/>
      <c r="AP1807" s="231"/>
      <c r="AQ1807" s="227"/>
      <c r="AR1807" s="231"/>
      <c r="AS1807" s="227"/>
      <c r="AT1807" s="227"/>
      <c r="AU1807" s="227"/>
      <c r="AV1807" s="227"/>
    </row>
    <row r="1808">
      <c r="A1808" s="227"/>
      <c r="B1808" s="232"/>
      <c r="C1808" s="227"/>
      <c r="D1808" s="227"/>
      <c r="E1808" s="231"/>
      <c r="F1808" s="232"/>
      <c r="G1808" s="227"/>
      <c r="H1808" s="227"/>
      <c r="I1808" s="227"/>
      <c r="J1808" s="227"/>
      <c r="K1808" s="227"/>
      <c r="L1808" s="232"/>
      <c r="M1808" s="232"/>
      <c r="N1808" s="227"/>
      <c r="O1808" s="227"/>
      <c r="P1808" s="231"/>
      <c r="Q1808" s="227"/>
      <c r="R1808" s="231"/>
      <c r="S1808" s="231"/>
      <c r="T1808" s="231"/>
      <c r="U1808" s="231"/>
      <c r="V1808" s="231"/>
      <c r="W1808" s="231"/>
      <c r="X1808" s="227"/>
      <c r="Y1808" s="232"/>
      <c r="Z1808" s="232"/>
      <c r="AA1808" s="232"/>
      <c r="AB1808" s="232"/>
      <c r="AC1808" s="227"/>
      <c r="AD1808" s="227"/>
      <c r="AE1808" s="231"/>
      <c r="AF1808" s="227"/>
      <c r="AG1808" s="232"/>
      <c r="AH1808" s="232"/>
      <c r="AI1808" s="232"/>
      <c r="AJ1808" s="232"/>
      <c r="AK1808" s="232"/>
      <c r="AL1808" s="232"/>
      <c r="AM1808" s="232"/>
      <c r="AN1808" s="232"/>
      <c r="AO1808" s="231"/>
      <c r="AP1808" s="231"/>
      <c r="AQ1808" s="227"/>
      <c r="AR1808" s="231"/>
      <c r="AS1808" s="227"/>
      <c r="AT1808" s="227"/>
      <c r="AU1808" s="227"/>
      <c r="AV1808" s="227"/>
    </row>
    <row r="1809">
      <c r="A1809" s="227"/>
      <c r="B1809" s="232"/>
      <c r="C1809" s="227"/>
      <c r="D1809" s="227"/>
      <c r="E1809" s="231"/>
      <c r="F1809" s="232"/>
      <c r="G1809" s="227"/>
      <c r="H1809" s="227"/>
      <c r="I1809" s="227"/>
      <c r="J1809" s="227"/>
      <c r="K1809" s="227"/>
      <c r="L1809" s="232"/>
      <c r="M1809" s="232"/>
      <c r="N1809" s="227"/>
      <c r="O1809" s="227"/>
      <c r="P1809" s="231"/>
      <c r="Q1809" s="227"/>
      <c r="R1809" s="231"/>
      <c r="S1809" s="231"/>
      <c r="T1809" s="231"/>
      <c r="U1809" s="231"/>
      <c r="V1809" s="231"/>
      <c r="W1809" s="231"/>
      <c r="X1809" s="227"/>
      <c r="Y1809" s="232"/>
      <c r="Z1809" s="232"/>
      <c r="AA1809" s="232"/>
      <c r="AB1809" s="232"/>
      <c r="AC1809" s="227"/>
      <c r="AD1809" s="227"/>
      <c r="AE1809" s="231"/>
      <c r="AF1809" s="227"/>
      <c r="AG1809" s="232"/>
      <c r="AH1809" s="232"/>
      <c r="AI1809" s="232"/>
      <c r="AJ1809" s="232"/>
      <c r="AK1809" s="232"/>
      <c r="AL1809" s="232"/>
      <c r="AM1809" s="232"/>
      <c r="AN1809" s="232"/>
      <c r="AO1809" s="231"/>
      <c r="AP1809" s="231"/>
      <c r="AQ1809" s="227"/>
      <c r="AR1809" s="231"/>
      <c r="AS1809" s="227"/>
      <c r="AT1809" s="227"/>
      <c r="AU1809" s="227"/>
      <c r="AV1809" s="227"/>
    </row>
    <row r="1810">
      <c r="A1810" s="227"/>
      <c r="B1810" s="232"/>
      <c r="C1810" s="227"/>
      <c r="D1810" s="227"/>
      <c r="E1810" s="231"/>
      <c r="F1810" s="232"/>
      <c r="G1810" s="227"/>
      <c r="H1810" s="227"/>
      <c r="I1810" s="227"/>
      <c r="J1810" s="227"/>
      <c r="K1810" s="227"/>
      <c r="L1810" s="232"/>
      <c r="M1810" s="232"/>
      <c r="N1810" s="227"/>
      <c r="O1810" s="227"/>
      <c r="P1810" s="231"/>
      <c r="Q1810" s="227"/>
      <c r="R1810" s="231"/>
      <c r="S1810" s="231"/>
      <c r="T1810" s="231"/>
      <c r="U1810" s="231"/>
      <c r="V1810" s="231"/>
      <c r="W1810" s="231"/>
      <c r="X1810" s="227"/>
      <c r="Y1810" s="232"/>
      <c r="Z1810" s="232"/>
      <c r="AA1810" s="232"/>
      <c r="AB1810" s="232"/>
      <c r="AC1810" s="227"/>
      <c r="AD1810" s="227"/>
      <c r="AE1810" s="231"/>
      <c r="AF1810" s="227"/>
      <c r="AG1810" s="232"/>
      <c r="AH1810" s="232"/>
      <c r="AI1810" s="232"/>
      <c r="AJ1810" s="232"/>
      <c r="AK1810" s="232"/>
      <c r="AL1810" s="232"/>
      <c r="AM1810" s="232"/>
      <c r="AN1810" s="232"/>
      <c r="AO1810" s="231"/>
      <c r="AP1810" s="231"/>
      <c r="AQ1810" s="227"/>
      <c r="AR1810" s="231"/>
      <c r="AS1810" s="227"/>
      <c r="AT1810" s="227"/>
      <c r="AU1810" s="227"/>
      <c r="AV1810" s="227"/>
    </row>
    <row r="1811">
      <c r="A1811" s="227"/>
      <c r="B1811" s="232"/>
      <c r="C1811" s="227"/>
      <c r="D1811" s="227"/>
      <c r="E1811" s="231"/>
      <c r="F1811" s="232"/>
      <c r="G1811" s="227"/>
      <c r="H1811" s="227"/>
      <c r="I1811" s="227"/>
      <c r="J1811" s="227"/>
      <c r="K1811" s="227"/>
      <c r="L1811" s="232"/>
      <c r="M1811" s="232"/>
      <c r="N1811" s="227"/>
      <c r="O1811" s="227"/>
      <c r="P1811" s="231"/>
      <c r="Q1811" s="227"/>
      <c r="R1811" s="231"/>
      <c r="S1811" s="231"/>
      <c r="T1811" s="231"/>
      <c r="U1811" s="231"/>
      <c r="V1811" s="231"/>
      <c r="W1811" s="231"/>
      <c r="X1811" s="227"/>
      <c r="Y1811" s="232"/>
      <c r="Z1811" s="232"/>
      <c r="AA1811" s="232"/>
      <c r="AB1811" s="232"/>
      <c r="AC1811" s="227"/>
      <c r="AD1811" s="227"/>
      <c r="AE1811" s="231"/>
      <c r="AF1811" s="227"/>
      <c r="AG1811" s="232"/>
      <c r="AH1811" s="232"/>
      <c r="AI1811" s="232"/>
      <c r="AJ1811" s="232"/>
      <c r="AK1811" s="232"/>
      <c r="AL1811" s="232"/>
      <c r="AM1811" s="232"/>
      <c r="AN1811" s="232"/>
      <c r="AO1811" s="231"/>
      <c r="AP1811" s="231"/>
      <c r="AQ1811" s="227"/>
      <c r="AR1811" s="231"/>
      <c r="AS1811" s="227"/>
      <c r="AT1811" s="227"/>
      <c r="AU1811" s="227"/>
      <c r="AV1811" s="227"/>
    </row>
    <row r="1812">
      <c r="A1812" s="227"/>
      <c r="B1812" s="232"/>
      <c r="C1812" s="227"/>
      <c r="D1812" s="227"/>
      <c r="E1812" s="231"/>
      <c r="F1812" s="232"/>
      <c r="G1812" s="227"/>
      <c r="H1812" s="227"/>
      <c r="I1812" s="227"/>
      <c r="J1812" s="227"/>
      <c r="K1812" s="227"/>
      <c r="L1812" s="232"/>
      <c r="M1812" s="232"/>
      <c r="N1812" s="227"/>
      <c r="O1812" s="227"/>
      <c r="P1812" s="231"/>
      <c r="Q1812" s="227"/>
      <c r="R1812" s="231"/>
      <c r="S1812" s="231"/>
      <c r="T1812" s="231"/>
      <c r="U1812" s="231"/>
      <c r="V1812" s="231"/>
      <c r="W1812" s="231"/>
      <c r="X1812" s="227"/>
      <c r="Y1812" s="232"/>
      <c r="Z1812" s="232"/>
      <c r="AA1812" s="232"/>
      <c r="AB1812" s="232"/>
      <c r="AC1812" s="227"/>
      <c r="AD1812" s="227"/>
      <c r="AE1812" s="231"/>
      <c r="AF1812" s="227"/>
      <c r="AG1812" s="232"/>
      <c r="AH1812" s="232"/>
      <c r="AI1812" s="232"/>
      <c r="AJ1812" s="232"/>
      <c r="AK1812" s="232"/>
      <c r="AL1812" s="232"/>
      <c r="AM1812" s="232"/>
      <c r="AN1812" s="232"/>
      <c r="AO1812" s="231"/>
      <c r="AP1812" s="231"/>
      <c r="AQ1812" s="227"/>
      <c r="AR1812" s="231"/>
      <c r="AS1812" s="227"/>
      <c r="AT1812" s="227"/>
      <c r="AU1812" s="227"/>
      <c r="AV1812" s="227"/>
    </row>
    <row r="1813">
      <c r="A1813" s="227"/>
      <c r="B1813" s="232"/>
      <c r="C1813" s="227"/>
      <c r="D1813" s="227"/>
      <c r="E1813" s="231"/>
      <c r="F1813" s="232"/>
      <c r="G1813" s="227"/>
      <c r="H1813" s="227"/>
      <c r="I1813" s="227"/>
      <c r="J1813" s="227"/>
      <c r="K1813" s="227"/>
      <c r="L1813" s="232"/>
      <c r="M1813" s="232"/>
      <c r="N1813" s="227"/>
      <c r="O1813" s="227"/>
      <c r="P1813" s="231"/>
      <c r="Q1813" s="227"/>
      <c r="R1813" s="231"/>
      <c r="S1813" s="231"/>
      <c r="T1813" s="231"/>
      <c r="U1813" s="231"/>
      <c r="V1813" s="231"/>
      <c r="W1813" s="231"/>
      <c r="X1813" s="227"/>
      <c r="Y1813" s="232"/>
      <c r="Z1813" s="232"/>
      <c r="AA1813" s="232"/>
      <c r="AB1813" s="232"/>
      <c r="AC1813" s="227"/>
      <c r="AD1813" s="227"/>
      <c r="AE1813" s="231"/>
      <c r="AF1813" s="227"/>
      <c r="AG1813" s="232"/>
      <c r="AH1813" s="232"/>
      <c r="AI1813" s="232"/>
      <c r="AJ1813" s="232"/>
      <c r="AK1813" s="232"/>
      <c r="AL1813" s="232"/>
      <c r="AM1813" s="232"/>
      <c r="AN1813" s="232"/>
      <c r="AO1813" s="231"/>
      <c r="AP1813" s="231"/>
      <c r="AQ1813" s="227"/>
      <c r="AR1813" s="231"/>
      <c r="AS1813" s="227"/>
      <c r="AT1813" s="227"/>
      <c r="AU1813" s="227"/>
      <c r="AV1813" s="227"/>
    </row>
    <row r="1814">
      <c r="A1814" s="227"/>
      <c r="B1814" s="232"/>
      <c r="C1814" s="227"/>
      <c r="D1814" s="227"/>
      <c r="E1814" s="231"/>
      <c r="F1814" s="232"/>
      <c r="G1814" s="227"/>
      <c r="H1814" s="227"/>
      <c r="I1814" s="227"/>
      <c r="J1814" s="227"/>
      <c r="K1814" s="227"/>
      <c r="L1814" s="232"/>
      <c r="M1814" s="232"/>
      <c r="N1814" s="227"/>
      <c r="O1814" s="227"/>
      <c r="P1814" s="231"/>
      <c r="Q1814" s="227"/>
      <c r="R1814" s="231"/>
      <c r="S1814" s="231"/>
      <c r="T1814" s="231"/>
      <c r="U1814" s="231"/>
      <c r="V1814" s="231"/>
      <c r="W1814" s="231"/>
      <c r="X1814" s="227"/>
      <c r="Y1814" s="232"/>
      <c r="Z1814" s="232"/>
      <c r="AA1814" s="232"/>
      <c r="AB1814" s="232"/>
      <c r="AC1814" s="227"/>
      <c r="AD1814" s="227"/>
      <c r="AE1814" s="231"/>
      <c r="AF1814" s="227"/>
      <c r="AG1814" s="232"/>
      <c r="AH1814" s="232"/>
      <c r="AI1814" s="232"/>
      <c r="AJ1814" s="232"/>
      <c r="AK1814" s="232"/>
      <c r="AL1814" s="232"/>
      <c r="AM1814" s="232"/>
      <c r="AN1814" s="232"/>
      <c r="AO1814" s="231"/>
      <c r="AP1814" s="231"/>
      <c r="AQ1814" s="227"/>
      <c r="AR1814" s="231"/>
      <c r="AS1814" s="227"/>
      <c r="AT1814" s="227"/>
      <c r="AU1814" s="227"/>
      <c r="AV1814" s="227"/>
    </row>
    <row r="1815">
      <c r="A1815" s="227"/>
      <c r="B1815" s="232"/>
      <c r="C1815" s="227"/>
      <c r="D1815" s="227"/>
      <c r="E1815" s="231"/>
      <c r="F1815" s="232"/>
      <c r="G1815" s="227"/>
      <c r="H1815" s="227"/>
      <c r="I1815" s="227"/>
      <c r="J1815" s="227"/>
      <c r="K1815" s="227"/>
      <c r="L1815" s="232"/>
      <c r="M1815" s="232"/>
      <c r="N1815" s="227"/>
      <c r="O1815" s="227"/>
      <c r="P1815" s="231"/>
      <c r="Q1815" s="227"/>
      <c r="R1815" s="231"/>
      <c r="S1815" s="231"/>
      <c r="T1815" s="231"/>
      <c r="U1815" s="231"/>
      <c r="V1815" s="231"/>
      <c r="W1815" s="231"/>
      <c r="X1815" s="227"/>
      <c r="Y1815" s="232"/>
      <c r="Z1815" s="232"/>
      <c r="AA1815" s="232"/>
      <c r="AB1815" s="232"/>
      <c r="AC1815" s="227"/>
      <c r="AD1815" s="227"/>
      <c r="AE1815" s="231"/>
      <c r="AF1815" s="227"/>
      <c r="AG1815" s="232"/>
      <c r="AH1815" s="232"/>
      <c r="AI1815" s="232"/>
      <c r="AJ1815" s="232"/>
      <c r="AK1815" s="232"/>
      <c r="AL1815" s="232"/>
      <c r="AM1815" s="232"/>
      <c r="AN1815" s="232"/>
      <c r="AO1815" s="231"/>
      <c r="AP1815" s="231"/>
      <c r="AQ1815" s="227"/>
      <c r="AR1815" s="231"/>
      <c r="AS1815" s="227"/>
      <c r="AT1815" s="227"/>
      <c r="AU1815" s="227"/>
      <c r="AV1815" s="227"/>
    </row>
    <row r="1816">
      <c r="A1816" s="227"/>
      <c r="B1816" s="232"/>
      <c r="C1816" s="227"/>
      <c r="D1816" s="227"/>
      <c r="E1816" s="231"/>
      <c r="F1816" s="232"/>
      <c r="G1816" s="227"/>
      <c r="H1816" s="227"/>
      <c r="I1816" s="227"/>
      <c r="J1816" s="227"/>
      <c r="K1816" s="227"/>
      <c r="L1816" s="232"/>
      <c r="M1816" s="232"/>
      <c r="N1816" s="227"/>
      <c r="O1816" s="227"/>
      <c r="P1816" s="231"/>
      <c r="Q1816" s="227"/>
      <c r="R1816" s="231"/>
      <c r="S1816" s="231"/>
      <c r="T1816" s="231"/>
      <c r="U1816" s="231"/>
      <c r="V1816" s="231"/>
      <c r="W1816" s="231"/>
      <c r="X1816" s="227"/>
      <c r="Y1816" s="232"/>
      <c r="Z1816" s="232"/>
      <c r="AA1816" s="232"/>
      <c r="AB1816" s="232"/>
      <c r="AC1816" s="227"/>
      <c r="AD1816" s="227"/>
      <c r="AE1816" s="231"/>
      <c r="AF1816" s="227"/>
      <c r="AG1816" s="232"/>
      <c r="AH1816" s="232"/>
      <c r="AI1816" s="232"/>
      <c r="AJ1816" s="232"/>
      <c r="AK1816" s="232"/>
      <c r="AL1816" s="232"/>
      <c r="AM1816" s="232"/>
      <c r="AN1816" s="232"/>
      <c r="AO1816" s="231"/>
      <c r="AP1816" s="231"/>
      <c r="AQ1816" s="227"/>
      <c r="AR1816" s="231"/>
      <c r="AS1816" s="227"/>
      <c r="AT1816" s="227"/>
      <c r="AU1816" s="227"/>
      <c r="AV1816" s="227"/>
    </row>
    <row r="1817">
      <c r="A1817" s="227"/>
      <c r="B1817" s="232"/>
      <c r="C1817" s="227"/>
      <c r="D1817" s="227"/>
      <c r="E1817" s="231"/>
      <c r="F1817" s="232"/>
      <c r="G1817" s="227"/>
      <c r="H1817" s="227"/>
      <c r="I1817" s="227"/>
      <c r="J1817" s="227"/>
      <c r="K1817" s="227"/>
      <c r="L1817" s="232"/>
      <c r="M1817" s="232"/>
      <c r="N1817" s="227"/>
      <c r="O1817" s="227"/>
      <c r="P1817" s="231"/>
      <c r="Q1817" s="227"/>
      <c r="R1817" s="231"/>
      <c r="S1817" s="231"/>
      <c r="T1817" s="231"/>
      <c r="U1817" s="231"/>
      <c r="V1817" s="231"/>
      <c r="W1817" s="231"/>
      <c r="X1817" s="227"/>
      <c r="Y1817" s="232"/>
      <c r="Z1817" s="232"/>
      <c r="AA1817" s="232"/>
      <c r="AB1817" s="232"/>
      <c r="AC1817" s="227"/>
      <c r="AD1817" s="227"/>
      <c r="AE1817" s="231"/>
      <c r="AF1817" s="227"/>
      <c r="AG1817" s="232"/>
      <c r="AH1817" s="232"/>
      <c r="AI1817" s="232"/>
      <c r="AJ1817" s="232"/>
      <c r="AK1817" s="232"/>
      <c r="AL1817" s="232"/>
      <c r="AM1817" s="232"/>
      <c r="AN1817" s="232"/>
      <c r="AO1817" s="231"/>
      <c r="AP1817" s="231"/>
      <c r="AQ1817" s="227"/>
      <c r="AR1817" s="231"/>
      <c r="AS1817" s="227"/>
      <c r="AT1817" s="227"/>
      <c r="AU1817" s="227"/>
      <c r="AV1817" s="227"/>
    </row>
    <row r="1818">
      <c r="A1818" s="227"/>
      <c r="B1818" s="232"/>
      <c r="C1818" s="227"/>
      <c r="D1818" s="227"/>
      <c r="E1818" s="231"/>
      <c r="F1818" s="232"/>
      <c r="G1818" s="227"/>
      <c r="H1818" s="227"/>
      <c r="I1818" s="227"/>
      <c r="J1818" s="227"/>
      <c r="K1818" s="227"/>
      <c r="L1818" s="232"/>
      <c r="M1818" s="232"/>
      <c r="N1818" s="227"/>
      <c r="O1818" s="227"/>
      <c r="P1818" s="231"/>
      <c r="Q1818" s="227"/>
      <c r="R1818" s="231"/>
      <c r="S1818" s="231"/>
      <c r="T1818" s="231"/>
      <c r="U1818" s="231"/>
      <c r="V1818" s="231"/>
      <c r="W1818" s="231"/>
      <c r="X1818" s="227"/>
      <c r="Y1818" s="232"/>
      <c r="Z1818" s="232"/>
      <c r="AA1818" s="232"/>
      <c r="AB1818" s="232"/>
      <c r="AC1818" s="227"/>
      <c r="AD1818" s="227"/>
      <c r="AE1818" s="231"/>
      <c r="AF1818" s="227"/>
      <c r="AG1818" s="232"/>
      <c r="AH1818" s="232"/>
      <c r="AI1818" s="232"/>
      <c r="AJ1818" s="232"/>
      <c r="AK1818" s="232"/>
      <c r="AL1818" s="232"/>
      <c r="AM1818" s="232"/>
      <c r="AN1818" s="232"/>
      <c r="AO1818" s="231"/>
      <c r="AP1818" s="231"/>
      <c r="AQ1818" s="227"/>
      <c r="AR1818" s="231"/>
      <c r="AS1818" s="227"/>
      <c r="AT1818" s="227"/>
      <c r="AU1818" s="227"/>
      <c r="AV1818" s="227"/>
    </row>
    <row r="1819">
      <c r="A1819" s="227"/>
      <c r="B1819" s="232"/>
      <c r="C1819" s="227"/>
      <c r="D1819" s="227"/>
      <c r="E1819" s="231"/>
      <c r="F1819" s="232"/>
      <c r="G1819" s="227"/>
      <c r="H1819" s="227"/>
      <c r="I1819" s="227"/>
      <c r="J1819" s="227"/>
      <c r="K1819" s="227"/>
      <c r="L1819" s="232"/>
      <c r="M1819" s="232"/>
      <c r="N1819" s="227"/>
      <c r="O1819" s="227"/>
      <c r="P1819" s="231"/>
      <c r="Q1819" s="227"/>
      <c r="R1819" s="231"/>
      <c r="S1819" s="231"/>
      <c r="T1819" s="231"/>
      <c r="U1819" s="231"/>
      <c r="V1819" s="231"/>
      <c r="W1819" s="231"/>
      <c r="X1819" s="227"/>
      <c r="Y1819" s="232"/>
      <c r="Z1819" s="232"/>
      <c r="AA1819" s="232"/>
      <c r="AB1819" s="232"/>
      <c r="AC1819" s="227"/>
      <c r="AD1819" s="227"/>
      <c r="AE1819" s="231"/>
      <c r="AF1819" s="227"/>
      <c r="AG1819" s="232"/>
      <c r="AH1819" s="232"/>
      <c r="AI1819" s="232"/>
      <c r="AJ1819" s="232"/>
      <c r="AK1819" s="232"/>
      <c r="AL1819" s="232"/>
      <c r="AM1819" s="232"/>
      <c r="AN1819" s="232"/>
      <c r="AO1819" s="231"/>
      <c r="AP1819" s="231"/>
      <c r="AQ1819" s="227"/>
      <c r="AR1819" s="231"/>
      <c r="AS1819" s="227"/>
      <c r="AT1819" s="227"/>
      <c r="AU1819" s="227"/>
      <c r="AV1819" s="227"/>
    </row>
    <row r="1820">
      <c r="A1820" s="227"/>
      <c r="B1820" s="232"/>
      <c r="C1820" s="227"/>
      <c r="D1820" s="227"/>
      <c r="E1820" s="231"/>
      <c r="F1820" s="232"/>
      <c r="G1820" s="227"/>
      <c r="H1820" s="227"/>
      <c r="I1820" s="227"/>
      <c r="J1820" s="227"/>
      <c r="K1820" s="227"/>
      <c r="L1820" s="232"/>
      <c r="M1820" s="232"/>
      <c r="N1820" s="227"/>
      <c r="O1820" s="227"/>
      <c r="P1820" s="231"/>
      <c r="Q1820" s="227"/>
      <c r="R1820" s="231"/>
      <c r="S1820" s="231"/>
      <c r="T1820" s="231"/>
      <c r="U1820" s="231"/>
      <c r="V1820" s="231"/>
      <c r="W1820" s="231"/>
      <c r="X1820" s="227"/>
      <c r="Y1820" s="232"/>
      <c r="Z1820" s="232"/>
      <c r="AA1820" s="232"/>
      <c r="AB1820" s="232"/>
      <c r="AC1820" s="227"/>
      <c r="AD1820" s="227"/>
      <c r="AE1820" s="231"/>
      <c r="AF1820" s="227"/>
      <c r="AG1820" s="232"/>
      <c r="AH1820" s="232"/>
      <c r="AI1820" s="232"/>
      <c r="AJ1820" s="232"/>
      <c r="AK1820" s="232"/>
      <c r="AL1820" s="232"/>
      <c r="AM1820" s="232"/>
      <c r="AN1820" s="232"/>
      <c r="AO1820" s="231"/>
      <c r="AP1820" s="231"/>
      <c r="AQ1820" s="227"/>
      <c r="AR1820" s="231"/>
      <c r="AS1820" s="227"/>
      <c r="AT1820" s="227"/>
      <c r="AU1820" s="227"/>
      <c r="AV1820" s="227"/>
    </row>
    <row r="1821">
      <c r="A1821" s="227"/>
      <c r="B1821" s="232"/>
      <c r="C1821" s="227"/>
      <c r="D1821" s="227"/>
      <c r="E1821" s="231"/>
      <c r="F1821" s="232"/>
      <c r="G1821" s="227"/>
      <c r="H1821" s="227"/>
      <c r="I1821" s="227"/>
      <c r="J1821" s="227"/>
      <c r="K1821" s="227"/>
      <c r="L1821" s="232"/>
      <c r="M1821" s="232"/>
      <c r="N1821" s="227"/>
      <c r="O1821" s="227"/>
      <c r="P1821" s="231"/>
      <c r="Q1821" s="227"/>
      <c r="R1821" s="231"/>
      <c r="S1821" s="231"/>
      <c r="T1821" s="231"/>
      <c r="U1821" s="231"/>
      <c r="V1821" s="231"/>
      <c r="W1821" s="231"/>
      <c r="X1821" s="227"/>
      <c r="Y1821" s="232"/>
      <c r="Z1821" s="232"/>
      <c r="AA1821" s="232"/>
      <c r="AB1821" s="232"/>
      <c r="AC1821" s="227"/>
      <c r="AD1821" s="227"/>
      <c r="AE1821" s="231"/>
      <c r="AF1821" s="227"/>
      <c r="AG1821" s="232"/>
      <c r="AH1821" s="232"/>
      <c r="AI1821" s="232"/>
      <c r="AJ1821" s="232"/>
      <c r="AK1821" s="232"/>
      <c r="AL1821" s="232"/>
      <c r="AM1821" s="232"/>
      <c r="AN1821" s="232"/>
      <c r="AO1821" s="231"/>
      <c r="AP1821" s="231"/>
      <c r="AQ1821" s="227"/>
      <c r="AR1821" s="231"/>
      <c r="AS1821" s="227"/>
      <c r="AT1821" s="227"/>
      <c r="AU1821" s="227"/>
      <c r="AV1821" s="227"/>
    </row>
    <row r="1822">
      <c r="A1822" s="227"/>
      <c r="B1822" s="232"/>
      <c r="C1822" s="227"/>
      <c r="D1822" s="227"/>
      <c r="E1822" s="231"/>
      <c r="F1822" s="232"/>
      <c r="G1822" s="227"/>
      <c r="H1822" s="227"/>
      <c r="I1822" s="227"/>
      <c r="J1822" s="227"/>
      <c r="K1822" s="227"/>
      <c r="L1822" s="232"/>
      <c r="M1822" s="232"/>
      <c r="N1822" s="227"/>
      <c r="O1822" s="227"/>
      <c r="P1822" s="231"/>
      <c r="Q1822" s="227"/>
      <c r="R1822" s="231"/>
      <c r="S1822" s="231"/>
      <c r="T1822" s="231"/>
      <c r="U1822" s="231"/>
      <c r="V1822" s="231"/>
      <c r="W1822" s="231"/>
      <c r="X1822" s="227"/>
      <c r="Y1822" s="232"/>
      <c r="Z1822" s="232"/>
      <c r="AA1822" s="232"/>
      <c r="AB1822" s="232"/>
      <c r="AC1822" s="227"/>
      <c r="AD1822" s="227"/>
      <c r="AE1822" s="231"/>
      <c r="AF1822" s="227"/>
      <c r="AG1822" s="232"/>
      <c r="AH1822" s="232"/>
      <c r="AI1822" s="232"/>
      <c r="AJ1822" s="232"/>
      <c r="AK1822" s="232"/>
      <c r="AL1822" s="232"/>
      <c r="AM1822" s="232"/>
      <c r="AN1822" s="232"/>
      <c r="AO1822" s="231"/>
      <c r="AP1822" s="231"/>
      <c r="AQ1822" s="227"/>
      <c r="AR1822" s="231"/>
      <c r="AS1822" s="227"/>
      <c r="AT1822" s="227"/>
      <c r="AU1822" s="227"/>
      <c r="AV1822" s="227"/>
    </row>
    <row r="1823">
      <c r="A1823" s="227"/>
      <c r="B1823" s="232"/>
      <c r="C1823" s="227"/>
      <c r="D1823" s="227"/>
      <c r="E1823" s="231"/>
      <c r="F1823" s="232"/>
      <c r="G1823" s="227"/>
      <c r="H1823" s="227"/>
      <c r="I1823" s="227"/>
      <c r="J1823" s="227"/>
      <c r="K1823" s="227"/>
      <c r="L1823" s="232"/>
      <c r="M1823" s="232"/>
      <c r="N1823" s="227"/>
      <c r="O1823" s="227"/>
      <c r="P1823" s="231"/>
      <c r="Q1823" s="227"/>
      <c r="R1823" s="231"/>
      <c r="S1823" s="231"/>
      <c r="T1823" s="231"/>
      <c r="U1823" s="231"/>
      <c r="V1823" s="231"/>
      <c r="W1823" s="231"/>
      <c r="X1823" s="227"/>
      <c r="Y1823" s="232"/>
      <c r="Z1823" s="232"/>
      <c r="AA1823" s="232"/>
      <c r="AB1823" s="232"/>
      <c r="AC1823" s="227"/>
      <c r="AD1823" s="227"/>
      <c r="AE1823" s="231"/>
      <c r="AF1823" s="227"/>
      <c r="AG1823" s="232"/>
      <c r="AH1823" s="232"/>
      <c r="AI1823" s="232"/>
      <c r="AJ1823" s="232"/>
      <c r="AK1823" s="232"/>
      <c r="AL1823" s="232"/>
      <c r="AM1823" s="232"/>
      <c r="AN1823" s="232"/>
      <c r="AO1823" s="231"/>
      <c r="AP1823" s="231"/>
      <c r="AQ1823" s="227"/>
      <c r="AR1823" s="231"/>
      <c r="AS1823" s="227"/>
      <c r="AT1823" s="227"/>
      <c r="AU1823" s="227"/>
      <c r="AV1823" s="227"/>
    </row>
    <row r="1824">
      <c r="A1824" s="227"/>
      <c r="B1824" s="232"/>
      <c r="C1824" s="227"/>
      <c r="D1824" s="227"/>
      <c r="E1824" s="231"/>
      <c r="F1824" s="232"/>
      <c r="G1824" s="227"/>
      <c r="H1824" s="227"/>
      <c r="I1824" s="227"/>
      <c r="J1824" s="227"/>
      <c r="K1824" s="227"/>
      <c r="L1824" s="232"/>
      <c r="M1824" s="232"/>
      <c r="N1824" s="227"/>
      <c r="O1824" s="227"/>
      <c r="P1824" s="231"/>
      <c r="Q1824" s="227"/>
      <c r="R1824" s="231"/>
      <c r="S1824" s="231"/>
      <c r="T1824" s="231"/>
      <c r="U1824" s="231"/>
      <c r="V1824" s="231"/>
      <c r="W1824" s="231"/>
      <c r="X1824" s="227"/>
      <c r="Y1824" s="232"/>
      <c r="Z1824" s="232"/>
      <c r="AA1824" s="232"/>
      <c r="AB1824" s="232"/>
      <c r="AC1824" s="227"/>
      <c r="AD1824" s="227"/>
      <c r="AE1824" s="231"/>
      <c r="AF1824" s="227"/>
      <c r="AG1824" s="232"/>
      <c r="AH1824" s="232"/>
      <c r="AI1824" s="232"/>
      <c r="AJ1824" s="232"/>
      <c r="AK1824" s="232"/>
      <c r="AL1824" s="232"/>
      <c r="AM1824" s="232"/>
      <c r="AN1824" s="232"/>
      <c r="AO1824" s="231"/>
      <c r="AP1824" s="231"/>
      <c r="AQ1824" s="227"/>
      <c r="AR1824" s="231"/>
      <c r="AS1824" s="227"/>
      <c r="AT1824" s="227"/>
      <c r="AU1824" s="227"/>
      <c r="AV1824" s="227"/>
    </row>
    <row r="1825">
      <c r="A1825" s="227"/>
      <c r="B1825" s="232"/>
      <c r="C1825" s="227"/>
      <c r="D1825" s="227"/>
      <c r="E1825" s="231"/>
      <c r="F1825" s="232"/>
      <c r="G1825" s="227"/>
      <c r="H1825" s="227"/>
      <c r="I1825" s="227"/>
      <c r="J1825" s="227"/>
      <c r="K1825" s="227"/>
      <c r="L1825" s="232"/>
      <c r="M1825" s="232"/>
      <c r="N1825" s="227"/>
      <c r="O1825" s="227"/>
      <c r="P1825" s="231"/>
      <c r="Q1825" s="227"/>
      <c r="R1825" s="231"/>
      <c r="S1825" s="231"/>
      <c r="T1825" s="231"/>
      <c r="U1825" s="231"/>
      <c r="V1825" s="231"/>
      <c r="W1825" s="231"/>
      <c r="X1825" s="227"/>
      <c r="Y1825" s="232"/>
      <c r="Z1825" s="232"/>
      <c r="AA1825" s="232"/>
      <c r="AB1825" s="232"/>
      <c r="AC1825" s="227"/>
      <c r="AD1825" s="227"/>
      <c r="AE1825" s="231"/>
      <c r="AF1825" s="227"/>
      <c r="AG1825" s="232"/>
      <c r="AH1825" s="232"/>
      <c r="AI1825" s="232"/>
      <c r="AJ1825" s="232"/>
      <c r="AK1825" s="232"/>
      <c r="AL1825" s="232"/>
      <c r="AM1825" s="232"/>
      <c r="AN1825" s="232"/>
      <c r="AO1825" s="231"/>
      <c r="AP1825" s="231"/>
      <c r="AQ1825" s="227"/>
      <c r="AR1825" s="231"/>
      <c r="AS1825" s="227"/>
      <c r="AT1825" s="227"/>
      <c r="AU1825" s="227"/>
      <c r="AV1825" s="227"/>
    </row>
    <row r="1826">
      <c r="A1826" s="227"/>
      <c r="B1826" s="232"/>
      <c r="C1826" s="227"/>
      <c r="D1826" s="227"/>
      <c r="E1826" s="231"/>
      <c r="F1826" s="232"/>
      <c r="G1826" s="227"/>
      <c r="H1826" s="227"/>
      <c r="I1826" s="227"/>
      <c r="J1826" s="227"/>
      <c r="K1826" s="227"/>
      <c r="L1826" s="232"/>
      <c r="M1826" s="232"/>
      <c r="N1826" s="227"/>
      <c r="O1826" s="227"/>
      <c r="P1826" s="231"/>
      <c r="Q1826" s="227"/>
      <c r="R1826" s="231"/>
      <c r="S1826" s="231"/>
      <c r="T1826" s="231"/>
      <c r="U1826" s="231"/>
      <c r="V1826" s="231"/>
      <c r="W1826" s="231"/>
      <c r="X1826" s="227"/>
      <c r="Y1826" s="232"/>
      <c r="Z1826" s="232"/>
      <c r="AA1826" s="232"/>
      <c r="AB1826" s="232"/>
      <c r="AC1826" s="227"/>
      <c r="AD1826" s="227"/>
      <c r="AE1826" s="231"/>
      <c r="AF1826" s="227"/>
      <c r="AG1826" s="232"/>
      <c r="AH1826" s="232"/>
      <c r="AI1826" s="232"/>
      <c r="AJ1826" s="232"/>
      <c r="AK1826" s="232"/>
      <c r="AL1826" s="232"/>
      <c r="AM1826" s="232"/>
      <c r="AN1826" s="232"/>
      <c r="AO1826" s="231"/>
      <c r="AP1826" s="231"/>
      <c r="AQ1826" s="227"/>
      <c r="AR1826" s="231"/>
      <c r="AS1826" s="227"/>
      <c r="AT1826" s="227"/>
      <c r="AU1826" s="227"/>
      <c r="AV1826" s="227"/>
    </row>
    <row r="1827">
      <c r="A1827" s="227"/>
      <c r="B1827" s="232"/>
      <c r="C1827" s="227"/>
      <c r="D1827" s="227"/>
      <c r="E1827" s="231"/>
      <c r="F1827" s="232"/>
      <c r="G1827" s="227"/>
      <c r="H1827" s="227"/>
      <c r="I1827" s="227"/>
      <c r="J1827" s="227"/>
      <c r="K1827" s="227"/>
      <c r="L1827" s="232"/>
      <c r="M1827" s="232"/>
      <c r="N1827" s="227"/>
      <c r="O1827" s="227"/>
      <c r="P1827" s="231"/>
      <c r="Q1827" s="227"/>
      <c r="R1827" s="231"/>
      <c r="S1827" s="231"/>
      <c r="T1827" s="231"/>
      <c r="U1827" s="231"/>
      <c r="V1827" s="231"/>
      <c r="W1827" s="231"/>
      <c r="X1827" s="227"/>
      <c r="Y1827" s="232"/>
      <c r="Z1827" s="232"/>
      <c r="AA1827" s="232"/>
      <c r="AB1827" s="232"/>
      <c r="AC1827" s="227"/>
      <c r="AD1827" s="227"/>
      <c r="AE1827" s="231"/>
      <c r="AF1827" s="227"/>
      <c r="AG1827" s="232"/>
      <c r="AH1827" s="232"/>
      <c r="AI1827" s="232"/>
      <c r="AJ1827" s="232"/>
      <c r="AK1827" s="232"/>
      <c r="AL1827" s="232"/>
      <c r="AM1827" s="232"/>
      <c r="AN1827" s="232"/>
      <c r="AO1827" s="231"/>
      <c r="AP1827" s="231"/>
      <c r="AQ1827" s="227"/>
      <c r="AR1827" s="231"/>
      <c r="AS1827" s="227"/>
      <c r="AT1827" s="227"/>
      <c r="AU1827" s="227"/>
      <c r="AV1827" s="227"/>
    </row>
    <row r="1828">
      <c r="A1828" s="227"/>
      <c r="B1828" s="232"/>
      <c r="C1828" s="227"/>
      <c r="D1828" s="227"/>
      <c r="E1828" s="231"/>
      <c r="F1828" s="232"/>
      <c r="G1828" s="227"/>
      <c r="H1828" s="227"/>
      <c r="I1828" s="227"/>
      <c r="J1828" s="227"/>
      <c r="K1828" s="227"/>
      <c r="L1828" s="232"/>
      <c r="M1828" s="232"/>
      <c r="N1828" s="227"/>
      <c r="O1828" s="227"/>
      <c r="P1828" s="231"/>
      <c r="Q1828" s="227"/>
      <c r="R1828" s="231"/>
      <c r="S1828" s="231"/>
      <c r="T1828" s="231"/>
      <c r="U1828" s="231"/>
      <c r="V1828" s="231"/>
      <c r="W1828" s="231"/>
      <c r="X1828" s="227"/>
      <c r="Y1828" s="232"/>
      <c r="Z1828" s="232"/>
      <c r="AA1828" s="232"/>
      <c r="AB1828" s="232"/>
      <c r="AC1828" s="227"/>
      <c r="AD1828" s="227"/>
      <c r="AE1828" s="231"/>
      <c r="AF1828" s="227"/>
      <c r="AG1828" s="232"/>
      <c r="AH1828" s="232"/>
      <c r="AI1828" s="232"/>
      <c r="AJ1828" s="232"/>
      <c r="AK1828" s="232"/>
      <c r="AL1828" s="232"/>
      <c r="AM1828" s="232"/>
      <c r="AN1828" s="232"/>
      <c r="AO1828" s="231"/>
      <c r="AP1828" s="231"/>
      <c r="AQ1828" s="227"/>
      <c r="AR1828" s="231"/>
      <c r="AS1828" s="227"/>
      <c r="AT1828" s="227"/>
      <c r="AU1828" s="227"/>
      <c r="AV1828" s="227"/>
    </row>
    <row r="1829">
      <c r="A1829" s="227"/>
      <c r="B1829" s="232"/>
      <c r="C1829" s="227"/>
      <c r="D1829" s="227"/>
      <c r="E1829" s="231"/>
      <c r="F1829" s="232"/>
      <c r="G1829" s="227"/>
      <c r="H1829" s="227"/>
      <c r="I1829" s="227"/>
      <c r="J1829" s="227"/>
      <c r="K1829" s="227"/>
      <c r="L1829" s="232"/>
      <c r="M1829" s="232"/>
      <c r="N1829" s="227"/>
      <c r="O1829" s="227"/>
      <c r="P1829" s="231"/>
      <c r="Q1829" s="227"/>
      <c r="R1829" s="231"/>
      <c r="S1829" s="231"/>
      <c r="T1829" s="231"/>
      <c r="U1829" s="231"/>
      <c r="V1829" s="231"/>
      <c r="W1829" s="231"/>
      <c r="X1829" s="227"/>
      <c r="Y1829" s="232"/>
      <c r="Z1829" s="232"/>
      <c r="AA1829" s="232"/>
      <c r="AB1829" s="232"/>
      <c r="AC1829" s="227"/>
      <c r="AD1829" s="227"/>
      <c r="AE1829" s="231"/>
      <c r="AF1829" s="227"/>
      <c r="AG1829" s="232"/>
      <c r="AH1829" s="232"/>
      <c r="AI1829" s="232"/>
      <c r="AJ1829" s="232"/>
      <c r="AK1829" s="232"/>
      <c r="AL1829" s="232"/>
      <c r="AM1829" s="232"/>
      <c r="AN1829" s="232"/>
      <c r="AO1829" s="231"/>
      <c r="AP1829" s="231"/>
      <c r="AQ1829" s="227"/>
      <c r="AR1829" s="231"/>
      <c r="AS1829" s="227"/>
      <c r="AT1829" s="227"/>
      <c r="AU1829" s="227"/>
      <c r="AV1829" s="227"/>
    </row>
    <row r="1830">
      <c r="A1830" s="227"/>
      <c r="B1830" s="232"/>
      <c r="C1830" s="227"/>
      <c r="D1830" s="227"/>
      <c r="E1830" s="231"/>
      <c r="F1830" s="232"/>
      <c r="G1830" s="227"/>
      <c r="H1830" s="227"/>
      <c r="I1830" s="227"/>
      <c r="J1830" s="227"/>
      <c r="K1830" s="227"/>
      <c r="L1830" s="232"/>
      <c r="M1830" s="232"/>
      <c r="N1830" s="227"/>
      <c r="O1830" s="227"/>
      <c r="P1830" s="231"/>
      <c r="Q1830" s="227"/>
      <c r="R1830" s="231"/>
      <c r="S1830" s="231"/>
      <c r="T1830" s="231"/>
      <c r="U1830" s="231"/>
      <c r="V1830" s="231"/>
      <c r="W1830" s="231"/>
      <c r="X1830" s="227"/>
      <c r="Y1830" s="232"/>
      <c r="Z1830" s="232"/>
      <c r="AA1830" s="232"/>
      <c r="AB1830" s="232"/>
      <c r="AC1830" s="227"/>
      <c r="AD1830" s="227"/>
      <c r="AE1830" s="231"/>
      <c r="AF1830" s="227"/>
      <c r="AG1830" s="232"/>
      <c r="AH1830" s="232"/>
      <c r="AI1830" s="232"/>
      <c r="AJ1830" s="232"/>
      <c r="AK1830" s="232"/>
      <c r="AL1830" s="232"/>
      <c r="AM1830" s="232"/>
      <c r="AN1830" s="232"/>
      <c r="AO1830" s="231"/>
      <c r="AP1830" s="231"/>
      <c r="AQ1830" s="227"/>
      <c r="AR1830" s="231"/>
      <c r="AS1830" s="227"/>
      <c r="AT1830" s="227"/>
      <c r="AU1830" s="227"/>
      <c r="AV1830" s="227"/>
    </row>
    <row r="1831">
      <c r="A1831" s="227"/>
      <c r="B1831" s="232"/>
      <c r="C1831" s="227"/>
      <c r="D1831" s="227"/>
      <c r="E1831" s="231"/>
      <c r="F1831" s="232"/>
      <c r="G1831" s="227"/>
      <c r="H1831" s="227"/>
      <c r="I1831" s="227"/>
      <c r="J1831" s="227"/>
      <c r="K1831" s="227"/>
      <c r="L1831" s="232"/>
      <c r="M1831" s="232"/>
      <c r="N1831" s="227"/>
      <c r="O1831" s="227"/>
      <c r="P1831" s="231"/>
      <c r="Q1831" s="227"/>
      <c r="R1831" s="231"/>
      <c r="S1831" s="231"/>
      <c r="T1831" s="231"/>
      <c r="U1831" s="231"/>
      <c r="V1831" s="231"/>
      <c r="W1831" s="231"/>
      <c r="X1831" s="227"/>
      <c r="Y1831" s="232"/>
      <c r="Z1831" s="232"/>
      <c r="AA1831" s="232"/>
      <c r="AB1831" s="232"/>
      <c r="AC1831" s="227"/>
      <c r="AD1831" s="227"/>
      <c r="AE1831" s="231"/>
      <c r="AF1831" s="227"/>
      <c r="AG1831" s="232"/>
      <c r="AH1831" s="232"/>
      <c r="AI1831" s="232"/>
      <c r="AJ1831" s="232"/>
      <c r="AK1831" s="232"/>
      <c r="AL1831" s="232"/>
      <c r="AM1831" s="232"/>
      <c r="AN1831" s="232"/>
      <c r="AO1831" s="231"/>
      <c r="AP1831" s="231"/>
      <c r="AQ1831" s="227"/>
      <c r="AR1831" s="231"/>
      <c r="AS1831" s="227"/>
      <c r="AT1831" s="227"/>
      <c r="AU1831" s="227"/>
      <c r="AV1831" s="227"/>
    </row>
    <row r="1832">
      <c r="A1832" s="227"/>
      <c r="B1832" s="232"/>
      <c r="C1832" s="227"/>
      <c r="D1832" s="227"/>
      <c r="E1832" s="231"/>
      <c r="F1832" s="232"/>
      <c r="G1832" s="227"/>
      <c r="H1832" s="227"/>
      <c r="I1832" s="227"/>
      <c r="J1832" s="227"/>
      <c r="K1832" s="227"/>
      <c r="L1832" s="232"/>
      <c r="M1832" s="232"/>
      <c r="N1832" s="227"/>
      <c r="O1832" s="227"/>
      <c r="P1832" s="231"/>
      <c r="Q1832" s="227"/>
      <c r="R1832" s="231"/>
      <c r="S1832" s="231"/>
      <c r="T1832" s="231"/>
      <c r="U1832" s="231"/>
      <c r="V1832" s="231"/>
      <c r="W1832" s="231"/>
      <c r="X1832" s="227"/>
      <c r="Y1832" s="232"/>
      <c r="Z1832" s="232"/>
      <c r="AA1832" s="232"/>
      <c r="AB1832" s="232"/>
      <c r="AC1832" s="227"/>
      <c r="AD1832" s="227"/>
      <c r="AE1832" s="231"/>
      <c r="AF1832" s="227"/>
      <c r="AG1832" s="232"/>
      <c r="AH1832" s="232"/>
      <c r="AI1832" s="232"/>
      <c r="AJ1832" s="232"/>
      <c r="AK1832" s="232"/>
      <c r="AL1832" s="232"/>
      <c r="AM1832" s="232"/>
      <c r="AN1832" s="232"/>
      <c r="AO1832" s="231"/>
      <c r="AP1832" s="231"/>
      <c r="AQ1832" s="227"/>
      <c r="AR1832" s="231"/>
      <c r="AS1832" s="227"/>
      <c r="AT1832" s="227"/>
      <c r="AU1832" s="227"/>
      <c r="AV1832" s="227"/>
    </row>
    <row r="1833">
      <c r="A1833" s="227"/>
      <c r="B1833" s="232"/>
      <c r="C1833" s="227"/>
      <c r="D1833" s="227"/>
      <c r="E1833" s="231"/>
      <c r="F1833" s="232"/>
      <c r="G1833" s="227"/>
      <c r="H1833" s="227"/>
      <c r="I1833" s="227"/>
      <c r="J1833" s="227"/>
      <c r="K1833" s="227"/>
      <c r="L1833" s="232"/>
      <c r="M1833" s="232"/>
      <c r="N1833" s="227"/>
      <c r="O1833" s="227"/>
      <c r="P1833" s="231"/>
      <c r="Q1833" s="227"/>
      <c r="R1833" s="231"/>
      <c r="S1833" s="231"/>
      <c r="T1833" s="231"/>
      <c r="U1833" s="231"/>
      <c r="V1833" s="231"/>
      <c r="W1833" s="231"/>
      <c r="X1833" s="227"/>
      <c r="Y1833" s="232"/>
      <c r="Z1833" s="232"/>
      <c r="AA1833" s="232"/>
      <c r="AB1833" s="232"/>
      <c r="AC1833" s="227"/>
      <c r="AD1833" s="227"/>
      <c r="AE1833" s="231"/>
      <c r="AF1833" s="227"/>
      <c r="AG1833" s="232"/>
      <c r="AH1833" s="232"/>
      <c r="AI1833" s="232"/>
      <c r="AJ1833" s="232"/>
      <c r="AK1833" s="232"/>
      <c r="AL1833" s="232"/>
      <c r="AM1833" s="232"/>
      <c r="AN1833" s="232"/>
      <c r="AO1833" s="231"/>
      <c r="AP1833" s="231"/>
      <c r="AQ1833" s="227"/>
      <c r="AR1833" s="231"/>
      <c r="AS1833" s="227"/>
      <c r="AT1833" s="227"/>
      <c r="AU1833" s="227"/>
      <c r="AV1833" s="227"/>
    </row>
    <row r="1834">
      <c r="A1834" s="227"/>
      <c r="B1834" s="232"/>
      <c r="C1834" s="227"/>
      <c r="D1834" s="227"/>
      <c r="E1834" s="231"/>
      <c r="F1834" s="232"/>
      <c r="G1834" s="227"/>
      <c r="H1834" s="227"/>
      <c r="I1834" s="227"/>
      <c r="J1834" s="227"/>
      <c r="K1834" s="227"/>
      <c r="L1834" s="232"/>
      <c r="M1834" s="232"/>
      <c r="N1834" s="227"/>
      <c r="O1834" s="227"/>
      <c r="P1834" s="231"/>
      <c r="Q1834" s="227"/>
      <c r="R1834" s="231"/>
      <c r="S1834" s="231"/>
      <c r="T1834" s="231"/>
      <c r="U1834" s="231"/>
      <c r="V1834" s="231"/>
      <c r="W1834" s="231"/>
      <c r="X1834" s="227"/>
      <c r="Y1834" s="232"/>
      <c r="Z1834" s="232"/>
      <c r="AA1834" s="232"/>
      <c r="AB1834" s="232"/>
      <c r="AC1834" s="227"/>
      <c r="AD1834" s="227"/>
      <c r="AE1834" s="231"/>
      <c r="AF1834" s="227"/>
      <c r="AG1834" s="232"/>
      <c r="AH1834" s="232"/>
      <c r="AI1834" s="232"/>
      <c r="AJ1834" s="232"/>
      <c r="AK1834" s="232"/>
      <c r="AL1834" s="232"/>
      <c r="AM1834" s="232"/>
      <c r="AN1834" s="232"/>
      <c r="AO1834" s="231"/>
      <c r="AP1834" s="231"/>
      <c r="AQ1834" s="227"/>
      <c r="AR1834" s="231"/>
      <c r="AS1834" s="227"/>
      <c r="AT1834" s="227"/>
      <c r="AU1834" s="227"/>
      <c r="AV1834" s="227"/>
    </row>
    <row r="1835">
      <c r="A1835" s="227"/>
      <c r="B1835" s="232"/>
      <c r="C1835" s="227"/>
      <c r="D1835" s="227"/>
      <c r="E1835" s="231"/>
      <c r="F1835" s="232"/>
      <c r="G1835" s="227"/>
      <c r="H1835" s="227"/>
      <c r="I1835" s="227"/>
      <c r="J1835" s="227"/>
      <c r="K1835" s="227"/>
      <c r="L1835" s="232"/>
      <c r="M1835" s="232"/>
      <c r="N1835" s="227"/>
      <c r="O1835" s="227"/>
      <c r="P1835" s="231"/>
      <c r="Q1835" s="227"/>
      <c r="R1835" s="231"/>
      <c r="S1835" s="231"/>
      <c r="T1835" s="231"/>
      <c r="U1835" s="231"/>
      <c r="V1835" s="231"/>
      <c r="W1835" s="231"/>
      <c r="X1835" s="227"/>
      <c r="Y1835" s="232"/>
      <c r="Z1835" s="232"/>
      <c r="AA1835" s="232"/>
      <c r="AB1835" s="232"/>
      <c r="AC1835" s="227"/>
      <c r="AD1835" s="227"/>
      <c r="AE1835" s="231"/>
      <c r="AF1835" s="227"/>
      <c r="AG1835" s="232"/>
      <c r="AH1835" s="232"/>
      <c r="AI1835" s="232"/>
      <c r="AJ1835" s="232"/>
      <c r="AK1835" s="232"/>
      <c r="AL1835" s="232"/>
      <c r="AM1835" s="232"/>
      <c r="AN1835" s="232"/>
      <c r="AO1835" s="231"/>
      <c r="AP1835" s="231"/>
      <c r="AQ1835" s="227"/>
      <c r="AR1835" s="231"/>
      <c r="AS1835" s="227"/>
      <c r="AT1835" s="227"/>
      <c r="AU1835" s="227"/>
      <c r="AV1835" s="227"/>
    </row>
    <row r="1836">
      <c r="A1836" s="227"/>
      <c r="B1836" s="232"/>
      <c r="C1836" s="227"/>
      <c r="D1836" s="227"/>
      <c r="E1836" s="231"/>
      <c r="F1836" s="232"/>
      <c r="G1836" s="227"/>
      <c r="H1836" s="227"/>
      <c r="I1836" s="227"/>
      <c r="J1836" s="227"/>
      <c r="K1836" s="227"/>
      <c r="L1836" s="232"/>
      <c r="M1836" s="232"/>
      <c r="N1836" s="227"/>
      <c r="O1836" s="227"/>
      <c r="P1836" s="231"/>
      <c r="Q1836" s="227"/>
      <c r="R1836" s="231"/>
      <c r="S1836" s="231"/>
      <c r="T1836" s="231"/>
      <c r="U1836" s="231"/>
      <c r="V1836" s="231"/>
      <c r="W1836" s="231"/>
      <c r="X1836" s="227"/>
      <c r="Y1836" s="232"/>
      <c r="Z1836" s="232"/>
      <c r="AA1836" s="232"/>
      <c r="AB1836" s="232"/>
      <c r="AC1836" s="227"/>
      <c r="AD1836" s="227"/>
      <c r="AE1836" s="231"/>
      <c r="AF1836" s="227"/>
      <c r="AG1836" s="232"/>
      <c r="AH1836" s="232"/>
      <c r="AI1836" s="232"/>
      <c r="AJ1836" s="232"/>
      <c r="AK1836" s="232"/>
      <c r="AL1836" s="232"/>
      <c r="AM1836" s="232"/>
      <c r="AN1836" s="232"/>
      <c r="AO1836" s="231"/>
      <c r="AP1836" s="231"/>
      <c r="AQ1836" s="227"/>
      <c r="AR1836" s="231"/>
      <c r="AS1836" s="227"/>
      <c r="AT1836" s="227"/>
      <c r="AU1836" s="227"/>
      <c r="AV1836" s="227"/>
    </row>
    <row r="1837">
      <c r="A1837" s="227"/>
      <c r="B1837" s="232"/>
      <c r="C1837" s="227"/>
      <c r="D1837" s="227"/>
      <c r="E1837" s="231"/>
      <c r="F1837" s="232"/>
      <c r="G1837" s="227"/>
      <c r="H1837" s="227"/>
      <c r="I1837" s="227"/>
      <c r="J1837" s="227"/>
      <c r="K1837" s="227"/>
      <c r="L1837" s="232"/>
      <c r="M1837" s="232"/>
      <c r="N1837" s="227"/>
      <c r="O1837" s="227"/>
      <c r="P1837" s="231"/>
      <c r="Q1837" s="227"/>
      <c r="R1837" s="231"/>
      <c r="S1837" s="231"/>
      <c r="T1837" s="231"/>
      <c r="U1837" s="231"/>
      <c r="V1837" s="231"/>
      <c r="W1837" s="231"/>
      <c r="X1837" s="227"/>
      <c r="Y1837" s="232"/>
      <c r="Z1837" s="232"/>
      <c r="AA1837" s="232"/>
      <c r="AB1837" s="232"/>
      <c r="AC1837" s="227"/>
      <c r="AD1837" s="227"/>
      <c r="AE1837" s="231"/>
      <c r="AF1837" s="227"/>
      <c r="AG1837" s="232"/>
      <c r="AH1837" s="232"/>
      <c r="AI1837" s="232"/>
      <c r="AJ1837" s="232"/>
      <c r="AK1837" s="232"/>
      <c r="AL1837" s="232"/>
      <c r="AM1837" s="232"/>
      <c r="AN1837" s="232"/>
      <c r="AO1837" s="231"/>
      <c r="AP1837" s="231"/>
      <c r="AQ1837" s="227"/>
      <c r="AR1837" s="231"/>
      <c r="AS1837" s="227"/>
      <c r="AT1837" s="227"/>
      <c r="AU1837" s="227"/>
      <c r="AV1837" s="227"/>
    </row>
    <row r="1838">
      <c r="A1838" s="227"/>
      <c r="B1838" s="232"/>
      <c r="C1838" s="227"/>
      <c r="D1838" s="227"/>
      <c r="E1838" s="231"/>
      <c r="F1838" s="232"/>
      <c r="G1838" s="227"/>
      <c r="H1838" s="227"/>
      <c r="I1838" s="227"/>
      <c r="J1838" s="227"/>
      <c r="K1838" s="227"/>
      <c r="L1838" s="232"/>
      <c r="M1838" s="232"/>
      <c r="N1838" s="227"/>
      <c r="O1838" s="227"/>
      <c r="P1838" s="231"/>
      <c r="Q1838" s="227"/>
      <c r="R1838" s="231"/>
      <c r="S1838" s="231"/>
      <c r="T1838" s="231"/>
      <c r="U1838" s="231"/>
      <c r="V1838" s="231"/>
      <c r="W1838" s="231"/>
      <c r="X1838" s="227"/>
      <c r="Y1838" s="232"/>
      <c r="Z1838" s="232"/>
      <c r="AA1838" s="232"/>
      <c r="AB1838" s="232"/>
      <c r="AC1838" s="227"/>
      <c r="AD1838" s="227"/>
      <c r="AE1838" s="231"/>
      <c r="AF1838" s="227"/>
      <c r="AG1838" s="232"/>
      <c r="AH1838" s="232"/>
      <c r="AI1838" s="232"/>
      <c r="AJ1838" s="232"/>
      <c r="AK1838" s="232"/>
      <c r="AL1838" s="232"/>
      <c r="AM1838" s="232"/>
      <c r="AN1838" s="232"/>
      <c r="AO1838" s="231"/>
      <c r="AP1838" s="231"/>
      <c r="AQ1838" s="227"/>
      <c r="AR1838" s="231"/>
      <c r="AS1838" s="227"/>
      <c r="AT1838" s="227"/>
      <c r="AU1838" s="227"/>
      <c r="AV1838" s="227"/>
    </row>
    <row r="1839">
      <c r="A1839" s="227"/>
      <c r="B1839" s="232"/>
      <c r="C1839" s="227"/>
      <c r="D1839" s="227"/>
      <c r="E1839" s="231"/>
      <c r="F1839" s="232"/>
      <c r="G1839" s="227"/>
      <c r="H1839" s="227"/>
      <c r="I1839" s="227"/>
      <c r="J1839" s="227"/>
      <c r="K1839" s="227"/>
      <c r="L1839" s="232"/>
      <c r="M1839" s="232"/>
      <c r="N1839" s="227"/>
      <c r="O1839" s="227"/>
      <c r="P1839" s="231"/>
      <c r="Q1839" s="227"/>
      <c r="R1839" s="231"/>
      <c r="S1839" s="231"/>
      <c r="T1839" s="231"/>
      <c r="U1839" s="231"/>
      <c r="V1839" s="231"/>
      <c r="W1839" s="231"/>
      <c r="X1839" s="227"/>
      <c r="Y1839" s="232"/>
      <c r="Z1839" s="232"/>
      <c r="AA1839" s="232"/>
      <c r="AB1839" s="232"/>
      <c r="AC1839" s="227"/>
      <c r="AD1839" s="227"/>
      <c r="AE1839" s="231"/>
      <c r="AF1839" s="227"/>
      <c r="AG1839" s="232"/>
      <c r="AH1839" s="232"/>
      <c r="AI1839" s="232"/>
      <c r="AJ1839" s="232"/>
      <c r="AK1839" s="232"/>
      <c r="AL1839" s="232"/>
      <c r="AM1839" s="232"/>
      <c r="AN1839" s="232"/>
      <c r="AO1839" s="231"/>
      <c r="AP1839" s="231"/>
      <c r="AQ1839" s="227"/>
      <c r="AR1839" s="231"/>
      <c r="AS1839" s="227"/>
      <c r="AT1839" s="227"/>
      <c r="AU1839" s="227"/>
      <c r="AV1839" s="227"/>
    </row>
    <row r="1840">
      <c r="A1840" s="227"/>
      <c r="B1840" s="232"/>
      <c r="C1840" s="227"/>
      <c r="D1840" s="227"/>
      <c r="E1840" s="231"/>
      <c r="F1840" s="232"/>
      <c r="G1840" s="227"/>
      <c r="H1840" s="227"/>
      <c r="I1840" s="227"/>
      <c r="J1840" s="227"/>
      <c r="K1840" s="227"/>
      <c r="L1840" s="232"/>
      <c r="M1840" s="232"/>
      <c r="N1840" s="227"/>
      <c r="O1840" s="227"/>
      <c r="P1840" s="231"/>
      <c r="Q1840" s="227"/>
      <c r="R1840" s="231"/>
      <c r="S1840" s="231"/>
      <c r="T1840" s="231"/>
      <c r="U1840" s="231"/>
      <c r="V1840" s="231"/>
      <c r="W1840" s="231"/>
      <c r="X1840" s="227"/>
      <c r="Y1840" s="232"/>
      <c r="Z1840" s="232"/>
      <c r="AA1840" s="232"/>
      <c r="AB1840" s="232"/>
      <c r="AC1840" s="227"/>
      <c r="AD1840" s="227"/>
      <c r="AE1840" s="231"/>
      <c r="AF1840" s="227"/>
      <c r="AG1840" s="232"/>
      <c r="AH1840" s="232"/>
      <c r="AI1840" s="232"/>
      <c r="AJ1840" s="232"/>
      <c r="AK1840" s="232"/>
      <c r="AL1840" s="232"/>
      <c r="AM1840" s="232"/>
      <c r="AN1840" s="232"/>
      <c r="AO1840" s="231"/>
      <c r="AP1840" s="231"/>
      <c r="AQ1840" s="227"/>
      <c r="AR1840" s="231"/>
      <c r="AS1840" s="227"/>
      <c r="AT1840" s="227"/>
      <c r="AU1840" s="227"/>
      <c r="AV1840" s="227"/>
    </row>
    <row r="1841">
      <c r="A1841" s="227"/>
      <c r="B1841" s="232"/>
      <c r="C1841" s="227"/>
      <c r="D1841" s="227"/>
      <c r="E1841" s="231"/>
      <c r="F1841" s="232"/>
      <c r="G1841" s="227"/>
      <c r="H1841" s="227"/>
      <c r="I1841" s="227"/>
      <c r="J1841" s="227"/>
      <c r="K1841" s="227"/>
      <c r="L1841" s="232"/>
      <c r="M1841" s="232"/>
      <c r="N1841" s="227"/>
      <c r="O1841" s="227"/>
      <c r="P1841" s="231"/>
      <c r="Q1841" s="227"/>
      <c r="R1841" s="231"/>
      <c r="S1841" s="231"/>
      <c r="T1841" s="231"/>
      <c r="U1841" s="231"/>
      <c r="V1841" s="231"/>
      <c r="W1841" s="231"/>
      <c r="X1841" s="227"/>
      <c r="Y1841" s="232"/>
      <c r="Z1841" s="232"/>
      <c r="AA1841" s="232"/>
      <c r="AB1841" s="232"/>
      <c r="AC1841" s="227"/>
      <c r="AD1841" s="227"/>
      <c r="AE1841" s="231"/>
      <c r="AF1841" s="227"/>
      <c r="AG1841" s="232"/>
      <c r="AH1841" s="232"/>
      <c r="AI1841" s="232"/>
      <c r="AJ1841" s="232"/>
      <c r="AK1841" s="232"/>
      <c r="AL1841" s="232"/>
      <c r="AM1841" s="232"/>
      <c r="AN1841" s="232"/>
      <c r="AO1841" s="231"/>
      <c r="AP1841" s="231"/>
      <c r="AQ1841" s="227"/>
      <c r="AR1841" s="231"/>
      <c r="AS1841" s="227"/>
      <c r="AT1841" s="227"/>
      <c r="AU1841" s="227"/>
      <c r="AV1841" s="227"/>
    </row>
    <row r="1842">
      <c r="A1842" s="227"/>
      <c r="B1842" s="232"/>
      <c r="C1842" s="227"/>
      <c r="D1842" s="227"/>
      <c r="E1842" s="231"/>
      <c r="F1842" s="232"/>
      <c r="G1842" s="227"/>
      <c r="H1842" s="227"/>
      <c r="I1842" s="227"/>
      <c r="J1842" s="227"/>
      <c r="K1842" s="227"/>
      <c r="L1842" s="232"/>
      <c r="M1842" s="232"/>
      <c r="N1842" s="227"/>
      <c r="O1842" s="227"/>
      <c r="P1842" s="231"/>
      <c r="Q1842" s="227"/>
      <c r="R1842" s="231"/>
      <c r="S1842" s="231"/>
      <c r="T1842" s="231"/>
      <c r="U1842" s="231"/>
      <c r="V1842" s="231"/>
      <c r="W1842" s="231"/>
      <c r="X1842" s="227"/>
      <c r="Y1842" s="232"/>
      <c r="Z1842" s="232"/>
      <c r="AA1842" s="232"/>
      <c r="AB1842" s="232"/>
      <c r="AC1842" s="227"/>
      <c r="AD1842" s="227"/>
      <c r="AE1842" s="231"/>
      <c r="AF1842" s="227"/>
      <c r="AG1842" s="232"/>
      <c r="AH1842" s="232"/>
      <c r="AI1842" s="232"/>
      <c r="AJ1842" s="232"/>
      <c r="AK1842" s="232"/>
      <c r="AL1842" s="232"/>
      <c r="AM1842" s="232"/>
      <c r="AN1842" s="232"/>
      <c r="AO1842" s="231"/>
      <c r="AP1842" s="231"/>
      <c r="AQ1842" s="227"/>
      <c r="AR1842" s="231"/>
      <c r="AS1842" s="227"/>
      <c r="AT1842" s="227"/>
      <c r="AU1842" s="227"/>
      <c r="AV1842" s="227"/>
    </row>
    <row r="1843">
      <c r="A1843" s="227"/>
      <c r="B1843" s="232"/>
      <c r="C1843" s="227"/>
      <c r="D1843" s="227"/>
      <c r="E1843" s="231"/>
      <c r="F1843" s="232"/>
      <c r="G1843" s="227"/>
      <c r="H1843" s="227"/>
      <c r="I1843" s="227"/>
      <c r="J1843" s="227"/>
      <c r="K1843" s="227"/>
      <c r="L1843" s="232"/>
      <c r="M1843" s="232"/>
      <c r="N1843" s="227"/>
      <c r="O1843" s="227"/>
      <c r="P1843" s="231"/>
      <c r="Q1843" s="227"/>
      <c r="R1843" s="231"/>
      <c r="S1843" s="231"/>
      <c r="T1843" s="231"/>
      <c r="U1843" s="231"/>
      <c r="V1843" s="231"/>
      <c r="W1843" s="231"/>
      <c r="X1843" s="227"/>
      <c r="Y1843" s="232"/>
      <c r="Z1843" s="232"/>
      <c r="AA1843" s="232"/>
      <c r="AB1843" s="232"/>
      <c r="AC1843" s="227"/>
      <c r="AD1843" s="227"/>
      <c r="AE1843" s="231"/>
      <c r="AF1843" s="227"/>
      <c r="AG1843" s="232"/>
      <c r="AH1843" s="232"/>
      <c r="AI1843" s="232"/>
      <c r="AJ1843" s="232"/>
      <c r="AK1843" s="232"/>
      <c r="AL1843" s="232"/>
      <c r="AM1843" s="232"/>
      <c r="AN1843" s="232"/>
      <c r="AO1843" s="231"/>
      <c r="AP1843" s="231"/>
      <c r="AQ1843" s="227"/>
      <c r="AR1843" s="231"/>
      <c r="AS1843" s="227"/>
      <c r="AT1843" s="227"/>
      <c r="AU1843" s="227"/>
      <c r="AV1843" s="227"/>
    </row>
    <row r="1844">
      <c r="A1844" s="227"/>
      <c r="B1844" s="232"/>
      <c r="C1844" s="227"/>
      <c r="D1844" s="227"/>
      <c r="E1844" s="231"/>
      <c r="F1844" s="232"/>
      <c r="G1844" s="227"/>
      <c r="H1844" s="227"/>
      <c r="I1844" s="227"/>
      <c r="J1844" s="227"/>
      <c r="K1844" s="227"/>
      <c r="L1844" s="232"/>
      <c r="M1844" s="232"/>
      <c r="N1844" s="227"/>
      <c r="O1844" s="227"/>
      <c r="P1844" s="231"/>
      <c r="Q1844" s="227"/>
      <c r="R1844" s="231"/>
      <c r="S1844" s="231"/>
      <c r="T1844" s="231"/>
      <c r="U1844" s="231"/>
      <c r="V1844" s="231"/>
      <c r="W1844" s="231"/>
      <c r="X1844" s="227"/>
      <c r="Y1844" s="232"/>
      <c r="Z1844" s="232"/>
      <c r="AA1844" s="232"/>
      <c r="AB1844" s="232"/>
      <c r="AC1844" s="227"/>
      <c r="AD1844" s="227"/>
      <c r="AE1844" s="231"/>
      <c r="AF1844" s="227"/>
      <c r="AG1844" s="232"/>
      <c r="AH1844" s="232"/>
      <c r="AI1844" s="232"/>
      <c r="AJ1844" s="232"/>
      <c r="AK1844" s="232"/>
      <c r="AL1844" s="232"/>
      <c r="AM1844" s="232"/>
      <c r="AN1844" s="232"/>
      <c r="AO1844" s="231"/>
      <c r="AP1844" s="231"/>
      <c r="AQ1844" s="227"/>
      <c r="AR1844" s="231"/>
      <c r="AS1844" s="227"/>
      <c r="AT1844" s="227"/>
      <c r="AU1844" s="227"/>
      <c r="AV1844" s="227"/>
    </row>
    <row r="1845">
      <c r="A1845" s="227"/>
      <c r="B1845" s="232"/>
      <c r="C1845" s="227"/>
      <c r="D1845" s="227"/>
      <c r="E1845" s="231"/>
      <c r="F1845" s="232"/>
      <c r="G1845" s="227"/>
      <c r="H1845" s="227"/>
      <c r="I1845" s="227"/>
      <c r="J1845" s="227"/>
      <c r="K1845" s="227"/>
      <c r="L1845" s="232"/>
      <c r="M1845" s="232"/>
      <c r="N1845" s="227"/>
      <c r="O1845" s="227"/>
      <c r="P1845" s="231"/>
      <c r="Q1845" s="227"/>
      <c r="R1845" s="231"/>
      <c r="S1845" s="231"/>
      <c r="T1845" s="231"/>
      <c r="U1845" s="231"/>
      <c r="V1845" s="231"/>
      <c r="W1845" s="231"/>
      <c r="X1845" s="227"/>
      <c r="Y1845" s="232"/>
      <c r="Z1845" s="232"/>
      <c r="AA1845" s="232"/>
      <c r="AB1845" s="232"/>
      <c r="AC1845" s="227"/>
      <c r="AD1845" s="227"/>
      <c r="AE1845" s="231"/>
      <c r="AF1845" s="227"/>
      <c r="AG1845" s="232"/>
      <c r="AH1845" s="232"/>
      <c r="AI1845" s="232"/>
      <c r="AJ1845" s="232"/>
      <c r="AK1845" s="232"/>
      <c r="AL1845" s="232"/>
      <c r="AM1845" s="232"/>
      <c r="AN1845" s="232"/>
      <c r="AO1845" s="231"/>
      <c r="AP1845" s="231"/>
      <c r="AQ1845" s="227"/>
      <c r="AR1845" s="231"/>
      <c r="AS1845" s="227"/>
      <c r="AT1845" s="227"/>
      <c r="AU1845" s="227"/>
      <c r="AV1845" s="227"/>
    </row>
    <row r="1846">
      <c r="A1846" s="227"/>
      <c r="B1846" s="232"/>
      <c r="C1846" s="227"/>
      <c r="D1846" s="227"/>
      <c r="E1846" s="231"/>
      <c r="F1846" s="232"/>
      <c r="G1846" s="227"/>
      <c r="H1846" s="227"/>
      <c r="I1846" s="227"/>
      <c r="J1846" s="227"/>
      <c r="K1846" s="227"/>
      <c r="L1846" s="232"/>
      <c r="M1846" s="232"/>
      <c r="N1846" s="227"/>
      <c r="O1846" s="227"/>
      <c r="P1846" s="231"/>
      <c r="Q1846" s="227"/>
      <c r="R1846" s="231"/>
      <c r="S1846" s="231"/>
      <c r="T1846" s="231"/>
      <c r="U1846" s="231"/>
      <c r="V1846" s="231"/>
      <c r="W1846" s="231"/>
      <c r="X1846" s="227"/>
      <c r="Y1846" s="232"/>
      <c r="Z1846" s="232"/>
      <c r="AA1846" s="232"/>
      <c r="AB1846" s="232"/>
      <c r="AC1846" s="227"/>
      <c r="AD1846" s="227"/>
      <c r="AE1846" s="231"/>
      <c r="AF1846" s="227"/>
      <c r="AG1846" s="232"/>
      <c r="AH1846" s="232"/>
      <c r="AI1846" s="232"/>
      <c r="AJ1846" s="232"/>
      <c r="AK1846" s="232"/>
      <c r="AL1846" s="232"/>
      <c r="AM1846" s="232"/>
      <c r="AN1846" s="232"/>
      <c r="AO1846" s="231"/>
      <c r="AP1846" s="231"/>
      <c r="AQ1846" s="227"/>
      <c r="AR1846" s="231"/>
      <c r="AS1846" s="227"/>
      <c r="AT1846" s="227"/>
      <c r="AU1846" s="227"/>
      <c r="AV1846" s="227"/>
    </row>
    <row r="1847">
      <c r="A1847" s="227"/>
      <c r="B1847" s="232"/>
      <c r="C1847" s="227"/>
      <c r="D1847" s="227"/>
      <c r="E1847" s="231"/>
      <c r="F1847" s="232"/>
      <c r="G1847" s="227"/>
      <c r="H1847" s="227"/>
      <c r="I1847" s="227"/>
      <c r="J1847" s="227"/>
      <c r="K1847" s="227"/>
      <c r="L1847" s="232"/>
      <c r="M1847" s="232"/>
      <c r="N1847" s="227"/>
      <c r="O1847" s="227"/>
      <c r="P1847" s="231"/>
      <c r="Q1847" s="227"/>
      <c r="R1847" s="231"/>
      <c r="S1847" s="231"/>
      <c r="T1847" s="231"/>
      <c r="U1847" s="231"/>
      <c r="V1847" s="231"/>
      <c r="W1847" s="231"/>
      <c r="X1847" s="227"/>
      <c r="Y1847" s="232"/>
      <c r="Z1847" s="232"/>
      <c r="AA1847" s="232"/>
      <c r="AB1847" s="232"/>
      <c r="AC1847" s="227"/>
      <c r="AD1847" s="227"/>
      <c r="AE1847" s="231"/>
      <c r="AF1847" s="227"/>
      <c r="AG1847" s="232"/>
      <c r="AH1847" s="232"/>
      <c r="AI1847" s="232"/>
      <c r="AJ1847" s="232"/>
      <c r="AK1847" s="232"/>
      <c r="AL1847" s="232"/>
      <c r="AM1847" s="232"/>
      <c r="AN1847" s="232"/>
      <c r="AO1847" s="231"/>
      <c r="AP1847" s="231"/>
      <c r="AQ1847" s="227"/>
      <c r="AR1847" s="231"/>
      <c r="AS1847" s="227"/>
      <c r="AT1847" s="227"/>
      <c r="AU1847" s="227"/>
      <c r="AV1847" s="227"/>
    </row>
    <row r="1848">
      <c r="A1848" s="227"/>
      <c r="B1848" s="232"/>
      <c r="C1848" s="227"/>
      <c r="D1848" s="227"/>
      <c r="E1848" s="231"/>
      <c r="F1848" s="232"/>
      <c r="G1848" s="227"/>
      <c r="H1848" s="227"/>
      <c r="I1848" s="227"/>
      <c r="J1848" s="227"/>
      <c r="K1848" s="227"/>
      <c r="L1848" s="232"/>
      <c r="M1848" s="232"/>
      <c r="N1848" s="227"/>
      <c r="O1848" s="227"/>
      <c r="P1848" s="231"/>
      <c r="Q1848" s="227"/>
      <c r="R1848" s="231"/>
      <c r="S1848" s="231"/>
      <c r="T1848" s="231"/>
      <c r="U1848" s="231"/>
      <c r="V1848" s="231"/>
      <c r="W1848" s="231"/>
      <c r="X1848" s="227"/>
      <c r="Y1848" s="232"/>
      <c r="Z1848" s="232"/>
      <c r="AA1848" s="232"/>
      <c r="AB1848" s="232"/>
      <c r="AC1848" s="227"/>
      <c r="AD1848" s="227"/>
      <c r="AE1848" s="231"/>
      <c r="AF1848" s="227"/>
      <c r="AG1848" s="232"/>
      <c r="AH1848" s="232"/>
      <c r="AI1848" s="232"/>
      <c r="AJ1848" s="232"/>
      <c r="AK1848" s="232"/>
      <c r="AL1848" s="232"/>
      <c r="AM1848" s="232"/>
      <c r="AN1848" s="232"/>
      <c r="AO1848" s="231"/>
      <c r="AP1848" s="231"/>
      <c r="AQ1848" s="227"/>
      <c r="AR1848" s="231"/>
      <c r="AS1848" s="227"/>
      <c r="AT1848" s="227"/>
      <c r="AU1848" s="227"/>
      <c r="AV1848" s="227"/>
    </row>
    <row r="1849">
      <c r="A1849" s="227"/>
      <c r="B1849" s="232"/>
      <c r="C1849" s="227"/>
      <c r="D1849" s="227"/>
      <c r="E1849" s="231"/>
      <c r="F1849" s="232"/>
      <c r="G1849" s="227"/>
      <c r="H1849" s="227"/>
      <c r="I1849" s="227"/>
      <c r="J1849" s="227"/>
      <c r="K1849" s="227"/>
      <c r="L1849" s="232"/>
      <c r="M1849" s="232"/>
      <c r="N1849" s="227"/>
      <c r="O1849" s="227"/>
      <c r="P1849" s="231"/>
      <c r="Q1849" s="227"/>
      <c r="R1849" s="231"/>
      <c r="S1849" s="231"/>
      <c r="T1849" s="231"/>
      <c r="U1849" s="231"/>
      <c r="V1849" s="231"/>
      <c r="W1849" s="231"/>
      <c r="X1849" s="227"/>
      <c r="Y1849" s="232"/>
      <c r="Z1849" s="232"/>
      <c r="AA1849" s="232"/>
      <c r="AB1849" s="232"/>
      <c r="AC1849" s="227"/>
      <c r="AD1849" s="227"/>
      <c r="AE1849" s="231"/>
      <c r="AF1849" s="227"/>
      <c r="AG1849" s="232"/>
      <c r="AH1849" s="232"/>
      <c r="AI1849" s="232"/>
      <c r="AJ1849" s="232"/>
      <c r="AK1849" s="232"/>
      <c r="AL1849" s="232"/>
      <c r="AM1849" s="232"/>
      <c r="AN1849" s="232"/>
      <c r="AO1849" s="231"/>
      <c r="AP1849" s="231"/>
      <c r="AQ1849" s="227"/>
      <c r="AR1849" s="231"/>
      <c r="AS1849" s="227"/>
      <c r="AT1849" s="227"/>
      <c r="AU1849" s="227"/>
      <c r="AV1849" s="227"/>
    </row>
    <row r="1850">
      <c r="A1850" s="227"/>
      <c r="B1850" s="232"/>
      <c r="C1850" s="227"/>
      <c r="D1850" s="227"/>
      <c r="E1850" s="231"/>
      <c r="F1850" s="232"/>
      <c r="G1850" s="227"/>
      <c r="H1850" s="227"/>
      <c r="I1850" s="227"/>
      <c r="J1850" s="227"/>
      <c r="K1850" s="227"/>
      <c r="L1850" s="232"/>
      <c r="M1850" s="232"/>
      <c r="N1850" s="227"/>
      <c r="O1850" s="227"/>
      <c r="P1850" s="231"/>
      <c r="Q1850" s="227"/>
      <c r="R1850" s="231"/>
      <c r="S1850" s="231"/>
      <c r="T1850" s="231"/>
      <c r="U1850" s="231"/>
      <c r="V1850" s="231"/>
      <c r="W1850" s="231"/>
      <c r="X1850" s="227"/>
      <c r="Y1850" s="232"/>
      <c r="Z1850" s="232"/>
      <c r="AA1850" s="232"/>
      <c r="AB1850" s="232"/>
      <c r="AC1850" s="227"/>
      <c r="AD1850" s="227"/>
      <c r="AE1850" s="231"/>
      <c r="AF1850" s="227"/>
      <c r="AG1850" s="232"/>
      <c r="AH1850" s="232"/>
      <c r="AI1850" s="232"/>
      <c r="AJ1850" s="232"/>
      <c r="AK1850" s="232"/>
      <c r="AL1850" s="232"/>
      <c r="AM1850" s="232"/>
      <c r="AN1850" s="232"/>
      <c r="AO1850" s="231"/>
      <c r="AP1850" s="231"/>
      <c r="AQ1850" s="227"/>
      <c r="AR1850" s="231"/>
      <c r="AS1850" s="227"/>
      <c r="AT1850" s="227"/>
      <c r="AU1850" s="227"/>
      <c r="AV1850" s="227"/>
    </row>
    <row r="1851">
      <c r="A1851" s="227"/>
      <c r="B1851" s="232"/>
      <c r="C1851" s="227"/>
      <c r="D1851" s="227"/>
      <c r="E1851" s="231"/>
      <c r="F1851" s="232"/>
      <c r="G1851" s="227"/>
      <c r="H1851" s="227"/>
      <c r="I1851" s="227"/>
      <c r="J1851" s="227"/>
      <c r="K1851" s="227"/>
      <c r="L1851" s="232"/>
      <c r="M1851" s="232"/>
      <c r="N1851" s="227"/>
      <c r="O1851" s="227"/>
      <c r="P1851" s="231"/>
      <c r="Q1851" s="227"/>
      <c r="R1851" s="231"/>
      <c r="S1851" s="231"/>
      <c r="T1851" s="231"/>
      <c r="U1851" s="231"/>
      <c r="V1851" s="231"/>
      <c r="W1851" s="231"/>
      <c r="X1851" s="227"/>
      <c r="Y1851" s="232"/>
      <c r="Z1851" s="232"/>
      <c r="AA1851" s="232"/>
      <c r="AB1851" s="232"/>
      <c r="AC1851" s="227"/>
      <c r="AD1851" s="227"/>
      <c r="AE1851" s="231"/>
      <c r="AF1851" s="227"/>
      <c r="AG1851" s="232"/>
      <c r="AH1851" s="232"/>
      <c r="AI1851" s="232"/>
      <c r="AJ1851" s="232"/>
      <c r="AK1851" s="232"/>
      <c r="AL1851" s="232"/>
      <c r="AM1851" s="232"/>
      <c r="AN1851" s="232"/>
      <c r="AO1851" s="231"/>
      <c r="AP1851" s="231"/>
      <c r="AQ1851" s="227"/>
      <c r="AR1851" s="231"/>
      <c r="AS1851" s="227"/>
      <c r="AT1851" s="227"/>
      <c r="AU1851" s="227"/>
      <c r="AV1851" s="227"/>
    </row>
    <row r="1852">
      <c r="A1852" s="227"/>
      <c r="B1852" s="232"/>
      <c r="C1852" s="227"/>
      <c r="D1852" s="227"/>
      <c r="E1852" s="231"/>
      <c r="F1852" s="232"/>
      <c r="G1852" s="227"/>
      <c r="H1852" s="227"/>
      <c r="I1852" s="227"/>
      <c r="J1852" s="227"/>
      <c r="K1852" s="227"/>
      <c r="L1852" s="232"/>
      <c r="M1852" s="232"/>
      <c r="N1852" s="227"/>
      <c r="O1852" s="227"/>
      <c r="P1852" s="231"/>
      <c r="Q1852" s="227"/>
      <c r="R1852" s="231"/>
      <c r="S1852" s="231"/>
      <c r="T1852" s="231"/>
      <c r="U1852" s="231"/>
      <c r="V1852" s="231"/>
      <c r="W1852" s="231"/>
      <c r="X1852" s="227"/>
      <c r="Y1852" s="232"/>
      <c r="Z1852" s="232"/>
      <c r="AA1852" s="232"/>
      <c r="AB1852" s="232"/>
      <c r="AC1852" s="227"/>
      <c r="AD1852" s="227"/>
      <c r="AE1852" s="231"/>
      <c r="AF1852" s="227"/>
      <c r="AG1852" s="232"/>
      <c r="AH1852" s="232"/>
      <c r="AI1852" s="232"/>
      <c r="AJ1852" s="232"/>
      <c r="AK1852" s="232"/>
      <c r="AL1852" s="232"/>
      <c r="AM1852" s="232"/>
      <c r="AN1852" s="232"/>
      <c r="AO1852" s="231"/>
      <c r="AP1852" s="231"/>
      <c r="AQ1852" s="227"/>
      <c r="AR1852" s="231"/>
      <c r="AS1852" s="227"/>
      <c r="AT1852" s="227"/>
      <c r="AU1852" s="227"/>
      <c r="AV1852" s="227"/>
    </row>
    <row r="1853">
      <c r="A1853" s="227"/>
      <c r="B1853" s="232"/>
      <c r="C1853" s="227"/>
      <c r="D1853" s="227"/>
      <c r="E1853" s="231"/>
      <c r="F1853" s="232"/>
      <c r="G1853" s="227"/>
      <c r="H1853" s="227"/>
      <c r="I1853" s="227"/>
      <c r="J1853" s="227"/>
      <c r="K1853" s="227"/>
      <c r="L1853" s="232"/>
      <c r="M1853" s="232"/>
      <c r="N1853" s="227"/>
      <c r="O1853" s="227"/>
      <c r="P1853" s="231"/>
      <c r="Q1853" s="227"/>
      <c r="R1853" s="231"/>
      <c r="S1853" s="231"/>
      <c r="T1853" s="231"/>
      <c r="U1853" s="231"/>
      <c r="V1853" s="231"/>
      <c r="W1853" s="231"/>
      <c r="X1853" s="227"/>
      <c r="Y1853" s="232"/>
      <c r="Z1853" s="232"/>
      <c r="AA1853" s="232"/>
      <c r="AB1853" s="232"/>
      <c r="AC1853" s="227"/>
      <c r="AD1853" s="227"/>
      <c r="AE1853" s="231"/>
      <c r="AF1853" s="227"/>
      <c r="AG1853" s="232"/>
      <c r="AH1853" s="232"/>
      <c r="AI1853" s="232"/>
      <c r="AJ1853" s="232"/>
      <c r="AK1853" s="232"/>
      <c r="AL1853" s="232"/>
      <c r="AM1853" s="232"/>
      <c r="AN1853" s="232"/>
      <c r="AO1853" s="231"/>
      <c r="AP1853" s="231"/>
      <c r="AQ1853" s="227"/>
      <c r="AR1853" s="231"/>
      <c r="AS1853" s="227"/>
      <c r="AT1853" s="227"/>
      <c r="AU1853" s="227"/>
      <c r="AV1853" s="227"/>
    </row>
    <row r="1854">
      <c r="A1854" s="227"/>
      <c r="B1854" s="232"/>
      <c r="C1854" s="227"/>
      <c r="D1854" s="227"/>
      <c r="E1854" s="231"/>
      <c r="F1854" s="232"/>
      <c r="G1854" s="227"/>
      <c r="H1854" s="227"/>
      <c r="I1854" s="227"/>
      <c r="J1854" s="227"/>
      <c r="K1854" s="227"/>
      <c r="L1854" s="232"/>
      <c r="M1854" s="232"/>
      <c r="N1854" s="227"/>
      <c r="O1854" s="227"/>
      <c r="P1854" s="231"/>
      <c r="Q1854" s="227"/>
      <c r="R1854" s="231"/>
      <c r="S1854" s="231"/>
      <c r="T1854" s="231"/>
      <c r="U1854" s="231"/>
      <c r="V1854" s="231"/>
      <c r="W1854" s="231"/>
      <c r="X1854" s="227"/>
      <c r="Y1854" s="232"/>
      <c r="Z1854" s="232"/>
      <c r="AA1854" s="232"/>
      <c r="AB1854" s="232"/>
      <c r="AC1854" s="227"/>
      <c r="AD1854" s="227"/>
      <c r="AE1854" s="231"/>
      <c r="AF1854" s="227"/>
      <c r="AG1854" s="232"/>
      <c r="AH1854" s="232"/>
      <c r="AI1854" s="232"/>
      <c r="AJ1854" s="232"/>
      <c r="AK1854" s="232"/>
      <c r="AL1854" s="232"/>
      <c r="AM1854" s="232"/>
      <c r="AN1854" s="232"/>
      <c r="AO1854" s="231"/>
      <c r="AP1854" s="231"/>
      <c r="AQ1854" s="227"/>
      <c r="AR1854" s="231"/>
      <c r="AS1854" s="227"/>
      <c r="AT1854" s="227"/>
      <c r="AU1854" s="227"/>
      <c r="AV1854" s="227"/>
    </row>
    <row r="1855">
      <c r="A1855" s="227"/>
      <c r="B1855" s="232"/>
      <c r="C1855" s="227"/>
      <c r="D1855" s="227"/>
      <c r="E1855" s="231"/>
      <c r="F1855" s="232"/>
      <c r="G1855" s="227"/>
      <c r="H1855" s="227"/>
      <c r="I1855" s="227"/>
      <c r="J1855" s="227"/>
      <c r="K1855" s="227"/>
      <c r="L1855" s="232"/>
      <c r="M1855" s="232"/>
      <c r="N1855" s="227"/>
      <c r="O1855" s="227"/>
      <c r="P1855" s="231"/>
      <c r="Q1855" s="227"/>
      <c r="R1855" s="231"/>
      <c r="S1855" s="231"/>
      <c r="T1855" s="231"/>
      <c r="U1855" s="231"/>
      <c r="V1855" s="231"/>
      <c r="W1855" s="231"/>
      <c r="X1855" s="227"/>
      <c r="Y1855" s="232"/>
      <c r="Z1855" s="232"/>
      <c r="AA1855" s="232"/>
      <c r="AB1855" s="232"/>
      <c r="AC1855" s="227"/>
      <c r="AD1855" s="227"/>
      <c r="AE1855" s="231"/>
      <c r="AF1855" s="227"/>
      <c r="AG1855" s="232"/>
      <c r="AH1855" s="232"/>
      <c r="AI1855" s="232"/>
      <c r="AJ1855" s="232"/>
      <c r="AK1855" s="232"/>
      <c r="AL1855" s="232"/>
      <c r="AM1855" s="232"/>
      <c r="AN1855" s="232"/>
      <c r="AO1855" s="231"/>
      <c r="AP1855" s="231"/>
      <c r="AQ1855" s="227"/>
      <c r="AR1855" s="231"/>
      <c r="AS1855" s="227"/>
      <c r="AT1855" s="227"/>
      <c r="AU1855" s="227"/>
      <c r="AV1855" s="227"/>
    </row>
    <row r="1856">
      <c r="A1856" s="227"/>
      <c r="B1856" s="232"/>
      <c r="C1856" s="227"/>
      <c r="D1856" s="227"/>
      <c r="E1856" s="231"/>
      <c r="F1856" s="232"/>
      <c r="G1856" s="227"/>
      <c r="H1856" s="227"/>
      <c r="I1856" s="227"/>
      <c r="J1856" s="227"/>
      <c r="K1856" s="227"/>
      <c r="L1856" s="232"/>
      <c r="M1856" s="232"/>
      <c r="N1856" s="227"/>
      <c r="O1856" s="227"/>
      <c r="P1856" s="231"/>
      <c r="Q1856" s="227"/>
      <c r="R1856" s="231"/>
      <c r="S1856" s="231"/>
      <c r="T1856" s="231"/>
      <c r="U1856" s="231"/>
      <c r="V1856" s="231"/>
      <c r="W1856" s="231"/>
      <c r="X1856" s="227"/>
      <c r="Y1856" s="232"/>
      <c r="Z1856" s="232"/>
      <c r="AA1856" s="232"/>
      <c r="AB1856" s="232"/>
      <c r="AC1856" s="227"/>
      <c r="AD1856" s="227"/>
      <c r="AE1856" s="231"/>
      <c r="AF1856" s="227"/>
      <c r="AG1856" s="232"/>
      <c r="AH1856" s="232"/>
      <c r="AI1856" s="232"/>
      <c r="AJ1856" s="232"/>
      <c r="AK1856" s="232"/>
      <c r="AL1856" s="232"/>
      <c r="AM1856" s="232"/>
      <c r="AN1856" s="232"/>
      <c r="AO1856" s="231"/>
      <c r="AP1856" s="231"/>
      <c r="AQ1856" s="227"/>
      <c r="AR1856" s="231"/>
      <c r="AS1856" s="227"/>
      <c r="AT1856" s="227"/>
      <c r="AU1856" s="227"/>
      <c r="AV1856" s="227"/>
    </row>
    <row r="1857">
      <c r="A1857" s="227"/>
      <c r="B1857" s="232"/>
      <c r="C1857" s="227"/>
      <c r="D1857" s="227"/>
      <c r="E1857" s="231"/>
      <c r="F1857" s="232"/>
      <c r="G1857" s="227"/>
      <c r="H1857" s="227"/>
      <c r="I1857" s="227"/>
      <c r="J1857" s="227"/>
      <c r="K1857" s="227"/>
      <c r="L1857" s="232"/>
      <c r="M1857" s="232"/>
      <c r="N1857" s="227"/>
      <c r="O1857" s="227"/>
      <c r="P1857" s="231"/>
      <c r="Q1857" s="227"/>
      <c r="R1857" s="231"/>
      <c r="S1857" s="231"/>
      <c r="T1857" s="231"/>
      <c r="U1857" s="231"/>
      <c r="V1857" s="231"/>
      <c r="W1857" s="231"/>
      <c r="X1857" s="227"/>
      <c r="Y1857" s="232"/>
      <c r="Z1857" s="232"/>
      <c r="AA1857" s="232"/>
      <c r="AB1857" s="232"/>
      <c r="AC1857" s="227"/>
      <c r="AD1857" s="227"/>
      <c r="AE1857" s="231"/>
      <c r="AF1857" s="227"/>
      <c r="AG1857" s="232"/>
      <c r="AH1857" s="232"/>
      <c r="AI1857" s="232"/>
      <c r="AJ1857" s="232"/>
      <c r="AK1857" s="232"/>
      <c r="AL1857" s="232"/>
      <c r="AM1857" s="232"/>
      <c r="AN1857" s="232"/>
      <c r="AO1857" s="231"/>
      <c r="AP1857" s="231"/>
      <c r="AQ1857" s="227"/>
      <c r="AR1857" s="231"/>
      <c r="AS1857" s="227"/>
      <c r="AT1857" s="227"/>
      <c r="AU1857" s="227"/>
      <c r="AV1857" s="227"/>
    </row>
    <row r="1858">
      <c r="A1858" s="227"/>
      <c r="B1858" s="232"/>
      <c r="C1858" s="227"/>
      <c r="D1858" s="227"/>
      <c r="E1858" s="231"/>
      <c r="F1858" s="232"/>
      <c r="G1858" s="227"/>
      <c r="H1858" s="227"/>
      <c r="I1858" s="227"/>
      <c r="J1858" s="227"/>
      <c r="K1858" s="227"/>
      <c r="L1858" s="232"/>
      <c r="M1858" s="232"/>
      <c r="N1858" s="227"/>
      <c r="O1858" s="227"/>
      <c r="P1858" s="231"/>
      <c r="Q1858" s="227"/>
      <c r="R1858" s="231"/>
      <c r="S1858" s="231"/>
      <c r="T1858" s="231"/>
      <c r="U1858" s="231"/>
      <c r="V1858" s="231"/>
      <c r="W1858" s="231"/>
      <c r="X1858" s="227"/>
      <c r="Y1858" s="232"/>
      <c r="Z1858" s="232"/>
      <c r="AA1858" s="232"/>
      <c r="AB1858" s="232"/>
      <c r="AC1858" s="227"/>
      <c r="AD1858" s="227"/>
      <c r="AE1858" s="231"/>
      <c r="AF1858" s="227"/>
      <c r="AG1858" s="232"/>
      <c r="AH1858" s="232"/>
      <c r="AI1858" s="232"/>
      <c r="AJ1858" s="232"/>
      <c r="AK1858" s="232"/>
      <c r="AL1858" s="232"/>
      <c r="AM1858" s="232"/>
      <c r="AN1858" s="232"/>
      <c r="AO1858" s="231"/>
      <c r="AP1858" s="231"/>
      <c r="AQ1858" s="227"/>
      <c r="AR1858" s="231"/>
      <c r="AS1858" s="227"/>
      <c r="AT1858" s="227"/>
      <c r="AU1858" s="227"/>
      <c r="AV1858" s="227"/>
    </row>
    <row r="1859">
      <c r="A1859" s="227"/>
      <c r="B1859" s="232"/>
      <c r="C1859" s="227"/>
      <c r="D1859" s="227"/>
      <c r="E1859" s="231"/>
      <c r="F1859" s="232"/>
      <c r="G1859" s="227"/>
      <c r="H1859" s="227"/>
      <c r="I1859" s="227"/>
      <c r="J1859" s="227"/>
      <c r="K1859" s="227"/>
      <c r="L1859" s="232"/>
      <c r="M1859" s="232"/>
      <c r="N1859" s="227"/>
      <c r="O1859" s="227"/>
      <c r="P1859" s="231"/>
      <c r="Q1859" s="227"/>
      <c r="R1859" s="231"/>
      <c r="S1859" s="231"/>
      <c r="T1859" s="231"/>
      <c r="U1859" s="231"/>
      <c r="V1859" s="231"/>
      <c r="W1859" s="231"/>
      <c r="X1859" s="227"/>
      <c r="Y1859" s="232"/>
      <c r="Z1859" s="232"/>
      <c r="AA1859" s="232"/>
      <c r="AB1859" s="232"/>
      <c r="AC1859" s="227"/>
      <c r="AD1859" s="227"/>
      <c r="AE1859" s="231"/>
      <c r="AF1859" s="227"/>
      <c r="AG1859" s="232"/>
      <c r="AH1859" s="232"/>
      <c r="AI1859" s="232"/>
      <c r="AJ1859" s="232"/>
      <c r="AK1859" s="232"/>
      <c r="AL1859" s="232"/>
      <c r="AM1859" s="232"/>
      <c r="AN1859" s="232"/>
      <c r="AO1859" s="231"/>
      <c r="AP1859" s="231"/>
      <c r="AQ1859" s="227"/>
      <c r="AR1859" s="231"/>
      <c r="AS1859" s="227"/>
      <c r="AT1859" s="227"/>
      <c r="AU1859" s="227"/>
      <c r="AV1859" s="227"/>
    </row>
    <row r="1860">
      <c r="A1860" s="227"/>
      <c r="B1860" s="232"/>
      <c r="C1860" s="227"/>
      <c r="D1860" s="227"/>
      <c r="E1860" s="231"/>
      <c r="F1860" s="232"/>
      <c r="G1860" s="227"/>
      <c r="H1860" s="227"/>
      <c r="I1860" s="227"/>
      <c r="J1860" s="227"/>
      <c r="K1860" s="227"/>
      <c r="L1860" s="232"/>
      <c r="M1860" s="232"/>
      <c r="N1860" s="227"/>
      <c r="O1860" s="227"/>
      <c r="P1860" s="231"/>
      <c r="Q1860" s="227"/>
      <c r="R1860" s="231"/>
      <c r="S1860" s="231"/>
      <c r="T1860" s="231"/>
      <c r="U1860" s="231"/>
      <c r="V1860" s="231"/>
      <c r="W1860" s="231"/>
      <c r="X1860" s="227"/>
      <c r="Y1860" s="232"/>
      <c r="Z1860" s="232"/>
      <c r="AA1860" s="232"/>
      <c r="AB1860" s="232"/>
      <c r="AC1860" s="227"/>
      <c r="AD1860" s="227"/>
      <c r="AE1860" s="231"/>
      <c r="AF1860" s="227"/>
      <c r="AG1860" s="232"/>
      <c r="AH1860" s="232"/>
      <c r="AI1860" s="232"/>
      <c r="AJ1860" s="232"/>
      <c r="AK1860" s="232"/>
      <c r="AL1860" s="232"/>
      <c r="AM1860" s="232"/>
      <c r="AN1860" s="232"/>
      <c r="AO1860" s="231"/>
      <c r="AP1860" s="231"/>
      <c r="AQ1860" s="227"/>
      <c r="AR1860" s="231"/>
      <c r="AS1860" s="227"/>
      <c r="AT1860" s="227"/>
      <c r="AU1860" s="227"/>
      <c r="AV1860" s="227"/>
    </row>
    <row r="1861">
      <c r="A1861" s="227"/>
      <c r="B1861" s="232"/>
      <c r="C1861" s="227"/>
      <c r="D1861" s="227"/>
      <c r="E1861" s="231"/>
      <c r="F1861" s="232"/>
      <c r="G1861" s="227"/>
      <c r="H1861" s="227"/>
      <c r="I1861" s="227"/>
      <c r="J1861" s="227"/>
      <c r="K1861" s="227"/>
      <c r="L1861" s="232"/>
      <c r="M1861" s="232"/>
      <c r="N1861" s="227"/>
      <c r="O1861" s="227"/>
      <c r="P1861" s="231"/>
      <c r="Q1861" s="227"/>
      <c r="R1861" s="231"/>
      <c r="S1861" s="231"/>
      <c r="T1861" s="231"/>
      <c r="U1861" s="231"/>
      <c r="V1861" s="231"/>
      <c r="W1861" s="231"/>
      <c r="X1861" s="227"/>
      <c r="Y1861" s="232"/>
      <c r="Z1861" s="232"/>
      <c r="AA1861" s="232"/>
      <c r="AB1861" s="232"/>
      <c r="AC1861" s="227"/>
      <c r="AD1861" s="227"/>
      <c r="AE1861" s="231"/>
      <c r="AF1861" s="227"/>
      <c r="AG1861" s="232"/>
      <c r="AH1861" s="232"/>
      <c r="AI1861" s="232"/>
      <c r="AJ1861" s="232"/>
      <c r="AK1861" s="232"/>
      <c r="AL1861" s="232"/>
      <c r="AM1861" s="232"/>
      <c r="AN1861" s="232"/>
      <c r="AO1861" s="231"/>
      <c r="AP1861" s="231"/>
      <c r="AQ1861" s="227"/>
      <c r="AR1861" s="231"/>
      <c r="AS1861" s="227"/>
      <c r="AT1861" s="227"/>
      <c r="AU1861" s="227"/>
      <c r="AV1861" s="227"/>
    </row>
    <row r="1862">
      <c r="A1862" s="227"/>
      <c r="B1862" s="232"/>
      <c r="C1862" s="227"/>
      <c r="D1862" s="227"/>
      <c r="E1862" s="231"/>
      <c r="F1862" s="232"/>
      <c r="G1862" s="227"/>
      <c r="H1862" s="227"/>
      <c r="I1862" s="227"/>
      <c r="J1862" s="227"/>
      <c r="K1862" s="227"/>
      <c r="L1862" s="232"/>
      <c r="M1862" s="232"/>
      <c r="N1862" s="227"/>
      <c r="O1862" s="227"/>
      <c r="P1862" s="231"/>
      <c r="Q1862" s="227"/>
      <c r="R1862" s="231"/>
      <c r="S1862" s="231"/>
      <c r="T1862" s="231"/>
      <c r="U1862" s="231"/>
      <c r="V1862" s="231"/>
      <c r="W1862" s="231"/>
      <c r="X1862" s="227"/>
      <c r="Y1862" s="232"/>
      <c r="Z1862" s="232"/>
      <c r="AA1862" s="232"/>
      <c r="AB1862" s="232"/>
      <c r="AC1862" s="227"/>
      <c r="AD1862" s="227"/>
      <c r="AE1862" s="231"/>
      <c r="AF1862" s="227"/>
      <c r="AG1862" s="232"/>
      <c r="AH1862" s="232"/>
      <c r="AI1862" s="232"/>
      <c r="AJ1862" s="232"/>
      <c r="AK1862" s="232"/>
      <c r="AL1862" s="232"/>
      <c r="AM1862" s="232"/>
      <c r="AN1862" s="232"/>
      <c r="AO1862" s="231"/>
      <c r="AP1862" s="231"/>
      <c r="AQ1862" s="227"/>
      <c r="AR1862" s="231"/>
      <c r="AS1862" s="227"/>
      <c r="AT1862" s="227"/>
      <c r="AU1862" s="227"/>
      <c r="AV1862" s="227"/>
    </row>
    <row r="1863">
      <c r="A1863" s="227"/>
      <c r="B1863" s="232"/>
      <c r="C1863" s="227"/>
      <c r="D1863" s="227"/>
      <c r="E1863" s="231"/>
      <c r="F1863" s="232"/>
      <c r="G1863" s="227"/>
      <c r="H1863" s="227"/>
      <c r="I1863" s="227"/>
      <c r="J1863" s="227"/>
      <c r="K1863" s="227"/>
      <c r="L1863" s="232"/>
      <c r="M1863" s="232"/>
      <c r="N1863" s="227"/>
      <c r="O1863" s="227"/>
      <c r="P1863" s="231"/>
      <c r="Q1863" s="227"/>
      <c r="R1863" s="231"/>
      <c r="S1863" s="231"/>
      <c r="T1863" s="231"/>
      <c r="U1863" s="231"/>
      <c r="V1863" s="231"/>
      <c r="W1863" s="231"/>
      <c r="X1863" s="227"/>
      <c r="Y1863" s="232"/>
      <c r="Z1863" s="232"/>
      <c r="AA1863" s="232"/>
      <c r="AB1863" s="232"/>
      <c r="AC1863" s="227"/>
      <c r="AD1863" s="227"/>
      <c r="AE1863" s="231"/>
      <c r="AF1863" s="227"/>
      <c r="AG1863" s="232"/>
      <c r="AH1863" s="232"/>
      <c r="AI1863" s="232"/>
      <c r="AJ1863" s="232"/>
      <c r="AK1863" s="232"/>
      <c r="AL1863" s="232"/>
      <c r="AM1863" s="232"/>
      <c r="AN1863" s="232"/>
      <c r="AO1863" s="231"/>
      <c r="AP1863" s="231"/>
      <c r="AQ1863" s="227"/>
      <c r="AR1863" s="231"/>
      <c r="AS1863" s="227"/>
      <c r="AT1863" s="227"/>
      <c r="AU1863" s="227"/>
      <c r="AV1863" s="227"/>
    </row>
    <row r="1864">
      <c r="A1864" s="227"/>
      <c r="B1864" s="232"/>
      <c r="C1864" s="227"/>
      <c r="D1864" s="227"/>
      <c r="E1864" s="231"/>
      <c r="F1864" s="232"/>
      <c r="G1864" s="227"/>
      <c r="H1864" s="227"/>
      <c r="I1864" s="227"/>
      <c r="J1864" s="227"/>
      <c r="K1864" s="227"/>
      <c r="L1864" s="232"/>
      <c r="M1864" s="232"/>
      <c r="N1864" s="227"/>
      <c r="O1864" s="227"/>
      <c r="P1864" s="231"/>
      <c r="Q1864" s="227"/>
      <c r="R1864" s="231"/>
      <c r="S1864" s="231"/>
      <c r="T1864" s="231"/>
      <c r="U1864" s="231"/>
      <c r="V1864" s="231"/>
      <c r="W1864" s="231"/>
      <c r="X1864" s="227"/>
      <c r="Y1864" s="232"/>
      <c r="Z1864" s="232"/>
      <c r="AA1864" s="232"/>
      <c r="AB1864" s="232"/>
      <c r="AC1864" s="227"/>
      <c r="AD1864" s="227"/>
      <c r="AE1864" s="231"/>
      <c r="AF1864" s="227"/>
      <c r="AG1864" s="232"/>
      <c r="AH1864" s="232"/>
      <c r="AI1864" s="232"/>
      <c r="AJ1864" s="232"/>
      <c r="AK1864" s="232"/>
      <c r="AL1864" s="232"/>
      <c r="AM1864" s="232"/>
      <c r="AN1864" s="232"/>
      <c r="AO1864" s="231"/>
      <c r="AP1864" s="231"/>
      <c r="AQ1864" s="227"/>
      <c r="AR1864" s="231"/>
      <c r="AS1864" s="227"/>
      <c r="AT1864" s="227"/>
      <c r="AU1864" s="227"/>
      <c r="AV1864" s="227"/>
    </row>
    <row r="1865">
      <c r="A1865" s="227"/>
      <c r="B1865" s="232"/>
      <c r="C1865" s="227"/>
      <c r="D1865" s="227"/>
      <c r="E1865" s="231"/>
      <c r="F1865" s="232"/>
      <c r="G1865" s="227"/>
      <c r="H1865" s="227"/>
      <c r="I1865" s="227"/>
      <c r="J1865" s="227"/>
      <c r="K1865" s="227"/>
      <c r="L1865" s="232"/>
      <c r="M1865" s="232"/>
      <c r="N1865" s="227"/>
      <c r="O1865" s="227"/>
      <c r="P1865" s="231"/>
      <c r="Q1865" s="227"/>
      <c r="R1865" s="231"/>
      <c r="S1865" s="231"/>
      <c r="T1865" s="231"/>
      <c r="U1865" s="231"/>
      <c r="V1865" s="231"/>
      <c r="W1865" s="231"/>
      <c r="X1865" s="227"/>
      <c r="Y1865" s="232"/>
      <c r="Z1865" s="232"/>
      <c r="AA1865" s="232"/>
      <c r="AB1865" s="232"/>
      <c r="AC1865" s="227"/>
      <c r="AD1865" s="227"/>
      <c r="AE1865" s="231"/>
      <c r="AF1865" s="227"/>
      <c r="AG1865" s="232"/>
      <c r="AH1865" s="232"/>
      <c r="AI1865" s="232"/>
      <c r="AJ1865" s="232"/>
      <c r="AK1865" s="232"/>
      <c r="AL1865" s="232"/>
      <c r="AM1865" s="232"/>
      <c r="AN1865" s="232"/>
      <c r="AO1865" s="231"/>
      <c r="AP1865" s="231"/>
      <c r="AQ1865" s="227"/>
      <c r="AR1865" s="231"/>
      <c r="AS1865" s="227"/>
      <c r="AT1865" s="227"/>
      <c r="AU1865" s="227"/>
      <c r="AV1865" s="227"/>
    </row>
    <row r="1866">
      <c r="A1866" s="227"/>
      <c r="B1866" s="232"/>
      <c r="C1866" s="227"/>
      <c r="D1866" s="227"/>
      <c r="E1866" s="231"/>
      <c r="F1866" s="232"/>
      <c r="G1866" s="227"/>
      <c r="H1866" s="227"/>
      <c r="I1866" s="227"/>
      <c r="J1866" s="227"/>
      <c r="K1866" s="227"/>
      <c r="L1866" s="232"/>
      <c r="M1866" s="232"/>
      <c r="N1866" s="227"/>
      <c r="O1866" s="227"/>
      <c r="P1866" s="231"/>
      <c r="Q1866" s="227"/>
      <c r="R1866" s="231"/>
      <c r="S1866" s="231"/>
      <c r="T1866" s="231"/>
      <c r="U1866" s="231"/>
      <c r="V1866" s="231"/>
      <c r="W1866" s="231"/>
      <c r="X1866" s="227"/>
      <c r="Y1866" s="232"/>
      <c r="Z1866" s="232"/>
      <c r="AA1866" s="232"/>
      <c r="AB1866" s="232"/>
      <c r="AC1866" s="227"/>
      <c r="AD1866" s="227"/>
      <c r="AE1866" s="231"/>
      <c r="AF1866" s="227"/>
      <c r="AG1866" s="232"/>
      <c r="AH1866" s="232"/>
      <c r="AI1866" s="232"/>
      <c r="AJ1866" s="232"/>
      <c r="AK1866" s="232"/>
      <c r="AL1866" s="232"/>
      <c r="AM1866" s="232"/>
      <c r="AN1866" s="232"/>
      <c r="AO1866" s="231"/>
      <c r="AP1866" s="231"/>
      <c r="AQ1866" s="227"/>
      <c r="AR1866" s="231"/>
      <c r="AS1866" s="227"/>
      <c r="AT1866" s="227"/>
      <c r="AU1866" s="227"/>
      <c r="AV1866" s="227"/>
    </row>
    <row r="1867">
      <c r="A1867" s="227"/>
      <c r="B1867" s="232"/>
      <c r="C1867" s="227"/>
      <c r="D1867" s="227"/>
      <c r="E1867" s="231"/>
      <c r="F1867" s="232"/>
      <c r="G1867" s="227"/>
      <c r="H1867" s="227"/>
      <c r="I1867" s="227"/>
      <c r="J1867" s="227"/>
      <c r="K1867" s="227"/>
      <c r="L1867" s="232"/>
      <c r="M1867" s="232"/>
      <c r="N1867" s="227"/>
      <c r="O1867" s="227"/>
      <c r="P1867" s="231"/>
      <c r="Q1867" s="227"/>
      <c r="R1867" s="231"/>
      <c r="S1867" s="231"/>
      <c r="T1867" s="231"/>
      <c r="U1867" s="231"/>
      <c r="V1867" s="231"/>
      <c r="W1867" s="231"/>
      <c r="X1867" s="227"/>
      <c r="Y1867" s="232"/>
      <c r="Z1867" s="232"/>
      <c r="AA1867" s="232"/>
      <c r="AB1867" s="232"/>
      <c r="AC1867" s="227"/>
      <c r="AD1867" s="227"/>
      <c r="AE1867" s="231"/>
      <c r="AF1867" s="227"/>
      <c r="AG1867" s="232"/>
      <c r="AH1867" s="232"/>
      <c r="AI1867" s="232"/>
      <c r="AJ1867" s="232"/>
      <c r="AK1867" s="232"/>
      <c r="AL1867" s="232"/>
      <c r="AM1867" s="232"/>
      <c r="AN1867" s="232"/>
      <c r="AO1867" s="231"/>
      <c r="AP1867" s="231"/>
      <c r="AQ1867" s="227"/>
      <c r="AR1867" s="231"/>
      <c r="AS1867" s="227"/>
      <c r="AT1867" s="227"/>
      <c r="AU1867" s="227"/>
      <c r="AV1867" s="227"/>
    </row>
    <row r="1868">
      <c r="A1868" s="227"/>
      <c r="B1868" s="232"/>
      <c r="C1868" s="227"/>
      <c r="D1868" s="227"/>
      <c r="E1868" s="231"/>
      <c r="F1868" s="232"/>
      <c r="G1868" s="227"/>
      <c r="H1868" s="227"/>
      <c r="I1868" s="227"/>
      <c r="J1868" s="227"/>
      <c r="K1868" s="227"/>
      <c r="L1868" s="232"/>
      <c r="M1868" s="232"/>
      <c r="N1868" s="227"/>
      <c r="O1868" s="227"/>
      <c r="P1868" s="231"/>
      <c r="Q1868" s="227"/>
      <c r="R1868" s="231"/>
      <c r="S1868" s="231"/>
      <c r="T1868" s="231"/>
      <c r="U1868" s="231"/>
      <c r="V1868" s="231"/>
      <c r="W1868" s="231"/>
      <c r="X1868" s="227"/>
      <c r="Y1868" s="232"/>
      <c r="Z1868" s="232"/>
      <c r="AA1868" s="232"/>
      <c r="AB1868" s="232"/>
      <c r="AC1868" s="227"/>
      <c r="AD1868" s="227"/>
      <c r="AE1868" s="231"/>
      <c r="AF1868" s="227"/>
      <c r="AG1868" s="232"/>
      <c r="AH1868" s="232"/>
      <c r="AI1868" s="232"/>
      <c r="AJ1868" s="232"/>
      <c r="AK1868" s="232"/>
      <c r="AL1868" s="232"/>
      <c r="AM1868" s="232"/>
      <c r="AN1868" s="232"/>
      <c r="AO1868" s="231"/>
      <c r="AP1868" s="231"/>
      <c r="AQ1868" s="227"/>
      <c r="AR1868" s="231"/>
      <c r="AS1868" s="227"/>
      <c r="AT1868" s="227"/>
      <c r="AU1868" s="227"/>
      <c r="AV1868" s="227"/>
    </row>
    <row r="1869">
      <c r="A1869" s="227"/>
      <c r="B1869" s="232"/>
      <c r="C1869" s="227"/>
      <c r="D1869" s="227"/>
      <c r="E1869" s="231"/>
      <c r="F1869" s="232"/>
      <c r="G1869" s="227"/>
      <c r="H1869" s="227"/>
      <c r="I1869" s="227"/>
      <c r="J1869" s="227"/>
      <c r="K1869" s="227"/>
      <c r="L1869" s="232"/>
      <c r="M1869" s="232"/>
      <c r="N1869" s="227"/>
      <c r="O1869" s="227"/>
      <c r="P1869" s="231"/>
      <c r="Q1869" s="227"/>
      <c r="R1869" s="231"/>
      <c r="S1869" s="231"/>
      <c r="T1869" s="231"/>
      <c r="U1869" s="231"/>
      <c r="V1869" s="231"/>
      <c r="W1869" s="231"/>
      <c r="X1869" s="227"/>
      <c r="Y1869" s="232"/>
      <c r="Z1869" s="232"/>
      <c r="AA1869" s="232"/>
      <c r="AB1869" s="232"/>
      <c r="AC1869" s="227"/>
      <c r="AD1869" s="227"/>
      <c r="AE1869" s="231"/>
      <c r="AF1869" s="227"/>
      <c r="AG1869" s="232"/>
      <c r="AH1869" s="232"/>
      <c r="AI1869" s="232"/>
      <c r="AJ1869" s="232"/>
      <c r="AK1869" s="232"/>
      <c r="AL1869" s="232"/>
      <c r="AM1869" s="232"/>
      <c r="AN1869" s="232"/>
      <c r="AO1869" s="231"/>
      <c r="AP1869" s="231"/>
      <c r="AQ1869" s="227"/>
      <c r="AR1869" s="231"/>
      <c r="AS1869" s="227"/>
      <c r="AT1869" s="227"/>
      <c r="AU1869" s="227"/>
      <c r="AV1869" s="227"/>
    </row>
    <row r="1870">
      <c r="A1870" s="227"/>
      <c r="B1870" s="232"/>
      <c r="C1870" s="227"/>
      <c r="D1870" s="227"/>
      <c r="E1870" s="231"/>
      <c r="F1870" s="232"/>
      <c r="G1870" s="227"/>
      <c r="H1870" s="227"/>
      <c r="I1870" s="227"/>
      <c r="J1870" s="227"/>
      <c r="K1870" s="227"/>
      <c r="L1870" s="232"/>
      <c r="M1870" s="232"/>
      <c r="N1870" s="227"/>
      <c r="O1870" s="227"/>
      <c r="P1870" s="231"/>
      <c r="Q1870" s="227"/>
      <c r="R1870" s="231"/>
      <c r="S1870" s="231"/>
      <c r="T1870" s="231"/>
      <c r="U1870" s="231"/>
      <c r="V1870" s="231"/>
      <c r="W1870" s="231"/>
      <c r="X1870" s="227"/>
      <c r="Y1870" s="232"/>
      <c r="Z1870" s="232"/>
      <c r="AA1870" s="232"/>
      <c r="AB1870" s="232"/>
      <c r="AC1870" s="227"/>
      <c r="AD1870" s="227"/>
      <c r="AE1870" s="231"/>
      <c r="AF1870" s="227"/>
      <c r="AG1870" s="232"/>
      <c r="AH1870" s="232"/>
      <c r="AI1870" s="232"/>
      <c r="AJ1870" s="232"/>
      <c r="AK1870" s="232"/>
      <c r="AL1870" s="232"/>
      <c r="AM1870" s="232"/>
      <c r="AN1870" s="232"/>
      <c r="AO1870" s="231"/>
      <c r="AP1870" s="231"/>
      <c r="AQ1870" s="227"/>
      <c r="AR1870" s="231"/>
      <c r="AS1870" s="227"/>
      <c r="AT1870" s="227"/>
      <c r="AU1870" s="227"/>
      <c r="AV1870" s="227"/>
    </row>
    <row r="1871">
      <c r="A1871" s="227"/>
      <c r="B1871" s="232"/>
      <c r="C1871" s="227"/>
      <c r="D1871" s="227"/>
      <c r="E1871" s="231"/>
      <c r="F1871" s="232"/>
      <c r="G1871" s="227"/>
      <c r="H1871" s="227"/>
      <c r="I1871" s="227"/>
      <c r="J1871" s="227"/>
      <c r="K1871" s="227"/>
      <c r="L1871" s="232"/>
      <c r="M1871" s="232"/>
      <c r="N1871" s="227"/>
      <c r="O1871" s="227"/>
      <c r="P1871" s="231"/>
      <c r="Q1871" s="227"/>
      <c r="R1871" s="231"/>
      <c r="S1871" s="231"/>
      <c r="T1871" s="231"/>
      <c r="U1871" s="231"/>
      <c r="V1871" s="231"/>
      <c r="W1871" s="231"/>
      <c r="X1871" s="227"/>
      <c r="Y1871" s="232"/>
      <c r="Z1871" s="232"/>
      <c r="AA1871" s="232"/>
      <c r="AB1871" s="232"/>
      <c r="AC1871" s="227"/>
      <c r="AD1871" s="227"/>
      <c r="AE1871" s="231"/>
      <c r="AF1871" s="227"/>
      <c r="AG1871" s="232"/>
      <c r="AH1871" s="232"/>
      <c r="AI1871" s="232"/>
      <c r="AJ1871" s="232"/>
      <c r="AK1871" s="232"/>
      <c r="AL1871" s="232"/>
      <c r="AM1871" s="232"/>
      <c r="AN1871" s="232"/>
      <c r="AO1871" s="231"/>
      <c r="AP1871" s="231"/>
      <c r="AQ1871" s="227"/>
      <c r="AR1871" s="231"/>
      <c r="AS1871" s="227"/>
      <c r="AT1871" s="227"/>
      <c r="AU1871" s="227"/>
      <c r="AV1871" s="227"/>
    </row>
    <row r="1872">
      <c r="A1872" s="227"/>
      <c r="B1872" s="232"/>
      <c r="C1872" s="227"/>
      <c r="D1872" s="227"/>
      <c r="E1872" s="231"/>
      <c r="F1872" s="232"/>
      <c r="G1872" s="227"/>
      <c r="H1872" s="227"/>
      <c r="I1872" s="227"/>
      <c r="J1872" s="227"/>
      <c r="K1872" s="227"/>
      <c r="L1872" s="232"/>
      <c r="M1872" s="232"/>
      <c r="N1872" s="227"/>
      <c r="O1872" s="227"/>
      <c r="P1872" s="231"/>
      <c r="Q1872" s="227"/>
      <c r="R1872" s="231"/>
      <c r="S1872" s="231"/>
      <c r="T1872" s="231"/>
      <c r="U1872" s="231"/>
      <c r="V1872" s="231"/>
      <c r="W1872" s="231"/>
      <c r="X1872" s="227"/>
      <c r="Y1872" s="232"/>
      <c r="Z1872" s="232"/>
      <c r="AA1872" s="232"/>
      <c r="AB1872" s="232"/>
      <c r="AC1872" s="227"/>
      <c r="AD1872" s="227"/>
      <c r="AE1872" s="231"/>
      <c r="AF1872" s="227"/>
      <c r="AG1872" s="232"/>
      <c r="AH1872" s="232"/>
      <c r="AI1872" s="232"/>
      <c r="AJ1872" s="232"/>
      <c r="AK1872" s="232"/>
      <c r="AL1872" s="232"/>
      <c r="AM1872" s="232"/>
      <c r="AN1872" s="232"/>
      <c r="AO1872" s="231"/>
      <c r="AP1872" s="231"/>
      <c r="AQ1872" s="227"/>
      <c r="AR1872" s="231"/>
      <c r="AS1872" s="227"/>
      <c r="AT1872" s="227"/>
      <c r="AU1872" s="227"/>
      <c r="AV1872" s="227"/>
    </row>
    <row r="1873">
      <c r="A1873" s="227"/>
      <c r="B1873" s="232"/>
      <c r="C1873" s="227"/>
      <c r="D1873" s="227"/>
      <c r="E1873" s="231"/>
      <c r="F1873" s="232"/>
      <c r="G1873" s="227"/>
      <c r="H1873" s="227"/>
      <c r="I1873" s="227"/>
      <c r="J1873" s="227"/>
      <c r="K1873" s="227"/>
      <c r="L1873" s="232"/>
      <c r="M1873" s="232"/>
      <c r="N1873" s="227"/>
      <c r="O1873" s="227"/>
      <c r="P1873" s="231"/>
      <c r="Q1873" s="227"/>
      <c r="R1873" s="231"/>
      <c r="S1873" s="231"/>
      <c r="T1873" s="231"/>
      <c r="U1873" s="231"/>
      <c r="V1873" s="231"/>
      <c r="W1873" s="231"/>
      <c r="X1873" s="227"/>
      <c r="Y1873" s="232"/>
      <c r="Z1873" s="232"/>
      <c r="AA1873" s="232"/>
      <c r="AB1873" s="232"/>
      <c r="AC1873" s="227"/>
      <c r="AD1873" s="227"/>
      <c r="AE1873" s="231"/>
      <c r="AF1873" s="227"/>
      <c r="AG1873" s="232"/>
      <c r="AH1873" s="232"/>
      <c r="AI1873" s="232"/>
      <c r="AJ1873" s="232"/>
      <c r="AK1873" s="232"/>
      <c r="AL1873" s="232"/>
      <c r="AM1873" s="232"/>
      <c r="AN1873" s="232"/>
      <c r="AO1873" s="231"/>
      <c r="AP1873" s="231"/>
      <c r="AQ1873" s="227"/>
      <c r="AR1873" s="231"/>
      <c r="AS1873" s="227"/>
      <c r="AT1873" s="227"/>
      <c r="AU1873" s="227"/>
      <c r="AV1873" s="227"/>
    </row>
    <row r="1874">
      <c r="A1874" s="227"/>
      <c r="B1874" s="232"/>
      <c r="C1874" s="227"/>
      <c r="D1874" s="227"/>
      <c r="E1874" s="231"/>
      <c r="F1874" s="232"/>
      <c r="G1874" s="227"/>
      <c r="H1874" s="227"/>
      <c r="I1874" s="227"/>
      <c r="J1874" s="227"/>
      <c r="K1874" s="227"/>
      <c r="L1874" s="232"/>
      <c r="M1874" s="232"/>
      <c r="N1874" s="227"/>
      <c r="O1874" s="227"/>
      <c r="P1874" s="231"/>
      <c r="Q1874" s="227"/>
      <c r="R1874" s="231"/>
      <c r="S1874" s="231"/>
      <c r="T1874" s="231"/>
      <c r="U1874" s="231"/>
      <c r="V1874" s="231"/>
      <c r="W1874" s="231"/>
      <c r="X1874" s="227"/>
      <c r="Y1874" s="232"/>
      <c r="Z1874" s="232"/>
      <c r="AA1874" s="232"/>
      <c r="AB1874" s="232"/>
      <c r="AC1874" s="227"/>
      <c r="AD1874" s="227"/>
      <c r="AE1874" s="231"/>
      <c r="AF1874" s="227"/>
      <c r="AG1874" s="232"/>
      <c r="AH1874" s="232"/>
      <c r="AI1874" s="232"/>
      <c r="AJ1874" s="232"/>
      <c r="AK1874" s="232"/>
      <c r="AL1874" s="232"/>
      <c r="AM1874" s="232"/>
      <c r="AN1874" s="232"/>
      <c r="AO1874" s="231"/>
      <c r="AP1874" s="231"/>
      <c r="AQ1874" s="227"/>
      <c r="AR1874" s="231"/>
      <c r="AS1874" s="227"/>
      <c r="AT1874" s="227"/>
      <c r="AU1874" s="227"/>
      <c r="AV1874" s="227"/>
    </row>
    <row r="1875">
      <c r="A1875" s="227"/>
      <c r="B1875" s="232"/>
      <c r="C1875" s="227"/>
      <c r="D1875" s="227"/>
      <c r="E1875" s="231"/>
      <c r="F1875" s="232"/>
      <c r="G1875" s="227"/>
      <c r="H1875" s="227"/>
      <c r="I1875" s="227"/>
      <c r="J1875" s="227"/>
      <c r="K1875" s="227"/>
      <c r="L1875" s="232"/>
      <c r="M1875" s="232"/>
      <c r="N1875" s="227"/>
      <c r="O1875" s="227"/>
      <c r="P1875" s="231"/>
      <c r="Q1875" s="227"/>
      <c r="R1875" s="231"/>
      <c r="S1875" s="231"/>
      <c r="T1875" s="231"/>
      <c r="U1875" s="231"/>
      <c r="V1875" s="231"/>
      <c r="W1875" s="231"/>
      <c r="X1875" s="227"/>
      <c r="Y1875" s="232"/>
      <c r="Z1875" s="232"/>
      <c r="AA1875" s="232"/>
      <c r="AB1875" s="232"/>
      <c r="AC1875" s="227"/>
      <c r="AD1875" s="227"/>
      <c r="AE1875" s="231"/>
      <c r="AF1875" s="227"/>
      <c r="AG1875" s="232"/>
      <c r="AH1875" s="232"/>
      <c r="AI1875" s="232"/>
      <c r="AJ1875" s="232"/>
      <c r="AK1875" s="232"/>
      <c r="AL1875" s="232"/>
      <c r="AM1875" s="232"/>
      <c r="AN1875" s="232"/>
      <c r="AO1875" s="231"/>
      <c r="AP1875" s="231"/>
      <c r="AQ1875" s="227"/>
      <c r="AR1875" s="231"/>
      <c r="AS1875" s="227"/>
      <c r="AT1875" s="227"/>
      <c r="AU1875" s="227"/>
      <c r="AV1875" s="227"/>
    </row>
    <row r="1876">
      <c r="A1876" s="227"/>
      <c r="B1876" s="232"/>
      <c r="C1876" s="227"/>
      <c r="D1876" s="227"/>
      <c r="E1876" s="231"/>
      <c r="F1876" s="232"/>
      <c r="G1876" s="227"/>
      <c r="H1876" s="227"/>
      <c r="I1876" s="227"/>
      <c r="J1876" s="227"/>
      <c r="K1876" s="227"/>
      <c r="L1876" s="232"/>
      <c r="M1876" s="232"/>
      <c r="N1876" s="227"/>
      <c r="O1876" s="227"/>
      <c r="P1876" s="231"/>
      <c r="Q1876" s="227"/>
      <c r="R1876" s="231"/>
      <c r="S1876" s="231"/>
      <c r="T1876" s="231"/>
      <c r="U1876" s="231"/>
      <c r="V1876" s="231"/>
      <c r="W1876" s="231"/>
      <c r="X1876" s="227"/>
      <c r="Y1876" s="232"/>
      <c r="Z1876" s="232"/>
      <c r="AA1876" s="232"/>
      <c r="AB1876" s="232"/>
      <c r="AC1876" s="227"/>
      <c r="AD1876" s="227"/>
      <c r="AE1876" s="231"/>
      <c r="AF1876" s="227"/>
      <c r="AG1876" s="232"/>
      <c r="AH1876" s="232"/>
      <c r="AI1876" s="232"/>
      <c r="AJ1876" s="232"/>
      <c r="AK1876" s="232"/>
      <c r="AL1876" s="232"/>
      <c r="AM1876" s="232"/>
      <c r="AN1876" s="232"/>
      <c r="AO1876" s="231"/>
      <c r="AP1876" s="231"/>
      <c r="AQ1876" s="227"/>
      <c r="AR1876" s="231"/>
      <c r="AS1876" s="227"/>
      <c r="AT1876" s="227"/>
      <c r="AU1876" s="227"/>
      <c r="AV1876" s="227"/>
    </row>
    <row r="1877">
      <c r="A1877" s="227"/>
      <c r="B1877" s="232"/>
      <c r="C1877" s="227"/>
      <c r="D1877" s="227"/>
      <c r="E1877" s="231"/>
      <c r="F1877" s="232"/>
      <c r="G1877" s="227"/>
      <c r="H1877" s="227"/>
      <c r="I1877" s="227"/>
      <c r="J1877" s="227"/>
      <c r="K1877" s="227"/>
      <c r="L1877" s="232"/>
      <c r="M1877" s="232"/>
      <c r="N1877" s="227"/>
      <c r="O1877" s="227"/>
      <c r="P1877" s="231"/>
      <c r="Q1877" s="227"/>
      <c r="R1877" s="231"/>
      <c r="S1877" s="231"/>
      <c r="T1877" s="231"/>
      <c r="U1877" s="231"/>
      <c r="V1877" s="231"/>
      <c r="W1877" s="231"/>
      <c r="X1877" s="227"/>
      <c r="Y1877" s="232"/>
      <c r="Z1877" s="232"/>
      <c r="AA1877" s="232"/>
      <c r="AB1877" s="232"/>
      <c r="AC1877" s="227"/>
      <c r="AD1877" s="227"/>
      <c r="AE1877" s="231"/>
      <c r="AF1877" s="227"/>
      <c r="AG1877" s="232"/>
      <c r="AH1877" s="232"/>
      <c r="AI1877" s="232"/>
      <c r="AJ1877" s="232"/>
      <c r="AK1877" s="232"/>
      <c r="AL1877" s="232"/>
      <c r="AM1877" s="232"/>
      <c r="AN1877" s="232"/>
      <c r="AO1877" s="231"/>
      <c r="AP1877" s="231"/>
      <c r="AQ1877" s="227"/>
      <c r="AR1877" s="231"/>
      <c r="AS1877" s="227"/>
      <c r="AT1877" s="227"/>
      <c r="AU1877" s="227"/>
      <c r="AV1877" s="227"/>
    </row>
    <row r="1878">
      <c r="A1878" s="227"/>
      <c r="B1878" s="232"/>
      <c r="C1878" s="227"/>
      <c r="D1878" s="227"/>
      <c r="E1878" s="231"/>
      <c r="F1878" s="232"/>
      <c r="G1878" s="227"/>
      <c r="H1878" s="227"/>
      <c r="I1878" s="227"/>
      <c r="J1878" s="227"/>
      <c r="K1878" s="227"/>
      <c r="L1878" s="232"/>
      <c r="M1878" s="232"/>
      <c r="N1878" s="227"/>
      <c r="O1878" s="227"/>
      <c r="P1878" s="231"/>
      <c r="Q1878" s="227"/>
      <c r="R1878" s="231"/>
      <c r="S1878" s="231"/>
      <c r="T1878" s="231"/>
      <c r="U1878" s="231"/>
      <c r="V1878" s="231"/>
      <c r="W1878" s="231"/>
      <c r="X1878" s="227"/>
      <c r="Y1878" s="232"/>
      <c r="Z1878" s="232"/>
      <c r="AA1878" s="232"/>
      <c r="AB1878" s="232"/>
      <c r="AC1878" s="227"/>
      <c r="AD1878" s="227"/>
      <c r="AE1878" s="231"/>
      <c r="AF1878" s="227"/>
      <c r="AG1878" s="232"/>
      <c r="AH1878" s="232"/>
      <c r="AI1878" s="232"/>
      <c r="AJ1878" s="232"/>
      <c r="AK1878" s="232"/>
      <c r="AL1878" s="232"/>
      <c r="AM1878" s="232"/>
      <c r="AN1878" s="232"/>
      <c r="AO1878" s="231"/>
      <c r="AP1878" s="231"/>
      <c r="AQ1878" s="227"/>
      <c r="AR1878" s="231"/>
      <c r="AS1878" s="227"/>
      <c r="AT1878" s="227"/>
      <c r="AU1878" s="227"/>
      <c r="AV1878" s="227"/>
    </row>
    <row r="1879">
      <c r="A1879" s="227"/>
      <c r="B1879" s="232"/>
      <c r="C1879" s="227"/>
      <c r="D1879" s="227"/>
      <c r="E1879" s="231"/>
      <c r="F1879" s="232"/>
      <c r="G1879" s="227"/>
      <c r="H1879" s="227"/>
      <c r="I1879" s="227"/>
      <c r="J1879" s="227"/>
      <c r="K1879" s="227"/>
      <c r="L1879" s="232"/>
      <c r="M1879" s="232"/>
      <c r="N1879" s="227"/>
      <c r="O1879" s="227"/>
      <c r="P1879" s="231"/>
      <c r="Q1879" s="227"/>
      <c r="R1879" s="231"/>
      <c r="S1879" s="231"/>
      <c r="T1879" s="231"/>
      <c r="U1879" s="231"/>
      <c r="V1879" s="231"/>
      <c r="W1879" s="231"/>
      <c r="X1879" s="227"/>
      <c r="Y1879" s="232"/>
      <c r="Z1879" s="232"/>
      <c r="AA1879" s="232"/>
      <c r="AB1879" s="232"/>
      <c r="AC1879" s="227"/>
      <c r="AD1879" s="227"/>
      <c r="AE1879" s="231"/>
      <c r="AF1879" s="227"/>
      <c r="AG1879" s="232"/>
      <c r="AH1879" s="232"/>
      <c r="AI1879" s="232"/>
      <c r="AJ1879" s="232"/>
      <c r="AK1879" s="232"/>
      <c r="AL1879" s="232"/>
      <c r="AM1879" s="232"/>
      <c r="AN1879" s="232"/>
      <c r="AO1879" s="231"/>
      <c r="AP1879" s="231"/>
      <c r="AQ1879" s="227"/>
      <c r="AR1879" s="231"/>
      <c r="AS1879" s="227"/>
      <c r="AT1879" s="227"/>
      <c r="AU1879" s="227"/>
      <c r="AV1879" s="227"/>
    </row>
    <row r="1880">
      <c r="A1880" s="227"/>
      <c r="B1880" s="232"/>
      <c r="C1880" s="227"/>
      <c r="D1880" s="227"/>
      <c r="E1880" s="231"/>
      <c r="F1880" s="232"/>
      <c r="G1880" s="227"/>
      <c r="H1880" s="227"/>
      <c r="I1880" s="227"/>
      <c r="J1880" s="227"/>
      <c r="K1880" s="227"/>
      <c r="L1880" s="232"/>
      <c r="M1880" s="232"/>
      <c r="N1880" s="227"/>
      <c r="O1880" s="227"/>
      <c r="P1880" s="231"/>
      <c r="Q1880" s="227"/>
      <c r="R1880" s="231"/>
      <c r="S1880" s="231"/>
      <c r="T1880" s="231"/>
      <c r="U1880" s="231"/>
      <c r="V1880" s="231"/>
      <c r="W1880" s="231"/>
      <c r="X1880" s="227"/>
      <c r="Y1880" s="232"/>
      <c r="Z1880" s="232"/>
      <c r="AA1880" s="232"/>
      <c r="AB1880" s="232"/>
      <c r="AC1880" s="227"/>
      <c r="AD1880" s="227"/>
      <c r="AE1880" s="231"/>
      <c r="AF1880" s="227"/>
      <c r="AG1880" s="232"/>
      <c r="AH1880" s="232"/>
      <c r="AI1880" s="232"/>
      <c r="AJ1880" s="232"/>
      <c r="AK1880" s="232"/>
      <c r="AL1880" s="232"/>
      <c r="AM1880" s="232"/>
      <c r="AN1880" s="232"/>
      <c r="AO1880" s="231"/>
      <c r="AP1880" s="231"/>
      <c r="AQ1880" s="227"/>
      <c r="AR1880" s="231"/>
      <c r="AS1880" s="227"/>
      <c r="AT1880" s="227"/>
      <c r="AU1880" s="227"/>
      <c r="AV1880" s="227"/>
    </row>
    <row r="1881">
      <c r="A1881" s="227"/>
      <c r="B1881" s="232"/>
      <c r="C1881" s="227"/>
      <c r="D1881" s="227"/>
      <c r="E1881" s="231"/>
      <c r="F1881" s="232"/>
      <c r="G1881" s="227"/>
      <c r="H1881" s="227"/>
      <c r="I1881" s="227"/>
      <c r="J1881" s="227"/>
      <c r="K1881" s="227"/>
      <c r="L1881" s="232"/>
      <c r="M1881" s="232"/>
      <c r="N1881" s="227"/>
      <c r="O1881" s="227"/>
      <c r="P1881" s="231"/>
      <c r="Q1881" s="227"/>
      <c r="R1881" s="231"/>
      <c r="S1881" s="231"/>
      <c r="T1881" s="231"/>
      <c r="U1881" s="231"/>
      <c r="V1881" s="231"/>
      <c r="W1881" s="231"/>
      <c r="X1881" s="227"/>
      <c r="Y1881" s="232"/>
      <c r="Z1881" s="232"/>
      <c r="AA1881" s="232"/>
      <c r="AB1881" s="232"/>
      <c r="AC1881" s="227"/>
      <c r="AD1881" s="227"/>
      <c r="AE1881" s="231"/>
      <c r="AF1881" s="227"/>
      <c r="AG1881" s="232"/>
      <c r="AH1881" s="232"/>
      <c r="AI1881" s="232"/>
      <c r="AJ1881" s="232"/>
      <c r="AK1881" s="232"/>
      <c r="AL1881" s="232"/>
      <c r="AM1881" s="232"/>
      <c r="AN1881" s="232"/>
      <c r="AO1881" s="231"/>
      <c r="AP1881" s="231"/>
      <c r="AQ1881" s="227"/>
      <c r="AR1881" s="231"/>
      <c r="AS1881" s="227"/>
      <c r="AT1881" s="227"/>
      <c r="AU1881" s="227"/>
      <c r="AV1881" s="227"/>
    </row>
    <row r="1882">
      <c r="A1882" s="227"/>
      <c r="B1882" s="232"/>
      <c r="C1882" s="227"/>
      <c r="D1882" s="227"/>
      <c r="E1882" s="231"/>
      <c r="F1882" s="232"/>
      <c r="G1882" s="227"/>
      <c r="H1882" s="227"/>
      <c r="I1882" s="227"/>
      <c r="J1882" s="227"/>
      <c r="K1882" s="227"/>
      <c r="L1882" s="232"/>
      <c r="M1882" s="232"/>
      <c r="N1882" s="227"/>
      <c r="O1882" s="227"/>
      <c r="P1882" s="231"/>
      <c r="Q1882" s="227"/>
      <c r="R1882" s="231"/>
      <c r="S1882" s="231"/>
      <c r="T1882" s="231"/>
      <c r="U1882" s="231"/>
      <c r="V1882" s="231"/>
      <c r="W1882" s="231"/>
      <c r="X1882" s="227"/>
      <c r="Y1882" s="232"/>
      <c r="Z1882" s="232"/>
      <c r="AA1882" s="232"/>
      <c r="AB1882" s="232"/>
      <c r="AC1882" s="227"/>
      <c r="AD1882" s="227"/>
      <c r="AE1882" s="231"/>
      <c r="AF1882" s="227"/>
      <c r="AG1882" s="232"/>
      <c r="AH1882" s="232"/>
      <c r="AI1882" s="232"/>
      <c r="AJ1882" s="232"/>
      <c r="AK1882" s="232"/>
      <c r="AL1882" s="232"/>
      <c r="AM1882" s="232"/>
      <c r="AN1882" s="232"/>
      <c r="AO1882" s="231"/>
      <c r="AP1882" s="231"/>
      <c r="AQ1882" s="227"/>
      <c r="AR1882" s="231"/>
      <c r="AS1882" s="227"/>
      <c r="AT1882" s="227"/>
      <c r="AU1882" s="227"/>
      <c r="AV1882" s="227"/>
    </row>
    <row r="1883">
      <c r="A1883" s="227"/>
      <c r="B1883" s="232"/>
      <c r="C1883" s="227"/>
      <c r="D1883" s="227"/>
      <c r="E1883" s="231"/>
      <c r="F1883" s="232"/>
      <c r="G1883" s="227"/>
      <c r="H1883" s="227"/>
      <c r="I1883" s="227"/>
      <c r="J1883" s="227"/>
      <c r="K1883" s="227"/>
      <c r="L1883" s="232"/>
      <c r="M1883" s="232"/>
      <c r="N1883" s="227"/>
      <c r="O1883" s="227"/>
      <c r="P1883" s="231"/>
      <c r="Q1883" s="227"/>
      <c r="R1883" s="231"/>
      <c r="S1883" s="231"/>
      <c r="T1883" s="231"/>
      <c r="U1883" s="231"/>
      <c r="V1883" s="231"/>
      <c r="W1883" s="231"/>
      <c r="X1883" s="227"/>
      <c r="Y1883" s="232"/>
      <c r="Z1883" s="232"/>
      <c r="AA1883" s="232"/>
      <c r="AB1883" s="232"/>
      <c r="AC1883" s="227"/>
      <c r="AD1883" s="227"/>
      <c r="AE1883" s="231"/>
      <c r="AF1883" s="227"/>
      <c r="AG1883" s="232"/>
      <c r="AH1883" s="232"/>
      <c r="AI1883" s="232"/>
      <c r="AJ1883" s="232"/>
      <c r="AK1883" s="232"/>
      <c r="AL1883" s="232"/>
      <c r="AM1883" s="232"/>
      <c r="AN1883" s="232"/>
      <c r="AO1883" s="231"/>
      <c r="AP1883" s="231"/>
      <c r="AQ1883" s="227"/>
      <c r="AR1883" s="231"/>
      <c r="AS1883" s="227"/>
      <c r="AT1883" s="227"/>
      <c r="AU1883" s="227"/>
      <c r="AV1883" s="227"/>
    </row>
    <row r="1884">
      <c r="A1884" s="227"/>
      <c r="B1884" s="232"/>
      <c r="C1884" s="227"/>
      <c r="D1884" s="227"/>
      <c r="E1884" s="231"/>
      <c r="F1884" s="232"/>
      <c r="G1884" s="227"/>
      <c r="H1884" s="227"/>
      <c r="I1884" s="227"/>
      <c r="J1884" s="227"/>
      <c r="K1884" s="227"/>
      <c r="L1884" s="232"/>
      <c r="M1884" s="232"/>
      <c r="N1884" s="227"/>
      <c r="O1884" s="227"/>
      <c r="P1884" s="231"/>
      <c r="Q1884" s="227"/>
      <c r="R1884" s="231"/>
      <c r="S1884" s="231"/>
      <c r="T1884" s="231"/>
      <c r="U1884" s="231"/>
      <c r="V1884" s="231"/>
      <c r="W1884" s="231"/>
      <c r="X1884" s="227"/>
      <c r="Y1884" s="232"/>
      <c r="Z1884" s="232"/>
      <c r="AA1884" s="232"/>
      <c r="AB1884" s="232"/>
      <c r="AC1884" s="227"/>
      <c r="AD1884" s="227"/>
      <c r="AE1884" s="231"/>
      <c r="AF1884" s="227"/>
      <c r="AG1884" s="232"/>
      <c r="AH1884" s="232"/>
      <c r="AI1884" s="232"/>
      <c r="AJ1884" s="232"/>
      <c r="AK1884" s="232"/>
      <c r="AL1884" s="232"/>
      <c r="AM1884" s="232"/>
      <c r="AN1884" s="232"/>
      <c r="AO1884" s="231"/>
      <c r="AP1884" s="231"/>
      <c r="AQ1884" s="227"/>
      <c r="AR1884" s="231"/>
      <c r="AS1884" s="227"/>
      <c r="AT1884" s="227"/>
      <c r="AU1884" s="227"/>
      <c r="AV1884" s="227"/>
    </row>
    <row r="1885">
      <c r="A1885" s="227"/>
      <c r="B1885" s="232"/>
      <c r="C1885" s="227"/>
      <c r="D1885" s="227"/>
      <c r="E1885" s="231"/>
      <c r="F1885" s="232"/>
      <c r="G1885" s="227"/>
      <c r="H1885" s="227"/>
      <c r="I1885" s="227"/>
      <c r="J1885" s="227"/>
      <c r="K1885" s="227"/>
      <c r="L1885" s="232"/>
      <c r="M1885" s="232"/>
      <c r="N1885" s="227"/>
      <c r="O1885" s="227"/>
      <c r="P1885" s="231"/>
      <c r="Q1885" s="227"/>
      <c r="R1885" s="231"/>
      <c r="S1885" s="231"/>
      <c r="T1885" s="231"/>
      <c r="U1885" s="231"/>
      <c r="V1885" s="231"/>
      <c r="W1885" s="231"/>
      <c r="X1885" s="227"/>
      <c r="Y1885" s="232"/>
      <c r="Z1885" s="232"/>
      <c r="AA1885" s="232"/>
      <c r="AB1885" s="232"/>
      <c r="AC1885" s="227"/>
      <c r="AD1885" s="227"/>
      <c r="AE1885" s="231"/>
      <c r="AF1885" s="227"/>
      <c r="AG1885" s="232"/>
      <c r="AH1885" s="232"/>
      <c r="AI1885" s="232"/>
      <c r="AJ1885" s="232"/>
      <c r="AK1885" s="232"/>
      <c r="AL1885" s="232"/>
      <c r="AM1885" s="232"/>
      <c r="AN1885" s="232"/>
      <c r="AO1885" s="231"/>
      <c r="AP1885" s="231"/>
      <c r="AQ1885" s="227"/>
      <c r="AR1885" s="231"/>
      <c r="AS1885" s="227"/>
      <c r="AT1885" s="227"/>
      <c r="AU1885" s="227"/>
      <c r="AV1885" s="227"/>
    </row>
    <row r="1886">
      <c r="A1886" s="227"/>
      <c r="B1886" s="232"/>
      <c r="C1886" s="227"/>
      <c r="D1886" s="227"/>
      <c r="E1886" s="231"/>
      <c r="F1886" s="232"/>
      <c r="G1886" s="227"/>
      <c r="H1886" s="227"/>
      <c r="I1886" s="227"/>
      <c r="J1886" s="227"/>
      <c r="K1886" s="227"/>
      <c r="L1886" s="232"/>
      <c r="M1886" s="232"/>
      <c r="N1886" s="227"/>
      <c r="O1886" s="227"/>
      <c r="P1886" s="231"/>
      <c r="Q1886" s="227"/>
      <c r="R1886" s="231"/>
      <c r="S1886" s="231"/>
      <c r="T1886" s="231"/>
      <c r="U1886" s="231"/>
      <c r="V1886" s="231"/>
      <c r="W1886" s="231"/>
      <c r="X1886" s="227"/>
      <c r="Y1886" s="232"/>
      <c r="Z1886" s="232"/>
      <c r="AA1886" s="232"/>
      <c r="AB1886" s="232"/>
      <c r="AC1886" s="227"/>
      <c r="AD1886" s="227"/>
      <c r="AE1886" s="231"/>
      <c r="AF1886" s="227"/>
      <c r="AG1886" s="232"/>
      <c r="AH1886" s="232"/>
      <c r="AI1886" s="232"/>
      <c r="AJ1886" s="232"/>
      <c r="AK1886" s="232"/>
      <c r="AL1886" s="232"/>
      <c r="AM1886" s="232"/>
      <c r="AN1886" s="232"/>
      <c r="AO1886" s="231"/>
      <c r="AP1886" s="231"/>
      <c r="AQ1886" s="227"/>
      <c r="AR1886" s="231"/>
      <c r="AS1886" s="227"/>
      <c r="AT1886" s="227"/>
      <c r="AU1886" s="227"/>
      <c r="AV1886" s="227"/>
    </row>
    <row r="1887">
      <c r="A1887" s="227"/>
      <c r="B1887" s="232"/>
      <c r="C1887" s="227"/>
      <c r="D1887" s="227"/>
      <c r="E1887" s="231"/>
      <c r="F1887" s="232"/>
      <c r="G1887" s="227"/>
      <c r="H1887" s="227"/>
      <c r="I1887" s="227"/>
      <c r="J1887" s="227"/>
      <c r="K1887" s="227"/>
      <c r="L1887" s="232"/>
      <c r="M1887" s="232"/>
      <c r="N1887" s="227"/>
      <c r="O1887" s="227"/>
      <c r="P1887" s="231"/>
      <c r="Q1887" s="227"/>
      <c r="R1887" s="231"/>
      <c r="S1887" s="231"/>
      <c r="T1887" s="231"/>
      <c r="U1887" s="231"/>
      <c r="V1887" s="231"/>
      <c r="W1887" s="231"/>
      <c r="X1887" s="227"/>
      <c r="Y1887" s="232"/>
      <c r="Z1887" s="232"/>
      <c r="AA1887" s="232"/>
      <c r="AB1887" s="232"/>
      <c r="AC1887" s="227"/>
      <c r="AD1887" s="227"/>
      <c r="AE1887" s="231"/>
      <c r="AF1887" s="227"/>
      <c r="AG1887" s="232"/>
      <c r="AH1887" s="232"/>
      <c r="AI1887" s="232"/>
      <c r="AJ1887" s="232"/>
      <c r="AK1887" s="232"/>
      <c r="AL1887" s="232"/>
      <c r="AM1887" s="232"/>
      <c r="AN1887" s="232"/>
      <c r="AO1887" s="231"/>
      <c r="AP1887" s="231"/>
      <c r="AQ1887" s="227"/>
      <c r="AR1887" s="231"/>
      <c r="AS1887" s="227"/>
      <c r="AT1887" s="227"/>
      <c r="AU1887" s="227"/>
      <c r="AV1887" s="227"/>
    </row>
    <row r="1888">
      <c r="A1888" s="227"/>
      <c r="B1888" s="232"/>
      <c r="C1888" s="227"/>
      <c r="D1888" s="227"/>
      <c r="E1888" s="231"/>
      <c r="F1888" s="232"/>
      <c r="G1888" s="227"/>
      <c r="H1888" s="227"/>
      <c r="I1888" s="227"/>
      <c r="J1888" s="227"/>
      <c r="K1888" s="227"/>
      <c r="L1888" s="232"/>
      <c r="M1888" s="232"/>
      <c r="N1888" s="227"/>
      <c r="O1888" s="227"/>
      <c r="P1888" s="231"/>
      <c r="Q1888" s="227"/>
      <c r="R1888" s="231"/>
      <c r="S1888" s="231"/>
      <c r="T1888" s="231"/>
      <c r="U1888" s="231"/>
      <c r="V1888" s="231"/>
      <c r="W1888" s="231"/>
      <c r="X1888" s="227"/>
      <c r="Y1888" s="232"/>
      <c r="Z1888" s="232"/>
      <c r="AA1888" s="232"/>
      <c r="AB1888" s="232"/>
      <c r="AC1888" s="227"/>
      <c r="AD1888" s="227"/>
      <c r="AE1888" s="231"/>
      <c r="AF1888" s="227"/>
      <c r="AG1888" s="232"/>
      <c r="AH1888" s="232"/>
      <c r="AI1888" s="232"/>
      <c r="AJ1888" s="232"/>
      <c r="AK1888" s="232"/>
      <c r="AL1888" s="232"/>
      <c r="AM1888" s="232"/>
      <c r="AN1888" s="232"/>
      <c r="AO1888" s="231"/>
      <c r="AP1888" s="231"/>
      <c r="AQ1888" s="227"/>
      <c r="AR1888" s="231"/>
      <c r="AS1888" s="227"/>
      <c r="AT1888" s="227"/>
      <c r="AU1888" s="227"/>
      <c r="AV1888" s="227"/>
    </row>
    <row r="1889">
      <c r="A1889" s="227"/>
      <c r="B1889" s="232"/>
      <c r="C1889" s="227"/>
      <c r="D1889" s="227"/>
      <c r="E1889" s="231"/>
      <c r="F1889" s="232"/>
      <c r="G1889" s="227"/>
      <c r="H1889" s="227"/>
      <c r="I1889" s="227"/>
      <c r="J1889" s="227"/>
      <c r="K1889" s="227"/>
      <c r="L1889" s="232"/>
      <c r="M1889" s="232"/>
      <c r="N1889" s="227"/>
      <c r="O1889" s="227"/>
      <c r="P1889" s="231"/>
      <c r="Q1889" s="227"/>
      <c r="R1889" s="231"/>
      <c r="S1889" s="231"/>
      <c r="T1889" s="231"/>
      <c r="U1889" s="231"/>
      <c r="V1889" s="231"/>
      <c r="W1889" s="231"/>
      <c r="X1889" s="227"/>
      <c r="Y1889" s="232"/>
      <c r="Z1889" s="232"/>
      <c r="AA1889" s="232"/>
      <c r="AB1889" s="232"/>
      <c r="AC1889" s="227"/>
      <c r="AD1889" s="227"/>
      <c r="AE1889" s="231"/>
      <c r="AF1889" s="227"/>
      <c r="AG1889" s="232"/>
      <c r="AH1889" s="232"/>
      <c r="AI1889" s="232"/>
      <c r="AJ1889" s="232"/>
      <c r="AK1889" s="232"/>
      <c r="AL1889" s="232"/>
      <c r="AM1889" s="232"/>
      <c r="AN1889" s="232"/>
      <c r="AO1889" s="231"/>
      <c r="AP1889" s="231"/>
      <c r="AQ1889" s="227"/>
      <c r="AR1889" s="231"/>
      <c r="AS1889" s="227"/>
      <c r="AT1889" s="227"/>
      <c r="AU1889" s="227"/>
      <c r="AV1889" s="227"/>
    </row>
    <row r="1890">
      <c r="A1890" s="227"/>
      <c r="B1890" s="232"/>
      <c r="C1890" s="227"/>
      <c r="D1890" s="227"/>
      <c r="E1890" s="231"/>
      <c r="F1890" s="232"/>
      <c r="G1890" s="227"/>
      <c r="H1890" s="227"/>
      <c r="I1890" s="227"/>
      <c r="J1890" s="227"/>
      <c r="K1890" s="227"/>
      <c r="L1890" s="232"/>
      <c r="M1890" s="232"/>
      <c r="N1890" s="227"/>
      <c r="O1890" s="227"/>
      <c r="P1890" s="231"/>
      <c r="Q1890" s="227"/>
      <c r="R1890" s="231"/>
      <c r="S1890" s="231"/>
      <c r="T1890" s="231"/>
      <c r="U1890" s="231"/>
      <c r="V1890" s="231"/>
      <c r="W1890" s="231"/>
      <c r="X1890" s="227"/>
      <c r="Y1890" s="232"/>
      <c r="Z1890" s="232"/>
      <c r="AA1890" s="232"/>
      <c r="AB1890" s="232"/>
      <c r="AC1890" s="227"/>
      <c r="AD1890" s="227"/>
      <c r="AE1890" s="231"/>
      <c r="AF1890" s="227"/>
      <c r="AG1890" s="232"/>
      <c r="AH1890" s="232"/>
      <c r="AI1890" s="232"/>
      <c r="AJ1890" s="232"/>
      <c r="AK1890" s="232"/>
      <c r="AL1890" s="232"/>
      <c r="AM1890" s="232"/>
      <c r="AN1890" s="232"/>
      <c r="AO1890" s="231"/>
      <c r="AP1890" s="231"/>
      <c r="AQ1890" s="227"/>
      <c r="AR1890" s="231"/>
      <c r="AS1890" s="227"/>
      <c r="AT1890" s="227"/>
      <c r="AU1890" s="227"/>
      <c r="AV1890" s="227"/>
    </row>
    <row r="1891">
      <c r="A1891" s="227"/>
      <c r="B1891" s="232"/>
      <c r="C1891" s="227"/>
      <c r="D1891" s="227"/>
      <c r="E1891" s="231"/>
      <c r="F1891" s="232"/>
      <c r="G1891" s="227"/>
      <c r="H1891" s="227"/>
      <c r="I1891" s="227"/>
      <c r="J1891" s="227"/>
      <c r="K1891" s="227"/>
      <c r="L1891" s="232"/>
      <c r="M1891" s="232"/>
      <c r="N1891" s="227"/>
      <c r="O1891" s="227"/>
      <c r="P1891" s="231"/>
      <c r="Q1891" s="227"/>
      <c r="R1891" s="231"/>
      <c r="S1891" s="231"/>
      <c r="T1891" s="231"/>
      <c r="U1891" s="231"/>
      <c r="V1891" s="231"/>
      <c r="W1891" s="231"/>
      <c r="X1891" s="227"/>
      <c r="Y1891" s="232"/>
      <c r="Z1891" s="232"/>
      <c r="AA1891" s="232"/>
      <c r="AB1891" s="232"/>
      <c r="AC1891" s="227"/>
      <c r="AD1891" s="227"/>
      <c r="AE1891" s="231"/>
      <c r="AF1891" s="227"/>
      <c r="AG1891" s="232"/>
      <c r="AH1891" s="232"/>
      <c r="AI1891" s="232"/>
      <c r="AJ1891" s="232"/>
      <c r="AK1891" s="232"/>
      <c r="AL1891" s="232"/>
      <c r="AM1891" s="232"/>
      <c r="AN1891" s="232"/>
      <c r="AO1891" s="231"/>
      <c r="AP1891" s="231"/>
      <c r="AQ1891" s="227"/>
      <c r="AR1891" s="231"/>
      <c r="AS1891" s="227"/>
      <c r="AT1891" s="227"/>
      <c r="AU1891" s="227"/>
      <c r="AV1891" s="227"/>
    </row>
    <row r="1892">
      <c r="A1892" s="227"/>
      <c r="B1892" s="232"/>
      <c r="C1892" s="227"/>
      <c r="D1892" s="227"/>
      <c r="E1892" s="231"/>
      <c r="F1892" s="232"/>
      <c r="G1892" s="227"/>
      <c r="H1892" s="227"/>
      <c r="I1892" s="227"/>
      <c r="J1892" s="227"/>
      <c r="K1892" s="227"/>
      <c r="L1892" s="232"/>
      <c r="M1892" s="232"/>
      <c r="N1892" s="227"/>
      <c r="O1892" s="227"/>
      <c r="P1892" s="231"/>
      <c r="Q1892" s="227"/>
      <c r="R1892" s="231"/>
      <c r="S1892" s="231"/>
      <c r="T1892" s="231"/>
      <c r="U1892" s="231"/>
      <c r="V1892" s="231"/>
      <c r="W1892" s="231"/>
      <c r="X1892" s="227"/>
      <c r="Y1892" s="232"/>
      <c r="Z1892" s="232"/>
      <c r="AA1892" s="232"/>
      <c r="AB1892" s="232"/>
      <c r="AC1892" s="227"/>
      <c r="AD1892" s="227"/>
      <c r="AE1892" s="231"/>
      <c r="AF1892" s="227"/>
      <c r="AG1892" s="232"/>
      <c r="AH1892" s="232"/>
      <c r="AI1892" s="232"/>
      <c r="AJ1892" s="232"/>
      <c r="AK1892" s="232"/>
      <c r="AL1892" s="232"/>
      <c r="AM1892" s="232"/>
      <c r="AN1892" s="232"/>
      <c r="AO1892" s="231"/>
      <c r="AP1892" s="231"/>
      <c r="AQ1892" s="227"/>
      <c r="AR1892" s="231"/>
      <c r="AS1892" s="227"/>
      <c r="AT1892" s="227"/>
      <c r="AU1892" s="227"/>
      <c r="AV1892" s="227"/>
    </row>
    <row r="1893">
      <c r="A1893" s="227"/>
      <c r="B1893" s="232"/>
      <c r="C1893" s="227"/>
      <c r="D1893" s="227"/>
      <c r="E1893" s="231"/>
      <c r="F1893" s="232"/>
      <c r="G1893" s="227"/>
      <c r="H1893" s="227"/>
      <c r="I1893" s="227"/>
      <c r="J1893" s="227"/>
      <c r="K1893" s="227"/>
      <c r="L1893" s="232"/>
      <c r="M1893" s="232"/>
      <c r="N1893" s="227"/>
      <c r="O1893" s="227"/>
      <c r="P1893" s="231"/>
      <c r="Q1893" s="227"/>
      <c r="R1893" s="231"/>
      <c r="S1893" s="231"/>
      <c r="T1893" s="231"/>
      <c r="U1893" s="231"/>
      <c r="V1893" s="231"/>
      <c r="W1893" s="231"/>
      <c r="X1893" s="227"/>
      <c r="Y1893" s="232"/>
      <c r="Z1893" s="232"/>
      <c r="AA1893" s="232"/>
      <c r="AB1893" s="232"/>
      <c r="AC1893" s="227"/>
      <c r="AD1893" s="227"/>
      <c r="AE1893" s="231"/>
      <c r="AF1893" s="227"/>
      <c r="AG1893" s="232"/>
      <c r="AH1893" s="232"/>
      <c r="AI1893" s="232"/>
      <c r="AJ1893" s="232"/>
      <c r="AK1893" s="232"/>
      <c r="AL1893" s="232"/>
      <c r="AM1893" s="232"/>
      <c r="AN1893" s="232"/>
      <c r="AO1893" s="231"/>
      <c r="AP1893" s="231"/>
      <c r="AQ1893" s="227"/>
      <c r="AR1893" s="231"/>
      <c r="AS1893" s="227"/>
      <c r="AT1893" s="227"/>
      <c r="AU1893" s="227"/>
      <c r="AV1893" s="227"/>
    </row>
    <row r="1894">
      <c r="A1894" s="227"/>
      <c r="B1894" s="232"/>
      <c r="C1894" s="227"/>
      <c r="D1894" s="227"/>
      <c r="E1894" s="231"/>
      <c r="F1894" s="232"/>
      <c r="G1894" s="227"/>
      <c r="H1894" s="227"/>
      <c r="I1894" s="227"/>
      <c r="J1894" s="227"/>
      <c r="K1894" s="227"/>
      <c r="L1894" s="232"/>
      <c r="M1894" s="232"/>
      <c r="N1894" s="227"/>
      <c r="O1894" s="227"/>
      <c r="P1894" s="231"/>
      <c r="Q1894" s="227"/>
      <c r="R1894" s="231"/>
      <c r="S1894" s="231"/>
      <c r="T1894" s="231"/>
      <c r="U1894" s="231"/>
      <c r="V1894" s="231"/>
      <c r="W1894" s="231"/>
      <c r="X1894" s="227"/>
      <c r="Y1894" s="232"/>
      <c r="Z1894" s="232"/>
      <c r="AA1894" s="232"/>
      <c r="AB1894" s="232"/>
      <c r="AC1894" s="227"/>
      <c r="AD1894" s="227"/>
      <c r="AE1894" s="231"/>
      <c r="AF1894" s="227"/>
      <c r="AG1894" s="232"/>
      <c r="AH1894" s="232"/>
      <c r="AI1894" s="232"/>
      <c r="AJ1894" s="232"/>
      <c r="AK1894" s="232"/>
      <c r="AL1894" s="232"/>
      <c r="AM1894" s="232"/>
      <c r="AN1894" s="232"/>
      <c r="AO1894" s="231"/>
      <c r="AP1894" s="231"/>
      <c r="AQ1894" s="227"/>
      <c r="AR1894" s="231"/>
      <c r="AS1894" s="227"/>
      <c r="AT1894" s="227"/>
      <c r="AU1894" s="227"/>
      <c r="AV1894" s="227"/>
    </row>
    <row r="1895">
      <c r="A1895" s="227"/>
      <c r="B1895" s="232"/>
      <c r="C1895" s="227"/>
      <c r="D1895" s="227"/>
      <c r="E1895" s="231"/>
      <c r="F1895" s="232"/>
      <c r="G1895" s="227"/>
      <c r="H1895" s="227"/>
      <c r="I1895" s="227"/>
      <c r="J1895" s="227"/>
      <c r="K1895" s="227"/>
      <c r="L1895" s="232"/>
      <c r="M1895" s="232"/>
      <c r="N1895" s="227"/>
      <c r="O1895" s="227"/>
      <c r="P1895" s="231"/>
      <c r="Q1895" s="227"/>
      <c r="R1895" s="231"/>
      <c r="S1895" s="231"/>
      <c r="T1895" s="231"/>
      <c r="U1895" s="231"/>
      <c r="V1895" s="231"/>
      <c r="W1895" s="231"/>
      <c r="X1895" s="227"/>
      <c r="Y1895" s="232"/>
      <c r="Z1895" s="232"/>
      <c r="AA1895" s="232"/>
      <c r="AB1895" s="232"/>
      <c r="AC1895" s="227"/>
      <c r="AD1895" s="227"/>
      <c r="AE1895" s="231"/>
      <c r="AF1895" s="227"/>
      <c r="AG1895" s="232"/>
      <c r="AH1895" s="232"/>
      <c r="AI1895" s="232"/>
      <c r="AJ1895" s="232"/>
      <c r="AK1895" s="232"/>
      <c r="AL1895" s="232"/>
      <c r="AM1895" s="232"/>
      <c r="AN1895" s="232"/>
      <c r="AO1895" s="231"/>
      <c r="AP1895" s="231"/>
      <c r="AQ1895" s="227"/>
      <c r="AR1895" s="231"/>
      <c r="AS1895" s="227"/>
      <c r="AT1895" s="227"/>
      <c r="AU1895" s="227"/>
      <c r="AV1895" s="227"/>
    </row>
    <row r="1896">
      <c r="A1896" s="227"/>
      <c r="B1896" s="232"/>
      <c r="C1896" s="227"/>
      <c r="D1896" s="227"/>
      <c r="E1896" s="231"/>
      <c r="F1896" s="232"/>
      <c r="G1896" s="227"/>
      <c r="H1896" s="227"/>
      <c r="I1896" s="227"/>
      <c r="J1896" s="227"/>
      <c r="K1896" s="227"/>
      <c r="L1896" s="232"/>
      <c r="M1896" s="232"/>
      <c r="N1896" s="227"/>
      <c r="O1896" s="227"/>
      <c r="P1896" s="231"/>
      <c r="Q1896" s="227"/>
      <c r="R1896" s="231"/>
      <c r="S1896" s="231"/>
      <c r="T1896" s="231"/>
      <c r="U1896" s="231"/>
      <c r="V1896" s="231"/>
      <c r="W1896" s="231"/>
      <c r="X1896" s="227"/>
      <c r="Y1896" s="232"/>
      <c r="Z1896" s="232"/>
      <c r="AA1896" s="232"/>
      <c r="AB1896" s="232"/>
      <c r="AC1896" s="227"/>
      <c r="AD1896" s="227"/>
      <c r="AE1896" s="231"/>
      <c r="AF1896" s="227"/>
      <c r="AG1896" s="232"/>
      <c r="AH1896" s="232"/>
      <c r="AI1896" s="232"/>
      <c r="AJ1896" s="232"/>
      <c r="AK1896" s="232"/>
      <c r="AL1896" s="232"/>
      <c r="AM1896" s="232"/>
      <c r="AN1896" s="232"/>
      <c r="AO1896" s="231"/>
      <c r="AP1896" s="231"/>
      <c r="AQ1896" s="227"/>
      <c r="AR1896" s="231"/>
      <c r="AS1896" s="227"/>
      <c r="AT1896" s="227"/>
      <c r="AU1896" s="227"/>
      <c r="AV1896" s="227"/>
    </row>
    <row r="1897">
      <c r="A1897" s="227"/>
      <c r="B1897" s="232"/>
      <c r="C1897" s="227"/>
      <c r="D1897" s="227"/>
      <c r="E1897" s="231"/>
      <c r="F1897" s="232"/>
      <c r="G1897" s="227"/>
      <c r="H1897" s="227"/>
      <c r="I1897" s="227"/>
      <c r="J1897" s="227"/>
      <c r="K1897" s="227"/>
      <c r="L1897" s="232"/>
      <c r="M1897" s="232"/>
      <c r="N1897" s="227"/>
      <c r="O1897" s="227"/>
      <c r="P1897" s="231"/>
      <c r="Q1897" s="227"/>
      <c r="R1897" s="231"/>
      <c r="S1897" s="231"/>
      <c r="T1897" s="231"/>
      <c r="U1897" s="231"/>
      <c r="V1897" s="231"/>
      <c r="W1897" s="231"/>
      <c r="X1897" s="227"/>
      <c r="Y1897" s="232"/>
      <c r="Z1897" s="232"/>
      <c r="AA1897" s="232"/>
      <c r="AB1897" s="232"/>
      <c r="AC1897" s="227"/>
      <c r="AD1897" s="227"/>
      <c r="AE1897" s="231"/>
      <c r="AF1897" s="227"/>
      <c r="AG1897" s="232"/>
      <c r="AH1897" s="232"/>
      <c r="AI1897" s="232"/>
      <c r="AJ1897" s="232"/>
      <c r="AK1897" s="232"/>
      <c r="AL1897" s="232"/>
      <c r="AM1897" s="232"/>
      <c r="AN1897" s="232"/>
      <c r="AO1897" s="231"/>
      <c r="AP1897" s="231"/>
      <c r="AQ1897" s="227"/>
      <c r="AR1897" s="231"/>
      <c r="AS1897" s="227"/>
      <c r="AT1897" s="227"/>
      <c r="AU1897" s="227"/>
      <c r="AV1897" s="227"/>
    </row>
    <row r="1898">
      <c r="A1898" s="227"/>
      <c r="B1898" s="232"/>
      <c r="C1898" s="227"/>
      <c r="D1898" s="227"/>
      <c r="E1898" s="231"/>
      <c r="F1898" s="232"/>
      <c r="G1898" s="227"/>
      <c r="H1898" s="227"/>
      <c r="I1898" s="227"/>
      <c r="J1898" s="227"/>
      <c r="K1898" s="227"/>
      <c r="L1898" s="232"/>
      <c r="M1898" s="232"/>
      <c r="N1898" s="227"/>
      <c r="O1898" s="227"/>
      <c r="P1898" s="231"/>
      <c r="Q1898" s="227"/>
      <c r="R1898" s="231"/>
      <c r="S1898" s="231"/>
      <c r="T1898" s="231"/>
      <c r="U1898" s="231"/>
      <c r="V1898" s="231"/>
      <c r="W1898" s="231"/>
      <c r="X1898" s="227"/>
      <c r="Y1898" s="232"/>
      <c r="Z1898" s="232"/>
      <c r="AA1898" s="232"/>
      <c r="AB1898" s="232"/>
      <c r="AC1898" s="227"/>
      <c r="AD1898" s="227"/>
      <c r="AE1898" s="231"/>
      <c r="AF1898" s="227"/>
      <c r="AG1898" s="232"/>
      <c r="AH1898" s="232"/>
      <c r="AI1898" s="232"/>
      <c r="AJ1898" s="232"/>
      <c r="AK1898" s="232"/>
      <c r="AL1898" s="232"/>
      <c r="AM1898" s="232"/>
      <c r="AN1898" s="232"/>
      <c r="AO1898" s="231"/>
      <c r="AP1898" s="231"/>
      <c r="AQ1898" s="227"/>
      <c r="AR1898" s="231"/>
      <c r="AS1898" s="227"/>
      <c r="AT1898" s="227"/>
      <c r="AU1898" s="227"/>
      <c r="AV1898" s="227"/>
    </row>
    <row r="1899">
      <c r="A1899" s="227"/>
      <c r="B1899" s="232"/>
      <c r="C1899" s="227"/>
      <c r="D1899" s="227"/>
      <c r="E1899" s="231"/>
      <c r="F1899" s="232"/>
      <c r="G1899" s="227"/>
      <c r="H1899" s="227"/>
      <c r="I1899" s="227"/>
      <c r="J1899" s="227"/>
      <c r="K1899" s="227"/>
      <c r="L1899" s="232"/>
      <c r="M1899" s="232"/>
      <c r="N1899" s="227"/>
      <c r="O1899" s="227"/>
      <c r="P1899" s="231"/>
      <c r="Q1899" s="227"/>
      <c r="R1899" s="231"/>
      <c r="S1899" s="231"/>
      <c r="T1899" s="231"/>
      <c r="U1899" s="231"/>
      <c r="V1899" s="231"/>
      <c r="W1899" s="231"/>
      <c r="X1899" s="227"/>
      <c r="Y1899" s="232"/>
      <c r="Z1899" s="232"/>
      <c r="AA1899" s="232"/>
      <c r="AB1899" s="232"/>
      <c r="AC1899" s="227"/>
      <c r="AD1899" s="227"/>
      <c r="AE1899" s="231"/>
      <c r="AF1899" s="227"/>
      <c r="AG1899" s="232"/>
      <c r="AH1899" s="232"/>
      <c r="AI1899" s="232"/>
      <c r="AJ1899" s="232"/>
      <c r="AK1899" s="232"/>
      <c r="AL1899" s="232"/>
      <c r="AM1899" s="232"/>
      <c r="AN1899" s="232"/>
      <c r="AO1899" s="231"/>
      <c r="AP1899" s="231"/>
      <c r="AQ1899" s="227"/>
      <c r="AR1899" s="231"/>
      <c r="AS1899" s="227"/>
      <c r="AT1899" s="227"/>
      <c r="AU1899" s="227"/>
      <c r="AV1899" s="227"/>
    </row>
    <row r="1900">
      <c r="A1900" s="227"/>
      <c r="B1900" s="232"/>
      <c r="C1900" s="227"/>
      <c r="D1900" s="227"/>
      <c r="E1900" s="231"/>
      <c r="F1900" s="232"/>
      <c r="G1900" s="227"/>
      <c r="H1900" s="227"/>
      <c r="I1900" s="227"/>
      <c r="J1900" s="227"/>
      <c r="K1900" s="227"/>
      <c r="L1900" s="232"/>
      <c r="M1900" s="232"/>
      <c r="N1900" s="227"/>
      <c r="O1900" s="227"/>
      <c r="P1900" s="231"/>
      <c r="Q1900" s="227"/>
      <c r="R1900" s="231"/>
      <c r="S1900" s="231"/>
      <c r="T1900" s="231"/>
      <c r="U1900" s="231"/>
      <c r="V1900" s="231"/>
      <c r="W1900" s="231"/>
      <c r="X1900" s="227"/>
      <c r="Y1900" s="232"/>
      <c r="Z1900" s="232"/>
      <c r="AA1900" s="232"/>
      <c r="AB1900" s="232"/>
      <c r="AC1900" s="227"/>
      <c r="AD1900" s="227"/>
      <c r="AE1900" s="231"/>
      <c r="AF1900" s="227"/>
      <c r="AG1900" s="232"/>
      <c r="AH1900" s="232"/>
      <c r="AI1900" s="232"/>
      <c r="AJ1900" s="232"/>
      <c r="AK1900" s="232"/>
      <c r="AL1900" s="232"/>
      <c r="AM1900" s="232"/>
      <c r="AN1900" s="232"/>
      <c r="AO1900" s="231"/>
      <c r="AP1900" s="231"/>
      <c r="AQ1900" s="227"/>
      <c r="AR1900" s="231"/>
      <c r="AS1900" s="227"/>
      <c r="AT1900" s="227"/>
      <c r="AU1900" s="227"/>
      <c r="AV1900" s="227"/>
    </row>
    <row r="1901">
      <c r="A1901" s="227"/>
      <c r="B1901" s="232"/>
      <c r="C1901" s="227"/>
      <c r="D1901" s="227"/>
      <c r="E1901" s="231"/>
      <c r="F1901" s="232"/>
      <c r="G1901" s="227"/>
      <c r="H1901" s="227"/>
      <c r="I1901" s="227"/>
      <c r="J1901" s="227"/>
      <c r="K1901" s="227"/>
      <c r="L1901" s="232"/>
      <c r="M1901" s="232"/>
      <c r="N1901" s="227"/>
      <c r="O1901" s="227"/>
      <c r="P1901" s="231"/>
      <c r="Q1901" s="227"/>
      <c r="R1901" s="231"/>
      <c r="S1901" s="231"/>
      <c r="T1901" s="231"/>
      <c r="U1901" s="231"/>
      <c r="V1901" s="231"/>
      <c r="W1901" s="231"/>
      <c r="X1901" s="227"/>
      <c r="Y1901" s="232"/>
      <c r="Z1901" s="232"/>
      <c r="AA1901" s="232"/>
      <c r="AB1901" s="232"/>
      <c r="AC1901" s="227"/>
      <c r="AD1901" s="227"/>
      <c r="AE1901" s="231"/>
      <c r="AF1901" s="227"/>
      <c r="AG1901" s="232"/>
      <c r="AH1901" s="232"/>
      <c r="AI1901" s="232"/>
      <c r="AJ1901" s="232"/>
      <c r="AK1901" s="232"/>
      <c r="AL1901" s="232"/>
      <c r="AM1901" s="232"/>
      <c r="AN1901" s="232"/>
      <c r="AO1901" s="231"/>
      <c r="AP1901" s="231"/>
      <c r="AQ1901" s="227"/>
      <c r="AR1901" s="231"/>
      <c r="AS1901" s="227"/>
      <c r="AT1901" s="227"/>
      <c r="AU1901" s="227"/>
      <c r="AV1901" s="227"/>
    </row>
    <row r="1902">
      <c r="A1902" s="227"/>
      <c r="B1902" s="232"/>
      <c r="C1902" s="227"/>
      <c r="D1902" s="227"/>
      <c r="E1902" s="231"/>
      <c r="F1902" s="232"/>
      <c r="G1902" s="227"/>
      <c r="H1902" s="227"/>
      <c r="I1902" s="227"/>
      <c r="J1902" s="227"/>
      <c r="K1902" s="227"/>
      <c r="L1902" s="232"/>
      <c r="M1902" s="232"/>
      <c r="N1902" s="227"/>
      <c r="O1902" s="227"/>
      <c r="P1902" s="231"/>
      <c r="Q1902" s="227"/>
      <c r="R1902" s="231"/>
      <c r="S1902" s="231"/>
      <c r="T1902" s="231"/>
      <c r="U1902" s="231"/>
      <c r="V1902" s="231"/>
      <c r="W1902" s="231"/>
      <c r="X1902" s="227"/>
      <c r="Y1902" s="232"/>
      <c r="Z1902" s="232"/>
      <c r="AA1902" s="232"/>
      <c r="AB1902" s="232"/>
      <c r="AC1902" s="227"/>
      <c r="AD1902" s="227"/>
      <c r="AE1902" s="231"/>
      <c r="AF1902" s="227"/>
      <c r="AG1902" s="232"/>
      <c r="AH1902" s="232"/>
      <c r="AI1902" s="232"/>
      <c r="AJ1902" s="232"/>
      <c r="AK1902" s="232"/>
      <c r="AL1902" s="232"/>
      <c r="AM1902" s="232"/>
      <c r="AN1902" s="232"/>
      <c r="AO1902" s="231"/>
      <c r="AP1902" s="231"/>
      <c r="AQ1902" s="227"/>
      <c r="AR1902" s="231"/>
      <c r="AS1902" s="227"/>
      <c r="AT1902" s="227"/>
      <c r="AU1902" s="227"/>
      <c r="AV1902" s="227"/>
    </row>
    <row r="1903">
      <c r="A1903" s="227"/>
      <c r="B1903" s="232"/>
      <c r="C1903" s="227"/>
      <c r="D1903" s="227"/>
      <c r="E1903" s="231"/>
      <c r="F1903" s="232"/>
      <c r="G1903" s="227"/>
      <c r="H1903" s="227"/>
      <c r="I1903" s="227"/>
      <c r="J1903" s="227"/>
      <c r="K1903" s="227"/>
      <c r="L1903" s="232"/>
      <c r="M1903" s="232"/>
      <c r="N1903" s="227"/>
      <c r="O1903" s="227"/>
      <c r="P1903" s="231"/>
      <c r="Q1903" s="227"/>
      <c r="R1903" s="231"/>
      <c r="S1903" s="231"/>
      <c r="T1903" s="231"/>
      <c r="U1903" s="231"/>
      <c r="V1903" s="231"/>
      <c r="W1903" s="231"/>
      <c r="X1903" s="227"/>
      <c r="Y1903" s="232"/>
      <c r="Z1903" s="232"/>
      <c r="AA1903" s="232"/>
      <c r="AB1903" s="232"/>
      <c r="AC1903" s="227"/>
      <c r="AD1903" s="227"/>
      <c r="AE1903" s="231"/>
      <c r="AF1903" s="227"/>
      <c r="AG1903" s="232"/>
      <c r="AH1903" s="232"/>
      <c r="AI1903" s="232"/>
      <c r="AJ1903" s="232"/>
      <c r="AK1903" s="232"/>
      <c r="AL1903" s="232"/>
      <c r="AM1903" s="232"/>
      <c r="AN1903" s="232"/>
      <c r="AO1903" s="231"/>
      <c r="AP1903" s="231"/>
      <c r="AQ1903" s="227"/>
      <c r="AR1903" s="231"/>
      <c r="AS1903" s="227"/>
      <c r="AT1903" s="227"/>
      <c r="AU1903" s="227"/>
      <c r="AV1903" s="227"/>
    </row>
    <row r="1904">
      <c r="A1904" s="227"/>
      <c r="B1904" s="232"/>
      <c r="C1904" s="227"/>
      <c r="D1904" s="227"/>
      <c r="E1904" s="231"/>
      <c r="F1904" s="232"/>
      <c r="G1904" s="227"/>
      <c r="H1904" s="227"/>
      <c r="I1904" s="227"/>
      <c r="J1904" s="227"/>
      <c r="K1904" s="227"/>
      <c r="L1904" s="232"/>
      <c r="M1904" s="232"/>
      <c r="N1904" s="227"/>
      <c r="O1904" s="227"/>
      <c r="P1904" s="231"/>
      <c r="Q1904" s="227"/>
      <c r="R1904" s="231"/>
      <c r="S1904" s="231"/>
      <c r="T1904" s="231"/>
      <c r="U1904" s="231"/>
      <c r="V1904" s="231"/>
      <c r="W1904" s="231"/>
      <c r="X1904" s="227"/>
      <c r="Y1904" s="232"/>
      <c r="Z1904" s="232"/>
      <c r="AA1904" s="232"/>
      <c r="AB1904" s="232"/>
      <c r="AC1904" s="227"/>
      <c r="AD1904" s="227"/>
      <c r="AE1904" s="231"/>
      <c r="AF1904" s="227"/>
      <c r="AG1904" s="232"/>
      <c r="AH1904" s="232"/>
      <c r="AI1904" s="232"/>
      <c r="AJ1904" s="232"/>
      <c r="AK1904" s="232"/>
      <c r="AL1904" s="232"/>
      <c r="AM1904" s="232"/>
      <c r="AN1904" s="232"/>
      <c r="AO1904" s="231"/>
      <c r="AP1904" s="231"/>
      <c r="AQ1904" s="227"/>
      <c r="AR1904" s="231"/>
      <c r="AS1904" s="227"/>
      <c r="AT1904" s="227"/>
      <c r="AU1904" s="227"/>
      <c r="AV1904" s="227"/>
    </row>
    <row r="1905">
      <c r="A1905" s="227"/>
      <c r="B1905" s="232"/>
      <c r="C1905" s="227"/>
      <c r="D1905" s="227"/>
      <c r="E1905" s="231"/>
      <c r="F1905" s="232"/>
      <c r="G1905" s="227"/>
      <c r="H1905" s="227"/>
      <c r="I1905" s="227"/>
      <c r="J1905" s="227"/>
      <c r="K1905" s="227"/>
      <c r="L1905" s="232"/>
      <c r="M1905" s="232"/>
      <c r="N1905" s="227"/>
      <c r="O1905" s="227"/>
      <c r="P1905" s="231"/>
      <c r="Q1905" s="227"/>
      <c r="R1905" s="231"/>
      <c r="S1905" s="231"/>
      <c r="T1905" s="231"/>
      <c r="U1905" s="231"/>
      <c r="V1905" s="231"/>
      <c r="W1905" s="231"/>
      <c r="X1905" s="227"/>
      <c r="Y1905" s="232"/>
      <c r="Z1905" s="232"/>
      <c r="AA1905" s="232"/>
      <c r="AB1905" s="232"/>
      <c r="AC1905" s="227"/>
      <c r="AD1905" s="227"/>
      <c r="AE1905" s="231"/>
      <c r="AF1905" s="227"/>
      <c r="AG1905" s="232"/>
      <c r="AH1905" s="232"/>
      <c r="AI1905" s="232"/>
      <c r="AJ1905" s="232"/>
      <c r="AK1905" s="232"/>
      <c r="AL1905" s="232"/>
      <c r="AM1905" s="232"/>
      <c r="AN1905" s="232"/>
      <c r="AO1905" s="231"/>
      <c r="AP1905" s="231"/>
      <c r="AQ1905" s="227"/>
      <c r="AR1905" s="231"/>
      <c r="AS1905" s="227"/>
      <c r="AT1905" s="227"/>
      <c r="AU1905" s="227"/>
      <c r="AV1905" s="227"/>
    </row>
    <row r="1906">
      <c r="A1906" s="227"/>
      <c r="B1906" s="232"/>
      <c r="C1906" s="227"/>
      <c r="D1906" s="227"/>
      <c r="E1906" s="231"/>
      <c r="F1906" s="232"/>
      <c r="G1906" s="227"/>
      <c r="H1906" s="227"/>
      <c r="I1906" s="227"/>
      <c r="J1906" s="227"/>
      <c r="K1906" s="227"/>
      <c r="L1906" s="232"/>
      <c r="M1906" s="232"/>
      <c r="N1906" s="227"/>
      <c r="O1906" s="227"/>
      <c r="P1906" s="231"/>
      <c r="Q1906" s="227"/>
      <c r="R1906" s="231"/>
      <c r="S1906" s="231"/>
      <c r="T1906" s="231"/>
      <c r="U1906" s="231"/>
      <c r="V1906" s="231"/>
      <c r="W1906" s="231"/>
      <c r="X1906" s="227"/>
      <c r="Y1906" s="232"/>
      <c r="Z1906" s="232"/>
      <c r="AA1906" s="232"/>
      <c r="AB1906" s="232"/>
      <c r="AC1906" s="227"/>
      <c r="AD1906" s="227"/>
      <c r="AE1906" s="231"/>
      <c r="AF1906" s="227"/>
      <c r="AG1906" s="232"/>
      <c r="AH1906" s="232"/>
      <c r="AI1906" s="232"/>
      <c r="AJ1906" s="232"/>
      <c r="AK1906" s="232"/>
      <c r="AL1906" s="232"/>
      <c r="AM1906" s="232"/>
      <c r="AN1906" s="232"/>
      <c r="AO1906" s="231"/>
      <c r="AP1906" s="231"/>
      <c r="AQ1906" s="227"/>
      <c r="AR1906" s="231"/>
      <c r="AS1906" s="227"/>
      <c r="AT1906" s="227"/>
      <c r="AU1906" s="227"/>
      <c r="AV1906" s="227"/>
    </row>
    <row r="1907">
      <c r="A1907" s="227"/>
      <c r="B1907" s="232"/>
      <c r="C1907" s="227"/>
      <c r="D1907" s="227"/>
      <c r="E1907" s="231"/>
      <c r="F1907" s="232"/>
      <c r="G1907" s="227"/>
      <c r="H1907" s="227"/>
      <c r="I1907" s="227"/>
      <c r="J1907" s="227"/>
      <c r="K1907" s="227"/>
      <c r="L1907" s="232"/>
      <c r="M1907" s="232"/>
      <c r="N1907" s="227"/>
      <c r="O1907" s="227"/>
      <c r="P1907" s="231"/>
      <c r="Q1907" s="227"/>
      <c r="R1907" s="231"/>
      <c r="S1907" s="231"/>
      <c r="T1907" s="231"/>
      <c r="U1907" s="231"/>
      <c r="V1907" s="231"/>
      <c r="W1907" s="231"/>
      <c r="X1907" s="227"/>
      <c r="Y1907" s="232"/>
      <c r="Z1907" s="232"/>
      <c r="AA1907" s="232"/>
      <c r="AB1907" s="232"/>
      <c r="AC1907" s="227"/>
      <c r="AD1907" s="227"/>
      <c r="AE1907" s="231"/>
      <c r="AF1907" s="227"/>
      <c r="AG1907" s="232"/>
      <c r="AH1907" s="232"/>
      <c r="AI1907" s="232"/>
      <c r="AJ1907" s="232"/>
      <c r="AK1907" s="232"/>
      <c r="AL1907" s="232"/>
      <c r="AM1907" s="232"/>
      <c r="AN1907" s="232"/>
      <c r="AO1907" s="231"/>
      <c r="AP1907" s="231"/>
      <c r="AQ1907" s="227"/>
      <c r="AR1907" s="231"/>
      <c r="AS1907" s="227"/>
      <c r="AT1907" s="227"/>
      <c r="AU1907" s="227"/>
      <c r="AV1907" s="227"/>
    </row>
    <row r="1908">
      <c r="A1908" s="227"/>
      <c r="B1908" s="232"/>
      <c r="C1908" s="227"/>
      <c r="D1908" s="227"/>
      <c r="E1908" s="231"/>
      <c r="F1908" s="232"/>
      <c r="G1908" s="227"/>
      <c r="H1908" s="227"/>
      <c r="I1908" s="227"/>
      <c r="J1908" s="227"/>
      <c r="K1908" s="227"/>
      <c r="L1908" s="232"/>
      <c r="M1908" s="232"/>
      <c r="N1908" s="227"/>
      <c r="O1908" s="227"/>
      <c r="P1908" s="231"/>
      <c r="Q1908" s="227"/>
      <c r="R1908" s="231"/>
      <c r="S1908" s="231"/>
      <c r="T1908" s="231"/>
      <c r="U1908" s="231"/>
      <c r="V1908" s="231"/>
      <c r="W1908" s="231"/>
      <c r="X1908" s="227"/>
      <c r="Y1908" s="232"/>
      <c r="Z1908" s="232"/>
      <c r="AA1908" s="232"/>
      <c r="AB1908" s="232"/>
      <c r="AC1908" s="227"/>
      <c r="AD1908" s="227"/>
      <c r="AE1908" s="231"/>
      <c r="AF1908" s="227"/>
      <c r="AG1908" s="232"/>
      <c r="AH1908" s="232"/>
      <c r="AI1908" s="232"/>
      <c r="AJ1908" s="232"/>
      <c r="AK1908" s="232"/>
      <c r="AL1908" s="232"/>
      <c r="AM1908" s="232"/>
      <c r="AN1908" s="232"/>
      <c r="AO1908" s="231"/>
      <c r="AP1908" s="231"/>
      <c r="AQ1908" s="227"/>
      <c r="AR1908" s="231"/>
      <c r="AS1908" s="227"/>
      <c r="AT1908" s="227"/>
      <c r="AU1908" s="227"/>
      <c r="AV1908" s="227"/>
    </row>
    <row r="1909">
      <c r="A1909" s="227"/>
      <c r="B1909" s="232"/>
      <c r="C1909" s="227"/>
      <c r="D1909" s="227"/>
      <c r="E1909" s="231"/>
      <c r="F1909" s="232"/>
      <c r="G1909" s="227"/>
      <c r="H1909" s="227"/>
      <c r="I1909" s="227"/>
      <c r="J1909" s="227"/>
      <c r="K1909" s="227"/>
      <c r="L1909" s="232"/>
      <c r="M1909" s="232"/>
      <c r="N1909" s="227"/>
      <c r="O1909" s="227"/>
      <c r="P1909" s="231"/>
      <c r="Q1909" s="227"/>
      <c r="R1909" s="231"/>
      <c r="S1909" s="231"/>
      <c r="T1909" s="231"/>
      <c r="U1909" s="231"/>
      <c r="V1909" s="231"/>
      <c r="W1909" s="231"/>
      <c r="X1909" s="227"/>
      <c r="Y1909" s="232"/>
      <c r="Z1909" s="232"/>
      <c r="AA1909" s="232"/>
      <c r="AB1909" s="232"/>
      <c r="AC1909" s="227"/>
      <c r="AD1909" s="227"/>
      <c r="AE1909" s="231"/>
      <c r="AF1909" s="227"/>
      <c r="AG1909" s="232"/>
      <c r="AH1909" s="232"/>
      <c r="AI1909" s="232"/>
      <c r="AJ1909" s="232"/>
      <c r="AK1909" s="232"/>
      <c r="AL1909" s="232"/>
      <c r="AM1909" s="232"/>
      <c r="AN1909" s="232"/>
      <c r="AO1909" s="231"/>
      <c r="AP1909" s="231"/>
      <c r="AQ1909" s="227"/>
      <c r="AR1909" s="231"/>
      <c r="AS1909" s="227"/>
      <c r="AT1909" s="227"/>
      <c r="AU1909" s="227"/>
      <c r="AV1909" s="227"/>
    </row>
    <row r="1910">
      <c r="A1910" s="227"/>
      <c r="B1910" s="232"/>
      <c r="C1910" s="227"/>
      <c r="D1910" s="227"/>
      <c r="E1910" s="231"/>
      <c r="F1910" s="232"/>
      <c r="G1910" s="227"/>
      <c r="H1910" s="227"/>
      <c r="I1910" s="227"/>
      <c r="J1910" s="227"/>
      <c r="K1910" s="227"/>
      <c r="L1910" s="232"/>
      <c r="M1910" s="232"/>
      <c r="N1910" s="227"/>
      <c r="O1910" s="227"/>
      <c r="P1910" s="231"/>
      <c r="Q1910" s="227"/>
      <c r="R1910" s="231"/>
      <c r="S1910" s="231"/>
      <c r="T1910" s="231"/>
      <c r="U1910" s="231"/>
      <c r="V1910" s="231"/>
      <c r="W1910" s="231"/>
      <c r="X1910" s="227"/>
      <c r="Y1910" s="232"/>
      <c r="Z1910" s="232"/>
      <c r="AA1910" s="232"/>
      <c r="AB1910" s="232"/>
      <c r="AC1910" s="227"/>
      <c r="AD1910" s="227"/>
      <c r="AE1910" s="231"/>
      <c r="AF1910" s="227"/>
      <c r="AG1910" s="232"/>
      <c r="AH1910" s="232"/>
      <c r="AI1910" s="232"/>
      <c r="AJ1910" s="232"/>
      <c r="AK1910" s="232"/>
      <c r="AL1910" s="232"/>
      <c r="AM1910" s="232"/>
      <c r="AN1910" s="232"/>
      <c r="AO1910" s="231"/>
      <c r="AP1910" s="231"/>
      <c r="AQ1910" s="227"/>
      <c r="AR1910" s="231"/>
      <c r="AS1910" s="227"/>
      <c r="AT1910" s="227"/>
      <c r="AU1910" s="227"/>
      <c r="AV1910" s="227"/>
    </row>
    <row r="1911">
      <c r="A1911" s="227"/>
      <c r="B1911" s="232"/>
      <c r="C1911" s="227"/>
      <c r="D1911" s="227"/>
      <c r="E1911" s="231"/>
      <c r="F1911" s="232"/>
      <c r="G1911" s="227"/>
      <c r="H1911" s="227"/>
      <c r="I1911" s="227"/>
      <c r="J1911" s="227"/>
      <c r="K1911" s="227"/>
      <c r="L1911" s="232"/>
      <c r="M1911" s="232"/>
      <c r="N1911" s="227"/>
      <c r="O1911" s="227"/>
      <c r="P1911" s="231"/>
      <c r="Q1911" s="227"/>
      <c r="R1911" s="231"/>
      <c r="S1911" s="231"/>
      <c r="T1911" s="231"/>
      <c r="U1911" s="231"/>
      <c r="V1911" s="231"/>
      <c r="W1911" s="231"/>
      <c r="X1911" s="227"/>
      <c r="Y1911" s="232"/>
      <c r="Z1911" s="232"/>
      <c r="AA1911" s="232"/>
      <c r="AB1911" s="232"/>
      <c r="AC1911" s="227"/>
      <c r="AD1911" s="227"/>
      <c r="AE1911" s="231"/>
      <c r="AF1911" s="227"/>
      <c r="AG1911" s="232"/>
      <c r="AH1911" s="232"/>
      <c r="AI1911" s="232"/>
      <c r="AJ1911" s="232"/>
      <c r="AK1911" s="232"/>
      <c r="AL1911" s="232"/>
      <c r="AM1911" s="232"/>
      <c r="AN1911" s="232"/>
      <c r="AO1911" s="231"/>
      <c r="AP1911" s="231"/>
      <c r="AQ1911" s="227"/>
      <c r="AR1911" s="231"/>
      <c r="AS1911" s="227"/>
      <c r="AT1911" s="227"/>
      <c r="AU1911" s="227"/>
      <c r="AV1911" s="227"/>
    </row>
    <row r="1912">
      <c r="A1912" s="227"/>
      <c r="B1912" s="232"/>
      <c r="C1912" s="227"/>
      <c r="D1912" s="227"/>
      <c r="E1912" s="231"/>
      <c r="F1912" s="232"/>
      <c r="G1912" s="227"/>
      <c r="H1912" s="227"/>
      <c r="I1912" s="227"/>
      <c r="J1912" s="227"/>
      <c r="K1912" s="227"/>
      <c r="L1912" s="232"/>
      <c r="M1912" s="232"/>
      <c r="N1912" s="227"/>
      <c r="O1912" s="227"/>
      <c r="P1912" s="231"/>
      <c r="Q1912" s="227"/>
      <c r="R1912" s="231"/>
      <c r="S1912" s="231"/>
      <c r="T1912" s="231"/>
      <c r="U1912" s="231"/>
      <c r="V1912" s="231"/>
      <c r="W1912" s="231"/>
      <c r="X1912" s="227"/>
      <c r="Y1912" s="232"/>
      <c r="Z1912" s="232"/>
      <c r="AA1912" s="232"/>
      <c r="AB1912" s="232"/>
      <c r="AC1912" s="227"/>
      <c r="AD1912" s="227"/>
      <c r="AE1912" s="231"/>
      <c r="AF1912" s="227"/>
      <c r="AG1912" s="232"/>
      <c r="AH1912" s="232"/>
      <c r="AI1912" s="232"/>
      <c r="AJ1912" s="232"/>
      <c r="AK1912" s="232"/>
      <c r="AL1912" s="232"/>
      <c r="AM1912" s="232"/>
      <c r="AN1912" s="232"/>
      <c r="AO1912" s="231"/>
      <c r="AP1912" s="231"/>
      <c r="AQ1912" s="227"/>
      <c r="AR1912" s="231"/>
      <c r="AS1912" s="227"/>
      <c r="AT1912" s="227"/>
      <c r="AU1912" s="227"/>
      <c r="AV1912" s="227"/>
    </row>
    <row r="1913">
      <c r="A1913" s="227"/>
      <c r="B1913" s="232"/>
      <c r="C1913" s="227"/>
      <c r="D1913" s="227"/>
      <c r="E1913" s="231"/>
      <c r="F1913" s="232"/>
      <c r="G1913" s="227"/>
      <c r="H1913" s="227"/>
      <c r="I1913" s="227"/>
      <c r="J1913" s="227"/>
      <c r="K1913" s="227"/>
      <c r="L1913" s="232"/>
      <c r="M1913" s="232"/>
      <c r="N1913" s="227"/>
      <c r="O1913" s="227"/>
      <c r="P1913" s="231"/>
      <c r="Q1913" s="227"/>
      <c r="R1913" s="231"/>
      <c r="S1913" s="231"/>
      <c r="T1913" s="231"/>
      <c r="U1913" s="231"/>
      <c r="V1913" s="231"/>
      <c r="W1913" s="231"/>
      <c r="X1913" s="227"/>
      <c r="Y1913" s="232"/>
      <c r="Z1913" s="232"/>
      <c r="AA1913" s="232"/>
      <c r="AB1913" s="232"/>
      <c r="AC1913" s="227"/>
      <c r="AD1913" s="227"/>
      <c r="AE1913" s="231"/>
      <c r="AF1913" s="227"/>
      <c r="AG1913" s="232"/>
      <c r="AH1913" s="232"/>
      <c r="AI1913" s="232"/>
      <c r="AJ1913" s="232"/>
      <c r="AK1913" s="232"/>
      <c r="AL1913" s="232"/>
      <c r="AM1913" s="232"/>
      <c r="AN1913" s="232"/>
      <c r="AO1913" s="231"/>
      <c r="AP1913" s="231"/>
      <c r="AQ1913" s="227"/>
      <c r="AR1913" s="231"/>
      <c r="AS1913" s="227"/>
      <c r="AT1913" s="227"/>
      <c r="AU1913" s="227"/>
      <c r="AV1913" s="227"/>
    </row>
    <row r="1914">
      <c r="A1914" s="227"/>
      <c r="B1914" s="232"/>
      <c r="C1914" s="227"/>
      <c r="D1914" s="227"/>
      <c r="E1914" s="231"/>
      <c r="F1914" s="232"/>
      <c r="G1914" s="227"/>
      <c r="H1914" s="227"/>
      <c r="I1914" s="227"/>
      <c r="J1914" s="227"/>
      <c r="K1914" s="227"/>
      <c r="L1914" s="232"/>
      <c r="M1914" s="232"/>
      <c r="N1914" s="227"/>
      <c r="O1914" s="227"/>
      <c r="P1914" s="231"/>
      <c r="Q1914" s="227"/>
      <c r="R1914" s="231"/>
      <c r="S1914" s="231"/>
      <c r="T1914" s="231"/>
      <c r="U1914" s="231"/>
      <c r="V1914" s="231"/>
      <c r="W1914" s="231"/>
      <c r="X1914" s="227"/>
      <c r="Y1914" s="232"/>
      <c r="Z1914" s="232"/>
      <c r="AA1914" s="232"/>
      <c r="AB1914" s="232"/>
      <c r="AC1914" s="227"/>
      <c r="AD1914" s="227"/>
      <c r="AE1914" s="231"/>
      <c r="AF1914" s="227"/>
      <c r="AG1914" s="232"/>
      <c r="AH1914" s="232"/>
      <c r="AI1914" s="232"/>
      <c r="AJ1914" s="232"/>
      <c r="AK1914" s="232"/>
      <c r="AL1914" s="232"/>
      <c r="AM1914" s="232"/>
      <c r="AN1914" s="232"/>
      <c r="AO1914" s="231"/>
      <c r="AP1914" s="231"/>
      <c r="AQ1914" s="227"/>
      <c r="AR1914" s="231"/>
      <c r="AS1914" s="227"/>
      <c r="AT1914" s="227"/>
      <c r="AU1914" s="227"/>
      <c r="AV1914" s="227"/>
    </row>
    <row r="1915">
      <c r="A1915" s="227"/>
      <c r="B1915" s="232"/>
      <c r="C1915" s="227"/>
      <c r="D1915" s="227"/>
      <c r="E1915" s="231"/>
      <c r="F1915" s="232"/>
      <c r="G1915" s="227"/>
      <c r="H1915" s="227"/>
      <c r="I1915" s="227"/>
      <c r="J1915" s="227"/>
      <c r="K1915" s="227"/>
      <c r="L1915" s="232"/>
      <c r="M1915" s="232"/>
      <c r="N1915" s="227"/>
      <c r="O1915" s="227"/>
      <c r="P1915" s="231"/>
      <c r="Q1915" s="227"/>
      <c r="R1915" s="231"/>
      <c r="S1915" s="231"/>
      <c r="T1915" s="231"/>
      <c r="U1915" s="231"/>
      <c r="V1915" s="231"/>
      <c r="W1915" s="231"/>
      <c r="X1915" s="227"/>
      <c r="Y1915" s="232"/>
      <c r="Z1915" s="232"/>
      <c r="AA1915" s="232"/>
      <c r="AB1915" s="232"/>
      <c r="AC1915" s="227"/>
      <c r="AD1915" s="227"/>
      <c r="AE1915" s="231"/>
      <c r="AF1915" s="227"/>
      <c r="AG1915" s="232"/>
      <c r="AH1915" s="232"/>
      <c r="AI1915" s="232"/>
      <c r="AJ1915" s="232"/>
      <c r="AK1915" s="232"/>
      <c r="AL1915" s="232"/>
      <c r="AM1915" s="232"/>
      <c r="AN1915" s="232"/>
      <c r="AO1915" s="231"/>
      <c r="AP1915" s="231"/>
      <c r="AQ1915" s="227"/>
      <c r="AR1915" s="231"/>
      <c r="AS1915" s="227"/>
      <c r="AT1915" s="227"/>
      <c r="AU1915" s="227"/>
      <c r="AV1915" s="227"/>
    </row>
    <row r="1916">
      <c r="A1916" s="227"/>
      <c r="B1916" s="232"/>
      <c r="C1916" s="227"/>
      <c r="D1916" s="227"/>
      <c r="E1916" s="231"/>
      <c r="F1916" s="232"/>
      <c r="G1916" s="227"/>
      <c r="H1916" s="227"/>
      <c r="I1916" s="227"/>
      <c r="J1916" s="227"/>
      <c r="K1916" s="227"/>
      <c r="L1916" s="232"/>
      <c r="M1916" s="232"/>
      <c r="N1916" s="227"/>
      <c r="O1916" s="227"/>
      <c r="P1916" s="231"/>
      <c r="Q1916" s="227"/>
      <c r="R1916" s="231"/>
      <c r="S1916" s="231"/>
      <c r="T1916" s="231"/>
      <c r="U1916" s="231"/>
      <c r="V1916" s="231"/>
      <c r="W1916" s="231"/>
      <c r="X1916" s="227"/>
      <c r="Y1916" s="232"/>
      <c r="Z1916" s="232"/>
      <c r="AA1916" s="232"/>
      <c r="AB1916" s="232"/>
      <c r="AC1916" s="227"/>
      <c r="AD1916" s="227"/>
      <c r="AE1916" s="231"/>
      <c r="AF1916" s="227"/>
      <c r="AG1916" s="232"/>
      <c r="AH1916" s="232"/>
      <c r="AI1916" s="232"/>
      <c r="AJ1916" s="232"/>
      <c r="AK1916" s="232"/>
      <c r="AL1916" s="232"/>
      <c r="AM1916" s="232"/>
      <c r="AN1916" s="232"/>
      <c r="AO1916" s="231"/>
      <c r="AP1916" s="231"/>
      <c r="AQ1916" s="227"/>
      <c r="AR1916" s="231"/>
      <c r="AS1916" s="227"/>
      <c r="AT1916" s="227"/>
      <c r="AU1916" s="227"/>
      <c r="AV1916" s="227"/>
    </row>
    <row r="1917">
      <c r="A1917" s="227"/>
      <c r="B1917" s="232"/>
      <c r="C1917" s="227"/>
      <c r="D1917" s="227"/>
      <c r="E1917" s="231"/>
      <c r="F1917" s="232"/>
      <c r="G1917" s="227"/>
      <c r="H1917" s="227"/>
      <c r="I1917" s="227"/>
      <c r="J1917" s="227"/>
      <c r="K1917" s="227"/>
      <c r="L1917" s="232"/>
      <c r="M1917" s="232"/>
      <c r="N1917" s="227"/>
      <c r="O1917" s="227"/>
      <c r="P1917" s="231"/>
      <c r="Q1917" s="227"/>
      <c r="R1917" s="231"/>
      <c r="S1917" s="231"/>
      <c r="T1917" s="231"/>
      <c r="U1917" s="231"/>
      <c r="V1917" s="231"/>
      <c r="W1917" s="231"/>
      <c r="X1917" s="227"/>
      <c r="Y1917" s="232"/>
      <c r="Z1917" s="232"/>
      <c r="AA1917" s="232"/>
      <c r="AB1917" s="232"/>
      <c r="AC1917" s="227"/>
      <c r="AD1917" s="227"/>
      <c r="AE1917" s="231"/>
      <c r="AF1917" s="227"/>
      <c r="AG1917" s="232"/>
      <c r="AH1917" s="232"/>
      <c r="AI1917" s="232"/>
      <c r="AJ1917" s="232"/>
      <c r="AK1917" s="232"/>
      <c r="AL1917" s="232"/>
      <c r="AM1917" s="232"/>
      <c r="AN1917" s="232"/>
      <c r="AO1917" s="231"/>
      <c r="AP1917" s="231"/>
      <c r="AQ1917" s="227"/>
      <c r="AR1917" s="231"/>
      <c r="AS1917" s="227"/>
      <c r="AT1917" s="227"/>
      <c r="AU1917" s="227"/>
      <c r="AV1917" s="227"/>
    </row>
    <row r="1918">
      <c r="A1918" s="227"/>
      <c r="B1918" s="232"/>
      <c r="C1918" s="227"/>
      <c r="D1918" s="227"/>
      <c r="E1918" s="231"/>
      <c r="F1918" s="232"/>
      <c r="G1918" s="227"/>
      <c r="H1918" s="227"/>
      <c r="I1918" s="227"/>
      <c r="J1918" s="227"/>
      <c r="K1918" s="227"/>
      <c r="L1918" s="232"/>
      <c r="M1918" s="232"/>
      <c r="N1918" s="227"/>
      <c r="O1918" s="227"/>
      <c r="P1918" s="231"/>
      <c r="Q1918" s="227"/>
      <c r="R1918" s="231"/>
      <c r="S1918" s="231"/>
      <c r="T1918" s="231"/>
      <c r="U1918" s="231"/>
      <c r="V1918" s="231"/>
      <c r="W1918" s="231"/>
      <c r="X1918" s="227"/>
      <c r="Y1918" s="232"/>
      <c r="Z1918" s="232"/>
      <c r="AA1918" s="232"/>
      <c r="AB1918" s="232"/>
      <c r="AC1918" s="227"/>
      <c r="AD1918" s="227"/>
      <c r="AE1918" s="231"/>
      <c r="AF1918" s="227"/>
      <c r="AG1918" s="232"/>
      <c r="AH1918" s="232"/>
      <c r="AI1918" s="232"/>
      <c r="AJ1918" s="232"/>
      <c r="AK1918" s="232"/>
      <c r="AL1918" s="232"/>
      <c r="AM1918" s="232"/>
      <c r="AN1918" s="232"/>
      <c r="AO1918" s="231"/>
      <c r="AP1918" s="231"/>
      <c r="AQ1918" s="227"/>
      <c r="AR1918" s="231"/>
      <c r="AS1918" s="227"/>
      <c r="AT1918" s="227"/>
      <c r="AU1918" s="227"/>
      <c r="AV1918" s="227"/>
    </row>
    <row r="1919">
      <c r="A1919" s="227"/>
      <c r="B1919" s="232"/>
      <c r="C1919" s="227"/>
      <c r="D1919" s="227"/>
      <c r="E1919" s="231"/>
      <c r="F1919" s="232"/>
      <c r="G1919" s="227"/>
      <c r="H1919" s="227"/>
      <c r="I1919" s="227"/>
      <c r="J1919" s="227"/>
      <c r="K1919" s="227"/>
      <c r="L1919" s="232"/>
      <c r="M1919" s="232"/>
      <c r="N1919" s="227"/>
      <c r="O1919" s="227"/>
      <c r="P1919" s="231"/>
      <c r="Q1919" s="227"/>
      <c r="R1919" s="231"/>
      <c r="S1919" s="231"/>
      <c r="T1919" s="231"/>
      <c r="U1919" s="231"/>
      <c r="V1919" s="231"/>
      <c r="W1919" s="231"/>
      <c r="X1919" s="227"/>
      <c r="Y1919" s="232"/>
      <c r="Z1919" s="232"/>
      <c r="AA1919" s="232"/>
      <c r="AB1919" s="232"/>
      <c r="AC1919" s="227"/>
      <c r="AD1919" s="227"/>
      <c r="AE1919" s="231"/>
      <c r="AF1919" s="227"/>
      <c r="AG1919" s="232"/>
      <c r="AH1919" s="232"/>
      <c r="AI1919" s="232"/>
      <c r="AJ1919" s="232"/>
      <c r="AK1919" s="232"/>
      <c r="AL1919" s="232"/>
      <c r="AM1919" s="232"/>
      <c r="AN1919" s="232"/>
      <c r="AO1919" s="231"/>
      <c r="AP1919" s="231"/>
      <c r="AQ1919" s="227"/>
      <c r="AR1919" s="231"/>
      <c r="AS1919" s="227"/>
      <c r="AT1919" s="227"/>
      <c r="AU1919" s="227"/>
      <c r="AV1919" s="227"/>
    </row>
    <row r="1920">
      <c r="A1920" s="227"/>
      <c r="B1920" s="232"/>
      <c r="C1920" s="227"/>
      <c r="D1920" s="227"/>
      <c r="E1920" s="231"/>
      <c r="F1920" s="232"/>
      <c r="G1920" s="227"/>
      <c r="H1920" s="227"/>
      <c r="I1920" s="227"/>
      <c r="J1920" s="227"/>
      <c r="K1920" s="227"/>
      <c r="L1920" s="232"/>
      <c r="M1920" s="232"/>
      <c r="N1920" s="227"/>
      <c r="O1920" s="227"/>
      <c r="P1920" s="231"/>
      <c r="Q1920" s="227"/>
      <c r="R1920" s="231"/>
      <c r="S1920" s="231"/>
      <c r="T1920" s="231"/>
      <c r="U1920" s="231"/>
      <c r="V1920" s="231"/>
      <c r="W1920" s="231"/>
      <c r="X1920" s="227"/>
      <c r="Y1920" s="232"/>
      <c r="Z1920" s="232"/>
      <c r="AA1920" s="232"/>
      <c r="AB1920" s="232"/>
      <c r="AC1920" s="227"/>
      <c r="AD1920" s="227"/>
      <c r="AE1920" s="231"/>
      <c r="AF1920" s="227"/>
      <c r="AG1920" s="232"/>
      <c r="AH1920" s="232"/>
      <c r="AI1920" s="232"/>
      <c r="AJ1920" s="232"/>
      <c r="AK1920" s="232"/>
      <c r="AL1920" s="232"/>
      <c r="AM1920" s="232"/>
      <c r="AN1920" s="232"/>
      <c r="AO1920" s="231"/>
      <c r="AP1920" s="231"/>
      <c r="AQ1920" s="227"/>
      <c r="AR1920" s="231"/>
      <c r="AS1920" s="227"/>
      <c r="AT1920" s="227"/>
      <c r="AU1920" s="227"/>
      <c r="AV1920" s="227"/>
    </row>
    <row r="1921">
      <c r="A1921" s="227"/>
      <c r="B1921" s="232"/>
      <c r="C1921" s="227"/>
      <c r="D1921" s="227"/>
      <c r="E1921" s="231"/>
      <c r="F1921" s="232"/>
      <c r="G1921" s="227"/>
      <c r="H1921" s="227"/>
      <c r="I1921" s="227"/>
      <c r="J1921" s="227"/>
      <c r="K1921" s="227"/>
      <c r="L1921" s="232"/>
      <c r="M1921" s="232"/>
      <c r="N1921" s="227"/>
      <c r="O1921" s="227"/>
      <c r="P1921" s="231"/>
      <c r="Q1921" s="227"/>
      <c r="R1921" s="231"/>
      <c r="S1921" s="231"/>
      <c r="T1921" s="231"/>
      <c r="U1921" s="231"/>
      <c r="V1921" s="231"/>
      <c r="W1921" s="231"/>
      <c r="X1921" s="227"/>
      <c r="Y1921" s="232"/>
      <c r="Z1921" s="232"/>
      <c r="AA1921" s="232"/>
      <c r="AB1921" s="232"/>
      <c r="AC1921" s="227"/>
      <c r="AD1921" s="227"/>
      <c r="AE1921" s="231"/>
      <c r="AF1921" s="227"/>
      <c r="AG1921" s="232"/>
      <c r="AH1921" s="232"/>
      <c r="AI1921" s="232"/>
      <c r="AJ1921" s="232"/>
      <c r="AK1921" s="232"/>
      <c r="AL1921" s="232"/>
      <c r="AM1921" s="232"/>
      <c r="AN1921" s="232"/>
      <c r="AO1921" s="231"/>
      <c r="AP1921" s="231"/>
      <c r="AQ1921" s="227"/>
      <c r="AR1921" s="231"/>
      <c r="AS1921" s="227"/>
      <c r="AT1921" s="227"/>
      <c r="AU1921" s="227"/>
      <c r="AV1921" s="227"/>
    </row>
    <row r="1922">
      <c r="A1922" s="227"/>
      <c r="B1922" s="232"/>
      <c r="C1922" s="227"/>
      <c r="D1922" s="227"/>
      <c r="E1922" s="231"/>
      <c r="F1922" s="232"/>
      <c r="G1922" s="227"/>
      <c r="H1922" s="227"/>
      <c r="I1922" s="227"/>
      <c r="J1922" s="227"/>
      <c r="K1922" s="227"/>
      <c r="L1922" s="232"/>
      <c r="M1922" s="232"/>
      <c r="N1922" s="227"/>
      <c r="O1922" s="227"/>
      <c r="P1922" s="231"/>
      <c r="Q1922" s="227"/>
      <c r="R1922" s="231"/>
      <c r="S1922" s="231"/>
      <c r="T1922" s="231"/>
      <c r="U1922" s="231"/>
      <c r="V1922" s="231"/>
      <c r="W1922" s="231"/>
      <c r="X1922" s="227"/>
      <c r="Y1922" s="232"/>
      <c r="Z1922" s="232"/>
      <c r="AA1922" s="232"/>
      <c r="AB1922" s="232"/>
      <c r="AC1922" s="227"/>
      <c r="AD1922" s="227"/>
      <c r="AE1922" s="231"/>
      <c r="AF1922" s="227"/>
      <c r="AG1922" s="232"/>
      <c r="AH1922" s="232"/>
      <c r="AI1922" s="232"/>
      <c r="AJ1922" s="232"/>
      <c r="AK1922" s="232"/>
      <c r="AL1922" s="232"/>
      <c r="AM1922" s="232"/>
      <c r="AN1922" s="232"/>
      <c r="AO1922" s="231"/>
      <c r="AP1922" s="231"/>
      <c r="AQ1922" s="227"/>
      <c r="AR1922" s="231"/>
      <c r="AS1922" s="227"/>
      <c r="AT1922" s="227"/>
      <c r="AU1922" s="227"/>
      <c r="AV1922" s="227"/>
    </row>
    <row r="1923">
      <c r="A1923" s="227"/>
      <c r="B1923" s="232"/>
      <c r="C1923" s="227"/>
      <c r="D1923" s="227"/>
      <c r="E1923" s="231"/>
      <c r="F1923" s="232"/>
      <c r="G1923" s="227"/>
      <c r="H1923" s="227"/>
      <c r="I1923" s="227"/>
      <c r="J1923" s="227"/>
      <c r="K1923" s="227"/>
      <c r="L1923" s="232"/>
      <c r="M1923" s="232"/>
      <c r="N1923" s="227"/>
      <c r="O1923" s="227"/>
      <c r="P1923" s="231"/>
      <c r="Q1923" s="227"/>
      <c r="R1923" s="231"/>
      <c r="S1923" s="231"/>
      <c r="T1923" s="231"/>
      <c r="U1923" s="231"/>
      <c r="V1923" s="231"/>
      <c r="W1923" s="231"/>
      <c r="X1923" s="227"/>
      <c r="Y1923" s="232"/>
      <c r="Z1923" s="232"/>
      <c r="AA1923" s="232"/>
      <c r="AB1923" s="232"/>
      <c r="AC1923" s="227"/>
      <c r="AD1923" s="227"/>
      <c r="AE1923" s="231"/>
      <c r="AF1923" s="227"/>
      <c r="AG1923" s="232"/>
      <c r="AH1923" s="232"/>
      <c r="AI1923" s="232"/>
      <c r="AJ1923" s="232"/>
      <c r="AK1923" s="232"/>
      <c r="AL1923" s="232"/>
      <c r="AM1923" s="232"/>
      <c r="AN1923" s="232"/>
      <c r="AO1923" s="231"/>
      <c r="AP1923" s="231"/>
      <c r="AQ1923" s="227"/>
      <c r="AR1923" s="231"/>
      <c r="AS1923" s="227"/>
      <c r="AT1923" s="227"/>
      <c r="AU1923" s="227"/>
      <c r="AV1923" s="227"/>
    </row>
    <row r="1924">
      <c r="A1924" s="227"/>
      <c r="B1924" s="232"/>
      <c r="C1924" s="227"/>
      <c r="D1924" s="227"/>
      <c r="E1924" s="231"/>
      <c r="F1924" s="232"/>
      <c r="G1924" s="227"/>
      <c r="H1924" s="227"/>
      <c r="I1924" s="227"/>
      <c r="J1924" s="227"/>
      <c r="K1924" s="227"/>
      <c r="L1924" s="232"/>
      <c r="M1924" s="232"/>
      <c r="N1924" s="227"/>
      <c r="O1924" s="227"/>
      <c r="P1924" s="231"/>
      <c r="Q1924" s="227"/>
      <c r="R1924" s="231"/>
      <c r="S1924" s="231"/>
      <c r="T1924" s="231"/>
      <c r="U1924" s="231"/>
      <c r="V1924" s="231"/>
      <c r="W1924" s="231"/>
      <c r="X1924" s="227"/>
      <c r="Y1924" s="232"/>
      <c r="Z1924" s="232"/>
      <c r="AA1924" s="232"/>
      <c r="AB1924" s="232"/>
      <c r="AC1924" s="227"/>
      <c r="AD1924" s="227"/>
      <c r="AE1924" s="231"/>
      <c r="AF1924" s="227"/>
      <c r="AG1924" s="232"/>
      <c r="AH1924" s="232"/>
      <c r="AI1924" s="232"/>
      <c r="AJ1924" s="232"/>
      <c r="AK1924" s="232"/>
      <c r="AL1924" s="232"/>
      <c r="AM1924" s="232"/>
      <c r="AN1924" s="232"/>
      <c r="AO1924" s="231"/>
      <c r="AP1924" s="231"/>
      <c r="AQ1924" s="227"/>
      <c r="AR1924" s="231"/>
      <c r="AS1924" s="227"/>
      <c r="AT1924" s="227"/>
      <c r="AU1924" s="227"/>
      <c r="AV1924" s="227"/>
    </row>
    <row r="1925">
      <c r="A1925" s="227"/>
      <c r="B1925" s="232"/>
      <c r="C1925" s="227"/>
      <c r="D1925" s="227"/>
      <c r="E1925" s="231"/>
      <c r="F1925" s="232"/>
      <c r="G1925" s="227"/>
      <c r="H1925" s="227"/>
      <c r="I1925" s="227"/>
      <c r="J1925" s="227"/>
      <c r="K1925" s="227"/>
      <c r="L1925" s="232"/>
      <c r="M1925" s="232"/>
      <c r="N1925" s="227"/>
      <c r="O1925" s="227"/>
      <c r="P1925" s="231"/>
      <c r="Q1925" s="227"/>
      <c r="R1925" s="231"/>
      <c r="S1925" s="231"/>
      <c r="T1925" s="231"/>
      <c r="U1925" s="231"/>
      <c r="V1925" s="231"/>
      <c r="W1925" s="231"/>
      <c r="X1925" s="227"/>
      <c r="Y1925" s="232"/>
      <c r="Z1925" s="232"/>
      <c r="AA1925" s="232"/>
      <c r="AB1925" s="232"/>
      <c r="AC1925" s="227"/>
      <c r="AD1925" s="227"/>
      <c r="AE1925" s="231"/>
      <c r="AF1925" s="227"/>
      <c r="AG1925" s="232"/>
      <c r="AH1925" s="232"/>
      <c r="AI1925" s="232"/>
      <c r="AJ1925" s="232"/>
      <c r="AK1925" s="232"/>
      <c r="AL1925" s="232"/>
      <c r="AM1925" s="232"/>
      <c r="AN1925" s="232"/>
      <c r="AO1925" s="231"/>
      <c r="AP1925" s="231"/>
      <c r="AQ1925" s="227"/>
      <c r="AR1925" s="231"/>
      <c r="AS1925" s="227"/>
      <c r="AT1925" s="227"/>
      <c r="AU1925" s="227"/>
      <c r="AV1925" s="227"/>
    </row>
    <row r="1926">
      <c r="A1926" s="227"/>
      <c r="B1926" s="232"/>
      <c r="C1926" s="227"/>
      <c r="D1926" s="227"/>
      <c r="E1926" s="231"/>
      <c r="F1926" s="232"/>
      <c r="G1926" s="227"/>
      <c r="H1926" s="227"/>
      <c r="I1926" s="227"/>
      <c r="J1926" s="227"/>
      <c r="K1926" s="227"/>
      <c r="L1926" s="232"/>
      <c r="M1926" s="232"/>
      <c r="N1926" s="227"/>
      <c r="O1926" s="227"/>
      <c r="P1926" s="231"/>
      <c r="Q1926" s="227"/>
      <c r="R1926" s="231"/>
      <c r="S1926" s="231"/>
      <c r="T1926" s="231"/>
      <c r="U1926" s="231"/>
      <c r="V1926" s="231"/>
      <c r="W1926" s="231"/>
      <c r="X1926" s="227"/>
      <c r="Y1926" s="232"/>
      <c r="Z1926" s="232"/>
      <c r="AA1926" s="232"/>
      <c r="AB1926" s="232"/>
      <c r="AC1926" s="227"/>
      <c r="AD1926" s="227"/>
      <c r="AE1926" s="231"/>
      <c r="AF1926" s="227"/>
      <c r="AG1926" s="232"/>
      <c r="AH1926" s="232"/>
      <c r="AI1926" s="232"/>
      <c r="AJ1926" s="232"/>
      <c r="AK1926" s="232"/>
      <c r="AL1926" s="232"/>
      <c r="AM1926" s="232"/>
      <c r="AN1926" s="232"/>
      <c r="AO1926" s="231"/>
      <c r="AP1926" s="231"/>
      <c r="AQ1926" s="227"/>
      <c r="AR1926" s="231"/>
      <c r="AS1926" s="227"/>
      <c r="AT1926" s="227"/>
      <c r="AU1926" s="227"/>
      <c r="AV1926" s="227"/>
    </row>
    <row r="1927">
      <c r="A1927" s="227"/>
      <c r="B1927" s="232"/>
      <c r="C1927" s="227"/>
      <c r="D1927" s="227"/>
      <c r="E1927" s="231"/>
      <c r="F1927" s="232"/>
      <c r="G1927" s="227"/>
      <c r="H1927" s="227"/>
      <c r="I1927" s="227"/>
      <c r="J1927" s="227"/>
      <c r="K1927" s="227"/>
      <c r="L1927" s="232"/>
      <c r="M1927" s="232"/>
      <c r="N1927" s="227"/>
      <c r="O1927" s="227"/>
      <c r="P1927" s="231"/>
      <c r="Q1927" s="227"/>
      <c r="R1927" s="231"/>
      <c r="S1927" s="231"/>
      <c r="T1927" s="231"/>
      <c r="U1927" s="231"/>
      <c r="V1927" s="231"/>
      <c r="W1927" s="231"/>
      <c r="X1927" s="227"/>
      <c r="Y1927" s="232"/>
      <c r="Z1927" s="232"/>
      <c r="AA1927" s="232"/>
      <c r="AB1927" s="232"/>
      <c r="AC1927" s="227"/>
      <c r="AD1927" s="227"/>
      <c r="AE1927" s="231"/>
      <c r="AF1927" s="227"/>
      <c r="AG1927" s="232"/>
      <c r="AH1927" s="232"/>
      <c r="AI1927" s="232"/>
      <c r="AJ1927" s="232"/>
      <c r="AK1927" s="232"/>
      <c r="AL1927" s="232"/>
      <c r="AM1927" s="232"/>
      <c r="AN1927" s="232"/>
      <c r="AO1927" s="231"/>
      <c r="AP1927" s="231"/>
      <c r="AQ1927" s="227"/>
      <c r="AR1927" s="231"/>
      <c r="AS1927" s="227"/>
      <c r="AT1927" s="227"/>
      <c r="AU1927" s="227"/>
      <c r="AV1927" s="227"/>
    </row>
    <row r="1928">
      <c r="A1928" s="227"/>
      <c r="B1928" s="232"/>
      <c r="C1928" s="227"/>
      <c r="D1928" s="227"/>
      <c r="E1928" s="231"/>
      <c r="F1928" s="232"/>
      <c r="G1928" s="227"/>
      <c r="H1928" s="227"/>
      <c r="I1928" s="227"/>
      <c r="J1928" s="227"/>
      <c r="K1928" s="227"/>
      <c r="L1928" s="232"/>
      <c r="M1928" s="232"/>
      <c r="N1928" s="227"/>
      <c r="O1928" s="227"/>
      <c r="P1928" s="231"/>
      <c r="Q1928" s="227"/>
      <c r="R1928" s="231"/>
      <c r="S1928" s="231"/>
      <c r="T1928" s="231"/>
      <c r="U1928" s="231"/>
      <c r="V1928" s="231"/>
      <c r="W1928" s="231"/>
      <c r="X1928" s="227"/>
      <c r="Y1928" s="232"/>
      <c r="Z1928" s="232"/>
      <c r="AA1928" s="232"/>
      <c r="AB1928" s="232"/>
      <c r="AC1928" s="227"/>
      <c r="AD1928" s="227"/>
      <c r="AE1928" s="231"/>
      <c r="AF1928" s="227"/>
      <c r="AG1928" s="232"/>
      <c r="AH1928" s="232"/>
      <c r="AI1928" s="232"/>
      <c r="AJ1928" s="232"/>
      <c r="AK1928" s="232"/>
      <c r="AL1928" s="232"/>
      <c r="AM1928" s="232"/>
      <c r="AN1928" s="232"/>
      <c r="AO1928" s="231"/>
      <c r="AP1928" s="231"/>
      <c r="AQ1928" s="227"/>
      <c r="AR1928" s="231"/>
      <c r="AS1928" s="227"/>
      <c r="AT1928" s="227"/>
      <c r="AU1928" s="227"/>
      <c r="AV1928" s="227"/>
    </row>
    <row r="1929">
      <c r="A1929" s="227"/>
      <c r="B1929" s="232"/>
      <c r="C1929" s="227"/>
      <c r="D1929" s="227"/>
      <c r="E1929" s="231"/>
      <c r="F1929" s="232"/>
      <c r="G1929" s="227"/>
      <c r="H1929" s="227"/>
      <c r="I1929" s="227"/>
      <c r="J1929" s="227"/>
      <c r="K1929" s="227"/>
      <c r="L1929" s="232"/>
      <c r="M1929" s="232"/>
      <c r="N1929" s="227"/>
      <c r="O1929" s="227"/>
      <c r="P1929" s="231"/>
      <c r="Q1929" s="227"/>
      <c r="R1929" s="231"/>
      <c r="S1929" s="231"/>
      <c r="T1929" s="231"/>
      <c r="U1929" s="231"/>
      <c r="V1929" s="231"/>
      <c r="W1929" s="231"/>
      <c r="X1929" s="227"/>
      <c r="Y1929" s="232"/>
      <c r="Z1929" s="232"/>
      <c r="AA1929" s="232"/>
      <c r="AB1929" s="232"/>
      <c r="AC1929" s="227"/>
      <c r="AD1929" s="227"/>
      <c r="AE1929" s="231"/>
      <c r="AF1929" s="227"/>
      <c r="AG1929" s="232"/>
      <c r="AH1929" s="232"/>
      <c r="AI1929" s="232"/>
      <c r="AJ1929" s="232"/>
      <c r="AK1929" s="232"/>
      <c r="AL1929" s="232"/>
      <c r="AM1929" s="232"/>
      <c r="AN1929" s="232"/>
      <c r="AO1929" s="231"/>
      <c r="AP1929" s="231"/>
      <c r="AQ1929" s="227"/>
      <c r="AR1929" s="227"/>
      <c r="AS1929" s="227"/>
      <c r="AT1929" s="227"/>
      <c r="AU1929" s="227"/>
      <c r="AV1929" s="227"/>
    </row>
    <row r="1930">
      <c r="A1930" s="227"/>
      <c r="B1930" s="232"/>
      <c r="C1930" s="227"/>
      <c r="D1930" s="227"/>
      <c r="E1930" s="231"/>
      <c r="F1930" s="232"/>
      <c r="G1930" s="227"/>
      <c r="H1930" s="227"/>
      <c r="I1930" s="227"/>
      <c r="J1930" s="227"/>
      <c r="K1930" s="227"/>
      <c r="L1930" s="232"/>
      <c r="M1930" s="232"/>
      <c r="N1930" s="227"/>
      <c r="O1930" s="227"/>
      <c r="P1930" s="231"/>
      <c r="Q1930" s="227"/>
      <c r="R1930" s="231"/>
      <c r="S1930" s="231"/>
      <c r="T1930" s="231"/>
      <c r="U1930" s="231"/>
      <c r="V1930" s="231"/>
      <c r="W1930" s="231"/>
      <c r="X1930" s="227"/>
      <c r="Y1930" s="232"/>
      <c r="Z1930" s="232"/>
      <c r="AA1930" s="232"/>
      <c r="AB1930" s="232"/>
      <c r="AC1930" s="227"/>
      <c r="AD1930" s="227"/>
      <c r="AE1930" s="231"/>
      <c r="AF1930" s="227"/>
      <c r="AG1930" s="232"/>
      <c r="AH1930" s="232"/>
      <c r="AI1930" s="232"/>
      <c r="AJ1930" s="232"/>
      <c r="AK1930" s="232"/>
      <c r="AL1930" s="232"/>
      <c r="AM1930" s="232"/>
      <c r="AN1930" s="232"/>
      <c r="AO1930" s="231"/>
      <c r="AP1930" s="231"/>
      <c r="AQ1930" s="227"/>
      <c r="AR1930" s="231"/>
      <c r="AS1930" s="227"/>
      <c r="AT1930" s="227"/>
      <c r="AU1930" s="227"/>
      <c r="AV1930" s="227"/>
    </row>
    <row r="1931">
      <c r="A1931" s="227"/>
      <c r="B1931" s="232"/>
      <c r="C1931" s="227"/>
      <c r="D1931" s="227"/>
      <c r="E1931" s="231"/>
      <c r="F1931" s="232"/>
      <c r="G1931" s="227"/>
      <c r="H1931" s="227"/>
      <c r="I1931" s="227"/>
      <c r="J1931" s="227"/>
      <c r="K1931" s="227"/>
      <c r="L1931" s="232"/>
      <c r="M1931" s="232"/>
      <c r="N1931" s="227"/>
      <c r="O1931" s="227"/>
      <c r="P1931" s="231"/>
      <c r="Q1931" s="227"/>
      <c r="R1931" s="231"/>
      <c r="S1931" s="231"/>
      <c r="T1931" s="231"/>
      <c r="U1931" s="231"/>
      <c r="V1931" s="231"/>
      <c r="W1931" s="231"/>
      <c r="X1931" s="227"/>
      <c r="Y1931" s="232"/>
      <c r="Z1931" s="232"/>
      <c r="AA1931" s="232"/>
      <c r="AB1931" s="232"/>
      <c r="AC1931" s="227"/>
      <c r="AD1931" s="227"/>
      <c r="AE1931" s="231"/>
      <c r="AF1931" s="227"/>
      <c r="AG1931" s="232"/>
      <c r="AH1931" s="232"/>
      <c r="AI1931" s="232"/>
      <c r="AJ1931" s="232"/>
      <c r="AK1931" s="232"/>
      <c r="AL1931" s="232"/>
      <c r="AM1931" s="232"/>
      <c r="AN1931" s="232"/>
      <c r="AO1931" s="231"/>
      <c r="AP1931" s="231"/>
      <c r="AQ1931" s="227"/>
      <c r="AR1931" s="231"/>
      <c r="AS1931" s="227"/>
      <c r="AT1931" s="227"/>
      <c r="AU1931" s="227"/>
      <c r="AV1931" s="227"/>
    </row>
    <row r="1932">
      <c r="A1932" s="227"/>
      <c r="B1932" s="232"/>
      <c r="C1932" s="227"/>
      <c r="D1932" s="227"/>
      <c r="E1932" s="231"/>
      <c r="F1932" s="232"/>
      <c r="G1932" s="227"/>
      <c r="H1932" s="227"/>
      <c r="I1932" s="227"/>
      <c r="J1932" s="227"/>
      <c r="K1932" s="227"/>
      <c r="L1932" s="232"/>
      <c r="M1932" s="232"/>
      <c r="N1932" s="227"/>
      <c r="O1932" s="227"/>
      <c r="P1932" s="231"/>
      <c r="Q1932" s="227"/>
      <c r="R1932" s="231"/>
      <c r="S1932" s="231"/>
      <c r="T1932" s="231"/>
      <c r="U1932" s="231"/>
      <c r="V1932" s="231"/>
      <c r="W1932" s="231"/>
      <c r="X1932" s="227"/>
      <c r="Y1932" s="232"/>
      <c r="Z1932" s="232"/>
      <c r="AA1932" s="232"/>
      <c r="AB1932" s="232"/>
      <c r="AC1932" s="227"/>
      <c r="AD1932" s="227"/>
      <c r="AE1932" s="231"/>
      <c r="AF1932" s="227"/>
      <c r="AG1932" s="232"/>
      <c r="AH1932" s="232"/>
      <c r="AI1932" s="232"/>
      <c r="AJ1932" s="232"/>
      <c r="AK1932" s="232"/>
      <c r="AL1932" s="232"/>
      <c r="AM1932" s="232"/>
      <c r="AN1932" s="232"/>
      <c r="AO1932" s="231"/>
      <c r="AP1932" s="231"/>
      <c r="AQ1932" s="227"/>
      <c r="AR1932" s="231"/>
      <c r="AS1932" s="227"/>
      <c r="AT1932" s="227"/>
      <c r="AU1932" s="227"/>
      <c r="AV1932" s="227"/>
    </row>
    <row r="1933">
      <c r="A1933" s="227"/>
      <c r="B1933" s="232"/>
      <c r="C1933" s="227"/>
      <c r="D1933" s="227"/>
      <c r="E1933" s="231"/>
      <c r="F1933" s="232"/>
      <c r="G1933" s="227"/>
      <c r="H1933" s="227"/>
      <c r="I1933" s="227"/>
      <c r="J1933" s="227"/>
      <c r="K1933" s="227"/>
      <c r="L1933" s="232"/>
      <c r="M1933" s="232"/>
      <c r="N1933" s="227"/>
      <c r="O1933" s="227"/>
      <c r="P1933" s="231"/>
      <c r="Q1933" s="227"/>
      <c r="R1933" s="231"/>
      <c r="S1933" s="231"/>
      <c r="T1933" s="231"/>
      <c r="U1933" s="231"/>
      <c r="V1933" s="231"/>
      <c r="W1933" s="231"/>
      <c r="X1933" s="227"/>
      <c r="Y1933" s="232"/>
      <c r="Z1933" s="232"/>
      <c r="AA1933" s="232"/>
      <c r="AB1933" s="232"/>
      <c r="AC1933" s="227"/>
      <c r="AD1933" s="227"/>
      <c r="AE1933" s="231"/>
      <c r="AF1933" s="227"/>
      <c r="AG1933" s="232"/>
      <c r="AH1933" s="232"/>
      <c r="AI1933" s="232"/>
      <c r="AJ1933" s="232"/>
      <c r="AK1933" s="232"/>
      <c r="AL1933" s="232"/>
      <c r="AM1933" s="232"/>
      <c r="AN1933" s="232"/>
      <c r="AO1933" s="231"/>
      <c r="AP1933" s="231"/>
      <c r="AQ1933" s="227"/>
      <c r="AR1933" s="231"/>
      <c r="AS1933" s="227"/>
      <c r="AT1933" s="227"/>
      <c r="AU1933" s="227"/>
      <c r="AV1933" s="227"/>
    </row>
    <row r="1934">
      <c r="A1934" s="227"/>
      <c r="B1934" s="232"/>
      <c r="C1934" s="227"/>
      <c r="D1934" s="227"/>
      <c r="E1934" s="231"/>
      <c r="F1934" s="232"/>
      <c r="G1934" s="227"/>
      <c r="H1934" s="227"/>
      <c r="I1934" s="227"/>
      <c r="J1934" s="227"/>
      <c r="K1934" s="227"/>
      <c r="L1934" s="232"/>
      <c r="M1934" s="232"/>
      <c r="N1934" s="227"/>
      <c r="O1934" s="227"/>
      <c r="P1934" s="231"/>
      <c r="Q1934" s="227"/>
      <c r="R1934" s="231"/>
      <c r="S1934" s="231"/>
      <c r="T1934" s="231"/>
      <c r="U1934" s="231"/>
      <c r="V1934" s="231"/>
      <c r="W1934" s="231"/>
      <c r="X1934" s="227"/>
      <c r="Y1934" s="232"/>
      <c r="Z1934" s="232"/>
      <c r="AA1934" s="232"/>
      <c r="AB1934" s="232"/>
      <c r="AC1934" s="227"/>
      <c r="AD1934" s="227"/>
      <c r="AE1934" s="231"/>
      <c r="AF1934" s="227"/>
      <c r="AG1934" s="232"/>
      <c r="AH1934" s="232"/>
      <c r="AI1934" s="232"/>
      <c r="AJ1934" s="232"/>
      <c r="AK1934" s="232"/>
      <c r="AL1934" s="232"/>
      <c r="AM1934" s="232"/>
      <c r="AN1934" s="232"/>
      <c r="AO1934" s="231"/>
      <c r="AP1934" s="231"/>
      <c r="AQ1934" s="227"/>
      <c r="AR1934" s="231"/>
      <c r="AS1934" s="227"/>
      <c r="AT1934" s="227"/>
      <c r="AU1934" s="227"/>
      <c r="AV1934" s="227"/>
    </row>
    <row r="1935">
      <c r="A1935" s="227"/>
      <c r="B1935" s="232"/>
      <c r="C1935" s="227"/>
      <c r="D1935" s="227"/>
      <c r="E1935" s="231"/>
      <c r="F1935" s="232"/>
      <c r="G1935" s="227"/>
      <c r="H1935" s="227"/>
      <c r="I1935" s="227"/>
      <c r="J1935" s="227"/>
      <c r="K1935" s="227"/>
      <c r="L1935" s="232"/>
      <c r="M1935" s="232"/>
      <c r="N1935" s="227"/>
      <c r="O1935" s="227"/>
      <c r="P1935" s="231"/>
      <c r="Q1935" s="227"/>
      <c r="R1935" s="231"/>
      <c r="S1935" s="231"/>
      <c r="T1935" s="231"/>
      <c r="U1935" s="231"/>
      <c r="V1935" s="231"/>
      <c r="W1935" s="231"/>
      <c r="X1935" s="227"/>
      <c r="Y1935" s="232"/>
      <c r="Z1935" s="232"/>
      <c r="AA1935" s="232"/>
      <c r="AB1935" s="232"/>
      <c r="AC1935" s="227"/>
      <c r="AD1935" s="227"/>
      <c r="AE1935" s="231"/>
      <c r="AF1935" s="227"/>
      <c r="AG1935" s="232"/>
      <c r="AH1935" s="232"/>
      <c r="AI1935" s="232"/>
      <c r="AJ1935" s="232"/>
      <c r="AK1935" s="232"/>
      <c r="AL1935" s="232"/>
      <c r="AM1935" s="232"/>
      <c r="AN1935" s="232"/>
      <c r="AO1935" s="231"/>
      <c r="AP1935" s="231"/>
      <c r="AQ1935" s="227"/>
      <c r="AR1935" s="231"/>
      <c r="AS1935" s="227"/>
      <c r="AT1935" s="227"/>
      <c r="AU1935" s="227"/>
      <c r="AV1935" s="227"/>
    </row>
    <row r="1936">
      <c r="A1936" s="227"/>
      <c r="B1936" s="232"/>
      <c r="C1936" s="227"/>
      <c r="D1936" s="227"/>
      <c r="E1936" s="231"/>
      <c r="F1936" s="232"/>
      <c r="G1936" s="227"/>
      <c r="H1936" s="227"/>
      <c r="I1936" s="227"/>
      <c r="J1936" s="227"/>
      <c r="K1936" s="227"/>
      <c r="L1936" s="232"/>
      <c r="M1936" s="232"/>
      <c r="N1936" s="227"/>
      <c r="O1936" s="227"/>
      <c r="P1936" s="231"/>
      <c r="Q1936" s="227"/>
      <c r="R1936" s="231"/>
      <c r="S1936" s="231"/>
      <c r="T1936" s="231"/>
      <c r="U1936" s="231"/>
      <c r="V1936" s="231"/>
      <c r="W1936" s="231"/>
      <c r="X1936" s="227"/>
      <c r="Y1936" s="232"/>
      <c r="Z1936" s="232"/>
      <c r="AA1936" s="232"/>
      <c r="AB1936" s="232"/>
      <c r="AC1936" s="227"/>
      <c r="AD1936" s="227"/>
      <c r="AE1936" s="231"/>
      <c r="AF1936" s="227"/>
      <c r="AG1936" s="232"/>
      <c r="AH1936" s="232"/>
      <c r="AI1936" s="232"/>
      <c r="AJ1936" s="232"/>
      <c r="AK1936" s="232"/>
      <c r="AL1936" s="232"/>
      <c r="AM1936" s="232"/>
      <c r="AN1936" s="232"/>
      <c r="AO1936" s="231"/>
      <c r="AP1936" s="231"/>
      <c r="AQ1936" s="227"/>
      <c r="AR1936" s="231"/>
      <c r="AS1936" s="227"/>
      <c r="AT1936" s="227"/>
      <c r="AU1936" s="227"/>
      <c r="AV1936" s="227"/>
    </row>
    <row r="1937">
      <c r="A1937" s="227"/>
      <c r="B1937" s="232"/>
      <c r="C1937" s="227"/>
      <c r="D1937" s="227"/>
      <c r="E1937" s="231"/>
      <c r="F1937" s="232"/>
      <c r="G1937" s="227"/>
      <c r="H1937" s="227"/>
      <c r="I1937" s="227"/>
      <c r="J1937" s="227"/>
      <c r="K1937" s="227"/>
      <c r="L1937" s="232"/>
      <c r="M1937" s="232"/>
      <c r="N1937" s="227"/>
      <c r="O1937" s="227"/>
      <c r="P1937" s="231"/>
      <c r="Q1937" s="227"/>
      <c r="R1937" s="231"/>
      <c r="S1937" s="231"/>
      <c r="T1937" s="231"/>
      <c r="U1937" s="231"/>
      <c r="V1937" s="231"/>
      <c r="W1937" s="231"/>
      <c r="X1937" s="227"/>
      <c r="Y1937" s="232"/>
      <c r="Z1937" s="232"/>
      <c r="AA1937" s="232"/>
      <c r="AB1937" s="232"/>
      <c r="AC1937" s="227"/>
      <c r="AD1937" s="227"/>
      <c r="AE1937" s="231"/>
      <c r="AF1937" s="227"/>
      <c r="AG1937" s="232"/>
      <c r="AH1937" s="232"/>
      <c r="AI1937" s="232"/>
      <c r="AJ1937" s="232"/>
      <c r="AK1937" s="232"/>
      <c r="AL1937" s="232"/>
      <c r="AM1937" s="232"/>
      <c r="AN1937" s="232"/>
      <c r="AO1937" s="231"/>
      <c r="AP1937" s="231"/>
      <c r="AQ1937" s="227"/>
      <c r="AR1937" s="231"/>
      <c r="AS1937" s="227"/>
      <c r="AT1937" s="227"/>
      <c r="AU1937" s="227"/>
      <c r="AV1937" s="227"/>
    </row>
    <row r="1938">
      <c r="A1938" s="227"/>
      <c r="B1938" s="232"/>
      <c r="C1938" s="227"/>
      <c r="D1938" s="227"/>
      <c r="E1938" s="231"/>
      <c r="F1938" s="232"/>
      <c r="G1938" s="227"/>
      <c r="H1938" s="227"/>
      <c r="I1938" s="227"/>
      <c r="J1938" s="227"/>
      <c r="K1938" s="227"/>
      <c r="L1938" s="232"/>
      <c r="M1938" s="232"/>
      <c r="N1938" s="227"/>
      <c r="O1938" s="227"/>
      <c r="P1938" s="231"/>
      <c r="Q1938" s="227"/>
      <c r="R1938" s="231"/>
      <c r="S1938" s="231"/>
      <c r="T1938" s="231"/>
      <c r="U1938" s="231"/>
      <c r="V1938" s="231"/>
      <c r="W1938" s="231"/>
      <c r="X1938" s="227"/>
      <c r="Y1938" s="232"/>
      <c r="Z1938" s="232"/>
      <c r="AA1938" s="232"/>
      <c r="AB1938" s="232"/>
      <c r="AC1938" s="227"/>
      <c r="AD1938" s="227"/>
      <c r="AE1938" s="231"/>
      <c r="AF1938" s="227"/>
      <c r="AG1938" s="232"/>
      <c r="AH1938" s="232"/>
      <c r="AI1938" s="232"/>
      <c r="AJ1938" s="232"/>
      <c r="AK1938" s="232"/>
      <c r="AL1938" s="232"/>
      <c r="AM1938" s="232"/>
      <c r="AN1938" s="232"/>
      <c r="AO1938" s="231"/>
      <c r="AP1938" s="231"/>
      <c r="AQ1938" s="227"/>
      <c r="AR1938" s="231"/>
      <c r="AS1938" s="227"/>
      <c r="AT1938" s="227"/>
      <c r="AU1938" s="227"/>
      <c r="AV1938" s="227"/>
    </row>
    <row r="1939">
      <c r="A1939" s="227"/>
      <c r="B1939" s="232"/>
      <c r="C1939" s="227"/>
      <c r="D1939" s="227"/>
      <c r="E1939" s="231"/>
      <c r="F1939" s="232"/>
      <c r="G1939" s="227"/>
      <c r="H1939" s="227"/>
      <c r="I1939" s="227"/>
      <c r="J1939" s="227"/>
      <c r="K1939" s="227"/>
      <c r="L1939" s="232"/>
      <c r="M1939" s="232"/>
      <c r="N1939" s="227"/>
      <c r="O1939" s="227"/>
      <c r="P1939" s="231"/>
      <c r="Q1939" s="227"/>
      <c r="R1939" s="231"/>
      <c r="S1939" s="231"/>
      <c r="T1939" s="231"/>
      <c r="U1939" s="231"/>
      <c r="V1939" s="231"/>
      <c r="W1939" s="231"/>
      <c r="X1939" s="227"/>
      <c r="Y1939" s="232"/>
      <c r="Z1939" s="232"/>
      <c r="AA1939" s="232"/>
      <c r="AB1939" s="232"/>
      <c r="AC1939" s="227"/>
      <c r="AD1939" s="227"/>
      <c r="AE1939" s="231"/>
      <c r="AF1939" s="227"/>
      <c r="AG1939" s="232"/>
      <c r="AH1939" s="232"/>
      <c r="AI1939" s="232"/>
      <c r="AJ1939" s="232"/>
      <c r="AK1939" s="232"/>
      <c r="AL1939" s="232"/>
      <c r="AM1939" s="232"/>
      <c r="AN1939" s="232"/>
      <c r="AO1939" s="231"/>
      <c r="AP1939" s="231"/>
      <c r="AQ1939" s="227"/>
      <c r="AR1939" s="231"/>
      <c r="AS1939" s="227"/>
      <c r="AT1939" s="227"/>
      <c r="AU1939" s="227"/>
      <c r="AV1939" s="227"/>
    </row>
    <row r="1940">
      <c r="A1940" s="227"/>
      <c r="B1940" s="232"/>
      <c r="C1940" s="227"/>
      <c r="D1940" s="227"/>
      <c r="E1940" s="231"/>
      <c r="F1940" s="232"/>
      <c r="G1940" s="227"/>
      <c r="H1940" s="227"/>
      <c r="I1940" s="227"/>
      <c r="J1940" s="227"/>
      <c r="K1940" s="227"/>
      <c r="L1940" s="232"/>
      <c r="M1940" s="232"/>
      <c r="N1940" s="227"/>
      <c r="O1940" s="227"/>
      <c r="P1940" s="231"/>
      <c r="Q1940" s="227"/>
      <c r="R1940" s="231"/>
      <c r="S1940" s="231"/>
      <c r="T1940" s="231"/>
      <c r="U1940" s="231"/>
      <c r="V1940" s="231"/>
      <c r="W1940" s="231"/>
      <c r="X1940" s="227"/>
      <c r="Y1940" s="232"/>
      <c r="Z1940" s="232"/>
      <c r="AA1940" s="232"/>
      <c r="AB1940" s="232"/>
      <c r="AC1940" s="227"/>
      <c r="AD1940" s="227"/>
      <c r="AE1940" s="231"/>
      <c r="AF1940" s="227"/>
      <c r="AG1940" s="232"/>
      <c r="AH1940" s="232"/>
      <c r="AI1940" s="232"/>
      <c r="AJ1940" s="232"/>
      <c r="AK1940" s="232"/>
      <c r="AL1940" s="232"/>
      <c r="AM1940" s="232"/>
      <c r="AN1940" s="232"/>
      <c r="AO1940" s="231"/>
      <c r="AP1940" s="231"/>
      <c r="AQ1940" s="227"/>
      <c r="AR1940" s="231"/>
      <c r="AS1940" s="227"/>
      <c r="AT1940" s="227"/>
      <c r="AU1940" s="227"/>
      <c r="AV1940" s="227"/>
    </row>
    <row r="1941">
      <c r="A1941" s="227"/>
      <c r="B1941" s="232"/>
      <c r="C1941" s="227"/>
      <c r="D1941" s="227"/>
      <c r="E1941" s="231"/>
      <c r="F1941" s="232"/>
      <c r="G1941" s="227"/>
      <c r="H1941" s="227"/>
      <c r="I1941" s="227"/>
      <c r="J1941" s="227"/>
      <c r="K1941" s="227"/>
      <c r="L1941" s="232"/>
      <c r="M1941" s="232"/>
      <c r="N1941" s="227"/>
      <c r="O1941" s="227"/>
      <c r="P1941" s="231"/>
      <c r="Q1941" s="227"/>
      <c r="R1941" s="231"/>
      <c r="S1941" s="231"/>
      <c r="T1941" s="231"/>
      <c r="U1941" s="231"/>
      <c r="V1941" s="231"/>
      <c r="W1941" s="231"/>
      <c r="X1941" s="227"/>
      <c r="Y1941" s="232"/>
      <c r="Z1941" s="232"/>
      <c r="AA1941" s="232"/>
      <c r="AB1941" s="232"/>
      <c r="AC1941" s="227"/>
      <c r="AD1941" s="227"/>
      <c r="AE1941" s="231"/>
      <c r="AF1941" s="227"/>
      <c r="AG1941" s="232"/>
      <c r="AH1941" s="232"/>
      <c r="AI1941" s="232"/>
      <c r="AJ1941" s="232"/>
      <c r="AK1941" s="232"/>
      <c r="AL1941" s="232"/>
      <c r="AM1941" s="232"/>
      <c r="AN1941" s="232"/>
      <c r="AO1941" s="231"/>
      <c r="AP1941" s="231"/>
      <c r="AQ1941" s="227"/>
      <c r="AR1941" s="231"/>
      <c r="AS1941" s="227"/>
      <c r="AT1941" s="227"/>
      <c r="AU1941" s="227"/>
      <c r="AV1941" s="227"/>
    </row>
    <row r="1942">
      <c r="A1942" s="227"/>
      <c r="B1942" s="232"/>
      <c r="C1942" s="227"/>
      <c r="D1942" s="227"/>
      <c r="E1942" s="231"/>
      <c r="F1942" s="232"/>
      <c r="G1942" s="227"/>
      <c r="H1942" s="227"/>
      <c r="I1942" s="227"/>
      <c r="J1942" s="227"/>
      <c r="K1942" s="227"/>
      <c r="L1942" s="232"/>
      <c r="M1942" s="232"/>
      <c r="N1942" s="227"/>
      <c r="O1942" s="227"/>
      <c r="P1942" s="231"/>
      <c r="Q1942" s="227"/>
      <c r="R1942" s="231"/>
      <c r="S1942" s="231"/>
      <c r="T1942" s="231"/>
      <c r="U1942" s="231"/>
      <c r="V1942" s="231"/>
      <c r="W1942" s="231"/>
      <c r="X1942" s="227"/>
      <c r="Y1942" s="232"/>
      <c r="Z1942" s="232"/>
      <c r="AA1942" s="232"/>
      <c r="AB1942" s="232"/>
      <c r="AC1942" s="227"/>
      <c r="AD1942" s="227"/>
      <c r="AE1942" s="231"/>
      <c r="AF1942" s="227"/>
      <c r="AG1942" s="232"/>
      <c r="AH1942" s="232"/>
      <c r="AI1942" s="232"/>
      <c r="AJ1942" s="232"/>
      <c r="AK1942" s="232"/>
      <c r="AL1942" s="232"/>
      <c r="AM1942" s="232"/>
      <c r="AN1942" s="232"/>
      <c r="AO1942" s="231"/>
      <c r="AP1942" s="231"/>
      <c r="AQ1942" s="227"/>
      <c r="AR1942" s="231"/>
      <c r="AS1942" s="227"/>
      <c r="AT1942" s="227"/>
      <c r="AU1942" s="227"/>
      <c r="AV1942" s="227"/>
    </row>
    <row r="1943">
      <c r="A1943" s="227"/>
      <c r="B1943" s="232"/>
      <c r="C1943" s="227"/>
      <c r="D1943" s="227"/>
      <c r="E1943" s="231"/>
      <c r="F1943" s="232"/>
      <c r="G1943" s="227"/>
      <c r="H1943" s="227"/>
      <c r="I1943" s="227"/>
      <c r="J1943" s="227"/>
      <c r="K1943" s="227"/>
      <c r="L1943" s="232"/>
      <c r="M1943" s="232"/>
      <c r="N1943" s="227"/>
      <c r="O1943" s="227"/>
      <c r="P1943" s="231"/>
      <c r="Q1943" s="227"/>
      <c r="R1943" s="231"/>
      <c r="S1943" s="231"/>
      <c r="T1943" s="231"/>
      <c r="U1943" s="231"/>
      <c r="V1943" s="231"/>
      <c r="W1943" s="231"/>
      <c r="X1943" s="227"/>
      <c r="Y1943" s="232"/>
      <c r="Z1943" s="232"/>
      <c r="AA1943" s="232"/>
      <c r="AB1943" s="232"/>
      <c r="AC1943" s="227"/>
      <c r="AD1943" s="227"/>
      <c r="AE1943" s="231"/>
      <c r="AF1943" s="227"/>
      <c r="AG1943" s="232"/>
      <c r="AH1943" s="232"/>
      <c r="AI1943" s="232"/>
      <c r="AJ1943" s="232"/>
      <c r="AK1943" s="232"/>
      <c r="AL1943" s="232"/>
      <c r="AM1943" s="232"/>
      <c r="AN1943" s="232"/>
      <c r="AO1943" s="231"/>
      <c r="AP1943" s="231"/>
      <c r="AQ1943" s="227"/>
      <c r="AR1943" s="231"/>
      <c r="AS1943" s="227"/>
      <c r="AT1943" s="227"/>
      <c r="AU1943" s="227"/>
      <c r="AV1943" s="227"/>
    </row>
    <row r="1944">
      <c r="A1944" s="227"/>
      <c r="B1944" s="232"/>
      <c r="C1944" s="227"/>
      <c r="D1944" s="227"/>
      <c r="E1944" s="231"/>
      <c r="F1944" s="232"/>
      <c r="G1944" s="227"/>
      <c r="H1944" s="227"/>
      <c r="I1944" s="227"/>
      <c r="J1944" s="227"/>
      <c r="K1944" s="227"/>
      <c r="L1944" s="232"/>
      <c r="M1944" s="232"/>
      <c r="N1944" s="227"/>
      <c r="O1944" s="227"/>
      <c r="P1944" s="231"/>
      <c r="Q1944" s="227"/>
      <c r="R1944" s="231"/>
      <c r="S1944" s="231"/>
      <c r="T1944" s="231"/>
      <c r="U1944" s="231"/>
      <c r="V1944" s="231"/>
      <c r="W1944" s="231"/>
      <c r="X1944" s="227"/>
      <c r="Y1944" s="232"/>
      <c r="Z1944" s="232"/>
      <c r="AA1944" s="232"/>
      <c r="AB1944" s="232"/>
      <c r="AC1944" s="227"/>
      <c r="AD1944" s="227"/>
      <c r="AE1944" s="231"/>
      <c r="AF1944" s="227"/>
      <c r="AG1944" s="232"/>
      <c r="AH1944" s="232"/>
      <c r="AI1944" s="232"/>
      <c r="AJ1944" s="232"/>
      <c r="AK1944" s="232"/>
      <c r="AL1944" s="232"/>
      <c r="AM1944" s="232"/>
      <c r="AN1944" s="232"/>
      <c r="AO1944" s="231"/>
      <c r="AP1944" s="231"/>
      <c r="AQ1944" s="227"/>
      <c r="AR1944" s="231"/>
      <c r="AS1944" s="227"/>
      <c r="AT1944" s="227"/>
      <c r="AU1944" s="227"/>
      <c r="AV1944" s="227"/>
    </row>
    <row r="1945">
      <c r="A1945" s="227"/>
      <c r="B1945" s="232"/>
      <c r="C1945" s="227"/>
      <c r="D1945" s="227"/>
      <c r="E1945" s="231"/>
      <c r="F1945" s="232"/>
      <c r="G1945" s="227"/>
      <c r="H1945" s="227"/>
      <c r="I1945" s="227"/>
      <c r="J1945" s="227"/>
      <c r="K1945" s="227"/>
      <c r="L1945" s="232"/>
      <c r="M1945" s="232"/>
      <c r="N1945" s="227"/>
      <c r="O1945" s="227"/>
      <c r="P1945" s="231"/>
      <c r="Q1945" s="227"/>
      <c r="R1945" s="231"/>
      <c r="S1945" s="231"/>
      <c r="T1945" s="231"/>
      <c r="U1945" s="231"/>
      <c r="V1945" s="231"/>
      <c r="W1945" s="231"/>
      <c r="X1945" s="227"/>
      <c r="Y1945" s="232"/>
      <c r="Z1945" s="232"/>
      <c r="AA1945" s="232"/>
      <c r="AB1945" s="232"/>
      <c r="AC1945" s="227"/>
      <c r="AD1945" s="227"/>
      <c r="AE1945" s="231"/>
      <c r="AF1945" s="227"/>
      <c r="AG1945" s="232"/>
      <c r="AH1945" s="232"/>
      <c r="AI1945" s="232"/>
      <c r="AJ1945" s="232"/>
      <c r="AK1945" s="232"/>
      <c r="AL1945" s="232"/>
      <c r="AM1945" s="232"/>
      <c r="AN1945" s="232"/>
      <c r="AO1945" s="231"/>
      <c r="AP1945" s="231"/>
      <c r="AQ1945" s="227"/>
      <c r="AR1945" s="231"/>
      <c r="AS1945" s="227"/>
      <c r="AT1945" s="227"/>
      <c r="AU1945" s="227"/>
      <c r="AV1945" s="227"/>
    </row>
    <row r="1946">
      <c r="A1946" s="227"/>
      <c r="B1946" s="232"/>
      <c r="C1946" s="227"/>
      <c r="D1946" s="227"/>
      <c r="E1946" s="231"/>
      <c r="F1946" s="232"/>
      <c r="G1946" s="227"/>
      <c r="H1946" s="227"/>
      <c r="I1946" s="227"/>
      <c r="J1946" s="227"/>
      <c r="K1946" s="227"/>
      <c r="L1946" s="232"/>
      <c r="M1946" s="232"/>
      <c r="N1946" s="227"/>
      <c r="O1946" s="227"/>
      <c r="P1946" s="231"/>
      <c r="Q1946" s="227"/>
      <c r="R1946" s="231"/>
      <c r="S1946" s="231"/>
      <c r="T1946" s="231"/>
      <c r="U1946" s="231"/>
      <c r="V1946" s="231"/>
      <c r="W1946" s="231"/>
      <c r="X1946" s="227"/>
      <c r="Y1946" s="232"/>
      <c r="Z1946" s="232"/>
      <c r="AA1946" s="232"/>
      <c r="AB1946" s="232"/>
      <c r="AC1946" s="227"/>
      <c r="AD1946" s="227"/>
      <c r="AE1946" s="231"/>
      <c r="AF1946" s="227"/>
      <c r="AG1946" s="232"/>
      <c r="AH1946" s="232"/>
      <c r="AI1946" s="232"/>
      <c r="AJ1946" s="232"/>
      <c r="AK1946" s="232"/>
      <c r="AL1946" s="232"/>
      <c r="AM1946" s="232"/>
      <c r="AN1946" s="232"/>
      <c r="AO1946" s="231"/>
      <c r="AP1946" s="231"/>
      <c r="AQ1946" s="227"/>
      <c r="AR1946" s="231"/>
      <c r="AS1946" s="227"/>
      <c r="AT1946" s="227"/>
      <c r="AU1946" s="227"/>
      <c r="AV1946" s="227"/>
    </row>
    <row r="1947">
      <c r="A1947" s="227"/>
      <c r="B1947" s="232"/>
      <c r="C1947" s="227"/>
      <c r="D1947" s="227"/>
      <c r="E1947" s="231"/>
      <c r="F1947" s="232"/>
      <c r="G1947" s="227"/>
      <c r="H1947" s="227"/>
      <c r="I1947" s="227"/>
      <c r="J1947" s="227"/>
      <c r="K1947" s="227"/>
      <c r="L1947" s="232"/>
      <c r="M1947" s="232"/>
      <c r="N1947" s="227"/>
      <c r="O1947" s="227"/>
      <c r="P1947" s="231"/>
      <c r="Q1947" s="227"/>
      <c r="R1947" s="231"/>
      <c r="S1947" s="231"/>
      <c r="T1947" s="231"/>
      <c r="U1947" s="231"/>
      <c r="V1947" s="231"/>
      <c r="W1947" s="231"/>
      <c r="X1947" s="227"/>
      <c r="Y1947" s="232"/>
      <c r="Z1947" s="232"/>
      <c r="AA1947" s="232"/>
      <c r="AB1947" s="232"/>
      <c r="AC1947" s="227"/>
      <c r="AD1947" s="227"/>
      <c r="AE1947" s="231"/>
      <c r="AF1947" s="227"/>
      <c r="AG1947" s="232"/>
      <c r="AH1947" s="232"/>
      <c r="AI1947" s="232"/>
      <c r="AJ1947" s="232"/>
      <c r="AK1947" s="232"/>
      <c r="AL1947" s="232"/>
      <c r="AM1947" s="232"/>
      <c r="AN1947" s="232"/>
      <c r="AO1947" s="231"/>
      <c r="AP1947" s="231"/>
      <c r="AQ1947" s="227"/>
      <c r="AR1947" s="231"/>
      <c r="AS1947" s="227"/>
      <c r="AT1947" s="227"/>
      <c r="AU1947" s="227"/>
      <c r="AV1947" s="227"/>
    </row>
    <row r="1948">
      <c r="A1948" s="227"/>
      <c r="B1948" s="232"/>
      <c r="C1948" s="227"/>
      <c r="D1948" s="227"/>
      <c r="E1948" s="231"/>
      <c r="F1948" s="232"/>
      <c r="G1948" s="227"/>
      <c r="H1948" s="227"/>
      <c r="I1948" s="227"/>
      <c r="J1948" s="227"/>
      <c r="K1948" s="227"/>
      <c r="L1948" s="232"/>
      <c r="M1948" s="232"/>
      <c r="N1948" s="227"/>
      <c r="O1948" s="227"/>
      <c r="P1948" s="231"/>
      <c r="Q1948" s="227"/>
      <c r="R1948" s="231"/>
      <c r="S1948" s="231"/>
      <c r="T1948" s="231"/>
      <c r="U1948" s="231"/>
      <c r="V1948" s="231"/>
      <c r="W1948" s="231"/>
      <c r="X1948" s="227"/>
      <c r="Y1948" s="232"/>
      <c r="Z1948" s="232"/>
      <c r="AA1948" s="232"/>
      <c r="AB1948" s="232"/>
      <c r="AC1948" s="227"/>
      <c r="AD1948" s="227"/>
      <c r="AE1948" s="231"/>
      <c r="AF1948" s="227"/>
      <c r="AG1948" s="232"/>
      <c r="AH1948" s="232"/>
      <c r="AI1948" s="232"/>
      <c r="AJ1948" s="232"/>
      <c r="AK1948" s="232"/>
      <c r="AL1948" s="232"/>
      <c r="AM1948" s="232"/>
      <c r="AN1948" s="232"/>
      <c r="AO1948" s="231"/>
      <c r="AP1948" s="231"/>
      <c r="AQ1948" s="227"/>
      <c r="AR1948" s="231"/>
      <c r="AS1948" s="227"/>
      <c r="AT1948" s="227"/>
      <c r="AU1948" s="227"/>
      <c r="AV1948" s="227"/>
    </row>
    <row r="1949">
      <c r="A1949" s="227"/>
      <c r="B1949" s="232"/>
      <c r="C1949" s="227"/>
      <c r="D1949" s="227"/>
      <c r="E1949" s="231"/>
      <c r="F1949" s="232"/>
      <c r="G1949" s="227"/>
      <c r="H1949" s="227"/>
      <c r="I1949" s="227"/>
      <c r="J1949" s="227"/>
      <c r="K1949" s="227"/>
      <c r="L1949" s="232"/>
      <c r="M1949" s="232"/>
      <c r="N1949" s="227"/>
      <c r="O1949" s="227"/>
      <c r="P1949" s="231"/>
      <c r="Q1949" s="227"/>
      <c r="R1949" s="231"/>
      <c r="S1949" s="231"/>
      <c r="T1949" s="231"/>
      <c r="U1949" s="231"/>
      <c r="V1949" s="231"/>
      <c r="W1949" s="231"/>
      <c r="X1949" s="227"/>
      <c r="Y1949" s="232"/>
      <c r="Z1949" s="232"/>
      <c r="AA1949" s="232"/>
      <c r="AB1949" s="232"/>
      <c r="AC1949" s="227"/>
      <c r="AD1949" s="227"/>
      <c r="AE1949" s="231"/>
      <c r="AF1949" s="227"/>
      <c r="AG1949" s="232"/>
      <c r="AH1949" s="232"/>
      <c r="AI1949" s="232"/>
      <c r="AJ1949" s="232"/>
      <c r="AK1949" s="232"/>
      <c r="AL1949" s="232"/>
      <c r="AM1949" s="232"/>
      <c r="AN1949" s="232"/>
      <c r="AO1949" s="231"/>
      <c r="AP1949" s="231"/>
      <c r="AQ1949" s="227"/>
      <c r="AR1949" s="231"/>
      <c r="AS1949" s="227"/>
      <c r="AT1949" s="227"/>
      <c r="AU1949" s="227"/>
      <c r="AV1949" s="227"/>
    </row>
    <row r="1950">
      <c r="A1950" s="227"/>
      <c r="B1950" s="232"/>
      <c r="C1950" s="227"/>
      <c r="D1950" s="227"/>
      <c r="E1950" s="231"/>
      <c r="F1950" s="232"/>
      <c r="G1950" s="227"/>
      <c r="H1950" s="227"/>
      <c r="I1950" s="227"/>
      <c r="J1950" s="227"/>
      <c r="K1950" s="227"/>
      <c r="L1950" s="232"/>
      <c r="M1950" s="232"/>
      <c r="N1950" s="227"/>
      <c r="O1950" s="227"/>
      <c r="P1950" s="231"/>
      <c r="Q1950" s="227"/>
      <c r="R1950" s="231"/>
      <c r="S1950" s="231"/>
      <c r="T1950" s="231"/>
      <c r="U1950" s="231"/>
      <c r="V1950" s="231"/>
      <c r="W1950" s="231"/>
      <c r="X1950" s="227"/>
      <c r="Y1950" s="232"/>
      <c r="Z1950" s="232"/>
      <c r="AA1950" s="232"/>
      <c r="AB1950" s="232"/>
      <c r="AC1950" s="227"/>
      <c r="AD1950" s="227"/>
      <c r="AE1950" s="231"/>
      <c r="AF1950" s="227"/>
      <c r="AG1950" s="232"/>
      <c r="AH1950" s="232"/>
      <c r="AI1950" s="232"/>
      <c r="AJ1950" s="232"/>
      <c r="AK1950" s="232"/>
      <c r="AL1950" s="232"/>
      <c r="AM1950" s="232"/>
      <c r="AN1950" s="232"/>
      <c r="AO1950" s="231"/>
      <c r="AP1950" s="231"/>
      <c r="AQ1950" s="227"/>
      <c r="AR1950" s="231"/>
      <c r="AS1950" s="227"/>
      <c r="AT1950" s="227"/>
      <c r="AU1950" s="227"/>
      <c r="AV1950" s="227"/>
    </row>
    <row r="1951">
      <c r="A1951" s="227"/>
      <c r="B1951" s="232"/>
      <c r="C1951" s="227"/>
      <c r="D1951" s="227"/>
      <c r="E1951" s="231"/>
      <c r="F1951" s="232"/>
      <c r="G1951" s="227"/>
      <c r="H1951" s="227"/>
      <c r="I1951" s="227"/>
      <c r="J1951" s="227"/>
      <c r="K1951" s="227"/>
      <c r="L1951" s="232"/>
      <c r="M1951" s="232"/>
      <c r="N1951" s="227"/>
      <c r="O1951" s="227"/>
      <c r="P1951" s="231"/>
      <c r="Q1951" s="227"/>
      <c r="R1951" s="231"/>
      <c r="S1951" s="231"/>
      <c r="T1951" s="231"/>
      <c r="U1951" s="231"/>
      <c r="V1951" s="231"/>
      <c r="W1951" s="231"/>
      <c r="X1951" s="227"/>
      <c r="Y1951" s="232"/>
      <c r="Z1951" s="232"/>
      <c r="AA1951" s="232"/>
      <c r="AB1951" s="232"/>
      <c r="AC1951" s="227"/>
      <c r="AD1951" s="227"/>
      <c r="AE1951" s="231"/>
      <c r="AF1951" s="227"/>
      <c r="AG1951" s="232"/>
      <c r="AH1951" s="232"/>
      <c r="AI1951" s="232"/>
      <c r="AJ1951" s="232"/>
      <c r="AK1951" s="232"/>
      <c r="AL1951" s="232"/>
      <c r="AM1951" s="232"/>
      <c r="AN1951" s="232"/>
      <c r="AO1951" s="231"/>
      <c r="AP1951" s="231"/>
      <c r="AQ1951" s="227"/>
      <c r="AR1951" s="231"/>
      <c r="AS1951" s="227"/>
      <c r="AT1951" s="227"/>
      <c r="AU1951" s="227"/>
      <c r="AV1951" s="227"/>
    </row>
    <row r="1952">
      <c r="A1952" s="227"/>
      <c r="B1952" s="232"/>
      <c r="C1952" s="227"/>
      <c r="D1952" s="227"/>
      <c r="E1952" s="231"/>
      <c r="F1952" s="232"/>
      <c r="G1952" s="227"/>
      <c r="H1952" s="227"/>
      <c r="I1952" s="227"/>
      <c r="J1952" s="227"/>
      <c r="K1952" s="227"/>
      <c r="L1952" s="232"/>
      <c r="M1952" s="232"/>
      <c r="N1952" s="227"/>
      <c r="O1952" s="227"/>
      <c r="P1952" s="231"/>
      <c r="Q1952" s="227"/>
      <c r="R1952" s="231"/>
      <c r="S1952" s="231"/>
      <c r="T1952" s="231"/>
      <c r="U1952" s="231"/>
      <c r="V1952" s="231"/>
      <c r="W1952" s="231"/>
      <c r="X1952" s="227"/>
      <c r="Y1952" s="232"/>
      <c r="Z1952" s="232"/>
      <c r="AA1952" s="232"/>
      <c r="AB1952" s="232"/>
      <c r="AC1952" s="227"/>
      <c r="AD1952" s="227"/>
      <c r="AE1952" s="231"/>
      <c r="AF1952" s="227"/>
      <c r="AG1952" s="232"/>
      <c r="AH1952" s="232"/>
      <c r="AI1952" s="232"/>
      <c r="AJ1952" s="232"/>
      <c r="AK1952" s="232"/>
      <c r="AL1952" s="232"/>
      <c r="AM1952" s="232"/>
      <c r="AN1952" s="232"/>
      <c r="AO1952" s="231"/>
      <c r="AP1952" s="231"/>
      <c r="AQ1952" s="227"/>
      <c r="AR1952" s="231"/>
      <c r="AS1952" s="227"/>
      <c r="AT1952" s="227"/>
      <c r="AU1952" s="227"/>
      <c r="AV1952" s="227"/>
    </row>
    <row r="1953">
      <c r="A1953" s="227"/>
      <c r="B1953" s="232"/>
      <c r="C1953" s="227"/>
      <c r="D1953" s="227"/>
      <c r="E1953" s="231"/>
      <c r="F1953" s="232"/>
      <c r="G1953" s="227"/>
      <c r="H1953" s="227"/>
      <c r="I1953" s="227"/>
      <c r="J1953" s="227"/>
      <c r="K1953" s="227"/>
      <c r="L1953" s="232"/>
      <c r="M1953" s="232"/>
      <c r="N1953" s="227"/>
      <c r="O1953" s="227"/>
      <c r="P1953" s="231"/>
      <c r="Q1953" s="227"/>
      <c r="R1953" s="231"/>
      <c r="S1953" s="231"/>
      <c r="T1953" s="231"/>
      <c r="U1953" s="231"/>
      <c r="V1953" s="231"/>
      <c r="W1953" s="231"/>
      <c r="X1953" s="227"/>
      <c r="Y1953" s="232"/>
      <c r="Z1953" s="232"/>
      <c r="AA1953" s="232"/>
      <c r="AB1953" s="232"/>
      <c r="AC1953" s="227"/>
      <c r="AD1953" s="227"/>
      <c r="AE1953" s="231"/>
      <c r="AF1953" s="227"/>
      <c r="AG1953" s="232"/>
      <c r="AH1953" s="232"/>
      <c r="AI1953" s="232"/>
      <c r="AJ1953" s="232"/>
      <c r="AK1953" s="232"/>
      <c r="AL1953" s="232"/>
      <c r="AM1953" s="232"/>
      <c r="AN1953" s="232"/>
      <c r="AO1953" s="231"/>
      <c r="AP1953" s="231"/>
      <c r="AQ1953" s="227"/>
      <c r="AR1953" s="231"/>
      <c r="AS1953" s="227"/>
      <c r="AT1953" s="227"/>
      <c r="AU1953" s="227"/>
      <c r="AV1953" s="227"/>
    </row>
    <row r="1954">
      <c r="A1954" s="227"/>
      <c r="B1954" s="232"/>
      <c r="C1954" s="227"/>
      <c r="D1954" s="227"/>
      <c r="E1954" s="231"/>
      <c r="F1954" s="232"/>
      <c r="G1954" s="227"/>
      <c r="H1954" s="227"/>
      <c r="I1954" s="227"/>
      <c r="J1954" s="227"/>
      <c r="K1954" s="227"/>
      <c r="L1954" s="232"/>
      <c r="M1954" s="232"/>
      <c r="N1954" s="227"/>
      <c r="O1954" s="227"/>
      <c r="P1954" s="231"/>
      <c r="Q1954" s="227"/>
      <c r="R1954" s="231"/>
      <c r="S1954" s="231"/>
      <c r="T1954" s="231"/>
      <c r="U1954" s="231"/>
      <c r="V1954" s="231"/>
      <c r="W1954" s="231"/>
      <c r="X1954" s="227"/>
      <c r="Y1954" s="232"/>
      <c r="Z1954" s="232"/>
      <c r="AA1954" s="232"/>
      <c r="AB1954" s="232"/>
      <c r="AC1954" s="227"/>
      <c r="AD1954" s="227"/>
      <c r="AE1954" s="231"/>
      <c r="AF1954" s="227"/>
      <c r="AG1954" s="232"/>
      <c r="AH1954" s="232"/>
      <c r="AI1954" s="232"/>
      <c r="AJ1954" s="232"/>
      <c r="AK1954" s="232"/>
      <c r="AL1954" s="232"/>
      <c r="AM1954" s="232"/>
      <c r="AN1954" s="232"/>
      <c r="AO1954" s="231"/>
      <c r="AP1954" s="231"/>
      <c r="AQ1954" s="227"/>
      <c r="AR1954" s="231"/>
      <c r="AS1954" s="227"/>
      <c r="AT1954" s="227"/>
      <c r="AU1954" s="227"/>
      <c r="AV1954" s="227"/>
    </row>
    <row r="1955">
      <c r="A1955" s="227"/>
      <c r="B1955" s="232"/>
      <c r="C1955" s="227"/>
      <c r="D1955" s="227"/>
      <c r="E1955" s="231"/>
      <c r="F1955" s="232"/>
      <c r="G1955" s="227"/>
      <c r="H1955" s="227"/>
      <c r="I1955" s="227"/>
      <c r="J1955" s="227"/>
      <c r="K1955" s="227"/>
      <c r="L1955" s="232"/>
      <c r="M1955" s="232"/>
      <c r="N1955" s="227"/>
      <c r="O1955" s="227"/>
      <c r="P1955" s="231"/>
      <c r="Q1955" s="227"/>
      <c r="R1955" s="231"/>
      <c r="S1955" s="231"/>
      <c r="T1955" s="231"/>
      <c r="U1955" s="231"/>
      <c r="V1955" s="231"/>
      <c r="W1955" s="231"/>
      <c r="X1955" s="227"/>
      <c r="Y1955" s="232"/>
      <c r="Z1955" s="232"/>
      <c r="AA1955" s="232"/>
      <c r="AB1955" s="232"/>
      <c r="AC1955" s="227"/>
      <c r="AD1955" s="227"/>
      <c r="AE1955" s="231"/>
      <c r="AF1955" s="227"/>
      <c r="AG1955" s="232"/>
      <c r="AH1955" s="232"/>
      <c r="AI1955" s="232"/>
      <c r="AJ1955" s="232"/>
      <c r="AK1955" s="232"/>
      <c r="AL1955" s="232"/>
      <c r="AM1955" s="232"/>
      <c r="AN1955" s="232"/>
      <c r="AO1955" s="231"/>
      <c r="AP1955" s="231"/>
      <c r="AQ1955" s="227"/>
      <c r="AR1955" s="231"/>
      <c r="AS1955" s="227"/>
      <c r="AT1955" s="227"/>
      <c r="AU1955" s="227"/>
      <c r="AV1955" s="227"/>
    </row>
    <row r="1956">
      <c r="A1956" s="227"/>
      <c r="B1956" s="232"/>
      <c r="C1956" s="227"/>
      <c r="D1956" s="227"/>
      <c r="E1956" s="231"/>
      <c r="F1956" s="232"/>
      <c r="G1956" s="227"/>
      <c r="H1956" s="227"/>
      <c r="I1956" s="227"/>
      <c r="J1956" s="227"/>
      <c r="K1956" s="227"/>
      <c r="L1956" s="232"/>
      <c r="M1956" s="232"/>
      <c r="N1956" s="227"/>
      <c r="O1956" s="227"/>
      <c r="P1956" s="231"/>
      <c r="Q1956" s="227"/>
      <c r="R1956" s="231"/>
      <c r="S1956" s="231"/>
      <c r="T1956" s="231"/>
      <c r="U1956" s="231"/>
      <c r="V1956" s="231"/>
      <c r="W1956" s="231"/>
      <c r="X1956" s="227"/>
      <c r="Y1956" s="232"/>
      <c r="Z1956" s="232"/>
      <c r="AA1956" s="232"/>
      <c r="AB1956" s="232"/>
      <c r="AC1956" s="227"/>
      <c r="AD1956" s="227"/>
      <c r="AE1956" s="231"/>
      <c r="AF1956" s="227"/>
      <c r="AG1956" s="232"/>
      <c r="AH1956" s="232"/>
      <c r="AI1956" s="232"/>
      <c r="AJ1956" s="232"/>
      <c r="AK1956" s="232"/>
      <c r="AL1956" s="232"/>
      <c r="AM1956" s="232"/>
      <c r="AN1956" s="232"/>
      <c r="AO1956" s="231"/>
      <c r="AP1956" s="231"/>
      <c r="AQ1956" s="227"/>
      <c r="AR1956" s="231"/>
      <c r="AS1956" s="227"/>
      <c r="AT1956" s="227"/>
      <c r="AU1956" s="227"/>
      <c r="AV1956" s="227"/>
    </row>
    <row r="1957">
      <c r="A1957" s="227"/>
      <c r="B1957" s="232"/>
      <c r="C1957" s="227"/>
      <c r="D1957" s="227"/>
      <c r="E1957" s="231"/>
      <c r="F1957" s="232"/>
      <c r="G1957" s="227"/>
      <c r="H1957" s="227"/>
      <c r="I1957" s="227"/>
      <c r="J1957" s="227"/>
      <c r="K1957" s="227"/>
      <c r="L1957" s="232"/>
      <c r="M1957" s="232"/>
      <c r="N1957" s="227"/>
      <c r="O1957" s="227"/>
      <c r="P1957" s="231"/>
      <c r="Q1957" s="227"/>
      <c r="R1957" s="231"/>
      <c r="S1957" s="231"/>
      <c r="T1957" s="231"/>
      <c r="U1957" s="231"/>
      <c r="V1957" s="231"/>
      <c r="W1957" s="231"/>
      <c r="X1957" s="227"/>
      <c r="Y1957" s="232"/>
      <c r="Z1957" s="232"/>
      <c r="AA1957" s="232"/>
      <c r="AB1957" s="232"/>
      <c r="AC1957" s="227"/>
      <c r="AD1957" s="227"/>
      <c r="AE1957" s="231"/>
      <c r="AF1957" s="227"/>
      <c r="AG1957" s="232"/>
      <c r="AH1957" s="232"/>
      <c r="AI1957" s="232"/>
      <c r="AJ1957" s="232"/>
      <c r="AK1957" s="232"/>
      <c r="AL1957" s="232"/>
      <c r="AM1957" s="232"/>
      <c r="AN1957" s="232"/>
      <c r="AO1957" s="231"/>
      <c r="AP1957" s="231"/>
      <c r="AQ1957" s="227"/>
      <c r="AR1957" s="231"/>
      <c r="AS1957" s="227"/>
      <c r="AT1957" s="227"/>
      <c r="AU1957" s="227"/>
      <c r="AV1957" s="227"/>
    </row>
    <row r="1958">
      <c r="A1958" s="227"/>
      <c r="B1958" s="232"/>
      <c r="C1958" s="227"/>
      <c r="D1958" s="227"/>
      <c r="E1958" s="231"/>
      <c r="F1958" s="232"/>
      <c r="G1958" s="227"/>
      <c r="H1958" s="227"/>
      <c r="I1958" s="227"/>
      <c r="J1958" s="227"/>
      <c r="K1958" s="227"/>
      <c r="L1958" s="232"/>
      <c r="M1958" s="232"/>
      <c r="N1958" s="227"/>
      <c r="O1958" s="227"/>
      <c r="P1958" s="231"/>
      <c r="Q1958" s="227"/>
      <c r="R1958" s="231"/>
      <c r="S1958" s="231"/>
      <c r="T1958" s="231"/>
      <c r="U1958" s="231"/>
      <c r="V1958" s="231"/>
      <c r="W1958" s="231"/>
      <c r="X1958" s="227"/>
      <c r="Y1958" s="232"/>
      <c r="Z1958" s="232"/>
      <c r="AA1958" s="232"/>
      <c r="AB1958" s="232"/>
      <c r="AC1958" s="227"/>
      <c r="AD1958" s="227"/>
      <c r="AE1958" s="231"/>
      <c r="AF1958" s="227"/>
      <c r="AG1958" s="232"/>
      <c r="AH1958" s="232"/>
      <c r="AI1958" s="232"/>
      <c r="AJ1958" s="232"/>
      <c r="AK1958" s="232"/>
      <c r="AL1958" s="232"/>
      <c r="AM1958" s="232"/>
      <c r="AN1958" s="232"/>
      <c r="AO1958" s="231"/>
      <c r="AP1958" s="231"/>
      <c r="AQ1958" s="227"/>
      <c r="AR1958" s="231"/>
      <c r="AS1958" s="227"/>
      <c r="AT1958" s="227"/>
      <c r="AU1958" s="227"/>
      <c r="AV1958" s="227"/>
    </row>
    <row r="1959">
      <c r="A1959" s="227"/>
      <c r="B1959" s="232"/>
      <c r="C1959" s="227"/>
      <c r="D1959" s="227"/>
      <c r="E1959" s="231"/>
      <c r="F1959" s="232"/>
      <c r="G1959" s="227"/>
      <c r="H1959" s="227"/>
      <c r="I1959" s="227"/>
      <c r="J1959" s="227"/>
      <c r="K1959" s="227"/>
      <c r="L1959" s="232"/>
      <c r="M1959" s="232"/>
      <c r="N1959" s="227"/>
      <c r="O1959" s="227"/>
      <c r="P1959" s="231"/>
      <c r="Q1959" s="227"/>
      <c r="R1959" s="231"/>
      <c r="S1959" s="231"/>
      <c r="T1959" s="231"/>
      <c r="U1959" s="231"/>
      <c r="V1959" s="231"/>
      <c r="W1959" s="231"/>
      <c r="X1959" s="227"/>
      <c r="Y1959" s="232"/>
      <c r="Z1959" s="232"/>
      <c r="AA1959" s="232"/>
      <c r="AB1959" s="232"/>
      <c r="AC1959" s="227"/>
      <c r="AD1959" s="227"/>
      <c r="AE1959" s="231"/>
      <c r="AF1959" s="227"/>
      <c r="AG1959" s="232"/>
      <c r="AH1959" s="232"/>
      <c r="AI1959" s="232"/>
      <c r="AJ1959" s="232"/>
      <c r="AK1959" s="232"/>
      <c r="AL1959" s="232"/>
      <c r="AM1959" s="232"/>
      <c r="AN1959" s="232"/>
      <c r="AO1959" s="231"/>
      <c r="AP1959" s="231"/>
      <c r="AQ1959" s="227"/>
      <c r="AR1959" s="231"/>
      <c r="AS1959" s="227"/>
      <c r="AT1959" s="227"/>
      <c r="AU1959" s="227"/>
      <c r="AV1959" s="227"/>
    </row>
    <row r="1960">
      <c r="A1960" s="227"/>
      <c r="B1960" s="232"/>
      <c r="C1960" s="227"/>
      <c r="D1960" s="227"/>
      <c r="E1960" s="231"/>
      <c r="F1960" s="232"/>
      <c r="G1960" s="227"/>
      <c r="H1960" s="227"/>
      <c r="I1960" s="227"/>
      <c r="J1960" s="227"/>
      <c r="K1960" s="227"/>
      <c r="L1960" s="232"/>
      <c r="M1960" s="232"/>
      <c r="N1960" s="227"/>
      <c r="O1960" s="227"/>
      <c r="P1960" s="231"/>
      <c r="Q1960" s="227"/>
      <c r="R1960" s="231"/>
      <c r="S1960" s="231"/>
      <c r="T1960" s="231"/>
      <c r="U1960" s="231"/>
      <c r="V1960" s="231"/>
      <c r="W1960" s="231"/>
      <c r="X1960" s="227"/>
      <c r="Y1960" s="232"/>
      <c r="Z1960" s="232"/>
      <c r="AA1960" s="232"/>
      <c r="AB1960" s="232"/>
      <c r="AC1960" s="227"/>
      <c r="AD1960" s="227"/>
      <c r="AE1960" s="231"/>
      <c r="AF1960" s="227"/>
      <c r="AG1960" s="232"/>
      <c r="AH1960" s="232"/>
      <c r="AI1960" s="232"/>
      <c r="AJ1960" s="232"/>
      <c r="AK1960" s="232"/>
      <c r="AL1960" s="232"/>
      <c r="AM1960" s="232"/>
      <c r="AN1960" s="232"/>
      <c r="AO1960" s="231"/>
      <c r="AP1960" s="231"/>
      <c r="AQ1960" s="227"/>
      <c r="AR1960" s="231"/>
      <c r="AS1960" s="227"/>
      <c r="AT1960" s="227"/>
      <c r="AU1960" s="227"/>
      <c r="AV1960" s="227"/>
    </row>
    <row r="1961">
      <c r="A1961" s="227"/>
      <c r="B1961" s="232"/>
      <c r="C1961" s="227"/>
      <c r="D1961" s="227"/>
      <c r="E1961" s="231"/>
      <c r="F1961" s="232"/>
      <c r="G1961" s="227"/>
      <c r="H1961" s="227"/>
      <c r="I1961" s="227"/>
      <c r="J1961" s="227"/>
      <c r="K1961" s="227"/>
      <c r="L1961" s="232"/>
      <c r="M1961" s="232"/>
      <c r="N1961" s="227"/>
      <c r="O1961" s="227"/>
      <c r="P1961" s="231"/>
      <c r="Q1961" s="227"/>
      <c r="R1961" s="231"/>
      <c r="S1961" s="231"/>
      <c r="T1961" s="231"/>
      <c r="U1961" s="231"/>
      <c r="V1961" s="231"/>
      <c r="W1961" s="231"/>
      <c r="X1961" s="227"/>
      <c r="Y1961" s="232"/>
      <c r="Z1961" s="232"/>
      <c r="AA1961" s="232"/>
      <c r="AB1961" s="232"/>
      <c r="AC1961" s="227"/>
      <c r="AD1961" s="227"/>
      <c r="AE1961" s="231"/>
      <c r="AF1961" s="227"/>
      <c r="AG1961" s="232"/>
      <c r="AH1961" s="232"/>
      <c r="AI1961" s="232"/>
      <c r="AJ1961" s="232"/>
      <c r="AK1961" s="232"/>
      <c r="AL1961" s="232"/>
      <c r="AM1961" s="232"/>
      <c r="AN1961" s="232"/>
      <c r="AO1961" s="231"/>
      <c r="AP1961" s="231"/>
      <c r="AQ1961" s="227"/>
      <c r="AR1961" s="231"/>
      <c r="AS1961" s="227"/>
      <c r="AT1961" s="227"/>
      <c r="AU1961" s="227"/>
      <c r="AV1961" s="227"/>
    </row>
    <row r="1962">
      <c r="A1962" s="227"/>
      <c r="B1962" s="232"/>
      <c r="C1962" s="227"/>
      <c r="D1962" s="227"/>
      <c r="E1962" s="231"/>
      <c r="F1962" s="232"/>
      <c r="G1962" s="227"/>
      <c r="H1962" s="227"/>
      <c r="I1962" s="227"/>
      <c r="J1962" s="227"/>
      <c r="K1962" s="227"/>
      <c r="L1962" s="232"/>
      <c r="M1962" s="232"/>
      <c r="N1962" s="227"/>
      <c r="O1962" s="227"/>
      <c r="P1962" s="231"/>
      <c r="Q1962" s="227"/>
      <c r="R1962" s="231"/>
      <c r="S1962" s="231"/>
      <c r="T1962" s="231"/>
      <c r="U1962" s="231"/>
      <c r="V1962" s="231"/>
      <c r="W1962" s="231"/>
      <c r="X1962" s="227"/>
      <c r="Y1962" s="232"/>
      <c r="Z1962" s="232"/>
      <c r="AA1962" s="232"/>
      <c r="AB1962" s="232"/>
      <c r="AC1962" s="227"/>
      <c r="AD1962" s="227"/>
      <c r="AE1962" s="231"/>
      <c r="AF1962" s="227"/>
      <c r="AG1962" s="232"/>
      <c r="AH1962" s="232"/>
      <c r="AI1962" s="232"/>
      <c r="AJ1962" s="232"/>
      <c r="AK1962" s="232"/>
      <c r="AL1962" s="232"/>
      <c r="AM1962" s="232"/>
      <c r="AN1962" s="232"/>
      <c r="AO1962" s="231"/>
      <c r="AP1962" s="231"/>
      <c r="AQ1962" s="227"/>
      <c r="AR1962" s="231"/>
      <c r="AS1962" s="227"/>
      <c r="AT1962" s="227"/>
      <c r="AU1962" s="227"/>
      <c r="AV1962" s="227"/>
    </row>
    <row r="1963">
      <c r="A1963" s="227"/>
      <c r="B1963" s="232"/>
      <c r="C1963" s="227"/>
      <c r="D1963" s="227"/>
      <c r="E1963" s="231"/>
      <c r="F1963" s="232"/>
      <c r="G1963" s="227"/>
      <c r="H1963" s="227"/>
      <c r="I1963" s="227"/>
      <c r="J1963" s="227"/>
      <c r="K1963" s="227"/>
      <c r="L1963" s="232"/>
      <c r="M1963" s="232"/>
      <c r="N1963" s="227"/>
      <c r="O1963" s="227"/>
      <c r="P1963" s="231"/>
      <c r="Q1963" s="227"/>
      <c r="R1963" s="231"/>
      <c r="S1963" s="231"/>
      <c r="T1963" s="231"/>
      <c r="U1963" s="231"/>
      <c r="V1963" s="231"/>
      <c r="W1963" s="231"/>
      <c r="X1963" s="227"/>
      <c r="Y1963" s="232"/>
      <c r="Z1963" s="232"/>
      <c r="AA1963" s="232"/>
      <c r="AB1963" s="232"/>
      <c r="AC1963" s="227"/>
      <c r="AD1963" s="227"/>
      <c r="AE1963" s="231"/>
      <c r="AF1963" s="227"/>
      <c r="AG1963" s="232"/>
      <c r="AH1963" s="232"/>
      <c r="AI1963" s="232"/>
      <c r="AJ1963" s="232"/>
      <c r="AK1963" s="232"/>
      <c r="AL1963" s="232"/>
      <c r="AM1963" s="232"/>
      <c r="AN1963" s="232"/>
      <c r="AO1963" s="231"/>
      <c r="AP1963" s="231"/>
      <c r="AQ1963" s="227"/>
      <c r="AR1963" s="231"/>
      <c r="AS1963" s="227"/>
      <c r="AT1963" s="227"/>
      <c r="AU1963" s="227"/>
      <c r="AV1963" s="227"/>
    </row>
    <row r="1964">
      <c r="A1964" s="227"/>
      <c r="B1964" s="232"/>
      <c r="C1964" s="227"/>
      <c r="D1964" s="227"/>
      <c r="E1964" s="231"/>
      <c r="F1964" s="232"/>
      <c r="G1964" s="227"/>
      <c r="H1964" s="227"/>
      <c r="I1964" s="227"/>
      <c r="J1964" s="227"/>
      <c r="K1964" s="227"/>
      <c r="L1964" s="232"/>
      <c r="M1964" s="232"/>
      <c r="N1964" s="227"/>
      <c r="O1964" s="227"/>
      <c r="P1964" s="231"/>
      <c r="Q1964" s="227"/>
      <c r="R1964" s="231"/>
      <c r="S1964" s="231"/>
      <c r="T1964" s="231"/>
      <c r="U1964" s="231"/>
      <c r="V1964" s="231"/>
      <c r="W1964" s="231"/>
      <c r="X1964" s="227"/>
      <c r="Y1964" s="232"/>
      <c r="Z1964" s="232"/>
      <c r="AA1964" s="232"/>
      <c r="AB1964" s="232"/>
      <c r="AC1964" s="227"/>
      <c r="AD1964" s="227"/>
      <c r="AE1964" s="231"/>
      <c r="AF1964" s="227"/>
      <c r="AG1964" s="232"/>
      <c r="AH1964" s="232"/>
      <c r="AI1964" s="232"/>
      <c r="AJ1964" s="232"/>
      <c r="AK1964" s="232"/>
      <c r="AL1964" s="232"/>
      <c r="AM1964" s="232"/>
      <c r="AN1964" s="232"/>
      <c r="AO1964" s="231"/>
      <c r="AP1964" s="231"/>
      <c r="AQ1964" s="227"/>
      <c r="AR1964" s="231"/>
      <c r="AS1964" s="227"/>
      <c r="AT1964" s="227"/>
      <c r="AU1964" s="227"/>
      <c r="AV1964" s="227"/>
    </row>
    <row r="1965">
      <c r="A1965" s="227"/>
      <c r="B1965" s="232"/>
      <c r="C1965" s="227"/>
      <c r="D1965" s="227"/>
      <c r="E1965" s="231"/>
      <c r="F1965" s="232"/>
      <c r="G1965" s="227"/>
      <c r="H1965" s="227"/>
      <c r="I1965" s="227"/>
      <c r="J1965" s="227"/>
      <c r="K1965" s="227"/>
      <c r="L1965" s="232"/>
      <c r="M1965" s="232"/>
      <c r="N1965" s="227"/>
      <c r="O1965" s="227"/>
      <c r="P1965" s="231"/>
      <c r="Q1965" s="227"/>
      <c r="R1965" s="231"/>
      <c r="S1965" s="231"/>
      <c r="T1965" s="231"/>
      <c r="U1965" s="231"/>
      <c r="V1965" s="231"/>
      <c r="W1965" s="231"/>
      <c r="X1965" s="227"/>
      <c r="Y1965" s="232"/>
      <c r="Z1965" s="232"/>
      <c r="AA1965" s="232"/>
      <c r="AB1965" s="232"/>
      <c r="AC1965" s="227"/>
      <c r="AD1965" s="227"/>
      <c r="AE1965" s="231"/>
      <c r="AF1965" s="227"/>
      <c r="AG1965" s="232"/>
      <c r="AH1965" s="232"/>
      <c r="AI1965" s="232"/>
      <c r="AJ1965" s="232"/>
      <c r="AK1965" s="232"/>
      <c r="AL1965" s="232"/>
      <c r="AM1965" s="232"/>
      <c r="AN1965" s="232"/>
      <c r="AO1965" s="231"/>
      <c r="AP1965" s="231"/>
      <c r="AQ1965" s="227"/>
      <c r="AR1965" s="231"/>
      <c r="AS1965" s="227"/>
      <c r="AT1965" s="227"/>
      <c r="AU1965" s="227"/>
      <c r="AV1965" s="227"/>
    </row>
    <row r="1966">
      <c r="A1966" s="227"/>
      <c r="B1966" s="232"/>
      <c r="C1966" s="227"/>
      <c r="D1966" s="227"/>
      <c r="E1966" s="231"/>
      <c r="F1966" s="232"/>
      <c r="G1966" s="227"/>
      <c r="H1966" s="227"/>
      <c r="I1966" s="227"/>
      <c r="J1966" s="227"/>
      <c r="K1966" s="227"/>
      <c r="L1966" s="232"/>
      <c r="M1966" s="232"/>
      <c r="N1966" s="227"/>
      <c r="O1966" s="227"/>
      <c r="P1966" s="231"/>
      <c r="Q1966" s="227"/>
      <c r="R1966" s="231"/>
      <c r="S1966" s="231"/>
      <c r="T1966" s="231"/>
      <c r="U1966" s="231"/>
      <c r="V1966" s="231"/>
      <c r="W1966" s="231"/>
      <c r="X1966" s="227"/>
      <c r="Y1966" s="232"/>
      <c r="Z1966" s="232"/>
      <c r="AA1966" s="232"/>
      <c r="AB1966" s="232"/>
      <c r="AC1966" s="227"/>
      <c r="AD1966" s="227"/>
      <c r="AE1966" s="231"/>
      <c r="AF1966" s="227"/>
      <c r="AG1966" s="232"/>
      <c r="AH1966" s="232"/>
      <c r="AI1966" s="232"/>
      <c r="AJ1966" s="232"/>
      <c r="AK1966" s="232"/>
      <c r="AL1966" s="232"/>
      <c r="AM1966" s="232"/>
      <c r="AN1966" s="232"/>
      <c r="AO1966" s="231"/>
      <c r="AP1966" s="231"/>
      <c r="AQ1966" s="227"/>
      <c r="AR1966" s="231"/>
      <c r="AS1966" s="227"/>
      <c r="AT1966" s="227"/>
      <c r="AU1966" s="227"/>
      <c r="AV1966" s="227"/>
    </row>
    <row r="1967">
      <c r="A1967" s="227"/>
      <c r="B1967" s="232"/>
      <c r="C1967" s="227"/>
      <c r="D1967" s="227"/>
      <c r="E1967" s="231"/>
      <c r="F1967" s="232"/>
      <c r="G1967" s="227"/>
      <c r="H1967" s="227"/>
      <c r="I1967" s="227"/>
      <c r="J1967" s="227"/>
      <c r="K1967" s="227"/>
      <c r="L1967" s="232"/>
      <c r="M1967" s="232"/>
      <c r="N1967" s="227"/>
      <c r="O1967" s="227"/>
      <c r="P1967" s="231"/>
      <c r="Q1967" s="227"/>
      <c r="R1967" s="231"/>
      <c r="S1967" s="231"/>
      <c r="T1967" s="231"/>
      <c r="U1967" s="231"/>
      <c r="V1967" s="231"/>
      <c r="W1967" s="231"/>
      <c r="X1967" s="227"/>
      <c r="Y1967" s="232"/>
      <c r="Z1967" s="232"/>
      <c r="AA1967" s="232"/>
      <c r="AB1967" s="232"/>
      <c r="AC1967" s="227"/>
      <c r="AD1967" s="227"/>
      <c r="AE1967" s="231"/>
      <c r="AF1967" s="227"/>
      <c r="AG1967" s="232"/>
      <c r="AH1967" s="232"/>
      <c r="AI1967" s="232"/>
      <c r="AJ1967" s="232"/>
      <c r="AK1967" s="232"/>
      <c r="AL1967" s="232"/>
      <c r="AM1967" s="232"/>
      <c r="AN1967" s="232"/>
      <c r="AO1967" s="231"/>
      <c r="AP1967" s="231"/>
      <c r="AQ1967" s="227"/>
      <c r="AR1967" s="231"/>
      <c r="AS1967" s="227"/>
      <c r="AT1967" s="227"/>
      <c r="AU1967" s="227"/>
      <c r="AV1967" s="227"/>
    </row>
    <row r="1968">
      <c r="A1968" s="227"/>
      <c r="B1968" s="232"/>
      <c r="C1968" s="227"/>
      <c r="D1968" s="227"/>
      <c r="E1968" s="231"/>
      <c r="F1968" s="232"/>
      <c r="G1968" s="227"/>
      <c r="H1968" s="227"/>
      <c r="I1968" s="227"/>
      <c r="J1968" s="227"/>
      <c r="K1968" s="227"/>
      <c r="L1968" s="232"/>
      <c r="M1968" s="232"/>
      <c r="N1968" s="227"/>
      <c r="O1968" s="227"/>
      <c r="P1968" s="231"/>
      <c r="Q1968" s="227"/>
      <c r="R1968" s="231"/>
      <c r="S1968" s="231"/>
      <c r="T1968" s="231"/>
      <c r="U1968" s="231"/>
      <c r="V1968" s="231"/>
      <c r="W1968" s="231"/>
      <c r="X1968" s="227"/>
      <c r="Y1968" s="232"/>
      <c r="Z1968" s="232"/>
      <c r="AA1968" s="232"/>
      <c r="AB1968" s="232"/>
      <c r="AC1968" s="227"/>
      <c r="AD1968" s="227"/>
      <c r="AE1968" s="231"/>
      <c r="AF1968" s="227"/>
      <c r="AG1968" s="232"/>
      <c r="AH1968" s="232"/>
      <c r="AI1968" s="232"/>
      <c r="AJ1968" s="232"/>
      <c r="AK1968" s="232"/>
      <c r="AL1968" s="232"/>
      <c r="AM1968" s="232"/>
      <c r="AN1968" s="232"/>
      <c r="AO1968" s="231"/>
      <c r="AP1968" s="231"/>
      <c r="AQ1968" s="227"/>
      <c r="AR1968" s="231"/>
      <c r="AS1968" s="227"/>
      <c r="AT1968" s="227"/>
      <c r="AU1968" s="227"/>
      <c r="AV1968" s="227"/>
    </row>
    <row r="1969">
      <c r="A1969" s="227"/>
      <c r="B1969" s="232"/>
      <c r="C1969" s="227"/>
      <c r="D1969" s="227"/>
      <c r="E1969" s="231"/>
      <c r="F1969" s="232"/>
      <c r="G1969" s="227"/>
      <c r="H1969" s="227"/>
      <c r="I1969" s="227"/>
      <c r="J1969" s="227"/>
      <c r="K1969" s="227"/>
      <c r="L1969" s="232"/>
      <c r="M1969" s="232"/>
      <c r="N1969" s="227"/>
      <c r="O1969" s="227"/>
      <c r="P1969" s="231"/>
      <c r="Q1969" s="227"/>
      <c r="R1969" s="231"/>
      <c r="S1969" s="231"/>
      <c r="T1969" s="231"/>
      <c r="U1969" s="231"/>
      <c r="V1969" s="231"/>
      <c r="W1969" s="231"/>
      <c r="X1969" s="227"/>
      <c r="Y1969" s="232"/>
      <c r="Z1969" s="232"/>
      <c r="AA1969" s="232"/>
      <c r="AB1969" s="232"/>
      <c r="AC1969" s="227"/>
      <c r="AD1969" s="227"/>
      <c r="AE1969" s="231"/>
      <c r="AF1969" s="227"/>
      <c r="AG1969" s="232"/>
      <c r="AH1969" s="232"/>
      <c r="AI1969" s="232"/>
      <c r="AJ1969" s="232"/>
      <c r="AK1969" s="232"/>
      <c r="AL1969" s="232"/>
      <c r="AM1969" s="232"/>
      <c r="AN1969" s="232"/>
      <c r="AO1969" s="231"/>
      <c r="AP1969" s="231"/>
      <c r="AQ1969" s="227"/>
      <c r="AR1969" s="231"/>
      <c r="AS1969" s="227"/>
      <c r="AT1969" s="227"/>
      <c r="AU1969" s="227"/>
      <c r="AV1969" s="227"/>
    </row>
    <row r="1970">
      <c r="A1970" s="227"/>
      <c r="B1970" s="232"/>
      <c r="C1970" s="227"/>
      <c r="D1970" s="227"/>
      <c r="E1970" s="231"/>
      <c r="F1970" s="232"/>
      <c r="G1970" s="227"/>
      <c r="H1970" s="227"/>
      <c r="I1970" s="227"/>
      <c r="J1970" s="227"/>
      <c r="K1970" s="227"/>
      <c r="L1970" s="232"/>
      <c r="M1970" s="232"/>
      <c r="N1970" s="227"/>
      <c r="O1970" s="227"/>
      <c r="P1970" s="231"/>
      <c r="Q1970" s="227"/>
      <c r="R1970" s="231"/>
      <c r="S1970" s="231"/>
      <c r="T1970" s="231"/>
      <c r="U1970" s="231"/>
      <c r="V1970" s="231"/>
      <c r="W1970" s="231"/>
      <c r="X1970" s="227"/>
      <c r="Y1970" s="232"/>
      <c r="Z1970" s="232"/>
      <c r="AA1970" s="232"/>
      <c r="AB1970" s="232"/>
      <c r="AC1970" s="227"/>
      <c r="AD1970" s="227"/>
      <c r="AE1970" s="231"/>
      <c r="AF1970" s="227"/>
      <c r="AG1970" s="232"/>
      <c r="AH1970" s="232"/>
      <c r="AI1970" s="232"/>
      <c r="AJ1970" s="232"/>
      <c r="AK1970" s="232"/>
      <c r="AL1970" s="232"/>
      <c r="AM1970" s="232"/>
      <c r="AN1970" s="232"/>
      <c r="AO1970" s="231"/>
      <c r="AP1970" s="231"/>
      <c r="AQ1970" s="227"/>
      <c r="AR1970" s="231"/>
      <c r="AS1970" s="227"/>
      <c r="AT1970" s="227"/>
      <c r="AU1970" s="227"/>
      <c r="AV1970" s="227"/>
    </row>
    <row r="1971">
      <c r="A1971" s="227"/>
      <c r="B1971" s="232"/>
      <c r="C1971" s="227"/>
      <c r="D1971" s="227"/>
      <c r="E1971" s="231"/>
      <c r="F1971" s="232"/>
      <c r="G1971" s="227"/>
      <c r="H1971" s="227"/>
      <c r="I1971" s="227"/>
      <c r="J1971" s="227"/>
      <c r="K1971" s="227"/>
      <c r="L1971" s="232"/>
      <c r="M1971" s="232"/>
      <c r="N1971" s="227"/>
      <c r="O1971" s="227"/>
      <c r="P1971" s="231"/>
      <c r="Q1971" s="227"/>
      <c r="R1971" s="231"/>
      <c r="S1971" s="231"/>
      <c r="T1971" s="231"/>
      <c r="U1971" s="231"/>
      <c r="V1971" s="231"/>
      <c r="W1971" s="231"/>
      <c r="X1971" s="227"/>
      <c r="Y1971" s="232"/>
      <c r="Z1971" s="232"/>
      <c r="AA1971" s="232"/>
      <c r="AB1971" s="232"/>
      <c r="AC1971" s="227"/>
      <c r="AD1971" s="227"/>
      <c r="AE1971" s="231"/>
      <c r="AF1971" s="227"/>
      <c r="AG1971" s="232"/>
      <c r="AH1971" s="232"/>
      <c r="AI1971" s="232"/>
      <c r="AJ1971" s="232"/>
      <c r="AK1971" s="232"/>
      <c r="AL1971" s="232"/>
      <c r="AM1971" s="232"/>
      <c r="AN1971" s="232"/>
      <c r="AO1971" s="231"/>
      <c r="AP1971" s="231"/>
      <c r="AQ1971" s="227"/>
      <c r="AR1971" s="231"/>
      <c r="AS1971" s="227"/>
      <c r="AT1971" s="227"/>
      <c r="AU1971" s="227"/>
      <c r="AV1971" s="227"/>
    </row>
    <row r="1972">
      <c r="A1972" s="227"/>
      <c r="B1972" s="232"/>
      <c r="C1972" s="227"/>
      <c r="D1972" s="227"/>
      <c r="E1972" s="231"/>
      <c r="F1972" s="232"/>
      <c r="G1972" s="227"/>
      <c r="H1972" s="227"/>
      <c r="I1972" s="227"/>
      <c r="J1972" s="227"/>
      <c r="K1972" s="227"/>
      <c r="L1972" s="232"/>
      <c r="M1972" s="232"/>
      <c r="N1972" s="227"/>
      <c r="O1972" s="227"/>
      <c r="P1972" s="231"/>
      <c r="Q1972" s="227"/>
      <c r="R1972" s="231"/>
      <c r="S1972" s="231"/>
      <c r="T1972" s="231"/>
      <c r="U1972" s="231"/>
      <c r="V1972" s="231"/>
      <c r="W1972" s="231"/>
      <c r="X1972" s="227"/>
      <c r="Y1972" s="232"/>
      <c r="Z1972" s="232"/>
      <c r="AA1972" s="232"/>
      <c r="AB1972" s="232"/>
      <c r="AC1972" s="227"/>
      <c r="AD1972" s="227"/>
      <c r="AE1972" s="231"/>
      <c r="AF1972" s="227"/>
      <c r="AG1972" s="232"/>
      <c r="AH1972" s="232"/>
      <c r="AI1972" s="232"/>
      <c r="AJ1972" s="232"/>
      <c r="AK1972" s="232"/>
      <c r="AL1972" s="232"/>
      <c r="AM1972" s="232"/>
      <c r="AN1972" s="232"/>
      <c r="AO1972" s="231"/>
      <c r="AP1972" s="231"/>
      <c r="AQ1972" s="227"/>
      <c r="AR1972" s="231"/>
      <c r="AS1972" s="227"/>
      <c r="AT1972" s="227"/>
      <c r="AU1972" s="227"/>
      <c r="AV1972" s="227"/>
    </row>
    <row r="1973">
      <c r="A1973" s="227"/>
      <c r="B1973" s="232"/>
      <c r="C1973" s="227"/>
      <c r="D1973" s="227"/>
      <c r="E1973" s="231"/>
      <c r="F1973" s="232"/>
      <c r="G1973" s="227"/>
      <c r="H1973" s="227"/>
      <c r="I1973" s="227"/>
      <c r="J1973" s="227"/>
      <c r="K1973" s="227"/>
      <c r="L1973" s="232"/>
      <c r="M1973" s="232"/>
      <c r="N1973" s="227"/>
      <c r="O1973" s="227"/>
      <c r="P1973" s="231"/>
      <c r="Q1973" s="227"/>
      <c r="R1973" s="231"/>
      <c r="S1973" s="231"/>
      <c r="T1973" s="231"/>
      <c r="U1973" s="231"/>
      <c r="V1973" s="231"/>
      <c r="W1973" s="231"/>
      <c r="X1973" s="227"/>
      <c r="Y1973" s="232"/>
      <c r="Z1973" s="232"/>
      <c r="AA1973" s="232"/>
      <c r="AB1973" s="232"/>
      <c r="AC1973" s="227"/>
      <c r="AD1973" s="227"/>
      <c r="AE1973" s="231"/>
      <c r="AF1973" s="227"/>
      <c r="AG1973" s="232"/>
      <c r="AH1973" s="232"/>
      <c r="AI1973" s="232"/>
      <c r="AJ1973" s="232"/>
      <c r="AK1973" s="232"/>
      <c r="AL1973" s="232"/>
      <c r="AM1973" s="232"/>
      <c r="AN1973" s="232"/>
      <c r="AO1973" s="231"/>
      <c r="AP1973" s="231"/>
      <c r="AQ1973" s="227"/>
      <c r="AR1973" s="231"/>
      <c r="AS1973" s="227"/>
      <c r="AT1973" s="227"/>
      <c r="AU1973" s="227"/>
      <c r="AV1973" s="227"/>
    </row>
    <row r="1974">
      <c r="A1974" s="227"/>
      <c r="B1974" s="232"/>
      <c r="C1974" s="227"/>
      <c r="D1974" s="227"/>
      <c r="E1974" s="231"/>
      <c r="F1974" s="232"/>
      <c r="G1974" s="227"/>
      <c r="H1974" s="227"/>
      <c r="I1974" s="227"/>
      <c r="J1974" s="227"/>
      <c r="K1974" s="227"/>
      <c r="L1974" s="232"/>
      <c r="M1974" s="232"/>
      <c r="N1974" s="227"/>
      <c r="O1974" s="227"/>
      <c r="P1974" s="231"/>
      <c r="Q1974" s="227"/>
      <c r="R1974" s="231"/>
      <c r="S1974" s="231"/>
      <c r="T1974" s="231"/>
      <c r="U1974" s="231"/>
      <c r="V1974" s="231"/>
      <c r="W1974" s="231"/>
      <c r="X1974" s="227"/>
      <c r="Y1974" s="232"/>
      <c r="Z1974" s="232"/>
      <c r="AA1974" s="232"/>
      <c r="AB1974" s="232"/>
      <c r="AC1974" s="227"/>
      <c r="AD1974" s="227"/>
      <c r="AE1974" s="231"/>
      <c r="AF1974" s="227"/>
      <c r="AG1974" s="232"/>
      <c r="AH1974" s="232"/>
      <c r="AI1974" s="232"/>
      <c r="AJ1974" s="232"/>
      <c r="AK1974" s="232"/>
      <c r="AL1974" s="232"/>
      <c r="AM1974" s="232"/>
      <c r="AN1974" s="232"/>
      <c r="AO1974" s="231"/>
      <c r="AP1974" s="231"/>
      <c r="AQ1974" s="227"/>
      <c r="AR1974" s="231"/>
      <c r="AS1974" s="227"/>
      <c r="AT1974" s="227"/>
      <c r="AU1974" s="227"/>
      <c r="AV1974" s="227"/>
    </row>
    <row r="1975">
      <c r="A1975" s="227"/>
      <c r="B1975" s="232"/>
      <c r="C1975" s="227"/>
      <c r="D1975" s="227"/>
      <c r="E1975" s="231"/>
      <c r="F1975" s="232"/>
      <c r="G1975" s="227"/>
      <c r="H1975" s="227"/>
      <c r="I1975" s="227"/>
      <c r="J1975" s="227"/>
      <c r="K1975" s="227"/>
      <c r="L1975" s="232"/>
      <c r="M1975" s="232"/>
      <c r="N1975" s="227"/>
      <c r="O1975" s="227"/>
      <c r="P1975" s="231"/>
      <c r="Q1975" s="227"/>
      <c r="R1975" s="231"/>
      <c r="S1975" s="231"/>
      <c r="T1975" s="231"/>
      <c r="U1975" s="231"/>
      <c r="V1975" s="231"/>
      <c r="W1975" s="231"/>
      <c r="X1975" s="227"/>
      <c r="Y1975" s="232"/>
      <c r="Z1975" s="232"/>
      <c r="AA1975" s="232"/>
      <c r="AB1975" s="232"/>
      <c r="AC1975" s="227"/>
      <c r="AD1975" s="227"/>
      <c r="AE1975" s="231"/>
      <c r="AF1975" s="227"/>
      <c r="AG1975" s="232"/>
      <c r="AH1975" s="232"/>
      <c r="AI1975" s="232"/>
      <c r="AJ1975" s="232"/>
      <c r="AK1975" s="232"/>
      <c r="AL1975" s="232"/>
      <c r="AM1975" s="232"/>
      <c r="AN1975" s="232"/>
      <c r="AO1975" s="231"/>
      <c r="AP1975" s="231"/>
      <c r="AQ1975" s="227"/>
      <c r="AR1975" s="231"/>
      <c r="AS1975" s="227"/>
      <c r="AT1975" s="227"/>
      <c r="AU1975" s="227"/>
      <c r="AV1975" s="227"/>
    </row>
    <row r="1976">
      <c r="A1976" s="227"/>
      <c r="B1976" s="232"/>
      <c r="C1976" s="227"/>
      <c r="D1976" s="227"/>
      <c r="E1976" s="231"/>
      <c r="F1976" s="232"/>
      <c r="G1976" s="227"/>
      <c r="H1976" s="227"/>
      <c r="I1976" s="227"/>
      <c r="J1976" s="227"/>
      <c r="K1976" s="227"/>
      <c r="L1976" s="232"/>
      <c r="M1976" s="232"/>
      <c r="N1976" s="227"/>
      <c r="O1976" s="227"/>
      <c r="P1976" s="231"/>
      <c r="Q1976" s="227"/>
      <c r="R1976" s="231"/>
      <c r="S1976" s="231"/>
      <c r="T1976" s="231"/>
      <c r="U1976" s="231"/>
      <c r="V1976" s="231"/>
      <c r="W1976" s="231"/>
      <c r="X1976" s="227"/>
      <c r="Y1976" s="232"/>
      <c r="Z1976" s="232"/>
      <c r="AA1976" s="232"/>
      <c r="AB1976" s="232"/>
      <c r="AC1976" s="227"/>
      <c r="AD1976" s="227"/>
      <c r="AE1976" s="231"/>
      <c r="AF1976" s="227"/>
      <c r="AG1976" s="232"/>
      <c r="AH1976" s="232"/>
      <c r="AI1976" s="232"/>
      <c r="AJ1976" s="232"/>
      <c r="AK1976" s="232"/>
      <c r="AL1976" s="232"/>
      <c r="AM1976" s="232"/>
      <c r="AN1976" s="232"/>
      <c r="AO1976" s="231"/>
      <c r="AP1976" s="231"/>
      <c r="AQ1976" s="227"/>
      <c r="AR1976" s="231"/>
      <c r="AS1976" s="227"/>
      <c r="AT1976" s="227"/>
      <c r="AU1976" s="227"/>
      <c r="AV1976" s="227"/>
    </row>
    <row r="1977">
      <c r="A1977" s="227"/>
      <c r="B1977" s="232"/>
      <c r="C1977" s="227"/>
      <c r="D1977" s="227"/>
      <c r="E1977" s="231"/>
      <c r="F1977" s="232"/>
      <c r="G1977" s="227"/>
      <c r="H1977" s="227"/>
      <c r="I1977" s="227"/>
      <c r="J1977" s="227"/>
      <c r="K1977" s="227"/>
      <c r="L1977" s="232"/>
      <c r="M1977" s="232"/>
      <c r="N1977" s="227"/>
      <c r="O1977" s="227"/>
      <c r="P1977" s="231"/>
      <c r="Q1977" s="227"/>
      <c r="R1977" s="231"/>
      <c r="S1977" s="231"/>
      <c r="T1977" s="231"/>
      <c r="U1977" s="231"/>
      <c r="V1977" s="231"/>
      <c r="W1977" s="231"/>
      <c r="X1977" s="227"/>
      <c r="Y1977" s="232"/>
      <c r="Z1977" s="232"/>
      <c r="AA1977" s="232"/>
      <c r="AB1977" s="232"/>
      <c r="AC1977" s="227"/>
      <c r="AD1977" s="227"/>
      <c r="AE1977" s="231"/>
      <c r="AF1977" s="227"/>
      <c r="AG1977" s="232"/>
      <c r="AH1977" s="232"/>
      <c r="AI1977" s="232"/>
      <c r="AJ1977" s="232"/>
      <c r="AK1977" s="232"/>
      <c r="AL1977" s="232"/>
      <c r="AM1977" s="232"/>
      <c r="AN1977" s="232"/>
      <c r="AO1977" s="231"/>
      <c r="AP1977" s="231"/>
      <c r="AQ1977" s="227"/>
      <c r="AR1977" s="231"/>
      <c r="AS1977" s="227"/>
      <c r="AT1977" s="227"/>
      <c r="AU1977" s="227"/>
      <c r="AV1977" s="227"/>
    </row>
    <row r="1978">
      <c r="A1978" s="227"/>
      <c r="B1978" s="232"/>
      <c r="C1978" s="227"/>
      <c r="D1978" s="227"/>
      <c r="E1978" s="231"/>
      <c r="F1978" s="232"/>
      <c r="G1978" s="227"/>
      <c r="H1978" s="227"/>
      <c r="I1978" s="227"/>
      <c r="J1978" s="227"/>
      <c r="K1978" s="227"/>
      <c r="L1978" s="232"/>
      <c r="M1978" s="232"/>
      <c r="N1978" s="227"/>
      <c r="O1978" s="227"/>
      <c r="P1978" s="231"/>
      <c r="Q1978" s="227"/>
      <c r="R1978" s="231"/>
      <c r="S1978" s="231"/>
      <c r="T1978" s="231"/>
      <c r="U1978" s="231"/>
      <c r="V1978" s="231"/>
      <c r="W1978" s="231"/>
      <c r="X1978" s="227"/>
      <c r="Y1978" s="232"/>
      <c r="Z1978" s="232"/>
      <c r="AA1978" s="232"/>
      <c r="AB1978" s="232"/>
      <c r="AC1978" s="227"/>
      <c r="AD1978" s="227"/>
      <c r="AE1978" s="231"/>
      <c r="AF1978" s="227"/>
      <c r="AG1978" s="232"/>
      <c r="AH1978" s="232"/>
      <c r="AI1978" s="232"/>
      <c r="AJ1978" s="232"/>
      <c r="AK1978" s="232"/>
      <c r="AL1978" s="232"/>
      <c r="AM1978" s="232"/>
      <c r="AN1978" s="232"/>
      <c r="AO1978" s="231"/>
      <c r="AP1978" s="231"/>
      <c r="AQ1978" s="227"/>
      <c r="AR1978" s="231"/>
      <c r="AS1978" s="227"/>
      <c r="AT1978" s="227"/>
      <c r="AU1978" s="227"/>
      <c r="AV1978" s="227"/>
    </row>
    <row r="1979">
      <c r="A1979" s="227"/>
      <c r="B1979" s="232"/>
      <c r="C1979" s="227"/>
      <c r="D1979" s="227"/>
      <c r="E1979" s="231"/>
      <c r="F1979" s="232"/>
      <c r="G1979" s="227"/>
      <c r="H1979" s="227"/>
      <c r="I1979" s="227"/>
      <c r="J1979" s="227"/>
      <c r="K1979" s="227"/>
      <c r="L1979" s="232"/>
      <c r="M1979" s="232"/>
      <c r="N1979" s="227"/>
      <c r="O1979" s="227"/>
      <c r="P1979" s="231"/>
      <c r="Q1979" s="227"/>
      <c r="R1979" s="231"/>
      <c r="S1979" s="231"/>
      <c r="T1979" s="231"/>
      <c r="U1979" s="231"/>
      <c r="V1979" s="231"/>
      <c r="W1979" s="231"/>
      <c r="X1979" s="227"/>
      <c r="Y1979" s="232"/>
      <c r="Z1979" s="232"/>
      <c r="AA1979" s="232"/>
      <c r="AB1979" s="232"/>
      <c r="AC1979" s="227"/>
      <c r="AD1979" s="227"/>
      <c r="AE1979" s="231"/>
      <c r="AF1979" s="227"/>
      <c r="AG1979" s="232"/>
      <c r="AH1979" s="232"/>
      <c r="AI1979" s="232"/>
      <c r="AJ1979" s="232"/>
      <c r="AK1979" s="232"/>
      <c r="AL1979" s="232"/>
      <c r="AM1979" s="232"/>
      <c r="AN1979" s="232"/>
      <c r="AO1979" s="231"/>
      <c r="AP1979" s="231"/>
      <c r="AQ1979" s="227"/>
      <c r="AR1979" s="231"/>
      <c r="AS1979" s="227"/>
      <c r="AT1979" s="227"/>
      <c r="AU1979" s="227"/>
      <c r="AV1979" s="227"/>
    </row>
    <row r="1980">
      <c r="A1980" s="227"/>
      <c r="B1980" s="232"/>
      <c r="C1980" s="227"/>
      <c r="D1980" s="227"/>
      <c r="E1980" s="231"/>
      <c r="F1980" s="232"/>
      <c r="G1980" s="227"/>
      <c r="H1980" s="227"/>
      <c r="I1980" s="227"/>
      <c r="J1980" s="227"/>
      <c r="K1980" s="227"/>
      <c r="L1980" s="232"/>
      <c r="M1980" s="232"/>
      <c r="N1980" s="227"/>
      <c r="O1980" s="227"/>
      <c r="P1980" s="231"/>
      <c r="Q1980" s="227"/>
      <c r="R1980" s="231"/>
      <c r="S1980" s="231"/>
      <c r="T1980" s="231"/>
      <c r="U1980" s="231"/>
      <c r="V1980" s="231"/>
      <c r="W1980" s="231"/>
      <c r="X1980" s="227"/>
      <c r="Y1980" s="232"/>
      <c r="Z1980" s="232"/>
      <c r="AA1980" s="232"/>
      <c r="AB1980" s="232"/>
      <c r="AC1980" s="227"/>
      <c r="AD1980" s="227"/>
      <c r="AE1980" s="231"/>
      <c r="AF1980" s="227"/>
      <c r="AG1980" s="232"/>
      <c r="AH1980" s="232"/>
      <c r="AI1980" s="232"/>
      <c r="AJ1980" s="232"/>
      <c r="AK1980" s="232"/>
      <c r="AL1980" s="232"/>
      <c r="AM1980" s="232"/>
      <c r="AN1980" s="232"/>
      <c r="AO1980" s="231"/>
      <c r="AP1980" s="231"/>
      <c r="AQ1980" s="227"/>
      <c r="AR1980" s="231"/>
      <c r="AS1980" s="227"/>
      <c r="AT1980" s="227"/>
      <c r="AU1980" s="227"/>
      <c r="AV1980" s="227"/>
    </row>
    <row r="1981">
      <c r="A1981" s="227"/>
      <c r="B1981" s="232"/>
      <c r="C1981" s="227"/>
      <c r="D1981" s="227"/>
      <c r="E1981" s="231"/>
      <c r="F1981" s="232"/>
      <c r="G1981" s="227"/>
      <c r="H1981" s="227"/>
      <c r="I1981" s="227"/>
      <c r="J1981" s="227"/>
      <c r="K1981" s="227"/>
      <c r="L1981" s="232"/>
      <c r="M1981" s="232"/>
      <c r="N1981" s="227"/>
      <c r="O1981" s="227"/>
      <c r="P1981" s="231"/>
      <c r="Q1981" s="227"/>
      <c r="R1981" s="231"/>
      <c r="S1981" s="231"/>
      <c r="T1981" s="231"/>
      <c r="U1981" s="231"/>
      <c r="V1981" s="231"/>
      <c r="W1981" s="231"/>
      <c r="X1981" s="227"/>
      <c r="Y1981" s="232"/>
      <c r="Z1981" s="232"/>
      <c r="AA1981" s="232"/>
      <c r="AB1981" s="232"/>
      <c r="AC1981" s="227"/>
      <c r="AD1981" s="227"/>
      <c r="AE1981" s="231"/>
      <c r="AF1981" s="227"/>
      <c r="AG1981" s="232"/>
      <c r="AH1981" s="232"/>
      <c r="AI1981" s="232"/>
      <c r="AJ1981" s="232"/>
      <c r="AK1981" s="232"/>
      <c r="AL1981" s="232"/>
      <c r="AM1981" s="232"/>
      <c r="AN1981" s="232"/>
      <c r="AO1981" s="231"/>
      <c r="AP1981" s="231"/>
      <c r="AQ1981" s="227"/>
      <c r="AR1981" s="231"/>
      <c r="AS1981" s="227"/>
      <c r="AT1981" s="227"/>
      <c r="AU1981" s="227"/>
      <c r="AV1981" s="227"/>
    </row>
    <row r="1982">
      <c r="A1982" s="227"/>
      <c r="B1982" s="232"/>
      <c r="C1982" s="227"/>
      <c r="D1982" s="227"/>
      <c r="E1982" s="231"/>
      <c r="F1982" s="232"/>
      <c r="G1982" s="227"/>
      <c r="H1982" s="227"/>
      <c r="I1982" s="227"/>
      <c r="J1982" s="227"/>
      <c r="K1982" s="227"/>
      <c r="L1982" s="232"/>
      <c r="M1982" s="232"/>
      <c r="N1982" s="227"/>
      <c r="O1982" s="227"/>
      <c r="P1982" s="231"/>
      <c r="Q1982" s="227"/>
      <c r="R1982" s="231"/>
      <c r="S1982" s="231"/>
      <c r="T1982" s="231"/>
      <c r="U1982" s="231"/>
      <c r="V1982" s="231"/>
      <c r="W1982" s="231"/>
      <c r="X1982" s="227"/>
      <c r="Y1982" s="232"/>
      <c r="Z1982" s="232"/>
      <c r="AA1982" s="232"/>
      <c r="AB1982" s="232"/>
      <c r="AC1982" s="227"/>
      <c r="AD1982" s="227"/>
      <c r="AE1982" s="231"/>
      <c r="AF1982" s="227"/>
      <c r="AG1982" s="232"/>
      <c r="AH1982" s="232"/>
      <c r="AI1982" s="232"/>
      <c r="AJ1982" s="232"/>
      <c r="AK1982" s="232"/>
      <c r="AL1982" s="232"/>
      <c r="AM1982" s="232"/>
      <c r="AN1982" s="232"/>
      <c r="AO1982" s="231"/>
      <c r="AP1982" s="231"/>
      <c r="AQ1982" s="227"/>
      <c r="AR1982" s="231"/>
      <c r="AS1982" s="227"/>
      <c r="AT1982" s="227"/>
      <c r="AU1982" s="227"/>
      <c r="AV1982" s="227"/>
    </row>
    <row r="1983">
      <c r="A1983" s="227"/>
      <c r="B1983" s="232"/>
      <c r="C1983" s="227"/>
      <c r="D1983" s="227"/>
      <c r="E1983" s="231"/>
      <c r="F1983" s="232"/>
      <c r="G1983" s="227"/>
      <c r="H1983" s="227"/>
      <c r="I1983" s="227"/>
      <c r="J1983" s="227"/>
      <c r="K1983" s="227"/>
      <c r="L1983" s="232"/>
      <c r="M1983" s="232"/>
      <c r="N1983" s="227"/>
      <c r="O1983" s="227"/>
      <c r="P1983" s="231"/>
      <c r="Q1983" s="227"/>
      <c r="R1983" s="231"/>
      <c r="S1983" s="231"/>
      <c r="T1983" s="231"/>
      <c r="U1983" s="231"/>
      <c r="V1983" s="231"/>
      <c r="W1983" s="231"/>
      <c r="X1983" s="227"/>
      <c r="Y1983" s="232"/>
      <c r="Z1983" s="232"/>
      <c r="AA1983" s="232"/>
      <c r="AB1983" s="232"/>
      <c r="AC1983" s="227"/>
      <c r="AD1983" s="227"/>
      <c r="AE1983" s="231"/>
      <c r="AF1983" s="227"/>
      <c r="AG1983" s="232"/>
      <c r="AH1983" s="232"/>
      <c r="AI1983" s="232"/>
      <c r="AJ1983" s="232"/>
      <c r="AK1983" s="232"/>
      <c r="AL1983" s="232"/>
      <c r="AM1983" s="232"/>
      <c r="AN1983" s="232"/>
      <c r="AO1983" s="231"/>
      <c r="AP1983" s="231"/>
      <c r="AQ1983" s="227"/>
      <c r="AR1983" s="231"/>
      <c r="AS1983" s="227"/>
      <c r="AT1983" s="227"/>
      <c r="AU1983" s="227"/>
      <c r="AV1983" s="227"/>
    </row>
    <row r="1984">
      <c r="A1984" s="227"/>
      <c r="B1984" s="232"/>
      <c r="C1984" s="227"/>
      <c r="D1984" s="227"/>
      <c r="E1984" s="231"/>
      <c r="F1984" s="232"/>
      <c r="G1984" s="227"/>
      <c r="H1984" s="227"/>
      <c r="I1984" s="227"/>
      <c r="J1984" s="227"/>
      <c r="K1984" s="227"/>
      <c r="L1984" s="232"/>
      <c r="M1984" s="232"/>
      <c r="N1984" s="227"/>
      <c r="O1984" s="227"/>
      <c r="P1984" s="231"/>
      <c r="Q1984" s="227"/>
      <c r="R1984" s="231"/>
      <c r="S1984" s="231"/>
      <c r="T1984" s="231"/>
      <c r="U1984" s="231"/>
      <c r="V1984" s="231"/>
      <c r="W1984" s="231"/>
      <c r="X1984" s="227"/>
      <c r="Y1984" s="232"/>
      <c r="Z1984" s="232"/>
      <c r="AA1984" s="232"/>
      <c r="AB1984" s="232"/>
      <c r="AC1984" s="227"/>
      <c r="AD1984" s="227"/>
      <c r="AE1984" s="231"/>
      <c r="AF1984" s="227"/>
      <c r="AG1984" s="232"/>
      <c r="AH1984" s="232"/>
      <c r="AI1984" s="232"/>
      <c r="AJ1984" s="232"/>
      <c r="AK1984" s="232"/>
      <c r="AL1984" s="232"/>
      <c r="AM1984" s="232"/>
      <c r="AN1984" s="232"/>
      <c r="AO1984" s="231"/>
      <c r="AP1984" s="231"/>
      <c r="AQ1984" s="227"/>
      <c r="AR1984" s="231"/>
      <c r="AS1984" s="227"/>
      <c r="AT1984" s="227"/>
      <c r="AU1984" s="227"/>
      <c r="AV1984" s="227"/>
    </row>
    <row r="1985">
      <c r="A1985" s="227"/>
      <c r="B1985" s="232"/>
      <c r="C1985" s="227"/>
      <c r="D1985" s="227"/>
      <c r="E1985" s="231"/>
      <c r="F1985" s="232"/>
      <c r="G1985" s="227"/>
      <c r="H1985" s="227"/>
      <c r="I1985" s="227"/>
      <c r="J1985" s="227"/>
      <c r="K1985" s="227"/>
      <c r="L1985" s="232"/>
      <c r="M1985" s="232"/>
      <c r="N1985" s="227"/>
      <c r="O1985" s="227"/>
      <c r="P1985" s="231"/>
      <c r="Q1985" s="227"/>
      <c r="R1985" s="231"/>
      <c r="S1985" s="231"/>
      <c r="T1985" s="231"/>
      <c r="U1985" s="231"/>
      <c r="V1985" s="231"/>
      <c r="W1985" s="231"/>
      <c r="X1985" s="227"/>
      <c r="Y1985" s="232"/>
      <c r="Z1985" s="232"/>
      <c r="AA1985" s="232"/>
      <c r="AB1985" s="232"/>
      <c r="AC1985" s="227"/>
      <c r="AD1985" s="227"/>
      <c r="AE1985" s="231"/>
      <c r="AF1985" s="227"/>
      <c r="AG1985" s="232"/>
      <c r="AH1985" s="232"/>
      <c r="AI1985" s="232"/>
      <c r="AJ1985" s="232"/>
      <c r="AK1985" s="232"/>
      <c r="AL1985" s="232"/>
      <c r="AM1985" s="232"/>
      <c r="AN1985" s="232"/>
      <c r="AO1985" s="231"/>
      <c r="AP1985" s="231"/>
      <c r="AQ1985" s="227"/>
      <c r="AR1985" s="231"/>
      <c r="AS1985" s="227"/>
      <c r="AT1985" s="227"/>
      <c r="AU1985" s="227"/>
      <c r="AV1985" s="227"/>
    </row>
    <row r="1986">
      <c r="A1986" s="227"/>
      <c r="B1986" s="232"/>
      <c r="C1986" s="227"/>
      <c r="D1986" s="227"/>
      <c r="E1986" s="231"/>
      <c r="F1986" s="232"/>
      <c r="G1986" s="227"/>
      <c r="H1986" s="227"/>
      <c r="I1986" s="227"/>
      <c r="J1986" s="227"/>
      <c r="K1986" s="227"/>
      <c r="L1986" s="232"/>
      <c r="M1986" s="232"/>
      <c r="N1986" s="227"/>
      <c r="O1986" s="227"/>
      <c r="P1986" s="231"/>
      <c r="Q1986" s="227"/>
      <c r="R1986" s="231"/>
      <c r="S1986" s="231"/>
      <c r="T1986" s="231"/>
      <c r="U1986" s="231"/>
      <c r="V1986" s="231"/>
      <c r="W1986" s="231"/>
      <c r="X1986" s="227"/>
      <c r="Y1986" s="232"/>
      <c r="Z1986" s="232"/>
      <c r="AA1986" s="232"/>
      <c r="AB1986" s="232"/>
      <c r="AC1986" s="227"/>
      <c r="AD1986" s="227"/>
      <c r="AE1986" s="231"/>
      <c r="AF1986" s="227"/>
      <c r="AG1986" s="232"/>
      <c r="AH1986" s="232"/>
      <c r="AI1986" s="232"/>
      <c r="AJ1986" s="232"/>
      <c r="AK1986" s="232"/>
      <c r="AL1986" s="232"/>
      <c r="AM1986" s="232"/>
      <c r="AN1986" s="232"/>
      <c r="AO1986" s="231"/>
      <c r="AP1986" s="231"/>
      <c r="AQ1986" s="227"/>
      <c r="AR1986" s="231"/>
      <c r="AS1986" s="227"/>
      <c r="AT1986" s="227"/>
      <c r="AU1986" s="227"/>
      <c r="AV1986" s="227"/>
    </row>
    <row r="1987">
      <c r="A1987" s="227"/>
      <c r="B1987" s="232"/>
      <c r="C1987" s="227"/>
      <c r="D1987" s="227"/>
      <c r="E1987" s="231"/>
      <c r="F1987" s="232"/>
      <c r="G1987" s="227"/>
      <c r="H1987" s="227"/>
      <c r="I1987" s="227"/>
      <c r="J1987" s="227"/>
      <c r="K1987" s="227"/>
      <c r="L1987" s="232"/>
      <c r="M1987" s="232"/>
      <c r="N1987" s="227"/>
      <c r="O1987" s="227"/>
      <c r="P1987" s="231"/>
      <c r="Q1987" s="227"/>
      <c r="R1987" s="231"/>
      <c r="S1987" s="231"/>
      <c r="T1987" s="231"/>
      <c r="U1987" s="231"/>
      <c r="V1987" s="231"/>
      <c r="W1987" s="231"/>
      <c r="X1987" s="227"/>
      <c r="Y1987" s="232"/>
      <c r="Z1987" s="232"/>
      <c r="AA1987" s="232"/>
      <c r="AB1987" s="232"/>
      <c r="AC1987" s="227"/>
      <c r="AD1987" s="227"/>
      <c r="AE1987" s="231"/>
      <c r="AF1987" s="227"/>
      <c r="AG1987" s="232"/>
      <c r="AH1987" s="232"/>
      <c r="AI1987" s="232"/>
      <c r="AJ1987" s="232"/>
      <c r="AK1987" s="232"/>
      <c r="AL1987" s="232"/>
      <c r="AM1987" s="232"/>
      <c r="AN1987" s="232"/>
      <c r="AO1987" s="231"/>
      <c r="AP1987" s="231"/>
      <c r="AQ1987" s="227"/>
      <c r="AR1987" s="231"/>
      <c r="AS1987" s="227"/>
      <c r="AT1987" s="227"/>
      <c r="AU1987" s="227"/>
      <c r="AV1987" s="227"/>
    </row>
    <row r="1988">
      <c r="A1988" s="227"/>
      <c r="B1988" s="232"/>
      <c r="C1988" s="227"/>
      <c r="D1988" s="227"/>
      <c r="E1988" s="231"/>
      <c r="F1988" s="232"/>
      <c r="G1988" s="227"/>
      <c r="H1988" s="227"/>
      <c r="I1988" s="227"/>
      <c r="J1988" s="227"/>
      <c r="K1988" s="227"/>
      <c r="L1988" s="232"/>
      <c r="M1988" s="232"/>
      <c r="N1988" s="227"/>
      <c r="O1988" s="227"/>
      <c r="P1988" s="231"/>
      <c r="Q1988" s="227"/>
      <c r="R1988" s="231"/>
      <c r="S1988" s="231"/>
      <c r="T1988" s="231"/>
      <c r="U1988" s="231"/>
      <c r="V1988" s="231"/>
      <c r="W1988" s="231"/>
      <c r="X1988" s="227"/>
      <c r="Y1988" s="232"/>
      <c r="Z1988" s="232"/>
      <c r="AA1988" s="232"/>
      <c r="AB1988" s="232"/>
      <c r="AC1988" s="227"/>
      <c r="AD1988" s="227"/>
      <c r="AE1988" s="231"/>
      <c r="AF1988" s="227"/>
      <c r="AG1988" s="232"/>
      <c r="AH1988" s="232"/>
      <c r="AI1988" s="232"/>
      <c r="AJ1988" s="232"/>
      <c r="AK1988" s="232"/>
      <c r="AL1988" s="232"/>
      <c r="AM1988" s="232"/>
      <c r="AN1988" s="232"/>
      <c r="AO1988" s="231"/>
      <c r="AP1988" s="231"/>
      <c r="AQ1988" s="227"/>
      <c r="AR1988" s="231"/>
      <c r="AS1988" s="227"/>
      <c r="AT1988" s="227"/>
      <c r="AU1988" s="227"/>
      <c r="AV1988" s="227"/>
    </row>
    <row r="1989">
      <c r="A1989" s="227"/>
      <c r="B1989" s="232"/>
      <c r="C1989" s="227"/>
      <c r="D1989" s="227"/>
      <c r="E1989" s="231"/>
      <c r="F1989" s="232"/>
      <c r="G1989" s="227"/>
      <c r="H1989" s="227"/>
      <c r="I1989" s="227"/>
      <c r="J1989" s="227"/>
      <c r="K1989" s="227"/>
      <c r="L1989" s="232"/>
      <c r="M1989" s="232"/>
      <c r="N1989" s="227"/>
      <c r="O1989" s="227"/>
      <c r="P1989" s="231"/>
      <c r="Q1989" s="227"/>
      <c r="R1989" s="231"/>
      <c r="S1989" s="231"/>
      <c r="T1989" s="231"/>
      <c r="U1989" s="231"/>
      <c r="V1989" s="231"/>
      <c r="W1989" s="231"/>
      <c r="X1989" s="227"/>
      <c r="Y1989" s="232"/>
      <c r="Z1989" s="232"/>
      <c r="AA1989" s="232"/>
      <c r="AB1989" s="232"/>
      <c r="AC1989" s="227"/>
      <c r="AD1989" s="227"/>
      <c r="AE1989" s="231"/>
      <c r="AF1989" s="227"/>
      <c r="AG1989" s="232"/>
      <c r="AH1989" s="232"/>
      <c r="AI1989" s="232"/>
      <c r="AJ1989" s="232"/>
      <c r="AK1989" s="232"/>
      <c r="AL1989" s="232"/>
      <c r="AM1989" s="232"/>
      <c r="AN1989" s="232"/>
      <c r="AO1989" s="231"/>
      <c r="AP1989" s="231"/>
      <c r="AQ1989" s="227"/>
      <c r="AR1989" s="231"/>
      <c r="AS1989" s="227"/>
      <c r="AT1989" s="227"/>
      <c r="AU1989" s="227"/>
      <c r="AV1989" s="227"/>
    </row>
    <row r="1990">
      <c r="A1990" s="227"/>
      <c r="B1990" s="232"/>
      <c r="C1990" s="227"/>
      <c r="D1990" s="227"/>
      <c r="E1990" s="231"/>
      <c r="F1990" s="232"/>
      <c r="G1990" s="227"/>
      <c r="H1990" s="227"/>
      <c r="I1990" s="227"/>
      <c r="J1990" s="227"/>
      <c r="K1990" s="227"/>
      <c r="L1990" s="232"/>
      <c r="M1990" s="232"/>
      <c r="N1990" s="227"/>
      <c r="O1990" s="227"/>
      <c r="P1990" s="231"/>
      <c r="Q1990" s="227"/>
      <c r="R1990" s="231"/>
      <c r="S1990" s="231"/>
      <c r="T1990" s="231"/>
      <c r="U1990" s="231"/>
      <c r="V1990" s="231"/>
      <c r="W1990" s="231"/>
      <c r="X1990" s="227"/>
      <c r="Y1990" s="232"/>
      <c r="Z1990" s="232"/>
      <c r="AA1990" s="232"/>
      <c r="AB1990" s="232"/>
      <c r="AC1990" s="227"/>
      <c r="AD1990" s="227"/>
      <c r="AE1990" s="231"/>
      <c r="AF1990" s="227"/>
      <c r="AG1990" s="232"/>
      <c r="AH1990" s="232"/>
      <c r="AI1990" s="232"/>
      <c r="AJ1990" s="232"/>
      <c r="AK1990" s="232"/>
      <c r="AL1990" s="232"/>
      <c r="AM1990" s="232"/>
      <c r="AN1990" s="232"/>
      <c r="AO1990" s="231"/>
      <c r="AP1990" s="231"/>
      <c r="AQ1990" s="227"/>
      <c r="AR1990" s="231"/>
      <c r="AS1990" s="227"/>
      <c r="AT1990" s="227"/>
      <c r="AU1990" s="227"/>
      <c r="AV1990" s="227"/>
    </row>
    <row r="1991">
      <c r="A1991" s="227"/>
      <c r="B1991" s="232"/>
      <c r="C1991" s="227"/>
      <c r="D1991" s="227"/>
      <c r="E1991" s="231"/>
      <c r="F1991" s="232"/>
      <c r="G1991" s="227"/>
      <c r="H1991" s="227"/>
      <c r="I1991" s="227"/>
      <c r="J1991" s="227"/>
      <c r="K1991" s="227"/>
      <c r="L1991" s="232"/>
      <c r="M1991" s="232"/>
      <c r="N1991" s="227"/>
      <c r="O1991" s="227"/>
      <c r="P1991" s="231"/>
      <c r="Q1991" s="227"/>
      <c r="R1991" s="231"/>
      <c r="S1991" s="231"/>
      <c r="T1991" s="231"/>
      <c r="U1991" s="231"/>
      <c r="V1991" s="231"/>
      <c r="W1991" s="231"/>
      <c r="X1991" s="227"/>
      <c r="Y1991" s="232"/>
      <c r="Z1991" s="232"/>
      <c r="AA1991" s="232"/>
      <c r="AB1991" s="232"/>
      <c r="AC1991" s="227"/>
      <c r="AD1991" s="227"/>
      <c r="AE1991" s="231"/>
      <c r="AF1991" s="227"/>
      <c r="AG1991" s="232"/>
      <c r="AH1991" s="232"/>
      <c r="AI1991" s="232"/>
      <c r="AJ1991" s="232"/>
      <c r="AK1991" s="232"/>
      <c r="AL1991" s="232"/>
      <c r="AM1991" s="232"/>
      <c r="AN1991" s="232"/>
      <c r="AO1991" s="231"/>
      <c r="AP1991" s="231"/>
      <c r="AQ1991" s="227"/>
      <c r="AR1991" s="231"/>
      <c r="AS1991" s="227"/>
      <c r="AT1991" s="227"/>
      <c r="AU1991" s="227"/>
      <c r="AV1991" s="227"/>
    </row>
    <row r="1992">
      <c r="A1992" s="227"/>
      <c r="B1992" s="232"/>
      <c r="C1992" s="227"/>
      <c r="D1992" s="227"/>
      <c r="E1992" s="231"/>
      <c r="F1992" s="232"/>
      <c r="G1992" s="227"/>
      <c r="H1992" s="227"/>
      <c r="I1992" s="227"/>
      <c r="J1992" s="227"/>
      <c r="K1992" s="227"/>
      <c r="L1992" s="232"/>
      <c r="M1992" s="232"/>
      <c r="N1992" s="227"/>
      <c r="O1992" s="227"/>
      <c r="P1992" s="231"/>
      <c r="Q1992" s="227"/>
      <c r="R1992" s="231"/>
      <c r="S1992" s="231"/>
      <c r="T1992" s="231"/>
      <c r="U1992" s="231"/>
      <c r="V1992" s="231"/>
      <c r="W1992" s="231"/>
      <c r="X1992" s="227"/>
      <c r="Y1992" s="232"/>
      <c r="Z1992" s="232"/>
      <c r="AA1992" s="232"/>
      <c r="AB1992" s="232"/>
      <c r="AC1992" s="227"/>
      <c r="AD1992" s="227"/>
      <c r="AE1992" s="231"/>
      <c r="AF1992" s="227"/>
      <c r="AG1992" s="232"/>
      <c r="AH1992" s="232"/>
      <c r="AI1992" s="232"/>
      <c r="AJ1992" s="232"/>
      <c r="AK1992" s="232"/>
      <c r="AL1992" s="232"/>
      <c r="AM1992" s="232"/>
      <c r="AN1992" s="232"/>
      <c r="AO1992" s="231"/>
      <c r="AP1992" s="231"/>
      <c r="AQ1992" s="227"/>
      <c r="AR1992" s="231"/>
      <c r="AS1992" s="227"/>
      <c r="AT1992" s="227"/>
      <c r="AU1992" s="227"/>
      <c r="AV1992" s="227"/>
    </row>
    <row r="1993">
      <c r="A1993" s="227"/>
      <c r="B1993" s="232"/>
      <c r="C1993" s="227"/>
      <c r="D1993" s="227"/>
      <c r="E1993" s="231"/>
      <c r="F1993" s="232"/>
      <c r="G1993" s="227"/>
      <c r="H1993" s="227"/>
      <c r="I1993" s="227"/>
      <c r="J1993" s="227"/>
      <c r="K1993" s="227"/>
      <c r="L1993" s="232"/>
      <c r="M1993" s="232"/>
      <c r="N1993" s="227"/>
      <c r="O1993" s="227"/>
      <c r="P1993" s="231"/>
      <c r="Q1993" s="227"/>
      <c r="R1993" s="231"/>
      <c r="S1993" s="231"/>
      <c r="T1993" s="231"/>
      <c r="U1993" s="231"/>
      <c r="V1993" s="231"/>
      <c r="W1993" s="231"/>
      <c r="X1993" s="227"/>
      <c r="Y1993" s="232"/>
      <c r="Z1993" s="232"/>
      <c r="AA1993" s="232"/>
      <c r="AB1993" s="232"/>
      <c r="AC1993" s="227"/>
      <c r="AD1993" s="227"/>
      <c r="AE1993" s="231"/>
      <c r="AF1993" s="227"/>
      <c r="AG1993" s="232"/>
      <c r="AH1993" s="232"/>
      <c r="AI1993" s="232"/>
      <c r="AJ1993" s="232"/>
      <c r="AK1993" s="232"/>
      <c r="AL1993" s="232"/>
      <c r="AM1993" s="232"/>
      <c r="AN1993" s="232"/>
      <c r="AO1993" s="231"/>
      <c r="AP1993" s="231"/>
      <c r="AQ1993" s="227"/>
      <c r="AR1993" s="231"/>
      <c r="AS1993" s="227"/>
      <c r="AT1993" s="227"/>
      <c r="AU1993" s="227"/>
      <c r="AV1993" s="227"/>
    </row>
    <row r="1994">
      <c r="A1994" s="227"/>
      <c r="B1994" s="232"/>
      <c r="C1994" s="227"/>
      <c r="D1994" s="227"/>
      <c r="E1994" s="231"/>
      <c r="F1994" s="232"/>
      <c r="G1994" s="227"/>
      <c r="H1994" s="227"/>
      <c r="I1994" s="227"/>
      <c r="J1994" s="227"/>
      <c r="K1994" s="227"/>
      <c r="L1994" s="232"/>
      <c r="M1994" s="232"/>
      <c r="N1994" s="227"/>
      <c r="O1994" s="227"/>
      <c r="P1994" s="231"/>
      <c r="Q1994" s="227"/>
      <c r="R1994" s="231"/>
      <c r="S1994" s="231"/>
      <c r="T1994" s="231"/>
      <c r="U1994" s="231"/>
      <c r="V1994" s="231"/>
      <c r="W1994" s="231"/>
      <c r="X1994" s="227"/>
      <c r="Y1994" s="232"/>
      <c r="Z1994" s="232"/>
      <c r="AA1994" s="232"/>
      <c r="AB1994" s="232"/>
      <c r="AC1994" s="227"/>
      <c r="AD1994" s="227"/>
      <c r="AE1994" s="231"/>
      <c r="AF1994" s="227"/>
      <c r="AG1994" s="232"/>
      <c r="AH1994" s="232"/>
      <c r="AI1994" s="232"/>
      <c r="AJ1994" s="232"/>
      <c r="AK1994" s="232"/>
      <c r="AL1994" s="232"/>
      <c r="AM1994" s="232"/>
      <c r="AN1994" s="232"/>
      <c r="AO1994" s="231"/>
      <c r="AP1994" s="231"/>
      <c r="AQ1994" s="227"/>
      <c r="AR1994" s="231"/>
      <c r="AS1994" s="227"/>
      <c r="AT1994" s="227"/>
      <c r="AU1994" s="227"/>
      <c r="AV1994" s="227"/>
    </row>
    <row r="1995">
      <c r="A1995" s="227"/>
      <c r="B1995" s="232"/>
      <c r="C1995" s="227"/>
      <c r="D1995" s="227"/>
      <c r="E1995" s="231"/>
      <c r="F1995" s="232"/>
      <c r="G1995" s="227"/>
      <c r="H1995" s="227"/>
      <c r="I1995" s="227"/>
      <c r="J1995" s="227"/>
      <c r="K1995" s="227"/>
      <c r="L1995" s="232"/>
      <c r="M1995" s="232"/>
      <c r="N1995" s="227"/>
      <c r="O1995" s="227"/>
      <c r="P1995" s="231"/>
      <c r="Q1995" s="227"/>
      <c r="R1995" s="231"/>
      <c r="S1995" s="231"/>
      <c r="T1995" s="231"/>
      <c r="U1995" s="231"/>
      <c r="V1995" s="231"/>
      <c r="W1995" s="231"/>
      <c r="X1995" s="227"/>
      <c r="Y1995" s="232"/>
      <c r="Z1995" s="232"/>
      <c r="AA1995" s="232"/>
      <c r="AB1995" s="232"/>
      <c r="AC1995" s="227"/>
      <c r="AD1995" s="227"/>
      <c r="AE1995" s="231"/>
      <c r="AF1995" s="227"/>
      <c r="AG1995" s="232"/>
      <c r="AH1995" s="232"/>
      <c r="AI1995" s="232"/>
      <c r="AJ1995" s="232"/>
      <c r="AK1995" s="232"/>
      <c r="AL1995" s="232"/>
      <c r="AM1995" s="232"/>
      <c r="AN1995" s="232"/>
      <c r="AO1995" s="231"/>
      <c r="AP1995" s="231"/>
      <c r="AQ1995" s="227"/>
      <c r="AR1995" s="231"/>
      <c r="AS1995" s="227"/>
      <c r="AT1995" s="227"/>
      <c r="AU1995" s="227"/>
      <c r="AV1995" s="227"/>
    </row>
    <row r="1996">
      <c r="A1996" s="227"/>
      <c r="B1996" s="232"/>
      <c r="C1996" s="227"/>
      <c r="D1996" s="227"/>
      <c r="E1996" s="231"/>
      <c r="F1996" s="232"/>
      <c r="G1996" s="227"/>
      <c r="H1996" s="227"/>
      <c r="I1996" s="227"/>
      <c r="J1996" s="227"/>
      <c r="K1996" s="227"/>
      <c r="L1996" s="232"/>
      <c r="M1996" s="232"/>
      <c r="N1996" s="227"/>
      <c r="O1996" s="227"/>
      <c r="P1996" s="231"/>
      <c r="Q1996" s="227"/>
      <c r="R1996" s="231"/>
      <c r="S1996" s="231"/>
      <c r="T1996" s="231"/>
      <c r="U1996" s="231"/>
      <c r="V1996" s="231"/>
      <c r="W1996" s="231"/>
      <c r="X1996" s="227"/>
      <c r="Y1996" s="232"/>
      <c r="Z1996" s="232"/>
      <c r="AA1996" s="232"/>
      <c r="AB1996" s="232"/>
      <c r="AC1996" s="227"/>
      <c r="AD1996" s="227"/>
      <c r="AE1996" s="231"/>
      <c r="AF1996" s="227"/>
      <c r="AG1996" s="232"/>
      <c r="AH1996" s="232"/>
      <c r="AI1996" s="232"/>
      <c r="AJ1996" s="232"/>
      <c r="AK1996" s="232"/>
      <c r="AL1996" s="232"/>
      <c r="AM1996" s="232"/>
      <c r="AN1996" s="232"/>
      <c r="AO1996" s="231"/>
      <c r="AP1996" s="231"/>
      <c r="AQ1996" s="227"/>
      <c r="AR1996" s="231"/>
      <c r="AS1996" s="227"/>
      <c r="AT1996" s="227"/>
      <c r="AU1996" s="227"/>
      <c r="AV1996" s="227"/>
    </row>
    <row r="1997">
      <c r="A1997" s="227"/>
      <c r="B1997" s="232"/>
      <c r="C1997" s="227"/>
      <c r="D1997" s="227"/>
      <c r="E1997" s="231"/>
      <c r="F1997" s="232"/>
      <c r="G1997" s="227"/>
      <c r="H1997" s="227"/>
      <c r="I1997" s="227"/>
      <c r="J1997" s="227"/>
      <c r="K1997" s="227"/>
      <c r="L1997" s="232"/>
      <c r="M1997" s="232"/>
      <c r="N1997" s="227"/>
      <c r="O1997" s="227"/>
      <c r="P1997" s="231"/>
      <c r="Q1997" s="227"/>
      <c r="R1997" s="231"/>
      <c r="S1997" s="231"/>
      <c r="T1997" s="231"/>
      <c r="U1997" s="231"/>
      <c r="V1997" s="231"/>
      <c r="W1997" s="231"/>
      <c r="X1997" s="227"/>
      <c r="Y1997" s="232"/>
      <c r="Z1997" s="232"/>
      <c r="AA1997" s="232"/>
      <c r="AB1997" s="232"/>
      <c r="AC1997" s="227"/>
      <c r="AD1997" s="227"/>
      <c r="AE1997" s="231"/>
      <c r="AF1997" s="227"/>
      <c r="AG1997" s="232"/>
      <c r="AH1997" s="232"/>
      <c r="AI1997" s="232"/>
      <c r="AJ1997" s="232"/>
      <c r="AK1997" s="232"/>
      <c r="AL1997" s="232"/>
      <c r="AM1997" s="232"/>
      <c r="AN1997" s="232"/>
      <c r="AO1997" s="231"/>
      <c r="AP1997" s="231"/>
      <c r="AQ1997" s="227"/>
      <c r="AR1997" s="231"/>
      <c r="AS1997" s="227"/>
      <c r="AT1997" s="227"/>
      <c r="AU1997" s="227"/>
      <c r="AV1997" s="227"/>
    </row>
    <row r="1998">
      <c r="A1998" s="227"/>
      <c r="B1998" s="232"/>
      <c r="C1998" s="227"/>
      <c r="D1998" s="227"/>
      <c r="E1998" s="231"/>
      <c r="F1998" s="232"/>
      <c r="G1998" s="227"/>
      <c r="H1998" s="227"/>
      <c r="I1998" s="227"/>
      <c r="J1998" s="227"/>
      <c r="K1998" s="227"/>
      <c r="L1998" s="232"/>
      <c r="M1998" s="232"/>
      <c r="N1998" s="227"/>
      <c r="O1998" s="227"/>
      <c r="P1998" s="231"/>
      <c r="Q1998" s="227"/>
      <c r="R1998" s="231"/>
      <c r="S1998" s="231"/>
      <c r="T1998" s="231"/>
      <c r="U1998" s="231"/>
      <c r="V1998" s="231"/>
      <c r="W1998" s="231"/>
      <c r="X1998" s="227"/>
      <c r="Y1998" s="232"/>
      <c r="Z1998" s="232"/>
      <c r="AA1998" s="232"/>
      <c r="AB1998" s="232"/>
      <c r="AC1998" s="227"/>
      <c r="AD1998" s="227"/>
      <c r="AE1998" s="231"/>
      <c r="AF1998" s="227"/>
      <c r="AG1998" s="232"/>
      <c r="AH1998" s="232"/>
      <c r="AI1998" s="232"/>
      <c r="AJ1998" s="232"/>
      <c r="AK1998" s="232"/>
      <c r="AL1998" s="232"/>
      <c r="AM1998" s="232"/>
      <c r="AN1998" s="232"/>
      <c r="AO1998" s="231"/>
      <c r="AP1998" s="231"/>
      <c r="AQ1998" s="227"/>
      <c r="AR1998" s="231"/>
      <c r="AS1998" s="227"/>
      <c r="AT1998" s="227"/>
      <c r="AU1998" s="227"/>
      <c r="AV1998" s="227"/>
    </row>
    <row r="1999">
      <c r="A1999" s="227"/>
      <c r="B1999" s="232"/>
      <c r="C1999" s="227"/>
      <c r="D1999" s="227"/>
      <c r="E1999" s="231"/>
      <c r="F1999" s="232"/>
      <c r="G1999" s="227"/>
      <c r="H1999" s="227"/>
      <c r="I1999" s="227"/>
      <c r="J1999" s="227"/>
      <c r="K1999" s="227"/>
      <c r="L1999" s="232"/>
      <c r="M1999" s="232"/>
      <c r="N1999" s="227"/>
      <c r="O1999" s="227"/>
      <c r="P1999" s="231"/>
      <c r="Q1999" s="227"/>
      <c r="R1999" s="231"/>
      <c r="S1999" s="231"/>
      <c r="T1999" s="231"/>
      <c r="U1999" s="231"/>
      <c r="V1999" s="231"/>
      <c r="W1999" s="231"/>
      <c r="X1999" s="227"/>
      <c r="Y1999" s="232"/>
      <c r="Z1999" s="232"/>
      <c r="AA1999" s="232"/>
      <c r="AB1999" s="232"/>
      <c r="AC1999" s="227"/>
      <c r="AD1999" s="227"/>
      <c r="AE1999" s="231"/>
      <c r="AF1999" s="227"/>
      <c r="AG1999" s="232"/>
      <c r="AH1999" s="232"/>
      <c r="AI1999" s="232"/>
      <c r="AJ1999" s="232"/>
      <c r="AK1999" s="232"/>
      <c r="AL1999" s="232"/>
      <c r="AM1999" s="232"/>
      <c r="AN1999" s="232"/>
      <c r="AO1999" s="231"/>
      <c r="AP1999" s="231"/>
      <c r="AQ1999" s="227"/>
      <c r="AR1999" s="231"/>
      <c r="AS1999" s="227"/>
      <c r="AT1999" s="227"/>
      <c r="AU1999" s="227"/>
      <c r="AV1999" s="227"/>
    </row>
    <row r="2000">
      <c r="A2000" s="227"/>
      <c r="B2000" s="232"/>
      <c r="C2000" s="227"/>
      <c r="D2000" s="227"/>
      <c r="E2000" s="231"/>
      <c r="F2000" s="232"/>
      <c r="G2000" s="227"/>
      <c r="H2000" s="227"/>
      <c r="I2000" s="227"/>
      <c r="J2000" s="227"/>
      <c r="K2000" s="227"/>
      <c r="L2000" s="232"/>
      <c r="M2000" s="232"/>
      <c r="N2000" s="227"/>
      <c r="O2000" s="227"/>
      <c r="P2000" s="231"/>
      <c r="Q2000" s="227"/>
      <c r="R2000" s="231"/>
      <c r="S2000" s="231"/>
      <c r="T2000" s="231"/>
      <c r="U2000" s="231"/>
      <c r="V2000" s="231"/>
      <c r="W2000" s="231"/>
      <c r="X2000" s="227"/>
      <c r="Y2000" s="232"/>
      <c r="Z2000" s="232"/>
      <c r="AA2000" s="232"/>
      <c r="AB2000" s="232"/>
      <c r="AC2000" s="227"/>
      <c r="AD2000" s="227"/>
      <c r="AE2000" s="231"/>
      <c r="AF2000" s="227"/>
      <c r="AG2000" s="232"/>
      <c r="AH2000" s="232"/>
      <c r="AI2000" s="232"/>
      <c r="AJ2000" s="232"/>
      <c r="AK2000" s="232"/>
      <c r="AL2000" s="232"/>
      <c r="AM2000" s="232"/>
      <c r="AN2000" s="232"/>
      <c r="AO2000" s="231"/>
      <c r="AP2000" s="231"/>
      <c r="AQ2000" s="227"/>
      <c r="AR2000" s="231"/>
      <c r="AS2000" s="227"/>
      <c r="AT2000" s="227"/>
      <c r="AU2000" s="227"/>
      <c r="AV2000" s="227"/>
    </row>
    <row r="2001">
      <c r="A2001" s="227"/>
      <c r="B2001" s="232"/>
      <c r="C2001" s="227"/>
      <c r="D2001" s="227"/>
      <c r="E2001" s="231"/>
      <c r="F2001" s="232"/>
      <c r="G2001" s="227"/>
      <c r="H2001" s="227"/>
      <c r="I2001" s="227"/>
      <c r="J2001" s="227"/>
      <c r="K2001" s="227"/>
      <c r="L2001" s="232"/>
      <c r="M2001" s="232"/>
      <c r="N2001" s="227"/>
      <c r="O2001" s="227"/>
      <c r="P2001" s="231"/>
      <c r="Q2001" s="227"/>
      <c r="R2001" s="231"/>
      <c r="S2001" s="231"/>
      <c r="T2001" s="231"/>
      <c r="U2001" s="231"/>
      <c r="V2001" s="231"/>
      <c r="W2001" s="231"/>
      <c r="X2001" s="227"/>
      <c r="Y2001" s="232"/>
      <c r="Z2001" s="232"/>
      <c r="AA2001" s="232"/>
      <c r="AB2001" s="232"/>
      <c r="AC2001" s="227"/>
      <c r="AD2001" s="227"/>
      <c r="AE2001" s="231"/>
      <c r="AF2001" s="227"/>
      <c r="AG2001" s="232"/>
      <c r="AH2001" s="232"/>
      <c r="AI2001" s="232"/>
      <c r="AJ2001" s="232"/>
      <c r="AK2001" s="232"/>
      <c r="AL2001" s="232"/>
      <c r="AM2001" s="232"/>
      <c r="AN2001" s="232"/>
      <c r="AO2001" s="231"/>
      <c r="AP2001" s="231"/>
      <c r="AQ2001" s="227"/>
      <c r="AR2001" s="231"/>
      <c r="AS2001" s="227"/>
      <c r="AT2001" s="227"/>
      <c r="AU2001" s="227"/>
      <c r="AV2001" s="227"/>
    </row>
    <row r="2002">
      <c r="A2002" s="227"/>
      <c r="B2002" s="232"/>
      <c r="C2002" s="227"/>
      <c r="D2002" s="227"/>
      <c r="E2002" s="231"/>
      <c r="F2002" s="232"/>
      <c r="G2002" s="227"/>
      <c r="H2002" s="227"/>
      <c r="I2002" s="227"/>
      <c r="J2002" s="227"/>
      <c r="K2002" s="227"/>
      <c r="L2002" s="232"/>
      <c r="M2002" s="232"/>
      <c r="N2002" s="227"/>
      <c r="O2002" s="227"/>
      <c r="P2002" s="231"/>
      <c r="Q2002" s="227"/>
      <c r="R2002" s="231"/>
      <c r="S2002" s="231"/>
      <c r="T2002" s="231"/>
      <c r="U2002" s="231"/>
      <c r="V2002" s="231"/>
      <c r="W2002" s="231"/>
      <c r="X2002" s="227"/>
      <c r="Y2002" s="232"/>
      <c r="Z2002" s="232"/>
      <c r="AA2002" s="232"/>
      <c r="AB2002" s="232"/>
      <c r="AC2002" s="227"/>
      <c r="AD2002" s="227"/>
      <c r="AE2002" s="231"/>
      <c r="AF2002" s="227"/>
      <c r="AG2002" s="232"/>
      <c r="AH2002" s="232"/>
      <c r="AI2002" s="232"/>
      <c r="AJ2002" s="232"/>
      <c r="AK2002" s="232"/>
      <c r="AL2002" s="232"/>
      <c r="AM2002" s="232"/>
      <c r="AN2002" s="232"/>
      <c r="AO2002" s="231"/>
      <c r="AP2002" s="231"/>
      <c r="AQ2002" s="227"/>
      <c r="AR2002" s="231"/>
      <c r="AS2002" s="227"/>
      <c r="AT2002" s="227"/>
      <c r="AU2002" s="227"/>
      <c r="AV2002" s="227"/>
    </row>
    <row r="2003">
      <c r="A2003" s="227"/>
      <c r="B2003" s="232"/>
      <c r="C2003" s="227"/>
      <c r="D2003" s="227"/>
      <c r="E2003" s="231"/>
      <c r="F2003" s="232"/>
      <c r="G2003" s="227"/>
      <c r="H2003" s="227"/>
      <c r="I2003" s="227"/>
      <c r="J2003" s="227"/>
      <c r="K2003" s="227"/>
      <c r="L2003" s="232"/>
      <c r="M2003" s="232"/>
      <c r="N2003" s="227"/>
      <c r="O2003" s="227"/>
      <c r="P2003" s="231"/>
      <c r="Q2003" s="227"/>
      <c r="R2003" s="231"/>
      <c r="S2003" s="231"/>
      <c r="T2003" s="231"/>
      <c r="U2003" s="231"/>
      <c r="V2003" s="231"/>
      <c r="W2003" s="231"/>
      <c r="X2003" s="227"/>
      <c r="Y2003" s="232"/>
      <c r="Z2003" s="232"/>
      <c r="AA2003" s="232"/>
      <c r="AB2003" s="232"/>
      <c r="AC2003" s="227"/>
      <c r="AD2003" s="227"/>
      <c r="AE2003" s="231"/>
      <c r="AF2003" s="227"/>
      <c r="AG2003" s="232"/>
      <c r="AH2003" s="232"/>
      <c r="AI2003" s="232"/>
      <c r="AJ2003" s="232"/>
      <c r="AK2003" s="232"/>
      <c r="AL2003" s="232"/>
      <c r="AM2003" s="232"/>
      <c r="AN2003" s="232"/>
      <c r="AO2003" s="231"/>
      <c r="AP2003" s="231"/>
      <c r="AQ2003" s="227"/>
      <c r="AR2003" s="231"/>
      <c r="AS2003" s="227"/>
      <c r="AT2003" s="227"/>
      <c r="AU2003" s="227"/>
      <c r="AV2003" s="227"/>
    </row>
    <row r="2004">
      <c r="A2004" s="227"/>
      <c r="B2004" s="232"/>
      <c r="C2004" s="227"/>
      <c r="D2004" s="227"/>
      <c r="E2004" s="231"/>
      <c r="F2004" s="232"/>
      <c r="G2004" s="227"/>
      <c r="H2004" s="227"/>
      <c r="I2004" s="227"/>
      <c r="J2004" s="227"/>
      <c r="K2004" s="227"/>
      <c r="L2004" s="232"/>
      <c r="M2004" s="232"/>
      <c r="N2004" s="227"/>
      <c r="O2004" s="227"/>
      <c r="P2004" s="231"/>
      <c r="Q2004" s="227"/>
      <c r="R2004" s="231"/>
      <c r="S2004" s="231"/>
      <c r="T2004" s="231"/>
      <c r="U2004" s="231"/>
      <c r="V2004" s="231"/>
      <c r="W2004" s="231"/>
      <c r="X2004" s="227"/>
      <c r="Y2004" s="232"/>
      <c r="Z2004" s="232"/>
      <c r="AA2004" s="232"/>
      <c r="AB2004" s="232"/>
      <c r="AC2004" s="227"/>
      <c r="AD2004" s="227"/>
      <c r="AE2004" s="231"/>
      <c r="AF2004" s="227"/>
      <c r="AG2004" s="232"/>
      <c r="AH2004" s="232"/>
      <c r="AI2004" s="232"/>
      <c r="AJ2004" s="232"/>
      <c r="AK2004" s="232"/>
      <c r="AL2004" s="232"/>
      <c r="AM2004" s="232"/>
      <c r="AN2004" s="232"/>
      <c r="AO2004" s="231"/>
      <c r="AP2004" s="231"/>
      <c r="AQ2004" s="227"/>
      <c r="AR2004" s="231"/>
      <c r="AS2004" s="227"/>
      <c r="AT2004" s="227"/>
      <c r="AU2004" s="227"/>
      <c r="AV2004" s="227"/>
    </row>
    <row r="2005">
      <c r="A2005" s="227"/>
      <c r="B2005" s="232"/>
      <c r="C2005" s="227"/>
      <c r="D2005" s="227"/>
      <c r="E2005" s="231"/>
      <c r="F2005" s="232"/>
      <c r="G2005" s="227"/>
      <c r="H2005" s="227"/>
      <c r="I2005" s="227"/>
      <c r="J2005" s="227"/>
      <c r="K2005" s="227"/>
      <c r="L2005" s="232"/>
      <c r="M2005" s="232"/>
      <c r="N2005" s="227"/>
      <c r="O2005" s="227"/>
      <c r="P2005" s="231"/>
      <c r="Q2005" s="227"/>
      <c r="R2005" s="231"/>
      <c r="S2005" s="231"/>
      <c r="T2005" s="231"/>
      <c r="U2005" s="231"/>
      <c r="V2005" s="231"/>
      <c r="W2005" s="231"/>
      <c r="X2005" s="227"/>
      <c r="Y2005" s="232"/>
      <c r="Z2005" s="232"/>
      <c r="AA2005" s="232"/>
      <c r="AB2005" s="232"/>
      <c r="AC2005" s="227"/>
      <c r="AD2005" s="227"/>
      <c r="AE2005" s="231"/>
      <c r="AF2005" s="227"/>
      <c r="AG2005" s="232"/>
      <c r="AH2005" s="232"/>
      <c r="AI2005" s="232"/>
      <c r="AJ2005" s="232"/>
      <c r="AK2005" s="232"/>
      <c r="AL2005" s="232"/>
      <c r="AM2005" s="232"/>
      <c r="AN2005" s="232"/>
      <c r="AO2005" s="231"/>
      <c r="AP2005" s="231"/>
      <c r="AQ2005" s="227"/>
      <c r="AR2005" s="231"/>
      <c r="AS2005" s="227"/>
      <c r="AT2005" s="227"/>
      <c r="AU2005" s="227"/>
      <c r="AV2005" s="227"/>
    </row>
    <row r="2006">
      <c r="A2006" s="227"/>
      <c r="B2006" s="232"/>
      <c r="C2006" s="227"/>
      <c r="D2006" s="227"/>
      <c r="E2006" s="231"/>
      <c r="F2006" s="232"/>
      <c r="G2006" s="227"/>
      <c r="H2006" s="227"/>
      <c r="I2006" s="227"/>
      <c r="J2006" s="227"/>
      <c r="K2006" s="227"/>
      <c r="L2006" s="232"/>
      <c r="M2006" s="232"/>
      <c r="N2006" s="227"/>
      <c r="O2006" s="227"/>
      <c r="P2006" s="231"/>
      <c r="Q2006" s="227"/>
      <c r="R2006" s="231"/>
      <c r="S2006" s="231"/>
      <c r="T2006" s="231"/>
      <c r="U2006" s="231"/>
      <c r="V2006" s="231"/>
      <c r="W2006" s="231"/>
      <c r="X2006" s="227"/>
      <c r="Y2006" s="232"/>
      <c r="Z2006" s="232"/>
      <c r="AA2006" s="232"/>
      <c r="AB2006" s="232"/>
      <c r="AC2006" s="227"/>
      <c r="AD2006" s="227"/>
      <c r="AE2006" s="231"/>
      <c r="AF2006" s="227"/>
      <c r="AG2006" s="232"/>
      <c r="AH2006" s="232"/>
      <c r="AI2006" s="232"/>
      <c r="AJ2006" s="232"/>
      <c r="AK2006" s="232"/>
      <c r="AL2006" s="232"/>
      <c r="AM2006" s="232"/>
      <c r="AN2006" s="232"/>
      <c r="AO2006" s="231"/>
      <c r="AP2006" s="231"/>
      <c r="AQ2006" s="227"/>
      <c r="AR2006" s="231"/>
      <c r="AS2006" s="227"/>
      <c r="AT2006" s="227"/>
      <c r="AU2006" s="227"/>
      <c r="AV2006" s="227"/>
    </row>
    <row r="2007">
      <c r="A2007" s="227"/>
      <c r="B2007" s="232"/>
      <c r="C2007" s="227"/>
      <c r="D2007" s="227"/>
      <c r="E2007" s="231"/>
      <c r="F2007" s="232"/>
      <c r="G2007" s="227"/>
      <c r="H2007" s="227"/>
      <c r="I2007" s="227"/>
      <c r="J2007" s="227"/>
      <c r="K2007" s="227"/>
      <c r="L2007" s="232"/>
      <c r="M2007" s="232"/>
      <c r="N2007" s="227"/>
      <c r="O2007" s="227"/>
      <c r="P2007" s="231"/>
      <c r="Q2007" s="227"/>
      <c r="R2007" s="231"/>
      <c r="S2007" s="231"/>
      <c r="T2007" s="231"/>
      <c r="U2007" s="231"/>
      <c r="V2007" s="231"/>
      <c r="W2007" s="231"/>
      <c r="X2007" s="227"/>
      <c r="Y2007" s="232"/>
      <c r="Z2007" s="232"/>
      <c r="AA2007" s="232"/>
      <c r="AB2007" s="232"/>
      <c r="AC2007" s="227"/>
      <c r="AD2007" s="227"/>
      <c r="AE2007" s="231"/>
      <c r="AF2007" s="227"/>
      <c r="AG2007" s="232"/>
      <c r="AH2007" s="232"/>
      <c r="AI2007" s="232"/>
      <c r="AJ2007" s="232"/>
      <c r="AK2007" s="232"/>
      <c r="AL2007" s="232"/>
      <c r="AM2007" s="232"/>
      <c r="AN2007" s="232"/>
      <c r="AO2007" s="231"/>
      <c r="AP2007" s="231"/>
      <c r="AQ2007" s="227"/>
      <c r="AR2007" s="231"/>
      <c r="AS2007" s="227"/>
      <c r="AT2007" s="227"/>
      <c r="AU2007" s="227"/>
      <c r="AV2007" s="227"/>
    </row>
    <row r="2008">
      <c r="A2008" s="227"/>
      <c r="B2008" s="232"/>
      <c r="C2008" s="227"/>
      <c r="D2008" s="227"/>
      <c r="E2008" s="231"/>
      <c r="F2008" s="232"/>
      <c r="G2008" s="227"/>
      <c r="H2008" s="227"/>
      <c r="I2008" s="227"/>
      <c r="J2008" s="227"/>
      <c r="K2008" s="227"/>
      <c r="L2008" s="232"/>
      <c r="M2008" s="232"/>
      <c r="N2008" s="227"/>
      <c r="O2008" s="227"/>
      <c r="P2008" s="231"/>
      <c r="Q2008" s="227"/>
      <c r="R2008" s="231"/>
      <c r="S2008" s="231"/>
      <c r="T2008" s="231"/>
      <c r="U2008" s="231"/>
      <c r="V2008" s="231"/>
      <c r="W2008" s="231"/>
      <c r="X2008" s="227"/>
      <c r="Y2008" s="232"/>
      <c r="Z2008" s="232"/>
      <c r="AA2008" s="232"/>
      <c r="AB2008" s="232"/>
      <c r="AC2008" s="227"/>
      <c r="AD2008" s="227"/>
      <c r="AE2008" s="231"/>
      <c r="AF2008" s="227"/>
      <c r="AG2008" s="232"/>
      <c r="AH2008" s="232"/>
      <c r="AI2008" s="232"/>
      <c r="AJ2008" s="232"/>
      <c r="AK2008" s="232"/>
      <c r="AL2008" s="232"/>
      <c r="AM2008" s="232"/>
      <c r="AN2008" s="232"/>
      <c r="AO2008" s="231"/>
      <c r="AP2008" s="231"/>
      <c r="AQ2008" s="227"/>
      <c r="AR2008" s="231"/>
      <c r="AS2008" s="227"/>
      <c r="AT2008" s="227"/>
      <c r="AU2008" s="227"/>
      <c r="AV2008" s="227"/>
    </row>
    <row r="2009">
      <c r="A2009" s="227"/>
      <c r="B2009" s="232"/>
      <c r="C2009" s="227"/>
      <c r="D2009" s="227"/>
      <c r="E2009" s="231"/>
      <c r="F2009" s="232"/>
      <c r="G2009" s="227"/>
      <c r="H2009" s="227"/>
      <c r="I2009" s="227"/>
      <c r="J2009" s="227"/>
      <c r="K2009" s="227"/>
      <c r="L2009" s="232"/>
      <c r="M2009" s="232"/>
      <c r="N2009" s="227"/>
      <c r="O2009" s="227"/>
      <c r="P2009" s="231"/>
      <c r="Q2009" s="227"/>
      <c r="R2009" s="231"/>
      <c r="S2009" s="231"/>
      <c r="T2009" s="231"/>
      <c r="U2009" s="231"/>
      <c r="V2009" s="231"/>
      <c r="W2009" s="231"/>
      <c r="X2009" s="227"/>
      <c r="Y2009" s="232"/>
      <c r="Z2009" s="232"/>
      <c r="AA2009" s="232"/>
      <c r="AB2009" s="232"/>
      <c r="AC2009" s="227"/>
      <c r="AD2009" s="227"/>
      <c r="AE2009" s="231"/>
      <c r="AF2009" s="227"/>
      <c r="AG2009" s="232"/>
      <c r="AH2009" s="232"/>
      <c r="AI2009" s="232"/>
      <c r="AJ2009" s="232"/>
      <c r="AK2009" s="232"/>
      <c r="AL2009" s="232"/>
      <c r="AM2009" s="232"/>
      <c r="AN2009" s="232"/>
      <c r="AO2009" s="231"/>
      <c r="AP2009" s="231"/>
      <c r="AQ2009" s="227"/>
      <c r="AR2009" s="231"/>
      <c r="AS2009" s="227"/>
      <c r="AT2009" s="227"/>
      <c r="AU2009" s="227"/>
      <c r="AV2009" s="227"/>
    </row>
    <row r="2010">
      <c r="A2010" s="227"/>
      <c r="B2010" s="232"/>
      <c r="C2010" s="227"/>
      <c r="D2010" s="227"/>
      <c r="E2010" s="231"/>
      <c r="F2010" s="232"/>
      <c r="G2010" s="227"/>
      <c r="H2010" s="227"/>
      <c r="I2010" s="227"/>
      <c r="J2010" s="227"/>
      <c r="K2010" s="227"/>
      <c r="L2010" s="232"/>
      <c r="M2010" s="232"/>
      <c r="N2010" s="227"/>
      <c r="O2010" s="227"/>
      <c r="P2010" s="231"/>
      <c r="Q2010" s="227"/>
      <c r="R2010" s="231"/>
      <c r="S2010" s="231"/>
      <c r="T2010" s="231"/>
      <c r="U2010" s="231"/>
      <c r="V2010" s="231"/>
      <c r="W2010" s="231"/>
      <c r="X2010" s="227"/>
      <c r="Y2010" s="232"/>
      <c r="Z2010" s="232"/>
      <c r="AA2010" s="232"/>
      <c r="AB2010" s="232"/>
      <c r="AC2010" s="227"/>
      <c r="AD2010" s="227"/>
      <c r="AE2010" s="231"/>
      <c r="AF2010" s="227"/>
      <c r="AG2010" s="232"/>
      <c r="AH2010" s="232"/>
      <c r="AI2010" s="232"/>
      <c r="AJ2010" s="232"/>
      <c r="AK2010" s="232"/>
      <c r="AL2010" s="232"/>
      <c r="AM2010" s="232"/>
      <c r="AN2010" s="232"/>
      <c r="AO2010" s="231"/>
      <c r="AP2010" s="231"/>
      <c r="AQ2010" s="227"/>
      <c r="AR2010" s="231"/>
      <c r="AS2010" s="227"/>
      <c r="AT2010" s="227"/>
      <c r="AU2010" s="227"/>
      <c r="AV2010" s="227"/>
    </row>
    <row r="2011">
      <c r="A2011" s="227"/>
      <c r="B2011" s="232"/>
      <c r="C2011" s="227"/>
      <c r="D2011" s="227"/>
      <c r="E2011" s="231"/>
      <c r="F2011" s="232"/>
      <c r="G2011" s="227"/>
      <c r="H2011" s="227"/>
      <c r="I2011" s="227"/>
      <c r="J2011" s="227"/>
      <c r="K2011" s="227"/>
      <c r="L2011" s="232"/>
      <c r="M2011" s="232"/>
      <c r="N2011" s="227"/>
      <c r="O2011" s="227"/>
      <c r="P2011" s="231"/>
      <c r="Q2011" s="227"/>
      <c r="R2011" s="231"/>
      <c r="S2011" s="231"/>
      <c r="T2011" s="231"/>
      <c r="U2011" s="231"/>
      <c r="V2011" s="231"/>
      <c r="W2011" s="231"/>
      <c r="X2011" s="227"/>
      <c r="Y2011" s="232"/>
      <c r="Z2011" s="232"/>
      <c r="AA2011" s="232"/>
      <c r="AB2011" s="232"/>
      <c r="AC2011" s="227"/>
      <c r="AD2011" s="227"/>
      <c r="AE2011" s="231"/>
      <c r="AF2011" s="227"/>
      <c r="AG2011" s="232"/>
      <c r="AH2011" s="232"/>
      <c r="AI2011" s="232"/>
      <c r="AJ2011" s="232"/>
      <c r="AK2011" s="232"/>
      <c r="AL2011" s="232"/>
      <c r="AM2011" s="232"/>
      <c r="AN2011" s="232"/>
      <c r="AO2011" s="231"/>
      <c r="AP2011" s="231"/>
      <c r="AQ2011" s="227"/>
      <c r="AR2011" s="231"/>
      <c r="AS2011" s="227"/>
      <c r="AT2011" s="227"/>
      <c r="AU2011" s="227"/>
      <c r="AV2011" s="227"/>
    </row>
    <row r="2012">
      <c r="A2012" s="227"/>
      <c r="B2012" s="232"/>
      <c r="C2012" s="227"/>
      <c r="D2012" s="227"/>
      <c r="E2012" s="231"/>
      <c r="F2012" s="232"/>
      <c r="G2012" s="227"/>
      <c r="H2012" s="227"/>
      <c r="I2012" s="227"/>
      <c r="J2012" s="227"/>
      <c r="K2012" s="227"/>
      <c r="L2012" s="232"/>
      <c r="M2012" s="232"/>
      <c r="N2012" s="227"/>
      <c r="O2012" s="227"/>
      <c r="P2012" s="231"/>
      <c r="Q2012" s="227"/>
      <c r="R2012" s="231"/>
      <c r="S2012" s="231"/>
      <c r="T2012" s="231"/>
      <c r="U2012" s="231"/>
      <c r="V2012" s="231"/>
      <c r="W2012" s="231"/>
      <c r="X2012" s="227"/>
      <c r="Y2012" s="232"/>
      <c r="Z2012" s="232"/>
      <c r="AA2012" s="232"/>
      <c r="AB2012" s="232"/>
      <c r="AC2012" s="227"/>
      <c r="AD2012" s="227"/>
      <c r="AE2012" s="231"/>
      <c r="AF2012" s="227"/>
      <c r="AG2012" s="232"/>
      <c r="AH2012" s="232"/>
      <c r="AI2012" s="232"/>
      <c r="AJ2012" s="232"/>
      <c r="AK2012" s="232"/>
      <c r="AL2012" s="232"/>
      <c r="AM2012" s="232"/>
      <c r="AN2012" s="232"/>
      <c r="AO2012" s="231"/>
      <c r="AP2012" s="231"/>
      <c r="AQ2012" s="227"/>
      <c r="AR2012" s="231"/>
      <c r="AS2012" s="227"/>
      <c r="AT2012" s="227"/>
      <c r="AU2012" s="227"/>
      <c r="AV2012" s="227"/>
    </row>
    <row r="2013">
      <c r="A2013" s="227"/>
      <c r="B2013" s="232"/>
      <c r="C2013" s="227"/>
      <c r="D2013" s="227"/>
      <c r="E2013" s="231"/>
      <c r="F2013" s="232"/>
      <c r="G2013" s="227"/>
      <c r="H2013" s="227"/>
      <c r="I2013" s="227"/>
      <c r="J2013" s="227"/>
      <c r="K2013" s="227"/>
      <c r="L2013" s="232"/>
      <c r="M2013" s="232"/>
      <c r="N2013" s="227"/>
      <c r="O2013" s="227"/>
      <c r="P2013" s="231"/>
      <c r="Q2013" s="227"/>
      <c r="R2013" s="231"/>
      <c r="S2013" s="231"/>
      <c r="T2013" s="231"/>
      <c r="U2013" s="231"/>
      <c r="V2013" s="231"/>
      <c r="W2013" s="231"/>
      <c r="X2013" s="227"/>
      <c r="Y2013" s="232"/>
      <c r="Z2013" s="232"/>
      <c r="AA2013" s="232"/>
      <c r="AB2013" s="232"/>
      <c r="AC2013" s="227"/>
      <c r="AD2013" s="227"/>
      <c r="AE2013" s="231"/>
      <c r="AF2013" s="227"/>
      <c r="AG2013" s="232"/>
      <c r="AH2013" s="232"/>
      <c r="AI2013" s="232"/>
      <c r="AJ2013" s="232"/>
      <c r="AK2013" s="232"/>
      <c r="AL2013" s="232"/>
      <c r="AM2013" s="232"/>
      <c r="AN2013" s="232"/>
      <c r="AO2013" s="231"/>
      <c r="AP2013" s="231"/>
      <c r="AQ2013" s="227"/>
      <c r="AR2013" s="231"/>
      <c r="AS2013" s="227"/>
      <c r="AT2013" s="227"/>
      <c r="AU2013" s="227"/>
      <c r="AV2013" s="227"/>
    </row>
    <row r="2014">
      <c r="A2014" s="227"/>
      <c r="B2014" s="232"/>
      <c r="C2014" s="227"/>
      <c r="D2014" s="227"/>
      <c r="E2014" s="231"/>
      <c r="F2014" s="232"/>
      <c r="G2014" s="227"/>
      <c r="H2014" s="227"/>
      <c r="I2014" s="227"/>
      <c r="J2014" s="227"/>
      <c r="K2014" s="227"/>
      <c r="L2014" s="232"/>
      <c r="M2014" s="232"/>
      <c r="N2014" s="227"/>
      <c r="O2014" s="227"/>
      <c r="P2014" s="231"/>
      <c r="Q2014" s="227"/>
      <c r="R2014" s="231"/>
      <c r="S2014" s="231"/>
      <c r="T2014" s="231"/>
      <c r="U2014" s="231"/>
      <c r="V2014" s="231"/>
      <c r="W2014" s="231"/>
      <c r="X2014" s="227"/>
      <c r="Y2014" s="232"/>
      <c r="Z2014" s="232"/>
      <c r="AA2014" s="232"/>
      <c r="AB2014" s="232"/>
      <c r="AC2014" s="227"/>
      <c r="AD2014" s="227"/>
      <c r="AE2014" s="231"/>
      <c r="AF2014" s="227"/>
      <c r="AG2014" s="232"/>
      <c r="AH2014" s="232"/>
      <c r="AI2014" s="232"/>
      <c r="AJ2014" s="232"/>
      <c r="AK2014" s="232"/>
      <c r="AL2014" s="232"/>
      <c r="AM2014" s="232"/>
      <c r="AN2014" s="232"/>
      <c r="AO2014" s="231"/>
      <c r="AP2014" s="231"/>
      <c r="AQ2014" s="227"/>
      <c r="AR2014" s="231"/>
      <c r="AS2014" s="227"/>
      <c r="AT2014" s="227"/>
      <c r="AU2014" s="227"/>
      <c r="AV2014" s="227"/>
    </row>
    <row r="2015">
      <c r="A2015" s="227"/>
      <c r="B2015" s="232"/>
      <c r="C2015" s="227"/>
      <c r="D2015" s="227"/>
      <c r="E2015" s="231"/>
      <c r="F2015" s="232"/>
      <c r="G2015" s="227"/>
      <c r="H2015" s="227"/>
      <c r="I2015" s="227"/>
      <c r="J2015" s="227"/>
      <c r="K2015" s="227"/>
      <c r="L2015" s="232"/>
      <c r="M2015" s="232"/>
      <c r="N2015" s="227"/>
      <c r="O2015" s="227"/>
      <c r="P2015" s="231"/>
      <c r="Q2015" s="227"/>
      <c r="R2015" s="231"/>
      <c r="S2015" s="231"/>
      <c r="T2015" s="231"/>
      <c r="U2015" s="231"/>
      <c r="V2015" s="231"/>
      <c r="W2015" s="231"/>
      <c r="X2015" s="227"/>
      <c r="Y2015" s="232"/>
      <c r="Z2015" s="232"/>
      <c r="AA2015" s="232"/>
      <c r="AB2015" s="232"/>
      <c r="AC2015" s="227"/>
      <c r="AD2015" s="227"/>
      <c r="AE2015" s="231"/>
      <c r="AF2015" s="227"/>
      <c r="AG2015" s="232"/>
      <c r="AH2015" s="232"/>
      <c r="AI2015" s="232"/>
      <c r="AJ2015" s="232"/>
      <c r="AK2015" s="232"/>
      <c r="AL2015" s="232"/>
      <c r="AM2015" s="232"/>
      <c r="AN2015" s="232"/>
      <c r="AO2015" s="231"/>
      <c r="AP2015" s="231"/>
      <c r="AQ2015" s="227"/>
      <c r="AR2015" s="231"/>
      <c r="AS2015" s="227"/>
      <c r="AT2015" s="227"/>
      <c r="AU2015" s="227"/>
      <c r="AV2015" s="227"/>
    </row>
    <row r="2016">
      <c r="A2016" s="227"/>
      <c r="B2016" s="232"/>
      <c r="C2016" s="227"/>
      <c r="D2016" s="227"/>
      <c r="E2016" s="231"/>
      <c r="F2016" s="232"/>
      <c r="G2016" s="227"/>
      <c r="H2016" s="227"/>
      <c r="I2016" s="227"/>
      <c r="J2016" s="227"/>
      <c r="K2016" s="227"/>
      <c r="L2016" s="232"/>
      <c r="M2016" s="232"/>
      <c r="N2016" s="227"/>
      <c r="O2016" s="227"/>
      <c r="P2016" s="231"/>
      <c r="Q2016" s="227"/>
      <c r="R2016" s="231"/>
      <c r="S2016" s="231"/>
      <c r="T2016" s="231"/>
      <c r="U2016" s="231"/>
      <c r="V2016" s="231"/>
      <c r="W2016" s="231"/>
      <c r="X2016" s="227"/>
      <c r="Y2016" s="232"/>
      <c r="Z2016" s="232"/>
      <c r="AA2016" s="232"/>
      <c r="AB2016" s="232"/>
      <c r="AC2016" s="227"/>
      <c r="AD2016" s="227"/>
      <c r="AE2016" s="231"/>
      <c r="AF2016" s="227"/>
      <c r="AG2016" s="232"/>
      <c r="AH2016" s="232"/>
      <c r="AI2016" s="232"/>
      <c r="AJ2016" s="232"/>
      <c r="AK2016" s="232"/>
      <c r="AL2016" s="232"/>
      <c r="AM2016" s="232"/>
      <c r="AN2016" s="232"/>
      <c r="AO2016" s="231"/>
      <c r="AP2016" s="231"/>
      <c r="AQ2016" s="227"/>
      <c r="AR2016" s="231"/>
      <c r="AS2016" s="227"/>
      <c r="AT2016" s="227"/>
      <c r="AU2016" s="227"/>
      <c r="AV2016" s="227"/>
    </row>
    <row r="2017">
      <c r="A2017" s="227"/>
      <c r="B2017" s="232"/>
      <c r="C2017" s="227"/>
      <c r="D2017" s="227"/>
      <c r="E2017" s="231"/>
      <c r="F2017" s="232"/>
      <c r="G2017" s="227"/>
      <c r="H2017" s="227"/>
      <c r="I2017" s="227"/>
      <c r="J2017" s="227"/>
      <c r="K2017" s="227"/>
      <c r="L2017" s="232"/>
      <c r="M2017" s="232"/>
      <c r="N2017" s="227"/>
      <c r="O2017" s="227"/>
      <c r="P2017" s="231"/>
      <c r="Q2017" s="227"/>
      <c r="R2017" s="231"/>
      <c r="S2017" s="231"/>
      <c r="T2017" s="231"/>
      <c r="U2017" s="231"/>
      <c r="V2017" s="231"/>
      <c r="W2017" s="231"/>
      <c r="X2017" s="227"/>
      <c r="Y2017" s="232"/>
      <c r="Z2017" s="232"/>
      <c r="AA2017" s="232"/>
      <c r="AB2017" s="232"/>
      <c r="AC2017" s="227"/>
      <c r="AD2017" s="227"/>
      <c r="AE2017" s="231"/>
      <c r="AF2017" s="227"/>
      <c r="AG2017" s="232"/>
      <c r="AH2017" s="232"/>
      <c r="AI2017" s="232"/>
      <c r="AJ2017" s="232"/>
      <c r="AK2017" s="232"/>
      <c r="AL2017" s="232"/>
      <c r="AM2017" s="232"/>
      <c r="AN2017" s="232"/>
      <c r="AO2017" s="231"/>
      <c r="AP2017" s="231"/>
      <c r="AQ2017" s="227"/>
      <c r="AR2017" s="231"/>
      <c r="AS2017" s="227"/>
      <c r="AT2017" s="227"/>
      <c r="AU2017" s="227"/>
      <c r="AV2017" s="227"/>
    </row>
    <row r="2018">
      <c r="A2018" s="227"/>
      <c r="B2018" s="232"/>
      <c r="C2018" s="227"/>
      <c r="D2018" s="227"/>
      <c r="E2018" s="231"/>
      <c r="F2018" s="232"/>
      <c r="G2018" s="227"/>
      <c r="H2018" s="227"/>
      <c r="I2018" s="227"/>
      <c r="J2018" s="227"/>
      <c r="K2018" s="227"/>
      <c r="L2018" s="232"/>
      <c r="M2018" s="232"/>
      <c r="N2018" s="227"/>
      <c r="O2018" s="227"/>
      <c r="P2018" s="231"/>
      <c r="Q2018" s="227"/>
      <c r="R2018" s="231"/>
      <c r="S2018" s="231"/>
      <c r="T2018" s="231"/>
      <c r="U2018" s="231"/>
      <c r="V2018" s="231"/>
      <c r="W2018" s="231"/>
      <c r="X2018" s="227"/>
      <c r="Y2018" s="232"/>
      <c r="Z2018" s="232"/>
      <c r="AA2018" s="232"/>
      <c r="AB2018" s="232"/>
      <c r="AC2018" s="227"/>
      <c r="AD2018" s="227"/>
      <c r="AE2018" s="231"/>
      <c r="AF2018" s="227"/>
      <c r="AG2018" s="232"/>
      <c r="AH2018" s="232"/>
      <c r="AI2018" s="232"/>
      <c r="AJ2018" s="232"/>
      <c r="AK2018" s="232"/>
      <c r="AL2018" s="232"/>
      <c r="AM2018" s="232"/>
      <c r="AN2018" s="232"/>
      <c r="AO2018" s="231"/>
      <c r="AP2018" s="231"/>
      <c r="AQ2018" s="227"/>
      <c r="AR2018" s="231"/>
      <c r="AS2018" s="227"/>
      <c r="AT2018" s="227"/>
      <c r="AU2018" s="227"/>
      <c r="AV2018" s="227"/>
    </row>
    <row r="2019">
      <c r="A2019" s="227"/>
      <c r="B2019" s="232"/>
      <c r="C2019" s="227"/>
      <c r="D2019" s="227"/>
      <c r="E2019" s="231"/>
      <c r="F2019" s="232"/>
      <c r="G2019" s="227"/>
      <c r="H2019" s="227"/>
      <c r="I2019" s="227"/>
      <c r="J2019" s="227"/>
      <c r="K2019" s="227"/>
      <c r="L2019" s="232"/>
      <c r="M2019" s="232"/>
      <c r="N2019" s="227"/>
      <c r="O2019" s="227"/>
      <c r="P2019" s="231"/>
      <c r="Q2019" s="227"/>
      <c r="R2019" s="231"/>
      <c r="S2019" s="231"/>
      <c r="T2019" s="231"/>
      <c r="U2019" s="231"/>
      <c r="V2019" s="231"/>
      <c r="W2019" s="231"/>
      <c r="X2019" s="227"/>
      <c r="Y2019" s="232"/>
      <c r="Z2019" s="232"/>
      <c r="AA2019" s="232"/>
      <c r="AB2019" s="232"/>
      <c r="AC2019" s="227"/>
      <c r="AD2019" s="227"/>
      <c r="AE2019" s="231"/>
      <c r="AF2019" s="227"/>
      <c r="AG2019" s="232"/>
      <c r="AH2019" s="232"/>
      <c r="AI2019" s="232"/>
      <c r="AJ2019" s="232"/>
      <c r="AK2019" s="232"/>
      <c r="AL2019" s="232"/>
      <c r="AM2019" s="232"/>
      <c r="AN2019" s="232"/>
      <c r="AO2019" s="231"/>
      <c r="AP2019" s="231"/>
      <c r="AQ2019" s="227"/>
      <c r="AR2019" s="231"/>
      <c r="AS2019" s="227"/>
      <c r="AT2019" s="227"/>
      <c r="AU2019" s="227"/>
      <c r="AV2019" s="227"/>
    </row>
    <row r="2020">
      <c r="A2020" s="227"/>
      <c r="B2020" s="232"/>
      <c r="C2020" s="227"/>
      <c r="D2020" s="227"/>
      <c r="E2020" s="231"/>
      <c r="F2020" s="232"/>
      <c r="G2020" s="227"/>
      <c r="H2020" s="227"/>
      <c r="I2020" s="227"/>
      <c r="J2020" s="227"/>
      <c r="K2020" s="227"/>
      <c r="L2020" s="232"/>
      <c r="M2020" s="232"/>
      <c r="N2020" s="227"/>
      <c r="O2020" s="227"/>
      <c r="P2020" s="231"/>
      <c r="Q2020" s="227"/>
      <c r="R2020" s="231"/>
      <c r="S2020" s="231"/>
      <c r="T2020" s="231"/>
      <c r="U2020" s="231"/>
      <c r="V2020" s="231"/>
      <c r="W2020" s="231"/>
      <c r="X2020" s="227"/>
      <c r="Y2020" s="232"/>
      <c r="Z2020" s="232"/>
      <c r="AA2020" s="232"/>
      <c r="AB2020" s="232"/>
      <c r="AC2020" s="227"/>
      <c r="AD2020" s="227"/>
      <c r="AE2020" s="231"/>
      <c r="AF2020" s="227"/>
      <c r="AG2020" s="232"/>
      <c r="AH2020" s="232"/>
      <c r="AI2020" s="232"/>
      <c r="AJ2020" s="232"/>
      <c r="AK2020" s="232"/>
      <c r="AL2020" s="232"/>
      <c r="AM2020" s="232"/>
      <c r="AN2020" s="232"/>
      <c r="AO2020" s="231"/>
      <c r="AP2020" s="231"/>
      <c r="AQ2020" s="227"/>
      <c r="AR2020" s="231"/>
      <c r="AS2020" s="227"/>
      <c r="AT2020" s="227"/>
      <c r="AU2020" s="227"/>
      <c r="AV2020" s="227"/>
    </row>
    <row r="2021">
      <c r="A2021" s="227"/>
      <c r="B2021" s="232"/>
      <c r="C2021" s="227"/>
      <c r="D2021" s="227"/>
      <c r="E2021" s="231"/>
      <c r="F2021" s="232"/>
      <c r="G2021" s="227"/>
      <c r="H2021" s="227"/>
      <c r="I2021" s="227"/>
      <c r="J2021" s="227"/>
      <c r="K2021" s="227"/>
      <c r="L2021" s="232"/>
      <c r="M2021" s="232"/>
      <c r="N2021" s="227"/>
      <c r="O2021" s="227"/>
      <c r="P2021" s="231"/>
      <c r="Q2021" s="227"/>
      <c r="R2021" s="231"/>
      <c r="S2021" s="231"/>
      <c r="T2021" s="231"/>
      <c r="U2021" s="231"/>
      <c r="V2021" s="231"/>
      <c r="W2021" s="231"/>
      <c r="X2021" s="227"/>
      <c r="Y2021" s="232"/>
      <c r="Z2021" s="232"/>
      <c r="AA2021" s="232"/>
      <c r="AB2021" s="232"/>
      <c r="AC2021" s="227"/>
      <c r="AD2021" s="227"/>
      <c r="AE2021" s="231"/>
      <c r="AF2021" s="227"/>
      <c r="AG2021" s="232"/>
      <c r="AH2021" s="232"/>
      <c r="AI2021" s="232"/>
      <c r="AJ2021" s="232"/>
      <c r="AK2021" s="232"/>
      <c r="AL2021" s="232"/>
      <c r="AM2021" s="232"/>
      <c r="AN2021" s="232"/>
      <c r="AO2021" s="231"/>
      <c r="AP2021" s="231"/>
      <c r="AQ2021" s="227"/>
      <c r="AR2021" s="231"/>
      <c r="AS2021" s="227"/>
      <c r="AT2021" s="227"/>
      <c r="AU2021" s="227"/>
      <c r="AV2021" s="227"/>
    </row>
    <row r="2022">
      <c r="A2022" s="227"/>
      <c r="B2022" s="232"/>
      <c r="C2022" s="227"/>
      <c r="D2022" s="227"/>
      <c r="E2022" s="231"/>
      <c r="F2022" s="232"/>
      <c r="G2022" s="227"/>
      <c r="H2022" s="227"/>
      <c r="I2022" s="227"/>
      <c r="J2022" s="227"/>
      <c r="K2022" s="227"/>
      <c r="L2022" s="232"/>
      <c r="M2022" s="232"/>
      <c r="N2022" s="227"/>
      <c r="O2022" s="227"/>
      <c r="P2022" s="231"/>
      <c r="Q2022" s="227"/>
      <c r="R2022" s="231"/>
      <c r="S2022" s="231"/>
      <c r="T2022" s="231"/>
      <c r="U2022" s="231"/>
      <c r="V2022" s="231"/>
      <c r="W2022" s="231"/>
      <c r="X2022" s="227"/>
      <c r="Y2022" s="232"/>
      <c r="Z2022" s="232"/>
      <c r="AA2022" s="232"/>
      <c r="AB2022" s="232"/>
      <c r="AC2022" s="227"/>
      <c r="AD2022" s="227"/>
      <c r="AE2022" s="231"/>
      <c r="AF2022" s="227"/>
      <c r="AG2022" s="232"/>
      <c r="AH2022" s="232"/>
      <c r="AI2022" s="232"/>
      <c r="AJ2022" s="232"/>
      <c r="AK2022" s="232"/>
      <c r="AL2022" s="232"/>
      <c r="AM2022" s="232"/>
      <c r="AN2022" s="232"/>
      <c r="AO2022" s="231"/>
      <c r="AP2022" s="231"/>
      <c r="AQ2022" s="227"/>
      <c r="AR2022" s="231"/>
      <c r="AS2022" s="227"/>
      <c r="AT2022" s="227"/>
      <c r="AU2022" s="227"/>
      <c r="AV2022" s="227"/>
    </row>
    <row r="2023">
      <c r="A2023" s="227"/>
      <c r="B2023" s="232"/>
      <c r="C2023" s="227"/>
      <c r="D2023" s="227"/>
      <c r="E2023" s="231"/>
      <c r="F2023" s="232"/>
      <c r="G2023" s="227"/>
      <c r="H2023" s="227"/>
      <c r="I2023" s="227"/>
      <c r="J2023" s="227"/>
      <c r="K2023" s="227"/>
      <c r="L2023" s="232"/>
      <c r="M2023" s="232"/>
      <c r="N2023" s="227"/>
      <c r="O2023" s="227"/>
      <c r="P2023" s="231"/>
      <c r="Q2023" s="227"/>
      <c r="R2023" s="231"/>
      <c r="S2023" s="231"/>
      <c r="T2023" s="231"/>
      <c r="U2023" s="231"/>
      <c r="V2023" s="231"/>
      <c r="W2023" s="231"/>
      <c r="X2023" s="227"/>
      <c r="Y2023" s="232"/>
      <c r="Z2023" s="232"/>
      <c r="AA2023" s="232"/>
      <c r="AB2023" s="232"/>
      <c r="AC2023" s="227"/>
      <c r="AD2023" s="227"/>
      <c r="AE2023" s="231"/>
      <c r="AF2023" s="227"/>
      <c r="AG2023" s="232"/>
      <c r="AH2023" s="232"/>
      <c r="AI2023" s="232"/>
      <c r="AJ2023" s="232"/>
      <c r="AK2023" s="232"/>
      <c r="AL2023" s="232"/>
      <c r="AM2023" s="232"/>
      <c r="AN2023" s="232"/>
      <c r="AO2023" s="231"/>
      <c r="AP2023" s="231"/>
      <c r="AQ2023" s="227"/>
      <c r="AR2023" s="231"/>
      <c r="AS2023" s="227"/>
      <c r="AT2023" s="227"/>
      <c r="AU2023" s="227"/>
      <c r="AV2023" s="227"/>
    </row>
    <row r="2024">
      <c r="A2024" s="227"/>
      <c r="B2024" s="232"/>
      <c r="C2024" s="227"/>
      <c r="D2024" s="227"/>
      <c r="E2024" s="231"/>
      <c r="F2024" s="232"/>
      <c r="G2024" s="227"/>
      <c r="H2024" s="227"/>
      <c r="I2024" s="227"/>
      <c r="J2024" s="227"/>
      <c r="K2024" s="227"/>
      <c r="L2024" s="232"/>
      <c r="M2024" s="232"/>
      <c r="N2024" s="227"/>
      <c r="O2024" s="227"/>
      <c r="P2024" s="231"/>
      <c r="Q2024" s="227"/>
      <c r="R2024" s="231"/>
      <c r="S2024" s="231"/>
      <c r="T2024" s="231"/>
      <c r="U2024" s="231"/>
      <c r="V2024" s="231"/>
      <c r="W2024" s="231"/>
      <c r="X2024" s="227"/>
      <c r="Y2024" s="232"/>
      <c r="Z2024" s="232"/>
      <c r="AA2024" s="232"/>
      <c r="AB2024" s="232"/>
      <c r="AC2024" s="227"/>
      <c r="AD2024" s="227"/>
      <c r="AE2024" s="231"/>
      <c r="AF2024" s="227"/>
      <c r="AG2024" s="232"/>
      <c r="AH2024" s="232"/>
      <c r="AI2024" s="232"/>
      <c r="AJ2024" s="232"/>
      <c r="AK2024" s="232"/>
      <c r="AL2024" s="232"/>
      <c r="AM2024" s="232"/>
      <c r="AN2024" s="232"/>
      <c r="AO2024" s="231"/>
      <c r="AP2024" s="231"/>
      <c r="AQ2024" s="227"/>
      <c r="AR2024" s="231"/>
      <c r="AS2024" s="227"/>
      <c r="AT2024" s="227"/>
      <c r="AU2024" s="227"/>
      <c r="AV2024" s="227"/>
    </row>
    <row r="2025">
      <c r="A2025" s="227"/>
      <c r="B2025" s="232"/>
      <c r="C2025" s="227"/>
      <c r="D2025" s="227"/>
      <c r="E2025" s="231"/>
      <c r="F2025" s="232"/>
      <c r="G2025" s="227"/>
      <c r="H2025" s="227"/>
      <c r="I2025" s="227"/>
      <c r="J2025" s="227"/>
      <c r="K2025" s="227"/>
      <c r="L2025" s="232"/>
      <c r="M2025" s="232"/>
      <c r="N2025" s="227"/>
      <c r="O2025" s="227"/>
      <c r="P2025" s="231"/>
      <c r="Q2025" s="227"/>
      <c r="R2025" s="231"/>
      <c r="S2025" s="231"/>
      <c r="T2025" s="231"/>
      <c r="U2025" s="231"/>
      <c r="V2025" s="231"/>
      <c r="W2025" s="231"/>
      <c r="X2025" s="227"/>
      <c r="Y2025" s="232"/>
      <c r="Z2025" s="232"/>
      <c r="AA2025" s="232"/>
      <c r="AB2025" s="232"/>
      <c r="AC2025" s="227"/>
      <c r="AD2025" s="227"/>
      <c r="AE2025" s="231"/>
      <c r="AF2025" s="227"/>
      <c r="AG2025" s="232"/>
      <c r="AH2025" s="232"/>
      <c r="AI2025" s="232"/>
      <c r="AJ2025" s="232"/>
      <c r="AK2025" s="232"/>
      <c r="AL2025" s="232"/>
      <c r="AM2025" s="232"/>
      <c r="AN2025" s="232"/>
      <c r="AO2025" s="231"/>
      <c r="AP2025" s="231"/>
      <c r="AQ2025" s="227"/>
      <c r="AR2025" s="231"/>
      <c r="AS2025" s="227"/>
      <c r="AT2025" s="227"/>
      <c r="AU2025" s="227"/>
      <c r="AV2025" s="227"/>
    </row>
    <row r="2026">
      <c r="A2026" s="227"/>
      <c r="B2026" s="232"/>
      <c r="C2026" s="227"/>
      <c r="D2026" s="227"/>
      <c r="E2026" s="231"/>
      <c r="F2026" s="232"/>
      <c r="G2026" s="227"/>
      <c r="H2026" s="227"/>
      <c r="I2026" s="227"/>
      <c r="J2026" s="227"/>
      <c r="K2026" s="227"/>
      <c r="L2026" s="232"/>
      <c r="M2026" s="232"/>
      <c r="N2026" s="227"/>
      <c r="O2026" s="227"/>
      <c r="P2026" s="231"/>
      <c r="Q2026" s="227"/>
      <c r="R2026" s="231"/>
      <c r="S2026" s="231"/>
      <c r="T2026" s="231"/>
      <c r="U2026" s="231"/>
      <c r="V2026" s="231"/>
      <c r="W2026" s="231"/>
      <c r="X2026" s="227"/>
      <c r="Y2026" s="232"/>
      <c r="Z2026" s="232"/>
      <c r="AA2026" s="232"/>
      <c r="AB2026" s="232"/>
      <c r="AC2026" s="227"/>
      <c r="AD2026" s="227"/>
      <c r="AE2026" s="231"/>
      <c r="AF2026" s="227"/>
      <c r="AG2026" s="232"/>
      <c r="AH2026" s="232"/>
      <c r="AI2026" s="232"/>
      <c r="AJ2026" s="232"/>
      <c r="AK2026" s="232"/>
      <c r="AL2026" s="232"/>
      <c r="AM2026" s="232"/>
      <c r="AN2026" s="232"/>
      <c r="AO2026" s="231"/>
      <c r="AP2026" s="231"/>
      <c r="AQ2026" s="227"/>
      <c r="AR2026" s="231"/>
      <c r="AS2026" s="227"/>
      <c r="AT2026" s="227"/>
      <c r="AU2026" s="227"/>
      <c r="AV2026" s="227"/>
    </row>
    <row r="2027">
      <c r="A2027" s="227"/>
      <c r="B2027" s="232"/>
      <c r="C2027" s="227"/>
      <c r="D2027" s="227"/>
      <c r="E2027" s="231"/>
      <c r="F2027" s="232"/>
      <c r="G2027" s="227"/>
      <c r="H2027" s="227"/>
      <c r="I2027" s="227"/>
      <c r="J2027" s="227"/>
      <c r="K2027" s="227"/>
      <c r="L2027" s="232"/>
      <c r="M2027" s="232"/>
      <c r="N2027" s="227"/>
      <c r="O2027" s="227"/>
      <c r="P2027" s="231"/>
      <c r="Q2027" s="227"/>
      <c r="R2027" s="231"/>
      <c r="S2027" s="231"/>
      <c r="T2027" s="231"/>
      <c r="U2027" s="231"/>
      <c r="V2027" s="231"/>
      <c r="W2027" s="231"/>
      <c r="X2027" s="227"/>
      <c r="Y2027" s="232"/>
      <c r="Z2027" s="232"/>
      <c r="AA2027" s="232"/>
      <c r="AB2027" s="232"/>
      <c r="AC2027" s="227"/>
      <c r="AD2027" s="227"/>
      <c r="AE2027" s="231"/>
      <c r="AF2027" s="227"/>
      <c r="AG2027" s="232"/>
      <c r="AH2027" s="232"/>
      <c r="AI2027" s="232"/>
      <c r="AJ2027" s="232"/>
      <c r="AK2027" s="232"/>
      <c r="AL2027" s="232"/>
      <c r="AM2027" s="232"/>
      <c r="AN2027" s="232"/>
      <c r="AO2027" s="231"/>
      <c r="AP2027" s="231"/>
      <c r="AQ2027" s="227"/>
      <c r="AR2027" s="231"/>
      <c r="AS2027" s="227"/>
      <c r="AT2027" s="227"/>
      <c r="AU2027" s="227"/>
      <c r="AV2027" s="227"/>
    </row>
    <row r="2028">
      <c r="A2028" s="227"/>
      <c r="B2028" s="232"/>
      <c r="C2028" s="227"/>
      <c r="D2028" s="227"/>
      <c r="E2028" s="231"/>
      <c r="F2028" s="232"/>
      <c r="G2028" s="227"/>
      <c r="H2028" s="227"/>
      <c r="I2028" s="227"/>
      <c r="J2028" s="227"/>
      <c r="K2028" s="227"/>
      <c r="L2028" s="232"/>
      <c r="M2028" s="232"/>
      <c r="N2028" s="227"/>
      <c r="O2028" s="227"/>
      <c r="P2028" s="231"/>
      <c r="Q2028" s="227"/>
      <c r="R2028" s="231"/>
      <c r="S2028" s="231"/>
      <c r="T2028" s="231"/>
      <c r="U2028" s="231"/>
      <c r="V2028" s="231"/>
      <c r="W2028" s="231"/>
      <c r="X2028" s="227"/>
      <c r="Y2028" s="232"/>
      <c r="Z2028" s="232"/>
      <c r="AA2028" s="232"/>
      <c r="AB2028" s="232"/>
      <c r="AC2028" s="227"/>
      <c r="AD2028" s="227"/>
      <c r="AE2028" s="231"/>
      <c r="AF2028" s="227"/>
      <c r="AG2028" s="232"/>
      <c r="AH2028" s="232"/>
      <c r="AI2028" s="232"/>
      <c r="AJ2028" s="232"/>
      <c r="AK2028" s="232"/>
      <c r="AL2028" s="232"/>
      <c r="AM2028" s="232"/>
      <c r="AN2028" s="232"/>
      <c r="AO2028" s="231"/>
      <c r="AP2028" s="231"/>
      <c r="AQ2028" s="227"/>
      <c r="AR2028" s="231"/>
      <c r="AS2028" s="227"/>
      <c r="AT2028" s="227"/>
      <c r="AU2028" s="227"/>
      <c r="AV2028" s="227"/>
    </row>
    <row r="2029">
      <c r="A2029" s="227"/>
      <c r="B2029" s="232"/>
      <c r="C2029" s="227"/>
      <c r="D2029" s="227"/>
      <c r="E2029" s="231"/>
      <c r="F2029" s="232"/>
      <c r="G2029" s="227"/>
      <c r="H2029" s="227"/>
      <c r="I2029" s="227"/>
      <c r="J2029" s="227"/>
      <c r="K2029" s="227"/>
      <c r="L2029" s="232"/>
      <c r="M2029" s="232"/>
      <c r="N2029" s="227"/>
      <c r="O2029" s="227"/>
      <c r="P2029" s="231"/>
      <c r="Q2029" s="227"/>
      <c r="R2029" s="231"/>
      <c r="S2029" s="231"/>
      <c r="T2029" s="231"/>
      <c r="U2029" s="231"/>
      <c r="V2029" s="231"/>
      <c r="W2029" s="231"/>
      <c r="X2029" s="227"/>
      <c r="Y2029" s="232"/>
      <c r="Z2029" s="232"/>
      <c r="AA2029" s="232"/>
      <c r="AB2029" s="232"/>
      <c r="AC2029" s="227"/>
      <c r="AD2029" s="227"/>
      <c r="AE2029" s="231"/>
      <c r="AF2029" s="227"/>
      <c r="AG2029" s="232"/>
      <c r="AH2029" s="232"/>
      <c r="AI2029" s="232"/>
      <c r="AJ2029" s="232"/>
      <c r="AK2029" s="232"/>
      <c r="AL2029" s="232"/>
      <c r="AM2029" s="232"/>
      <c r="AN2029" s="232"/>
      <c r="AO2029" s="231"/>
      <c r="AP2029" s="231"/>
      <c r="AQ2029" s="227"/>
      <c r="AR2029" s="231"/>
      <c r="AS2029" s="227"/>
      <c r="AT2029" s="227"/>
      <c r="AU2029" s="227"/>
      <c r="AV2029" s="227"/>
    </row>
    <row r="2030">
      <c r="A2030" s="227"/>
      <c r="B2030" s="232"/>
      <c r="C2030" s="227"/>
      <c r="D2030" s="227"/>
      <c r="E2030" s="231"/>
      <c r="F2030" s="232"/>
      <c r="G2030" s="227"/>
      <c r="H2030" s="227"/>
      <c r="I2030" s="227"/>
      <c r="J2030" s="227"/>
      <c r="K2030" s="227"/>
      <c r="L2030" s="232"/>
      <c r="M2030" s="232"/>
      <c r="N2030" s="227"/>
      <c r="O2030" s="227"/>
      <c r="P2030" s="231"/>
      <c r="Q2030" s="227"/>
      <c r="R2030" s="231"/>
      <c r="S2030" s="231"/>
      <c r="T2030" s="231"/>
      <c r="U2030" s="231"/>
      <c r="V2030" s="231"/>
      <c r="W2030" s="231"/>
      <c r="X2030" s="227"/>
      <c r="Y2030" s="232"/>
      <c r="Z2030" s="232"/>
      <c r="AA2030" s="232"/>
      <c r="AB2030" s="232"/>
      <c r="AC2030" s="227"/>
      <c r="AD2030" s="227"/>
      <c r="AE2030" s="231"/>
      <c r="AF2030" s="227"/>
      <c r="AG2030" s="232"/>
      <c r="AH2030" s="232"/>
      <c r="AI2030" s="232"/>
      <c r="AJ2030" s="232"/>
      <c r="AK2030" s="232"/>
      <c r="AL2030" s="232"/>
      <c r="AM2030" s="232"/>
      <c r="AN2030" s="232"/>
      <c r="AO2030" s="231"/>
      <c r="AP2030" s="231"/>
      <c r="AQ2030" s="227"/>
      <c r="AR2030" s="231"/>
      <c r="AS2030" s="227"/>
      <c r="AT2030" s="227"/>
      <c r="AU2030" s="227"/>
      <c r="AV2030" s="227"/>
    </row>
    <row r="2031">
      <c r="A2031" s="227"/>
      <c r="B2031" s="232"/>
      <c r="C2031" s="227"/>
      <c r="D2031" s="227"/>
      <c r="E2031" s="231"/>
      <c r="F2031" s="232"/>
      <c r="G2031" s="227"/>
      <c r="H2031" s="227"/>
      <c r="I2031" s="227"/>
      <c r="J2031" s="227"/>
      <c r="K2031" s="227"/>
      <c r="L2031" s="232"/>
      <c r="M2031" s="232"/>
      <c r="N2031" s="227"/>
      <c r="O2031" s="227"/>
      <c r="P2031" s="231"/>
      <c r="Q2031" s="227"/>
      <c r="R2031" s="231"/>
      <c r="S2031" s="231"/>
      <c r="T2031" s="231"/>
      <c r="U2031" s="231"/>
      <c r="V2031" s="231"/>
      <c r="W2031" s="231"/>
      <c r="X2031" s="227"/>
      <c r="Y2031" s="232"/>
      <c r="Z2031" s="232"/>
      <c r="AA2031" s="232"/>
      <c r="AB2031" s="232"/>
      <c r="AC2031" s="227"/>
      <c r="AD2031" s="227"/>
      <c r="AE2031" s="231"/>
      <c r="AF2031" s="227"/>
      <c r="AG2031" s="232"/>
      <c r="AH2031" s="232"/>
      <c r="AI2031" s="232"/>
      <c r="AJ2031" s="232"/>
      <c r="AK2031" s="232"/>
      <c r="AL2031" s="232"/>
      <c r="AM2031" s="232"/>
      <c r="AN2031" s="232"/>
      <c r="AO2031" s="231"/>
      <c r="AP2031" s="231"/>
      <c r="AQ2031" s="227"/>
      <c r="AR2031" s="231"/>
      <c r="AS2031" s="227"/>
      <c r="AT2031" s="227"/>
      <c r="AU2031" s="227"/>
      <c r="AV2031" s="227"/>
    </row>
    <row r="2032">
      <c r="A2032" s="227"/>
      <c r="B2032" s="232"/>
      <c r="C2032" s="227"/>
      <c r="D2032" s="227"/>
      <c r="E2032" s="231"/>
      <c r="F2032" s="232"/>
      <c r="G2032" s="227"/>
      <c r="H2032" s="227"/>
      <c r="I2032" s="227"/>
      <c r="J2032" s="227"/>
      <c r="K2032" s="227"/>
      <c r="L2032" s="232"/>
      <c r="M2032" s="232"/>
      <c r="N2032" s="227"/>
      <c r="O2032" s="227"/>
      <c r="P2032" s="231"/>
      <c r="Q2032" s="227"/>
      <c r="R2032" s="231"/>
      <c r="S2032" s="231"/>
      <c r="T2032" s="231"/>
      <c r="U2032" s="231"/>
      <c r="V2032" s="231"/>
      <c r="W2032" s="231"/>
      <c r="X2032" s="227"/>
      <c r="Y2032" s="232"/>
      <c r="Z2032" s="232"/>
      <c r="AA2032" s="232"/>
      <c r="AB2032" s="232"/>
      <c r="AC2032" s="227"/>
      <c r="AD2032" s="227"/>
      <c r="AE2032" s="231"/>
      <c r="AF2032" s="227"/>
      <c r="AG2032" s="232"/>
      <c r="AH2032" s="232"/>
      <c r="AI2032" s="232"/>
      <c r="AJ2032" s="232"/>
      <c r="AK2032" s="232"/>
      <c r="AL2032" s="232"/>
      <c r="AM2032" s="232"/>
      <c r="AN2032" s="232"/>
      <c r="AO2032" s="231"/>
      <c r="AP2032" s="231"/>
      <c r="AQ2032" s="227"/>
      <c r="AR2032" s="231"/>
      <c r="AS2032" s="227"/>
      <c r="AT2032" s="227"/>
      <c r="AU2032" s="227"/>
      <c r="AV2032" s="227"/>
    </row>
    <row r="2033">
      <c r="A2033" s="227"/>
      <c r="B2033" s="232"/>
      <c r="C2033" s="227"/>
      <c r="D2033" s="227"/>
      <c r="E2033" s="231"/>
      <c r="F2033" s="232"/>
      <c r="G2033" s="227"/>
      <c r="H2033" s="227"/>
      <c r="I2033" s="227"/>
      <c r="J2033" s="227"/>
      <c r="K2033" s="227"/>
      <c r="L2033" s="232"/>
      <c r="M2033" s="232"/>
      <c r="N2033" s="227"/>
      <c r="O2033" s="227"/>
      <c r="P2033" s="231"/>
      <c r="Q2033" s="227"/>
      <c r="R2033" s="231"/>
      <c r="S2033" s="231"/>
      <c r="T2033" s="231"/>
      <c r="U2033" s="231"/>
      <c r="V2033" s="231"/>
      <c r="W2033" s="231"/>
      <c r="X2033" s="227"/>
      <c r="Y2033" s="232"/>
      <c r="Z2033" s="232"/>
      <c r="AA2033" s="232"/>
      <c r="AB2033" s="232"/>
      <c r="AC2033" s="227"/>
      <c r="AD2033" s="227"/>
      <c r="AE2033" s="231"/>
      <c r="AF2033" s="227"/>
      <c r="AG2033" s="232"/>
      <c r="AH2033" s="232"/>
      <c r="AI2033" s="232"/>
      <c r="AJ2033" s="232"/>
      <c r="AK2033" s="232"/>
      <c r="AL2033" s="232"/>
      <c r="AM2033" s="232"/>
      <c r="AN2033" s="232"/>
      <c r="AO2033" s="231"/>
      <c r="AP2033" s="231"/>
      <c r="AQ2033" s="227"/>
      <c r="AR2033" s="231"/>
      <c r="AS2033" s="227"/>
      <c r="AT2033" s="227"/>
      <c r="AU2033" s="227"/>
      <c r="AV2033" s="227"/>
    </row>
    <row r="2034">
      <c r="A2034" s="227"/>
      <c r="B2034" s="232"/>
      <c r="C2034" s="227"/>
      <c r="D2034" s="227"/>
      <c r="E2034" s="231"/>
      <c r="F2034" s="232"/>
      <c r="G2034" s="227"/>
      <c r="H2034" s="227"/>
      <c r="I2034" s="227"/>
      <c r="J2034" s="227"/>
      <c r="K2034" s="227"/>
      <c r="L2034" s="232"/>
      <c r="M2034" s="232"/>
      <c r="N2034" s="227"/>
      <c r="O2034" s="227"/>
      <c r="P2034" s="231"/>
      <c r="Q2034" s="227"/>
      <c r="R2034" s="231"/>
      <c r="S2034" s="231"/>
      <c r="T2034" s="231"/>
      <c r="U2034" s="231"/>
      <c r="V2034" s="231"/>
      <c r="W2034" s="231"/>
      <c r="X2034" s="227"/>
      <c r="Y2034" s="232"/>
      <c r="Z2034" s="232"/>
      <c r="AA2034" s="232"/>
      <c r="AB2034" s="232"/>
      <c r="AC2034" s="227"/>
      <c r="AD2034" s="227"/>
      <c r="AE2034" s="231"/>
      <c r="AF2034" s="227"/>
      <c r="AG2034" s="232"/>
      <c r="AH2034" s="232"/>
      <c r="AI2034" s="232"/>
      <c r="AJ2034" s="232"/>
      <c r="AK2034" s="232"/>
      <c r="AL2034" s="232"/>
      <c r="AM2034" s="232"/>
      <c r="AN2034" s="232"/>
      <c r="AO2034" s="231"/>
      <c r="AP2034" s="231"/>
      <c r="AQ2034" s="227"/>
      <c r="AR2034" s="231"/>
      <c r="AS2034" s="227"/>
      <c r="AT2034" s="227"/>
      <c r="AU2034" s="227"/>
      <c r="AV2034" s="227"/>
    </row>
    <row r="2035">
      <c r="A2035" s="227"/>
      <c r="B2035" s="232"/>
      <c r="C2035" s="227"/>
      <c r="D2035" s="227"/>
      <c r="E2035" s="231"/>
      <c r="F2035" s="232"/>
      <c r="G2035" s="227"/>
      <c r="H2035" s="227"/>
      <c r="I2035" s="227"/>
      <c r="J2035" s="227"/>
      <c r="K2035" s="227"/>
      <c r="L2035" s="232"/>
      <c r="M2035" s="232"/>
      <c r="N2035" s="227"/>
      <c r="O2035" s="227"/>
      <c r="P2035" s="231"/>
      <c r="Q2035" s="227"/>
      <c r="R2035" s="231"/>
      <c r="S2035" s="231"/>
      <c r="T2035" s="231"/>
      <c r="U2035" s="231"/>
      <c r="V2035" s="231"/>
      <c r="W2035" s="231"/>
      <c r="X2035" s="227"/>
      <c r="Y2035" s="232"/>
      <c r="Z2035" s="232"/>
      <c r="AA2035" s="232"/>
      <c r="AB2035" s="232"/>
      <c r="AC2035" s="227"/>
      <c r="AD2035" s="227"/>
      <c r="AE2035" s="231"/>
      <c r="AF2035" s="227"/>
      <c r="AG2035" s="232"/>
      <c r="AH2035" s="232"/>
      <c r="AI2035" s="232"/>
      <c r="AJ2035" s="232"/>
      <c r="AK2035" s="232"/>
      <c r="AL2035" s="232"/>
      <c r="AM2035" s="232"/>
      <c r="AN2035" s="232"/>
      <c r="AO2035" s="231"/>
      <c r="AP2035" s="231"/>
      <c r="AQ2035" s="227"/>
      <c r="AR2035" s="231"/>
      <c r="AS2035" s="227"/>
      <c r="AT2035" s="227"/>
      <c r="AU2035" s="227"/>
      <c r="AV2035" s="227"/>
    </row>
    <row r="2036">
      <c r="A2036" s="227"/>
      <c r="B2036" s="232"/>
      <c r="C2036" s="227"/>
      <c r="D2036" s="227"/>
      <c r="E2036" s="231"/>
      <c r="F2036" s="232"/>
      <c r="G2036" s="227"/>
      <c r="H2036" s="227"/>
      <c r="I2036" s="227"/>
      <c r="J2036" s="227"/>
      <c r="K2036" s="227"/>
      <c r="L2036" s="232"/>
      <c r="M2036" s="232"/>
      <c r="N2036" s="227"/>
      <c r="O2036" s="227"/>
      <c r="P2036" s="231"/>
      <c r="Q2036" s="227"/>
      <c r="R2036" s="231"/>
      <c r="S2036" s="231"/>
      <c r="T2036" s="231"/>
      <c r="U2036" s="231"/>
      <c r="V2036" s="231"/>
      <c r="W2036" s="231"/>
      <c r="X2036" s="227"/>
      <c r="Y2036" s="232"/>
      <c r="Z2036" s="232"/>
      <c r="AA2036" s="232"/>
      <c r="AB2036" s="232"/>
      <c r="AC2036" s="227"/>
      <c r="AD2036" s="227"/>
      <c r="AE2036" s="231"/>
      <c r="AF2036" s="227"/>
      <c r="AG2036" s="232"/>
      <c r="AH2036" s="232"/>
      <c r="AI2036" s="232"/>
      <c r="AJ2036" s="232"/>
      <c r="AK2036" s="232"/>
      <c r="AL2036" s="232"/>
      <c r="AM2036" s="232"/>
      <c r="AN2036" s="232"/>
      <c r="AO2036" s="231"/>
      <c r="AP2036" s="231"/>
      <c r="AQ2036" s="227"/>
      <c r="AR2036" s="231"/>
      <c r="AS2036" s="227"/>
      <c r="AT2036" s="227"/>
      <c r="AU2036" s="227"/>
      <c r="AV2036" s="227"/>
    </row>
    <row r="2037">
      <c r="A2037" s="227"/>
      <c r="B2037" s="232"/>
      <c r="C2037" s="227"/>
      <c r="D2037" s="227"/>
      <c r="E2037" s="231"/>
      <c r="F2037" s="232"/>
      <c r="G2037" s="227"/>
      <c r="H2037" s="227"/>
      <c r="I2037" s="227"/>
      <c r="J2037" s="227"/>
      <c r="K2037" s="227"/>
      <c r="L2037" s="232"/>
      <c r="M2037" s="232"/>
      <c r="N2037" s="227"/>
      <c r="O2037" s="227"/>
      <c r="P2037" s="231"/>
      <c r="Q2037" s="227"/>
      <c r="R2037" s="231"/>
      <c r="S2037" s="231"/>
      <c r="T2037" s="231"/>
      <c r="U2037" s="231"/>
      <c r="V2037" s="231"/>
      <c r="W2037" s="231"/>
      <c r="X2037" s="227"/>
      <c r="Y2037" s="232"/>
      <c r="Z2037" s="232"/>
      <c r="AA2037" s="232"/>
      <c r="AB2037" s="232"/>
      <c r="AC2037" s="227"/>
      <c r="AD2037" s="227"/>
      <c r="AE2037" s="231"/>
      <c r="AF2037" s="227"/>
      <c r="AG2037" s="232"/>
      <c r="AH2037" s="232"/>
      <c r="AI2037" s="232"/>
      <c r="AJ2037" s="232"/>
      <c r="AK2037" s="232"/>
      <c r="AL2037" s="232"/>
      <c r="AM2037" s="232"/>
      <c r="AN2037" s="232"/>
      <c r="AO2037" s="231"/>
      <c r="AP2037" s="231"/>
      <c r="AQ2037" s="227"/>
      <c r="AR2037" s="231"/>
      <c r="AS2037" s="227"/>
      <c r="AT2037" s="227"/>
      <c r="AU2037" s="227"/>
      <c r="AV2037" s="227"/>
    </row>
    <row r="2038">
      <c r="A2038" s="227"/>
      <c r="B2038" s="232"/>
      <c r="C2038" s="227"/>
      <c r="D2038" s="227"/>
      <c r="E2038" s="231"/>
      <c r="F2038" s="232"/>
      <c r="G2038" s="227"/>
      <c r="H2038" s="227"/>
      <c r="I2038" s="227"/>
      <c r="J2038" s="227"/>
      <c r="K2038" s="227"/>
      <c r="L2038" s="232"/>
      <c r="M2038" s="232"/>
      <c r="N2038" s="227"/>
      <c r="O2038" s="227"/>
      <c r="P2038" s="231"/>
      <c r="Q2038" s="227"/>
      <c r="R2038" s="231"/>
      <c r="S2038" s="231"/>
      <c r="T2038" s="231"/>
      <c r="U2038" s="231"/>
      <c r="V2038" s="231"/>
      <c r="W2038" s="231"/>
      <c r="X2038" s="227"/>
      <c r="Y2038" s="232"/>
      <c r="Z2038" s="232"/>
      <c r="AA2038" s="232"/>
      <c r="AB2038" s="232"/>
      <c r="AC2038" s="227"/>
      <c r="AD2038" s="227"/>
      <c r="AE2038" s="231"/>
      <c r="AF2038" s="227"/>
      <c r="AG2038" s="232"/>
      <c r="AH2038" s="232"/>
      <c r="AI2038" s="232"/>
      <c r="AJ2038" s="232"/>
      <c r="AK2038" s="232"/>
      <c r="AL2038" s="232"/>
      <c r="AM2038" s="232"/>
      <c r="AN2038" s="232"/>
      <c r="AO2038" s="231"/>
      <c r="AP2038" s="231"/>
      <c r="AQ2038" s="227"/>
      <c r="AR2038" s="231"/>
      <c r="AS2038" s="227"/>
      <c r="AT2038" s="227"/>
      <c r="AU2038" s="227"/>
      <c r="AV2038" s="227"/>
    </row>
    <row r="2039">
      <c r="A2039" s="227"/>
      <c r="B2039" s="232"/>
      <c r="C2039" s="227"/>
      <c r="D2039" s="227"/>
      <c r="E2039" s="231"/>
      <c r="F2039" s="232"/>
      <c r="G2039" s="227"/>
      <c r="H2039" s="227"/>
      <c r="I2039" s="227"/>
      <c r="J2039" s="227"/>
      <c r="K2039" s="227"/>
      <c r="L2039" s="232"/>
      <c r="M2039" s="232"/>
      <c r="N2039" s="227"/>
      <c r="O2039" s="227"/>
      <c r="P2039" s="231"/>
      <c r="Q2039" s="227"/>
      <c r="R2039" s="231"/>
      <c r="S2039" s="231"/>
      <c r="T2039" s="231"/>
      <c r="U2039" s="231"/>
      <c r="V2039" s="231"/>
      <c r="W2039" s="231"/>
      <c r="X2039" s="227"/>
      <c r="Y2039" s="232"/>
      <c r="Z2039" s="232"/>
      <c r="AA2039" s="232"/>
      <c r="AB2039" s="232"/>
      <c r="AC2039" s="227"/>
      <c r="AD2039" s="227"/>
      <c r="AE2039" s="231"/>
      <c r="AF2039" s="227"/>
      <c r="AG2039" s="232"/>
      <c r="AH2039" s="232"/>
      <c r="AI2039" s="232"/>
      <c r="AJ2039" s="232"/>
      <c r="AK2039" s="232"/>
      <c r="AL2039" s="232"/>
      <c r="AM2039" s="232"/>
      <c r="AN2039" s="232"/>
      <c r="AO2039" s="231"/>
      <c r="AP2039" s="231"/>
      <c r="AQ2039" s="227"/>
      <c r="AR2039" s="231"/>
      <c r="AS2039" s="227"/>
      <c r="AT2039" s="227"/>
      <c r="AU2039" s="227"/>
      <c r="AV2039" s="227"/>
    </row>
    <row r="2040">
      <c r="A2040" s="227"/>
      <c r="B2040" s="232"/>
      <c r="C2040" s="227"/>
      <c r="D2040" s="227"/>
      <c r="E2040" s="231"/>
      <c r="F2040" s="232"/>
      <c r="G2040" s="227"/>
      <c r="H2040" s="227"/>
      <c r="I2040" s="227"/>
      <c r="J2040" s="227"/>
      <c r="K2040" s="227"/>
      <c r="L2040" s="232"/>
      <c r="M2040" s="232"/>
      <c r="N2040" s="227"/>
      <c r="O2040" s="227"/>
      <c r="P2040" s="231"/>
      <c r="Q2040" s="227"/>
      <c r="R2040" s="231"/>
      <c r="S2040" s="231"/>
      <c r="T2040" s="231"/>
      <c r="U2040" s="231"/>
      <c r="V2040" s="231"/>
      <c r="W2040" s="231"/>
      <c r="X2040" s="227"/>
      <c r="Y2040" s="232"/>
      <c r="Z2040" s="232"/>
      <c r="AA2040" s="232"/>
      <c r="AB2040" s="232"/>
      <c r="AC2040" s="227"/>
      <c r="AD2040" s="227"/>
      <c r="AE2040" s="231"/>
      <c r="AF2040" s="227"/>
      <c r="AG2040" s="232"/>
      <c r="AH2040" s="232"/>
      <c r="AI2040" s="232"/>
      <c r="AJ2040" s="232"/>
      <c r="AK2040" s="232"/>
      <c r="AL2040" s="232"/>
      <c r="AM2040" s="232"/>
      <c r="AN2040" s="232"/>
      <c r="AO2040" s="231"/>
      <c r="AP2040" s="231"/>
      <c r="AQ2040" s="227"/>
      <c r="AR2040" s="231"/>
      <c r="AS2040" s="227"/>
      <c r="AT2040" s="227"/>
      <c r="AU2040" s="227"/>
      <c r="AV2040" s="227"/>
    </row>
    <row r="2041">
      <c r="A2041" s="227"/>
      <c r="B2041" s="232"/>
      <c r="C2041" s="227"/>
      <c r="D2041" s="227"/>
      <c r="E2041" s="231"/>
      <c r="F2041" s="232"/>
      <c r="G2041" s="227"/>
      <c r="H2041" s="227"/>
      <c r="I2041" s="227"/>
      <c r="J2041" s="227"/>
      <c r="K2041" s="227"/>
      <c r="L2041" s="232"/>
      <c r="M2041" s="232"/>
      <c r="N2041" s="227"/>
      <c r="O2041" s="227"/>
      <c r="P2041" s="231"/>
      <c r="Q2041" s="227"/>
      <c r="R2041" s="231"/>
      <c r="S2041" s="231"/>
      <c r="T2041" s="231"/>
      <c r="U2041" s="231"/>
      <c r="V2041" s="231"/>
      <c r="W2041" s="231"/>
      <c r="X2041" s="227"/>
      <c r="Y2041" s="232"/>
      <c r="Z2041" s="232"/>
      <c r="AA2041" s="232"/>
      <c r="AB2041" s="232"/>
      <c r="AC2041" s="227"/>
      <c r="AD2041" s="227"/>
      <c r="AE2041" s="231"/>
      <c r="AF2041" s="227"/>
      <c r="AG2041" s="232"/>
      <c r="AH2041" s="232"/>
      <c r="AI2041" s="232"/>
      <c r="AJ2041" s="232"/>
      <c r="AK2041" s="232"/>
      <c r="AL2041" s="232"/>
      <c r="AM2041" s="232"/>
      <c r="AN2041" s="232"/>
      <c r="AO2041" s="231"/>
      <c r="AP2041" s="231"/>
      <c r="AQ2041" s="227"/>
      <c r="AR2041" s="231"/>
      <c r="AS2041" s="227"/>
      <c r="AT2041" s="227"/>
      <c r="AU2041" s="227"/>
      <c r="AV2041" s="227"/>
    </row>
    <row r="2042">
      <c r="A2042" s="227"/>
      <c r="B2042" s="232"/>
      <c r="C2042" s="227"/>
      <c r="D2042" s="227"/>
      <c r="E2042" s="231"/>
      <c r="F2042" s="232"/>
      <c r="G2042" s="227"/>
      <c r="H2042" s="227"/>
      <c r="I2042" s="227"/>
      <c r="J2042" s="227"/>
      <c r="K2042" s="227"/>
      <c r="L2042" s="232"/>
      <c r="M2042" s="232"/>
      <c r="N2042" s="227"/>
      <c r="O2042" s="227"/>
      <c r="P2042" s="231"/>
      <c r="Q2042" s="227"/>
      <c r="R2042" s="231"/>
      <c r="S2042" s="231"/>
      <c r="T2042" s="231"/>
      <c r="U2042" s="231"/>
      <c r="V2042" s="231"/>
      <c r="W2042" s="231"/>
      <c r="X2042" s="227"/>
      <c r="Y2042" s="232"/>
      <c r="Z2042" s="232"/>
      <c r="AA2042" s="232"/>
      <c r="AB2042" s="232"/>
      <c r="AC2042" s="227"/>
      <c r="AD2042" s="227"/>
      <c r="AE2042" s="231"/>
      <c r="AF2042" s="227"/>
      <c r="AG2042" s="232"/>
      <c r="AH2042" s="232"/>
      <c r="AI2042" s="232"/>
      <c r="AJ2042" s="232"/>
      <c r="AK2042" s="232"/>
      <c r="AL2042" s="232"/>
      <c r="AM2042" s="232"/>
      <c r="AN2042" s="232"/>
      <c r="AO2042" s="231"/>
      <c r="AP2042" s="231"/>
      <c r="AQ2042" s="227"/>
      <c r="AR2042" s="231"/>
      <c r="AS2042" s="227"/>
      <c r="AT2042" s="227"/>
      <c r="AU2042" s="227"/>
      <c r="AV2042" s="227"/>
    </row>
    <row r="2043">
      <c r="A2043" s="227"/>
      <c r="B2043" s="232"/>
      <c r="C2043" s="227"/>
      <c r="D2043" s="227"/>
      <c r="E2043" s="231"/>
      <c r="F2043" s="232"/>
      <c r="G2043" s="227"/>
      <c r="H2043" s="227"/>
      <c r="I2043" s="227"/>
      <c r="J2043" s="227"/>
      <c r="K2043" s="227"/>
      <c r="L2043" s="232"/>
      <c r="M2043" s="232"/>
      <c r="N2043" s="227"/>
      <c r="O2043" s="227"/>
      <c r="P2043" s="231"/>
      <c r="Q2043" s="227"/>
      <c r="R2043" s="231"/>
      <c r="S2043" s="231"/>
      <c r="T2043" s="231"/>
      <c r="U2043" s="231"/>
      <c r="V2043" s="231"/>
      <c r="W2043" s="231"/>
      <c r="X2043" s="227"/>
      <c r="Y2043" s="232"/>
      <c r="Z2043" s="232"/>
      <c r="AA2043" s="232"/>
      <c r="AB2043" s="232"/>
      <c r="AC2043" s="227"/>
      <c r="AD2043" s="227"/>
      <c r="AE2043" s="231"/>
      <c r="AF2043" s="227"/>
      <c r="AG2043" s="232"/>
      <c r="AH2043" s="232"/>
      <c r="AI2043" s="232"/>
      <c r="AJ2043" s="232"/>
      <c r="AK2043" s="232"/>
      <c r="AL2043" s="232"/>
      <c r="AM2043" s="232"/>
      <c r="AN2043" s="232"/>
      <c r="AO2043" s="231"/>
      <c r="AP2043" s="231"/>
      <c r="AQ2043" s="227"/>
      <c r="AR2043" s="231"/>
      <c r="AS2043" s="227"/>
      <c r="AT2043" s="227"/>
      <c r="AU2043" s="227"/>
      <c r="AV2043" s="227"/>
    </row>
    <row r="2044">
      <c r="A2044" s="227"/>
      <c r="B2044" s="232"/>
      <c r="C2044" s="227"/>
      <c r="D2044" s="227"/>
      <c r="E2044" s="231"/>
      <c r="F2044" s="232"/>
      <c r="G2044" s="227"/>
      <c r="H2044" s="227"/>
      <c r="I2044" s="227"/>
      <c r="J2044" s="227"/>
      <c r="K2044" s="227"/>
      <c r="L2044" s="232"/>
      <c r="M2044" s="232"/>
      <c r="N2044" s="227"/>
      <c r="O2044" s="227"/>
      <c r="P2044" s="231"/>
      <c r="Q2044" s="227"/>
      <c r="R2044" s="231"/>
      <c r="S2044" s="231"/>
      <c r="T2044" s="231"/>
      <c r="U2044" s="231"/>
      <c r="V2044" s="231"/>
      <c r="W2044" s="231"/>
      <c r="X2044" s="227"/>
      <c r="Y2044" s="232"/>
      <c r="Z2044" s="232"/>
      <c r="AA2044" s="232"/>
      <c r="AB2044" s="232"/>
      <c r="AC2044" s="227"/>
      <c r="AD2044" s="227"/>
      <c r="AE2044" s="231"/>
      <c r="AF2044" s="227"/>
      <c r="AG2044" s="232"/>
      <c r="AH2044" s="232"/>
      <c r="AI2044" s="232"/>
      <c r="AJ2044" s="232"/>
      <c r="AK2044" s="232"/>
      <c r="AL2044" s="232"/>
      <c r="AM2044" s="232"/>
      <c r="AN2044" s="232"/>
      <c r="AO2044" s="231"/>
      <c r="AP2044" s="231"/>
      <c r="AQ2044" s="227"/>
      <c r="AR2044" s="231"/>
      <c r="AS2044" s="227"/>
      <c r="AT2044" s="227"/>
      <c r="AU2044" s="227"/>
      <c r="AV2044" s="227"/>
    </row>
    <row r="2045">
      <c r="A2045" s="227"/>
      <c r="B2045" s="232"/>
      <c r="C2045" s="227"/>
      <c r="D2045" s="227"/>
      <c r="E2045" s="231"/>
      <c r="F2045" s="232"/>
      <c r="G2045" s="227"/>
      <c r="H2045" s="227"/>
      <c r="I2045" s="227"/>
      <c r="J2045" s="227"/>
      <c r="K2045" s="227"/>
      <c r="L2045" s="232"/>
      <c r="M2045" s="232"/>
      <c r="N2045" s="227"/>
      <c r="O2045" s="227"/>
      <c r="P2045" s="231"/>
      <c r="Q2045" s="227"/>
      <c r="R2045" s="231"/>
      <c r="S2045" s="231"/>
      <c r="T2045" s="231"/>
      <c r="U2045" s="231"/>
      <c r="V2045" s="231"/>
      <c r="W2045" s="231"/>
      <c r="X2045" s="227"/>
      <c r="Y2045" s="232"/>
      <c r="Z2045" s="232"/>
      <c r="AA2045" s="232"/>
      <c r="AB2045" s="232"/>
      <c r="AC2045" s="227"/>
      <c r="AD2045" s="227"/>
      <c r="AE2045" s="231"/>
      <c r="AF2045" s="227"/>
      <c r="AG2045" s="232"/>
      <c r="AH2045" s="232"/>
      <c r="AI2045" s="232"/>
      <c r="AJ2045" s="232"/>
      <c r="AK2045" s="232"/>
      <c r="AL2045" s="232"/>
      <c r="AM2045" s="232"/>
      <c r="AN2045" s="232"/>
      <c r="AO2045" s="231"/>
      <c r="AP2045" s="231"/>
      <c r="AQ2045" s="227"/>
      <c r="AR2045" s="231"/>
      <c r="AS2045" s="227"/>
      <c r="AT2045" s="227"/>
      <c r="AU2045" s="227"/>
      <c r="AV2045" s="227"/>
    </row>
    <row r="2046">
      <c r="A2046" s="227"/>
      <c r="B2046" s="232"/>
      <c r="C2046" s="227"/>
      <c r="D2046" s="227"/>
      <c r="E2046" s="231"/>
      <c r="F2046" s="232"/>
      <c r="G2046" s="227"/>
      <c r="H2046" s="227"/>
      <c r="I2046" s="227"/>
      <c r="J2046" s="227"/>
      <c r="K2046" s="227"/>
      <c r="L2046" s="232"/>
      <c r="M2046" s="232"/>
      <c r="N2046" s="227"/>
      <c r="O2046" s="227"/>
      <c r="P2046" s="231"/>
      <c r="Q2046" s="227"/>
      <c r="R2046" s="231"/>
      <c r="S2046" s="231"/>
      <c r="T2046" s="231"/>
      <c r="U2046" s="231"/>
      <c r="V2046" s="231"/>
      <c r="W2046" s="231"/>
      <c r="X2046" s="227"/>
      <c r="Y2046" s="232"/>
      <c r="Z2046" s="232"/>
      <c r="AA2046" s="232"/>
      <c r="AB2046" s="232"/>
      <c r="AC2046" s="227"/>
      <c r="AD2046" s="227"/>
      <c r="AE2046" s="231"/>
      <c r="AF2046" s="227"/>
      <c r="AG2046" s="232"/>
      <c r="AH2046" s="232"/>
      <c r="AI2046" s="232"/>
      <c r="AJ2046" s="232"/>
      <c r="AK2046" s="232"/>
      <c r="AL2046" s="232"/>
      <c r="AM2046" s="232"/>
      <c r="AN2046" s="232"/>
      <c r="AO2046" s="231"/>
      <c r="AP2046" s="231"/>
      <c r="AQ2046" s="227"/>
      <c r="AR2046" s="231"/>
      <c r="AS2046" s="227"/>
      <c r="AT2046" s="227"/>
      <c r="AU2046" s="227"/>
      <c r="AV2046" s="227"/>
    </row>
    <row r="2047">
      <c r="A2047" s="227"/>
      <c r="B2047" s="232"/>
      <c r="C2047" s="227"/>
      <c r="D2047" s="227"/>
      <c r="E2047" s="231"/>
      <c r="F2047" s="232"/>
      <c r="G2047" s="227"/>
      <c r="H2047" s="227"/>
      <c r="I2047" s="227"/>
      <c r="J2047" s="227"/>
      <c r="K2047" s="227"/>
      <c r="L2047" s="232"/>
      <c r="M2047" s="232"/>
      <c r="N2047" s="227"/>
      <c r="O2047" s="227"/>
      <c r="P2047" s="231"/>
      <c r="Q2047" s="227"/>
      <c r="R2047" s="231"/>
      <c r="S2047" s="231"/>
      <c r="T2047" s="231"/>
      <c r="U2047" s="231"/>
      <c r="V2047" s="231"/>
      <c r="W2047" s="231"/>
      <c r="X2047" s="227"/>
      <c r="Y2047" s="232"/>
      <c r="Z2047" s="232"/>
      <c r="AA2047" s="232"/>
      <c r="AB2047" s="232"/>
      <c r="AC2047" s="227"/>
      <c r="AD2047" s="227"/>
      <c r="AE2047" s="231"/>
      <c r="AF2047" s="227"/>
      <c r="AG2047" s="232"/>
      <c r="AH2047" s="232"/>
      <c r="AI2047" s="232"/>
      <c r="AJ2047" s="232"/>
      <c r="AK2047" s="232"/>
      <c r="AL2047" s="232"/>
      <c r="AM2047" s="232"/>
      <c r="AN2047" s="232"/>
      <c r="AO2047" s="231"/>
      <c r="AP2047" s="231"/>
      <c r="AQ2047" s="227"/>
      <c r="AR2047" s="231"/>
      <c r="AS2047" s="227"/>
      <c r="AT2047" s="227"/>
      <c r="AU2047" s="227"/>
      <c r="AV2047" s="227"/>
    </row>
    <row r="2048">
      <c r="A2048" s="227"/>
      <c r="B2048" s="232"/>
      <c r="C2048" s="227"/>
      <c r="D2048" s="227"/>
      <c r="E2048" s="231"/>
      <c r="F2048" s="232"/>
      <c r="G2048" s="227"/>
      <c r="H2048" s="227"/>
      <c r="I2048" s="227"/>
      <c r="J2048" s="227"/>
      <c r="K2048" s="227"/>
      <c r="L2048" s="232"/>
      <c r="M2048" s="232"/>
      <c r="N2048" s="227"/>
      <c r="O2048" s="227"/>
      <c r="P2048" s="231"/>
      <c r="Q2048" s="227"/>
      <c r="R2048" s="231"/>
      <c r="S2048" s="231"/>
      <c r="T2048" s="231"/>
      <c r="U2048" s="231"/>
      <c r="V2048" s="231"/>
      <c r="W2048" s="231"/>
      <c r="X2048" s="227"/>
      <c r="Y2048" s="232"/>
      <c r="Z2048" s="232"/>
      <c r="AA2048" s="232"/>
      <c r="AB2048" s="232"/>
      <c r="AC2048" s="227"/>
      <c r="AD2048" s="227"/>
      <c r="AE2048" s="231"/>
      <c r="AF2048" s="227"/>
      <c r="AG2048" s="232"/>
      <c r="AH2048" s="232"/>
      <c r="AI2048" s="232"/>
      <c r="AJ2048" s="232"/>
      <c r="AK2048" s="232"/>
      <c r="AL2048" s="232"/>
      <c r="AM2048" s="232"/>
      <c r="AN2048" s="232"/>
      <c r="AO2048" s="231"/>
      <c r="AP2048" s="231"/>
      <c r="AQ2048" s="227"/>
      <c r="AR2048" s="231"/>
      <c r="AS2048" s="227"/>
      <c r="AT2048" s="227"/>
      <c r="AU2048" s="227"/>
      <c r="AV2048" s="227"/>
    </row>
    <row r="2049">
      <c r="A2049" s="227"/>
      <c r="B2049" s="232"/>
      <c r="C2049" s="227"/>
      <c r="D2049" s="227"/>
      <c r="E2049" s="231"/>
      <c r="F2049" s="232"/>
      <c r="G2049" s="227"/>
      <c r="H2049" s="227"/>
      <c r="I2049" s="227"/>
      <c r="J2049" s="227"/>
      <c r="K2049" s="227"/>
      <c r="L2049" s="232"/>
      <c r="M2049" s="232"/>
      <c r="N2049" s="227"/>
      <c r="O2049" s="227"/>
      <c r="P2049" s="231"/>
      <c r="Q2049" s="227"/>
      <c r="R2049" s="231"/>
      <c r="S2049" s="231"/>
      <c r="T2049" s="231"/>
      <c r="U2049" s="231"/>
      <c r="V2049" s="231"/>
      <c r="W2049" s="231"/>
      <c r="X2049" s="227"/>
      <c r="Y2049" s="232"/>
      <c r="Z2049" s="232"/>
      <c r="AA2049" s="232"/>
      <c r="AB2049" s="232"/>
      <c r="AC2049" s="227"/>
      <c r="AD2049" s="227"/>
      <c r="AE2049" s="231"/>
      <c r="AF2049" s="227"/>
      <c r="AG2049" s="232"/>
      <c r="AH2049" s="232"/>
      <c r="AI2049" s="232"/>
      <c r="AJ2049" s="232"/>
      <c r="AK2049" s="232"/>
      <c r="AL2049" s="232"/>
      <c r="AM2049" s="232"/>
      <c r="AN2049" s="232"/>
      <c r="AO2049" s="231"/>
      <c r="AP2049" s="231"/>
      <c r="AQ2049" s="227"/>
      <c r="AR2049" s="231"/>
      <c r="AS2049" s="227"/>
      <c r="AT2049" s="227"/>
      <c r="AU2049" s="227"/>
      <c r="AV2049" s="227"/>
    </row>
    <row r="2050">
      <c r="A2050" s="227"/>
      <c r="B2050" s="232"/>
      <c r="C2050" s="227"/>
      <c r="D2050" s="227"/>
      <c r="E2050" s="231"/>
      <c r="F2050" s="232"/>
      <c r="G2050" s="227"/>
      <c r="H2050" s="227"/>
      <c r="I2050" s="227"/>
      <c r="J2050" s="227"/>
      <c r="K2050" s="227"/>
      <c r="L2050" s="232"/>
      <c r="M2050" s="232"/>
      <c r="N2050" s="227"/>
      <c r="O2050" s="227"/>
      <c r="P2050" s="231"/>
      <c r="Q2050" s="227"/>
      <c r="R2050" s="231"/>
      <c r="S2050" s="231"/>
      <c r="T2050" s="231"/>
      <c r="U2050" s="231"/>
      <c r="V2050" s="231"/>
      <c r="W2050" s="231"/>
      <c r="X2050" s="227"/>
      <c r="Y2050" s="232"/>
      <c r="Z2050" s="232"/>
      <c r="AA2050" s="232"/>
      <c r="AB2050" s="232"/>
      <c r="AC2050" s="227"/>
      <c r="AD2050" s="227"/>
      <c r="AE2050" s="231"/>
      <c r="AF2050" s="227"/>
      <c r="AG2050" s="232"/>
      <c r="AH2050" s="232"/>
      <c r="AI2050" s="232"/>
      <c r="AJ2050" s="232"/>
      <c r="AK2050" s="232"/>
      <c r="AL2050" s="232"/>
      <c r="AM2050" s="232"/>
      <c r="AN2050" s="232"/>
      <c r="AO2050" s="231"/>
      <c r="AP2050" s="231"/>
      <c r="AQ2050" s="227"/>
      <c r="AR2050" s="231"/>
      <c r="AS2050" s="227"/>
      <c r="AT2050" s="227"/>
      <c r="AU2050" s="227"/>
      <c r="AV2050" s="227"/>
    </row>
    <row r="2051">
      <c r="A2051" s="227"/>
      <c r="B2051" s="232"/>
      <c r="C2051" s="227"/>
      <c r="D2051" s="227"/>
      <c r="E2051" s="231"/>
      <c r="F2051" s="232"/>
      <c r="G2051" s="227"/>
      <c r="H2051" s="227"/>
      <c r="I2051" s="227"/>
      <c r="J2051" s="227"/>
      <c r="K2051" s="227"/>
      <c r="L2051" s="232"/>
      <c r="M2051" s="232"/>
      <c r="N2051" s="227"/>
      <c r="O2051" s="227"/>
      <c r="P2051" s="231"/>
      <c r="Q2051" s="227"/>
      <c r="R2051" s="231"/>
      <c r="S2051" s="231"/>
      <c r="T2051" s="231"/>
      <c r="U2051" s="231"/>
      <c r="V2051" s="231"/>
      <c r="W2051" s="231"/>
      <c r="X2051" s="227"/>
      <c r="Y2051" s="232"/>
      <c r="Z2051" s="232"/>
      <c r="AA2051" s="232"/>
      <c r="AB2051" s="232"/>
      <c r="AC2051" s="227"/>
      <c r="AD2051" s="227"/>
      <c r="AE2051" s="231"/>
      <c r="AF2051" s="227"/>
      <c r="AG2051" s="232"/>
      <c r="AH2051" s="232"/>
      <c r="AI2051" s="232"/>
      <c r="AJ2051" s="232"/>
      <c r="AK2051" s="232"/>
      <c r="AL2051" s="232"/>
      <c r="AM2051" s="232"/>
      <c r="AN2051" s="232"/>
      <c r="AO2051" s="231"/>
      <c r="AP2051" s="231"/>
      <c r="AQ2051" s="227"/>
      <c r="AR2051" s="231"/>
      <c r="AS2051" s="227"/>
      <c r="AT2051" s="227"/>
      <c r="AU2051" s="227"/>
      <c r="AV2051" s="227"/>
    </row>
    <row r="2052">
      <c r="A2052" s="227"/>
      <c r="B2052" s="232"/>
      <c r="C2052" s="227"/>
      <c r="D2052" s="227"/>
      <c r="E2052" s="231"/>
      <c r="F2052" s="232"/>
      <c r="G2052" s="227"/>
      <c r="H2052" s="227"/>
      <c r="I2052" s="227"/>
      <c r="J2052" s="227"/>
      <c r="K2052" s="227"/>
      <c r="L2052" s="232"/>
      <c r="M2052" s="232"/>
      <c r="N2052" s="227"/>
      <c r="O2052" s="227"/>
      <c r="P2052" s="231"/>
      <c r="Q2052" s="227"/>
      <c r="R2052" s="231"/>
      <c r="S2052" s="231"/>
      <c r="T2052" s="231"/>
      <c r="U2052" s="231"/>
      <c r="V2052" s="231"/>
      <c r="W2052" s="231"/>
      <c r="X2052" s="227"/>
      <c r="Y2052" s="232"/>
      <c r="Z2052" s="232"/>
      <c r="AA2052" s="232"/>
      <c r="AB2052" s="232"/>
      <c r="AC2052" s="227"/>
      <c r="AD2052" s="227"/>
      <c r="AE2052" s="231"/>
      <c r="AF2052" s="227"/>
      <c r="AG2052" s="232"/>
      <c r="AH2052" s="232"/>
      <c r="AI2052" s="232"/>
      <c r="AJ2052" s="232"/>
      <c r="AK2052" s="232"/>
      <c r="AL2052" s="232"/>
      <c r="AM2052" s="232"/>
      <c r="AN2052" s="232"/>
      <c r="AO2052" s="231"/>
      <c r="AP2052" s="231"/>
      <c r="AQ2052" s="227"/>
      <c r="AR2052" s="231"/>
      <c r="AS2052" s="227"/>
      <c r="AT2052" s="227"/>
      <c r="AU2052" s="227"/>
      <c r="AV2052" s="227"/>
    </row>
    <row r="2053">
      <c r="A2053" s="227"/>
      <c r="B2053" s="232"/>
      <c r="C2053" s="227"/>
      <c r="D2053" s="227"/>
      <c r="E2053" s="231"/>
      <c r="F2053" s="232"/>
      <c r="G2053" s="227"/>
      <c r="H2053" s="227"/>
      <c r="I2053" s="227"/>
      <c r="J2053" s="227"/>
      <c r="K2053" s="227"/>
      <c r="L2053" s="232"/>
      <c r="M2053" s="232"/>
      <c r="N2053" s="227"/>
      <c r="O2053" s="227"/>
      <c r="P2053" s="231"/>
      <c r="Q2053" s="227"/>
      <c r="R2053" s="231"/>
      <c r="S2053" s="231"/>
      <c r="T2053" s="231"/>
      <c r="U2053" s="231"/>
      <c r="V2053" s="231"/>
      <c r="W2053" s="231"/>
      <c r="X2053" s="227"/>
      <c r="Y2053" s="232"/>
      <c r="Z2053" s="232"/>
      <c r="AA2053" s="232"/>
      <c r="AB2053" s="232"/>
      <c r="AC2053" s="227"/>
      <c r="AD2053" s="227"/>
      <c r="AE2053" s="231"/>
      <c r="AF2053" s="227"/>
      <c r="AG2053" s="232"/>
      <c r="AH2053" s="232"/>
      <c r="AI2053" s="232"/>
      <c r="AJ2053" s="232"/>
      <c r="AK2053" s="232"/>
      <c r="AL2053" s="232"/>
      <c r="AM2053" s="232"/>
      <c r="AN2053" s="232"/>
      <c r="AO2053" s="231"/>
      <c r="AP2053" s="231"/>
      <c r="AQ2053" s="227"/>
      <c r="AR2053" s="231"/>
      <c r="AS2053" s="227"/>
      <c r="AT2053" s="227"/>
      <c r="AU2053" s="227"/>
      <c r="AV2053" s="227"/>
    </row>
    <row r="2054">
      <c r="A2054" s="227"/>
      <c r="B2054" s="232"/>
      <c r="C2054" s="227"/>
      <c r="D2054" s="227"/>
      <c r="E2054" s="231"/>
      <c r="F2054" s="232"/>
      <c r="G2054" s="227"/>
      <c r="H2054" s="227"/>
      <c r="I2054" s="227"/>
      <c r="J2054" s="227"/>
      <c r="K2054" s="227"/>
      <c r="L2054" s="232"/>
      <c r="M2054" s="232"/>
      <c r="N2054" s="227"/>
      <c r="O2054" s="227"/>
      <c r="P2054" s="231"/>
      <c r="Q2054" s="227"/>
      <c r="R2054" s="231"/>
      <c r="S2054" s="231"/>
      <c r="T2054" s="231"/>
      <c r="U2054" s="231"/>
      <c r="V2054" s="231"/>
      <c r="W2054" s="231"/>
      <c r="X2054" s="227"/>
      <c r="Y2054" s="232"/>
      <c r="Z2054" s="232"/>
      <c r="AA2054" s="232"/>
      <c r="AB2054" s="232"/>
      <c r="AC2054" s="227"/>
      <c r="AD2054" s="227"/>
      <c r="AE2054" s="231"/>
      <c r="AF2054" s="227"/>
      <c r="AG2054" s="232"/>
      <c r="AH2054" s="232"/>
      <c r="AI2054" s="232"/>
      <c r="AJ2054" s="232"/>
      <c r="AK2054" s="232"/>
      <c r="AL2054" s="232"/>
      <c r="AM2054" s="232"/>
      <c r="AN2054" s="232"/>
      <c r="AO2054" s="231"/>
      <c r="AP2054" s="231"/>
      <c r="AQ2054" s="227"/>
      <c r="AR2054" s="231"/>
      <c r="AS2054" s="227"/>
      <c r="AT2054" s="227"/>
      <c r="AU2054" s="227"/>
      <c r="AV2054" s="227"/>
    </row>
    <row r="2055">
      <c r="A2055" s="227"/>
      <c r="B2055" s="232"/>
      <c r="C2055" s="227"/>
      <c r="D2055" s="227"/>
      <c r="E2055" s="231"/>
      <c r="F2055" s="232"/>
      <c r="G2055" s="227"/>
      <c r="H2055" s="227"/>
      <c r="I2055" s="227"/>
      <c r="J2055" s="227"/>
      <c r="K2055" s="227"/>
      <c r="L2055" s="232"/>
      <c r="M2055" s="232"/>
      <c r="N2055" s="227"/>
      <c r="O2055" s="227"/>
      <c r="P2055" s="231"/>
      <c r="Q2055" s="227"/>
      <c r="R2055" s="231"/>
      <c r="S2055" s="231"/>
      <c r="T2055" s="231"/>
      <c r="U2055" s="231"/>
      <c r="V2055" s="231"/>
      <c r="W2055" s="231"/>
      <c r="X2055" s="227"/>
      <c r="Y2055" s="232"/>
      <c r="Z2055" s="232"/>
      <c r="AA2055" s="232"/>
      <c r="AB2055" s="232"/>
      <c r="AC2055" s="227"/>
      <c r="AD2055" s="227"/>
      <c r="AE2055" s="231"/>
      <c r="AF2055" s="227"/>
      <c r="AG2055" s="232"/>
      <c r="AH2055" s="232"/>
      <c r="AI2055" s="232"/>
      <c r="AJ2055" s="232"/>
      <c r="AK2055" s="232"/>
      <c r="AL2055" s="232"/>
      <c r="AM2055" s="232"/>
      <c r="AN2055" s="232"/>
      <c r="AO2055" s="231"/>
      <c r="AP2055" s="231"/>
      <c r="AQ2055" s="227"/>
      <c r="AR2055" s="231"/>
      <c r="AS2055" s="227"/>
      <c r="AT2055" s="227"/>
      <c r="AU2055" s="227"/>
      <c r="AV2055" s="227"/>
    </row>
    <row r="2056">
      <c r="A2056" s="227"/>
      <c r="B2056" s="232"/>
      <c r="C2056" s="227"/>
      <c r="D2056" s="227"/>
      <c r="E2056" s="231"/>
      <c r="F2056" s="232"/>
      <c r="G2056" s="227"/>
      <c r="H2056" s="227"/>
      <c r="I2056" s="227"/>
      <c r="J2056" s="227"/>
      <c r="K2056" s="227"/>
      <c r="L2056" s="232"/>
      <c r="M2056" s="232"/>
      <c r="N2056" s="227"/>
      <c r="O2056" s="227"/>
      <c r="P2056" s="231"/>
      <c r="Q2056" s="227"/>
      <c r="R2056" s="231"/>
      <c r="S2056" s="231"/>
      <c r="T2056" s="231"/>
      <c r="U2056" s="231"/>
      <c r="V2056" s="231"/>
      <c r="W2056" s="231"/>
      <c r="X2056" s="227"/>
      <c r="Y2056" s="232"/>
      <c r="Z2056" s="232"/>
      <c r="AA2056" s="232"/>
      <c r="AB2056" s="232"/>
      <c r="AC2056" s="227"/>
      <c r="AD2056" s="227"/>
      <c r="AE2056" s="231"/>
      <c r="AF2056" s="227"/>
      <c r="AG2056" s="232"/>
      <c r="AH2056" s="232"/>
      <c r="AI2056" s="232"/>
      <c r="AJ2056" s="232"/>
      <c r="AK2056" s="232"/>
      <c r="AL2056" s="232"/>
      <c r="AM2056" s="232"/>
      <c r="AN2056" s="232"/>
      <c r="AO2056" s="231"/>
      <c r="AP2056" s="231"/>
      <c r="AQ2056" s="227"/>
      <c r="AR2056" s="231"/>
      <c r="AS2056" s="227"/>
      <c r="AT2056" s="227"/>
      <c r="AU2056" s="227"/>
      <c r="AV2056" s="227"/>
    </row>
    <row r="2057">
      <c r="A2057" s="227"/>
      <c r="B2057" s="232"/>
      <c r="C2057" s="227"/>
      <c r="D2057" s="227"/>
      <c r="E2057" s="231"/>
      <c r="F2057" s="232"/>
      <c r="G2057" s="227"/>
      <c r="H2057" s="227"/>
      <c r="I2057" s="227"/>
      <c r="J2057" s="227"/>
      <c r="K2057" s="227"/>
      <c r="L2057" s="232"/>
      <c r="M2057" s="232"/>
      <c r="N2057" s="227"/>
      <c r="O2057" s="227"/>
      <c r="P2057" s="231"/>
      <c r="Q2057" s="227"/>
      <c r="R2057" s="231"/>
      <c r="S2057" s="231"/>
      <c r="T2057" s="231"/>
      <c r="U2057" s="231"/>
      <c r="V2057" s="231"/>
      <c r="W2057" s="231"/>
      <c r="X2057" s="227"/>
      <c r="Y2057" s="232"/>
      <c r="Z2057" s="232"/>
      <c r="AA2057" s="232"/>
      <c r="AB2057" s="232"/>
      <c r="AC2057" s="227"/>
      <c r="AD2057" s="227"/>
      <c r="AE2057" s="231"/>
      <c r="AF2057" s="227"/>
      <c r="AG2057" s="232"/>
      <c r="AH2057" s="232"/>
      <c r="AI2057" s="232"/>
      <c r="AJ2057" s="232"/>
      <c r="AK2057" s="232"/>
      <c r="AL2057" s="232"/>
      <c r="AM2057" s="232"/>
      <c r="AN2057" s="232"/>
      <c r="AO2057" s="231"/>
      <c r="AP2057" s="231"/>
      <c r="AQ2057" s="227"/>
      <c r="AR2057" s="231"/>
      <c r="AS2057" s="227"/>
      <c r="AT2057" s="227"/>
      <c r="AU2057" s="227"/>
      <c r="AV2057" s="227"/>
    </row>
    <row r="2058">
      <c r="A2058" s="227"/>
      <c r="B2058" s="232"/>
      <c r="C2058" s="227"/>
      <c r="D2058" s="227"/>
      <c r="E2058" s="231"/>
      <c r="F2058" s="232"/>
      <c r="G2058" s="227"/>
      <c r="H2058" s="227"/>
      <c r="I2058" s="227"/>
      <c r="J2058" s="227"/>
      <c r="K2058" s="227"/>
      <c r="L2058" s="232"/>
      <c r="M2058" s="232"/>
      <c r="N2058" s="227"/>
      <c r="O2058" s="227"/>
      <c r="P2058" s="231"/>
      <c r="Q2058" s="227"/>
      <c r="R2058" s="231"/>
      <c r="S2058" s="231"/>
      <c r="T2058" s="231"/>
      <c r="U2058" s="231"/>
      <c r="V2058" s="231"/>
      <c r="W2058" s="231"/>
      <c r="X2058" s="227"/>
      <c r="Y2058" s="232"/>
      <c r="Z2058" s="232"/>
      <c r="AA2058" s="232"/>
      <c r="AB2058" s="232"/>
      <c r="AC2058" s="227"/>
      <c r="AD2058" s="227"/>
      <c r="AE2058" s="231"/>
      <c r="AF2058" s="227"/>
      <c r="AG2058" s="232"/>
      <c r="AH2058" s="232"/>
      <c r="AI2058" s="232"/>
      <c r="AJ2058" s="232"/>
      <c r="AK2058" s="232"/>
      <c r="AL2058" s="232"/>
      <c r="AM2058" s="232"/>
      <c r="AN2058" s="232"/>
      <c r="AO2058" s="231"/>
      <c r="AP2058" s="231"/>
      <c r="AQ2058" s="227"/>
      <c r="AR2058" s="231"/>
      <c r="AS2058" s="227"/>
      <c r="AT2058" s="227"/>
      <c r="AU2058" s="227"/>
      <c r="AV2058" s="227"/>
    </row>
    <row r="2059">
      <c r="A2059" s="227"/>
      <c r="B2059" s="232"/>
      <c r="C2059" s="227"/>
      <c r="D2059" s="227"/>
      <c r="E2059" s="231"/>
      <c r="F2059" s="232"/>
      <c r="G2059" s="227"/>
      <c r="H2059" s="227"/>
      <c r="I2059" s="227"/>
      <c r="J2059" s="227"/>
      <c r="K2059" s="227"/>
      <c r="L2059" s="232"/>
      <c r="M2059" s="232"/>
      <c r="N2059" s="227"/>
      <c r="O2059" s="227"/>
      <c r="P2059" s="231"/>
      <c r="Q2059" s="227"/>
      <c r="R2059" s="231"/>
      <c r="S2059" s="231"/>
      <c r="T2059" s="231"/>
      <c r="U2059" s="231"/>
      <c r="V2059" s="231"/>
      <c r="W2059" s="231"/>
      <c r="X2059" s="227"/>
      <c r="Y2059" s="232"/>
      <c r="Z2059" s="232"/>
      <c r="AA2059" s="232"/>
      <c r="AB2059" s="232"/>
      <c r="AC2059" s="227"/>
      <c r="AD2059" s="227"/>
      <c r="AE2059" s="231"/>
      <c r="AF2059" s="227"/>
      <c r="AG2059" s="232"/>
      <c r="AH2059" s="232"/>
      <c r="AI2059" s="232"/>
      <c r="AJ2059" s="232"/>
      <c r="AK2059" s="232"/>
      <c r="AL2059" s="232"/>
      <c r="AM2059" s="232"/>
      <c r="AN2059" s="232"/>
      <c r="AO2059" s="231"/>
      <c r="AP2059" s="231"/>
      <c r="AQ2059" s="227"/>
      <c r="AR2059" s="231"/>
      <c r="AS2059" s="227"/>
      <c r="AT2059" s="227"/>
      <c r="AU2059" s="227"/>
      <c r="AV2059" s="227"/>
    </row>
    <row r="2060">
      <c r="A2060" s="227"/>
      <c r="B2060" s="232"/>
      <c r="C2060" s="227"/>
      <c r="D2060" s="227"/>
      <c r="E2060" s="231"/>
      <c r="F2060" s="232"/>
      <c r="G2060" s="227"/>
      <c r="H2060" s="227"/>
      <c r="I2060" s="227"/>
      <c r="J2060" s="227"/>
      <c r="K2060" s="227"/>
      <c r="L2060" s="232"/>
      <c r="M2060" s="232"/>
      <c r="N2060" s="227"/>
      <c r="O2060" s="227"/>
      <c r="P2060" s="231"/>
      <c r="Q2060" s="227"/>
      <c r="R2060" s="231"/>
      <c r="S2060" s="231"/>
      <c r="T2060" s="231"/>
      <c r="U2060" s="231"/>
      <c r="V2060" s="231"/>
      <c r="W2060" s="231"/>
      <c r="X2060" s="227"/>
      <c r="Y2060" s="232"/>
      <c r="Z2060" s="232"/>
      <c r="AA2060" s="232"/>
      <c r="AB2060" s="232"/>
      <c r="AC2060" s="227"/>
      <c r="AD2060" s="227"/>
      <c r="AE2060" s="231"/>
      <c r="AF2060" s="227"/>
      <c r="AG2060" s="232"/>
      <c r="AH2060" s="232"/>
      <c r="AI2060" s="232"/>
      <c r="AJ2060" s="232"/>
      <c r="AK2060" s="232"/>
      <c r="AL2060" s="232"/>
      <c r="AM2060" s="232"/>
      <c r="AN2060" s="232"/>
      <c r="AO2060" s="231"/>
      <c r="AP2060" s="231"/>
      <c r="AQ2060" s="227"/>
      <c r="AR2060" s="231"/>
      <c r="AS2060" s="227"/>
      <c r="AT2060" s="227"/>
      <c r="AU2060" s="227"/>
      <c r="AV2060" s="227"/>
    </row>
    <row r="2061">
      <c r="A2061" s="227"/>
      <c r="B2061" s="232"/>
      <c r="C2061" s="227"/>
      <c r="D2061" s="227"/>
      <c r="E2061" s="231"/>
      <c r="F2061" s="232"/>
      <c r="G2061" s="227"/>
      <c r="H2061" s="227"/>
      <c r="I2061" s="227"/>
      <c r="J2061" s="227"/>
      <c r="K2061" s="227"/>
      <c r="L2061" s="232"/>
      <c r="M2061" s="232"/>
      <c r="N2061" s="227"/>
      <c r="O2061" s="227"/>
      <c r="P2061" s="231"/>
      <c r="Q2061" s="227"/>
      <c r="R2061" s="231"/>
      <c r="S2061" s="231"/>
      <c r="T2061" s="231"/>
      <c r="U2061" s="231"/>
      <c r="V2061" s="231"/>
      <c r="W2061" s="231"/>
      <c r="X2061" s="227"/>
      <c r="Y2061" s="232"/>
      <c r="Z2061" s="232"/>
      <c r="AA2061" s="232"/>
      <c r="AB2061" s="232"/>
      <c r="AC2061" s="227"/>
      <c r="AD2061" s="227"/>
      <c r="AE2061" s="231"/>
      <c r="AF2061" s="227"/>
      <c r="AG2061" s="232"/>
      <c r="AH2061" s="232"/>
      <c r="AI2061" s="232"/>
      <c r="AJ2061" s="232"/>
      <c r="AK2061" s="232"/>
      <c r="AL2061" s="232"/>
      <c r="AM2061" s="232"/>
      <c r="AN2061" s="232"/>
      <c r="AO2061" s="231"/>
      <c r="AP2061" s="231"/>
      <c r="AQ2061" s="227"/>
      <c r="AR2061" s="231"/>
      <c r="AS2061" s="227"/>
      <c r="AT2061" s="227"/>
      <c r="AU2061" s="227"/>
      <c r="AV2061" s="227"/>
    </row>
    <row r="2062">
      <c r="A2062" s="227"/>
      <c r="B2062" s="232"/>
      <c r="C2062" s="227"/>
      <c r="D2062" s="227"/>
      <c r="E2062" s="231"/>
      <c r="F2062" s="232"/>
      <c r="G2062" s="227"/>
      <c r="H2062" s="227"/>
      <c r="I2062" s="227"/>
      <c r="J2062" s="227"/>
      <c r="K2062" s="227"/>
      <c r="L2062" s="232"/>
      <c r="M2062" s="232"/>
      <c r="N2062" s="227"/>
      <c r="O2062" s="227"/>
      <c r="P2062" s="231"/>
      <c r="Q2062" s="227"/>
      <c r="R2062" s="231"/>
      <c r="S2062" s="231"/>
      <c r="T2062" s="231"/>
      <c r="U2062" s="231"/>
      <c r="V2062" s="231"/>
      <c r="W2062" s="231"/>
      <c r="X2062" s="227"/>
      <c r="Y2062" s="232"/>
      <c r="Z2062" s="232"/>
      <c r="AA2062" s="232"/>
      <c r="AB2062" s="232"/>
      <c r="AC2062" s="227"/>
      <c r="AD2062" s="227"/>
      <c r="AE2062" s="231"/>
      <c r="AF2062" s="227"/>
      <c r="AG2062" s="232"/>
      <c r="AH2062" s="232"/>
      <c r="AI2062" s="232"/>
      <c r="AJ2062" s="232"/>
      <c r="AK2062" s="232"/>
      <c r="AL2062" s="232"/>
      <c r="AM2062" s="232"/>
      <c r="AN2062" s="232"/>
      <c r="AO2062" s="231"/>
      <c r="AP2062" s="231"/>
      <c r="AQ2062" s="227"/>
      <c r="AR2062" s="231"/>
      <c r="AS2062" s="227"/>
      <c r="AT2062" s="227"/>
      <c r="AU2062" s="227"/>
      <c r="AV2062" s="227"/>
    </row>
    <row r="2063">
      <c r="A2063" s="227"/>
      <c r="B2063" s="232"/>
      <c r="C2063" s="227"/>
      <c r="D2063" s="227"/>
      <c r="E2063" s="231"/>
      <c r="F2063" s="232"/>
      <c r="G2063" s="227"/>
      <c r="H2063" s="227"/>
      <c r="I2063" s="227"/>
      <c r="J2063" s="227"/>
      <c r="K2063" s="227"/>
      <c r="L2063" s="232"/>
      <c r="M2063" s="232"/>
      <c r="N2063" s="227"/>
      <c r="O2063" s="227"/>
      <c r="P2063" s="231"/>
      <c r="Q2063" s="227"/>
      <c r="R2063" s="231"/>
      <c r="S2063" s="231"/>
      <c r="T2063" s="231"/>
      <c r="U2063" s="231"/>
      <c r="V2063" s="231"/>
      <c r="W2063" s="231"/>
      <c r="X2063" s="227"/>
      <c r="Y2063" s="232"/>
      <c r="Z2063" s="232"/>
      <c r="AA2063" s="232"/>
      <c r="AB2063" s="232"/>
      <c r="AC2063" s="227"/>
      <c r="AD2063" s="227"/>
      <c r="AE2063" s="231"/>
      <c r="AF2063" s="227"/>
      <c r="AG2063" s="232"/>
      <c r="AH2063" s="232"/>
      <c r="AI2063" s="232"/>
      <c r="AJ2063" s="232"/>
      <c r="AK2063" s="232"/>
      <c r="AL2063" s="232"/>
      <c r="AM2063" s="232"/>
      <c r="AN2063" s="232"/>
      <c r="AO2063" s="231"/>
      <c r="AP2063" s="231"/>
      <c r="AQ2063" s="227"/>
      <c r="AR2063" s="231"/>
      <c r="AS2063" s="227"/>
      <c r="AT2063" s="227"/>
      <c r="AU2063" s="227"/>
      <c r="AV2063" s="227"/>
    </row>
    <row r="2064">
      <c r="A2064" s="227"/>
      <c r="B2064" s="232"/>
      <c r="C2064" s="227"/>
      <c r="D2064" s="227"/>
      <c r="E2064" s="231"/>
      <c r="F2064" s="232"/>
      <c r="G2064" s="227"/>
      <c r="H2064" s="227"/>
      <c r="I2064" s="227"/>
      <c r="J2064" s="227"/>
      <c r="K2064" s="227"/>
      <c r="L2064" s="232"/>
      <c r="M2064" s="232"/>
      <c r="N2064" s="227"/>
      <c r="O2064" s="227"/>
      <c r="P2064" s="231"/>
      <c r="Q2064" s="227"/>
      <c r="R2064" s="231"/>
      <c r="S2064" s="231"/>
      <c r="T2064" s="231"/>
      <c r="U2064" s="231"/>
      <c r="V2064" s="231"/>
      <c r="W2064" s="231"/>
      <c r="X2064" s="227"/>
      <c r="Y2064" s="232"/>
      <c r="Z2064" s="232"/>
      <c r="AA2064" s="232"/>
      <c r="AB2064" s="232"/>
      <c r="AC2064" s="227"/>
      <c r="AD2064" s="227"/>
      <c r="AE2064" s="231"/>
      <c r="AF2064" s="227"/>
      <c r="AG2064" s="232"/>
      <c r="AH2064" s="232"/>
      <c r="AI2064" s="232"/>
      <c r="AJ2064" s="232"/>
      <c r="AK2064" s="232"/>
      <c r="AL2064" s="232"/>
      <c r="AM2064" s="232"/>
      <c r="AN2064" s="232"/>
      <c r="AO2064" s="231"/>
      <c r="AP2064" s="231"/>
      <c r="AQ2064" s="227"/>
      <c r="AR2064" s="231"/>
      <c r="AS2064" s="227"/>
      <c r="AT2064" s="227"/>
      <c r="AU2064" s="227"/>
      <c r="AV2064" s="227"/>
    </row>
    <row r="2065">
      <c r="A2065" s="227"/>
      <c r="B2065" s="232"/>
      <c r="C2065" s="227"/>
      <c r="D2065" s="227"/>
      <c r="E2065" s="231"/>
      <c r="F2065" s="232"/>
      <c r="G2065" s="227"/>
      <c r="H2065" s="227"/>
      <c r="I2065" s="227"/>
      <c r="J2065" s="227"/>
      <c r="K2065" s="227"/>
      <c r="L2065" s="232"/>
      <c r="M2065" s="232"/>
      <c r="N2065" s="227"/>
      <c r="O2065" s="227"/>
      <c r="P2065" s="231"/>
      <c r="Q2065" s="227"/>
      <c r="R2065" s="231"/>
      <c r="S2065" s="231"/>
      <c r="T2065" s="231"/>
      <c r="U2065" s="231"/>
      <c r="V2065" s="231"/>
      <c r="W2065" s="231"/>
      <c r="X2065" s="227"/>
      <c r="Y2065" s="232"/>
      <c r="Z2065" s="232"/>
      <c r="AA2065" s="232"/>
      <c r="AB2065" s="232"/>
      <c r="AC2065" s="227"/>
      <c r="AD2065" s="227"/>
      <c r="AE2065" s="231"/>
      <c r="AF2065" s="227"/>
      <c r="AG2065" s="232"/>
      <c r="AH2065" s="232"/>
      <c r="AI2065" s="232"/>
      <c r="AJ2065" s="232"/>
      <c r="AK2065" s="232"/>
      <c r="AL2065" s="232"/>
      <c r="AM2065" s="232"/>
      <c r="AN2065" s="232"/>
      <c r="AO2065" s="231"/>
      <c r="AP2065" s="231"/>
      <c r="AQ2065" s="227"/>
      <c r="AR2065" s="231"/>
      <c r="AS2065" s="227"/>
      <c r="AT2065" s="227"/>
      <c r="AU2065" s="227"/>
      <c r="AV2065" s="227"/>
    </row>
    <row r="2066">
      <c r="A2066" s="227"/>
      <c r="B2066" s="232"/>
      <c r="C2066" s="227"/>
      <c r="D2066" s="227"/>
      <c r="E2066" s="231"/>
      <c r="F2066" s="232"/>
      <c r="G2066" s="227"/>
      <c r="H2066" s="227"/>
      <c r="I2066" s="227"/>
      <c r="J2066" s="227"/>
      <c r="K2066" s="227"/>
      <c r="L2066" s="232"/>
      <c r="M2066" s="232"/>
      <c r="N2066" s="227"/>
      <c r="O2066" s="227"/>
      <c r="P2066" s="231"/>
      <c r="Q2066" s="227"/>
      <c r="R2066" s="231"/>
      <c r="S2066" s="231"/>
      <c r="T2066" s="231"/>
      <c r="U2066" s="231"/>
      <c r="V2066" s="231"/>
      <c r="W2066" s="231"/>
      <c r="X2066" s="227"/>
      <c r="Y2066" s="232"/>
      <c r="Z2066" s="232"/>
      <c r="AA2066" s="232"/>
      <c r="AB2066" s="232"/>
      <c r="AC2066" s="227"/>
      <c r="AD2066" s="227"/>
      <c r="AE2066" s="231"/>
      <c r="AF2066" s="227"/>
      <c r="AG2066" s="232"/>
      <c r="AH2066" s="232"/>
      <c r="AI2066" s="232"/>
      <c r="AJ2066" s="232"/>
      <c r="AK2066" s="232"/>
      <c r="AL2066" s="232"/>
      <c r="AM2066" s="232"/>
      <c r="AN2066" s="232"/>
      <c r="AO2066" s="231"/>
      <c r="AP2066" s="231"/>
      <c r="AQ2066" s="227"/>
      <c r="AR2066" s="231"/>
      <c r="AS2066" s="227"/>
      <c r="AT2066" s="227"/>
      <c r="AU2066" s="227"/>
      <c r="AV2066" s="227"/>
    </row>
    <row r="2067">
      <c r="A2067" s="227"/>
      <c r="B2067" s="232"/>
      <c r="C2067" s="227"/>
      <c r="D2067" s="227"/>
      <c r="E2067" s="231"/>
      <c r="F2067" s="232"/>
      <c r="G2067" s="227"/>
      <c r="H2067" s="227"/>
      <c r="I2067" s="227"/>
      <c r="J2067" s="227"/>
      <c r="K2067" s="227"/>
      <c r="L2067" s="232"/>
      <c r="M2067" s="232"/>
      <c r="N2067" s="227"/>
      <c r="O2067" s="227"/>
      <c r="P2067" s="231"/>
      <c r="Q2067" s="227"/>
      <c r="R2067" s="231"/>
      <c r="S2067" s="231"/>
      <c r="T2067" s="231"/>
      <c r="U2067" s="231"/>
      <c r="V2067" s="231"/>
      <c r="W2067" s="231"/>
      <c r="X2067" s="227"/>
      <c r="Y2067" s="232"/>
      <c r="Z2067" s="232"/>
      <c r="AA2067" s="232"/>
      <c r="AB2067" s="232"/>
      <c r="AC2067" s="227"/>
      <c r="AD2067" s="227"/>
      <c r="AE2067" s="231"/>
      <c r="AF2067" s="227"/>
      <c r="AG2067" s="232"/>
      <c r="AH2067" s="232"/>
      <c r="AI2067" s="232"/>
      <c r="AJ2067" s="232"/>
      <c r="AK2067" s="232"/>
      <c r="AL2067" s="232"/>
      <c r="AM2067" s="232"/>
      <c r="AN2067" s="232"/>
      <c r="AO2067" s="231"/>
      <c r="AP2067" s="231"/>
      <c r="AQ2067" s="227"/>
      <c r="AR2067" s="231"/>
      <c r="AS2067" s="227"/>
      <c r="AT2067" s="227"/>
      <c r="AU2067" s="227"/>
      <c r="AV2067" s="227"/>
    </row>
    <row r="2068">
      <c r="A2068" s="227"/>
      <c r="B2068" s="232"/>
      <c r="C2068" s="227"/>
      <c r="D2068" s="227"/>
      <c r="E2068" s="231"/>
      <c r="F2068" s="232"/>
      <c r="G2068" s="227"/>
      <c r="H2068" s="227"/>
      <c r="I2068" s="227"/>
      <c r="J2068" s="227"/>
      <c r="K2068" s="227"/>
      <c r="L2068" s="232"/>
      <c r="M2068" s="232"/>
      <c r="N2068" s="227"/>
      <c r="O2068" s="227"/>
      <c r="P2068" s="231"/>
      <c r="Q2068" s="227"/>
      <c r="R2068" s="231"/>
      <c r="S2068" s="231"/>
      <c r="T2068" s="231"/>
      <c r="U2068" s="231"/>
      <c r="V2068" s="231"/>
      <c r="W2068" s="231"/>
      <c r="X2068" s="227"/>
      <c r="Y2068" s="232"/>
      <c r="Z2068" s="232"/>
      <c r="AA2068" s="232"/>
      <c r="AB2068" s="232"/>
      <c r="AC2068" s="227"/>
      <c r="AD2068" s="227"/>
      <c r="AE2068" s="231"/>
      <c r="AF2068" s="227"/>
      <c r="AG2068" s="232"/>
      <c r="AH2068" s="232"/>
      <c r="AI2068" s="232"/>
      <c r="AJ2068" s="232"/>
      <c r="AK2068" s="232"/>
      <c r="AL2068" s="232"/>
      <c r="AM2068" s="232"/>
      <c r="AN2068" s="232"/>
      <c r="AO2068" s="231"/>
      <c r="AP2068" s="231"/>
      <c r="AQ2068" s="227"/>
      <c r="AR2068" s="231"/>
      <c r="AS2068" s="227"/>
      <c r="AT2068" s="227"/>
      <c r="AU2068" s="227"/>
      <c r="AV2068" s="227"/>
    </row>
    <row r="2069">
      <c r="A2069" s="227"/>
      <c r="B2069" s="232"/>
      <c r="C2069" s="227"/>
      <c r="D2069" s="227"/>
      <c r="E2069" s="231"/>
      <c r="F2069" s="232"/>
      <c r="G2069" s="227"/>
      <c r="H2069" s="227"/>
      <c r="I2069" s="227"/>
      <c r="J2069" s="227"/>
      <c r="K2069" s="227"/>
      <c r="L2069" s="232"/>
      <c r="M2069" s="232"/>
      <c r="N2069" s="227"/>
      <c r="O2069" s="227"/>
      <c r="P2069" s="231"/>
      <c r="Q2069" s="227"/>
      <c r="R2069" s="231"/>
      <c r="S2069" s="231"/>
      <c r="T2069" s="231"/>
      <c r="U2069" s="231"/>
      <c r="V2069" s="231"/>
      <c r="W2069" s="231"/>
      <c r="X2069" s="227"/>
      <c r="Y2069" s="232"/>
      <c r="Z2069" s="232"/>
      <c r="AA2069" s="232"/>
      <c r="AB2069" s="232"/>
      <c r="AC2069" s="227"/>
      <c r="AD2069" s="227"/>
      <c r="AE2069" s="231"/>
      <c r="AF2069" s="227"/>
      <c r="AG2069" s="232"/>
      <c r="AH2069" s="232"/>
      <c r="AI2069" s="232"/>
      <c r="AJ2069" s="232"/>
      <c r="AK2069" s="232"/>
      <c r="AL2069" s="232"/>
      <c r="AM2069" s="232"/>
      <c r="AN2069" s="232"/>
      <c r="AO2069" s="231"/>
      <c r="AP2069" s="231"/>
      <c r="AQ2069" s="227"/>
      <c r="AR2069" s="231"/>
      <c r="AS2069" s="227"/>
      <c r="AT2069" s="227"/>
      <c r="AU2069" s="227"/>
      <c r="AV2069" s="227"/>
    </row>
    <row r="2070">
      <c r="A2070" s="227"/>
      <c r="B2070" s="232"/>
      <c r="C2070" s="227"/>
      <c r="D2070" s="227"/>
      <c r="E2070" s="231"/>
      <c r="F2070" s="232"/>
      <c r="G2070" s="227"/>
      <c r="H2070" s="227"/>
      <c r="I2070" s="227"/>
      <c r="J2070" s="227"/>
      <c r="K2070" s="227"/>
      <c r="L2070" s="232"/>
      <c r="M2070" s="232"/>
      <c r="N2070" s="227"/>
      <c r="O2070" s="227"/>
      <c r="P2070" s="231"/>
      <c r="Q2070" s="227"/>
      <c r="R2070" s="231"/>
      <c r="S2070" s="231"/>
      <c r="T2070" s="231"/>
      <c r="U2070" s="231"/>
      <c r="V2070" s="231"/>
      <c r="W2070" s="231"/>
      <c r="X2070" s="227"/>
      <c r="Y2070" s="232"/>
      <c r="Z2070" s="232"/>
      <c r="AA2070" s="232"/>
      <c r="AB2070" s="232"/>
      <c r="AC2070" s="227"/>
      <c r="AD2070" s="227"/>
      <c r="AE2070" s="231"/>
      <c r="AF2070" s="227"/>
      <c r="AG2070" s="232"/>
      <c r="AH2070" s="232"/>
      <c r="AI2070" s="232"/>
      <c r="AJ2070" s="232"/>
      <c r="AK2070" s="232"/>
      <c r="AL2070" s="232"/>
      <c r="AM2070" s="232"/>
      <c r="AN2070" s="232"/>
      <c r="AO2070" s="231"/>
      <c r="AP2070" s="231"/>
      <c r="AQ2070" s="227"/>
      <c r="AR2070" s="231"/>
      <c r="AS2070" s="227"/>
      <c r="AT2070" s="227"/>
      <c r="AU2070" s="227"/>
      <c r="AV2070" s="227"/>
    </row>
    <row r="2071">
      <c r="A2071" s="227"/>
      <c r="B2071" s="232"/>
      <c r="C2071" s="227"/>
      <c r="D2071" s="227"/>
      <c r="E2071" s="231"/>
      <c r="F2071" s="232"/>
      <c r="G2071" s="227"/>
      <c r="H2071" s="227"/>
      <c r="I2071" s="227"/>
      <c r="J2071" s="227"/>
      <c r="K2071" s="227"/>
      <c r="L2071" s="232"/>
      <c r="M2071" s="232"/>
      <c r="N2071" s="227"/>
      <c r="O2071" s="227"/>
      <c r="P2071" s="231"/>
      <c r="Q2071" s="227"/>
      <c r="R2071" s="231"/>
      <c r="S2071" s="231"/>
      <c r="T2071" s="231"/>
      <c r="U2071" s="231"/>
      <c r="V2071" s="231"/>
      <c r="W2071" s="231"/>
      <c r="X2071" s="227"/>
      <c r="Y2071" s="232"/>
      <c r="Z2071" s="232"/>
      <c r="AA2071" s="232"/>
      <c r="AB2071" s="232"/>
      <c r="AC2071" s="227"/>
      <c r="AD2071" s="227"/>
      <c r="AE2071" s="231"/>
      <c r="AF2071" s="227"/>
      <c r="AG2071" s="232"/>
      <c r="AH2071" s="232"/>
      <c r="AI2071" s="232"/>
      <c r="AJ2071" s="232"/>
      <c r="AK2071" s="232"/>
      <c r="AL2071" s="232"/>
      <c r="AM2071" s="232"/>
      <c r="AN2071" s="232"/>
      <c r="AO2071" s="231"/>
      <c r="AP2071" s="231"/>
      <c r="AQ2071" s="227"/>
      <c r="AR2071" s="231"/>
      <c r="AS2071" s="227"/>
      <c r="AT2071" s="227"/>
      <c r="AU2071" s="227"/>
      <c r="AV2071" s="227"/>
    </row>
    <row r="2072">
      <c r="A2072" s="227"/>
      <c r="B2072" s="232"/>
      <c r="C2072" s="227"/>
      <c r="D2072" s="227"/>
      <c r="E2072" s="231"/>
      <c r="F2072" s="232"/>
      <c r="G2072" s="227"/>
      <c r="H2072" s="227"/>
      <c r="I2072" s="227"/>
      <c r="J2072" s="227"/>
      <c r="K2072" s="227"/>
      <c r="L2072" s="232"/>
      <c r="M2072" s="232"/>
      <c r="N2072" s="227"/>
      <c r="O2072" s="227"/>
      <c r="P2072" s="231"/>
      <c r="Q2072" s="227"/>
      <c r="R2072" s="231"/>
      <c r="S2072" s="231"/>
      <c r="T2072" s="231"/>
      <c r="U2072" s="231"/>
      <c r="V2072" s="231"/>
      <c r="W2072" s="231"/>
      <c r="X2072" s="227"/>
      <c r="Y2072" s="232"/>
      <c r="Z2072" s="232"/>
      <c r="AA2072" s="232"/>
      <c r="AB2072" s="232"/>
      <c r="AC2072" s="227"/>
      <c r="AD2072" s="227"/>
      <c r="AE2072" s="231"/>
      <c r="AF2072" s="227"/>
      <c r="AG2072" s="232"/>
      <c r="AH2072" s="232"/>
      <c r="AI2072" s="232"/>
      <c r="AJ2072" s="232"/>
      <c r="AK2072" s="232"/>
      <c r="AL2072" s="232"/>
      <c r="AM2072" s="232"/>
      <c r="AN2072" s="232"/>
      <c r="AO2072" s="231"/>
      <c r="AP2072" s="231"/>
      <c r="AQ2072" s="227"/>
      <c r="AR2072" s="231"/>
      <c r="AS2072" s="227"/>
      <c r="AT2072" s="227"/>
      <c r="AU2072" s="227"/>
      <c r="AV2072" s="227"/>
    </row>
    <row r="2073">
      <c r="A2073" s="227"/>
      <c r="B2073" s="232"/>
      <c r="C2073" s="227"/>
      <c r="D2073" s="227"/>
      <c r="E2073" s="231"/>
      <c r="F2073" s="232"/>
      <c r="G2073" s="227"/>
      <c r="H2073" s="227"/>
      <c r="I2073" s="227"/>
      <c r="J2073" s="227"/>
      <c r="K2073" s="227"/>
      <c r="L2073" s="232"/>
      <c r="M2073" s="232"/>
      <c r="N2073" s="227"/>
      <c r="O2073" s="227"/>
      <c r="P2073" s="231"/>
      <c r="Q2073" s="227"/>
      <c r="R2073" s="231"/>
      <c r="S2073" s="231"/>
      <c r="T2073" s="231"/>
      <c r="U2073" s="231"/>
      <c r="V2073" s="231"/>
      <c r="W2073" s="231"/>
      <c r="X2073" s="227"/>
      <c r="Y2073" s="232"/>
      <c r="Z2073" s="232"/>
      <c r="AA2073" s="232"/>
      <c r="AB2073" s="232"/>
      <c r="AC2073" s="227"/>
      <c r="AD2073" s="227"/>
      <c r="AE2073" s="231"/>
      <c r="AF2073" s="227"/>
      <c r="AG2073" s="232"/>
      <c r="AH2073" s="232"/>
      <c r="AI2073" s="232"/>
      <c r="AJ2073" s="232"/>
      <c r="AK2073" s="232"/>
      <c r="AL2073" s="232"/>
      <c r="AM2073" s="232"/>
      <c r="AN2073" s="232"/>
      <c r="AO2073" s="231"/>
      <c r="AP2073" s="231"/>
      <c r="AQ2073" s="227"/>
      <c r="AR2073" s="231"/>
      <c r="AS2073" s="227"/>
      <c r="AT2073" s="227"/>
      <c r="AU2073" s="227"/>
      <c r="AV2073" s="227"/>
    </row>
    <row r="2074">
      <c r="A2074" s="227"/>
      <c r="B2074" s="232"/>
      <c r="C2074" s="227"/>
      <c r="D2074" s="227"/>
      <c r="E2074" s="231"/>
      <c r="F2074" s="232"/>
      <c r="G2074" s="227"/>
      <c r="H2074" s="227"/>
      <c r="I2074" s="227"/>
      <c r="J2074" s="227"/>
      <c r="K2074" s="227"/>
      <c r="L2074" s="232"/>
      <c r="M2074" s="232"/>
      <c r="N2074" s="227"/>
      <c r="O2074" s="227"/>
      <c r="P2074" s="231"/>
      <c r="Q2074" s="227"/>
      <c r="R2074" s="231"/>
      <c r="S2074" s="231"/>
      <c r="T2074" s="231"/>
      <c r="U2074" s="231"/>
      <c r="V2074" s="231"/>
      <c r="W2074" s="231"/>
      <c r="X2074" s="227"/>
      <c r="Y2074" s="232"/>
      <c r="Z2074" s="232"/>
      <c r="AA2074" s="232"/>
      <c r="AB2074" s="232"/>
      <c r="AC2074" s="227"/>
      <c r="AD2074" s="227"/>
      <c r="AE2074" s="231"/>
      <c r="AF2074" s="227"/>
      <c r="AG2074" s="232"/>
      <c r="AH2074" s="232"/>
      <c r="AI2074" s="232"/>
      <c r="AJ2074" s="232"/>
      <c r="AK2074" s="232"/>
      <c r="AL2074" s="232"/>
      <c r="AM2074" s="232"/>
      <c r="AN2074" s="232"/>
      <c r="AO2074" s="231"/>
      <c r="AP2074" s="231"/>
      <c r="AQ2074" s="227"/>
      <c r="AR2074" s="231"/>
      <c r="AS2074" s="227"/>
      <c r="AT2074" s="227"/>
      <c r="AU2074" s="227"/>
      <c r="AV2074" s="227"/>
    </row>
    <row r="2075">
      <c r="A2075" s="227"/>
      <c r="B2075" s="232"/>
      <c r="C2075" s="227"/>
      <c r="D2075" s="227"/>
      <c r="E2075" s="231"/>
      <c r="F2075" s="232"/>
      <c r="G2075" s="227"/>
      <c r="H2075" s="227"/>
      <c r="I2075" s="227"/>
      <c r="J2075" s="227"/>
      <c r="K2075" s="227"/>
      <c r="L2075" s="232"/>
      <c r="M2075" s="232"/>
      <c r="N2075" s="227"/>
      <c r="O2075" s="227"/>
      <c r="P2075" s="231"/>
      <c r="Q2075" s="227"/>
      <c r="R2075" s="231"/>
      <c r="S2075" s="231"/>
      <c r="T2075" s="231"/>
      <c r="U2075" s="231"/>
      <c r="V2075" s="231"/>
      <c r="W2075" s="231"/>
      <c r="X2075" s="227"/>
      <c r="Y2075" s="232"/>
      <c r="Z2075" s="232"/>
      <c r="AA2075" s="232"/>
      <c r="AB2075" s="232"/>
      <c r="AC2075" s="227"/>
      <c r="AD2075" s="227"/>
      <c r="AE2075" s="231"/>
      <c r="AF2075" s="227"/>
      <c r="AG2075" s="232"/>
      <c r="AH2075" s="232"/>
      <c r="AI2075" s="232"/>
      <c r="AJ2075" s="232"/>
      <c r="AK2075" s="232"/>
      <c r="AL2075" s="232"/>
      <c r="AM2075" s="232"/>
      <c r="AN2075" s="232"/>
      <c r="AO2075" s="231"/>
      <c r="AP2075" s="231"/>
      <c r="AQ2075" s="227"/>
      <c r="AR2075" s="231"/>
      <c r="AS2075" s="227"/>
      <c r="AT2075" s="227"/>
      <c r="AU2075" s="227"/>
      <c r="AV2075" s="227"/>
    </row>
    <row r="2076">
      <c r="A2076" s="227"/>
      <c r="B2076" s="232"/>
      <c r="C2076" s="227"/>
      <c r="D2076" s="227"/>
      <c r="E2076" s="231"/>
      <c r="F2076" s="232"/>
      <c r="G2076" s="227"/>
      <c r="H2076" s="227"/>
      <c r="I2076" s="227"/>
      <c r="J2076" s="227"/>
      <c r="K2076" s="227"/>
      <c r="L2076" s="232"/>
      <c r="M2076" s="232"/>
      <c r="N2076" s="227"/>
      <c r="O2076" s="227"/>
      <c r="P2076" s="231"/>
      <c r="Q2076" s="227"/>
      <c r="R2076" s="231"/>
      <c r="S2076" s="231"/>
      <c r="T2076" s="231"/>
      <c r="U2076" s="231"/>
      <c r="V2076" s="231"/>
      <c r="W2076" s="231"/>
      <c r="X2076" s="227"/>
      <c r="Y2076" s="232"/>
      <c r="Z2076" s="232"/>
      <c r="AA2076" s="232"/>
      <c r="AB2076" s="232"/>
      <c r="AC2076" s="227"/>
      <c r="AD2076" s="227"/>
      <c r="AE2076" s="231"/>
      <c r="AF2076" s="227"/>
      <c r="AG2076" s="232"/>
      <c r="AH2076" s="232"/>
      <c r="AI2076" s="232"/>
      <c r="AJ2076" s="232"/>
      <c r="AK2076" s="232"/>
      <c r="AL2076" s="232"/>
      <c r="AM2076" s="232"/>
      <c r="AN2076" s="232"/>
      <c r="AO2076" s="231"/>
      <c r="AP2076" s="231"/>
      <c r="AQ2076" s="227"/>
      <c r="AR2076" s="231"/>
      <c r="AS2076" s="227"/>
      <c r="AT2076" s="227"/>
      <c r="AU2076" s="227"/>
      <c r="AV2076" s="227"/>
    </row>
    <row r="2077">
      <c r="A2077" s="227"/>
      <c r="B2077" s="232"/>
      <c r="C2077" s="227"/>
      <c r="D2077" s="227"/>
      <c r="E2077" s="231"/>
      <c r="F2077" s="232"/>
      <c r="G2077" s="227"/>
      <c r="H2077" s="227"/>
      <c r="I2077" s="227"/>
      <c r="J2077" s="227"/>
      <c r="K2077" s="227"/>
      <c r="L2077" s="232"/>
      <c r="M2077" s="232"/>
      <c r="N2077" s="227"/>
      <c r="O2077" s="227"/>
      <c r="P2077" s="231"/>
      <c r="Q2077" s="227"/>
      <c r="R2077" s="231"/>
      <c r="S2077" s="231"/>
      <c r="T2077" s="231"/>
      <c r="U2077" s="231"/>
      <c r="V2077" s="231"/>
      <c r="W2077" s="231"/>
      <c r="X2077" s="227"/>
      <c r="Y2077" s="232"/>
      <c r="Z2077" s="232"/>
      <c r="AA2077" s="232"/>
      <c r="AB2077" s="232"/>
      <c r="AC2077" s="227"/>
      <c r="AD2077" s="227"/>
      <c r="AE2077" s="231"/>
      <c r="AF2077" s="227"/>
      <c r="AG2077" s="232"/>
      <c r="AH2077" s="232"/>
      <c r="AI2077" s="232"/>
      <c r="AJ2077" s="232"/>
      <c r="AK2077" s="232"/>
      <c r="AL2077" s="232"/>
      <c r="AM2077" s="232"/>
      <c r="AN2077" s="232"/>
      <c r="AO2077" s="231"/>
      <c r="AP2077" s="231"/>
      <c r="AQ2077" s="227"/>
      <c r="AR2077" s="231"/>
      <c r="AS2077" s="227"/>
      <c r="AT2077" s="227"/>
      <c r="AU2077" s="227"/>
      <c r="AV2077" s="227"/>
    </row>
    <row r="2078">
      <c r="A2078" s="227"/>
      <c r="B2078" s="232"/>
      <c r="C2078" s="227"/>
      <c r="D2078" s="227"/>
      <c r="E2078" s="231"/>
      <c r="F2078" s="232"/>
      <c r="G2078" s="227"/>
      <c r="H2078" s="227"/>
      <c r="I2078" s="227"/>
      <c r="J2078" s="227"/>
      <c r="K2078" s="227"/>
      <c r="L2078" s="232"/>
      <c r="M2078" s="232"/>
      <c r="N2078" s="227"/>
      <c r="O2078" s="227"/>
      <c r="P2078" s="231"/>
      <c r="Q2078" s="227"/>
      <c r="R2078" s="231"/>
      <c r="S2078" s="231"/>
      <c r="T2078" s="231"/>
      <c r="U2078" s="231"/>
      <c r="V2078" s="231"/>
      <c r="W2078" s="231"/>
      <c r="X2078" s="227"/>
      <c r="Y2078" s="232"/>
      <c r="Z2078" s="232"/>
      <c r="AA2078" s="232"/>
      <c r="AB2078" s="232"/>
      <c r="AC2078" s="227"/>
      <c r="AD2078" s="227"/>
      <c r="AE2078" s="231"/>
      <c r="AF2078" s="227"/>
      <c r="AG2078" s="232"/>
      <c r="AH2078" s="232"/>
      <c r="AI2078" s="232"/>
      <c r="AJ2078" s="232"/>
      <c r="AK2078" s="232"/>
      <c r="AL2078" s="232"/>
      <c r="AM2078" s="232"/>
      <c r="AN2078" s="232"/>
      <c r="AO2078" s="231"/>
      <c r="AP2078" s="231"/>
      <c r="AQ2078" s="227"/>
      <c r="AR2078" s="231"/>
      <c r="AS2078" s="227"/>
      <c r="AT2078" s="227"/>
      <c r="AU2078" s="227"/>
      <c r="AV2078" s="227"/>
    </row>
    <row r="2079">
      <c r="A2079" s="227"/>
      <c r="B2079" s="232"/>
      <c r="C2079" s="227"/>
      <c r="D2079" s="227"/>
      <c r="E2079" s="231"/>
      <c r="F2079" s="232"/>
      <c r="G2079" s="227"/>
      <c r="H2079" s="227"/>
      <c r="I2079" s="227"/>
      <c r="J2079" s="227"/>
      <c r="K2079" s="227"/>
      <c r="L2079" s="232"/>
      <c r="M2079" s="232"/>
      <c r="N2079" s="227"/>
      <c r="O2079" s="227"/>
      <c r="P2079" s="231"/>
      <c r="Q2079" s="227"/>
      <c r="R2079" s="231"/>
      <c r="S2079" s="231"/>
      <c r="T2079" s="231"/>
      <c r="U2079" s="231"/>
      <c r="V2079" s="231"/>
      <c r="W2079" s="231"/>
      <c r="X2079" s="227"/>
      <c r="Y2079" s="232"/>
      <c r="Z2079" s="232"/>
      <c r="AA2079" s="232"/>
      <c r="AB2079" s="232"/>
      <c r="AC2079" s="227"/>
      <c r="AD2079" s="227"/>
      <c r="AE2079" s="231"/>
      <c r="AF2079" s="227"/>
      <c r="AG2079" s="232"/>
      <c r="AH2079" s="232"/>
      <c r="AI2079" s="232"/>
      <c r="AJ2079" s="232"/>
      <c r="AK2079" s="232"/>
      <c r="AL2079" s="232"/>
      <c r="AM2079" s="232"/>
      <c r="AN2079" s="232"/>
      <c r="AO2079" s="231"/>
      <c r="AP2079" s="231"/>
      <c r="AQ2079" s="227"/>
      <c r="AR2079" s="231"/>
      <c r="AS2079" s="227"/>
      <c r="AT2079" s="227"/>
      <c r="AU2079" s="227"/>
      <c r="AV2079" s="227"/>
    </row>
    <row r="2080">
      <c r="A2080" s="227"/>
      <c r="B2080" s="232"/>
      <c r="C2080" s="227"/>
      <c r="D2080" s="227"/>
      <c r="E2080" s="231"/>
      <c r="F2080" s="232"/>
      <c r="G2080" s="227"/>
      <c r="H2080" s="227"/>
      <c r="I2080" s="227"/>
      <c r="J2080" s="227"/>
      <c r="K2080" s="227"/>
      <c r="L2080" s="232"/>
      <c r="M2080" s="232"/>
      <c r="N2080" s="227"/>
      <c r="O2080" s="227"/>
      <c r="P2080" s="231"/>
      <c r="Q2080" s="227"/>
      <c r="R2080" s="231"/>
      <c r="S2080" s="231"/>
      <c r="T2080" s="231"/>
      <c r="U2080" s="231"/>
      <c r="V2080" s="231"/>
      <c r="W2080" s="231"/>
      <c r="X2080" s="227"/>
      <c r="Y2080" s="232"/>
      <c r="Z2080" s="232"/>
      <c r="AA2080" s="232"/>
      <c r="AB2080" s="232"/>
      <c r="AC2080" s="227"/>
      <c r="AD2080" s="227"/>
      <c r="AE2080" s="231"/>
      <c r="AF2080" s="227"/>
      <c r="AG2080" s="232"/>
      <c r="AH2080" s="232"/>
      <c r="AI2080" s="232"/>
      <c r="AJ2080" s="232"/>
      <c r="AK2080" s="232"/>
      <c r="AL2080" s="232"/>
      <c r="AM2080" s="232"/>
      <c r="AN2080" s="232"/>
      <c r="AO2080" s="231"/>
      <c r="AP2080" s="231"/>
      <c r="AQ2080" s="227"/>
      <c r="AR2080" s="231"/>
      <c r="AS2080" s="227"/>
      <c r="AT2080" s="227"/>
      <c r="AU2080" s="227"/>
      <c r="AV2080" s="227"/>
    </row>
    <row r="2081">
      <c r="A2081" s="227"/>
      <c r="B2081" s="232"/>
      <c r="C2081" s="227"/>
      <c r="D2081" s="227"/>
      <c r="E2081" s="231"/>
      <c r="F2081" s="232"/>
      <c r="G2081" s="227"/>
      <c r="H2081" s="227"/>
      <c r="I2081" s="227"/>
      <c r="J2081" s="227"/>
      <c r="K2081" s="227"/>
      <c r="L2081" s="232"/>
      <c r="M2081" s="232"/>
      <c r="N2081" s="227"/>
      <c r="O2081" s="227"/>
      <c r="P2081" s="231"/>
      <c r="Q2081" s="227"/>
      <c r="R2081" s="231"/>
      <c r="S2081" s="231"/>
      <c r="T2081" s="231"/>
      <c r="U2081" s="231"/>
      <c r="V2081" s="231"/>
      <c r="W2081" s="231"/>
      <c r="X2081" s="227"/>
      <c r="Y2081" s="232"/>
      <c r="Z2081" s="232"/>
      <c r="AA2081" s="232"/>
      <c r="AB2081" s="232"/>
      <c r="AC2081" s="227"/>
      <c r="AD2081" s="227"/>
      <c r="AE2081" s="231"/>
      <c r="AF2081" s="227"/>
      <c r="AG2081" s="232"/>
      <c r="AH2081" s="232"/>
      <c r="AI2081" s="232"/>
      <c r="AJ2081" s="232"/>
      <c r="AK2081" s="232"/>
      <c r="AL2081" s="232"/>
      <c r="AM2081" s="232"/>
      <c r="AN2081" s="232"/>
      <c r="AO2081" s="231"/>
      <c r="AP2081" s="231"/>
      <c r="AQ2081" s="227"/>
      <c r="AR2081" s="231"/>
      <c r="AS2081" s="227"/>
      <c r="AT2081" s="227"/>
      <c r="AU2081" s="227"/>
      <c r="AV2081" s="227"/>
    </row>
    <row r="2082">
      <c r="A2082" s="227"/>
      <c r="B2082" s="232"/>
      <c r="C2082" s="227"/>
      <c r="D2082" s="227"/>
      <c r="E2082" s="231"/>
      <c r="F2082" s="232"/>
      <c r="G2082" s="227"/>
      <c r="H2082" s="227"/>
      <c r="I2082" s="227"/>
      <c r="J2082" s="227"/>
      <c r="K2082" s="227"/>
      <c r="L2082" s="232"/>
      <c r="M2082" s="232"/>
      <c r="N2082" s="227"/>
      <c r="O2082" s="227"/>
      <c r="P2082" s="231"/>
      <c r="Q2082" s="227"/>
      <c r="R2082" s="231"/>
      <c r="S2082" s="231"/>
      <c r="T2082" s="231"/>
      <c r="U2082" s="231"/>
      <c r="V2082" s="231"/>
      <c r="W2082" s="231"/>
      <c r="X2082" s="227"/>
      <c r="Y2082" s="232"/>
      <c r="Z2082" s="232"/>
      <c r="AA2082" s="232"/>
      <c r="AB2082" s="232"/>
      <c r="AC2082" s="227"/>
      <c r="AD2082" s="227"/>
      <c r="AE2082" s="231"/>
      <c r="AF2082" s="227"/>
      <c r="AG2082" s="232"/>
      <c r="AH2082" s="232"/>
      <c r="AI2082" s="232"/>
      <c r="AJ2082" s="232"/>
      <c r="AK2082" s="232"/>
      <c r="AL2082" s="232"/>
      <c r="AM2082" s="232"/>
      <c r="AN2082" s="232"/>
      <c r="AO2082" s="231"/>
      <c r="AP2082" s="231"/>
      <c r="AQ2082" s="227"/>
      <c r="AR2082" s="231"/>
      <c r="AS2082" s="227"/>
      <c r="AT2082" s="227"/>
      <c r="AU2082" s="227"/>
      <c r="AV2082" s="227"/>
    </row>
    <row r="2083">
      <c r="A2083" s="227"/>
      <c r="B2083" s="232"/>
      <c r="C2083" s="227"/>
      <c r="D2083" s="227"/>
      <c r="E2083" s="231"/>
      <c r="F2083" s="232"/>
      <c r="G2083" s="227"/>
      <c r="H2083" s="227"/>
      <c r="I2083" s="227"/>
      <c r="J2083" s="227"/>
      <c r="K2083" s="227"/>
      <c r="L2083" s="232"/>
      <c r="M2083" s="232"/>
      <c r="N2083" s="227"/>
      <c r="O2083" s="227"/>
      <c r="P2083" s="231"/>
      <c r="Q2083" s="227"/>
      <c r="R2083" s="231"/>
      <c r="S2083" s="231"/>
      <c r="T2083" s="231"/>
      <c r="U2083" s="231"/>
      <c r="V2083" s="231"/>
      <c r="W2083" s="231"/>
      <c r="X2083" s="227"/>
      <c r="Y2083" s="232"/>
      <c r="Z2083" s="232"/>
      <c r="AA2083" s="232"/>
      <c r="AB2083" s="232"/>
      <c r="AC2083" s="227"/>
      <c r="AD2083" s="227"/>
      <c r="AE2083" s="231"/>
      <c r="AF2083" s="227"/>
      <c r="AG2083" s="232"/>
      <c r="AH2083" s="232"/>
      <c r="AI2083" s="232"/>
      <c r="AJ2083" s="232"/>
      <c r="AK2083" s="232"/>
      <c r="AL2083" s="232"/>
      <c r="AM2083" s="232"/>
      <c r="AN2083" s="232"/>
      <c r="AO2083" s="231"/>
      <c r="AP2083" s="231"/>
      <c r="AQ2083" s="227"/>
      <c r="AR2083" s="231"/>
      <c r="AS2083" s="227"/>
      <c r="AT2083" s="227"/>
      <c r="AU2083" s="227"/>
      <c r="AV2083" s="227"/>
    </row>
    <row r="2084">
      <c r="A2084" s="227"/>
      <c r="B2084" s="232"/>
      <c r="C2084" s="227"/>
      <c r="D2084" s="227"/>
      <c r="E2084" s="231"/>
      <c r="F2084" s="232"/>
      <c r="G2084" s="227"/>
      <c r="H2084" s="227"/>
      <c r="I2084" s="227"/>
      <c r="J2084" s="227"/>
      <c r="K2084" s="227"/>
      <c r="L2084" s="232"/>
      <c r="M2084" s="232"/>
      <c r="N2084" s="227"/>
      <c r="O2084" s="227"/>
      <c r="P2084" s="231"/>
      <c r="Q2084" s="227"/>
      <c r="R2084" s="231"/>
      <c r="S2084" s="231"/>
      <c r="T2084" s="231"/>
      <c r="U2084" s="231"/>
      <c r="V2084" s="231"/>
      <c r="W2084" s="231"/>
      <c r="X2084" s="227"/>
      <c r="Y2084" s="232"/>
      <c r="Z2084" s="232"/>
      <c r="AA2084" s="232"/>
      <c r="AB2084" s="232"/>
      <c r="AC2084" s="227"/>
      <c r="AD2084" s="227"/>
      <c r="AE2084" s="231"/>
      <c r="AF2084" s="227"/>
      <c r="AG2084" s="232"/>
      <c r="AH2084" s="232"/>
      <c r="AI2084" s="232"/>
      <c r="AJ2084" s="232"/>
      <c r="AK2084" s="232"/>
      <c r="AL2084" s="232"/>
      <c r="AM2084" s="232"/>
      <c r="AN2084" s="232"/>
      <c r="AO2084" s="231"/>
      <c r="AP2084" s="231"/>
      <c r="AQ2084" s="227"/>
      <c r="AR2084" s="231"/>
      <c r="AS2084" s="227"/>
      <c r="AT2084" s="227"/>
      <c r="AU2084" s="227"/>
      <c r="AV2084" s="227"/>
    </row>
    <row r="2085">
      <c r="A2085" s="227"/>
      <c r="B2085" s="232"/>
      <c r="C2085" s="227"/>
      <c r="D2085" s="227"/>
      <c r="E2085" s="231"/>
      <c r="F2085" s="232"/>
      <c r="G2085" s="227"/>
      <c r="H2085" s="227"/>
      <c r="I2085" s="227"/>
      <c r="J2085" s="227"/>
      <c r="K2085" s="227"/>
      <c r="L2085" s="232"/>
      <c r="M2085" s="232"/>
      <c r="N2085" s="227"/>
      <c r="O2085" s="227"/>
      <c r="P2085" s="231"/>
      <c r="Q2085" s="227"/>
      <c r="R2085" s="231"/>
      <c r="S2085" s="231"/>
      <c r="T2085" s="231"/>
      <c r="U2085" s="231"/>
      <c r="V2085" s="231"/>
      <c r="W2085" s="231"/>
      <c r="X2085" s="227"/>
      <c r="Y2085" s="232"/>
      <c r="Z2085" s="232"/>
      <c r="AA2085" s="232"/>
      <c r="AB2085" s="232"/>
      <c r="AC2085" s="227"/>
      <c r="AD2085" s="227"/>
      <c r="AE2085" s="231"/>
      <c r="AF2085" s="227"/>
      <c r="AG2085" s="232"/>
      <c r="AH2085" s="232"/>
      <c r="AI2085" s="232"/>
      <c r="AJ2085" s="232"/>
      <c r="AK2085" s="232"/>
      <c r="AL2085" s="232"/>
      <c r="AM2085" s="232"/>
      <c r="AN2085" s="232"/>
      <c r="AO2085" s="231"/>
      <c r="AP2085" s="231"/>
      <c r="AQ2085" s="227"/>
      <c r="AR2085" s="231"/>
      <c r="AS2085" s="227"/>
      <c r="AT2085" s="227"/>
      <c r="AU2085" s="227"/>
      <c r="AV2085" s="227"/>
    </row>
    <row r="2086">
      <c r="A2086" s="227"/>
      <c r="B2086" s="232"/>
      <c r="C2086" s="227"/>
      <c r="D2086" s="227"/>
      <c r="E2086" s="231"/>
      <c r="F2086" s="232"/>
      <c r="G2086" s="227"/>
      <c r="H2086" s="227"/>
      <c r="I2086" s="227"/>
      <c r="J2086" s="227"/>
      <c r="K2086" s="227"/>
      <c r="L2086" s="232"/>
      <c r="M2086" s="232"/>
      <c r="N2086" s="227"/>
      <c r="O2086" s="227"/>
      <c r="P2086" s="231"/>
      <c r="Q2086" s="227"/>
      <c r="R2086" s="231"/>
      <c r="S2086" s="231"/>
      <c r="T2086" s="231"/>
      <c r="U2086" s="231"/>
      <c r="V2086" s="231"/>
      <c r="W2086" s="231"/>
      <c r="X2086" s="227"/>
      <c r="Y2086" s="232"/>
      <c r="Z2086" s="232"/>
      <c r="AA2086" s="232"/>
      <c r="AB2086" s="232"/>
      <c r="AC2086" s="227"/>
      <c r="AD2086" s="227"/>
      <c r="AE2086" s="231"/>
      <c r="AF2086" s="227"/>
      <c r="AG2086" s="232"/>
      <c r="AH2086" s="232"/>
      <c r="AI2086" s="232"/>
      <c r="AJ2086" s="232"/>
      <c r="AK2086" s="232"/>
      <c r="AL2086" s="232"/>
      <c r="AM2086" s="232"/>
      <c r="AN2086" s="232"/>
      <c r="AO2086" s="231"/>
      <c r="AP2086" s="231"/>
      <c r="AQ2086" s="227"/>
      <c r="AR2086" s="231"/>
      <c r="AS2086" s="227"/>
      <c r="AT2086" s="227"/>
      <c r="AU2086" s="227"/>
      <c r="AV2086" s="227"/>
    </row>
    <row r="2087">
      <c r="A2087" s="227"/>
      <c r="B2087" s="232"/>
      <c r="C2087" s="227"/>
      <c r="D2087" s="227"/>
      <c r="E2087" s="231"/>
      <c r="F2087" s="232"/>
      <c r="G2087" s="227"/>
      <c r="H2087" s="227"/>
      <c r="I2087" s="227"/>
      <c r="J2087" s="227"/>
      <c r="K2087" s="227"/>
      <c r="L2087" s="232"/>
      <c r="M2087" s="232"/>
      <c r="N2087" s="227"/>
      <c r="O2087" s="227"/>
      <c r="P2087" s="231"/>
      <c r="Q2087" s="227"/>
      <c r="R2087" s="231"/>
      <c r="S2087" s="231"/>
      <c r="T2087" s="231"/>
      <c r="U2087" s="231"/>
      <c r="V2087" s="231"/>
      <c r="W2087" s="231"/>
      <c r="X2087" s="227"/>
      <c r="Y2087" s="232"/>
      <c r="Z2087" s="232"/>
      <c r="AA2087" s="232"/>
      <c r="AB2087" s="232"/>
      <c r="AC2087" s="227"/>
      <c r="AD2087" s="227"/>
      <c r="AE2087" s="231"/>
      <c r="AF2087" s="227"/>
      <c r="AG2087" s="232"/>
      <c r="AH2087" s="232"/>
      <c r="AI2087" s="232"/>
      <c r="AJ2087" s="232"/>
      <c r="AK2087" s="232"/>
      <c r="AL2087" s="232"/>
      <c r="AM2087" s="232"/>
      <c r="AN2087" s="232"/>
      <c r="AO2087" s="231"/>
      <c r="AP2087" s="231"/>
      <c r="AQ2087" s="227"/>
      <c r="AR2087" s="231"/>
      <c r="AS2087" s="227"/>
      <c r="AT2087" s="227"/>
      <c r="AU2087" s="227"/>
      <c r="AV2087" s="227"/>
    </row>
    <row r="2088">
      <c r="A2088" s="227"/>
      <c r="B2088" s="232"/>
      <c r="C2088" s="227"/>
      <c r="D2088" s="227"/>
      <c r="E2088" s="231"/>
      <c r="F2088" s="232"/>
      <c r="G2088" s="227"/>
      <c r="H2088" s="227"/>
      <c r="I2088" s="227"/>
      <c r="J2088" s="227"/>
      <c r="K2088" s="227"/>
      <c r="L2088" s="232"/>
      <c r="M2088" s="232"/>
      <c r="N2088" s="227"/>
      <c r="O2088" s="227"/>
      <c r="P2088" s="231"/>
      <c r="Q2088" s="227"/>
      <c r="R2088" s="231"/>
      <c r="S2088" s="231"/>
      <c r="T2088" s="231"/>
      <c r="U2088" s="231"/>
      <c r="V2088" s="231"/>
      <c r="W2088" s="231"/>
      <c r="X2088" s="227"/>
      <c r="Y2088" s="232"/>
      <c r="Z2088" s="232"/>
      <c r="AA2088" s="232"/>
      <c r="AB2088" s="232"/>
      <c r="AC2088" s="227"/>
      <c r="AD2088" s="227"/>
      <c r="AE2088" s="231"/>
      <c r="AF2088" s="227"/>
      <c r="AG2088" s="232"/>
      <c r="AH2088" s="232"/>
      <c r="AI2088" s="232"/>
      <c r="AJ2088" s="232"/>
      <c r="AK2088" s="232"/>
      <c r="AL2088" s="232"/>
      <c r="AM2088" s="232"/>
      <c r="AN2088" s="232"/>
      <c r="AO2088" s="231"/>
      <c r="AP2088" s="231"/>
      <c r="AQ2088" s="227"/>
      <c r="AR2088" s="231"/>
      <c r="AS2088" s="227"/>
      <c r="AT2088" s="227"/>
      <c r="AU2088" s="227"/>
      <c r="AV2088" s="227"/>
    </row>
    <row r="2089">
      <c r="A2089" s="227"/>
      <c r="B2089" s="232"/>
      <c r="C2089" s="227"/>
      <c r="D2089" s="227"/>
      <c r="E2089" s="231"/>
      <c r="F2089" s="232"/>
      <c r="G2089" s="227"/>
      <c r="H2089" s="227"/>
      <c r="I2089" s="227"/>
      <c r="J2089" s="227"/>
      <c r="K2089" s="227"/>
      <c r="L2089" s="232"/>
      <c r="M2089" s="232"/>
      <c r="N2089" s="227"/>
      <c r="O2089" s="227"/>
      <c r="P2089" s="231"/>
      <c r="Q2089" s="227"/>
      <c r="R2089" s="231"/>
      <c r="S2089" s="231"/>
      <c r="T2089" s="231"/>
      <c r="U2089" s="231"/>
      <c r="V2089" s="231"/>
      <c r="W2089" s="231"/>
      <c r="X2089" s="227"/>
      <c r="Y2089" s="232"/>
      <c r="Z2089" s="232"/>
      <c r="AA2089" s="232"/>
      <c r="AB2089" s="232"/>
      <c r="AC2089" s="227"/>
      <c r="AD2089" s="227"/>
      <c r="AE2089" s="231"/>
      <c r="AF2089" s="227"/>
      <c r="AG2089" s="232"/>
      <c r="AH2089" s="232"/>
      <c r="AI2089" s="232"/>
      <c r="AJ2089" s="232"/>
      <c r="AK2089" s="232"/>
      <c r="AL2089" s="232"/>
      <c r="AM2089" s="232"/>
      <c r="AN2089" s="232"/>
      <c r="AO2089" s="231"/>
      <c r="AP2089" s="231"/>
      <c r="AQ2089" s="227"/>
      <c r="AR2089" s="231"/>
      <c r="AS2089" s="227"/>
      <c r="AT2089" s="227"/>
      <c r="AU2089" s="227"/>
      <c r="AV2089" s="227"/>
    </row>
    <row r="2090">
      <c r="A2090" s="227"/>
      <c r="B2090" s="232"/>
      <c r="C2090" s="227"/>
      <c r="D2090" s="227"/>
      <c r="E2090" s="231"/>
      <c r="F2090" s="232"/>
      <c r="G2090" s="227"/>
      <c r="H2090" s="227"/>
      <c r="I2090" s="227"/>
      <c r="J2090" s="227"/>
      <c r="K2090" s="227"/>
      <c r="L2090" s="232"/>
      <c r="M2090" s="232"/>
      <c r="N2090" s="227"/>
      <c r="O2090" s="227"/>
      <c r="P2090" s="231"/>
      <c r="Q2090" s="227"/>
      <c r="R2090" s="231"/>
      <c r="S2090" s="231"/>
      <c r="T2090" s="231"/>
      <c r="U2090" s="231"/>
      <c r="V2090" s="231"/>
      <c r="W2090" s="231"/>
      <c r="X2090" s="227"/>
      <c r="Y2090" s="232"/>
      <c r="Z2090" s="232"/>
      <c r="AA2090" s="232"/>
      <c r="AB2090" s="232"/>
      <c r="AC2090" s="227"/>
      <c r="AD2090" s="227"/>
      <c r="AE2090" s="231"/>
      <c r="AF2090" s="227"/>
      <c r="AG2090" s="232"/>
      <c r="AH2090" s="232"/>
      <c r="AI2090" s="232"/>
      <c r="AJ2090" s="232"/>
      <c r="AK2090" s="232"/>
      <c r="AL2090" s="232"/>
      <c r="AM2090" s="232"/>
      <c r="AN2090" s="232"/>
      <c r="AO2090" s="231"/>
      <c r="AP2090" s="231"/>
      <c r="AQ2090" s="227"/>
      <c r="AR2090" s="231"/>
      <c r="AS2090" s="227"/>
      <c r="AT2090" s="227"/>
      <c r="AU2090" s="227"/>
      <c r="AV2090" s="227"/>
    </row>
    <row r="2091">
      <c r="A2091" s="227"/>
      <c r="B2091" s="232"/>
      <c r="C2091" s="227"/>
      <c r="D2091" s="227"/>
      <c r="E2091" s="231"/>
      <c r="F2091" s="232"/>
      <c r="G2091" s="227"/>
      <c r="H2091" s="227"/>
      <c r="I2091" s="227"/>
      <c r="J2091" s="227"/>
      <c r="K2091" s="227"/>
      <c r="L2091" s="232"/>
      <c r="M2091" s="232"/>
      <c r="N2091" s="227"/>
      <c r="O2091" s="227"/>
      <c r="P2091" s="231"/>
      <c r="Q2091" s="227"/>
      <c r="R2091" s="231"/>
      <c r="S2091" s="231"/>
      <c r="T2091" s="231"/>
      <c r="U2091" s="231"/>
      <c r="V2091" s="231"/>
      <c r="W2091" s="231"/>
      <c r="X2091" s="227"/>
      <c r="Y2091" s="232"/>
      <c r="Z2091" s="232"/>
      <c r="AA2091" s="232"/>
      <c r="AB2091" s="232"/>
      <c r="AC2091" s="227"/>
      <c r="AD2091" s="227"/>
      <c r="AE2091" s="231"/>
      <c r="AF2091" s="227"/>
      <c r="AG2091" s="232"/>
      <c r="AH2091" s="232"/>
      <c r="AI2091" s="232"/>
      <c r="AJ2091" s="232"/>
      <c r="AK2091" s="232"/>
      <c r="AL2091" s="232"/>
      <c r="AM2091" s="232"/>
      <c r="AN2091" s="232"/>
      <c r="AO2091" s="231"/>
      <c r="AP2091" s="231"/>
      <c r="AQ2091" s="227"/>
      <c r="AR2091" s="231"/>
      <c r="AS2091" s="227"/>
      <c r="AT2091" s="227"/>
      <c r="AU2091" s="227"/>
      <c r="AV2091" s="227"/>
    </row>
    <row r="2092">
      <c r="A2092" s="227"/>
      <c r="B2092" s="232"/>
      <c r="C2092" s="227"/>
      <c r="D2092" s="227"/>
      <c r="E2092" s="231"/>
      <c r="F2092" s="232"/>
      <c r="G2092" s="227"/>
      <c r="H2092" s="227"/>
      <c r="I2092" s="227"/>
      <c r="J2092" s="227"/>
      <c r="K2092" s="227"/>
      <c r="L2092" s="232"/>
      <c r="M2092" s="232"/>
      <c r="N2092" s="227"/>
      <c r="O2092" s="227"/>
      <c r="P2092" s="231"/>
      <c r="Q2092" s="227"/>
      <c r="R2092" s="231"/>
      <c r="S2092" s="231"/>
      <c r="T2092" s="231"/>
      <c r="U2092" s="231"/>
      <c r="V2092" s="231"/>
      <c r="W2092" s="231"/>
      <c r="X2092" s="227"/>
      <c r="Y2092" s="232"/>
      <c r="Z2092" s="232"/>
      <c r="AA2092" s="232"/>
      <c r="AB2092" s="232"/>
      <c r="AC2092" s="227"/>
      <c r="AD2092" s="227"/>
      <c r="AE2092" s="231"/>
      <c r="AF2092" s="227"/>
      <c r="AG2092" s="232"/>
      <c r="AH2092" s="232"/>
      <c r="AI2092" s="232"/>
      <c r="AJ2092" s="232"/>
      <c r="AK2092" s="232"/>
      <c r="AL2092" s="232"/>
      <c r="AM2092" s="232"/>
      <c r="AN2092" s="232"/>
      <c r="AO2092" s="231"/>
      <c r="AP2092" s="231"/>
      <c r="AQ2092" s="227"/>
      <c r="AR2092" s="231"/>
      <c r="AS2092" s="227"/>
      <c r="AT2092" s="227"/>
      <c r="AU2092" s="227"/>
      <c r="AV2092" s="227"/>
    </row>
    <row r="2093">
      <c r="A2093" s="227"/>
      <c r="B2093" s="232"/>
      <c r="C2093" s="227"/>
      <c r="D2093" s="227"/>
      <c r="E2093" s="231"/>
      <c r="F2093" s="232"/>
      <c r="G2093" s="227"/>
      <c r="H2093" s="227"/>
      <c r="I2093" s="227"/>
      <c r="J2093" s="227"/>
      <c r="K2093" s="227"/>
      <c r="L2093" s="232"/>
      <c r="M2093" s="232"/>
      <c r="N2093" s="227"/>
      <c r="O2093" s="227"/>
      <c r="P2093" s="231"/>
      <c r="Q2093" s="227"/>
      <c r="R2093" s="231"/>
      <c r="S2093" s="231"/>
      <c r="T2093" s="231"/>
      <c r="U2093" s="231"/>
      <c r="V2093" s="231"/>
      <c r="W2093" s="231"/>
      <c r="X2093" s="227"/>
      <c r="Y2093" s="232"/>
      <c r="Z2093" s="232"/>
      <c r="AA2093" s="232"/>
      <c r="AB2093" s="232"/>
      <c r="AC2093" s="227"/>
      <c r="AD2093" s="227"/>
      <c r="AE2093" s="231"/>
      <c r="AF2093" s="227"/>
      <c r="AG2093" s="232"/>
      <c r="AH2093" s="232"/>
      <c r="AI2093" s="232"/>
      <c r="AJ2093" s="232"/>
      <c r="AK2093" s="232"/>
      <c r="AL2093" s="232"/>
      <c r="AM2093" s="232"/>
      <c r="AN2093" s="232"/>
      <c r="AO2093" s="231"/>
      <c r="AP2093" s="231"/>
      <c r="AQ2093" s="227"/>
      <c r="AR2093" s="231"/>
      <c r="AS2093" s="227"/>
      <c r="AT2093" s="227"/>
      <c r="AU2093" s="227"/>
      <c r="AV2093" s="227"/>
    </row>
    <row r="2094">
      <c r="A2094" s="227"/>
      <c r="B2094" s="232"/>
      <c r="C2094" s="227"/>
      <c r="D2094" s="227"/>
      <c r="E2094" s="231"/>
      <c r="F2094" s="232"/>
      <c r="G2094" s="227"/>
      <c r="H2094" s="227"/>
      <c r="I2094" s="227"/>
      <c r="J2094" s="227"/>
      <c r="K2094" s="227"/>
      <c r="L2094" s="232"/>
      <c r="M2094" s="232"/>
      <c r="N2094" s="227"/>
      <c r="O2094" s="227"/>
      <c r="P2094" s="231"/>
      <c r="Q2094" s="227"/>
      <c r="R2094" s="231"/>
      <c r="S2094" s="231"/>
      <c r="T2094" s="231"/>
      <c r="U2094" s="231"/>
      <c r="V2094" s="231"/>
      <c r="W2094" s="231"/>
      <c r="X2094" s="227"/>
      <c r="Y2094" s="232"/>
      <c r="Z2094" s="232"/>
      <c r="AA2094" s="232"/>
      <c r="AB2094" s="232"/>
      <c r="AC2094" s="227"/>
      <c r="AD2094" s="227"/>
      <c r="AE2094" s="231"/>
      <c r="AF2094" s="227"/>
      <c r="AG2094" s="232"/>
      <c r="AH2094" s="232"/>
      <c r="AI2094" s="232"/>
      <c r="AJ2094" s="232"/>
      <c r="AK2094" s="232"/>
      <c r="AL2094" s="232"/>
      <c r="AM2094" s="232"/>
      <c r="AN2094" s="232"/>
      <c r="AO2094" s="231"/>
      <c r="AP2094" s="231"/>
      <c r="AQ2094" s="227"/>
      <c r="AR2094" s="231"/>
      <c r="AS2094" s="227"/>
      <c r="AT2094" s="227"/>
      <c r="AU2094" s="227"/>
      <c r="AV2094" s="227"/>
    </row>
    <row r="2095">
      <c r="A2095" s="227"/>
      <c r="B2095" s="232"/>
      <c r="C2095" s="227"/>
      <c r="D2095" s="227"/>
      <c r="E2095" s="231"/>
      <c r="F2095" s="232"/>
      <c r="G2095" s="227"/>
      <c r="H2095" s="227"/>
      <c r="I2095" s="227"/>
      <c r="J2095" s="227"/>
      <c r="K2095" s="227"/>
      <c r="L2095" s="232"/>
      <c r="M2095" s="232"/>
      <c r="N2095" s="227"/>
      <c r="O2095" s="227"/>
      <c r="P2095" s="231"/>
      <c r="Q2095" s="227"/>
      <c r="R2095" s="231"/>
      <c r="S2095" s="231"/>
      <c r="T2095" s="231"/>
      <c r="U2095" s="231"/>
      <c r="V2095" s="231"/>
      <c r="W2095" s="231"/>
      <c r="X2095" s="227"/>
      <c r="Y2095" s="232"/>
      <c r="Z2095" s="232"/>
      <c r="AA2095" s="232"/>
      <c r="AB2095" s="232"/>
      <c r="AC2095" s="227"/>
      <c r="AD2095" s="227"/>
      <c r="AE2095" s="231"/>
      <c r="AF2095" s="227"/>
      <c r="AG2095" s="232"/>
      <c r="AH2095" s="232"/>
      <c r="AI2095" s="232"/>
      <c r="AJ2095" s="232"/>
      <c r="AK2095" s="232"/>
      <c r="AL2095" s="232"/>
      <c r="AM2095" s="232"/>
      <c r="AN2095" s="232"/>
      <c r="AO2095" s="231"/>
      <c r="AP2095" s="231"/>
      <c r="AQ2095" s="227"/>
      <c r="AR2095" s="231"/>
      <c r="AS2095" s="227"/>
      <c r="AT2095" s="227"/>
      <c r="AU2095" s="227"/>
      <c r="AV2095" s="227"/>
    </row>
    <row r="2096">
      <c r="A2096" s="227"/>
      <c r="B2096" s="232"/>
      <c r="C2096" s="227"/>
      <c r="D2096" s="227"/>
      <c r="E2096" s="231"/>
      <c r="F2096" s="232"/>
      <c r="G2096" s="227"/>
      <c r="H2096" s="227"/>
      <c r="I2096" s="227"/>
      <c r="J2096" s="227"/>
      <c r="K2096" s="227"/>
      <c r="L2096" s="232"/>
      <c r="M2096" s="232"/>
      <c r="N2096" s="227"/>
      <c r="O2096" s="227"/>
      <c r="P2096" s="231"/>
      <c r="Q2096" s="227"/>
      <c r="R2096" s="231"/>
      <c r="S2096" s="231"/>
      <c r="T2096" s="231"/>
      <c r="U2096" s="231"/>
      <c r="V2096" s="231"/>
      <c r="W2096" s="231"/>
      <c r="X2096" s="227"/>
      <c r="Y2096" s="232"/>
      <c r="Z2096" s="232"/>
      <c r="AA2096" s="232"/>
      <c r="AB2096" s="232"/>
      <c r="AC2096" s="227"/>
      <c r="AD2096" s="227"/>
      <c r="AE2096" s="231"/>
      <c r="AF2096" s="227"/>
      <c r="AG2096" s="232"/>
      <c r="AH2096" s="232"/>
      <c r="AI2096" s="232"/>
      <c r="AJ2096" s="232"/>
      <c r="AK2096" s="232"/>
      <c r="AL2096" s="232"/>
      <c r="AM2096" s="232"/>
      <c r="AN2096" s="232"/>
      <c r="AO2096" s="231"/>
      <c r="AP2096" s="231"/>
      <c r="AQ2096" s="227"/>
      <c r="AR2096" s="231"/>
      <c r="AS2096" s="227"/>
      <c r="AT2096" s="227"/>
      <c r="AU2096" s="227"/>
      <c r="AV2096" s="227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0"/>
    <col customWidth="1" min="2" max="2" width="13.29"/>
    <col customWidth="1" min="3" max="3" width="25.14"/>
    <col customWidth="1" min="4" max="4" width="56.43"/>
    <col customWidth="1" min="5" max="5" width="8.0"/>
    <col customWidth="1" min="6" max="6" width="16.86"/>
    <col customWidth="1" min="7" max="7" width="17.0"/>
    <col customWidth="1" min="8" max="8" width="7.57"/>
    <col customWidth="1" min="9" max="18" width="8.71"/>
    <col customWidth="1" min="19" max="19" width="27.57"/>
    <col customWidth="1" min="20" max="26" width="8.71"/>
  </cols>
  <sheetData>
    <row r="1">
      <c r="A1" s="234" t="s">
        <v>475</v>
      </c>
      <c r="B1" s="235" t="s">
        <v>479</v>
      </c>
      <c r="C1" s="235" t="s">
        <v>480</v>
      </c>
      <c r="D1" s="235" t="s">
        <v>481</v>
      </c>
      <c r="E1" s="235" t="s">
        <v>69</v>
      </c>
      <c r="F1" s="235" t="s">
        <v>482</v>
      </c>
      <c r="G1" s="235" t="s">
        <v>483</v>
      </c>
      <c r="H1" s="235" t="s">
        <v>484</v>
      </c>
      <c r="I1" s="235" t="s">
        <v>485</v>
      </c>
      <c r="J1" s="235" t="s">
        <v>486</v>
      </c>
      <c r="K1" s="235" t="s">
        <v>488</v>
      </c>
      <c r="L1" s="235" t="s">
        <v>489</v>
      </c>
      <c r="M1" s="235" t="s">
        <v>491</v>
      </c>
      <c r="N1" s="235" t="s">
        <v>492</v>
      </c>
      <c r="O1" s="235" t="s">
        <v>493</v>
      </c>
      <c r="P1" s="235" t="s">
        <v>494</v>
      </c>
      <c r="Q1" s="235" t="s">
        <v>495</v>
      </c>
      <c r="R1" s="235" t="s">
        <v>496</v>
      </c>
      <c r="S1" s="235" t="s">
        <v>497</v>
      </c>
      <c r="T1" s="235" t="s">
        <v>498</v>
      </c>
      <c r="U1" s="235" t="s">
        <v>499</v>
      </c>
      <c r="V1" s="236"/>
    </row>
    <row r="2">
      <c r="A2" s="237">
        <v>46228.0</v>
      </c>
      <c r="B2" s="235" t="s">
        <v>500</v>
      </c>
      <c r="C2" s="235" t="s">
        <v>290</v>
      </c>
      <c r="D2" s="235" t="s">
        <v>41</v>
      </c>
      <c r="E2" s="235" t="s">
        <v>291</v>
      </c>
      <c r="F2" s="235" t="s">
        <v>503</v>
      </c>
      <c r="G2" s="238">
        <v>7.0</v>
      </c>
      <c r="H2" s="238">
        <v>0.0</v>
      </c>
      <c r="I2" s="238">
        <v>0.0</v>
      </c>
      <c r="J2" s="238">
        <v>0.0</v>
      </c>
      <c r="K2" s="238">
        <v>0.0</v>
      </c>
      <c r="L2" s="238">
        <v>0.0</v>
      </c>
      <c r="M2" s="238">
        <v>0.0</v>
      </c>
      <c r="N2" s="238">
        <v>0.0</v>
      </c>
      <c r="O2" s="238">
        <v>0.0</v>
      </c>
      <c r="P2" s="238">
        <v>0.0</v>
      </c>
      <c r="Q2" s="238">
        <v>0.0</v>
      </c>
      <c r="R2" s="238">
        <v>0.0</v>
      </c>
      <c r="S2" s="238">
        <v>7.0</v>
      </c>
      <c r="T2" s="238">
        <v>0.0</v>
      </c>
      <c r="U2" s="235" t="s">
        <v>20</v>
      </c>
      <c r="V2" s="239"/>
    </row>
    <row r="3">
      <c r="A3" s="237">
        <v>46228.0</v>
      </c>
      <c r="B3" s="235" t="s">
        <v>500</v>
      </c>
      <c r="C3" s="235" t="s">
        <v>290</v>
      </c>
      <c r="D3" s="235" t="s">
        <v>41</v>
      </c>
      <c r="E3" s="235" t="s">
        <v>291</v>
      </c>
      <c r="F3" s="235" t="s">
        <v>503</v>
      </c>
      <c r="G3" s="238">
        <v>2.0</v>
      </c>
      <c r="H3" s="238">
        <v>0.0</v>
      </c>
      <c r="I3" s="238">
        <v>0.0</v>
      </c>
      <c r="J3" s="238">
        <v>-1.0</v>
      </c>
      <c r="K3" s="238">
        <v>0.0</v>
      </c>
      <c r="L3" s="238">
        <v>0.0</v>
      </c>
      <c r="M3" s="238">
        <v>0.0</v>
      </c>
      <c r="N3" s="238">
        <v>0.0</v>
      </c>
      <c r="O3" s="238">
        <v>0.0</v>
      </c>
      <c r="P3" s="238">
        <v>0.0</v>
      </c>
      <c r="Q3" s="238">
        <v>0.0</v>
      </c>
      <c r="R3" s="238">
        <v>0.0</v>
      </c>
      <c r="S3" s="238">
        <v>1.0</v>
      </c>
      <c r="T3" s="238">
        <v>0.0</v>
      </c>
      <c r="U3" s="235" t="s">
        <v>156</v>
      </c>
      <c r="V3" s="239"/>
    </row>
    <row r="4">
      <c r="A4" s="237">
        <v>46228.0</v>
      </c>
      <c r="B4" s="235" t="s">
        <v>507</v>
      </c>
      <c r="C4" s="235" t="s">
        <v>290</v>
      </c>
      <c r="D4" s="235" t="s">
        <v>38</v>
      </c>
      <c r="E4" s="235" t="s">
        <v>291</v>
      </c>
      <c r="F4" s="235" t="s">
        <v>503</v>
      </c>
      <c r="G4" s="238">
        <v>2.0</v>
      </c>
      <c r="H4" s="238">
        <v>0.0</v>
      </c>
      <c r="I4" s="238">
        <v>0.0</v>
      </c>
      <c r="J4" s="238">
        <v>0.0</v>
      </c>
      <c r="K4" s="238">
        <v>0.0</v>
      </c>
      <c r="L4" s="238">
        <v>0.0</v>
      </c>
      <c r="M4" s="238">
        <v>0.0</v>
      </c>
      <c r="N4" s="238">
        <v>0.0</v>
      </c>
      <c r="O4" s="238">
        <v>0.0</v>
      </c>
      <c r="P4" s="238">
        <v>0.0</v>
      </c>
      <c r="Q4" s="238">
        <v>0.0</v>
      </c>
      <c r="R4" s="238">
        <v>0.0</v>
      </c>
      <c r="S4" s="238">
        <v>2.0</v>
      </c>
      <c r="T4" s="238">
        <v>0.0</v>
      </c>
      <c r="U4" s="235" t="s">
        <v>13</v>
      </c>
      <c r="V4" s="239"/>
    </row>
    <row r="5">
      <c r="A5" s="237">
        <v>46228.0</v>
      </c>
      <c r="B5" s="235" t="s">
        <v>507</v>
      </c>
      <c r="C5" s="235" t="s">
        <v>290</v>
      </c>
      <c r="D5" s="235" t="s">
        <v>38</v>
      </c>
      <c r="E5" s="235" t="s">
        <v>291</v>
      </c>
      <c r="F5" s="235" t="s">
        <v>503</v>
      </c>
      <c r="G5" s="238">
        <v>3.0</v>
      </c>
      <c r="H5" s="238">
        <v>0.0</v>
      </c>
      <c r="I5" s="238">
        <v>0.0</v>
      </c>
      <c r="J5" s="238">
        <v>0.0</v>
      </c>
      <c r="K5" s="238">
        <v>0.0</v>
      </c>
      <c r="L5" s="238">
        <v>0.0</v>
      </c>
      <c r="M5" s="238">
        <v>0.0</v>
      </c>
      <c r="N5" s="238">
        <v>0.0</v>
      </c>
      <c r="O5" s="238">
        <v>0.0</v>
      </c>
      <c r="P5" s="238">
        <v>0.0</v>
      </c>
      <c r="Q5" s="238">
        <v>0.0</v>
      </c>
      <c r="R5" s="238">
        <v>0.0</v>
      </c>
      <c r="S5" s="238">
        <v>3.0</v>
      </c>
      <c r="T5" s="238">
        <v>0.0</v>
      </c>
      <c r="U5" s="235" t="s">
        <v>156</v>
      </c>
      <c r="V5" s="238"/>
    </row>
    <row r="6">
      <c r="A6" s="237">
        <v>46228.0</v>
      </c>
      <c r="B6" s="235" t="s">
        <v>510</v>
      </c>
      <c r="C6" s="235" t="s">
        <v>511</v>
      </c>
      <c r="D6" s="235" t="s">
        <v>53</v>
      </c>
      <c r="E6" s="235" t="s">
        <v>512</v>
      </c>
      <c r="F6" s="235" t="s">
        <v>514</v>
      </c>
      <c r="G6" s="238">
        <v>1.0</v>
      </c>
      <c r="H6" s="238">
        <v>0.0</v>
      </c>
      <c r="I6" s="238">
        <v>0.0</v>
      </c>
      <c r="J6" s="238">
        <v>0.0</v>
      </c>
      <c r="K6" s="238">
        <v>0.0</v>
      </c>
      <c r="L6" s="238">
        <v>0.0</v>
      </c>
      <c r="M6" s="238">
        <v>0.0</v>
      </c>
      <c r="N6" s="238">
        <v>0.0</v>
      </c>
      <c r="O6" s="238">
        <v>0.0</v>
      </c>
      <c r="P6" s="238">
        <v>0.0</v>
      </c>
      <c r="Q6" s="238">
        <v>0.0</v>
      </c>
      <c r="R6" s="238">
        <v>0.0</v>
      </c>
      <c r="S6" s="238">
        <v>0.0</v>
      </c>
      <c r="T6" s="238">
        <v>0.0</v>
      </c>
      <c r="U6" s="235" t="s">
        <v>156</v>
      </c>
      <c r="V6" s="240"/>
    </row>
    <row r="7">
      <c r="A7" s="237">
        <v>46228.0</v>
      </c>
      <c r="B7" s="235" t="s">
        <v>510</v>
      </c>
      <c r="C7" s="235" t="s">
        <v>511</v>
      </c>
      <c r="D7" s="235" t="s">
        <v>53</v>
      </c>
      <c r="E7" s="235" t="s">
        <v>512</v>
      </c>
      <c r="F7" s="235" t="s">
        <v>503</v>
      </c>
      <c r="G7" s="238">
        <v>1.0</v>
      </c>
      <c r="H7" s="238">
        <v>0.0</v>
      </c>
      <c r="I7" s="238">
        <v>0.0</v>
      </c>
      <c r="J7" s="238">
        <v>0.0</v>
      </c>
      <c r="K7" s="238">
        <v>0.0</v>
      </c>
      <c r="L7" s="238">
        <v>0.0</v>
      </c>
      <c r="M7" s="238">
        <v>0.0</v>
      </c>
      <c r="N7" s="238">
        <v>0.0</v>
      </c>
      <c r="O7" s="238">
        <v>0.0</v>
      </c>
      <c r="P7" s="238">
        <v>0.0</v>
      </c>
      <c r="Q7" s="238">
        <v>0.0</v>
      </c>
      <c r="R7" s="238">
        <v>0.0</v>
      </c>
      <c r="S7" s="238">
        <v>1.0</v>
      </c>
      <c r="T7" s="238">
        <v>0.0</v>
      </c>
      <c r="U7" s="235" t="s">
        <v>5</v>
      </c>
      <c r="V7" s="239"/>
    </row>
    <row r="8">
      <c r="A8" s="237">
        <v>46228.0</v>
      </c>
      <c r="B8" s="235" t="s">
        <v>510</v>
      </c>
      <c r="C8" s="235" t="s">
        <v>511</v>
      </c>
      <c r="D8" s="235" t="s">
        <v>53</v>
      </c>
      <c r="E8" s="235" t="s">
        <v>512</v>
      </c>
      <c r="F8" s="235" t="s">
        <v>503</v>
      </c>
      <c r="G8" s="238">
        <v>27.0</v>
      </c>
      <c r="H8" s="238">
        <v>0.0</v>
      </c>
      <c r="I8" s="238">
        <v>0.0</v>
      </c>
      <c r="J8" s="238">
        <v>0.0</v>
      </c>
      <c r="K8" s="238">
        <v>0.0</v>
      </c>
      <c r="L8" s="238">
        <v>0.0</v>
      </c>
      <c r="M8" s="238">
        <v>0.0</v>
      </c>
      <c r="N8" s="238">
        <v>0.0</v>
      </c>
      <c r="O8" s="238">
        <v>0.0</v>
      </c>
      <c r="P8" s="238">
        <v>0.0</v>
      </c>
      <c r="Q8" s="238">
        <v>0.0</v>
      </c>
      <c r="R8" s="238">
        <v>0.0</v>
      </c>
      <c r="S8" s="238">
        <v>27.0</v>
      </c>
      <c r="T8" s="238">
        <v>0.0</v>
      </c>
      <c r="U8" s="235" t="s">
        <v>9</v>
      </c>
      <c r="V8" s="239"/>
    </row>
    <row r="9">
      <c r="A9" s="237">
        <v>46228.0</v>
      </c>
      <c r="B9" s="235" t="s">
        <v>510</v>
      </c>
      <c r="C9" s="235" t="s">
        <v>511</v>
      </c>
      <c r="D9" s="235" t="s">
        <v>53</v>
      </c>
      <c r="E9" s="235" t="s">
        <v>512</v>
      </c>
      <c r="F9" s="235" t="s">
        <v>503</v>
      </c>
      <c r="G9" s="238">
        <v>13.0</v>
      </c>
      <c r="H9" s="238">
        <v>0.0</v>
      </c>
      <c r="I9" s="238">
        <v>0.0</v>
      </c>
      <c r="J9" s="238">
        <v>0.0</v>
      </c>
      <c r="K9" s="238">
        <v>0.0</v>
      </c>
      <c r="L9" s="238">
        <v>0.0</v>
      </c>
      <c r="M9" s="238">
        <v>0.0</v>
      </c>
      <c r="N9" s="238">
        <v>0.0</v>
      </c>
      <c r="O9" s="238">
        <v>0.0</v>
      </c>
      <c r="P9" s="238">
        <v>0.0</v>
      </c>
      <c r="Q9" s="238">
        <v>0.0</v>
      </c>
      <c r="R9" s="238">
        <v>0.0</v>
      </c>
      <c r="S9" s="238">
        <v>13.0</v>
      </c>
      <c r="T9" s="238">
        <v>0.0</v>
      </c>
      <c r="U9" s="235" t="s">
        <v>11</v>
      </c>
      <c r="V9" s="239"/>
    </row>
    <row r="10">
      <c r="A10" s="237">
        <v>46228.0</v>
      </c>
      <c r="B10" s="235" t="s">
        <v>510</v>
      </c>
      <c r="C10" s="235" t="s">
        <v>511</v>
      </c>
      <c r="D10" s="235" t="s">
        <v>53</v>
      </c>
      <c r="E10" s="235" t="s">
        <v>512</v>
      </c>
      <c r="F10" s="235" t="s">
        <v>503</v>
      </c>
      <c r="G10" s="238">
        <v>1.0</v>
      </c>
      <c r="H10" s="238">
        <v>0.0</v>
      </c>
      <c r="I10" s="238">
        <v>0.0</v>
      </c>
      <c r="J10" s="238">
        <v>0.0</v>
      </c>
      <c r="K10" s="238">
        <v>0.0</v>
      </c>
      <c r="L10" s="238">
        <v>0.0</v>
      </c>
      <c r="M10" s="238">
        <v>0.0</v>
      </c>
      <c r="N10" s="238">
        <v>0.0</v>
      </c>
      <c r="O10" s="238">
        <v>0.0</v>
      </c>
      <c r="P10" s="238">
        <v>0.0</v>
      </c>
      <c r="Q10" s="238">
        <v>0.0</v>
      </c>
      <c r="R10" s="238">
        <v>0.0</v>
      </c>
      <c r="S10" s="238">
        <v>1.0</v>
      </c>
      <c r="T10" s="238">
        <v>0.0</v>
      </c>
      <c r="U10" s="235" t="s">
        <v>16</v>
      </c>
      <c r="V10" s="239"/>
    </row>
    <row r="11">
      <c r="A11" s="237">
        <v>46228.0</v>
      </c>
      <c r="B11" s="235" t="s">
        <v>510</v>
      </c>
      <c r="C11" s="235" t="s">
        <v>511</v>
      </c>
      <c r="D11" s="235" t="s">
        <v>53</v>
      </c>
      <c r="E11" s="235" t="s">
        <v>512</v>
      </c>
      <c r="F11" s="235" t="s">
        <v>503</v>
      </c>
      <c r="G11" s="238">
        <v>2.0</v>
      </c>
      <c r="H11" s="238">
        <v>0.0</v>
      </c>
      <c r="I11" s="238">
        <v>0.0</v>
      </c>
      <c r="J11" s="238">
        <v>0.0</v>
      </c>
      <c r="K11" s="238">
        <v>0.0</v>
      </c>
      <c r="L11" s="238">
        <v>0.0</v>
      </c>
      <c r="M11" s="238">
        <v>0.0</v>
      </c>
      <c r="N11" s="238">
        <v>0.0</v>
      </c>
      <c r="O11" s="238">
        <v>0.0</v>
      </c>
      <c r="P11" s="238">
        <v>0.0</v>
      </c>
      <c r="Q11" s="238">
        <v>0.0</v>
      </c>
      <c r="R11" s="238">
        <v>0.0</v>
      </c>
      <c r="S11" s="238">
        <v>2.0</v>
      </c>
      <c r="T11" s="238">
        <v>0.0</v>
      </c>
      <c r="U11" s="235" t="s">
        <v>17</v>
      </c>
      <c r="V11" s="231"/>
    </row>
    <row r="12">
      <c r="A12" s="237">
        <v>46228.0</v>
      </c>
      <c r="B12" s="235" t="s">
        <v>510</v>
      </c>
      <c r="C12" s="235" t="s">
        <v>511</v>
      </c>
      <c r="D12" s="235" t="s">
        <v>53</v>
      </c>
      <c r="E12" s="235" t="s">
        <v>512</v>
      </c>
      <c r="F12" s="235" t="s">
        <v>503</v>
      </c>
      <c r="G12" s="238">
        <v>6.0</v>
      </c>
      <c r="H12" s="238">
        <v>0.0</v>
      </c>
      <c r="I12" s="238">
        <v>0.0</v>
      </c>
      <c r="J12" s="238">
        <v>0.0</v>
      </c>
      <c r="K12" s="238">
        <v>0.0</v>
      </c>
      <c r="L12" s="238">
        <v>0.0</v>
      </c>
      <c r="M12" s="238">
        <v>0.0</v>
      </c>
      <c r="N12" s="238">
        <v>0.0</v>
      </c>
      <c r="O12" s="238">
        <v>0.0</v>
      </c>
      <c r="P12" s="238">
        <v>0.0</v>
      </c>
      <c r="Q12" s="238">
        <v>0.0</v>
      </c>
      <c r="R12" s="238">
        <v>0.0</v>
      </c>
      <c r="S12" s="238">
        <v>6.0</v>
      </c>
      <c r="T12" s="238">
        <v>0.0</v>
      </c>
      <c r="U12" s="235" t="s">
        <v>155</v>
      </c>
      <c r="V12" s="238"/>
    </row>
    <row r="13">
      <c r="A13" s="237">
        <v>46228.0</v>
      </c>
      <c r="B13" s="235" t="s">
        <v>510</v>
      </c>
      <c r="C13" s="235" t="s">
        <v>511</v>
      </c>
      <c r="D13" s="235" t="s">
        <v>53</v>
      </c>
      <c r="E13" s="235" t="s">
        <v>512</v>
      </c>
      <c r="F13" s="235" t="s">
        <v>503</v>
      </c>
      <c r="G13" s="238">
        <v>13.0</v>
      </c>
      <c r="H13" s="238">
        <v>0.0</v>
      </c>
      <c r="I13" s="238">
        <v>0.0</v>
      </c>
      <c r="J13" s="238">
        <v>0.0</v>
      </c>
      <c r="K13" s="238">
        <v>0.0</v>
      </c>
      <c r="L13" s="238">
        <v>0.0</v>
      </c>
      <c r="M13" s="238">
        <v>0.0</v>
      </c>
      <c r="N13" s="238">
        <v>0.0</v>
      </c>
      <c r="O13" s="238">
        <v>0.0</v>
      </c>
      <c r="P13" s="238">
        <v>0.0</v>
      </c>
      <c r="Q13" s="238">
        <v>0.0</v>
      </c>
      <c r="R13" s="238">
        <v>0.0</v>
      </c>
      <c r="S13" s="238">
        <v>13.0</v>
      </c>
      <c r="T13" s="238">
        <v>0.0</v>
      </c>
      <c r="U13" s="235" t="s">
        <v>533</v>
      </c>
      <c r="V13" s="239"/>
    </row>
    <row r="14">
      <c r="A14" s="237">
        <v>46228.0</v>
      </c>
      <c r="B14" s="235" t="s">
        <v>510</v>
      </c>
      <c r="C14" s="235" t="s">
        <v>511</v>
      </c>
      <c r="D14" s="235" t="s">
        <v>53</v>
      </c>
      <c r="E14" s="235" t="s">
        <v>512</v>
      </c>
      <c r="F14" s="235" t="s">
        <v>503</v>
      </c>
      <c r="G14" s="238">
        <v>4.0</v>
      </c>
      <c r="H14" s="238">
        <v>0.0</v>
      </c>
      <c r="I14" s="238">
        <v>0.0</v>
      </c>
      <c r="J14" s="238">
        <v>0.0</v>
      </c>
      <c r="K14" s="238">
        <v>0.0</v>
      </c>
      <c r="L14" s="238">
        <v>0.0</v>
      </c>
      <c r="M14" s="238">
        <v>0.0</v>
      </c>
      <c r="N14" s="238">
        <v>0.0</v>
      </c>
      <c r="O14" s="238">
        <v>0.0</v>
      </c>
      <c r="P14" s="238">
        <v>0.0</v>
      </c>
      <c r="Q14" s="238">
        <v>0.0</v>
      </c>
      <c r="R14" s="238">
        <v>0.0</v>
      </c>
      <c r="S14" s="238">
        <v>4.0</v>
      </c>
      <c r="T14" s="238">
        <v>0.0</v>
      </c>
      <c r="U14" s="235" t="s">
        <v>13</v>
      </c>
      <c r="V14" s="239"/>
    </row>
    <row r="15">
      <c r="A15" s="237">
        <v>46228.0</v>
      </c>
      <c r="B15" s="235" t="s">
        <v>510</v>
      </c>
      <c r="C15" s="235" t="s">
        <v>511</v>
      </c>
      <c r="D15" s="235" t="s">
        <v>53</v>
      </c>
      <c r="E15" s="235" t="s">
        <v>512</v>
      </c>
      <c r="F15" s="235" t="s">
        <v>503</v>
      </c>
      <c r="G15" s="238">
        <v>8.0</v>
      </c>
      <c r="H15" s="238">
        <v>0.0</v>
      </c>
      <c r="I15" s="238">
        <v>0.0</v>
      </c>
      <c r="J15" s="238">
        <v>0.0</v>
      </c>
      <c r="K15" s="238">
        <v>0.0</v>
      </c>
      <c r="L15" s="238">
        <v>0.0</v>
      </c>
      <c r="M15" s="238">
        <v>0.0</v>
      </c>
      <c r="N15" s="238">
        <v>0.0</v>
      </c>
      <c r="O15" s="238">
        <v>0.0</v>
      </c>
      <c r="P15" s="238">
        <v>0.0</v>
      </c>
      <c r="Q15" s="238">
        <v>0.0</v>
      </c>
      <c r="R15" s="238">
        <v>0.0</v>
      </c>
      <c r="S15" s="238">
        <v>8.0</v>
      </c>
      <c r="T15" s="238">
        <v>0.0</v>
      </c>
      <c r="U15" s="235" t="s">
        <v>14</v>
      </c>
      <c r="V15" s="231"/>
    </row>
    <row r="16">
      <c r="A16" s="237">
        <v>46228.0</v>
      </c>
      <c r="B16" s="235" t="s">
        <v>510</v>
      </c>
      <c r="C16" s="235" t="s">
        <v>511</v>
      </c>
      <c r="D16" s="235" t="s">
        <v>53</v>
      </c>
      <c r="E16" s="235" t="s">
        <v>512</v>
      </c>
      <c r="F16" s="235" t="s">
        <v>503</v>
      </c>
      <c r="G16" s="238">
        <v>61.0</v>
      </c>
      <c r="H16" s="238">
        <v>0.0</v>
      </c>
      <c r="I16" s="238">
        <v>0.0</v>
      </c>
      <c r="J16" s="238">
        <v>0.0</v>
      </c>
      <c r="K16" s="238">
        <v>0.0</v>
      </c>
      <c r="L16" s="238">
        <v>0.0</v>
      </c>
      <c r="M16" s="238">
        <v>0.0</v>
      </c>
      <c r="N16" s="238">
        <v>0.0</v>
      </c>
      <c r="O16" s="238">
        <v>0.0</v>
      </c>
      <c r="P16" s="238">
        <v>0.0</v>
      </c>
      <c r="Q16" s="238">
        <v>0.0</v>
      </c>
      <c r="R16" s="238">
        <v>0.0</v>
      </c>
      <c r="S16" s="238">
        <v>61.0</v>
      </c>
      <c r="T16" s="238">
        <v>0.0</v>
      </c>
      <c r="U16" s="235" t="s">
        <v>20</v>
      </c>
      <c r="V16" s="239"/>
    </row>
    <row r="17">
      <c r="A17" s="237">
        <v>46228.0</v>
      </c>
      <c r="B17" s="235" t="s">
        <v>510</v>
      </c>
      <c r="C17" s="235" t="s">
        <v>511</v>
      </c>
      <c r="D17" s="235" t="s">
        <v>53</v>
      </c>
      <c r="E17" s="235" t="s">
        <v>512</v>
      </c>
      <c r="F17" s="235" t="s">
        <v>503</v>
      </c>
      <c r="G17" s="238">
        <v>13.0</v>
      </c>
      <c r="H17" s="238">
        <v>0.0</v>
      </c>
      <c r="I17" s="238">
        <v>0.0</v>
      </c>
      <c r="J17" s="238">
        <v>0.0</v>
      </c>
      <c r="K17" s="238">
        <v>0.0</v>
      </c>
      <c r="L17" s="238">
        <v>0.0</v>
      </c>
      <c r="M17" s="238">
        <v>0.0</v>
      </c>
      <c r="N17" s="238">
        <v>0.0</v>
      </c>
      <c r="O17" s="238">
        <v>0.0</v>
      </c>
      <c r="P17" s="238">
        <v>0.0</v>
      </c>
      <c r="Q17" s="238">
        <v>0.0</v>
      </c>
      <c r="R17" s="238">
        <v>0.0</v>
      </c>
      <c r="S17" s="238">
        <v>13.0</v>
      </c>
      <c r="T17" s="238">
        <v>0.0</v>
      </c>
      <c r="U17" s="235" t="s">
        <v>156</v>
      </c>
      <c r="V17" s="239"/>
    </row>
    <row r="18">
      <c r="A18" s="237">
        <v>46228.0</v>
      </c>
      <c r="B18" s="235" t="s">
        <v>510</v>
      </c>
      <c r="C18" s="235" t="s">
        <v>511</v>
      </c>
      <c r="D18" s="235" t="s">
        <v>53</v>
      </c>
      <c r="E18" s="235" t="s">
        <v>512</v>
      </c>
      <c r="F18" s="235" t="s">
        <v>503</v>
      </c>
      <c r="G18" s="238">
        <v>10.0</v>
      </c>
      <c r="H18" s="238">
        <v>0.0</v>
      </c>
      <c r="I18" s="238">
        <v>0.0</v>
      </c>
      <c r="J18" s="238">
        <v>0.0</v>
      </c>
      <c r="K18" s="238">
        <v>0.0</v>
      </c>
      <c r="L18" s="238">
        <v>0.0</v>
      </c>
      <c r="M18" s="238">
        <v>0.0</v>
      </c>
      <c r="N18" s="238">
        <v>0.0</v>
      </c>
      <c r="O18" s="238">
        <v>0.0</v>
      </c>
      <c r="P18" s="238">
        <v>0.0</v>
      </c>
      <c r="Q18" s="238">
        <v>0.0</v>
      </c>
      <c r="R18" s="238">
        <v>0.0</v>
      </c>
      <c r="S18" s="238">
        <v>10.0</v>
      </c>
      <c r="T18" s="238">
        <v>0.0</v>
      </c>
      <c r="U18" s="235" t="s">
        <v>546</v>
      </c>
      <c r="V18" s="238"/>
    </row>
    <row r="19">
      <c r="A19" s="237">
        <v>46228.0</v>
      </c>
      <c r="B19" s="235" t="s">
        <v>549</v>
      </c>
      <c r="C19" s="235" t="s">
        <v>326</v>
      </c>
      <c r="D19" s="235" t="s">
        <v>40</v>
      </c>
      <c r="E19" s="235" t="s">
        <v>327</v>
      </c>
      <c r="F19" s="235" t="s">
        <v>503</v>
      </c>
      <c r="G19" s="238">
        <v>3.0</v>
      </c>
      <c r="H19" s="238">
        <v>0.0</v>
      </c>
      <c r="I19" s="238">
        <v>0.0</v>
      </c>
      <c r="J19" s="238">
        <v>-1.0</v>
      </c>
      <c r="K19" s="238">
        <v>0.0</v>
      </c>
      <c r="L19" s="238">
        <v>0.0</v>
      </c>
      <c r="M19" s="238">
        <v>0.0</v>
      </c>
      <c r="N19" s="238">
        <v>0.0</v>
      </c>
      <c r="O19" s="238">
        <v>0.0</v>
      </c>
      <c r="P19" s="238">
        <v>0.0</v>
      </c>
      <c r="Q19" s="238">
        <v>0.0</v>
      </c>
      <c r="R19" s="238">
        <v>0.0</v>
      </c>
      <c r="S19" s="238">
        <v>2.0</v>
      </c>
      <c r="T19" s="238">
        <v>0.0</v>
      </c>
      <c r="U19" s="235" t="s">
        <v>9</v>
      </c>
      <c r="V19" s="239"/>
    </row>
    <row r="20">
      <c r="A20" s="237">
        <v>46228.0</v>
      </c>
      <c r="B20" s="235" t="s">
        <v>549</v>
      </c>
      <c r="C20" s="235" t="s">
        <v>326</v>
      </c>
      <c r="D20" s="235" t="s">
        <v>40</v>
      </c>
      <c r="E20" s="235" t="s">
        <v>327</v>
      </c>
      <c r="F20" s="235" t="s">
        <v>503</v>
      </c>
      <c r="G20" s="238">
        <v>8.0</v>
      </c>
      <c r="H20" s="238">
        <v>0.0</v>
      </c>
      <c r="I20" s="238">
        <v>0.0</v>
      </c>
      <c r="J20" s="238">
        <v>0.0</v>
      </c>
      <c r="K20" s="238">
        <v>0.0</v>
      </c>
      <c r="L20" s="238">
        <v>0.0</v>
      </c>
      <c r="M20" s="238">
        <v>0.0</v>
      </c>
      <c r="N20" s="238">
        <v>0.0</v>
      </c>
      <c r="O20" s="238">
        <v>0.0</v>
      </c>
      <c r="P20" s="238">
        <v>0.0</v>
      </c>
      <c r="Q20" s="238">
        <v>0.0</v>
      </c>
      <c r="R20" s="238">
        <v>0.0</v>
      </c>
      <c r="S20" s="238">
        <v>8.0</v>
      </c>
      <c r="T20" s="238">
        <v>0.0</v>
      </c>
      <c r="U20" s="235" t="s">
        <v>11</v>
      </c>
      <c r="V20" s="239"/>
    </row>
    <row r="21">
      <c r="A21" s="237">
        <v>46228.0</v>
      </c>
      <c r="B21" s="235" t="s">
        <v>549</v>
      </c>
      <c r="C21" s="235" t="s">
        <v>326</v>
      </c>
      <c r="D21" s="235" t="s">
        <v>40</v>
      </c>
      <c r="E21" s="235" t="s">
        <v>327</v>
      </c>
      <c r="F21" s="235" t="s">
        <v>503</v>
      </c>
      <c r="G21" s="238">
        <v>4.0</v>
      </c>
      <c r="H21" s="238">
        <v>0.0</v>
      </c>
      <c r="I21" s="238">
        <v>0.0</v>
      </c>
      <c r="J21" s="238">
        <v>0.0</v>
      </c>
      <c r="K21" s="238">
        <v>0.0</v>
      </c>
      <c r="L21" s="238">
        <v>0.0</v>
      </c>
      <c r="M21" s="238">
        <v>0.0</v>
      </c>
      <c r="N21" s="238">
        <v>0.0</v>
      </c>
      <c r="O21" s="238">
        <v>0.0</v>
      </c>
      <c r="P21" s="238">
        <v>0.0</v>
      </c>
      <c r="Q21" s="238">
        <v>0.0</v>
      </c>
      <c r="R21" s="238">
        <v>0.0</v>
      </c>
      <c r="S21" s="238">
        <v>4.0</v>
      </c>
      <c r="T21" s="238">
        <v>0.0</v>
      </c>
      <c r="U21" s="235" t="s">
        <v>16</v>
      </c>
      <c r="V21" s="239"/>
    </row>
    <row r="22">
      <c r="A22" s="237">
        <v>46228.0</v>
      </c>
      <c r="B22" s="235" t="s">
        <v>549</v>
      </c>
      <c r="C22" s="235" t="s">
        <v>326</v>
      </c>
      <c r="D22" s="235" t="s">
        <v>40</v>
      </c>
      <c r="E22" s="235" t="s">
        <v>327</v>
      </c>
      <c r="F22" s="235" t="s">
        <v>503</v>
      </c>
      <c r="G22" s="238">
        <v>1.0</v>
      </c>
      <c r="H22" s="238">
        <v>0.0</v>
      </c>
      <c r="I22" s="238">
        <v>0.0</v>
      </c>
      <c r="J22" s="238">
        <v>0.0</v>
      </c>
      <c r="K22" s="238">
        <v>0.0</v>
      </c>
      <c r="L22" s="238">
        <v>0.0</v>
      </c>
      <c r="M22" s="238">
        <v>0.0</v>
      </c>
      <c r="N22" s="238">
        <v>0.0</v>
      </c>
      <c r="O22" s="238">
        <v>0.0</v>
      </c>
      <c r="P22" s="238">
        <v>0.0</v>
      </c>
      <c r="Q22" s="238">
        <v>0.0</v>
      </c>
      <c r="R22" s="238">
        <v>0.0</v>
      </c>
      <c r="S22" s="238">
        <v>1.0</v>
      </c>
      <c r="T22" s="238">
        <v>0.0</v>
      </c>
      <c r="U22" s="235" t="s">
        <v>17</v>
      </c>
      <c r="V22" s="238"/>
    </row>
    <row r="23">
      <c r="A23" s="237">
        <v>46228.0</v>
      </c>
      <c r="B23" s="235" t="s">
        <v>549</v>
      </c>
      <c r="C23" s="235" t="s">
        <v>326</v>
      </c>
      <c r="D23" s="235" t="s">
        <v>40</v>
      </c>
      <c r="E23" s="235" t="s">
        <v>327</v>
      </c>
      <c r="F23" s="235" t="s">
        <v>503</v>
      </c>
      <c r="G23" s="238">
        <v>5.0</v>
      </c>
      <c r="H23" s="238">
        <v>0.0</v>
      </c>
      <c r="I23" s="238">
        <v>0.0</v>
      </c>
      <c r="J23" s="238">
        <v>0.0</v>
      </c>
      <c r="K23" s="238">
        <v>0.0</v>
      </c>
      <c r="L23" s="238">
        <v>0.0</v>
      </c>
      <c r="M23" s="238">
        <v>0.0</v>
      </c>
      <c r="N23" s="238">
        <v>0.0</v>
      </c>
      <c r="O23" s="238">
        <v>0.0</v>
      </c>
      <c r="P23" s="238">
        <v>0.0</v>
      </c>
      <c r="Q23" s="238">
        <v>0.0</v>
      </c>
      <c r="R23" s="238">
        <v>0.0</v>
      </c>
      <c r="S23" s="238">
        <v>5.0</v>
      </c>
      <c r="T23" s="238">
        <v>0.0</v>
      </c>
      <c r="U23" s="235" t="s">
        <v>155</v>
      </c>
      <c r="V23" s="240"/>
    </row>
    <row r="24">
      <c r="A24" s="237">
        <v>46228.0</v>
      </c>
      <c r="B24" s="235" t="s">
        <v>549</v>
      </c>
      <c r="C24" s="235" t="s">
        <v>326</v>
      </c>
      <c r="D24" s="235" t="s">
        <v>40</v>
      </c>
      <c r="E24" s="235" t="s">
        <v>327</v>
      </c>
      <c r="F24" s="235" t="s">
        <v>503</v>
      </c>
      <c r="G24" s="238">
        <v>1.0</v>
      </c>
      <c r="H24" s="238">
        <v>0.0</v>
      </c>
      <c r="I24" s="238">
        <v>0.0</v>
      </c>
      <c r="J24" s="238">
        <v>0.0</v>
      </c>
      <c r="K24" s="238">
        <v>0.0</v>
      </c>
      <c r="L24" s="238">
        <v>0.0</v>
      </c>
      <c r="M24" s="238">
        <v>0.0</v>
      </c>
      <c r="N24" s="238">
        <v>0.0</v>
      </c>
      <c r="O24" s="238">
        <v>0.0</v>
      </c>
      <c r="P24" s="238">
        <v>0.0</v>
      </c>
      <c r="Q24" s="238">
        <v>0.0</v>
      </c>
      <c r="R24" s="238">
        <v>0.0</v>
      </c>
      <c r="S24" s="238">
        <v>1.0</v>
      </c>
      <c r="T24" s="238">
        <v>0.0</v>
      </c>
      <c r="U24" s="235" t="s">
        <v>14</v>
      </c>
      <c r="V24" s="240"/>
    </row>
    <row r="25">
      <c r="A25" s="237">
        <v>46228.0</v>
      </c>
      <c r="B25" s="235" t="s">
        <v>549</v>
      </c>
      <c r="C25" s="235" t="s">
        <v>326</v>
      </c>
      <c r="D25" s="235" t="s">
        <v>40</v>
      </c>
      <c r="E25" s="235" t="s">
        <v>327</v>
      </c>
      <c r="F25" s="235" t="s">
        <v>503</v>
      </c>
      <c r="G25" s="238">
        <v>4.0</v>
      </c>
      <c r="H25" s="238">
        <v>0.0</v>
      </c>
      <c r="I25" s="238">
        <v>0.0</v>
      </c>
      <c r="J25" s="238">
        <v>0.0</v>
      </c>
      <c r="K25" s="238">
        <v>0.0</v>
      </c>
      <c r="L25" s="238">
        <v>0.0</v>
      </c>
      <c r="M25" s="238">
        <v>0.0</v>
      </c>
      <c r="N25" s="238">
        <v>0.0</v>
      </c>
      <c r="O25" s="238">
        <v>0.0</v>
      </c>
      <c r="P25" s="238">
        <v>0.0</v>
      </c>
      <c r="Q25" s="238">
        <v>0.0</v>
      </c>
      <c r="R25" s="238">
        <v>0.0</v>
      </c>
      <c r="S25" s="238">
        <v>4.0</v>
      </c>
      <c r="T25" s="238">
        <v>0.0</v>
      </c>
      <c r="U25" s="235" t="s">
        <v>20</v>
      </c>
      <c r="V25" s="240"/>
    </row>
    <row r="26">
      <c r="A26" s="237">
        <v>46228.0</v>
      </c>
      <c r="B26" s="235" t="s">
        <v>549</v>
      </c>
      <c r="C26" s="235" t="s">
        <v>326</v>
      </c>
      <c r="D26" s="235" t="s">
        <v>40</v>
      </c>
      <c r="E26" s="235" t="s">
        <v>327</v>
      </c>
      <c r="F26" s="235" t="s">
        <v>503</v>
      </c>
      <c r="G26" s="238">
        <v>16.0</v>
      </c>
      <c r="H26" s="238">
        <v>0.0</v>
      </c>
      <c r="I26" s="238">
        <v>0.0</v>
      </c>
      <c r="J26" s="238">
        <v>-1.0</v>
      </c>
      <c r="K26" s="238">
        <v>0.0</v>
      </c>
      <c r="L26" s="238">
        <v>0.0</v>
      </c>
      <c r="M26" s="238">
        <v>0.0</v>
      </c>
      <c r="N26" s="238">
        <v>0.0</v>
      </c>
      <c r="O26" s="238">
        <v>0.0</v>
      </c>
      <c r="P26" s="238">
        <v>0.0</v>
      </c>
      <c r="Q26" s="238">
        <v>0.0</v>
      </c>
      <c r="R26" s="238">
        <v>0.0</v>
      </c>
      <c r="S26" s="238">
        <v>15.0</v>
      </c>
      <c r="T26" s="238">
        <v>0.0</v>
      </c>
      <c r="U26" s="235" t="s">
        <v>156</v>
      </c>
      <c r="V26" s="239"/>
    </row>
    <row r="27">
      <c r="A27" s="237">
        <v>46228.0</v>
      </c>
      <c r="B27" s="235" t="s">
        <v>549</v>
      </c>
      <c r="C27" s="235" t="s">
        <v>326</v>
      </c>
      <c r="D27" s="235" t="s">
        <v>40</v>
      </c>
      <c r="E27" s="235" t="s">
        <v>327</v>
      </c>
      <c r="F27" s="235" t="s">
        <v>503</v>
      </c>
      <c r="G27" s="238">
        <v>1.0</v>
      </c>
      <c r="H27" s="238">
        <v>0.0</v>
      </c>
      <c r="I27" s="238">
        <v>0.0</v>
      </c>
      <c r="J27" s="238">
        <v>0.0</v>
      </c>
      <c r="K27" s="238">
        <v>0.0</v>
      </c>
      <c r="L27" s="238">
        <v>0.0</v>
      </c>
      <c r="M27" s="238">
        <v>0.0</v>
      </c>
      <c r="N27" s="238">
        <v>0.0</v>
      </c>
      <c r="O27" s="238">
        <v>0.0</v>
      </c>
      <c r="P27" s="238">
        <v>0.0</v>
      </c>
      <c r="Q27" s="238">
        <v>0.0</v>
      </c>
      <c r="R27" s="238">
        <v>0.0</v>
      </c>
      <c r="S27" s="238">
        <v>1.0</v>
      </c>
      <c r="T27" s="238">
        <v>0.0</v>
      </c>
      <c r="U27" s="235" t="s">
        <v>546</v>
      </c>
      <c r="V27" s="238"/>
    </row>
    <row r="28">
      <c r="A28" s="237">
        <v>46228.0</v>
      </c>
      <c r="B28" s="235" t="s">
        <v>568</v>
      </c>
      <c r="C28" s="235" t="s">
        <v>243</v>
      </c>
      <c r="D28" s="235" t="s">
        <v>55</v>
      </c>
      <c r="E28" s="235" t="s">
        <v>244</v>
      </c>
      <c r="F28" s="235" t="s">
        <v>503</v>
      </c>
      <c r="G28" s="238">
        <v>2.0</v>
      </c>
      <c r="H28" s="238">
        <v>0.0</v>
      </c>
      <c r="I28" s="238">
        <v>0.0</v>
      </c>
      <c r="J28" s="238">
        <v>0.0</v>
      </c>
      <c r="K28" s="238">
        <v>0.0</v>
      </c>
      <c r="L28" s="238">
        <v>0.0</v>
      </c>
      <c r="M28" s="238">
        <v>0.0</v>
      </c>
      <c r="N28" s="238">
        <v>0.0</v>
      </c>
      <c r="O28" s="238">
        <v>0.0</v>
      </c>
      <c r="P28" s="238">
        <v>0.0</v>
      </c>
      <c r="Q28" s="238">
        <v>0.0</v>
      </c>
      <c r="R28" s="238">
        <v>0.0</v>
      </c>
      <c r="S28" s="238">
        <v>2.0</v>
      </c>
      <c r="T28" s="238">
        <v>0.0</v>
      </c>
      <c r="U28" s="235" t="s">
        <v>5</v>
      </c>
      <c r="V28" s="238"/>
    </row>
    <row r="29">
      <c r="A29" s="237">
        <v>46228.0</v>
      </c>
      <c r="B29" s="235" t="s">
        <v>568</v>
      </c>
      <c r="C29" s="235" t="s">
        <v>243</v>
      </c>
      <c r="D29" s="235" t="s">
        <v>55</v>
      </c>
      <c r="E29" s="235" t="s">
        <v>244</v>
      </c>
      <c r="F29" s="235" t="s">
        <v>503</v>
      </c>
      <c r="G29" s="238">
        <v>16.0</v>
      </c>
      <c r="H29" s="238">
        <v>0.0</v>
      </c>
      <c r="I29" s="238">
        <v>0.0</v>
      </c>
      <c r="J29" s="238">
        <v>0.0</v>
      </c>
      <c r="K29" s="238">
        <v>0.0</v>
      </c>
      <c r="L29" s="238">
        <v>0.0</v>
      </c>
      <c r="M29" s="238">
        <v>0.0</v>
      </c>
      <c r="N29" s="238">
        <v>0.0</v>
      </c>
      <c r="O29" s="238">
        <v>0.0</v>
      </c>
      <c r="P29" s="238">
        <v>0.0</v>
      </c>
      <c r="Q29" s="238">
        <v>0.0</v>
      </c>
      <c r="R29" s="238">
        <v>0.0</v>
      </c>
      <c r="S29" s="238">
        <v>16.0</v>
      </c>
      <c r="T29" s="238">
        <v>0.0</v>
      </c>
      <c r="U29" s="235" t="s">
        <v>9</v>
      </c>
      <c r="V29" s="239"/>
    </row>
    <row r="30">
      <c r="A30" s="237">
        <v>46228.0</v>
      </c>
      <c r="B30" s="235" t="s">
        <v>568</v>
      </c>
      <c r="C30" s="235" t="s">
        <v>243</v>
      </c>
      <c r="D30" s="235" t="s">
        <v>55</v>
      </c>
      <c r="E30" s="235" t="s">
        <v>244</v>
      </c>
      <c r="F30" s="235" t="s">
        <v>503</v>
      </c>
      <c r="G30" s="238">
        <v>14.0</v>
      </c>
      <c r="H30" s="238">
        <v>0.0</v>
      </c>
      <c r="I30" s="238">
        <v>0.0</v>
      </c>
      <c r="J30" s="238">
        <v>0.0</v>
      </c>
      <c r="K30" s="238">
        <v>0.0</v>
      </c>
      <c r="L30" s="238">
        <v>0.0</v>
      </c>
      <c r="M30" s="238">
        <v>1.0</v>
      </c>
      <c r="N30" s="238">
        <v>0.0</v>
      </c>
      <c r="O30" s="238">
        <v>0.0</v>
      </c>
      <c r="P30" s="238">
        <v>0.0</v>
      </c>
      <c r="Q30" s="238">
        <v>0.0</v>
      </c>
      <c r="R30" s="238">
        <v>0.0</v>
      </c>
      <c r="S30" s="238">
        <v>15.0</v>
      </c>
      <c r="T30" s="238">
        <v>0.0</v>
      </c>
      <c r="U30" s="235" t="s">
        <v>11</v>
      </c>
      <c r="V30" s="238"/>
    </row>
    <row r="31">
      <c r="A31" s="237">
        <v>46228.0</v>
      </c>
      <c r="B31" s="235" t="s">
        <v>568</v>
      </c>
      <c r="C31" s="235" t="s">
        <v>243</v>
      </c>
      <c r="D31" s="235" t="s">
        <v>55</v>
      </c>
      <c r="E31" s="235" t="s">
        <v>244</v>
      </c>
      <c r="F31" s="235" t="s">
        <v>503</v>
      </c>
      <c r="G31" s="238">
        <v>9.0</v>
      </c>
      <c r="H31" s="238">
        <v>0.0</v>
      </c>
      <c r="I31" s="238">
        <v>0.0</v>
      </c>
      <c r="J31" s="238">
        <v>0.0</v>
      </c>
      <c r="K31" s="238">
        <v>0.0</v>
      </c>
      <c r="L31" s="238">
        <v>0.0</v>
      </c>
      <c r="M31" s="238">
        <v>1.0</v>
      </c>
      <c r="N31" s="238">
        <v>0.0</v>
      </c>
      <c r="O31" s="238">
        <v>0.0</v>
      </c>
      <c r="P31" s="238">
        <v>0.0</v>
      </c>
      <c r="Q31" s="238">
        <v>0.0</v>
      </c>
      <c r="R31" s="238">
        <v>0.0</v>
      </c>
      <c r="S31" s="238">
        <v>10.0</v>
      </c>
      <c r="T31" s="238">
        <v>0.0</v>
      </c>
      <c r="U31" s="235" t="s">
        <v>16</v>
      </c>
      <c r="V31" s="231"/>
    </row>
    <row r="32">
      <c r="A32" s="237">
        <v>46228.0</v>
      </c>
      <c r="B32" s="235" t="s">
        <v>568</v>
      </c>
      <c r="C32" s="235" t="s">
        <v>243</v>
      </c>
      <c r="D32" s="235" t="s">
        <v>55</v>
      </c>
      <c r="E32" s="235" t="s">
        <v>244</v>
      </c>
      <c r="F32" s="235" t="s">
        <v>503</v>
      </c>
      <c r="G32" s="238">
        <v>9.0</v>
      </c>
      <c r="H32" s="238">
        <v>0.0</v>
      </c>
      <c r="I32" s="238">
        <v>0.0</v>
      </c>
      <c r="J32" s="238">
        <v>0.0</v>
      </c>
      <c r="K32" s="238">
        <v>0.0</v>
      </c>
      <c r="L32" s="238">
        <v>0.0</v>
      </c>
      <c r="M32" s="238">
        <v>0.0</v>
      </c>
      <c r="N32" s="238">
        <v>0.0</v>
      </c>
      <c r="O32" s="238">
        <v>0.0</v>
      </c>
      <c r="P32" s="238">
        <v>0.0</v>
      </c>
      <c r="Q32" s="238">
        <v>0.0</v>
      </c>
      <c r="R32" s="238">
        <v>0.0</v>
      </c>
      <c r="S32" s="238">
        <v>9.0</v>
      </c>
      <c r="T32" s="238">
        <v>0.0</v>
      </c>
      <c r="U32" s="235" t="s">
        <v>17</v>
      </c>
      <c r="V32" s="239"/>
    </row>
    <row r="33">
      <c r="A33" s="237">
        <v>46228.0</v>
      </c>
      <c r="B33" s="235" t="s">
        <v>568</v>
      </c>
      <c r="C33" s="235" t="s">
        <v>243</v>
      </c>
      <c r="D33" s="235" t="s">
        <v>55</v>
      </c>
      <c r="E33" s="235" t="s">
        <v>244</v>
      </c>
      <c r="F33" s="235" t="s">
        <v>503</v>
      </c>
      <c r="G33" s="238">
        <v>9.0</v>
      </c>
      <c r="H33" s="238">
        <v>0.0</v>
      </c>
      <c r="I33" s="238">
        <v>0.0</v>
      </c>
      <c r="J33" s="238">
        <v>0.0</v>
      </c>
      <c r="K33" s="238">
        <v>0.0</v>
      </c>
      <c r="L33" s="238">
        <v>0.0</v>
      </c>
      <c r="M33" s="238">
        <v>0.0</v>
      </c>
      <c r="N33" s="238">
        <v>0.0</v>
      </c>
      <c r="O33" s="238">
        <v>0.0</v>
      </c>
      <c r="P33" s="238">
        <v>0.0</v>
      </c>
      <c r="Q33" s="238">
        <v>0.0</v>
      </c>
      <c r="R33" s="238">
        <v>0.0</v>
      </c>
      <c r="S33" s="238">
        <v>9.0</v>
      </c>
      <c r="T33" s="238">
        <v>0.0</v>
      </c>
      <c r="U33" s="235" t="s">
        <v>155</v>
      </c>
      <c r="V33" s="238"/>
    </row>
    <row r="34">
      <c r="A34" s="237">
        <v>46228.0</v>
      </c>
      <c r="B34" s="235" t="s">
        <v>568</v>
      </c>
      <c r="C34" s="235" t="s">
        <v>243</v>
      </c>
      <c r="D34" s="235" t="s">
        <v>55</v>
      </c>
      <c r="E34" s="235" t="s">
        <v>244</v>
      </c>
      <c r="F34" s="235" t="s">
        <v>503</v>
      </c>
      <c r="G34" s="238">
        <v>3.0</v>
      </c>
      <c r="H34" s="238">
        <v>0.0</v>
      </c>
      <c r="I34" s="238">
        <v>0.0</v>
      </c>
      <c r="J34" s="238">
        <v>0.0</v>
      </c>
      <c r="K34" s="238">
        <v>0.0</v>
      </c>
      <c r="L34" s="238">
        <v>0.0</v>
      </c>
      <c r="M34" s="238">
        <v>0.0</v>
      </c>
      <c r="N34" s="238">
        <v>0.0</v>
      </c>
      <c r="O34" s="238">
        <v>0.0</v>
      </c>
      <c r="P34" s="238">
        <v>0.0</v>
      </c>
      <c r="Q34" s="238">
        <v>0.0</v>
      </c>
      <c r="R34" s="238">
        <v>0.0</v>
      </c>
      <c r="S34" s="238">
        <v>3.0</v>
      </c>
      <c r="T34" s="238">
        <v>0.0</v>
      </c>
      <c r="U34" s="235" t="s">
        <v>533</v>
      </c>
      <c r="V34" s="240"/>
    </row>
    <row r="35">
      <c r="A35" s="237">
        <v>46228.0</v>
      </c>
      <c r="B35" s="235" t="s">
        <v>568</v>
      </c>
      <c r="C35" s="235" t="s">
        <v>243</v>
      </c>
      <c r="D35" s="235" t="s">
        <v>55</v>
      </c>
      <c r="E35" s="235" t="s">
        <v>244</v>
      </c>
      <c r="F35" s="235" t="s">
        <v>503</v>
      </c>
      <c r="G35" s="238">
        <v>5.0</v>
      </c>
      <c r="H35" s="238">
        <v>0.0</v>
      </c>
      <c r="I35" s="238">
        <v>0.0</v>
      </c>
      <c r="J35" s="238">
        <v>0.0</v>
      </c>
      <c r="K35" s="238">
        <v>0.0</v>
      </c>
      <c r="L35" s="238">
        <v>0.0</v>
      </c>
      <c r="M35" s="238">
        <v>0.0</v>
      </c>
      <c r="N35" s="238">
        <v>0.0</v>
      </c>
      <c r="O35" s="238">
        <v>0.0</v>
      </c>
      <c r="P35" s="238">
        <v>0.0</v>
      </c>
      <c r="Q35" s="238">
        <v>0.0</v>
      </c>
      <c r="R35" s="238">
        <v>0.0</v>
      </c>
      <c r="S35" s="238">
        <v>5.0</v>
      </c>
      <c r="T35" s="238">
        <v>0.0</v>
      </c>
      <c r="U35" s="235" t="s">
        <v>13</v>
      </c>
      <c r="V35" s="231"/>
    </row>
    <row r="36">
      <c r="A36" s="237">
        <v>46228.0</v>
      </c>
      <c r="B36" s="235" t="s">
        <v>568</v>
      </c>
      <c r="C36" s="235" t="s">
        <v>243</v>
      </c>
      <c r="D36" s="235" t="s">
        <v>55</v>
      </c>
      <c r="E36" s="235" t="s">
        <v>244</v>
      </c>
      <c r="F36" s="235" t="s">
        <v>503</v>
      </c>
      <c r="G36" s="238">
        <v>7.0</v>
      </c>
      <c r="H36" s="238">
        <v>0.0</v>
      </c>
      <c r="I36" s="238">
        <v>0.0</v>
      </c>
      <c r="J36" s="238">
        <v>0.0</v>
      </c>
      <c r="K36" s="238">
        <v>0.0</v>
      </c>
      <c r="L36" s="238">
        <v>0.0</v>
      </c>
      <c r="M36" s="238">
        <v>0.0</v>
      </c>
      <c r="N36" s="238">
        <v>0.0</v>
      </c>
      <c r="O36" s="238">
        <v>0.0</v>
      </c>
      <c r="P36" s="238">
        <v>0.0</v>
      </c>
      <c r="Q36" s="238">
        <v>0.0</v>
      </c>
      <c r="R36" s="238">
        <v>0.0</v>
      </c>
      <c r="S36" s="238">
        <v>7.0</v>
      </c>
      <c r="T36" s="238">
        <v>0.0</v>
      </c>
      <c r="U36" s="235" t="s">
        <v>14</v>
      </c>
      <c r="V36" s="231"/>
    </row>
    <row r="37">
      <c r="A37" s="237">
        <v>46228.0</v>
      </c>
      <c r="B37" s="235" t="s">
        <v>568</v>
      </c>
      <c r="C37" s="235" t="s">
        <v>243</v>
      </c>
      <c r="D37" s="235" t="s">
        <v>55</v>
      </c>
      <c r="E37" s="235" t="s">
        <v>244</v>
      </c>
      <c r="F37" s="235" t="s">
        <v>503</v>
      </c>
      <c r="G37" s="238">
        <v>15.0</v>
      </c>
      <c r="H37" s="238">
        <v>0.0</v>
      </c>
      <c r="I37" s="238">
        <v>0.0</v>
      </c>
      <c r="J37" s="238">
        <v>0.0</v>
      </c>
      <c r="K37" s="238">
        <v>0.0</v>
      </c>
      <c r="L37" s="238">
        <v>0.0</v>
      </c>
      <c r="M37" s="238">
        <v>0.0</v>
      </c>
      <c r="N37" s="238">
        <v>0.0</v>
      </c>
      <c r="O37" s="238">
        <v>0.0</v>
      </c>
      <c r="P37" s="238">
        <v>0.0</v>
      </c>
      <c r="Q37" s="238">
        <v>0.0</v>
      </c>
      <c r="R37" s="238">
        <v>0.0</v>
      </c>
      <c r="S37" s="238">
        <v>15.0</v>
      </c>
      <c r="T37" s="238">
        <v>0.0</v>
      </c>
      <c r="U37" s="235" t="s">
        <v>18</v>
      </c>
      <c r="V37" s="231"/>
    </row>
    <row r="38">
      <c r="A38" s="237">
        <v>46228.0</v>
      </c>
      <c r="B38" s="235" t="s">
        <v>568</v>
      </c>
      <c r="C38" s="235" t="s">
        <v>243</v>
      </c>
      <c r="D38" s="235" t="s">
        <v>55</v>
      </c>
      <c r="E38" s="235" t="s">
        <v>244</v>
      </c>
      <c r="F38" s="235" t="s">
        <v>503</v>
      </c>
      <c r="G38" s="238">
        <v>8.0</v>
      </c>
      <c r="H38" s="238">
        <v>0.0</v>
      </c>
      <c r="I38" s="238">
        <v>0.0</v>
      </c>
      <c r="J38" s="238">
        <v>0.0</v>
      </c>
      <c r="K38" s="238">
        <v>0.0</v>
      </c>
      <c r="L38" s="238">
        <v>0.0</v>
      </c>
      <c r="M38" s="238">
        <v>0.0</v>
      </c>
      <c r="N38" s="238">
        <v>0.0</v>
      </c>
      <c r="O38" s="238">
        <v>0.0</v>
      </c>
      <c r="P38" s="238">
        <v>0.0</v>
      </c>
      <c r="Q38" s="238">
        <v>0.0</v>
      </c>
      <c r="R38" s="238">
        <v>0.0</v>
      </c>
      <c r="S38" s="238">
        <v>8.0</v>
      </c>
      <c r="T38" s="238">
        <v>0.0</v>
      </c>
      <c r="U38" s="235" t="s">
        <v>20</v>
      </c>
      <c r="V38" s="231"/>
    </row>
    <row r="39">
      <c r="A39" s="237">
        <v>46228.0</v>
      </c>
      <c r="B39" s="235" t="s">
        <v>568</v>
      </c>
      <c r="C39" s="235" t="s">
        <v>243</v>
      </c>
      <c r="D39" s="235" t="s">
        <v>55</v>
      </c>
      <c r="E39" s="235" t="s">
        <v>244</v>
      </c>
      <c r="F39" s="235" t="s">
        <v>503</v>
      </c>
      <c r="G39" s="238">
        <v>11.0</v>
      </c>
      <c r="H39" s="238">
        <v>0.0</v>
      </c>
      <c r="I39" s="238">
        <v>0.0</v>
      </c>
      <c r="J39" s="238">
        <v>0.0</v>
      </c>
      <c r="K39" s="238">
        <v>0.0</v>
      </c>
      <c r="L39" s="238">
        <v>0.0</v>
      </c>
      <c r="M39" s="238">
        <v>0.0</v>
      </c>
      <c r="N39" s="238">
        <v>0.0</v>
      </c>
      <c r="O39" s="238">
        <v>0.0</v>
      </c>
      <c r="P39" s="238">
        <v>0.0</v>
      </c>
      <c r="Q39" s="238">
        <v>0.0</v>
      </c>
      <c r="R39" s="238">
        <v>0.0</v>
      </c>
      <c r="S39" s="238">
        <v>11.0</v>
      </c>
      <c r="T39" s="238">
        <v>0.0</v>
      </c>
      <c r="U39" s="235" t="s">
        <v>156</v>
      </c>
      <c r="V39" s="231"/>
    </row>
    <row r="40">
      <c r="A40" s="237">
        <v>46228.0</v>
      </c>
      <c r="B40" s="235" t="s">
        <v>568</v>
      </c>
      <c r="C40" s="235" t="s">
        <v>243</v>
      </c>
      <c r="D40" s="235" t="s">
        <v>55</v>
      </c>
      <c r="E40" s="235" t="s">
        <v>244</v>
      </c>
      <c r="F40" s="235" t="s">
        <v>503</v>
      </c>
      <c r="G40" s="238">
        <v>5.0</v>
      </c>
      <c r="H40" s="238">
        <v>0.0</v>
      </c>
      <c r="I40" s="238">
        <v>0.0</v>
      </c>
      <c r="J40" s="238">
        <v>0.0</v>
      </c>
      <c r="K40" s="238">
        <v>0.0</v>
      </c>
      <c r="L40" s="238">
        <v>0.0</v>
      </c>
      <c r="M40" s="238">
        <v>0.0</v>
      </c>
      <c r="N40" s="238">
        <v>0.0</v>
      </c>
      <c r="O40" s="238">
        <v>0.0</v>
      </c>
      <c r="P40" s="238">
        <v>0.0</v>
      </c>
      <c r="Q40" s="238">
        <v>0.0</v>
      </c>
      <c r="R40" s="238">
        <v>0.0</v>
      </c>
      <c r="S40" s="238">
        <v>5.0</v>
      </c>
      <c r="T40" s="238">
        <v>0.0</v>
      </c>
      <c r="U40" s="235" t="s">
        <v>546</v>
      </c>
      <c r="V40" s="231"/>
    </row>
    <row r="41">
      <c r="A41" s="237">
        <v>46228.0</v>
      </c>
      <c r="B41" s="235" t="s">
        <v>569</v>
      </c>
      <c r="C41" s="235" t="s">
        <v>293</v>
      </c>
      <c r="D41" s="235" t="s">
        <v>54</v>
      </c>
      <c r="E41" s="235" t="s">
        <v>294</v>
      </c>
      <c r="F41" s="235" t="s">
        <v>503</v>
      </c>
      <c r="G41" s="238">
        <v>2.0</v>
      </c>
      <c r="H41" s="238">
        <v>0.0</v>
      </c>
      <c r="I41" s="238">
        <v>0.0</v>
      </c>
      <c r="J41" s="238">
        <v>0.0</v>
      </c>
      <c r="K41" s="238">
        <v>0.0</v>
      </c>
      <c r="L41" s="238">
        <v>0.0</v>
      </c>
      <c r="M41" s="238">
        <v>0.0</v>
      </c>
      <c r="N41" s="238">
        <v>0.0</v>
      </c>
      <c r="O41" s="238">
        <v>0.0</v>
      </c>
      <c r="P41" s="238">
        <v>0.0</v>
      </c>
      <c r="Q41" s="238">
        <v>0.0</v>
      </c>
      <c r="R41" s="238">
        <v>0.0</v>
      </c>
      <c r="S41" s="238">
        <v>2.0</v>
      </c>
      <c r="T41" s="238">
        <v>0.0</v>
      </c>
      <c r="U41" s="235" t="s">
        <v>9</v>
      </c>
      <c r="V41" s="231"/>
    </row>
    <row r="42">
      <c r="A42" s="237">
        <v>46228.0</v>
      </c>
      <c r="B42" s="235" t="s">
        <v>569</v>
      </c>
      <c r="C42" s="235" t="s">
        <v>293</v>
      </c>
      <c r="D42" s="235" t="s">
        <v>54</v>
      </c>
      <c r="E42" s="235" t="s">
        <v>294</v>
      </c>
      <c r="F42" s="235" t="s">
        <v>503</v>
      </c>
      <c r="G42" s="238">
        <v>8.0</v>
      </c>
      <c r="H42" s="238">
        <v>0.0</v>
      </c>
      <c r="I42" s="238">
        <v>0.0</v>
      </c>
      <c r="J42" s="238">
        <v>-1.0</v>
      </c>
      <c r="K42" s="238">
        <v>0.0</v>
      </c>
      <c r="L42" s="238">
        <v>0.0</v>
      </c>
      <c r="M42" s="238">
        <v>0.0</v>
      </c>
      <c r="N42" s="238">
        <v>0.0</v>
      </c>
      <c r="O42" s="238">
        <v>0.0</v>
      </c>
      <c r="P42" s="238">
        <v>0.0</v>
      </c>
      <c r="Q42" s="238">
        <v>0.0</v>
      </c>
      <c r="R42" s="238">
        <v>0.0</v>
      </c>
      <c r="S42" s="238">
        <v>7.0</v>
      </c>
      <c r="T42" s="238">
        <v>0.0</v>
      </c>
      <c r="U42" s="235" t="s">
        <v>11</v>
      </c>
      <c r="V42" s="238"/>
    </row>
    <row r="43">
      <c r="A43" s="237">
        <v>46228.0</v>
      </c>
      <c r="B43" s="235" t="s">
        <v>569</v>
      </c>
      <c r="C43" s="235" t="s">
        <v>293</v>
      </c>
      <c r="D43" s="235" t="s">
        <v>54</v>
      </c>
      <c r="E43" s="235" t="s">
        <v>294</v>
      </c>
      <c r="F43" s="235" t="s">
        <v>503</v>
      </c>
      <c r="G43" s="238">
        <v>6.0</v>
      </c>
      <c r="H43" s="238">
        <v>0.0</v>
      </c>
      <c r="I43" s="238">
        <v>0.0</v>
      </c>
      <c r="J43" s="238">
        <v>-2.0</v>
      </c>
      <c r="K43" s="238">
        <v>0.0</v>
      </c>
      <c r="L43" s="238">
        <v>0.0</v>
      </c>
      <c r="M43" s="238">
        <v>0.0</v>
      </c>
      <c r="N43" s="238">
        <v>0.0</v>
      </c>
      <c r="O43" s="238">
        <v>0.0</v>
      </c>
      <c r="P43" s="238">
        <v>0.0</v>
      </c>
      <c r="Q43" s="238">
        <v>0.0</v>
      </c>
      <c r="R43" s="238">
        <v>0.0</v>
      </c>
      <c r="S43" s="238">
        <v>4.0</v>
      </c>
      <c r="T43" s="238">
        <v>0.0</v>
      </c>
      <c r="U43" s="235" t="s">
        <v>16</v>
      </c>
      <c r="V43" s="238"/>
    </row>
    <row r="44">
      <c r="A44" s="237">
        <v>46228.0</v>
      </c>
      <c r="B44" s="235" t="s">
        <v>569</v>
      </c>
      <c r="C44" s="235" t="s">
        <v>293</v>
      </c>
      <c r="D44" s="235" t="s">
        <v>54</v>
      </c>
      <c r="E44" s="235" t="s">
        <v>294</v>
      </c>
      <c r="F44" s="235" t="s">
        <v>503</v>
      </c>
      <c r="G44" s="238">
        <v>1.0</v>
      </c>
      <c r="H44" s="238">
        <v>0.0</v>
      </c>
      <c r="I44" s="238">
        <v>0.0</v>
      </c>
      <c r="J44" s="238">
        <v>0.0</v>
      </c>
      <c r="K44" s="238">
        <v>0.0</v>
      </c>
      <c r="L44" s="238">
        <v>0.0</v>
      </c>
      <c r="M44" s="238">
        <v>0.0</v>
      </c>
      <c r="N44" s="238">
        <v>0.0</v>
      </c>
      <c r="O44" s="238">
        <v>0.0</v>
      </c>
      <c r="P44" s="238">
        <v>0.0</v>
      </c>
      <c r="Q44" s="238">
        <v>0.0</v>
      </c>
      <c r="R44" s="238">
        <v>0.0</v>
      </c>
      <c r="S44" s="238">
        <v>1.0</v>
      </c>
      <c r="T44" s="238">
        <v>0.0</v>
      </c>
      <c r="U44" s="235" t="s">
        <v>17</v>
      </c>
      <c r="V44" s="231"/>
    </row>
    <row r="45">
      <c r="A45" s="237">
        <v>46228.0</v>
      </c>
      <c r="B45" s="235" t="s">
        <v>569</v>
      </c>
      <c r="C45" s="235" t="s">
        <v>293</v>
      </c>
      <c r="D45" s="235" t="s">
        <v>54</v>
      </c>
      <c r="E45" s="235" t="s">
        <v>294</v>
      </c>
      <c r="F45" s="235" t="s">
        <v>503</v>
      </c>
      <c r="G45" s="238">
        <v>9.0</v>
      </c>
      <c r="H45" s="238">
        <v>0.0</v>
      </c>
      <c r="I45" s="238">
        <v>0.0</v>
      </c>
      <c r="J45" s="238">
        <v>0.0</v>
      </c>
      <c r="K45" s="238">
        <v>0.0</v>
      </c>
      <c r="L45" s="238">
        <v>0.0</v>
      </c>
      <c r="M45" s="238">
        <v>0.0</v>
      </c>
      <c r="N45" s="238">
        <v>0.0</v>
      </c>
      <c r="O45" s="238">
        <v>0.0</v>
      </c>
      <c r="P45" s="238">
        <v>0.0</v>
      </c>
      <c r="Q45" s="238">
        <v>0.0</v>
      </c>
      <c r="R45" s="238">
        <v>0.0</v>
      </c>
      <c r="S45" s="238">
        <v>9.0</v>
      </c>
      <c r="T45" s="238">
        <v>0.0</v>
      </c>
      <c r="U45" s="235" t="s">
        <v>155</v>
      </c>
      <c r="V45" s="231"/>
    </row>
    <row r="46">
      <c r="A46" s="237">
        <v>46228.0</v>
      </c>
      <c r="B46" s="235" t="s">
        <v>569</v>
      </c>
      <c r="C46" s="235" t="s">
        <v>293</v>
      </c>
      <c r="D46" s="235" t="s">
        <v>54</v>
      </c>
      <c r="E46" s="235" t="s">
        <v>294</v>
      </c>
      <c r="F46" s="235" t="s">
        <v>503</v>
      </c>
      <c r="G46" s="238">
        <v>6.0</v>
      </c>
      <c r="H46" s="238">
        <v>0.0</v>
      </c>
      <c r="I46" s="238">
        <v>0.0</v>
      </c>
      <c r="J46" s="238">
        <v>0.0</v>
      </c>
      <c r="K46" s="238">
        <v>0.0</v>
      </c>
      <c r="L46" s="238">
        <v>0.0</v>
      </c>
      <c r="M46" s="238">
        <v>0.0</v>
      </c>
      <c r="N46" s="238">
        <v>0.0</v>
      </c>
      <c r="O46" s="238">
        <v>0.0</v>
      </c>
      <c r="P46" s="238">
        <v>0.0</v>
      </c>
      <c r="Q46" s="238">
        <v>0.0</v>
      </c>
      <c r="R46" s="238">
        <v>0.0</v>
      </c>
      <c r="S46" s="238">
        <v>6.0</v>
      </c>
      <c r="T46" s="238">
        <v>0.0</v>
      </c>
      <c r="U46" s="235" t="s">
        <v>533</v>
      </c>
      <c r="V46" s="239"/>
    </row>
    <row r="47">
      <c r="A47" s="237">
        <v>46228.0</v>
      </c>
      <c r="B47" s="235" t="s">
        <v>569</v>
      </c>
      <c r="C47" s="235" t="s">
        <v>293</v>
      </c>
      <c r="D47" s="235" t="s">
        <v>54</v>
      </c>
      <c r="E47" s="235" t="s">
        <v>294</v>
      </c>
      <c r="F47" s="235" t="s">
        <v>503</v>
      </c>
      <c r="G47" s="238">
        <v>1.0</v>
      </c>
      <c r="H47" s="238">
        <v>0.0</v>
      </c>
      <c r="I47" s="238">
        <v>0.0</v>
      </c>
      <c r="J47" s="238">
        <v>0.0</v>
      </c>
      <c r="K47" s="238">
        <v>0.0</v>
      </c>
      <c r="L47" s="238">
        <v>0.0</v>
      </c>
      <c r="M47" s="238">
        <v>0.0</v>
      </c>
      <c r="N47" s="238">
        <v>0.0</v>
      </c>
      <c r="O47" s="238">
        <v>0.0</v>
      </c>
      <c r="P47" s="238">
        <v>0.0</v>
      </c>
      <c r="Q47" s="238">
        <v>0.0</v>
      </c>
      <c r="R47" s="238">
        <v>0.0</v>
      </c>
      <c r="S47" s="238">
        <v>1.0</v>
      </c>
      <c r="T47" s="238">
        <v>0.0</v>
      </c>
      <c r="U47" s="235" t="s">
        <v>13</v>
      </c>
      <c r="V47" s="238"/>
    </row>
    <row r="48">
      <c r="A48" s="237">
        <v>46228.0</v>
      </c>
      <c r="B48" s="235" t="s">
        <v>569</v>
      </c>
      <c r="C48" s="235" t="s">
        <v>293</v>
      </c>
      <c r="D48" s="235" t="s">
        <v>54</v>
      </c>
      <c r="E48" s="235" t="s">
        <v>294</v>
      </c>
      <c r="F48" s="235" t="s">
        <v>503</v>
      </c>
      <c r="G48" s="238">
        <v>2.0</v>
      </c>
      <c r="H48" s="238">
        <v>0.0</v>
      </c>
      <c r="I48" s="238">
        <v>0.0</v>
      </c>
      <c r="J48" s="238">
        <v>0.0</v>
      </c>
      <c r="K48" s="238">
        <v>0.0</v>
      </c>
      <c r="L48" s="238">
        <v>0.0</v>
      </c>
      <c r="M48" s="238">
        <v>0.0</v>
      </c>
      <c r="N48" s="238">
        <v>0.0</v>
      </c>
      <c r="O48" s="238">
        <v>0.0</v>
      </c>
      <c r="P48" s="238">
        <v>0.0</v>
      </c>
      <c r="Q48" s="238">
        <v>0.0</v>
      </c>
      <c r="R48" s="238">
        <v>0.0</v>
      </c>
      <c r="S48" s="238">
        <v>2.0</v>
      </c>
      <c r="T48" s="238">
        <v>0.0</v>
      </c>
      <c r="U48" s="235" t="s">
        <v>14</v>
      </c>
      <c r="V48" s="238"/>
    </row>
    <row r="49">
      <c r="A49" s="237">
        <v>46228.0</v>
      </c>
      <c r="B49" s="235" t="s">
        <v>569</v>
      </c>
      <c r="C49" s="235" t="s">
        <v>293</v>
      </c>
      <c r="D49" s="235" t="s">
        <v>54</v>
      </c>
      <c r="E49" s="235" t="s">
        <v>294</v>
      </c>
      <c r="F49" s="235" t="s">
        <v>503</v>
      </c>
      <c r="G49" s="238">
        <v>1.0</v>
      </c>
      <c r="H49" s="238">
        <v>0.0</v>
      </c>
      <c r="I49" s="238">
        <v>0.0</v>
      </c>
      <c r="J49" s="238">
        <v>0.0</v>
      </c>
      <c r="K49" s="238">
        <v>0.0</v>
      </c>
      <c r="L49" s="238">
        <v>0.0</v>
      </c>
      <c r="M49" s="238">
        <v>0.0</v>
      </c>
      <c r="N49" s="238">
        <v>0.0</v>
      </c>
      <c r="O49" s="238">
        <v>0.0</v>
      </c>
      <c r="P49" s="238">
        <v>0.0</v>
      </c>
      <c r="Q49" s="238">
        <v>0.0</v>
      </c>
      <c r="R49" s="238">
        <v>0.0</v>
      </c>
      <c r="S49" s="238">
        <v>1.0</v>
      </c>
      <c r="T49" s="238">
        <v>0.0</v>
      </c>
      <c r="U49" s="235" t="s">
        <v>18</v>
      </c>
      <c r="V49" s="231"/>
    </row>
    <row r="50">
      <c r="A50" s="237">
        <v>46228.0</v>
      </c>
      <c r="B50" s="235" t="s">
        <v>569</v>
      </c>
      <c r="C50" s="235" t="s">
        <v>293</v>
      </c>
      <c r="D50" s="235" t="s">
        <v>54</v>
      </c>
      <c r="E50" s="235" t="s">
        <v>294</v>
      </c>
      <c r="F50" s="235" t="s">
        <v>503</v>
      </c>
      <c r="G50" s="238">
        <v>15.0</v>
      </c>
      <c r="H50" s="238">
        <v>0.0</v>
      </c>
      <c r="I50" s="238">
        <v>0.0</v>
      </c>
      <c r="J50" s="238">
        <v>0.0</v>
      </c>
      <c r="K50" s="238">
        <v>0.0</v>
      </c>
      <c r="L50" s="238">
        <v>0.0</v>
      </c>
      <c r="M50" s="238">
        <v>0.0</v>
      </c>
      <c r="N50" s="238">
        <v>0.0</v>
      </c>
      <c r="O50" s="238">
        <v>0.0</v>
      </c>
      <c r="P50" s="238">
        <v>0.0</v>
      </c>
      <c r="Q50" s="238">
        <v>0.0</v>
      </c>
      <c r="R50" s="238">
        <v>0.0</v>
      </c>
      <c r="S50" s="238">
        <v>15.0</v>
      </c>
      <c r="T50" s="238">
        <v>0.0</v>
      </c>
      <c r="U50" s="235" t="s">
        <v>20</v>
      </c>
      <c r="V50" s="231"/>
    </row>
    <row r="51">
      <c r="A51" s="237">
        <v>46228.0</v>
      </c>
      <c r="B51" s="235" t="s">
        <v>569</v>
      </c>
      <c r="C51" s="235" t="s">
        <v>293</v>
      </c>
      <c r="D51" s="235" t="s">
        <v>54</v>
      </c>
      <c r="E51" s="235" t="s">
        <v>294</v>
      </c>
      <c r="F51" s="235" t="s">
        <v>503</v>
      </c>
      <c r="G51" s="238">
        <v>10.0</v>
      </c>
      <c r="H51" s="238">
        <v>0.0</v>
      </c>
      <c r="I51" s="238">
        <v>0.0</v>
      </c>
      <c r="J51" s="238">
        <v>0.0</v>
      </c>
      <c r="K51" s="238">
        <v>0.0</v>
      </c>
      <c r="L51" s="238">
        <v>0.0</v>
      </c>
      <c r="M51" s="238">
        <v>0.0</v>
      </c>
      <c r="N51" s="238">
        <v>0.0</v>
      </c>
      <c r="O51" s="238">
        <v>0.0</v>
      </c>
      <c r="P51" s="238">
        <v>0.0</v>
      </c>
      <c r="Q51" s="238">
        <v>0.0</v>
      </c>
      <c r="R51" s="238">
        <v>0.0</v>
      </c>
      <c r="S51" s="238">
        <v>10.0</v>
      </c>
      <c r="T51" s="238">
        <v>0.0</v>
      </c>
      <c r="U51" s="235" t="s">
        <v>156</v>
      </c>
      <c r="V51" s="239"/>
    </row>
    <row r="52">
      <c r="A52" s="237">
        <v>46228.0</v>
      </c>
      <c r="B52" s="235" t="s">
        <v>569</v>
      </c>
      <c r="C52" s="235" t="s">
        <v>293</v>
      </c>
      <c r="D52" s="235" t="s">
        <v>54</v>
      </c>
      <c r="E52" s="235" t="s">
        <v>294</v>
      </c>
      <c r="F52" s="235" t="s">
        <v>503</v>
      </c>
      <c r="G52" s="238">
        <v>1.0</v>
      </c>
      <c r="H52" s="238">
        <v>0.0</v>
      </c>
      <c r="I52" s="238">
        <v>0.0</v>
      </c>
      <c r="J52" s="238">
        <v>0.0</v>
      </c>
      <c r="K52" s="238">
        <v>0.0</v>
      </c>
      <c r="L52" s="238">
        <v>0.0</v>
      </c>
      <c r="M52" s="238">
        <v>0.0</v>
      </c>
      <c r="N52" s="238">
        <v>0.0</v>
      </c>
      <c r="O52" s="238">
        <v>0.0</v>
      </c>
      <c r="P52" s="238">
        <v>0.0</v>
      </c>
      <c r="Q52" s="238">
        <v>0.0</v>
      </c>
      <c r="R52" s="238">
        <v>0.0</v>
      </c>
      <c r="S52" s="238">
        <v>1.0</v>
      </c>
      <c r="T52" s="238">
        <v>0.0</v>
      </c>
      <c r="U52" s="235" t="s">
        <v>546</v>
      </c>
      <c r="V52" s="231"/>
    </row>
    <row r="53">
      <c r="A53" s="237">
        <v>46228.0</v>
      </c>
      <c r="B53" s="235" t="s">
        <v>570</v>
      </c>
      <c r="C53" s="235" t="s">
        <v>282</v>
      </c>
      <c r="D53" s="235" t="s">
        <v>19</v>
      </c>
      <c r="E53" s="235" t="s">
        <v>571</v>
      </c>
      <c r="F53" s="235" t="s">
        <v>503</v>
      </c>
      <c r="G53" s="238">
        <v>3.0</v>
      </c>
      <c r="H53" s="238">
        <v>0.0</v>
      </c>
      <c r="I53" s="238">
        <v>0.0</v>
      </c>
      <c r="J53" s="238">
        <v>0.0</v>
      </c>
      <c r="K53" s="238">
        <v>0.0</v>
      </c>
      <c r="L53" s="238">
        <v>0.0</v>
      </c>
      <c r="M53" s="238">
        <v>0.0</v>
      </c>
      <c r="N53" s="238">
        <v>0.0</v>
      </c>
      <c r="O53" s="238">
        <v>0.0</v>
      </c>
      <c r="P53" s="238">
        <v>0.0</v>
      </c>
      <c r="Q53" s="238">
        <v>0.0</v>
      </c>
      <c r="R53" s="238">
        <v>0.0</v>
      </c>
      <c r="S53" s="238">
        <v>3.0</v>
      </c>
      <c r="T53" s="238">
        <v>0.0</v>
      </c>
      <c r="U53" s="235" t="s">
        <v>155</v>
      </c>
      <c r="V53" s="238"/>
    </row>
    <row r="54">
      <c r="A54" s="237">
        <v>46228.0</v>
      </c>
      <c r="B54" s="235" t="s">
        <v>570</v>
      </c>
      <c r="C54" s="235" t="s">
        <v>282</v>
      </c>
      <c r="D54" s="235" t="s">
        <v>19</v>
      </c>
      <c r="E54" s="235" t="s">
        <v>571</v>
      </c>
      <c r="F54" s="235" t="s">
        <v>503</v>
      </c>
      <c r="G54" s="238">
        <v>4.0</v>
      </c>
      <c r="H54" s="238">
        <v>0.0</v>
      </c>
      <c r="I54" s="238">
        <v>0.0</v>
      </c>
      <c r="J54" s="238">
        <v>0.0</v>
      </c>
      <c r="K54" s="238">
        <v>0.0</v>
      </c>
      <c r="L54" s="238">
        <v>0.0</v>
      </c>
      <c r="M54" s="238">
        <v>0.0</v>
      </c>
      <c r="N54" s="238">
        <v>0.0</v>
      </c>
      <c r="O54" s="238">
        <v>0.0</v>
      </c>
      <c r="P54" s="238">
        <v>0.0</v>
      </c>
      <c r="Q54" s="238">
        <v>0.0</v>
      </c>
      <c r="R54" s="238">
        <v>0.0</v>
      </c>
      <c r="S54" s="238">
        <v>4.0</v>
      </c>
      <c r="T54" s="238">
        <v>0.0</v>
      </c>
      <c r="U54" s="235" t="s">
        <v>20</v>
      </c>
      <c r="V54" s="231"/>
    </row>
    <row r="55">
      <c r="A55" s="237">
        <v>46228.0</v>
      </c>
      <c r="B55" s="235" t="s">
        <v>572</v>
      </c>
      <c r="C55" s="235" t="s">
        <v>223</v>
      </c>
      <c r="D55" s="235" t="s">
        <v>27</v>
      </c>
      <c r="E55" s="235" t="s">
        <v>573</v>
      </c>
      <c r="F55" s="235" t="s">
        <v>503</v>
      </c>
      <c r="G55" s="238">
        <v>2.0</v>
      </c>
      <c r="H55" s="238">
        <v>0.0</v>
      </c>
      <c r="I55" s="238">
        <v>0.0</v>
      </c>
      <c r="J55" s="238">
        <v>0.0</v>
      </c>
      <c r="K55" s="238">
        <v>0.0</v>
      </c>
      <c r="L55" s="238">
        <v>0.0</v>
      </c>
      <c r="M55" s="238">
        <v>0.0</v>
      </c>
      <c r="N55" s="238">
        <v>0.0</v>
      </c>
      <c r="O55" s="238">
        <v>0.0</v>
      </c>
      <c r="P55" s="238">
        <v>0.0</v>
      </c>
      <c r="Q55" s="238">
        <v>0.0</v>
      </c>
      <c r="R55" s="238">
        <v>0.0</v>
      </c>
      <c r="S55" s="238">
        <v>2.0</v>
      </c>
      <c r="T55" s="238">
        <v>0.0</v>
      </c>
      <c r="U55" s="235" t="s">
        <v>5</v>
      </c>
      <c r="V55" s="239"/>
    </row>
    <row r="56">
      <c r="A56" s="237">
        <v>46228.0</v>
      </c>
      <c r="B56" s="235" t="s">
        <v>572</v>
      </c>
      <c r="C56" s="235" t="s">
        <v>223</v>
      </c>
      <c r="D56" s="235" t="s">
        <v>27</v>
      </c>
      <c r="E56" s="235" t="s">
        <v>573</v>
      </c>
      <c r="F56" s="235" t="s">
        <v>503</v>
      </c>
      <c r="G56" s="238">
        <v>1.0</v>
      </c>
      <c r="H56" s="238">
        <v>0.0</v>
      </c>
      <c r="I56" s="238">
        <v>0.0</v>
      </c>
      <c r="J56" s="238">
        <v>0.0</v>
      </c>
      <c r="K56" s="238">
        <v>0.0</v>
      </c>
      <c r="L56" s="238">
        <v>0.0</v>
      </c>
      <c r="M56" s="238">
        <v>0.0</v>
      </c>
      <c r="N56" s="238">
        <v>0.0</v>
      </c>
      <c r="O56" s="238">
        <v>0.0</v>
      </c>
      <c r="P56" s="238">
        <v>0.0</v>
      </c>
      <c r="Q56" s="238">
        <v>0.0</v>
      </c>
      <c r="R56" s="238">
        <v>0.0</v>
      </c>
      <c r="S56" s="238">
        <v>1.0</v>
      </c>
      <c r="T56" s="238">
        <v>0.0</v>
      </c>
      <c r="U56" s="235" t="s">
        <v>596</v>
      </c>
      <c r="V56" s="240"/>
    </row>
    <row r="57">
      <c r="A57" s="237">
        <v>46228.0</v>
      </c>
      <c r="B57" s="235" t="s">
        <v>572</v>
      </c>
      <c r="C57" s="235" t="s">
        <v>223</v>
      </c>
      <c r="D57" s="235" t="s">
        <v>27</v>
      </c>
      <c r="E57" s="235" t="s">
        <v>573</v>
      </c>
      <c r="F57" s="235" t="s">
        <v>503</v>
      </c>
      <c r="G57" s="238">
        <v>6.0</v>
      </c>
      <c r="H57" s="238">
        <v>0.0</v>
      </c>
      <c r="I57" s="238">
        <v>0.0</v>
      </c>
      <c r="J57" s="238">
        <v>0.0</v>
      </c>
      <c r="K57" s="238">
        <v>0.0</v>
      </c>
      <c r="L57" s="238">
        <v>0.0</v>
      </c>
      <c r="M57" s="238">
        <v>0.0</v>
      </c>
      <c r="N57" s="238">
        <v>0.0</v>
      </c>
      <c r="O57" s="238">
        <v>0.0</v>
      </c>
      <c r="P57" s="238">
        <v>0.0</v>
      </c>
      <c r="Q57" s="238">
        <v>0.0</v>
      </c>
      <c r="R57" s="238">
        <v>0.0</v>
      </c>
      <c r="S57" s="238">
        <v>6.0</v>
      </c>
      <c r="T57" s="238">
        <v>0.0</v>
      </c>
      <c r="U57" s="235" t="s">
        <v>9</v>
      </c>
      <c r="V57" s="231"/>
    </row>
    <row r="58">
      <c r="A58" s="237">
        <v>46228.0</v>
      </c>
      <c r="B58" s="235" t="s">
        <v>572</v>
      </c>
      <c r="C58" s="235" t="s">
        <v>223</v>
      </c>
      <c r="D58" s="235" t="s">
        <v>27</v>
      </c>
      <c r="E58" s="235" t="s">
        <v>573</v>
      </c>
      <c r="F58" s="235" t="s">
        <v>503</v>
      </c>
      <c r="G58" s="238">
        <v>8.0</v>
      </c>
      <c r="H58" s="238">
        <v>0.0</v>
      </c>
      <c r="I58" s="238">
        <v>0.0</v>
      </c>
      <c r="J58" s="238">
        <v>0.0</v>
      </c>
      <c r="K58" s="238">
        <v>0.0</v>
      </c>
      <c r="L58" s="238">
        <v>0.0</v>
      </c>
      <c r="M58" s="238">
        <v>0.0</v>
      </c>
      <c r="N58" s="238">
        <v>0.0</v>
      </c>
      <c r="O58" s="238">
        <v>0.0</v>
      </c>
      <c r="P58" s="238">
        <v>0.0</v>
      </c>
      <c r="Q58" s="238">
        <v>0.0</v>
      </c>
      <c r="R58" s="238">
        <v>0.0</v>
      </c>
      <c r="S58" s="238">
        <v>8.0</v>
      </c>
      <c r="T58" s="238">
        <v>0.0</v>
      </c>
      <c r="U58" s="235" t="s">
        <v>11</v>
      </c>
      <c r="V58" s="231"/>
    </row>
    <row r="59">
      <c r="A59" s="237">
        <v>46228.0</v>
      </c>
      <c r="B59" s="235" t="s">
        <v>572</v>
      </c>
      <c r="C59" s="235" t="s">
        <v>223</v>
      </c>
      <c r="D59" s="235" t="s">
        <v>27</v>
      </c>
      <c r="E59" s="235" t="s">
        <v>573</v>
      </c>
      <c r="F59" s="235" t="s">
        <v>503</v>
      </c>
      <c r="G59" s="238">
        <v>5.0</v>
      </c>
      <c r="H59" s="238">
        <v>0.0</v>
      </c>
      <c r="I59" s="238">
        <v>0.0</v>
      </c>
      <c r="J59" s="238">
        <v>0.0</v>
      </c>
      <c r="K59" s="238">
        <v>0.0</v>
      </c>
      <c r="L59" s="238">
        <v>0.0</v>
      </c>
      <c r="M59" s="238">
        <v>0.0</v>
      </c>
      <c r="N59" s="238">
        <v>0.0</v>
      </c>
      <c r="O59" s="238">
        <v>0.0</v>
      </c>
      <c r="P59" s="238">
        <v>0.0</v>
      </c>
      <c r="Q59" s="238">
        <v>0.0</v>
      </c>
      <c r="R59" s="238">
        <v>0.0</v>
      </c>
      <c r="S59" s="238">
        <v>5.0</v>
      </c>
      <c r="T59" s="238">
        <v>0.0</v>
      </c>
      <c r="U59" s="235" t="s">
        <v>16</v>
      </c>
      <c r="V59" s="231"/>
    </row>
    <row r="60">
      <c r="A60" s="237">
        <v>46228.0</v>
      </c>
      <c r="B60" s="235" t="s">
        <v>572</v>
      </c>
      <c r="C60" s="235" t="s">
        <v>223</v>
      </c>
      <c r="D60" s="235" t="s">
        <v>27</v>
      </c>
      <c r="E60" s="235" t="s">
        <v>573</v>
      </c>
      <c r="F60" s="235" t="s">
        <v>503</v>
      </c>
      <c r="G60" s="238">
        <v>1.0</v>
      </c>
      <c r="H60" s="238">
        <v>0.0</v>
      </c>
      <c r="I60" s="238">
        <v>0.0</v>
      </c>
      <c r="J60" s="238">
        <v>0.0</v>
      </c>
      <c r="K60" s="238">
        <v>0.0</v>
      </c>
      <c r="L60" s="238">
        <v>0.0</v>
      </c>
      <c r="M60" s="238">
        <v>0.0</v>
      </c>
      <c r="N60" s="238">
        <v>0.0</v>
      </c>
      <c r="O60" s="238">
        <v>0.0</v>
      </c>
      <c r="P60" s="238">
        <v>0.0</v>
      </c>
      <c r="Q60" s="238">
        <v>0.0</v>
      </c>
      <c r="R60" s="238">
        <v>0.0</v>
      </c>
      <c r="S60" s="238">
        <v>1.0</v>
      </c>
      <c r="T60" s="238">
        <v>0.0</v>
      </c>
      <c r="U60" s="235" t="s">
        <v>155</v>
      </c>
      <c r="V60" s="231"/>
    </row>
    <row r="61">
      <c r="A61" s="237">
        <v>46228.0</v>
      </c>
      <c r="B61" s="235" t="s">
        <v>572</v>
      </c>
      <c r="C61" s="235" t="s">
        <v>223</v>
      </c>
      <c r="D61" s="235" t="s">
        <v>27</v>
      </c>
      <c r="E61" s="235" t="s">
        <v>573</v>
      </c>
      <c r="F61" s="235" t="s">
        <v>503</v>
      </c>
      <c r="G61" s="238">
        <v>6.0</v>
      </c>
      <c r="H61" s="238">
        <v>0.0</v>
      </c>
      <c r="I61" s="238">
        <v>0.0</v>
      </c>
      <c r="J61" s="238">
        <v>0.0</v>
      </c>
      <c r="K61" s="238">
        <v>0.0</v>
      </c>
      <c r="L61" s="238">
        <v>0.0</v>
      </c>
      <c r="M61" s="238">
        <v>0.0</v>
      </c>
      <c r="N61" s="238">
        <v>0.0</v>
      </c>
      <c r="O61" s="238">
        <v>0.0</v>
      </c>
      <c r="P61" s="238">
        <v>0.0</v>
      </c>
      <c r="Q61" s="238">
        <v>0.0</v>
      </c>
      <c r="R61" s="238">
        <v>0.0</v>
      </c>
      <c r="S61" s="238">
        <v>6.0</v>
      </c>
      <c r="T61" s="238">
        <v>0.0</v>
      </c>
      <c r="U61" s="235" t="s">
        <v>533</v>
      </c>
      <c r="V61" s="238"/>
    </row>
    <row r="62">
      <c r="A62" s="237">
        <v>46228.0</v>
      </c>
      <c r="B62" s="235" t="s">
        <v>572</v>
      </c>
      <c r="C62" s="235" t="s">
        <v>223</v>
      </c>
      <c r="D62" s="235" t="s">
        <v>27</v>
      </c>
      <c r="E62" s="235" t="s">
        <v>573</v>
      </c>
      <c r="F62" s="235" t="s">
        <v>503</v>
      </c>
      <c r="G62" s="238">
        <v>4.0</v>
      </c>
      <c r="H62" s="238">
        <v>0.0</v>
      </c>
      <c r="I62" s="238">
        <v>0.0</v>
      </c>
      <c r="J62" s="238">
        <v>0.0</v>
      </c>
      <c r="K62" s="238">
        <v>0.0</v>
      </c>
      <c r="L62" s="238">
        <v>0.0</v>
      </c>
      <c r="M62" s="238">
        <v>0.0</v>
      </c>
      <c r="N62" s="238">
        <v>0.0</v>
      </c>
      <c r="O62" s="238">
        <v>0.0</v>
      </c>
      <c r="P62" s="238">
        <v>0.0</v>
      </c>
      <c r="Q62" s="238">
        <v>0.0</v>
      </c>
      <c r="R62" s="238">
        <v>0.0</v>
      </c>
      <c r="S62" s="238">
        <v>4.0</v>
      </c>
      <c r="T62" s="238">
        <v>0.0</v>
      </c>
      <c r="U62" s="235" t="s">
        <v>13</v>
      </c>
      <c r="V62" s="238"/>
    </row>
    <row r="63">
      <c r="A63" s="237">
        <v>46228.0</v>
      </c>
      <c r="B63" s="235" t="s">
        <v>572</v>
      </c>
      <c r="C63" s="235" t="s">
        <v>223</v>
      </c>
      <c r="D63" s="235" t="s">
        <v>27</v>
      </c>
      <c r="E63" s="235" t="s">
        <v>573</v>
      </c>
      <c r="F63" s="235" t="s">
        <v>503</v>
      </c>
      <c r="G63" s="238">
        <v>15.0</v>
      </c>
      <c r="H63" s="238">
        <v>0.0</v>
      </c>
      <c r="I63" s="238">
        <v>0.0</v>
      </c>
      <c r="J63" s="238">
        <v>0.0</v>
      </c>
      <c r="K63" s="238">
        <v>0.0</v>
      </c>
      <c r="L63" s="238">
        <v>0.0</v>
      </c>
      <c r="M63" s="238">
        <v>0.0</v>
      </c>
      <c r="N63" s="238">
        <v>0.0</v>
      </c>
      <c r="O63" s="238">
        <v>0.0</v>
      </c>
      <c r="P63" s="238">
        <v>0.0</v>
      </c>
      <c r="Q63" s="238">
        <v>0.0</v>
      </c>
      <c r="R63" s="238">
        <v>0.0</v>
      </c>
      <c r="S63" s="238">
        <v>15.0</v>
      </c>
      <c r="T63" s="238">
        <v>0.0</v>
      </c>
      <c r="U63" s="235" t="s">
        <v>14</v>
      </c>
      <c r="V63" s="231"/>
    </row>
    <row r="64">
      <c r="A64" s="237">
        <v>46228.0</v>
      </c>
      <c r="B64" s="235" t="s">
        <v>572</v>
      </c>
      <c r="C64" s="235" t="s">
        <v>223</v>
      </c>
      <c r="D64" s="235" t="s">
        <v>27</v>
      </c>
      <c r="E64" s="235" t="s">
        <v>573</v>
      </c>
      <c r="F64" s="235" t="s">
        <v>503</v>
      </c>
      <c r="G64" s="238">
        <v>6.0</v>
      </c>
      <c r="H64" s="238">
        <v>0.0</v>
      </c>
      <c r="I64" s="238">
        <v>0.0</v>
      </c>
      <c r="J64" s="238">
        <v>0.0</v>
      </c>
      <c r="K64" s="238">
        <v>0.0</v>
      </c>
      <c r="L64" s="238">
        <v>0.0</v>
      </c>
      <c r="M64" s="238">
        <v>0.0</v>
      </c>
      <c r="N64" s="238">
        <v>0.0</v>
      </c>
      <c r="O64" s="238">
        <v>0.0</v>
      </c>
      <c r="P64" s="238">
        <v>0.0</v>
      </c>
      <c r="Q64" s="238">
        <v>0.0</v>
      </c>
      <c r="R64" s="238">
        <v>0.0</v>
      </c>
      <c r="S64" s="238">
        <v>6.0</v>
      </c>
      <c r="T64" s="238">
        <v>0.0</v>
      </c>
      <c r="U64" s="235" t="s">
        <v>18</v>
      </c>
      <c r="V64" s="231"/>
    </row>
    <row r="65">
      <c r="A65" s="237">
        <v>46228.0</v>
      </c>
      <c r="B65" s="235" t="s">
        <v>572</v>
      </c>
      <c r="C65" s="235" t="s">
        <v>223</v>
      </c>
      <c r="D65" s="235" t="s">
        <v>27</v>
      </c>
      <c r="E65" s="235" t="s">
        <v>573</v>
      </c>
      <c r="F65" s="235" t="s">
        <v>503</v>
      </c>
      <c r="G65" s="238">
        <v>6.0</v>
      </c>
      <c r="H65" s="238">
        <v>0.0</v>
      </c>
      <c r="I65" s="238">
        <v>0.0</v>
      </c>
      <c r="J65" s="238">
        <v>0.0</v>
      </c>
      <c r="K65" s="238">
        <v>0.0</v>
      </c>
      <c r="L65" s="238">
        <v>0.0</v>
      </c>
      <c r="M65" s="238">
        <v>0.0</v>
      </c>
      <c r="N65" s="238">
        <v>0.0</v>
      </c>
      <c r="O65" s="238">
        <v>0.0</v>
      </c>
      <c r="P65" s="238">
        <v>0.0</v>
      </c>
      <c r="Q65" s="238">
        <v>0.0</v>
      </c>
      <c r="R65" s="238">
        <v>0.0</v>
      </c>
      <c r="S65" s="238">
        <v>6.0</v>
      </c>
      <c r="T65" s="238">
        <v>0.0</v>
      </c>
      <c r="U65" s="235" t="s">
        <v>20</v>
      </c>
      <c r="V65" s="231"/>
    </row>
    <row r="66">
      <c r="A66" s="237">
        <v>46228.0</v>
      </c>
      <c r="B66" s="235" t="s">
        <v>572</v>
      </c>
      <c r="C66" s="235" t="s">
        <v>223</v>
      </c>
      <c r="D66" s="235" t="s">
        <v>27</v>
      </c>
      <c r="E66" s="235" t="s">
        <v>573</v>
      </c>
      <c r="F66" s="235" t="s">
        <v>503</v>
      </c>
      <c r="G66" s="238">
        <v>5.0</v>
      </c>
      <c r="H66" s="238">
        <v>0.0</v>
      </c>
      <c r="I66" s="238">
        <v>0.0</v>
      </c>
      <c r="J66" s="238">
        <v>0.0</v>
      </c>
      <c r="K66" s="238">
        <v>0.0</v>
      </c>
      <c r="L66" s="238">
        <v>0.0</v>
      </c>
      <c r="M66" s="238">
        <v>0.0</v>
      </c>
      <c r="N66" s="238">
        <v>0.0</v>
      </c>
      <c r="O66" s="238">
        <v>0.0</v>
      </c>
      <c r="P66" s="238">
        <v>0.0</v>
      </c>
      <c r="Q66" s="238">
        <v>0.0</v>
      </c>
      <c r="R66" s="238">
        <v>0.0</v>
      </c>
      <c r="S66" s="238">
        <v>5.0</v>
      </c>
      <c r="T66" s="238">
        <v>0.0</v>
      </c>
      <c r="U66" s="235" t="s">
        <v>156</v>
      </c>
      <c r="V66" s="231"/>
    </row>
    <row r="67">
      <c r="A67" s="237">
        <v>46228.0</v>
      </c>
      <c r="B67" s="235" t="s">
        <v>572</v>
      </c>
      <c r="C67" s="235" t="s">
        <v>223</v>
      </c>
      <c r="D67" s="235" t="s">
        <v>27</v>
      </c>
      <c r="E67" s="235" t="s">
        <v>573</v>
      </c>
      <c r="F67" s="235" t="s">
        <v>503</v>
      </c>
      <c r="G67" s="238">
        <v>4.0</v>
      </c>
      <c r="H67" s="238">
        <v>0.0</v>
      </c>
      <c r="I67" s="238">
        <v>0.0</v>
      </c>
      <c r="J67" s="238">
        <v>0.0</v>
      </c>
      <c r="K67" s="238">
        <v>0.0</v>
      </c>
      <c r="L67" s="238">
        <v>0.0</v>
      </c>
      <c r="M67" s="238">
        <v>0.0</v>
      </c>
      <c r="N67" s="238">
        <v>0.0</v>
      </c>
      <c r="O67" s="238">
        <v>0.0</v>
      </c>
      <c r="P67" s="238">
        <v>0.0</v>
      </c>
      <c r="Q67" s="238">
        <v>0.0</v>
      </c>
      <c r="R67" s="238">
        <v>0.0</v>
      </c>
      <c r="S67" s="238">
        <v>4.0</v>
      </c>
      <c r="T67" s="238">
        <v>0.0</v>
      </c>
      <c r="U67" s="235" t="s">
        <v>546</v>
      </c>
      <c r="V67" s="231"/>
    </row>
    <row r="68">
      <c r="A68" s="237">
        <v>46228.0</v>
      </c>
      <c r="B68" s="235" t="s">
        <v>676</v>
      </c>
      <c r="C68" s="235" t="s">
        <v>505</v>
      </c>
      <c r="D68" s="235" t="s">
        <v>29</v>
      </c>
      <c r="E68" s="235" t="s">
        <v>677</v>
      </c>
      <c r="F68" s="235" t="s">
        <v>503</v>
      </c>
      <c r="G68" s="238">
        <v>9.0</v>
      </c>
      <c r="H68" s="238">
        <v>0.0</v>
      </c>
      <c r="I68" s="238">
        <v>0.0</v>
      </c>
      <c r="J68" s="238">
        <v>0.0</v>
      </c>
      <c r="K68" s="238">
        <v>0.0</v>
      </c>
      <c r="L68" s="238">
        <v>0.0</v>
      </c>
      <c r="M68" s="238">
        <v>0.0</v>
      </c>
      <c r="N68" s="238">
        <v>0.0</v>
      </c>
      <c r="O68" s="238">
        <v>0.0</v>
      </c>
      <c r="P68" s="238">
        <v>0.0</v>
      </c>
      <c r="Q68" s="238">
        <v>0.0</v>
      </c>
      <c r="R68" s="238">
        <v>0.0</v>
      </c>
      <c r="S68" s="238">
        <v>9.0</v>
      </c>
      <c r="T68" s="238">
        <v>0.0</v>
      </c>
      <c r="U68" s="235" t="s">
        <v>16</v>
      </c>
      <c r="V68" s="239"/>
    </row>
    <row r="69">
      <c r="A69" s="237">
        <v>46228.0</v>
      </c>
      <c r="B69" s="235" t="s">
        <v>676</v>
      </c>
      <c r="C69" s="235" t="s">
        <v>505</v>
      </c>
      <c r="D69" s="235" t="s">
        <v>29</v>
      </c>
      <c r="E69" s="235" t="s">
        <v>677</v>
      </c>
      <c r="F69" s="235" t="s">
        <v>503</v>
      </c>
      <c r="G69" s="238">
        <v>1.0</v>
      </c>
      <c r="H69" s="238">
        <v>0.0</v>
      </c>
      <c r="I69" s="238">
        <v>0.0</v>
      </c>
      <c r="J69" s="238">
        <v>0.0</v>
      </c>
      <c r="K69" s="238">
        <v>0.0</v>
      </c>
      <c r="L69" s="238">
        <v>0.0</v>
      </c>
      <c r="M69" s="238">
        <v>0.0</v>
      </c>
      <c r="N69" s="238">
        <v>0.0</v>
      </c>
      <c r="O69" s="238">
        <v>0.0</v>
      </c>
      <c r="P69" s="238">
        <v>0.0</v>
      </c>
      <c r="Q69" s="238">
        <v>0.0</v>
      </c>
      <c r="R69" s="238">
        <v>0.0</v>
      </c>
      <c r="S69" s="238">
        <v>1.0</v>
      </c>
      <c r="T69" s="238">
        <v>0.0</v>
      </c>
      <c r="U69" s="235" t="s">
        <v>156</v>
      </c>
      <c r="V69" s="231"/>
    </row>
    <row r="70">
      <c r="A70" s="237">
        <v>46228.0</v>
      </c>
      <c r="B70" s="235" t="s">
        <v>676</v>
      </c>
      <c r="C70" s="235" t="s">
        <v>505</v>
      </c>
      <c r="D70" s="235" t="s">
        <v>29</v>
      </c>
      <c r="E70" s="235" t="s">
        <v>677</v>
      </c>
      <c r="F70" s="235" t="s">
        <v>503</v>
      </c>
      <c r="G70" s="238">
        <v>3.0</v>
      </c>
      <c r="H70" s="238">
        <v>0.0</v>
      </c>
      <c r="I70" s="238">
        <v>0.0</v>
      </c>
      <c r="J70" s="238">
        <v>0.0</v>
      </c>
      <c r="K70" s="238">
        <v>0.0</v>
      </c>
      <c r="L70" s="238">
        <v>0.0</v>
      </c>
      <c r="M70" s="238">
        <v>0.0</v>
      </c>
      <c r="N70" s="238">
        <v>0.0</v>
      </c>
      <c r="O70" s="238">
        <v>0.0</v>
      </c>
      <c r="P70" s="238">
        <v>0.0</v>
      </c>
      <c r="Q70" s="238">
        <v>0.0</v>
      </c>
      <c r="R70" s="238">
        <v>0.0</v>
      </c>
      <c r="S70" s="238">
        <v>3.0</v>
      </c>
      <c r="T70" s="238">
        <v>0.0</v>
      </c>
      <c r="U70" s="235" t="s">
        <v>546</v>
      </c>
      <c r="V70" s="239"/>
    </row>
    <row r="71">
      <c r="A71" s="237">
        <v>46228.0</v>
      </c>
      <c r="B71" s="235" t="s">
        <v>688</v>
      </c>
      <c r="C71" s="235" t="s">
        <v>543</v>
      </c>
      <c r="D71" s="235" t="s">
        <v>30</v>
      </c>
      <c r="E71" s="235" t="s">
        <v>692</v>
      </c>
      <c r="F71" s="235" t="s">
        <v>503</v>
      </c>
      <c r="G71" s="238">
        <v>1.0</v>
      </c>
      <c r="H71" s="238">
        <v>0.0</v>
      </c>
      <c r="I71" s="238">
        <v>0.0</v>
      </c>
      <c r="J71" s="238">
        <v>0.0</v>
      </c>
      <c r="K71" s="238">
        <v>0.0</v>
      </c>
      <c r="L71" s="238">
        <v>0.0</v>
      </c>
      <c r="M71" s="238">
        <v>0.0</v>
      </c>
      <c r="N71" s="238">
        <v>0.0</v>
      </c>
      <c r="O71" s="238">
        <v>0.0</v>
      </c>
      <c r="P71" s="238">
        <v>0.0</v>
      </c>
      <c r="Q71" s="238">
        <v>0.0</v>
      </c>
      <c r="R71" s="238">
        <v>0.0</v>
      </c>
      <c r="S71" s="238">
        <v>1.0</v>
      </c>
      <c r="T71" s="238">
        <v>0.0</v>
      </c>
      <c r="U71" s="235" t="s">
        <v>5</v>
      </c>
      <c r="V71" s="238"/>
    </row>
    <row r="72">
      <c r="A72" s="237">
        <v>46228.0</v>
      </c>
      <c r="B72" s="235" t="s">
        <v>688</v>
      </c>
      <c r="C72" s="235" t="s">
        <v>543</v>
      </c>
      <c r="D72" s="235" t="s">
        <v>30</v>
      </c>
      <c r="E72" s="235" t="s">
        <v>692</v>
      </c>
      <c r="F72" s="235" t="s">
        <v>503</v>
      </c>
      <c r="G72" s="238">
        <v>1.0</v>
      </c>
      <c r="H72" s="238">
        <v>0.0</v>
      </c>
      <c r="I72" s="238">
        <v>0.0</v>
      </c>
      <c r="J72" s="238">
        <v>0.0</v>
      </c>
      <c r="K72" s="238">
        <v>0.0</v>
      </c>
      <c r="L72" s="238">
        <v>0.0</v>
      </c>
      <c r="M72" s="238">
        <v>0.0</v>
      </c>
      <c r="N72" s="238">
        <v>0.0</v>
      </c>
      <c r="O72" s="238">
        <v>0.0</v>
      </c>
      <c r="P72" s="238">
        <v>0.0</v>
      </c>
      <c r="Q72" s="238">
        <v>0.0</v>
      </c>
      <c r="R72" s="238">
        <v>0.0</v>
      </c>
      <c r="S72" s="238">
        <v>1.0</v>
      </c>
      <c r="T72" s="238">
        <v>0.0</v>
      </c>
      <c r="U72" s="235" t="s">
        <v>155</v>
      </c>
      <c r="V72" s="238"/>
    </row>
    <row r="73">
      <c r="A73" s="237">
        <v>46228.0</v>
      </c>
      <c r="B73" s="235" t="s">
        <v>688</v>
      </c>
      <c r="C73" s="235" t="s">
        <v>543</v>
      </c>
      <c r="D73" s="235" t="s">
        <v>30</v>
      </c>
      <c r="E73" s="235" t="s">
        <v>692</v>
      </c>
      <c r="F73" s="235" t="s">
        <v>503</v>
      </c>
      <c r="G73" s="238">
        <v>1.0</v>
      </c>
      <c r="H73" s="238">
        <v>0.0</v>
      </c>
      <c r="I73" s="238">
        <v>0.0</v>
      </c>
      <c r="J73" s="238">
        <v>0.0</v>
      </c>
      <c r="K73" s="238">
        <v>0.0</v>
      </c>
      <c r="L73" s="238">
        <v>0.0</v>
      </c>
      <c r="M73" s="238">
        <v>0.0</v>
      </c>
      <c r="N73" s="238">
        <v>0.0</v>
      </c>
      <c r="O73" s="238">
        <v>0.0</v>
      </c>
      <c r="P73" s="238">
        <v>0.0</v>
      </c>
      <c r="Q73" s="238">
        <v>0.0</v>
      </c>
      <c r="R73" s="238">
        <v>0.0</v>
      </c>
      <c r="S73" s="238">
        <v>1.0</v>
      </c>
      <c r="T73" s="238">
        <v>0.0</v>
      </c>
      <c r="U73" s="235" t="s">
        <v>533</v>
      </c>
      <c r="V73" s="231"/>
    </row>
    <row r="74">
      <c r="A74" s="237">
        <v>46228.0</v>
      </c>
      <c r="B74" s="235" t="s">
        <v>688</v>
      </c>
      <c r="C74" s="235" t="s">
        <v>543</v>
      </c>
      <c r="D74" s="235" t="s">
        <v>30</v>
      </c>
      <c r="E74" s="235" t="s">
        <v>692</v>
      </c>
      <c r="F74" s="235" t="s">
        <v>503</v>
      </c>
      <c r="G74" s="238">
        <v>1.0</v>
      </c>
      <c r="H74" s="238">
        <v>0.0</v>
      </c>
      <c r="I74" s="238">
        <v>0.0</v>
      </c>
      <c r="J74" s="238">
        <v>0.0</v>
      </c>
      <c r="K74" s="238">
        <v>0.0</v>
      </c>
      <c r="L74" s="238">
        <v>0.0</v>
      </c>
      <c r="M74" s="238">
        <v>0.0</v>
      </c>
      <c r="N74" s="238">
        <v>0.0</v>
      </c>
      <c r="O74" s="238">
        <v>0.0</v>
      </c>
      <c r="P74" s="238">
        <v>0.0</v>
      </c>
      <c r="Q74" s="238">
        <v>0.0</v>
      </c>
      <c r="R74" s="238">
        <v>0.0</v>
      </c>
      <c r="S74" s="238">
        <v>1.0</v>
      </c>
      <c r="T74" s="238">
        <v>0.0</v>
      </c>
      <c r="U74" s="235" t="s">
        <v>20</v>
      </c>
      <c r="V74" s="231"/>
    </row>
    <row r="75">
      <c r="A75" s="237">
        <v>46228.0</v>
      </c>
      <c r="B75" s="235" t="s">
        <v>688</v>
      </c>
      <c r="C75" s="235" t="s">
        <v>543</v>
      </c>
      <c r="D75" s="235" t="s">
        <v>30</v>
      </c>
      <c r="E75" s="235" t="s">
        <v>692</v>
      </c>
      <c r="F75" s="235" t="s">
        <v>503</v>
      </c>
      <c r="G75" s="238">
        <v>1.0</v>
      </c>
      <c r="H75" s="238">
        <v>0.0</v>
      </c>
      <c r="I75" s="238">
        <v>0.0</v>
      </c>
      <c r="J75" s="238">
        <v>0.0</v>
      </c>
      <c r="K75" s="238">
        <v>0.0</v>
      </c>
      <c r="L75" s="238">
        <v>0.0</v>
      </c>
      <c r="M75" s="238">
        <v>0.0</v>
      </c>
      <c r="N75" s="238">
        <v>0.0</v>
      </c>
      <c r="O75" s="238">
        <v>0.0</v>
      </c>
      <c r="P75" s="238">
        <v>0.0</v>
      </c>
      <c r="Q75" s="238">
        <v>0.0</v>
      </c>
      <c r="R75" s="238">
        <v>0.0</v>
      </c>
      <c r="S75" s="238">
        <v>1.0</v>
      </c>
      <c r="T75" s="238">
        <v>0.0</v>
      </c>
      <c r="U75" s="235" t="s">
        <v>156</v>
      </c>
      <c r="V75" s="238"/>
    </row>
    <row r="76">
      <c r="A76" s="237">
        <v>46228.0</v>
      </c>
      <c r="B76" s="235" t="s">
        <v>688</v>
      </c>
      <c r="C76" s="235" t="s">
        <v>543</v>
      </c>
      <c r="D76" s="235" t="s">
        <v>30</v>
      </c>
      <c r="E76" s="235" t="s">
        <v>692</v>
      </c>
      <c r="F76" s="235" t="s">
        <v>503</v>
      </c>
      <c r="G76" s="238">
        <v>1.0</v>
      </c>
      <c r="H76" s="238">
        <v>0.0</v>
      </c>
      <c r="I76" s="238">
        <v>0.0</v>
      </c>
      <c r="J76" s="238">
        <v>0.0</v>
      </c>
      <c r="K76" s="238">
        <v>0.0</v>
      </c>
      <c r="L76" s="238">
        <v>0.0</v>
      </c>
      <c r="M76" s="238">
        <v>0.0</v>
      </c>
      <c r="N76" s="238">
        <v>0.0</v>
      </c>
      <c r="O76" s="238">
        <v>0.0</v>
      </c>
      <c r="P76" s="238">
        <v>0.0</v>
      </c>
      <c r="Q76" s="238">
        <v>0.0</v>
      </c>
      <c r="R76" s="238">
        <v>0.0</v>
      </c>
      <c r="S76" s="238">
        <v>1.0</v>
      </c>
      <c r="T76" s="238">
        <v>0.0</v>
      </c>
      <c r="U76" s="235" t="s">
        <v>546</v>
      </c>
      <c r="V76" s="238"/>
    </row>
    <row r="77">
      <c r="A77" s="237">
        <v>46228.0</v>
      </c>
      <c r="B77" s="235" t="s">
        <v>728</v>
      </c>
      <c r="C77" s="235" t="s">
        <v>286</v>
      </c>
      <c r="D77" s="235" t="s">
        <v>22</v>
      </c>
      <c r="E77" s="235" t="s">
        <v>729</v>
      </c>
      <c r="F77" s="235" t="s">
        <v>503</v>
      </c>
      <c r="G77" s="238">
        <v>1.0</v>
      </c>
      <c r="H77" s="238">
        <v>0.0</v>
      </c>
      <c r="I77" s="238">
        <v>0.0</v>
      </c>
      <c r="J77" s="238">
        <v>0.0</v>
      </c>
      <c r="K77" s="238">
        <v>0.0</v>
      </c>
      <c r="L77" s="238">
        <v>0.0</v>
      </c>
      <c r="M77" s="238">
        <v>0.0</v>
      </c>
      <c r="N77" s="238">
        <v>0.0</v>
      </c>
      <c r="O77" s="238">
        <v>0.0</v>
      </c>
      <c r="P77" s="238">
        <v>0.0</v>
      </c>
      <c r="Q77" s="238">
        <v>0.0</v>
      </c>
      <c r="R77" s="238">
        <v>0.0</v>
      </c>
      <c r="S77" s="238">
        <v>1.0</v>
      </c>
      <c r="T77" s="238">
        <v>0.0</v>
      </c>
      <c r="U77" s="235" t="s">
        <v>5</v>
      </c>
      <c r="V77" s="238"/>
    </row>
    <row r="78">
      <c r="A78" s="237">
        <v>46228.0</v>
      </c>
      <c r="B78" s="235" t="s">
        <v>728</v>
      </c>
      <c r="C78" s="235" t="s">
        <v>286</v>
      </c>
      <c r="D78" s="235" t="s">
        <v>22</v>
      </c>
      <c r="E78" s="235" t="s">
        <v>729</v>
      </c>
      <c r="F78" s="235" t="s">
        <v>503</v>
      </c>
      <c r="G78" s="238">
        <v>3.0</v>
      </c>
      <c r="H78" s="238">
        <v>0.0</v>
      </c>
      <c r="I78" s="238">
        <v>0.0</v>
      </c>
      <c r="J78" s="238">
        <v>0.0</v>
      </c>
      <c r="K78" s="238">
        <v>0.0</v>
      </c>
      <c r="L78" s="238">
        <v>0.0</v>
      </c>
      <c r="M78" s="238">
        <v>0.0</v>
      </c>
      <c r="N78" s="238">
        <v>0.0</v>
      </c>
      <c r="O78" s="238">
        <v>0.0</v>
      </c>
      <c r="P78" s="238">
        <v>0.0</v>
      </c>
      <c r="Q78" s="238">
        <v>0.0</v>
      </c>
      <c r="R78" s="238">
        <v>0.0</v>
      </c>
      <c r="S78" s="238">
        <v>3.0</v>
      </c>
      <c r="T78" s="238">
        <v>0.0</v>
      </c>
      <c r="U78" s="235" t="s">
        <v>9</v>
      </c>
      <c r="V78" s="238"/>
    </row>
    <row r="79">
      <c r="A79" s="237">
        <v>46228.0</v>
      </c>
      <c r="B79" s="235" t="s">
        <v>728</v>
      </c>
      <c r="C79" s="235" t="s">
        <v>286</v>
      </c>
      <c r="D79" s="235" t="s">
        <v>22</v>
      </c>
      <c r="E79" s="235" t="s">
        <v>729</v>
      </c>
      <c r="F79" s="235" t="s">
        <v>503</v>
      </c>
      <c r="G79" s="238">
        <v>3.0</v>
      </c>
      <c r="H79" s="238">
        <v>0.0</v>
      </c>
      <c r="I79" s="238">
        <v>0.0</v>
      </c>
      <c r="J79" s="238">
        <v>0.0</v>
      </c>
      <c r="K79" s="238">
        <v>0.0</v>
      </c>
      <c r="L79" s="238">
        <v>0.0</v>
      </c>
      <c r="M79" s="238">
        <v>0.0</v>
      </c>
      <c r="N79" s="238">
        <v>0.0</v>
      </c>
      <c r="O79" s="238">
        <v>0.0</v>
      </c>
      <c r="P79" s="238">
        <v>0.0</v>
      </c>
      <c r="Q79" s="238">
        <v>0.0</v>
      </c>
      <c r="R79" s="238">
        <v>0.0</v>
      </c>
      <c r="S79" s="238">
        <v>3.0</v>
      </c>
      <c r="T79" s="238">
        <v>0.0</v>
      </c>
      <c r="U79" s="235" t="s">
        <v>11</v>
      </c>
      <c r="V79" s="238"/>
    </row>
    <row r="80">
      <c r="A80" s="237">
        <v>46228.0</v>
      </c>
      <c r="B80" s="235" t="s">
        <v>728</v>
      </c>
      <c r="C80" s="235" t="s">
        <v>286</v>
      </c>
      <c r="D80" s="235" t="s">
        <v>22</v>
      </c>
      <c r="E80" s="235" t="s">
        <v>729</v>
      </c>
      <c r="F80" s="235" t="s">
        <v>503</v>
      </c>
      <c r="G80" s="238">
        <v>2.0</v>
      </c>
      <c r="H80" s="238">
        <v>0.0</v>
      </c>
      <c r="I80" s="238">
        <v>0.0</v>
      </c>
      <c r="J80" s="238">
        <v>0.0</v>
      </c>
      <c r="K80" s="238">
        <v>0.0</v>
      </c>
      <c r="L80" s="238">
        <v>0.0</v>
      </c>
      <c r="M80" s="238">
        <v>0.0</v>
      </c>
      <c r="N80" s="238">
        <v>0.0</v>
      </c>
      <c r="O80" s="238">
        <v>0.0</v>
      </c>
      <c r="P80" s="238">
        <v>0.0</v>
      </c>
      <c r="Q80" s="238">
        <v>0.0</v>
      </c>
      <c r="R80" s="238">
        <v>0.0</v>
      </c>
      <c r="S80" s="238">
        <v>2.0</v>
      </c>
      <c r="T80" s="238">
        <v>0.0</v>
      </c>
      <c r="U80" s="235" t="s">
        <v>16</v>
      </c>
      <c r="V80" s="231"/>
    </row>
    <row r="81">
      <c r="A81" s="237">
        <v>46228.0</v>
      </c>
      <c r="B81" s="235" t="s">
        <v>728</v>
      </c>
      <c r="C81" s="235" t="s">
        <v>286</v>
      </c>
      <c r="D81" s="235" t="s">
        <v>22</v>
      </c>
      <c r="E81" s="235" t="s">
        <v>729</v>
      </c>
      <c r="F81" s="235" t="s">
        <v>503</v>
      </c>
      <c r="G81" s="238">
        <v>3.0</v>
      </c>
      <c r="H81" s="238">
        <v>0.0</v>
      </c>
      <c r="I81" s="238">
        <v>0.0</v>
      </c>
      <c r="J81" s="238">
        <v>0.0</v>
      </c>
      <c r="K81" s="238">
        <v>0.0</v>
      </c>
      <c r="L81" s="238">
        <v>0.0</v>
      </c>
      <c r="M81" s="238">
        <v>0.0</v>
      </c>
      <c r="N81" s="238">
        <v>0.0</v>
      </c>
      <c r="O81" s="238">
        <v>0.0</v>
      </c>
      <c r="P81" s="238">
        <v>0.0</v>
      </c>
      <c r="Q81" s="238">
        <v>0.0</v>
      </c>
      <c r="R81" s="238">
        <v>0.0</v>
      </c>
      <c r="S81" s="238">
        <v>3.0</v>
      </c>
      <c r="T81" s="238">
        <v>0.0</v>
      </c>
      <c r="U81" s="235" t="s">
        <v>13</v>
      </c>
      <c r="V81" s="231"/>
    </row>
    <row r="82">
      <c r="A82" s="237">
        <v>46228.0</v>
      </c>
      <c r="B82" s="235" t="s">
        <v>728</v>
      </c>
      <c r="C82" s="235" t="s">
        <v>286</v>
      </c>
      <c r="D82" s="235" t="s">
        <v>22</v>
      </c>
      <c r="E82" s="235" t="s">
        <v>729</v>
      </c>
      <c r="F82" s="235" t="s">
        <v>503</v>
      </c>
      <c r="G82" s="238">
        <v>4.0</v>
      </c>
      <c r="H82" s="238">
        <v>0.0</v>
      </c>
      <c r="I82" s="238">
        <v>0.0</v>
      </c>
      <c r="J82" s="238">
        <v>0.0</v>
      </c>
      <c r="K82" s="238">
        <v>0.0</v>
      </c>
      <c r="L82" s="238">
        <v>0.0</v>
      </c>
      <c r="M82" s="238">
        <v>0.0</v>
      </c>
      <c r="N82" s="238">
        <v>0.0</v>
      </c>
      <c r="O82" s="238">
        <v>0.0</v>
      </c>
      <c r="P82" s="238">
        <v>0.0</v>
      </c>
      <c r="Q82" s="238">
        <v>0.0</v>
      </c>
      <c r="R82" s="238">
        <v>0.0</v>
      </c>
      <c r="S82" s="238">
        <v>4.0</v>
      </c>
      <c r="T82" s="238">
        <v>0.0</v>
      </c>
      <c r="U82" s="235" t="s">
        <v>14</v>
      </c>
      <c r="V82" s="231"/>
    </row>
    <row r="83">
      <c r="A83" s="237">
        <v>46228.0</v>
      </c>
      <c r="B83" s="235" t="s">
        <v>728</v>
      </c>
      <c r="C83" s="235" t="s">
        <v>286</v>
      </c>
      <c r="D83" s="235" t="s">
        <v>22</v>
      </c>
      <c r="E83" s="235" t="s">
        <v>729</v>
      </c>
      <c r="F83" s="235" t="s">
        <v>503</v>
      </c>
      <c r="G83" s="238">
        <v>9.0</v>
      </c>
      <c r="H83" s="238">
        <v>0.0</v>
      </c>
      <c r="I83" s="238">
        <v>0.0</v>
      </c>
      <c r="J83" s="238">
        <v>0.0</v>
      </c>
      <c r="K83" s="238">
        <v>0.0</v>
      </c>
      <c r="L83" s="238">
        <v>0.0</v>
      </c>
      <c r="M83" s="238">
        <v>0.0</v>
      </c>
      <c r="N83" s="238">
        <v>0.0</v>
      </c>
      <c r="O83" s="238">
        <v>0.0</v>
      </c>
      <c r="P83" s="238">
        <v>0.0</v>
      </c>
      <c r="Q83" s="238">
        <v>0.0</v>
      </c>
      <c r="R83" s="238">
        <v>0.0</v>
      </c>
      <c r="S83" s="238">
        <v>9.0</v>
      </c>
      <c r="T83" s="238">
        <v>0.0</v>
      </c>
      <c r="U83" s="235" t="s">
        <v>18</v>
      </c>
      <c r="V83" s="231"/>
    </row>
    <row r="84">
      <c r="A84" s="237">
        <v>46228.0</v>
      </c>
      <c r="B84" s="235" t="s">
        <v>728</v>
      </c>
      <c r="C84" s="235" t="s">
        <v>286</v>
      </c>
      <c r="D84" s="235" t="s">
        <v>22</v>
      </c>
      <c r="E84" s="235" t="s">
        <v>729</v>
      </c>
      <c r="F84" s="235" t="s">
        <v>503</v>
      </c>
      <c r="G84" s="238">
        <v>22.0</v>
      </c>
      <c r="H84" s="238">
        <v>0.0</v>
      </c>
      <c r="I84" s="238">
        <v>0.0</v>
      </c>
      <c r="J84" s="238">
        <v>0.0</v>
      </c>
      <c r="K84" s="238">
        <v>0.0</v>
      </c>
      <c r="L84" s="238">
        <v>0.0</v>
      </c>
      <c r="M84" s="238">
        <v>0.0</v>
      </c>
      <c r="N84" s="238">
        <v>0.0</v>
      </c>
      <c r="O84" s="238">
        <v>0.0</v>
      </c>
      <c r="P84" s="238">
        <v>0.0</v>
      </c>
      <c r="Q84" s="238">
        <v>0.0</v>
      </c>
      <c r="R84" s="238">
        <v>0.0</v>
      </c>
      <c r="S84" s="238">
        <v>22.0</v>
      </c>
      <c r="T84" s="238">
        <v>0.0</v>
      </c>
      <c r="U84" s="235" t="s">
        <v>20</v>
      </c>
      <c r="V84" s="238"/>
    </row>
    <row r="85">
      <c r="A85" s="237">
        <v>46228.0</v>
      </c>
      <c r="B85" s="235" t="s">
        <v>728</v>
      </c>
      <c r="C85" s="235" t="s">
        <v>286</v>
      </c>
      <c r="D85" s="235" t="s">
        <v>22</v>
      </c>
      <c r="E85" s="235" t="s">
        <v>729</v>
      </c>
      <c r="F85" s="235" t="s">
        <v>503</v>
      </c>
      <c r="G85" s="238">
        <v>11.0</v>
      </c>
      <c r="H85" s="238">
        <v>2.0</v>
      </c>
      <c r="I85" s="238">
        <v>0.0</v>
      </c>
      <c r="J85" s="238">
        <v>0.0</v>
      </c>
      <c r="K85" s="238">
        <v>0.0</v>
      </c>
      <c r="L85" s="238">
        <v>0.0</v>
      </c>
      <c r="M85" s="238">
        <v>0.0</v>
      </c>
      <c r="N85" s="238">
        <v>0.0</v>
      </c>
      <c r="O85" s="238">
        <v>0.0</v>
      </c>
      <c r="P85" s="238">
        <v>0.0</v>
      </c>
      <c r="Q85" s="238">
        <v>0.0</v>
      </c>
      <c r="R85" s="238">
        <v>0.0</v>
      </c>
      <c r="S85" s="238">
        <v>11.0</v>
      </c>
      <c r="T85" s="238">
        <v>0.0</v>
      </c>
      <c r="U85" s="235" t="s">
        <v>156</v>
      </c>
      <c r="V85" s="238"/>
    </row>
    <row r="86">
      <c r="A86" s="237">
        <v>46228.0</v>
      </c>
      <c r="B86" s="235" t="s">
        <v>728</v>
      </c>
      <c r="C86" s="235" t="s">
        <v>286</v>
      </c>
      <c r="D86" s="235" t="s">
        <v>22</v>
      </c>
      <c r="E86" s="235" t="s">
        <v>729</v>
      </c>
      <c r="F86" s="235" t="s">
        <v>503</v>
      </c>
      <c r="G86" s="238">
        <v>1.0</v>
      </c>
      <c r="H86" s="238">
        <v>0.0</v>
      </c>
      <c r="I86" s="238">
        <v>0.0</v>
      </c>
      <c r="J86" s="238">
        <v>0.0</v>
      </c>
      <c r="K86" s="238">
        <v>0.0</v>
      </c>
      <c r="L86" s="238">
        <v>0.0</v>
      </c>
      <c r="M86" s="238">
        <v>0.0</v>
      </c>
      <c r="N86" s="238">
        <v>0.0</v>
      </c>
      <c r="O86" s="238">
        <v>0.0</v>
      </c>
      <c r="P86" s="238">
        <v>0.0</v>
      </c>
      <c r="Q86" s="238">
        <v>0.0</v>
      </c>
      <c r="R86" s="238">
        <v>0.0</v>
      </c>
      <c r="S86" s="238">
        <v>1.0</v>
      </c>
      <c r="T86" s="238">
        <v>0.0</v>
      </c>
      <c r="U86" s="235" t="s">
        <v>546</v>
      </c>
      <c r="V86" s="238"/>
    </row>
    <row r="87">
      <c r="A87" s="237">
        <v>46228.0</v>
      </c>
      <c r="B87" s="235" t="s">
        <v>784</v>
      </c>
      <c r="C87" s="235" t="s">
        <v>305</v>
      </c>
      <c r="D87" s="235" t="s">
        <v>24</v>
      </c>
      <c r="E87" s="235" t="s">
        <v>786</v>
      </c>
      <c r="F87" s="235" t="s">
        <v>503</v>
      </c>
      <c r="G87" s="238">
        <v>1.0</v>
      </c>
      <c r="H87" s="238">
        <v>0.0</v>
      </c>
      <c r="I87" s="238">
        <v>0.0</v>
      </c>
      <c r="J87" s="238">
        <v>0.0</v>
      </c>
      <c r="K87" s="238">
        <v>0.0</v>
      </c>
      <c r="L87" s="238">
        <v>0.0</v>
      </c>
      <c r="M87" s="238">
        <v>0.0</v>
      </c>
      <c r="N87" s="238">
        <v>0.0</v>
      </c>
      <c r="O87" s="238">
        <v>0.0</v>
      </c>
      <c r="P87" s="238">
        <v>0.0</v>
      </c>
      <c r="Q87" s="238">
        <v>0.0</v>
      </c>
      <c r="R87" s="238">
        <v>0.0</v>
      </c>
      <c r="S87" s="238">
        <v>1.0</v>
      </c>
      <c r="T87" s="238">
        <v>0.0</v>
      </c>
      <c r="U87" s="235" t="s">
        <v>5</v>
      </c>
      <c r="V87" s="238"/>
    </row>
    <row r="88">
      <c r="A88" s="237">
        <v>46228.0</v>
      </c>
      <c r="B88" s="235" t="s">
        <v>784</v>
      </c>
      <c r="C88" s="235" t="s">
        <v>305</v>
      </c>
      <c r="D88" s="235" t="s">
        <v>24</v>
      </c>
      <c r="E88" s="235" t="s">
        <v>786</v>
      </c>
      <c r="F88" s="235" t="s">
        <v>503</v>
      </c>
      <c r="G88" s="238">
        <v>1.0</v>
      </c>
      <c r="H88" s="238">
        <v>0.0</v>
      </c>
      <c r="I88" s="238">
        <v>0.0</v>
      </c>
      <c r="J88" s="238">
        <v>0.0</v>
      </c>
      <c r="K88" s="238">
        <v>0.0</v>
      </c>
      <c r="L88" s="238">
        <v>0.0</v>
      </c>
      <c r="M88" s="238">
        <v>0.0</v>
      </c>
      <c r="N88" s="238">
        <v>0.0</v>
      </c>
      <c r="O88" s="238">
        <v>0.0</v>
      </c>
      <c r="P88" s="238">
        <v>0.0</v>
      </c>
      <c r="Q88" s="238">
        <v>0.0</v>
      </c>
      <c r="R88" s="238">
        <v>0.0</v>
      </c>
      <c r="S88" s="238">
        <v>1.0</v>
      </c>
      <c r="T88" s="238">
        <v>0.0</v>
      </c>
      <c r="U88" s="235" t="s">
        <v>11</v>
      </c>
      <c r="V88" s="231"/>
    </row>
    <row r="89">
      <c r="A89" s="237">
        <v>46228.0</v>
      </c>
      <c r="B89" s="235" t="s">
        <v>784</v>
      </c>
      <c r="C89" s="235" t="s">
        <v>305</v>
      </c>
      <c r="D89" s="235" t="s">
        <v>24</v>
      </c>
      <c r="E89" s="235" t="s">
        <v>786</v>
      </c>
      <c r="F89" s="235" t="s">
        <v>503</v>
      </c>
      <c r="G89" s="238">
        <v>11.0</v>
      </c>
      <c r="H89" s="238">
        <v>0.0</v>
      </c>
      <c r="I89" s="238">
        <v>0.0</v>
      </c>
      <c r="J89" s="238">
        <v>0.0</v>
      </c>
      <c r="K89" s="238">
        <v>0.0</v>
      </c>
      <c r="L89" s="238">
        <v>0.0</v>
      </c>
      <c r="M89" s="238">
        <v>0.0</v>
      </c>
      <c r="N89" s="238">
        <v>0.0</v>
      </c>
      <c r="O89" s="238">
        <v>0.0</v>
      </c>
      <c r="P89" s="238">
        <v>0.0</v>
      </c>
      <c r="Q89" s="238">
        <v>0.0</v>
      </c>
      <c r="R89" s="238">
        <v>0.0</v>
      </c>
      <c r="S89" s="238">
        <v>11.0</v>
      </c>
      <c r="T89" s="238">
        <v>0.0</v>
      </c>
      <c r="U89" s="235" t="s">
        <v>16</v>
      </c>
      <c r="V89" s="238"/>
    </row>
    <row r="90">
      <c r="A90" s="237">
        <v>46228.0</v>
      </c>
      <c r="B90" s="235" t="s">
        <v>784</v>
      </c>
      <c r="C90" s="235" t="s">
        <v>305</v>
      </c>
      <c r="D90" s="235" t="s">
        <v>24</v>
      </c>
      <c r="E90" s="235" t="s">
        <v>786</v>
      </c>
      <c r="F90" s="235" t="s">
        <v>503</v>
      </c>
      <c r="G90" s="238">
        <v>1.0</v>
      </c>
      <c r="H90" s="238">
        <v>0.0</v>
      </c>
      <c r="I90" s="238">
        <v>0.0</v>
      </c>
      <c r="J90" s="238">
        <v>0.0</v>
      </c>
      <c r="K90" s="238">
        <v>0.0</v>
      </c>
      <c r="L90" s="238">
        <v>0.0</v>
      </c>
      <c r="M90" s="238">
        <v>0.0</v>
      </c>
      <c r="N90" s="238">
        <v>0.0</v>
      </c>
      <c r="O90" s="238">
        <v>0.0</v>
      </c>
      <c r="P90" s="238">
        <v>0.0</v>
      </c>
      <c r="Q90" s="238">
        <v>0.0</v>
      </c>
      <c r="R90" s="238">
        <v>0.0</v>
      </c>
      <c r="S90" s="238">
        <v>1.0</v>
      </c>
      <c r="T90" s="238">
        <v>0.0</v>
      </c>
      <c r="U90" s="235" t="s">
        <v>155</v>
      </c>
      <c r="V90" s="238"/>
    </row>
    <row r="91">
      <c r="A91" s="237">
        <v>46228.0</v>
      </c>
      <c r="B91" s="235" t="s">
        <v>784</v>
      </c>
      <c r="C91" s="235" t="s">
        <v>305</v>
      </c>
      <c r="D91" s="235" t="s">
        <v>24</v>
      </c>
      <c r="E91" s="235" t="s">
        <v>786</v>
      </c>
      <c r="F91" s="235" t="s">
        <v>503</v>
      </c>
      <c r="G91" s="238">
        <v>1.0</v>
      </c>
      <c r="H91" s="238">
        <v>0.0</v>
      </c>
      <c r="I91" s="238">
        <v>0.0</v>
      </c>
      <c r="J91" s="238">
        <v>0.0</v>
      </c>
      <c r="K91" s="238">
        <v>0.0</v>
      </c>
      <c r="L91" s="238">
        <v>0.0</v>
      </c>
      <c r="M91" s="238">
        <v>0.0</v>
      </c>
      <c r="N91" s="238">
        <v>0.0</v>
      </c>
      <c r="O91" s="238">
        <v>0.0</v>
      </c>
      <c r="P91" s="238">
        <v>0.0</v>
      </c>
      <c r="Q91" s="238">
        <v>0.0</v>
      </c>
      <c r="R91" s="238">
        <v>0.0</v>
      </c>
      <c r="S91" s="238">
        <v>1.0</v>
      </c>
      <c r="T91" s="238">
        <v>0.0</v>
      </c>
      <c r="U91" s="235" t="s">
        <v>533</v>
      </c>
      <c r="V91" s="238"/>
    </row>
    <row r="92">
      <c r="A92" s="237">
        <v>46228.0</v>
      </c>
      <c r="B92" s="235" t="s">
        <v>784</v>
      </c>
      <c r="C92" s="235" t="s">
        <v>305</v>
      </c>
      <c r="D92" s="235" t="s">
        <v>24</v>
      </c>
      <c r="E92" s="235" t="s">
        <v>786</v>
      </c>
      <c r="F92" s="235" t="s">
        <v>503</v>
      </c>
      <c r="G92" s="238">
        <v>1.0</v>
      </c>
      <c r="H92" s="238">
        <v>0.0</v>
      </c>
      <c r="I92" s="238">
        <v>0.0</v>
      </c>
      <c r="J92" s="238">
        <v>0.0</v>
      </c>
      <c r="K92" s="238">
        <v>0.0</v>
      </c>
      <c r="L92" s="238">
        <v>0.0</v>
      </c>
      <c r="M92" s="238">
        <v>0.0</v>
      </c>
      <c r="N92" s="238">
        <v>0.0</v>
      </c>
      <c r="O92" s="238">
        <v>0.0</v>
      </c>
      <c r="P92" s="238">
        <v>0.0</v>
      </c>
      <c r="Q92" s="238">
        <v>0.0</v>
      </c>
      <c r="R92" s="238">
        <v>0.0</v>
      </c>
      <c r="S92" s="238">
        <v>1.0</v>
      </c>
      <c r="T92" s="238">
        <v>0.0</v>
      </c>
      <c r="U92" s="235" t="s">
        <v>13</v>
      </c>
      <c r="V92" s="231"/>
    </row>
    <row r="93">
      <c r="A93" s="237">
        <v>46228.0</v>
      </c>
      <c r="B93" s="235" t="s">
        <v>784</v>
      </c>
      <c r="C93" s="235" t="s">
        <v>305</v>
      </c>
      <c r="D93" s="235" t="s">
        <v>24</v>
      </c>
      <c r="E93" s="235" t="s">
        <v>786</v>
      </c>
      <c r="F93" s="235" t="s">
        <v>503</v>
      </c>
      <c r="G93" s="238">
        <v>4.0</v>
      </c>
      <c r="H93" s="238">
        <v>0.0</v>
      </c>
      <c r="I93" s="238">
        <v>0.0</v>
      </c>
      <c r="J93" s="238">
        <v>0.0</v>
      </c>
      <c r="K93" s="238">
        <v>0.0</v>
      </c>
      <c r="L93" s="238">
        <v>0.0</v>
      </c>
      <c r="M93" s="238">
        <v>0.0</v>
      </c>
      <c r="N93" s="238">
        <v>0.0</v>
      </c>
      <c r="O93" s="238">
        <v>0.0</v>
      </c>
      <c r="P93" s="238">
        <v>0.0</v>
      </c>
      <c r="Q93" s="238">
        <v>0.0</v>
      </c>
      <c r="R93" s="238">
        <v>0.0</v>
      </c>
      <c r="S93" s="238">
        <v>4.0</v>
      </c>
      <c r="T93" s="238">
        <v>0.0</v>
      </c>
      <c r="U93" s="235" t="s">
        <v>20</v>
      </c>
      <c r="V93" s="231"/>
    </row>
    <row r="94">
      <c r="A94" s="237">
        <v>46228.0</v>
      </c>
      <c r="B94" s="235" t="s">
        <v>784</v>
      </c>
      <c r="C94" s="235" t="s">
        <v>305</v>
      </c>
      <c r="D94" s="235" t="s">
        <v>24</v>
      </c>
      <c r="E94" s="235" t="s">
        <v>786</v>
      </c>
      <c r="F94" s="235" t="s">
        <v>503</v>
      </c>
      <c r="G94" s="238">
        <v>2.0</v>
      </c>
      <c r="H94" s="238">
        <v>0.0</v>
      </c>
      <c r="I94" s="238">
        <v>0.0</v>
      </c>
      <c r="J94" s="238">
        <v>0.0</v>
      </c>
      <c r="K94" s="238">
        <v>0.0</v>
      </c>
      <c r="L94" s="238">
        <v>0.0</v>
      </c>
      <c r="M94" s="238">
        <v>0.0</v>
      </c>
      <c r="N94" s="238">
        <v>0.0</v>
      </c>
      <c r="O94" s="238">
        <v>0.0</v>
      </c>
      <c r="P94" s="238">
        <v>0.0</v>
      </c>
      <c r="Q94" s="238">
        <v>0.0</v>
      </c>
      <c r="R94" s="238">
        <v>0.0</v>
      </c>
      <c r="S94" s="238">
        <v>2.0</v>
      </c>
      <c r="T94" s="238">
        <v>0.0</v>
      </c>
      <c r="U94" s="235" t="s">
        <v>156</v>
      </c>
      <c r="V94" s="231"/>
    </row>
    <row r="95">
      <c r="A95" s="237">
        <v>46228.0</v>
      </c>
      <c r="B95" s="235" t="s">
        <v>784</v>
      </c>
      <c r="C95" s="235" t="s">
        <v>305</v>
      </c>
      <c r="D95" s="235" t="s">
        <v>24</v>
      </c>
      <c r="E95" s="235" t="s">
        <v>786</v>
      </c>
      <c r="F95" s="235" t="s">
        <v>503</v>
      </c>
      <c r="G95" s="238">
        <v>9.0</v>
      </c>
      <c r="H95" s="238">
        <v>0.0</v>
      </c>
      <c r="I95" s="238">
        <v>0.0</v>
      </c>
      <c r="J95" s="238">
        <v>0.0</v>
      </c>
      <c r="K95" s="238">
        <v>0.0</v>
      </c>
      <c r="L95" s="238">
        <v>0.0</v>
      </c>
      <c r="M95" s="238">
        <v>0.0</v>
      </c>
      <c r="N95" s="238">
        <v>0.0</v>
      </c>
      <c r="O95" s="238">
        <v>0.0</v>
      </c>
      <c r="P95" s="238">
        <v>0.0</v>
      </c>
      <c r="Q95" s="238">
        <v>0.0</v>
      </c>
      <c r="R95" s="238">
        <v>0.0</v>
      </c>
      <c r="S95" s="238">
        <v>9.0</v>
      </c>
      <c r="T95" s="238">
        <v>0.0</v>
      </c>
      <c r="U95" s="235" t="s">
        <v>546</v>
      </c>
      <c r="V95" s="238"/>
    </row>
    <row r="96">
      <c r="A96" s="237">
        <v>46228.0</v>
      </c>
      <c r="B96" s="235" t="s">
        <v>830</v>
      </c>
      <c r="C96" s="235" t="s">
        <v>301</v>
      </c>
      <c r="D96" s="235" t="s">
        <v>35</v>
      </c>
      <c r="E96" s="235" t="s">
        <v>831</v>
      </c>
      <c r="F96" s="235" t="s">
        <v>503</v>
      </c>
      <c r="G96" s="238">
        <v>3.0</v>
      </c>
      <c r="H96" s="238">
        <v>0.0</v>
      </c>
      <c r="I96" s="238">
        <v>0.0</v>
      </c>
      <c r="J96" s="238">
        <v>0.0</v>
      </c>
      <c r="K96" s="238">
        <v>0.0</v>
      </c>
      <c r="L96" s="238">
        <v>0.0</v>
      </c>
      <c r="M96" s="238">
        <v>0.0</v>
      </c>
      <c r="N96" s="238">
        <v>0.0</v>
      </c>
      <c r="O96" s="238">
        <v>0.0</v>
      </c>
      <c r="P96" s="238">
        <v>0.0</v>
      </c>
      <c r="Q96" s="238">
        <v>0.0</v>
      </c>
      <c r="R96" s="238">
        <v>0.0</v>
      </c>
      <c r="S96" s="238">
        <v>3.0</v>
      </c>
      <c r="T96" s="238">
        <v>0.0</v>
      </c>
      <c r="U96" s="235" t="s">
        <v>16</v>
      </c>
      <c r="V96" s="231"/>
    </row>
    <row r="97">
      <c r="A97" s="237">
        <v>46228.0</v>
      </c>
      <c r="B97" s="235" t="s">
        <v>830</v>
      </c>
      <c r="C97" s="235" t="s">
        <v>301</v>
      </c>
      <c r="D97" s="235" t="s">
        <v>35</v>
      </c>
      <c r="E97" s="235" t="s">
        <v>831</v>
      </c>
      <c r="F97" s="235" t="s">
        <v>503</v>
      </c>
      <c r="G97" s="238">
        <v>3.0</v>
      </c>
      <c r="H97" s="238">
        <v>0.0</v>
      </c>
      <c r="I97" s="238">
        <v>0.0</v>
      </c>
      <c r="J97" s="238">
        <v>0.0</v>
      </c>
      <c r="K97" s="238">
        <v>0.0</v>
      </c>
      <c r="L97" s="238">
        <v>0.0</v>
      </c>
      <c r="M97" s="238">
        <v>0.0</v>
      </c>
      <c r="N97" s="238">
        <v>0.0</v>
      </c>
      <c r="O97" s="238">
        <v>0.0</v>
      </c>
      <c r="P97" s="238">
        <v>0.0</v>
      </c>
      <c r="Q97" s="238">
        <v>0.0</v>
      </c>
      <c r="R97" s="238">
        <v>0.0</v>
      </c>
      <c r="S97" s="238">
        <v>3.0</v>
      </c>
      <c r="T97" s="238">
        <v>0.0</v>
      </c>
      <c r="U97" s="235" t="s">
        <v>20</v>
      </c>
      <c r="V97" s="238"/>
    </row>
    <row r="98">
      <c r="A98" s="237">
        <v>46228.0</v>
      </c>
      <c r="B98" s="235" t="s">
        <v>830</v>
      </c>
      <c r="C98" s="235" t="s">
        <v>301</v>
      </c>
      <c r="D98" s="235" t="s">
        <v>35</v>
      </c>
      <c r="E98" s="235" t="s">
        <v>831</v>
      </c>
      <c r="F98" s="235" t="s">
        <v>503</v>
      </c>
      <c r="G98" s="238">
        <v>7.0</v>
      </c>
      <c r="H98" s="238">
        <v>1.0</v>
      </c>
      <c r="I98" s="238">
        <v>0.0</v>
      </c>
      <c r="J98" s="238">
        <v>0.0</v>
      </c>
      <c r="K98" s="238">
        <v>0.0</v>
      </c>
      <c r="L98" s="238">
        <v>0.0</v>
      </c>
      <c r="M98" s="238">
        <v>0.0</v>
      </c>
      <c r="N98" s="238">
        <v>0.0</v>
      </c>
      <c r="O98" s="238">
        <v>0.0</v>
      </c>
      <c r="P98" s="238">
        <v>0.0</v>
      </c>
      <c r="Q98" s="238">
        <v>0.0</v>
      </c>
      <c r="R98" s="238">
        <v>0.0</v>
      </c>
      <c r="S98" s="238">
        <v>7.0</v>
      </c>
      <c r="T98" s="238">
        <v>0.0</v>
      </c>
      <c r="U98" s="235" t="s">
        <v>156</v>
      </c>
      <c r="V98" s="238"/>
    </row>
    <row r="99">
      <c r="A99" s="237">
        <v>46228.0</v>
      </c>
      <c r="B99" s="235" t="s">
        <v>830</v>
      </c>
      <c r="C99" s="235" t="s">
        <v>301</v>
      </c>
      <c r="D99" s="235" t="s">
        <v>35</v>
      </c>
      <c r="E99" s="235" t="s">
        <v>831</v>
      </c>
      <c r="F99" s="235" t="s">
        <v>503</v>
      </c>
      <c r="G99" s="238">
        <v>7.0</v>
      </c>
      <c r="H99" s="238">
        <v>0.0</v>
      </c>
      <c r="I99" s="238">
        <v>0.0</v>
      </c>
      <c r="J99" s="238">
        <v>0.0</v>
      </c>
      <c r="K99" s="238">
        <v>0.0</v>
      </c>
      <c r="L99" s="238">
        <v>0.0</v>
      </c>
      <c r="M99" s="238">
        <v>0.0</v>
      </c>
      <c r="N99" s="238">
        <v>0.0</v>
      </c>
      <c r="O99" s="238">
        <v>0.0</v>
      </c>
      <c r="P99" s="238">
        <v>0.0</v>
      </c>
      <c r="Q99" s="238">
        <v>0.0</v>
      </c>
      <c r="R99" s="238">
        <v>0.0</v>
      </c>
      <c r="S99" s="238">
        <v>7.0</v>
      </c>
      <c r="T99" s="238">
        <v>0.0</v>
      </c>
      <c r="U99" s="235" t="s">
        <v>546</v>
      </c>
      <c r="V99" s="238"/>
    </row>
    <row r="100">
      <c r="A100" s="237">
        <v>46228.0</v>
      </c>
      <c r="B100" s="235" t="s">
        <v>855</v>
      </c>
      <c r="C100" s="235" t="s">
        <v>259</v>
      </c>
      <c r="D100" s="235" t="s">
        <v>15</v>
      </c>
      <c r="E100" s="235" t="s">
        <v>856</v>
      </c>
      <c r="F100" s="235" t="s">
        <v>503</v>
      </c>
      <c r="G100" s="238">
        <v>1.0</v>
      </c>
      <c r="H100" s="238">
        <v>0.0</v>
      </c>
      <c r="I100" s="238">
        <v>0.0</v>
      </c>
      <c r="J100" s="238">
        <v>0.0</v>
      </c>
      <c r="K100" s="238">
        <v>0.0</v>
      </c>
      <c r="L100" s="238">
        <v>0.0</v>
      </c>
      <c r="M100" s="238">
        <v>0.0</v>
      </c>
      <c r="N100" s="238">
        <v>0.0</v>
      </c>
      <c r="O100" s="238">
        <v>0.0</v>
      </c>
      <c r="P100" s="238">
        <v>0.0</v>
      </c>
      <c r="Q100" s="238">
        <v>0.0</v>
      </c>
      <c r="R100" s="238">
        <v>0.0</v>
      </c>
      <c r="S100" s="238">
        <v>1.0</v>
      </c>
      <c r="T100" s="238">
        <v>0.0</v>
      </c>
      <c r="U100" s="235" t="s">
        <v>5</v>
      </c>
      <c r="V100" s="231"/>
    </row>
    <row r="101">
      <c r="A101" s="237">
        <v>46228.0</v>
      </c>
      <c r="B101" s="235" t="s">
        <v>855</v>
      </c>
      <c r="C101" s="235" t="s">
        <v>259</v>
      </c>
      <c r="D101" s="235" t="s">
        <v>15</v>
      </c>
      <c r="E101" s="235" t="s">
        <v>856</v>
      </c>
      <c r="F101" s="235" t="s">
        <v>503</v>
      </c>
      <c r="G101" s="238">
        <v>12.0</v>
      </c>
      <c r="H101" s="238">
        <v>0.0</v>
      </c>
      <c r="I101" s="238">
        <v>0.0</v>
      </c>
      <c r="J101" s="238">
        <v>0.0</v>
      </c>
      <c r="K101" s="238">
        <v>0.0</v>
      </c>
      <c r="L101" s="238">
        <v>0.0</v>
      </c>
      <c r="M101" s="238">
        <v>0.0</v>
      </c>
      <c r="N101" s="238">
        <v>0.0</v>
      </c>
      <c r="O101" s="238">
        <v>0.0</v>
      </c>
      <c r="P101" s="238">
        <v>0.0</v>
      </c>
      <c r="Q101" s="238">
        <v>0.0</v>
      </c>
      <c r="R101" s="238">
        <v>0.0</v>
      </c>
      <c r="S101" s="238">
        <v>12.0</v>
      </c>
      <c r="T101" s="238">
        <v>0.0</v>
      </c>
      <c r="U101" s="235" t="s">
        <v>9</v>
      </c>
      <c r="V101" s="238"/>
    </row>
    <row r="102">
      <c r="A102" s="237">
        <v>46228.0</v>
      </c>
      <c r="B102" s="235" t="s">
        <v>855</v>
      </c>
      <c r="C102" s="235" t="s">
        <v>259</v>
      </c>
      <c r="D102" s="235" t="s">
        <v>15</v>
      </c>
      <c r="E102" s="235" t="s">
        <v>856</v>
      </c>
      <c r="F102" s="235" t="s">
        <v>503</v>
      </c>
      <c r="G102" s="238">
        <v>11.0</v>
      </c>
      <c r="H102" s="238">
        <v>0.0</v>
      </c>
      <c r="I102" s="238">
        <v>0.0</v>
      </c>
      <c r="J102" s="238">
        <v>0.0</v>
      </c>
      <c r="K102" s="238">
        <v>0.0</v>
      </c>
      <c r="L102" s="238">
        <v>0.0</v>
      </c>
      <c r="M102" s="238">
        <v>0.0</v>
      </c>
      <c r="N102" s="238">
        <v>0.0</v>
      </c>
      <c r="O102" s="238">
        <v>0.0</v>
      </c>
      <c r="P102" s="238">
        <v>0.0</v>
      </c>
      <c r="Q102" s="238">
        <v>0.0</v>
      </c>
      <c r="R102" s="238">
        <v>0.0</v>
      </c>
      <c r="S102" s="238">
        <v>11.0</v>
      </c>
      <c r="T102" s="238">
        <v>0.0</v>
      </c>
      <c r="U102" s="235" t="s">
        <v>11</v>
      </c>
      <c r="V102" s="238"/>
    </row>
    <row r="103">
      <c r="A103" s="237">
        <v>46228.0</v>
      </c>
      <c r="B103" s="235" t="s">
        <v>855</v>
      </c>
      <c r="C103" s="235" t="s">
        <v>259</v>
      </c>
      <c r="D103" s="235" t="s">
        <v>15</v>
      </c>
      <c r="E103" s="235" t="s">
        <v>856</v>
      </c>
      <c r="F103" s="235" t="s">
        <v>503</v>
      </c>
      <c r="G103" s="238">
        <v>10.0</v>
      </c>
      <c r="H103" s="238">
        <v>0.0</v>
      </c>
      <c r="I103" s="238">
        <v>0.0</v>
      </c>
      <c r="J103" s="238">
        <v>0.0</v>
      </c>
      <c r="K103" s="238">
        <v>0.0</v>
      </c>
      <c r="L103" s="238">
        <v>0.0</v>
      </c>
      <c r="M103" s="238">
        <v>0.0</v>
      </c>
      <c r="N103" s="238">
        <v>0.0</v>
      </c>
      <c r="O103" s="238">
        <v>0.0</v>
      </c>
      <c r="P103" s="238">
        <v>0.0</v>
      </c>
      <c r="Q103" s="238">
        <v>0.0</v>
      </c>
      <c r="R103" s="238">
        <v>0.0</v>
      </c>
      <c r="S103" s="238">
        <v>10.0</v>
      </c>
      <c r="T103" s="238">
        <v>0.0</v>
      </c>
      <c r="U103" s="235" t="s">
        <v>16</v>
      </c>
      <c r="V103" s="238"/>
    </row>
    <row r="104">
      <c r="A104" s="237">
        <v>46228.0</v>
      </c>
      <c r="B104" s="235" t="s">
        <v>855</v>
      </c>
      <c r="C104" s="235" t="s">
        <v>259</v>
      </c>
      <c r="D104" s="235" t="s">
        <v>15</v>
      </c>
      <c r="E104" s="235" t="s">
        <v>856</v>
      </c>
      <c r="F104" s="235" t="s">
        <v>503</v>
      </c>
      <c r="G104" s="238">
        <v>2.0</v>
      </c>
      <c r="H104" s="238">
        <v>0.0</v>
      </c>
      <c r="I104" s="238">
        <v>0.0</v>
      </c>
      <c r="J104" s="238">
        <v>0.0</v>
      </c>
      <c r="K104" s="238">
        <v>0.0</v>
      </c>
      <c r="L104" s="238">
        <v>0.0</v>
      </c>
      <c r="M104" s="238">
        <v>0.0</v>
      </c>
      <c r="N104" s="238">
        <v>0.0</v>
      </c>
      <c r="O104" s="238">
        <v>0.0</v>
      </c>
      <c r="P104" s="238">
        <v>0.0</v>
      </c>
      <c r="Q104" s="238">
        <v>0.0</v>
      </c>
      <c r="R104" s="238">
        <v>0.0</v>
      </c>
      <c r="S104" s="238">
        <v>2.0</v>
      </c>
      <c r="T104" s="238">
        <v>0.0</v>
      </c>
      <c r="U104" s="235" t="s">
        <v>155</v>
      </c>
      <c r="V104" s="238"/>
    </row>
    <row r="105">
      <c r="A105" s="237">
        <v>46228.0</v>
      </c>
      <c r="B105" s="235" t="s">
        <v>855</v>
      </c>
      <c r="C105" s="235" t="s">
        <v>259</v>
      </c>
      <c r="D105" s="235" t="s">
        <v>15</v>
      </c>
      <c r="E105" s="235" t="s">
        <v>856</v>
      </c>
      <c r="F105" s="235" t="s">
        <v>503</v>
      </c>
      <c r="G105" s="238">
        <v>2.0</v>
      </c>
      <c r="H105" s="238">
        <v>0.0</v>
      </c>
      <c r="I105" s="238">
        <v>0.0</v>
      </c>
      <c r="J105" s="238">
        <v>0.0</v>
      </c>
      <c r="K105" s="238">
        <v>2.0</v>
      </c>
      <c r="L105" s="238">
        <v>0.0</v>
      </c>
      <c r="M105" s="238">
        <v>0.0</v>
      </c>
      <c r="N105" s="238">
        <v>0.0</v>
      </c>
      <c r="O105" s="238">
        <v>0.0</v>
      </c>
      <c r="P105" s="238">
        <v>0.0</v>
      </c>
      <c r="Q105" s="238">
        <v>0.0</v>
      </c>
      <c r="R105" s="238">
        <v>0.0</v>
      </c>
      <c r="S105" s="238">
        <v>4.0</v>
      </c>
      <c r="T105" s="238">
        <v>0.0</v>
      </c>
      <c r="U105" s="235" t="s">
        <v>533</v>
      </c>
      <c r="V105" s="231"/>
    </row>
    <row r="106">
      <c r="A106" s="237">
        <v>46228.0</v>
      </c>
      <c r="B106" s="235" t="s">
        <v>855</v>
      </c>
      <c r="C106" s="235" t="s">
        <v>259</v>
      </c>
      <c r="D106" s="235" t="s">
        <v>15</v>
      </c>
      <c r="E106" s="235" t="s">
        <v>856</v>
      </c>
      <c r="F106" s="235" t="s">
        <v>503</v>
      </c>
      <c r="G106" s="238">
        <v>4.0</v>
      </c>
      <c r="H106" s="238">
        <v>0.0</v>
      </c>
      <c r="I106" s="238">
        <v>0.0</v>
      </c>
      <c r="J106" s="238">
        <v>0.0</v>
      </c>
      <c r="K106" s="238">
        <v>0.0</v>
      </c>
      <c r="L106" s="238">
        <v>0.0</v>
      </c>
      <c r="M106" s="238">
        <v>0.0</v>
      </c>
      <c r="N106" s="238">
        <v>0.0</v>
      </c>
      <c r="O106" s="238">
        <v>0.0</v>
      </c>
      <c r="P106" s="238">
        <v>0.0</v>
      </c>
      <c r="Q106" s="238">
        <v>0.0</v>
      </c>
      <c r="R106" s="238">
        <v>0.0</v>
      </c>
      <c r="S106" s="238">
        <v>4.0</v>
      </c>
      <c r="T106" s="238">
        <v>0.0</v>
      </c>
      <c r="U106" s="235" t="s">
        <v>13</v>
      </c>
      <c r="V106" s="231"/>
    </row>
    <row r="107">
      <c r="A107" s="237">
        <v>46228.0</v>
      </c>
      <c r="B107" s="235" t="s">
        <v>855</v>
      </c>
      <c r="C107" s="235" t="s">
        <v>259</v>
      </c>
      <c r="D107" s="235" t="s">
        <v>15</v>
      </c>
      <c r="E107" s="235" t="s">
        <v>856</v>
      </c>
      <c r="F107" s="235" t="s">
        <v>503</v>
      </c>
      <c r="G107" s="238">
        <v>3.0</v>
      </c>
      <c r="H107" s="238">
        <v>0.0</v>
      </c>
      <c r="I107" s="238">
        <v>0.0</v>
      </c>
      <c r="J107" s="238">
        <v>0.0</v>
      </c>
      <c r="K107" s="238">
        <v>0.0</v>
      </c>
      <c r="L107" s="238">
        <v>0.0</v>
      </c>
      <c r="M107" s="238">
        <v>0.0</v>
      </c>
      <c r="N107" s="238">
        <v>0.0</v>
      </c>
      <c r="O107" s="238">
        <v>0.0</v>
      </c>
      <c r="P107" s="238">
        <v>0.0</v>
      </c>
      <c r="Q107" s="238">
        <v>0.0</v>
      </c>
      <c r="R107" s="238">
        <v>0.0</v>
      </c>
      <c r="S107" s="238">
        <v>3.0</v>
      </c>
      <c r="T107" s="238">
        <v>0.0</v>
      </c>
      <c r="U107" s="235" t="s">
        <v>14</v>
      </c>
      <c r="V107" s="231"/>
    </row>
    <row r="108">
      <c r="A108" s="237">
        <v>46228.0</v>
      </c>
      <c r="B108" s="235" t="s">
        <v>855</v>
      </c>
      <c r="C108" s="235" t="s">
        <v>259</v>
      </c>
      <c r="D108" s="235" t="s">
        <v>15</v>
      </c>
      <c r="E108" s="235" t="s">
        <v>856</v>
      </c>
      <c r="F108" s="235" t="s">
        <v>503</v>
      </c>
      <c r="G108" s="238">
        <v>5.0</v>
      </c>
      <c r="H108" s="238">
        <v>0.0</v>
      </c>
      <c r="I108" s="238">
        <v>0.0</v>
      </c>
      <c r="J108" s="238">
        <v>0.0</v>
      </c>
      <c r="K108" s="238">
        <v>0.0</v>
      </c>
      <c r="L108" s="238">
        <v>0.0</v>
      </c>
      <c r="M108" s="238">
        <v>0.0</v>
      </c>
      <c r="N108" s="238">
        <v>0.0</v>
      </c>
      <c r="O108" s="238">
        <v>0.0</v>
      </c>
      <c r="P108" s="238">
        <v>0.0</v>
      </c>
      <c r="Q108" s="238">
        <v>0.0</v>
      </c>
      <c r="R108" s="238">
        <v>0.0</v>
      </c>
      <c r="S108" s="238">
        <v>5.0</v>
      </c>
      <c r="T108" s="238">
        <v>0.0</v>
      </c>
      <c r="U108" s="235" t="s">
        <v>18</v>
      </c>
      <c r="V108" s="231"/>
    </row>
    <row r="109">
      <c r="A109" s="237">
        <v>46228.0</v>
      </c>
      <c r="B109" s="235" t="s">
        <v>855</v>
      </c>
      <c r="C109" s="235" t="s">
        <v>259</v>
      </c>
      <c r="D109" s="235" t="s">
        <v>15</v>
      </c>
      <c r="E109" s="235" t="s">
        <v>856</v>
      </c>
      <c r="F109" s="235" t="s">
        <v>503</v>
      </c>
      <c r="G109" s="238">
        <v>13.0</v>
      </c>
      <c r="H109" s="238">
        <v>0.0</v>
      </c>
      <c r="I109" s="238">
        <v>0.0</v>
      </c>
      <c r="J109" s="238">
        <v>0.0</v>
      </c>
      <c r="K109" s="238">
        <v>0.0</v>
      </c>
      <c r="L109" s="238">
        <v>0.0</v>
      </c>
      <c r="M109" s="238">
        <v>0.0</v>
      </c>
      <c r="N109" s="238">
        <v>0.0</v>
      </c>
      <c r="O109" s="238">
        <v>0.0</v>
      </c>
      <c r="P109" s="238">
        <v>0.0</v>
      </c>
      <c r="Q109" s="238">
        <v>0.0</v>
      </c>
      <c r="R109" s="238">
        <v>0.0</v>
      </c>
      <c r="S109" s="238">
        <v>13.0</v>
      </c>
      <c r="T109" s="238">
        <v>0.0</v>
      </c>
      <c r="U109" s="235" t="s">
        <v>20</v>
      </c>
      <c r="V109" s="238"/>
    </row>
    <row r="110">
      <c r="A110" s="237">
        <v>46228.0</v>
      </c>
      <c r="B110" s="235" t="s">
        <v>855</v>
      </c>
      <c r="C110" s="235" t="s">
        <v>259</v>
      </c>
      <c r="D110" s="235" t="s">
        <v>15</v>
      </c>
      <c r="E110" s="235" t="s">
        <v>856</v>
      </c>
      <c r="F110" s="235" t="s">
        <v>503</v>
      </c>
      <c r="G110" s="238">
        <v>8.0</v>
      </c>
      <c r="H110" s="238">
        <v>0.0</v>
      </c>
      <c r="I110" s="238">
        <v>0.0</v>
      </c>
      <c r="J110" s="238">
        <v>0.0</v>
      </c>
      <c r="K110" s="238">
        <v>0.0</v>
      </c>
      <c r="L110" s="238">
        <v>0.0</v>
      </c>
      <c r="M110" s="238">
        <v>0.0</v>
      </c>
      <c r="N110" s="238">
        <v>0.0</v>
      </c>
      <c r="O110" s="238">
        <v>0.0</v>
      </c>
      <c r="P110" s="238">
        <v>0.0</v>
      </c>
      <c r="Q110" s="238">
        <v>0.0</v>
      </c>
      <c r="R110" s="238">
        <v>0.0</v>
      </c>
      <c r="S110" s="238">
        <v>8.0</v>
      </c>
      <c r="T110" s="238">
        <v>0.0</v>
      </c>
      <c r="U110" s="235" t="s">
        <v>156</v>
      </c>
      <c r="V110" s="231"/>
    </row>
    <row r="111">
      <c r="A111" s="237">
        <v>46228.0</v>
      </c>
      <c r="B111" s="235" t="s">
        <v>855</v>
      </c>
      <c r="C111" s="235" t="s">
        <v>259</v>
      </c>
      <c r="D111" s="235" t="s">
        <v>15</v>
      </c>
      <c r="E111" s="235" t="s">
        <v>856</v>
      </c>
      <c r="F111" s="235" t="s">
        <v>503</v>
      </c>
      <c r="G111" s="238">
        <v>20.0</v>
      </c>
      <c r="H111" s="238">
        <v>0.0</v>
      </c>
      <c r="I111" s="238">
        <v>0.0</v>
      </c>
      <c r="J111" s="238">
        <v>0.0</v>
      </c>
      <c r="K111" s="238">
        <v>0.0</v>
      </c>
      <c r="L111" s="238">
        <v>0.0</v>
      </c>
      <c r="M111" s="238">
        <v>0.0</v>
      </c>
      <c r="N111" s="238">
        <v>0.0</v>
      </c>
      <c r="O111" s="238">
        <v>0.0</v>
      </c>
      <c r="P111" s="238">
        <v>0.0</v>
      </c>
      <c r="Q111" s="238">
        <v>0.0</v>
      </c>
      <c r="R111" s="238">
        <v>0.0</v>
      </c>
      <c r="S111" s="238">
        <v>20.0</v>
      </c>
      <c r="T111" s="238">
        <v>0.0</v>
      </c>
      <c r="U111" s="235" t="s">
        <v>546</v>
      </c>
      <c r="V111" s="231"/>
    </row>
    <row r="112">
      <c r="A112" s="237">
        <v>46228.0</v>
      </c>
      <c r="B112" s="235" t="s">
        <v>918</v>
      </c>
      <c r="C112" s="235" t="s">
        <v>410</v>
      </c>
      <c r="D112" s="235" t="s">
        <v>25</v>
      </c>
      <c r="E112" s="235" t="s">
        <v>919</v>
      </c>
      <c r="F112" s="235" t="s">
        <v>503</v>
      </c>
      <c r="G112" s="238">
        <v>1.0</v>
      </c>
      <c r="H112" s="238">
        <v>0.0</v>
      </c>
      <c r="I112" s="238">
        <v>0.0</v>
      </c>
      <c r="J112" s="238">
        <v>0.0</v>
      </c>
      <c r="K112" s="238">
        <v>0.0</v>
      </c>
      <c r="L112" s="238">
        <v>0.0</v>
      </c>
      <c r="M112" s="238">
        <v>0.0</v>
      </c>
      <c r="N112" s="238">
        <v>0.0</v>
      </c>
      <c r="O112" s="238">
        <v>0.0</v>
      </c>
      <c r="P112" s="238">
        <v>0.0</v>
      </c>
      <c r="Q112" s="238">
        <v>0.0</v>
      </c>
      <c r="R112" s="238">
        <v>0.0</v>
      </c>
      <c r="S112" s="238">
        <v>1.0</v>
      </c>
      <c r="T112" s="238">
        <v>0.0</v>
      </c>
      <c r="U112" s="235" t="s">
        <v>5</v>
      </c>
      <c r="V112" s="231"/>
    </row>
    <row r="113">
      <c r="A113" s="237">
        <v>46228.0</v>
      </c>
      <c r="B113" s="235" t="s">
        <v>918</v>
      </c>
      <c r="C113" s="235" t="s">
        <v>410</v>
      </c>
      <c r="D113" s="235" t="s">
        <v>25</v>
      </c>
      <c r="E113" s="235" t="s">
        <v>919</v>
      </c>
      <c r="F113" s="235" t="s">
        <v>503</v>
      </c>
      <c r="G113" s="238">
        <v>1.0</v>
      </c>
      <c r="H113" s="238">
        <v>0.0</v>
      </c>
      <c r="I113" s="238">
        <v>0.0</v>
      </c>
      <c r="J113" s="238">
        <v>0.0</v>
      </c>
      <c r="K113" s="238">
        <v>0.0</v>
      </c>
      <c r="L113" s="238">
        <v>0.0</v>
      </c>
      <c r="M113" s="238">
        <v>0.0</v>
      </c>
      <c r="N113" s="238">
        <v>0.0</v>
      </c>
      <c r="O113" s="238">
        <v>0.0</v>
      </c>
      <c r="P113" s="238">
        <v>0.0</v>
      </c>
      <c r="Q113" s="238">
        <v>0.0</v>
      </c>
      <c r="R113" s="238">
        <v>0.0</v>
      </c>
      <c r="S113" s="238">
        <v>1.0</v>
      </c>
      <c r="T113" s="238">
        <v>0.0</v>
      </c>
      <c r="U113" s="235" t="s">
        <v>11</v>
      </c>
      <c r="V113" s="238"/>
    </row>
    <row r="114">
      <c r="A114" s="237">
        <v>46228.0</v>
      </c>
      <c r="B114" s="235" t="s">
        <v>918</v>
      </c>
      <c r="C114" s="235" t="s">
        <v>410</v>
      </c>
      <c r="D114" s="235" t="s">
        <v>25</v>
      </c>
      <c r="E114" s="235" t="s">
        <v>919</v>
      </c>
      <c r="F114" s="235" t="s">
        <v>503</v>
      </c>
      <c r="G114" s="238">
        <v>7.0</v>
      </c>
      <c r="H114" s="238">
        <v>0.0</v>
      </c>
      <c r="I114" s="238">
        <v>0.0</v>
      </c>
      <c r="J114" s="238">
        <v>0.0</v>
      </c>
      <c r="K114" s="238">
        <v>0.0</v>
      </c>
      <c r="L114" s="238">
        <v>0.0</v>
      </c>
      <c r="M114" s="238">
        <v>0.0</v>
      </c>
      <c r="N114" s="238">
        <v>0.0</v>
      </c>
      <c r="O114" s="238">
        <v>0.0</v>
      </c>
      <c r="P114" s="238">
        <v>0.0</v>
      </c>
      <c r="Q114" s="238">
        <v>0.0</v>
      </c>
      <c r="R114" s="238">
        <v>0.0</v>
      </c>
      <c r="S114" s="238">
        <v>7.0</v>
      </c>
      <c r="T114" s="238">
        <v>0.0</v>
      </c>
      <c r="U114" s="235" t="s">
        <v>16</v>
      </c>
      <c r="V114" s="231"/>
    </row>
    <row r="115">
      <c r="A115" s="237">
        <v>46228.0</v>
      </c>
      <c r="B115" s="235" t="s">
        <v>918</v>
      </c>
      <c r="C115" s="235" t="s">
        <v>410</v>
      </c>
      <c r="D115" s="235" t="s">
        <v>25</v>
      </c>
      <c r="E115" s="235" t="s">
        <v>919</v>
      </c>
      <c r="F115" s="235" t="s">
        <v>503</v>
      </c>
      <c r="G115" s="238">
        <v>8.0</v>
      </c>
      <c r="H115" s="238">
        <v>0.0</v>
      </c>
      <c r="I115" s="238">
        <v>0.0</v>
      </c>
      <c r="J115" s="238">
        <v>-1.0</v>
      </c>
      <c r="K115" s="238">
        <v>0.0</v>
      </c>
      <c r="L115" s="238">
        <v>0.0</v>
      </c>
      <c r="M115" s="238">
        <v>0.0</v>
      </c>
      <c r="N115" s="238">
        <v>0.0</v>
      </c>
      <c r="O115" s="238">
        <v>0.0</v>
      </c>
      <c r="P115" s="238">
        <v>0.0</v>
      </c>
      <c r="Q115" s="238">
        <v>0.0</v>
      </c>
      <c r="R115" s="238">
        <v>0.0</v>
      </c>
      <c r="S115" s="238">
        <v>7.0</v>
      </c>
      <c r="T115" s="238">
        <v>0.0</v>
      </c>
      <c r="U115" s="235" t="s">
        <v>155</v>
      </c>
      <c r="V115" s="236"/>
    </row>
    <row r="116">
      <c r="A116" s="237">
        <v>46228.0</v>
      </c>
      <c r="B116" s="235" t="s">
        <v>918</v>
      </c>
      <c r="C116" s="235" t="s">
        <v>410</v>
      </c>
      <c r="D116" s="235" t="s">
        <v>25</v>
      </c>
      <c r="E116" s="235" t="s">
        <v>919</v>
      </c>
      <c r="F116" s="235" t="s">
        <v>503</v>
      </c>
      <c r="G116" s="238">
        <v>7.0</v>
      </c>
      <c r="H116" s="238">
        <v>0.0</v>
      </c>
      <c r="I116" s="238">
        <v>0.0</v>
      </c>
      <c r="J116" s="238">
        <v>0.0</v>
      </c>
      <c r="K116" s="238">
        <v>0.0</v>
      </c>
      <c r="L116" s="238">
        <v>0.0</v>
      </c>
      <c r="M116" s="238">
        <v>0.0</v>
      </c>
      <c r="N116" s="238">
        <v>0.0</v>
      </c>
      <c r="O116" s="238">
        <v>0.0</v>
      </c>
      <c r="P116" s="238">
        <v>0.0</v>
      </c>
      <c r="Q116" s="238">
        <v>0.0</v>
      </c>
      <c r="R116" s="238">
        <v>0.0</v>
      </c>
      <c r="S116" s="238">
        <v>7.0</v>
      </c>
      <c r="T116" s="238">
        <v>0.0</v>
      </c>
      <c r="U116" s="235" t="s">
        <v>13</v>
      </c>
      <c r="V116" s="231"/>
    </row>
    <row r="117">
      <c r="A117" s="237">
        <v>46228.0</v>
      </c>
      <c r="B117" s="235" t="s">
        <v>918</v>
      </c>
      <c r="C117" s="235" t="s">
        <v>410</v>
      </c>
      <c r="D117" s="235" t="s">
        <v>25</v>
      </c>
      <c r="E117" s="235" t="s">
        <v>919</v>
      </c>
      <c r="F117" s="235" t="s">
        <v>503</v>
      </c>
      <c r="G117" s="238">
        <v>9.0</v>
      </c>
      <c r="H117" s="238">
        <v>0.0</v>
      </c>
      <c r="I117" s="238">
        <v>0.0</v>
      </c>
      <c r="J117" s="238">
        <v>0.0</v>
      </c>
      <c r="K117" s="238">
        <v>0.0</v>
      </c>
      <c r="L117" s="238">
        <v>0.0</v>
      </c>
      <c r="M117" s="238">
        <v>0.0</v>
      </c>
      <c r="N117" s="238">
        <v>0.0</v>
      </c>
      <c r="O117" s="238">
        <v>0.0</v>
      </c>
      <c r="P117" s="238">
        <v>0.0</v>
      </c>
      <c r="Q117" s="238">
        <v>0.0</v>
      </c>
      <c r="R117" s="238">
        <v>0.0</v>
      </c>
      <c r="S117" s="238">
        <v>9.0</v>
      </c>
      <c r="T117" s="238">
        <v>0.0</v>
      </c>
      <c r="U117" s="235" t="s">
        <v>20</v>
      </c>
      <c r="V117" s="231"/>
    </row>
    <row r="118">
      <c r="A118" s="237">
        <v>46228.0</v>
      </c>
      <c r="B118" s="235" t="s">
        <v>918</v>
      </c>
      <c r="C118" s="235" t="s">
        <v>410</v>
      </c>
      <c r="D118" s="235" t="s">
        <v>25</v>
      </c>
      <c r="E118" s="235" t="s">
        <v>919</v>
      </c>
      <c r="F118" s="235" t="s">
        <v>503</v>
      </c>
      <c r="G118" s="238">
        <v>1.0</v>
      </c>
      <c r="H118" s="238">
        <v>0.0</v>
      </c>
      <c r="I118" s="238">
        <v>0.0</v>
      </c>
      <c r="J118" s="238">
        <v>0.0</v>
      </c>
      <c r="K118" s="238">
        <v>0.0</v>
      </c>
      <c r="L118" s="238">
        <v>0.0</v>
      </c>
      <c r="M118" s="238">
        <v>0.0</v>
      </c>
      <c r="N118" s="238">
        <v>0.0</v>
      </c>
      <c r="O118" s="238">
        <v>0.0</v>
      </c>
      <c r="P118" s="238">
        <v>0.0</v>
      </c>
      <c r="Q118" s="238">
        <v>0.0</v>
      </c>
      <c r="R118" s="238">
        <v>0.0</v>
      </c>
      <c r="S118" s="238">
        <v>1.0</v>
      </c>
      <c r="T118" s="238">
        <v>0.0</v>
      </c>
      <c r="U118" s="235" t="s">
        <v>156</v>
      </c>
      <c r="V118" s="231"/>
    </row>
    <row r="119">
      <c r="A119" s="237">
        <v>46228.0</v>
      </c>
      <c r="B119" s="235" t="s">
        <v>953</v>
      </c>
      <c r="C119" s="235" t="s">
        <v>434</v>
      </c>
      <c r="D119" s="235" t="s">
        <v>31</v>
      </c>
      <c r="E119" s="235" t="s">
        <v>954</v>
      </c>
      <c r="F119" s="235" t="s">
        <v>503</v>
      </c>
      <c r="G119" s="238">
        <v>1.0</v>
      </c>
      <c r="H119" s="238">
        <v>0.0</v>
      </c>
      <c r="I119" s="238">
        <v>0.0</v>
      </c>
      <c r="J119" s="238">
        <v>0.0</v>
      </c>
      <c r="K119" s="238">
        <v>0.0</v>
      </c>
      <c r="L119" s="238">
        <v>0.0</v>
      </c>
      <c r="M119" s="238">
        <v>0.0</v>
      </c>
      <c r="N119" s="238">
        <v>0.0</v>
      </c>
      <c r="O119" s="238">
        <v>0.0</v>
      </c>
      <c r="P119" s="238">
        <v>0.0</v>
      </c>
      <c r="Q119" s="238">
        <v>0.0</v>
      </c>
      <c r="R119" s="238">
        <v>0.0</v>
      </c>
      <c r="S119" s="238">
        <v>1.0</v>
      </c>
      <c r="T119" s="238">
        <v>0.0</v>
      </c>
      <c r="U119" s="235" t="s">
        <v>16</v>
      </c>
      <c r="V119" s="231"/>
    </row>
    <row r="120">
      <c r="A120" s="237">
        <v>46228.0</v>
      </c>
      <c r="B120" s="235" t="s">
        <v>953</v>
      </c>
      <c r="C120" s="235" t="s">
        <v>434</v>
      </c>
      <c r="D120" s="235" t="s">
        <v>31</v>
      </c>
      <c r="E120" s="235" t="s">
        <v>954</v>
      </c>
      <c r="F120" s="235" t="s">
        <v>503</v>
      </c>
      <c r="G120" s="238">
        <v>1.0</v>
      </c>
      <c r="H120" s="238">
        <v>0.0</v>
      </c>
      <c r="I120" s="238">
        <v>0.0</v>
      </c>
      <c r="J120" s="238">
        <v>-1.0</v>
      </c>
      <c r="K120" s="238">
        <v>0.0</v>
      </c>
      <c r="L120" s="238">
        <v>0.0</v>
      </c>
      <c r="M120" s="238">
        <v>0.0</v>
      </c>
      <c r="N120" s="238">
        <v>0.0</v>
      </c>
      <c r="O120" s="238">
        <v>0.0</v>
      </c>
      <c r="P120" s="238">
        <v>0.0</v>
      </c>
      <c r="Q120" s="238">
        <v>0.0</v>
      </c>
      <c r="R120" s="238">
        <v>0.0</v>
      </c>
      <c r="S120" s="238">
        <v>0.0</v>
      </c>
      <c r="T120" s="238">
        <v>0.0</v>
      </c>
      <c r="U120" s="235" t="s">
        <v>13</v>
      </c>
      <c r="V120" s="238"/>
    </row>
    <row r="121">
      <c r="A121" s="237">
        <v>46228.0</v>
      </c>
      <c r="B121" s="235" t="s">
        <v>953</v>
      </c>
      <c r="C121" s="235" t="s">
        <v>434</v>
      </c>
      <c r="D121" s="235" t="s">
        <v>31</v>
      </c>
      <c r="E121" s="235" t="s">
        <v>954</v>
      </c>
      <c r="F121" s="235" t="s">
        <v>503</v>
      </c>
      <c r="G121" s="238">
        <v>3.0</v>
      </c>
      <c r="H121" s="238">
        <v>0.0</v>
      </c>
      <c r="I121" s="238">
        <v>0.0</v>
      </c>
      <c r="J121" s="238">
        <v>0.0</v>
      </c>
      <c r="K121" s="238">
        <v>0.0</v>
      </c>
      <c r="L121" s="238">
        <v>0.0</v>
      </c>
      <c r="M121" s="238">
        <v>0.0</v>
      </c>
      <c r="N121" s="238">
        <v>0.0</v>
      </c>
      <c r="O121" s="238">
        <v>0.0</v>
      </c>
      <c r="P121" s="238">
        <v>0.0</v>
      </c>
      <c r="Q121" s="238">
        <v>0.0</v>
      </c>
      <c r="R121" s="238">
        <v>0.0</v>
      </c>
      <c r="S121" s="238">
        <v>3.0</v>
      </c>
      <c r="T121" s="238">
        <v>0.0</v>
      </c>
      <c r="U121" s="235" t="s">
        <v>20</v>
      </c>
      <c r="V121" s="238"/>
    </row>
    <row r="122">
      <c r="A122" s="237">
        <v>46228.0</v>
      </c>
      <c r="B122" s="235" t="s">
        <v>973</v>
      </c>
      <c r="C122" s="235" t="s">
        <v>352</v>
      </c>
      <c r="D122" s="235" t="s">
        <v>23</v>
      </c>
      <c r="E122" s="235" t="s">
        <v>974</v>
      </c>
      <c r="F122" s="235" t="s">
        <v>503</v>
      </c>
      <c r="G122" s="238">
        <v>1.0</v>
      </c>
      <c r="H122" s="238">
        <v>0.0</v>
      </c>
      <c r="I122" s="238">
        <v>0.0</v>
      </c>
      <c r="J122" s="238">
        <v>0.0</v>
      </c>
      <c r="K122" s="238">
        <v>0.0</v>
      </c>
      <c r="L122" s="238">
        <v>0.0</v>
      </c>
      <c r="M122" s="238">
        <v>0.0</v>
      </c>
      <c r="N122" s="238">
        <v>0.0</v>
      </c>
      <c r="O122" s="238">
        <v>0.0</v>
      </c>
      <c r="P122" s="238">
        <v>0.0</v>
      </c>
      <c r="Q122" s="238">
        <v>0.0</v>
      </c>
      <c r="R122" s="238">
        <v>0.0</v>
      </c>
      <c r="S122" s="238">
        <v>1.0</v>
      </c>
      <c r="T122" s="238">
        <v>0.0</v>
      </c>
      <c r="U122" s="235" t="s">
        <v>5</v>
      </c>
      <c r="V122" s="238"/>
    </row>
    <row r="123">
      <c r="A123" s="237">
        <v>46228.0</v>
      </c>
      <c r="B123" s="235" t="s">
        <v>973</v>
      </c>
      <c r="C123" s="235" t="s">
        <v>352</v>
      </c>
      <c r="D123" s="235" t="s">
        <v>23</v>
      </c>
      <c r="E123" s="235" t="s">
        <v>974</v>
      </c>
      <c r="F123" s="235" t="s">
        <v>503</v>
      </c>
      <c r="G123" s="238">
        <v>3.0</v>
      </c>
      <c r="H123" s="238">
        <v>0.0</v>
      </c>
      <c r="I123" s="238">
        <v>0.0</v>
      </c>
      <c r="J123" s="238">
        <v>0.0</v>
      </c>
      <c r="K123" s="238">
        <v>0.0</v>
      </c>
      <c r="L123" s="238">
        <v>0.0</v>
      </c>
      <c r="M123" s="238">
        <v>0.0</v>
      </c>
      <c r="N123" s="238">
        <v>0.0</v>
      </c>
      <c r="O123" s="238">
        <v>0.0</v>
      </c>
      <c r="P123" s="238">
        <v>0.0</v>
      </c>
      <c r="Q123" s="238">
        <v>0.0</v>
      </c>
      <c r="R123" s="238">
        <v>0.0</v>
      </c>
      <c r="S123" s="238">
        <v>3.0</v>
      </c>
      <c r="T123" s="238">
        <v>0.0</v>
      </c>
      <c r="U123" s="235" t="s">
        <v>11</v>
      </c>
      <c r="V123" s="231"/>
    </row>
    <row r="124">
      <c r="A124" s="237">
        <v>46228.0</v>
      </c>
      <c r="B124" s="235" t="s">
        <v>973</v>
      </c>
      <c r="C124" s="235" t="s">
        <v>352</v>
      </c>
      <c r="D124" s="235" t="s">
        <v>23</v>
      </c>
      <c r="E124" s="235" t="s">
        <v>974</v>
      </c>
      <c r="F124" s="235" t="s">
        <v>503</v>
      </c>
      <c r="G124" s="238">
        <v>1.0</v>
      </c>
      <c r="H124" s="238">
        <v>0.0</v>
      </c>
      <c r="I124" s="238">
        <v>0.0</v>
      </c>
      <c r="J124" s="238">
        <v>0.0</v>
      </c>
      <c r="K124" s="238">
        <v>0.0</v>
      </c>
      <c r="L124" s="238">
        <v>0.0</v>
      </c>
      <c r="M124" s="238">
        <v>0.0</v>
      </c>
      <c r="N124" s="238">
        <v>0.0</v>
      </c>
      <c r="O124" s="238">
        <v>0.0</v>
      </c>
      <c r="P124" s="238">
        <v>0.0</v>
      </c>
      <c r="Q124" s="238">
        <v>0.0</v>
      </c>
      <c r="R124" s="238">
        <v>0.0</v>
      </c>
      <c r="S124" s="238">
        <v>1.0</v>
      </c>
      <c r="T124" s="238">
        <v>0.0</v>
      </c>
      <c r="U124" s="235" t="s">
        <v>16</v>
      </c>
      <c r="V124" s="231"/>
    </row>
    <row r="125">
      <c r="A125" s="237">
        <v>46228.0</v>
      </c>
      <c r="B125" s="235" t="s">
        <v>973</v>
      </c>
      <c r="C125" s="235" t="s">
        <v>352</v>
      </c>
      <c r="D125" s="235" t="s">
        <v>23</v>
      </c>
      <c r="E125" s="235" t="s">
        <v>974</v>
      </c>
      <c r="F125" s="235" t="s">
        <v>503</v>
      </c>
      <c r="G125" s="238">
        <v>1.0</v>
      </c>
      <c r="H125" s="238">
        <v>0.0</v>
      </c>
      <c r="I125" s="238">
        <v>0.0</v>
      </c>
      <c r="J125" s="238">
        <v>0.0</v>
      </c>
      <c r="K125" s="238">
        <v>0.0</v>
      </c>
      <c r="L125" s="238">
        <v>0.0</v>
      </c>
      <c r="M125" s="238">
        <v>0.0</v>
      </c>
      <c r="N125" s="238">
        <v>0.0</v>
      </c>
      <c r="O125" s="238">
        <v>0.0</v>
      </c>
      <c r="P125" s="238">
        <v>0.0</v>
      </c>
      <c r="Q125" s="238">
        <v>0.0</v>
      </c>
      <c r="R125" s="238">
        <v>0.0</v>
      </c>
      <c r="S125" s="238">
        <v>1.0</v>
      </c>
      <c r="T125" s="238">
        <v>0.0</v>
      </c>
      <c r="U125" s="235" t="s">
        <v>533</v>
      </c>
      <c r="V125" s="231"/>
    </row>
    <row r="126">
      <c r="A126" s="237">
        <v>46228.0</v>
      </c>
      <c r="B126" s="235" t="s">
        <v>973</v>
      </c>
      <c r="C126" s="235" t="s">
        <v>352</v>
      </c>
      <c r="D126" s="235" t="s">
        <v>23</v>
      </c>
      <c r="E126" s="235" t="s">
        <v>974</v>
      </c>
      <c r="F126" s="235" t="s">
        <v>503</v>
      </c>
      <c r="G126" s="238">
        <v>3.0</v>
      </c>
      <c r="H126" s="238">
        <v>0.0</v>
      </c>
      <c r="I126" s="238">
        <v>0.0</v>
      </c>
      <c r="J126" s="238">
        <v>0.0</v>
      </c>
      <c r="K126" s="238">
        <v>0.0</v>
      </c>
      <c r="L126" s="238">
        <v>0.0</v>
      </c>
      <c r="M126" s="238">
        <v>0.0</v>
      </c>
      <c r="N126" s="238">
        <v>0.0</v>
      </c>
      <c r="O126" s="238">
        <v>0.0</v>
      </c>
      <c r="P126" s="238">
        <v>0.0</v>
      </c>
      <c r="Q126" s="238">
        <v>0.0</v>
      </c>
      <c r="R126" s="238">
        <v>0.0</v>
      </c>
      <c r="S126" s="238">
        <v>3.0</v>
      </c>
      <c r="T126" s="238">
        <v>0.0</v>
      </c>
      <c r="U126" s="235" t="s">
        <v>14</v>
      </c>
      <c r="V126" s="238"/>
    </row>
    <row r="127">
      <c r="A127" s="237">
        <v>46228.0</v>
      </c>
      <c r="B127" s="235" t="s">
        <v>973</v>
      </c>
      <c r="C127" s="235" t="s">
        <v>352</v>
      </c>
      <c r="D127" s="235" t="s">
        <v>23</v>
      </c>
      <c r="E127" s="235" t="s">
        <v>974</v>
      </c>
      <c r="F127" s="235" t="s">
        <v>503</v>
      </c>
      <c r="G127" s="238">
        <v>3.0</v>
      </c>
      <c r="H127" s="238">
        <v>0.0</v>
      </c>
      <c r="I127" s="238">
        <v>0.0</v>
      </c>
      <c r="J127" s="238">
        <v>0.0</v>
      </c>
      <c r="K127" s="238">
        <v>0.0</v>
      </c>
      <c r="L127" s="238">
        <v>0.0</v>
      </c>
      <c r="M127" s="238">
        <v>0.0</v>
      </c>
      <c r="N127" s="238">
        <v>0.0</v>
      </c>
      <c r="O127" s="238">
        <v>0.0</v>
      </c>
      <c r="P127" s="238">
        <v>0.0</v>
      </c>
      <c r="Q127" s="238">
        <v>0.0</v>
      </c>
      <c r="R127" s="238">
        <v>0.0</v>
      </c>
      <c r="S127" s="238">
        <v>3.0</v>
      </c>
      <c r="T127" s="238">
        <v>0.0</v>
      </c>
      <c r="U127" s="235" t="s">
        <v>20</v>
      </c>
      <c r="V127" s="236"/>
    </row>
    <row r="128">
      <c r="A128" s="237">
        <v>46228.0</v>
      </c>
      <c r="B128" s="235" t="s">
        <v>973</v>
      </c>
      <c r="C128" s="235" t="s">
        <v>352</v>
      </c>
      <c r="D128" s="235" t="s">
        <v>23</v>
      </c>
      <c r="E128" s="235" t="s">
        <v>974</v>
      </c>
      <c r="F128" s="235" t="s">
        <v>503</v>
      </c>
      <c r="G128" s="238">
        <v>1.0</v>
      </c>
      <c r="H128" s="238">
        <v>0.0</v>
      </c>
      <c r="I128" s="238">
        <v>0.0</v>
      </c>
      <c r="J128" s="238">
        <v>0.0</v>
      </c>
      <c r="K128" s="238">
        <v>0.0</v>
      </c>
      <c r="L128" s="238">
        <v>0.0</v>
      </c>
      <c r="M128" s="238">
        <v>0.0</v>
      </c>
      <c r="N128" s="238">
        <v>0.0</v>
      </c>
      <c r="O128" s="238">
        <v>0.0</v>
      </c>
      <c r="P128" s="238">
        <v>0.0</v>
      </c>
      <c r="Q128" s="238">
        <v>0.0</v>
      </c>
      <c r="R128" s="238">
        <v>0.0</v>
      </c>
      <c r="S128" s="238">
        <v>1.0</v>
      </c>
      <c r="T128" s="238">
        <v>0.0</v>
      </c>
      <c r="U128" s="235" t="s">
        <v>156</v>
      </c>
      <c r="V128" s="238"/>
    </row>
    <row r="129">
      <c r="A129" s="237">
        <v>46228.0</v>
      </c>
      <c r="B129" s="235" t="s">
        <v>1008</v>
      </c>
      <c r="C129" s="235" t="s">
        <v>421</v>
      </c>
      <c r="D129" s="235" t="s">
        <v>33</v>
      </c>
      <c r="E129" s="235" t="s">
        <v>1009</v>
      </c>
      <c r="F129" s="235" t="s">
        <v>503</v>
      </c>
      <c r="G129" s="238">
        <v>1.0</v>
      </c>
      <c r="H129" s="238">
        <v>0.0</v>
      </c>
      <c r="I129" s="238">
        <v>0.0</v>
      </c>
      <c r="J129" s="238">
        <v>0.0</v>
      </c>
      <c r="K129" s="238">
        <v>0.0</v>
      </c>
      <c r="L129" s="238">
        <v>0.0</v>
      </c>
      <c r="M129" s="238">
        <v>0.0</v>
      </c>
      <c r="N129" s="238">
        <v>0.0</v>
      </c>
      <c r="O129" s="238">
        <v>0.0</v>
      </c>
      <c r="P129" s="238">
        <v>0.0</v>
      </c>
      <c r="Q129" s="238">
        <v>0.0</v>
      </c>
      <c r="R129" s="238">
        <v>0.0</v>
      </c>
      <c r="S129" s="238">
        <v>1.0</v>
      </c>
      <c r="T129" s="238">
        <v>0.0</v>
      </c>
      <c r="U129" s="235" t="s">
        <v>5</v>
      </c>
      <c r="V129" s="231"/>
    </row>
    <row r="130">
      <c r="A130" s="237">
        <v>46228.0</v>
      </c>
      <c r="B130" s="235" t="s">
        <v>1008</v>
      </c>
      <c r="C130" s="235" t="s">
        <v>421</v>
      </c>
      <c r="D130" s="235" t="s">
        <v>33</v>
      </c>
      <c r="E130" s="235" t="s">
        <v>1009</v>
      </c>
      <c r="F130" s="235" t="s">
        <v>503</v>
      </c>
      <c r="G130" s="238">
        <v>1.0</v>
      </c>
      <c r="H130" s="238">
        <v>0.0</v>
      </c>
      <c r="I130" s="238">
        <v>0.0</v>
      </c>
      <c r="J130" s="238">
        <v>0.0</v>
      </c>
      <c r="K130" s="238">
        <v>0.0</v>
      </c>
      <c r="L130" s="238">
        <v>0.0</v>
      </c>
      <c r="M130" s="238">
        <v>0.0</v>
      </c>
      <c r="N130" s="238">
        <v>0.0</v>
      </c>
      <c r="O130" s="238">
        <v>0.0</v>
      </c>
      <c r="P130" s="238">
        <v>0.0</v>
      </c>
      <c r="Q130" s="238">
        <v>0.0</v>
      </c>
      <c r="R130" s="238">
        <v>0.0</v>
      </c>
      <c r="S130" s="238">
        <v>1.0</v>
      </c>
      <c r="T130" s="238">
        <v>0.0</v>
      </c>
      <c r="U130" s="235" t="s">
        <v>9</v>
      </c>
      <c r="V130" s="238"/>
    </row>
    <row r="131">
      <c r="A131" s="237">
        <v>46228.0</v>
      </c>
      <c r="B131" s="235" t="s">
        <v>1008</v>
      </c>
      <c r="C131" s="235" t="s">
        <v>421</v>
      </c>
      <c r="D131" s="235" t="s">
        <v>33</v>
      </c>
      <c r="E131" s="235" t="s">
        <v>1009</v>
      </c>
      <c r="F131" s="235" t="s">
        <v>503</v>
      </c>
      <c r="G131" s="238">
        <v>4.0</v>
      </c>
      <c r="H131" s="238">
        <v>0.0</v>
      </c>
      <c r="I131" s="238">
        <v>0.0</v>
      </c>
      <c r="J131" s="238">
        <v>0.0</v>
      </c>
      <c r="K131" s="238">
        <v>0.0</v>
      </c>
      <c r="L131" s="238">
        <v>0.0</v>
      </c>
      <c r="M131" s="238">
        <v>0.0</v>
      </c>
      <c r="N131" s="238">
        <v>0.0</v>
      </c>
      <c r="O131" s="238">
        <v>0.0</v>
      </c>
      <c r="P131" s="238">
        <v>0.0</v>
      </c>
      <c r="Q131" s="238">
        <v>0.0</v>
      </c>
      <c r="R131" s="238">
        <v>0.0</v>
      </c>
      <c r="S131" s="238">
        <v>4.0</v>
      </c>
      <c r="T131" s="238">
        <v>0.0</v>
      </c>
      <c r="U131" s="235" t="s">
        <v>11</v>
      </c>
      <c r="V131" s="231"/>
    </row>
    <row r="132">
      <c r="A132" s="237">
        <v>46228.0</v>
      </c>
      <c r="B132" s="235" t="s">
        <v>1008</v>
      </c>
      <c r="C132" s="235" t="s">
        <v>421</v>
      </c>
      <c r="D132" s="235" t="s">
        <v>33</v>
      </c>
      <c r="E132" s="235" t="s">
        <v>1009</v>
      </c>
      <c r="F132" s="235" t="s">
        <v>503</v>
      </c>
      <c r="G132" s="238">
        <v>1.0</v>
      </c>
      <c r="H132" s="238">
        <v>0.0</v>
      </c>
      <c r="I132" s="238">
        <v>0.0</v>
      </c>
      <c r="J132" s="238">
        <v>0.0</v>
      </c>
      <c r="K132" s="238">
        <v>0.0</v>
      </c>
      <c r="L132" s="238">
        <v>0.0</v>
      </c>
      <c r="M132" s="238">
        <v>0.0</v>
      </c>
      <c r="N132" s="238">
        <v>0.0</v>
      </c>
      <c r="O132" s="238">
        <v>0.0</v>
      </c>
      <c r="P132" s="238">
        <v>0.0</v>
      </c>
      <c r="Q132" s="238">
        <v>0.0</v>
      </c>
      <c r="R132" s="238">
        <v>0.0</v>
      </c>
      <c r="S132" s="238">
        <v>1.0</v>
      </c>
      <c r="T132" s="238">
        <v>0.0</v>
      </c>
      <c r="U132" s="235" t="s">
        <v>16</v>
      </c>
      <c r="V132" s="238"/>
    </row>
    <row r="133">
      <c r="A133" s="237">
        <v>46228.0</v>
      </c>
      <c r="B133" s="235" t="s">
        <v>1008</v>
      </c>
      <c r="C133" s="235" t="s">
        <v>421</v>
      </c>
      <c r="D133" s="235" t="s">
        <v>33</v>
      </c>
      <c r="E133" s="235" t="s">
        <v>1009</v>
      </c>
      <c r="F133" s="235" t="s">
        <v>503</v>
      </c>
      <c r="G133" s="238">
        <v>1.0</v>
      </c>
      <c r="H133" s="238">
        <v>0.0</v>
      </c>
      <c r="I133" s="238">
        <v>0.0</v>
      </c>
      <c r="J133" s="238">
        <v>-1.0</v>
      </c>
      <c r="K133" s="238">
        <v>0.0</v>
      </c>
      <c r="L133" s="238">
        <v>0.0</v>
      </c>
      <c r="M133" s="238">
        <v>0.0</v>
      </c>
      <c r="N133" s="238">
        <v>0.0</v>
      </c>
      <c r="O133" s="238">
        <v>0.0</v>
      </c>
      <c r="P133" s="238">
        <v>0.0</v>
      </c>
      <c r="Q133" s="238">
        <v>0.0</v>
      </c>
      <c r="R133" s="238">
        <v>0.0</v>
      </c>
      <c r="S133" s="238">
        <v>0.0</v>
      </c>
      <c r="T133" s="238">
        <v>0.0</v>
      </c>
      <c r="U133" s="235" t="s">
        <v>13</v>
      </c>
      <c r="V133" s="238"/>
    </row>
    <row r="134">
      <c r="A134" s="237">
        <v>46228.0</v>
      </c>
      <c r="B134" s="235" t="s">
        <v>1008</v>
      </c>
      <c r="C134" s="235" t="s">
        <v>421</v>
      </c>
      <c r="D134" s="235" t="s">
        <v>33</v>
      </c>
      <c r="E134" s="235" t="s">
        <v>1009</v>
      </c>
      <c r="F134" s="235" t="s">
        <v>503</v>
      </c>
      <c r="G134" s="238">
        <v>0.0</v>
      </c>
      <c r="H134" s="238">
        <v>0.0</v>
      </c>
      <c r="I134" s="238">
        <v>0.0</v>
      </c>
      <c r="J134" s="238">
        <v>0.0</v>
      </c>
      <c r="K134" s="238">
        <v>0.0</v>
      </c>
      <c r="L134" s="238">
        <v>0.0</v>
      </c>
      <c r="M134" s="238">
        <v>1.0</v>
      </c>
      <c r="N134" s="238">
        <v>0.0</v>
      </c>
      <c r="O134" s="238">
        <v>0.0</v>
      </c>
      <c r="P134" s="238">
        <v>0.0</v>
      </c>
      <c r="Q134" s="238">
        <v>0.0</v>
      </c>
      <c r="R134" s="238">
        <v>0.0</v>
      </c>
      <c r="S134" s="238">
        <v>1.0</v>
      </c>
      <c r="T134" s="238">
        <v>0.0</v>
      </c>
      <c r="U134" s="235" t="s">
        <v>14</v>
      </c>
      <c r="V134" s="231"/>
    </row>
    <row r="135">
      <c r="A135" s="237">
        <v>46228.0</v>
      </c>
      <c r="B135" s="235" t="s">
        <v>1008</v>
      </c>
      <c r="C135" s="235" t="s">
        <v>421</v>
      </c>
      <c r="D135" s="235" t="s">
        <v>33</v>
      </c>
      <c r="E135" s="235" t="s">
        <v>1009</v>
      </c>
      <c r="F135" s="235" t="s">
        <v>503</v>
      </c>
      <c r="G135" s="238">
        <v>5.0</v>
      </c>
      <c r="H135" s="238">
        <v>0.0</v>
      </c>
      <c r="I135" s="238">
        <v>0.0</v>
      </c>
      <c r="J135" s="238">
        <v>0.0</v>
      </c>
      <c r="K135" s="238">
        <v>0.0</v>
      </c>
      <c r="L135" s="238">
        <v>0.0</v>
      </c>
      <c r="M135" s="238">
        <v>0.0</v>
      </c>
      <c r="N135" s="238">
        <v>0.0</v>
      </c>
      <c r="O135" s="238">
        <v>0.0</v>
      </c>
      <c r="P135" s="238">
        <v>0.0</v>
      </c>
      <c r="Q135" s="238">
        <v>0.0</v>
      </c>
      <c r="R135" s="238">
        <v>0.0</v>
      </c>
      <c r="S135" s="238">
        <v>5.0</v>
      </c>
      <c r="T135" s="238">
        <v>0.0</v>
      </c>
      <c r="U135" s="235" t="s">
        <v>20</v>
      </c>
      <c r="V135" s="231"/>
    </row>
    <row r="136">
      <c r="A136" s="237">
        <v>46228.0</v>
      </c>
      <c r="B136" s="235" t="s">
        <v>1008</v>
      </c>
      <c r="C136" s="235" t="s">
        <v>421</v>
      </c>
      <c r="D136" s="235" t="s">
        <v>33</v>
      </c>
      <c r="E136" s="235" t="s">
        <v>1009</v>
      </c>
      <c r="F136" s="235" t="s">
        <v>503</v>
      </c>
      <c r="G136" s="238">
        <v>1.0</v>
      </c>
      <c r="H136" s="238">
        <v>0.0</v>
      </c>
      <c r="I136" s="238">
        <v>0.0</v>
      </c>
      <c r="J136" s="238">
        <v>0.0</v>
      </c>
      <c r="K136" s="238">
        <v>0.0</v>
      </c>
      <c r="L136" s="238">
        <v>0.0</v>
      </c>
      <c r="M136" s="238">
        <v>0.0</v>
      </c>
      <c r="N136" s="238">
        <v>0.0</v>
      </c>
      <c r="O136" s="238">
        <v>0.0</v>
      </c>
      <c r="P136" s="238">
        <v>0.0</v>
      </c>
      <c r="Q136" s="238">
        <v>0.0</v>
      </c>
      <c r="R136" s="238">
        <v>0.0</v>
      </c>
      <c r="S136" s="238">
        <v>1.0</v>
      </c>
      <c r="T136" s="238">
        <v>0.0</v>
      </c>
      <c r="U136" s="235" t="s">
        <v>156</v>
      </c>
      <c r="V136" s="238"/>
    </row>
    <row r="137">
      <c r="A137" s="237">
        <v>46228.0</v>
      </c>
      <c r="B137" s="235" t="s">
        <v>1047</v>
      </c>
      <c r="C137" s="235" t="s">
        <v>1048</v>
      </c>
      <c r="D137" s="235" t="s">
        <v>34</v>
      </c>
      <c r="E137" s="235" t="s">
        <v>1050</v>
      </c>
      <c r="F137" s="235" t="s">
        <v>503</v>
      </c>
      <c r="G137" s="238">
        <v>1.0</v>
      </c>
      <c r="H137" s="238">
        <v>0.0</v>
      </c>
      <c r="I137" s="238">
        <v>0.0</v>
      </c>
      <c r="J137" s="238">
        <v>0.0</v>
      </c>
      <c r="K137" s="238">
        <v>0.0</v>
      </c>
      <c r="L137" s="238">
        <v>0.0</v>
      </c>
      <c r="M137" s="238">
        <v>0.0</v>
      </c>
      <c r="N137" s="238">
        <v>0.0</v>
      </c>
      <c r="O137" s="238">
        <v>0.0</v>
      </c>
      <c r="P137" s="238">
        <v>0.0</v>
      </c>
      <c r="Q137" s="238">
        <v>0.0</v>
      </c>
      <c r="R137" s="238">
        <v>0.0</v>
      </c>
      <c r="S137" s="238">
        <v>1.0</v>
      </c>
      <c r="T137" s="238">
        <v>0.0</v>
      </c>
      <c r="U137" s="235" t="s">
        <v>5</v>
      </c>
      <c r="V137" s="236"/>
    </row>
    <row r="138">
      <c r="A138" s="237">
        <v>46228.0</v>
      </c>
      <c r="B138" s="235" t="s">
        <v>1047</v>
      </c>
      <c r="C138" s="235" t="s">
        <v>1048</v>
      </c>
      <c r="D138" s="235" t="s">
        <v>34</v>
      </c>
      <c r="E138" s="235" t="s">
        <v>1050</v>
      </c>
      <c r="F138" s="235" t="s">
        <v>503</v>
      </c>
      <c r="G138" s="238">
        <v>2.0</v>
      </c>
      <c r="H138" s="238">
        <v>0.0</v>
      </c>
      <c r="I138" s="238">
        <v>0.0</v>
      </c>
      <c r="J138" s="238">
        <v>0.0</v>
      </c>
      <c r="K138" s="238">
        <v>0.0</v>
      </c>
      <c r="L138" s="238">
        <v>0.0</v>
      </c>
      <c r="M138" s="238">
        <v>0.0</v>
      </c>
      <c r="N138" s="238">
        <v>0.0</v>
      </c>
      <c r="O138" s="238">
        <v>0.0</v>
      </c>
      <c r="P138" s="238">
        <v>0.0</v>
      </c>
      <c r="Q138" s="238">
        <v>0.0</v>
      </c>
      <c r="R138" s="238">
        <v>0.0</v>
      </c>
      <c r="S138" s="238">
        <v>2.0</v>
      </c>
      <c r="T138" s="238">
        <v>0.0</v>
      </c>
      <c r="U138" s="235" t="s">
        <v>155</v>
      </c>
      <c r="V138" s="238"/>
    </row>
    <row r="139">
      <c r="A139" s="237">
        <v>46228.0</v>
      </c>
      <c r="B139" s="235" t="s">
        <v>1047</v>
      </c>
      <c r="C139" s="235" t="s">
        <v>1048</v>
      </c>
      <c r="D139" s="235" t="s">
        <v>34</v>
      </c>
      <c r="E139" s="235" t="s">
        <v>1050</v>
      </c>
      <c r="F139" s="235" t="s">
        <v>503</v>
      </c>
      <c r="G139" s="238">
        <v>2.0</v>
      </c>
      <c r="H139" s="238">
        <v>0.0</v>
      </c>
      <c r="I139" s="238">
        <v>0.0</v>
      </c>
      <c r="J139" s="238">
        <v>0.0</v>
      </c>
      <c r="K139" s="238">
        <v>0.0</v>
      </c>
      <c r="L139" s="238">
        <v>0.0</v>
      </c>
      <c r="M139" s="238">
        <v>0.0</v>
      </c>
      <c r="N139" s="238">
        <v>0.0</v>
      </c>
      <c r="O139" s="238">
        <v>0.0</v>
      </c>
      <c r="P139" s="238">
        <v>0.0</v>
      </c>
      <c r="Q139" s="238">
        <v>0.0</v>
      </c>
      <c r="R139" s="238">
        <v>0.0</v>
      </c>
      <c r="S139" s="238">
        <v>2.0</v>
      </c>
      <c r="T139" s="238">
        <v>0.0</v>
      </c>
      <c r="U139" s="235" t="s">
        <v>14</v>
      </c>
      <c r="V139" s="236"/>
    </row>
    <row r="140">
      <c r="A140" s="237">
        <v>46228.0</v>
      </c>
      <c r="B140" s="235" t="s">
        <v>1047</v>
      </c>
      <c r="C140" s="235" t="s">
        <v>1048</v>
      </c>
      <c r="D140" s="235" t="s">
        <v>34</v>
      </c>
      <c r="E140" s="235" t="s">
        <v>1050</v>
      </c>
      <c r="F140" s="235" t="s">
        <v>503</v>
      </c>
      <c r="G140" s="238">
        <v>1.0</v>
      </c>
      <c r="H140" s="238">
        <v>0.0</v>
      </c>
      <c r="I140" s="238">
        <v>0.0</v>
      </c>
      <c r="J140" s="238">
        <v>0.0</v>
      </c>
      <c r="K140" s="238">
        <v>0.0</v>
      </c>
      <c r="L140" s="238">
        <v>0.0</v>
      </c>
      <c r="M140" s="238">
        <v>0.0</v>
      </c>
      <c r="N140" s="238">
        <v>0.0</v>
      </c>
      <c r="O140" s="238">
        <v>0.0</v>
      </c>
      <c r="P140" s="238">
        <v>0.0</v>
      </c>
      <c r="Q140" s="238">
        <v>0.0</v>
      </c>
      <c r="R140" s="238">
        <v>0.0</v>
      </c>
      <c r="S140" s="238">
        <v>1.0</v>
      </c>
      <c r="T140" s="238">
        <v>0.0</v>
      </c>
      <c r="U140" s="235" t="s">
        <v>20</v>
      </c>
      <c r="V140" s="231"/>
    </row>
    <row r="141">
      <c r="A141" s="237">
        <v>46228.0</v>
      </c>
      <c r="B141" s="235" t="s">
        <v>1067</v>
      </c>
      <c r="C141" s="235" t="s">
        <v>459</v>
      </c>
      <c r="D141" s="235" t="s">
        <v>147</v>
      </c>
      <c r="E141" s="235" t="s">
        <v>1068</v>
      </c>
      <c r="F141" s="235" t="s">
        <v>503</v>
      </c>
      <c r="G141" s="238">
        <v>9.0</v>
      </c>
      <c r="H141" s="238">
        <v>0.0</v>
      </c>
      <c r="I141" s="238">
        <v>0.0</v>
      </c>
      <c r="J141" s="238">
        <v>0.0</v>
      </c>
      <c r="K141" s="238">
        <v>0.0</v>
      </c>
      <c r="L141" s="238">
        <v>0.0</v>
      </c>
      <c r="M141" s="238">
        <v>0.0</v>
      </c>
      <c r="N141" s="238">
        <v>0.0</v>
      </c>
      <c r="O141" s="238">
        <v>0.0</v>
      </c>
      <c r="P141" s="238">
        <v>0.0</v>
      </c>
      <c r="Q141" s="238">
        <v>0.0</v>
      </c>
      <c r="R141" s="238">
        <v>0.0</v>
      </c>
      <c r="S141" s="238">
        <v>9.0</v>
      </c>
      <c r="T141" s="238">
        <v>0.0</v>
      </c>
      <c r="U141" s="235" t="s">
        <v>9</v>
      </c>
      <c r="V141" s="231"/>
    </row>
    <row r="142">
      <c r="A142" s="237">
        <v>46228.0</v>
      </c>
      <c r="B142" s="235" t="s">
        <v>1067</v>
      </c>
      <c r="C142" s="235" t="s">
        <v>459</v>
      </c>
      <c r="D142" s="235" t="s">
        <v>147</v>
      </c>
      <c r="E142" s="235" t="s">
        <v>1068</v>
      </c>
      <c r="F142" s="235" t="s">
        <v>503</v>
      </c>
      <c r="G142" s="238">
        <v>2.0</v>
      </c>
      <c r="H142" s="238">
        <v>0.0</v>
      </c>
      <c r="I142" s="238">
        <v>0.0</v>
      </c>
      <c r="J142" s="238">
        <v>0.0</v>
      </c>
      <c r="K142" s="238">
        <v>0.0</v>
      </c>
      <c r="L142" s="238">
        <v>0.0</v>
      </c>
      <c r="M142" s="238">
        <v>0.0</v>
      </c>
      <c r="N142" s="238">
        <v>0.0</v>
      </c>
      <c r="O142" s="238">
        <v>0.0</v>
      </c>
      <c r="P142" s="238">
        <v>0.0</v>
      </c>
      <c r="Q142" s="238">
        <v>0.0</v>
      </c>
      <c r="R142" s="238">
        <v>0.0</v>
      </c>
      <c r="S142" s="238">
        <v>2.0</v>
      </c>
      <c r="T142" s="238">
        <v>0.0</v>
      </c>
      <c r="U142" s="235" t="s">
        <v>155</v>
      </c>
      <c r="V142" s="238"/>
    </row>
    <row r="143">
      <c r="A143" s="237">
        <v>46228.0</v>
      </c>
      <c r="B143" s="235" t="s">
        <v>1067</v>
      </c>
      <c r="C143" s="235" t="s">
        <v>459</v>
      </c>
      <c r="D143" s="235" t="s">
        <v>147</v>
      </c>
      <c r="E143" s="235" t="s">
        <v>1068</v>
      </c>
      <c r="F143" s="235" t="s">
        <v>503</v>
      </c>
      <c r="G143" s="238">
        <v>1.0</v>
      </c>
      <c r="H143" s="238">
        <v>0.0</v>
      </c>
      <c r="I143" s="238">
        <v>0.0</v>
      </c>
      <c r="J143" s="238">
        <v>0.0</v>
      </c>
      <c r="K143" s="238">
        <v>0.0</v>
      </c>
      <c r="L143" s="238">
        <v>0.0</v>
      </c>
      <c r="M143" s="238">
        <v>0.0</v>
      </c>
      <c r="N143" s="238">
        <v>0.0</v>
      </c>
      <c r="O143" s="238">
        <v>0.0</v>
      </c>
      <c r="P143" s="238">
        <v>0.0</v>
      </c>
      <c r="Q143" s="238">
        <v>0.0</v>
      </c>
      <c r="R143" s="238">
        <v>0.0</v>
      </c>
      <c r="S143" s="238">
        <v>1.0</v>
      </c>
      <c r="T143" s="238">
        <v>0.0</v>
      </c>
      <c r="U143" s="235" t="s">
        <v>14</v>
      </c>
      <c r="V143" s="238"/>
    </row>
    <row r="144">
      <c r="A144" s="237">
        <v>46228.0</v>
      </c>
      <c r="B144" s="235" t="s">
        <v>1067</v>
      </c>
      <c r="C144" s="235" t="s">
        <v>459</v>
      </c>
      <c r="D144" s="235" t="s">
        <v>147</v>
      </c>
      <c r="E144" s="235" t="s">
        <v>1068</v>
      </c>
      <c r="F144" s="235" t="s">
        <v>503</v>
      </c>
      <c r="G144" s="238">
        <v>7.0</v>
      </c>
      <c r="H144" s="238">
        <v>0.0</v>
      </c>
      <c r="I144" s="238">
        <v>0.0</v>
      </c>
      <c r="J144" s="238">
        <v>0.0</v>
      </c>
      <c r="K144" s="238">
        <v>0.0</v>
      </c>
      <c r="L144" s="238">
        <v>0.0</v>
      </c>
      <c r="M144" s="238">
        <v>0.0</v>
      </c>
      <c r="N144" s="238">
        <v>0.0</v>
      </c>
      <c r="O144" s="238">
        <v>0.0</v>
      </c>
      <c r="P144" s="238">
        <v>0.0</v>
      </c>
      <c r="Q144" s="238">
        <v>0.0</v>
      </c>
      <c r="R144" s="238">
        <v>0.0</v>
      </c>
      <c r="S144" s="238">
        <v>7.0</v>
      </c>
      <c r="T144" s="238">
        <v>0.0</v>
      </c>
      <c r="U144" s="235" t="s">
        <v>20</v>
      </c>
      <c r="V144" s="231"/>
    </row>
    <row r="145">
      <c r="A145" s="237">
        <v>46228.0</v>
      </c>
      <c r="B145" s="235" t="s">
        <v>1067</v>
      </c>
      <c r="C145" s="235" t="s">
        <v>459</v>
      </c>
      <c r="D145" s="235" t="s">
        <v>147</v>
      </c>
      <c r="E145" s="235" t="s">
        <v>1068</v>
      </c>
      <c r="F145" s="235" t="s">
        <v>503</v>
      </c>
      <c r="G145" s="238">
        <v>2.0</v>
      </c>
      <c r="H145" s="238">
        <v>0.0</v>
      </c>
      <c r="I145" s="238">
        <v>0.0</v>
      </c>
      <c r="J145" s="238">
        <v>0.0</v>
      </c>
      <c r="K145" s="238">
        <v>0.0</v>
      </c>
      <c r="L145" s="238">
        <v>0.0</v>
      </c>
      <c r="M145" s="238">
        <v>0.0</v>
      </c>
      <c r="N145" s="238">
        <v>0.0</v>
      </c>
      <c r="O145" s="238">
        <v>0.0</v>
      </c>
      <c r="P145" s="238">
        <v>0.0</v>
      </c>
      <c r="Q145" s="238">
        <v>0.0</v>
      </c>
      <c r="R145" s="238">
        <v>0.0</v>
      </c>
      <c r="S145" s="238">
        <v>2.0</v>
      </c>
      <c r="T145" s="238">
        <v>0.0</v>
      </c>
      <c r="U145" s="235" t="s">
        <v>156</v>
      </c>
      <c r="V145" s="231"/>
    </row>
    <row r="146">
      <c r="A146" s="237">
        <v>46228.0</v>
      </c>
      <c r="B146" s="235" t="s">
        <v>1096</v>
      </c>
      <c r="C146" s="235" t="s">
        <v>437</v>
      </c>
      <c r="D146" s="235" t="s">
        <v>146</v>
      </c>
      <c r="E146" s="235" t="s">
        <v>438</v>
      </c>
      <c r="F146" s="235" t="s">
        <v>503</v>
      </c>
      <c r="G146" s="238">
        <v>1.0</v>
      </c>
      <c r="H146" s="238">
        <v>0.0</v>
      </c>
      <c r="I146" s="238">
        <v>0.0</v>
      </c>
      <c r="J146" s="238">
        <v>0.0</v>
      </c>
      <c r="K146" s="238">
        <v>0.0</v>
      </c>
      <c r="L146" s="238">
        <v>0.0</v>
      </c>
      <c r="M146" s="238">
        <v>0.0</v>
      </c>
      <c r="N146" s="238">
        <v>0.0</v>
      </c>
      <c r="O146" s="238">
        <v>0.0</v>
      </c>
      <c r="P146" s="238">
        <v>0.0</v>
      </c>
      <c r="Q146" s="238">
        <v>0.0</v>
      </c>
      <c r="R146" s="238">
        <v>0.0</v>
      </c>
      <c r="S146" s="238">
        <v>1.0</v>
      </c>
      <c r="T146" s="238">
        <v>0.0</v>
      </c>
      <c r="U146" s="235" t="s">
        <v>5</v>
      </c>
      <c r="V146" s="238"/>
    </row>
    <row r="147">
      <c r="A147" s="237">
        <v>46228.0</v>
      </c>
      <c r="B147" s="235" t="s">
        <v>1096</v>
      </c>
      <c r="C147" s="235" t="s">
        <v>437</v>
      </c>
      <c r="D147" s="235" t="s">
        <v>146</v>
      </c>
      <c r="E147" s="235" t="s">
        <v>438</v>
      </c>
      <c r="F147" s="235" t="s">
        <v>503</v>
      </c>
      <c r="G147" s="238">
        <v>18.0</v>
      </c>
      <c r="H147" s="238">
        <v>0.0</v>
      </c>
      <c r="I147" s="238">
        <v>0.0</v>
      </c>
      <c r="J147" s="238">
        <v>0.0</v>
      </c>
      <c r="K147" s="238">
        <v>0.0</v>
      </c>
      <c r="L147" s="238">
        <v>0.0</v>
      </c>
      <c r="M147" s="238">
        <v>0.0</v>
      </c>
      <c r="N147" s="238">
        <v>0.0</v>
      </c>
      <c r="O147" s="238">
        <v>0.0</v>
      </c>
      <c r="P147" s="238">
        <v>0.0</v>
      </c>
      <c r="Q147" s="238">
        <v>0.0</v>
      </c>
      <c r="R147" s="238">
        <v>0.0</v>
      </c>
      <c r="S147" s="238">
        <v>18.0</v>
      </c>
      <c r="T147" s="238">
        <v>0.0</v>
      </c>
      <c r="U147" s="235" t="s">
        <v>16</v>
      </c>
      <c r="V147" s="231"/>
    </row>
    <row r="148">
      <c r="A148" s="237">
        <v>46228.0</v>
      </c>
      <c r="B148" s="235" t="s">
        <v>1096</v>
      </c>
      <c r="C148" s="235" t="s">
        <v>437</v>
      </c>
      <c r="D148" s="235" t="s">
        <v>146</v>
      </c>
      <c r="E148" s="235" t="s">
        <v>438</v>
      </c>
      <c r="F148" s="235" t="s">
        <v>503</v>
      </c>
      <c r="G148" s="238">
        <v>3.0</v>
      </c>
      <c r="H148" s="238">
        <v>0.0</v>
      </c>
      <c r="I148" s="238">
        <v>0.0</v>
      </c>
      <c r="J148" s="238">
        <v>0.0</v>
      </c>
      <c r="K148" s="238">
        <v>0.0</v>
      </c>
      <c r="L148" s="238">
        <v>0.0</v>
      </c>
      <c r="M148" s="238">
        <v>0.0</v>
      </c>
      <c r="N148" s="238">
        <v>0.0</v>
      </c>
      <c r="O148" s="238">
        <v>0.0</v>
      </c>
      <c r="P148" s="238">
        <v>0.0</v>
      </c>
      <c r="Q148" s="238">
        <v>0.0</v>
      </c>
      <c r="R148" s="238">
        <v>0.0</v>
      </c>
      <c r="S148" s="238">
        <v>3.0</v>
      </c>
      <c r="T148" s="238">
        <v>0.0</v>
      </c>
      <c r="U148" s="235" t="s">
        <v>14</v>
      </c>
      <c r="V148" s="238"/>
    </row>
    <row r="149">
      <c r="A149" s="237">
        <v>46228.0</v>
      </c>
      <c r="B149" s="235" t="s">
        <v>1096</v>
      </c>
      <c r="C149" s="235" t="s">
        <v>437</v>
      </c>
      <c r="D149" s="235" t="s">
        <v>146</v>
      </c>
      <c r="E149" s="235" t="s">
        <v>438</v>
      </c>
      <c r="F149" s="235" t="s">
        <v>503</v>
      </c>
      <c r="G149" s="238">
        <v>4.0</v>
      </c>
      <c r="H149" s="238">
        <v>0.0</v>
      </c>
      <c r="I149" s="238">
        <v>0.0</v>
      </c>
      <c r="J149" s="238">
        <v>0.0</v>
      </c>
      <c r="K149" s="238">
        <v>0.0</v>
      </c>
      <c r="L149" s="238">
        <v>0.0</v>
      </c>
      <c r="M149" s="238">
        <v>0.0</v>
      </c>
      <c r="N149" s="238">
        <v>0.0</v>
      </c>
      <c r="O149" s="238">
        <v>0.0</v>
      </c>
      <c r="P149" s="238">
        <v>0.0</v>
      </c>
      <c r="Q149" s="238">
        <v>0.0</v>
      </c>
      <c r="R149" s="238">
        <v>0.0</v>
      </c>
      <c r="S149" s="238">
        <v>4.0</v>
      </c>
      <c r="T149" s="238">
        <v>0.0</v>
      </c>
      <c r="U149" s="235" t="s">
        <v>20</v>
      </c>
      <c r="V149" s="231"/>
    </row>
    <row r="150">
      <c r="A150" s="237">
        <v>46228.0</v>
      </c>
      <c r="B150" s="235" t="s">
        <v>1111</v>
      </c>
      <c r="C150" s="235" t="s">
        <v>309</v>
      </c>
      <c r="D150" s="235" t="s">
        <v>10</v>
      </c>
      <c r="E150" s="235" t="s">
        <v>936</v>
      </c>
      <c r="F150" s="235" t="s">
        <v>503</v>
      </c>
      <c r="G150" s="238">
        <v>3.0</v>
      </c>
      <c r="H150" s="238">
        <v>0.0</v>
      </c>
      <c r="I150" s="238">
        <v>0.0</v>
      </c>
      <c r="J150" s="238">
        <v>0.0</v>
      </c>
      <c r="K150" s="238">
        <v>0.0</v>
      </c>
      <c r="L150" s="238">
        <v>0.0</v>
      </c>
      <c r="M150" s="238">
        <v>0.0</v>
      </c>
      <c r="N150" s="238">
        <v>0.0</v>
      </c>
      <c r="O150" s="238">
        <v>0.0</v>
      </c>
      <c r="P150" s="238">
        <v>0.0</v>
      </c>
      <c r="Q150" s="238">
        <v>0.0</v>
      </c>
      <c r="R150" s="238">
        <v>0.0</v>
      </c>
      <c r="S150" s="238">
        <v>3.0</v>
      </c>
      <c r="T150" s="238">
        <v>0.0</v>
      </c>
      <c r="U150" s="235" t="s">
        <v>9</v>
      </c>
      <c r="V150" s="238"/>
    </row>
    <row r="151">
      <c r="A151" s="237">
        <v>46228.0</v>
      </c>
      <c r="B151" s="235" t="s">
        <v>1111</v>
      </c>
      <c r="C151" s="235" t="s">
        <v>309</v>
      </c>
      <c r="D151" s="235" t="s">
        <v>10</v>
      </c>
      <c r="E151" s="235" t="s">
        <v>936</v>
      </c>
      <c r="F151" s="235" t="s">
        <v>503</v>
      </c>
      <c r="G151" s="238">
        <v>2.0</v>
      </c>
      <c r="H151" s="238">
        <v>0.0</v>
      </c>
      <c r="I151" s="238">
        <v>0.0</v>
      </c>
      <c r="J151" s="238">
        <v>-1.0</v>
      </c>
      <c r="K151" s="238">
        <v>0.0</v>
      </c>
      <c r="L151" s="238">
        <v>0.0</v>
      </c>
      <c r="M151" s="238">
        <v>0.0</v>
      </c>
      <c r="N151" s="238">
        <v>0.0</v>
      </c>
      <c r="O151" s="238">
        <v>0.0</v>
      </c>
      <c r="P151" s="238">
        <v>0.0</v>
      </c>
      <c r="Q151" s="238">
        <v>0.0</v>
      </c>
      <c r="R151" s="238">
        <v>0.0</v>
      </c>
      <c r="S151" s="238">
        <v>1.0</v>
      </c>
      <c r="T151" s="238">
        <v>0.0</v>
      </c>
      <c r="U151" s="235" t="s">
        <v>11</v>
      </c>
      <c r="V151" s="238"/>
    </row>
    <row r="152">
      <c r="A152" s="237">
        <v>46228.0</v>
      </c>
      <c r="B152" s="235" t="s">
        <v>1111</v>
      </c>
      <c r="C152" s="235" t="s">
        <v>309</v>
      </c>
      <c r="D152" s="235" t="s">
        <v>10</v>
      </c>
      <c r="E152" s="235" t="s">
        <v>936</v>
      </c>
      <c r="F152" s="235" t="s">
        <v>503</v>
      </c>
      <c r="G152" s="238">
        <v>1.0</v>
      </c>
      <c r="H152" s="238">
        <v>0.0</v>
      </c>
      <c r="I152" s="238">
        <v>0.0</v>
      </c>
      <c r="J152" s="238">
        <v>0.0</v>
      </c>
      <c r="K152" s="238">
        <v>0.0</v>
      </c>
      <c r="L152" s="238">
        <v>0.0</v>
      </c>
      <c r="M152" s="238">
        <v>0.0</v>
      </c>
      <c r="N152" s="238">
        <v>0.0</v>
      </c>
      <c r="O152" s="238">
        <v>0.0</v>
      </c>
      <c r="P152" s="238">
        <v>0.0</v>
      </c>
      <c r="Q152" s="238">
        <v>0.0</v>
      </c>
      <c r="R152" s="238">
        <v>0.0</v>
      </c>
      <c r="S152" s="238">
        <v>1.0</v>
      </c>
      <c r="T152" s="238">
        <v>0.0</v>
      </c>
      <c r="U152" s="235" t="s">
        <v>16</v>
      </c>
      <c r="V152" s="238"/>
    </row>
    <row r="153">
      <c r="A153" s="237">
        <v>46228.0</v>
      </c>
      <c r="B153" s="235" t="s">
        <v>1111</v>
      </c>
      <c r="C153" s="235" t="s">
        <v>309</v>
      </c>
      <c r="D153" s="235" t="s">
        <v>10</v>
      </c>
      <c r="E153" s="235" t="s">
        <v>936</v>
      </c>
      <c r="F153" s="235" t="s">
        <v>503</v>
      </c>
      <c r="G153" s="238">
        <v>1.0</v>
      </c>
      <c r="H153" s="238">
        <v>0.0</v>
      </c>
      <c r="I153" s="238">
        <v>0.0</v>
      </c>
      <c r="J153" s="238">
        <v>0.0</v>
      </c>
      <c r="K153" s="238">
        <v>0.0</v>
      </c>
      <c r="L153" s="238">
        <v>0.0</v>
      </c>
      <c r="M153" s="238">
        <v>0.0</v>
      </c>
      <c r="N153" s="238">
        <v>0.0</v>
      </c>
      <c r="O153" s="238">
        <v>0.0</v>
      </c>
      <c r="P153" s="238">
        <v>0.0</v>
      </c>
      <c r="Q153" s="238">
        <v>0.0</v>
      </c>
      <c r="R153" s="238">
        <v>0.0</v>
      </c>
      <c r="S153" s="238">
        <v>1.0</v>
      </c>
      <c r="T153" s="238">
        <v>0.0</v>
      </c>
      <c r="U153" s="235" t="s">
        <v>17</v>
      </c>
      <c r="V153" s="238"/>
    </row>
    <row r="154">
      <c r="A154" s="237">
        <v>46228.0</v>
      </c>
      <c r="B154" s="235" t="s">
        <v>1111</v>
      </c>
      <c r="C154" s="235" t="s">
        <v>309</v>
      </c>
      <c r="D154" s="235" t="s">
        <v>10</v>
      </c>
      <c r="E154" s="235" t="s">
        <v>936</v>
      </c>
      <c r="F154" s="235" t="s">
        <v>503</v>
      </c>
      <c r="G154" s="238">
        <v>2.0</v>
      </c>
      <c r="H154" s="238">
        <v>0.0</v>
      </c>
      <c r="I154" s="238">
        <v>0.0</v>
      </c>
      <c r="J154" s="238">
        <v>0.0</v>
      </c>
      <c r="K154" s="238">
        <v>0.0</v>
      </c>
      <c r="L154" s="238">
        <v>0.0</v>
      </c>
      <c r="M154" s="238">
        <v>0.0</v>
      </c>
      <c r="N154" s="238">
        <v>0.0</v>
      </c>
      <c r="O154" s="238">
        <v>0.0</v>
      </c>
      <c r="P154" s="238">
        <v>0.0</v>
      </c>
      <c r="Q154" s="238">
        <v>0.0</v>
      </c>
      <c r="R154" s="238">
        <v>0.0</v>
      </c>
      <c r="S154" s="238">
        <v>2.0</v>
      </c>
      <c r="T154" s="238">
        <v>0.0</v>
      </c>
      <c r="U154" s="235" t="s">
        <v>155</v>
      </c>
      <c r="V154" s="231"/>
    </row>
    <row r="155">
      <c r="A155" s="237">
        <v>46228.0</v>
      </c>
      <c r="B155" s="235" t="s">
        <v>1111</v>
      </c>
      <c r="C155" s="235" t="s">
        <v>309</v>
      </c>
      <c r="D155" s="235" t="s">
        <v>10</v>
      </c>
      <c r="E155" s="235" t="s">
        <v>936</v>
      </c>
      <c r="F155" s="235" t="s">
        <v>503</v>
      </c>
      <c r="G155" s="238">
        <v>1.0</v>
      </c>
      <c r="H155" s="238">
        <v>0.0</v>
      </c>
      <c r="I155" s="238">
        <v>0.0</v>
      </c>
      <c r="J155" s="238">
        <v>0.0</v>
      </c>
      <c r="K155" s="238">
        <v>0.0</v>
      </c>
      <c r="L155" s="238">
        <v>0.0</v>
      </c>
      <c r="M155" s="238">
        <v>0.0</v>
      </c>
      <c r="N155" s="238">
        <v>0.0</v>
      </c>
      <c r="O155" s="238">
        <v>0.0</v>
      </c>
      <c r="P155" s="238">
        <v>0.0</v>
      </c>
      <c r="Q155" s="238">
        <v>0.0</v>
      </c>
      <c r="R155" s="238">
        <v>0.0</v>
      </c>
      <c r="S155" s="238">
        <v>1.0</v>
      </c>
      <c r="T155" s="238">
        <v>0.0</v>
      </c>
      <c r="U155" s="235" t="s">
        <v>533</v>
      </c>
      <c r="V155" s="231"/>
    </row>
    <row r="156">
      <c r="A156" s="237">
        <v>46228.0</v>
      </c>
      <c r="B156" s="235" t="s">
        <v>1111</v>
      </c>
      <c r="C156" s="235" t="s">
        <v>309</v>
      </c>
      <c r="D156" s="235" t="s">
        <v>10</v>
      </c>
      <c r="E156" s="235" t="s">
        <v>936</v>
      </c>
      <c r="F156" s="235" t="s">
        <v>503</v>
      </c>
      <c r="G156" s="238">
        <v>8.0</v>
      </c>
      <c r="H156" s="238">
        <v>0.0</v>
      </c>
      <c r="I156" s="238">
        <v>0.0</v>
      </c>
      <c r="J156" s="238">
        <v>0.0</v>
      </c>
      <c r="K156" s="238">
        <v>0.0</v>
      </c>
      <c r="L156" s="238">
        <v>0.0</v>
      </c>
      <c r="M156" s="238">
        <v>0.0</v>
      </c>
      <c r="N156" s="238">
        <v>0.0</v>
      </c>
      <c r="O156" s="238">
        <v>0.0</v>
      </c>
      <c r="P156" s="238">
        <v>0.0</v>
      </c>
      <c r="Q156" s="238">
        <v>0.0</v>
      </c>
      <c r="R156" s="238">
        <v>0.0</v>
      </c>
      <c r="S156" s="238">
        <v>8.0</v>
      </c>
      <c r="T156" s="238">
        <v>0.0</v>
      </c>
      <c r="U156" s="235" t="s">
        <v>13</v>
      </c>
      <c r="V156" s="231"/>
    </row>
    <row r="157">
      <c r="A157" s="237">
        <v>46228.0</v>
      </c>
      <c r="B157" s="235" t="s">
        <v>1111</v>
      </c>
      <c r="C157" s="235" t="s">
        <v>309</v>
      </c>
      <c r="D157" s="235" t="s">
        <v>10</v>
      </c>
      <c r="E157" s="235" t="s">
        <v>936</v>
      </c>
      <c r="F157" s="235" t="s">
        <v>503</v>
      </c>
      <c r="G157" s="238">
        <v>5.0</v>
      </c>
      <c r="H157" s="238">
        <v>0.0</v>
      </c>
      <c r="I157" s="238">
        <v>0.0</v>
      </c>
      <c r="J157" s="238">
        <v>0.0</v>
      </c>
      <c r="K157" s="238">
        <v>0.0</v>
      </c>
      <c r="L157" s="238">
        <v>0.0</v>
      </c>
      <c r="M157" s="238">
        <v>0.0</v>
      </c>
      <c r="N157" s="238">
        <v>0.0</v>
      </c>
      <c r="O157" s="238">
        <v>0.0</v>
      </c>
      <c r="P157" s="238">
        <v>0.0</v>
      </c>
      <c r="Q157" s="238">
        <v>0.0</v>
      </c>
      <c r="R157" s="238">
        <v>0.0</v>
      </c>
      <c r="S157" s="238">
        <v>5.0</v>
      </c>
      <c r="T157" s="238">
        <v>0.0</v>
      </c>
      <c r="U157" s="235" t="s">
        <v>18</v>
      </c>
      <c r="V157" s="231"/>
    </row>
    <row r="158">
      <c r="A158" s="237">
        <v>46228.0</v>
      </c>
      <c r="B158" s="235" t="s">
        <v>1111</v>
      </c>
      <c r="C158" s="235" t="s">
        <v>309</v>
      </c>
      <c r="D158" s="235" t="s">
        <v>10</v>
      </c>
      <c r="E158" s="235" t="s">
        <v>936</v>
      </c>
      <c r="F158" s="235" t="s">
        <v>503</v>
      </c>
      <c r="G158" s="238">
        <v>9.0</v>
      </c>
      <c r="H158" s="238">
        <v>0.0</v>
      </c>
      <c r="I158" s="238">
        <v>0.0</v>
      </c>
      <c r="J158" s="238">
        <v>0.0</v>
      </c>
      <c r="K158" s="238">
        <v>0.0</v>
      </c>
      <c r="L158" s="238">
        <v>0.0</v>
      </c>
      <c r="M158" s="238">
        <v>0.0</v>
      </c>
      <c r="N158" s="238">
        <v>0.0</v>
      </c>
      <c r="O158" s="238">
        <v>0.0</v>
      </c>
      <c r="P158" s="238">
        <v>0.0</v>
      </c>
      <c r="Q158" s="238">
        <v>0.0</v>
      </c>
      <c r="R158" s="238">
        <v>0.0</v>
      </c>
      <c r="S158" s="238">
        <v>9.0</v>
      </c>
      <c r="T158" s="238">
        <v>0.0</v>
      </c>
      <c r="U158" s="235" t="s">
        <v>20</v>
      </c>
      <c r="V158" s="238"/>
    </row>
    <row r="159">
      <c r="A159" s="237">
        <v>46228.0</v>
      </c>
      <c r="B159" s="235" t="s">
        <v>1111</v>
      </c>
      <c r="C159" s="235" t="s">
        <v>309</v>
      </c>
      <c r="D159" s="235" t="s">
        <v>10</v>
      </c>
      <c r="E159" s="235" t="s">
        <v>936</v>
      </c>
      <c r="F159" s="235" t="s">
        <v>503</v>
      </c>
      <c r="G159" s="238">
        <v>7.0</v>
      </c>
      <c r="H159" s="238">
        <v>0.0</v>
      </c>
      <c r="I159" s="238">
        <v>0.0</v>
      </c>
      <c r="J159" s="238">
        <v>0.0</v>
      </c>
      <c r="K159" s="238">
        <v>0.0</v>
      </c>
      <c r="L159" s="238">
        <v>0.0</v>
      </c>
      <c r="M159" s="238">
        <v>0.0</v>
      </c>
      <c r="N159" s="238">
        <v>0.0</v>
      </c>
      <c r="O159" s="238">
        <v>0.0</v>
      </c>
      <c r="P159" s="238">
        <v>0.0</v>
      </c>
      <c r="Q159" s="238">
        <v>0.0</v>
      </c>
      <c r="R159" s="238">
        <v>0.0</v>
      </c>
      <c r="S159" s="238">
        <v>7.0</v>
      </c>
      <c r="T159" s="238">
        <v>0.0</v>
      </c>
      <c r="U159" s="235" t="s">
        <v>156</v>
      </c>
      <c r="V159" s="94"/>
    </row>
    <row r="160">
      <c r="A160" s="237">
        <v>46228.0</v>
      </c>
      <c r="B160" s="235" t="s">
        <v>1111</v>
      </c>
      <c r="C160" s="235" t="s">
        <v>309</v>
      </c>
      <c r="D160" s="235" t="s">
        <v>10</v>
      </c>
      <c r="E160" s="235" t="s">
        <v>936</v>
      </c>
      <c r="F160" s="235" t="s">
        <v>503</v>
      </c>
      <c r="G160" s="238">
        <v>5.0</v>
      </c>
      <c r="H160" s="238">
        <v>0.0</v>
      </c>
      <c r="I160" s="238">
        <v>0.0</v>
      </c>
      <c r="J160" s="238">
        <v>0.0</v>
      </c>
      <c r="K160" s="238">
        <v>1.0</v>
      </c>
      <c r="L160" s="238">
        <v>0.0</v>
      </c>
      <c r="M160" s="238">
        <v>0.0</v>
      </c>
      <c r="N160" s="238">
        <v>0.0</v>
      </c>
      <c r="O160" s="238">
        <v>0.0</v>
      </c>
      <c r="P160" s="238">
        <v>0.0</v>
      </c>
      <c r="Q160" s="238">
        <v>0.0</v>
      </c>
      <c r="R160" s="238">
        <v>0.0</v>
      </c>
      <c r="S160" s="238">
        <v>6.0</v>
      </c>
      <c r="T160" s="238">
        <v>0.0</v>
      </c>
      <c r="U160" s="235" t="s">
        <v>546</v>
      </c>
      <c r="V160" s="231"/>
    </row>
    <row r="161">
      <c r="A161" s="237">
        <v>46228.0</v>
      </c>
      <c r="B161" s="235" t="s">
        <v>1152</v>
      </c>
      <c r="C161" s="235" t="s">
        <v>372</v>
      </c>
      <c r="D161" s="235" t="s">
        <v>12</v>
      </c>
      <c r="E161" s="235" t="s">
        <v>804</v>
      </c>
      <c r="F161" s="235" t="s">
        <v>503</v>
      </c>
      <c r="G161" s="238">
        <v>6.0</v>
      </c>
      <c r="H161" s="238">
        <v>0.0</v>
      </c>
      <c r="I161" s="238">
        <v>0.0</v>
      </c>
      <c r="J161" s="238">
        <v>0.0</v>
      </c>
      <c r="K161" s="238">
        <v>0.0</v>
      </c>
      <c r="L161" s="238">
        <v>0.0</v>
      </c>
      <c r="M161" s="238">
        <v>0.0</v>
      </c>
      <c r="N161" s="238">
        <v>0.0</v>
      </c>
      <c r="O161" s="238">
        <v>0.0</v>
      </c>
      <c r="P161" s="238">
        <v>0.0</v>
      </c>
      <c r="Q161" s="238">
        <v>0.0</v>
      </c>
      <c r="R161" s="238">
        <v>0.0</v>
      </c>
      <c r="S161" s="238">
        <v>6.0</v>
      </c>
      <c r="T161" s="238">
        <v>0.0</v>
      </c>
      <c r="U161" s="235" t="s">
        <v>5</v>
      </c>
      <c r="V161" s="231"/>
    </row>
    <row r="162">
      <c r="A162" s="237">
        <v>46228.0</v>
      </c>
      <c r="B162" s="235" t="s">
        <v>1152</v>
      </c>
      <c r="C162" s="235" t="s">
        <v>372</v>
      </c>
      <c r="D162" s="235" t="s">
        <v>12</v>
      </c>
      <c r="E162" s="235" t="s">
        <v>804</v>
      </c>
      <c r="F162" s="235" t="s">
        <v>503</v>
      </c>
      <c r="G162" s="238">
        <v>8.0</v>
      </c>
      <c r="H162" s="238">
        <v>0.0</v>
      </c>
      <c r="I162" s="238">
        <v>0.0</v>
      </c>
      <c r="J162" s="238">
        <v>0.0</v>
      </c>
      <c r="K162" s="238">
        <v>0.0</v>
      </c>
      <c r="L162" s="238">
        <v>0.0</v>
      </c>
      <c r="M162" s="238">
        <v>0.0</v>
      </c>
      <c r="N162" s="238">
        <v>0.0</v>
      </c>
      <c r="O162" s="238">
        <v>0.0</v>
      </c>
      <c r="P162" s="238">
        <v>0.0</v>
      </c>
      <c r="Q162" s="238">
        <v>0.0</v>
      </c>
      <c r="R162" s="238">
        <v>0.0</v>
      </c>
      <c r="S162" s="238">
        <v>8.0</v>
      </c>
      <c r="T162" s="238">
        <v>0.0</v>
      </c>
      <c r="U162" s="235" t="s">
        <v>9</v>
      </c>
      <c r="V162" s="238"/>
    </row>
    <row r="163">
      <c r="A163" s="237">
        <v>46228.0</v>
      </c>
      <c r="B163" s="235" t="s">
        <v>1152</v>
      </c>
      <c r="C163" s="235" t="s">
        <v>372</v>
      </c>
      <c r="D163" s="235" t="s">
        <v>12</v>
      </c>
      <c r="E163" s="235" t="s">
        <v>804</v>
      </c>
      <c r="F163" s="235" t="s">
        <v>503</v>
      </c>
      <c r="G163" s="238">
        <v>25.0</v>
      </c>
      <c r="H163" s="238">
        <v>0.0</v>
      </c>
      <c r="I163" s="238">
        <v>0.0</v>
      </c>
      <c r="J163" s="238">
        <v>0.0</v>
      </c>
      <c r="K163" s="238">
        <v>0.0</v>
      </c>
      <c r="L163" s="238">
        <v>0.0</v>
      </c>
      <c r="M163" s="238">
        <v>0.0</v>
      </c>
      <c r="N163" s="238">
        <v>0.0</v>
      </c>
      <c r="O163" s="238">
        <v>0.0</v>
      </c>
      <c r="P163" s="238">
        <v>0.0</v>
      </c>
      <c r="Q163" s="238">
        <v>0.0</v>
      </c>
      <c r="R163" s="238">
        <v>0.0</v>
      </c>
      <c r="S163" s="238">
        <v>25.0</v>
      </c>
      <c r="T163" s="238">
        <v>0.0</v>
      </c>
      <c r="U163" s="235" t="s">
        <v>11</v>
      </c>
      <c r="V163" s="231"/>
    </row>
    <row r="164">
      <c r="A164" s="237">
        <v>46228.0</v>
      </c>
      <c r="B164" s="235" t="s">
        <v>1152</v>
      </c>
      <c r="C164" s="235" t="s">
        <v>372</v>
      </c>
      <c r="D164" s="235" t="s">
        <v>12</v>
      </c>
      <c r="E164" s="235" t="s">
        <v>804</v>
      </c>
      <c r="F164" s="235" t="s">
        <v>503</v>
      </c>
      <c r="G164" s="238">
        <v>4.0</v>
      </c>
      <c r="H164" s="238">
        <v>0.0</v>
      </c>
      <c r="I164" s="238">
        <v>0.0</v>
      </c>
      <c r="J164" s="238">
        <v>0.0</v>
      </c>
      <c r="K164" s="238">
        <v>0.0</v>
      </c>
      <c r="L164" s="238">
        <v>0.0</v>
      </c>
      <c r="M164" s="238">
        <v>0.0</v>
      </c>
      <c r="N164" s="238">
        <v>0.0</v>
      </c>
      <c r="O164" s="238">
        <v>0.0</v>
      </c>
      <c r="P164" s="238">
        <v>0.0</v>
      </c>
      <c r="Q164" s="238">
        <v>0.0</v>
      </c>
      <c r="R164" s="238">
        <v>0.0</v>
      </c>
      <c r="S164" s="238">
        <v>4.0</v>
      </c>
      <c r="T164" s="238">
        <v>0.0</v>
      </c>
      <c r="U164" s="235" t="s">
        <v>16</v>
      </c>
      <c r="V164" s="238"/>
    </row>
    <row r="165">
      <c r="A165" s="237">
        <v>46228.0</v>
      </c>
      <c r="B165" s="235" t="s">
        <v>1152</v>
      </c>
      <c r="C165" s="235" t="s">
        <v>372</v>
      </c>
      <c r="D165" s="235" t="s">
        <v>12</v>
      </c>
      <c r="E165" s="235" t="s">
        <v>804</v>
      </c>
      <c r="F165" s="235" t="s">
        <v>503</v>
      </c>
      <c r="G165" s="238">
        <v>2.0</v>
      </c>
      <c r="H165" s="238">
        <v>0.0</v>
      </c>
      <c r="I165" s="238">
        <v>0.0</v>
      </c>
      <c r="J165" s="238">
        <v>0.0</v>
      </c>
      <c r="K165" s="238">
        <v>0.0</v>
      </c>
      <c r="L165" s="238">
        <v>0.0</v>
      </c>
      <c r="M165" s="238">
        <v>0.0</v>
      </c>
      <c r="N165" s="238">
        <v>0.0</v>
      </c>
      <c r="O165" s="238">
        <v>0.0</v>
      </c>
      <c r="P165" s="238">
        <v>0.0</v>
      </c>
      <c r="Q165" s="238">
        <v>0.0</v>
      </c>
      <c r="R165" s="238">
        <v>0.0</v>
      </c>
      <c r="S165" s="238">
        <v>2.0</v>
      </c>
      <c r="T165" s="238">
        <v>0.0</v>
      </c>
      <c r="U165" s="235" t="s">
        <v>17</v>
      </c>
      <c r="V165" s="238"/>
    </row>
    <row r="166">
      <c r="A166" s="237">
        <v>46228.0</v>
      </c>
      <c r="B166" s="235" t="s">
        <v>1152</v>
      </c>
      <c r="C166" s="235" t="s">
        <v>372</v>
      </c>
      <c r="D166" s="235" t="s">
        <v>12</v>
      </c>
      <c r="E166" s="235" t="s">
        <v>804</v>
      </c>
      <c r="F166" s="235" t="s">
        <v>503</v>
      </c>
      <c r="G166" s="238">
        <v>1.0</v>
      </c>
      <c r="H166" s="238">
        <v>0.0</v>
      </c>
      <c r="I166" s="238">
        <v>0.0</v>
      </c>
      <c r="J166" s="238">
        <v>0.0</v>
      </c>
      <c r="K166" s="238">
        <v>0.0</v>
      </c>
      <c r="L166" s="238">
        <v>0.0</v>
      </c>
      <c r="M166" s="238">
        <v>0.0</v>
      </c>
      <c r="N166" s="238">
        <v>0.0</v>
      </c>
      <c r="O166" s="238">
        <v>0.0</v>
      </c>
      <c r="P166" s="238">
        <v>0.0</v>
      </c>
      <c r="Q166" s="238">
        <v>0.0</v>
      </c>
      <c r="R166" s="238">
        <v>0.0</v>
      </c>
      <c r="S166" s="238">
        <v>1.0</v>
      </c>
      <c r="T166" s="238">
        <v>0.0</v>
      </c>
      <c r="U166" s="235" t="s">
        <v>155</v>
      </c>
      <c r="V166" s="231"/>
    </row>
    <row r="167">
      <c r="A167" s="237">
        <v>46228.0</v>
      </c>
      <c r="B167" s="235" t="s">
        <v>1152</v>
      </c>
      <c r="C167" s="235" t="s">
        <v>372</v>
      </c>
      <c r="D167" s="235" t="s">
        <v>12</v>
      </c>
      <c r="E167" s="235" t="s">
        <v>804</v>
      </c>
      <c r="F167" s="235" t="s">
        <v>503</v>
      </c>
      <c r="G167" s="238">
        <v>1.0</v>
      </c>
      <c r="H167" s="238">
        <v>0.0</v>
      </c>
      <c r="I167" s="238">
        <v>0.0</v>
      </c>
      <c r="J167" s="238">
        <v>0.0</v>
      </c>
      <c r="K167" s="238">
        <v>0.0</v>
      </c>
      <c r="L167" s="238">
        <v>0.0</v>
      </c>
      <c r="M167" s="238">
        <v>0.0</v>
      </c>
      <c r="N167" s="238">
        <v>0.0</v>
      </c>
      <c r="O167" s="238">
        <v>0.0</v>
      </c>
      <c r="P167" s="238">
        <v>0.0</v>
      </c>
      <c r="Q167" s="238">
        <v>0.0</v>
      </c>
      <c r="R167" s="238">
        <v>0.0</v>
      </c>
      <c r="S167" s="238">
        <v>1.0</v>
      </c>
      <c r="T167" s="238">
        <v>0.0</v>
      </c>
      <c r="U167" s="235" t="s">
        <v>533</v>
      </c>
      <c r="V167" s="238"/>
    </row>
    <row r="168">
      <c r="A168" s="237">
        <v>46228.0</v>
      </c>
      <c r="B168" s="235" t="s">
        <v>1152</v>
      </c>
      <c r="C168" s="235" t="s">
        <v>372</v>
      </c>
      <c r="D168" s="235" t="s">
        <v>12</v>
      </c>
      <c r="E168" s="235" t="s">
        <v>804</v>
      </c>
      <c r="F168" s="235" t="s">
        <v>503</v>
      </c>
      <c r="G168" s="238">
        <v>5.0</v>
      </c>
      <c r="H168" s="238">
        <v>0.0</v>
      </c>
      <c r="I168" s="238">
        <v>0.0</v>
      </c>
      <c r="J168" s="238">
        <v>0.0</v>
      </c>
      <c r="K168" s="238">
        <v>0.0</v>
      </c>
      <c r="L168" s="238">
        <v>0.0</v>
      </c>
      <c r="M168" s="238">
        <v>0.0</v>
      </c>
      <c r="N168" s="238">
        <v>0.0</v>
      </c>
      <c r="O168" s="238">
        <v>0.0</v>
      </c>
      <c r="P168" s="238">
        <v>0.0</v>
      </c>
      <c r="Q168" s="238">
        <v>0.0</v>
      </c>
      <c r="R168" s="238">
        <v>0.0</v>
      </c>
      <c r="S168" s="238">
        <v>5.0</v>
      </c>
      <c r="T168" s="238">
        <v>0.0</v>
      </c>
      <c r="U168" s="235" t="s">
        <v>13</v>
      </c>
      <c r="V168" s="231"/>
    </row>
    <row r="169">
      <c r="A169" s="237">
        <v>46228.0</v>
      </c>
      <c r="B169" s="235" t="s">
        <v>1152</v>
      </c>
      <c r="C169" s="235" t="s">
        <v>372</v>
      </c>
      <c r="D169" s="235" t="s">
        <v>12</v>
      </c>
      <c r="E169" s="235" t="s">
        <v>804</v>
      </c>
      <c r="F169" s="235" t="s">
        <v>503</v>
      </c>
      <c r="G169" s="238">
        <v>1.0</v>
      </c>
      <c r="H169" s="238">
        <v>0.0</v>
      </c>
      <c r="I169" s="238">
        <v>0.0</v>
      </c>
      <c r="J169" s="238">
        <v>0.0</v>
      </c>
      <c r="K169" s="238">
        <v>0.0</v>
      </c>
      <c r="L169" s="238">
        <v>0.0</v>
      </c>
      <c r="M169" s="238">
        <v>0.0</v>
      </c>
      <c r="N169" s="238">
        <v>0.0</v>
      </c>
      <c r="O169" s="238">
        <v>0.0</v>
      </c>
      <c r="P169" s="238">
        <v>0.0</v>
      </c>
      <c r="Q169" s="238">
        <v>0.0</v>
      </c>
      <c r="R169" s="238">
        <v>0.0</v>
      </c>
      <c r="S169" s="238">
        <v>1.0</v>
      </c>
      <c r="T169" s="238">
        <v>0.0</v>
      </c>
      <c r="U169" s="235" t="s">
        <v>14</v>
      </c>
      <c r="V169" s="231"/>
    </row>
    <row r="170">
      <c r="A170" s="237">
        <v>46228.0</v>
      </c>
      <c r="B170" s="235" t="s">
        <v>1152</v>
      </c>
      <c r="C170" s="235" t="s">
        <v>372</v>
      </c>
      <c r="D170" s="235" t="s">
        <v>12</v>
      </c>
      <c r="E170" s="235" t="s">
        <v>804</v>
      </c>
      <c r="F170" s="235" t="s">
        <v>503</v>
      </c>
      <c r="G170" s="238">
        <v>12.0</v>
      </c>
      <c r="H170" s="238">
        <v>0.0</v>
      </c>
      <c r="I170" s="238">
        <v>0.0</v>
      </c>
      <c r="J170" s="238">
        <v>0.0</v>
      </c>
      <c r="K170" s="238">
        <v>0.0</v>
      </c>
      <c r="L170" s="238">
        <v>0.0</v>
      </c>
      <c r="M170" s="238">
        <v>0.0</v>
      </c>
      <c r="N170" s="238">
        <v>0.0</v>
      </c>
      <c r="O170" s="238">
        <v>0.0</v>
      </c>
      <c r="P170" s="238">
        <v>0.0</v>
      </c>
      <c r="Q170" s="238">
        <v>0.0</v>
      </c>
      <c r="R170" s="238">
        <v>0.0</v>
      </c>
      <c r="S170" s="238">
        <v>12.0</v>
      </c>
      <c r="T170" s="238">
        <v>0.0</v>
      </c>
      <c r="U170" s="235" t="s">
        <v>20</v>
      </c>
      <c r="V170" s="238"/>
    </row>
    <row r="171">
      <c r="A171" s="237">
        <v>46228.0</v>
      </c>
      <c r="B171" s="235" t="s">
        <v>1152</v>
      </c>
      <c r="C171" s="235" t="s">
        <v>372</v>
      </c>
      <c r="D171" s="235" t="s">
        <v>12</v>
      </c>
      <c r="E171" s="235" t="s">
        <v>804</v>
      </c>
      <c r="F171" s="235" t="s">
        <v>503</v>
      </c>
      <c r="G171" s="238">
        <v>7.0</v>
      </c>
      <c r="H171" s="238">
        <v>0.0</v>
      </c>
      <c r="I171" s="238">
        <v>0.0</v>
      </c>
      <c r="J171" s="238">
        <v>0.0</v>
      </c>
      <c r="K171" s="238">
        <v>0.0</v>
      </c>
      <c r="L171" s="238">
        <v>0.0</v>
      </c>
      <c r="M171" s="238">
        <v>0.0</v>
      </c>
      <c r="N171" s="238">
        <v>0.0</v>
      </c>
      <c r="O171" s="238">
        <v>0.0</v>
      </c>
      <c r="P171" s="238">
        <v>0.0</v>
      </c>
      <c r="Q171" s="238">
        <v>0.0</v>
      </c>
      <c r="R171" s="238">
        <v>0.0</v>
      </c>
      <c r="S171" s="238">
        <v>7.0</v>
      </c>
      <c r="T171" s="238">
        <v>0.0</v>
      </c>
      <c r="U171" s="235" t="s">
        <v>156</v>
      </c>
      <c r="V171" s="231"/>
    </row>
    <row r="172">
      <c r="A172" s="237">
        <v>46228.0</v>
      </c>
      <c r="B172" s="235" t="s">
        <v>1152</v>
      </c>
      <c r="C172" s="235" t="s">
        <v>372</v>
      </c>
      <c r="D172" s="235" t="s">
        <v>12</v>
      </c>
      <c r="E172" s="235" t="s">
        <v>804</v>
      </c>
      <c r="F172" s="235" t="s">
        <v>503</v>
      </c>
      <c r="G172" s="238">
        <v>6.0</v>
      </c>
      <c r="H172" s="238">
        <v>0.0</v>
      </c>
      <c r="I172" s="238">
        <v>0.0</v>
      </c>
      <c r="J172" s="238">
        <v>0.0</v>
      </c>
      <c r="K172" s="238">
        <v>0.0</v>
      </c>
      <c r="L172" s="238">
        <v>0.0</v>
      </c>
      <c r="M172" s="238">
        <v>0.0</v>
      </c>
      <c r="N172" s="238">
        <v>0.0</v>
      </c>
      <c r="O172" s="238">
        <v>0.0</v>
      </c>
      <c r="P172" s="238">
        <v>0.0</v>
      </c>
      <c r="Q172" s="238">
        <v>0.0</v>
      </c>
      <c r="R172" s="238">
        <v>0.0</v>
      </c>
      <c r="S172" s="238">
        <v>6.0</v>
      </c>
      <c r="T172" s="238">
        <v>0.0</v>
      </c>
      <c r="U172" s="235" t="s">
        <v>546</v>
      </c>
      <c r="V172" s="238"/>
    </row>
    <row r="173">
      <c r="A173" s="237">
        <v>46228.0</v>
      </c>
      <c r="B173" s="235" t="s">
        <v>1207</v>
      </c>
      <c r="C173" s="235" t="s">
        <v>381</v>
      </c>
      <c r="D173" s="235" t="s">
        <v>61</v>
      </c>
      <c r="E173" s="235" t="s">
        <v>382</v>
      </c>
      <c r="F173" s="235" t="s">
        <v>503</v>
      </c>
      <c r="G173" s="238">
        <v>1.0</v>
      </c>
      <c r="H173" s="238">
        <v>0.0</v>
      </c>
      <c r="I173" s="238">
        <v>0.0</v>
      </c>
      <c r="J173" s="238">
        <v>0.0</v>
      </c>
      <c r="K173" s="238">
        <v>0.0</v>
      </c>
      <c r="L173" s="238">
        <v>0.0</v>
      </c>
      <c r="M173" s="238">
        <v>0.0</v>
      </c>
      <c r="N173" s="238">
        <v>0.0</v>
      </c>
      <c r="O173" s="238">
        <v>0.0</v>
      </c>
      <c r="P173" s="238">
        <v>0.0</v>
      </c>
      <c r="Q173" s="238">
        <v>0.0</v>
      </c>
      <c r="R173" s="238">
        <v>0.0</v>
      </c>
      <c r="S173" s="238">
        <v>1.0</v>
      </c>
      <c r="T173" s="238">
        <v>0.0</v>
      </c>
      <c r="U173" s="235" t="s">
        <v>5</v>
      </c>
      <c r="V173" s="231"/>
    </row>
    <row r="174">
      <c r="A174" s="237">
        <v>46228.0</v>
      </c>
      <c r="B174" s="235" t="s">
        <v>1207</v>
      </c>
      <c r="C174" s="235" t="s">
        <v>381</v>
      </c>
      <c r="D174" s="235" t="s">
        <v>61</v>
      </c>
      <c r="E174" s="235" t="s">
        <v>382</v>
      </c>
      <c r="F174" s="235" t="s">
        <v>503</v>
      </c>
      <c r="G174" s="238">
        <v>3.0</v>
      </c>
      <c r="H174" s="238">
        <v>0.0</v>
      </c>
      <c r="I174" s="238">
        <v>0.0</v>
      </c>
      <c r="J174" s="238">
        <v>0.0</v>
      </c>
      <c r="K174" s="238">
        <v>0.0</v>
      </c>
      <c r="L174" s="238">
        <v>0.0</v>
      </c>
      <c r="M174" s="238">
        <v>0.0</v>
      </c>
      <c r="N174" s="238">
        <v>0.0</v>
      </c>
      <c r="O174" s="238">
        <v>0.0</v>
      </c>
      <c r="P174" s="238">
        <v>0.0</v>
      </c>
      <c r="Q174" s="238">
        <v>0.0</v>
      </c>
      <c r="R174" s="238">
        <v>0.0</v>
      </c>
      <c r="S174" s="238">
        <v>3.0</v>
      </c>
      <c r="T174" s="238">
        <v>0.0</v>
      </c>
      <c r="U174" s="235" t="s">
        <v>9</v>
      </c>
      <c r="V174" s="238"/>
    </row>
    <row r="175">
      <c r="A175" s="237">
        <v>46228.0</v>
      </c>
      <c r="B175" s="235" t="s">
        <v>1207</v>
      </c>
      <c r="C175" s="235" t="s">
        <v>381</v>
      </c>
      <c r="D175" s="235" t="s">
        <v>61</v>
      </c>
      <c r="E175" s="235" t="s">
        <v>382</v>
      </c>
      <c r="F175" s="235" t="s">
        <v>503</v>
      </c>
      <c r="G175" s="238">
        <v>3.0</v>
      </c>
      <c r="H175" s="238">
        <v>0.0</v>
      </c>
      <c r="I175" s="238">
        <v>0.0</v>
      </c>
      <c r="J175" s="238">
        <v>0.0</v>
      </c>
      <c r="K175" s="238">
        <v>0.0</v>
      </c>
      <c r="L175" s="238">
        <v>0.0</v>
      </c>
      <c r="M175" s="238">
        <v>0.0</v>
      </c>
      <c r="N175" s="238">
        <v>0.0</v>
      </c>
      <c r="O175" s="238">
        <v>0.0</v>
      </c>
      <c r="P175" s="238">
        <v>0.0</v>
      </c>
      <c r="Q175" s="238">
        <v>0.0</v>
      </c>
      <c r="R175" s="238">
        <v>0.0</v>
      </c>
      <c r="S175" s="238">
        <v>3.0</v>
      </c>
      <c r="T175" s="238">
        <v>0.0</v>
      </c>
      <c r="U175" s="235" t="s">
        <v>11</v>
      </c>
      <c r="V175" s="231"/>
    </row>
    <row r="176">
      <c r="A176" s="237">
        <v>46228.0</v>
      </c>
      <c r="B176" s="235" t="s">
        <v>1207</v>
      </c>
      <c r="C176" s="235" t="s">
        <v>381</v>
      </c>
      <c r="D176" s="235" t="s">
        <v>61</v>
      </c>
      <c r="E176" s="235" t="s">
        <v>382</v>
      </c>
      <c r="F176" s="235" t="s">
        <v>503</v>
      </c>
      <c r="G176" s="238">
        <v>1.0</v>
      </c>
      <c r="H176" s="238">
        <v>0.0</v>
      </c>
      <c r="I176" s="238">
        <v>0.0</v>
      </c>
      <c r="J176" s="238">
        <v>0.0</v>
      </c>
      <c r="K176" s="238">
        <v>0.0</v>
      </c>
      <c r="L176" s="238">
        <v>0.0</v>
      </c>
      <c r="M176" s="238">
        <v>0.0</v>
      </c>
      <c r="N176" s="238">
        <v>0.0</v>
      </c>
      <c r="O176" s="238">
        <v>0.0</v>
      </c>
      <c r="P176" s="238">
        <v>0.0</v>
      </c>
      <c r="Q176" s="238">
        <v>0.0</v>
      </c>
      <c r="R176" s="238">
        <v>0.0</v>
      </c>
      <c r="S176" s="238">
        <v>1.0</v>
      </c>
      <c r="T176" s="238">
        <v>0.0</v>
      </c>
      <c r="U176" s="235" t="s">
        <v>16</v>
      </c>
      <c r="V176" s="231"/>
    </row>
    <row r="177">
      <c r="A177" s="237">
        <v>46228.0</v>
      </c>
      <c r="B177" s="235" t="s">
        <v>1207</v>
      </c>
      <c r="C177" s="235" t="s">
        <v>381</v>
      </c>
      <c r="D177" s="235" t="s">
        <v>61</v>
      </c>
      <c r="E177" s="235" t="s">
        <v>382</v>
      </c>
      <c r="F177" s="235" t="s">
        <v>503</v>
      </c>
      <c r="G177" s="238">
        <v>1.0</v>
      </c>
      <c r="H177" s="238">
        <v>0.0</v>
      </c>
      <c r="I177" s="238">
        <v>0.0</v>
      </c>
      <c r="J177" s="238">
        <v>0.0</v>
      </c>
      <c r="K177" s="238">
        <v>0.0</v>
      </c>
      <c r="L177" s="238">
        <v>0.0</v>
      </c>
      <c r="M177" s="238">
        <v>0.0</v>
      </c>
      <c r="N177" s="238">
        <v>0.0</v>
      </c>
      <c r="O177" s="238">
        <v>0.0</v>
      </c>
      <c r="P177" s="238">
        <v>0.0</v>
      </c>
      <c r="Q177" s="238">
        <v>0.0</v>
      </c>
      <c r="R177" s="238">
        <v>0.0</v>
      </c>
      <c r="S177" s="238">
        <v>1.0</v>
      </c>
      <c r="T177" s="238">
        <v>0.0</v>
      </c>
      <c r="U177" s="235" t="s">
        <v>17</v>
      </c>
      <c r="V177" s="231"/>
    </row>
    <row r="178">
      <c r="A178" s="237">
        <v>46228.0</v>
      </c>
      <c r="B178" s="235" t="s">
        <v>1207</v>
      </c>
      <c r="C178" s="235" t="s">
        <v>381</v>
      </c>
      <c r="D178" s="235" t="s">
        <v>61</v>
      </c>
      <c r="E178" s="235" t="s">
        <v>382</v>
      </c>
      <c r="F178" s="235" t="s">
        <v>503</v>
      </c>
      <c r="G178" s="238">
        <v>2.0</v>
      </c>
      <c r="H178" s="238">
        <v>0.0</v>
      </c>
      <c r="I178" s="238">
        <v>0.0</v>
      </c>
      <c r="J178" s="238">
        <v>0.0</v>
      </c>
      <c r="K178" s="238">
        <v>0.0</v>
      </c>
      <c r="L178" s="238">
        <v>0.0</v>
      </c>
      <c r="M178" s="238">
        <v>0.0</v>
      </c>
      <c r="N178" s="238">
        <v>0.0</v>
      </c>
      <c r="O178" s="238">
        <v>0.0</v>
      </c>
      <c r="P178" s="238">
        <v>0.0</v>
      </c>
      <c r="Q178" s="238">
        <v>0.0</v>
      </c>
      <c r="R178" s="238">
        <v>0.0</v>
      </c>
      <c r="S178" s="238">
        <v>2.0</v>
      </c>
      <c r="T178" s="238">
        <v>0.0</v>
      </c>
      <c r="U178" s="235" t="s">
        <v>155</v>
      </c>
      <c r="V178" s="231"/>
    </row>
    <row r="179">
      <c r="A179" s="237">
        <v>46228.0</v>
      </c>
      <c r="B179" s="235" t="s">
        <v>1207</v>
      </c>
      <c r="C179" s="235" t="s">
        <v>381</v>
      </c>
      <c r="D179" s="235" t="s">
        <v>61</v>
      </c>
      <c r="E179" s="235" t="s">
        <v>382</v>
      </c>
      <c r="F179" s="235" t="s">
        <v>503</v>
      </c>
      <c r="G179" s="238">
        <v>1.0</v>
      </c>
      <c r="H179" s="238">
        <v>0.0</v>
      </c>
      <c r="I179" s="238">
        <v>0.0</v>
      </c>
      <c r="J179" s="238">
        <v>0.0</v>
      </c>
      <c r="K179" s="238">
        <v>0.0</v>
      </c>
      <c r="L179" s="238">
        <v>0.0</v>
      </c>
      <c r="M179" s="238">
        <v>0.0</v>
      </c>
      <c r="N179" s="238">
        <v>0.0</v>
      </c>
      <c r="O179" s="238">
        <v>0.0</v>
      </c>
      <c r="P179" s="238">
        <v>0.0</v>
      </c>
      <c r="Q179" s="238">
        <v>0.0</v>
      </c>
      <c r="R179" s="238">
        <v>0.0</v>
      </c>
      <c r="S179" s="238">
        <v>1.0</v>
      </c>
      <c r="T179" s="238">
        <v>0.0</v>
      </c>
      <c r="U179" s="235" t="s">
        <v>533</v>
      </c>
      <c r="V179" s="238"/>
    </row>
    <row r="180">
      <c r="A180" s="237">
        <v>46228.0</v>
      </c>
      <c r="B180" s="235" t="s">
        <v>1207</v>
      </c>
      <c r="C180" s="235" t="s">
        <v>381</v>
      </c>
      <c r="D180" s="235" t="s">
        <v>61</v>
      </c>
      <c r="E180" s="235" t="s">
        <v>382</v>
      </c>
      <c r="F180" s="235" t="s">
        <v>503</v>
      </c>
      <c r="G180" s="238">
        <v>1.0</v>
      </c>
      <c r="H180" s="238">
        <v>0.0</v>
      </c>
      <c r="I180" s="238">
        <v>0.0</v>
      </c>
      <c r="J180" s="238">
        <v>0.0</v>
      </c>
      <c r="K180" s="238">
        <v>0.0</v>
      </c>
      <c r="L180" s="238">
        <v>0.0</v>
      </c>
      <c r="M180" s="238">
        <v>0.0</v>
      </c>
      <c r="N180" s="238">
        <v>0.0</v>
      </c>
      <c r="O180" s="238">
        <v>0.0</v>
      </c>
      <c r="P180" s="238">
        <v>0.0</v>
      </c>
      <c r="Q180" s="238">
        <v>0.0</v>
      </c>
      <c r="R180" s="238">
        <v>0.0</v>
      </c>
      <c r="S180" s="238">
        <v>1.0</v>
      </c>
      <c r="T180" s="238">
        <v>0.0</v>
      </c>
      <c r="U180" s="235" t="s">
        <v>13</v>
      </c>
      <c r="V180" s="238"/>
    </row>
    <row r="181">
      <c r="A181" s="237">
        <v>46228.0</v>
      </c>
      <c r="B181" s="235" t="s">
        <v>1207</v>
      </c>
      <c r="C181" s="235" t="s">
        <v>381</v>
      </c>
      <c r="D181" s="235" t="s">
        <v>61</v>
      </c>
      <c r="E181" s="235" t="s">
        <v>382</v>
      </c>
      <c r="F181" s="235" t="s">
        <v>503</v>
      </c>
      <c r="G181" s="238">
        <v>6.0</v>
      </c>
      <c r="H181" s="238">
        <v>0.0</v>
      </c>
      <c r="I181" s="238">
        <v>0.0</v>
      </c>
      <c r="J181" s="238">
        <v>0.0</v>
      </c>
      <c r="K181" s="238">
        <v>0.0</v>
      </c>
      <c r="L181" s="238">
        <v>0.0</v>
      </c>
      <c r="M181" s="238">
        <v>0.0</v>
      </c>
      <c r="N181" s="238">
        <v>0.0</v>
      </c>
      <c r="O181" s="238">
        <v>0.0</v>
      </c>
      <c r="P181" s="238">
        <v>0.0</v>
      </c>
      <c r="Q181" s="238">
        <v>0.0</v>
      </c>
      <c r="R181" s="238">
        <v>0.0</v>
      </c>
      <c r="S181" s="238">
        <v>6.0</v>
      </c>
      <c r="T181" s="238">
        <v>0.0</v>
      </c>
      <c r="U181" s="235" t="s">
        <v>20</v>
      </c>
      <c r="V181" s="231"/>
    </row>
    <row r="182">
      <c r="A182" s="237">
        <v>46228.0</v>
      </c>
      <c r="B182" s="235" t="s">
        <v>1207</v>
      </c>
      <c r="C182" s="235" t="s">
        <v>381</v>
      </c>
      <c r="D182" s="235" t="s">
        <v>61</v>
      </c>
      <c r="E182" s="235" t="s">
        <v>382</v>
      </c>
      <c r="F182" s="235" t="s">
        <v>503</v>
      </c>
      <c r="G182" s="238">
        <v>2.0</v>
      </c>
      <c r="H182" s="238">
        <v>0.0</v>
      </c>
      <c r="I182" s="238">
        <v>0.0</v>
      </c>
      <c r="J182" s="238">
        <v>0.0</v>
      </c>
      <c r="K182" s="238">
        <v>0.0</v>
      </c>
      <c r="L182" s="238">
        <v>0.0</v>
      </c>
      <c r="M182" s="238">
        <v>0.0</v>
      </c>
      <c r="N182" s="238">
        <v>0.0</v>
      </c>
      <c r="O182" s="238">
        <v>0.0</v>
      </c>
      <c r="P182" s="238">
        <v>0.0</v>
      </c>
      <c r="Q182" s="238">
        <v>0.0</v>
      </c>
      <c r="R182" s="238">
        <v>0.0</v>
      </c>
      <c r="S182" s="238">
        <v>2.0</v>
      </c>
      <c r="T182" s="238">
        <v>0.0</v>
      </c>
      <c r="U182" s="235" t="s">
        <v>546</v>
      </c>
      <c r="V182" s="238"/>
    </row>
    <row r="183">
      <c r="A183" s="237">
        <v>46228.0</v>
      </c>
      <c r="B183" s="235" t="s">
        <v>1246</v>
      </c>
      <c r="C183" s="235" t="s">
        <v>377</v>
      </c>
      <c r="D183" s="235" t="s">
        <v>64</v>
      </c>
      <c r="E183" s="235" t="s">
        <v>378</v>
      </c>
      <c r="F183" s="235" t="s">
        <v>503</v>
      </c>
      <c r="G183" s="238">
        <v>1.0</v>
      </c>
      <c r="H183" s="238">
        <v>0.0</v>
      </c>
      <c r="I183" s="238">
        <v>0.0</v>
      </c>
      <c r="J183" s="238">
        <v>0.0</v>
      </c>
      <c r="K183" s="238">
        <v>0.0</v>
      </c>
      <c r="L183" s="238">
        <v>0.0</v>
      </c>
      <c r="M183" s="238">
        <v>0.0</v>
      </c>
      <c r="N183" s="238">
        <v>0.0</v>
      </c>
      <c r="O183" s="238">
        <v>0.0</v>
      </c>
      <c r="P183" s="238">
        <v>0.0</v>
      </c>
      <c r="Q183" s="238">
        <v>0.0</v>
      </c>
      <c r="R183" s="238">
        <v>0.0</v>
      </c>
      <c r="S183" s="238">
        <v>1.0</v>
      </c>
      <c r="T183" s="238">
        <v>0.0</v>
      </c>
      <c r="U183" s="235" t="s">
        <v>5</v>
      </c>
      <c r="V183" s="231"/>
    </row>
    <row r="184">
      <c r="A184" s="237">
        <v>46228.0</v>
      </c>
      <c r="B184" s="235" t="s">
        <v>1246</v>
      </c>
      <c r="C184" s="235" t="s">
        <v>377</v>
      </c>
      <c r="D184" s="235" t="s">
        <v>64</v>
      </c>
      <c r="E184" s="235" t="s">
        <v>378</v>
      </c>
      <c r="F184" s="235" t="s">
        <v>503</v>
      </c>
      <c r="G184" s="238">
        <v>3.0</v>
      </c>
      <c r="H184" s="238">
        <v>0.0</v>
      </c>
      <c r="I184" s="238">
        <v>0.0</v>
      </c>
      <c r="J184" s="238">
        <v>0.0</v>
      </c>
      <c r="K184" s="238">
        <v>0.0</v>
      </c>
      <c r="L184" s="238">
        <v>0.0</v>
      </c>
      <c r="M184" s="238">
        <v>0.0</v>
      </c>
      <c r="N184" s="238">
        <v>0.0</v>
      </c>
      <c r="O184" s="238">
        <v>0.0</v>
      </c>
      <c r="P184" s="238">
        <v>0.0</v>
      </c>
      <c r="Q184" s="238">
        <v>0.0</v>
      </c>
      <c r="R184" s="238">
        <v>0.0</v>
      </c>
      <c r="S184" s="238">
        <v>3.0</v>
      </c>
      <c r="T184" s="238">
        <v>0.0</v>
      </c>
      <c r="U184" s="235" t="s">
        <v>9</v>
      </c>
      <c r="V184" s="231"/>
    </row>
    <row r="185">
      <c r="A185" s="237">
        <v>46228.0</v>
      </c>
      <c r="B185" s="235" t="s">
        <v>1246</v>
      </c>
      <c r="C185" s="235" t="s">
        <v>377</v>
      </c>
      <c r="D185" s="235" t="s">
        <v>64</v>
      </c>
      <c r="E185" s="235" t="s">
        <v>378</v>
      </c>
      <c r="F185" s="235" t="s">
        <v>503</v>
      </c>
      <c r="G185" s="238">
        <v>6.0</v>
      </c>
      <c r="H185" s="238">
        <v>0.0</v>
      </c>
      <c r="I185" s="238">
        <v>0.0</v>
      </c>
      <c r="J185" s="238">
        <v>0.0</v>
      </c>
      <c r="K185" s="238">
        <v>0.0</v>
      </c>
      <c r="L185" s="238">
        <v>0.0</v>
      </c>
      <c r="M185" s="238">
        <v>0.0</v>
      </c>
      <c r="N185" s="238">
        <v>0.0</v>
      </c>
      <c r="O185" s="238">
        <v>0.0</v>
      </c>
      <c r="P185" s="238">
        <v>0.0</v>
      </c>
      <c r="Q185" s="238">
        <v>0.0</v>
      </c>
      <c r="R185" s="238">
        <v>0.0</v>
      </c>
      <c r="S185" s="238">
        <v>6.0</v>
      </c>
      <c r="T185" s="238">
        <v>0.0</v>
      </c>
      <c r="U185" s="235" t="s">
        <v>11</v>
      </c>
      <c r="V185" s="238"/>
    </row>
    <row r="186">
      <c r="A186" s="237">
        <v>46228.0</v>
      </c>
      <c r="B186" s="235" t="s">
        <v>1246</v>
      </c>
      <c r="C186" s="235" t="s">
        <v>377</v>
      </c>
      <c r="D186" s="235" t="s">
        <v>64</v>
      </c>
      <c r="E186" s="235" t="s">
        <v>378</v>
      </c>
      <c r="F186" s="235" t="s">
        <v>503</v>
      </c>
      <c r="G186" s="238">
        <v>8.0</v>
      </c>
      <c r="H186" s="238">
        <v>0.0</v>
      </c>
      <c r="I186" s="238">
        <v>0.0</v>
      </c>
      <c r="J186" s="238">
        <v>0.0</v>
      </c>
      <c r="K186" s="238">
        <v>0.0</v>
      </c>
      <c r="L186" s="238">
        <v>0.0</v>
      </c>
      <c r="M186" s="238">
        <v>0.0</v>
      </c>
      <c r="N186" s="238">
        <v>0.0</v>
      </c>
      <c r="O186" s="238">
        <v>0.0</v>
      </c>
      <c r="P186" s="238">
        <v>0.0</v>
      </c>
      <c r="Q186" s="238">
        <v>0.0</v>
      </c>
      <c r="R186" s="238">
        <v>0.0</v>
      </c>
      <c r="S186" s="238">
        <v>8.0</v>
      </c>
      <c r="T186" s="238">
        <v>0.0</v>
      </c>
      <c r="U186" s="235" t="s">
        <v>16</v>
      </c>
      <c r="V186" s="231"/>
    </row>
    <row r="187">
      <c r="A187" s="237">
        <v>46228.0</v>
      </c>
      <c r="B187" s="235" t="s">
        <v>1246</v>
      </c>
      <c r="C187" s="235" t="s">
        <v>377</v>
      </c>
      <c r="D187" s="235" t="s">
        <v>64</v>
      </c>
      <c r="E187" s="235" t="s">
        <v>378</v>
      </c>
      <c r="F187" s="235" t="s">
        <v>503</v>
      </c>
      <c r="G187" s="238">
        <v>2.0</v>
      </c>
      <c r="H187" s="238">
        <v>0.0</v>
      </c>
      <c r="I187" s="238">
        <v>0.0</v>
      </c>
      <c r="J187" s="238">
        <v>0.0</v>
      </c>
      <c r="K187" s="238">
        <v>0.0</v>
      </c>
      <c r="L187" s="238">
        <v>0.0</v>
      </c>
      <c r="M187" s="238">
        <v>0.0</v>
      </c>
      <c r="N187" s="238">
        <v>0.0</v>
      </c>
      <c r="O187" s="238">
        <v>0.0</v>
      </c>
      <c r="P187" s="238">
        <v>0.0</v>
      </c>
      <c r="Q187" s="238">
        <v>0.0</v>
      </c>
      <c r="R187" s="238">
        <v>0.0</v>
      </c>
      <c r="S187" s="238">
        <v>2.0</v>
      </c>
      <c r="T187" s="238">
        <v>0.0</v>
      </c>
      <c r="U187" s="235" t="s">
        <v>17</v>
      </c>
      <c r="V187" s="238"/>
    </row>
    <row r="188">
      <c r="A188" s="237">
        <v>46228.0</v>
      </c>
      <c r="B188" s="235" t="s">
        <v>1246</v>
      </c>
      <c r="C188" s="235" t="s">
        <v>377</v>
      </c>
      <c r="D188" s="235" t="s">
        <v>64</v>
      </c>
      <c r="E188" s="235" t="s">
        <v>378</v>
      </c>
      <c r="F188" s="235" t="s">
        <v>503</v>
      </c>
      <c r="G188" s="238">
        <v>2.0</v>
      </c>
      <c r="H188" s="238">
        <v>0.0</v>
      </c>
      <c r="I188" s="238">
        <v>0.0</v>
      </c>
      <c r="J188" s="238">
        <v>0.0</v>
      </c>
      <c r="K188" s="238">
        <v>0.0</v>
      </c>
      <c r="L188" s="238">
        <v>0.0</v>
      </c>
      <c r="M188" s="238">
        <v>0.0</v>
      </c>
      <c r="N188" s="238">
        <v>0.0</v>
      </c>
      <c r="O188" s="238">
        <v>0.0</v>
      </c>
      <c r="P188" s="238">
        <v>0.0</v>
      </c>
      <c r="Q188" s="238">
        <v>0.0</v>
      </c>
      <c r="R188" s="238">
        <v>0.0</v>
      </c>
      <c r="S188" s="238">
        <v>2.0</v>
      </c>
      <c r="T188" s="238">
        <v>0.0</v>
      </c>
      <c r="U188" s="235" t="s">
        <v>155</v>
      </c>
      <c r="V188" s="231"/>
    </row>
    <row r="189">
      <c r="A189" s="237">
        <v>46228.0</v>
      </c>
      <c r="B189" s="235" t="s">
        <v>1246</v>
      </c>
      <c r="C189" s="235" t="s">
        <v>377</v>
      </c>
      <c r="D189" s="235" t="s">
        <v>64</v>
      </c>
      <c r="E189" s="235" t="s">
        <v>378</v>
      </c>
      <c r="F189" s="235" t="s">
        <v>503</v>
      </c>
      <c r="G189" s="238">
        <v>1.0</v>
      </c>
      <c r="H189" s="238">
        <v>0.0</v>
      </c>
      <c r="I189" s="238">
        <v>0.0</v>
      </c>
      <c r="J189" s="238">
        <v>0.0</v>
      </c>
      <c r="K189" s="238">
        <v>0.0</v>
      </c>
      <c r="L189" s="238">
        <v>0.0</v>
      </c>
      <c r="M189" s="238">
        <v>0.0</v>
      </c>
      <c r="N189" s="238">
        <v>0.0</v>
      </c>
      <c r="O189" s="238">
        <v>0.0</v>
      </c>
      <c r="P189" s="238">
        <v>0.0</v>
      </c>
      <c r="Q189" s="238">
        <v>0.0</v>
      </c>
      <c r="R189" s="238">
        <v>0.0</v>
      </c>
      <c r="S189" s="238">
        <v>1.0</v>
      </c>
      <c r="T189" s="238">
        <v>0.0</v>
      </c>
      <c r="U189" s="235" t="s">
        <v>533</v>
      </c>
      <c r="V189" s="231"/>
    </row>
    <row r="190">
      <c r="A190" s="237">
        <v>46228.0</v>
      </c>
      <c r="B190" s="235" t="s">
        <v>1246</v>
      </c>
      <c r="C190" s="235" t="s">
        <v>377</v>
      </c>
      <c r="D190" s="235" t="s">
        <v>64</v>
      </c>
      <c r="E190" s="235" t="s">
        <v>378</v>
      </c>
      <c r="F190" s="235" t="s">
        <v>503</v>
      </c>
      <c r="G190" s="238">
        <v>4.0</v>
      </c>
      <c r="H190" s="238">
        <v>0.0</v>
      </c>
      <c r="I190" s="238">
        <v>0.0</v>
      </c>
      <c r="J190" s="238">
        <v>0.0</v>
      </c>
      <c r="K190" s="238">
        <v>0.0</v>
      </c>
      <c r="L190" s="238">
        <v>0.0</v>
      </c>
      <c r="M190" s="238">
        <v>0.0</v>
      </c>
      <c r="N190" s="238">
        <v>0.0</v>
      </c>
      <c r="O190" s="238">
        <v>0.0</v>
      </c>
      <c r="P190" s="238">
        <v>0.0</v>
      </c>
      <c r="Q190" s="238">
        <v>0.0</v>
      </c>
      <c r="R190" s="238">
        <v>0.0</v>
      </c>
      <c r="S190" s="238">
        <v>4.0</v>
      </c>
      <c r="T190" s="238">
        <v>0.0</v>
      </c>
      <c r="U190" s="235" t="s">
        <v>13</v>
      </c>
      <c r="V190" s="231"/>
    </row>
    <row r="191">
      <c r="A191" s="237">
        <v>46228.0</v>
      </c>
      <c r="B191" s="235" t="s">
        <v>1246</v>
      </c>
      <c r="C191" s="235" t="s">
        <v>377</v>
      </c>
      <c r="D191" s="235" t="s">
        <v>64</v>
      </c>
      <c r="E191" s="235" t="s">
        <v>378</v>
      </c>
      <c r="F191" s="235" t="s">
        <v>503</v>
      </c>
      <c r="G191" s="238">
        <v>5.0</v>
      </c>
      <c r="H191" s="238">
        <v>0.0</v>
      </c>
      <c r="I191" s="238">
        <v>0.0</v>
      </c>
      <c r="J191" s="238">
        <v>0.0</v>
      </c>
      <c r="K191" s="238">
        <v>0.0</v>
      </c>
      <c r="L191" s="238">
        <v>0.0</v>
      </c>
      <c r="M191" s="238">
        <v>0.0</v>
      </c>
      <c r="N191" s="238">
        <v>0.0</v>
      </c>
      <c r="O191" s="238">
        <v>0.0</v>
      </c>
      <c r="P191" s="238">
        <v>0.0</v>
      </c>
      <c r="Q191" s="238">
        <v>0.0</v>
      </c>
      <c r="R191" s="238">
        <v>0.0</v>
      </c>
      <c r="S191" s="238">
        <v>5.0</v>
      </c>
      <c r="T191" s="238">
        <v>0.0</v>
      </c>
      <c r="U191" s="235" t="s">
        <v>14</v>
      </c>
      <c r="V191" s="238"/>
    </row>
    <row r="192">
      <c r="A192" s="237">
        <v>46228.0</v>
      </c>
      <c r="B192" s="235" t="s">
        <v>1246</v>
      </c>
      <c r="C192" s="235" t="s">
        <v>377</v>
      </c>
      <c r="D192" s="235" t="s">
        <v>64</v>
      </c>
      <c r="E192" s="235" t="s">
        <v>378</v>
      </c>
      <c r="F192" s="235" t="s">
        <v>503</v>
      </c>
      <c r="G192" s="238">
        <v>8.0</v>
      </c>
      <c r="H192" s="238">
        <v>0.0</v>
      </c>
      <c r="I192" s="238">
        <v>0.0</v>
      </c>
      <c r="J192" s="238">
        <v>0.0</v>
      </c>
      <c r="K192" s="238">
        <v>0.0</v>
      </c>
      <c r="L192" s="238">
        <v>0.0</v>
      </c>
      <c r="M192" s="238">
        <v>0.0</v>
      </c>
      <c r="N192" s="238">
        <v>0.0</v>
      </c>
      <c r="O192" s="238">
        <v>0.0</v>
      </c>
      <c r="P192" s="238">
        <v>0.0</v>
      </c>
      <c r="Q192" s="238">
        <v>0.0</v>
      </c>
      <c r="R192" s="238">
        <v>0.0</v>
      </c>
      <c r="S192" s="238">
        <v>8.0</v>
      </c>
      <c r="T192" s="238">
        <v>0.0</v>
      </c>
      <c r="U192" s="235" t="s">
        <v>20</v>
      </c>
      <c r="V192" s="94"/>
    </row>
    <row r="193">
      <c r="A193" s="237">
        <v>46228.0</v>
      </c>
      <c r="B193" s="235" t="s">
        <v>1246</v>
      </c>
      <c r="C193" s="235" t="s">
        <v>377</v>
      </c>
      <c r="D193" s="235" t="s">
        <v>64</v>
      </c>
      <c r="E193" s="235" t="s">
        <v>378</v>
      </c>
      <c r="F193" s="235" t="s">
        <v>503</v>
      </c>
      <c r="G193" s="238">
        <v>2.0</v>
      </c>
      <c r="H193" s="238">
        <v>0.0</v>
      </c>
      <c r="I193" s="238">
        <v>0.0</v>
      </c>
      <c r="J193" s="238">
        <v>0.0</v>
      </c>
      <c r="K193" s="238">
        <v>0.0</v>
      </c>
      <c r="L193" s="238">
        <v>0.0</v>
      </c>
      <c r="M193" s="238">
        <v>0.0</v>
      </c>
      <c r="N193" s="238">
        <v>0.0</v>
      </c>
      <c r="O193" s="238">
        <v>0.0</v>
      </c>
      <c r="P193" s="238">
        <v>0.0</v>
      </c>
      <c r="Q193" s="238">
        <v>0.0</v>
      </c>
      <c r="R193" s="238">
        <v>0.0</v>
      </c>
      <c r="S193" s="238">
        <v>2.0</v>
      </c>
      <c r="T193" s="238">
        <v>0.0</v>
      </c>
      <c r="U193" s="235" t="s">
        <v>546</v>
      </c>
      <c r="V193" s="231"/>
    </row>
    <row r="194">
      <c r="A194" s="237">
        <v>46228.0</v>
      </c>
      <c r="B194" s="235" t="s">
        <v>1296</v>
      </c>
      <c r="C194" s="235" t="s">
        <v>348</v>
      </c>
      <c r="D194" s="235" t="s">
        <v>58</v>
      </c>
      <c r="E194" s="235" t="s">
        <v>349</v>
      </c>
      <c r="F194" s="235" t="s">
        <v>503</v>
      </c>
      <c r="G194" s="238">
        <v>1.0</v>
      </c>
      <c r="H194" s="238">
        <v>0.0</v>
      </c>
      <c r="I194" s="238">
        <v>0.0</v>
      </c>
      <c r="J194" s="238">
        <v>0.0</v>
      </c>
      <c r="K194" s="238">
        <v>0.0</v>
      </c>
      <c r="L194" s="238">
        <v>0.0</v>
      </c>
      <c r="M194" s="238">
        <v>0.0</v>
      </c>
      <c r="N194" s="238">
        <v>0.0</v>
      </c>
      <c r="O194" s="238">
        <v>0.0</v>
      </c>
      <c r="P194" s="238">
        <v>0.0</v>
      </c>
      <c r="Q194" s="238">
        <v>0.0</v>
      </c>
      <c r="R194" s="238">
        <v>0.0</v>
      </c>
      <c r="S194" s="238">
        <v>1.0</v>
      </c>
      <c r="T194" s="238">
        <v>0.0</v>
      </c>
      <c r="U194" s="235" t="s">
        <v>5</v>
      </c>
      <c r="V194" s="238"/>
    </row>
    <row r="195">
      <c r="A195" s="237">
        <v>46228.0</v>
      </c>
      <c r="B195" s="235" t="s">
        <v>1296</v>
      </c>
      <c r="C195" s="235" t="s">
        <v>348</v>
      </c>
      <c r="D195" s="235" t="s">
        <v>58</v>
      </c>
      <c r="E195" s="235" t="s">
        <v>349</v>
      </c>
      <c r="F195" s="235" t="s">
        <v>503</v>
      </c>
      <c r="G195" s="238">
        <v>0.0</v>
      </c>
      <c r="H195" s="238">
        <v>1.0</v>
      </c>
      <c r="I195" s="238">
        <v>0.0</v>
      </c>
      <c r="J195" s="238">
        <v>0.0</v>
      </c>
      <c r="K195" s="238">
        <v>0.0</v>
      </c>
      <c r="L195" s="238">
        <v>0.0</v>
      </c>
      <c r="M195" s="238">
        <v>0.0</v>
      </c>
      <c r="N195" s="238">
        <v>0.0</v>
      </c>
      <c r="O195" s="238">
        <v>0.0</v>
      </c>
      <c r="P195" s="238">
        <v>0.0</v>
      </c>
      <c r="Q195" s="238">
        <v>0.0</v>
      </c>
      <c r="R195" s="238">
        <v>0.0</v>
      </c>
      <c r="S195" s="238">
        <v>0.0</v>
      </c>
      <c r="T195" s="238">
        <v>0.0</v>
      </c>
      <c r="U195" s="235" t="s">
        <v>596</v>
      </c>
      <c r="V195" s="94"/>
    </row>
    <row r="196">
      <c r="A196" s="237">
        <v>46228.0</v>
      </c>
      <c r="B196" s="235" t="s">
        <v>1296</v>
      </c>
      <c r="C196" s="235" t="s">
        <v>348</v>
      </c>
      <c r="D196" s="235" t="s">
        <v>58</v>
      </c>
      <c r="E196" s="235" t="s">
        <v>349</v>
      </c>
      <c r="F196" s="235" t="s">
        <v>503</v>
      </c>
      <c r="G196" s="238">
        <v>1.0</v>
      </c>
      <c r="H196" s="238">
        <v>0.0</v>
      </c>
      <c r="I196" s="238">
        <v>0.0</v>
      </c>
      <c r="J196" s="238">
        <v>0.0</v>
      </c>
      <c r="K196" s="238">
        <v>0.0</v>
      </c>
      <c r="L196" s="238">
        <v>0.0</v>
      </c>
      <c r="M196" s="238">
        <v>0.0</v>
      </c>
      <c r="N196" s="238">
        <v>0.0</v>
      </c>
      <c r="O196" s="238">
        <v>0.0</v>
      </c>
      <c r="P196" s="238">
        <v>0.0</v>
      </c>
      <c r="Q196" s="238">
        <v>0.0</v>
      </c>
      <c r="R196" s="238">
        <v>0.0</v>
      </c>
      <c r="S196" s="238">
        <v>1.0</v>
      </c>
      <c r="T196" s="238">
        <v>0.0</v>
      </c>
      <c r="U196" s="235" t="s">
        <v>9</v>
      </c>
      <c r="V196" s="231"/>
    </row>
    <row r="197">
      <c r="A197" s="237">
        <v>46228.0</v>
      </c>
      <c r="B197" s="235" t="s">
        <v>1296</v>
      </c>
      <c r="C197" s="235" t="s">
        <v>348</v>
      </c>
      <c r="D197" s="235" t="s">
        <v>58</v>
      </c>
      <c r="E197" s="235" t="s">
        <v>349</v>
      </c>
      <c r="F197" s="235" t="s">
        <v>503</v>
      </c>
      <c r="G197" s="238">
        <v>3.0</v>
      </c>
      <c r="H197" s="238">
        <v>0.0</v>
      </c>
      <c r="I197" s="238">
        <v>0.0</v>
      </c>
      <c r="J197" s="238">
        <v>0.0</v>
      </c>
      <c r="K197" s="238">
        <v>0.0</v>
      </c>
      <c r="L197" s="238">
        <v>0.0</v>
      </c>
      <c r="M197" s="238">
        <v>0.0</v>
      </c>
      <c r="N197" s="238">
        <v>0.0</v>
      </c>
      <c r="O197" s="238">
        <v>0.0</v>
      </c>
      <c r="P197" s="238">
        <v>0.0</v>
      </c>
      <c r="Q197" s="238">
        <v>0.0</v>
      </c>
      <c r="R197" s="238">
        <v>0.0</v>
      </c>
      <c r="S197" s="238">
        <v>3.0</v>
      </c>
      <c r="T197" s="238">
        <v>0.0</v>
      </c>
      <c r="U197" s="235" t="s">
        <v>16</v>
      </c>
      <c r="V197" s="231"/>
    </row>
    <row r="198">
      <c r="A198" s="237">
        <v>46228.0</v>
      </c>
      <c r="B198" s="235" t="s">
        <v>1296</v>
      </c>
      <c r="C198" s="235" t="s">
        <v>348</v>
      </c>
      <c r="D198" s="235" t="s">
        <v>58</v>
      </c>
      <c r="E198" s="235" t="s">
        <v>349</v>
      </c>
      <c r="F198" s="235" t="s">
        <v>503</v>
      </c>
      <c r="G198" s="238">
        <v>2.0</v>
      </c>
      <c r="H198" s="238">
        <v>0.0</v>
      </c>
      <c r="I198" s="238">
        <v>0.0</v>
      </c>
      <c r="J198" s="238">
        <v>0.0</v>
      </c>
      <c r="K198" s="238">
        <v>0.0</v>
      </c>
      <c r="L198" s="238">
        <v>0.0</v>
      </c>
      <c r="M198" s="238">
        <v>0.0</v>
      </c>
      <c r="N198" s="238">
        <v>0.0</v>
      </c>
      <c r="O198" s="238">
        <v>0.0</v>
      </c>
      <c r="P198" s="238">
        <v>0.0</v>
      </c>
      <c r="Q198" s="238">
        <v>0.0</v>
      </c>
      <c r="R198" s="238">
        <v>0.0</v>
      </c>
      <c r="S198" s="238">
        <v>2.0</v>
      </c>
      <c r="T198" s="238">
        <v>0.0</v>
      </c>
      <c r="U198" s="235" t="s">
        <v>17</v>
      </c>
      <c r="V198" s="231"/>
    </row>
    <row r="199">
      <c r="A199" s="237">
        <v>46228.0</v>
      </c>
      <c r="B199" s="235" t="s">
        <v>1296</v>
      </c>
      <c r="C199" s="235" t="s">
        <v>348</v>
      </c>
      <c r="D199" s="235" t="s">
        <v>58</v>
      </c>
      <c r="E199" s="235" t="s">
        <v>349</v>
      </c>
      <c r="F199" s="235" t="s">
        <v>503</v>
      </c>
      <c r="G199" s="238">
        <v>2.0</v>
      </c>
      <c r="H199" s="238">
        <v>0.0</v>
      </c>
      <c r="I199" s="238">
        <v>0.0</v>
      </c>
      <c r="J199" s="238">
        <v>0.0</v>
      </c>
      <c r="K199" s="238">
        <v>0.0</v>
      </c>
      <c r="L199" s="238">
        <v>0.0</v>
      </c>
      <c r="M199" s="238">
        <v>0.0</v>
      </c>
      <c r="N199" s="238">
        <v>0.0</v>
      </c>
      <c r="O199" s="238">
        <v>0.0</v>
      </c>
      <c r="P199" s="238">
        <v>0.0</v>
      </c>
      <c r="Q199" s="238">
        <v>0.0</v>
      </c>
      <c r="R199" s="238">
        <v>0.0</v>
      </c>
      <c r="S199" s="238">
        <v>2.0</v>
      </c>
      <c r="T199" s="238">
        <v>0.0</v>
      </c>
      <c r="U199" s="235" t="s">
        <v>14</v>
      </c>
      <c r="V199" s="231"/>
    </row>
    <row r="200">
      <c r="A200" s="237">
        <v>46228.0</v>
      </c>
      <c r="B200" s="235" t="s">
        <v>1296</v>
      </c>
      <c r="C200" s="235" t="s">
        <v>348</v>
      </c>
      <c r="D200" s="235" t="s">
        <v>58</v>
      </c>
      <c r="E200" s="235" t="s">
        <v>349</v>
      </c>
      <c r="F200" s="235" t="s">
        <v>503</v>
      </c>
      <c r="G200" s="238">
        <v>4.0</v>
      </c>
      <c r="H200" s="238">
        <v>0.0</v>
      </c>
      <c r="I200" s="238">
        <v>0.0</v>
      </c>
      <c r="J200" s="238">
        <v>0.0</v>
      </c>
      <c r="K200" s="238">
        <v>0.0</v>
      </c>
      <c r="L200" s="238">
        <v>0.0</v>
      </c>
      <c r="M200" s="238">
        <v>0.0</v>
      </c>
      <c r="N200" s="238">
        <v>0.0</v>
      </c>
      <c r="O200" s="238">
        <v>0.0</v>
      </c>
      <c r="P200" s="238">
        <v>0.0</v>
      </c>
      <c r="Q200" s="238">
        <v>0.0</v>
      </c>
      <c r="R200" s="238">
        <v>0.0</v>
      </c>
      <c r="S200" s="238">
        <v>4.0</v>
      </c>
      <c r="T200" s="238">
        <v>0.0</v>
      </c>
      <c r="U200" s="235" t="s">
        <v>20</v>
      </c>
      <c r="V200" s="231"/>
    </row>
    <row r="201">
      <c r="A201" s="237">
        <v>46228.0</v>
      </c>
      <c r="B201" s="235" t="s">
        <v>1296</v>
      </c>
      <c r="C201" s="235" t="s">
        <v>348</v>
      </c>
      <c r="D201" s="235" t="s">
        <v>58</v>
      </c>
      <c r="E201" s="235" t="s">
        <v>349</v>
      </c>
      <c r="F201" s="235" t="s">
        <v>503</v>
      </c>
      <c r="G201" s="238">
        <v>1.0</v>
      </c>
      <c r="H201" s="238">
        <v>0.0</v>
      </c>
      <c r="I201" s="238">
        <v>0.0</v>
      </c>
      <c r="J201" s="238">
        <v>0.0</v>
      </c>
      <c r="K201" s="238">
        <v>0.0</v>
      </c>
      <c r="L201" s="238">
        <v>0.0</v>
      </c>
      <c r="M201" s="238">
        <v>0.0</v>
      </c>
      <c r="N201" s="238">
        <v>0.0</v>
      </c>
      <c r="O201" s="238">
        <v>0.0</v>
      </c>
      <c r="P201" s="238">
        <v>0.0</v>
      </c>
      <c r="Q201" s="238">
        <v>0.0</v>
      </c>
      <c r="R201" s="238">
        <v>0.0</v>
      </c>
      <c r="S201" s="238">
        <v>1.0</v>
      </c>
      <c r="T201" s="238">
        <v>0.0</v>
      </c>
      <c r="U201" s="235" t="s">
        <v>156</v>
      </c>
      <c r="V201" s="238"/>
    </row>
    <row r="202">
      <c r="A202" s="237">
        <v>46228.0</v>
      </c>
      <c r="B202" s="235" t="s">
        <v>1296</v>
      </c>
      <c r="C202" s="235" t="s">
        <v>348</v>
      </c>
      <c r="D202" s="235" t="s">
        <v>58</v>
      </c>
      <c r="E202" s="235" t="s">
        <v>349</v>
      </c>
      <c r="F202" s="235" t="s">
        <v>503</v>
      </c>
      <c r="G202" s="238">
        <v>1.0</v>
      </c>
      <c r="H202" s="238">
        <v>0.0</v>
      </c>
      <c r="I202" s="238">
        <v>0.0</v>
      </c>
      <c r="J202" s="238">
        <v>0.0</v>
      </c>
      <c r="K202" s="238">
        <v>0.0</v>
      </c>
      <c r="L202" s="238">
        <v>0.0</v>
      </c>
      <c r="M202" s="238">
        <v>0.0</v>
      </c>
      <c r="N202" s="238">
        <v>0.0</v>
      </c>
      <c r="O202" s="238">
        <v>0.0</v>
      </c>
      <c r="P202" s="238">
        <v>0.0</v>
      </c>
      <c r="Q202" s="238">
        <v>0.0</v>
      </c>
      <c r="R202" s="238">
        <v>0.0</v>
      </c>
      <c r="S202" s="238">
        <v>1.0</v>
      </c>
      <c r="T202" s="238">
        <v>0.0</v>
      </c>
      <c r="U202" s="235" t="s">
        <v>546</v>
      </c>
      <c r="V202" s="94"/>
    </row>
    <row r="203">
      <c r="A203" s="237">
        <v>46228.0</v>
      </c>
      <c r="B203" s="235" t="s">
        <v>1337</v>
      </c>
      <c r="C203" s="235" t="s">
        <v>414</v>
      </c>
      <c r="D203" s="235" t="s">
        <v>56</v>
      </c>
      <c r="E203" s="235" t="s">
        <v>415</v>
      </c>
      <c r="F203" s="235" t="s">
        <v>514</v>
      </c>
      <c r="G203" s="238">
        <v>1.0</v>
      </c>
      <c r="H203" s="238">
        <v>0.0</v>
      </c>
      <c r="I203" s="238">
        <v>0.0</v>
      </c>
      <c r="J203" s="238">
        <v>0.0</v>
      </c>
      <c r="K203" s="238">
        <v>0.0</v>
      </c>
      <c r="L203" s="238">
        <v>0.0</v>
      </c>
      <c r="M203" s="238">
        <v>0.0</v>
      </c>
      <c r="N203" s="238">
        <v>0.0</v>
      </c>
      <c r="O203" s="238">
        <v>0.0</v>
      </c>
      <c r="P203" s="238">
        <v>0.0</v>
      </c>
      <c r="Q203" s="238">
        <v>0.0</v>
      </c>
      <c r="R203" s="238">
        <v>0.0</v>
      </c>
      <c r="S203" s="238">
        <v>0.0</v>
      </c>
      <c r="T203" s="238">
        <v>0.0</v>
      </c>
      <c r="U203" s="235" t="s">
        <v>16</v>
      </c>
      <c r="V203" s="231"/>
    </row>
    <row r="204">
      <c r="A204" s="237">
        <v>46228.0</v>
      </c>
      <c r="B204" s="235" t="s">
        <v>1337</v>
      </c>
      <c r="C204" s="235" t="s">
        <v>414</v>
      </c>
      <c r="D204" s="235" t="s">
        <v>56</v>
      </c>
      <c r="E204" s="235" t="s">
        <v>415</v>
      </c>
      <c r="F204" s="235" t="s">
        <v>503</v>
      </c>
      <c r="G204" s="238">
        <v>0.0</v>
      </c>
      <c r="H204" s="238">
        <v>3.0</v>
      </c>
      <c r="I204" s="238">
        <v>0.0</v>
      </c>
      <c r="J204" s="238">
        <v>0.0</v>
      </c>
      <c r="K204" s="238">
        <v>0.0</v>
      </c>
      <c r="L204" s="238">
        <v>0.0</v>
      </c>
      <c r="M204" s="238">
        <v>0.0</v>
      </c>
      <c r="N204" s="238">
        <v>0.0</v>
      </c>
      <c r="O204" s="238">
        <v>0.0</v>
      </c>
      <c r="P204" s="238">
        <v>0.0</v>
      </c>
      <c r="Q204" s="238">
        <v>0.0</v>
      </c>
      <c r="R204" s="238">
        <v>0.0</v>
      </c>
      <c r="S204" s="238">
        <v>0.0</v>
      </c>
      <c r="T204" s="238">
        <v>0.0</v>
      </c>
      <c r="U204" s="235" t="s">
        <v>596</v>
      </c>
      <c r="V204" s="231"/>
    </row>
    <row r="205">
      <c r="A205" s="237">
        <v>46228.0</v>
      </c>
      <c r="B205" s="235" t="s">
        <v>1337</v>
      </c>
      <c r="C205" s="235" t="s">
        <v>414</v>
      </c>
      <c r="D205" s="235" t="s">
        <v>56</v>
      </c>
      <c r="E205" s="235" t="s">
        <v>415</v>
      </c>
      <c r="F205" s="235" t="s">
        <v>503</v>
      </c>
      <c r="G205" s="238">
        <v>1.0</v>
      </c>
      <c r="H205" s="238">
        <v>0.0</v>
      </c>
      <c r="I205" s="238">
        <v>0.0</v>
      </c>
      <c r="J205" s="238">
        <v>0.0</v>
      </c>
      <c r="K205" s="238">
        <v>0.0</v>
      </c>
      <c r="L205" s="238">
        <v>0.0</v>
      </c>
      <c r="M205" s="238">
        <v>0.0</v>
      </c>
      <c r="N205" s="238">
        <v>0.0</v>
      </c>
      <c r="O205" s="238">
        <v>0.0</v>
      </c>
      <c r="P205" s="238">
        <v>0.0</v>
      </c>
      <c r="Q205" s="238">
        <v>0.0</v>
      </c>
      <c r="R205" s="238">
        <v>0.0</v>
      </c>
      <c r="S205" s="238">
        <v>1.0</v>
      </c>
      <c r="T205" s="238">
        <v>0.0</v>
      </c>
      <c r="U205" s="235" t="s">
        <v>9</v>
      </c>
      <c r="V205" s="231"/>
    </row>
    <row r="206">
      <c r="A206" s="237">
        <v>46228.0</v>
      </c>
      <c r="B206" s="235" t="s">
        <v>1337</v>
      </c>
      <c r="C206" s="235" t="s">
        <v>414</v>
      </c>
      <c r="D206" s="235" t="s">
        <v>56</v>
      </c>
      <c r="E206" s="235" t="s">
        <v>415</v>
      </c>
      <c r="F206" s="235" t="s">
        <v>503</v>
      </c>
      <c r="G206" s="238">
        <v>2.0</v>
      </c>
      <c r="H206" s="238">
        <v>0.0</v>
      </c>
      <c r="I206" s="238">
        <v>0.0</v>
      </c>
      <c r="J206" s="238">
        <v>0.0</v>
      </c>
      <c r="K206" s="238">
        <v>0.0</v>
      </c>
      <c r="L206" s="238">
        <v>0.0</v>
      </c>
      <c r="M206" s="238">
        <v>0.0</v>
      </c>
      <c r="N206" s="238">
        <v>0.0</v>
      </c>
      <c r="O206" s="238">
        <v>0.0</v>
      </c>
      <c r="P206" s="238">
        <v>0.0</v>
      </c>
      <c r="Q206" s="238">
        <v>0.0</v>
      </c>
      <c r="R206" s="238">
        <v>0.0</v>
      </c>
      <c r="S206" s="238">
        <v>2.0</v>
      </c>
      <c r="T206" s="238">
        <v>0.0</v>
      </c>
      <c r="U206" s="235" t="s">
        <v>11</v>
      </c>
      <c r="V206" s="231"/>
    </row>
    <row r="207">
      <c r="A207" s="237">
        <v>46228.0</v>
      </c>
      <c r="B207" s="235" t="s">
        <v>1337</v>
      </c>
      <c r="C207" s="235" t="s">
        <v>414</v>
      </c>
      <c r="D207" s="235" t="s">
        <v>56</v>
      </c>
      <c r="E207" s="235" t="s">
        <v>415</v>
      </c>
      <c r="F207" s="235" t="s">
        <v>503</v>
      </c>
      <c r="G207" s="238">
        <v>2.0</v>
      </c>
      <c r="H207" s="238">
        <v>0.0</v>
      </c>
      <c r="I207" s="238">
        <v>0.0</v>
      </c>
      <c r="J207" s="238">
        <v>0.0</v>
      </c>
      <c r="K207" s="238">
        <v>0.0</v>
      </c>
      <c r="L207" s="238">
        <v>0.0</v>
      </c>
      <c r="M207" s="238">
        <v>0.0</v>
      </c>
      <c r="N207" s="238">
        <v>0.0</v>
      </c>
      <c r="O207" s="238">
        <v>0.0</v>
      </c>
      <c r="P207" s="238">
        <v>0.0</v>
      </c>
      <c r="Q207" s="238">
        <v>0.0</v>
      </c>
      <c r="R207" s="238">
        <v>0.0</v>
      </c>
      <c r="S207" s="238">
        <v>2.0</v>
      </c>
      <c r="T207" s="238">
        <v>0.0</v>
      </c>
      <c r="U207" s="235" t="s">
        <v>16</v>
      </c>
      <c r="V207" s="94"/>
    </row>
    <row r="208">
      <c r="A208" s="237">
        <v>46228.0</v>
      </c>
      <c r="B208" s="235" t="s">
        <v>1337</v>
      </c>
      <c r="C208" s="235" t="s">
        <v>414</v>
      </c>
      <c r="D208" s="235" t="s">
        <v>56</v>
      </c>
      <c r="E208" s="235" t="s">
        <v>415</v>
      </c>
      <c r="F208" s="235" t="s">
        <v>503</v>
      </c>
      <c r="G208" s="238">
        <v>3.0</v>
      </c>
      <c r="H208" s="238">
        <v>0.0</v>
      </c>
      <c r="I208" s="238">
        <v>0.0</v>
      </c>
      <c r="J208" s="238">
        <v>0.0</v>
      </c>
      <c r="K208" s="238">
        <v>0.0</v>
      </c>
      <c r="L208" s="238">
        <v>0.0</v>
      </c>
      <c r="M208" s="238">
        <v>0.0</v>
      </c>
      <c r="N208" s="238">
        <v>0.0</v>
      </c>
      <c r="O208" s="238">
        <v>0.0</v>
      </c>
      <c r="P208" s="238">
        <v>0.0</v>
      </c>
      <c r="Q208" s="238">
        <v>0.0</v>
      </c>
      <c r="R208" s="238">
        <v>0.0</v>
      </c>
      <c r="S208" s="238">
        <v>3.0</v>
      </c>
      <c r="T208" s="238">
        <v>0.0</v>
      </c>
      <c r="U208" s="235" t="s">
        <v>533</v>
      </c>
      <c r="V208" s="231"/>
    </row>
    <row r="209">
      <c r="A209" s="237">
        <v>46228.0</v>
      </c>
      <c r="B209" s="235" t="s">
        <v>1337</v>
      </c>
      <c r="C209" s="235" t="s">
        <v>414</v>
      </c>
      <c r="D209" s="235" t="s">
        <v>56</v>
      </c>
      <c r="E209" s="235" t="s">
        <v>415</v>
      </c>
      <c r="F209" s="235" t="s">
        <v>503</v>
      </c>
      <c r="G209" s="238">
        <v>4.0</v>
      </c>
      <c r="H209" s="238">
        <v>0.0</v>
      </c>
      <c r="I209" s="238">
        <v>0.0</v>
      </c>
      <c r="J209" s="238">
        <v>0.0</v>
      </c>
      <c r="K209" s="238">
        <v>0.0</v>
      </c>
      <c r="L209" s="238">
        <v>0.0</v>
      </c>
      <c r="M209" s="238">
        <v>0.0</v>
      </c>
      <c r="N209" s="238">
        <v>0.0</v>
      </c>
      <c r="O209" s="238">
        <v>0.0</v>
      </c>
      <c r="P209" s="238">
        <v>0.0</v>
      </c>
      <c r="Q209" s="238">
        <v>0.0</v>
      </c>
      <c r="R209" s="238">
        <v>0.0</v>
      </c>
      <c r="S209" s="238">
        <v>4.0</v>
      </c>
      <c r="T209" s="238">
        <v>0.0</v>
      </c>
      <c r="U209" s="235" t="s">
        <v>13</v>
      </c>
      <c r="V209" s="238"/>
    </row>
    <row r="210">
      <c r="A210" s="237">
        <v>46228.0</v>
      </c>
      <c r="B210" s="235" t="s">
        <v>1337</v>
      </c>
      <c r="C210" s="235" t="s">
        <v>414</v>
      </c>
      <c r="D210" s="235" t="s">
        <v>56</v>
      </c>
      <c r="E210" s="235" t="s">
        <v>415</v>
      </c>
      <c r="F210" s="235" t="s">
        <v>503</v>
      </c>
      <c r="G210" s="238">
        <v>4.0</v>
      </c>
      <c r="H210" s="238">
        <v>0.0</v>
      </c>
      <c r="I210" s="238">
        <v>0.0</v>
      </c>
      <c r="J210" s="238">
        <v>0.0</v>
      </c>
      <c r="K210" s="238">
        <v>0.0</v>
      </c>
      <c r="L210" s="238">
        <v>0.0</v>
      </c>
      <c r="M210" s="238">
        <v>0.0</v>
      </c>
      <c r="N210" s="238">
        <v>0.0</v>
      </c>
      <c r="O210" s="238">
        <v>0.0</v>
      </c>
      <c r="P210" s="238">
        <v>0.0</v>
      </c>
      <c r="Q210" s="238">
        <v>0.0</v>
      </c>
      <c r="R210" s="238">
        <v>0.0</v>
      </c>
      <c r="S210" s="238">
        <v>4.0</v>
      </c>
      <c r="T210" s="238">
        <v>0.0</v>
      </c>
      <c r="U210" s="235" t="s">
        <v>14</v>
      </c>
      <c r="V210" s="231"/>
    </row>
    <row r="211">
      <c r="A211" s="237">
        <v>46228.0</v>
      </c>
      <c r="B211" s="235" t="s">
        <v>1337</v>
      </c>
      <c r="C211" s="235" t="s">
        <v>414</v>
      </c>
      <c r="D211" s="235" t="s">
        <v>56</v>
      </c>
      <c r="E211" s="235" t="s">
        <v>415</v>
      </c>
      <c r="F211" s="235" t="s">
        <v>503</v>
      </c>
      <c r="G211" s="238">
        <v>9.0</v>
      </c>
      <c r="H211" s="238">
        <v>0.0</v>
      </c>
      <c r="I211" s="238">
        <v>0.0</v>
      </c>
      <c r="J211" s="238">
        <v>0.0</v>
      </c>
      <c r="K211" s="238">
        <v>0.0</v>
      </c>
      <c r="L211" s="238">
        <v>0.0</v>
      </c>
      <c r="M211" s="238">
        <v>0.0</v>
      </c>
      <c r="N211" s="238">
        <v>0.0</v>
      </c>
      <c r="O211" s="238">
        <v>0.0</v>
      </c>
      <c r="P211" s="238">
        <v>0.0</v>
      </c>
      <c r="Q211" s="238">
        <v>0.0</v>
      </c>
      <c r="R211" s="238">
        <v>0.0</v>
      </c>
      <c r="S211" s="238">
        <v>9.0</v>
      </c>
      <c r="T211" s="238">
        <v>0.0</v>
      </c>
      <c r="U211" s="235" t="s">
        <v>20</v>
      </c>
      <c r="V211" s="231"/>
    </row>
    <row r="212">
      <c r="A212" s="237">
        <v>46228.0</v>
      </c>
      <c r="B212" s="235" t="s">
        <v>1337</v>
      </c>
      <c r="C212" s="235" t="s">
        <v>414</v>
      </c>
      <c r="D212" s="235" t="s">
        <v>56</v>
      </c>
      <c r="E212" s="235" t="s">
        <v>415</v>
      </c>
      <c r="F212" s="235" t="s">
        <v>503</v>
      </c>
      <c r="G212" s="238">
        <v>1.0</v>
      </c>
      <c r="H212" s="238">
        <v>0.0</v>
      </c>
      <c r="I212" s="238">
        <v>0.0</v>
      </c>
      <c r="J212" s="238">
        <v>0.0</v>
      </c>
      <c r="K212" s="238">
        <v>0.0</v>
      </c>
      <c r="L212" s="238">
        <v>0.0</v>
      </c>
      <c r="M212" s="238">
        <v>0.0</v>
      </c>
      <c r="N212" s="238">
        <v>0.0</v>
      </c>
      <c r="O212" s="238">
        <v>0.0</v>
      </c>
      <c r="P212" s="238">
        <v>0.0</v>
      </c>
      <c r="Q212" s="238">
        <v>0.0</v>
      </c>
      <c r="R212" s="238">
        <v>0.0</v>
      </c>
      <c r="S212" s="238">
        <v>1.0</v>
      </c>
      <c r="T212" s="238">
        <v>0.0</v>
      </c>
      <c r="U212" s="235" t="s">
        <v>156</v>
      </c>
      <c r="V212" s="231"/>
    </row>
    <row r="213">
      <c r="A213" s="237">
        <v>46228.0</v>
      </c>
      <c r="B213" s="235" t="s">
        <v>1383</v>
      </c>
      <c r="C213" s="235" t="s">
        <v>266</v>
      </c>
      <c r="D213" s="235" t="s">
        <v>130</v>
      </c>
      <c r="E213" s="235" t="s">
        <v>707</v>
      </c>
      <c r="F213" s="235" t="s">
        <v>514</v>
      </c>
      <c r="G213" s="238">
        <v>1.0</v>
      </c>
      <c r="H213" s="238">
        <v>0.0</v>
      </c>
      <c r="I213" s="238">
        <v>0.0</v>
      </c>
      <c r="J213" s="238">
        <v>0.0</v>
      </c>
      <c r="K213" s="238">
        <v>0.0</v>
      </c>
      <c r="L213" s="238">
        <v>0.0</v>
      </c>
      <c r="M213" s="238">
        <v>0.0</v>
      </c>
      <c r="N213" s="238">
        <v>0.0</v>
      </c>
      <c r="O213" s="238">
        <v>0.0</v>
      </c>
      <c r="P213" s="238">
        <v>0.0</v>
      </c>
      <c r="Q213" s="238">
        <v>0.0</v>
      </c>
      <c r="R213" s="238">
        <v>0.0</v>
      </c>
      <c r="S213" s="238">
        <v>0.0</v>
      </c>
      <c r="T213" s="238">
        <v>0.0</v>
      </c>
      <c r="U213" s="235" t="s">
        <v>5</v>
      </c>
      <c r="V213" s="231"/>
    </row>
    <row r="214">
      <c r="A214" s="237">
        <v>46228.0</v>
      </c>
      <c r="B214" s="235" t="s">
        <v>1383</v>
      </c>
      <c r="C214" s="235" t="s">
        <v>266</v>
      </c>
      <c r="D214" s="235" t="s">
        <v>130</v>
      </c>
      <c r="E214" s="235" t="s">
        <v>707</v>
      </c>
      <c r="F214" s="235" t="s">
        <v>503</v>
      </c>
      <c r="G214" s="238">
        <v>3.0</v>
      </c>
      <c r="H214" s="238">
        <v>0.0</v>
      </c>
      <c r="I214" s="238">
        <v>0.0</v>
      </c>
      <c r="J214" s="238">
        <v>0.0</v>
      </c>
      <c r="K214" s="238">
        <v>0.0</v>
      </c>
      <c r="L214" s="238">
        <v>0.0</v>
      </c>
      <c r="M214" s="238">
        <v>0.0</v>
      </c>
      <c r="N214" s="238">
        <v>0.0</v>
      </c>
      <c r="O214" s="238">
        <v>0.0</v>
      </c>
      <c r="P214" s="238">
        <v>0.0</v>
      </c>
      <c r="Q214" s="238">
        <v>0.0</v>
      </c>
      <c r="R214" s="238">
        <v>0.0</v>
      </c>
      <c r="S214" s="238">
        <v>3.0</v>
      </c>
      <c r="T214" s="238">
        <v>0.0</v>
      </c>
      <c r="U214" s="235" t="s">
        <v>5</v>
      </c>
      <c r="V214" s="231"/>
    </row>
    <row r="215">
      <c r="A215" s="237">
        <v>46228.0</v>
      </c>
      <c r="B215" s="235" t="s">
        <v>1383</v>
      </c>
      <c r="C215" s="235" t="s">
        <v>266</v>
      </c>
      <c r="D215" s="235" t="s">
        <v>130</v>
      </c>
      <c r="E215" s="235" t="s">
        <v>707</v>
      </c>
      <c r="F215" s="235" t="s">
        <v>503</v>
      </c>
      <c r="G215" s="238">
        <v>0.0</v>
      </c>
      <c r="H215" s="238">
        <v>1.0</v>
      </c>
      <c r="I215" s="238">
        <v>0.0</v>
      </c>
      <c r="J215" s="238">
        <v>0.0</v>
      </c>
      <c r="K215" s="238">
        <v>0.0</v>
      </c>
      <c r="L215" s="238">
        <v>0.0</v>
      </c>
      <c r="M215" s="238">
        <v>0.0</v>
      </c>
      <c r="N215" s="238">
        <v>0.0</v>
      </c>
      <c r="O215" s="238">
        <v>0.0</v>
      </c>
      <c r="P215" s="238">
        <v>0.0</v>
      </c>
      <c r="Q215" s="238">
        <v>0.0</v>
      </c>
      <c r="R215" s="238">
        <v>0.0</v>
      </c>
      <c r="S215" s="238">
        <v>0.0</v>
      </c>
      <c r="T215" s="238">
        <v>0.0</v>
      </c>
      <c r="U215" s="235" t="s">
        <v>596</v>
      </c>
      <c r="V215" s="231"/>
    </row>
    <row r="216">
      <c r="A216" s="237">
        <v>46228.0</v>
      </c>
      <c r="B216" s="235" t="s">
        <v>1383</v>
      </c>
      <c r="C216" s="235" t="s">
        <v>266</v>
      </c>
      <c r="D216" s="235" t="s">
        <v>130</v>
      </c>
      <c r="E216" s="235" t="s">
        <v>707</v>
      </c>
      <c r="F216" s="235" t="s">
        <v>503</v>
      </c>
      <c r="G216" s="238">
        <v>6.0</v>
      </c>
      <c r="H216" s="238">
        <v>0.0</v>
      </c>
      <c r="I216" s="238">
        <v>0.0</v>
      </c>
      <c r="J216" s="238">
        <v>0.0</v>
      </c>
      <c r="K216" s="238">
        <v>0.0</v>
      </c>
      <c r="L216" s="238">
        <v>0.0</v>
      </c>
      <c r="M216" s="238">
        <v>0.0</v>
      </c>
      <c r="N216" s="238">
        <v>0.0</v>
      </c>
      <c r="O216" s="238">
        <v>0.0</v>
      </c>
      <c r="P216" s="238">
        <v>0.0</v>
      </c>
      <c r="Q216" s="238">
        <v>0.0</v>
      </c>
      <c r="R216" s="238">
        <v>0.0</v>
      </c>
      <c r="S216" s="238">
        <v>6.0</v>
      </c>
      <c r="T216" s="238">
        <v>0.0</v>
      </c>
      <c r="U216" s="235" t="s">
        <v>9</v>
      </c>
      <c r="V216" s="238"/>
    </row>
    <row r="217">
      <c r="A217" s="237">
        <v>46228.0</v>
      </c>
      <c r="B217" s="235" t="s">
        <v>1383</v>
      </c>
      <c r="C217" s="235" t="s">
        <v>266</v>
      </c>
      <c r="D217" s="235" t="s">
        <v>130</v>
      </c>
      <c r="E217" s="235" t="s">
        <v>707</v>
      </c>
      <c r="F217" s="235" t="s">
        <v>503</v>
      </c>
      <c r="G217" s="238">
        <v>10.0</v>
      </c>
      <c r="H217" s="238">
        <v>0.0</v>
      </c>
      <c r="I217" s="238">
        <v>0.0</v>
      </c>
      <c r="J217" s="238">
        <v>0.0</v>
      </c>
      <c r="K217" s="238">
        <v>0.0</v>
      </c>
      <c r="L217" s="238">
        <v>0.0</v>
      </c>
      <c r="M217" s="238">
        <v>0.0</v>
      </c>
      <c r="N217" s="238">
        <v>0.0</v>
      </c>
      <c r="O217" s="238">
        <v>0.0</v>
      </c>
      <c r="P217" s="238">
        <v>0.0</v>
      </c>
      <c r="Q217" s="238">
        <v>0.0</v>
      </c>
      <c r="R217" s="238">
        <v>0.0</v>
      </c>
      <c r="S217" s="238">
        <v>10.0</v>
      </c>
      <c r="T217" s="238">
        <v>0.0</v>
      </c>
      <c r="U217" s="235" t="s">
        <v>11</v>
      </c>
      <c r="V217" s="238"/>
    </row>
    <row r="218">
      <c r="A218" s="237">
        <v>46228.0</v>
      </c>
      <c r="B218" s="235" t="s">
        <v>1383</v>
      </c>
      <c r="C218" s="235" t="s">
        <v>266</v>
      </c>
      <c r="D218" s="235" t="s">
        <v>130</v>
      </c>
      <c r="E218" s="235" t="s">
        <v>707</v>
      </c>
      <c r="F218" s="235" t="s">
        <v>503</v>
      </c>
      <c r="G218" s="238">
        <v>9.0</v>
      </c>
      <c r="H218" s="238">
        <v>0.0</v>
      </c>
      <c r="I218" s="238">
        <v>0.0</v>
      </c>
      <c r="J218" s="238">
        <v>0.0</v>
      </c>
      <c r="K218" s="238">
        <v>0.0</v>
      </c>
      <c r="L218" s="238">
        <v>0.0</v>
      </c>
      <c r="M218" s="238">
        <v>2.0</v>
      </c>
      <c r="N218" s="238">
        <v>0.0</v>
      </c>
      <c r="O218" s="238">
        <v>0.0</v>
      </c>
      <c r="P218" s="238">
        <v>0.0</v>
      </c>
      <c r="Q218" s="238">
        <v>0.0</v>
      </c>
      <c r="R218" s="238">
        <v>0.0</v>
      </c>
      <c r="S218" s="238">
        <v>11.0</v>
      </c>
      <c r="T218" s="238">
        <v>0.0</v>
      </c>
      <c r="U218" s="235" t="s">
        <v>16</v>
      </c>
      <c r="V218" s="231"/>
    </row>
    <row r="219">
      <c r="A219" s="237">
        <v>46228.0</v>
      </c>
      <c r="B219" s="235" t="s">
        <v>1383</v>
      </c>
      <c r="C219" s="235" t="s">
        <v>266</v>
      </c>
      <c r="D219" s="235" t="s">
        <v>130</v>
      </c>
      <c r="E219" s="235" t="s">
        <v>707</v>
      </c>
      <c r="F219" s="235" t="s">
        <v>503</v>
      </c>
      <c r="G219" s="238">
        <v>3.0</v>
      </c>
      <c r="H219" s="238">
        <v>0.0</v>
      </c>
      <c r="I219" s="238">
        <v>0.0</v>
      </c>
      <c r="J219" s="238">
        <v>0.0</v>
      </c>
      <c r="K219" s="238">
        <v>0.0</v>
      </c>
      <c r="L219" s="238">
        <v>0.0</v>
      </c>
      <c r="M219" s="238">
        <v>0.0</v>
      </c>
      <c r="N219" s="238">
        <v>0.0</v>
      </c>
      <c r="O219" s="238">
        <v>0.0</v>
      </c>
      <c r="P219" s="238">
        <v>0.0</v>
      </c>
      <c r="Q219" s="238">
        <v>0.0</v>
      </c>
      <c r="R219" s="238">
        <v>0.0</v>
      </c>
      <c r="S219" s="238">
        <v>3.0</v>
      </c>
      <c r="T219" s="238">
        <v>0.0</v>
      </c>
      <c r="U219" s="235" t="s">
        <v>17</v>
      </c>
      <c r="V219" s="231"/>
    </row>
    <row r="220">
      <c r="A220" s="237">
        <v>46228.0</v>
      </c>
      <c r="B220" s="235" t="s">
        <v>1383</v>
      </c>
      <c r="C220" s="235" t="s">
        <v>266</v>
      </c>
      <c r="D220" s="235" t="s">
        <v>130</v>
      </c>
      <c r="E220" s="235" t="s">
        <v>707</v>
      </c>
      <c r="F220" s="235" t="s">
        <v>503</v>
      </c>
      <c r="G220" s="238">
        <v>10.0</v>
      </c>
      <c r="H220" s="238">
        <v>0.0</v>
      </c>
      <c r="I220" s="238">
        <v>0.0</v>
      </c>
      <c r="J220" s="238">
        <v>-1.0</v>
      </c>
      <c r="K220" s="238">
        <v>0.0</v>
      </c>
      <c r="L220" s="238">
        <v>0.0</v>
      </c>
      <c r="M220" s="238">
        <v>0.0</v>
      </c>
      <c r="N220" s="238">
        <v>0.0</v>
      </c>
      <c r="O220" s="238">
        <v>0.0</v>
      </c>
      <c r="P220" s="238">
        <v>0.0</v>
      </c>
      <c r="Q220" s="238">
        <v>0.0</v>
      </c>
      <c r="R220" s="238">
        <v>0.0</v>
      </c>
      <c r="S220" s="238">
        <v>9.0</v>
      </c>
      <c r="T220" s="238">
        <v>0.0</v>
      </c>
      <c r="U220" s="235" t="s">
        <v>155</v>
      </c>
      <c r="V220" s="231"/>
    </row>
    <row r="221">
      <c r="A221" s="237">
        <v>46228.0</v>
      </c>
      <c r="B221" s="235" t="s">
        <v>1383</v>
      </c>
      <c r="C221" s="235" t="s">
        <v>266</v>
      </c>
      <c r="D221" s="235" t="s">
        <v>130</v>
      </c>
      <c r="E221" s="235" t="s">
        <v>707</v>
      </c>
      <c r="F221" s="235" t="s">
        <v>503</v>
      </c>
      <c r="G221" s="238">
        <v>7.0</v>
      </c>
      <c r="H221" s="238">
        <v>0.0</v>
      </c>
      <c r="I221" s="238">
        <v>0.0</v>
      </c>
      <c r="J221" s="238">
        <v>0.0</v>
      </c>
      <c r="K221" s="238">
        <v>0.0</v>
      </c>
      <c r="L221" s="238">
        <v>0.0</v>
      </c>
      <c r="M221" s="238">
        <v>0.0</v>
      </c>
      <c r="N221" s="238">
        <v>0.0</v>
      </c>
      <c r="O221" s="238">
        <v>0.0</v>
      </c>
      <c r="P221" s="238">
        <v>0.0</v>
      </c>
      <c r="Q221" s="238">
        <v>0.0</v>
      </c>
      <c r="R221" s="238">
        <v>0.0</v>
      </c>
      <c r="S221" s="238">
        <v>7.0</v>
      </c>
      <c r="T221" s="238">
        <v>0.0</v>
      </c>
      <c r="U221" s="235" t="s">
        <v>533</v>
      </c>
      <c r="V221" s="231"/>
    </row>
    <row r="222">
      <c r="A222" s="237">
        <v>46228.0</v>
      </c>
      <c r="B222" s="235" t="s">
        <v>1383</v>
      </c>
      <c r="C222" s="235" t="s">
        <v>266</v>
      </c>
      <c r="D222" s="235" t="s">
        <v>130</v>
      </c>
      <c r="E222" s="235" t="s">
        <v>707</v>
      </c>
      <c r="F222" s="235" t="s">
        <v>503</v>
      </c>
      <c r="G222" s="238">
        <v>7.0</v>
      </c>
      <c r="H222" s="238">
        <v>0.0</v>
      </c>
      <c r="I222" s="238">
        <v>0.0</v>
      </c>
      <c r="J222" s="238">
        <v>0.0</v>
      </c>
      <c r="K222" s="238">
        <v>0.0</v>
      </c>
      <c r="L222" s="238">
        <v>0.0</v>
      </c>
      <c r="M222" s="238">
        <v>0.0</v>
      </c>
      <c r="N222" s="238">
        <v>0.0</v>
      </c>
      <c r="O222" s="238">
        <v>0.0</v>
      </c>
      <c r="P222" s="238">
        <v>0.0</v>
      </c>
      <c r="Q222" s="238">
        <v>0.0</v>
      </c>
      <c r="R222" s="238">
        <v>0.0</v>
      </c>
      <c r="S222" s="238">
        <v>7.0</v>
      </c>
      <c r="T222" s="238">
        <v>0.0</v>
      </c>
      <c r="U222" s="235" t="s">
        <v>13</v>
      </c>
      <c r="V222" s="248"/>
    </row>
    <row r="223">
      <c r="A223" s="237">
        <v>46228.0</v>
      </c>
      <c r="B223" s="235" t="s">
        <v>1383</v>
      </c>
      <c r="C223" s="235" t="s">
        <v>266</v>
      </c>
      <c r="D223" s="235" t="s">
        <v>130</v>
      </c>
      <c r="E223" s="235" t="s">
        <v>707</v>
      </c>
      <c r="F223" s="235" t="s">
        <v>503</v>
      </c>
      <c r="G223" s="238">
        <v>19.0</v>
      </c>
      <c r="H223" s="238">
        <v>0.0</v>
      </c>
      <c r="I223" s="238">
        <v>0.0</v>
      </c>
      <c r="J223" s="238">
        <v>0.0</v>
      </c>
      <c r="K223" s="238">
        <v>0.0</v>
      </c>
      <c r="L223" s="238">
        <v>0.0</v>
      </c>
      <c r="M223" s="238">
        <v>0.0</v>
      </c>
      <c r="N223" s="238">
        <v>0.0</v>
      </c>
      <c r="O223" s="238">
        <v>0.0</v>
      </c>
      <c r="P223" s="238">
        <v>0.0</v>
      </c>
      <c r="Q223" s="238">
        <v>0.0</v>
      </c>
      <c r="R223" s="238">
        <v>0.0</v>
      </c>
      <c r="S223" s="238">
        <v>19.0</v>
      </c>
      <c r="T223" s="238">
        <v>0.0</v>
      </c>
      <c r="U223" s="235" t="s">
        <v>14</v>
      </c>
      <c r="V223" s="231"/>
    </row>
    <row r="224">
      <c r="A224" s="237">
        <v>46228.0</v>
      </c>
      <c r="B224" s="235" t="s">
        <v>1383</v>
      </c>
      <c r="C224" s="235" t="s">
        <v>266</v>
      </c>
      <c r="D224" s="235" t="s">
        <v>130</v>
      </c>
      <c r="E224" s="235" t="s">
        <v>707</v>
      </c>
      <c r="F224" s="235" t="s">
        <v>503</v>
      </c>
      <c r="G224" s="238">
        <v>10.0</v>
      </c>
      <c r="H224" s="238">
        <v>0.0</v>
      </c>
      <c r="I224" s="238">
        <v>0.0</v>
      </c>
      <c r="J224" s="238">
        <v>0.0</v>
      </c>
      <c r="K224" s="238">
        <v>0.0</v>
      </c>
      <c r="L224" s="238">
        <v>0.0</v>
      </c>
      <c r="M224" s="238">
        <v>0.0</v>
      </c>
      <c r="N224" s="238">
        <v>0.0</v>
      </c>
      <c r="O224" s="238">
        <v>0.0</v>
      </c>
      <c r="P224" s="238">
        <v>0.0</v>
      </c>
      <c r="Q224" s="238">
        <v>0.0</v>
      </c>
      <c r="R224" s="238">
        <v>0.0</v>
      </c>
      <c r="S224" s="238">
        <v>10.0</v>
      </c>
      <c r="T224" s="238">
        <v>0.0</v>
      </c>
      <c r="U224" s="235" t="s">
        <v>18</v>
      </c>
      <c r="V224" s="231"/>
    </row>
    <row r="225">
      <c r="A225" s="237">
        <v>46228.0</v>
      </c>
      <c r="B225" s="235" t="s">
        <v>1383</v>
      </c>
      <c r="C225" s="235" t="s">
        <v>266</v>
      </c>
      <c r="D225" s="235" t="s">
        <v>130</v>
      </c>
      <c r="E225" s="235" t="s">
        <v>707</v>
      </c>
      <c r="F225" s="235" t="s">
        <v>503</v>
      </c>
      <c r="G225" s="238">
        <v>21.0</v>
      </c>
      <c r="H225" s="238">
        <v>0.0</v>
      </c>
      <c r="I225" s="238">
        <v>0.0</v>
      </c>
      <c r="J225" s="238">
        <v>0.0</v>
      </c>
      <c r="K225" s="238">
        <v>0.0</v>
      </c>
      <c r="L225" s="238">
        <v>0.0</v>
      </c>
      <c r="M225" s="238">
        <v>0.0</v>
      </c>
      <c r="N225" s="238">
        <v>0.0</v>
      </c>
      <c r="O225" s="238">
        <v>0.0</v>
      </c>
      <c r="P225" s="238">
        <v>0.0</v>
      </c>
      <c r="Q225" s="238">
        <v>0.0</v>
      </c>
      <c r="R225" s="238">
        <v>0.0</v>
      </c>
      <c r="S225" s="238">
        <v>21.0</v>
      </c>
      <c r="T225" s="238">
        <v>0.0</v>
      </c>
      <c r="U225" s="235" t="s">
        <v>20</v>
      </c>
      <c r="V225" s="231"/>
    </row>
    <row r="226">
      <c r="A226" s="237">
        <v>46228.0</v>
      </c>
      <c r="B226" s="235" t="s">
        <v>1383</v>
      </c>
      <c r="C226" s="235" t="s">
        <v>266</v>
      </c>
      <c r="D226" s="235" t="s">
        <v>130</v>
      </c>
      <c r="E226" s="235" t="s">
        <v>707</v>
      </c>
      <c r="F226" s="235" t="s">
        <v>503</v>
      </c>
      <c r="G226" s="238">
        <v>18.0</v>
      </c>
      <c r="H226" s="238">
        <v>0.0</v>
      </c>
      <c r="I226" s="238">
        <v>0.0</v>
      </c>
      <c r="J226" s="238">
        <v>0.0</v>
      </c>
      <c r="K226" s="238">
        <v>0.0</v>
      </c>
      <c r="L226" s="238">
        <v>0.0</v>
      </c>
      <c r="M226" s="238">
        <v>0.0</v>
      </c>
      <c r="N226" s="238">
        <v>0.0</v>
      </c>
      <c r="O226" s="238">
        <v>0.0</v>
      </c>
      <c r="P226" s="238">
        <v>0.0</v>
      </c>
      <c r="Q226" s="238">
        <v>0.0</v>
      </c>
      <c r="R226" s="238">
        <v>0.0</v>
      </c>
      <c r="S226" s="238">
        <v>18.0</v>
      </c>
      <c r="T226" s="238">
        <v>0.0</v>
      </c>
      <c r="U226" s="235" t="s">
        <v>156</v>
      </c>
      <c r="V226" s="238"/>
    </row>
    <row r="227">
      <c r="A227" s="237">
        <v>46228.0</v>
      </c>
      <c r="B227" s="235" t="s">
        <v>1383</v>
      </c>
      <c r="C227" s="235" t="s">
        <v>266</v>
      </c>
      <c r="D227" s="235" t="s">
        <v>130</v>
      </c>
      <c r="E227" s="235" t="s">
        <v>707</v>
      </c>
      <c r="F227" s="235" t="s">
        <v>503</v>
      </c>
      <c r="G227" s="238">
        <v>15.0</v>
      </c>
      <c r="H227" s="238">
        <v>0.0</v>
      </c>
      <c r="I227" s="238">
        <v>0.0</v>
      </c>
      <c r="J227" s="238">
        <v>-1.0</v>
      </c>
      <c r="K227" s="238">
        <v>0.0</v>
      </c>
      <c r="L227" s="238">
        <v>0.0</v>
      </c>
      <c r="M227" s="238">
        <v>0.0</v>
      </c>
      <c r="N227" s="238">
        <v>0.0</v>
      </c>
      <c r="O227" s="238">
        <v>0.0</v>
      </c>
      <c r="P227" s="238">
        <v>0.0</v>
      </c>
      <c r="Q227" s="238">
        <v>0.0</v>
      </c>
      <c r="R227" s="238">
        <v>0.0</v>
      </c>
      <c r="S227" s="238">
        <v>14.0</v>
      </c>
      <c r="T227" s="238">
        <v>0.0</v>
      </c>
      <c r="U227" s="235" t="s">
        <v>546</v>
      </c>
      <c r="V227" s="238"/>
    </row>
    <row r="228">
      <c r="A228" s="237">
        <v>46228.0</v>
      </c>
      <c r="B228" s="235" t="s">
        <v>1464</v>
      </c>
      <c r="C228" s="235" t="s">
        <v>199</v>
      </c>
      <c r="D228" s="235" t="s">
        <v>127</v>
      </c>
      <c r="E228" s="235" t="s">
        <v>794</v>
      </c>
      <c r="F228" s="235" t="s">
        <v>514</v>
      </c>
      <c r="G228" s="238">
        <v>1.0</v>
      </c>
      <c r="H228" s="238">
        <v>0.0</v>
      </c>
      <c r="I228" s="238">
        <v>0.0</v>
      </c>
      <c r="J228" s="238">
        <v>0.0</v>
      </c>
      <c r="K228" s="238">
        <v>0.0</v>
      </c>
      <c r="L228" s="238">
        <v>0.0</v>
      </c>
      <c r="M228" s="238">
        <v>0.0</v>
      </c>
      <c r="N228" s="238">
        <v>0.0</v>
      </c>
      <c r="O228" s="238">
        <v>0.0</v>
      </c>
      <c r="P228" s="238">
        <v>0.0</v>
      </c>
      <c r="Q228" s="238">
        <v>0.0</v>
      </c>
      <c r="R228" s="238">
        <v>0.0</v>
      </c>
      <c r="S228" s="238">
        <v>0.0</v>
      </c>
      <c r="T228" s="238">
        <v>0.0</v>
      </c>
      <c r="U228" s="235" t="s">
        <v>20</v>
      </c>
      <c r="V228" s="238"/>
    </row>
    <row r="229">
      <c r="A229" s="237">
        <v>46228.0</v>
      </c>
      <c r="B229" s="235" t="s">
        <v>1464</v>
      </c>
      <c r="C229" s="235" t="s">
        <v>199</v>
      </c>
      <c r="D229" s="235" t="s">
        <v>127</v>
      </c>
      <c r="E229" s="235" t="s">
        <v>794</v>
      </c>
      <c r="F229" s="235" t="s">
        <v>503</v>
      </c>
      <c r="G229" s="238">
        <v>15.0</v>
      </c>
      <c r="H229" s="238">
        <v>0.0</v>
      </c>
      <c r="I229" s="238">
        <v>0.0</v>
      </c>
      <c r="J229" s="238">
        <v>0.0</v>
      </c>
      <c r="K229" s="238">
        <v>0.0</v>
      </c>
      <c r="L229" s="238">
        <v>0.0</v>
      </c>
      <c r="M229" s="238">
        <v>0.0</v>
      </c>
      <c r="N229" s="238">
        <v>0.0</v>
      </c>
      <c r="O229" s="238">
        <v>0.0</v>
      </c>
      <c r="P229" s="238">
        <v>0.0</v>
      </c>
      <c r="Q229" s="238">
        <v>0.0</v>
      </c>
      <c r="R229" s="238">
        <v>0.0</v>
      </c>
      <c r="S229" s="238">
        <v>15.0</v>
      </c>
      <c r="T229" s="238">
        <v>0.0</v>
      </c>
      <c r="U229" s="235" t="s">
        <v>5</v>
      </c>
      <c r="V229" s="238"/>
    </row>
    <row r="230">
      <c r="A230" s="237">
        <v>46228.0</v>
      </c>
      <c r="B230" s="235" t="s">
        <v>1464</v>
      </c>
      <c r="C230" s="235" t="s">
        <v>199</v>
      </c>
      <c r="D230" s="235" t="s">
        <v>127</v>
      </c>
      <c r="E230" s="235" t="s">
        <v>794</v>
      </c>
      <c r="F230" s="235" t="s">
        <v>503</v>
      </c>
      <c r="G230" s="238">
        <v>0.0</v>
      </c>
      <c r="H230" s="238">
        <v>3.0</v>
      </c>
      <c r="I230" s="238">
        <v>0.0</v>
      </c>
      <c r="J230" s="238">
        <v>0.0</v>
      </c>
      <c r="K230" s="238">
        <v>0.0</v>
      </c>
      <c r="L230" s="238">
        <v>0.0</v>
      </c>
      <c r="M230" s="238">
        <v>0.0</v>
      </c>
      <c r="N230" s="238">
        <v>0.0</v>
      </c>
      <c r="O230" s="238">
        <v>0.0</v>
      </c>
      <c r="P230" s="238">
        <v>0.0</v>
      </c>
      <c r="Q230" s="238">
        <v>0.0</v>
      </c>
      <c r="R230" s="238">
        <v>0.0</v>
      </c>
      <c r="S230" s="238">
        <v>0.0</v>
      </c>
      <c r="T230" s="238">
        <v>0.0</v>
      </c>
      <c r="U230" s="235" t="s">
        <v>596</v>
      </c>
      <c r="V230" s="231"/>
    </row>
    <row r="231">
      <c r="A231" s="237">
        <v>46228.0</v>
      </c>
      <c r="B231" s="235" t="s">
        <v>1464</v>
      </c>
      <c r="C231" s="235" t="s">
        <v>199</v>
      </c>
      <c r="D231" s="235" t="s">
        <v>127</v>
      </c>
      <c r="E231" s="235" t="s">
        <v>794</v>
      </c>
      <c r="F231" s="235" t="s">
        <v>503</v>
      </c>
      <c r="G231" s="238">
        <v>39.0</v>
      </c>
      <c r="H231" s="238">
        <v>0.0</v>
      </c>
      <c r="I231" s="238">
        <v>0.0</v>
      </c>
      <c r="J231" s="238">
        <v>-1.0</v>
      </c>
      <c r="K231" s="238">
        <v>0.0</v>
      </c>
      <c r="L231" s="238">
        <v>0.0</v>
      </c>
      <c r="M231" s="238">
        <v>0.0</v>
      </c>
      <c r="N231" s="238">
        <v>0.0</v>
      </c>
      <c r="O231" s="238">
        <v>0.0</v>
      </c>
      <c r="P231" s="238">
        <v>0.0</v>
      </c>
      <c r="Q231" s="238">
        <v>0.0</v>
      </c>
      <c r="R231" s="238">
        <v>0.0</v>
      </c>
      <c r="S231" s="238">
        <v>38.0</v>
      </c>
      <c r="T231" s="238">
        <v>0.0</v>
      </c>
      <c r="U231" s="235" t="s">
        <v>9</v>
      </c>
      <c r="V231" s="231"/>
    </row>
    <row r="232">
      <c r="A232" s="237">
        <v>46228.0</v>
      </c>
      <c r="B232" s="235" t="s">
        <v>1464</v>
      </c>
      <c r="C232" s="235" t="s">
        <v>199</v>
      </c>
      <c r="D232" s="235" t="s">
        <v>127</v>
      </c>
      <c r="E232" s="235" t="s">
        <v>794</v>
      </c>
      <c r="F232" s="235" t="s">
        <v>503</v>
      </c>
      <c r="G232" s="238">
        <v>67.0</v>
      </c>
      <c r="H232" s="238">
        <v>0.0</v>
      </c>
      <c r="I232" s="238">
        <v>0.0</v>
      </c>
      <c r="J232" s="238">
        <v>-1.0</v>
      </c>
      <c r="K232" s="238">
        <v>0.0</v>
      </c>
      <c r="L232" s="238">
        <v>0.0</v>
      </c>
      <c r="M232" s="238">
        <v>0.0</v>
      </c>
      <c r="N232" s="238">
        <v>0.0</v>
      </c>
      <c r="O232" s="238">
        <v>0.0</v>
      </c>
      <c r="P232" s="238">
        <v>0.0</v>
      </c>
      <c r="Q232" s="238">
        <v>0.0</v>
      </c>
      <c r="R232" s="238">
        <v>0.0</v>
      </c>
      <c r="S232" s="238">
        <v>66.0</v>
      </c>
      <c r="T232" s="238">
        <v>0.0</v>
      </c>
      <c r="U232" s="235" t="s">
        <v>11</v>
      </c>
      <c r="V232" s="238"/>
    </row>
    <row r="233">
      <c r="A233" s="237">
        <v>46228.0</v>
      </c>
      <c r="B233" s="235" t="s">
        <v>1464</v>
      </c>
      <c r="C233" s="235" t="s">
        <v>199</v>
      </c>
      <c r="D233" s="235" t="s">
        <v>127</v>
      </c>
      <c r="E233" s="235" t="s">
        <v>794</v>
      </c>
      <c r="F233" s="235" t="s">
        <v>503</v>
      </c>
      <c r="G233" s="238">
        <v>35.0</v>
      </c>
      <c r="H233" s="238">
        <v>0.0</v>
      </c>
      <c r="I233" s="238">
        <v>0.0</v>
      </c>
      <c r="J233" s="238">
        <v>0.0</v>
      </c>
      <c r="K233" s="238">
        <v>0.0</v>
      </c>
      <c r="L233" s="238">
        <v>0.0</v>
      </c>
      <c r="M233" s="238">
        <v>15.0</v>
      </c>
      <c r="N233" s="238">
        <v>0.0</v>
      </c>
      <c r="O233" s="238">
        <v>0.0</v>
      </c>
      <c r="P233" s="238">
        <v>0.0</v>
      </c>
      <c r="Q233" s="238">
        <v>0.0</v>
      </c>
      <c r="R233" s="238">
        <v>0.0</v>
      </c>
      <c r="S233" s="238">
        <v>50.0</v>
      </c>
      <c r="T233" s="238">
        <v>0.0</v>
      </c>
      <c r="U233" s="235" t="s">
        <v>16</v>
      </c>
      <c r="V233" s="231"/>
    </row>
    <row r="234">
      <c r="A234" s="237">
        <v>46228.0</v>
      </c>
      <c r="B234" s="235" t="s">
        <v>1464</v>
      </c>
      <c r="C234" s="235" t="s">
        <v>199</v>
      </c>
      <c r="D234" s="235" t="s">
        <v>127</v>
      </c>
      <c r="E234" s="235" t="s">
        <v>794</v>
      </c>
      <c r="F234" s="235" t="s">
        <v>503</v>
      </c>
      <c r="G234" s="238">
        <v>36.0</v>
      </c>
      <c r="H234" s="238">
        <v>0.0</v>
      </c>
      <c r="I234" s="238">
        <v>0.0</v>
      </c>
      <c r="J234" s="238">
        <v>0.0</v>
      </c>
      <c r="K234" s="238">
        <v>0.0</v>
      </c>
      <c r="L234" s="238">
        <v>0.0</v>
      </c>
      <c r="M234" s="238">
        <v>0.0</v>
      </c>
      <c r="N234" s="238">
        <v>0.0</v>
      </c>
      <c r="O234" s="238">
        <v>0.0</v>
      </c>
      <c r="P234" s="238">
        <v>0.0</v>
      </c>
      <c r="Q234" s="238">
        <v>0.0</v>
      </c>
      <c r="R234" s="238">
        <v>0.0</v>
      </c>
      <c r="S234" s="238">
        <v>36.0</v>
      </c>
      <c r="T234" s="238">
        <v>0.0</v>
      </c>
      <c r="U234" s="235" t="s">
        <v>17</v>
      </c>
      <c r="V234" s="231"/>
    </row>
    <row r="235">
      <c r="A235" s="237">
        <v>46228.0</v>
      </c>
      <c r="B235" s="235" t="s">
        <v>1464</v>
      </c>
      <c r="C235" s="235" t="s">
        <v>199</v>
      </c>
      <c r="D235" s="235" t="s">
        <v>127</v>
      </c>
      <c r="E235" s="235" t="s">
        <v>794</v>
      </c>
      <c r="F235" s="235" t="s">
        <v>503</v>
      </c>
      <c r="G235" s="238">
        <v>54.0</v>
      </c>
      <c r="H235" s="238">
        <v>0.0</v>
      </c>
      <c r="I235" s="238">
        <v>0.0</v>
      </c>
      <c r="J235" s="238">
        <v>-1.0</v>
      </c>
      <c r="K235" s="238">
        <v>0.0</v>
      </c>
      <c r="L235" s="238">
        <v>0.0</v>
      </c>
      <c r="M235" s="238">
        <v>0.0</v>
      </c>
      <c r="N235" s="238">
        <v>0.0</v>
      </c>
      <c r="O235" s="238">
        <v>0.0</v>
      </c>
      <c r="P235" s="238">
        <v>0.0</v>
      </c>
      <c r="Q235" s="238">
        <v>0.0</v>
      </c>
      <c r="R235" s="238">
        <v>0.0</v>
      </c>
      <c r="S235" s="238">
        <v>53.0</v>
      </c>
      <c r="T235" s="238">
        <v>0.0</v>
      </c>
      <c r="U235" s="235" t="s">
        <v>155</v>
      </c>
      <c r="V235" s="231"/>
    </row>
    <row r="236">
      <c r="A236" s="237">
        <v>46228.0</v>
      </c>
      <c r="B236" s="235" t="s">
        <v>1464</v>
      </c>
      <c r="C236" s="235" t="s">
        <v>199</v>
      </c>
      <c r="D236" s="235" t="s">
        <v>127</v>
      </c>
      <c r="E236" s="235" t="s">
        <v>794</v>
      </c>
      <c r="F236" s="235" t="s">
        <v>503</v>
      </c>
      <c r="G236" s="238">
        <v>55.0</v>
      </c>
      <c r="H236" s="238">
        <v>0.0</v>
      </c>
      <c r="I236" s="238">
        <v>0.0</v>
      </c>
      <c r="J236" s="238">
        <v>-1.0</v>
      </c>
      <c r="K236" s="238">
        <v>0.0</v>
      </c>
      <c r="L236" s="238">
        <v>0.0</v>
      </c>
      <c r="M236" s="238">
        <v>0.0</v>
      </c>
      <c r="N236" s="238">
        <v>0.0</v>
      </c>
      <c r="O236" s="238">
        <v>0.0</v>
      </c>
      <c r="P236" s="238">
        <v>0.0</v>
      </c>
      <c r="Q236" s="238">
        <v>0.0</v>
      </c>
      <c r="R236" s="238">
        <v>0.0</v>
      </c>
      <c r="S236" s="238">
        <v>54.0</v>
      </c>
      <c r="T236" s="238">
        <v>0.0</v>
      </c>
      <c r="U236" s="235" t="s">
        <v>533</v>
      </c>
      <c r="V236" s="231"/>
    </row>
    <row r="237">
      <c r="A237" s="237">
        <v>46228.0</v>
      </c>
      <c r="B237" s="235" t="s">
        <v>1464</v>
      </c>
      <c r="C237" s="235" t="s">
        <v>199</v>
      </c>
      <c r="D237" s="235" t="s">
        <v>127</v>
      </c>
      <c r="E237" s="235" t="s">
        <v>794</v>
      </c>
      <c r="F237" s="235" t="s">
        <v>503</v>
      </c>
      <c r="G237" s="238">
        <v>30.0</v>
      </c>
      <c r="H237" s="238">
        <v>0.0</v>
      </c>
      <c r="I237" s="238">
        <v>0.0</v>
      </c>
      <c r="J237" s="238">
        <v>-2.0</v>
      </c>
      <c r="K237" s="238">
        <v>0.0</v>
      </c>
      <c r="L237" s="238">
        <v>0.0</v>
      </c>
      <c r="M237" s="238">
        <v>0.0</v>
      </c>
      <c r="N237" s="238">
        <v>0.0</v>
      </c>
      <c r="O237" s="238">
        <v>0.0</v>
      </c>
      <c r="P237" s="238">
        <v>0.0</v>
      </c>
      <c r="Q237" s="238">
        <v>0.0</v>
      </c>
      <c r="R237" s="238">
        <v>0.0</v>
      </c>
      <c r="S237" s="238">
        <v>28.0</v>
      </c>
      <c r="T237" s="238">
        <v>0.0</v>
      </c>
      <c r="U237" s="235" t="s">
        <v>13</v>
      </c>
      <c r="V237" s="231"/>
    </row>
    <row r="238">
      <c r="A238" s="237">
        <v>46228.0</v>
      </c>
      <c r="B238" s="235" t="s">
        <v>1464</v>
      </c>
      <c r="C238" s="235" t="s">
        <v>199</v>
      </c>
      <c r="D238" s="235" t="s">
        <v>127</v>
      </c>
      <c r="E238" s="235" t="s">
        <v>794</v>
      </c>
      <c r="F238" s="235" t="s">
        <v>503</v>
      </c>
      <c r="G238" s="238">
        <v>40.0</v>
      </c>
      <c r="H238" s="238">
        <v>0.0</v>
      </c>
      <c r="I238" s="238">
        <v>0.0</v>
      </c>
      <c r="J238" s="238">
        <v>-2.0</v>
      </c>
      <c r="K238" s="238">
        <v>0.0</v>
      </c>
      <c r="L238" s="238">
        <v>0.0</v>
      </c>
      <c r="M238" s="238">
        <v>1.0</v>
      </c>
      <c r="N238" s="238">
        <v>0.0</v>
      </c>
      <c r="O238" s="238">
        <v>0.0</v>
      </c>
      <c r="P238" s="238">
        <v>0.0</v>
      </c>
      <c r="Q238" s="238">
        <v>0.0</v>
      </c>
      <c r="R238" s="238">
        <v>0.0</v>
      </c>
      <c r="S238" s="238">
        <v>39.0</v>
      </c>
      <c r="T238" s="238">
        <v>0.0</v>
      </c>
      <c r="U238" s="235" t="s">
        <v>14</v>
      </c>
      <c r="V238" s="238"/>
    </row>
    <row r="239">
      <c r="A239" s="237">
        <v>46228.0</v>
      </c>
      <c r="B239" s="235" t="s">
        <v>1464</v>
      </c>
      <c r="C239" s="235" t="s">
        <v>199</v>
      </c>
      <c r="D239" s="235" t="s">
        <v>127</v>
      </c>
      <c r="E239" s="235" t="s">
        <v>794</v>
      </c>
      <c r="F239" s="235" t="s">
        <v>503</v>
      </c>
      <c r="G239" s="238">
        <v>1.0</v>
      </c>
      <c r="H239" s="238">
        <v>0.0</v>
      </c>
      <c r="I239" s="238">
        <v>0.0</v>
      </c>
      <c r="J239" s="238">
        <v>0.0</v>
      </c>
      <c r="K239" s="238">
        <v>0.0</v>
      </c>
      <c r="L239" s="238">
        <v>0.0</v>
      </c>
      <c r="M239" s="238">
        <v>0.0</v>
      </c>
      <c r="N239" s="238">
        <v>0.0</v>
      </c>
      <c r="O239" s="238">
        <v>0.0</v>
      </c>
      <c r="P239" s="238">
        <v>0.0</v>
      </c>
      <c r="Q239" s="238">
        <v>0.0</v>
      </c>
      <c r="R239" s="238">
        <v>0.0</v>
      </c>
      <c r="S239" s="238">
        <v>1.0</v>
      </c>
      <c r="T239" s="238">
        <v>0.0</v>
      </c>
      <c r="U239" s="235" t="s">
        <v>18</v>
      </c>
      <c r="V239" s="238"/>
    </row>
    <row r="240">
      <c r="A240" s="237">
        <v>46228.0</v>
      </c>
      <c r="B240" s="235" t="s">
        <v>1464</v>
      </c>
      <c r="C240" s="235" t="s">
        <v>199</v>
      </c>
      <c r="D240" s="235" t="s">
        <v>127</v>
      </c>
      <c r="E240" s="235" t="s">
        <v>794</v>
      </c>
      <c r="F240" s="235" t="s">
        <v>503</v>
      </c>
      <c r="G240" s="238">
        <v>105.0</v>
      </c>
      <c r="H240" s="238">
        <v>0.0</v>
      </c>
      <c r="I240" s="238">
        <v>0.0</v>
      </c>
      <c r="J240" s="238">
        <v>0.0</v>
      </c>
      <c r="K240" s="238">
        <v>0.0</v>
      </c>
      <c r="L240" s="238">
        <v>0.0</v>
      </c>
      <c r="M240" s="238">
        <v>0.0</v>
      </c>
      <c r="N240" s="238">
        <v>0.0</v>
      </c>
      <c r="O240" s="238">
        <v>0.0</v>
      </c>
      <c r="P240" s="238">
        <v>0.0</v>
      </c>
      <c r="Q240" s="238">
        <v>0.0</v>
      </c>
      <c r="R240" s="238">
        <v>0.0</v>
      </c>
      <c r="S240" s="238">
        <v>105.0</v>
      </c>
      <c r="T240" s="238">
        <v>0.0</v>
      </c>
      <c r="U240" s="235" t="s">
        <v>20</v>
      </c>
      <c r="V240" s="231"/>
    </row>
    <row r="241">
      <c r="A241" s="237">
        <v>46228.0</v>
      </c>
      <c r="B241" s="235" t="s">
        <v>1464</v>
      </c>
      <c r="C241" s="235" t="s">
        <v>199</v>
      </c>
      <c r="D241" s="235" t="s">
        <v>127</v>
      </c>
      <c r="E241" s="235" t="s">
        <v>794</v>
      </c>
      <c r="F241" s="235" t="s">
        <v>503</v>
      </c>
      <c r="G241" s="238">
        <v>41.0</v>
      </c>
      <c r="H241" s="238">
        <v>0.0</v>
      </c>
      <c r="I241" s="238">
        <v>0.0</v>
      </c>
      <c r="J241" s="238">
        <v>0.0</v>
      </c>
      <c r="K241" s="238">
        <v>0.0</v>
      </c>
      <c r="L241" s="238">
        <v>0.0</v>
      </c>
      <c r="M241" s="238">
        <v>0.0</v>
      </c>
      <c r="N241" s="238">
        <v>0.0</v>
      </c>
      <c r="O241" s="238">
        <v>0.0</v>
      </c>
      <c r="P241" s="238">
        <v>0.0</v>
      </c>
      <c r="Q241" s="238">
        <v>0.0</v>
      </c>
      <c r="R241" s="238">
        <v>0.0</v>
      </c>
      <c r="S241" s="238">
        <v>41.0</v>
      </c>
      <c r="T241" s="238">
        <v>0.0</v>
      </c>
      <c r="U241" s="235" t="s">
        <v>156</v>
      </c>
      <c r="V241" s="238"/>
    </row>
    <row r="242">
      <c r="A242" s="237">
        <v>46228.0</v>
      </c>
      <c r="B242" s="235" t="s">
        <v>1464</v>
      </c>
      <c r="C242" s="235" t="s">
        <v>199</v>
      </c>
      <c r="D242" s="235" t="s">
        <v>127</v>
      </c>
      <c r="E242" s="235" t="s">
        <v>794</v>
      </c>
      <c r="F242" s="235" t="s">
        <v>503</v>
      </c>
      <c r="G242" s="238">
        <v>26.0</v>
      </c>
      <c r="H242" s="238">
        <v>0.0</v>
      </c>
      <c r="I242" s="238">
        <v>0.0</v>
      </c>
      <c r="J242" s="238">
        <v>-1.0</v>
      </c>
      <c r="K242" s="238">
        <v>0.0</v>
      </c>
      <c r="L242" s="238">
        <v>0.0</v>
      </c>
      <c r="M242" s="238">
        <v>0.0</v>
      </c>
      <c r="N242" s="238">
        <v>0.0</v>
      </c>
      <c r="O242" s="238">
        <v>0.0</v>
      </c>
      <c r="P242" s="238">
        <v>0.0</v>
      </c>
      <c r="Q242" s="238">
        <v>0.0</v>
      </c>
      <c r="R242" s="238">
        <v>0.0</v>
      </c>
      <c r="S242" s="238">
        <v>25.0</v>
      </c>
      <c r="T242" s="238">
        <v>0.0</v>
      </c>
      <c r="U242" s="235" t="s">
        <v>546</v>
      </c>
      <c r="V242" s="231"/>
    </row>
    <row r="243">
      <c r="A243" s="237">
        <v>46228.0</v>
      </c>
      <c r="B243" s="235" t="s">
        <v>1515</v>
      </c>
      <c r="C243" s="235" t="s">
        <v>463</v>
      </c>
      <c r="D243" s="235" t="s">
        <v>111</v>
      </c>
      <c r="E243" s="235" t="s">
        <v>464</v>
      </c>
      <c r="F243" s="235" t="s">
        <v>503</v>
      </c>
      <c r="G243" s="238">
        <v>2.0</v>
      </c>
      <c r="H243" s="238">
        <v>0.0</v>
      </c>
      <c r="I243" s="238">
        <v>0.0</v>
      </c>
      <c r="J243" s="238">
        <v>0.0</v>
      </c>
      <c r="K243" s="238">
        <v>0.0</v>
      </c>
      <c r="L243" s="238">
        <v>0.0</v>
      </c>
      <c r="M243" s="238">
        <v>0.0</v>
      </c>
      <c r="N243" s="238">
        <v>0.0</v>
      </c>
      <c r="O243" s="238">
        <v>0.0</v>
      </c>
      <c r="P243" s="238">
        <v>0.0</v>
      </c>
      <c r="Q243" s="238">
        <v>0.0</v>
      </c>
      <c r="R243" s="238">
        <v>0.0</v>
      </c>
      <c r="S243" s="238">
        <v>2.0</v>
      </c>
      <c r="T243" s="238">
        <v>0.0</v>
      </c>
      <c r="U243" s="235" t="s">
        <v>5</v>
      </c>
      <c r="V243" s="231"/>
    </row>
    <row r="244">
      <c r="A244" s="237">
        <v>46228.0</v>
      </c>
      <c r="B244" s="235" t="s">
        <v>1515</v>
      </c>
      <c r="C244" s="235" t="s">
        <v>463</v>
      </c>
      <c r="D244" s="235" t="s">
        <v>111</v>
      </c>
      <c r="E244" s="235" t="s">
        <v>464</v>
      </c>
      <c r="F244" s="235" t="s">
        <v>503</v>
      </c>
      <c r="G244" s="238">
        <v>1.0</v>
      </c>
      <c r="H244" s="238">
        <v>0.0</v>
      </c>
      <c r="I244" s="238">
        <v>0.0</v>
      </c>
      <c r="J244" s="238">
        <v>0.0</v>
      </c>
      <c r="K244" s="238">
        <v>0.0</v>
      </c>
      <c r="L244" s="238">
        <v>0.0</v>
      </c>
      <c r="M244" s="238">
        <v>0.0</v>
      </c>
      <c r="N244" s="238">
        <v>0.0</v>
      </c>
      <c r="O244" s="238">
        <v>0.0</v>
      </c>
      <c r="P244" s="238">
        <v>0.0</v>
      </c>
      <c r="Q244" s="238">
        <v>0.0</v>
      </c>
      <c r="R244" s="238">
        <v>0.0</v>
      </c>
      <c r="S244" s="238">
        <v>1.0</v>
      </c>
      <c r="T244" s="238">
        <v>0.0</v>
      </c>
      <c r="U244" s="235" t="s">
        <v>546</v>
      </c>
      <c r="V244" s="231"/>
    </row>
    <row r="245">
      <c r="A245" s="237">
        <v>46228.0</v>
      </c>
      <c r="B245" s="235" t="s">
        <v>1525</v>
      </c>
      <c r="C245" s="235" t="s">
        <v>363</v>
      </c>
      <c r="D245" s="235" t="s">
        <v>110</v>
      </c>
      <c r="E245" s="235" t="s">
        <v>364</v>
      </c>
      <c r="F245" s="235" t="s">
        <v>503</v>
      </c>
      <c r="G245" s="238">
        <v>1.0</v>
      </c>
      <c r="H245" s="238">
        <v>0.0</v>
      </c>
      <c r="I245" s="238">
        <v>0.0</v>
      </c>
      <c r="J245" s="238">
        <v>0.0</v>
      </c>
      <c r="K245" s="238">
        <v>0.0</v>
      </c>
      <c r="L245" s="238">
        <v>0.0</v>
      </c>
      <c r="M245" s="238">
        <v>0.0</v>
      </c>
      <c r="N245" s="238">
        <v>0.0</v>
      </c>
      <c r="O245" s="238">
        <v>0.0</v>
      </c>
      <c r="P245" s="238">
        <v>0.0</v>
      </c>
      <c r="Q245" s="238">
        <v>0.0</v>
      </c>
      <c r="R245" s="238">
        <v>0.0</v>
      </c>
      <c r="S245" s="238">
        <v>1.0</v>
      </c>
      <c r="T245" s="238">
        <v>0.0</v>
      </c>
      <c r="U245" s="235" t="s">
        <v>5</v>
      </c>
      <c r="V245" s="231"/>
    </row>
    <row r="246">
      <c r="A246" s="237">
        <v>46228.0</v>
      </c>
      <c r="B246" s="235" t="s">
        <v>1525</v>
      </c>
      <c r="C246" s="235" t="s">
        <v>363</v>
      </c>
      <c r="D246" s="235" t="s">
        <v>110</v>
      </c>
      <c r="E246" s="235" t="s">
        <v>364</v>
      </c>
      <c r="F246" s="235" t="s">
        <v>503</v>
      </c>
      <c r="G246" s="238">
        <v>1.0</v>
      </c>
      <c r="H246" s="238">
        <v>0.0</v>
      </c>
      <c r="I246" s="238">
        <v>0.0</v>
      </c>
      <c r="J246" s="238">
        <v>0.0</v>
      </c>
      <c r="K246" s="238">
        <v>0.0</v>
      </c>
      <c r="L246" s="238">
        <v>0.0</v>
      </c>
      <c r="M246" s="238">
        <v>0.0</v>
      </c>
      <c r="N246" s="238">
        <v>0.0</v>
      </c>
      <c r="O246" s="238">
        <v>0.0</v>
      </c>
      <c r="P246" s="238">
        <v>0.0</v>
      </c>
      <c r="Q246" s="238">
        <v>0.0</v>
      </c>
      <c r="R246" s="238">
        <v>0.0</v>
      </c>
      <c r="S246" s="238">
        <v>1.0</v>
      </c>
      <c r="T246" s="238">
        <v>0.0</v>
      </c>
      <c r="U246" s="235" t="s">
        <v>9</v>
      </c>
      <c r="V246" s="231"/>
    </row>
    <row r="247">
      <c r="A247" s="237">
        <v>46228.0</v>
      </c>
      <c r="B247" s="235" t="s">
        <v>1525</v>
      </c>
      <c r="C247" s="235" t="s">
        <v>363</v>
      </c>
      <c r="D247" s="235" t="s">
        <v>110</v>
      </c>
      <c r="E247" s="235" t="s">
        <v>364</v>
      </c>
      <c r="F247" s="235" t="s">
        <v>503</v>
      </c>
      <c r="G247" s="238">
        <v>7.0</v>
      </c>
      <c r="H247" s="238">
        <v>0.0</v>
      </c>
      <c r="I247" s="238">
        <v>0.0</v>
      </c>
      <c r="J247" s="238">
        <v>0.0</v>
      </c>
      <c r="K247" s="238">
        <v>0.0</v>
      </c>
      <c r="L247" s="238">
        <v>0.0</v>
      </c>
      <c r="M247" s="238">
        <v>0.0</v>
      </c>
      <c r="N247" s="238">
        <v>0.0</v>
      </c>
      <c r="O247" s="238">
        <v>0.0</v>
      </c>
      <c r="P247" s="238">
        <v>0.0</v>
      </c>
      <c r="Q247" s="238">
        <v>0.0</v>
      </c>
      <c r="R247" s="238">
        <v>0.0</v>
      </c>
      <c r="S247" s="238">
        <v>7.0</v>
      </c>
      <c r="T247" s="238">
        <v>0.0</v>
      </c>
      <c r="U247" s="235" t="s">
        <v>11</v>
      </c>
      <c r="V247" s="231"/>
    </row>
    <row r="248">
      <c r="A248" s="237">
        <v>46228.0</v>
      </c>
      <c r="B248" s="235" t="s">
        <v>1525</v>
      </c>
      <c r="C248" s="235" t="s">
        <v>363</v>
      </c>
      <c r="D248" s="235" t="s">
        <v>110</v>
      </c>
      <c r="E248" s="235" t="s">
        <v>364</v>
      </c>
      <c r="F248" s="235" t="s">
        <v>503</v>
      </c>
      <c r="G248" s="238">
        <v>1.0</v>
      </c>
      <c r="H248" s="238">
        <v>0.0</v>
      </c>
      <c r="I248" s="238">
        <v>0.0</v>
      </c>
      <c r="J248" s="238">
        <v>0.0</v>
      </c>
      <c r="K248" s="238">
        <v>0.0</v>
      </c>
      <c r="L248" s="238">
        <v>0.0</v>
      </c>
      <c r="M248" s="238">
        <v>0.0</v>
      </c>
      <c r="N248" s="238">
        <v>0.0</v>
      </c>
      <c r="O248" s="238">
        <v>0.0</v>
      </c>
      <c r="P248" s="238">
        <v>0.0</v>
      </c>
      <c r="Q248" s="238">
        <v>0.0</v>
      </c>
      <c r="R248" s="238">
        <v>0.0</v>
      </c>
      <c r="S248" s="238">
        <v>1.0</v>
      </c>
      <c r="T248" s="238">
        <v>0.0</v>
      </c>
      <c r="U248" s="235" t="s">
        <v>16</v>
      </c>
      <c r="V248" s="238"/>
    </row>
    <row r="249">
      <c r="A249" s="237">
        <v>46228.0</v>
      </c>
      <c r="B249" s="235" t="s">
        <v>1525</v>
      </c>
      <c r="C249" s="235" t="s">
        <v>363</v>
      </c>
      <c r="D249" s="235" t="s">
        <v>110</v>
      </c>
      <c r="E249" s="235" t="s">
        <v>364</v>
      </c>
      <c r="F249" s="235" t="s">
        <v>503</v>
      </c>
      <c r="G249" s="238">
        <v>2.0</v>
      </c>
      <c r="H249" s="238">
        <v>0.0</v>
      </c>
      <c r="I249" s="238">
        <v>0.0</v>
      </c>
      <c r="J249" s="238">
        <v>0.0</v>
      </c>
      <c r="K249" s="238">
        <v>0.0</v>
      </c>
      <c r="L249" s="238">
        <v>0.0</v>
      </c>
      <c r="M249" s="238">
        <v>0.0</v>
      </c>
      <c r="N249" s="238">
        <v>0.0</v>
      </c>
      <c r="O249" s="238">
        <v>0.0</v>
      </c>
      <c r="P249" s="238">
        <v>0.0</v>
      </c>
      <c r="Q249" s="238">
        <v>0.0</v>
      </c>
      <c r="R249" s="238">
        <v>0.0</v>
      </c>
      <c r="S249" s="238">
        <v>2.0</v>
      </c>
      <c r="T249" s="238">
        <v>0.0</v>
      </c>
      <c r="U249" s="235" t="s">
        <v>17</v>
      </c>
      <c r="V249" s="238"/>
    </row>
    <row r="250">
      <c r="A250" s="237">
        <v>46228.0</v>
      </c>
      <c r="B250" s="235" t="s">
        <v>1525</v>
      </c>
      <c r="C250" s="235" t="s">
        <v>363</v>
      </c>
      <c r="D250" s="235" t="s">
        <v>110</v>
      </c>
      <c r="E250" s="235" t="s">
        <v>364</v>
      </c>
      <c r="F250" s="235" t="s">
        <v>503</v>
      </c>
      <c r="G250" s="238">
        <v>2.0</v>
      </c>
      <c r="H250" s="238">
        <v>0.0</v>
      </c>
      <c r="I250" s="238">
        <v>0.0</v>
      </c>
      <c r="J250" s="238">
        <v>0.0</v>
      </c>
      <c r="K250" s="238">
        <v>0.0</v>
      </c>
      <c r="L250" s="238">
        <v>0.0</v>
      </c>
      <c r="M250" s="238">
        <v>0.0</v>
      </c>
      <c r="N250" s="238">
        <v>0.0</v>
      </c>
      <c r="O250" s="238">
        <v>0.0</v>
      </c>
      <c r="P250" s="238">
        <v>0.0</v>
      </c>
      <c r="Q250" s="238">
        <v>0.0</v>
      </c>
      <c r="R250" s="238">
        <v>0.0</v>
      </c>
      <c r="S250" s="238">
        <v>2.0</v>
      </c>
      <c r="T250" s="238">
        <v>0.0</v>
      </c>
      <c r="U250" s="235" t="s">
        <v>155</v>
      </c>
      <c r="V250" s="238"/>
    </row>
    <row r="251">
      <c r="A251" s="237">
        <v>46228.0</v>
      </c>
      <c r="B251" s="235" t="s">
        <v>1525</v>
      </c>
      <c r="C251" s="235" t="s">
        <v>363</v>
      </c>
      <c r="D251" s="235" t="s">
        <v>110</v>
      </c>
      <c r="E251" s="235" t="s">
        <v>364</v>
      </c>
      <c r="F251" s="235" t="s">
        <v>503</v>
      </c>
      <c r="G251" s="238">
        <v>1.0</v>
      </c>
      <c r="H251" s="238">
        <v>0.0</v>
      </c>
      <c r="I251" s="238">
        <v>0.0</v>
      </c>
      <c r="J251" s="238">
        <v>0.0</v>
      </c>
      <c r="K251" s="238">
        <v>0.0</v>
      </c>
      <c r="L251" s="238">
        <v>0.0</v>
      </c>
      <c r="M251" s="238">
        <v>0.0</v>
      </c>
      <c r="N251" s="238">
        <v>0.0</v>
      </c>
      <c r="O251" s="238">
        <v>0.0</v>
      </c>
      <c r="P251" s="238">
        <v>0.0</v>
      </c>
      <c r="Q251" s="238">
        <v>0.0</v>
      </c>
      <c r="R251" s="238">
        <v>0.0</v>
      </c>
      <c r="S251" s="238">
        <v>1.0</v>
      </c>
      <c r="T251" s="238">
        <v>0.0</v>
      </c>
      <c r="U251" s="235" t="s">
        <v>533</v>
      </c>
      <c r="V251" s="231"/>
    </row>
    <row r="252">
      <c r="A252" s="237">
        <v>46228.0</v>
      </c>
      <c r="B252" s="235" t="s">
        <v>1525</v>
      </c>
      <c r="C252" s="235" t="s">
        <v>363</v>
      </c>
      <c r="D252" s="235" t="s">
        <v>110</v>
      </c>
      <c r="E252" s="235" t="s">
        <v>364</v>
      </c>
      <c r="F252" s="235" t="s">
        <v>503</v>
      </c>
      <c r="G252" s="238">
        <v>3.0</v>
      </c>
      <c r="H252" s="238">
        <v>0.0</v>
      </c>
      <c r="I252" s="238">
        <v>0.0</v>
      </c>
      <c r="J252" s="238">
        <v>0.0</v>
      </c>
      <c r="K252" s="238">
        <v>0.0</v>
      </c>
      <c r="L252" s="238">
        <v>0.0</v>
      </c>
      <c r="M252" s="238">
        <v>0.0</v>
      </c>
      <c r="N252" s="238">
        <v>0.0</v>
      </c>
      <c r="O252" s="238">
        <v>0.0</v>
      </c>
      <c r="P252" s="238">
        <v>0.0</v>
      </c>
      <c r="Q252" s="238">
        <v>0.0</v>
      </c>
      <c r="R252" s="238">
        <v>0.0</v>
      </c>
      <c r="S252" s="238">
        <v>3.0</v>
      </c>
      <c r="T252" s="238">
        <v>0.0</v>
      </c>
      <c r="U252" s="235" t="s">
        <v>13</v>
      </c>
      <c r="V252" s="238"/>
    </row>
    <row r="253">
      <c r="A253" s="237">
        <v>46228.0</v>
      </c>
      <c r="B253" s="235" t="s">
        <v>1525</v>
      </c>
      <c r="C253" s="235" t="s">
        <v>363</v>
      </c>
      <c r="D253" s="235" t="s">
        <v>110</v>
      </c>
      <c r="E253" s="235" t="s">
        <v>364</v>
      </c>
      <c r="F253" s="235" t="s">
        <v>503</v>
      </c>
      <c r="G253" s="238">
        <v>2.0</v>
      </c>
      <c r="H253" s="238">
        <v>0.0</v>
      </c>
      <c r="I253" s="238">
        <v>0.0</v>
      </c>
      <c r="J253" s="238">
        <v>-1.0</v>
      </c>
      <c r="K253" s="238">
        <v>0.0</v>
      </c>
      <c r="L253" s="238">
        <v>0.0</v>
      </c>
      <c r="M253" s="238">
        <v>0.0</v>
      </c>
      <c r="N253" s="238">
        <v>0.0</v>
      </c>
      <c r="O253" s="238">
        <v>0.0</v>
      </c>
      <c r="P253" s="238">
        <v>0.0</v>
      </c>
      <c r="Q253" s="238">
        <v>0.0</v>
      </c>
      <c r="R253" s="238">
        <v>0.0</v>
      </c>
      <c r="S253" s="238">
        <v>1.0</v>
      </c>
      <c r="T253" s="238">
        <v>0.0</v>
      </c>
      <c r="U253" s="235" t="s">
        <v>14</v>
      </c>
      <c r="V253" s="231"/>
    </row>
    <row r="254">
      <c r="A254" s="237">
        <v>46228.0</v>
      </c>
      <c r="B254" s="235" t="s">
        <v>1525</v>
      </c>
      <c r="C254" s="235" t="s">
        <v>363</v>
      </c>
      <c r="D254" s="235" t="s">
        <v>110</v>
      </c>
      <c r="E254" s="235" t="s">
        <v>364</v>
      </c>
      <c r="F254" s="235" t="s">
        <v>503</v>
      </c>
      <c r="G254" s="238">
        <v>18.0</v>
      </c>
      <c r="H254" s="238">
        <v>0.0</v>
      </c>
      <c r="I254" s="238">
        <v>0.0</v>
      </c>
      <c r="J254" s="238">
        <v>0.0</v>
      </c>
      <c r="K254" s="238">
        <v>0.0</v>
      </c>
      <c r="L254" s="238">
        <v>0.0</v>
      </c>
      <c r="M254" s="238">
        <v>0.0</v>
      </c>
      <c r="N254" s="238">
        <v>0.0</v>
      </c>
      <c r="O254" s="238">
        <v>0.0</v>
      </c>
      <c r="P254" s="238">
        <v>0.0</v>
      </c>
      <c r="Q254" s="238">
        <v>0.0</v>
      </c>
      <c r="R254" s="238">
        <v>0.0</v>
      </c>
      <c r="S254" s="238">
        <v>18.0</v>
      </c>
      <c r="T254" s="238">
        <v>0.0</v>
      </c>
      <c r="U254" s="235" t="s">
        <v>20</v>
      </c>
      <c r="V254" s="231"/>
    </row>
    <row r="255">
      <c r="A255" s="237">
        <v>46228.0</v>
      </c>
      <c r="B255" s="235" t="s">
        <v>1525</v>
      </c>
      <c r="C255" s="235" t="s">
        <v>363</v>
      </c>
      <c r="D255" s="235" t="s">
        <v>110</v>
      </c>
      <c r="E255" s="235" t="s">
        <v>364</v>
      </c>
      <c r="F255" s="235" t="s">
        <v>503</v>
      </c>
      <c r="G255" s="238">
        <v>4.0</v>
      </c>
      <c r="H255" s="238">
        <v>0.0</v>
      </c>
      <c r="I255" s="238">
        <v>0.0</v>
      </c>
      <c r="J255" s="238">
        <v>0.0</v>
      </c>
      <c r="K255" s="238">
        <v>0.0</v>
      </c>
      <c r="L255" s="238">
        <v>0.0</v>
      </c>
      <c r="M255" s="238">
        <v>0.0</v>
      </c>
      <c r="N255" s="238">
        <v>0.0</v>
      </c>
      <c r="O255" s="238">
        <v>0.0</v>
      </c>
      <c r="P255" s="238">
        <v>0.0</v>
      </c>
      <c r="Q255" s="238">
        <v>0.0</v>
      </c>
      <c r="R255" s="238">
        <v>0.0</v>
      </c>
      <c r="S255" s="238">
        <v>4.0</v>
      </c>
      <c r="T255" s="238">
        <v>0.0</v>
      </c>
      <c r="U255" s="235" t="s">
        <v>156</v>
      </c>
      <c r="V255" s="238"/>
    </row>
    <row r="256">
      <c r="A256" s="237">
        <v>46228.0</v>
      </c>
      <c r="B256" s="235" t="s">
        <v>1525</v>
      </c>
      <c r="C256" s="235" t="s">
        <v>363</v>
      </c>
      <c r="D256" s="235" t="s">
        <v>110</v>
      </c>
      <c r="E256" s="235" t="s">
        <v>364</v>
      </c>
      <c r="F256" s="235" t="s">
        <v>503</v>
      </c>
      <c r="G256" s="238">
        <v>5.0</v>
      </c>
      <c r="H256" s="238">
        <v>0.0</v>
      </c>
      <c r="I256" s="238">
        <v>0.0</v>
      </c>
      <c r="J256" s="238">
        <v>0.0</v>
      </c>
      <c r="K256" s="238">
        <v>0.0</v>
      </c>
      <c r="L256" s="238">
        <v>0.0</v>
      </c>
      <c r="M256" s="238">
        <v>0.0</v>
      </c>
      <c r="N256" s="238">
        <v>0.0</v>
      </c>
      <c r="O256" s="238">
        <v>0.0</v>
      </c>
      <c r="P256" s="238">
        <v>0.0</v>
      </c>
      <c r="Q256" s="238">
        <v>0.0</v>
      </c>
      <c r="R256" s="238">
        <v>0.0</v>
      </c>
      <c r="S256" s="238">
        <v>5.0</v>
      </c>
      <c r="T256" s="238">
        <v>0.0</v>
      </c>
      <c r="U256" s="235" t="s">
        <v>546</v>
      </c>
      <c r="V256" s="238"/>
    </row>
    <row r="257">
      <c r="A257" s="237">
        <v>46228.0</v>
      </c>
      <c r="B257" s="235" t="s">
        <v>1572</v>
      </c>
      <c r="C257" s="235" t="s">
        <v>406</v>
      </c>
      <c r="D257" s="235" t="s">
        <v>126</v>
      </c>
      <c r="E257" s="235" t="s">
        <v>407</v>
      </c>
      <c r="F257" s="235" t="s">
        <v>503</v>
      </c>
      <c r="G257" s="238">
        <v>1.0</v>
      </c>
      <c r="H257" s="238">
        <v>0.0</v>
      </c>
      <c r="I257" s="238">
        <v>0.0</v>
      </c>
      <c r="J257" s="238">
        <v>0.0</v>
      </c>
      <c r="K257" s="238">
        <v>0.0</v>
      </c>
      <c r="L257" s="238">
        <v>0.0</v>
      </c>
      <c r="M257" s="238">
        <v>0.0</v>
      </c>
      <c r="N257" s="238">
        <v>0.0</v>
      </c>
      <c r="O257" s="238">
        <v>0.0</v>
      </c>
      <c r="P257" s="238">
        <v>0.0</v>
      </c>
      <c r="Q257" s="238">
        <v>0.0</v>
      </c>
      <c r="R257" s="238">
        <v>0.0</v>
      </c>
      <c r="S257" s="238">
        <v>1.0</v>
      </c>
      <c r="T257" s="238">
        <v>0.0</v>
      </c>
      <c r="U257" s="235" t="s">
        <v>5</v>
      </c>
      <c r="V257" s="248"/>
    </row>
    <row r="258">
      <c r="A258" s="237">
        <v>46228.0</v>
      </c>
      <c r="B258" s="235" t="s">
        <v>1572</v>
      </c>
      <c r="C258" s="235" t="s">
        <v>406</v>
      </c>
      <c r="D258" s="235" t="s">
        <v>126</v>
      </c>
      <c r="E258" s="235" t="s">
        <v>407</v>
      </c>
      <c r="F258" s="235" t="s">
        <v>503</v>
      </c>
      <c r="G258" s="238">
        <v>0.0</v>
      </c>
      <c r="H258" s="238">
        <v>1.0</v>
      </c>
      <c r="I258" s="238">
        <v>0.0</v>
      </c>
      <c r="J258" s="238">
        <v>0.0</v>
      </c>
      <c r="K258" s="238">
        <v>0.0</v>
      </c>
      <c r="L258" s="238">
        <v>0.0</v>
      </c>
      <c r="M258" s="238">
        <v>0.0</v>
      </c>
      <c r="N258" s="238">
        <v>0.0</v>
      </c>
      <c r="O258" s="238">
        <v>0.0</v>
      </c>
      <c r="P258" s="238">
        <v>0.0</v>
      </c>
      <c r="Q258" s="238">
        <v>0.0</v>
      </c>
      <c r="R258" s="238">
        <v>0.0</v>
      </c>
      <c r="S258" s="238">
        <v>0.0</v>
      </c>
      <c r="T258" s="238">
        <v>0.0</v>
      </c>
      <c r="U258" s="235" t="s">
        <v>596</v>
      </c>
      <c r="V258" s="238"/>
    </row>
    <row r="259">
      <c r="A259" s="237">
        <v>46228.0</v>
      </c>
      <c r="B259" s="235" t="s">
        <v>1572</v>
      </c>
      <c r="C259" s="235" t="s">
        <v>406</v>
      </c>
      <c r="D259" s="235" t="s">
        <v>126</v>
      </c>
      <c r="E259" s="235" t="s">
        <v>407</v>
      </c>
      <c r="F259" s="235" t="s">
        <v>503</v>
      </c>
      <c r="G259" s="238">
        <v>2.0</v>
      </c>
      <c r="H259" s="238">
        <v>0.0</v>
      </c>
      <c r="I259" s="238">
        <v>0.0</v>
      </c>
      <c r="J259" s="238">
        <v>0.0</v>
      </c>
      <c r="K259" s="238">
        <v>0.0</v>
      </c>
      <c r="L259" s="238">
        <v>0.0</v>
      </c>
      <c r="M259" s="238">
        <v>0.0</v>
      </c>
      <c r="N259" s="238">
        <v>0.0</v>
      </c>
      <c r="O259" s="238">
        <v>0.0</v>
      </c>
      <c r="P259" s="238">
        <v>0.0</v>
      </c>
      <c r="Q259" s="238">
        <v>0.0</v>
      </c>
      <c r="R259" s="238">
        <v>0.0</v>
      </c>
      <c r="S259" s="238">
        <v>2.0</v>
      </c>
      <c r="T259" s="238">
        <v>0.0</v>
      </c>
      <c r="U259" s="235" t="s">
        <v>11</v>
      </c>
      <c r="V259" s="231"/>
    </row>
    <row r="260">
      <c r="A260" s="237">
        <v>46228.0</v>
      </c>
      <c r="B260" s="235" t="s">
        <v>1572</v>
      </c>
      <c r="C260" s="235" t="s">
        <v>406</v>
      </c>
      <c r="D260" s="235" t="s">
        <v>126</v>
      </c>
      <c r="E260" s="235" t="s">
        <v>407</v>
      </c>
      <c r="F260" s="235" t="s">
        <v>503</v>
      </c>
      <c r="G260" s="238">
        <v>1.0</v>
      </c>
      <c r="H260" s="238">
        <v>0.0</v>
      </c>
      <c r="I260" s="238">
        <v>0.0</v>
      </c>
      <c r="J260" s="238">
        <v>-1.0</v>
      </c>
      <c r="K260" s="238">
        <v>0.0</v>
      </c>
      <c r="L260" s="238">
        <v>0.0</v>
      </c>
      <c r="M260" s="238">
        <v>0.0</v>
      </c>
      <c r="N260" s="238">
        <v>0.0</v>
      </c>
      <c r="O260" s="238">
        <v>0.0</v>
      </c>
      <c r="P260" s="238">
        <v>0.0</v>
      </c>
      <c r="Q260" s="238">
        <v>0.0</v>
      </c>
      <c r="R260" s="238">
        <v>0.0</v>
      </c>
      <c r="S260" s="238">
        <v>0.0</v>
      </c>
      <c r="T260" s="238">
        <v>0.0</v>
      </c>
      <c r="U260" s="235" t="s">
        <v>16</v>
      </c>
      <c r="V260" s="231"/>
    </row>
    <row r="261">
      <c r="A261" s="237">
        <v>46228.0</v>
      </c>
      <c r="B261" s="235" t="s">
        <v>1572</v>
      </c>
      <c r="C261" s="235" t="s">
        <v>406</v>
      </c>
      <c r="D261" s="235" t="s">
        <v>126</v>
      </c>
      <c r="E261" s="235" t="s">
        <v>407</v>
      </c>
      <c r="F261" s="235" t="s">
        <v>503</v>
      </c>
      <c r="G261" s="238">
        <v>1.0</v>
      </c>
      <c r="H261" s="238">
        <v>0.0</v>
      </c>
      <c r="I261" s="238">
        <v>0.0</v>
      </c>
      <c r="J261" s="238">
        <v>0.0</v>
      </c>
      <c r="K261" s="238">
        <v>0.0</v>
      </c>
      <c r="L261" s="238">
        <v>0.0</v>
      </c>
      <c r="M261" s="238">
        <v>0.0</v>
      </c>
      <c r="N261" s="238">
        <v>0.0</v>
      </c>
      <c r="O261" s="238">
        <v>0.0</v>
      </c>
      <c r="P261" s="238">
        <v>0.0</v>
      </c>
      <c r="Q261" s="238">
        <v>0.0</v>
      </c>
      <c r="R261" s="238">
        <v>0.0</v>
      </c>
      <c r="S261" s="238">
        <v>1.0</v>
      </c>
      <c r="T261" s="238">
        <v>0.0</v>
      </c>
      <c r="U261" s="235" t="s">
        <v>155</v>
      </c>
      <c r="V261" s="231"/>
    </row>
    <row r="262">
      <c r="A262" s="237">
        <v>46228.0</v>
      </c>
      <c r="B262" s="235" t="s">
        <v>1572</v>
      </c>
      <c r="C262" s="235" t="s">
        <v>406</v>
      </c>
      <c r="D262" s="235" t="s">
        <v>126</v>
      </c>
      <c r="E262" s="235" t="s">
        <v>407</v>
      </c>
      <c r="F262" s="235" t="s">
        <v>503</v>
      </c>
      <c r="G262" s="238">
        <v>1.0</v>
      </c>
      <c r="H262" s="238">
        <v>0.0</v>
      </c>
      <c r="I262" s="238">
        <v>0.0</v>
      </c>
      <c r="J262" s="238">
        <v>0.0</v>
      </c>
      <c r="K262" s="238">
        <v>0.0</v>
      </c>
      <c r="L262" s="238">
        <v>0.0</v>
      </c>
      <c r="M262" s="238">
        <v>0.0</v>
      </c>
      <c r="N262" s="238">
        <v>0.0</v>
      </c>
      <c r="O262" s="238">
        <v>0.0</v>
      </c>
      <c r="P262" s="238">
        <v>0.0</v>
      </c>
      <c r="Q262" s="238">
        <v>0.0</v>
      </c>
      <c r="R262" s="238">
        <v>0.0</v>
      </c>
      <c r="S262" s="238">
        <v>1.0</v>
      </c>
      <c r="T262" s="238">
        <v>0.0</v>
      </c>
      <c r="U262" s="235" t="s">
        <v>533</v>
      </c>
      <c r="V262" s="231"/>
    </row>
    <row r="263">
      <c r="A263" s="237">
        <v>46228.0</v>
      </c>
      <c r="B263" s="235" t="s">
        <v>1572</v>
      </c>
      <c r="C263" s="235" t="s">
        <v>406</v>
      </c>
      <c r="D263" s="235" t="s">
        <v>126</v>
      </c>
      <c r="E263" s="235" t="s">
        <v>407</v>
      </c>
      <c r="F263" s="235" t="s">
        <v>503</v>
      </c>
      <c r="G263" s="238">
        <v>1.0</v>
      </c>
      <c r="H263" s="238">
        <v>0.0</v>
      </c>
      <c r="I263" s="238">
        <v>0.0</v>
      </c>
      <c r="J263" s="238">
        <v>0.0</v>
      </c>
      <c r="K263" s="238">
        <v>0.0</v>
      </c>
      <c r="L263" s="238">
        <v>0.0</v>
      </c>
      <c r="M263" s="238">
        <v>0.0</v>
      </c>
      <c r="N263" s="238">
        <v>0.0</v>
      </c>
      <c r="O263" s="238">
        <v>0.0</v>
      </c>
      <c r="P263" s="238">
        <v>0.0</v>
      </c>
      <c r="Q263" s="238">
        <v>0.0</v>
      </c>
      <c r="R263" s="238">
        <v>0.0</v>
      </c>
      <c r="S263" s="238">
        <v>1.0</v>
      </c>
      <c r="T263" s="238">
        <v>0.0</v>
      </c>
      <c r="U263" s="235" t="s">
        <v>13</v>
      </c>
      <c r="V263" s="231"/>
    </row>
    <row r="264">
      <c r="A264" s="237">
        <v>46228.0</v>
      </c>
      <c r="B264" s="235" t="s">
        <v>1572</v>
      </c>
      <c r="C264" s="235" t="s">
        <v>406</v>
      </c>
      <c r="D264" s="235" t="s">
        <v>126</v>
      </c>
      <c r="E264" s="235" t="s">
        <v>407</v>
      </c>
      <c r="F264" s="235" t="s">
        <v>503</v>
      </c>
      <c r="G264" s="238">
        <v>9.0</v>
      </c>
      <c r="H264" s="238">
        <v>0.0</v>
      </c>
      <c r="I264" s="238">
        <v>0.0</v>
      </c>
      <c r="J264" s="238">
        <v>-1.0</v>
      </c>
      <c r="K264" s="238">
        <v>0.0</v>
      </c>
      <c r="L264" s="238">
        <v>0.0</v>
      </c>
      <c r="M264" s="238">
        <v>0.0</v>
      </c>
      <c r="N264" s="238">
        <v>0.0</v>
      </c>
      <c r="O264" s="238">
        <v>0.0</v>
      </c>
      <c r="P264" s="238">
        <v>0.0</v>
      </c>
      <c r="Q264" s="238">
        <v>0.0</v>
      </c>
      <c r="R264" s="238">
        <v>0.0</v>
      </c>
      <c r="S264" s="238">
        <v>8.0</v>
      </c>
      <c r="T264" s="238">
        <v>0.0</v>
      </c>
      <c r="U264" s="235" t="s">
        <v>14</v>
      </c>
      <c r="V264" s="238"/>
    </row>
    <row r="265">
      <c r="A265" s="237">
        <v>46228.0</v>
      </c>
      <c r="B265" s="235" t="s">
        <v>1572</v>
      </c>
      <c r="C265" s="235" t="s">
        <v>406</v>
      </c>
      <c r="D265" s="235" t="s">
        <v>126</v>
      </c>
      <c r="E265" s="235" t="s">
        <v>407</v>
      </c>
      <c r="F265" s="235" t="s">
        <v>503</v>
      </c>
      <c r="G265" s="238">
        <v>3.0</v>
      </c>
      <c r="H265" s="238">
        <v>0.0</v>
      </c>
      <c r="I265" s="238">
        <v>0.0</v>
      </c>
      <c r="J265" s="238">
        <v>0.0</v>
      </c>
      <c r="K265" s="238">
        <v>0.0</v>
      </c>
      <c r="L265" s="238">
        <v>0.0</v>
      </c>
      <c r="M265" s="238">
        <v>0.0</v>
      </c>
      <c r="N265" s="238">
        <v>0.0</v>
      </c>
      <c r="O265" s="238">
        <v>0.0</v>
      </c>
      <c r="P265" s="238">
        <v>0.0</v>
      </c>
      <c r="Q265" s="238">
        <v>0.0</v>
      </c>
      <c r="R265" s="238">
        <v>0.0</v>
      </c>
      <c r="S265" s="238">
        <v>3.0</v>
      </c>
      <c r="T265" s="238">
        <v>0.0</v>
      </c>
      <c r="U265" s="235" t="s">
        <v>20</v>
      </c>
      <c r="V265" s="231"/>
    </row>
    <row r="266">
      <c r="A266" s="237">
        <v>46228.0</v>
      </c>
      <c r="B266" s="235" t="s">
        <v>1572</v>
      </c>
      <c r="C266" s="235" t="s">
        <v>406</v>
      </c>
      <c r="D266" s="235" t="s">
        <v>126</v>
      </c>
      <c r="E266" s="235" t="s">
        <v>407</v>
      </c>
      <c r="F266" s="235" t="s">
        <v>503</v>
      </c>
      <c r="G266" s="238">
        <v>6.0</v>
      </c>
      <c r="H266" s="238">
        <v>0.0</v>
      </c>
      <c r="I266" s="238">
        <v>0.0</v>
      </c>
      <c r="J266" s="238">
        <v>0.0</v>
      </c>
      <c r="K266" s="238">
        <v>0.0</v>
      </c>
      <c r="L266" s="238">
        <v>0.0</v>
      </c>
      <c r="M266" s="238">
        <v>0.0</v>
      </c>
      <c r="N266" s="238">
        <v>0.0</v>
      </c>
      <c r="O266" s="238">
        <v>0.0</v>
      </c>
      <c r="P266" s="238">
        <v>0.0</v>
      </c>
      <c r="Q266" s="238">
        <v>0.0</v>
      </c>
      <c r="R266" s="238">
        <v>0.0</v>
      </c>
      <c r="S266" s="238">
        <v>6.0</v>
      </c>
      <c r="T266" s="238">
        <v>0.0</v>
      </c>
      <c r="U266" s="235" t="s">
        <v>156</v>
      </c>
      <c r="V266" s="231"/>
    </row>
    <row r="267">
      <c r="A267" s="237">
        <v>46228.0</v>
      </c>
      <c r="B267" s="235" t="s">
        <v>1605</v>
      </c>
      <c r="C267" s="235" t="s">
        <v>333</v>
      </c>
      <c r="D267" s="235" t="s">
        <v>117</v>
      </c>
      <c r="E267" s="235" t="s">
        <v>334</v>
      </c>
      <c r="F267" s="235" t="s">
        <v>503</v>
      </c>
      <c r="G267" s="238">
        <v>1.0</v>
      </c>
      <c r="H267" s="238">
        <v>0.0</v>
      </c>
      <c r="I267" s="238">
        <v>0.0</v>
      </c>
      <c r="J267" s="238">
        <v>-1.0</v>
      </c>
      <c r="K267" s="238">
        <v>0.0</v>
      </c>
      <c r="L267" s="238">
        <v>0.0</v>
      </c>
      <c r="M267" s="238">
        <v>0.0</v>
      </c>
      <c r="N267" s="238">
        <v>0.0</v>
      </c>
      <c r="O267" s="238">
        <v>0.0</v>
      </c>
      <c r="P267" s="238">
        <v>0.0</v>
      </c>
      <c r="Q267" s="238">
        <v>0.0</v>
      </c>
      <c r="R267" s="238">
        <v>0.0</v>
      </c>
      <c r="S267" s="238">
        <v>0.0</v>
      </c>
      <c r="T267" s="238">
        <v>0.0</v>
      </c>
      <c r="U267" s="235" t="s">
        <v>9</v>
      </c>
      <c r="V267" s="231"/>
    </row>
    <row r="268">
      <c r="A268" s="237">
        <v>46228.0</v>
      </c>
      <c r="B268" s="235" t="s">
        <v>1605</v>
      </c>
      <c r="C268" s="235" t="s">
        <v>333</v>
      </c>
      <c r="D268" s="235" t="s">
        <v>117</v>
      </c>
      <c r="E268" s="235" t="s">
        <v>334</v>
      </c>
      <c r="F268" s="235" t="s">
        <v>503</v>
      </c>
      <c r="G268" s="238">
        <v>2.0</v>
      </c>
      <c r="H268" s="238">
        <v>0.0</v>
      </c>
      <c r="I268" s="238">
        <v>0.0</v>
      </c>
      <c r="J268" s="238">
        <v>0.0</v>
      </c>
      <c r="K268" s="238">
        <v>0.0</v>
      </c>
      <c r="L268" s="238">
        <v>0.0</v>
      </c>
      <c r="M268" s="238">
        <v>0.0</v>
      </c>
      <c r="N268" s="238">
        <v>0.0</v>
      </c>
      <c r="O268" s="238">
        <v>0.0</v>
      </c>
      <c r="P268" s="238">
        <v>0.0</v>
      </c>
      <c r="Q268" s="238">
        <v>0.0</v>
      </c>
      <c r="R268" s="238">
        <v>0.0</v>
      </c>
      <c r="S268" s="238">
        <v>2.0</v>
      </c>
      <c r="T268" s="238">
        <v>0.0</v>
      </c>
      <c r="U268" s="235" t="s">
        <v>11</v>
      </c>
      <c r="V268" s="238"/>
    </row>
    <row r="269">
      <c r="A269" s="237">
        <v>46228.0</v>
      </c>
      <c r="B269" s="235" t="s">
        <v>1605</v>
      </c>
      <c r="C269" s="235" t="s">
        <v>333</v>
      </c>
      <c r="D269" s="235" t="s">
        <v>117</v>
      </c>
      <c r="E269" s="235" t="s">
        <v>334</v>
      </c>
      <c r="F269" s="235" t="s">
        <v>503</v>
      </c>
      <c r="G269" s="238">
        <v>0.0</v>
      </c>
      <c r="H269" s="238">
        <v>0.0</v>
      </c>
      <c r="I269" s="238">
        <v>0.0</v>
      </c>
      <c r="J269" s="238">
        <v>0.0</v>
      </c>
      <c r="K269" s="238">
        <v>0.0</v>
      </c>
      <c r="L269" s="238">
        <v>0.0</v>
      </c>
      <c r="M269" s="238">
        <v>2.0</v>
      </c>
      <c r="N269" s="238">
        <v>0.0</v>
      </c>
      <c r="O269" s="238">
        <v>0.0</v>
      </c>
      <c r="P269" s="238">
        <v>0.0</v>
      </c>
      <c r="Q269" s="238">
        <v>0.0</v>
      </c>
      <c r="R269" s="238">
        <v>0.0</v>
      </c>
      <c r="S269" s="238">
        <v>2.0</v>
      </c>
      <c r="T269" s="238">
        <v>0.0</v>
      </c>
      <c r="U269" s="235" t="s">
        <v>16</v>
      </c>
      <c r="V269" s="238"/>
    </row>
    <row r="270">
      <c r="A270" s="237">
        <v>46228.0</v>
      </c>
      <c r="B270" s="235" t="s">
        <v>1605</v>
      </c>
      <c r="C270" s="235" t="s">
        <v>333</v>
      </c>
      <c r="D270" s="235" t="s">
        <v>117</v>
      </c>
      <c r="E270" s="235" t="s">
        <v>334</v>
      </c>
      <c r="F270" s="235" t="s">
        <v>503</v>
      </c>
      <c r="G270" s="238">
        <v>1.0</v>
      </c>
      <c r="H270" s="238">
        <v>0.0</v>
      </c>
      <c r="I270" s="238">
        <v>0.0</v>
      </c>
      <c r="J270" s="238">
        <v>0.0</v>
      </c>
      <c r="K270" s="238">
        <v>0.0</v>
      </c>
      <c r="L270" s="238">
        <v>0.0</v>
      </c>
      <c r="M270" s="238">
        <v>0.0</v>
      </c>
      <c r="N270" s="238">
        <v>0.0</v>
      </c>
      <c r="O270" s="238">
        <v>0.0</v>
      </c>
      <c r="P270" s="238">
        <v>0.0</v>
      </c>
      <c r="Q270" s="238">
        <v>0.0</v>
      </c>
      <c r="R270" s="238">
        <v>0.0</v>
      </c>
      <c r="S270" s="238">
        <v>1.0</v>
      </c>
      <c r="T270" s="238">
        <v>0.0</v>
      </c>
      <c r="U270" s="235" t="s">
        <v>17</v>
      </c>
      <c r="V270" s="231"/>
    </row>
    <row r="271">
      <c r="A271" s="237">
        <v>46228.0</v>
      </c>
      <c r="B271" s="235" t="s">
        <v>1605</v>
      </c>
      <c r="C271" s="235" t="s">
        <v>333</v>
      </c>
      <c r="D271" s="235" t="s">
        <v>117</v>
      </c>
      <c r="E271" s="235" t="s">
        <v>334</v>
      </c>
      <c r="F271" s="235" t="s">
        <v>503</v>
      </c>
      <c r="G271" s="238">
        <v>1.0</v>
      </c>
      <c r="H271" s="238">
        <v>0.0</v>
      </c>
      <c r="I271" s="238">
        <v>0.0</v>
      </c>
      <c r="J271" s="238">
        <v>0.0</v>
      </c>
      <c r="K271" s="238">
        <v>0.0</v>
      </c>
      <c r="L271" s="238">
        <v>0.0</v>
      </c>
      <c r="M271" s="238">
        <v>0.0</v>
      </c>
      <c r="N271" s="238">
        <v>0.0</v>
      </c>
      <c r="O271" s="238">
        <v>0.0</v>
      </c>
      <c r="P271" s="238">
        <v>0.0</v>
      </c>
      <c r="Q271" s="238">
        <v>0.0</v>
      </c>
      <c r="R271" s="238">
        <v>0.0</v>
      </c>
      <c r="S271" s="238">
        <v>1.0</v>
      </c>
      <c r="T271" s="238">
        <v>0.0</v>
      </c>
      <c r="U271" s="235" t="s">
        <v>155</v>
      </c>
      <c r="V271" s="231"/>
    </row>
    <row r="272">
      <c r="A272" s="237">
        <v>46228.0</v>
      </c>
      <c r="B272" s="235" t="s">
        <v>1605</v>
      </c>
      <c r="C272" s="235" t="s">
        <v>333</v>
      </c>
      <c r="D272" s="235" t="s">
        <v>117</v>
      </c>
      <c r="E272" s="235" t="s">
        <v>334</v>
      </c>
      <c r="F272" s="235" t="s">
        <v>503</v>
      </c>
      <c r="G272" s="238">
        <v>1.0</v>
      </c>
      <c r="H272" s="238">
        <v>0.0</v>
      </c>
      <c r="I272" s="238">
        <v>0.0</v>
      </c>
      <c r="J272" s="238">
        <v>0.0</v>
      </c>
      <c r="K272" s="238">
        <v>0.0</v>
      </c>
      <c r="L272" s="238">
        <v>0.0</v>
      </c>
      <c r="M272" s="238">
        <v>0.0</v>
      </c>
      <c r="N272" s="238">
        <v>0.0</v>
      </c>
      <c r="O272" s="238">
        <v>0.0</v>
      </c>
      <c r="P272" s="238">
        <v>0.0</v>
      </c>
      <c r="Q272" s="238">
        <v>0.0</v>
      </c>
      <c r="R272" s="238">
        <v>0.0</v>
      </c>
      <c r="S272" s="238">
        <v>1.0</v>
      </c>
      <c r="T272" s="238">
        <v>0.0</v>
      </c>
      <c r="U272" s="235" t="s">
        <v>533</v>
      </c>
      <c r="V272" s="238"/>
    </row>
    <row r="273">
      <c r="A273" s="237">
        <v>46228.0</v>
      </c>
      <c r="B273" s="235" t="s">
        <v>1605</v>
      </c>
      <c r="C273" s="235" t="s">
        <v>333</v>
      </c>
      <c r="D273" s="235" t="s">
        <v>117</v>
      </c>
      <c r="E273" s="235" t="s">
        <v>334</v>
      </c>
      <c r="F273" s="235" t="s">
        <v>503</v>
      </c>
      <c r="G273" s="238">
        <v>5.0</v>
      </c>
      <c r="H273" s="238">
        <v>0.0</v>
      </c>
      <c r="I273" s="238">
        <v>0.0</v>
      </c>
      <c r="J273" s="238">
        <v>0.0</v>
      </c>
      <c r="K273" s="238">
        <v>0.0</v>
      </c>
      <c r="L273" s="238">
        <v>0.0</v>
      </c>
      <c r="M273" s="238">
        <v>0.0</v>
      </c>
      <c r="N273" s="238">
        <v>0.0</v>
      </c>
      <c r="O273" s="238">
        <v>0.0</v>
      </c>
      <c r="P273" s="238">
        <v>0.0</v>
      </c>
      <c r="Q273" s="238">
        <v>0.0</v>
      </c>
      <c r="R273" s="238">
        <v>0.0</v>
      </c>
      <c r="S273" s="238">
        <v>5.0</v>
      </c>
      <c r="T273" s="238">
        <v>0.0</v>
      </c>
      <c r="U273" s="235" t="s">
        <v>14</v>
      </c>
      <c r="V273" s="231"/>
    </row>
    <row r="274">
      <c r="A274" s="237">
        <v>46228.0</v>
      </c>
      <c r="B274" s="235" t="s">
        <v>1605</v>
      </c>
      <c r="C274" s="235" t="s">
        <v>333</v>
      </c>
      <c r="D274" s="235" t="s">
        <v>117</v>
      </c>
      <c r="E274" s="235" t="s">
        <v>334</v>
      </c>
      <c r="F274" s="235" t="s">
        <v>503</v>
      </c>
      <c r="G274" s="238">
        <v>2.0</v>
      </c>
      <c r="H274" s="238">
        <v>0.0</v>
      </c>
      <c r="I274" s="238">
        <v>0.0</v>
      </c>
      <c r="J274" s="238">
        <v>0.0</v>
      </c>
      <c r="K274" s="238">
        <v>0.0</v>
      </c>
      <c r="L274" s="238">
        <v>0.0</v>
      </c>
      <c r="M274" s="238">
        <v>0.0</v>
      </c>
      <c r="N274" s="238">
        <v>0.0</v>
      </c>
      <c r="O274" s="238">
        <v>0.0</v>
      </c>
      <c r="P274" s="238">
        <v>0.0</v>
      </c>
      <c r="Q274" s="238">
        <v>0.0</v>
      </c>
      <c r="R274" s="238">
        <v>0.0</v>
      </c>
      <c r="S274" s="238">
        <v>2.0</v>
      </c>
      <c r="T274" s="238">
        <v>0.0</v>
      </c>
      <c r="U274" s="235" t="s">
        <v>20</v>
      </c>
    </row>
    <row r="275">
      <c r="A275" s="237">
        <v>46228.0</v>
      </c>
      <c r="B275" s="235" t="s">
        <v>1605</v>
      </c>
      <c r="C275" s="235" t="s">
        <v>333</v>
      </c>
      <c r="D275" s="235" t="s">
        <v>117</v>
      </c>
      <c r="E275" s="235" t="s">
        <v>334</v>
      </c>
      <c r="F275" s="235" t="s">
        <v>503</v>
      </c>
      <c r="G275" s="238">
        <v>4.0</v>
      </c>
      <c r="H275" s="238">
        <v>0.0</v>
      </c>
      <c r="I275" s="238">
        <v>0.0</v>
      </c>
      <c r="J275" s="238">
        <v>0.0</v>
      </c>
      <c r="K275" s="238">
        <v>0.0</v>
      </c>
      <c r="L275" s="238">
        <v>0.0</v>
      </c>
      <c r="M275" s="238">
        <v>0.0</v>
      </c>
      <c r="N275" s="238">
        <v>0.0</v>
      </c>
      <c r="O275" s="238">
        <v>0.0</v>
      </c>
      <c r="P275" s="238">
        <v>0.0</v>
      </c>
      <c r="Q275" s="238">
        <v>0.0</v>
      </c>
      <c r="R275" s="238">
        <v>0.0</v>
      </c>
      <c r="S275" s="238">
        <v>4.0</v>
      </c>
      <c r="T275" s="238">
        <v>0.0</v>
      </c>
      <c r="U275" s="235" t="s">
        <v>156</v>
      </c>
      <c r="V275" s="238"/>
    </row>
    <row r="276">
      <c r="A276" s="237">
        <v>46228.0</v>
      </c>
      <c r="B276" s="235" t="s">
        <v>1605</v>
      </c>
      <c r="C276" s="235" t="s">
        <v>333</v>
      </c>
      <c r="D276" s="235" t="s">
        <v>117</v>
      </c>
      <c r="E276" s="235" t="s">
        <v>334</v>
      </c>
      <c r="F276" s="235" t="s">
        <v>503</v>
      </c>
      <c r="G276" s="238">
        <v>2.0</v>
      </c>
      <c r="H276" s="238">
        <v>0.0</v>
      </c>
      <c r="I276" s="238">
        <v>0.0</v>
      </c>
      <c r="J276" s="238">
        <v>0.0</v>
      </c>
      <c r="K276" s="238">
        <v>0.0</v>
      </c>
      <c r="L276" s="238">
        <v>0.0</v>
      </c>
      <c r="M276" s="238">
        <v>0.0</v>
      </c>
      <c r="N276" s="238">
        <v>0.0</v>
      </c>
      <c r="O276" s="238">
        <v>0.0</v>
      </c>
      <c r="P276" s="238">
        <v>0.0</v>
      </c>
      <c r="Q276" s="238">
        <v>0.0</v>
      </c>
      <c r="R276" s="238">
        <v>0.0</v>
      </c>
      <c r="S276" s="238">
        <v>2.0</v>
      </c>
      <c r="T276" s="238">
        <v>0.0</v>
      </c>
      <c r="U276" s="235" t="s">
        <v>546</v>
      </c>
      <c r="V276" s="231"/>
    </row>
    <row r="277">
      <c r="A277" s="237">
        <v>46228.0</v>
      </c>
      <c r="B277" s="235" t="s">
        <v>1639</v>
      </c>
      <c r="C277" s="235" t="s">
        <v>451</v>
      </c>
      <c r="D277" s="235" t="s">
        <v>113</v>
      </c>
      <c r="E277" s="235" t="s">
        <v>452</v>
      </c>
      <c r="F277" s="235" t="s">
        <v>503</v>
      </c>
      <c r="G277" s="238">
        <v>0.0</v>
      </c>
      <c r="H277" s="238">
        <v>2.0</v>
      </c>
      <c r="I277" s="238">
        <v>0.0</v>
      </c>
      <c r="J277" s="238">
        <v>0.0</v>
      </c>
      <c r="K277" s="238">
        <v>0.0</v>
      </c>
      <c r="L277" s="238">
        <v>0.0</v>
      </c>
      <c r="M277" s="238">
        <v>0.0</v>
      </c>
      <c r="N277" s="238">
        <v>0.0</v>
      </c>
      <c r="O277" s="238">
        <v>0.0</v>
      </c>
      <c r="P277" s="238">
        <v>0.0</v>
      </c>
      <c r="Q277" s="238">
        <v>0.0</v>
      </c>
      <c r="R277" s="238">
        <v>0.0</v>
      </c>
      <c r="S277" s="238">
        <v>0.0</v>
      </c>
      <c r="T277" s="238">
        <v>0.0</v>
      </c>
      <c r="U277" s="235" t="s">
        <v>596</v>
      </c>
      <c r="V277" s="231"/>
    </row>
    <row r="278">
      <c r="A278" s="237">
        <v>46228.0</v>
      </c>
      <c r="B278" s="235" t="s">
        <v>1639</v>
      </c>
      <c r="C278" s="235" t="s">
        <v>451</v>
      </c>
      <c r="D278" s="235" t="s">
        <v>113</v>
      </c>
      <c r="E278" s="235" t="s">
        <v>452</v>
      </c>
      <c r="F278" s="235" t="s">
        <v>503</v>
      </c>
      <c r="G278" s="238">
        <v>1.0</v>
      </c>
      <c r="H278" s="238">
        <v>0.0</v>
      </c>
      <c r="I278" s="238">
        <v>0.0</v>
      </c>
      <c r="J278" s="238">
        <v>0.0</v>
      </c>
      <c r="K278" s="238">
        <v>0.0</v>
      </c>
      <c r="L278" s="238">
        <v>0.0</v>
      </c>
      <c r="M278" s="238">
        <v>0.0</v>
      </c>
      <c r="N278" s="238">
        <v>0.0</v>
      </c>
      <c r="O278" s="238">
        <v>0.0</v>
      </c>
      <c r="P278" s="238">
        <v>0.0</v>
      </c>
      <c r="Q278" s="238">
        <v>0.0</v>
      </c>
      <c r="R278" s="238">
        <v>0.0</v>
      </c>
      <c r="S278" s="238">
        <v>1.0</v>
      </c>
      <c r="T278" s="238">
        <v>0.0</v>
      </c>
      <c r="U278" s="235" t="s">
        <v>16</v>
      </c>
      <c r="V278" s="231"/>
    </row>
    <row r="279">
      <c r="A279" s="237">
        <v>46228.0</v>
      </c>
      <c r="B279" s="235" t="s">
        <v>1639</v>
      </c>
      <c r="C279" s="235" t="s">
        <v>451</v>
      </c>
      <c r="D279" s="235" t="s">
        <v>113</v>
      </c>
      <c r="E279" s="235" t="s">
        <v>452</v>
      </c>
      <c r="F279" s="235" t="s">
        <v>503</v>
      </c>
      <c r="G279" s="238">
        <v>1.0</v>
      </c>
      <c r="H279" s="238">
        <v>0.0</v>
      </c>
      <c r="I279" s="238">
        <v>0.0</v>
      </c>
      <c r="J279" s="238">
        <v>0.0</v>
      </c>
      <c r="K279" s="238">
        <v>0.0</v>
      </c>
      <c r="L279" s="238">
        <v>0.0</v>
      </c>
      <c r="M279" s="238">
        <v>0.0</v>
      </c>
      <c r="N279" s="238">
        <v>0.0</v>
      </c>
      <c r="O279" s="238">
        <v>0.0</v>
      </c>
      <c r="P279" s="238">
        <v>0.0</v>
      </c>
      <c r="Q279" s="238">
        <v>0.0</v>
      </c>
      <c r="R279" s="238">
        <v>0.0</v>
      </c>
      <c r="S279" s="238">
        <v>1.0</v>
      </c>
      <c r="T279" s="238">
        <v>0.0</v>
      </c>
      <c r="U279" s="235" t="s">
        <v>17</v>
      </c>
    </row>
    <row r="280">
      <c r="A280" s="237">
        <v>46228.0</v>
      </c>
      <c r="B280" s="235" t="s">
        <v>1639</v>
      </c>
      <c r="C280" s="235" t="s">
        <v>451</v>
      </c>
      <c r="D280" s="235" t="s">
        <v>113</v>
      </c>
      <c r="E280" s="235" t="s">
        <v>452</v>
      </c>
      <c r="F280" s="235" t="s">
        <v>503</v>
      </c>
      <c r="G280" s="238">
        <v>3.0</v>
      </c>
      <c r="H280" s="238">
        <v>0.0</v>
      </c>
      <c r="I280" s="238">
        <v>0.0</v>
      </c>
      <c r="J280" s="238">
        <v>0.0</v>
      </c>
      <c r="K280" s="238">
        <v>0.0</v>
      </c>
      <c r="L280" s="238">
        <v>0.0</v>
      </c>
      <c r="M280" s="238">
        <v>0.0</v>
      </c>
      <c r="N280" s="238">
        <v>0.0</v>
      </c>
      <c r="O280" s="238">
        <v>0.0</v>
      </c>
      <c r="P280" s="238">
        <v>0.0</v>
      </c>
      <c r="Q280" s="238">
        <v>0.0</v>
      </c>
      <c r="R280" s="238">
        <v>0.0</v>
      </c>
      <c r="S280" s="238">
        <v>3.0</v>
      </c>
      <c r="T280" s="238">
        <v>0.0</v>
      </c>
      <c r="U280" s="235" t="s">
        <v>20</v>
      </c>
      <c r="V280" s="238"/>
    </row>
    <row r="281">
      <c r="A281" s="237">
        <v>46228.0</v>
      </c>
      <c r="B281" s="235" t="s">
        <v>1639</v>
      </c>
      <c r="C281" s="235" t="s">
        <v>451</v>
      </c>
      <c r="D281" s="235" t="s">
        <v>113</v>
      </c>
      <c r="E281" s="235" t="s">
        <v>452</v>
      </c>
      <c r="F281" s="235" t="s">
        <v>503</v>
      </c>
      <c r="G281" s="238">
        <v>2.0</v>
      </c>
      <c r="H281" s="238">
        <v>0.0</v>
      </c>
      <c r="I281" s="238">
        <v>0.0</v>
      </c>
      <c r="J281" s="238">
        <v>0.0</v>
      </c>
      <c r="K281" s="238">
        <v>0.0</v>
      </c>
      <c r="L281" s="238">
        <v>0.0</v>
      </c>
      <c r="M281" s="238">
        <v>0.0</v>
      </c>
      <c r="N281" s="238">
        <v>0.0</v>
      </c>
      <c r="O281" s="238">
        <v>0.0</v>
      </c>
      <c r="P281" s="238">
        <v>0.0</v>
      </c>
      <c r="Q281" s="238">
        <v>0.0</v>
      </c>
      <c r="R281" s="238">
        <v>0.0</v>
      </c>
      <c r="S281" s="238">
        <v>2.0</v>
      </c>
      <c r="T281" s="238">
        <v>0.0</v>
      </c>
      <c r="U281" s="235" t="s">
        <v>156</v>
      </c>
      <c r="V281" s="231"/>
    </row>
    <row r="282">
      <c r="A282" s="237">
        <v>46228.0</v>
      </c>
      <c r="B282" s="235" t="s">
        <v>1639</v>
      </c>
      <c r="C282" s="235" t="s">
        <v>451</v>
      </c>
      <c r="D282" s="235" t="s">
        <v>113</v>
      </c>
      <c r="E282" s="235" t="s">
        <v>452</v>
      </c>
      <c r="F282" s="235" t="s">
        <v>503</v>
      </c>
      <c r="G282" s="238">
        <v>2.0</v>
      </c>
      <c r="H282" s="238">
        <v>0.0</v>
      </c>
      <c r="I282" s="238">
        <v>0.0</v>
      </c>
      <c r="J282" s="238">
        <v>0.0</v>
      </c>
      <c r="K282" s="238">
        <v>0.0</v>
      </c>
      <c r="L282" s="238">
        <v>0.0</v>
      </c>
      <c r="M282" s="238">
        <v>0.0</v>
      </c>
      <c r="N282" s="238">
        <v>0.0</v>
      </c>
      <c r="O282" s="238">
        <v>0.0</v>
      </c>
      <c r="P282" s="238">
        <v>0.0</v>
      </c>
      <c r="Q282" s="238">
        <v>0.0</v>
      </c>
      <c r="R282" s="238">
        <v>0.0</v>
      </c>
      <c r="S282" s="238">
        <v>2.0</v>
      </c>
      <c r="T282" s="238">
        <v>0.0</v>
      </c>
      <c r="U282" s="235" t="s">
        <v>546</v>
      </c>
      <c r="V282" s="231"/>
    </row>
    <row r="283">
      <c r="A283" s="237">
        <v>46228.0</v>
      </c>
      <c r="B283" s="235" t="s">
        <v>1655</v>
      </c>
      <c r="C283" s="235" t="s">
        <v>547</v>
      </c>
      <c r="D283" s="235" t="s">
        <v>115</v>
      </c>
      <c r="E283" s="235" t="s">
        <v>548</v>
      </c>
      <c r="F283" s="235" t="s">
        <v>503</v>
      </c>
      <c r="G283" s="238">
        <v>1.0</v>
      </c>
      <c r="H283" s="238">
        <v>0.0</v>
      </c>
      <c r="I283" s="238">
        <v>0.0</v>
      </c>
      <c r="J283" s="238">
        <v>0.0</v>
      </c>
      <c r="K283" s="238">
        <v>0.0</v>
      </c>
      <c r="L283" s="238">
        <v>0.0</v>
      </c>
      <c r="M283" s="238">
        <v>0.0</v>
      </c>
      <c r="N283" s="238">
        <v>0.0</v>
      </c>
      <c r="O283" s="238">
        <v>0.0</v>
      </c>
      <c r="P283" s="238">
        <v>0.0</v>
      </c>
      <c r="Q283" s="238">
        <v>0.0</v>
      </c>
      <c r="R283" s="238">
        <v>0.0</v>
      </c>
      <c r="S283" s="238">
        <v>1.0</v>
      </c>
      <c r="T283" s="238">
        <v>0.0</v>
      </c>
      <c r="U283" s="235" t="s">
        <v>9</v>
      </c>
      <c r="V283" s="231"/>
    </row>
    <row r="284">
      <c r="A284" s="237">
        <v>46228.0</v>
      </c>
      <c r="B284" s="235" t="s">
        <v>1655</v>
      </c>
      <c r="C284" s="235" t="s">
        <v>547</v>
      </c>
      <c r="D284" s="235" t="s">
        <v>115</v>
      </c>
      <c r="E284" s="235" t="s">
        <v>548</v>
      </c>
      <c r="F284" s="235" t="s">
        <v>503</v>
      </c>
      <c r="G284" s="238">
        <v>1.0</v>
      </c>
      <c r="H284" s="238">
        <v>0.0</v>
      </c>
      <c r="I284" s="238">
        <v>0.0</v>
      </c>
      <c r="J284" s="238">
        <v>0.0</v>
      </c>
      <c r="K284" s="238">
        <v>0.0</v>
      </c>
      <c r="L284" s="238">
        <v>0.0</v>
      </c>
      <c r="M284" s="238">
        <v>0.0</v>
      </c>
      <c r="N284" s="238">
        <v>0.0</v>
      </c>
      <c r="O284" s="238">
        <v>0.0</v>
      </c>
      <c r="P284" s="238">
        <v>0.0</v>
      </c>
      <c r="Q284" s="238">
        <v>0.0</v>
      </c>
      <c r="R284" s="238">
        <v>0.0</v>
      </c>
      <c r="S284" s="238">
        <v>1.0</v>
      </c>
      <c r="T284" s="238">
        <v>0.0</v>
      </c>
      <c r="U284" s="235" t="s">
        <v>11</v>
      </c>
      <c r="V284" s="231"/>
    </row>
    <row r="285">
      <c r="A285" s="237">
        <v>46228.0</v>
      </c>
      <c r="B285" s="235" t="s">
        <v>1655</v>
      </c>
      <c r="C285" s="235" t="s">
        <v>547</v>
      </c>
      <c r="D285" s="235" t="s">
        <v>115</v>
      </c>
      <c r="E285" s="235" t="s">
        <v>548</v>
      </c>
      <c r="F285" s="235" t="s">
        <v>503</v>
      </c>
      <c r="G285" s="238">
        <v>1.0</v>
      </c>
      <c r="H285" s="238">
        <v>0.0</v>
      </c>
      <c r="I285" s="238">
        <v>0.0</v>
      </c>
      <c r="J285" s="238">
        <v>0.0</v>
      </c>
      <c r="K285" s="238">
        <v>0.0</v>
      </c>
      <c r="L285" s="238">
        <v>0.0</v>
      </c>
      <c r="M285" s="238">
        <v>0.0</v>
      </c>
      <c r="N285" s="238">
        <v>0.0</v>
      </c>
      <c r="O285" s="238">
        <v>0.0</v>
      </c>
      <c r="P285" s="238">
        <v>0.0</v>
      </c>
      <c r="Q285" s="238">
        <v>0.0</v>
      </c>
      <c r="R285" s="238">
        <v>0.0</v>
      </c>
      <c r="S285" s="238">
        <v>1.0</v>
      </c>
      <c r="T285" s="238">
        <v>0.0</v>
      </c>
      <c r="U285" s="235" t="s">
        <v>20</v>
      </c>
      <c r="V285" s="231"/>
    </row>
    <row r="286">
      <c r="A286" s="237">
        <v>46228.0</v>
      </c>
      <c r="B286" s="235" t="s">
        <v>1655</v>
      </c>
      <c r="C286" s="235" t="s">
        <v>547</v>
      </c>
      <c r="D286" s="235" t="s">
        <v>115</v>
      </c>
      <c r="E286" s="235" t="s">
        <v>548</v>
      </c>
      <c r="F286" s="235" t="s">
        <v>503</v>
      </c>
      <c r="G286" s="238">
        <v>2.0</v>
      </c>
      <c r="H286" s="238">
        <v>0.0</v>
      </c>
      <c r="I286" s="238">
        <v>0.0</v>
      </c>
      <c r="J286" s="238">
        <v>0.0</v>
      </c>
      <c r="K286" s="238">
        <v>0.0</v>
      </c>
      <c r="L286" s="238">
        <v>0.0</v>
      </c>
      <c r="M286" s="238">
        <v>0.0</v>
      </c>
      <c r="N286" s="238">
        <v>0.0</v>
      </c>
      <c r="O286" s="238">
        <v>0.0</v>
      </c>
      <c r="P286" s="238">
        <v>0.0</v>
      </c>
      <c r="Q286" s="238">
        <v>0.0</v>
      </c>
      <c r="R286" s="238">
        <v>0.0</v>
      </c>
      <c r="S286" s="238">
        <v>2.0</v>
      </c>
      <c r="T286" s="238">
        <v>0.0</v>
      </c>
      <c r="U286" s="235" t="s">
        <v>156</v>
      </c>
    </row>
    <row r="287">
      <c r="A287" s="237">
        <v>46228.0</v>
      </c>
      <c r="B287" s="235" t="s">
        <v>1655</v>
      </c>
      <c r="C287" s="235" t="s">
        <v>547</v>
      </c>
      <c r="D287" s="235" t="s">
        <v>115</v>
      </c>
      <c r="E287" s="235" t="s">
        <v>548</v>
      </c>
      <c r="F287" s="235" t="s">
        <v>503</v>
      </c>
      <c r="G287" s="238">
        <v>1.0</v>
      </c>
      <c r="H287" s="238">
        <v>0.0</v>
      </c>
      <c r="I287" s="238">
        <v>0.0</v>
      </c>
      <c r="J287" s="238">
        <v>0.0</v>
      </c>
      <c r="K287" s="238">
        <v>0.0</v>
      </c>
      <c r="L287" s="238">
        <v>0.0</v>
      </c>
      <c r="M287" s="238">
        <v>0.0</v>
      </c>
      <c r="N287" s="238">
        <v>0.0</v>
      </c>
      <c r="O287" s="238">
        <v>0.0</v>
      </c>
      <c r="P287" s="238">
        <v>0.0</v>
      </c>
      <c r="Q287" s="238">
        <v>0.0</v>
      </c>
      <c r="R287" s="238">
        <v>0.0</v>
      </c>
      <c r="S287" s="238">
        <v>1.0</v>
      </c>
      <c r="T287" s="238">
        <v>0.0</v>
      </c>
      <c r="U287" s="235" t="s">
        <v>546</v>
      </c>
    </row>
    <row r="288">
      <c r="A288" s="237">
        <v>46228.0</v>
      </c>
      <c r="B288" s="235" t="s">
        <v>1672</v>
      </c>
      <c r="C288" s="235" t="s">
        <v>356</v>
      </c>
      <c r="D288" s="235" t="s">
        <v>98</v>
      </c>
      <c r="E288" s="235" t="s">
        <v>357</v>
      </c>
      <c r="F288" s="235" t="s">
        <v>514</v>
      </c>
      <c r="G288" s="238">
        <v>1.0</v>
      </c>
      <c r="H288" s="238">
        <v>0.0</v>
      </c>
      <c r="I288" s="238">
        <v>0.0</v>
      </c>
      <c r="J288" s="238">
        <v>0.0</v>
      </c>
      <c r="K288" s="238">
        <v>0.0</v>
      </c>
      <c r="L288" s="238">
        <v>0.0</v>
      </c>
      <c r="M288" s="238">
        <v>0.0</v>
      </c>
      <c r="N288" s="238">
        <v>0.0</v>
      </c>
      <c r="O288" s="238">
        <v>0.0</v>
      </c>
      <c r="P288" s="238">
        <v>0.0</v>
      </c>
      <c r="Q288" s="238">
        <v>0.0</v>
      </c>
      <c r="R288" s="238">
        <v>0.0</v>
      </c>
      <c r="S288" s="238">
        <v>0.0</v>
      </c>
      <c r="T288" s="238">
        <v>0.0</v>
      </c>
      <c r="U288" s="235" t="s">
        <v>20</v>
      </c>
      <c r="V288" s="231"/>
    </row>
    <row r="289">
      <c r="A289" s="237">
        <v>46228.0</v>
      </c>
      <c r="B289" s="235" t="s">
        <v>1672</v>
      </c>
      <c r="C289" s="235" t="s">
        <v>356</v>
      </c>
      <c r="D289" s="235" t="s">
        <v>98</v>
      </c>
      <c r="E289" s="235" t="s">
        <v>357</v>
      </c>
      <c r="F289" s="235" t="s">
        <v>503</v>
      </c>
      <c r="G289" s="238">
        <v>1.0</v>
      </c>
      <c r="H289" s="238">
        <v>0.0</v>
      </c>
      <c r="I289" s="238">
        <v>0.0</v>
      </c>
      <c r="J289" s="238">
        <v>0.0</v>
      </c>
      <c r="K289" s="238">
        <v>0.0</v>
      </c>
      <c r="L289" s="238">
        <v>0.0</v>
      </c>
      <c r="M289" s="238">
        <v>0.0</v>
      </c>
      <c r="N289" s="238">
        <v>0.0</v>
      </c>
      <c r="O289" s="238">
        <v>0.0</v>
      </c>
      <c r="P289" s="238">
        <v>0.0</v>
      </c>
      <c r="Q289" s="238">
        <v>0.0</v>
      </c>
      <c r="R289" s="238">
        <v>0.0</v>
      </c>
      <c r="S289" s="238">
        <v>1.0</v>
      </c>
      <c r="T289" s="238">
        <v>0.0</v>
      </c>
      <c r="U289" s="235" t="s">
        <v>5</v>
      </c>
      <c r="V289" s="238"/>
    </row>
    <row r="290">
      <c r="A290" s="237">
        <v>46228.0</v>
      </c>
      <c r="B290" s="235" t="s">
        <v>1672</v>
      </c>
      <c r="C290" s="235" t="s">
        <v>356</v>
      </c>
      <c r="D290" s="235" t="s">
        <v>98</v>
      </c>
      <c r="E290" s="235" t="s">
        <v>357</v>
      </c>
      <c r="F290" s="235" t="s">
        <v>503</v>
      </c>
      <c r="G290" s="238">
        <v>4.0</v>
      </c>
      <c r="H290" s="238">
        <v>0.0</v>
      </c>
      <c r="I290" s="238">
        <v>0.0</v>
      </c>
      <c r="J290" s="238">
        <v>-1.0</v>
      </c>
      <c r="K290" s="238">
        <v>0.0</v>
      </c>
      <c r="L290" s="238">
        <v>0.0</v>
      </c>
      <c r="M290" s="238">
        <v>0.0</v>
      </c>
      <c r="N290" s="238">
        <v>0.0</v>
      </c>
      <c r="O290" s="238">
        <v>0.0</v>
      </c>
      <c r="P290" s="238">
        <v>0.0</v>
      </c>
      <c r="Q290" s="238">
        <v>0.0</v>
      </c>
      <c r="R290" s="238">
        <v>0.0</v>
      </c>
      <c r="S290" s="238">
        <v>3.0</v>
      </c>
      <c r="T290" s="238">
        <v>0.0</v>
      </c>
      <c r="U290" s="235" t="s">
        <v>9</v>
      </c>
      <c r="V290" s="238"/>
    </row>
    <row r="291">
      <c r="A291" s="237">
        <v>46228.0</v>
      </c>
      <c r="B291" s="235" t="s">
        <v>1672</v>
      </c>
      <c r="C291" s="235" t="s">
        <v>356</v>
      </c>
      <c r="D291" s="235" t="s">
        <v>98</v>
      </c>
      <c r="E291" s="235" t="s">
        <v>357</v>
      </c>
      <c r="F291" s="235" t="s">
        <v>503</v>
      </c>
      <c r="G291" s="238">
        <v>2.0</v>
      </c>
      <c r="H291" s="238">
        <v>0.0</v>
      </c>
      <c r="I291" s="238">
        <v>0.0</v>
      </c>
      <c r="J291" s="238">
        <v>0.0</v>
      </c>
      <c r="K291" s="238">
        <v>0.0</v>
      </c>
      <c r="L291" s="238">
        <v>0.0</v>
      </c>
      <c r="M291" s="238">
        <v>0.0</v>
      </c>
      <c r="N291" s="238">
        <v>0.0</v>
      </c>
      <c r="O291" s="238">
        <v>0.0</v>
      </c>
      <c r="P291" s="238">
        <v>0.0</v>
      </c>
      <c r="Q291" s="238">
        <v>0.0</v>
      </c>
      <c r="R291" s="238">
        <v>0.0</v>
      </c>
      <c r="S291" s="238">
        <v>2.0</v>
      </c>
      <c r="T291" s="238">
        <v>0.0</v>
      </c>
      <c r="U291" s="235" t="s">
        <v>11</v>
      </c>
      <c r="V291" s="238"/>
    </row>
    <row r="292">
      <c r="A292" s="237">
        <v>46228.0</v>
      </c>
      <c r="B292" s="235" t="s">
        <v>1672</v>
      </c>
      <c r="C292" s="235" t="s">
        <v>356</v>
      </c>
      <c r="D292" s="235" t="s">
        <v>98</v>
      </c>
      <c r="E292" s="235" t="s">
        <v>357</v>
      </c>
      <c r="F292" s="235" t="s">
        <v>503</v>
      </c>
      <c r="G292" s="238">
        <v>2.0</v>
      </c>
      <c r="H292" s="238">
        <v>0.0</v>
      </c>
      <c r="I292" s="238">
        <v>0.0</v>
      </c>
      <c r="J292" s="238">
        <v>0.0</v>
      </c>
      <c r="K292" s="238">
        <v>0.0</v>
      </c>
      <c r="L292" s="238">
        <v>0.0</v>
      </c>
      <c r="M292" s="238">
        <v>0.0</v>
      </c>
      <c r="N292" s="238">
        <v>0.0</v>
      </c>
      <c r="O292" s="238">
        <v>0.0</v>
      </c>
      <c r="P292" s="238">
        <v>0.0</v>
      </c>
      <c r="Q292" s="238">
        <v>0.0</v>
      </c>
      <c r="R292" s="238">
        <v>0.0</v>
      </c>
      <c r="S292" s="238">
        <v>2.0</v>
      </c>
      <c r="T292" s="238">
        <v>0.0</v>
      </c>
      <c r="U292" s="235" t="s">
        <v>16</v>
      </c>
      <c r="V292" s="231"/>
    </row>
    <row r="293">
      <c r="A293" s="237">
        <v>46228.0</v>
      </c>
      <c r="B293" s="235" t="s">
        <v>1672</v>
      </c>
      <c r="C293" s="235" t="s">
        <v>356</v>
      </c>
      <c r="D293" s="235" t="s">
        <v>98</v>
      </c>
      <c r="E293" s="235" t="s">
        <v>357</v>
      </c>
      <c r="F293" s="235" t="s">
        <v>503</v>
      </c>
      <c r="G293" s="238">
        <v>3.0</v>
      </c>
      <c r="H293" s="238">
        <v>0.0</v>
      </c>
      <c r="I293" s="238">
        <v>0.0</v>
      </c>
      <c r="J293" s="238">
        <v>0.0</v>
      </c>
      <c r="K293" s="238">
        <v>0.0</v>
      </c>
      <c r="L293" s="238">
        <v>0.0</v>
      </c>
      <c r="M293" s="238">
        <v>0.0</v>
      </c>
      <c r="N293" s="238">
        <v>0.0</v>
      </c>
      <c r="O293" s="238">
        <v>0.0</v>
      </c>
      <c r="P293" s="238">
        <v>0.0</v>
      </c>
      <c r="Q293" s="238">
        <v>0.0</v>
      </c>
      <c r="R293" s="238">
        <v>0.0</v>
      </c>
      <c r="S293" s="238">
        <v>3.0</v>
      </c>
      <c r="T293" s="238">
        <v>0.0</v>
      </c>
      <c r="U293" s="235" t="s">
        <v>17</v>
      </c>
    </row>
    <row r="294">
      <c r="A294" s="237">
        <v>46228.0</v>
      </c>
      <c r="B294" s="235" t="s">
        <v>1672</v>
      </c>
      <c r="C294" s="235" t="s">
        <v>356</v>
      </c>
      <c r="D294" s="235" t="s">
        <v>98</v>
      </c>
      <c r="E294" s="235" t="s">
        <v>357</v>
      </c>
      <c r="F294" s="235" t="s">
        <v>503</v>
      </c>
      <c r="G294" s="238">
        <v>5.0</v>
      </c>
      <c r="H294" s="238">
        <v>0.0</v>
      </c>
      <c r="I294" s="238">
        <v>0.0</v>
      </c>
      <c r="J294" s="238">
        <v>0.0</v>
      </c>
      <c r="K294" s="238">
        <v>0.0</v>
      </c>
      <c r="L294" s="238">
        <v>0.0</v>
      </c>
      <c r="M294" s="238">
        <v>0.0</v>
      </c>
      <c r="N294" s="238">
        <v>0.0</v>
      </c>
      <c r="O294" s="238">
        <v>0.0</v>
      </c>
      <c r="P294" s="238">
        <v>0.0</v>
      </c>
      <c r="Q294" s="238">
        <v>0.0</v>
      </c>
      <c r="R294" s="238">
        <v>0.0</v>
      </c>
      <c r="S294" s="238">
        <v>5.0</v>
      </c>
      <c r="T294" s="238">
        <v>0.0</v>
      </c>
      <c r="U294" s="235" t="s">
        <v>155</v>
      </c>
      <c r="V294" s="231"/>
    </row>
    <row r="295">
      <c r="A295" s="237">
        <v>46228.0</v>
      </c>
      <c r="B295" s="235" t="s">
        <v>1672</v>
      </c>
      <c r="C295" s="235" t="s">
        <v>356</v>
      </c>
      <c r="D295" s="235" t="s">
        <v>98</v>
      </c>
      <c r="E295" s="235" t="s">
        <v>357</v>
      </c>
      <c r="F295" s="235" t="s">
        <v>503</v>
      </c>
      <c r="G295" s="238">
        <v>2.0</v>
      </c>
      <c r="H295" s="238">
        <v>0.0</v>
      </c>
      <c r="I295" s="238">
        <v>0.0</v>
      </c>
      <c r="J295" s="238">
        <v>0.0</v>
      </c>
      <c r="K295" s="238">
        <v>0.0</v>
      </c>
      <c r="L295" s="238">
        <v>0.0</v>
      </c>
      <c r="M295" s="238">
        <v>0.0</v>
      </c>
      <c r="N295" s="238">
        <v>0.0</v>
      </c>
      <c r="O295" s="238">
        <v>0.0</v>
      </c>
      <c r="P295" s="238">
        <v>0.0</v>
      </c>
      <c r="Q295" s="238">
        <v>0.0</v>
      </c>
      <c r="R295" s="238">
        <v>0.0</v>
      </c>
      <c r="S295" s="238">
        <v>2.0</v>
      </c>
      <c r="T295" s="238">
        <v>0.0</v>
      </c>
      <c r="U295" s="235" t="s">
        <v>533</v>
      </c>
      <c r="V295" s="231"/>
    </row>
    <row r="296">
      <c r="A296" s="237">
        <v>46228.0</v>
      </c>
      <c r="B296" s="235" t="s">
        <v>1672</v>
      </c>
      <c r="C296" s="235" t="s">
        <v>356</v>
      </c>
      <c r="D296" s="235" t="s">
        <v>98</v>
      </c>
      <c r="E296" s="235" t="s">
        <v>357</v>
      </c>
      <c r="F296" s="235" t="s">
        <v>503</v>
      </c>
      <c r="G296" s="238">
        <v>2.0</v>
      </c>
      <c r="H296" s="238">
        <v>0.0</v>
      </c>
      <c r="I296" s="238">
        <v>0.0</v>
      </c>
      <c r="J296" s="238">
        <v>0.0</v>
      </c>
      <c r="K296" s="238">
        <v>0.0</v>
      </c>
      <c r="L296" s="238">
        <v>0.0</v>
      </c>
      <c r="M296" s="238">
        <v>0.0</v>
      </c>
      <c r="N296" s="238">
        <v>0.0</v>
      </c>
      <c r="O296" s="238">
        <v>0.0</v>
      </c>
      <c r="P296" s="238">
        <v>0.0</v>
      </c>
      <c r="Q296" s="238">
        <v>0.0</v>
      </c>
      <c r="R296" s="238">
        <v>0.0</v>
      </c>
      <c r="S296" s="238">
        <v>2.0</v>
      </c>
      <c r="T296" s="238">
        <v>0.0</v>
      </c>
      <c r="U296" s="235" t="s">
        <v>13</v>
      </c>
      <c r="V296" s="231"/>
    </row>
    <row r="297">
      <c r="A297" s="237">
        <v>46228.0</v>
      </c>
      <c r="B297" s="235" t="s">
        <v>1672</v>
      </c>
      <c r="C297" s="235" t="s">
        <v>356</v>
      </c>
      <c r="D297" s="235" t="s">
        <v>98</v>
      </c>
      <c r="E297" s="235" t="s">
        <v>357</v>
      </c>
      <c r="F297" s="235" t="s">
        <v>503</v>
      </c>
      <c r="G297" s="238">
        <v>1.0</v>
      </c>
      <c r="H297" s="238">
        <v>0.0</v>
      </c>
      <c r="I297" s="238">
        <v>0.0</v>
      </c>
      <c r="J297" s="238">
        <v>-1.0</v>
      </c>
      <c r="K297" s="238">
        <v>0.0</v>
      </c>
      <c r="L297" s="238">
        <v>0.0</v>
      </c>
      <c r="M297" s="238">
        <v>0.0</v>
      </c>
      <c r="N297" s="238">
        <v>0.0</v>
      </c>
      <c r="O297" s="238">
        <v>0.0</v>
      </c>
      <c r="P297" s="238">
        <v>0.0</v>
      </c>
      <c r="Q297" s="238">
        <v>0.0</v>
      </c>
      <c r="R297" s="238">
        <v>0.0</v>
      </c>
      <c r="S297" s="238">
        <v>0.0</v>
      </c>
      <c r="T297" s="238">
        <v>0.0</v>
      </c>
      <c r="U297" s="235" t="s">
        <v>14</v>
      </c>
    </row>
    <row r="298">
      <c r="A298" s="237">
        <v>46228.0</v>
      </c>
      <c r="B298" s="235" t="s">
        <v>1672</v>
      </c>
      <c r="C298" s="235" t="s">
        <v>356</v>
      </c>
      <c r="D298" s="235" t="s">
        <v>98</v>
      </c>
      <c r="E298" s="235" t="s">
        <v>357</v>
      </c>
      <c r="F298" s="235" t="s">
        <v>503</v>
      </c>
      <c r="G298" s="238">
        <v>11.0</v>
      </c>
      <c r="H298" s="238">
        <v>0.0</v>
      </c>
      <c r="I298" s="238">
        <v>0.0</v>
      </c>
      <c r="J298" s="238">
        <v>0.0</v>
      </c>
      <c r="K298" s="238">
        <v>0.0</v>
      </c>
      <c r="L298" s="238">
        <v>0.0</v>
      </c>
      <c r="M298" s="238">
        <v>0.0</v>
      </c>
      <c r="N298" s="238">
        <v>0.0</v>
      </c>
      <c r="O298" s="238">
        <v>0.0</v>
      </c>
      <c r="P298" s="238">
        <v>0.0</v>
      </c>
      <c r="Q298" s="238">
        <v>0.0</v>
      </c>
      <c r="R298" s="238">
        <v>0.0</v>
      </c>
      <c r="S298" s="238">
        <v>11.0</v>
      </c>
      <c r="T298" s="238">
        <v>0.0</v>
      </c>
      <c r="U298" s="235" t="s">
        <v>20</v>
      </c>
      <c r="V298" s="238"/>
    </row>
    <row r="299">
      <c r="A299" s="237">
        <v>46228.0</v>
      </c>
      <c r="B299" s="235" t="s">
        <v>1672</v>
      </c>
      <c r="C299" s="235" t="s">
        <v>356</v>
      </c>
      <c r="D299" s="235" t="s">
        <v>98</v>
      </c>
      <c r="E299" s="235" t="s">
        <v>357</v>
      </c>
      <c r="F299" s="235" t="s">
        <v>503</v>
      </c>
      <c r="G299" s="238">
        <v>3.0</v>
      </c>
      <c r="H299" s="238">
        <v>0.0</v>
      </c>
      <c r="I299" s="238">
        <v>0.0</v>
      </c>
      <c r="J299" s="238">
        <v>0.0</v>
      </c>
      <c r="K299" s="238">
        <v>0.0</v>
      </c>
      <c r="L299" s="238">
        <v>0.0</v>
      </c>
      <c r="M299" s="238">
        <v>0.0</v>
      </c>
      <c r="N299" s="238">
        <v>0.0</v>
      </c>
      <c r="O299" s="238">
        <v>0.0</v>
      </c>
      <c r="P299" s="238">
        <v>0.0</v>
      </c>
      <c r="Q299" s="238">
        <v>0.0</v>
      </c>
      <c r="R299" s="238">
        <v>0.0</v>
      </c>
      <c r="S299" s="238">
        <v>3.0</v>
      </c>
      <c r="T299" s="238">
        <v>0.0</v>
      </c>
      <c r="U299" s="235" t="s">
        <v>156</v>
      </c>
      <c r="V299" s="231"/>
    </row>
    <row r="300">
      <c r="A300" s="237">
        <v>46228.0</v>
      </c>
      <c r="B300" s="235" t="s">
        <v>1672</v>
      </c>
      <c r="C300" s="235" t="s">
        <v>356</v>
      </c>
      <c r="D300" s="235" t="s">
        <v>98</v>
      </c>
      <c r="E300" s="235" t="s">
        <v>357</v>
      </c>
      <c r="F300" s="235" t="s">
        <v>503</v>
      </c>
      <c r="G300" s="238">
        <v>3.0</v>
      </c>
      <c r="H300" s="238">
        <v>0.0</v>
      </c>
      <c r="I300" s="238">
        <v>0.0</v>
      </c>
      <c r="J300" s="238">
        <v>0.0</v>
      </c>
      <c r="K300" s="238">
        <v>0.0</v>
      </c>
      <c r="L300" s="238">
        <v>0.0</v>
      </c>
      <c r="M300" s="238">
        <v>0.0</v>
      </c>
      <c r="N300" s="238">
        <v>0.0</v>
      </c>
      <c r="O300" s="238">
        <v>0.0</v>
      </c>
      <c r="P300" s="238">
        <v>0.0</v>
      </c>
      <c r="Q300" s="238">
        <v>0.0</v>
      </c>
      <c r="R300" s="238">
        <v>0.0</v>
      </c>
      <c r="S300" s="238">
        <v>3.0</v>
      </c>
      <c r="T300" s="238">
        <v>0.0</v>
      </c>
      <c r="U300" s="235" t="s">
        <v>546</v>
      </c>
      <c r="V300" s="238"/>
    </row>
    <row r="301">
      <c r="A301" s="237">
        <v>46228.0</v>
      </c>
      <c r="B301" s="235" t="s">
        <v>1719</v>
      </c>
      <c r="C301" s="235" t="s">
        <v>508</v>
      </c>
      <c r="D301" s="235" t="s">
        <v>94</v>
      </c>
      <c r="E301" s="235" t="s">
        <v>509</v>
      </c>
      <c r="F301" s="235" t="s">
        <v>503</v>
      </c>
      <c r="G301" s="238">
        <v>1.0</v>
      </c>
      <c r="H301" s="238">
        <v>0.0</v>
      </c>
      <c r="I301" s="238">
        <v>0.0</v>
      </c>
      <c r="J301" s="238">
        <v>0.0</v>
      </c>
      <c r="K301" s="238">
        <v>0.0</v>
      </c>
      <c r="L301" s="238">
        <v>0.0</v>
      </c>
      <c r="M301" s="238">
        <v>0.0</v>
      </c>
      <c r="N301" s="238">
        <v>0.0</v>
      </c>
      <c r="O301" s="238">
        <v>0.0</v>
      </c>
      <c r="P301" s="238">
        <v>0.0</v>
      </c>
      <c r="Q301" s="238">
        <v>0.0</v>
      </c>
      <c r="R301" s="238">
        <v>0.0</v>
      </c>
      <c r="S301" s="238">
        <v>1.0</v>
      </c>
      <c r="T301" s="238">
        <v>0.0</v>
      </c>
      <c r="U301" s="235" t="s">
        <v>9</v>
      </c>
      <c r="V301" s="231"/>
    </row>
    <row r="302">
      <c r="A302" s="237">
        <v>46228.0</v>
      </c>
      <c r="B302" s="235" t="s">
        <v>1719</v>
      </c>
      <c r="C302" s="235" t="s">
        <v>508</v>
      </c>
      <c r="D302" s="235" t="s">
        <v>94</v>
      </c>
      <c r="E302" s="235" t="s">
        <v>509</v>
      </c>
      <c r="F302" s="235" t="s">
        <v>503</v>
      </c>
      <c r="G302" s="238">
        <v>1.0</v>
      </c>
      <c r="H302" s="238">
        <v>0.0</v>
      </c>
      <c r="I302" s="238">
        <v>0.0</v>
      </c>
      <c r="J302" s="238">
        <v>0.0</v>
      </c>
      <c r="K302" s="238">
        <v>0.0</v>
      </c>
      <c r="L302" s="238">
        <v>0.0</v>
      </c>
      <c r="M302" s="238">
        <v>0.0</v>
      </c>
      <c r="N302" s="238">
        <v>0.0</v>
      </c>
      <c r="O302" s="238">
        <v>0.0</v>
      </c>
      <c r="P302" s="238">
        <v>0.0</v>
      </c>
      <c r="Q302" s="238">
        <v>0.0</v>
      </c>
      <c r="R302" s="238">
        <v>0.0</v>
      </c>
      <c r="S302" s="238">
        <v>1.0</v>
      </c>
      <c r="T302" s="238">
        <v>0.0</v>
      </c>
      <c r="U302" s="235" t="s">
        <v>11</v>
      </c>
      <c r="V302" s="231"/>
    </row>
    <row r="303">
      <c r="A303" s="237">
        <v>46228.0</v>
      </c>
      <c r="B303" s="235" t="s">
        <v>1719</v>
      </c>
      <c r="C303" s="235" t="s">
        <v>508</v>
      </c>
      <c r="D303" s="235" t="s">
        <v>94</v>
      </c>
      <c r="E303" s="235" t="s">
        <v>509</v>
      </c>
      <c r="F303" s="235" t="s">
        <v>503</v>
      </c>
      <c r="G303" s="238">
        <v>2.0</v>
      </c>
      <c r="H303" s="238">
        <v>0.0</v>
      </c>
      <c r="I303" s="238">
        <v>0.0</v>
      </c>
      <c r="J303" s="238">
        <v>0.0</v>
      </c>
      <c r="K303" s="238">
        <v>0.0</v>
      </c>
      <c r="L303" s="238">
        <v>0.0</v>
      </c>
      <c r="M303" s="238">
        <v>0.0</v>
      </c>
      <c r="N303" s="238">
        <v>0.0</v>
      </c>
      <c r="O303" s="238">
        <v>0.0</v>
      </c>
      <c r="P303" s="238">
        <v>0.0</v>
      </c>
      <c r="Q303" s="238">
        <v>0.0</v>
      </c>
      <c r="R303" s="238">
        <v>0.0</v>
      </c>
      <c r="S303" s="238">
        <v>2.0</v>
      </c>
      <c r="T303" s="238">
        <v>0.0</v>
      </c>
      <c r="U303" s="235" t="s">
        <v>16</v>
      </c>
      <c r="V303" s="238"/>
    </row>
    <row r="304">
      <c r="A304" s="237">
        <v>46228.0</v>
      </c>
      <c r="B304" s="235" t="s">
        <v>1719</v>
      </c>
      <c r="C304" s="235" t="s">
        <v>508</v>
      </c>
      <c r="D304" s="235" t="s">
        <v>94</v>
      </c>
      <c r="E304" s="235" t="s">
        <v>509</v>
      </c>
      <c r="F304" s="235" t="s">
        <v>503</v>
      </c>
      <c r="G304" s="238">
        <v>1.0</v>
      </c>
      <c r="H304" s="238">
        <v>0.0</v>
      </c>
      <c r="I304" s="238">
        <v>0.0</v>
      </c>
      <c r="J304" s="238">
        <v>0.0</v>
      </c>
      <c r="K304" s="238">
        <v>0.0</v>
      </c>
      <c r="L304" s="238">
        <v>0.0</v>
      </c>
      <c r="M304" s="238">
        <v>0.0</v>
      </c>
      <c r="N304" s="238">
        <v>0.0</v>
      </c>
      <c r="O304" s="238">
        <v>0.0</v>
      </c>
      <c r="P304" s="238">
        <v>0.0</v>
      </c>
      <c r="Q304" s="238">
        <v>0.0</v>
      </c>
      <c r="R304" s="238">
        <v>0.0</v>
      </c>
      <c r="S304" s="238">
        <v>1.0</v>
      </c>
      <c r="T304" s="238">
        <v>0.0</v>
      </c>
      <c r="U304" s="235" t="s">
        <v>17</v>
      </c>
      <c r="V304" s="238"/>
    </row>
    <row r="305">
      <c r="A305" s="237">
        <v>46228.0</v>
      </c>
      <c r="B305" s="235" t="s">
        <v>1719</v>
      </c>
      <c r="C305" s="235" t="s">
        <v>508</v>
      </c>
      <c r="D305" s="235" t="s">
        <v>94</v>
      </c>
      <c r="E305" s="235" t="s">
        <v>509</v>
      </c>
      <c r="F305" s="235" t="s">
        <v>503</v>
      </c>
      <c r="G305" s="238">
        <v>1.0</v>
      </c>
      <c r="H305" s="238">
        <v>0.0</v>
      </c>
      <c r="I305" s="238">
        <v>0.0</v>
      </c>
      <c r="J305" s="238">
        <v>0.0</v>
      </c>
      <c r="K305" s="238">
        <v>0.0</v>
      </c>
      <c r="L305" s="238">
        <v>0.0</v>
      </c>
      <c r="M305" s="238">
        <v>0.0</v>
      </c>
      <c r="N305" s="238">
        <v>0.0</v>
      </c>
      <c r="O305" s="238">
        <v>0.0</v>
      </c>
      <c r="P305" s="238">
        <v>0.0</v>
      </c>
      <c r="Q305" s="238">
        <v>0.0</v>
      </c>
      <c r="R305" s="238">
        <v>0.0</v>
      </c>
      <c r="S305" s="238">
        <v>1.0</v>
      </c>
      <c r="T305" s="238">
        <v>0.0</v>
      </c>
      <c r="U305" s="235" t="s">
        <v>155</v>
      </c>
      <c r="V305" s="238"/>
    </row>
    <row r="306">
      <c r="A306" s="237">
        <v>46228.0</v>
      </c>
      <c r="B306" s="235" t="s">
        <v>1719</v>
      </c>
      <c r="C306" s="235" t="s">
        <v>508</v>
      </c>
      <c r="D306" s="235" t="s">
        <v>94</v>
      </c>
      <c r="E306" s="235" t="s">
        <v>509</v>
      </c>
      <c r="F306" s="235" t="s">
        <v>503</v>
      </c>
      <c r="G306" s="238">
        <v>1.0</v>
      </c>
      <c r="H306" s="238">
        <v>0.0</v>
      </c>
      <c r="I306" s="238">
        <v>0.0</v>
      </c>
      <c r="J306" s="238">
        <v>0.0</v>
      </c>
      <c r="K306" s="238">
        <v>0.0</v>
      </c>
      <c r="L306" s="238">
        <v>0.0</v>
      </c>
      <c r="M306" s="238">
        <v>0.0</v>
      </c>
      <c r="N306" s="238">
        <v>0.0</v>
      </c>
      <c r="O306" s="238">
        <v>0.0</v>
      </c>
      <c r="P306" s="238">
        <v>0.0</v>
      </c>
      <c r="Q306" s="238">
        <v>0.0</v>
      </c>
      <c r="R306" s="238">
        <v>0.0</v>
      </c>
      <c r="S306" s="238">
        <v>1.0</v>
      </c>
      <c r="T306" s="238">
        <v>0.0</v>
      </c>
      <c r="U306" s="235" t="s">
        <v>13</v>
      </c>
    </row>
    <row r="307">
      <c r="A307" s="237">
        <v>46228.0</v>
      </c>
      <c r="B307" s="235" t="s">
        <v>1719</v>
      </c>
      <c r="C307" s="235" t="s">
        <v>508</v>
      </c>
      <c r="D307" s="235" t="s">
        <v>94</v>
      </c>
      <c r="E307" s="235" t="s">
        <v>509</v>
      </c>
      <c r="F307" s="235" t="s">
        <v>503</v>
      </c>
      <c r="G307" s="238">
        <v>3.0</v>
      </c>
      <c r="H307" s="238">
        <v>0.0</v>
      </c>
      <c r="I307" s="238">
        <v>0.0</v>
      </c>
      <c r="J307" s="238">
        <v>0.0</v>
      </c>
      <c r="K307" s="238">
        <v>0.0</v>
      </c>
      <c r="L307" s="238">
        <v>0.0</v>
      </c>
      <c r="M307" s="238">
        <v>0.0</v>
      </c>
      <c r="N307" s="238">
        <v>0.0</v>
      </c>
      <c r="O307" s="238">
        <v>0.0</v>
      </c>
      <c r="P307" s="238">
        <v>0.0</v>
      </c>
      <c r="Q307" s="238">
        <v>0.0</v>
      </c>
      <c r="R307" s="238">
        <v>0.0</v>
      </c>
      <c r="S307" s="238">
        <v>3.0</v>
      </c>
      <c r="T307" s="238">
        <v>0.0</v>
      </c>
      <c r="U307" s="235" t="s">
        <v>14</v>
      </c>
      <c r="V307" s="231"/>
    </row>
    <row r="308">
      <c r="A308" s="237">
        <v>46228.0</v>
      </c>
      <c r="B308" s="235" t="s">
        <v>1719</v>
      </c>
      <c r="C308" s="235" t="s">
        <v>508</v>
      </c>
      <c r="D308" s="235" t="s">
        <v>94</v>
      </c>
      <c r="E308" s="235" t="s">
        <v>509</v>
      </c>
      <c r="F308" s="235" t="s">
        <v>503</v>
      </c>
      <c r="G308" s="238">
        <v>4.0</v>
      </c>
      <c r="H308" s="238">
        <v>0.0</v>
      </c>
      <c r="I308" s="238">
        <v>0.0</v>
      </c>
      <c r="J308" s="238">
        <v>0.0</v>
      </c>
      <c r="K308" s="238">
        <v>0.0</v>
      </c>
      <c r="L308" s="238">
        <v>0.0</v>
      </c>
      <c r="M308" s="238">
        <v>0.0</v>
      </c>
      <c r="N308" s="238">
        <v>0.0</v>
      </c>
      <c r="O308" s="238">
        <v>0.0</v>
      </c>
      <c r="P308" s="238">
        <v>0.0</v>
      </c>
      <c r="Q308" s="238">
        <v>0.0</v>
      </c>
      <c r="R308" s="238">
        <v>0.0</v>
      </c>
      <c r="S308" s="238">
        <v>4.0</v>
      </c>
      <c r="T308" s="238">
        <v>0.0</v>
      </c>
      <c r="U308" s="235" t="s">
        <v>20</v>
      </c>
      <c r="V308" s="231"/>
    </row>
    <row r="309">
      <c r="A309" s="237">
        <v>46228.0</v>
      </c>
      <c r="B309" s="235" t="s">
        <v>1744</v>
      </c>
      <c r="C309" s="235" t="s">
        <v>418</v>
      </c>
      <c r="D309" s="235" t="s">
        <v>88</v>
      </c>
      <c r="E309" s="235" t="s">
        <v>1748</v>
      </c>
      <c r="F309" s="235" t="s">
        <v>503</v>
      </c>
      <c r="G309" s="238">
        <v>22.0</v>
      </c>
      <c r="H309" s="238">
        <v>0.0</v>
      </c>
      <c r="I309" s="238">
        <v>0.0</v>
      </c>
      <c r="J309" s="238">
        <v>0.0</v>
      </c>
      <c r="K309" s="238">
        <v>0.0</v>
      </c>
      <c r="L309" s="238">
        <v>0.0</v>
      </c>
      <c r="M309" s="238">
        <v>0.0</v>
      </c>
      <c r="N309" s="238">
        <v>0.0</v>
      </c>
      <c r="O309" s="238">
        <v>0.0</v>
      </c>
      <c r="P309" s="238">
        <v>0.0</v>
      </c>
      <c r="Q309" s="238">
        <v>0.0</v>
      </c>
      <c r="R309" s="238">
        <v>0.0</v>
      </c>
      <c r="S309" s="238">
        <v>22.0</v>
      </c>
      <c r="T309" s="238">
        <v>0.0</v>
      </c>
      <c r="U309" s="235" t="s">
        <v>11</v>
      </c>
    </row>
    <row r="310">
      <c r="A310" s="237">
        <v>46228.0</v>
      </c>
      <c r="B310" s="235" t="s">
        <v>1744</v>
      </c>
      <c r="C310" s="235" t="s">
        <v>418</v>
      </c>
      <c r="D310" s="235" t="s">
        <v>88</v>
      </c>
      <c r="E310" s="235" t="s">
        <v>1748</v>
      </c>
      <c r="F310" s="235" t="s">
        <v>503</v>
      </c>
      <c r="G310" s="238">
        <v>1.0</v>
      </c>
      <c r="H310" s="238">
        <v>0.0</v>
      </c>
      <c r="I310" s="238">
        <v>0.0</v>
      </c>
      <c r="J310" s="238">
        <v>0.0</v>
      </c>
      <c r="K310" s="238">
        <v>0.0</v>
      </c>
      <c r="L310" s="238">
        <v>0.0</v>
      </c>
      <c r="M310" s="238">
        <v>0.0</v>
      </c>
      <c r="N310" s="238">
        <v>0.0</v>
      </c>
      <c r="O310" s="238">
        <v>0.0</v>
      </c>
      <c r="P310" s="238">
        <v>0.0</v>
      </c>
      <c r="Q310" s="238">
        <v>0.0</v>
      </c>
      <c r="R310" s="238">
        <v>0.0</v>
      </c>
      <c r="S310" s="238">
        <v>1.0</v>
      </c>
      <c r="T310" s="238">
        <v>0.0</v>
      </c>
      <c r="U310" s="235" t="s">
        <v>20</v>
      </c>
      <c r="V310" s="238"/>
    </row>
    <row r="311">
      <c r="A311" s="237">
        <v>46228.0</v>
      </c>
      <c r="B311" s="235" t="s">
        <v>1744</v>
      </c>
      <c r="C311" s="235" t="s">
        <v>418</v>
      </c>
      <c r="D311" s="235" t="s">
        <v>88</v>
      </c>
      <c r="E311" s="235" t="s">
        <v>1748</v>
      </c>
      <c r="F311" s="235" t="s">
        <v>503</v>
      </c>
      <c r="G311" s="238">
        <v>2.0</v>
      </c>
      <c r="H311" s="238">
        <v>0.0</v>
      </c>
      <c r="I311" s="238">
        <v>0.0</v>
      </c>
      <c r="J311" s="238">
        <v>0.0</v>
      </c>
      <c r="K311" s="238">
        <v>0.0</v>
      </c>
      <c r="L311" s="238">
        <v>0.0</v>
      </c>
      <c r="M311" s="238">
        <v>0.0</v>
      </c>
      <c r="N311" s="238">
        <v>0.0</v>
      </c>
      <c r="O311" s="238">
        <v>0.0</v>
      </c>
      <c r="P311" s="238">
        <v>0.0</v>
      </c>
      <c r="Q311" s="238">
        <v>0.0</v>
      </c>
      <c r="R311" s="238">
        <v>0.0</v>
      </c>
      <c r="S311" s="238">
        <v>2.0</v>
      </c>
      <c r="T311" s="238">
        <v>0.0</v>
      </c>
      <c r="U311" s="235" t="s">
        <v>156</v>
      </c>
      <c r="V311" s="238"/>
    </row>
    <row r="312">
      <c r="A312" s="237">
        <v>46228.0</v>
      </c>
      <c r="B312" s="235" t="s">
        <v>1760</v>
      </c>
      <c r="C312" s="235" t="s">
        <v>250</v>
      </c>
      <c r="D312" s="235" t="s">
        <v>85</v>
      </c>
      <c r="E312" s="235" t="s">
        <v>872</v>
      </c>
      <c r="F312" s="235" t="s">
        <v>514</v>
      </c>
      <c r="G312" s="238">
        <v>1.0</v>
      </c>
      <c r="H312" s="238">
        <v>0.0</v>
      </c>
      <c r="I312" s="238">
        <v>0.0</v>
      </c>
      <c r="J312" s="238">
        <v>0.0</v>
      </c>
      <c r="K312" s="238">
        <v>0.0</v>
      </c>
      <c r="L312" s="238">
        <v>0.0</v>
      </c>
      <c r="M312" s="238">
        <v>0.0</v>
      </c>
      <c r="N312" s="238">
        <v>0.0</v>
      </c>
      <c r="O312" s="238">
        <v>0.0</v>
      </c>
      <c r="P312" s="238">
        <v>0.0</v>
      </c>
      <c r="Q312" s="238">
        <v>0.0</v>
      </c>
      <c r="R312" s="238">
        <v>0.0</v>
      </c>
      <c r="S312" s="238">
        <v>0.0</v>
      </c>
      <c r="T312" s="238">
        <v>0.0</v>
      </c>
      <c r="U312" s="235" t="s">
        <v>13</v>
      </c>
      <c r="V312" s="231"/>
    </row>
    <row r="313">
      <c r="A313" s="237">
        <v>46228.0</v>
      </c>
      <c r="B313" s="235" t="s">
        <v>1760</v>
      </c>
      <c r="C313" s="235" t="s">
        <v>250</v>
      </c>
      <c r="D313" s="235" t="s">
        <v>85</v>
      </c>
      <c r="E313" s="235" t="s">
        <v>872</v>
      </c>
      <c r="F313" s="235" t="s">
        <v>503</v>
      </c>
      <c r="G313" s="238">
        <v>11.0</v>
      </c>
      <c r="H313" s="238">
        <v>0.0</v>
      </c>
      <c r="I313" s="238">
        <v>0.0</v>
      </c>
      <c r="J313" s="238">
        <v>0.0</v>
      </c>
      <c r="K313" s="238">
        <v>0.0</v>
      </c>
      <c r="L313" s="238">
        <v>0.0</v>
      </c>
      <c r="M313" s="238">
        <v>0.0</v>
      </c>
      <c r="N313" s="238">
        <v>0.0</v>
      </c>
      <c r="O313" s="238">
        <v>0.0</v>
      </c>
      <c r="P313" s="238">
        <v>0.0</v>
      </c>
      <c r="Q313" s="238">
        <v>0.0</v>
      </c>
      <c r="R313" s="238">
        <v>0.0</v>
      </c>
      <c r="S313" s="238">
        <v>11.0</v>
      </c>
      <c r="T313" s="238">
        <v>0.0</v>
      </c>
      <c r="U313" s="235" t="s">
        <v>5</v>
      </c>
      <c r="V313" s="231"/>
    </row>
    <row r="314">
      <c r="A314" s="237">
        <v>46228.0</v>
      </c>
      <c r="B314" s="235" t="s">
        <v>1760</v>
      </c>
      <c r="C314" s="235" t="s">
        <v>250</v>
      </c>
      <c r="D314" s="235" t="s">
        <v>85</v>
      </c>
      <c r="E314" s="235" t="s">
        <v>872</v>
      </c>
      <c r="F314" s="235" t="s">
        <v>503</v>
      </c>
      <c r="G314" s="238">
        <v>0.0</v>
      </c>
      <c r="H314" s="238">
        <v>10.0</v>
      </c>
      <c r="I314" s="238">
        <v>0.0</v>
      </c>
      <c r="J314" s="238">
        <v>0.0</v>
      </c>
      <c r="K314" s="238">
        <v>0.0</v>
      </c>
      <c r="L314" s="238">
        <v>0.0</v>
      </c>
      <c r="M314" s="238">
        <v>0.0</v>
      </c>
      <c r="N314" s="238">
        <v>0.0</v>
      </c>
      <c r="O314" s="238">
        <v>0.0</v>
      </c>
      <c r="P314" s="238">
        <v>0.0</v>
      </c>
      <c r="Q314" s="238">
        <v>0.0</v>
      </c>
      <c r="R314" s="238">
        <v>0.0</v>
      </c>
      <c r="S314" s="238">
        <v>0.0</v>
      </c>
      <c r="T314" s="238">
        <v>0.0</v>
      </c>
      <c r="U314" s="235" t="s">
        <v>596</v>
      </c>
    </row>
    <row r="315">
      <c r="A315" s="237">
        <v>46228.0</v>
      </c>
      <c r="B315" s="235" t="s">
        <v>1760</v>
      </c>
      <c r="C315" s="235" t="s">
        <v>250</v>
      </c>
      <c r="D315" s="235" t="s">
        <v>85</v>
      </c>
      <c r="E315" s="235" t="s">
        <v>872</v>
      </c>
      <c r="F315" s="235" t="s">
        <v>503</v>
      </c>
      <c r="G315" s="238">
        <v>12.0</v>
      </c>
      <c r="H315" s="238">
        <v>0.0</v>
      </c>
      <c r="I315" s="238">
        <v>0.0</v>
      </c>
      <c r="J315" s="238">
        <v>-1.0</v>
      </c>
      <c r="K315" s="238">
        <v>0.0</v>
      </c>
      <c r="L315" s="238">
        <v>0.0</v>
      </c>
      <c r="M315" s="238">
        <v>0.0</v>
      </c>
      <c r="N315" s="238">
        <v>0.0</v>
      </c>
      <c r="O315" s="238">
        <v>0.0</v>
      </c>
      <c r="P315" s="238">
        <v>0.0</v>
      </c>
      <c r="Q315" s="238">
        <v>0.0</v>
      </c>
      <c r="R315" s="238">
        <v>0.0</v>
      </c>
      <c r="S315" s="238">
        <v>11.0</v>
      </c>
      <c r="T315" s="238">
        <v>0.0</v>
      </c>
      <c r="U315" s="235" t="s">
        <v>9</v>
      </c>
      <c r="V315" s="231"/>
    </row>
    <row r="316">
      <c r="A316" s="237">
        <v>46228.0</v>
      </c>
      <c r="B316" s="235" t="s">
        <v>1760</v>
      </c>
      <c r="C316" s="235" t="s">
        <v>250</v>
      </c>
      <c r="D316" s="235" t="s">
        <v>85</v>
      </c>
      <c r="E316" s="235" t="s">
        <v>872</v>
      </c>
      <c r="F316" s="235" t="s">
        <v>503</v>
      </c>
      <c r="G316" s="238">
        <v>33.0</v>
      </c>
      <c r="H316" s="238">
        <v>0.0</v>
      </c>
      <c r="I316" s="238">
        <v>0.0</v>
      </c>
      <c r="J316" s="238">
        <v>0.0</v>
      </c>
      <c r="K316" s="238">
        <v>0.0</v>
      </c>
      <c r="L316" s="238">
        <v>0.0</v>
      </c>
      <c r="M316" s="238">
        <v>0.0</v>
      </c>
      <c r="N316" s="238">
        <v>0.0</v>
      </c>
      <c r="O316" s="238">
        <v>0.0</v>
      </c>
      <c r="P316" s="238">
        <v>0.0</v>
      </c>
      <c r="Q316" s="238">
        <v>0.0</v>
      </c>
      <c r="R316" s="238">
        <v>0.0</v>
      </c>
      <c r="S316" s="238">
        <v>33.0</v>
      </c>
      <c r="T316" s="238">
        <v>0.0</v>
      </c>
      <c r="U316" s="235" t="s">
        <v>11</v>
      </c>
      <c r="V316" s="231"/>
    </row>
    <row r="317">
      <c r="A317" s="237">
        <v>46228.0</v>
      </c>
      <c r="B317" s="235" t="s">
        <v>1760</v>
      </c>
      <c r="C317" s="235" t="s">
        <v>250</v>
      </c>
      <c r="D317" s="235" t="s">
        <v>85</v>
      </c>
      <c r="E317" s="235" t="s">
        <v>872</v>
      </c>
      <c r="F317" s="235" t="s">
        <v>503</v>
      </c>
      <c r="G317" s="238">
        <v>5.0</v>
      </c>
      <c r="H317" s="238">
        <v>0.0</v>
      </c>
      <c r="I317" s="238">
        <v>0.0</v>
      </c>
      <c r="J317" s="238">
        <v>0.0</v>
      </c>
      <c r="K317" s="238">
        <v>0.0</v>
      </c>
      <c r="L317" s="238">
        <v>0.0</v>
      </c>
      <c r="M317" s="238">
        <v>0.0</v>
      </c>
      <c r="N317" s="238">
        <v>0.0</v>
      </c>
      <c r="O317" s="238">
        <v>0.0</v>
      </c>
      <c r="P317" s="238">
        <v>0.0</v>
      </c>
      <c r="Q317" s="238">
        <v>0.0</v>
      </c>
      <c r="R317" s="238">
        <v>0.0</v>
      </c>
      <c r="S317" s="238">
        <v>5.0</v>
      </c>
      <c r="T317" s="238">
        <v>0.0</v>
      </c>
      <c r="U317" s="235" t="s">
        <v>16</v>
      </c>
      <c r="V317" s="238"/>
    </row>
    <row r="318">
      <c r="A318" s="237">
        <v>46228.0</v>
      </c>
      <c r="B318" s="235" t="s">
        <v>1760</v>
      </c>
      <c r="C318" s="235" t="s">
        <v>250</v>
      </c>
      <c r="D318" s="235" t="s">
        <v>85</v>
      </c>
      <c r="E318" s="235" t="s">
        <v>872</v>
      </c>
      <c r="F318" s="235" t="s">
        <v>503</v>
      </c>
      <c r="G318" s="238">
        <v>5.0</v>
      </c>
      <c r="H318" s="238">
        <v>0.0</v>
      </c>
      <c r="I318" s="238">
        <v>0.0</v>
      </c>
      <c r="J318" s="238">
        <v>0.0</v>
      </c>
      <c r="K318" s="238">
        <v>0.0</v>
      </c>
      <c r="L318" s="238">
        <v>0.0</v>
      </c>
      <c r="M318" s="238">
        <v>0.0</v>
      </c>
      <c r="N318" s="238">
        <v>0.0</v>
      </c>
      <c r="O318" s="238">
        <v>0.0</v>
      </c>
      <c r="P318" s="238">
        <v>0.0</v>
      </c>
      <c r="Q318" s="238">
        <v>0.0</v>
      </c>
      <c r="R318" s="238">
        <v>0.0</v>
      </c>
      <c r="S318" s="238">
        <v>5.0</v>
      </c>
      <c r="T318" s="238">
        <v>0.0</v>
      </c>
      <c r="U318" s="235" t="s">
        <v>17</v>
      </c>
      <c r="V318" s="238"/>
    </row>
    <row r="319">
      <c r="A319" s="237">
        <v>46228.0</v>
      </c>
      <c r="B319" s="235" t="s">
        <v>1760</v>
      </c>
      <c r="C319" s="235" t="s">
        <v>250</v>
      </c>
      <c r="D319" s="235" t="s">
        <v>85</v>
      </c>
      <c r="E319" s="235" t="s">
        <v>872</v>
      </c>
      <c r="F319" s="235" t="s">
        <v>503</v>
      </c>
      <c r="G319" s="238">
        <v>10.0</v>
      </c>
      <c r="H319" s="238">
        <v>0.0</v>
      </c>
      <c r="I319" s="238">
        <v>0.0</v>
      </c>
      <c r="J319" s="238">
        <v>-1.0</v>
      </c>
      <c r="K319" s="238">
        <v>0.0</v>
      </c>
      <c r="L319" s="238">
        <v>0.0</v>
      </c>
      <c r="M319" s="238">
        <v>0.0</v>
      </c>
      <c r="N319" s="238">
        <v>0.0</v>
      </c>
      <c r="O319" s="238">
        <v>0.0</v>
      </c>
      <c r="P319" s="238">
        <v>0.0</v>
      </c>
      <c r="Q319" s="238">
        <v>0.0</v>
      </c>
      <c r="R319" s="238">
        <v>0.0</v>
      </c>
      <c r="S319" s="238">
        <v>9.0</v>
      </c>
      <c r="T319" s="238">
        <v>0.0</v>
      </c>
      <c r="U319" s="235" t="s">
        <v>155</v>
      </c>
      <c r="V319" s="238"/>
    </row>
    <row r="320">
      <c r="A320" s="237">
        <v>46228.0</v>
      </c>
      <c r="B320" s="235" t="s">
        <v>1760</v>
      </c>
      <c r="C320" s="235" t="s">
        <v>250</v>
      </c>
      <c r="D320" s="235" t="s">
        <v>85</v>
      </c>
      <c r="E320" s="235" t="s">
        <v>872</v>
      </c>
      <c r="F320" s="235" t="s">
        <v>503</v>
      </c>
      <c r="G320" s="238">
        <v>11.0</v>
      </c>
      <c r="H320" s="238">
        <v>0.0</v>
      </c>
      <c r="I320" s="238">
        <v>0.0</v>
      </c>
      <c r="J320" s="238">
        <v>0.0</v>
      </c>
      <c r="K320" s="238">
        <v>1.0</v>
      </c>
      <c r="L320" s="238">
        <v>0.0</v>
      </c>
      <c r="M320" s="238">
        <v>0.0</v>
      </c>
      <c r="N320" s="238">
        <v>0.0</v>
      </c>
      <c r="O320" s="238">
        <v>0.0</v>
      </c>
      <c r="P320" s="238">
        <v>0.0</v>
      </c>
      <c r="Q320" s="238">
        <v>0.0</v>
      </c>
      <c r="R320" s="238">
        <v>0.0</v>
      </c>
      <c r="S320" s="238">
        <v>12.0</v>
      </c>
      <c r="T320" s="238">
        <v>0.0</v>
      </c>
      <c r="U320" s="235" t="s">
        <v>533</v>
      </c>
    </row>
    <row r="321">
      <c r="A321" s="237">
        <v>46228.0</v>
      </c>
      <c r="B321" s="235" t="s">
        <v>1760</v>
      </c>
      <c r="C321" s="235" t="s">
        <v>250</v>
      </c>
      <c r="D321" s="235" t="s">
        <v>85</v>
      </c>
      <c r="E321" s="235" t="s">
        <v>872</v>
      </c>
      <c r="F321" s="235" t="s">
        <v>503</v>
      </c>
      <c r="G321" s="238">
        <v>8.0</v>
      </c>
      <c r="H321" s="238">
        <v>0.0</v>
      </c>
      <c r="I321" s="238">
        <v>0.0</v>
      </c>
      <c r="J321" s="238">
        <v>0.0</v>
      </c>
      <c r="K321" s="238">
        <v>0.0</v>
      </c>
      <c r="L321" s="238">
        <v>0.0</v>
      </c>
      <c r="M321" s="238">
        <v>0.0</v>
      </c>
      <c r="N321" s="238">
        <v>0.0</v>
      </c>
      <c r="O321" s="238">
        <v>0.0</v>
      </c>
      <c r="P321" s="238">
        <v>0.0</v>
      </c>
      <c r="Q321" s="238">
        <v>0.0</v>
      </c>
      <c r="R321" s="238">
        <v>0.0</v>
      </c>
      <c r="S321" s="238">
        <v>8.0</v>
      </c>
      <c r="T321" s="238">
        <v>0.0</v>
      </c>
      <c r="U321" s="235" t="s">
        <v>13</v>
      </c>
      <c r="V321" s="231"/>
    </row>
    <row r="322">
      <c r="A322" s="237">
        <v>46228.0</v>
      </c>
      <c r="B322" s="235" t="s">
        <v>1760</v>
      </c>
      <c r="C322" s="235" t="s">
        <v>250</v>
      </c>
      <c r="D322" s="235" t="s">
        <v>85</v>
      </c>
      <c r="E322" s="235" t="s">
        <v>872</v>
      </c>
      <c r="F322" s="235" t="s">
        <v>503</v>
      </c>
      <c r="G322" s="238">
        <v>10.0</v>
      </c>
      <c r="H322" s="238">
        <v>0.0</v>
      </c>
      <c r="I322" s="238">
        <v>0.0</v>
      </c>
      <c r="J322" s="238">
        <v>0.0</v>
      </c>
      <c r="K322" s="238">
        <v>0.0</v>
      </c>
      <c r="L322" s="238">
        <v>0.0</v>
      </c>
      <c r="M322" s="238">
        <v>0.0</v>
      </c>
      <c r="N322" s="238">
        <v>0.0</v>
      </c>
      <c r="O322" s="238">
        <v>0.0</v>
      </c>
      <c r="P322" s="238">
        <v>0.0</v>
      </c>
      <c r="Q322" s="238">
        <v>0.0</v>
      </c>
      <c r="R322" s="238">
        <v>0.0</v>
      </c>
      <c r="S322" s="238">
        <v>10.0</v>
      </c>
      <c r="T322" s="238">
        <v>0.0</v>
      </c>
      <c r="U322" s="235" t="s">
        <v>14</v>
      </c>
      <c r="V322" s="231"/>
    </row>
    <row r="323">
      <c r="A323" s="237">
        <v>46228.0</v>
      </c>
      <c r="B323" s="235" t="s">
        <v>1760</v>
      </c>
      <c r="C323" s="235" t="s">
        <v>250</v>
      </c>
      <c r="D323" s="235" t="s">
        <v>85</v>
      </c>
      <c r="E323" s="235" t="s">
        <v>872</v>
      </c>
      <c r="F323" s="235" t="s">
        <v>503</v>
      </c>
      <c r="G323" s="238">
        <v>5.0</v>
      </c>
      <c r="H323" s="238">
        <v>0.0</v>
      </c>
      <c r="I323" s="238">
        <v>0.0</v>
      </c>
      <c r="J323" s="238">
        <v>0.0</v>
      </c>
      <c r="K323" s="238">
        <v>0.0</v>
      </c>
      <c r="L323" s="238">
        <v>0.0</v>
      </c>
      <c r="M323" s="238">
        <v>0.0</v>
      </c>
      <c r="N323" s="238">
        <v>0.0</v>
      </c>
      <c r="O323" s="238">
        <v>0.0</v>
      </c>
      <c r="P323" s="238">
        <v>0.0</v>
      </c>
      <c r="Q323" s="238">
        <v>0.0</v>
      </c>
      <c r="R323" s="238">
        <v>0.0</v>
      </c>
      <c r="S323" s="238">
        <v>5.0</v>
      </c>
      <c r="T323" s="238">
        <v>0.0</v>
      </c>
      <c r="U323" s="235" t="s">
        <v>18</v>
      </c>
      <c r="V323" s="231"/>
    </row>
    <row r="324">
      <c r="A324" s="237">
        <v>46228.0</v>
      </c>
      <c r="B324" s="235" t="s">
        <v>1760</v>
      </c>
      <c r="C324" s="235" t="s">
        <v>250</v>
      </c>
      <c r="D324" s="235" t="s">
        <v>85</v>
      </c>
      <c r="E324" s="235" t="s">
        <v>872</v>
      </c>
      <c r="F324" s="235" t="s">
        <v>503</v>
      </c>
      <c r="G324" s="238">
        <v>9.0</v>
      </c>
      <c r="H324" s="238">
        <v>0.0</v>
      </c>
      <c r="I324" s="238">
        <v>0.0</v>
      </c>
      <c r="J324" s="238">
        <v>0.0</v>
      </c>
      <c r="K324" s="238">
        <v>0.0</v>
      </c>
      <c r="L324" s="238">
        <v>0.0</v>
      </c>
      <c r="M324" s="238">
        <v>0.0</v>
      </c>
      <c r="N324" s="238">
        <v>0.0</v>
      </c>
      <c r="O324" s="238">
        <v>0.0</v>
      </c>
      <c r="P324" s="238">
        <v>0.0</v>
      </c>
      <c r="Q324" s="238">
        <v>0.0</v>
      </c>
      <c r="R324" s="238">
        <v>0.0</v>
      </c>
      <c r="S324" s="238">
        <v>9.0</v>
      </c>
      <c r="T324" s="238">
        <v>0.0</v>
      </c>
      <c r="U324" s="235" t="s">
        <v>20</v>
      </c>
    </row>
    <row r="325">
      <c r="A325" s="237">
        <v>46228.0</v>
      </c>
      <c r="B325" s="235" t="s">
        <v>1760</v>
      </c>
      <c r="C325" s="235" t="s">
        <v>250</v>
      </c>
      <c r="D325" s="235" t="s">
        <v>85</v>
      </c>
      <c r="E325" s="235" t="s">
        <v>872</v>
      </c>
      <c r="F325" s="235" t="s">
        <v>503</v>
      </c>
      <c r="G325" s="238">
        <v>11.0</v>
      </c>
      <c r="H325" s="238">
        <v>0.0</v>
      </c>
      <c r="I325" s="238">
        <v>0.0</v>
      </c>
      <c r="J325" s="238">
        <v>0.0</v>
      </c>
      <c r="K325" s="238">
        <v>0.0</v>
      </c>
      <c r="L325" s="238">
        <v>0.0</v>
      </c>
      <c r="M325" s="238">
        <v>0.0</v>
      </c>
      <c r="N325" s="238">
        <v>0.0</v>
      </c>
      <c r="O325" s="238">
        <v>0.0</v>
      </c>
      <c r="P325" s="238">
        <v>0.0</v>
      </c>
      <c r="Q325" s="238">
        <v>0.0</v>
      </c>
      <c r="R325" s="238">
        <v>0.0</v>
      </c>
      <c r="S325" s="238">
        <v>11.0</v>
      </c>
      <c r="T325" s="238">
        <v>0.0</v>
      </c>
      <c r="U325" s="235" t="s">
        <v>156</v>
      </c>
      <c r="V325" s="231"/>
    </row>
    <row r="326">
      <c r="A326" s="237">
        <v>46228.0</v>
      </c>
      <c r="B326" s="235" t="s">
        <v>1760</v>
      </c>
      <c r="C326" s="235" t="s">
        <v>250</v>
      </c>
      <c r="D326" s="235" t="s">
        <v>85</v>
      </c>
      <c r="E326" s="235" t="s">
        <v>872</v>
      </c>
      <c r="F326" s="235" t="s">
        <v>503</v>
      </c>
      <c r="G326" s="238">
        <v>8.0</v>
      </c>
      <c r="H326" s="238">
        <v>0.0</v>
      </c>
      <c r="I326" s="238">
        <v>0.0</v>
      </c>
      <c r="J326" s="238">
        <v>0.0</v>
      </c>
      <c r="K326" s="238">
        <v>0.0</v>
      </c>
      <c r="L326" s="238">
        <v>0.0</v>
      </c>
      <c r="M326" s="238">
        <v>0.0</v>
      </c>
      <c r="N326" s="238">
        <v>0.0</v>
      </c>
      <c r="O326" s="238">
        <v>0.0</v>
      </c>
      <c r="P326" s="238">
        <v>0.0</v>
      </c>
      <c r="Q326" s="238">
        <v>0.0</v>
      </c>
      <c r="R326" s="238">
        <v>0.0</v>
      </c>
      <c r="S326" s="238">
        <v>8.0</v>
      </c>
      <c r="T326" s="238">
        <v>0.0</v>
      </c>
      <c r="U326" s="235" t="s">
        <v>546</v>
      </c>
    </row>
    <row r="327">
      <c r="A327" s="237">
        <v>46228.0</v>
      </c>
      <c r="B327" s="235" t="s">
        <v>1760</v>
      </c>
      <c r="C327" s="235" t="s">
        <v>250</v>
      </c>
      <c r="D327" s="235" t="s">
        <v>85</v>
      </c>
      <c r="E327" s="235" t="s">
        <v>872</v>
      </c>
      <c r="F327" s="235" t="s">
        <v>1808</v>
      </c>
      <c r="G327" s="238">
        <v>1.0</v>
      </c>
      <c r="H327" s="238">
        <v>0.0</v>
      </c>
      <c r="I327" s="238">
        <v>0.0</v>
      </c>
      <c r="J327" s="238">
        <v>0.0</v>
      </c>
      <c r="K327" s="238">
        <v>0.0</v>
      </c>
      <c r="L327" s="238">
        <v>0.0</v>
      </c>
      <c r="M327" s="238">
        <v>0.0</v>
      </c>
      <c r="N327" s="238">
        <v>0.0</v>
      </c>
      <c r="O327" s="238">
        <v>0.0</v>
      </c>
      <c r="P327" s="238">
        <v>0.0</v>
      </c>
      <c r="Q327" s="238">
        <v>0.0</v>
      </c>
      <c r="R327" s="238">
        <v>0.0</v>
      </c>
      <c r="S327" s="238">
        <v>0.0</v>
      </c>
      <c r="T327" s="238">
        <v>0.0</v>
      </c>
      <c r="U327" s="235" t="s">
        <v>16</v>
      </c>
    </row>
    <row r="328">
      <c r="A328" s="237">
        <v>46228.0</v>
      </c>
      <c r="B328" s="235" t="s">
        <v>1810</v>
      </c>
      <c r="C328" s="235" t="s">
        <v>425</v>
      </c>
      <c r="D328" s="235" t="s">
        <v>86</v>
      </c>
      <c r="E328" s="235" t="s">
        <v>1811</v>
      </c>
      <c r="F328" s="235" t="s">
        <v>503</v>
      </c>
      <c r="G328" s="238">
        <v>1.0</v>
      </c>
      <c r="H328" s="238">
        <v>0.0</v>
      </c>
      <c r="I328" s="238">
        <v>0.0</v>
      </c>
      <c r="J328" s="238">
        <v>0.0</v>
      </c>
      <c r="K328" s="238">
        <v>0.0</v>
      </c>
      <c r="L328" s="238">
        <v>0.0</v>
      </c>
      <c r="M328" s="238">
        <v>0.0</v>
      </c>
      <c r="N328" s="238">
        <v>0.0</v>
      </c>
      <c r="O328" s="238">
        <v>0.0</v>
      </c>
      <c r="P328" s="238">
        <v>0.0</v>
      </c>
      <c r="Q328" s="238">
        <v>0.0</v>
      </c>
      <c r="R328" s="238">
        <v>0.0</v>
      </c>
      <c r="S328" s="238">
        <v>1.0</v>
      </c>
      <c r="T328" s="238">
        <v>0.0</v>
      </c>
      <c r="U328" s="235" t="s">
        <v>5</v>
      </c>
    </row>
    <row r="329">
      <c r="A329" s="237">
        <v>46228.0</v>
      </c>
      <c r="B329" s="235" t="s">
        <v>1810</v>
      </c>
      <c r="C329" s="235" t="s">
        <v>425</v>
      </c>
      <c r="D329" s="235" t="s">
        <v>86</v>
      </c>
      <c r="E329" s="235" t="s">
        <v>1811</v>
      </c>
      <c r="F329" s="235" t="s">
        <v>503</v>
      </c>
      <c r="G329" s="238">
        <v>1.0</v>
      </c>
      <c r="H329" s="238">
        <v>0.0</v>
      </c>
      <c r="I329" s="238">
        <v>0.0</v>
      </c>
      <c r="J329" s="238">
        <v>0.0</v>
      </c>
      <c r="K329" s="238">
        <v>0.0</v>
      </c>
      <c r="L329" s="238">
        <v>0.0</v>
      </c>
      <c r="M329" s="238">
        <v>0.0</v>
      </c>
      <c r="N329" s="238">
        <v>0.0</v>
      </c>
      <c r="O329" s="238">
        <v>0.0</v>
      </c>
      <c r="P329" s="238">
        <v>0.0</v>
      </c>
      <c r="Q329" s="238">
        <v>0.0</v>
      </c>
      <c r="R329" s="238">
        <v>0.0</v>
      </c>
      <c r="S329" s="238">
        <v>1.0</v>
      </c>
      <c r="T329" s="238">
        <v>0.0</v>
      </c>
      <c r="U329" s="235" t="s">
        <v>9</v>
      </c>
    </row>
    <row r="330">
      <c r="A330" s="249">
        <v>46228.0</v>
      </c>
      <c r="B330" s="235" t="s">
        <v>1810</v>
      </c>
      <c r="C330" s="235" t="s">
        <v>425</v>
      </c>
      <c r="D330" s="235" t="s">
        <v>86</v>
      </c>
      <c r="E330" s="235" t="s">
        <v>1811</v>
      </c>
      <c r="F330" s="235" t="s">
        <v>503</v>
      </c>
      <c r="G330" s="238">
        <v>3.0</v>
      </c>
      <c r="H330" s="238">
        <v>0.0</v>
      </c>
      <c r="I330" s="238">
        <v>0.0</v>
      </c>
      <c r="J330" s="238">
        <v>0.0</v>
      </c>
      <c r="K330" s="238">
        <v>0.0</v>
      </c>
      <c r="L330" s="238">
        <v>0.0</v>
      </c>
      <c r="M330" s="238">
        <v>0.0</v>
      </c>
      <c r="N330" s="238">
        <v>0.0</v>
      </c>
      <c r="O330" s="238">
        <v>0.0</v>
      </c>
      <c r="P330" s="238">
        <v>0.0</v>
      </c>
      <c r="Q330" s="238">
        <v>0.0</v>
      </c>
      <c r="R330" s="238">
        <v>0.0</v>
      </c>
      <c r="S330" s="238">
        <v>3.0</v>
      </c>
      <c r="T330" s="238">
        <v>0.0</v>
      </c>
      <c r="U330" s="235" t="s">
        <v>11</v>
      </c>
    </row>
    <row r="331">
      <c r="A331" s="249">
        <v>46228.0</v>
      </c>
      <c r="B331" s="235" t="s">
        <v>1810</v>
      </c>
      <c r="C331" s="235" t="s">
        <v>425</v>
      </c>
      <c r="D331" s="235" t="s">
        <v>86</v>
      </c>
      <c r="E331" s="235" t="s">
        <v>1811</v>
      </c>
      <c r="F331" s="235" t="s">
        <v>503</v>
      </c>
      <c r="G331" s="238">
        <v>2.0</v>
      </c>
      <c r="H331" s="238">
        <v>0.0</v>
      </c>
      <c r="I331" s="238">
        <v>0.0</v>
      </c>
      <c r="J331" s="238">
        <v>0.0</v>
      </c>
      <c r="K331" s="238">
        <v>0.0</v>
      </c>
      <c r="L331" s="238">
        <v>0.0</v>
      </c>
      <c r="M331" s="238">
        <v>0.0</v>
      </c>
      <c r="N331" s="238">
        <v>0.0</v>
      </c>
      <c r="O331" s="238">
        <v>0.0</v>
      </c>
      <c r="P331" s="238">
        <v>0.0</v>
      </c>
      <c r="Q331" s="238">
        <v>0.0</v>
      </c>
      <c r="R331" s="238">
        <v>0.0</v>
      </c>
      <c r="S331" s="238">
        <v>2.0</v>
      </c>
      <c r="T331" s="238">
        <v>0.0</v>
      </c>
      <c r="U331" s="235" t="s">
        <v>16</v>
      </c>
    </row>
    <row r="332">
      <c r="A332" s="249">
        <v>46228.0</v>
      </c>
      <c r="B332" s="235" t="s">
        <v>1810</v>
      </c>
      <c r="C332" s="235" t="s">
        <v>425</v>
      </c>
      <c r="D332" s="235" t="s">
        <v>86</v>
      </c>
      <c r="E332" s="235" t="s">
        <v>1811</v>
      </c>
      <c r="F332" s="235" t="s">
        <v>503</v>
      </c>
      <c r="G332" s="238">
        <v>2.0</v>
      </c>
      <c r="H332" s="238">
        <v>0.0</v>
      </c>
      <c r="I332" s="238">
        <v>0.0</v>
      </c>
      <c r="J332" s="238">
        <v>0.0</v>
      </c>
      <c r="K332" s="238">
        <v>0.0</v>
      </c>
      <c r="L332" s="238">
        <v>0.0</v>
      </c>
      <c r="M332" s="238">
        <v>0.0</v>
      </c>
      <c r="N332" s="238">
        <v>0.0</v>
      </c>
      <c r="O332" s="238">
        <v>0.0</v>
      </c>
      <c r="P332" s="238">
        <v>0.0</v>
      </c>
      <c r="Q332" s="238">
        <v>0.0</v>
      </c>
      <c r="R332" s="238">
        <v>0.0</v>
      </c>
      <c r="S332" s="238">
        <v>2.0</v>
      </c>
      <c r="T332" s="238">
        <v>0.0</v>
      </c>
      <c r="U332" s="235" t="s">
        <v>17</v>
      </c>
    </row>
    <row r="333">
      <c r="A333" s="249">
        <v>46228.0</v>
      </c>
      <c r="B333" s="235" t="s">
        <v>1810</v>
      </c>
      <c r="C333" s="235" t="s">
        <v>425</v>
      </c>
      <c r="D333" s="235" t="s">
        <v>86</v>
      </c>
      <c r="E333" s="235" t="s">
        <v>1811</v>
      </c>
      <c r="F333" s="235" t="s">
        <v>503</v>
      </c>
      <c r="G333" s="238">
        <v>1.0</v>
      </c>
      <c r="H333" s="238">
        <v>0.0</v>
      </c>
      <c r="I333" s="238">
        <v>0.0</v>
      </c>
      <c r="J333" s="238">
        <v>0.0</v>
      </c>
      <c r="K333" s="238">
        <v>0.0</v>
      </c>
      <c r="L333" s="238">
        <v>0.0</v>
      </c>
      <c r="M333" s="238">
        <v>0.0</v>
      </c>
      <c r="N333" s="238">
        <v>0.0</v>
      </c>
      <c r="O333" s="238">
        <v>0.0</v>
      </c>
      <c r="P333" s="238">
        <v>0.0</v>
      </c>
      <c r="Q333" s="238">
        <v>0.0</v>
      </c>
      <c r="R333" s="238">
        <v>0.0</v>
      </c>
      <c r="S333" s="238">
        <v>1.0</v>
      </c>
      <c r="T333" s="238">
        <v>0.0</v>
      </c>
      <c r="U333" s="235" t="s">
        <v>14</v>
      </c>
    </row>
    <row r="334">
      <c r="A334" s="249">
        <v>46228.0</v>
      </c>
      <c r="B334" s="235" t="s">
        <v>1810</v>
      </c>
      <c r="C334" s="235" t="s">
        <v>425</v>
      </c>
      <c r="D334" s="235" t="s">
        <v>86</v>
      </c>
      <c r="E334" s="235" t="s">
        <v>1811</v>
      </c>
      <c r="F334" s="235" t="s">
        <v>503</v>
      </c>
      <c r="G334" s="238">
        <v>2.0</v>
      </c>
      <c r="H334" s="238">
        <v>0.0</v>
      </c>
      <c r="I334" s="238">
        <v>0.0</v>
      </c>
      <c r="J334" s="238">
        <v>0.0</v>
      </c>
      <c r="K334" s="238">
        <v>0.0</v>
      </c>
      <c r="L334" s="238">
        <v>0.0</v>
      </c>
      <c r="M334" s="238">
        <v>0.0</v>
      </c>
      <c r="N334" s="238">
        <v>0.0</v>
      </c>
      <c r="O334" s="238">
        <v>0.0</v>
      </c>
      <c r="P334" s="238">
        <v>0.0</v>
      </c>
      <c r="Q334" s="238">
        <v>0.0</v>
      </c>
      <c r="R334" s="238">
        <v>0.0</v>
      </c>
      <c r="S334" s="238">
        <v>2.0</v>
      </c>
      <c r="T334" s="238">
        <v>0.0</v>
      </c>
      <c r="U334" s="235" t="s">
        <v>20</v>
      </c>
      <c r="V334" s="231"/>
    </row>
    <row r="335">
      <c r="A335" s="249">
        <v>46228.0</v>
      </c>
      <c r="B335" s="235" t="s">
        <v>1835</v>
      </c>
      <c r="C335" s="235" t="s">
        <v>215</v>
      </c>
      <c r="D335" s="235" t="s">
        <v>82</v>
      </c>
      <c r="E335" s="235" t="s">
        <v>889</v>
      </c>
      <c r="F335" s="235" t="s">
        <v>514</v>
      </c>
      <c r="G335" s="238">
        <v>1.0</v>
      </c>
      <c r="H335" s="238">
        <v>0.0</v>
      </c>
      <c r="I335" s="238">
        <v>0.0</v>
      </c>
      <c r="J335" s="238">
        <v>0.0</v>
      </c>
      <c r="K335" s="238">
        <v>0.0</v>
      </c>
      <c r="L335" s="238">
        <v>0.0</v>
      </c>
      <c r="M335" s="238">
        <v>0.0</v>
      </c>
      <c r="N335" s="238">
        <v>0.0</v>
      </c>
      <c r="O335" s="238">
        <v>0.0</v>
      </c>
      <c r="P335" s="238">
        <v>0.0</v>
      </c>
      <c r="Q335" s="238">
        <v>0.0</v>
      </c>
      <c r="R335" s="238">
        <v>0.0</v>
      </c>
      <c r="S335" s="238">
        <v>0.0</v>
      </c>
      <c r="T335" s="238">
        <v>0.0</v>
      </c>
      <c r="U335" s="235" t="s">
        <v>16</v>
      </c>
    </row>
    <row r="336">
      <c r="A336" s="249">
        <v>46228.0</v>
      </c>
      <c r="B336" s="235" t="s">
        <v>1835</v>
      </c>
      <c r="C336" s="235" t="s">
        <v>215</v>
      </c>
      <c r="D336" s="235" t="s">
        <v>82</v>
      </c>
      <c r="E336" s="235" t="s">
        <v>889</v>
      </c>
      <c r="F336" s="235" t="s">
        <v>514</v>
      </c>
      <c r="G336" s="238">
        <v>1.0</v>
      </c>
      <c r="H336" s="238">
        <v>0.0</v>
      </c>
      <c r="I336" s="238">
        <v>0.0</v>
      </c>
      <c r="J336" s="238">
        <v>0.0</v>
      </c>
      <c r="K336" s="238">
        <v>0.0</v>
      </c>
      <c r="L336" s="238">
        <v>0.0</v>
      </c>
      <c r="M336" s="238">
        <v>0.0</v>
      </c>
      <c r="N336" s="238">
        <v>0.0</v>
      </c>
      <c r="O336" s="238">
        <v>0.0</v>
      </c>
      <c r="P336" s="238">
        <v>0.0</v>
      </c>
      <c r="Q336" s="238">
        <v>0.0</v>
      </c>
      <c r="R336" s="238">
        <v>0.0</v>
      </c>
      <c r="S336" s="238">
        <v>0.0</v>
      </c>
      <c r="T336" s="238">
        <v>0.0</v>
      </c>
      <c r="U336" s="235" t="s">
        <v>156</v>
      </c>
    </row>
    <row r="337">
      <c r="A337" s="249">
        <v>46228.0</v>
      </c>
      <c r="B337" s="235" t="s">
        <v>1835</v>
      </c>
      <c r="C337" s="235" t="s">
        <v>215</v>
      </c>
      <c r="D337" s="235" t="s">
        <v>82</v>
      </c>
      <c r="E337" s="235" t="s">
        <v>889</v>
      </c>
      <c r="F337" s="235" t="s">
        <v>503</v>
      </c>
      <c r="G337" s="238">
        <v>17.0</v>
      </c>
      <c r="H337" s="238">
        <v>0.0</v>
      </c>
      <c r="I337" s="238">
        <v>0.0</v>
      </c>
      <c r="J337" s="238">
        <v>0.0</v>
      </c>
      <c r="K337" s="238">
        <v>0.0</v>
      </c>
      <c r="L337" s="238">
        <v>0.0</v>
      </c>
      <c r="M337" s="238">
        <v>0.0</v>
      </c>
      <c r="N337" s="238">
        <v>0.0</v>
      </c>
      <c r="O337" s="238">
        <v>0.0</v>
      </c>
      <c r="P337" s="238">
        <v>0.0</v>
      </c>
      <c r="Q337" s="238">
        <v>0.0</v>
      </c>
      <c r="R337" s="238">
        <v>0.0</v>
      </c>
      <c r="S337" s="238">
        <v>17.0</v>
      </c>
      <c r="T337" s="238">
        <v>0.0</v>
      </c>
      <c r="U337" s="235" t="s">
        <v>5</v>
      </c>
    </row>
    <row r="338">
      <c r="A338" s="249">
        <v>46228.0</v>
      </c>
      <c r="B338" s="235" t="s">
        <v>1835</v>
      </c>
      <c r="C338" s="235" t="s">
        <v>215</v>
      </c>
      <c r="D338" s="235" t="s">
        <v>82</v>
      </c>
      <c r="E338" s="235" t="s">
        <v>889</v>
      </c>
      <c r="F338" s="235" t="s">
        <v>503</v>
      </c>
      <c r="G338" s="238">
        <v>0.0</v>
      </c>
      <c r="H338" s="238">
        <v>3.0</v>
      </c>
      <c r="I338" s="238">
        <v>0.0</v>
      </c>
      <c r="J338" s="238">
        <v>0.0</v>
      </c>
      <c r="K338" s="238">
        <v>0.0</v>
      </c>
      <c r="L338" s="238">
        <v>0.0</v>
      </c>
      <c r="M338" s="238">
        <v>0.0</v>
      </c>
      <c r="N338" s="238">
        <v>0.0</v>
      </c>
      <c r="O338" s="238">
        <v>0.0</v>
      </c>
      <c r="P338" s="238">
        <v>0.0</v>
      </c>
      <c r="Q338" s="238">
        <v>0.0</v>
      </c>
      <c r="R338" s="238">
        <v>0.0</v>
      </c>
      <c r="S338" s="238">
        <v>0.0</v>
      </c>
      <c r="T338" s="238">
        <v>0.0</v>
      </c>
      <c r="U338" s="235" t="s">
        <v>596</v>
      </c>
    </row>
    <row r="339">
      <c r="A339" s="249">
        <v>46228.0</v>
      </c>
      <c r="B339" s="235" t="s">
        <v>1835</v>
      </c>
      <c r="C339" s="235" t="s">
        <v>215</v>
      </c>
      <c r="D339" s="235" t="s">
        <v>82</v>
      </c>
      <c r="E339" s="235" t="s">
        <v>889</v>
      </c>
      <c r="F339" s="235" t="s">
        <v>503</v>
      </c>
      <c r="G339" s="238">
        <v>0.0</v>
      </c>
      <c r="H339" s="238">
        <v>1.0</v>
      </c>
      <c r="I339" s="238">
        <v>0.0</v>
      </c>
      <c r="J339" s="238">
        <v>0.0</v>
      </c>
      <c r="K339" s="238">
        <v>0.0</v>
      </c>
      <c r="L339" s="238">
        <v>0.0</v>
      </c>
      <c r="M339" s="238">
        <v>0.0</v>
      </c>
      <c r="N339" s="238">
        <v>0.0</v>
      </c>
      <c r="O339" s="238">
        <v>0.0</v>
      </c>
      <c r="P339" s="238">
        <v>0.0</v>
      </c>
      <c r="Q339" s="238">
        <v>0.0</v>
      </c>
      <c r="R339" s="238">
        <v>0.0</v>
      </c>
      <c r="S339" s="238">
        <v>0.0</v>
      </c>
      <c r="T339" s="238">
        <v>0.0</v>
      </c>
      <c r="U339" s="235" t="s">
        <v>1853</v>
      </c>
    </row>
    <row r="340">
      <c r="A340" s="249">
        <v>46228.0</v>
      </c>
      <c r="B340" s="235" t="s">
        <v>1835</v>
      </c>
      <c r="C340" s="235" t="s">
        <v>215</v>
      </c>
      <c r="D340" s="235" t="s">
        <v>82</v>
      </c>
      <c r="E340" s="235" t="s">
        <v>889</v>
      </c>
      <c r="F340" s="235" t="s">
        <v>503</v>
      </c>
      <c r="G340" s="238">
        <v>17.0</v>
      </c>
      <c r="H340" s="238">
        <v>0.0</v>
      </c>
      <c r="I340" s="238">
        <v>0.0</v>
      </c>
      <c r="J340" s="238">
        <v>0.0</v>
      </c>
      <c r="K340" s="238">
        <v>0.0</v>
      </c>
      <c r="L340" s="238">
        <v>0.0</v>
      </c>
      <c r="M340" s="238">
        <v>0.0</v>
      </c>
      <c r="N340" s="238">
        <v>0.0</v>
      </c>
      <c r="O340" s="238">
        <v>0.0</v>
      </c>
      <c r="P340" s="238">
        <v>0.0</v>
      </c>
      <c r="Q340" s="238">
        <v>0.0</v>
      </c>
      <c r="R340" s="238">
        <v>0.0</v>
      </c>
      <c r="S340" s="238">
        <v>17.0</v>
      </c>
      <c r="T340" s="238">
        <v>0.0</v>
      </c>
      <c r="U340" s="235" t="s">
        <v>9</v>
      </c>
      <c r="V340" s="231"/>
    </row>
    <row r="341">
      <c r="A341" s="249">
        <v>46228.0</v>
      </c>
      <c r="B341" s="235" t="s">
        <v>1835</v>
      </c>
      <c r="C341" s="235" t="s">
        <v>215</v>
      </c>
      <c r="D341" s="235" t="s">
        <v>82</v>
      </c>
      <c r="E341" s="235" t="s">
        <v>889</v>
      </c>
      <c r="F341" s="235" t="s">
        <v>503</v>
      </c>
      <c r="G341" s="238">
        <v>35.0</v>
      </c>
      <c r="H341" s="238">
        <v>0.0</v>
      </c>
      <c r="I341" s="238">
        <v>0.0</v>
      </c>
      <c r="J341" s="238">
        <v>0.0</v>
      </c>
      <c r="K341" s="238">
        <v>0.0</v>
      </c>
      <c r="L341" s="238">
        <v>0.0</v>
      </c>
      <c r="M341" s="238">
        <v>0.0</v>
      </c>
      <c r="N341" s="238">
        <v>0.0</v>
      </c>
      <c r="O341" s="238">
        <v>0.0</v>
      </c>
      <c r="P341" s="238">
        <v>0.0</v>
      </c>
      <c r="Q341" s="238">
        <v>0.0</v>
      </c>
      <c r="R341" s="238">
        <v>0.0</v>
      </c>
      <c r="S341" s="238">
        <v>35.0</v>
      </c>
      <c r="T341" s="238">
        <v>0.0</v>
      </c>
      <c r="U341" s="235" t="s">
        <v>11</v>
      </c>
      <c r="V341" s="238"/>
    </row>
    <row r="342">
      <c r="A342" s="249">
        <v>46228.0</v>
      </c>
      <c r="B342" s="235" t="s">
        <v>1835</v>
      </c>
      <c r="C342" s="235" t="s">
        <v>215</v>
      </c>
      <c r="D342" s="235" t="s">
        <v>82</v>
      </c>
      <c r="E342" s="235" t="s">
        <v>889</v>
      </c>
      <c r="F342" s="235" t="s">
        <v>503</v>
      </c>
      <c r="G342" s="238">
        <v>14.0</v>
      </c>
      <c r="H342" s="238">
        <v>0.0</v>
      </c>
      <c r="I342" s="238">
        <v>0.0</v>
      </c>
      <c r="J342" s="238">
        <v>0.0</v>
      </c>
      <c r="K342" s="238">
        <v>0.0</v>
      </c>
      <c r="L342" s="238">
        <v>0.0</v>
      </c>
      <c r="M342" s="238">
        <v>1.0</v>
      </c>
      <c r="N342" s="238">
        <v>0.0</v>
      </c>
      <c r="O342" s="238">
        <v>0.0</v>
      </c>
      <c r="P342" s="238">
        <v>0.0</v>
      </c>
      <c r="Q342" s="238">
        <v>0.0</v>
      </c>
      <c r="R342" s="238">
        <v>0.0</v>
      </c>
      <c r="S342" s="238">
        <v>15.0</v>
      </c>
      <c r="T342" s="238">
        <v>0.0</v>
      </c>
      <c r="U342" s="235" t="s">
        <v>16</v>
      </c>
      <c r="V342" s="238"/>
    </row>
    <row r="343">
      <c r="A343" s="249">
        <v>46228.0</v>
      </c>
      <c r="B343" s="235" t="s">
        <v>1835</v>
      </c>
      <c r="C343" s="235" t="s">
        <v>215</v>
      </c>
      <c r="D343" s="235" t="s">
        <v>82</v>
      </c>
      <c r="E343" s="235" t="s">
        <v>889</v>
      </c>
      <c r="F343" s="235" t="s">
        <v>503</v>
      </c>
      <c r="G343" s="238">
        <v>15.0</v>
      </c>
      <c r="H343" s="238">
        <v>0.0</v>
      </c>
      <c r="I343" s="238">
        <v>0.0</v>
      </c>
      <c r="J343" s="238">
        <v>0.0</v>
      </c>
      <c r="K343" s="238">
        <v>0.0</v>
      </c>
      <c r="L343" s="238">
        <v>0.0</v>
      </c>
      <c r="M343" s="238">
        <v>0.0</v>
      </c>
      <c r="N343" s="238">
        <v>0.0</v>
      </c>
      <c r="O343" s="238">
        <v>0.0</v>
      </c>
      <c r="P343" s="238">
        <v>0.0</v>
      </c>
      <c r="Q343" s="238">
        <v>0.0</v>
      </c>
      <c r="R343" s="238">
        <v>0.0</v>
      </c>
      <c r="S343" s="238">
        <v>15.0</v>
      </c>
      <c r="T343" s="238">
        <v>0.0</v>
      </c>
      <c r="U343" s="235" t="s">
        <v>17</v>
      </c>
    </row>
    <row r="344">
      <c r="A344" s="249">
        <v>46228.0</v>
      </c>
      <c r="B344" s="235" t="s">
        <v>1835</v>
      </c>
      <c r="C344" s="235" t="s">
        <v>215</v>
      </c>
      <c r="D344" s="235" t="s">
        <v>82</v>
      </c>
      <c r="E344" s="235" t="s">
        <v>889</v>
      </c>
      <c r="F344" s="235" t="s">
        <v>503</v>
      </c>
      <c r="G344" s="238">
        <v>9.0</v>
      </c>
      <c r="H344" s="238">
        <v>0.0</v>
      </c>
      <c r="I344" s="238">
        <v>0.0</v>
      </c>
      <c r="J344" s="238">
        <v>0.0</v>
      </c>
      <c r="K344" s="238">
        <v>0.0</v>
      </c>
      <c r="L344" s="238">
        <v>0.0</v>
      </c>
      <c r="M344" s="238">
        <v>0.0</v>
      </c>
      <c r="N344" s="238">
        <v>0.0</v>
      </c>
      <c r="O344" s="238">
        <v>0.0</v>
      </c>
      <c r="P344" s="238">
        <v>0.0</v>
      </c>
      <c r="Q344" s="238">
        <v>0.0</v>
      </c>
      <c r="R344" s="238">
        <v>0.0</v>
      </c>
      <c r="S344" s="238">
        <v>9.0</v>
      </c>
      <c r="T344" s="238">
        <v>0.0</v>
      </c>
      <c r="U344" s="235" t="s">
        <v>155</v>
      </c>
      <c r="V344" s="231"/>
    </row>
    <row r="345">
      <c r="A345" s="249">
        <v>46228.0</v>
      </c>
      <c r="B345" s="235" t="s">
        <v>1835</v>
      </c>
      <c r="C345" s="235" t="s">
        <v>215</v>
      </c>
      <c r="D345" s="235" t="s">
        <v>82</v>
      </c>
      <c r="E345" s="235" t="s">
        <v>889</v>
      </c>
      <c r="F345" s="235" t="s">
        <v>503</v>
      </c>
      <c r="G345" s="238">
        <v>23.0</v>
      </c>
      <c r="H345" s="238">
        <v>0.0</v>
      </c>
      <c r="I345" s="238">
        <v>0.0</v>
      </c>
      <c r="J345" s="238">
        <v>0.0</v>
      </c>
      <c r="K345" s="238">
        <v>0.0</v>
      </c>
      <c r="L345" s="238">
        <v>0.0</v>
      </c>
      <c r="M345" s="238">
        <v>0.0</v>
      </c>
      <c r="N345" s="238">
        <v>0.0</v>
      </c>
      <c r="O345" s="238">
        <v>0.0</v>
      </c>
      <c r="P345" s="238">
        <v>0.0</v>
      </c>
      <c r="Q345" s="238">
        <v>0.0</v>
      </c>
      <c r="R345" s="238">
        <v>0.0</v>
      </c>
      <c r="S345" s="238">
        <v>23.0</v>
      </c>
      <c r="T345" s="238">
        <v>0.0</v>
      </c>
      <c r="U345" s="235" t="s">
        <v>533</v>
      </c>
    </row>
    <row r="346">
      <c r="A346" s="249">
        <v>46228.0</v>
      </c>
      <c r="B346" s="235" t="s">
        <v>1835</v>
      </c>
      <c r="C346" s="235" t="s">
        <v>215</v>
      </c>
      <c r="D346" s="235" t="s">
        <v>82</v>
      </c>
      <c r="E346" s="235" t="s">
        <v>889</v>
      </c>
      <c r="F346" s="235" t="s">
        <v>503</v>
      </c>
      <c r="G346" s="238">
        <v>17.0</v>
      </c>
      <c r="H346" s="238">
        <v>0.0</v>
      </c>
      <c r="I346" s="238">
        <v>0.0</v>
      </c>
      <c r="J346" s="238">
        <v>0.0</v>
      </c>
      <c r="K346" s="238">
        <v>0.0</v>
      </c>
      <c r="L346" s="238">
        <v>0.0</v>
      </c>
      <c r="M346" s="238">
        <v>0.0</v>
      </c>
      <c r="N346" s="238">
        <v>0.0</v>
      </c>
      <c r="O346" s="238">
        <v>0.0</v>
      </c>
      <c r="P346" s="238">
        <v>0.0</v>
      </c>
      <c r="Q346" s="238">
        <v>0.0</v>
      </c>
      <c r="R346" s="238">
        <v>0.0</v>
      </c>
      <c r="S346" s="238">
        <v>17.0</v>
      </c>
      <c r="T346" s="238">
        <v>0.0</v>
      </c>
      <c r="U346" s="235" t="s">
        <v>13</v>
      </c>
      <c r="V346" s="238"/>
    </row>
    <row r="347">
      <c r="A347" s="249">
        <v>46228.0</v>
      </c>
      <c r="B347" s="235" t="s">
        <v>1835</v>
      </c>
      <c r="C347" s="235" t="s">
        <v>215</v>
      </c>
      <c r="D347" s="235" t="s">
        <v>82</v>
      </c>
      <c r="E347" s="235" t="s">
        <v>889</v>
      </c>
      <c r="F347" s="235" t="s">
        <v>503</v>
      </c>
      <c r="G347" s="238">
        <v>17.0</v>
      </c>
      <c r="H347" s="238">
        <v>0.0</v>
      </c>
      <c r="I347" s="238">
        <v>0.0</v>
      </c>
      <c r="J347" s="238">
        <v>0.0</v>
      </c>
      <c r="K347" s="238">
        <v>0.0</v>
      </c>
      <c r="L347" s="238">
        <v>0.0</v>
      </c>
      <c r="M347" s="238">
        <v>0.0</v>
      </c>
      <c r="N347" s="238">
        <v>0.0</v>
      </c>
      <c r="O347" s="238">
        <v>0.0</v>
      </c>
      <c r="P347" s="238">
        <v>0.0</v>
      </c>
      <c r="Q347" s="238">
        <v>0.0</v>
      </c>
      <c r="R347" s="238">
        <v>0.0</v>
      </c>
      <c r="S347" s="238">
        <v>17.0</v>
      </c>
      <c r="T347" s="238">
        <v>0.0</v>
      </c>
      <c r="U347" s="235" t="s">
        <v>14</v>
      </c>
      <c r="V347" s="238"/>
    </row>
    <row r="348">
      <c r="A348" s="249">
        <v>46228.0</v>
      </c>
      <c r="B348" s="235" t="s">
        <v>1835</v>
      </c>
      <c r="C348" s="235" t="s">
        <v>215</v>
      </c>
      <c r="D348" s="235" t="s">
        <v>82</v>
      </c>
      <c r="E348" s="235" t="s">
        <v>889</v>
      </c>
      <c r="F348" s="235" t="s">
        <v>503</v>
      </c>
      <c r="G348" s="238">
        <v>12.0</v>
      </c>
      <c r="H348" s="238">
        <v>0.0</v>
      </c>
      <c r="I348" s="238">
        <v>0.0</v>
      </c>
      <c r="J348" s="238">
        <v>0.0</v>
      </c>
      <c r="K348" s="238">
        <v>0.0</v>
      </c>
      <c r="L348" s="238">
        <v>0.0</v>
      </c>
      <c r="M348" s="238">
        <v>0.0</v>
      </c>
      <c r="N348" s="238">
        <v>0.0</v>
      </c>
      <c r="O348" s="238">
        <v>0.0</v>
      </c>
      <c r="P348" s="238">
        <v>0.0</v>
      </c>
      <c r="Q348" s="238">
        <v>0.0</v>
      </c>
      <c r="R348" s="238">
        <v>0.0</v>
      </c>
      <c r="S348" s="238">
        <v>12.0</v>
      </c>
      <c r="T348" s="238">
        <v>0.0</v>
      </c>
      <c r="U348" s="235" t="s">
        <v>18</v>
      </c>
      <c r="V348" s="238"/>
    </row>
    <row r="349">
      <c r="A349" s="249">
        <v>46228.0</v>
      </c>
      <c r="B349" s="235" t="s">
        <v>1835</v>
      </c>
      <c r="C349" s="235" t="s">
        <v>215</v>
      </c>
      <c r="D349" s="235" t="s">
        <v>82</v>
      </c>
      <c r="E349" s="235" t="s">
        <v>889</v>
      </c>
      <c r="F349" s="235" t="s">
        <v>503</v>
      </c>
      <c r="G349" s="238">
        <v>39.0</v>
      </c>
      <c r="H349" s="238">
        <v>0.0</v>
      </c>
      <c r="I349" s="238">
        <v>0.0</v>
      </c>
      <c r="J349" s="238">
        <v>0.0</v>
      </c>
      <c r="K349" s="238">
        <v>0.0</v>
      </c>
      <c r="L349" s="238">
        <v>0.0</v>
      </c>
      <c r="M349" s="238">
        <v>0.0</v>
      </c>
      <c r="N349" s="238">
        <v>0.0</v>
      </c>
      <c r="O349" s="238">
        <v>0.0</v>
      </c>
      <c r="P349" s="238">
        <v>0.0</v>
      </c>
      <c r="Q349" s="238">
        <v>0.0</v>
      </c>
      <c r="R349" s="238">
        <v>0.0</v>
      </c>
      <c r="S349" s="238">
        <v>39.0</v>
      </c>
      <c r="T349" s="238">
        <v>0.0</v>
      </c>
      <c r="U349" s="235" t="s">
        <v>20</v>
      </c>
    </row>
    <row r="350">
      <c r="A350" s="249">
        <v>46228.0</v>
      </c>
      <c r="B350" s="235" t="s">
        <v>1835</v>
      </c>
      <c r="C350" s="235" t="s">
        <v>215</v>
      </c>
      <c r="D350" s="235" t="s">
        <v>82</v>
      </c>
      <c r="E350" s="235" t="s">
        <v>889</v>
      </c>
      <c r="F350" s="235" t="s">
        <v>503</v>
      </c>
      <c r="G350" s="238">
        <v>20.0</v>
      </c>
      <c r="H350" s="238">
        <v>0.0</v>
      </c>
      <c r="I350" s="238">
        <v>0.0</v>
      </c>
      <c r="J350" s="238">
        <v>-2.0</v>
      </c>
      <c r="K350" s="238">
        <v>0.0</v>
      </c>
      <c r="L350" s="238">
        <v>0.0</v>
      </c>
      <c r="M350" s="238">
        <v>0.0</v>
      </c>
      <c r="N350" s="238">
        <v>0.0</v>
      </c>
      <c r="O350" s="238">
        <v>0.0</v>
      </c>
      <c r="P350" s="238">
        <v>0.0</v>
      </c>
      <c r="Q350" s="238">
        <v>0.0</v>
      </c>
      <c r="R350" s="238">
        <v>0.0</v>
      </c>
      <c r="S350" s="238">
        <v>18.0</v>
      </c>
      <c r="T350" s="238">
        <v>0.0</v>
      </c>
      <c r="U350" s="235" t="s">
        <v>156</v>
      </c>
    </row>
    <row r="351">
      <c r="A351" s="249">
        <v>46228.0</v>
      </c>
      <c r="B351" s="235" t="s">
        <v>1835</v>
      </c>
      <c r="C351" s="235" t="s">
        <v>215</v>
      </c>
      <c r="D351" s="235" t="s">
        <v>82</v>
      </c>
      <c r="E351" s="235" t="s">
        <v>889</v>
      </c>
      <c r="F351" s="235" t="s">
        <v>503</v>
      </c>
      <c r="G351" s="238">
        <v>11.0</v>
      </c>
      <c r="H351" s="238">
        <v>0.0</v>
      </c>
      <c r="I351" s="238">
        <v>0.0</v>
      </c>
      <c r="J351" s="238">
        <v>-1.0</v>
      </c>
      <c r="K351" s="238">
        <v>0.0</v>
      </c>
      <c r="L351" s="238">
        <v>0.0</v>
      </c>
      <c r="M351" s="238">
        <v>0.0</v>
      </c>
      <c r="N351" s="238">
        <v>0.0</v>
      </c>
      <c r="O351" s="238">
        <v>0.0</v>
      </c>
      <c r="P351" s="238">
        <v>0.0</v>
      </c>
      <c r="Q351" s="238">
        <v>0.0</v>
      </c>
      <c r="R351" s="238">
        <v>0.0</v>
      </c>
      <c r="S351" s="238">
        <v>10.0</v>
      </c>
      <c r="T351" s="238">
        <v>0.0</v>
      </c>
      <c r="U351" s="235" t="s">
        <v>546</v>
      </c>
    </row>
    <row r="352">
      <c r="A352" s="249">
        <v>46228.0</v>
      </c>
      <c r="B352" s="235" t="s">
        <v>1899</v>
      </c>
      <c r="C352" s="235" t="s">
        <v>278</v>
      </c>
      <c r="D352" s="235" t="s">
        <v>90</v>
      </c>
      <c r="E352" s="235" t="s">
        <v>279</v>
      </c>
      <c r="F352" s="235" t="s">
        <v>503</v>
      </c>
      <c r="G352" s="238">
        <v>1.0</v>
      </c>
      <c r="H352" s="238">
        <v>0.0</v>
      </c>
      <c r="I352" s="238">
        <v>0.0</v>
      </c>
      <c r="J352" s="238">
        <v>0.0</v>
      </c>
      <c r="K352" s="238">
        <v>0.0</v>
      </c>
      <c r="L352" s="238">
        <v>0.0</v>
      </c>
      <c r="M352" s="238">
        <v>0.0</v>
      </c>
      <c r="N352" s="238">
        <v>0.0</v>
      </c>
      <c r="O352" s="238">
        <v>0.0</v>
      </c>
      <c r="P352" s="238">
        <v>0.0</v>
      </c>
      <c r="Q352" s="238">
        <v>0.0</v>
      </c>
      <c r="R352" s="238">
        <v>0.0</v>
      </c>
      <c r="S352" s="238">
        <v>1.0</v>
      </c>
      <c r="T352" s="238">
        <v>0.0</v>
      </c>
      <c r="U352" s="235" t="s">
        <v>5</v>
      </c>
    </row>
    <row r="353">
      <c r="A353" s="249">
        <v>46228.0</v>
      </c>
      <c r="B353" s="235" t="s">
        <v>1899</v>
      </c>
      <c r="C353" s="235" t="s">
        <v>278</v>
      </c>
      <c r="D353" s="235" t="s">
        <v>90</v>
      </c>
      <c r="E353" s="235" t="s">
        <v>279</v>
      </c>
      <c r="F353" s="235" t="s">
        <v>503</v>
      </c>
      <c r="G353" s="238">
        <v>0.0</v>
      </c>
      <c r="H353" s="238">
        <v>8.0</v>
      </c>
      <c r="I353" s="238">
        <v>0.0</v>
      </c>
      <c r="J353" s="238">
        <v>0.0</v>
      </c>
      <c r="K353" s="238">
        <v>0.0</v>
      </c>
      <c r="L353" s="238">
        <v>0.0</v>
      </c>
      <c r="M353" s="238">
        <v>0.0</v>
      </c>
      <c r="N353" s="238">
        <v>0.0</v>
      </c>
      <c r="O353" s="238">
        <v>0.0</v>
      </c>
      <c r="P353" s="238">
        <v>0.0</v>
      </c>
      <c r="Q353" s="238">
        <v>0.0</v>
      </c>
      <c r="R353" s="238">
        <v>0.0</v>
      </c>
      <c r="S353" s="238">
        <v>0.0</v>
      </c>
      <c r="T353" s="238">
        <v>0.0</v>
      </c>
      <c r="U353" s="235" t="s">
        <v>596</v>
      </c>
      <c r="V353" s="231"/>
    </row>
    <row r="354">
      <c r="A354" s="249">
        <v>46228.0</v>
      </c>
      <c r="B354" s="235" t="s">
        <v>1899</v>
      </c>
      <c r="C354" s="235" t="s">
        <v>278</v>
      </c>
      <c r="D354" s="235" t="s">
        <v>90</v>
      </c>
      <c r="E354" s="235" t="s">
        <v>279</v>
      </c>
      <c r="F354" s="235" t="s">
        <v>503</v>
      </c>
      <c r="G354" s="238">
        <v>4.0</v>
      </c>
      <c r="H354" s="238">
        <v>0.0</v>
      </c>
      <c r="I354" s="238">
        <v>0.0</v>
      </c>
      <c r="J354" s="238">
        <v>0.0</v>
      </c>
      <c r="K354" s="238">
        <v>0.0</v>
      </c>
      <c r="L354" s="238">
        <v>0.0</v>
      </c>
      <c r="M354" s="238">
        <v>0.0</v>
      </c>
      <c r="N354" s="238">
        <v>0.0</v>
      </c>
      <c r="O354" s="238">
        <v>0.0</v>
      </c>
      <c r="P354" s="238">
        <v>0.0</v>
      </c>
      <c r="Q354" s="238">
        <v>0.0</v>
      </c>
      <c r="R354" s="238">
        <v>0.0</v>
      </c>
      <c r="S354" s="238">
        <v>4.0</v>
      </c>
      <c r="T354" s="238">
        <v>0.0</v>
      </c>
      <c r="U354" s="235" t="s">
        <v>9</v>
      </c>
      <c r="V354" s="231"/>
    </row>
    <row r="355">
      <c r="A355" s="249">
        <v>46228.0</v>
      </c>
      <c r="B355" s="235" t="s">
        <v>1899</v>
      </c>
      <c r="C355" s="235" t="s">
        <v>278</v>
      </c>
      <c r="D355" s="235" t="s">
        <v>90</v>
      </c>
      <c r="E355" s="235" t="s">
        <v>279</v>
      </c>
      <c r="F355" s="235" t="s">
        <v>503</v>
      </c>
      <c r="G355" s="238">
        <v>6.0</v>
      </c>
      <c r="H355" s="238">
        <v>0.0</v>
      </c>
      <c r="I355" s="238">
        <v>0.0</v>
      </c>
      <c r="J355" s="238">
        <v>-1.0</v>
      </c>
      <c r="K355" s="238">
        <v>0.0</v>
      </c>
      <c r="L355" s="238">
        <v>0.0</v>
      </c>
      <c r="M355" s="238">
        <v>0.0</v>
      </c>
      <c r="N355" s="238">
        <v>0.0</v>
      </c>
      <c r="O355" s="238">
        <v>0.0</v>
      </c>
      <c r="P355" s="238">
        <v>0.0</v>
      </c>
      <c r="Q355" s="238">
        <v>0.0</v>
      </c>
      <c r="R355" s="238">
        <v>0.0</v>
      </c>
      <c r="S355" s="238">
        <v>5.0</v>
      </c>
      <c r="T355" s="238">
        <v>0.0</v>
      </c>
      <c r="U355" s="235" t="s">
        <v>11</v>
      </c>
    </row>
    <row r="356">
      <c r="A356" s="249">
        <v>46228.0</v>
      </c>
      <c r="B356" s="235" t="s">
        <v>1899</v>
      </c>
      <c r="C356" s="235" t="s">
        <v>278</v>
      </c>
      <c r="D356" s="235" t="s">
        <v>90</v>
      </c>
      <c r="E356" s="235" t="s">
        <v>279</v>
      </c>
      <c r="F356" s="235" t="s">
        <v>503</v>
      </c>
      <c r="G356" s="238">
        <v>3.0</v>
      </c>
      <c r="H356" s="238">
        <v>0.0</v>
      </c>
      <c r="I356" s="238">
        <v>0.0</v>
      </c>
      <c r="J356" s="238">
        <v>0.0</v>
      </c>
      <c r="K356" s="238">
        <v>0.0</v>
      </c>
      <c r="L356" s="238">
        <v>0.0</v>
      </c>
      <c r="M356" s="238">
        <v>6.0</v>
      </c>
      <c r="N356" s="238">
        <v>0.0</v>
      </c>
      <c r="O356" s="238">
        <v>0.0</v>
      </c>
      <c r="P356" s="238">
        <v>0.0</v>
      </c>
      <c r="Q356" s="238">
        <v>0.0</v>
      </c>
      <c r="R356" s="238">
        <v>0.0</v>
      </c>
      <c r="S356" s="238">
        <v>9.0</v>
      </c>
      <c r="T356" s="238">
        <v>0.0</v>
      </c>
      <c r="U356" s="235" t="s">
        <v>16</v>
      </c>
      <c r="V356" s="238"/>
    </row>
    <row r="357">
      <c r="A357" s="249">
        <v>46228.0</v>
      </c>
      <c r="B357" s="235" t="s">
        <v>1899</v>
      </c>
      <c r="C357" s="235" t="s">
        <v>278</v>
      </c>
      <c r="D357" s="235" t="s">
        <v>90</v>
      </c>
      <c r="E357" s="235" t="s">
        <v>279</v>
      </c>
      <c r="F357" s="235" t="s">
        <v>503</v>
      </c>
      <c r="G357" s="238">
        <v>5.0</v>
      </c>
      <c r="H357" s="238">
        <v>0.0</v>
      </c>
      <c r="I357" s="238">
        <v>0.0</v>
      </c>
      <c r="J357" s="238">
        <v>0.0</v>
      </c>
      <c r="K357" s="238">
        <v>0.0</v>
      </c>
      <c r="L357" s="238">
        <v>0.0</v>
      </c>
      <c r="M357" s="238">
        <v>0.0</v>
      </c>
      <c r="N357" s="238">
        <v>0.0</v>
      </c>
      <c r="O357" s="238">
        <v>0.0</v>
      </c>
      <c r="P357" s="238">
        <v>0.0</v>
      </c>
      <c r="Q357" s="238">
        <v>0.0</v>
      </c>
      <c r="R357" s="238">
        <v>0.0</v>
      </c>
      <c r="S357" s="238">
        <v>5.0</v>
      </c>
      <c r="T357" s="238">
        <v>0.0</v>
      </c>
      <c r="U357" s="235" t="s">
        <v>17</v>
      </c>
    </row>
    <row r="358">
      <c r="A358" s="249">
        <v>46228.0</v>
      </c>
      <c r="B358" s="235" t="s">
        <v>1899</v>
      </c>
      <c r="C358" s="235" t="s">
        <v>278</v>
      </c>
      <c r="D358" s="235" t="s">
        <v>90</v>
      </c>
      <c r="E358" s="235" t="s">
        <v>279</v>
      </c>
      <c r="F358" s="235" t="s">
        <v>503</v>
      </c>
      <c r="G358" s="238">
        <v>2.0</v>
      </c>
      <c r="H358" s="238">
        <v>0.0</v>
      </c>
      <c r="I358" s="238">
        <v>0.0</v>
      </c>
      <c r="J358" s="238">
        <v>0.0</v>
      </c>
      <c r="K358" s="238">
        <v>0.0</v>
      </c>
      <c r="L358" s="238">
        <v>0.0</v>
      </c>
      <c r="M358" s="238">
        <v>0.0</v>
      </c>
      <c r="N358" s="238">
        <v>0.0</v>
      </c>
      <c r="O358" s="238">
        <v>0.0</v>
      </c>
      <c r="P358" s="238">
        <v>0.0</v>
      </c>
      <c r="Q358" s="238">
        <v>0.0</v>
      </c>
      <c r="R358" s="238">
        <v>0.0</v>
      </c>
      <c r="S358" s="238">
        <v>2.0</v>
      </c>
      <c r="T358" s="238">
        <v>0.0</v>
      </c>
      <c r="U358" s="235" t="s">
        <v>155</v>
      </c>
    </row>
    <row r="359">
      <c r="A359" s="249">
        <v>46228.0</v>
      </c>
      <c r="B359" s="235" t="s">
        <v>1899</v>
      </c>
      <c r="C359" s="235" t="s">
        <v>278</v>
      </c>
      <c r="D359" s="235" t="s">
        <v>90</v>
      </c>
      <c r="E359" s="235" t="s">
        <v>279</v>
      </c>
      <c r="F359" s="235" t="s">
        <v>503</v>
      </c>
      <c r="G359" s="238">
        <v>8.0</v>
      </c>
      <c r="H359" s="238">
        <v>0.0</v>
      </c>
      <c r="I359" s="238">
        <v>0.0</v>
      </c>
      <c r="J359" s="238">
        <v>0.0</v>
      </c>
      <c r="K359" s="238">
        <v>0.0</v>
      </c>
      <c r="L359" s="238">
        <v>0.0</v>
      </c>
      <c r="M359" s="238">
        <v>0.0</v>
      </c>
      <c r="N359" s="238">
        <v>0.0</v>
      </c>
      <c r="O359" s="238">
        <v>0.0</v>
      </c>
      <c r="P359" s="238">
        <v>0.0</v>
      </c>
      <c r="Q359" s="238">
        <v>0.0</v>
      </c>
      <c r="R359" s="238">
        <v>0.0</v>
      </c>
      <c r="S359" s="238">
        <v>8.0</v>
      </c>
      <c r="T359" s="238">
        <v>0.0</v>
      </c>
      <c r="U359" s="235" t="s">
        <v>533</v>
      </c>
    </row>
    <row r="360">
      <c r="A360" s="249">
        <v>46228.0</v>
      </c>
      <c r="B360" s="235" t="s">
        <v>1899</v>
      </c>
      <c r="C360" s="235" t="s">
        <v>278</v>
      </c>
      <c r="D360" s="235" t="s">
        <v>90</v>
      </c>
      <c r="E360" s="235" t="s">
        <v>279</v>
      </c>
      <c r="F360" s="235" t="s">
        <v>503</v>
      </c>
      <c r="G360" s="238">
        <v>5.0</v>
      </c>
      <c r="H360" s="238">
        <v>0.0</v>
      </c>
      <c r="I360" s="238">
        <v>0.0</v>
      </c>
      <c r="J360" s="238">
        <v>-2.0</v>
      </c>
      <c r="K360" s="238">
        <v>0.0</v>
      </c>
      <c r="L360" s="238">
        <v>0.0</v>
      </c>
      <c r="M360" s="238">
        <v>0.0</v>
      </c>
      <c r="N360" s="238">
        <v>0.0</v>
      </c>
      <c r="O360" s="238">
        <v>0.0</v>
      </c>
      <c r="P360" s="238">
        <v>0.0</v>
      </c>
      <c r="Q360" s="238">
        <v>0.0</v>
      </c>
      <c r="R360" s="238">
        <v>0.0</v>
      </c>
      <c r="S360" s="238">
        <v>3.0</v>
      </c>
      <c r="T360" s="238">
        <v>0.0</v>
      </c>
      <c r="U360" s="235" t="s">
        <v>13</v>
      </c>
    </row>
    <row r="361">
      <c r="A361" s="249">
        <v>46228.0</v>
      </c>
      <c r="B361" s="235" t="s">
        <v>1899</v>
      </c>
      <c r="C361" s="235" t="s">
        <v>278</v>
      </c>
      <c r="D361" s="235" t="s">
        <v>90</v>
      </c>
      <c r="E361" s="235" t="s">
        <v>279</v>
      </c>
      <c r="F361" s="235" t="s">
        <v>503</v>
      </c>
      <c r="G361" s="238">
        <v>8.0</v>
      </c>
      <c r="H361" s="238">
        <v>0.0</v>
      </c>
      <c r="I361" s="238">
        <v>0.0</v>
      </c>
      <c r="J361" s="238">
        <v>0.0</v>
      </c>
      <c r="K361" s="238">
        <v>0.0</v>
      </c>
      <c r="L361" s="238">
        <v>0.0</v>
      </c>
      <c r="M361" s="238">
        <v>0.0</v>
      </c>
      <c r="N361" s="238">
        <v>0.0</v>
      </c>
      <c r="O361" s="238">
        <v>0.0</v>
      </c>
      <c r="P361" s="238">
        <v>0.0</v>
      </c>
      <c r="Q361" s="238">
        <v>0.0</v>
      </c>
      <c r="R361" s="238">
        <v>0.0</v>
      </c>
      <c r="S361" s="238">
        <v>8.0</v>
      </c>
      <c r="T361" s="238">
        <v>0.0</v>
      </c>
      <c r="U361" s="235" t="s">
        <v>14</v>
      </c>
    </row>
    <row r="362">
      <c r="A362" s="249">
        <v>46228.0</v>
      </c>
      <c r="B362" s="235" t="s">
        <v>1899</v>
      </c>
      <c r="C362" s="235" t="s">
        <v>278</v>
      </c>
      <c r="D362" s="235" t="s">
        <v>90</v>
      </c>
      <c r="E362" s="235" t="s">
        <v>279</v>
      </c>
      <c r="F362" s="235" t="s">
        <v>503</v>
      </c>
      <c r="G362" s="238">
        <v>11.0</v>
      </c>
      <c r="H362" s="238">
        <v>0.0</v>
      </c>
      <c r="I362" s="238">
        <v>0.0</v>
      </c>
      <c r="J362" s="238">
        <v>0.0</v>
      </c>
      <c r="K362" s="238">
        <v>0.0</v>
      </c>
      <c r="L362" s="238">
        <v>0.0</v>
      </c>
      <c r="M362" s="238">
        <v>0.0</v>
      </c>
      <c r="N362" s="238">
        <v>0.0</v>
      </c>
      <c r="O362" s="238">
        <v>0.0</v>
      </c>
      <c r="P362" s="238">
        <v>0.0</v>
      </c>
      <c r="Q362" s="238">
        <v>0.0</v>
      </c>
      <c r="R362" s="238">
        <v>0.0</v>
      </c>
      <c r="S362" s="238">
        <v>11.0</v>
      </c>
      <c r="T362" s="238">
        <v>0.0</v>
      </c>
      <c r="U362" s="235" t="s">
        <v>18</v>
      </c>
    </row>
    <row r="363">
      <c r="A363" s="249">
        <v>46228.0</v>
      </c>
      <c r="B363" s="235" t="s">
        <v>1899</v>
      </c>
      <c r="C363" s="235" t="s">
        <v>278</v>
      </c>
      <c r="D363" s="235" t="s">
        <v>90</v>
      </c>
      <c r="E363" s="235" t="s">
        <v>279</v>
      </c>
      <c r="F363" s="235" t="s">
        <v>503</v>
      </c>
      <c r="G363" s="238">
        <v>7.0</v>
      </c>
      <c r="H363" s="238">
        <v>0.0</v>
      </c>
      <c r="I363" s="238">
        <v>0.0</v>
      </c>
      <c r="J363" s="238">
        <v>0.0</v>
      </c>
      <c r="K363" s="238">
        <v>0.0</v>
      </c>
      <c r="L363" s="238">
        <v>0.0</v>
      </c>
      <c r="M363" s="238">
        <v>0.0</v>
      </c>
      <c r="N363" s="238">
        <v>0.0</v>
      </c>
      <c r="O363" s="238">
        <v>0.0</v>
      </c>
      <c r="P363" s="238">
        <v>0.0</v>
      </c>
      <c r="Q363" s="238">
        <v>0.0</v>
      </c>
      <c r="R363" s="238">
        <v>0.0</v>
      </c>
      <c r="S363" s="238">
        <v>7.0</v>
      </c>
      <c r="T363" s="238">
        <v>0.0</v>
      </c>
      <c r="U363" s="235" t="s">
        <v>20</v>
      </c>
    </row>
    <row r="364">
      <c r="A364" s="249">
        <v>46228.0</v>
      </c>
      <c r="B364" s="235" t="s">
        <v>1899</v>
      </c>
      <c r="C364" s="235" t="s">
        <v>278</v>
      </c>
      <c r="D364" s="235" t="s">
        <v>90</v>
      </c>
      <c r="E364" s="235" t="s">
        <v>279</v>
      </c>
      <c r="F364" s="235" t="s">
        <v>503</v>
      </c>
      <c r="G364" s="238">
        <v>19.0</v>
      </c>
      <c r="H364" s="238">
        <v>0.0</v>
      </c>
      <c r="I364" s="238">
        <v>0.0</v>
      </c>
      <c r="J364" s="238">
        <v>0.0</v>
      </c>
      <c r="K364" s="238">
        <v>0.0</v>
      </c>
      <c r="L364" s="238">
        <v>0.0</v>
      </c>
      <c r="M364" s="238">
        <v>0.0</v>
      </c>
      <c r="N364" s="238">
        <v>0.0</v>
      </c>
      <c r="O364" s="238">
        <v>0.0</v>
      </c>
      <c r="P364" s="238">
        <v>0.0</v>
      </c>
      <c r="Q364" s="238">
        <v>0.0</v>
      </c>
      <c r="R364" s="238">
        <v>0.0</v>
      </c>
      <c r="S364" s="238">
        <v>19.0</v>
      </c>
      <c r="T364" s="238">
        <v>0.0</v>
      </c>
      <c r="U364" s="235" t="s">
        <v>156</v>
      </c>
    </row>
    <row r="365">
      <c r="A365" s="249">
        <v>46228.0</v>
      </c>
      <c r="B365" s="235" t="s">
        <v>1899</v>
      </c>
      <c r="C365" s="235" t="s">
        <v>278</v>
      </c>
      <c r="D365" s="235" t="s">
        <v>90</v>
      </c>
      <c r="E365" s="235" t="s">
        <v>279</v>
      </c>
      <c r="F365" s="235" t="s">
        <v>503</v>
      </c>
      <c r="G365" s="238">
        <v>16.0</v>
      </c>
      <c r="H365" s="238">
        <v>0.0</v>
      </c>
      <c r="I365" s="238">
        <v>0.0</v>
      </c>
      <c r="J365" s="238">
        <v>-1.0</v>
      </c>
      <c r="K365" s="238">
        <v>0.0</v>
      </c>
      <c r="L365" s="238">
        <v>0.0</v>
      </c>
      <c r="M365" s="238">
        <v>0.0</v>
      </c>
      <c r="N365" s="238">
        <v>0.0</v>
      </c>
      <c r="O365" s="238">
        <v>0.0</v>
      </c>
      <c r="P365" s="238">
        <v>0.0</v>
      </c>
      <c r="Q365" s="238">
        <v>0.0</v>
      </c>
      <c r="R365" s="238">
        <v>0.0</v>
      </c>
      <c r="S365" s="238">
        <v>15.0</v>
      </c>
      <c r="T365" s="238">
        <v>0.0</v>
      </c>
      <c r="U365" s="235" t="s">
        <v>546</v>
      </c>
    </row>
    <row r="366">
      <c r="A366" s="237">
        <v>46228.0</v>
      </c>
      <c r="B366" s="235" t="s">
        <v>1943</v>
      </c>
      <c r="C366" s="235" t="s">
        <v>247</v>
      </c>
      <c r="D366" s="235" t="s">
        <v>92</v>
      </c>
      <c r="E366" s="235" t="s">
        <v>248</v>
      </c>
      <c r="F366" s="235" t="s">
        <v>503</v>
      </c>
      <c r="G366" s="238">
        <v>0.0</v>
      </c>
      <c r="H366" s="238">
        <v>14.0</v>
      </c>
      <c r="I366" s="238">
        <v>0.0</v>
      </c>
      <c r="J366" s="238">
        <v>0.0</v>
      </c>
      <c r="K366" s="238">
        <v>0.0</v>
      </c>
      <c r="L366" s="238">
        <v>0.0</v>
      </c>
      <c r="M366" s="238">
        <v>0.0</v>
      </c>
      <c r="N366" s="238">
        <v>0.0</v>
      </c>
      <c r="O366" s="238">
        <v>0.0</v>
      </c>
      <c r="P366" s="238">
        <v>0.0</v>
      </c>
      <c r="Q366" s="238">
        <v>0.0</v>
      </c>
      <c r="R366" s="238">
        <v>0.0</v>
      </c>
      <c r="S366" s="238">
        <v>0.0</v>
      </c>
      <c r="T366" s="238">
        <v>0.0</v>
      </c>
      <c r="U366" s="235" t="s">
        <v>596</v>
      </c>
    </row>
    <row r="367">
      <c r="A367" s="237">
        <v>46228.0</v>
      </c>
      <c r="B367" s="235" t="s">
        <v>1943</v>
      </c>
      <c r="C367" s="235" t="s">
        <v>247</v>
      </c>
      <c r="D367" s="235" t="s">
        <v>92</v>
      </c>
      <c r="E367" s="235" t="s">
        <v>248</v>
      </c>
      <c r="F367" s="235" t="s">
        <v>503</v>
      </c>
      <c r="G367" s="238">
        <v>7.0</v>
      </c>
      <c r="H367" s="238">
        <v>0.0</v>
      </c>
      <c r="I367" s="238">
        <v>0.0</v>
      </c>
      <c r="J367" s="238">
        <v>-1.0</v>
      </c>
      <c r="K367" s="238">
        <v>0.0</v>
      </c>
      <c r="L367" s="238">
        <v>0.0</v>
      </c>
      <c r="M367" s="238">
        <v>0.0</v>
      </c>
      <c r="N367" s="238">
        <v>0.0</v>
      </c>
      <c r="O367" s="238">
        <v>0.0</v>
      </c>
      <c r="P367" s="238">
        <v>0.0</v>
      </c>
      <c r="Q367" s="238">
        <v>0.0</v>
      </c>
      <c r="R367" s="238">
        <v>0.0</v>
      </c>
      <c r="S367" s="238">
        <v>6.0</v>
      </c>
      <c r="T367" s="238">
        <v>0.0</v>
      </c>
      <c r="U367" s="235" t="s">
        <v>9</v>
      </c>
    </row>
    <row r="368">
      <c r="A368" s="237">
        <v>46228.0</v>
      </c>
      <c r="B368" s="235" t="s">
        <v>1943</v>
      </c>
      <c r="C368" s="235" t="s">
        <v>247</v>
      </c>
      <c r="D368" s="235" t="s">
        <v>92</v>
      </c>
      <c r="E368" s="235" t="s">
        <v>248</v>
      </c>
      <c r="F368" s="235" t="s">
        <v>503</v>
      </c>
      <c r="G368" s="238">
        <v>7.0</v>
      </c>
      <c r="H368" s="238">
        <v>0.0</v>
      </c>
      <c r="I368" s="238">
        <v>0.0</v>
      </c>
      <c r="J368" s="238">
        <v>-1.0</v>
      </c>
      <c r="K368" s="238">
        <v>0.0</v>
      </c>
      <c r="L368" s="238">
        <v>0.0</v>
      </c>
      <c r="M368" s="238">
        <v>0.0</v>
      </c>
      <c r="N368" s="238">
        <v>0.0</v>
      </c>
      <c r="O368" s="238">
        <v>0.0</v>
      </c>
      <c r="P368" s="238">
        <v>0.0</v>
      </c>
      <c r="Q368" s="238">
        <v>0.0</v>
      </c>
      <c r="R368" s="238">
        <v>0.0</v>
      </c>
      <c r="S368" s="238">
        <v>6.0</v>
      </c>
      <c r="T368" s="238">
        <v>0.0</v>
      </c>
      <c r="U368" s="235" t="s">
        <v>11</v>
      </c>
    </row>
    <row r="369">
      <c r="A369" s="237">
        <v>46228.0</v>
      </c>
      <c r="B369" s="235" t="s">
        <v>1943</v>
      </c>
      <c r="C369" s="235" t="s">
        <v>247</v>
      </c>
      <c r="D369" s="235" t="s">
        <v>92</v>
      </c>
      <c r="E369" s="235" t="s">
        <v>248</v>
      </c>
      <c r="F369" s="235" t="s">
        <v>503</v>
      </c>
      <c r="G369" s="238">
        <v>5.0</v>
      </c>
      <c r="H369" s="238">
        <v>0.0</v>
      </c>
      <c r="I369" s="238">
        <v>0.0</v>
      </c>
      <c r="J369" s="238">
        <v>-1.0</v>
      </c>
      <c r="K369" s="238">
        <v>0.0</v>
      </c>
      <c r="L369" s="238">
        <v>0.0</v>
      </c>
      <c r="M369" s="238">
        <v>0.0</v>
      </c>
      <c r="N369" s="238">
        <v>0.0</v>
      </c>
      <c r="O369" s="238">
        <v>0.0</v>
      </c>
      <c r="P369" s="238">
        <v>0.0</v>
      </c>
      <c r="Q369" s="238">
        <v>0.0</v>
      </c>
      <c r="R369" s="238">
        <v>0.0</v>
      </c>
      <c r="S369" s="238">
        <v>4.0</v>
      </c>
      <c r="T369" s="238">
        <v>0.0</v>
      </c>
      <c r="U369" s="235" t="s">
        <v>16</v>
      </c>
    </row>
    <row r="370">
      <c r="A370" s="237">
        <v>46228.0</v>
      </c>
      <c r="B370" s="235" t="s">
        <v>1943</v>
      </c>
      <c r="C370" s="235" t="s">
        <v>247</v>
      </c>
      <c r="D370" s="235" t="s">
        <v>92</v>
      </c>
      <c r="E370" s="235" t="s">
        <v>248</v>
      </c>
      <c r="F370" s="235" t="s">
        <v>503</v>
      </c>
      <c r="G370" s="238">
        <v>4.0</v>
      </c>
      <c r="H370" s="238">
        <v>0.0</v>
      </c>
      <c r="I370" s="238">
        <v>0.0</v>
      </c>
      <c r="J370" s="238">
        <v>0.0</v>
      </c>
      <c r="K370" s="238">
        <v>0.0</v>
      </c>
      <c r="L370" s="238">
        <v>0.0</v>
      </c>
      <c r="M370" s="238">
        <v>0.0</v>
      </c>
      <c r="N370" s="238">
        <v>0.0</v>
      </c>
      <c r="O370" s="238">
        <v>0.0</v>
      </c>
      <c r="P370" s="238">
        <v>0.0</v>
      </c>
      <c r="Q370" s="238">
        <v>0.0</v>
      </c>
      <c r="R370" s="238">
        <v>0.0</v>
      </c>
      <c r="S370" s="238">
        <v>4.0</v>
      </c>
      <c r="T370" s="238">
        <v>0.0</v>
      </c>
      <c r="U370" s="235" t="s">
        <v>17</v>
      </c>
    </row>
    <row r="371">
      <c r="A371" s="237">
        <v>46228.0</v>
      </c>
      <c r="B371" s="235" t="s">
        <v>1943</v>
      </c>
      <c r="C371" s="235" t="s">
        <v>247</v>
      </c>
      <c r="D371" s="235" t="s">
        <v>92</v>
      </c>
      <c r="E371" s="235" t="s">
        <v>248</v>
      </c>
      <c r="F371" s="235" t="s">
        <v>503</v>
      </c>
      <c r="G371" s="238">
        <v>3.0</v>
      </c>
      <c r="H371" s="238">
        <v>0.0</v>
      </c>
      <c r="I371" s="238">
        <v>0.0</v>
      </c>
      <c r="J371" s="238">
        <v>-1.0</v>
      </c>
      <c r="K371" s="238">
        <v>0.0</v>
      </c>
      <c r="L371" s="238">
        <v>0.0</v>
      </c>
      <c r="M371" s="238">
        <v>0.0</v>
      </c>
      <c r="N371" s="238">
        <v>0.0</v>
      </c>
      <c r="O371" s="238">
        <v>0.0</v>
      </c>
      <c r="P371" s="238">
        <v>0.0</v>
      </c>
      <c r="Q371" s="238">
        <v>0.0</v>
      </c>
      <c r="R371" s="238">
        <v>0.0</v>
      </c>
      <c r="S371" s="238">
        <v>2.0</v>
      </c>
      <c r="T371" s="238">
        <v>0.0</v>
      </c>
      <c r="U371" s="235" t="s">
        <v>155</v>
      </c>
    </row>
    <row r="372">
      <c r="A372" s="237">
        <v>46228.0</v>
      </c>
      <c r="B372" s="235" t="s">
        <v>1943</v>
      </c>
      <c r="C372" s="235" t="s">
        <v>247</v>
      </c>
      <c r="D372" s="235" t="s">
        <v>92</v>
      </c>
      <c r="E372" s="235" t="s">
        <v>248</v>
      </c>
      <c r="F372" s="235" t="s">
        <v>503</v>
      </c>
      <c r="G372" s="238">
        <v>12.0</v>
      </c>
      <c r="H372" s="238">
        <v>0.0</v>
      </c>
      <c r="I372" s="238">
        <v>0.0</v>
      </c>
      <c r="J372" s="238">
        <v>-1.0</v>
      </c>
      <c r="K372" s="238">
        <v>0.0</v>
      </c>
      <c r="L372" s="238">
        <v>0.0</v>
      </c>
      <c r="M372" s="238">
        <v>0.0</v>
      </c>
      <c r="N372" s="238">
        <v>0.0</v>
      </c>
      <c r="O372" s="238">
        <v>0.0</v>
      </c>
      <c r="P372" s="238">
        <v>0.0</v>
      </c>
      <c r="Q372" s="238">
        <v>0.0</v>
      </c>
      <c r="R372" s="238">
        <v>0.0</v>
      </c>
      <c r="S372" s="238">
        <v>11.0</v>
      </c>
      <c r="T372" s="238">
        <v>0.0</v>
      </c>
      <c r="U372" s="235" t="s">
        <v>533</v>
      </c>
    </row>
    <row r="373">
      <c r="A373" s="237">
        <v>46228.0</v>
      </c>
      <c r="B373" s="235" t="s">
        <v>1943</v>
      </c>
      <c r="C373" s="235" t="s">
        <v>247</v>
      </c>
      <c r="D373" s="235" t="s">
        <v>92</v>
      </c>
      <c r="E373" s="235" t="s">
        <v>248</v>
      </c>
      <c r="F373" s="235" t="s">
        <v>503</v>
      </c>
      <c r="G373" s="238">
        <v>12.0</v>
      </c>
      <c r="H373" s="238">
        <v>0.0</v>
      </c>
      <c r="I373" s="238">
        <v>0.0</v>
      </c>
      <c r="J373" s="238">
        <v>-1.0</v>
      </c>
      <c r="K373" s="238">
        <v>0.0</v>
      </c>
      <c r="L373" s="238">
        <v>0.0</v>
      </c>
      <c r="M373" s="238">
        <v>0.0</v>
      </c>
      <c r="N373" s="238">
        <v>0.0</v>
      </c>
      <c r="O373" s="238">
        <v>0.0</v>
      </c>
      <c r="P373" s="238">
        <v>0.0</v>
      </c>
      <c r="Q373" s="238">
        <v>0.0</v>
      </c>
      <c r="R373" s="238">
        <v>0.0</v>
      </c>
      <c r="S373" s="238">
        <v>11.0</v>
      </c>
      <c r="T373" s="238">
        <v>0.0</v>
      </c>
      <c r="U373" s="235" t="s">
        <v>14</v>
      </c>
    </row>
    <row r="374">
      <c r="A374" s="237">
        <v>46228.0</v>
      </c>
      <c r="B374" s="235" t="s">
        <v>1943</v>
      </c>
      <c r="C374" s="235" t="s">
        <v>247</v>
      </c>
      <c r="D374" s="235" t="s">
        <v>92</v>
      </c>
      <c r="E374" s="235" t="s">
        <v>248</v>
      </c>
      <c r="F374" s="235" t="s">
        <v>503</v>
      </c>
      <c r="G374" s="238">
        <v>13.0</v>
      </c>
      <c r="H374" s="238">
        <v>0.0</v>
      </c>
      <c r="I374" s="238">
        <v>0.0</v>
      </c>
      <c r="J374" s="238">
        <v>0.0</v>
      </c>
      <c r="K374" s="238">
        <v>0.0</v>
      </c>
      <c r="L374" s="238">
        <v>0.0</v>
      </c>
      <c r="M374" s="238">
        <v>0.0</v>
      </c>
      <c r="N374" s="238">
        <v>0.0</v>
      </c>
      <c r="O374" s="238">
        <v>0.0</v>
      </c>
      <c r="P374" s="238">
        <v>0.0</v>
      </c>
      <c r="Q374" s="238">
        <v>0.0</v>
      </c>
      <c r="R374" s="238">
        <v>0.0</v>
      </c>
      <c r="S374" s="238">
        <v>13.0</v>
      </c>
      <c r="T374" s="238">
        <v>0.0</v>
      </c>
      <c r="U374" s="235" t="s">
        <v>18</v>
      </c>
    </row>
    <row r="375">
      <c r="A375" s="237">
        <v>46228.0</v>
      </c>
      <c r="B375" s="235" t="s">
        <v>1943</v>
      </c>
      <c r="C375" s="235" t="s">
        <v>247</v>
      </c>
      <c r="D375" s="235" t="s">
        <v>92</v>
      </c>
      <c r="E375" s="235" t="s">
        <v>248</v>
      </c>
      <c r="F375" s="235" t="s">
        <v>503</v>
      </c>
      <c r="G375" s="238">
        <v>29.0</v>
      </c>
      <c r="H375" s="238">
        <v>0.0</v>
      </c>
      <c r="I375" s="238">
        <v>0.0</v>
      </c>
      <c r="J375" s="238">
        <v>0.0</v>
      </c>
      <c r="K375" s="238">
        <v>0.0</v>
      </c>
      <c r="L375" s="238">
        <v>0.0</v>
      </c>
      <c r="M375" s="238">
        <v>0.0</v>
      </c>
      <c r="N375" s="238">
        <v>0.0</v>
      </c>
      <c r="O375" s="238">
        <v>0.0</v>
      </c>
      <c r="P375" s="238">
        <v>0.0</v>
      </c>
      <c r="Q375" s="238">
        <v>0.0</v>
      </c>
      <c r="R375" s="238">
        <v>0.0</v>
      </c>
      <c r="S375" s="238">
        <v>29.0</v>
      </c>
      <c r="T375" s="238">
        <v>0.0</v>
      </c>
      <c r="U375" s="235" t="s">
        <v>20</v>
      </c>
      <c r="V375" s="238"/>
    </row>
    <row r="376">
      <c r="A376" s="237">
        <v>46228.0</v>
      </c>
      <c r="B376" s="235" t="s">
        <v>1943</v>
      </c>
      <c r="C376" s="235" t="s">
        <v>247</v>
      </c>
      <c r="D376" s="235" t="s">
        <v>92</v>
      </c>
      <c r="E376" s="235" t="s">
        <v>248</v>
      </c>
      <c r="F376" s="235" t="s">
        <v>503</v>
      </c>
      <c r="G376" s="238">
        <v>4.0</v>
      </c>
      <c r="H376" s="238">
        <v>0.0</v>
      </c>
      <c r="I376" s="238">
        <v>0.0</v>
      </c>
      <c r="J376" s="238">
        <v>0.0</v>
      </c>
      <c r="K376" s="238">
        <v>0.0</v>
      </c>
      <c r="L376" s="238">
        <v>0.0</v>
      </c>
      <c r="M376" s="238">
        <v>0.0</v>
      </c>
      <c r="N376" s="238">
        <v>0.0</v>
      </c>
      <c r="O376" s="238">
        <v>0.0</v>
      </c>
      <c r="P376" s="238">
        <v>0.0</v>
      </c>
      <c r="Q376" s="238">
        <v>0.0</v>
      </c>
      <c r="R376" s="238">
        <v>0.0</v>
      </c>
      <c r="S376" s="238">
        <v>4.0</v>
      </c>
      <c r="T376" s="238">
        <v>0.0</v>
      </c>
      <c r="U376" s="235" t="s">
        <v>156</v>
      </c>
    </row>
    <row r="377">
      <c r="A377" s="250">
        <v>46228.0</v>
      </c>
      <c r="B377" s="235" t="s">
        <v>1943</v>
      </c>
      <c r="C377" s="235" t="s">
        <v>247</v>
      </c>
      <c r="D377" s="235" t="s">
        <v>92</v>
      </c>
      <c r="E377" s="235" t="s">
        <v>248</v>
      </c>
      <c r="F377" s="235" t="s">
        <v>503</v>
      </c>
      <c r="G377" s="238">
        <v>7.0</v>
      </c>
      <c r="H377" s="238">
        <v>0.0</v>
      </c>
      <c r="I377" s="238">
        <v>0.0</v>
      </c>
      <c r="J377" s="238">
        <v>0.0</v>
      </c>
      <c r="K377" s="238">
        <v>0.0</v>
      </c>
      <c r="L377" s="238">
        <v>0.0</v>
      </c>
      <c r="M377" s="238">
        <v>0.0</v>
      </c>
      <c r="N377" s="238">
        <v>0.0</v>
      </c>
      <c r="O377" s="238">
        <v>0.0</v>
      </c>
      <c r="P377" s="238">
        <v>0.0</v>
      </c>
      <c r="Q377" s="238">
        <v>0.0</v>
      </c>
      <c r="R377" s="238">
        <v>0.0</v>
      </c>
      <c r="S377" s="238">
        <v>7.0</v>
      </c>
      <c r="T377" s="238">
        <v>0.0</v>
      </c>
      <c r="U377" s="235" t="s">
        <v>546</v>
      </c>
    </row>
    <row r="378">
      <c r="A378" s="250">
        <v>46228.0</v>
      </c>
      <c r="B378" s="235" t="s">
        <v>1990</v>
      </c>
      <c r="C378" s="235" t="s">
        <v>239</v>
      </c>
      <c r="D378" s="235" t="s">
        <v>71</v>
      </c>
      <c r="E378" s="235" t="s">
        <v>240</v>
      </c>
      <c r="F378" s="235" t="s">
        <v>503</v>
      </c>
      <c r="G378" s="238">
        <v>6.0</v>
      </c>
      <c r="H378" s="238">
        <v>0.0</v>
      </c>
      <c r="I378" s="238">
        <v>0.0</v>
      </c>
      <c r="J378" s="238">
        <v>0.0</v>
      </c>
      <c r="K378" s="238">
        <v>0.0</v>
      </c>
      <c r="L378" s="238">
        <v>0.0</v>
      </c>
      <c r="M378" s="238">
        <v>0.0</v>
      </c>
      <c r="N378" s="238">
        <v>0.0</v>
      </c>
      <c r="O378" s="238">
        <v>0.0</v>
      </c>
      <c r="P378" s="238">
        <v>0.0</v>
      </c>
      <c r="Q378" s="238">
        <v>0.0</v>
      </c>
      <c r="R378" s="238">
        <v>0.0</v>
      </c>
      <c r="S378" s="238">
        <v>6.0</v>
      </c>
      <c r="T378" s="238">
        <v>0.0</v>
      </c>
      <c r="U378" s="235" t="s">
        <v>5</v>
      </c>
    </row>
    <row r="379">
      <c r="A379" s="250">
        <v>46228.0</v>
      </c>
      <c r="B379" s="235" t="s">
        <v>1990</v>
      </c>
      <c r="C379" s="235" t="s">
        <v>239</v>
      </c>
      <c r="D379" s="235" t="s">
        <v>71</v>
      </c>
      <c r="E379" s="235" t="s">
        <v>240</v>
      </c>
      <c r="F379" s="235" t="s">
        <v>503</v>
      </c>
      <c r="G379" s="238">
        <v>0.0</v>
      </c>
      <c r="H379" s="238">
        <v>8.0</v>
      </c>
      <c r="I379" s="238">
        <v>0.0</v>
      </c>
      <c r="J379" s="238">
        <v>0.0</v>
      </c>
      <c r="K379" s="238">
        <v>0.0</v>
      </c>
      <c r="L379" s="238">
        <v>0.0</v>
      </c>
      <c r="M379" s="238">
        <v>0.0</v>
      </c>
      <c r="N379" s="238">
        <v>0.0</v>
      </c>
      <c r="O379" s="238">
        <v>0.0</v>
      </c>
      <c r="P379" s="238">
        <v>0.0</v>
      </c>
      <c r="Q379" s="238">
        <v>0.0</v>
      </c>
      <c r="R379" s="238">
        <v>0.0</v>
      </c>
      <c r="S379" s="238">
        <v>0.0</v>
      </c>
      <c r="T379" s="238">
        <v>0.0</v>
      </c>
      <c r="U379" s="235" t="s">
        <v>596</v>
      </c>
    </row>
    <row r="380">
      <c r="A380" s="250">
        <v>46228.0</v>
      </c>
      <c r="B380" s="235" t="s">
        <v>1990</v>
      </c>
      <c r="C380" s="235" t="s">
        <v>239</v>
      </c>
      <c r="D380" s="235" t="s">
        <v>71</v>
      </c>
      <c r="E380" s="235" t="s">
        <v>240</v>
      </c>
      <c r="F380" s="235" t="s">
        <v>503</v>
      </c>
      <c r="G380" s="238">
        <v>10.0</v>
      </c>
      <c r="H380" s="238">
        <v>0.0</v>
      </c>
      <c r="I380" s="238">
        <v>0.0</v>
      </c>
      <c r="J380" s="238">
        <v>0.0</v>
      </c>
      <c r="K380" s="238">
        <v>0.0</v>
      </c>
      <c r="L380" s="238">
        <v>0.0</v>
      </c>
      <c r="M380" s="238">
        <v>0.0</v>
      </c>
      <c r="N380" s="238">
        <v>0.0</v>
      </c>
      <c r="O380" s="238">
        <v>0.0</v>
      </c>
      <c r="P380" s="238">
        <v>0.0</v>
      </c>
      <c r="Q380" s="238">
        <v>0.0</v>
      </c>
      <c r="R380" s="238">
        <v>0.0</v>
      </c>
      <c r="S380" s="238">
        <v>10.0</v>
      </c>
      <c r="T380" s="238">
        <v>0.0</v>
      </c>
      <c r="U380" s="235" t="s">
        <v>9</v>
      </c>
    </row>
    <row r="381">
      <c r="A381" s="250">
        <v>46228.0</v>
      </c>
      <c r="B381" s="235" t="s">
        <v>1990</v>
      </c>
      <c r="C381" s="235" t="s">
        <v>239</v>
      </c>
      <c r="D381" s="235" t="s">
        <v>71</v>
      </c>
      <c r="E381" s="235" t="s">
        <v>240</v>
      </c>
      <c r="F381" s="235" t="s">
        <v>503</v>
      </c>
      <c r="G381" s="238">
        <v>21.0</v>
      </c>
      <c r="H381" s="238">
        <v>0.0</v>
      </c>
      <c r="I381" s="238">
        <v>0.0</v>
      </c>
      <c r="J381" s="238">
        <v>0.0</v>
      </c>
      <c r="K381" s="238">
        <v>0.0</v>
      </c>
      <c r="L381" s="238">
        <v>0.0</v>
      </c>
      <c r="M381" s="238">
        <v>0.0</v>
      </c>
      <c r="N381" s="238">
        <v>0.0</v>
      </c>
      <c r="O381" s="238">
        <v>0.0</v>
      </c>
      <c r="P381" s="238">
        <v>0.0</v>
      </c>
      <c r="Q381" s="238">
        <v>0.0</v>
      </c>
      <c r="R381" s="238">
        <v>0.0</v>
      </c>
      <c r="S381" s="238">
        <v>21.0</v>
      </c>
      <c r="T381" s="238">
        <v>0.0</v>
      </c>
      <c r="U381" s="235" t="s">
        <v>11</v>
      </c>
    </row>
    <row r="382">
      <c r="A382" s="250">
        <v>46228.0</v>
      </c>
      <c r="B382" s="235" t="s">
        <v>1990</v>
      </c>
      <c r="C382" s="235" t="s">
        <v>239</v>
      </c>
      <c r="D382" s="235" t="s">
        <v>71</v>
      </c>
      <c r="E382" s="235" t="s">
        <v>240</v>
      </c>
      <c r="F382" s="235" t="s">
        <v>503</v>
      </c>
      <c r="G382" s="238">
        <v>13.0</v>
      </c>
      <c r="H382" s="238">
        <v>0.0</v>
      </c>
      <c r="I382" s="238">
        <v>0.0</v>
      </c>
      <c r="J382" s="238">
        <v>-1.0</v>
      </c>
      <c r="K382" s="238">
        <v>0.0</v>
      </c>
      <c r="L382" s="238">
        <v>0.0</v>
      </c>
      <c r="M382" s="238">
        <v>2.0</v>
      </c>
      <c r="N382" s="238">
        <v>0.0</v>
      </c>
      <c r="O382" s="238">
        <v>0.0</v>
      </c>
      <c r="P382" s="238">
        <v>0.0</v>
      </c>
      <c r="Q382" s="238">
        <v>0.0</v>
      </c>
      <c r="R382" s="238">
        <v>0.0</v>
      </c>
      <c r="S382" s="238">
        <v>14.0</v>
      </c>
      <c r="T382" s="238">
        <v>0.0</v>
      </c>
      <c r="U382" s="235" t="s">
        <v>16</v>
      </c>
    </row>
    <row r="383">
      <c r="A383" s="250">
        <v>46228.0</v>
      </c>
      <c r="B383" s="235" t="s">
        <v>1990</v>
      </c>
      <c r="C383" s="235" t="s">
        <v>239</v>
      </c>
      <c r="D383" s="235" t="s">
        <v>71</v>
      </c>
      <c r="E383" s="235" t="s">
        <v>240</v>
      </c>
      <c r="F383" s="235" t="s">
        <v>503</v>
      </c>
      <c r="G383" s="238">
        <v>9.0</v>
      </c>
      <c r="H383" s="238">
        <v>0.0</v>
      </c>
      <c r="I383" s="238">
        <v>0.0</v>
      </c>
      <c r="J383" s="238">
        <v>0.0</v>
      </c>
      <c r="K383" s="238">
        <v>0.0</v>
      </c>
      <c r="L383" s="238">
        <v>0.0</v>
      </c>
      <c r="M383" s="238">
        <v>0.0</v>
      </c>
      <c r="N383" s="238">
        <v>0.0</v>
      </c>
      <c r="O383" s="238">
        <v>0.0</v>
      </c>
      <c r="P383" s="238">
        <v>0.0</v>
      </c>
      <c r="Q383" s="238">
        <v>0.0</v>
      </c>
      <c r="R383" s="238">
        <v>0.0</v>
      </c>
      <c r="S383" s="238">
        <v>9.0</v>
      </c>
      <c r="T383" s="238">
        <v>0.0</v>
      </c>
      <c r="U383" s="235" t="s">
        <v>17</v>
      </c>
    </row>
    <row r="384">
      <c r="A384" s="250">
        <v>46228.0</v>
      </c>
      <c r="B384" s="235" t="s">
        <v>1990</v>
      </c>
      <c r="C384" s="235" t="s">
        <v>239</v>
      </c>
      <c r="D384" s="235" t="s">
        <v>71</v>
      </c>
      <c r="E384" s="235" t="s">
        <v>240</v>
      </c>
      <c r="F384" s="235" t="s">
        <v>503</v>
      </c>
      <c r="G384" s="238">
        <v>24.0</v>
      </c>
      <c r="H384" s="238">
        <v>0.0</v>
      </c>
      <c r="I384" s="238">
        <v>0.0</v>
      </c>
      <c r="J384" s="238">
        <v>-1.0</v>
      </c>
      <c r="K384" s="238">
        <v>0.0</v>
      </c>
      <c r="L384" s="238">
        <v>0.0</v>
      </c>
      <c r="M384" s="238">
        <v>0.0</v>
      </c>
      <c r="N384" s="238">
        <v>0.0</v>
      </c>
      <c r="O384" s="238">
        <v>0.0</v>
      </c>
      <c r="P384" s="238">
        <v>0.0</v>
      </c>
      <c r="Q384" s="238">
        <v>0.0</v>
      </c>
      <c r="R384" s="238">
        <v>0.0</v>
      </c>
      <c r="S384" s="238">
        <v>23.0</v>
      </c>
      <c r="T384" s="238">
        <v>0.0</v>
      </c>
      <c r="U384" s="235" t="s">
        <v>155</v>
      </c>
    </row>
    <row r="385">
      <c r="A385" s="250">
        <v>46228.0</v>
      </c>
      <c r="B385" s="235" t="s">
        <v>1990</v>
      </c>
      <c r="C385" s="235" t="s">
        <v>239</v>
      </c>
      <c r="D385" s="235" t="s">
        <v>71</v>
      </c>
      <c r="E385" s="235" t="s">
        <v>240</v>
      </c>
      <c r="F385" s="235" t="s">
        <v>503</v>
      </c>
      <c r="G385" s="238">
        <v>20.0</v>
      </c>
      <c r="H385" s="238">
        <v>0.0</v>
      </c>
      <c r="I385" s="238">
        <v>0.0</v>
      </c>
      <c r="J385" s="238">
        <v>0.0</v>
      </c>
      <c r="K385" s="238">
        <v>0.0</v>
      </c>
      <c r="L385" s="238">
        <v>0.0</v>
      </c>
      <c r="M385" s="238">
        <v>0.0</v>
      </c>
      <c r="N385" s="238">
        <v>0.0</v>
      </c>
      <c r="O385" s="238">
        <v>0.0</v>
      </c>
      <c r="P385" s="238">
        <v>0.0</v>
      </c>
      <c r="Q385" s="238">
        <v>0.0</v>
      </c>
      <c r="R385" s="238">
        <v>0.0</v>
      </c>
      <c r="S385" s="238">
        <v>20.0</v>
      </c>
      <c r="T385" s="238">
        <v>0.0</v>
      </c>
      <c r="U385" s="235" t="s">
        <v>533</v>
      </c>
    </row>
    <row r="386">
      <c r="A386" s="250">
        <v>46228.0</v>
      </c>
      <c r="B386" s="235" t="s">
        <v>1990</v>
      </c>
      <c r="C386" s="235" t="s">
        <v>239</v>
      </c>
      <c r="D386" s="235" t="s">
        <v>71</v>
      </c>
      <c r="E386" s="235" t="s">
        <v>240</v>
      </c>
      <c r="F386" s="235" t="s">
        <v>503</v>
      </c>
      <c r="G386" s="238">
        <v>15.0</v>
      </c>
      <c r="H386" s="238">
        <v>0.0</v>
      </c>
      <c r="I386" s="238">
        <v>0.0</v>
      </c>
      <c r="J386" s="238">
        <v>-2.0</v>
      </c>
      <c r="K386" s="238">
        <v>0.0</v>
      </c>
      <c r="L386" s="238">
        <v>0.0</v>
      </c>
      <c r="M386" s="238">
        <v>0.0</v>
      </c>
      <c r="N386" s="238">
        <v>0.0</v>
      </c>
      <c r="O386" s="238">
        <v>0.0</v>
      </c>
      <c r="P386" s="238">
        <v>0.0</v>
      </c>
      <c r="Q386" s="238">
        <v>0.0</v>
      </c>
      <c r="R386" s="238">
        <v>0.0</v>
      </c>
      <c r="S386" s="238">
        <v>13.0</v>
      </c>
      <c r="T386" s="238">
        <v>0.0</v>
      </c>
      <c r="U386" s="235" t="s">
        <v>13</v>
      </c>
    </row>
    <row r="387">
      <c r="A387" s="250">
        <v>46228.0</v>
      </c>
      <c r="B387" s="235" t="s">
        <v>1990</v>
      </c>
      <c r="C387" s="235" t="s">
        <v>239</v>
      </c>
      <c r="D387" s="235" t="s">
        <v>71</v>
      </c>
      <c r="E387" s="235" t="s">
        <v>240</v>
      </c>
      <c r="F387" s="235" t="s">
        <v>503</v>
      </c>
      <c r="G387" s="238">
        <v>15.0</v>
      </c>
      <c r="H387" s="238">
        <v>0.0</v>
      </c>
      <c r="I387" s="238">
        <v>0.0</v>
      </c>
      <c r="J387" s="238">
        <v>0.0</v>
      </c>
      <c r="K387" s="238">
        <v>0.0</v>
      </c>
      <c r="L387" s="238">
        <v>0.0</v>
      </c>
      <c r="M387" s="238">
        <v>0.0</v>
      </c>
      <c r="N387" s="238">
        <v>0.0</v>
      </c>
      <c r="O387" s="238">
        <v>0.0</v>
      </c>
      <c r="P387" s="238">
        <v>0.0</v>
      </c>
      <c r="Q387" s="238">
        <v>0.0</v>
      </c>
      <c r="R387" s="238">
        <v>0.0</v>
      </c>
      <c r="S387" s="238">
        <v>15.0</v>
      </c>
      <c r="T387" s="238">
        <v>0.0</v>
      </c>
      <c r="U387" s="235" t="s">
        <v>14</v>
      </c>
    </row>
    <row r="388">
      <c r="A388" s="250">
        <v>46228.0</v>
      </c>
      <c r="B388" s="235" t="s">
        <v>1990</v>
      </c>
      <c r="C388" s="235" t="s">
        <v>239</v>
      </c>
      <c r="D388" s="235" t="s">
        <v>71</v>
      </c>
      <c r="E388" s="235" t="s">
        <v>240</v>
      </c>
      <c r="F388" s="235" t="s">
        <v>503</v>
      </c>
      <c r="G388" s="238">
        <v>16.0</v>
      </c>
      <c r="H388" s="238">
        <v>0.0</v>
      </c>
      <c r="I388" s="238">
        <v>0.0</v>
      </c>
      <c r="J388" s="238">
        <v>0.0</v>
      </c>
      <c r="K388" s="238">
        <v>0.0</v>
      </c>
      <c r="L388" s="238">
        <v>0.0</v>
      </c>
      <c r="M388" s="238">
        <v>0.0</v>
      </c>
      <c r="N388" s="238">
        <v>0.0</v>
      </c>
      <c r="O388" s="238">
        <v>0.0</v>
      </c>
      <c r="P388" s="238">
        <v>0.0</v>
      </c>
      <c r="Q388" s="238">
        <v>0.0</v>
      </c>
      <c r="R388" s="238">
        <v>0.0</v>
      </c>
      <c r="S388" s="238">
        <v>16.0</v>
      </c>
      <c r="T388" s="238">
        <v>0.0</v>
      </c>
      <c r="U388" s="235" t="s">
        <v>18</v>
      </c>
    </row>
    <row r="389">
      <c r="A389" s="250">
        <v>46228.0</v>
      </c>
      <c r="B389" s="235" t="s">
        <v>1990</v>
      </c>
      <c r="C389" s="235" t="s">
        <v>239</v>
      </c>
      <c r="D389" s="235" t="s">
        <v>71</v>
      </c>
      <c r="E389" s="235" t="s">
        <v>240</v>
      </c>
      <c r="F389" s="235" t="s">
        <v>503</v>
      </c>
      <c r="G389" s="238">
        <v>14.0</v>
      </c>
      <c r="H389" s="238">
        <v>0.0</v>
      </c>
      <c r="I389" s="238">
        <v>0.0</v>
      </c>
      <c r="J389" s="238">
        <v>0.0</v>
      </c>
      <c r="K389" s="238">
        <v>0.0</v>
      </c>
      <c r="L389" s="238">
        <v>0.0</v>
      </c>
      <c r="M389" s="238">
        <v>0.0</v>
      </c>
      <c r="N389" s="238">
        <v>0.0</v>
      </c>
      <c r="O389" s="238">
        <v>0.0</v>
      </c>
      <c r="P389" s="238">
        <v>0.0</v>
      </c>
      <c r="Q389" s="238">
        <v>0.0</v>
      </c>
      <c r="R389" s="238">
        <v>0.0</v>
      </c>
      <c r="S389" s="238">
        <v>14.0</v>
      </c>
      <c r="T389" s="238">
        <v>0.0</v>
      </c>
      <c r="U389" s="235" t="s">
        <v>20</v>
      </c>
    </row>
    <row r="390">
      <c r="A390" s="250">
        <v>46228.0</v>
      </c>
      <c r="B390" s="235" t="s">
        <v>1990</v>
      </c>
      <c r="C390" s="235" t="s">
        <v>239</v>
      </c>
      <c r="D390" s="235" t="s">
        <v>71</v>
      </c>
      <c r="E390" s="235" t="s">
        <v>240</v>
      </c>
      <c r="F390" s="235" t="s">
        <v>503</v>
      </c>
      <c r="G390" s="238">
        <v>25.0</v>
      </c>
      <c r="H390" s="238">
        <v>0.0</v>
      </c>
      <c r="I390" s="238">
        <v>0.0</v>
      </c>
      <c r="J390" s="238">
        <v>-3.0</v>
      </c>
      <c r="K390" s="238">
        <v>0.0</v>
      </c>
      <c r="L390" s="238">
        <v>0.0</v>
      </c>
      <c r="M390" s="238">
        <v>0.0</v>
      </c>
      <c r="N390" s="238">
        <v>0.0</v>
      </c>
      <c r="O390" s="238">
        <v>0.0</v>
      </c>
      <c r="P390" s="238">
        <v>0.0</v>
      </c>
      <c r="Q390" s="238">
        <v>0.0</v>
      </c>
      <c r="R390" s="238">
        <v>0.0</v>
      </c>
      <c r="S390" s="238">
        <v>22.0</v>
      </c>
      <c r="T390" s="238">
        <v>0.0</v>
      </c>
      <c r="U390" s="235" t="s">
        <v>156</v>
      </c>
    </row>
    <row r="391">
      <c r="A391" s="250">
        <v>46228.0</v>
      </c>
      <c r="B391" s="235" t="s">
        <v>1990</v>
      </c>
      <c r="C391" s="235" t="s">
        <v>239</v>
      </c>
      <c r="D391" s="235" t="s">
        <v>71</v>
      </c>
      <c r="E391" s="235" t="s">
        <v>240</v>
      </c>
      <c r="F391" s="235" t="s">
        <v>503</v>
      </c>
      <c r="G391" s="238">
        <v>7.0</v>
      </c>
      <c r="H391" s="238">
        <v>0.0</v>
      </c>
      <c r="I391" s="238">
        <v>0.0</v>
      </c>
      <c r="J391" s="238">
        <v>0.0</v>
      </c>
      <c r="K391" s="238">
        <v>0.0</v>
      </c>
      <c r="L391" s="238">
        <v>0.0</v>
      </c>
      <c r="M391" s="238">
        <v>0.0</v>
      </c>
      <c r="N391" s="238">
        <v>0.0</v>
      </c>
      <c r="O391" s="238">
        <v>0.0</v>
      </c>
      <c r="P391" s="238">
        <v>0.0</v>
      </c>
      <c r="Q391" s="238">
        <v>0.0</v>
      </c>
      <c r="R391" s="238">
        <v>0.0</v>
      </c>
      <c r="S391" s="238">
        <v>7.0</v>
      </c>
      <c r="T391" s="238">
        <v>0.0</v>
      </c>
      <c r="U391" s="235" t="s">
        <v>546</v>
      </c>
    </row>
    <row r="392">
      <c r="A392" s="250">
        <v>46228.0</v>
      </c>
      <c r="B392" s="235" t="s">
        <v>2027</v>
      </c>
      <c r="C392" s="235" t="s">
        <v>359</v>
      </c>
      <c r="D392" s="235" t="s">
        <v>78</v>
      </c>
      <c r="E392" s="235" t="s">
        <v>360</v>
      </c>
      <c r="F392" s="235" t="s">
        <v>503</v>
      </c>
      <c r="G392" s="238">
        <v>1.0</v>
      </c>
      <c r="H392" s="238">
        <v>0.0</v>
      </c>
      <c r="I392" s="238">
        <v>0.0</v>
      </c>
      <c r="J392" s="238">
        <v>0.0</v>
      </c>
      <c r="K392" s="238">
        <v>0.0</v>
      </c>
      <c r="L392" s="238">
        <v>0.0</v>
      </c>
      <c r="M392" s="238">
        <v>0.0</v>
      </c>
      <c r="N392" s="238">
        <v>0.0</v>
      </c>
      <c r="O392" s="238">
        <v>0.0</v>
      </c>
      <c r="P392" s="238">
        <v>0.0</v>
      </c>
      <c r="Q392" s="238">
        <v>0.0</v>
      </c>
      <c r="R392" s="238">
        <v>0.0</v>
      </c>
      <c r="S392" s="238">
        <v>1.0</v>
      </c>
      <c r="T392" s="238">
        <v>0.0</v>
      </c>
      <c r="U392" s="235" t="s">
        <v>5</v>
      </c>
    </row>
    <row r="393">
      <c r="A393" s="237">
        <v>46228.0</v>
      </c>
      <c r="B393" s="235" t="s">
        <v>2027</v>
      </c>
      <c r="C393" s="235" t="s">
        <v>359</v>
      </c>
      <c r="D393" s="235" t="s">
        <v>78</v>
      </c>
      <c r="E393" s="235" t="s">
        <v>360</v>
      </c>
      <c r="F393" s="235" t="s">
        <v>503</v>
      </c>
      <c r="G393" s="238">
        <v>2.0</v>
      </c>
      <c r="H393" s="238">
        <v>0.0</v>
      </c>
      <c r="I393" s="238">
        <v>0.0</v>
      </c>
      <c r="J393" s="238">
        <v>0.0</v>
      </c>
      <c r="K393" s="238">
        <v>0.0</v>
      </c>
      <c r="L393" s="238">
        <v>0.0</v>
      </c>
      <c r="M393" s="238">
        <v>0.0</v>
      </c>
      <c r="N393" s="238">
        <v>0.0</v>
      </c>
      <c r="O393" s="238">
        <v>0.0</v>
      </c>
      <c r="P393" s="238">
        <v>0.0</v>
      </c>
      <c r="Q393" s="238">
        <v>0.0</v>
      </c>
      <c r="R393" s="238">
        <v>0.0</v>
      </c>
      <c r="S393" s="238">
        <v>2.0</v>
      </c>
      <c r="T393" s="238">
        <v>0.0</v>
      </c>
      <c r="U393" s="235" t="s">
        <v>596</v>
      </c>
    </row>
    <row r="394">
      <c r="A394" s="237">
        <v>46228.0</v>
      </c>
      <c r="B394" s="235" t="s">
        <v>2027</v>
      </c>
      <c r="C394" s="235" t="s">
        <v>359</v>
      </c>
      <c r="D394" s="235" t="s">
        <v>78</v>
      </c>
      <c r="E394" s="235" t="s">
        <v>360</v>
      </c>
      <c r="F394" s="235" t="s">
        <v>503</v>
      </c>
      <c r="G394" s="238">
        <v>1.0</v>
      </c>
      <c r="H394" s="238">
        <v>0.0</v>
      </c>
      <c r="I394" s="238">
        <v>0.0</v>
      </c>
      <c r="J394" s="238">
        <v>-1.0</v>
      </c>
      <c r="K394" s="238">
        <v>0.0</v>
      </c>
      <c r="L394" s="238">
        <v>0.0</v>
      </c>
      <c r="M394" s="238">
        <v>0.0</v>
      </c>
      <c r="N394" s="238">
        <v>0.0</v>
      </c>
      <c r="O394" s="238">
        <v>0.0</v>
      </c>
      <c r="P394" s="238">
        <v>0.0</v>
      </c>
      <c r="Q394" s="238">
        <v>0.0</v>
      </c>
      <c r="R394" s="238">
        <v>0.0</v>
      </c>
      <c r="S394" s="238">
        <v>0.0</v>
      </c>
      <c r="T394" s="238">
        <v>0.0</v>
      </c>
      <c r="U394" s="235" t="s">
        <v>9</v>
      </c>
      <c r="V394" s="238"/>
    </row>
    <row r="395">
      <c r="A395" s="237">
        <v>46228.0</v>
      </c>
      <c r="B395" s="235" t="s">
        <v>2027</v>
      </c>
      <c r="C395" s="235" t="s">
        <v>359</v>
      </c>
      <c r="D395" s="235" t="s">
        <v>78</v>
      </c>
      <c r="E395" s="235" t="s">
        <v>360</v>
      </c>
      <c r="F395" s="235" t="s">
        <v>503</v>
      </c>
      <c r="G395" s="238">
        <v>8.0</v>
      </c>
      <c r="H395" s="238">
        <v>0.0</v>
      </c>
      <c r="I395" s="238">
        <v>0.0</v>
      </c>
      <c r="J395" s="238">
        <v>0.0</v>
      </c>
      <c r="K395" s="238">
        <v>0.0</v>
      </c>
      <c r="L395" s="238">
        <v>0.0</v>
      </c>
      <c r="M395" s="238">
        <v>0.0</v>
      </c>
      <c r="N395" s="238">
        <v>0.0</v>
      </c>
      <c r="O395" s="238">
        <v>0.0</v>
      </c>
      <c r="P395" s="238">
        <v>0.0</v>
      </c>
      <c r="Q395" s="238">
        <v>0.0</v>
      </c>
      <c r="R395" s="238">
        <v>0.0</v>
      </c>
      <c r="S395" s="238">
        <v>8.0</v>
      </c>
      <c r="T395" s="238">
        <v>0.0</v>
      </c>
      <c r="U395" s="235" t="s">
        <v>11</v>
      </c>
      <c r="V395" s="238"/>
    </row>
    <row r="396">
      <c r="A396" s="237">
        <v>46228.0</v>
      </c>
      <c r="B396" s="235" t="s">
        <v>2027</v>
      </c>
      <c r="C396" s="235" t="s">
        <v>359</v>
      </c>
      <c r="D396" s="235" t="s">
        <v>78</v>
      </c>
      <c r="E396" s="235" t="s">
        <v>360</v>
      </c>
      <c r="F396" s="235" t="s">
        <v>503</v>
      </c>
      <c r="G396" s="238">
        <v>4.0</v>
      </c>
      <c r="H396" s="238">
        <v>0.0</v>
      </c>
      <c r="I396" s="238">
        <v>0.0</v>
      </c>
      <c r="J396" s="238">
        <v>0.0</v>
      </c>
      <c r="K396" s="238">
        <v>0.0</v>
      </c>
      <c r="L396" s="238">
        <v>0.0</v>
      </c>
      <c r="M396" s="238">
        <v>1.0</v>
      </c>
      <c r="N396" s="238">
        <v>0.0</v>
      </c>
      <c r="O396" s="238">
        <v>0.0</v>
      </c>
      <c r="P396" s="238">
        <v>0.0</v>
      </c>
      <c r="Q396" s="238">
        <v>0.0</v>
      </c>
      <c r="R396" s="238">
        <v>0.0</v>
      </c>
      <c r="S396" s="238">
        <v>5.0</v>
      </c>
      <c r="T396" s="238">
        <v>0.0</v>
      </c>
      <c r="U396" s="235" t="s">
        <v>16</v>
      </c>
    </row>
    <row r="397">
      <c r="A397" s="237">
        <v>46228.0</v>
      </c>
      <c r="B397" s="235" t="s">
        <v>2027</v>
      </c>
      <c r="C397" s="235" t="s">
        <v>359</v>
      </c>
      <c r="D397" s="235" t="s">
        <v>78</v>
      </c>
      <c r="E397" s="235" t="s">
        <v>360</v>
      </c>
      <c r="F397" s="235" t="s">
        <v>503</v>
      </c>
      <c r="G397" s="238">
        <v>2.0</v>
      </c>
      <c r="H397" s="238">
        <v>0.0</v>
      </c>
      <c r="I397" s="238">
        <v>0.0</v>
      </c>
      <c r="J397" s="238">
        <v>0.0</v>
      </c>
      <c r="K397" s="238">
        <v>0.0</v>
      </c>
      <c r="L397" s="238">
        <v>0.0</v>
      </c>
      <c r="M397" s="238">
        <v>0.0</v>
      </c>
      <c r="N397" s="238">
        <v>0.0</v>
      </c>
      <c r="O397" s="238">
        <v>0.0</v>
      </c>
      <c r="P397" s="238">
        <v>0.0</v>
      </c>
      <c r="Q397" s="238">
        <v>0.0</v>
      </c>
      <c r="R397" s="238">
        <v>0.0</v>
      </c>
      <c r="S397" s="238">
        <v>2.0</v>
      </c>
      <c r="T397" s="238">
        <v>0.0</v>
      </c>
      <c r="U397" s="235" t="s">
        <v>17</v>
      </c>
    </row>
    <row r="398">
      <c r="A398" s="237">
        <v>46228.0</v>
      </c>
      <c r="B398" s="235" t="s">
        <v>2027</v>
      </c>
      <c r="C398" s="235" t="s">
        <v>359</v>
      </c>
      <c r="D398" s="235" t="s">
        <v>78</v>
      </c>
      <c r="E398" s="235" t="s">
        <v>360</v>
      </c>
      <c r="F398" s="235" t="s">
        <v>503</v>
      </c>
      <c r="G398" s="238">
        <v>1.0</v>
      </c>
      <c r="H398" s="238">
        <v>0.0</v>
      </c>
      <c r="I398" s="238">
        <v>0.0</v>
      </c>
      <c r="J398" s="238">
        <v>0.0</v>
      </c>
      <c r="K398" s="238">
        <v>0.0</v>
      </c>
      <c r="L398" s="238">
        <v>0.0</v>
      </c>
      <c r="M398" s="238">
        <v>0.0</v>
      </c>
      <c r="N398" s="238">
        <v>0.0</v>
      </c>
      <c r="O398" s="238">
        <v>0.0</v>
      </c>
      <c r="P398" s="238">
        <v>0.0</v>
      </c>
      <c r="Q398" s="238">
        <v>0.0</v>
      </c>
      <c r="R398" s="238">
        <v>0.0</v>
      </c>
      <c r="S398" s="238">
        <v>1.0</v>
      </c>
      <c r="T398" s="238">
        <v>0.0</v>
      </c>
      <c r="U398" s="235" t="s">
        <v>155</v>
      </c>
    </row>
    <row r="399">
      <c r="A399" s="237">
        <v>46228.0</v>
      </c>
      <c r="B399" s="235" t="s">
        <v>2027</v>
      </c>
      <c r="C399" s="235" t="s">
        <v>359</v>
      </c>
      <c r="D399" s="235" t="s">
        <v>78</v>
      </c>
      <c r="E399" s="235" t="s">
        <v>360</v>
      </c>
      <c r="F399" s="235" t="s">
        <v>503</v>
      </c>
      <c r="G399" s="238">
        <v>5.0</v>
      </c>
      <c r="H399" s="238">
        <v>0.0</v>
      </c>
      <c r="I399" s="238">
        <v>0.0</v>
      </c>
      <c r="J399" s="238">
        <v>0.0</v>
      </c>
      <c r="K399" s="238">
        <v>0.0</v>
      </c>
      <c r="L399" s="238">
        <v>0.0</v>
      </c>
      <c r="M399" s="238">
        <v>0.0</v>
      </c>
      <c r="N399" s="238">
        <v>0.0</v>
      </c>
      <c r="O399" s="238">
        <v>0.0</v>
      </c>
      <c r="P399" s="238">
        <v>0.0</v>
      </c>
      <c r="Q399" s="238">
        <v>0.0</v>
      </c>
      <c r="R399" s="238">
        <v>0.0</v>
      </c>
      <c r="S399" s="238">
        <v>5.0</v>
      </c>
      <c r="T399" s="238">
        <v>0.0</v>
      </c>
      <c r="U399" s="235" t="s">
        <v>533</v>
      </c>
      <c r="V399" s="231"/>
    </row>
    <row r="400">
      <c r="A400" s="237">
        <v>46228.0</v>
      </c>
      <c r="B400" s="235" t="s">
        <v>2027</v>
      </c>
      <c r="C400" s="235" t="s">
        <v>359</v>
      </c>
      <c r="D400" s="235" t="s">
        <v>78</v>
      </c>
      <c r="E400" s="235" t="s">
        <v>360</v>
      </c>
      <c r="F400" s="235" t="s">
        <v>503</v>
      </c>
      <c r="G400" s="238">
        <v>1.0</v>
      </c>
      <c r="H400" s="238">
        <v>0.0</v>
      </c>
      <c r="I400" s="238">
        <v>0.0</v>
      </c>
      <c r="J400" s="238">
        <v>-1.0</v>
      </c>
      <c r="K400" s="238">
        <v>0.0</v>
      </c>
      <c r="L400" s="238">
        <v>0.0</v>
      </c>
      <c r="M400" s="238">
        <v>0.0</v>
      </c>
      <c r="N400" s="238">
        <v>0.0</v>
      </c>
      <c r="O400" s="238">
        <v>0.0</v>
      </c>
      <c r="P400" s="238">
        <v>0.0</v>
      </c>
      <c r="Q400" s="238">
        <v>0.0</v>
      </c>
      <c r="R400" s="238">
        <v>0.0</v>
      </c>
      <c r="S400" s="238">
        <v>0.0</v>
      </c>
      <c r="T400" s="238">
        <v>0.0</v>
      </c>
      <c r="U400" s="235" t="s">
        <v>13</v>
      </c>
    </row>
    <row r="401">
      <c r="A401" s="237">
        <v>46228.0</v>
      </c>
      <c r="B401" s="235" t="s">
        <v>2027</v>
      </c>
      <c r="C401" s="235" t="s">
        <v>359</v>
      </c>
      <c r="D401" s="235" t="s">
        <v>78</v>
      </c>
      <c r="E401" s="235" t="s">
        <v>360</v>
      </c>
      <c r="F401" s="235" t="s">
        <v>503</v>
      </c>
      <c r="G401" s="238">
        <v>9.0</v>
      </c>
      <c r="H401" s="238">
        <v>0.0</v>
      </c>
      <c r="I401" s="238">
        <v>0.0</v>
      </c>
      <c r="J401" s="238">
        <v>0.0</v>
      </c>
      <c r="K401" s="238">
        <v>0.0</v>
      </c>
      <c r="L401" s="238">
        <v>0.0</v>
      </c>
      <c r="M401" s="238">
        <v>0.0</v>
      </c>
      <c r="N401" s="238">
        <v>0.0</v>
      </c>
      <c r="O401" s="238">
        <v>0.0</v>
      </c>
      <c r="P401" s="238">
        <v>0.0</v>
      </c>
      <c r="Q401" s="238">
        <v>0.0</v>
      </c>
      <c r="R401" s="238">
        <v>0.0</v>
      </c>
      <c r="S401" s="238">
        <v>9.0</v>
      </c>
      <c r="T401" s="238">
        <v>0.0</v>
      </c>
      <c r="U401" s="235" t="s">
        <v>14</v>
      </c>
    </row>
    <row r="402">
      <c r="A402" s="237">
        <v>46228.0</v>
      </c>
      <c r="B402" s="235" t="s">
        <v>2027</v>
      </c>
      <c r="C402" s="235" t="s">
        <v>359</v>
      </c>
      <c r="D402" s="235" t="s">
        <v>78</v>
      </c>
      <c r="E402" s="235" t="s">
        <v>360</v>
      </c>
      <c r="F402" s="235" t="s">
        <v>503</v>
      </c>
      <c r="G402" s="238">
        <v>2.0</v>
      </c>
      <c r="H402" s="238">
        <v>0.0</v>
      </c>
      <c r="I402" s="238">
        <v>0.0</v>
      </c>
      <c r="J402" s="238">
        <v>0.0</v>
      </c>
      <c r="K402" s="238">
        <v>0.0</v>
      </c>
      <c r="L402" s="238">
        <v>0.0</v>
      </c>
      <c r="M402" s="238">
        <v>0.0</v>
      </c>
      <c r="N402" s="238">
        <v>0.0</v>
      </c>
      <c r="O402" s="238">
        <v>0.0</v>
      </c>
      <c r="P402" s="238">
        <v>0.0</v>
      </c>
      <c r="Q402" s="238">
        <v>0.0</v>
      </c>
      <c r="R402" s="238">
        <v>0.0</v>
      </c>
      <c r="S402" s="238">
        <v>2.0</v>
      </c>
      <c r="T402" s="238">
        <v>0.0</v>
      </c>
      <c r="U402" s="235" t="s">
        <v>18</v>
      </c>
    </row>
    <row r="403">
      <c r="A403" s="237">
        <v>46228.0</v>
      </c>
      <c r="B403" s="235" t="s">
        <v>2027</v>
      </c>
      <c r="C403" s="235" t="s">
        <v>359</v>
      </c>
      <c r="D403" s="235" t="s">
        <v>78</v>
      </c>
      <c r="E403" s="235" t="s">
        <v>360</v>
      </c>
      <c r="F403" s="235" t="s">
        <v>503</v>
      </c>
      <c r="G403" s="238">
        <v>12.0</v>
      </c>
      <c r="H403" s="238">
        <v>0.0</v>
      </c>
      <c r="I403" s="238">
        <v>0.0</v>
      </c>
      <c r="J403" s="238">
        <v>0.0</v>
      </c>
      <c r="K403" s="238">
        <v>0.0</v>
      </c>
      <c r="L403" s="238">
        <v>0.0</v>
      </c>
      <c r="M403" s="238">
        <v>0.0</v>
      </c>
      <c r="N403" s="238">
        <v>0.0</v>
      </c>
      <c r="O403" s="238">
        <v>0.0</v>
      </c>
      <c r="P403" s="238">
        <v>0.0</v>
      </c>
      <c r="Q403" s="238">
        <v>0.0</v>
      </c>
      <c r="R403" s="238">
        <v>0.0</v>
      </c>
      <c r="S403" s="238">
        <v>12.0</v>
      </c>
      <c r="T403" s="238">
        <v>0.0</v>
      </c>
      <c r="U403" s="235" t="s">
        <v>20</v>
      </c>
    </row>
    <row r="404">
      <c r="A404" s="237">
        <v>46228.0</v>
      </c>
      <c r="B404" s="235" t="s">
        <v>2027</v>
      </c>
      <c r="C404" s="235" t="s">
        <v>359</v>
      </c>
      <c r="D404" s="235" t="s">
        <v>78</v>
      </c>
      <c r="E404" s="235" t="s">
        <v>360</v>
      </c>
      <c r="F404" s="235" t="s">
        <v>503</v>
      </c>
      <c r="G404" s="238">
        <v>5.0</v>
      </c>
      <c r="H404" s="238">
        <v>0.0</v>
      </c>
      <c r="I404" s="238">
        <v>0.0</v>
      </c>
      <c r="J404" s="238">
        <v>0.0</v>
      </c>
      <c r="K404" s="238">
        <v>0.0</v>
      </c>
      <c r="L404" s="238">
        <v>0.0</v>
      </c>
      <c r="M404" s="238">
        <v>0.0</v>
      </c>
      <c r="N404" s="238">
        <v>0.0</v>
      </c>
      <c r="O404" s="238">
        <v>0.0</v>
      </c>
      <c r="P404" s="238">
        <v>0.0</v>
      </c>
      <c r="Q404" s="238">
        <v>0.0</v>
      </c>
      <c r="R404" s="238">
        <v>0.0</v>
      </c>
      <c r="S404" s="238">
        <v>5.0</v>
      </c>
      <c r="T404" s="238">
        <v>0.0</v>
      </c>
      <c r="U404" s="235" t="s">
        <v>156</v>
      </c>
    </row>
    <row r="405">
      <c r="A405" s="237">
        <v>46228.0</v>
      </c>
      <c r="B405" s="235" t="s">
        <v>2027</v>
      </c>
      <c r="C405" s="235" t="s">
        <v>359</v>
      </c>
      <c r="D405" s="235" t="s">
        <v>78</v>
      </c>
      <c r="E405" s="235" t="s">
        <v>360</v>
      </c>
      <c r="F405" s="235" t="s">
        <v>503</v>
      </c>
      <c r="G405" s="238">
        <v>3.0</v>
      </c>
      <c r="H405" s="238">
        <v>0.0</v>
      </c>
      <c r="I405" s="238">
        <v>0.0</v>
      </c>
      <c r="J405" s="238">
        <v>0.0</v>
      </c>
      <c r="K405" s="238">
        <v>0.0</v>
      </c>
      <c r="L405" s="238">
        <v>0.0</v>
      </c>
      <c r="M405" s="238">
        <v>0.0</v>
      </c>
      <c r="N405" s="238">
        <v>0.0</v>
      </c>
      <c r="O405" s="238">
        <v>0.0</v>
      </c>
      <c r="P405" s="238">
        <v>0.0</v>
      </c>
      <c r="Q405" s="238">
        <v>0.0</v>
      </c>
      <c r="R405" s="238">
        <v>0.0</v>
      </c>
      <c r="S405" s="238">
        <v>3.0</v>
      </c>
      <c r="T405" s="238">
        <v>0.0</v>
      </c>
      <c r="U405" s="235" t="s">
        <v>546</v>
      </c>
    </row>
    <row r="406">
      <c r="A406" s="237">
        <v>46228.0</v>
      </c>
      <c r="B406" s="235" t="s">
        <v>2065</v>
      </c>
      <c r="C406" s="235" t="s">
        <v>207</v>
      </c>
      <c r="D406" s="235" t="s">
        <v>68</v>
      </c>
      <c r="E406" s="235" t="s">
        <v>208</v>
      </c>
      <c r="F406" s="235" t="s">
        <v>503</v>
      </c>
      <c r="G406" s="238">
        <v>5.0</v>
      </c>
      <c r="H406" s="238">
        <v>0.0</v>
      </c>
      <c r="I406" s="238">
        <v>0.0</v>
      </c>
      <c r="J406" s="238">
        <v>0.0</v>
      </c>
      <c r="K406" s="238">
        <v>0.0</v>
      </c>
      <c r="L406" s="238">
        <v>0.0</v>
      </c>
      <c r="M406" s="238">
        <v>0.0</v>
      </c>
      <c r="N406" s="238">
        <v>0.0</v>
      </c>
      <c r="O406" s="238">
        <v>0.0</v>
      </c>
      <c r="P406" s="238">
        <v>0.0</v>
      </c>
      <c r="Q406" s="238">
        <v>0.0</v>
      </c>
      <c r="R406" s="238">
        <v>0.0</v>
      </c>
      <c r="S406" s="238">
        <v>5.0</v>
      </c>
      <c r="T406" s="238">
        <v>0.0</v>
      </c>
      <c r="U406" s="235" t="s">
        <v>5</v>
      </c>
    </row>
    <row r="407">
      <c r="A407" s="237">
        <v>46228.0</v>
      </c>
      <c r="B407" s="235" t="s">
        <v>2065</v>
      </c>
      <c r="C407" s="235" t="s">
        <v>207</v>
      </c>
      <c r="D407" s="235" t="s">
        <v>68</v>
      </c>
      <c r="E407" s="235" t="s">
        <v>208</v>
      </c>
      <c r="F407" s="235" t="s">
        <v>503</v>
      </c>
      <c r="G407" s="238">
        <v>0.0</v>
      </c>
      <c r="H407" s="238">
        <v>1.0</v>
      </c>
      <c r="I407" s="238">
        <v>0.0</v>
      </c>
      <c r="J407" s="238">
        <v>0.0</v>
      </c>
      <c r="K407" s="238">
        <v>0.0</v>
      </c>
      <c r="L407" s="238">
        <v>0.0</v>
      </c>
      <c r="M407" s="238">
        <v>0.0</v>
      </c>
      <c r="N407" s="238">
        <v>0.0</v>
      </c>
      <c r="O407" s="238">
        <v>0.0</v>
      </c>
      <c r="P407" s="238">
        <v>0.0</v>
      </c>
      <c r="Q407" s="238">
        <v>0.0</v>
      </c>
      <c r="R407" s="238">
        <v>0.0</v>
      </c>
      <c r="S407" s="238">
        <v>0.0</v>
      </c>
      <c r="T407" s="238">
        <v>0.0</v>
      </c>
      <c r="U407" s="235" t="s">
        <v>596</v>
      </c>
    </row>
    <row r="408">
      <c r="A408" s="237">
        <v>46228.0</v>
      </c>
      <c r="B408" s="235" t="s">
        <v>2065</v>
      </c>
      <c r="C408" s="235" t="s">
        <v>207</v>
      </c>
      <c r="D408" s="235" t="s">
        <v>68</v>
      </c>
      <c r="E408" s="235" t="s">
        <v>208</v>
      </c>
      <c r="F408" s="235" t="s">
        <v>503</v>
      </c>
      <c r="G408" s="238">
        <v>20.0</v>
      </c>
      <c r="H408" s="238">
        <v>0.0</v>
      </c>
      <c r="I408" s="238">
        <v>0.0</v>
      </c>
      <c r="J408" s="238">
        <v>0.0</v>
      </c>
      <c r="K408" s="238">
        <v>0.0</v>
      </c>
      <c r="L408" s="238">
        <v>0.0</v>
      </c>
      <c r="M408" s="238">
        <v>0.0</v>
      </c>
      <c r="N408" s="238">
        <v>0.0</v>
      </c>
      <c r="O408" s="238">
        <v>0.0</v>
      </c>
      <c r="P408" s="238">
        <v>0.0</v>
      </c>
      <c r="Q408" s="238">
        <v>0.0</v>
      </c>
      <c r="R408" s="238">
        <v>0.0</v>
      </c>
      <c r="S408" s="238">
        <v>20.0</v>
      </c>
      <c r="T408" s="238">
        <v>0.0</v>
      </c>
      <c r="U408" s="235" t="s">
        <v>9</v>
      </c>
    </row>
    <row r="409">
      <c r="A409" s="237">
        <v>46228.0</v>
      </c>
      <c r="B409" s="235" t="s">
        <v>2065</v>
      </c>
      <c r="C409" s="235" t="s">
        <v>207</v>
      </c>
      <c r="D409" s="235" t="s">
        <v>68</v>
      </c>
      <c r="E409" s="235" t="s">
        <v>208</v>
      </c>
      <c r="F409" s="235" t="s">
        <v>503</v>
      </c>
      <c r="G409" s="238">
        <v>36.0</v>
      </c>
      <c r="H409" s="238">
        <v>0.0</v>
      </c>
      <c r="I409" s="238">
        <v>0.0</v>
      </c>
      <c r="J409" s="238">
        <v>-1.0</v>
      </c>
      <c r="K409" s="238">
        <v>0.0</v>
      </c>
      <c r="L409" s="238">
        <v>0.0</v>
      </c>
      <c r="M409" s="238">
        <v>0.0</v>
      </c>
      <c r="N409" s="238">
        <v>0.0</v>
      </c>
      <c r="O409" s="238">
        <v>0.0</v>
      </c>
      <c r="P409" s="238">
        <v>0.0</v>
      </c>
      <c r="Q409" s="238">
        <v>0.0</v>
      </c>
      <c r="R409" s="238">
        <v>0.0</v>
      </c>
      <c r="S409" s="238">
        <v>35.0</v>
      </c>
      <c r="T409" s="238">
        <v>0.0</v>
      </c>
      <c r="U409" s="235" t="s">
        <v>11</v>
      </c>
    </row>
    <row r="410">
      <c r="A410" s="237">
        <v>46228.0</v>
      </c>
      <c r="B410" s="235" t="s">
        <v>2065</v>
      </c>
      <c r="C410" s="235" t="s">
        <v>207</v>
      </c>
      <c r="D410" s="235" t="s">
        <v>68</v>
      </c>
      <c r="E410" s="235" t="s">
        <v>208</v>
      </c>
      <c r="F410" s="235" t="s">
        <v>503</v>
      </c>
      <c r="G410" s="238">
        <v>34.0</v>
      </c>
      <c r="H410" s="238">
        <v>0.0</v>
      </c>
      <c r="I410" s="238">
        <v>0.0</v>
      </c>
      <c r="J410" s="238">
        <v>-1.0</v>
      </c>
      <c r="K410" s="238">
        <v>0.0</v>
      </c>
      <c r="L410" s="238">
        <v>0.0</v>
      </c>
      <c r="M410" s="238">
        <v>2.0</v>
      </c>
      <c r="N410" s="238">
        <v>0.0</v>
      </c>
      <c r="O410" s="238">
        <v>0.0</v>
      </c>
      <c r="P410" s="238">
        <v>0.0</v>
      </c>
      <c r="Q410" s="238">
        <v>0.0</v>
      </c>
      <c r="R410" s="238">
        <v>0.0</v>
      </c>
      <c r="S410" s="238">
        <v>35.0</v>
      </c>
      <c r="T410" s="238">
        <v>0.0</v>
      </c>
      <c r="U410" s="235" t="s">
        <v>16</v>
      </c>
    </row>
    <row r="411">
      <c r="A411" s="237">
        <v>46228.0</v>
      </c>
      <c r="B411" s="235" t="s">
        <v>2065</v>
      </c>
      <c r="C411" s="235" t="s">
        <v>207</v>
      </c>
      <c r="D411" s="235" t="s">
        <v>68</v>
      </c>
      <c r="E411" s="235" t="s">
        <v>208</v>
      </c>
      <c r="F411" s="235" t="s">
        <v>503</v>
      </c>
      <c r="G411" s="238">
        <v>11.0</v>
      </c>
      <c r="H411" s="238">
        <v>0.0</v>
      </c>
      <c r="I411" s="238">
        <v>0.0</v>
      </c>
      <c r="J411" s="238">
        <v>0.0</v>
      </c>
      <c r="K411" s="238">
        <v>0.0</v>
      </c>
      <c r="L411" s="238">
        <v>0.0</v>
      </c>
      <c r="M411" s="238">
        <v>0.0</v>
      </c>
      <c r="N411" s="238">
        <v>0.0</v>
      </c>
      <c r="O411" s="238">
        <v>0.0</v>
      </c>
      <c r="P411" s="238">
        <v>0.0</v>
      </c>
      <c r="Q411" s="238">
        <v>0.0</v>
      </c>
      <c r="R411" s="238">
        <v>0.0</v>
      </c>
      <c r="S411" s="238">
        <v>11.0</v>
      </c>
      <c r="T411" s="238">
        <v>0.0</v>
      </c>
      <c r="U411" s="235" t="s">
        <v>17</v>
      </c>
    </row>
    <row r="412">
      <c r="A412" s="237">
        <v>46228.0</v>
      </c>
      <c r="B412" s="235" t="s">
        <v>2065</v>
      </c>
      <c r="C412" s="235" t="s">
        <v>207</v>
      </c>
      <c r="D412" s="235" t="s">
        <v>68</v>
      </c>
      <c r="E412" s="235" t="s">
        <v>208</v>
      </c>
      <c r="F412" s="235" t="s">
        <v>503</v>
      </c>
      <c r="G412" s="238">
        <v>23.0</v>
      </c>
      <c r="H412" s="238">
        <v>0.0</v>
      </c>
      <c r="I412" s="238">
        <v>0.0</v>
      </c>
      <c r="J412" s="238">
        <v>0.0</v>
      </c>
      <c r="K412" s="238">
        <v>0.0</v>
      </c>
      <c r="L412" s="238">
        <v>0.0</v>
      </c>
      <c r="M412" s="238">
        <v>0.0</v>
      </c>
      <c r="N412" s="238">
        <v>0.0</v>
      </c>
      <c r="O412" s="238">
        <v>0.0</v>
      </c>
      <c r="P412" s="238">
        <v>0.0</v>
      </c>
      <c r="Q412" s="238">
        <v>0.0</v>
      </c>
      <c r="R412" s="238">
        <v>0.0</v>
      </c>
      <c r="S412" s="238">
        <v>23.0</v>
      </c>
      <c r="T412" s="238">
        <v>0.0</v>
      </c>
      <c r="U412" s="235" t="s">
        <v>155</v>
      </c>
    </row>
    <row r="413">
      <c r="A413" s="237">
        <v>46228.0</v>
      </c>
      <c r="B413" s="235" t="s">
        <v>2065</v>
      </c>
      <c r="C413" s="235" t="s">
        <v>207</v>
      </c>
      <c r="D413" s="235" t="s">
        <v>68</v>
      </c>
      <c r="E413" s="235" t="s">
        <v>208</v>
      </c>
      <c r="F413" s="235" t="s">
        <v>503</v>
      </c>
      <c r="G413" s="238">
        <v>17.0</v>
      </c>
      <c r="H413" s="238">
        <v>0.0</v>
      </c>
      <c r="I413" s="238">
        <v>0.0</v>
      </c>
      <c r="J413" s="238">
        <v>0.0</v>
      </c>
      <c r="K413" s="238">
        <v>0.0</v>
      </c>
      <c r="L413" s="238">
        <v>0.0</v>
      </c>
      <c r="M413" s="238">
        <v>0.0</v>
      </c>
      <c r="N413" s="238">
        <v>0.0</v>
      </c>
      <c r="O413" s="238">
        <v>0.0</v>
      </c>
      <c r="P413" s="238">
        <v>0.0</v>
      </c>
      <c r="Q413" s="238">
        <v>0.0</v>
      </c>
      <c r="R413" s="238">
        <v>0.0</v>
      </c>
      <c r="S413" s="238">
        <v>17.0</v>
      </c>
      <c r="T413" s="238">
        <v>0.0</v>
      </c>
      <c r="U413" s="235" t="s">
        <v>533</v>
      </c>
    </row>
    <row r="414">
      <c r="A414" s="237">
        <v>46228.0</v>
      </c>
      <c r="B414" s="235" t="s">
        <v>2065</v>
      </c>
      <c r="C414" s="235" t="s">
        <v>207</v>
      </c>
      <c r="D414" s="235" t="s">
        <v>68</v>
      </c>
      <c r="E414" s="235" t="s">
        <v>208</v>
      </c>
      <c r="F414" s="235" t="s">
        <v>503</v>
      </c>
      <c r="G414" s="238">
        <v>16.0</v>
      </c>
      <c r="H414" s="238">
        <v>0.0</v>
      </c>
      <c r="I414" s="238">
        <v>0.0</v>
      </c>
      <c r="J414" s="238">
        <v>-1.0</v>
      </c>
      <c r="K414" s="238">
        <v>0.0</v>
      </c>
      <c r="L414" s="238">
        <v>0.0</v>
      </c>
      <c r="M414" s="238">
        <v>0.0</v>
      </c>
      <c r="N414" s="238">
        <v>0.0</v>
      </c>
      <c r="O414" s="238">
        <v>0.0</v>
      </c>
      <c r="P414" s="238">
        <v>0.0</v>
      </c>
      <c r="Q414" s="238">
        <v>0.0</v>
      </c>
      <c r="R414" s="238">
        <v>0.0</v>
      </c>
      <c r="S414" s="238">
        <v>15.0</v>
      </c>
      <c r="T414" s="238">
        <v>0.0</v>
      </c>
      <c r="U414" s="235" t="s">
        <v>13</v>
      </c>
    </row>
    <row r="415">
      <c r="A415" s="250">
        <v>46228.0</v>
      </c>
      <c r="B415" s="235" t="s">
        <v>2065</v>
      </c>
      <c r="C415" s="235" t="s">
        <v>207</v>
      </c>
      <c r="D415" s="235" t="s">
        <v>68</v>
      </c>
      <c r="E415" s="235" t="s">
        <v>208</v>
      </c>
      <c r="F415" s="235" t="s">
        <v>503</v>
      </c>
      <c r="G415" s="238">
        <v>17.0</v>
      </c>
      <c r="H415" s="238">
        <v>0.0</v>
      </c>
      <c r="I415" s="238">
        <v>0.0</v>
      </c>
      <c r="J415" s="238">
        <v>0.0</v>
      </c>
      <c r="K415" s="238">
        <v>0.0</v>
      </c>
      <c r="L415" s="238">
        <v>0.0</v>
      </c>
      <c r="M415" s="238">
        <v>0.0</v>
      </c>
      <c r="N415" s="238">
        <v>0.0</v>
      </c>
      <c r="O415" s="238">
        <v>0.0</v>
      </c>
      <c r="P415" s="238">
        <v>0.0</v>
      </c>
      <c r="Q415" s="238">
        <v>0.0</v>
      </c>
      <c r="R415" s="238">
        <v>0.0</v>
      </c>
      <c r="S415" s="238">
        <v>17.0</v>
      </c>
      <c r="T415" s="238">
        <v>0.0</v>
      </c>
      <c r="U415" s="235" t="s">
        <v>14</v>
      </c>
    </row>
    <row r="416">
      <c r="A416" s="250">
        <v>46228.0</v>
      </c>
      <c r="B416" s="235" t="s">
        <v>2065</v>
      </c>
      <c r="C416" s="235" t="s">
        <v>207</v>
      </c>
      <c r="D416" s="235" t="s">
        <v>68</v>
      </c>
      <c r="E416" s="235" t="s">
        <v>208</v>
      </c>
      <c r="F416" s="235" t="s">
        <v>503</v>
      </c>
      <c r="G416" s="238">
        <v>2.0</v>
      </c>
      <c r="H416" s="238">
        <v>0.0</v>
      </c>
      <c r="I416" s="238">
        <v>0.0</v>
      </c>
      <c r="J416" s="238">
        <v>0.0</v>
      </c>
      <c r="K416" s="238">
        <v>0.0</v>
      </c>
      <c r="L416" s="238">
        <v>0.0</v>
      </c>
      <c r="M416" s="238">
        <v>0.0</v>
      </c>
      <c r="N416" s="238">
        <v>0.0</v>
      </c>
      <c r="O416" s="238">
        <v>0.0</v>
      </c>
      <c r="P416" s="238">
        <v>0.0</v>
      </c>
      <c r="Q416" s="238">
        <v>0.0</v>
      </c>
      <c r="R416" s="238">
        <v>0.0</v>
      </c>
      <c r="S416" s="238">
        <v>2.0</v>
      </c>
      <c r="T416" s="238">
        <v>0.0</v>
      </c>
      <c r="U416" s="235" t="s">
        <v>18</v>
      </c>
    </row>
    <row r="417">
      <c r="A417" s="250">
        <v>46228.0</v>
      </c>
      <c r="B417" s="235" t="s">
        <v>2065</v>
      </c>
      <c r="C417" s="235" t="s">
        <v>207</v>
      </c>
      <c r="D417" s="235" t="s">
        <v>68</v>
      </c>
      <c r="E417" s="235" t="s">
        <v>208</v>
      </c>
      <c r="F417" s="235" t="s">
        <v>503</v>
      </c>
      <c r="G417" s="238">
        <v>34.0</v>
      </c>
      <c r="H417" s="238">
        <v>0.0</v>
      </c>
      <c r="I417" s="238">
        <v>0.0</v>
      </c>
      <c r="J417" s="238">
        <v>0.0</v>
      </c>
      <c r="K417" s="238">
        <v>0.0</v>
      </c>
      <c r="L417" s="238">
        <v>0.0</v>
      </c>
      <c r="M417" s="238">
        <v>0.0</v>
      </c>
      <c r="N417" s="238">
        <v>0.0</v>
      </c>
      <c r="O417" s="238">
        <v>0.0</v>
      </c>
      <c r="P417" s="238">
        <v>0.0</v>
      </c>
      <c r="Q417" s="238">
        <v>0.0</v>
      </c>
      <c r="R417" s="238">
        <v>0.0</v>
      </c>
      <c r="S417" s="238">
        <v>34.0</v>
      </c>
      <c r="T417" s="238">
        <v>0.0</v>
      </c>
      <c r="U417" s="235" t="s">
        <v>20</v>
      </c>
    </row>
    <row r="418">
      <c r="A418" s="250">
        <v>46228.0</v>
      </c>
      <c r="B418" s="235" t="s">
        <v>2065</v>
      </c>
      <c r="C418" s="235" t="s">
        <v>207</v>
      </c>
      <c r="D418" s="235" t="s">
        <v>68</v>
      </c>
      <c r="E418" s="235" t="s">
        <v>208</v>
      </c>
      <c r="F418" s="235" t="s">
        <v>503</v>
      </c>
      <c r="G418" s="238">
        <v>26.0</v>
      </c>
      <c r="H418" s="238">
        <v>0.0</v>
      </c>
      <c r="I418" s="238">
        <v>0.0</v>
      </c>
      <c r="J418" s="238">
        <v>0.0</v>
      </c>
      <c r="K418" s="238">
        <v>0.0</v>
      </c>
      <c r="L418" s="238">
        <v>0.0</v>
      </c>
      <c r="M418" s="238">
        <v>0.0</v>
      </c>
      <c r="N418" s="238">
        <v>0.0</v>
      </c>
      <c r="O418" s="238">
        <v>0.0</v>
      </c>
      <c r="P418" s="238">
        <v>0.0</v>
      </c>
      <c r="Q418" s="238">
        <v>0.0</v>
      </c>
      <c r="R418" s="238">
        <v>0.0</v>
      </c>
      <c r="S418" s="238">
        <v>26.0</v>
      </c>
      <c r="T418" s="238">
        <v>0.0</v>
      </c>
      <c r="U418" s="235" t="s">
        <v>156</v>
      </c>
    </row>
    <row r="419">
      <c r="A419" s="250">
        <v>46228.0</v>
      </c>
      <c r="B419" s="235" t="s">
        <v>2065</v>
      </c>
      <c r="C419" s="235" t="s">
        <v>207</v>
      </c>
      <c r="D419" s="235" t="s">
        <v>68</v>
      </c>
      <c r="E419" s="235" t="s">
        <v>208</v>
      </c>
      <c r="F419" s="235" t="s">
        <v>503</v>
      </c>
      <c r="G419" s="238">
        <v>10.0</v>
      </c>
      <c r="H419" s="238">
        <v>0.0</v>
      </c>
      <c r="I419" s="238">
        <v>0.0</v>
      </c>
      <c r="J419" s="238">
        <v>0.0</v>
      </c>
      <c r="K419" s="238">
        <v>0.0</v>
      </c>
      <c r="L419" s="238">
        <v>0.0</v>
      </c>
      <c r="M419" s="238">
        <v>0.0</v>
      </c>
      <c r="N419" s="238">
        <v>0.0</v>
      </c>
      <c r="O419" s="238">
        <v>0.0</v>
      </c>
      <c r="P419" s="238">
        <v>0.0</v>
      </c>
      <c r="Q419" s="238">
        <v>0.0</v>
      </c>
      <c r="R419" s="238">
        <v>0.0</v>
      </c>
      <c r="S419" s="238">
        <v>10.0</v>
      </c>
      <c r="T419" s="238">
        <v>0.0</v>
      </c>
      <c r="U419" s="235" t="s">
        <v>546</v>
      </c>
    </row>
    <row r="420">
      <c r="A420" s="250">
        <v>46228.0</v>
      </c>
      <c r="B420" s="235" t="s">
        <v>2107</v>
      </c>
      <c r="C420" s="235" t="s">
        <v>329</v>
      </c>
      <c r="D420" s="235" t="s">
        <v>75</v>
      </c>
      <c r="E420" s="235" t="s">
        <v>2108</v>
      </c>
      <c r="F420" s="235" t="s">
        <v>503</v>
      </c>
      <c r="G420" s="238">
        <v>3.0</v>
      </c>
      <c r="H420" s="238">
        <v>0.0</v>
      </c>
      <c r="I420" s="238">
        <v>0.0</v>
      </c>
      <c r="J420" s="238">
        <v>0.0</v>
      </c>
      <c r="K420" s="238">
        <v>0.0</v>
      </c>
      <c r="L420" s="238">
        <v>0.0</v>
      </c>
      <c r="M420" s="238">
        <v>0.0</v>
      </c>
      <c r="N420" s="238">
        <v>0.0</v>
      </c>
      <c r="O420" s="238">
        <v>0.0</v>
      </c>
      <c r="P420" s="238">
        <v>0.0</v>
      </c>
      <c r="Q420" s="238">
        <v>0.0</v>
      </c>
      <c r="R420" s="238">
        <v>0.0</v>
      </c>
      <c r="S420" s="238">
        <v>3.0</v>
      </c>
      <c r="T420" s="238">
        <v>0.0</v>
      </c>
      <c r="U420" s="235" t="s">
        <v>5</v>
      </c>
    </row>
    <row r="421">
      <c r="A421" s="250">
        <v>46228.0</v>
      </c>
      <c r="B421" s="235" t="s">
        <v>2107</v>
      </c>
      <c r="C421" s="235" t="s">
        <v>329</v>
      </c>
      <c r="D421" s="235" t="s">
        <v>75</v>
      </c>
      <c r="E421" s="235" t="s">
        <v>2108</v>
      </c>
      <c r="F421" s="235" t="s">
        <v>503</v>
      </c>
      <c r="G421" s="238">
        <v>8.0</v>
      </c>
      <c r="H421" s="238">
        <v>0.0</v>
      </c>
      <c r="I421" s="238">
        <v>0.0</v>
      </c>
      <c r="J421" s="238">
        <v>0.0</v>
      </c>
      <c r="K421" s="238">
        <v>0.0</v>
      </c>
      <c r="L421" s="238">
        <v>0.0</v>
      </c>
      <c r="M421" s="238">
        <v>0.0</v>
      </c>
      <c r="N421" s="238">
        <v>0.0</v>
      </c>
      <c r="O421" s="238">
        <v>0.0</v>
      </c>
      <c r="P421" s="238">
        <v>0.0</v>
      </c>
      <c r="Q421" s="238">
        <v>0.0</v>
      </c>
      <c r="R421" s="238">
        <v>0.0</v>
      </c>
      <c r="S421" s="238">
        <v>8.0</v>
      </c>
      <c r="T421" s="238">
        <v>0.0</v>
      </c>
      <c r="U421" s="235" t="s">
        <v>9</v>
      </c>
    </row>
    <row r="422">
      <c r="A422" s="250">
        <v>46228.0</v>
      </c>
      <c r="B422" s="235" t="s">
        <v>2107</v>
      </c>
      <c r="C422" s="235" t="s">
        <v>329</v>
      </c>
      <c r="D422" s="235" t="s">
        <v>75</v>
      </c>
      <c r="E422" s="235" t="s">
        <v>2108</v>
      </c>
      <c r="F422" s="235" t="s">
        <v>503</v>
      </c>
      <c r="G422" s="238">
        <v>8.0</v>
      </c>
      <c r="H422" s="238">
        <v>0.0</v>
      </c>
      <c r="I422" s="238">
        <v>0.0</v>
      </c>
      <c r="J422" s="238">
        <v>0.0</v>
      </c>
      <c r="K422" s="238">
        <v>0.0</v>
      </c>
      <c r="L422" s="238">
        <v>0.0</v>
      </c>
      <c r="M422" s="238">
        <v>0.0</v>
      </c>
      <c r="N422" s="238">
        <v>0.0</v>
      </c>
      <c r="O422" s="238">
        <v>0.0</v>
      </c>
      <c r="P422" s="238">
        <v>0.0</v>
      </c>
      <c r="Q422" s="238">
        <v>0.0</v>
      </c>
      <c r="R422" s="238">
        <v>0.0</v>
      </c>
      <c r="S422" s="238">
        <v>8.0</v>
      </c>
      <c r="T422" s="238">
        <v>0.0</v>
      </c>
      <c r="U422" s="235" t="s">
        <v>11</v>
      </c>
    </row>
    <row r="423">
      <c r="A423" s="250">
        <v>46228.0</v>
      </c>
      <c r="B423" s="235" t="s">
        <v>2107</v>
      </c>
      <c r="C423" s="235" t="s">
        <v>329</v>
      </c>
      <c r="D423" s="235" t="s">
        <v>75</v>
      </c>
      <c r="E423" s="235" t="s">
        <v>2108</v>
      </c>
      <c r="F423" s="235" t="s">
        <v>503</v>
      </c>
      <c r="G423" s="238">
        <v>3.0</v>
      </c>
      <c r="H423" s="238">
        <v>0.0</v>
      </c>
      <c r="I423" s="238">
        <v>0.0</v>
      </c>
      <c r="J423" s="238">
        <v>0.0</v>
      </c>
      <c r="K423" s="238">
        <v>0.0</v>
      </c>
      <c r="L423" s="238">
        <v>0.0</v>
      </c>
      <c r="M423" s="238">
        <v>0.0</v>
      </c>
      <c r="N423" s="238">
        <v>0.0</v>
      </c>
      <c r="O423" s="238">
        <v>0.0</v>
      </c>
      <c r="P423" s="238">
        <v>0.0</v>
      </c>
      <c r="Q423" s="238">
        <v>0.0</v>
      </c>
      <c r="R423" s="238">
        <v>0.0</v>
      </c>
      <c r="S423" s="238">
        <v>3.0</v>
      </c>
      <c r="T423" s="238">
        <v>0.0</v>
      </c>
      <c r="U423" s="235" t="s">
        <v>16</v>
      </c>
    </row>
    <row r="424">
      <c r="A424" s="250">
        <v>46228.0</v>
      </c>
      <c r="B424" s="235" t="s">
        <v>2107</v>
      </c>
      <c r="C424" s="235" t="s">
        <v>329</v>
      </c>
      <c r="D424" s="235" t="s">
        <v>75</v>
      </c>
      <c r="E424" s="235" t="s">
        <v>2108</v>
      </c>
      <c r="F424" s="235" t="s">
        <v>503</v>
      </c>
      <c r="G424" s="238">
        <v>3.0</v>
      </c>
      <c r="H424" s="238">
        <v>0.0</v>
      </c>
      <c r="I424" s="238">
        <v>0.0</v>
      </c>
      <c r="J424" s="238">
        <v>0.0</v>
      </c>
      <c r="K424" s="238">
        <v>0.0</v>
      </c>
      <c r="L424" s="238">
        <v>0.0</v>
      </c>
      <c r="M424" s="238">
        <v>0.0</v>
      </c>
      <c r="N424" s="238">
        <v>0.0</v>
      </c>
      <c r="O424" s="238">
        <v>0.0</v>
      </c>
      <c r="P424" s="238">
        <v>0.0</v>
      </c>
      <c r="Q424" s="238">
        <v>0.0</v>
      </c>
      <c r="R424" s="238">
        <v>0.0</v>
      </c>
      <c r="S424" s="238">
        <v>3.0</v>
      </c>
      <c r="T424" s="238">
        <v>0.0</v>
      </c>
      <c r="U424" s="235" t="s">
        <v>17</v>
      </c>
    </row>
    <row r="425">
      <c r="A425" s="250">
        <v>46228.0</v>
      </c>
      <c r="B425" s="235" t="s">
        <v>2107</v>
      </c>
      <c r="C425" s="235" t="s">
        <v>329</v>
      </c>
      <c r="D425" s="235" t="s">
        <v>75</v>
      </c>
      <c r="E425" s="235" t="s">
        <v>2108</v>
      </c>
      <c r="F425" s="235" t="s">
        <v>503</v>
      </c>
      <c r="G425" s="238">
        <v>2.0</v>
      </c>
      <c r="H425" s="238">
        <v>0.0</v>
      </c>
      <c r="I425" s="238">
        <v>0.0</v>
      </c>
      <c r="J425" s="238">
        <v>0.0</v>
      </c>
      <c r="K425" s="238">
        <v>0.0</v>
      </c>
      <c r="L425" s="238">
        <v>0.0</v>
      </c>
      <c r="M425" s="238">
        <v>0.0</v>
      </c>
      <c r="N425" s="238">
        <v>0.0</v>
      </c>
      <c r="O425" s="238">
        <v>0.0</v>
      </c>
      <c r="P425" s="238">
        <v>0.0</v>
      </c>
      <c r="Q425" s="238">
        <v>0.0</v>
      </c>
      <c r="R425" s="238">
        <v>0.0</v>
      </c>
      <c r="S425" s="238">
        <v>2.0</v>
      </c>
      <c r="T425" s="238">
        <v>0.0</v>
      </c>
      <c r="U425" s="235" t="s">
        <v>155</v>
      </c>
    </row>
    <row r="426">
      <c r="A426" s="250">
        <v>46228.0</v>
      </c>
      <c r="B426" s="235" t="s">
        <v>2107</v>
      </c>
      <c r="C426" s="235" t="s">
        <v>329</v>
      </c>
      <c r="D426" s="235" t="s">
        <v>75</v>
      </c>
      <c r="E426" s="235" t="s">
        <v>2108</v>
      </c>
      <c r="F426" s="235" t="s">
        <v>503</v>
      </c>
      <c r="G426" s="238">
        <v>12.0</v>
      </c>
      <c r="H426" s="238">
        <v>0.0</v>
      </c>
      <c r="I426" s="238">
        <v>0.0</v>
      </c>
      <c r="J426" s="238">
        <v>0.0</v>
      </c>
      <c r="K426" s="238">
        <v>0.0</v>
      </c>
      <c r="L426" s="238">
        <v>0.0</v>
      </c>
      <c r="M426" s="238">
        <v>0.0</v>
      </c>
      <c r="N426" s="238">
        <v>0.0</v>
      </c>
      <c r="O426" s="238">
        <v>0.0</v>
      </c>
      <c r="P426" s="238">
        <v>0.0</v>
      </c>
      <c r="Q426" s="238">
        <v>0.0</v>
      </c>
      <c r="R426" s="238">
        <v>0.0</v>
      </c>
      <c r="S426" s="238">
        <v>12.0</v>
      </c>
      <c r="T426" s="238">
        <v>0.0</v>
      </c>
      <c r="U426" s="235" t="s">
        <v>533</v>
      </c>
    </row>
    <row r="427">
      <c r="A427" s="250">
        <v>46228.0</v>
      </c>
      <c r="B427" s="235" t="s">
        <v>2107</v>
      </c>
      <c r="C427" s="235" t="s">
        <v>329</v>
      </c>
      <c r="D427" s="235" t="s">
        <v>75</v>
      </c>
      <c r="E427" s="235" t="s">
        <v>2108</v>
      </c>
      <c r="F427" s="235" t="s">
        <v>503</v>
      </c>
      <c r="G427" s="238">
        <v>2.0</v>
      </c>
      <c r="H427" s="238">
        <v>0.0</v>
      </c>
      <c r="I427" s="238">
        <v>0.0</v>
      </c>
      <c r="J427" s="238">
        <v>0.0</v>
      </c>
      <c r="K427" s="238">
        <v>0.0</v>
      </c>
      <c r="L427" s="238">
        <v>0.0</v>
      </c>
      <c r="M427" s="238">
        <v>0.0</v>
      </c>
      <c r="N427" s="238">
        <v>0.0</v>
      </c>
      <c r="O427" s="238">
        <v>0.0</v>
      </c>
      <c r="P427" s="238">
        <v>0.0</v>
      </c>
      <c r="Q427" s="238">
        <v>0.0</v>
      </c>
      <c r="R427" s="238">
        <v>0.0</v>
      </c>
      <c r="S427" s="238">
        <v>2.0</v>
      </c>
      <c r="T427" s="238">
        <v>0.0</v>
      </c>
      <c r="U427" s="235" t="s">
        <v>13</v>
      </c>
    </row>
    <row r="428">
      <c r="A428" s="250">
        <v>46228.0</v>
      </c>
      <c r="B428" s="235" t="s">
        <v>2107</v>
      </c>
      <c r="C428" s="235" t="s">
        <v>329</v>
      </c>
      <c r="D428" s="235" t="s">
        <v>75</v>
      </c>
      <c r="E428" s="235" t="s">
        <v>2108</v>
      </c>
      <c r="F428" s="235" t="s">
        <v>503</v>
      </c>
      <c r="G428" s="238">
        <v>7.0</v>
      </c>
      <c r="H428" s="238">
        <v>0.0</v>
      </c>
      <c r="I428" s="238">
        <v>0.0</v>
      </c>
      <c r="J428" s="238">
        <v>0.0</v>
      </c>
      <c r="K428" s="238">
        <v>0.0</v>
      </c>
      <c r="L428" s="238">
        <v>0.0</v>
      </c>
      <c r="M428" s="238">
        <v>0.0</v>
      </c>
      <c r="N428" s="238">
        <v>0.0</v>
      </c>
      <c r="O428" s="238">
        <v>0.0</v>
      </c>
      <c r="P428" s="238">
        <v>0.0</v>
      </c>
      <c r="Q428" s="238">
        <v>0.0</v>
      </c>
      <c r="R428" s="238">
        <v>0.0</v>
      </c>
      <c r="S428" s="238">
        <v>7.0</v>
      </c>
      <c r="T428" s="238">
        <v>0.0</v>
      </c>
      <c r="U428" s="235" t="s">
        <v>14</v>
      </c>
    </row>
    <row r="429">
      <c r="A429" s="250">
        <v>46228.0</v>
      </c>
      <c r="B429" s="235" t="s">
        <v>2107</v>
      </c>
      <c r="C429" s="235" t="s">
        <v>329</v>
      </c>
      <c r="D429" s="235" t="s">
        <v>75</v>
      </c>
      <c r="E429" s="235" t="s">
        <v>2108</v>
      </c>
      <c r="F429" s="235" t="s">
        <v>503</v>
      </c>
      <c r="G429" s="238">
        <v>1.0</v>
      </c>
      <c r="H429" s="238">
        <v>0.0</v>
      </c>
      <c r="I429" s="238">
        <v>0.0</v>
      </c>
      <c r="J429" s="238">
        <v>0.0</v>
      </c>
      <c r="K429" s="238">
        <v>0.0</v>
      </c>
      <c r="L429" s="238">
        <v>0.0</v>
      </c>
      <c r="M429" s="238">
        <v>0.0</v>
      </c>
      <c r="N429" s="238">
        <v>0.0</v>
      </c>
      <c r="O429" s="238">
        <v>0.0</v>
      </c>
      <c r="P429" s="238">
        <v>0.0</v>
      </c>
      <c r="Q429" s="238">
        <v>0.0</v>
      </c>
      <c r="R429" s="238">
        <v>0.0</v>
      </c>
      <c r="S429" s="238">
        <v>1.0</v>
      </c>
      <c r="T429" s="238">
        <v>0.0</v>
      </c>
      <c r="U429" s="235" t="s">
        <v>18</v>
      </c>
    </row>
    <row r="430">
      <c r="A430" s="250">
        <v>46228.0</v>
      </c>
      <c r="B430" s="235" t="s">
        <v>2107</v>
      </c>
      <c r="C430" s="235" t="s">
        <v>329</v>
      </c>
      <c r="D430" s="235" t="s">
        <v>75</v>
      </c>
      <c r="E430" s="235" t="s">
        <v>2108</v>
      </c>
      <c r="F430" s="235" t="s">
        <v>503</v>
      </c>
      <c r="G430" s="238">
        <v>18.0</v>
      </c>
      <c r="H430" s="238">
        <v>0.0</v>
      </c>
      <c r="I430" s="238">
        <v>0.0</v>
      </c>
      <c r="J430" s="238">
        <v>0.0</v>
      </c>
      <c r="K430" s="238">
        <v>0.0</v>
      </c>
      <c r="L430" s="238">
        <v>0.0</v>
      </c>
      <c r="M430" s="238">
        <v>0.0</v>
      </c>
      <c r="N430" s="238">
        <v>0.0</v>
      </c>
      <c r="O430" s="238">
        <v>0.0</v>
      </c>
      <c r="P430" s="238">
        <v>0.0</v>
      </c>
      <c r="Q430" s="238">
        <v>0.0</v>
      </c>
      <c r="R430" s="238">
        <v>0.0</v>
      </c>
      <c r="S430" s="238">
        <v>18.0</v>
      </c>
      <c r="T430" s="238">
        <v>0.0</v>
      </c>
      <c r="U430" s="235" t="s">
        <v>20</v>
      </c>
    </row>
    <row r="431">
      <c r="A431" s="250">
        <v>46228.0</v>
      </c>
      <c r="B431" s="235" t="s">
        <v>2107</v>
      </c>
      <c r="C431" s="235" t="s">
        <v>329</v>
      </c>
      <c r="D431" s="235" t="s">
        <v>75</v>
      </c>
      <c r="E431" s="235" t="s">
        <v>2108</v>
      </c>
      <c r="F431" s="235" t="s">
        <v>503</v>
      </c>
      <c r="G431" s="238">
        <v>7.0</v>
      </c>
      <c r="H431" s="238">
        <v>0.0</v>
      </c>
      <c r="I431" s="238">
        <v>0.0</v>
      </c>
      <c r="J431" s="238">
        <v>0.0</v>
      </c>
      <c r="K431" s="238">
        <v>0.0</v>
      </c>
      <c r="L431" s="238">
        <v>0.0</v>
      </c>
      <c r="M431" s="238">
        <v>0.0</v>
      </c>
      <c r="N431" s="238">
        <v>0.0</v>
      </c>
      <c r="O431" s="238">
        <v>0.0</v>
      </c>
      <c r="P431" s="238">
        <v>0.0</v>
      </c>
      <c r="Q431" s="238">
        <v>0.0</v>
      </c>
      <c r="R431" s="238">
        <v>0.0</v>
      </c>
      <c r="S431" s="238">
        <v>7.0</v>
      </c>
      <c r="T431" s="238">
        <v>0.0</v>
      </c>
      <c r="U431" s="235" t="s">
        <v>156</v>
      </c>
    </row>
    <row r="432">
      <c r="A432" s="250">
        <v>46228.0</v>
      </c>
      <c r="B432" s="235" t="s">
        <v>2107</v>
      </c>
      <c r="C432" s="235" t="s">
        <v>329</v>
      </c>
      <c r="D432" s="235" t="s">
        <v>75</v>
      </c>
      <c r="E432" s="235" t="s">
        <v>2108</v>
      </c>
      <c r="F432" s="235" t="s">
        <v>503</v>
      </c>
      <c r="G432" s="238">
        <v>4.0</v>
      </c>
      <c r="H432" s="238">
        <v>0.0</v>
      </c>
      <c r="I432" s="238">
        <v>0.0</v>
      </c>
      <c r="J432" s="238">
        <v>0.0</v>
      </c>
      <c r="K432" s="238">
        <v>0.0</v>
      </c>
      <c r="L432" s="238">
        <v>0.0</v>
      </c>
      <c r="M432" s="238">
        <v>0.0</v>
      </c>
      <c r="N432" s="238">
        <v>0.0</v>
      </c>
      <c r="O432" s="238">
        <v>0.0</v>
      </c>
      <c r="P432" s="238">
        <v>0.0</v>
      </c>
      <c r="Q432" s="238">
        <v>0.0</v>
      </c>
      <c r="R432" s="238">
        <v>0.0</v>
      </c>
      <c r="S432" s="238">
        <v>4.0</v>
      </c>
      <c r="T432" s="238">
        <v>0.0</v>
      </c>
      <c r="U432" s="235" t="s">
        <v>546</v>
      </c>
    </row>
    <row r="433">
      <c r="A433" s="250">
        <v>46228.0</v>
      </c>
      <c r="B433" s="235" t="s">
        <v>2147</v>
      </c>
      <c r="C433" s="235" t="s">
        <v>317</v>
      </c>
      <c r="D433" s="235" t="s">
        <v>131</v>
      </c>
      <c r="E433" s="235" t="s">
        <v>2148</v>
      </c>
      <c r="F433" s="235" t="s">
        <v>514</v>
      </c>
      <c r="G433" s="238">
        <v>1.0</v>
      </c>
      <c r="H433" s="238">
        <v>0.0</v>
      </c>
      <c r="I433" s="238">
        <v>0.0</v>
      </c>
      <c r="J433" s="238">
        <v>0.0</v>
      </c>
      <c r="K433" s="238">
        <v>0.0</v>
      </c>
      <c r="L433" s="238">
        <v>0.0</v>
      </c>
      <c r="M433" s="238">
        <v>0.0</v>
      </c>
      <c r="N433" s="238">
        <v>0.0</v>
      </c>
      <c r="O433" s="238">
        <v>0.0</v>
      </c>
      <c r="P433" s="238">
        <v>0.0</v>
      </c>
      <c r="Q433" s="238">
        <v>0.0</v>
      </c>
      <c r="R433" s="238">
        <v>0.0</v>
      </c>
      <c r="S433" s="238">
        <v>0.0</v>
      </c>
      <c r="T433" s="238">
        <v>0.0</v>
      </c>
      <c r="U433" s="235" t="s">
        <v>533</v>
      </c>
    </row>
    <row r="434">
      <c r="A434" s="250">
        <v>46228.0</v>
      </c>
      <c r="B434" s="235" t="s">
        <v>2147</v>
      </c>
      <c r="C434" s="235" t="s">
        <v>317</v>
      </c>
      <c r="D434" s="235" t="s">
        <v>131</v>
      </c>
      <c r="E434" s="235" t="s">
        <v>2148</v>
      </c>
      <c r="F434" s="235" t="s">
        <v>503</v>
      </c>
      <c r="G434" s="238">
        <v>2.0</v>
      </c>
      <c r="H434" s="238">
        <v>0.0</v>
      </c>
      <c r="I434" s="238">
        <v>0.0</v>
      </c>
      <c r="J434" s="238">
        <v>0.0</v>
      </c>
      <c r="K434" s="238">
        <v>0.0</v>
      </c>
      <c r="L434" s="238">
        <v>0.0</v>
      </c>
      <c r="M434" s="238">
        <v>0.0</v>
      </c>
      <c r="N434" s="238">
        <v>0.0</v>
      </c>
      <c r="O434" s="238">
        <v>0.0</v>
      </c>
      <c r="P434" s="238">
        <v>0.0</v>
      </c>
      <c r="Q434" s="238">
        <v>0.0</v>
      </c>
      <c r="R434" s="238">
        <v>0.0</v>
      </c>
      <c r="S434" s="238">
        <v>2.0</v>
      </c>
      <c r="T434" s="238">
        <v>0.0</v>
      </c>
      <c r="U434" s="235" t="s">
        <v>5</v>
      </c>
    </row>
    <row r="435">
      <c r="A435" s="250">
        <v>46228.0</v>
      </c>
      <c r="B435" s="235" t="s">
        <v>2147</v>
      </c>
      <c r="C435" s="235" t="s">
        <v>317</v>
      </c>
      <c r="D435" s="235" t="s">
        <v>131</v>
      </c>
      <c r="E435" s="235" t="s">
        <v>2148</v>
      </c>
      <c r="F435" s="235" t="s">
        <v>503</v>
      </c>
      <c r="G435" s="238">
        <v>2.0</v>
      </c>
      <c r="H435" s="238">
        <v>0.0</v>
      </c>
      <c r="I435" s="238">
        <v>0.0</v>
      </c>
      <c r="J435" s="238">
        <v>0.0</v>
      </c>
      <c r="K435" s="238">
        <v>0.0</v>
      </c>
      <c r="L435" s="238">
        <v>0.0</v>
      </c>
      <c r="M435" s="238">
        <v>0.0</v>
      </c>
      <c r="N435" s="238">
        <v>0.0</v>
      </c>
      <c r="O435" s="238">
        <v>0.0</v>
      </c>
      <c r="P435" s="238">
        <v>0.0</v>
      </c>
      <c r="Q435" s="238">
        <v>0.0</v>
      </c>
      <c r="R435" s="238">
        <v>0.0</v>
      </c>
      <c r="S435" s="238">
        <v>2.0</v>
      </c>
      <c r="T435" s="238">
        <v>0.0</v>
      </c>
      <c r="U435" s="235" t="s">
        <v>9</v>
      </c>
    </row>
    <row r="436">
      <c r="A436" s="250">
        <v>46228.0</v>
      </c>
      <c r="B436" s="235" t="s">
        <v>2147</v>
      </c>
      <c r="C436" s="235" t="s">
        <v>317</v>
      </c>
      <c r="D436" s="235" t="s">
        <v>131</v>
      </c>
      <c r="E436" s="235" t="s">
        <v>2148</v>
      </c>
      <c r="F436" s="235" t="s">
        <v>503</v>
      </c>
      <c r="G436" s="238">
        <v>3.0</v>
      </c>
      <c r="H436" s="238">
        <v>0.0</v>
      </c>
      <c r="I436" s="238">
        <v>0.0</v>
      </c>
      <c r="J436" s="238">
        <v>0.0</v>
      </c>
      <c r="K436" s="238">
        <v>0.0</v>
      </c>
      <c r="L436" s="238">
        <v>0.0</v>
      </c>
      <c r="M436" s="238">
        <v>0.0</v>
      </c>
      <c r="N436" s="238">
        <v>0.0</v>
      </c>
      <c r="O436" s="238">
        <v>0.0</v>
      </c>
      <c r="P436" s="238">
        <v>0.0</v>
      </c>
      <c r="Q436" s="238">
        <v>0.0</v>
      </c>
      <c r="R436" s="238">
        <v>0.0</v>
      </c>
      <c r="S436" s="238">
        <v>3.0</v>
      </c>
      <c r="T436" s="238">
        <v>0.0</v>
      </c>
      <c r="U436" s="235" t="s">
        <v>11</v>
      </c>
    </row>
    <row r="437">
      <c r="A437" s="250">
        <v>46228.0</v>
      </c>
      <c r="B437" s="235" t="s">
        <v>2147</v>
      </c>
      <c r="C437" s="235" t="s">
        <v>317</v>
      </c>
      <c r="D437" s="235" t="s">
        <v>131</v>
      </c>
      <c r="E437" s="235" t="s">
        <v>2148</v>
      </c>
      <c r="F437" s="235" t="s">
        <v>503</v>
      </c>
      <c r="G437" s="238">
        <v>1.0</v>
      </c>
      <c r="H437" s="238">
        <v>0.0</v>
      </c>
      <c r="I437" s="238">
        <v>0.0</v>
      </c>
      <c r="J437" s="238">
        <v>0.0</v>
      </c>
      <c r="K437" s="238">
        <v>0.0</v>
      </c>
      <c r="L437" s="238">
        <v>0.0</v>
      </c>
      <c r="M437" s="238">
        <v>0.0</v>
      </c>
      <c r="N437" s="238">
        <v>0.0</v>
      </c>
      <c r="O437" s="238">
        <v>0.0</v>
      </c>
      <c r="P437" s="238">
        <v>0.0</v>
      </c>
      <c r="Q437" s="238">
        <v>0.0</v>
      </c>
      <c r="R437" s="238">
        <v>0.0</v>
      </c>
      <c r="S437" s="238">
        <v>1.0</v>
      </c>
      <c r="T437" s="238">
        <v>0.0</v>
      </c>
      <c r="U437" s="235" t="s">
        <v>17</v>
      </c>
    </row>
    <row r="438">
      <c r="A438" s="250">
        <v>46228.0</v>
      </c>
      <c r="B438" s="235" t="s">
        <v>2147</v>
      </c>
      <c r="C438" s="235" t="s">
        <v>317</v>
      </c>
      <c r="D438" s="235" t="s">
        <v>131</v>
      </c>
      <c r="E438" s="235" t="s">
        <v>2148</v>
      </c>
      <c r="F438" s="235" t="s">
        <v>503</v>
      </c>
      <c r="G438" s="238">
        <v>1.0</v>
      </c>
      <c r="H438" s="238">
        <v>0.0</v>
      </c>
      <c r="I438" s="238">
        <v>0.0</v>
      </c>
      <c r="J438" s="238">
        <v>0.0</v>
      </c>
      <c r="K438" s="238">
        <v>0.0</v>
      </c>
      <c r="L438" s="238">
        <v>0.0</v>
      </c>
      <c r="M438" s="238">
        <v>0.0</v>
      </c>
      <c r="N438" s="238">
        <v>0.0</v>
      </c>
      <c r="O438" s="238">
        <v>0.0</v>
      </c>
      <c r="P438" s="238">
        <v>0.0</v>
      </c>
      <c r="Q438" s="238">
        <v>0.0</v>
      </c>
      <c r="R438" s="238">
        <v>0.0</v>
      </c>
      <c r="S438" s="238">
        <v>1.0</v>
      </c>
      <c r="T438" s="238">
        <v>0.0</v>
      </c>
      <c r="U438" s="235" t="s">
        <v>20</v>
      </c>
    </row>
    <row r="439">
      <c r="A439" s="250">
        <v>46228.0</v>
      </c>
      <c r="B439" s="235" t="s">
        <v>2147</v>
      </c>
      <c r="C439" s="235" t="s">
        <v>317</v>
      </c>
      <c r="D439" s="235" t="s">
        <v>131</v>
      </c>
      <c r="E439" s="235" t="s">
        <v>2148</v>
      </c>
      <c r="F439" s="235" t="s">
        <v>503</v>
      </c>
      <c r="G439" s="238">
        <v>3.0</v>
      </c>
      <c r="H439" s="238">
        <v>0.0</v>
      </c>
      <c r="I439" s="238">
        <v>0.0</v>
      </c>
      <c r="J439" s="238">
        <v>0.0</v>
      </c>
      <c r="K439" s="238">
        <v>0.0</v>
      </c>
      <c r="L439" s="238">
        <v>0.0</v>
      </c>
      <c r="M439" s="238">
        <v>0.0</v>
      </c>
      <c r="N439" s="238">
        <v>0.0</v>
      </c>
      <c r="O439" s="238">
        <v>0.0</v>
      </c>
      <c r="P439" s="238">
        <v>0.0</v>
      </c>
      <c r="Q439" s="238">
        <v>0.0</v>
      </c>
      <c r="R439" s="238">
        <v>0.0</v>
      </c>
      <c r="S439" s="238">
        <v>3.0</v>
      </c>
      <c r="T439" s="238">
        <v>0.0</v>
      </c>
      <c r="U439" s="235" t="s">
        <v>156</v>
      </c>
    </row>
    <row r="440">
      <c r="A440" s="250">
        <v>46228.0</v>
      </c>
      <c r="B440" s="235" t="s">
        <v>2147</v>
      </c>
      <c r="C440" s="235" t="s">
        <v>317</v>
      </c>
      <c r="D440" s="235" t="s">
        <v>131</v>
      </c>
      <c r="E440" s="235" t="s">
        <v>2148</v>
      </c>
      <c r="F440" s="235" t="s">
        <v>503</v>
      </c>
      <c r="G440" s="238">
        <v>1.0</v>
      </c>
      <c r="H440" s="238">
        <v>0.0</v>
      </c>
      <c r="I440" s="238">
        <v>0.0</v>
      </c>
      <c r="J440" s="238">
        <v>0.0</v>
      </c>
      <c r="K440" s="238">
        <v>0.0</v>
      </c>
      <c r="L440" s="238">
        <v>0.0</v>
      </c>
      <c r="M440" s="238">
        <v>0.0</v>
      </c>
      <c r="N440" s="238">
        <v>0.0</v>
      </c>
      <c r="O440" s="238">
        <v>0.0</v>
      </c>
      <c r="P440" s="238">
        <v>0.0</v>
      </c>
      <c r="Q440" s="238">
        <v>0.0</v>
      </c>
      <c r="R440" s="238">
        <v>0.0</v>
      </c>
      <c r="S440" s="238">
        <v>1.0</v>
      </c>
      <c r="T440" s="238">
        <v>0.0</v>
      </c>
      <c r="U440" s="235" t="s">
        <v>546</v>
      </c>
    </row>
    <row r="441">
      <c r="A441" s="250">
        <v>46228.0</v>
      </c>
      <c r="B441" s="235" t="s">
        <v>2173</v>
      </c>
      <c r="C441" s="235" t="s">
        <v>269</v>
      </c>
      <c r="D441" s="235" t="s">
        <v>47</v>
      </c>
      <c r="E441" s="235" t="s">
        <v>270</v>
      </c>
      <c r="F441" s="235" t="s">
        <v>503</v>
      </c>
      <c r="G441" s="238">
        <v>1.0</v>
      </c>
      <c r="H441" s="238">
        <v>0.0</v>
      </c>
      <c r="I441" s="238">
        <v>0.0</v>
      </c>
      <c r="J441" s="238">
        <v>0.0</v>
      </c>
      <c r="K441" s="238">
        <v>0.0</v>
      </c>
      <c r="L441" s="238">
        <v>0.0</v>
      </c>
      <c r="M441" s="238">
        <v>0.0</v>
      </c>
      <c r="N441" s="238">
        <v>0.0</v>
      </c>
      <c r="O441" s="238">
        <v>0.0</v>
      </c>
      <c r="P441" s="238">
        <v>0.0</v>
      </c>
      <c r="Q441" s="238">
        <v>0.0</v>
      </c>
      <c r="R441" s="238">
        <v>0.0</v>
      </c>
      <c r="S441" s="238">
        <v>1.0</v>
      </c>
      <c r="T441" s="238">
        <v>0.0</v>
      </c>
      <c r="U441" s="235" t="s">
        <v>5</v>
      </c>
    </row>
    <row r="442">
      <c r="A442" s="250">
        <v>46228.0</v>
      </c>
      <c r="B442" s="235" t="s">
        <v>2173</v>
      </c>
      <c r="C442" s="235" t="s">
        <v>269</v>
      </c>
      <c r="D442" s="235" t="s">
        <v>47</v>
      </c>
      <c r="E442" s="235" t="s">
        <v>270</v>
      </c>
      <c r="F442" s="235" t="s">
        <v>503</v>
      </c>
      <c r="G442" s="238">
        <v>14.0</v>
      </c>
      <c r="H442" s="238">
        <v>0.0</v>
      </c>
      <c r="I442" s="238">
        <v>0.0</v>
      </c>
      <c r="J442" s="238">
        <v>-1.0</v>
      </c>
      <c r="K442" s="238">
        <v>0.0</v>
      </c>
      <c r="L442" s="238">
        <v>0.0</v>
      </c>
      <c r="M442" s="238">
        <v>0.0</v>
      </c>
      <c r="N442" s="238">
        <v>0.0</v>
      </c>
      <c r="O442" s="238">
        <v>0.0</v>
      </c>
      <c r="P442" s="238">
        <v>0.0</v>
      </c>
      <c r="Q442" s="238">
        <v>0.0</v>
      </c>
      <c r="R442" s="238">
        <v>0.0</v>
      </c>
      <c r="S442" s="238">
        <v>13.0</v>
      </c>
      <c r="T442" s="238">
        <v>0.0</v>
      </c>
      <c r="U442" s="235" t="s">
        <v>9</v>
      </c>
    </row>
    <row r="443">
      <c r="A443" s="250">
        <v>46228.0</v>
      </c>
      <c r="B443" s="235" t="s">
        <v>2173</v>
      </c>
      <c r="C443" s="235" t="s">
        <v>269</v>
      </c>
      <c r="D443" s="235" t="s">
        <v>47</v>
      </c>
      <c r="E443" s="235" t="s">
        <v>270</v>
      </c>
      <c r="F443" s="235" t="s">
        <v>503</v>
      </c>
      <c r="G443" s="238">
        <v>6.0</v>
      </c>
      <c r="H443" s="238">
        <v>0.0</v>
      </c>
      <c r="I443" s="238">
        <v>0.0</v>
      </c>
      <c r="J443" s="238">
        <v>0.0</v>
      </c>
      <c r="K443" s="238">
        <v>0.0</v>
      </c>
      <c r="L443" s="238">
        <v>0.0</v>
      </c>
      <c r="M443" s="238">
        <v>0.0</v>
      </c>
      <c r="N443" s="238">
        <v>0.0</v>
      </c>
      <c r="O443" s="238">
        <v>0.0</v>
      </c>
      <c r="P443" s="238">
        <v>0.0</v>
      </c>
      <c r="Q443" s="238">
        <v>0.0</v>
      </c>
      <c r="R443" s="238">
        <v>0.0</v>
      </c>
      <c r="S443" s="238">
        <v>6.0</v>
      </c>
      <c r="T443" s="238">
        <v>0.0</v>
      </c>
      <c r="U443" s="235" t="s">
        <v>11</v>
      </c>
    </row>
    <row r="444">
      <c r="A444" s="250">
        <v>46228.0</v>
      </c>
      <c r="B444" s="235" t="s">
        <v>2173</v>
      </c>
      <c r="C444" s="235" t="s">
        <v>269</v>
      </c>
      <c r="D444" s="235" t="s">
        <v>47</v>
      </c>
      <c r="E444" s="235" t="s">
        <v>270</v>
      </c>
      <c r="F444" s="235" t="s">
        <v>503</v>
      </c>
      <c r="G444" s="238">
        <v>0.0</v>
      </c>
      <c r="H444" s="238">
        <v>0.0</v>
      </c>
      <c r="I444" s="238">
        <v>0.0</v>
      </c>
      <c r="J444" s="238">
        <v>0.0</v>
      </c>
      <c r="K444" s="238">
        <v>0.0</v>
      </c>
      <c r="L444" s="238">
        <v>0.0</v>
      </c>
      <c r="M444" s="238">
        <v>4.0</v>
      </c>
      <c r="N444" s="238">
        <v>0.0</v>
      </c>
      <c r="O444" s="238">
        <v>0.0</v>
      </c>
      <c r="P444" s="238">
        <v>0.0</v>
      </c>
      <c r="Q444" s="238">
        <v>0.0</v>
      </c>
      <c r="R444" s="238">
        <v>0.0</v>
      </c>
      <c r="S444" s="238">
        <v>4.0</v>
      </c>
      <c r="T444" s="238">
        <v>0.0</v>
      </c>
      <c r="U444" s="235" t="s">
        <v>16</v>
      </c>
    </row>
    <row r="445">
      <c r="A445" s="250">
        <v>46228.0</v>
      </c>
      <c r="B445" s="235" t="s">
        <v>2173</v>
      </c>
      <c r="C445" s="235" t="s">
        <v>269</v>
      </c>
      <c r="D445" s="235" t="s">
        <v>47</v>
      </c>
      <c r="E445" s="235" t="s">
        <v>270</v>
      </c>
      <c r="F445" s="235" t="s">
        <v>503</v>
      </c>
      <c r="G445" s="238">
        <v>4.0</v>
      </c>
      <c r="H445" s="238">
        <v>0.0</v>
      </c>
      <c r="I445" s="238">
        <v>0.0</v>
      </c>
      <c r="J445" s="238">
        <v>0.0</v>
      </c>
      <c r="K445" s="238">
        <v>0.0</v>
      </c>
      <c r="L445" s="238">
        <v>0.0</v>
      </c>
      <c r="M445" s="238">
        <v>0.0</v>
      </c>
      <c r="N445" s="238">
        <v>0.0</v>
      </c>
      <c r="O445" s="238">
        <v>0.0</v>
      </c>
      <c r="P445" s="238">
        <v>0.0</v>
      </c>
      <c r="Q445" s="238">
        <v>0.0</v>
      </c>
      <c r="R445" s="238">
        <v>0.0</v>
      </c>
      <c r="S445" s="238">
        <v>4.0</v>
      </c>
      <c r="T445" s="238">
        <v>0.0</v>
      </c>
      <c r="U445" s="235" t="s">
        <v>17</v>
      </c>
    </row>
    <row r="446">
      <c r="A446" s="250">
        <v>46228.0</v>
      </c>
      <c r="B446" s="235" t="s">
        <v>2173</v>
      </c>
      <c r="C446" s="235" t="s">
        <v>269</v>
      </c>
      <c r="D446" s="235" t="s">
        <v>47</v>
      </c>
      <c r="E446" s="235" t="s">
        <v>270</v>
      </c>
      <c r="F446" s="235" t="s">
        <v>503</v>
      </c>
      <c r="G446" s="238">
        <v>5.0</v>
      </c>
      <c r="H446" s="238">
        <v>0.0</v>
      </c>
      <c r="I446" s="238">
        <v>0.0</v>
      </c>
      <c r="J446" s="238">
        <v>0.0</v>
      </c>
      <c r="K446" s="238">
        <v>0.0</v>
      </c>
      <c r="L446" s="238">
        <v>0.0</v>
      </c>
      <c r="M446" s="238">
        <v>0.0</v>
      </c>
      <c r="N446" s="238">
        <v>0.0</v>
      </c>
      <c r="O446" s="238">
        <v>0.0</v>
      </c>
      <c r="P446" s="238">
        <v>0.0</v>
      </c>
      <c r="Q446" s="238">
        <v>0.0</v>
      </c>
      <c r="R446" s="238">
        <v>0.0</v>
      </c>
      <c r="S446" s="238">
        <v>5.0</v>
      </c>
      <c r="T446" s="238">
        <v>0.0</v>
      </c>
      <c r="U446" s="235" t="s">
        <v>533</v>
      </c>
    </row>
    <row r="447">
      <c r="A447" s="250">
        <v>46228.0</v>
      </c>
      <c r="B447" s="235" t="s">
        <v>2173</v>
      </c>
      <c r="C447" s="235" t="s">
        <v>269</v>
      </c>
      <c r="D447" s="235" t="s">
        <v>47</v>
      </c>
      <c r="E447" s="235" t="s">
        <v>270</v>
      </c>
      <c r="F447" s="235" t="s">
        <v>503</v>
      </c>
      <c r="G447" s="238">
        <v>36.0</v>
      </c>
      <c r="H447" s="238">
        <v>0.0</v>
      </c>
      <c r="I447" s="238">
        <v>0.0</v>
      </c>
      <c r="J447" s="238">
        <v>0.0</v>
      </c>
      <c r="K447" s="238">
        <v>0.0</v>
      </c>
      <c r="L447" s="238">
        <v>0.0</v>
      </c>
      <c r="M447" s="238">
        <v>0.0</v>
      </c>
      <c r="N447" s="238">
        <v>0.0</v>
      </c>
      <c r="O447" s="238">
        <v>0.0</v>
      </c>
      <c r="P447" s="238">
        <v>0.0</v>
      </c>
      <c r="Q447" s="238">
        <v>0.0</v>
      </c>
      <c r="R447" s="238">
        <v>0.0</v>
      </c>
      <c r="S447" s="238">
        <v>36.0</v>
      </c>
      <c r="T447" s="238">
        <v>0.0</v>
      </c>
      <c r="U447" s="235" t="s">
        <v>13</v>
      </c>
    </row>
    <row r="448">
      <c r="A448" s="250">
        <v>46228.0</v>
      </c>
      <c r="B448" s="235" t="s">
        <v>2173</v>
      </c>
      <c r="C448" s="235" t="s">
        <v>269</v>
      </c>
      <c r="D448" s="235" t="s">
        <v>47</v>
      </c>
      <c r="E448" s="235" t="s">
        <v>270</v>
      </c>
      <c r="F448" s="235" t="s">
        <v>503</v>
      </c>
      <c r="G448" s="238">
        <v>16.0</v>
      </c>
      <c r="H448" s="238">
        <v>0.0</v>
      </c>
      <c r="I448" s="238">
        <v>0.0</v>
      </c>
      <c r="J448" s="238">
        <v>0.0</v>
      </c>
      <c r="K448" s="238">
        <v>0.0</v>
      </c>
      <c r="L448" s="238">
        <v>0.0</v>
      </c>
      <c r="M448" s="238">
        <v>0.0</v>
      </c>
      <c r="N448" s="238">
        <v>0.0</v>
      </c>
      <c r="O448" s="238">
        <v>0.0</v>
      </c>
      <c r="P448" s="238">
        <v>0.0</v>
      </c>
      <c r="Q448" s="238">
        <v>0.0</v>
      </c>
      <c r="R448" s="238">
        <v>0.0</v>
      </c>
      <c r="S448" s="238">
        <v>16.0</v>
      </c>
      <c r="T448" s="238">
        <v>0.0</v>
      </c>
      <c r="U448" s="235" t="s">
        <v>14</v>
      </c>
    </row>
    <row r="449">
      <c r="A449" s="250">
        <v>46228.0</v>
      </c>
      <c r="B449" s="235" t="s">
        <v>2173</v>
      </c>
      <c r="C449" s="235" t="s">
        <v>269</v>
      </c>
      <c r="D449" s="235" t="s">
        <v>47</v>
      </c>
      <c r="E449" s="235" t="s">
        <v>270</v>
      </c>
      <c r="F449" s="235" t="s">
        <v>503</v>
      </c>
      <c r="G449" s="238">
        <v>69.0</v>
      </c>
      <c r="H449" s="238">
        <v>0.0</v>
      </c>
      <c r="I449" s="238">
        <v>0.0</v>
      </c>
      <c r="J449" s="238">
        <v>0.0</v>
      </c>
      <c r="K449" s="238">
        <v>0.0</v>
      </c>
      <c r="L449" s="238">
        <v>0.0</v>
      </c>
      <c r="M449" s="238">
        <v>0.0</v>
      </c>
      <c r="N449" s="238">
        <v>0.0</v>
      </c>
      <c r="O449" s="238">
        <v>0.0</v>
      </c>
      <c r="P449" s="238">
        <v>0.0</v>
      </c>
      <c r="Q449" s="238">
        <v>0.0</v>
      </c>
      <c r="R449" s="238">
        <v>0.0</v>
      </c>
      <c r="S449" s="238">
        <v>69.0</v>
      </c>
      <c r="T449" s="238">
        <v>0.0</v>
      </c>
      <c r="U449" s="235" t="s">
        <v>20</v>
      </c>
    </row>
    <row r="450">
      <c r="A450" s="250">
        <v>46228.0</v>
      </c>
      <c r="B450" s="235" t="s">
        <v>2173</v>
      </c>
      <c r="C450" s="235" t="s">
        <v>269</v>
      </c>
      <c r="D450" s="235" t="s">
        <v>47</v>
      </c>
      <c r="E450" s="235" t="s">
        <v>270</v>
      </c>
      <c r="F450" s="235" t="s">
        <v>503</v>
      </c>
      <c r="G450" s="238">
        <v>31.0</v>
      </c>
      <c r="H450" s="238">
        <v>0.0</v>
      </c>
      <c r="I450" s="238">
        <v>0.0</v>
      </c>
      <c r="J450" s="238">
        <v>-2.0</v>
      </c>
      <c r="K450" s="238">
        <v>0.0</v>
      </c>
      <c r="L450" s="238">
        <v>0.0</v>
      </c>
      <c r="M450" s="238">
        <v>0.0</v>
      </c>
      <c r="N450" s="238">
        <v>0.0</v>
      </c>
      <c r="O450" s="238">
        <v>0.0</v>
      </c>
      <c r="P450" s="238">
        <v>0.0</v>
      </c>
      <c r="Q450" s="238">
        <v>0.0</v>
      </c>
      <c r="R450" s="238">
        <v>0.0</v>
      </c>
      <c r="S450" s="238">
        <v>29.0</v>
      </c>
      <c r="T450" s="238">
        <v>0.0</v>
      </c>
      <c r="U450" s="235" t="s">
        <v>156</v>
      </c>
    </row>
    <row r="451">
      <c r="A451" s="250">
        <v>46228.0</v>
      </c>
      <c r="B451" s="235" t="s">
        <v>2173</v>
      </c>
      <c r="C451" s="235" t="s">
        <v>269</v>
      </c>
      <c r="D451" s="235" t="s">
        <v>47</v>
      </c>
      <c r="E451" s="235" t="s">
        <v>270</v>
      </c>
      <c r="F451" s="235" t="s">
        <v>503</v>
      </c>
      <c r="G451" s="238">
        <v>18.0</v>
      </c>
      <c r="H451" s="238">
        <v>0.0</v>
      </c>
      <c r="I451" s="238">
        <v>0.0</v>
      </c>
      <c r="J451" s="238">
        <v>0.0</v>
      </c>
      <c r="K451" s="238">
        <v>0.0</v>
      </c>
      <c r="L451" s="238">
        <v>0.0</v>
      </c>
      <c r="M451" s="238">
        <v>0.0</v>
      </c>
      <c r="N451" s="238">
        <v>0.0</v>
      </c>
      <c r="O451" s="238">
        <v>0.0</v>
      </c>
      <c r="P451" s="238">
        <v>0.0</v>
      </c>
      <c r="Q451" s="238">
        <v>0.0</v>
      </c>
      <c r="R451" s="238">
        <v>0.0</v>
      </c>
      <c r="S451" s="238">
        <v>18.0</v>
      </c>
      <c r="T451" s="238">
        <v>0.0</v>
      </c>
      <c r="U451" s="235" t="s">
        <v>546</v>
      </c>
    </row>
    <row r="452">
      <c r="A452" s="250">
        <v>46228.0</v>
      </c>
      <c r="B452" s="235" t="s">
        <v>2203</v>
      </c>
      <c r="C452" s="235" t="s">
        <v>320</v>
      </c>
      <c r="D452" s="235" t="s">
        <v>49</v>
      </c>
      <c r="E452" s="235" t="s">
        <v>321</v>
      </c>
      <c r="F452" s="235" t="s">
        <v>514</v>
      </c>
      <c r="G452" s="238">
        <v>1.0</v>
      </c>
      <c r="H452" s="238">
        <v>0.0</v>
      </c>
      <c r="I452" s="238">
        <v>0.0</v>
      </c>
      <c r="J452" s="238">
        <v>0.0</v>
      </c>
      <c r="K452" s="238">
        <v>0.0</v>
      </c>
      <c r="L452" s="238">
        <v>0.0</v>
      </c>
      <c r="M452" s="238">
        <v>0.0</v>
      </c>
      <c r="N452" s="238">
        <v>0.0</v>
      </c>
      <c r="O452" s="238">
        <v>0.0</v>
      </c>
      <c r="P452" s="238">
        <v>0.0</v>
      </c>
      <c r="Q452" s="238">
        <v>0.0</v>
      </c>
      <c r="R452" s="238">
        <v>0.0</v>
      </c>
      <c r="S452" s="238">
        <v>0.0</v>
      </c>
      <c r="T452" s="238">
        <v>0.0</v>
      </c>
      <c r="U452" s="235" t="s">
        <v>546</v>
      </c>
    </row>
    <row r="453">
      <c r="A453" s="250">
        <v>46228.0</v>
      </c>
      <c r="B453" s="235" t="s">
        <v>2203</v>
      </c>
      <c r="C453" s="235" t="s">
        <v>320</v>
      </c>
      <c r="D453" s="235" t="s">
        <v>49</v>
      </c>
      <c r="E453" s="235" t="s">
        <v>321</v>
      </c>
      <c r="F453" s="235" t="s">
        <v>503</v>
      </c>
      <c r="G453" s="238">
        <v>3.0</v>
      </c>
      <c r="H453" s="238">
        <v>0.0</v>
      </c>
      <c r="I453" s="238">
        <v>0.0</v>
      </c>
      <c r="J453" s="238">
        <v>0.0</v>
      </c>
      <c r="K453" s="238">
        <v>0.0</v>
      </c>
      <c r="L453" s="238">
        <v>0.0</v>
      </c>
      <c r="M453" s="238">
        <v>0.0</v>
      </c>
      <c r="N453" s="238">
        <v>0.0</v>
      </c>
      <c r="O453" s="238">
        <v>0.0</v>
      </c>
      <c r="P453" s="238">
        <v>0.0</v>
      </c>
      <c r="Q453" s="238">
        <v>0.0</v>
      </c>
      <c r="R453" s="238">
        <v>0.0</v>
      </c>
      <c r="S453" s="238">
        <v>3.0</v>
      </c>
      <c r="T453" s="238">
        <v>0.0</v>
      </c>
      <c r="U453" s="235" t="s">
        <v>533</v>
      </c>
    </row>
    <row r="454">
      <c r="A454" s="250">
        <v>46228.0</v>
      </c>
      <c r="B454" s="235" t="s">
        <v>2203</v>
      </c>
      <c r="C454" s="235" t="s">
        <v>320</v>
      </c>
      <c r="D454" s="235" t="s">
        <v>49</v>
      </c>
      <c r="E454" s="235" t="s">
        <v>321</v>
      </c>
      <c r="F454" s="235" t="s">
        <v>503</v>
      </c>
      <c r="G454" s="238">
        <v>2.0</v>
      </c>
      <c r="H454" s="238">
        <v>0.0</v>
      </c>
      <c r="I454" s="238">
        <v>0.0</v>
      </c>
      <c r="J454" s="238">
        <v>0.0</v>
      </c>
      <c r="K454" s="238">
        <v>0.0</v>
      </c>
      <c r="L454" s="238">
        <v>0.0</v>
      </c>
      <c r="M454" s="238">
        <v>0.0</v>
      </c>
      <c r="N454" s="238">
        <v>0.0</v>
      </c>
      <c r="O454" s="238">
        <v>0.0</v>
      </c>
      <c r="P454" s="238">
        <v>0.0</v>
      </c>
      <c r="Q454" s="238">
        <v>0.0</v>
      </c>
      <c r="R454" s="238">
        <v>0.0</v>
      </c>
      <c r="S454" s="238">
        <v>2.0</v>
      </c>
      <c r="T454" s="238">
        <v>0.0</v>
      </c>
      <c r="U454" s="235" t="s">
        <v>13</v>
      </c>
    </row>
    <row r="455">
      <c r="A455" s="250">
        <v>46228.0</v>
      </c>
      <c r="B455" s="235" t="s">
        <v>2203</v>
      </c>
      <c r="C455" s="235" t="s">
        <v>320</v>
      </c>
      <c r="D455" s="235" t="s">
        <v>49</v>
      </c>
      <c r="E455" s="235" t="s">
        <v>321</v>
      </c>
      <c r="F455" s="235" t="s">
        <v>503</v>
      </c>
      <c r="G455" s="238">
        <v>9.0</v>
      </c>
      <c r="H455" s="238">
        <v>0.0</v>
      </c>
      <c r="I455" s="238">
        <v>0.0</v>
      </c>
      <c r="J455" s="238">
        <v>0.0</v>
      </c>
      <c r="K455" s="238">
        <v>0.0</v>
      </c>
      <c r="L455" s="238">
        <v>0.0</v>
      </c>
      <c r="M455" s="238">
        <v>0.0</v>
      </c>
      <c r="N455" s="238">
        <v>0.0</v>
      </c>
      <c r="O455" s="238">
        <v>0.0</v>
      </c>
      <c r="P455" s="238">
        <v>0.0</v>
      </c>
      <c r="Q455" s="238">
        <v>0.0</v>
      </c>
      <c r="R455" s="238">
        <v>0.0</v>
      </c>
      <c r="S455" s="238">
        <v>9.0</v>
      </c>
      <c r="T455" s="238">
        <v>0.0</v>
      </c>
      <c r="U455" s="235" t="s">
        <v>18</v>
      </c>
    </row>
    <row r="456">
      <c r="A456" s="250">
        <v>46228.0</v>
      </c>
      <c r="B456" s="235" t="s">
        <v>2203</v>
      </c>
      <c r="C456" s="235" t="s">
        <v>320</v>
      </c>
      <c r="D456" s="235" t="s">
        <v>49</v>
      </c>
      <c r="E456" s="235" t="s">
        <v>321</v>
      </c>
      <c r="F456" s="235" t="s">
        <v>503</v>
      </c>
      <c r="G456" s="238">
        <v>17.0</v>
      </c>
      <c r="H456" s="238">
        <v>0.0</v>
      </c>
      <c r="I456" s="238">
        <v>0.0</v>
      </c>
      <c r="J456" s="238">
        <v>0.0</v>
      </c>
      <c r="K456" s="238">
        <v>0.0</v>
      </c>
      <c r="L456" s="238">
        <v>0.0</v>
      </c>
      <c r="M456" s="238">
        <v>0.0</v>
      </c>
      <c r="N456" s="238">
        <v>0.0</v>
      </c>
      <c r="O456" s="238">
        <v>0.0</v>
      </c>
      <c r="P456" s="238">
        <v>0.0</v>
      </c>
      <c r="Q456" s="238">
        <v>0.0</v>
      </c>
      <c r="R456" s="238">
        <v>0.0</v>
      </c>
      <c r="S456" s="238">
        <v>17.0</v>
      </c>
      <c r="T456" s="238">
        <v>0.0</v>
      </c>
      <c r="U456" s="235" t="s">
        <v>20</v>
      </c>
    </row>
    <row r="457">
      <c r="A457" s="250">
        <v>46228.0</v>
      </c>
      <c r="B457" s="235" t="s">
        <v>2218</v>
      </c>
      <c r="C457" s="235" t="s">
        <v>203</v>
      </c>
      <c r="D457" s="235" t="s">
        <v>42</v>
      </c>
      <c r="E457" s="235" t="s">
        <v>204</v>
      </c>
      <c r="F457" s="235" t="s">
        <v>514</v>
      </c>
      <c r="G457" s="238">
        <v>1.0</v>
      </c>
      <c r="H457" s="238">
        <v>0.0</v>
      </c>
      <c r="I457" s="238">
        <v>0.0</v>
      </c>
      <c r="J457" s="238">
        <v>0.0</v>
      </c>
      <c r="K457" s="238">
        <v>0.0</v>
      </c>
      <c r="L457" s="238">
        <v>0.0</v>
      </c>
      <c r="M457" s="238">
        <v>0.0</v>
      </c>
      <c r="N457" s="238">
        <v>0.0</v>
      </c>
      <c r="O457" s="238">
        <v>0.0</v>
      </c>
      <c r="P457" s="238">
        <v>0.0</v>
      </c>
      <c r="Q457" s="238">
        <v>0.0</v>
      </c>
      <c r="R457" s="238">
        <v>0.0</v>
      </c>
      <c r="S457" s="238">
        <v>0.0</v>
      </c>
      <c r="T457" s="238">
        <v>0.0</v>
      </c>
      <c r="U457" s="235" t="s">
        <v>155</v>
      </c>
    </row>
    <row r="458">
      <c r="A458" s="250">
        <v>46228.0</v>
      </c>
      <c r="B458" s="235" t="s">
        <v>2218</v>
      </c>
      <c r="C458" s="235" t="s">
        <v>203</v>
      </c>
      <c r="D458" s="235" t="s">
        <v>42</v>
      </c>
      <c r="E458" s="235" t="s">
        <v>204</v>
      </c>
      <c r="F458" s="235" t="s">
        <v>514</v>
      </c>
      <c r="G458" s="238">
        <v>3.0</v>
      </c>
      <c r="H458" s="238">
        <v>0.0</v>
      </c>
      <c r="I458" s="238">
        <v>0.0</v>
      </c>
      <c r="J458" s="238">
        <v>0.0</v>
      </c>
      <c r="K458" s="238">
        <v>0.0</v>
      </c>
      <c r="L458" s="238">
        <v>0.0</v>
      </c>
      <c r="M458" s="238">
        <v>0.0</v>
      </c>
      <c r="N458" s="238">
        <v>0.0</v>
      </c>
      <c r="O458" s="238">
        <v>0.0</v>
      </c>
      <c r="P458" s="238">
        <v>0.0</v>
      </c>
      <c r="Q458" s="238">
        <v>0.0</v>
      </c>
      <c r="R458" s="238">
        <v>0.0</v>
      </c>
      <c r="S458" s="238">
        <v>0.0</v>
      </c>
      <c r="T458" s="238">
        <v>0.0</v>
      </c>
      <c r="U458" s="235" t="s">
        <v>20</v>
      </c>
    </row>
    <row r="459">
      <c r="A459" s="250">
        <v>46228.0</v>
      </c>
      <c r="B459" s="235" t="s">
        <v>2218</v>
      </c>
      <c r="C459" s="235" t="s">
        <v>203</v>
      </c>
      <c r="D459" s="235" t="s">
        <v>42</v>
      </c>
      <c r="E459" s="235" t="s">
        <v>204</v>
      </c>
      <c r="F459" s="235" t="s">
        <v>2219</v>
      </c>
      <c r="G459" s="238">
        <v>1.0</v>
      </c>
      <c r="H459" s="238">
        <v>0.0</v>
      </c>
      <c r="I459" s="238">
        <v>0.0</v>
      </c>
      <c r="J459" s="238">
        <v>0.0</v>
      </c>
      <c r="K459" s="238">
        <v>1.0</v>
      </c>
      <c r="L459" s="238">
        <v>0.0</v>
      </c>
      <c r="M459" s="238">
        <v>0.0</v>
      </c>
      <c r="N459" s="238">
        <v>0.0</v>
      </c>
      <c r="O459" s="238">
        <v>0.0</v>
      </c>
      <c r="P459" s="238">
        <v>0.0</v>
      </c>
      <c r="Q459" s="238">
        <v>0.0</v>
      </c>
      <c r="R459" s="238">
        <v>0.0</v>
      </c>
      <c r="S459" s="238">
        <v>0.0</v>
      </c>
      <c r="T459" s="238">
        <v>0.0</v>
      </c>
      <c r="U459" s="235" t="s">
        <v>155</v>
      </c>
    </row>
    <row r="460">
      <c r="A460" s="250">
        <v>46228.0</v>
      </c>
      <c r="B460" s="235" t="s">
        <v>2218</v>
      </c>
      <c r="C460" s="235" t="s">
        <v>203</v>
      </c>
      <c r="D460" s="235" t="s">
        <v>42</v>
      </c>
      <c r="E460" s="235" t="s">
        <v>204</v>
      </c>
      <c r="F460" s="235" t="s">
        <v>503</v>
      </c>
      <c r="G460" s="238">
        <v>2.0</v>
      </c>
      <c r="H460" s="238">
        <v>0.0</v>
      </c>
      <c r="I460" s="238">
        <v>0.0</v>
      </c>
      <c r="J460" s="238">
        <v>0.0</v>
      </c>
      <c r="K460" s="238">
        <v>0.0</v>
      </c>
      <c r="L460" s="238">
        <v>0.0</v>
      </c>
      <c r="M460" s="238">
        <v>0.0</v>
      </c>
      <c r="N460" s="238">
        <v>0.0</v>
      </c>
      <c r="O460" s="238">
        <v>0.0</v>
      </c>
      <c r="P460" s="238">
        <v>0.0</v>
      </c>
      <c r="Q460" s="238">
        <v>0.0</v>
      </c>
      <c r="R460" s="238">
        <v>0.0</v>
      </c>
      <c r="S460" s="238">
        <v>2.0</v>
      </c>
      <c r="T460" s="238">
        <v>0.0</v>
      </c>
      <c r="U460" s="235" t="s">
        <v>5</v>
      </c>
    </row>
    <row r="461">
      <c r="A461" s="250">
        <v>46228.0</v>
      </c>
      <c r="B461" s="235" t="s">
        <v>2218</v>
      </c>
      <c r="C461" s="235" t="s">
        <v>203</v>
      </c>
      <c r="D461" s="235" t="s">
        <v>42</v>
      </c>
      <c r="E461" s="235" t="s">
        <v>204</v>
      </c>
      <c r="F461" s="235" t="s">
        <v>503</v>
      </c>
      <c r="G461" s="238">
        <v>0.0</v>
      </c>
      <c r="H461" s="238">
        <v>0.0</v>
      </c>
      <c r="I461" s="238">
        <v>0.0</v>
      </c>
      <c r="J461" s="238">
        <v>0.0</v>
      </c>
      <c r="K461" s="238">
        <v>1.0</v>
      </c>
      <c r="L461" s="238">
        <v>0.0</v>
      </c>
      <c r="M461" s="238">
        <v>0.0</v>
      </c>
      <c r="N461" s="238">
        <v>0.0</v>
      </c>
      <c r="O461" s="238">
        <v>0.0</v>
      </c>
      <c r="P461" s="238">
        <v>0.0</v>
      </c>
      <c r="Q461" s="238">
        <v>0.0</v>
      </c>
      <c r="R461" s="238">
        <v>0.0</v>
      </c>
      <c r="S461" s="238">
        <v>1.0</v>
      </c>
      <c r="T461" s="238">
        <v>0.0</v>
      </c>
      <c r="U461" s="235" t="s">
        <v>1853</v>
      </c>
    </row>
    <row r="462">
      <c r="A462" s="250">
        <v>46228.0</v>
      </c>
      <c r="B462" s="235" t="s">
        <v>2218</v>
      </c>
      <c r="C462" s="235" t="s">
        <v>203</v>
      </c>
      <c r="D462" s="235" t="s">
        <v>42</v>
      </c>
      <c r="E462" s="235" t="s">
        <v>204</v>
      </c>
      <c r="F462" s="235" t="s">
        <v>503</v>
      </c>
      <c r="G462" s="238">
        <v>11.0</v>
      </c>
      <c r="H462" s="238">
        <v>0.0</v>
      </c>
      <c r="I462" s="238">
        <v>0.0</v>
      </c>
      <c r="J462" s="238">
        <v>-1.0</v>
      </c>
      <c r="K462" s="238">
        <v>0.0</v>
      </c>
      <c r="L462" s="238">
        <v>0.0</v>
      </c>
      <c r="M462" s="238">
        <v>0.0</v>
      </c>
      <c r="N462" s="238">
        <v>0.0</v>
      </c>
      <c r="O462" s="238">
        <v>0.0</v>
      </c>
      <c r="P462" s="238">
        <v>0.0</v>
      </c>
      <c r="Q462" s="238">
        <v>0.0</v>
      </c>
      <c r="R462" s="238">
        <v>0.0</v>
      </c>
      <c r="S462" s="238">
        <v>10.0</v>
      </c>
      <c r="T462" s="238">
        <v>0.0</v>
      </c>
      <c r="U462" s="235" t="s">
        <v>9</v>
      </c>
    </row>
    <row r="463">
      <c r="A463" s="250">
        <v>46228.0</v>
      </c>
      <c r="B463" s="235" t="s">
        <v>2218</v>
      </c>
      <c r="C463" s="235" t="s">
        <v>203</v>
      </c>
      <c r="D463" s="235" t="s">
        <v>42</v>
      </c>
      <c r="E463" s="235" t="s">
        <v>204</v>
      </c>
      <c r="F463" s="235" t="s">
        <v>503</v>
      </c>
      <c r="G463" s="238">
        <v>20.0</v>
      </c>
      <c r="H463" s="238">
        <v>0.0</v>
      </c>
      <c r="I463" s="238">
        <v>0.0</v>
      </c>
      <c r="J463" s="238">
        <v>-3.0</v>
      </c>
      <c r="K463" s="238">
        <v>0.0</v>
      </c>
      <c r="L463" s="238">
        <v>0.0</v>
      </c>
      <c r="M463" s="238">
        <v>1.0</v>
      </c>
      <c r="N463" s="238">
        <v>0.0</v>
      </c>
      <c r="O463" s="238">
        <v>0.0</v>
      </c>
      <c r="P463" s="238">
        <v>0.0</v>
      </c>
      <c r="Q463" s="238">
        <v>0.0</v>
      </c>
      <c r="R463" s="238">
        <v>0.0</v>
      </c>
      <c r="S463" s="238">
        <v>18.0</v>
      </c>
      <c r="T463" s="238">
        <v>0.0</v>
      </c>
      <c r="U463" s="235" t="s">
        <v>11</v>
      </c>
    </row>
    <row r="464">
      <c r="A464" s="250">
        <v>46228.0</v>
      </c>
      <c r="B464" s="235" t="s">
        <v>2218</v>
      </c>
      <c r="C464" s="235" t="s">
        <v>203</v>
      </c>
      <c r="D464" s="235" t="s">
        <v>42</v>
      </c>
      <c r="E464" s="235" t="s">
        <v>204</v>
      </c>
      <c r="F464" s="235" t="s">
        <v>503</v>
      </c>
      <c r="G464" s="238">
        <v>4.0</v>
      </c>
      <c r="H464" s="238">
        <v>0.0</v>
      </c>
      <c r="I464" s="238">
        <v>0.0</v>
      </c>
      <c r="J464" s="238">
        <v>-1.0</v>
      </c>
      <c r="K464" s="238">
        <v>0.0</v>
      </c>
      <c r="L464" s="238">
        <v>0.0</v>
      </c>
      <c r="M464" s="238">
        <v>12.0</v>
      </c>
      <c r="N464" s="238">
        <v>0.0</v>
      </c>
      <c r="O464" s="238">
        <v>0.0</v>
      </c>
      <c r="P464" s="238">
        <v>0.0</v>
      </c>
      <c r="Q464" s="238">
        <v>0.0</v>
      </c>
      <c r="R464" s="238">
        <v>0.0</v>
      </c>
      <c r="S464" s="238">
        <v>15.0</v>
      </c>
      <c r="T464" s="238">
        <v>0.0</v>
      </c>
      <c r="U464" s="235" t="s">
        <v>16</v>
      </c>
    </row>
    <row r="465">
      <c r="A465" s="250">
        <v>46228.0</v>
      </c>
      <c r="B465" s="235" t="s">
        <v>2218</v>
      </c>
      <c r="C465" s="235" t="s">
        <v>203</v>
      </c>
      <c r="D465" s="235" t="s">
        <v>42</v>
      </c>
      <c r="E465" s="235" t="s">
        <v>204</v>
      </c>
      <c r="F465" s="235" t="s">
        <v>503</v>
      </c>
      <c r="G465" s="238">
        <v>32.0</v>
      </c>
      <c r="H465" s="238">
        <v>0.0</v>
      </c>
      <c r="I465" s="238">
        <v>0.0</v>
      </c>
      <c r="J465" s="238">
        <v>0.0</v>
      </c>
      <c r="K465" s="238">
        <v>0.0</v>
      </c>
      <c r="L465" s="238">
        <v>0.0</v>
      </c>
      <c r="M465" s="238">
        <v>0.0</v>
      </c>
      <c r="N465" s="238">
        <v>0.0</v>
      </c>
      <c r="O465" s="238">
        <v>0.0</v>
      </c>
      <c r="P465" s="238">
        <v>0.0</v>
      </c>
      <c r="Q465" s="238">
        <v>0.0</v>
      </c>
      <c r="R465" s="238">
        <v>0.0</v>
      </c>
      <c r="S465" s="238">
        <v>32.0</v>
      </c>
      <c r="T465" s="238">
        <v>0.0</v>
      </c>
      <c r="U465" s="235" t="s">
        <v>17</v>
      </c>
    </row>
    <row r="466">
      <c r="A466" s="250">
        <v>46228.0</v>
      </c>
      <c r="B466" s="235" t="s">
        <v>2218</v>
      </c>
      <c r="C466" s="235" t="s">
        <v>203</v>
      </c>
      <c r="D466" s="235" t="s">
        <v>42</v>
      </c>
      <c r="E466" s="235" t="s">
        <v>204</v>
      </c>
      <c r="F466" s="235" t="s">
        <v>503</v>
      </c>
      <c r="G466" s="238">
        <v>3.0</v>
      </c>
      <c r="H466" s="238">
        <v>0.0</v>
      </c>
      <c r="I466" s="238">
        <v>0.0</v>
      </c>
      <c r="J466" s="238">
        <v>-1.0</v>
      </c>
      <c r="K466" s="238">
        <v>0.0</v>
      </c>
      <c r="L466" s="238">
        <v>0.0</v>
      </c>
      <c r="M466" s="238">
        <v>0.0</v>
      </c>
      <c r="N466" s="238">
        <v>0.0</v>
      </c>
      <c r="O466" s="238">
        <v>0.0</v>
      </c>
      <c r="P466" s="238">
        <v>0.0</v>
      </c>
      <c r="Q466" s="238">
        <v>0.0</v>
      </c>
      <c r="R466" s="238">
        <v>0.0</v>
      </c>
      <c r="S466" s="238">
        <v>2.0</v>
      </c>
      <c r="T466" s="238">
        <v>0.0</v>
      </c>
      <c r="U466" s="235" t="s">
        <v>155</v>
      </c>
    </row>
    <row r="467">
      <c r="A467" s="250">
        <v>46228.0</v>
      </c>
      <c r="B467" s="235" t="s">
        <v>2218</v>
      </c>
      <c r="C467" s="235" t="s">
        <v>203</v>
      </c>
      <c r="D467" s="235" t="s">
        <v>42</v>
      </c>
      <c r="E467" s="235" t="s">
        <v>204</v>
      </c>
      <c r="F467" s="235" t="s">
        <v>503</v>
      </c>
      <c r="G467" s="238">
        <v>26.0</v>
      </c>
      <c r="H467" s="238">
        <v>0.0</v>
      </c>
      <c r="I467" s="238">
        <v>0.0</v>
      </c>
      <c r="J467" s="238">
        <v>0.0</v>
      </c>
      <c r="K467" s="238">
        <v>0.0</v>
      </c>
      <c r="L467" s="238">
        <v>0.0</v>
      </c>
      <c r="M467" s="238">
        <v>0.0</v>
      </c>
      <c r="N467" s="238">
        <v>0.0</v>
      </c>
      <c r="O467" s="238">
        <v>0.0</v>
      </c>
      <c r="P467" s="238">
        <v>0.0</v>
      </c>
      <c r="Q467" s="238">
        <v>0.0</v>
      </c>
      <c r="R467" s="238">
        <v>0.0</v>
      </c>
      <c r="S467" s="238">
        <v>26.0</v>
      </c>
      <c r="T467" s="238">
        <v>0.0</v>
      </c>
      <c r="U467" s="235" t="s">
        <v>533</v>
      </c>
    </row>
    <row r="468">
      <c r="A468" s="250">
        <v>46228.0</v>
      </c>
      <c r="B468" s="235" t="s">
        <v>2218</v>
      </c>
      <c r="C468" s="235" t="s">
        <v>203</v>
      </c>
      <c r="D468" s="235" t="s">
        <v>42</v>
      </c>
      <c r="E468" s="235" t="s">
        <v>204</v>
      </c>
      <c r="F468" s="235" t="s">
        <v>503</v>
      </c>
      <c r="G468" s="238">
        <v>34.0</v>
      </c>
      <c r="H468" s="238">
        <v>0.0</v>
      </c>
      <c r="I468" s="238">
        <v>0.0</v>
      </c>
      <c r="J468" s="238">
        <v>0.0</v>
      </c>
      <c r="K468" s="238">
        <v>0.0</v>
      </c>
      <c r="L468" s="238">
        <v>0.0</v>
      </c>
      <c r="M468" s="238">
        <v>0.0</v>
      </c>
      <c r="N468" s="238">
        <v>0.0</v>
      </c>
      <c r="O468" s="238">
        <v>0.0</v>
      </c>
      <c r="P468" s="238">
        <v>0.0</v>
      </c>
      <c r="Q468" s="238">
        <v>0.0</v>
      </c>
      <c r="R468" s="238">
        <v>0.0</v>
      </c>
      <c r="S468" s="238">
        <v>34.0</v>
      </c>
      <c r="T468" s="238">
        <v>0.0</v>
      </c>
      <c r="U468" s="235" t="s">
        <v>13</v>
      </c>
    </row>
    <row r="469">
      <c r="A469" s="250">
        <v>46228.0</v>
      </c>
      <c r="B469" s="235" t="s">
        <v>2218</v>
      </c>
      <c r="C469" s="235" t="s">
        <v>203</v>
      </c>
      <c r="D469" s="235" t="s">
        <v>42</v>
      </c>
      <c r="E469" s="235" t="s">
        <v>204</v>
      </c>
      <c r="F469" s="235" t="s">
        <v>503</v>
      </c>
      <c r="G469" s="238">
        <v>50.0</v>
      </c>
      <c r="H469" s="238">
        <v>0.0</v>
      </c>
      <c r="I469" s="238">
        <v>0.0</v>
      </c>
      <c r="J469" s="238">
        <v>0.0</v>
      </c>
      <c r="K469" s="238">
        <v>0.0</v>
      </c>
      <c r="L469" s="238">
        <v>0.0</v>
      </c>
      <c r="M469" s="238">
        <v>0.0</v>
      </c>
      <c r="N469" s="238">
        <v>0.0</v>
      </c>
      <c r="O469" s="238">
        <v>0.0</v>
      </c>
      <c r="P469" s="238">
        <v>0.0</v>
      </c>
      <c r="Q469" s="238">
        <v>0.0</v>
      </c>
      <c r="R469" s="238">
        <v>0.0</v>
      </c>
      <c r="S469" s="238">
        <v>50.0</v>
      </c>
      <c r="T469" s="238">
        <v>0.0</v>
      </c>
      <c r="U469" s="235" t="s">
        <v>14</v>
      </c>
    </row>
    <row r="470">
      <c r="A470" s="250">
        <v>46228.0</v>
      </c>
      <c r="B470" s="235" t="s">
        <v>2218</v>
      </c>
      <c r="C470" s="235" t="s">
        <v>203</v>
      </c>
      <c r="D470" s="235" t="s">
        <v>42</v>
      </c>
      <c r="E470" s="235" t="s">
        <v>204</v>
      </c>
      <c r="F470" s="235" t="s">
        <v>503</v>
      </c>
      <c r="G470" s="238">
        <v>2.0</v>
      </c>
      <c r="H470" s="238">
        <v>0.0</v>
      </c>
      <c r="I470" s="238">
        <v>0.0</v>
      </c>
      <c r="J470" s="238">
        <v>0.0</v>
      </c>
      <c r="K470" s="238">
        <v>0.0</v>
      </c>
      <c r="L470" s="238">
        <v>0.0</v>
      </c>
      <c r="M470" s="238">
        <v>0.0</v>
      </c>
      <c r="N470" s="238">
        <v>0.0</v>
      </c>
      <c r="O470" s="238">
        <v>0.0</v>
      </c>
      <c r="P470" s="238">
        <v>0.0</v>
      </c>
      <c r="Q470" s="238">
        <v>0.0</v>
      </c>
      <c r="R470" s="238">
        <v>0.0</v>
      </c>
      <c r="S470" s="238">
        <v>2.0</v>
      </c>
      <c r="T470" s="238">
        <v>0.0</v>
      </c>
      <c r="U470" s="235" t="s">
        <v>18</v>
      </c>
    </row>
    <row r="471">
      <c r="A471" s="250">
        <v>46228.0</v>
      </c>
      <c r="B471" s="235" t="s">
        <v>2218</v>
      </c>
      <c r="C471" s="235" t="s">
        <v>203</v>
      </c>
      <c r="D471" s="235" t="s">
        <v>42</v>
      </c>
      <c r="E471" s="235" t="s">
        <v>204</v>
      </c>
      <c r="F471" s="235" t="s">
        <v>503</v>
      </c>
      <c r="G471" s="238">
        <v>69.0</v>
      </c>
      <c r="H471" s="238">
        <v>0.0</v>
      </c>
      <c r="I471" s="238">
        <v>0.0</v>
      </c>
      <c r="J471" s="238">
        <v>0.0</v>
      </c>
      <c r="K471" s="238">
        <v>0.0</v>
      </c>
      <c r="L471" s="238">
        <v>0.0</v>
      </c>
      <c r="M471" s="238">
        <v>0.0</v>
      </c>
      <c r="N471" s="238">
        <v>0.0</v>
      </c>
      <c r="O471" s="238">
        <v>0.0</v>
      </c>
      <c r="P471" s="238">
        <v>0.0</v>
      </c>
      <c r="Q471" s="238">
        <v>0.0</v>
      </c>
      <c r="R471" s="238">
        <v>0.0</v>
      </c>
      <c r="S471" s="238">
        <v>69.0</v>
      </c>
      <c r="T471" s="238">
        <v>0.0</v>
      </c>
      <c r="U471" s="235" t="s">
        <v>20</v>
      </c>
    </row>
    <row r="472">
      <c r="A472" s="250">
        <v>46228.0</v>
      </c>
      <c r="B472" s="235" t="s">
        <v>2218</v>
      </c>
      <c r="C472" s="235" t="s">
        <v>203</v>
      </c>
      <c r="D472" s="235" t="s">
        <v>42</v>
      </c>
      <c r="E472" s="235" t="s">
        <v>204</v>
      </c>
      <c r="F472" s="235" t="s">
        <v>503</v>
      </c>
      <c r="G472" s="238">
        <v>97.0</v>
      </c>
      <c r="H472" s="238">
        <v>0.0</v>
      </c>
      <c r="I472" s="238">
        <v>0.0</v>
      </c>
      <c r="J472" s="238">
        <v>0.0</v>
      </c>
      <c r="K472" s="238">
        <v>0.0</v>
      </c>
      <c r="L472" s="238">
        <v>0.0</v>
      </c>
      <c r="M472" s="238">
        <v>0.0</v>
      </c>
      <c r="N472" s="238">
        <v>0.0</v>
      </c>
      <c r="O472" s="238">
        <v>0.0</v>
      </c>
      <c r="P472" s="238">
        <v>0.0</v>
      </c>
      <c r="Q472" s="238">
        <v>0.0</v>
      </c>
      <c r="R472" s="238">
        <v>0.0</v>
      </c>
      <c r="S472" s="238">
        <v>97.0</v>
      </c>
      <c r="T472" s="238">
        <v>0.0</v>
      </c>
      <c r="U472" s="235" t="s">
        <v>156</v>
      </c>
    </row>
    <row r="473">
      <c r="A473" s="250">
        <v>46228.0</v>
      </c>
      <c r="B473" s="235" t="s">
        <v>2218</v>
      </c>
      <c r="C473" s="235" t="s">
        <v>203</v>
      </c>
      <c r="D473" s="235" t="s">
        <v>42</v>
      </c>
      <c r="E473" s="235" t="s">
        <v>204</v>
      </c>
      <c r="F473" s="235" t="s">
        <v>503</v>
      </c>
      <c r="G473" s="238">
        <v>34.0</v>
      </c>
      <c r="H473" s="238">
        <v>0.0</v>
      </c>
      <c r="I473" s="238">
        <v>0.0</v>
      </c>
      <c r="J473" s="238">
        <v>-3.0</v>
      </c>
      <c r="K473" s="238">
        <v>0.0</v>
      </c>
      <c r="L473" s="238">
        <v>0.0</v>
      </c>
      <c r="M473" s="238">
        <v>0.0</v>
      </c>
      <c r="N473" s="238">
        <v>0.0</v>
      </c>
      <c r="O473" s="238">
        <v>0.0</v>
      </c>
      <c r="P473" s="238">
        <v>0.0</v>
      </c>
      <c r="Q473" s="238">
        <v>0.0</v>
      </c>
      <c r="R473" s="238">
        <v>0.0</v>
      </c>
      <c r="S473" s="238">
        <v>31.0</v>
      </c>
      <c r="T473" s="238">
        <v>0.0</v>
      </c>
      <c r="U473" s="235" t="s">
        <v>546</v>
      </c>
    </row>
    <row r="474">
      <c r="A474" s="250">
        <v>46228.0</v>
      </c>
      <c r="B474" s="235" t="s">
        <v>2259</v>
      </c>
      <c r="C474" s="235" t="s">
        <v>275</v>
      </c>
      <c r="D474" s="235" t="s">
        <v>43</v>
      </c>
      <c r="E474" s="235" t="s">
        <v>276</v>
      </c>
      <c r="F474" s="235" t="s">
        <v>514</v>
      </c>
      <c r="G474" s="238">
        <v>1.0</v>
      </c>
      <c r="H474" s="238">
        <v>0.0</v>
      </c>
      <c r="I474" s="238">
        <v>0.0</v>
      </c>
      <c r="J474" s="238">
        <v>0.0</v>
      </c>
      <c r="K474" s="238">
        <v>0.0</v>
      </c>
      <c r="L474" s="238">
        <v>0.0</v>
      </c>
      <c r="M474" s="238">
        <v>0.0</v>
      </c>
      <c r="N474" s="238">
        <v>0.0</v>
      </c>
      <c r="O474" s="238">
        <v>0.0</v>
      </c>
      <c r="P474" s="238">
        <v>0.0</v>
      </c>
      <c r="Q474" s="238">
        <v>0.0</v>
      </c>
      <c r="R474" s="238">
        <v>0.0</v>
      </c>
      <c r="S474" s="238">
        <v>0.0</v>
      </c>
      <c r="T474" s="238">
        <v>0.0</v>
      </c>
      <c r="U474" s="235" t="s">
        <v>20</v>
      </c>
    </row>
    <row r="475">
      <c r="A475" s="250">
        <v>46228.0</v>
      </c>
      <c r="B475" s="235" t="s">
        <v>2259</v>
      </c>
      <c r="C475" s="235" t="s">
        <v>275</v>
      </c>
      <c r="D475" s="235" t="s">
        <v>43</v>
      </c>
      <c r="E475" s="235" t="s">
        <v>276</v>
      </c>
      <c r="F475" s="235" t="s">
        <v>503</v>
      </c>
      <c r="G475" s="238">
        <v>0.0</v>
      </c>
      <c r="H475" s="238">
        <v>0.0</v>
      </c>
      <c r="I475" s="238">
        <v>0.0</v>
      </c>
      <c r="J475" s="238">
        <v>0.0</v>
      </c>
      <c r="K475" s="238">
        <v>1.0</v>
      </c>
      <c r="L475" s="238">
        <v>0.0</v>
      </c>
      <c r="M475" s="238">
        <v>0.0</v>
      </c>
      <c r="N475" s="238">
        <v>0.0</v>
      </c>
      <c r="O475" s="238">
        <v>0.0</v>
      </c>
      <c r="P475" s="238">
        <v>0.0</v>
      </c>
      <c r="Q475" s="238">
        <v>0.0</v>
      </c>
      <c r="R475" s="238">
        <v>0.0</v>
      </c>
      <c r="S475" s="238">
        <v>1.0</v>
      </c>
      <c r="T475" s="238">
        <v>0.0</v>
      </c>
      <c r="U475" s="235" t="s">
        <v>16</v>
      </c>
    </row>
    <row r="476">
      <c r="A476" s="250">
        <v>46228.0</v>
      </c>
      <c r="B476" s="235" t="s">
        <v>2259</v>
      </c>
      <c r="C476" s="235" t="s">
        <v>275</v>
      </c>
      <c r="D476" s="235" t="s">
        <v>43</v>
      </c>
      <c r="E476" s="235" t="s">
        <v>276</v>
      </c>
      <c r="F476" s="235" t="s">
        <v>503</v>
      </c>
      <c r="G476" s="238">
        <v>1.0</v>
      </c>
      <c r="H476" s="238">
        <v>0.0</v>
      </c>
      <c r="I476" s="238">
        <v>0.0</v>
      </c>
      <c r="J476" s="238">
        <v>-1.0</v>
      </c>
      <c r="K476" s="238">
        <v>0.0</v>
      </c>
      <c r="L476" s="238">
        <v>0.0</v>
      </c>
      <c r="M476" s="238">
        <v>0.0</v>
      </c>
      <c r="N476" s="238">
        <v>0.0</v>
      </c>
      <c r="O476" s="238">
        <v>0.0</v>
      </c>
      <c r="P476" s="238">
        <v>0.0</v>
      </c>
      <c r="Q476" s="238">
        <v>0.0</v>
      </c>
      <c r="R476" s="238">
        <v>0.0</v>
      </c>
      <c r="S476" s="238">
        <v>0.0</v>
      </c>
      <c r="T476" s="238">
        <v>0.0</v>
      </c>
      <c r="U476" s="235" t="s">
        <v>533</v>
      </c>
    </row>
    <row r="477">
      <c r="A477" s="250">
        <v>46228.0</v>
      </c>
      <c r="B477" s="235" t="s">
        <v>2259</v>
      </c>
      <c r="C477" s="235" t="s">
        <v>275</v>
      </c>
      <c r="D477" s="235" t="s">
        <v>43</v>
      </c>
      <c r="E477" s="235" t="s">
        <v>276</v>
      </c>
      <c r="F477" s="235" t="s">
        <v>503</v>
      </c>
      <c r="G477" s="238">
        <v>6.0</v>
      </c>
      <c r="H477" s="238">
        <v>0.0</v>
      </c>
      <c r="I477" s="238">
        <v>0.0</v>
      </c>
      <c r="J477" s="238">
        <v>-2.0</v>
      </c>
      <c r="K477" s="238">
        <v>0.0</v>
      </c>
      <c r="L477" s="238">
        <v>0.0</v>
      </c>
      <c r="M477" s="238">
        <v>0.0</v>
      </c>
      <c r="N477" s="238">
        <v>0.0</v>
      </c>
      <c r="O477" s="238">
        <v>0.0</v>
      </c>
      <c r="P477" s="238">
        <v>0.0</v>
      </c>
      <c r="Q477" s="238">
        <v>0.0</v>
      </c>
      <c r="R477" s="238">
        <v>0.0</v>
      </c>
      <c r="S477" s="238">
        <v>4.0</v>
      </c>
      <c r="T477" s="238">
        <v>0.0</v>
      </c>
      <c r="U477" s="235" t="s">
        <v>13</v>
      </c>
    </row>
    <row r="478">
      <c r="A478" s="250">
        <v>46228.0</v>
      </c>
      <c r="B478" s="235" t="s">
        <v>2259</v>
      </c>
      <c r="C478" s="235" t="s">
        <v>275</v>
      </c>
      <c r="D478" s="235" t="s">
        <v>43</v>
      </c>
      <c r="E478" s="235" t="s">
        <v>276</v>
      </c>
      <c r="F478" s="235" t="s">
        <v>503</v>
      </c>
      <c r="G478" s="238">
        <v>9.0</v>
      </c>
      <c r="H478" s="238">
        <v>0.0</v>
      </c>
      <c r="I478" s="238">
        <v>0.0</v>
      </c>
      <c r="J478" s="238">
        <v>-1.0</v>
      </c>
      <c r="K478" s="238">
        <v>0.0</v>
      </c>
      <c r="L478" s="238">
        <v>0.0</v>
      </c>
      <c r="M478" s="238">
        <v>0.0</v>
      </c>
      <c r="N478" s="238">
        <v>0.0</v>
      </c>
      <c r="O478" s="238">
        <v>0.0</v>
      </c>
      <c r="P478" s="238">
        <v>0.0</v>
      </c>
      <c r="Q478" s="238">
        <v>0.0</v>
      </c>
      <c r="R478" s="238">
        <v>0.0</v>
      </c>
      <c r="S478" s="238">
        <v>8.0</v>
      </c>
      <c r="T478" s="238">
        <v>0.0</v>
      </c>
      <c r="U478" s="235" t="s">
        <v>14</v>
      </c>
    </row>
    <row r="479">
      <c r="A479" s="250">
        <v>46228.0</v>
      </c>
      <c r="B479" s="235" t="s">
        <v>2259</v>
      </c>
      <c r="C479" s="235" t="s">
        <v>275</v>
      </c>
      <c r="D479" s="235" t="s">
        <v>43</v>
      </c>
      <c r="E479" s="235" t="s">
        <v>276</v>
      </c>
      <c r="F479" s="235" t="s">
        <v>503</v>
      </c>
      <c r="G479" s="238">
        <v>3.0</v>
      </c>
      <c r="H479" s="238">
        <v>0.0</v>
      </c>
      <c r="I479" s="238">
        <v>0.0</v>
      </c>
      <c r="J479" s="238">
        <v>0.0</v>
      </c>
      <c r="K479" s="238">
        <v>0.0</v>
      </c>
      <c r="L479" s="238">
        <v>0.0</v>
      </c>
      <c r="M479" s="238">
        <v>0.0</v>
      </c>
      <c r="N479" s="238">
        <v>0.0</v>
      </c>
      <c r="O479" s="238">
        <v>0.0</v>
      </c>
      <c r="P479" s="238">
        <v>0.0</v>
      </c>
      <c r="Q479" s="238">
        <v>0.0</v>
      </c>
      <c r="R479" s="238">
        <v>0.0</v>
      </c>
      <c r="S479" s="238">
        <v>3.0</v>
      </c>
      <c r="T479" s="238">
        <v>0.0</v>
      </c>
      <c r="U479" s="235" t="s">
        <v>18</v>
      </c>
    </row>
    <row r="480">
      <c r="A480" s="250">
        <v>46228.0</v>
      </c>
      <c r="B480" s="235" t="s">
        <v>2259</v>
      </c>
      <c r="C480" s="235" t="s">
        <v>275</v>
      </c>
      <c r="D480" s="235" t="s">
        <v>43</v>
      </c>
      <c r="E480" s="235" t="s">
        <v>276</v>
      </c>
      <c r="F480" s="235" t="s">
        <v>503</v>
      </c>
      <c r="G480" s="238">
        <v>13.0</v>
      </c>
      <c r="H480" s="238">
        <v>0.0</v>
      </c>
      <c r="I480" s="238">
        <v>0.0</v>
      </c>
      <c r="J480" s="238">
        <v>0.0</v>
      </c>
      <c r="K480" s="238">
        <v>0.0</v>
      </c>
      <c r="L480" s="238">
        <v>0.0</v>
      </c>
      <c r="M480" s="238">
        <v>0.0</v>
      </c>
      <c r="N480" s="238">
        <v>0.0</v>
      </c>
      <c r="O480" s="238">
        <v>0.0</v>
      </c>
      <c r="P480" s="238">
        <v>0.0</v>
      </c>
      <c r="Q480" s="238">
        <v>0.0</v>
      </c>
      <c r="R480" s="238">
        <v>0.0</v>
      </c>
      <c r="S480" s="238">
        <v>13.0</v>
      </c>
      <c r="T480" s="238">
        <v>0.0</v>
      </c>
      <c r="U480" s="235" t="s">
        <v>20</v>
      </c>
    </row>
    <row r="481">
      <c r="A481" s="250">
        <v>46228.0</v>
      </c>
      <c r="B481" s="235" t="s">
        <v>2280</v>
      </c>
      <c r="C481" s="235" t="s">
        <v>469</v>
      </c>
      <c r="D481" s="235" t="s">
        <v>99</v>
      </c>
      <c r="E481" s="235" t="s">
        <v>470</v>
      </c>
      <c r="F481" s="235" t="s">
        <v>503</v>
      </c>
      <c r="G481" s="238">
        <v>1.0</v>
      </c>
      <c r="H481" s="238">
        <v>0.0</v>
      </c>
      <c r="I481" s="238">
        <v>0.0</v>
      </c>
      <c r="J481" s="238">
        <v>0.0</v>
      </c>
      <c r="K481" s="238">
        <v>0.0</v>
      </c>
      <c r="L481" s="238">
        <v>0.0</v>
      </c>
      <c r="M481" s="238">
        <v>0.0</v>
      </c>
      <c r="N481" s="238">
        <v>0.0</v>
      </c>
      <c r="O481" s="238">
        <v>0.0</v>
      </c>
      <c r="P481" s="238">
        <v>0.0</v>
      </c>
      <c r="Q481" s="238">
        <v>0.0</v>
      </c>
      <c r="R481" s="238">
        <v>0.0</v>
      </c>
      <c r="S481" s="238">
        <v>1.0</v>
      </c>
      <c r="T481" s="238">
        <v>0.0</v>
      </c>
      <c r="U481" s="235" t="s">
        <v>5</v>
      </c>
    </row>
    <row r="482">
      <c r="A482" s="250">
        <v>46228.0</v>
      </c>
      <c r="B482" s="235" t="s">
        <v>2280</v>
      </c>
      <c r="C482" s="235" t="s">
        <v>469</v>
      </c>
      <c r="D482" s="235" t="s">
        <v>99</v>
      </c>
      <c r="E482" s="235" t="s">
        <v>470</v>
      </c>
      <c r="F482" s="235" t="s">
        <v>503</v>
      </c>
      <c r="G482" s="238">
        <v>1.0</v>
      </c>
      <c r="H482" s="238">
        <v>0.0</v>
      </c>
      <c r="I482" s="238">
        <v>0.0</v>
      </c>
      <c r="J482" s="238">
        <v>0.0</v>
      </c>
      <c r="K482" s="238">
        <v>0.0</v>
      </c>
      <c r="L482" s="238">
        <v>0.0</v>
      </c>
      <c r="M482" s="238">
        <v>0.0</v>
      </c>
      <c r="N482" s="238">
        <v>0.0</v>
      </c>
      <c r="O482" s="238">
        <v>0.0</v>
      </c>
      <c r="P482" s="238">
        <v>0.0</v>
      </c>
      <c r="Q482" s="238">
        <v>0.0</v>
      </c>
      <c r="R482" s="238">
        <v>0.0</v>
      </c>
      <c r="S482" s="238">
        <v>1.0</v>
      </c>
      <c r="T482" s="238">
        <v>0.0</v>
      </c>
      <c r="U482" s="235" t="s">
        <v>11</v>
      </c>
    </row>
    <row r="483">
      <c r="A483" s="250">
        <v>46228.0</v>
      </c>
      <c r="B483" s="235" t="s">
        <v>2280</v>
      </c>
      <c r="C483" s="235" t="s">
        <v>469</v>
      </c>
      <c r="D483" s="235" t="s">
        <v>99</v>
      </c>
      <c r="E483" s="235" t="s">
        <v>470</v>
      </c>
      <c r="F483" s="235" t="s">
        <v>503</v>
      </c>
      <c r="G483" s="238">
        <v>1.0</v>
      </c>
      <c r="H483" s="238">
        <v>0.0</v>
      </c>
      <c r="I483" s="238">
        <v>0.0</v>
      </c>
      <c r="J483" s="238">
        <v>0.0</v>
      </c>
      <c r="K483" s="238">
        <v>0.0</v>
      </c>
      <c r="L483" s="238">
        <v>0.0</v>
      </c>
      <c r="M483" s="238">
        <v>0.0</v>
      </c>
      <c r="N483" s="238">
        <v>0.0</v>
      </c>
      <c r="O483" s="238">
        <v>0.0</v>
      </c>
      <c r="P483" s="238">
        <v>0.0</v>
      </c>
      <c r="Q483" s="238">
        <v>0.0</v>
      </c>
      <c r="R483" s="238">
        <v>0.0</v>
      </c>
      <c r="S483" s="238">
        <v>1.0</v>
      </c>
      <c r="T483" s="238">
        <v>0.0</v>
      </c>
      <c r="U483" s="235" t="s">
        <v>16</v>
      </c>
    </row>
    <row r="484">
      <c r="A484" s="250">
        <v>46228.0</v>
      </c>
      <c r="B484" s="235" t="s">
        <v>2280</v>
      </c>
      <c r="C484" s="235" t="s">
        <v>469</v>
      </c>
      <c r="D484" s="235" t="s">
        <v>99</v>
      </c>
      <c r="E484" s="235" t="s">
        <v>470</v>
      </c>
      <c r="F484" s="235" t="s">
        <v>503</v>
      </c>
      <c r="G484" s="238">
        <v>1.0</v>
      </c>
      <c r="H484" s="238">
        <v>0.0</v>
      </c>
      <c r="I484" s="238">
        <v>0.0</v>
      </c>
      <c r="J484" s="238">
        <v>0.0</v>
      </c>
      <c r="K484" s="238">
        <v>0.0</v>
      </c>
      <c r="L484" s="238">
        <v>0.0</v>
      </c>
      <c r="M484" s="238">
        <v>0.0</v>
      </c>
      <c r="N484" s="238">
        <v>0.0</v>
      </c>
      <c r="O484" s="238">
        <v>0.0</v>
      </c>
      <c r="P484" s="238">
        <v>0.0</v>
      </c>
      <c r="Q484" s="238">
        <v>0.0</v>
      </c>
      <c r="R484" s="238">
        <v>0.0</v>
      </c>
      <c r="S484" s="238">
        <v>1.0</v>
      </c>
      <c r="T484" s="238">
        <v>0.0</v>
      </c>
      <c r="U484" s="235" t="s">
        <v>17</v>
      </c>
    </row>
    <row r="485">
      <c r="A485" s="250">
        <v>46228.0</v>
      </c>
      <c r="B485" s="235" t="s">
        <v>2280</v>
      </c>
      <c r="C485" s="235" t="s">
        <v>469</v>
      </c>
      <c r="D485" s="235" t="s">
        <v>99</v>
      </c>
      <c r="E485" s="235" t="s">
        <v>470</v>
      </c>
      <c r="F485" s="235" t="s">
        <v>503</v>
      </c>
      <c r="G485" s="238">
        <v>1.0</v>
      </c>
      <c r="H485" s="238">
        <v>0.0</v>
      </c>
      <c r="I485" s="238">
        <v>0.0</v>
      </c>
      <c r="J485" s="238">
        <v>0.0</v>
      </c>
      <c r="K485" s="238">
        <v>0.0</v>
      </c>
      <c r="L485" s="238">
        <v>0.0</v>
      </c>
      <c r="M485" s="238">
        <v>0.0</v>
      </c>
      <c r="N485" s="238">
        <v>0.0</v>
      </c>
      <c r="O485" s="238">
        <v>0.0</v>
      </c>
      <c r="P485" s="238">
        <v>0.0</v>
      </c>
      <c r="Q485" s="238">
        <v>0.0</v>
      </c>
      <c r="R485" s="238">
        <v>0.0</v>
      </c>
      <c r="S485" s="238">
        <v>1.0</v>
      </c>
      <c r="T485" s="238">
        <v>0.0</v>
      </c>
      <c r="U485" s="235" t="s">
        <v>533</v>
      </c>
    </row>
    <row r="486">
      <c r="A486" s="250">
        <v>46228.0</v>
      </c>
      <c r="B486" s="235" t="s">
        <v>2280</v>
      </c>
      <c r="C486" s="235" t="s">
        <v>469</v>
      </c>
      <c r="D486" s="235" t="s">
        <v>99</v>
      </c>
      <c r="E486" s="235" t="s">
        <v>470</v>
      </c>
      <c r="F486" s="235" t="s">
        <v>503</v>
      </c>
      <c r="G486" s="238">
        <v>2.0</v>
      </c>
      <c r="H486" s="238">
        <v>0.0</v>
      </c>
      <c r="I486" s="238">
        <v>0.0</v>
      </c>
      <c r="J486" s="238">
        <v>0.0</v>
      </c>
      <c r="K486" s="238">
        <v>0.0</v>
      </c>
      <c r="L486" s="238">
        <v>0.0</v>
      </c>
      <c r="M486" s="238">
        <v>0.0</v>
      </c>
      <c r="N486" s="238">
        <v>0.0</v>
      </c>
      <c r="O486" s="238">
        <v>0.0</v>
      </c>
      <c r="P486" s="238">
        <v>0.0</v>
      </c>
      <c r="Q486" s="238">
        <v>0.0</v>
      </c>
      <c r="R486" s="238">
        <v>0.0</v>
      </c>
      <c r="S486" s="238">
        <v>2.0</v>
      </c>
      <c r="T486" s="238">
        <v>0.0</v>
      </c>
      <c r="U486" s="235" t="s">
        <v>13</v>
      </c>
    </row>
    <row r="487">
      <c r="A487" s="250">
        <v>46228.0</v>
      </c>
      <c r="B487" s="235" t="s">
        <v>2280</v>
      </c>
      <c r="C487" s="235" t="s">
        <v>469</v>
      </c>
      <c r="D487" s="235" t="s">
        <v>99</v>
      </c>
      <c r="E487" s="235" t="s">
        <v>470</v>
      </c>
      <c r="F487" s="235" t="s">
        <v>503</v>
      </c>
      <c r="G487" s="238">
        <v>3.0</v>
      </c>
      <c r="H487" s="238">
        <v>0.0</v>
      </c>
      <c r="I487" s="238">
        <v>0.0</v>
      </c>
      <c r="J487" s="238">
        <v>0.0</v>
      </c>
      <c r="K487" s="238">
        <v>0.0</v>
      </c>
      <c r="L487" s="238">
        <v>0.0</v>
      </c>
      <c r="M487" s="238">
        <v>0.0</v>
      </c>
      <c r="N487" s="238">
        <v>0.0</v>
      </c>
      <c r="O487" s="238">
        <v>0.0</v>
      </c>
      <c r="P487" s="238">
        <v>0.0</v>
      </c>
      <c r="Q487" s="238">
        <v>0.0</v>
      </c>
      <c r="R487" s="238">
        <v>0.0</v>
      </c>
      <c r="S487" s="238">
        <v>3.0</v>
      </c>
      <c r="T487" s="238">
        <v>0.0</v>
      </c>
      <c r="U487" s="235" t="s">
        <v>20</v>
      </c>
    </row>
    <row r="488">
      <c r="A488" s="250">
        <v>46228.0</v>
      </c>
      <c r="B488" s="235" t="s">
        <v>2280</v>
      </c>
      <c r="C488" s="235" t="s">
        <v>469</v>
      </c>
      <c r="D488" s="235" t="s">
        <v>99</v>
      </c>
      <c r="E488" s="235" t="s">
        <v>470</v>
      </c>
      <c r="F488" s="235" t="s">
        <v>503</v>
      </c>
      <c r="G488" s="238">
        <v>1.0</v>
      </c>
      <c r="H488" s="238">
        <v>0.0</v>
      </c>
      <c r="I488" s="238">
        <v>0.0</v>
      </c>
      <c r="J488" s="238">
        <v>0.0</v>
      </c>
      <c r="K488" s="238">
        <v>0.0</v>
      </c>
      <c r="L488" s="238">
        <v>0.0</v>
      </c>
      <c r="M488" s="238">
        <v>0.0</v>
      </c>
      <c r="N488" s="238">
        <v>0.0</v>
      </c>
      <c r="O488" s="238">
        <v>0.0</v>
      </c>
      <c r="P488" s="238">
        <v>0.0</v>
      </c>
      <c r="Q488" s="238">
        <v>0.0</v>
      </c>
      <c r="R488" s="238">
        <v>0.0</v>
      </c>
      <c r="S488" s="238">
        <v>1.0</v>
      </c>
      <c r="T488" s="238">
        <v>0.0</v>
      </c>
      <c r="U488" s="235" t="s">
        <v>156</v>
      </c>
    </row>
    <row r="489">
      <c r="A489" s="250">
        <v>46228.0</v>
      </c>
      <c r="B489" s="235" t="s">
        <v>2280</v>
      </c>
      <c r="C489" s="235" t="s">
        <v>469</v>
      </c>
      <c r="D489" s="235" t="s">
        <v>99</v>
      </c>
      <c r="E489" s="235" t="s">
        <v>470</v>
      </c>
      <c r="F489" s="235" t="s">
        <v>503</v>
      </c>
      <c r="G489" s="238">
        <v>1.0</v>
      </c>
      <c r="H489" s="238">
        <v>0.0</v>
      </c>
      <c r="I489" s="238">
        <v>0.0</v>
      </c>
      <c r="J489" s="238">
        <v>0.0</v>
      </c>
      <c r="K489" s="238">
        <v>0.0</v>
      </c>
      <c r="L489" s="238">
        <v>0.0</v>
      </c>
      <c r="M489" s="238">
        <v>0.0</v>
      </c>
      <c r="N489" s="238">
        <v>0.0</v>
      </c>
      <c r="O489" s="238">
        <v>0.0</v>
      </c>
      <c r="P489" s="238">
        <v>0.0</v>
      </c>
      <c r="Q489" s="238">
        <v>0.0</v>
      </c>
      <c r="R489" s="238">
        <v>0.0</v>
      </c>
      <c r="S489" s="238">
        <v>1.0</v>
      </c>
      <c r="T489" s="238">
        <v>0.0</v>
      </c>
      <c r="U489" s="235" t="s">
        <v>546</v>
      </c>
    </row>
    <row r="490">
      <c r="A490" s="250">
        <v>46228.0</v>
      </c>
      <c r="B490" s="235" t="s">
        <v>2317</v>
      </c>
      <c r="C490" s="235" t="s">
        <v>397</v>
      </c>
      <c r="D490" s="235" t="s">
        <v>148</v>
      </c>
      <c r="E490" s="235" t="s">
        <v>1006</v>
      </c>
      <c r="F490" s="235" t="s">
        <v>503</v>
      </c>
      <c r="G490" s="238">
        <v>9.0</v>
      </c>
      <c r="H490" s="238">
        <v>0.0</v>
      </c>
      <c r="I490" s="238">
        <v>0.0</v>
      </c>
      <c r="J490" s="238">
        <v>0.0</v>
      </c>
      <c r="K490" s="238">
        <v>0.0</v>
      </c>
      <c r="L490" s="238">
        <v>0.0</v>
      </c>
      <c r="M490" s="238">
        <v>0.0</v>
      </c>
      <c r="N490" s="238">
        <v>0.0</v>
      </c>
      <c r="O490" s="238">
        <v>0.0</v>
      </c>
      <c r="P490" s="238">
        <v>0.0</v>
      </c>
      <c r="Q490" s="238">
        <v>0.0</v>
      </c>
      <c r="R490" s="238">
        <v>0.0</v>
      </c>
      <c r="S490" s="238">
        <v>9.0</v>
      </c>
      <c r="T490" s="238">
        <v>0.0</v>
      </c>
      <c r="U490" s="235" t="s">
        <v>9</v>
      </c>
    </row>
    <row r="491">
      <c r="A491" s="250">
        <v>46228.0</v>
      </c>
      <c r="B491" s="235" t="s">
        <v>2317</v>
      </c>
      <c r="C491" s="235" t="s">
        <v>397</v>
      </c>
      <c r="D491" s="235" t="s">
        <v>148</v>
      </c>
      <c r="E491" s="235" t="s">
        <v>1006</v>
      </c>
      <c r="F491" s="235" t="s">
        <v>503</v>
      </c>
      <c r="G491" s="238">
        <v>5.0</v>
      </c>
      <c r="H491" s="238">
        <v>0.0</v>
      </c>
      <c r="I491" s="238">
        <v>0.0</v>
      </c>
      <c r="J491" s="238">
        <v>0.0</v>
      </c>
      <c r="K491" s="238">
        <v>0.0</v>
      </c>
      <c r="L491" s="238">
        <v>0.0</v>
      </c>
      <c r="M491" s="238">
        <v>0.0</v>
      </c>
      <c r="N491" s="238">
        <v>0.0</v>
      </c>
      <c r="O491" s="238">
        <v>0.0</v>
      </c>
      <c r="P491" s="238">
        <v>0.0</v>
      </c>
      <c r="Q491" s="238">
        <v>0.0</v>
      </c>
      <c r="R491" s="238">
        <v>0.0</v>
      </c>
      <c r="S491" s="238">
        <v>5.0</v>
      </c>
      <c r="T491" s="238">
        <v>0.0</v>
      </c>
      <c r="U491" s="235" t="s">
        <v>11</v>
      </c>
    </row>
    <row r="492">
      <c r="A492" s="250">
        <v>46228.0</v>
      </c>
      <c r="B492" s="235" t="s">
        <v>2317</v>
      </c>
      <c r="C492" s="235" t="s">
        <v>397</v>
      </c>
      <c r="D492" s="235" t="s">
        <v>148</v>
      </c>
      <c r="E492" s="235" t="s">
        <v>1006</v>
      </c>
      <c r="F492" s="235" t="s">
        <v>503</v>
      </c>
      <c r="G492" s="238">
        <v>1.0</v>
      </c>
      <c r="H492" s="238">
        <v>0.0</v>
      </c>
      <c r="I492" s="238">
        <v>0.0</v>
      </c>
      <c r="J492" s="238">
        <v>0.0</v>
      </c>
      <c r="K492" s="238">
        <v>0.0</v>
      </c>
      <c r="L492" s="238">
        <v>0.0</v>
      </c>
      <c r="M492" s="238">
        <v>0.0</v>
      </c>
      <c r="N492" s="238">
        <v>0.0</v>
      </c>
      <c r="O492" s="238">
        <v>0.0</v>
      </c>
      <c r="P492" s="238">
        <v>0.0</v>
      </c>
      <c r="Q492" s="238">
        <v>0.0</v>
      </c>
      <c r="R492" s="238">
        <v>0.0</v>
      </c>
      <c r="S492" s="238">
        <v>1.0</v>
      </c>
      <c r="T492" s="238">
        <v>0.0</v>
      </c>
      <c r="U492" s="235" t="s">
        <v>16</v>
      </c>
    </row>
    <row r="493">
      <c r="A493" s="250">
        <v>46228.0</v>
      </c>
      <c r="B493" s="235" t="s">
        <v>2317</v>
      </c>
      <c r="C493" s="235" t="s">
        <v>397</v>
      </c>
      <c r="D493" s="235" t="s">
        <v>148</v>
      </c>
      <c r="E493" s="235" t="s">
        <v>1006</v>
      </c>
      <c r="F493" s="235" t="s">
        <v>503</v>
      </c>
      <c r="G493" s="238">
        <v>2.0</v>
      </c>
      <c r="H493" s="238">
        <v>0.0</v>
      </c>
      <c r="I493" s="238">
        <v>0.0</v>
      </c>
      <c r="J493" s="238">
        <v>0.0</v>
      </c>
      <c r="K493" s="238">
        <v>0.0</v>
      </c>
      <c r="L493" s="238">
        <v>0.0</v>
      </c>
      <c r="M493" s="238">
        <v>0.0</v>
      </c>
      <c r="N493" s="238">
        <v>0.0</v>
      </c>
      <c r="O493" s="238">
        <v>0.0</v>
      </c>
      <c r="P493" s="238">
        <v>0.0</v>
      </c>
      <c r="Q493" s="238">
        <v>0.0</v>
      </c>
      <c r="R493" s="238">
        <v>0.0</v>
      </c>
      <c r="S493" s="238">
        <v>2.0</v>
      </c>
      <c r="T493" s="238">
        <v>0.0</v>
      </c>
      <c r="U493" s="235" t="s">
        <v>17</v>
      </c>
    </row>
    <row r="494">
      <c r="A494" s="250">
        <v>46228.0</v>
      </c>
      <c r="B494" s="235" t="s">
        <v>2317</v>
      </c>
      <c r="C494" s="235" t="s">
        <v>397</v>
      </c>
      <c r="D494" s="235" t="s">
        <v>148</v>
      </c>
      <c r="E494" s="235" t="s">
        <v>1006</v>
      </c>
      <c r="F494" s="235" t="s">
        <v>503</v>
      </c>
      <c r="G494" s="238">
        <v>2.0</v>
      </c>
      <c r="H494" s="238">
        <v>0.0</v>
      </c>
      <c r="I494" s="238">
        <v>0.0</v>
      </c>
      <c r="J494" s="238">
        <v>0.0</v>
      </c>
      <c r="K494" s="238">
        <v>0.0</v>
      </c>
      <c r="L494" s="238">
        <v>0.0</v>
      </c>
      <c r="M494" s="238">
        <v>0.0</v>
      </c>
      <c r="N494" s="238">
        <v>0.0</v>
      </c>
      <c r="O494" s="238">
        <v>0.0</v>
      </c>
      <c r="P494" s="238">
        <v>0.0</v>
      </c>
      <c r="Q494" s="238">
        <v>0.0</v>
      </c>
      <c r="R494" s="238">
        <v>0.0</v>
      </c>
      <c r="S494" s="238">
        <v>2.0</v>
      </c>
      <c r="T494" s="238">
        <v>0.0</v>
      </c>
      <c r="U494" s="235" t="s">
        <v>155</v>
      </c>
    </row>
    <row r="495">
      <c r="A495" s="250">
        <v>46228.0</v>
      </c>
      <c r="B495" s="235" t="s">
        <v>2317</v>
      </c>
      <c r="C495" s="235" t="s">
        <v>397</v>
      </c>
      <c r="D495" s="235" t="s">
        <v>148</v>
      </c>
      <c r="E495" s="235" t="s">
        <v>1006</v>
      </c>
      <c r="F495" s="235" t="s">
        <v>503</v>
      </c>
      <c r="G495" s="238">
        <v>1.0</v>
      </c>
      <c r="H495" s="238">
        <v>0.0</v>
      </c>
      <c r="I495" s="238">
        <v>0.0</v>
      </c>
      <c r="J495" s="238">
        <v>0.0</v>
      </c>
      <c r="K495" s="238">
        <v>0.0</v>
      </c>
      <c r="L495" s="238">
        <v>0.0</v>
      </c>
      <c r="M495" s="238">
        <v>0.0</v>
      </c>
      <c r="N495" s="238">
        <v>0.0</v>
      </c>
      <c r="O495" s="238">
        <v>0.0</v>
      </c>
      <c r="P495" s="238">
        <v>0.0</v>
      </c>
      <c r="Q495" s="238">
        <v>0.0</v>
      </c>
      <c r="R495" s="238">
        <v>0.0</v>
      </c>
      <c r="S495" s="238">
        <v>1.0</v>
      </c>
      <c r="T495" s="238">
        <v>0.0</v>
      </c>
      <c r="U495" s="235" t="s">
        <v>533</v>
      </c>
    </row>
    <row r="496">
      <c r="A496" s="250">
        <v>46228.0</v>
      </c>
      <c r="B496" s="235" t="s">
        <v>2317</v>
      </c>
      <c r="C496" s="235" t="s">
        <v>397</v>
      </c>
      <c r="D496" s="235" t="s">
        <v>148</v>
      </c>
      <c r="E496" s="235" t="s">
        <v>1006</v>
      </c>
      <c r="F496" s="235" t="s">
        <v>503</v>
      </c>
      <c r="G496" s="238">
        <v>3.0</v>
      </c>
      <c r="H496" s="238">
        <v>0.0</v>
      </c>
      <c r="I496" s="238">
        <v>0.0</v>
      </c>
      <c r="J496" s="238">
        <v>0.0</v>
      </c>
      <c r="K496" s="238">
        <v>0.0</v>
      </c>
      <c r="L496" s="238">
        <v>0.0</v>
      </c>
      <c r="M496" s="238">
        <v>0.0</v>
      </c>
      <c r="N496" s="238">
        <v>0.0</v>
      </c>
      <c r="O496" s="238">
        <v>0.0</v>
      </c>
      <c r="P496" s="238">
        <v>0.0</v>
      </c>
      <c r="Q496" s="238">
        <v>0.0</v>
      </c>
      <c r="R496" s="238">
        <v>0.0</v>
      </c>
      <c r="S496" s="238">
        <v>3.0</v>
      </c>
      <c r="T496" s="238">
        <v>0.0</v>
      </c>
      <c r="U496" s="235" t="s">
        <v>14</v>
      </c>
    </row>
    <row r="497">
      <c r="A497" s="250">
        <v>46228.0</v>
      </c>
      <c r="B497" s="235" t="s">
        <v>2317</v>
      </c>
      <c r="C497" s="235" t="s">
        <v>397</v>
      </c>
      <c r="D497" s="235" t="s">
        <v>148</v>
      </c>
      <c r="E497" s="235" t="s">
        <v>1006</v>
      </c>
      <c r="F497" s="235" t="s">
        <v>503</v>
      </c>
      <c r="G497" s="238">
        <v>13.0</v>
      </c>
      <c r="H497" s="238">
        <v>0.0</v>
      </c>
      <c r="I497" s="238">
        <v>0.0</v>
      </c>
      <c r="J497" s="238">
        <v>0.0</v>
      </c>
      <c r="K497" s="238">
        <v>0.0</v>
      </c>
      <c r="L497" s="238">
        <v>0.0</v>
      </c>
      <c r="M497" s="238">
        <v>0.0</v>
      </c>
      <c r="N497" s="238">
        <v>0.0</v>
      </c>
      <c r="O497" s="238">
        <v>0.0</v>
      </c>
      <c r="P497" s="238">
        <v>0.0</v>
      </c>
      <c r="Q497" s="238">
        <v>0.0</v>
      </c>
      <c r="R497" s="238">
        <v>0.0</v>
      </c>
      <c r="S497" s="238">
        <v>13.0</v>
      </c>
      <c r="T497" s="238">
        <v>0.0</v>
      </c>
      <c r="U497" s="235" t="s">
        <v>20</v>
      </c>
    </row>
    <row r="498">
      <c r="A498" s="250">
        <v>46228.0</v>
      </c>
      <c r="B498" s="235" t="s">
        <v>2317</v>
      </c>
      <c r="C498" s="235" t="s">
        <v>397</v>
      </c>
      <c r="D498" s="235" t="s">
        <v>148</v>
      </c>
      <c r="E498" s="235" t="s">
        <v>1006</v>
      </c>
      <c r="F498" s="235" t="s">
        <v>503</v>
      </c>
      <c r="G498" s="238">
        <v>7.0</v>
      </c>
      <c r="H498" s="238">
        <v>0.0</v>
      </c>
      <c r="I498" s="238">
        <v>0.0</v>
      </c>
      <c r="J498" s="238">
        <v>0.0</v>
      </c>
      <c r="K498" s="238">
        <v>0.0</v>
      </c>
      <c r="L498" s="238">
        <v>0.0</v>
      </c>
      <c r="M498" s="238">
        <v>0.0</v>
      </c>
      <c r="N498" s="238">
        <v>0.0</v>
      </c>
      <c r="O498" s="238">
        <v>0.0</v>
      </c>
      <c r="P498" s="238">
        <v>0.0</v>
      </c>
      <c r="Q498" s="238">
        <v>0.0</v>
      </c>
      <c r="R498" s="238">
        <v>0.0</v>
      </c>
      <c r="S498" s="238">
        <v>7.0</v>
      </c>
      <c r="T498" s="238">
        <v>0.0</v>
      </c>
      <c r="U498" s="235" t="s">
        <v>156</v>
      </c>
    </row>
    <row r="499">
      <c r="A499" s="250">
        <v>46228.0</v>
      </c>
      <c r="B499" s="235" t="s">
        <v>2317</v>
      </c>
      <c r="C499" s="235" t="s">
        <v>397</v>
      </c>
      <c r="D499" s="235" t="s">
        <v>148</v>
      </c>
      <c r="E499" s="235" t="s">
        <v>1006</v>
      </c>
      <c r="F499" s="235" t="s">
        <v>503</v>
      </c>
      <c r="G499" s="238">
        <v>4.0</v>
      </c>
      <c r="H499" s="238">
        <v>0.0</v>
      </c>
      <c r="I499" s="238">
        <v>0.0</v>
      </c>
      <c r="J499" s="238">
        <v>0.0</v>
      </c>
      <c r="K499" s="238">
        <v>0.0</v>
      </c>
      <c r="L499" s="238">
        <v>0.0</v>
      </c>
      <c r="M499" s="238">
        <v>0.0</v>
      </c>
      <c r="N499" s="238">
        <v>0.0</v>
      </c>
      <c r="O499" s="238">
        <v>0.0</v>
      </c>
      <c r="P499" s="238">
        <v>0.0</v>
      </c>
      <c r="Q499" s="238">
        <v>0.0</v>
      </c>
      <c r="R499" s="238">
        <v>0.0</v>
      </c>
      <c r="S499" s="238">
        <v>4.0</v>
      </c>
      <c r="T499" s="238">
        <v>0.0</v>
      </c>
      <c r="U499" s="235" t="s">
        <v>546</v>
      </c>
    </row>
    <row r="500">
      <c r="A500" s="250">
        <v>46228.0</v>
      </c>
      <c r="B500" s="235" t="s">
        <v>2357</v>
      </c>
      <c r="C500" s="235" t="s">
        <v>211</v>
      </c>
      <c r="D500" s="235" t="s">
        <v>154</v>
      </c>
      <c r="E500" s="235" t="s">
        <v>766</v>
      </c>
      <c r="F500" s="235" t="s">
        <v>514</v>
      </c>
      <c r="G500" s="238">
        <v>2.0</v>
      </c>
      <c r="H500" s="238">
        <v>0.0</v>
      </c>
      <c r="I500" s="238">
        <v>0.0</v>
      </c>
      <c r="J500" s="238">
        <v>0.0</v>
      </c>
      <c r="K500" s="238">
        <v>0.0</v>
      </c>
      <c r="L500" s="238">
        <v>0.0</v>
      </c>
      <c r="M500" s="238">
        <v>0.0</v>
      </c>
      <c r="N500" s="238">
        <v>0.0</v>
      </c>
      <c r="O500" s="238">
        <v>0.0</v>
      </c>
      <c r="P500" s="238">
        <v>0.0</v>
      </c>
      <c r="Q500" s="238">
        <v>0.0</v>
      </c>
      <c r="R500" s="238">
        <v>0.0</v>
      </c>
      <c r="S500" s="238">
        <v>0.0</v>
      </c>
      <c r="T500" s="238">
        <v>0.0</v>
      </c>
      <c r="U500" s="235" t="s">
        <v>156</v>
      </c>
    </row>
    <row r="501">
      <c r="A501" s="250">
        <v>46228.0</v>
      </c>
      <c r="B501" s="235" t="s">
        <v>2357</v>
      </c>
      <c r="C501" s="235" t="s">
        <v>211</v>
      </c>
      <c r="D501" s="235" t="s">
        <v>154</v>
      </c>
      <c r="E501" s="235" t="s">
        <v>766</v>
      </c>
      <c r="F501" s="235" t="s">
        <v>514</v>
      </c>
      <c r="G501" s="238">
        <v>1.0</v>
      </c>
      <c r="H501" s="238">
        <v>0.0</v>
      </c>
      <c r="I501" s="238">
        <v>0.0</v>
      </c>
      <c r="J501" s="238">
        <v>0.0</v>
      </c>
      <c r="K501" s="238">
        <v>0.0</v>
      </c>
      <c r="L501" s="238">
        <v>0.0</v>
      </c>
      <c r="M501" s="238">
        <v>0.0</v>
      </c>
      <c r="N501" s="238">
        <v>0.0</v>
      </c>
      <c r="O501" s="238">
        <v>0.0</v>
      </c>
      <c r="P501" s="238">
        <v>0.0</v>
      </c>
      <c r="Q501" s="238">
        <v>0.0</v>
      </c>
      <c r="R501" s="238">
        <v>0.0</v>
      </c>
      <c r="S501" s="238">
        <v>0.0</v>
      </c>
      <c r="T501" s="238">
        <v>0.0</v>
      </c>
      <c r="U501" s="235" t="s">
        <v>546</v>
      </c>
    </row>
    <row r="502">
      <c r="A502" s="250">
        <v>46228.0</v>
      </c>
      <c r="B502" s="235" t="s">
        <v>2357</v>
      </c>
      <c r="C502" s="235" t="s">
        <v>211</v>
      </c>
      <c r="D502" s="235" t="s">
        <v>154</v>
      </c>
      <c r="E502" s="235" t="s">
        <v>766</v>
      </c>
      <c r="F502" s="235" t="s">
        <v>503</v>
      </c>
      <c r="G502" s="238">
        <v>21.0</v>
      </c>
      <c r="H502" s="238">
        <v>0.0</v>
      </c>
      <c r="I502" s="238">
        <v>0.0</v>
      </c>
      <c r="J502" s="238">
        <v>0.0</v>
      </c>
      <c r="K502" s="238">
        <v>0.0</v>
      </c>
      <c r="L502" s="238">
        <v>0.0</v>
      </c>
      <c r="M502" s="238">
        <v>0.0</v>
      </c>
      <c r="N502" s="238">
        <v>0.0</v>
      </c>
      <c r="O502" s="238">
        <v>0.0</v>
      </c>
      <c r="P502" s="238">
        <v>0.0</v>
      </c>
      <c r="Q502" s="238">
        <v>0.0</v>
      </c>
      <c r="R502" s="238">
        <v>0.0</v>
      </c>
      <c r="S502" s="238">
        <v>21.0</v>
      </c>
      <c r="T502" s="238">
        <v>0.0</v>
      </c>
      <c r="U502" s="235" t="s">
        <v>5</v>
      </c>
    </row>
    <row r="503">
      <c r="A503" s="250">
        <v>46228.0</v>
      </c>
      <c r="B503" s="235" t="s">
        <v>2357</v>
      </c>
      <c r="C503" s="235" t="s">
        <v>211</v>
      </c>
      <c r="D503" s="235" t="s">
        <v>154</v>
      </c>
      <c r="E503" s="235" t="s">
        <v>766</v>
      </c>
      <c r="F503" s="235" t="s">
        <v>503</v>
      </c>
      <c r="G503" s="238">
        <v>29.0</v>
      </c>
      <c r="H503" s="238">
        <v>0.0</v>
      </c>
      <c r="I503" s="238">
        <v>0.0</v>
      </c>
      <c r="J503" s="238">
        <v>0.0</v>
      </c>
      <c r="K503" s="238">
        <v>0.0</v>
      </c>
      <c r="L503" s="238">
        <v>0.0</v>
      </c>
      <c r="M503" s="238">
        <v>0.0</v>
      </c>
      <c r="N503" s="238">
        <v>0.0</v>
      </c>
      <c r="O503" s="238">
        <v>0.0</v>
      </c>
      <c r="P503" s="238">
        <v>0.0</v>
      </c>
      <c r="Q503" s="238">
        <v>0.0</v>
      </c>
      <c r="R503" s="238">
        <v>0.0</v>
      </c>
      <c r="S503" s="238">
        <v>29.0</v>
      </c>
      <c r="T503" s="238">
        <v>0.0</v>
      </c>
      <c r="U503" s="235" t="s">
        <v>9</v>
      </c>
    </row>
    <row r="504">
      <c r="A504" s="250">
        <v>46228.0</v>
      </c>
      <c r="B504" s="235" t="s">
        <v>2357</v>
      </c>
      <c r="C504" s="235" t="s">
        <v>211</v>
      </c>
      <c r="D504" s="235" t="s">
        <v>154</v>
      </c>
      <c r="E504" s="235" t="s">
        <v>766</v>
      </c>
      <c r="F504" s="235" t="s">
        <v>503</v>
      </c>
      <c r="G504" s="238">
        <v>31.0</v>
      </c>
      <c r="H504" s="238">
        <v>0.0</v>
      </c>
      <c r="I504" s="238">
        <v>0.0</v>
      </c>
      <c r="J504" s="238">
        <v>0.0</v>
      </c>
      <c r="K504" s="238">
        <v>0.0</v>
      </c>
      <c r="L504" s="238">
        <v>0.0</v>
      </c>
      <c r="M504" s="238">
        <v>0.0</v>
      </c>
      <c r="N504" s="238">
        <v>0.0</v>
      </c>
      <c r="O504" s="238">
        <v>0.0</v>
      </c>
      <c r="P504" s="238">
        <v>0.0</v>
      </c>
      <c r="Q504" s="238">
        <v>0.0</v>
      </c>
      <c r="R504" s="238">
        <v>0.0</v>
      </c>
      <c r="S504" s="238">
        <v>31.0</v>
      </c>
      <c r="T504" s="238">
        <v>0.0</v>
      </c>
      <c r="U504" s="235" t="s">
        <v>11</v>
      </c>
    </row>
    <row r="505">
      <c r="A505" s="250">
        <v>46228.0</v>
      </c>
      <c r="B505" s="235" t="s">
        <v>2357</v>
      </c>
      <c r="C505" s="235" t="s">
        <v>211</v>
      </c>
      <c r="D505" s="235" t="s">
        <v>154</v>
      </c>
      <c r="E505" s="235" t="s">
        <v>766</v>
      </c>
      <c r="F505" s="235" t="s">
        <v>503</v>
      </c>
      <c r="G505" s="238">
        <v>25.0</v>
      </c>
      <c r="H505" s="238">
        <v>0.0</v>
      </c>
      <c r="I505" s="238">
        <v>0.0</v>
      </c>
      <c r="J505" s="238">
        <v>0.0</v>
      </c>
      <c r="K505" s="238">
        <v>0.0</v>
      </c>
      <c r="L505" s="238">
        <v>0.0</v>
      </c>
      <c r="M505" s="238">
        <v>0.0</v>
      </c>
      <c r="N505" s="238">
        <v>0.0</v>
      </c>
      <c r="O505" s="238">
        <v>0.0</v>
      </c>
      <c r="P505" s="238">
        <v>0.0</v>
      </c>
      <c r="Q505" s="238">
        <v>0.0</v>
      </c>
      <c r="R505" s="238">
        <v>0.0</v>
      </c>
      <c r="S505" s="238">
        <v>25.0</v>
      </c>
      <c r="T505" s="238">
        <v>0.0</v>
      </c>
      <c r="U505" s="235" t="s">
        <v>16</v>
      </c>
    </row>
    <row r="506">
      <c r="A506" s="250">
        <v>46228.0</v>
      </c>
      <c r="B506" s="235" t="s">
        <v>2357</v>
      </c>
      <c r="C506" s="235" t="s">
        <v>211</v>
      </c>
      <c r="D506" s="235" t="s">
        <v>154</v>
      </c>
      <c r="E506" s="235" t="s">
        <v>766</v>
      </c>
      <c r="F506" s="235" t="s">
        <v>503</v>
      </c>
      <c r="G506" s="238">
        <v>1.0</v>
      </c>
      <c r="H506" s="238">
        <v>0.0</v>
      </c>
      <c r="I506" s="238">
        <v>0.0</v>
      </c>
      <c r="J506" s="238">
        <v>0.0</v>
      </c>
      <c r="K506" s="238">
        <v>0.0</v>
      </c>
      <c r="L506" s="238">
        <v>0.0</v>
      </c>
      <c r="M506" s="238">
        <v>0.0</v>
      </c>
      <c r="N506" s="238">
        <v>0.0</v>
      </c>
      <c r="O506" s="238">
        <v>0.0</v>
      </c>
      <c r="P506" s="238">
        <v>0.0</v>
      </c>
      <c r="Q506" s="238">
        <v>0.0</v>
      </c>
      <c r="R506" s="238">
        <v>0.0</v>
      </c>
      <c r="S506" s="238">
        <v>1.0</v>
      </c>
      <c r="T506" s="238">
        <v>0.0</v>
      </c>
      <c r="U506" s="235" t="s">
        <v>17</v>
      </c>
    </row>
    <row r="507">
      <c r="A507" s="250">
        <v>46228.0</v>
      </c>
      <c r="B507" s="235" t="s">
        <v>2357</v>
      </c>
      <c r="C507" s="235" t="s">
        <v>211</v>
      </c>
      <c r="D507" s="235" t="s">
        <v>154</v>
      </c>
      <c r="E507" s="235" t="s">
        <v>766</v>
      </c>
      <c r="F507" s="235" t="s">
        <v>503</v>
      </c>
      <c r="G507" s="238">
        <v>16.0</v>
      </c>
      <c r="H507" s="238">
        <v>0.0</v>
      </c>
      <c r="I507" s="238">
        <v>0.0</v>
      </c>
      <c r="J507" s="238">
        <v>0.0</v>
      </c>
      <c r="K507" s="238">
        <v>0.0</v>
      </c>
      <c r="L507" s="238">
        <v>0.0</v>
      </c>
      <c r="M507" s="238">
        <v>0.0</v>
      </c>
      <c r="N507" s="238">
        <v>0.0</v>
      </c>
      <c r="O507" s="238">
        <v>0.0</v>
      </c>
      <c r="P507" s="238">
        <v>0.0</v>
      </c>
      <c r="Q507" s="238">
        <v>0.0</v>
      </c>
      <c r="R507" s="238">
        <v>0.0</v>
      </c>
      <c r="S507" s="238">
        <v>16.0</v>
      </c>
      <c r="T507" s="238">
        <v>0.0</v>
      </c>
      <c r="U507" s="235" t="s">
        <v>155</v>
      </c>
    </row>
    <row r="508">
      <c r="A508" s="250">
        <v>46228.0</v>
      </c>
      <c r="B508" s="235" t="s">
        <v>2357</v>
      </c>
      <c r="C508" s="235" t="s">
        <v>211</v>
      </c>
      <c r="D508" s="235" t="s">
        <v>154</v>
      </c>
      <c r="E508" s="235" t="s">
        <v>766</v>
      </c>
      <c r="F508" s="235" t="s">
        <v>503</v>
      </c>
      <c r="G508" s="238">
        <v>54.0</v>
      </c>
      <c r="H508" s="238">
        <v>0.0</v>
      </c>
      <c r="I508" s="238">
        <v>0.0</v>
      </c>
      <c r="J508" s="238">
        <v>-1.0</v>
      </c>
      <c r="K508" s="238">
        <v>0.0</v>
      </c>
      <c r="L508" s="238">
        <v>0.0</v>
      </c>
      <c r="M508" s="238">
        <v>0.0</v>
      </c>
      <c r="N508" s="238">
        <v>0.0</v>
      </c>
      <c r="O508" s="238">
        <v>0.0</v>
      </c>
      <c r="P508" s="238">
        <v>0.0</v>
      </c>
      <c r="Q508" s="238">
        <v>0.0</v>
      </c>
      <c r="R508" s="238">
        <v>0.0</v>
      </c>
      <c r="S508" s="238">
        <v>53.0</v>
      </c>
      <c r="T508" s="238">
        <v>0.0</v>
      </c>
      <c r="U508" s="235" t="s">
        <v>533</v>
      </c>
    </row>
    <row r="509">
      <c r="A509" s="250">
        <v>46228.0</v>
      </c>
      <c r="B509" s="235" t="s">
        <v>2357</v>
      </c>
      <c r="C509" s="235" t="s">
        <v>211</v>
      </c>
      <c r="D509" s="235" t="s">
        <v>154</v>
      </c>
      <c r="E509" s="235" t="s">
        <v>766</v>
      </c>
      <c r="F509" s="235" t="s">
        <v>503</v>
      </c>
      <c r="G509" s="238">
        <v>11.0</v>
      </c>
      <c r="H509" s="238">
        <v>0.0</v>
      </c>
      <c r="I509" s="238">
        <v>0.0</v>
      </c>
      <c r="J509" s="238">
        <v>-2.0</v>
      </c>
      <c r="K509" s="238">
        <v>0.0</v>
      </c>
      <c r="L509" s="238">
        <v>0.0</v>
      </c>
      <c r="M509" s="238">
        <v>0.0</v>
      </c>
      <c r="N509" s="238">
        <v>0.0</v>
      </c>
      <c r="O509" s="238">
        <v>0.0</v>
      </c>
      <c r="P509" s="238">
        <v>0.0</v>
      </c>
      <c r="Q509" s="238">
        <v>0.0</v>
      </c>
      <c r="R509" s="238">
        <v>0.0</v>
      </c>
      <c r="S509" s="238">
        <v>9.0</v>
      </c>
      <c r="T509" s="238">
        <v>0.0</v>
      </c>
      <c r="U509" s="235" t="s">
        <v>13</v>
      </c>
    </row>
    <row r="510">
      <c r="A510" s="250">
        <v>46228.0</v>
      </c>
      <c r="B510" s="235" t="s">
        <v>2357</v>
      </c>
      <c r="C510" s="235" t="s">
        <v>211</v>
      </c>
      <c r="D510" s="235" t="s">
        <v>154</v>
      </c>
      <c r="E510" s="235" t="s">
        <v>766</v>
      </c>
      <c r="F510" s="235" t="s">
        <v>503</v>
      </c>
      <c r="G510" s="238">
        <v>28.0</v>
      </c>
      <c r="H510" s="238">
        <v>0.0</v>
      </c>
      <c r="I510" s="238">
        <v>0.0</v>
      </c>
      <c r="J510" s="238">
        <v>-1.0</v>
      </c>
      <c r="K510" s="238">
        <v>0.0</v>
      </c>
      <c r="L510" s="238">
        <v>0.0</v>
      </c>
      <c r="M510" s="238">
        <v>0.0</v>
      </c>
      <c r="N510" s="238">
        <v>0.0</v>
      </c>
      <c r="O510" s="238">
        <v>0.0</v>
      </c>
      <c r="P510" s="238">
        <v>0.0</v>
      </c>
      <c r="Q510" s="238">
        <v>0.0</v>
      </c>
      <c r="R510" s="238">
        <v>0.0</v>
      </c>
      <c r="S510" s="238">
        <v>27.0</v>
      </c>
      <c r="T510" s="238">
        <v>0.0</v>
      </c>
      <c r="U510" s="235" t="s">
        <v>14</v>
      </c>
    </row>
    <row r="511">
      <c r="A511" s="250">
        <v>46228.0</v>
      </c>
      <c r="B511" s="235" t="s">
        <v>2357</v>
      </c>
      <c r="C511" s="235" t="s">
        <v>211</v>
      </c>
      <c r="D511" s="235" t="s">
        <v>154</v>
      </c>
      <c r="E511" s="235" t="s">
        <v>766</v>
      </c>
      <c r="F511" s="235" t="s">
        <v>503</v>
      </c>
      <c r="G511" s="238">
        <v>13.0</v>
      </c>
      <c r="H511" s="238">
        <v>0.0</v>
      </c>
      <c r="I511" s="238">
        <v>0.0</v>
      </c>
      <c r="J511" s="238">
        <v>0.0</v>
      </c>
      <c r="K511" s="238">
        <v>0.0</v>
      </c>
      <c r="L511" s="238">
        <v>0.0</v>
      </c>
      <c r="M511" s="238">
        <v>0.0</v>
      </c>
      <c r="N511" s="238">
        <v>0.0</v>
      </c>
      <c r="O511" s="238">
        <v>0.0</v>
      </c>
      <c r="P511" s="238">
        <v>0.0</v>
      </c>
      <c r="Q511" s="238">
        <v>0.0</v>
      </c>
      <c r="R511" s="238">
        <v>0.0</v>
      </c>
      <c r="S511" s="238">
        <v>13.0</v>
      </c>
      <c r="T511" s="238">
        <v>0.0</v>
      </c>
      <c r="U511" s="235" t="s">
        <v>18</v>
      </c>
    </row>
    <row r="512">
      <c r="A512" s="250">
        <v>46228.0</v>
      </c>
      <c r="B512" s="235" t="s">
        <v>2357</v>
      </c>
      <c r="C512" s="235" t="s">
        <v>211</v>
      </c>
      <c r="D512" s="235" t="s">
        <v>154</v>
      </c>
      <c r="E512" s="235" t="s">
        <v>766</v>
      </c>
      <c r="F512" s="235" t="s">
        <v>503</v>
      </c>
      <c r="G512" s="238">
        <v>14.0</v>
      </c>
      <c r="H512" s="238">
        <v>0.0</v>
      </c>
      <c r="I512" s="238">
        <v>0.0</v>
      </c>
      <c r="J512" s="238">
        <v>0.0</v>
      </c>
      <c r="K512" s="238">
        <v>0.0</v>
      </c>
      <c r="L512" s="238">
        <v>0.0</v>
      </c>
      <c r="M512" s="238">
        <v>0.0</v>
      </c>
      <c r="N512" s="238">
        <v>0.0</v>
      </c>
      <c r="O512" s="238">
        <v>0.0</v>
      </c>
      <c r="P512" s="238">
        <v>0.0</v>
      </c>
      <c r="Q512" s="238">
        <v>0.0</v>
      </c>
      <c r="R512" s="238">
        <v>0.0</v>
      </c>
      <c r="S512" s="238">
        <v>14.0</v>
      </c>
      <c r="T512" s="238">
        <v>0.0</v>
      </c>
      <c r="U512" s="235" t="s">
        <v>20</v>
      </c>
    </row>
    <row r="513">
      <c r="A513" s="250">
        <v>46228.0</v>
      </c>
      <c r="B513" s="235" t="s">
        <v>2357</v>
      </c>
      <c r="C513" s="235" t="s">
        <v>211</v>
      </c>
      <c r="D513" s="235" t="s">
        <v>154</v>
      </c>
      <c r="E513" s="235" t="s">
        <v>766</v>
      </c>
      <c r="F513" s="235" t="s">
        <v>503</v>
      </c>
      <c r="G513" s="238">
        <v>12.0</v>
      </c>
      <c r="H513" s="238">
        <v>0.0</v>
      </c>
      <c r="I513" s="238">
        <v>0.0</v>
      </c>
      <c r="J513" s="238">
        <v>-4.0</v>
      </c>
      <c r="K513" s="238">
        <v>0.0</v>
      </c>
      <c r="L513" s="238">
        <v>0.0</v>
      </c>
      <c r="M513" s="238">
        <v>0.0</v>
      </c>
      <c r="N513" s="238">
        <v>0.0</v>
      </c>
      <c r="O513" s="238">
        <v>0.0</v>
      </c>
      <c r="P513" s="238">
        <v>0.0</v>
      </c>
      <c r="Q513" s="238">
        <v>0.0</v>
      </c>
      <c r="R513" s="238">
        <v>0.0</v>
      </c>
      <c r="S513" s="238">
        <v>8.0</v>
      </c>
      <c r="T513" s="238">
        <v>0.0</v>
      </c>
      <c r="U513" s="235" t="s">
        <v>156</v>
      </c>
    </row>
    <row r="514">
      <c r="A514" s="250">
        <v>46228.0</v>
      </c>
      <c r="B514" s="235" t="s">
        <v>2357</v>
      </c>
      <c r="C514" s="235" t="s">
        <v>211</v>
      </c>
      <c r="D514" s="235" t="s">
        <v>154</v>
      </c>
      <c r="E514" s="235" t="s">
        <v>766</v>
      </c>
      <c r="F514" s="235" t="s">
        <v>503</v>
      </c>
      <c r="G514" s="238">
        <v>40.0</v>
      </c>
      <c r="H514" s="238">
        <v>0.0</v>
      </c>
      <c r="I514" s="238">
        <v>0.0</v>
      </c>
      <c r="J514" s="238">
        <v>0.0</v>
      </c>
      <c r="K514" s="238">
        <v>0.0</v>
      </c>
      <c r="L514" s="238">
        <v>0.0</v>
      </c>
      <c r="M514" s="238">
        <v>0.0</v>
      </c>
      <c r="N514" s="238">
        <v>0.0</v>
      </c>
      <c r="O514" s="238">
        <v>0.0</v>
      </c>
      <c r="P514" s="238">
        <v>0.0</v>
      </c>
      <c r="Q514" s="238">
        <v>0.0</v>
      </c>
      <c r="R514" s="238">
        <v>0.0</v>
      </c>
      <c r="S514" s="238">
        <v>40.0</v>
      </c>
      <c r="T514" s="238">
        <v>0.0</v>
      </c>
      <c r="U514" s="235" t="s">
        <v>546</v>
      </c>
    </row>
    <row r="515">
      <c r="A515" s="250">
        <v>46228.0</v>
      </c>
      <c r="B515" s="235" t="s">
        <v>2410</v>
      </c>
      <c r="C515" s="235" t="s">
        <v>262</v>
      </c>
      <c r="D515" s="235" t="s">
        <v>139</v>
      </c>
      <c r="E515" s="235" t="s">
        <v>2091</v>
      </c>
      <c r="F515" s="235" t="s">
        <v>503</v>
      </c>
      <c r="G515" s="238">
        <v>1.0</v>
      </c>
      <c r="H515" s="238">
        <v>0.0</v>
      </c>
      <c r="I515" s="238">
        <v>0.0</v>
      </c>
      <c r="J515" s="238">
        <v>0.0</v>
      </c>
      <c r="K515" s="238">
        <v>0.0</v>
      </c>
      <c r="L515" s="238">
        <v>0.0</v>
      </c>
      <c r="M515" s="238">
        <v>0.0</v>
      </c>
      <c r="N515" s="238">
        <v>0.0</v>
      </c>
      <c r="O515" s="238">
        <v>0.0</v>
      </c>
      <c r="P515" s="238">
        <v>0.0</v>
      </c>
      <c r="Q515" s="238">
        <v>0.0</v>
      </c>
      <c r="R515" s="238">
        <v>0.0</v>
      </c>
      <c r="S515" s="238">
        <v>1.0</v>
      </c>
      <c r="T515" s="238">
        <v>0.0</v>
      </c>
      <c r="U515" s="235" t="s">
        <v>9</v>
      </c>
    </row>
    <row r="516">
      <c r="A516" s="250">
        <v>46228.0</v>
      </c>
      <c r="B516" s="235" t="s">
        <v>2410</v>
      </c>
      <c r="C516" s="235" t="s">
        <v>262</v>
      </c>
      <c r="D516" s="235" t="s">
        <v>139</v>
      </c>
      <c r="E516" s="235" t="s">
        <v>2091</v>
      </c>
      <c r="F516" s="235" t="s">
        <v>503</v>
      </c>
      <c r="G516" s="238">
        <v>1.0</v>
      </c>
      <c r="H516" s="238">
        <v>0.0</v>
      </c>
      <c r="I516" s="238">
        <v>0.0</v>
      </c>
      <c r="J516" s="238">
        <v>-1.0</v>
      </c>
      <c r="K516" s="238">
        <v>0.0</v>
      </c>
      <c r="L516" s="238">
        <v>0.0</v>
      </c>
      <c r="M516" s="238">
        <v>0.0</v>
      </c>
      <c r="N516" s="238">
        <v>0.0</v>
      </c>
      <c r="O516" s="238">
        <v>0.0</v>
      </c>
      <c r="P516" s="238">
        <v>0.0</v>
      </c>
      <c r="Q516" s="238">
        <v>0.0</v>
      </c>
      <c r="R516" s="238">
        <v>0.0</v>
      </c>
      <c r="S516" s="238">
        <v>0.0</v>
      </c>
      <c r="T516" s="238">
        <v>0.0</v>
      </c>
      <c r="U516" s="235" t="s">
        <v>11</v>
      </c>
    </row>
    <row r="517">
      <c r="A517" s="250">
        <v>46228.0</v>
      </c>
      <c r="B517" s="235" t="s">
        <v>2410</v>
      </c>
      <c r="C517" s="235" t="s">
        <v>262</v>
      </c>
      <c r="D517" s="235" t="s">
        <v>139</v>
      </c>
      <c r="E517" s="235" t="s">
        <v>2091</v>
      </c>
      <c r="F517" s="235" t="s">
        <v>503</v>
      </c>
      <c r="G517" s="238">
        <v>1.0</v>
      </c>
      <c r="H517" s="238">
        <v>0.0</v>
      </c>
      <c r="I517" s="238">
        <v>0.0</v>
      </c>
      <c r="J517" s="238">
        <v>0.0</v>
      </c>
      <c r="K517" s="238">
        <v>0.0</v>
      </c>
      <c r="L517" s="238">
        <v>0.0</v>
      </c>
      <c r="M517" s="238">
        <v>0.0</v>
      </c>
      <c r="N517" s="238">
        <v>0.0</v>
      </c>
      <c r="O517" s="238">
        <v>0.0</v>
      </c>
      <c r="P517" s="238">
        <v>0.0</v>
      </c>
      <c r="Q517" s="238">
        <v>0.0</v>
      </c>
      <c r="R517" s="238">
        <v>0.0</v>
      </c>
      <c r="S517" s="238">
        <v>1.0</v>
      </c>
      <c r="T517" s="238">
        <v>0.0</v>
      </c>
      <c r="U517" s="235" t="s">
        <v>17</v>
      </c>
    </row>
    <row r="518">
      <c r="A518" s="250">
        <v>46228.0</v>
      </c>
      <c r="B518" s="235" t="s">
        <v>2410</v>
      </c>
      <c r="C518" s="235" t="s">
        <v>262</v>
      </c>
      <c r="D518" s="235" t="s">
        <v>139</v>
      </c>
      <c r="E518" s="235" t="s">
        <v>2091</v>
      </c>
      <c r="F518" s="235" t="s">
        <v>503</v>
      </c>
      <c r="G518" s="238">
        <v>5.0</v>
      </c>
      <c r="H518" s="238">
        <v>0.0</v>
      </c>
      <c r="I518" s="238">
        <v>0.0</v>
      </c>
      <c r="J518" s="238">
        <v>-3.0</v>
      </c>
      <c r="K518" s="238">
        <v>0.0</v>
      </c>
      <c r="L518" s="238">
        <v>0.0</v>
      </c>
      <c r="M518" s="238">
        <v>0.0</v>
      </c>
      <c r="N518" s="238">
        <v>0.0</v>
      </c>
      <c r="O518" s="238">
        <v>0.0</v>
      </c>
      <c r="P518" s="238">
        <v>0.0</v>
      </c>
      <c r="Q518" s="238">
        <v>0.0</v>
      </c>
      <c r="R518" s="238">
        <v>0.0</v>
      </c>
      <c r="S518" s="238">
        <v>2.0</v>
      </c>
      <c r="T518" s="238">
        <v>0.0</v>
      </c>
      <c r="U518" s="235" t="s">
        <v>533</v>
      </c>
    </row>
    <row r="519">
      <c r="A519" s="250">
        <v>46228.0</v>
      </c>
      <c r="B519" s="235" t="s">
        <v>2410</v>
      </c>
      <c r="C519" s="235" t="s">
        <v>262</v>
      </c>
      <c r="D519" s="235" t="s">
        <v>139</v>
      </c>
      <c r="E519" s="235" t="s">
        <v>2091</v>
      </c>
      <c r="F519" s="235" t="s">
        <v>503</v>
      </c>
      <c r="G519" s="238">
        <v>9.0</v>
      </c>
      <c r="H519" s="238">
        <v>0.0</v>
      </c>
      <c r="I519" s="238">
        <v>0.0</v>
      </c>
      <c r="J519" s="238">
        <v>0.0</v>
      </c>
      <c r="K519" s="238">
        <v>0.0</v>
      </c>
      <c r="L519" s="238">
        <v>0.0</v>
      </c>
      <c r="M519" s="238">
        <v>0.0</v>
      </c>
      <c r="N519" s="238">
        <v>0.0</v>
      </c>
      <c r="O519" s="238">
        <v>0.0</v>
      </c>
      <c r="P519" s="238">
        <v>0.0</v>
      </c>
      <c r="Q519" s="238">
        <v>0.0</v>
      </c>
      <c r="R519" s="238">
        <v>0.0</v>
      </c>
      <c r="S519" s="238">
        <v>9.0</v>
      </c>
      <c r="T519" s="238">
        <v>0.0</v>
      </c>
      <c r="U519" s="235" t="s">
        <v>18</v>
      </c>
    </row>
    <row r="520">
      <c r="A520" s="250">
        <v>46228.0</v>
      </c>
      <c r="B520" s="235" t="s">
        <v>2410</v>
      </c>
      <c r="C520" s="235" t="s">
        <v>262</v>
      </c>
      <c r="D520" s="235" t="s">
        <v>139</v>
      </c>
      <c r="E520" s="235" t="s">
        <v>2091</v>
      </c>
      <c r="F520" s="235" t="s">
        <v>503</v>
      </c>
      <c r="G520" s="238">
        <v>21.0</v>
      </c>
      <c r="H520" s="238">
        <v>0.0</v>
      </c>
      <c r="I520" s="238">
        <v>0.0</v>
      </c>
      <c r="J520" s="238">
        <v>0.0</v>
      </c>
      <c r="K520" s="238">
        <v>0.0</v>
      </c>
      <c r="L520" s="238">
        <v>0.0</v>
      </c>
      <c r="M520" s="238">
        <v>0.0</v>
      </c>
      <c r="N520" s="238">
        <v>0.0</v>
      </c>
      <c r="O520" s="238">
        <v>0.0</v>
      </c>
      <c r="P520" s="238">
        <v>0.0</v>
      </c>
      <c r="Q520" s="238">
        <v>0.0</v>
      </c>
      <c r="R520" s="238">
        <v>0.0</v>
      </c>
      <c r="S520" s="238">
        <v>21.0</v>
      </c>
      <c r="T520" s="238">
        <v>0.0</v>
      </c>
      <c r="U520" s="235" t="s">
        <v>20</v>
      </c>
    </row>
    <row r="521">
      <c r="A521" s="250">
        <v>46228.0</v>
      </c>
      <c r="B521" s="235" t="s">
        <v>2410</v>
      </c>
      <c r="C521" s="235" t="s">
        <v>262</v>
      </c>
      <c r="D521" s="235" t="s">
        <v>139</v>
      </c>
      <c r="E521" s="235" t="s">
        <v>2091</v>
      </c>
      <c r="F521" s="235" t="s">
        <v>503</v>
      </c>
      <c r="G521" s="238">
        <v>1.0</v>
      </c>
      <c r="H521" s="238">
        <v>0.0</v>
      </c>
      <c r="I521" s="238">
        <v>0.0</v>
      </c>
      <c r="J521" s="238">
        <v>0.0</v>
      </c>
      <c r="K521" s="238">
        <v>0.0</v>
      </c>
      <c r="L521" s="238">
        <v>0.0</v>
      </c>
      <c r="M521" s="238">
        <v>0.0</v>
      </c>
      <c r="N521" s="238">
        <v>0.0</v>
      </c>
      <c r="O521" s="238">
        <v>0.0</v>
      </c>
      <c r="P521" s="238">
        <v>0.0</v>
      </c>
      <c r="Q521" s="238">
        <v>0.0</v>
      </c>
      <c r="R521" s="238">
        <v>0.0</v>
      </c>
      <c r="S521" s="238">
        <v>1.0</v>
      </c>
      <c r="T521" s="238">
        <v>0.0</v>
      </c>
      <c r="U521" s="235" t="s">
        <v>156</v>
      </c>
    </row>
    <row r="522">
      <c r="A522" s="250">
        <v>46228.0</v>
      </c>
      <c r="B522" s="235" t="s">
        <v>2410</v>
      </c>
      <c r="C522" s="235" t="s">
        <v>262</v>
      </c>
      <c r="D522" s="235" t="s">
        <v>139</v>
      </c>
      <c r="E522" s="235" t="s">
        <v>2091</v>
      </c>
      <c r="F522" s="235" t="s">
        <v>503</v>
      </c>
      <c r="G522" s="238">
        <v>3.0</v>
      </c>
      <c r="H522" s="238">
        <v>0.0</v>
      </c>
      <c r="I522" s="238">
        <v>0.0</v>
      </c>
      <c r="J522" s="238">
        <v>-1.0</v>
      </c>
      <c r="K522" s="238">
        <v>0.0</v>
      </c>
      <c r="L522" s="238">
        <v>0.0</v>
      </c>
      <c r="M522" s="238">
        <v>0.0</v>
      </c>
      <c r="N522" s="238">
        <v>0.0</v>
      </c>
      <c r="O522" s="238">
        <v>0.0</v>
      </c>
      <c r="P522" s="238">
        <v>0.0</v>
      </c>
      <c r="Q522" s="238">
        <v>0.0</v>
      </c>
      <c r="R522" s="238">
        <v>0.0</v>
      </c>
      <c r="S522" s="238">
        <v>2.0</v>
      </c>
      <c r="T522" s="238">
        <v>0.0</v>
      </c>
      <c r="U522" s="235" t="s">
        <v>546</v>
      </c>
    </row>
    <row r="523">
      <c r="A523" s="250">
        <v>46228.0</v>
      </c>
      <c r="B523" s="235" t="s">
        <v>2447</v>
      </c>
      <c r="C523" s="235" t="s">
        <v>227</v>
      </c>
      <c r="D523" s="235" t="s">
        <v>138</v>
      </c>
      <c r="E523" s="235" t="s">
        <v>675</v>
      </c>
      <c r="F523" s="235" t="s">
        <v>514</v>
      </c>
      <c r="G523" s="238">
        <v>1.0</v>
      </c>
      <c r="H523" s="238">
        <v>0.0</v>
      </c>
      <c r="I523" s="238">
        <v>0.0</v>
      </c>
      <c r="J523" s="238">
        <v>0.0</v>
      </c>
      <c r="K523" s="238">
        <v>0.0</v>
      </c>
      <c r="L523" s="238">
        <v>0.0</v>
      </c>
      <c r="M523" s="238">
        <v>0.0</v>
      </c>
      <c r="N523" s="238">
        <v>0.0</v>
      </c>
      <c r="O523" s="238">
        <v>0.0</v>
      </c>
      <c r="P523" s="238">
        <v>0.0</v>
      </c>
      <c r="Q523" s="238">
        <v>0.0</v>
      </c>
      <c r="R523" s="238">
        <v>0.0</v>
      </c>
      <c r="S523" s="238">
        <v>0.0</v>
      </c>
      <c r="T523" s="238">
        <v>0.0</v>
      </c>
      <c r="U523" s="235" t="s">
        <v>20</v>
      </c>
    </row>
    <row r="524">
      <c r="A524" s="250">
        <v>46228.0</v>
      </c>
      <c r="B524" s="235" t="s">
        <v>2447</v>
      </c>
      <c r="C524" s="235" t="s">
        <v>227</v>
      </c>
      <c r="D524" s="235" t="s">
        <v>138</v>
      </c>
      <c r="E524" s="235" t="s">
        <v>675</v>
      </c>
      <c r="F524" s="235" t="s">
        <v>503</v>
      </c>
      <c r="G524" s="238">
        <v>1.0</v>
      </c>
      <c r="H524" s="238">
        <v>0.0</v>
      </c>
      <c r="I524" s="238">
        <v>0.0</v>
      </c>
      <c r="J524" s="238">
        <v>0.0</v>
      </c>
      <c r="K524" s="238">
        <v>0.0</v>
      </c>
      <c r="L524" s="238">
        <v>0.0</v>
      </c>
      <c r="M524" s="238">
        <v>0.0</v>
      </c>
      <c r="N524" s="238">
        <v>0.0</v>
      </c>
      <c r="O524" s="238">
        <v>0.0</v>
      </c>
      <c r="P524" s="238">
        <v>0.0</v>
      </c>
      <c r="Q524" s="238">
        <v>0.0</v>
      </c>
      <c r="R524" s="238">
        <v>0.0</v>
      </c>
      <c r="S524" s="238">
        <v>1.0</v>
      </c>
      <c r="T524" s="238">
        <v>0.0</v>
      </c>
      <c r="U524" s="235" t="s">
        <v>5</v>
      </c>
    </row>
    <row r="525">
      <c r="A525" s="250">
        <v>46228.0</v>
      </c>
      <c r="B525" s="235" t="s">
        <v>2447</v>
      </c>
      <c r="C525" s="235" t="s">
        <v>227</v>
      </c>
      <c r="D525" s="235" t="s">
        <v>138</v>
      </c>
      <c r="E525" s="235" t="s">
        <v>675</v>
      </c>
      <c r="F525" s="235" t="s">
        <v>503</v>
      </c>
      <c r="G525" s="238">
        <v>18.0</v>
      </c>
      <c r="H525" s="238">
        <v>0.0</v>
      </c>
      <c r="I525" s="238">
        <v>0.0</v>
      </c>
      <c r="J525" s="238">
        <v>-1.0</v>
      </c>
      <c r="K525" s="238">
        <v>0.0</v>
      </c>
      <c r="L525" s="238">
        <v>0.0</v>
      </c>
      <c r="M525" s="238">
        <v>0.0</v>
      </c>
      <c r="N525" s="238">
        <v>0.0</v>
      </c>
      <c r="O525" s="238">
        <v>0.0</v>
      </c>
      <c r="P525" s="238">
        <v>0.0</v>
      </c>
      <c r="Q525" s="238">
        <v>0.0</v>
      </c>
      <c r="R525" s="238">
        <v>0.0</v>
      </c>
      <c r="S525" s="238">
        <v>17.0</v>
      </c>
      <c r="T525" s="238">
        <v>0.0</v>
      </c>
      <c r="U525" s="235" t="s">
        <v>9</v>
      </c>
    </row>
    <row r="526">
      <c r="A526" s="250">
        <v>46228.0</v>
      </c>
      <c r="B526" s="235" t="s">
        <v>2447</v>
      </c>
      <c r="C526" s="235" t="s">
        <v>227</v>
      </c>
      <c r="D526" s="235" t="s">
        <v>138</v>
      </c>
      <c r="E526" s="235" t="s">
        <v>675</v>
      </c>
      <c r="F526" s="235" t="s">
        <v>503</v>
      </c>
      <c r="G526" s="238">
        <v>1.0</v>
      </c>
      <c r="H526" s="238">
        <v>0.0</v>
      </c>
      <c r="I526" s="238">
        <v>0.0</v>
      </c>
      <c r="J526" s="238">
        <v>-1.0</v>
      </c>
      <c r="K526" s="238">
        <v>0.0</v>
      </c>
      <c r="L526" s="238">
        <v>0.0</v>
      </c>
      <c r="M526" s="238">
        <v>0.0</v>
      </c>
      <c r="N526" s="238">
        <v>0.0</v>
      </c>
      <c r="O526" s="238">
        <v>0.0</v>
      </c>
      <c r="P526" s="238">
        <v>0.0</v>
      </c>
      <c r="Q526" s="238">
        <v>0.0</v>
      </c>
      <c r="R526" s="238">
        <v>0.0</v>
      </c>
      <c r="S526" s="238">
        <v>0.0</v>
      </c>
      <c r="T526" s="238">
        <v>0.0</v>
      </c>
      <c r="U526" s="235" t="s">
        <v>11</v>
      </c>
    </row>
    <row r="527">
      <c r="A527" s="250">
        <v>46228.0</v>
      </c>
      <c r="B527" s="235" t="s">
        <v>2447</v>
      </c>
      <c r="C527" s="235" t="s">
        <v>227</v>
      </c>
      <c r="D527" s="235" t="s">
        <v>138</v>
      </c>
      <c r="E527" s="235" t="s">
        <v>675</v>
      </c>
      <c r="F527" s="235" t="s">
        <v>503</v>
      </c>
      <c r="G527" s="238">
        <v>0.0</v>
      </c>
      <c r="H527" s="238">
        <v>0.0</v>
      </c>
      <c r="I527" s="238">
        <v>0.0</v>
      </c>
      <c r="J527" s="238">
        <v>0.0</v>
      </c>
      <c r="K527" s="238">
        <v>0.0</v>
      </c>
      <c r="L527" s="238">
        <v>0.0</v>
      </c>
      <c r="M527" s="238">
        <v>1.0</v>
      </c>
      <c r="N527" s="238">
        <v>0.0</v>
      </c>
      <c r="O527" s="238">
        <v>0.0</v>
      </c>
      <c r="P527" s="238">
        <v>0.0</v>
      </c>
      <c r="Q527" s="238">
        <v>0.0</v>
      </c>
      <c r="R527" s="238">
        <v>0.0</v>
      </c>
      <c r="S527" s="238">
        <v>1.0</v>
      </c>
      <c r="T527" s="238">
        <v>0.0</v>
      </c>
      <c r="U527" s="235" t="s">
        <v>16</v>
      </c>
    </row>
    <row r="528">
      <c r="A528" s="250">
        <v>46228.0</v>
      </c>
      <c r="B528" s="235" t="s">
        <v>2447</v>
      </c>
      <c r="C528" s="235" t="s">
        <v>227</v>
      </c>
      <c r="D528" s="235" t="s">
        <v>138</v>
      </c>
      <c r="E528" s="235" t="s">
        <v>675</v>
      </c>
      <c r="F528" s="235" t="s">
        <v>503</v>
      </c>
      <c r="G528" s="238">
        <v>1.0</v>
      </c>
      <c r="H528" s="238">
        <v>0.0</v>
      </c>
      <c r="I528" s="238">
        <v>0.0</v>
      </c>
      <c r="J528" s="238">
        <v>0.0</v>
      </c>
      <c r="K528" s="238">
        <v>0.0</v>
      </c>
      <c r="L528" s="238">
        <v>0.0</v>
      </c>
      <c r="M528" s="238">
        <v>0.0</v>
      </c>
      <c r="N528" s="238">
        <v>0.0</v>
      </c>
      <c r="O528" s="238">
        <v>0.0</v>
      </c>
      <c r="P528" s="238">
        <v>0.0</v>
      </c>
      <c r="Q528" s="238">
        <v>0.0</v>
      </c>
      <c r="R528" s="238">
        <v>0.0</v>
      </c>
      <c r="S528" s="238">
        <v>1.0</v>
      </c>
      <c r="T528" s="238">
        <v>0.0</v>
      </c>
      <c r="U528" s="235" t="s">
        <v>17</v>
      </c>
    </row>
    <row r="529">
      <c r="A529" s="250">
        <v>46228.0</v>
      </c>
      <c r="B529" s="235" t="s">
        <v>2447</v>
      </c>
      <c r="C529" s="235" t="s">
        <v>227</v>
      </c>
      <c r="D529" s="235" t="s">
        <v>138</v>
      </c>
      <c r="E529" s="235" t="s">
        <v>675</v>
      </c>
      <c r="F529" s="235" t="s">
        <v>503</v>
      </c>
      <c r="G529" s="238">
        <v>8.0</v>
      </c>
      <c r="H529" s="238">
        <v>0.0</v>
      </c>
      <c r="I529" s="238">
        <v>0.0</v>
      </c>
      <c r="J529" s="238">
        <v>-1.0</v>
      </c>
      <c r="K529" s="238">
        <v>0.0</v>
      </c>
      <c r="L529" s="238">
        <v>0.0</v>
      </c>
      <c r="M529" s="238">
        <v>0.0</v>
      </c>
      <c r="N529" s="238">
        <v>0.0</v>
      </c>
      <c r="O529" s="238">
        <v>0.0</v>
      </c>
      <c r="P529" s="238">
        <v>0.0</v>
      </c>
      <c r="Q529" s="238">
        <v>0.0</v>
      </c>
      <c r="R529" s="238">
        <v>0.0</v>
      </c>
      <c r="S529" s="238">
        <v>7.0</v>
      </c>
      <c r="T529" s="238">
        <v>0.0</v>
      </c>
      <c r="U529" s="235" t="s">
        <v>533</v>
      </c>
    </row>
    <row r="530">
      <c r="A530" s="250">
        <v>46228.0</v>
      </c>
      <c r="B530" s="235" t="s">
        <v>2447</v>
      </c>
      <c r="C530" s="235" t="s">
        <v>227</v>
      </c>
      <c r="D530" s="235" t="s">
        <v>138</v>
      </c>
      <c r="E530" s="235" t="s">
        <v>675</v>
      </c>
      <c r="F530" s="235" t="s">
        <v>503</v>
      </c>
      <c r="G530" s="238">
        <v>9.0</v>
      </c>
      <c r="H530" s="238">
        <v>0.0</v>
      </c>
      <c r="I530" s="238">
        <v>0.0</v>
      </c>
      <c r="J530" s="238">
        <v>0.0</v>
      </c>
      <c r="K530" s="238">
        <v>0.0</v>
      </c>
      <c r="L530" s="238">
        <v>0.0</v>
      </c>
      <c r="M530" s="238">
        <v>0.0</v>
      </c>
      <c r="N530" s="238">
        <v>0.0</v>
      </c>
      <c r="O530" s="238">
        <v>0.0</v>
      </c>
      <c r="P530" s="238">
        <v>0.0</v>
      </c>
      <c r="Q530" s="238">
        <v>0.0</v>
      </c>
      <c r="R530" s="238">
        <v>0.0</v>
      </c>
      <c r="S530" s="238">
        <v>9.0</v>
      </c>
      <c r="T530" s="238">
        <v>0.0</v>
      </c>
      <c r="U530" s="235" t="s">
        <v>14</v>
      </c>
    </row>
    <row r="531">
      <c r="A531" s="250">
        <v>46228.0</v>
      </c>
      <c r="B531" s="235" t="s">
        <v>2447</v>
      </c>
      <c r="C531" s="235" t="s">
        <v>227</v>
      </c>
      <c r="D531" s="235" t="s">
        <v>138</v>
      </c>
      <c r="E531" s="235" t="s">
        <v>675</v>
      </c>
      <c r="F531" s="235" t="s">
        <v>503</v>
      </c>
      <c r="G531" s="238">
        <v>1.0</v>
      </c>
      <c r="H531" s="238">
        <v>0.0</v>
      </c>
      <c r="I531" s="238">
        <v>0.0</v>
      </c>
      <c r="J531" s="238">
        <v>0.0</v>
      </c>
      <c r="K531" s="238">
        <v>0.0</v>
      </c>
      <c r="L531" s="238">
        <v>0.0</v>
      </c>
      <c r="M531" s="238">
        <v>0.0</v>
      </c>
      <c r="N531" s="238">
        <v>0.0</v>
      </c>
      <c r="O531" s="238">
        <v>0.0</v>
      </c>
      <c r="P531" s="238">
        <v>0.0</v>
      </c>
      <c r="Q531" s="238">
        <v>0.0</v>
      </c>
      <c r="R531" s="238">
        <v>0.0</v>
      </c>
      <c r="S531" s="238">
        <v>1.0</v>
      </c>
      <c r="T531" s="238">
        <v>0.0</v>
      </c>
      <c r="U531" s="235" t="s">
        <v>18</v>
      </c>
    </row>
    <row r="532">
      <c r="A532" s="250">
        <v>46228.0</v>
      </c>
      <c r="B532" s="235" t="s">
        <v>2447</v>
      </c>
      <c r="C532" s="235" t="s">
        <v>227</v>
      </c>
      <c r="D532" s="235" t="s">
        <v>138</v>
      </c>
      <c r="E532" s="235" t="s">
        <v>675</v>
      </c>
      <c r="F532" s="235" t="s">
        <v>503</v>
      </c>
      <c r="G532" s="238">
        <v>4.0</v>
      </c>
      <c r="H532" s="238">
        <v>0.0</v>
      </c>
      <c r="I532" s="238">
        <v>0.0</v>
      </c>
      <c r="J532" s="238">
        <v>0.0</v>
      </c>
      <c r="K532" s="238">
        <v>0.0</v>
      </c>
      <c r="L532" s="238">
        <v>0.0</v>
      </c>
      <c r="M532" s="238">
        <v>0.0</v>
      </c>
      <c r="N532" s="238">
        <v>0.0</v>
      </c>
      <c r="O532" s="238">
        <v>0.0</v>
      </c>
      <c r="P532" s="238">
        <v>0.0</v>
      </c>
      <c r="Q532" s="238">
        <v>0.0</v>
      </c>
      <c r="R532" s="238">
        <v>0.0</v>
      </c>
      <c r="S532" s="238">
        <v>4.0</v>
      </c>
      <c r="T532" s="238">
        <v>0.0</v>
      </c>
      <c r="U532" s="235" t="s">
        <v>20</v>
      </c>
    </row>
    <row r="533">
      <c r="A533" s="250">
        <v>46228.0</v>
      </c>
      <c r="B533" s="235" t="s">
        <v>2447</v>
      </c>
      <c r="C533" s="235" t="s">
        <v>227</v>
      </c>
      <c r="D533" s="235" t="s">
        <v>138</v>
      </c>
      <c r="E533" s="235" t="s">
        <v>675</v>
      </c>
      <c r="F533" s="235" t="s">
        <v>503</v>
      </c>
      <c r="G533" s="238">
        <v>15.0</v>
      </c>
      <c r="H533" s="238">
        <v>0.0</v>
      </c>
      <c r="I533" s="238">
        <v>0.0</v>
      </c>
      <c r="J533" s="238">
        <v>0.0</v>
      </c>
      <c r="K533" s="238">
        <v>0.0</v>
      </c>
      <c r="L533" s="238">
        <v>0.0</v>
      </c>
      <c r="M533" s="238">
        <v>0.0</v>
      </c>
      <c r="N533" s="238">
        <v>0.0</v>
      </c>
      <c r="O533" s="238">
        <v>0.0</v>
      </c>
      <c r="P533" s="238">
        <v>0.0</v>
      </c>
      <c r="Q533" s="238">
        <v>0.0</v>
      </c>
      <c r="R533" s="238">
        <v>0.0</v>
      </c>
      <c r="S533" s="238">
        <v>15.0</v>
      </c>
      <c r="T533" s="238">
        <v>0.0</v>
      </c>
      <c r="U533" s="235" t="s">
        <v>156</v>
      </c>
    </row>
    <row r="534">
      <c r="A534" s="250">
        <v>46228.0</v>
      </c>
      <c r="B534" s="235" t="s">
        <v>2447</v>
      </c>
      <c r="C534" s="235" t="s">
        <v>227</v>
      </c>
      <c r="D534" s="235" t="s">
        <v>138</v>
      </c>
      <c r="E534" s="235" t="s">
        <v>675</v>
      </c>
      <c r="F534" s="235" t="s">
        <v>503</v>
      </c>
      <c r="G534" s="238">
        <v>3.0</v>
      </c>
      <c r="H534" s="238">
        <v>0.0</v>
      </c>
      <c r="I534" s="238">
        <v>0.0</v>
      </c>
      <c r="J534" s="238">
        <v>-1.0</v>
      </c>
      <c r="K534" s="238">
        <v>0.0</v>
      </c>
      <c r="L534" s="238">
        <v>0.0</v>
      </c>
      <c r="M534" s="238">
        <v>-1.0</v>
      </c>
      <c r="N534" s="238">
        <v>0.0</v>
      </c>
      <c r="O534" s="238">
        <v>0.0</v>
      </c>
      <c r="P534" s="238">
        <v>0.0</v>
      </c>
      <c r="Q534" s="238">
        <v>0.0</v>
      </c>
      <c r="R534" s="238">
        <v>0.0</v>
      </c>
      <c r="S534" s="238">
        <v>1.0</v>
      </c>
      <c r="T534" s="238">
        <v>0.0</v>
      </c>
      <c r="U534" s="235" t="s">
        <v>546</v>
      </c>
    </row>
    <row r="535">
      <c r="A535" s="250">
        <v>46228.0</v>
      </c>
      <c r="B535" s="235" t="s">
        <v>2497</v>
      </c>
      <c r="C535" s="235" t="s">
        <v>255</v>
      </c>
      <c r="D535" s="235" t="s">
        <v>136</v>
      </c>
      <c r="E535" s="235" t="s">
        <v>256</v>
      </c>
      <c r="F535" s="235" t="s">
        <v>514</v>
      </c>
      <c r="G535" s="238">
        <v>1.0</v>
      </c>
      <c r="H535" s="238">
        <v>0.0</v>
      </c>
      <c r="I535" s="238">
        <v>0.0</v>
      </c>
      <c r="J535" s="238">
        <v>0.0</v>
      </c>
      <c r="K535" s="238">
        <v>0.0</v>
      </c>
      <c r="L535" s="238">
        <v>0.0</v>
      </c>
      <c r="M535" s="238">
        <v>0.0</v>
      </c>
      <c r="N535" s="238">
        <v>0.0</v>
      </c>
      <c r="O535" s="238">
        <v>0.0</v>
      </c>
      <c r="P535" s="238">
        <v>0.0</v>
      </c>
      <c r="Q535" s="238">
        <v>0.0</v>
      </c>
      <c r="R535" s="238">
        <v>0.0</v>
      </c>
      <c r="S535" s="238">
        <v>0.0</v>
      </c>
      <c r="T535" s="238">
        <v>0.0</v>
      </c>
      <c r="U535" s="235" t="s">
        <v>20</v>
      </c>
    </row>
    <row r="536">
      <c r="A536" s="250">
        <v>46228.0</v>
      </c>
      <c r="B536" s="235" t="s">
        <v>2497</v>
      </c>
      <c r="C536" s="235" t="s">
        <v>255</v>
      </c>
      <c r="D536" s="235" t="s">
        <v>136</v>
      </c>
      <c r="E536" s="235" t="s">
        <v>256</v>
      </c>
      <c r="F536" s="235" t="s">
        <v>503</v>
      </c>
      <c r="G536" s="238">
        <v>3.0</v>
      </c>
      <c r="H536" s="238">
        <v>0.0</v>
      </c>
      <c r="I536" s="238">
        <v>0.0</v>
      </c>
      <c r="J536" s="238">
        <v>0.0</v>
      </c>
      <c r="K536" s="238">
        <v>0.0</v>
      </c>
      <c r="L536" s="238">
        <v>0.0</v>
      </c>
      <c r="M536" s="238">
        <v>0.0</v>
      </c>
      <c r="N536" s="238">
        <v>0.0</v>
      </c>
      <c r="O536" s="238">
        <v>0.0</v>
      </c>
      <c r="P536" s="238">
        <v>0.0</v>
      </c>
      <c r="Q536" s="238">
        <v>0.0</v>
      </c>
      <c r="R536" s="238">
        <v>0.0</v>
      </c>
      <c r="S536" s="238">
        <v>3.0</v>
      </c>
      <c r="T536" s="238">
        <v>0.0</v>
      </c>
      <c r="U536" s="235" t="s">
        <v>5</v>
      </c>
    </row>
    <row r="537">
      <c r="A537" s="250">
        <v>46228.0</v>
      </c>
      <c r="B537" s="235" t="s">
        <v>2497</v>
      </c>
      <c r="C537" s="235" t="s">
        <v>255</v>
      </c>
      <c r="D537" s="235" t="s">
        <v>136</v>
      </c>
      <c r="E537" s="235" t="s">
        <v>256</v>
      </c>
      <c r="F537" s="235" t="s">
        <v>503</v>
      </c>
      <c r="G537" s="238">
        <v>1.0</v>
      </c>
      <c r="H537" s="238">
        <v>0.0</v>
      </c>
      <c r="I537" s="238">
        <v>0.0</v>
      </c>
      <c r="J537" s="238">
        <v>0.0</v>
      </c>
      <c r="K537" s="238">
        <v>0.0</v>
      </c>
      <c r="L537" s="238">
        <v>0.0</v>
      </c>
      <c r="M537" s="238">
        <v>0.0</v>
      </c>
      <c r="N537" s="238">
        <v>0.0</v>
      </c>
      <c r="O537" s="238">
        <v>0.0</v>
      </c>
      <c r="P537" s="238">
        <v>0.0</v>
      </c>
      <c r="Q537" s="238">
        <v>0.0</v>
      </c>
      <c r="R537" s="238">
        <v>0.0</v>
      </c>
      <c r="S537" s="238">
        <v>1.0</v>
      </c>
      <c r="T537" s="238">
        <v>0.0</v>
      </c>
      <c r="U537" s="235" t="s">
        <v>596</v>
      </c>
    </row>
    <row r="538">
      <c r="A538" s="250">
        <v>46228.0</v>
      </c>
      <c r="B538" s="235" t="s">
        <v>2497</v>
      </c>
      <c r="C538" s="235" t="s">
        <v>255</v>
      </c>
      <c r="D538" s="235" t="s">
        <v>136</v>
      </c>
      <c r="E538" s="235" t="s">
        <v>256</v>
      </c>
      <c r="F538" s="235" t="s">
        <v>503</v>
      </c>
      <c r="G538" s="238">
        <v>16.0</v>
      </c>
      <c r="H538" s="238">
        <v>0.0</v>
      </c>
      <c r="I538" s="238">
        <v>0.0</v>
      </c>
      <c r="J538" s="238">
        <v>0.0</v>
      </c>
      <c r="K538" s="238">
        <v>0.0</v>
      </c>
      <c r="L538" s="238">
        <v>0.0</v>
      </c>
      <c r="M538" s="238">
        <v>0.0</v>
      </c>
      <c r="N538" s="238">
        <v>0.0</v>
      </c>
      <c r="O538" s="238">
        <v>0.0</v>
      </c>
      <c r="P538" s="238">
        <v>0.0</v>
      </c>
      <c r="Q538" s="238">
        <v>0.0</v>
      </c>
      <c r="R538" s="238">
        <v>0.0</v>
      </c>
      <c r="S538" s="238">
        <v>16.0</v>
      </c>
      <c r="T538" s="238">
        <v>0.0</v>
      </c>
      <c r="U538" s="235" t="s">
        <v>9</v>
      </c>
    </row>
    <row r="539">
      <c r="A539" s="250">
        <v>46228.0</v>
      </c>
      <c r="B539" s="235" t="s">
        <v>2497</v>
      </c>
      <c r="C539" s="235" t="s">
        <v>255</v>
      </c>
      <c r="D539" s="235" t="s">
        <v>136</v>
      </c>
      <c r="E539" s="235" t="s">
        <v>256</v>
      </c>
      <c r="F539" s="235" t="s">
        <v>503</v>
      </c>
      <c r="G539" s="238">
        <v>27.0</v>
      </c>
      <c r="H539" s="238">
        <v>0.0</v>
      </c>
      <c r="I539" s="238">
        <v>0.0</v>
      </c>
      <c r="J539" s="238">
        <v>-1.0</v>
      </c>
      <c r="K539" s="238">
        <v>0.0</v>
      </c>
      <c r="L539" s="238">
        <v>0.0</v>
      </c>
      <c r="M539" s="238">
        <v>0.0</v>
      </c>
      <c r="N539" s="238">
        <v>0.0</v>
      </c>
      <c r="O539" s="238">
        <v>0.0</v>
      </c>
      <c r="P539" s="238">
        <v>0.0</v>
      </c>
      <c r="Q539" s="238">
        <v>0.0</v>
      </c>
      <c r="R539" s="238">
        <v>0.0</v>
      </c>
      <c r="S539" s="238">
        <v>26.0</v>
      </c>
      <c r="T539" s="238">
        <v>0.0</v>
      </c>
      <c r="U539" s="235" t="s">
        <v>11</v>
      </c>
    </row>
    <row r="540">
      <c r="A540" s="250">
        <v>46228.0</v>
      </c>
      <c r="B540" s="235" t="s">
        <v>2497</v>
      </c>
      <c r="C540" s="235" t="s">
        <v>255</v>
      </c>
      <c r="D540" s="235" t="s">
        <v>136</v>
      </c>
      <c r="E540" s="235" t="s">
        <v>256</v>
      </c>
      <c r="F540" s="235" t="s">
        <v>503</v>
      </c>
      <c r="G540" s="238">
        <v>4.0</v>
      </c>
      <c r="H540" s="238">
        <v>0.0</v>
      </c>
      <c r="I540" s="238">
        <v>0.0</v>
      </c>
      <c r="J540" s="238">
        <v>0.0</v>
      </c>
      <c r="K540" s="238">
        <v>0.0</v>
      </c>
      <c r="L540" s="238">
        <v>0.0</v>
      </c>
      <c r="M540" s="238">
        <v>0.0</v>
      </c>
      <c r="N540" s="238">
        <v>0.0</v>
      </c>
      <c r="O540" s="238">
        <v>0.0</v>
      </c>
      <c r="P540" s="238">
        <v>0.0</v>
      </c>
      <c r="Q540" s="238">
        <v>0.0</v>
      </c>
      <c r="R540" s="238">
        <v>0.0</v>
      </c>
      <c r="S540" s="238">
        <v>4.0</v>
      </c>
      <c r="T540" s="238">
        <v>0.0</v>
      </c>
      <c r="U540" s="235" t="s">
        <v>16</v>
      </c>
    </row>
    <row r="541">
      <c r="A541" s="250">
        <v>46228.0</v>
      </c>
      <c r="B541" s="235" t="s">
        <v>2497</v>
      </c>
      <c r="C541" s="235" t="s">
        <v>255</v>
      </c>
      <c r="D541" s="235" t="s">
        <v>136</v>
      </c>
      <c r="E541" s="235" t="s">
        <v>256</v>
      </c>
      <c r="F541" s="235" t="s">
        <v>503</v>
      </c>
      <c r="G541" s="238">
        <v>4.0</v>
      </c>
      <c r="H541" s="238">
        <v>0.0</v>
      </c>
      <c r="I541" s="238">
        <v>0.0</v>
      </c>
      <c r="J541" s="238">
        <v>0.0</v>
      </c>
      <c r="K541" s="238">
        <v>0.0</v>
      </c>
      <c r="L541" s="238">
        <v>0.0</v>
      </c>
      <c r="M541" s="238">
        <v>0.0</v>
      </c>
      <c r="N541" s="238">
        <v>0.0</v>
      </c>
      <c r="O541" s="238">
        <v>0.0</v>
      </c>
      <c r="P541" s="238">
        <v>0.0</v>
      </c>
      <c r="Q541" s="238">
        <v>0.0</v>
      </c>
      <c r="R541" s="238">
        <v>0.0</v>
      </c>
      <c r="S541" s="238">
        <v>4.0</v>
      </c>
      <c r="T541" s="238">
        <v>0.0</v>
      </c>
      <c r="U541" s="235" t="s">
        <v>17</v>
      </c>
    </row>
    <row r="542">
      <c r="A542" s="250">
        <v>46228.0</v>
      </c>
      <c r="B542" s="235" t="s">
        <v>2497</v>
      </c>
      <c r="C542" s="235" t="s">
        <v>255</v>
      </c>
      <c r="D542" s="235" t="s">
        <v>136</v>
      </c>
      <c r="E542" s="235" t="s">
        <v>256</v>
      </c>
      <c r="F542" s="235" t="s">
        <v>503</v>
      </c>
      <c r="G542" s="238">
        <v>11.0</v>
      </c>
      <c r="H542" s="238">
        <v>0.0</v>
      </c>
      <c r="I542" s="238">
        <v>0.0</v>
      </c>
      <c r="J542" s="238">
        <v>0.0</v>
      </c>
      <c r="K542" s="238">
        <v>0.0</v>
      </c>
      <c r="L542" s="238">
        <v>0.0</v>
      </c>
      <c r="M542" s="238">
        <v>0.0</v>
      </c>
      <c r="N542" s="238">
        <v>0.0</v>
      </c>
      <c r="O542" s="238">
        <v>0.0</v>
      </c>
      <c r="P542" s="238">
        <v>0.0</v>
      </c>
      <c r="Q542" s="238">
        <v>0.0</v>
      </c>
      <c r="R542" s="238">
        <v>0.0</v>
      </c>
      <c r="S542" s="238">
        <v>11.0</v>
      </c>
      <c r="T542" s="238">
        <v>0.0</v>
      </c>
      <c r="U542" s="235" t="s">
        <v>155</v>
      </c>
    </row>
    <row r="543">
      <c r="A543" s="250">
        <v>46228.0</v>
      </c>
      <c r="B543" s="235" t="s">
        <v>2497</v>
      </c>
      <c r="C543" s="235" t="s">
        <v>255</v>
      </c>
      <c r="D543" s="235" t="s">
        <v>136</v>
      </c>
      <c r="E543" s="235" t="s">
        <v>256</v>
      </c>
      <c r="F543" s="235" t="s">
        <v>503</v>
      </c>
      <c r="G543" s="238">
        <v>26.0</v>
      </c>
      <c r="H543" s="238">
        <v>0.0</v>
      </c>
      <c r="I543" s="238">
        <v>0.0</v>
      </c>
      <c r="J543" s="238">
        <v>-1.0</v>
      </c>
      <c r="K543" s="238">
        <v>0.0</v>
      </c>
      <c r="L543" s="238">
        <v>0.0</v>
      </c>
      <c r="M543" s="238">
        <v>0.0</v>
      </c>
      <c r="N543" s="238">
        <v>0.0</v>
      </c>
      <c r="O543" s="238">
        <v>0.0</v>
      </c>
      <c r="P543" s="238">
        <v>0.0</v>
      </c>
      <c r="Q543" s="238">
        <v>0.0</v>
      </c>
      <c r="R543" s="238">
        <v>0.0</v>
      </c>
      <c r="S543" s="238">
        <v>25.0</v>
      </c>
      <c r="T543" s="238">
        <v>0.0</v>
      </c>
      <c r="U543" s="235" t="s">
        <v>533</v>
      </c>
    </row>
    <row r="544">
      <c r="A544" s="250">
        <v>46228.0</v>
      </c>
      <c r="B544" s="235" t="s">
        <v>2497</v>
      </c>
      <c r="C544" s="235" t="s">
        <v>255</v>
      </c>
      <c r="D544" s="235" t="s">
        <v>136</v>
      </c>
      <c r="E544" s="235" t="s">
        <v>256</v>
      </c>
      <c r="F544" s="235" t="s">
        <v>503</v>
      </c>
      <c r="G544" s="238">
        <v>30.0</v>
      </c>
      <c r="H544" s="238">
        <v>0.0</v>
      </c>
      <c r="I544" s="238">
        <v>0.0</v>
      </c>
      <c r="J544" s="238">
        <v>0.0</v>
      </c>
      <c r="K544" s="238">
        <v>0.0</v>
      </c>
      <c r="L544" s="238">
        <v>0.0</v>
      </c>
      <c r="M544" s="238">
        <v>0.0</v>
      </c>
      <c r="N544" s="238">
        <v>0.0</v>
      </c>
      <c r="O544" s="238">
        <v>0.0</v>
      </c>
      <c r="P544" s="238">
        <v>0.0</v>
      </c>
      <c r="Q544" s="238">
        <v>0.0</v>
      </c>
      <c r="R544" s="238">
        <v>0.0</v>
      </c>
      <c r="S544" s="238">
        <v>30.0</v>
      </c>
      <c r="T544" s="238">
        <v>0.0</v>
      </c>
      <c r="U544" s="235" t="s">
        <v>13</v>
      </c>
    </row>
    <row r="545">
      <c r="A545" s="250">
        <v>46228.0</v>
      </c>
      <c r="B545" s="235" t="s">
        <v>2497</v>
      </c>
      <c r="C545" s="235" t="s">
        <v>255</v>
      </c>
      <c r="D545" s="235" t="s">
        <v>136</v>
      </c>
      <c r="E545" s="235" t="s">
        <v>256</v>
      </c>
      <c r="F545" s="235" t="s">
        <v>503</v>
      </c>
      <c r="G545" s="238">
        <v>4.0</v>
      </c>
      <c r="H545" s="238">
        <v>0.0</v>
      </c>
      <c r="I545" s="238">
        <v>0.0</v>
      </c>
      <c r="J545" s="238">
        <v>0.0</v>
      </c>
      <c r="K545" s="238">
        <v>0.0</v>
      </c>
      <c r="L545" s="238">
        <v>0.0</v>
      </c>
      <c r="M545" s="238">
        <v>1.0</v>
      </c>
      <c r="N545" s="238">
        <v>0.0</v>
      </c>
      <c r="O545" s="238">
        <v>0.0</v>
      </c>
      <c r="P545" s="238">
        <v>0.0</v>
      </c>
      <c r="Q545" s="238">
        <v>0.0</v>
      </c>
      <c r="R545" s="238">
        <v>0.0</v>
      </c>
      <c r="S545" s="238">
        <v>5.0</v>
      </c>
      <c r="T545" s="238">
        <v>0.0</v>
      </c>
      <c r="U545" s="235" t="s">
        <v>14</v>
      </c>
    </row>
    <row r="546">
      <c r="A546" s="250">
        <v>46228.0</v>
      </c>
      <c r="B546" s="235" t="s">
        <v>2497</v>
      </c>
      <c r="C546" s="235" t="s">
        <v>255</v>
      </c>
      <c r="D546" s="235" t="s">
        <v>136</v>
      </c>
      <c r="E546" s="235" t="s">
        <v>256</v>
      </c>
      <c r="F546" s="235" t="s">
        <v>503</v>
      </c>
      <c r="G546" s="238">
        <v>13.0</v>
      </c>
      <c r="H546" s="238">
        <v>0.0</v>
      </c>
      <c r="I546" s="238">
        <v>0.0</v>
      </c>
      <c r="J546" s="238">
        <v>0.0</v>
      </c>
      <c r="K546" s="238">
        <v>0.0</v>
      </c>
      <c r="L546" s="238">
        <v>0.0</v>
      </c>
      <c r="M546" s="238">
        <v>0.0</v>
      </c>
      <c r="N546" s="238">
        <v>0.0</v>
      </c>
      <c r="O546" s="238">
        <v>0.0</v>
      </c>
      <c r="P546" s="238">
        <v>0.0</v>
      </c>
      <c r="Q546" s="238">
        <v>0.0</v>
      </c>
      <c r="R546" s="238">
        <v>0.0</v>
      </c>
      <c r="S546" s="238">
        <v>13.0</v>
      </c>
      <c r="T546" s="238">
        <v>0.0</v>
      </c>
      <c r="U546" s="235" t="s">
        <v>18</v>
      </c>
    </row>
    <row r="547">
      <c r="A547" s="250">
        <v>46228.0</v>
      </c>
      <c r="B547" s="235" t="s">
        <v>2497</v>
      </c>
      <c r="C547" s="235" t="s">
        <v>255</v>
      </c>
      <c r="D547" s="235" t="s">
        <v>136</v>
      </c>
      <c r="E547" s="235" t="s">
        <v>256</v>
      </c>
      <c r="F547" s="235" t="s">
        <v>503</v>
      </c>
      <c r="G547" s="238">
        <v>53.0</v>
      </c>
      <c r="H547" s="238">
        <v>0.0</v>
      </c>
      <c r="I547" s="238">
        <v>0.0</v>
      </c>
      <c r="J547" s="238">
        <v>0.0</v>
      </c>
      <c r="K547" s="238">
        <v>0.0</v>
      </c>
      <c r="L547" s="238">
        <v>0.0</v>
      </c>
      <c r="M547" s="238">
        <v>0.0</v>
      </c>
      <c r="N547" s="238">
        <v>0.0</v>
      </c>
      <c r="O547" s="238">
        <v>0.0</v>
      </c>
      <c r="P547" s="238">
        <v>0.0</v>
      </c>
      <c r="Q547" s="238">
        <v>0.0</v>
      </c>
      <c r="R547" s="238">
        <v>0.0</v>
      </c>
      <c r="S547" s="238">
        <v>53.0</v>
      </c>
      <c r="T547" s="238">
        <v>0.0</v>
      </c>
      <c r="U547" s="235" t="s">
        <v>20</v>
      </c>
    </row>
    <row r="548">
      <c r="A548" s="250">
        <v>46228.0</v>
      </c>
      <c r="B548" s="235" t="s">
        <v>2497</v>
      </c>
      <c r="C548" s="235" t="s">
        <v>255</v>
      </c>
      <c r="D548" s="235" t="s">
        <v>136</v>
      </c>
      <c r="E548" s="235" t="s">
        <v>256</v>
      </c>
      <c r="F548" s="235" t="s">
        <v>503</v>
      </c>
      <c r="G548" s="238">
        <v>22.0</v>
      </c>
      <c r="H548" s="238">
        <v>0.0</v>
      </c>
      <c r="I548" s="238">
        <v>0.0</v>
      </c>
      <c r="J548" s="238">
        <v>-1.0</v>
      </c>
      <c r="K548" s="238">
        <v>0.0</v>
      </c>
      <c r="L548" s="238">
        <v>0.0</v>
      </c>
      <c r="M548" s="238">
        <v>0.0</v>
      </c>
      <c r="N548" s="238">
        <v>0.0</v>
      </c>
      <c r="O548" s="238">
        <v>0.0</v>
      </c>
      <c r="P548" s="238">
        <v>0.0</v>
      </c>
      <c r="Q548" s="238">
        <v>0.0</v>
      </c>
      <c r="R548" s="238">
        <v>0.0</v>
      </c>
      <c r="S548" s="238">
        <v>21.0</v>
      </c>
      <c r="T548" s="238">
        <v>0.0</v>
      </c>
      <c r="U548" s="235" t="s">
        <v>156</v>
      </c>
    </row>
    <row r="549">
      <c r="A549" s="250">
        <v>46228.0</v>
      </c>
      <c r="B549" s="235" t="s">
        <v>2497</v>
      </c>
      <c r="C549" s="235" t="s">
        <v>255</v>
      </c>
      <c r="D549" s="235" t="s">
        <v>136</v>
      </c>
      <c r="E549" s="235" t="s">
        <v>256</v>
      </c>
      <c r="F549" s="235" t="s">
        <v>503</v>
      </c>
      <c r="G549" s="238">
        <v>13.0</v>
      </c>
      <c r="H549" s="238">
        <v>0.0</v>
      </c>
      <c r="I549" s="238">
        <v>0.0</v>
      </c>
      <c r="J549" s="238">
        <v>0.0</v>
      </c>
      <c r="K549" s="238">
        <v>0.0</v>
      </c>
      <c r="L549" s="238">
        <v>0.0</v>
      </c>
      <c r="M549" s="238">
        <v>0.0</v>
      </c>
      <c r="N549" s="238">
        <v>0.0</v>
      </c>
      <c r="O549" s="238">
        <v>0.0</v>
      </c>
      <c r="P549" s="238">
        <v>0.0</v>
      </c>
      <c r="Q549" s="238">
        <v>0.0</v>
      </c>
      <c r="R549" s="238">
        <v>0.0</v>
      </c>
      <c r="S549" s="238">
        <v>13.0</v>
      </c>
      <c r="T549" s="238">
        <v>0.0</v>
      </c>
      <c r="U549" s="235" t="s">
        <v>546</v>
      </c>
    </row>
    <row r="550">
      <c r="A550" s="250">
        <v>46228.0</v>
      </c>
      <c r="B550" s="235" t="s">
        <v>2556</v>
      </c>
      <c r="C550" s="235" t="s">
        <v>440</v>
      </c>
      <c r="D550" s="235" t="s">
        <v>442</v>
      </c>
      <c r="E550" s="235" t="s">
        <v>441</v>
      </c>
      <c r="F550" s="235" t="s">
        <v>503</v>
      </c>
      <c r="G550" s="238">
        <v>1.0</v>
      </c>
      <c r="H550" s="238">
        <v>0.0</v>
      </c>
      <c r="I550" s="238">
        <v>0.0</v>
      </c>
      <c r="J550" s="238">
        <v>0.0</v>
      </c>
      <c r="K550" s="238">
        <v>0.0</v>
      </c>
      <c r="L550" s="238">
        <v>0.0</v>
      </c>
      <c r="M550" s="238">
        <v>0.0</v>
      </c>
      <c r="N550" s="238">
        <v>0.0</v>
      </c>
      <c r="O550" s="238">
        <v>0.0</v>
      </c>
      <c r="P550" s="238">
        <v>0.0</v>
      </c>
      <c r="Q550" s="238">
        <v>0.0</v>
      </c>
      <c r="R550" s="238">
        <v>0.0</v>
      </c>
      <c r="S550" s="238">
        <v>1.0</v>
      </c>
      <c r="T550" s="238">
        <v>0.0</v>
      </c>
      <c r="U550" s="235" t="s">
        <v>9</v>
      </c>
    </row>
    <row r="551">
      <c r="A551" s="250">
        <v>46228.0</v>
      </c>
      <c r="B551" s="235" t="s">
        <v>2560</v>
      </c>
      <c r="C551" s="235" t="s">
        <v>313</v>
      </c>
      <c r="D551" s="235" t="s">
        <v>134</v>
      </c>
      <c r="E551" s="235" t="s">
        <v>314</v>
      </c>
      <c r="F551" s="235" t="s">
        <v>503</v>
      </c>
      <c r="G551" s="238">
        <v>8.0</v>
      </c>
      <c r="H551" s="238">
        <v>0.0</v>
      </c>
      <c r="I551" s="238">
        <v>0.0</v>
      </c>
      <c r="J551" s="238">
        <v>0.0</v>
      </c>
      <c r="K551" s="238">
        <v>0.0</v>
      </c>
      <c r="L551" s="238">
        <v>0.0</v>
      </c>
      <c r="M551" s="238">
        <v>0.0</v>
      </c>
      <c r="N551" s="238">
        <v>0.0</v>
      </c>
      <c r="O551" s="238">
        <v>0.0</v>
      </c>
      <c r="P551" s="238">
        <v>0.0</v>
      </c>
      <c r="Q551" s="238">
        <v>0.0</v>
      </c>
      <c r="R551" s="238">
        <v>0.0</v>
      </c>
      <c r="S551" s="238">
        <v>8.0</v>
      </c>
      <c r="T551" s="238">
        <v>0.0</v>
      </c>
      <c r="U551" s="235" t="s">
        <v>5</v>
      </c>
    </row>
    <row r="552">
      <c r="A552" s="250">
        <v>46228.0</v>
      </c>
      <c r="B552" s="235" t="s">
        <v>2560</v>
      </c>
      <c r="C552" s="235" t="s">
        <v>313</v>
      </c>
      <c r="D552" s="235" t="s">
        <v>134</v>
      </c>
      <c r="E552" s="235" t="s">
        <v>314</v>
      </c>
      <c r="F552" s="235" t="s">
        <v>503</v>
      </c>
      <c r="G552" s="238">
        <v>11.0</v>
      </c>
      <c r="H552" s="238">
        <v>0.0</v>
      </c>
      <c r="I552" s="238">
        <v>0.0</v>
      </c>
      <c r="J552" s="238">
        <v>-1.0</v>
      </c>
      <c r="K552" s="238">
        <v>0.0</v>
      </c>
      <c r="L552" s="238">
        <v>0.0</v>
      </c>
      <c r="M552" s="238">
        <v>0.0</v>
      </c>
      <c r="N552" s="238">
        <v>0.0</v>
      </c>
      <c r="O552" s="238">
        <v>0.0</v>
      </c>
      <c r="P552" s="238">
        <v>0.0</v>
      </c>
      <c r="Q552" s="238">
        <v>0.0</v>
      </c>
      <c r="R552" s="238">
        <v>0.0</v>
      </c>
      <c r="S552" s="238">
        <v>10.0</v>
      </c>
      <c r="T552" s="238">
        <v>0.0</v>
      </c>
      <c r="U552" s="235" t="s">
        <v>9</v>
      </c>
    </row>
    <row r="553">
      <c r="A553" s="250">
        <v>46228.0</v>
      </c>
      <c r="B553" s="235" t="s">
        <v>2560</v>
      </c>
      <c r="C553" s="235" t="s">
        <v>313</v>
      </c>
      <c r="D553" s="235" t="s">
        <v>134</v>
      </c>
      <c r="E553" s="235" t="s">
        <v>314</v>
      </c>
      <c r="F553" s="235" t="s">
        <v>503</v>
      </c>
      <c r="G553" s="238">
        <v>21.0</v>
      </c>
      <c r="H553" s="238">
        <v>0.0</v>
      </c>
      <c r="I553" s="238">
        <v>1.0</v>
      </c>
      <c r="J553" s="238">
        <v>0.0</v>
      </c>
      <c r="K553" s="238">
        <v>0.0</v>
      </c>
      <c r="L553" s="238">
        <v>0.0</v>
      </c>
      <c r="M553" s="238">
        <v>0.0</v>
      </c>
      <c r="N553" s="238">
        <v>0.0</v>
      </c>
      <c r="O553" s="238">
        <v>0.0</v>
      </c>
      <c r="P553" s="238">
        <v>0.0</v>
      </c>
      <c r="Q553" s="238">
        <v>0.0</v>
      </c>
      <c r="R553" s="238">
        <v>0.0</v>
      </c>
      <c r="S553" s="238">
        <v>22.0</v>
      </c>
      <c r="T553" s="238">
        <v>0.0</v>
      </c>
      <c r="U553" s="235" t="s">
        <v>11</v>
      </c>
    </row>
    <row r="554">
      <c r="A554" s="250">
        <v>46228.0</v>
      </c>
      <c r="B554" s="235" t="s">
        <v>2560</v>
      </c>
      <c r="C554" s="235" t="s">
        <v>313</v>
      </c>
      <c r="D554" s="235" t="s">
        <v>134</v>
      </c>
      <c r="E554" s="235" t="s">
        <v>314</v>
      </c>
      <c r="F554" s="235" t="s">
        <v>503</v>
      </c>
      <c r="G554" s="238">
        <v>2.0</v>
      </c>
      <c r="H554" s="238">
        <v>0.0</v>
      </c>
      <c r="I554" s="238">
        <v>0.0</v>
      </c>
      <c r="J554" s="238">
        <v>0.0</v>
      </c>
      <c r="K554" s="238">
        <v>0.0</v>
      </c>
      <c r="L554" s="238">
        <v>0.0</v>
      </c>
      <c r="M554" s="238">
        <v>0.0</v>
      </c>
      <c r="N554" s="238">
        <v>0.0</v>
      </c>
      <c r="O554" s="238">
        <v>0.0</v>
      </c>
      <c r="P554" s="238">
        <v>0.0</v>
      </c>
      <c r="Q554" s="238">
        <v>0.0</v>
      </c>
      <c r="R554" s="238">
        <v>0.0</v>
      </c>
      <c r="S554" s="238">
        <v>2.0</v>
      </c>
      <c r="T554" s="238">
        <v>0.0</v>
      </c>
      <c r="U554" s="235" t="s">
        <v>16</v>
      </c>
    </row>
    <row r="555">
      <c r="A555" s="250">
        <v>46228.0</v>
      </c>
      <c r="B555" s="235" t="s">
        <v>2560</v>
      </c>
      <c r="C555" s="235" t="s">
        <v>313</v>
      </c>
      <c r="D555" s="235" t="s">
        <v>134</v>
      </c>
      <c r="E555" s="235" t="s">
        <v>314</v>
      </c>
      <c r="F555" s="235" t="s">
        <v>503</v>
      </c>
      <c r="G555" s="238">
        <v>6.0</v>
      </c>
      <c r="H555" s="238">
        <v>0.0</v>
      </c>
      <c r="I555" s="238">
        <v>0.0</v>
      </c>
      <c r="J555" s="238">
        <v>0.0</v>
      </c>
      <c r="K555" s="238">
        <v>0.0</v>
      </c>
      <c r="L555" s="238">
        <v>0.0</v>
      </c>
      <c r="M555" s="238">
        <v>0.0</v>
      </c>
      <c r="N555" s="238">
        <v>0.0</v>
      </c>
      <c r="O555" s="238">
        <v>0.0</v>
      </c>
      <c r="P555" s="238">
        <v>0.0</v>
      </c>
      <c r="Q555" s="238">
        <v>0.0</v>
      </c>
      <c r="R555" s="238">
        <v>0.0</v>
      </c>
      <c r="S555" s="238">
        <v>6.0</v>
      </c>
      <c r="T555" s="238">
        <v>0.0</v>
      </c>
      <c r="U555" s="235" t="s">
        <v>17</v>
      </c>
    </row>
    <row r="556">
      <c r="A556" s="250">
        <v>46228.0</v>
      </c>
      <c r="B556" s="235" t="s">
        <v>2560</v>
      </c>
      <c r="C556" s="235" t="s">
        <v>313</v>
      </c>
      <c r="D556" s="235" t="s">
        <v>134</v>
      </c>
      <c r="E556" s="235" t="s">
        <v>314</v>
      </c>
      <c r="F556" s="235" t="s">
        <v>503</v>
      </c>
      <c r="G556" s="238">
        <v>5.0</v>
      </c>
      <c r="H556" s="238">
        <v>0.0</v>
      </c>
      <c r="I556" s="238">
        <v>0.0</v>
      </c>
      <c r="J556" s="238">
        <v>0.0</v>
      </c>
      <c r="K556" s="238">
        <v>0.0</v>
      </c>
      <c r="L556" s="238">
        <v>0.0</v>
      </c>
      <c r="M556" s="238">
        <v>0.0</v>
      </c>
      <c r="N556" s="238">
        <v>0.0</v>
      </c>
      <c r="O556" s="238">
        <v>0.0</v>
      </c>
      <c r="P556" s="238">
        <v>0.0</v>
      </c>
      <c r="Q556" s="238">
        <v>0.0</v>
      </c>
      <c r="R556" s="238">
        <v>0.0</v>
      </c>
      <c r="S556" s="238">
        <v>5.0</v>
      </c>
      <c r="T556" s="238">
        <v>0.0</v>
      </c>
      <c r="U556" s="235" t="s">
        <v>155</v>
      </c>
    </row>
    <row r="557">
      <c r="A557" s="250">
        <v>46228.0</v>
      </c>
      <c r="B557" s="235" t="s">
        <v>2560</v>
      </c>
      <c r="C557" s="235" t="s">
        <v>313</v>
      </c>
      <c r="D557" s="235" t="s">
        <v>134</v>
      </c>
      <c r="E557" s="235" t="s">
        <v>314</v>
      </c>
      <c r="F557" s="235" t="s">
        <v>503</v>
      </c>
      <c r="G557" s="238">
        <v>4.0</v>
      </c>
      <c r="H557" s="238">
        <v>0.0</v>
      </c>
      <c r="I557" s="238">
        <v>0.0</v>
      </c>
      <c r="J557" s="238">
        <v>0.0</v>
      </c>
      <c r="K557" s="238">
        <v>0.0</v>
      </c>
      <c r="L557" s="238">
        <v>0.0</v>
      </c>
      <c r="M557" s="238">
        <v>0.0</v>
      </c>
      <c r="N557" s="238">
        <v>0.0</v>
      </c>
      <c r="O557" s="238">
        <v>0.0</v>
      </c>
      <c r="P557" s="238">
        <v>0.0</v>
      </c>
      <c r="Q557" s="238">
        <v>0.0</v>
      </c>
      <c r="R557" s="238">
        <v>0.0</v>
      </c>
      <c r="S557" s="238">
        <v>4.0</v>
      </c>
      <c r="T557" s="238">
        <v>0.0</v>
      </c>
      <c r="U557" s="235" t="s">
        <v>533</v>
      </c>
    </row>
    <row r="558">
      <c r="A558" s="250">
        <v>46228.0</v>
      </c>
      <c r="B558" s="235" t="s">
        <v>2560</v>
      </c>
      <c r="C558" s="235" t="s">
        <v>313</v>
      </c>
      <c r="D558" s="235" t="s">
        <v>134</v>
      </c>
      <c r="E558" s="235" t="s">
        <v>314</v>
      </c>
      <c r="F558" s="235" t="s">
        <v>503</v>
      </c>
      <c r="G558" s="238">
        <v>6.0</v>
      </c>
      <c r="H558" s="238">
        <v>0.0</v>
      </c>
      <c r="I558" s="238">
        <v>0.0</v>
      </c>
      <c r="J558" s="238">
        <v>0.0</v>
      </c>
      <c r="K558" s="238">
        <v>0.0</v>
      </c>
      <c r="L558" s="238">
        <v>0.0</v>
      </c>
      <c r="M558" s="238">
        <v>0.0</v>
      </c>
      <c r="N558" s="238">
        <v>0.0</v>
      </c>
      <c r="O558" s="238">
        <v>0.0</v>
      </c>
      <c r="P558" s="238">
        <v>0.0</v>
      </c>
      <c r="Q558" s="238">
        <v>0.0</v>
      </c>
      <c r="R558" s="238">
        <v>0.0</v>
      </c>
      <c r="S558" s="238">
        <v>6.0</v>
      </c>
      <c r="T558" s="238">
        <v>0.0</v>
      </c>
      <c r="U558" s="235" t="s">
        <v>13</v>
      </c>
    </row>
    <row r="559">
      <c r="A559" s="250">
        <v>46228.0</v>
      </c>
      <c r="B559" s="235" t="s">
        <v>2560</v>
      </c>
      <c r="C559" s="235" t="s">
        <v>313</v>
      </c>
      <c r="D559" s="235" t="s">
        <v>134</v>
      </c>
      <c r="E559" s="235" t="s">
        <v>314</v>
      </c>
      <c r="F559" s="235" t="s">
        <v>503</v>
      </c>
      <c r="G559" s="238">
        <v>7.0</v>
      </c>
      <c r="H559" s="238">
        <v>0.0</v>
      </c>
      <c r="I559" s="238">
        <v>0.0</v>
      </c>
      <c r="J559" s="238">
        <v>0.0</v>
      </c>
      <c r="K559" s="238">
        <v>0.0</v>
      </c>
      <c r="L559" s="238">
        <v>0.0</v>
      </c>
      <c r="M559" s="238">
        <v>0.0</v>
      </c>
      <c r="N559" s="238">
        <v>0.0</v>
      </c>
      <c r="O559" s="238">
        <v>0.0</v>
      </c>
      <c r="P559" s="238">
        <v>0.0</v>
      </c>
      <c r="Q559" s="238">
        <v>0.0</v>
      </c>
      <c r="R559" s="238">
        <v>0.0</v>
      </c>
      <c r="S559" s="238">
        <v>7.0</v>
      </c>
      <c r="T559" s="238">
        <v>0.0</v>
      </c>
      <c r="U559" s="235" t="s">
        <v>14</v>
      </c>
    </row>
    <row r="560">
      <c r="A560" s="250">
        <v>46228.0</v>
      </c>
      <c r="B560" s="235" t="s">
        <v>2560</v>
      </c>
      <c r="C560" s="235" t="s">
        <v>313</v>
      </c>
      <c r="D560" s="235" t="s">
        <v>134</v>
      </c>
      <c r="E560" s="235" t="s">
        <v>314</v>
      </c>
      <c r="F560" s="235" t="s">
        <v>503</v>
      </c>
      <c r="G560" s="238">
        <v>6.0</v>
      </c>
      <c r="H560" s="238">
        <v>0.0</v>
      </c>
      <c r="I560" s="238">
        <v>0.0</v>
      </c>
      <c r="J560" s="238">
        <v>0.0</v>
      </c>
      <c r="K560" s="238">
        <v>0.0</v>
      </c>
      <c r="L560" s="238">
        <v>0.0</v>
      </c>
      <c r="M560" s="238">
        <v>0.0</v>
      </c>
      <c r="N560" s="238">
        <v>0.0</v>
      </c>
      <c r="O560" s="238">
        <v>0.0</v>
      </c>
      <c r="P560" s="238">
        <v>0.0</v>
      </c>
      <c r="Q560" s="238">
        <v>0.0</v>
      </c>
      <c r="R560" s="238">
        <v>0.0</v>
      </c>
      <c r="S560" s="238">
        <v>6.0</v>
      </c>
      <c r="T560" s="238">
        <v>0.0</v>
      </c>
      <c r="U560" s="235" t="s">
        <v>18</v>
      </c>
    </row>
    <row r="561">
      <c r="A561" s="250">
        <v>46228.0</v>
      </c>
      <c r="B561" s="235" t="s">
        <v>2560</v>
      </c>
      <c r="C561" s="235" t="s">
        <v>313</v>
      </c>
      <c r="D561" s="235" t="s">
        <v>134</v>
      </c>
      <c r="E561" s="235" t="s">
        <v>314</v>
      </c>
      <c r="F561" s="235" t="s">
        <v>503</v>
      </c>
      <c r="G561" s="238">
        <v>16.0</v>
      </c>
      <c r="H561" s="238">
        <v>0.0</v>
      </c>
      <c r="I561" s="238">
        <v>0.0</v>
      </c>
      <c r="J561" s="238">
        <v>0.0</v>
      </c>
      <c r="K561" s="238">
        <v>0.0</v>
      </c>
      <c r="L561" s="238">
        <v>0.0</v>
      </c>
      <c r="M561" s="238">
        <v>0.0</v>
      </c>
      <c r="N561" s="238">
        <v>0.0</v>
      </c>
      <c r="O561" s="238">
        <v>0.0</v>
      </c>
      <c r="P561" s="238">
        <v>0.0</v>
      </c>
      <c r="Q561" s="238">
        <v>0.0</v>
      </c>
      <c r="R561" s="238">
        <v>0.0</v>
      </c>
      <c r="S561" s="238">
        <v>16.0</v>
      </c>
      <c r="T561" s="238">
        <v>0.0</v>
      </c>
      <c r="U561" s="235" t="s">
        <v>20</v>
      </c>
    </row>
    <row r="562">
      <c r="A562" s="250">
        <v>46228.0</v>
      </c>
      <c r="B562" s="235" t="s">
        <v>2560</v>
      </c>
      <c r="C562" s="235" t="s">
        <v>313</v>
      </c>
      <c r="D562" s="235" t="s">
        <v>134</v>
      </c>
      <c r="E562" s="235" t="s">
        <v>314</v>
      </c>
      <c r="F562" s="235" t="s">
        <v>503</v>
      </c>
      <c r="G562" s="238">
        <v>7.0</v>
      </c>
      <c r="H562" s="238">
        <v>0.0</v>
      </c>
      <c r="I562" s="238">
        <v>0.0</v>
      </c>
      <c r="J562" s="238">
        <v>0.0</v>
      </c>
      <c r="K562" s="238">
        <v>0.0</v>
      </c>
      <c r="L562" s="238">
        <v>0.0</v>
      </c>
      <c r="M562" s="238">
        <v>0.0</v>
      </c>
      <c r="N562" s="238">
        <v>0.0</v>
      </c>
      <c r="O562" s="238">
        <v>0.0</v>
      </c>
      <c r="P562" s="238">
        <v>0.0</v>
      </c>
      <c r="Q562" s="238">
        <v>0.0</v>
      </c>
      <c r="R562" s="238">
        <v>0.0</v>
      </c>
      <c r="S562" s="238">
        <v>7.0</v>
      </c>
      <c r="T562" s="238">
        <v>0.0</v>
      </c>
      <c r="U562" s="235" t="s">
        <v>156</v>
      </c>
    </row>
    <row r="563">
      <c r="A563" s="250">
        <v>46228.0</v>
      </c>
      <c r="B563" s="235" t="s">
        <v>2560</v>
      </c>
      <c r="C563" s="235" t="s">
        <v>313</v>
      </c>
      <c r="D563" s="235" t="s">
        <v>134</v>
      </c>
      <c r="E563" s="235" t="s">
        <v>314</v>
      </c>
      <c r="F563" s="235" t="s">
        <v>503</v>
      </c>
      <c r="G563" s="238">
        <v>6.0</v>
      </c>
      <c r="H563" s="238">
        <v>0.0</v>
      </c>
      <c r="I563" s="238">
        <v>0.0</v>
      </c>
      <c r="J563" s="238">
        <v>0.0</v>
      </c>
      <c r="K563" s="238">
        <v>0.0</v>
      </c>
      <c r="L563" s="238">
        <v>0.0</v>
      </c>
      <c r="M563" s="238">
        <v>0.0</v>
      </c>
      <c r="N563" s="238">
        <v>0.0</v>
      </c>
      <c r="O563" s="238">
        <v>0.0</v>
      </c>
      <c r="P563" s="238">
        <v>0.0</v>
      </c>
      <c r="Q563" s="238">
        <v>0.0</v>
      </c>
      <c r="R563" s="238">
        <v>0.0</v>
      </c>
      <c r="S563" s="238">
        <v>6.0</v>
      </c>
      <c r="T563" s="238">
        <v>0.0</v>
      </c>
      <c r="U563" s="235" t="s">
        <v>546</v>
      </c>
    </row>
    <row r="564">
      <c r="A564" s="250">
        <v>46228.0</v>
      </c>
      <c r="B564" s="235" t="s">
        <v>2616</v>
      </c>
      <c r="C564" s="235" t="s">
        <v>2617</v>
      </c>
      <c r="D564" s="235" t="s">
        <v>2618</v>
      </c>
      <c r="E564" s="235" t="s">
        <v>2619</v>
      </c>
      <c r="F564" s="235" t="s">
        <v>503</v>
      </c>
      <c r="G564" s="238">
        <v>1.0</v>
      </c>
      <c r="H564" s="238">
        <v>0.0</v>
      </c>
      <c r="I564" s="238">
        <v>0.0</v>
      </c>
      <c r="J564" s="238">
        <v>0.0</v>
      </c>
      <c r="K564" s="238">
        <v>0.0</v>
      </c>
      <c r="L564" s="238">
        <v>0.0</v>
      </c>
      <c r="M564" s="238">
        <v>0.0</v>
      </c>
      <c r="N564" s="238">
        <v>0.0</v>
      </c>
      <c r="O564" s="238">
        <v>0.0</v>
      </c>
      <c r="P564" s="238">
        <v>0.0</v>
      </c>
      <c r="Q564" s="238">
        <v>0.0</v>
      </c>
      <c r="R564" s="238">
        <v>0.0</v>
      </c>
      <c r="S564" s="238">
        <v>1.0</v>
      </c>
      <c r="T564" s="238">
        <v>0.0</v>
      </c>
      <c r="U564" s="235" t="s">
        <v>9</v>
      </c>
    </row>
    <row r="565">
      <c r="A565" s="250">
        <v>46228.0</v>
      </c>
      <c r="B565" s="235" t="s">
        <v>2622</v>
      </c>
      <c r="C565" s="235" t="s">
        <v>2624</v>
      </c>
      <c r="D565" s="235" t="s">
        <v>2625</v>
      </c>
      <c r="E565" s="235" t="s">
        <v>2628</v>
      </c>
      <c r="F565" s="235" t="s">
        <v>503</v>
      </c>
      <c r="G565" s="238">
        <v>1.0</v>
      </c>
      <c r="H565" s="238">
        <v>0.0</v>
      </c>
      <c r="I565" s="238">
        <v>0.0</v>
      </c>
      <c r="J565" s="238">
        <v>0.0</v>
      </c>
      <c r="K565" s="238">
        <v>0.0</v>
      </c>
      <c r="L565" s="238">
        <v>0.0</v>
      </c>
      <c r="M565" s="238">
        <v>0.0</v>
      </c>
      <c r="N565" s="238">
        <v>0.0</v>
      </c>
      <c r="O565" s="238">
        <v>0.0</v>
      </c>
      <c r="P565" s="238">
        <v>0.0</v>
      </c>
      <c r="Q565" s="238">
        <v>0.0</v>
      </c>
      <c r="R565" s="238">
        <v>0.0</v>
      </c>
      <c r="S565" s="238">
        <v>1.0</v>
      </c>
      <c r="T565" s="238">
        <v>0.0</v>
      </c>
      <c r="U565" s="235" t="s">
        <v>9</v>
      </c>
    </row>
    <row r="566">
      <c r="A566" s="250">
        <v>46228.0</v>
      </c>
      <c r="B566" s="235" t="s">
        <v>2634</v>
      </c>
      <c r="C566" s="235" t="s">
        <v>521</v>
      </c>
      <c r="D566" s="235" t="s">
        <v>129</v>
      </c>
      <c r="E566" s="235" t="s">
        <v>522</v>
      </c>
      <c r="F566" s="235" t="s">
        <v>503</v>
      </c>
      <c r="G566" s="238">
        <v>1.0</v>
      </c>
      <c r="H566" s="238">
        <v>0.0</v>
      </c>
      <c r="I566" s="238">
        <v>0.0</v>
      </c>
      <c r="J566" s="238">
        <v>0.0</v>
      </c>
      <c r="K566" s="238">
        <v>0.0</v>
      </c>
      <c r="L566" s="238">
        <v>0.0</v>
      </c>
      <c r="M566" s="238">
        <v>0.0</v>
      </c>
      <c r="N566" s="238">
        <v>0.0</v>
      </c>
      <c r="O566" s="238">
        <v>0.0</v>
      </c>
      <c r="P566" s="238">
        <v>0.0</v>
      </c>
      <c r="Q566" s="238">
        <v>0.0</v>
      </c>
      <c r="R566" s="238">
        <v>0.0</v>
      </c>
      <c r="S566" s="238">
        <v>1.0</v>
      </c>
      <c r="T566" s="238">
        <v>0.0</v>
      </c>
      <c r="U566" s="235" t="s">
        <v>9</v>
      </c>
    </row>
    <row r="567">
      <c r="A567" s="250">
        <v>46228.0</v>
      </c>
      <c r="B567" s="235" t="s">
        <v>2634</v>
      </c>
      <c r="C567" s="235" t="s">
        <v>521</v>
      </c>
      <c r="D567" s="235" t="s">
        <v>129</v>
      </c>
      <c r="E567" s="235" t="s">
        <v>522</v>
      </c>
      <c r="F567" s="235" t="s">
        <v>503</v>
      </c>
      <c r="G567" s="238">
        <v>1.0</v>
      </c>
      <c r="H567" s="238">
        <v>0.0</v>
      </c>
      <c r="I567" s="238">
        <v>0.0</v>
      </c>
      <c r="J567" s="238">
        <v>0.0</v>
      </c>
      <c r="K567" s="238">
        <v>0.0</v>
      </c>
      <c r="L567" s="238">
        <v>0.0</v>
      </c>
      <c r="M567" s="238">
        <v>0.0</v>
      </c>
      <c r="N567" s="238">
        <v>0.0</v>
      </c>
      <c r="O567" s="238">
        <v>0.0</v>
      </c>
      <c r="P567" s="238">
        <v>0.0</v>
      </c>
      <c r="Q567" s="238">
        <v>0.0</v>
      </c>
      <c r="R567" s="238">
        <v>0.0</v>
      </c>
      <c r="S567" s="238">
        <v>1.0</v>
      </c>
      <c r="T567" s="238">
        <v>0.0</v>
      </c>
      <c r="U567" s="235" t="s">
        <v>11</v>
      </c>
    </row>
    <row r="568">
      <c r="A568" s="250">
        <v>46228.0</v>
      </c>
      <c r="B568" s="235" t="s">
        <v>2634</v>
      </c>
      <c r="C568" s="235" t="s">
        <v>521</v>
      </c>
      <c r="D568" s="235" t="s">
        <v>129</v>
      </c>
      <c r="E568" s="235" t="s">
        <v>522</v>
      </c>
      <c r="F568" s="235" t="s">
        <v>503</v>
      </c>
      <c r="G568" s="238">
        <v>1.0</v>
      </c>
      <c r="H568" s="238">
        <v>0.0</v>
      </c>
      <c r="I568" s="238">
        <v>0.0</v>
      </c>
      <c r="J568" s="238">
        <v>0.0</v>
      </c>
      <c r="K568" s="238">
        <v>0.0</v>
      </c>
      <c r="L568" s="238">
        <v>0.0</v>
      </c>
      <c r="M568" s="238">
        <v>0.0</v>
      </c>
      <c r="N568" s="238">
        <v>0.0</v>
      </c>
      <c r="O568" s="238">
        <v>0.0</v>
      </c>
      <c r="P568" s="238">
        <v>0.0</v>
      </c>
      <c r="Q568" s="238">
        <v>0.0</v>
      </c>
      <c r="R568" s="238">
        <v>0.0</v>
      </c>
      <c r="S568" s="238">
        <v>1.0</v>
      </c>
      <c r="T568" s="238">
        <v>0.0</v>
      </c>
      <c r="U568" s="235" t="s">
        <v>13</v>
      </c>
    </row>
    <row r="569">
      <c r="A569" s="250">
        <v>46228.0</v>
      </c>
      <c r="B569" s="235" t="s">
        <v>2634</v>
      </c>
      <c r="C569" s="235" t="s">
        <v>521</v>
      </c>
      <c r="D569" s="235" t="s">
        <v>129</v>
      </c>
      <c r="E569" s="235" t="s">
        <v>522</v>
      </c>
      <c r="F569" s="235" t="s">
        <v>503</v>
      </c>
      <c r="G569" s="238">
        <v>5.0</v>
      </c>
      <c r="H569" s="238">
        <v>0.0</v>
      </c>
      <c r="I569" s="238">
        <v>0.0</v>
      </c>
      <c r="J569" s="238">
        <v>0.0</v>
      </c>
      <c r="K569" s="238">
        <v>0.0</v>
      </c>
      <c r="L569" s="238">
        <v>0.0</v>
      </c>
      <c r="M569" s="238">
        <v>0.0</v>
      </c>
      <c r="N569" s="238">
        <v>0.0</v>
      </c>
      <c r="O569" s="238">
        <v>0.0</v>
      </c>
      <c r="P569" s="238">
        <v>0.0</v>
      </c>
      <c r="Q569" s="238">
        <v>0.0</v>
      </c>
      <c r="R569" s="238">
        <v>0.0</v>
      </c>
      <c r="S569" s="238">
        <v>5.0</v>
      </c>
      <c r="T569" s="238">
        <v>0.0</v>
      </c>
      <c r="U569" s="235" t="s">
        <v>20</v>
      </c>
    </row>
    <row r="570">
      <c r="A570" s="250">
        <v>46228.0</v>
      </c>
      <c r="B570" s="235" t="s">
        <v>2634</v>
      </c>
      <c r="C570" s="235" t="s">
        <v>521</v>
      </c>
      <c r="D570" s="235" t="s">
        <v>129</v>
      </c>
      <c r="E570" s="235" t="s">
        <v>522</v>
      </c>
      <c r="F570" s="235" t="s">
        <v>503</v>
      </c>
      <c r="G570" s="238">
        <v>1.0</v>
      </c>
      <c r="H570" s="238">
        <v>0.0</v>
      </c>
      <c r="I570" s="238">
        <v>0.0</v>
      </c>
      <c r="J570" s="238">
        <v>0.0</v>
      </c>
      <c r="K570" s="238">
        <v>0.0</v>
      </c>
      <c r="L570" s="238">
        <v>0.0</v>
      </c>
      <c r="M570" s="238">
        <v>0.0</v>
      </c>
      <c r="N570" s="238">
        <v>0.0</v>
      </c>
      <c r="O570" s="238">
        <v>0.0</v>
      </c>
      <c r="P570" s="238">
        <v>0.0</v>
      </c>
      <c r="Q570" s="238">
        <v>0.0</v>
      </c>
      <c r="R570" s="238">
        <v>0.0</v>
      </c>
      <c r="S570" s="238">
        <v>1.0</v>
      </c>
      <c r="T570" s="238">
        <v>0.0</v>
      </c>
      <c r="U570" s="235" t="s">
        <v>546</v>
      </c>
    </row>
    <row r="571">
      <c r="A571" s="250">
        <v>46228.0</v>
      </c>
      <c r="B571" s="235" t="s">
        <v>2649</v>
      </c>
      <c r="C571" s="235" t="s">
        <v>323</v>
      </c>
      <c r="D571" s="235" t="s">
        <v>120</v>
      </c>
      <c r="E571" s="235" t="s">
        <v>324</v>
      </c>
      <c r="F571" s="235" t="s">
        <v>514</v>
      </c>
      <c r="G571" s="238">
        <v>1.0</v>
      </c>
      <c r="H571" s="238">
        <v>0.0</v>
      </c>
      <c r="I571" s="238">
        <v>0.0</v>
      </c>
      <c r="J571" s="238">
        <v>0.0</v>
      </c>
      <c r="K571" s="238">
        <v>0.0</v>
      </c>
      <c r="L571" s="238">
        <v>0.0</v>
      </c>
      <c r="M571" s="238">
        <v>0.0</v>
      </c>
      <c r="N571" s="238">
        <v>0.0</v>
      </c>
      <c r="O571" s="238">
        <v>0.0</v>
      </c>
      <c r="P571" s="238">
        <v>0.0</v>
      </c>
      <c r="Q571" s="238">
        <v>0.0</v>
      </c>
      <c r="R571" s="238">
        <v>0.0</v>
      </c>
      <c r="S571" s="238">
        <v>0.0</v>
      </c>
      <c r="T571" s="238">
        <v>0.0</v>
      </c>
      <c r="U571" s="235" t="s">
        <v>533</v>
      </c>
    </row>
    <row r="572">
      <c r="A572" s="250">
        <v>46228.0</v>
      </c>
      <c r="B572" s="235" t="s">
        <v>2649</v>
      </c>
      <c r="C572" s="235" t="s">
        <v>323</v>
      </c>
      <c r="D572" s="235" t="s">
        <v>120</v>
      </c>
      <c r="E572" s="235" t="s">
        <v>324</v>
      </c>
      <c r="F572" s="235" t="s">
        <v>503</v>
      </c>
      <c r="G572" s="238">
        <v>10.0</v>
      </c>
      <c r="H572" s="238">
        <v>0.0</v>
      </c>
      <c r="I572" s="238">
        <v>0.0</v>
      </c>
      <c r="J572" s="238">
        <v>0.0</v>
      </c>
      <c r="K572" s="238">
        <v>0.0</v>
      </c>
      <c r="L572" s="238">
        <v>0.0</v>
      </c>
      <c r="M572" s="238">
        <v>0.0</v>
      </c>
      <c r="N572" s="238">
        <v>0.0</v>
      </c>
      <c r="O572" s="238">
        <v>0.0</v>
      </c>
      <c r="P572" s="238">
        <v>0.0</v>
      </c>
      <c r="Q572" s="238">
        <v>0.0</v>
      </c>
      <c r="R572" s="238">
        <v>0.0</v>
      </c>
      <c r="S572" s="238">
        <v>10.0</v>
      </c>
      <c r="T572" s="238">
        <v>0.0</v>
      </c>
      <c r="U572" s="235" t="s">
        <v>9</v>
      </c>
    </row>
    <row r="573">
      <c r="A573" s="250">
        <v>46228.0</v>
      </c>
      <c r="B573" s="235" t="s">
        <v>2649</v>
      </c>
      <c r="C573" s="235" t="s">
        <v>323</v>
      </c>
      <c r="D573" s="235" t="s">
        <v>120</v>
      </c>
      <c r="E573" s="235" t="s">
        <v>324</v>
      </c>
      <c r="F573" s="235" t="s">
        <v>503</v>
      </c>
      <c r="G573" s="238">
        <v>3.0</v>
      </c>
      <c r="H573" s="238">
        <v>0.0</v>
      </c>
      <c r="I573" s="238">
        <v>0.0</v>
      </c>
      <c r="J573" s="238">
        <v>0.0</v>
      </c>
      <c r="K573" s="238">
        <v>0.0</v>
      </c>
      <c r="L573" s="238">
        <v>0.0</v>
      </c>
      <c r="M573" s="238">
        <v>0.0</v>
      </c>
      <c r="N573" s="238">
        <v>0.0</v>
      </c>
      <c r="O573" s="238">
        <v>0.0</v>
      </c>
      <c r="P573" s="238">
        <v>0.0</v>
      </c>
      <c r="Q573" s="238">
        <v>0.0</v>
      </c>
      <c r="R573" s="238">
        <v>0.0</v>
      </c>
      <c r="S573" s="238">
        <v>3.0</v>
      </c>
      <c r="T573" s="238">
        <v>0.0</v>
      </c>
      <c r="U573" s="235" t="s">
        <v>11</v>
      </c>
    </row>
    <row r="574">
      <c r="A574" s="250">
        <v>46228.0</v>
      </c>
      <c r="B574" s="235" t="s">
        <v>2649</v>
      </c>
      <c r="C574" s="235" t="s">
        <v>323</v>
      </c>
      <c r="D574" s="235" t="s">
        <v>120</v>
      </c>
      <c r="E574" s="235" t="s">
        <v>324</v>
      </c>
      <c r="F574" s="235" t="s">
        <v>503</v>
      </c>
      <c r="G574" s="238">
        <v>3.0</v>
      </c>
      <c r="H574" s="238">
        <v>0.0</v>
      </c>
      <c r="I574" s="238">
        <v>0.0</v>
      </c>
      <c r="J574" s="238">
        <v>0.0</v>
      </c>
      <c r="K574" s="238">
        <v>0.0</v>
      </c>
      <c r="L574" s="238">
        <v>0.0</v>
      </c>
      <c r="M574" s="238">
        <v>0.0</v>
      </c>
      <c r="N574" s="238">
        <v>0.0</v>
      </c>
      <c r="O574" s="238">
        <v>0.0</v>
      </c>
      <c r="P574" s="238">
        <v>0.0</v>
      </c>
      <c r="Q574" s="238">
        <v>0.0</v>
      </c>
      <c r="R574" s="238">
        <v>0.0</v>
      </c>
      <c r="S574" s="238">
        <v>3.0</v>
      </c>
      <c r="T574" s="238">
        <v>0.0</v>
      </c>
      <c r="U574" s="235" t="s">
        <v>16</v>
      </c>
    </row>
    <row r="575">
      <c r="A575" s="250">
        <v>46228.0</v>
      </c>
      <c r="B575" s="235" t="s">
        <v>2649</v>
      </c>
      <c r="C575" s="235" t="s">
        <v>323</v>
      </c>
      <c r="D575" s="235" t="s">
        <v>120</v>
      </c>
      <c r="E575" s="235" t="s">
        <v>324</v>
      </c>
      <c r="F575" s="235" t="s">
        <v>503</v>
      </c>
      <c r="G575" s="238">
        <v>5.0</v>
      </c>
      <c r="H575" s="238">
        <v>0.0</v>
      </c>
      <c r="I575" s="238">
        <v>0.0</v>
      </c>
      <c r="J575" s="238">
        <v>0.0</v>
      </c>
      <c r="K575" s="238">
        <v>0.0</v>
      </c>
      <c r="L575" s="238">
        <v>0.0</v>
      </c>
      <c r="M575" s="238">
        <v>0.0</v>
      </c>
      <c r="N575" s="238">
        <v>0.0</v>
      </c>
      <c r="O575" s="238">
        <v>0.0</v>
      </c>
      <c r="P575" s="238">
        <v>0.0</v>
      </c>
      <c r="Q575" s="238">
        <v>0.0</v>
      </c>
      <c r="R575" s="238">
        <v>0.0</v>
      </c>
      <c r="S575" s="238">
        <v>5.0</v>
      </c>
      <c r="T575" s="238">
        <v>0.0</v>
      </c>
      <c r="U575" s="235" t="s">
        <v>17</v>
      </c>
    </row>
    <row r="576">
      <c r="A576" s="250">
        <v>46228.0</v>
      </c>
      <c r="B576" s="235" t="s">
        <v>2649</v>
      </c>
      <c r="C576" s="235" t="s">
        <v>323</v>
      </c>
      <c r="D576" s="235" t="s">
        <v>120</v>
      </c>
      <c r="E576" s="235" t="s">
        <v>324</v>
      </c>
      <c r="F576" s="235" t="s">
        <v>503</v>
      </c>
      <c r="G576" s="238">
        <v>2.0</v>
      </c>
      <c r="H576" s="238">
        <v>0.0</v>
      </c>
      <c r="I576" s="238">
        <v>0.0</v>
      </c>
      <c r="J576" s="238">
        <v>0.0</v>
      </c>
      <c r="K576" s="238">
        <v>0.0</v>
      </c>
      <c r="L576" s="238">
        <v>0.0</v>
      </c>
      <c r="M576" s="238">
        <v>0.0</v>
      </c>
      <c r="N576" s="238">
        <v>0.0</v>
      </c>
      <c r="O576" s="238">
        <v>0.0</v>
      </c>
      <c r="P576" s="238">
        <v>0.0</v>
      </c>
      <c r="Q576" s="238">
        <v>0.0</v>
      </c>
      <c r="R576" s="238">
        <v>0.0</v>
      </c>
      <c r="S576" s="238">
        <v>2.0</v>
      </c>
      <c r="T576" s="238">
        <v>0.0</v>
      </c>
      <c r="U576" s="235" t="s">
        <v>155</v>
      </c>
    </row>
    <row r="577">
      <c r="A577" s="250">
        <v>46228.0</v>
      </c>
      <c r="B577" s="235" t="s">
        <v>2649</v>
      </c>
      <c r="C577" s="235" t="s">
        <v>323</v>
      </c>
      <c r="D577" s="235" t="s">
        <v>120</v>
      </c>
      <c r="E577" s="235" t="s">
        <v>324</v>
      </c>
      <c r="F577" s="235" t="s">
        <v>503</v>
      </c>
      <c r="G577" s="238">
        <v>6.0</v>
      </c>
      <c r="H577" s="238">
        <v>0.0</v>
      </c>
      <c r="I577" s="238">
        <v>0.0</v>
      </c>
      <c r="J577" s="238">
        <v>0.0</v>
      </c>
      <c r="K577" s="238">
        <v>0.0</v>
      </c>
      <c r="L577" s="238">
        <v>0.0</v>
      </c>
      <c r="M577" s="238">
        <v>0.0</v>
      </c>
      <c r="N577" s="238">
        <v>0.0</v>
      </c>
      <c r="O577" s="238">
        <v>0.0</v>
      </c>
      <c r="P577" s="238">
        <v>0.0</v>
      </c>
      <c r="Q577" s="238">
        <v>0.0</v>
      </c>
      <c r="R577" s="238">
        <v>0.0</v>
      </c>
      <c r="S577" s="238">
        <v>6.0</v>
      </c>
      <c r="T577" s="238">
        <v>0.0</v>
      </c>
      <c r="U577" s="235" t="s">
        <v>533</v>
      </c>
    </row>
    <row r="578">
      <c r="A578" s="250">
        <v>46228.0</v>
      </c>
      <c r="B578" s="235" t="s">
        <v>2649</v>
      </c>
      <c r="C578" s="235" t="s">
        <v>323</v>
      </c>
      <c r="D578" s="235" t="s">
        <v>120</v>
      </c>
      <c r="E578" s="235" t="s">
        <v>324</v>
      </c>
      <c r="F578" s="235" t="s">
        <v>503</v>
      </c>
      <c r="G578" s="238">
        <v>2.0</v>
      </c>
      <c r="H578" s="238">
        <v>0.0</v>
      </c>
      <c r="I578" s="238">
        <v>0.0</v>
      </c>
      <c r="J578" s="238">
        <v>0.0</v>
      </c>
      <c r="K578" s="238">
        <v>0.0</v>
      </c>
      <c r="L578" s="238">
        <v>0.0</v>
      </c>
      <c r="M578" s="238">
        <v>0.0</v>
      </c>
      <c r="N578" s="238">
        <v>0.0</v>
      </c>
      <c r="O578" s="238">
        <v>0.0</v>
      </c>
      <c r="P578" s="238">
        <v>0.0</v>
      </c>
      <c r="Q578" s="238">
        <v>0.0</v>
      </c>
      <c r="R578" s="238">
        <v>0.0</v>
      </c>
      <c r="S578" s="238">
        <v>2.0</v>
      </c>
      <c r="T578" s="238">
        <v>0.0</v>
      </c>
      <c r="U578" s="235" t="s">
        <v>13</v>
      </c>
    </row>
    <row r="579">
      <c r="A579" s="250">
        <v>46228.0</v>
      </c>
      <c r="B579" s="235" t="s">
        <v>2649</v>
      </c>
      <c r="C579" s="235" t="s">
        <v>323</v>
      </c>
      <c r="D579" s="235" t="s">
        <v>120</v>
      </c>
      <c r="E579" s="235" t="s">
        <v>324</v>
      </c>
      <c r="F579" s="235" t="s">
        <v>503</v>
      </c>
      <c r="G579" s="238">
        <v>4.0</v>
      </c>
      <c r="H579" s="238">
        <v>0.0</v>
      </c>
      <c r="I579" s="238">
        <v>0.0</v>
      </c>
      <c r="J579" s="238">
        <v>0.0</v>
      </c>
      <c r="K579" s="238">
        <v>0.0</v>
      </c>
      <c r="L579" s="238">
        <v>0.0</v>
      </c>
      <c r="M579" s="238">
        <v>0.0</v>
      </c>
      <c r="N579" s="238">
        <v>0.0</v>
      </c>
      <c r="O579" s="238">
        <v>0.0</v>
      </c>
      <c r="P579" s="238">
        <v>0.0</v>
      </c>
      <c r="Q579" s="238">
        <v>0.0</v>
      </c>
      <c r="R579" s="238">
        <v>0.0</v>
      </c>
      <c r="S579" s="238">
        <v>4.0</v>
      </c>
      <c r="T579" s="238">
        <v>0.0</v>
      </c>
      <c r="U579" s="235" t="s">
        <v>14</v>
      </c>
    </row>
    <row r="580">
      <c r="A580" s="250">
        <v>46228.0</v>
      </c>
      <c r="B580" s="235" t="s">
        <v>2649</v>
      </c>
      <c r="C580" s="235" t="s">
        <v>323</v>
      </c>
      <c r="D580" s="235" t="s">
        <v>120</v>
      </c>
      <c r="E580" s="235" t="s">
        <v>324</v>
      </c>
      <c r="F580" s="235" t="s">
        <v>503</v>
      </c>
      <c r="G580" s="238">
        <v>13.0</v>
      </c>
      <c r="H580" s="238">
        <v>0.0</v>
      </c>
      <c r="I580" s="238">
        <v>0.0</v>
      </c>
      <c r="J580" s="238">
        <v>0.0</v>
      </c>
      <c r="K580" s="238">
        <v>0.0</v>
      </c>
      <c r="L580" s="238">
        <v>0.0</v>
      </c>
      <c r="M580" s="238">
        <v>0.0</v>
      </c>
      <c r="N580" s="238">
        <v>0.0</v>
      </c>
      <c r="O580" s="238">
        <v>0.0</v>
      </c>
      <c r="P580" s="238">
        <v>0.0</v>
      </c>
      <c r="Q580" s="238">
        <v>0.0</v>
      </c>
      <c r="R580" s="238">
        <v>0.0</v>
      </c>
      <c r="S580" s="238">
        <v>13.0</v>
      </c>
      <c r="T580" s="238">
        <v>0.0</v>
      </c>
      <c r="U580" s="235" t="s">
        <v>18</v>
      </c>
    </row>
    <row r="581">
      <c r="A581" s="250">
        <v>46228.0</v>
      </c>
      <c r="B581" s="235" t="s">
        <v>2649</v>
      </c>
      <c r="C581" s="235" t="s">
        <v>323</v>
      </c>
      <c r="D581" s="235" t="s">
        <v>120</v>
      </c>
      <c r="E581" s="235" t="s">
        <v>324</v>
      </c>
      <c r="F581" s="235" t="s">
        <v>503</v>
      </c>
      <c r="G581" s="238">
        <v>16.0</v>
      </c>
      <c r="H581" s="238">
        <v>0.0</v>
      </c>
      <c r="I581" s="238">
        <v>0.0</v>
      </c>
      <c r="J581" s="238">
        <v>0.0</v>
      </c>
      <c r="K581" s="238">
        <v>0.0</v>
      </c>
      <c r="L581" s="238">
        <v>0.0</v>
      </c>
      <c r="M581" s="238">
        <v>0.0</v>
      </c>
      <c r="N581" s="238">
        <v>0.0</v>
      </c>
      <c r="O581" s="238">
        <v>0.0</v>
      </c>
      <c r="P581" s="238">
        <v>0.0</v>
      </c>
      <c r="Q581" s="238">
        <v>0.0</v>
      </c>
      <c r="R581" s="238">
        <v>0.0</v>
      </c>
      <c r="S581" s="238">
        <v>16.0</v>
      </c>
      <c r="T581" s="238">
        <v>0.0</v>
      </c>
      <c r="U581" s="235" t="s">
        <v>20</v>
      </c>
    </row>
    <row r="582">
      <c r="A582" s="250">
        <v>46228.0</v>
      </c>
      <c r="B582" s="235" t="s">
        <v>2649</v>
      </c>
      <c r="C582" s="235" t="s">
        <v>323</v>
      </c>
      <c r="D582" s="235" t="s">
        <v>120</v>
      </c>
      <c r="E582" s="235" t="s">
        <v>324</v>
      </c>
      <c r="F582" s="235" t="s">
        <v>503</v>
      </c>
      <c r="G582" s="238">
        <v>4.0</v>
      </c>
      <c r="H582" s="238">
        <v>0.0</v>
      </c>
      <c r="I582" s="238">
        <v>0.0</v>
      </c>
      <c r="J582" s="238">
        <v>0.0</v>
      </c>
      <c r="K582" s="238">
        <v>0.0</v>
      </c>
      <c r="L582" s="238">
        <v>0.0</v>
      </c>
      <c r="M582" s="238">
        <v>0.0</v>
      </c>
      <c r="N582" s="238">
        <v>0.0</v>
      </c>
      <c r="O582" s="238">
        <v>0.0</v>
      </c>
      <c r="P582" s="238">
        <v>0.0</v>
      </c>
      <c r="Q582" s="238">
        <v>0.0</v>
      </c>
      <c r="R582" s="238">
        <v>0.0</v>
      </c>
      <c r="S582" s="238">
        <v>4.0</v>
      </c>
      <c r="T582" s="238">
        <v>0.0</v>
      </c>
      <c r="U582" s="235" t="s">
        <v>156</v>
      </c>
    </row>
    <row r="583">
      <c r="A583" s="250">
        <v>46228.0</v>
      </c>
      <c r="B583" s="235" t="s">
        <v>2649</v>
      </c>
      <c r="C583" s="235" t="s">
        <v>323</v>
      </c>
      <c r="D583" s="235" t="s">
        <v>120</v>
      </c>
      <c r="E583" s="235" t="s">
        <v>324</v>
      </c>
      <c r="F583" s="235" t="s">
        <v>503</v>
      </c>
      <c r="G583" s="238">
        <v>4.0</v>
      </c>
      <c r="H583" s="238">
        <v>0.0</v>
      </c>
      <c r="I583" s="238">
        <v>0.0</v>
      </c>
      <c r="J583" s="238">
        <v>0.0</v>
      </c>
      <c r="K583" s="238">
        <v>0.0</v>
      </c>
      <c r="L583" s="238">
        <v>0.0</v>
      </c>
      <c r="M583" s="238">
        <v>0.0</v>
      </c>
      <c r="N583" s="238">
        <v>0.0</v>
      </c>
      <c r="O583" s="238">
        <v>0.0</v>
      </c>
      <c r="P583" s="238">
        <v>0.0</v>
      </c>
      <c r="Q583" s="238">
        <v>0.0</v>
      </c>
      <c r="R583" s="238">
        <v>0.0</v>
      </c>
      <c r="S583" s="238">
        <v>4.0</v>
      </c>
      <c r="T583" s="238">
        <v>0.0</v>
      </c>
      <c r="U583" s="235" t="s">
        <v>546</v>
      </c>
    </row>
    <row r="584">
      <c r="A584" s="250">
        <v>46228.0</v>
      </c>
      <c r="B584" s="235" t="s">
        <v>2708</v>
      </c>
      <c r="C584" s="235" t="s">
        <v>385</v>
      </c>
      <c r="D584" s="235" t="s">
        <v>128</v>
      </c>
      <c r="E584" s="235" t="s">
        <v>2710</v>
      </c>
      <c r="F584" s="235" t="s">
        <v>503</v>
      </c>
      <c r="G584" s="238">
        <v>1.0</v>
      </c>
      <c r="H584" s="238">
        <v>0.0</v>
      </c>
      <c r="I584" s="238">
        <v>0.0</v>
      </c>
      <c r="J584" s="238">
        <v>0.0</v>
      </c>
      <c r="K584" s="238">
        <v>0.0</v>
      </c>
      <c r="L584" s="238">
        <v>0.0</v>
      </c>
      <c r="M584" s="238">
        <v>0.0</v>
      </c>
      <c r="N584" s="238">
        <v>0.0</v>
      </c>
      <c r="O584" s="238">
        <v>0.0</v>
      </c>
      <c r="P584" s="238">
        <v>0.0</v>
      </c>
      <c r="Q584" s="238">
        <v>0.0</v>
      </c>
      <c r="R584" s="238">
        <v>0.0</v>
      </c>
      <c r="S584" s="238">
        <v>1.0</v>
      </c>
      <c r="T584" s="238">
        <v>0.0</v>
      </c>
      <c r="U584" s="235" t="s">
        <v>5</v>
      </c>
    </row>
    <row r="585">
      <c r="A585" s="250">
        <v>46228.0</v>
      </c>
      <c r="B585" s="235" t="s">
        <v>2708</v>
      </c>
      <c r="C585" s="235" t="s">
        <v>385</v>
      </c>
      <c r="D585" s="235" t="s">
        <v>128</v>
      </c>
      <c r="E585" s="235" t="s">
        <v>2710</v>
      </c>
      <c r="F585" s="235" t="s">
        <v>503</v>
      </c>
      <c r="G585" s="238">
        <v>0.0</v>
      </c>
      <c r="H585" s="238">
        <v>3.0</v>
      </c>
      <c r="I585" s="238">
        <v>0.0</v>
      </c>
      <c r="J585" s="238">
        <v>0.0</v>
      </c>
      <c r="K585" s="238">
        <v>0.0</v>
      </c>
      <c r="L585" s="238">
        <v>0.0</v>
      </c>
      <c r="M585" s="238">
        <v>0.0</v>
      </c>
      <c r="N585" s="238">
        <v>0.0</v>
      </c>
      <c r="O585" s="238">
        <v>0.0</v>
      </c>
      <c r="P585" s="238">
        <v>0.0</v>
      </c>
      <c r="Q585" s="238">
        <v>0.0</v>
      </c>
      <c r="R585" s="238">
        <v>0.0</v>
      </c>
      <c r="S585" s="238">
        <v>0.0</v>
      </c>
      <c r="T585" s="238">
        <v>0.0</v>
      </c>
      <c r="U585" s="235" t="s">
        <v>596</v>
      </c>
    </row>
    <row r="586">
      <c r="A586" s="250">
        <v>46228.0</v>
      </c>
      <c r="B586" s="235" t="s">
        <v>2708</v>
      </c>
      <c r="C586" s="235" t="s">
        <v>385</v>
      </c>
      <c r="D586" s="235" t="s">
        <v>128</v>
      </c>
      <c r="E586" s="235" t="s">
        <v>2710</v>
      </c>
      <c r="F586" s="235" t="s">
        <v>503</v>
      </c>
      <c r="G586" s="238">
        <v>1.0</v>
      </c>
      <c r="H586" s="238">
        <v>0.0</v>
      </c>
      <c r="I586" s="238">
        <v>0.0</v>
      </c>
      <c r="J586" s="238">
        <v>0.0</v>
      </c>
      <c r="K586" s="238">
        <v>0.0</v>
      </c>
      <c r="L586" s="238">
        <v>0.0</v>
      </c>
      <c r="M586" s="238">
        <v>0.0</v>
      </c>
      <c r="N586" s="238">
        <v>0.0</v>
      </c>
      <c r="O586" s="238">
        <v>0.0</v>
      </c>
      <c r="P586" s="238">
        <v>0.0</v>
      </c>
      <c r="Q586" s="238">
        <v>0.0</v>
      </c>
      <c r="R586" s="238">
        <v>0.0</v>
      </c>
      <c r="S586" s="238">
        <v>1.0</v>
      </c>
      <c r="T586" s="238">
        <v>0.0</v>
      </c>
      <c r="U586" s="235" t="s">
        <v>9</v>
      </c>
    </row>
    <row r="587">
      <c r="A587" s="250">
        <v>46228.0</v>
      </c>
      <c r="B587" s="235" t="s">
        <v>2708</v>
      </c>
      <c r="C587" s="235" t="s">
        <v>385</v>
      </c>
      <c r="D587" s="235" t="s">
        <v>128</v>
      </c>
      <c r="E587" s="235" t="s">
        <v>2710</v>
      </c>
      <c r="F587" s="235" t="s">
        <v>503</v>
      </c>
      <c r="G587" s="238">
        <v>1.0</v>
      </c>
      <c r="H587" s="238">
        <v>0.0</v>
      </c>
      <c r="I587" s="238">
        <v>0.0</v>
      </c>
      <c r="J587" s="238">
        <v>0.0</v>
      </c>
      <c r="K587" s="238">
        <v>0.0</v>
      </c>
      <c r="L587" s="238">
        <v>0.0</v>
      </c>
      <c r="M587" s="238">
        <v>0.0</v>
      </c>
      <c r="N587" s="238">
        <v>0.0</v>
      </c>
      <c r="O587" s="238">
        <v>0.0</v>
      </c>
      <c r="P587" s="238">
        <v>0.0</v>
      </c>
      <c r="Q587" s="238">
        <v>0.0</v>
      </c>
      <c r="R587" s="238">
        <v>0.0</v>
      </c>
      <c r="S587" s="238">
        <v>1.0</v>
      </c>
      <c r="T587" s="238">
        <v>0.0</v>
      </c>
      <c r="U587" s="235" t="s">
        <v>11</v>
      </c>
    </row>
    <row r="588">
      <c r="A588" s="250">
        <v>46228.0</v>
      </c>
      <c r="B588" s="235" t="s">
        <v>2708</v>
      </c>
      <c r="C588" s="235" t="s">
        <v>385</v>
      </c>
      <c r="D588" s="235" t="s">
        <v>128</v>
      </c>
      <c r="E588" s="235" t="s">
        <v>2710</v>
      </c>
      <c r="F588" s="235" t="s">
        <v>503</v>
      </c>
      <c r="G588" s="238">
        <v>1.0</v>
      </c>
      <c r="H588" s="238">
        <v>0.0</v>
      </c>
      <c r="I588" s="238">
        <v>0.0</v>
      </c>
      <c r="J588" s="238">
        <v>0.0</v>
      </c>
      <c r="K588" s="238">
        <v>0.0</v>
      </c>
      <c r="L588" s="238">
        <v>0.0</v>
      </c>
      <c r="M588" s="238">
        <v>0.0</v>
      </c>
      <c r="N588" s="238">
        <v>0.0</v>
      </c>
      <c r="O588" s="238">
        <v>0.0</v>
      </c>
      <c r="P588" s="238">
        <v>0.0</v>
      </c>
      <c r="Q588" s="238">
        <v>0.0</v>
      </c>
      <c r="R588" s="238">
        <v>0.0</v>
      </c>
      <c r="S588" s="238">
        <v>1.0</v>
      </c>
      <c r="T588" s="238">
        <v>0.0</v>
      </c>
      <c r="U588" s="235" t="s">
        <v>16</v>
      </c>
    </row>
    <row r="589">
      <c r="A589" s="250">
        <v>46228.0</v>
      </c>
      <c r="B589" s="235" t="s">
        <v>2708</v>
      </c>
      <c r="C589" s="235" t="s">
        <v>385</v>
      </c>
      <c r="D589" s="235" t="s">
        <v>128</v>
      </c>
      <c r="E589" s="235" t="s">
        <v>2710</v>
      </c>
      <c r="F589" s="235" t="s">
        <v>503</v>
      </c>
      <c r="G589" s="238">
        <v>1.0</v>
      </c>
      <c r="H589" s="238">
        <v>0.0</v>
      </c>
      <c r="I589" s="238">
        <v>0.0</v>
      </c>
      <c r="J589" s="238">
        <v>0.0</v>
      </c>
      <c r="K589" s="238">
        <v>0.0</v>
      </c>
      <c r="L589" s="238">
        <v>0.0</v>
      </c>
      <c r="M589" s="238">
        <v>0.0</v>
      </c>
      <c r="N589" s="238">
        <v>0.0</v>
      </c>
      <c r="O589" s="238">
        <v>0.0</v>
      </c>
      <c r="P589" s="238">
        <v>0.0</v>
      </c>
      <c r="Q589" s="238">
        <v>0.0</v>
      </c>
      <c r="R589" s="238">
        <v>0.0</v>
      </c>
      <c r="S589" s="238">
        <v>1.0</v>
      </c>
      <c r="T589" s="238">
        <v>0.0</v>
      </c>
      <c r="U589" s="235" t="s">
        <v>155</v>
      </c>
    </row>
    <row r="590">
      <c r="A590" s="250">
        <v>46228.0</v>
      </c>
      <c r="B590" s="235" t="s">
        <v>2708</v>
      </c>
      <c r="C590" s="235" t="s">
        <v>385</v>
      </c>
      <c r="D590" s="235" t="s">
        <v>128</v>
      </c>
      <c r="E590" s="235" t="s">
        <v>2710</v>
      </c>
      <c r="F590" s="235" t="s">
        <v>503</v>
      </c>
      <c r="G590" s="238">
        <v>1.0</v>
      </c>
      <c r="H590" s="238">
        <v>0.0</v>
      </c>
      <c r="I590" s="238">
        <v>0.0</v>
      </c>
      <c r="J590" s="238">
        <v>0.0</v>
      </c>
      <c r="K590" s="238">
        <v>0.0</v>
      </c>
      <c r="L590" s="238">
        <v>0.0</v>
      </c>
      <c r="M590" s="238">
        <v>0.0</v>
      </c>
      <c r="N590" s="238">
        <v>0.0</v>
      </c>
      <c r="O590" s="238">
        <v>0.0</v>
      </c>
      <c r="P590" s="238">
        <v>0.0</v>
      </c>
      <c r="Q590" s="238">
        <v>0.0</v>
      </c>
      <c r="R590" s="238">
        <v>0.0</v>
      </c>
      <c r="S590" s="238">
        <v>1.0</v>
      </c>
      <c r="T590" s="238">
        <v>0.0</v>
      </c>
      <c r="U590" s="235" t="s">
        <v>533</v>
      </c>
    </row>
    <row r="591">
      <c r="A591" s="250">
        <v>46228.0</v>
      </c>
      <c r="B591" s="235" t="s">
        <v>2708</v>
      </c>
      <c r="C591" s="235" t="s">
        <v>385</v>
      </c>
      <c r="D591" s="235" t="s">
        <v>128</v>
      </c>
      <c r="E591" s="235" t="s">
        <v>2710</v>
      </c>
      <c r="F591" s="235" t="s">
        <v>503</v>
      </c>
      <c r="G591" s="238">
        <v>1.0</v>
      </c>
      <c r="H591" s="238">
        <v>0.0</v>
      </c>
      <c r="I591" s="238">
        <v>0.0</v>
      </c>
      <c r="J591" s="238">
        <v>0.0</v>
      </c>
      <c r="K591" s="238">
        <v>0.0</v>
      </c>
      <c r="L591" s="238">
        <v>0.0</v>
      </c>
      <c r="M591" s="238">
        <v>0.0</v>
      </c>
      <c r="N591" s="238">
        <v>0.0</v>
      </c>
      <c r="O591" s="238">
        <v>0.0</v>
      </c>
      <c r="P591" s="238">
        <v>0.0</v>
      </c>
      <c r="Q591" s="238">
        <v>0.0</v>
      </c>
      <c r="R591" s="238">
        <v>0.0</v>
      </c>
      <c r="S591" s="238">
        <v>1.0</v>
      </c>
      <c r="T591" s="238">
        <v>0.0</v>
      </c>
      <c r="U591" s="235" t="s">
        <v>14</v>
      </c>
    </row>
    <row r="592">
      <c r="A592" s="250">
        <v>46228.0</v>
      </c>
      <c r="B592" s="235" t="s">
        <v>2708</v>
      </c>
      <c r="C592" s="235" t="s">
        <v>385</v>
      </c>
      <c r="D592" s="235" t="s">
        <v>128</v>
      </c>
      <c r="E592" s="235" t="s">
        <v>2710</v>
      </c>
      <c r="F592" s="235" t="s">
        <v>503</v>
      </c>
      <c r="G592" s="238">
        <v>16.0</v>
      </c>
      <c r="H592" s="238">
        <v>0.0</v>
      </c>
      <c r="I592" s="238">
        <v>0.0</v>
      </c>
      <c r="J592" s="238">
        <v>0.0</v>
      </c>
      <c r="K592" s="238">
        <v>0.0</v>
      </c>
      <c r="L592" s="238">
        <v>0.0</v>
      </c>
      <c r="M592" s="238">
        <v>0.0</v>
      </c>
      <c r="N592" s="238">
        <v>0.0</v>
      </c>
      <c r="O592" s="238">
        <v>0.0</v>
      </c>
      <c r="P592" s="238">
        <v>0.0</v>
      </c>
      <c r="Q592" s="238">
        <v>0.0</v>
      </c>
      <c r="R592" s="238">
        <v>0.0</v>
      </c>
      <c r="S592" s="238">
        <v>16.0</v>
      </c>
      <c r="T592" s="238">
        <v>0.0</v>
      </c>
      <c r="U592" s="235" t="s">
        <v>20</v>
      </c>
    </row>
    <row r="593">
      <c r="A593" s="250">
        <v>46228.0</v>
      </c>
      <c r="B593" s="235" t="s">
        <v>2708</v>
      </c>
      <c r="C593" s="235" t="s">
        <v>385</v>
      </c>
      <c r="D593" s="235" t="s">
        <v>128</v>
      </c>
      <c r="E593" s="235" t="s">
        <v>2710</v>
      </c>
      <c r="F593" s="235" t="s">
        <v>503</v>
      </c>
      <c r="G593" s="238">
        <v>4.0</v>
      </c>
      <c r="H593" s="238">
        <v>0.0</v>
      </c>
      <c r="I593" s="238">
        <v>0.0</v>
      </c>
      <c r="J593" s="238">
        <v>0.0</v>
      </c>
      <c r="K593" s="238">
        <v>0.0</v>
      </c>
      <c r="L593" s="238">
        <v>0.0</v>
      </c>
      <c r="M593" s="238">
        <v>0.0</v>
      </c>
      <c r="N593" s="238">
        <v>0.0</v>
      </c>
      <c r="O593" s="238">
        <v>0.0</v>
      </c>
      <c r="P593" s="238">
        <v>0.0</v>
      </c>
      <c r="Q593" s="238">
        <v>0.0</v>
      </c>
      <c r="R593" s="238">
        <v>0.0</v>
      </c>
      <c r="S593" s="238">
        <v>4.0</v>
      </c>
      <c r="T593" s="238">
        <v>0.0</v>
      </c>
      <c r="U593" s="235" t="s">
        <v>156</v>
      </c>
    </row>
    <row r="594">
      <c r="A594" s="250">
        <v>46228.0</v>
      </c>
      <c r="B594" s="235" t="s">
        <v>2708</v>
      </c>
      <c r="C594" s="235" t="s">
        <v>385</v>
      </c>
      <c r="D594" s="235" t="s">
        <v>128</v>
      </c>
      <c r="E594" s="235" t="s">
        <v>2710</v>
      </c>
      <c r="F594" s="235" t="s">
        <v>503</v>
      </c>
      <c r="G594" s="238">
        <v>1.0</v>
      </c>
      <c r="H594" s="238">
        <v>0.0</v>
      </c>
      <c r="I594" s="238">
        <v>0.0</v>
      </c>
      <c r="J594" s="238">
        <v>0.0</v>
      </c>
      <c r="K594" s="238">
        <v>0.0</v>
      </c>
      <c r="L594" s="238">
        <v>0.0</v>
      </c>
      <c r="M594" s="238">
        <v>0.0</v>
      </c>
      <c r="N594" s="238">
        <v>0.0</v>
      </c>
      <c r="O594" s="238">
        <v>0.0</v>
      </c>
      <c r="P594" s="238">
        <v>0.0</v>
      </c>
      <c r="Q594" s="238">
        <v>0.0</v>
      </c>
      <c r="R594" s="238">
        <v>0.0</v>
      </c>
      <c r="S594" s="238">
        <v>1.0</v>
      </c>
      <c r="T594" s="238">
        <v>0.0</v>
      </c>
      <c r="U594" s="235" t="s">
        <v>546</v>
      </c>
    </row>
    <row r="595">
      <c r="A595" s="250">
        <v>46228.0</v>
      </c>
      <c r="B595" s="235" t="s">
        <v>2753</v>
      </c>
      <c r="C595" s="235" t="s">
        <v>231</v>
      </c>
      <c r="D595" s="235" t="s">
        <v>144</v>
      </c>
      <c r="E595" s="235" t="s">
        <v>232</v>
      </c>
      <c r="F595" s="235" t="s">
        <v>514</v>
      </c>
      <c r="G595" s="238">
        <v>1.0</v>
      </c>
      <c r="H595" s="238">
        <v>0.0</v>
      </c>
      <c r="I595" s="238">
        <v>0.0</v>
      </c>
      <c r="J595" s="238">
        <v>0.0</v>
      </c>
      <c r="K595" s="238">
        <v>0.0</v>
      </c>
      <c r="L595" s="238">
        <v>0.0</v>
      </c>
      <c r="M595" s="238">
        <v>0.0</v>
      </c>
      <c r="N595" s="238">
        <v>0.0</v>
      </c>
      <c r="O595" s="238">
        <v>0.0</v>
      </c>
      <c r="P595" s="238">
        <v>0.0</v>
      </c>
      <c r="Q595" s="238">
        <v>0.0</v>
      </c>
      <c r="R595" s="238">
        <v>0.0</v>
      </c>
      <c r="S595" s="238">
        <v>0.0</v>
      </c>
      <c r="T595" s="238">
        <v>0.0</v>
      </c>
      <c r="U595" s="235" t="s">
        <v>546</v>
      </c>
    </row>
    <row r="596">
      <c r="A596" s="250">
        <v>46228.0</v>
      </c>
      <c r="B596" s="235" t="s">
        <v>2753</v>
      </c>
      <c r="C596" s="235" t="s">
        <v>231</v>
      </c>
      <c r="D596" s="235" t="s">
        <v>144</v>
      </c>
      <c r="E596" s="235" t="s">
        <v>232</v>
      </c>
      <c r="F596" s="235" t="s">
        <v>2219</v>
      </c>
      <c r="G596" s="238">
        <v>1.0</v>
      </c>
      <c r="H596" s="238">
        <v>0.0</v>
      </c>
      <c r="I596" s="238">
        <v>0.0</v>
      </c>
      <c r="J596" s="238">
        <v>0.0</v>
      </c>
      <c r="K596" s="238">
        <v>0.0</v>
      </c>
      <c r="L596" s="238">
        <v>0.0</v>
      </c>
      <c r="M596" s="238">
        <v>0.0</v>
      </c>
      <c r="N596" s="238">
        <v>0.0</v>
      </c>
      <c r="O596" s="238">
        <v>0.0</v>
      </c>
      <c r="P596" s="238">
        <v>0.0</v>
      </c>
      <c r="Q596" s="238">
        <v>0.0</v>
      </c>
      <c r="R596" s="238">
        <v>0.0</v>
      </c>
      <c r="S596" s="238">
        <v>0.0</v>
      </c>
      <c r="T596" s="238">
        <v>0.0</v>
      </c>
      <c r="U596" s="235" t="s">
        <v>155</v>
      </c>
    </row>
    <row r="597">
      <c r="A597" s="250">
        <v>46228.0</v>
      </c>
      <c r="B597" s="235" t="s">
        <v>2753</v>
      </c>
      <c r="C597" s="235" t="s">
        <v>231</v>
      </c>
      <c r="D597" s="235" t="s">
        <v>144</v>
      </c>
      <c r="E597" s="235" t="s">
        <v>232</v>
      </c>
      <c r="F597" s="235" t="s">
        <v>503</v>
      </c>
      <c r="G597" s="238">
        <v>9.0</v>
      </c>
      <c r="H597" s="238">
        <v>0.0</v>
      </c>
      <c r="I597" s="238">
        <v>0.0</v>
      </c>
      <c r="J597" s="238">
        <v>0.0</v>
      </c>
      <c r="K597" s="238">
        <v>0.0</v>
      </c>
      <c r="L597" s="238">
        <v>0.0</v>
      </c>
      <c r="M597" s="238">
        <v>0.0</v>
      </c>
      <c r="N597" s="238">
        <v>0.0</v>
      </c>
      <c r="O597" s="238">
        <v>0.0</v>
      </c>
      <c r="P597" s="238">
        <v>0.0</v>
      </c>
      <c r="Q597" s="238">
        <v>0.0</v>
      </c>
      <c r="R597" s="238">
        <v>0.0</v>
      </c>
      <c r="S597" s="238">
        <v>9.0</v>
      </c>
      <c r="T597" s="238">
        <v>0.0</v>
      </c>
      <c r="U597" s="235" t="s">
        <v>5</v>
      </c>
    </row>
    <row r="598">
      <c r="A598" s="250">
        <v>46228.0</v>
      </c>
      <c r="B598" s="235" t="s">
        <v>2753</v>
      </c>
      <c r="C598" s="235" t="s">
        <v>231</v>
      </c>
      <c r="D598" s="235" t="s">
        <v>144</v>
      </c>
      <c r="E598" s="235" t="s">
        <v>232</v>
      </c>
      <c r="F598" s="235" t="s">
        <v>503</v>
      </c>
      <c r="G598" s="238">
        <v>0.0</v>
      </c>
      <c r="H598" s="238">
        <v>3.0</v>
      </c>
      <c r="I598" s="238">
        <v>0.0</v>
      </c>
      <c r="J598" s="238">
        <v>0.0</v>
      </c>
      <c r="K598" s="238">
        <v>0.0</v>
      </c>
      <c r="L598" s="238">
        <v>0.0</v>
      </c>
      <c r="M598" s="238">
        <v>0.0</v>
      </c>
      <c r="N598" s="238">
        <v>0.0</v>
      </c>
      <c r="O598" s="238">
        <v>0.0</v>
      </c>
      <c r="P598" s="238">
        <v>0.0</v>
      </c>
      <c r="Q598" s="238">
        <v>0.0</v>
      </c>
      <c r="R598" s="238">
        <v>0.0</v>
      </c>
      <c r="S598" s="238">
        <v>0.0</v>
      </c>
      <c r="T598" s="238">
        <v>0.0</v>
      </c>
      <c r="U598" s="235" t="s">
        <v>596</v>
      </c>
    </row>
    <row r="599">
      <c r="A599" s="250">
        <v>46228.0</v>
      </c>
      <c r="B599" s="235" t="s">
        <v>2753</v>
      </c>
      <c r="C599" s="235" t="s">
        <v>231</v>
      </c>
      <c r="D599" s="235" t="s">
        <v>144</v>
      </c>
      <c r="E599" s="235" t="s">
        <v>232</v>
      </c>
      <c r="F599" s="235" t="s">
        <v>503</v>
      </c>
      <c r="G599" s="238">
        <v>8.0</v>
      </c>
      <c r="H599" s="238">
        <v>0.0</v>
      </c>
      <c r="I599" s="238">
        <v>0.0</v>
      </c>
      <c r="J599" s="238">
        <v>0.0</v>
      </c>
      <c r="K599" s="238">
        <v>0.0</v>
      </c>
      <c r="L599" s="238">
        <v>0.0</v>
      </c>
      <c r="M599" s="238">
        <v>0.0</v>
      </c>
      <c r="N599" s="238">
        <v>0.0</v>
      </c>
      <c r="O599" s="238">
        <v>0.0</v>
      </c>
      <c r="P599" s="238">
        <v>0.0</v>
      </c>
      <c r="Q599" s="238">
        <v>0.0</v>
      </c>
      <c r="R599" s="238">
        <v>0.0</v>
      </c>
      <c r="S599" s="238">
        <v>8.0</v>
      </c>
      <c r="T599" s="238">
        <v>0.0</v>
      </c>
      <c r="U599" s="235" t="s">
        <v>9</v>
      </c>
    </row>
    <row r="600">
      <c r="A600" s="250">
        <v>46228.0</v>
      </c>
      <c r="B600" s="235" t="s">
        <v>2753</v>
      </c>
      <c r="C600" s="235" t="s">
        <v>231</v>
      </c>
      <c r="D600" s="235" t="s">
        <v>144</v>
      </c>
      <c r="E600" s="235" t="s">
        <v>232</v>
      </c>
      <c r="F600" s="235" t="s">
        <v>503</v>
      </c>
      <c r="G600" s="238">
        <v>44.0</v>
      </c>
      <c r="H600" s="238">
        <v>0.0</v>
      </c>
      <c r="I600" s="238">
        <v>0.0</v>
      </c>
      <c r="J600" s="238">
        <v>0.0</v>
      </c>
      <c r="K600" s="238">
        <v>0.0</v>
      </c>
      <c r="L600" s="238">
        <v>0.0</v>
      </c>
      <c r="M600" s="238">
        <v>0.0</v>
      </c>
      <c r="N600" s="238">
        <v>0.0</v>
      </c>
      <c r="O600" s="238">
        <v>0.0</v>
      </c>
      <c r="P600" s="238">
        <v>0.0</v>
      </c>
      <c r="Q600" s="238">
        <v>0.0</v>
      </c>
      <c r="R600" s="238">
        <v>0.0</v>
      </c>
      <c r="S600" s="238">
        <v>44.0</v>
      </c>
      <c r="T600" s="238">
        <v>0.0</v>
      </c>
      <c r="U600" s="235" t="s">
        <v>11</v>
      </c>
    </row>
    <row r="601">
      <c r="A601" s="250">
        <v>46228.0</v>
      </c>
      <c r="B601" s="235" t="s">
        <v>2753</v>
      </c>
      <c r="C601" s="235" t="s">
        <v>231</v>
      </c>
      <c r="D601" s="235" t="s">
        <v>144</v>
      </c>
      <c r="E601" s="235" t="s">
        <v>232</v>
      </c>
      <c r="F601" s="235" t="s">
        <v>503</v>
      </c>
      <c r="G601" s="238">
        <v>32.0</v>
      </c>
      <c r="H601" s="238">
        <v>0.0</v>
      </c>
      <c r="I601" s="238">
        <v>0.0</v>
      </c>
      <c r="J601" s="238">
        <v>0.0</v>
      </c>
      <c r="K601" s="238">
        <v>0.0</v>
      </c>
      <c r="L601" s="238">
        <v>0.0</v>
      </c>
      <c r="M601" s="238">
        <v>0.0</v>
      </c>
      <c r="N601" s="238">
        <v>0.0</v>
      </c>
      <c r="O601" s="238">
        <v>0.0</v>
      </c>
      <c r="P601" s="238">
        <v>0.0</v>
      </c>
      <c r="Q601" s="238">
        <v>0.0</v>
      </c>
      <c r="R601" s="238">
        <v>0.0</v>
      </c>
      <c r="S601" s="238">
        <v>32.0</v>
      </c>
      <c r="T601" s="238">
        <v>0.0</v>
      </c>
      <c r="U601" s="235" t="s">
        <v>16</v>
      </c>
    </row>
    <row r="602">
      <c r="A602" s="250">
        <v>46228.0</v>
      </c>
      <c r="B602" s="235" t="s">
        <v>2753</v>
      </c>
      <c r="C602" s="235" t="s">
        <v>231</v>
      </c>
      <c r="D602" s="235" t="s">
        <v>144</v>
      </c>
      <c r="E602" s="235" t="s">
        <v>232</v>
      </c>
      <c r="F602" s="235" t="s">
        <v>503</v>
      </c>
      <c r="G602" s="238">
        <v>4.0</v>
      </c>
      <c r="H602" s="238">
        <v>0.0</v>
      </c>
      <c r="I602" s="238">
        <v>0.0</v>
      </c>
      <c r="J602" s="238">
        <v>0.0</v>
      </c>
      <c r="K602" s="238">
        <v>0.0</v>
      </c>
      <c r="L602" s="238">
        <v>0.0</v>
      </c>
      <c r="M602" s="238">
        <v>0.0</v>
      </c>
      <c r="N602" s="238">
        <v>0.0</v>
      </c>
      <c r="O602" s="238">
        <v>0.0</v>
      </c>
      <c r="P602" s="238">
        <v>0.0</v>
      </c>
      <c r="Q602" s="238">
        <v>0.0</v>
      </c>
      <c r="R602" s="238">
        <v>0.0</v>
      </c>
      <c r="S602" s="238">
        <v>4.0</v>
      </c>
      <c r="T602" s="238">
        <v>0.0</v>
      </c>
      <c r="U602" s="235" t="s">
        <v>17</v>
      </c>
    </row>
    <row r="603">
      <c r="A603" s="250">
        <v>46228.0</v>
      </c>
      <c r="B603" s="235" t="s">
        <v>2753</v>
      </c>
      <c r="C603" s="235" t="s">
        <v>231</v>
      </c>
      <c r="D603" s="235" t="s">
        <v>144</v>
      </c>
      <c r="E603" s="235" t="s">
        <v>232</v>
      </c>
      <c r="F603" s="235" t="s">
        <v>503</v>
      </c>
      <c r="G603" s="238">
        <v>10.0</v>
      </c>
      <c r="H603" s="238">
        <v>0.0</v>
      </c>
      <c r="I603" s="238">
        <v>0.0</v>
      </c>
      <c r="J603" s="238">
        <v>0.0</v>
      </c>
      <c r="K603" s="238">
        <v>0.0</v>
      </c>
      <c r="L603" s="238">
        <v>0.0</v>
      </c>
      <c r="M603" s="238">
        <v>0.0</v>
      </c>
      <c r="N603" s="238">
        <v>0.0</v>
      </c>
      <c r="O603" s="238">
        <v>0.0</v>
      </c>
      <c r="P603" s="238">
        <v>0.0</v>
      </c>
      <c r="Q603" s="238">
        <v>0.0</v>
      </c>
      <c r="R603" s="238">
        <v>0.0</v>
      </c>
      <c r="S603" s="238">
        <v>10.0</v>
      </c>
      <c r="T603" s="238">
        <v>0.0</v>
      </c>
      <c r="U603" s="235" t="s">
        <v>155</v>
      </c>
    </row>
    <row r="604">
      <c r="A604" s="250">
        <v>46228.0</v>
      </c>
      <c r="B604" s="235" t="s">
        <v>2753</v>
      </c>
      <c r="C604" s="235" t="s">
        <v>231</v>
      </c>
      <c r="D604" s="235" t="s">
        <v>144</v>
      </c>
      <c r="E604" s="235" t="s">
        <v>232</v>
      </c>
      <c r="F604" s="235" t="s">
        <v>503</v>
      </c>
      <c r="G604" s="238">
        <v>10.0</v>
      </c>
      <c r="H604" s="238">
        <v>0.0</v>
      </c>
      <c r="I604" s="238">
        <v>-1.0</v>
      </c>
      <c r="J604" s="238">
        <v>0.0</v>
      </c>
      <c r="K604" s="238">
        <v>0.0</v>
      </c>
      <c r="L604" s="238">
        <v>0.0</v>
      </c>
      <c r="M604" s="238">
        <v>0.0</v>
      </c>
      <c r="N604" s="238">
        <v>0.0</v>
      </c>
      <c r="O604" s="238">
        <v>0.0</v>
      </c>
      <c r="P604" s="238">
        <v>0.0</v>
      </c>
      <c r="Q604" s="238">
        <v>0.0</v>
      </c>
      <c r="R604" s="238">
        <v>0.0</v>
      </c>
      <c r="S604" s="238">
        <v>9.0</v>
      </c>
      <c r="T604" s="238">
        <v>0.0</v>
      </c>
      <c r="U604" s="235" t="s">
        <v>533</v>
      </c>
    </row>
    <row r="605">
      <c r="A605" s="250">
        <v>46228.0</v>
      </c>
      <c r="B605" s="235" t="s">
        <v>2753</v>
      </c>
      <c r="C605" s="235" t="s">
        <v>231</v>
      </c>
      <c r="D605" s="235" t="s">
        <v>144</v>
      </c>
      <c r="E605" s="235" t="s">
        <v>232</v>
      </c>
      <c r="F605" s="235" t="s">
        <v>503</v>
      </c>
      <c r="G605" s="238">
        <v>7.0</v>
      </c>
      <c r="H605" s="238">
        <v>0.0</v>
      </c>
      <c r="I605" s="238">
        <v>0.0</v>
      </c>
      <c r="J605" s="238">
        <v>0.0</v>
      </c>
      <c r="K605" s="238">
        <v>0.0</v>
      </c>
      <c r="L605" s="238">
        <v>0.0</v>
      </c>
      <c r="M605" s="238">
        <v>0.0</v>
      </c>
      <c r="N605" s="238">
        <v>0.0</v>
      </c>
      <c r="O605" s="238">
        <v>0.0</v>
      </c>
      <c r="P605" s="238">
        <v>0.0</v>
      </c>
      <c r="Q605" s="238">
        <v>0.0</v>
      </c>
      <c r="R605" s="238">
        <v>0.0</v>
      </c>
      <c r="S605" s="238">
        <v>7.0</v>
      </c>
      <c r="T605" s="238">
        <v>0.0</v>
      </c>
      <c r="U605" s="235" t="s">
        <v>13</v>
      </c>
    </row>
    <row r="606">
      <c r="A606" s="250">
        <v>46228.0</v>
      </c>
      <c r="B606" s="235" t="s">
        <v>2753</v>
      </c>
      <c r="C606" s="235" t="s">
        <v>231</v>
      </c>
      <c r="D606" s="235" t="s">
        <v>144</v>
      </c>
      <c r="E606" s="235" t="s">
        <v>232</v>
      </c>
      <c r="F606" s="235" t="s">
        <v>503</v>
      </c>
      <c r="G606" s="238">
        <v>13.0</v>
      </c>
      <c r="H606" s="238">
        <v>0.0</v>
      </c>
      <c r="I606" s="238">
        <v>0.0</v>
      </c>
      <c r="J606" s="238">
        <v>0.0</v>
      </c>
      <c r="K606" s="238">
        <v>0.0</v>
      </c>
      <c r="L606" s="238">
        <v>0.0</v>
      </c>
      <c r="M606" s="238">
        <v>0.0</v>
      </c>
      <c r="N606" s="238">
        <v>0.0</v>
      </c>
      <c r="O606" s="238">
        <v>0.0</v>
      </c>
      <c r="P606" s="238">
        <v>0.0</v>
      </c>
      <c r="Q606" s="238">
        <v>0.0</v>
      </c>
      <c r="R606" s="238">
        <v>0.0</v>
      </c>
      <c r="S606" s="238">
        <v>13.0</v>
      </c>
      <c r="T606" s="238">
        <v>0.0</v>
      </c>
      <c r="U606" s="235" t="s">
        <v>18</v>
      </c>
    </row>
    <row r="607">
      <c r="A607" s="250">
        <v>46228.0</v>
      </c>
      <c r="B607" s="235" t="s">
        <v>2753</v>
      </c>
      <c r="C607" s="235" t="s">
        <v>231</v>
      </c>
      <c r="D607" s="235" t="s">
        <v>144</v>
      </c>
      <c r="E607" s="235" t="s">
        <v>232</v>
      </c>
      <c r="F607" s="235" t="s">
        <v>503</v>
      </c>
      <c r="G607" s="238">
        <v>11.0</v>
      </c>
      <c r="H607" s="238">
        <v>0.0</v>
      </c>
      <c r="I607" s="238">
        <v>0.0</v>
      </c>
      <c r="J607" s="238">
        <v>0.0</v>
      </c>
      <c r="K607" s="238">
        <v>0.0</v>
      </c>
      <c r="L607" s="238">
        <v>0.0</v>
      </c>
      <c r="M607" s="238">
        <v>0.0</v>
      </c>
      <c r="N607" s="238">
        <v>0.0</v>
      </c>
      <c r="O607" s="238">
        <v>0.0</v>
      </c>
      <c r="P607" s="238">
        <v>0.0</v>
      </c>
      <c r="Q607" s="238">
        <v>0.0</v>
      </c>
      <c r="R607" s="238">
        <v>0.0</v>
      </c>
      <c r="S607" s="238">
        <v>11.0</v>
      </c>
      <c r="T607" s="238">
        <v>0.0</v>
      </c>
      <c r="U607" s="235" t="s">
        <v>20</v>
      </c>
    </row>
    <row r="608">
      <c r="A608" s="250">
        <v>46228.0</v>
      </c>
      <c r="B608" s="235" t="s">
        <v>2753</v>
      </c>
      <c r="C608" s="235" t="s">
        <v>231</v>
      </c>
      <c r="D608" s="235" t="s">
        <v>144</v>
      </c>
      <c r="E608" s="235" t="s">
        <v>232</v>
      </c>
      <c r="F608" s="235" t="s">
        <v>503</v>
      </c>
      <c r="G608" s="238">
        <v>11.0</v>
      </c>
      <c r="H608" s="238">
        <v>0.0</v>
      </c>
      <c r="I608" s="238">
        <v>0.0</v>
      </c>
      <c r="J608" s="238">
        <v>0.0</v>
      </c>
      <c r="K608" s="238">
        <v>0.0</v>
      </c>
      <c r="L608" s="238">
        <v>0.0</v>
      </c>
      <c r="M608" s="238">
        <v>0.0</v>
      </c>
      <c r="N608" s="238">
        <v>0.0</v>
      </c>
      <c r="O608" s="238">
        <v>0.0</v>
      </c>
      <c r="P608" s="238">
        <v>0.0</v>
      </c>
      <c r="Q608" s="238">
        <v>0.0</v>
      </c>
      <c r="R608" s="238">
        <v>0.0</v>
      </c>
      <c r="S608" s="238">
        <v>11.0</v>
      </c>
      <c r="T608" s="238">
        <v>0.0</v>
      </c>
      <c r="U608" s="235" t="s">
        <v>156</v>
      </c>
    </row>
    <row r="609">
      <c r="A609" s="250">
        <v>46228.0</v>
      </c>
      <c r="B609" s="235" t="s">
        <v>2753</v>
      </c>
      <c r="C609" s="235" t="s">
        <v>231</v>
      </c>
      <c r="D609" s="235" t="s">
        <v>144</v>
      </c>
      <c r="E609" s="235" t="s">
        <v>232</v>
      </c>
      <c r="F609" s="235" t="s">
        <v>503</v>
      </c>
      <c r="G609" s="238">
        <v>13.0</v>
      </c>
      <c r="H609" s="238">
        <v>0.0</v>
      </c>
      <c r="I609" s="238">
        <v>0.0</v>
      </c>
      <c r="J609" s="238">
        <v>-1.0</v>
      </c>
      <c r="K609" s="238">
        <v>0.0</v>
      </c>
      <c r="L609" s="238">
        <v>0.0</v>
      </c>
      <c r="M609" s="238">
        <v>0.0</v>
      </c>
      <c r="N609" s="238">
        <v>0.0</v>
      </c>
      <c r="O609" s="238">
        <v>0.0</v>
      </c>
      <c r="P609" s="238">
        <v>0.0</v>
      </c>
      <c r="Q609" s="238">
        <v>0.0</v>
      </c>
      <c r="R609" s="238">
        <v>0.0</v>
      </c>
      <c r="S609" s="238">
        <v>12.0</v>
      </c>
      <c r="T609" s="238">
        <v>0.0</v>
      </c>
      <c r="U609" s="235" t="s">
        <v>546</v>
      </c>
    </row>
    <row r="610">
      <c r="A610" s="250">
        <v>46228.0</v>
      </c>
      <c r="B610" s="235" t="s">
        <v>2815</v>
      </c>
      <c r="C610" s="235" t="s">
        <v>400</v>
      </c>
      <c r="D610" s="235" t="s">
        <v>104</v>
      </c>
      <c r="E610" s="235" t="s">
        <v>401</v>
      </c>
      <c r="F610" s="235" t="s">
        <v>503</v>
      </c>
      <c r="G610" s="238">
        <v>2.0</v>
      </c>
      <c r="H610" s="238">
        <v>0.0</v>
      </c>
      <c r="I610" s="238">
        <v>0.0</v>
      </c>
      <c r="J610" s="238">
        <v>0.0</v>
      </c>
      <c r="K610" s="238">
        <v>0.0</v>
      </c>
      <c r="L610" s="238">
        <v>0.0</v>
      </c>
      <c r="M610" s="238">
        <v>0.0</v>
      </c>
      <c r="N610" s="238">
        <v>0.0</v>
      </c>
      <c r="O610" s="238">
        <v>0.0</v>
      </c>
      <c r="P610" s="238">
        <v>0.0</v>
      </c>
      <c r="Q610" s="238">
        <v>0.0</v>
      </c>
      <c r="R610" s="238">
        <v>0.0</v>
      </c>
      <c r="S610" s="238">
        <v>2.0</v>
      </c>
      <c r="T610" s="238">
        <v>0.0</v>
      </c>
      <c r="U610" s="235" t="s">
        <v>11</v>
      </c>
    </row>
    <row r="611">
      <c r="A611" s="250">
        <v>46228.0</v>
      </c>
      <c r="B611" s="235" t="s">
        <v>2815</v>
      </c>
      <c r="C611" s="235" t="s">
        <v>400</v>
      </c>
      <c r="D611" s="235" t="s">
        <v>104</v>
      </c>
      <c r="E611" s="235" t="s">
        <v>401</v>
      </c>
      <c r="F611" s="235" t="s">
        <v>503</v>
      </c>
      <c r="G611" s="238">
        <v>2.0</v>
      </c>
      <c r="H611" s="238">
        <v>0.0</v>
      </c>
      <c r="I611" s="238">
        <v>0.0</v>
      </c>
      <c r="J611" s="238">
        <v>0.0</v>
      </c>
      <c r="K611" s="238">
        <v>0.0</v>
      </c>
      <c r="L611" s="238">
        <v>0.0</v>
      </c>
      <c r="M611" s="238">
        <v>0.0</v>
      </c>
      <c r="N611" s="238">
        <v>0.0</v>
      </c>
      <c r="O611" s="238">
        <v>0.0</v>
      </c>
      <c r="P611" s="238">
        <v>0.0</v>
      </c>
      <c r="Q611" s="238">
        <v>0.0</v>
      </c>
      <c r="R611" s="238">
        <v>0.0</v>
      </c>
      <c r="S611" s="238">
        <v>2.0</v>
      </c>
      <c r="T611" s="238">
        <v>0.0</v>
      </c>
      <c r="U611" s="235" t="s">
        <v>17</v>
      </c>
    </row>
    <row r="612">
      <c r="A612" s="250">
        <v>46228.0</v>
      </c>
      <c r="B612" s="235" t="s">
        <v>2815</v>
      </c>
      <c r="C612" s="235" t="s">
        <v>400</v>
      </c>
      <c r="D612" s="235" t="s">
        <v>104</v>
      </c>
      <c r="E612" s="235" t="s">
        <v>401</v>
      </c>
      <c r="F612" s="235" t="s">
        <v>503</v>
      </c>
      <c r="G612" s="238">
        <v>2.0</v>
      </c>
      <c r="H612" s="238">
        <v>0.0</v>
      </c>
      <c r="I612" s="238">
        <v>0.0</v>
      </c>
      <c r="J612" s="238">
        <v>0.0</v>
      </c>
      <c r="K612" s="238">
        <v>0.0</v>
      </c>
      <c r="L612" s="238">
        <v>0.0</v>
      </c>
      <c r="M612" s="238">
        <v>0.0</v>
      </c>
      <c r="N612" s="238">
        <v>0.0</v>
      </c>
      <c r="O612" s="238">
        <v>0.0</v>
      </c>
      <c r="P612" s="238">
        <v>0.0</v>
      </c>
      <c r="Q612" s="238">
        <v>0.0</v>
      </c>
      <c r="R612" s="238">
        <v>0.0</v>
      </c>
      <c r="S612" s="238">
        <v>2.0</v>
      </c>
      <c r="T612" s="238">
        <v>0.0</v>
      </c>
      <c r="U612" s="235" t="s">
        <v>13</v>
      </c>
    </row>
    <row r="613">
      <c r="A613" s="250">
        <v>46228.0</v>
      </c>
      <c r="B613" s="235" t="s">
        <v>2815</v>
      </c>
      <c r="C613" s="235" t="s">
        <v>400</v>
      </c>
      <c r="D613" s="235" t="s">
        <v>104</v>
      </c>
      <c r="E613" s="235" t="s">
        <v>401</v>
      </c>
      <c r="F613" s="235" t="s">
        <v>503</v>
      </c>
      <c r="G613" s="238">
        <v>10.0</v>
      </c>
      <c r="H613" s="238">
        <v>0.0</v>
      </c>
      <c r="I613" s="238">
        <v>0.0</v>
      </c>
      <c r="J613" s="238">
        <v>0.0</v>
      </c>
      <c r="K613" s="238">
        <v>0.0</v>
      </c>
      <c r="L613" s="238">
        <v>0.0</v>
      </c>
      <c r="M613" s="238">
        <v>0.0</v>
      </c>
      <c r="N613" s="238">
        <v>0.0</v>
      </c>
      <c r="O613" s="238">
        <v>0.0</v>
      </c>
      <c r="P613" s="238">
        <v>0.0</v>
      </c>
      <c r="Q613" s="238">
        <v>0.0</v>
      </c>
      <c r="R613" s="238">
        <v>0.0</v>
      </c>
      <c r="S613" s="238">
        <v>10.0</v>
      </c>
      <c r="T613" s="238">
        <v>0.0</v>
      </c>
      <c r="U613" s="235" t="s">
        <v>14</v>
      </c>
    </row>
    <row r="614">
      <c r="A614" s="250">
        <v>46228.0</v>
      </c>
      <c r="B614" s="235" t="s">
        <v>2815</v>
      </c>
      <c r="C614" s="235" t="s">
        <v>400</v>
      </c>
      <c r="D614" s="235" t="s">
        <v>104</v>
      </c>
      <c r="E614" s="235" t="s">
        <v>401</v>
      </c>
      <c r="F614" s="235" t="s">
        <v>503</v>
      </c>
      <c r="G614" s="238">
        <v>4.0</v>
      </c>
      <c r="H614" s="238">
        <v>0.0</v>
      </c>
      <c r="I614" s="238">
        <v>0.0</v>
      </c>
      <c r="J614" s="238">
        <v>0.0</v>
      </c>
      <c r="K614" s="238">
        <v>0.0</v>
      </c>
      <c r="L614" s="238">
        <v>0.0</v>
      </c>
      <c r="M614" s="238">
        <v>0.0</v>
      </c>
      <c r="N614" s="238">
        <v>0.0</v>
      </c>
      <c r="O614" s="238">
        <v>0.0</v>
      </c>
      <c r="P614" s="238">
        <v>0.0</v>
      </c>
      <c r="Q614" s="238">
        <v>0.0</v>
      </c>
      <c r="R614" s="238">
        <v>0.0</v>
      </c>
      <c r="S614" s="238">
        <v>4.0</v>
      </c>
      <c r="T614" s="238">
        <v>0.0</v>
      </c>
      <c r="U614" s="235" t="s">
        <v>20</v>
      </c>
    </row>
    <row r="615">
      <c r="A615" s="250">
        <v>46228.0</v>
      </c>
      <c r="B615" s="235" t="s">
        <v>2815</v>
      </c>
      <c r="C615" s="235" t="s">
        <v>400</v>
      </c>
      <c r="D615" s="235" t="s">
        <v>104</v>
      </c>
      <c r="E615" s="235" t="s">
        <v>401</v>
      </c>
      <c r="F615" s="235" t="s">
        <v>503</v>
      </c>
      <c r="G615" s="238">
        <v>5.0</v>
      </c>
      <c r="H615" s="238">
        <v>0.0</v>
      </c>
      <c r="I615" s="238">
        <v>0.0</v>
      </c>
      <c r="J615" s="238">
        <v>0.0</v>
      </c>
      <c r="K615" s="238">
        <v>0.0</v>
      </c>
      <c r="L615" s="238">
        <v>0.0</v>
      </c>
      <c r="M615" s="238">
        <v>0.0</v>
      </c>
      <c r="N615" s="238">
        <v>0.0</v>
      </c>
      <c r="O615" s="238">
        <v>0.0</v>
      </c>
      <c r="P615" s="238">
        <v>0.0</v>
      </c>
      <c r="Q615" s="238">
        <v>0.0</v>
      </c>
      <c r="R615" s="238">
        <v>0.0</v>
      </c>
      <c r="S615" s="238">
        <v>5.0</v>
      </c>
      <c r="T615" s="238">
        <v>0.0</v>
      </c>
      <c r="U615" s="235" t="s">
        <v>156</v>
      </c>
    </row>
    <row r="616">
      <c r="A616" s="250">
        <v>46228.0</v>
      </c>
      <c r="B616" s="235" t="s">
        <v>2815</v>
      </c>
      <c r="C616" s="235" t="s">
        <v>400</v>
      </c>
      <c r="D616" s="235" t="s">
        <v>104</v>
      </c>
      <c r="E616" s="235" t="s">
        <v>401</v>
      </c>
      <c r="F616" s="235" t="s">
        <v>503</v>
      </c>
      <c r="G616" s="238">
        <v>3.0</v>
      </c>
      <c r="H616" s="238">
        <v>0.0</v>
      </c>
      <c r="I616" s="238">
        <v>0.0</v>
      </c>
      <c r="J616" s="238">
        <v>0.0</v>
      </c>
      <c r="K616" s="238">
        <v>0.0</v>
      </c>
      <c r="L616" s="238">
        <v>0.0</v>
      </c>
      <c r="M616" s="238">
        <v>0.0</v>
      </c>
      <c r="N616" s="238">
        <v>0.0</v>
      </c>
      <c r="O616" s="238">
        <v>0.0</v>
      </c>
      <c r="P616" s="238">
        <v>0.0</v>
      </c>
      <c r="Q616" s="238">
        <v>0.0</v>
      </c>
      <c r="R616" s="238">
        <v>0.0</v>
      </c>
      <c r="S616" s="238">
        <v>3.0</v>
      </c>
      <c r="T616" s="238">
        <v>0.0</v>
      </c>
      <c r="U616" s="235" t="s">
        <v>546</v>
      </c>
    </row>
    <row r="617">
      <c r="A617" s="250">
        <v>46228.0</v>
      </c>
      <c r="B617" s="235" t="s">
        <v>2840</v>
      </c>
      <c r="C617" s="235" t="s">
        <v>337</v>
      </c>
      <c r="D617" s="235" t="s">
        <v>106</v>
      </c>
      <c r="E617" s="235" t="s">
        <v>338</v>
      </c>
      <c r="F617" s="235" t="s">
        <v>503</v>
      </c>
      <c r="G617" s="238">
        <v>1.0</v>
      </c>
      <c r="H617" s="238">
        <v>0.0</v>
      </c>
      <c r="I617" s="238">
        <v>0.0</v>
      </c>
      <c r="J617" s="238">
        <v>0.0</v>
      </c>
      <c r="K617" s="238">
        <v>0.0</v>
      </c>
      <c r="L617" s="238">
        <v>0.0</v>
      </c>
      <c r="M617" s="238">
        <v>0.0</v>
      </c>
      <c r="N617" s="238">
        <v>0.0</v>
      </c>
      <c r="O617" s="238">
        <v>0.0</v>
      </c>
      <c r="P617" s="238">
        <v>0.0</v>
      </c>
      <c r="Q617" s="238">
        <v>0.0</v>
      </c>
      <c r="R617" s="238">
        <v>0.0</v>
      </c>
      <c r="S617" s="238">
        <v>1.0</v>
      </c>
      <c r="T617" s="238">
        <v>0.0</v>
      </c>
      <c r="U617" s="235" t="s">
        <v>5</v>
      </c>
    </row>
    <row r="618">
      <c r="A618" s="250">
        <v>46228.0</v>
      </c>
      <c r="B618" s="235" t="s">
        <v>2840</v>
      </c>
      <c r="C618" s="235" t="s">
        <v>337</v>
      </c>
      <c r="D618" s="235" t="s">
        <v>106</v>
      </c>
      <c r="E618" s="235" t="s">
        <v>338</v>
      </c>
      <c r="F618" s="235" t="s">
        <v>503</v>
      </c>
      <c r="G618" s="238">
        <v>2.0</v>
      </c>
      <c r="H618" s="238">
        <v>0.0</v>
      </c>
      <c r="I618" s="238">
        <v>0.0</v>
      </c>
      <c r="J618" s="238">
        <v>0.0</v>
      </c>
      <c r="K618" s="238">
        <v>0.0</v>
      </c>
      <c r="L618" s="238">
        <v>0.0</v>
      </c>
      <c r="M618" s="238">
        <v>0.0</v>
      </c>
      <c r="N618" s="238">
        <v>0.0</v>
      </c>
      <c r="O618" s="238">
        <v>0.0</v>
      </c>
      <c r="P618" s="238">
        <v>0.0</v>
      </c>
      <c r="Q618" s="238">
        <v>0.0</v>
      </c>
      <c r="R618" s="238">
        <v>0.0</v>
      </c>
      <c r="S618" s="238">
        <v>2.0</v>
      </c>
      <c r="T618" s="238">
        <v>0.0</v>
      </c>
      <c r="U618" s="235" t="s">
        <v>533</v>
      </c>
    </row>
    <row r="619">
      <c r="A619" s="250">
        <v>46228.0</v>
      </c>
      <c r="B619" s="235" t="s">
        <v>2840</v>
      </c>
      <c r="C619" s="235" t="s">
        <v>337</v>
      </c>
      <c r="D619" s="235" t="s">
        <v>106</v>
      </c>
      <c r="E619" s="235" t="s">
        <v>338</v>
      </c>
      <c r="F619" s="235" t="s">
        <v>503</v>
      </c>
      <c r="G619" s="238">
        <v>3.0</v>
      </c>
      <c r="H619" s="238">
        <v>0.0</v>
      </c>
      <c r="I619" s="238">
        <v>0.0</v>
      </c>
      <c r="J619" s="238">
        <v>0.0</v>
      </c>
      <c r="K619" s="238">
        <v>0.0</v>
      </c>
      <c r="L619" s="238">
        <v>0.0</v>
      </c>
      <c r="M619" s="238">
        <v>0.0</v>
      </c>
      <c r="N619" s="238">
        <v>0.0</v>
      </c>
      <c r="O619" s="238">
        <v>0.0</v>
      </c>
      <c r="P619" s="238">
        <v>0.0</v>
      </c>
      <c r="Q619" s="238">
        <v>0.0</v>
      </c>
      <c r="R619" s="238">
        <v>0.0</v>
      </c>
      <c r="S619" s="238">
        <v>3.0</v>
      </c>
      <c r="T619" s="238">
        <v>0.0</v>
      </c>
      <c r="U619" s="235" t="s">
        <v>13</v>
      </c>
    </row>
    <row r="620">
      <c r="A620" s="250">
        <v>46228.0</v>
      </c>
      <c r="B620" s="235" t="s">
        <v>2840</v>
      </c>
      <c r="C620" s="235" t="s">
        <v>337</v>
      </c>
      <c r="D620" s="235" t="s">
        <v>106</v>
      </c>
      <c r="E620" s="235" t="s">
        <v>338</v>
      </c>
      <c r="F620" s="235" t="s">
        <v>503</v>
      </c>
      <c r="G620" s="238">
        <v>1.0</v>
      </c>
      <c r="H620" s="238">
        <v>0.0</v>
      </c>
      <c r="I620" s="238">
        <v>0.0</v>
      </c>
      <c r="J620" s="238">
        <v>0.0</v>
      </c>
      <c r="K620" s="238">
        <v>0.0</v>
      </c>
      <c r="L620" s="238">
        <v>0.0</v>
      </c>
      <c r="M620" s="238">
        <v>0.0</v>
      </c>
      <c r="N620" s="238">
        <v>0.0</v>
      </c>
      <c r="O620" s="238">
        <v>0.0</v>
      </c>
      <c r="P620" s="238">
        <v>0.0</v>
      </c>
      <c r="Q620" s="238">
        <v>0.0</v>
      </c>
      <c r="R620" s="238">
        <v>0.0</v>
      </c>
      <c r="S620" s="238">
        <v>1.0</v>
      </c>
      <c r="T620" s="238">
        <v>0.0</v>
      </c>
      <c r="U620" s="235" t="s">
        <v>14</v>
      </c>
    </row>
    <row r="621">
      <c r="A621" s="250">
        <v>46228.0</v>
      </c>
      <c r="B621" s="235" t="s">
        <v>2840</v>
      </c>
      <c r="C621" s="235" t="s">
        <v>337</v>
      </c>
      <c r="D621" s="235" t="s">
        <v>106</v>
      </c>
      <c r="E621" s="235" t="s">
        <v>338</v>
      </c>
      <c r="F621" s="235" t="s">
        <v>503</v>
      </c>
      <c r="G621" s="238">
        <v>1.0</v>
      </c>
      <c r="H621" s="238">
        <v>0.0</v>
      </c>
      <c r="I621" s="238">
        <v>0.0</v>
      </c>
      <c r="J621" s="238">
        <v>0.0</v>
      </c>
      <c r="K621" s="238">
        <v>0.0</v>
      </c>
      <c r="L621" s="238">
        <v>0.0</v>
      </c>
      <c r="M621" s="238">
        <v>0.0</v>
      </c>
      <c r="N621" s="238">
        <v>0.0</v>
      </c>
      <c r="O621" s="238">
        <v>0.0</v>
      </c>
      <c r="P621" s="238">
        <v>0.0</v>
      </c>
      <c r="Q621" s="238">
        <v>0.0</v>
      </c>
      <c r="R621" s="238">
        <v>0.0</v>
      </c>
      <c r="S621" s="238">
        <v>1.0</v>
      </c>
      <c r="T621" s="238">
        <v>0.0</v>
      </c>
      <c r="U621" s="235" t="s">
        <v>18</v>
      </c>
    </row>
    <row r="622">
      <c r="A622" s="250">
        <v>46228.0</v>
      </c>
      <c r="B622" s="235" t="s">
        <v>2840</v>
      </c>
      <c r="C622" s="235" t="s">
        <v>337</v>
      </c>
      <c r="D622" s="235" t="s">
        <v>106</v>
      </c>
      <c r="E622" s="235" t="s">
        <v>338</v>
      </c>
      <c r="F622" s="235" t="s">
        <v>503</v>
      </c>
      <c r="G622" s="238">
        <v>6.0</v>
      </c>
      <c r="H622" s="238">
        <v>0.0</v>
      </c>
      <c r="I622" s="238">
        <v>0.0</v>
      </c>
      <c r="J622" s="238">
        <v>0.0</v>
      </c>
      <c r="K622" s="238">
        <v>0.0</v>
      </c>
      <c r="L622" s="238">
        <v>0.0</v>
      </c>
      <c r="M622" s="238">
        <v>0.0</v>
      </c>
      <c r="N622" s="238">
        <v>0.0</v>
      </c>
      <c r="O622" s="238">
        <v>0.0</v>
      </c>
      <c r="P622" s="238">
        <v>0.0</v>
      </c>
      <c r="Q622" s="238">
        <v>0.0</v>
      </c>
      <c r="R622" s="238">
        <v>0.0</v>
      </c>
      <c r="S622" s="238">
        <v>6.0</v>
      </c>
      <c r="T622" s="238">
        <v>0.0</v>
      </c>
      <c r="U622" s="235" t="s">
        <v>20</v>
      </c>
    </row>
    <row r="623">
      <c r="A623" s="250">
        <v>46228.0</v>
      </c>
      <c r="B623" s="235" t="s">
        <v>2840</v>
      </c>
      <c r="C623" s="235" t="s">
        <v>337</v>
      </c>
      <c r="D623" s="235" t="s">
        <v>106</v>
      </c>
      <c r="E623" s="235" t="s">
        <v>338</v>
      </c>
      <c r="F623" s="235" t="s">
        <v>503</v>
      </c>
      <c r="G623" s="238">
        <v>1.0</v>
      </c>
      <c r="H623" s="238">
        <v>0.0</v>
      </c>
      <c r="I623" s="238">
        <v>0.0</v>
      </c>
      <c r="J623" s="238">
        <v>0.0</v>
      </c>
      <c r="K623" s="238">
        <v>0.0</v>
      </c>
      <c r="L623" s="238">
        <v>0.0</v>
      </c>
      <c r="M623" s="238">
        <v>0.0</v>
      </c>
      <c r="N623" s="238">
        <v>0.0</v>
      </c>
      <c r="O623" s="238">
        <v>0.0</v>
      </c>
      <c r="P623" s="238">
        <v>0.0</v>
      </c>
      <c r="Q623" s="238">
        <v>0.0</v>
      </c>
      <c r="R623" s="238">
        <v>0.0</v>
      </c>
      <c r="S623" s="238">
        <v>1.0</v>
      </c>
      <c r="T623" s="238">
        <v>0.0</v>
      </c>
      <c r="U623" s="235" t="s">
        <v>156</v>
      </c>
    </row>
    <row r="624">
      <c r="A624" s="250">
        <v>46228.0</v>
      </c>
      <c r="B624" s="235" t="s">
        <v>2840</v>
      </c>
      <c r="C624" s="235" t="s">
        <v>337</v>
      </c>
      <c r="D624" s="235" t="s">
        <v>106</v>
      </c>
      <c r="E624" s="235" t="s">
        <v>338</v>
      </c>
      <c r="F624" s="235" t="s">
        <v>503</v>
      </c>
      <c r="G624" s="238">
        <v>2.0</v>
      </c>
      <c r="H624" s="238">
        <v>0.0</v>
      </c>
      <c r="I624" s="238">
        <v>0.0</v>
      </c>
      <c r="J624" s="238">
        <v>0.0</v>
      </c>
      <c r="K624" s="238">
        <v>0.0</v>
      </c>
      <c r="L624" s="238">
        <v>0.0</v>
      </c>
      <c r="M624" s="238">
        <v>0.0</v>
      </c>
      <c r="N624" s="238">
        <v>0.0</v>
      </c>
      <c r="O624" s="238">
        <v>0.0</v>
      </c>
      <c r="P624" s="238">
        <v>0.0</v>
      </c>
      <c r="Q624" s="238">
        <v>0.0</v>
      </c>
      <c r="R624" s="238">
        <v>0.0</v>
      </c>
      <c r="S624" s="238">
        <v>2.0</v>
      </c>
      <c r="T624" s="238">
        <v>0.0</v>
      </c>
      <c r="U624" s="235" t="s">
        <v>546</v>
      </c>
    </row>
    <row r="625">
      <c r="A625" s="250">
        <v>46228.0</v>
      </c>
      <c r="B625" s="235" t="s">
        <v>2872</v>
      </c>
      <c r="C625" s="235" t="s">
        <v>2874</v>
      </c>
      <c r="D625" s="235" t="s">
        <v>140</v>
      </c>
      <c r="E625" s="235" t="s">
        <v>1430</v>
      </c>
      <c r="F625" s="235" t="s">
        <v>503</v>
      </c>
      <c r="G625" s="238">
        <v>1.0</v>
      </c>
      <c r="H625" s="238">
        <v>0.0</v>
      </c>
      <c r="I625" s="238">
        <v>0.0</v>
      </c>
      <c r="J625" s="238">
        <v>0.0</v>
      </c>
      <c r="K625" s="238">
        <v>0.0</v>
      </c>
      <c r="L625" s="238">
        <v>0.0</v>
      </c>
      <c r="M625" s="238">
        <v>0.0</v>
      </c>
      <c r="N625" s="238">
        <v>0.0</v>
      </c>
      <c r="O625" s="238">
        <v>0.0</v>
      </c>
      <c r="P625" s="238">
        <v>0.0</v>
      </c>
      <c r="Q625" s="238">
        <v>0.0</v>
      </c>
      <c r="R625" s="238">
        <v>0.0</v>
      </c>
      <c r="S625" s="238">
        <v>1.0</v>
      </c>
      <c r="T625" s="238">
        <v>0.0</v>
      </c>
      <c r="U625" s="235" t="s">
        <v>5</v>
      </c>
    </row>
    <row r="626">
      <c r="A626" s="250">
        <v>46228.0</v>
      </c>
      <c r="B626" s="235" t="s">
        <v>2872</v>
      </c>
      <c r="C626" s="235" t="s">
        <v>2874</v>
      </c>
      <c r="D626" s="235" t="s">
        <v>140</v>
      </c>
      <c r="E626" s="235" t="s">
        <v>1430</v>
      </c>
      <c r="F626" s="235" t="s">
        <v>503</v>
      </c>
      <c r="G626" s="238">
        <v>1.0</v>
      </c>
      <c r="H626" s="238">
        <v>0.0</v>
      </c>
      <c r="I626" s="238">
        <v>0.0</v>
      </c>
      <c r="J626" s="238">
        <v>0.0</v>
      </c>
      <c r="K626" s="238">
        <v>0.0</v>
      </c>
      <c r="L626" s="238">
        <v>0.0</v>
      </c>
      <c r="M626" s="238">
        <v>0.0</v>
      </c>
      <c r="N626" s="238">
        <v>0.0</v>
      </c>
      <c r="O626" s="238">
        <v>0.0</v>
      </c>
      <c r="P626" s="238">
        <v>0.0</v>
      </c>
      <c r="Q626" s="238">
        <v>0.0</v>
      </c>
      <c r="R626" s="238">
        <v>0.0</v>
      </c>
      <c r="S626" s="238">
        <v>1.0</v>
      </c>
      <c r="T626" s="238">
        <v>0.0</v>
      </c>
      <c r="U626" s="235" t="s">
        <v>16</v>
      </c>
    </row>
    <row r="627">
      <c r="A627" s="250">
        <v>46228.0</v>
      </c>
      <c r="B627" s="235" t="s">
        <v>2872</v>
      </c>
      <c r="C627" s="235" t="s">
        <v>2874</v>
      </c>
      <c r="D627" s="235" t="s">
        <v>140</v>
      </c>
      <c r="E627" s="235" t="s">
        <v>1430</v>
      </c>
      <c r="F627" s="235" t="s">
        <v>503</v>
      </c>
      <c r="G627" s="238">
        <v>2.0</v>
      </c>
      <c r="H627" s="238">
        <v>0.0</v>
      </c>
      <c r="I627" s="238">
        <v>0.0</v>
      </c>
      <c r="J627" s="238">
        <v>0.0</v>
      </c>
      <c r="K627" s="238">
        <v>0.0</v>
      </c>
      <c r="L627" s="238">
        <v>0.0</v>
      </c>
      <c r="M627" s="238">
        <v>0.0</v>
      </c>
      <c r="N627" s="238">
        <v>0.0</v>
      </c>
      <c r="O627" s="238">
        <v>0.0</v>
      </c>
      <c r="P627" s="238">
        <v>0.0</v>
      </c>
      <c r="Q627" s="238">
        <v>0.0</v>
      </c>
      <c r="R627" s="238">
        <v>0.0</v>
      </c>
      <c r="S627" s="238">
        <v>2.0</v>
      </c>
      <c r="T627" s="238">
        <v>0.0</v>
      </c>
      <c r="U627" s="235" t="s">
        <v>533</v>
      </c>
    </row>
    <row r="628">
      <c r="A628" s="250">
        <v>46228.0</v>
      </c>
      <c r="B628" s="235" t="s">
        <v>2882</v>
      </c>
      <c r="C628" s="235" t="s">
        <v>219</v>
      </c>
      <c r="D628" s="235" t="s">
        <v>143</v>
      </c>
      <c r="E628" s="235" t="s">
        <v>220</v>
      </c>
      <c r="F628" s="235" t="s">
        <v>503</v>
      </c>
      <c r="G628" s="238">
        <v>3.0</v>
      </c>
      <c r="H628" s="238">
        <v>0.0</v>
      </c>
      <c r="I628" s="238">
        <v>0.0</v>
      </c>
      <c r="J628" s="238">
        <v>0.0</v>
      </c>
      <c r="K628" s="238">
        <v>0.0</v>
      </c>
      <c r="L628" s="238">
        <v>0.0</v>
      </c>
      <c r="M628" s="238">
        <v>0.0</v>
      </c>
      <c r="N628" s="238">
        <v>0.0</v>
      </c>
      <c r="O628" s="238">
        <v>0.0</v>
      </c>
      <c r="P628" s="238">
        <v>0.0</v>
      </c>
      <c r="Q628" s="238">
        <v>0.0</v>
      </c>
      <c r="R628" s="238">
        <v>0.0</v>
      </c>
      <c r="S628" s="238">
        <v>3.0</v>
      </c>
      <c r="T628" s="238">
        <v>0.0</v>
      </c>
      <c r="U628" s="235" t="s">
        <v>5</v>
      </c>
    </row>
    <row r="629">
      <c r="A629" s="250">
        <v>46228.0</v>
      </c>
      <c r="B629" s="235" t="s">
        <v>2882</v>
      </c>
      <c r="C629" s="235" t="s">
        <v>219</v>
      </c>
      <c r="D629" s="235" t="s">
        <v>143</v>
      </c>
      <c r="E629" s="235" t="s">
        <v>220</v>
      </c>
      <c r="F629" s="235" t="s">
        <v>503</v>
      </c>
      <c r="G629" s="238">
        <v>19.0</v>
      </c>
      <c r="H629" s="238">
        <v>0.0</v>
      </c>
      <c r="I629" s="238">
        <v>0.0</v>
      </c>
      <c r="J629" s="238">
        <v>0.0</v>
      </c>
      <c r="K629" s="238">
        <v>0.0</v>
      </c>
      <c r="L629" s="238">
        <v>0.0</v>
      </c>
      <c r="M629" s="238">
        <v>0.0</v>
      </c>
      <c r="N629" s="238">
        <v>0.0</v>
      </c>
      <c r="O629" s="238">
        <v>0.0</v>
      </c>
      <c r="P629" s="238">
        <v>0.0</v>
      </c>
      <c r="Q629" s="238">
        <v>0.0</v>
      </c>
      <c r="R629" s="238">
        <v>0.0</v>
      </c>
      <c r="S629" s="238">
        <v>19.0</v>
      </c>
      <c r="T629" s="238">
        <v>0.0</v>
      </c>
      <c r="U629" s="235" t="s">
        <v>9</v>
      </c>
    </row>
    <row r="630">
      <c r="A630" s="250">
        <v>46228.0</v>
      </c>
      <c r="B630" s="235" t="s">
        <v>2882</v>
      </c>
      <c r="C630" s="235" t="s">
        <v>219</v>
      </c>
      <c r="D630" s="235" t="s">
        <v>143</v>
      </c>
      <c r="E630" s="235" t="s">
        <v>220</v>
      </c>
      <c r="F630" s="235" t="s">
        <v>503</v>
      </c>
      <c r="G630" s="238">
        <v>3.0</v>
      </c>
      <c r="H630" s="238">
        <v>0.0</v>
      </c>
      <c r="I630" s="238">
        <v>0.0</v>
      </c>
      <c r="J630" s="238">
        <v>0.0</v>
      </c>
      <c r="K630" s="238">
        <v>0.0</v>
      </c>
      <c r="L630" s="238">
        <v>0.0</v>
      </c>
      <c r="M630" s="238">
        <v>0.0</v>
      </c>
      <c r="N630" s="238">
        <v>0.0</v>
      </c>
      <c r="O630" s="238">
        <v>0.0</v>
      </c>
      <c r="P630" s="238">
        <v>0.0</v>
      </c>
      <c r="Q630" s="238">
        <v>0.0</v>
      </c>
      <c r="R630" s="238">
        <v>0.0</v>
      </c>
      <c r="S630" s="238">
        <v>3.0</v>
      </c>
      <c r="T630" s="238">
        <v>0.0</v>
      </c>
      <c r="U630" s="235" t="s">
        <v>11</v>
      </c>
    </row>
    <row r="631">
      <c r="A631" s="250">
        <v>46228.0</v>
      </c>
      <c r="B631" s="235" t="s">
        <v>2882</v>
      </c>
      <c r="C631" s="235" t="s">
        <v>219</v>
      </c>
      <c r="D631" s="235" t="s">
        <v>143</v>
      </c>
      <c r="E631" s="235" t="s">
        <v>220</v>
      </c>
      <c r="F631" s="235" t="s">
        <v>503</v>
      </c>
      <c r="G631" s="238">
        <v>2.0</v>
      </c>
      <c r="H631" s="238">
        <v>0.0</v>
      </c>
      <c r="I631" s="238">
        <v>0.0</v>
      </c>
      <c r="J631" s="238">
        <v>-1.0</v>
      </c>
      <c r="K631" s="238">
        <v>0.0</v>
      </c>
      <c r="L631" s="238">
        <v>0.0</v>
      </c>
      <c r="M631" s="238">
        <v>0.0</v>
      </c>
      <c r="N631" s="238">
        <v>0.0</v>
      </c>
      <c r="O631" s="238">
        <v>0.0</v>
      </c>
      <c r="P631" s="238">
        <v>0.0</v>
      </c>
      <c r="Q631" s="238">
        <v>0.0</v>
      </c>
      <c r="R631" s="238">
        <v>0.0</v>
      </c>
      <c r="S631" s="238">
        <v>1.0</v>
      </c>
      <c r="T631" s="238">
        <v>0.0</v>
      </c>
      <c r="U631" s="235" t="s">
        <v>155</v>
      </c>
    </row>
    <row r="632">
      <c r="A632" s="250">
        <v>46228.0</v>
      </c>
      <c r="B632" s="235" t="s">
        <v>2882</v>
      </c>
      <c r="C632" s="235" t="s">
        <v>219</v>
      </c>
      <c r="D632" s="235" t="s">
        <v>143</v>
      </c>
      <c r="E632" s="235" t="s">
        <v>220</v>
      </c>
      <c r="F632" s="235" t="s">
        <v>503</v>
      </c>
      <c r="G632" s="238">
        <v>2.0</v>
      </c>
      <c r="H632" s="238">
        <v>0.0</v>
      </c>
      <c r="I632" s="238">
        <v>0.0</v>
      </c>
      <c r="J632" s="238">
        <v>0.0</v>
      </c>
      <c r="K632" s="238">
        <v>0.0</v>
      </c>
      <c r="L632" s="238">
        <v>0.0</v>
      </c>
      <c r="M632" s="238">
        <v>0.0</v>
      </c>
      <c r="N632" s="238">
        <v>0.0</v>
      </c>
      <c r="O632" s="238">
        <v>0.0</v>
      </c>
      <c r="P632" s="238">
        <v>0.0</v>
      </c>
      <c r="Q632" s="238">
        <v>0.0</v>
      </c>
      <c r="R632" s="238">
        <v>0.0</v>
      </c>
      <c r="S632" s="238">
        <v>2.0</v>
      </c>
      <c r="T632" s="238">
        <v>0.0</v>
      </c>
      <c r="U632" s="235" t="s">
        <v>533</v>
      </c>
    </row>
    <row r="633">
      <c r="A633" s="250">
        <v>46228.0</v>
      </c>
      <c r="B633" s="235" t="s">
        <v>2882</v>
      </c>
      <c r="C633" s="235" t="s">
        <v>219</v>
      </c>
      <c r="D633" s="235" t="s">
        <v>143</v>
      </c>
      <c r="E633" s="235" t="s">
        <v>220</v>
      </c>
      <c r="F633" s="235" t="s">
        <v>503</v>
      </c>
      <c r="G633" s="238">
        <v>1.0</v>
      </c>
      <c r="H633" s="238">
        <v>0.0</v>
      </c>
      <c r="I633" s="238">
        <v>0.0</v>
      </c>
      <c r="J633" s="238">
        <v>0.0</v>
      </c>
      <c r="K633" s="238">
        <v>0.0</v>
      </c>
      <c r="L633" s="238">
        <v>0.0</v>
      </c>
      <c r="M633" s="238">
        <v>0.0</v>
      </c>
      <c r="N633" s="238">
        <v>0.0</v>
      </c>
      <c r="O633" s="238">
        <v>0.0</v>
      </c>
      <c r="P633" s="238">
        <v>0.0</v>
      </c>
      <c r="Q633" s="238">
        <v>0.0</v>
      </c>
      <c r="R633" s="238">
        <v>0.0</v>
      </c>
      <c r="S633" s="238">
        <v>1.0</v>
      </c>
      <c r="T633" s="238">
        <v>0.0</v>
      </c>
      <c r="U633" s="235" t="s">
        <v>13</v>
      </c>
    </row>
    <row r="634">
      <c r="A634" s="250">
        <v>46228.0</v>
      </c>
      <c r="B634" s="235" t="s">
        <v>2882</v>
      </c>
      <c r="C634" s="235" t="s">
        <v>219</v>
      </c>
      <c r="D634" s="235" t="s">
        <v>143</v>
      </c>
      <c r="E634" s="235" t="s">
        <v>220</v>
      </c>
      <c r="F634" s="235" t="s">
        <v>503</v>
      </c>
      <c r="G634" s="238">
        <v>4.0</v>
      </c>
      <c r="H634" s="238">
        <v>0.0</v>
      </c>
      <c r="I634" s="238">
        <v>0.0</v>
      </c>
      <c r="J634" s="238">
        <v>0.0</v>
      </c>
      <c r="K634" s="238">
        <v>0.0</v>
      </c>
      <c r="L634" s="238">
        <v>0.0</v>
      </c>
      <c r="M634" s="238">
        <v>0.0</v>
      </c>
      <c r="N634" s="238">
        <v>0.0</v>
      </c>
      <c r="O634" s="238">
        <v>0.0</v>
      </c>
      <c r="P634" s="238">
        <v>0.0</v>
      </c>
      <c r="Q634" s="238">
        <v>0.0</v>
      </c>
      <c r="R634" s="238">
        <v>0.0</v>
      </c>
      <c r="S634" s="238">
        <v>4.0</v>
      </c>
      <c r="T634" s="238">
        <v>0.0</v>
      </c>
      <c r="U634" s="235" t="s">
        <v>14</v>
      </c>
    </row>
    <row r="635">
      <c r="A635" s="250">
        <v>46228.0</v>
      </c>
      <c r="B635" s="235" t="s">
        <v>2882</v>
      </c>
      <c r="C635" s="235" t="s">
        <v>219</v>
      </c>
      <c r="D635" s="235" t="s">
        <v>143</v>
      </c>
      <c r="E635" s="235" t="s">
        <v>220</v>
      </c>
      <c r="F635" s="235" t="s">
        <v>503</v>
      </c>
      <c r="G635" s="238">
        <v>8.0</v>
      </c>
      <c r="H635" s="238">
        <v>0.0</v>
      </c>
      <c r="I635" s="238">
        <v>0.0</v>
      </c>
      <c r="J635" s="238">
        <v>0.0</v>
      </c>
      <c r="K635" s="238">
        <v>0.0</v>
      </c>
      <c r="L635" s="238">
        <v>0.0</v>
      </c>
      <c r="M635" s="238">
        <v>0.0</v>
      </c>
      <c r="N635" s="238">
        <v>0.0</v>
      </c>
      <c r="O635" s="238">
        <v>0.0</v>
      </c>
      <c r="P635" s="238">
        <v>0.0</v>
      </c>
      <c r="Q635" s="238">
        <v>0.0</v>
      </c>
      <c r="R635" s="238">
        <v>0.0</v>
      </c>
      <c r="S635" s="238">
        <v>8.0</v>
      </c>
      <c r="T635" s="238">
        <v>0.0</v>
      </c>
      <c r="U635" s="235" t="s">
        <v>18</v>
      </c>
    </row>
    <row r="636">
      <c r="A636" s="250">
        <v>46228.0</v>
      </c>
      <c r="B636" s="235" t="s">
        <v>2882</v>
      </c>
      <c r="C636" s="235" t="s">
        <v>219</v>
      </c>
      <c r="D636" s="235" t="s">
        <v>143</v>
      </c>
      <c r="E636" s="235" t="s">
        <v>220</v>
      </c>
      <c r="F636" s="235" t="s">
        <v>503</v>
      </c>
      <c r="G636" s="238">
        <v>5.0</v>
      </c>
      <c r="H636" s="238">
        <v>0.0</v>
      </c>
      <c r="I636" s="238">
        <v>0.0</v>
      </c>
      <c r="J636" s="238">
        <v>0.0</v>
      </c>
      <c r="K636" s="238">
        <v>0.0</v>
      </c>
      <c r="L636" s="238">
        <v>0.0</v>
      </c>
      <c r="M636" s="238">
        <v>0.0</v>
      </c>
      <c r="N636" s="238">
        <v>0.0</v>
      </c>
      <c r="O636" s="238">
        <v>0.0</v>
      </c>
      <c r="P636" s="238">
        <v>0.0</v>
      </c>
      <c r="Q636" s="238">
        <v>0.0</v>
      </c>
      <c r="R636" s="238">
        <v>0.0</v>
      </c>
      <c r="S636" s="238">
        <v>5.0</v>
      </c>
      <c r="T636" s="238">
        <v>0.0</v>
      </c>
      <c r="U636" s="235" t="s">
        <v>20</v>
      </c>
    </row>
    <row r="637">
      <c r="A637" s="250">
        <v>46228.0</v>
      </c>
      <c r="B637" s="235" t="s">
        <v>2882</v>
      </c>
      <c r="C637" s="235" t="s">
        <v>219</v>
      </c>
      <c r="D637" s="235" t="s">
        <v>143</v>
      </c>
      <c r="E637" s="235" t="s">
        <v>220</v>
      </c>
      <c r="F637" s="235" t="s">
        <v>503</v>
      </c>
      <c r="G637" s="238">
        <v>2.0</v>
      </c>
      <c r="H637" s="238">
        <v>0.0</v>
      </c>
      <c r="I637" s="238">
        <v>0.0</v>
      </c>
      <c r="J637" s="238">
        <v>0.0</v>
      </c>
      <c r="K637" s="238">
        <v>0.0</v>
      </c>
      <c r="L637" s="238">
        <v>0.0</v>
      </c>
      <c r="M637" s="238">
        <v>0.0</v>
      </c>
      <c r="N637" s="238">
        <v>0.0</v>
      </c>
      <c r="O637" s="238">
        <v>0.0</v>
      </c>
      <c r="P637" s="238">
        <v>0.0</v>
      </c>
      <c r="Q637" s="238">
        <v>0.0</v>
      </c>
      <c r="R637" s="238">
        <v>0.0</v>
      </c>
      <c r="S637" s="238">
        <v>2.0</v>
      </c>
      <c r="T637" s="238">
        <v>0.0</v>
      </c>
      <c r="U637" s="235" t="s">
        <v>546</v>
      </c>
    </row>
    <row r="638">
      <c r="A638" s="250">
        <v>46228.0</v>
      </c>
      <c r="B638" s="235" t="s">
        <v>2927</v>
      </c>
      <c r="C638" s="235" t="s">
        <v>341</v>
      </c>
      <c r="D638" s="235" t="s">
        <v>141</v>
      </c>
      <c r="E638" s="235" t="s">
        <v>342</v>
      </c>
      <c r="F638" s="235" t="s">
        <v>514</v>
      </c>
      <c r="G638" s="238">
        <v>1.0</v>
      </c>
      <c r="H638" s="238">
        <v>0.0</v>
      </c>
      <c r="I638" s="238">
        <v>0.0</v>
      </c>
      <c r="J638" s="238">
        <v>0.0</v>
      </c>
      <c r="K638" s="238">
        <v>0.0</v>
      </c>
      <c r="L638" s="238">
        <v>0.0</v>
      </c>
      <c r="M638" s="238">
        <v>0.0</v>
      </c>
      <c r="N638" s="238">
        <v>0.0</v>
      </c>
      <c r="O638" s="238">
        <v>0.0</v>
      </c>
      <c r="P638" s="238">
        <v>0.0</v>
      </c>
      <c r="Q638" s="238">
        <v>0.0</v>
      </c>
      <c r="R638" s="238">
        <v>0.0</v>
      </c>
      <c r="S638" s="238">
        <v>0.0</v>
      </c>
      <c r="T638" s="238">
        <v>0.0</v>
      </c>
      <c r="U638" s="235" t="s">
        <v>13</v>
      </c>
    </row>
    <row r="639">
      <c r="A639" s="250">
        <v>46228.0</v>
      </c>
      <c r="B639" s="235" t="s">
        <v>2927</v>
      </c>
      <c r="C639" s="235" t="s">
        <v>341</v>
      </c>
      <c r="D639" s="235" t="s">
        <v>141</v>
      </c>
      <c r="E639" s="235" t="s">
        <v>342</v>
      </c>
      <c r="F639" s="235" t="s">
        <v>514</v>
      </c>
      <c r="G639" s="238">
        <v>1.0</v>
      </c>
      <c r="H639" s="238">
        <v>0.0</v>
      </c>
      <c r="I639" s="238">
        <v>0.0</v>
      </c>
      <c r="J639" s="238">
        <v>0.0</v>
      </c>
      <c r="K639" s="238">
        <v>0.0</v>
      </c>
      <c r="L639" s="238">
        <v>0.0</v>
      </c>
      <c r="M639" s="238">
        <v>0.0</v>
      </c>
      <c r="N639" s="238">
        <v>0.0</v>
      </c>
      <c r="O639" s="238">
        <v>0.0</v>
      </c>
      <c r="P639" s="238">
        <v>0.0</v>
      </c>
      <c r="Q639" s="238">
        <v>0.0</v>
      </c>
      <c r="R639" s="238">
        <v>0.0</v>
      </c>
      <c r="S639" s="238">
        <v>0.0</v>
      </c>
      <c r="T639" s="238">
        <v>0.0</v>
      </c>
      <c r="U639" s="235" t="s">
        <v>20</v>
      </c>
    </row>
    <row r="640">
      <c r="A640" s="250">
        <v>46228.0</v>
      </c>
      <c r="B640" s="235" t="s">
        <v>2927</v>
      </c>
      <c r="C640" s="235" t="s">
        <v>341</v>
      </c>
      <c r="D640" s="235" t="s">
        <v>141</v>
      </c>
      <c r="E640" s="235" t="s">
        <v>342</v>
      </c>
      <c r="F640" s="235" t="s">
        <v>2219</v>
      </c>
      <c r="G640" s="238">
        <v>1.0</v>
      </c>
      <c r="H640" s="238">
        <v>0.0</v>
      </c>
      <c r="I640" s="238">
        <v>0.0</v>
      </c>
      <c r="J640" s="238">
        <v>0.0</v>
      </c>
      <c r="K640" s="238">
        <v>0.0</v>
      </c>
      <c r="L640" s="238">
        <v>0.0</v>
      </c>
      <c r="M640" s="238">
        <v>0.0</v>
      </c>
      <c r="N640" s="238">
        <v>0.0</v>
      </c>
      <c r="O640" s="238">
        <v>0.0</v>
      </c>
      <c r="P640" s="238">
        <v>0.0</v>
      </c>
      <c r="Q640" s="238">
        <v>0.0</v>
      </c>
      <c r="R640" s="238">
        <v>0.0</v>
      </c>
      <c r="S640" s="238">
        <v>0.0</v>
      </c>
      <c r="T640" s="238">
        <v>0.0</v>
      </c>
      <c r="U640" s="235" t="s">
        <v>20</v>
      </c>
    </row>
    <row r="641">
      <c r="A641" s="250">
        <v>46228.0</v>
      </c>
      <c r="B641" s="235" t="s">
        <v>2927</v>
      </c>
      <c r="C641" s="235" t="s">
        <v>341</v>
      </c>
      <c r="D641" s="235" t="s">
        <v>141</v>
      </c>
      <c r="E641" s="235" t="s">
        <v>342</v>
      </c>
      <c r="F641" s="235" t="s">
        <v>503</v>
      </c>
      <c r="G641" s="238">
        <v>0.0</v>
      </c>
      <c r="H641" s="238">
        <v>2.0</v>
      </c>
      <c r="I641" s="238">
        <v>0.0</v>
      </c>
      <c r="J641" s="238">
        <v>0.0</v>
      </c>
      <c r="K641" s="238">
        <v>0.0</v>
      </c>
      <c r="L641" s="238">
        <v>0.0</v>
      </c>
      <c r="M641" s="238">
        <v>0.0</v>
      </c>
      <c r="N641" s="238">
        <v>0.0</v>
      </c>
      <c r="O641" s="238">
        <v>0.0</v>
      </c>
      <c r="P641" s="238">
        <v>0.0</v>
      </c>
      <c r="Q641" s="238">
        <v>0.0</v>
      </c>
      <c r="R641" s="238">
        <v>0.0</v>
      </c>
      <c r="S641" s="238">
        <v>0.0</v>
      </c>
      <c r="T641" s="238">
        <v>0.0</v>
      </c>
      <c r="U641" s="235" t="s">
        <v>596</v>
      </c>
    </row>
    <row r="642">
      <c r="A642" s="250">
        <v>46228.0</v>
      </c>
      <c r="B642" s="235" t="s">
        <v>2927</v>
      </c>
      <c r="C642" s="235" t="s">
        <v>341</v>
      </c>
      <c r="D642" s="235" t="s">
        <v>141</v>
      </c>
      <c r="E642" s="235" t="s">
        <v>342</v>
      </c>
      <c r="F642" s="235" t="s">
        <v>503</v>
      </c>
      <c r="G642" s="238">
        <v>5.0</v>
      </c>
      <c r="H642" s="238">
        <v>0.0</v>
      </c>
      <c r="I642" s="238">
        <v>0.0</v>
      </c>
      <c r="J642" s="238">
        <v>0.0</v>
      </c>
      <c r="K642" s="238">
        <v>0.0</v>
      </c>
      <c r="L642" s="238">
        <v>0.0</v>
      </c>
      <c r="M642" s="238">
        <v>1.0</v>
      </c>
      <c r="N642" s="238">
        <v>0.0</v>
      </c>
      <c r="O642" s="238">
        <v>0.0</v>
      </c>
      <c r="P642" s="238">
        <v>0.0</v>
      </c>
      <c r="Q642" s="238">
        <v>0.0</v>
      </c>
      <c r="R642" s="238">
        <v>0.0</v>
      </c>
      <c r="S642" s="238">
        <v>6.0</v>
      </c>
      <c r="T642" s="238">
        <v>0.0</v>
      </c>
      <c r="U642" s="235" t="s">
        <v>9</v>
      </c>
    </row>
    <row r="643">
      <c r="A643" s="250">
        <v>46228.0</v>
      </c>
      <c r="B643" s="235" t="s">
        <v>2927</v>
      </c>
      <c r="C643" s="235" t="s">
        <v>341</v>
      </c>
      <c r="D643" s="235" t="s">
        <v>141</v>
      </c>
      <c r="E643" s="235" t="s">
        <v>342</v>
      </c>
      <c r="F643" s="235" t="s">
        <v>503</v>
      </c>
      <c r="G643" s="238">
        <v>8.0</v>
      </c>
      <c r="H643" s="238">
        <v>0.0</v>
      </c>
      <c r="I643" s="238">
        <v>0.0</v>
      </c>
      <c r="J643" s="238">
        <v>0.0</v>
      </c>
      <c r="K643" s="238">
        <v>0.0</v>
      </c>
      <c r="L643" s="238">
        <v>0.0</v>
      </c>
      <c r="M643" s="238">
        <v>0.0</v>
      </c>
      <c r="N643" s="238">
        <v>0.0</v>
      </c>
      <c r="O643" s="238">
        <v>0.0</v>
      </c>
      <c r="P643" s="238">
        <v>0.0</v>
      </c>
      <c r="Q643" s="238">
        <v>0.0</v>
      </c>
      <c r="R643" s="238">
        <v>0.0</v>
      </c>
      <c r="S643" s="238">
        <v>8.0</v>
      </c>
      <c r="T643" s="238">
        <v>0.0</v>
      </c>
      <c r="U643" s="235" t="s">
        <v>11</v>
      </c>
    </row>
    <row r="644">
      <c r="A644" s="250">
        <v>46228.0</v>
      </c>
      <c r="B644" s="235" t="s">
        <v>2927</v>
      </c>
      <c r="C644" s="235" t="s">
        <v>341</v>
      </c>
      <c r="D644" s="235" t="s">
        <v>141</v>
      </c>
      <c r="E644" s="235" t="s">
        <v>342</v>
      </c>
      <c r="F644" s="235" t="s">
        <v>503</v>
      </c>
      <c r="G644" s="238">
        <v>11.0</v>
      </c>
      <c r="H644" s="238">
        <v>0.0</v>
      </c>
      <c r="I644" s="238">
        <v>0.0</v>
      </c>
      <c r="J644" s="238">
        <v>0.0</v>
      </c>
      <c r="K644" s="238">
        <v>0.0</v>
      </c>
      <c r="L644" s="238">
        <v>0.0</v>
      </c>
      <c r="M644" s="238">
        <v>1.0</v>
      </c>
      <c r="N644" s="238">
        <v>0.0</v>
      </c>
      <c r="O644" s="238">
        <v>0.0</v>
      </c>
      <c r="P644" s="238">
        <v>0.0</v>
      </c>
      <c r="Q644" s="238">
        <v>0.0</v>
      </c>
      <c r="R644" s="238">
        <v>0.0</v>
      </c>
      <c r="S644" s="238">
        <v>12.0</v>
      </c>
      <c r="T644" s="238">
        <v>0.0</v>
      </c>
      <c r="U644" s="235" t="s">
        <v>16</v>
      </c>
    </row>
    <row r="645">
      <c r="A645" s="250">
        <v>46228.0</v>
      </c>
      <c r="B645" s="235" t="s">
        <v>2927</v>
      </c>
      <c r="C645" s="235" t="s">
        <v>341</v>
      </c>
      <c r="D645" s="235" t="s">
        <v>141</v>
      </c>
      <c r="E645" s="235" t="s">
        <v>342</v>
      </c>
      <c r="F645" s="235" t="s">
        <v>503</v>
      </c>
      <c r="G645" s="238">
        <v>11.0</v>
      </c>
      <c r="H645" s="238">
        <v>0.0</v>
      </c>
      <c r="I645" s="238">
        <v>0.0</v>
      </c>
      <c r="J645" s="238">
        <v>0.0</v>
      </c>
      <c r="K645" s="238">
        <v>0.0</v>
      </c>
      <c r="L645" s="238">
        <v>0.0</v>
      </c>
      <c r="M645" s="238">
        <v>0.0</v>
      </c>
      <c r="N645" s="238">
        <v>0.0</v>
      </c>
      <c r="O645" s="238">
        <v>0.0</v>
      </c>
      <c r="P645" s="238">
        <v>0.0</v>
      </c>
      <c r="Q645" s="238">
        <v>0.0</v>
      </c>
      <c r="R645" s="238">
        <v>0.0</v>
      </c>
      <c r="S645" s="238">
        <v>11.0</v>
      </c>
      <c r="T645" s="238">
        <v>0.0</v>
      </c>
      <c r="U645" s="235" t="s">
        <v>17</v>
      </c>
    </row>
    <row r="646">
      <c r="A646" s="250">
        <v>46228.0</v>
      </c>
      <c r="B646" s="235" t="s">
        <v>2927</v>
      </c>
      <c r="C646" s="235" t="s">
        <v>341</v>
      </c>
      <c r="D646" s="235" t="s">
        <v>141</v>
      </c>
      <c r="E646" s="235" t="s">
        <v>342</v>
      </c>
      <c r="F646" s="235" t="s">
        <v>503</v>
      </c>
      <c r="G646" s="238">
        <v>13.0</v>
      </c>
      <c r="H646" s="238">
        <v>0.0</v>
      </c>
      <c r="I646" s="238">
        <v>0.0</v>
      </c>
      <c r="J646" s="238">
        <v>0.0</v>
      </c>
      <c r="K646" s="238">
        <v>0.0</v>
      </c>
      <c r="L646" s="238">
        <v>0.0</v>
      </c>
      <c r="M646" s="238">
        <v>0.0</v>
      </c>
      <c r="N646" s="238">
        <v>0.0</v>
      </c>
      <c r="O646" s="238">
        <v>0.0</v>
      </c>
      <c r="P646" s="238">
        <v>0.0</v>
      </c>
      <c r="Q646" s="238">
        <v>0.0</v>
      </c>
      <c r="R646" s="238">
        <v>0.0</v>
      </c>
      <c r="S646" s="238">
        <v>13.0</v>
      </c>
      <c r="T646" s="238">
        <v>0.0</v>
      </c>
      <c r="U646" s="235" t="s">
        <v>155</v>
      </c>
    </row>
    <row r="647">
      <c r="A647" s="250">
        <v>46228.0</v>
      </c>
      <c r="B647" s="235" t="s">
        <v>2927</v>
      </c>
      <c r="C647" s="235" t="s">
        <v>341</v>
      </c>
      <c r="D647" s="235" t="s">
        <v>141</v>
      </c>
      <c r="E647" s="235" t="s">
        <v>342</v>
      </c>
      <c r="F647" s="235" t="s">
        <v>503</v>
      </c>
      <c r="G647" s="238">
        <v>7.0</v>
      </c>
      <c r="H647" s="238">
        <v>0.0</v>
      </c>
      <c r="I647" s="238">
        <v>0.0</v>
      </c>
      <c r="J647" s="238">
        <v>0.0</v>
      </c>
      <c r="K647" s="238">
        <v>0.0</v>
      </c>
      <c r="L647" s="238">
        <v>0.0</v>
      </c>
      <c r="M647" s="238">
        <v>0.0</v>
      </c>
      <c r="N647" s="238">
        <v>0.0</v>
      </c>
      <c r="O647" s="238">
        <v>0.0</v>
      </c>
      <c r="P647" s="238">
        <v>0.0</v>
      </c>
      <c r="Q647" s="238">
        <v>0.0</v>
      </c>
      <c r="R647" s="238">
        <v>0.0</v>
      </c>
      <c r="S647" s="238">
        <v>7.0</v>
      </c>
      <c r="T647" s="238">
        <v>0.0</v>
      </c>
      <c r="U647" s="235" t="s">
        <v>533</v>
      </c>
    </row>
    <row r="648">
      <c r="A648" s="250">
        <v>46228.0</v>
      </c>
      <c r="B648" s="235" t="s">
        <v>2927</v>
      </c>
      <c r="C648" s="235" t="s">
        <v>341</v>
      </c>
      <c r="D648" s="235" t="s">
        <v>141</v>
      </c>
      <c r="E648" s="235" t="s">
        <v>342</v>
      </c>
      <c r="F648" s="235" t="s">
        <v>503</v>
      </c>
      <c r="G648" s="238">
        <v>6.0</v>
      </c>
      <c r="H648" s="238">
        <v>0.0</v>
      </c>
      <c r="I648" s="238">
        <v>0.0</v>
      </c>
      <c r="J648" s="238">
        <v>0.0</v>
      </c>
      <c r="K648" s="238">
        <v>0.0</v>
      </c>
      <c r="L648" s="238">
        <v>0.0</v>
      </c>
      <c r="M648" s="238">
        <v>0.0</v>
      </c>
      <c r="N648" s="238">
        <v>0.0</v>
      </c>
      <c r="O648" s="238">
        <v>0.0</v>
      </c>
      <c r="P648" s="238">
        <v>0.0</v>
      </c>
      <c r="Q648" s="238">
        <v>0.0</v>
      </c>
      <c r="R648" s="238">
        <v>0.0</v>
      </c>
      <c r="S648" s="238">
        <v>6.0</v>
      </c>
      <c r="T648" s="238">
        <v>0.0</v>
      </c>
      <c r="U648" s="235" t="s">
        <v>13</v>
      </c>
    </row>
    <row r="649">
      <c r="A649" s="250">
        <v>46228.0</v>
      </c>
      <c r="B649" s="235" t="s">
        <v>2927</v>
      </c>
      <c r="C649" s="235" t="s">
        <v>341</v>
      </c>
      <c r="D649" s="235" t="s">
        <v>141</v>
      </c>
      <c r="E649" s="235" t="s">
        <v>342</v>
      </c>
      <c r="F649" s="235" t="s">
        <v>503</v>
      </c>
      <c r="G649" s="238">
        <v>11.0</v>
      </c>
      <c r="H649" s="238">
        <v>0.0</v>
      </c>
      <c r="I649" s="238">
        <v>0.0</v>
      </c>
      <c r="J649" s="238">
        <v>0.0</v>
      </c>
      <c r="K649" s="238">
        <v>0.0</v>
      </c>
      <c r="L649" s="238">
        <v>0.0</v>
      </c>
      <c r="M649" s="238">
        <v>0.0</v>
      </c>
      <c r="N649" s="238">
        <v>0.0</v>
      </c>
      <c r="O649" s="238">
        <v>0.0</v>
      </c>
      <c r="P649" s="238">
        <v>0.0</v>
      </c>
      <c r="Q649" s="238">
        <v>0.0</v>
      </c>
      <c r="R649" s="238">
        <v>0.0</v>
      </c>
      <c r="S649" s="238">
        <v>11.0</v>
      </c>
      <c r="T649" s="238">
        <v>0.0</v>
      </c>
      <c r="U649" s="235" t="s">
        <v>14</v>
      </c>
    </row>
    <row r="650">
      <c r="A650" s="250">
        <v>46228.0</v>
      </c>
      <c r="B650" s="235" t="s">
        <v>2927</v>
      </c>
      <c r="C650" s="235" t="s">
        <v>341</v>
      </c>
      <c r="D650" s="235" t="s">
        <v>141</v>
      </c>
      <c r="E650" s="235" t="s">
        <v>342</v>
      </c>
      <c r="F650" s="235" t="s">
        <v>503</v>
      </c>
      <c r="G650" s="238">
        <v>9.0</v>
      </c>
      <c r="H650" s="238">
        <v>0.0</v>
      </c>
      <c r="I650" s="238">
        <v>0.0</v>
      </c>
      <c r="J650" s="238">
        <v>0.0</v>
      </c>
      <c r="K650" s="238">
        <v>0.0</v>
      </c>
      <c r="L650" s="238">
        <v>0.0</v>
      </c>
      <c r="M650" s="238">
        <v>0.0</v>
      </c>
      <c r="N650" s="238">
        <v>0.0</v>
      </c>
      <c r="O650" s="238">
        <v>0.0</v>
      </c>
      <c r="P650" s="238">
        <v>0.0</v>
      </c>
      <c r="Q650" s="238">
        <v>0.0</v>
      </c>
      <c r="R650" s="238">
        <v>0.0</v>
      </c>
      <c r="S650" s="238">
        <v>9.0</v>
      </c>
      <c r="T650" s="238">
        <v>0.0</v>
      </c>
      <c r="U650" s="235" t="s">
        <v>18</v>
      </c>
    </row>
    <row r="651">
      <c r="A651" s="250">
        <v>46228.0</v>
      </c>
      <c r="B651" s="235" t="s">
        <v>2927</v>
      </c>
      <c r="C651" s="235" t="s">
        <v>341</v>
      </c>
      <c r="D651" s="235" t="s">
        <v>141</v>
      </c>
      <c r="E651" s="235" t="s">
        <v>342</v>
      </c>
      <c r="F651" s="235" t="s">
        <v>503</v>
      </c>
      <c r="G651" s="238">
        <v>13.0</v>
      </c>
      <c r="H651" s="238">
        <v>0.0</v>
      </c>
      <c r="I651" s="238">
        <v>0.0</v>
      </c>
      <c r="J651" s="238">
        <v>0.0</v>
      </c>
      <c r="K651" s="238">
        <v>0.0</v>
      </c>
      <c r="L651" s="238">
        <v>0.0</v>
      </c>
      <c r="M651" s="238">
        <v>0.0</v>
      </c>
      <c r="N651" s="238">
        <v>0.0</v>
      </c>
      <c r="O651" s="238">
        <v>0.0</v>
      </c>
      <c r="P651" s="238">
        <v>0.0</v>
      </c>
      <c r="Q651" s="238">
        <v>0.0</v>
      </c>
      <c r="R651" s="238">
        <v>0.0</v>
      </c>
      <c r="S651" s="238">
        <v>13.0</v>
      </c>
      <c r="T651" s="238">
        <v>0.0</v>
      </c>
      <c r="U651" s="235" t="s">
        <v>20</v>
      </c>
    </row>
    <row r="652">
      <c r="A652" s="250">
        <v>46228.0</v>
      </c>
      <c r="B652" s="235" t="s">
        <v>2927</v>
      </c>
      <c r="C652" s="235" t="s">
        <v>341</v>
      </c>
      <c r="D652" s="235" t="s">
        <v>141</v>
      </c>
      <c r="E652" s="235" t="s">
        <v>342</v>
      </c>
      <c r="F652" s="235" t="s">
        <v>503</v>
      </c>
      <c r="G652" s="238">
        <v>7.0</v>
      </c>
      <c r="H652" s="238">
        <v>0.0</v>
      </c>
      <c r="I652" s="238">
        <v>0.0</v>
      </c>
      <c r="J652" s="238">
        <v>0.0</v>
      </c>
      <c r="K652" s="238">
        <v>0.0</v>
      </c>
      <c r="L652" s="238">
        <v>0.0</v>
      </c>
      <c r="M652" s="238">
        <v>0.0</v>
      </c>
      <c r="N652" s="238">
        <v>0.0</v>
      </c>
      <c r="O652" s="238">
        <v>0.0</v>
      </c>
      <c r="P652" s="238">
        <v>0.0</v>
      </c>
      <c r="Q652" s="238">
        <v>0.0</v>
      </c>
      <c r="R652" s="238">
        <v>0.0</v>
      </c>
      <c r="S652" s="238">
        <v>7.0</v>
      </c>
      <c r="T652" s="238">
        <v>0.0</v>
      </c>
      <c r="U652" s="235" t="s">
        <v>156</v>
      </c>
    </row>
    <row r="653">
      <c r="A653" s="250">
        <v>46228.0</v>
      </c>
      <c r="B653" s="235" t="s">
        <v>2927</v>
      </c>
      <c r="C653" s="235" t="s">
        <v>341</v>
      </c>
      <c r="D653" s="235" t="s">
        <v>141</v>
      </c>
      <c r="E653" s="235" t="s">
        <v>342</v>
      </c>
      <c r="F653" s="235" t="s">
        <v>503</v>
      </c>
      <c r="G653" s="238">
        <v>15.0</v>
      </c>
      <c r="H653" s="238">
        <v>0.0</v>
      </c>
      <c r="I653" s="238">
        <v>0.0</v>
      </c>
      <c r="J653" s="238">
        <v>0.0</v>
      </c>
      <c r="K653" s="238">
        <v>0.0</v>
      </c>
      <c r="L653" s="238">
        <v>0.0</v>
      </c>
      <c r="M653" s="238">
        <v>0.0</v>
      </c>
      <c r="N653" s="238">
        <v>0.0</v>
      </c>
      <c r="O653" s="238">
        <v>0.0</v>
      </c>
      <c r="P653" s="238">
        <v>0.0</v>
      </c>
      <c r="Q653" s="238">
        <v>0.0</v>
      </c>
      <c r="R653" s="238">
        <v>0.0</v>
      </c>
      <c r="S653" s="238">
        <v>15.0</v>
      </c>
      <c r="T653" s="238">
        <v>0.0</v>
      </c>
      <c r="U653" s="235" t="s">
        <v>546</v>
      </c>
    </row>
    <row r="654">
      <c r="A654" s="250">
        <v>46228.0</v>
      </c>
      <c r="B654" s="235" t="s">
        <v>2995</v>
      </c>
      <c r="C654" s="235" t="s">
        <v>272</v>
      </c>
      <c r="D654" s="235" t="s">
        <v>51</v>
      </c>
      <c r="E654" s="235" t="s">
        <v>273</v>
      </c>
      <c r="F654" s="235" t="s">
        <v>514</v>
      </c>
      <c r="G654" s="238">
        <v>1.0</v>
      </c>
      <c r="H654" s="238">
        <v>0.0</v>
      </c>
      <c r="I654" s="238">
        <v>0.0</v>
      </c>
      <c r="J654" s="238">
        <v>0.0</v>
      </c>
      <c r="K654" s="238">
        <v>0.0</v>
      </c>
      <c r="L654" s="238">
        <v>0.0</v>
      </c>
      <c r="M654" s="238">
        <v>0.0</v>
      </c>
      <c r="N654" s="238">
        <v>0.0</v>
      </c>
      <c r="O654" s="238">
        <v>0.0</v>
      </c>
      <c r="P654" s="238">
        <v>0.0</v>
      </c>
      <c r="Q654" s="238">
        <v>0.0</v>
      </c>
      <c r="R654" s="238">
        <v>0.0</v>
      </c>
      <c r="S654" s="238">
        <v>0.0</v>
      </c>
      <c r="T654" s="238">
        <v>0.0</v>
      </c>
      <c r="U654" s="235" t="s">
        <v>20</v>
      </c>
    </row>
    <row r="655">
      <c r="A655" s="250">
        <v>46228.0</v>
      </c>
      <c r="B655" s="235" t="s">
        <v>2995</v>
      </c>
      <c r="C655" s="235" t="s">
        <v>272</v>
      </c>
      <c r="D655" s="235" t="s">
        <v>51</v>
      </c>
      <c r="E655" s="235" t="s">
        <v>273</v>
      </c>
      <c r="F655" s="235" t="s">
        <v>503</v>
      </c>
      <c r="G655" s="238">
        <v>6.0</v>
      </c>
      <c r="H655" s="238">
        <v>0.0</v>
      </c>
      <c r="I655" s="238">
        <v>0.0</v>
      </c>
      <c r="J655" s="238">
        <v>0.0</v>
      </c>
      <c r="K655" s="238">
        <v>0.0</v>
      </c>
      <c r="L655" s="238">
        <v>0.0</v>
      </c>
      <c r="M655" s="238">
        <v>0.0</v>
      </c>
      <c r="N655" s="238">
        <v>0.0</v>
      </c>
      <c r="O655" s="238">
        <v>0.0</v>
      </c>
      <c r="P655" s="238">
        <v>0.0</v>
      </c>
      <c r="Q655" s="238">
        <v>0.0</v>
      </c>
      <c r="R655" s="238">
        <v>0.0</v>
      </c>
      <c r="S655" s="238">
        <v>6.0</v>
      </c>
      <c r="T655" s="238">
        <v>0.0</v>
      </c>
      <c r="U655" s="235" t="s">
        <v>5</v>
      </c>
    </row>
    <row r="656">
      <c r="A656" s="250">
        <v>46228.0</v>
      </c>
      <c r="B656" s="235" t="s">
        <v>2995</v>
      </c>
      <c r="C656" s="235" t="s">
        <v>272</v>
      </c>
      <c r="D656" s="235" t="s">
        <v>51</v>
      </c>
      <c r="E656" s="235" t="s">
        <v>273</v>
      </c>
      <c r="F656" s="235" t="s">
        <v>503</v>
      </c>
      <c r="G656" s="238">
        <v>14.0</v>
      </c>
      <c r="H656" s="238">
        <v>0.0</v>
      </c>
      <c r="I656" s="238">
        <v>0.0</v>
      </c>
      <c r="J656" s="238">
        <v>0.0</v>
      </c>
      <c r="K656" s="238">
        <v>0.0</v>
      </c>
      <c r="L656" s="238">
        <v>0.0</v>
      </c>
      <c r="M656" s="238">
        <v>0.0</v>
      </c>
      <c r="N656" s="238">
        <v>0.0</v>
      </c>
      <c r="O656" s="238">
        <v>0.0</v>
      </c>
      <c r="P656" s="238">
        <v>0.0</v>
      </c>
      <c r="Q656" s="238">
        <v>0.0</v>
      </c>
      <c r="R656" s="238">
        <v>0.0</v>
      </c>
      <c r="S656" s="238">
        <v>14.0</v>
      </c>
      <c r="T656" s="238">
        <v>0.0</v>
      </c>
      <c r="U656" s="235" t="s">
        <v>9</v>
      </c>
    </row>
    <row r="657">
      <c r="A657" s="250">
        <v>46228.0</v>
      </c>
      <c r="B657" s="235" t="s">
        <v>2995</v>
      </c>
      <c r="C657" s="235" t="s">
        <v>272</v>
      </c>
      <c r="D657" s="235" t="s">
        <v>51</v>
      </c>
      <c r="E657" s="235" t="s">
        <v>273</v>
      </c>
      <c r="F657" s="235" t="s">
        <v>503</v>
      </c>
      <c r="G657" s="238">
        <v>15.0</v>
      </c>
      <c r="H657" s="238">
        <v>0.0</v>
      </c>
      <c r="I657" s="238">
        <v>0.0</v>
      </c>
      <c r="J657" s="238">
        <v>0.0</v>
      </c>
      <c r="K657" s="238">
        <v>0.0</v>
      </c>
      <c r="L657" s="238">
        <v>0.0</v>
      </c>
      <c r="M657" s="238">
        <v>0.0</v>
      </c>
      <c r="N657" s="238">
        <v>0.0</v>
      </c>
      <c r="O657" s="238">
        <v>0.0</v>
      </c>
      <c r="P657" s="238">
        <v>0.0</v>
      </c>
      <c r="Q657" s="238">
        <v>0.0</v>
      </c>
      <c r="R657" s="238">
        <v>0.0</v>
      </c>
      <c r="S657" s="238">
        <v>15.0</v>
      </c>
      <c r="T657" s="238">
        <v>0.0</v>
      </c>
      <c r="U657" s="235" t="s">
        <v>11</v>
      </c>
    </row>
    <row r="658">
      <c r="A658" s="250">
        <v>46228.0</v>
      </c>
      <c r="B658" s="235" t="s">
        <v>2995</v>
      </c>
      <c r="C658" s="235" t="s">
        <v>272</v>
      </c>
      <c r="D658" s="235" t="s">
        <v>51</v>
      </c>
      <c r="E658" s="235" t="s">
        <v>273</v>
      </c>
      <c r="F658" s="235" t="s">
        <v>503</v>
      </c>
      <c r="G658" s="238">
        <v>3.0</v>
      </c>
      <c r="H658" s="238">
        <v>0.0</v>
      </c>
      <c r="I658" s="238">
        <v>0.0</v>
      </c>
      <c r="J658" s="238">
        <v>0.0</v>
      </c>
      <c r="K658" s="238">
        <v>0.0</v>
      </c>
      <c r="L658" s="238">
        <v>0.0</v>
      </c>
      <c r="M658" s="238">
        <v>0.0</v>
      </c>
      <c r="N658" s="238">
        <v>0.0</v>
      </c>
      <c r="O658" s="238">
        <v>0.0</v>
      </c>
      <c r="P658" s="238">
        <v>0.0</v>
      </c>
      <c r="Q658" s="238">
        <v>0.0</v>
      </c>
      <c r="R658" s="238">
        <v>0.0</v>
      </c>
      <c r="S658" s="238">
        <v>3.0</v>
      </c>
      <c r="T658" s="238">
        <v>0.0</v>
      </c>
      <c r="U658" s="235" t="s">
        <v>16</v>
      </c>
    </row>
    <row r="659">
      <c r="A659" s="250">
        <v>46228.0</v>
      </c>
      <c r="B659" s="235" t="s">
        <v>2995</v>
      </c>
      <c r="C659" s="235" t="s">
        <v>272</v>
      </c>
      <c r="D659" s="235" t="s">
        <v>51</v>
      </c>
      <c r="E659" s="235" t="s">
        <v>273</v>
      </c>
      <c r="F659" s="235" t="s">
        <v>503</v>
      </c>
      <c r="G659" s="238">
        <v>12.0</v>
      </c>
      <c r="H659" s="238">
        <v>0.0</v>
      </c>
      <c r="I659" s="238">
        <v>0.0</v>
      </c>
      <c r="J659" s="238">
        <v>0.0</v>
      </c>
      <c r="K659" s="238">
        <v>0.0</v>
      </c>
      <c r="L659" s="238">
        <v>0.0</v>
      </c>
      <c r="M659" s="238">
        <v>0.0</v>
      </c>
      <c r="N659" s="238">
        <v>0.0</v>
      </c>
      <c r="O659" s="238">
        <v>0.0</v>
      </c>
      <c r="P659" s="238">
        <v>0.0</v>
      </c>
      <c r="Q659" s="238">
        <v>0.0</v>
      </c>
      <c r="R659" s="238">
        <v>0.0</v>
      </c>
      <c r="S659" s="238">
        <v>12.0</v>
      </c>
      <c r="T659" s="238">
        <v>0.0</v>
      </c>
      <c r="U659" s="235" t="s">
        <v>17</v>
      </c>
    </row>
    <row r="660">
      <c r="A660" s="250">
        <v>46228.0</v>
      </c>
      <c r="B660" s="235" t="s">
        <v>2995</v>
      </c>
      <c r="C660" s="235" t="s">
        <v>272</v>
      </c>
      <c r="D660" s="235" t="s">
        <v>51</v>
      </c>
      <c r="E660" s="235" t="s">
        <v>273</v>
      </c>
      <c r="F660" s="235" t="s">
        <v>503</v>
      </c>
      <c r="G660" s="238">
        <v>2.0</v>
      </c>
      <c r="H660" s="238">
        <v>0.0</v>
      </c>
      <c r="I660" s="238">
        <v>0.0</v>
      </c>
      <c r="J660" s="238">
        <v>0.0</v>
      </c>
      <c r="K660" s="238">
        <v>0.0</v>
      </c>
      <c r="L660" s="238">
        <v>0.0</v>
      </c>
      <c r="M660" s="238">
        <v>0.0</v>
      </c>
      <c r="N660" s="238">
        <v>0.0</v>
      </c>
      <c r="O660" s="238">
        <v>0.0</v>
      </c>
      <c r="P660" s="238">
        <v>0.0</v>
      </c>
      <c r="Q660" s="238">
        <v>0.0</v>
      </c>
      <c r="R660" s="238">
        <v>0.0</v>
      </c>
      <c r="S660" s="238">
        <v>2.0</v>
      </c>
      <c r="T660" s="238">
        <v>0.0</v>
      </c>
      <c r="U660" s="235" t="s">
        <v>155</v>
      </c>
    </row>
    <row r="661">
      <c r="A661" s="250">
        <v>46228.0</v>
      </c>
      <c r="B661" s="235" t="s">
        <v>2995</v>
      </c>
      <c r="C661" s="235" t="s">
        <v>272</v>
      </c>
      <c r="D661" s="235" t="s">
        <v>51</v>
      </c>
      <c r="E661" s="235" t="s">
        <v>273</v>
      </c>
      <c r="F661" s="235" t="s">
        <v>503</v>
      </c>
      <c r="G661" s="238">
        <v>31.0</v>
      </c>
      <c r="H661" s="238">
        <v>0.0</v>
      </c>
      <c r="I661" s="238">
        <v>0.0</v>
      </c>
      <c r="J661" s="238">
        <v>0.0</v>
      </c>
      <c r="K661" s="238">
        <v>0.0</v>
      </c>
      <c r="L661" s="238">
        <v>0.0</v>
      </c>
      <c r="M661" s="238">
        <v>0.0</v>
      </c>
      <c r="N661" s="238">
        <v>0.0</v>
      </c>
      <c r="O661" s="238">
        <v>0.0</v>
      </c>
      <c r="P661" s="238">
        <v>0.0</v>
      </c>
      <c r="Q661" s="238">
        <v>0.0</v>
      </c>
      <c r="R661" s="238">
        <v>0.0</v>
      </c>
      <c r="S661" s="238">
        <v>31.0</v>
      </c>
      <c r="T661" s="238">
        <v>0.0</v>
      </c>
      <c r="U661" s="235" t="s">
        <v>533</v>
      </c>
    </row>
    <row r="662">
      <c r="A662" s="250">
        <v>46228.0</v>
      </c>
      <c r="B662" s="235" t="s">
        <v>2995</v>
      </c>
      <c r="C662" s="235" t="s">
        <v>272</v>
      </c>
      <c r="D662" s="235" t="s">
        <v>51</v>
      </c>
      <c r="E662" s="235" t="s">
        <v>273</v>
      </c>
      <c r="F662" s="235" t="s">
        <v>503</v>
      </c>
      <c r="G662" s="238">
        <v>37.0</v>
      </c>
      <c r="H662" s="238">
        <v>0.0</v>
      </c>
      <c r="I662" s="238">
        <v>0.0</v>
      </c>
      <c r="J662" s="238">
        <v>0.0</v>
      </c>
      <c r="K662" s="238">
        <v>0.0</v>
      </c>
      <c r="L662" s="238">
        <v>0.0</v>
      </c>
      <c r="M662" s="238">
        <v>0.0</v>
      </c>
      <c r="N662" s="238">
        <v>0.0</v>
      </c>
      <c r="O662" s="238">
        <v>0.0</v>
      </c>
      <c r="P662" s="238">
        <v>0.0</v>
      </c>
      <c r="Q662" s="238">
        <v>0.0</v>
      </c>
      <c r="R662" s="238">
        <v>0.0</v>
      </c>
      <c r="S662" s="238">
        <v>37.0</v>
      </c>
      <c r="T662" s="238">
        <v>0.0</v>
      </c>
      <c r="U662" s="235" t="s">
        <v>13</v>
      </c>
    </row>
    <row r="663">
      <c r="A663" s="250">
        <v>46228.0</v>
      </c>
      <c r="B663" s="235" t="s">
        <v>2995</v>
      </c>
      <c r="C663" s="235" t="s">
        <v>272</v>
      </c>
      <c r="D663" s="235" t="s">
        <v>51</v>
      </c>
      <c r="E663" s="235" t="s">
        <v>273</v>
      </c>
      <c r="F663" s="235" t="s">
        <v>503</v>
      </c>
      <c r="G663" s="238">
        <v>45.0</v>
      </c>
      <c r="H663" s="238">
        <v>0.0</v>
      </c>
      <c r="I663" s="238">
        <v>0.0</v>
      </c>
      <c r="J663" s="238">
        <v>0.0</v>
      </c>
      <c r="K663" s="238">
        <v>0.0</v>
      </c>
      <c r="L663" s="238">
        <v>0.0</v>
      </c>
      <c r="M663" s="238">
        <v>0.0</v>
      </c>
      <c r="N663" s="238">
        <v>0.0</v>
      </c>
      <c r="O663" s="238">
        <v>0.0</v>
      </c>
      <c r="P663" s="238">
        <v>0.0</v>
      </c>
      <c r="Q663" s="238">
        <v>0.0</v>
      </c>
      <c r="R663" s="238">
        <v>0.0</v>
      </c>
      <c r="S663" s="238">
        <v>45.0</v>
      </c>
      <c r="T663" s="238">
        <v>0.0</v>
      </c>
      <c r="U663" s="235" t="s">
        <v>14</v>
      </c>
    </row>
    <row r="664">
      <c r="A664" s="250">
        <v>46228.0</v>
      </c>
      <c r="B664" s="235" t="s">
        <v>2995</v>
      </c>
      <c r="C664" s="235" t="s">
        <v>272</v>
      </c>
      <c r="D664" s="235" t="s">
        <v>51</v>
      </c>
      <c r="E664" s="235" t="s">
        <v>273</v>
      </c>
      <c r="F664" s="235" t="s">
        <v>503</v>
      </c>
      <c r="G664" s="238">
        <v>2.0</v>
      </c>
      <c r="H664" s="238">
        <v>0.0</v>
      </c>
      <c r="I664" s="238">
        <v>0.0</v>
      </c>
      <c r="J664" s="238">
        <v>0.0</v>
      </c>
      <c r="K664" s="238">
        <v>0.0</v>
      </c>
      <c r="L664" s="238">
        <v>0.0</v>
      </c>
      <c r="M664" s="238">
        <v>0.0</v>
      </c>
      <c r="N664" s="238">
        <v>0.0</v>
      </c>
      <c r="O664" s="238">
        <v>0.0</v>
      </c>
      <c r="P664" s="238">
        <v>0.0</v>
      </c>
      <c r="Q664" s="238">
        <v>0.0</v>
      </c>
      <c r="R664" s="238">
        <v>0.0</v>
      </c>
      <c r="S664" s="238">
        <v>2.0</v>
      </c>
      <c r="T664" s="238">
        <v>0.0</v>
      </c>
      <c r="U664" s="235" t="s">
        <v>18</v>
      </c>
    </row>
    <row r="665">
      <c r="A665" s="250">
        <v>46228.0</v>
      </c>
      <c r="B665" s="235" t="s">
        <v>2995</v>
      </c>
      <c r="C665" s="235" t="s">
        <v>272</v>
      </c>
      <c r="D665" s="235" t="s">
        <v>51</v>
      </c>
      <c r="E665" s="235" t="s">
        <v>273</v>
      </c>
      <c r="F665" s="235" t="s">
        <v>503</v>
      </c>
      <c r="G665" s="238">
        <v>48.0</v>
      </c>
      <c r="H665" s="238">
        <v>0.0</v>
      </c>
      <c r="I665" s="238">
        <v>0.0</v>
      </c>
      <c r="J665" s="238">
        <v>0.0</v>
      </c>
      <c r="K665" s="238">
        <v>0.0</v>
      </c>
      <c r="L665" s="238">
        <v>0.0</v>
      </c>
      <c r="M665" s="238">
        <v>0.0</v>
      </c>
      <c r="N665" s="238">
        <v>0.0</v>
      </c>
      <c r="O665" s="238">
        <v>0.0</v>
      </c>
      <c r="P665" s="238">
        <v>0.0</v>
      </c>
      <c r="Q665" s="238">
        <v>0.0</v>
      </c>
      <c r="R665" s="238">
        <v>0.0</v>
      </c>
      <c r="S665" s="238">
        <v>48.0</v>
      </c>
      <c r="T665" s="238">
        <v>0.0</v>
      </c>
      <c r="U665" s="235" t="s">
        <v>20</v>
      </c>
    </row>
    <row r="666">
      <c r="A666" s="250">
        <v>46228.0</v>
      </c>
      <c r="B666" s="235" t="s">
        <v>2995</v>
      </c>
      <c r="C666" s="235" t="s">
        <v>272</v>
      </c>
      <c r="D666" s="235" t="s">
        <v>51</v>
      </c>
      <c r="E666" s="235" t="s">
        <v>273</v>
      </c>
      <c r="F666" s="235" t="s">
        <v>503</v>
      </c>
      <c r="G666" s="238">
        <v>82.0</v>
      </c>
      <c r="H666" s="238">
        <v>0.0</v>
      </c>
      <c r="I666" s="238">
        <v>0.0</v>
      </c>
      <c r="J666" s="238">
        <v>-1.0</v>
      </c>
      <c r="K666" s="238">
        <v>0.0</v>
      </c>
      <c r="L666" s="238">
        <v>0.0</v>
      </c>
      <c r="M666" s="238">
        <v>0.0</v>
      </c>
      <c r="N666" s="238">
        <v>0.0</v>
      </c>
      <c r="O666" s="238">
        <v>0.0</v>
      </c>
      <c r="P666" s="238">
        <v>0.0</v>
      </c>
      <c r="Q666" s="238">
        <v>0.0</v>
      </c>
      <c r="R666" s="238">
        <v>0.0</v>
      </c>
      <c r="S666" s="238">
        <v>81.0</v>
      </c>
      <c r="T666" s="238">
        <v>0.0</v>
      </c>
      <c r="U666" s="235" t="s">
        <v>156</v>
      </c>
    </row>
    <row r="667">
      <c r="A667" s="250">
        <v>46228.0</v>
      </c>
      <c r="B667" s="235" t="s">
        <v>2995</v>
      </c>
      <c r="C667" s="235" t="s">
        <v>272</v>
      </c>
      <c r="D667" s="235" t="s">
        <v>51</v>
      </c>
      <c r="E667" s="235" t="s">
        <v>273</v>
      </c>
      <c r="F667" s="235" t="s">
        <v>503</v>
      </c>
      <c r="G667" s="238">
        <v>20.0</v>
      </c>
      <c r="H667" s="238">
        <v>0.0</v>
      </c>
      <c r="I667" s="238">
        <v>0.0</v>
      </c>
      <c r="J667" s="238">
        <v>0.0</v>
      </c>
      <c r="K667" s="238">
        <v>0.0</v>
      </c>
      <c r="L667" s="238">
        <v>0.0</v>
      </c>
      <c r="M667" s="238">
        <v>0.0</v>
      </c>
      <c r="N667" s="238">
        <v>0.0</v>
      </c>
      <c r="O667" s="238">
        <v>0.0</v>
      </c>
      <c r="P667" s="238">
        <v>0.0</v>
      </c>
      <c r="Q667" s="238">
        <v>0.0</v>
      </c>
      <c r="R667" s="238">
        <v>0.0</v>
      </c>
      <c r="S667" s="238">
        <v>20.0</v>
      </c>
      <c r="T667" s="238">
        <v>0.0</v>
      </c>
      <c r="U667" s="235" t="s">
        <v>546</v>
      </c>
    </row>
    <row r="668">
      <c r="A668" s="250">
        <v>46228.0</v>
      </c>
      <c r="B668" s="235" t="s">
        <v>3043</v>
      </c>
      <c r="C668" s="235" t="s">
        <v>366</v>
      </c>
      <c r="D668" s="235" t="s">
        <v>50</v>
      </c>
      <c r="E668" s="235" t="s">
        <v>367</v>
      </c>
      <c r="F668" s="235" t="s">
        <v>3044</v>
      </c>
      <c r="G668" s="238">
        <v>1.0</v>
      </c>
      <c r="H668" s="238">
        <v>0.0</v>
      </c>
      <c r="I668" s="238">
        <v>0.0</v>
      </c>
      <c r="J668" s="238">
        <v>0.0</v>
      </c>
      <c r="K668" s="238">
        <v>0.0</v>
      </c>
      <c r="L668" s="238">
        <v>0.0</v>
      </c>
      <c r="M668" s="238">
        <v>0.0</v>
      </c>
      <c r="N668" s="238">
        <v>0.0</v>
      </c>
      <c r="O668" s="238">
        <v>0.0</v>
      </c>
      <c r="P668" s="238">
        <v>0.0</v>
      </c>
      <c r="Q668" s="238">
        <v>0.0</v>
      </c>
      <c r="R668" s="238">
        <v>0.0</v>
      </c>
      <c r="S668" s="238">
        <v>0.0</v>
      </c>
      <c r="T668" s="238">
        <v>0.0</v>
      </c>
      <c r="U668" s="235" t="s">
        <v>20</v>
      </c>
    </row>
    <row r="669">
      <c r="A669" s="250">
        <v>46228.0</v>
      </c>
      <c r="B669" s="235" t="s">
        <v>3043</v>
      </c>
      <c r="C669" s="235" t="s">
        <v>366</v>
      </c>
      <c r="D669" s="235" t="s">
        <v>50</v>
      </c>
      <c r="E669" s="235" t="s">
        <v>367</v>
      </c>
      <c r="F669" s="235" t="s">
        <v>514</v>
      </c>
      <c r="G669" s="238">
        <v>1.0</v>
      </c>
      <c r="H669" s="238">
        <v>0.0</v>
      </c>
      <c r="I669" s="238">
        <v>0.0</v>
      </c>
      <c r="J669" s="238">
        <v>0.0</v>
      </c>
      <c r="K669" s="238">
        <v>0.0</v>
      </c>
      <c r="L669" s="238">
        <v>0.0</v>
      </c>
      <c r="M669" s="238">
        <v>0.0</v>
      </c>
      <c r="N669" s="238">
        <v>0.0</v>
      </c>
      <c r="O669" s="238">
        <v>0.0</v>
      </c>
      <c r="P669" s="238">
        <v>0.0</v>
      </c>
      <c r="Q669" s="238">
        <v>0.0</v>
      </c>
      <c r="R669" s="238">
        <v>0.0</v>
      </c>
      <c r="S669" s="238">
        <v>0.0</v>
      </c>
      <c r="T669" s="238">
        <v>0.0</v>
      </c>
      <c r="U669" s="235" t="s">
        <v>20</v>
      </c>
    </row>
    <row r="670">
      <c r="A670" s="250">
        <v>46228.0</v>
      </c>
      <c r="B670" s="235" t="s">
        <v>3043</v>
      </c>
      <c r="C670" s="235" t="s">
        <v>366</v>
      </c>
      <c r="D670" s="235" t="s">
        <v>50</v>
      </c>
      <c r="E670" s="235" t="s">
        <v>367</v>
      </c>
      <c r="F670" s="235" t="s">
        <v>503</v>
      </c>
      <c r="G670" s="238">
        <v>1.0</v>
      </c>
      <c r="H670" s="238">
        <v>0.0</v>
      </c>
      <c r="I670" s="238">
        <v>0.0</v>
      </c>
      <c r="J670" s="238">
        <v>0.0</v>
      </c>
      <c r="K670" s="238">
        <v>0.0</v>
      </c>
      <c r="L670" s="238">
        <v>0.0</v>
      </c>
      <c r="M670" s="238">
        <v>0.0</v>
      </c>
      <c r="N670" s="238">
        <v>0.0</v>
      </c>
      <c r="O670" s="238">
        <v>0.0</v>
      </c>
      <c r="P670" s="238">
        <v>0.0</v>
      </c>
      <c r="Q670" s="238">
        <v>0.0</v>
      </c>
      <c r="R670" s="238">
        <v>0.0</v>
      </c>
      <c r="S670" s="238">
        <v>1.0</v>
      </c>
      <c r="T670" s="238">
        <v>0.0</v>
      </c>
      <c r="U670" s="235" t="s">
        <v>5</v>
      </c>
    </row>
    <row r="671">
      <c r="A671" s="250">
        <v>46228.0</v>
      </c>
      <c r="B671" s="235" t="s">
        <v>3043</v>
      </c>
      <c r="C671" s="235" t="s">
        <v>366</v>
      </c>
      <c r="D671" s="235" t="s">
        <v>50</v>
      </c>
      <c r="E671" s="235" t="s">
        <v>367</v>
      </c>
      <c r="F671" s="235" t="s">
        <v>503</v>
      </c>
      <c r="G671" s="238">
        <v>1.0</v>
      </c>
      <c r="H671" s="238">
        <v>0.0</v>
      </c>
      <c r="I671" s="238">
        <v>0.0</v>
      </c>
      <c r="J671" s="238">
        <v>0.0</v>
      </c>
      <c r="K671" s="238">
        <v>0.0</v>
      </c>
      <c r="L671" s="238">
        <v>0.0</v>
      </c>
      <c r="M671" s="238">
        <v>0.0</v>
      </c>
      <c r="N671" s="238">
        <v>0.0</v>
      </c>
      <c r="O671" s="238">
        <v>0.0</v>
      </c>
      <c r="P671" s="238">
        <v>0.0</v>
      </c>
      <c r="Q671" s="238">
        <v>0.0</v>
      </c>
      <c r="R671" s="238">
        <v>0.0</v>
      </c>
      <c r="S671" s="238">
        <v>1.0</v>
      </c>
      <c r="T671" s="238">
        <v>0.0</v>
      </c>
      <c r="U671" s="235" t="s">
        <v>16</v>
      </c>
    </row>
    <row r="672">
      <c r="A672" s="250">
        <v>46228.0</v>
      </c>
      <c r="B672" s="235" t="s">
        <v>3043</v>
      </c>
      <c r="C672" s="235" t="s">
        <v>366</v>
      </c>
      <c r="D672" s="235" t="s">
        <v>50</v>
      </c>
      <c r="E672" s="235" t="s">
        <v>367</v>
      </c>
      <c r="F672" s="235" t="s">
        <v>503</v>
      </c>
      <c r="G672" s="238">
        <v>6.0</v>
      </c>
      <c r="H672" s="238">
        <v>0.0</v>
      </c>
      <c r="I672" s="238">
        <v>0.0</v>
      </c>
      <c r="J672" s="238">
        <v>0.0</v>
      </c>
      <c r="K672" s="238">
        <v>0.0</v>
      </c>
      <c r="L672" s="238">
        <v>0.0</v>
      </c>
      <c r="M672" s="238">
        <v>0.0</v>
      </c>
      <c r="N672" s="238">
        <v>0.0</v>
      </c>
      <c r="O672" s="238">
        <v>0.0</v>
      </c>
      <c r="P672" s="238">
        <v>0.0</v>
      </c>
      <c r="Q672" s="238">
        <v>0.0</v>
      </c>
      <c r="R672" s="238">
        <v>0.0</v>
      </c>
      <c r="S672" s="238">
        <v>6.0</v>
      </c>
      <c r="T672" s="238">
        <v>0.0</v>
      </c>
      <c r="U672" s="235" t="s">
        <v>155</v>
      </c>
    </row>
    <row r="673">
      <c r="A673" s="250">
        <v>46228.0</v>
      </c>
      <c r="B673" s="235" t="s">
        <v>3043</v>
      </c>
      <c r="C673" s="235" t="s">
        <v>366</v>
      </c>
      <c r="D673" s="235" t="s">
        <v>50</v>
      </c>
      <c r="E673" s="235" t="s">
        <v>367</v>
      </c>
      <c r="F673" s="235" t="s">
        <v>503</v>
      </c>
      <c r="G673" s="238">
        <v>20.0</v>
      </c>
      <c r="H673" s="238">
        <v>0.0</v>
      </c>
      <c r="I673" s="238">
        <v>0.0</v>
      </c>
      <c r="J673" s="238">
        <v>0.0</v>
      </c>
      <c r="K673" s="238">
        <v>0.0</v>
      </c>
      <c r="L673" s="238">
        <v>0.0</v>
      </c>
      <c r="M673" s="238">
        <v>0.0</v>
      </c>
      <c r="N673" s="238">
        <v>0.0</v>
      </c>
      <c r="O673" s="238">
        <v>0.0</v>
      </c>
      <c r="P673" s="238">
        <v>0.0</v>
      </c>
      <c r="Q673" s="238">
        <v>0.0</v>
      </c>
      <c r="R673" s="238">
        <v>0.0</v>
      </c>
      <c r="S673" s="238">
        <v>20.0</v>
      </c>
      <c r="T673" s="238">
        <v>0.0</v>
      </c>
      <c r="U673" s="235" t="s">
        <v>533</v>
      </c>
    </row>
    <row r="674">
      <c r="A674" s="250">
        <v>46228.0</v>
      </c>
      <c r="B674" s="235" t="s">
        <v>3043</v>
      </c>
      <c r="C674" s="235" t="s">
        <v>366</v>
      </c>
      <c r="D674" s="235" t="s">
        <v>50</v>
      </c>
      <c r="E674" s="235" t="s">
        <v>367</v>
      </c>
      <c r="F674" s="235" t="s">
        <v>503</v>
      </c>
      <c r="G674" s="238">
        <v>3.0</v>
      </c>
      <c r="H674" s="238">
        <v>0.0</v>
      </c>
      <c r="I674" s="238">
        <v>0.0</v>
      </c>
      <c r="J674" s="238">
        <v>0.0</v>
      </c>
      <c r="K674" s="238">
        <v>0.0</v>
      </c>
      <c r="L674" s="238">
        <v>0.0</v>
      </c>
      <c r="M674" s="238">
        <v>0.0</v>
      </c>
      <c r="N674" s="238">
        <v>0.0</v>
      </c>
      <c r="O674" s="238">
        <v>0.0</v>
      </c>
      <c r="P674" s="238">
        <v>0.0</v>
      </c>
      <c r="Q674" s="238">
        <v>0.0</v>
      </c>
      <c r="R674" s="238">
        <v>0.0</v>
      </c>
      <c r="S674" s="238">
        <v>3.0</v>
      </c>
      <c r="T674" s="238">
        <v>0.0</v>
      </c>
      <c r="U674" s="235" t="s">
        <v>13</v>
      </c>
    </row>
    <row r="675">
      <c r="A675" s="250">
        <v>46228.0</v>
      </c>
      <c r="B675" s="235" t="s">
        <v>3043</v>
      </c>
      <c r="C675" s="235" t="s">
        <v>366</v>
      </c>
      <c r="D675" s="235" t="s">
        <v>50</v>
      </c>
      <c r="E675" s="235" t="s">
        <v>367</v>
      </c>
      <c r="F675" s="235" t="s">
        <v>503</v>
      </c>
      <c r="G675" s="238">
        <v>7.0</v>
      </c>
      <c r="H675" s="238">
        <v>0.0</v>
      </c>
      <c r="I675" s="238">
        <v>0.0</v>
      </c>
      <c r="J675" s="238">
        <v>0.0</v>
      </c>
      <c r="K675" s="238">
        <v>0.0</v>
      </c>
      <c r="L675" s="238">
        <v>0.0</v>
      </c>
      <c r="M675" s="238">
        <v>0.0</v>
      </c>
      <c r="N675" s="238">
        <v>0.0</v>
      </c>
      <c r="O675" s="238">
        <v>0.0</v>
      </c>
      <c r="P675" s="238">
        <v>0.0</v>
      </c>
      <c r="Q675" s="238">
        <v>0.0</v>
      </c>
      <c r="R675" s="238">
        <v>0.0</v>
      </c>
      <c r="S675" s="238">
        <v>7.0</v>
      </c>
      <c r="T675" s="238">
        <v>0.0</v>
      </c>
      <c r="U675" s="235" t="s">
        <v>14</v>
      </c>
    </row>
    <row r="676">
      <c r="A676" s="250">
        <v>46228.0</v>
      </c>
      <c r="B676" s="235" t="s">
        <v>3043</v>
      </c>
      <c r="C676" s="235" t="s">
        <v>366</v>
      </c>
      <c r="D676" s="235" t="s">
        <v>50</v>
      </c>
      <c r="E676" s="235" t="s">
        <v>367</v>
      </c>
      <c r="F676" s="235" t="s">
        <v>503</v>
      </c>
      <c r="G676" s="238">
        <v>2.0</v>
      </c>
      <c r="H676" s="238">
        <v>0.0</v>
      </c>
      <c r="I676" s="238">
        <v>0.0</v>
      </c>
      <c r="J676" s="238">
        <v>0.0</v>
      </c>
      <c r="K676" s="238">
        <v>0.0</v>
      </c>
      <c r="L676" s="238">
        <v>0.0</v>
      </c>
      <c r="M676" s="238">
        <v>0.0</v>
      </c>
      <c r="N676" s="238">
        <v>0.0</v>
      </c>
      <c r="O676" s="238">
        <v>0.0</v>
      </c>
      <c r="P676" s="238">
        <v>0.0</v>
      </c>
      <c r="Q676" s="238">
        <v>0.0</v>
      </c>
      <c r="R676" s="238">
        <v>0.0</v>
      </c>
      <c r="S676" s="238">
        <v>2.0</v>
      </c>
      <c r="T676" s="238">
        <v>0.0</v>
      </c>
      <c r="U676" s="235" t="s">
        <v>18</v>
      </c>
    </row>
    <row r="677">
      <c r="A677" s="250">
        <v>46228.0</v>
      </c>
      <c r="B677" s="235" t="s">
        <v>3043</v>
      </c>
      <c r="C677" s="235" t="s">
        <v>366</v>
      </c>
      <c r="D677" s="235" t="s">
        <v>50</v>
      </c>
      <c r="E677" s="235" t="s">
        <v>367</v>
      </c>
      <c r="F677" s="235" t="s">
        <v>503</v>
      </c>
      <c r="G677" s="238">
        <v>16.0</v>
      </c>
      <c r="H677" s="238">
        <v>0.0</v>
      </c>
      <c r="I677" s="238">
        <v>0.0</v>
      </c>
      <c r="J677" s="238">
        <v>0.0</v>
      </c>
      <c r="K677" s="238">
        <v>0.0</v>
      </c>
      <c r="L677" s="238">
        <v>0.0</v>
      </c>
      <c r="M677" s="238">
        <v>0.0</v>
      </c>
      <c r="N677" s="238">
        <v>0.0</v>
      </c>
      <c r="O677" s="238">
        <v>0.0</v>
      </c>
      <c r="P677" s="238">
        <v>0.0</v>
      </c>
      <c r="Q677" s="238">
        <v>0.0</v>
      </c>
      <c r="R677" s="238">
        <v>0.0</v>
      </c>
      <c r="S677" s="238">
        <v>16.0</v>
      </c>
      <c r="T677" s="238">
        <v>0.0</v>
      </c>
      <c r="U677" s="235" t="s">
        <v>20</v>
      </c>
    </row>
    <row r="678">
      <c r="A678" s="250">
        <v>46228.0</v>
      </c>
      <c r="B678" s="235" t="s">
        <v>3043</v>
      </c>
      <c r="C678" s="235" t="s">
        <v>366</v>
      </c>
      <c r="D678" s="235" t="s">
        <v>50</v>
      </c>
      <c r="E678" s="235" t="s">
        <v>367</v>
      </c>
      <c r="F678" s="235" t="s">
        <v>503</v>
      </c>
      <c r="G678" s="238">
        <v>2.0</v>
      </c>
      <c r="H678" s="238">
        <v>0.0</v>
      </c>
      <c r="I678" s="238">
        <v>0.0</v>
      </c>
      <c r="J678" s="238">
        <v>0.0</v>
      </c>
      <c r="K678" s="238">
        <v>0.0</v>
      </c>
      <c r="L678" s="238">
        <v>0.0</v>
      </c>
      <c r="M678" s="238">
        <v>2.0</v>
      </c>
      <c r="N678" s="238">
        <v>0.0</v>
      </c>
      <c r="O678" s="238">
        <v>0.0</v>
      </c>
      <c r="P678" s="238">
        <v>0.0</v>
      </c>
      <c r="Q678" s="238">
        <v>0.0</v>
      </c>
      <c r="R678" s="238">
        <v>0.0</v>
      </c>
      <c r="S678" s="238">
        <v>4.0</v>
      </c>
      <c r="T678" s="238">
        <v>0.0</v>
      </c>
      <c r="U678" s="235" t="s">
        <v>156</v>
      </c>
    </row>
    <row r="679">
      <c r="A679" s="250">
        <v>46228.0</v>
      </c>
      <c r="B679" s="235" t="s">
        <v>3043</v>
      </c>
      <c r="C679" s="235" t="s">
        <v>366</v>
      </c>
      <c r="D679" s="235" t="s">
        <v>50</v>
      </c>
      <c r="E679" s="235" t="s">
        <v>367</v>
      </c>
      <c r="F679" s="235" t="s">
        <v>503</v>
      </c>
      <c r="G679" s="238">
        <v>6.0</v>
      </c>
      <c r="H679" s="238">
        <v>0.0</v>
      </c>
      <c r="I679" s="238">
        <v>0.0</v>
      </c>
      <c r="J679" s="238">
        <v>0.0</v>
      </c>
      <c r="K679" s="238">
        <v>0.0</v>
      </c>
      <c r="L679" s="238">
        <v>0.0</v>
      </c>
      <c r="M679" s="238">
        <v>0.0</v>
      </c>
      <c r="N679" s="238">
        <v>0.0</v>
      </c>
      <c r="O679" s="238">
        <v>0.0</v>
      </c>
      <c r="P679" s="238">
        <v>0.0</v>
      </c>
      <c r="Q679" s="238">
        <v>0.0</v>
      </c>
      <c r="R679" s="238">
        <v>0.0</v>
      </c>
      <c r="S679" s="238">
        <v>6.0</v>
      </c>
      <c r="T679" s="238">
        <v>0.0</v>
      </c>
      <c r="U679" s="235" t="s">
        <v>546</v>
      </c>
    </row>
    <row r="680">
      <c r="A680" s="250">
        <v>46228.0</v>
      </c>
      <c r="B680" s="235" t="s">
        <v>3092</v>
      </c>
      <c r="C680" s="235" t="s">
        <v>369</v>
      </c>
      <c r="D680" s="235" t="s">
        <v>145</v>
      </c>
      <c r="E680" s="235" t="s">
        <v>370</v>
      </c>
      <c r="F680" s="235" t="s">
        <v>514</v>
      </c>
      <c r="G680" s="238">
        <v>1.0</v>
      </c>
      <c r="H680" s="238">
        <v>0.0</v>
      </c>
      <c r="I680" s="238">
        <v>0.0</v>
      </c>
      <c r="J680" s="238">
        <v>0.0</v>
      </c>
      <c r="K680" s="238">
        <v>0.0</v>
      </c>
      <c r="L680" s="238">
        <v>0.0</v>
      </c>
      <c r="M680" s="238">
        <v>0.0</v>
      </c>
      <c r="N680" s="238">
        <v>0.0</v>
      </c>
      <c r="O680" s="238">
        <v>0.0</v>
      </c>
      <c r="P680" s="238">
        <v>0.0</v>
      </c>
      <c r="Q680" s="238">
        <v>0.0</v>
      </c>
      <c r="R680" s="238">
        <v>0.0</v>
      </c>
      <c r="S680" s="238">
        <v>0.0</v>
      </c>
      <c r="T680" s="238">
        <v>0.0</v>
      </c>
      <c r="U680" s="235" t="s">
        <v>5</v>
      </c>
    </row>
    <row r="681">
      <c r="A681" s="250">
        <v>46228.0</v>
      </c>
      <c r="B681" s="235" t="s">
        <v>3092</v>
      </c>
      <c r="C681" s="235" t="s">
        <v>369</v>
      </c>
      <c r="D681" s="235" t="s">
        <v>145</v>
      </c>
      <c r="E681" s="235" t="s">
        <v>370</v>
      </c>
      <c r="F681" s="235" t="s">
        <v>514</v>
      </c>
      <c r="G681" s="238">
        <v>1.0</v>
      </c>
      <c r="H681" s="238">
        <v>0.0</v>
      </c>
      <c r="I681" s="238">
        <v>0.0</v>
      </c>
      <c r="J681" s="238">
        <v>0.0</v>
      </c>
      <c r="K681" s="238">
        <v>0.0</v>
      </c>
      <c r="L681" s="238">
        <v>0.0</v>
      </c>
      <c r="M681" s="238">
        <v>0.0</v>
      </c>
      <c r="N681" s="238">
        <v>0.0</v>
      </c>
      <c r="O681" s="238">
        <v>0.0</v>
      </c>
      <c r="P681" s="238">
        <v>0.0</v>
      </c>
      <c r="Q681" s="238">
        <v>0.0</v>
      </c>
      <c r="R681" s="238">
        <v>0.0</v>
      </c>
      <c r="S681" s="238">
        <v>0.0</v>
      </c>
      <c r="T681" s="238">
        <v>0.0</v>
      </c>
      <c r="U681" s="235" t="s">
        <v>13</v>
      </c>
    </row>
    <row r="682">
      <c r="A682" s="250">
        <v>46228.0</v>
      </c>
      <c r="B682" s="235" t="s">
        <v>3092</v>
      </c>
      <c r="C682" s="235" t="s">
        <v>369</v>
      </c>
      <c r="D682" s="235" t="s">
        <v>145</v>
      </c>
      <c r="E682" s="235" t="s">
        <v>370</v>
      </c>
      <c r="F682" s="235" t="s">
        <v>503</v>
      </c>
      <c r="G682" s="238">
        <v>3.0</v>
      </c>
      <c r="H682" s="238">
        <v>0.0</v>
      </c>
      <c r="I682" s="238">
        <v>0.0</v>
      </c>
      <c r="J682" s="238">
        <v>0.0</v>
      </c>
      <c r="K682" s="238">
        <v>0.0</v>
      </c>
      <c r="L682" s="238">
        <v>0.0</v>
      </c>
      <c r="M682" s="238">
        <v>0.0</v>
      </c>
      <c r="N682" s="238">
        <v>0.0</v>
      </c>
      <c r="O682" s="238">
        <v>0.0</v>
      </c>
      <c r="P682" s="238">
        <v>0.0</v>
      </c>
      <c r="Q682" s="238">
        <v>0.0</v>
      </c>
      <c r="R682" s="238">
        <v>0.0</v>
      </c>
      <c r="S682" s="238">
        <v>3.0</v>
      </c>
      <c r="T682" s="238">
        <v>0.0</v>
      </c>
      <c r="U682" s="235" t="s">
        <v>5</v>
      </c>
    </row>
    <row r="683">
      <c r="A683" s="250">
        <v>46228.0</v>
      </c>
      <c r="B683" s="235" t="s">
        <v>3092</v>
      </c>
      <c r="C683" s="235" t="s">
        <v>369</v>
      </c>
      <c r="D683" s="235" t="s">
        <v>145</v>
      </c>
      <c r="E683" s="235" t="s">
        <v>370</v>
      </c>
      <c r="F683" s="235" t="s">
        <v>503</v>
      </c>
      <c r="G683" s="238">
        <v>0.0</v>
      </c>
      <c r="H683" s="238">
        <v>1.0</v>
      </c>
      <c r="I683" s="238">
        <v>0.0</v>
      </c>
      <c r="J683" s="238">
        <v>0.0</v>
      </c>
      <c r="K683" s="238">
        <v>0.0</v>
      </c>
      <c r="L683" s="238">
        <v>0.0</v>
      </c>
      <c r="M683" s="238">
        <v>0.0</v>
      </c>
      <c r="N683" s="238">
        <v>0.0</v>
      </c>
      <c r="O683" s="238">
        <v>0.0</v>
      </c>
      <c r="P683" s="238">
        <v>0.0</v>
      </c>
      <c r="Q683" s="238">
        <v>0.0</v>
      </c>
      <c r="R683" s="238">
        <v>0.0</v>
      </c>
      <c r="S683" s="238">
        <v>0.0</v>
      </c>
      <c r="T683" s="238">
        <v>0.0</v>
      </c>
      <c r="U683" s="235" t="s">
        <v>596</v>
      </c>
    </row>
    <row r="684">
      <c r="A684" s="250">
        <v>46228.0</v>
      </c>
      <c r="B684" s="235" t="s">
        <v>3092</v>
      </c>
      <c r="C684" s="235" t="s">
        <v>369</v>
      </c>
      <c r="D684" s="235" t="s">
        <v>145</v>
      </c>
      <c r="E684" s="235" t="s">
        <v>370</v>
      </c>
      <c r="F684" s="235" t="s">
        <v>503</v>
      </c>
      <c r="G684" s="238">
        <v>5.0</v>
      </c>
      <c r="H684" s="238">
        <v>0.0</v>
      </c>
      <c r="I684" s="238">
        <v>0.0</v>
      </c>
      <c r="J684" s="238">
        <v>0.0</v>
      </c>
      <c r="K684" s="238">
        <v>0.0</v>
      </c>
      <c r="L684" s="238">
        <v>0.0</v>
      </c>
      <c r="M684" s="238">
        <v>0.0</v>
      </c>
      <c r="N684" s="238">
        <v>0.0</v>
      </c>
      <c r="O684" s="238">
        <v>0.0</v>
      </c>
      <c r="P684" s="238">
        <v>0.0</v>
      </c>
      <c r="Q684" s="238">
        <v>0.0</v>
      </c>
      <c r="R684" s="238">
        <v>0.0</v>
      </c>
      <c r="S684" s="238">
        <v>5.0</v>
      </c>
      <c r="T684" s="238">
        <v>0.0</v>
      </c>
      <c r="U684" s="235" t="s">
        <v>9</v>
      </c>
    </row>
    <row r="685">
      <c r="A685" s="250">
        <v>46228.0</v>
      </c>
      <c r="B685" s="235" t="s">
        <v>3092</v>
      </c>
      <c r="C685" s="235" t="s">
        <v>369</v>
      </c>
      <c r="D685" s="235" t="s">
        <v>145</v>
      </c>
      <c r="E685" s="235" t="s">
        <v>370</v>
      </c>
      <c r="F685" s="235" t="s">
        <v>503</v>
      </c>
      <c r="G685" s="238">
        <v>16.0</v>
      </c>
      <c r="H685" s="238">
        <v>0.0</v>
      </c>
      <c r="I685" s="238">
        <v>0.0</v>
      </c>
      <c r="J685" s="238">
        <v>0.0</v>
      </c>
      <c r="K685" s="238">
        <v>0.0</v>
      </c>
      <c r="L685" s="238">
        <v>0.0</v>
      </c>
      <c r="M685" s="238">
        <v>0.0</v>
      </c>
      <c r="N685" s="238">
        <v>0.0</v>
      </c>
      <c r="O685" s="238">
        <v>0.0</v>
      </c>
      <c r="P685" s="238">
        <v>0.0</v>
      </c>
      <c r="Q685" s="238">
        <v>0.0</v>
      </c>
      <c r="R685" s="238">
        <v>0.0</v>
      </c>
      <c r="S685" s="238">
        <v>16.0</v>
      </c>
      <c r="T685" s="238">
        <v>0.0</v>
      </c>
      <c r="U685" s="235" t="s">
        <v>11</v>
      </c>
    </row>
    <row r="686">
      <c r="A686" s="250">
        <v>46228.0</v>
      </c>
      <c r="B686" s="235" t="s">
        <v>3092</v>
      </c>
      <c r="C686" s="235" t="s">
        <v>369</v>
      </c>
      <c r="D686" s="235" t="s">
        <v>145</v>
      </c>
      <c r="E686" s="235" t="s">
        <v>370</v>
      </c>
      <c r="F686" s="235" t="s">
        <v>503</v>
      </c>
      <c r="G686" s="238">
        <v>8.0</v>
      </c>
      <c r="H686" s="238">
        <v>0.0</v>
      </c>
      <c r="I686" s="238">
        <v>0.0</v>
      </c>
      <c r="J686" s="238">
        <v>-1.0</v>
      </c>
      <c r="K686" s="238">
        <v>0.0</v>
      </c>
      <c r="L686" s="238">
        <v>0.0</v>
      </c>
      <c r="M686" s="238">
        <v>0.0</v>
      </c>
      <c r="N686" s="238">
        <v>0.0</v>
      </c>
      <c r="O686" s="238">
        <v>0.0</v>
      </c>
      <c r="P686" s="238">
        <v>0.0</v>
      </c>
      <c r="Q686" s="238">
        <v>0.0</v>
      </c>
      <c r="R686" s="238">
        <v>0.0</v>
      </c>
      <c r="S686" s="238">
        <v>7.0</v>
      </c>
      <c r="T686" s="238">
        <v>0.0</v>
      </c>
      <c r="U686" s="235" t="s">
        <v>16</v>
      </c>
    </row>
    <row r="687">
      <c r="A687" s="250">
        <v>46228.0</v>
      </c>
      <c r="B687" s="235" t="s">
        <v>3092</v>
      </c>
      <c r="C687" s="235" t="s">
        <v>369</v>
      </c>
      <c r="D687" s="235" t="s">
        <v>145</v>
      </c>
      <c r="E687" s="235" t="s">
        <v>370</v>
      </c>
      <c r="F687" s="235" t="s">
        <v>503</v>
      </c>
      <c r="G687" s="238">
        <v>2.0</v>
      </c>
      <c r="H687" s="238">
        <v>0.0</v>
      </c>
      <c r="I687" s="238">
        <v>0.0</v>
      </c>
      <c r="J687" s="238">
        <v>0.0</v>
      </c>
      <c r="K687" s="238">
        <v>0.0</v>
      </c>
      <c r="L687" s="238">
        <v>0.0</v>
      </c>
      <c r="M687" s="238">
        <v>0.0</v>
      </c>
      <c r="N687" s="238">
        <v>0.0</v>
      </c>
      <c r="O687" s="238">
        <v>0.0</v>
      </c>
      <c r="P687" s="238">
        <v>0.0</v>
      </c>
      <c r="Q687" s="238">
        <v>0.0</v>
      </c>
      <c r="R687" s="238">
        <v>0.0</v>
      </c>
      <c r="S687" s="238">
        <v>2.0</v>
      </c>
      <c r="T687" s="238">
        <v>0.0</v>
      </c>
      <c r="U687" s="235" t="s">
        <v>17</v>
      </c>
    </row>
    <row r="688">
      <c r="A688" s="250">
        <v>46228.0</v>
      </c>
      <c r="B688" s="235" t="s">
        <v>3092</v>
      </c>
      <c r="C688" s="235" t="s">
        <v>369</v>
      </c>
      <c r="D688" s="235" t="s">
        <v>145</v>
      </c>
      <c r="E688" s="235" t="s">
        <v>370</v>
      </c>
      <c r="F688" s="235" t="s">
        <v>503</v>
      </c>
      <c r="G688" s="238">
        <v>5.0</v>
      </c>
      <c r="H688" s="238">
        <v>0.0</v>
      </c>
      <c r="I688" s="238">
        <v>0.0</v>
      </c>
      <c r="J688" s="238">
        <v>0.0</v>
      </c>
      <c r="K688" s="238">
        <v>0.0</v>
      </c>
      <c r="L688" s="238">
        <v>0.0</v>
      </c>
      <c r="M688" s="238">
        <v>0.0</v>
      </c>
      <c r="N688" s="238">
        <v>0.0</v>
      </c>
      <c r="O688" s="238">
        <v>0.0</v>
      </c>
      <c r="P688" s="238">
        <v>0.0</v>
      </c>
      <c r="Q688" s="238">
        <v>0.0</v>
      </c>
      <c r="R688" s="238">
        <v>0.0</v>
      </c>
      <c r="S688" s="238">
        <v>5.0</v>
      </c>
      <c r="T688" s="238">
        <v>0.0</v>
      </c>
      <c r="U688" s="235" t="s">
        <v>155</v>
      </c>
    </row>
    <row r="689">
      <c r="A689" s="250">
        <v>46228.0</v>
      </c>
      <c r="B689" s="235" t="s">
        <v>3092</v>
      </c>
      <c r="C689" s="235" t="s">
        <v>369</v>
      </c>
      <c r="D689" s="235" t="s">
        <v>145</v>
      </c>
      <c r="E689" s="235" t="s">
        <v>370</v>
      </c>
      <c r="F689" s="235" t="s">
        <v>503</v>
      </c>
      <c r="G689" s="238">
        <v>13.0</v>
      </c>
      <c r="H689" s="238">
        <v>0.0</v>
      </c>
      <c r="I689" s="238">
        <v>0.0</v>
      </c>
      <c r="J689" s="238">
        <v>0.0</v>
      </c>
      <c r="K689" s="238">
        <v>0.0</v>
      </c>
      <c r="L689" s="238">
        <v>0.0</v>
      </c>
      <c r="M689" s="238">
        <v>0.0</v>
      </c>
      <c r="N689" s="238">
        <v>0.0</v>
      </c>
      <c r="O689" s="238">
        <v>0.0</v>
      </c>
      <c r="P689" s="238">
        <v>0.0</v>
      </c>
      <c r="Q689" s="238">
        <v>0.0</v>
      </c>
      <c r="R689" s="238">
        <v>0.0</v>
      </c>
      <c r="S689" s="238">
        <v>13.0</v>
      </c>
      <c r="T689" s="238">
        <v>0.0</v>
      </c>
      <c r="U689" s="235" t="s">
        <v>533</v>
      </c>
    </row>
    <row r="690">
      <c r="A690" s="250">
        <v>46228.0</v>
      </c>
      <c r="B690" s="235" t="s">
        <v>3092</v>
      </c>
      <c r="C690" s="235" t="s">
        <v>369</v>
      </c>
      <c r="D690" s="235" t="s">
        <v>145</v>
      </c>
      <c r="E690" s="235" t="s">
        <v>370</v>
      </c>
      <c r="F690" s="235" t="s">
        <v>503</v>
      </c>
      <c r="G690" s="238">
        <v>5.0</v>
      </c>
      <c r="H690" s="238">
        <v>0.0</v>
      </c>
      <c r="I690" s="238">
        <v>0.0</v>
      </c>
      <c r="J690" s="238">
        <v>0.0</v>
      </c>
      <c r="K690" s="238">
        <v>0.0</v>
      </c>
      <c r="L690" s="238">
        <v>0.0</v>
      </c>
      <c r="M690" s="238">
        <v>0.0</v>
      </c>
      <c r="N690" s="238">
        <v>0.0</v>
      </c>
      <c r="O690" s="238">
        <v>0.0</v>
      </c>
      <c r="P690" s="238">
        <v>0.0</v>
      </c>
      <c r="Q690" s="238">
        <v>0.0</v>
      </c>
      <c r="R690" s="238">
        <v>0.0</v>
      </c>
      <c r="S690" s="238">
        <v>5.0</v>
      </c>
      <c r="T690" s="238">
        <v>0.0</v>
      </c>
      <c r="U690" s="235" t="s">
        <v>13</v>
      </c>
    </row>
    <row r="691">
      <c r="A691" s="250">
        <v>46228.0</v>
      </c>
      <c r="B691" s="235" t="s">
        <v>3092</v>
      </c>
      <c r="C691" s="235" t="s">
        <v>369</v>
      </c>
      <c r="D691" s="235" t="s">
        <v>145</v>
      </c>
      <c r="E691" s="235" t="s">
        <v>370</v>
      </c>
      <c r="F691" s="235" t="s">
        <v>503</v>
      </c>
      <c r="G691" s="238">
        <v>4.0</v>
      </c>
      <c r="H691" s="238">
        <v>0.0</v>
      </c>
      <c r="I691" s="238">
        <v>0.0</v>
      </c>
      <c r="J691" s="238">
        <v>0.0</v>
      </c>
      <c r="K691" s="238">
        <v>0.0</v>
      </c>
      <c r="L691" s="238">
        <v>0.0</v>
      </c>
      <c r="M691" s="238">
        <v>0.0</v>
      </c>
      <c r="N691" s="238">
        <v>0.0</v>
      </c>
      <c r="O691" s="238">
        <v>0.0</v>
      </c>
      <c r="P691" s="238">
        <v>0.0</v>
      </c>
      <c r="Q691" s="238">
        <v>0.0</v>
      </c>
      <c r="R691" s="238">
        <v>0.0</v>
      </c>
      <c r="S691" s="238">
        <v>4.0</v>
      </c>
      <c r="T691" s="238">
        <v>0.0</v>
      </c>
      <c r="U691" s="235" t="s">
        <v>14</v>
      </c>
    </row>
    <row r="692">
      <c r="A692" s="250">
        <v>46228.0</v>
      </c>
      <c r="B692" s="235" t="s">
        <v>3092</v>
      </c>
      <c r="C692" s="235" t="s">
        <v>369</v>
      </c>
      <c r="D692" s="235" t="s">
        <v>145</v>
      </c>
      <c r="E692" s="235" t="s">
        <v>370</v>
      </c>
      <c r="F692" s="235" t="s">
        <v>503</v>
      </c>
      <c r="G692" s="238">
        <v>1.0</v>
      </c>
      <c r="H692" s="238">
        <v>0.0</v>
      </c>
      <c r="I692" s="238">
        <v>0.0</v>
      </c>
      <c r="J692" s="238">
        <v>0.0</v>
      </c>
      <c r="K692" s="238">
        <v>0.0</v>
      </c>
      <c r="L692" s="238">
        <v>0.0</v>
      </c>
      <c r="M692" s="238">
        <v>0.0</v>
      </c>
      <c r="N692" s="238">
        <v>0.0</v>
      </c>
      <c r="O692" s="238">
        <v>0.0</v>
      </c>
      <c r="P692" s="238">
        <v>0.0</v>
      </c>
      <c r="Q692" s="238">
        <v>0.0</v>
      </c>
      <c r="R692" s="238">
        <v>0.0</v>
      </c>
      <c r="S692" s="238">
        <v>1.0</v>
      </c>
      <c r="T692" s="238">
        <v>0.0</v>
      </c>
      <c r="U692" s="235" t="s">
        <v>18</v>
      </c>
    </row>
    <row r="693">
      <c r="A693" s="250">
        <v>46228.0</v>
      </c>
      <c r="B693" s="235" t="s">
        <v>3092</v>
      </c>
      <c r="C693" s="235" t="s">
        <v>369</v>
      </c>
      <c r="D693" s="235" t="s">
        <v>145</v>
      </c>
      <c r="E693" s="235" t="s">
        <v>370</v>
      </c>
      <c r="F693" s="235" t="s">
        <v>503</v>
      </c>
      <c r="G693" s="238">
        <v>4.0</v>
      </c>
      <c r="H693" s="238">
        <v>0.0</v>
      </c>
      <c r="I693" s="238">
        <v>0.0</v>
      </c>
      <c r="J693" s="238">
        <v>0.0</v>
      </c>
      <c r="K693" s="238">
        <v>0.0</v>
      </c>
      <c r="L693" s="238">
        <v>0.0</v>
      </c>
      <c r="M693" s="238">
        <v>0.0</v>
      </c>
      <c r="N693" s="238">
        <v>0.0</v>
      </c>
      <c r="O693" s="238">
        <v>0.0</v>
      </c>
      <c r="P693" s="238">
        <v>0.0</v>
      </c>
      <c r="Q693" s="238">
        <v>0.0</v>
      </c>
      <c r="R693" s="238">
        <v>0.0</v>
      </c>
      <c r="S693" s="238">
        <v>4.0</v>
      </c>
      <c r="T693" s="238">
        <v>0.0</v>
      </c>
      <c r="U693" s="235" t="s">
        <v>20</v>
      </c>
    </row>
    <row r="694">
      <c r="A694" s="250">
        <v>46228.0</v>
      </c>
      <c r="B694" s="235" t="s">
        <v>3092</v>
      </c>
      <c r="C694" s="235" t="s">
        <v>369</v>
      </c>
      <c r="D694" s="235" t="s">
        <v>145</v>
      </c>
      <c r="E694" s="235" t="s">
        <v>370</v>
      </c>
      <c r="F694" s="235" t="s">
        <v>503</v>
      </c>
      <c r="G694" s="238">
        <v>3.0</v>
      </c>
      <c r="H694" s="238">
        <v>0.0</v>
      </c>
      <c r="I694" s="238">
        <v>0.0</v>
      </c>
      <c r="J694" s="238">
        <v>0.0</v>
      </c>
      <c r="K694" s="238">
        <v>0.0</v>
      </c>
      <c r="L694" s="238">
        <v>0.0</v>
      </c>
      <c r="M694" s="238">
        <v>0.0</v>
      </c>
      <c r="N694" s="238">
        <v>0.0</v>
      </c>
      <c r="O694" s="238">
        <v>0.0</v>
      </c>
      <c r="P694" s="238">
        <v>0.0</v>
      </c>
      <c r="Q694" s="238">
        <v>0.0</v>
      </c>
      <c r="R694" s="238">
        <v>0.0</v>
      </c>
      <c r="S694" s="238">
        <v>3.0</v>
      </c>
      <c r="T694" s="238">
        <v>0.0</v>
      </c>
      <c r="U694" s="235" t="s">
        <v>156</v>
      </c>
    </row>
    <row r="695">
      <c r="A695" s="250">
        <v>46228.0</v>
      </c>
      <c r="B695" s="235" t="s">
        <v>3092</v>
      </c>
      <c r="C695" s="235" t="s">
        <v>369</v>
      </c>
      <c r="D695" s="235" t="s">
        <v>145</v>
      </c>
      <c r="E695" s="235" t="s">
        <v>370</v>
      </c>
      <c r="F695" s="235" t="s">
        <v>503</v>
      </c>
      <c r="G695" s="238">
        <v>10.0</v>
      </c>
      <c r="H695" s="238">
        <v>0.0</v>
      </c>
      <c r="I695" s="238">
        <v>0.0</v>
      </c>
      <c r="J695" s="238">
        <v>0.0</v>
      </c>
      <c r="K695" s="238">
        <v>0.0</v>
      </c>
      <c r="L695" s="238">
        <v>0.0</v>
      </c>
      <c r="M695" s="238">
        <v>0.0</v>
      </c>
      <c r="N695" s="238">
        <v>0.0</v>
      </c>
      <c r="O695" s="238">
        <v>0.0</v>
      </c>
      <c r="P695" s="238">
        <v>0.0</v>
      </c>
      <c r="Q695" s="238">
        <v>0.0</v>
      </c>
      <c r="R695" s="238">
        <v>0.0</v>
      </c>
      <c r="S695" s="238">
        <v>10.0</v>
      </c>
      <c r="T695" s="238">
        <v>0.0</v>
      </c>
      <c r="U695" s="235" t="s">
        <v>546</v>
      </c>
    </row>
    <row r="696">
      <c r="A696" s="250">
        <v>46228.0</v>
      </c>
      <c r="B696" s="235" t="s">
        <v>3154</v>
      </c>
      <c r="C696" s="235" t="s">
        <v>389</v>
      </c>
      <c r="D696" s="235" t="s">
        <v>153</v>
      </c>
      <c r="E696" s="235" t="s">
        <v>390</v>
      </c>
      <c r="F696" s="235" t="s">
        <v>503</v>
      </c>
      <c r="G696" s="238">
        <v>2.0</v>
      </c>
      <c r="H696" s="238">
        <v>0.0</v>
      </c>
      <c r="I696" s="238">
        <v>0.0</v>
      </c>
      <c r="J696" s="238">
        <v>0.0</v>
      </c>
      <c r="K696" s="238">
        <v>0.0</v>
      </c>
      <c r="L696" s="238">
        <v>0.0</v>
      </c>
      <c r="M696" s="238">
        <v>0.0</v>
      </c>
      <c r="N696" s="238">
        <v>0.0</v>
      </c>
      <c r="O696" s="238">
        <v>0.0</v>
      </c>
      <c r="P696" s="238">
        <v>0.0</v>
      </c>
      <c r="Q696" s="238">
        <v>0.0</v>
      </c>
      <c r="R696" s="238">
        <v>0.0</v>
      </c>
      <c r="S696" s="238">
        <v>2.0</v>
      </c>
      <c r="T696" s="238">
        <v>0.0</v>
      </c>
      <c r="U696" s="235" t="s">
        <v>9</v>
      </c>
    </row>
    <row r="697">
      <c r="A697" s="250">
        <v>46228.0</v>
      </c>
      <c r="B697" s="235" t="s">
        <v>3154</v>
      </c>
      <c r="C697" s="235" t="s">
        <v>389</v>
      </c>
      <c r="D697" s="235" t="s">
        <v>153</v>
      </c>
      <c r="E697" s="235" t="s">
        <v>390</v>
      </c>
      <c r="F697" s="235" t="s">
        <v>503</v>
      </c>
      <c r="G697" s="238">
        <v>9.0</v>
      </c>
      <c r="H697" s="238">
        <v>0.0</v>
      </c>
      <c r="I697" s="238">
        <v>0.0</v>
      </c>
      <c r="J697" s="238">
        <v>0.0</v>
      </c>
      <c r="K697" s="238">
        <v>0.0</v>
      </c>
      <c r="L697" s="238">
        <v>0.0</v>
      </c>
      <c r="M697" s="238">
        <v>0.0</v>
      </c>
      <c r="N697" s="238">
        <v>0.0</v>
      </c>
      <c r="O697" s="238">
        <v>0.0</v>
      </c>
      <c r="P697" s="238">
        <v>0.0</v>
      </c>
      <c r="Q697" s="238">
        <v>0.0</v>
      </c>
      <c r="R697" s="238">
        <v>0.0</v>
      </c>
      <c r="S697" s="238">
        <v>9.0</v>
      </c>
      <c r="T697" s="238">
        <v>0.0</v>
      </c>
      <c r="U697" s="235" t="s">
        <v>11</v>
      </c>
    </row>
    <row r="698">
      <c r="A698" s="250">
        <v>46228.0</v>
      </c>
      <c r="B698" s="235" t="s">
        <v>3154</v>
      </c>
      <c r="C698" s="235" t="s">
        <v>389</v>
      </c>
      <c r="D698" s="235" t="s">
        <v>153</v>
      </c>
      <c r="E698" s="235" t="s">
        <v>390</v>
      </c>
      <c r="F698" s="235" t="s">
        <v>503</v>
      </c>
      <c r="G698" s="238">
        <v>4.0</v>
      </c>
      <c r="H698" s="238">
        <v>0.0</v>
      </c>
      <c r="I698" s="238">
        <v>0.0</v>
      </c>
      <c r="J698" s="238">
        <v>0.0</v>
      </c>
      <c r="K698" s="238">
        <v>0.0</v>
      </c>
      <c r="L698" s="238">
        <v>0.0</v>
      </c>
      <c r="M698" s="238">
        <v>0.0</v>
      </c>
      <c r="N698" s="238">
        <v>0.0</v>
      </c>
      <c r="O698" s="238">
        <v>0.0</v>
      </c>
      <c r="P698" s="238">
        <v>0.0</v>
      </c>
      <c r="Q698" s="238">
        <v>0.0</v>
      </c>
      <c r="R698" s="238">
        <v>0.0</v>
      </c>
      <c r="S698" s="238">
        <v>4.0</v>
      </c>
      <c r="T698" s="238">
        <v>0.0</v>
      </c>
      <c r="U698" s="235" t="s">
        <v>16</v>
      </c>
    </row>
    <row r="699">
      <c r="A699" s="250">
        <v>46228.0</v>
      </c>
      <c r="B699" s="235" t="s">
        <v>3154</v>
      </c>
      <c r="C699" s="235" t="s">
        <v>389</v>
      </c>
      <c r="D699" s="235" t="s">
        <v>153</v>
      </c>
      <c r="E699" s="235" t="s">
        <v>390</v>
      </c>
      <c r="F699" s="235" t="s">
        <v>503</v>
      </c>
      <c r="G699" s="238">
        <v>5.0</v>
      </c>
      <c r="H699" s="238">
        <v>0.0</v>
      </c>
      <c r="I699" s="238">
        <v>0.0</v>
      </c>
      <c r="J699" s="238">
        <v>0.0</v>
      </c>
      <c r="K699" s="238">
        <v>0.0</v>
      </c>
      <c r="L699" s="238">
        <v>0.0</v>
      </c>
      <c r="M699" s="238">
        <v>0.0</v>
      </c>
      <c r="N699" s="238">
        <v>0.0</v>
      </c>
      <c r="O699" s="238">
        <v>0.0</v>
      </c>
      <c r="P699" s="238">
        <v>0.0</v>
      </c>
      <c r="Q699" s="238">
        <v>0.0</v>
      </c>
      <c r="R699" s="238">
        <v>0.0</v>
      </c>
      <c r="S699" s="238">
        <v>5.0</v>
      </c>
      <c r="T699" s="238">
        <v>0.0</v>
      </c>
      <c r="U699" s="235" t="s">
        <v>155</v>
      </c>
    </row>
    <row r="700">
      <c r="A700" s="250">
        <v>46228.0</v>
      </c>
      <c r="B700" s="235" t="s">
        <v>3154</v>
      </c>
      <c r="C700" s="235" t="s">
        <v>389</v>
      </c>
      <c r="D700" s="235" t="s">
        <v>153</v>
      </c>
      <c r="E700" s="235" t="s">
        <v>390</v>
      </c>
      <c r="F700" s="235" t="s">
        <v>503</v>
      </c>
      <c r="G700" s="238">
        <v>1.0</v>
      </c>
      <c r="H700" s="238">
        <v>0.0</v>
      </c>
      <c r="I700" s="238">
        <v>0.0</v>
      </c>
      <c r="J700" s="238">
        <v>0.0</v>
      </c>
      <c r="K700" s="238">
        <v>0.0</v>
      </c>
      <c r="L700" s="238">
        <v>0.0</v>
      </c>
      <c r="M700" s="238">
        <v>0.0</v>
      </c>
      <c r="N700" s="238">
        <v>0.0</v>
      </c>
      <c r="O700" s="238">
        <v>0.0</v>
      </c>
      <c r="P700" s="238">
        <v>0.0</v>
      </c>
      <c r="Q700" s="238">
        <v>0.0</v>
      </c>
      <c r="R700" s="238">
        <v>0.0</v>
      </c>
      <c r="S700" s="238">
        <v>1.0</v>
      </c>
      <c r="T700" s="238">
        <v>0.0</v>
      </c>
      <c r="U700" s="235" t="s">
        <v>533</v>
      </c>
    </row>
    <row r="701">
      <c r="A701" s="250">
        <v>46228.0</v>
      </c>
      <c r="B701" s="235" t="s">
        <v>3154</v>
      </c>
      <c r="C701" s="235" t="s">
        <v>389</v>
      </c>
      <c r="D701" s="235" t="s">
        <v>153</v>
      </c>
      <c r="E701" s="235" t="s">
        <v>390</v>
      </c>
      <c r="F701" s="235" t="s">
        <v>503</v>
      </c>
      <c r="G701" s="238">
        <v>1.0</v>
      </c>
      <c r="H701" s="238">
        <v>0.0</v>
      </c>
      <c r="I701" s="238">
        <v>0.0</v>
      </c>
      <c r="J701" s="238">
        <v>0.0</v>
      </c>
      <c r="K701" s="238">
        <v>0.0</v>
      </c>
      <c r="L701" s="238">
        <v>0.0</v>
      </c>
      <c r="M701" s="238">
        <v>0.0</v>
      </c>
      <c r="N701" s="238">
        <v>0.0</v>
      </c>
      <c r="O701" s="238">
        <v>0.0</v>
      </c>
      <c r="P701" s="238">
        <v>0.0</v>
      </c>
      <c r="Q701" s="238">
        <v>0.0</v>
      </c>
      <c r="R701" s="238">
        <v>0.0</v>
      </c>
      <c r="S701" s="238">
        <v>1.0</v>
      </c>
      <c r="T701" s="238">
        <v>0.0</v>
      </c>
      <c r="U701" s="235" t="s">
        <v>13</v>
      </c>
    </row>
    <row r="702">
      <c r="A702" s="250">
        <v>46228.0</v>
      </c>
      <c r="B702" s="235" t="s">
        <v>3154</v>
      </c>
      <c r="C702" s="235" t="s">
        <v>389</v>
      </c>
      <c r="D702" s="235" t="s">
        <v>153</v>
      </c>
      <c r="E702" s="235" t="s">
        <v>390</v>
      </c>
      <c r="F702" s="235" t="s">
        <v>503</v>
      </c>
      <c r="G702" s="238">
        <v>4.0</v>
      </c>
      <c r="H702" s="238">
        <v>0.0</v>
      </c>
      <c r="I702" s="238">
        <v>0.0</v>
      </c>
      <c r="J702" s="238">
        <v>0.0</v>
      </c>
      <c r="K702" s="238">
        <v>0.0</v>
      </c>
      <c r="L702" s="238">
        <v>0.0</v>
      </c>
      <c r="M702" s="238">
        <v>0.0</v>
      </c>
      <c r="N702" s="238">
        <v>0.0</v>
      </c>
      <c r="O702" s="238">
        <v>0.0</v>
      </c>
      <c r="P702" s="238">
        <v>0.0</v>
      </c>
      <c r="Q702" s="238">
        <v>0.0</v>
      </c>
      <c r="R702" s="238">
        <v>0.0</v>
      </c>
      <c r="S702" s="238">
        <v>4.0</v>
      </c>
      <c r="T702" s="238">
        <v>0.0</v>
      </c>
      <c r="U702" s="235" t="s">
        <v>20</v>
      </c>
    </row>
    <row r="703">
      <c r="A703" s="250">
        <v>46228.0</v>
      </c>
      <c r="B703" s="235" t="s">
        <v>3154</v>
      </c>
      <c r="C703" s="235" t="s">
        <v>389</v>
      </c>
      <c r="D703" s="235" t="s">
        <v>153</v>
      </c>
      <c r="E703" s="235" t="s">
        <v>390</v>
      </c>
      <c r="F703" s="235" t="s">
        <v>503</v>
      </c>
      <c r="G703" s="238">
        <v>3.0</v>
      </c>
      <c r="H703" s="238">
        <v>0.0</v>
      </c>
      <c r="I703" s="238">
        <v>0.0</v>
      </c>
      <c r="J703" s="238">
        <v>0.0</v>
      </c>
      <c r="K703" s="238">
        <v>0.0</v>
      </c>
      <c r="L703" s="238">
        <v>0.0</v>
      </c>
      <c r="M703" s="238">
        <v>0.0</v>
      </c>
      <c r="N703" s="238">
        <v>0.0</v>
      </c>
      <c r="O703" s="238">
        <v>0.0</v>
      </c>
      <c r="P703" s="238">
        <v>0.0</v>
      </c>
      <c r="Q703" s="238">
        <v>0.0</v>
      </c>
      <c r="R703" s="238">
        <v>0.0</v>
      </c>
      <c r="S703" s="238">
        <v>3.0</v>
      </c>
      <c r="T703" s="238">
        <v>0.0</v>
      </c>
      <c r="U703" s="235" t="s">
        <v>156</v>
      </c>
    </row>
    <row r="704">
      <c r="A704" s="250">
        <v>46228.0</v>
      </c>
      <c r="B704" s="235" t="s">
        <v>3154</v>
      </c>
      <c r="C704" s="235" t="s">
        <v>389</v>
      </c>
      <c r="D704" s="235" t="s">
        <v>153</v>
      </c>
      <c r="E704" s="235" t="s">
        <v>390</v>
      </c>
      <c r="F704" s="235" t="s">
        <v>503</v>
      </c>
      <c r="G704" s="238">
        <v>3.0</v>
      </c>
      <c r="H704" s="238">
        <v>0.0</v>
      </c>
      <c r="I704" s="238">
        <v>0.0</v>
      </c>
      <c r="J704" s="238">
        <v>0.0</v>
      </c>
      <c r="K704" s="238">
        <v>0.0</v>
      </c>
      <c r="L704" s="238">
        <v>0.0</v>
      </c>
      <c r="M704" s="238">
        <v>0.0</v>
      </c>
      <c r="N704" s="238">
        <v>0.0</v>
      </c>
      <c r="O704" s="238">
        <v>0.0</v>
      </c>
      <c r="P704" s="238">
        <v>0.0</v>
      </c>
      <c r="Q704" s="238">
        <v>0.0</v>
      </c>
      <c r="R704" s="238">
        <v>0.0</v>
      </c>
      <c r="S704" s="238">
        <v>3.0</v>
      </c>
      <c r="T704" s="238">
        <v>0.0</v>
      </c>
      <c r="U704" s="235" t="s">
        <v>546</v>
      </c>
    </row>
    <row r="705">
      <c r="A705" s="250">
        <v>46228.0</v>
      </c>
      <c r="B705" s="235" t="s">
        <v>3188</v>
      </c>
      <c r="C705" s="235" t="s">
        <v>472</v>
      </c>
      <c r="D705" s="235" t="s">
        <v>152</v>
      </c>
      <c r="E705" s="235" t="s">
        <v>3192</v>
      </c>
      <c r="F705" s="235" t="s">
        <v>503</v>
      </c>
      <c r="G705" s="238">
        <v>3.0</v>
      </c>
      <c r="H705" s="238">
        <v>0.0</v>
      </c>
      <c r="I705" s="238">
        <v>0.0</v>
      </c>
      <c r="J705" s="238">
        <v>0.0</v>
      </c>
      <c r="K705" s="238">
        <v>0.0</v>
      </c>
      <c r="L705" s="238">
        <v>0.0</v>
      </c>
      <c r="M705" s="238">
        <v>0.0</v>
      </c>
      <c r="N705" s="238">
        <v>0.0</v>
      </c>
      <c r="O705" s="238">
        <v>0.0</v>
      </c>
      <c r="P705" s="238">
        <v>0.0</v>
      </c>
      <c r="Q705" s="238">
        <v>0.0</v>
      </c>
      <c r="R705" s="238">
        <v>0.0</v>
      </c>
      <c r="S705" s="238">
        <v>3.0</v>
      </c>
      <c r="T705" s="238">
        <v>0.0</v>
      </c>
      <c r="U705" s="235" t="s">
        <v>5</v>
      </c>
    </row>
    <row r="706">
      <c r="A706" s="250">
        <v>46228.0</v>
      </c>
      <c r="B706" s="235" t="s">
        <v>3188</v>
      </c>
      <c r="C706" s="235" t="s">
        <v>472</v>
      </c>
      <c r="D706" s="235" t="s">
        <v>152</v>
      </c>
      <c r="E706" s="235" t="s">
        <v>3192</v>
      </c>
      <c r="F706" s="235" t="s">
        <v>503</v>
      </c>
      <c r="G706" s="238">
        <v>1.0</v>
      </c>
      <c r="H706" s="238">
        <v>0.0</v>
      </c>
      <c r="I706" s="238">
        <v>0.0</v>
      </c>
      <c r="J706" s="238">
        <v>0.0</v>
      </c>
      <c r="K706" s="238">
        <v>0.0</v>
      </c>
      <c r="L706" s="238">
        <v>0.0</v>
      </c>
      <c r="M706" s="238">
        <v>0.0</v>
      </c>
      <c r="N706" s="238">
        <v>0.0</v>
      </c>
      <c r="O706" s="238">
        <v>0.0</v>
      </c>
      <c r="P706" s="238">
        <v>0.0</v>
      </c>
      <c r="Q706" s="238">
        <v>0.0</v>
      </c>
      <c r="R706" s="238">
        <v>0.0</v>
      </c>
      <c r="S706" s="238">
        <v>1.0</v>
      </c>
      <c r="T706" s="238">
        <v>0.0</v>
      </c>
      <c r="U706" s="235" t="s">
        <v>11</v>
      </c>
    </row>
    <row r="707">
      <c r="A707" s="250">
        <v>46228.0</v>
      </c>
      <c r="B707" s="235" t="s">
        <v>3188</v>
      </c>
      <c r="C707" s="235" t="s">
        <v>472</v>
      </c>
      <c r="D707" s="235" t="s">
        <v>152</v>
      </c>
      <c r="E707" s="235" t="s">
        <v>3192</v>
      </c>
      <c r="F707" s="235" t="s">
        <v>503</v>
      </c>
      <c r="G707" s="238">
        <v>1.0</v>
      </c>
      <c r="H707" s="238">
        <v>0.0</v>
      </c>
      <c r="I707" s="238">
        <v>0.0</v>
      </c>
      <c r="J707" s="238">
        <v>0.0</v>
      </c>
      <c r="K707" s="238">
        <v>0.0</v>
      </c>
      <c r="L707" s="238">
        <v>0.0</v>
      </c>
      <c r="M707" s="238">
        <v>0.0</v>
      </c>
      <c r="N707" s="238">
        <v>0.0</v>
      </c>
      <c r="O707" s="238">
        <v>0.0</v>
      </c>
      <c r="P707" s="238">
        <v>0.0</v>
      </c>
      <c r="Q707" s="238">
        <v>0.0</v>
      </c>
      <c r="R707" s="238">
        <v>0.0</v>
      </c>
      <c r="S707" s="238">
        <v>1.0</v>
      </c>
      <c r="T707" s="238">
        <v>0.0</v>
      </c>
      <c r="U707" s="235" t="s">
        <v>20</v>
      </c>
    </row>
    <row r="708">
      <c r="A708" s="250">
        <v>46228.0</v>
      </c>
      <c r="B708" s="235" t="s">
        <v>3188</v>
      </c>
      <c r="C708" s="235" t="s">
        <v>472</v>
      </c>
      <c r="D708" s="235" t="s">
        <v>152</v>
      </c>
      <c r="E708" s="235" t="s">
        <v>3192</v>
      </c>
      <c r="F708" s="235" t="s">
        <v>503</v>
      </c>
      <c r="G708" s="238">
        <v>1.0</v>
      </c>
      <c r="H708" s="238">
        <v>0.0</v>
      </c>
      <c r="I708" s="238">
        <v>0.0</v>
      </c>
      <c r="J708" s="238">
        <v>0.0</v>
      </c>
      <c r="K708" s="238">
        <v>0.0</v>
      </c>
      <c r="L708" s="238">
        <v>0.0</v>
      </c>
      <c r="M708" s="238">
        <v>0.0</v>
      </c>
      <c r="N708" s="238">
        <v>0.0</v>
      </c>
      <c r="O708" s="238">
        <v>0.0</v>
      </c>
      <c r="P708" s="238">
        <v>0.0</v>
      </c>
      <c r="Q708" s="238">
        <v>0.0</v>
      </c>
      <c r="R708" s="238">
        <v>0.0</v>
      </c>
      <c r="S708" s="238">
        <v>1.0</v>
      </c>
      <c r="T708" s="238">
        <v>0.0</v>
      </c>
      <c r="U708" s="235" t="s">
        <v>546</v>
      </c>
    </row>
    <row r="709">
      <c r="A709" s="250">
        <v>46228.0</v>
      </c>
      <c r="B709" s="235" t="s">
        <v>3210</v>
      </c>
      <c r="C709" s="235" t="s">
        <v>539</v>
      </c>
      <c r="D709" s="235" t="s">
        <v>541</v>
      </c>
      <c r="E709" s="235" t="s">
        <v>664</v>
      </c>
      <c r="F709" s="235" t="s">
        <v>514</v>
      </c>
      <c r="G709" s="238">
        <v>2.0</v>
      </c>
      <c r="H709" s="238">
        <v>0.0</v>
      </c>
      <c r="I709" s="238">
        <v>0.0</v>
      </c>
      <c r="J709" s="238">
        <v>0.0</v>
      </c>
      <c r="K709" s="238">
        <v>0.0</v>
      </c>
      <c r="L709" s="238">
        <v>0.0</v>
      </c>
      <c r="M709" s="238">
        <v>0.0</v>
      </c>
      <c r="N709" s="238">
        <v>0.0</v>
      </c>
      <c r="O709" s="238">
        <v>0.0</v>
      </c>
      <c r="P709" s="238">
        <v>0.0</v>
      </c>
      <c r="Q709" s="238">
        <v>0.0</v>
      </c>
      <c r="R709" s="238">
        <v>0.0</v>
      </c>
      <c r="S709" s="238">
        <v>0.0</v>
      </c>
      <c r="T709" s="238">
        <v>0.0</v>
      </c>
      <c r="U709" s="235" t="s">
        <v>5</v>
      </c>
    </row>
    <row r="710">
      <c r="A710" s="250">
        <v>46228.0</v>
      </c>
      <c r="B710" s="235" t="s">
        <v>3210</v>
      </c>
      <c r="C710" s="235" t="s">
        <v>539</v>
      </c>
      <c r="D710" s="235" t="s">
        <v>541</v>
      </c>
      <c r="E710" s="235" t="s">
        <v>664</v>
      </c>
      <c r="F710" s="235" t="s">
        <v>503</v>
      </c>
      <c r="G710" s="238">
        <v>7.0</v>
      </c>
      <c r="H710" s="238">
        <v>0.0</v>
      </c>
      <c r="I710" s="238">
        <v>0.0</v>
      </c>
      <c r="J710" s="238">
        <v>0.0</v>
      </c>
      <c r="K710" s="238">
        <v>0.0</v>
      </c>
      <c r="L710" s="238">
        <v>0.0</v>
      </c>
      <c r="M710" s="238">
        <v>0.0</v>
      </c>
      <c r="N710" s="238">
        <v>0.0</v>
      </c>
      <c r="O710" s="238">
        <v>0.0</v>
      </c>
      <c r="P710" s="238">
        <v>0.0</v>
      </c>
      <c r="Q710" s="238">
        <v>0.0</v>
      </c>
      <c r="R710" s="238">
        <v>0.0</v>
      </c>
      <c r="S710" s="238">
        <v>7.0</v>
      </c>
      <c r="T710" s="238">
        <v>0.0</v>
      </c>
      <c r="U710" s="235" t="s">
        <v>5</v>
      </c>
    </row>
    <row r="711">
      <c r="A711" s="250">
        <v>46228.0</v>
      </c>
      <c r="B711" s="235" t="s">
        <v>3210</v>
      </c>
      <c r="C711" s="235" t="s">
        <v>539</v>
      </c>
      <c r="D711" s="235" t="s">
        <v>541</v>
      </c>
      <c r="E711" s="235" t="s">
        <v>664</v>
      </c>
      <c r="F711" s="235" t="s">
        <v>503</v>
      </c>
      <c r="G711" s="238">
        <v>3.0</v>
      </c>
      <c r="H711" s="238">
        <v>0.0</v>
      </c>
      <c r="I711" s="238">
        <v>0.0</v>
      </c>
      <c r="J711" s="238">
        <v>0.0</v>
      </c>
      <c r="K711" s="238">
        <v>0.0</v>
      </c>
      <c r="L711" s="238">
        <v>0.0</v>
      </c>
      <c r="M711" s="238">
        <v>0.0</v>
      </c>
      <c r="N711" s="238">
        <v>0.0</v>
      </c>
      <c r="O711" s="238">
        <v>0.0</v>
      </c>
      <c r="P711" s="238">
        <v>0.0</v>
      </c>
      <c r="Q711" s="238">
        <v>0.0</v>
      </c>
      <c r="R711" s="238">
        <v>0.0</v>
      </c>
      <c r="S711" s="238">
        <v>3.0</v>
      </c>
      <c r="T711" s="238">
        <v>0.0</v>
      </c>
      <c r="U711" s="235" t="s">
        <v>9</v>
      </c>
    </row>
    <row r="712">
      <c r="A712" s="250">
        <v>46228.0</v>
      </c>
      <c r="B712" s="235" t="s">
        <v>3210</v>
      </c>
      <c r="C712" s="235" t="s">
        <v>539</v>
      </c>
      <c r="D712" s="235" t="s">
        <v>541</v>
      </c>
      <c r="E712" s="235" t="s">
        <v>664</v>
      </c>
      <c r="F712" s="235" t="s">
        <v>503</v>
      </c>
      <c r="G712" s="238">
        <v>35.0</v>
      </c>
      <c r="H712" s="238">
        <v>0.0</v>
      </c>
      <c r="I712" s="238">
        <v>0.0</v>
      </c>
      <c r="J712" s="238">
        <v>0.0</v>
      </c>
      <c r="K712" s="238">
        <v>0.0</v>
      </c>
      <c r="L712" s="238">
        <v>0.0</v>
      </c>
      <c r="M712" s="238">
        <v>0.0</v>
      </c>
      <c r="N712" s="238">
        <v>0.0</v>
      </c>
      <c r="O712" s="238">
        <v>0.0</v>
      </c>
      <c r="P712" s="238">
        <v>0.0</v>
      </c>
      <c r="Q712" s="238">
        <v>0.0</v>
      </c>
      <c r="R712" s="238">
        <v>0.0</v>
      </c>
      <c r="S712" s="238">
        <v>35.0</v>
      </c>
      <c r="T712" s="238">
        <v>0.0</v>
      </c>
      <c r="U712" s="235" t="s">
        <v>11</v>
      </c>
    </row>
    <row r="713">
      <c r="A713" s="250">
        <v>46228.0</v>
      </c>
      <c r="B713" s="235" t="s">
        <v>3210</v>
      </c>
      <c r="C713" s="235" t="s">
        <v>539</v>
      </c>
      <c r="D713" s="235" t="s">
        <v>541</v>
      </c>
      <c r="E713" s="235" t="s">
        <v>664</v>
      </c>
      <c r="F713" s="235" t="s">
        <v>503</v>
      </c>
      <c r="G713" s="238">
        <v>10.0</v>
      </c>
      <c r="H713" s="238">
        <v>0.0</v>
      </c>
      <c r="I713" s="238">
        <v>0.0</v>
      </c>
      <c r="J713" s="238">
        <v>0.0</v>
      </c>
      <c r="K713" s="238">
        <v>0.0</v>
      </c>
      <c r="L713" s="238">
        <v>0.0</v>
      </c>
      <c r="M713" s="238">
        <v>0.0</v>
      </c>
      <c r="N713" s="238">
        <v>0.0</v>
      </c>
      <c r="O713" s="238">
        <v>0.0</v>
      </c>
      <c r="P713" s="238">
        <v>0.0</v>
      </c>
      <c r="Q713" s="238">
        <v>0.0</v>
      </c>
      <c r="R713" s="238">
        <v>0.0</v>
      </c>
      <c r="S713" s="238">
        <v>10.0</v>
      </c>
      <c r="T713" s="238">
        <v>0.0</v>
      </c>
      <c r="U713" s="235" t="s">
        <v>16</v>
      </c>
    </row>
    <row r="714">
      <c r="A714" s="250">
        <v>46228.0</v>
      </c>
      <c r="B714" s="235" t="s">
        <v>3210</v>
      </c>
      <c r="C714" s="235" t="s">
        <v>539</v>
      </c>
      <c r="D714" s="235" t="s">
        <v>541</v>
      </c>
      <c r="E714" s="235" t="s">
        <v>664</v>
      </c>
      <c r="F714" s="235" t="s">
        <v>503</v>
      </c>
      <c r="G714" s="238">
        <v>5.0</v>
      </c>
      <c r="H714" s="238">
        <v>0.0</v>
      </c>
      <c r="I714" s="238">
        <v>0.0</v>
      </c>
      <c r="J714" s="238">
        <v>0.0</v>
      </c>
      <c r="K714" s="238">
        <v>0.0</v>
      </c>
      <c r="L714" s="238">
        <v>0.0</v>
      </c>
      <c r="M714" s="238">
        <v>0.0</v>
      </c>
      <c r="N714" s="238">
        <v>0.0</v>
      </c>
      <c r="O714" s="238">
        <v>0.0</v>
      </c>
      <c r="P714" s="238">
        <v>0.0</v>
      </c>
      <c r="Q714" s="238">
        <v>0.0</v>
      </c>
      <c r="R714" s="238">
        <v>0.0</v>
      </c>
      <c r="S714" s="238">
        <v>5.0</v>
      </c>
      <c r="T714" s="238">
        <v>0.0</v>
      </c>
      <c r="U714" s="235" t="s">
        <v>17</v>
      </c>
    </row>
    <row r="715">
      <c r="A715" s="250">
        <v>46228.0</v>
      </c>
      <c r="B715" s="235" t="s">
        <v>3210</v>
      </c>
      <c r="C715" s="235" t="s">
        <v>539</v>
      </c>
      <c r="D715" s="235" t="s">
        <v>541</v>
      </c>
      <c r="E715" s="235" t="s">
        <v>664</v>
      </c>
      <c r="F715" s="235" t="s">
        <v>503</v>
      </c>
      <c r="G715" s="238">
        <v>22.0</v>
      </c>
      <c r="H715" s="238">
        <v>0.0</v>
      </c>
      <c r="I715" s="238">
        <v>0.0</v>
      </c>
      <c r="J715" s="238">
        <v>0.0</v>
      </c>
      <c r="K715" s="238">
        <v>0.0</v>
      </c>
      <c r="L715" s="238">
        <v>0.0</v>
      </c>
      <c r="M715" s="238">
        <v>0.0</v>
      </c>
      <c r="N715" s="238">
        <v>0.0</v>
      </c>
      <c r="O715" s="238">
        <v>0.0</v>
      </c>
      <c r="P715" s="238">
        <v>0.0</v>
      </c>
      <c r="Q715" s="238">
        <v>0.0</v>
      </c>
      <c r="R715" s="238">
        <v>0.0</v>
      </c>
      <c r="S715" s="238">
        <v>22.0</v>
      </c>
      <c r="T715" s="238">
        <v>0.0</v>
      </c>
      <c r="U715" s="235" t="s">
        <v>155</v>
      </c>
    </row>
    <row r="716">
      <c r="A716" s="250">
        <v>46228.0</v>
      </c>
      <c r="B716" s="235" t="s">
        <v>3210</v>
      </c>
      <c r="C716" s="235" t="s">
        <v>539</v>
      </c>
      <c r="D716" s="235" t="s">
        <v>541</v>
      </c>
      <c r="E716" s="235" t="s">
        <v>664</v>
      </c>
      <c r="F716" s="235" t="s">
        <v>503</v>
      </c>
      <c r="G716" s="238">
        <v>2.0</v>
      </c>
      <c r="H716" s="238">
        <v>0.0</v>
      </c>
      <c r="I716" s="238">
        <v>0.0</v>
      </c>
      <c r="J716" s="238">
        <v>-1.0</v>
      </c>
      <c r="K716" s="238">
        <v>0.0</v>
      </c>
      <c r="L716" s="238">
        <v>0.0</v>
      </c>
      <c r="M716" s="238">
        <v>0.0</v>
      </c>
      <c r="N716" s="238">
        <v>0.0</v>
      </c>
      <c r="O716" s="238">
        <v>0.0</v>
      </c>
      <c r="P716" s="238">
        <v>0.0</v>
      </c>
      <c r="Q716" s="238">
        <v>0.0</v>
      </c>
      <c r="R716" s="238">
        <v>0.0</v>
      </c>
      <c r="S716" s="238">
        <v>1.0</v>
      </c>
      <c r="T716" s="238">
        <v>0.0</v>
      </c>
      <c r="U716" s="235" t="s">
        <v>533</v>
      </c>
    </row>
    <row r="717">
      <c r="A717" s="250">
        <v>46228.0</v>
      </c>
      <c r="B717" s="235" t="s">
        <v>3210</v>
      </c>
      <c r="C717" s="235" t="s">
        <v>539</v>
      </c>
      <c r="D717" s="235" t="s">
        <v>541</v>
      </c>
      <c r="E717" s="235" t="s">
        <v>664</v>
      </c>
      <c r="F717" s="235" t="s">
        <v>503</v>
      </c>
      <c r="G717" s="238">
        <v>10.0</v>
      </c>
      <c r="H717" s="238">
        <v>0.0</v>
      </c>
      <c r="I717" s="238">
        <v>0.0</v>
      </c>
      <c r="J717" s="238">
        <v>0.0</v>
      </c>
      <c r="K717" s="238">
        <v>0.0</v>
      </c>
      <c r="L717" s="238">
        <v>0.0</v>
      </c>
      <c r="M717" s="238">
        <v>0.0</v>
      </c>
      <c r="N717" s="238">
        <v>0.0</v>
      </c>
      <c r="O717" s="238">
        <v>0.0</v>
      </c>
      <c r="P717" s="238">
        <v>0.0</v>
      </c>
      <c r="Q717" s="238">
        <v>0.0</v>
      </c>
      <c r="R717" s="238">
        <v>0.0</v>
      </c>
      <c r="S717" s="238">
        <v>10.0</v>
      </c>
      <c r="T717" s="238">
        <v>0.0</v>
      </c>
      <c r="U717" s="235" t="s">
        <v>18</v>
      </c>
    </row>
    <row r="718">
      <c r="A718" s="250">
        <v>46228.0</v>
      </c>
      <c r="B718" s="235" t="s">
        <v>3210</v>
      </c>
      <c r="C718" s="235" t="s">
        <v>539</v>
      </c>
      <c r="D718" s="235" t="s">
        <v>541</v>
      </c>
      <c r="E718" s="235" t="s">
        <v>664</v>
      </c>
      <c r="F718" s="235" t="s">
        <v>503</v>
      </c>
      <c r="G718" s="238">
        <v>34.0</v>
      </c>
      <c r="H718" s="238">
        <v>0.0</v>
      </c>
      <c r="I718" s="238">
        <v>0.0</v>
      </c>
      <c r="J718" s="238">
        <v>0.0</v>
      </c>
      <c r="K718" s="238">
        <v>0.0</v>
      </c>
      <c r="L718" s="238">
        <v>0.0</v>
      </c>
      <c r="M718" s="238">
        <v>0.0</v>
      </c>
      <c r="N718" s="238">
        <v>0.0</v>
      </c>
      <c r="O718" s="238">
        <v>0.0</v>
      </c>
      <c r="P718" s="238">
        <v>0.0</v>
      </c>
      <c r="Q718" s="238">
        <v>0.0</v>
      </c>
      <c r="R718" s="238">
        <v>0.0</v>
      </c>
      <c r="S718" s="238">
        <v>34.0</v>
      </c>
      <c r="T718" s="238">
        <v>0.0</v>
      </c>
      <c r="U718" s="235" t="s">
        <v>20</v>
      </c>
    </row>
    <row r="719">
      <c r="A719" s="250">
        <v>46228.0</v>
      </c>
      <c r="B719" s="235" t="s">
        <v>3210</v>
      </c>
      <c r="C719" s="235" t="s">
        <v>539</v>
      </c>
      <c r="D719" s="235" t="s">
        <v>541</v>
      </c>
      <c r="E719" s="235" t="s">
        <v>664</v>
      </c>
      <c r="F719" s="235" t="s">
        <v>503</v>
      </c>
      <c r="G719" s="238">
        <v>22.0</v>
      </c>
      <c r="H719" s="238">
        <v>0.0</v>
      </c>
      <c r="I719" s="238">
        <v>0.0</v>
      </c>
      <c r="J719" s="238">
        <v>0.0</v>
      </c>
      <c r="K719" s="238">
        <v>0.0</v>
      </c>
      <c r="L719" s="238">
        <v>0.0</v>
      </c>
      <c r="M719" s="238">
        <v>0.0</v>
      </c>
      <c r="N719" s="238">
        <v>0.0</v>
      </c>
      <c r="O719" s="238">
        <v>0.0</v>
      </c>
      <c r="P719" s="238">
        <v>0.0</v>
      </c>
      <c r="Q719" s="238">
        <v>0.0</v>
      </c>
      <c r="R719" s="238">
        <v>0.0</v>
      </c>
      <c r="S719" s="238">
        <v>22.0</v>
      </c>
      <c r="T719" s="238">
        <v>0.0</v>
      </c>
      <c r="U719" s="235" t="s">
        <v>156</v>
      </c>
    </row>
    <row r="720">
      <c r="A720" s="250">
        <v>46228.0</v>
      </c>
      <c r="B720" s="235" t="s">
        <v>3259</v>
      </c>
      <c r="C720" s="235" t="s">
        <v>564</v>
      </c>
      <c r="D720" s="235" t="s">
        <v>566</v>
      </c>
      <c r="E720" s="235" t="s">
        <v>1834</v>
      </c>
      <c r="F720" s="235" t="s">
        <v>503</v>
      </c>
      <c r="G720" s="238">
        <v>23.0</v>
      </c>
      <c r="H720" s="238">
        <v>0.0</v>
      </c>
      <c r="I720" s="238">
        <v>0.0</v>
      </c>
      <c r="J720" s="238">
        <v>0.0</v>
      </c>
      <c r="K720" s="238">
        <v>0.0</v>
      </c>
      <c r="L720" s="238">
        <v>0.0</v>
      </c>
      <c r="M720" s="238">
        <v>0.0</v>
      </c>
      <c r="N720" s="238">
        <v>0.0</v>
      </c>
      <c r="O720" s="238">
        <v>0.0</v>
      </c>
      <c r="P720" s="238">
        <v>0.0</v>
      </c>
      <c r="Q720" s="238">
        <v>0.0</v>
      </c>
      <c r="R720" s="238">
        <v>0.0</v>
      </c>
      <c r="S720" s="238">
        <v>23.0</v>
      </c>
      <c r="T720" s="238">
        <v>0.0</v>
      </c>
      <c r="U720" s="235" t="s">
        <v>11</v>
      </c>
    </row>
    <row r="721">
      <c r="A721" s="250">
        <v>46228.0</v>
      </c>
      <c r="B721" s="235" t="s">
        <v>3259</v>
      </c>
      <c r="C721" s="235" t="s">
        <v>564</v>
      </c>
      <c r="D721" s="235" t="s">
        <v>566</v>
      </c>
      <c r="E721" s="235" t="s">
        <v>1834</v>
      </c>
      <c r="F721" s="235" t="s">
        <v>503</v>
      </c>
      <c r="G721" s="238">
        <v>12.0</v>
      </c>
      <c r="H721" s="238">
        <v>0.0</v>
      </c>
      <c r="I721" s="238">
        <v>0.0</v>
      </c>
      <c r="J721" s="238">
        <v>-1.0</v>
      </c>
      <c r="K721" s="238">
        <v>0.0</v>
      </c>
      <c r="L721" s="238">
        <v>0.0</v>
      </c>
      <c r="M721" s="238">
        <v>0.0</v>
      </c>
      <c r="N721" s="238">
        <v>0.0</v>
      </c>
      <c r="O721" s="238">
        <v>0.0</v>
      </c>
      <c r="P721" s="238">
        <v>0.0</v>
      </c>
      <c r="Q721" s="238">
        <v>0.0</v>
      </c>
      <c r="R721" s="238">
        <v>0.0</v>
      </c>
      <c r="S721" s="238">
        <v>11.0</v>
      </c>
      <c r="T721" s="238">
        <v>0.0</v>
      </c>
      <c r="U721" s="235" t="s">
        <v>155</v>
      </c>
    </row>
    <row r="722">
      <c r="A722" s="250">
        <v>46228.0</v>
      </c>
      <c r="B722" s="235" t="s">
        <v>3259</v>
      </c>
      <c r="C722" s="235" t="s">
        <v>564</v>
      </c>
      <c r="D722" s="235" t="s">
        <v>566</v>
      </c>
      <c r="E722" s="235" t="s">
        <v>1834</v>
      </c>
      <c r="F722" s="235" t="s">
        <v>503</v>
      </c>
      <c r="G722" s="238">
        <v>18.0</v>
      </c>
      <c r="H722" s="238">
        <v>0.0</v>
      </c>
      <c r="I722" s="238">
        <v>0.0</v>
      </c>
      <c r="J722" s="238">
        <v>0.0</v>
      </c>
      <c r="K722" s="238">
        <v>0.0</v>
      </c>
      <c r="L722" s="238">
        <v>0.0</v>
      </c>
      <c r="M722" s="238">
        <v>0.0</v>
      </c>
      <c r="N722" s="238">
        <v>0.0</v>
      </c>
      <c r="O722" s="238">
        <v>0.0</v>
      </c>
      <c r="P722" s="238">
        <v>0.0</v>
      </c>
      <c r="Q722" s="238">
        <v>0.0</v>
      </c>
      <c r="R722" s="238">
        <v>0.0</v>
      </c>
      <c r="S722" s="238">
        <v>18.0</v>
      </c>
      <c r="T722" s="238">
        <v>0.0</v>
      </c>
      <c r="U722" s="235" t="s">
        <v>18</v>
      </c>
    </row>
    <row r="723">
      <c r="A723" s="250">
        <v>46228.0</v>
      </c>
      <c r="B723" s="235" t="s">
        <v>3259</v>
      </c>
      <c r="C723" s="235" t="s">
        <v>564</v>
      </c>
      <c r="D723" s="235" t="s">
        <v>566</v>
      </c>
      <c r="E723" s="235" t="s">
        <v>1834</v>
      </c>
      <c r="F723" s="235" t="s">
        <v>503</v>
      </c>
      <c r="G723" s="238">
        <v>33.0</v>
      </c>
      <c r="H723" s="238">
        <v>0.0</v>
      </c>
      <c r="I723" s="238">
        <v>0.0</v>
      </c>
      <c r="J723" s="238">
        <v>0.0</v>
      </c>
      <c r="K723" s="238">
        <v>0.0</v>
      </c>
      <c r="L723" s="238">
        <v>0.0</v>
      </c>
      <c r="M723" s="238">
        <v>0.0</v>
      </c>
      <c r="N723" s="238">
        <v>0.0</v>
      </c>
      <c r="O723" s="238">
        <v>0.0</v>
      </c>
      <c r="P723" s="238">
        <v>0.0</v>
      </c>
      <c r="Q723" s="238">
        <v>0.0</v>
      </c>
      <c r="R723" s="238">
        <v>0.0</v>
      </c>
      <c r="S723" s="238">
        <v>33.0</v>
      </c>
      <c r="T723" s="238">
        <v>0.0</v>
      </c>
      <c r="U723" s="235" t="s">
        <v>20</v>
      </c>
    </row>
    <row r="724">
      <c r="A724" s="250">
        <v>46228.0</v>
      </c>
      <c r="B724" s="235" t="s">
        <v>3259</v>
      </c>
      <c r="C724" s="235" t="s">
        <v>564</v>
      </c>
      <c r="D724" s="235" t="s">
        <v>566</v>
      </c>
      <c r="E724" s="235" t="s">
        <v>1834</v>
      </c>
      <c r="F724" s="235" t="s">
        <v>503</v>
      </c>
      <c r="G724" s="238">
        <v>12.0</v>
      </c>
      <c r="H724" s="238">
        <v>0.0</v>
      </c>
      <c r="I724" s="238">
        <v>0.0</v>
      </c>
      <c r="J724" s="238">
        <v>0.0</v>
      </c>
      <c r="K724" s="238">
        <v>0.0</v>
      </c>
      <c r="L724" s="238">
        <v>0.0</v>
      </c>
      <c r="M724" s="238">
        <v>0.0</v>
      </c>
      <c r="N724" s="238">
        <v>0.0</v>
      </c>
      <c r="O724" s="238">
        <v>0.0</v>
      </c>
      <c r="P724" s="238">
        <v>0.0</v>
      </c>
      <c r="Q724" s="238">
        <v>0.0</v>
      </c>
      <c r="R724" s="238">
        <v>0.0</v>
      </c>
      <c r="S724" s="238">
        <v>12.0</v>
      </c>
      <c r="T724" s="238">
        <v>0.0</v>
      </c>
      <c r="U724" s="235" t="s">
        <v>156</v>
      </c>
    </row>
    <row r="725">
      <c r="A725" s="250">
        <v>46228.0</v>
      </c>
      <c r="B725" s="235" t="s">
        <v>3282</v>
      </c>
      <c r="C725" s="235" t="s">
        <v>3283</v>
      </c>
      <c r="D725" s="235" t="s">
        <v>717</v>
      </c>
      <c r="E725" s="235" t="s">
        <v>718</v>
      </c>
      <c r="F725" s="235" t="s">
        <v>514</v>
      </c>
      <c r="G725" s="238">
        <v>1.0</v>
      </c>
      <c r="H725" s="238">
        <v>0.0</v>
      </c>
      <c r="I725" s="238">
        <v>0.0</v>
      </c>
      <c r="J725" s="238">
        <v>0.0</v>
      </c>
      <c r="K725" s="238">
        <v>0.0</v>
      </c>
      <c r="L725" s="238">
        <v>0.0</v>
      </c>
      <c r="M725" s="238">
        <v>0.0</v>
      </c>
      <c r="N725" s="238">
        <v>0.0</v>
      </c>
      <c r="O725" s="238">
        <v>0.0</v>
      </c>
      <c r="P725" s="238">
        <v>0.0</v>
      </c>
      <c r="Q725" s="238">
        <v>0.0</v>
      </c>
      <c r="R725" s="238">
        <v>0.0</v>
      </c>
      <c r="S725" s="238">
        <v>0.0</v>
      </c>
      <c r="T725" s="238">
        <v>0.0</v>
      </c>
      <c r="U725" s="235" t="s">
        <v>13</v>
      </c>
    </row>
    <row r="726">
      <c r="A726" s="250">
        <v>46228.0</v>
      </c>
      <c r="B726" s="235" t="s">
        <v>3282</v>
      </c>
      <c r="C726" s="235" t="s">
        <v>3283</v>
      </c>
      <c r="D726" s="235" t="s">
        <v>717</v>
      </c>
      <c r="E726" s="235" t="s">
        <v>718</v>
      </c>
      <c r="F726" s="235" t="s">
        <v>503</v>
      </c>
      <c r="G726" s="238">
        <v>2.0</v>
      </c>
      <c r="H726" s="238">
        <v>0.0</v>
      </c>
      <c r="I726" s="238">
        <v>0.0</v>
      </c>
      <c r="J726" s="238">
        <v>0.0</v>
      </c>
      <c r="K726" s="238">
        <v>0.0</v>
      </c>
      <c r="L726" s="238">
        <v>0.0</v>
      </c>
      <c r="M726" s="238">
        <v>0.0</v>
      </c>
      <c r="N726" s="238">
        <v>0.0</v>
      </c>
      <c r="O726" s="238">
        <v>0.0</v>
      </c>
      <c r="P726" s="238">
        <v>0.0</v>
      </c>
      <c r="Q726" s="238">
        <v>0.0</v>
      </c>
      <c r="R726" s="238">
        <v>0.0</v>
      </c>
      <c r="S726" s="238">
        <v>2.0</v>
      </c>
      <c r="T726" s="238">
        <v>0.0</v>
      </c>
      <c r="U726" s="235" t="s">
        <v>5</v>
      </c>
    </row>
    <row r="727">
      <c r="A727" s="250">
        <v>46228.0</v>
      </c>
      <c r="B727" s="235" t="s">
        <v>3282</v>
      </c>
      <c r="C727" s="235" t="s">
        <v>3283</v>
      </c>
      <c r="D727" s="235" t="s">
        <v>717</v>
      </c>
      <c r="E727" s="235" t="s">
        <v>718</v>
      </c>
      <c r="F727" s="235" t="s">
        <v>503</v>
      </c>
      <c r="G727" s="238">
        <v>0.0</v>
      </c>
      <c r="H727" s="238">
        <v>5.0</v>
      </c>
      <c r="I727" s="238">
        <v>0.0</v>
      </c>
      <c r="J727" s="238">
        <v>0.0</v>
      </c>
      <c r="K727" s="238">
        <v>0.0</v>
      </c>
      <c r="L727" s="238">
        <v>0.0</v>
      </c>
      <c r="M727" s="238">
        <v>0.0</v>
      </c>
      <c r="N727" s="238">
        <v>0.0</v>
      </c>
      <c r="O727" s="238">
        <v>0.0</v>
      </c>
      <c r="P727" s="238">
        <v>0.0</v>
      </c>
      <c r="Q727" s="238">
        <v>0.0</v>
      </c>
      <c r="R727" s="238">
        <v>0.0</v>
      </c>
      <c r="S727" s="238">
        <v>0.0</v>
      </c>
      <c r="T727" s="238">
        <v>0.0</v>
      </c>
      <c r="U727" s="235" t="s">
        <v>596</v>
      </c>
    </row>
    <row r="728">
      <c r="A728" s="250">
        <v>46228.0</v>
      </c>
      <c r="B728" s="235" t="s">
        <v>3282</v>
      </c>
      <c r="C728" s="235" t="s">
        <v>3283</v>
      </c>
      <c r="D728" s="235" t="s">
        <v>717</v>
      </c>
      <c r="E728" s="235" t="s">
        <v>718</v>
      </c>
      <c r="F728" s="235" t="s">
        <v>503</v>
      </c>
      <c r="G728" s="238">
        <v>3.0</v>
      </c>
      <c r="H728" s="238">
        <v>0.0</v>
      </c>
      <c r="I728" s="238">
        <v>0.0</v>
      </c>
      <c r="J728" s="238">
        <v>0.0</v>
      </c>
      <c r="K728" s="238">
        <v>0.0</v>
      </c>
      <c r="L728" s="238">
        <v>0.0</v>
      </c>
      <c r="M728" s="238">
        <v>0.0</v>
      </c>
      <c r="N728" s="238">
        <v>0.0</v>
      </c>
      <c r="O728" s="238">
        <v>0.0</v>
      </c>
      <c r="P728" s="238">
        <v>0.0</v>
      </c>
      <c r="Q728" s="238">
        <v>0.0</v>
      </c>
      <c r="R728" s="238">
        <v>0.0</v>
      </c>
      <c r="S728" s="238">
        <v>3.0</v>
      </c>
      <c r="T728" s="238">
        <v>0.0</v>
      </c>
      <c r="U728" s="235" t="s">
        <v>9</v>
      </c>
    </row>
    <row r="729">
      <c r="A729" s="250">
        <v>46228.0</v>
      </c>
      <c r="B729" s="235" t="s">
        <v>3282</v>
      </c>
      <c r="C729" s="235" t="s">
        <v>3283</v>
      </c>
      <c r="D729" s="235" t="s">
        <v>717</v>
      </c>
      <c r="E729" s="235" t="s">
        <v>718</v>
      </c>
      <c r="F729" s="235" t="s">
        <v>503</v>
      </c>
      <c r="G729" s="238">
        <v>5.0</v>
      </c>
      <c r="H729" s="238">
        <v>0.0</v>
      </c>
      <c r="I729" s="238">
        <v>0.0</v>
      </c>
      <c r="J729" s="238">
        <v>0.0</v>
      </c>
      <c r="K729" s="238">
        <v>0.0</v>
      </c>
      <c r="L729" s="238">
        <v>0.0</v>
      </c>
      <c r="M729" s="238">
        <v>0.0</v>
      </c>
      <c r="N729" s="238">
        <v>0.0</v>
      </c>
      <c r="O729" s="238">
        <v>0.0</v>
      </c>
      <c r="P729" s="238">
        <v>0.0</v>
      </c>
      <c r="Q729" s="238">
        <v>0.0</v>
      </c>
      <c r="R729" s="238">
        <v>0.0</v>
      </c>
      <c r="S729" s="238">
        <v>5.0</v>
      </c>
      <c r="T729" s="238">
        <v>0.0</v>
      </c>
      <c r="U729" s="235" t="s">
        <v>11</v>
      </c>
    </row>
    <row r="730">
      <c r="A730" s="250">
        <v>46228.0</v>
      </c>
      <c r="B730" s="235" t="s">
        <v>3282</v>
      </c>
      <c r="C730" s="235" t="s">
        <v>3283</v>
      </c>
      <c r="D730" s="235" t="s">
        <v>717</v>
      </c>
      <c r="E730" s="235" t="s">
        <v>718</v>
      </c>
      <c r="F730" s="235" t="s">
        <v>503</v>
      </c>
      <c r="G730" s="238">
        <v>9.0</v>
      </c>
      <c r="H730" s="238">
        <v>0.0</v>
      </c>
      <c r="I730" s="238">
        <v>0.0</v>
      </c>
      <c r="J730" s="238">
        <v>0.0</v>
      </c>
      <c r="K730" s="238">
        <v>0.0</v>
      </c>
      <c r="L730" s="238">
        <v>0.0</v>
      </c>
      <c r="M730" s="238">
        <v>6.0</v>
      </c>
      <c r="N730" s="238">
        <v>0.0</v>
      </c>
      <c r="O730" s="238">
        <v>0.0</v>
      </c>
      <c r="P730" s="238">
        <v>0.0</v>
      </c>
      <c r="Q730" s="238">
        <v>0.0</v>
      </c>
      <c r="R730" s="238">
        <v>0.0</v>
      </c>
      <c r="S730" s="238">
        <v>15.0</v>
      </c>
      <c r="T730" s="238">
        <v>0.0</v>
      </c>
      <c r="U730" s="235" t="s">
        <v>16</v>
      </c>
    </row>
    <row r="731">
      <c r="A731" s="250">
        <v>46228.0</v>
      </c>
      <c r="B731" s="235" t="s">
        <v>3282</v>
      </c>
      <c r="C731" s="235" t="s">
        <v>3283</v>
      </c>
      <c r="D731" s="235" t="s">
        <v>717</v>
      </c>
      <c r="E731" s="235" t="s">
        <v>718</v>
      </c>
      <c r="F731" s="235" t="s">
        <v>503</v>
      </c>
      <c r="G731" s="238">
        <v>4.0</v>
      </c>
      <c r="H731" s="238">
        <v>0.0</v>
      </c>
      <c r="I731" s="238">
        <v>0.0</v>
      </c>
      <c r="J731" s="238">
        <v>0.0</v>
      </c>
      <c r="K731" s="238">
        <v>0.0</v>
      </c>
      <c r="L731" s="238">
        <v>0.0</v>
      </c>
      <c r="M731" s="238">
        <v>0.0</v>
      </c>
      <c r="N731" s="238">
        <v>0.0</v>
      </c>
      <c r="O731" s="238">
        <v>0.0</v>
      </c>
      <c r="P731" s="238">
        <v>0.0</v>
      </c>
      <c r="Q731" s="238">
        <v>0.0</v>
      </c>
      <c r="R731" s="238">
        <v>0.0</v>
      </c>
      <c r="S731" s="238">
        <v>4.0</v>
      </c>
      <c r="T731" s="238">
        <v>0.0</v>
      </c>
      <c r="U731" s="235" t="s">
        <v>17</v>
      </c>
    </row>
    <row r="732">
      <c r="A732" s="250">
        <v>46228.0</v>
      </c>
      <c r="B732" s="235" t="s">
        <v>3282</v>
      </c>
      <c r="C732" s="235" t="s">
        <v>3283</v>
      </c>
      <c r="D732" s="235" t="s">
        <v>717</v>
      </c>
      <c r="E732" s="235" t="s">
        <v>718</v>
      </c>
      <c r="F732" s="235" t="s">
        <v>503</v>
      </c>
      <c r="G732" s="238">
        <v>2.0</v>
      </c>
      <c r="H732" s="238">
        <v>0.0</v>
      </c>
      <c r="I732" s="238">
        <v>0.0</v>
      </c>
      <c r="J732" s="238">
        <v>0.0</v>
      </c>
      <c r="K732" s="238">
        <v>0.0</v>
      </c>
      <c r="L732" s="238">
        <v>0.0</v>
      </c>
      <c r="M732" s="238">
        <v>0.0</v>
      </c>
      <c r="N732" s="238">
        <v>0.0</v>
      </c>
      <c r="O732" s="238">
        <v>0.0</v>
      </c>
      <c r="P732" s="238">
        <v>0.0</v>
      </c>
      <c r="Q732" s="238">
        <v>0.0</v>
      </c>
      <c r="R732" s="238">
        <v>0.0</v>
      </c>
      <c r="S732" s="238">
        <v>2.0</v>
      </c>
      <c r="T732" s="238">
        <v>0.0</v>
      </c>
      <c r="U732" s="235" t="s">
        <v>155</v>
      </c>
    </row>
    <row r="733">
      <c r="A733" s="250">
        <v>46228.0</v>
      </c>
      <c r="B733" s="235" t="s">
        <v>3282</v>
      </c>
      <c r="C733" s="235" t="s">
        <v>3283</v>
      </c>
      <c r="D733" s="235" t="s">
        <v>717</v>
      </c>
      <c r="E733" s="235" t="s">
        <v>718</v>
      </c>
      <c r="F733" s="235" t="s">
        <v>503</v>
      </c>
      <c r="G733" s="238">
        <v>3.0</v>
      </c>
      <c r="H733" s="238">
        <v>0.0</v>
      </c>
      <c r="I733" s="238">
        <v>0.0</v>
      </c>
      <c r="J733" s="238">
        <v>0.0</v>
      </c>
      <c r="K733" s="238">
        <v>0.0</v>
      </c>
      <c r="L733" s="238">
        <v>0.0</v>
      </c>
      <c r="M733" s="238">
        <v>0.0</v>
      </c>
      <c r="N733" s="238">
        <v>0.0</v>
      </c>
      <c r="O733" s="238">
        <v>0.0</v>
      </c>
      <c r="P733" s="238">
        <v>0.0</v>
      </c>
      <c r="Q733" s="238">
        <v>0.0</v>
      </c>
      <c r="R733" s="238">
        <v>0.0</v>
      </c>
      <c r="S733" s="238">
        <v>3.0</v>
      </c>
      <c r="T733" s="238">
        <v>0.0</v>
      </c>
      <c r="U733" s="235" t="s">
        <v>533</v>
      </c>
    </row>
    <row r="734">
      <c r="A734" s="250">
        <v>46228.0</v>
      </c>
      <c r="B734" s="235" t="s">
        <v>3282</v>
      </c>
      <c r="C734" s="235" t="s">
        <v>3283</v>
      </c>
      <c r="D734" s="235" t="s">
        <v>717</v>
      </c>
      <c r="E734" s="235" t="s">
        <v>718</v>
      </c>
      <c r="F734" s="235" t="s">
        <v>503</v>
      </c>
      <c r="G734" s="238">
        <v>2.0</v>
      </c>
      <c r="H734" s="238">
        <v>0.0</v>
      </c>
      <c r="I734" s="238">
        <v>0.0</v>
      </c>
      <c r="J734" s="238">
        <v>0.0</v>
      </c>
      <c r="K734" s="238">
        <v>0.0</v>
      </c>
      <c r="L734" s="238">
        <v>0.0</v>
      </c>
      <c r="M734" s="238">
        <v>0.0</v>
      </c>
      <c r="N734" s="238">
        <v>0.0</v>
      </c>
      <c r="O734" s="238">
        <v>0.0</v>
      </c>
      <c r="P734" s="238">
        <v>0.0</v>
      </c>
      <c r="Q734" s="238">
        <v>0.0</v>
      </c>
      <c r="R734" s="238">
        <v>0.0</v>
      </c>
      <c r="S734" s="238">
        <v>2.0</v>
      </c>
      <c r="T734" s="238">
        <v>0.0</v>
      </c>
      <c r="U734" s="235" t="s">
        <v>13</v>
      </c>
    </row>
    <row r="735">
      <c r="A735" s="250">
        <v>46228.0</v>
      </c>
      <c r="B735" s="235" t="s">
        <v>3282</v>
      </c>
      <c r="C735" s="235" t="s">
        <v>3283</v>
      </c>
      <c r="D735" s="235" t="s">
        <v>717</v>
      </c>
      <c r="E735" s="235" t="s">
        <v>718</v>
      </c>
      <c r="F735" s="235" t="s">
        <v>503</v>
      </c>
      <c r="G735" s="238">
        <v>1.0</v>
      </c>
      <c r="H735" s="238">
        <v>0.0</v>
      </c>
      <c r="I735" s="238">
        <v>0.0</v>
      </c>
      <c r="J735" s="238">
        <v>0.0</v>
      </c>
      <c r="K735" s="238">
        <v>0.0</v>
      </c>
      <c r="L735" s="238">
        <v>0.0</v>
      </c>
      <c r="M735" s="238">
        <v>1.0</v>
      </c>
      <c r="N735" s="238">
        <v>0.0</v>
      </c>
      <c r="O735" s="238">
        <v>0.0</v>
      </c>
      <c r="P735" s="238">
        <v>0.0</v>
      </c>
      <c r="Q735" s="238">
        <v>0.0</v>
      </c>
      <c r="R735" s="238">
        <v>0.0</v>
      </c>
      <c r="S735" s="238">
        <v>2.0</v>
      </c>
      <c r="T735" s="238">
        <v>0.0</v>
      </c>
      <c r="U735" s="235" t="s">
        <v>14</v>
      </c>
    </row>
    <row r="736">
      <c r="A736" s="250">
        <v>46228.0</v>
      </c>
      <c r="B736" s="235" t="s">
        <v>3282</v>
      </c>
      <c r="C736" s="235" t="s">
        <v>3283</v>
      </c>
      <c r="D736" s="235" t="s">
        <v>717</v>
      </c>
      <c r="E736" s="235" t="s">
        <v>718</v>
      </c>
      <c r="F736" s="235" t="s">
        <v>503</v>
      </c>
      <c r="G736" s="238">
        <v>4.0</v>
      </c>
      <c r="H736" s="238">
        <v>0.0</v>
      </c>
      <c r="I736" s="238">
        <v>0.0</v>
      </c>
      <c r="J736" s="238">
        <v>0.0</v>
      </c>
      <c r="K736" s="238">
        <v>0.0</v>
      </c>
      <c r="L736" s="238">
        <v>0.0</v>
      </c>
      <c r="M736" s="238">
        <v>0.0</v>
      </c>
      <c r="N736" s="238">
        <v>0.0</v>
      </c>
      <c r="O736" s="238">
        <v>0.0</v>
      </c>
      <c r="P736" s="238">
        <v>0.0</v>
      </c>
      <c r="Q736" s="238">
        <v>0.0</v>
      </c>
      <c r="R736" s="238">
        <v>0.0</v>
      </c>
      <c r="S736" s="238">
        <v>4.0</v>
      </c>
      <c r="T736" s="238">
        <v>0.0</v>
      </c>
      <c r="U736" s="235" t="s">
        <v>20</v>
      </c>
    </row>
    <row r="737">
      <c r="A737" s="250">
        <v>46228.0</v>
      </c>
      <c r="B737" s="235" t="s">
        <v>3282</v>
      </c>
      <c r="C737" s="235" t="s">
        <v>3283</v>
      </c>
      <c r="D737" s="235" t="s">
        <v>717</v>
      </c>
      <c r="E737" s="235" t="s">
        <v>718</v>
      </c>
      <c r="F737" s="235" t="s">
        <v>503</v>
      </c>
      <c r="G737" s="238">
        <v>1.0</v>
      </c>
      <c r="H737" s="238">
        <v>0.0</v>
      </c>
      <c r="I737" s="238">
        <v>0.0</v>
      </c>
      <c r="J737" s="238">
        <v>0.0</v>
      </c>
      <c r="K737" s="238">
        <v>0.0</v>
      </c>
      <c r="L737" s="238">
        <v>0.0</v>
      </c>
      <c r="M737" s="238">
        <v>0.0</v>
      </c>
      <c r="N737" s="238">
        <v>0.0</v>
      </c>
      <c r="O737" s="238">
        <v>0.0</v>
      </c>
      <c r="P737" s="238">
        <v>0.0</v>
      </c>
      <c r="Q737" s="238">
        <v>0.0</v>
      </c>
      <c r="R737" s="238">
        <v>0.0</v>
      </c>
      <c r="S737" s="238">
        <v>1.0</v>
      </c>
      <c r="T737" s="238">
        <v>0.0</v>
      </c>
      <c r="U737" s="235" t="s">
        <v>156</v>
      </c>
    </row>
    <row r="738">
      <c r="A738" s="250">
        <v>46228.0</v>
      </c>
      <c r="B738" s="235" t="s">
        <v>3282</v>
      </c>
      <c r="C738" s="235" t="s">
        <v>3283</v>
      </c>
      <c r="D738" s="235" t="s">
        <v>717</v>
      </c>
      <c r="E738" s="235" t="s">
        <v>718</v>
      </c>
      <c r="F738" s="235" t="s">
        <v>503</v>
      </c>
      <c r="G738" s="238">
        <v>2.0</v>
      </c>
      <c r="H738" s="238">
        <v>0.0</v>
      </c>
      <c r="I738" s="238">
        <v>0.0</v>
      </c>
      <c r="J738" s="238">
        <v>0.0</v>
      </c>
      <c r="K738" s="238">
        <v>0.0</v>
      </c>
      <c r="L738" s="238">
        <v>0.0</v>
      </c>
      <c r="M738" s="238">
        <v>0.0</v>
      </c>
      <c r="N738" s="238">
        <v>0.0</v>
      </c>
      <c r="O738" s="238">
        <v>0.0</v>
      </c>
      <c r="P738" s="238">
        <v>0.0</v>
      </c>
      <c r="Q738" s="238">
        <v>0.0</v>
      </c>
      <c r="R738" s="238">
        <v>0.0</v>
      </c>
      <c r="S738" s="238">
        <v>2.0</v>
      </c>
      <c r="T738" s="238">
        <v>0.0</v>
      </c>
      <c r="U738" s="235" t="s">
        <v>546</v>
      </c>
    </row>
    <row r="739">
      <c r="A739" s="250">
        <v>46228.0</v>
      </c>
      <c r="B739" s="235" t="s">
        <v>3330</v>
      </c>
      <c r="C739" s="235" t="s">
        <v>3331</v>
      </c>
      <c r="D739" s="235" t="s">
        <v>2848</v>
      </c>
      <c r="E739" s="235" t="s">
        <v>2849</v>
      </c>
      <c r="F739" s="235" t="s">
        <v>503</v>
      </c>
      <c r="G739" s="238">
        <v>1.0</v>
      </c>
      <c r="H739" s="238">
        <v>0.0</v>
      </c>
      <c r="I739" s="238">
        <v>0.0</v>
      </c>
      <c r="J739" s="238">
        <v>0.0</v>
      </c>
      <c r="K739" s="238">
        <v>0.0</v>
      </c>
      <c r="L739" s="238">
        <v>0.0</v>
      </c>
      <c r="M739" s="238">
        <v>0.0</v>
      </c>
      <c r="N739" s="238">
        <v>0.0</v>
      </c>
      <c r="O739" s="238">
        <v>0.0</v>
      </c>
      <c r="P739" s="238">
        <v>0.0</v>
      </c>
      <c r="Q739" s="238">
        <v>0.0</v>
      </c>
      <c r="R739" s="238">
        <v>0.0</v>
      </c>
      <c r="S739" s="238">
        <v>1.0</v>
      </c>
      <c r="T739" s="238">
        <v>0.0</v>
      </c>
      <c r="U739" s="235" t="s">
        <v>533</v>
      </c>
    </row>
    <row r="740">
      <c r="A740" s="250">
        <v>46228.0</v>
      </c>
      <c r="B740" s="235" t="s">
        <v>3330</v>
      </c>
      <c r="C740" s="235" t="s">
        <v>3331</v>
      </c>
      <c r="D740" s="235" t="s">
        <v>2848</v>
      </c>
      <c r="E740" s="235" t="s">
        <v>2849</v>
      </c>
      <c r="F740" s="235" t="s">
        <v>503</v>
      </c>
      <c r="G740" s="238">
        <v>2.0</v>
      </c>
      <c r="H740" s="238">
        <v>0.0</v>
      </c>
      <c r="I740" s="238">
        <v>0.0</v>
      </c>
      <c r="J740" s="238">
        <v>0.0</v>
      </c>
      <c r="K740" s="238">
        <v>0.0</v>
      </c>
      <c r="L740" s="238">
        <v>0.0</v>
      </c>
      <c r="M740" s="238">
        <v>0.0</v>
      </c>
      <c r="N740" s="238">
        <v>0.0</v>
      </c>
      <c r="O740" s="238">
        <v>0.0</v>
      </c>
      <c r="P740" s="238">
        <v>0.0</v>
      </c>
      <c r="Q740" s="238">
        <v>0.0</v>
      </c>
      <c r="R740" s="238">
        <v>0.0</v>
      </c>
      <c r="S740" s="238">
        <v>2.0</v>
      </c>
      <c r="T740" s="238">
        <v>0.0</v>
      </c>
      <c r="U740" s="235" t="s">
        <v>156</v>
      </c>
    </row>
    <row r="741">
      <c r="A741" s="250">
        <v>46228.0</v>
      </c>
      <c r="B741" s="235" t="s">
        <v>3341</v>
      </c>
      <c r="C741" s="235" t="s">
        <v>3342</v>
      </c>
      <c r="D741" s="235" t="s">
        <v>962</v>
      </c>
      <c r="E741" s="235" t="s">
        <v>963</v>
      </c>
      <c r="F741" s="235" t="s">
        <v>514</v>
      </c>
      <c r="G741" s="238">
        <v>1.0</v>
      </c>
      <c r="H741" s="238">
        <v>0.0</v>
      </c>
      <c r="I741" s="238">
        <v>0.0</v>
      </c>
      <c r="J741" s="238">
        <v>0.0</v>
      </c>
      <c r="K741" s="238">
        <v>0.0</v>
      </c>
      <c r="L741" s="238">
        <v>0.0</v>
      </c>
      <c r="M741" s="238">
        <v>0.0</v>
      </c>
      <c r="N741" s="238">
        <v>0.0</v>
      </c>
      <c r="O741" s="238">
        <v>0.0</v>
      </c>
      <c r="P741" s="238">
        <v>0.0</v>
      </c>
      <c r="Q741" s="238">
        <v>0.0</v>
      </c>
      <c r="R741" s="238">
        <v>0.0</v>
      </c>
      <c r="S741" s="238">
        <v>0.0</v>
      </c>
      <c r="T741" s="238">
        <v>0.0</v>
      </c>
      <c r="U741" s="235" t="s">
        <v>533</v>
      </c>
    </row>
    <row r="742">
      <c r="A742" s="250">
        <v>46228.0</v>
      </c>
      <c r="B742" s="235" t="s">
        <v>3341</v>
      </c>
      <c r="C742" s="235" t="s">
        <v>3342</v>
      </c>
      <c r="D742" s="235" t="s">
        <v>962</v>
      </c>
      <c r="E742" s="235" t="s">
        <v>963</v>
      </c>
      <c r="F742" s="235" t="s">
        <v>503</v>
      </c>
      <c r="G742" s="238">
        <v>3.0</v>
      </c>
      <c r="H742" s="238">
        <v>0.0</v>
      </c>
      <c r="I742" s="238">
        <v>0.0</v>
      </c>
      <c r="J742" s="238">
        <v>0.0</v>
      </c>
      <c r="K742" s="238">
        <v>0.0</v>
      </c>
      <c r="L742" s="238">
        <v>0.0</v>
      </c>
      <c r="M742" s="238">
        <v>0.0</v>
      </c>
      <c r="N742" s="238">
        <v>0.0</v>
      </c>
      <c r="O742" s="238">
        <v>0.0</v>
      </c>
      <c r="P742" s="238">
        <v>0.0</v>
      </c>
      <c r="Q742" s="238">
        <v>0.0</v>
      </c>
      <c r="R742" s="238">
        <v>0.0</v>
      </c>
      <c r="S742" s="238">
        <v>3.0</v>
      </c>
      <c r="T742" s="238">
        <v>0.0</v>
      </c>
      <c r="U742" s="235" t="s">
        <v>5</v>
      </c>
    </row>
    <row r="743">
      <c r="A743" s="250">
        <v>46228.0</v>
      </c>
      <c r="B743" s="235" t="s">
        <v>3341</v>
      </c>
      <c r="C743" s="235" t="s">
        <v>3342</v>
      </c>
      <c r="D743" s="235" t="s">
        <v>962</v>
      </c>
      <c r="E743" s="235" t="s">
        <v>963</v>
      </c>
      <c r="F743" s="235" t="s">
        <v>503</v>
      </c>
      <c r="G743" s="238">
        <v>0.0</v>
      </c>
      <c r="H743" s="238">
        <v>5.0</v>
      </c>
      <c r="I743" s="238">
        <v>0.0</v>
      </c>
      <c r="J743" s="238">
        <v>0.0</v>
      </c>
      <c r="K743" s="238">
        <v>0.0</v>
      </c>
      <c r="L743" s="238">
        <v>0.0</v>
      </c>
      <c r="M743" s="238">
        <v>0.0</v>
      </c>
      <c r="N743" s="238">
        <v>0.0</v>
      </c>
      <c r="O743" s="238">
        <v>0.0</v>
      </c>
      <c r="P743" s="238">
        <v>0.0</v>
      </c>
      <c r="Q743" s="238">
        <v>0.0</v>
      </c>
      <c r="R743" s="238">
        <v>0.0</v>
      </c>
      <c r="S743" s="238">
        <v>0.0</v>
      </c>
      <c r="T743" s="238">
        <v>0.0</v>
      </c>
      <c r="U743" s="235" t="s">
        <v>596</v>
      </c>
    </row>
    <row r="744">
      <c r="A744" s="250">
        <v>46228.0</v>
      </c>
      <c r="B744" s="235" t="s">
        <v>3341</v>
      </c>
      <c r="C744" s="235" t="s">
        <v>3342</v>
      </c>
      <c r="D744" s="235" t="s">
        <v>962</v>
      </c>
      <c r="E744" s="235" t="s">
        <v>963</v>
      </c>
      <c r="F744" s="235" t="s">
        <v>503</v>
      </c>
      <c r="G744" s="238">
        <v>0.0</v>
      </c>
      <c r="H744" s="238">
        <v>1.0</v>
      </c>
      <c r="I744" s="238">
        <v>0.0</v>
      </c>
      <c r="J744" s="238">
        <v>0.0</v>
      </c>
      <c r="K744" s="238">
        <v>0.0</v>
      </c>
      <c r="L744" s="238">
        <v>0.0</v>
      </c>
      <c r="M744" s="238">
        <v>0.0</v>
      </c>
      <c r="N744" s="238">
        <v>0.0</v>
      </c>
      <c r="O744" s="238">
        <v>0.0</v>
      </c>
      <c r="P744" s="238">
        <v>0.0</v>
      </c>
      <c r="Q744" s="238">
        <v>0.0</v>
      </c>
      <c r="R744" s="238">
        <v>0.0</v>
      </c>
      <c r="S744" s="238">
        <v>0.0</v>
      </c>
      <c r="T744" s="238">
        <v>0.0</v>
      </c>
      <c r="U744" s="235" t="s">
        <v>1853</v>
      </c>
    </row>
    <row r="745">
      <c r="A745" s="250">
        <v>46228.0</v>
      </c>
      <c r="B745" s="235" t="s">
        <v>3341</v>
      </c>
      <c r="C745" s="235" t="s">
        <v>3342</v>
      </c>
      <c r="D745" s="235" t="s">
        <v>962</v>
      </c>
      <c r="E745" s="235" t="s">
        <v>963</v>
      </c>
      <c r="F745" s="235" t="s">
        <v>503</v>
      </c>
      <c r="G745" s="238">
        <v>13.0</v>
      </c>
      <c r="H745" s="238">
        <v>0.0</v>
      </c>
      <c r="I745" s="238">
        <v>0.0</v>
      </c>
      <c r="J745" s="238">
        <v>0.0</v>
      </c>
      <c r="K745" s="238">
        <v>0.0</v>
      </c>
      <c r="L745" s="238">
        <v>0.0</v>
      </c>
      <c r="M745" s="238">
        <v>0.0</v>
      </c>
      <c r="N745" s="238">
        <v>0.0</v>
      </c>
      <c r="O745" s="238">
        <v>0.0</v>
      </c>
      <c r="P745" s="238">
        <v>0.0</v>
      </c>
      <c r="Q745" s="238">
        <v>0.0</v>
      </c>
      <c r="R745" s="238">
        <v>0.0</v>
      </c>
      <c r="S745" s="238">
        <v>13.0</v>
      </c>
      <c r="T745" s="238">
        <v>0.0</v>
      </c>
      <c r="U745" s="235" t="s">
        <v>9</v>
      </c>
    </row>
    <row r="746">
      <c r="A746" s="250">
        <v>46228.0</v>
      </c>
      <c r="B746" s="235" t="s">
        <v>3341</v>
      </c>
      <c r="C746" s="235" t="s">
        <v>3342</v>
      </c>
      <c r="D746" s="235" t="s">
        <v>962</v>
      </c>
      <c r="E746" s="235" t="s">
        <v>963</v>
      </c>
      <c r="F746" s="235" t="s">
        <v>503</v>
      </c>
      <c r="G746" s="238">
        <v>20.0</v>
      </c>
      <c r="H746" s="238">
        <v>0.0</v>
      </c>
      <c r="I746" s="238">
        <v>0.0</v>
      </c>
      <c r="J746" s="238">
        <v>-2.0</v>
      </c>
      <c r="K746" s="238">
        <v>0.0</v>
      </c>
      <c r="L746" s="238">
        <v>0.0</v>
      </c>
      <c r="M746" s="238">
        <v>0.0</v>
      </c>
      <c r="N746" s="238">
        <v>0.0</v>
      </c>
      <c r="O746" s="238">
        <v>0.0</v>
      </c>
      <c r="P746" s="238">
        <v>0.0</v>
      </c>
      <c r="Q746" s="238">
        <v>0.0</v>
      </c>
      <c r="R746" s="238">
        <v>0.0</v>
      </c>
      <c r="S746" s="238">
        <v>18.0</v>
      </c>
      <c r="T746" s="238">
        <v>0.0</v>
      </c>
      <c r="U746" s="235" t="s">
        <v>11</v>
      </c>
    </row>
    <row r="747">
      <c r="A747" s="250">
        <v>46228.0</v>
      </c>
      <c r="B747" s="235" t="s">
        <v>3341</v>
      </c>
      <c r="C747" s="235" t="s">
        <v>3342</v>
      </c>
      <c r="D747" s="235" t="s">
        <v>962</v>
      </c>
      <c r="E747" s="235" t="s">
        <v>963</v>
      </c>
      <c r="F747" s="235" t="s">
        <v>503</v>
      </c>
      <c r="G747" s="238">
        <v>4.0</v>
      </c>
      <c r="H747" s="238">
        <v>0.0</v>
      </c>
      <c r="I747" s="238">
        <v>0.0</v>
      </c>
      <c r="J747" s="238">
        <v>0.0</v>
      </c>
      <c r="K747" s="238">
        <v>0.0</v>
      </c>
      <c r="L747" s="238">
        <v>0.0</v>
      </c>
      <c r="M747" s="238">
        <v>0.0</v>
      </c>
      <c r="N747" s="238">
        <v>0.0</v>
      </c>
      <c r="O747" s="238">
        <v>0.0</v>
      </c>
      <c r="P747" s="238">
        <v>0.0</v>
      </c>
      <c r="Q747" s="238">
        <v>0.0</v>
      </c>
      <c r="R747" s="238">
        <v>0.0</v>
      </c>
      <c r="S747" s="238">
        <v>4.0</v>
      </c>
      <c r="T747" s="238">
        <v>0.0</v>
      </c>
      <c r="U747" s="235" t="s">
        <v>16</v>
      </c>
    </row>
    <row r="748">
      <c r="A748" s="250">
        <v>46228.0</v>
      </c>
      <c r="B748" s="235" t="s">
        <v>3341</v>
      </c>
      <c r="C748" s="235" t="s">
        <v>3342</v>
      </c>
      <c r="D748" s="235" t="s">
        <v>962</v>
      </c>
      <c r="E748" s="235" t="s">
        <v>963</v>
      </c>
      <c r="F748" s="235" t="s">
        <v>503</v>
      </c>
      <c r="G748" s="238">
        <v>28.0</v>
      </c>
      <c r="H748" s="238">
        <v>0.0</v>
      </c>
      <c r="I748" s="238">
        <v>0.0</v>
      </c>
      <c r="J748" s="238">
        <v>0.0</v>
      </c>
      <c r="K748" s="238">
        <v>0.0</v>
      </c>
      <c r="L748" s="238">
        <v>0.0</v>
      </c>
      <c r="M748" s="238">
        <v>0.0</v>
      </c>
      <c r="N748" s="238">
        <v>0.0</v>
      </c>
      <c r="O748" s="238">
        <v>0.0</v>
      </c>
      <c r="P748" s="238">
        <v>0.0</v>
      </c>
      <c r="Q748" s="238">
        <v>0.0</v>
      </c>
      <c r="R748" s="238">
        <v>0.0</v>
      </c>
      <c r="S748" s="238">
        <v>28.0</v>
      </c>
      <c r="T748" s="238">
        <v>0.0</v>
      </c>
      <c r="U748" s="235" t="s">
        <v>17</v>
      </c>
    </row>
    <row r="749">
      <c r="A749" s="250">
        <v>46228.0</v>
      </c>
      <c r="B749" s="235" t="s">
        <v>3341</v>
      </c>
      <c r="C749" s="235" t="s">
        <v>3342</v>
      </c>
      <c r="D749" s="235" t="s">
        <v>962</v>
      </c>
      <c r="E749" s="235" t="s">
        <v>963</v>
      </c>
      <c r="F749" s="235" t="s">
        <v>503</v>
      </c>
      <c r="G749" s="238">
        <v>3.0</v>
      </c>
      <c r="H749" s="238">
        <v>0.0</v>
      </c>
      <c r="I749" s="238">
        <v>0.0</v>
      </c>
      <c r="J749" s="238">
        <v>-1.0</v>
      </c>
      <c r="K749" s="238">
        <v>0.0</v>
      </c>
      <c r="L749" s="238">
        <v>0.0</v>
      </c>
      <c r="M749" s="238">
        <v>0.0</v>
      </c>
      <c r="N749" s="238">
        <v>0.0</v>
      </c>
      <c r="O749" s="238">
        <v>0.0</v>
      </c>
      <c r="P749" s="238">
        <v>0.0</v>
      </c>
      <c r="Q749" s="238">
        <v>0.0</v>
      </c>
      <c r="R749" s="238">
        <v>0.0</v>
      </c>
      <c r="S749" s="238">
        <v>2.0</v>
      </c>
      <c r="T749" s="238">
        <v>0.0</v>
      </c>
      <c r="U749" s="235" t="s">
        <v>155</v>
      </c>
    </row>
    <row r="750">
      <c r="A750" s="250">
        <v>46228.0</v>
      </c>
      <c r="B750" s="235" t="s">
        <v>3341</v>
      </c>
      <c r="C750" s="235" t="s">
        <v>3342</v>
      </c>
      <c r="D750" s="235" t="s">
        <v>962</v>
      </c>
      <c r="E750" s="235" t="s">
        <v>963</v>
      </c>
      <c r="F750" s="235" t="s">
        <v>503</v>
      </c>
      <c r="G750" s="238">
        <v>8.0</v>
      </c>
      <c r="H750" s="238">
        <v>0.0</v>
      </c>
      <c r="I750" s="238">
        <v>0.0</v>
      </c>
      <c r="J750" s="238">
        <v>0.0</v>
      </c>
      <c r="K750" s="238">
        <v>0.0</v>
      </c>
      <c r="L750" s="238">
        <v>0.0</v>
      </c>
      <c r="M750" s="238">
        <v>0.0</v>
      </c>
      <c r="N750" s="238">
        <v>0.0</v>
      </c>
      <c r="O750" s="238">
        <v>0.0</v>
      </c>
      <c r="P750" s="238">
        <v>0.0</v>
      </c>
      <c r="Q750" s="238">
        <v>0.0</v>
      </c>
      <c r="R750" s="238">
        <v>0.0</v>
      </c>
      <c r="S750" s="238">
        <v>8.0</v>
      </c>
      <c r="T750" s="238">
        <v>0.0</v>
      </c>
      <c r="U750" s="235" t="s">
        <v>533</v>
      </c>
    </row>
    <row r="751">
      <c r="A751" s="250">
        <v>46228.0</v>
      </c>
      <c r="B751" s="235" t="s">
        <v>3341</v>
      </c>
      <c r="C751" s="235" t="s">
        <v>3342</v>
      </c>
      <c r="D751" s="235" t="s">
        <v>962</v>
      </c>
      <c r="E751" s="235" t="s">
        <v>963</v>
      </c>
      <c r="F751" s="235" t="s">
        <v>503</v>
      </c>
      <c r="G751" s="238">
        <v>4.0</v>
      </c>
      <c r="H751" s="238">
        <v>0.0</v>
      </c>
      <c r="I751" s="238">
        <v>0.0</v>
      </c>
      <c r="J751" s="238">
        <v>0.0</v>
      </c>
      <c r="K751" s="238">
        <v>0.0</v>
      </c>
      <c r="L751" s="238">
        <v>0.0</v>
      </c>
      <c r="M751" s="238">
        <v>0.0</v>
      </c>
      <c r="N751" s="238">
        <v>0.0</v>
      </c>
      <c r="O751" s="238">
        <v>0.0</v>
      </c>
      <c r="P751" s="238">
        <v>0.0</v>
      </c>
      <c r="Q751" s="238">
        <v>0.0</v>
      </c>
      <c r="R751" s="238">
        <v>0.0</v>
      </c>
      <c r="S751" s="238">
        <v>4.0</v>
      </c>
      <c r="T751" s="238">
        <v>0.0</v>
      </c>
      <c r="U751" s="235" t="s">
        <v>13</v>
      </c>
    </row>
    <row r="752">
      <c r="A752" s="250">
        <v>46228.0</v>
      </c>
      <c r="B752" s="235" t="s">
        <v>3341</v>
      </c>
      <c r="C752" s="235" t="s">
        <v>3342</v>
      </c>
      <c r="D752" s="235" t="s">
        <v>962</v>
      </c>
      <c r="E752" s="235" t="s">
        <v>963</v>
      </c>
      <c r="F752" s="235" t="s">
        <v>503</v>
      </c>
      <c r="G752" s="238">
        <v>10.0</v>
      </c>
      <c r="H752" s="238">
        <v>0.0</v>
      </c>
      <c r="I752" s="238">
        <v>0.0</v>
      </c>
      <c r="J752" s="238">
        <v>-1.0</v>
      </c>
      <c r="K752" s="238">
        <v>0.0</v>
      </c>
      <c r="L752" s="238">
        <v>0.0</v>
      </c>
      <c r="M752" s="238">
        <v>0.0</v>
      </c>
      <c r="N752" s="238">
        <v>0.0</v>
      </c>
      <c r="O752" s="238">
        <v>0.0</v>
      </c>
      <c r="P752" s="238">
        <v>0.0</v>
      </c>
      <c r="Q752" s="238">
        <v>0.0</v>
      </c>
      <c r="R752" s="238">
        <v>0.0</v>
      </c>
      <c r="S752" s="238">
        <v>9.0</v>
      </c>
      <c r="T752" s="238">
        <v>0.0</v>
      </c>
      <c r="U752" s="235" t="s">
        <v>14</v>
      </c>
    </row>
    <row r="753">
      <c r="A753" s="250">
        <v>46228.0</v>
      </c>
      <c r="B753" s="235" t="s">
        <v>3341</v>
      </c>
      <c r="C753" s="235" t="s">
        <v>3342</v>
      </c>
      <c r="D753" s="235" t="s">
        <v>962</v>
      </c>
      <c r="E753" s="235" t="s">
        <v>963</v>
      </c>
      <c r="F753" s="235" t="s">
        <v>503</v>
      </c>
      <c r="G753" s="238">
        <v>4.0</v>
      </c>
      <c r="H753" s="238">
        <v>0.0</v>
      </c>
      <c r="I753" s="238">
        <v>0.0</v>
      </c>
      <c r="J753" s="238">
        <v>0.0</v>
      </c>
      <c r="K753" s="238">
        <v>0.0</v>
      </c>
      <c r="L753" s="238">
        <v>0.0</v>
      </c>
      <c r="M753" s="238">
        <v>0.0</v>
      </c>
      <c r="N753" s="238">
        <v>0.0</v>
      </c>
      <c r="O753" s="238">
        <v>0.0</v>
      </c>
      <c r="P753" s="238">
        <v>0.0</v>
      </c>
      <c r="Q753" s="238">
        <v>0.0</v>
      </c>
      <c r="R753" s="238">
        <v>0.0</v>
      </c>
      <c r="S753" s="238">
        <v>4.0</v>
      </c>
      <c r="T753" s="238">
        <v>0.0</v>
      </c>
      <c r="U753" s="235" t="s">
        <v>18</v>
      </c>
    </row>
    <row r="754">
      <c r="A754" s="250">
        <v>46228.0</v>
      </c>
      <c r="B754" s="235" t="s">
        <v>3341</v>
      </c>
      <c r="C754" s="235" t="s">
        <v>3342</v>
      </c>
      <c r="D754" s="235" t="s">
        <v>962</v>
      </c>
      <c r="E754" s="235" t="s">
        <v>963</v>
      </c>
      <c r="F754" s="235" t="s">
        <v>503</v>
      </c>
      <c r="G754" s="238">
        <v>31.0</v>
      </c>
      <c r="H754" s="238">
        <v>0.0</v>
      </c>
      <c r="I754" s="238">
        <v>0.0</v>
      </c>
      <c r="J754" s="238">
        <v>0.0</v>
      </c>
      <c r="K754" s="238">
        <v>0.0</v>
      </c>
      <c r="L754" s="238">
        <v>0.0</v>
      </c>
      <c r="M754" s="238">
        <v>0.0</v>
      </c>
      <c r="N754" s="238">
        <v>0.0</v>
      </c>
      <c r="O754" s="238">
        <v>0.0</v>
      </c>
      <c r="P754" s="238">
        <v>0.0</v>
      </c>
      <c r="Q754" s="238">
        <v>0.0</v>
      </c>
      <c r="R754" s="238">
        <v>0.0</v>
      </c>
      <c r="S754" s="238">
        <v>31.0</v>
      </c>
      <c r="T754" s="238">
        <v>0.0</v>
      </c>
      <c r="U754" s="235" t="s">
        <v>20</v>
      </c>
    </row>
    <row r="755">
      <c r="A755" s="250">
        <v>46228.0</v>
      </c>
      <c r="B755" s="235" t="s">
        <v>3341</v>
      </c>
      <c r="C755" s="235" t="s">
        <v>3342</v>
      </c>
      <c r="D755" s="235" t="s">
        <v>962</v>
      </c>
      <c r="E755" s="235" t="s">
        <v>963</v>
      </c>
      <c r="F755" s="235" t="s">
        <v>503</v>
      </c>
      <c r="G755" s="238">
        <v>22.0</v>
      </c>
      <c r="H755" s="238">
        <v>0.0</v>
      </c>
      <c r="I755" s="238">
        <v>0.0</v>
      </c>
      <c r="J755" s="238">
        <v>0.0</v>
      </c>
      <c r="K755" s="238">
        <v>0.0</v>
      </c>
      <c r="L755" s="238">
        <v>0.0</v>
      </c>
      <c r="M755" s="238">
        <v>0.0</v>
      </c>
      <c r="N755" s="238">
        <v>0.0</v>
      </c>
      <c r="O755" s="238">
        <v>0.0</v>
      </c>
      <c r="P755" s="238">
        <v>0.0</v>
      </c>
      <c r="Q755" s="238">
        <v>0.0</v>
      </c>
      <c r="R755" s="238">
        <v>0.0</v>
      </c>
      <c r="S755" s="238">
        <v>22.0</v>
      </c>
      <c r="T755" s="238">
        <v>0.0</v>
      </c>
      <c r="U755" s="235" t="s">
        <v>156</v>
      </c>
    </row>
    <row r="756">
      <c r="A756" s="250">
        <v>46228.0</v>
      </c>
      <c r="B756" s="235" t="s">
        <v>3341</v>
      </c>
      <c r="C756" s="235" t="s">
        <v>3342</v>
      </c>
      <c r="D756" s="235" t="s">
        <v>962</v>
      </c>
      <c r="E756" s="235" t="s">
        <v>963</v>
      </c>
      <c r="F756" s="235" t="s">
        <v>503</v>
      </c>
      <c r="G756" s="238">
        <v>10.0</v>
      </c>
      <c r="H756" s="238">
        <v>0.0</v>
      </c>
      <c r="I756" s="238">
        <v>0.0</v>
      </c>
      <c r="J756" s="238">
        <v>0.0</v>
      </c>
      <c r="K756" s="238">
        <v>0.0</v>
      </c>
      <c r="L756" s="238">
        <v>0.0</v>
      </c>
      <c r="M756" s="238">
        <v>0.0</v>
      </c>
      <c r="N756" s="238">
        <v>0.0</v>
      </c>
      <c r="O756" s="238">
        <v>0.0</v>
      </c>
      <c r="P756" s="238">
        <v>0.0</v>
      </c>
      <c r="Q756" s="238">
        <v>0.0</v>
      </c>
      <c r="R756" s="238">
        <v>0.0</v>
      </c>
      <c r="S756" s="238">
        <v>10.0</v>
      </c>
      <c r="T756" s="238">
        <v>0.0</v>
      </c>
      <c r="U756" s="235" t="s">
        <v>546</v>
      </c>
    </row>
    <row r="757">
      <c r="A757" s="250">
        <v>46228.0</v>
      </c>
      <c r="B757" s="235" t="s">
        <v>3341</v>
      </c>
      <c r="C757" s="235" t="s">
        <v>3342</v>
      </c>
      <c r="D757" s="235" t="s">
        <v>962</v>
      </c>
      <c r="E757" s="235" t="s">
        <v>963</v>
      </c>
      <c r="F757" s="235" t="s">
        <v>1808</v>
      </c>
      <c r="G757" s="238">
        <v>1.0</v>
      </c>
      <c r="H757" s="238">
        <v>0.0</v>
      </c>
      <c r="I757" s="238">
        <v>0.0</v>
      </c>
      <c r="J757" s="238">
        <v>0.0</v>
      </c>
      <c r="K757" s="238">
        <v>0.0</v>
      </c>
      <c r="L757" s="238">
        <v>0.0</v>
      </c>
      <c r="M757" s="238">
        <v>0.0</v>
      </c>
      <c r="N757" s="238">
        <v>0.0</v>
      </c>
      <c r="O757" s="238">
        <v>0.0</v>
      </c>
      <c r="P757" s="238">
        <v>0.0</v>
      </c>
      <c r="Q757" s="238">
        <v>0.0</v>
      </c>
      <c r="R757" s="238">
        <v>0.0</v>
      </c>
      <c r="S757" s="238">
        <v>0.0</v>
      </c>
      <c r="T757" s="238">
        <v>0.0</v>
      </c>
      <c r="U757" s="235" t="s">
        <v>17</v>
      </c>
    </row>
    <row r="758">
      <c r="A758" s="250">
        <v>46228.0</v>
      </c>
      <c r="B758" s="235" t="s">
        <v>3415</v>
      </c>
      <c r="C758" s="235" t="s">
        <v>3416</v>
      </c>
      <c r="D758" s="235" t="s">
        <v>2163</v>
      </c>
      <c r="E758" s="235" t="s">
        <v>2164</v>
      </c>
      <c r="F758" s="235" t="s">
        <v>503</v>
      </c>
      <c r="G758" s="238">
        <v>1.0</v>
      </c>
      <c r="H758" s="238">
        <v>0.0</v>
      </c>
      <c r="I758" s="238">
        <v>0.0</v>
      </c>
      <c r="J758" s="238">
        <v>0.0</v>
      </c>
      <c r="K758" s="238">
        <v>0.0</v>
      </c>
      <c r="L758" s="238">
        <v>0.0</v>
      </c>
      <c r="M758" s="238">
        <v>0.0</v>
      </c>
      <c r="N758" s="238">
        <v>0.0</v>
      </c>
      <c r="O758" s="238">
        <v>0.0</v>
      </c>
      <c r="P758" s="238">
        <v>0.0</v>
      </c>
      <c r="Q758" s="238">
        <v>0.0</v>
      </c>
      <c r="R758" s="238">
        <v>0.0</v>
      </c>
      <c r="S758" s="238">
        <v>1.0</v>
      </c>
      <c r="T758" s="238">
        <v>0.0</v>
      </c>
      <c r="U758" s="235" t="s">
        <v>5</v>
      </c>
    </row>
    <row r="759">
      <c r="A759" s="250">
        <v>46228.0</v>
      </c>
      <c r="B759" s="235" t="s">
        <v>3415</v>
      </c>
      <c r="C759" s="235" t="s">
        <v>3416</v>
      </c>
      <c r="D759" s="235" t="s">
        <v>2163</v>
      </c>
      <c r="E759" s="235" t="s">
        <v>2164</v>
      </c>
      <c r="F759" s="235" t="s">
        <v>503</v>
      </c>
      <c r="G759" s="238">
        <v>0.0</v>
      </c>
      <c r="H759" s="238">
        <v>3.0</v>
      </c>
      <c r="I759" s="238">
        <v>0.0</v>
      </c>
      <c r="J759" s="238">
        <v>0.0</v>
      </c>
      <c r="K759" s="238">
        <v>0.0</v>
      </c>
      <c r="L759" s="238">
        <v>0.0</v>
      </c>
      <c r="M759" s="238">
        <v>0.0</v>
      </c>
      <c r="N759" s="238">
        <v>0.0</v>
      </c>
      <c r="O759" s="238">
        <v>0.0</v>
      </c>
      <c r="P759" s="238">
        <v>0.0</v>
      </c>
      <c r="Q759" s="238">
        <v>0.0</v>
      </c>
      <c r="R759" s="238">
        <v>0.0</v>
      </c>
      <c r="S759" s="238">
        <v>0.0</v>
      </c>
      <c r="T759" s="238">
        <v>0.0</v>
      </c>
      <c r="U759" s="235" t="s">
        <v>596</v>
      </c>
    </row>
    <row r="760">
      <c r="A760" s="250">
        <v>46228.0</v>
      </c>
      <c r="B760" s="235" t="s">
        <v>3415</v>
      </c>
      <c r="C760" s="235" t="s">
        <v>3416</v>
      </c>
      <c r="D760" s="235" t="s">
        <v>2163</v>
      </c>
      <c r="E760" s="235" t="s">
        <v>2164</v>
      </c>
      <c r="F760" s="235" t="s">
        <v>503</v>
      </c>
      <c r="G760" s="238">
        <v>3.0</v>
      </c>
      <c r="H760" s="238">
        <v>0.0</v>
      </c>
      <c r="I760" s="238">
        <v>0.0</v>
      </c>
      <c r="J760" s="238">
        <v>0.0</v>
      </c>
      <c r="K760" s="238">
        <v>0.0</v>
      </c>
      <c r="L760" s="238">
        <v>0.0</v>
      </c>
      <c r="M760" s="238">
        <v>0.0</v>
      </c>
      <c r="N760" s="238">
        <v>0.0</v>
      </c>
      <c r="O760" s="238">
        <v>0.0</v>
      </c>
      <c r="P760" s="238">
        <v>0.0</v>
      </c>
      <c r="Q760" s="238">
        <v>0.0</v>
      </c>
      <c r="R760" s="238">
        <v>0.0</v>
      </c>
      <c r="S760" s="238">
        <v>3.0</v>
      </c>
      <c r="T760" s="238">
        <v>0.0</v>
      </c>
      <c r="U760" s="235" t="s">
        <v>9</v>
      </c>
    </row>
    <row r="761">
      <c r="A761" s="250">
        <v>46228.0</v>
      </c>
      <c r="B761" s="235" t="s">
        <v>3415</v>
      </c>
      <c r="C761" s="235" t="s">
        <v>3416</v>
      </c>
      <c r="D761" s="235" t="s">
        <v>2163</v>
      </c>
      <c r="E761" s="235" t="s">
        <v>2164</v>
      </c>
      <c r="F761" s="235" t="s">
        <v>503</v>
      </c>
      <c r="G761" s="238">
        <v>1.0</v>
      </c>
      <c r="H761" s="238">
        <v>0.0</v>
      </c>
      <c r="I761" s="238">
        <v>0.0</v>
      </c>
      <c r="J761" s="238">
        <v>0.0</v>
      </c>
      <c r="K761" s="238">
        <v>0.0</v>
      </c>
      <c r="L761" s="238">
        <v>0.0</v>
      </c>
      <c r="M761" s="238">
        <v>0.0</v>
      </c>
      <c r="N761" s="238">
        <v>0.0</v>
      </c>
      <c r="O761" s="238">
        <v>0.0</v>
      </c>
      <c r="P761" s="238">
        <v>0.0</v>
      </c>
      <c r="Q761" s="238">
        <v>0.0</v>
      </c>
      <c r="R761" s="238">
        <v>0.0</v>
      </c>
      <c r="S761" s="238">
        <v>1.0</v>
      </c>
      <c r="T761" s="238">
        <v>0.0</v>
      </c>
      <c r="U761" s="235" t="s">
        <v>16</v>
      </c>
    </row>
    <row r="762">
      <c r="A762" s="250">
        <v>46228.0</v>
      </c>
      <c r="B762" s="235" t="s">
        <v>3415</v>
      </c>
      <c r="C762" s="235" t="s">
        <v>3416</v>
      </c>
      <c r="D762" s="235" t="s">
        <v>2163</v>
      </c>
      <c r="E762" s="235" t="s">
        <v>2164</v>
      </c>
      <c r="F762" s="235" t="s">
        <v>503</v>
      </c>
      <c r="G762" s="238">
        <v>1.0</v>
      </c>
      <c r="H762" s="238">
        <v>0.0</v>
      </c>
      <c r="I762" s="238">
        <v>0.0</v>
      </c>
      <c r="J762" s="238">
        <v>0.0</v>
      </c>
      <c r="K762" s="238">
        <v>0.0</v>
      </c>
      <c r="L762" s="238">
        <v>0.0</v>
      </c>
      <c r="M762" s="238">
        <v>0.0</v>
      </c>
      <c r="N762" s="238">
        <v>0.0</v>
      </c>
      <c r="O762" s="238">
        <v>0.0</v>
      </c>
      <c r="P762" s="238">
        <v>0.0</v>
      </c>
      <c r="Q762" s="238">
        <v>0.0</v>
      </c>
      <c r="R762" s="238">
        <v>0.0</v>
      </c>
      <c r="S762" s="238">
        <v>1.0</v>
      </c>
      <c r="T762" s="238">
        <v>0.0</v>
      </c>
      <c r="U762" s="235" t="s">
        <v>155</v>
      </c>
    </row>
    <row r="763">
      <c r="A763" s="250">
        <v>46228.0</v>
      </c>
      <c r="B763" s="235" t="s">
        <v>3415</v>
      </c>
      <c r="C763" s="235" t="s">
        <v>3416</v>
      </c>
      <c r="D763" s="235" t="s">
        <v>2163</v>
      </c>
      <c r="E763" s="235" t="s">
        <v>2164</v>
      </c>
      <c r="F763" s="235" t="s">
        <v>503</v>
      </c>
      <c r="G763" s="238">
        <v>2.0</v>
      </c>
      <c r="H763" s="238">
        <v>0.0</v>
      </c>
      <c r="I763" s="238">
        <v>0.0</v>
      </c>
      <c r="J763" s="238">
        <v>0.0</v>
      </c>
      <c r="K763" s="238">
        <v>0.0</v>
      </c>
      <c r="L763" s="238">
        <v>0.0</v>
      </c>
      <c r="M763" s="238">
        <v>0.0</v>
      </c>
      <c r="N763" s="238">
        <v>0.0</v>
      </c>
      <c r="O763" s="238">
        <v>0.0</v>
      </c>
      <c r="P763" s="238">
        <v>0.0</v>
      </c>
      <c r="Q763" s="238">
        <v>0.0</v>
      </c>
      <c r="R763" s="238">
        <v>0.0</v>
      </c>
      <c r="S763" s="238">
        <v>2.0</v>
      </c>
      <c r="T763" s="238">
        <v>0.0</v>
      </c>
      <c r="U763" s="235" t="s">
        <v>533</v>
      </c>
    </row>
    <row r="764">
      <c r="A764" s="250">
        <v>46228.0</v>
      </c>
      <c r="B764" s="235" t="s">
        <v>3415</v>
      </c>
      <c r="C764" s="235" t="s">
        <v>3416</v>
      </c>
      <c r="D764" s="235" t="s">
        <v>2163</v>
      </c>
      <c r="E764" s="235" t="s">
        <v>2164</v>
      </c>
      <c r="F764" s="235" t="s">
        <v>503</v>
      </c>
      <c r="G764" s="238">
        <v>4.0</v>
      </c>
      <c r="H764" s="238">
        <v>0.0</v>
      </c>
      <c r="I764" s="238">
        <v>0.0</v>
      </c>
      <c r="J764" s="238">
        <v>-1.0</v>
      </c>
      <c r="K764" s="238">
        <v>0.0</v>
      </c>
      <c r="L764" s="238">
        <v>0.0</v>
      </c>
      <c r="M764" s="238">
        <v>0.0</v>
      </c>
      <c r="N764" s="238">
        <v>0.0</v>
      </c>
      <c r="O764" s="238">
        <v>0.0</v>
      </c>
      <c r="P764" s="238">
        <v>0.0</v>
      </c>
      <c r="Q764" s="238">
        <v>0.0</v>
      </c>
      <c r="R764" s="238">
        <v>0.0</v>
      </c>
      <c r="S764" s="238">
        <v>3.0</v>
      </c>
      <c r="T764" s="238">
        <v>0.0</v>
      </c>
      <c r="U764" s="235" t="s">
        <v>14</v>
      </c>
    </row>
    <row r="765">
      <c r="A765" s="250">
        <v>46228.0</v>
      </c>
      <c r="B765" s="235" t="s">
        <v>3415</v>
      </c>
      <c r="C765" s="235" t="s">
        <v>3416</v>
      </c>
      <c r="D765" s="235" t="s">
        <v>2163</v>
      </c>
      <c r="E765" s="235" t="s">
        <v>2164</v>
      </c>
      <c r="F765" s="235" t="s">
        <v>503</v>
      </c>
      <c r="G765" s="238">
        <v>5.0</v>
      </c>
      <c r="H765" s="238">
        <v>0.0</v>
      </c>
      <c r="I765" s="238">
        <v>0.0</v>
      </c>
      <c r="J765" s="238">
        <v>0.0</v>
      </c>
      <c r="K765" s="238">
        <v>0.0</v>
      </c>
      <c r="L765" s="238">
        <v>0.0</v>
      </c>
      <c r="M765" s="238">
        <v>0.0</v>
      </c>
      <c r="N765" s="238">
        <v>0.0</v>
      </c>
      <c r="O765" s="238">
        <v>0.0</v>
      </c>
      <c r="P765" s="238">
        <v>0.0</v>
      </c>
      <c r="Q765" s="238">
        <v>0.0</v>
      </c>
      <c r="R765" s="238">
        <v>0.0</v>
      </c>
      <c r="S765" s="238">
        <v>5.0</v>
      </c>
      <c r="T765" s="238">
        <v>0.0</v>
      </c>
      <c r="U765" s="235" t="s">
        <v>18</v>
      </c>
    </row>
    <row r="766">
      <c r="A766" s="250">
        <v>46228.0</v>
      </c>
      <c r="B766" s="235" t="s">
        <v>3415</v>
      </c>
      <c r="C766" s="235" t="s">
        <v>3416</v>
      </c>
      <c r="D766" s="235" t="s">
        <v>2163</v>
      </c>
      <c r="E766" s="235" t="s">
        <v>2164</v>
      </c>
      <c r="F766" s="235" t="s">
        <v>503</v>
      </c>
      <c r="G766" s="238">
        <v>36.0</v>
      </c>
      <c r="H766" s="238">
        <v>0.0</v>
      </c>
      <c r="I766" s="238">
        <v>0.0</v>
      </c>
      <c r="J766" s="238">
        <v>0.0</v>
      </c>
      <c r="K766" s="238">
        <v>0.0</v>
      </c>
      <c r="L766" s="238">
        <v>0.0</v>
      </c>
      <c r="M766" s="238">
        <v>0.0</v>
      </c>
      <c r="N766" s="238">
        <v>0.0</v>
      </c>
      <c r="O766" s="238">
        <v>0.0</v>
      </c>
      <c r="P766" s="238">
        <v>0.0</v>
      </c>
      <c r="Q766" s="238">
        <v>0.0</v>
      </c>
      <c r="R766" s="238">
        <v>0.0</v>
      </c>
      <c r="S766" s="238">
        <v>36.0</v>
      </c>
      <c r="T766" s="238">
        <v>0.0</v>
      </c>
      <c r="U766" s="235" t="s">
        <v>20</v>
      </c>
    </row>
    <row r="767">
      <c r="A767" s="250">
        <v>46228.0</v>
      </c>
      <c r="B767" s="235" t="s">
        <v>3415</v>
      </c>
      <c r="C767" s="235" t="s">
        <v>3416</v>
      </c>
      <c r="D767" s="235" t="s">
        <v>2163</v>
      </c>
      <c r="E767" s="235" t="s">
        <v>2164</v>
      </c>
      <c r="F767" s="235" t="s">
        <v>503</v>
      </c>
      <c r="G767" s="238">
        <v>9.0</v>
      </c>
      <c r="H767" s="238">
        <v>0.0</v>
      </c>
      <c r="I767" s="238">
        <v>0.0</v>
      </c>
      <c r="J767" s="238">
        <v>0.0</v>
      </c>
      <c r="K767" s="238">
        <v>0.0</v>
      </c>
      <c r="L767" s="238">
        <v>0.0</v>
      </c>
      <c r="M767" s="238">
        <v>0.0</v>
      </c>
      <c r="N767" s="238">
        <v>0.0</v>
      </c>
      <c r="O767" s="238">
        <v>0.0</v>
      </c>
      <c r="P767" s="238">
        <v>0.0</v>
      </c>
      <c r="Q767" s="238">
        <v>0.0</v>
      </c>
      <c r="R767" s="238">
        <v>0.0</v>
      </c>
      <c r="S767" s="238">
        <v>9.0</v>
      </c>
      <c r="T767" s="238">
        <v>0.0</v>
      </c>
      <c r="U767" s="235" t="s">
        <v>156</v>
      </c>
    </row>
    <row r="768">
      <c r="A768" s="250">
        <v>46228.0</v>
      </c>
      <c r="B768" s="235" t="s">
        <v>3415</v>
      </c>
      <c r="C768" s="235" t="s">
        <v>3416</v>
      </c>
      <c r="D768" s="235" t="s">
        <v>2163</v>
      </c>
      <c r="E768" s="235" t="s">
        <v>2164</v>
      </c>
      <c r="F768" s="235" t="s">
        <v>503</v>
      </c>
      <c r="G768" s="238">
        <v>10.0</v>
      </c>
      <c r="H768" s="238">
        <v>0.0</v>
      </c>
      <c r="I768" s="238">
        <v>0.0</v>
      </c>
      <c r="J768" s="238">
        <v>0.0</v>
      </c>
      <c r="K768" s="238">
        <v>0.0</v>
      </c>
      <c r="L768" s="238">
        <v>0.0</v>
      </c>
      <c r="M768" s="238">
        <v>0.0</v>
      </c>
      <c r="N768" s="238">
        <v>0.0</v>
      </c>
      <c r="O768" s="238">
        <v>0.0</v>
      </c>
      <c r="P768" s="238">
        <v>0.0</v>
      </c>
      <c r="Q768" s="238">
        <v>0.0</v>
      </c>
      <c r="R768" s="238">
        <v>0.0</v>
      </c>
      <c r="S768" s="238">
        <v>10.0</v>
      </c>
      <c r="T768" s="238">
        <v>0.0</v>
      </c>
      <c r="U768" s="235" t="s">
        <v>546</v>
      </c>
    </row>
    <row r="769">
      <c r="A769" s="250">
        <v>46228.0</v>
      </c>
      <c r="B769" s="235" t="s">
        <v>3465</v>
      </c>
      <c r="C769" s="235" t="s">
        <v>3466</v>
      </c>
      <c r="D769" s="235" t="s">
        <v>3467</v>
      </c>
      <c r="E769" s="235" t="s">
        <v>3468</v>
      </c>
      <c r="F769" s="235" t="s">
        <v>503</v>
      </c>
      <c r="G769" s="238">
        <v>2.0</v>
      </c>
      <c r="H769" s="238">
        <v>0.0</v>
      </c>
      <c r="I769" s="238">
        <v>0.0</v>
      </c>
      <c r="J769" s="238">
        <v>0.0</v>
      </c>
      <c r="K769" s="238">
        <v>0.0</v>
      </c>
      <c r="L769" s="238">
        <v>0.0</v>
      </c>
      <c r="M769" s="238">
        <v>0.0</v>
      </c>
      <c r="N769" s="238">
        <v>0.0</v>
      </c>
      <c r="O769" s="238">
        <v>0.0</v>
      </c>
      <c r="P769" s="238">
        <v>0.0</v>
      </c>
      <c r="Q769" s="238">
        <v>0.0</v>
      </c>
      <c r="R769" s="238">
        <v>0.0</v>
      </c>
      <c r="S769" s="238">
        <v>2.0</v>
      </c>
      <c r="T769" s="238">
        <v>0.0</v>
      </c>
      <c r="U769" s="235" t="s">
        <v>155</v>
      </c>
    </row>
    <row r="770">
      <c r="A770" s="250">
        <v>46228.0</v>
      </c>
      <c r="B770" s="235" t="s">
        <v>3470</v>
      </c>
      <c r="C770" s="235" t="s">
        <v>3471</v>
      </c>
      <c r="D770" s="235" t="s">
        <v>2964</v>
      </c>
      <c r="E770" s="235" t="s">
        <v>2965</v>
      </c>
      <c r="F770" s="235" t="s">
        <v>503</v>
      </c>
      <c r="G770" s="238">
        <v>2.0</v>
      </c>
      <c r="H770" s="238">
        <v>0.0</v>
      </c>
      <c r="I770" s="238">
        <v>0.0</v>
      </c>
      <c r="J770" s="238">
        <v>0.0</v>
      </c>
      <c r="K770" s="238">
        <v>0.0</v>
      </c>
      <c r="L770" s="238">
        <v>0.0</v>
      </c>
      <c r="M770" s="238">
        <v>0.0</v>
      </c>
      <c r="N770" s="238">
        <v>0.0</v>
      </c>
      <c r="O770" s="238">
        <v>0.0</v>
      </c>
      <c r="P770" s="238">
        <v>0.0</v>
      </c>
      <c r="Q770" s="238">
        <v>0.0</v>
      </c>
      <c r="R770" s="238">
        <v>0.0</v>
      </c>
      <c r="S770" s="238">
        <v>2.0</v>
      </c>
      <c r="T770" s="238">
        <v>0.0</v>
      </c>
      <c r="U770" s="235" t="s">
        <v>20</v>
      </c>
    </row>
    <row r="771">
      <c r="A771" s="250">
        <v>46228.0</v>
      </c>
      <c r="B771" s="235" t="s">
        <v>3480</v>
      </c>
      <c r="C771" s="235" t="s">
        <v>3481</v>
      </c>
      <c r="D771" s="235" t="s">
        <v>726</v>
      </c>
      <c r="E771" s="235" t="s">
        <v>727</v>
      </c>
      <c r="F771" s="235" t="s">
        <v>514</v>
      </c>
      <c r="G771" s="238">
        <v>1.0</v>
      </c>
      <c r="H771" s="238">
        <v>0.0</v>
      </c>
      <c r="I771" s="238">
        <v>0.0</v>
      </c>
      <c r="J771" s="238">
        <v>0.0</v>
      </c>
      <c r="K771" s="238">
        <v>0.0</v>
      </c>
      <c r="L771" s="238">
        <v>0.0</v>
      </c>
      <c r="M771" s="238">
        <v>0.0</v>
      </c>
      <c r="N771" s="238">
        <v>0.0</v>
      </c>
      <c r="O771" s="238">
        <v>0.0</v>
      </c>
      <c r="P771" s="238">
        <v>0.0</v>
      </c>
      <c r="Q771" s="238">
        <v>0.0</v>
      </c>
      <c r="R771" s="238">
        <v>0.0</v>
      </c>
      <c r="S771" s="238">
        <v>0.0</v>
      </c>
      <c r="T771" s="238">
        <v>0.0</v>
      </c>
      <c r="U771" s="235" t="s">
        <v>14</v>
      </c>
    </row>
    <row r="772">
      <c r="A772" s="250">
        <v>46228.0</v>
      </c>
      <c r="B772" s="235" t="s">
        <v>3480</v>
      </c>
      <c r="C772" s="235" t="s">
        <v>3481</v>
      </c>
      <c r="D772" s="235" t="s">
        <v>726</v>
      </c>
      <c r="E772" s="235" t="s">
        <v>727</v>
      </c>
      <c r="F772" s="235" t="s">
        <v>503</v>
      </c>
      <c r="G772" s="238">
        <v>2.0</v>
      </c>
      <c r="H772" s="238">
        <v>0.0</v>
      </c>
      <c r="I772" s="238">
        <v>0.0</v>
      </c>
      <c r="J772" s="238">
        <v>0.0</v>
      </c>
      <c r="K772" s="238">
        <v>0.0</v>
      </c>
      <c r="L772" s="238">
        <v>0.0</v>
      </c>
      <c r="M772" s="238">
        <v>0.0</v>
      </c>
      <c r="N772" s="238">
        <v>0.0</v>
      </c>
      <c r="O772" s="238">
        <v>0.0</v>
      </c>
      <c r="P772" s="238">
        <v>0.0</v>
      </c>
      <c r="Q772" s="238">
        <v>0.0</v>
      </c>
      <c r="R772" s="238">
        <v>0.0</v>
      </c>
      <c r="S772" s="238">
        <v>2.0</v>
      </c>
      <c r="T772" s="238">
        <v>0.0</v>
      </c>
      <c r="U772" s="235" t="s">
        <v>5</v>
      </c>
    </row>
    <row r="773">
      <c r="A773" s="250">
        <v>46228.0</v>
      </c>
      <c r="B773" s="235" t="s">
        <v>3480</v>
      </c>
      <c r="C773" s="235" t="s">
        <v>3481</v>
      </c>
      <c r="D773" s="235" t="s">
        <v>726</v>
      </c>
      <c r="E773" s="235" t="s">
        <v>727</v>
      </c>
      <c r="F773" s="235" t="s">
        <v>503</v>
      </c>
      <c r="G773" s="238">
        <v>0.0</v>
      </c>
      <c r="H773" s="238">
        <v>3.0</v>
      </c>
      <c r="I773" s="238">
        <v>0.0</v>
      </c>
      <c r="J773" s="238">
        <v>0.0</v>
      </c>
      <c r="K773" s="238">
        <v>0.0</v>
      </c>
      <c r="L773" s="238">
        <v>0.0</v>
      </c>
      <c r="M773" s="238">
        <v>0.0</v>
      </c>
      <c r="N773" s="238">
        <v>0.0</v>
      </c>
      <c r="O773" s="238">
        <v>0.0</v>
      </c>
      <c r="P773" s="238">
        <v>0.0</v>
      </c>
      <c r="Q773" s="238">
        <v>0.0</v>
      </c>
      <c r="R773" s="238">
        <v>0.0</v>
      </c>
      <c r="S773" s="238">
        <v>0.0</v>
      </c>
      <c r="T773" s="238">
        <v>0.0</v>
      </c>
      <c r="U773" s="235" t="s">
        <v>596</v>
      </c>
    </row>
    <row r="774">
      <c r="A774" s="250">
        <v>46228.0</v>
      </c>
      <c r="B774" s="235" t="s">
        <v>3480</v>
      </c>
      <c r="C774" s="235" t="s">
        <v>3481</v>
      </c>
      <c r="D774" s="235" t="s">
        <v>726</v>
      </c>
      <c r="E774" s="235" t="s">
        <v>727</v>
      </c>
      <c r="F774" s="235" t="s">
        <v>503</v>
      </c>
      <c r="G774" s="238">
        <v>8.0</v>
      </c>
      <c r="H774" s="238">
        <v>0.0</v>
      </c>
      <c r="I774" s="238">
        <v>0.0</v>
      </c>
      <c r="J774" s="238">
        <v>0.0</v>
      </c>
      <c r="K774" s="238">
        <v>0.0</v>
      </c>
      <c r="L774" s="238">
        <v>0.0</v>
      </c>
      <c r="M774" s="238">
        <v>0.0</v>
      </c>
      <c r="N774" s="238">
        <v>0.0</v>
      </c>
      <c r="O774" s="238">
        <v>0.0</v>
      </c>
      <c r="P774" s="238">
        <v>0.0</v>
      </c>
      <c r="Q774" s="238">
        <v>0.0</v>
      </c>
      <c r="R774" s="238">
        <v>0.0</v>
      </c>
      <c r="S774" s="238">
        <v>8.0</v>
      </c>
      <c r="T774" s="238">
        <v>0.0</v>
      </c>
      <c r="U774" s="235" t="s">
        <v>9</v>
      </c>
    </row>
    <row r="775">
      <c r="A775" s="250">
        <v>46228.0</v>
      </c>
      <c r="B775" s="235" t="s">
        <v>3480</v>
      </c>
      <c r="C775" s="235" t="s">
        <v>3481</v>
      </c>
      <c r="D775" s="235" t="s">
        <v>726</v>
      </c>
      <c r="E775" s="235" t="s">
        <v>727</v>
      </c>
      <c r="F775" s="235" t="s">
        <v>503</v>
      </c>
      <c r="G775" s="238">
        <v>12.0</v>
      </c>
      <c r="H775" s="238">
        <v>0.0</v>
      </c>
      <c r="I775" s="238">
        <v>0.0</v>
      </c>
      <c r="J775" s="238">
        <v>0.0</v>
      </c>
      <c r="K775" s="238">
        <v>0.0</v>
      </c>
      <c r="L775" s="238">
        <v>0.0</v>
      </c>
      <c r="M775" s="238">
        <v>1.0</v>
      </c>
      <c r="N775" s="238">
        <v>0.0</v>
      </c>
      <c r="O775" s="238">
        <v>0.0</v>
      </c>
      <c r="P775" s="238">
        <v>0.0</v>
      </c>
      <c r="Q775" s="238">
        <v>0.0</v>
      </c>
      <c r="R775" s="238">
        <v>0.0</v>
      </c>
      <c r="S775" s="238">
        <v>13.0</v>
      </c>
      <c r="T775" s="238">
        <v>0.0</v>
      </c>
      <c r="U775" s="235" t="s">
        <v>11</v>
      </c>
    </row>
    <row r="776">
      <c r="A776" s="250">
        <v>46228.0</v>
      </c>
      <c r="B776" s="235" t="s">
        <v>3480</v>
      </c>
      <c r="C776" s="235" t="s">
        <v>3481</v>
      </c>
      <c r="D776" s="235" t="s">
        <v>726</v>
      </c>
      <c r="E776" s="235" t="s">
        <v>727</v>
      </c>
      <c r="F776" s="235" t="s">
        <v>503</v>
      </c>
      <c r="G776" s="238">
        <v>9.0</v>
      </c>
      <c r="H776" s="238">
        <v>0.0</v>
      </c>
      <c r="I776" s="238">
        <v>0.0</v>
      </c>
      <c r="J776" s="238">
        <v>-1.0</v>
      </c>
      <c r="K776" s="238">
        <v>0.0</v>
      </c>
      <c r="L776" s="238">
        <v>0.0</v>
      </c>
      <c r="M776" s="238">
        <v>1.0</v>
      </c>
      <c r="N776" s="238">
        <v>0.0</v>
      </c>
      <c r="O776" s="238">
        <v>0.0</v>
      </c>
      <c r="P776" s="238">
        <v>0.0</v>
      </c>
      <c r="Q776" s="238">
        <v>0.0</v>
      </c>
      <c r="R776" s="238">
        <v>0.0</v>
      </c>
      <c r="S776" s="238">
        <v>9.0</v>
      </c>
      <c r="T776" s="238">
        <v>0.0</v>
      </c>
      <c r="U776" s="235" t="s">
        <v>16</v>
      </c>
    </row>
    <row r="777">
      <c r="A777" s="250">
        <v>46228.0</v>
      </c>
      <c r="B777" s="235" t="s">
        <v>3480</v>
      </c>
      <c r="C777" s="235" t="s">
        <v>3481</v>
      </c>
      <c r="D777" s="235" t="s">
        <v>726</v>
      </c>
      <c r="E777" s="235" t="s">
        <v>727</v>
      </c>
      <c r="F777" s="235" t="s">
        <v>503</v>
      </c>
      <c r="G777" s="238">
        <v>2.0</v>
      </c>
      <c r="H777" s="238">
        <v>0.0</v>
      </c>
      <c r="I777" s="238">
        <v>0.0</v>
      </c>
      <c r="J777" s="238">
        <v>0.0</v>
      </c>
      <c r="K777" s="238">
        <v>0.0</v>
      </c>
      <c r="L777" s="238">
        <v>0.0</v>
      </c>
      <c r="M777" s="238">
        <v>0.0</v>
      </c>
      <c r="N777" s="238">
        <v>0.0</v>
      </c>
      <c r="O777" s="238">
        <v>0.0</v>
      </c>
      <c r="P777" s="238">
        <v>0.0</v>
      </c>
      <c r="Q777" s="238">
        <v>0.0</v>
      </c>
      <c r="R777" s="238">
        <v>0.0</v>
      </c>
      <c r="S777" s="238">
        <v>2.0</v>
      </c>
      <c r="T777" s="238">
        <v>0.0</v>
      </c>
      <c r="U777" s="235" t="s">
        <v>17</v>
      </c>
    </row>
    <row r="778">
      <c r="A778" s="250">
        <v>46228.0</v>
      </c>
      <c r="B778" s="235" t="s">
        <v>3480</v>
      </c>
      <c r="C778" s="235" t="s">
        <v>3481</v>
      </c>
      <c r="D778" s="235" t="s">
        <v>726</v>
      </c>
      <c r="E778" s="235" t="s">
        <v>727</v>
      </c>
      <c r="F778" s="235" t="s">
        <v>503</v>
      </c>
      <c r="G778" s="238">
        <v>7.0</v>
      </c>
      <c r="H778" s="238">
        <v>0.0</v>
      </c>
      <c r="I778" s="238">
        <v>0.0</v>
      </c>
      <c r="J778" s="238">
        <v>-1.0</v>
      </c>
      <c r="K778" s="238">
        <v>0.0</v>
      </c>
      <c r="L778" s="238">
        <v>0.0</v>
      </c>
      <c r="M778" s="238">
        <v>0.0</v>
      </c>
      <c r="N778" s="238">
        <v>0.0</v>
      </c>
      <c r="O778" s="238">
        <v>0.0</v>
      </c>
      <c r="P778" s="238">
        <v>0.0</v>
      </c>
      <c r="Q778" s="238">
        <v>0.0</v>
      </c>
      <c r="R778" s="238">
        <v>0.0</v>
      </c>
      <c r="S778" s="238">
        <v>6.0</v>
      </c>
      <c r="T778" s="238">
        <v>0.0</v>
      </c>
      <c r="U778" s="235" t="s">
        <v>155</v>
      </c>
    </row>
    <row r="779">
      <c r="A779" s="250">
        <v>46228.0</v>
      </c>
      <c r="B779" s="235" t="s">
        <v>3480</v>
      </c>
      <c r="C779" s="235" t="s">
        <v>3481</v>
      </c>
      <c r="D779" s="235" t="s">
        <v>726</v>
      </c>
      <c r="E779" s="235" t="s">
        <v>727</v>
      </c>
      <c r="F779" s="235" t="s">
        <v>503</v>
      </c>
      <c r="G779" s="238">
        <v>7.0</v>
      </c>
      <c r="H779" s="238">
        <v>0.0</v>
      </c>
      <c r="I779" s="238">
        <v>0.0</v>
      </c>
      <c r="J779" s="238">
        <v>0.0</v>
      </c>
      <c r="K779" s="238">
        <v>1.0</v>
      </c>
      <c r="L779" s="238">
        <v>0.0</v>
      </c>
      <c r="M779" s="238">
        <v>0.0</v>
      </c>
      <c r="N779" s="238">
        <v>0.0</v>
      </c>
      <c r="O779" s="238">
        <v>0.0</v>
      </c>
      <c r="P779" s="238">
        <v>0.0</v>
      </c>
      <c r="Q779" s="238">
        <v>0.0</v>
      </c>
      <c r="R779" s="238">
        <v>0.0</v>
      </c>
      <c r="S779" s="238">
        <v>8.0</v>
      </c>
      <c r="T779" s="238">
        <v>0.0</v>
      </c>
      <c r="U779" s="235" t="s">
        <v>533</v>
      </c>
    </row>
    <row r="780">
      <c r="A780" s="250">
        <v>46228.0</v>
      </c>
      <c r="B780" s="235" t="s">
        <v>3480</v>
      </c>
      <c r="C780" s="235" t="s">
        <v>3481</v>
      </c>
      <c r="D780" s="235" t="s">
        <v>726</v>
      </c>
      <c r="E780" s="235" t="s">
        <v>727</v>
      </c>
      <c r="F780" s="235" t="s">
        <v>503</v>
      </c>
      <c r="G780" s="238">
        <v>2.0</v>
      </c>
      <c r="H780" s="238">
        <v>0.0</v>
      </c>
      <c r="I780" s="238">
        <v>0.0</v>
      </c>
      <c r="J780" s="238">
        <v>0.0</v>
      </c>
      <c r="K780" s="238">
        <v>0.0</v>
      </c>
      <c r="L780" s="238">
        <v>0.0</v>
      </c>
      <c r="M780" s="238">
        <v>0.0</v>
      </c>
      <c r="N780" s="238">
        <v>0.0</v>
      </c>
      <c r="O780" s="238">
        <v>0.0</v>
      </c>
      <c r="P780" s="238">
        <v>0.0</v>
      </c>
      <c r="Q780" s="238">
        <v>0.0</v>
      </c>
      <c r="R780" s="238">
        <v>0.0</v>
      </c>
      <c r="S780" s="238">
        <v>2.0</v>
      </c>
      <c r="T780" s="238">
        <v>0.0</v>
      </c>
      <c r="U780" s="235" t="s">
        <v>13</v>
      </c>
    </row>
    <row r="781">
      <c r="A781" s="250">
        <v>46228.0</v>
      </c>
      <c r="B781" s="235" t="s">
        <v>3480</v>
      </c>
      <c r="C781" s="235" t="s">
        <v>3481</v>
      </c>
      <c r="D781" s="235" t="s">
        <v>726</v>
      </c>
      <c r="E781" s="235" t="s">
        <v>727</v>
      </c>
      <c r="F781" s="235" t="s">
        <v>503</v>
      </c>
      <c r="G781" s="238">
        <v>6.0</v>
      </c>
      <c r="H781" s="238">
        <v>0.0</v>
      </c>
      <c r="I781" s="238">
        <v>0.0</v>
      </c>
      <c r="J781" s="238">
        <v>-2.0</v>
      </c>
      <c r="K781" s="238">
        <v>0.0</v>
      </c>
      <c r="L781" s="238">
        <v>0.0</v>
      </c>
      <c r="M781" s="238">
        <v>0.0</v>
      </c>
      <c r="N781" s="238">
        <v>0.0</v>
      </c>
      <c r="O781" s="238">
        <v>0.0</v>
      </c>
      <c r="P781" s="238">
        <v>0.0</v>
      </c>
      <c r="Q781" s="238">
        <v>0.0</v>
      </c>
      <c r="R781" s="238">
        <v>0.0</v>
      </c>
      <c r="S781" s="238">
        <v>4.0</v>
      </c>
      <c r="T781" s="238">
        <v>0.0</v>
      </c>
      <c r="U781" s="235" t="s">
        <v>14</v>
      </c>
    </row>
    <row r="782">
      <c r="A782" s="250">
        <v>46228.0</v>
      </c>
      <c r="B782" s="235" t="s">
        <v>3480</v>
      </c>
      <c r="C782" s="235" t="s">
        <v>3481</v>
      </c>
      <c r="D782" s="235" t="s">
        <v>726</v>
      </c>
      <c r="E782" s="235" t="s">
        <v>727</v>
      </c>
      <c r="F782" s="235" t="s">
        <v>503</v>
      </c>
      <c r="G782" s="238">
        <v>7.0</v>
      </c>
      <c r="H782" s="238">
        <v>0.0</v>
      </c>
      <c r="I782" s="238">
        <v>0.0</v>
      </c>
      <c r="J782" s="238">
        <v>0.0</v>
      </c>
      <c r="K782" s="238">
        <v>0.0</v>
      </c>
      <c r="L782" s="238">
        <v>0.0</v>
      </c>
      <c r="M782" s="238">
        <v>0.0</v>
      </c>
      <c r="N782" s="238">
        <v>0.0</v>
      </c>
      <c r="O782" s="238">
        <v>0.0</v>
      </c>
      <c r="P782" s="238">
        <v>0.0</v>
      </c>
      <c r="Q782" s="238">
        <v>0.0</v>
      </c>
      <c r="R782" s="238">
        <v>0.0</v>
      </c>
      <c r="S782" s="238">
        <v>7.0</v>
      </c>
      <c r="T782" s="238">
        <v>0.0</v>
      </c>
      <c r="U782" s="235" t="s">
        <v>18</v>
      </c>
    </row>
    <row r="783">
      <c r="A783" s="250">
        <v>46228.0</v>
      </c>
      <c r="B783" s="235" t="s">
        <v>3480</v>
      </c>
      <c r="C783" s="235" t="s">
        <v>3481</v>
      </c>
      <c r="D783" s="235" t="s">
        <v>726</v>
      </c>
      <c r="E783" s="235" t="s">
        <v>727</v>
      </c>
      <c r="F783" s="235" t="s">
        <v>503</v>
      </c>
      <c r="G783" s="238">
        <v>8.0</v>
      </c>
      <c r="H783" s="238">
        <v>0.0</v>
      </c>
      <c r="I783" s="238">
        <v>0.0</v>
      </c>
      <c r="J783" s="238">
        <v>0.0</v>
      </c>
      <c r="K783" s="238">
        <v>0.0</v>
      </c>
      <c r="L783" s="238">
        <v>0.0</v>
      </c>
      <c r="M783" s="238">
        <v>0.0</v>
      </c>
      <c r="N783" s="238">
        <v>0.0</v>
      </c>
      <c r="O783" s="238">
        <v>0.0</v>
      </c>
      <c r="P783" s="238">
        <v>0.0</v>
      </c>
      <c r="Q783" s="238">
        <v>0.0</v>
      </c>
      <c r="R783" s="238">
        <v>0.0</v>
      </c>
      <c r="S783" s="238">
        <v>8.0</v>
      </c>
      <c r="T783" s="238">
        <v>0.0</v>
      </c>
      <c r="U783" s="235" t="s">
        <v>20</v>
      </c>
    </row>
    <row r="784">
      <c r="A784" s="250">
        <v>46228.0</v>
      </c>
      <c r="B784" s="235" t="s">
        <v>3480</v>
      </c>
      <c r="C784" s="235" t="s">
        <v>3481</v>
      </c>
      <c r="D784" s="235" t="s">
        <v>726</v>
      </c>
      <c r="E784" s="235" t="s">
        <v>727</v>
      </c>
      <c r="F784" s="235" t="s">
        <v>503</v>
      </c>
      <c r="G784" s="238">
        <v>11.0</v>
      </c>
      <c r="H784" s="238">
        <v>0.0</v>
      </c>
      <c r="I784" s="238">
        <v>0.0</v>
      </c>
      <c r="J784" s="238">
        <v>-1.0</v>
      </c>
      <c r="K784" s="238">
        <v>0.0</v>
      </c>
      <c r="L784" s="238">
        <v>0.0</v>
      </c>
      <c r="M784" s="238">
        <v>0.0</v>
      </c>
      <c r="N784" s="238">
        <v>0.0</v>
      </c>
      <c r="O784" s="238">
        <v>0.0</v>
      </c>
      <c r="P784" s="238">
        <v>0.0</v>
      </c>
      <c r="Q784" s="238">
        <v>0.0</v>
      </c>
      <c r="R784" s="238">
        <v>0.0</v>
      </c>
      <c r="S784" s="238">
        <v>10.0</v>
      </c>
      <c r="T784" s="238">
        <v>0.0</v>
      </c>
      <c r="U784" s="235" t="s">
        <v>156</v>
      </c>
    </row>
    <row r="785">
      <c r="A785" s="250">
        <v>46228.0</v>
      </c>
      <c r="B785" s="235" t="s">
        <v>3480</v>
      </c>
      <c r="C785" s="235" t="s">
        <v>3481</v>
      </c>
      <c r="D785" s="235" t="s">
        <v>726</v>
      </c>
      <c r="E785" s="235" t="s">
        <v>727</v>
      </c>
      <c r="F785" s="235" t="s">
        <v>503</v>
      </c>
      <c r="G785" s="238">
        <v>1.0</v>
      </c>
      <c r="H785" s="238">
        <v>0.0</v>
      </c>
      <c r="I785" s="238">
        <v>0.0</v>
      </c>
      <c r="J785" s="238">
        <v>0.0</v>
      </c>
      <c r="K785" s="238">
        <v>0.0</v>
      </c>
      <c r="L785" s="238">
        <v>0.0</v>
      </c>
      <c r="M785" s="238">
        <v>0.0</v>
      </c>
      <c r="N785" s="238">
        <v>0.0</v>
      </c>
      <c r="O785" s="238">
        <v>0.0</v>
      </c>
      <c r="P785" s="238">
        <v>0.0</v>
      </c>
      <c r="Q785" s="238">
        <v>0.0</v>
      </c>
      <c r="R785" s="238">
        <v>0.0</v>
      </c>
      <c r="S785" s="238">
        <v>1.0</v>
      </c>
      <c r="T785" s="238">
        <v>0.0</v>
      </c>
      <c r="U785" s="235" t="s">
        <v>546</v>
      </c>
    </row>
    <row r="786">
      <c r="A786" s="250">
        <v>46228.0</v>
      </c>
      <c r="B786" s="235" t="s">
        <v>3537</v>
      </c>
      <c r="C786" s="235" t="s">
        <v>3538</v>
      </c>
      <c r="D786" s="235" t="s">
        <v>2696</v>
      </c>
      <c r="E786" s="235" t="s">
        <v>2697</v>
      </c>
      <c r="F786" s="235" t="s">
        <v>503</v>
      </c>
      <c r="G786" s="238">
        <v>1.0</v>
      </c>
      <c r="H786" s="238">
        <v>0.0</v>
      </c>
      <c r="I786" s="238">
        <v>0.0</v>
      </c>
      <c r="J786" s="238">
        <v>0.0</v>
      </c>
      <c r="K786" s="238">
        <v>0.0</v>
      </c>
      <c r="L786" s="238">
        <v>0.0</v>
      </c>
      <c r="M786" s="238">
        <v>0.0</v>
      </c>
      <c r="N786" s="238">
        <v>0.0</v>
      </c>
      <c r="O786" s="238">
        <v>0.0</v>
      </c>
      <c r="P786" s="238">
        <v>0.0</v>
      </c>
      <c r="Q786" s="238">
        <v>0.0</v>
      </c>
      <c r="R786" s="238">
        <v>0.0</v>
      </c>
      <c r="S786" s="238">
        <v>1.0</v>
      </c>
      <c r="T786" s="238">
        <v>0.0</v>
      </c>
      <c r="U786" s="235" t="s">
        <v>596</v>
      </c>
    </row>
    <row r="787">
      <c r="A787" s="250">
        <v>46228.0</v>
      </c>
      <c r="B787" s="235" t="s">
        <v>3537</v>
      </c>
      <c r="C787" s="235" t="s">
        <v>3538</v>
      </c>
      <c r="D787" s="235" t="s">
        <v>2696</v>
      </c>
      <c r="E787" s="235" t="s">
        <v>2697</v>
      </c>
      <c r="F787" s="235" t="s">
        <v>503</v>
      </c>
      <c r="G787" s="238">
        <v>4.0</v>
      </c>
      <c r="H787" s="238">
        <v>0.0</v>
      </c>
      <c r="I787" s="238">
        <v>0.0</v>
      </c>
      <c r="J787" s="238">
        <v>-1.0</v>
      </c>
      <c r="K787" s="238">
        <v>0.0</v>
      </c>
      <c r="L787" s="238">
        <v>0.0</v>
      </c>
      <c r="M787" s="238">
        <v>0.0</v>
      </c>
      <c r="N787" s="238">
        <v>0.0</v>
      </c>
      <c r="O787" s="238">
        <v>0.0</v>
      </c>
      <c r="P787" s="238">
        <v>0.0</v>
      </c>
      <c r="Q787" s="238">
        <v>0.0</v>
      </c>
      <c r="R787" s="238">
        <v>0.0</v>
      </c>
      <c r="S787" s="238">
        <v>3.0</v>
      </c>
      <c r="T787" s="238">
        <v>0.0</v>
      </c>
      <c r="U787" s="235" t="s">
        <v>16</v>
      </c>
    </row>
    <row r="788">
      <c r="A788" s="250">
        <v>46228.0</v>
      </c>
      <c r="B788" s="235" t="s">
        <v>3537</v>
      </c>
      <c r="C788" s="235" t="s">
        <v>3538</v>
      </c>
      <c r="D788" s="235" t="s">
        <v>2696</v>
      </c>
      <c r="E788" s="235" t="s">
        <v>2697</v>
      </c>
      <c r="F788" s="235" t="s">
        <v>503</v>
      </c>
      <c r="G788" s="238">
        <v>1.0</v>
      </c>
      <c r="H788" s="238">
        <v>0.0</v>
      </c>
      <c r="I788" s="238">
        <v>0.0</v>
      </c>
      <c r="J788" s="238">
        <v>0.0</v>
      </c>
      <c r="K788" s="238">
        <v>0.0</v>
      </c>
      <c r="L788" s="238">
        <v>0.0</v>
      </c>
      <c r="M788" s="238">
        <v>0.0</v>
      </c>
      <c r="N788" s="238">
        <v>0.0</v>
      </c>
      <c r="O788" s="238">
        <v>0.0</v>
      </c>
      <c r="P788" s="238">
        <v>0.0</v>
      </c>
      <c r="Q788" s="238">
        <v>0.0</v>
      </c>
      <c r="R788" s="238">
        <v>0.0</v>
      </c>
      <c r="S788" s="238">
        <v>1.0</v>
      </c>
      <c r="T788" s="238">
        <v>0.0</v>
      </c>
      <c r="U788" s="235" t="s">
        <v>533</v>
      </c>
    </row>
    <row r="789">
      <c r="A789" s="250">
        <v>46228.0</v>
      </c>
      <c r="B789" s="235" t="s">
        <v>3537</v>
      </c>
      <c r="C789" s="235" t="s">
        <v>3538</v>
      </c>
      <c r="D789" s="235" t="s">
        <v>2696</v>
      </c>
      <c r="E789" s="235" t="s">
        <v>2697</v>
      </c>
      <c r="F789" s="235" t="s">
        <v>503</v>
      </c>
      <c r="G789" s="238">
        <v>3.0</v>
      </c>
      <c r="H789" s="238">
        <v>0.0</v>
      </c>
      <c r="I789" s="238">
        <v>0.0</v>
      </c>
      <c r="J789" s="238">
        <v>0.0</v>
      </c>
      <c r="K789" s="238">
        <v>0.0</v>
      </c>
      <c r="L789" s="238">
        <v>0.0</v>
      </c>
      <c r="M789" s="238">
        <v>0.0</v>
      </c>
      <c r="N789" s="238">
        <v>0.0</v>
      </c>
      <c r="O789" s="238">
        <v>0.0</v>
      </c>
      <c r="P789" s="238">
        <v>0.0</v>
      </c>
      <c r="Q789" s="238">
        <v>0.0</v>
      </c>
      <c r="R789" s="238">
        <v>0.0</v>
      </c>
      <c r="S789" s="238">
        <v>3.0</v>
      </c>
      <c r="T789" s="238">
        <v>0.0</v>
      </c>
      <c r="U789" s="235" t="s">
        <v>14</v>
      </c>
    </row>
    <row r="790">
      <c r="A790" s="250">
        <v>46228.0</v>
      </c>
      <c r="B790" s="235" t="s">
        <v>3537</v>
      </c>
      <c r="C790" s="235" t="s">
        <v>3538</v>
      </c>
      <c r="D790" s="235" t="s">
        <v>2696</v>
      </c>
      <c r="E790" s="235" t="s">
        <v>2697</v>
      </c>
      <c r="F790" s="235" t="s">
        <v>503</v>
      </c>
      <c r="G790" s="238">
        <v>6.0</v>
      </c>
      <c r="H790" s="238">
        <v>0.0</v>
      </c>
      <c r="I790" s="238">
        <v>0.0</v>
      </c>
      <c r="J790" s="238">
        <v>0.0</v>
      </c>
      <c r="K790" s="238">
        <v>0.0</v>
      </c>
      <c r="L790" s="238">
        <v>0.0</v>
      </c>
      <c r="M790" s="238">
        <v>0.0</v>
      </c>
      <c r="N790" s="238">
        <v>0.0</v>
      </c>
      <c r="O790" s="238">
        <v>0.0</v>
      </c>
      <c r="P790" s="238">
        <v>0.0</v>
      </c>
      <c r="Q790" s="238">
        <v>0.0</v>
      </c>
      <c r="R790" s="238">
        <v>0.0</v>
      </c>
      <c r="S790" s="238">
        <v>6.0</v>
      </c>
      <c r="T790" s="238">
        <v>0.0</v>
      </c>
      <c r="U790" s="235" t="s">
        <v>20</v>
      </c>
    </row>
    <row r="791">
      <c r="A791" s="250">
        <v>46228.0</v>
      </c>
      <c r="B791" s="235" t="s">
        <v>3561</v>
      </c>
      <c r="C791" s="235" t="s">
        <v>3563</v>
      </c>
      <c r="D791" s="235" t="s">
        <v>3564</v>
      </c>
      <c r="E791" s="235" t="s">
        <v>3565</v>
      </c>
      <c r="F791" s="235" t="s">
        <v>503</v>
      </c>
      <c r="G791" s="238">
        <v>8.0</v>
      </c>
      <c r="H791" s="238">
        <v>0.0</v>
      </c>
      <c r="I791" s="238">
        <v>0.0</v>
      </c>
      <c r="J791" s="238">
        <v>0.0</v>
      </c>
      <c r="K791" s="238">
        <v>0.0</v>
      </c>
      <c r="L791" s="238">
        <v>0.0</v>
      </c>
      <c r="M791" s="238">
        <v>0.0</v>
      </c>
      <c r="N791" s="238">
        <v>0.0</v>
      </c>
      <c r="O791" s="238">
        <v>0.0</v>
      </c>
      <c r="P791" s="238">
        <v>0.0</v>
      </c>
      <c r="Q791" s="238">
        <v>0.0</v>
      </c>
      <c r="R791" s="238">
        <v>0.0</v>
      </c>
      <c r="S791" s="238">
        <v>8.0</v>
      </c>
      <c r="T791" s="238">
        <v>0.0</v>
      </c>
      <c r="U791" s="235" t="s">
        <v>20</v>
      </c>
    </row>
    <row r="792">
      <c r="A792" s="250">
        <v>46228.0</v>
      </c>
      <c r="B792" s="235" t="s">
        <v>3566</v>
      </c>
      <c r="C792" s="235" t="s">
        <v>3567</v>
      </c>
      <c r="D792" s="235" t="s">
        <v>3568</v>
      </c>
      <c r="E792" s="235" t="s">
        <v>3569</v>
      </c>
      <c r="F792" s="235" t="s">
        <v>514</v>
      </c>
      <c r="G792" s="238">
        <v>1.0</v>
      </c>
      <c r="H792" s="238">
        <v>0.0</v>
      </c>
      <c r="I792" s="238">
        <v>0.0</v>
      </c>
      <c r="J792" s="238">
        <v>0.0</v>
      </c>
      <c r="K792" s="238">
        <v>0.0</v>
      </c>
      <c r="L792" s="238">
        <v>0.0</v>
      </c>
      <c r="M792" s="238">
        <v>0.0</v>
      </c>
      <c r="N792" s="238">
        <v>0.0</v>
      </c>
      <c r="O792" s="238">
        <v>0.0</v>
      </c>
      <c r="P792" s="238">
        <v>0.0</v>
      </c>
      <c r="Q792" s="238">
        <v>0.0</v>
      </c>
      <c r="R792" s="238">
        <v>0.0</v>
      </c>
      <c r="S792" s="238">
        <v>0.0</v>
      </c>
      <c r="T792" s="238">
        <v>0.0</v>
      </c>
      <c r="U792" s="235" t="s">
        <v>20</v>
      </c>
    </row>
    <row r="793">
      <c r="A793" s="250">
        <v>46228.0</v>
      </c>
      <c r="B793" s="235" t="s">
        <v>3566</v>
      </c>
      <c r="C793" s="235" t="s">
        <v>3567</v>
      </c>
      <c r="D793" s="235" t="s">
        <v>3568</v>
      </c>
      <c r="E793" s="235" t="s">
        <v>3569</v>
      </c>
      <c r="F793" s="235" t="s">
        <v>503</v>
      </c>
      <c r="G793" s="238">
        <v>5.0</v>
      </c>
      <c r="H793" s="238">
        <v>0.0</v>
      </c>
      <c r="I793" s="238">
        <v>0.0</v>
      </c>
      <c r="J793" s="238">
        <v>0.0</v>
      </c>
      <c r="K793" s="238">
        <v>0.0</v>
      </c>
      <c r="L793" s="238">
        <v>0.0</v>
      </c>
      <c r="M793" s="238">
        <v>0.0</v>
      </c>
      <c r="N793" s="238">
        <v>0.0</v>
      </c>
      <c r="O793" s="238">
        <v>0.0</v>
      </c>
      <c r="P793" s="238">
        <v>0.0</v>
      </c>
      <c r="Q793" s="238">
        <v>0.0</v>
      </c>
      <c r="R793" s="238">
        <v>0.0</v>
      </c>
      <c r="S793" s="238">
        <v>5.0</v>
      </c>
      <c r="T793" s="238">
        <v>0.0</v>
      </c>
      <c r="U793" s="235" t="s">
        <v>20</v>
      </c>
    </row>
    <row r="794">
      <c r="A794" s="250">
        <v>46228.0</v>
      </c>
      <c r="B794" s="235" t="s">
        <v>3578</v>
      </c>
      <c r="C794" s="235" t="s">
        <v>3580</v>
      </c>
      <c r="D794" s="235" t="s">
        <v>3583</v>
      </c>
      <c r="E794" s="235" t="s">
        <v>3584</v>
      </c>
      <c r="F794" s="235" t="s">
        <v>503</v>
      </c>
      <c r="G794" s="238">
        <v>2.0</v>
      </c>
      <c r="H794" s="238">
        <v>0.0</v>
      </c>
      <c r="I794" s="238">
        <v>0.0</v>
      </c>
      <c r="J794" s="238">
        <v>0.0</v>
      </c>
      <c r="K794" s="238">
        <v>0.0</v>
      </c>
      <c r="L794" s="238">
        <v>0.0</v>
      </c>
      <c r="M794" s="238">
        <v>0.0</v>
      </c>
      <c r="N794" s="238">
        <v>0.0</v>
      </c>
      <c r="O794" s="238">
        <v>0.0</v>
      </c>
      <c r="P794" s="238">
        <v>0.0</v>
      </c>
      <c r="Q794" s="238">
        <v>0.0</v>
      </c>
      <c r="R794" s="238">
        <v>0.0</v>
      </c>
      <c r="S794" s="238">
        <v>2.0</v>
      </c>
      <c r="T794" s="238">
        <v>0.0</v>
      </c>
      <c r="U794" s="235" t="s">
        <v>16</v>
      </c>
    </row>
    <row r="795">
      <c r="A795" s="250">
        <v>46228.0</v>
      </c>
      <c r="B795" s="235" t="s">
        <v>3578</v>
      </c>
      <c r="C795" s="235" t="s">
        <v>3580</v>
      </c>
      <c r="D795" s="235" t="s">
        <v>3583</v>
      </c>
      <c r="E795" s="235" t="s">
        <v>3584</v>
      </c>
      <c r="F795" s="235" t="s">
        <v>503</v>
      </c>
      <c r="G795" s="238">
        <v>1.0</v>
      </c>
      <c r="H795" s="238">
        <v>0.0</v>
      </c>
      <c r="I795" s="238">
        <v>0.0</v>
      </c>
      <c r="J795" s="238">
        <v>0.0</v>
      </c>
      <c r="K795" s="238">
        <v>0.0</v>
      </c>
      <c r="L795" s="238">
        <v>0.0</v>
      </c>
      <c r="M795" s="238">
        <v>0.0</v>
      </c>
      <c r="N795" s="238">
        <v>0.0</v>
      </c>
      <c r="O795" s="238">
        <v>0.0</v>
      </c>
      <c r="P795" s="238">
        <v>0.0</v>
      </c>
      <c r="Q795" s="238">
        <v>0.0</v>
      </c>
      <c r="R795" s="238">
        <v>0.0</v>
      </c>
      <c r="S795" s="238">
        <v>1.0</v>
      </c>
      <c r="T795" s="238">
        <v>0.0</v>
      </c>
      <c r="U795" s="235" t="s">
        <v>14</v>
      </c>
    </row>
    <row r="796">
      <c r="A796" s="250">
        <v>46228.0</v>
      </c>
      <c r="B796" s="235" t="s">
        <v>3578</v>
      </c>
      <c r="C796" s="235" t="s">
        <v>3580</v>
      </c>
      <c r="D796" s="235" t="s">
        <v>3583</v>
      </c>
      <c r="E796" s="235" t="s">
        <v>3584</v>
      </c>
      <c r="F796" s="235" t="s">
        <v>503</v>
      </c>
      <c r="G796" s="238">
        <v>5.0</v>
      </c>
      <c r="H796" s="238">
        <v>0.0</v>
      </c>
      <c r="I796" s="238">
        <v>0.0</v>
      </c>
      <c r="J796" s="238">
        <v>0.0</v>
      </c>
      <c r="K796" s="238">
        <v>0.0</v>
      </c>
      <c r="L796" s="238">
        <v>0.0</v>
      </c>
      <c r="M796" s="238">
        <v>0.0</v>
      </c>
      <c r="N796" s="238">
        <v>0.0</v>
      </c>
      <c r="O796" s="238">
        <v>0.0</v>
      </c>
      <c r="P796" s="238">
        <v>0.0</v>
      </c>
      <c r="Q796" s="238">
        <v>0.0</v>
      </c>
      <c r="R796" s="238">
        <v>0.0</v>
      </c>
      <c r="S796" s="238">
        <v>5.0</v>
      </c>
      <c r="T796" s="238">
        <v>0.0</v>
      </c>
      <c r="U796" s="235" t="s">
        <v>20</v>
      </c>
    </row>
    <row r="797">
      <c r="A797" s="250">
        <v>46228.0</v>
      </c>
      <c r="B797" s="235" t="s">
        <v>3596</v>
      </c>
      <c r="C797" s="235" t="s">
        <v>3597</v>
      </c>
      <c r="D797" s="235" t="s">
        <v>1148</v>
      </c>
      <c r="E797" s="235" t="s">
        <v>1149</v>
      </c>
      <c r="F797" s="235" t="s">
        <v>503</v>
      </c>
      <c r="G797" s="238">
        <v>3.0</v>
      </c>
      <c r="H797" s="238">
        <v>0.0</v>
      </c>
      <c r="I797" s="238">
        <v>0.0</v>
      </c>
      <c r="J797" s="238">
        <v>0.0</v>
      </c>
      <c r="K797" s="238">
        <v>0.0</v>
      </c>
      <c r="L797" s="238">
        <v>0.0</v>
      </c>
      <c r="M797" s="238">
        <v>0.0</v>
      </c>
      <c r="N797" s="238">
        <v>0.0</v>
      </c>
      <c r="O797" s="238">
        <v>0.0</v>
      </c>
      <c r="P797" s="238">
        <v>0.0</v>
      </c>
      <c r="Q797" s="238">
        <v>0.0</v>
      </c>
      <c r="R797" s="238">
        <v>0.0</v>
      </c>
      <c r="S797" s="238">
        <v>3.0</v>
      </c>
      <c r="T797" s="238">
        <v>0.0</v>
      </c>
      <c r="U797" s="235" t="s">
        <v>5</v>
      </c>
    </row>
    <row r="798">
      <c r="A798" s="250">
        <v>46228.0</v>
      </c>
      <c r="B798" s="235" t="s">
        <v>3596</v>
      </c>
      <c r="C798" s="235" t="s">
        <v>3597</v>
      </c>
      <c r="D798" s="235" t="s">
        <v>1148</v>
      </c>
      <c r="E798" s="235" t="s">
        <v>1149</v>
      </c>
      <c r="F798" s="235" t="s">
        <v>503</v>
      </c>
      <c r="G798" s="238">
        <v>11.0</v>
      </c>
      <c r="H798" s="238">
        <v>0.0</v>
      </c>
      <c r="I798" s="238">
        <v>0.0</v>
      </c>
      <c r="J798" s="238">
        <v>0.0</v>
      </c>
      <c r="K798" s="238">
        <v>0.0</v>
      </c>
      <c r="L798" s="238">
        <v>0.0</v>
      </c>
      <c r="M798" s="238">
        <v>0.0</v>
      </c>
      <c r="N798" s="238">
        <v>0.0</v>
      </c>
      <c r="O798" s="238">
        <v>0.0</v>
      </c>
      <c r="P798" s="238">
        <v>0.0</v>
      </c>
      <c r="Q798" s="238">
        <v>0.0</v>
      </c>
      <c r="R798" s="238">
        <v>0.0</v>
      </c>
      <c r="S798" s="238">
        <v>11.0</v>
      </c>
      <c r="T798" s="238">
        <v>0.0</v>
      </c>
      <c r="U798" s="235" t="s">
        <v>9</v>
      </c>
    </row>
    <row r="799">
      <c r="A799" s="250">
        <v>46228.0</v>
      </c>
      <c r="B799" s="235" t="s">
        <v>3596</v>
      </c>
      <c r="C799" s="235" t="s">
        <v>3597</v>
      </c>
      <c r="D799" s="235" t="s">
        <v>1148</v>
      </c>
      <c r="E799" s="235" t="s">
        <v>1149</v>
      </c>
      <c r="F799" s="235" t="s">
        <v>503</v>
      </c>
      <c r="G799" s="238">
        <v>4.0</v>
      </c>
      <c r="H799" s="238">
        <v>0.0</v>
      </c>
      <c r="I799" s="238">
        <v>0.0</v>
      </c>
      <c r="J799" s="238">
        <v>0.0</v>
      </c>
      <c r="K799" s="238">
        <v>0.0</v>
      </c>
      <c r="L799" s="238">
        <v>0.0</v>
      </c>
      <c r="M799" s="238">
        <v>0.0</v>
      </c>
      <c r="N799" s="238">
        <v>0.0</v>
      </c>
      <c r="O799" s="238">
        <v>0.0</v>
      </c>
      <c r="P799" s="238">
        <v>0.0</v>
      </c>
      <c r="Q799" s="238">
        <v>0.0</v>
      </c>
      <c r="R799" s="238">
        <v>0.0</v>
      </c>
      <c r="S799" s="238">
        <v>4.0</v>
      </c>
      <c r="T799" s="238">
        <v>0.0</v>
      </c>
      <c r="U799" s="235" t="s">
        <v>14</v>
      </c>
    </row>
    <row r="800">
      <c r="A800" s="250">
        <v>46228.0</v>
      </c>
      <c r="B800" s="235" t="s">
        <v>3596</v>
      </c>
      <c r="C800" s="235" t="s">
        <v>3597</v>
      </c>
      <c r="D800" s="235" t="s">
        <v>1148</v>
      </c>
      <c r="E800" s="235" t="s">
        <v>1149</v>
      </c>
      <c r="F800" s="235" t="s">
        <v>503</v>
      </c>
      <c r="G800" s="238">
        <v>9.0</v>
      </c>
      <c r="H800" s="238">
        <v>0.0</v>
      </c>
      <c r="I800" s="238">
        <v>0.0</v>
      </c>
      <c r="J800" s="238">
        <v>0.0</v>
      </c>
      <c r="K800" s="238">
        <v>0.0</v>
      </c>
      <c r="L800" s="238">
        <v>0.0</v>
      </c>
      <c r="M800" s="238">
        <v>0.0</v>
      </c>
      <c r="N800" s="238">
        <v>0.0</v>
      </c>
      <c r="O800" s="238">
        <v>0.0</v>
      </c>
      <c r="P800" s="238">
        <v>0.0</v>
      </c>
      <c r="Q800" s="238">
        <v>0.0</v>
      </c>
      <c r="R800" s="238">
        <v>0.0</v>
      </c>
      <c r="S800" s="238">
        <v>9.0</v>
      </c>
      <c r="T800" s="238">
        <v>0.0</v>
      </c>
      <c r="U800" s="235" t="s">
        <v>20</v>
      </c>
    </row>
    <row r="801">
      <c r="A801" s="250">
        <v>46228.0</v>
      </c>
      <c r="B801" s="235" t="s">
        <v>3596</v>
      </c>
      <c r="C801" s="235" t="s">
        <v>3597</v>
      </c>
      <c r="D801" s="235" t="s">
        <v>1148</v>
      </c>
      <c r="E801" s="235" t="s">
        <v>1149</v>
      </c>
      <c r="F801" s="235" t="s">
        <v>503</v>
      </c>
      <c r="G801" s="238">
        <v>4.0</v>
      </c>
      <c r="H801" s="238">
        <v>0.0</v>
      </c>
      <c r="I801" s="238">
        <v>0.0</v>
      </c>
      <c r="J801" s="238">
        <v>0.0</v>
      </c>
      <c r="K801" s="238">
        <v>0.0</v>
      </c>
      <c r="L801" s="238">
        <v>0.0</v>
      </c>
      <c r="M801" s="238">
        <v>0.0</v>
      </c>
      <c r="N801" s="238">
        <v>0.0</v>
      </c>
      <c r="O801" s="238">
        <v>0.0</v>
      </c>
      <c r="P801" s="238">
        <v>0.0</v>
      </c>
      <c r="Q801" s="238">
        <v>0.0</v>
      </c>
      <c r="R801" s="238">
        <v>0.0</v>
      </c>
      <c r="S801" s="238">
        <v>4.0</v>
      </c>
      <c r="T801" s="238">
        <v>0.0</v>
      </c>
      <c r="U801" s="235" t="s">
        <v>156</v>
      </c>
    </row>
    <row r="802">
      <c r="A802" s="250">
        <v>46228.0</v>
      </c>
      <c r="B802" s="235" t="s">
        <v>3596</v>
      </c>
      <c r="C802" s="235" t="s">
        <v>3597</v>
      </c>
      <c r="D802" s="235" t="s">
        <v>1148</v>
      </c>
      <c r="E802" s="235" t="s">
        <v>1149</v>
      </c>
      <c r="F802" s="235" t="s">
        <v>503</v>
      </c>
      <c r="G802" s="238">
        <v>2.0</v>
      </c>
      <c r="H802" s="238">
        <v>0.0</v>
      </c>
      <c r="I802" s="238">
        <v>0.0</v>
      </c>
      <c r="J802" s="238">
        <v>0.0</v>
      </c>
      <c r="K802" s="238">
        <v>0.0</v>
      </c>
      <c r="L802" s="238">
        <v>0.0</v>
      </c>
      <c r="M802" s="238">
        <v>0.0</v>
      </c>
      <c r="N802" s="238">
        <v>0.0</v>
      </c>
      <c r="O802" s="238">
        <v>0.0</v>
      </c>
      <c r="P802" s="238">
        <v>0.0</v>
      </c>
      <c r="Q802" s="238">
        <v>0.0</v>
      </c>
      <c r="R802" s="238">
        <v>0.0</v>
      </c>
      <c r="S802" s="238">
        <v>2.0</v>
      </c>
      <c r="T802" s="238">
        <v>0.0</v>
      </c>
      <c r="U802" s="235" t="s">
        <v>546</v>
      </c>
    </row>
    <row r="803">
      <c r="A803" s="250">
        <v>46228.0</v>
      </c>
      <c r="B803" s="235" t="s">
        <v>3626</v>
      </c>
      <c r="C803" s="235" t="s">
        <v>3628</v>
      </c>
      <c r="D803" s="235" t="s">
        <v>1646</v>
      </c>
      <c r="E803" s="235" t="s">
        <v>1647</v>
      </c>
      <c r="F803" s="235" t="s">
        <v>514</v>
      </c>
      <c r="G803" s="238">
        <v>1.0</v>
      </c>
      <c r="H803" s="238">
        <v>0.0</v>
      </c>
      <c r="I803" s="238">
        <v>0.0</v>
      </c>
      <c r="J803" s="238">
        <v>0.0</v>
      </c>
      <c r="K803" s="238">
        <v>0.0</v>
      </c>
      <c r="L803" s="238">
        <v>0.0</v>
      </c>
      <c r="M803" s="238">
        <v>0.0</v>
      </c>
      <c r="N803" s="238">
        <v>0.0</v>
      </c>
      <c r="O803" s="238">
        <v>0.0</v>
      </c>
      <c r="P803" s="238">
        <v>0.0</v>
      </c>
      <c r="Q803" s="238">
        <v>0.0</v>
      </c>
      <c r="R803" s="238">
        <v>0.0</v>
      </c>
      <c r="S803" s="238">
        <v>0.0</v>
      </c>
      <c r="T803" s="238">
        <v>0.0</v>
      </c>
      <c r="U803" s="235" t="s">
        <v>156</v>
      </c>
    </row>
    <row r="804">
      <c r="A804" s="250">
        <v>46228.0</v>
      </c>
      <c r="B804" s="235" t="s">
        <v>3626</v>
      </c>
      <c r="C804" s="235" t="s">
        <v>3628</v>
      </c>
      <c r="D804" s="235" t="s">
        <v>1646</v>
      </c>
      <c r="E804" s="235" t="s">
        <v>1647</v>
      </c>
      <c r="F804" s="235" t="s">
        <v>2219</v>
      </c>
      <c r="G804" s="238">
        <v>1.0</v>
      </c>
      <c r="H804" s="238">
        <v>0.0</v>
      </c>
      <c r="I804" s="238">
        <v>0.0</v>
      </c>
      <c r="J804" s="238">
        <v>0.0</v>
      </c>
      <c r="K804" s="238">
        <v>0.0</v>
      </c>
      <c r="L804" s="238">
        <v>0.0</v>
      </c>
      <c r="M804" s="238">
        <v>0.0</v>
      </c>
      <c r="N804" s="238">
        <v>0.0</v>
      </c>
      <c r="O804" s="238">
        <v>0.0</v>
      </c>
      <c r="P804" s="238">
        <v>0.0</v>
      </c>
      <c r="Q804" s="238">
        <v>0.0</v>
      </c>
      <c r="R804" s="238">
        <v>0.0</v>
      </c>
      <c r="S804" s="238">
        <v>0.0</v>
      </c>
      <c r="T804" s="238">
        <v>0.0</v>
      </c>
      <c r="U804" s="235" t="s">
        <v>155</v>
      </c>
    </row>
    <row r="805">
      <c r="A805" s="250">
        <v>46228.0</v>
      </c>
      <c r="B805" s="235" t="s">
        <v>3626</v>
      </c>
      <c r="C805" s="235" t="s">
        <v>3628</v>
      </c>
      <c r="D805" s="235" t="s">
        <v>1646</v>
      </c>
      <c r="E805" s="235" t="s">
        <v>1647</v>
      </c>
      <c r="F805" s="235" t="s">
        <v>503</v>
      </c>
      <c r="G805" s="238">
        <v>6.0</v>
      </c>
      <c r="H805" s="238">
        <v>0.0</v>
      </c>
      <c r="I805" s="238">
        <v>0.0</v>
      </c>
      <c r="J805" s="238">
        <v>0.0</v>
      </c>
      <c r="K805" s="238">
        <v>0.0</v>
      </c>
      <c r="L805" s="238">
        <v>0.0</v>
      </c>
      <c r="M805" s="238">
        <v>0.0</v>
      </c>
      <c r="N805" s="238">
        <v>0.0</v>
      </c>
      <c r="O805" s="238">
        <v>0.0</v>
      </c>
      <c r="P805" s="238">
        <v>0.0</v>
      </c>
      <c r="Q805" s="238">
        <v>0.0</v>
      </c>
      <c r="R805" s="238">
        <v>0.0</v>
      </c>
      <c r="S805" s="238">
        <v>6.0</v>
      </c>
      <c r="T805" s="238">
        <v>0.0</v>
      </c>
      <c r="U805" s="235" t="s">
        <v>5</v>
      </c>
    </row>
    <row r="806">
      <c r="A806" s="250">
        <v>46228.0</v>
      </c>
      <c r="B806" s="235" t="s">
        <v>3626</v>
      </c>
      <c r="C806" s="235" t="s">
        <v>3628</v>
      </c>
      <c r="D806" s="235" t="s">
        <v>1646</v>
      </c>
      <c r="E806" s="235" t="s">
        <v>1647</v>
      </c>
      <c r="F806" s="235" t="s">
        <v>503</v>
      </c>
      <c r="G806" s="238">
        <v>2.0</v>
      </c>
      <c r="H806" s="238">
        <v>0.0</v>
      </c>
      <c r="I806" s="238">
        <v>0.0</v>
      </c>
      <c r="J806" s="238">
        <v>0.0</v>
      </c>
      <c r="K806" s="238">
        <v>0.0</v>
      </c>
      <c r="L806" s="238">
        <v>0.0</v>
      </c>
      <c r="M806" s="238">
        <v>0.0</v>
      </c>
      <c r="N806" s="238">
        <v>0.0</v>
      </c>
      <c r="O806" s="238">
        <v>0.0</v>
      </c>
      <c r="P806" s="238">
        <v>0.0</v>
      </c>
      <c r="Q806" s="238">
        <v>0.0</v>
      </c>
      <c r="R806" s="238">
        <v>0.0</v>
      </c>
      <c r="S806" s="238">
        <v>2.0</v>
      </c>
      <c r="T806" s="238">
        <v>0.0</v>
      </c>
      <c r="U806" s="235" t="s">
        <v>9</v>
      </c>
    </row>
    <row r="807">
      <c r="A807" s="250">
        <v>46228.0</v>
      </c>
      <c r="B807" s="235" t="s">
        <v>3626</v>
      </c>
      <c r="C807" s="235" t="s">
        <v>3628</v>
      </c>
      <c r="D807" s="235" t="s">
        <v>1646</v>
      </c>
      <c r="E807" s="235" t="s">
        <v>1647</v>
      </c>
      <c r="F807" s="235" t="s">
        <v>503</v>
      </c>
      <c r="G807" s="238">
        <v>2.0</v>
      </c>
      <c r="H807" s="238">
        <v>0.0</v>
      </c>
      <c r="I807" s="238">
        <v>0.0</v>
      </c>
      <c r="J807" s="238">
        <v>-1.0</v>
      </c>
      <c r="K807" s="238">
        <v>0.0</v>
      </c>
      <c r="L807" s="238">
        <v>0.0</v>
      </c>
      <c r="M807" s="238">
        <v>0.0</v>
      </c>
      <c r="N807" s="238">
        <v>0.0</v>
      </c>
      <c r="O807" s="238">
        <v>0.0</v>
      </c>
      <c r="P807" s="238">
        <v>0.0</v>
      </c>
      <c r="Q807" s="238">
        <v>0.0</v>
      </c>
      <c r="R807" s="238">
        <v>0.0</v>
      </c>
      <c r="S807" s="238">
        <v>1.0</v>
      </c>
      <c r="T807" s="238">
        <v>0.0</v>
      </c>
      <c r="U807" s="235" t="s">
        <v>11</v>
      </c>
    </row>
    <row r="808">
      <c r="A808" s="250">
        <v>46228.0</v>
      </c>
      <c r="B808" s="235" t="s">
        <v>3626</v>
      </c>
      <c r="C808" s="235" t="s">
        <v>3628</v>
      </c>
      <c r="D808" s="235" t="s">
        <v>1646</v>
      </c>
      <c r="E808" s="235" t="s">
        <v>1647</v>
      </c>
      <c r="F808" s="235" t="s">
        <v>503</v>
      </c>
      <c r="G808" s="238">
        <v>4.0</v>
      </c>
      <c r="H808" s="238">
        <v>0.0</v>
      </c>
      <c r="I808" s="238">
        <v>0.0</v>
      </c>
      <c r="J808" s="238">
        <v>0.0</v>
      </c>
      <c r="K808" s="238">
        <v>0.0</v>
      </c>
      <c r="L808" s="238">
        <v>0.0</v>
      </c>
      <c r="M808" s="238">
        <v>0.0</v>
      </c>
      <c r="N808" s="238">
        <v>0.0</v>
      </c>
      <c r="O808" s="238">
        <v>0.0</v>
      </c>
      <c r="P808" s="238">
        <v>0.0</v>
      </c>
      <c r="Q808" s="238">
        <v>0.0</v>
      </c>
      <c r="R808" s="238">
        <v>0.0</v>
      </c>
      <c r="S808" s="238">
        <v>4.0</v>
      </c>
      <c r="T808" s="238">
        <v>0.0</v>
      </c>
      <c r="U808" s="235" t="s">
        <v>16</v>
      </c>
    </row>
    <row r="809">
      <c r="A809" s="250">
        <v>46228.0</v>
      </c>
      <c r="B809" s="235" t="s">
        <v>3626</v>
      </c>
      <c r="C809" s="235" t="s">
        <v>3628</v>
      </c>
      <c r="D809" s="235" t="s">
        <v>1646</v>
      </c>
      <c r="E809" s="235" t="s">
        <v>1647</v>
      </c>
      <c r="F809" s="235" t="s">
        <v>503</v>
      </c>
      <c r="G809" s="238">
        <v>6.0</v>
      </c>
      <c r="H809" s="238">
        <v>0.0</v>
      </c>
      <c r="I809" s="238">
        <v>0.0</v>
      </c>
      <c r="J809" s="238">
        <v>0.0</v>
      </c>
      <c r="K809" s="238">
        <v>0.0</v>
      </c>
      <c r="L809" s="238">
        <v>0.0</v>
      </c>
      <c r="M809" s="238">
        <v>0.0</v>
      </c>
      <c r="N809" s="238">
        <v>0.0</v>
      </c>
      <c r="O809" s="238">
        <v>0.0</v>
      </c>
      <c r="P809" s="238">
        <v>0.0</v>
      </c>
      <c r="Q809" s="238">
        <v>0.0</v>
      </c>
      <c r="R809" s="238">
        <v>0.0</v>
      </c>
      <c r="S809" s="238">
        <v>6.0</v>
      </c>
      <c r="T809" s="238">
        <v>0.0</v>
      </c>
      <c r="U809" s="235" t="s">
        <v>17</v>
      </c>
    </row>
    <row r="810">
      <c r="A810" s="250">
        <v>46228.0</v>
      </c>
      <c r="B810" s="235" t="s">
        <v>3626</v>
      </c>
      <c r="C810" s="235" t="s">
        <v>3628</v>
      </c>
      <c r="D810" s="235" t="s">
        <v>1646</v>
      </c>
      <c r="E810" s="235" t="s">
        <v>1647</v>
      </c>
      <c r="F810" s="235" t="s">
        <v>503</v>
      </c>
      <c r="G810" s="238">
        <v>1.0</v>
      </c>
      <c r="H810" s="238">
        <v>0.0</v>
      </c>
      <c r="I810" s="238">
        <v>0.0</v>
      </c>
      <c r="J810" s="238">
        <v>0.0</v>
      </c>
      <c r="K810" s="238">
        <v>0.0</v>
      </c>
      <c r="L810" s="238">
        <v>0.0</v>
      </c>
      <c r="M810" s="238">
        <v>0.0</v>
      </c>
      <c r="N810" s="238">
        <v>0.0</v>
      </c>
      <c r="O810" s="238">
        <v>0.0</v>
      </c>
      <c r="P810" s="238">
        <v>0.0</v>
      </c>
      <c r="Q810" s="238">
        <v>0.0</v>
      </c>
      <c r="R810" s="238">
        <v>0.0</v>
      </c>
      <c r="S810" s="238">
        <v>1.0</v>
      </c>
      <c r="T810" s="238">
        <v>0.0</v>
      </c>
      <c r="U810" s="235" t="s">
        <v>155</v>
      </c>
    </row>
    <row r="811">
      <c r="A811" s="250">
        <v>46228.0</v>
      </c>
      <c r="B811" s="235" t="s">
        <v>3626</v>
      </c>
      <c r="C811" s="235" t="s">
        <v>3628</v>
      </c>
      <c r="D811" s="235" t="s">
        <v>1646</v>
      </c>
      <c r="E811" s="235" t="s">
        <v>1647</v>
      </c>
      <c r="F811" s="235" t="s">
        <v>503</v>
      </c>
      <c r="G811" s="238">
        <v>2.0</v>
      </c>
      <c r="H811" s="238">
        <v>0.0</v>
      </c>
      <c r="I811" s="238">
        <v>0.0</v>
      </c>
      <c r="J811" s="238">
        <v>0.0</v>
      </c>
      <c r="K811" s="238">
        <v>0.0</v>
      </c>
      <c r="L811" s="238">
        <v>0.0</v>
      </c>
      <c r="M811" s="238">
        <v>0.0</v>
      </c>
      <c r="N811" s="238">
        <v>0.0</v>
      </c>
      <c r="O811" s="238">
        <v>0.0</v>
      </c>
      <c r="P811" s="238">
        <v>0.0</v>
      </c>
      <c r="Q811" s="238">
        <v>0.0</v>
      </c>
      <c r="R811" s="238">
        <v>0.0</v>
      </c>
      <c r="S811" s="238">
        <v>2.0</v>
      </c>
      <c r="T811" s="238">
        <v>0.0</v>
      </c>
      <c r="U811" s="235" t="s">
        <v>533</v>
      </c>
    </row>
    <row r="812">
      <c r="A812" s="250">
        <v>46228.0</v>
      </c>
      <c r="B812" s="235" t="s">
        <v>3626</v>
      </c>
      <c r="C812" s="235" t="s">
        <v>3628</v>
      </c>
      <c r="D812" s="235" t="s">
        <v>1646</v>
      </c>
      <c r="E812" s="235" t="s">
        <v>1647</v>
      </c>
      <c r="F812" s="235" t="s">
        <v>503</v>
      </c>
      <c r="G812" s="238">
        <v>5.0</v>
      </c>
      <c r="H812" s="238">
        <v>0.0</v>
      </c>
      <c r="I812" s="238">
        <v>0.0</v>
      </c>
      <c r="J812" s="238">
        <v>0.0</v>
      </c>
      <c r="K812" s="238">
        <v>0.0</v>
      </c>
      <c r="L812" s="238">
        <v>0.0</v>
      </c>
      <c r="M812" s="238">
        <v>0.0</v>
      </c>
      <c r="N812" s="238">
        <v>0.0</v>
      </c>
      <c r="O812" s="238">
        <v>0.0</v>
      </c>
      <c r="P812" s="238">
        <v>0.0</v>
      </c>
      <c r="Q812" s="238">
        <v>0.0</v>
      </c>
      <c r="R812" s="238">
        <v>0.0</v>
      </c>
      <c r="S812" s="238">
        <v>5.0</v>
      </c>
      <c r="T812" s="238">
        <v>0.0</v>
      </c>
      <c r="U812" s="235" t="s">
        <v>13</v>
      </c>
    </row>
    <row r="813">
      <c r="A813" s="250">
        <v>46228.0</v>
      </c>
      <c r="B813" s="235" t="s">
        <v>3626</v>
      </c>
      <c r="C813" s="235" t="s">
        <v>3628</v>
      </c>
      <c r="D813" s="235" t="s">
        <v>1646</v>
      </c>
      <c r="E813" s="235" t="s">
        <v>1647</v>
      </c>
      <c r="F813" s="235" t="s">
        <v>503</v>
      </c>
      <c r="G813" s="238">
        <v>4.0</v>
      </c>
      <c r="H813" s="238">
        <v>0.0</v>
      </c>
      <c r="I813" s="238">
        <v>0.0</v>
      </c>
      <c r="J813" s="238">
        <v>0.0</v>
      </c>
      <c r="K813" s="238">
        <v>0.0</v>
      </c>
      <c r="L813" s="238">
        <v>0.0</v>
      </c>
      <c r="M813" s="238">
        <v>0.0</v>
      </c>
      <c r="N813" s="238">
        <v>0.0</v>
      </c>
      <c r="O813" s="238">
        <v>0.0</v>
      </c>
      <c r="P813" s="238">
        <v>0.0</v>
      </c>
      <c r="Q813" s="238">
        <v>0.0</v>
      </c>
      <c r="R813" s="238">
        <v>0.0</v>
      </c>
      <c r="S813" s="238">
        <v>4.0</v>
      </c>
      <c r="T813" s="238">
        <v>0.0</v>
      </c>
      <c r="U813" s="235" t="s">
        <v>14</v>
      </c>
    </row>
    <row r="814">
      <c r="A814" s="250">
        <v>46228.0</v>
      </c>
      <c r="B814" s="235" t="s">
        <v>3626</v>
      </c>
      <c r="C814" s="235" t="s">
        <v>3628</v>
      </c>
      <c r="D814" s="235" t="s">
        <v>1646</v>
      </c>
      <c r="E814" s="235" t="s">
        <v>1647</v>
      </c>
      <c r="F814" s="235" t="s">
        <v>503</v>
      </c>
      <c r="G814" s="238">
        <v>2.0</v>
      </c>
      <c r="H814" s="238">
        <v>0.0</v>
      </c>
      <c r="I814" s="238">
        <v>0.0</v>
      </c>
      <c r="J814" s="238">
        <v>0.0</v>
      </c>
      <c r="K814" s="238">
        <v>0.0</v>
      </c>
      <c r="L814" s="238">
        <v>0.0</v>
      </c>
      <c r="M814" s="238">
        <v>0.0</v>
      </c>
      <c r="N814" s="238">
        <v>0.0</v>
      </c>
      <c r="O814" s="238">
        <v>0.0</v>
      </c>
      <c r="P814" s="238">
        <v>0.0</v>
      </c>
      <c r="Q814" s="238">
        <v>0.0</v>
      </c>
      <c r="R814" s="238">
        <v>0.0</v>
      </c>
      <c r="S814" s="238">
        <v>2.0</v>
      </c>
      <c r="T814" s="238">
        <v>0.0</v>
      </c>
      <c r="U814" s="235" t="s">
        <v>20</v>
      </c>
    </row>
    <row r="815">
      <c r="A815" s="250">
        <v>46228.0</v>
      </c>
      <c r="B815" s="235" t="s">
        <v>3626</v>
      </c>
      <c r="C815" s="235" t="s">
        <v>3628</v>
      </c>
      <c r="D815" s="235" t="s">
        <v>1646</v>
      </c>
      <c r="E815" s="235" t="s">
        <v>1647</v>
      </c>
      <c r="F815" s="235" t="s">
        <v>503</v>
      </c>
      <c r="G815" s="238">
        <v>4.0</v>
      </c>
      <c r="H815" s="238">
        <v>0.0</v>
      </c>
      <c r="I815" s="238">
        <v>0.0</v>
      </c>
      <c r="J815" s="238">
        <v>-1.0</v>
      </c>
      <c r="K815" s="238">
        <v>0.0</v>
      </c>
      <c r="L815" s="238">
        <v>0.0</v>
      </c>
      <c r="M815" s="238">
        <v>0.0</v>
      </c>
      <c r="N815" s="238">
        <v>0.0</v>
      </c>
      <c r="O815" s="238">
        <v>0.0</v>
      </c>
      <c r="P815" s="238">
        <v>0.0</v>
      </c>
      <c r="Q815" s="238">
        <v>0.0</v>
      </c>
      <c r="R815" s="238">
        <v>0.0</v>
      </c>
      <c r="S815" s="238">
        <v>3.0</v>
      </c>
      <c r="T815" s="238">
        <v>0.0</v>
      </c>
      <c r="U815" s="235" t="s">
        <v>546</v>
      </c>
    </row>
    <row r="816">
      <c r="A816" s="250">
        <v>46228.0</v>
      </c>
      <c r="B816" s="235" t="s">
        <v>3676</v>
      </c>
      <c r="C816" s="235" t="s">
        <v>3677</v>
      </c>
      <c r="D816" s="235" t="s">
        <v>3678</v>
      </c>
      <c r="E816" s="235" t="s">
        <v>3679</v>
      </c>
      <c r="F816" s="235" t="s">
        <v>503</v>
      </c>
      <c r="G816" s="238">
        <v>1.0</v>
      </c>
      <c r="H816" s="238">
        <v>0.0</v>
      </c>
      <c r="I816" s="238">
        <v>0.0</v>
      </c>
      <c r="J816" s="238">
        <v>0.0</v>
      </c>
      <c r="K816" s="238">
        <v>0.0</v>
      </c>
      <c r="L816" s="238">
        <v>0.0</v>
      </c>
      <c r="M816" s="238">
        <v>0.0</v>
      </c>
      <c r="N816" s="238">
        <v>0.0</v>
      </c>
      <c r="O816" s="238">
        <v>0.0</v>
      </c>
      <c r="P816" s="238">
        <v>0.0</v>
      </c>
      <c r="Q816" s="238">
        <v>0.0</v>
      </c>
      <c r="R816" s="238">
        <v>0.0</v>
      </c>
      <c r="S816" s="238">
        <v>1.0</v>
      </c>
      <c r="T816" s="238">
        <v>0.0</v>
      </c>
      <c r="U816" s="235" t="s">
        <v>11</v>
      </c>
    </row>
    <row r="817">
      <c r="A817" s="250">
        <v>46228.0</v>
      </c>
      <c r="B817" s="235" t="s">
        <v>3676</v>
      </c>
      <c r="C817" s="235" t="s">
        <v>3677</v>
      </c>
      <c r="D817" s="235" t="s">
        <v>3678</v>
      </c>
      <c r="E817" s="235" t="s">
        <v>3679</v>
      </c>
      <c r="F817" s="235" t="s">
        <v>503</v>
      </c>
      <c r="G817" s="238">
        <v>3.0</v>
      </c>
      <c r="H817" s="238">
        <v>0.0</v>
      </c>
      <c r="I817" s="238">
        <v>0.0</v>
      </c>
      <c r="J817" s="238">
        <v>0.0</v>
      </c>
      <c r="K817" s="238">
        <v>0.0</v>
      </c>
      <c r="L817" s="238">
        <v>0.0</v>
      </c>
      <c r="M817" s="238">
        <v>0.0</v>
      </c>
      <c r="N817" s="238">
        <v>0.0</v>
      </c>
      <c r="O817" s="238">
        <v>0.0</v>
      </c>
      <c r="P817" s="238">
        <v>0.0</v>
      </c>
      <c r="Q817" s="238">
        <v>0.0</v>
      </c>
      <c r="R817" s="238">
        <v>0.0</v>
      </c>
      <c r="S817" s="238">
        <v>3.0</v>
      </c>
      <c r="T817" s="238">
        <v>0.0</v>
      </c>
      <c r="U817" s="235" t="s">
        <v>16</v>
      </c>
    </row>
    <row r="818">
      <c r="A818" s="250">
        <v>46228.0</v>
      </c>
      <c r="B818" s="235" t="s">
        <v>3676</v>
      </c>
      <c r="C818" s="235" t="s">
        <v>3677</v>
      </c>
      <c r="D818" s="235" t="s">
        <v>3678</v>
      </c>
      <c r="E818" s="235" t="s">
        <v>3679</v>
      </c>
      <c r="F818" s="235" t="s">
        <v>503</v>
      </c>
      <c r="G818" s="238">
        <v>2.0</v>
      </c>
      <c r="H818" s="238">
        <v>0.0</v>
      </c>
      <c r="I818" s="238">
        <v>0.0</v>
      </c>
      <c r="J818" s="238">
        <v>0.0</v>
      </c>
      <c r="K818" s="238">
        <v>0.0</v>
      </c>
      <c r="L818" s="238">
        <v>0.0</v>
      </c>
      <c r="M818" s="238">
        <v>0.0</v>
      </c>
      <c r="N818" s="238">
        <v>0.0</v>
      </c>
      <c r="O818" s="238">
        <v>0.0</v>
      </c>
      <c r="P818" s="238">
        <v>0.0</v>
      </c>
      <c r="Q818" s="238">
        <v>0.0</v>
      </c>
      <c r="R818" s="238">
        <v>0.0</v>
      </c>
      <c r="S818" s="238">
        <v>2.0</v>
      </c>
      <c r="T818" s="238">
        <v>0.0</v>
      </c>
      <c r="U818" s="235" t="s">
        <v>20</v>
      </c>
    </row>
    <row r="819">
      <c r="A819" s="250">
        <v>46228.0</v>
      </c>
      <c r="B819" s="235" t="s">
        <v>3687</v>
      </c>
      <c r="C819" s="235" t="s">
        <v>3688</v>
      </c>
      <c r="D819" s="235" t="s">
        <v>3689</v>
      </c>
      <c r="E819" s="235" t="s">
        <v>3690</v>
      </c>
      <c r="F819" s="235" t="s">
        <v>503</v>
      </c>
      <c r="G819" s="238">
        <v>1.0</v>
      </c>
      <c r="H819" s="238">
        <v>0.0</v>
      </c>
      <c r="I819" s="238">
        <v>0.0</v>
      </c>
      <c r="J819" s="238">
        <v>0.0</v>
      </c>
      <c r="K819" s="238">
        <v>0.0</v>
      </c>
      <c r="L819" s="238">
        <v>0.0</v>
      </c>
      <c r="M819" s="238">
        <v>0.0</v>
      </c>
      <c r="N819" s="238">
        <v>0.0</v>
      </c>
      <c r="O819" s="238">
        <v>0.0</v>
      </c>
      <c r="P819" s="238">
        <v>0.0</v>
      </c>
      <c r="Q819" s="238">
        <v>0.0</v>
      </c>
      <c r="R819" s="238">
        <v>0.0</v>
      </c>
      <c r="S819" s="238">
        <v>1.0</v>
      </c>
      <c r="T819" s="238">
        <v>0.0</v>
      </c>
      <c r="U819" s="235" t="s">
        <v>20</v>
      </c>
    </row>
    <row r="820">
      <c r="A820" s="250">
        <v>46228.0</v>
      </c>
      <c r="B820" s="235" t="s">
        <v>3694</v>
      </c>
      <c r="C820" s="235" t="s">
        <v>3696</v>
      </c>
      <c r="D820" s="235" t="s">
        <v>842</v>
      </c>
      <c r="E820" s="235" t="s">
        <v>843</v>
      </c>
      <c r="F820" s="235" t="s">
        <v>503</v>
      </c>
      <c r="G820" s="238">
        <v>4.0</v>
      </c>
      <c r="H820" s="238">
        <v>0.0</v>
      </c>
      <c r="I820" s="238">
        <v>0.0</v>
      </c>
      <c r="J820" s="238">
        <v>0.0</v>
      </c>
      <c r="K820" s="238">
        <v>0.0</v>
      </c>
      <c r="L820" s="238">
        <v>0.0</v>
      </c>
      <c r="M820" s="238">
        <v>0.0</v>
      </c>
      <c r="N820" s="238">
        <v>0.0</v>
      </c>
      <c r="O820" s="238">
        <v>0.0</v>
      </c>
      <c r="P820" s="238">
        <v>0.0</v>
      </c>
      <c r="Q820" s="238">
        <v>0.0</v>
      </c>
      <c r="R820" s="238">
        <v>0.0</v>
      </c>
      <c r="S820" s="238">
        <v>4.0</v>
      </c>
      <c r="T820" s="238">
        <v>0.0</v>
      </c>
      <c r="U820" s="235" t="s">
        <v>5</v>
      </c>
    </row>
    <row r="821">
      <c r="A821" s="250">
        <v>46228.0</v>
      </c>
      <c r="B821" s="235" t="s">
        <v>3694</v>
      </c>
      <c r="C821" s="235" t="s">
        <v>3696</v>
      </c>
      <c r="D821" s="235" t="s">
        <v>842</v>
      </c>
      <c r="E821" s="235" t="s">
        <v>843</v>
      </c>
      <c r="F821" s="235" t="s">
        <v>503</v>
      </c>
      <c r="G821" s="238">
        <v>1.0</v>
      </c>
      <c r="H821" s="238">
        <v>0.0</v>
      </c>
      <c r="I821" s="238">
        <v>0.0</v>
      </c>
      <c r="J821" s="238">
        <v>0.0</v>
      </c>
      <c r="K821" s="238">
        <v>0.0</v>
      </c>
      <c r="L821" s="238">
        <v>0.0</v>
      </c>
      <c r="M821" s="238">
        <v>0.0</v>
      </c>
      <c r="N821" s="238">
        <v>0.0</v>
      </c>
      <c r="O821" s="238">
        <v>0.0</v>
      </c>
      <c r="P821" s="238">
        <v>0.0</v>
      </c>
      <c r="Q821" s="238">
        <v>0.0</v>
      </c>
      <c r="R821" s="238">
        <v>0.0</v>
      </c>
      <c r="S821" s="238">
        <v>1.0</v>
      </c>
      <c r="T821" s="238">
        <v>0.0</v>
      </c>
      <c r="U821" s="235" t="s">
        <v>9</v>
      </c>
    </row>
    <row r="822">
      <c r="A822" s="250">
        <v>46228.0</v>
      </c>
      <c r="B822" s="235" t="s">
        <v>3694</v>
      </c>
      <c r="C822" s="235" t="s">
        <v>3696</v>
      </c>
      <c r="D822" s="235" t="s">
        <v>842</v>
      </c>
      <c r="E822" s="235" t="s">
        <v>843</v>
      </c>
      <c r="F822" s="235" t="s">
        <v>503</v>
      </c>
      <c r="G822" s="238">
        <v>5.0</v>
      </c>
      <c r="H822" s="238">
        <v>0.0</v>
      </c>
      <c r="I822" s="238">
        <v>0.0</v>
      </c>
      <c r="J822" s="238">
        <v>0.0</v>
      </c>
      <c r="K822" s="238">
        <v>0.0</v>
      </c>
      <c r="L822" s="238">
        <v>0.0</v>
      </c>
      <c r="M822" s="238">
        <v>0.0</v>
      </c>
      <c r="N822" s="238">
        <v>0.0</v>
      </c>
      <c r="O822" s="238">
        <v>0.0</v>
      </c>
      <c r="P822" s="238">
        <v>0.0</v>
      </c>
      <c r="Q822" s="238">
        <v>0.0</v>
      </c>
      <c r="R822" s="238">
        <v>0.0</v>
      </c>
      <c r="S822" s="238">
        <v>5.0</v>
      </c>
      <c r="T822" s="238">
        <v>0.0</v>
      </c>
      <c r="U822" s="235" t="s">
        <v>11</v>
      </c>
    </row>
    <row r="823">
      <c r="A823" s="250">
        <v>46228.0</v>
      </c>
      <c r="B823" s="235" t="s">
        <v>3694</v>
      </c>
      <c r="C823" s="235" t="s">
        <v>3696</v>
      </c>
      <c r="D823" s="235" t="s">
        <v>842</v>
      </c>
      <c r="E823" s="235" t="s">
        <v>843</v>
      </c>
      <c r="F823" s="235" t="s">
        <v>503</v>
      </c>
      <c r="G823" s="238">
        <v>1.0</v>
      </c>
      <c r="H823" s="238">
        <v>0.0</v>
      </c>
      <c r="I823" s="238">
        <v>0.0</v>
      </c>
      <c r="J823" s="238">
        <v>0.0</v>
      </c>
      <c r="K823" s="238">
        <v>0.0</v>
      </c>
      <c r="L823" s="238">
        <v>0.0</v>
      </c>
      <c r="M823" s="238">
        <v>1.0</v>
      </c>
      <c r="N823" s="238">
        <v>0.0</v>
      </c>
      <c r="O823" s="238">
        <v>0.0</v>
      </c>
      <c r="P823" s="238">
        <v>0.0</v>
      </c>
      <c r="Q823" s="238">
        <v>0.0</v>
      </c>
      <c r="R823" s="238">
        <v>0.0</v>
      </c>
      <c r="S823" s="238">
        <v>2.0</v>
      </c>
      <c r="T823" s="238">
        <v>0.0</v>
      </c>
      <c r="U823" s="235" t="s">
        <v>16</v>
      </c>
    </row>
    <row r="824">
      <c r="A824" s="250">
        <v>46228.0</v>
      </c>
      <c r="B824" s="235" t="s">
        <v>3694</v>
      </c>
      <c r="C824" s="235" t="s">
        <v>3696</v>
      </c>
      <c r="D824" s="235" t="s">
        <v>842</v>
      </c>
      <c r="E824" s="235" t="s">
        <v>843</v>
      </c>
      <c r="F824" s="235" t="s">
        <v>503</v>
      </c>
      <c r="G824" s="238">
        <v>2.0</v>
      </c>
      <c r="H824" s="238">
        <v>0.0</v>
      </c>
      <c r="I824" s="238">
        <v>0.0</v>
      </c>
      <c r="J824" s="238">
        <v>0.0</v>
      </c>
      <c r="K824" s="238">
        <v>0.0</v>
      </c>
      <c r="L824" s="238">
        <v>0.0</v>
      </c>
      <c r="M824" s="238">
        <v>0.0</v>
      </c>
      <c r="N824" s="238">
        <v>0.0</v>
      </c>
      <c r="O824" s="238">
        <v>0.0</v>
      </c>
      <c r="P824" s="238">
        <v>0.0</v>
      </c>
      <c r="Q824" s="238">
        <v>0.0</v>
      </c>
      <c r="R824" s="238">
        <v>0.0</v>
      </c>
      <c r="S824" s="238">
        <v>2.0</v>
      </c>
      <c r="T824" s="238">
        <v>0.0</v>
      </c>
      <c r="U824" s="235" t="s">
        <v>17</v>
      </c>
    </row>
    <row r="825">
      <c r="A825" s="250">
        <v>46228.0</v>
      </c>
      <c r="B825" s="235" t="s">
        <v>3694</v>
      </c>
      <c r="C825" s="235" t="s">
        <v>3696</v>
      </c>
      <c r="D825" s="235" t="s">
        <v>842</v>
      </c>
      <c r="E825" s="235" t="s">
        <v>843</v>
      </c>
      <c r="F825" s="235" t="s">
        <v>503</v>
      </c>
      <c r="G825" s="238">
        <v>1.0</v>
      </c>
      <c r="H825" s="238">
        <v>0.0</v>
      </c>
      <c r="I825" s="238">
        <v>0.0</v>
      </c>
      <c r="J825" s="238">
        <v>0.0</v>
      </c>
      <c r="K825" s="238">
        <v>0.0</v>
      </c>
      <c r="L825" s="238">
        <v>0.0</v>
      </c>
      <c r="M825" s="238">
        <v>0.0</v>
      </c>
      <c r="N825" s="238">
        <v>0.0</v>
      </c>
      <c r="O825" s="238">
        <v>0.0</v>
      </c>
      <c r="P825" s="238">
        <v>0.0</v>
      </c>
      <c r="Q825" s="238">
        <v>0.0</v>
      </c>
      <c r="R825" s="238">
        <v>0.0</v>
      </c>
      <c r="S825" s="238">
        <v>1.0</v>
      </c>
      <c r="T825" s="238">
        <v>0.0</v>
      </c>
      <c r="U825" s="235" t="s">
        <v>155</v>
      </c>
    </row>
    <row r="826">
      <c r="A826" s="250">
        <v>46228.0</v>
      </c>
      <c r="B826" s="235" t="s">
        <v>3694</v>
      </c>
      <c r="C826" s="235" t="s">
        <v>3696</v>
      </c>
      <c r="D826" s="235" t="s">
        <v>842</v>
      </c>
      <c r="E826" s="235" t="s">
        <v>843</v>
      </c>
      <c r="F826" s="235" t="s">
        <v>503</v>
      </c>
      <c r="G826" s="238">
        <v>7.0</v>
      </c>
      <c r="H826" s="238">
        <v>0.0</v>
      </c>
      <c r="I826" s="238">
        <v>0.0</v>
      </c>
      <c r="J826" s="238">
        <v>-1.0</v>
      </c>
      <c r="K826" s="238">
        <v>0.0</v>
      </c>
      <c r="L826" s="238">
        <v>0.0</v>
      </c>
      <c r="M826" s="238">
        <v>0.0</v>
      </c>
      <c r="N826" s="238">
        <v>0.0</v>
      </c>
      <c r="O826" s="238">
        <v>0.0</v>
      </c>
      <c r="P826" s="238">
        <v>0.0</v>
      </c>
      <c r="Q826" s="238">
        <v>0.0</v>
      </c>
      <c r="R826" s="238">
        <v>0.0</v>
      </c>
      <c r="S826" s="238">
        <v>6.0</v>
      </c>
      <c r="T826" s="238">
        <v>0.0</v>
      </c>
      <c r="U826" s="235" t="s">
        <v>533</v>
      </c>
    </row>
    <row r="827">
      <c r="A827" s="250">
        <v>46228.0</v>
      </c>
      <c r="B827" s="235" t="s">
        <v>3694</v>
      </c>
      <c r="C827" s="235" t="s">
        <v>3696</v>
      </c>
      <c r="D827" s="235" t="s">
        <v>842</v>
      </c>
      <c r="E827" s="235" t="s">
        <v>843</v>
      </c>
      <c r="F827" s="235" t="s">
        <v>503</v>
      </c>
      <c r="G827" s="238">
        <v>4.0</v>
      </c>
      <c r="H827" s="238">
        <v>0.0</v>
      </c>
      <c r="I827" s="238">
        <v>0.0</v>
      </c>
      <c r="J827" s="238">
        <v>0.0</v>
      </c>
      <c r="K827" s="238">
        <v>0.0</v>
      </c>
      <c r="L827" s="238">
        <v>0.0</v>
      </c>
      <c r="M827" s="238">
        <v>0.0</v>
      </c>
      <c r="N827" s="238">
        <v>0.0</v>
      </c>
      <c r="O827" s="238">
        <v>0.0</v>
      </c>
      <c r="P827" s="238">
        <v>0.0</v>
      </c>
      <c r="Q827" s="238">
        <v>0.0</v>
      </c>
      <c r="R827" s="238">
        <v>0.0</v>
      </c>
      <c r="S827" s="238">
        <v>4.0</v>
      </c>
      <c r="T827" s="238">
        <v>0.0</v>
      </c>
      <c r="U827" s="235" t="s">
        <v>13</v>
      </c>
    </row>
    <row r="828">
      <c r="A828" s="250">
        <v>46228.0</v>
      </c>
      <c r="B828" s="235" t="s">
        <v>3694</v>
      </c>
      <c r="C828" s="235" t="s">
        <v>3696</v>
      </c>
      <c r="D828" s="235" t="s">
        <v>842</v>
      </c>
      <c r="E828" s="235" t="s">
        <v>843</v>
      </c>
      <c r="F828" s="235" t="s">
        <v>503</v>
      </c>
      <c r="G828" s="238">
        <v>1.0</v>
      </c>
      <c r="H828" s="238">
        <v>0.0</v>
      </c>
      <c r="I828" s="238">
        <v>0.0</v>
      </c>
      <c r="J828" s="238">
        <v>0.0</v>
      </c>
      <c r="K828" s="238">
        <v>0.0</v>
      </c>
      <c r="L828" s="238">
        <v>0.0</v>
      </c>
      <c r="M828" s="238">
        <v>0.0</v>
      </c>
      <c r="N828" s="238">
        <v>0.0</v>
      </c>
      <c r="O828" s="238">
        <v>0.0</v>
      </c>
      <c r="P828" s="238">
        <v>0.0</v>
      </c>
      <c r="Q828" s="238">
        <v>0.0</v>
      </c>
      <c r="R828" s="238">
        <v>0.0</v>
      </c>
      <c r="S828" s="238">
        <v>1.0</v>
      </c>
      <c r="T828" s="238">
        <v>0.0</v>
      </c>
      <c r="U828" s="235" t="s">
        <v>14</v>
      </c>
    </row>
    <row r="829">
      <c r="A829" s="250">
        <v>46228.0</v>
      </c>
      <c r="B829" s="235" t="s">
        <v>3694</v>
      </c>
      <c r="C829" s="235" t="s">
        <v>3696</v>
      </c>
      <c r="D829" s="235" t="s">
        <v>842</v>
      </c>
      <c r="E829" s="235" t="s">
        <v>843</v>
      </c>
      <c r="F829" s="235" t="s">
        <v>503</v>
      </c>
      <c r="G829" s="238">
        <v>23.0</v>
      </c>
      <c r="H829" s="238">
        <v>0.0</v>
      </c>
      <c r="I829" s="238">
        <v>0.0</v>
      </c>
      <c r="J829" s="238">
        <v>0.0</v>
      </c>
      <c r="K829" s="238">
        <v>0.0</v>
      </c>
      <c r="L829" s="238">
        <v>0.0</v>
      </c>
      <c r="M829" s="238">
        <v>0.0</v>
      </c>
      <c r="N829" s="238">
        <v>0.0</v>
      </c>
      <c r="O829" s="238">
        <v>0.0</v>
      </c>
      <c r="P829" s="238">
        <v>0.0</v>
      </c>
      <c r="Q829" s="238">
        <v>0.0</v>
      </c>
      <c r="R829" s="238">
        <v>0.0</v>
      </c>
      <c r="S829" s="238">
        <v>23.0</v>
      </c>
      <c r="T829" s="238">
        <v>0.0</v>
      </c>
      <c r="U829" s="235" t="s">
        <v>20</v>
      </c>
    </row>
    <row r="830">
      <c r="A830" s="250">
        <v>46228.0</v>
      </c>
      <c r="B830" s="235" t="s">
        <v>3694</v>
      </c>
      <c r="C830" s="235" t="s">
        <v>3696</v>
      </c>
      <c r="D830" s="235" t="s">
        <v>842</v>
      </c>
      <c r="E830" s="235" t="s">
        <v>843</v>
      </c>
      <c r="F830" s="235" t="s">
        <v>503</v>
      </c>
      <c r="G830" s="238">
        <v>12.0</v>
      </c>
      <c r="H830" s="238">
        <v>0.0</v>
      </c>
      <c r="I830" s="238">
        <v>0.0</v>
      </c>
      <c r="J830" s="238">
        <v>0.0</v>
      </c>
      <c r="K830" s="238">
        <v>0.0</v>
      </c>
      <c r="L830" s="238">
        <v>0.0</v>
      </c>
      <c r="M830" s="238">
        <v>0.0</v>
      </c>
      <c r="N830" s="238">
        <v>0.0</v>
      </c>
      <c r="O830" s="238">
        <v>0.0</v>
      </c>
      <c r="P830" s="238">
        <v>0.0</v>
      </c>
      <c r="Q830" s="238">
        <v>0.0</v>
      </c>
      <c r="R830" s="238">
        <v>0.0</v>
      </c>
      <c r="S830" s="238">
        <v>12.0</v>
      </c>
      <c r="T830" s="238">
        <v>0.0</v>
      </c>
      <c r="U830" s="235" t="s">
        <v>156</v>
      </c>
    </row>
    <row r="831">
      <c r="A831" s="250">
        <v>46228.0</v>
      </c>
      <c r="B831" s="235" t="s">
        <v>3694</v>
      </c>
      <c r="C831" s="235" t="s">
        <v>3696</v>
      </c>
      <c r="D831" s="235" t="s">
        <v>842</v>
      </c>
      <c r="E831" s="235" t="s">
        <v>843</v>
      </c>
      <c r="F831" s="235" t="s">
        <v>503</v>
      </c>
      <c r="G831" s="238">
        <v>18.0</v>
      </c>
      <c r="H831" s="238">
        <v>0.0</v>
      </c>
      <c r="I831" s="238">
        <v>0.0</v>
      </c>
      <c r="J831" s="238">
        <v>0.0</v>
      </c>
      <c r="K831" s="238">
        <v>0.0</v>
      </c>
      <c r="L831" s="238">
        <v>0.0</v>
      </c>
      <c r="M831" s="238">
        <v>-1.0</v>
      </c>
      <c r="N831" s="238">
        <v>0.0</v>
      </c>
      <c r="O831" s="238">
        <v>0.0</v>
      </c>
      <c r="P831" s="238">
        <v>0.0</v>
      </c>
      <c r="Q831" s="238">
        <v>0.0</v>
      </c>
      <c r="R831" s="238">
        <v>0.0</v>
      </c>
      <c r="S831" s="238">
        <v>17.0</v>
      </c>
      <c r="T831" s="238">
        <v>0.0</v>
      </c>
      <c r="U831" s="235" t="s">
        <v>546</v>
      </c>
    </row>
    <row r="832">
      <c r="A832" s="250">
        <v>46228.0</v>
      </c>
      <c r="B832" s="235" t="s">
        <v>3694</v>
      </c>
      <c r="C832" s="235" t="s">
        <v>3696</v>
      </c>
      <c r="D832" s="235" t="s">
        <v>842</v>
      </c>
      <c r="E832" s="235" t="s">
        <v>843</v>
      </c>
      <c r="F832" s="235" t="s">
        <v>1808</v>
      </c>
      <c r="G832" s="238">
        <v>1.0</v>
      </c>
      <c r="H832" s="238">
        <v>0.0</v>
      </c>
      <c r="I832" s="238">
        <v>0.0</v>
      </c>
      <c r="J832" s="238">
        <v>0.0</v>
      </c>
      <c r="K832" s="238">
        <v>0.0</v>
      </c>
      <c r="L832" s="238">
        <v>0.0</v>
      </c>
      <c r="M832" s="238">
        <v>0.0</v>
      </c>
      <c r="N832" s="238">
        <v>0.0</v>
      </c>
      <c r="O832" s="238">
        <v>0.0</v>
      </c>
      <c r="P832" s="238">
        <v>0.0</v>
      </c>
      <c r="Q832" s="238">
        <v>0.0</v>
      </c>
      <c r="R832" s="238">
        <v>0.0</v>
      </c>
      <c r="S832" s="238">
        <v>0.0</v>
      </c>
      <c r="T832" s="238">
        <v>0.0</v>
      </c>
      <c r="U832" s="235" t="s">
        <v>1853</v>
      </c>
    </row>
    <row r="833">
      <c r="A833" s="250">
        <v>46228.0</v>
      </c>
      <c r="B833" s="235" t="s">
        <v>3737</v>
      </c>
      <c r="C833" s="235" t="s">
        <v>3738</v>
      </c>
      <c r="D833" s="235" t="s">
        <v>3739</v>
      </c>
      <c r="E833" s="235" t="s">
        <v>3740</v>
      </c>
      <c r="F833" s="235" t="s">
        <v>503</v>
      </c>
      <c r="G833" s="238">
        <v>1.0</v>
      </c>
      <c r="H833" s="238">
        <v>0.0</v>
      </c>
      <c r="I833" s="238">
        <v>0.0</v>
      </c>
      <c r="J833" s="238">
        <v>0.0</v>
      </c>
      <c r="K833" s="238">
        <v>0.0</v>
      </c>
      <c r="L833" s="238">
        <v>0.0</v>
      </c>
      <c r="M833" s="238">
        <v>0.0</v>
      </c>
      <c r="N833" s="238">
        <v>0.0</v>
      </c>
      <c r="O833" s="238">
        <v>0.0</v>
      </c>
      <c r="P833" s="238">
        <v>0.0</v>
      </c>
      <c r="Q833" s="238">
        <v>0.0</v>
      </c>
      <c r="R833" s="238">
        <v>0.0</v>
      </c>
      <c r="S833" s="238">
        <v>1.0</v>
      </c>
      <c r="T833" s="238">
        <v>0.0</v>
      </c>
      <c r="U833" s="235" t="s">
        <v>5</v>
      </c>
    </row>
    <row r="834">
      <c r="A834" s="250">
        <v>46228.0</v>
      </c>
      <c r="B834" s="235" t="s">
        <v>3737</v>
      </c>
      <c r="C834" s="235" t="s">
        <v>3738</v>
      </c>
      <c r="D834" s="235" t="s">
        <v>3739</v>
      </c>
      <c r="E834" s="235" t="s">
        <v>3740</v>
      </c>
      <c r="F834" s="235" t="s">
        <v>503</v>
      </c>
      <c r="G834" s="238">
        <v>1.0</v>
      </c>
      <c r="H834" s="238">
        <v>0.0</v>
      </c>
      <c r="I834" s="238">
        <v>0.0</v>
      </c>
      <c r="J834" s="238">
        <v>0.0</v>
      </c>
      <c r="K834" s="238">
        <v>0.0</v>
      </c>
      <c r="L834" s="238">
        <v>0.0</v>
      </c>
      <c r="M834" s="238">
        <v>0.0</v>
      </c>
      <c r="N834" s="238">
        <v>0.0</v>
      </c>
      <c r="O834" s="238">
        <v>0.0</v>
      </c>
      <c r="P834" s="238">
        <v>0.0</v>
      </c>
      <c r="Q834" s="238">
        <v>0.0</v>
      </c>
      <c r="R834" s="238">
        <v>0.0</v>
      </c>
      <c r="S834" s="238">
        <v>1.0</v>
      </c>
      <c r="T834" s="238">
        <v>0.0</v>
      </c>
      <c r="U834" s="235" t="s">
        <v>533</v>
      </c>
    </row>
    <row r="835">
      <c r="A835" s="250">
        <v>46228.0</v>
      </c>
      <c r="B835" s="235" t="s">
        <v>3737</v>
      </c>
      <c r="C835" s="235" t="s">
        <v>3738</v>
      </c>
      <c r="D835" s="235" t="s">
        <v>3739</v>
      </c>
      <c r="E835" s="235" t="s">
        <v>3740</v>
      </c>
      <c r="F835" s="235" t="s">
        <v>503</v>
      </c>
      <c r="G835" s="238">
        <v>7.0</v>
      </c>
      <c r="H835" s="238">
        <v>0.0</v>
      </c>
      <c r="I835" s="238">
        <v>0.0</v>
      </c>
      <c r="J835" s="238">
        <v>0.0</v>
      </c>
      <c r="K835" s="238">
        <v>0.0</v>
      </c>
      <c r="L835" s="238">
        <v>0.0</v>
      </c>
      <c r="M835" s="238">
        <v>0.0</v>
      </c>
      <c r="N835" s="238">
        <v>0.0</v>
      </c>
      <c r="O835" s="238">
        <v>0.0</v>
      </c>
      <c r="P835" s="238">
        <v>0.0</v>
      </c>
      <c r="Q835" s="238">
        <v>0.0</v>
      </c>
      <c r="R835" s="238">
        <v>0.0</v>
      </c>
      <c r="S835" s="238">
        <v>7.0</v>
      </c>
      <c r="T835" s="238">
        <v>0.0</v>
      </c>
      <c r="U835" s="235" t="s">
        <v>13</v>
      </c>
    </row>
    <row r="836">
      <c r="A836" s="250">
        <v>46228.0</v>
      </c>
      <c r="B836" s="235" t="s">
        <v>3737</v>
      </c>
      <c r="C836" s="235" t="s">
        <v>3738</v>
      </c>
      <c r="D836" s="235" t="s">
        <v>3739</v>
      </c>
      <c r="E836" s="235" t="s">
        <v>3740</v>
      </c>
      <c r="F836" s="235" t="s">
        <v>503</v>
      </c>
      <c r="G836" s="238">
        <v>5.0</v>
      </c>
      <c r="H836" s="238">
        <v>0.0</v>
      </c>
      <c r="I836" s="238">
        <v>0.0</v>
      </c>
      <c r="J836" s="238">
        <v>0.0</v>
      </c>
      <c r="K836" s="238">
        <v>0.0</v>
      </c>
      <c r="L836" s="238">
        <v>0.0</v>
      </c>
      <c r="M836" s="238">
        <v>0.0</v>
      </c>
      <c r="N836" s="238">
        <v>0.0</v>
      </c>
      <c r="O836" s="238">
        <v>0.0</v>
      </c>
      <c r="P836" s="238">
        <v>0.0</v>
      </c>
      <c r="Q836" s="238">
        <v>0.0</v>
      </c>
      <c r="R836" s="238">
        <v>0.0</v>
      </c>
      <c r="S836" s="238">
        <v>5.0</v>
      </c>
      <c r="T836" s="238">
        <v>0.0</v>
      </c>
      <c r="U836" s="235" t="s">
        <v>14</v>
      </c>
    </row>
    <row r="837">
      <c r="A837" s="250">
        <v>46228.0</v>
      </c>
      <c r="B837" s="235" t="s">
        <v>3737</v>
      </c>
      <c r="C837" s="235" t="s">
        <v>3738</v>
      </c>
      <c r="D837" s="235" t="s">
        <v>3739</v>
      </c>
      <c r="E837" s="235" t="s">
        <v>3740</v>
      </c>
      <c r="F837" s="235" t="s">
        <v>503</v>
      </c>
      <c r="G837" s="238">
        <v>1.0</v>
      </c>
      <c r="H837" s="238">
        <v>0.0</v>
      </c>
      <c r="I837" s="238">
        <v>0.0</v>
      </c>
      <c r="J837" s="238">
        <v>0.0</v>
      </c>
      <c r="K837" s="238">
        <v>0.0</v>
      </c>
      <c r="L837" s="238">
        <v>0.0</v>
      </c>
      <c r="M837" s="238">
        <v>0.0</v>
      </c>
      <c r="N837" s="238">
        <v>0.0</v>
      </c>
      <c r="O837" s="238">
        <v>0.0</v>
      </c>
      <c r="P837" s="238">
        <v>0.0</v>
      </c>
      <c r="Q837" s="238">
        <v>0.0</v>
      </c>
      <c r="R837" s="238">
        <v>0.0</v>
      </c>
      <c r="S837" s="238">
        <v>1.0</v>
      </c>
      <c r="T837" s="238">
        <v>0.0</v>
      </c>
      <c r="U837" s="235" t="s">
        <v>20</v>
      </c>
    </row>
    <row r="838">
      <c r="A838" s="250">
        <v>46228.0</v>
      </c>
      <c r="B838" s="235" t="s">
        <v>3737</v>
      </c>
      <c r="C838" s="235" t="s">
        <v>3738</v>
      </c>
      <c r="D838" s="235" t="s">
        <v>3739</v>
      </c>
      <c r="E838" s="235" t="s">
        <v>3740</v>
      </c>
      <c r="F838" s="235" t="s">
        <v>503</v>
      </c>
      <c r="G838" s="238">
        <v>1.0</v>
      </c>
      <c r="H838" s="238">
        <v>0.0</v>
      </c>
      <c r="I838" s="238">
        <v>0.0</v>
      </c>
      <c r="J838" s="238">
        <v>0.0</v>
      </c>
      <c r="K838" s="238">
        <v>0.0</v>
      </c>
      <c r="L838" s="238">
        <v>0.0</v>
      </c>
      <c r="M838" s="238">
        <v>0.0</v>
      </c>
      <c r="N838" s="238">
        <v>0.0</v>
      </c>
      <c r="O838" s="238">
        <v>0.0</v>
      </c>
      <c r="P838" s="238">
        <v>0.0</v>
      </c>
      <c r="Q838" s="238">
        <v>0.0</v>
      </c>
      <c r="R838" s="238">
        <v>0.0</v>
      </c>
      <c r="S838" s="238">
        <v>1.0</v>
      </c>
      <c r="T838" s="238">
        <v>0.0</v>
      </c>
      <c r="U838" s="235" t="s">
        <v>546</v>
      </c>
    </row>
    <row r="839">
      <c r="A839" s="250">
        <v>46228.0</v>
      </c>
      <c r="B839" s="235" t="s">
        <v>3756</v>
      </c>
      <c r="C839" s="235" t="s">
        <v>3757</v>
      </c>
      <c r="D839" s="235" t="s">
        <v>3758</v>
      </c>
      <c r="E839" s="235" t="s">
        <v>3759</v>
      </c>
      <c r="F839" s="235" t="s">
        <v>503</v>
      </c>
      <c r="G839" s="238">
        <v>1.0</v>
      </c>
      <c r="H839" s="238">
        <v>0.0</v>
      </c>
      <c r="I839" s="238">
        <v>0.0</v>
      </c>
      <c r="J839" s="238">
        <v>0.0</v>
      </c>
      <c r="K839" s="238">
        <v>0.0</v>
      </c>
      <c r="L839" s="238">
        <v>0.0</v>
      </c>
      <c r="M839" s="238">
        <v>0.0</v>
      </c>
      <c r="N839" s="238">
        <v>0.0</v>
      </c>
      <c r="O839" s="238">
        <v>0.0</v>
      </c>
      <c r="P839" s="238">
        <v>0.0</v>
      </c>
      <c r="Q839" s="238">
        <v>0.0</v>
      </c>
      <c r="R839" s="238">
        <v>0.0</v>
      </c>
      <c r="S839" s="238">
        <v>1.0</v>
      </c>
      <c r="T839" s="238">
        <v>0.0</v>
      </c>
      <c r="U839" s="235" t="s">
        <v>155</v>
      </c>
    </row>
    <row r="840">
      <c r="A840" s="250">
        <v>46228.0</v>
      </c>
      <c r="B840" s="235" t="s">
        <v>3756</v>
      </c>
      <c r="C840" s="235" t="s">
        <v>3757</v>
      </c>
      <c r="D840" s="235" t="s">
        <v>3758</v>
      </c>
      <c r="E840" s="235" t="s">
        <v>3759</v>
      </c>
      <c r="F840" s="235" t="s">
        <v>503</v>
      </c>
      <c r="G840" s="238">
        <v>4.0</v>
      </c>
      <c r="H840" s="238">
        <v>0.0</v>
      </c>
      <c r="I840" s="238">
        <v>0.0</v>
      </c>
      <c r="J840" s="238">
        <v>0.0</v>
      </c>
      <c r="K840" s="238">
        <v>0.0</v>
      </c>
      <c r="L840" s="238">
        <v>0.0</v>
      </c>
      <c r="M840" s="238">
        <v>0.0</v>
      </c>
      <c r="N840" s="238">
        <v>0.0</v>
      </c>
      <c r="O840" s="238">
        <v>0.0</v>
      </c>
      <c r="P840" s="238">
        <v>0.0</v>
      </c>
      <c r="Q840" s="238">
        <v>0.0</v>
      </c>
      <c r="R840" s="238">
        <v>0.0</v>
      </c>
      <c r="S840" s="238">
        <v>4.0</v>
      </c>
      <c r="T840" s="238">
        <v>0.0</v>
      </c>
      <c r="U840" s="235" t="s">
        <v>13</v>
      </c>
    </row>
    <row r="841">
      <c r="A841" s="250">
        <v>46228.0</v>
      </c>
      <c r="B841" s="235" t="s">
        <v>3756</v>
      </c>
      <c r="C841" s="235" t="s">
        <v>3757</v>
      </c>
      <c r="D841" s="235" t="s">
        <v>3758</v>
      </c>
      <c r="E841" s="235" t="s">
        <v>3759</v>
      </c>
      <c r="F841" s="235" t="s">
        <v>503</v>
      </c>
      <c r="G841" s="238">
        <v>3.0</v>
      </c>
      <c r="H841" s="238">
        <v>0.0</v>
      </c>
      <c r="I841" s="238">
        <v>0.0</v>
      </c>
      <c r="J841" s="238">
        <v>0.0</v>
      </c>
      <c r="K841" s="238">
        <v>0.0</v>
      </c>
      <c r="L841" s="238">
        <v>0.0</v>
      </c>
      <c r="M841" s="238">
        <v>0.0</v>
      </c>
      <c r="N841" s="238">
        <v>0.0</v>
      </c>
      <c r="O841" s="238">
        <v>0.0</v>
      </c>
      <c r="P841" s="238">
        <v>0.0</v>
      </c>
      <c r="Q841" s="238">
        <v>0.0</v>
      </c>
      <c r="R841" s="238">
        <v>0.0</v>
      </c>
      <c r="S841" s="238">
        <v>3.0</v>
      </c>
      <c r="T841" s="238">
        <v>0.0</v>
      </c>
      <c r="U841" s="235" t="s">
        <v>14</v>
      </c>
    </row>
    <row r="842">
      <c r="A842" s="250">
        <v>46228.0</v>
      </c>
      <c r="B842" s="235" t="s">
        <v>3756</v>
      </c>
      <c r="C842" s="235" t="s">
        <v>3757</v>
      </c>
      <c r="D842" s="235" t="s">
        <v>3758</v>
      </c>
      <c r="E842" s="235" t="s">
        <v>3759</v>
      </c>
      <c r="F842" s="235" t="s">
        <v>503</v>
      </c>
      <c r="G842" s="238">
        <v>1.0</v>
      </c>
      <c r="H842" s="238">
        <v>0.0</v>
      </c>
      <c r="I842" s="238">
        <v>0.0</v>
      </c>
      <c r="J842" s="238">
        <v>0.0</v>
      </c>
      <c r="K842" s="238">
        <v>0.0</v>
      </c>
      <c r="L842" s="238">
        <v>0.0</v>
      </c>
      <c r="M842" s="238">
        <v>0.0</v>
      </c>
      <c r="N842" s="238">
        <v>0.0</v>
      </c>
      <c r="O842" s="238">
        <v>0.0</v>
      </c>
      <c r="P842" s="238">
        <v>0.0</v>
      </c>
      <c r="Q842" s="238">
        <v>0.0</v>
      </c>
      <c r="R842" s="238">
        <v>0.0</v>
      </c>
      <c r="S842" s="238">
        <v>1.0</v>
      </c>
      <c r="T842" s="238">
        <v>0.0</v>
      </c>
      <c r="U842" s="235" t="s">
        <v>20</v>
      </c>
    </row>
    <row r="843">
      <c r="A843" s="250">
        <v>46228.0</v>
      </c>
      <c r="B843" s="235" t="s">
        <v>3769</v>
      </c>
      <c r="C843" s="235" t="s">
        <v>554</v>
      </c>
      <c r="D843" s="235" t="s">
        <v>556</v>
      </c>
      <c r="E843" s="235" t="s">
        <v>555</v>
      </c>
      <c r="F843" s="235" t="s">
        <v>503</v>
      </c>
      <c r="G843" s="238">
        <v>4.0</v>
      </c>
      <c r="H843" s="238">
        <v>0.0</v>
      </c>
      <c r="I843" s="238">
        <v>0.0</v>
      </c>
      <c r="J843" s="238">
        <v>0.0</v>
      </c>
      <c r="K843" s="238">
        <v>0.0</v>
      </c>
      <c r="L843" s="238">
        <v>0.0</v>
      </c>
      <c r="M843" s="238">
        <v>0.0</v>
      </c>
      <c r="N843" s="238">
        <v>0.0</v>
      </c>
      <c r="O843" s="238">
        <v>0.0</v>
      </c>
      <c r="P843" s="238">
        <v>0.0</v>
      </c>
      <c r="Q843" s="238">
        <v>0.0</v>
      </c>
      <c r="R843" s="238">
        <v>0.0</v>
      </c>
      <c r="S843" s="238">
        <v>4.0</v>
      </c>
      <c r="T843" s="238">
        <v>0.0</v>
      </c>
      <c r="U843" s="235" t="s">
        <v>11</v>
      </c>
    </row>
    <row r="844">
      <c r="A844" s="250">
        <v>46228.0</v>
      </c>
      <c r="B844" s="235" t="s">
        <v>3769</v>
      </c>
      <c r="C844" s="235" t="s">
        <v>554</v>
      </c>
      <c r="D844" s="235" t="s">
        <v>556</v>
      </c>
      <c r="E844" s="235" t="s">
        <v>555</v>
      </c>
      <c r="F844" s="235" t="s">
        <v>503</v>
      </c>
      <c r="G844" s="238">
        <v>2.0</v>
      </c>
      <c r="H844" s="238">
        <v>0.0</v>
      </c>
      <c r="I844" s="238">
        <v>0.0</v>
      </c>
      <c r="J844" s="238">
        <v>0.0</v>
      </c>
      <c r="K844" s="238">
        <v>0.0</v>
      </c>
      <c r="L844" s="238">
        <v>0.0</v>
      </c>
      <c r="M844" s="238">
        <v>0.0</v>
      </c>
      <c r="N844" s="238">
        <v>0.0</v>
      </c>
      <c r="O844" s="238">
        <v>0.0</v>
      </c>
      <c r="P844" s="238">
        <v>0.0</v>
      </c>
      <c r="Q844" s="238">
        <v>0.0</v>
      </c>
      <c r="R844" s="238">
        <v>0.0</v>
      </c>
      <c r="S844" s="238">
        <v>2.0</v>
      </c>
      <c r="T844" s="238">
        <v>0.0</v>
      </c>
      <c r="U844" s="235" t="s">
        <v>16</v>
      </c>
    </row>
    <row r="845">
      <c r="A845" s="250">
        <v>46228.0</v>
      </c>
      <c r="B845" s="235" t="s">
        <v>3769</v>
      </c>
      <c r="C845" s="235" t="s">
        <v>554</v>
      </c>
      <c r="D845" s="235" t="s">
        <v>556</v>
      </c>
      <c r="E845" s="235" t="s">
        <v>555</v>
      </c>
      <c r="F845" s="235" t="s">
        <v>503</v>
      </c>
      <c r="G845" s="238">
        <v>1.0</v>
      </c>
      <c r="H845" s="238">
        <v>0.0</v>
      </c>
      <c r="I845" s="238">
        <v>0.0</v>
      </c>
      <c r="J845" s="238">
        <v>0.0</v>
      </c>
      <c r="K845" s="238">
        <v>0.0</v>
      </c>
      <c r="L845" s="238">
        <v>0.0</v>
      </c>
      <c r="M845" s="238">
        <v>0.0</v>
      </c>
      <c r="N845" s="238">
        <v>0.0</v>
      </c>
      <c r="O845" s="238">
        <v>0.0</v>
      </c>
      <c r="P845" s="238">
        <v>0.0</v>
      </c>
      <c r="Q845" s="238">
        <v>0.0</v>
      </c>
      <c r="R845" s="238">
        <v>0.0</v>
      </c>
      <c r="S845" s="238">
        <v>1.0</v>
      </c>
      <c r="T845" s="238">
        <v>0.0</v>
      </c>
      <c r="U845" s="235" t="s">
        <v>533</v>
      </c>
    </row>
    <row r="846">
      <c r="A846" s="250">
        <v>46228.0</v>
      </c>
      <c r="B846" s="235" t="s">
        <v>3769</v>
      </c>
      <c r="C846" s="235" t="s">
        <v>554</v>
      </c>
      <c r="D846" s="235" t="s">
        <v>556</v>
      </c>
      <c r="E846" s="235" t="s">
        <v>555</v>
      </c>
      <c r="F846" s="235" t="s">
        <v>503</v>
      </c>
      <c r="G846" s="238">
        <v>2.0</v>
      </c>
      <c r="H846" s="238">
        <v>0.0</v>
      </c>
      <c r="I846" s="238">
        <v>0.0</v>
      </c>
      <c r="J846" s="238">
        <v>0.0</v>
      </c>
      <c r="K846" s="238">
        <v>0.0</v>
      </c>
      <c r="L846" s="238">
        <v>0.0</v>
      </c>
      <c r="M846" s="238">
        <v>0.0</v>
      </c>
      <c r="N846" s="238">
        <v>0.0</v>
      </c>
      <c r="O846" s="238">
        <v>0.0</v>
      </c>
      <c r="P846" s="238">
        <v>0.0</v>
      </c>
      <c r="Q846" s="238">
        <v>0.0</v>
      </c>
      <c r="R846" s="238">
        <v>0.0</v>
      </c>
      <c r="S846" s="238">
        <v>2.0</v>
      </c>
      <c r="T846" s="238">
        <v>0.0</v>
      </c>
      <c r="U846" s="235" t="s">
        <v>13</v>
      </c>
    </row>
    <row r="847">
      <c r="A847" s="250">
        <v>46228.0</v>
      </c>
      <c r="B847" s="235" t="s">
        <v>3769</v>
      </c>
      <c r="C847" s="235" t="s">
        <v>554</v>
      </c>
      <c r="D847" s="235" t="s">
        <v>556</v>
      </c>
      <c r="E847" s="235" t="s">
        <v>555</v>
      </c>
      <c r="F847" s="235" t="s">
        <v>503</v>
      </c>
      <c r="G847" s="238">
        <v>2.0</v>
      </c>
      <c r="H847" s="238">
        <v>0.0</v>
      </c>
      <c r="I847" s="238">
        <v>0.0</v>
      </c>
      <c r="J847" s="238">
        <v>0.0</v>
      </c>
      <c r="K847" s="238">
        <v>0.0</v>
      </c>
      <c r="L847" s="238">
        <v>0.0</v>
      </c>
      <c r="M847" s="238">
        <v>0.0</v>
      </c>
      <c r="N847" s="238">
        <v>0.0</v>
      </c>
      <c r="O847" s="238">
        <v>0.0</v>
      </c>
      <c r="P847" s="238">
        <v>0.0</v>
      </c>
      <c r="Q847" s="238">
        <v>0.0</v>
      </c>
      <c r="R847" s="238">
        <v>0.0</v>
      </c>
      <c r="S847" s="238">
        <v>2.0</v>
      </c>
      <c r="T847" s="238">
        <v>0.0</v>
      </c>
      <c r="U847" s="235" t="s">
        <v>14</v>
      </c>
    </row>
    <row r="848">
      <c r="A848" s="250">
        <v>46228.0</v>
      </c>
      <c r="B848" s="235" t="s">
        <v>3769</v>
      </c>
      <c r="C848" s="235" t="s">
        <v>554</v>
      </c>
      <c r="D848" s="235" t="s">
        <v>556</v>
      </c>
      <c r="E848" s="235" t="s">
        <v>555</v>
      </c>
      <c r="F848" s="235" t="s">
        <v>503</v>
      </c>
      <c r="G848" s="238">
        <v>2.0</v>
      </c>
      <c r="H848" s="238">
        <v>0.0</v>
      </c>
      <c r="I848" s="238">
        <v>0.0</v>
      </c>
      <c r="J848" s="238">
        <v>0.0</v>
      </c>
      <c r="K848" s="238">
        <v>0.0</v>
      </c>
      <c r="L848" s="238">
        <v>0.0</v>
      </c>
      <c r="M848" s="238">
        <v>0.0</v>
      </c>
      <c r="N848" s="238">
        <v>0.0</v>
      </c>
      <c r="O848" s="238">
        <v>0.0</v>
      </c>
      <c r="P848" s="238">
        <v>0.0</v>
      </c>
      <c r="Q848" s="238">
        <v>0.0</v>
      </c>
      <c r="R848" s="238">
        <v>0.0</v>
      </c>
      <c r="S848" s="238">
        <v>2.0</v>
      </c>
      <c r="T848" s="238">
        <v>0.0</v>
      </c>
      <c r="U848" s="235" t="s">
        <v>20</v>
      </c>
    </row>
    <row r="849">
      <c r="A849" s="250">
        <v>46228.0</v>
      </c>
      <c r="B849" s="235" t="s">
        <v>3769</v>
      </c>
      <c r="C849" s="235" t="s">
        <v>554</v>
      </c>
      <c r="D849" s="235" t="s">
        <v>556</v>
      </c>
      <c r="E849" s="235" t="s">
        <v>555</v>
      </c>
      <c r="F849" s="235" t="s">
        <v>503</v>
      </c>
      <c r="G849" s="238">
        <v>3.0</v>
      </c>
      <c r="H849" s="238">
        <v>0.0</v>
      </c>
      <c r="I849" s="238">
        <v>0.0</v>
      </c>
      <c r="J849" s="238">
        <v>0.0</v>
      </c>
      <c r="K849" s="238">
        <v>0.0</v>
      </c>
      <c r="L849" s="238">
        <v>0.0</v>
      </c>
      <c r="M849" s="238">
        <v>0.0</v>
      </c>
      <c r="N849" s="238">
        <v>0.0</v>
      </c>
      <c r="O849" s="238">
        <v>0.0</v>
      </c>
      <c r="P849" s="238">
        <v>0.0</v>
      </c>
      <c r="Q849" s="238">
        <v>0.0</v>
      </c>
      <c r="R849" s="238">
        <v>0.0</v>
      </c>
      <c r="S849" s="238">
        <v>3.0</v>
      </c>
      <c r="T849" s="238">
        <v>0.0</v>
      </c>
      <c r="U849" s="235" t="s">
        <v>156</v>
      </c>
    </row>
    <row r="850">
      <c r="A850" s="250">
        <v>46228.0</v>
      </c>
      <c r="B850" s="235" t="s">
        <v>3769</v>
      </c>
      <c r="C850" s="235" t="s">
        <v>554</v>
      </c>
      <c r="D850" s="235" t="s">
        <v>556</v>
      </c>
      <c r="E850" s="235" t="s">
        <v>555</v>
      </c>
      <c r="F850" s="235" t="s">
        <v>503</v>
      </c>
      <c r="G850" s="238">
        <v>3.0</v>
      </c>
      <c r="H850" s="238">
        <v>0.0</v>
      </c>
      <c r="I850" s="238">
        <v>0.0</v>
      </c>
      <c r="J850" s="238">
        <v>0.0</v>
      </c>
      <c r="K850" s="238">
        <v>0.0</v>
      </c>
      <c r="L850" s="238">
        <v>0.0</v>
      </c>
      <c r="M850" s="238">
        <v>0.0</v>
      </c>
      <c r="N850" s="238">
        <v>0.0</v>
      </c>
      <c r="O850" s="238">
        <v>0.0</v>
      </c>
      <c r="P850" s="238">
        <v>0.0</v>
      </c>
      <c r="Q850" s="238">
        <v>0.0</v>
      </c>
      <c r="R850" s="238">
        <v>0.0</v>
      </c>
      <c r="S850" s="238">
        <v>3.0</v>
      </c>
      <c r="T850" s="238">
        <v>0.0</v>
      </c>
      <c r="U850" s="235" t="s">
        <v>546</v>
      </c>
    </row>
    <row r="851">
      <c r="A851" s="250">
        <v>46228.0</v>
      </c>
      <c r="B851" s="235" t="s">
        <v>3793</v>
      </c>
      <c r="C851" s="235" t="s">
        <v>3794</v>
      </c>
      <c r="D851" s="235" t="s">
        <v>3795</v>
      </c>
      <c r="E851" s="235" t="s">
        <v>3796</v>
      </c>
      <c r="F851" s="235" t="s">
        <v>503</v>
      </c>
      <c r="G851" s="238">
        <v>4.0</v>
      </c>
      <c r="H851" s="238">
        <v>0.0</v>
      </c>
      <c r="I851" s="238">
        <v>0.0</v>
      </c>
      <c r="J851" s="238">
        <v>0.0</v>
      </c>
      <c r="K851" s="238">
        <v>0.0</v>
      </c>
      <c r="L851" s="238">
        <v>0.0</v>
      </c>
      <c r="M851" s="238">
        <v>0.0</v>
      </c>
      <c r="N851" s="238">
        <v>0.0</v>
      </c>
      <c r="O851" s="238">
        <v>0.0</v>
      </c>
      <c r="P851" s="238">
        <v>0.0</v>
      </c>
      <c r="Q851" s="238">
        <v>0.0</v>
      </c>
      <c r="R851" s="238">
        <v>0.0</v>
      </c>
      <c r="S851" s="238">
        <v>4.0</v>
      </c>
      <c r="T851" s="238">
        <v>0.0</v>
      </c>
      <c r="U851" s="235" t="s">
        <v>20</v>
      </c>
    </row>
    <row r="852">
      <c r="A852" s="250">
        <v>46228.0</v>
      </c>
      <c r="B852" s="235" t="s">
        <v>3797</v>
      </c>
      <c r="C852" s="235" t="s">
        <v>3798</v>
      </c>
      <c r="D852" s="235" t="s">
        <v>1346</v>
      </c>
      <c r="E852" s="235" t="s">
        <v>1347</v>
      </c>
      <c r="F852" s="235" t="s">
        <v>503</v>
      </c>
      <c r="G852" s="238">
        <v>0.0</v>
      </c>
      <c r="H852" s="238">
        <v>2.0</v>
      </c>
      <c r="I852" s="238">
        <v>0.0</v>
      </c>
      <c r="J852" s="238">
        <v>0.0</v>
      </c>
      <c r="K852" s="238">
        <v>0.0</v>
      </c>
      <c r="L852" s="238">
        <v>0.0</v>
      </c>
      <c r="M852" s="238">
        <v>0.0</v>
      </c>
      <c r="N852" s="238">
        <v>0.0</v>
      </c>
      <c r="O852" s="238">
        <v>0.0</v>
      </c>
      <c r="P852" s="238">
        <v>0.0</v>
      </c>
      <c r="Q852" s="238">
        <v>0.0</v>
      </c>
      <c r="R852" s="238">
        <v>0.0</v>
      </c>
      <c r="S852" s="238">
        <v>0.0</v>
      </c>
      <c r="T852" s="238">
        <v>0.0</v>
      </c>
      <c r="U852" s="235" t="s">
        <v>596</v>
      </c>
    </row>
    <row r="853">
      <c r="A853" s="250">
        <v>46228.0</v>
      </c>
      <c r="B853" s="235" t="s">
        <v>3797</v>
      </c>
      <c r="C853" s="235" t="s">
        <v>3798</v>
      </c>
      <c r="D853" s="235" t="s">
        <v>1346</v>
      </c>
      <c r="E853" s="235" t="s">
        <v>1347</v>
      </c>
      <c r="F853" s="235" t="s">
        <v>503</v>
      </c>
      <c r="G853" s="238">
        <v>0.0</v>
      </c>
      <c r="H853" s="238">
        <v>0.0</v>
      </c>
      <c r="I853" s="238">
        <v>0.0</v>
      </c>
      <c r="J853" s="238">
        <v>0.0</v>
      </c>
      <c r="K853" s="238">
        <v>1.0</v>
      </c>
      <c r="L853" s="238">
        <v>0.0</v>
      </c>
      <c r="M853" s="238">
        <v>0.0</v>
      </c>
      <c r="N853" s="238">
        <v>0.0</v>
      </c>
      <c r="O853" s="238">
        <v>0.0</v>
      </c>
      <c r="P853" s="238">
        <v>0.0</v>
      </c>
      <c r="Q853" s="238">
        <v>0.0</v>
      </c>
      <c r="R853" s="238">
        <v>0.0</v>
      </c>
      <c r="S853" s="238">
        <v>1.0</v>
      </c>
      <c r="T853" s="238">
        <v>0.0</v>
      </c>
      <c r="U853" s="235" t="s">
        <v>1853</v>
      </c>
    </row>
    <row r="854">
      <c r="A854" s="250">
        <v>46228.0</v>
      </c>
      <c r="B854" s="235" t="s">
        <v>3797</v>
      </c>
      <c r="C854" s="235" t="s">
        <v>3798</v>
      </c>
      <c r="D854" s="235" t="s">
        <v>1346</v>
      </c>
      <c r="E854" s="235" t="s">
        <v>1347</v>
      </c>
      <c r="F854" s="235" t="s">
        <v>503</v>
      </c>
      <c r="G854" s="238">
        <v>6.0</v>
      </c>
      <c r="H854" s="238">
        <v>0.0</v>
      </c>
      <c r="I854" s="238">
        <v>0.0</v>
      </c>
      <c r="J854" s="238">
        <v>-2.0</v>
      </c>
      <c r="K854" s="238">
        <v>0.0</v>
      </c>
      <c r="L854" s="238">
        <v>0.0</v>
      </c>
      <c r="M854" s="238">
        <v>0.0</v>
      </c>
      <c r="N854" s="238">
        <v>0.0</v>
      </c>
      <c r="O854" s="238">
        <v>0.0</v>
      </c>
      <c r="P854" s="238">
        <v>0.0</v>
      </c>
      <c r="Q854" s="238">
        <v>0.0</v>
      </c>
      <c r="R854" s="238">
        <v>0.0</v>
      </c>
      <c r="S854" s="238">
        <v>4.0</v>
      </c>
      <c r="T854" s="238">
        <v>0.0</v>
      </c>
      <c r="U854" s="235" t="s">
        <v>533</v>
      </c>
    </row>
    <row r="855">
      <c r="A855" s="250">
        <v>46228.0</v>
      </c>
      <c r="B855" s="235" t="s">
        <v>3797</v>
      </c>
      <c r="C855" s="235" t="s">
        <v>3798</v>
      </c>
      <c r="D855" s="235" t="s">
        <v>1346</v>
      </c>
      <c r="E855" s="235" t="s">
        <v>1347</v>
      </c>
      <c r="F855" s="235" t="s">
        <v>503</v>
      </c>
      <c r="G855" s="238">
        <v>1.0</v>
      </c>
      <c r="H855" s="238">
        <v>0.0</v>
      </c>
      <c r="I855" s="238">
        <v>0.0</v>
      </c>
      <c r="J855" s="238">
        <v>-1.0</v>
      </c>
      <c r="K855" s="238">
        <v>0.0</v>
      </c>
      <c r="L855" s="238">
        <v>0.0</v>
      </c>
      <c r="M855" s="238">
        <v>0.0</v>
      </c>
      <c r="N855" s="238">
        <v>0.0</v>
      </c>
      <c r="O855" s="238">
        <v>0.0</v>
      </c>
      <c r="P855" s="238">
        <v>0.0</v>
      </c>
      <c r="Q855" s="238">
        <v>0.0</v>
      </c>
      <c r="R855" s="238">
        <v>0.0</v>
      </c>
      <c r="S855" s="238">
        <v>0.0</v>
      </c>
      <c r="T855" s="238">
        <v>0.0</v>
      </c>
      <c r="U855" s="235" t="s">
        <v>13</v>
      </c>
    </row>
    <row r="856">
      <c r="A856" s="250">
        <v>46228.0</v>
      </c>
      <c r="B856" s="235" t="s">
        <v>3797</v>
      </c>
      <c r="C856" s="235" t="s">
        <v>3798</v>
      </c>
      <c r="D856" s="235" t="s">
        <v>1346</v>
      </c>
      <c r="E856" s="235" t="s">
        <v>1347</v>
      </c>
      <c r="F856" s="235" t="s">
        <v>503</v>
      </c>
      <c r="G856" s="238">
        <v>7.0</v>
      </c>
      <c r="H856" s="238">
        <v>0.0</v>
      </c>
      <c r="I856" s="238">
        <v>0.0</v>
      </c>
      <c r="J856" s="238">
        <v>0.0</v>
      </c>
      <c r="K856" s="238">
        <v>0.0</v>
      </c>
      <c r="L856" s="238">
        <v>0.0</v>
      </c>
      <c r="M856" s="238">
        <v>0.0</v>
      </c>
      <c r="N856" s="238">
        <v>0.0</v>
      </c>
      <c r="O856" s="238">
        <v>0.0</v>
      </c>
      <c r="P856" s="238">
        <v>0.0</v>
      </c>
      <c r="Q856" s="238">
        <v>0.0</v>
      </c>
      <c r="R856" s="238">
        <v>0.0</v>
      </c>
      <c r="S856" s="238">
        <v>7.0</v>
      </c>
      <c r="T856" s="238">
        <v>0.0</v>
      </c>
      <c r="U856" s="235" t="s">
        <v>14</v>
      </c>
    </row>
    <row r="857">
      <c r="A857" s="250">
        <v>46228.0</v>
      </c>
      <c r="B857" s="235" t="s">
        <v>3797</v>
      </c>
      <c r="C857" s="235" t="s">
        <v>3798</v>
      </c>
      <c r="D857" s="235" t="s">
        <v>1346</v>
      </c>
      <c r="E857" s="235" t="s">
        <v>1347</v>
      </c>
      <c r="F857" s="235" t="s">
        <v>503</v>
      </c>
      <c r="G857" s="238">
        <v>4.0</v>
      </c>
      <c r="H857" s="238">
        <v>0.0</v>
      </c>
      <c r="I857" s="238">
        <v>0.0</v>
      </c>
      <c r="J857" s="238">
        <v>0.0</v>
      </c>
      <c r="K857" s="238">
        <v>0.0</v>
      </c>
      <c r="L857" s="238">
        <v>0.0</v>
      </c>
      <c r="M857" s="238">
        <v>0.0</v>
      </c>
      <c r="N857" s="238">
        <v>0.0</v>
      </c>
      <c r="O857" s="238">
        <v>0.0</v>
      </c>
      <c r="P857" s="238">
        <v>0.0</v>
      </c>
      <c r="Q857" s="238">
        <v>0.0</v>
      </c>
      <c r="R857" s="238">
        <v>0.0</v>
      </c>
      <c r="S857" s="238">
        <v>4.0</v>
      </c>
      <c r="T857" s="238">
        <v>0.0</v>
      </c>
      <c r="U857" s="235" t="s">
        <v>20</v>
      </c>
    </row>
    <row r="858">
      <c r="A858" s="250">
        <v>46228.0</v>
      </c>
      <c r="B858" s="235" t="s">
        <v>3797</v>
      </c>
      <c r="C858" s="235" t="s">
        <v>3798</v>
      </c>
      <c r="D858" s="235" t="s">
        <v>1346</v>
      </c>
      <c r="E858" s="235" t="s">
        <v>1347</v>
      </c>
      <c r="F858" s="235" t="s">
        <v>503</v>
      </c>
      <c r="G858" s="238">
        <v>1.0</v>
      </c>
      <c r="H858" s="238">
        <v>0.0</v>
      </c>
      <c r="I858" s="238">
        <v>0.0</v>
      </c>
      <c r="J858" s="238">
        <v>-1.0</v>
      </c>
      <c r="K858" s="238">
        <v>0.0</v>
      </c>
      <c r="L858" s="238">
        <v>0.0</v>
      </c>
      <c r="M858" s="238">
        <v>0.0</v>
      </c>
      <c r="N858" s="238">
        <v>0.0</v>
      </c>
      <c r="O858" s="238">
        <v>0.0</v>
      </c>
      <c r="P858" s="238">
        <v>0.0</v>
      </c>
      <c r="Q858" s="238">
        <v>0.0</v>
      </c>
      <c r="R858" s="238">
        <v>0.0</v>
      </c>
      <c r="S858" s="238">
        <v>0.0</v>
      </c>
      <c r="T858" s="238">
        <v>0.0</v>
      </c>
      <c r="U858" s="235" t="s">
        <v>156</v>
      </c>
    </row>
    <row r="859">
      <c r="A859" s="250">
        <v>46228.0</v>
      </c>
      <c r="B859" s="235" t="s">
        <v>3797</v>
      </c>
      <c r="C859" s="235" t="s">
        <v>3798</v>
      </c>
      <c r="D859" s="235" t="s">
        <v>1346</v>
      </c>
      <c r="E859" s="235" t="s">
        <v>1347</v>
      </c>
      <c r="F859" s="235" t="s">
        <v>503</v>
      </c>
      <c r="G859" s="238">
        <v>9.0</v>
      </c>
      <c r="H859" s="238">
        <v>0.0</v>
      </c>
      <c r="I859" s="238">
        <v>0.0</v>
      </c>
      <c r="J859" s="238">
        <v>-2.0</v>
      </c>
      <c r="K859" s="238">
        <v>0.0</v>
      </c>
      <c r="L859" s="238">
        <v>0.0</v>
      </c>
      <c r="M859" s="238">
        <v>0.0</v>
      </c>
      <c r="N859" s="238">
        <v>0.0</v>
      </c>
      <c r="O859" s="238">
        <v>0.0</v>
      </c>
      <c r="P859" s="238">
        <v>0.0</v>
      </c>
      <c r="Q859" s="238">
        <v>0.0</v>
      </c>
      <c r="R859" s="238">
        <v>0.0</v>
      </c>
      <c r="S859" s="238">
        <v>7.0</v>
      </c>
      <c r="T859" s="238">
        <v>0.0</v>
      </c>
      <c r="U859" s="235" t="s">
        <v>546</v>
      </c>
    </row>
    <row r="860">
      <c r="A860" s="250">
        <v>46228.0</v>
      </c>
      <c r="B860" s="235" t="s">
        <v>3814</v>
      </c>
      <c r="C860" s="235" t="s">
        <v>3815</v>
      </c>
      <c r="D860" s="235" t="s">
        <v>989</v>
      </c>
      <c r="E860" s="235" t="s">
        <v>990</v>
      </c>
      <c r="F860" s="235" t="s">
        <v>514</v>
      </c>
      <c r="G860" s="238">
        <v>1.0</v>
      </c>
      <c r="H860" s="238">
        <v>0.0</v>
      </c>
      <c r="I860" s="238">
        <v>0.0</v>
      </c>
      <c r="J860" s="238">
        <v>0.0</v>
      </c>
      <c r="K860" s="238">
        <v>0.0</v>
      </c>
      <c r="L860" s="238">
        <v>0.0</v>
      </c>
      <c r="M860" s="238">
        <v>0.0</v>
      </c>
      <c r="N860" s="238">
        <v>0.0</v>
      </c>
      <c r="O860" s="238">
        <v>0.0</v>
      </c>
      <c r="P860" s="238">
        <v>0.0</v>
      </c>
      <c r="Q860" s="238">
        <v>0.0</v>
      </c>
      <c r="R860" s="238">
        <v>0.0</v>
      </c>
      <c r="S860" s="238">
        <v>0.0</v>
      </c>
      <c r="T860" s="238">
        <v>0.0</v>
      </c>
      <c r="U860" s="235" t="s">
        <v>16</v>
      </c>
    </row>
    <row r="861">
      <c r="A861" s="250">
        <v>46228.0</v>
      </c>
      <c r="B861" s="235" t="s">
        <v>3814</v>
      </c>
      <c r="C861" s="235" t="s">
        <v>3815</v>
      </c>
      <c r="D861" s="235" t="s">
        <v>989</v>
      </c>
      <c r="E861" s="235" t="s">
        <v>990</v>
      </c>
      <c r="F861" s="235" t="s">
        <v>503</v>
      </c>
      <c r="G861" s="238">
        <v>1.0</v>
      </c>
      <c r="H861" s="238">
        <v>0.0</v>
      </c>
      <c r="I861" s="238">
        <v>0.0</v>
      </c>
      <c r="J861" s="238">
        <v>0.0</v>
      </c>
      <c r="K861" s="238">
        <v>0.0</v>
      </c>
      <c r="L861" s="238">
        <v>0.0</v>
      </c>
      <c r="M861" s="238">
        <v>0.0</v>
      </c>
      <c r="N861" s="238">
        <v>0.0</v>
      </c>
      <c r="O861" s="238">
        <v>0.0</v>
      </c>
      <c r="P861" s="238">
        <v>0.0</v>
      </c>
      <c r="Q861" s="238">
        <v>0.0</v>
      </c>
      <c r="R861" s="238">
        <v>0.0</v>
      </c>
      <c r="S861" s="238">
        <v>1.0</v>
      </c>
      <c r="T861" s="238">
        <v>0.0</v>
      </c>
      <c r="U861" s="235" t="s">
        <v>5</v>
      </c>
    </row>
    <row r="862">
      <c r="A862" s="250">
        <v>46228.0</v>
      </c>
      <c r="B862" s="235" t="s">
        <v>3814</v>
      </c>
      <c r="C862" s="235" t="s">
        <v>3815</v>
      </c>
      <c r="D862" s="235" t="s">
        <v>989</v>
      </c>
      <c r="E862" s="235" t="s">
        <v>990</v>
      </c>
      <c r="F862" s="235" t="s">
        <v>503</v>
      </c>
      <c r="G862" s="238">
        <v>0.0</v>
      </c>
      <c r="H862" s="238">
        <v>2.0</v>
      </c>
      <c r="I862" s="238">
        <v>0.0</v>
      </c>
      <c r="J862" s="238">
        <v>0.0</v>
      </c>
      <c r="K862" s="238">
        <v>0.0</v>
      </c>
      <c r="L862" s="238">
        <v>0.0</v>
      </c>
      <c r="M862" s="238">
        <v>0.0</v>
      </c>
      <c r="N862" s="238">
        <v>0.0</v>
      </c>
      <c r="O862" s="238">
        <v>0.0</v>
      </c>
      <c r="P862" s="238">
        <v>0.0</v>
      </c>
      <c r="Q862" s="238">
        <v>0.0</v>
      </c>
      <c r="R862" s="238">
        <v>0.0</v>
      </c>
      <c r="S862" s="238">
        <v>0.0</v>
      </c>
      <c r="T862" s="238">
        <v>0.0</v>
      </c>
      <c r="U862" s="235" t="s">
        <v>596</v>
      </c>
    </row>
    <row r="863">
      <c r="A863" s="250">
        <v>46228.0</v>
      </c>
      <c r="B863" s="235" t="s">
        <v>3814</v>
      </c>
      <c r="C863" s="235" t="s">
        <v>3815</v>
      </c>
      <c r="D863" s="235" t="s">
        <v>989</v>
      </c>
      <c r="E863" s="235" t="s">
        <v>990</v>
      </c>
      <c r="F863" s="235" t="s">
        <v>503</v>
      </c>
      <c r="G863" s="238">
        <v>1.0</v>
      </c>
      <c r="H863" s="238">
        <v>0.0</v>
      </c>
      <c r="I863" s="238">
        <v>0.0</v>
      </c>
      <c r="J863" s="238">
        <v>-1.0</v>
      </c>
      <c r="K863" s="238">
        <v>0.0</v>
      </c>
      <c r="L863" s="238">
        <v>0.0</v>
      </c>
      <c r="M863" s="238">
        <v>0.0</v>
      </c>
      <c r="N863" s="238">
        <v>0.0</v>
      </c>
      <c r="O863" s="238">
        <v>0.0</v>
      </c>
      <c r="P863" s="238">
        <v>0.0</v>
      </c>
      <c r="Q863" s="238">
        <v>0.0</v>
      </c>
      <c r="R863" s="238">
        <v>0.0</v>
      </c>
      <c r="S863" s="238">
        <v>0.0</v>
      </c>
      <c r="T863" s="238">
        <v>0.0</v>
      </c>
      <c r="U863" s="235" t="s">
        <v>9</v>
      </c>
    </row>
    <row r="864">
      <c r="A864" s="250">
        <v>46228.0</v>
      </c>
      <c r="B864" s="235" t="s">
        <v>3814</v>
      </c>
      <c r="C864" s="235" t="s">
        <v>3815</v>
      </c>
      <c r="D864" s="235" t="s">
        <v>989</v>
      </c>
      <c r="E864" s="235" t="s">
        <v>990</v>
      </c>
      <c r="F864" s="235" t="s">
        <v>503</v>
      </c>
      <c r="G864" s="238">
        <v>3.0</v>
      </c>
      <c r="H864" s="238">
        <v>0.0</v>
      </c>
      <c r="I864" s="238">
        <v>0.0</v>
      </c>
      <c r="J864" s="238">
        <v>-1.0</v>
      </c>
      <c r="K864" s="238">
        <v>0.0</v>
      </c>
      <c r="L864" s="238">
        <v>0.0</v>
      </c>
      <c r="M864" s="238">
        <v>0.0</v>
      </c>
      <c r="N864" s="238">
        <v>0.0</v>
      </c>
      <c r="O864" s="238">
        <v>0.0</v>
      </c>
      <c r="P864" s="238">
        <v>0.0</v>
      </c>
      <c r="Q864" s="238">
        <v>0.0</v>
      </c>
      <c r="R864" s="238">
        <v>0.0</v>
      </c>
      <c r="S864" s="238">
        <v>2.0</v>
      </c>
      <c r="T864" s="238">
        <v>0.0</v>
      </c>
      <c r="U864" s="235" t="s">
        <v>17</v>
      </c>
    </row>
    <row r="865">
      <c r="A865" s="250">
        <v>46228.0</v>
      </c>
      <c r="B865" s="235" t="s">
        <v>3814</v>
      </c>
      <c r="C865" s="235" t="s">
        <v>3815</v>
      </c>
      <c r="D865" s="235" t="s">
        <v>989</v>
      </c>
      <c r="E865" s="235" t="s">
        <v>990</v>
      </c>
      <c r="F865" s="235" t="s">
        <v>503</v>
      </c>
      <c r="G865" s="238">
        <v>2.0</v>
      </c>
      <c r="H865" s="238">
        <v>0.0</v>
      </c>
      <c r="I865" s="238">
        <v>0.0</v>
      </c>
      <c r="J865" s="238">
        <v>0.0</v>
      </c>
      <c r="K865" s="238">
        <v>0.0</v>
      </c>
      <c r="L865" s="238">
        <v>0.0</v>
      </c>
      <c r="M865" s="238">
        <v>0.0</v>
      </c>
      <c r="N865" s="238">
        <v>0.0</v>
      </c>
      <c r="O865" s="238">
        <v>0.0</v>
      </c>
      <c r="P865" s="238">
        <v>0.0</v>
      </c>
      <c r="Q865" s="238">
        <v>0.0</v>
      </c>
      <c r="R865" s="238">
        <v>0.0</v>
      </c>
      <c r="S865" s="238">
        <v>2.0</v>
      </c>
      <c r="T865" s="238">
        <v>0.0</v>
      </c>
      <c r="U865" s="235" t="s">
        <v>155</v>
      </c>
    </row>
    <row r="866">
      <c r="A866" s="250">
        <v>46228.0</v>
      </c>
      <c r="B866" s="235" t="s">
        <v>3814</v>
      </c>
      <c r="C866" s="235" t="s">
        <v>3815</v>
      </c>
      <c r="D866" s="235" t="s">
        <v>989</v>
      </c>
      <c r="E866" s="235" t="s">
        <v>990</v>
      </c>
      <c r="F866" s="235" t="s">
        <v>503</v>
      </c>
      <c r="G866" s="238">
        <v>2.0</v>
      </c>
      <c r="H866" s="238">
        <v>0.0</v>
      </c>
      <c r="I866" s="238">
        <v>0.0</v>
      </c>
      <c r="J866" s="238">
        <v>0.0</v>
      </c>
      <c r="K866" s="238">
        <v>0.0</v>
      </c>
      <c r="L866" s="238">
        <v>0.0</v>
      </c>
      <c r="M866" s="238">
        <v>0.0</v>
      </c>
      <c r="N866" s="238">
        <v>0.0</v>
      </c>
      <c r="O866" s="238">
        <v>0.0</v>
      </c>
      <c r="P866" s="238">
        <v>0.0</v>
      </c>
      <c r="Q866" s="238">
        <v>0.0</v>
      </c>
      <c r="R866" s="238">
        <v>0.0</v>
      </c>
      <c r="S866" s="238">
        <v>2.0</v>
      </c>
      <c r="T866" s="238">
        <v>0.0</v>
      </c>
      <c r="U866" s="235" t="s">
        <v>533</v>
      </c>
    </row>
    <row r="867">
      <c r="A867" s="250">
        <v>46228.0</v>
      </c>
      <c r="B867" s="235" t="s">
        <v>3814</v>
      </c>
      <c r="C867" s="235" t="s">
        <v>3815</v>
      </c>
      <c r="D867" s="235" t="s">
        <v>989</v>
      </c>
      <c r="E867" s="235" t="s">
        <v>990</v>
      </c>
      <c r="F867" s="235" t="s">
        <v>503</v>
      </c>
      <c r="G867" s="238">
        <v>1.0</v>
      </c>
      <c r="H867" s="238">
        <v>0.0</v>
      </c>
      <c r="I867" s="238">
        <v>0.0</v>
      </c>
      <c r="J867" s="238">
        <v>-1.0</v>
      </c>
      <c r="K867" s="238">
        <v>0.0</v>
      </c>
      <c r="L867" s="238">
        <v>0.0</v>
      </c>
      <c r="M867" s="238">
        <v>0.0</v>
      </c>
      <c r="N867" s="238">
        <v>0.0</v>
      </c>
      <c r="O867" s="238">
        <v>0.0</v>
      </c>
      <c r="P867" s="238">
        <v>0.0</v>
      </c>
      <c r="Q867" s="238">
        <v>0.0</v>
      </c>
      <c r="R867" s="238">
        <v>0.0</v>
      </c>
      <c r="S867" s="238">
        <v>0.0</v>
      </c>
      <c r="T867" s="238">
        <v>0.0</v>
      </c>
      <c r="U867" s="235" t="s">
        <v>13</v>
      </c>
    </row>
    <row r="868">
      <c r="A868" s="250">
        <v>46228.0</v>
      </c>
      <c r="B868" s="235" t="s">
        <v>3814</v>
      </c>
      <c r="C868" s="235" t="s">
        <v>3815</v>
      </c>
      <c r="D868" s="235" t="s">
        <v>989</v>
      </c>
      <c r="E868" s="235" t="s">
        <v>990</v>
      </c>
      <c r="F868" s="235" t="s">
        <v>503</v>
      </c>
      <c r="G868" s="238">
        <v>2.0</v>
      </c>
      <c r="H868" s="238">
        <v>0.0</v>
      </c>
      <c r="I868" s="238">
        <v>0.0</v>
      </c>
      <c r="J868" s="238">
        <v>0.0</v>
      </c>
      <c r="K868" s="238">
        <v>0.0</v>
      </c>
      <c r="L868" s="238">
        <v>0.0</v>
      </c>
      <c r="M868" s="238">
        <v>0.0</v>
      </c>
      <c r="N868" s="238">
        <v>0.0</v>
      </c>
      <c r="O868" s="238">
        <v>0.0</v>
      </c>
      <c r="P868" s="238">
        <v>0.0</v>
      </c>
      <c r="Q868" s="238">
        <v>0.0</v>
      </c>
      <c r="R868" s="238">
        <v>0.0</v>
      </c>
      <c r="S868" s="238">
        <v>2.0</v>
      </c>
      <c r="T868" s="238">
        <v>0.0</v>
      </c>
      <c r="U868" s="235" t="s">
        <v>14</v>
      </c>
    </row>
    <row r="869">
      <c r="A869" s="250">
        <v>46228.0</v>
      </c>
      <c r="B869" s="235" t="s">
        <v>3814</v>
      </c>
      <c r="C869" s="235" t="s">
        <v>3815</v>
      </c>
      <c r="D869" s="235" t="s">
        <v>989</v>
      </c>
      <c r="E869" s="235" t="s">
        <v>990</v>
      </c>
      <c r="F869" s="235" t="s">
        <v>503</v>
      </c>
      <c r="G869" s="238">
        <v>2.0</v>
      </c>
      <c r="H869" s="238">
        <v>0.0</v>
      </c>
      <c r="I869" s="238">
        <v>0.0</v>
      </c>
      <c r="J869" s="238">
        <v>0.0</v>
      </c>
      <c r="K869" s="238">
        <v>0.0</v>
      </c>
      <c r="L869" s="238">
        <v>0.0</v>
      </c>
      <c r="M869" s="238">
        <v>0.0</v>
      </c>
      <c r="N869" s="238">
        <v>0.0</v>
      </c>
      <c r="O869" s="238">
        <v>0.0</v>
      </c>
      <c r="P869" s="238">
        <v>0.0</v>
      </c>
      <c r="Q869" s="238">
        <v>0.0</v>
      </c>
      <c r="R869" s="238">
        <v>0.0</v>
      </c>
      <c r="S869" s="238">
        <v>2.0</v>
      </c>
      <c r="T869" s="238">
        <v>0.0</v>
      </c>
      <c r="U869" s="235" t="s">
        <v>20</v>
      </c>
    </row>
    <row r="870">
      <c r="A870" s="250">
        <v>46228.0</v>
      </c>
      <c r="B870" s="235" t="s">
        <v>3814</v>
      </c>
      <c r="C870" s="235" t="s">
        <v>3815</v>
      </c>
      <c r="D870" s="235" t="s">
        <v>989</v>
      </c>
      <c r="E870" s="235" t="s">
        <v>990</v>
      </c>
      <c r="F870" s="235" t="s">
        <v>503</v>
      </c>
      <c r="G870" s="238">
        <v>4.0</v>
      </c>
      <c r="H870" s="238">
        <v>0.0</v>
      </c>
      <c r="I870" s="238">
        <v>0.0</v>
      </c>
      <c r="J870" s="238">
        <v>0.0</v>
      </c>
      <c r="K870" s="238">
        <v>0.0</v>
      </c>
      <c r="L870" s="238">
        <v>0.0</v>
      </c>
      <c r="M870" s="238">
        <v>0.0</v>
      </c>
      <c r="N870" s="238">
        <v>0.0</v>
      </c>
      <c r="O870" s="238">
        <v>0.0</v>
      </c>
      <c r="P870" s="238">
        <v>0.0</v>
      </c>
      <c r="Q870" s="238">
        <v>0.0</v>
      </c>
      <c r="R870" s="238">
        <v>0.0</v>
      </c>
      <c r="S870" s="238">
        <v>4.0</v>
      </c>
      <c r="T870" s="238">
        <v>0.0</v>
      </c>
      <c r="U870" s="235" t="s">
        <v>156</v>
      </c>
    </row>
    <row r="871">
      <c r="A871" s="250">
        <v>46228.0</v>
      </c>
      <c r="B871" s="235" t="s">
        <v>3814</v>
      </c>
      <c r="C871" s="235" t="s">
        <v>3815</v>
      </c>
      <c r="D871" s="235" t="s">
        <v>989</v>
      </c>
      <c r="E871" s="235" t="s">
        <v>990</v>
      </c>
      <c r="F871" s="235" t="s">
        <v>503</v>
      </c>
      <c r="G871" s="238">
        <v>3.0</v>
      </c>
      <c r="H871" s="238">
        <v>0.0</v>
      </c>
      <c r="I871" s="238">
        <v>0.0</v>
      </c>
      <c r="J871" s="238">
        <v>0.0</v>
      </c>
      <c r="K871" s="238">
        <v>0.0</v>
      </c>
      <c r="L871" s="238">
        <v>0.0</v>
      </c>
      <c r="M871" s="238">
        <v>0.0</v>
      </c>
      <c r="N871" s="238">
        <v>0.0</v>
      </c>
      <c r="O871" s="238">
        <v>0.0</v>
      </c>
      <c r="P871" s="238">
        <v>0.0</v>
      </c>
      <c r="Q871" s="238">
        <v>0.0</v>
      </c>
      <c r="R871" s="238">
        <v>0.0</v>
      </c>
      <c r="S871" s="238">
        <v>3.0</v>
      </c>
      <c r="T871" s="238">
        <v>0.0</v>
      </c>
      <c r="U871" s="235" t="s">
        <v>546</v>
      </c>
    </row>
    <row r="872">
      <c r="A872" s="250">
        <v>46228.0</v>
      </c>
      <c r="B872" s="235" t="s">
        <v>3856</v>
      </c>
      <c r="C872" s="235" t="s">
        <v>3857</v>
      </c>
      <c r="D872" s="235" t="s">
        <v>3858</v>
      </c>
      <c r="E872" s="235" t="s">
        <v>3859</v>
      </c>
      <c r="F872" s="235" t="s">
        <v>503</v>
      </c>
      <c r="G872" s="238">
        <v>3.0</v>
      </c>
      <c r="H872" s="238">
        <v>0.0</v>
      </c>
      <c r="I872" s="238">
        <v>0.0</v>
      </c>
      <c r="J872" s="238">
        <v>0.0</v>
      </c>
      <c r="K872" s="238">
        <v>0.0</v>
      </c>
      <c r="L872" s="238">
        <v>0.0</v>
      </c>
      <c r="M872" s="238">
        <v>0.0</v>
      </c>
      <c r="N872" s="238">
        <v>0.0</v>
      </c>
      <c r="O872" s="238">
        <v>0.0</v>
      </c>
      <c r="P872" s="238">
        <v>0.0</v>
      </c>
      <c r="Q872" s="238">
        <v>0.0</v>
      </c>
      <c r="R872" s="238">
        <v>0.0</v>
      </c>
      <c r="S872" s="238">
        <v>3.0</v>
      </c>
      <c r="T872" s="238">
        <v>0.0</v>
      </c>
      <c r="U872" s="235" t="s">
        <v>20</v>
      </c>
    </row>
    <row r="873">
      <c r="A873" s="250">
        <v>46228.0</v>
      </c>
      <c r="B873" s="235" t="s">
        <v>3863</v>
      </c>
      <c r="C873" s="235" t="s">
        <v>3864</v>
      </c>
      <c r="D873" s="235" t="s">
        <v>3865</v>
      </c>
      <c r="E873" s="235" t="s">
        <v>3867</v>
      </c>
      <c r="F873" s="235" t="s">
        <v>503</v>
      </c>
      <c r="G873" s="238">
        <v>1.0</v>
      </c>
      <c r="H873" s="238">
        <v>0.0</v>
      </c>
      <c r="I873" s="238">
        <v>0.0</v>
      </c>
      <c r="J873" s="238">
        <v>0.0</v>
      </c>
      <c r="K873" s="238">
        <v>0.0</v>
      </c>
      <c r="L873" s="238">
        <v>0.0</v>
      </c>
      <c r="M873" s="238">
        <v>0.0</v>
      </c>
      <c r="N873" s="238">
        <v>0.0</v>
      </c>
      <c r="O873" s="238">
        <v>0.0</v>
      </c>
      <c r="P873" s="238">
        <v>0.0</v>
      </c>
      <c r="Q873" s="238">
        <v>0.0</v>
      </c>
      <c r="R873" s="238">
        <v>0.0</v>
      </c>
      <c r="S873" s="238">
        <v>1.0</v>
      </c>
      <c r="T873" s="238">
        <v>0.0</v>
      </c>
      <c r="U873" s="235" t="s">
        <v>11</v>
      </c>
    </row>
    <row r="874">
      <c r="A874" s="250">
        <v>46228.0</v>
      </c>
      <c r="B874" s="235" t="s">
        <v>3863</v>
      </c>
      <c r="C874" s="235" t="s">
        <v>3864</v>
      </c>
      <c r="D874" s="235" t="s">
        <v>3865</v>
      </c>
      <c r="E874" s="235" t="s">
        <v>3867</v>
      </c>
      <c r="F874" s="235" t="s">
        <v>503</v>
      </c>
      <c r="G874" s="238">
        <v>1.0</v>
      </c>
      <c r="H874" s="238">
        <v>0.0</v>
      </c>
      <c r="I874" s="238">
        <v>0.0</v>
      </c>
      <c r="J874" s="238">
        <v>0.0</v>
      </c>
      <c r="K874" s="238">
        <v>0.0</v>
      </c>
      <c r="L874" s="238">
        <v>0.0</v>
      </c>
      <c r="M874" s="238">
        <v>0.0</v>
      </c>
      <c r="N874" s="238">
        <v>0.0</v>
      </c>
      <c r="O874" s="238">
        <v>0.0</v>
      </c>
      <c r="P874" s="238">
        <v>0.0</v>
      </c>
      <c r="Q874" s="238">
        <v>0.0</v>
      </c>
      <c r="R874" s="238">
        <v>0.0</v>
      </c>
      <c r="S874" s="238">
        <v>1.0</v>
      </c>
      <c r="T874" s="238">
        <v>0.0</v>
      </c>
      <c r="U874" s="235" t="s">
        <v>14</v>
      </c>
    </row>
    <row r="875">
      <c r="A875" s="250">
        <v>46228.0</v>
      </c>
      <c r="B875" s="235" t="s">
        <v>3873</v>
      </c>
      <c r="C875" s="235" t="s">
        <v>3874</v>
      </c>
      <c r="D875" s="235" t="s">
        <v>3875</v>
      </c>
      <c r="E875" s="235" t="s">
        <v>3876</v>
      </c>
      <c r="F875" s="235" t="s">
        <v>503</v>
      </c>
      <c r="G875" s="238">
        <v>1.0</v>
      </c>
      <c r="H875" s="238">
        <v>0.0</v>
      </c>
      <c r="I875" s="238">
        <v>0.0</v>
      </c>
      <c r="J875" s="238">
        <v>0.0</v>
      </c>
      <c r="K875" s="238">
        <v>0.0</v>
      </c>
      <c r="L875" s="238">
        <v>0.0</v>
      </c>
      <c r="M875" s="238">
        <v>0.0</v>
      </c>
      <c r="N875" s="238">
        <v>0.0</v>
      </c>
      <c r="O875" s="238">
        <v>0.0</v>
      </c>
      <c r="P875" s="238">
        <v>0.0</v>
      </c>
      <c r="Q875" s="238">
        <v>0.0</v>
      </c>
      <c r="R875" s="238">
        <v>0.0</v>
      </c>
      <c r="S875" s="238">
        <v>1.0</v>
      </c>
      <c r="T875" s="238">
        <v>0.0</v>
      </c>
      <c r="U875" s="235" t="s">
        <v>5</v>
      </c>
    </row>
    <row r="876">
      <c r="A876" s="250">
        <v>46228.0</v>
      </c>
      <c r="B876" s="235" t="s">
        <v>3873</v>
      </c>
      <c r="C876" s="235" t="s">
        <v>3874</v>
      </c>
      <c r="D876" s="235" t="s">
        <v>3875</v>
      </c>
      <c r="E876" s="235" t="s">
        <v>3876</v>
      </c>
      <c r="F876" s="235" t="s">
        <v>503</v>
      </c>
      <c r="G876" s="238">
        <v>5.0</v>
      </c>
      <c r="H876" s="238">
        <v>0.0</v>
      </c>
      <c r="I876" s="238">
        <v>0.0</v>
      </c>
      <c r="J876" s="238">
        <v>0.0</v>
      </c>
      <c r="K876" s="238">
        <v>0.0</v>
      </c>
      <c r="L876" s="238">
        <v>0.0</v>
      </c>
      <c r="M876" s="238">
        <v>0.0</v>
      </c>
      <c r="N876" s="238">
        <v>0.0</v>
      </c>
      <c r="O876" s="238">
        <v>0.0</v>
      </c>
      <c r="P876" s="238">
        <v>0.0</v>
      </c>
      <c r="Q876" s="238">
        <v>0.0</v>
      </c>
      <c r="R876" s="238">
        <v>0.0</v>
      </c>
      <c r="S876" s="238">
        <v>5.0</v>
      </c>
      <c r="T876" s="238">
        <v>0.0</v>
      </c>
      <c r="U876" s="235" t="s">
        <v>9</v>
      </c>
    </row>
    <row r="877">
      <c r="A877" s="250">
        <v>46228.0</v>
      </c>
      <c r="B877" s="235" t="s">
        <v>3873</v>
      </c>
      <c r="C877" s="235" t="s">
        <v>3874</v>
      </c>
      <c r="D877" s="235" t="s">
        <v>3875</v>
      </c>
      <c r="E877" s="235" t="s">
        <v>3876</v>
      </c>
      <c r="F877" s="235" t="s">
        <v>503</v>
      </c>
      <c r="G877" s="238">
        <v>12.0</v>
      </c>
      <c r="H877" s="238">
        <v>0.0</v>
      </c>
      <c r="I877" s="238">
        <v>-1.0</v>
      </c>
      <c r="J877" s="238">
        <v>0.0</v>
      </c>
      <c r="K877" s="238">
        <v>0.0</v>
      </c>
      <c r="L877" s="238">
        <v>0.0</v>
      </c>
      <c r="M877" s="238">
        <v>0.0</v>
      </c>
      <c r="N877" s="238">
        <v>1.0</v>
      </c>
      <c r="O877" s="238">
        <v>0.0</v>
      </c>
      <c r="P877" s="238">
        <v>0.0</v>
      </c>
      <c r="Q877" s="238">
        <v>0.0</v>
      </c>
      <c r="R877" s="238">
        <v>0.0</v>
      </c>
      <c r="S877" s="238">
        <v>12.0</v>
      </c>
      <c r="T877" s="238">
        <v>0.0</v>
      </c>
      <c r="U877" s="235" t="s">
        <v>11</v>
      </c>
    </row>
    <row r="878">
      <c r="A878" s="250">
        <v>46228.0</v>
      </c>
      <c r="B878" s="235" t="s">
        <v>3873</v>
      </c>
      <c r="C878" s="235" t="s">
        <v>3874</v>
      </c>
      <c r="D878" s="235" t="s">
        <v>3875</v>
      </c>
      <c r="E878" s="235" t="s">
        <v>3876</v>
      </c>
      <c r="F878" s="235" t="s">
        <v>503</v>
      </c>
      <c r="G878" s="238">
        <v>2.0</v>
      </c>
      <c r="H878" s="238">
        <v>0.0</v>
      </c>
      <c r="I878" s="238">
        <v>0.0</v>
      </c>
      <c r="J878" s="238">
        <v>0.0</v>
      </c>
      <c r="K878" s="238">
        <v>0.0</v>
      </c>
      <c r="L878" s="238">
        <v>0.0</v>
      </c>
      <c r="M878" s="238">
        <v>2.0</v>
      </c>
      <c r="N878" s="238">
        <v>0.0</v>
      </c>
      <c r="O878" s="238">
        <v>0.0</v>
      </c>
      <c r="P878" s="238">
        <v>0.0</v>
      </c>
      <c r="Q878" s="238">
        <v>0.0</v>
      </c>
      <c r="R878" s="238">
        <v>0.0</v>
      </c>
      <c r="S878" s="238">
        <v>4.0</v>
      </c>
      <c r="T878" s="238">
        <v>0.0</v>
      </c>
      <c r="U878" s="235" t="s">
        <v>16</v>
      </c>
    </row>
    <row r="879">
      <c r="A879" s="250">
        <v>46228.0</v>
      </c>
      <c r="B879" s="235" t="s">
        <v>3873</v>
      </c>
      <c r="C879" s="235" t="s">
        <v>3874</v>
      </c>
      <c r="D879" s="235" t="s">
        <v>3875</v>
      </c>
      <c r="E879" s="235" t="s">
        <v>3876</v>
      </c>
      <c r="F879" s="235" t="s">
        <v>503</v>
      </c>
      <c r="G879" s="238">
        <v>2.0</v>
      </c>
      <c r="H879" s="238">
        <v>0.0</v>
      </c>
      <c r="I879" s="238">
        <v>0.0</v>
      </c>
      <c r="J879" s="238">
        <v>0.0</v>
      </c>
      <c r="K879" s="238">
        <v>0.0</v>
      </c>
      <c r="L879" s="238">
        <v>0.0</v>
      </c>
      <c r="M879" s="238">
        <v>0.0</v>
      </c>
      <c r="N879" s="238">
        <v>0.0</v>
      </c>
      <c r="O879" s="238">
        <v>0.0</v>
      </c>
      <c r="P879" s="238">
        <v>0.0</v>
      </c>
      <c r="Q879" s="238">
        <v>0.0</v>
      </c>
      <c r="R879" s="238">
        <v>0.0</v>
      </c>
      <c r="S879" s="238">
        <v>2.0</v>
      </c>
      <c r="T879" s="238">
        <v>0.0</v>
      </c>
      <c r="U879" s="235" t="s">
        <v>17</v>
      </c>
    </row>
    <row r="880">
      <c r="A880" s="250">
        <v>46228.0</v>
      </c>
      <c r="B880" s="235" t="s">
        <v>3873</v>
      </c>
      <c r="C880" s="235" t="s">
        <v>3874</v>
      </c>
      <c r="D880" s="235" t="s">
        <v>3875</v>
      </c>
      <c r="E880" s="235" t="s">
        <v>3876</v>
      </c>
      <c r="F880" s="235" t="s">
        <v>503</v>
      </c>
      <c r="G880" s="238">
        <v>1.0</v>
      </c>
      <c r="H880" s="238">
        <v>0.0</v>
      </c>
      <c r="I880" s="238">
        <v>0.0</v>
      </c>
      <c r="J880" s="238">
        <v>0.0</v>
      </c>
      <c r="K880" s="238">
        <v>0.0</v>
      </c>
      <c r="L880" s="238">
        <v>0.0</v>
      </c>
      <c r="M880" s="238">
        <v>0.0</v>
      </c>
      <c r="N880" s="238">
        <v>0.0</v>
      </c>
      <c r="O880" s="238">
        <v>0.0</v>
      </c>
      <c r="P880" s="238">
        <v>0.0</v>
      </c>
      <c r="Q880" s="238">
        <v>0.0</v>
      </c>
      <c r="R880" s="238">
        <v>0.0</v>
      </c>
      <c r="S880" s="238">
        <v>1.0</v>
      </c>
      <c r="T880" s="238">
        <v>0.0</v>
      </c>
      <c r="U880" s="235" t="s">
        <v>155</v>
      </c>
    </row>
    <row r="881">
      <c r="A881" s="250">
        <v>46228.0</v>
      </c>
      <c r="B881" s="235" t="s">
        <v>3873</v>
      </c>
      <c r="C881" s="235" t="s">
        <v>3874</v>
      </c>
      <c r="D881" s="235" t="s">
        <v>3875</v>
      </c>
      <c r="E881" s="235" t="s">
        <v>3876</v>
      </c>
      <c r="F881" s="235" t="s">
        <v>503</v>
      </c>
      <c r="G881" s="238">
        <v>1.0</v>
      </c>
      <c r="H881" s="238">
        <v>0.0</v>
      </c>
      <c r="I881" s="238">
        <v>0.0</v>
      </c>
      <c r="J881" s="238">
        <v>0.0</v>
      </c>
      <c r="K881" s="238">
        <v>0.0</v>
      </c>
      <c r="L881" s="238">
        <v>0.0</v>
      </c>
      <c r="M881" s="238">
        <v>0.0</v>
      </c>
      <c r="N881" s="238">
        <v>0.0</v>
      </c>
      <c r="O881" s="238">
        <v>0.0</v>
      </c>
      <c r="P881" s="238">
        <v>0.0</v>
      </c>
      <c r="Q881" s="238">
        <v>0.0</v>
      </c>
      <c r="R881" s="238">
        <v>0.0</v>
      </c>
      <c r="S881" s="238">
        <v>1.0</v>
      </c>
      <c r="T881" s="238">
        <v>0.0</v>
      </c>
      <c r="U881" s="235" t="s">
        <v>533</v>
      </c>
    </row>
    <row r="882">
      <c r="A882" s="250">
        <v>46228.0</v>
      </c>
      <c r="B882" s="235" t="s">
        <v>3873</v>
      </c>
      <c r="C882" s="235" t="s">
        <v>3874</v>
      </c>
      <c r="D882" s="235" t="s">
        <v>3875</v>
      </c>
      <c r="E882" s="235" t="s">
        <v>3876</v>
      </c>
      <c r="F882" s="235" t="s">
        <v>503</v>
      </c>
      <c r="G882" s="238">
        <v>1.0</v>
      </c>
      <c r="H882" s="238">
        <v>0.0</v>
      </c>
      <c r="I882" s="238">
        <v>0.0</v>
      </c>
      <c r="J882" s="238">
        <v>0.0</v>
      </c>
      <c r="K882" s="238">
        <v>0.0</v>
      </c>
      <c r="L882" s="238">
        <v>0.0</v>
      </c>
      <c r="M882" s="238">
        <v>0.0</v>
      </c>
      <c r="N882" s="238">
        <v>0.0</v>
      </c>
      <c r="O882" s="238">
        <v>0.0</v>
      </c>
      <c r="P882" s="238">
        <v>0.0</v>
      </c>
      <c r="Q882" s="238">
        <v>0.0</v>
      </c>
      <c r="R882" s="238">
        <v>0.0</v>
      </c>
      <c r="S882" s="238">
        <v>1.0</v>
      </c>
      <c r="T882" s="238">
        <v>0.0</v>
      </c>
      <c r="U882" s="235" t="s">
        <v>13</v>
      </c>
    </row>
    <row r="883">
      <c r="A883" s="250">
        <v>46228.0</v>
      </c>
      <c r="B883" s="235" t="s">
        <v>3873</v>
      </c>
      <c r="C883" s="235" t="s">
        <v>3874</v>
      </c>
      <c r="D883" s="235" t="s">
        <v>3875</v>
      </c>
      <c r="E883" s="235" t="s">
        <v>3876</v>
      </c>
      <c r="F883" s="235" t="s">
        <v>503</v>
      </c>
      <c r="G883" s="238">
        <v>3.0</v>
      </c>
      <c r="H883" s="238">
        <v>0.0</v>
      </c>
      <c r="I883" s="238">
        <v>0.0</v>
      </c>
      <c r="J883" s="238">
        <v>0.0</v>
      </c>
      <c r="K883" s="238">
        <v>0.0</v>
      </c>
      <c r="L883" s="238">
        <v>0.0</v>
      </c>
      <c r="M883" s="238">
        <v>0.0</v>
      </c>
      <c r="N883" s="238">
        <v>0.0</v>
      </c>
      <c r="O883" s="238">
        <v>0.0</v>
      </c>
      <c r="P883" s="238">
        <v>0.0</v>
      </c>
      <c r="Q883" s="238">
        <v>0.0</v>
      </c>
      <c r="R883" s="238">
        <v>0.0</v>
      </c>
      <c r="S883" s="238">
        <v>3.0</v>
      </c>
      <c r="T883" s="238">
        <v>0.0</v>
      </c>
      <c r="U883" s="235" t="s">
        <v>14</v>
      </c>
    </row>
    <row r="884">
      <c r="A884" s="250">
        <v>46228.0</v>
      </c>
      <c r="B884" s="235" t="s">
        <v>3873</v>
      </c>
      <c r="C884" s="235" t="s">
        <v>3874</v>
      </c>
      <c r="D884" s="235" t="s">
        <v>3875</v>
      </c>
      <c r="E884" s="235" t="s">
        <v>3876</v>
      </c>
      <c r="F884" s="235" t="s">
        <v>503</v>
      </c>
      <c r="G884" s="238">
        <v>4.0</v>
      </c>
      <c r="H884" s="238">
        <v>0.0</v>
      </c>
      <c r="I884" s="238">
        <v>0.0</v>
      </c>
      <c r="J884" s="238">
        <v>0.0</v>
      </c>
      <c r="K884" s="238">
        <v>0.0</v>
      </c>
      <c r="L884" s="238">
        <v>0.0</v>
      </c>
      <c r="M884" s="238">
        <v>0.0</v>
      </c>
      <c r="N884" s="238">
        <v>0.0</v>
      </c>
      <c r="O884" s="238">
        <v>0.0</v>
      </c>
      <c r="P884" s="238">
        <v>0.0</v>
      </c>
      <c r="Q884" s="238">
        <v>0.0</v>
      </c>
      <c r="R884" s="238">
        <v>0.0</v>
      </c>
      <c r="S884" s="238">
        <v>4.0</v>
      </c>
      <c r="T884" s="238">
        <v>0.0</v>
      </c>
      <c r="U884" s="235" t="s">
        <v>156</v>
      </c>
    </row>
    <row r="885">
      <c r="A885" s="250">
        <v>46228.0</v>
      </c>
      <c r="B885" s="235" t="s">
        <v>3873</v>
      </c>
      <c r="C885" s="235" t="s">
        <v>3874</v>
      </c>
      <c r="D885" s="235" t="s">
        <v>3875</v>
      </c>
      <c r="E885" s="235" t="s">
        <v>3876</v>
      </c>
      <c r="F885" s="235" t="s">
        <v>503</v>
      </c>
      <c r="G885" s="238">
        <v>7.0</v>
      </c>
      <c r="H885" s="238">
        <v>0.0</v>
      </c>
      <c r="I885" s="238">
        <v>0.0</v>
      </c>
      <c r="J885" s="238">
        <v>0.0</v>
      </c>
      <c r="K885" s="238">
        <v>0.0</v>
      </c>
      <c r="L885" s="238">
        <v>0.0</v>
      </c>
      <c r="M885" s="238">
        <v>0.0</v>
      </c>
      <c r="N885" s="238">
        <v>0.0</v>
      </c>
      <c r="O885" s="238">
        <v>0.0</v>
      </c>
      <c r="P885" s="238">
        <v>0.0</v>
      </c>
      <c r="Q885" s="238">
        <v>0.0</v>
      </c>
      <c r="R885" s="238">
        <v>0.0</v>
      </c>
      <c r="S885" s="238">
        <v>7.0</v>
      </c>
      <c r="T885" s="238">
        <v>0.0</v>
      </c>
      <c r="U885" s="235" t="s">
        <v>546</v>
      </c>
    </row>
    <row r="886">
      <c r="A886" s="250">
        <v>46228.0</v>
      </c>
      <c r="B886" s="235" t="s">
        <v>3901</v>
      </c>
      <c r="C886" s="235" t="s">
        <v>3902</v>
      </c>
      <c r="D886" s="235" t="s">
        <v>3903</v>
      </c>
      <c r="E886" s="235" t="s">
        <v>3904</v>
      </c>
      <c r="F886" s="235" t="s">
        <v>503</v>
      </c>
      <c r="G886" s="238">
        <v>1.0</v>
      </c>
      <c r="H886" s="238">
        <v>0.0</v>
      </c>
      <c r="I886" s="238">
        <v>0.0</v>
      </c>
      <c r="J886" s="238">
        <v>0.0</v>
      </c>
      <c r="K886" s="238">
        <v>0.0</v>
      </c>
      <c r="L886" s="238">
        <v>0.0</v>
      </c>
      <c r="M886" s="238">
        <v>0.0</v>
      </c>
      <c r="N886" s="238">
        <v>0.0</v>
      </c>
      <c r="O886" s="238">
        <v>0.0</v>
      </c>
      <c r="P886" s="238">
        <v>0.0</v>
      </c>
      <c r="Q886" s="238">
        <v>0.0</v>
      </c>
      <c r="R886" s="238">
        <v>0.0</v>
      </c>
      <c r="S886" s="238">
        <v>1.0</v>
      </c>
      <c r="T886" s="238">
        <v>0.0</v>
      </c>
      <c r="U886" s="235" t="s">
        <v>17</v>
      </c>
    </row>
    <row r="887">
      <c r="A887" s="250">
        <v>46228.0</v>
      </c>
      <c r="B887" s="235" t="s">
        <v>3901</v>
      </c>
      <c r="C887" s="235" t="s">
        <v>3902</v>
      </c>
      <c r="D887" s="235" t="s">
        <v>3903</v>
      </c>
      <c r="E887" s="235" t="s">
        <v>3904</v>
      </c>
      <c r="F887" s="235" t="s">
        <v>503</v>
      </c>
      <c r="G887" s="238">
        <v>1.0</v>
      </c>
      <c r="H887" s="238">
        <v>0.0</v>
      </c>
      <c r="I887" s="238">
        <v>0.0</v>
      </c>
      <c r="J887" s="238">
        <v>0.0</v>
      </c>
      <c r="K887" s="238">
        <v>0.0</v>
      </c>
      <c r="L887" s="238">
        <v>0.0</v>
      </c>
      <c r="M887" s="238">
        <v>0.0</v>
      </c>
      <c r="N887" s="238">
        <v>0.0</v>
      </c>
      <c r="O887" s="238">
        <v>0.0</v>
      </c>
      <c r="P887" s="238">
        <v>0.0</v>
      </c>
      <c r="Q887" s="238">
        <v>0.0</v>
      </c>
      <c r="R887" s="238">
        <v>0.0</v>
      </c>
      <c r="S887" s="238">
        <v>1.0</v>
      </c>
      <c r="T887" s="238">
        <v>0.0</v>
      </c>
      <c r="U887" s="235" t="s">
        <v>156</v>
      </c>
    </row>
    <row r="888">
      <c r="A888" s="250">
        <v>46228.0</v>
      </c>
      <c r="B888" s="235" t="s">
        <v>3901</v>
      </c>
      <c r="C888" s="235" t="s">
        <v>3902</v>
      </c>
      <c r="D888" s="235" t="s">
        <v>3903</v>
      </c>
      <c r="E888" s="235" t="s">
        <v>3904</v>
      </c>
      <c r="F888" s="235" t="s">
        <v>503</v>
      </c>
      <c r="G888" s="238">
        <v>1.0</v>
      </c>
      <c r="H888" s="238">
        <v>0.0</v>
      </c>
      <c r="I888" s="238">
        <v>0.0</v>
      </c>
      <c r="J888" s="238">
        <v>0.0</v>
      </c>
      <c r="K888" s="238">
        <v>0.0</v>
      </c>
      <c r="L888" s="238">
        <v>0.0</v>
      </c>
      <c r="M888" s="238">
        <v>0.0</v>
      </c>
      <c r="N888" s="238">
        <v>0.0</v>
      </c>
      <c r="O888" s="238">
        <v>0.0</v>
      </c>
      <c r="P888" s="238">
        <v>0.0</v>
      </c>
      <c r="Q888" s="238">
        <v>0.0</v>
      </c>
      <c r="R888" s="238">
        <v>0.0</v>
      </c>
      <c r="S888" s="238">
        <v>1.0</v>
      </c>
      <c r="T888" s="238">
        <v>0.0</v>
      </c>
      <c r="U888" s="235" t="s">
        <v>546</v>
      </c>
    </row>
    <row r="889">
      <c r="A889" s="250">
        <v>46228.0</v>
      </c>
      <c r="B889" s="235" t="s">
        <v>3914</v>
      </c>
      <c r="C889" s="235" t="s">
        <v>3915</v>
      </c>
      <c r="D889" s="235" t="s">
        <v>2706</v>
      </c>
      <c r="E889" s="235" t="s">
        <v>2707</v>
      </c>
      <c r="F889" s="235" t="s">
        <v>3044</v>
      </c>
      <c r="G889" s="238">
        <v>1.0</v>
      </c>
      <c r="H889" s="238">
        <v>0.0</v>
      </c>
      <c r="I889" s="238">
        <v>0.0</v>
      </c>
      <c r="J889" s="238">
        <v>0.0</v>
      </c>
      <c r="K889" s="238">
        <v>0.0</v>
      </c>
      <c r="L889" s="238">
        <v>-1.0</v>
      </c>
      <c r="M889" s="238">
        <v>0.0</v>
      </c>
      <c r="N889" s="238">
        <v>0.0</v>
      </c>
      <c r="O889" s="238">
        <v>0.0</v>
      </c>
      <c r="P889" s="238">
        <v>0.0</v>
      </c>
      <c r="Q889" s="238">
        <v>0.0</v>
      </c>
      <c r="R889" s="238">
        <v>0.0</v>
      </c>
      <c r="S889" s="238">
        <v>0.0</v>
      </c>
      <c r="T889" s="238">
        <v>0.0</v>
      </c>
      <c r="U889" s="235" t="s">
        <v>546</v>
      </c>
    </row>
    <row r="890">
      <c r="A890" s="250">
        <v>46228.0</v>
      </c>
      <c r="B890" s="235" t="s">
        <v>3914</v>
      </c>
      <c r="C890" s="235" t="s">
        <v>3915</v>
      </c>
      <c r="D890" s="235" t="s">
        <v>2706</v>
      </c>
      <c r="E890" s="235" t="s">
        <v>2707</v>
      </c>
      <c r="F890" s="235" t="s">
        <v>503</v>
      </c>
      <c r="G890" s="238">
        <v>1.0</v>
      </c>
      <c r="H890" s="238">
        <v>0.0</v>
      </c>
      <c r="I890" s="238">
        <v>0.0</v>
      </c>
      <c r="J890" s="238">
        <v>0.0</v>
      </c>
      <c r="K890" s="238">
        <v>0.0</v>
      </c>
      <c r="L890" s="238">
        <v>0.0</v>
      </c>
      <c r="M890" s="238">
        <v>0.0</v>
      </c>
      <c r="N890" s="238">
        <v>0.0</v>
      </c>
      <c r="O890" s="238">
        <v>0.0</v>
      </c>
      <c r="P890" s="238">
        <v>0.0</v>
      </c>
      <c r="Q890" s="238">
        <v>0.0</v>
      </c>
      <c r="R890" s="238">
        <v>0.0</v>
      </c>
      <c r="S890" s="238">
        <v>1.0</v>
      </c>
      <c r="T890" s="238">
        <v>0.0</v>
      </c>
      <c r="U890" s="235" t="s">
        <v>9</v>
      </c>
    </row>
    <row r="891">
      <c r="A891" s="250">
        <v>46228.0</v>
      </c>
      <c r="B891" s="235" t="s">
        <v>3914</v>
      </c>
      <c r="C891" s="235" t="s">
        <v>3915</v>
      </c>
      <c r="D891" s="235" t="s">
        <v>2706</v>
      </c>
      <c r="E891" s="235" t="s">
        <v>2707</v>
      </c>
      <c r="F891" s="235" t="s">
        <v>503</v>
      </c>
      <c r="G891" s="238">
        <v>3.0</v>
      </c>
      <c r="H891" s="238">
        <v>0.0</v>
      </c>
      <c r="I891" s="238">
        <v>0.0</v>
      </c>
      <c r="J891" s="238">
        <v>0.0</v>
      </c>
      <c r="K891" s="238">
        <v>0.0</v>
      </c>
      <c r="L891" s="238">
        <v>0.0</v>
      </c>
      <c r="M891" s="238">
        <v>0.0</v>
      </c>
      <c r="N891" s="238">
        <v>0.0</v>
      </c>
      <c r="O891" s="238">
        <v>0.0</v>
      </c>
      <c r="P891" s="238">
        <v>0.0</v>
      </c>
      <c r="Q891" s="238">
        <v>0.0</v>
      </c>
      <c r="R891" s="238">
        <v>0.0</v>
      </c>
      <c r="S891" s="238">
        <v>3.0</v>
      </c>
      <c r="T891" s="238">
        <v>0.0</v>
      </c>
      <c r="U891" s="235" t="s">
        <v>11</v>
      </c>
    </row>
    <row r="892">
      <c r="A892" s="250">
        <v>46228.0</v>
      </c>
      <c r="B892" s="235" t="s">
        <v>3914</v>
      </c>
      <c r="C892" s="235" t="s">
        <v>3915</v>
      </c>
      <c r="D892" s="235" t="s">
        <v>2706</v>
      </c>
      <c r="E892" s="235" t="s">
        <v>2707</v>
      </c>
      <c r="F892" s="235" t="s">
        <v>503</v>
      </c>
      <c r="G892" s="238">
        <v>1.0</v>
      </c>
      <c r="H892" s="238">
        <v>0.0</v>
      </c>
      <c r="I892" s="238">
        <v>0.0</v>
      </c>
      <c r="J892" s="238">
        <v>0.0</v>
      </c>
      <c r="K892" s="238">
        <v>0.0</v>
      </c>
      <c r="L892" s="238">
        <v>0.0</v>
      </c>
      <c r="M892" s="238">
        <v>0.0</v>
      </c>
      <c r="N892" s="238">
        <v>0.0</v>
      </c>
      <c r="O892" s="238">
        <v>0.0</v>
      </c>
      <c r="P892" s="238">
        <v>0.0</v>
      </c>
      <c r="Q892" s="238">
        <v>0.0</v>
      </c>
      <c r="R892" s="238">
        <v>0.0</v>
      </c>
      <c r="S892" s="238">
        <v>1.0</v>
      </c>
      <c r="T892" s="238">
        <v>0.0</v>
      </c>
      <c r="U892" s="235" t="s">
        <v>16</v>
      </c>
    </row>
    <row r="893">
      <c r="A893" s="250">
        <v>46228.0</v>
      </c>
      <c r="B893" s="235" t="s">
        <v>3914</v>
      </c>
      <c r="C893" s="235" t="s">
        <v>3915</v>
      </c>
      <c r="D893" s="235" t="s">
        <v>2706</v>
      </c>
      <c r="E893" s="235" t="s">
        <v>2707</v>
      </c>
      <c r="F893" s="235" t="s">
        <v>503</v>
      </c>
      <c r="G893" s="238">
        <v>1.0</v>
      </c>
      <c r="H893" s="238">
        <v>0.0</v>
      </c>
      <c r="I893" s="238">
        <v>0.0</v>
      </c>
      <c r="J893" s="238">
        <v>0.0</v>
      </c>
      <c r="K893" s="238">
        <v>0.0</v>
      </c>
      <c r="L893" s="238">
        <v>0.0</v>
      </c>
      <c r="M893" s="238">
        <v>0.0</v>
      </c>
      <c r="N893" s="238">
        <v>0.0</v>
      </c>
      <c r="O893" s="238">
        <v>0.0</v>
      </c>
      <c r="P893" s="238">
        <v>0.0</v>
      </c>
      <c r="Q893" s="238">
        <v>0.0</v>
      </c>
      <c r="R893" s="238">
        <v>0.0</v>
      </c>
      <c r="S893" s="238">
        <v>1.0</v>
      </c>
      <c r="T893" s="238">
        <v>0.0</v>
      </c>
      <c r="U893" s="235" t="s">
        <v>17</v>
      </c>
    </row>
    <row r="894">
      <c r="A894" s="250">
        <v>46228.0</v>
      </c>
      <c r="B894" s="235" t="s">
        <v>3914</v>
      </c>
      <c r="C894" s="235" t="s">
        <v>3915</v>
      </c>
      <c r="D894" s="235" t="s">
        <v>2706</v>
      </c>
      <c r="E894" s="235" t="s">
        <v>2707</v>
      </c>
      <c r="F894" s="235" t="s">
        <v>503</v>
      </c>
      <c r="G894" s="238">
        <v>1.0</v>
      </c>
      <c r="H894" s="238">
        <v>0.0</v>
      </c>
      <c r="I894" s="238">
        <v>0.0</v>
      </c>
      <c r="J894" s="238">
        <v>-1.0</v>
      </c>
      <c r="K894" s="238">
        <v>0.0</v>
      </c>
      <c r="L894" s="238">
        <v>0.0</v>
      </c>
      <c r="M894" s="238">
        <v>0.0</v>
      </c>
      <c r="N894" s="238">
        <v>0.0</v>
      </c>
      <c r="O894" s="238">
        <v>0.0</v>
      </c>
      <c r="P894" s="238">
        <v>0.0</v>
      </c>
      <c r="Q894" s="238">
        <v>0.0</v>
      </c>
      <c r="R894" s="238">
        <v>0.0</v>
      </c>
      <c r="S894" s="238">
        <v>0.0</v>
      </c>
      <c r="T894" s="238">
        <v>0.0</v>
      </c>
      <c r="U894" s="235" t="s">
        <v>13</v>
      </c>
    </row>
    <row r="895">
      <c r="A895" s="250">
        <v>46228.0</v>
      </c>
      <c r="B895" s="235" t="s">
        <v>3914</v>
      </c>
      <c r="C895" s="235" t="s">
        <v>3915</v>
      </c>
      <c r="D895" s="235" t="s">
        <v>2706</v>
      </c>
      <c r="E895" s="235" t="s">
        <v>2707</v>
      </c>
      <c r="F895" s="235" t="s">
        <v>503</v>
      </c>
      <c r="G895" s="238">
        <v>1.0</v>
      </c>
      <c r="H895" s="238">
        <v>0.0</v>
      </c>
      <c r="I895" s="238">
        <v>0.0</v>
      </c>
      <c r="J895" s="238">
        <v>0.0</v>
      </c>
      <c r="K895" s="238">
        <v>0.0</v>
      </c>
      <c r="L895" s="238">
        <v>0.0</v>
      </c>
      <c r="M895" s="238">
        <v>0.0</v>
      </c>
      <c r="N895" s="238">
        <v>0.0</v>
      </c>
      <c r="O895" s="238">
        <v>0.0</v>
      </c>
      <c r="P895" s="238">
        <v>0.0</v>
      </c>
      <c r="Q895" s="238">
        <v>0.0</v>
      </c>
      <c r="R895" s="238">
        <v>0.0</v>
      </c>
      <c r="S895" s="238">
        <v>1.0</v>
      </c>
      <c r="T895" s="238">
        <v>0.0</v>
      </c>
      <c r="U895" s="235" t="s">
        <v>14</v>
      </c>
    </row>
    <row r="896">
      <c r="A896" s="250">
        <v>46228.0</v>
      </c>
      <c r="B896" s="235" t="s">
        <v>3914</v>
      </c>
      <c r="C896" s="235" t="s">
        <v>3915</v>
      </c>
      <c r="D896" s="235" t="s">
        <v>2706</v>
      </c>
      <c r="E896" s="235" t="s">
        <v>2707</v>
      </c>
      <c r="F896" s="235" t="s">
        <v>503</v>
      </c>
      <c r="G896" s="238">
        <v>1.0</v>
      </c>
      <c r="H896" s="238">
        <v>0.0</v>
      </c>
      <c r="I896" s="238">
        <v>0.0</v>
      </c>
      <c r="J896" s="238">
        <v>0.0</v>
      </c>
      <c r="K896" s="238">
        <v>0.0</v>
      </c>
      <c r="L896" s="238">
        <v>0.0</v>
      </c>
      <c r="M896" s="238">
        <v>0.0</v>
      </c>
      <c r="N896" s="238">
        <v>0.0</v>
      </c>
      <c r="O896" s="238">
        <v>0.0</v>
      </c>
      <c r="P896" s="238">
        <v>0.0</v>
      </c>
      <c r="Q896" s="238">
        <v>0.0</v>
      </c>
      <c r="R896" s="238">
        <v>0.0</v>
      </c>
      <c r="S896" s="238">
        <v>1.0</v>
      </c>
      <c r="T896" s="238">
        <v>0.0</v>
      </c>
      <c r="U896" s="235" t="s">
        <v>546</v>
      </c>
    </row>
    <row r="897">
      <c r="A897" s="250">
        <v>46228.0</v>
      </c>
      <c r="B897" s="235" t="s">
        <v>3949</v>
      </c>
      <c r="C897" s="235" t="s">
        <v>3950</v>
      </c>
      <c r="D897" s="235" t="s">
        <v>3951</v>
      </c>
      <c r="E897" s="235" t="s">
        <v>3952</v>
      </c>
      <c r="F897" s="235" t="s">
        <v>503</v>
      </c>
      <c r="G897" s="238">
        <v>4.0</v>
      </c>
      <c r="H897" s="238">
        <v>0.0</v>
      </c>
      <c r="I897" s="238">
        <v>0.0</v>
      </c>
      <c r="J897" s="238">
        <v>0.0</v>
      </c>
      <c r="K897" s="238">
        <v>0.0</v>
      </c>
      <c r="L897" s="238">
        <v>0.0</v>
      </c>
      <c r="M897" s="238">
        <v>0.0</v>
      </c>
      <c r="N897" s="238">
        <v>0.0</v>
      </c>
      <c r="O897" s="238">
        <v>0.0</v>
      </c>
      <c r="P897" s="238">
        <v>0.0</v>
      </c>
      <c r="Q897" s="238">
        <v>0.0</v>
      </c>
      <c r="R897" s="238">
        <v>0.0</v>
      </c>
      <c r="S897" s="238">
        <v>4.0</v>
      </c>
      <c r="T897" s="238">
        <v>0.0</v>
      </c>
      <c r="U897" s="235" t="s">
        <v>16</v>
      </c>
    </row>
    <row r="898">
      <c r="A898" s="250">
        <v>46228.0</v>
      </c>
      <c r="B898" s="235" t="s">
        <v>3949</v>
      </c>
      <c r="C898" s="235" t="s">
        <v>3950</v>
      </c>
      <c r="D898" s="235" t="s">
        <v>3951</v>
      </c>
      <c r="E898" s="235" t="s">
        <v>3952</v>
      </c>
      <c r="F898" s="235" t="s">
        <v>503</v>
      </c>
      <c r="G898" s="238">
        <v>1.0</v>
      </c>
      <c r="H898" s="238">
        <v>0.0</v>
      </c>
      <c r="I898" s="238">
        <v>0.0</v>
      </c>
      <c r="J898" s="238">
        <v>0.0</v>
      </c>
      <c r="K898" s="238">
        <v>0.0</v>
      </c>
      <c r="L898" s="238">
        <v>0.0</v>
      </c>
      <c r="M898" s="238">
        <v>0.0</v>
      </c>
      <c r="N898" s="238">
        <v>0.0</v>
      </c>
      <c r="O898" s="238">
        <v>0.0</v>
      </c>
      <c r="P898" s="238">
        <v>0.0</v>
      </c>
      <c r="Q898" s="238">
        <v>0.0</v>
      </c>
      <c r="R898" s="238">
        <v>0.0</v>
      </c>
      <c r="S898" s="238">
        <v>1.0</v>
      </c>
      <c r="T898" s="238">
        <v>0.0</v>
      </c>
      <c r="U898" s="235" t="s">
        <v>546</v>
      </c>
    </row>
    <row r="899">
      <c r="A899" s="250">
        <v>46228.0</v>
      </c>
      <c r="B899" s="235" t="s">
        <v>3960</v>
      </c>
      <c r="C899" s="235" t="s">
        <v>3961</v>
      </c>
      <c r="D899" s="235" t="s">
        <v>3962</v>
      </c>
      <c r="E899" s="235" t="s">
        <v>3963</v>
      </c>
      <c r="F899" s="235" t="s">
        <v>503</v>
      </c>
      <c r="G899" s="238">
        <v>1.0</v>
      </c>
      <c r="H899" s="238">
        <v>0.0</v>
      </c>
      <c r="I899" s="238">
        <v>0.0</v>
      </c>
      <c r="J899" s="238">
        <v>0.0</v>
      </c>
      <c r="K899" s="238">
        <v>0.0</v>
      </c>
      <c r="L899" s="238">
        <v>0.0</v>
      </c>
      <c r="M899" s="238">
        <v>0.0</v>
      </c>
      <c r="N899" s="238">
        <v>0.0</v>
      </c>
      <c r="O899" s="238">
        <v>0.0</v>
      </c>
      <c r="P899" s="238">
        <v>0.0</v>
      </c>
      <c r="Q899" s="238">
        <v>0.0</v>
      </c>
      <c r="R899" s="238">
        <v>0.0</v>
      </c>
      <c r="S899" s="238">
        <v>1.0</v>
      </c>
      <c r="T899" s="238">
        <v>0.0</v>
      </c>
      <c r="U899" s="235" t="s">
        <v>9</v>
      </c>
    </row>
    <row r="900">
      <c r="A900" s="250">
        <v>46228.0</v>
      </c>
      <c r="B900" s="235" t="s">
        <v>3960</v>
      </c>
      <c r="C900" s="235" t="s">
        <v>3961</v>
      </c>
      <c r="D900" s="235" t="s">
        <v>3962</v>
      </c>
      <c r="E900" s="235" t="s">
        <v>3963</v>
      </c>
      <c r="F900" s="235" t="s">
        <v>503</v>
      </c>
      <c r="G900" s="238">
        <v>1.0</v>
      </c>
      <c r="H900" s="238">
        <v>0.0</v>
      </c>
      <c r="I900" s="238">
        <v>0.0</v>
      </c>
      <c r="J900" s="238">
        <v>0.0</v>
      </c>
      <c r="K900" s="238">
        <v>0.0</v>
      </c>
      <c r="L900" s="238">
        <v>0.0</v>
      </c>
      <c r="M900" s="238">
        <v>0.0</v>
      </c>
      <c r="N900" s="238">
        <v>0.0</v>
      </c>
      <c r="O900" s="238">
        <v>0.0</v>
      </c>
      <c r="P900" s="238">
        <v>0.0</v>
      </c>
      <c r="Q900" s="238">
        <v>0.0</v>
      </c>
      <c r="R900" s="238">
        <v>0.0</v>
      </c>
      <c r="S900" s="238">
        <v>1.0</v>
      </c>
      <c r="T900" s="238">
        <v>0.0</v>
      </c>
      <c r="U900" s="235" t="s">
        <v>155</v>
      </c>
    </row>
    <row r="901">
      <c r="A901" s="250">
        <v>46228.0</v>
      </c>
      <c r="B901" s="235" t="s">
        <v>3960</v>
      </c>
      <c r="C901" s="235" t="s">
        <v>3961</v>
      </c>
      <c r="D901" s="235" t="s">
        <v>3962</v>
      </c>
      <c r="E901" s="235" t="s">
        <v>3963</v>
      </c>
      <c r="F901" s="235" t="s">
        <v>503</v>
      </c>
      <c r="G901" s="238">
        <v>2.0</v>
      </c>
      <c r="H901" s="238">
        <v>0.0</v>
      </c>
      <c r="I901" s="238">
        <v>0.0</v>
      </c>
      <c r="J901" s="238">
        <v>0.0</v>
      </c>
      <c r="K901" s="238">
        <v>0.0</v>
      </c>
      <c r="L901" s="238">
        <v>0.0</v>
      </c>
      <c r="M901" s="238">
        <v>0.0</v>
      </c>
      <c r="N901" s="238">
        <v>0.0</v>
      </c>
      <c r="O901" s="238">
        <v>0.0</v>
      </c>
      <c r="P901" s="238">
        <v>0.0</v>
      </c>
      <c r="Q901" s="238">
        <v>0.0</v>
      </c>
      <c r="R901" s="238">
        <v>0.0</v>
      </c>
      <c r="S901" s="238">
        <v>2.0</v>
      </c>
      <c r="T901" s="238">
        <v>0.0</v>
      </c>
      <c r="U901" s="235" t="s">
        <v>533</v>
      </c>
    </row>
    <row r="902">
      <c r="A902" s="250">
        <v>46228.0</v>
      </c>
      <c r="B902" s="235" t="s">
        <v>3973</v>
      </c>
      <c r="C902" s="235" t="s">
        <v>235</v>
      </c>
      <c r="D902" s="235" t="s">
        <v>0</v>
      </c>
      <c r="E902" s="235" t="s">
        <v>740</v>
      </c>
      <c r="F902" s="235" t="s">
        <v>503</v>
      </c>
      <c r="G902" s="238">
        <v>2.0</v>
      </c>
      <c r="H902" s="238">
        <v>0.0</v>
      </c>
      <c r="I902" s="238">
        <v>0.0</v>
      </c>
      <c r="J902" s="238">
        <v>0.0</v>
      </c>
      <c r="K902" s="238">
        <v>0.0</v>
      </c>
      <c r="L902" s="238">
        <v>0.0</v>
      </c>
      <c r="M902" s="238">
        <v>0.0</v>
      </c>
      <c r="N902" s="238">
        <v>0.0</v>
      </c>
      <c r="O902" s="238">
        <v>0.0</v>
      </c>
      <c r="P902" s="238">
        <v>0.0</v>
      </c>
      <c r="Q902" s="238">
        <v>0.0</v>
      </c>
      <c r="R902" s="238">
        <v>0.0</v>
      </c>
      <c r="S902" s="238">
        <v>2.0</v>
      </c>
      <c r="T902" s="238">
        <v>0.0</v>
      </c>
      <c r="U902" s="235" t="s">
        <v>5</v>
      </c>
    </row>
    <row r="903">
      <c r="A903" s="250">
        <v>46228.0</v>
      </c>
      <c r="B903" s="235" t="s">
        <v>3973</v>
      </c>
      <c r="C903" s="235" t="s">
        <v>235</v>
      </c>
      <c r="D903" s="235" t="s">
        <v>0</v>
      </c>
      <c r="E903" s="235" t="s">
        <v>740</v>
      </c>
      <c r="F903" s="235" t="s">
        <v>503</v>
      </c>
      <c r="G903" s="238">
        <v>2.0</v>
      </c>
      <c r="H903" s="238">
        <v>0.0</v>
      </c>
      <c r="I903" s="238">
        <v>0.0</v>
      </c>
      <c r="J903" s="238">
        <v>0.0</v>
      </c>
      <c r="K903" s="238">
        <v>0.0</v>
      </c>
      <c r="L903" s="238">
        <v>0.0</v>
      </c>
      <c r="M903" s="238">
        <v>0.0</v>
      </c>
      <c r="N903" s="238">
        <v>0.0</v>
      </c>
      <c r="O903" s="238">
        <v>0.0</v>
      </c>
      <c r="P903" s="238">
        <v>0.0</v>
      </c>
      <c r="Q903" s="238">
        <v>0.0</v>
      </c>
      <c r="R903" s="238">
        <v>0.0</v>
      </c>
      <c r="S903" s="238">
        <v>2.0</v>
      </c>
      <c r="T903" s="238">
        <v>0.0</v>
      </c>
      <c r="U903" s="235" t="s">
        <v>9</v>
      </c>
    </row>
    <row r="904">
      <c r="A904" s="250">
        <v>46228.0</v>
      </c>
      <c r="B904" s="235" t="s">
        <v>3973</v>
      </c>
      <c r="C904" s="235" t="s">
        <v>235</v>
      </c>
      <c r="D904" s="235" t="s">
        <v>0</v>
      </c>
      <c r="E904" s="235" t="s">
        <v>740</v>
      </c>
      <c r="F904" s="235" t="s">
        <v>503</v>
      </c>
      <c r="G904" s="238">
        <v>7.0</v>
      </c>
      <c r="H904" s="238">
        <v>0.0</v>
      </c>
      <c r="I904" s="238">
        <v>0.0</v>
      </c>
      <c r="J904" s="238">
        <v>0.0</v>
      </c>
      <c r="K904" s="238">
        <v>0.0</v>
      </c>
      <c r="L904" s="238">
        <v>0.0</v>
      </c>
      <c r="M904" s="238">
        <v>0.0</v>
      </c>
      <c r="N904" s="238">
        <v>0.0</v>
      </c>
      <c r="O904" s="238">
        <v>0.0</v>
      </c>
      <c r="P904" s="238">
        <v>0.0</v>
      </c>
      <c r="Q904" s="238">
        <v>0.0</v>
      </c>
      <c r="R904" s="238">
        <v>0.0</v>
      </c>
      <c r="S904" s="238">
        <v>7.0</v>
      </c>
      <c r="T904" s="238">
        <v>0.0</v>
      </c>
      <c r="U904" s="235" t="s">
        <v>11</v>
      </c>
    </row>
    <row r="905">
      <c r="A905" s="250">
        <v>46228.0</v>
      </c>
      <c r="B905" s="235" t="s">
        <v>3973</v>
      </c>
      <c r="C905" s="235" t="s">
        <v>235</v>
      </c>
      <c r="D905" s="235" t="s">
        <v>0</v>
      </c>
      <c r="E905" s="235" t="s">
        <v>740</v>
      </c>
      <c r="F905" s="235" t="s">
        <v>503</v>
      </c>
      <c r="G905" s="238">
        <v>5.0</v>
      </c>
      <c r="H905" s="238">
        <v>0.0</v>
      </c>
      <c r="I905" s="238">
        <v>0.0</v>
      </c>
      <c r="J905" s="238">
        <v>0.0</v>
      </c>
      <c r="K905" s="238">
        <v>0.0</v>
      </c>
      <c r="L905" s="238">
        <v>0.0</v>
      </c>
      <c r="M905" s="238">
        <v>0.0</v>
      </c>
      <c r="N905" s="238">
        <v>0.0</v>
      </c>
      <c r="O905" s="238">
        <v>0.0</v>
      </c>
      <c r="P905" s="238">
        <v>0.0</v>
      </c>
      <c r="Q905" s="238">
        <v>0.0</v>
      </c>
      <c r="R905" s="238">
        <v>0.0</v>
      </c>
      <c r="S905" s="238">
        <v>5.0</v>
      </c>
      <c r="T905" s="238">
        <v>0.0</v>
      </c>
      <c r="U905" s="235" t="s">
        <v>16</v>
      </c>
    </row>
    <row r="906">
      <c r="A906" s="250">
        <v>46228.0</v>
      </c>
      <c r="B906" s="235" t="s">
        <v>3973</v>
      </c>
      <c r="C906" s="235" t="s">
        <v>235</v>
      </c>
      <c r="D906" s="235" t="s">
        <v>0</v>
      </c>
      <c r="E906" s="235" t="s">
        <v>740</v>
      </c>
      <c r="F906" s="235" t="s">
        <v>503</v>
      </c>
      <c r="G906" s="238">
        <v>1.0</v>
      </c>
      <c r="H906" s="238">
        <v>0.0</v>
      </c>
      <c r="I906" s="238">
        <v>0.0</v>
      </c>
      <c r="J906" s="238">
        <v>0.0</v>
      </c>
      <c r="K906" s="238">
        <v>0.0</v>
      </c>
      <c r="L906" s="238">
        <v>0.0</v>
      </c>
      <c r="M906" s="238">
        <v>0.0</v>
      </c>
      <c r="N906" s="238">
        <v>0.0</v>
      </c>
      <c r="O906" s="238">
        <v>0.0</v>
      </c>
      <c r="P906" s="238">
        <v>0.0</v>
      </c>
      <c r="Q906" s="238">
        <v>0.0</v>
      </c>
      <c r="R906" s="238">
        <v>0.0</v>
      </c>
      <c r="S906" s="238">
        <v>1.0</v>
      </c>
      <c r="T906" s="238">
        <v>0.0</v>
      </c>
      <c r="U906" s="235" t="s">
        <v>155</v>
      </c>
    </row>
    <row r="907">
      <c r="A907" s="250">
        <v>46228.0</v>
      </c>
      <c r="B907" s="235" t="s">
        <v>3973</v>
      </c>
      <c r="C907" s="235" t="s">
        <v>235</v>
      </c>
      <c r="D907" s="235" t="s">
        <v>0</v>
      </c>
      <c r="E907" s="235" t="s">
        <v>740</v>
      </c>
      <c r="F907" s="235" t="s">
        <v>503</v>
      </c>
      <c r="G907" s="238">
        <v>3.0</v>
      </c>
      <c r="H907" s="238">
        <v>0.0</v>
      </c>
      <c r="I907" s="238">
        <v>0.0</v>
      </c>
      <c r="J907" s="238">
        <v>0.0</v>
      </c>
      <c r="K907" s="238">
        <v>0.0</v>
      </c>
      <c r="L907" s="238">
        <v>0.0</v>
      </c>
      <c r="M907" s="238">
        <v>0.0</v>
      </c>
      <c r="N907" s="238">
        <v>0.0</v>
      </c>
      <c r="O907" s="238">
        <v>0.0</v>
      </c>
      <c r="P907" s="238">
        <v>0.0</v>
      </c>
      <c r="Q907" s="238">
        <v>0.0</v>
      </c>
      <c r="R907" s="238">
        <v>0.0</v>
      </c>
      <c r="S907" s="238">
        <v>3.0</v>
      </c>
      <c r="T907" s="238">
        <v>0.0</v>
      </c>
      <c r="U907" s="235" t="s">
        <v>533</v>
      </c>
    </row>
    <row r="908">
      <c r="A908" s="250">
        <v>46228.0</v>
      </c>
      <c r="B908" s="235" t="s">
        <v>3973</v>
      </c>
      <c r="C908" s="235" t="s">
        <v>235</v>
      </c>
      <c r="D908" s="235" t="s">
        <v>0</v>
      </c>
      <c r="E908" s="235" t="s">
        <v>740</v>
      </c>
      <c r="F908" s="235" t="s">
        <v>503</v>
      </c>
      <c r="G908" s="238">
        <v>2.0</v>
      </c>
      <c r="H908" s="238">
        <v>0.0</v>
      </c>
      <c r="I908" s="238">
        <v>0.0</v>
      </c>
      <c r="J908" s="238">
        <v>-1.0</v>
      </c>
      <c r="K908" s="238">
        <v>0.0</v>
      </c>
      <c r="L908" s="238">
        <v>0.0</v>
      </c>
      <c r="M908" s="238">
        <v>0.0</v>
      </c>
      <c r="N908" s="238">
        <v>0.0</v>
      </c>
      <c r="O908" s="238">
        <v>0.0</v>
      </c>
      <c r="P908" s="238">
        <v>0.0</v>
      </c>
      <c r="Q908" s="238">
        <v>0.0</v>
      </c>
      <c r="R908" s="238">
        <v>0.0</v>
      </c>
      <c r="S908" s="238">
        <v>1.0</v>
      </c>
      <c r="T908" s="238">
        <v>0.0</v>
      </c>
      <c r="U908" s="235" t="s">
        <v>13</v>
      </c>
    </row>
    <row r="909">
      <c r="A909" s="250">
        <v>46228.0</v>
      </c>
      <c r="B909" s="235" t="s">
        <v>3973</v>
      </c>
      <c r="C909" s="235" t="s">
        <v>235</v>
      </c>
      <c r="D909" s="235" t="s">
        <v>0</v>
      </c>
      <c r="E909" s="235" t="s">
        <v>740</v>
      </c>
      <c r="F909" s="235" t="s">
        <v>503</v>
      </c>
      <c r="G909" s="238">
        <v>4.0</v>
      </c>
      <c r="H909" s="238">
        <v>0.0</v>
      </c>
      <c r="I909" s="238">
        <v>0.0</v>
      </c>
      <c r="J909" s="238">
        <v>0.0</v>
      </c>
      <c r="K909" s="238">
        <v>0.0</v>
      </c>
      <c r="L909" s="238">
        <v>0.0</v>
      </c>
      <c r="M909" s="238">
        <v>0.0</v>
      </c>
      <c r="N909" s="238">
        <v>0.0</v>
      </c>
      <c r="O909" s="238">
        <v>0.0</v>
      </c>
      <c r="P909" s="238">
        <v>0.0</v>
      </c>
      <c r="Q909" s="238">
        <v>0.0</v>
      </c>
      <c r="R909" s="238">
        <v>0.0</v>
      </c>
      <c r="S909" s="238">
        <v>4.0</v>
      </c>
      <c r="T909" s="238">
        <v>0.0</v>
      </c>
      <c r="U909" s="235" t="s">
        <v>14</v>
      </c>
    </row>
    <row r="910">
      <c r="A910" s="250">
        <v>46228.0</v>
      </c>
      <c r="B910" s="235" t="s">
        <v>3973</v>
      </c>
      <c r="C910" s="235" t="s">
        <v>235</v>
      </c>
      <c r="D910" s="235" t="s">
        <v>0</v>
      </c>
      <c r="E910" s="235" t="s">
        <v>740</v>
      </c>
      <c r="F910" s="235" t="s">
        <v>503</v>
      </c>
      <c r="G910" s="238">
        <v>2.0</v>
      </c>
      <c r="H910" s="238">
        <v>0.0</v>
      </c>
      <c r="I910" s="238">
        <v>0.0</v>
      </c>
      <c r="J910" s="238">
        <v>0.0</v>
      </c>
      <c r="K910" s="238">
        <v>0.0</v>
      </c>
      <c r="L910" s="238">
        <v>0.0</v>
      </c>
      <c r="M910" s="238">
        <v>0.0</v>
      </c>
      <c r="N910" s="238">
        <v>0.0</v>
      </c>
      <c r="O910" s="238">
        <v>0.0</v>
      </c>
      <c r="P910" s="238">
        <v>0.0</v>
      </c>
      <c r="Q910" s="238">
        <v>0.0</v>
      </c>
      <c r="R910" s="238">
        <v>0.0</v>
      </c>
      <c r="S910" s="238">
        <v>2.0</v>
      </c>
      <c r="T910" s="238">
        <v>0.0</v>
      </c>
      <c r="U910" s="235" t="s">
        <v>20</v>
      </c>
    </row>
    <row r="911">
      <c r="A911" s="250">
        <v>46228.0</v>
      </c>
      <c r="B911" s="235" t="s">
        <v>3973</v>
      </c>
      <c r="C911" s="235" t="s">
        <v>235</v>
      </c>
      <c r="D911" s="235" t="s">
        <v>0</v>
      </c>
      <c r="E911" s="235" t="s">
        <v>740</v>
      </c>
      <c r="F911" s="235" t="s">
        <v>503</v>
      </c>
      <c r="G911" s="238">
        <v>1.0</v>
      </c>
      <c r="H911" s="238">
        <v>0.0</v>
      </c>
      <c r="I911" s="238">
        <v>0.0</v>
      </c>
      <c r="J911" s="238">
        <v>0.0</v>
      </c>
      <c r="K911" s="238">
        <v>0.0</v>
      </c>
      <c r="L911" s="238">
        <v>0.0</v>
      </c>
      <c r="M911" s="238">
        <v>0.0</v>
      </c>
      <c r="N911" s="238">
        <v>0.0</v>
      </c>
      <c r="O911" s="238">
        <v>0.0</v>
      </c>
      <c r="P911" s="238">
        <v>0.0</v>
      </c>
      <c r="Q911" s="238">
        <v>0.0</v>
      </c>
      <c r="R911" s="238">
        <v>0.0</v>
      </c>
      <c r="S911" s="238">
        <v>1.0</v>
      </c>
      <c r="T911" s="238">
        <v>0.0</v>
      </c>
      <c r="U911" s="235" t="s">
        <v>156</v>
      </c>
    </row>
    <row r="912">
      <c r="A912" s="250">
        <v>46228.0</v>
      </c>
      <c r="B912" s="235" t="s">
        <v>3973</v>
      </c>
      <c r="C912" s="235" t="s">
        <v>235</v>
      </c>
      <c r="D912" s="235" t="s">
        <v>0</v>
      </c>
      <c r="E912" s="235" t="s">
        <v>740</v>
      </c>
      <c r="F912" s="235" t="s">
        <v>503</v>
      </c>
      <c r="G912" s="238">
        <v>9.0</v>
      </c>
      <c r="H912" s="238">
        <v>0.0</v>
      </c>
      <c r="I912" s="238">
        <v>0.0</v>
      </c>
      <c r="J912" s="238">
        <v>0.0</v>
      </c>
      <c r="K912" s="238">
        <v>0.0</v>
      </c>
      <c r="L912" s="238">
        <v>0.0</v>
      </c>
      <c r="M912" s="238">
        <v>0.0</v>
      </c>
      <c r="N912" s="238">
        <v>0.0</v>
      </c>
      <c r="O912" s="238">
        <v>0.0</v>
      </c>
      <c r="P912" s="238">
        <v>0.0</v>
      </c>
      <c r="Q912" s="238">
        <v>0.0</v>
      </c>
      <c r="R912" s="238">
        <v>0.0</v>
      </c>
      <c r="S912" s="238">
        <v>9.0</v>
      </c>
      <c r="T912" s="238">
        <v>0.0</v>
      </c>
      <c r="U912" s="235" t="s">
        <v>546</v>
      </c>
    </row>
    <row r="913">
      <c r="A913" s="250">
        <v>46228.0</v>
      </c>
      <c r="B913" s="235" t="s">
        <v>4012</v>
      </c>
      <c r="C913" s="235" t="s">
        <v>393</v>
      </c>
      <c r="D913" s="235" t="s">
        <v>6</v>
      </c>
      <c r="E913" s="235" t="s">
        <v>806</v>
      </c>
      <c r="F913" s="235" t="s">
        <v>503</v>
      </c>
      <c r="G913" s="238">
        <v>2.0</v>
      </c>
      <c r="H913" s="238">
        <v>0.0</v>
      </c>
      <c r="I913" s="238">
        <v>0.0</v>
      </c>
      <c r="J913" s="238">
        <v>0.0</v>
      </c>
      <c r="K913" s="238">
        <v>0.0</v>
      </c>
      <c r="L913" s="238">
        <v>0.0</v>
      </c>
      <c r="M913" s="238">
        <v>0.0</v>
      </c>
      <c r="N913" s="238">
        <v>0.0</v>
      </c>
      <c r="O913" s="238">
        <v>0.0</v>
      </c>
      <c r="P913" s="238">
        <v>0.0</v>
      </c>
      <c r="Q913" s="238">
        <v>0.0</v>
      </c>
      <c r="R913" s="238">
        <v>0.0</v>
      </c>
      <c r="S913" s="238">
        <v>2.0</v>
      </c>
      <c r="T913" s="238">
        <v>0.0</v>
      </c>
      <c r="U913" s="235" t="s">
        <v>5</v>
      </c>
    </row>
    <row r="914">
      <c r="A914" s="250">
        <v>46228.0</v>
      </c>
      <c r="B914" s="235" t="s">
        <v>4012</v>
      </c>
      <c r="C914" s="235" t="s">
        <v>393</v>
      </c>
      <c r="D914" s="235" t="s">
        <v>6</v>
      </c>
      <c r="E914" s="235" t="s">
        <v>806</v>
      </c>
      <c r="F914" s="235" t="s">
        <v>503</v>
      </c>
      <c r="G914" s="238">
        <v>1.0</v>
      </c>
      <c r="H914" s="238">
        <v>0.0</v>
      </c>
      <c r="I914" s="238">
        <v>0.0</v>
      </c>
      <c r="J914" s="238">
        <v>0.0</v>
      </c>
      <c r="K914" s="238">
        <v>0.0</v>
      </c>
      <c r="L914" s="238">
        <v>0.0</v>
      </c>
      <c r="M914" s="238">
        <v>0.0</v>
      </c>
      <c r="N914" s="238">
        <v>0.0</v>
      </c>
      <c r="O914" s="238">
        <v>0.0</v>
      </c>
      <c r="P914" s="238">
        <v>0.0</v>
      </c>
      <c r="Q914" s="238">
        <v>0.0</v>
      </c>
      <c r="R914" s="238">
        <v>0.0</v>
      </c>
      <c r="S914" s="238">
        <v>1.0</v>
      </c>
      <c r="T914" s="238">
        <v>0.0</v>
      </c>
      <c r="U914" s="235" t="s">
        <v>9</v>
      </c>
    </row>
    <row r="915">
      <c r="A915" s="250">
        <v>46228.0</v>
      </c>
      <c r="B915" s="235" t="s">
        <v>4012</v>
      </c>
      <c r="C915" s="235" t="s">
        <v>393</v>
      </c>
      <c r="D915" s="235" t="s">
        <v>6</v>
      </c>
      <c r="E915" s="235" t="s">
        <v>806</v>
      </c>
      <c r="F915" s="235" t="s">
        <v>503</v>
      </c>
      <c r="G915" s="238">
        <v>10.0</v>
      </c>
      <c r="H915" s="238">
        <v>0.0</v>
      </c>
      <c r="I915" s="238">
        <v>0.0</v>
      </c>
      <c r="J915" s="238">
        <v>0.0</v>
      </c>
      <c r="K915" s="238">
        <v>0.0</v>
      </c>
      <c r="L915" s="238">
        <v>0.0</v>
      </c>
      <c r="M915" s="238">
        <v>0.0</v>
      </c>
      <c r="N915" s="238">
        <v>0.0</v>
      </c>
      <c r="O915" s="238">
        <v>0.0</v>
      </c>
      <c r="P915" s="238">
        <v>0.0</v>
      </c>
      <c r="Q915" s="238">
        <v>0.0</v>
      </c>
      <c r="R915" s="238">
        <v>0.0</v>
      </c>
      <c r="S915" s="238">
        <v>10.0</v>
      </c>
      <c r="T915" s="238">
        <v>0.0</v>
      </c>
      <c r="U915" s="235" t="s">
        <v>11</v>
      </c>
    </row>
    <row r="916">
      <c r="A916" s="250">
        <v>46228.0</v>
      </c>
      <c r="B916" s="235" t="s">
        <v>4012</v>
      </c>
      <c r="C916" s="235" t="s">
        <v>393</v>
      </c>
      <c r="D916" s="235" t="s">
        <v>6</v>
      </c>
      <c r="E916" s="235" t="s">
        <v>806</v>
      </c>
      <c r="F916" s="235" t="s">
        <v>503</v>
      </c>
      <c r="G916" s="238">
        <v>2.0</v>
      </c>
      <c r="H916" s="238">
        <v>0.0</v>
      </c>
      <c r="I916" s="238">
        <v>0.0</v>
      </c>
      <c r="J916" s="238">
        <v>0.0</v>
      </c>
      <c r="K916" s="238">
        <v>0.0</v>
      </c>
      <c r="L916" s="238">
        <v>0.0</v>
      </c>
      <c r="M916" s="238">
        <v>0.0</v>
      </c>
      <c r="N916" s="238">
        <v>0.0</v>
      </c>
      <c r="O916" s="238">
        <v>0.0</v>
      </c>
      <c r="P916" s="238">
        <v>0.0</v>
      </c>
      <c r="Q916" s="238">
        <v>0.0</v>
      </c>
      <c r="R916" s="238">
        <v>0.0</v>
      </c>
      <c r="S916" s="238">
        <v>2.0</v>
      </c>
      <c r="T916" s="238">
        <v>0.0</v>
      </c>
      <c r="U916" s="235" t="s">
        <v>16</v>
      </c>
    </row>
    <row r="917">
      <c r="A917" s="250">
        <v>46228.0</v>
      </c>
      <c r="B917" s="235" t="s">
        <v>4012</v>
      </c>
      <c r="C917" s="235" t="s">
        <v>393</v>
      </c>
      <c r="D917" s="235" t="s">
        <v>6</v>
      </c>
      <c r="E917" s="235" t="s">
        <v>806</v>
      </c>
      <c r="F917" s="235" t="s">
        <v>503</v>
      </c>
      <c r="G917" s="238">
        <v>4.0</v>
      </c>
      <c r="H917" s="238">
        <v>0.0</v>
      </c>
      <c r="I917" s="238">
        <v>0.0</v>
      </c>
      <c r="J917" s="238">
        <v>0.0</v>
      </c>
      <c r="K917" s="238">
        <v>0.0</v>
      </c>
      <c r="L917" s="238">
        <v>0.0</v>
      </c>
      <c r="M917" s="238">
        <v>0.0</v>
      </c>
      <c r="N917" s="238">
        <v>0.0</v>
      </c>
      <c r="O917" s="238">
        <v>0.0</v>
      </c>
      <c r="P917" s="238">
        <v>0.0</v>
      </c>
      <c r="Q917" s="238">
        <v>0.0</v>
      </c>
      <c r="R917" s="238">
        <v>0.0</v>
      </c>
      <c r="S917" s="238">
        <v>4.0</v>
      </c>
      <c r="T917" s="238">
        <v>0.0</v>
      </c>
      <c r="U917" s="235" t="s">
        <v>155</v>
      </c>
    </row>
    <row r="918">
      <c r="A918" s="250">
        <v>46228.0</v>
      </c>
      <c r="B918" s="235" t="s">
        <v>4012</v>
      </c>
      <c r="C918" s="235" t="s">
        <v>393</v>
      </c>
      <c r="D918" s="235" t="s">
        <v>6</v>
      </c>
      <c r="E918" s="235" t="s">
        <v>806</v>
      </c>
      <c r="F918" s="235" t="s">
        <v>503</v>
      </c>
      <c r="G918" s="238">
        <v>3.0</v>
      </c>
      <c r="H918" s="238">
        <v>0.0</v>
      </c>
      <c r="I918" s="238">
        <v>0.0</v>
      </c>
      <c r="J918" s="238">
        <v>0.0</v>
      </c>
      <c r="K918" s="238">
        <v>0.0</v>
      </c>
      <c r="L918" s="238">
        <v>0.0</v>
      </c>
      <c r="M918" s="238">
        <v>0.0</v>
      </c>
      <c r="N918" s="238">
        <v>0.0</v>
      </c>
      <c r="O918" s="238">
        <v>0.0</v>
      </c>
      <c r="P918" s="238">
        <v>0.0</v>
      </c>
      <c r="Q918" s="238">
        <v>0.0</v>
      </c>
      <c r="R918" s="238">
        <v>0.0</v>
      </c>
      <c r="S918" s="238">
        <v>3.0</v>
      </c>
      <c r="T918" s="238">
        <v>0.0</v>
      </c>
      <c r="U918" s="235" t="s">
        <v>533</v>
      </c>
    </row>
    <row r="919">
      <c r="A919" s="250">
        <v>46228.0</v>
      </c>
      <c r="B919" s="235" t="s">
        <v>4012</v>
      </c>
      <c r="C919" s="235" t="s">
        <v>393</v>
      </c>
      <c r="D919" s="235" t="s">
        <v>6</v>
      </c>
      <c r="E919" s="235" t="s">
        <v>806</v>
      </c>
      <c r="F919" s="235" t="s">
        <v>503</v>
      </c>
      <c r="G919" s="238">
        <v>3.0</v>
      </c>
      <c r="H919" s="238">
        <v>0.0</v>
      </c>
      <c r="I919" s="238">
        <v>0.0</v>
      </c>
      <c r="J919" s="238">
        <v>0.0</v>
      </c>
      <c r="K919" s="238">
        <v>0.0</v>
      </c>
      <c r="L919" s="238">
        <v>0.0</v>
      </c>
      <c r="M919" s="238">
        <v>0.0</v>
      </c>
      <c r="N919" s="238">
        <v>0.0</v>
      </c>
      <c r="O919" s="238">
        <v>0.0</v>
      </c>
      <c r="P919" s="238">
        <v>0.0</v>
      </c>
      <c r="Q919" s="238">
        <v>0.0</v>
      </c>
      <c r="R919" s="238">
        <v>0.0</v>
      </c>
      <c r="S919" s="238">
        <v>3.0</v>
      </c>
      <c r="T919" s="238">
        <v>0.0</v>
      </c>
      <c r="U919" s="235" t="s">
        <v>13</v>
      </c>
    </row>
    <row r="920">
      <c r="A920" s="250">
        <v>46228.0</v>
      </c>
      <c r="B920" s="235" t="s">
        <v>4012</v>
      </c>
      <c r="C920" s="235" t="s">
        <v>393</v>
      </c>
      <c r="D920" s="235" t="s">
        <v>6</v>
      </c>
      <c r="E920" s="235" t="s">
        <v>806</v>
      </c>
      <c r="F920" s="235" t="s">
        <v>503</v>
      </c>
      <c r="G920" s="238">
        <v>12.0</v>
      </c>
      <c r="H920" s="238">
        <v>0.0</v>
      </c>
      <c r="I920" s="238">
        <v>0.0</v>
      </c>
      <c r="J920" s="238">
        <v>0.0</v>
      </c>
      <c r="K920" s="238">
        <v>0.0</v>
      </c>
      <c r="L920" s="238">
        <v>0.0</v>
      </c>
      <c r="M920" s="238">
        <v>0.0</v>
      </c>
      <c r="N920" s="238">
        <v>0.0</v>
      </c>
      <c r="O920" s="238">
        <v>0.0</v>
      </c>
      <c r="P920" s="238">
        <v>0.0</v>
      </c>
      <c r="Q920" s="238">
        <v>0.0</v>
      </c>
      <c r="R920" s="238">
        <v>0.0</v>
      </c>
      <c r="S920" s="238">
        <v>12.0</v>
      </c>
      <c r="T920" s="238">
        <v>0.0</v>
      </c>
      <c r="U920" s="235" t="s">
        <v>14</v>
      </c>
    </row>
    <row r="921">
      <c r="A921" s="250">
        <v>46228.0</v>
      </c>
      <c r="B921" s="235" t="s">
        <v>4012</v>
      </c>
      <c r="C921" s="235" t="s">
        <v>393</v>
      </c>
      <c r="D921" s="235" t="s">
        <v>6</v>
      </c>
      <c r="E921" s="235" t="s">
        <v>806</v>
      </c>
      <c r="F921" s="235" t="s">
        <v>503</v>
      </c>
      <c r="G921" s="238">
        <v>5.0</v>
      </c>
      <c r="H921" s="238">
        <v>0.0</v>
      </c>
      <c r="I921" s="238">
        <v>0.0</v>
      </c>
      <c r="J921" s="238">
        <v>0.0</v>
      </c>
      <c r="K921" s="238">
        <v>0.0</v>
      </c>
      <c r="L921" s="238">
        <v>0.0</v>
      </c>
      <c r="M921" s="238">
        <v>0.0</v>
      </c>
      <c r="N921" s="238">
        <v>0.0</v>
      </c>
      <c r="O921" s="238">
        <v>0.0</v>
      </c>
      <c r="P921" s="238">
        <v>0.0</v>
      </c>
      <c r="Q921" s="238">
        <v>0.0</v>
      </c>
      <c r="R921" s="238">
        <v>0.0</v>
      </c>
      <c r="S921" s="238">
        <v>5.0</v>
      </c>
      <c r="T921" s="238">
        <v>0.0</v>
      </c>
      <c r="U921" s="235" t="s">
        <v>20</v>
      </c>
    </row>
    <row r="922">
      <c r="A922" s="250">
        <v>46228.0</v>
      </c>
      <c r="B922" s="235" t="s">
        <v>4012</v>
      </c>
      <c r="C922" s="235" t="s">
        <v>393</v>
      </c>
      <c r="D922" s="235" t="s">
        <v>6</v>
      </c>
      <c r="E922" s="235" t="s">
        <v>806</v>
      </c>
      <c r="F922" s="235" t="s">
        <v>503</v>
      </c>
      <c r="G922" s="238">
        <v>3.0</v>
      </c>
      <c r="H922" s="238">
        <v>0.0</v>
      </c>
      <c r="I922" s="238">
        <v>0.0</v>
      </c>
      <c r="J922" s="238">
        <v>0.0</v>
      </c>
      <c r="K922" s="238">
        <v>0.0</v>
      </c>
      <c r="L922" s="238">
        <v>0.0</v>
      </c>
      <c r="M922" s="238">
        <v>0.0</v>
      </c>
      <c r="N922" s="238">
        <v>0.0</v>
      </c>
      <c r="O922" s="238">
        <v>0.0</v>
      </c>
      <c r="P922" s="238">
        <v>0.0</v>
      </c>
      <c r="Q922" s="238">
        <v>0.0</v>
      </c>
      <c r="R922" s="238">
        <v>0.0</v>
      </c>
      <c r="S922" s="238">
        <v>3.0</v>
      </c>
      <c r="T922" s="238">
        <v>0.0</v>
      </c>
      <c r="U922" s="235" t="s">
        <v>156</v>
      </c>
    </row>
    <row r="923">
      <c r="A923" s="250">
        <v>46228.0</v>
      </c>
      <c r="B923" s="235" t="s">
        <v>4012</v>
      </c>
      <c r="C923" s="235" t="s">
        <v>393</v>
      </c>
      <c r="D923" s="235" t="s">
        <v>6</v>
      </c>
      <c r="E923" s="235" t="s">
        <v>806</v>
      </c>
      <c r="F923" s="235" t="s">
        <v>503</v>
      </c>
      <c r="G923" s="238">
        <v>3.0</v>
      </c>
      <c r="H923" s="238">
        <v>0.0</v>
      </c>
      <c r="I923" s="238">
        <v>0.0</v>
      </c>
      <c r="J923" s="238">
        <v>0.0</v>
      </c>
      <c r="K923" s="238">
        <v>0.0</v>
      </c>
      <c r="L923" s="238">
        <v>0.0</v>
      </c>
      <c r="M923" s="238">
        <v>0.0</v>
      </c>
      <c r="N923" s="238">
        <v>0.0</v>
      </c>
      <c r="O923" s="238">
        <v>0.0</v>
      </c>
      <c r="P923" s="238">
        <v>0.0</v>
      </c>
      <c r="Q923" s="238">
        <v>0.0</v>
      </c>
      <c r="R923" s="238">
        <v>0.0</v>
      </c>
      <c r="S923" s="238">
        <v>3.0</v>
      </c>
      <c r="T923" s="238">
        <v>0.0</v>
      </c>
      <c r="U923" s="235" t="s">
        <v>546</v>
      </c>
    </row>
    <row r="924">
      <c r="A924" s="250">
        <v>46228.0</v>
      </c>
      <c r="B924" s="235" t="s">
        <v>4048</v>
      </c>
      <c r="C924" s="235" t="s">
        <v>445</v>
      </c>
      <c r="D924" s="235" t="s">
        <v>3</v>
      </c>
      <c r="E924" s="235" t="s">
        <v>654</v>
      </c>
      <c r="F924" s="235" t="s">
        <v>514</v>
      </c>
      <c r="G924" s="238">
        <v>1.0</v>
      </c>
      <c r="H924" s="238">
        <v>0.0</v>
      </c>
      <c r="I924" s="238">
        <v>0.0</v>
      </c>
      <c r="J924" s="238">
        <v>0.0</v>
      </c>
      <c r="K924" s="238">
        <v>0.0</v>
      </c>
      <c r="L924" s="238">
        <v>0.0</v>
      </c>
      <c r="M924" s="238">
        <v>0.0</v>
      </c>
      <c r="N924" s="238">
        <v>0.0</v>
      </c>
      <c r="O924" s="238">
        <v>0.0</v>
      </c>
      <c r="P924" s="238">
        <v>0.0</v>
      </c>
      <c r="Q924" s="238">
        <v>0.0</v>
      </c>
      <c r="R924" s="238">
        <v>0.0</v>
      </c>
      <c r="S924" s="238">
        <v>0.0</v>
      </c>
      <c r="T924" s="238">
        <v>0.0</v>
      </c>
      <c r="U924" s="235" t="s">
        <v>20</v>
      </c>
    </row>
    <row r="925">
      <c r="A925" s="250">
        <v>46228.0</v>
      </c>
      <c r="B925" s="235" t="s">
        <v>4048</v>
      </c>
      <c r="C925" s="235" t="s">
        <v>445</v>
      </c>
      <c r="D925" s="235" t="s">
        <v>3</v>
      </c>
      <c r="E925" s="235" t="s">
        <v>654</v>
      </c>
      <c r="F925" s="235" t="s">
        <v>503</v>
      </c>
      <c r="G925" s="238">
        <v>3.0</v>
      </c>
      <c r="H925" s="238">
        <v>0.0</v>
      </c>
      <c r="I925" s="238">
        <v>0.0</v>
      </c>
      <c r="J925" s="238">
        <v>0.0</v>
      </c>
      <c r="K925" s="238">
        <v>0.0</v>
      </c>
      <c r="L925" s="238">
        <v>0.0</v>
      </c>
      <c r="M925" s="238">
        <v>0.0</v>
      </c>
      <c r="N925" s="238">
        <v>0.0</v>
      </c>
      <c r="O925" s="238">
        <v>0.0</v>
      </c>
      <c r="P925" s="238">
        <v>0.0</v>
      </c>
      <c r="Q925" s="238">
        <v>0.0</v>
      </c>
      <c r="R925" s="238">
        <v>0.0</v>
      </c>
      <c r="S925" s="238">
        <v>3.0</v>
      </c>
      <c r="T925" s="238">
        <v>0.0</v>
      </c>
      <c r="U925" s="235" t="s">
        <v>5</v>
      </c>
    </row>
    <row r="926">
      <c r="A926" s="250">
        <v>46228.0</v>
      </c>
      <c r="B926" s="235" t="s">
        <v>4048</v>
      </c>
      <c r="C926" s="235" t="s">
        <v>445</v>
      </c>
      <c r="D926" s="235" t="s">
        <v>3</v>
      </c>
      <c r="E926" s="235" t="s">
        <v>654</v>
      </c>
      <c r="F926" s="235" t="s">
        <v>503</v>
      </c>
      <c r="G926" s="238">
        <v>2.0</v>
      </c>
      <c r="H926" s="238">
        <v>0.0</v>
      </c>
      <c r="I926" s="238">
        <v>0.0</v>
      </c>
      <c r="J926" s="238">
        <v>0.0</v>
      </c>
      <c r="K926" s="238">
        <v>0.0</v>
      </c>
      <c r="L926" s="238">
        <v>0.0</v>
      </c>
      <c r="M926" s="238">
        <v>0.0</v>
      </c>
      <c r="N926" s="238">
        <v>0.0</v>
      </c>
      <c r="O926" s="238">
        <v>0.0</v>
      </c>
      <c r="P926" s="238">
        <v>0.0</v>
      </c>
      <c r="Q926" s="238">
        <v>0.0</v>
      </c>
      <c r="R926" s="238">
        <v>0.0</v>
      </c>
      <c r="S926" s="238">
        <v>2.0</v>
      </c>
      <c r="T926" s="238">
        <v>0.0</v>
      </c>
      <c r="U926" s="235" t="s">
        <v>9</v>
      </c>
    </row>
    <row r="927">
      <c r="A927" s="250">
        <v>46228.0</v>
      </c>
      <c r="B927" s="235" t="s">
        <v>4048</v>
      </c>
      <c r="C927" s="235" t="s">
        <v>445</v>
      </c>
      <c r="D927" s="235" t="s">
        <v>3</v>
      </c>
      <c r="E927" s="235" t="s">
        <v>654</v>
      </c>
      <c r="F927" s="235" t="s">
        <v>503</v>
      </c>
      <c r="G927" s="238">
        <v>7.0</v>
      </c>
      <c r="H927" s="238">
        <v>0.0</v>
      </c>
      <c r="I927" s="238">
        <v>0.0</v>
      </c>
      <c r="J927" s="238">
        <v>0.0</v>
      </c>
      <c r="K927" s="238">
        <v>0.0</v>
      </c>
      <c r="L927" s="238">
        <v>0.0</v>
      </c>
      <c r="M927" s="238">
        <v>0.0</v>
      </c>
      <c r="N927" s="238">
        <v>0.0</v>
      </c>
      <c r="O927" s="238">
        <v>0.0</v>
      </c>
      <c r="P927" s="238">
        <v>0.0</v>
      </c>
      <c r="Q927" s="238">
        <v>0.0</v>
      </c>
      <c r="R927" s="238">
        <v>0.0</v>
      </c>
      <c r="S927" s="238">
        <v>7.0</v>
      </c>
      <c r="T927" s="238">
        <v>0.0</v>
      </c>
      <c r="U927" s="235" t="s">
        <v>16</v>
      </c>
    </row>
    <row r="928">
      <c r="A928" s="250">
        <v>46228.0</v>
      </c>
      <c r="B928" s="235" t="s">
        <v>4048</v>
      </c>
      <c r="C928" s="235" t="s">
        <v>445</v>
      </c>
      <c r="D928" s="235" t="s">
        <v>3</v>
      </c>
      <c r="E928" s="235" t="s">
        <v>654</v>
      </c>
      <c r="F928" s="235" t="s">
        <v>503</v>
      </c>
      <c r="G928" s="238">
        <v>1.0</v>
      </c>
      <c r="H928" s="238">
        <v>0.0</v>
      </c>
      <c r="I928" s="238">
        <v>0.0</v>
      </c>
      <c r="J928" s="238">
        <v>0.0</v>
      </c>
      <c r="K928" s="238">
        <v>0.0</v>
      </c>
      <c r="L928" s="238">
        <v>0.0</v>
      </c>
      <c r="M928" s="238">
        <v>0.0</v>
      </c>
      <c r="N928" s="238">
        <v>0.0</v>
      </c>
      <c r="O928" s="238">
        <v>0.0</v>
      </c>
      <c r="P928" s="238">
        <v>0.0</v>
      </c>
      <c r="Q928" s="238">
        <v>0.0</v>
      </c>
      <c r="R928" s="238">
        <v>0.0</v>
      </c>
      <c r="S928" s="238">
        <v>1.0</v>
      </c>
      <c r="T928" s="238">
        <v>0.0</v>
      </c>
      <c r="U928" s="235" t="s">
        <v>155</v>
      </c>
    </row>
    <row r="929">
      <c r="A929" s="250">
        <v>46228.0</v>
      </c>
      <c r="B929" s="235" t="s">
        <v>4048</v>
      </c>
      <c r="C929" s="235" t="s">
        <v>445</v>
      </c>
      <c r="D929" s="235" t="s">
        <v>3</v>
      </c>
      <c r="E929" s="235" t="s">
        <v>654</v>
      </c>
      <c r="F929" s="235" t="s">
        <v>503</v>
      </c>
      <c r="G929" s="238">
        <v>2.0</v>
      </c>
      <c r="H929" s="238">
        <v>0.0</v>
      </c>
      <c r="I929" s="238">
        <v>0.0</v>
      </c>
      <c r="J929" s="238">
        <v>0.0</v>
      </c>
      <c r="K929" s="238">
        <v>0.0</v>
      </c>
      <c r="L929" s="238">
        <v>0.0</v>
      </c>
      <c r="M929" s="238">
        <v>0.0</v>
      </c>
      <c r="N929" s="238">
        <v>0.0</v>
      </c>
      <c r="O929" s="238">
        <v>0.0</v>
      </c>
      <c r="P929" s="238">
        <v>0.0</v>
      </c>
      <c r="Q929" s="238">
        <v>0.0</v>
      </c>
      <c r="R929" s="238">
        <v>0.0</v>
      </c>
      <c r="S929" s="238">
        <v>2.0</v>
      </c>
      <c r="T929" s="238">
        <v>0.0</v>
      </c>
      <c r="U929" s="235" t="s">
        <v>13</v>
      </c>
    </row>
    <row r="930">
      <c r="A930" s="250">
        <v>46228.0</v>
      </c>
      <c r="B930" s="235" t="s">
        <v>4048</v>
      </c>
      <c r="C930" s="235" t="s">
        <v>445</v>
      </c>
      <c r="D930" s="235" t="s">
        <v>3</v>
      </c>
      <c r="E930" s="235" t="s">
        <v>654</v>
      </c>
      <c r="F930" s="235" t="s">
        <v>503</v>
      </c>
      <c r="G930" s="238">
        <v>2.0</v>
      </c>
      <c r="H930" s="238">
        <v>0.0</v>
      </c>
      <c r="I930" s="238">
        <v>0.0</v>
      </c>
      <c r="J930" s="238">
        <v>0.0</v>
      </c>
      <c r="K930" s="238">
        <v>0.0</v>
      </c>
      <c r="L930" s="238">
        <v>0.0</v>
      </c>
      <c r="M930" s="238">
        <v>0.0</v>
      </c>
      <c r="N930" s="238">
        <v>0.0</v>
      </c>
      <c r="O930" s="238">
        <v>0.0</v>
      </c>
      <c r="P930" s="238">
        <v>0.0</v>
      </c>
      <c r="Q930" s="238">
        <v>0.0</v>
      </c>
      <c r="R930" s="238">
        <v>0.0</v>
      </c>
      <c r="S930" s="238">
        <v>2.0</v>
      </c>
      <c r="T930" s="238">
        <v>0.0</v>
      </c>
      <c r="U930" s="235" t="s">
        <v>14</v>
      </c>
    </row>
    <row r="931">
      <c r="A931" s="250">
        <v>46228.0</v>
      </c>
      <c r="B931" s="235" t="s">
        <v>4048</v>
      </c>
      <c r="C931" s="235" t="s">
        <v>445</v>
      </c>
      <c r="D931" s="235" t="s">
        <v>3</v>
      </c>
      <c r="E931" s="235" t="s">
        <v>654</v>
      </c>
      <c r="F931" s="235" t="s">
        <v>503</v>
      </c>
      <c r="G931" s="238">
        <v>6.0</v>
      </c>
      <c r="H931" s="238">
        <v>0.0</v>
      </c>
      <c r="I931" s="238">
        <v>0.0</v>
      </c>
      <c r="J931" s="238">
        <v>0.0</v>
      </c>
      <c r="K931" s="238">
        <v>0.0</v>
      </c>
      <c r="L931" s="238">
        <v>0.0</v>
      </c>
      <c r="M931" s="238">
        <v>0.0</v>
      </c>
      <c r="N931" s="238">
        <v>0.0</v>
      </c>
      <c r="O931" s="238">
        <v>0.0</v>
      </c>
      <c r="P931" s="238">
        <v>0.0</v>
      </c>
      <c r="Q931" s="238">
        <v>0.0</v>
      </c>
      <c r="R931" s="238">
        <v>0.0</v>
      </c>
      <c r="S931" s="238">
        <v>6.0</v>
      </c>
      <c r="T931" s="238">
        <v>0.0</v>
      </c>
      <c r="U931" s="235" t="s">
        <v>20</v>
      </c>
    </row>
    <row r="932">
      <c r="A932" s="250">
        <v>46228.0</v>
      </c>
      <c r="B932" s="235" t="s">
        <v>4048</v>
      </c>
      <c r="C932" s="235" t="s">
        <v>445</v>
      </c>
      <c r="D932" s="235" t="s">
        <v>3</v>
      </c>
      <c r="E932" s="235" t="s">
        <v>654</v>
      </c>
      <c r="F932" s="235" t="s">
        <v>503</v>
      </c>
      <c r="G932" s="238">
        <v>1.0</v>
      </c>
      <c r="H932" s="238">
        <v>0.0</v>
      </c>
      <c r="I932" s="238">
        <v>0.0</v>
      </c>
      <c r="J932" s="238">
        <v>0.0</v>
      </c>
      <c r="K932" s="238">
        <v>0.0</v>
      </c>
      <c r="L932" s="238">
        <v>0.0</v>
      </c>
      <c r="M932" s="238">
        <v>0.0</v>
      </c>
      <c r="N932" s="238">
        <v>0.0</v>
      </c>
      <c r="O932" s="238">
        <v>0.0</v>
      </c>
      <c r="P932" s="238">
        <v>0.0</v>
      </c>
      <c r="Q932" s="238">
        <v>0.0</v>
      </c>
      <c r="R932" s="238">
        <v>0.0</v>
      </c>
      <c r="S932" s="238">
        <v>1.0</v>
      </c>
      <c r="T932" s="238">
        <v>0.0</v>
      </c>
      <c r="U932" s="235" t="s">
        <v>156</v>
      </c>
    </row>
    <row r="933">
      <c r="A933" s="250">
        <v>46228.0</v>
      </c>
      <c r="B933" s="235" t="s">
        <v>4079</v>
      </c>
      <c r="C933" s="235" t="s">
        <v>344</v>
      </c>
      <c r="D933" s="235" t="s">
        <v>4</v>
      </c>
      <c r="E933" s="235" t="s">
        <v>1791</v>
      </c>
      <c r="F933" s="235" t="s">
        <v>514</v>
      </c>
      <c r="G933" s="238">
        <v>1.0</v>
      </c>
      <c r="H933" s="238">
        <v>0.0</v>
      </c>
      <c r="I933" s="238">
        <v>0.0</v>
      </c>
      <c r="J933" s="238">
        <v>0.0</v>
      </c>
      <c r="K933" s="238">
        <v>0.0</v>
      </c>
      <c r="L933" s="238">
        <v>0.0</v>
      </c>
      <c r="M933" s="238">
        <v>0.0</v>
      </c>
      <c r="N933" s="238">
        <v>0.0</v>
      </c>
      <c r="O933" s="238">
        <v>0.0</v>
      </c>
      <c r="P933" s="238">
        <v>0.0</v>
      </c>
      <c r="Q933" s="238">
        <v>0.0</v>
      </c>
      <c r="R933" s="238">
        <v>0.0</v>
      </c>
      <c r="S933" s="238">
        <v>0.0</v>
      </c>
      <c r="T933" s="238">
        <v>0.0</v>
      </c>
      <c r="U933" s="235" t="s">
        <v>16</v>
      </c>
    </row>
    <row r="934">
      <c r="A934" s="237">
        <v>46228.0</v>
      </c>
      <c r="B934" s="235" t="s">
        <v>4079</v>
      </c>
      <c r="C934" s="235" t="s">
        <v>344</v>
      </c>
      <c r="D934" s="235" t="s">
        <v>4</v>
      </c>
      <c r="E934" s="235" t="s">
        <v>1791</v>
      </c>
      <c r="F934" s="235" t="s">
        <v>503</v>
      </c>
      <c r="G934" s="238">
        <v>5.0</v>
      </c>
      <c r="H934" s="238">
        <v>0.0</v>
      </c>
      <c r="I934" s="238">
        <v>0.0</v>
      </c>
      <c r="J934" s="238">
        <v>0.0</v>
      </c>
      <c r="K934" s="238">
        <v>0.0</v>
      </c>
      <c r="L934" s="238">
        <v>0.0</v>
      </c>
      <c r="M934" s="238">
        <v>0.0</v>
      </c>
      <c r="N934" s="238">
        <v>0.0</v>
      </c>
      <c r="O934" s="238">
        <v>0.0</v>
      </c>
      <c r="P934" s="238">
        <v>0.0</v>
      </c>
      <c r="Q934" s="238">
        <v>0.0</v>
      </c>
      <c r="R934" s="238">
        <v>0.0</v>
      </c>
      <c r="S934" s="238">
        <v>5.0</v>
      </c>
      <c r="T934" s="238">
        <v>0.0</v>
      </c>
      <c r="U934" s="235" t="s">
        <v>5</v>
      </c>
    </row>
    <row r="935">
      <c r="A935" s="237">
        <v>46228.0</v>
      </c>
      <c r="B935" s="235" t="s">
        <v>4079</v>
      </c>
      <c r="C935" s="235" t="s">
        <v>344</v>
      </c>
      <c r="D935" s="235" t="s">
        <v>4</v>
      </c>
      <c r="E935" s="235" t="s">
        <v>1791</v>
      </c>
      <c r="F935" s="235" t="s">
        <v>503</v>
      </c>
      <c r="G935" s="238">
        <v>7.0</v>
      </c>
      <c r="H935" s="238">
        <v>0.0</v>
      </c>
      <c r="I935" s="238">
        <v>0.0</v>
      </c>
      <c r="J935" s="238">
        <v>0.0</v>
      </c>
      <c r="K935" s="238">
        <v>0.0</v>
      </c>
      <c r="L935" s="238">
        <v>0.0</v>
      </c>
      <c r="M935" s="238">
        <v>0.0</v>
      </c>
      <c r="N935" s="238">
        <v>0.0</v>
      </c>
      <c r="O935" s="238">
        <v>0.0</v>
      </c>
      <c r="P935" s="238">
        <v>0.0</v>
      </c>
      <c r="Q935" s="238">
        <v>0.0</v>
      </c>
      <c r="R935" s="238">
        <v>0.0</v>
      </c>
      <c r="S935" s="238">
        <v>7.0</v>
      </c>
      <c r="T935" s="238">
        <v>0.0</v>
      </c>
      <c r="U935" s="235" t="s">
        <v>9</v>
      </c>
    </row>
    <row r="936">
      <c r="A936" s="237">
        <v>46228.0</v>
      </c>
      <c r="B936" s="235" t="s">
        <v>4079</v>
      </c>
      <c r="C936" s="235" t="s">
        <v>344</v>
      </c>
      <c r="D936" s="235" t="s">
        <v>4</v>
      </c>
      <c r="E936" s="235" t="s">
        <v>1791</v>
      </c>
      <c r="F936" s="235" t="s">
        <v>503</v>
      </c>
      <c r="G936" s="238">
        <v>22.0</v>
      </c>
      <c r="H936" s="238">
        <v>0.0</v>
      </c>
      <c r="I936" s="238">
        <v>0.0</v>
      </c>
      <c r="J936" s="238">
        <v>-1.0</v>
      </c>
      <c r="K936" s="238">
        <v>0.0</v>
      </c>
      <c r="L936" s="238">
        <v>0.0</v>
      </c>
      <c r="M936" s="238">
        <v>0.0</v>
      </c>
      <c r="N936" s="238">
        <v>0.0</v>
      </c>
      <c r="O936" s="238">
        <v>0.0</v>
      </c>
      <c r="P936" s="238">
        <v>0.0</v>
      </c>
      <c r="Q936" s="238">
        <v>0.0</v>
      </c>
      <c r="R936" s="238">
        <v>0.0</v>
      </c>
      <c r="S936" s="238">
        <v>21.0</v>
      </c>
      <c r="T936" s="238">
        <v>0.0</v>
      </c>
      <c r="U936" s="235" t="s">
        <v>11</v>
      </c>
    </row>
    <row r="937">
      <c r="A937" s="237">
        <v>46228.0</v>
      </c>
      <c r="B937" s="235" t="s">
        <v>4079</v>
      </c>
      <c r="C937" s="235" t="s">
        <v>344</v>
      </c>
      <c r="D937" s="235" t="s">
        <v>4</v>
      </c>
      <c r="E937" s="235" t="s">
        <v>1791</v>
      </c>
      <c r="F937" s="235" t="s">
        <v>503</v>
      </c>
      <c r="G937" s="238">
        <v>10.0</v>
      </c>
      <c r="H937" s="238">
        <v>0.0</v>
      </c>
      <c r="I937" s="238">
        <v>0.0</v>
      </c>
      <c r="J937" s="238">
        <v>0.0</v>
      </c>
      <c r="K937" s="238">
        <v>0.0</v>
      </c>
      <c r="L937" s="238">
        <v>0.0</v>
      </c>
      <c r="M937" s="238">
        <v>0.0</v>
      </c>
      <c r="N937" s="238">
        <v>0.0</v>
      </c>
      <c r="O937" s="238">
        <v>0.0</v>
      </c>
      <c r="P937" s="238">
        <v>0.0</v>
      </c>
      <c r="Q937" s="238">
        <v>0.0</v>
      </c>
      <c r="R937" s="238">
        <v>0.0</v>
      </c>
      <c r="S937" s="238">
        <v>10.0</v>
      </c>
      <c r="T937" s="238">
        <v>0.0</v>
      </c>
      <c r="U937" s="235" t="s">
        <v>16</v>
      </c>
    </row>
    <row r="938">
      <c r="A938" s="237">
        <v>46228.0</v>
      </c>
      <c r="B938" s="235" t="s">
        <v>4079</v>
      </c>
      <c r="C938" s="235" t="s">
        <v>344</v>
      </c>
      <c r="D938" s="235" t="s">
        <v>4</v>
      </c>
      <c r="E938" s="235" t="s">
        <v>1791</v>
      </c>
      <c r="F938" s="235" t="s">
        <v>503</v>
      </c>
      <c r="G938" s="238">
        <v>3.0</v>
      </c>
      <c r="H938" s="238">
        <v>0.0</v>
      </c>
      <c r="I938" s="238">
        <v>0.0</v>
      </c>
      <c r="J938" s="238">
        <v>0.0</v>
      </c>
      <c r="K938" s="238">
        <v>0.0</v>
      </c>
      <c r="L938" s="238">
        <v>0.0</v>
      </c>
      <c r="M938" s="238">
        <v>0.0</v>
      </c>
      <c r="N938" s="238">
        <v>0.0</v>
      </c>
      <c r="O938" s="238">
        <v>0.0</v>
      </c>
      <c r="P938" s="238">
        <v>0.0</v>
      </c>
      <c r="Q938" s="238">
        <v>0.0</v>
      </c>
      <c r="R938" s="238">
        <v>0.0</v>
      </c>
      <c r="S938" s="238">
        <v>3.0</v>
      </c>
      <c r="T938" s="238">
        <v>0.0</v>
      </c>
      <c r="U938" s="235" t="s">
        <v>155</v>
      </c>
    </row>
    <row r="939">
      <c r="A939" s="237">
        <v>46228.0</v>
      </c>
      <c r="B939" s="235" t="s">
        <v>4079</v>
      </c>
      <c r="C939" s="235" t="s">
        <v>344</v>
      </c>
      <c r="D939" s="235" t="s">
        <v>4</v>
      </c>
      <c r="E939" s="235" t="s">
        <v>1791</v>
      </c>
      <c r="F939" s="235" t="s">
        <v>503</v>
      </c>
      <c r="G939" s="238">
        <v>9.0</v>
      </c>
      <c r="H939" s="238">
        <v>0.0</v>
      </c>
      <c r="I939" s="238">
        <v>0.0</v>
      </c>
      <c r="J939" s="238">
        <v>0.0</v>
      </c>
      <c r="K939" s="238">
        <v>0.0</v>
      </c>
      <c r="L939" s="238">
        <v>0.0</v>
      </c>
      <c r="M939" s="238">
        <v>0.0</v>
      </c>
      <c r="N939" s="238">
        <v>0.0</v>
      </c>
      <c r="O939" s="238">
        <v>0.0</v>
      </c>
      <c r="P939" s="238">
        <v>0.0</v>
      </c>
      <c r="Q939" s="238">
        <v>0.0</v>
      </c>
      <c r="R939" s="238">
        <v>0.0</v>
      </c>
      <c r="S939" s="238">
        <v>9.0</v>
      </c>
      <c r="T939" s="238">
        <v>0.0</v>
      </c>
      <c r="U939" s="235" t="s">
        <v>533</v>
      </c>
    </row>
    <row r="940">
      <c r="A940" s="237">
        <v>46228.0</v>
      </c>
      <c r="B940" s="235" t="s">
        <v>4079</v>
      </c>
      <c r="C940" s="235" t="s">
        <v>344</v>
      </c>
      <c r="D940" s="235" t="s">
        <v>4</v>
      </c>
      <c r="E940" s="235" t="s">
        <v>1791</v>
      </c>
      <c r="F940" s="235" t="s">
        <v>503</v>
      </c>
      <c r="G940" s="238">
        <v>9.0</v>
      </c>
      <c r="H940" s="238">
        <v>0.0</v>
      </c>
      <c r="I940" s="238">
        <v>0.0</v>
      </c>
      <c r="J940" s="238">
        <v>-1.0</v>
      </c>
      <c r="K940" s="238">
        <v>0.0</v>
      </c>
      <c r="L940" s="238">
        <v>0.0</v>
      </c>
      <c r="M940" s="238">
        <v>0.0</v>
      </c>
      <c r="N940" s="238">
        <v>0.0</v>
      </c>
      <c r="O940" s="238">
        <v>0.0</v>
      </c>
      <c r="P940" s="238">
        <v>0.0</v>
      </c>
      <c r="Q940" s="238">
        <v>0.0</v>
      </c>
      <c r="R940" s="238">
        <v>0.0</v>
      </c>
      <c r="S940" s="238">
        <v>8.0</v>
      </c>
      <c r="T940" s="238">
        <v>0.0</v>
      </c>
      <c r="U940" s="235" t="s">
        <v>13</v>
      </c>
    </row>
    <row r="941">
      <c r="A941" s="237">
        <v>46228.0</v>
      </c>
      <c r="B941" s="235" t="s">
        <v>4079</v>
      </c>
      <c r="C941" s="235" t="s">
        <v>344</v>
      </c>
      <c r="D941" s="235" t="s">
        <v>4</v>
      </c>
      <c r="E941" s="235" t="s">
        <v>1791</v>
      </c>
      <c r="F941" s="235" t="s">
        <v>503</v>
      </c>
      <c r="G941" s="238">
        <v>8.0</v>
      </c>
      <c r="H941" s="238">
        <v>0.0</v>
      </c>
      <c r="I941" s="238">
        <v>0.0</v>
      </c>
      <c r="J941" s="238">
        <v>0.0</v>
      </c>
      <c r="K941" s="238">
        <v>0.0</v>
      </c>
      <c r="L941" s="238">
        <v>0.0</v>
      </c>
      <c r="M941" s="238">
        <v>0.0</v>
      </c>
      <c r="N941" s="238">
        <v>0.0</v>
      </c>
      <c r="O941" s="238">
        <v>0.0</v>
      </c>
      <c r="P941" s="238">
        <v>0.0</v>
      </c>
      <c r="Q941" s="238">
        <v>0.0</v>
      </c>
      <c r="R941" s="238">
        <v>0.0</v>
      </c>
      <c r="S941" s="238">
        <v>8.0</v>
      </c>
      <c r="T941" s="238">
        <v>0.0</v>
      </c>
      <c r="U941" s="235" t="s">
        <v>14</v>
      </c>
    </row>
    <row r="942">
      <c r="A942" s="237">
        <v>46228.0</v>
      </c>
      <c r="B942" s="235" t="s">
        <v>4079</v>
      </c>
      <c r="C942" s="235" t="s">
        <v>344</v>
      </c>
      <c r="D942" s="235" t="s">
        <v>4</v>
      </c>
      <c r="E942" s="235" t="s">
        <v>1791</v>
      </c>
      <c r="F942" s="235" t="s">
        <v>503</v>
      </c>
      <c r="G942" s="238">
        <v>11.0</v>
      </c>
      <c r="H942" s="238">
        <v>0.0</v>
      </c>
      <c r="I942" s="238">
        <v>0.0</v>
      </c>
      <c r="J942" s="238">
        <v>0.0</v>
      </c>
      <c r="K942" s="238">
        <v>0.0</v>
      </c>
      <c r="L942" s="238">
        <v>0.0</v>
      </c>
      <c r="M942" s="238">
        <v>0.0</v>
      </c>
      <c r="N942" s="238">
        <v>0.0</v>
      </c>
      <c r="O942" s="238">
        <v>0.0</v>
      </c>
      <c r="P942" s="238">
        <v>0.0</v>
      </c>
      <c r="Q942" s="238">
        <v>0.0</v>
      </c>
      <c r="R942" s="238">
        <v>0.0</v>
      </c>
      <c r="S942" s="238">
        <v>11.0</v>
      </c>
      <c r="T942" s="238">
        <v>0.0</v>
      </c>
      <c r="U942" s="235" t="s">
        <v>20</v>
      </c>
    </row>
    <row r="943">
      <c r="A943" s="237">
        <v>46228.0</v>
      </c>
      <c r="B943" s="235" t="s">
        <v>4079</v>
      </c>
      <c r="C943" s="235" t="s">
        <v>344</v>
      </c>
      <c r="D943" s="235" t="s">
        <v>4</v>
      </c>
      <c r="E943" s="235" t="s">
        <v>1791</v>
      </c>
      <c r="F943" s="235" t="s">
        <v>503</v>
      </c>
      <c r="G943" s="238">
        <v>17.0</v>
      </c>
      <c r="H943" s="238">
        <v>0.0</v>
      </c>
      <c r="I943" s="238">
        <v>0.0</v>
      </c>
      <c r="J943" s="238">
        <v>0.0</v>
      </c>
      <c r="K943" s="238">
        <v>0.0</v>
      </c>
      <c r="L943" s="238">
        <v>0.0</v>
      </c>
      <c r="M943" s="238">
        <v>0.0</v>
      </c>
      <c r="N943" s="238">
        <v>0.0</v>
      </c>
      <c r="O943" s="238">
        <v>0.0</v>
      </c>
      <c r="P943" s="238">
        <v>0.0</v>
      </c>
      <c r="Q943" s="238">
        <v>0.0</v>
      </c>
      <c r="R943" s="238">
        <v>0.0</v>
      </c>
      <c r="S943" s="238">
        <v>17.0</v>
      </c>
      <c r="T943" s="238">
        <v>0.0</v>
      </c>
      <c r="U943" s="235" t="s">
        <v>156</v>
      </c>
    </row>
    <row r="944">
      <c r="A944" s="237">
        <v>46228.0</v>
      </c>
      <c r="B944" s="235" t="s">
        <v>4079</v>
      </c>
      <c r="C944" s="235" t="s">
        <v>344</v>
      </c>
      <c r="D944" s="235" t="s">
        <v>4</v>
      </c>
      <c r="E944" s="235" t="s">
        <v>1791</v>
      </c>
      <c r="F944" s="235" t="s">
        <v>503</v>
      </c>
      <c r="G944" s="238">
        <v>29.0</v>
      </c>
      <c r="H944" s="238">
        <v>0.0</v>
      </c>
      <c r="I944" s="238">
        <v>0.0</v>
      </c>
      <c r="J944" s="238">
        <v>0.0</v>
      </c>
      <c r="K944" s="238">
        <v>0.0</v>
      </c>
      <c r="L944" s="238">
        <v>0.0</v>
      </c>
      <c r="M944" s="238">
        <v>0.0</v>
      </c>
      <c r="N944" s="238">
        <v>0.0</v>
      </c>
      <c r="O944" s="238">
        <v>0.0</v>
      </c>
      <c r="P944" s="238">
        <v>0.0</v>
      </c>
      <c r="Q944" s="238">
        <v>0.0</v>
      </c>
      <c r="R944" s="238">
        <v>0.0</v>
      </c>
      <c r="S944" s="238">
        <v>29.0</v>
      </c>
      <c r="T944" s="238">
        <v>0.0</v>
      </c>
      <c r="U944" s="235" t="s">
        <v>546</v>
      </c>
    </row>
    <row r="945">
      <c r="A945" s="237">
        <v>46228.0</v>
      </c>
      <c r="B945" s="235" t="s">
        <v>4124</v>
      </c>
      <c r="C945" s="235" t="s">
        <v>290</v>
      </c>
      <c r="D945" s="235" t="s">
        <v>39</v>
      </c>
      <c r="E945" s="235" t="s">
        <v>291</v>
      </c>
      <c r="F945" s="235" t="s">
        <v>503</v>
      </c>
      <c r="G945" s="238">
        <v>1.0</v>
      </c>
      <c r="H945" s="238">
        <v>0.0</v>
      </c>
      <c r="I945" s="238">
        <v>0.0</v>
      </c>
      <c r="J945" s="238">
        <v>0.0</v>
      </c>
      <c r="K945" s="238">
        <v>0.0</v>
      </c>
      <c r="L945" s="238">
        <v>0.0</v>
      </c>
      <c r="M945" s="238">
        <v>0.0</v>
      </c>
      <c r="N945" s="238">
        <v>0.0</v>
      </c>
      <c r="O945" s="238">
        <v>0.0</v>
      </c>
      <c r="P945" s="238">
        <v>0.0</v>
      </c>
      <c r="Q945" s="238">
        <v>0.0</v>
      </c>
      <c r="R945" s="238">
        <v>0.0</v>
      </c>
      <c r="S945" s="238">
        <v>1.0</v>
      </c>
      <c r="T945" s="238">
        <v>0.0</v>
      </c>
      <c r="U945" s="235" t="s">
        <v>5</v>
      </c>
    </row>
    <row r="946">
      <c r="A946" s="237">
        <v>46228.0</v>
      </c>
      <c r="B946" s="235" t="s">
        <v>4124</v>
      </c>
      <c r="C946" s="235" t="s">
        <v>290</v>
      </c>
      <c r="D946" s="235" t="s">
        <v>39</v>
      </c>
      <c r="E946" s="235" t="s">
        <v>291</v>
      </c>
      <c r="F946" s="235" t="s">
        <v>503</v>
      </c>
      <c r="G946" s="238">
        <v>3.0</v>
      </c>
      <c r="H946" s="238">
        <v>0.0</v>
      </c>
      <c r="I946" s="238">
        <v>0.0</v>
      </c>
      <c r="J946" s="238">
        <v>0.0</v>
      </c>
      <c r="K946" s="238">
        <v>0.0</v>
      </c>
      <c r="L946" s="238">
        <v>0.0</v>
      </c>
      <c r="M946" s="238">
        <v>0.0</v>
      </c>
      <c r="N946" s="238">
        <v>0.0</v>
      </c>
      <c r="O946" s="238">
        <v>0.0</v>
      </c>
      <c r="P946" s="238">
        <v>0.0</v>
      </c>
      <c r="Q946" s="238">
        <v>0.0</v>
      </c>
      <c r="R946" s="238">
        <v>0.0</v>
      </c>
      <c r="S946" s="238">
        <v>3.0</v>
      </c>
      <c r="T946" s="238">
        <v>0.0</v>
      </c>
      <c r="U946" s="235" t="s">
        <v>11</v>
      </c>
    </row>
    <row r="947">
      <c r="A947" s="237">
        <v>46228.0</v>
      </c>
      <c r="B947" s="235" t="s">
        <v>4124</v>
      </c>
      <c r="C947" s="235" t="s">
        <v>290</v>
      </c>
      <c r="D947" s="235" t="s">
        <v>39</v>
      </c>
      <c r="E947" s="235" t="s">
        <v>291</v>
      </c>
      <c r="F947" s="235" t="s">
        <v>503</v>
      </c>
      <c r="G947" s="238">
        <v>1.0</v>
      </c>
      <c r="H947" s="238">
        <v>0.0</v>
      </c>
      <c r="I947" s="238">
        <v>0.0</v>
      </c>
      <c r="J947" s="238">
        <v>0.0</v>
      </c>
      <c r="K947" s="238">
        <v>0.0</v>
      </c>
      <c r="L947" s="238">
        <v>0.0</v>
      </c>
      <c r="M947" s="238">
        <v>0.0</v>
      </c>
      <c r="N947" s="238">
        <v>0.0</v>
      </c>
      <c r="O947" s="238">
        <v>0.0</v>
      </c>
      <c r="P947" s="238">
        <v>0.0</v>
      </c>
      <c r="Q947" s="238">
        <v>0.0</v>
      </c>
      <c r="R947" s="238">
        <v>0.0</v>
      </c>
      <c r="S947" s="238">
        <v>1.0</v>
      </c>
      <c r="T947" s="238">
        <v>0.0</v>
      </c>
      <c r="U947" s="235" t="s">
        <v>16</v>
      </c>
    </row>
    <row r="948">
      <c r="A948" s="237">
        <v>46228.0</v>
      </c>
      <c r="B948" s="235" t="s">
        <v>4124</v>
      </c>
      <c r="C948" s="235" t="s">
        <v>290</v>
      </c>
      <c r="D948" s="235" t="s">
        <v>39</v>
      </c>
      <c r="E948" s="235" t="s">
        <v>291</v>
      </c>
      <c r="F948" s="235" t="s">
        <v>503</v>
      </c>
      <c r="G948" s="238">
        <v>1.0</v>
      </c>
      <c r="H948" s="238">
        <v>0.0</v>
      </c>
      <c r="I948" s="238">
        <v>0.0</v>
      </c>
      <c r="J948" s="238">
        <v>0.0</v>
      </c>
      <c r="K948" s="238">
        <v>0.0</v>
      </c>
      <c r="L948" s="238">
        <v>0.0</v>
      </c>
      <c r="M948" s="238">
        <v>0.0</v>
      </c>
      <c r="N948" s="238">
        <v>0.0</v>
      </c>
      <c r="O948" s="238">
        <v>0.0</v>
      </c>
      <c r="P948" s="238">
        <v>0.0</v>
      </c>
      <c r="Q948" s="238">
        <v>0.0</v>
      </c>
      <c r="R948" s="238">
        <v>0.0</v>
      </c>
      <c r="S948" s="238">
        <v>1.0</v>
      </c>
      <c r="T948" s="238">
        <v>0.0</v>
      </c>
      <c r="U948" s="235" t="s">
        <v>155</v>
      </c>
    </row>
    <row r="949">
      <c r="A949" s="237">
        <v>46228.0</v>
      </c>
      <c r="B949" s="235" t="s">
        <v>4124</v>
      </c>
      <c r="C949" s="235" t="s">
        <v>290</v>
      </c>
      <c r="D949" s="235" t="s">
        <v>39</v>
      </c>
      <c r="E949" s="235" t="s">
        <v>291</v>
      </c>
      <c r="F949" s="235" t="s">
        <v>503</v>
      </c>
      <c r="G949" s="238">
        <v>1.0</v>
      </c>
      <c r="H949" s="238">
        <v>0.0</v>
      </c>
      <c r="I949" s="238">
        <v>0.0</v>
      </c>
      <c r="J949" s="238">
        <v>0.0</v>
      </c>
      <c r="K949" s="238">
        <v>0.0</v>
      </c>
      <c r="L949" s="238">
        <v>0.0</v>
      </c>
      <c r="M949" s="238">
        <v>0.0</v>
      </c>
      <c r="N949" s="238">
        <v>0.0</v>
      </c>
      <c r="O949" s="238">
        <v>0.0</v>
      </c>
      <c r="P949" s="238">
        <v>0.0</v>
      </c>
      <c r="Q949" s="238">
        <v>0.0</v>
      </c>
      <c r="R949" s="238">
        <v>0.0</v>
      </c>
      <c r="S949" s="238">
        <v>1.0</v>
      </c>
      <c r="T949" s="238">
        <v>0.0</v>
      </c>
      <c r="U949" s="235" t="s">
        <v>14</v>
      </c>
    </row>
    <row r="950">
      <c r="A950" s="237">
        <v>46228.0</v>
      </c>
      <c r="B950" s="235" t="s">
        <v>4124</v>
      </c>
      <c r="C950" s="235" t="s">
        <v>290</v>
      </c>
      <c r="D950" s="235" t="s">
        <v>39</v>
      </c>
      <c r="E950" s="235" t="s">
        <v>291</v>
      </c>
      <c r="F950" s="235" t="s">
        <v>503</v>
      </c>
      <c r="G950" s="238">
        <v>1.0</v>
      </c>
      <c r="H950" s="238">
        <v>0.0</v>
      </c>
      <c r="I950" s="238">
        <v>0.0</v>
      </c>
      <c r="J950" s="238">
        <v>0.0</v>
      </c>
      <c r="K950" s="238">
        <v>0.0</v>
      </c>
      <c r="L950" s="238">
        <v>0.0</v>
      </c>
      <c r="M950" s="238">
        <v>0.0</v>
      </c>
      <c r="N950" s="238">
        <v>0.0</v>
      </c>
      <c r="O950" s="238">
        <v>0.0</v>
      </c>
      <c r="P950" s="238">
        <v>0.0</v>
      </c>
      <c r="Q950" s="238">
        <v>0.0</v>
      </c>
      <c r="R950" s="238">
        <v>0.0</v>
      </c>
      <c r="S950" s="238">
        <v>1.0</v>
      </c>
      <c r="T950" s="238">
        <v>0.0</v>
      </c>
      <c r="U950" s="235" t="s">
        <v>18</v>
      </c>
    </row>
    <row r="951">
      <c r="A951" s="237">
        <v>46228.0</v>
      </c>
      <c r="B951" s="235" t="s">
        <v>4124</v>
      </c>
      <c r="C951" s="235" t="s">
        <v>290</v>
      </c>
      <c r="D951" s="235" t="s">
        <v>39</v>
      </c>
      <c r="E951" s="235" t="s">
        <v>291</v>
      </c>
      <c r="F951" s="235" t="s">
        <v>503</v>
      </c>
      <c r="G951" s="238">
        <v>4.0</v>
      </c>
      <c r="H951" s="238">
        <v>0.0</v>
      </c>
      <c r="I951" s="238">
        <v>0.0</v>
      </c>
      <c r="J951" s="238">
        <v>0.0</v>
      </c>
      <c r="K951" s="238">
        <v>0.0</v>
      </c>
      <c r="L951" s="238">
        <v>0.0</v>
      </c>
      <c r="M951" s="238">
        <v>0.0</v>
      </c>
      <c r="N951" s="238">
        <v>0.0</v>
      </c>
      <c r="O951" s="238">
        <v>0.0</v>
      </c>
      <c r="P951" s="238">
        <v>0.0</v>
      </c>
      <c r="Q951" s="238">
        <v>0.0</v>
      </c>
      <c r="R951" s="238">
        <v>0.0</v>
      </c>
      <c r="S951" s="238">
        <v>4.0</v>
      </c>
      <c r="T951" s="238">
        <v>0.0</v>
      </c>
      <c r="U951" s="235" t="s">
        <v>20</v>
      </c>
    </row>
    <row r="952">
      <c r="A952" s="237">
        <v>46228.0</v>
      </c>
      <c r="B952" s="235" t="s">
        <v>4124</v>
      </c>
      <c r="C952" s="235" t="s">
        <v>290</v>
      </c>
      <c r="D952" s="235" t="s">
        <v>39</v>
      </c>
      <c r="E952" s="235" t="s">
        <v>291</v>
      </c>
      <c r="F952" s="235" t="s">
        <v>503</v>
      </c>
      <c r="G952" s="238">
        <v>2.0</v>
      </c>
      <c r="H952" s="238">
        <v>0.0</v>
      </c>
      <c r="I952" s="238">
        <v>0.0</v>
      </c>
      <c r="J952" s="238">
        <v>0.0</v>
      </c>
      <c r="K952" s="238">
        <v>0.0</v>
      </c>
      <c r="L952" s="238">
        <v>0.0</v>
      </c>
      <c r="M952" s="238">
        <v>0.0</v>
      </c>
      <c r="N952" s="238">
        <v>0.0</v>
      </c>
      <c r="O952" s="238">
        <v>0.0</v>
      </c>
      <c r="P952" s="238">
        <v>0.0</v>
      </c>
      <c r="Q952" s="238">
        <v>0.0</v>
      </c>
      <c r="R952" s="238">
        <v>0.0</v>
      </c>
      <c r="S952" s="238">
        <v>2.0</v>
      </c>
      <c r="T952" s="238">
        <v>0.0</v>
      </c>
      <c r="U952" s="235" t="s">
        <v>156</v>
      </c>
    </row>
    <row r="953">
      <c r="A953" s="237">
        <v>46228.0</v>
      </c>
      <c r="B953" s="235" t="s">
        <v>4124</v>
      </c>
      <c r="C953" s="235" t="s">
        <v>290</v>
      </c>
      <c r="D953" s="235" t="s">
        <v>39</v>
      </c>
      <c r="E953" s="235" t="s">
        <v>291</v>
      </c>
      <c r="F953" s="235" t="s">
        <v>503</v>
      </c>
      <c r="G953" s="238">
        <v>2.0</v>
      </c>
      <c r="H953" s="238">
        <v>0.0</v>
      </c>
      <c r="I953" s="238">
        <v>0.0</v>
      </c>
      <c r="J953" s="238">
        <v>0.0</v>
      </c>
      <c r="K953" s="238">
        <v>0.0</v>
      </c>
      <c r="L953" s="238">
        <v>0.0</v>
      </c>
      <c r="M953" s="238">
        <v>0.0</v>
      </c>
      <c r="N953" s="238">
        <v>0.0</v>
      </c>
      <c r="O953" s="238">
        <v>0.0</v>
      </c>
      <c r="P953" s="238">
        <v>0.0</v>
      </c>
      <c r="Q953" s="238">
        <v>0.0</v>
      </c>
      <c r="R953" s="238">
        <v>0.0</v>
      </c>
      <c r="S953" s="238">
        <v>2.0</v>
      </c>
      <c r="T953" s="238">
        <v>0.0</v>
      </c>
      <c r="U953" s="235" t="s">
        <v>546</v>
      </c>
    </row>
    <row r="954">
      <c r="A954" s="237">
        <v>46228.0</v>
      </c>
      <c r="B954" s="235" t="s">
        <v>500</v>
      </c>
      <c r="C954" s="235" t="s">
        <v>290</v>
      </c>
      <c r="D954" s="235" t="s">
        <v>41</v>
      </c>
      <c r="E954" s="235" t="s">
        <v>291</v>
      </c>
      <c r="F954" s="235" t="s">
        <v>503</v>
      </c>
      <c r="G954" s="238">
        <v>0.0</v>
      </c>
      <c r="H954" s="238">
        <v>4.0</v>
      </c>
      <c r="I954" s="238">
        <v>0.0</v>
      </c>
      <c r="J954" s="238">
        <v>0.0</v>
      </c>
      <c r="K954" s="238">
        <v>0.0</v>
      </c>
      <c r="L954" s="238">
        <v>0.0</v>
      </c>
      <c r="M954" s="238">
        <v>0.0</v>
      </c>
      <c r="N954" s="238">
        <v>0.0</v>
      </c>
      <c r="O954" s="238">
        <v>0.0</v>
      </c>
      <c r="P954" s="238">
        <v>0.0</v>
      </c>
      <c r="Q954" s="238">
        <v>0.0</v>
      </c>
      <c r="R954" s="238">
        <v>0.0</v>
      </c>
      <c r="S954" s="238">
        <v>0.0</v>
      </c>
      <c r="T954" s="238">
        <v>0.0</v>
      </c>
      <c r="U954" s="235" t="s">
        <v>596</v>
      </c>
    </row>
    <row r="955">
      <c r="A955" s="237">
        <v>46228.0</v>
      </c>
      <c r="B955" s="235" t="s">
        <v>500</v>
      </c>
      <c r="C955" s="235" t="s">
        <v>290</v>
      </c>
      <c r="D955" s="235" t="s">
        <v>41</v>
      </c>
      <c r="E955" s="235" t="s">
        <v>291</v>
      </c>
      <c r="F955" s="235" t="s">
        <v>503</v>
      </c>
      <c r="G955" s="238">
        <v>2.0</v>
      </c>
      <c r="H955" s="238">
        <v>0.0</v>
      </c>
      <c r="I955" s="238">
        <v>0.0</v>
      </c>
      <c r="J955" s="238">
        <v>-1.0</v>
      </c>
      <c r="K955" s="238">
        <v>0.0</v>
      </c>
      <c r="L955" s="238">
        <v>0.0</v>
      </c>
      <c r="M955" s="238">
        <v>0.0</v>
      </c>
      <c r="N955" s="238">
        <v>0.0</v>
      </c>
      <c r="O955" s="238">
        <v>0.0</v>
      </c>
      <c r="P955" s="238">
        <v>0.0</v>
      </c>
      <c r="Q955" s="238">
        <v>0.0</v>
      </c>
      <c r="R955" s="238">
        <v>0.0</v>
      </c>
      <c r="S955" s="238">
        <v>1.0</v>
      </c>
      <c r="T955" s="238">
        <v>0.0</v>
      </c>
      <c r="U955" s="235" t="s">
        <v>9</v>
      </c>
    </row>
    <row r="956">
      <c r="A956" s="237">
        <v>46228.0</v>
      </c>
      <c r="B956" s="235" t="s">
        <v>500</v>
      </c>
      <c r="C956" s="235" t="s">
        <v>290</v>
      </c>
      <c r="D956" s="235" t="s">
        <v>41</v>
      </c>
      <c r="E956" s="235" t="s">
        <v>291</v>
      </c>
      <c r="F956" s="235" t="s">
        <v>503</v>
      </c>
      <c r="G956" s="238">
        <v>4.0</v>
      </c>
      <c r="H956" s="238">
        <v>0.0</v>
      </c>
      <c r="I956" s="238">
        <v>0.0</v>
      </c>
      <c r="J956" s="238">
        <v>0.0</v>
      </c>
      <c r="K956" s="238">
        <v>0.0</v>
      </c>
      <c r="L956" s="238">
        <v>0.0</v>
      </c>
      <c r="M956" s="238">
        <v>0.0</v>
      </c>
      <c r="N956" s="238">
        <v>0.0</v>
      </c>
      <c r="O956" s="238">
        <v>0.0</v>
      </c>
      <c r="P956" s="238">
        <v>0.0</v>
      </c>
      <c r="Q956" s="238">
        <v>0.0</v>
      </c>
      <c r="R956" s="238">
        <v>0.0</v>
      </c>
      <c r="S956" s="238">
        <v>4.0</v>
      </c>
      <c r="T956" s="238">
        <v>0.0</v>
      </c>
      <c r="U956" s="235" t="s">
        <v>16</v>
      </c>
    </row>
    <row r="957">
      <c r="A957" s="252"/>
      <c r="S957" s="253"/>
    </row>
    <row r="958">
      <c r="A958" s="252"/>
      <c r="S958" s="253"/>
    </row>
    <row r="959">
      <c r="A959" s="252"/>
      <c r="S959" s="253"/>
    </row>
    <row r="960">
      <c r="A960" s="252"/>
      <c r="S960" s="253"/>
    </row>
    <row r="961">
      <c r="A961" s="252"/>
      <c r="S961" s="253"/>
    </row>
    <row r="962">
      <c r="A962" s="252"/>
      <c r="S962" s="253"/>
    </row>
    <row r="963">
      <c r="A963" s="252"/>
      <c r="S963" s="253"/>
    </row>
    <row r="964">
      <c r="A964" s="252"/>
      <c r="S964" s="253"/>
    </row>
    <row r="965">
      <c r="A965" s="252"/>
      <c r="S965" s="253"/>
    </row>
    <row r="966">
      <c r="A966" s="252"/>
      <c r="S966" s="253"/>
    </row>
    <row r="967">
      <c r="A967" s="252"/>
      <c r="S967" s="253"/>
    </row>
    <row r="968">
      <c r="A968" s="252"/>
      <c r="S968" s="253"/>
    </row>
    <row r="969">
      <c r="A969" s="252"/>
      <c r="S969" s="253"/>
    </row>
    <row r="970">
      <c r="A970" s="252"/>
      <c r="S970" s="253"/>
    </row>
    <row r="971">
      <c r="A971" s="252"/>
      <c r="S971" s="253"/>
    </row>
    <row r="972">
      <c r="A972" s="252"/>
      <c r="S972" s="253"/>
    </row>
    <row r="973">
      <c r="A973" s="252"/>
      <c r="S973" s="253"/>
    </row>
    <row r="974">
      <c r="A974" s="252"/>
      <c r="S974" s="253"/>
    </row>
    <row r="975">
      <c r="A975" s="252"/>
      <c r="S975" s="253"/>
    </row>
    <row r="976">
      <c r="A976" s="252"/>
      <c r="S976" s="253"/>
    </row>
    <row r="977">
      <c r="A977" s="252"/>
      <c r="S977" s="253"/>
    </row>
    <row r="978">
      <c r="A978" s="252"/>
      <c r="S978" s="253"/>
    </row>
    <row r="979">
      <c r="A979" s="252"/>
      <c r="S979" s="253"/>
    </row>
    <row r="980">
      <c r="A980" s="252"/>
      <c r="S980" s="253"/>
    </row>
    <row r="981">
      <c r="A981" s="252"/>
      <c r="S981" s="253"/>
    </row>
    <row r="982">
      <c r="A982" s="252"/>
      <c r="S982" s="253"/>
    </row>
    <row r="983">
      <c r="A983" s="252"/>
      <c r="S983" s="253"/>
    </row>
    <row r="984">
      <c r="A984" s="252"/>
      <c r="S984" s="253"/>
    </row>
    <row r="985">
      <c r="A985" s="252"/>
      <c r="S985" s="253"/>
    </row>
    <row r="986">
      <c r="A986" s="252"/>
      <c r="S986" s="253"/>
    </row>
    <row r="987">
      <c r="A987" s="252"/>
      <c r="S987" s="253"/>
    </row>
    <row r="988">
      <c r="A988" s="252"/>
      <c r="S988" s="253"/>
    </row>
    <row r="989">
      <c r="A989" s="252"/>
      <c r="S989" s="253"/>
    </row>
    <row r="990">
      <c r="A990" s="252"/>
      <c r="S990" s="253"/>
    </row>
    <row r="991">
      <c r="A991" s="252"/>
      <c r="S991" s="253"/>
    </row>
    <row r="992">
      <c r="A992" s="252"/>
      <c r="S992" s="253"/>
    </row>
    <row r="993">
      <c r="A993" s="252"/>
      <c r="S993" s="253"/>
    </row>
    <row r="994">
      <c r="A994" s="252"/>
      <c r="S994" s="253"/>
    </row>
    <row r="995">
      <c r="A995" s="252"/>
      <c r="S995" s="253"/>
    </row>
    <row r="996">
      <c r="A996" s="252"/>
      <c r="S996" s="253"/>
    </row>
    <row r="997">
      <c r="A997" s="252"/>
      <c r="S997" s="253"/>
    </row>
    <row r="998">
      <c r="A998" s="252"/>
      <c r="S998" s="253"/>
    </row>
    <row r="999">
      <c r="A999" s="252"/>
      <c r="S999" s="253"/>
    </row>
    <row r="1000">
      <c r="A1000" s="252"/>
      <c r="S1000" s="253"/>
    </row>
    <row r="1001">
      <c r="A1001" s="252"/>
      <c r="S1001" s="253"/>
    </row>
    <row r="1002">
      <c r="A1002" s="252"/>
      <c r="S1002" s="253"/>
    </row>
    <row r="1003">
      <c r="A1003" s="252"/>
      <c r="S1003" s="253"/>
    </row>
    <row r="1004">
      <c r="A1004" s="252"/>
      <c r="S1004" s="253"/>
    </row>
    <row r="1005">
      <c r="A1005" s="252"/>
      <c r="S1005" s="253"/>
    </row>
    <row r="1006">
      <c r="A1006" s="252"/>
      <c r="S1006" s="253"/>
    </row>
    <row r="1007">
      <c r="A1007" s="252"/>
      <c r="S1007" s="253"/>
    </row>
    <row r="1008">
      <c r="A1008" s="252"/>
      <c r="S1008" s="253"/>
    </row>
    <row r="1009">
      <c r="A1009" s="252"/>
      <c r="S1009" s="253"/>
    </row>
    <row r="1010">
      <c r="A1010" s="252"/>
      <c r="S1010" s="253"/>
    </row>
    <row r="1011">
      <c r="A1011" s="252"/>
      <c r="S1011" s="253"/>
    </row>
    <row r="1012">
      <c r="A1012" s="252"/>
      <c r="S1012" s="253"/>
    </row>
    <row r="1013">
      <c r="A1013" s="252"/>
      <c r="S1013" s="253"/>
    </row>
    <row r="1014">
      <c r="A1014" s="252"/>
      <c r="S1014" s="253"/>
    </row>
    <row r="1015">
      <c r="A1015" s="252"/>
      <c r="S1015" s="253"/>
    </row>
    <row r="1016">
      <c r="A1016" s="252"/>
      <c r="S1016" s="253"/>
    </row>
    <row r="1017">
      <c r="A1017" s="252"/>
      <c r="S1017" s="253"/>
    </row>
    <row r="1018">
      <c r="A1018" s="252"/>
      <c r="S1018" s="253"/>
    </row>
    <row r="1019">
      <c r="A1019" s="252"/>
      <c r="S1019" s="253"/>
    </row>
    <row r="1020">
      <c r="A1020" s="252"/>
      <c r="S1020" s="253"/>
    </row>
    <row r="1021">
      <c r="A1021" s="252"/>
      <c r="S1021" s="253"/>
    </row>
    <row r="1022">
      <c r="A1022" s="252"/>
      <c r="S1022" s="253"/>
    </row>
    <row r="1023">
      <c r="A1023" s="252"/>
      <c r="S1023" s="253"/>
    </row>
    <row r="1024">
      <c r="A1024" s="252"/>
      <c r="S1024" s="253"/>
    </row>
    <row r="1025">
      <c r="A1025" s="252"/>
      <c r="S1025" s="253"/>
    </row>
    <row r="1026">
      <c r="A1026" s="252"/>
      <c r="S1026" s="253"/>
    </row>
    <row r="1027">
      <c r="A1027" s="252"/>
      <c r="S1027" s="253"/>
    </row>
    <row r="1028">
      <c r="A1028" s="252"/>
      <c r="S1028" s="253"/>
    </row>
    <row r="1029">
      <c r="A1029" s="252"/>
      <c r="S1029" s="253"/>
    </row>
    <row r="1030">
      <c r="A1030" s="252"/>
      <c r="S1030" s="253"/>
    </row>
    <row r="1031">
      <c r="A1031" s="252"/>
      <c r="S1031" s="253"/>
    </row>
    <row r="1032">
      <c r="A1032" s="252"/>
      <c r="S1032" s="253"/>
    </row>
    <row r="1033">
      <c r="A1033" s="252"/>
      <c r="S1033" s="253"/>
    </row>
    <row r="1034">
      <c r="A1034" s="252"/>
      <c r="S1034" s="253"/>
    </row>
    <row r="1035">
      <c r="A1035" s="252"/>
      <c r="S1035" s="253"/>
    </row>
    <row r="1036">
      <c r="A1036" s="252"/>
      <c r="S1036" s="253"/>
    </row>
    <row r="1037">
      <c r="A1037" s="252"/>
      <c r="S1037" s="253"/>
    </row>
    <row r="1038">
      <c r="A1038" s="252"/>
      <c r="S1038" s="253"/>
    </row>
    <row r="1039">
      <c r="A1039" s="252"/>
      <c r="S1039" s="253"/>
    </row>
    <row r="1040">
      <c r="A1040" s="252"/>
      <c r="S1040" s="253"/>
    </row>
    <row r="1041">
      <c r="A1041" s="252"/>
      <c r="S1041" s="253"/>
    </row>
    <row r="1042">
      <c r="A1042" s="252"/>
      <c r="S1042" s="253"/>
    </row>
    <row r="1043">
      <c r="A1043" s="252"/>
      <c r="S1043" s="253"/>
    </row>
    <row r="1044">
      <c r="A1044" s="252"/>
      <c r="S1044" s="253"/>
    </row>
    <row r="1045">
      <c r="A1045" s="252"/>
      <c r="S1045" s="253"/>
    </row>
    <row r="1046">
      <c r="A1046" s="252"/>
      <c r="S1046" s="253"/>
    </row>
    <row r="1047">
      <c r="A1047" s="252"/>
      <c r="S1047" s="253"/>
    </row>
    <row r="1048">
      <c r="A1048" s="252"/>
      <c r="S1048" s="253"/>
    </row>
    <row r="1049">
      <c r="A1049" s="252"/>
      <c r="S1049" s="253"/>
    </row>
    <row r="1050">
      <c r="A1050" s="252"/>
      <c r="S1050" s="253"/>
    </row>
    <row r="1051">
      <c r="A1051" s="252"/>
      <c r="S1051" s="253"/>
    </row>
    <row r="1052">
      <c r="A1052" s="252"/>
      <c r="S1052" s="253"/>
    </row>
    <row r="1053">
      <c r="A1053" s="252"/>
      <c r="S1053" s="253"/>
    </row>
    <row r="1054">
      <c r="A1054" s="252"/>
      <c r="S1054" s="253"/>
    </row>
    <row r="1055">
      <c r="A1055" s="252"/>
      <c r="S1055" s="253"/>
    </row>
    <row r="1056">
      <c r="A1056" s="252"/>
      <c r="S1056" s="253"/>
    </row>
    <row r="1057">
      <c r="A1057" s="252"/>
      <c r="S1057" s="253"/>
    </row>
    <row r="1058">
      <c r="A1058" s="252"/>
      <c r="S1058" s="253"/>
    </row>
    <row r="1059">
      <c r="A1059" s="252"/>
      <c r="S1059" s="253"/>
    </row>
    <row r="1060">
      <c r="A1060" s="252"/>
      <c r="S1060" s="253"/>
    </row>
    <row r="1061">
      <c r="A1061" s="252"/>
      <c r="S1061" s="253"/>
    </row>
    <row r="1062">
      <c r="A1062" s="252"/>
      <c r="S1062" s="253"/>
    </row>
    <row r="1063">
      <c r="A1063" s="252"/>
      <c r="S1063" s="253"/>
    </row>
    <row r="1064">
      <c r="A1064" s="252"/>
      <c r="S1064" s="253"/>
    </row>
    <row r="1065">
      <c r="A1065" s="252"/>
      <c r="S1065" s="253"/>
    </row>
    <row r="1066">
      <c r="A1066" s="252"/>
      <c r="S1066" s="253"/>
    </row>
    <row r="1067">
      <c r="A1067" s="252"/>
      <c r="S1067" s="253"/>
    </row>
    <row r="1068">
      <c r="A1068" s="252"/>
      <c r="S1068" s="253"/>
    </row>
    <row r="1069">
      <c r="A1069" s="252"/>
      <c r="S1069" s="253"/>
    </row>
    <row r="1070">
      <c r="A1070" s="252"/>
      <c r="S1070" s="253"/>
    </row>
    <row r="1071">
      <c r="A1071" s="252"/>
      <c r="S1071" s="253"/>
    </row>
    <row r="1072">
      <c r="A1072" s="252"/>
      <c r="S1072" s="253"/>
    </row>
    <row r="1073">
      <c r="A1073" s="252"/>
      <c r="S1073" s="253"/>
    </row>
    <row r="1074">
      <c r="A1074" s="252"/>
      <c r="S1074" s="253"/>
    </row>
    <row r="1075">
      <c r="A1075" s="252"/>
      <c r="S1075" s="253"/>
    </row>
    <row r="1076">
      <c r="A1076" s="252"/>
      <c r="S1076" s="253"/>
    </row>
    <row r="1077">
      <c r="A1077" s="252"/>
      <c r="S1077" s="253"/>
    </row>
    <row r="1078">
      <c r="A1078" s="252"/>
      <c r="S1078" s="253"/>
    </row>
    <row r="1079">
      <c r="A1079" s="252"/>
      <c r="S1079" s="253"/>
    </row>
    <row r="1080">
      <c r="A1080" s="252"/>
      <c r="S1080" s="253"/>
    </row>
    <row r="1081">
      <c r="A1081" s="252"/>
      <c r="S1081" s="253"/>
    </row>
    <row r="1082">
      <c r="A1082" s="252"/>
      <c r="S1082" s="253"/>
    </row>
    <row r="1083">
      <c r="A1083" s="252"/>
      <c r="S1083" s="253"/>
    </row>
    <row r="1084">
      <c r="A1084" s="252"/>
      <c r="S1084" s="253"/>
    </row>
    <row r="1085">
      <c r="A1085" s="252"/>
      <c r="S1085" s="253"/>
    </row>
    <row r="1086">
      <c r="A1086" s="252"/>
      <c r="S1086" s="253"/>
    </row>
    <row r="1087">
      <c r="A1087" s="252"/>
      <c r="S1087" s="253"/>
    </row>
    <row r="1088">
      <c r="A1088" s="252"/>
      <c r="S1088" s="253"/>
    </row>
    <row r="1089">
      <c r="A1089" s="252"/>
      <c r="S1089" s="253"/>
    </row>
    <row r="1090">
      <c r="A1090" s="252"/>
      <c r="S1090" s="253"/>
    </row>
    <row r="1091">
      <c r="A1091" s="252"/>
      <c r="S1091" s="253"/>
    </row>
    <row r="1092">
      <c r="A1092" s="252"/>
      <c r="S1092" s="253"/>
    </row>
    <row r="1093">
      <c r="A1093" s="252"/>
      <c r="S1093" s="253"/>
    </row>
    <row r="1094">
      <c r="A1094" s="252"/>
      <c r="S1094" s="253"/>
    </row>
    <row r="1095">
      <c r="A1095" s="252"/>
      <c r="S1095" s="253"/>
    </row>
    <row r="1096">
      <c r="A1096" s="252"/>
      <c r="S1096" s="253"/>
    </row>
    <row r="1097">
      <c r="A1097" s="252"/>
      <c r="S1097" s="253"/>
    </row>
    <row r="1098">
      <c r="A1098" s="252"/>
      <c r="S1098" s="253"/>
    </row>
    <row r="1099">
      <c r="A1099" s="252"/>
      <c r="S1099" s="253"/>
    </row>
    <row r="1100">
      <c r="A1100" s="252"/>
      <c r="S1100" s="253"/>
    </row>
    <row r="1101">
      <c r="A1101" s="252"/>
      <c r="S1101" s="253"/>
    </row>
    <row r="1102">
      <c r="A1102" s="252"/>
      <c r="S1102" s="253"/>
    </row>
    <row r="1103">
      <c r="A1103" s="252"/>
      <c r="S1103" s="253"/>
    </row>
    <row r="1104">
      <c r="A1104" s="252"/>
      <c r="S1104" s="253"/>
    </row>
    <row r="1105">
      <c r="A1105" s="252"/>
      <c r="S1105" s="253"/>
    </row>
    <row r="1106">
      <c r="A1106" s="252"/>
      <c r="S1106" s="253"/>
    </row>
    <row r="1107">
      <c r="A1107" s="252"/>
      <c r="S1107" s="253"/>
    </row>
    <row r="1108">
      <c r="A1108" s="252"/>
      <c r="S1108" s="253"/>
    </row>
    <row r="1109">
      <c r="A1109" s="252"/>
      <c r="S1109" s="253"/>
    </row>
    <row r="1110">
      <c r="A1110" s="252"/>
      <c r="S1110" s="253"/>
    </row>
    <row r="1111">
      <c r="A1111" s="252"/>
      <c r="S1111" s="253"/>
    </row>
    <row r="1112">
      <c r="A1112" s="252"/>
      <c r="S1112" s="253"/>
    </row>
    <row r="1113">
      <c r="A1113" s="252"/>
      <c r="S1113" s="253"/>
    </row>
    <row r="1114">
      <c r="A1114" s="252"/>
      <c r="S1114" s="253"/>
    </row>
    <row r="1115">
      <c r="A1115" s="252"/>
      <c r="S1115" s="253"/>
    </row>
    <row r="1116">
      <c r="A1116" s="252"/>
      <c r="S1116" s="253"/>
    </row>
    <row r="1117">
      <c r="A1117" s="252"/>
      <c r="S1117" s="253"/>
    </row>
    <row r="1118">
      <c r="A1118" s="252"/>
      <c r="S1118" s="253"/>
    </row>
    <row r="1119">
      <c r="A1119" s="252"/>
      <c r="S1119" s="253"/>
    </row>
    <row r="1120">
      <c r="A1120" s="252"/>
      <c r="S1120" s="253"/>
    </row>
    <row r="1121">
      <c r="A1121" s="252"/>
      <c r="S1121" s="253"/>
    </row>
    <row r="1122">
      <c r="A1122" s="252"/>
      <c r="S1122" s="253"/>
    </row>
    <row r="1123">
      <c r="A1123" s="252"/>
      <c r="S1123" s="253"/>
    </row>
    <row r="1124">
      <c r="A1124" s="252"/>
      <c r="S1124" s="253"/>
    </row>
    <row r="1125">
      <c r="A1125" s="252"/>
      <c r="S1125" s="253"/>
    </row>
    <row r="1126">
      <c r="A1126" s="252"/>
      <c r="S1126" s="253"/>
    </row>
    <row r="1127">
      <c r="A1127" s="252"/>
      <c r="S1127" s="253"/>
    </row>
    <row r="1128">
      <c r="A1128" s="252"/>
      <c r="S1128" s="253"/>
    </row>
    <row r="1129">
      <c r="A1129" s="252"/>
      <c r="S1129" s="253"/>
    </row>
    <row r="1130">
      <c r="A1130" s="252"/>
      <c r="S1130" s="253"/>
    </row>
    <row r="1131">
      <c r="A1131" s="252"/>
      <c r="S1131" s="253"/>
    </row>
    <row r="1132">
      <c r="A1132" s="252"/>
      <c r="S1132" s="253"/>
    </row>
    <row r="1133">
      <c r="A1133" s="252"/>
      <c r="S1133" s="253"/>
    </row>
    <row r="1134">
      <c r="A1134" s="252"/>
      <c r="S1134" s="253"/>
    </row>
    <row r="1135">
      <c r="A1135" s="252"/>
      <c r="S1135" s="253"/>
    </row>
    <row r="1136">
      <c r="A1136" s="252"/>
      <c r="S1136" s="253"/>
    </row>
    <row r="1137">
      <c r="A1137" s="252"/>
      <c r="S1137" s="253"/>
    </row>
    <row r="1138">
      <c r="A1138" s="252"/>
      <c r="S1138" s="253"/>
    </row>
    <row r="1139">
      <c r="A1139" s="252"/>
      <c r="S1139" s="253"/>
    </row>
    <row r="1140">
      <c r="A1140" s="252"/>
      <c r="S1140" s="253"/>
    </row>
    <row r="1141">
      <c r="A1141" s="252"/>
      <c r="S1141" s="253"/>
    </row>
    <row r="1142">
      <c r="A1142" s="252"/>
      <c r="S1142" s="253"/>
    </row>
    <row r="1143">
      <c r="A1143" s="252"/>
      <c r="S1143" s="253"/>
    </row>
    <row r="1144">
      <c r="A1144" s="252"/>
      <c r="S1144" s="253"/>
    </row>
    <row r="1145">
      <c r="A1145" s="252"/>
      <c r="S1145" s="253"/>
    </row>
    <row r="1146">
      <c r="A1146" s="252"/>
      <c r="S1146" s="253"/>
    </row>
    <row r="1147">
      <c r="A1147" s="252"/>
      <c r="S1147" s="253"/>
    </row>
    <row r="1148">
      <c r="A1148" s="252"/>
      <c r="S1148" s="253"/>
    </row>
    <row r="1149">
      <c r="A1149" s="252"/>
      <c r="S1149" s="253"/>
    </row>
    <row r="1150">
      <c r="A1150" s="252"/>
      <c r="S1150" s="253"/>
    </row>
    <row r="1151">
      <c r="A1151" s="252"/>
      <c r="S1151" s="253"/>
    </row>
    <row r="1152">
      <c r="A1152" s="252"/>
      <c r="S1152" s="253"/>
    </row>
    <row r="1153">
      <c r="A1153" s="252"/>
      <c r="S1153" s="253"/>
    </row>
    <row r="1154">
      <c r="A1154" s="252"/>
      <c r="S1154" s="253"/>
    </row>
    <row r="1155">
      <c r="A1155" s="252"/>
      <c r="S1155" s="253"/>
    </row>
    <row r="1156">
      <c r="A1156" s="252"/>
      <c r="S1156" s="253"/>
    </row>
    <row r="1157">
      <c r="A1157" s="252"/>
      <c r="S1157" s="253"/>
    </row>
    <row r="1158">
      <c r="A1158" s="252"/>
      <c r="S1158" s="253"/>
    </row>
    <row r="1159">
      <c r="A1159" s="252"/>
      <c r="S1159" s="253"/>
    </row>
    <row r="1160">
      <c r="A1160" s="252"/>
      <c r="S1160" s="253"/>
    </row>
    <row r="1161">
      <c r="A1161" s="252"/>
      <c r="S1161" s="253"/>
    </row>
    <row r="1162">
      <c r="A1162" s="252"/>
      <c r="S1162" s="253"/>
    </row>
    <row r="1163">
      <c r="A1163" s="252"/>
      <c r="S1163" s="253"/>
    </row>
    <row r="1164">
      <c r="A1164" s="252"/>
      <c r="S1164" s="253"/>
    </row>
    <row r="1165">
      <c r="A1165" s="252"/>
      <c r="S1165" s="253"/>
    </row>
    <row r="1166">
      <c r="A1166" s="252"/>
      <c r="S1166" s="253"/>
    </row>
    <row r="1167">
      <c r="A1167" s="252"/>
      <c r="S1167" s="253"/>
    </row>
    <row r="1168">
      <c r="A1168" s="252"/>
      <c r="S1168" s="253"/>
    </row>
    <row r="1169">
      <c r="A1169" s="252"/>
      <c r="S1169" s="253"/>
    </row>
    <row r="1170">
      <c r="A1170" s="252"/>
      <c r="S1170" s="253"/>
    </row>
    <row r="1171">
      <c r="A1171" s="252"/>
      <c r="S1171" s="253"/>
    </row>
    <row r="1172">
      <c r="A1172" s="252"/>
      <c r="S1172" s="253"/>
    </row>
    <row r="1173">
      <c r="A1173" s="252"/>
      <c r="S1173" s="253"/>
    </row>
    <row r="1174">
      <c r="A1174" s="252"/>
      <c r="S1174" s="253"/>
    </row>
    <row r="1175">
      <c r="A1175" s="252"/>
      <c r="S1175" s="253"/>
    </row>
    <row r="1176">
      <c r="A1176" s="252"/>
      <c r="S1176" s="253"/>
    </row>
    <row r="1177">
      <c r="A1177" s="252"/>
      <c r="S1177" s="253"/>
    </row>
    <row r="1178">
      <c r="A1178" s="252"/>
      <c r="S1178" s="253"/>
    </row>
    <row r="1179">
      <c r="A1179" s="252"/>
      <c r="S1179" s="253"/>
    </row>
    <row r="1180">
      <c r="A1180" s="252"/>
      <c r="S1180" s="253"/>
    </row>
    <row r="1181">
      <c r="A1181" s="252"/>
      <c r="S1181" s="253"/>
    </row>
    <row r="1182">
      <c r="A1182" s="252"/>
      <c r="S1182" s="253"/>
    </row>
    <row r="1183">
      <c r="A1183" s="252"/>
      <c r="S1183" s="253"/>
    </row>
    <row r="1184">
      <c r="A1184" s="252"/>
      <c r="S1184" s="253"/>
    </row>
    <row r="1185">
      <c r="A1185" s="252"/>
      <c r="S1185" s="253"/>
    </row>
    <row r="1186">
      <c r="A1186" s="252"/>
      <c r="S1186" s="253"/>
    </row>
    <row r="1187">
      <c r="A1187" s="252"/>
      <c r="S1187" s="253"/>
    </row>
    <row r="1188">
      <c r="A1188" s="252"/>
      <c r="S1188" s="253"/>
    </row>
    <row r="1189">
      <c r="A1189" s="252"/>
      <c r="S1189" s="253"/>
    </row>
    <row r="1190">
      <c r="A1190" s="252"/>
      <c r="S1190" s="253"/>
    </row>
    <row r="1191">
      <c r="A1191" s="252"/>
      <c r="S1191" s="253"/>
    </row>
    <row r="1192">
      <c r="A1192" s="252"/>
      <c r="S1192" s="253"/>
    </row>
    <row r="1193">
      <c r="A1193" s="252"/>
      <c r="S1193" s="253"/>
    </row>
    <row r="1194">
      <c r="A1194" s="252"/>
      <c r="S1194" s="253"/>
    </row>
    <row r="1195">
      <c r="A1195" s="252"/>
      <c r="S1195" s="253"/>
    </row>
    <row r="1196">
      <c r="A1196" s="252"/>
      <c r="S1196" s="253"/>
    </row>
    <row r="1197">
      <c r="A1197" s="252"/>
      <c r="S1197" s="253"/>
    </row>
    <row r="1198">
      <c r="A1198" s="252"/>
      <c r="S1198" s="253"/>
    </row>
    <row r="1199">
      <c r="A1199" s="252"/>
      <c r="S1199" s="253"/>
    </row>
    <row r="1200">
      <c r="A1200" s="252"/>
      <c r="S1200" s="253"/>
    </row>
    <row r="1201">
      <c r="A1201" s="252"/>
      <c r="S1201" s="253"/>
    </row>
    <row r="1202">
      <c r="A1202" s="252"/>
      <c r="S1202" s="253"/>
    </row>
    <row r="1203">
      <c r="A1203" s="252"/>
      <c r="S1203" s="253"/>
    </row>
    <row r="1204">
      <c r="A1204" s="252"/>
      <c r="S1204" s="253"/>
    </row>
    <row r="1205">
      <c r="A1205" s="252"/>
      <c r="S1205" s="253"/>
    </row>
    <row r="1206">
      <c r="A1206" s="252"/>
      <c r="S1206" s="253"/>
    </row>
    <row r="1207">
      <c r="A1207" s="252"/>
      <c r="S1207" s="253"/>
    </row>
    <row r="1208">
      <c r="A1208" s="252"/>
      <c r="S1208" s="253"/>
    </row>
    <row r="1209">
      <c r="A1209" s="252"/>
      <c r="S1209" s="253"/>
    </row>
    <row r="1210">
      <c r="A1210" s="252"/>
      <c r="S1210" s="253"/>
    </row>
    <row r="1211">
      <c r="A1211" s="252"/>
      <c r="S1211" s="253"/>
    </row>
    <row r="1212">
      <c r="A1212" s="252"/>
      <c r="S1212" s="253"/>
    </row>
    <row r="1213">
      <c r="A1213" s="252"/>
      <c r="S1213" s="253"/>
    </row>
    <row r="1214">
      <c r="A1214" s="252"/>
      <c r="S1214" s="253"/>
    </row>
    <row r="1215">
      <c r="A1215" s="252"/>
      <c r="S1215" s="253"/>
    </row>
    <row r="1216">
      <c r="A1216" s="252"/>
      <c r="S1216" s="253"/>
    </row>
    <row r="1217">
      <c r="A1217" s="252"/>
      <c r="S1217" s="253"/>
    </row>
    <row r="1218">
      <c r="A1218" s="252"/>
      <c r="S1218" s="253"/>
    </row>
    <row r="1219">
      <c r="A1219" s="252"/>
      <c r="S1219" s="253"/>
    </row>
    <row r="1220">
      <c r="A1220" s="252"/>
      <c r="S1220" s="253"/>
    </row>
    <row r="1221">
      <c r="A1221" s="252"/>
      <c r="S1221" s="253"/>
    </row>
    <row r="1222">
      <c r="A1222" s="252"/>
      <c r="S1222" s="253"/>
    </row>
    <row r="1223">
      <c r="A1223" s="252"/>
      <c r="S1223" s="253"/>
    </row>
    <row r="1224">
      <c r="A1224" s="252"/>
      <c r="S1224" s="253"/>
    </row>
    <row r="1225">
      <c r="A1225" s="252"/>
      <c r="S1225" s="253"/>
    </row>
    <row r="1226">
      <c r="A1226" s="252"/>
      <c r="S1226" s="253"/>
    </row>
    <row r="1227">
      <c r="A1227" s="252"/>
      <c r="S1227" s="253"/>
    </row>
    <row r="1228">
      <c r="A1228" s="252"/>
      <c r="S1228" s="253"/>
    </row>
    <row r="1229">
      <c r="A1229" s="252"/>
      <c r="S1229" s="253"/>
    </row>
    <row r="1230">
      <c r="A1230" s="252"/>
      <c r="S1230" s="253"/>
    </row>
    <row r="1231">
      <c r="A1231" s="252"/>
      <c r="S1231" s="253"/>
    </row>
    <row r="1232">
      <c r="A1232" s="252"/>
      <c r="S1232" s="253"/>
    </row>
    <row r="1233">
      <c r="A1233" s="252"/>
      <c r="S1233" s="253"/>
    </row>
    <row r="1234">
      <c r="A1234" s="252"/>
      <c r="S1234" s="253"/>
    </row>
    <row r="1235">
      <c r="A1235" s="252"/>
      <c r="S1235" s="253"/>
    </row>
    <row r="1236">
      <c r="A1236" s="252"/>
      <c r="S1236" s="253"/>
    </row>
    <row r="1237">
      <c r="A1237" s="252"/>
      <c r="S1237" s="253"/>
    </row>
    <row r="1238">
      <c r="A1238" s="252"/>
      <c r="S1238" s="253"/>
    </row>
    <row r="1239">
      <c r="A1239" s="252"/>
      <c r="S1239" s="253"/>
    </row>
    <row r="1240">
      <c r="A1240" s="252"/>
      <c r="S1240" s="253"/>
    </row>
    <row r="1241">
      <c r="A1241" s="252"/>
      <c r="S1241" s="253"/>
    </row>
    <row r="1242">
      <c r="A1242" s="252"/>
      <c r="S1242" s="253"/>
    </row>
    <row r="1243">
      <c r="A1243" s="252"/>
      <c r="S1243" s="253"/>
    </row>
    <row r="1244">
      <c r="A1244" s="252"/>
      <c r="S1244" s="253"/>
    </row>
    <row r="1245">
      <c r="A1245" s="252"/>
      <c r="S1245" s="253"/>
    </row>
    <row r="1246">
      <c r="A1246" s="252"/>
      <c r="S1246" s="253"/>
    </row>
    <row r="1247">
      <c r="A1247" s="252"/>
      <c r="S1247" s="253"/>
    </row>
    <row r="1248">
      <c r="A1248" s="252"/>
      <c r="S1248" s="253"/>
    </row>
    <row r="1249">
      <c r="A1249" s="252"/>
      <c r="S1249" s="253"/>
    </row>
    <row r="1250">
      <c r="A1250" s="252"/>
      <c r="S1250" s="253"/>
    </row>
    <row r="1251">
      <c r="A1251" s="252"/>
      <c r="S1251" s="253"/>
    </row>
    <row r="1252">
      <c r="A1252" s="252"/>
      <c r="S1252" s="253"/>
    </row>
    <row r="1253">
      <c r="A1253" s="252"/>
      <c r="S1253" s="253"/>
    </row>
    <row r="1254">
      <c r="A1254" s="252"/>
      <c r="S1254" s="253"/>
    </row>
    <row r="1255">
      <c r="A1255" s="252"/>
      <c r="S1255" s="253"/>
    </row>
    <row r="1256">
      <c r="A1256" s="252"/>
      <c r="S1256" s="253"/>
    </row>
    <row r="1257">
      <c r="A1257" s="252"/>
      <c r="S1257" s="253"/>
    </row>
    <row r="1258">
      <c r="A1258" s="252"/>
      <c r="S1258" s="253"/>
    </row>
    <row r="1259">
      <c r="A1259" s="252"/>
      <c r="S1259" s="253"/>
    </row>
    <row r="1260">
      <c r="A1260" s="252"/>
      <c r="S1260" s="253"/>
    </row>
    <row r="1261">
      <c r="A1261" s="252"/>
      <c r="S1261" s="253"/>
    </row>
    <row r="1262">
      <c r="A1262" s="252"/>
      <c r="S1262" s="253"/>
    </row>
    <row r="1263">
      <c r="A1263" s="252"/>
      <c r="S1263" s="253"/>
    </row>
    <row r="1264">
      <c r="A1264" s="252"/>
      <c r="S1264" s="253"/>
    </row>
    <row r="1265">
      <c r="A1265" s="252"/>
      <c r="S1265" s="253"/>
    </row>
    <row r="1266">
      <c r="A1266" s="252"/>
      <c r="S1266" s="253"/>
    </row>
    <row r="1267">
      <c r="A1267" s="252"/>
      <c r="S1267" s="253"/>
    </row>
    <row r="1268">
      <c r="A1268" s="252"/>
      <c r="S1268" s="253"/>
    </row>
    <row r="1269">
      <c r="A1269" s="252"/>
      <c r="S1269" s="253"/>
    </row>
    <row r="1270">
      <c r="A1270" s="252"/>
      <c r="S1270" s="253"/>
    </row>
    <row r="1271">
      <c r="A1271" s="252"/>
      <c r="S1271" s="253"/>
    </row>
    <row r="1272">
      <c r="A1272" s="252"/>
      <c r="S1272" s="253"/>
    </row>
    <row r="1273">
      <c r="A1273" s="252"/>
      <c r="S1273" s="253"/>
    </row>
    <row r="1274">
      <c r="A1274" s="252"/>
      <c r="S1274" s="253"/>
    </row>
    <row r="1275">
      <c r="A1275" s="252"/>
      <c r="S1275" s="253"/>
    </row>
    <row r="1276">
      <c r="A1276" s="252"/>
      <c r="S1276" s="253"/>
    </row>
    <row r="1277">
      <c r="A1277" s="252"/>
      <c r="S1277" s="253"/>
    </row>
    <row r="1278">
      <c r="A1278" s="252"/>
      <c r="S1278" s="253"/>
    </row>
    <row r="1279">
      <c r="A1279" s="252"/>
      <c r="S1279" s="253"/>
    </row>
    <row r="1280">
      <c r="A1280" s="252"/>
      <c r="S1280" s="253"/>
    </row>
    <row r="1281">
      <c r="A1281" s="252"/>
      <c r="S1281" s="253"/>
    </row>
    <row r="1282">
      <c r="A1282" s="252"/>
      <c r="S1282" s="253"/>
    </row>
    <row r="1283">
      <c r="A1283" s="252"/>
      <c r="S1283" s="253"/>
    </row>
    <row r="1284">
      <c r="A1284" s="252"/>
      <c r="S1284" s="253"/>
    </row>
    <row r="1285">
      <c r="A1285" s="252"/>
      <c r="S1285" s="253"/>
    </row>
    <row r="1286">
      <c r="A1286" s="252"/>
      <c r="S1286" s="253"/>
    </row>
    <row r="1287">
      <c r="A1287" s="252"/>
      <c r="S1287" s="253"/>
    </row>
    <row r="1288">
      <c r="A1288" s="252"/>
      <c r="S1288" s="253"/>
    </row>
    <row r="1289">
      <c r="A1289" s="252"/>
      <c r="S1289" s="253"/>
    </row>
    <row r="1290">
      <c r="A1290" s="252"/>
      <c r="S1290" s="253"/>
    </row>
    <row r="1291">
      <c r="A1291" s="252"/>
      <c r="S1291" s="253"/>
    </row>
    <row r="1292">
      <c r="A1292" s="252"/>
      <c r="S1292" s="253"/>
    </row>
    <row r="1293">
      <c r="A1293" s="252"/>
      <c r="S1293" s="253"/>
    </row>
    <row r="1294">
      <c r="A1294" s="252"/>
      <c r="S1294" s="253"/>
    </row>
    <row r="1295">
      <c r="A1295" s="252"/>
      <c r="S1295" s="253"/>
    </row>
    <row r="1296">
      <c r="A1296" s="252"/>
      <c r="S1296" s="253"/>
    </row>
    <row r="1297">
      <c r="A1297" s="252"/>
      <c r="S1297" s="253"/>
    </row>
    <row r="1298">
      <c r="A1298" s="252"/>
      <c r="S1298" s="253"/>
    </row>
    <row r="1299">
      <c r="A1299" s="252"/>
      <c r="S1299" s="253"/>
    </row>
    <row r="1300">
      <c r="A1300" s="252"/>
      <c r="S1300" s="253"/>
    </row>
    <row r="1301">
      <c r="A1301" s="252"/>
      <c r="S1301" s="253"/>
    </row>
    <row r="1302">
      <c r="A1302" s="252"/>
      <c r="S1302" s="253"/>
    </row>
    <row r="1303">
      <c r="A1303" s="252"/>
      <c r="S1303" s="253"/>
    </row>
    <row r="1304">
      <c r="A1304" s="252"/>
      <c r="S1304" s="253"/>
    </row>
    <row r="1305">
      <c r="A1305" s="252"/>
      <c r="S1305" s="253"/>
    </row>
    <row r="1306">
      <c r="A1306" s="252"/>
      <c r="S1306" s="253"/>
    </row>
    <row r="1307">
      <c r="A1307" s="252"/>
      <c r="S1307" s="253"/>
    </row>
    <row r="1308">
      <c r="A1308" s="252"/>
      <c r="S1308" s="253"/>
    </row>
    <row r="1309">
      <c r="A1309" s="252"/>
      <c r="S1309" s="253"/>
    </row>
    <row r="1310">
      <c r="A1310" s="252"/>
      <c r="S1310" s="253"/>
    </row>
    <row r="1311">
      <c r="A1311" s="252"/>
      <c r="S1311" s="253"/>
    </row>
    <row r="1312">
      <c r="A1312" s="252"/>
      <c r="S1312" s="253"/>
    </row>
    <row r="1313">
      <c r="A1313" s="252"/>
      <c r="S1313" s="253"/>
    </row>
    <row r="1314">
      <c r="A1314" s="252"/>
      <c r="S1314" s="253"/>
    </row>
    <row r="1315">
      <c r="A1315" s="252"/>
      <c r="S1315" s="253"/>
    </row>
    <row r="1316">
      <c r="A1316" s="252"/>
      <c r="S1316" s="253"/>
    </row>
    <row r="1317">
      <c r="A1317" s="252"/>
      <c r="S1317" s="253"/>
    </row>
    <row r="1318">
      <c r="A1318" s="252"/>
      <c r="S1318" s="253"/>
    </row>
    <row r="1319">
      <c r="A1319" s="252"/>
      <c r="S1319" s="253"/>
    </row>
    <row r="1320">
      <c r="A1320" s="252"/>
      <c r="S1320" s="253"/>
    </row>
    <row r="1321">
      <c r="A1321" s="252"/>
      <c r="S1321" s="253"/>
    </row>
    <row r="1322">
      <c r="A1322" s="252"/>
      <c r="S1322" s="253"/>
    </row>
    <row r="1323">
      <c r="A1323" s="252"/>
      <c r="S1323" s="253"/>
    </row>
    <row r="1324">
      <c r="A1324" s="252"/>
      <c r="S1324" s="253"/>
    </row>
    <row r="1325">
      <c r="A1325" s="252"/>
      <c r="S1325" s="253"/>
    </row>
    <row r="1326">
      <c r="A1326" s="252"/>
      <c r="S1326" s="253"/>
    </row>
    <row r="1327">
      <c r="A1327" s="252"/>
      <c r="S1327" s="253"/>
    </row>
    <row r="1328">
      <c r="A1328" s="252"/>
      <c r="S1328" s="253"/>
    </row>
    <row r="1329">
      <c r="A1329" s="252"/>
      <c r="S1329" s="253"/>
    </row>
    <row r="1330">
      <c r="A1330" s="252"/>
      <c r="S1330" s="253"/>
    </row>
    <row r="1331">
      <c r="A1331" s="252"/>
      <c r="S1331" s="253"/>
    </row>
    <row r="1332">
      <c r="A1332" s="252"/>
      <c r="S1332" s="253"/>
    </row>
    <row r="1333">
      <c r="A1333" s="252"/>
      <c r="S1333" s="253"/>
    </row>
    <row r="1334">
      <c r="A1334" s="252"/>
      <c r="S1334" s="253"/>
    </row>
    <row r="1335">
      <c r="A1335" s="252"/>
      <c r="S1335" s="253"/>
    </row>
    <row r="1336">
      <c r="A1336" s="252"/>
      <c r="S1336" s="253"/>
    </row>
    <row r="1337">
      <c r="A1337" s="252"/>
      <c r="S1337" s="253"/>
    </row>
    <row r="1338">
      <c r="A1338" s="252"/>
      <c r="S1338" s="253"/>
    </row>
    <row r="1339">
      <c r="A1339" s="252"/>
      <c r="S1339" s="253"/>
    </row>
    <row r="1340">
      <c r="A1340" s="252"/>
      <c r="S1340" s="253"/>
    </row>
    <row r="1341">
      <c r="A1341" s="252"/>
      <c r="S1341" s="253"/>
    </row>
    <row r="1342">
      <c r="A1342" s="252"/>
      <c r="S1342" s="253"/>
    </row>
    <row r="1343">
      <c r="A1343" s="252"/>
      <c r="S1343" s="253"/>
    </row>
    <row r="1344">
      <c r="A1344" s="252"/>
      <c r="S1344" s="253"/>
    </row>
    <row r="1345">
      <c r="A1345" s="252"/>
      <c r="S1345" s="253"/>
    </row>
    <row r="1346">
      <c r="A1346" s="252"/>
      <c r="S1346" s="253"/>
    </row>
    <row r="1347">
      <c r="A1347" s="252"/>
      <c r="S1347" s="253"/>
    </row>
    <row r="1348">
      <c r="A1348" s="252"/>
      <c r="S1348" s="253"/>
    </row>
    <row r="1349">
      <c r="A1349" s="252"/>
      <c r="S1349" s="253"/>
    </row>
    <row r="1350">
      <c r="A1350" s="252"/>
      <c r="S1350" s="253"/>
    </row>
    <row r="1351">
      <c r="A1351" s="252"/>
      <c r="S1351" s="253"/>
    </row>
    <row r="1352">
      <c r="A1352" s="252"/>
      <c r="S1352" s="253"/>
    </row>
    <row r="1353">
      <c r="A1353" s="252"/>
      <c r="S1353" s="253"/>
    </row>
    <row r="1354">
      <c r="A1354" s="252"/>
      <c r="S1354" s="253"/>
    </row>
    <row r="1355">
      <c r="A1355" s="252"/>
      <c r="S1355" s="253"/>
    </row>
    <row r="1356">
      <c r="A1356" s="252"/>
      <c r="S1356" s="253"/>
    </row>
    <row r="1357">
      <c r="A1357" s="252"/>
      <c r="S1357" s="253"/>
    </row>
    <row r="1358">
      <c r="A1358" s="252"/>
      <c r="S1358" s="253"/>
    </row>
    <row r="1359">
      <c r="A1359" s="252"/>
      <c r="S1359" s="253"/>
    </row>
    <row r="1360">
      <c r="A1360" s="252"/>
      <c r="S1360" s="253"/>
    </row>
    <row r="1361">
      <c r="A1361" s="252"/>
      <c r="S1361" s="253"/>
    </row>
    <row r="1362">
      <c r="A1362" s="252"/>
      <c r="S1362" s="253"/>
    </row>
    <row r="1363">
      <c r="A1363" s="252"/>
      <c r="S1363" s="253"/>
    </row>
    <row r="1364">
      <c r="A1364" s="252"/>
      <c r="S1364" s="253"/>
    </row>
    <row r="1365">
      <c r="A1365" s="252"/>
      <c r="S1365" s="253"/>
    </row>
    <row r="1366">
      <c r="A1366" s="252"/>
      <c r="S1366" s="253"/>
    </row>
    <row r="1367">
      <c r="A1367" s="252"/>
      <c r="S1367" s="253"/>
    </row>
    <row r="1368">
      <c r="A1368" s="252"/>
      <c r="S1368" s="253"/>
    </row>
    <row r="1369">
      <c r="A1369" s="252"/>
      <c r="S1369" s="253"/>
    </row>
    <row r="1370">
      <c r="A1370" s="252"/>
      <c r="S1370" s="253"/>
    </row>
    <row r="1371">
      <c r="A1371" s="252"/>
      <c r="S1371" s="253"/>
    </row>
    <row r="1372">
      <c r="A1372" s="252"/>
      <c r="S1372" s="253"/>
    </row>
    <row r="1373">
      <c r="A1373" s="252"/>
      <c r="S1373" s="253"/>
    </row>
    <row r="1374">
      <c r="A1374" s="252"/>
      <c r="S1374" s="253"/>
    </row>
    <row r="1375">
      <c r="A1375" s="252"/>
      <c r="S1375" s="253"/>
    </row>
    <row r="1376">
      <c r="A1376" s="252"/>
      <c r="S1376" s="253"/>
    </row>
    <row r="1377">
      <c r="A1377" s="252"/>
      <c r="S1377" s="253"/>
    </row>
    <row r="1378">
      <c r="A1378" s="252"/>
      <c r="S1378" s="253"/>
    </row>
    <row r="1379">
      <c r="A1379" s="252"/>
      <c r="S1379" s="253"/>
    </row>
    <row r="1380">
      <c r="A1380" s="252"/>
      <c r="S1380" s="253"/>
    </row>
    <row r="1381">
      <c r="A1381" s="252"/>
      <c r="S1381" s="253"/>
    </row>
    <row r="1382">
      <c r="A1382" s="252"/>
      <c r="S1382" s="253"/>
    </row>
    <row r="1383">
      <c r="A1383" s="252"/>
      <c r="S1383" s="253"/>
    </row>
    <row r="1384">
      <c r="A1384" s="252"/>
      <c r="S1384" s="253"/>
    </row>
    <row r="1385">
      <c r="A1385" s="252"/>
      <c r="S1385" s="253"/>
    </row>
    <row r="1386">
      <c r="A1386" s="252"/>
      <c r="S1386" s="253"/>
    </row>
    <row r="1387">
      <c r="A1387" s="252"/>
      <c r="S1387" s="253"/>
    </row>
    <row r="1388">
      <c r="A1388" s="252"/>
      <c r="S1388" s="253"/>
    </row>
    <row r="1389">
      <c r="A1389" s="252"/>
      <c r="S1389" s="253"/>
    </row>
    <row r="1390">
      <c r="A1390" s="252"/>
      <c r="S1390" s="253"/>
    </row>
    <row r="1391">
      <c r="A1391" s="252"/>
      <c r="S1391" s="253"/>
    </row>
    <row r="1392">
      <c r="A1392" s="252"/>
      <c r="S1392" s="253"/>
    </row>
    <row r="1393">
      <c r="A1393" s="252"/>
      <c r="S1393" s="253"/>
    </row>
    <row r="1394">
      <c r="A1394" s="252"/>
      <c r="S1394" s="253"/>
    </row>
    <row r="1395">
      <c r="A1395" s="252"/>
      <c r="S1395" s="253"/>
    </row>
    <row r="1396">
      <c r="A1396" s="252"/>
      <c r="S1396" s="253"/>
    </row>
    <row r="1397">
      <c r="A1397" s="252"/>
      <c r="S1397" s="253"/>
    </row>
    <row r="1398">
      <c r="A1398" s="252"/>
      <c r="S1398" s="253"/>
    </row>
    <row r="1399">
      <c r="A1399" s="252"/>
      <c r="S1399" s="253"/>
    </row>
    <row r="1400">
      <c r="A1400" s="252"/>
      <c r="S1400" s="253"/>
    </row>
    <row r="1401">
      <c r="A1401" s="252"/>
      <c r="S1401" s="253"/>
    </row>
    <row r="1402">
      <c r="A1402" s="252"/>
      <c r="S1402" s="253"/>
    </row>
    <row r="1403">
      <c r="A1403" s="252"/>
      <c r="S1403" s="253"/>
    </row>
    <row r="1404">
      <c r="A1404" s="252"/>
      <c r="S1404" s="253"/>
    </row>
    <row r="1405">
      <c r="A1405" s="252"/>
      <c r="S1405" s="253"/>
    </row>
    <row r="1406">
      <c r="A1406" s="252"/>
      <c r="S1406" s="253"/>
    </row>
    <row r="1407">
      <c r="A1407" s="252"/>
      <c r="S1407" s="253"/>
    </row>
    <row r="1408">
      <c r="A1408" s="252"/>
      <c r="S1408" s="253"/>
    </row>
    <row r="1409">
      <c r="A1409" s="252"/>
      <c r="S1409" s="253"/>
    </row>
    <row r="1410">
      <c r="A1410" s="252"/>
      <c r="S1410" s="253"/>
    </row>
    <row r="1411">
      <c r="A1411" s="252"/>
      <c r="S1411" s="253"/>
    </row>
    <row r="1412">
      <c r="A1412" s="252"/>
      <c r="S1412" s="253"/>
    </row>
    <row r="1413">
      <c r="A1413" s="252"/>
      <c r="S1413" s="253"/>
    </row>
    <row r="1414">
      <c r="A1414" s="252"/>
      <c r="S1414" s="253"/>
    </row>
    <row r="1415">
      <c r="A1415" s="252"/>
      <c r="S1415" s="253"/>
    </row>
    <row r="1416">
      <c r="A1416" s="252"/>
      <c r="S1416" s="253"/>
    </row>
    <row r="1417">
      <c r="A1417" s="252"/>
      <c r="S1417" s="253"/>
    </row>
    <row r="1418">
      <c r="A1418" s="252"/>
      <c r="S1418" s="253"/>
    </row>
    <row r="1419">
      <c r="A1419" s="252"/>
      <c r="S1419" s="253"/>
    </row>
    <row r="1420">
      <c r="A1420" s="252"/>
      <c r="S1420" s="253"/>
    </row>
    <row r="1421">
      <c r="A1421" s="252"/>
      <c r="S1421" s="253"/>
    </row>
    <row r="1422">
      <c r="A1422" s="252"/>
      <c r="S1422" s="253"/>
    </row>
    <row r="1423">
      <c r="A1423" s="252"/>
      <c r="S1423" s="253"/>
    </row>
    <row r="1424">
      <c r="A1424" s="252"/>
      <c r="S1424" s="253"/>
    </row>
    <row r="1425">
      <c r="A1425" s="252"/>
      <c r="S1425" s="253"/>
    </row>
    <row r="1426">
      <c r="A1426" s="252"/>
      <c r="S1426" s="253"/>
    </row>
    <row r="1427">
      <c r="A1427" s="252"/>
      <c r="S1427" s="253"/>
    </row>
    <row r="1428">
      <c r="A1428" s="252"/>
      <c r="S1428" s="253"/>
    </row>
    <row r="1429">
      <c r="A1429" s="252"/>
      <c r="S1429" s="253"/>
    </row>
    <row r="1430">
      <c r="A1430" s="252"/>
      <c r="S1430" s="253"/>
    </row>
    <row r="1431">
      <c r="A1431" s="252"/>
      <c r="S1431" s="253"/>
    </row>
    <row r="1432">
      <c r="A1432" s="252"/>
      <c r="S1432" s="253"/>
    </row>
    <row r="1433">
      <c r="A1433" s="252"/>
      <c r="S1433" s="253"/>
    </row>
    <row r="1434">
      <c r="A1434" s="252"/>
      <c r="S1434" s="253"/>
    </row>
    <row r="1435">
      <c r="A1435" s="252"/>
      <c r="S1435" s="253"/>
    </row>
    <row r="1436">
      <c r="A1436" s="252"/>
      <c r="S1436" s="253"/>
    </row>
    <row r="1437">
      <c r="A1437" s="252"/>
      <c r="S1437" s="253"/>
    </row>
    <row r="1438">
      <c r="A1438" s="252"/>
      <c r="S1438" s="253"/>
    </row>
    <row r="1439">
      <c r="A1439" s="252"/>
      <c r="S1439" s="253"/>
    </row>
    <row r="1440">
      <c r="A1440" s="252"/>
      <c r="S1440" s="253"/>
    </row>
    <row r="1441">
      <c r="A1441" s="252"/>
      <c r="S1441" s="253"/>
    </row>
    <row r="1442">
      <c r="A1442" s="252"/>
      <c r="S1442" s="253"/>
    </row>
    <row r="1443">
      <c r="A1443" s="252"/>
      <c r="S1443" s="253"/>
    </row>
    <row r="1444">
      <c r="A1444" s="252"/>
      <c r="S1444" s="253"/>
    </row>
    <row r="1445">
      <c r="A1445" s="252"/>
      <c r="S1445" s="253"/>
    </row>
    <row r="1446">
      <c r="A1446" s="252"/>
      <c r="S1446" s="253"/>
    </row>
    <row r="1447">
      <c r="A1447" s="252"/>
      <c r="S1447" s="253"/>
    </row>
    <row r="1448">
      <c r="A1448" s="252"/>
      <c r="S1448" s="253"/>
    </row>
    <row r="1449">
      <c r="A1449" s="252"/>
      <c r="S1449" s="253"/>
    </row>
    <row r="1450">
      <c r="A1450" s="252"/>
      <c r="S1450" s="253"/>
    </row>
    <row r="1451">
      <c r="A1451" s="252"/>
      <c r="S1451" s="253"/>
    </row>
    <row r="1452">
      <c r="A1452" s="252"/>
      <c r="S1452" s="253"/>
    </row>
    <row r="1453">
      <c r="A1453" s="252"/>
      <c r="S1453" s="253"/>
    </row>
    <row r="1454">
      <c r="A1454" s="252"/>
      <c r="S1454" s="253"/>
    </row>
    <row r="1455">
      <c r="A1455" s="252"/>
      <c r="S1455" s="253"/>
    </row>
    <row r="1456">
      <c r="A1456" s="252"/>
      <c r="S1456" s="253"/>
    </row>
    <row r="1457">
      <c r="A1457" s="252"/>
      <c r="S1457" s="253"/>
    </row>
    <row r="1458">
      <c r="A1458" s="252"/>
      <c r="S1458" s="253"/>
    </row>
    <row r="1459">
      <c r="A1459" s="252"/>
      <c r="S1459" s="253"/>
    </row>
    <row r="1460">
      <c r="A1460" s="252"/>
      <c r="S1460" s="253"/>
    </row>
    <row r="1461">
      <c r="A1461" s="252"/>
      <c r="S1461" s="253"/>
    </row>
    <row r="1462">
      <c r="A1462" s="252"/>
      <c r="S1462" s="253"/>
    </row>
    <row r="1463">
      <c r="A1463" s="252"/>
      <c r="S1463" s="253"/>
    </row>
    <row r="1464">
      <c r="A1464" s="252"/>
      <c r="S1464" s="253"/>
    </row>
    <row r="1465">
      <c r="A1465" s="252"/>
      <c r="S1465" s="253"/>
    </row>
    <row r="1466">
      <c r="A1466" s="252"/>
      <c r="S1466" s="253"/>
    </row>
    <row r="1467">
      <c r="A1467" s="252"/>
      <c r="S1467" s="253"/>
    </row>
    <row r="1468">
      <c r="A1468" s="252"/>
      <c r="S1468" s="253"/>
    </row>
    <row r="1469">
      <c r="A1469" s="252"/>
      <c r="S1469" s="253"/>
    </row>
    <row r="1470">
      <c r="A1470" s="252"/>
      <c r="S1470" s="253"/>
    </row>
    <row r="1471">
      <c r="A1471" s="252"/>
      <c r="S1471" s="253"/>
    </row>
    <row r="1472">
      <c r="A1472" s="252"/>
      <c r="S1472" s="253"/>
    </row>
    <row r="1473">
      <c r="A1473" s="252"/>
      <c r="S1473" s="253"/>
    </row>
    <row r="1474">
      <c r="A1474" s="252"/>
      <c r="S1474" s="253"/>
    </row>
    <row r="1475">
      <c r="A1475" s="252"/>
      <c r="S1475" s="253"/>
    </row>
    <row r="1476">
      <c r="A1476" s="252"/>
      <c r="S1476" s="253"/>
    </row>
    <row r="1477">
      <c r="A1477" s="252"/>
      <c r="S1477" s="253"/>
    </row>
    <row r="1478">
      <c r="A1478" s="252"/>
      <c r="S1478" s="253"/>
    </row>
    <row r="1479">
      <c r="A1479" s="252"/>
      <c r="S1479" s="253"/>
    </row>
    <row r="1480">
      <c r="A1480" s="252"/>
      <c r="S1480" s="253"/>
    </row>
    <row r="1481">
      <c r="A1481" s="252"/>
      <c r="S1481" s="253"/>
    </row>
    <row r="1482">
      <c r="A1482" s="252"/>
      <c r="S1482" s="253"/>
    </row>
    <row r="1483">
      <c r="A1483" s="252"/>
      <c r="S1483" s="253"/>
    </row>
    <row r="1484">
      <c r="A1484" s="252"/>
      <c r="S1484" s="253"/>
    </row>
    <row r="1485">
      <c r="A1485" s="252"/>
      <c r="S1485" s="253"/>
    </row>
    <row r="1486">
      <c r="A1486" s="252"/>
      <c r="S1486" s="253"/>
    </row>
    <row r="1487">
      <c r="A1487" s="252"/>
      <c r="S1487" s="253"/>
    </row>
    <row r="1488">
      <c r="A1488" s="252"/>
      <c r="S1488" s="253"/>
    </row>
    <row r="1489">
      <c r="A1489" s="252"/>
      <c r="S1489" s="253"/>
    </row>
    <row r="1490">
      <c r="A1490" s="252"/>
      <c r="S1490" s="253"/>
    </row>
    <row r="1491">
      <c r="A1491" s="252"/>
      <c r="S1491" s="253"/>
    </row>
    <row r="1492">
      <c r="A1492" s="252"/>
      <c r="S1492" s="253"/>
    </row>
    <row r="1493">
      <c r="A1493" s="252"/>
      <c r="S1493" s="253"/>
    </row>
    <row r="1494">
      <c r="A1494" s="252"/>
      <c r="S1494" s="253"/>
    </row>
    <row r="1495">
      <c r="A1495" s="252"/>
      <c r="S1495" s="253"/>
    </row>
    <row r="1496">
      <c r="A1496" s="252"/>
      <c r="S1496" s="253"/>
    </row>
    <row r="1497">
      <c r="A1497" s="252"/>
      <c r="S1497" s="253"/>
    </row>
    <row r="1498">
      <c r="A1498" s="252"/>
      <c r="S1498" s="253"/>
    </row>
    <row r="1499">
      <c r="A1499" s="252"/>
      <c r="S1499" s="253"/>
    </row>
    <row r="1500">
      <c r="A1500" s="252"/>
      <c r="S1500" s="253"/>
    </row>
    <row r="1501">
      <c r="A1501" s="252"/>
      <c r="S1501" s="253"/>
    </row>
    <row r="1502">
      <c r="A1502" s="252"/>
      <c r="S1502" s="253"/>
    </row>
    <row r="1503">
      <c r="A1503" s="252"/>
      <c r="S1503" s="253"/>
    </row>
    <row r="1504">
      <c r="A1504" s="252"/>
      <c r="S1504" s="253"/>
    </row>
    <row r="1505">
      <c r="A1505" s="252"/>
      <c r="S1505" s="253"/>
    </row>
    <row r="1506">
      <c r="A1506" s="252"/>
      <c r="S1506" s="253"/>
    </row>
    <row r="1507">
      <c r="A1507" s="252"/>
      <c r="S1507" s="253"/>
    </row>
    <row r="1508">
      <c r="A1508" s="252"/>
      <c r="S1508" s="253"/>
    </row>
    <row r="1509">
      <c r="A1509" s="252"/>
      <c r="S1509" s="253"/>
    </row>
    <row r="1510">
      <c r="A1510" s="252"/>
      <c r="S1510" s="253"/>
    </row>
    <row r="1511">
      <c r="A1511" s="252"/>
      <c r="S1511" s="253"/>
    </row>
    <row r="1512">
      <c r="A1512" s="252"/>
      <c r="S1512" s="253"/>
    </row>
    <row r="1513">
      <c r="A1513" s="252"/>
      <c r="S1513" s="253"/>
    </row>
    <row r="1514">
      <c r="A1514" s="252"/>
      <c r="S1514" s="253"/>
    </row>
    <row r="1515">
      <c r="A1515" s="252"/>
      <c r="S1515" s="253"/>
    </row>
    <row r="1516">
      <c r="A1516" s="252"/>
      <c r="S1516" s="253"/>
    </row>
    <row r="1517">
      <c r="A1517" s="252"/>
      <c r="S1517" s="253"/>
    </row>
    <row r="1518">
      <c r="A1518" s="252"/>
      <c r="S1518" s="253"/>
    </row>
    <row r="1519">
      <c r="A1519" s="252"/>
      <c r="S1519" s="253"/>
    </row>
    <row r="1520">
      <c r="A1520" s="252"/>
      <c r="S1520" s="253"/>
    </row>
    <row r="1521">
      <c r="A1521" s="252"/>
      <c r="S1521" s="253"/>
    </row>
    <row r="1522">
      <c r="A1522" s="252"/>
      <c r="S1522" s="253"/>
    </row>
    <row r="1523">
      <c r="A1523" s="252"/>
      <c r="S1523" s="253"/>
    </row>
    <row r="1524">
      <c r="A1524" s="252"/>
      <c r="S1524" s="253"/>
    </row>
    <row r="1525">
      <c r="A1525" s="252"/>
      <c r="S1525" s="253"/>
    </row>
    <row r="1526">
      <c r="A1526" s="252"/>
      <c r="S1526" s="253"/>
    </row>
    <row r="1527">
      <c r="A1527" s="252"/>
      <c r="S1527" s="253"/>
    </row>
    <row r="1528">
      <c r="A1528" s="252"/>
      <c r="S1528" s="253"/>
    </row>
    <row r="1529">
      <c r="A1529" s="252"/>
      <c r="S1529" s="253"/>
    </row>
    <row r="1530">
      <c r="A1530" s="252"/>
      <c r="S1530" s="253"/>
    </row>
    <row r="1531">
      <c r="A1531" s="252"/>
      <c r="S1531" s="253"/>
    </row>
    <row r="1532">
      <c r="A1532" s="252"/>
      <c r="S1532" s="253"/>
    </row>
    <row r="1533">
      <c r="A1533" s="252"/>
      <c r="S1533" s="253"/>
    </row>
    <row r="1534">
      <c r="A1534" s="252"/>
      <c r="S1534" s="253"/>
    </row>
    <row r="1535">
      <c r="A1535" s="252"/>
      <c r="S1535" s="253"/>
    </row>
    <row r="1536">
      <c r="A1536" s="252"/>
      <c r="S1536" s="253"/>
    </row>
    <row r="1537">
      <c r="A1537" s="252"/>
      <c r="S1537" s="253"/>
    </row>
    <row r="1538">
      <c r="A1538" s="252"/>
      <c r="S1538" s="253"/>
    </row>
    <row r="1539">
      <c r="A1539" s="252"/>
      <c r="S1539" s="253"/>
    </row>
    <row r="1540">
      <c r="A1540" s="252"/>
      <c r="S1540" s="253"/>
    </row>
    <row r="1541">
      <c r="A1541" s="252"/>
      <c r="S1541" s="253"/>
    </row>
    <row r="1542">
      <c r="A1542" s="252"/>
      <c r="S1542" s="253"/>
    </row>
    <row r="1543">
      <c r="A1543" s="252"/>
      <c r="S1543" s="253"/>
    </row>
    <row r="1544">
      <c r="A1544" s="252"/>
      <c r="S1544" s="253"/>
    </row>
    <row r="1545">
      <c r="A1545" s="252"/>
      <c r="S1545" s="253"/>
    </row>
    <row r="1546">
      <c r="A1546" s="252"/>
      <c r="S1546" s="253"/>
    </row>
    <row r="1547">
      <c r="A1547" s="252"/>
      <c r="S1547" s="253"/>
    </row>
    <row r="1548">
      <c r="A1548" s="252"/>
      <c r="S1548" s="253"/>
    </row>
    <row r="1549">
      <c r="A1549" s="252"/>
      <c r="S1549" s="253"/>
    </row>
    <row r="1550">
      <c r="A1550" s="252"/>
      <c r="S1550" s="253"/>
    </row>
    <row r="1551">
      <c r="A1551" s="252"/>
      <c r="S1551" s="253"/>
    </row>
    <row r="1552">
      <c r="A1552" s="252"/>
      <c r="S1552" s="253"/>
    </row>
    <row r="1553">
      <c r="A1553" s="252"/>
      <c r="S1553" s="253"/>
    </row>
    <row r="1554">
      <c r="A1554" s="252"/>
      <c r="S1554" s="253"/>
    </row>
    <row r="1555">
      <c r="A1555" s="252"/>
      <c r="S1555" s="253"/>
    </row>
    <row r="1556">
      <c r="A1556" s="252"/>
      <c r="S1556" s="253"/>
    </row>
    <row r="1557">
      <c r="A1557" s="252"/>
      <c r="S1557" s="253"/>
    </row>
    <row r="1558">
      <c r="A1558" s="252"/>
      <c r="S1558" s="253"/>
    </row>
    <row r="1559">
      <c r="A1559" s="252"/>
      <c r="S1559" s="253"/>
    </row>
    <row r="1560">
      <c r="A1560" s="252"/>
      <c r="S1560" s="253"/>
    </row>
    <row r="1561">
      <c r="A1561" s="252"/>
      <c r="S1561" s="253"/>
    </row>
    <row r="1562">
      <c r="A1562" s="252"/>
      <c r="S1562" s="253"/>
    </row>
    <row r="1563">
      <c r="A1563" s="252"/>
      <c r="S1563" s="253"/>
    </row>
    <row r="1564">
      <c r="A1564" s="252"/>
      <c r="S1564" s="253"/>
    </row>
    <row r="1565">
      <c r="A1565" s="252"/>
      <c r="S1565" s="253"/>
    </row>
    <row r="1566">
      <c r="A1566" s="252"/>
      <c r="S1566" s="253"/>
    </row>
    <row r="1567">
      <c r="A1567" s="252"/>
      <c r="S1567" s="253"/>
    </row>
    <row r="1568">
      <c r="A1568" s="252"/>
      <c r="S1568" s="253"/>
    </row>
    <row r="1569">
      <c r="A1569" s="252"/>
      <c r="S1569" s="253"/>
    </row>
    <row r="1570">
      <c r="A1570" s="252"/>
      <c r="S1570" s="253"/>
    </row>
    <row r="1571">
      <c r="A1571" s="252"/>
      <c r="S1571" s="253"/>
    </row>
    <row r="1572">
      <c r="A1572" s="252"/>
      <c r="S1572" s="253"/>
    </row>
    <row r="1573">
      <c r="A1573" s="252"/>
      <c r="S1573" s="253"/>
    </row>
    <row r="1574">
      <c r="A1574" s="252"/>
      <c r="S1574" s="253"/>
    </row>
    <row r="1575">
      <c r="A1575" s="252"/>
      <c r="S1575" s="253"/>
    </row>
    <row r="1576">
      <c r="A1576" s="252"/>
      <c r="S1576" s="253"/>
    </row>
    <row r="1577">
      <c r="A1577" s="252"/>
      <c r="S1577" s="253"/>
    </row>
    <row r="1578">
      <c r="A1578" s="252"/>
      <c r="S1578" s="253"/>
    </row>
    <row r="1579">
      <c r="A1579" s="252"/>
      <c r="S1579" s="253"/>
    </row>
    <row r="1580">
      <c r="A1580" s="252"/>
      <c r="S1580" s="253"/>
    </row>
    <row r="1581">
      <c r="A1581" s="252"/>
      <c r="S1581" s="253"/>
    </row>
    <row r="1582">
      <c r="A1582" s="252"/>
      <c r="S1582" s="253"/>
    </row>
    <row r="1583">
      <c r="A1583" s="252"/>
      <c r="S1583" s="253"/>
    </row>
    <row r="1584">
      <c r="A1584" s="252"/>
      <c r="S1584" s="253"/>
    </row>
    <row r="1585">
      <c r="A1585" s="252"/>
      <c r="S1585" s="253"/>
    </row>
    <row r="1586">
      <c r="A1586" s="252"/>
      <c r="S1586" s="253"/>
    </row>
    <row r="1587">
      <c r="A1587" s="252"/>
      <c r="S1587" s="253"/>
    </row>
    <row r="1588">
      <c r="A1588" s="252"/>
      <c r="S1588" s="253"/>
    </row>
    <row r="1589">
      <c r="A1589" s="252"/>
      <c r="S1589" s="253"/>
    </row>
    <row r="1590">
      <c r="A1590" s="252"/>
      <c r="S1590" s="253"/>
    </row>
    <row r="1591">
      <c r="A1591" s="252"/>
      <c r="S1591" s="253"/>
    </row>
    <row r="1592">
      <c r="A1592" s="252"/>
      <c r="S1592" s="253"/>
    </row>
    <row r="1593">
      <c r="A1593" s="252"/>
      <c r="S1593" s="253"/>
    </row>
    <row r="1594">
      <c r="A1594" s="252"/>
      <c r="S1594" s="253"/>
    </row>
    <row r="1595">
      <c r="A1595" s="252"/>
      <c r="S1595" s="253"/>
    </row>
    <row r="1596">
      <c r="A1596" s="252"/>
      <c r="S1596" s="253"/>
    </row>
    <row r="1597">
      <c r="A1597" s="252"/>
      <c r="S1597" s="253"/>
    </row>
    <row r="1598">
      <c r="A1598" s="252"/>
      <c r="S1598" s="253"/>
    </row>
    <row r="1599">
      <c r="A1599" s="252"/>
      <c r="S1599" s="253"/>
    </row>
    <row r="1600">
      <c r="A1600" s="252"/>
      <c r="S1600" s="253"/>
    </row>
    <row r="1601">
      <c r="A1601" s="252"/>
      <c r="S1601" s="253"/>
    </row>
    <row r="1602">
      <c r="A1602" s="252"/>
      <c r="S1602" s="253"/>
    </row>
    <row r="1603">
      <c r="A1603" s="252"/>
      <c r="S1603" s="253"/>
    </row>
    <row r="1604">
      <c r="A1604" s="252"/>
      <c r="S1604" s="253"/>
    </row>
    <row r="1605">
      <c r="A1605" s="252"/>
      <c r="S1605" s="253"/>
    </row>
    <row r="1606">
      <c r="A1606" s="252"/>
      <c r="S1606" s="253"/>
    </row>
    <row r="1607">
      <c r="A1607" s="252"/>
      <c r="S1607" s="253"/>
    </row>
    <row r="1608">
      <c r="A1608" s="252"/>
      <c r="S1608" s="253"/>
    </row>
    <row r="1609">
      <c r="A1609" s="252"/>
      <c r="S1609" s="253"/>
    </row>
    <row r="1610">
      <c r="A1610" s="252"/>
      <c r="S1610" s="253"/>
    </row>
    <row r="1611">
      <c r="A1611" s="252"/>
      <c r="S1611" s="253"/>
    </row>
    <row r="1612">
      <c r="A1612" s="252"/>
      <c r="S1612" s="253"/>
    </row>
    <row r="1613">
      <c r="A1613" s="252"/>
      <c r="S1613" s="253"/>
    </row>
    <row r="1614">
      <c r="A1614" s="252"/>
      <c r="S1614" s="253"/>
    </row>
    <row r="1615">
      <c r="A1615" s="252"/>
      <c r="S1615" s="253"/>
    </row>
    <row r="1616">
      <c r="A1616" s="252"/>
      <c r="S1616" s="253"/>
    </row>
    <row r="1617">
      <c r="A1617" s="252"/>
      <c r="S1617" s="253"/>
    </row>
    <row r="1618">
      <c r="A1618" s="252"/>
      <c r="S1618" s="253"/>
    </row>
    <row r="1619">
      <c r="A1619" s="252"/>
      <c r="S1619" s="253"/>
    </row>
    <row r="1620">
      <c r="A1620" s="252"/>
      <c r="S1620" s="253"/>
    </row>
    <row r="1621">
      <c r="A1621" s="252"/>
      <c r="S1621" s="253"/>
    </row>
    <row r="1622">
      <c r="A1622" s="252"/>
      <c r="S1622" s="253"/>
    </row>
    <row r="1623">
      <c r="A1623" s="252"/>
      <c r="S1623" s="253"/>
    </row>
    <row r="1624">
      <c r="A1624" s="252"/>
      <c r="S1624" s="253"/>
    </row>
    <row r="1625">
      <c r="A1625" s="252"/>
      <c r="S1625" s="253"/>
    </row>
    <row r="1626">
      <c r="A1626" s="252"/>
      <c r="S1626" s="253"/>
    </row>
    <row r="1627">
      <c r="A1627" s="252"/>
      <c r="S1627" s="253"/>
    </row>
    <row r="1628">
      <c r="A1628" s="252"/>
      <c r="S1628" s="253"/>
    </row>
    <row r="1629">
      <c r="A1629" s="252"/>
      <c r="S1629" s="253"/>
    </row>
    <row r="1630">
      <c r="A1630" s="252"/>
      <c r="S1630" s="253"/>
    </row>
    <row r="1631">
      <c r="A1631" s="252"/>
      <c r="S1631" s="253"/>
    </row>
    <row r="1632">
      <c r="A1632" s="252"/>
      <c r="S1632" s="253"/>
    </row>
    <row r="1633">
      <c r="A1633" s="252"/>
      <c r="S1633" s="253"/>
    </row>
    <row r="1634">
      <c r="A1634" s="252"/>
      <c r="S1634" s="253"/>
    </row>
    <row r="1635">
      <c r="A1635" s="252"/>
      <c r="S1635" s="253"/>
    </row>
    <row r="1636">
      <c r="A1636" s="252"/>
      <c r="S1636" s="253"/>
    </row>
    <row r="1637">
      <c r="A1637" s="252"/>
      <c r="S1637" s="253"/>
    </row>
    <row r="1638">
      <c r="A1638" s="252"/>
      <c r="S1638" s="253"/>
    </row>
    <row r="1639">
      <c r="A1639" s="252"/>
      <c r="S1639" s="253"/>
    </row>
    <row r="1640">
      <c r="A1640" s="252"/>
      <c r="S1640" s="253"/>
    </row>
    <row r="1641">
      <c r="A1641" s="252"/>
      <c r="S1641" s="253"/>
    </row>
    <row r="1642">
      <c r="A1642" s="252"/>
      <c r="S1642" s="253"/>
    </row>
    <row r="1643">
      <c r="A1643" s="252"/>
      <c r="S1643" s="253"/>
    </row>
    <row r="1644">
      <c r="A1644" s="252"/>
      <c r="S1644" s="253"/>
    </row>
    <row r="1645">
      <c r="A1645" s="252"/>
      <c r="S1645" s="253"/>
    </row>
    <row r="1646">
      <c r="A1646" s="252"/>
      <c r="S1646" s="253"/>
    </row>
    <row r="1647">
      <c r="A1647" s="252"/>
      <c r="S1647" s="253"/>
    </row>
    <row r="1648">
      <c r="A1648" s="252"/>
      <c r="S1648" s="253"/>
    </row>
    <row r="1649">
      <c r="A1649" s="252"/>
      <c r="S1649" s="253"/>
    </row>
    <row r="1650">
      <c r="A1650" s="252"/>
      <c r="S1650" s="253"/>
    </row>
    <row r="1651">
      <c r="A1651" s="252"/>
      <c r="S1651" s="253"/>
    </row>
    <row r="1652">
      <c r="A1652" s="252"/>
      <c r="S1652" s="253"/>
    </row>
    <row r="1653">
      <c r="A1653" s="252"/>
      <c r="S1653" s="253"/>
    </row>
    <row r="1654">
      <c r="A1654" s="252"/>
      <c r="S1654" s="253"/>
    </row>
    <row r="1655">
      <c r="A1655" s="252"/>
      <c r="S1655" s="253"/>
    </row>
    <row r="1656">
      <c r="A1656" s="252"/>
      <c r="S1656" s="253"/>
    </row>
    <row r="1657">
      <c r="A1657" s="252"/>
      <c r="S1657" s="253"/>
    </row>
    <row r="1658">
      <c r="A1658" s="252"/>
      <c r="S1658" s="253"/>
    </row>
    <row r="1659">
      <c r="A1659" s="252"/>
      <c r="S1659" s="253"/>
    </row>
    <row r="1660">
      <c r="A1660" s="252"/>
      <c r="S1660" s="253"/>
    </row>
    <row r="1661">
      <c r="A1661" s="252"/>
      <c r="S1661" s="253"/>
    </row>
    <row r="1662">
      <c r="A1662" s="252"/>
      <c r="S1662" s="253"/>
    </row>
    <row r="1663">
      <c r="A1663" s="252"/>
      <c r="S1663" s="253"/>
    </row>
    <row r="1664">
      <c r="A1664" s="252"/>
      <c r="S1664" s="253"/>
    </row>
    <row r="1665">
      <c r="A1665" s="252"/>
      <c r="S1665" s="253"/>
    </row>
    <row r="1666">
      <c r="A1666" s="252"/>
      <c r="S1666" s="253"/>
    </row>
    <row r="1667">
      <c r="A1667" s="252"/>
      <c r="S1667" s="253"/>
    </row>
    <row r="1668">
      <c r="A1668" s="252"/>
      <c r="S1668" s="253"/>
    </row>
    <row r="1669">
      <c r="A1669" s="252"/>
      <c r="S1669" s="253"/>
    </row>
    <row r="1670">
      <c r="A1670" s="252"/>
      <c r="S1670" s="253"/>
    </row>
    <row r="1671">
      <c r="A1671" s="252"/>
      <c r="S1671" s="253"/>
    </row>
    <row r="1672">
      <c r="A1672" s="252"/>
      <c r="S1672" s="253"/>
    </row>
    <row r="1673">
      <c r="A1673" s="252"/>
      <c r="S1673" s="253"/>
    </row>
    <row r="1674">
      <c r="A1674" s="252"/>
      <c r="S1674" s="253"/>
    </row>
    <row r="1675">
      <c r="A1675" s="252"/>
      <c r="S1675" s="253"/>
    </row>
    <row r="1676">
      <c r="A1676" s="252"/>
      <c r="S1676" s="253"/>
    </row>
    <row r="1677">
      <c r="A1677" s="252"/>
      <c r="S1677" s="253"/>
    </row>
    <row r="1678">
      <c r="A1678" s="252"/>
      <c r="S1678" s="253"/>
    </row>
    <row r="1679">
      <c r="A1679" s="252"/>
      <c r="S1679" s="253"/>
    </row>
    <row r="1680">
      <c r="A1680" s="252"/>
      <c r="S1680" s="253"/>
    </row>
    <row r="1681">
      <c r="A1681" s="252"/>
      <c r="S1681" s="253"/>
    </row>
    <row r="1682">
      <c r="A1682" s="252"/>
      <c r="S1682" s="253"/>
    </row>
    <row r="1683">
      <c r="A1683" s="252"/>
      <c r="S1683" s="253"/>
    </row>
    <row r="1684">
      <c r="A1684" s="252"/>
      <c r="S1684" s="253"/>
    </row>
    <row r="1685">
      <c r="A1685" s="252"/>
      <c r="S1685" s="253"/>
    </row>
    <row r="1686">
      <c r="A1686" s="252"/>
      <c r="S1686" s="253"/>
    </row>
    <row r="1687">
      <c r="A1687" s="252"/>
      <c r="S1687" s="253"/>
    </row>
    <row r="1688">
      <c r="A1688" s="252"/>
      <c r="S1688" s="253"/>
    </row>
    <row r="1689">
      <c r="A1689" s="252"/>
      <c r="S1689" s="253"/>
    </row>
    <row r="1690">
      <c r="A1690" s="252"/>
      <c r="S1690" s="253"/>
    </row>
    <row r="1691">
      <c r="A1691" s="252"/>
      <c r="S1691" s="253"/>
    </row>
    <row r="1692">
      <c r="A1692" s="252"/>
      <c r="S1692" s="253"/>
    </row>
    <row r="1693">
      <c r="A1693" s="252"/>
      <c r="S1693" s="253"/>
    </row>
    <row r="1694">
      <c r="A1694" s="252"/>
      <c r="S1694" s="253"/>
    </row>
    <row r="1695">
      <c r="A1695" s="252"/>
      <c r="S1695" s="253"/>
    </row>
    <row r="1696">
      <c r="A1696" s="252"/>
      <c r="S1696" s="253"/>
    </row>
    <row r="1697">
      <c r="A1697" s="252"/>
      <c r="S1697" s="253"/>
    </row>
    <row r="1698">
      <c r="A1698" s="252"/>
      <c r="S1698" s="253"/>
    </row>
    <row r="1699">
      <c r="A1699" s="252"/>
      <c r="S1699" s="253"/>
    </row>
    <row r="1700">
      <c r="A1700" s="252"/>
      <c r="S1700" s="253"/>
    </row>
    <row r="1701">
      <c r="A1701" s="252"/>
      <c r="S1701" s="253"/>
    </row>
    <row r="1702">
      <c r="A1702" s="252"/>
      <c r="S1702" s="253"/>
    </row>
    <row r="1703">
      <c r="A1703" s="252"/>
      <c r="S1703" s="253"/>
    </row>
    <row r="1704">
      <c r="A1704" s="252"/>
      <c r="S1704" s="253"/>
    </row>
    <row r="1705">
      <c r="A1705" s="252"/>
      <c r="S1705" s="253"/>
    </row>
    <row r="1706">
      <c r="A1706" s="252"/>
      <c r="S1706" s="253"/>
    </row>
    <row r="1707">
      <c r="A1707" s="252"/>
      <c r="S1707" s="253"/>
    </row>
    <row r="1708">
      <c r="A1708" s="252"/>
      <c r="S1708" s="253"/>
    </row>
    <row r="1709">
      <c r="A1709" s="252"/>
      <c r="S1709" s="253"/>
    </row>
    <row r="1710">
      <c r="A1710" s="252"/>
      <c r="S1710" s="253"/>
    </row>
    <row r="1711">
      <c r="A1711" s="252"/>
      <c r="S1711" s="253"/>
    </row>
    <row r="1712">
      <c r="A1712" s="252"/>
      <c r="S1712" s="253"/>
    </row>
    <row r="1713">
      <c r="A1713" s="252"/>
      <c r="S1713" s="253"/>
    </row>
    <row r="1714">
      <c r="A1714" s="252"/>
      <c r="S1714" s="253"/>
    </row>
    <row r="1715">
      <c r="A1715" s="252"/>
      <c r="S1715" s="253"/>
    </row>
    <row r="1716">
      <c r="A1716" s="252"/>
      <c r="S1716" s="253"/>
    </row>
    <row r="1717">
      <c r="A1717" s="252"/>
      <c r="S1717" s="253"/>
    </row>
    <row r="1718">
      <c r="A1718" s="252"/>
      <c r="S1718" s="253"/>
    </row>
    <row r="1719">
      <c r="A1719" s="252"/>
      <c r="S1719" s="253"/>
    </row>
    <row r="1720">
      <c r="A1720" s="252"/>
      <c r="S1720" s="253"/>
    </row>
    <row r="1721">
      <c r="A1721" s="252"/>
      <c r="S1721" s="253"/>
    </row>
    <row r="1722">
      <c r="A1722" s="252"/>
      <c r="S1722" s="253"/>
    </row>
    <row r="1723">
      <c r="A1723" s="252"/>
      <c r="S1723" s="253"/>
    </row>
    <row r="1724">
      <c r="A1724" s="252"/>
      <c r="S1724" s="253"/>
    </row>
    <row r="1725">
      <c r="A1725" s="252"/>
      <c r="S1725" s="253"/>
    </row>
    <row r="1726">
      <c r="A1726" s="252"/>
      <c r="S1726" s="253"/>
    </row>
    <row r="1727">
      <c r="A1727" s="252"/>
      <c r="S1727" s="253"/>
    </row>
    <row r="1728">
      <c r="A1728" s="252"/>
      <c r="S1728" s="253"/>
    </row>
    <row r="1729">
      <c r="A1729" s="252"/>
      <c r="S1729" s="253"/>
    </row>
    <row r="1730">
      <c r="A1730" s="252"/>
      <c r="S1730" s="253"/>
    </row>
    <row r="1731">
      <c r="A1731" s="252"/>
      <c r="S1731" s="253"/>
    </row>
    <row r="1732">
      <c r="A1732" s="252"/>
      <c r="S1732" s="253"/>
    </row>
    <row r="1733">
      <c r="A1733" s="252"/>
      <c r="S1733" s="253"/>
    </row>
    <row r="1734">
      <c r="A1734" s="252"/>
      <c r="S1734" s="253"/>
    </row>
    <row r="1735">
      <c r="A1735" s="252"/>
      <c r="S1735" s="253"/>
    </row>
    <row r="1736">
      <c r="A1736" s="252"/>
      <c r="S1736" s="253"/>
    </row>
    <row r="1737">
      <c r="A1737" s="252"/>
      <c r="S1737" s="253"/>
    </row>
    <row r="1738">
      <c r="A1738" s="252"/>
      <c r="S1738" s="253"/>
    </row>
    <row r="1739">
      <c r="A1739" s="252"/>
      <c r="S1739" s="253"/>
    </row>
    <row r="1740">
      <c r="A1740" s="252"/>
      <c r="S1740" s="253"/>
    </row>
    <row r="1741">
      <c r="A1741" s="252"/>
      <c r="S1741" s="253"/>
    </row>
    <row r="1742">
      <c r="A1742" s="252"/>
      <c r="S1742" s="253"/>
    </row>
    <row r="1743">
      <c r="A1743" s="252"/>
      <c r="S1743" s="253"/>
    </row>
    <row r="1744">
      <c r="A1744" s="252"/>
      <c r="S1744" s="253"/>
    </row>
    <row r="1745">
      <c r="A1745" s="252"/>
      <c r="S1745" s="253"/>
    </row>
    <row r="1746">
      <c r="A1746" s="252"/>
      <c r="S1746" s="253"/>
    </row>
    <row r="1747">
      <c r="A1747" s="252"/>
      <c r="S1747" s="253"/>
    </row>
    <row r="1748">
      <c r="A1748" s="252"/>
      <c r="S1748" s="253"/>
    </row>
    <row r="1749">
      <c r="A1749" s="252"/>
      <c r="S1749" s="253"/>
    </row>
    <row r="1750">
      <c r="A1750" s="252"/>
      <c r="S1750" s="253"/>
    </row>
    <row r="1751">
      <c r="A1751" s="252"/>
      <c r="S1751" s="253"/>
    </row>
    <row r="1752">
      <c r="A1752" s="252"/>
      <c r="S1752" s="253"/>
    </row>
    <row r="1753">
      <c r="A1753" s="252"/>
      <c r="S1753" s="253"/>
    </row>
    <row r="1754">
      <c r="A1754" s="252"/>
      <c r="S1754" s="253"/>
    </row>
    <row r="1755">
      <c r="A1755" s="252"/>
      <c r="S1755" s="253"/>
    </row>
    <row r="1756">
      <c r="A1756" s="252"/>
      <c r="S1756" s="253"/>
    </row>
    <row r="1757">
      <c r="A1757" s="252"/>
      <c r="S1757" s="253"/>
    </row>
    <row r="1758">
      <c r="A1758" s="252"/>
      <c r="S1758" s="253"/>
    </row>
    <row r="1759">
      <c r="A1759" s="252"/>
      <c r="S1759" s="253"/>
    </row>
    <row r="1760">
      <c r="A1760" s="252"/>
      <c r="S1760" s="253"/>
    </row>
    <row r="1761">
      <c r="A1761" s="252"/>
      <c r="S1761" s="253"/>
    </row>
    <row r="1762">
      <c r="A1762" s="252"/>
      <c r="S1762" s="253"/>
    </row>
    <row r="1763">
      <c r="A1763" s="252"/>
      <c r="S1763" s="253"/>
    </row>
    <row r="1764">
      <c r="A1764" s="252"/>
      <c r="S1764" s="253"/>
    </row>
    <row r="1765">
      <c r="A1765" s="252"/>
      <c r="S1765" s="253"/>
    </row>
    <row r="1766">
      <c r="A1766" s="252"/>
      <c r="S1766" s="253"/>
    </row>
    <row r="1767">
      <c r="A1767" s="252"/>
      <c r="S1767" s="253"/>
    </row>
    <row r="1768">
      <c r="A1768" s="252"/>
      <c r="S1768" s="253"/>
    </row>
    <row r="1769">
      <c r="A1769" s="252"/>
      <c r="S1769" s="253"/>
    </row>
    <row r="1770">
      <c r="A1770" s="252"/>
      <c r="S1770" s="253"/>
    </row>
    <row r="1771">
      <c r="A1771" s="252"/>
      <c r="S1771" s="253"/>
    </row>
    <row r="1772">
      <c r="A1772" s="252"/>
      <c r="S1772" s="253"/>
    </row>
    <row r="1773">
      <c r="A1773" s="252"/>
      <c r="S1773" s="253"/>
    </row>
    <row r="1774">
      <c r="A1774" s="252"/>
      <c r="S1774" s="253"/>
    </row>
    <row r="1775">
      <c r="A1775" s="252"/>
      <c r="S1775" s="253"/>
    </row>
    <row r="1776">
      <c r="A1776" s="252"/>
      <c r="S1776" s="253"/>
    </row>
    <row r="1777">
      <c r="A1777" s="252"/>
      <c r="S1777" s="253"/>
    </row>
    <row r="1778">
      <c r="A1778" s="252"/>
      <c r="S1778" s="253"/>
    </row>
    <row r="1779">
      <c r="A1779" s="252"/>
      <c r="S1779" s="253"/>
    </row>
    <row r="1780">
      <c r="A1780" s="252"/>
      <c r="S1780" s="253"/>
    </row>
    <row r="1781">
      <c r="A1781" s="252"/>
      <c r="S1781" s="253"/>
    </row>
    <row r="1782">
      <c r="A1782" s="252"/>
      <c r="S1782" s="253"/>
    </row>
    <row r="1783">
      <c r="A1783" s="252"/>
      <c r="S1783" s="253"/>
    </row>
    <row r="1784">
      <c r="A1784" s="252"/>
      <c r="S1784" s="253"/>
    </row>
    <row r="1785">
      <c r="A1785" s="252"/>
      <c r="S1785" s="253"/>
    </row>
    <row r="1786">
      <c r="A1786" s="252"/>
      <c r="S1786" s="253"/>
    </row>
    <row r="1787">
      <c r="A1787" s="252"/>
      <c r="S1787" s="253"/>
    </row>
    <row r="1788">
      <c r="A1788" s="252"/>
      <c r="S1788" s="253"/>
    </row>
    <row r="1789">
      <c r="A1789" s="252"/>
      <c r="S1789" s="253"/>
    </row>
    <row r="1790">
      <c r="A1790" s="252"/>
      <c r="S1790" s="253"/>
    </row>
    <row r="1791">
      <c r="A1791" s="252"/>
      <c r="S1791" s="253"/>
    </row>
    <row r="1792">
      <c r="A1792" s="252"/>
      <c r="S1792" s="253"/>
    </row>
    <row r="1793">
      <c r="A1793" s="252"/>
      <c r="S1793" s="253"/>
    </row>
    <row r="1794">
      <c r="A1794" s="252"/>
      <c r="S1794" s="253"/>
    </row>
    <row r="1795">
      <c r="A1795" s="252"/>
      <c r="S1795" s="253"/>
    </row>
    <row r="1796">
      <c r="A1796" s="252"/>
      <c r="S1796" s="253"/>
    </row>
    <row r="1797">
      <c r="A1797" s="252"/>
      <c r="S1797" s="253"/>
    </row>
    <row r="1798">
      <c r="A1798" s="252"/>
      <c r="S1798" s="253"/>
    </row>
    <row r="1799">
      <c r="A1799" s="252"/>
      <c r="S1799" s="253"/>
    </row>
    <row r="1800">
      <c r="A1800" s="252"/>
      <c r="S1800" s="253"/>
    </row>
    <row r="1801">
      <c r="A1801" s="252"/>
      <c r="S1801" s="253"/>
    </row>
    <row r="1802">
      <c r="A1802" s="252"/>
      <c r="S1802" s="253"/>
    </row>
    <row r="1803">
      <c r="A1803" s="252"/>
      <c r="S1803" s="253"/>
    </row>
    <row r="1804">
      <c r="A1804" s="252"/>
      <c r="S1804" s="253"/>
    </row>
    <row r="1805">
      <c r="A1805" s="252"/>
      <c r="S1805" s="253"/>
    </row>
    <row r="1806">
      <c r="A1806" s="252"/>
      <c r="S1806" s="253"/>
    </row>
    <row r="1807">
      <c r="A1807" s="252"/>
      <c r="S1807" s="253"/>
    </row>
    <row r="1808">
      <c r="A1808" s="252"/>
      <c r="S1808" s="253"/>
    </row>
    <row r="1809">
      <c r="A1809" s="252"/>
      <c r="S1809" s="253"/>
    </row>
    <row r="1810">
      <c r="A1810" s="252"/>
      <c r="S1810" s="253"/>
    </row>
    <row r="1811">
      <c r="A1811" s="252"/>
      <c r="S1811" s="253"/>
    </row>
    <row r="1812">
      <c r="A1812" s="252"/>
      <c r="S1812" s="253"/>
    </row>
    <row r="1813">
      <c r="A1813" s="252"/>
      <c r="S1813" s="253"/>
    </row>
    <row r="1814">
      <c r="A1814" s="252"/>
      <c r="S1814" s="253"/>
    </row>
    <row r="1815">
      <c r="A1815" s="252"/>
      <c r="S1815" s="253"/>
    </row>
    <row r="1816">
      <c r="A1816" s="252"/>
      <c r="S1816" s="253"/>
    </row>
    <row r="1817">
      <c r="A1817" s="252"/>
      <c r="S1817" s="253"/>
    </row>
    <row r="1818">
      <c r="A1818" s="252"/>
      <c r="S1818" s="253"/>
    </row>
    <row r="1819">
      <c r="A1819" s="252"/>
      <c r="S1819" s="253"/>
    </row>
    <row r="1820">
      <c r="A1820" s="252"/>
      <c r="S1820" s="253"/>
    </row>
    <row r="1821">
      <c r="A1821" s="252"/>
      <c r="S1821" s="253"/>
    </row>
    <row r="1822">
      <c r="A1822" s="252"/>
      <c r="S1822" s="253"/>
    </row>
    <row r="1823">
      <c r="A1823" s="252"/>
      <c r="S1823" s="253"/>
    </row>
    <row r="1824">
      <c r="A1824" s="252"/>
      <c r="S1824" s="253"/>
    </row>
    <row r="1825">
      <c r="A1825" s="252"/>
      <c r="S1825" s="253"/>
    </row>
    <row r="1826">
      <c r="A1826" s="252"/>
      <c r="S1826" s="253"/>
    </row>
    <row r="1827">
      <c r="A1827" s="252"/>
      <c r="S1827" s="253"/>
    </row>
    <row r="1828">
      <c r="A1828" s="252"/>
      <c r="S1828" s="253"/>
    </row>
    <row r="1829">
      <c r="A1829" s="252"/>
      <c r="S1829" s="253"/>
    </row>
    <row r="1830">
      <c r="A1830" s="252"/>
      <c r="S1830" s="253"/>
    </row>
    <row r="1831">
      <c r="A1831" s="252"/>
      <c r="S1831" s="253"/>
    </row>
    <row r="1832">
      <c r="A1832" s="252"/>
      <c r="S1832" s="253"/>
    </row>
    <row r="1833">
      <c r="A1833" s="252"/>
      <c r="S1833" s="253"/>
    </row>
    <row r="1834">
      <c r="A1834" s="252"/>
      <c r="S1834" s="253"/>
    </row>
    <row r="1835">
      <c r="A1835" s="252"/>
      <c r="S1835" s="253"/>
    </row>
    <row r="1836">
      <c r="A1836" s="252"/>
      <c r="S1836" s="253"/>
    </row>
    <row r="1837">
      <c r="A1837" s="252"/>
      <c r="S1837" s="253"/>
    </row>
    <row r="1838">
      <c r="A1838" s="252"/>
      <c r="S1838" s="253"/>
    </row>
    <row r="1839">
      <c r="A1839" s="252"/>
      <c r="S1839" s="253"/>
    </row>
    <row r="1840">
      <c r="A1840" s="252"/>
      <c r="S1840" s="253"/>
    </row>
    <row r="1841">
      <c r="A1841" s="252"/>
      <c r="S1841" s="253"/>
    </row>
    <row r="1842">
      <c r="A1842" s="252"/>
      <c r="S1842" s="253"/>
    </row>
    <row r="1843">
      <c r="A1843" s="252"/>
      <c r="S1843" s="253"/>
    </row>
    <row r="1844">
      <c r="A1844" s="252"/>
      <c r="S1844" s="253"/>
    </row>
    <row r="1845">
      <c r="A1845" s="252"/>
      <c r="S1845" s="253"/>
    </row>
    <row r="1846">
      <c r="A1846" s="252"/>
      <c r="S1846" s="253"/>
    </row>
    <row r="1847">
      <c r="A1847" s="252"/>
      <c r="S1847" s="253"/>
    </row>
    <row r="1848">
      <c r="A1848" s="252"/>
      <c r="S1848" s="253"/>
    </row>
    <row r="1849">
      <c r="A1849" s="252"/>
      <c r="S1849" s="253"/>
    </row>
    <row r="1850">
      <c r="A1850" s="252"/>
      <c r="S1850" s="253"/>
    </row>
    <row r="1851">
      <c r="A1851" s="252"/>
      <c r="S1851" s="253"/>
    </row>
    <row r="1852">
      <c r="A1852" s="252"/>
      <c r="S1852" s="253"/>
    </row>
    <row r="1853">
      <c r="A1853" s="252"/>
      <c r="S1853" s="253"/>
    </row>
    <row r="1854">
      <c r="A1854" s="252"/>
      <c r="S1854" s="253"/>
    </row>
    <row r="1855">
      <c r="A1855" s="252"/>
      <c r="S1855" s="253"/>
    </row>
    <row r="1856">
      <c r="A1856" s="252"/>
      <c r="S1856" s="253"/>
    </row>
    <row r="1857">
      <c r="A1857" s="252"/>
      <c r="S1857" s="253"/>
    </row>
    <row r="1858">
      <c r="A1858" s="252"/>
      <c r="S1858" s="253"/>
    </row>
    <row r="1859">
      <c r="A1859" s="252"/>
      <c r="S1859" s="253"/>
    </row>
    <row r="1860">
      <c r="A1860" s="252"/>
      <c r="S1860" s="253"/>
    </row>
    <row r="1861">
      <c r="A1861" s="252"/>
      <c r="S1861" s="253"/>
    </row>
    <row r="1862">
      <c r="A1862" s="252"/>
      <c r="S1862" s="253"/>
    </row>
    <row r="1863">
      <c r="A1863" s="252"/>
      <c r="S1863" s="253"/>
    </row>
    <row r="1864">
      <c r="A1864" s="252"/>
      <c r="S1864" s="253"/>
    </row>
    <row r="1865">
      <c r="A1865" s="252"/>
      <c r="S1865" s="253"/>
    </row>
    <row r="1866">
      <c r="A1866" s="252"/>
      <c r="S1866" s="253"/>
    </row>
    <row r="1867">
      <c r="A1867" s="252"/>
      <c r="S1867" s="253"/>
    </row>
    <row r="1868">
      <c r="A1868" s="252"/>
      <c r="S1868" s="253"/>
    </row>
    <row r="1869">
      <c r="A1869" s="252"/>
      <c r="S1869" s="253"/>
    </row>
    <row r="1870">
      <c r="A1870" s="252"/>
      <c r="S1870" s="253"/>
    </row>
    <row r="1871">
      <c r="A1871" s="252"/>
      <c r="S1871" s="253"/>
    </row>
    <row r="1872">
      <c r="A1872" s="252"/>
      <c r="S1872" s="253"/>
    </row>
    <row r="1873">
      <c r="A1873" s="252"/>
      <c r="S1873" s="253"/>
    </row>
    <row r="1874">
      <c r="A1874" s="252"/>
      <c r="S1874" s="253"/>
    </row>
    <row r="1875">
      <c r="A1875" s="252"/>
      <c r="S1875" s="253"/>
    </row>
    <row r="1876">
      <c r="A1876" s="252"/>
      <c r="S1876" s="253"/>
    </row>
    <row r="1877">
      <c r="A1877" s="252"/>
      <c r="S1877" s="253"/>
    </row>
    <row r="1878">
      <c r="A1878" s="252"/>
      <c r="S1878" s="253"/>
    </row>
    <row r="1879">
      <c r="A1879" s="252"/>
      <c r="S1879" s="253"/>
    </row>
    <row r="1880">
      <c r="A1880" s="252"/>
      <c r="S1880" s="253"/>
    </row>
    <row r="1881">
      <c r="A1881" s="252"/>
      <c r="S1881" s="253"/>
    </row>
    <row r="1882">
      <c r="A1882" s="252"/>
      <c r="S1882" s="253"/>
    </row>
    <row r="1883">
      <c r="A1883" s="252"/>
      <c r="S1883" s="253"/>
    </row>
    <row r="1884">
      <c r="A1884" s="252"/>
      <c r="S1884" s="253"/>
    </row>
    <row r="1885">
      <c r="A1885" s="252"/>
      <c r="S1885" s="253"/>
    </row>
    <row r="1886">
      <c r="A1886" s="252"/>
      <c r="S1886" s="253"/>
    </row>
    <row r="1887">
      <c r="A1887" s="252"/>
      <c r="S1887" s="253"/>
    </row>
    <row r="1888">
      <c r="A1888" s="252"/>
      <c r="S1888" s="253"/>
    </row>
    <row r="1889">
      <c r="A1889" s="252"/>
      <c r="S1889" s="253"/>
    </row>
    <row r="1890">
      <c r="A1890" s="252"/>
      <c r="S1890" s="253"/>
    </row>
    <row r="1891">
      <c r="A1891" s="252"/>
      <c r="S1891" s="253"/>
    </row>
    <row r="1892">
      <c r="A1892" s="252"/>
      <c r="S1892" s="253"/>
    </row>
    <row r="1893">
      <c r="A1893" s="252"/>
      <c r="S1893" s="253"/>
    </row>
    <row r="1894">
      <c r="A1894" s="252"/>
      <c r="S1894" s="253"/>
    </row>
    <row r="1895">
      <c r="A1895" s="252"/>
      <c r="S1895" s="253"/>
    </row>
    <row r="1896">
      <c r="A1896" s="252"/>
      <c r="S1896" s="253"/>
    </row>
    <row r="1897">
      <c r="A1897" s="252"/>
      <c r="S1897" s="253"/>
    </row>
    <row r="1898">
      <c r="A1898" s="252"/>
      <c r="S1898" s="253"/>
    </row>
    <row r="1899">
      <c r="A1899" s="252"/>
      <c r="S1899" s="253"/>
    </row>
    <row r="1900">
      <c r="A1900" s="252"/>
      <c r="S1900" s="253"/>
    </row>
    <row r="1901">
      <c r="A1901" s="252"/>
      <c r="S1901" s="253"/>
    </row>
    <row r="1902">
      <c r="A1902" s="252"/>
      <c r="S1902" s="253"/>
    </row>
    <row r="1903">
      <c r="A1903" s="252"/>
      <c r="S1903" s="253"/>
    </row>
    <row r="1904">
      <c r="A1904" s="252"/>
      <c r="S1904" s="253"/>
    </row>
    <row r="1905">
      <c r="A1905" s="252"/>
      <c r="S1905" s="253"/>
    </row>
    <row r="1906">
      <c r="A1906" s="252"/>
      <c r="S1906" s="253"/>
    </row>
    <row r="1907">
      <c r="A1907" s="252"/>
      <c r="S1907" s="253"/>
    </row>
    <row r="1908">
      <c r="A1908" s="252"/>
      <c r="S1908" s="253"/>
    </row>
    <row r="1909">
      <c r="A1909" s="252"/>
      <c r="S1909" s="253"/>
    </row>
    <row r="1910">
      <c r="A1910" s="252"/>
      <c r="S1910" s="253"/>
    </row>
    <row r="1911">
      <c r="A1911" s="252"/>
      <c r="S1911" s="253"/>
    </row>
    <row r="1912">
      <c r="A1912" s="252"/>
      <c r="S1912" s="253"/>
    </row>
    <row r="1913">
      <c r="A1913" s="252"/>
      <c r="S1913" s="253"/>
    </row>
    <row r="1914">
      <c r="A1914" s="252"/>
      <c r="S1914" s="253"/>
    </row>
    <row r="1915">
      <c r="A1915" s="252"/>
      <c r="S1915" s="253"/>
    </row>
    <row r="1916">
      <c r="A1916" s="252"/>
      <c r="S1916" s="253"/>
    </row>
    <row r="1917">
      <c r="A1917" s="252"/>
      <c r="S1917" s="253"/>
    </row>
    <row r="1918">
      <c r="A1918" s="252"/>
      <c r="S1918" s="253"/>
    </row>
    <row r="1919">
      <c r="A1919" s="252"/>
      <c r="S1919" s="253"/>
    </row>
    <row r="1920">
      <c r="A1920" s="252"/>
      <c r="S1920" s="253"/>
    </row>
    <row r="1921">
      <c r="A1921" s="252"/>
      <c r="S1921" s="253"/>
    </row>
    <row r="1922">
      <c r="A1922" s="252"/>
      <c r="S1922" s="253"/>
    </row>
    <row r="1923">
      <c r="A1923" s="252"/>
      <c r="S1923" s="253"/>
    </row>
    <row r="1924">
      <c r="A1924" s="252"/>
      <c r="S1924" s="253"/>
    </row>
    <row r="1925">
      <c r="A1925" s="252"/>
      <c r="S1925" s="253"/>
    </row>
    <row r="1926">
      <c r="A1926" s="252"/>
      <c r="S1926" s="253"/>
    </row>
    <row r="1927">
      <c r="A1927" s="252"/>
      <c r="S1927" s="253"/>
    </row>
    <row r="1928">
      <c r="A1928" s="252"/>
      <c r="S1928" s="253"/>
    </row>
    <row r="1929">
      <c r="A1929" s="252"/>
      <c r="S1929" s="253"/>
    </row>
    <row r="1930">
      <c r="A1930" s="252"/>
      <c r="S1930" s="253"/>
    </row>
    <row r="1931">
      <c r="A1931" s="252"/>
      <c r="S1931" s="253"/>
    </row>
    <row r="1932">
      <c r="A1932" s="252"/>
      <c r="S1932" s="253"/>
    </row>
    <row r="1933">
      <c r="A1933" s="252"/>
      <c r="S1933" s="253"/>
    </row>
    <row r="1934">
      <c r="A1934" s="252"/>
      <c r="S1934" s="253"/>
    </row>
    <row r="1935">
      <c r="A1935" s="252"/>
      <c r="S1935" s="253"/>
    </row>
    <row r="1936">
      <c r="A1936" s="252"/>
      <c r="S1936" s="253"/>
    </row>
    <row r="1937">
      <c r="A1937" s="252"/>
      <c r="S1937" s="253"/>
    </row>
    <row r="1938">
      <c r="A1938" s="252"/>
      <c r="S1938" s="253"/>
    </row>
    <row r="1939">
      <c r="A1939" s="252"/>
      <c r="S1939" s="253"/>
    </row>
    <row r="1940">
      <c r="A1940" s="252"/>
      <c r="S1940" s="253"/>
    </row>
    <row r="1941">
      <c r="A1941" s="252"/>
      <c r="S1941" s="253"/>
    </row>
    <row r="1942">
      <c r="A1942" s="252"/>
      <c r="S1942" s="253"/>
    </row>
    <row r="1943">
      <c r="A1943" s="252"/>
      <c r="S1943" s="253"/>
    </row>
    <row r="1944">
      <c r="A1944" s="252"/>
      <c r="S1944" s="253"/>
    </row>
    <row r="1945">
      <c r="A1945" s="252"/>
      <c r="S1945" s="253"/>
    </row>
    <row r="1946">
      <c r="A1946" s="252"/>
      <c r="S1946" s="253"/>
    </row>
    <row r="1947">
      <c r="A1947" s="252"/>
      <c r="S1947" s="253"/>
    </row>
    <row r="1948">
      <c r="A1948" s="252"/>
      <c r="S1948" s="253"/>
    </row>
    <row r="1949">
      <c r="A1949" s="252"/>
      <c r="S1949" s="253"/>
    </row>
    <row r="1950">
      <c r="A1950" s="252"/>
      <c r="S1950" s="253"/>
    </row>
    <row r="1951">
      <c r="A1951" s="252"/>
      <c r="S1951" s="253"/>
    </row>
    <row r="1952">
      <c r="A1952" s="252"/>
      <c r="S1952" s="253"/>
    </row>
    <row r="1953">
      <c r="A1953" s="252"/>
      <c r="S1953" s="253"/>
    </row>
    <row r="1954">
      <c r="A1954" s="252"/>
      <c r="S1954" s="253"/>
    </row>
    <row r="1955">
      <c r="A1955" s="252"/>
      <c r="S1955" s="253"/>
    </row>
    <row r="1956">
      <c r="A1956" s="252"/>
      <c r="S1956" s="253"/>
    </row>
    <row r="1957">
      <c r="A1957" s="252"/>
      <c r="S1957" s="253"/>
    </row>
    <row r="1958">
      <c r="A1958" s="252"/>
      <c r="S1958" s="253"/>
    </row>
    <row r="1959">
      <c r="A1959" s="252"/>
      <c r="S1959" s="253"/>
    </row>
    <row r="1960">
      <c r="A1960" s="252"/>
      <c r="S1960" s="253"/>
    </row>
    <row r="1961">
      <c r="A1961" s="252"/>
      <c r="S1961" s="253"/>
    </row>
    <row r="1962">
      <c r="A1962" s="252"/>
      <c r="S1962" s="253"/>
    </row>
    <row r="1963">
      <c r="A1963" s="252"/>
      <c r="S1963" s="253"/>
    </row>
    <row r="1964">
      <c r="A1964" s="252"/>
      <c r="S1964" s="253"/>
    </row>
    <row r="1965">
      <c r="A1965" s="252"/>
      <c r="S1965" s="253"/>
    </row>
    <row r="1966">
      <c r="A1966" s="252"/>
      <c r="S1966" s="253"/>
    </row>
    <row r="1967">
      <c r="A1967" s="252"/>
      <c r="S1967" s="253"/>
    </row>
    <row r="1968">
      <c r="A1968" s="252"/>
      <c r="S1968" s="253"/>
    </row>
    <row r="1969">
      <c r="A1969" s="252"/>
      <c r="S1969" s="253"/>
    </row>
    <row r="1970">
      <c r="A1970" s="252"/>
      <c r="S1970" s="253"/>
    </row>
    <row r="1971">
      <c r="A1971" s="252"/>
      <c r="S1971" s="253"/>
    </row>
    <row r="1972">
      <c r="A1972" s="252"/>
      <c r="S1972" s="253"/>
    </row>
    <row r="1973">
      <c r="A1973" s="252"/>
      <c r="S1973" s="253"/>
    </row>
    <row r="1974">
      <c r="A1974" s="252"/>
      <c r="S1974" s="253"/>
    </row>
    <row r="1975">
      <c r="A1975" s="252"/>
      <c r="S1975" s="253"/>
    </row>
    <row r="1976">
      <c r="A1976" s="252"/>
      <c r="S1976" s="253"/>
    </row>
    <row r="1977">
      <c r="A1977" s="252"/>
      <c r="S1977" s="253"/>
    </row>
    <row r="1978">
      <c r="A1978" s="252"/>
      <c r="S1978" s="253"/>
    </row>
    <row r="1979">
      <c r="A1979" s="252"/>
      <c r="S1979" s="253"/>
    </row>
    <row r="1980">
      <c r="A1980" s="252"/>
      <c r="S1980" s="253"/>
    </row>
    <row r="1981">
      <c r="A1981" s="252"/>
      <c r="S1981" s="253"/>
    </row>
    <row r="1982">
      <c r="A1982" s="252"/>
      <c r="S1982" s="253"/>
    </row>
    <row r="1983">
      <c r="A1983" s="252"/>
      <c r="S1983" s="253"/>
    </row>
    <row r="1984">
      <c r="A1984" s="252"/>
      <c r="S1984" s="253"/>
    </row>
    <row r="1985">
      <c r="A1985" s="252"/>
      <c r="S1985" s="253"/>
    </row>
    <row r="1986">
      <c r="A1986" s="252"/>
      <c r="S1986" s="253"/>
    </row>
    <row r="1987">
      <c r="A1987" s="252"/>
      <c r="S1987" s="253"/>
    </row>
    <row r="1988">
      <c r="A1988" s="252"/>
      <c r="S1988" s="253"/>
    </row>
    <row r="1989">
      <c r="A1989" s="252"/>
      <c r="S1989" s="253"/>
    </row>
    <row r="1990">
      <c r="A1990" s="252"/>
      <c r="S1990" s="253"/>
    </row>
    <row r="1991">
      <c r="A1991" s="252"/>
      <c r="S1991" s="253"/>
    </row>
    <row r="1992">
      <c r="A1992" s="252"/>
      <c r="S1992" s="253"/>
    </row>
    <row r="1993">
      <c r="A1993" s="252"/>
      <c r="S1993" s="253"/>
    </row>
    <row r="1994">
      <c r="A1994" s="252"/>
      <c r="S1994" s="253"/>
    </row>
    <row r="1995">
      <c r="A1995" s="252"/>
      <c r="S1995" s="253"/>
    </row>
    <row r="1996">
      <c r="A1996" s="252"/>
      <c r="S1996" s="253"/>
    </row>
    <row r="1997">
      <c r="A1997" s="252"/>
      <c r="S1997" s="253"/>
    </row>
    <row r="1998">
      <c r="A1998" s="252"/>
      <c r="S1998" s="253"/>
    </row>
    <row r="1999">
      <c r="A1999" s="252"/>
      <c r="S1999" s="253"/>
    </row>
    <row r="2000">
      <c r="A2000" s="252"/>
      <c r="S2000" s="253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5.14"/>
    <col customWidth="1" min="2" max="2" width="11.57"/>
    <col customWidth="1" min="3" max="3" width="7.14"/>
    <col customWidth="1" min="4" max="4" width="10.43"/>
    <col customWidth="1" min="5" max="6" width="8.71"/>
    <col customWidth="1" min="7" max="7" width="43.14"/>
    <col customWidth="1" min="8" max="8" width="10.0"/>
    <col customWidth="1" min="9" max="9" width="12.14"/>
    <col customWidth="1" min="10" max="26" width="8.71"/>
  </cols>
  <sheetData>
    <row r="1">
      <c r="A1" s="254" t="s">
        <v>4534</v>
      </c>
      <c r="B1" s="254"/>
      <c r="C1" s="254"/>
      <c r="D1" s="255"/>
      <c r="E1" s="255"/>
      <c r="F1" s="255"/>
      <c r="G1" s="255"/>
      <c r="H1" s="255"/>
      <c r="I1" s="255"/>
    </row>
    <row r="2">
      <c r="A2" s="256"/>
      <c r="B2" s="256"/>
      <c r="C2" s="256"/>
      <c r="D2" s="257"/>
      <c r="E2" s="257"/>
      <c r="F2" s="257"/>
      <c r="G2" s="256"/>
      <c r="H2" s="256"/>
      <c r="I2" s="256"/>
    </row>
    <row r="3">
      <c r="A3" s="256"/>
      <c r="B3" s="256"/>
      <c r="C3" s="256"/>
      <c r="D3" s="257"/>
      <c r="E3" s="257"/>
      <c r="F3" s="257"/>
      <c r="G3" s="256"/>
      <c r="H3" s="256"/>
      <c r="I3" s="256"/>
    </row>
    <row r="4">
      <c r="A4" s="258" t="s">
        <v>4542</v>
      </c>
      <c r="B4" s="259" t="s">
        <v>4543</v>
      </c>
      <c r="C4" s="35"/>
      <c r="D4" s="35"/>
      <c r="E4" s="36"/>
      <c r="F4" s="13"/>
      <c r="G4" s="256"/>
      <c r="H4" s="256"/>
      <c r="I4" s="256"/>
    </row>
    <row r="5">
      <c r="A5" s="258" t="s">
        <v>4544</v>
      </c>
      <c r="B5" s="260" t="s">
        <v>4543</v>
      </c>
      <c r="C5" s="35"/>
      <c r="D5" s="35"/>
      <c r="E5" s="36"/>
      <c r="F5" s="13"/>
      <c r="G5" s="256"/>
      <c r="H5" s="256"/>
      <c r="I5" s="256"/>
    </row>
    <row r="6">
      <c r="A6" s="258" t="s">
        <v>4552</v>
      </c>
      <c r="B6" s="260" t="s">
        <v>4553</v>
      </c>
      <c r="C6" s="35"/>
      <c r="D6" s="35"/>
      <c r="E6" s="36"/>
      <c r="F6" s="256"/>
      <c r="G6" s="256"/>
      <c r="H6" s="256"/>
      <c r="I6" s="256"/>
    </row>
    <row r="7">
      <c r="A7" s="256"/>
      <c r="B7" s="256"/>
      <c r="C7" s="256"/>
      <c r="D7" s="256"/>
      <c r="E7" s="256"/>
      <c r="F7" s="256"/>
      <c r="G7" s="256"/>
      <c r="H7" s="256"/>
      <c r="I7" s="256"/>
    </row>
    <row r="8">
      <c r="A8" s="261" t="s">
        <v>4554</v>
      </c>
      <c r="B8" s="262"/>
      <c r="C8" s="263"/>
      <c r="D8" s="264" t="s">
        <v>4562</v>
      </c>
      <c r="E8" s="264"/>
      <c r="F8" s="264"/>
      <c r="G8" s="265" t="s">
        <v>4564</v>
      </c>
      <c r="H8" s="264"/>
      <c r="I8" s="264"/>
    </row>
    <row r="9">
      <c r="A9" s="266" t="s">
        <v>62</v>
      </c>
      <c r="B9" s="267" t="s">
        <v>67</v>
      </c>
      <c r="C9" s="267" t="s">
        <v>70</v>
      </c>
      <c r="D9" s="268" t="s">
        <v>72</v>
      </c>
      <c r="E9" s="268" t="s">
        <v>74</v>
      </c>
      <c r="F9" s="268" t="s">
        <v>77</v>
      </c>
      <c r="G9" s="268" t="s">
        <v>79</v>
      </c>
      <c r="H9" s="268" t="s">
        <v>83</v>
      </c>
      <c r="I9" s="269" t="s">
        <v>96</v>
      </c>
    </row>
    <row r="10">
      <c r="A10" s="270"/>
      <c r="B10" s="271"/>
      <c r="C10" s="270"/>
      <c r="D10" s="272"/>
      <c r="E10" s="272"/>
      <c r="F10" s="272"/>
      <c r="G10" s="273"/>
      <c r="H10" s="273"/>
      <c r="I10" s="273"/>
    </row>
    <row r="11">
      <c r="A11" s="270"/>
      <c r="B11" s="271"/>
      <c r="C11" s="270"/>
      <c r="D11" s="272"/>
      <c r="E11" s="272"/>
      <c r="F11" s="272"/>
      <c r="G11" s="273"/>
      <c r="H11" s="273"/>
      <c r="I11" s="273"/>
    </row>
    <row r="12">
      <c r="A12" s="270"/>
      <c r="B12" s="271"/>
      <c r="C12" s="270"/>
      <c r="D12" s="272"/>
      <c r="E12" s="272"/>
      <c r="F12" s="272"/>
      <c r="G12" s="273"/>
      <c r="H12" s="273"/>
      <c r="I12" s="273"/>
    </row>
    <row r="13">
      <c r="A13" s="270"/>
      <c r="B13" s="271"/>
      <c r="C13" s="270"/>
      <c r="D13" s="272"/>
      <c r="E13" s="272"/>
      <c r="F13" s="272"/>
      <c r="G13" s="273"/>
      <c r="H13" s="273"/>
      <c r="I13" s="273"/>
    </row>
    <row r="14">
      <c r="A14" s="270"/>
      <c r="B14" s="271"/>
      <c r="C14" s="270"/>
      <c r="D14" s="272"/>
      <c r="E14" s="272"/>
      <c r="F14" s="272"/>
      <c r="G14" s="273"/>
      <c r="H14" s="273"/>
      <c r="I14" s="273"/>
    </row>
    <row r="15">
      <c r="A15" s="270"/>
      <c r="B15" s="271"/>
      <c r="C15" s="270"/>
      <c r="D15" s="272"/>
      <c r="E15" s="272"/>
      <c r="F15" s="272"/>
      <c r="G15" s="273"/>
      <c r="H15" s="273"/>
      <c r="I15" s="273"/>
    </row>
    <row r="16">
      <c r="A16" s="270"/>
      <c r="B16" s="271"/>
      <c r="C16" s="270"/>
      <c r="D16" s="272"/>
      <c r="E16" s="272"/>
      <c r="F16" s="272"/>
      <c r="G16" s="273"/>
      <c r="H16" s="273"/>
      <c r="I16" s="273"/>
    </row>
    <row r="17">
      <c r="A17" s="270"/>
      <c r="B17" s="271"/>
      <c r="C17" s="270"/>
      <c r="D17" s="272"/>
      <c r="E17" s="272"/>
      <c r="F17" s="272"/>
      <c r="G17" s="273"/>
      <c r="H17" s="273"/>
      <c r="I17" s="273"/>
    </row>
    <row r="18">
      <c r="A18" s="270"/>
      <c r="B18" s="271"/>
      <c r="C18" s="270"/>
      <c r="D18" s="272"/>
      <c r="E18" s="272"/>
      <c r="F18" s="272"/>
      <c r="G18" s="273"/>
      <c r="H18" s="273"/>
      <c r="I18" s="273"/>
    </row>
    <row r="19">
      <c r="A19" s="270"/>
      <c r="B19" s="271"/>
      <c r="C19" s="270"/>
      <c r="D19" s="272"/>
      <c r="E19" s="272"/>
      <c r="F19" s="272"/>
      <c r="G19" s="273"/>
      <c r="H19" s="273"/>
      <c r="I19" s="273"/>
    </row>
    <row r="20">
      <c r="A20" s="270"/>
      <c r="B20" s="271"/>
      <c r="C20" s="270"/>
      <c r="D20" s="272"/>
      <c r="E20" s="272"/>
      <c r="F20" s="272"/>
      <c r="G20" s="273"/>
      <c r="H20" s="273"/>
      <c r="I20" s="273"/>
    </row>
    <row r="21">
      <c r="A21" s="270"/>
      <c r="B21" s="271"/>
      <c r="C21" s="270"/>
      <c r="D21" s="272"/>
      <c r="E21" s="272"/>
      <c r="F21" s="272"/>
      <c r="G21" s="273"/>
      <c r="H21" s="273"/>
      <c r="I21" s="273"/>
    </row>
    <row r="22">
      <c r="A22" s="270"/>
      <c r="B22" s="271"/>
      <c r="C22" s="270"/>
      <c r="D22" s="272"/>
      <c r="E22" s="272"/>
      <c r="F22" s="272"/>
      <c r="G22" s="273"/>
      <c r="H22" s="273"/>
      <c r="I22" s="273"/>
    </row>
    <row r="23">
      <c r="A23" s="270"/>
      <c r="B23" s="271"/>
      <c r="C23" s="270"/>
      <c r="D23" s="272"/>
      <c r="E23" s="272"/>
      <c r="F23" s="272"/>
      <c r="G23" s="273"/>
      <c r="H23" s="273"/>
      <c r="I23" s="273"/>
    </row>
    <row r="24">
      <c r="A24" s="270"/>
      <c r="B24" s="271"/>
      <c r="C24" s="270"/>
      <c r="D24" s="272"/>
      <c r="E24" s="272"/>
      <c r="F24" s="272"/>
      <c r="G24" s="273"/>
      <c r="H24" s="273"/>
      <c r="I24" s="273"/>
    </row>
    <row r="25">
      <c r="A25" s="270"/>
      <c r="B25" s="271"/>
      <c r="C25" s="270"/>
      <c r="D25" s="272"/>
      <c r="E25" s="272"/>
      <c r="F25" s="272"/>
      <c r="G25" s="273"/>
      <c r="H25" s="273"/>
      <c r="I25" s="273"/>
    </row>
    <row r="26">
      <c r="A26" s="270"/>
      <c r="B26" s="271"/>
      <c r="C26" s="270"/>
      <c r="D26" s="272"/>
      <c r="E26" s="272"/>
      <c r="F26" s="272"/>
      <c r="G26" s="273"/>
      <c r="H26" s="273"/>
      <c r="I26" s="273"/>
    </row>
    <row r="27">
      <c r="A27" s="270"/>
      <c r="B27" s="271"/>
      <c r="C27" s="270"/>
      <c r="D27" s="272"/>
      <c r="E27" s="272"/>
      <c r="F27" s="272"/>
      <c r="G27" s="273"/>
      <c r="H27" s="273"/>
      <c r="I27" s="273"/>
    </row>
    <row r="28">
      <c r="A28" s="270"/>
      <c r="B28" s="271"/>
      <c r="C28" s="270"/>
      <c r="D28" s="272"/>
      <c r="E28" s="272"/>
      <c r="F28" s="272"/>
      <c r="G28" s="273"/>
      <c r="H28" s="273"/>
      <c r="I28" s="273"/>
    </row>
    <row r="29">
      <c r="A29" s="270"/>
      <c r="B29" s="271"/>
      <c r="C29" s="270"/>
      <c r="D29" s="272"/>
      <c r="E29" s="272"/>
      <c r="F29" s="272"/>
      <c r="G29" s="273"/>
      <c r="H29" s="273"/>
      <c r="I29" s="273"/>
    </row>
    <row r="30">
      <c r="A30" s="270"/>
      <c r="B30" s="271"/>
      <c r="C30" s="270"/>
      <c r="D30" s="272"/>
      <c r="E30" s="272"/>
      <c r="F30" s="272"/>
      <c r="G30" s="273"/>
      <c r="H30" s="273"/>
      <c r="I30" s="273"/>
    </row>
    <row r="31">
      <c r="A31" s="270"/>
      <c r="B31" s="271"/>
      <c r="C31" s="270"/>
      <c r="D31" s="272"/>
      <c r="E31" s="272"/>
      <c r="F31" s="272"/>
      <c r="G31" s="273"/>
      <c r="H31" s="273"/>
      <c r="I31" s="273"/>
    </row>
    <row r="32">
      <c r="A32" s="270"/>
      <c r="B32" s="271"/>
      <c r="C32" s="270"/>
      <c r="D32" s="272"/>
      <c r="E32" s="272"/>
      <c r="F32" s="272"/>
      <c r="G32" s="273"/>
      <c r="H32" s="273"/>
      <c r="I32" s="273"/>
    </row>
    <row r="33">
      <c r="A33" s="270"/>
      <c r="B33" s="271"/>
      <c r="C33" s="270"/>
      <c r="D33" s="272"/>
      <c r="E33" s="272"/>
      <c r="F33" s="272"/>
      <c r="G33" s="273"/>
      <c r="H33" s="273"/>
      <c r="I33" s="273"/>
    </row>
    <row r="34">
      <c r="A34" s="270"/>
      <c r="B34" s="271"/>
      <c r="C34" s="270"/>
      <c r="D34" s="272"/>
      <c r="E34" s="272"/>
      <c r="F34" s="272"/>
      <c r="G34" s="273"/>
      <c r="H34" s="273"/>
      <c r="I34" s="273"/>
    </row>
    <row r="35">
      <c r="A35" s="270"/>
      <c r="B35" s="271"/>
      <c r="C35" s="270"/>
      <c r="D35" s="272"/>
      <c r="E35" s="272"/>
      <c r="F35" s="272"/>
      <c r="G35" s="273"/>
      <c r="H35" s="273"/>
      <c r="I35" s="273"/>
    </row>
    <row r="36">
      <c r="A36" s="270"/>
      <c r="B36" s="271"/>
      <c r="C36" s="270"/>
      <c r="D36" s="272"/>
      <c r="E36" s="272"/>
      <c r="F36" s="272"/>
      <c r="G36" s="273"/>
      <c r="H36" s="273"/>
      <c r="I36" s="273"/>
    </row>
    <row r="37">
      <c r="A37" s="270"/>
      <c r="B37" s="271"/>
      <c r="C37" s="270"/>
      <c r="D37" s="272"/>
      <c r="E37" s="272"/>
      <c r="F37" s="272"/>
      <c r="G37" s="273"/>
      <c r="H37" s="273"/>
      <c r="I37" s="273"/>
    </row>
    <row r="38">
      <c r="A38" s="270"/>
      <c r="B38" s="271"/>
      <c r="C38" s="270"/>
      <c r="D38" s="272"/>
      <c r="E38" s="272"/>
      <c r="F38" s="272"/>
      <c r="G38" s="273"/>
      <c r="H38" s="273"/>
      <c r="I38" s="273"/>
    </row>
    <row r="39">
      <c r="A39" s="270"/>
      <c r="B39" s="271"/>
      <c r="C39" s="270"/>
      <c r="D39" s="272"/>
      <c r="E39" s="272"/>
      <c r="F39" s="272"/>
      <c r="G39" s="273"/>
      <c r="H39" s="273"/>
      <c r="I39" s="273"/>
    </row>
    <row r="40">
      <c r="A40" s="270"/>
      <c r="B40" s="271"/>
      <c r="C40" s="270"/>
      <c r="D40" s="272"/>
      <c r="E40" s="272"/>
      <c r="F40" s="272"/>
      <c r="G40" s="273"/>
      <c r="H40" s="273"/>
      <c r="I40" s="273"/>
    </row>
    <row r="41">
      <c r="A41" s="270"/>
      <c r="B41" s="271"/>
      <c r="C41" s="270"/>
      <c r="D41" s="272"/>
      <c r="E41" s="272"/>
      <c r="F41" s="272"/>
      <c r="G41" s="273"/>
      <c r="H41" s="273"/>
      <c r="I41" s="273"/>
    </row>
    <row r="42">
      <c r="A42" s="270"/>
      <c r="B42" s="271"/>
      <c r="C42" s="270"/>
      <c r="D42" s="272"/>
      <c r="E42" s="272"/>
      <c r="F42" s="272"/>
      <c r="G42" s="273"/>
      <c r="H42" s="273"/>
      <c r="I42" s="273"/>
    </row>
    <row r="43">
      <c r="A43" s="270"/>
      <c r="B43" s="271"/>
      <c r="C43" s="270"/>
      <c r="D43" s="272"/>
      <c r="E43" s="272"/>
      <c r="F43" s="272"/>
      <c r="G43" s="273"/>
      <c r="H43" s="273"/>
      <c r="I43" s="273"/>
    </row>
    <row r="44">
      <c r="A44" s="270"/>
      <c r="B44" s="271"/>
      <c r="C44" s="270"/>
      <c r="D44" s="272"/>
      <c r="E44" s="272"/>
      <c r="F44" s="272"/>
      <c r="G44" s="273"/>
      <c r="H44" s="273"/>
      <c r="I44" s="273"/>
    </row>
    <row r="45">
      <c r="A45" s="270"/>
      <c r="B45" s="271"/>
      <c r="C45" s="270"/>
      <c r="D45" s="272"/>
      <c r="E45" s="272"/>
      <c r="F45" s="272"/>
      <c r="G45" s="273"/>
      <c r="H45" s="273"/>
      <c r="I45" s="273"/>
    </row>
    <row r="46">
      <c r="A46" s="270"/>
      <c r="B46" s="271"/>
      <c r="C46" s="270"/>
      <c r="D46" s="272"/>
      <c r="E46" s="272"/>
      <c r="F46" s="272"/>
      <c r="G46" s="273"/>
      <c r="H46" s="273"/>
      <c r="I46" s="273"/>
    </row>
    <row r="47">
      <c r="A47" s="270"/>
      <c r="B47" s="271"/>
      <c r="C47" s="270"/>
      <c r="D47" s="272"/>
      <c r="E47" s="272"/>
      <c r="F47" s="272"/>
      <c r="G47" s="273"/>
      <c r="H47" s="273"/>
      <c r="I47" s="273"/>
    </row>
    <row r="48">
      <c r="A48" s="270"/>
      <c r="B48" s="271"/>
      <c r="C48" s="270"/>
      <c r="D48" s="272"/>
      <c r="E48" s="272"/>
      <c r="F48" s="272"/>
      <c r="G48" s="273"/>
      <c r="H48" s="273"/>
      <c r="I48" s="273"/>
    </row>
    <row r="49">
      <c r="A49" s="270"/>
      <c r="B49" s="271"/>
      <c r="C49" s="270"/>
      <c r="D49" s="272"/>
      <c r="E49" s="272"/>
      <c r="F49" s="272"/>
      <c r="G49" s="273"/>
      <c r="H49" s="273"/>
      <c r="I49" s="273"/>
    </row>
    <row r="50">
      <c r="A50" s="270"/>
      <c r="B50" s="271"/>
      <c r="C50" s="270"/>
      <c r="D50" s="272"/>
      <c r="E50" s="272"/>
      <c r="F50" s="272"/>
      <c r="G50" s="273"/>
      <c r="H50" s="273"/>
      <c r="I50" s="273"/>
    </row>
    <row r="51">
      <c r="A51" s="270"/>
      <c r="B51" s="271"/>
      <c r="C51" s="270"/>
      <c r="D51" s="272"/>
      <c r="E51" s="272"/>
      <c r="F51" s="272"/>
      <c r="G51" s="273"/>
      <c r="H51" s="273"/>
      <c r="I51" s="273"/>
    </row>
    <row r="52">
      <c r="A52" s="270"/>
      <c r="B52" s="271"/>
      <c r="C52" s="270"/>
      <c r="D52" s="272"/>
      <c r="E52" s="272"/>
      <c r="F52" s="272"/>
      <c r="G52" s="273"/>
      <c r="H52" s="273"/>
      <c r="I52" s="273"/>
    </row>
    <row r="53">
      <c r="A53" s="270"/>
      <c r="B53" s="271"/>
      <c r="C53" s="270"/>
      <c r="D53" s="272"/>
      <c r="E53" s="272"/>
      <c r="F53" s="272"/>
      <c r="G53" s="273"/>
      <c r="H53" s="273"/>
      <c r="I53" s="273"/>
    </row>
    <row r="54">
      <c r="A54" s="270"/>
      <c r="B54" s="271"/>
      <c r="C54" s="270"/>
      <c r="D54" s="272"/>
      <c r="E54" s="272"/>
      <c r="F54" s="272"/>
      <c r="G54" s="273"/>
      <c r="H54" s="273"/>
      <c r="I54" s="273"/>
    </row>
    <row r="55">
      <c r="A55" s="270"/>
      <c r="B55" s="271"/>
      <c r="C55" s="270"/>
      <c r="D55" s="272"/>
      <c r="E55" s="272"/>
      <c r="F55" s="272"/>
      <c r="G55" s="273"/>
      <c r="H55" s="273"/>
      <c r="I55" s="273"/>
    </row>
    <row r="56">
      <c r="A56" s="270"/>
      <c r="B56" s="271"/>
      <c r="C56" s="270"/>
      <c r="D56" s="272"/>
      <c r="E56" s="272"/>
      <c r="F56" s="272"/>
      <c r="G56" s="273"/>
      <c r="H56" s="273"/>
      <c r="I56" s="273"/>
    </row>
    <row r="57">
      <c r="A57" s="270"/>
      <c r="B57" s="271"/>
      <c r="C57" s="270"/>
      <c r="D57" s="272"/>
      <c r="E57" s="272"/>
      <c r="F57" s="272"/>
      <c r="G57" s="273"/>
      <c r="H57" s="273"/>
      <c r="I57" s="273"/>
    </row>
    <row r="58">
      <c r="A58" s="270"/>
      <c r="B58" s="271"/>
      <c r="C58" s="270"/>
    </row>
    <row r="59">
      <c r="A59" s="270"/>
      <c r="B59" s="271"/>
      <c r="C59" s="270"/>
    </row>
    <row r="60">
      <c r="A60" s="270"/>
      <c r="B60" s="271"/>
      <c r="C60" s="270"/>
    </row>
    <row r="61">
      <c r="A61" s="270"/>
      <c r="B61" s="271"/>
      <c r="C61" s="270"/>
    </row>
    <row r="62">
      <c r="A62" s="270"/>
      <c r="B62" s="271"/>
      <c r="C62" s="270"/>
    </row>
    <row r="63">
      <c r="A63" s="270"/>
      <c r="B63" s="271"/>
      <c r="C63" s="270"/>
    </row>
    <row r="64">
      <c r="A64" s="270"/>
      <c r="B64" s="271"/>
      <c r="C64" s="270"/>
    </row>
    <row r="65">
      <c r="A65" s="270"/>
      <c r="B65" s="271"/>
      <c r="C65" s="270"/>
    </row>
    <row r="66">
      <c r="A66" s="270"/>
      <c r="B66" s="271"/>
      <c r="C66" s="270"/>
    </row>
    <row r="67">
      <c r="A67" s="270"/>
      <c r="B67" s="271"/>
      <c r="C67" s="270"/>
    </row>
    <row r="68">
      <c r="A68" s="270"/>
      <c r="B68" s="271"/>
      <c r="C68" s="270"/>
    </row>
    <row r="69">
      <c r="A69" s="270"/>
      <c r="B69" s="271"/>
      <c r="C69" s="270"/>
    </row>
    <row r="70">
      <c r="A70" s="270"/>
      <c r="B70" s="271"/>
      <c r="C70" s="270"/>
    </row>
    <row r="71">
      <c r="A71" s="270"/>
      <c r="B71" s="271"/>
      <c r="C71" s="270"/>
    </row>
    <row r="72">
      <c r="A72" s="270"/>
      <c r="B72" s="271"/>
      <c r="C72" s="270"/>
    </row>
    <row r="73">
      <c r="A73" s="270"/>
      <c r="B73" s="271"/>
      <c r="C73" s="270"/>
    </row>
    <row r="74">
      <c r="A74" s="270"/>
      <c r="B74" s="271"/>
      <c r="C74" s="270"/>
    </row>
    <row r="75">
      <c r="A75" s="270"/>
      <c r="B75" s="271"/>
      <c r="C75" s="270"/>
    </row>
    <row r="76">
      <c r="A76" s="270"/>
      <c r="B76" s="271"/>
      <c r="C76" s="270"/>
    </row>
    <row r="77">
      <c r="A77" s="270"/>
      <c r="B77" s="271"/>
      <c r="C77" s="270"/>
    </row>
    <row r="78">
      <c r="A78" s="270"/>
      <c r="B78" s="271"/>
      <c r="C78" s="270"/>
    </row>
    <row r="79">
      <c r="A79" s="270"/>
      <c r="B79" s="271"/>
      <c r="C79" s="270"/>
    </row>
    <row r="80">
      <c r="A80" s="270"/>
      <c r="B80" s="271"/>
      <c r="C80" s="270"/>
    </row>
    <row r="81">
      <c r="A81" s="270"/>
      <c r="B81" s="271"/>
      <c r="C81" s="270"/>
    </row>
    <row r="82">
      <c r="A82" s="270"/>
      <c r="B82" s="271"/>
      <c r="C82" s="270"/>
    </row>
    <row r="83">
      <c r="A83" s="270"/>
      <c r="B83" s="271"/>
      <c r="C83" s="270"/>
    </row>
    <row r="84">
      <c r="A84" s="270"/>
      <c r="B84" s="271"/>
      <c r="C84" s="270"/>
    </row>
    <row r="85">
      <c r="A85" s="270"/>
      <c r="B85" s="271"/>
      <c r="C85" s="270"/>
    </row>
    <row r="86">
      <c r="A86" s="270"/>
      <c r="B86" s="271"/>
      <c r="C86" s="270"/>
    </row>
    <row r="87">
      <c r="A87" s="270"/>
      <c r="B87" s="271"/>
      <c r="C87" s="270"/>
    </row>
    <row r="88">
      <c r="A88" s="270"/>
      <c r="B88" s="271"/>
      <c r="C88" s="270"/>
    </row>
    <row r="89">
      <c r="A89" s="270"/>
      <c r="B89" s="271"/>
      <c r="C89" s="270"/>
    </row>
    <row r="90">
      <c r="A90" s="270"/>
      <c r="B90" s="271"/>
      <c r="C90" s="270"/>
    </row>
    <row r="91">
      <c r="A91" s="270"/>
      <c r="B91" s="271"/>
      <c r="C91" s="270"/>
    </row>
    <row r="92">
      <c r="A92" s="270"/>
      <c r="B92" s="271"/>
      <c r="C92" s="270"/>
    </row>
    <row r="93">
      <c r="A93" s="270"/>
      <c r="B93" s="271"/>
      <c r="C93" s="270"/>
    </row>
    <row r="94">
      <c r="A94" s="270"/>
      <c r="B94" s="271"/>
      <c r="C94" s="270"/>
    </row>
    <row r="95">
      <c r="A95" s="270"/>
      <c r="B95" s="271"/>
      <c r="C95" s="270"/>
    </row>
    <row r="96">
      <c r="A96" s="270"/>
      <c r="B96" s="271"/>
      <c r="C96" s="270"/>
    </row>
    <row r="97">
      <c r="A97" s="270"/>
      <c r="B97" s="271"/>
      <c r="C97" s="270"/>
    </row>
    <row r="98">
      <c r="A98" s="270"/>
      <c r="B98" s="271"/>
      <c r="C98" s="270"/>
    </row>
    <row r="99">
      <c r="A99" s="270"/>
      <c r="B99" s="271"/>
      <c r="C99" s="270"/>
    </row>
    <row r="100">
      <c r="A100" s="270"/>
      <c r="B100" s="271"/>
      <c r="C100" s="270"/>
    </row>
    <row r="101">
      <c r="A101" s="270"/>
      <c r="B101" s="271"/>
      <c r="C101" s="270"/>
    </row>
    <row r="102">
      <c r="A102" s="270"/>
      <c r="B102" s="271"/>
      <c r="C102" s="270"/>
    </row>
    <row r="103">
      <c r="A103" s="270"/>
      <c r="B103" s="271"/>
      <c r="C103" s="270"/>
    </row>
    <row r="104">
      <c r="A104" s="270"/>
      <c r="B104" s="271"/>
      <c r="C104" s="270"/>
    </row>
    <row r="105">
      <c r="A105" s="270"/>
      <c r="B105" s="271"/>
      <c r="C105" s="270"/>
    </row>
    <row r="106">
      <c r="A106" s="270"/>
      <c r="B106" s="271"/>
      <c r="C106" s="270"/>
    </row>
    <row r="107">
      <c r="A107" s="270"/>
      <c r="B107" s="271"/>
      <c r="C107" s="270"/>
    </row>
    <row r="108">
      <c r="A108" s="270"/>
      <c r="B108" s="271"/>
      <c r="C108" s="270"/>
    </row>
    <row r="109">
      <c r="A109" s="270"/>
      <c r="B109" s="271"/>
      <c r="C109" s="270"/>
    </row>
    <row r="110">
      <c r="A110" s="270"/>
      <c r="B110" s="271"/>
      <c r="C110" s="270"/>
    </row>
    <row r="111">
      <c r="A111" s="270"/>
      <c r="B111" s="271"/>
      <c r="C111" s="270"/>
    </row>
    <row r="112">
      <c r="A112" s="270"/>
      <c r="B112" s="271"/>
      <c r="C112" s="270"/>
    </row>
    <row r="113">
      <c r="A113" s="270"/>
      <c r="B113" s="271"/>
      <c r="C113" s="270"/>
    </row>
    <row r="114">
      <c r="A114" s="270"/>
      <c r="B114" s="271"/>
      <c r="C114" s="270"/>
    </row>
    <row r="115">
      <c r="A115" s="270"/>
      <c r="B115" s="271"/>
      <c r="C115" s="270"/>
    </row>
    <row r="116">
      <c r="A116" s="270"/>
      <c r="B116" s="271"/>
      <c r="C116" s="270"/>
    </row>
    <row r="117">
      <c r="A117" s="270"/>
      <c r="B117" s="271"/>
      <c r="C117" s="270"/>
    </row>
    <row r="118">
      <c r="A118" s="270"/>
      <c r="B118" s="271"/>
      <c r="C118" s="270"/>
    </row>
    <row r="119">
      <c r="A119" s="270"/>
      <c r="B119" s="271"/>
      <c r="C119" s="270"/>
    </row>
    <row r="120">
      <c r="A120" s="270"/>
      <c r="B120" s="271"/>
      <c r="C120" s="270"/>
    </row>
    <row r="121">
      <c r="A121" s="270"/>
      <c r="B121" s="271"/>
      <c r="C121" s="270"/>
    </row>
    <row r="122">
      <c r="A122" s="270"/>
      <c r="B122" s="271"/>
      <c r="C122" s="270"/>
    </row>
    <row r="123">
      <c r="A123" s="270"/>
      <c r="B123" s="271"/>
      <c r="C123" s="270"/>
    </row>
    <row r="124">
      <c r="A124" s="270"/>
      <c r="B124" s="271"/>
      <c r="C124" s="270"/>
    </row>
    <row r="125">
      <c r="A125" s="270"/>
      <c r="B125" s="271"/>
      <c r="C125" s="270"/>
    </row>
    <row r="126">
      <c r="A126" s="270"/>
      <c r="B126" s="271"/>
      <c r="C126" s="270"/>
    </row>
    <row r="127">
      <c r="A127" s="270"/>
      <c r="B127" s="271"/>
      <c r="C127" s="270"/>
    </row>
    <row r="128">
      <c r="A128" s="270"/>
      <c r="B128" s="271"/>
      <c r="C128" s="270"/>
    </row>
    <row r="129">
      <c r="A129" s="270"/>
      <c r="B129" s="271"/>
      <c r="C129" s="270"/>
    </row>
    <row r="130">
      <c r="A130" s="270"/>
      <c r="B130" s="271"/>
      <c r="C130" s="270"/>
    </row>
    <row r="131">
      <c r="A131" s="270"/>
      <c r="B131" s="271"/>
      <c r="C131" s="270"/>
    </row>
    <row r="132">
      <c r="A132" s="270"/>
      <c r="B132" s="271"/>
      <c r="C132" s="270"/>
    </row>
    <row r="133">
      <c r="A133" s="270"/>
      <c r="B133" s="271"/>
      <c r="C133" s="270"/>
    </row>
    <row r="134">
      <c r="A134" s="270"/>
      <c r="B134" s="271"/>
      <c r="C134" s="270"/>
    </row>
    <row r="135">
      <c r="A135" s="270"/>
      <c r="B135" s="271"/>
      <c r="C135" s="270"/>
    </row>
    <row r="136">
      <c r="A136" s="270"/>
      <c r="B136" s="271"/>
      <c r="C136" s="270"/>
    </row>
    <row r="137">
      <c r="A137" s="270"/>
      <c r="B137" s="271"/>
      <c r="C137" s="270"/>
    </row>
    <row r="138">
      <c r="A138" s="270"/>
      <c r="B138" s="271"/>
      <c r="C138" s="270"/>
    </row>
    <row r="139">
      <c r="A139" s="270"/>
      <c r="B139" s="271"/>
      <c r="C139" s="270"/>
    </row>
    <row r="140">
      <c r="A140" s="270"/>
      <c r="B140" s="271"/>
      <c r="C140" s="270"/>
    </row>
    <row r="141">
      <c r="A141" s="270"/>
      <c r="B141" s="271"/>
      <c r="C141" s="270"/>
    </row>
    <row r="142">
      <c r="A142" s="270"/>
      <c r="B142" s="271"/>
      <c r="C142" s="270"/>
    </row>
    <row r="143">
      <c r="A143" s="270"/>
      <c r="B143" s="271"/>
      <c r="C143" s="270"/>
    </row>
    <row r="144">
      <c r="A144" s="270"/>
      <c r="B144" s="271"/>
      <c r="C144" s="270"/>
    </row>
    <row r="145">
      <c r="A145" s="270"/>
      <c r="B145" s="271"/>
      <c r="C145" s="270"/>
    </row>
    <row r="146">
      <c r="A146" s="270"/>
      <c r="B146" s="271"/>
      <c r="C146" s="270"/>
    </row>
    <row r="147">
      <c r="A147" s="270"/>
      <c r="B147" s="271"/>
      <c r="C147" s="270"/>
    </row>
    <row r="148">
      <c r="A148" s="270"/>
      <c r="B148" s="271"/>
      <c r="C148" s="270"/>
    </row>
    <row r="149">
      <c r="A149" s="270"/>
      <c r="B149" s="271"/>
      <c r="C149" s="270"/>
    </row>
    <row r="150">
      <c r="A150" s="270"/>
      <c r="B150" s="271"/>
      <c r="C150" s="270"/>
    </row>
    <row r="151">
      <c r="A151" s="270"/>
      <c r="B151" s="271"/>
      <c r="C151" s="270"/>
    </row>
    <row r="152">
      <c r="A152" s="270"/>
      <c r="B152" s="271"/>
      <c r="C152" s="270"/>
    </row>
    <row r="153">
      <c r="A153" s="270"/>
      <c r="B153" s="271"/>
      <c r="C153" s="270"/>
    </row>
    <row r="154">
      <c r="A154" s="270"/>
      <c r="B154" s="271"/>
      <c r="C154" s="270"/>
    </row>
    <row r="155">
      <c r="A155" s="270"/>
      <c r="B155" s="271"/>
      <c r="C155" s="270"/>
    </row>
    <row r="156">
      <c r="A156" s="270"/>
      <c r="B156" s="271"/>
      <c r="C156" s="270"/>
    </row>
    <row r="157">
      <c r="A157" s="270"/>
      <c r="B157" s="271"/>
      <c r="C157" s="270"/>
    </row>
    <row r="158">
      <c r="A158" s="270"/>
      <c r="B158" s="271"/>
      <c r="C158" s="270"/>
    </row>
    <row r="159">
      <c r="A159" s="270"/>
      <c r="B159" s="271"/>
      <c r="C159" s="270"/>
    </row>
    <row r="160">
      <c r="A160" s="270"/>
      <c r="B160" s="271"/>
      <c r="C160" s="270"/>
    </row>
    <row r="161">
      <c r="A161" s="270"/>
      <c r="B161" s="271"/>
      <c r="C161" s="270"/>
    </row>
    <row r="162">
      <c r="A162" s="270"/>
      <c r="B162" s="271"/>
      <c r="C162" s="270"/>
    </row>
    <row r="163">
      <c r="A163" s="270"/>
      <c r="B163" s="271"/>
      <c r="C163" s="270"/>
    </row>
    <row r="164">
      <c r="A164" s="270"/>
      <c r="B164" s="271"/>
      <c r="C164" s="270"/>
    </row>
    <row r="165">
      <c r="A165" s="270"/>
      <c r="B165" s="271"/>
      <c r="C165" s="270"/>
    </row>
    <row r="166">
      <c r="A166" s="270"/>
      <c r="B166" s="271"/>
      <c r="C166" s="270"/>
    </row>
    <row r="167">
      <c r="A167" s="270"/>
      <c r="B167" s="271"/>
      <c r="C167" s="270"/>
    </row>
    <row r="168">
      <c r="A168" s="270"/>
      <c r="B168" s="271"/>
      <c r="C168" s="270"/>
    </row>
    <row r="169">
      <c r="A169" s="270"/>
      <c r="B169" s="271"/>
      <c r="C169" s="270"/>
    </row>
    <row r="170">
      <c r="A170" s="270"/>
      <c r="B170" s="271"/>
      <c r="C170" s="270"/>
    </row>
    <row r="171">
      <c r="A171" s="270"/>
      <c r="B171" s="271"/>
      <c r="C171" s="270"/>
    </row>
    <row r="172">
      <c r="A172" s="270"/>
      <c r="B172" s="271"/>
      <c r="C172" s="270"/>
    </row>
    <row r="173">
      <c r="A173" s="270"/>
      <c r="B173" s="271"/>
      <c r="C173" s="270"/>
    </row>
    <row r="174">
      <c r="A174" s="270"/>
      <c r="B174" s="271"/>
      <c r="C174" s="270"/>
    </row>
    <row r="175">
      <c r="A175" s="270"/>
      <c r="B175" s="271"/>
      <c r="C175" s="270"/>
    </row>
    <row r="176">
      <c r="A176" s="270"/>
      <c r="B176" s="271"/>
      <c r="C176" s="270"/>
    </row>
    <row r="177">
      <c r="A177" s="270"/>
      <c r="B177" s="271"/>
      <c r="C177" s="270"/>
    </row>
    <row r="178">
      <c r="A178" s="270"/>
      <c r="B178" s="271"/>
      <c r="C178" s="270"/>
    </row>
    <row r="179">
      <c r="A179" s="270"/>
      <c r="B179" s="271"/>
      <c r="C179" s="270"/>
    </row>
    <row r="180">
      <c r="A180" s="270"/>
      <c r="B180" s="271"/>
      <c r="C180" s="270"/>
    </row>
    <row r="181">
      <c r="A181" s="270"/>
      <c r="B181" s="271"/>
      <c r="C181" s="270"/>
    </row>
    <row r="182">
      <c r="A182" s="270"/>
      <c r="B182" s="271"/>
      <c r="C182" s="270"/>
    </row>
    <row r="183">
      <c r="A183" s="270"/>
      <c r="B183" s="271"/>
      <c r="C183" s="270"/>
    </row>
    <row r="184">
      <c r="A184" s="270"/>
      <c r="B184" s="271"/>
      <c r="C184" s="270"/>
    </row>
    <row r="185">
      <c r="A185" s="270"/>
      <c r="B185" s="271"/>
      <c r="C185" s="270"/>
    </row>
    <row r="186">
      <c r="A186" s="270"/>
      <c r="B186" s="271"/>
      <c r="C186" s="270"/>
    </row>
    <row r="187">
      <c r="A187" s="270"/>
      <c r="B187" s="271"/>
      <c r="C187" s="270"/>
    </row>
    <row r="188">
      <c r="A188" s="270"/>
      <c r="B188" s="271"/>
      <c r="C188" s="270"/>
    </row>
    <row r="189">
      <c r="A189" s="270"/>
      <c r="B189" s="271"/>
      <c r="C189" s="270"/>
    </row>
    <row r="190">
      <c r="A190" s="270"/>
      <c r="B190" s="271"/>
      <c r="C190" s="270"/>
    </row>
    <row r="191">
      <c r="A191" s="270"/>
      <c r="B191" s="271"/>
      <c r="C191" s="270"/>
    </row>
    <row r="192">
      <c r="A192" s="270"/>
      <c r="B192" s="271"/>
      <c r="C192" s="270"/>
    </row>
    <row r="193">
      <c r="A193" s="270"/>
      <c r="B193" s="271"/>
      <c r="C193" s="270"/>
    </row>
    <row r="194">
      <c r="A194" s="270"/>
      <c r="B194" s="271"/>
      <c r="C194" s="270"/>
    </row>
    <row r="195">
      <c r="A195" s="270"/>
      <c r="B195" s="271"/>
      <c r="C195" s="270"/>
    </row>
    <row r="196">
      <c r="A196" s="270"/>
      <c r="B196" s="271"/>
      <c r="C196" s="270"/>
    </row>
    <row r="197">
      <c r="A197" s="270"/>
      <c r="B197" s="271"/>
      <c r="C197" s="270"/>
    </row>
    <row r="198">
      <c r="A198" s="270"/>
      <c r="B198" s="271"/>
      <c r="C198" s="270"/>
    </row>
    <row r="199">
      <c r="A199" s="270"/>
      <c r="B199" s="271"/>
      <c r="C199" s="270"/>
    </row>
    <row r="200">
      <c r="A200" s="270"/>
      <c r="B200" s="271"/>
      <c r="C200" s="270"/>
    </row>
    <row r="201">
      <c r="A201" s="270"/>
      <c r="B201" s="271"/>
      <c r="C201" s="270"/>
    </row>
    <row r="202">
      <c r="A202" s="270"/>
      <c r="B202" s="271"/>
      <c r="C202" s="270"/>
    </row>
    <row r="203">
      <c r="A203" s="270"/>
      <c r="B203" s="271"/>
      <c r="C203" s="270"/>
    </row>
    <row r="204">
      <c r="A204" s="270"/>
      <c r="B204" s="271"/>
      <c r="C204" s="270"/>
    </row>
    <row r="205">
      <c r="A205" s="270"/>
      <c r="B205" s="271"/>
      <c r="C205" s="270"/>
    </row>
    <row r="206">
      <c r="A206" s="270"/>
      <c r="B206" s="271"/>
      <c r="C206" s="270"/>
    </row>
    <row r="207">
      <c r="A207" s="270"/>
      <c r="B207" s="271"/>
      <c r="C207" s="270"/>
    </row>
    <row r="208">
      <c r="A208" s="270"/>
      <c r="B208" s="271"/>
      <c r="C208" s="270"/>
    </row>
    <row r="209">
      <c r="A209" s="270"/>
      <c r="B209" s="271"/>
      <c r="C209" s="270"/>
    </row>
    <row r="210">
      <c r="A210" s="270"/>
      <c r="B210" s="271"/>
      <c r="C210" s="270"/>
    </row>
    <row r="211">
      <c r="A211" s="270"/>
      <c r="B211" s="271"/>
      <c r="C211" s="270"/>
    </row>
    <row r="212">
      <c r="A212" s="270"/>
      <c r="B212" s="271"/>
      <c r="C212" s="270"/>
    </row>
    <row r="213">
      <c r="A213" s="270"/>
      <c r="B213" s="271"/>
      <c r="C213" s="270"/>
    </row>
    <row r="214">
      <c r="A214" s="270"/>
      <c r="B214" s="271"/>
      <c r="C214" s="270"/>
    </row>
    <row r="215">
      <c r="A215" s="270"/>
      <c r="B215" s="271"/>
      <c r="C215" s="270"/>
    </row>
    <row r="216">
      <c r="A216" s="26"/>
      <c r="B216" s="26"/>
      <c r="C216" s="12"/>
    </row>
    <row r="217">
      <c r="A217" s="26"/>
      <c r="B217" s="26"/>
      <c r="C217" s="12"/>
    </row>
    <row r="218">
      <c r="A218" s="26"/>
      <c r="B218" s="26"/>
      <c r="C218" s="12"/>
    </row>
    <row r="219">
      <c r="A219" s="26"/>
      <c r="B219" s="26"/>
      <c r="C219" s="12"/>
    </row>
    <row r="220">
      <c r="A220" s="26"/>
      <c r="B220" s="26"/>
      <c r="C220" s="12"/>
    </row>
    <row r="221">
      <c r="A221" s="26"/>
      <c r="B221" s="26"/>
      <c r="C221" s="12"/>
    </row>
    <row r="222">
      <c r="A222" s="26"/>
      <c r="B222" s="26"/>
      <c r="C222" s="12"/>
    </row>
    <row r="223">
      <c r="A223" s="26"/>
      <c r="B223" s="26"/>
      <c r="C223" s="12"/>
    </row>
    <row r="224">
      <c r="A224" s="26"/>
      <c r="B224" s="26"/>
      <c r="C224" s="12"/>
    </row>
    <row r="225">
      <c r="A225" s="26"/>
      <c r="B225" s="26"/>
      <c r="C225" s="12"/>
    </row>
    <row r="226">
      <c r="A226" s="26"/>
      <c r="B226" s="26"/>
      <c r="C226" s="12"/>
    </row>
    <row r="227">
      <c r="A227" s="26"/>
      <c r="B227" s="26"/>
      <c r="C227" s="12"/>
    </row>
    <row r="228">
      <c r="A228" s="26"/>
      <c r="B228" s="26"/>
      <c r="C228" s="12"/>
    </row>
    <row r="229">
      <c r="A229" s="26"/>
      <c r="B229" s="26"/>
      <c r="C229" s="12"/>
    </row>
    <row r="230">
      <c r="A230" s="26"/>
      <c r="B230" s="26"/>
      <c r="C230" s="12"/>
    </row>
    <row r="231">
      <c r="A231" s="26"/>
      <c r="B231" s="26"/>
      <c r="C231" s="12"/>
    </row>
    <row r="232">
      <c r="A232" s="26"/>
      <c r="B232" s="26"/>
      <c r="C232" s="12"/>
    </row>
    <row r="233">
      <c r="A233" s="26"/>
      <c r="B233" s="26"/>
      <c r="C233" s="12"/>
    </row>
    <row r="234">
      <c r="A234" s="26"/>
      <c r="B234" s="26"/>
      <c r="C234" s="12"/>
    </row>
    <row r="235">
      <c r="A235" s="26"/>
      <c r="B235" s="26"/>
      <c r="C235" s="12"/>
    </row>
    <row r="236">
      <c r="A236" s="26"/>
      <c r="B236" s="26"/>
      <c r="C236" s="12"/>
    </row>
    <row r="237">
      <c r="A237" s="26"/>
      <c r="B237" s="26"/>
      <c r="C237" s="12"/>
    </row>
    <row r="238">
      <c r="A238" s="26"/>
      <c r="B238" s="26"/>
      <c r="C238" s="12"/>
    </row>
    <row r="239">
      <c r="A239" s="26"/>
      <c r="B239" s="26"/>
      <c r="C239" s="12"/>
    </row>
    <row r="240">
      <c r="A240" s="26"/>
      <c r="B240" s="26"/>
      <c r="C240" s="12"/>
    </row>
    <row r="241">
      <c r="A241" s="26"/>
      <c r="B241" s="26"/>
      <c r="C241" s="12"/>
    </row>
    <row r="242">
      <c r="A242" s="26"/>
      <c r="B242" s="26"/>
      <c r="C242" s="12"/>
    </row>
    <row r="243">
      <c r="A243" s="26"/>
      <c r="B243" s="26"/>
      <c r="C243" s="12"/>
    </row>
    <row r="244">
      <c r="A244" s="26"/>
      <c r="B244" s="26"/>
      <c r="C244" s="12"/>
    </row>
    <row r="245">
      <c r="A245" s="26"/>
      <c r="B245" s="26"/>
      <c r="C245" s="12"/>
    </row>
    <row r="246">
      <c r="A246" s="26"/>
      <c r="B246" s="26"/>
      <c r="C246" s="12"/>
    </row>
    <row r="247">
      <c r="A247" s="26"/>
      <c r="B247" s="26"/>
      <c r="C247" s="12"/>
    </row>
    <row r="248">
      <c r="A248" s="26"/>
      <c r="B248" s="26"/>
      <c r="C248" s="12"/>
    </row>
    <row r="249">
      <c r="A249" s="26"/>
      <c r="B249" s="26"/>
      <c r="C249" s="12"/>
    </row>
    <row r="250">
      <c r="A250" s="26"/>
      <c r="B250" s="26"/>
      <c r="C250" s="12"/>
    </row>
    <row r="251">
      <c r="A251" s="26"/>
      <c r="B251" s="26"/>
      <c r="C251" s="12"/>
    </row>
    <row r="252">
      <c r="A252" s="26"/>
      <c r="B252" s="26"/>
      <c r="C252" s="12"/>
    </row>
    <row r="253">
      <c r="A253" s="26"/>
      <c r="B253" s="26"/>
      <c r="C253" s="12"/>
    </row>
    <row r="254">
      <c r="A254" s="26"/>
      <c r="B254" s="26"/>
      <c r="C254" s="12"/>
    </row>
    <row r="255">
      <c r="A255" s="26"/>
      <c r="B255" s="26"/>
      <c r="C255" s="12"/>
    </row>
    <row r="256">
      <c r="A256" s="26"/>
      <c r="B256" s="26"/>
      <c r="C256" s="12"/>
    </row>
    <row r="257">
      <c r="A257" s="26"/>
      <c r="B257" s="26"/>
      <c r="C257" s="12"/>
    </row>
    <row r="258">
      <c r="A258" s="26"/>
      <c r="B258" s="26"/>
      <c r="C258" s="12"/>
    </row>
    <row r="259">
      <c r="A259" s="26"/>
      <c r="B259" s="26"/>
      <c r="C259" s="12"/>
    </row>
    <row r="260">
      <c r="A260" s="26"/>
      <c r="B260" s="26"/>
      <c r="C260" s="12"/>
    </row>
    <row r="261">
      <c r="A261" s="26"/>
      <c r="B261" s="26"/>
      <c r="C261" s="12"/>
    </row>
    <row r="262">
      <c r="A262" s="26"/>
      <c r="B262" s="26"/>
      <c r="C262" s="12"/>
    </row>
    <row r="263">
      <c r="A263" s="26"/>
      <c r="B263" s="26"/>
      <c r="C263" s="12"/>
    </row>
    <row r="264">
      <c r="A264" s="26"/>
      <c r="B264" s="26"/>
      <c r="C264" s="12"/>
    </row>
    <row r="265">
      <c r="A265" s="26"/>
      <c r="B265" s="26"/>
      <c r="C265" s="12"/>
    </row>
    <row r="266">
      <c r="A266" s="26"/>
      <c r="B266" s="26"/>
      <c r="C266" s="12"/>
    </row>
    <row r="267">
      <c r="A267" s="26"/>
      <c r="B267" s="26"/>
      <c r="C267" s="12"/>
    </row>
    <row r="268">
      <c r="A268" s="26"/>
      <c r="B268" s="26"/>
      <c r="C268" s="12"/>
    </row>
    <row r="269">
      <c r="A269" s="26"/>
      <c r="B269" s="26"/>
      <c r="C269" s="12"/>
    </row>
    <row r="270">
      <c r="A270" s="26"/>
      <c r="B270" s="26"/>
      <c r="C270" s="12"/>
    </row>
    <row r="271">
      <c r="A271" s="26"/>
      <c r="B271" s="26"/>
      <c r="C271" s="12"/>
    </row>
    <row r="272">
      <c r="A272" s="26"/>
      <c r="B272" s="26"/>
      <c r="C272" s="12"/>
    </row>
    <row r="273">
      <c r="A273" s="26"/>
      <c r="B273" s="26"/>
      <c r="C273" s="12"/>
    </row>
    <row r="274">
      <c r="A274" s="26"/>
      <c r="B274" s="26"/>
      <c r="C274" s="12"/>
    </row>
    <row r="275">
      <c r="A275" s="26"/>
      <c r="B275" s="26"/>
      <c r="C275" s="12"/>
    </row>
    <row r="276">
      <c r="A276" s="26"/>
      <c r="B276" s="26"/>
      <c r="C276" s="12"/>
    </row>
    <row r="277">
      <c r="A277" s="26"/>
      <c r="B277" s="26"/>
      <c r="C277" s="12"/>
    </row>
    <row r="278">
      <c r="A278" s="26"/>
      <c r="B278" s="26"/>
      <c r="C278" s="12"/>
    </row>
    <row r="279">
      <c r="A279" s="26"/>
      <c r="B279" s="26"/>
      <c r="C279" s="12"/>
    </row>
    <row r="280">
      <c r="A280" s="26"/>
      <c r="B280" s="26"/>
      <c r="C280" s="12"/>
    </row>
    <row r="281">
      <c r="A281" s="26"/>
      <c r="B281" s="26"/>
      <c r="C281" s="12"/>
    </row>
    <row r="282">
      <c r="A282" s="26"/>
      <c r="B282" s="26"/>
      <c r="C282" s="12"/>
    </row>
    <row r="283">
      <c r="A283" s="26"/>
      <c r="B283" s="26"/>
      <c r="C283" s="12"/>
    </row>
    <row r="284">
      <c r="A284" s="26"/>
      <c r="B284" s="26"/>
      <c r="C284" s="12"/>
    </row>
    <row r="285">
      <c r="A285" s="26"/>
      <c r="B285" s="26"/>
      <c r="C285" s="12"/>
    </row>
    <row r="286">
      <c r="A286" s="26"/>
      <c r="B286" s="26"/>
      <c r="C286" s="12"/>
    </row>
    <row r="287">
      <c r="A287" s="26"/>
      <c r="B287" s="26"/>
      <c r="C287" s="12"/>
    </row>
    <row r="288">
      <c r="A288" s="26"/>
      <c r="B288" s="26"/>
      <c r="C288" s="12"/>
    </row>
    <row r="289">
      <c r="A289" s="26"/>
      <c r="B289" s="26"/>
      <c r="C289" s="12"/>
    </row>
    <row r="290">
      <c r="A290" s="26"/>
      <c r="B290" s="26"/>
      <c r="C290" s="12"/>
    </row>
    <row r="291">
      <c r="A291" s="26"/>
      <c r="B291" s="26"/>
      <c r="C291" s="12"/>
    </row>
    <row r="292">
      <c r="A292" s="26"/>
      <c r="B292" s="26"/>
      <c r="C292" s="12"/>
    </row>
    <row r="293">
      <c r="A293" s="26"/>
      <c r="B293" s="26"/>
      <c r="C293" s="12"/>
    </row>
    <row r="294">
      <c r="A294" s="26"/>
      <c r="B294" s="26"/>
      <c r="C294" s="12"/>
    </row>
    <row r="295">
      <c r="A295" s="26"/>
      <c r="B295" s="26"/>
      <c r="C295" s="12"/>
    </row>
    <row r="296">
      <c r="A296" s="26"/>
      <c r="B296" s="26"/>
      <c r="C296" s="12"/>
    </row>
    <row r="297">
      <c r="A297" s="26"/>
      <c r="B297" s="26"/>
      <c r="C297" s="12"/>
    </row>
    <row r="298">
      <c r="A298" s="26"/>
      <c r="B298" s="26"/>
      <c r="C298" s="12"/>
    </row>
    <row r="299">
      <c r="A299" s="26"/>
      <c r="B299" s="26"/>
      <c r="C299" s="12"/>
    </row>
    <row r="300">
      <c r="A300" s="26"/>
      <c r="B300" s="26"/>
      <c r="C300" s="12"/>
    </row>
    <row r="301">
      <c r="A301" s="26"/>
      <c r="B301" s="26"/>
      <c r="C301" s="12"/>
    </row>
    <row r="302">
      <c r="A302" s="26"/>
      <c r="B302" s="26"/>
      <c r="C302" s="12"/>
    </row>
    <row r="303">
      <c r="A303" s="26"/>
      <c r="B303" s="26"/>
      <c r="C303" s="12"/>
    </row>
    <row r="304">
      <c r="A304" s="26"/>
      <c r="B304" s="26"/>
      <c r="C304" s="12"/>
    </row>
    <row r="305">
      <c r="A305" s="26"/>
      <c r="B305" s="26"/>
      <c r="C305" s="12"/>
    </row>
    <row r="306">
      <c r="A306" s="26"/>
      <c r="B306" s="26"/>
      <c r="C306" s="12"/>
    </row>
    <row r="307">
      <c r="A307" s="26"/>
      <c r="B307" s="26"/>
      <c r="C307" s="12"/>
    </row>
    <row r="308">
      <c r="A308" s="26"/>
      <c r="B308" s="26"/>
      <c r="C308" s="12"/>
    </row>
    <row r="309">
      <c r="A309" s="26"/>
      <c r="B309" s="26"/>
      <c r="C309" s="12"/>
    </row>
    <row r="310">
      <c r="A310" s="26"/>
      <c r="B310" s="26"/>
      <c r="C310" s="12"/>
    </row>
    <row r="311">
      <c r="A311" s="26"/>
      <c r="B311" s="26"/>
      <c r="C311" s="12"/>
    </row>
    <row r="312">
      <c r="A312" s="26"/>
      <c r="B312" s="26"/>
      <c r="C312" s="12"/>
    </row>
    <row r="313">
      <c r="A313" s="26"/>
      <c r="B313" s="26"/>
      <c r="C313" s="12"/>
    </row>
    <row r="314">
      <c r="A314" s="26"/>
      <c r="B314" s="26"/>
      <c r="C314" s="12"/>
    </row>
    <row r="315">
      <c r="A315" s="26"/>
      <c r="B315" s="26"/>
      <c r="C315" s="12"/>
    </row>
    <row r="316">
      <c r="A316" s="26"/>
      <c r="B316" s="26"/>
      <c r="C316" s="12"/>
    </row>
    <row r="317">
      <c r="A317" s="26"/>
      <c r="B317" s="26"/>
      <c r="C317" s="12"/>
    </row>
    <row r="318">
      <c r="A318" s="26"/>
      <c r="B318" s="26"/>
      <c r="C318" s="12"/>
    </row>
    <row r="319">
      <c r="A319" s="26"/>
      <c r="B319" s="26"/>
      <c r="C319" s="12"/>
    </row>
    <row r="320">
      <c r="A320" s="26"/>
      <c r="B320" s="26"/>
      <c r="C320" s="12"/>
    </row>
    <row r="321">
      <c r="A321" s="26"/>
      <c r="B321" s="26"/>
      <c r="C321" s="12"/>
    </row>
    <row r="322">
      <c r="A322" s="26"/>
      <c r="B322" s="26"/>
      <c r="C322" s="12"/>
    </row>
    <row r="323">
      <c r="A323" s="26"/>
      <c r="B323" s="26"/>
      <c r="C323" s="12"/>
    </row>
    <row r="324">
      <c r="A324" s="26"/>
      <c r="B324" s="26"/>
      <c r="C324" s="12"/>
    </row>
    <row r="325">
      <c r="A325" s="26"/>
      <c r="B325" s="26"/>
      <c r="C325" s="12"/>
    </row>
    <row r="326">
      <c r="A326" s="26"/>
      <c r="B326" s="26"/>
      <c r="C326" s="12"/>
    </row>
    <row r="327">
      <c r="A327" s="26"/>
      <c r="B327" s="26"/>
      <c r="C327" s="12"/>
    </row>
    <row r="328">
      <c r="A328" s="26"/>
      <c r="B328" s="26"/>
      <c r="C328" s="12"/>
    </row>
    <row r="329">
      <c r="A329" s="26"/>
      <c r="B329" s="26"/>
      <c r="C329" s="12"/>
    </row>
    <row r="330">
      <c r="A330" s="26"/>
      <c r="B330" s="26"/>
      <c r="C330" s="12"/>
    </row>
    <row r="331">
      <c r="A331" s="26"/>
      <c r="B331" s="26"/>
      <c r="C331" s="12"/>
    </row>
    <row r="332">
      <c r="A332" s="26"/>
      <c r="B332" s="26"/>
      <c r="C332" s="12"/>
    </row>
    <row r="333">
      <c r="A333" s="26"/>
      <c r="B333" s="26"/>
      <c r="C333" s="12"/>
    </row>
    <row r="334">
      <c r="A334" s="26"/>
      <c r="B334" s="26"/>
      <c r="C334" s="12"/>
    </row>
    <row r="335">
      <c r="A335" s="26"/>
      <c r="B335" s="26"/>
      <c r="C335" s="12"/>
    </row>
    <row r="336">
      <c r="A336" s="26"/>
      <c r="B336" s="26"/>
      <c r="C336" s="12"/>
    </row>
    <row r="337">
      <c r="A337" s="26"/>
      <c r="B337" s="26"/>
      <c r="C337" s="12"/>
    </row>
    <row r="338">
      <c r="A338" s="26"/>
      <c r="B338" s="26"/>
      <c r="C338" s="12"/>
    </row>
    <row r="339">
      <c r="A339" s="26"/>
      <c r="B339" s="26"/>
      <c r="C339" s="12"/>
    </row>
    <row r="340">
      <c r="A340" s="26"/>
      <c r="B340" s="26"/>
      <c r="C340" s="12"/>
    </row>
    <row r="341">
      <c r="A341" s="26"/>
      <c r="B341" s="26"/>
      <c r="C341" s="12"/>
    </row>
    <row r="342">
      <c r="A342" s="26"/>
      <c r="B342" s="26"/>
      <c r="C342" s="12"/>
    </row>
    <row r="343">
      <c r="A343" s="26"/>
      <c r="B343" s="26"/>
      <c r="C343" s="12"/>
    </row>
    <row r="344">
      <c r="A344" s="26"/>
      <c r="B344" s="26"/>
      <c r="C344" s="12"/>
    </row>
    <row r="345">
      <c r="A345" s="26"/>
      <c r="B345" s="26"/>
      <c r="C345" s="12"/>
    </row>
    <row r="346">
      <c r="A346" s="26"/>
      <c r="B346" s="26"/>
      <c r="C346" s="12"/>
    </row>
    <row r="347">
      <c r="A347" s="26"/>
      <c r="B347" s="26"/>
      <c r="C347" s="12"/>
    </row>
    <row r="348">
      <c r="A348" s="26"/>
      <c r="B348" s="26"/>
      <c r="C348" s="12"/>
    </row>
    <row r="349">
      <c r="A349" s="26"/>
      <c r="B349" s="26"/>
      <c r="C349" s="12"/>
    </row>
    <row r="350">
      <c r="A350" s="26"/>
      <c r="B350" s="26"/>
      <c r="C350" s="12"/>
    </row>
    <row r="351">
      <c r="A351" s="26"/>
      <c r="B351" s="26"/>
      <c r="C351" s="12"/>
    </row>
    <row r="352">
      <c r="A352" s="26"/>
      <c r="B352" s="26"/>
      <c r="C352" s="12"/>
    </row>
    <row r="353">
      <c r="A353" s="26"/>
      <c r="B353" s="26"/>
      <c r="C353" s="12"/>
    </row>
    <row r="354">
      <c r="A354" s="26"/>
      <c r="B354" s="26"/>
      <c r="C354" s="12"/>
    </row>
    <row r="355">
      <c r="A355" s="26"/>
      <c r="B355" s="26"/>
      <c r="C355" s="12"/>
    </row>
    <row r="356">
      <c r="A356" s="26"/>
      <c r="B356" s="26"/>
      <c r="C356" s="12"/>
    </row>
    <row r="357">
      <c r="A357" s="26"/>
      <c r="B357" s="26"/>
      <c r="C357" s="12"/>
    </row>
    <row r="358">
      <c r="A358" s="26"/>
      <c r="B358" s="26"/>
      <c r="C358" s="12"/>
    </row>
    <row r="359">
      <c r="A359" s="26"/>
      <c r="B359" s="26"/>
      <c r="C359" s="12"/>
    </row>
    <row r="360">
      <c r="A360" s="26"/>
      <c r="B360" s="26"/>
      <c r="C360" s="12"/>
    </row>
    <row r="361">
      <c r="A361" s="26"/>
      <c r="B361" s="26"/>
      <c r="C361" s="12"/>
    </row>
    <row r="362">
      <c r="A362" s="26"/>
      <c r="B362" s="26"/>
      <c r="C362" s="12"/>
    </row>
    <row r="363">
      <c r="A363" s="26"/>
      <c r="B363" s="26"/>
      <c r="C363" s="12"/>
    </row>
    <row r="364">
      <c r="A364" s="26"/>
      <c r="B364" s="26"/>
      <c r="C364" s="12"/>
    </row>
    <row r="365">
      <c r="A365" s="26"/>
      <c r="B365" s="26"/>
      <c r="C365" s="12"/>
    </row>
    <row r="366">
      <c r="A366" s="26"/>
      <c r="B366" s="26"/>
      <c r="C366" s="12"/>
    </row>
    <row r="367">
      <c r="A367" s="26"/>
      <c r="B367" s="26"/>
      <c r="C367" s="12"/>
    </row>
    <row r="368">
      <c r="A368" s="26"/>
      <c r="B368" s="26"/>
      <c r="C368" s="12"/>
    </row>
    <row r="369">
      <c r="A369" s="26"/>
      <c r="B369" s="26"/>
      <c r="C369" s="12"/>
    </row>
    <row r="370">
      <c r="A370" s="26"/>
      <c r="B370" s="26"/>
      <c r="C370" s="12"/>
    </row>
    <row r="371">
      <c r="A371" s="26"/>
      <c r="B371" s="26"/>
      <c r="C371" s="12"/>
    </row>
    <row r="372">
      <c r="A372" s="26"/>
      <c r="B372" s="26"/>
      <c r="C372" s="12"/>
    </row>
    <row r="373">
      <c r="A373" s="26"/>
      <c r="B373" s="26"/>
      <c r="C373" s="12"/>
    </row>
    <row r="374">
      <c r="A374" s="26"/>
      <c r="B374" s="26"/>
      <c r="C374" s="12"/>
    </row>
    <row r="375">
      <c r="A375" s="26"/>
      <c r="B375" s="26"/>
      <c r="C375" s="12"/>
    </row>
    <row r="376">
      <c r="A376" s="26"/>
      <c r="B376" s="26"/>
      <c r="C376" s="12"/>
    </row>
    <row r="377">
      <c r="A377" s="26"/>
      <c r="B377" s="26"/>
      <c r="C377" s="12"/>
    </row>
    <row r="378">
      <c r="A378" s="26"/>
      <c r="B378" s="26"/>
      <c r="C378" s="12"/>
    </row>
    <row r="379">
      <c r="A379" s="26"/>
      <c r="B379" s="26"/>
      <c r="C379" s="12"/>
    </row>
    <row r="380">
      <c r="A380" s="26"/>
      <c r="B380" s="26"/>
      <c r="C380" s="12"/>
    </row>
    <row r="381">
      <c r="A381" s="26"/>
      <c r="B381" s="26"/>
      <c r="C381" s="12"/>
    </row>
    <row r="382">
      <c r="A382" s="26"/>
      <c r="B382" s="26"/>
      <c r="C382" s="12"/>
    </row>
    <row r="383">
      <c r="A383" s="26"/>
      <c r="B383" s="26"/>
      <c r="C383" s="12"/>
    </row>
    <row r="384">
      <c r="A384" s="26"/>
      <c r="B384" s="26"/>
      <c r="C384" s="12"/>
    </row>
    <row r="385">
      <c r="A385" s="26"/>
      <c r="B385" s="26"/>
      <c r="C385" s="12"/>
    </row>
    <row r="386">
      <c r="A386" s="26"/>
      <c r="B386" s="26"/>
      <c r="C386" s="12"/>
    </row>
    <row r="387">
      <c r="A387" s="26"/>
      <c r="B387" s="26"/>
      <c r="C387" s="12"/>
    </row>
    <row r="388">
      <c r="A388" s="26"/>
      <c r="B388" s="26"/>
      <c r="C388" s="12"/>
    </row>
    <row r="389">
      <c r="A389" s="26"/>
      <c r="B389" s="26"/>
      <c r="C389" s="12"/>
    </row>
    <row r="390">
      <c r="A390" s="26"/>
      <c r="B390" s="26"/>
      <c r="C390" s="12"/>
    </row>
    <row r="391">
      <c r="A391" s="26"/>
      <c r="B391" s="26"/>
      <c r="C391" s="12"/>
    </row>
    <row r="392">
      <c r="A392" s="26"/>
      <c r="B392" s="26"/>
      <c r="C392" s="12"/>
    </row>
    <row r="393">
      <c r="A393" s="26"/>
      <c r="B393" s="26"/>
      <c r="C393" s="12"/>
    </row>
    <row r="394">
      <c r="A394" s="26"/>
      <c r="B394" s="26"/>
      <c r="C394" s="12"/>
    </row>
    <row r="395">
      <c r="A395" s="26"/>
      <c r="B395" s="26"/>
      <c r="C395" s="12"/>
    </row>
    <row r="396">
      <c r="A396" s="26"/>
      <c r="B396" s="26"/>
      <c r="C396" s="12"/>
    </row>
    <row r="397">
      <c r="A397" s="26"/>
      <c r="B397" s="26"/>
      <c r="C397" s="12"/>
    </row>
    <row r="398">
      <c r="A398" s="26"/>
      <c r="B398" s="26"/>
      <c r="C398" s="12"/>
    </row>
    <row r="399">
      <c r="A399" s="26"/>
      <c r="B399" s="26"/>
      <c r="C399" s="12"/>
    </row>
    <row r="400">
      <c r="A400" s="26"/>
      <c r="B400" s="26"/>
      <c r="C400" s="12"/>
    </row>
    <row r="401">
      <c r="A401" s="26"/>
      <c r="B401" s="26"/>
      <c r="C401" s="12"/>
    </row>
    <row r="402">
      <c r="A402" s="26"/>
      <c r="B402" s="26"/>
      <c r="C402" s="12"/>
    </row>
    <row r="403">
      <c r="A403" s="26"/>
      <c r="B403" s="26"/>
      <c r="C403" s="12"/>
    </row>
    <row r="404">
      <c r="A404" s="26"/>
      <c r="B404" s="26"/>
      <c r="C404" s="12"/>
    </row>
    <row r="405">
      <c r="A405" s="26"/>
      <c r="B405" s="26"/>
      <c r="C405" s="12"/>
    </row>
    <row r="406">
      <c r="A406" s="26"/>
      <c r="B406" s="26"/>
      <c r="C406" s="12"/>
    </row>
    <row r="407">
      <c r="A407" s="26"/>
      <c r="B407" s="26"/>
      <c r="C407" s="12"/>
    </row>
    <row r="408">
      <c r="A408" s="26"/>
      <c r="B408" s="26"/>
      <c r="C408" s="12"/>
    </row>
    <row r="409">
      <c r="A409" s="26"/>
      <c r="B409" s="26"/>
      <c r="C409" s="12"/>
    </row>
    <row r="410">
      <c r="A410" s="26"/>
      <c r="B410" s="26"/>
      <c r="C410" s="12"/>
    </row>
    <row r="411">
      <c r="A411" s="26"/>
      <c r="B411" s="26"/>
      <c r="C411" s="12"/>
    </row>
    <row r="412">
      <c r="A412" s="26"/>
      <c r="B412" s="26"/>
      <c r="C412" s="12"/>
    </row>
    <row r="413">
      <c r="A413" s="26"/>
      <c r="B413" s="26"/>
      <c r="C413" s="12"/>
    </row>
    <row r="414">
      <c r="A414" s="26"/>
      <c r="B414" s="26"/>
      <c r="C414" s="12"/>
    </row>
    <row r="415">
      <c r="A415" s="26"/>
      <c r="B415" s="26"/>
      <c r="C415" s="12"/>
    </row>
    <row r="416">
      <c r="A416" s="26"/>
      <c r="B416" s="26"/>
      <c r="C416" s="12"/>
    </row>
    <row r="417">
      <c r="A417" s="26"/>
      <c r="B417" s="26"/>
      <c r="C417" s="12"/>
    </row>
    <row r="418">
      <c r="A418" s="26"/>
      <c r="B418" s="26"/>
      <c r="C418" s="12"/>
    </row>
    <row r="419">
      <c r="A419" s="26"/>
      <c r="B419" s="26"/>
      <c r="C419" s="12"/>
    </row>
    <row r="420">
      <c r="A420" s="26"/>
      <c r="B420" s="26"/>
      <c r="C420" s="12"/>
    </row>
    <row r="421">
      <c r="A421" s="26"/>
      <c r="B421" s="26"/>
      <c r="C421" s="12"/>
    </row>
    <row r="422">
      <c r="A422" s="26"/>
      <c r="B422" s="26"/>
      <c r="C422" s="12"/>
    </row>
    <row r="423">
      <c r="A423" s="26"/>
      <c r="B423" s="26"/>
      <c r="C423" s="12"/>
    </row>
    <row r="424">
      <c r="A424" s="26"/>
      <c r="B424" s="26"/>
      <c r="C424" s="12"/>
    </row>
    <row r="425">
      <c r="A425" s="26"/>
      <c r="B425" s="26"/>
      <c r="C425" s="12"/>
    </row>
    <row r="426">
      <c r="A426" s="26"/>
      <c r="B426" s="26"/>
      <c r="C426" s="12"/>
    </row>
    <row r="427">
      <c r="A427" s="26"/>
      <c r="B427" s="26"/>
      <c r="C427" s="12"/>
    </row>
    <row r="428">
      <c r="A428" s="26"/>
      <c r="B428" s="26"/>
      <c r="C428" s="12"/>
    </row>
    <row r="429">
      <c r="A429" s="26"/>
      <c r="B429" s="26"/>
      <c r="C429" s="12"/>
    </row>
    <row r="430">
      <c r="A430" s="26"/>
      <c r="B430" s="26"/>
      <c r="C430" s="12"/>
    </row>
    <row r="431">
      <c r="A431" s="26"/>
      <c r="B431" s="26"/>
      <c r="C431" s="12"/>
    </row>
    <row r="432">
      <c r="A432" s="26"/>
      <c r="B432" s="26"/>
      <c r="C432" s="12"/>
    </row>
    <row r="433">
      <c r="A433" s="26"/>
      <c r="B433" s="26"/>
      <c r="C433" s="12"/>
    </row>
    <row r="434">
      <c r="A434" s="26"/>
      <c r="B434" s="26"/>
      <c r="C434" s="12"/>
    </row>
    <row r="435">
      <c r="A435" s="26"/>
      <c r="B435" s="26"/>
      <c r="C435" s="12"/>
    </row>
    <row r="436">
      <c r="A436" s="26"/>
      <c r="B436" s="26"/>
      <c r="C436" s="12"/>
    </row>
    <row r="437">
      <c r="A437" s="26"/>
      <c r="B437" s="26"/>
      <c r="C437" s="12"/>
    </row>
    <row r="438">
      <c r="A438" s="26"/>
      <c r="B438" s="26"/>
      <c r="C438" s="12"/>
    </row>
    <row r="439">
      <c r="A439" s="26"/>
      <c r="B439" s="26"/>
      <c r="C439" s="12"/>
    </row>
    <row r="440">
      <c r="A440" s="26"/>
      <c r="B440" s="26"/>
      <c r="C440" s="12"/>
    </row>
    <row r="441">
      <c r="A441" s="26"/>
      <c r="B441" s="26"/>
      <c r="C441" s="12"/>
    </row>
    <row r="442">
      <c r="A442" s="26"/>
      <c r="B442" s="26"/>
      <c r="C442" s="12"/>
    </row>
    <row r="443">
      <c r="A443" s="26"/>
      <c r="B443" s="26"/>
      <c r="C443" s="12"/>
    </row>
    <row r="444">
      <c r="A444" s="26"/>
      <c r="B444" s="26"/>
      <c r="C444" s="12"/>
    </row>
    <row r="445">
      <c r="A445" s="26"/>
      <c r="B445" s="26"/>
      <c r="C445" s="12"/>
    </row>
    <row r="446">
      <c r="A446" s="26"/>
      <c r="B446" s="26"/>
      <c r="C446" s="12"/>
    </row>
    <row r="447">
      <c r="A447" s="26"/>
      <c r="B447" s="26"/>
      <c r="C447" s="12"/>
    </row>
    <row r="448">
      <c r="A448" s="26"/>
      <c r="B448" s="26"/>
      <c r="C448" s="12"/>
    </row>
    <row r="449">
      <c r="A449" s="26"/>
      <c r="B449" s="26"/>
      <c r="C449" s="12"/>
    </row>
    <row r="450">
      <c r="A450" s="26"/>
      <c r="B450" s="26"/>
      <c r="C450" s="12"/>
    </row>
    <row r="451">
      <c r="A451" s="26"/>
      <c r="B451" s="26"/>
      <c r="C451" s="12"/>
    </row>
    <row r="452">
      <c r="A452" s="26"/>
      <c r="B452" s="26"/>
      <c r="C452" s="12"/>
    </row>
    <row r="453">
      <c r="A453" s="26"/>
      <c r="B453" s="26"/>
      <c r="C453" s="12"/>
    </row>
    <row r="454">
      <c r="A454" s="26"/>
      <c r="B454" s="26"/>
      <c r="C454" s="12"/>
    </row>
    <row r="455">
      <c r="A455" s="26"/>
      <c r="B455" s="26"/>
      <c r="C455" s="12"/>
    </row>
    <row r="456">
      <c r="A456" s="26"/>
      <c r="B456" s="26"/>
      <c r="C456" s="12"/>
    </row>
    <row r="457">
      <c r="A457" s="26"/>
      <c r="B457" s="26"/>
      <c r="C457" s="12"/>
    </row>
    <row r="458">
      <c r="A458" s="26"/>
      <c r="B458" s="26"/>
      <c r="C458" s="12"/>
    </row>
    <row r="459">
      <c r="A459" s="26"/>
      <c r="B459" s="26"/>
      <c r="C459" s="12"/>
    </row>
    <row r="460">
      <c r="A460" s="26"/>
      <c r="B460" s="26"/>
      <c r="C460" s="12"/>
    </row>
    <row r="461">
      <c r="A461" s="26"/>
      <c r="B461" s="26"/>
      <c r="C461" s="12"/>
    </row>
    <row r="462">
      <c r="A462" s="26"/>
      <c r="B462" s="26"/>
      <c r="C462" s="12"/>
    </row>
    <row r="463">
      <c r="A463" s="26"/>
      <c r="B463" s="26"/>
      <c r="C463" s="12"/>
    </row>
    <row r="464">
      <c r="A464" s="26"/>
      <c r="B464" s="26"/>
      <c r="C464" s="12"/>
    </row>
    <row r="465">
      <c r="A465" s="26"/>
      <c r="B465" s="26"/>
      <c r="C465" s="12"/>
    </row>
    <row r="466">
      <c r="A466" s="26"/>
      <c r="B466" s="26"/>
      <c r="C466" s="12"/>
    </row>
    <row r="467">
      <c r="A467" s="26"/>
      <c r="B467" s="26"/>
      <c r="C467" s="12"/>
    </row>
    <row r="468">
      <c r="A468" s="26"/>
      <c r="B468" s="26"/>
      <c r="C468" s="12"/>
    </row>
    <row r="469">
      <c r="A469" s="26"/>
      <c r="B469" s="26"/>
      <c r="C469" s="12"/>
    </row>
    <row r="470">
      <c r="A470" s="26"/>
      <c r="B470" s="26"/>
      <c r="C470" s="12"/>
    </row>
    <row r="471">
      <c r="A471" s="26"/>
      <c r="B471" s="26"/>
      <c r="C471" s="12"/>
    </row>
    <row r="472">
      <c r="A472" s="26"/>
      <c r="B472" s="26"/>
      <c r="C472" s="12"/>
    </row>
    <row r="473">
      <c r="A473" s="26"/>
      <c r="B473" s="26"/>
      <c r="C473" s="12"/>
    </row>
    <row r="474">
      <c r="A474" s="26"/>
      <c r="B474" s="26"/>
      <c r="C474" s="12"/>
    </row>
    <row r="475">
      <c r="A475" s="26"/>
      <c r="B475" s="26"/>
      <c r="C475" s="12"/>
    </row>
    <row r="476">
      <c r="A476" s="26"/>
      <c r="B476" s="26"/>
      <c r="C476" s="12"/>
    </row>
    <row r="477">
      <c r="A477" s="26"/>
      <c r="B477" s="26"/>
      <c r="C477" s="12"/>
    </row>
    <row r="478">
      <c r="A478" s="26"/>
      <c r="B478" s="26"/>
      <c r="C478" s="12"/>
    </row>
    <row r="479">
      <c r="A479" s="26"/>
      <c r="B479" s="26"/>
      <c r="C479" s="12"/>
    </row>
    <row r="480">
      <c r="A480" s="26"/>
      <c r="B480" s="26"/>
      <c r="C480" s="12"/>
    </row>
    <row r="481">
      <c r="A481" s="26"/>
      <c r="B481" s="26"/>
      <c r="C481" s="12"/>
    </row>
    <row r="482">
      <c r="A482" s="26"/>
      <c r="B482" s="26"/>
      <c r="C482" s="12"/>
    </row>
    <row r="483">
      <c r="A483" s="26"/>
      <c r="B483" s="26"/>
      <c r="C483" s="12"/>
    </row>
    <row r="484">
      <c r="A484" s="26"/>
      <c r="B484" s="26"/>
      <c r="C484" s="12"/>
    </row>
    <row r="485">
      <c r="A485" s="26"/>
      <c r="B485" s="26"/>
      <c r="C485" s="12"/>
    </row>
    <row r="486">
      <c r="A486" s="26"/>
      <c r="B486" s="26"/>
      <c r="C486" s="12"/>
    </row>
    <row r="487">
      <c r="A487" s="26"/>
      <c r="B487" s="26"/>
      <c r="C487" s="12"/>
    </row>
    <row r="488">
      <c r="A488" s="26"/>
      <c r="B488" s="26"/>
      <c r="C488" s="12"/>
    </row>
    <row r="489">
      <c r="A489" s="26"/>
      <c r="B489" s="26"/>
      <c r="C489" s="12"/>
    </row>
    <row r="490">
      <c r="A490" s="26"/>
      <c r="B490" s="26"/>
      <c r="C490" s="12"/>
    </row>
    <row r="491">
      <c r="A491" s="26"/>
      <c r="B491" s="26"/>
      <c r="C491" s="12"/>
    </row>
    <row r="492">
      <c r="A492" s="26"/>
      <c r="B492" s="26"/>
      <c r="C492" s="12"/>
    </row>
    <row r="493">
      <c r="A493" s="26"/>
      <c r="B493" s="26"/>
      <c r="C493" s="12"/>
    </row>
    <row r="494">
      <c r="A494" s="26"/>
      <c r="B494" s="26"/>
      <c r="C494" s="12"/>
    </row>
    <row r="495">
      <c r="A495" s="26"/>
      <c r="B495" s="26"/>
      <c r="C495" s="12"/>
    </row>
    <row r="496">
      <c r="A496" s="26"/>
      <c r="B496" s="26"/>
      <c r="C496" s="12"/>
    </row>
    <row r="497">
      <c r="A497" s="26"/>
      <c r="B497" s="26"/>
      <c r="C497" s="12"/>
    </row>
    <row r="498">
      <c r="A498" s="26"/>
      <c r="B498" s="26"/>
      <c r="C498" s="12"/>
    </row>
    <row r="499">
      <c r="A499" s="26"/>
      <c r="B499" s="26"/>
      <c r="C499" s="12"/>
    </row>
    <row r="500">
      <c r="A500" s="26"/>
      <c r="B500" s="26"/>
      <c r="C500" s="12"/>
    </row>
    <row r="501">
      <c r="A501" s="26"/>
      <c r="B501" s="26"/>
      <c r="C501" s="12"/>
    </row>
    <row r="502">
      <c r="A502" s="26"/>
      <c r="B502" s="26"/>
      <c r="C502" s="12"/>
    </row>
    <row r="503">
      <c r="A503" s="26"/>
      <c r="B503" s="26"/>
      <c r="C503" s="12"/>
    </row>
    <row r="504">
      <c r="A504" s="26"/>
      <c r="B504" s="26"/>
      <c r="C504" s="12"/>
    </row>
    <row r="505">
      <c r="A505" s="26"/>
      <c r="B505" s="26"/>
      <c r="C505" s="12"/>
    </row>
    <row r="506">
      <c r="A506" s="26"/>
      <c r="B506" s="26"/>
      <c r="C506" s="12"/>
    </row>
    <row r="507">
      <c r="A507" s="26"/>
      <c r="B507" s="26"/>
      <c r="C507" s="12"/>
    </row>
    <row r="508">
      <c r="A508" s="26"/>
      <c r="B508" s="26"/>
      <c r="C508" s="12"/>
    </row>
    <row r="509">
      <c r="A509" s="26"/>
      <c r="B509" s="26"/>
      <c r="C509" s="12"/>
    </row>
    <row r="510">
      <c r="A510" s="26"/>
      <c r="B510" s="26"/>
      <c r="C510" s="12"/>
    </row>
    <row r="511">
      <c r="A511" s="26"/>
      <c r="B511" s="26"/>
      <c r="C511" s="12"/>
    </row>
    <row r="512">
      <c r="A512" s="26"/>
      <c r="B512" s="26"/>
      <c r="C512" s="12"/>
    </row>
    <row r="513">
      <c r="A513" s="26"/>
      <c r="B513" s="26"/>
      <c r="C513" s="12"/>
    </row>
    <row r="514">
      <c r="A514" s="26"/>
      <c r="B514" s="26"/>
      <c r="C514" s="12"/>
    </row>
    <row r="515">
      <c r="A515" s="26"/>
      <c r="B515" s="26"/>
      <c r="C515" s="12"/>
    </row>
    <row r="516">
      <c r="A516" s="26"/>
      <c r="B516" s="26"/>
      <c r="C516" s="12"/>
    </row>
    <row r="517">
      <c r="A517" s="26"/>
      <c r="B517" s="26"/>
      <c r="C517" s="12"/>
    </row>
    <row r="518">
      <c r="A518" s="26"/>
      <c r="B518" s="26"/>
      <c r="C518" s="12"/>
    </row>
    <row r="519">
      <c r="A519" s="26"/>
      <c r="B519" s="26"/>
      <c r="C519" s="12"/>
    </row>
    <row r="520">
      <c r="A520" s="26"/>
      <c r="B520" s="26"/>
      <c r="C520" s="12"/>
    </row>
    <row r="521">
      <c r="A521" s="26"/>
      <c r="B521" s="26"/>
      <c r="C521" s="12"/>
    </row>
    <row r="522">
      <c r="A522" s="26"/>
      <c r="B522" s="26"/>
      <c r="C522" s="12"/>
    </row>
    <row r="523">
      <c r="A523" s="26"/>
      <c r="B523" s="26"/>
      <c r="C523" s="12"/>
    </row>
    <row r="524">
      <c r="A524" s="26"/>
      <c r="B524" s="26"/>
      <c r="C524" s="12"/>
    </row>
    <row r="525">
      <c r="A525" s="26"/>
      <c r="B525" s="26"/>
      <c r="C525" s="12"/>
    </row>
    <row r="526">
      <c r="A526" s="26"/>
      <c r="B526" s="26"/>
      <c r="C526" s="12"/>
    </row>
    <row r="527">
      <c r="A527" s="26"/>
      <c r="B527" s="26"/>
      <c r="C527" s="12"/>
    </row>
    <row r="528">
      <c r="A528" s="26"/>
      <c r="B528" s="26"/>
      <c r="C528" s="12"/>
    </row>
    <row r="529">
      <c r="A529" s="26"/>
      <c r="B529" s="26"/>
      <c r="C529" s="12"/>
    </row>
    <row r="530">
      <c r="A530" s="26"/>
      <c r="B530" s="26"/>
      <c r="C530" s="12"/>
    </row>
    <row r="531">
      <c r="A531" s="26"/>
      <c r="B531" s="26"/>
      <c r="C531" s="12"/>
    </row>
    <row r="532">
      <c r="A532" s="26"/>
      <c r="B532" s="26"/>
      <c r="C532" s="12"/>
    </row>
    <row r="533">
      <c r="A533" s="26"/>
      <c r="B533" s="26"/>
      <c r="C533" s="12"/>
    </row>
    <row r="534">
      <c r="A534" s="26"/>
      <c r="B534" s="26"/>
      <c r="C534" s="12"/>
    </row>
    <row r="535">
      <c r="A535" s="26"/>
      <c r="B535" s="26"/>
      <c r="C535" s="12"/>
    </row>
    <row r="536">
      <c r="A536" s="26"/>
      <c r="B536" s="26"/>
      <c r="C536" s="12"/>
    </row>
    <row r="537">
      <c r="A537" s="26"/>
      <c r="B537" s="26"/>
      <c r="C537" s="12"/>
    </row>
    <row r="538">
      <c r="A538" s="26"/>
      <c r="B538" s="26"/>
      <c r="C538" s="12"/>
    </row>
    <row r="539">
      <c r="A539" s="26"/>
      <c r="B539" s="26"/>
      <c r="C539" s="12"/>
    </row>
    <row r="540">
      <c r="A540" s="26"/>
      <c r="B540" s="26"/>
      <c r="C540" s="12"/>
    </row>
    <row r="541">
      <c r="A541" s="26"/>
      <c r="B541" s="26"/>
      <c r="C541" s="12"/>
    </row>
    <row r="542">
      <c r="A542" s="26"/>
      <c r="B542" s="26"/>
      <c r="C542" s="12"/>
    </row>
    <row r="543">
      <c r="A543" s="26"/>
      <c r="B543" s="26"/>
      <c r="C543" s="12"/>
    </row>
    <row r="544">
      <c r="A544" s="26"/>
      <c r="B544" s="26"/>
      <c r="C544" s="12"/>
    </row>
    <row r="545">
      <c r="A545" s="26"/>
      <c r="B545" s="26"/>
      <c r="C545" s="12"/>
    </row>
    <row r="546">
      <c r="A546" s="26"/>
      <c r="B546" s="26"/>
      <c r="C546" s="12"/>
    </row>
    <row r="547">
      <c r="A547" s="26"/>
      <c r="B547" s="26"/>
      <c r="C547" s="12"/>
    </row>
    <row r="548">
      <c r="A548" s="26"/>
      <c r="B548" s="26"/>
      <c r="C548" s="12"/>
    </row>
    <row r="549">
      <c r="A549" s="26"/>
      <c r="B549" s="26"/>
      <c r="C549" s="12"/>
    </row>
    <row r="550">
      <c r="A550" s="26"/>
      <c r="B550" s="26"/>
      <c r="C550" s="12"/>
    </row>
    <row r="551">
      <c r="A551" s="26"/>
      <c r="B551" s="26"/>
      <c r="C551" s="12"/>
    </row>
    <row r="552">
      <c r="A552" s="26"/>
      <c r="B552" s="26"/>
      <c r="C552" s="12"/>
    </row>
    <row r="553">
      <c r="A553" s="26"/>
      <c r="B553" s="26"/>
      <c r="C553" s="12"/>
    </row>
    <row r="554">
      <c r="A554" s="26"/>
      <c r="B554" s="26"/>
      <c r="C554" s="12"/>
    </row>
    <row r="555">
      <c r="A555" s="26"/>
      <c r="B555" s="26"/>
      <c r="C555" s="12"/>
    </row>
    <row r="556">
      <c r="A556" s="26"/>
      <c r="B556" s="26"/>
      <c r="C556" s="12"/>
    </row>
    <row r="557">
      <c r="A557" s="26"/>
      <c r="B557" s="26"/>
      <c r="C557" s="12"/>
    </row>
    <row r="558">
      <c r="A558" s="26"/>
      <c r="B558" s="26"/>
      <c r="C558" s="12"/>
    </row>
    <row r="559">
      <c r="A559" s="26"/>
      <c r="B559" s="26"/>
      <c r="C559" s="12"/>
    </row>
    <row r="560">
      <c r="A560" s="26"/>
      <c r="B560" s="26"/>
      <c r="C560" s="12"/>
    </row>
    <row r="561">
      <c r="A561" s="26"/>
      <c r="B561" s="26"/>
      <c r="C561" s="12"/>
    </row>
    <row r="562">
      <c r="A562" s="26"/>
      <c r="B562" s="26"/>
      <c r="C562" s="12"/>
    </row>
    <row r="563">
      <c r="A563" s="26"/>
      <c r="B563" s="26"/>
      <c r="C563" s="12"/>
    </row>
    <row r="564">
      <c r="A564" s="26"/>
      <c r="B564" s="26"/>
      <c r="C564" s="12"/>
    </row>
    <row r="565">
      <c r="A565" s="26"/>
      <c r="B565" s="26"/>
      <c r="C565" s="12"/>
    </row>
    <row r="566">
      <c r="A566" s="26"/>
      <c r="B566" s="26"/>
      <c r="C566" s="12"/>
    </row>
    <row r="567">
      <c r="A567" s="26"/>
      <c r="B567" s="26"/>
      <c r="C567" s="12"/>
    </row>
    <row r="568">
      <c r="A568" s="26"/>
      <c r="B568" s="26"/>
      <c r="C568" s="12"/>
    </row>
    <row r="569">
      <c r="A569" s="26"/>
      <c r="B569" s="26"/>
      <c r="C569" s="12"/>
    </row>
    <row r="570">
      <c r="A570" s="26"/>
      <c r="B570" s="26"/>
      <c r="C570" s="12"/>
    </row>
    <row r="571">
      <c r="A571" s="26"/>
      <c r="B571" s="26"/>
      <c r="C571" s="12"/>
    </row>
    <row r="572">
      <c r="A572" s="26"/>
      <c r="B572" s="26"/>
      <c r="C572" s="12"/>
    </row>
    <row r="573">
      <c r="A573" s="26"/>
      <c r="B573" s="26"/>
      <c r="C573" s="12"/>
    </row>
    <row r="574">
      <c r="A574" s="26"/>
      <c r="B574" s="26"/>
      <c r="C574" s="12"/>
    </row>
    <row r="575">
      <c r="A575" s="26"/>
      <c r="B575" s="26"/>
      <c r="C575" s="12"/>
    </row>
    <row r="576">
      <c r="A576" s="26"/>
      <c r="B576" s="26"/>
      <c r="C576" s="12"/>
    </row>
    <row r="577">
      <c r="A577" s="26"/>
      <c r="B577" s="26"/>
      <c r="C577" s="12"/>
    </row>
    <row r="578">
      <c r="A578" s="26"/>
      <c r="B578" s="26"/>
      <c r="C578" s="12"/>
    </row>
    <row r="579">
      <c r="A579" s="26"/>
      <c r="B579" s="26"/>
      <c r="C579" s="12"/>
    </row>
    <row r="580">
      <c r="A580" s="26"/>
      <c r="B580" s="26"/>
      <c r="C580" s="12"/>
    </row>
    <row r="581">
      <c r="A581" s="26"/>
      <c r="B581" s="26"/>
      <c r="C581" s="12"/>
    </row>
    <row r="582">
      <c r="A582" s="26"/>
      <c r="B582" s="26"/>
      <c r="C582" s="12"/>
    </row>
    <row r="583">
      <c r="A583" s="26"/>
      <c r="B583" s="26"/>
      <c r="C583" s="12"/>
    </row>
    <row r="584">
      <c r="A584" s="26"/>
      <c r="B584" s="26"/>
      <c r="C584" s="12"/>
    </row>
    <row r="585">
      <c r="A585" s="26"/>
      <c r="B585" s="26"/>
      <c r="C585" s="12"/>
    </row>
    <row r="586">
      <c r="A586" s="26"/>
      <c r="B586" s="26"/>
      <c r="C586" s="12"/>
    </row>
    <row r="587">
      <c r="A587" s="26"/>
      <c r="B587" s="26"/>
      <c r="C587" s="12"/>
    </row>
    <row r="588">
      <c r="A588" s="26"/>
      <c r="B588" s="26"/>
      <c r="C588" s="12"/>
    </row>
    <row r="589">
      <c r="A589" s="26"/>
      <c r="B589" s="26"/>
      <c r="C589" s="12"/>
    </row>
    <row r="590">
      <c r="A590" s="26"/>
      <c r="B590" s="26"/>
      <c r="C590" s="12"/>
    </row>
    <row r="591">
      <c r="A591" s="26"/>
      <c r="B591" s="26"/>
      <c r="C591" s="12"/>
    </row>
    <row r="592">
      <c r="A592" s="26"/>
      <c r="B592" s="26"/>
      <c r="C592" s="12"/>
    </row>
    <row r="593">
      <c r="A593" s="26"/>
      <c r="B593" s="26"/>
      <c r="C593" s="12"/>
    </row>
    <row r="594">
      <c r="A594" s="26"/>
      <c r="B594" s="26"/>
      <c r="C594" s="12"/>
    </row>
    <row r="595">
      <c r="A595" s="26"/>
      <c r="B595" s="26"/>
      <c r="C595" s="12"/>
    </row>
    <row r="596">
      <c r="A596" s="26"/>
      <c r="B596" s="26"/>
      <c r="C596" s="12"/>
    </row>
    <row r="597">
      <c r="A597" s="26"/>
      <c r="B597" s="26"/>
      <c r="C597" s="12"/>
    </row>
    <row r="598">
      <c r="A598" s="26"/>
      <c r="B598" s="26"/>
      <c r="C598" s="12"/>
    </row>
    <row r="599">
      <c r="A599" s="26"/>
      <c r="B599" s="26"/>
      <c r="C599" s="12"/>
    </row>
    <row r="600">
      <c r="A600" s="26"/>
      <c r="B600" s="26"/>
      <c r="C600" s="12"/>
    </row>
    <row r="601">
      <c r="A601" s="26"/>
      <c r="B601" s="26"/>
      <c r="C601" s="12"/>
    </row>
    <row r="602">
      <c r="A602" s="26"/>
      <c r="B602" s="26"/>
      <c r="C602" s="12"/>
    </row>
    <row r="603">
      <c r="A603" s="26"/>
      <c r="B603" s="26"/>
      <c r="C603" s="12"/>
    </row>
    <row r="604">
      <c r="A604" s="26"/>
      <c r="B604" s="26"/>
      <c r="C604" s="12"/>
    </row>
    <row r="605">
      <c r="A605" s="26"/>
      <c r="B605" s="26"/>
      <c r="C605" s="12"/>
    </row>
    <row r="606">
      <c r="A606" s="26"/>
      <c r="B606" s="26"/>
      <c r="C606" s="12"/>
    </row>
    <row r="607">
      <c r="A607" s="26"/>
      <c r="B607" s="26"/>
      <c r="C607" s="12"/>
    </row>
    <row r="608">
      <c r="A608" s="26"/>
      <c r="B608" s="26"/>
      <c r="C608" s="12"/>
    </row>
    <row r="609">
      <c r="A609" s="26"/>
      <c r="B609" s="26"/>
      <c r="C609" s="12"/>
    </row>
    <row r="610">
      <c r="A610" s="26"/>
      <c r="B610" s="26"/>
      <c r="C610" s="12"/>
    </row>
    <row r="611">
      <c r="A611" s="26"/>
      <c r="B611" s="26"/>
      <c r="C611" s="12"/>
    </row>
    <row r="612">
      <c r="A612" s="26"/>
      <c r="B612" s="26"/>
      <c r="C612" s="12"/>
    </row>
    <row r="613">
      <c r="A613" s="26"/>
      <c r="B613" s="26"/>
      <c r="C613" s="12"/>
    </row>
    <row r="614">
      <c r="A614" s="26"/>
      <c r="B614" s="26"/>
      <c r="C614" s="12"/>
    </row>
    <row r="615">
      <c r="A615" s="26"/>
      <c r="B615" s="26"/>
      <c r="C615" s="12"/>
    </row>
    <row r="616">
      <c r="A616" s="26"/>
      <c r="B616" s="26"/>
      <c r="C616" s="12"/>
    </row>
    <row r="617">
      <c r="A617" s="26"/>
      <c r="B617" s="26"/>
      <c r="C617" s="12"/>
    </row>
    <row r="618">
      <c r="A618" s="26"/>
      <c r="B618" s="26"/>
      <c r="C618" s="12"/>
    </row>
    <row r="619">
      <c r="A619" s="26"/>
      <c r="B619" s="26"/>
      <c r="C619" s="12"/>
    </row>
    <row r="620">
      <c r="A620" s="26"/>
      <c r="B620" s="26"/>
      <c r="C620" s="12"/>
    </row>
    <row r="621">
      <c r="A621" s="26"/>
      <c r="B621" s="26"/>
      <c r="C621" s="12"/>
    </row>
    <row r="622">
      <c r="A622" s="26"/>
      <c r="B622" s="26"/>
      <c r="C622" s="12"/>
    </row>
    <row r="623">
      <c r="A623" s="26"/>
      <c r="B623" s="26"/>
      <c r="C623" s="12"/>
    </row>
    <row r="624">
      <c r="A624" s="26"/>
      <c r="B624" s="26"/>
      <c r="C624" s="12"/>
    </row>
    <row r="625">
      <c r="A625" s="26"/>
      <c r="B625" s="26"/>
      <c r="C625" s="12"/>
    </row>
    <row r="626">
      <c r="A626" s="26"/>
      <c r="B626" s="26"/>
      <c r="C626" s="12"/>
    </row>
    <row r="627">
      <c r="A627" s="26"/>
      <c r="B627" s="26"/>
      <c r="C627" s="12"/>
    </row>
    <row r="628">
      <c r="A628" s="26"/>
      <c r="B628" s="26"/>
      <c r="C628" s="12"/>
    </row>
    <row r="629">
      <c r="A629" s="26"/>
      <c r="B629" s="26"/>
      <c r="C629" s="12"/>
    </row>
    <row r="630">
      <c r="A630" s="26"/>
      <c r="B630" s="26"/>
      <c r="C630" s="12"/>
    </row>
    <row r="631">
      <c r="A631" s="26"/>
      <c r="B631" s="26"/>
      <c r="C631" s="12"/>
    </row>
    <row r="632">
      <c r="A632" s="26"/>
      <c r="B632" s="26"/>
      <c r="C632" s="12"/>
    </row>
    <row r="633">
      <c r="A633" s="26"/>
      <c r="B633" s="26"/>
      <c r="C633" s="12"/>
    </row>
    <row r="634">
      <c r="A634" s="26"/>
      <c r="B634" s="26"/>
      <c r="C634" s="12"/>
    </row>
    <row r="635">
      <c r="A635" s="26"/>
      <c r="B635" s="26"/>
      <c r="C635" s="12"/>
    </row>
    <row r="636">
      <c r="A636" s="26"/>
      <c r="B636" s="26"/>
      <c r="C636" s="12"/>
    </row>
    <row r="637">
      <c r="A637" s="26"/>
      <c r="B637" s="26"/>
      <c r="C637" s="12"/>
    </row>
    <row r="638">
      <c r="A638" s="26"/>
      <c r="B638" s="26"/>
      <c r="C638" s="12"/>
    </row>
    <row r="639">
      <c r="A639" s="26"/>
      <c r="B639" s="26"/>
      <c r="C639" s="12"/>
    </row>
    <row r="640">
      <c r="A640" s="26"/>
      <c r="B640" s="26"/>
      <c r="C640" s="12"/>
    </row>
    <row r="641">
      <c r="A641" s="26"/>
      <c r="B641" s="26"/>
      <c r="C641" s="12"/>
    </row>
    <row r="642">
      <c r="A642" s="26"/>
      <c r="B642" s="26"/>
      <c r="C642" s="12"/>
    </row>
    <row r="643">
      <c r="A643" s="26"/>
      <c r="B643" s="26"/>
      <c r="C643" s="12"/>
    </row>
    <row r="644">
      <c r="A644" s="26"/>
      <c r="B644" s="26"/>
      <c r="C644" s="12"/>
    </row>
    <row r="645">
      <c r="A645" s="26"/>
      <c r="B645" s="26"/>
      <c r="C645" s="12"/>
    </row>
    <row r="646">
      <c r="A646" s="26"/>
      <c r="B646" s="26"/>
      <c r="C646" s="12"/>
    </row>
    <row r="647">
      <c r="A647" s="26"/>
      <c r="B647" s="26"/>
      <c r="C647" s="12"/>
    </row>
    <row r="648">
      <c r="A648" s="26"/>
      <c r="B648" s="26"/>
      <c r="C648" s="12"/>
    </row>
    <row r="649">
      <c r="A649" s="26"/>
      <c r="B649" s="26"/>
      <c r="C649" s="12"/>
    </row>
    <row r="650">
      <c r="A650" s="26"/>
      <c r="B650" s="26"/>
      <c r="C650" s="12"/>
    </row>
    <row r="651">
      <c r="A651" s="26"/>
      <c r="B651" s="26"/>
      <c r="C651" s="12"/>
    </row>
    <row r="652">
      <c r="A652" s="26"/>
      <c r="B652" s="26"/>
      <c r="C652" s="12"/>
    </row>
    <row r="653">
      <c r="A653" s="26"/>
      <c r="B653" s="26"/>
      <c r="C653" s="12"/>
    </row>
    <row r="654">
      <c r="A654" s="26"/>
      <c r="B654" s="26"/>
      <c r="C654" s="12"/>
    </row>
    <row r="655">
      <c r="A655" s="26"/>
      <c r="B655" s="26"/>
      <c r="C655" s="12"/>
    </row>
    <row r="656">
      <c r="A656" s="26"/>
      <c r="B656" s="26"/>
      <c r="C656" s="12"/>
    </row>
    <row r="657">
      <c r="A657" s="26"/>
      <c r="B657" s="26"/>
      <c r="C657" s="12"/>
    </row>
    <row r="658">
      <c r="A658" s="26"/>
      <c r="B658" s="26"/>
      <c r="C658" s="12"/>
    </row>
    <row r="659">
      <c r="A659" s="26"/>
      <c r="B659" s="26"/>
      <c r="C659" s="12"/>
    </row>
    <row r="660">
      <c r="A660" s="26"/>
      <c r="B660" s="26"/>
      <c r="C660" s="12"/>
    </row>
    <row r="661">
      <c r="A661" s="26"/>
      <c r="B661" s="26"/>
      <c r="C661" s="12"/>
    </row>
    <row r="662">
      <c r="A662" s="26"/>
      <c r="B662" s="26"/>
      <c r="C662" s="12"/>
    </row>
    <row r="663">
      <c r="A663" s="26"/>
      <c r="B663" s="26"/>
      <c r="C663" s="12"/>
    </row>
    <row r="664">
      <c r="A664" s="26"/>
      <c r="B664" s="26"/>
      <c r="C664" s="12"/>
    </row>
    <row r="665">
      <c r="A665" s="26"/>
      <c r="B665" s="26"/>
      <c r="C665" s="12"/>
    </row>
    <row r="666">
      <c r="A666" s="26"/>
      <c r="B666" s="26"/>
      <c r="C666" s="12"/>
    </row>
    <row r="667">
      <c r="A667" s="26"/>
      <c r="B667" s="26"/>
      <c r="C667" s="12"/>
    </row>
    <row r="668">
      <c r="A668" s="26"/>
      <c r="B668" s="26"/>
      <c r="C668" s="12"/>
    </row>
    <row r="669">
      <c r="A669" s="26"/>
      <c r="B669" s="26"/>
      <c r="C669" s="12"/>
    </row>
    <row r="670">
      <c r="A670" s="26"/>
      <c r="B670" s="26"/>
      <c r="C670" s="12"/>
    </row>
    <row r="671">
      <c r="A671" s="26"/>
      <c r="B671" s="26"/>
      <c r="C671" s="12"/>
    </row>
    <row r="672">
      <c r="A672" s="26"/>
      <c r="B672" s="26"/>
      <c r="C672" s="12"/>
    </row>
    <row r="673">
      <c r="A673" s="26"/>
      <c r="B673" s="26"/>
      <c r="C673" s="12"/>
    </row>
    <row r="674">
      <c r="A674" s="26"/>
      <c r="B674" s="26"/>
      <c r="C674" s="12"/>
    </row>
    <row r="675">
      <c r="A675" s="26"/>
      <c r="B675" s="26"/>
      <c r="C675" s="12"/>
    </row>
    <row r="676">
      <c r="A676" s="26"/>
      <c r="B676" s="26"/>
      <c r="C676" s="12"/>
    </row>
    <row r="677">
      <c r="A677" s="26"/>
      <c r="B677" s="26"/>
      <c r="C677" s="12"/>
    </row>
    <row r="678">
      <c r="A678" s="26"/>
      <c r="B678" s="26"/>
      <c r="C678" s="12"/>
    </row>
    <row r="679">
      <c r="A679" s="26"/>
      <c r="B679" s="26"/>
      <c r="C679" s="12"/>
    </row>
    <row r="680">
      <c r="A680" s="26"/>
      <c r="B680" s="26"/>
      <c r="C680" s="12"/>
    </row>
    <row r="681">
      <c r="A681" s="26"/>
      <c r="B681" s="26"/>
      <c r="C681" s="12"/>
    </row>
    <row r="682">
      <c r="A682" s="26"/>
      <c r="B682" s="26"/>
      <c r="C682" s="12"/>
    </row>
    <row r="683">
      <c r="A683" s="26"/>
      <c r="B683" s="26"/>
      <c r="C683" s="12"/>
    </row>
    <row r="684">
      <c r="A684" s="26"/>
      <c r="B684" s="26"/>
      <c r="C684" s="12"/>
    </row>
    <row r="685">
      <c r="A685" s="26"/>
      <c r="B685" s="26"/>
      <c r="C685" s="12"/>
    </row>
    <row r="686">
      <c r="A686" s="26"/>
      <c r="B686" s="26"/>
      <c r="C686" s="12"/>
    </row>
    <row r="687">
      <c r="A687" s="26"/>
      <c r="B687" s="26"/>
      <c r="C687" s="12"/>
    </row>
    <row r="688">
      <c r="A688" s="26"/>
      <c r="B688" s="26"/>
      <c r="C688" s="12"/>
    </row>
    <row r="689">
      <c r="A689" s="26"/>
      <c r="B689" s="26"/>
      <c r="C689" s="12"/>
    </row>
    <row r="690">
      <c r="A690" s="26"/>
      <c r="B690" s="26"/>
      <c r="C690" s="12"/>
    </row>
    <row r="691">
      <c r="A691" s="26"/>
      <c r="B691" s="26"/>
      <c r="C691" s="12"/>
    </row>
    <row r="692">
      <c r="A692" s="26"/>
      <c r="B692" s="26"/>
      <c r="C692" s="12"/>
    </row>
    <row r="693">
      <c r="A693" s="26"/>
      <c r="B693" s="26"/>
      <c r="C693" s="12"/>
    </row>
    <row r="694">
      <c r="A694" s="26"/>
      <c r="B694" s="26"/>
      <c r="C694" s="12"/>
    </row>
    <row r="695">
      <c r="A695" s="26"/>
      <c r="B695" s="26"/>
      <c r="C695" s="12"/>
    </row>
    <row r="696">
      <c r="A696" s="26"/>
      <c r="B696" s="26"/>
      <c r="C696" s="12"/>
    </row>
    <row r="697">
      <c r="A697" s="26"/>
      <c r="B697" s="26"/>
      <c r="C697" s="12"/>
    </row>
    <row r="698">
      <c r="A698" s="26"/>
      <c r="B698" s="26"/>
      <c r="C698" s="12"/>
    </row>
    <row r="699">
      <c r="A699" s="26"/>
      <c r="B699" s="26"/>
      <c r="C699" s="12"/>
    </row>
    <row r="700">
      <c r="A700" s="26"/>
      <c r="B700" s="26"/>
      <c r="C700" s="12"/>
    </row>
    <row r="701">
      <c r="A701" s="26"/>
      <c r="B701" s="26"/>
      <c r="C701" s="12"/>
    </row>
    <row r="702">
      <c r="A702" s="26"/>
      <c r="B702" s="26"/>
      <c r="C702" s="12"/>
    </row>
    <row r="703">
      <c r="A703" s="26"/>
      <c r="B703" s="26"/>
      <c r="C703" s="12"/>
    </row>
    <row r="704">
      <c r="A704" s="26"/>
      <c r="B704" s="26"/>
      <c r="C704" s="12"/>
    </row>
    <row r="705">
      <c r="A705" s="26"/>
      <c r="B705" s="26"/>
      <c r="C705" s="12"/>
    </row>
    <row r="706">
      <c r="A706" s="26"/>
      <c r="B706" s="26"/>
      <c r="C706" s="12"/>
    </row>
    <row r="707">
      <c r="A707" s="26"/>
      <c r="B707" s="26"/>
      <c r="C707" s="12"/>
    </row>
    <row r="708">
      <c r="A708" s="26"/>
      <c r="B708" s="26"/>
      <c r="C708" s="12"/>
    </row>
    <row r="709">
      <c r="A709" s="26"/>
      <c r="B709" s="26"/>
      <c r="C709" s="12"/>
    </row>
    <row r="710">
      <c r="A710" s="26"/>
      <c r="B710" s="26"/>
      <c r="C710" s="12"/>
    </row>
    <row r="711">
      <c r="A711" s="26"/>
      <c r="B711" s="26"/>
      <c r="C711" s="12"/>
    </row>
    <row r="712">
      <c r="A712" s="26"/>
      <c r="B712" s="26"/>
      <c r="C712" s="12"/>
    </row>
    <row r="713">
      <c r="A713" s="26"/>
      <c r="B713" s="26"/>
      <c r="C713" s="12"/>
    </row>
    <row r="714">
      <c r="A714" s="26"/>
      <c r="B714" s="26"/>
      <c r="C714" s="12"/>
    </row>
    <row r="715">
      <c r="A715" s="26"/>
      <c r="B715" s="26"/>
      <c r="C715" s="12"/>
    </row>
    <row r="716">
      <c r="A716" s="26"/>
      <c r="B716" s="26"/>
      <c r="C716" s="12"/>
    </row>
    <row r="717">
      <c r="A717" s="26"/>
      <c r="B717" s="26"/>
      <c r="C717" s="12"/>
    </row>
    <row r="718">
      <c r="A718" s="26"/>
      <c r="B718" s="26"/>
      <c r="C718" s="12"/>
    </row>
    <row r="719">
      <c r="A719" s="26"/>
      <c r="B719" s="26"/>
      <c r="C719" s="12"/>
    </row>
    <row r="720">
      <c r="A720" s="26"/>
      <c r="B720" s="26"/>
      <c r="C720" s="12"/>
    </row>
    <row r="721">
      <c r="A721" s="26"/>
      <c r="B721" s="26"/>
      <c r="C721" s="12"/>
    </row>
    <row r="722">
      <c r="A722" s="26"/>
      <c r="B722" s="26"/>
      <c r="C722" s="12"/>
    </row>
    <row r="723">
      <c r="A723" s="26"/>
      <c r="B723" s="26"/>
      <c r="C723" s="12"/>
    </row>
    <row r="724">
      <c r="A724" s="26"/>
      <c r="B724" s="26"/>
      <c r="C724" s="12"/>
    </row>
    <row r="725">
      <c r="A725" s="26"/>
      <c r="B725" s="26"/>
      <c r="C725" s="12"/>
    </row>
    <row r="726">
      <c r="A726" s="26"/>
      <c r="B726" s="26"/>
      <c r="C726" s="12"/>
    </row>
    <row r="727">
      <c r="A727" s="26"/>
      <c r="B727" s="26"/>
      <c r="C727" s="12"/>
    </row>
    <row r="728">
      <c r="A728" s="26"/>
      <c r="B728" s="26"/>
      <c r="C728" s="12"/>
    </row>
    <row r="729">
      <c r="A729" s="26"/>
      <c r="B729" s="26"/>
      <c r="C729" s="12"/>
    </row>
    <row r="730">
      <c r="A730" s="26"/>
      <c r="B730" s="26"/>
      <c r="C730" s="12"/>
    </row>
    <row r="731">
      <c r="A731" s="26"/>
      <c r="B731" s="26"/>
      <c r="C731" s="12"/>
    </row>
    <row r="732">
      <c r="A732" s="26"/>
      <c r="B732" s="26"/>
      <c r="C732" s="12"/>
    </row>
    <row r="733">
      <c r="A733" s="26"/>
      <c r="B733" s="26"/>
      <c r="C733" s="12"/>
    </row>
    <row r="734">
      <c r="A734" s="26"/>
      <c r="B734" s="26"/>
      <c r="C734" s="12"/>
    </row>
    <row r="735">
      <c r="A735" s="26"/>
      <c r="B735" s="26"/>
      <c r="C735" s="12"/>
    </row>
    <row r="736">
      <c r="A736" s="26"/>
      <c r="B736" s="26"/>
      <c r="C736" s="12"/>
    </row>
    <row r="737">
      <c r="A737" s="26"/>
      <c r="B737" s="26"/>
      <c r="C737" s="12"/>
    </row>
    <row r="738">
      <c r="A738" s="26"/>
      <c r="B738" s="26"/>
      <c r="C738" s="12"/>
    </row>
    <row r="739">
      <c r="A739" s="26"/>
      <c r="B739" s="26"/>
      <c r="C739" s="12"/>
    </row>
    <row r="740">
      <c r="A740" s="26"/>
      <c r="B740" s="26"/>
      <c r="C740" s="12"/>
    </row>
    <row r="741">
      <c r="A741" s="26"/>
      <c r="B741" s="26"/>
      <c r="C741" s="12"/>
    </row>
    <row r="742">
      <c r="A742" s="26"/>
      <c r="B742" s="26"/>
      <c r="C742" s="12"/>
    </row>
    <row r="743">
      <c r="A743" s="26"/>
      <c r="B743" s="26"/>
      <c r="C743" s="12"/>
    </row>
    <row r="744">
      <c r="A744" s="26"/>
      <c r="B744" s="26"/>
      <c r="C744" s="12"/>
    </row>
    <row r="745">
      <c r="A745" s="26"/>
      <c r="B745" s="26"/>
      <c r="C745" s="12"/>
    </row>
    <row r="746">
      <c r="A746" s="26"/>
      <c r="B746" s="26"/>
      <c r="C746" s="12"/>
    </row>
    <row r="747">
      <c r="A747" s="26"/>
      <c r="B747" s="26"/>
      <c r="C747" s="12"/>
    </row>
    <row r="748">
      <c r="A748" s="26"/>
      <c r="B748" s="26"/>
      <c r="C748" s="12"/>
    </row>
    <row r="749">
      <c r="A749" s="26"/>
      <c r="B749" s="26"/>
      <c r="C749" s="12"/>
    </row>
    <row r="750">
      <c r="A750" s="26"/>
      <c r="B750" s="26"/>
      <c r="C750" s="12"/>
    </row>
    <row r="751">
      <c r="A751" s="26"/>
      <c r="B751" s="26"/>
      <c r="C751" s="12"/>
    </row>
    <row r="752">
      <c r="A752" s="26"/>
      <c r="B752" s="26"/>
      <c r="C752" s="12"/>
    </row>
    <row r="753">
      <c r="A753" s="26"/>
      <c r="B753" s="26"/>
      <c r="C753" s="12"/>
    </row>
    <row r="754">
      <c r="A754" s="26"/>
      <c r="B754" s="26"/>
      <c r="C754" s="12"/>
    </row>
    <row r="755">
      <c r="A755" s="26"/>
      <c r="B755" s="26"/>
      <c r="C755" s="12"/>
    </row>
    <row r="756">
      <c r="A756" s="26"/>
      <c r="B756" s="26"/>
      <c r="C756" s="12"/>
    </row>
    <row r="757">
      <c r="A757" s="26"/>
      <c r="B757" s="26"/>
      <c r="C757" s="12"/>
    </row>
    <row r="758">
      <c r="A758" s="26"/>
      <c r="B758" s="26"/>
      <c r="C758" s="12"/>
    </row>
    <row r="759">
      <c r="A759" s="26"/>
      <c r="B759" s="26"/>
      <c r="C759" s="12"/>
    </row>
    <row r="760">
      <c r="A760" s="26"/>
      <c r="B760" s="26"/>
      <c r="C760" s="12"/>
    </row>
    <row r="761">
      <c r="A761" s="26"/>
      <c r="B761" s="26"/>
      <c r="C761" s="12"/>
    </row>
    <row r="762">
      <c r="A762" s="26"/>
      <c r="B762" s="26"/>
      <c r="C762" s="12"/>
    </row>
    <row r="763">
      <c r="A763" s="26"/>
      <c r="B763" s="26"/>
      <c r="C763" s="12"/>
    </row>
    <row r="764">
      <c r="A764" s="26"/>
      <c r="B764" s="26"/>
      <c r="C764" s="12"/>
    </row>
    <row r="765">
      <c r="A765" s="26"/>
      <c r="B765" s="26"/>
      <c r="C765" s="12"/>
    </row>
    <row r="766">
      <c r="A766" s="26"/>
      <c r="B766" s="26"/>
      <c r="C766" s="12"/>
    </row>
    <row r="767">
      <c r="A767" s="26"/>
      <c r="B767" s="26"/>
      <c r="C767" s="12"/>
    </row>
    <row r="768">
      <c r="A768" s="26"/>
      <c r="B768" s="26"/>
      <c r="C768" s="12"/>
    </row>
    <row r="769">
      <c r="A769" s="26"/>
      <c r="B769" s="26"/>
      <c r="C769" s="12"/>
    </row>
    <row r="770">
      <c r="A770" s="26"/>
      <c r="B770" s="26"/>
      <c r="C770" s="12"/>
    </row>
    <row r="771">
      <c r="A771" s="26"/>
      <c r="B771" s="26"/>
      <c r="C771" s="12"/>
    </row>
    <row r="772">
      <c r="A772" s="26"/>
      <c r="B772" s="26"/>
      <c r="C772" s="12"/>
    </row>
    <row r="773">
      <c r="A773" s="26"/>
      <c r="B773" s="26"/>
      <c r="C773" s="12"/>
    </row>
    <row r="774">
      <c r="A774" s="26"/>
      <c r="B774" s="26"/>
      <c r="C774" s="12"/>
    </row>
    <row r="775">
      <c r="A775" s="26"/>
      <c r="B775" s="26"/>
      <c r="C775" s="12"/>
    </row>
    <row r="776">
      <c r="A776" s="26"/>
      <c r="B776" s="26"/>
      <c r="C776" s="12"/>
    </row>
    <row r="777">
      <c r="A777" s="26"/>
      <c r="B777" s="26"/>
      <c r="C777" s="12"/>
    </row>
    <row r="778">
      <c r="A778" s="26"/>
      <c r="B778" s="26"/>
      <c r="C778" s="12"/>
    </row>
    <row r="779">
      <c r="A779" s="26"/>
      <c r="B779" s="26"/>
      <c r="C779" s="12"/>
    </row>
    <row r="780">
      <c r="A780" s="26"/>
      <c r="B780" s="26"/>
      <c r="C780" s="12"/>
    </row>
    <row r="781">
      <c r="A781" s="26"/>
      <c r="B781" s="26"/>
      <c r="C781" s="12"/>
    </row>
    <row r="782">
      <c r="A782" s="26"/>
      <c r="B782" s="26"/>
      <c r="C782" s="12"/>
    </row>
    <row r="783">
      <c r="A783" s="26"/>
      <c r="B783" s="26"/>
      <c r="C783" s="12"/>
    </row>
    <row r="784">
      <c r="A784" s="26"/>
      <c r="B784" s="26"/>
      <c r="C784" s="12"/>
    </row>
    <row r="785">
      <c r="A785" s="26"/>
      <c r="B785" s="26"/>
      <c r="C785" s="12"/>
    </row>
    <row r="786">
      <c r="A786" s="26"/>
      <c r="B786" s="26"/>
      <c r="C786" s="12"/>
    </row>
    <row r="787">
      <c r="A787" s="26"/>
      <c r="B787" s="26"/>
      <c r="C787" s="12"/>
    </row>
    <row r="788">
      <c r="A788" s="26"/>
      <c r="B788" s="26"/>
      <c r="C788" s="12"/>
    </row>
    <row r="789">
      <c r="A789" s="26"/>
      <c r="B789" s="26"/>
      <c r="C789" s="12"/>
    </row>
    <row r="790">
      <c r="A790" s="26"/>
      <c r="B790" s="26"/>
      <c r="C790" s="12"/>
    </row>
    <row r="791">
      <c r="A791" s="26"/>
      <c r="B791" s="26"/>
      <c r="C791" s="12"/>
    </row>
    <row r="792">
      <c r="A792" s="26"/>
      <c r="B792" s="26"/>
      <c r="C792" s="12"/>
    </row>
    <row r="793">
      <c r="A793" s="26"/>
      <c r="B793" s="26"/>
      <c r="C793" s="12"/>
    </row>
    <row r="794">
      <c r="A794" s="26"/>
      <c r="B794" s="26"/>
      <c r="C794" s="12"/>
    </row>
    <row r="795">
      <c r="A795" s="26"/>
      <c r="B795" s="26"/>
      <c r="C795" s="12"/>
    </row>
    <row r="796">
      <c r="A796" s="26"/>
      <c r="B796" s="26"/>
      <c r="C796" s="12"/>
    </row>
    <row r="797">
      <c r="A797" s="26"/>
      <c r="B797" s="26"/>
      <c r="C797" s="12"/>
    </row>
    <row r="798">
      <c r="A798" s="26"/>
      <c r="B798" s="26"/>
      <c r="C798" s="12"/>
    </row>
    <row r="799">
      <c r="A799" s="26"/>
      <c r="B799" s="26"/>
      <c r="C799" s="12"/>
    </row>
    <row r="800">
      <c r="A800" s="26"/>
      <c r="B800" s="26"/>
      <c r="C800" s="12"/>
    </row>
    <row r="801">
      <c r="A801" s="26"/>
      <c r="B801" s="26"/>
      <c r="C801" s="12"/>
    </row>
    <row r="802">
      <c r="A802" s="26"/>
      <c r="B802" s="26"/>
      <c r="C802" s="12"/>
    </row>
    <row r="803">
      <c r="A803" s="26"/>
      <c r="B803" s="26"/>
      <c r="C803" s="12"/>
    </row>
    <row r="804">
      <c r="A804" s="26"/>
      <c r="B804" s="26"/>
      <c r="C804" s="12"/>
    </row>
    <row r="805">
      <c r="A805" s="26"/>
      <c r="B805" s="26"/>
      <c r="C805" s="12"/>
    </row>
    <row r="806">
      <c r="A806" s="26"/>
      <c r="B806" s="26"/>
      <c r="C806" s="12"/>
    </row>
    <row r="807">
      <c r="A807" s="26"/>
      <c r="B807" s="26"/>
      <c r="C807" s="12"/>
    </row>
    <row r="808">
      <c r="A808" s="26"/>
      <c r="B808" s="26"/>
      <c r="C808" s="12"/>
    </row>
    <row r="809">
      <c r="A809" s="26"/>
      <c r="B809" s="26"/>
      <c r="C809" s="12"/>
    </row>
    <row r="810">
      <c r="A810" s="26"/>
      <c r="B810" s="26"/>
      <c r="C810" s="12"/>
    </row>
    <row r="811">
      <c r="A811" s="26"/>
      <c r="B811" s="26"/>
      <c r="C811" s="12"/>
    </row>
    <row r="812">
      <c r="A812" s="26"/>
      <c r="B812" s="26"/>
      <c r="C812" s="12"/>
    </row>
    <row r="813">
      <c r="A813" s="26"/>
      <c r="B813" s="26"/>
      <c r="C813" s="12"/>
    </row>
    <row r="814">
      <c r="A814" s="26"/>
      <c r="B814" s="26"/>
      <c r="C814" s="12"/>
    </row>
    <row r="815">
      <c r="A815" s="26"/>
      <c r="B815" s="26"/>
      <c r="C815" s="12"/>
    </row>
    <row r="816">
      <c r="A816" s="26"/>
      <c r="B816" s="26"/>
      <c r="C816" s="12"/>
    </row>
    <row r="817">
      <c r="A817" s="26"/>
      <c r="B817" s="26"/>
      <c r="C817" s="12"/>
    </row>
    <row r="818">
      <c r="A818" s="26"/>
      <c r="B818" s="26"/>
      <c r="C818" s="12"/>
    </row>
    <row r="819">
      <c r="A819" s="26"/>
      <c r="B819" s="26"/>
      <c r="C819" s="12"/>
    </row>
    <row r="820">
      <c r="A820" s="26"/>
      <c r="B820" s="26"/>
      <c r="C820" s="12"/>
    </row>
    <row r="821">
      <c r="A821" s="26"/>
      <c r="B821" s="26"/>
      <c r="C821" s="12"/>
    </row>
    <row r="822">
      <c r="A822" s="26"/>
      <c r="B822" s="26"/>
      <c r="C822" s="12"/>
    </row>
    <row r="823">
      <c r="A823" s="26"/>
      <c r="B823" s="26"/>
      <c r="C823" s="12"/>
    </row>
    <row r="824">
      <c r="A824" s="26"/>
      <c r="B824" s="26"/>
      <c r="C824" s="12"/>
    </row>
    <row r="825">
      <c r="A825" s="26"/>
      <c r="B825" s="26"/>
      <c r="C825" s="12"/>
    </row>
    <row r="826">
      <c r="A826" s="26"/>
      <c r="B826" s="26"/>
      <c r="C826" s="12"/>
    </row>
    <row r="827">
      <c r="A827" s="26"/>
      <c r="B827" s="26"/>
      <c r="C827" s="12"/>
    </row>
    <row r="828">
      <c r="A828" s="26"/>
      <c r="B828" s="26"/>
      <c r="C828" s="12"/>
    </row>
    <row r="829">
      <c r="A829" s="26"/>
      <c r="B829" s="26"/>
      <c r="C829" s="12"/>
    </row>
    <row r="830">
      <c r="A830" s="26"/>
      <c r="B830" s="26"/>
      <c r="C830" s="12"/>
    </row>
    <row r="831">
      <c r="A831" s="26"/>
      <c r="B831" s="26"/>
      <c r="C831" s="12"/>
    </row>
    <row r="832">
      <c r="A832" s="26"/>
      <c r="B832" s="26"/>
      <c r="C832" s="12"/>
    </row>
    <row r="833">
      <c r="A833" s="26"/>
      <c r="B833" s="26"/>
      <c r="C833" s="12"/>
    </row>
    <row r="834">
      <c r="A834" s="26"/>
      <c r="B834" s="26"/>
      <c r="C834" s="12"/>
    </row>
    <row r="835">
      <c r="A835" s="26"/>
      <c r="B835" s="26"/>
      <c r="C835" s="12"/>
    </row>
    <row r="836">
      <c r="A836" s="26"/>
      <c r="B836" s="26"/>
      <c r="C836" s="12"/>
    </row>
    <row r="837">
      <c r="A837" s="26"/>
      <c r="B837" s="26"/>
      <c r="C837" s="12"/>
    </row>
    <row r="838">
      <c r="A838" s="26"/>
      <c r="B838" s="26"/>
      <c r="C838" s="12"/>
    </row>
    <row r="839">
      <c r="A839" s="26"/>
      <c r="B839" s="26"/>
      <c r="C839" s="12"/>
    </row>
    <row r="840">
      <c r="A840" s="26"/>
      <c r="B840" s="26"/>
      <c r="C840" s="12"/>
    </row>
    <row r="841">
      <c r="A841" s="26"/>
      <c r="B841" s="26"/>
      <c r="C841" s="12"/>
    </row>
    <row r="842">
      <c r="A842" s="26"/>
      <c r="B842" s="26"/>
      <c r="C842" s="12"/>
    </row>
    <row r="843">
      <c r="A843" s="26"/>
      <c r="B843" s="26"/>
      <c r="C843" s="12"/>
    </row>
    <row r="844">
      <c r="A844" s="26"/>
      <c r="B844" s="26"/>
      <c r="C844" s="12"/>
    </row>
    <row r="845">
      <c r="A845" s="26"/>
      <c r="B845" s="26"/>
      <c r="C845" s="12"/>
    </row>
    <row r="846">
      <c r="A846" s="26"/>
      <c r="B846" s="26"/>
      <c r="C846" s="12"/>
    </row>
    <row r="847">
      <c r="A847" s="26"/>
      <c r="B847" s="26"/>
      <c r="C847" s="12"/>
    </row>
    <row r="848">
      <c r="A848" s="26"/>
      <c r="B848" s="26"/>
      <c r="C848" s="12"/>
    </row>
    <row r="849">
      <c r="A849" s="26"/>
      <c r="B849" s="26"/>
      <c r="C849" s="12"/>
    </row>
    <row r="850">
      <c r="A850" s="26"/>
      <c r="B850" s="26"/>
      <c r="C850" s="12"/>
    </row>
    <row r="851">
      <c r="A851" s="26"/>
      <c r="B851" s="26"/>
      <c r="C851" s="12"/>
    </row>
    <row r="852">
      <c r="A852" s="26"/>
      <c r="B852" s="26"/>
      <c r="C852" s="12"/>
    </row>
    <row r="853">
      <c r="A853" s="26"/>
      <c r="B853" s="26"/>
      <c r="C853" s="12"/>
    </row>
    <row r="854">
      <c r="A854" s="26"/>
      <c r="B854" s="26"/>
      <c r="C854" s="12"/>
    </row>
    <row r="855">
      <c r="A855" s="26"/>
      <c r="B855" s="26"/>
      <c r="C855" s="12"/>
    </row>
    <row r="856">
      <c r="A856" s="26"/>
      <c r="B856" s="26"/>
      <c r="C856" s="12"/>
    </row>
    <row r="857">
      <c r="A857" s="26"/>
      <c r="B857" s="26"/>
      <c r="C857" s="12"/>
    </row>
    <row r="858">
      <c r="A858" s="26"/>
      <c r="B858" s="26"/>
      <c r="C858" s="12"/>
    </row>
    <row r="859">
      <c r="A859" s="26"/>
      <c r="B859" s="26"/>
      <c r="C859" s="12"/>
    </row>
    <row r="860">
      <c r="A860" s="26"/>
      <c r="B860" s="26"/>
      <c r="C860" s="12"/>
    </row>
    <row r="861">
      <c r="A861" s="26"/>
      <c r="B861" s="26"/>
      <c r="C861" s="12"/>
    </row>
    <row r="862">
      <c r="A862" s="26"/>
      <c r="B862" s="26"/>
      <c r="C862" s="12"/>
    </row>
    <row r="863">
      <c r="A863" s="26"/>
      <c r="B863" s="26"/>
      <c r="C863" s="12"/>
    </row>
    <row r="864">
      <c r="A864" s="26"/>
      <c r="B864" s="26"/>
      <c r="C864" s="12"/>
    </row>
    <row r="865">
      <c r="A865" s="26"/>
      <c r="B865" s="26"/>
      <c r="C865" s="12"/>
    </row>
    <row r="866">
      <c r="A866" s="26"/>
      <c r="B866" s="26"/>
      <c r="C866" s="12"/>
    </row>
    <row r="867">
      <c r="A867" s="26"/>
      <c r="B867" s="26"/>
      <c r="C867" s="12"/>
    </row>
    <row r="868">
      <c r="A868" s="26"/>
      <c r="B868" s="26"/>
      <c r="C868" s="12"/>
    </row>
    <row r="869">
      <c r="A869" s="26"/>
      <c r="B869" s="26"/>
      <c r="C869" s="12"/>
    </row>
    <row r="870">
      <c r="A870" s="26"/>
      <c r="B870" s="26"/>
      <c r="C870" s="12"/>
    </row>
    <row r="871">
      <c r="A871" s="26"/>
      <c r="B871" s="26"/>
      <c r="C871" s="12"/>
    </row>
    <row r="872">
      <c r="A872" s="26"/>
      <c r="B872" s="26"/>
      <c r="C872" s="12"/>
    </row>
    <row r="873">
      <c r="A873" s="26"/>
      <c r="B873" s="26"/>
      <c r="C873" s="12"/>
    </row>
    <row r="874">
      <c r="A874" s="26"/>
      <c r="B874" s="26"/>
      <c r="C874" s="12"/>
    </row>
    <row r="875">
      <c r="A875" s="26"/>
      <c r="B875" s="26"/>
      <c r="C875" s="12"/>
    </row>
    <row r="876">
      <c r="A876" s="26"/>
      <c r="B876" s="26"/>
      <c r="C876" s="12"/>
    </row>
    <row r="877">
      <c r="A877" s="26"/>
      <c r="B877" s="26"/>
      <c r="C877" s="12"/>
    </row>
    <row r="878">
      <c r="A878" s="26"/>
      <c r="B878" s="26"/>
      <c r="C878" s="12"/>
    </row>
    <row r="879">
      <c r="A879" s="26"/>
      <c r="B879" s="26"/>
      <c r="C879" s="12"/>
    </row>
    <row r="880">
      <c r="A880" s="26"/>
      <c r="B880" s="26"/>
      <c r="C880" s="12"/>
    </row>
    <row r="881">
      <c r="A881" s="26"/>
      <c r="B881" s="26"/>
      <c r="C881" s="12"/>
    </row>
    <row r="882">
      <c r="A882" s="26"/>
      <c r="B882" s="26"/>
      <c r="C882" s="12"/>
    </row>
    <row r="883">
      <c r="A883" s="26"/>
      <c r="B883" s="26"/>
      <c r="C883" s="12"/>
    </row>
    <row r="884">
      <c r="A884" s="26"/>
      <c r="B884" s="26"/>
      <c r="C884" s="12"/>
    </row>
    <row r="885">
      <c r="A885" s="26"/>
      <c r="B885" s="26"/>
      <c r="C885" s="12"/>
    </row>
    <row r="886">
      <c r="A886" s="26"/>
      <c r="B886" s="26"/>
      <c r="C886" s="12"/>
    </row>
  </sheetData>
  <mergeCells count="4">
    <mergeCell ref="B4:E4"/>
    <mergeCell ref="B5:E5"/>
    <mergeCell ref="B6:E6"/>
    <mergeCell ref="A8:C8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0"/>
    <col customWidth="1" min="2" max="2" width="28.57"/>
    <col customWidth="1" min="3" max="3" width="11.0"/>
    <col customWidth="1" min="4" max="4" width="10.29"/>
    <col customWidth="1" min="5" max="8" width="8.71"/>
    <col customWidth="1" min="9" max="10" width="26.57"/>
    <col customWidth="1" min="11" max="20" width="8.71"/>
  </cols>
  <sheetData>
    <row r="1">
      <c r="A1" s="274" t="s">
        <v>63</v>
      </c>
      <c r="B1" s="274" t="s">
        <v>59</v>
      </c>
      <c r="C1" s="274" t="s">
        <v>73</v>
      </c>
      <c r="D1" s="275" t="s">
        <v>5005</v>
      </c>
      <c r="L1" s="6" t="s">
        <v>107</v>
      </c>
    </row>
    <row r="2">
      <c r="A2" s="276"/>
      <c r="B2" s="276"/>
      <c r="C2" s="276"/>
      <c r="D2" s="277"/>
    </row>
    <row r="3">
      <c r="A3" s="276"/>
      <c r="B3" s="276" t="s">
        <v>0</v>
      </c>
      <c r="C3" s="276"/>
      <c r="D3" s="278">
        <v>140.0</v>
      </c>
      <c r="J3" s="2" t="str">
        <f t="array" ref="J3:K3">UNIQUE(G3:H1008)</f>
        <v/>
      </c>
      <c r="K3" s="2"/>
    </row>
    <row r="4">
      <c r="A4" s="276"/>
      <c r="B4" s="276" t="s">
        <v>0</v>
      </c>
      <c r="C4" s="276"/>
      <c r="D4" s="278">
        <v>140.0</v>
      </c>
    </row>
    <row r="5">
      <c r="A5" s="276"/>
      <c r="B5" s="276" t="s">
        <v>0</v>
      </c>
      <c r="C5" s="276"/>
      <c r="D5" s="278">
        <v>140.0</v>
      </c>
    </row>
    <row r="6">
      <c r="A6" s="276"/>
      <c r="B6" s="276" t="s">
        <v>0</v>
      </c>
      <c r="C6" s="276"/>
      <c r="D6" s="278">
        <v>140.0</v>
      </c>
    </row>
    <row r="7">
      <c r="A7" s="276"/>
      <c r="B7" s="276" t="s">
        <v>3</v>
      </c>
      <c r="C7" s="276"/>
      <c r="D7" s="278">
        <v>140.0</v>
      </c>
    </row>
    <row r="8">
      <c r="A8" s="276"/>
      <c r="B8" s="276" t="s">
        <v>3</v>
      </c>
      <c r="C8" s="276"/>
      <c r="D8" s="278">
        <v>140.0</v>
      </c>
    </row>
    <row r="9">
      <c r="A9" s="276"/>
      <c r="B9" s="276" t="s">
        <v>3</v>
      </c>
      <c r="C9" s="276"/>
      <c r="D9" s="278">
        <v>140.0</v>
      </c>
    </row>
    <row r="10">
      <c r="A10" s="276"/>
      <c r="B10" s="276" t="s">
        <v>3</v>
      </c>
      <c r="C10" s="276"/>
      <c r="D10" s="278">
        <v>140.0</v>
      </c>
    </row>
    <row r="11">
      <c r="A11" s="276"/>
      <c r="B11" s="276" t="s">
        <v>4</v>
      </c>
      <c r="C11" s="276"/>
      <c r="D11" s="278">
        <v>140.0</v>
      </c>
    </row>
    <row r="12">
      <c r="A12" s="276"/>
      <c r="B12" s="276" t="s">
        <v>4</v>
      </c>
      <c r="C12" s="276"/>
      <c r="D12" s="278">
        <v>140.0</v>
      </c>
    </row>
    <row r="13">
      <c r="A13" s="276"/>
      <c r="B13" s="276" t="s">
        <v>4</v>
      </c>
      <c r="C13" s="276"/>
      <c r="D13" s="278">
        <v>140.0</v>
      </c>
    </row>
    <row r="14">
      <c r="A14" s="276"/>
      <c r="B14" s="276" t="s">
        <v>4</v>
      </c>
      <c r="C14" s="276"/>
      <c r="D14" s="278">
        <v>140.0</v>
      </c>
    </row>
    <row r="15">
      <c r="A15" s="276"/>
      <c r="B15" s="276" t="s">
        <v>6</v>
      </c>
      <c r="C15" s="276"/>
      <c r="D15" s="278">
        <v>140.0</v>
      </c>
    </row>
    <row r="16">
      <c r="A16" s="276"/>
      <c r="B16" s="276" t="s">
        <v>6</v>
      </c>
      <c r="C16" s="276"/>
      <c r="D16" s="278">
        <v>140.0</v>
      </c>
    </row>
    <row r="17">
      <c r="A17" s="276"/>
      <c r="B17" s="276" t="s">
        <v>6</v>
      </c>
      <c r="C17" s="276"/>
      <c r="D17" s="278">
        <v>140.0</v>
      </c>
    </row>
    <row r="18">
      <c r="A18" s="276"/>
      <c r="B18" s="279" t="s">
        <v>6</v>
      </c>
      <c r="C18" s="276"/>
      <c r="D18" s="278">
        <v>140.0</v>
      </c>
    </row>
    <row r="19">
      <c r="A19" s="276"/>
      <c r="B19" s="279" t="s">
        <v>8</v>
      </c>
      <c r="C19" s="276"/>
      <c r="D19" s="278">
        <v>140.0</v>
      </c>
    </row>
    <row r="20">
      <c r="A20" s="276"/>
      <c r="B20" s="280" t="s">
        <v>12</v>
      </c>
      <c r="C20" s="276"/>
      <c r="D20" s="278">
        <v>140.0</v>
      </c>
    </row>
    <row r="21">
      <c r="A21" s="276"/>
      <c r="B21" s="281" t="s">
        <v>10</v>
      </c>
      <c r="C21" s="276"/>
      <c r="D21" s="278">
        <v>140.0</v>
      </c>
    </row>
    <row r="22">
      <c r="A22" s="276"/>
      <c r="B22" s="276"/>
      <c r="C22" s="276"/>
      <c r="D22" s="278">
        <v>140.0</v>
      </c>
    </row>
    <row r="23">
      <c r="A23" s="276"/>
      <c r="B23" s="276" t="s">
        <v>15</v>
      </c>
      <c r="C23" s="276"/>
      <c r="D23" s="278">
        <v>220.0</v>
      </c>
    </row>
    <row r="24">
      <c r="A24" s="276"/>
      <c r="B24" s="276" t="s">
        <v>15</v>
      </c>
      <c r="C24" s="276"/>
      <c r="D24" s="278">
        <v>220.0</v>
      </c>
    </row>
    <row r="25">
      <c r="A25" s="276"/>
      <c r="B25" s="276" t="s">
        <v>15</v>
      </c>
      <c r="C25" s="276"/>
      <c r="D25" s="278">
        <v>220.0</v>
      </c>
    </row>
    <row r="26">
      <c r="A26" s="276"/>
      <c r="B26" s="276" t="s">
        <v>15</v>
      </c>
      <c r="C26" s="276"/>
      <c r="D26" s="278">
        <v>220.0</v>
      </c>
      <c r="L26" s="6">
        <v>845290.0</v>
      </c>
      <c r="M26" s="6">
        <v>12.0</v>
      </c>
    </row>
    <row r="27">
      <c r="A27" s="276"/>
      <c r="B27" s="276" t="s">
        <v>19</v>
      </c>
      <c r="C27" s="276"/>
      <c r="D27" s="278">
        <v>220.0</v>
      </c>
      <c r="L27" s="6">
        <v>845290.0</v>
      </c>
      <c r="M27" s="6">
        <v>12.0</v>
      </c>
    </row>
    <row r="28">
      <c r="A28" s="276"/>
      <c r="B28" s="276" t="s">
        <v>19</v>
      </c>
      <c r="C28" s="276"/>
      <c r="D28" s="278">
        <v>220.0</v>
      </c>
      <c r="L28" s="6">
        <v>845290.0</v>
      </c>
      <c r="M28" s="6">
        <v>12.0</v>
      </c>
    </row>
    <row r="29">
      <c r="A29" s="276"/>
      <c r="B29" s="276" t="s">
        <v>19</v>
      </c>
      <c r="C29" s="276"/>
      <c r="D29" s="278">
        <v>220.0</v>
      </c>
      <c r="L29" s="6">
        <v>845290.0</v>
      </c>
      <c r="M29" s="6">
        <v>12.0</v>
      </c>
    </row>
    <row r="30">
      <c r="A30" s="276"/>
      <c r="B30" s="276" t="s">
        <v>19</v>
      </c>
      <c r="C30" s="276"/>
      <c r="D30" s="278">
        <v>220.0</v>
      </c>
      <c r="L30" s="6">
        <v>560313.0</v>
      </c>
      <c r="M30" s="6">
        <v>12.0</v>
      </c>
    </row>
    <row r="31">
      <c r="A31" s="276"/>
      <c r="B31" s="276" t="s">
        <v>22</v>
      </c>
      <c r="C31" s="276"/>
      <c r="D31" s="278">
        <v>220.0</v>
      </c>
      <c r="L31" s="6">
        <v>560313.0</v>
      </c>
      <c r="M31" s="6">
        <v>12.0</v>
      </c>
    </row>
    <row r="32">
      <c r="A32" s="276"/>
      <c r="B32" s="276" t="s">
        <v>22</v>
      </c>
      <c r="C32" s="276"/>
      <c r="D32" s="278">
        <v>220.0</v>
      </c>
      <c r="L32" s="6">
        <v>560313.0</v>
      </c>
      <c r="M32" s="6">
        <v>12.0</v>
      </c>
    </row>
    <row r="33">
      <c r="A33" s="276"/>
      <c r="B33" s="276" t="s">
        <v>22</v>
      </c>
      <c r="C33" s="276"/>
      <c r="D33" s="278">
        <v>220.0</v>
      </c>
      <c r="L33" s="6">
        <v>560313.0</v>
      </c>
      <c r="M33" s="6">
        <v>12.0</v>
      </c>
    </row>
    <row r="34">
      <c r="A34" s="276"/>
      <c r="B34" s="276" t="s">
        <v>22</v>
      </c>
      <c r="C34" s="276"/>
      <c r="D34" s="278">
        <v>220.0</v>
      </c>
      <c r="L34" s="6">
        <v>560313.0</v>
      </c>
      <c r="M34" s="6">
        <v>12.0</v>
      </c>
    </row>
    <row r="35">
      <c r="A35" s="276"/>
      <c r="B35" s="276" t="s">
        <v>23</v>
      </c>
      <c r="C35" s="276"/>
      <c r="D35" s="278">
        <v>220.0</v>
      </c>
      <c r="L35" s="6">
        <v>560313.0</v>
      </c>
      <c r="M35" s="6">
        <v>12.0</v>
      </c>
    </row>
    <row r="36">
      <c r="A36" s="276"/>
      <c r="B36" s="276" t="s">
        <v>23</v>
      </c>
      <c r="C36" s="276"/>
      <c r="D36" s="278">
        <v>220.0</v>
      </c>
      <c r="L36" s="6">
        <v>845290.0</v>
      </c>
      <c r="M36" s="6">
        <v>12.0</v>
      </c>
    </row>
    <row r="37">
      <c r="A37" s="276"/>
      <c r="B37" s="276" t="s">
        <v>23</v>
      </c>
      <c r="C37" s="276"/>
      <c r="D37" s="278">
        <v>220.0</v>
      </c>
      <c r="L37" s="6">
        <v>845290.0</v>
      </c>
      <c r="M37" s="6">
        <v>12.0</v>
      </c>
    </row>
    <row r="38">
      <c r="A38" s="276"/>
      <c r="B38" s="276" t="s">
        <v>23</v>
      </c>
      <c r="C38" s="276"/>
      <c r="D38" s="278">
        <v>220.0</v>
      </c>
      <c r="L38" s="6">
        <v>560313.0</v>
      </c>
      <c r="M38" s="6">
        <v>12.0</v>
      </c>
    </row>
    <row r="39">
      <c r="A39" s="276"/>
      <c r="B39" s="276" t="s">
        <v>24</v>
      </c>
      <c r="C39" s="276"/>
      <c r="D39" s="278">
        <v>220.0</v>
      </c>
      <c r="L39" s="6">
        <v>560313.0</v>
      </c>
      <c r="M39" s="6">
        <v>12.0</v>
      </c>
    </row>
    <row r="40">
      <c r="A40" s="276"/>
      <c r="B40" s="276" t="s">
        <v>24</v>
      </c>
      <c r="C40" s="276"/>
      <c r="D40" s="278">
        <v>220.0</v>
      </c>
      <c r="L40" s="6">
        <v>560313.0</v>
      </c>
      <c r="M40" s="6">
        <v>12.0</v>
      </c>
    </row>
    <row r="41">
      <c r="A41" s="276"/>
      <c r="B41" s="276" t="s">
        <v>24</v>
      </c>
      <c r="C41" s="276"/>
      <c r="D41" s="278">
        <v>220.0</v>
      </c>
      <c r="L41" s="6">
        <v>560313.0</v>
      </c>
      <c r="M41" s="6">
        <v>12.0</v>
      </c>
    </row>
    <row r="42">
      <c r="A42" s="276"/>
      <c r="B42" s="276" t="s">
        <v>24</v>
      </c>
      <c r="C42" s="276"/>
      <c r="D42" s="278">
        <v>220.0</v>
      </c>
      <c r="L42" s="6">
        <v>560313.0</v>
      </c>
      <c r="M42" s="6">
        <v>12.0</v>
      </c>
    </row>
    <row r="43">
      <c r="A43" s="276"/>
      <c r="B43" s="276" t="s">
        <v>25</v>
      </c>
      <c r="C43" s="276"/>
      <c r="D43" s="278">
        <v>220.0</v>
      </c>
      <c r="L43" s="6">
        <v>560313.0</v>
      </c>
      <c r="M43" s="6">
        <v>12.0</v>
      </c>
    </row>
    <row r="44">
      <c r="A44" s="276"/>
      <c r="B44" s="276" t="s">
        <v>25</v>
      </c>
      <c r="C44" s="276"/>
      <c r="D44" s="278">
        <v>220.0</v>
      </c>
      <c r="L44" s="6">
        <v>560313.0</v>
      </c>
      <c r="M44" s="6">
        <v>12.0</v>
      </c>
    </row>
    <row r="45">
      <c r="A45" s="276"/>
      <c r="B45" s="276" t="s">
        <v>25</v>
      </c>
      <c r="C45" s="276"/>
      <c r="D45" s="278">
        <v>220.0</v>
      </c>
      <c r="L45" s="6">
        <v>560313.0</v>
      </c>
      <c r="M45" s="6">
        <v>12.0</v>
      </c>
    </row>
    <row r="46">
      <c r="A46" s="276"/>
      <c r="B46" s="276" t="s">
        <v>25</v>
      </c>
      <c r="C46" s="276"/>
      <c r="D46" s="278">
        <v>220.0</v>
      </c>
      <c r="L46" s="6">
        <v>560313.0</v>
      </c>
      <c r="M46" s="6">
        <v>12.0</v>
      </c>
    </row>
    <row r="47">
      <c r="A47" s="276"/>
      <c r="B47" s="276" t="s">
        <v>5046</v>
      </c>
      <c r="C47" s="276"/>
      <c r="D47" s="278">
        <v>220.0</v>
      </c>
      <c r="L47" s="6">
        <v>845290.0</v>
      </c>
      <c r="M47" s="6">
        <v>12.0</v>
      </c>
    </row>
    <row r="48">
      <c r="A48" s="276"/>
      <c r="B48" s="276" t="s">
        <v>5046</v>
      </c>
      <c r="C48" s="276"/>
      <c r="D48" s="278">
        <v>220.0</v>
      </c>
      <c r="L48" s="6">
        <v>845290.0</v>
      </c>
      <c r="M48" s="6">
        <v>12.0</v>
      </c>
    </row>
    <row r="49">
      <c r="A49" s="276"/>
      <c r="B49" s="276" t="s">
        <v>5046</v>
      </c>
      <c r="C49" s="276"/>
      <c r="D49" s="278">
        <v>220.0</v>
      </c>
      <c r="L49" s="6">
        <v>845290.0</v>
      </c>
      <c r="M49" s="6">
        <v>12.0</v>
      </c>
    </row>
    <row r="50">
      <c r="A50" s="276"/>
      <c r="B50" s="276" t="s">
        <v>5046</v>
      </c>
      <c r="C50" s="276"/>
      <c r="D50" s="278">
        <v>220.0</v>
      </c>
      <c r="L50" s="6">
        <v>845290.0</v>
      </c>
      <c r="M50" s="6">
        <v>12.0</v>
      </c>
    </row>
    <row r="51">
      <c r="A51" s="276"/>
      <c r="B51" s="276" t="s">
        <v>27</v>
      </c>
      <c r="C51" s="276"/>
      <c r="D51" s="278">
        <v>220.0</v>
      </c>
      <c r="L51" s="6">
        <v>845290.0</v>
      </c>
      <c r="M51" s="6">
        <v>12.0</v>
      </c>
    </row>
    <row r="52">
      <c r="A52" s="276"/>
      <c r="B52" s="276" t="s">
        <v>27</v>
      </c>
      <c r="C52" s="276"/>
      <c r="D52" s="278">
        <v>220.0</v>
      </c>
      <c r="L52" s="6">
        <v>845290.0</v>
      </c>
      <c r="M52" s="6">
        <v>12.0</v>
      </c>
    </row>
    <row r="53">
      <c r="A53" s="276"/>
      <c r="B53" s="276" t="s">
        <v>27</v>
      </c>
      <c r="C53" s="276"/>
      <c r="D53" s="278">
        <v>220.0</v>
      </c>
      <c r="L53" s="6">
        <v>845290.0</v>
      </c>
      <c r="M53" s="6">
        <v>12.0</v>
      </c>
    </row>
    <row r="54">
      <c r="A54" s="276"/>
      <c r="B54" s="276" t="s">
        <v>27</v>
      </c>
      <c r="C54" s="276"/>
      <c r="D54" s="278">
        <v>220.0</v>
      </c>
      <c r="L54" s="6">
        <v>845290.0</v>
      </c>
      <c r="M54" s="6">
        <v>12.0</v>
      </c>
    </row>
    <row r="55">
      <c r="A55" s="276"/>
      <c r="B55" s="276" t="s">
        <v>29</v>
      </c>
      <c r="C55" s="276"/>
      <c r="D55" s="278">
        <v>390.0</v>
      </c>
      <c r="L55" s="6">
        <v>845290.0</v>
      </c>
      <c r="M55" s="6">
        <v>12.0</v>
      </c>
    </row>
    <row r="56">
      <c r="A56" s="276"/>
      <c r="B56" s="276" t="s">
        <v>29</v>
      </c>
      <c r="C56" s="276"/>
      <c r="D56" s="278">
        <v>390.0</v>
      </c>
      <c r="L56" s="6">
        <v>845290.0</v>
      </c>
      <c r="M56" s="6">
        <v>12.0</v>
      </c>
    </row>
    <row r="57">
      <c r="A57" s="276"/>
      <c r="B57" s="276" t="s">
        <v>29</v>
      </c>
      <c r="C57" s="276"/>
      <c r="D57" s="278">
        <v>390.0</v>
      </c>
      <c r="L57" s="6">
        <v>845290.0</v>
      </c>
      <c r="M57" s="6">
        <v>12.0</v>
      </c>
    </row>
    <row r="58">
      <c r="A58" s="276"/>
      <c r="B58" s="276" t="s">
        <v>29</v>
      </c>
      <c r="C58" s="276"/>
      <c r="D58" s="278">
        <v>390.0</v>
      </c>
      <c r="L58" s="6">
        <v>845290.0</v>
      </c>
      <c r="M58" s="6">
        <v>12.0</v>
      </c>
    </row>
    <row r="59">
      <c r="A59" s="276"/>
      <c r="B59" s="276" t="s">
        <v>30</v>
      </c>
      <c r="C59" s="276"/>
      <c r="D59" s="278">
        <v>390.0</v>
      </c>
      <c r="L59" s="6">
        <v>845290.0</v>
      </c>
      <c r="M59" s="6">
        <v>12.0</v>
      </c>
    </row>
    <row r="60">
      <c r="A60" s="276"/>
      <c r="B60" s="276" t="s">
        <v>30</v>
      </c>
      <c r="C60" s="276"/>
      <c r="D60" s="278">
        <v>390.0</v>
      </c>
      <c r="L60" s="6">
        <v>845290.0</v>
      </c>
      <c r="M60" s="6">
        <v>12.0</v>
      </c>
    </row>
    <row r="61">
      <c r="A61" s="276"/>
      <c r="B61" s="276" t="s">
        <v>30</v>
      </c>
      <c r="C61" s="276"/>
      <c r="D61" s="278">
        <v>390.0</v>
      </c>
      <c r="L61" s="6">
        <v>845290.0</v>
      </c>
      <c r="M61" s="6">
        <v>12.0</v>
      </c>
    </row>
    <row r="62">
      <c r="A62" s="276"/>
      <c r="B62" s="276" t="s">
        <v>30</v>
      </c>
      <c r="C62" s="276"/>
      <c r="D62" s="278">
        <v>390.0</v>
      </c>
      <c r="L62" s="6">
        <v>845290.0</v>
      </c>
      <c r="M62" s="6">
        <v>12.0</v>
      </c>
    </row>
    <row r="63">
      <c r="A63" s="276"/>
      <c r="B63" s="276" t="s">
        <v>31</v>
      </c>
      <c r="C63" s="276"/>
      <c r="D63" s="278">
        <v>390.0</v>
      </c>
      <c r="L63" s="6">
        <v>560313.0</v>
      </c>
      <c r="M63" s="6">
        <v>12.0</v>
      </c>
    </row>
    <row r="64">
      <c r="A64" s="276"/>
      <c r="B64" s="276" t="s">
        <v>31</v>
      </c>
      <c r="C64" s="276"/>
      <c r="D64" s="278">
        <v>390.0</v>
      </c>
      <c r="L64" s="6">
        <v>560313.0</v>
      </c>
      <c r="M64" s="6">
        <v>12.0</v>
      </c>
    </row>
    <row r="65">
      <c r="A65" s="276"/>
      <c r="B65" s="276" t="s">
        <v>31</v>
      </c>
      <c r="C65" s="276"/>
      <c r="D65" s="278">
        <v>390.0</v>
      </c>
      <c r="L65" s="6">
        <v>560313.0</v>
      </c>
      <c r="M65" s="6">
        <v>12.0</v>
      </c>
    </row>
    <row r="66">
      <c r="A66" s="276"/>
      <c r="B66" s="276" t="s">
        <v>31</v>
      </c>
      <c r="C66" s="276"/>
      <c r="D66" s="278">
        <v>390.0</v>
      </c>
      <c r="L66" s="6">
        <v>560313.0</v>
      </c>
      <c r="M66" s="6">
        <v>12.0</v>
      </c>
    </row>
    <row r="67">
      <c r="A67" s="276"/>
      <c r="B67" s="276" t="s">
        <v>33</v>
      </c>
      <c r="C67" s="276"/>
      <c r="D67" s="278">
        <v>390.0</v>
      </c>
      <c r="L67" s="6">
        <v>845290.0</v>
      </c>
      <c r="M67" s="6">
        <v>12.0</v>
      </c>
    </row>
    <row r="68">
      <c r="A68" s="276"/>
      <c r="B68" s="276" t="s">
        <v>33</v>
      </c>
      <c r="C68" s="276"/>
      <c r="D68" s="278">
        <v>390.0</v>
      </c>
      <c r="L68" s="6">
        <v>845290.0</v>
      </c>
      <c r="M68" s="6">
        <v>12.0</v>
      </c>
    </row>
    <row r="69">
      <c r="A69" s="276"/>
      <c r="B69" s="276" t="s">
        <v>33</v>
      </c>
      <c r="C69" s="276"/>
      <c r="D69" s="278">
        <v>390.0</v>
      </c>
      <c r="L69" s="6">
        <v>845290.0</v>
      </c>
      <c r="M69" s="6">
        <v>12.0</v>
      </c>
    </row>
    <row r="70">
      <c r="A70" s="276"/>
      <c r="B70" s="276" t="s">
        <v>33</v>
      </c>
      <c r="C70" s="276"/>
      <c r="D70" s="278">
        <v>390.0</v>
      </c>
      <c r="L70" s="6">
        <v>845290.0</v>
      </c>
      <c r="M70" s="6">
        <v>12.0</v>
      </c>
    </row>
    <row r="71">
      <c r="A71" s="276"/>
      <c r="B71" s="276" t="s">
        <v>5062</v>
      </c>
      <c r="C71" s="276"/>
      <c r="D71" s="278">
        <v>390.0</v>
      </c>
      <c r="L71" s="6">
        <v>845290.0</v>
      </c>
      <c r="M71" s="6">
        <v>12.0</v>
      </c>
    </row>
    <row r="72">
      <c r="A72" s="276"/>
      <c r="B72" s="276" t="s">
        <v>5062</v>
      </c>
      <c r="C72" s="276"/>
      <c r="D72" s="278">
        <v>390.0</v>
      </c>
      <c r="L72" s="6">
        <v>845290.0</v>
      </c>
      <c r="M72" s="6">
        <v>12.0</v>
      </c>
    </row>
    <row r="73">
      <c r="A73" s="276"/>
      <c r="B73" s="276" t="s">
        <v>5062</v>
      </c>
      <c r="C73" s="276"/>
      <c r="D73" s="278">
        <v>390.0</v>
      </c>
      <c r="L73" s="6">
        <v>845290.0</v>
      </c>
      <c r="M73" s="6">
        <v>12.0</v>
      </c>
    </row>
    <row r="74">
      <c r="A74" s="276"/>
      <c r="B74" s="276" t="s">
        <v>5062</v>
      </c>
      <c r="C74" s="276"/>
      <c r="D74" s="278">
        <v>390.0</v>
      </c>
      <c r="L74" s="6">
        <v>845290.0</v>
      </c>
      <c r="M74" s="6">
        <v>12.0</v>
      </c>
    </row>
    <row r="75">
      <c r="A75" s="276"/>
      <c r="B75" s="276" t="s">
        <v>34</v>
      </c>
      <c r="C75" s="276"/>
      <c r="D75" s="278">
        <v>390.0</v>
      </c>
      <c r="L75" s="6">
        <v>845290.0</v>
      </c>
      <c r="M75" s="6">
        <v>12.0</v>
      </c>
    </row>
    <row r="76">
      <c r="A76" s="276"/>
      <c r="B76" s="276" t="s">
        <v>34</v>
      </c>
      <c r="C76" s="276"/>
      <c r="D76" s="278">
        <v>390.0</v>
      </c>
      <c r="L76" s="6">
        <v>845290.0</v>
      </c>
      <c r="M76" s="6">
        <v>12.0</v>
      </c>
    </row>
    <row r="77">
      <c r="A77" s="276"/>
      <c r="B77" s="276" t="s">
        <v>34</v>
      </c>
      <c r="C77" s="276"/>
      <c r="D77" s="278">
        <v>390.0</v>
      </c>
      <c r="L77" s="6">
        <v>845290.0</v>
      </c>
      <c r="M77" s="6">
        <v>12.0</v>
      </c>
    </row>
    <row r="78">
      <c r="A78" s="276"/>
      <c r="B78" s="276" t="s">
        <v>34</v>
      </c>
      <c r="C78" s="276"/>
      <c r="D78" s="278">
        <v>390.0</v>
      </c>
      <c r="L78" s="6">
        <v>845290.0</v>
      </c>
      <c r="M78" s="6">
        <v>12.0</v>
      </c>
    </row>
    <row r="79">
      <c r="A79" s="276"/>
      <c r="B79" s="276" t="s">
        <v>5069</v>
      </c>
      <c r="C79" s="276"/>
      <c r="D79" s="278">
        <v>390.0</v>
      </c>
      <c r="L79" s="6">
        <v>560313.0</v>
      </c>
      <c r="M79" s="6">
        <v>12.0</v>
      </c>
    </row>
    <row r="80">
      <c r="A80" s="276"/>
      <c r="B80" s="276" t="s">
        <v>5069</v>
      </c>
      <c r="C80" s="276"/>
      <c r="D80" s="278">
        <v>390.0</v>
      </c>
      <c r="L80" s="6">
        <v>560313.0</v>
      </c>
      <c r="M80" s="6">
        <v>12.0</v>
      </c>
    </row>
    <row r="81">
      <c r="A81" s="276"/>
      <c r="B81" s="276" t="s">
        <v>5069</v>
      </c>
      <c r="C81" s="276"/>
      <c r="D81" s="278">
        <v>390.0</v>
      </c>
      <c r="L81" s="6">
        <v>845290.0</v>
      </c>
      <c r="M81" s="6">
        <v>12.0</v>
      </c>
    </row>
    <row r="82">
      <c r="A82" s="276"/>
      <c r="B82" s="276" t="s">
        <v>5069</v>
      </c>
      <c r="C82" s="276"/>
      <c r="D82" s="278">
        <v>390.0</v>
      </c>
      <c r="L82" s="6">
        <v>845290.0</v>
      </c>
      <c r="M82" s="6">
        <v>12.0</v>
      </c>
    </row>
    <row r="83">
      <c r="A83" s="276"/>
      <c r="B83" s="276" t="s">
        <v>35</v>
      </c>
      <c r="C83" s="276"/>
      <c r="D83" s="278">
        <v>390.0</v>
      </c>
      <c r="L83" s="6">
        <v>845290.0</v>
      </c>
      <c r="M83" s="6">
        <v>12.0</v>
      </c>
    </row>
    <row r="84">
      <c r="A84" s="276"/>
      <c r="B84" s="276" t="s">
        <v>35</v>
      </c>
      <c r="C84" s="276"/>
      <c r="D84" s="278">
        <v>390.0</v>
      </c>
      <c r="L84" s="6">
        <v>845290.0</v>
      </c>
      <c r="M84" s="6">
        <v>12.0</v>
      </c>
    </row>
    <row r="85">
      <c r="A85" s="276"/>
      <c r="B85" s="276" t="s">
        <v>35</v>
      </c>
      <c r="C85" s="276"/>
      <c r="D85" s="278">
        <v>390.0</v>
      </c>
      <c r="L85" s="6">
        <v>845290.0</v>
      </c>
      <c r="M85" s="6">
        <v>12.0</v>
      </c>
    </row>
    <row r="86">
      <c r="A86" s="276"/>
      <c r="B86" s="276" t="s">
        <v>35</v>
      </c>
      <c r="C86" s="276"/>
      <c r="D86" s="278">
        <v>390.0</v>
      </c>
      <c r="L86" s="6">
        <v>845290.0</v>
      </c>
      <c r="M86" s="6">
        <v>12.0</v>
      </c>
    </row>
    <row r="87">
      <c r="A87" s="276"/>
      <c r="B87" s="276" t="s">
        <v>38</v>
      </c>
      <c r="C87" s="276"/>
      <c r="D87" s="278">
        <v>144.0</v>
      </c>
      <c r="L87" s="6">
        <v>845290.0</v>
      </c>
      <c r="M87" s="6">
        <v>12.0</v>
      </c>
    </row>
    <row r="88">
      <c r="A88" s="276"/>
      <c r="B88" s="276" t="s">
        <v>38</v>
      </c>
      <c r="C88" s="276"/>
      <c r="D88" s="278">
        <v>144.0</v>
      </c>
      <c r="L88" s="6">
        <v>845290.0</v>
      </c>
      <c r="M88" s="6">
        <v>12.0</v>
      </c>
    </row>
    <row r="89">
      <c r="A89" s="276"/>
      <c r="B89" s="276" t="s">
        <v>38</v>
      </c>
      <c r="C89" s="276"/>
      <c r="D89" s="278">
        <v>144.0</v>
      </c>
      <c r="L89" s="6">
        <v>845290.0</v>
      </c>
      <c r="M89" s="6">
        <v>12.0</v>
      </c>
    </row>
    <row r="90">
      <c r="A90" s="276"/>
      <c r="B90" s="276" t="s">
        <v>38</v>
      </c>
      <c r="C90" s="276"/>
      <c r="D90" s="278">
        <v>144.0</v>
      </c>
      <c r="L90" s="6">
        <v>845290.0</v>
      </c>
      <c r="M90" s="6">
        <v>12.0</v>
      </c>
    </row>
    <row r="91">
      <c r="A91" s="276"/>
      <c r="B91" s="276" t="s">
        <v>39</v>
      </c>
      <c r="C91" s="276"/>
      <c r="D91" s="278">
        <v>144.0</v>
      </c>
      <c r="L91" s="6">
        <v>845290.0</v>
      </c>
      <c r="M91" s="6">
        <v>12.0</v>
      </c>
    </row>
    <row r="92">
      <c r="A92" s="276"/>
      <c r="B92" s="276" t="s">
        <v>39</v>
      </c>
      <c r="C92" s="276"/>
      <c r="D92" s="278">
        <v>144.0</v>
      </c>
      <c r="L92" s="6">
        <v>845290.0</v>
      </c>
      <c r="M92" s="6">
        <v>12.0</v>
      </c>
    </row>
    <row r="93">
      <c r="A93" s="276"/>
      <c r="B93" s="276" t="s">
        <v>39</v>
      </c>
      <c r="C93" s="276"/>
      <c r="D93" s="278">
        <v>144.0</v>
      </c>
      <c r="L93" s="6">
        <v>845290.0</v>
      </c>
      <c r="M93" s="6">
        <v>12.0</v>
      </c>
    </row>
    <row r="94">
      <c r="A94" s="276"/>
      <c r="B94" s="276" t="s">
        <v>39</v>
      </c>
      <c r="C94" s="276"/>
      <c r="D94" s="278">
        <v>144.0</v>
      </c>
      <c r="L94" s="6">
        <v>845290.0</v>
      </c>
      <c r="M94" s="6">
        <v>12.0</v>
      </c>
    </row>
    <row r="95">
      <c r="A95" s="276"/>
      <c r="B95" s="276" t="s">
        <v>40</v>
      </c>
      <c r="C95" s="276"/>
      <c r="D95" s="278">
        <v>144.0</v>
      </c>
      <c r="L95" s="6">
        <v>845290.0</v>
      </c>
      <c r="M95" s="6">
        <v>12.0</v>
      </c>
    </row>
    <row r="96">
      <c r="A96" s="276"/>
      <c r="B96" s="276" t="s">
        <v>40</v>
      </c>
      <c r="C96" s="276"/>
      <c r="D96" s="278">
        <v>144.0</v>
      </c>
      <c r="L96" s="6">
        <v>845290.0</v>
      </c>
      <c r="M96" s="6">
        <v>12.0</v>
      </c>
    </row>
    <row r="97">
      <c r="A97" s="276"/>
      <c r="B97" s="276" t="s">
        <v>40</v>
      </c>
      <c r="C97" s="276"/>
      <c r="D97" s="278">
        <v>144.0</v>
      </c>
      <c r="L97" s="6">
        <v>845290.0</v>
      </c>
      <c r="M97" s="6">
        <v>12.0</v>
      </c>
    </row>
    <row r="98">
      <c r="A98" s="276"/>
      <c r="B98" s="276" t="s">
        <v>40</v>
      </c>
      <c r="C98" s="276"/>
      <c r="D98" s="278">
        <v>144.0</v>
      </c>
      <c r="L98" s="6">
        <v>845290.0</v>
      </c>
      <c r="M98" s="6">
        <v>12.0</v>
      </c>
    </row>
    <row r="99">
      <c r="A99" s="276"/>
      <c r="B99" s="276" t="s">
        <v>41</v>
      </c>
      <c r="C99" s="276"/>
      <c r="D99" s="278">
        <v>144.0</v>
      </c>
      <c r="L99" s="6">
        <v>845290.0</v>
      </c>
      <c r="M99" s="6">
        <v>12.0</v>
      </c>
    </row>
    <row r="100">
      <c r="A100" s="276"/>
      <c r="B100" s="276" t="s">
        <v>41</v>
      </c>
      <c r="C100" s="276"/>
      <c r="D100" s="278">
        <v>144.0</v>
      </c>
      <c r="L100" s="6">
        <v>845290.0</v>
      </c>
      <c r="M100" s="6">
        <v>12.0</v>
      </c>
    </row>
    <row r="101">
      <c r="A101" s="276"/>
      <c r="B101" s="276" t="s">
        <v>41</v>
      </c>
      <c r="C101" s="276"/>
      <c r="D101" s="278">
        <v>144.0</v>
      </c>
      <c r="L101" s="6">
        <v>845290.0</v>
      </c>
      <c r="M101" s="6">
        <v>12.0</v>
      </c>
    </row>
    <row r="102">
      <c r="A102" s="276"/>
      <c r="B102" s="7" t="s">
        <v>52</v>
      </c>
      <c r="C102" s="276"/>
      <c r="D102" s="278">
        <v>144.0</v>
      </c>
      <c r="L102" s="6">
        <v>845290.0</v>
      </c>
      <c r="M102" s="6">
        <v>12.0</v>
      </c>
    </row>
    <row r="103">
      <c r="A103" s="276"/>
      <c r="B103" s="276" t="s">
        <v>41</v>
      </c>
      <c r="C103" s="276"/>
      <c r="D103" s="278">
        <v>144.0</v>
      </c>
      <c r="L103" s="6">
        <v>845290.0</v>
      </c>
      <c r="M103" s="6">
        <v>12.0</v>
      </c>
    </row>
    <row r="104">
      <c r="A104" s="276"/>
      <c r="B104" s="276" t="s">
        <v>53</v>
      </c>
      <c r="C104" s="276"/>
      <c r="D104" s="278">
        <v>181.0</v>
      </c>
      <c r="L104" s="6">
        <v>845290.0</v>
      </c>
      <c r="M104" s="6">
        <v>12.0</v>
      </c>
    </row>
    <row r="105">
      <c r="A105" s="276"/>
      <c r="B105" s="276" t="s">
        <v>53</v>
      </c>
      <c r="C105" s="276"/>
      <c r="D105" s="278">
        <v>181.0</v>
      </c>
      <c r="L105" s="6">
        <v>845290.0</v>
      </c>
      <c r="M105" s="6">
        <v>12.0</v>
      </c>
    </row>
    <row r="106">
      <c r="A106" s="276"/>
      <c r="B106" s="276" t="s">
        <v>53</v>
      </c>
      <c r="C106" s="276"/>
      <c r="D106" s="278">
        <v>181.0</v>
      </c>
      <c r="L106" s="6">
        <v>845290.0</v>
      </c>
      <c r="M106" s="6">
        <v>12.0</v>
      </c>
    </row>
    <row r="107">
      <c r="A107" s="276"/>
      <c r="B107" s="276" t="s">
        <v>53</v>
      </c>
      <c r="C107" s="276"/>
      <c r="D107" s="278">
        <v>181.0</v>
      </c>
      <c r="L107" s="6">
        <v>845290.0</v>
      </c>
      <c r="M107" s="6">
        <v>12.0</v>
      </c>
    </row>
    <row r="108">
      <c r="A108" s="276"/>
      <c r="B108" s="276" t="s">
        <v>449</v>
      </c>
      <c r="C108" s="276"/>
      <c r="D108" s="278">
        <v>80.0</v>
      </c>
      <c r="L108" s="6">
        <v>845290.0</v>
      </c>
      <c r="M108" s="6">
        <v>12.0</v>
      </c>
    </row>
    <row r="109">
      <c r="A109" s="276"/>
      <c r="B109" s="276" t="s">
        <v>449</v>
      </c>
      <c r="C109" s="276"/>
      <c r="D109" s="278">
        <v>80.0</v>
      </c>
      <c r="L109" s="6">
        <v>845290.0</v>
      </c>
      <c r="M109" s="6">
        <v>12.0</v>
      </c>
    </row>
    <row r="110">
      <c r="A110" s="276"/>
      <c r="B110" s="276" t="s">
        <v>449</v>
      </c>
      <c r="C110" s="276"/>
      <c r="D110" s="278">
        <v>80.0</v>
      </c>
      <c r="L110" s="6">
        <v>845290.0</v>
      </c>
      <c r="M110" s="6">
        <v>12.0</v>
      </c>
    </row>
    <row r="111">
      <c r="A111" s="276"/>
      <c r="B111" s="276" t="s">
        <v>449</v>
      </c>
      <c r="C111" s="276"/>
      <c r="D111" s="278">
        <v>80.0</v>
      </c>
      <c r="L111" s="6">
        <v>845290.0</v>
      </c>
      <c r="M111" s="6">
        <v>12.0</v>
      </c>
    </row>
    <row r="112">
      <c r="A112" s="276"/>
      <c r="B112" s="276" t="s">
        <v>429</v>
      </c>
      <c r="C112" s="276"/>
      <c r="D112" s="278">
        <v>80.0</v>
      </c>
      <c r="L112" s="6">
        <v>845290.0</v>
      </c>
      <c r="M112" s="6">
        <v>12.0</v>
      </c>
    </row>
    <row r="113">
      <c r="A113" s="276"/>
      <c r="B113" s="276" t="s">
        <v>429</v>
      </c>
      <c r="C113" s="276"/>
      <c r="D113" s="278">
        <v>80.0</v>
      </c>
      <c r="L113" s="6">
        <v>845290.0</v>
      </c>
      <c r="M113" s="6">
        <v>12.0</v>
      </c>
    </row>
    <row r="114">
      <c r="A114" s="276"/>
      <c r="B114" s="276" t="s">
        <v>429</v>
      </c>
      <c r="C114" s="276"/>
      <c r="D114" s="278">
        <v>80.0</v>
      </c>
      <c r="L114" s="6">
        <v>845290.0</v>
      </c>
      <c r="M114" s="6">
        <v>12.0</v>
      </c>
    </row>
    <row r="115">
      <c r="A115" s="276"/>
      <c r="B115" s="276" t="s">
        <v>429</v>
      </c>
      <c r="C115" s="276"/>
      <c r="D115" s="278">
        <v>80.0</v>
      </c>
      <c r="L115" s="6">
        <v>845290.0</v>
      </c>
      <c r="M115" s="6">
        <v>12.0</v>
      </c>
    </row>
    <row r="116">
      <c r="A116" s="276"/>
      <c r="B116" s="276" t="s">
        <v>5101</v>
      </c>
      <c r="C116" s="276"/>
      <c r="D116" s="278">
        <v>80.0</v>
      </c>
      <c r="L116" s="6">
        <v>845290.0</v>
      </c>
      <c r="M116" s="6">
        <v>12.0</v>
      </c>
    </row>
    <row r="117">
      <c r="A117" s="276"/>
      <c r="B117" s="276" t="s">
        <v>5101</v>
      </c>
      <c r="C117" s="276"/>
      <c r="D117" s="278">
        <v>80.0</v>
      </c>
      <c r="L117" s="6">
        <v>845290.0</v>
      </c>
      <c r="M117" s="6">
        <v>12.0</v>
      </c>
    </row>
    <row r="118">
      <c r="A118" s="276"/>
      <c r="B118" s="276" t="s">
        <v>5101</v>
      </c>
      <c r="C118" s="276"/>
      <c r="D118" s="278">
        <v>80.0</v>
      </c>
      <c r="L118" s="6">
        <v>845290.0</v>
      </c>
      <c r="M118" s="6">
        <v>12.0</v>
      </c>
    </row>
    <row r="119">
      <c r="A119" s="276"/>
      <c r="B119" s="276" t="s">
        <v>5101</v>
      </c>
      <c r="C119" s="276"/>
      <c r="D119" s="278">
        <v>80.0</v>
      </c>
      <c r="L119" s="6">
        <v>560313.0</v>
      </c>
      <c r="M119" s="6">
        <v>12.0</v>
      </c>
    </row>
    <row r="120">
      <c r="A120" s="276"/>
      <c r="B120" s="276" t="s">
        <v>54</v>
      </c>
      <c r="C120" s="276"/>
      <c r="D120" s="278">
        <v>85.0</v>
      </c>
      <c r="L120" s="6">
        <v>560313.0</v>
      </c>
      <c r="M120" s="6">
        <v>12.0</v>
      </c>
    </row>
    <row r="121">
      <c r="A121" s="276"/>
      <c r="B121" s="276" t="s">
        <v>54</v>
      </c>
      <c r="C121" s="276"/>
      <c r="D121" s="278">
        <v>85.0</v>
      </c>
      <c r="L121" s="6">
        <v>560313.0</v>
      </c>
      <c r="M121" s="6">
        <v>12.0</v>
      </c>
    </row>
    <row r="122">
      <c r="A122" s="276"/>
      <c r="B122" s="276" t="s">
        <v>54</v>
      </c>
      <c r="C122" s="276"/>
      <c r="D122" s="278">
        <v>85.0</v>
      </c>
      <c r="L122" s="6">
        <v>560313.0</v>
      </c>
      <c r="M122" s="6">
        <v>12.0</v>
      </c>
    </row>
    <row r="123">
      <c r="A123" s="276"/>
      <c r="B123" s="276" t="s">
        <v>54</v>
      </c>
      <c r="C123" s="276"/>
      <c r="D123" s="278">
        <v>85.0</v>
      </c>
      <c r="L123" s="6">
        <v>560313.0</v>
      </c>
      <c r="M123" s="6">
        <v>12.0</v>
      </c>
    </row>
    <row r="124">
      <c r="A124" s="276"/>
      <c r="B124" s="282" t="s">
        <v>56</v>
      </c>
      <c r="C124" s="276"/>
      <c r="D124" s="283">
        <v>425.0</v>
      </c>
      <c r="L124" s="6">
        <v>560313.0</v>
      </c>
      <c r="M124" s="6">
        <v>12.0</v>
      </c>
    </row>
    <row r="125">
      <c r="A125" s="276"/>
      <c r="B125" s="276" t="s">
        <v>55</v>
      </c>
      <c r="C125" s="276"/>
      <c r="D125" s="278">
        <v>85.0</v>
      </c>
      <c r="L125" s="6">
        <v>560313.0</v>
      </c>
      <c r="M125" s="6">
        <v>12.0</v>
      </c>
    </row>
    <row r="126">
      <c r="A126" s="276"/>
      <c r="B126" s="284" t="s">
        <v>58</v>
      </c>
      <c r="C126" s="276"/>
      <c r="D126" s="283">
        <v>425.0</v>
      </c>
      <c r="L126" s="6">
        <v>560313.0</v>
      </c>
      <c r="M126" s="6">
        <v>12.0</v>
      </c>
    </row>
    <row r="127">
      <c r="A127" s="276"/>
      <c r="B127" s="276" t="s">
        <v>64</v>
      </c>
      <c r="C127" s="276"/>
      <c r="D127" s="283">
        <v>170.0</v>
      </c>
      <c r="L127" s="6">
        <v>560313.0</v>
      </c>
      <c r="M127" s="6">
        <v>12.0</v>
      </c>
    </row>
    <row r="128">
      <c r="A128" s="276"/>
      <c r="B128" s="276" t="s">
        <v>61</v>
      </c>
      <c r="C128" s="276"/>
      <c r="D128" s="283">
        <v>170.0</v>
      </c>
      <c r="L128" s="6">
        <v>560313.0</v>
      </c>
      <c r="M128" s="6">
        <v>12.0</v>
      </c>
    </row>
    <row r="129">
      <c r="A129" s="276"/>
      <c r="B129" s="276"/>
      <c r="C129" s="276"/>
      <c r="D129" s="278">
        <v>160.0</v>
      </c>
      <c r="L129" s="6">
        <v>560313.0</v>
      </c>
      <c r="M129" s="6">
        <v>12.0</v>
      </c>
    </row>
    <row r="130">
      <c r="A130" s="276"/>
      <c r="B130" s="276"/>
      <c r="C130" s="276"/>
      <c r="D130" s="278">
        <v>160.0</v>
      </c>
      <c r="L130" s="6">
        <v>560313.0</v>
      </c>
      <c r="M130" s="6">
        <v>12.0</v>
      </c>
    </row>
    <row r="131">
      <c r="A131" s="276"/>
      <c r="B131" s="276"/>
      <c r="C131" s="276"/>
      <c r="D131" s="278">
        <v>160.0</v>
      </c>
      <c r="L131" s="6">
        <v>560313.0</v>
      </c>
      <c r="M131" s="6">
        <v>12.0</v>
      </c>
    </row>
    <row r="132">
      <c r="A132" s="276"/>
      <c r="B132" s="276"/>
      <c r="C132" s="276"/>
      <c r="D132" s="278">
        <v>160.0</v>
      </c>
      <c r="L132" s="6">
        <v>560313.0</v>
      </c>
      <c r="M132" s="6">
        <v>12.0</v>
      </c>
    </row>
    <row r="133">
      <c r="A133" s="276"/>
      <c r="B133" s="276" t="s">
        <v>5118</v>
      </c>
      <c r="C133" s="276"/>
      <c r="D133" s="278">
        <v>672.0</v>
      </c>
    </row>
    <row r="134">
      <c r="A134" s="276"/>
      <c r="B134" s="276" t="s">
        <v>5118</v>
      </c>
      <c r="C134" s="276"/>
      <c r="D134" s="278">
        <v>672.0</v>
      </c>
    </row>
    <row r="135">
      <c r="A135" s="276"/>
      <c r="B135" s="276" t="s">
        <v>5118</v>
      </c>
      <c r="C135" s="276"/>
      <c r="D135" s="278">
        <v>672.0</v>
      </c>
    </row>
    <row r="136">
      <c r="A136" s="276"/>
      <c r="B136" s="276" t="s">
        <v>5118</v>
      </c>
      <c r="C136" s="276"/>
      <c r="D136" s="278">
        <v>672.0</v>
      </c>
    </row>
    <row r="137">
      <c r="A137" s="276"/>
      <c r="B137" s="276" t="s">
        <v>5122</v>
      </c>
      <c r="C137" s="276"/>
      <c r="D137" s="278">
        <v>95.0</v>
      </c>
    </row>
    <row r="138">
      <c r="A138" s="276"/>
      <c r="B138" s="276" t="s">
        <v>5122</v>
      </c>
      <c r="C138" s="276"/>
      <c r="D138" s="278">
        <v>95.0</v>
      </c>
    </row>
    <row r="139">
      <c r="A139" s="276"/>
      <c r="B139" s="276" t="s">
        <v>5122</v>
      </c>
      <c r="C139" s="276"/>
      <c r="D139" s="278">
        <v>95.0</v>
      </c>
    </row>
    <row r="140">
      <c r="A140" s="276"/>
      <c r="B140" s="276" t="s">
        <v>5122</v>
      </c>
      <c r="C140" s="276"/>
      <c r="D140" s="278">
        <v>95.0</v>
      </c>
    </row>
    <row r="141">
      <c r="A141" s="276"/>
      <c r="B141" s="276" t="s">
        <v>5127</v>
      </c>
      <c r="C141" s="276"/>
      <c r="D141" s="278">
        <v>95.0</v>
      </c>
    </row>
    <row r="142">
      <c r="A142" s="276"/>
      <c r="B142" s="276" t="s">
        <v>5127</v>
      </c>
      <c r="C142" s="276"/>
      <c r="D142" s="278">
        <v>95.0</v>
      </c>
    </row>
    <row r="143">
      <c r="A143" s="276"/>
      <c r="B143" s="276" t="s">
        <v>5127</v>
      </c>
      <c r="C143" s="276"/>
      <c r="D143" s="278">
        <v>95.0</v>
      </c>
    </row>
    <row r="144">
      <c r="A144" s="276"/>
      <c r="B144" s="276" t="s">
        <v>5127</v>
      </c>
      <c r="C144" s="276"/>
      <c r="D144" s="278">
        <v>95.0</v>
      </c>
    </row>
    <row r="145">
      <c r="A145" s="276"/>
      <c r="B145" s="276" t="s">
        <v>5128</v>
      </c>
      <c r="C145" s="276"/>
      <c r="D145" s="278">
        <v>95.0</v>
      </c>
      <c r="L145" s="6">
        <v>420222.0</v>
      </c>
      <c r="M145" s="6">
        <v>18.0</v>
      </c>
    </row>
    <row r="146">
      <c r="A146" s="276"/>
      <c r="B146" s="276" t="s">
        <v>5128</v>
      </c>
      <c r="C146" s="276"/>
      <c r="D146" s="278">
        <v>95.0</v>
      </c>
      <c r="L146" s="6">
        <v>420222.0</v>
      </c>
      <c r="M146" s="6">
        <v>18.0</v>
      </c>
    </row>
    <row r="147">
      <c r="A147" s="276"/>
      <c r="B147" s="276" t="s">
        <v>5128</v>
      </c>
      <c r="C147" s="276"/>
      <c r="D147" s="278">
        <v>95.0</v>
      </c>
      <c r="L147" s="6">
        <v>420222.0</v>
      </c>
      <c r="M147" s="6">
        <v>18.0</v>
      </c>
    </row>
    <row r="148">
      <c r="A148" s="276"/>
      <c r="B148" s="276" t="s">
        <v>5128</v>
      </c>
      <c r="C148" s="276"/>
      <c r="D148" s="278">
        <v>95.0</v>
      </c>
      <c r="L148" s="6">
        <v>420222.0</v>
      </c>
      <c r="M148" s="6">
        <v>18.0</v>
      </c>
    </row>
    <row r="149">
      <c r="A149" s="276"/>
      <c r="B149" s="276" t="s">
        <v>5132</v>
      </c>
      <c r="C149" s="276"/>
      <c r="D149" s="278">
        <v>95.0</v>
      </c>
      <c r="L149" s="6">
        <v>420222.0</v>
      </c>
      <c r="M149" s="6">
        <v>18.0</v>
      </c>
    </row>
    <row r="150">
      <c r="A150" s="276"/>
      <c r="B150" s="276" t="s">
        <v>5132</v>
      </c>
      <c r="C150" s="276"/>
      <c r="D150" s="278">
        <v>95.0</v>
      </c>
      <c r="L150" s="6">
        <v>560313.0</v>
      </c>
      <c r="M150" s="6">
        <v>12.0</v>
      </c>
    </row>
    <row r="151">
      <c r="A151" s="276"/>
      <c r="B151" s="276" t="s">
        <v>5132</v>
      </c>
      <c r="C151" s="276"/>
      <c r="D151" s="278">
        <v>95.0</v>
      </c>
      <c r="L151" s="6">
        <v>560313.0</v>
      </c>
      <c r="M151" s="6">
        <v>12.0</v>
      </c>
    </row>
    <row r="152">
      <c r="A152" s="276"/>
      <c r="B152" s="276" t="s">
        <v>5132</v>
      </c>
      <c r="C152" s="276"/>
      <c r="D152" s="278">
        <v>95.0</v>
      </c>
      <c r="L152" s="6">
        <v>560313.0</v>
      </c>
      <c r="M152" s="6">
        <v>12.0</v>
      </c>
    </row>
    <row r="153">
      <c r="A153" s="276"/>
      <c r="B153" s="276" t="s">
        <v>5137</v>
      </c>
      <c r="C153" s="276"/>
      <c r="D153" s="278">
        <v>95.0</v>
      </c>
      <c r="L153" s="6">
        <v>560313.0</v>
      </c>
      <c r="M153" s="6">
        <v>12.0</v>
      </c>
    </row>
    <row r="154">
      <c r="A154" s="276"/>
      <c r="B154" s="276" t="s">
        <v>5137</v>
      </c>
      <c r="C154" s="276"/>
      <c r="D154" s="278">
        <v>95.0</v>
      </c>
      <c r="L154" s="6">
        <v>560313.0</v>
      </c>
      <c r="M154" s="6">
        <v>12.0</v>
      </c>
    </row>
    <row r="155">
      <c r="A155" s="276"/>
      <c r="B155" s="276" t="s">
        <v>5137</v>
      </c>
      <c r="C155" s="276"/>
      <c r="D155" s="278">
        <v>95.0</v>
      </c>
      <c r="L155" s="6">
        <v>560313.0</v>
      </c>
      <c r="M155" s="6">
        <v>12.0</v>
      </c>
    </row>
    <row r="156">
      <c r="A156" s="276"/>
      <c r="B156" s="276" t="s">
        <v>5137</v>
      </c>
      <c r="C156" s="276"/>
      <c r="D156" s="278">
        <v>95.0</v>
      </c>
      <c r="L156" s="6">
        <v>560313.0</v>
      </c>
      <c r="M156" s="6">
        <v>12.0</v>
      </c>
    </row>
    <row r="157">
      <c r="A157" s="276"/>
      <c r="B157" s="276" t="s">
        <v>5139</v>
      </c>
      <c r="C157" s="276"/>
      <c r="D157" s="278">
        <v>95.0</v>
      </c>
      <c r="L157" s="6">
        <v>560313.0</v>
      </c>
      <c r="M157" s="6">
        <v>12.0</v>
      </c>
    </row>
    <row r="158">
      <c r="A158" s="276"/>
      <c r="B158" s="276" t="s">
        <v>5139</v>
      </c>
      <c r="C158" s="276"/>
      <c r="D158" s="278">
        <v>95.0</v>
      </c>
      <c r="L158" s="6">
        <v>560313.0</v>
      </c>
      <c r="M158" s="6">
        <v>12.0</v>
      </c>
    </row>
    <row r="159">
      <c r="A159" s="276"/>
      <c r="B159" s="276" t="s">
        <v>5139</v>
      </c>
      <c r="C159" s="276"/>
      <c r="D159" s="278">
        <v>95.0</v>
      </c>
      <c r="L159" s="6">
        <v>560313.0</v>
      </c>
      <c r="M159" s="6">
        <v>12.0</v>
      </c>
    </row>
    <row r="160">
      <c r="A160" s="276"/>
      <c r="B160" s="276" t="s">
        <v>5139</v>
      </c>
      <c r="C160" s="276"/>
      <c r="D160" s="278">
        <v>95.0</v>
      </c>
      <c r="L160" s="6">
        <v>560313.0</v>
      </c>
      <c r="M160" s="6">
        <v>12.0</v>
      </c>
    </row>
    <row r="161">
      <c r="A161" s="276"/>
      <c r="B161" s="276" t="s">
        <v>5147</v>
      </c>
      <c r="C161" s="276"/>
      <c r="D161" s="278">
        <v>95.0</v>
      </c>
      <c r="L161" s="6">
        <v>560313.0</v>
      </c>
      <c r="M161" s="6">
        <v>12.0</v>
      </c>
    </row>
    <row r="162">
      <c r="A162" s="276"/>
      <c r="B162" s="276" t="s">
        <v>5147</v>
      </c>
      <c r="C162" s="276"/>
      <c r="D162" s="278">
        <v>95.0</v>
      </c>
      <c r="L162" s="6">
        <v>560313.0</v>
      </c>
      <c r="M162" s="6">
        <v>12.0</v>
      </c>
    </row>
    <row r="163">
      <c r="A163" s="276"/>
      <c r="B163" s="276" t="s">
        <v>5147</v>
      </c>
      <c r="C163" s="276"/>
      <c r="D163" s="278">
        <v>95.0</v>
      </c>
      <c r="L163" s="6">
        <v>560313.0</v>
      </c>
      <c r="M163" s="6">
        <v>12.0</v>
      </c>
    </row>
    <row r="164">
      <c r="A164" s="276"/>
      <c r="B164" s="276" t="s">
        <v>5147</v>
      </c>
      <c r="C164" s="276"/>
      <c r="D164" s="278">
        <v>95.0</v>
      </c>
      <c r="L164" s="6">
        <v>560313.0</v>
      </c>
      <c r="M164" s="6">
        <v>12.0</v>
      </c>
    </row>
    <row r="165">
      <c r="A165" s="276"/>
      <c r="B165" s="276" t="s">
        <v>5148</v>
      </c>
      <c r="C165" s="276"/>
      <c r="D165" s="278">
        <v>95.0</v>
      </c>
      <c r="L165" s="6">
        <v>560313.0</v>
      </c>
      <c r="M165" s="6">
        <v>12.0</v>
      </c>
    </row>
    <row r="166">
      <c r="A166" s="276"/>
      <c r="B166" s="276" t="s">
        <v>5148</v>
      </c>
      <c r="C166" s="276"/>
      <c r="D166" s="278">
        <v>95.0</v>
      </c>
      <c r="L166" s="6">
        <v>560313.0</v>
      </c>
      <c r="M166" s="6">
        <v>12.0</v>
      </c>
    </row>
    <row r="167">
      <c r="A167" s="276"/>
      <c r="B167" s="276" t="s">
        <v>5148</v>
      </c>
      <c r="C167" s="276"/>
      <c r="D167" s="278">
        <v>95.0</v>
      </c>
      <c r="L167" s="6">
        <v>560313.0</v>
      </c>
      <c r="M167" s="6">
        <v>12.0</v>
      </c>
    </row>
    <row r="168">
      <c r="A168" s="276"/>
      <c r="B168" s="276" t="s">
        <v>5148</v>
      </c>
      <c r="C168" s="276"/>
      <c r="D168" s="278">
        <v>95.0</v>
      </c>
      <c r="L168" s="6">
        <v>560313.0</v>
      </c>
      <c r="M168" s="6">
        <v>12.0</v>
      </c>
    </row>
    <row r="169">
      <c r="A169" s="276"/>
      <c r="B169" s="276" t="s">
        <v>5154</v>
      </c>
      <c r="C169" s="276"/>
      <c r="D169" s="278">
        <v>95.0</v>
      </c>
      <c r="L169" s="6">
        <v>560313.0</v>
      </c>
      <c r="M169" s="6">
        <v>12.0</v>
      </c>
    </row>
    <row r="170">
      <c r="A170" s="276"/>
      <c r="B170" s="276" t="s">
        <v>5154</v>
      </c>
      <c r="C170" s="276"/>
      <c r="D170" s="278">
        <v>95.0</v>
      </c>
      <c r="L170" s="6">
        <v>560313.0</v>
      </c>
      <c r="M170" s="6">
        <v>12.0</v>
      </c>
    </row>
    <row r="171">
      <c r="A171" s="276"/>
      <c r="B171" s="276" t="s">
        <v>5154</v>
      </c>
      <c r="C171" s="276"/>
      <c r="D171" s="278">
        <v>95.0</v>
      </c>
      <c r="L171" s="6">
        <v>560313.0</v>
      </c>
      <c r="M171" s="6">
        <v>12.0</v>
      </c>
    </row>
    <row r="172">
      <c r="A172" s="276"/>
      <c r="B172" s="276" t="s">
        <v>5154</v>
      </c>
      <c r="C172" s="276"/>
      <c r="D172" s="278">
        <v>95.0</v>
      </c>
      <c r="L172" s="6">
        <v>560313.0</v>
      </c>
      <c r="M172" s="6">
        <v>12.0</v>
      </c>
    </row>
    <row r="173">
      <c r="A173" s="276"/>
      <c r="B173" s="276" t="s">
        <v>5157</v>
      </c>
      <c r="C173" s="276"/>
      <c r="D173" s="278">
        <v>95.0</v>
      </c>
      <c r="L173" s="6">
        <v>560313.0</v>
      </c>
      <c r="M173" s="6">
        <v>12.0</v>
      </c>
    </row>
    <row r="174">
      <c r="A174" s="276"/>
      <c r="B174" s="276" t="s">
        <v>5157</v>
      </c>
      <c r="C174" s="276"/>
      <c r="D174" s="278">
        <v>95.0</v>
      </c>
      <c r="L174" s="6">
        <v>560313.0</v>
      </c>
      <c r="M174" s="6">
        <v>12.0</v>
      </c>
    </row>
    <row r="175">
      <c r="A175" s="276"/>
      <c r="B175" s="276" t="s">
        <v>5157</v>
      </c>
      <c r="C175" s="276"/>
      <c r="D175" s="278">
        <v>95.0</v>
      </c>
      <c r="L175" s="6">
        <v>560313.0</v>
      </c>
      <c r="M175" s="6">
        <v>12.0</v>
      </c>
    </row>
    <row r="176">
      <c r="A176" s="276"/>
      <c r="B176" s="276" t="s">
        <v>5157</v>
      </c>
      <c r="C176" s="276"/>
      <c r="D176" s="278">
        <v>95.0</v>
      </c>
      <c r="L176" s="6">
        <v>560313.0</v>
      </c>
      <c r="M176" s="6">
        <v>12.0</v>
      </c>
    </row>
    <row r="177">
      <c r="A177" s="276"/>
      <c r="B177" s="276" t="s">
        <v>5159</v>
      </c>
      <c r="C177" s="276"/>
      <c r="D177" s="278">
        <v>95.0</v>
      </c>
      <c r="L177" s="6">
        <v>560313.0</v>
      </c>
      <c r="M177" s="6">
        <v>12.0</v>
      </c>
    </row>
    <row r="178">
      <c r="A178" s="276"/>
      <c r="B178" s="276" t="s">
        <v>5159</v>
      </c>
      <c r="C178" s="276"/>
      <c r="D178" s="278">
        <v>95.0</v>
      </c>
      <c r="L178" s="6">
        <v>560313.0</v>
      </c>
      <c r="M178" s="6">
        <v>12.0</v>
      </c>
    </row>
    <row r="179">
      <c r="A179" s="276"/>
      <c r="B179" s="276" t="s">
        <v>5159</v>
      </c>
      <c r="C179" s="276"/>
      <c r="D179" s="278">
        <v>95.0</v>
      </c>
      <c r="L179" s="6">
        <v>560313.0</v>
      </c>
      <c r="M179" s="6">
        <v>12.0</v>
      </c>
    </row>
    <row r="180">
      <c r="A180" s="276"/>
      <c r="B180" s="276" t="s">
        <v>5159</v>
      </c>
      <c r="C180" s="276"/>
      <c r="D180" s="278">
        <v>95.0</v>
      </c>
      <c r="L180" s="6">
        <v>560313.0</v>
      </c>
      <c r="M180" s="6">
        <v>12.0</v>
      </c>
    </row>
    <row r="181">
      <c r="A181" s="276"/>
      <c r="B181" s="276" t="s">
        <v>5167</v>
      </c>
      <c r="C181" s="276"/>
      <c r="D181" s="278">
        <v>95.0</v>
      </c>
      <c r="L181" s="6">
        <v>420222.0</v>
      </c>
      <c r="M181" s="6">
        <v>18.0</v>
      </c>
    </row>
    <row r="182">
      <c r="A182" s="276"/>
      <c r="B182" s="276" t="s">
        <v>5167</v>
      </c>
      <c r="C182" s="276"/>
      <c r="D182" s="278">
        <v>95.0</v>
      </c>
      <c r="L182" s="6">
        <v>420222.0</v>
      </c>
      <c r="M182" s="6">
        <v>18.0</v>
      </c>
    </row>
    <row r="183">
      <c r="A183" s="276"/>
      <c r="B183" s="276" t="s">
        <v>5167</v>
      </c>
      <c r="C183" s="276"/>
      <c r="D183" s="278">
        <v>95.0</v>
      </c>
      <c r="L183" s="6">
        <v>420222.0</v>
      </c>
      <c r="M183" s="6">
        <v>18.0</v>
      </c>
    </row>
    <row r="184">
      <c r="A184" s="276"/>
      <c r="B184" s="276" t="s">
        <v>5167</v>
      </c>
      <c r="C184" s="276"/>
      <c r="D184" s="278">
        <v>95.0</v>
      </c>
    </row>
    <row r="185">
      <c r="A185" s="276"/>
      <c r="B185" s="276" t="s">
        <v>5169</v>
      </c>
      <c r="C185" s="276"/>
      <c r="D185" s="278">
        <v>95.0</v>
      </c>
    </row>
    <row r="186">
      <c r="A186" s="276"/>
      <c r="B186" s="276" t="s">
        <v>5169</v>
      </c>
      <c r="C186" s="276"/>
      <c r="D186" s="278">
        <v>95.0</v>
      </c>
    </row>
    <row r="187">
      <c r="A187" s="276"/>
      <c r="B187" s="276" t="s">
        <v>5169</v>
      </c>
      <c r="C187" s="276"/>
      <c r="D187" s="278">
        <v>95.0</v>
      </c>
    </row>
    <row r="188">
      <c r="A188" s="276"/>
      <c r="B188" s="276" t="s">
        <v>5169</v>
      </c>
      <c r="C188" s="276"/>
      <c r="D188" s="278">
        <v>95.0</v>
      </c>
    </row>
    <row r="189">
      <c r="A189" s="276"/>
      <c r="B189" s="276" t="s">
        <v>5170</v>
      </c>
      <c r="C189" s="276"/>
      <c r="D189" s="278">
        <v>95.0</v>
      </c>
    </row>
    <row r="190">
      <c r="A190" s="276"/>
      <c r="B190" s="276" t="s">
        <v>5170</v>
      </c>
      <c r="C190" s="276"/>
      <c r="D190" s="278">
        <v>95.0</v>
      </c>
    </row>
    <row r="191">
      <c r="A191" s="276"/>
      <c r="B191" s="276" t="s">
        <v>5170</v>
      </c>
      <c r="C191" s="276"/>
      <c r="D191" s="278">
        <v>95.0</v>
      </c>
    </row>
    <row r="192">
      <c r="A192" s="276"/>
      <c r="B192" s="276" t="s">
        <v>5170</v>
      </c>
      <c r="C192" s="276"/>
      <c r="D192" s="278">
        <v>95.0</v>
      </c>
    </row>
    <row r="193">
      <c r="A193" s="276"/>
      <c r="B193" s="276" t="s">
        <v>5177</v>
      </c>
      <c r="C193" s="276"/>
      <c r="D193" s="278">
        <v>95.0</v>
      </c>
    </row>
    <row r="194">
      <c r="A194" s="276"/>
      <c r="B194" s="276" t="s">
        <v>5177</v>
      </c>
      <c r="C194" s="276"/>
      <c r="D194" s="278">
        <v>95.0</v>
      </c>
    </row>
    <row r="195">
      <c r="A195" s="276"/>
      <c r="B195" s="276" t="s">
        <v>5177</v>
      </c>
      <c r="C195" s="276"/>
      <c r="D195" s="278">
        <v>95.0</v>
      </c>
    </row>
    <row r="196">
      <c r="A196" s="276"/>
      <c r="B196" s="276" t="s">
        <v>5177</v>
      </c>
      <c r="C196" s="276"/>
      <c r="D196" s="278">
        <v>95.0</v>
      </c>
    </row>
    <row r="197">
      <c r="A197" s="276"/>
      <c r="B197" s="276" t="s">
        <v>5179</v>
      </c>
      <c r="C197" s="276"/>
      <c r="D197" s="278">
        <v>95.0</v>
      </c>
    </row>
    <row r="198">
      <c r="A198" s="285"/>
      <c r="B198" s="274" t="s">
        <v>5179</v>
      </c>
      <c r="C198" s="285"/>
      <c r="D198" s="278">
        <v>95.0</v>
      </c>
    </row>
    <row r="199">
      <c r="A199" s="285"/>
      <c r="B199" s="274" t="s">
        <v>5179</v>
      </c>
      <c r="C199" s="285"/>
      <c r="D199" s="278">
        <v>95.0</v>
      </c>
    </row>
    <row r="200">
      <c r="A200" s="285"/>
      <c r="B200" s="274" t="s">
        <v>5179</v>
      </c>
      <c r="C200" s="285"/>
      <c r="D200" s="278">
        <v>95.0</v>
      </c>
    </row>
    <row r="201">
      <c r="A201" s="285"/>
      <c r="B201" s="274" t="s">
        <v>5180</v>
      </c>
      <c r="C201" s="285"/>
      <c r="D201" s="278">
        <v>127.0</v>
      </c>
    </row>
    <row r="202">
      <c r="A202" s="285"/>
      <c r="B202" s="274" t="s">
        <v>5180</v>
      </c>
      <c r="C202" s="285"/>
      <c r="D202" s="278">
        <v>127.0</v>
      </c>
    </row>
    <row r="203">
      <c r="A203" s="285"/>
      <c r="B203" s="274" t="s">
        <v>5180</v>
      </c>
      <c r="C203" s="285"/>
      <c r="D203" s="278">
        <v>127.0</v>
      </c>
    </row>
    <row r="204">
      <c r="A204" s="285"/>
      <c r="B204" s="274" t="s">
        <v>5180</v>
      </c>
      <c r="C204" s="285"/>
      <c r="D204" s="278">
        <v>127.0</v>
      </c>
    </row>
    <row r="205">
      <c r="A205" s="285"/>
      <c r="B205" s="274" t="s">
        <v>5184</v>
      </c>
      <c r="C205" s="285"/>
      <c r="D205" s="278">
        <v>113.0</v>
      </c>
    </row>
    <row r="206">
      <c r="A206" s="285"/>
      <c r="B206" s="274" t="s">
        <v>5184</v>
      </c>
      <c r="C206" s="285"/>
      <c r="D206" s="278">
        <v>113.0</v>
      </c>
    </row>
    <row r="207">
      <c r="A207" s="285"/>
      <c r="B207" s="274" t="s">
        <v>5184</v>
      </c>
      <c r="C207" s="285"/>
      <c r="D207" s="278">
        <v>113.0</v>
      </c>
    </row>
    <row r="208">
      <c r="A208" s="285"/>
      <c r="B208" s="274" t="s">
        <v>5184</v>
      </c>
      <c r="C208" s="285"/>
      <c r="D208" s="278">
        <v>113.0</v>
      </c>
    </row>
    <row r="209">
      <c r="A209" s="285"/>
      <c r="B209" s="274" t="s">
        <v>5189</v>
      </c>
      <c r="C209" s="285"/>
      <c r="D209" s="278">
        <v>109.0</v>
      </c>
    </row>
    <row r="210">
      <c r="A210" s="285"/>
      <c r="B210" s="274" t="s">
        <v>5189</v>
      </c>
      <c r="C210" s="285"/>
      <c r="D210" s="278">
        <v>109.0</v>
      </c>
    </row>
    <row r="211">
      <c r="A211" s="285"/>
      <c r="B211" s="274" t="s">
        <v>5189</v>
      </c>
      <c r="C211" s="285"/>
      <c r="D211" s="278">
        <v>109.0</v>
      </c>
    </row>
    <row r="212">
      <c r="A212" s="285"/>
      <c r="B212" s="274" t="s">
        <v>5189</v>
      </c>
      <c r="C212" s="285"/>
      <c r="D212" s="278">
        <v>109.0</v>
      </c>
    </row>
    <row r="213">
      <c r="A213" s="285"/>
      <c r="B213" s="274" t="s">
        <v>5191</v>
      </c>
      <c r="C213" s="285"/>
      <c r="D213" s="278">
        <v>98.0</v>
      </c>
    </row>
    <row r="214">
      <c r="A214" s="285"/>
      <c r="B214" s="274" t="s">
        <v>5191</v>
      </c>
      <c r="C214" s="285"/>
      <c r="D214" s="278">
        <v>98.0</v>
      </c>
    </row>
    <row r="215">
      <c r="A215" s="285"/>
      <c r="B215" s="274" t="s">
        <v>5191</v>
      </c>
      <c r="C215" s="285"/>
      <c r="D215" s="278">
        <v>98.0</v>
      </c>
    </row>
    <row r="216">
      <c r="A216" s="285"/>
      <c r="B216" s="274" t="s">
        <v>5191</v>
      </c>
      <c r="C216" s="285"/>
      <c r="D216" s="278">
        <v>98.0</v>
      </c>
    </row>
    <row r="217">
      <c r="A217" s="285"/>
      <c r="B217" s="274" t="s">
        <v>5192</v>
      </c>
      <c r="C217" s="285"/>
      <c r="D217" s="278">
        <v>98.0</v>
      </c>
    </row>
    <row r="218">
      <c r="A218" s="285"/>
      <c r="B218" s="274" t="s">
        <v>5192</v>
      </c>
      <c r="C218" s="285"/>
      <c r="D218" s="278">
        <v>98.0</v>
      </c>
    </row>
    <row r="219">
      <c r="A219" s="285"/>
      <c r="B219" s="274" t="s">
        <v>5192</v>
      </c>
      <c r="C219" s="285"/>
      <c r="D219" s="278">
        <v>98.0</v>
      </c>
    </row>
    <row r="220">
      <c r="A220" s="285"/>
      <c r="B220" s="274" t="s">
        <v>5192</v>
      </c>
      <c r="C220" s="285"/>
      <c r="D220" s="278">
        <v>98.0</v>
      </c>
    </row>
    <row r="221">
      <c r="A221" s="285"/>
      <c r="B221" s="274" t="s">
        <v>5201</v>
      </c>
      <c r="C221" s="285"/>
      <c r="D221" s="278">
        <v>98.0</v>
      </c>
    </row>
    <row r="222">
      <c r="A222" s="285"/>
      <c r="B222" s="274" t="s">
        <v>5201</v>
      </c>
      <c r="C222" s="285"/>
      <c r="D222" s="278">
        <v>98.0</v>
      </c>
    </row>
    <row r="223">
      <c r="A223" s="285"/>
      <c r="B223" s="274" t="s">
        <v>5201</v>
      </c>
      <c r="C223" s="285"/>
      <c r="D223" s="278">
        <v>98.0</v>
      </c>
    </row>
    <row r="224">
      <c r="A224" s="285"/>
      <c r="B224" s="274" t="s">
        <v>5201</v>
      </c>
      <c r="C224" s="285"/>
      <c r="D224" s="278">
        <v>98.0</v>
      </c>
    </row>
    <row r="225">
      <c r="A225" s="285"/>
      <c r="B225" s="274" t="s">
        <v>5202</v>
      </c>
      <c r="C225" s="285"/>
      <c r="D225" s="278">
        <v>135.0</v>
      </c>
    </row>
    <row r="226">
      <c r="A226" s="285"/>
      <c r="B226" s="274" t="s">
        <v>5202</v>
      </c>
      <c r="C226" s="285"/>
      <c r="D226" s="278">
        <v>135.0</v>
      </c>
    </row>
    <row r="227">
      <c r="A227" s="285"/>
      <c r="B227" s="274" t="s">
        <v>5202</v>
      </c>
      <c r="C227" s="285"/>
      <c r="D227" s="278">
        <v>135.0</v>
      </c>
    </row>
    <row r="228">
      <c r="A228" s="285"/>
      <c r="B228" s="274" t="s">
        <v>5202</v>
      </c>
      <c r="C228" s="285"/>
      <c r="D228" s="278">
        <v>135.0</v>
      </c>
    </row>
    <row r="229">
      <c r="A229" s="285"/>
      <c r="B229" s="274" t="s">
        <v>5204</v>
      </c>
      <c r="C229" s="285"/>
      <c r="D229" s="278">
        <v>135.0</v>
      </c>
    </row>
    <row r="230">
      <c r="A230" s="285"/>
      <c r="B230" s="274" t="s">
        <v>5204</v>
      </c>
      <c r="C230" s="285"/>
      <c r="D230" s="278">
        <v>135.0</v>
      </c>
    </row>
    <row r="231">
      <c r="A231" s="285"/>
      <c r="B231" s="274" t="s">
        <v>5204</v>
      </c>
      <c r="C231" s="285"/>
      <c r="D231" s="278">
        <v>135.0</v>
      </c>
    </row>
    <row r="232">
      <c r="A232" s="285"/>
      <c r="B232" s="274" t="s">
        <v>5204</v>
      </c>
      <c r="C232" s="285"/>
      <c r="D232" s="278">
        <v>135.0</v>
      </c>
    </row>
    <row r="233">
      <c r="A233" s="285"/>
      <c r="B233" s="274" t="s">
        <v>5205</v>
      </c>
      <c r="C233" s="285"/>
      <c r="D233" s="278">
        <v>106.0</v>
      </c>
    </row>
    <row r="234">
      <c r="A234" s="285"/>
      <c r="B234" s="274" t="s">
        <v>5205</v>
      </c>
      <c r="C234" s="285"/>
      <c r="D234" s="278">
        <v>106.0</v>
      </c>
    </row>
    <row r="235">
      <c r="A235" s="285"/>
      <c r="B235" s="274" t="s">
        <v>5205</v>
      </c>
      <c r="C235" s="285"/>
      <c r="D235" s="278">
        <v>106.0</v>
      </c>
    </row>
    <row r="236">
      <c r="A236" s="285"/>
      <c r="B236" s="274" t="s">
        <v>5205</v>
      </c>
      <c r="C236" s="285"/>
      <c r="D236" s="278">
        <v>106.0</v>
      </c>
    </row>
    <row r="237">
      <c r="A237" s="285"/>
      <c r="B237" s="274" t="s">
        <v>5213</v>
      </c>
      <c r="C237" s="285"/>
      <c r="D237" s="278">
        <v>106.0</v>
      </c>
    </row>
    <row r="238">
      <c r="A238" s="285"/>
      <c r="B238" s="274" t="s">
        <v>5213</v>
      </c>
      <c r="C238" s="285"/>
      <c r="D238" s="278">
        <v>106.0</v>
      </c>
    </row>
    <row r="239">
      <c r="A239" s="285"/>
      <c r="B239" s="274" t="s">
        <v>5213</v>
      </c>
      <c r="C239" s="285"/>
      <c r="D239" s="278">
        <v>106.0</v>
      </c>
    </row>
    <row r="240">
      <c r="A240" s="285"/>
      <c r="B240" s="274" t="s">
        <v>5213</v>
      </c>
      <c r="C240" s="285"/>
      <c r="D240" s="278">
        <v>106.0</v>
      </c>
    </row>
    <row r="241">
      <c r="A241" s="285"/>
      <c r="B241" s="274" t="s">
        <v>5216</v>
      </c>
      <c r="C241" s="285"/>
      <c r="D241" s="278">
        <v>106.0</v>
      </c>
    </row>
    <row r="242">
      <c r="A242" s="285"/>
      <c r="B242" s="274" t="s">
        <v>5216</v>
      </c>
      <c r="C242" s="285"/>
      <c r="D242" s="278">
        <v>106.0</v>
      </c>
    </row>
    <row r="243">
      <c r="A243" s="285"/>
      <c r="B243" s="274" t="s">
        <v>5216</v>
      </c>
      <c r="C243" s="285"/>
      <c r="D243" s="278">
        <v>106.0</v>
      </c>
    </row>
    <row r="244">
      <c r="A244" s="285"/>
      <c r="B244" s="274" t="s">
        <v>5216</v>
      </c>
      <c r="C244" s="285"/>
      <c r="D244" s="278">
        <v>106.0</v>
      </c>
    </row>
    <row r="245">
      <c r="A245" s="285"/>
      <c r="B245" s="274" t="s">
        <v>5217</v>
      </c>
      <c r="C245" s="285"/>
      <c r="D245" s="278">
        <v>106.0</v>
      </c>
    </row>
    <row r="246">
      <c r="A246" s="285"/>
      <c r="B246" s="274" t="s">
        <v>5217</v>
      </c>
      <c r="C246" s="285"/>
      <c r="D246" s="278">
        <v>106.0</v>
      </c>
    </row>
    <row r="247">
      <c r="A247" s="285"/>
      <c r="B247" s="274" t="s">
        <v>5217</v>
      </c>
      <c r="C247" s="285"/>
      <c r="D247" s="278">
        <v>106.0</v>
      </c>
    </row>
    <row r="248">
      <c r="A248" s="285"/>
      <c r="B248" s="274" t="s">
        <v>5217</v>
      </c>
      <c r="C248" s="285"/>
      <c r="D248" s="278">
        <v>106.0</v>
      </c>
    </row>
    <row r="249">
      <c r="A249" s="285"/>
      <c r="B249" s="274" t="s">
        <v>5223</v>
      </c>
      <c r="C249" s="285"/>
      <c r="D249" s="278">
        <v>154.0</v>
      </c>
    </row>
    <row r="250">
      <c r="A250" s="285"/>
      <c r="B250" s="274" t="s">
        <v>5223</v>
      </c>
      <c r="C250" s="285"/>
      <c r="D250" s="278">
        <v>154.0</v>
      </c>
    </row>
    <row r="251">
      <c r="A251" s="285"/>
      <c r="B251" s="274" t="s">
        <v>5223</v>
      </c>
      <c r="C251" s="285"/>
      <c r="D251" s="278">
        <v>154.0</v>
      </c>
    </row>
    <row r="252">
      <c r="A252" s="285"/>
      <c r="B252" s="274" t="s">
        <v>5223</v>
      </c>
      <c r="C252" s="285"/>
      <c r="D252" s="278">
        <v>154.0</v>
      </c>
    </row>
    <row r="253">
      <c r="A253" s="285"/>
      <c r="B253" s="274" t="s">
        <v>5226</v>
      </c>
      <c r="C253" s="285"/>
      <c r="D253" s="278">
        <v>154.0</v>
      </c>
    </row>
    <row r="254">
      <c r="A254" s="285"/>
      <c r="B254" s="274" t="s">
        <v>5226</v>
      </c>
      <c r="C254" s="285"/>
      <c r="D254" s="278">
        <v>154.0</v>
      </c>
    </row>
    <row r="255">
      <c r="A255" s="285"/>
      <c r="B255" s="274" t="s">
        <v>5226</v>
      </c>
      <c r="C255" s="285"/>
      <c r="D255" s="278">
        <v>154.0</v>
      </c>
    </row>
    <row r="256">
      <c r="A256" s="285"/>
      <c r="B256" s="274" t="s">
        <v>5226</v>
      </c>
      <c r="C256" s="285"/>
      <c r="D256" s="278">
        <v>154.0</v>
      </c>
    </row>
    <row r="257">
      <c r="A257" s="285"/>
      <c r="B257" s="274" t="s">
        <v>5227</v>
      </c>
      <c r="C257" s="285"/>
      <c r="D257" s="278">
        <v>154.0</v>
      </c>
    </row>
    <row r="258">
      <c r="A258" s="285"/>
      <c r="B258" s="274" t="s">
        <v>5227</v>
      </c>
      <c r="C258" s="285"/>
      <c r="D258" s="278">
        <v>154.0</v>
      </c>
    </row>
    <row r="259">
      <c r="A259" s="285"/>
      <c r="B259" s="274" t="s">
        <v>5227</v>
      </c>
      <c r="C259" s="285"/>
      <c r="D259" s="278">
        <v>154.0</v>
      </c>
    </row>
    <row r="260">
      <c r="A260" s="285"/>
      <c r="B260" s="274" t="s">
        <v>5227</v>
      </c>
      <c r="C260" s="285"/>
      <c r="D260" s="278">
        <v>154.0</v>
      </c>
    </row>
    <row r="261">
      <c r="A261" s="285"/>
      <c r="B261" s="274" t="s">
        <v>5230</v>
      </c>
      <c r="C261" s="285"/>
      <c r="D261" s="278">
        <v>154.0</v>
      </c>
    </row>
    <row r="262">
      <c r="A262" s="285"/>
      <c r="B262" s="274" t="s">
        <v>5230</v>
      </c>
      <c r="C262" s="285"/>
      <c r="D262" s="278">
        <v>154.0</v>
      </c>
    </row>
    <row r="263">
      <c r="A263" s="285"/>
      <c r="B263" s="274" t="s">
        <v>5230</v>
      </c>
      <c r="C263" s="285"/>
      <c r="D263" s="278">
        <v>154.0</v>
      </c>
    </row>
    <row r="264">
      <c r="A264" s="285"/>
      <c r="B264" s="274" t="s">
        <v>5230</v>
      </c>
      <c r="C264" s="285"/>
      <c r="D264" s="278">
        <v>154.0</v>
      </c>
    </row>
    <row r="265">
      <c r="A265" s="285"/>
      <c r="B265" s="274" t="s">
        <v>5237</v>
      </c>
      <c r="C265" s="285"/>
      <c r="D265" s="278">
        <v>90.0</v>
      </c>
    </row>
    <row r="266">
      <c r="A266" s="285"/>
      <c r="B266" s="274" t="s">
        <v>5237</v>
      </c>
      <c r="C266" s="285"/>
      <c r="D266" s="278">
        <v>90.0</v>
      </c>
    </row>
    <row r="267">
      <c r="A267" s="285"/>
      <c r="B267" s="274" t="s">
        <v>5237</v>
      </c>
      <c r="C267" s="285"/>
      <c r="D267" s="278">
        <v>90.0</v>
      </c>
    </row>
    <row r="268">
      <c r="A268" s="285"/>
      <c r="B268" s="274" t="s">
        <v>5237</v>
      </c>
      <c r="C268" s="285"/>
      <c r="D268" s="278">
        <v>90.0</v>
      </c>
    </row>
    <row r="269">
      <c r="A269" s="285"/>
      <c r="B269" s="274" t="s">
        <v>5238</v>
      </c>
      <c r="C269" s="285"/>
      <c r="D269" s="278">
        <v>96.0</v>
      </c>
    </row>
    <row r="270">
      <c r="A270" s="285"/>
      <c r="B270" s="274" t="s">
        <v>5238</v>
      </c>
      <c r="C270" s="285"/>
      <c r="D270" s="278">
        <v>96.0</v>
      </c>
    </row>
    <row r="271">
      <c r="A271" s="285"/>
      <c r="B271" s="274" t="s">
        <v>5238</v>
      </c>
      <c r="C271" s="285"/>
      <c r="D271" s="278">
        <v>96.0</v>
      </c>
    </row>
    <row r="272">
      <c r="A272" s="285"/>
      <c r="B272" s="274" t="s">
        <v>5238</v>
      </c>
      <c r="C272" s="285"/>
      <c r="D272" s="278">
        <v>96.0</v>
      </c>
    </row>
    <row r="273">
      <c r="A273" s="285"/>
      <c r="B273" s="274" t="s">
        <v>5239</v>
      </c>
      <c r="C273" s="285"/>
      <c r="D273" s="278">
        <v>87.0</v>
      </c>
    </row>
    <row r="274">
      <c r="A274" s="285"/>
      <c r="B274" s="274" t="s">
        <v>5239</v>
      </c>
      <c r="C274" s="285"/>
      <c r="D274" s="278">
        <v>87.0</v>
      </c>
    </row>
    <row r="275">
      <c r="A275" s="285"/>
      <c r="B275" s="274" t="s">
        <v>5239</v>
      </c>
      <c r="C275" s="285"/>
      <c r="D275" s="278">
        <v>87.0</v>
      </c>
    </row>
    <row r="276">
      <c r="A276" s="285"/>
      <c r="B276" s="274" t="s">
        <v>5239</v>
      </c>
      <c r="C276" s="285"/>
      <c r="D276" s="278">
        <v>87.0</v>
      </c>
    </row>
    <row r="277">
      <c r="A277" s="285"/>
      <c r="B277" s="274" t="s">
        <v>5246</v>
      </c>
      <c r="C277" s="285"/>
      <c r="D277" s="278">
        <v>87.0</v>
      </c>
    </row>
    <row r="278">
      <c r="A278" s="285"/>
      <c r="B278" s="274" t="s">
        <v>5246</v>
      </c>
      <c r="C278" s="285"/>
      <c r="D278" s="278">
        <v>87.0</v>
      </c>
    </row>
    <row r="279">
      <c r="A279" s="285"/>
      <c r="B279" s="274" t="s">
        <v>5246</v>
      </c>
      <c r="C279" s="285"/>
      <c r="D279" s="278">
        <v>87.0</v>
      </c>
    </row>
    <row r="280">
      <c r="A280" s="285"/>
      <c r="B280" s="274" t="s">
        <v>5246</v>
      </c>
      <c r="C280" s="285"/>
      <c r="D280" s="278">
        <v>87.0</v>
      </c>
    </row>
    <row r="281">
      <c r="A281" s="285"/>
      <c r="B281" s="274" t="s">
        <v>5248</v>
      </c>
      <c r="C281" s="285"/>
      <c r="D281" s="278">
        <v>87.0</v>
      </c>
    </row>
    <row r="282">
      <c r="A282" s="285"/>
      <c r="B282" s="274" t="s">
        <v>5248</v>
      </c>
      <c r="C282" s="285"/>
      <c r="D282" s="278">
        <v>87.0</v>
      </c>
    </row>
    <row r="283">
      <c r="A283" s="285"/>
      <c r="B283" s="274" t="s">
        <v>5248</v>
      </c>
      <c r="C283" s="285"/>
      <c r="D283" s="278">
        <v>87.0</v>
      </c>
    </row>
    <row r="284">
      <c r="A284" s="285"/>
      <c r="B284" s="274" t="s">
        <v>5248</v>
      </c>
      <c r="C284" s="285"/>
      <c r="D284" s="278">
        <v>87.0</v>
      </c>
    </row>
    <row r="285">
      <c r="A285" s="285"/>
      <c r="B285" s="274" t="s">
        <v>5249</v>
      </c>
      <c r="C285" s="285"/>
      <c r="D285" s="278">
        <v>87.0</v>
      </c>
    </row>
    <row r="286">
      <c r="A286" s="285"/>
      <c r="B286" s="274" t="s">
        <v>5249</v>
      </c>
      <c r="C286" s="285"/>
      <c r="D286" s="278">
        <v>87.0</v>
      </c>
    </row>
    <row r="287">
      <c r="A287" s="285"/>
      <c r="B287" s="274" t="s">
        <v>5249</v>
      </c>
      <c r="C287" s="285"/>
      <c r="D287" s="278">
        <v>87.0</v>
      </c>
    </row>
    <row r="288">
      <c r="A288" s="285"/>
      <c r="B288" s="274" t="s">
        <v>5249</v>
      </c>
      <c r="C288" s="285"/>
      <c r="D288" s="278">
        <v>87.0</v>
      </c>
    </row>
    <row r="289">
      <c r="A289" s="285"/>
      <c r="B289" s="274" t="s">
        <v>5250</v>
      </c>
      <c r="C289" s="285"/>
      <c r="D289" s="278">
        <v>87.0</v>
      </c>
    </row>
    <row r="290">
      <c r="A290" s="285"/>
      <c r="B290" s="274" t="s">
        <v>5250</v>
      </c>
      <c r="C290" s="285"/>
      <c r="D290" s="278">
        <v>87.0</v>
      </c>
    </row>
    <row r="291">
      <c r="A291" s="285"/>
      <c r="B291" s="274" t="s">
        <v>5250</v>
      </c>
      <c r="C291" s="285"/>
      <c r="D291" s="278">
        <v>87.0</v>
      </c>
    </row>
    <row r="292">
      <c r="A292" s="285"/>
      <c r="B292" s="274" t="s">
        <v>5250</v>
      </c>
      <c r="C292" s="285"/>
      <c r="D292" s="278">
        <v>87.0</v>
      </c>
    </row>
    <row r="293">
      <c r="A293" s="285"/>
      <c r="B293" s="274" t="s">
        <v>5259</v>
      </c>
      <c r="C293" s="285"/>
      <c r="D293" s="278">
        <v>87.0</v>
      </c>
    </row>
    <row r="294">
      <c r="A294" s="285"/>
      <c r="B294" s="274" t="s">
        <v>5259</v>
      </c>
      <c r="C294" s="285"/>
      <c r="D294" s="278">
        <v>87.0</v>
      </c>
    </row>
    <row r="295">
      <c r="A295" s="285"/>
      <c r="B295" s="274" t="s">
        <v>5259</v>
      </c>
      <c r="C295" s="285"/>
      <c r="D295" s="278">
        <v>87.0</v>
      </c>
    </row>
    <row r="296">
      <c r="A296" s="285"/>
      <c r="B296" s="274" t="s">
        <v>5259</v>
      </c>
      <c r="C296" s="285"/>
      <c r="D296" s="278">
        <v>87.0</v>
      </c>
    </row>
    <row r="297">
      <c r="A297" s="285"/>
      <c r="B297" s="274" t="s">
        <v>5261</v>
      </c>
      <c r="C297" s="285"/>
      <c r="D297" s="278">
        <v>87.0</v>
      </c>
    </row>
    <row r="298">
      <c r="A298" s="285"/>
      <c r="B298" s="274" t="s">
        <v>5261</v>
      </c>
      <c r="C298" s="285"/>
      <c r="D298" s="278">
        <v>87.0</v>
      </c>
    </row>
    <row r="299">
      <c r="A299" s="285"/>
      <c r="B299" s="274" t="s">
        <v>5261</v>
      </c>
      <c r="C299" s="285"/>
      <c r="D299" s="278">
        <v>87.0</v>
      </c>
    </row>
    <row r="300">
      <c r="A300" s="285"/>
      <c r="B300" s="274" t="s">
        <v>5261</v>
      </c>
      <c r="C300" s="285"/>
      <c r="D300" s="278">
        <v>87.0</v>
      </c>
    </row>
    <row r="301">
      <c r="A301" s="285"/>
      <c r="B301" s="274" t="s">
        <v>5262</v>
      </c>
      <c r="C301" s="285"/>
      <c r="D301" s="278">
        <v>87.0</v>
      </c>
    </row>
    <row r="302">
      <c r="A302" s="285"/>
      <c r="B302" s="274" t="s">
        <v>5262</v>
      </c>
      <c r="C302" s="285"/>
      <c r="D302" s="278">
        <v>87.0</v>
      </c>
    </row>
    <row r="303">
      <c r="A303" s="285"/>
      <c r="B303" s="274" t="s">
        <v>5262</v>
      </c>
      <c r="C303" s="285"/>
      <c r="D303" s="278">
        <v>87.0</v>
      </c>
    </row>
    <row r="304">
      <c r="A304" s="285"/>
      <c r="B304" s="274" t="s">
        <v>5262</v>
      </c>
      <c r="C304" s="285"/>
      <c r="D304" s="278">
        <v>87.0</v>
      </c>
    </row>
    <row r="305">
      <c r="A305" s="285"/>
      <c r="B305" s="274" t="s">
        <v>5267</v>
      </c>
      <c r="C305" s="285"/>
      <c r="D305" s="278">
        <v>87.0</v>
      </c>
    </row>
    <row r="306">
      <c r="A306" s="285"/>
      <c r="B306" s="274" t="s">
        <v>5267</v>
      </c>
      <c r="C306" s="285"/>
      <c r="D306" s="278">
        <v>87.0</v>
      </c>
    </row>
    <row r="307">
      <c r="A307" s="285"/>
      <c r="B307" s="274" t="s">
        <v>5267</v>
      </c>
      <c r="C307" s="285"/>
      <c r="D307" s="278">
        <v>87.0</v>
      </c>
    </row>
    <row r="308">
      <c r="A308" s="285"/>
      <c r="B308" s="274" t="s">
        <v>5267</v>
      </c>
      <c r="C308" s="285"/>
      <c r="D308" s="278">
        <v>87.0</v>
      </c>
    </row>
    <row r="309">
      <c r="A309" s="285"/>
      <c r="B309" s="274" t="s">
        <v>5271</v>
      </c>
      <c r="C309" s="285"/>
      <c r="D309" s="278">
        <v>87.0</v>
      </c>
    </row>
    <row r="310">
      <c r="A310" s="285"/>
      <c r="B310" s="274" t="s">
        <v>5271</v>
      </c>
      <c r="C310" s="285"/>
      <c r="D310" s="278">
        <v>87.0</v>
      </c>
    </row>
    <row r="311">
      <c r="A311" s="285"/>
      <c r="B311" s="274" t="s">
        <v>5271</v>
      </c>
      <c r="C311" s="285"/>
      <c r="D311" s="278">
        <v>87.0</v>
      </c>
    </row>
    <row r="312">
      <c r="A312" s="285"/>
      <c r="B312" s="274" t="s">
        <v>5271</v>
      </c>
      <c r="C312" s="285"/>
      <c r="D312" s="278">
        <v>87.0</v>
      </c>
    </row>
    <row r="313">
      <c r="A313" s="285"/>
      <c r="B313" s="274" t="s">
        <v>5272</v>
      </c>
      <c r="C313" s="285"/>
      <c r="D313" s="278">
        <v>90.0</v>
      </c>
    </row>
    <row r="314">
      <c r="A314" s="285"/>
      <c r="B314" s="274" t="s">
        <v>5272</v>
      </c>
      <c r="C314" s="285"/>
      <c r="D314" s="278">
        <v>90.0</v>
      </c>
    </row>
    <row r="315">
      <c r="A315" s="285"/>
      <c r="B315" s="274" t="s">
        <v>5272</v>
      </c>
      <c r="C315" s="285"/>
      <c r="D315" s="278">
        <v>90.0</v>
      </c>
    </row>
    <row r="316">
      <c r="A316" s="285"/>
      <c r="B316" s="274" t="s">
        <v>5272</v>
      </c>
      <c r="C316" s="285"/>
      <c r="D316" s="278">
        <v>90.0</v>
      </c>
    </row>
    <row r="317">
      <c r="A317" s="285"/>
      <c r="B317" s="274" t="s">
        <v>5275</v>
      </c>
      <c r="C317" s="285"/>
      <c r="D317" s="278">
        <v>110.0</v>
      </c>
    </row>
    <row r="318">
      <c r="A318" s="285"/>
      <c r="B318" s="274" t="s">
        <v>5275</v>
      </c>
      <c r="C318" s="285"/>
      <c r="D318" s="278">
        <v>110.0</v>
      </c>
    </row>
    <row r="319">
      <c r="A319" s="285"/>
      <c r="B319" s="274" t="s">
        <v>5275</v>
      </c>
      <c r="C319" s="285"/>
      <c r="D319" s="278">
        <v>110.0</v>
      </c>
    </row>
    <row r="320">
      <c r="A320" s="285"/>
      <c r="B320" s="274" t="s">
        <v>5275</v>
      </c>
      <c r="C320" s="285"/>
      <c r="D320" s="278">
        <v>110.0</v>
      </c>
    </row>
    <row r="321">
      <c r="A321" s="285"/>
      <c r="B321" s="274" t="s">
        <v>5281</v>
      </c>
      <c r="C321" s="285"/>
      <c r="D321" s="278">
        <v>74.0</v>
      </c>
    </row>
    <row r="322">
      <c r="A322" s="285"/>
      <c r="B322" s="274" t="s">
        <v>5281</v>
      </c>
      <c r="C322" s="285"/>
      <c r="D322" s="278">
        <v>74.0</v>
      </c>
    </row>
    <row r="323">
      <c r="A323" s="285"/>
      <c r="B323" s="274" t="s">
        <v>5281</v>
      </c>
      <c r="C323" s="285"/>
      <c r="D323" s="278">
        <v>74.0</v>
      </c>
    </row>
    <row r="324">
      <c r="A324" s="285"/>
      <c r="B324" s="274" t="s">
        <v>5281</v>
      </c>
      <c r="C324" s="285"/>
      <c r="D324" s="278">
        <v>74.0</v>
      </c>
    </row>
    <row r="325">
      <c r="A325" s="285"/>
      <c r="B325" s="274" t="s">
        <v>5283</v>
      </c>
      <c r="C325" s="285"/>
      <c r="D325" s="278">
        <v>96.0</v>
      </c>
    </row>
    <row r="326">
      <c r="A326" s="285"/>
      <c r="B326" s="274" t="s">
        <v>5283</v>
      </c>
      <c r="C326" s="285"/>
      <c r="D326" s="278">
        <v>96.0</v>
      </c>
    </row>
    <row r="327">
      <c r="A327" s="285"/>
      <c r="B327" s="274" t="s">
        <v>5283</v>
      </c>
      <c r="C327" s="285"/>
      <c r="D327" s="278">
        <v>96.0</v>
      </c>
    </row>
    <row r="328">
      <c r="A328" s="285"/>
      <c r="B328" s="274" t="s">
        <v>5283</v>
      </c>
      <c r="C328" s="285"/>
      <c r="D328" s="278">
        <v>96.0</v>
      </c>
    </row>
    <row r="329">
      <c r="A329" s="285"/>
      <c r="B329" s="274" t="s">
        <v>5288</v>
      </c>
      <c r="C329" s="285"/>
      <c r="D329" s="278">
        <v>111.0</v>
      </c>
    </row>
    <row r="330">
      <c r="A330" s="285"/>
      <c r="B330" s="274" t="s">
        <v>5288</v>
      </c>
      <c r="C330" s="285"/>
      <c r="D330" s="278">
        <v>111.0</v>
      </c>
    </row>
    <row r="331">
      <c r="A331" s="285"/>
      <c r="B331" s="274" t="s">
        <v>5288</v>
      </c>
      <c r="C331" s="285"/>
      <c r="D331" s="278">
        <v>111.0</v>
      </c>
    </row>
    <row r="332">
      <c r="A332" s="285"/>
      <c r="B332" s="274" t="s">
        <v>5288</v>
      </c>
      <c r="C332" s="285"/>
      <c r="D332" s="278">
        <v>111.0</v>
      </c>
    </row>
    <row r="333">
      <c r="A333" s="285"/>
      <c r="B333" s="274" t="s">
        <v>5292</v>
      </c>
      <c r="C333" s="285"/>
      <c r="D333" s="278">
        <v>121.0</v>
      </c>
    </row>
    <row r="334">
      <c r="A334" s="285"/>
      <c r="B334" s="274" t="s">
        <v>5292</v>
      </c>
      <c r="C334" s="285"/>
      <c r="D334" s="278">
        <v>121.0</v>
      </c>
    </row>
    <row r="335">
      <c r="A335" s="285"/>
      <c r="B335" s="274" t="s">
        <v>5292</v>
      </c>
      <c r="C335" s="285"/>
      <c r="D335" s="278">
        <v>121.0</v>
      </c>
    </row>
    <row r="336">
      <c r="A336" s="285"/>
      <c r="B336" s="274" t="s">
        <v>5292</v>
      </c>
      <c r="C336" s="285"/>
      <c r="D336" s="278">
        <v>121.0</v>
      </c>
    </row>
    <row r="337">
      <c r="A337" s="285"/>
      <c r="B337" s="274" t="s">
        <v>5293</v>
      </c>
      <c r="C337" s="285"/>
      <c r="D337" s="278">
        <v>85.0</v>
      </c>
    </row>
    <row r="338">
      <c r="A338" s="285"/>
      <c r="B338" s="274" t="s">
        <v>5293</v>
      </c>
      <c r="C338" s="285"/>
      <c r="D338" s="278">
        <v>85.0</v>
      </c>
    </row>
    <row r="339">
      <c r="A339" s="285"/>
      <c r="B339" s="274" t="s">
        <v>5293</v>
      </c>
      <c r="C339" s="285"/>
      <c r="D339" s="278">
        <v>85.0</v>
      </c>
    </row>
    <row r="340">
      <c r="A340" s="285"/>
      <c r="B340" s="274" t="s">
        <v>5293</v>
      </c>
      <c r="C340" s="285"/>
      <c r="D340" s="278">
        <v>85.0</v>
      </c>
    </row>
    <row r="341">
      <c r="A341" s="285"/>
      <c r="B341" s="274" t="s">
        <v>5297</v>
      </c>
      <c r="C341" s="285"/>
      <c r="D341" s="278">
        <v>130.0</v>
      </c>
    </row>
    <row r="342">
      <c r="A342" s="285"/>
      <c r="B342" s="274" t="s">
        <v>5297</v>
      </c>
      <c r="C342" s="285"/>
      <c r="D342" s="278">
        <v>130.0</v>
      </c>
    </row>
    <row r="343">
      <c r="A343" s="285"/>
      <c r="B343" s="274" t="s">
        <v>5297</v>
      </c>
      <c r="C343" s="285"/>
      <c r="D343" s="278">
        <v>130.0</v>
      </c>
    </row>
    <row r="344">
      <c r="A344" s="285"/>
      <c r="B344" s="274" t="s">
        <v>5297</v>
      </c>
      <c r="C344" s="285"/>
      <c r="D344" s="278">
        <v>130.0</v>
      </c>
    </row>
    <row r="345">
      <c r="A345" s="285"/>
      <c r="B345" s="274" t="s">
        <v>5303</v>
      </c>
      <c r="C345" s="285"/>
      <c r="D345" s="278">
        <v>130.0</v>
      </c>
    </row>
    <row r="346">
      <c r="A346" s="285"/>
      <c r="B346" s="274" t="s">
        <v>5303</v>
      </c>
      <c r="C346" s="285"/>
      <c r="D346" s="278">
        <v>130.0</v>
      </c>
    </row>
    <row r="347">
      <c r="A347" s="285"/>
      <c r="B347" s="274" t="s">
        <v>5303</v>
      </c>
      <c r="C347" s="285"/>
      <c r="D347" s="278">
        <v>130.0</v>
      </c>
    </row>
    <row r="348">
      <c r="A348" s="285"/>
      <c r="B348" s="274" t="s">
        <v>5303</v>
      </c>
      <c r="C348" s="285"/>
      <c r="D348" s="278">
        <v>130.0</v>
      </c>
    </row>
    <row r="349">
      <c r="A349" s="285"/>
      <c r="B349" s="274" t="s">
        <v>5304</v>
      </c>
      <c r="C349" s="285"/>
      <c r="D349" s="278">
        <v>130.0</v>
      </c>
    </row>
    <row r="350">
      <c r="A350" s="285"/>
      <c r="B350" s="274" t="s">
        <v>5304</v>
      </c>
      <c r="C350" s="285"/>
      <c r="D350" s="278">
        <v>130.0</v>
      </c>
    </row>
    <row r="351">
      <c r="A351" s="285"/>
      <c r="B351" s="274" t="s">
        <v>5304</v>
      </c>
      <c r="C351" s="285"/>
      <c r="D351" s="278">
        <v>130.0</v>
      </c>
    </row>
    <row r="352">
      <c r="A352" s="285"/>
      <c r="B352" s="274" t="s">
        <v>5304</v>
      </c>
      <c r="C352" s="285"/>
      <c r="D352" s="278">
        <v>130.0</v>
      </c>
    </row>
    <row r="353">
      <c r="A353" s="285"/>
      <c r="B353" s="274" t="s">
        <v>5308</v>
      </c>
      <c r="C353" s="285"/>
      <c r="D353" s="278">
        <v>104.0</v>
      </c>
    </row>
    <row r="354">
      <c r="A354" s="285"/>
      <c r="B354" s="274" t="s">
        <v>5308</v>
      </c>
      <c r="C354" s="285"/>
      <c r="D354" s="278">
        <v>104.0</v>
      </c>
    </row>
    <row r="355">
      <c r="A355" s="285"/>
      <c r="B355" s="274" t="s">
        <v>5308</v>
      </c>
      <c r="C355" s="285"/>
      <c r="D355" s="278">
        <v>104.0</v>
      </c>
    </row>
    <row r="356">
      <c r="A356" s="285"/>
      <c r="B356" s="274" t="s">
        <v>5308</v>
      </c>
      <c r="C356" s="285"/>
      <c r="D356" s="278">
        <v>104.0</v>
      </c>
    </row>
    <row r="357">
      <c r="A357" s="285"/>
      <c r="B357" s="274" t="s">
        <v>5313</v>
      </c>
      <c r="C357" s="285"/>
      <c r="D357" s="278">
        <v>104.0</v>
      </c>
    </row>
    <row r="358">
      <c r="A358" s="285"/>
      <c r="B358" s="274" t="s">
        <v>5313</v>
      </c>
      <c r="C358" s="285"/>
      <c r="D358" s="278">
        <v>104.0</v>
      </c>
    </row>
    <row r="359">
      <c r="A359" s="285"/>
      <c r="B359" s="274" t="s">
        <v>5313</v>
      </c>
      <c r="C359" s="285"/>
      <c r="D359" s="278">
        <v>104.0</v>
      </c>
    </row>
    <row r="360">
      <c r="A360" s="285"/>
      <c r="B360" s="274" t="s">
        <v>5313</v>
      </c>
      <c r="C360" s="285"/>
      <c r="D360" s="278">
        <v>104.0</v>
      </c>
    </row>
    <row r="361">
      <c r="A361" s="285"/>
      <c r="B361" s="274" t="s">
        <v>5314</v>
      </c>
      <c r="C361" s="285"/>
      <c r="D361" s="278">
        <v>104.0</v>
      </c>
    </row>
    <row r="362">
      <c r="A362" s="285"/>
      <c r="B362" s="274" t="s">
        <v>5314</v>
      </c>
      <c r="C362" s="285"/>
      <c r="D362" s="278">
        <v>104.0</v>
      </c>
    </row>
    <row r="363">
      <c r="A363" s="285"/>
      <c r="B363" s="274" t="s">
        <v>5314</v>
      </c>
      <c r="C363" s="285"/>
      <c r="D363" s="278">
        <v>104.0</v>
      </c>
    </row>
    <row r="364">
      <c r="A364" s="285"/>
      <c r="B364" s="274" t="s">
        <v>5314</v>
      </c>
      <c r="C364" s="285"/>
      <c r="D364" s="278">
        <v>104.0</v>
      </c>
    </row>
    <row r="365">
      <c r="A365" s="285"/>
      <c r="B365" s="274" t="s">
        <v>5317</v>
      </c>
      <c r="C365" s="285"/>
      <c r="D365" s="278">
        <v>104.0</v>
      </c>
    </row>
    <row r="366">
      <c r="A366" s="285"/>
      <c r="B366" s="274" t="s">
        <v>5317</v>
      </c>
      <c r="C366" s="285"/>
      <c r="D366" s="278">
        <v>104.0</v>
      </c>
    </row>
    <row r="367">
      <c r="A367" s="285"/>
      <c r="B367" s="274" t="s">
        <v>5317</v>
      </c>
      <c r="C367" s="285"/>
      <c r="D367" s="278">
        <v>104.0</v>
      </c>
    </row>
    <row r="368">
      <c r="A368" s="285"/>
      <c r="B368" s="274" t="s">
        <v>5317</v>
      </c>
      <c r="C368" s="285"/>
      <c r="D368" s="278">
        <v>104.0</v>
      </c>
    </row>
    <row r="369">
      <c r="A369" s="285"/>
      <c r="B369" s="274" t="s">
        <v>5324</v>
      </c>
      <c r="C369" s="285"/>
      <c r="D369" s="278">
        <v>131.0</v>
      </c>
    </row>
    <row r="370">
      <c r="A370" s="285"/>
      <c r="B370" s="274" t="s">
        <v>5324</v>
      </c>
      <c r="C370" s="285"/>
      <c r="D370" s="278">
        <v>131.0</v>
      </c>
    </row>
    <row r="371">
      <c r="A371" s="285"/>
      <c r="B371" s="274" t="s">
        <v>5324</v>
      </c>
      <c r="C371" s="285"/>
      <c r="D371" s="278">
        <v>131.0</v>
      </c>
    </row>
    <row r="372">
      <c r="A372" s="285"/>
      <c r="B372" s="274" t="s">
        <v>5324</v>
      </c>
      <c r="C372" s="285"/>
      <c r="D372" s="278">
        <v>131.0</v>
      </c>
    </row>
    <row r="373">
      <c r="A373" s="285"/>
      <c r="B373" s="274" t="s">
        <v>5325</v>
      </c>
      <c r="C373" s="285"/>
      <c r="D373" s="278">
        <v>101.0</v>
      </c>
    </row>
    <row r="374">
      <c r="A374" s="285"/>
      <c r="B374" s="274" t="s">
        <v>5325</v>
      </c>
      <c r="C374" s="285"/>
      <c r="D374" s="278">
        <v>101.0</v>
      </c>
    </row>
    <row r="375">
      <c r="A375" s="285"/>
      <c r="B375" s="274" t="s">
        <v>5325</v>
      </c>
      <c r="C375" s="285"/>
      <c r="D375" s="278">
        <v>101.0</v>
      </c>
    </row>
    <row r="376">
      <c r="A376" s="285"/>
      <c r="B376" s="274" t="s">
        <v>5325</v>
      </c>
      <c r="C376" s="285"/>
      <c r="D376" s="278">
        <v>101.0</v>
      </c>
    </row>
    <row r="377">
      <c r="A377" s="285"/>
      <c r="B377" s="274" t="s">
        <v>5328</v>
      </c>
      <c r="C377" s="285"/>
      <c r="D377" s="278">
        <v>94.0</v>
      </c>
    </row>
    <row r="378">
      <c r="A378" s="285"/>
      <c r="B378" s="274" t="s">
        <v>5328</v>
      </c>
      <c r="C378" s="285"/>
      <c r="D378" s="278">
        <v>94.0</v>
      </c>
    </row>
    <row r="379">
      <c r="A379" s="285"/>
      <c r="B379" s="274" t="s">
        <v>5328</v>
      </c>
      <c r="C379" s="285"/>
      <c r="D379" s="278">
        <v>94.0</v>
      </c>
    </row>
    <row r="380">
      <c r="A380" s="285"/>
      <c r="B380" s="274" t="s">
        <v>5328</v>
      </c>
      <c r="C380" s="285"/>
      <c r="D380" s="278">
        <v>94.0</v>
      </c>
    </row>
    <row r="381">
      <c r="A381" s="285"/>
      <c r="B381" s="274" t="s">
        <v>5334</v>
      </c>
      <c r="C381" s="285"/>
      <c r="D381" s="278">
        <v>104.0</v>
      </c>
    </row>
    <row r="382">
      <c r="A382" s="285"/>
      <c r="B382" s="274" t="s">
        <v>5334</v>
      </c>
      <c r="C382" s="285"/>
      <c r="D382" s="278">
        <v>104.0</v>
      </c>
    </row>
    <row r="383">
      <c r="A383" s="285"/>
      <c r="B383" s="274" t="s">
        <v>5334</v>
      </c>
      <c r="C383" s="285"/>
      <c r="D383" s="278">
        <v>104.0</v>
      </c>
    </row>
    <row r="384">
      <c r="A384" s="285"/>
      <c r="B384" s="274" t="s">
        <v>5334</v>
      </c>
      <c r="C384" s="285"/>
      <c r="D384" s="278">
        <v>104.0</v>
      </c>
    </row>
    <row r="385">
      <c r="A385" s="285"/>
      <c r="B385" s="274" t="s">
        <v>5336</v>
      </c>
      <c r="C385" s="285"/>
      <c r="D385" s="278">
        <v>116.0</v>
      </c>
    </row>
    <row r="386">
      <c r="A386" s="285"/>
      <c r="B386" s="274" t="s">
        <v>5336</v>
      </c>
      <c r="C386" s="285"/>
      <c r="D386" s="278">
        <v>116.0</v>
      </c>
    </row>
    <row r="387">
      <c r="A387" s="285"/>
      <c r="B387" s="274" t="s">
        <v>5336</v>
      </c>
      <c r="C387" s="285"/>
      <c r="D387" s="278">
        <v>116.0</v>
      </c>
    </row>
    <row r="388">
      <c r="A388" s="285"/>
      <c r="B388" s="274" t="s">
        <v>5336</v>
      </c>
      <c r="C388" s="285"/>
      <c r="D388" s="278">
        <v>116.0</v>
      </c>
    </row>
    <row r="389">
      <c r="A389" s="285"/>
      <c r="B389" s="274" t="s">
        <v>5338</v>
      </c>
      <c r="C389" s="285"/>
      <c r="D389" s="278">
        <v>150.0</v>
      </c>
    </row>
    <row r="390">
      <c r="A390" s="285"/>
      <c r="B390" s="274" t="s">
        <v>5338</v>
      </c>
      <c r="C390" s="285"/>
      <c r="D390" s="278">
        <v>150.0</v>
      </c>
    </row>
    <row r="391">
      <c r="A391" s="285"/>
      <c r="B391" s="274" t="s">
        <v>5338</v>
      </c>
      <c r="C391" s="285"/>
      <c r="D391" s="278">
        <v>150.0</v>
      </c>
    </row>
    <row r="392">
      <c r="A392" s="285"/>
      <c r="B392" s="274" t="s">
        <v>5338</v>
      </c>
      <c r="C392" s="285"/>
      <c r="D392" s="278">
        <v>150.0</v>
      </c>
    </row>
    <row r="393">
      <c r="A393" s="285"/>
      <c r="B393" s="274" t="s">
        <v>5345</v>
      </c>
      <c r="C393" s="285"/>
      <c r="D393" s="278">
        <v>106.0</v>
      </c>
    </row>
    <row r="394">
      <c r="A394" s="285"/>
      <c r="B394" s="274" t="s">
        <v>5345</v>
      </c>
      <c r="C394" s="285"/>
      <c r="D394" s="278">
        <v>106.0</v>
      </c>
    </row>
    <row r="395">
      <c r="A395" s="285"/>
      <c r="B395" s="274" t="s">
        <v>5345</v>
      </c>
      <c r="C395" s="285"/>
      <c r="D395" s="278">
        <v>106.0</v>
      </c>
    </row>
    <row r="396">
      <c r="A396" s="285"/>
      <c r="B396" s="274" t="s">
        <v>5345</v>
      </c>
      <c r="C396" s="285"/>
      <c r="D396" s="278">
        <v>106.0</v>
      </c>
    </row>
    <row r="397">
      <c r="A397" s="285"/>
      <c r="B397" s="274" t="s">
        <v>5347</v>
      </c>
      <c r="C397" s="285"/>
      <c r="D397" s="278">
        <v>85.0</v>
      </c>
    </row>
    <row r="398">
      <c r="A398" s="285"/>
      <c r="B398" s="274" t="s">
        <v>5347</v>
      </c>
      <c r="C398" s="285"/>
      <c r="D398" s="278">
        <v>85.0</v>
      </c>
    </row>
    <row r="399">
      <c r="A399" s="285"/>
      <c r="B399" s="274" t="s">
        <v>5347</v>
      </c>
      <c r="C399" s="285"/>
      <c r="D399" s="278">
        <v>85.0</v>
      </c>
    </row>
    <row r="400">
      <c r="A400" s="285"/>
      <c r="B400" s="274" t="s">
        <v>5347</v>
      </c>
      <c r="C400" s="285"/>
      <c r="D400" s="278">
        <v>85.0</v>
      </c>
    </row>
    <row r="401">
      <c r="A401" s="285"/>
      <c r="B401" s="274" t="s">
        <v>5348</v>
      </c>
      <c r="C401" s="285"/>
      <c r="D401" s="278"/>
    </row>
    <row r="402">
      <c r="A402" s="285"/>
      <c r="B402" s="274" t="s">
        <v>5348</v>
      </c>
      <c r="C402" s="285"/>
      <c r="D402" s="278"/>
    </row>
    <row r="403">
      <c r="A403" s="285"/>
      <c r="B403" s="274" t="s">
        <v>5348</v>
      </c>
      <c r="C403" s="285"/>
      <c r="D403" s="278"/>
    </row>
    <row r="404">
      <c r="A404" s="285"/>
      <c r="B404" s="274" t="s">
        <v>5348</v>
      </c>
      <c r="C404" s="285"/>
      <c r="D404" s="278"/>
    </row>
    <row r="405">
      <c r="A405" s="285"/>
      <c r="B405" s="274" t="s">
        <v>5356</v>
      </c>
      <c r="C405" s="285"/>
      <c r="D405" s="278"/>
    </row>
    <row r="406">
      <c r="A406" s="285"/>
      <c r="B406" s="274" t="s">
        <v>5356</v>
      </c>
      <c r="C406" s="285"/>
      <c r="D406" s="278"/>
    </row>
    <row r="407">
      <c r="A407" s="285"/>
      <c r="B407" s="274" t="s">
        <v>5356</v>
      </c>
      <c r="C407" s="285"/>
      <c r="D407" s="278"/>
    </row>
    <row r="408">
      <c r="A408" s="285"/>
      <c r="B408" s="274" t="s">
        <v>5356</v>
      </c>
      <c r="C408" s="285"/>
      <c r="D408" s="278"/>
    </row>
    <row r="409">
      <c r="A409" s="285"/>
      <c r="B409" s="274" t="s">
        <v>5358</v>
      </c>
      <c r="C409" s="285"/>
      <c r="D409" s="278"/>
    </row>
    <row r="410">
      <c r="A410" s="285"/>
      <c r="B410" s="274" t="s">
        <v>5358</v>
      </c>
      <c r="C410" s="285"/>
      <c r="D410" s="278"/>
    </row>
    <row r="411">
      <c r="A411" s="285"/>
      <c r="B411" s="274" t="s">
        <v>5358</v>
      </c>
      <c r="C411" s="285"/>
      <c r="D411" s="278"/>
    </row>
    <row r="412">
      <c r="A412" s="285"/>
      <c r="B412" s="274" t="s">
        <v>5358</v>
      </c>
      <c r="C412" s="285"/>
      <c r="D412" s="278"/>
    </row>
    <row r="413">
      <c r="A413" s="285"/>
      <c r="B413" s="274" t="s">
        <v>5359</v>
      </c>
      <c r="C413" s="285"/>
      <c r="D413" s="278"/>
    </row>
    <row r="414">
      <c r="A414" s="285"/>
      <c r="B414" s="274" t="s">
        <v>5359</v>
      </c>
      <c r="C414" s="285"/>
      <c r="D414" s="278"/>
    </row>
    <row r="415">
      <c r="A415" s="285"/>
      <c r="B415" s="274" t="s">
        <v>5359</v>
      </c>
      <c r="C415" s="285"/>
      <c r="D415" s="278"/>
    </row>
    <row r="416">
      <c r="A416" s="285"/>
      <c r="B416" s="274" t="s">
        <v>5359</v>
      </c>
      <c r="C416" s="285"/>
      <c r="D416" s="278"/>
    </row>
    <row r="417">
      <c r="A417" s="285"/>
      <c r="B417" s="274" t="s">
        <v>5367</v>
      </c>
      <c r="C417" s="285"/>
      <c r="D417" s="278"/>
    </row>
    <row r="418">
      <c r="A418" s="285"/>
      <c r="B418" s="274" t="s">
        <v>5367</v>
      </c>
      <c r="C418" s="285"/>
      <c r="D418" s="278"/>
    </row>
    <row r="419">
      <c r="A419" s="285"/>
      <c r="B419" s="274" t="s">
        <v>5367</v>
      </c>
      <c r="C419" s="285"/>
      <c r="D419" s="278"/>
    </row>
    <row r="420">
      <c r="A420" s="285"/>
      <c r="B420" s="274" t="s">
        <v>5367</v>
      </c>
      <c r="C420" s="285"/>
      <c r="D420" s="278"/>
    </row>
    <row r="421">
      <c r="A421" s="285"/>
      <c r="B421" s="274" t="s">
        <v>5368</v>
      </c>
      <c r="C421" s="285"/>
      <c r="D421" s="278"/>
    </row>
    <row r="422">
      <c r="A422" s="285"/>
      <c r="B422" s="274" t="s">
        <v>5368</v>
      </c>
      <c r="C422" s="285"/>
      <c r="D422" s="278"/>
    </row>
    <row r="423">
      <c r="A423" s="285"/>
      <c r="B423" s="274" t="s">
        <v>5368</v>
      </c>
      <c r="C423" s="285"/>
      <c r="D423" s="278"/>
    </row>
    <row r="424">
      <c r="A424" s="285"/>
      <c r="B424" s="274" t="s">
        <v>5368</v>
      </c>
      <c r="C424" s="285"/>
      <c r="D424" s="278"/>
    </row>
    <row r="425">
      <c r="A425" s="285"/>
      <c r="B425" s="274" t="s">
        <v>5370</v>
      </c>
      <c r="C425" s="285"/>
      <c r="D425" s="278"/>
    </row>
    <row r="426">
      <c r="A426" s="285"/>
      <c r="B426" s="274" t="s">
        <v>5370</v>
      </c>
      <c r="C426" s="285"/>
      <c r="D426" s="278"/>
    </row>
    <row r="427">
      <c r="A427" s="285"/>
      <c r="B427" s="274" t="s">
        <v>5370</v>
      </c>
      <c r="C427" s="285"/>
      <c r="D427" s="278"/>
    </row>
    <row r="428">
      <c r="A428" s="285"/>
      <c r="B428" s="274" t="s">
        <v>5370</v>
      </c>
      <c r="C428" s="285"/>
      <c r="D428" s="278"/>
    </row>
    <row r="429">
      <c r="A429" s="285"/>
      <c r="B429" s="274" t="s">
        <v>5371</v>
      </c>
      <c r="C429" s="285"/>
      <c r="D429" s="278"/>
    </row>
    <row r="430">
      <c r="A430" s="285"/>
      <c r="B430" s="274" t="s">
        <v>5371</v>
      </c>
      <c r="C430" s="285"/>
      <c r="D430" s="278"/>
    </row>
    <row r="431">
      <c r="A431" s="285"/>
      <c r="B431" s="274" t="s">
        <v>5371</v>
      </c>
      <c r="C431" s="285"/>
      <c r="D431" s="278"/>
    </row>
    <row r="432">
      <c r="A432" s="285"/>
      <c r="B432" s="274" t="s">
        <v>5371</v>
      </c>
      <c r="C432" s="285"/>
      <c r="D432" s="278"/>
    </row>
    <row r="433">
      <c r="A433" s="285"/>
      <c r="B433" s="274" t="s">
        <v>5373</v>
      </c>
      <c r="C433" s="285"/>
      <c r="D433" s="278"/>
    </row>
    <row r="434">
      <c r="A434" s="285"/>
      <c r="B434" s="274" t="s">
        <v>5373</v>
      </c>
      <c r="C434" s="285"/>
      <c r="D434" s="278"/>
    </row>
    <row r="435">
      <c r="A435" s="285"/>
      <c r="B435" s="274" t="s">
        <v>5373</v>
      </c>
      <c r="C435" s="285"/>
      <c r="D435" s="278"/>
    </row>
    <row r="436">
      <c r="A436" s="285"/>
      <c r="B436" s="274" t="s">
        <v>5373</v>
      </c>
      <c r="C436" s="285"/>
      <c r="D436" s="278"/>
    </row>
    <row r="437">
      <c r="A437" s="285"/>
      <c r="B437" s="274" t="s">
        <v>5374</v>
      </c>
      <c r="C437" s="285"/>
      <c r="D437" s="278"/>
    </row>
    <row r="438">
      <c r="A438" s="285"/>
      <c r="B438" s="274" t="s">
        <v>5374</v>
      </c>
      <c r="C438" s="285"/>
      <c r="D438" s="278"/>
    </row>
    <row r="439">
      <c r="A439" s="285"/>
      <c r="B439" s="274" t="s">
        <v>5374</v>
      </c>
      <c r="C439" s="285"/>
      <c r="D439" s="278"/>
    </row>
    <row r="440">
      <c r="A440" s="285"/>
      <c r="B440" s="274" t="s">
        <v>5374</v>
      </c>
      <c r="C440" s="285"/>
      <c r="D440" s="278"/>
    </row>
    <row r="441">
      <c r="A441" s="285"/>
      <c r="B441" s="274" t="s">
        <v>5375</v>
      </c>
      <c r="C441" s="285"/>
      <c r="D441" s="278"/>
    </row>
    <row r="442">
      <c r="A442" s="285"/>
      <c r="B442" s="274" t="s">
        <v>5375</v>
      </c>
      <c r="C442" s="285"/>
      <c r="D442" s="278"/>
    </row>
    <row r="443">
      <c r="A443" s="285"/>
      <c r="B443" s="274" t="s">
        <v>5375</v>
      </c>
      <c r="C443" s="285"/>
      <c r="D443" s="278"/>
    </row>
    <row r="444">
      <c r="A444" s="285"/>
      <c r="B444" s="274" t="s">
        <v>5375</v>
      </c>
      <c r="C444" s="285"/>
      <c r="D444" s="278"/>
    </row>
    <row r="445">
      <c r="A445" s="285"/>
      <c r="B445" s="274" t="s">
        <v>5377</v>
      </c>
      <c r="C445" s="285"/>
      <c r="D445" s="286">
        <v>425.0</v>
      </c>
    </row>
    <row r="446">
      <c r="A446" s="285"/>
      <c r="B446" s="274" t="s">
        <v>5377</v>
      </c>
      <c r="C446" s="285"/>
      <c r="D446" s="286">
        <v>425.0</v>
      </c>
    </row>
    <row r="447">
      <c r="A447" s="285"/>
      <c r="B447" s="274" t="s">
        <v>5377</v>
      </c>
      <c r="C447" s="285"/>
      <c r="D447" s="286">
        <v>425.0</v>
      </c>
    </row>
    <row r="448">
      <c r="A448" s="285"/>
      <c r="B448" s="274" t="s">
        <v>5377</v>
      </c>
      <c r="C448" s="285"/>
      <c r="D448" s="286">
        <v>425.0</v>
      </c>
    </row>
    <row r="449">
      <c r="A449" s="285"/>
      <c r="B449" s="274" t="s">
        <v>5378</v>
      </c>
      <c r="C449" s="285"/>
      <c r="D449" s="286">
        <v>425.0</v>
      </c>
    </row>
    <row r="450">
      <c r="A450" s="285"/>
      <c r="B450" s="274" t="s">
        <v>5378</v>
      </c>
      <c r="C450" s="285"/>
      <c r="D450" s="286">
        <v>425.0</v>
      </c>
    </row>
    <row r="451">
      <c r="A451" s="285"/>
      <c r="B451" s="274" t="s">
        <v>5378</v>
      </c>
      <c r="C451" s="285"/>
      <c r="D451" s="286">
        <v>425.0</v>
      </c>
    </row>
    <row r="452">
      <c r="A452" s="285"/>
      <c r="B452" s="274" t="s">
        <v>5378</v>
      </c>
      <c r="C452" s="285"/>
      <c r="D452" s="286">
        <v>425.0</v>
      </c>
    </row>
    <row r="453">
      <c r="A453" s="285"/>
      <c r="B453" s="274" t="s">
        <v>5380</v>
      </c>
      <c r="C453" s="285"/>
      <c r="D453" s="286">
        <v>425.0</v>
      </c>
    </row>
    <row r="454">
      <c r="A454" s="285"/>
      <c r="B454" s="274" t="s">
        <v>5380</v>
      </c>
      <c r="C454" s="285"/>
      <c r="D454" s="286">
        <v>425.0</v>
      </c>
    </row>
    <row r="455">
      <c r="A455" s="285"/>
      <c r="B455" s="274" t="s">
        <v>5380</v>
      </c>
      <c r="C455" s="285"/>
      <c r="D455" s="286">
        <v>425.0</v>
      </c>
    </row>
    <row r="456">
      <c r="A456" s="285"/>
      <c r="B456" s="274" t="s">
        <v>5380</v>
      </c>
      <c r="C456" s="285"/>
      <c r="D456" s="286">
        <v>425.0</v>
      </c>
    </row>
    <row r="457">
      <c r="A457" s="285"/>
      <c r="B457" s="274" t="s">
        <v>5381</v>
      </c>
      <c r="C457" s="285"/>
      <c r="D457" s="286">
        <v>425.0</v>
      </c>
    </row>
    <row r="458">
      <c r="A458" s="285"/>
      <c r="B458" s="274" t="s">
        <v>5381</v>
      </c>
      <c r="C458" s="285"/>
      <c r="D458" s="286">
        <v>425.0</v>
      </c>
    </row>
    <row r="459">
      <c r="A459" s="285"/>
      <c r="B459" s="274" t="s">
        <v>5381</v>
      </c>
      <c r="C459" s="285"/>
      <c r="D459" s="286">
        <v>425.0</v>
      </c>
    </row>
    <row r="460">
      <c r="A460" s="285"/>
      <c r="B460" s="274" t="s">
        <v>5381</v>
      </c>
      <c r="C460" s="285"/>
      <c r="D460" s="286">
        <v>425.0</v>
      </c>
    </row>
    <row r="461">
      <c r="A461" s="285"/>
      <c r="B461" s="274" t="s">
        <v>5382</v>
      </c>
      <c r="C461" s="285"/>
      <c r="D461" s="286">
        <v>465.0</v>
      </c>
    </row>
    <row r="462">
      <c r="A462" s="285"/>
      <c r="B462" s="274" t="s">
        <v>5382</v>
      </c>
      <c r="C462" s="285"/>
      <c r="D462" s="286">
        <v>465.0</v>
      </c>
    </row>
    <row r="463">
      <c r="A463" s="285"/>
      <c r="B463" s="274" t="s">
        <v>5382</v>
      </c>
      <c r="C463" s="285"/>
      <c r="D463" s="286">
        <v>465.0</v>
      </c>
    </row>
    <row r="464">
      <c r="A464" s="285"/>
      <c r="B464" s="274" t="s">
        <v>5382</v>
      </c>
      <c r="C464" s="285"/>
      <c r="D464" s="286">
        <v>465.0</v>
      </c>
    </row>
    <row r="465">
      <c r="A465" s="285"/>
      <c r="B465" s="274" t="s">
        <v>5388</v>
      </c>
      <c r="C465" s="285"/>
      <c r="D465" s="286">
        <v>465.0</v>
      </c>
    </row>
    <row r="466">
      <c r="A466" s="285"/>
      <c r="B466" s="274" t="s">
        <v>5388</v>
      </c>
      <c r="C466" s="285"/>
      <c r="D466" s="286">
        <v>465.0</v>
      </c>
    </row>
    <row r="467">
      <c r="A467" s="285"/>
      <c r="B467" s="274" t="s">
        <v>5388</v>
      </c>
      <c r="C467" s="285"/>
      <c r="D467" s="286">
        <v>465.0</v>
      </c>
    </row>
    <row r="468">
      <c r="A468" s="285"/>
      <c r="B468" s="274" t="s">
        <v>5388</v>
      </c>
      <c r="C468" s="285"/>
      <c r="D468" s="286">
        <v>465.0</v>
      </c>
    </row>
    <row r="469">
      <c r="A469" s="285"/>
      <c r="B469" s="274" t="s">
        <v>5390</v>
      </c>
      <c r="C469" s="285"/>
      <c r="D469" s="286">
        <v>465.0</v>
      </c>
    </row>
    <row r="470">
      <c r="A470" s="285"/>
      <c r="B470" s="274" t="s">
        <v>5390</v>
      </c>
      <c r="C470" s="285"/>
      <c r="D470" s="286">
        <v>465.0</v>
      </c>
    </row>
    <row r="471">
      <c r="A471" s="285"/>
      <c r="B471" s="274" t="s">
        <v>5390</v>
      </c>
      <c r="C471" s="285"/>
      <c r="D471" s="286">
        <v>465.0</v>
      </c>
    </row>
    <row r="472">
      <c r="A472" s="285"/>
      <c r="B472" s="274" t="s">
        <v>5390</v>
      </c>
      <c r="C472" s="285"/>
      <c r="D472" s="286">
        <v>465.0</v>
      </c>
    </row>
    <row r="473">
      <c r="A473" s="285"/>
      <c r="B473" s="274" t="s">
        <v>5391</v>
      </c>
      <c r="C473" s="285"/>
      <c r="D473" s="286">
        <v>465.0</v>
      </c>
    </row>
    <row r="474">
      <c r="A474" s="285"/>
      <c r="B474" s="274" t="s">
        <v>5391</v>
      </c>
      <c r="C474" s="285"/>
      <c r="D474" s="286">
        <v>465.0</v>
      </c>
    </row>
    <row r="475">
      <c r="A475" s="285"/>
      <c r="B475" s="274" t="s">
        <v>5391</v>
      </c>
      <c r="C475" s="285"/>
      <c r="D475" s="286">
        <v>465.0</v>
      </c>
    </row>
    <row r="476">
      <c r="A476" s="285"/>
      <c r="B476" s="274" t="s">
        <v>5391</v>
      </c>
      <c r="C476" s="285"/>
      <c r="D476" s="286">
        <v>465.0</v>
      </c>
    </row>
    <row r="477">
      <c r="A477" s="285"/>
      <c r="B477" s="274" t="s">
        <v>5399</v>
      </c>
      <c r="C477" s="285"/>
      <c r="D477" s="286">
        <v>515.0</v>
      </c>
    </row>
    <row r="478">
      <c r="A478" s="285"/>
      <c r="B478" s="274" t="s">
        <v>5399</v>
      </c>
      <c r="C478" s="285"/>
      <c r="D478" s="286">
        <v>515.0</v>
      </c>
    </row>
    <row r="479">
      <c r="A479" s="285"/>
      <c r="B479" s="274" t="s">
        <v>5399</v>
      </c>
      <c r="C479" s="285"/>
      <c r="D479" s="286">
        <v>515.0</v>
      </c>
    </row>
    <row r="480">
      <c r="A480" s="285"/>
      <c r="B480" s="274" t="s">
        <v>5399</v>
      </c>
      <c r="C480" s="285"/>
      <c r="D480" s="286">
        <v>515.0</v>
      </c>
    </row>
    <row r="481">
      <c r="A481" s="285"/>
      <c r="B481" s="274" t="s">
        <v>5401</v>
      </c>
      <c r="C481" s="285"/>
      <c r="D481" s="286">
        <v>515.0</v>
      </c>
    </row>
    <row r="482">
      <c r="A482" s="285"/>
      <c r="B482" s="274" t="s">
        <v>5401</v>
      </c>
      <c r="C482" s="285"/>
      <c r="D482" s="286">
        <v>515.0</v>
      </c>
    </row>
    <row r="483">
      <c r="A483" s="285"/>
      <c r="B483" s="274" t="s">
        <v>5401</v>
      </c>
      <c r="C483" s="285"/>
      <c r="D483" s="286">
        <v>515.0</v>
      </c>
    </row>
    <row r="484">
      <c r="A484" s="285"/>
      <c r="B484" s="274" t="s">
        <v>5401</v>
      </c>
      <c r="C484" s="285"/>
      <c r="D484" s="286">
        <v>515.0</v>
      </c>
    </row>
    <row r="485">
      <c r="A485" s="285"/>
      <c r="B485" s="274" t="s">
        <v>5402</v>
      </c>
      <c r="C485" s="285"/>
      <c r="D485" s="286">
        <v>515.0</v>
      </c>
    </row>
    <row r="486">
      <c r="A486" s="285"/>
      <c r="B486" s="274" t="s">
        <v>5402</v>
      </c>
      <c r="C486" s="285"/>
      <c r="D486" s="286">
        <v>515.0</v>
      </c>
    </row>
    <row r="487">
      <c r="A487" s="285"/>
      <c r="B487" s="274" t="s">
        <v>5402</v>
      </c>
      <c r="C487" s="285"/>
      <c r="D487" s="286">
        <v>515.0</v>
      </c>
    </row>
    <row r="488">
      <c r="A488" s="285"/>
      <c r="B488" s="274" t="s">
        <v>5402</v>
      </c>
      <c r="C488" s="285"/>
      <c r="D488" s="286">
        <v>515.0</v>
      </c>
    </row>
    <row r="489">
      <c r="A489" s="285"/>
      <c r="B489" s="274" t="s">
        <v>5410</v>
      </c>
      <c r="C489" s="285"/>
      <c r="D489" s="286">
        <v>515.0</v>
      </c>
    </row>
    <row r="490">
      <c r="A490" s="285"/>
      <c r="B490" s="274" t="s">
        <v>5410</v>
      </c>
      <c r="C490" s="285"/>
      <c r="D490" s="286">
        <v>515.0</v>
      </c>
    </row>
    <row r="491">
      <c r="A491" s="285"/>
      <c r="B491" s="274" t="s">
        <v>5410</v>
      </c>
      <c r="C491" s="285"/>
      <c r="D491" s="286">
        <v>515.0</v>
      </c>
    </row>
    <row r="492">
      <c r="A492" s="285"/>
      <c r="B492" s="274" t="s">
        <v>5410</v>
      </c>
      <c r="C492" s="285"/>
      <c r="D492" s="286">
        <v>515.0</v>
      </c>
    </row>
    <row r="493">
      <c r="A493" s="285"/>
      <c r="B493" s="274" t="s">
        <v>5411</v>
      </c>
      <c r="C493" s="285"/>
      <c r="D493" s="278">
        <v>210.0</v>
      </c>
    </row>
    <row r="494">
      <c r="A494" s="285"/>
      <c r="B494" s="274" t="s">
        <v>5411</v>
      </c>
      <c r="C494" s="285"/>
      <c r="D494" s="278">
        <v>210.0</v>
      </c>
    </row>
    <row r="495">
      <c r="A495" s="285"/>
      <c r="B495" s="274" t="s">
        <v>5411</v>
      </c>
      <c r="C495" s="285"/>
      <c r="D495" s="278">
        <v>210.0</v>
      </c>
    </row>
    <row r="496">
      <c r="A496" s="285"/>
      <c r="B496" s="274" t="s">
        <v>5411</v>
      </c>
      <c r="C496" s="285"/>
      <c r="D496" s="278">
        <v>210.0</v>
      </c>
    </row>
    <row r="497">
      <c r="A497" s="285"/>
      <c r="B497" s="274" t="s">
        <v>5413</v>
      </c>
      <c r="C497" s="285"/>
      <c r="D497" s="278">
        <v>210.0</v>
      </c>
    </row>
    <row r="498">
      <c r="A498" s="285"/>
      <c r="B498" s="274" t="s">
        <v>5413</v>
      </c>
      <c r="C498" s="285"/>
      <c r="D498" s="278">
        <v>210.0</v>
      </c>
    </row>
    <row r="499">
      <c r="A499" s="285"/>
      <c r="B499" s="274" t="s">
        <v>5413</v>
      </c>
      <c r="C499" s="285"/>
      <c r="D499" s="278">
        <v>210.0</v>
      </c>
    </row>
    <row r="500">
      <c r="A500" s="285"/>
      <c r="B500" s="274" t="s">
        <v>5413</v>
      </c>
      <c r="C500" s="285"/>
      <c r="D500" s="278">
        <v>210.0</v>
      </c>
    </row>
    <row r="501">
      <c r="A501" s="285"/>
      <c r="B501" s="274" t="s">
        <v>5415</v>
      </c>
      <c r="C501" s="285"/>
      <c r="D501" s="278">
        <v>100.0</v>
      </c>
    </row>
    <row r="502">
      <c r="A502" s="285"/>
      <c r="B502" s="274" t="s">
        <v>5415</v>
      </c>
      <c r="C502" s="285"/>
      <c r="D502" s="278">
        <v>100.0</v>
      </c>
    </row>
    <row r="503">
      <c r="A503" s="285"/>
      <c r="B503" s="274" t="s">
        <v>5415</v>
      </c>
      <c r="C503" s="285"/>
      <c r="D503" s="278">
        <v>100.0</v>
      </c>
    </row>
    <row r="504">
      <c r="A504" s="285"/>
      <c r="B504" s="274" t="s">
        <v>5415</v>
      </c>
      <c r="C504" s="285"/>
      <c r="D504" s="278">
        <v>100.0</v>
      </c>
    </row>
    <row r="505">
      <c r="A505" s="285"/>
      <c r="B505" s="274" t="s">
        <v>5422</v>
      </c>
      <c r="C505" s="285"/>
      <c r="D505" s="278">
        <v>100.0</v>
      </c>
    </row>
    <row r="506">
      <c r="A506" s="285"/>
      <c r="B506" s="274" t="s">
        <v>5422</v>
      </c>
      <c r="C506" s="285"/>
      <c r="D506" s="278">
        <v>100.0</v>
      </c>
    </row>
    <row r="507">
      <c r="A507" s="285"/>
      <c r="B507" s="274" t="s">
        <v>5422</v>
      </c>
      <c r="C507" s="285"/>
      <c r="D507" s="278">
        <v>100.0</v>
      </c>
    </row>
    <row r="508">
      <c r="A508" s="285"/>
      <c r="B508" s="274" t="s">
        <v>5422</v>
      </c>
      <c r="C508" s="285"/>
      <c r="D508" s="278">
        <v>100.0</v>
      </c>
    </row>
    <row r="509">
      <c r="A509" s="285"/>
      <c r="B509" s="274" t="s">
        <v>5423</v>
      </c>
      <c r="C509" s="285"/>
      <c r="D509" s="278">
        <v>100.0</v>
      </c>
    </row>
    <row r="510">
      <c r="A510" s="285"/>
      <c r="B510" s="274" t="s">
        <v>5423</v>
      </c>
      <c r="C510" s="285"/>
      <c r="D510" s="278">
        <v>100.0</v>
      </c>
    </row>
    <row r="511">
      <c r="A511" s="285"/>
      <c r="B511" s="274" t="s">
        <v>5423</v>
      </c>
      <c r="C511" s="285"/>
      <c r="D511" s="278">
        <v>100.0</v>
      </c>
    </row>
    <row r="512">
      <c r="A512" s="285"/>
      <c r="B512" s="274" t="s">
        <v>5423</v>
      </c>
      <c r="C512" s="285"/>
      <c r="D512" s="278">
        <v>100.0</v>
      </c>
    </row>
    <row r="513">
      <c r="A513" s="285"/>
      <c r="B513" s="274" t="s">
        <v>5430</v>
      </c>
      <c r="C513" s="285"/>
      <c r="D513" s="278">
        <v>100.0</v>
      </c>
    </row>
    <row r="514">
      <c r="A514" s="285"/>
      <c r="B514" s="274" t="s">
        <v>5430</v>
      </c>
      <c r="C514" s="285"/>
      <c r="D514" s="278">
        <v>100.0</v>
      </c>
    </row>
    <row r="515">
      <c r="A515" s="285"/>
      <c r="B515" s="274" t="s">
        <v>5430</v>
      </c>
      <c r="C515" s="285"/>
      <c r="D515" s="278">
        <v>100.0</v>
      </c>
    </row>
    <row r="516">
      <c r="A516" s="285"/>
      <c r="B516" s="274" t="s">
        <v>5430</v>
      </c>
      <c r="C516" s="285"/>
      <c r="D516" s="278">
        <v>100.0</v>
      </c>
    </row>
    <row r="517">
      <c r="A517" s="285"/>
      <c r="B517" s="274" t="s">
        <v>5433</v>
      </c>
      <c r="C517" s="285"/>
      <c r="D517" s="278">
        <v>100.0</v>
      </c>
    </row>
    <row r="518">
      <c r="A518" s="285"/>
      <c r="B518" s="274" t="s">
        <v>5433</v>
      </c>
      <c r="C518" s="285"/>
      <c r="D518" s="278">
        <v>100.0</v>
      </c>
    </row>
    <row r="519">
      <c r="A519" s="285"/>
      <c r="B519" s="274" t="s">
        <v>5433</v>
      </c>
      <c r="C519" s="285"/>
      <c r="D519" s="278">
        <v>100.0</v>
      </c>
    </row>
    <row r="520">
      <c r="A520" s="285"/>
      <c r="B520" s="274" t="s">
        <v>5433</v>
      </c>
      <c r="C520" s="285"/>
      <c r="D520" s="278">
        <v>100.0</v>
      </c>
    </row>
    <row r="521">
      <c r="A521" s="285"/>
      <c r="B521" s="274" t="s">
        <v>5434</v>
      </c>
      <c r="C521" s="285"/>
      <c r="D521" s="278">
        <v>100.0</v>
      </c>
    </row>
    <row r="522">
      <c r="A522" s="285"/>
      <c r="B522" s="274" t="s">
        <v>5434</v>
      </c>
      <c r="C522" s="285"/>
      <c r="D522" s="278">
        <v>100.0</v>
      </c>
    </row>
    <row r="523">
      <c r="A523" s="285"/>
      <c r="B523" s="274" t="s">
        <v>5434</v>
      </c>
      <c r="C523" s="285"/>
      <c r="D523" s="278">
        <v>100.0</v>
      </c>
    </row>
    <row r="524">
      <c r="A524" s="285"/>
      <c r="B524" s="274" t="s">
        <v>5434</v>
      </c>
      <c r="C524" s="285"/>
      <c r="D524" s="278">
        <v>100.0</v>
      </c>
    </row>
    <row r="525">
      <c r="A525" s="285"/>
      <c r="B525" s="274" t="s">
        <v>5441</v>
      </c>
      <c r="C525" s="285"/>
      <c r="D525" s="278">
        <v>100.0</v>
      </c>
    </row>
    <row r="526">
      <c r="A526" s="285"/>
      <c r="B526" s="274" t="s">
        <v>5441</v>
      </c>
      <c r="C526" s="285"/>
      <c r="D526" s="278">
        <v>100.0</v>
      </c>
    </row>
    <row r="527">
      <c r="A527" s="285"/>
      <c r="B527" s="274" t="s">
        <v>5441</v>
      </c>
      <c r="C527" s="285"/>
      <c r="D527" s="278">
        <v>100.0</v>
      </c>
    </row>
    <row r="528">
      <c r="A528" s="285"/>
      <c r="B528" s="274" t="s">
        <v>5441</v>
      </c>
      <c r="C528" s="285"/>
      <c r="D528" s="278">
        <v>100.0</v>
      </c>
    </row>
    <row r="529">
      <c r="A529" s="285"/>
      <c r="B529" s="274" t="s">
        <v>5443</v>
      </c>
      <c r="C529" s="285"/>
      <c r="D529" s="278">
        <v>100.0</v>
      </c>
    </row>
    <row r="530">
      <c r="A530" s="285"/>
      <c r="B530" s="274" t="s">
        <v>5443</v>
      </c>
      <c r="C530" s="285"/>
      <c r="D530" s="278">
        <v>100.0</v>
      </c>
    </row>
    <row r="531">
      <c r="A531" s="285"/>
      <c r="B531" s="274" t="s">
        <v>5443</v>
      </c>
      <c r="C531" s="285"/>
      <c r="D531" s="278">
        <v>100.0</v>
      </c>
    </row>
    <row r="532">
      <c r="A532" s="285"/>
      <c r="B532" s="274" t="s">
        <v>5443</v>
      </c>
      <c r="C532" s="285"/>
      <c r="D532" s="278">
        <v>100.0</v>
      </c>
    </row>
    <row r="533">
      <c r="A533" s="285"/>
      <c r="B533" s="274" t="s">
        <v>5445</v>
      </c>
      <c r="C533" s="285"/>
      <c r="D533" s="278">
        <v>100.0</v>
      </c>
    </row>
    <row r="534">
      <c r="A534" s="285"/>
      <c r="B534" s="274" t="s">
        <v>5445</v>
      </c>
      <c r="C534" s="285"/>
      <c r="D534" s="278">
        <v>100.0</v>
      </c>
    </row>
    <row r="535">
      <c r="A535" s="285"/>
      <c r="B535" s="274" t="s">
        <v>5445</v>
      </c>
      <c r="C535" s="285"/>
      <c r="D535" s="278">
        <v>100.0</v>
      </c>
    </row>
    <row r="536">
      <c r="A536" s="285"/>
      <c r="B536" s="274" t="s">
        <v>5445</v>
      </c>
      <c r="C536" s="285"/>
      <c r="D536" s="278">
        <v>100.0</v>
      </c>
    </row>
    <row r="537">
      <c r="A537" s="285"/>
      <c r="B537" s="274" t="s">
        <v>5446</v>
      </c>
      <c r="C537" s="285"/>
      <c r="D537" s="278">
        <v>100.0</v>
      </c>
    </row>
    <row r="538">
      <c r="A538" s="285"/>
      <c r="B538" s="274" t="s">
        <v>5446</v>
      </c>
      <c r="C538" s="285"/>
      <c r="D538" s="278">
        <v>100.0</v>
      </c>
    </row>
    <row r="539">
      <c r="A539" s="285"/>
      <c r="B539" s="274" t="s">
        <v>5446</v>
      </c>
      <c r="C539" s="285"/>
      <c r="D539" s="278">
        <v>100.0</v>
      </c>
    </row>
    <row r="540">
      <c r="A540" s="285"/>
      <c r="B540" s="274" t="s">
        <v>5446</v>
      </c>
      <c r="C540" s="285"/>
      <c r="D540" s="278">
        <v>100.0</v>
      </c>
    </row>
    <row r="541">
      <c r="A541" s="285"/>
      <c r="B541" s="274" t="s">
        <v>5454</v>
      </c>
      <c r="C541" s="285"/>
      <c r="D541" s="278">
        <v>100.0</v>
      </c>
    </row>
    <row r="542">
      <c r="A542" s="285"/>
      <c r="B542" s="274" t="s">
        <v>5454</v>
      </c>
      <c r="C542" s="285"/>
      <c r="D542" s="278">
        <v>100.0</v>
      </c>
    </row>
    <row r="543">
      <c r="A543" s="285"/>
      <c r="B543" s="274" t="s">
        <v>5454</v>
      </c>
      <c r="C543" s="285"/>
      <c r="D543" s="278">
        <v>100.0</v>
      </c>
    </row>
    <row r="544">
      <c r="A544" s="285"/>
      <c r="B544" s="274" t="s">
        <v>5454</v>
      </c>
      <c r="C544" s="285"/>
      <c r="D544" s="278">
        <v>100.0</v>
      </c>
    </row>
    <row r="545">
      <c r="A545" s="285"/>
      <c r="B545" s="274" t="s">
        <v>5455</v>
      </c>
      <c r="C545" s="285"/>
      <c r="D545" s="278">
        <v>100.0</v>
      </c>
    </row>
    <row r="546">
      <c r="A546" s="285"/>
      <c r="B546" s="274" t="s">
        <v>5455</v>
      </c>
      <c r="C546" s="285"/>
      <c r="D546" s="278">
        <v>100.0</v>
      </c>
    </row>
    <row r="547">
      <c r="A547" s="285"/>
      <c r="B547" s="274" t="s">
        <v>5455</v>
      </c>
      <c r="C547" s="285"/>
      <c r="D547" s="278">
        <v>100.0</v>
      </c>
    </row>
    <row r="548">
      <c r="A548" s="285"/>
      <c r="B548" s="274" t="s">
        <v>5455</v>
      </c>
      <c r="C548" s="285"/>
      <c r="D548" s="278">
        <v>100.0</v>
      </c>
    </row>
    <row r="549">
      <c r="A549" s="285"/>
      <c r="B549" s="274" t="s">
        <v>5456</v>
      </c>
      <c r="C549" s="285"/>
      <c r="D549" s="278">
        <v>110.0</v>
      </c>
    </row>
    <row r="550">
      <c r="A550" s="285"/>
      <c r="B550" s="274" t="s">
        <v>5456</v>
      </c>
      <c r="C550" s="285"/>
      <c r="D550" s="278">
        <v>110.0</v>
      </c>
    </row>
    <row r="551">
      <c r="A551" s="285"/>
      <c r="B551" s="274" t="s">
        <v>5456</v>
      </c>
      <c r="C551" s="285"/>
      <c r="D551" s="278">
        <v>110.0</v>
      </c>
    </row>
    <row r="552">
      <c r="A552" s="285"/>
      <c r="B552" s="274" t="s">
        <v>5456</v>
      </c>
      <c r="C552" s="285"/>
      <c r="D552" s="278">
        <v>110.0</v>
      </c>
    </row>
    <row r="553">
      <c r="A553" s="285"/>
      <c r="B553" s="274" t="s">
        <v>5463</v>
      </c>
      <c r="C553" s="285"/>
      <c r="D553" s="278">
        <v>110.0</v>
      </c>
    </row>
    <row r="554">
      <c r="A554" s="285"/>
      <c r="B554" s="274" t="s">
        <v>5463</v>
      </c>
      <c r="C554" s="285"/>
      <c r="D554" s="278">
        <v>110.0</v>
      </c>
    </row>
    <row r="555">
      <c r="A555" s="285"/>
      <c r="B555" s="274" t="s">
        <v>5463</v>
      </c>
      <c r="C555" s="285"/>
      <c r="D555" s="278">
        <v>110.0</v>
      </c>
    </row>
    <row r="556">
      <c r="A556" s="285"/>
      <c r="B556" s="274" t="s">
        <v>5463</v>
      </c>
      <c r="C556" s="285"/>
      <c r="D556" s="278">
        <v>110.0</v>
      </c>
    </row>
    <row r="557">
      <c r="A557" s="285"/>
      <c r="B557" s="274" t="s">
        <v>5465</v>
      </c>
      <c r="C557" s="285"/>
      <c r="D557" s="278">
        <v>110.0</v>
      </c>
    </row>
    <row r="558">
      <c r="A558" s="285"/>
      <c r="B558" s="274" t="s">
        <v>5465</v>
      </c>
      <c r="C558" s="285"/>
      <c r="D558" s="278">
        <v>110.0</v>
      </c>
    </row>
    <row r="559">
      <c r="A559" s="285"/>
      <c r="B559" s="274" t="s">
        <v>5465</v>
      </c>
      <c r="C559" s="285"/>
      <c r="D559" s="278">
        <v>110.0</v>
      </c>
    </row>
    <row r="560">
      <c r="A560" s="285"/>
      <c r="B560" s="274" t="s">
        <v>5465</v>
      </c>
      <c r="C560" s="285"/>
      <c r="D560" s="278">
        <v>110.0</v>
      </c>
    </row>
    <row r="561">
      <c r="A561" s="285"/>
      <c r="B561" s="274" t="s">
        <v>5467</v>
      </c>
      <c r="C561" s="285"/>
      <c r="D561" s="278">
        <v>110.0</v>
      </c>
    </row>
    <row r="562">
      <c r="A562" s="285"/>
      <c r="B562" s="274" t="s">
        <v>5467</v>
      </c>
      <c r="C562" s="285"/>
      <c r="D562" s="278">
        <v>110.0</v>
      </c>
    </row>
    <row r="563">
      <c r="A563" s="285"/>
      <c r="B563" s="274" t="s">
        <v>5467</v>
      </c>
      <c r="C563" s="285"/>
      <c r="D563" s="278">
        <v>110.0</v>
      </c>
    </row>
    <row r="564">
      <c r="A564" s="285"/>
      <c r="B564" s="274" t="s">
        <v>5467</v>
      </c>
      <c r="C564" s="285"/>
      <c r="D564" s="278">
        <v>110.0</v>
      </c>
    </row>
    <row r="565">
      <c r="A565" s="285"/>
      <c r="B565" s="274" t="s">
        <v>5469</v>
      </c>
      <c r="C565" s="285"/>
      <c r="D565" s="278">
        <v>110.0</v>
      </c>
    </row>
    <row r="566">
      <c r="A566" s="285"/>
      <c r="B566" s="274" t="s">
        <v>5469</v>
      </c>
      <c r="C566" s="285"/>
      <c r="D566" s="278">
        <v>110.0</v>
      </c>
    </row>
    <row r="567">
      <c r="A567" s="285"/>
      <c r="B567" s="274" t="s">
        <v>5469</v>
      </c>
      <c r="C567" s="285"/>
      <c r="D567" s="278">
        <v>110.0</v>
      </c>
    </row>
    <row r="568">
      <c r="A568" s="285"/>
      <c r="B568" s="274" t="s">
        <v>5469</v>
      </c>
      <c r="C568" s="285"/>
      <c r="D568" s="278">
        <v>110.0</v>
      </c>
    </row>
    <row r="569">
      <c r="A569" s="285"/>
      <c r="B569" s="274" t="s">
        <v>5476</v>
      </c>
      <c r="C569" s="285"/>
      <c r="D569" s="278">
        <v>110.0</v>
      </c>
    </row>
    <row r="570">
      <c r="A570" s="285"/>
      <c r="B570" s="274" t="s">
        <v>5476</v>
      </c>
      <c r="C570" s="285"/>
      <c r="D570" s="278">
        <v>110.0</v>
      </c>
    </row>
    <row r="571">
      <c r="A571" s="285"/>
      <c r="B571" s="274" t="s">
        <v>5476</v>
      </c>
      <c r="C571" s="285"/>
      <c r="D571" s="278">
        <v>110.0</v>
      </c>
    </row>
    <row r="572">
      <c r="A572" s="285"/>
      <c r="B572" s="274" t="s">
        <v>5476</v>
      </c>
      <c r="C572" s="285"/>
      <c r="D572" s="278">
        <v>110.0</v>
      </c>
    </row>
    <row r="573">
      <c r="A573" s="285"/>
      <c r="B573" s="274" t="s">
        <v>5477</v>
      </c>
      <c r="C573" s="285"/>
      <c r="D573" s="278">
        <v>130.0</v>
      </c>
    </row>
    <row r="574">
      <c r="A574" s="285"/>
      <c r="B574" s="274" t="s">
        <v>5477</v>
      </c>
      <c r="C574" s="285"/>
      <c r="D574" s="278">
        <v>130.0</v>
      </c>
    </row>
    <row r="575">
      <c r="A575" s="285"/>
      <c r="B575" s="274" t="s">
        <v>5477</v>
      </c>
      <c r="C575" s="285"/>
      <c r="D575" s="278">
        <v>130.0</v>
      </c>
    </row>
    <row r="576">
      <c r="A576" s="285"/>
      <c r="B576" s="274" t="s">
        <v>5477</v>
      </c>
      <c r="C576" s="285"/>
      <c r="D576" s="278">
        <v>130.0</v>
      </c>
    </row>
    <row r="577">
      <c r="A577" s="285"/>
      <c r="B577" s="274" t="s">
        <v>5481</v>
      </c>
      <c r="C577" s="285"/>
      <c r="D577" s="278">
        <v>130.0</v>
      </c>
    </row>
    <row r="578">
      <c r="A578" s="285"/>
      <c r="B578" s="274" t="s">
        <v>5481</v>
      </c>
      <c r="C578" s="285"/>
      <c r="D578" s="278">
        <v>130.0</v>
      </c>
    </row>
    <row r="579">
      <c r="A579" s="285"/>
      <c r="B579" s="274" t="s">
        <v>5481</v>
      </c>
      <c r="C579" s="285"/>
      <c r="D579" s="278">
        <v>130.0</v>
      </c>
    </row>
    <row r="580">
      <c r="A580" s="285"/>
      <c r="B580" s="274" t="s">
        <v>5481</v>
      </c>
      <c r="C580" s="285"/>
      <c r="D580" s="278">
        <v>130.0</v>
      </c>
    </row>
    <row r="581">
      <c r="A581" s="285"/>
      <c r="B581" s="274" t="s">
        <v>5486</v>
      </c>
      <c r="C581" s="285"/>
      <c r="D581" s="278">
        <v>130.0</v>
      </c>
    </row>
    <row r="582">
      <c r="A582" s="285"/>
      <c r="B582" s="274" t="s">
        <v>5486</v>
      </c>
      <c r="C582" s="285"/>
      <c r="D582" s="278">
        <v>130.0</v>
      </c>
    </row>
    <row r="583">
      <c r="A583" s="285"/>
      <c r="B583" s="274" t="s">
        <v>5486</v>
      </c>
      <c r="C583" s="285"/>
      <c r="D583" s="278">
        <v>130.0</v>
      </c>
    </row>
    <row r="584">
      <c r="A584" s="285"/>
      <c r="B584" s="274" t="s">
        <v>5486</v>
      </c>
      <c r="C584" s="285"/>
      <c r="D584" s="278">
        <v>130.0</v>
      </c>
    </row>
    <row r="585">
      <c r="A585" s="285"/>
      <c r="B585" s="274" t="s">
        <v>5487</v>
      </c>
      <c r="C585" s="285"/>
      <c r="D585" s="278">
        <v>130.0</v>
      </c>
    </row>
    <row r="586">
      <c r="A586" s="285"/>
      <c r="B586" s="274" t="s">
        <v>5487</v>
      </c>
      <c r="C586" s="285"/>
      <c r="D586" s="278">
        <v>130.0</v>
      </c>
    </row>
    <row r="587">
      <c r="A587" s="285"/>
      <c r="B587" s="274" t="s">
        <v>5487</v>
      </c>
      <c r="C587" s="285"/>
      <c r="D587" s="278">
        <v>130.0</v>
      </c>
    </row>
    <row r="588">
      <c r="A588" s="285"/>
      <c r="B588" s="274" t="s">
        <v>5487</v>
      </c>
      <c r="C588" s="285"/>
      <c r="D588" s="278">
        <v>130.0</v>
      </c>
    </row>
    <row r="589">
      <c r="A589" s="285"/>
      <c r="B589" s="274" t="s">
        <v>5489</v>
      </c>
      <c r="C589" s="285"/>
      <c r="D589" s="278">
        <v>130.0</v>
      </c>
    </row>
    <row r="590">
      <c r="A590" s="285"/>
      <c r="B590" s="274" t="s">
        <v>5489</v>
      </c>
      <c r="C590" s="285"/>
      <c r="D590" s="278">
        <v>130.0</v>
      </c>
    </row>
    <row r="591">
      <c r="A591" s="285"/>
      <c r="B591" s="274" t="s">
        <v>5489</v>
      </c>
      <c r="C591" s="285"/>
      <c r="D591" s="278">
        <v>130.0</v>
      </c>
    </row>
    <row r="592">
      <c r="A592" s="285"/>
      <c r="B592" s="274" t="s">
        <v>5489</v>
      </c>
      <c r="C592" s="285"/>
      <c r="D592" s="278">
        <v>130.0</v>
      </c>
    </row>
    <row r="593">
      <c r="A593" s="285"/>
      <c r="B593" s="274" t="s">
        <v>5490</v>
      </c>
      <c r="C593" s="285"/>
      <c r="D593" s="278">
        <v>130.0</v>
      </c>
    </row>
    <row r="594">
      <c r="A594" s="285"/>
      <c r="B594" s="274" t="s">
        <v>5490</v>
      </c>
      <c r="C594" s="285"/>
      <c r="D594" s="278">
        <v>130.0</v>
      </c>
    </row>
    <row r="595">
      <c r="A595" s="285"/>
      <c r="B595" s="274" t="s">
        <v>5490</v>
      </c>
      <c r="C595" s="285"/>
      <c r="D595" s="278">
        <v>130.0</v>
      </c>
    </row>
    <row r="596">
      <c r="A596" s="285"/>
      <c r="B596" s="274" t="s">
        <v>5490</v>
      </c>
      <c r="C596" s="285"/>
      <c r="D596" s="278">
        <v>130.0</v>
      </c>
    </row>
    <row r="597">
      <c r="A597" s="285"/>
      <c r="B597" s="274" t="s">
        <v>5491</v>
      </c>
      <c r="C597" s="285"/>
      <c r="D597" s="278">
        <v>280.0</v>
      </c>
    </row>
    <row r="598">
      <c r="A598" s="285"/>
      <c r="B598" s="274" t="s">
        <v>5491</v>
      </c>
      <c r="C598" s="285"/>
      <c r="D598" s="278">
        <v>280.0</v>
      </c>
    </row>
    <row r="599">
      <c r="A599" s="285"/>
      <c r="B599" s="274" t="s">
        <v>5491</v>
      </c>
      <c r="C599" s="285"/>
      <c r="D599" s="278">
        <v>280.0</v>
      </c>
    </row>
    <row r="600">
      <c r="A600" s="285"/>
      <c r="B600" s="274" t="s">
        <v>5491</v>
      </c>
      <c r="C600" s="285"/>
      <c r="D600" s="278">
        <v>280.0</v>
      </c>
    </row>
    <row r="601">
      <c r="A601" s="285"/>
      <c r="B601" s="274" t="s">
        <v>146</v>
      </c>
      <c r="C601" s="285"/>
      <c r="D601" s="278">
        <v>100.0</v>
      </c>
    </row>
    <row r="602">
      <c r="A602" s="285"/>
      <c r="B602" s="274" t="s">
        <v>146</v>
      </c>
      <c r="C602" s="285"/>
      <c r="D602" s="278">
        <v>100.0</v>
      </c>
    </row>
    <row r="603">
      <c r="A603" s="285"/>
      <c r="B603" s="274" t="s">
        <v>146</v>
      </c>
      <c r="C603" s="285"/>
      <c r="D603" s="278">
        <v>100.0</v>
      </c>
    </row>
    <row r="604">
      <c r="A604" s="285"/>
      <c r="B604" s="274" t="s">
        <v>146</v>
      </c>
      <c r="C604" s="285"/>
      <c r="D604" s="278">
        <v>100.0</v>
      </c>
    </row>
    <row r="605">
      <c r="A605" s="285"/>
      <c r="B605" s="274" t="s">
        <v>147</v>
      </c>
      <c r="C605" s="285"/>
      <c r="D605" s="278">
        <v>200.0</v>
      </c>
    </row>
    <row r="606">
      <c r="A606" s="285"/>
      <c r="B606" s="274" t="s">
        <v>147</v>
      </c>
      <c r="C606" s="285"/>
      <c r="D606" s="278">
        <v>200.0</v>
      </c>
    </row>
    <row r="607">
      <c r="A607" s="285"/>
      <c r="B607" s="274" t="s">
        <v>147</v>
      </c>
      <c r="C607" s="285"/>
      <c r="D607" s="278">
        <v>200.0</v>
      </c>
    </row>
    <row r="608">
      <c r="A608" s="285"/>
      <c r="B608" s="274" t="s">
        <v>147</v>
      </c>
      <c r="C608" s="285"/>
      <c r="D608" s="278">
        <v>200.0</v>
      </c>
    </row>
    <row r="609">
      <c r="A609" s="287"/>
      <c r="B609" s="287" t="s">
        <v>5500</v>
      </c>
      <c r="C609" s="31"/>
      <c r="D609" s="278">
        <v>100.0</v>
      </c>
    </row>
    <row r="610">
      <c r="A610" s="287"/>
      <c r="B610" s="287" t="s">
        <v>5501</v>
      </c>
      <c r="C610" s="31"/>
      <c r="D610" s="278">
        <v>100.0</v>
      </c>
    </row>
    <row r="611">
      <c r="A611" s="287"/>
      <c r="B611" s="287" t="s">
        <v>5502</v>
      </c>
      <c r="C611" s="31"/>
      <c r="D611" s="278">
        <v>100.0</v>
      </c>
    </row>
    <row r="612">
      <c r="A612" s="287"/>
      <c r="B612" s="287" t="s">
        <v>5503</v>
      </c>
      <c r="C612" s="31"/>
      <c r="D612" s="278">
        <v>100.0</v>
      </c>
    </row>
    <row r="613">
      <c r="A613" s="287"/>
      <c r="B613" s="287" t="s">
        <v>5504</v>
      </c>
      <c r="C613" s="31"/>
      <c r="D613" s="278">
        <v>110.0</v>
      </c>
    </row>
    <row r="614">
      <c r="A614" s="287"/>
      <c r="B614" s="287" t="s">
        <v>5505</v>
      </c>
      <c r="C614" s="31"/>
      <c r="D614" s="278">
        <v>110.0</v>
      </c>
    </row>
    <row r="615">
      <c r="A615" s="287"/>
      <c r="B615" s="287" t="s">
        <v>5507</v>
      </c>
      <c r="C615" s="31"/>
      <c r="D615" s="278">
        <v>130.0</v>
      </c>
    </row>
    <row r="616">
      <c r="A616" s="287"/>
      <c r="B616" s="287" t="s">
        <v>5510</v>
      </c>
      <c r="C616" s="31"/>
      <c r="D616" s="278">
        <v>130.0</v>
      </c>
    </row>
    <row r="617">
      <c r="A617" s="285"/>
      <c r="B617" s="285" t="s">
        <v>94</v>
      </c>
      <c r="C617" s="285"/>
      <c r="D617" s="288">
        <v>111.0</v>
      </c>
    </row>
    <row r="618">
      <c r="A618" s="274"/>
      <c r="B618" s="285" t="s">
        <v>98</v>
      </c>
      <c r="C618" s="285"/>
      <c r="D618" s="288">
        <v>111.0</v>
      </c>
    </row>
    <row r="619">
      <c r="A619" s="274"/>
      <c r="B619" s="274" t="s">
        <v>99</v>
      </c>
      <c r="C619" s="285"/>
      <c r="D619" s="288">
        <v>75.0</v>
      </c>
    </row>
    <row r="620">
      <c r="A620" s="274"/>
      <c r="B620" s="274" t="s">
        <v>102</v>
      </c>
      <c r="C620" s="285"/>
      <c r="D620" s="288">
        <v>75.0</v>
      </c>
    </row>
    <row r="621">
      <c r="A621" s="274"/>
      <c r="B621" s="285" t="s">
        <v>110</v>
      </c>
      <c r="C621" s="285"/>
      <c r="D621" s="288">
        <v>105.0</v>
      </c>
    </row>
    <row r="622">
      <c r="A622" s="274"/>
      <c r="B622" s="285" t="s">
        <v>111</v>
      </c>
      <c r="C622" s="285"/>
      <c r="D622" s="288">
        <v>105.0</v>
      </c>
    </row>
    <row r="623">
      <c r="A623" s="274"/>
      <c r="B623" s="285" t="s">
        <v>113</v>
      </c>
      <c r="C623" s="285"/>
      <c r="D623" s="289">
        <v>96.0</v>
      </c>
    </row>
    <row r="624">
      <c r="A624" s="274"/>
      <c r="B624" s="285" t="s">
        <v>115</v>
      </c>
      <c r="C624" s="285"/>
      <c r="D624" s="289">
        <v>96.0</v>
      </c>
    </row>
    <row r="625">
      <c r="A625" s="274"/>
      <c r="B625" s="285" t="s">
        <v>117</v>
      </c>
      <c r="C625" s="285"/>
      <c r="D625" s="290">
        <v>88.0</v>
      </c>
    </row>
    <row r="626">
      <c r="A626" s="274"/>
      <c r="B626" s="285" t="s">
        <v>126</v>
      </c>
      <c r="C626" s="285"/>
      <c r="D626" s="290">
        <v>88.0</v>
      </c>
    </row>
    <row r="627">
      <c r="A627" s="274"/>
      <c r="B627" s="285" t="s">
        <v>127</v>
      </c>
      <c r="C627" s="285"/>
      <c r="D627" s="290">
        <v>88.0</v>
      </c>
    </row>
    <row r="628">
      <c r="A628" s="274"/>
      <c r="B628" s="285" t="s">
        <v>130</v>
      </c>
      <c r="C628" s="285"/>
      <c r="D628" s="290">
        <v>88.0</v>
      </c>
    </row>
    <row r="629">
      <c r="A629" s="274"/>
      <c r="B629" s="7" t="s">
        <v>5525</v>
      </c>
      <c r="C629" s="285"/>
      <c r="D629" s="274">
        <v>210.0</v>
      </c>
    </row>
    <row r="630">
      <c r="A630" s="274"/>
      <c r="B630" s="7" t="s">
        <v>5527</v>
      </c>
      <c r="C630" s="285"/>
      <c r="D630" s="274">
        <v>210.0</v>
      </c>
    </row>
    <row r="631">
      <c r="A631" s="274"/>
      <c r="B631" s="128" t="s">
        <v>90</v>
      </c>
      <c r="C631" s="285"/>
      <c r="D631" s="274">
        <v>90.0</v>
      </c>
    </row>
    <row r="632">
      <c r="A632" s="274"/>
      <c r="B632" s="7" t="s">
        <v>92</v>
      </c>
      <c r="C632" s="285"/>
      <c r="D632" s="274">
        <v>90.0</v>
      </c>
    </row>
    <row r="633">
      <c r="A633" s="274"/>
      <c r="B633" s="7" t="s">
        <v>82</v>
      </c>
      <c r="C633" s="285"/>
      <c r="D633" s="274">
        <v>90.0</v>
      </c>
    </row>
    <row r="634">
      <c r="A634" s="274"/>
      <c r="B634" s="7" t="s">
        <v>85</v>
      </c>
      <c r="C634" s="285"/>
      <c r="D634" s="274">
        <v>90.0</v>
      </c>
    </row>
    <row r="635">
      <c r="A635" s="274"/>
      <c r="B635" s="7" t="s">
        <v>86</v>
      </c>
      <c r="C635" s="285"/>
      <c r="D635" s="274">
        <v>90.0</v>
      </c>
    </row>
    <row r="636">
      <c r="A636" s="274"/>
      <c r="B636" s="7" t="s">
        <v>88</v>
      </c>
      <c r="C636" s="285"/>
      <c r="D636" s="274">
        <v>90.0</v>
      </c>
    </row>
    <row r="637">
      <c r="A637" s="274"/>
      <c r="B637" s="1" t="s">
        <v>5531</v>
      </c>
      <c r="C637" s="285"/>
      <c r="D637" s="274">
        <v>270.0</v>
      </c>
    </row>
    <row r="638">
      <c r="A638" s="274"/>
      <c r="B638" s="285" t="s">
        <v>42</v>
      </c>
      <c r="C638" s="285"/>
      <c r="D638" s="274">
        <v>90.0</v>
      </c>
    </row>
    <row r="639">
      <c r="A639" s="3"/>
      <c r="B639" s="285" t="s">
        <v>43</v>
      </c>
      <c r="C639" s="285"/>
      <c r="D639" s="274">
        <v>90.0</v>
      </c>
    </row>
    <row r="640">
      <c r="A640" s="3"/>
      <c r="B640" s="285" t="s">
        <v>44</v>
      </c>
      <c r="C640" s="285"/>
      <c r="D640" s="274">
        <v>90.0</v>
      </c>
    </row>
    <row r="641">
      <c r="A641" s="3"/>
      <c r="B641" s="285" t="s">
        <v>46</v>
      </c>
      <c r="C641" s="285"/>
      <c r="D641" s="274">
        <v>90.0</v>
      </c>
    </row>
    <row r="642">
      <c r="A642" s="3"/>
      <c r="B642" s="285" t="s">
        <v>47</v>
      </c>
      <c r="C642" s="285"/>
      <c r="D642" s="274">
        <v>90.0</v>
      </c>
    </row>
    <row r="643">
      <c r="A643" s="3"/>
      <c r="B643" s="285" t="s">
        <v>49</v>
      </c>
      <c r="C643" s="285"/>
      <c r="D643" s="274">
        <v>90.0</v>
      </c>
    </row>
    <row r="644">
      <c r="A644" s="3"/>
      <c r="B644" s="285" t="s">
        <v>131</v>
      </c>
      <c r="C644" s="285"/>
      <c r="D644" s="274">
        <v>90.0</v>
      </c>
    </row>
    <row r="645">
      <c r="A645" s="3"/>
      <c r="B645" s="285" t="s">
        <v>132</v>
      </c>
      <c r="C645" s="285"/>
      <c r="D645" s="274">
        <v>90.0</v>
      </c>
    </row>
    <row r="646">
      <c r="A646" s="3"/>
      <c r="B646" s="291" t="s">
        <v>68</v>
      </c>
      <c r="C646" s="285"/>
      <c r="D646" s="274">
        <v>85.0</v>
      </c>
    </row>
    <row r="647">
      <c r="A647" s="3"/>
      <c r="B647" s="291" t="s">
        <v>71</v>
      </c>
      <c r="C647" s="285"/>
      <c r="D647" s="274">
        <v>85.0</v>
      </c>
    </row>
    <row r="648">
      <c r="A648" s="3"/>
      <c r="B648" s="291" t="s">
        <v>75</v>
      </c>
      <c r="C648" s="285"/>
      <c r="D648" s="274">
        <v>170.0</v>
      </c>
    </row>
    <row r="649">
      <c r="A649" s="3"/>
      <c r="B649" s="3" t="s">
        <v>78</v>
      </c>
      <c r="C649" s="285"/>
      <c r="D649" s="274">
        <v>170.0</v>
      </c>
    </row>
    <row r="650">
      <c r="A650" s="3"/>
      <c r="B650" s="15" t="s">
        <v>5543</v>
      </c>
      <c r="C650" s="285"/>
      <c r="D650" s="274">
        <v>130.0</v>
      </c>
    </row>
    <row r="651">
      <c r="A651" s="3"/>
      <c r="B651" s="1" t="s">
        <v>552</v>
      </c>
      <c r="C651" s="285"/>
      <c r="D651" s="274">
        <v>130.0</v>
      </c>
    </row>
    <row r="652">
      <c r="A652" s="3"/>
      <c r="B652" s="129" t="s">
        <v>5544</v>
      </c>
      <c r="C652" s="285"/>
      <c r="D652" s="274">
        <v>210.0</v>
      </c>
    </row>
    <row r="653">
      <c r="A653" s="3"/>
      <c r="B653" s="274" t="s">
        <v>5545</v>
      </c>
      <c r="C653" s="285"/>
      <c r="D653" s="3">
        <v>210.0</v>
      </c>
    </row>
    <row r="654">
      <c r="A654" s="3"/>
      <c r="B654" s="274" t="s">
        <v>5546</v>
      </c>
      <c r="C654" s="285"/>
      <c r="D654" s="3">
        <v>210.0</v>
      </c>
    </row>
    <row r="655">
      <c r="A655" s="120"/>
      <c r="B655" s="7" t="s">
        <v>154</v>
      </c>
      <c r="C655" s="95"/>
      <c r="D655" s="109">
        <v>470.0</v>
      </c>
    </row>
    <row r="656">
      <c r="A656" s="3"/>
      <c r="B656" s="7" t="s">
        <v>148</v>
      </c>
      <c r="C656" s="285"/>
      <c r="D656" s="274">
        <v>180.0</v>
      </c>
    </row>
    <row r="657">
      <c r="A657" s="120" t="s">
        <v>5547</v>
      </c>
      <c r="B657" s="7" t="s">
        <v>5548</v>
      </c>
      <c r="C657" s="133"/>
      <c r="D657" s="292">
        <v>310.0</v>
      </c>
      <c r="I657" s="7"/>
    </row>
    <row r="658">
      <c r="A658" s="293" t="s">
        <v>5549</v>
      </c>
      <c r="B658" s="129" t="s">
        <v>5550</v>
      </c>
      <c r="C658" s="95"/>
      <c r="D658" s="83">
        <v>310.0</v>
      </c>
      <c r="I658" s="7"/>
    </row>
    <row r="659">
      <c r="A659" s="120" t="s">
        <v>5552</v>
      </c>
      <c r="B659" s="7" t="s">
        <v>5553</v>
      </c>
      <c r="C659" s="133"/>
      <c r="D659" s="292">
        <v>310.0</v>
      </c>
      <c r="I659" s="7"/>
    </row>
    <row r="660">
      <c r="A660" s="120" t="s">
        <v>5554</v>
      </c>
      <c r="B660" s="7" t="s">
        <v>5555</v>
      </c>
      <c r="C660" s="95"/>
      <c r="D660" s="109">
        <v>300.0</v>
      </c>
      <c r="I660" s="7"/>
    </row>
    <row r="661">
      <c r="A661" s="3"/>
      <c r="B661" s="128" t="s">
        <v>5556</v>
      </c>
      <c r="C661" s="285"/>
      <c r="D661" s="274">
        <v>165.0</v>
      </c>
      <c r="I661" s="7"/>
    </row>
    <row r="662">
      <c r="A662" s="3"/>
      <c r="B662" s="7" t="s">
        <v>5557</v>
      </c>
      <c r="C662" s="285"/>
      <c r="D662" s="274">
        <v>165.0</v>
      </c>
      <c r="I662" s="7"/>
    </row>
    <row r="663">
      <c r="A663" s="3"/>
      <c r="B663" s="7" t="s">
        <v>149</v>
      </c>
      <c r="C663" s="285"/>
      <c r="D663" s="274">
        <v>80.0</v>
      </c>
      <c r="I663" s="7"/>
    </row>
    <row r="664">
      <c r="A664" s="3"/>
      <c r="B664" s="274" t="s">
        <v>5558</v>
      </c>
      <c r="C664" s="285"/>
      <c r="D664" s="274">
        <v>90.0</v>
      </c>
      <c r="I664" s="7"/>
    </row>
    <row r="665">
      <c r="A665" s="274"/>
      <c r="B665" s="129" t="s">
        <v>133</v>
      </c>
      <c r="C665" s="285"/>
      <c r="D665" s="274">
        <v>90.0</v>
      </c>
      <c r="I665" s="7"/>
    </row>
    <row r="666">
      <c r="A666" s="285"/>
      <c r="B666" s="7" t="s">
        <v>134</v>
      </c>
      <c r="C666" s="285"/>
      <c r="D666" s="274">
        <v>75.0</v>
      </c>
      <c r="I666" s="7"/>
    </row>
    <row r="667">
      <c r="A667" s="285"/>
      <c r="B667" s="7" t="s">
        <v>136</v>
      </c>
      <c r="C667" s="285"/>
      <c r="D667" s="274">
        <v>75.0</v>
      </c>
      <c r="I667" s="7"/>
    </row>
    <row r="668">
      <c r="A668" s="285"/>
      <c r="B668" s="285" t="s">
        <v>138</v>
      </c>
      <c r="C668" s="285"/>
      <c r="D668" s="274">
        <v>90.0</v>
      </c>
      <c r="I668" s="7"/>
    </row>
    <row r="669">
      <c r="A669" s="285"/>
      <c r="B669" s="285" t="s">
        <v>139</v>
      </c>
      <c r="C669" s="285"/>
      <c r="D669" s="274">
        <v>90.0</v>
      </c>
      <c r="I669" s="7"/>
    </row>
    <row r="670">
      <c r="A670" s="285"/>
      <c r="B670" s="7" t="s">
        <v>5566</v>
      </c>
      <c r="C670" s="285"/>
      <c r="D670" s="274">
        <v>710.0</v>
      </c>
      <c r="I670" s="7"/>
    </row>
    <row r="671">
      <c r="A671" s="285"/>
      <c r="B671" s="15" t="s">
        <v>150</v>
      </c>
      <c r="C671" s="285"/>
      <c r="D671" s="274">
        <v>300.0</v>
      </c>
      <c r="I671" s="7"/>
    </row>
    <row r="672">
      <c r="A672" s="285"/>
      <c r="B672" s="1" t="s">
        <v>151</v>
      </c>
      <c r="C672" s="285"/>
      <c r="D672" s="274">
        <v>300.0</v>
      </c>
      <c r="I672" s="7"/>
    </row>
    <row r="673">
      <c r="A673" s="285"/>
      <c r="B673" s="7" t="s">
        <v>120</v>
      </c>
      <c r="C673" s="285"/>
      <c r="D673" s="274">
        <v>90.0</v>
      </c>
      <c r="I673" s="7"/>
    </row>
    <row r="674">
      <c r="A674" s="285"/>
      <c r="B674" s="7" t="s">
        <v>123</v>
      </c>
      <c r="C674" s="285"/>
      <c r="D674" s="274">
        <v>90.0</v>
      </c>
      <c r="I674" s="7"/>
    </row>
    <row r="675">
      <c r="A675" s="285"/>
      <c r="B675" s="7" t="s">
        <v>125</v>
      </c>
      <c r="C675" s="285"/>
      <c r="D675" s="274">
        <v>80.0</v>
      </c>
      <c r="I675" s="7"/>
    </row>
    <row r="676">
      <c r="A676" s="285"/>
      <c r="B676" s="7" t="s">
        <v>128</v>
      </c>
      <c r="C676" s="285"/>
      <c r="D676" s="274">
        <v>90.0</v>
      </c>
      <c r="I676" s="7"/>
    </row>
    <row r="677">
      <c r="A677" s="285"/>
      <c r="B677" s="7" t="s">
        <v>129</v>
      </c>
      <c r="C677" s="285"/>
      <c r="D677" s="274">
        <v>90.0</v>
      </c>
      <c r="I677" s="7"/>
    </row>
    <row r="678">
      <c r="A678" s="285"/>
      <c r="B678" s="7" t="s">
        <v>2625</v>
      </c>
      <c r="C678" s="285"/>
      <c r="D678" s="274">
        <v>1200.0</v>
      </c>
      <c r="I678" s="7"/>
    </row>
    <row r="679">
      <c r="A679" s="285"/>
      <c r="B679" s="7" t="s">
        <v>2618</v>
      </c>
      <c r="C679" s="285"/>
      <c r="D679" s="274">
        <v>1200.0</v>
      </c>
      <c r="I679" s="7"/>
    </row>
    <row r="680">
      <c r="A680" s="285"/>
      <c r="B680" s="7" t="s">
        <v>104</v>
      </c>
      <c r="C680" s="285"/>
      <c r="D680" s="274">
        <v>90.0</v>
      </c>
      <c r="I680" s="7"/>
    </row>
    <row r="681">
      <c r="A681" s="285"/>
      <c r="B681" s="7" t="s">
        <v>106</v>
      </c>
      <c r="C681" s="285"/>
      <c r="D681" s="274">
        <v>90.0</v>
      </c>
      <c r="I681" s="7"/>
    </row>
    <row r="682">
      <c r="A682" s="285"/>
      <c r="B682" s="286" t="s">
        <v>140</v>
      </c>
      <c r="C682" s="285"/>
      <c r="D682" s="274">
        <v>90.0</v>
      </c>
      <c r="I682" s="7"/>
    </row>
    <row r="683">
      <c r="A683" s="285"/>
      <c r="B683" s="286" t="s">
        <v>141</v>
      </c>
      <c r="C683" s="285"/>
      <c r="D683" s="274">
        <v>90.0</v>
      </c>
      <c r="I683" s="7"/>
    </row>
    <row r="684">
      <c r="A684" s="285"/>
      <c r="B684" s="286" t="s">
        <v>142</v>
      </c>
      <c r="C684" s="285"/>
      <c r="D684" s="274">
        <v>90.0</v>
      </c>
      <c r="I684" s="7"/>
    </row>
    <row r="685">
      <c r="A685" s="285"/>
      <c r="B685" s="286" t="s">
        <v>143</v>
      </c>
      <c r="C685" s="285"/>
      <c r="D685" s="274">
        <v>90.0</v>
      </c>
      <c r="I685" s="7"/>
    </row>
    <row r="686">
      <c r="A686" s="285"/>
      <c r="B686" s="7" t="s">
        <v>144</v>
      </c>
      <c r="C686" s="285"/>
      <c r="D686" s="274">
        <v>750.0</v>
      </c>
      <c r="I686" s="7"/>
    </row>
    <row r="687">
      <c r="A687" s="285"/>
      <c r="B687" s="7" t="s">
        <v>50</v>
      </c>
      <c r="C687" s="285"/>
      <c r="D687" s="274">
        <v>90.0</v>
      </c>
      <c r="I687" s="7"/>
    </row>
    <row r="688">
      <c r="A688" s="285"/>
      <c r="B688" s="7" t="s">
        <v>51</v>
      </c>
      <c r="C688" s="285"/>
      <c r="D688" s="274">
        <v>90.0</v>
      </c>
      <c r="I688" s="7"/>
    </row>
    <row r="689">
      <c r="A689" s="285"/>
      <c r="B689" s="274" t="s">
        <v>152</v>
      </c>
      <c r="C689" s="285"/>
      <c r="D689" s="274">
        <v>250.0</v>
      </c>
      <c r="I689" s="7"/>
    </row>
    <row r="690">
      <c r="A690" s="285"/>
      <c r="B690" s="274" t="s">
        <v>153</v>
      </c>
      <c r="C690" s="285"/>
      <c r="D690" s="274">
        <v>250.0</v>
      </c>
      <c r="I690" s="7"/>
    </row>
    <row r="691">
      <c r="A691" s="274"/>
      <c r="B691" s="274" t="s">
        <v>145</v>
      </c>
      <c r="C691" s="274"/>
      <c r="D691" s="274">
        <v>1000.0</v>
      </c>
      <c r="I691" s="7"/>
    </row>
    <row r="692">
      <c r="A692" s="285"/>
      <c r="B692" s="285"/>
      <c r="C692" s="285"/>
      <c r="D692" s="285"/>
      <c r="I692" s="7"/>
    </row>
    <row r="693">
      <c r="A693" s="285"/>
      <c r="B693" s="285"/>
      <c r="C693" s="285"/>
      <c r="D693" s="285"/>
      <c r="I693" s="7"/>
    </row>
    <row r="694">
      <c r="A694" s="285"/>
      <c r="B694" s="285"/>
      <c r="C694" s="285"/>
      <c r="D694" s="285"/>
      <c r="I694" s="7"/>
    </row>
    <row r="695">
      <c r="A695" s="285"/>
      <c r="B695" s="285"/>
      <c r="C695" s="285"/>
      <c r="D695" s="285"/>
      <c r="I695" s="7"/>
    </row>
    <row r="696">
      <c r="A696" s="285"/>
      <c r="B696" s="285"/>
      <c r="C696" s="285"/>
      <c r="D696" s="285"/>
      <c r="I696" s="7"/>
    </row>
    <row r="697">
      <c r="A697" s="285"/>
      <c r="B697" s="285"/>
      <c r="C697" s="285"/>
      <c r="D697" s="285"/>
      <c r="I697" s="7"/>
    </row>
    <row r="698">
      <c r="A698" s="285"/>
      <c r="B698" s="285"/>
      <c r="C698" s="285"/>
      <c r="D698" s="285"/>
      <c r="I698" s="7"/>
    </row>
    <row r="699">
      <c r="A699" s="285"/>
      <c r="B699" s="285"/>
      <c r="C699" s="285"/>
      <c r="D699" s="285"/>
    </row>
    <row r="700">
      <c r="A700" s="285"/>
      <c r="B700" s="285"/>
      <c r="C700" s="285"/>
      <c r="D700" s="285"/>
    </row>
    <row r="701">
      <c r="A701" s="285"/>
      <c r="B701" s="285"/>
      <c r="C701" s="285"/>
      <c r="D701" s="285"/>
    </row>
    <row r="702">
      <c r="A702" s="285"/>
      <c r="B702" s="285"/>
      <c r="C702" s="285"/>
      <c r="D702" s="285"/>
    </row>
    <row r="703">
      <c r="A703" s="285"/>
      <c r="B703" s="285"/>
      <c r="C703" s="285"/>
      <c r="D703" s="285"/>
    </row>
    <row r="704">
      <c r="A704" s="285"/>
      <c r="B704" s="285"/>
      <c r="C704" s="285"/>
      <c r="D704" s="285"/>
    </row>
    <row r="705">
      <c r="A705" s="285"/>
      <c r="B705" s="285"/>
      <c r="C705" s="285"/>
      <c r="D705" s="285"/>
    </row>
    <row r="706">
      <c r="A706" s="285"/>
      <c r="B706" s="285"/>
      <c r="C706" s="285"/>
      <c r="D706" s="285"/>
    </row>
    <row r="707">
      <c r="A707" s="285"/>
      <c r="B707" s="285"/>
      <c r="C707" s="285"/>
      <c r="D707" s="285"/>
    </row>
    <row r="708">
      <c r="A708" s="285"/>
      <c r="B708" s="285"/>
      <c r="C708" s="285"/>
      <c r="D708" s="285"/>
    </row>
    <row r="709">
      <c r="A709" s="285"/>
      <c r="B709" s="285"/>
      <c r="C709" s="285"/>
      <c r="D709" s="285"/>
    </row>
    <row r="710">
      <c r="A710" s="285"/>
      <c r="B710" s="285"/>
      <c r="C710" s="285"/>
      <c r="D710" s="285"/>
    </row>
    <row r="711">
      <c r="A711" s="285"/>
      <c r="B711" s="285"/>
      <c r="C711" s="285"/>
      <c r="D711" s="285"/>
    </row>
    <row r="712">
      <c r="A712" s="285"/>
      <c r="B712" s="285"/>
      <c r="C712" s="285"/>
      <c r="D712" s="285"/>
    </row>
    <row r="713">
      <c r="A713" s="285"/>
      <c r="B713" s="285"/>
      <c r="C713" s="285"/>
      <c r="D713" s="285"/>
    </row>
    <row r="714">
      <c r="A714" s="285"/>
      <c r="B714" s="285"/>
      <c r="C714" s="285"/>
      <c r="D714" s="285"/>
    </row>
    <row r="715">
      <c r="A715" s="285"/>
      <c r="B715" s="285"/>
      <c r="C715" s="285"/>
      <c r="D715" s="285"/>
    </row>
    <row r="716">
      <c r="A716" s="285"/>
      <c r="B716" s="285"/>
      <c r="C716" s="285"/>
      <c r="D716" s="285"/>
    </row>
    <row r="717">
      <c r="A717" s="285"/>
      <c r="B717" s="285"/>
      <c r="C717" s="285"/>
      <c r="D717" s="285"/>
    </row>
    <row r="718">
      <c r="A718" s="285"/>
      <c r="B718" s="285"/>
      <c r="C718" s="285"/>
      <c r="D718" s="285"/>
    </row>
    <row r="719">
      <c r="A719" s="285"/>
      <c r="B719" s="285"/>
      <c r="C719" s="285"/>
      <c r="D719" s="285"/>
    </row>
    <row r="720">
      <c r="A720" s="285"/>
      <c r="B720" s="285"/>
      <c r="C720" s="285"/>
      <c r="D720" s="285"/>
    </row>
    <row r="721">
      <c r="A721" s="285"/>
      <c r="B721" s="285"/>
      <c r="C721" s="285"/>
      <c r="D721" s="285"/>
    </row>
    <row r="722">
      <c r="A722" s="285"/>
      <c r="B722" s="285"/>
      <c r="C722" s="285"/>
      <c r="D722" s="285"/>
    </row>
    <row r="723">
      <c r="A723" s="285"/>
      <c r="B723" s="285"/>
      <c r="C723" s="285"/>
      <c r="D723" s="285"/>
    </row>
    <row r="724">
      <c r="A724" s="285"/>
      <c r="B724" s="285"/>
      <c r="C724" s="285"/>
      <c r="D724" s="285"/>
    </row>
    <row r="725">
      <c r="A725" s="285"/>
      <c r="B725" s="285"/>
      <c r="C725" s="285"/>
      <c r="D725" s="285"/>
    </row>
    <row r="726">
      <c r="A726" s="285"/>
      <c r="B726" s="285"/>
      <c r="C726" s="285"/>
      <c r="D726" s="285"/>
    </row>
    <row r="727">
      <c r="A727" s="285"/>
      <c r="B727" s="285"/>
      <c r="C727" s="285"/>
      <c r="D727" s="285"/>
    </row>
    <row r="728">
      <c r="A728" s="285"/>
      <c r="B728" s="285"/>
      <c r="C728" s="285"/>
      <c r="D728" s="285"/>
    </row>
    <row r="729">
      <c r="A729" s="285"/>
      <c r="B729" s="285"/>
      <c r="C729" s="285"/>
      <c r="D729" s="285"/>
    </row>
    <row r="730">
      <c r="A730" s="285"/>
      <c r="B730" s="285"/>
      <c r="C730" s="285"/>
      <c r="D730" s="285"/>
    </row>
    <row r="731">
      <c r="A731" s="285"/>
      <c r="B731" s="285"/>
      <c r="C731" s="285"/>
      <c r="D731" s="285"/>
    </row>
    <row r="732">
      <c r="A732" s="285"/>
      <c r="B732" s="285"/>
      <c r="C732" s="285"/>
      <c r="D732" s="285"/>
    </row>
    <row r="733">
      <c r="A733" s="285"/>
      <c r="B733" s="285"/>
      <c r="C733" s="285"/>
      <c r="D733" s="285"/>
    </row>
    <row r="734">
      <c r="A734" s="285"/>
      <c r="B734" s="285"/>
      <c r="C734" s="285"/>
      <c r="D734" s="285"/>
    </row>
    <row r="735">
      <c r="A735" s="285"/>
      <c r="B735" s="285"/>
      <c r="C735" s="285"/>
      <c r="D735" s="285"/>
    </row>
    <row r="736">
      <c r="A736" s="285"/>
      <c r="B736" s="285"/>
      <c r="C736" s="285"/>
      <c r="D736" s="285"/>
    </row>
    <row r="737">
      <c r="A737" s="285"/>
      <c r="B737" s="285"/>
      <c r="C737" s="285"/>
      <c r="D737" s="285"/>
    </row>
    <row r="738">
      <c r="A738" s="285"/>
      <c r="B738" s="285"/>
      <c r="C738" s="285"/>
      <c r="D738" s="285"/>
    </row>
    <row r="739">
      <c r="A739" s="285"/>
      <c r="B739" s="285"/>
      <c r="C739" s="285"/>
      <c r="D739" s="285"/>
    </row>
    <row r="740">
      <c r="A740" s="285"/>
      <c r="B740" s="285"/>
      <c r="C740" s="285"/>
      <c r="D740" s="285"/>
    </row>
    <row r="741">
      <c r="A741" s="285"/>
      <c r="B741" s="285"/>
      <c r="C741" s="285"/>
      <c r="D741" s="285"/>
    </row>
    <row r="742">
      <c r="A742" s="285"/>
      <c r="B742" s="285"/>
      <c r="C742" s="285"/>
      <c r="D742" s="285"/>
    </row>
    <row r="743">
      <c r="A743" s="285"/>
      <c r="B743" s="285"/>
      <c r="C743" s="285"/>
      <c r="D743" s="285"/>
    </row>
    <row r="744">
      <c r="A744" s="285"/>
      <c r="B744" s="285"/>
      <c r="C744" s="285"/>
      <c r="D744" s="285"/>
    </row>
    <row r="745">
      <c r="A745" s="285"/>
      <c r="B745" s="285"/>
      <c r="C745" s="285"/>
      <c r="D745" s="285"/>
    </row>
    <row r="746">
      <c r="A746" s="285"/>
      <c r="B746" s="285"/>
      <c r="C746" s="285"/>
      <c r="D746" s="285"/>
    </row>
    <row r="747">
      <c r="A747" s="285"/>
      <c r="B747" s="285"/>
      <c r="C747" s="285"/>
      <c r="D747" s="285"/>
    </row>
    <row r="748">
      <c r="A748" s="285"/>
      <c r="B748" s="285"/>
      <c r="C748" s="285"/>
      <c r="D748" s="285"/>
    </row>
    <row r="749">
      <c r="A749" s="285"/>
      <c r="B749" s="285"/>
      <c r="C749" s="285"/>
      <c r="D749" s="285"/>
    </row>
    <row r="750">
      <c r="A750" s="285"/>
      <c r="B750" s="285"/>
      <c r="C750" s="285"/>
      <c r="D750" s="285"/>
    </row>
    <row r="751">
      <c r="A751" s="285"/>
      <c r="B751" s="285"/>
      <c r="C751" s="285"/>
      <c r="D751" s="285"/>
    </row>
    <row r="752">
      <c r="A752" s="285"/>
      <c r="B752" s="285"/>
      <c r="C752" s="285"/>
      <c r="D752" s="285"/>
    </row>
    <row r="753">
      <c r="A753" s="285"/>
      <c r="B753" s="285"/>
      <c r="C753" s="285"/>
      <c r="D753" s="285"/>
    </row>
    <row r="754">
      <c r="A754" s="285"/>
      <c r="B754" s="285"/>
      <c r="C754" s="285"/>
      <c r="D754" s="285"/>
    </row>
    <row r="755">
      <c r="A755" s="285"/>
      <c r="B755" s="285"/>
      <c r="C755" s="285"/>
      <c r="D755" s="285"/>
    </row>
    <row r="756">
      <c r="A756" s="285"/>
      <c r="B756" s="285"/>
      <c r="C756" s="285"/>
      <c r="D756" s="285"/>
    </row>
    <row r="757">
      <c r="A757" s="285"/>
      <c r="B757" s="285"/>
      <c r="C757" s="285"/>
      <c r="D757" s="285"/>
    </row>
    <row r="758">
      <c r="A758" s="285"/>
      <c r="B758" s="285"/>
      <c r="C758" s="285"/>
      <c r="D758" s="285"/>
    </row>
    <row r="759">
      <c r="A759" s="285"/>
      <c r="B759" s="285"/>
      <c r="C759" s="285"/>
      <c r="D759" s="285"/>
    </row>
    <row r="760">
      <c r="A760" s="285"/>
      <c r="B760" s="285"/>
      <c r="C760" s="285"/>
      <c r="D760" s="285"/>
    </row>
    <row r="761">
      <c r="A761" s="285"/>
      <c r="B761" s="285"/>
      <c r="C761" s="285"/>
      <c r="D761" s="285"/>
    </row>
    <row r="762">
      <c r="A762" s="285"/>
      <c r="B762" s="285"/>
      <c r="C762" s="285"/>
      <c r="D762" s="285"/>
    </row>
    <row r="763">
      <c r="A763" s="285"/>
      <c r="B763" s="285"/>
      <c r="C763" s="285"/>
      <c r="D763" s="285"/>
    </row>
    <row r="764">
      <c r="A764" s="285"/>
      <c r="B764" s="285"/>
      <c r="C764" s="285"/>
      <c r="D764" s="285"/>
    </row>
    <row r="765">
      <c r="A765" s="285"/>
      <c r="B765" s="285"/>
      <c r="C765" s="285"/>
      <c r="D765" s="285"/>
    </row>
    <row r="766">
      <c r="A766" s="285"/>
      <c r="B766" s="285"/>
      <c r="C766" s="285"/>
      <c r="D766" s="285"/>
    </row>
    <row r="767">
      <c r="A767" s="285"/>
      <c r="B767" s="285"/>
      <c r="C767" s="285"/>
      <c r="D767" s="285"/>
    </row>
    <row r="768">
      <c r="A768" s="285"/>
      <c r="B768" s="285"/>
      <c r="C768" s="285"/>
      <c r="D768" s="285"/>
    </row>
    <row r="769">
      <c r="A769" s="285"/>
      <c r="B769" s="285"/>
      <c r="C769" s="285"/>
      <c r="D769" s="285"/>
    </row>
    <row r="770">
      <c r="A770" s="285"/>
      <c r="B770" s="285"/>
      <c r="C770" s="285"/>
      <c r="D770" s="285"/>
    </row>
    <row r="771">
      <c r="A771" s="285"/>
      <c r="B771" s="285"/>
      <c r="C771" s="285"/>
      <c r="D771" s="285"/>
    </row>
    <row r="772">
      <c r="A772" s="285"/>
      <c r="B772" s="285"/>
      <c r="C772" s="285"/>
      <c r="D772" s="285"/>
    </row>
    <row r="773">
      <c r="A773" s="285"/>
      <c r="B773" s="285"/>
      <c r="C773" s="285"/>
      <c r="D773" s="285"/>
    </row>
    <row r="774">
      <c r="A774" s="285"/>
      <c r="B774" s="285"/>
      <c r="C774" s="285"/>
      <c r="D774" s="285"/>
    </row>
    <row r="775">
      <c r="A775" s="285"/>
      <c r="B775" s="285"/>
      <c r="C775" s="285"/>
      <c r="D775" s="285"/>
    </row>
    <row r="776">
      <c r="A776" s="285"/>
      <c r="B776" s="285"/>
      <c r="C776" s="285"/>
      <c r="D776" s="285"/>
    </row>
    <row r="777">
      <c r="A777" s="285"/>
      <c r="B777" s="285"/>
      <c r="C777" s="285"/>
      <c r="D777" s="285"/>
    </row>
    <row r="778">
      <c r="A778" s="285"/>
      <c r="B778" s="285"/>
      <c r="C778" s="285"/>
      <c r="D778" s="285"/>
    </row>
    <row r="779">
      <c r="A779" s="285"/>
      <c r="B779" s="285"/>
      <c r="C779" s="285"/>
      <c r="D779" s="285"/>
    </row>
    <row r="780">
      <c r="A780" s="285"/>
      <c r="B780" s="285"/>
      <c r="C780" s="285"/>
      <c r="D780" s="285"/>
    </row>
    <row r="781">
      <c r="A781" s="285"/>
      <c r="B781" s="285"/>
      <c r="C781" s="285"/>
      <c r="D781" s="285"/>
    </row>
    <row r="782">
      <c r="A782" s="285"/>
      <c r="B782" s="285"/>
      <c r="C782" s="285"/>
      <c r="D782" s="285"/>
    </row>
    <row r="783">
      <c r="A783" s="285"/>
      <c r="B783" s="285"/>
      <c r="C783" s="285"/>
      <c r="D783" s="285"/>
    </row>
    <row r="784">
      <c r="A784" s="285"/>
      <c r="B784" s="285"/>
      <c r="C784" s="285"/>
      <c r="D784" s="285"/>
    </row>
    <row r="785">
      <c r="A785" s="285"/>
      <c r="B785" s="285"/>
      <c r="C785" s="285"/>
      <c r="D785" s="285"/>
    </row>
    <row r="786">
      <c r="A786" s="285"/>
      <c r="B786" s="285"/>
      <c r="C786" s="285"/>
      <c r="D786" s="285"/>
    </row>
    <row r="787">
      <c r="A787" s="285"/>
      <c r="B787" s="285"/>
      <c r="C787" s="285"/>
      <c r="D787" s="285"/>
    </row>
    <row r="788">
      <c r="A788" s="285"/>
      <c r="B788" s="285"/>
      <c r="C788" s="285"/>
      <c r="D788" s="285"/>
    </row>
    <row r="789">
      <c r="A789" s="285"/>
      <c r="B789" s="285"/>
      <c r="C789" s="285"/>
      <c r="D789" s="285"/>
    </row>
    <row r="790">
      <c r="A790" s="285"/>
      <c r="B790" s="285"/>
      <c r="C790" s="285"/>
      <c r="D790" s="285"/>
    </row>
    <row r="791">
      <c r="A791" s="285"/>
      <c r="B791" s="285"/>
      <c r="C791" s="285"/>
      <c r="D791" s="285"/>
    </row>
    <row r="792">
      <c r="A792" s="285"/>
      <c r="B792" s="285"/>
      <c r="C792" s="285"/>
      <c r="D792" s="285"/>
    </row>
    <row r="793">
      <c r="A793" s="285"/>
      <c r="B793" s="285"/>
      <c r="C793" s="285"/>
      <c r="D793" s="285"/>
    </row>
    <row r="794">
      <c r="A794" s="285"/>
      <c r="B794" s="285"/>
      <c r="C794" s="285"/>
      <c r="D794" s="285"/>
    </row>
    <row r="795">
      <c r="A795" s="285"/>
      <c r="B795" s="285"/>
      <c r="C795" s="285"/>
      <c r="D795" s="285"/>
    </row>
    <row r="796">
      <c r="A796" s="285"/>
      <c r="B796" s="285"/>
      <c r="C796" s="285"/>
      <c r="D796" s="285"/>
    </row>
    <row r="797">
      <c r="A797" s="285"/>
      <c r="B797" s="285"/>
      <c r="C797" s="285"/>
      <c r="D797" s="285"/>
    </row>
    <row r="798">
      <c r="A798" s="285"/>
      <c r="B798" s="285"/>
      <c r="C798" s="285"/>
      <c r="D798" s="285"/>
    </row>
    <row r="799">
      <c r="A799" s="285"/>
      <c r="B799" s="285"/>
      <c r="C799" s="285"/>
      <c r="D799" s="285"/>
    </row>
    <row r="800">
      <c r="A800" s="285"/>
      <c r="B800" s="285"/>
      <c r="C800" s="285"/>
      <c r="D800" s="285"/>
    </row>
    <row r="801">
      <c r="A801" s="285"/>
      <c r="B801" s="285"/>
      <c r="C801" s="285"/>
      <c r="D801" s="285"/>
    </row>
    <row r="802">
      <c r="A802" s="285"/>
      <c r="B802" s="285"/>
      <c r="C802" s="285"/>
      <c r="D802" s="285"/>
    </row>
    <row r="803">
      <c r="A803" s="285"/>
      <c r="B803" s="285"/>
      <c r="C803" s="285"/>
      <c r="D803" s="285"/>
    </row>
    <row r="804">
      <c r="A804" s="285"/>
      <c r="B804" s="285"/>
      <c r="C804" s="285"/>
      <c r="D804" s="285"/>
    </row>
    <row r="805">
      <c r="A805" s="285"/>
      <c r="B805" s="285"/>
      <c r="C805" s="285"/>
      <c r="D805" s="285"/>
    </row>
    <row r="806">
      <c r="A806" s="285"/>
      <c r="B806" s="285"/>
      <c r="C806" s="285"/>
      <c r="D806" s="285"/>
    </row>
    <row r="807">
      <c r="A807" s="285"/>
      <c r="B807" s="285"/>
      <c r="C807" s="285"/>
      <c r="D807" s="285"/>
    </row>
    <row r="808">
      <c r="A808" s="285"/>
      <c r="B808" s="285"/>
      <c r="C808" s="285"/>
      <c r="D808" s="285"/>
    </row>
    <row r="809">
      <c r="A809" s="285"/>
      <c r="B809" s="285"/>
      <c r="C809" s="285"/>
      <c r="D809" s="285"/>
    </row>
    <row r="810">
      <c r="A810" s="285"/>
      <c r="B810" s="285"/>
      <c r="C810" s="285"/>
      <c r="D810" s="285"/>
    </row>
    <row r="811">
      <c r="A811" s="285"/>
      <c r="B811" s="285"/>
      <c r="C811" s="285"/>
      <c r="D811" s="285"/>
    </row>
    <row r="812">
      <c r="A812" s="285"/>
      <c r="B812" s="285"/>
      <c r="C812" s="285"/>
      <c r="D812" s="285"/>
    </row>
    <row r="813">
      <c r="A813" s="285"/>
      <c r="B813" s="285"/>
      <c r="C813" s="285"/>
      <c r="D813" s="285"/>
    </row>
    <row r="814">
      <c r="A814" s="285"/>
      <c r="B814" s="285"/>
      <c r="C814" s="285"/>
      <c r="D814" s="285"/>
    </row>
    <row r="815">
      <c r="A815" s="285"/>
      <c r="B815" s="285"/>
      <c r="C815" s="285"/>
      <c r="D815" s="285"/>
    </row>
    <row r="816">
      <c r="A816" s="285"/>
      <c r="B816" s="285"/>
      <c r="C816" s="285"/>
      <c r="D816" s="285"/>
    </row>
    <row r="817">
      <c r="A817" s="285"/>
      <c r="B817" s="285"/>
      <c r="C817" s="285"/>
      <c r="D817" s="285"/>
    </row>
    <row r="818">
      <c r="A818" s="285"/>
      <c r="B818" s="285"/>
      <c r="C818" s="285"/>
      <c r="D818" s="285"/>
    </row>
    <row r="819">
      <c r="A819" s="285"/>
      <c r="B819" s="285"/>
      <c r="C819" s="285"/>
      <c r="D819" s="285"/>
    </row>
    <row r="820">
      <c r="A820" s="285"/>
      <c r="B820" s="285"/>
      <c r="C820" s="285"/>
      <c r="D820" s="285"/>
    </row>
    <row r="821">
      <c r="A821" s="285"/>
      <c r="B821" s="285"/>
      <c r="C821" s="285"/>
      <c r="D821" s="285"/>
    </row>
    <row r="822">
      <c r="A822" s="285"/>
      <c r="B822" s="285"/>
      <c r="C822" s="285"/>
      <c r="D822" s="285"/>
    </row>
    <row r="823">
      <c r="A823" s="285"/>
      <c r="B823" s="285"/>
      <c r="C823" s="285"/>
      <c r="D823" s="285"/>
    </row>
    <row r="824">
      <c r="A824" s="285"/>
      <c r="B824" s="285"/>
      <c r="C824" s="285"/>
      <c r="D824" s="285"/>
    </row>
    <row r="825">
      <c r="A825" s="285"/>
      <c r="B825" s="285"/>
      <c r="C825" s="285"/>
      <c r="D825" s="285"/>
    </row>
    <row r="826">
      <c r="A826" s="285"/>
      <c r="B826" s="285"/>
      <c r="C826" s="285"/>
      <c r="D826" s="285"/>
    </row>
    <row r="827">
      <c r="A827" s="285"/>
      <c r="B827" s="285"/>
      <c r="C827" s="285"/>
      <c r="D827" s="285"/>
    </row>
    <row r="828">
      <c r="A828" s="285"/>
      <c r="B828" s="285"/>
      <c r="C828" s="285"/>
      <c r="D828" s="285"/>
    </row>
    <row r="829">
      <c r="A829" s="285"/>
      <c r="B829" s="285"/>
      <c r="C829" s="285"/>
      <c r="D829" s="285"/>
    </row>
    <row r="830">
      <c r="A830" s="285"/>
      <c r="B830" s="285"/>
      <c r="C830" s="285"/>
      <c r="D830" s="285"/>
    </row>
    <row r="831">
      <c r="A831" s="285"/>
      <c r="B831" s="285"/>
      <c r="C831" s="285"/>
      <c r="D831" s="285"/>
    </row>
    <row r="832">
      <c r="A832" s="285"/>
      <c r="B832" s="285"/>
      <c r="C832" s="285"/>
      <c r="D832" s="285"/>
    </row>
    <row r="833">
      <c r="A833" s="285"/>
      <c r="B833" s="285"/>
      <c r="C833" s="285"/>
      <c r="D833" s="285"/>
    </row>
    <row r="834">
      <c r="A834" s="285"/>
      <c r="B834" s="285"/>
      <c r="C834" s="285"/>
      <c r="D834" s="285"/>
    </row>
    <row r="835">
      <c r="A835" s="285"/>
      <c r="B835" s="285"/>
      <c r="C835" s="285"/>
      <c r="D835" s="285"/>
    </row>
    <row r="836">
      <c r="A836" s="285"/>
      <c r="B836" s="285"/>
      <c r="C836" s="285"/>
      <c r="D836" s="285"/>
    </row>
    <row r="837">
      <c r="A837" s="285"/>
      <c r="B837" s="285"/>
      <c r="C837" s="285"/>
      <c r="D837" s="285"/>
    </row>
    <row r="838">
      <c r="A838" s="285"/>
      <c r="B838" s="285"/>
      <c r="C838" s="285"/>
      <c r="D838" s="285"/>
    </row>
    <row r="839">
      <c r="A839" s="285"/>
      <c r="B839" s="285"/>
      <c r="C839" s="285"/>
      <c r="D839" s="285"/>
    </row>
    <row r="840">
      <c r="A840" s="285"/>
      <c r="B840" s="285"/>
      <c r="C840" s="285"/>
      <c r="D840" s="285"/>
    </row>
    <row r="841">
      <c r="A841" s="285"/>
      <c r="B841" s="285"/>
      <c r="C841" s="285"/>
      <c r="D841" s="285"/>
    </row>
    <row r="842">
      <c r="A842" s="285"/>
      <c r="B842" s="285"/>
      <c r="C842" s="285"/>
      <c r="D842" s="285"/>
    </row>
    <row r="843">
      <c r="A843" s="285"/>
      <c r="B843" s="285"/>
      <c r="C843" s="285"/>
      <c r="D843" s="285"/>
    </row>
    <row r="844">
      <c r="A844" s="285"/>
      <c r="B844" s="285"/>
      <c r="C844" s="285"/>
      <c r="D844" s="285"/>
    </row>
    <row r="845">
      <c r="A845" s="285"/>
      <c r="B845" s="285"/>
      <c r="C845" s="285"/>
      <c r="D845" s="285"/>
    </row>
    <row r="846">
      <c r="A846" s="285"/>
      <c r="B846" s="285"/>
      <c r="C846" s="285"/>
      <c r="D846" s="285"/>
    </row>
    <row r="847">
      <c r="A847" s="285"/>
      <c r="B847" s="285"/>
      <c r="C847" s="285"/>
      <c r="D847" s="285"/>
    </row>
    <row r="848">
      <c r="A848" s="285"/>
      <c r="B848" s="285"/>
      <c r="C848" s="285"/>
      <c r="D848" s="285"/>
    </row>
    <row r="849">
      <c r="A849" s="285"/>
      <c r="B849" s="285"/>
      <c r="C849" s="285"/>
      <c r="D849" s="285"/>
    </row>
    <row r="850">
      <c r="A850" s="285"/>
      <c r="B850" s="285"/>
      <c r="C850" s="285"/>
      <c r="D850" s="285"/>
    </row>
    <row r="851">
      <c r="A851" s="285"/>
      <c r="B851" s="285"/>
      <c r="C851" s="285"/>
      <c r="D851" s="285"/>
    </row>
    <row r="852">
      <c r="A852" s="285"/>
      <c r="B852" s="285"/>
      <c r="C852" s="285"/>
      <c r="D852" s="285"/>
    </row>
    <row r="853">
      <c r="A853" s="285"/>
      <c r="B853" s="285"/>
      <c r="C853" s="285"/>
      <c r="D853" s="285"/>
    </row>
    <row r="854">
      <c r="A854" s="285"/>
      <c r="B854" s="285"/>
      <c r="C854" s="285"/>
      <c r="D854" s="285"/>
    </row>
    <row r="855">
      <c r="A855" s="285"/>
      <c r="B855" s="285"/>
      <c r="C855" s="285"/>
      <c r="D855" s="285"/>
    </row>
    <row r="856">
      <c r="A856" s="285"/>
      <c r="B856" s="285"/>
      <c r="C856" s="285"/>
      <c r="D856" s="285"/>
    </row>
    <row r="857">
      <c r="A857" s="285"/>
      <c r="B857" s="285"/>
      <c r="C857" s="285"/>
      <c r="D857" s="285"/>
    </row>
    <row r="858">
      <c r="A858" s="285"/>
      <c r="B858" s="285"/>
      <c r="C858" s="285"/>
      <c r="D858" s="285"/>
    </row>
    <row r="859">
      <c r="A859" s="285"/>
      <c r="B859" s="285"/>
      <c r="C859" s="285"/>
      <c r="D859" s="285"/>
    </row>
    <row r="860">
      <c r="A860" s="285"/>
      <c r="B860" s="285"/>
      <c r="C860" s="285"/>
      <c r="D860" s="285"/>
    </row>
    <row r="861">
      <c r="A861" s="285"/>
      <c r="B861" s="285"/>
      <c r="C861" s="285"/>
      <c r="D861" s="285"/>
    </row>
    <row r="862">
      <c r="A862" s="285"/>
      <c r="B862" s="285"/>
      <c r="C862" s="285"/>
      <c r="D862" s="285"/>
    </row>
    <row r="863">
      <c r="A863" s="285"/>
      <c r="B863" s="285"/>
      <c r="C863" s="285"/>
      <c r="D863" s="285"/>
    </row>
    <row r="864">
      <c r="A864" s="285"/>
      <c r="B864" s="285"/>
      <c r="C864" s="285"/>
      <c r="D864" s="285"/>
    </row>
    <row r="865">
      <c r="A865" s="285"/>
      <c r="B865" s="285"/>
      <c r="C865" s="285"/>
      <c r="D865" s="285"/>
    </row>
    <row r="866">
      <c r="A866" s="285"/>
      <c r="B866" s="285"/>
      <c r="C866" s="285"/>
      <c r="D866" s="285"/>
    </row>
    <row r="867">
      <c r="A867" s="285"/>
      <c r="B867" s="285"/>
      <c r="C867" s="285"/>
      <c r="D867" s="285"/>
    </row>
    <row r="868">
      <c r="A868" s="285"/>
      <c r="B868" s="285"/>
      <c r="C868" s="285"/>
      <c r="D868" s="285"/>
    </row>
    <row r="869">
      <c r="A869" s="285"/>
      <c r="B869" s="285"/>
      <c r="C869" s="285"/>
      <c r="D869" s="285"/>
    </row>
    <row r="870">
      <c r="A870" s="285"/>
      <c r="B870" s="285"/>
      <c r="C870" s="285"/>
      <c r="D870" s="285"/>
    </row>
    <row r="871">
      <c r="A871" s="285"/>
      <c r="B871" s="285"/>
      <c r="C871" s="285"/>
      <c r="D871" s="285"/>
    </row>
    <row r="872">
      <c r="A872" s="285"/>
      <c r="B872" s="285"/>
      <c r="C872" s="285"/>
      <c r="D872" s="285"/>
    </row>
    <row r="873">
      <c r="A873" s="285"/>
      <c r="B873" s="285"/>
      <c r="C873" s="285"/>
      <c r="D873" s="285"/>
    </row>
    <row r="874">
      <c r="A874" s="285"/>
      <c r="B874" s="285"/>
      <c r="C874" s="285"/>
      <c r="D874" s="285"/>
    </row>
    <row r="875">
      <c r="A875" s="285"/>
      <c r="B875" s="285"/>
      <c r="C875" s="285"/>
      <c r="D875" s="285"/>
    </row>
    <row r="876">
      <c r="A876" s="285"/>
      <c r="B876" s="285"/>
      <c r="C876" s="285"/>
      <c r="D876" s="285"/>
    </row>
    <row r="877">
      <c r="A877" s="285"/>
      <c r="B877" s="285"/>
      <c r="C877" s="285"/>
      <c r="D877" s="285"/>
    </row>
    <row r="878">
      <c r="A878" s="285"/>
      <c r="B878" s="285"/>
      <c r="C878" s="285"/>
      <c r="D878" s="285"/>
    </row>
    <row r="879">
      <c r="A879" s="285"/>
      <c r="B879" s="285"/>
      <c r="C879" s="285"/>
      <c r="D879" s="285"/>
    </row>
    <row r="880">
      <c r="A880" s="285"/>
      <c r="B880" s="285"/>
      <c r="C880" s="285"/>
      <c r="D880" s="285"/>
    </row>
    <row r="881">
      <c r="A881" s="285"/>
      <c r="B881" s="285"/>
      <c r="C881" s="285"/>
      <c r="D881" s="285"/>
    </row>
    <row r="882">
      <c r="A882" s="285"/>
      <c r="B882" s="285"/>
      <c r="C882" s="285"/>
      <c r="D882" s="285"/>
    </row>
    <row r="883">
      <c r="A883" s="285"/>
      <c r="B883" s="285"/>
      <c r="C883" s="285"/>
      <c r="D883" s="285"/>
    </row>
    <row r="884">
      <c r="A884" s="285"/>
      <c r="B884" s="285"/>
      <c r="C884" s="285"/>
      <c r="D884" s="285"/>
    </row>
    <row r="885">
      <c r="A885" s="285"/>
      <c r="B885" s="285"/>
      <c r="C885" s="285"/>
      <c r="D885" s="285"/>
    </row>
    <row r="886">
      <c r="A886" s="285"/>
      <c r="B886" s="285"/>
      <c r="C886" s="285"/>
      <c r="D886" s="285"/>
    </row>
    <row r="887">
      <c r="A887" s="285"/>
      <c r="B887" s="285"/>
      <c r="C887" s="285"/>
      <c r="D887" s="285"/>
    </row>
    <row r="888">
      <c r="A888" s="285"/>
      <c r="B888" s="285"/>
      <c r="C888" s="285"/>
      <c r="D888" s="285"/>
    </row>
    <row r="889">
      <c r="A889" s="285"/>
      <c r="B889" s="285"/>
      <c r="C889" s="285"/>
      <c r="D889" s="285"/>
    </row>
    <row r="890">
      <c r="A890" s="285"/>
      <c r="B890" s="285"/>
      <c r="C890" s="285"/>
      <c r="D890" s="285"/>
    </row>
    <row r="891">
      <c r="A891" s="285"/>
      <c r="B891" s="285"/>
      <c r="C891" s="285"/>
      <c r="D891" s="285"/>
    </row>
    <row r="892">
      <c r="A892" s="285"/>
      <c r="B892" s="285"/>
      <c r="C892" s="285"/>
      <c r="D892" s="285"/>
    </row>
    <row r="893">
      <c r="A893" s="285"/>
      <c r="B893" s="285"/>
      <c r="C893" s="285"/>
      <c r="D893" s="285"/>
    </row>
    <row r="894">
      <c r="A894" s="285"/>
      <c r="B894" s="285"/>
      <c r="C894" s="285"/>
      <c r="D894" s="285"/>
    </row>
    <row r="895">
      <c r="A895" s="285"/>
      <c r="B895" s="285"/>
      <c r="C895" s="285"/>
      <c r="D895" s="285"/>
    </row>
    <row r="896">
      <c r="A896" s="285"/>
      <c r="B896" s="285"/>
      <c r="C896" s="285"/>
      <c r="D896" s="285"/>
    </row>
    <row r="897">
      <c r="A897" s="285"/>
      <c r="B897" s="285"/>
      <c r="C897" s="285"/>
      <c r="D897" s="285"/>
    </row>
    <row r="898">
      <c r="A898" s="285"/>
      <c r="B898" s="285"/>
      <c r="C898" s="285"/>
      <c r="D898" s="285"/>
    </row>
    <row r="899">
      <c r="A899" s="285"/>
      <c r="B899" s="285"/>
      <c r="C899" s="285"/>
      <c r="D899" s="285"/>
    </row>
    <row r="900">
      <c r="A900" s="285"/>
      <c r="B900" s="285"/>
      <c r="C900" s="285"/>
      <c r="D900" s="285"/>
    </row>
    <row r="901">
      <c r="A901" s="285"/>
      <c r="B901" s="285"/>
      <c r="C901" s="285"/>
      <c r="D901" s="285"/>
    </row>
    <row r="902">
      <c r="A902" s="285"/>
      <c r="B902" s="285"/>
      <c r="C902" s="285"/>
      <c r="D902" s="285"/>
    </row>
    <row r="903">
      <c r="A903" s="285"/>
      <c r="B903" s="285"/>
      <c r="C903" s="285"/>
      <c r="D903" s="285"/>
    </row>
    <row r="904">
      <c r="A904" s="285"/>
      <c r="B904" s="285"/>
      <c r="C904" s="285"/>
      <c r="D904" s="285"/>
    </row>
    <row r="905">
      <c r="A905" s="285"/>
      <c r="B905" s="285"/>
      <c r="C905" s="285"/>
      <c r="D905" s="285"/>
    </row>
    <row r="906">
      <c r="A906" s="285"/>
      <c r="B906" s="285"/>
      <c r="C906" s="285"/>
      <c r="D906" s="285"/>
    </row>
    <row r="907">
      <c r="A907" s="285"/>
      <c r="B907" s="285"/>
      <c r="C907" s="285"/>
      <c r="D907" s="285"/>
    </row>
    <row r="908">
      <c r="A908" s="285"/>
      <c r="B908" s="285"/>
      <c r="C908" s="285"/>
      <c r="D908" s="285"/>
    </row>
    <row r="909">
      <c r="A909" s="285"/>
      <c r="B909" s="285"/>
      <c r="C909" s="285"/>
      <c r="D909" s="285"/>
    </row>
    <row r="910">
      <c r="A910" s="285"/>
      <c r="B910" s="285"/>
      <c r="C910" s="285"/>
      <c r="D910" s="285"/>
    </row>
    <row r="911">
      <c r="A911" s="285"/>
      <c r="B911" s="285"/>
      <c r="C911" s="285"/>
      <c r="D911" s="285"/>
    </row>
    <row r="912">
      <c r="A912" s="285"/>
      <c r="B912" s="285"/>
      <c r="C912" s="285"/>
      <c r="D912" s="285"/>
    </row>
    <row r="913">
      <c r="A913" s="285"/>
      <c r="B913" s="285"/>
      <c r="C913" s="285"/>
      <c r="D913" s="285"/>
    </row>
    <row r="914">
      <c r="A914" s="285"/>
      <c r="B914" s="285"/>
      <c r="C914" s="285"/>
      <c r="D914" s="285"/>
    </row>
    <row r="915">
      <c r="A915" s="285"/>
      <c r="B915" s="285"/>
      <c r="C915" s="285"/>
      <c r="D915" s="285"/>
    </row>
    <row r="916">
      <c r="A916" s="285"/>
      <c r="B916" s="285"/>
      <c r="C916" s="285"/>
      <c r="D916" s="285"/>
    </row>
    <row r="917">
      <c r="A917" s="285"/>
      <c r="B917" s="285"/>
      <c r="C917" s="285"/>
      <c r="D917" s="285"/>
    </row>
    <row r="918">
      <c r="A918" s="285"/>
      <c r="B918" s="285"/>
      <c r="C918" s="285"/>
      <c r="D918" s="285"/>
    </row>
    <row r="919">
      <c r="A919" s="285"/>
      <c r="B919" s="285"/>
      <c r="C919" s="285"/>
      <c r="D919" s="285"/>
    </row>
    <row r="920">
      <c r="A920" s="285"/>
      <c r="B920" s="285"/>
      <c r="C920" s="285"/>
      <c r="D920" s="285"/>
    </row>
    <row r="921">
      <c r="A921" s="285"/>
      <c r="B921" s="285"/>
      <c r="C921" s="285"/>
      <c r="D921" s="285"/>
    </row>
    <row r="922">
      <c r="A922" s="285"/>
      <c r="B922" s="285"/>
      <c r="C922" s="285"/>
      <c r="D922" s="285"/>
    </row>
    <row r="923">
      <c r="A923" s="285"/>
      <c r="B923" s="285"/>
      <c r="C923" s="285"/>
      <c r="D923" s="285"/>
    </row>
    <row r="924">
      <c r="A924" s="285"/>
      <c r="B924" s="285"/>
      <c r="C924" s="285"/>
      <c r="D924" s="285"/>
    </row>
    <row r="925">
      <c r="A925" s="285"/>
      <c r="B925" s="285"/>
      <c r="C925" s="285"/>
      <c r="D925" s="285"/>
    </row>
    <row r="926">
      <c r="A926" s="285"/>
      <c r="B926" s="285"/>
      <c r="C926" s="285"/>
      <c r="D926" s="285"/>
    </row>
    <row r="927">
      <c r="A927" s="285"/>
      <c r="B927" s="285"/>
      <c r="C927" s="285"/>
      <c r="D927" s="285"/>
    </row>
    <row r="928">
      <c r="A928" s="285"/>
      <c r="B928" s="285"/>
      <c r="C928" s="285"/>
      <c r="D928" s="285"/>
    </row>
    <row r="929">
      <c r="A929" s="285"/>
      <c r="B929" s="285"/>
      <c r="C929" s="285"/>
      <c r="D929" s="285"/>
    </row>
    <row r="930">
      <c r="A930" s="285"/>
      <c r="B930" s="285"/>
      <c r="C930" s="285"/>
      <c r="D930" s="285"/>
    </row>
    <row r="931">
      <c r="A931" s="285"/>
      <c r="B931" s="285"/>
      <c r="C931" s="285"/>
      <c r="D931" s="285"/>
    </row>
    <row r="932">
      <c r="A932" s="285"/>
      <c r="B932" s="285"/>
      <c r="C932" s="285"/>
      <c r="D932" s="285"/>
    </row>
    <row r="933">
      <c r="A933" s="285"/>
      <c r="B933" s="285"/>
      <c r="C933" s="285"/>
      <c r="D933" s="285"/>
    </row>
    <row r="934">
      <c r="A934" s="285"/>
      <c r="B934" s="285"/>
      <c r="C934" s="285"/>
      <c r="D934" s="285"/>
    </row>
    <row r="935">
      <c r="A935" s="285"/>
      <c r="B935" s="285"/>
      <c r="C935" s="285"/>
      <c r="D935" s="285"/>
    </row>
    <row r="936">
      <c r="A936" s="285"/>
      <c r="B936" s="285"/>
      <c r="C936" s="285"/>
      <c r="D936" s="285"/>
    </row>
    <row r="937">
      <c r="A937" s="285"/>
      <c r="B937" s="285"/>
      <c r="C937" s="285"/>
      <c r="D937" s="285"/>
    </row>
    <row r="938">
      <c r="A938" s="285"/>
      <c r="B938" s="285"/>
      <c r="C938" s="285"/>
      <c r="D938" s="285"/>
    </row>
    <row r="939">
      <c r="A939" s="285"/>
      <c r="B939" s="285"/>
      <c r="C939" s="285"/>
      <c r="D939" s="285"/>
    </row>
    <row r="940">
      <c r="A940" s="285"/>
      <c r="B940" s="285"/>
      <c r="C940" s="285"/>
      <c r="D940" s="285"/>
    </row>
    <row r="941">
      <c r="A941" s="285"/>
      <c r="B941" s="285"/>
      <c r="C941" s="285"/>
      <c r="D941" s="285"/>
    </row>
    <row r="942">
      <c r="A942" s="285"/>
      <c r="B942" s="285"/>
      <c r="C942" s="285"/>
      <c r="D942" s="285"/>
    </row>
    <row r="943">
      <c r="A943" s="285"/>
      <c r="B943" s="285"/>
      <c r="C943" s="285"/>
      <c r="D943" s="285"/>
    </row>
    <row r="944">
      <c r="A944" s="285"/>
      <c r="B944" s="285"/>
      <c r="C944" s="285"/>
      <c r="D944" s="285"/>
    </row>
    <row r="945">
      <c r="A945" s="285"/>
      <c r="B945" s="285"/>
      <c r="C945" s="285"/>
      <c r="D945" s="285"/>
    </row>
    <row r="946">
      <c r="A946" s="285"/>
      <c r="B946" s="285"/>
      <c r="C946" s="285"/>
      <c r="D946" s="285"/>
    </row>
    <row r="947">
      <c r="A947" s="285"/>
      <c r="B947" s="285"/>
      <c r="C947" s="285"/>
      <c r="D947" s="285"/>
    </row>
    <row r="948">
      <c r="A948" s="285"/>
      <c r="B948" s="285"/>
      <c r="C948" s="285"/>
      <c r="D948" s="285"/>
    </row>
    <row r="949">
      <c r="A949" s="285"/>
      <c r="B949" s="285"/>
      <c r="C949" s="285"/>
      <c r="D949" s="285"/>
    </row>
    <row r="950">
      <c r="A950" s="285"/>
      <c r="B950" s="285"/>
      <c r="C950" s="285"/>
      <c r="D950" s="285"/>
    </row>
    <row r="951">
      <c r="A951" s="285"/>
      <c r="B951" s="285"/>
      <c r="C951" s="285"/>
      <c r="D951" s="285"/>
    </row>
    <row r="952">
      <c r="A952" s="285"/>
      <c r="B952" s="285"/>
      <c r="C952" s="285"/>
      <c r="D952" s="285"/>
    </row>
    <row r="953">
      <c r="A953" s="285"/>
      <c r="B953" s="285"/>
      <c r="C953" s="285"/>
      <c r="D953" s="285"/>
    </row>
    <row r="954">
      <c r="A954" s="285"/>
      <c r="B954" s="285"/>
      <c r="C954" s="285"/>
      <c r="D954" s="285"/>
    </row>
    <row r="955">
      <c r="A955" s="285"/>
      <c r="B955" s="285"/>
      <c r="C955" s="285"/>
      <c r="D955" s="285"/>
    </row>
    <row r="956">
      <c r="A956" s="285"/>
      <c r="B956" s="285"/>
      <c r="C956" s="285"/>
      <c r="D956" s="285"/>
    </row>
    <row r="957">
      <c r="A957" s="285"/>
      <c r="B957" s="285"/>
      <c r="C957" s="285"/>
      <c r="D957" s="285"/>
    </row>
    <row r="958">
      <c r="A958" s="285"/>
      <c r="B958" s="285"/>
      <c r="C958" s="285"/>
      <c r="D958" s="285"/>
    </row>
    <row r="959">
      <c r="A959" s="285"/>
      <c r="B959" s="285"/>
      <c r="C959" s="285"/>
      <c r="D959" s="285"/>
    </row>
    <row r="960">
      <c r="A960" s="285"/>
      <c r="B960" s="285"/>
      <c r="C960" s="285"/>
      <c r="D960" s="285"/>
    </row>
    <row r="961">
      <c r="A961" s="285"/>
      <c r="B961" s="285"/>
      <c r="C961" s="285"/>
      <c r="D961" s="285"/>
    </row>
    <row r="962">
      <c r="A962" s="285"/>
      <c r="B962" s="285"/>
      <c r="C962" s="285"/>
      <c r="D962" s="285"/>
    </row>
    <row r="963">
      <c r="A963" s="285"/>
      <c r="B963" s="285"/>
      <c r="C963" s="285"/>
      <c r="D963" s="285"/>
    </row>
    <row r="964">
      <c r="A964" s="285"/>
      <c r="B964" s="285"/>
      <c r="C964" s="285"/>
      <c r="D964" s="285"/>
    </row>
    <row r="965">
      <c r="A965" s="285"/>
      <c r="B965" s="285"/>
      <c r="C965" s="285"/>
      <c r="D965" s="285"/>
    </row>
    <row r="966">
      <c r="A966" s="285"/>
      <c r="B966" s="285"/>
      <c r="C966" s="285"/>
      <c r="D966" s="285"/>
    </row>
    <row r="967">
      <c r="A967" s="285"/>
      <c r="B967" s="285"/>
      <c r="C967" s="285"/>
      <c r="D967" s="285"/>
    </row>
    <row r="968">
      <c r="A968" s="285"/>
      <c r="B968" s="285"/>
      <c r="C968" s="285"/>
      <c r="D968" s="285"/>
    </row>
    <row r="969">
      <c r="A969" s="285"/>
      <c r="B969" s="285"/>
      <c r="C969" s="285"/>
      <c r="D969" s="285"/>
    </row>
    <row r="970">
      <c r="A970" s="285"/>
      <c r="B970" s="285"/>
      <c r="C970" s="285"/>
      <c r="D970" s="285"/>
    </row>
    <row r="971">
      <c r="A971" s="285"/>
      <c r="B971" s="285"/>
      <c r="C971" s="285"/>
      <c r="D971" s="285"/>
    </row>
    <row r="972">
      <c r="A972" s="285"/>
      <c r="B972" s="285"/>
      <c r="C972" s="285"/>
      <c r="D972" s="285"/>
    </row>
    <row r="973">
      <c r="A973" s="285"/>
      <c r="B973" s="285"/>
      <c r="C973" s="285"/>
      <c r="D973" s="285"/>
    </row>
    <row r="974">
      <c r="A974" s="285"/>
      <c r="B974" s="285"/>
      <c r="C974" s="285"/>
      <c r="D974" s="285"/>
    </row>
    <row r="975">
      <c r="A975" s="285"/>
      <c r="B975" s="285"/>
      <c r="C975" s="285"/>
      <c r="D975" s="285"/>
    </row>
    <row r="976">
      <c r="A976" s="285"/>
      <c r="B976" s="285"/>
      <c r="C976" s="285"/>
      <c r="D976" s="285"/>
    </row>
    <row r="977">
      <c r="A977" s="285"/>
      <c r="B977" s="285"/>
      <c r="C977" s="285"/>
      <c r="D977" s="285"/>
    </row>
    <row r="978">
      <c r="A978" s="285"/>
      <c r="B978" s="285"/>
      <c r="C978" s="285"/>
      <c r="D978" s="285"/>
    </row>
    <row r="979">
      <c r="A979" s="285"/>
      <c r="B979" s="285"/>
      <c r="C979" s="285"/>
      <c r="D979" s="285"/>
    </row>
    <row r="980">
      <c r="A980" s="285"/>
      <c r="B980" s="285"/>
      <c r="C980" s="285"/>
      <c r="D980" s="285"/>
    </row>
    <row r="981">
      <c r="A981" s="285"/>
      <c r="B981" s="285"/>
      <c r="C981" s="285"/>
      <c r="D981" s="285"/>
    </row>
    <row r="982">
      <c r="A982" s="285"/>
      <c r="B982" s="285"/>
      <c r="C982" s="285"/>
      <c r="D982" s="285"/>
    </row>
    <row r="983">
      <c r="A983" s="285"/>
      <c r="B983" s="285"/>
      <c r="C983" s="285"/>
      <c r="D983" s="285"/>
    </row>
    <row r="984">
      <c r="A984" s="285"/>
      <c r="B984" s="285"/>
      <c r="C984" s="285"/>
      <c r="D984" s="285"/>
    </row>
    <row r="985">
      <c r="A985" s="285"/>
      <c r="B985" s="285"/>
      <c r="C985" s="285"/>
      <c r="D985" s="285"/>
    </row>
    <row r="986">
      <c r="A986" s="285"/>
      <c r="B986" s="285"/>
      <c r="C986" s="285"/>
      <c r="D986" s="285"/>
    </row>
    <row r="987">
      <c r="A987" s="285"/>
      <c r="B987" s="285"/>
      <c r="C987" s="285"/>
      <c r="D987" s="285"/>
    </row>
    <row r="988">
      <c r="A988" s="285"/>
      <c r="B988" s="285"/>
      <c r="C988" s="285"/>
      <c r="D988" s="285"/>
    </row>
    <row r="989">
      <c r="A989" s="285"/>
      <c r="B989" s="285"/>
      <c r="C989" s="285"/>
      <c r="D989" s="285"/>
    </row>
    <row r="990">
      <c r="A990" s="285"/>
      <c r="B990" s="285"/>
      <c r="C990" s="285"/>
      <c r="D990" s="285"/>
    </row>
    <row r="991">
      <c r="A991" s="285"/>
      <c r="B991" s="285"/>
      <c r="C991" s="285"/>
      <c r="D991" s="285"/>
    </row>
    <row r="992">
      <c r="A992" s="285"/>
      <c r="B992" s="285"/>
      <c r="C992" s="285"/>
      <c r="D992" s="285"/>
    </row>
    <row r="993">
      <c r="A993" s="285"/>
      <c r="B993" s="285"/>
      <c r="C993" s="285"/>
      <c r="D993" s="285"/>
    </row>
    <row r="994">
      <c r="A994" s="285"/>
      <c r="B994" s="285"/>
      <c r="C994" s="285"/>
      <c r="D994" s="285"/>
    </row>
    <row r="995">
      <c r="A995" s="285"/>
      <c r="B995" s="285"/>
      <c r="C995" s="285"/>
      <c r="D995" s="285"/>
    </row>
    <row r="996">
      <c r="A996" s="285"/>
      <c r="B996" s="285"/>
      <c r="C996" s="285"/>
      <c r="D996" s="285"/>
    </row>
    <row r="997">
      <c r="A997" s="285"/>
      <c r="B997" s="285"/>
      <c r="C997" s="285"/>
      <c r="D997" s="285"/>
    </row>
    <row r="998">
      <c r="A998" s="285"/>
      <c r="B998" s="285"/>
      <c r="C998" s="285"/>
      <c r="D998" s="285"/>
    </row>
    <row r="999">
      <c r="A999" s="285"/>
      <c r="B999" s="285"/>
      <c r="C999" s="285"/>
      <c r="D999" s="285"/>
    </row>
    <row r="1000">
      <c r="A1000" s="285"/>
      <c r="B1000" s="285"/>
      <c r="C1000" s="285"/>
      <c r="D1000" s="285"/>
    </row>
    <row r="1001">
      <c r="A1001" s="285"/>
      <c r="B1001" s="285"/>
      <c r="C1001" s="285"/>
      <c r="D1001" s="285"/>
    </row>
    <row r="1002">
      <c r="A1002" s="285"/>
      <c r="B1002" s="285"/>
      <c r="C1002" s="285"/>
      <c r="D1002" s="285"/>
    </row>
    <row r="1003">
      <c r="A1003" s="285"/>
      <c r="B1003" s="285"/>
      <c r="C1003" s="285"/>
      <c r="D1003" s="285"/>
    </row>
    <row r="1004">
      <c r="A1004" s="285"/>
      <c r="B1004" s="285"/>
      <c r="C1004" s="285"/>
      <c r="D1004" s="285"/>
    </row>
    <row r="1005">
      <c r="A1005" s="285"/>
      <c r="B1005" s="285"/>
      <c r="C1005" s="285"/>
      <c r="D1005" s="285"/>
    </row>
    <row r="1006">
      <c r="A1006" s="285"/>
      <c r="B1006" s="285"/>
      <c r="C1006" s="285"/>
      <c r="D1006" s="285"/>
    </row>
    <row r="1007">
      <c r="A1007" s="285"/>
      <c r="B1007" s="285"/>
      <c r="C1007" s="285"/>
      <c r="D1007" s="285"/>
    </row>
    <row r="1008">
      <c r="A1008" s="285"/>
      <c r="B1008" s="285"/>
      <c r="C1008" s="285"/>
      <c r="D1008" s="285"/>
    </row>
  </sheetData>
  <autoFilter ref="$A$1:$T$617"/>
  <hyperlinks>
    <hyperlink r:id="rId1" ref="B21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0"/>
    <col customWidth="1" min="3" max="4" width="20.43"/>
    <col customWidth="1" min="5" max="5" width="19.0"/>
    <col customWidth="1" min="8" max="8" width="22.57"/>
  </cols>
  <sheetData>
    <row r="1">
      <c r="A1" s="294" t="s">
        <v>5751</v>
      </c>
      <c r="B1" s="294" t="s">
        <v>5758</v>
      </c>
      <c r="C1" s="294" t="s">
        <v>5759</v>
      </c>
      <c r="D1" s="294" t="s">
        <v>5760</v>
      </c>
      <c r="E1" s="294" t="s">
        <v>5759</v>
      </c>
      <c r="G1" s="24"/>
    </row>
    <row r="2">
      <c r="A2" s="2" t="s">
        <v>161</v>
      </c>
      <c r="B2" s="6">
        <v>120.0</v>
      </c>
      <c r="C2" s="6" t="s">
        <v>5761</v>
      </c>
      <c r="D2" s="6">
        <v>160.0</v>
      </c>
      <c r="E2" s="6" t="s">
        <v>5761</v>
      </c>
    </row>
    <row r="3">
      <c r="A3" s="2" t="s">
        <v>166</v>
      </c>
      <c r="B3" s="6">
        <v>33.0</v>
      </c>
      <c r="C3" s="6" t="s">
        <v>5761</v>
      </c>
      <c r="D3" s="6">
        <v>66.0</v>
      </c>
      <c r="E3" s="6" t="s">
        <v>5761</v>
      </c>
    </row>
    <row r="4">
      <c r="A4" s="2" t="s">
        <v>5762</v>
      </c>
      <c r="B4" s="6">
        <v>10.0</v>
      </c>
      <c r="C4" s="6" t="s">
        <v>5761</v>
      </c>
      <c r="D4" s="6">
        <v>15.0</v>
      </c>
      <c r="E4" s="6" t="s">
        <v>5761</v>
      </c>
    </row>
    <row r="5">
      <c r="A5" s="2" t="s">
        <v>163</v>
      </c>
      <c r="B5" s="6">
        <v>120.0</v>
      </c>
      <c r="C5" s="6" t="s">
        <v>5761</v>
      </c>
      <c r="D5" s="6">
        <v>160.0</v>
      </c>
      <c r="E5" s="6" t="s">
        <v>5761</v>
      </c>
    </row>
    <row r="6">
      <c r="A6" s="2" t="s">
        <v>5764</v>
      </c>
      <c r="B6" s="6">
        <v>25.0</v>
      </c>
      <c r="C6" s="6" t="s">
        <v>5761</v>
      </c>
      <c r="D6" s="6">
        <v>40.0</v>
      </c>
      <c r="E6" s="6" t="s">
        <v>5761</v>
      </c>
    </row>
    <row r="7">
      <c r="A7" s="2" t="s">
        <v>5769</v>
      </c>
      <c r="B7" s="6">
        <v>25.0</v>
      </c>
      <c r="C7" s="6" t="s">
        <v>5761</v>
      </c>
      <c r="D7" s="6">
        <v>40.0</v>
      </c>
      <c r="E7" s="6" t="s">
        <v>5761</v>
      </c>
    </row>
    <row r="8">
      <c r="A8" s="2" t="s">
        <v>5772</v>
      </c>
      <c r="B8" s="6">
        <v>18.0</v>
      </c>
      <c r="C8" s="6" t="s">
        <v>5761</v>
      </c>
      <c r="D8" s="6">
        <v>21.0</v>
      </c>
      <c r="E8" s="6" t="s">
        <v>5761</v>
      </c>
    </row>
    <row r="9">
      <c r="A9" s="2" t="s">
        <v>5773</v>
      </c>
      <c r="B9" s="6">
        <v>15.0</v>
      </c>
      <c r="C9" s="6" t="s">
        <v>5761</v>
      </c>
      <c r="D9" s="6">
        <v>21.0</v>
      </c>
      <c r="E9" s="6" t="s">
        <v>5761</v>
      </c>
    </row>
    <row r="10">
      <c r="A10" s="2" t="s">
        <v>5774</v>
      </c>
      <c r="B10" s="6">
        <v>15.0</v>
      </c>
      <c r="C10" s="6" t="s">
        <v>5761</v>
      </c>
      <c r="D10" s="6">
        <v>21.0</v>
      </c>
      <c r="E10" s="6" t="s">
        <v>5761</v>
      </c>
    </row>
    <row r="11">
      <c r="A11" s="295" t="s">
        <v>137</v>
      </c>
      <c r="B11" s="6">
        <v>70.0</v>
      </c>
      <c r="C11" s="6" t="s">
        <v>5761</v>
      </c>
      <c r="D11" s="6">
        <v>130.0</v>
      </c>
      <c r="E11" s="6" t="s">
        <v>5761</v>
      </c>
    </row>
    <row r="12">
      <c r="A12" s="295" t="s">
        <v>5775</v>
      </c>
      <c r="B12" s="6">
        <v>16.0</v>
      </c>
      <c r="C12" s="6" t="s">
        <v>5761</v>
      </c>
      <c r="D12" s="6">
        <v>26.0</v>
      </c>
      <c r="E12" s="6" t="s">
        <v>5761</v>
      </c>
    </row>
    <row r="13">
      <c r="A13" s="295" t="s">
        <v>5776</v>
      </c>
      <c r="B13" s="6">
        <v>16.0</v>
      </c>
      <c r="C13" s="6" t="s">
        <v>5761</v>
      </c>
      <c r="D13" s="6">
        <v>26.0</v>
      </c>
      <c r="E13" s="6" t="s">
        <v>5761</v>
      </c>
    </row>
    <row r="14">
      <c r="A14" s="6" t="s">
        <v>5780</v>
      </c>
      <c r="B14" s="6">
        <v>60.0</v>
      </c>
      <c r="C14" s="6" t="s">
        <v>5761</v>
      </c>
      <c r="D14" s="6">
        <v>80.0</v>
      </c>
      <c r="E14" s="6" t="s">
        <v>5761</v>
      </c>
    </row>
    <row r="15">
      <c r="A15" s="6" t="s">
        <v>5785</v>
      </c>
      <c r="B15" s="6">
        <v>20.0</v>
      </c>
      <c r="C15" s="6" t="s">
        <v>5761</v>
      </c>
      <c r="D15" s="6">
        <v>35.0</v>
      </c>
      <c r="E15" s="6" t="s">
        <v>5761</v>
      </c>
    </row>
  </sheetData>
  <drawing r:id="rId1"/>
</worksheet>
</file>